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codeName="ThisWorkbook" defaultThemeVersion="124226"/>
  <xr:revisionPtr revIDLastSave="309" documentId="8_{1B14C5C3-C3AA-404F-A93D-173C67FACF7D}" xr6:coauthVersionLast="36" xr6:coauthVersionMax="36" xr10:uidLastSave="{A424EC05-6E87-496D-A069-5FE73473DD6D}"/>
  <bookViews>
    <workbookView xWindow="0" yWindow="0" windowWidth="28800" windowHeight="12270" tabRatio="842" xr2:uid="{00000000-000D-0000-FFFF-FFFF00000000}"/>
  </bookViews>
  <sheets>
    <sheet name="Cover" sheetId="2" r:id="rId1"/>
    <sheet name="Contents and guidance" sheetId="3" r:id="rId2"/>
    <sheet name="Data dictionary" sheetId="12" r:id="rId3"/>
    <sheet name="T1 In-year inspections" sheetId="5" r:id="rId4"/>
    <sheet name="T2 In-year standards" sheetId="9" r:id="rId5"/>
    <sheet name="T3 In-year monitoring" sheetId="10" r:id="rId6"/>
    <sheet name="T4 Most recent inspections" sheetId="6" r:id="rId7"/>
    <sheet name="D1a In-year standard inspects" sheetId="13" r:id="rId8"/>
    <sheet name="D1b In-year additional" sheetId="15" r:id="rId9"/>
    <sheet name="D2 Most recent inspections" sheetId="16" r:id="rId10"/>
  </sheets>
  <definedNames>
    <definedName name="_xlnm._FilterDatabase" localSheetId="1" hidden="1">'Contents and guidance'!$B$54:$C$76</definedName>
    <definedName name="_xlnm._FilterDatabase" localSheetId="7" hidden="1">'D1a In-year standard inspects'!$A$4:$IL$54</definedName>
    <definedName name="_xlnm._FilterDatabase" localSheetId="8" hidden="1">'D1b In-year additional'!$A$4:$HV$133</definedName>
    <definedName name="_xlnm._FilterDatabase" localSheetId="9" hidden="1">'D2 Most recent inspections'!$A$4:$IT$1102</definedName>
    <definedName name="InYear">'D1a In-year standard inspects'!$A$4:$IL$54</definedName>
    <definedName name="Monitoring">'D1b In-year additional'!$A$4:$HV$133</definedName>
    <definedName name="SoN">'D2 Most recent inspections'!$A$4:$IT$1102</definedName>
  </definedNames>
  <calcPr calcId="191029" concurrentCalc="0"/>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5" i="15" l="1"/>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1102" i="16"/>
  <c r="A1101" i="16"/>
  <c r="A1100" i="16"/>
  <c r="A1099" i="16"/>
  <c r="A1098" i="16"/>
  <c r="A1097" i="16"/>
  <c r="A1096" i="16"/>
  <c r="A1095" i="16"/>
  <c r="A1094" i="16"/>
  <c r="A1093" i="16"/>
  <c r="A1092" i="16"/>
  <c r="A1091" i="16"/>
  <c r="A1090" i="16"/>
  <c r="A1089" i="16"/>
  <c r="A1088" i="16"/>
  <c r="A1087" i="16"/>
  <c r="A1086" i="16"/>
  <c r="A1085" i="16"/>
  <c r="A1084" i="16"/>
  <c r="A1083" i="16"/>
  <c r="A1082" i="16"/>
  <c r="A1081" i="16"/>
  <c r="A1080" i="16"/>
  <c r="A1079" i="16"/>
  <c r="A1078" i="16"/>
  <c r="A1077" i="16"/>
  <c r="A1076" i="16"/>
  <c r="A1075" i="16"/>
  <c r="A1074" i="16"/>
  <c r="A1073" i="16"/>
  <c r="A1072" i="16"/>
  <c r="A1071" i="16"/>
  <c r="A1070" i="16"/>
  <c r="A1069" i="16"/>
  <c r="A1068" i="16"/>
  <c r="A1067" i="16"/>
  <c r="A1066" i="16"/>
  <c r="A1065" i="16"/>
  <c r="A1064" i="16"/>
  <c r="A1063" i="16"/>
  <c r="A1062" i="16"/>
  <c r="A1061" i="16"/>
  <c r="A1060" i="16"/>
  <c r="A1059" i="16"/>
  <c r="A1058" i="16"/>
  <c r="A1057" i="16"/>
  <c r="A1056" i="16"/>
  <c r="A1055" i="16"/>
  <c r="A1054" i="16"/>
  <c r="A1053" i="16"/>
  <c r="A1052" i="16"/>
  <c r="A1051" i="16"/>
  <c r="A1050" i="16"/>
  <c r="A1049" i="16"/>
  <c r="A1048" i="16"/>
  <c r="A1047" i="16"/>
  <c r="A1046" i="16"/>
  <c r="A1045" i="16"/>
  <c r="A1044" i="16"/>
  <c r="A1043" i="16"/>
  <c r="A1042" i="16"/>
  <c r="A1041" i="16"/>
  <c r="A1040" i="16"/>
  <c r="A1039" i="16"/>
  <c r="A1038" i="16"/>
  <c r="A1037" i="16"/>
  <c r="A1036" i="16"/>
  <c r="A1035" i="16"/>
  <c r="A1034" i="16"/>
  <c r="A1033" i="16"/>
  <c r="A1032" i="16"/>
  <c r="A1031" i="16"/>
  <c r="A1030" i="16"/>
  <c r="A1029" i="16"/>
  <c r="A1028" i="16"/>
  <c r="A1027" i="16"/>
  <c r="A1026" i="16"/>
  <c r="A1025" i="16"/>
  <c r="A1024" i="16"/>
  <c r="A1023" i="16"/>
  <c r="A1022" i="16"/>
  <c r="A1021" i="16"/>
  <c r="A1020" i="16"/>
  <c r="A1019" i="16"/>
  <c r="A1018" i="16"/>
  <c r="A1017" i="16"/>
  <c r="A1016" i="16"/>
  <c r="A1015" i="16"/>
  <c r="A1014" i="16"/>
  <c r="A1013" i="16"/>
  <c r="A1012" i="16"/>
  <c r="A1011" i="16"/>
  <c r="A1010" i="16"/>
  <c r="A1009" i="16"/>
  <c r="A1008" i="16"/>
  <c r="A1007" i="16"/>
  <c r="A1006" i="16"/>
  <c r="A1005" i="16"/>
  <c r="A1004" i="16"/>
  <c r="A1003" i="16"/>
  <c r="A1002" i="16"/>
  <c r="A1001" i="16"/>
  <c r="A1000" i="16"/>
  <c r="A999" i="16"/>
  <c r="A998" i="16"/>
  <c r="A997" i="16"/>
  <c r="A996" i="16"/>
  <c r="A995" i="16"/>
  <c r="A994" i="16"/>
  <c r="A993" i="16"/>
  <c r="A992" i="16"/>
  <c r="A991" i="16"/>
  <c r="A990" i="16"/>
  <c r="A989" i="16"/>
  <c r="A988" i="16"/>
  <c r="A987" i="16"/>
  <c r="A986" i="16"/>
  <c r="A985" i="16"/>
  <c r="A984" i="16"/>
  <c r="A983" i="16"/>
  <c r="A982" i="16"/>
  <c r="A981" i="16"/>
  <c r="A980" i="16"/>
  <c r="A979" i="16"/>
  <c r="A978" i="16"/>
  <c r="A977" i="16"/>
  <c r="A976" i="16"/>
  <c r="A975" i="16"/>
  <c r="A974" i="16"/>
  <c r="A973" i="16"/>
  <c r="A972" i="16"/>
  <c r="A971" i="16"/>
  <c r="A970" i="16"/>
  <c r="A969" i="16"/>
  <c r="A968" i="16"/>
  <c r="A967" i="16"/>
  <c r="A966" i="16"/>
  <c r="A965" i="16"/>
  <c r="A964" i="16"/>
  <c r="A963" i="16"/>
  <c r="A962" i="16"/>
  <c r="A961" i="16"/>
  <c r="A960" i="16"/>
  <c r="A959" i="16"/>
  <c r="A958" i="16"/>
  <c r="A957" i="16"/>
  <c r="A956" i="16"/>
  <c r="A955" i="16"/>
  <c r="A954" i="16"/>
  <c r="A953" i="16"/>
  <c r="A952" i="16"/>
  <c r="A951" i="16"/>
  <c r="A950" i="16"/>
  <c r="A949" i="16"/>
  <c r="A948" i="16"/>
  <c r="A947" i="16"/>
  <c r="A946" i="16"/>
  <c r="A945" i="16"/>
  <c r="A944" i="16"/>
  <c r="A943" i="16"/>
  <c r="A942" i="16"/>
  <c r="A941" i="16"/>
  <c r="A940" i="16"/>
  <c r="A939" i="16"/>
  <c r="A938" i="16"/>
  <c r="A937" i="16"/>
  <c r="A936" i="16"/>
  <c r="A935" i="16"/>
  <c r="A934" i="16"/>
  <c r="A933" i="16"/>
  <c r="A932" i="16"/>
  <c r="A931" i="16"/>
  <c r="A930" i="16"/>
  <c r="A929" i="16"/>
  <c r="A928" i="16"/>
  <c r="A927" i="16"/>
  <c r="A926" i="16"/>
  <c r="A925" i="16"/>
  <c r="A924" i="16"/>
  <c r="A923" i="16"/>
  <c r="A922" i="16"/>
  <c r="A921" i="16"/>
  <c r="A920" i="16"/>
  <c r="A919" i="16"/>
  <c r="A918" i="16"/>
  <c r="A917" i="16"/>
  <c r="A916" i="16"/>
  <c r="A915" i="16"/>
  <c r="A914" i="16"/>
  <c r="A913" i="16"/>
  <c r="A912" i="16"/>
  <c r="A911" i="16"/>
  <c r="A910" i="16"/>
  <c r="A909" i="16"/>
  <c r="A908" i="16"/>
  <c r="A907" i="16"/>
  <c r="A906" i="16"/>
  <c r="A905" i="16"/>
  <c r="A904" i="16"/>
  <c r="A903" i="16"/>
  <c r="A902" i="16"/>
  <c r="A901" i="16"/>
  <c r="A900" i="16"/>
  <c r="A899" i="16"/>
  <c r="A898" i="16"/>
  <c r="A897" i="16"/>
  <c r="A896" i="16"/>
  <c r="A895" i="16"/>
  <c r="A894" i="16"/>
  <c r="A893" i="16"/>
  <c r="A892" i="16"/>
  <c r="A891" i="16"/>
  <c r="A890" i="16"/>
  <c r="A889" i="16"/>
  <c r="A888" i="16"/>
  <c r="A887" i="16"/>
  <c r="A886" i="16"/>
  <c r="A885" i="16"/>
  <c r="A884" i="16"/>
  <c r="A883" i="16"/>
  <c r="A882" i="16"/>
  <c r="A881" i="16"/>
  <c r="A880" i="16"/>
  <c r="A879" i="16"/>
  <c r="A878" i="16"/>
  <c r="A877" i="16"/>
  <c r="A876" i="16"/>
  <c r="A875" i="16"/>
  <c r="A874" i="16"/>
  <c r="A873" i="16"/>
  <c r="A872" i="16"/>
  <c r="A871" i="16"/>
  <c r="A870" i="16"/>
  <c r="A869" i="16"/>
  <c r="A868" i="16"/>
  <c r="A867" i="16"/>
  <c r="A866" i="16"/>
  <c r="A865" i="16"/>
  <c r="A864" i="16"/>
  <c r="A863" i="16"/>
  <c r="A862" i="16"/>
  <c r="A861" i="16"/>
  <c r="A860" i="16"/>
  <c r="A859" i="16"/>
  <c r="A858" i="16"/>
  <c r="A857" i="16"/>
  <c r="A856" i="16"/>
  <c r="A855" i="16"/>
  <c r="A854" i="16"/>
  <c r="A853" i="16"/>
  <c r="A852" i="16"/>
  <c r="A851" i="16"/>
  <c r="A850" i="16"/>
  <c r="A849" i="16"/>
  <c r="A848" i="16"/>
  <c r="A847" i="16"/>
  <c r="A846" i="16"/>
  <c r="A845" i="16"/>
  <c r="A844" i="16"/>
  <c r="A843" i="16"/>
  <c r="A842" i="16"/>
  <c r="A841" i="16"/>
  <c r="A840" i="16"/>
  <c r="A839" i="16"/>
  <c r="A838" i="16"/>
  <c r="A837" i="16"/>
  <c r="A836" i="16"/>
  <c r="A835" i="16"/>
  <c r="A834" i="16"/>
  <c r="A833" i="16"/>
  <c r="A832" i="16"/>
  <c r="A831" i="16"/>
  <c r="A830" i="16"/>
  <c r="A829" i="16"/>
  <c r="A828" i="16"/>
  <c r="A827" i="16"/>
  <c r="A826" i="16"/>
  <c r="A825" i="16"/>
  <c r="A824" i="16"/>
  <c r="A823" i="16"/>
  <c r="A822" i="16"/>
  <c r="A821" i="16"/>
  <c r="A820" i="16"/>
  <c r="A819" i="16"/>
  <c r="A818" i="16"/>
  <c r="A817" i="16"/>
  <c r="A816" i="16"/>
  <c r="A815" i="16"/>
  <c r="A814" i="16"/>
  <c r="A813" i="16"/>
  <c r="A812" i="16"/>
  <c r="A811" i="16"/>
  <c r="A810" i="16"/>
  <c r="A809" i="16"/>
  <c r="A808" i="16"/>
  <c r="A807" i="16"/>
  <c r="A806" i="16"/>
  <c r="A805" i="16"/>
  <c r="A804" i="16"/>
  <c r="A803" i="16"/>
  <c r="A802" i="16"/>
  <c r="A801" i="16"/>
  <c r="A800" i="16"/>
  <c r="A799" i="16"/>
  <c r="A798" i="16"/>
  <c r="A797" i="16"/>
  <c r="A796" i="16"/>
  <c r="A795" i="16"/>
  <c r="A794" i="16"/>
  <c r="A793" i="16"/>
  <c r="A792" i="16"/>
  <c r="A791" i="16"/>
  <c r="A790" i="16"/>
  <c r="A789" i="16"/>
  <c r="A788" i="16"/>
  <c r="A787" i="16"/>
  <c r="A786" i="16"/>
  <c r="A785" i="16"/>
  <c r="A784" i="16"/>
  <c r="A783" i="16"/>
  <c r="A782" i="16"/>
  <c r="A781" i="16"/>
  <c r="A780" i="16"/>
  <c r="A779" i="16"/>
  <c r="A778" i="16"/>
  <c r="A777" i="16"/>
  <c r="A776" i="16"/>
  <c r="A775" i="16"/>
  <c r="A774" i="16"/>
  <c r="A773" i="16"/>
  <c r="A772" i="16"/>
  <c r="A771" i="16"/>
  <c r="A770" i="16"/>
  <c r="A769" i="16"/>
  <c r="A768" i="16"/>
  <c r="A767" i="16"/>
  <c r="A766" i="16"/>
  <c r="A765" i="16"/>
  <c r="A764" i="16"/>
  <c r="A763" i="16"/>
  <c r="A762" i="16"/>
  <c r="A761" i="16"/>
  <c r="A760" i="16"/>
  <c r="A759" i="16"/>
  <c r="A758" i="16"/>
  <c r="A757" i="16"/>
  <c r="A756" i="16"/>
  <c r="A755" i="16"/>
  <c r="A754" i="16"/>
  <c r="A753" i="16"/>
  <c r="A752" i="16"/>
  <c r="A751" i="16"/>
  <c r="A750" i="16"/>
  <c r="A749" i="16"/>
  <c r="A748" i="16"/>
  <c r="A747" i="16"/>
  <c r="A746" i="16"/>
  <c r="A745" i="16"/>
  <c r="A744" i="16"/>
  <c r="A743" i="16"/>
  <c r="A742" i="16"/>
  <c r="A741" i="16"/>
  <c r="A740" i="16"/>
  <c r="A739" i="16"/>
  <c r="A738" i="16"/>
  <c r="A737" i="16"/>
  <c r="A736" i="16"/>
  <c r="A735" i="16"/>
  <c r="A734" i="16"/>
  <c r="A733" i="16"/>
  <c r="A732" i="16"/>
  <c r="A731" i="16"/>
  <c r="A730" i="16"/>
  <c r="A729" i="16"/>
  <c r="A728" i="16"/>
  <c r="A727" i="16"/>
  <c r="A726" i="16"/>
  <c r="A725" i="16"/>
  <c r="A724" i="16"/>
  <c r="A723" i="16"/>
  <c r="A722" i="16"/>
  <c r="A721" i="16"/>
  <c r="A720" i="16"/>
  <c r="A719" i="16"/>
  <c r="A718" i="16"/>
  <c r="A717" i="16"/>
  <c r="A716" i="16"/>
  <c r="A715" i="16"/>
  <c r="A714" i="16"/>
  <c r="A713" i="16"/>
  <c r="A712" i="16"/>
  <c r="A711" i="16"/>
  <c r="A710" i="16"/>
  <c r="A709" i="16"/>
  <c r="A708" i="16"/>
  <c r="A707" i="16"/>
  <c r="A706" i="16"/>
  <c r="A705" i="16"/>
  <c r="A704" i="16"/>
  <c r="A703" i="16"/>
  <c r="A702" i="16"/>
  <c r="A701" i="16"/>
  <c r="A700" i="16"/>
  <c r="A699" i="16"/>
  <c r="A698" i="16"/>
  <c r="A697" i="16"/>
  <c r="A696" i="16"/>
  <c r="A695" i="16"/>
  <c r="A694" i="16"/>
  <c r="A693" i="16"/>
  <c r="A692" i="16"/>
  <c r="A691" i="16"/>
  <c r="A690" i="16"/>
  <c r="A689" i="16"/>
  <c r="A688" i="16"/>
  <c r="A687" i="16"/>
  <c r="A686" i="16"/>
  <c r="A685" i="16"/>
  <c r="A684" i="16"/>
  <c r="A683" i="16"/>
  <c r="A682" i="16"/>
  <c r="A681" i="16"/>
  <c r="A680" i="16"/>
  <c r="A679" i="16"/>
  <c r="A678" i="16"/>
  <c r="A677" i="16"/>
  <c r="A676" i="16"/>
  <c r="A675" i="16"/>
  <c r="A674" i="16"/>
  <c r="A673" i="16"/>
  <c r="A672" i="16"/>
  <c r="A671" i="16"/>
  <c r="A670" i="16"/>
  <c r="A669" i="16"/>
  <c r="A668" i="16"/>
  <c r="A667" i="16"/>
  <c r="A666" i="16"/>
  <c r="A665" i="16"/>
  <c r="A664" i="16"/>
  <c r="A663" i="16"/>
  <c r="A662" i="16"/>
  <c r="A661" i="16"/>
  <c r="A660" i="16"/>
  <c r="A659" i="16"/>
  <c r="A658" i="16"/>
  <c r="A657" i="16"/>
  <c r="A656" i="16"/>
  <c r="A655" i="16"/>
  <c r="A654" i="16"/>
  <c r="A653" i="16"/>
  <c r="A652" i="16"/>
  <c r="A651" i="16"/>
  <c r="A650" i="16"/>
  <c r="A649" i="16"/>
  <c r="A648" i="16"/>
  <c r="A647" i="16"/>
  <c r="A646" i="16"/>
  <c r="A645" i="16"/>
  <c r="A644" i="16"/>
  <c r="A643" i="16"/>
  <c r="A642" i="16"/>
  <c r="A641" i="16"/>
  <c r="A640" i="16"/>
  <c r="A639" i="16"/>
  <c r="A638" i="16"/>
  <c r="A637" i="16"/>
  <c r="A636" i="16"/>
  <c r="A635" i="16"/>
  <c r="A634" i="16"/>
  <c r="A633" i="16"/>
  <c r="A632" i="16"/>
  <c r="A631" i="16"/>
  <c r="A630" i="16"/>
  <c r="A629" i="16"/>
  <c r="A628" i="16"/>
  <c r="A627" i="16"/>
  <c r="A626" i="16"/>
  <c r="A625" i="16"/>
  <c r="A624" i="16"/>
  <c r="A623" i="16"/>
  <c r="A622" i="16"/>
  <c r="A621" i="16"/>
  <c r="A620" i="16"/>
  <c r="A619" i="16"/>
  <c r="A618" i="16"/>
  <c r="A617" i="16"/>
  <c r="A616" i="16"/>
  <c r="A615" i="16"/>
  <c r="A614" i="16"/>
  <c r="A613" i="16"/>
  <c r="A612" i="16"/>
  <c r="A611" i="16"/>
  <c r="A610" i="16"/>
  <c r="A609" i="16"/>
  <c r="A608" i="16"/>
  <c r="A607" i="16"/>
  <c r="A606" i="16"/>
  <c r="A605" i="16"/>
  <c r="A604" i="16"/>
  <c r="A603" i="16"/>
  <c r="A602" i="16"/>
  <c r="A601" i="16"/>
  <c r="A600" i="16"/>
  <c r="A599" i="16"/>
  <c r="A598" i="16"/>
  <c r="A597" i="16"/>
  <c r="A596" i="16"/>
  <c r="A595" i="16"/>
  <c r="A594" i="16"/>
  <c r="A593" i="16"/>
  <c r="A592" i="16"/>
  <c r="A591" i="16"/>
  <c r="A590" i="16"/>
  <c r="A589" i="16"/>
  <c r="A588" i="16"/>
  <c r="A587" i="16"/>
  <c r="A586" i="16"/>
  <c r="A585" i="16"/>
  <c r="A584" i="16"/>
  <c r="A583" i="16"/>
  <c r="A582" i="16"/>
  <c r="A581" i="16"/>
  <c r="A580" i="16"/>
  <c r="A579" i="16"/>
  <c r="A578" i="16"/>
  <c r="A577" i="16"/>
  <c r="A576" i="16"/>
  <c r="A575" i="16"/>
  <c r="A574" i="16"/>
  <c r="A573" i="16"/>
  <c r="A572" i="16"/>
  <c r="A571" i="16"/>
  <c r="A570" i="16"/>
  <c r="A569" i="16"/>
  <c r="A568" i="16"/>
  <c r="A567" i="16"/>
  <c r="A566" i="16"/>
  <c r="A565" i="16"/>
  <c r="A564" i="16"/>
  <c r="A563" i="16"/>
  <c r="A562" i="16"/>
  <c r="A561" i="16"/>
  <c r="A560" i="16"/>
  <c r="A559" i="16"/>
  <c r="A558" i="16"/>
  <c r="A557" i="16"/>
  <c r="A556" i="16"/>
  <c r="A555" i="16"/>
  <c r="A554" i="16"/>
  <c r="A553" i="16"/>
  <c r="A552" i="16"/>
  <c r="A551" i="16"/>
  <c r="A550" i="16"/>
  <c r="A549" i="16"/>
  <c r="A548" i="16"/>
  <c r="A547" i="16"/>
  <c r="A546" i="16"/>
  <c r="A545" i="16"/>
  <c r="A544" i="16"/>
  <c r="A543" i="16"/>
  <c r="A542" i="16"/>
  <c r="A541" i="16"/>
  <c r="A540" i="16"/>
  <c r="A539" i="16"/>
  <c r="A538" i="16"/>
  <c r="A537" i="16"/>
  <c r="A536" i="16"/>
  <c r="A535" i="16"/>
  <c r="A534" i="16"/>
  <c r="A533" i="16"/>
  <c r="A532" i="16"/>
  <c r="A531" i="16"/>
  <c r="A530" i="16"/>
  <c r="A529" i="16"/>
  <c r="A528" i="16"/>
  <c r="A527" i="16"/>
  <c r="A526" i="16"/>
  <c r="A525" i="16"/>
  <c r="A524" i="16"/>
  <c r="A523" i="16"/>
  <c r="A522" i="16"/>
  <c r="A521" i="16"/>
  <c r="A520" i="16"/>
  <c r="A519" i="16"/>
  <c r="A518" i="16"/>
  <c r="A517" i="16"/>
  <c r="A516" i="16"/>
  <c r="A515" i="16"/>
  <c r="A514" i="16"/>
  <c r="A513" i="16"/>
  <c r="A512" i="16"/>
  <c r="A511" i="16"/>
  <c r="A510" i="16"/>
  <c r="A509" i="16"/>
  <c r="A508" i="16"/>
  <c r="A507" i="16"/>
  <c r="A506" i="16"/>
  <c r="A505" i="16"/>
  <c r="A504" i="16"/>
  <c r="A503" i="16"/>
  <c r="A502" i="16"/>
  <c r="A501" i="16"/>
  <c r="A500" i="16"/>
  <c r="A499" i="16"/>
  <c r="A498" i="16"/>
  <c r="A497" i="16"/>
  <c r="A496" i="16"/>
  <c r="A495" i="16"/>
  <c r="A494" i="16"/>
  <c r="A493" i="16"/>
  <c r="A492" i="16"/>
  <c r="A491" i="16"/>
  <c r="A490" i="16"/>
  <c r="A489" i="16"/>
  <c r="A488" i="16"/>
  <c r="A487" i="16"/>
  <c r="A486" i="16"/>
  <c r="A485" i="16"/>
  <c r="A484" i="16"/>
  <c r="A483" i="16"/>
  <c r="A482" i="16"/>
  <c r="A481" i="16"/>
  <c r="A480" i="16"/>
  <c r="A479" i="16"/>
  <c r="A478" i="16"/>
  <c r="A477" i="16"/>
  <c r="A476" i="16"/>
  <c r="A475" i="16"/>
  <c r="A474" i="16"/>
  <c r="A473" i="16"/>
  <c r="A472" i="16"/>
  <c r="A471" i="16"/>
  <c r="A470" i="16"/>
  <c r="A469" i="16"/>
  <c r="A468" i="16"/>
  <c r="A467" i="16"/>
  <c r="A466" i="16"/>
  <c r="A465" i="16"/>
  <c r="A464" i="16"/>
  <c r="A463" i="16"/>
  <c r="A462" i="16"/>
  <c r="A461" i="16"/>
  <c r="A460" i="16"/>
  <c r="A459" i="16"/>
  <c r="A458" i="16"/>
  <c r="A457" i="16"/>
  <c r="A456" i="16"/>
  <c r="A455" i="16"/>
  <c r="A454" i="16"/>
  <c r="A453" i="16"/>
  <c r="A452" i="16"/>
  <c r="A451" i="16"/>
  <c r="A450" i="16"/>
  <c r="A449" i="16"/>
  <c r="A448" i="16"/>
  <c r="A447" i="16"/>
  <c r="A446" i="16"/>
  <c r="A445" i="16"/>
  <c r="A444" i="16"/>
  <c r="A443" i="16"/>
  <c r="A442" i="16"/>
  <c r="A441" i="16"/>
  <c r="A440" i="16"/>
  <c r="A439" i="16"/>
  <c r="A438" i="16"/>
  <c r="A437" i="16"/>
  <c r="A436" i="16"/>
  <c r="A435" i="16"/>
  <c r="A434" i="16"/>
  <c r="A433" i="16"/>
  <c r="A432" i="16"/>
  <c r="A431" i="16"/>
  <c r="A430" i="16"/>
  <c r="A429" i="16"/>
  <c r="A428" i="16"/>
  <c r="A427" i="16"/>
  <c r="A426" i="16"/>
  <c r="A425" i="16"/>
  <c r="A424" i="16"/>
  <c r="A423" i="16"/>
  <c r="A422" i="16"/>
  <c r="A421" i="16"/>
  <c r="A420" i="16"/>
  <c r="A419" i="16"/>
  <c r="A418" i="16"/>
  <c r="A417" i="16"/>
  <c r="A416" i="16"/>
  <c r="A415" i="16"/>
  <c r="A414" i="16"/>
  <c r="A413" i="16"/>
  <c r="A412" i="16"/>
  <c r="A411" i="16"/>
  <c r="A410" i="16"/>
  <c r="A409" i="16"/>
  <c r="A408" i="16"/>
  <c r="A407" i="16"/>
  <c r="A406" i="16"/>
  <c r="A405" i="16"/>
  <c r="A404" i="16"/>
  <c r="A403" i="16"/>
  <c r="A402" i="16"/>
  <c r="A401" i="16"/>
  <c r="A400" i="16"/>
  <c r="A399" i="16"/>
  <c r="A398" i="16"/>
  <c r="A397" i="16"/>
  <c r="A396" i="16"/>
  <c r="A395" i="16"/>
  <c r="A394" i="16"/>
  <c r="A393" i="16"/>
  <c r="A392" i="16"/>
  <c r="A391" i="16"/>
  <c r="A390" i="16"/>
  <c r="A389" i="16"/>
  <c r="A388" i="16"/>
  <c r="A387" i="16"/>
  <c r="A386" i="16"/>
  <c r="A385" i="16"/>
  <c r="A384" i="16"/>
  <c r="A383" i="16"/>
  <c r="A382" i="16"/>
  <c r="A381" i="16"/>
  <c r="A380" i="16"/>
  <c r="A379" i="16"/>
  <c r="A378" i="16"/>
  <c r="A377" i="16"/>
  <c r="A376" i="16"/>
  <c r="A375" i="16"/>
  <c r="A374" i="16"/>
  <c r="A373" i="16"/>
  <c r="A372" i="16"/>
  <c r="A371" i="16"/>
  <c r="A370" i="16"/>
  <c r="A369" i="16"/>
  <c r="A368" i="16"/>
  <c r="A367" i="16"/>
  <c r="A366" i="16"/>
  <c r="A365" i="16"/>
  <c r="A364" i="16"/>
  <c r="A363" i="16"/>
  <c r="A362" i="16"/>
  <c r="A361" i="16"/>
  <c r="A360" i="16"/>
  <c r="A359" i="16"/>
  <c r="A358" i="16"/>
  <c r="A357" i="16"/>
  <c r="A356" i="16"/>
  <c r="A355" i="16"/>
  <c r="A354" i="16"/>
  <c r="A353" i="16"/>
  <c r="A352" i="16"/>
  <c r="A351" i="16"/>
  <c r="A350" i="16"/>
  <c r="A349" i="16"/>
  <c r="A348" i="16"/>
  <c r="A347" i="16"/>
  <c r="A346" i="16"/>
  <c r="A345" i="16"/>
  <c r="A344" i="16"/>
  <c r="A343" i="16"/>
  <c r="A342" i="16"/>
  <c r="A341" i="16"/>
  <c r="A340" i="16"/>
  <c r="A339" i="16"/>
  <c r="A338" i="16"/>
  <c r="A337" i="16"/>
  <c r="A336" i="16"/>
  <c r="A335" i="16"/>
  <c r="A334" i="16"/>
  <c r="A333" i="16"/>
  <c r="A332" i="16"/>
  <c r="A331" i="16"/>
  <c r="A330" i="16"/>
  <c r="A329" i="16"/>
  <c r="A328" i="16"/>
  <c r="A327" i="16"/>
  <c r="A326" i="16"/>
  <c r="A325" i="16"/>
  <c r="A324" i="16"/>
  <c r="A323" i="16"/>
  <c r="A322" i="16"/>
  <c r="A321" i="16"/>
  <c r="A320" i="16"/>
  <c r="A319" i="16"/>
  <c r="A318" i="16"/>
  <c r="A317" i="16"/>
  <c r="A316" i="16"/>
  <c r="A315" i="16"/>
  <c r="A314" i="16"/>
  <c r="A313" i="16"/>
  <c r="A312" i="16"/>
  <c r="A311" i="16"/>
  <c r="A310" i="16"/>
  <c r="A309" i="16"/>
  <c r="A308" i="16"/>
  <c r="A307" i="16"/>
  <c r="A306" i="16"/>
  <c r="A305" i="16"/>
  <c r="A304" i="16"/>
  <c r="A303" i="16"/>
  <c r="A302" i="16"/>
  <c r="A301" i="16"/>
  <c r="A300" i="16"/>
  <c r="A299" i="16"/>
  <c r="A298" i="16"/>
  <c r="A297" i="16"/>
  <c r="A296" i="16"/>
  <c r="A295" i="16"/>
  <c r="A294" i="16"/>
  <c r="A293" i="16"/>
  <c r="A292" i="16"/>
  <c r="A291" i="16"/>
  <c r="A290" i="16"/>
  <c r="A289" i="16"/>
  <c r="A288" i="16"/>
  <c r="A287" i="16"/>
  <c r="A286" i="16"/>
  <c r="A285" i="16"/>
  <c r="A284" i="16"/>
  <c r="A283" i="16"/>
  <c r="A282" i="16"/>
  <c r="A281" i="16"/>
  <c r="A280" i="16"/>
  <c r="A279" i="16"/>
  <c r="A278" i="16"/>
  <c r="A277" i="16"/>
  <c r="A276" i="16"/>
  <c r="A275" i="16"/>
  <c r="A274" i="16"/>
  <c r="A273" i="16"/>
  <c r="A272" i="16"/>
  <c r="A271" i="16"/>
  <c r="A270" i="16"/>
  <c r="A269" i="16"/>
  <c r="A268" i="16"/>
  <c r="A267" i="16"/>
  <c r="A266" i="16"/>
  <c r="A265" i="16"/>
  <c r="A264" i="16"/>
  <c r="A263" i="16"/>
  <c r="A262" i="16"/>
  <c r="A261" i="16"/>
  <c r="A260" i="16"/>
  <c r="A259" i="16"/>
  <c r="A258" i="16"/>
  <c r="A257" i="16"/>
  <c r="A256" i="16"/>
  <c r="A255" i="16"/>
  <c r="A254" i="16"/>
  <c r="A253" i="16"/>
  <c r="A252" i="16"/>
  <c r="A251" i="16"/>
  <c r="A250" i="16"/>
  <c r="A249" i="16"/>
  <c r="A248" i="16"/>
  <c r="A247" i="16"/>
  <c r="A246" i="16"/>
  <c r="A245" i="16"/>
  <c r="A244" i="16"/>
  <c r="A243" i="16"/>
  <c r="A242" i="16"/>
  <c r="A241" i="16"/>
  <c r="A240" i="16"/>
  <c r="A239" i="16"/>
  <c r="A238" i="16"/>
  <c r="A237" i="16"/>
  <c r="A236" i="16"/>
  <c r="A235" i="16"/>
  <c r="A234" i="16"/>
  <c r="A233" i="16"/>
  <c r="A232" i="16"/>
  <c r="A231" i="16"/>
  <c r="A230" i="16"/>
  <c r="A229" i="16"/>
  <c r="A228" i="16"/>
  <c r="A227" i="16"/>
  <c r="A226" i="16"/>
  <c r="A225" i="16"/>
  <c r="A224" i="16"/>
  <c r="A223" i="16"/>
  <c r="A222" i="16"/>
  <c r="A221" i="16"/>
  <c r="A220" i="16"/>
  <c r="A219" i="16"/>
  <c r="A218" i="16"/>
  <c r="A217" i="16"/>
  <c r="A216" i="16"/>
  <c r="A215" i="16"/>
  <c r="A214" i="16"/>
  <c r="A213" i="16"/>
  <c r="A212" i="16"/>
  <c r="A211" i="16"/>
  <c r="A210" i="16"/>
  <c r="A209" i="16"/>
  <c r="A208" i="16"/>
  <c r="A207" i="16"/>
  <c r="A206" i="16"/>
  <c r="A205" i="16"/>
  <c r="A204" i="16"/>
  <c r="A203" i="16"/>
  <c r="A202" i="16"/>
  <c r="A201" i="16"/>
  <c r="A200" i="16"/>
  <c r="A199" i="16"/>
  <c r="A198" i="16"/>
  <c r="A197" i="16"/>
  <c r="A196" i="16"/>
  <c r="A195" i="16"/>
  <c r="A194" i="16"/>
  <c r="A193" i="16"/>
  <c r="A192" i="16"/>
  <c r="A191" i="16"/>
  <c r="A190" i="16"/>
  <c r="A189" i="16"/>
  <c r="A188" i="16"/>
  <c r="A187" i="16"/>
  <c r="A186" i="16"/>
  <c r="A185" i="16"/>
  <c r="A184" i="16"/>
  <c r="A183" i="16"/>
  <c r="A182" i="16"/>
  <c r="A181" i="16"/>
  <c r="A180" i="16"/>
  <c r="A179" i="16"/>
  <c r="A178" i="16"/>
  <c r="A177" i="16"/>
  <c r="A176" i="16"/>
  <c r="A175" i="16"/>
  <c r="A174" i="16"/>
  <c r="A173" i="16"/>
  <c r="A172" i="16"/>
  <c r="A171" i="16"/>
  <c r="A170" i="16"/>
  <c r="A169" i="16"/>
  <c r="A168" i="16"/>
  <c r="A167" i="16"/>
  <c r="A166" i="16"/>
  <c r="A165" i="16"/>
  <c r="A164" i="16"/>
  <c r="A163" i="16"/>
  <c r="A162" i="16"/>
  <c r="A161" i="16"/>
  <c r="A160" i="16"/>
  <c r="A159" i="16"/>
  <c r="A158" i="16"/>
  <c r="A157" i="16"/>
  <c r="A156" i="16"/>
  <c r="A155" i="16"/>
  <c r="A154" i="16"/>
  <c r="A153" i="16"/>
  <c r="A152" i="16"/>
  <c r="A151" i="16"/>
  <c r="A150" i="16"/>
  <c r="A149" i="16"/>
  <c r="A148" i="16"/>
  <c r="A147" i="16"/>
  <c r="A146" i="16"/>
  <c r="A145" i="16"/>
  <c r="A144" i="16"/>
  <c r="A143" i="16"/>
  <c r="A142" i="16"/>
  <c r="A141" i="16"/>
  <c r="A140" i="16"/>
  <c r="A139" i="16"/>
  <c r="A138" i="16"/>
  <c r="A137" i="16"/>
  <c r="A136" i="16"/>
  <c r="A135" i="16"/>
  <c r="A134" i="16"/>
  <c r="A133" i="16"/>
  <c r="A132" i="16"/>
  <c r="A131" i="16"/>
  <c r="A130" i="16"/>
  <c r="A129" i="16"/>
  <c r="A128" i="16"/>
  <c r="A127" i="16"/>
  <c r="A126" i="16"/>
  <c r="A125" i="16"/>
  <c r="A124" i="16"/>
  <c r="A123" i="16"/>
  <c r="A122" i="16"/>
  <c r="A121" i="16"/>
  <c r="A120" i="16"/>
  <c r="A119" i="16"/>
  <c r="A118" i="16"/>
  <c r="A117" i="16"/>
  <c r="A116" i="16"/>
  <c r="A115" i="16"/>
  <c r="A114" i="16"/>
  <c r="A113" i="16"/>
  <c r="A112" i="16"/>
  <c r="A111" i="16"/>
  <c r="A110" i="16"/>
  <c r="A109" i="16"/>
  <c r="A108" i="16"/>
  <c r="A107" i="16"/>
  <c r="A106" i="16"/>
  <c r="A105" i="16"/>
  <c r="A104" i="16"/>
  <c r="A103" i="16"/>
  <c r="A102" i="16"/>
  <c r="A101" i="16"/>
  <c r="A100" i="16"/>
  <c r="A99" i="16"/>
  <c r="A98" i="16"/>
  <c r="A97" i="16"/>
  <c r="A96" i="16"/>
  <c r="A95" i="16"/>
  <c r="A94" i="16"/>
  <c r="A93" i="16"/>
  <c r="A92" i="16"/>
  <c r="A91" i="16"/>
  <c r="A90" i="16"/>
  <c r="A89" i="16"/>
  <c r="A88" i="16"/>
  <c r="A87" i="16"/>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A14" i="16"/>
  <c r="A13" i="16"/>
  <c r="A12" i="16"/>
  <c r="A11" i="16"/>
  <c r="A10" i="16"/>
  <c r="A9" i="16"/>
  <c r="A8" i="16"/>
  <c r="A7" i="16"/>
  <c r="A6" i="16"/>
  <c r="A5" i="16"/>
  <c r="B20" i="6"/>
  <c r="B2" i="6"/>
  <c r="B42" i="6"/>
  <c r="B17" i="5"/>
  <c r="B2" i="5"/>
  <c r="A2" i="16"/>
  <c r="B2" i="9"/>
  <c r="A2" i="15"/>
  <c r="B2" i="10"/>
  <c r="A2" i="13"/>
</calcChain>
</file>

<file path=xl/sharedStrings.xml><?xml version="1.0" encoding="utf-8"?>
<sst xmlns="http://schemas.openxmlformats.org/spreadsheetml/2006/main" count="305471" uniqueCount="3705">
  <si>
    <t>Management information</t>
  </si>
  <si>
    <t>Policy area:</t>
  </si>
  <si>
    <t>Non-association independent schools inspections and outcomes</t>
  </si>
  <si>
    <t>Theme:</t>
  </si>
  <si>
    <t>Education, children's services and skills</t>
  </si>
  <si>
    <t>Published on:</t>
  </si>
  <si>
    <t>Coverage:</t>
  </si>
  <si>
    <t>England</t>
  </si>
  <si>
    <t>Period covered:
In-year inspection outcomes</t>
  </si>
  <si>
    <t>Period covered:
Most recent inspection outcomes</t>
  </si>
  <si>
    <t>Status:</t>
  </si>
  <si>
    <t>Management Information</t>
  </si>
  <si>
    <t>Statistician:</t>
  </si>
  <si>
    <t>Anita Patel</t>
  </si>
  <si>
    <t>Public enquiries:</t>
  </si>
  <si>
    <t>enquiries@ofsted.gov.uk</t>
  </si>
  <si>
    <t>Press enquiries:</t>
  </si>
  <si>
    <t>pressenquiries@ofsted.gov.uk</t>
  </si>
  <si>
    <t>Link to non-association independent schools management information web page including publication schedule:</t>
  </si>
  <si>
    <t>https://www.gov.uk/government/statistical-data-sets/non-association-independent-schools-inspections-and-outcomes-management-information</t>
  </si>
  <si>
    <t>Link to official statistics release web page:</t>
  </si>
  <si>
    <t>https://www.gov.uk/government/collections/independent-schools-inspections-and-outcomes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</si>
  <si>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</si>
  <si>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</si>
  <si>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</si>
  <si>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</si>
  <si>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</si>
  <si>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</si>
  <si>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</si>
  <si>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Contents and guidance</t>
  </si>
  <si>
    <t>Tables</t>
  </si>
  <si>
    <t>Table 1: In-year inspections</t>
  </si>
  <si>
    <t>Table 2: In-year standards</t>
  </si>
  <si>
    <t>Table 3: In-year monitoring</t>
  </si>
  <si>
    <t>Table 4: Most recent inspections</t>
  </si>
  <si>
    <t>All judgements made during these inspections have been included in the underlying dataset. There were a number of judgements introduced that do not map to previous frameworks. Please see the Ofsted website for details:</t>
  </si>
  <si>
    <t>Independent School Standards</t>
  </si>
  <si>
    <t xml:space="preserve">In order for a school to have ‘met’ the standards overall, all eight parts must have been met. </t>
  </si>
  <si>
    <t>For each part of the standards, ‘met’ means that all of the Independent Schools Standards have been met in that part.</t>
  </si>
  <si>
    <t>http://www.legislation.gov.uk/uksi/2014/3283/contents/made</t>
  </si>
  <si>
    <t>Schedule of Independent School Standards</t>
  </si>
  <si>
    <t>Part 1: Quality of Education</t>
  </si>
  <si>
    <t>Part 2: Spiritual, Moral, Social and Cultural development of pupils (SMSC)</t>
  </si>
  <si>
    <t>Part 3: Welfare, health and safety of pupils</t>
  </si>
  <si>
    <t>Part 4: Suitability of staff, supply staff and proprietors</t>
  </si>
  <si>
    <t>Part 5: Premises and accommodation</t>
  </si>
  <si>
    <t>Part 6: Provision of information</t>
  </si>
  <si>
    <t>Part 7: Manner in which complaints are handled</t>
  </si>
  <si>
    <t>Part 8: Quality of Leadership and management in schools</t>
  </si>
  <si>
    <t>Faith schools</t>
  </si>
  <si>
    <t>Religious character and ethos are sourced from Get Information About Schools, maintained by the Department for Education:</t>
  </si>
  <si>
    <t>https://get-information-schools.service.gov.uk/</t>
  </si>
  <si>
    <t>To group the faith schools into the five broad categories used for these tables, we have used religious character if the school declares a religious character.</t>
  </si>
  <si>
    <t>If the school does not declare a religious character (i.e. "none"), we have used religious ethos.</t>
  </si>
  <si>
    <t>If the school does not declare a religious character or ethos, they are categorised here as "non-faith".</t>
  </si>
  <si>
    <t>The following table summarises the faith groupings based on religious character or ethos:</t>
  </si>
  <si>
    <t>Religious character / ethos</t>
  </si>
  <si>
    <t>Faith grouping</t>
  </si>
  <si>
    <t>Anglican/Christian</t>
  </si>
  <si>
    <t>Christian</t>
  </si>
  <si>
    <t>Catholic</t>
  </si>
  <si>
    <t>Christian/Evangelical</t>
  </si>
  <si>
    <t>Church of England</t>
  </si>
  <si>
    <t>Christian/non-denominational</t>
  </si>
  <si>
    <t>Greek Orthodox</t>
  </si>
  <si>
    <t>Quaker</t>
  </si>
  <si>
    <t>Seventh Day Adventist</t>
  </si>
  <si>
    <t>Roman Catholic</t>
  </si>
  <si>
    <t>Charadi Jewish</t>
  </si>
  <si>
    <t>Jewish</t>
  </si>
  <si>
    <t>Orthodox Jewish</t>
  </si>
  <si>
    <t>Islam</t>
  </si>
  <si>
    <t>Muslim</t>
  </si>
  <si>
    <t>Sunni Deobandi</t>
  </si>
  <si>
    <t>Hindu</t>
  </si>
  <si>
    <t>Other</t>
  </si>
  <si>
    <t>Sikh</t>
  </si>
  <si>
    <t>Does not apply</t>
  </si>
  <si>
    <t>Non-faith</t>
  </si>
  <si>
    <t>Multi-faith</t>
  </si>
  <si>
    <t>Inter- / non- denominational</t>
  </si>
  <si>
    <t>None</t>
  </si>
  <si>
    <t>Type</t>
  </si>
  <si>
    <t>Field</t>
  </si>
  <si>
    <t>Description</t>
  </si>
  <si>
    <t>Data range</t>
  </si>
  <si>
    <t>School information</t>
  </si>
  <si>
    <t>Report</t>
  </si>
  <si>
    <t>Link to provider on Ofsted inspection report website</t>
  </si>
  <si>
    <t>-</t>
  </si>
  <si>
    <t>URN</t>
  </si>
  <si>
    <t>Unique reference number for the school</t>
  </si>
  <si>
    <t>LAESTAB</t>
  </si>
  <si>
    <t>Local authority establishment number (Department for Education reference number)</t>
  </si>
  <si>
    <t>School name</t>
  </si>
  <si>
    <t>Name of the school</t>
  </si>
  <si>
    <t>Type of education</t>
  </si>
  <si>
    <t>The type of school</t>
  </si>
  <si>
    <t>Other Independent special school
Other Independent school</t>
  </si>
  <si>
    <t>School group</t>
  </si>
  <si>
    <t>Independent school
Independent special school</t>
  </si>
  <si>
    <t>Provider open/closed status</t>
  </si>
  <si>
    <t>Indicates whether the school is open or closed</t>
  </si>
  <si>
    <t>Open
Closed</t>
  </si>
  <si>
    <t>Religious character</t>
  </si>
  <si>
    <t>School religious character</t>
  </si>
  <si>
    <t>Religious ethos</t>
  </si>
  <si>
    <t>School religious ethos</t>
  </si>
  <si>
    <t>School religious character or, if "none" declared, ethos</t>
  </si>
  <si>
    <t>Faith grouping based on lookup table in "Contents and guidance" tab from religious character / ethos</t>
  </si>
  <si>
    <t>Christian
Jewish
Muslim
Other
Non-denominational</t>
  </si>
  <si>
    <t>Ofsted region</t>
  </si>
  <si>
    <t>School Ofsted region</t>
  </si>
  <si>
    <t>East Midlands
East of England
London
North East, Yorkshire and the Humber
North West
South East
South West
West Midlands</t>
  </si>
  <si>
    <t>School government office region</t>
  </si>
  <si>
    <t>East Midlands
East of England
London
North East
Yorkshire and the Humber
North West
South East
South West
West Midlands</t>
  </si>
  <si>
    <t>Local authority</t>
  </si>
  <si>
    <t xml:space="preserve">School local authority </t>
  </si>
  <si>
    <t>152 local authorities in England</t>
  </si>
  <si>
    <t>Postcode</t>
  </si>
  <si>
    <t>School postcode</t>
  </si>
  <si>
    <t>Inspection information</t>
  </si>
  <si>
    <t>Inspectorate</t>
  </si>
  <si>
    <t>Body responsible for inspecting school</t>
  </si>
  <si>
    <t>Inspection number</t>
  </si>
  <si>
    <t xml:space="preserve"> - </t>
  </si>
  <si>
    <t>First day of inspection</t>
  </si>
  <si>
    <t>Inspection start date</t>
  </si>
  <si>
    <t>Last day of inspection</t>
  </si>
  <si>
    <t>Inspection end date</t>
  </si>
  <si>
    <t>Publication date</t>
  </si>
  <si>
    <t>Date inspection report published</t>
  </si>
  <si>
    <t>Inspection type</t>
  </si>
  <si>
    <t>Inspection grouping name</t>
  </si>
  <si>
    <t>Inspection group</t>
  </si>
  <si>
    <t>Independent standard inspection
Inspection additional visits/Other</t>
  </si>
  <si>
    <t>Overall effectiveness</t>
  </si>
  <si>
    <t>Effectiveness of leadership and management</t>
  </si>
  <si>
    <t>Key judgement outcome</t>
  </si>
  <si>
    <t>Early years provision</t>
  </si>
  <si>
    <t>Sixth form provision</t>
  </si>
  <si>
    <t>Safeguarding is effective?</t>
  </si>
  <si>
    <t>Overall outcome of progress monitoring inspection</t>
  </si>
  <si>
    <t>Standards outcome of progress monitoring inspection</t>
  </si>
  <si>
    <t>Met all standards that were checked
Did not meet all standards that were checked</t>
  </si>
  <si>
    <t>Overall outcome of independent school standards</t>
  </si>
  <si>
    <t>Standards outcome of standard inspection</t>
  </si>
  <si>
    <t>All standards met
Did not meet all standards</t>
  </si>
  <si>
    <t>Independent Schools Standards: 2(1) - 34(1)</t>
  </si>
  <si>
    <t>Safeguarding procedure 1-3</t>
  </si>
  <si>
    <t>Compliance to safeguarding procedures outcome</t>
  </si>
  <si>
    <t>Schedule 10 Equality Act 2010</t>
  </si>
  <si>
    <t>Independent Schools Standards outcome at last full inspection</t>
  </si>
  <si>
    <t>Prog mon event number</t>
  </si>
  <si>
    <t>Progress monitoring inspection number</t>
  </si>
  <si>
    <t>Prog mon event type</t>
  </si>
  <si>
    <t>Progress monitoring inspection type</t>
  </si>
  <si>
    <t>Prog mon event end date</t>
  </si>
  <si>
    <t>Progress monitoring inspection end date</t>
  </si>
  <si>
    <t>Prog mon academic year</t>
  </si>
  <si>
    <t>Progress monitoring inspection academic year</t>
  </si>
  <si>
    <t>Prog mon last publication date</t>
  </si>
  <si>
    <t>Progress monitoring inspection report publication date</t>
  </si>
  <si>
    <t>Prog mon overall outcome</t>
  </si>
  <si>
    <t>Outcome of progress monitoring inspection</t>
  </si>
  <si>
    <t>Met all standards that were checked</t>
  </si>
  <si>
    <t>Did not meet all standards that were checked</t>
  </si>
  <si>
    <t>Other Independent School</t>
  </si>
  <si>
    <t>Other Independent Special School</t>
  </si>
  <si>
    <t>Yes</t>
  </si>
  <si>
    <t>No</t>
  </si>
  <si>
    <t>All standards Met</t>
  </si>
  <si>
    <t>Did not meet all standards</t>
  </si>
  <si>
    <t>NULL</t>
  </si>
  <si>
    <t>Total number of inspections</t>
  </si>
  <si>
    <t>Number</t>
  </si>
  <si>
    <t>Percentage</t>
  </si>
  <si>
    <t>Outstanding</t>
  </si>
  <si>
    <t>Good</t>
  </si>
  <si>
    <t>Requires improvement</t>
  </si>
  <si>
    <t>Inadequate</t>
  </si>
  <si>
    <t>All non-association independent schools</t>
  </si>
  <si>
    <t>Other independent school</t>
  </si>
  <si>
    <t>Other independent special school</t>
  </si>
  <si>
    <t>1. The total number of inspections includes integrated inspections.</t>
  </si>
  <si>
    <t>2. Percentages are rounded and may not sum to 100. Where the number of inspections is small, percentages should be treated with caution.</t>
  </si>
  <si>
    <t>1. Data on faith is based on a declaration by the school that it has a religious character and / or ethos, recorded in the Get Information About Schools database (Source: Department for Education). The faith groupings are described in the "Contents and guidance" tab, in the "Faith schools" section.</t>
  </si>
  <si>
    <t>2. The total number of inspections includes integrated inspections.</t>
  </si>
  <si>
    <t>3. Percentages are rounded and may not sum to 100. Where the number of inspections is small, percentages should be treated with caution.</t>
  </si>
  <si>
    <t>Total number inspected</t>
  </si>
  <si>
    <t>Met</t>
  </si>
  <si>
    <t>Not met</t>
  </si>
  <si>
    <t>All standards</t>
  </si>
  <si>
    <t>1. Quality of education provided</t>
  </si>
  <si>
    <t>2. Spiritual, moral, social and cultural development of pupils</t>
  </si>
  <si>
    <t>3. Welfare, health and safety of pupils</t>
  </si>
  <si>
    <t>4. Suitability of staff, supply staff, and proprietors</t>
  </si>
  <si>
    <t>5. Premises of and accommodation at schools</t>
  </si>
  <si>
    <t>6. Provision of information</t>
  </si>
  <si>
    <t>7. Manner in which complaints are handled</t>
  </si>
  <si>
    <t>8. Quality of leadership in and management of schools</t>
  </si>
  <si>
    <r>
      <t>Table 3: Progress monitoring inspection outcomes for non-association independent schools</t>
    </r>
    <r>
      <rPr>
        <b/>
        <vertAlign val="superscript"/>
        <sz val="12"/>
        <rFont val="Tahoma"/>
        <family val="2"/>
      </rPr>
      <t xml:space="preserve"> 1 2</t>
    </r>
  </si>
  <si>
    <t>Total number of independent schools</t>
  </si>
  <si>
    <t>Number of independent schools that have been inspected</t>
  </si>
  <si>
    <t>Independent Schools Standards</t>
  </si>
  <si>
    <r>
      <t>Table 4c: Outcomes of most recent progress monitoring inspection following their most recent standard inspection, for non-association independent schools</t>
    </r>
    <r>
      <rPr>
        <b/>
        <vertAlign val="superscript"/>
        <sz val="12"/>
        <color theme="1"/>
        <rFont val="Tahoma"/>
        <family val="2"/>
      </rPr>
      <t>1 2 3 4</t>
    </r>
  </si>
  <si>
    <t>Progress monitoring inspection outcome</t>
  </si>
  <si>
    <t>RI and inadequate non-association independent schools subject to one or more progress monitoring inspections</t>
  </si>
  <si>
    <t>Total requires improvement and inadequate</t>
  </si>
  <si>
    <t>4. Not all RI and inadequate schools have been subject to a progress monitoring inspection at the time of this release. The Department for Education commission and determine the timing for Ofsted to carry out progress monitoring inspections.</t>
  </si>
  <si>
    <t>School complies with registration agreement (GIAS)?</t>
  </si>
  <si>
    <t>Part 1 overall</t>
  </si>
  <si>
    <t>Part 2 overall</t>
  </si>
  <si>
    <t>Part 3 overall</t>
  </si>
  <si>
    <t>Part 4 overall</t>
  </si>
  <si>
    <t>Part 5 overall</t>
  </si>
  <si>
    <t>Part 6 overall</t>
  </si>
  <si>
    <t>Part 7 overall</t>
  </si>
  <si>
    <t>Part 8 overall</t>
  </si>
  <si>
    <t>Independent Schools Standards: 2(1)</t>
  </si>
  <si>
    <t>Independent Schools Standards: 2(1)(a)</t>
  </si>
  <si>
    <t>Independent Schools Standards: 2(1)(b)</t>
  </si>
  <si>
    <t>Independent Schools Standards: 2(1)(b)(i)</t>
  </si>
  <si>
    <t>Independent Schools Standards: 2(1)(b)(ii)</t>
  </si>
  <si>
    <t>Independent Schools Standards: 2(2)</t>
  </si>
  <si>
    <t>Independent Schools Standards: 2(2)(a)</t>
  </si>
  <si>
    <t>Independent Schools Standards: 2(2)(b)</t>
  </si>
  <si>
    <t>Independent Schools Standards: 2(2)(c)</t>
  </si>
  <si>
    <t>Independent Schools Standards: 2(2)(d)</t>
  </si>
  <si>
    <t>Independent Schools Standards: 2(2)(d)(i)</t>
  </si>
  <si>
    <t>Independent Schools Standards: 2(2)(d)(ii)</t>
  </si>
  <si>
    <t>Independent Schools Standards: 2(2)(e)</t>
  </si>
  <si>
    <t>Independent Schools Standards: 2(2)(e)(i)</t>
  </si>
  <si>
    <t>Independent Schools Standards: 2(2)(e)(ii)</t>
  </si>
  <si>
    <t>Independent Schools Standards: 2(2)(e)(iii)</t>
  </si>
  <si>
    <t>Independent Schools Standards: 2(2)(f)</t>
  </si>
  <si>
    <t>Independent Schools Standards: 2(2)(g)</t>
  </si>
  <si>
    <t>Independent Schools Standards: 2(2)(h)</t>
  </si>
  <si>
    <t>Independent Schools Standards: 2(2)(i)</t>
  </si>
  <si>
    <t>Independent Schools Standards: 3</t>
  </si>
  <si>
    <t>Independent Schools Standards: 3(a)</t>
  </si>
  <si>
    <t>Independent Schools Standards: 3(b)</t>
  </si>
  <si>
    <t>Independent Schools Standards: 3(c)</t>
  </si>
  <si>
    <t>Independent Schools Standards: 3(d)</t>
  </si>
  <si>
    <t>Independent Schools Standards: 3(e)</t>
  </si>
  <si>
    <t>Independent Schools Standards: 3(f)</t>
  </si>
  <si>
    <t>Independent Schools Standards: 3(g)</t>
  </si>
  <si>
    <t>Independent Schools Standards: 3(h)</t>
  </si>
  <si>
    <t>Independent Schools Standards: 3(i)</t>
  </si>
  <si>
    <t>Independent Schools Standards: 3(j)</t>
  </si>
  <si>
    <t>Independent Schools Standards: 4</t>
  </si>
  <si>
    <t>Independent Schools Standards: 5</t>
  </si>
  <si>
    <t>Independent Schools Standards: 5(a)</t>
  </si>
  <si>
    <t>Independent Schools Standards: 5(b)</t>
  </si>
  <si>
    <t>Independent Schools Standards: 5(b)(i)</t>
  </si>
  <si>
    <t>Independent Schools Standards: 5(b)(ii)</t>
  </si>
  <si>
    <t>Independent Schools Standards: 5(b)(iii)</t>
  </si>
  <si>
    <t>Independent Schools Standards: 5(b)(iv)</t>
  </si>
  <si>
    <t>Independent Schools Standards: 5(b)(v)</t>
  </si>
  <si>
    <t>Independent Schools Standards: 5(b)(vi)</t>
  </si>
  <si>
    <t>Independent Schools Standards: 5(b)(vii)</t>
  </si>
  <si>
    <t>Independent Schools Standards: 5(c)</t>
  </si>
  <si>
    <t>Independent Schools Standards: 5(d)</t>
  </si>
  <si>
    <t>Independent Schools Standards: 5(d)(i)</t>
  </si>
  <si>
    <t>Independent Schools Standards: 5(d)(ii)</t>
  </si>
  <si>
    <t>Independent Schools Standards: 5(d)(iii)</t>
  </si>
  <si>
    <t>Independent Schools Standards: 7</t>
  </si>
  <si>
    <t>Independent Schools Standards: 7(a)</t>
  </si>
  <si>
    <t>Independent Schools Standards: 7(b)</t>
  </si>
  <si>
    <t>Independent Schools Standards: 8</t>
  </si>
  <si>
    <t>Independent Schools Standards: 8(a)</t>
  </si>
  <si>
    <t>Independent Schools Standards: 8(b)</t>
  </si>
  <si>
    <t>Independent Schools Standards: 9</t>
  </si>
  <si>
    <t>Independent Schools Standards: 9(a)</t>
  </si>
  <si>
    <t>Independent Schools Standards: 9(b)</t>
  </si>
  <si>
    <t>Independent Schools Standards: 9(c)</t>
  </si>
  <si>
    <t>Independent Schools Standards: 10</t>
  </si>
  <si>
    <t>Independent Schools Standards: 11</t>
  </si>
  <si>
    <t>Independent Schools Standards: 12</t>
  </si>
  <si>
    <t>Independent Schools Standards: 13</t>
  </si>
  <si>
    <t>Independent Schools Standards: 14</t>
  </si>
  <si>
    <t>Independent Schools Standards: 15</t>
  </si>
  <si>
    <t>Independent Schools Standards: 16</t>
  </si>
  <si>
    <t>Independent Schools Standards: 16(a)</t>
  </si>
  <si>
    <t>Independent Schools Standards: 16(b)</t>
  </si>
  <si>
    <t>Independent Schools Standards: 18(2)</t>
  </si>
  <si>
    <t>Independent Schools Standards: 18(2)(a)</t>
  </si>
  <si>
    <t>Independent Schools Standards: 18(2)(b)</t>
  </si>
  <si>
    <t>Independent Schools Standards: 18(2)(c)</t>
  </si>
  <si>
    <t>Independent Schools Standards: 18(2)(c)(i)</t>
  </si>
  <si>
    <t>Independent Schools Standards: 18(2)(c)(ii)</t>
  </si>
  <si>
    <t>Independent Schools Standards: 18(2)(c)(iii)</t>
  </si>
  <si>
    <t>Independent Schools Standards: 18(2)(c)(iv)</t>
  </si>
  <si>
    <t>Independent Schools Standards: 18(2)(d)</t>
  </si>
  <si>
    <t>Independent Schools Standards: 18(2)(e)</t>
  </si>
  <si>
    <t>Independent Schools Standards: 18(2)(f)</t>
  </si>
  <si>
    <t>Independent Schools Standards: 18(3)</t>
  </si>
  <si>
    <t>Independent Schools Standards: 19(2)</t>
  </si>
  <si>
    <t>Independent Schools Standards: 19(2)(a)</t>
  </si>
  <si>
    <t>Independent Schools Standards: 19(2)(a)(i)</t>
  </si>
  <si>
    <t>Independent Schools Standards: 19(2)(a)(i)(aa)</t>
  </si>
  <si>
    <t>Independent Schools Standards: 19(2)(a)(i)(bb)</t>
  </si>
  <si>
    <t>Independent Schools Standards: 19(2)(a)(i)(cc)</t>
  </si>
  <si>
    <t>Independent Schools Standards: 19(2)(a)(ii)</t>
  </si>
  <si>
    <t>Independent Schools Standards: 19(2)(b)</t>
  </si>
  <si>
    <t>Independent Schools Standards: 19(2)(c)</t>
  </si>
  <si>
    <t>Independent Schools Standards: 19(2)(d)</t>
  </si>
  <si>
    <t>Independent Schools Standards: 19(2)(d)(i)</t>
  </si>
  <si>
    <t>Independent Schools Standards: 19(2)(d)(ii)</t>
  </si>
  <si>
    <t>Independent Schools Standards: 19(2)(e)</t>
  </si>
  <si>
    <t>Independent Schools Standards: 19(3)</t>
  </si>
  <si>
    <t>Independent Schools Standards: 20(6)</t>
  </si>
  <si>
    <t>Independent Schools Standards: 20(6)(a)</t>
  </si>
  <si>
    <t>Independent Schools Standards: 20(6)(a)(i)</t>
  </si>
  <si>
    <t>Independent Schools Standards: 20(6)(a)(ii)</t>
  </si>
  <si>
    <t>Independent Schools Standards: 20(6)(b)</t>
  </si>
  <si>
    <t>Independent Schools Standards: 20(6)(b)(i)</t>
  </si>
  <si>
    <t>Independent Schools Standards: 20(6)(b)(ii)</t>
  </si>
  <si>
    <t>Independent Schools Standards: 20(6)(b)(iii)</t>
  </si>
  <si>
    <t>Independent Schools Standards: 20(6)(c)</t>
  </si>
  <si>
    <t>Independent Schools Standards: 21(1)</t>
  </si>
  <si>
    <t>Independent Schools Standards: 21(2)</t>
  </si>
  <si>
    <t>Independent Schools Standards: 21(3)</t>
  </si>
  <si>
    <t>Independent Schools Standards: 21(3)(a)</t>
  </si>
  <si>
    <t>Independent Schools Standards: 21(3)(a)(i)</t>
  </si>
  <si>
    <t>Independent Schools Standards: 21(3)(a)(ii)</t>
  </si>
  <si>
    <t>Independent Schools Standards: 21(3)(a)(iii)</t>
  </si>
  <si>
    <t>Independent Schools Standards: 21(3)(a)(iv)</t>
  </si>
  <si>
    <t>Independent Schools Standards: 21(3)(a)(v)</t>
  </si>
  <si>
    <t>Independent Schools Standards: 21(3)(a)(vi)</t>
  </si>
  <si>
    <t>Independent Schools Standards: 21(3)(a)(vii)</t>
  </si>
  <si>
    <t>Independent Schools Standards: 21(3)(a)(viii)</t>
  </si>
  <si>
    <t>Independent Schools Standards: 21(3)(b)</t>
  </si>
  <si>
    <t>Independent Schools Standards: 21(4)</t>
  </si>
  <si>
    <t>Independent Schools Standards: 21(5)</t>
  </si>
  <si>
    <t>Independent Schools Standards: 21(5)(a)</t>
  </si>
  <si>
    <t>Independent Schools Standards: 21(5)(a)(i)</t>
  </si>
  <si>
    <t>Independent Schools Standards: 21(5)(a)(ii)</t>
  </si>
  <si>
    <t>Independent Schools Standards: 21(5)(b)</t>
  </si>
  <si>
    <t>Independent Schools Standards: 21(5)(c)</t>
  </si>
  <si>
    <t>Independent Schools Standards: 21(6)</t>
  </si>
  <si>
    <t>Independent Schools Standards: 21(7)</t>
  </si>
  <si>
    <t>Independent Schools Standards: 21(7)(a)</t>
  </si>
  <si>
    <t>Independent Schools Standards: 21(7)(b)</t>
  </si>
  <si>
    <t>Independent Schools Standards: 23(1)</t>
  </si>
  <si>
    <t>Independent Schools Standards: 23(1)(a)</t>
  </si>
  <si>
    <t>Independent Schools Standards: 23(1)(b)</t>
  </si>
  <si>
    <t>Independent Schools Standards: 23(1)(c)</t>
  </si>
  <si>
    <t>Independent Schools Standards: 24(1)</t>
  </si>
  <si>
    <t>Independent Schools Standards: 24(1)(a)</t>
  </si>
  <si>
    <t>Independent Schools Standards: 24(1)(b)</t>
  </si>
  <si>
    <t>Independent Schools Standards: 24(1)(c)</t>
  </si>
  <si>
    <t>Independent Schools Standards: 24(2)</t>
  </si>
  <si>
    <t>Independent Schools Standards: 25</t>
  </si>
  <si>
    <t>Independent Schools Standards: 26</t>
  </si>
  <si>
    <t>Independent Schools Standards: 27</t>
  </si>
  <si>
    <t>Independent Schools Standards: 27(a)</t>
  </si>
  <si>
    <t>Independent Schools Standards: 27(b)</t>
  </si>
  <si>
    <t>Independent Schools Standards: 28(1)</t>
  </si>
  <si>
    <t>Independent Schools Standards: 28(1)(a)</t>
  </si>
  <si>
    <t>Independent Schools Standards: 28(1)(b)</t>
  </si>
  <si>
    <t>Independent Schools Standards: 28(1)(c)</t>
  </si>
  <si>
    <t>Independent Schools Standards: 28(1)(d)</t>
  </si>
  <si>
    <t>Independent Schools Standards: 28(2)</t>
  </si>
  <si>
    <t>Independent Schools Standards: 28(2)(a)</t>
  </si>
  <si>
    <t>Independent Schools Standards: 28(2)(b)</t>
  </si>
  <si>
    <t>Independent Schools Standards: 29(1)</t>
  </si>
  <si>
    <t>Independent Schools Standards: 29(1)(a)</t>
  </si>
  <si>
    <t>Independent Schools Standards: 29(1)(b)</t>
  </si>
  <si>
    <t>Independent Schools Standards: 30</t>
  </si>
  <si>
    <t>Independent Schools Standards: 32(1)</t>
  </si>
  <si>
    <t>Independent Schools Standards: 32(1)(a)</t>
  </si>
  <si>
    <t>Independent Schools Standards: 32(1)(b)</t>
  </si>
  <si>
    <t>Independent Schools Standards: 32(1)(c)</t>
  </si>
  <si>
    <t>Independent Schools Standards: 32(1)(d)</t>
  </si>
  <si>
    <t>Independent Schools Standards: 32(1)(e)</t>
  </si>
  <si>
    <t>Independent Schools Standards: 32(1)(f)</t>
  </si>
  <si>
    <t>Independent Schools Standards: 32(1)(g)</t>
  </si>
  <si>
    <t>Independent Schools Standards: 32(1)(h)</t>
  </si>
  <si>
    <t>Independent Schools Standards: 32(1)(i)</t>
  </si>
  <si>
    <t>Independent Schools Standards: 32(1)(j)</t>
  </si>
  <si>
    <t>Independent Schools Standards: 32(2)</t>
  </si>
  <si>
    <t>Independent Schools Standards: 32(2)(a)</t>
  </si>
  <si>
    <t>Independent Schools Standards: 32(2)(b)</t>
  </si>
  <si>
    <t>Independent Schools Standards: 32(2)(b)(i)</t>
  </si>
  <si>
    <t>Independent Schools Standards: 32(2)(b)(ii)</t>
  </si>
  <si>
    <t>Independent Schools Standards: 32(2)(c)</t>
  </si>
  <si>
    <t>Independent Schools Standards: 32(2)(d)</t>
  </si>
  <si>
    <t>Independent Schools Standards: 32(3)</t>
  </si>
  <si>
    <t>Independent Schools Standards: 32(3)(a)</t>
  </si>
  <si>
    <t>Independent Schools Standards: 32(3)(b)</t>
  </si>
  <si>
    <t>Independent Schools Standards: 32(3)(c)</t>
  </si>
  <si>
    <t>Independent Schools Standards: 32(3)(d)</t>
  </si>
  <si>
    <t>Independent Schools Standards: 32(3)(e)</t>
  </si>
  <si>
    <t>Independent Schools Standards: 32(3)(f)</t>
  </si>
  <si>
    <t>Independent Schools Standards: 32(3)(g)</t>
  </si>
  <si>
    <t>Independent Schools Standards: 32(4)</t>
  </si>
  <si>
    <t>Independent Schools Standards: 32(4)(a)</t>
  </si>
  <si>
    <t>Independent Schools Standards: 32(4)(b)</t>
  </si>
  <si>
    <t>Independent Schools Standards: 32(4)(c)</t>
  </si>
  <si>
    <t>Independent Schools Standards: 33</t>
  </si>
  <si>
    <t>Independent Schools Standards: 33(a)</t>
  </si>
  <si>
    <t>Independent Schools Standards: 33(b)</t>
  </si>
  <si>
    <t>Independent Schools Standards: 33(c)</t>
  </si>
  <si>
    <t>Independent Schools Standards: 33(d)</t>
  </si>
  <si>
    <t>Independent Schools Standards: 33(e)</t>
  </si>
  <si>
    <t>Independent Schools Standards: 33(f)</t>
  </si>
  <si>
    <t>Independent Schools Standards: 33(g)</t>
  </si>
  <si>
    <t>Independent Schools Standards: 33(h)</t>
  </si>
  <si>
    <t>Independent Schools Standards: 33(i)</t>
  </si>
  <si>
    <t>Independent Schools Standards: 33(i)(i)</t>
  </si>
  <si>
    <t>Independent Schools Standards: 33(i)(ii)</t>
  </si>
  <si>
    <t>Independent Schools Standards: 33(j)</t>
  </si>
  <si>
    <t>Independent Schools Standards: 33(j)(i)</t>
  </si>
  <si>
    <t>Independent Schools Standards: 33(j)(ii)</t>
  </si>
  <si>
    <t>Independent Schools Standards: 33(k)</t>
  </si>
  <si>
    <t>Independent Schools Standards: 34(1)</t>
  </si>
  <si>
    <t>Independent Schools Standards: 34(1)(a)</t>
  </si>
  <si>
    <t>Independent Schools Standards: 34(1)(b)</t>
  </si>
  <si>
    <t>Independent Schools Standards: 34(1)(c)</t>
  </si>
  <si>
    <t>Overall outcome</t>
  </si>
  <si>
    <t>Region</t>
  </si>
  <si>
    <t>South West</t>
  </si>
  <si>
    <t>BH2 6NA</t>
  </si>
  <si>
    <t>Ofsted</t>
  </si>
  <si>
    <t>Independent School standard inspection</t>
  </si>
  <si>
    <t>Independent Standard Inspection</t>
  </si>
  <si>
    <t>Y</t>
  </si>
  <si>
    <t>Not applicable to this setting</t>
  </si>
  <si>
    <t>Not applicable</t>
  </si>
  <si>
    <t>Progress Schools - Wigan</t>
  </si>
  <si>
    <t>North West</t>
  </si>
  <si>
    <t>Wigan</t>
  </si>
  <si>
    <t>WN1 1RU</t>
  </si>
  <si>
    <t>Unknown</t>
  </si>
  <si>
    <t>Independent school standard inspection - first</t>
  </si>
  <si>
    <t>Independent Educational Services Long Street</t>
  </si>
  <si>
    <t>West Midlands</t>
  </si>
  <si>
    <t>Warwickshire</t>
  </si>
  <si>
    <t>CV9 1AY</t>
  </si>
  <si>
    <t>Insights Independent School</t>
  </si>
  <si>
    <t>London</t>
  </si>
  <si>
    <t>Ealing</t>
  </si>
  <si>
    <t>W13 0NP</t>
  </si>
  <si>
    <t>Harrow Independent College</t>
  </si>
  <si>
    <t>Harrow</t>
  </si>
  <si>
    <t>HA2 9AH</t>
  </si>
  <si>
    <t>N</t>
  </si>
  <si>
    <t>Ysgol Gymraeg Llundain, London Welsh School</t>
  </si>
  <si>
    <t>W7 1PD</t>
  </si>
  <si>
    <t>Luton Pentecostal Church Christian Academy</t>
  </si>
  <si>
    <t>East of England</t>
  </si>
  <si>
    <t>Luton</t>
  </si>
  <si>
    <t>LU1 3JE</t>
  </si>
  <si>
    <t>Overley Hall School</t>
  </si>
  <si>
    <t>Telford and Wrekin</t>
  </si>
  <si>
    <t>TF6 5HE</t>
  </si>
  <si>
    <t>Hall Cliffe School</t>
  </si>
  <si>
    <t>North East, Yorkshire and the Humber</t>
  </si>
  <si>
    <t>Yorkshire and the Humber</t>
  </si>
  <si>
    <t>Wakefield</t>
  </si>
  <si>
    <t>WF4 6BB</t>
  </si>
  <si>
    <t>Downham Preparatory School and Montessori Nursery</t>
  </si>
  <si>
    <t>Norfolk</t>
  </si>
  <si>
    <t>PE34 3HT</t>
  </si>
  <si>
    <t>Park House, Taunton</t>
  </si>
  <si>
    <t>Somerset</t>
  </si>
  <si>
    <t>TA2 7AX</t>
  </si>
  <si>
    <t>Rawdhatul Uloom</t>
  </si>
  <si>
    <t>Lancashire</t>
  </si>
  <si>
    <t>BB10 1LU</t>
  </si>
  <si>
    <t>St Andrew's School</t>
  </si>
  <si>
    <t>NR11 8QA</t>
  </si>
  <si>
    <t>Embleton View</t>
  </si>
  <si>
    <t>North East</t>
  </si>
  <si>
    <t>Darlington</t>
  </si>
  <si>
    <t>DL3 8TF</t>
  </si>
  <si>
    <t>Brent</t>
  </si>
  <si>
    <t>NW6 6PF</t>
  </si>
  <si>
    <t>Not Met</t>
  </si>
  <si>
    <t>Learn 4 Life School</t>
  </si>
  <si>
    <t>WN8 9AL</t>
  </si>
  <si>
    <t>Sunfield Children's Home Limited</t>
  </si>
  <si>
    <t>Worcestershire</t>
  </si>
  <si>
    <t>DY9 9PB</t>
  </si>
  <si>
    <t>Avicenna Academy</t>
  </si>
  <si>
    <t>Sheffield</t>
  </si>
  <si>
    <t>S9 5DL</t>
  </si>
  <si>
    <t>Bhaktivedanta Manor School</t>
  </si>
  <si>
    <t>Hertfordshire</t>
  </si>
  <si>
    <t>WD25 8HB</t>
  </si>
  <si>
    <t>Other faith</t>
  </si>
  <si>
    <t>Lawrence House School</t>
  </si>
  <si>
    <t>Knowsley</t>
  </si>
  <si>
    <t>L36 5SJ</t>
  </si>
  <si>
    <t>All Saints School</t>
  </si>
  <si>
    <t>NR12 0DJ</t>
  </si>
  <si>
    <t>Andalusia Academy Bristol</t>
  </si>
  <si>
    <t>Bristol</t>
  </si>
  <si>
    <t>BS2 0BA</t>
  </si>
  <si>
    <t>The School of the Islamic Republic of Iran</t>
  </si>
  <si>
    <t>NW6 5HE</t>
  </si>
  <si>
    <t>Woodbury School</t>
  </si>
  <si>
    <t>Wolverhampton</t>
  </si>
  <si>
    <t>WV10 8ED</t>
  </si>
  <si>
    <t>The Meadows</t>
  </si>
  <si>
    <t>East Midlands</t>
  </si>
  <si>
    <t>Derbyshire</t>
  </si>
  <si>
    <t>SK17 8DJ</t>
  </si>
  <si>
    <t>Buzz Learning School</t>
  </si>
  <si>
    <t>Northumberland</t>
  </si>
  <si>
    <t>NE63 8AP</t>
  </si>
  <si>
    <t>Brickyard Barn Outdoor Learning Centre</t>
  </si>
  <si>
    <t>CV33 9QD</t>
  </si>
  <si>
    <t>South East</t>
  </si>
  <si>
    <t>Hampshire</t>
  </si>
  <si>
    <t>Bethany School</t>
  </si>
  <si>
    <t>S3 7PS</t>
  </si>
  <si>
    <t>Novaturient School</t>
  </si>
  <si>
    <t>NR30 1EA</t>
  </si>
  <si>
    <t>Land of Learning Primary School</t>
  </si>
  <si>
    <t>Leicester</t>
  </si>
  <si>
    <t>LE5 5PF</t>
  </si>
  <si>
    <t>Brookways School</t>
  </si>
  <si>
    <t>Sutton</t>
  </si>
  <si>
    <t>SM3 9BZ</t>
  </si>
  <si>
    <t>Sunrise Primary School</t>
  </si>
  <si>
    <t>Haringey</t>
  </si>
  <si>
    <t>N17 0EX</t>
  </si>
  <si>
    <t>No response</t>
  </si>
  <si>
    <t>The Green Room School Kingsley</t>
  </si>
  <si>
    <t>GU35 9LU</t>
  </si>
  <si>
    <t>Kerem Shloime</t>
  </si>
  <si>
    <t>Salford</t>
  </si>
  <si>
    <t>M7 2EY</t>
  </si>
  <si>
    <t>Elizabeth House School</t>
  </si>
  <si>
    <t>Rochdale</t>
  </si>
  <si>
    <t>M24 4BD</t>
  </si>
  <si>
    <t>The Orchard School</t>
  </si>
  <si>
    <t>W6 9RU</t>
  </si>
  <si>
    <t>Al Islah Girls' High School</t>
  </si>
  <si>
    <t>Blackburn with Darwen</t>
  </si>
  <si>
    <t>BB1 1TF</t>
  </si>
  <si>
    <t>Torah Vodaas</t>
  </si>
  <si>
    <t>Barnet</t>
  </si>
  <si>
    <t>NW9 7AJ</t>
  </si>
  <si>
    <t>Leaways School</t>
  </si>
  <si>
    <t>Hackney</t>
  </si>
  <si>
    <t>E5 9NZ</t>
  </si>
  <si>
    <t>The Green Room</t>
  </si>
  <si>
    <t>Windsor and Maidenhead</t>
  </si>
  <si>
    <t>SL4 5BU</t>
  </si>
  <si>
    <t>Kings Bournemouth</t>
  </si>
  <si>
    <t>BH2 6LD</t>
  </si>
  <si>
    <t>Independent School standard inspection - integrated</t>
  </si>
  <si>
    <t>Beth Jacob Grammar School for Girls</t>
  </si>
  <si>
    <t>NW4 2AT</t>
  </si>
  <si>
    <t>Oak Tree High</t>
  </si>
  <si>
    <t>S4 8DG</t>
  </si>
  <si>
    <t>Rosa House School</t>
  </si>
  <si>
    <t>First Rung Independent School</t>
  </si>
  <si>
    <t>Enfield</t>
  </si>
  <si>
    <t>NW9 6TH</t>
  </si>
  <si>
    <t>ID Academy</t>
  </si>
  <si>
    <t>North Tyneside</t>
  </si>
  <si>
    <t>NE13 6DS</t>
  </si>
  <si>
    <t>SIAL</t>
  </si>
  <si>
    <t>Kensington and Chelsea</t>
  </si>
  <si>
    <t>W11 4UH</t>
  </si>
  <si>
    <t>Harrow House International College</t>
  </si>
  <si>
    <t>Dorset</t>
  </si>
  <si>
    <t>BH19 1PE</t>
  </si>
  <si>
    <t>Halton</t>
  </si>
  <si>
    <t>Highcroft School</t>
  </si>
  <si>
    <t>Durham</t>
  </si>
  <si>
    <t>DL13 5AG</t>
  </si>
  <si>
    <t>Options Trent Acres School</t>
  </si>
  <si>
    <t>Staffordshire</t>
  </si>
  <si>
    <t>DE13 7HR</t>
  </si>
  <si>
    <t>North Road Academy</t>
  </si>
  <si>
    <t>Stoke-on-Trent</t>
  </si>
  <si>
    <t>ST6 2BP</t>
  </si>
  <si>
    <t>Westminster</t>
  </si>
  <si>
    <t>ISI</t>
  </si>
  <si>
    <t>Insufficient evidence - amnesty granted</t>
  </si>
  <si>
    <t>Cumbria</t>
  </si>
  <si>
    <t>The Prepatoria School</t>
  </si>
  <si>
    <t>Shropshire</t>
  </si>
  <si>
    <t>SY1 3AF</t>
  </si>
  <si>
    <t>The Japanese School</t>
  </si>
  <si>
    <t>W3 9PU</t>
  </si>
  <si>
    <t>Walthamstow Montessori School</t>
  </si>
  <si>
    <t>Waltham Forest</t>
  </si>
  <si>
    <t>E17 5DA</t>
  </si>
  <si>
    <t>Olive Secondary Girls</t>
  </si>
  <si>
    <t>Bradford</t>
  </si>
  <si>
    <t>BD3 0AD</t>
  </si>
  <si>
    <t>Al-Falah Primary School</t>
  </si>
  <si>
    <t>E5 8BY</t>
  </si>
  <si>
    <t>Browns School</t>
  </si>
  <si>
    <t>Bromley</t>
  </si>
  <si>
    <t>BR6 7PH</t>
  </si>
  <si>
    <t>The Mews School</t>
  </si>
  <si>
    <t>Lady Aisha Academy</t>
  </si>
  <si>
    <t>Barking and Dagenham</t>
  </si>
  <si>
    <t>IG11 8PY</t>
  </si>
  <si>
    <t>WD4 9HG</t>
  </si>
  <si>
    <t>Eastwood Grange School</t>
  </si>
  <si>
    <t>S45 0BA</t>
  </si>
  <si>
    <t>Northstar New School</t>
  </si>
  <si>
    <t>IG11 7JA</t>
  </si>
  <si>
    <t>Peninim</t>
  </si>
  <si>
    <t>NW4 2NL</t>
  </si>
  <si>
    <t>Little Acorns School</t>
  </si>
  <si>
    <t>Kent</t>
  </si>
  <si>
    <t>TN30 6SR</t>
  </si>
  <si>
    <t>St Helens Montessori</t>
  </si>
  <si>
    <t>ME15 0JT</t>
  </si>
  <si>
    <t>Wenlock School</t>
  </si>
  <si>
    <t>Dudley</t>
  </si>
  <si>
    <t>DY1 3SB</t>
  </si>
  <si>
    <t>Fountain House School</t>
  </si>
  <si>
    <t>Leeds</t>
  </si>
  <si>
    <t>SP1 3UT</t>
  </si>
  <si>
    <t>Beis Rochel d'Satmar Girls' School</t>
  </si>
  <si>
    <t>N16 5DL</t>
  </si>
  <si>
    <t>Slough</t>
  </si>
  <si>
    <t>SL1 6DQ</t>
  </si>
  <si>
    <t>Yesodey Hatorah School</t>
  </si>
  <si>
    <t>N16 5AE</t>
  </si>
  <si>
    <t>Cambian Tyldesley School</t>
  </si>
  <si>
    <t>M29 8BS</t>
  </si>
  <si>
    <t>Buckinghamshire</t>
  </si>
  <si>
    <t>SL4 6QS</t>
  </si>
  <si>
    <t>Bep Academy</t>
  </si>
  <si>
    <t>Havering</t>
  </si>
  <si>
    <t>RM7 0AU</t>
  </si>
  <si>
    <t>Al Khair School</t>
  </si>
  <si>
    <t>Sandwell</t>
  </si>
  <si>
    <t>B68 8LR</t>
  </si>
  <si>
    <t>Lower Pastures</t>
  </si>
  <si>
    <t>BB3 3QP</t>
  </si>
  <si>
    <t>La Petite Ecole Bilingue</t>
  </si>
  <si>
    <t>Jamea Al Kauthar</t>
  </si>
  <si>
    <t>LA1 5AJ</t>
  </si>
  <si>
    <t>Oakwood Learning Centre</t>
  </si>
  <si>
    <t>DL2 2UH</t>
  </si>
  <si>
    <t>Jasper City School</t>
  </si>
  <si>
    <t>Redbridge</t>
  </si>
  <si>
    <t>The Aspire Hub, Burnley</t>
  </si>
  <si>
    <t>BB11 1LE</t>
  </si>
  <si>
    <t>Birtenshaw School, Merseyside</t>
  </si>
  <si>
    <t>Liverpool</t>
  </si>
  <si>
    <t>L9 7AB</t>
  </si>
  <si>
    <t>Kings Kids Christian School</t>
  </si>
  <si>
    <t>Lewisham</t>
  </si>
  <si>
    <t>SE14 6EU</t>
  </si>
  <si>
    <t>Carmel Christian School</t>
  </si>
  <si>
    <t>BS4 5NL</t>
  </si>
  <si>
    <t>Harpurhey Alternative Provision School</t>
  </si>
  <si>
    <t>Manchester</t>
  </si>
  <si>
    <t>M9 8AE</t>
  </si>
  <si>
    <t>Blackford Education (Schools) Ltd T/A the Libra School</t>
  </si>
  <si>
    <t>Devon</t>
  </si>
  <si>
    <t>EX36 3LN</t>
  </si>
  <si>
    <t>Thornhill Park School</t>
  </si>
  <si>
    <t>Sunderland</t>
  </si>
  <si>
    <t>Allen House Independent School</t>
  </si>
  <si>
    <t>Islington</t>
  </si>
  <si>
    <t>SW15 1SZ</t>
  </si>
  <si>
    <t>Bradford Christian School</t>
  </si>
  <si>
    <t>BD2 1BT</t>
  </si>
  <si>
    <t>Take 1 Learning Centre</t>
  </si>
  <si>
    <t>Nottingham</t>
  </si>
  <si>
    <t>NG7 6BE</t>
  </si>
  <si>
    <t>Compass Community School South</t>
  </si>
  <si>
    <t>East Sussex</t>
  </si>
  <si>
    <t>BN9 0NS</t>
  </si>
  <si>
    <t>TLG Tendring</t>
  </si>
  <si>
    <t>Essex</t>
  </si>
  <si>
    <t>CO13 9PW</t>
  </si>
  <si>
    <t>Cambridge Street School</t>
  </si>
  <si>
    <t>Kirklees</t>
  </si>
  <si>
    <t>WF17 5JB</t>
  </si>
  <si>
    <t>Linton School</t>
  </si>
  <si>
    <t>PR4 1HX</t>
  </si>
  <si>
    <t>Homeschool</t>
  </si>
  <si>
    <t>WS10 0GB</t>
  </si>
  <si>
    <t>Bnei Zion Community School</t>
  </si>
  <si>
    <t>N16 6TJ</t>
  </si>
  <si>
    <t>Manchester Jewish School for Special Education</t>
  </si>
  <si>
    <t>M7 4QY</t>
  </si>
  <si>
    <t>The Branch Christian School</t>
  </si>
  <si>
    <t>WF13 4LA</t>
  </si>
  <si>
    <t>The St Anne's College Grammar School</t>
  </si>
  <si>
    <t>FY8 1HN</t>
  </si>
  <si>
    <t>Priory Hurworth House</t>
  </si>
  <si>
    <t>DL2 2AD</t>
  </si>
  <si>
    <t>Kisimul School</t>
  </si>
  <si>
    <t>Surrey</t>
  </si>
  <si>
    <t>KT6 5HN</t>
  </si>
  <si>
    <t>Calder House School</t>
  </si>
  <si>
    <t>Wiltshire</t>
  </si>
  <si>
    <t>SN14 8BN</t>
  </si>
  <si>
    <t>Medway</t>
  </si>
  <si>
    <t>ME3 8UJ</t>
  </si>
  <si>
    <t>Fairlight Glen Independent Special School</t>
  </si>
  <si>
    <t>CT6 5QQ</t>
  </si>
  <si>
    <t>Madaniyah Foundation</t>
  </si>
  <si>
    <t>Newham</t>
  </si>
  <si>
    <t>E7 8NN</t>
  </si>
  <si>
    <t>High Grange School</t>
  </si>
  <si>
    <t>DE3 0DR</t>
  </si>
  <si>
    <t>Garden City Montessori School</t>
  </si>
  <si>
    <t>SG6 4UE</t>
  </si>
  <si>
    <t>Fullerton House School</t>
  </si>
  <si>
    <t>Doncaster</t>
  </si>
  <si>
    <t>DN12 4AR</t>
  </si>
  <si>
    <t>Delta Independent School</t>
  </si>
  <si>
    <t>DH8 5DH</t>
  </si>
  <si>
    <t>Oak Heights Independent School</t>
  </si>
  <si>
    <t>Hounslow</t>
  </si>
  <si>
    <t>TW3 1JS</t>
  </si>
  <si>
    <t>Hyland House School</t>
  </si>
  <si>
    <t>N17 9AD</t>
  </si>
  <si>
    <t>Assess Education</t>
  </si>
  <si>
    <t>L15 4LP</t>
  </si>
  <si>
    <t>London Steiner School</t>
  </si>
  <si>
    <t>Lambeth</t>
  </si>
  <si>
    <t>SW12 0LT</t>
  </si>
  <si>
    <t>Greenwich Steiner School</t>
  </si>
  <si>
    <t>Greenwich</t>
  </si>
  <si>
    <t>SE3 7SE</t>
  </si>
  <si>
    <t>Croydon Metropolitan College</t>
  </si>
  <si>
    <t>Croydon</t>
  </si>
  <si>
    <t>CR0 1DN</t>
  </si>
  <si>
    <t>Farney Close School</t>
  </si>
  <si>
    <t>West Sussex</t>
  </si>
  <si>
    <t>RH17 5RD</t>
  </si>
  <si>
    <t>Iona School</t>
  </si>
  <si>
    <t>NG3 7DN</t>
  </si>
  <si>
    <t>Greater Manchester Alternative Provision</t>
  </si>
  <si>
    <t>Tameside</t>
  </si>
  <si>
    <t>OL6 7HG</t>
  </si>
  <si>
    <t>Park House School</t>
  </si>
  <si>
    <t>Wandsworth</t>
  </si>
  <si>
    <t>SW18 2SL</t>
  </si>
  <si>
    <t>Jamia Al-Hudaa Residential College</t>
  </si>
  <si>
    <t>NG3 5TT</t>
  </si>
  <si>
    <t xml:space="preserve">Employability Solutions Independent School </t>
  </si>
  <si>
    <t>L19 2LX</t>
  </si>
  <si>
    <t>Aurora Keyes Barn School</t>
  </si>
  <si>
    <t>PR4 0YH</t>
  </si>
  <si>
    <t>Moorland Waldorf School</t>
  </si>
  <si>
    <t>North Yorkshire</t>
  </si>
  <si>
    <t>YO21 2NJ</t>
  </si>
  <si>
    <t>Mazahirul Uloom London School</t>
  </si>
  <si>
    <t>Tower Hamlets</t>
  </si>
  <si>
    <t>E1 4AA</t>
  </si>
  <si>
    <t>Pollyteach Limited</t>
  </si>
  <si>
    <t>Nottinghamshire</t>
  </si>
  <si>
    <t>NG17 9FW</t>
  </si>
  <si>
    <t>Cambian Bletchley Park School</t>
  </si>
  <si>
    <t>Milton Keynes</t>
  </si>
  <si>
    <t>MK3 7EB</t>
  </si>
  <si>
    <t>North London Hospital School</t>
  </si>
  <si>
    <t>N14 6RA</t>
  </si>
  <si>
    <t>Le Herisson School</t>
  </si>
  <si>
    <t>Hammersmith and Fulham</t>
  </si>
  <si>
    <t>W6 9JT</t>
  </si>
  <si>
    <t>Wilsic Hall School</t>
  </si>
  <si>
    <t>DN11 9AG</t>
  </si>
  <si>
    <t>Cambridgeshire</t>
  </si>
  <si>
    <t>PE13 2RJ</t>
  </si>
  <si>
    <t>Assunnah Primary School</t>
  </si>
  <si>
    <t>N17 6SB</t>
  </si>
  <si>
    <t>Newbury Manor School</t>
  </si>
  <si>
    <t>BA11 3RG</t>
  </si>
  <si>
    <t>Paradise Primary School</t>
  </si>
  <si>
    <t>WF12 9BB</t>
  </si>
  <si>
    <t>Moorfield Learning Centre</t>
  </si>
  <si>
    <t>LA13 9RS</t>
  </si>
  <si>
    <t>BS6 7JE</t>
  </si>
  <si>
    <t>Bright Futures School for children with autism</t>
  </si>
  <si>
    <t>Oldham</t>
  </si>
  <si>
    <t>OL4 3HS</t>
  </si>
  <si>
    <t>Gateshead Jewish Nursery School</t>
  </si>
  <si>
    <t>Gateshead</t>
  </si>
  <si>
    <t>NE8 1RB</t>
  </si>
  <si>
    <t>Phoenix Academy</t>
  </si>
  <si>
    <t>TA6 6NA</t>
  </si>
  <si>
    <t>Hafs Academy</t>
  </si>
  <si>
    <t>E15 1JW</t>
  </si>
  <si>
    <t>Horton House School</t>
  </si>
  <si>
    <t>Kingston upon Hull</t>
  </si>
  <si>
    <t>HU7 5YY</t>
  </si>
  <si>
    <t>The Mount School</t>
  </si>
  <si>
    <t>HD2 2AP</t>
  </si>
  <si>
    <t>Music Stuff</t>
  </si>
  <si>
    <t>M11 2NA</t>
  </si>
  <si>
    <t>Olive Tree Primary School</t>
  </si>
  <si>
    <t>LU1 1HE</t>
  </si>
  <si>
    <t>New Horizon Community School</t>
  </si>
  <si>
    <t>LS7 4JE</t>
  </si>
  <si>
    <t>Kingsbrook School</t>
  </si>
  <si>
    <t>IP25 7TJ</t>
  </si>
  <si>
    <t>Purbeck View School</t>
  </si>
  <si>
    <t>BH19 1PR</t>
  </si>
  <si>
    <t>Mechinoh School</t>
  </si>
  <si>
    <t>M7 4HY</t>
  </si>
  <si>
    <t>Denby Grange School</t>
  </si>
  <si>
    <t>WF4 4JG</t>
  </si>
  <si>
    <t>The Lambs Christian School</t>
  </si>
  <si>
    <t>Birmingham</t>
  </si>
  <si>
    <t>B19 1AY</t>
  </si>
  <si>
    <t>ISP School (Kent)</t>
  </si>
  <si>
    <t>ME9 9EA</t>
  </si>
  <si>
    <t>Bramdean School</t>
  </si>
  <si>
    <t>EX1 2QR</t>
  </si>
  <si>
    <t>Marathon Science School</t>
  </si>
  <si>
    <t>SE8 5RQ</t>
  </si>
  <si>
    <t>Talmud Torah London</t>
  </si>
  <si>
    <t>E5 9LE</t>
  </si>
  <si>
    <t>Lantern of Knowledge Secondary School</t>
  </si>
  <si>
    <t>E10 6QT</t>
  </si>
  <si>
    <t>Brantwood Specialist School</t>
  </si>
  <si>
    <t>S7 1NU</t>
  </si>
  <si>
    <t>Brighton &amp; Hove Clinic School</t>
  </si>
  <si>
    <t>Brighton and Hove</t>
  </si>
  <si>
    <t>BN3 4FH</t>
  </si>
  <si>
    <t>Sedgemoor Manor School</t>
  </si>
  <si>
    <t>TA9 4NP</t>
  </si>
  <si>
    <t>St George's Preparatory School &amp; Little Dragons Preschool</t>
  </si>
  <si>
    <t>Lincolnshire</t>
  </si>
  <si>
    <t>PE21 7HB</t>
  </si>
  <si>
    <t>Lime Meadows</t>
  </si>
  <si>
    <t>PR2 2YQ</t>
  </si>
  <si>
    <t>Stockport</t>
  </si>
  <si>
    <t>Catch 22 Include Primary School Suffolk</t>
  </si>
  <si>
    <t>Suffolk</t>
  </si>
  <si>
    <t>IP8 3AS</t>
  </si>
  <si>
    <t>Essex Fresh Start</t>
  </si>
  <si>
    <t>CM8 2JL</t>
  </si>
  <si>
    <t>Jasmine House School</t>
  </si>
  <si>
    <t>DE75 7DT</t>
  </si>
  <si>
    <t>The Acorn School</t>
  </si>
  <si>
    <t>Gloucestershire</t>
  </si>
  <si>
    <t>GL6 0BP</t>
  </si>
  <si>
    <t>Froebel House School</t>
  </si>
  <si>
    <t>HU5 3JP</t>
  </si>
  <si>
    <t>T T T Y Y School</t>
  </si>
  <si>
    <t>N16 5NH</t>
  </si>
  <si>
    <t>IP28 7RD</t>
  </si>
  <si>
    <t>Talmud Torah Yetev Lev</t>
  </si>
  <si>
    <t>N16 6AX</t>
  </si>
  <si>
    <t>M8 5BQ</t>
  </si>
  <si>
    <t>Hessle Mount School</t>
  </si>
  <si>
    <t>East Riding of Yorkshire</t>
  </si>
  <si>
    <t>HU13 0JZ</t>
  </si>
  <si>
    <t>The Parks</t>
  </si>
  <si>
    <t>WA3 3PU</t>
  </si>
  <si>
    <t>Oakwood School</t>
  </si>
  <si>
    <t>Leicestershire</t>
  </si>
  <si>
    <t>LE3 8DG</t>
  </si>
  <si>
    <t>Expanse Learning Wigan School</t>
  </si>
  <si>
    <t>WN3 5XF</t>
  </si>
  <si>
    <t>Tashbar of Manchester</t>
  </si>
  <si>
    <t>M7 4HL</t>
  </si>
  <si>
    <t>CR0 6BE</t>
  </si>
  <si>
    <t>Sheridan House School</t>
  </si>
  <si>
    <t>IP26 5LQ</t>
  </si>
  <si>
    <t>King of Kings School</t>
  </si>
  <si>
    <t>M4 4DN</t>
  </si>
  <si>
    <t>Cambian Wisbech School</t>
  </si>
  <si>
    <t>PE13 1JF</t>
  </si>
  <si>
    <t>TLG Bradford</t>
  </si>
  <si>
    <t>BD1 4EL</t>
  </si>
  <si>
    <t>Al-Mahad-Al-Islami</t>
  </si>
  <si>
    <t>S9 5FP</t>
  </si>
  <si>
    <t>High Peak School</t>
  </si>
  <si>
    <t>Cheshire East</t>
  </si>
  <si>
    <t>UB7 0AE</t>
  </si>
  <si>
    <t>Tayyibah Girls' School</t>
  </si>
  <si>
    <t>N16 6JJ</t>
  </si>
  <si>
    <t>Ocean Lodge Independent School</t>
  </si>
  <si>
    <t>Southend on Sea</t>
  </si>
  <si>
    <t>SS0 7PU</t>
  </si>
  <si>
    <t>Dudley House School</t>
  </si>
  <si>
    <t>NG31 9AA</t>
  </si>
  <si>
    <t>Gryphon School</t>
  </si>
  <si>
    <t>LE12 8BQ</t>
  </si>
  <si>
    <t>Big Creative Independent School</t>
  </si>
  <si>
    <t>E17 5QJ</t>
  </si>
  <si>
    <t>Helen Allison School</t>
  </si>
  <si>
    <t>DA13 0EW</t>
  </si>
  <si>
    <t>Arc Oakbridge School</t>
  </si>
  <si>
    <t>APTCOO - A Place to Call Our Own</t>
  </si>
  <si>
    <t>NG18 5NF</t>
  </si>
  <si>
    <t>Vishnitz Girls School</t>
  </si>
  <si>
    <t>Ashlea House School</t>
  </si>
  <si>
    <t>M34 6ET</t>
  </si>
  <si>
    <t>B38 9EL</t>
  </si>
  <si>
    <t>Leeds Christian School of Excellence</t>
  </si>
  <si>
    <t>LS8 4EX</t>
  </si>
  <si>
    <t>Acorns School</t>
  </si>
  <si>
    <t>SK6 7NN</t>
  </si>
  <si>
    <t>The Corner School</t>
  </si>
  <si>
    <t>HA0 4DT</t>
  </si>
  <si>
    <t>Queenswood School</t>
  </si>
  <si>
    <t>LS27 9EB</t>
  </si>
  <si>
    <t>Gable End</t>
  </si>
  <si>
    <t>IP7 7NL</t>
  </si>
  <si>
    <t>Wakefield Independent School</t>
  </si>
  <si>
    <t>WF4 1QG</t>
  </si>
  <si>
    <t>Madni Academy</t>
  </si>
  <si>
    <t>WF12 9AY</t>
  </si>
  <si>
    <t xml:space="preserve">Islamic Preparatory School Wolverhampton </t>
  </si>
  <si>
    <t>WV1 4RA</t>
  </si>
  <si>
    <t>Draycott Moor College</t>
  </si>
  <si>
    <t>ST11 9AH</t>
  </si>
  <si>
    <t>Kestrel House School</t>
  </si>
  <si>
    <t>N8 9EA</t>
  </si>
  <si>
    <t>Drive Preparatory School</t>
  </si>
  <si>
    <t>BN3 6GE</t>
  </si>
  <si>
    <t>Snowflake School</t>
  </si>
  <si>
    <t>SW5 9SJ</t>
  </si>
  <si>
    <t>Owlswick School</t>
  </si>
  <si>
    <t>BN7 3NF</t>
  </si>
  <si>
    <t>Anderida Learning Centre</t>
  </si>
  <si>
    <t>BN22 8HR</t>
  </si>
  <si>
    <t>The Swedish School</t>
  </si>
  <si>
    <t>Richmond upon Thames</t>
  </si>
  <si>
    <t>SW13 9JS</t>
  </si>
  <si>
    <t>Westwood High</t>
  </si>
  <si>
    <t>OL9 6HR</t>
  </si>
  <si>
    <t>Prestwich Preparatory School</t>
  </si>
  <si>
    <t>Bury</t>
  </si>
  <si>
    <t>M25 1PZ</t>
  </si>
  <si>
    <t>E7 8AB</t>
  </si>
  <si>
    <t>Cambian Home Tree School</t>
  </si>
  <si>
    <t>PE14 0LP</t>
  </si>
  <si>
    <t>Fenton Grange School</t>
  </si>
  <si>
    <t>Meadow View Farm School</t>
  </si>
  <si>
    <t>LE9 8FT</t>
  </si>
  <si>
    <t>L'Ecole Bilingue Elementaire</t>
  </si>
  <si>
    <t>W2 1SJ</t>
  </si>
  <si>
    <t>Longdon Park School</t>
  </si>
  <si>
    <t>DE65 6GU</t>
  </si>
  <si>
    <t>Cross Keys Learning</t>
  </si>
  <si>
    <t>CT10 3JJ</t>
  </si>
  <si>
    <t>Jefferson House</t>
  </si>
  <si>
    <t>Cheshire West and Chester</t>
  </si>
  <si>
    <t>SK6 2SR</t>
  </si>
  <si>
    <t>Ashcroft School</t>
  </si>
  <si>
    <t>SK8 1JE</t>
  </si>
  <si>
    <t>The Chelsea Group of Children</t>
  </si>
  <si>
    <t>SW18 3QG</t>
  </si>
  <si>
    <t>The Fountain</t>
  </si>
  <si>
    <t>BD5 8BP</t>
  </si>
  <si>
    <t>Progress Schools - Carlisle</t>
  </si>
  <si>
    <t>CA1 1EJ</t>
  </si>
  <si>
    <t>Islamic Tarbiyah Preparatory School</t>
  </si>
  <si>
    <t>BD8 8AW</t>
  </si>
  <si>
    <t>PPP Community School</t>
  </si>
  <si>
    <t>W10 6TH</t>
  </si>
  <si>
    <t>Bladon House School</t>
  </si>
  <si>
    <t>DE15 0TA</t>
  </si>
  <si>
    <t>Huntercombe Hospital School Stafford</t>
  </si>
  <si>
    <t>ST19 9QT</t>
  </si>
  <si>
    <t>Moorlands View School</t>
  </si>
  <si>
    <t>BB11 5PQ</t>
  </si>
  <si>
    <t>Grafton House Preparatory School</t>
  </si>
  <si>
    <t>OL6 6XB</t>
  </si>
  <si>
    <t>Barnsley</t>
  </si>
  <si>
    <t>S75 3DH</t>
  </si>
  <si>
    <t>More House School</t>
  </si>
  <si>
    <t>GU10 3AP</t>
  </si>
  <si>
    <t>International School of London</t>
  </si>
  <si>
    <t>W3 8LG</t>
  </si>
  <si>
    <t>Bridge House Independent School</t>
  </si>
  <si>
    <t>PE21 7NL</t>
  </si>
  <si>
    <t>Independent school Material Change inspection</t>
  </si>
  <si>
    <t>Independent Additional Visits/Other</t>
  </si>
  <si>
    <t>Likely to meet relevant standards</t>
  </si>
  <si>
    <t>Not in scope for this inspection</t>
  </si>
  <si>
    <t>Independent school Progress Monitoring inspection</t>
  </si>
  <si>
    <t>Wilds Lodge School</t>
  </si>
  <si>
    <t>Rutland</t>
  </si>
  <si>
    <t>LE15 8QQ</t>
  </si>
  <si>
    <t>Blackwater Academy</t>
  </si>
  <si>
    <t>B19 3SU</t>
  </si>
  <si>
    <t>Avon Park School</t>
  </si>
  <si>
    <t>CV22 5HR</t>
  </si>
  <si>
    <t>Pontville School</t>
  </si>
  <si>
    <t>L39 4TW</t>
  </si>
  <si>
    <t>The Shires</t>
  </si>
  <si>
    <t>LE15 7GT</t>
  </si>
  <si>
    <t>Independent school emergency inspection</t>
  </si>
  <si>
    <t>Wemms Education Centre</t>
  </si>
  <si>
    <t>KT22 7NZ</t>
  </si>
  <si>
    <t>Change implemented and does not meet relevant standards</t>
  </si>
  <si>
    <t>Eastcourt Independent School</t>
  </si>
  <si>
    <t>IG3 8UW</t>
  </si>
  <si>
    <t>St Mary's Independent School</t>
  </si>
  <si>
    <t>Southampton</t>
  </si>
  <si>
    <t>SO18 4DJ</t>
  </si>
  <si>
    <t>TA21 9LQ</t>
  </si>
  <si>
    <t>Tarbiyyah Primary School</t>
  </si>
  <si>
    <t>TW5 0LJ</t>
  </si>
  <si>
    <t>The Yellow House School</t>
  </si>
  <si>
    <t>CO9 3HX</t>
  </si>
  <si>
    <t>GL1 3PT</t>
  </si>
  <si>
    <t>The Davenport School</t>
  </si>
  <si>
    <t>CT13 0NY</t>
  </si>
  <si>
    <t>SY5 8PR</t>
  </si>
  <si>
    <t>Include - Oxfordshire</t>
  </si>
  <si>
    <t>Oxfordshire</t>
  </si>
  <si>
    <t>OX4 6HW</t>
  </si>
  <si>
    <t>Smallbrook School</t>
  </si>
  <si>
    <t>SY4 3HE</t>
  </si>
  <si>
    <t>Azbuka Russian-English Bilingual School</t>
  </si>
  <si>
    <t>Trinity School and College</t>
  </si>
  <si>
    <t>ME1 1BG</t>
  </si>
  <si>
    <t>Applied Educational Solutions</t>
  </si>
  <si>
    <t>EN3 7HG</t>
  </si>
  <si>
    <t>E-Spired</t>
  </si>
  <si>
    <t>Bedford</t>
  </si>
  <si>
    <t>Unlikely to meet relevant standards</t>
  </si>
  <si>
    <t>Hamd House School</t>
  </si>
  <si>
    <t>B9 5QT</t>
  </si>
  <si>
    <t>Al Jamiatul Islamiyah</t>
  </si>
  <si>
    <t>Bolton</t>
  </si>
  <si>
    <t>BL3 4HF</t>
  </si>
  <si>
    <t>The Belsteads School</t>
  </si>
  <si>
    <t>CM3 3PP</t>
  </si>
  <si>
    <t>The Hall School</t>
  </si>
  <si>
    <t>Hillingdon</t>
  </si>
  <si>
    <t>HA6 2RB</t>
  </si>
  <si>
    <t>Heathside Preparatory School</t>
  </si>
  <si>
    <t>Camden</t>
  </si>
  <si>
    <t>NW3 1JA</t>
  </si>
  <si>
    <t>Independent school emergency inspection -integrated</t>
  </si>
  <si>
    <t>Build-a-Future Independent School</t>
  </si>
  <si>
    <t>LN9 5PT</t>
  </si>
  <si>
    <t>Horatio House Independent School</t>
  </si>
  <si>
    <t>NR32 5LL</t>
  </si>
  <si>
    <t>Promised Land Academy</t>
  </si>
  <si>
    <t>E13 8SR</t>
  </si>
  <si>
    <t>Darul Hadis Latifiah</t>
  </si>
  <si>
    <t>E2 0HW</t>
  </si>
  <si>
    <t>Sporting Stars Academy</t>
  </si>
  <si>
    <t>ST2 7AS</t>
  </si>
  <si>
    <t>Old Farm School</t>
  </si>
  <si>
    <t>Redcar and Cleveland</t>
  </si>
  <si>
    <t>TS12 2TZ</t>
  </si>
  <si>
    <t>B9 4HN</t>
  </si>
  <si>
    <t>M7 2BT</t>
  </si>
  <si>
    <t>King Fahad Academy</t>
  </si>
  <si>
    <t>W3 7HD</t>
  </si>
  <si>
    <t>St Michael's School</t>
  </si>
  <si>
    <t>RG20 9JW</t>
  </si>
  <si>
    <t>Independent school progress monitoring inspection - Integrated</t>
  </si>
  <si>
    <t>Progress Schools - Wirral</t>
  </si>
  <si>
    <t>CH41 4EA</t>
  </si>
  <si>
    <t>Mountwood Academy</t>
  </si>
  <si>
    <t>PR3 3YB</t>
  </si>
  <si>
    <t>Amberleigh Therapeutic School</t>
  </si>
  <si>
    <t>TF2 9NZ</t>
  </si>
  <si>
    <t>Hazrat Khadijatul Kubra Girls School</t>
  </si>
  <si>
    <t>B10 0BP</t>
  </si>
  <si>
    <t>Aurora Hedgeway School</t>
  </si>
  <si>
    <t>South Gloucestershire</t>
  </si>
  <si>
    <t>BS35 4JN</t>
  </si>
  <si>
    <t>Read Academy</t>
  </si>
  <si>
    <t>Olive Secondary Boys</t>
  </si>
  <si>
    <t>The Orchard</t>
  </si>
  <si>
    <t>North East Lincolnshire</t>
  </si>
  <si>
    <t>DN37 9PH</t>
  </si>
  <si>
    <t>The Gateshead Cheder Primary School</t>
  </si>
  <si>
    <t>NE8 3HY</t>
  </si>
  <si>
    <t>Felixstowe International College</t>
  </si>
  <si>
    <t>Greek Primary School of London</t>
  </si>
  <si>
    <t>W3 9JR</t>
  </si>
  <si>
    <t>Darul Uloom Leicester</t>
  </si>
  <si>
    <t>LE4 5LN</t>
  </si>
  <si>
    <t>Magdalen Court School</t>
  </si>
  <si>
    <t>EX2 4NU</t>
  </si>
  <si>
    <t>LU4 8AX</t>
  </si>
  <si>
    <t>CV7 8DL</t>
  </si>
  <si>
    <t>Holme Court School</t>
  </si>
  <si>
    <t>CB21 6BQ</t>
  </si>
  <si>
    <t>Meadowcroft School</t>
  </si>
  <si>
    <t>WF1 4AD</t>
  </si>
  <si>
    <t>Iqra High School</t>
  </si>
  <si>
    <t>OL4 1ER</t>
  </si>
  <si>
    <t>Newbury School</t>
  </si>
  <si>
    <t>Spring Hill High School</t>
  </si>
  <si>
    <t>B23 7PG</t>
  </si>
  <si>
    <t>Greek Secondary School of London</t>
  </si>
  <si>
    <t>N22 8LB</t>
  </si>
  <si>
    <t>Herefordshire</t>
  </si>
  <si>
    <t>Reddish Hall School</t>
  </si>
  <si>
    <t>SK5 6RN</t>
  </si>
  <si>
    <t>Al-Noor Primary School</t>
  </si>
  <si>
    <t>IG3 9RP</t>
  </si>
  <si>
    <t>Change implemented and meets relevant standards</t>
  </si>
  <si>
    <t>Glebe House</t>
  </si>
  <si>
    <t>CB21 4QH</t>
  </si>
  <si>
    <t>Talmud Torah Chinuch Norim</t>
  </si>
  <si>
    <t>M7 2AU</t>
  </si>
  <si>
    <t>Rawdhatul Uloom Islamic Primary School</t>
  </si>
  <si>
    <t>BB1 5NZ</t>
  </si>
  <si>
    <t>Education My Life Matters</t>
  </si>
  <si>
    <t>Liberty Lodge Independent School</t>
  </si>
  <si>
    <t>IP1 2NY</t>
  </si>
  <si>
    <t>TLG North Birmingham</t>
  </si>
  <si>
    <t>B44 9SH</t>
  </si>
  <si>
    <t>Beis Malka Belz Girls School</t>
  </si>
  <si>
    <t>W3 7EG</t>
  </si>
  <si>
    <t>Wessex Lodge School</t>
  </si>
  <si>
    <t>BA11 4LA</t>
  </si>
  <si>
    <t>Advance Education</t>
  </si>
  <si>
    <t>NW10 7TR</t>
  </si>
  <si>
    <t>Sandwell Valley School</t>
  </si>
  <si>
    <t>B70 6QT</t>
  </si>
  <si>
    <t>Cumberland School</t>
  </si>
  <si>
    <t>BL6 7RX</t>
  </si>
  <si>
    <t>Wood Edge Independent School</t>
  </si>
  <si>
    <t>L39 4UL</t>
  </si>
  <si>
    <t>Al-Ashraf Primary School</t>
  </si>
  <si>
    <t>GL1 4HB</t>
  </si>
  <si>
    <t>Broadbeck Learning Centre</t>
  </si>
  <si>
    <t>BD6 2LE</t>
  </si>
  <si>
    <t>Hillcrest Shifnal School</t>
  </si>
  <si>
    <t>TF11 8SD</t>
  </si>
  <si>
    <t>St Peter's Independent School</t>
  </si>
  <si>
    <t>Northamptonshire</t>
  </si>
  <si>
    <t>NN3 8TA</t>
  </si>
  <si>
    <t>Beis Ruchel D`Satmar</t>
  </si>
  <si>
    <t>N16 5RS</t>
  </si>
  <si>
    <t>Edgware Jewish Girls - Beis Chinuch</t>
  </si>
  <si>
    <t>HA8 8NP</t>
  </si>
  <si>
    <t>Madinatul Uloom Al Islamiya School</t>
  </si>
  <si>
    <t>DY10 4BH</t>
  </si>
  <si>
    <t>Fairfield House School</t>
  </si>
  <si>
    <t>Trafford</t>
  </si>
  <si>
    <t>M31 4NL</t>
  </si>
  <si>
    <t>Lubavitch Yeshiva Ketanah of London</t>
  </si>
  <si>
    <t>NW11 0QB</t>
  </si>
  <si>
    <t>The Villa</t>
  </si>
  <si>
    <t>Southwark</t>
  </si>
  <si>
    <t>SE15 5AH</t>
  </si>
  <si>
    <t>Guru Gobind Singh Khalsa College</t>
  </si>
  <si>
    <t>IG7 6BQ</t>
  </si>
  <si>
    <t>Dar-Ul-Madinah</t>
  </si>
  <si>
    <t>BB2 6HD</t>
  </si>
  <si>
    <t>The Robert Ogden School</t>
  </si>
  <si>
    <t>S63 0BG</t>
  </si>
  <si>
    <t>Gateshead Jewish Primary School</t>
  </si>
  <si>
    <t>NE8 4EA</t>
  </si>
  <si>
    <t>Imedia School</t>
  </si>
  <si>
    <t>B23 6UT</t>
  </si>
  <si>
    <t>Wiznitz Cheder School</t>
  </si>
  <si>
    <t>N16 6QT</t>
  </si>
  <si>
    <t>Hillingdon Manor School</t>
  </si>
  <si>
    <t>UB8 3HD</t>
  </si>
  <si>
    <t>Break Through</t>
  </si>
  <si>
    <t>Bexley</t>
  </si>
  <si>
    <t>DA17 5JX</t>
  </si>
  <si>
    <t>Flexible Learning Centre</t>
  </si>
  <si>
    <t>B23 7RJ</t>
  </si>
  <si>
    <t>Brooke House Day School</t>
  </si>
  <si>
    <t>LE9 1SE</t>
  </si>
  <si>
    <t>Acorn School</t>
  </si>
  <si>
    <t>EX19 8EY</t>
  </si>
  <si>
    <t>The Christian School (Takeley)</t>
  </si>
  <si>
    <t>CM22 6QH</t>
  </si>
  <si>
    <t>The Llewellyn School and Nursery</t>
  </si>
  <si>
    <t>CT9 5DU</t>
  </si>
  <si>
    <t>Al-Ihsaan Community College</t>
  </si>
  <si>
    <t>LE1 2HX</t>
  </si>
  <si>
    <t>Best Futures School</t>
  </si>
  <si>
    <t>DN37 7AW</t>
  </si>
  <si>
    <t>King Edwin School</t>
  </si>
  <si>
    <t>Stockton-on-Tees</t>
  </si>
  <si>
    <t>TS20 1LG</t>
  </si>
  <si>
    <t>Greenfields School</t>
  </si>
  <si>
    <t>TN27 8BE</t>
  </si>
  <si>
    <t>Cambian Potterspury Lodge School</t>
  </si>
  <si>
    <t>NN12 7LL</t>
  </si>
  <si>
    <t>Mehria School</t>
  </si>
  <si>
    <t>LU4 8JD</t>
  </si>
  <si>
    <t>Jus'T'Learn</t>
  </si>
  <si>
    <t>Merton</t>
  </si>
  <si>
    <t>CR4 2QA</t>
  </si>
  <si>
    <t>Talmud Torah Bobov Primary School</t>
  </si>
  <si>
    <t>N16 6UE</t>
  </si>
  <si>
    <t>Clovelly House School</t>
  </si>
  <si>
    <t>LE67 1AP</t>
  </si>
  <si>
    <t>Aurora Hanley School</t>
  </si>
  <si>
    <t>ST2 8LY</t>
  </si>
  <si>
    <t>Peak Education</t>
  </si>
  <si>
    <t>ST19 5PR</t>
  </si>
  <si>
    <t>T Plus Centre (Taliesin Education)</t>
  </si>
  <si>
    <t>Cornwall</t>
  </si>
  <si>
    <t>PL14 4DA</t>
  </si>
  <si>
    <t>School for Inspiring Talents</t>
  </si>
  <si>
    <t>TQ12 6NQ</t>
  </si>
  <si>
    <t>Hampstead Hill School</t>
  </si>
  <si>
    <t>NW3 2PP</t>
  </si>
  <si>
    <t>The Village School</t>
  </si>
  <si>
    <t>NW3 2YN</t>
  </si>
  <si>
    <t>College Francais Bilingue De Londres</t>
  </si>
  <si>
    <t>NW5 3AX</t>
  </si>
  <si>
    <t>Rainbow Montessori School</t>
  </si>
  <si>
    <t>NW6 3PL</t>
  </si>
  <si>
    <t>Bnois Jerusalem Girls School</t>
  </si>
  <si>
    <t>Talmud Torah Machzikei Hadass School</t>
  </si>
  <si>
    <t>E5 9SN</t>
  </si>
  <si>
    <t>Beis Malka Girls' School</t>
  </si>
  <si>
    <t>N16 6XD</t>
  </si>
  <si>
    <t>Talmud Torah Chaim Meirim Wiznitz School</t>
  </si>
  <si>
    <t>N16 6XB</t>
  </si>
  <si>
    <t>2018/19</t>
  </si>
  <si>
    <t>River House Montessori School</t>
  </si>
  <si>
    <t>E14 9XP</t>
  </si>
  <si>
    <t>Ecole Francaise de Londres Jacques Prevert</t>
  </si>
  <si>
    <t>W6 7BE</t>
  </si>
  <si>
    <t>Evergreen Primary School</t>
  </si>
  <si>
    <t>SW6 4QT</t>
  </si>
  <si>
    <t>L'Ecole des Petits School</t>
  </si>
  <si>
    <t>SW6 2NB</t>
  </si>
  <si>
    <t>Dallington School</t>
  </si>
  <si>
    <t>EC1V 0BW</t>
  </si>
  <si>
    <t>St Philip's School</t>
  </si>
  <si>
    <t>SW7 4NE</t>
  </si>
  <si>
    <t>Hill House International Junior School</t>
  </si>
  <si>
    <t>SW1X 0EP</t>
  </si>
  <si>
    <t>Thomas's Battersea</t>
  </si>
  <si>
    <t>SW11 3JB</t>
  </si>
  <si>
    <t>Thomas's Kensington</t>
  </si>
  <si>
    <t>W8 5PR</t>
  </si>
  <si>
    <t>Ashbourne Independent School</t>
  </si>
  <si>
    <t>W8 4PL</t>
  </si>
  <si>
    <t>David Game College</t>
  </si>
  <si>
    <t>EC3N 2ET</t>
  </si>
  <si>
    <t>La Petite Ecole Francaise</t>
  </si>
  <si>
    <t>W10 6EJ</t>
  </si>
  <si>
    <t>Lycee Francais Charles de Gaulle</t>
  </si>
  <si>
    <t>SW7 2DG</t>
  </si>
  <si>
    <t>Madani Secondary Girls' School</t>
  </si>
  <si>
    <t>E1 1HL</t>
  </si>
  <si>
    <t>Merlin School</t>
  </si>
  <si>
    <t>SW15 2BZ</t>
  </si>
  <si>
    <t>The Dominie School Limited</t>
  </si>
  <si>
    <t>SW11 4DX</t>
  </si>
  <si>
    <t>Eveline Day School</t>
  </si>
  <si>
    <t>SW17 7BQ</t>
  </si>
  <si>
    <t>Hall School Wimbledon</t>
  </si>
  <si>
    <t>SW15 3EQ</t>
  </si>
  <si>
    <t>2017/18</t>
  </si>
  <si>
    <t>Al Risalah Secondary School</t>
  </si>
  <si>
    <t>SW17 7TJ</t>
  </si>
  <si>
    <t>Parkgate House School</t>
  </si>
  <si>
    <t>SW4 9SD</t>
  </si>
  <si>
    <t>Connaught House School</t>
  </si>
  <si>
    <t>W2 2HL</t>
  </si>
  <si>
    <t>The American School in London</t>
  </si>
  <si>
    <t>NW8 0NP</t>
  </si>
  <si>
    <t>St John's Wood Pre-Preparatory School</t>
  </si>
  <si>
    <t>NW8 7NE</t>
  </si>
  <si>
    <t>Centre Academy London</t>
  </si>
  <si>
    <t>SW11 1SH</t>
  </si>
  <si>
    <t>Golders Hill School</t>
  </si>
  <si>
    <t>NW11 7NT</t>
  </si>
  <si>
    <t>St Martin's School</t>
  </si>
  <si>
    <t>NW7 3RG</t>
  </si>
  <si>
    <t>Pardes House Grammar School</t>
  </si>
  <si>
    <t>N3 1SA</t>
  </si>
  <si>
    <t>Menorah Grammar School</t>
  </si>
  <si>
    <t>HA8 0QS</t>
  </si>
  <si>
    <t>Benedict House Preparatory School</t>
  </si>
  <si>
    <t>DA15 7HD</t>
  </si>
  <si>
    <t>Islamia School for Girls'</t>
  </si>
  <si>
    <t>NW6 6PE</t>
  </si>
  <si>
    <t>Ashgrove School Ltd</t>
  </si>
  <si>
    <t>BR1 3BE</t>
  </si>
  <si>
    <t>Darul Uloom London</t>
  </si>
  <si>
    <t>BR7 6SD</t>
  </si>
  <si>
    <t>Rutherford School</t>
  </si>
  <si>
    <t>CR2 7HZ</t>
  </si>
  <si>
    <t>The Sybil Elgar School</t>
  </si>
  <si>
    <t>UB2 4NY</t>
  </si>
  <si>
    <t>The Eden SDA School</t>
  </si>
  <si>
    <t>W3 8JY</t>
  </si>
  <si>
    <t>St John's Preparatory and Senior School</t>
  </si>
  <si>
    <t>EN6 5QT</t>
  </si>
  <si>
    <t>North London Rudolf Steiner School</t>
  </si>
  <si>
    <t>N8 7PN</t>
  </si>
  <si>
    <t>ITS317889</t>
  </si>
  <si>
    <t>Beis Chinuch Lebonos Girls School</t>
  </si>
  <si>
    <t>N4 2SH</t>
  </si>
  <si>
    <t>St Mary's Hare Park School</t>
  </si>
  <si>
    <t>RM2 6HH</t>
  </si>
  <si>
    <t>The Norwegian School in London</t>
  </si>
  <si>
    <t>SW20 8AH</t>
  </si>
  <si>
    <t>Blossom House School</t>
  </si>
  <si>
    <t>KT3 6JJ</t>
  </si>
  <si>
    <t>Jack and Jill School</t>
  </si>
  <si>
    <t>TW12 3HX</t>
  </si>
  <si>
    <t>The German School</t>
  </si>
  <si>
    <t>TW10 7AH</t>
  </si>
  <si>
    <t>The Harrodian School</t>
  </si>
  <si>
    <t>SW13 9QN</t>
  </si>
  <si>
    <t>Rosslyn School</t>
  </si>
  <si>
    <t>B28 9JB</t>
  </si>
  <si>
    <t>Darul Uloom Islamic High School</t>
  </si>
  <si>
    <t>B10 0LL</t>
  </si>
  <si>
    <t>Mander Portman Woodward Independent College</t>
  </si>
  <si>
    <t>B15 3AU</t>
  </si>
  <si>
    <t>National Institute for Conductive Education</t>
  </si>
  <si>
    <t>B13 8RD</t>
  </si>
  <si>
    <t>Birchfield Independent Girls' School</t>
  </si>
  <si>
    <t>B6 6JU</t>
  </si>
  <si>
    <t>Al Huda Girls' School</t>
  </si>
  <si>
    <t>B8 1RD</t>
  </si>
  <si>
    <t>Lote Tree Primary School</t>
  </si>
  <si>
    <t>Coventry</t>
  </si>
  <si>
    <t>CV6 5JQ</t>
  </si>
  <si>
    <t>Elmfield Rudolf Steiner School Limited</t>
  </si>
  <si>
    <t>DY8 2EA</t>
  </si>
  <si>
    <t>ITS334309</t>
  </si>
  <si>
    <t>Kingswood School</t>
  </si>
  <si>
    <t>Solihull</t>
  </si>
  <si>
    <t>B90 2BA</t>
  </si>
  <si>
    <t>Nugent House School</t>
  </si>
  <si>
    <t>St Helens</t>
  </si>
  <si>
    <t>WN5 7TT</t>
  </si>
  <si>
    <t>Lord's Independent School</t>
  </si>
  <si>
    <t>Darul Uloom Al Arabiya Al Islamiya</t>
  </si>
  <si>
    <t>BL8 4NG</t>
  </si>
  <si>
    <t>Manchester Muslim Preparatory School</t>
  </si>
  <si>
    <t>M20 4BA</t>
  </si>
  <si>
    <t>Farrowdale House School</t>
  </si>
  <si>
    <t>OL2 7AD</t>
  </si>
  <si>
    <t>Bnos Yisroel School Manchester</t>
  </si>
  <si>
    <t>M7 4DA</t>
  </si>
  <si>
    <t>Manchester Junior Girls' School</t>
  </si>
  <si>
    <t>M7 4JA</t>
  </si>
  <si>
    <t>Stella Maris School</t>
  </si>
  <si>
    <t>SK4 3BR</t>
  </si>
  <si>
    <t>Covenant Christian School</t>
  </si>
  <si>
    <t>SK4 4NX</t>
  </si>
  <si>
    <t>Sycamore Hall Preparatory School</t>
  </si>
  <si>
    <t>DN4 8PT</t>
  </si>
  <si>
    <t>Institute of Islamic Education</t>
  </si>
  <si>
    <t>WF12 9NG</t>
  </si>
  <si>
    <t>Leeds Menorah School</t>
  </si>
  <si>
    <t>LS17 6HQ</t>
  </si>
  <si>
    <t>Gateshead Jewish Boarding School</t>
  </si>
  <si>
    <t>NE8 1HG</t>
  </si>
  <si>
    <t>Gracefield Preparatory School</t>
  </si>
  <si>
    <t>BS16 2RG</t>
  </si>
  <si>
    <t>Bristol Steiner School</t>
  </si>
  <si>
    <t>BS6 6UX</t>
  </si>
  <si>
    <t>ITS301503</t>
  </si>
  <si>
    <t>Sheiling School (Thornbury)</t>
  </si>
  <si>
    <t>BS35 1HP</t>
  </si>
  <si>
    <t>Silverhill School</t>
  </si>
  <si>
    <t>BS36 1RL</t>
  </si>
  <si>
    <t>Ashbrooke House School</t>
  </si>
  <si>
    <t>North Somerset</t>
  </si>
  <si>
    <t>BS23 1XH</t>
  </si>
  <si>
    <t>St George's School</t>
  </si>
  <si>
    <t>Central Bedfordshire</t>
  </si>
  <si>
    <t>LU5 4HR</t>
  </si>
  <si>
    <t>Date Valley School Trust</t>
  </si>
  <si>
    <t>CR4 4LB</t>
  </si>
  <si>
    <t>Newbold School</t>
  </si>
  <si>
    <t>Bracknell Forest</t>
  </si>
  <si>
    <t>RG42 4AH</t>
  </si>
  <si>
    <t>Alder Bridge School</t>
  </si>
  <si>
    <t>West Berkshire</t>
  </si>
  <si>
    <t>RG7 4JU</t>
  </si>
  <si>
    <t>ITS322073</t>
  </si>
  <si>
    <t>Cressex Lodge (SWAAY)</t>
  </si>
  <si>
    <t>RG42 4DE</t>
  </si>
  <si>
    <t>Crown House School</t>
  </si>
  <si>
    <t>HP11 1QX</t>
  </si>
  <si>
    <t>Macintyre School</t>
  </si>
  <si>
    <t>HP22 4PA</t>
  </si>
  <si>
    <t>Aurora Meldreth Manor School</t>
  </si>
  <si>
    <t>SG8 6LG</t>
  </si>
  <si>
    <t>Mander Portman Woodward</t>
  </si>
  <si>
    <t>CB2 1JE</t>
  </si>
  <si>
    <t>Chartwell House School</t>
  </si>
  <si>
    <t>PE13 5HQ</t>
  </si>
  <si>
    <t>Yorston Lodge School</t>
  </si>
  <si>
    <t>WA16 0DP</t>
  </si>
  <si>
    <t>Oversands School</t>
  </si>
  <si>
    <t>LA11 6SD</t>
  </si>
  <si>
    <t>Cedar House School</t>
  </si>
  <si>
    <t>LA2 7DD</t>
  </si>
  <si>
    <t>Underley Garden School</t>
  </si>
  <si>
    <t>LA6 2DZ</t>
  </si>
  <si>
    <t>Alderwasley Hall School</t>
  </si>
  <si>
    <t>DE56 2SR</t>
  </si>
  <si>
    <t>Dame Catherine Harpur's School</t>
  </si>
  <si>
    <t>DE73 7JW</t>
  </si>
  <si>
    <t>St Wilfrid's School</t>
  </si>
  <si>
    <t>EX4 4DA</t>
  </si>
  <si>
    <t>Vranch House School</t>
  </si>
  <si>
    <t>EX4 8AD</t>
  </si>
  <si>
    <t>Fletewood School at Derry Villas</t>
  </si>
  <si>
    <t>Plymouth</t>
  </si>
  <si>
    <t>PL4 6AN</t>
  </si>
  <si>
    <t>South Devon Steiner School</t>
  </si>
  <si>
    <t>TQ9 6AB</t>
  </si>
  <si>
    <t>ITS316952</t>
  </si>
  <si>
    <t>Quay View School</t>
  </si>
  <si>
    <t>PL20 7EX</t>
  </si>
  <si>
    <t>Exeter Tutorial College</t>
  </si>
  <si>
    <t>EX2 4TE</t>
  </si>
  <si>
    <t>Ringwood Waldorf School</t>
  </si>
  <si>
    <t>BH24 2NN</t>
  </si>
  <si>
    <t>ITS329689</t>
  </si>
  <si>
    <t>St Thomas Garnet's School</t>
  </si>
  <si>
    <t>BH5 2BH</t>
  </si>
  <si>
    <t>Sheiling School</t>
  </si>
  <si>
    <t>BH24 2EB</t>
  </si>
  <si>
    <t>Michael Hall School</t>
  </si>
  <si>
    <t>RH18 5JA</t>
  </si>
  <si>
    <t>ITS333827</t>
  </si>
  <si>
    <t>Claremont School</t>
  </si>
  <si>
    <t>TN37 7PW</t>
  </si>
  <si>
    <t>Northease Manor School</t>
  </si>
  <si>
    <t>BN7 3EY</t>
  </si>
  <si>
    <t>Darvell School</t>
  </si>
  <si>
    <t>TN32 5DR</t>
  </si>
  <si>
    <t>The Brighton Waldorf School</t>
  </si>
  <si>
    <t>BN2 5RA</t>
  </si>
  <si>
    <t>ITS316921</t>
  </si>
  <si>
    <t>Herington House School</t>
  </si>
  <si>
    <t>CM13 2NS</t>
  </si>
  <si>
    <t>Woodcroft School</t>
  </si>
  <si>
    <t>IG10 1SQ</t>
  </si>
  <si>
    <t>Doucecroft School</t>
  </si>
  <si>
    <t>CO6 3QL</t>
  </si>
  <si>
    <t>Wynstones School</t>
  </si>
  <si>
    <t>GL4 0UF</t>
  </si>
  <si>
    <t>ITS298233</t>
  </si>
  <si>
    <t>Cotswold Chine School</t>
  </si>
  <si>
    <t>GL6 9AG</t>
  </si>
  <si>
    <t>Hartmore School</t>
  </si>
  <si>
    <t>GL19 3BG</t>
  </si>
  <si>
    <t>Al-Ashraf Secondary School for Girls</t>
  </si>
  <si>
    <t>GL1 4AW</t>
  </si>
  <si>
    <t>Southlands School</t>
  </si>
  <si>
    <t>SO41 5QB</t>
  </si>
  <si>
    <t>Hill House School</t>
  </si>
  <si>
    <t>SO41 8NE</t>
  </si>
  <si>
    <t>St Edward's School</t>
  </si>
  <si>
    <t>SO51 6ZR</t>
  </si>
  <si>
    <t>Coxlease School</t>
  </si>
  <si>
    <t>SO43 7DE</t>
  </si>
  <si>
    <t>Grateley House School</t>
  </si>
  <si>
    <t>SP11 8TA</t>
  </si>
  <si>
    <t>The Loddon School</t>
  </si>
  <si>
    <t>RG27 0JD</t>
  </si>
  <si>
    <t>The Forum School</t>
  </si>
  <si>
    <t>DT11 0QS</t>
  </si>
  <si>
    <t>Cambian New Elizabethan School</t>
  </si>
  <si>
    <t>DY11 7TE</t>
  </si>
  <si>
    <t>Rowden House School</t>
  </si>
  <si>
    <t>HR7 4LS</t>
  </si>
  <si>
    <t>Cambian Hereford School</t>
  </si>
  <si>
    <t>HR6 8LL</t>
  </si>
  <si>
    <t>Radlett Preparatory School</t>
  </si>
  <si>
    <t>WD7 7LY</t>
  </si>
  <si>
    <t>Radlett Lodge School</t>
  </si>
  <si>
    <t>WD7 9HW</t>
  </si>
  <si>
    <t>High Elms Manor School</t>
  </si>
  <si>
    <t>WD25 0JX</t>
  </si>
  <si>
    <t>Longwood School &amp; Nursery</t>
  </si>
  <si>
    <t>WD23 2QG</t>
  </si>
  <si>
    <t>Priory School</t>
  </si>
  <si>
    <t>Isle of Wight</t>
  </si>
  <si>
    <t>PO32 6LP</t>
  </si>
  <si>
    <t>Shernold School</t>
  </si>
  <si>
    <t>ME16 0ER</t>
  </si>
  <si>
    <t>Chartfield School</t>
  </si>
  <si>
    <t>CT8 8DA</t>
  </si>
  <si>
    <t>Bryony School</t>
  </si>
  <si>
    <t>ME8 0AJ</t>
  </si>
  <si>
    <t>Ripplevale School</t>
  </si>
  <si>
    <t>CT14 8JG</t>
  </si>
  <si>
    <t>Elliott Park School</t>
  </si>
  <si>
    <t>ME12 2DP</t>
  </si>
  <si>
    <t>Heath Farm School</t>
  </si>
  <si>
    <t>TN27 0AX</t>
  </si>
  <si>
    <t>Learning Opportunities Centre Secondary</t>
  </si>
  <si>
    <t>CT14 8DW</t>
  </si>
  <si>
    <t>Brewood Secondary School</t>
  </si>
  <si>
    <t>CT14 9TR</t>
  </si>
  <si>
    <t>Rossendale School</t>
  </si>
  <si>
    <t>BL0 0RT</t>
  </si>
  <si>
    <t>Crookhey Hall School</t>
  </si>
  <si>
    <t>LA2 0HA</t>
  </si>
  <si>
    <t>Waterloo Lodge School</t>
  </si>
  <si>
    <t>PR6 7AX</t>
  </si>
  <si>
    <t>Leicester Preparatory School</t>
  </si>
  <si>
    <t>LE2 2AA</t>
  </si>
  <si>
    <t>The Grange Therapeutic School</t>
  </si>
  <si>
    <t>LE15 8LY</t>
  </si>
  <si>
    <t>Twycross House School</t>
  </si>
  <si>
    <t>CV9 3PL</t>
  </si>
  <si>
    <t>Leicester Islamic Academy</t>
  </si>
  <si>
    <t>LE2 2PJ</t>
  </si>
  <si>
    <t>Twycross House Pre-Preparatory School</t>
  </si>
  <si>
    <t>CV9 3PQ</t>
  </si>
  <si>
    <t>The Viking School</t>
  </si>
  <si>
    <t>PE25 2QJ</t>
  </si>
  <si>
    <t>LN6 9LU</t>
  </si>
  <si>
    <t>Greenwich House School</t>
  </si>
  <si>
    <t>LN11 0HE</t>
  </si>
  <si>
    <t>York Steiner School</t>
  </si>
  <si>
    <t>York</t>
  </si>
  <si>
    <t>YO10 4PB</t>
  </si>
  <si>
    <t>ITS307266</t>
  </si>
  <si>
    <t>Wharfedale Montessori School</t>
  </si>
  <si>
    <t>BD23 6AN</t>
  </si>
  <si>
    <t>ITS330791</t>
  </si>
  <si>
    <t>Saville House School</t>
  </si>
  <si>
    <t>NG19 8AH</t>
  </si>
  <si>
    <t>Orchard School</t>
  </si>
  <si>
    <t>DN22 0DJ</t>
  </si>
  <si>
    <t>Hillcrest Park School</t>
  </si>
  <si>
    <t>OX7 5QH</t>
  </si>
  <si>
    <t>The White House School</t>
  </si>
  <si>
    <t>SY13 2AA</t>
  </si>
  <si>
    <t>Marchant Holliday School</t>
  </si>
  <si>
    <t>BA8 0AH</t>
  </si>
  <si>
    <t>Maple Hayes Hall School</t>
  </si>
  <si>
    <t>WS13 8BL</t>
  </si>
  <si>
    <t>Roaches School</t>
  </si>
  <si>
    <t>ST8 7AB</t>
  </si>
  <si>
    <t>Bramfield House School</t>
  </si>
  <si>
    <t>IP19 9AB</t>
  </si>
  <si>
    <t>Centre Academy East Anglia</t>
  </si>
  <si>
    <t>IP7 7QR</t>
  </si>
  <si>
    <t>Knowl Hill School</t>
  </si>
  <si>
    <t>GU24 0JN</t>
  </si>
  <si>
    <t>Arc School Old Arley</t>
  </si>
  <si>
    <t>Aidenswood</t>
  </si>
  <si>
    <t>CW12 4ED</t>
  </si>
  <si>
    <t>Rikkyo School-in-England</t>
  </si>
  <si>
    <t>RH12 3BE</t>
  </si>
  <si>
    <t>Philpots Manor School</t>
  </si>
  <si>
    <t>RH19 4PR</t>
  </si>
  <si>
    <t>The Education Centre</t>
  </si>
  <si>
    <t>RH16 1DB</t>
  </si>
  <si>
    <t>Avondale Preparatory School</t>
  </si>
  <si>
    <t>SP4 9DR</t>
  </si>
  <si>
    <t>Three Bridges School</t>
  </si>
  <si>
    <t>TR4 8EG</t>
  </si>
  <si>
    <t>Norwich Steiner School</t>
  </si>
  <si>
    <t>NR1 2HW</t>
  </si>
  <si>
    <t>Thomas's Fulham</t>
  </si>
  <si>
    <t>SW6 3ES</t>
  </si>
  <si>
    <t xml:space="preserve">Al-Ameen Primary School </t>
  </si>
  <si>
    <t>B11 2JR</t>
  </si>
  <si>
    <t>Bicker Preparatory and Early Years School</t>
  </si>
  <si>
    <t>PE20 3DW</t>
  </si>
  <si>
    <t>Yeshivah Ohr Torah School</t>
  </si>
  <si>
    <t>M7 4FX</t>
  </si>
  <si>
    <t>Manchester Islamic Grammar School for Girls</t>
  </si>
  <si>
    <t>M21 9FA</t>
  </si>
  <si>
    <t>Meadowpark School</t>
  </si>
  <si>
    <t>SN6 6DD</t>
  </si>
  <si>
    <t>Emmanuel School</t>
  </si>
  <si>
    <t>Walsall</t>
  </si>
  <si>
    <t>WS2 8PR</t>
  </si>
  <si>
    <t>Rabia Girls' and Boys' School</t>
  </si>
  <si>
    <t>Appletree School</t>
  </si>
  <si>
    <t>LA9 7QS</t>
  </si>
  <si>
    <t>Thomas's Clapham</t>
  </si>
  <si>
    <t>SW11 6JZ</t>
  </si>
  <si>
    <t>Tashbar of Edgware</t>
  </si>
  <si>
    <t>HA8 8JL</t>
  </si>
  <si>
    <t>Acorn Cottage</t>
  </si>
  <si>
    <t>IP7 6NY</t>
  </si>
  <si>
    <t>Crystal Gardens Primary School</t>
  </si>
  <si>
    <t>BD5 7PE</t>
  </si>
  <si>
    <t>The Birches</t>
  </si>
  <si>
    <t>Lighthouse School</t>
  </si>
  <si>
    <t>CT9 2QJ</t>
  </si>
  <si>
    <t>Etz Chaim Boys School</t>
  </si>
  <si>
    <t>M7 4LJ</t>
  </si>
  <si>
    <t>Belmont School</t>
  </si>
  <si>
    <t>BB4 6RX</t>
  </si>
  <si>
    <t>Beis Soroh Schneirer</t>
  </si>
  <si>
    <t>NW9 6AX</t>
  </si>
  <si>
    <t>Brondesbury College London</t>
  </si>
  <si>
    <t>NW6 7BT</t>
  </si>
  <si>
    <t>Chilworth House School</t>
  </si>
  <si>
    <t>OX33 1JP</t>
  </si>
  <si>
    <t>Talmud Torah Tiferes Shlomoh</t>
  </si>
  <si>
    <t>Finchley and Acton Yochien School</t>
  </si>
  <si>
    <t>N3 1UE</t>
  </si>
  <si>
    <t>Al-Furqaan Preparatory School</t>
  </si>
  <si>
    <t>WF13 2JR</t>
  </si>
  <si>
    <t>Progress School</t>
  </si>
  <si>
    <t>PR5 6AQ</t>
  </si>
  <si>
    <t>Hillcrest Manor House School</t>
  </si>
  <si>
    <t>RH13 0QX</t>
  </si>
  <si>
    <t>Mill Cottage Montessori School</t>
  </si>
  <si>
    <t>Calderdale</t>
  </si>
  <si>
    <t>HD6 4HA</t>
  </si>
  <si>
    <t>Red Rose School</t>
  </si>
  <si>
    <t>FY8 2NQ</t>
  </si>
  <si>
    <t>Green Oak Academy</t>
  </si>
  <si>
    <t>B13 9BB</t>
  </si>
  <si>
    <t>W14 9SD</t>
  </si>
  <si>
    <t>Beis Aharon School</t>
  </si>
  <si>
    <t>N16 5ED</t>
  </si>
  <si>
    <t>Darwin School</t>
  </si>
  <si>
    <t>Beech Grove School</t>
  </si>
  <si>
    <t>CT15 4FB</t>
  </si>
  <si>
    <t>Green Gables Montessori Primary School</t>
  </si>
  <si>
    <t>E1W 2RG</t>
  </si>
  <si>
    <t>Cavendish School</t>
  </si>
  <si>
    <t>SE16 2PA</t>
  </si>
  <si>
    <t>Kingsmere School</t>
  </si>
  <si>
    <t>Barnet Hill Academy</t>
  </si>
  <si>
    <t>NW4 3ES</t>
  </si>
  <si>
    <t>Wentworth Tutorial College</t>
  </si>
  <si>
    <t>NW11 9LH</t>
  </si>
  <si>
    <t>The Academy School</t>
  </si>
  <si>
    <t>NW3 1NG</t>
  </si>
  <si>
    <t>The Linnet Independent Learning Centre</t>
  </si>
  <si>
    <t>DE11 9JE</t>
  </si>
  <si>
    <t>Ghausia Girls' High School</t>
  </si>
  <si>
    <t>BB9 7EN</t>
  </si>
  <si>
    <t>Beis Trana Girls' School</t>
  </si>
  <si>
    <t>E5 9DH</t>
  </si>
  <si>
    <t>Educare Small School</t>
  </si>
  <si>
    <t>Kingston upon Thames</t>
  </si>
  <si>
    <t>KT2 6DZ</t>
  </si>
  <si>
    <t>HR8 2PZ</t>
  </si>
  <si>
    <t>The Lioncare School</t>
  </si>
  <si>
    <t>BN3 5HD</t>
  </si>
  <si>
    <t>St Paul's Steiner School</t>
  </si>
  <si>
    <t>N1 2QH</t>
  </si>
  <si>
    <t>ITS301617</t>
  </si>
  <si>
    <t>Cedar Lodge</t>
  </si>
  <si>
    <t>Jamiatul Ummah School</t>
  </si>
  <si>
    <t>E1 2ND</t>
  </si>
  <si>
    <t>Jamiatul-Ilm Wal-Huda UK School</t>
  </si>
  <si>
    <t>BB1 5JT</t>
  </si>
  <si>
    <t>Tiferes High School</t>
  </si>
  <si>
    <t>NW4 2TA</t>
  </si>
  <si>
    <t>The Old Priory School</t>
  </si>
  <si>
    <t>CT11 9PG</t>
  </si>
  <si>
    <t>Cambian Somerset School</t>
  </si>
  <si>
    <t>TA3 5PX</t>
  </si>
  <si>
    <t>The Pace Centre</t>
  </si>
  <si>
    <t>HP19 9JL</t>
  </si>
  <si>
    <t>The Amicus School</t>
  </si>
  <si>
    <t>BN18 0SX</t>
  </si>
  <si>
    <t>Tadley Court School</t>
  </si>
  <si>
    <t>RG26 3TB</t>
  </si>
  <si>
    <t>Blue Mountain Education</t>
  </si>
  <si>
    <t>NG16 2SD</t>
  </si>
  <si>
    <t>The Serendipity School</t>
  </si>
  <si>
    <t>SO19 6DS</t>
  </si>
  <si>
    <t>Trax Academy</t>
  </si>
  <si>
    <t>Oliver House School</t>
  </si>
  <si>
    <t>PR7 1XA</t>
  </si>
  <si>
    <t>West Heath School</t>
  </si>
  <si>
    <t>TN13 1SR</t>
  </si>
  <si>
    <t>Oakfield House School</t>
  </si>
  <si>
    <t>TQ9 5LQ</t>
  </si>
  <si>
    <t>Elland House School</t>
  </si>
  <si>
    <t>OL2 5PJ</t>
  </si>
  <si>
    <t>London Bunka Yochien School</t>
  </si>
  <si>
    <t>W3 0BP</t>
  </si>
  <si>
    <t>Tabernacle School</t>
  </si>
  <si>
    <t>W11 4RS</t>
  </si>
  <si>
    <t>Greater Grace School of Christian Education</t>
  </si>
  <si>
    <t>CH2 4BE</t>
  </si>
  <si>
    <t>iMap Centre</t>
  </si>
  <si>
    <t>CH3 7JA</t>
  </si>
  <si>
    <t>Cambian Northampton School</t>
  </si>
  <si>
    <t>NN2 6LR</t>
  </si>
  <si>
    <t>Cambridge Steiner School</t>
  </si>
  <si>
    <t>CB21 5DZ</t>
  </si>
  <si>
    <t>ITS320733</t>
  </si>
  <si>
    <t>Broadwood School</t>
  </si>
  <si>
    <t>HX2 0RU</t>
  </si>
  <si>
    <t>North Hill House</t>
  </si>
  <si>
    <t>BA11 2HB</t>
  </si>
  <si>
    <t>Jigsaw CABAS School</t>
  </si>
  <si>
    <t>GU6 8TB</t>
  </si>
  <si>
    <t>Maria Montessori School</t>
  </si>
  <si>
    <t>NW3 5NW</t>
  </si>
  <si>
    <t>Priors Court School</t>
  </si>
  <si>
    <t>RG18 9NU</t>
  </si>
  <si>
    <t>Apple Orchard Slinfold</t>
  </si>
  <si>
    <t>RH13 0RQ</t>
  </si>
  <si>
    <t>Lancaster Steiner School</t>
  </si>
  <si>
    <t>LA1 5QU</t>
  </si>
  <si>
    <t>ITS317816</t>
  </si>
  <si>
    <t>Eden Park Academy</t>
  </si>
  <si>
    <t>CA1 1JZ</t>
  </si>
  <si>
    <t>Auckland College</t>
  </si>
  <si>
    <t>L17 4LE</t>
  </si>
  <si>
    <t>Pegasus School</t>
  </si>
  <si>
    <t>DE12 6RS</t>
  </si>
  <si>
    <t>Fig Tree Primary School</t>
  </si>
  <si>
    <t>NG7 4AF</t>
  </si>
  <si>
    <t>Brian Jackson College</t>
  </si>
  <si>
    <t>WF16 0AD</t>
  </si>
  <si>
    <t>Rugeley School</t>
  </si>
  <si>
    <t>WS15 3JQ</t>
  </si>
  <si>
    <t>Tawhid Boys School, Tawhid Educational Trust</t>
  </si>
  <si>
    <t>N16 6PA</t>
  </si>
  <si>
    <t>Imam Muhammad Zakariya School</t>
  </si>
  <si>
    <t>PR1 3TN</t>
  </si>
  <si>
    <t>Values Academy</t>
  </si>
  <si>
    <t>B18 5PB</t>
  </si>
  <si>
    <t>Islamiyah School</t>
  </si>
  <si>
    <t>BB1 5NQ</t>
  </si>
  <si>
    <t>Abu Bakr Girls School</t>
  </si>
  <si>
    <t>WS1 4JJ</t>
  </si>
  <si>
    <t xml:space="preserve">Access School </t>
  </si>
  <si>
    <t>SY4 3EW</t>
  </si>
  <si>
    <t xml:space="preserve">Tumblewood Community School  </t>
  </si>
  <si>
    <t>BA13 4LF</t>
  </si>
  <si>
    <t>CACFO UK Education Centre</t>
  </si>
  <si>
    <t>CR7 8HQ</t>
  </si>
  <si>
    <t>The Lloyd Williamson School</t>
  </si>
  <si>
    <t>W10 5SH</t>
  </si>
  <si>
    <t>London Islamic School</t>
  </si>
  <si>
    <t>E1 2HX</t>
  </si>
  <si>
    <t>Westmorland School</t>
  </si>
  <si>
    <t>PR7 3NQ</t>
  </si>
  <si>
    <t>Howard House</t>
  </si>
  <si>
    <t>NE22 6BB</t>
  </si>
  <si>
    <t>Lakeside School</t>
  </si>
  <si>
    <t>L27 2YA</t>
  </si>
  <si>
    <t>Madrasatul Imam Muhammad Zakariya</t>
  </si>
  <si>
    <t>BL1 8LX</t>
  </si>
  <si>
    <t>Liverpool Progressive School</t>
  </si>
  <si>
    <t>L9 1NR</t>
  </si>
  <si>
    <t>Fell House School</t>
  </si>
  <si>
    <t>LA11 6AS</t>
  </si>
  <si>
    <t>Brighton and Hove Montessori School</t>
  </si>
  <si>
    <t>BN1 6FB</t>
  </si>
  <si>
    <t>Jameah Academy</t>
  </si>
  <si>
    <t>LE5 3SD</t>
  </si>
  <si>
    <t>Cambian Beverley School</t>
  </si>
  <si>
    <t>HU17 0EW</t>
  </si>
  <si>
    <t>Cressey College</t>
  </si>
  <si>
    <t>CR0 5SP</t>
  </si>
  <si>
    <t>Side By Side School</t>
  </si>
  <si>
    <t>E5 9HH</t>
  </si>
  <si>
    <t>Cornfield School</t>
  </si>
  <si>
    <t>RH1 5HS</t>
  </si>
  <si>
    <t>Halton School</t>
  </si>
  <si>
    <t>WA7 2AN</t>
  </si>
  <si>
    <t>Noor Ul Islam Primary School</t>
  </si>
  <si>
    <t>E10 6QW</t>
  </si>
  <si>
    <t>Somerset Progressive School</t>
  </si>
  <si>
    <t>TA3 5RH</t>
  </si>
  <si>
    <t>Great Oaks Small School</t>
  </si>
  <si>
    <t>CT12 5FH</t>
  </si>
  <si>
    <t>Markazul Uloom</t>
  </si>
  <si>
    <t>BB2 3NY</t>
  </si>
  <si>
    <t>Greenfields Primary School</t>
  </si>
  <si>
    <t>B10 9SN</t>
  </si>
  <si>
    <t>Al-Mizan School</t>
  </si>
  <si>
    <t>E1 1JX</t>
  </si>
  <si>
    <t>The Old School House</t>
  </si>
  <si>
    <t>PE14 0HA</t>
  </si>
  <si>
    <t>Grantham Farm Montessori School</t>
  </si>
  <si>
    <t>RG26 5JS</t>
  </si>
  <si>
    <t>Al-Burhan Grammar School</t>
  </si>
  <si>
    <t>B11 3DW</t>
  </si>
  <si>
    <t>Islamic Shakhsiyah Foundation</t>
  </si>
  <si>
    <t>N15 5RG</t>
  </si>
  <si>
    <t>St Albans Independent College</t>
  </si>
  <si>
    <t>AL1 1LN</t>
  </si>
  <si>
    <t>Darul Uloom Dawatul Imaan</t>
  </si>
  <si>
    <t>BD4 9PH</t>
  </si>
  <si>
    <t>Headstart</t>
  </si>
  <si>
    <t>TN33 9EG</t>
  </si>
  <si>
    <t>Bright Futures</t>
  </si>
  <si>
    <t>Warrington</t>
  </si>
  <si>
    <t>WA13 0GH</t>
  </si>
  <si>
    <t>Wings School</t>
  </si>
  <si>
    <t>Normanton House School</t>
  </si>
  <si>
    <t>Derby</t>
  </si>
  <si>
    <t>DE23 8DF</t>
  </si>
  <si>
    <t>North Lincolnshire</t>
  </si>
  <si>
    <t>DN18 6DA</t>
  </si>
  <si>
    <t>Hopewell School (Harmony House)</t>
  </si>
  <si>
    <t>RM9 6XN</t>
  </si>
  <si>
    <t>New Direction School</t>
  </si>
  <si>
    <t>S43 4BX</t>
  </si>
  <si>
    <t>Right Choice Independent Special School</t>
  </si>
  <si>
    <t>SE18 6BB</t>
  </si>
  <si>
    <t>Azhar Academy Girls School</t>
  </si>
  <si>
    <t>E7 9HL</t>
  </si>
  <si>
    <t>The Vine Christian School</t>
  </si>
  <si>
    <t>Wokingham</t>
  </si>
  <si>
    <t>RG7 1HF</t>
  </si>
  <si>
    <t>Al Mumin Primary and Secondary School</t>
  </si>
  <si>
    <t>BD8 7DA</t>
  </si>
  <si>
    <t>Lewis Charlton Learning Centre</t>
  </si>
  <si>
    <t>LE65 1HU</t>
  </si>
  <si>
    <t>Include Schools Norfolk</t>
  </si>
  <si>
    <t>NR6 6HE</t>
  </si>
  <si>
    <t>Afifah School</t>
  </si>
  <si>
    <t>M16 9GN</t>
  </si>
  <si>
    <t>Jamia Islamia Birmingham</t>
  </si>
  <si>
    <t>B11 1PL</t>
  </si>
  <si>
    <t>The From Boyhood To Manhood Foundation</t>
  </si>
  <si>
    <t>SE15 6EF</t>
  </si>
  <si>
    <t>ITS385632</t>
  </si>
  <si>
    <t>Al Huda Academy (Jamia Al-Hudaa)</t>
  </si>
  <si>
    <t>S9 3FY</t>
  </si>
  <si>
    <t>Rochdale Islamic Academy</t>
  </si>
  <si>
    <t>OL12 0HZ</t>
  </si>
  <si>
    <t>Zakariya Primary School</t>
  </si>
  <si>
    <t>N9 8LD</t>
  </si>
  <si>
    <t>Eagle House School</t>
  </si>
  <si>
    <t>CR4 3HD</t>
  </si>
  <si>
    <t>Emmanuel Christian School</t>
  </si>
  <si>
    <t>LE3 1QP</t>
  </si>
  <si>
    <t>The Quest School</t>
  </si>
  <si>
    <t>TN12 6PY</t>
  </si>
  <si>
    <t xml:space="preserve">Wathen Grange School </t>
  </si>
  <si>
    <t>CV9 1PZ</t>
  </si>
  <si>
    <t>Quwwat Ul Islam Girls' School</t>
  </si>
  <si>
    <t>E7 9NB</t>
  </si>
  <si>
    <t>Step By Step School</t>
  </si>
  <si>
    <t>RH19 4HP</t>
  </si>
  <si>
    <t>Freyburg School</t>
  </si>
  <si>
    <t>S80 3BP</t>
  </si>
  <si>
    <t>Cambian Scarborough School</t>
  </si>
  <si>
    <t>YO11 3BQ</t>
  </si>
  <si>
    <t>North London Grammar School</t>
  </si>
  <si>
    <t>NW9 6HB</t>
  </si>
  <si>
    <t>Cambian Whinfell School</t>
  </si>
  <si>
    <t>LA9 5EZ</t>
  </si>
  <si>
    <t>Jamiatul Uloom Al - Islamia</t>
  </si>
  <si>
    <t>LU3 1RF</t>
  </si>
  <si>
    <t>Al-Aqsa Schools Trust</t>
  </si>
  <si>
    <t>LE5 4PP</t>
  </si>
  <si>
    <t>London East Academy</t>
  </si>
  <si>
    <t>Stepping Stones School Hindhead</t>
  </si>
  <si>
    <t>GU26 6SU</t>
  </si>
  <si>
    <t>3 Dimensions</t>
  </si>
  <si>
    <t>TA20 3AJ</t>
  </si>
  <si>
    <t>Estuary High School</t>
  </si>
  <si>
    <t>SS9 3NH</t>
  </si>
  <si>
    <t>Avocet House</t>
  </si>
  <si>
    <t>NR14 6QP</t>
  </si>
  <si>
    <t>Parkside House School</t>
  </si>
  <si>
    <t>NE27 0AB</t>
  </si>
  <si>
    <t>Small Haven School</t>
  </si>
  <si>
    <t>CT12 6PT</t>
  </si>
  <si>
    <t>South Park Enterprise College (11-19)</t>
  </si>
  <si>
    <t>DN17 2TX</t>
  </si>
  <si>
    <t>Acorn Park School</t>
  </si>
  <si>
    <t>NR16 2HU</t>
  </si>
  <si>
    <t>Ellern Mede School</t>
  </si>
  <si>
    <t>NW7 4HX</t>
  </si>
  <si>
    <t>Roselyn House School</t>
  </si>
  <si>
    <t>PR25 4SE</t>
  </si>
  <si>
    <t>Hillcrest Jubilee School</t>
  </si>
  <si>
    <t>PO7 7RE</t>
  </si>
  <si>
    <t>My Choice School-Ocean Pearl</t>
  </si>
  <si>
    <t>BN18 9QY</t>
  </si>
  <si>
    <t>Pear Tree School</t>
  </si>
  <si>
    <t>DL2 2UQ</t>
  </si>
  <si>
    <t>Ayesha Siddiqa Girls School</t>
  </si>
  <si>
    <t>UB1 1LS</t>
  </si>
  <si>
    <t>Gloucester House, The Tavistock Children's Day Unit</t>
  </si>
  <si>
    <t>NW3 5BU</t>
  </si>
  <si>
    <t>Beis Hatalmud School</t>
  </si>
  <si>
    <t>M7 2FD</t>
  </si>
  <si>
    <t>Springboard Education</t>
  </si>
  <si>
    <t>BN15 8AN</t>
  </si>
  <si>
    <t>Arnfield Independent School</t>
  </si>
  <si>
    <t>SK10 5JR</t>
  </si>
  <si>
    <t>The Annex School House</t>
  </si>
  <si>
    <t>BR8 7PS</t>
  </si>
  <si>
    <t>St Paul's</t>
  </si>
  <si>
    <t>B12 8NJ</t>
  </si>
  <si>
    <t>Sketchley School</t>
  </si>
  <si>
    <t>LE10 3HT</t>
  </si>
  <si>
    <t>Trinity College</t>
  </si>
  <si>
    <t>LE11 1BA</t>
  </si>
  <si>
    <t>Fair Ways School</t>
  </si>
  <si>
    <t>SO31 7HE</t>
  </si>
  <si>
    <t>Demeter House</t>
  </si>
  <si>
    <t>DN20 8EF</t>
  </si>
  <si>
    <t>Broadlands Hall</t>
  </si>
  <si>
    <t>CB9 7UD</t>
  </si>
  <si>
    <t>Stepping Stones</t>
  </si>
  <si>
    <t>L'Ecole de Battersea</t>
  </si>
  <si>
    <t>SW11 3DS</t>
  </si>
  <si>
    <t>Stonegate School</t>
  </si>
  <si>
    <t>LA2 7BX</t>
  </si>
  <si>
    <t>Colston Bassett School Limited</t>
  </si>
  <si>
    <t>NG12 3FD</t>
  </si>
  <si>
    <t>Southover Partnership School</t>
  </si>
  <si>
    <t>NW9 9HA</t>
  </si>
  <si>
    <t>Dove School</t>
  </si>
  <si>
    <t>S75 6PP</t>
  </si>
  <si>
    <t>Shelldene House School</t>
  </si>
  <si>
    <t>PE14 0HJ</t>
  </si>
  <si>
    <t>Al-Islamia Institute for Education</t>
  </si>
  <si>
    <t>LE2 0SA</t>
  </si>
  <si>
    <t>Hope House School</t>
  </si>
  <si>
    <t>NG24 3NE</t>
  </si>
  <si>
    <t>Papillon House</t>
  </si>
  <si>
    <t>KT20 7PA</t>
  </si>
  <si>
    <t>Kirby Moor School</t>
  </si>
  <si>
    <t>CA8 2AB</t>
  </si>
  <si>
    <t>Unsted Park School</t>
  </si>
  <si>
    <t>GU7 1UW</t>
  </si>
  <si>
    <t>Future First Independent School</t>
  </si>
  <si>
    <t>B18 7RL</t>
  </si>
  <si>
    <t>Cambian Hartlepool School</t>
  </si>
  <si>
    <t>Hartlepool</t>
  </si>
  <si>
    <t>TS25 1NN</t>
  </si>
  <si>
    <t>Hope View School</t>
  </si>
  <si>
    <t>CT4 8EG</t>
  </si>
  <si>
    <t>TF11 9ET</t>
  </si>
  <si>
    <t>The Island Project School</t>
  </si>
  <si>
    <t>CV7 7HQ</t>
  </si>
  <si>
    <t>Abu Bakr Boys School</t>
  </si>
  <si>
    <t>WS2 7AN</t>
  </si>
  <si>
    <t>Ferndearle</t>
  </si>
  <si>
    <t>CT19 5HH</t>
  </si>
  <si>
    <t>The Evolution Centre</t>
  </si>
  <si>
    <t>SY3 8EQ</t>
  </si>
  <si>
    <t>Bloomfield School</t>
  </si>
  <si>
    <t>DY4 9ER</t>
  </si>
  <si>
    <t>Penarth Group School</t>
  </si>
  <si>
    <t>SK5 7JG</t>
  </si>
  <si>
    <t>Oakwood Primary School</t>
  </si>
  <si>
    <t>LU1 3RR</t>
  </si>
  <si>
    <t>Blue Skies School</t>
  </si>
  <si>
    <t>ME4 6DQ</t>
  </si>
  <si>
    <t>Soaring High Montessori School</t>
  </si>
  <si>
    <t>CO6 1TH</t>
  </si>
  <si>
    <t>Stanborough Primary School</t>
  </si>
  <si>
    <t>WD25 0DQ</t>
  </si>
  <si>
    <t>Progress Schools - Buckinghamshire</t>
  </si>
  <si>
    <t>HP12 4JG</t>
  </si>
  <si>
    <t>Aim Habonim</t>
  </si>
  <si>
    <t>M7 4NX</t>
  </si>
  <si>
    <t>The Tutorial Foundation</t>
  </si>
  <si>
    <t>BR1 3HY</t>
  </si>
  <si>
    <t>Green Heath School</t>
  </si>
  <si>
    <t>B10 0NR</t>
  </si>
  <si>
    <t>The Meadows Montessori School</t>
  </si>
  <si>
    <t>IP1 6AR</t>
  </si>
  <si>
    <t>Seadown School</t>
  </si>
  <si>
    <t>BN11 2BE</t>
  </si>
  <si>
    <t>Young Dancers Academy</t>
  </si>
  <si>
    <t>W12 8AR</t>
  </si>
  <si>
    <t>Inaura School</t>
  </si>
  <si>
    <t>TA7 0RB</t>
  </si>
  <si>
    <t>Weston Point College</t>
  </si>
  <si>
    <t>WA7 4UN</t>
  </si>
  <si>
    <t>Great Howarth School</t>
  </si>
  <si>
    <t>OL12 9HJ</t>
  </si>
  <si>
    <t>Progress Schools - Northamptonshire</t>
  </si>
  <si>
    <t>NN1 2BG</t>
  </si>
  <si>
    <t>My Choice School - Oak House</t>
  </si>
  <si>
    <t>RH16 1XQ</t>
  </si>
  <si>
    <t>St Andrew's College</t>
  </si>
  <si>
    <t>NN1 5HQ</t>
  </si>
  <si>
    <t>The British Muslim School</t>
  </si>
  <si>
    <t>B70 8NX</t>
  </si>
  <si>
    <t>North West London Independent Special School</t>
  </si>
  <si>
    <t>W3 7DD</t>
  </si>
  <si>
    <t>Eagle House School Sutton</t>
  </si>
  <si>
    <t>SM2 5SJ</t>
  </si>
  <si>
    <t>Cambian Devon School</t>
  </si>
  <si>
    <t>TQ4 7DQ</t>
  </si>
  <si>
    <t>Benjamin College</t>
  </si>
  <si>
    <t>HP19 7AR</t>
  </si>
  <si>
    <t>The Grange Learning Centre</t>
  </si>
  <si>
    <t>DL15 0TY</t>
  </si>
  <si>
    <t>Teaseldown School</t>
  </si>
  <si>
    <t>CO9 3PX</t>
  </si>
  <si>
    <t>Freshsteps</t>
  </si>
  <si>
    <t>Future Education</t>
  </si>
  <si>
    <t>NR5 8EG</t>
  </si>
  <si>
    <t>The Wisdom Academy</t>
  </si>
  <si>
    <t>B6 5UH</t>
  </si>
  <si>
    <t>Cambian Walnut Tree Lodge School</t>
  </si>
  <si>
    <t>MK44 2PY</t>
  </si>
  <si>
    <t>The Deenway Montessori School</t>
  </si>
  <si>
    <t>Reading</t>
  </si>
  <si>
    <t>RG1 4QX</t>
  </si>
  <si>
    <t>Green Meadow Independent Primary School</t>
  </si>
  <si>
    <t>WA3 2RD</t>
  </si>
  <si>
    <t>Aurora Brambles School</t>
  </si>
  <si>
    <t>PR26 7TB</t>
  </si>
  <si>
    <t>Bnos Zion of Bobov</t>
  </si>
  <si>
    <t>BA13 4JY</t>
  </si>
  <si>
    <t>Iqra Academy</t>
  </si>
  <si>
    <t>Peterborough</t>
  </si>
  <si>
    <t>PE3 8YQ</t>
  </si>
  <si>
    <t>B11 4RU</t>
  </si>
  <si>
    <t>Wings School Notts</t>
  </si>
  <si>
    <t>The Grange School</t>
  </si>
  <si>
    <t>WF5 9JE</t>
  </si>
  <si>
    <t>House of Light</t>
  </si>
  <si>
    <t>CV11 5RB</t>
  </si>
  <si>
    <t>ITS440219</t>
  </si>
  <si>
    <t>Lady Nafisa Independent Secondary School for Girls</t>
  </si>
  <si>
    <t>UB7 0JG</t>
  </si>
  <si>
    <t>Gretton School</t>
  </si>
  <si>
    <t>CB3 0RX</t>
  </si>
  <si>
    <t>Bracken School</t>
  </si>
  <si>
    <t>PR4 1YA</t>
  </si>
  <si>
    <t>East London Independent Special School</t>
  </si>
  <si>
    <t>E15 4HT</t>
  </si>
  <si>
    <t>Chepstow House School</t>
  </si>
  <si>
    <t>W11 1QS</t>
  </si>
  <si>
    <t>M7 4AJ</t>
  </si>
  <si>
    <t>Olsen House School</t>
  </si>
  <si>
    <t>Sefton</t>
  </si>
  <si>
    <t>Wize Up</t>
  </si>
  <si>
    <t>SE9 6DN</t>
  </si>
  <si>
    <t>Al-Ikhlaas Primary School</t>
  </si>
  <si>
    <t>BB9 7TN</t>
  </si>
  <si>
    <t>StreetVibes Media Academy</t>
  </si>
  <si>
    <t>SE9 1DA</t>
  </si>
  <si>
    <t>The Priory Lodge School</t>
  </si>
  <si>
    <t>SW15 5JJ</t>
  </si>
  <si>
    <t>New Forest Small School</t>
  </si>
  <si>
    <t>SO43 7BU</t>
  </si>
  <si>
    <t>KWS Educational Services</t>
  </si>
  <si>
    <t>MK41 9TJ</t>
  </si>
  <si>
    <t>Tiferes</t>
  </si>
  <si>
    <t>M7 2JR</t>
  </si>
  <si>
    <t>Bradshaw Farm Independent School</t>
  </si>
  <si>
    <t>SK17 0QY</t>
  </si>
  <si>
    <t>Old Sams Farm Independent School</t>
  </si>
  <si>
    <t>SK17 0SN</t>
  </si>
  <si>
    <t>Eternal Light Secondary School</t>
  </si>
  <si>
    <t>BD5 9DH</t>
  </si>
  <si>
    <t>Fitrah Sips</t>
  </si>
  <si>
    <t>SO14 0EJ</t>
  </si>
  <si>
    <t>Birtley House Independent School</t>
  </si>
  <si>
    <t>TN15 6AY</t>
  </si>
  <si>
    <t>Hillcrest Glebedale School</t>
  </si>
  <si>
    <t>ST4 3AY</t>
  </si>
  <si>
    <t>NN3 6QB</t>
  </si>
  <si>
    <t>TLC The Learning Centre</t>
  </si>
  <si>
    <t>Willow House</t>
  </si>
  <si>
    <t>SK8 6RF</t>
  </si>
  <si>
    <t>Bnos Beis Yaakov Primary School</t>
  </si>
  <si>
    <t>NW9 8XR</t>
  </si>
  <si>
    <t>Begdale House School</t>
  </si>
  <si>
    <t>PE14 0AZ</t>
  </si>
  <si>
    <t>TLG Manchester</t>
  </si>
  <si>
    <t>M9 5US</t>
  </si>
  <si>
    <t>Stradbroke</t>
  </si>
  <si>
    <t>IG8 8HD</t>
  </si>
  <si>
    <t>ITS462888</t>
  </si>
  <si>
    <t>P.A.C.E Alternative Education Ltd</t>
  </si>
  <si>
    <t>ST5 0LS</t>
  </si>
  <si>
    <t>The Pier Head Preparatory Montessori School</t>
  </si>
  <si>
    <t>E1W 3TD</t>
  </si>
  <si>
    <t>Meadows School</t>
  </si>
  <si>
    <t>OL12 9EN</t>
  </si>
  <si>
    <t>Bahr Academy</t>
  </si>
  <si>
    <t>Newcastle upon Tyne</t>
  </si>
  <si>
    <t>NE4 6PR</t>
  </si>
  <si>
    <t>Keys Tees Valley College</t>
  </si>
  <si>
    <t>Middlesbrough</t>
  </si>
  <si>
    <t>TS3 8BT</t>
  </si>
  <si>
    <t>Our Place</t>
  </si>
  <si>
    <t>WR6 5JE</t>
  </si>
  <si>
    <t>Norton College</t>
  </si>
  <si>
    <t>WR5 2PU</t>
  </si>
  <si>
    <t>The Holmewood School London</t>
  </si>
  <si>
    <t>N12 8SH</t>
  </si>
  <si>
    <t>Manchester  Young Lives</t>
  </si>
  <si>
    <t>M22 9TF</t>
  </si>
  <si>
    <t>Baston House School</t>
  </si>
  <si>
    <t>BR2 7AB</t>
  </si>
  <si>
    <t>Unity College</t>
  </si>
  <si>
    <t>HP12 3AE</t>
  </si>
  <si>
    <t>Green Crescent School</t>
  </si>
  <si>
    <t>NG6 0DG</t>
  </si>
  <si>
    <t>Toras Emes</t>
  </si>
  <si>
    <t>M7 4AH</t>
  </si>
  <si>
    <t>TLG West London</t>
  </si>
  <si>
    <t>W6 9JJ</t>
  </si>
  <si>
    <t>Northleigh House School</t>
  </si>
  <si>
    <t>CV35 7HZ</t>
  </si>
  <si>
    <t>RISE Education</t>
  </si>
  <si>
    <t>CR4 3ED</t>
  </si>
  <si>
    <t>TLG Reading</t>
  </si>
  <si>
    <t>RG31 4XR</t>
  </si>
  <si>
    <t>Beis Yaakov Girls School</t>
  </si>
  <si>
    <t>The Montessori Place</t>
  </si>
  <si>
    <t>BN3 3ER</t>
  </si>
  <si>
    <t>Al-Madani Girls School</t>
  </si>
  <si>
    <t>SL1 5PR</t>
  </si>
  <si>
    <t>Longdon Hall School</t>
  </si>
  <si>
    <t>WS15 4PT</t>
  </si>
  <si>
    <t>Edstart</t>
  </si>
  <si>
    <t>M6 6DW</t>
  </si>
  <si>
    <t>New Forest School</t>
  </si>
  <si>
    <t>SO45 1FJ</t>
  </si>
  <si>
    <t>Chilworth House Upper School</t>
  </si>
  <si>
    <t>Get U Started Training</t>
  </si>
  <si>
    <t>NE63 8SF</t>
  </si>
  <si>
    <t>Redstone Educational Academy</t>
  </si>
  <si>
    <t>B12 9AN</t>
  </si>
  <si>
    <t>The Imam Muhammad Adam Institute  School</t>
  </si>
  <si>
    <t>LE5 5AY</t>
  </si>
  <si>
    <t>Black Country Wheels School</t>
  </si>
  <si>
    <t>DY9 7ND</t>
  </si>
  <si>
    <t>Unity School</t>
  </si>
  <si>
    <t>ST1 4EU</t>
  </si>
  <si>
    <t>LPW Independent School</t>
  </si>
  <si>
    <t>BS3 4AG</t>
  </si>
  <si>
    <t>CV10 8JX</t>
  </si>
  <si>
    <t>Unity Girls High School</t>
  </si>
  <si>
    <t>NW10 0LN</t>
  </si>
  <si>
    <t>Prism Independent School</t>
  </si>
  <si>
    <t>BD8 9ES</t>
  </si>
  <si>
    <t>Sallygate School</t>
  </si>
  <si>
    <t>CT17 0RX</t>
  </si>
  <si>
    <t>La Chouette School</t>
  </si>
  <si>
    <t>W5 2PJ</t>
  </si>
  <si>
    <t>City United Academy (CUA)</t>
  </si>
  <si>
    <t>B1 2RX</t>
  </si>
  <si>
    <t>Phoenix U16 Independent School</t>
  </si>
  <si>
    <t>ST1 4AF</t>
  </si>
  <si>
    <t>TTD Gur School</t>
  </si>
  <si>
    <t>N16 6UX</t>
  </si>
  <si>
    <t>Ateres Girls High School</t>
  </si>
  <si>
    <t>NE10 9PQ</t>
  </si>
  <si>
    <t>Westfield House School</t>
  </si>
  <si>
    <t>PE34 4EX</t>
  </si>
  <si>
    <t>Hopedale School</t>
  </si>
  <si>
    <t>ST13 7ED</t>
  </si>
  <si>
    <t>Clannad Education Centre</t>
  </si>
  <si>
    <t>Kings London</t>
  </si>
  <si>
    <t>BR3 4PR</t>
  </si>
  <si>
    <t>Park View Academy</t>
  </si>
  <si>
    <t>DA16 1SR</t>
  </si>
  <si>
    <t>Earlscliffe (Sussex Summer Schools Ltd)</t>
  </si>
  <si>
    <t>CT20 2NB</t>
  </si>
  <si>
    <t>Pier View Academy</t>
  </si>
  <si>
    <t>DA12 2AX</t>
  </si>
  <si>
    <t>Compass Community School North</t>
  </si>
  <si>
    <t>HX5 0SH</t>
  </si>
  <si>
    <t>Bolton Islamic Girls School</t>
  </si>
  <si>
    <t>BL3 2AW</t>
  </si>
  <si>
    <t>Darul Hadis Latifiah Northwest</t>
  </si>
  <si>
    <t>OL8 1TJ</t>
  </si>
  <si>
    <t>Physis Heathgates Academy</t>
  </si>
  <si>
    <t>SY13 9DE</t>
  </si>
  <si>
    <t>Hope Corner School</t>
  </si>
  <si>
    <t>WA7 4TD</t>
  </si>
  <si>
    <t>Kings Oxford</t>
  </si>
  <si>
    <t>OX4 2UJ</t>
  </si>
  <si>
    <t>NW5 4NL</t>
  </si>
  <si>
    <t>Octavia House Schools</t>
  </si>
  <si>
    <t>SE11 6AU</t>
  </si>
  <si>
    <t>Meadow View Learning Centre</t>
  </si>
  <si>
    <t>PR6 8BN</t>
  </si>
  <si>
    <t>The Treehouse School</t>
  </si>
  <si>
    <t>OX10 9LG</t>
  </si>
  <si>
    <t>Turnstone House School</t>
  </si>
  <si>
    <t>NR35 2HP</t>
  </si>
  <si>
    <t>BB3 2NG</t>
  </si>
  <si>
    <t>Silver Birch</t>
  </si>
  <si>
    <t>B34 7RD</t>
  </si>
  <si>
    <t>Al-Huda Primary School</t>
  </si>
  <si>
    <t>BL1 3EH</t>
  </si>
  <si>
    <t>The Beeches Independent School</t>
  </si>
  <si>
    <t>PE1 3PB</t>
  </si>
  <si>
    <t>Serene House School</t>
  </si>
  <si>
    <t>Date Palm Primary School</t>
  </si>
  <si>
    <t>E1 2DE</t>
  </si>
  <si>
    <t>Eifa International School</t>
  </si>
  <si>
    <t>W1B 1LS</t>
  </si>
  <si>
    <t>North East Centre for Autism - Aycliffe School</t>
  </si>
  <si>
    <t>DL5 6UN</t>
  </si>
  <si>
    <t>Rose House Montessori School</t>
  </si>
  <si>
    <t>SE23 2UJ</t>
  </si>
  <si>
    <t>Halcyon London International School</t>
  </si>
  <si>
    <t>W1H 5AU</t>
  </si>
  <si>
    <t>The London Acorn School</t>
  </si>
  <si>
    <t>SM4 5JD</t>
  </si>
  <si>
    <t>Independent Educational Services</t>
  </si>
  <si>
    <t>CV10 8JH</t>
  </si>
  <si>
    <t>Prospect House</t>
  </si>
  <si>
    <t>LA5 9TG</t>
  </si>
  <si>
    <t>ALP Leicester</t>
  </si>
  <si>
    <t>LE4 4JG</t>
  </si>
  <si>
    <t>The Complete Works Independent School</t>
  </si>
  <si>
    <t>E1 6LP</t>
  </si>
  <si>
    <t>R.E.A.L Independent Schools</t>
  </si>
  <si>
    <t>NG21 0PN</t>
  </si>
  <si>
    <t>R.Y.A.N Education Academy</t>
  </si>
  <si>
    <t>B11 1LF</t>
  </si>
  <si>
    <t>LS11 7EN</t>
  </si>
  <si>
    <t>Woodside Lodge Outdoor Learning Centre</t>
  </si>
  <si>
    <t>Tlg Nottingham</t>
  </si>
  <si>
    <t>NG5 5HN</t>
  </si>
  <si>
    <t>DE22 4LL</t>
  </si>
  <si>
    <t>Haskel School</t>
  </si>
  <si>
    <t>NE8 4DR</t>
  </si>
  <si>
    <t>Sol Christian Academy</t>
  </si>
  <si>
    <t>M12 6EL</t>
  </si>
  <si>
    <t>Shaftesbury Extended Learning Centre</t>
  </si>
  <si>
    <t>CV7 8LA</t>
  </si>
  <si>
    <t>TLG - South East Birmingham</t>
  </si>
  <si>
    <t>B14 4BN</t>
  </si>
  <si>
    <t>Engaging Potential</t>
  </si>
  <si>
    <t>RG14 2PR</t>
  </si>
  <si>
    <t>Carfax College</t>
  </si>
  <si>
    <t>OX1 2EP</t>
  </si>
  <si>
    <t>Ahavas Torah Boys Academy</t>
  </si>
  <si>
    <t>M27 8SJ</t>
  </si>
  <si>
    <t>Clay Hill School</t>
  </si>
  <si>
    <t>Cambian Chesham House School</t>
  </si>
  <si>
    <t>BL9 6JD</t>
  </si>
  <si>
    <t>Epic Learning Independent School</t>
  </si>
  <si>
    <t>W10 5QJ</t>
  </si>
  <si>
    <t>Full Circle Education</t>
  </si>
  <si>
    <t>SE3 8ND</t>
  </si>
  <si>
    <t>Chase House School</t>
  </si>
  <si>
    <t>Kinetic Academy</t>
  </si>
  <si>
    <t>ST3 7DJ</t>
  </si>
  <si>
    <t>Avecinna Academy</t>
  </si>
  <si>
    <t>B9 4BS</t>
  </si>
  <si>
    <t>Woodlands School</t>
  </si>
  <si>
    <t>BL0 0QL</t>
  </si>
  <si>
    <t>Nisai Learning Hub (Nottingham)</t>
  </si>
  <si>
    <t>NG1 1GD</t>
  </si>
  <si>
    <t>Beis Medrash Elyon</t>
  </si>
  <si>
    <t>NW9 7DH</t>
  </si>
  <si>
    <t>BD9 4JB</t>
  </si>
  <si>
    <t>Westminster Tutors</t>
  </si>
  <si>
    <t>SW7 3LQ</t>
  </si>
  <si>
    <t>Madani Primary School</t>
  </si>
  <si>
    <t>Portsmouth</t>
  </si>
  <si>
    <t>PO1 4JZ</t>
  </si>
  <si>
    <t>White Trees Independent School</t>
  </si>
  <si>
    <t>CM23 3SP</t>
  </si>
  <si>
    <t>Brambles School</t>
  </si>
  <si>
    <t>SK14 6NT</t>
  </si>
  <si>
    <t>North Bridge Enterprise College</t>
  </si>
  <si>
    <t>DN5 8AF</t>
  </si>
  <si>
    <t>Oak Tree School</t>
  </si>
  <si>
    <t>TR4 9NH</t>
  </si>
  <si>
    <t>Knole Development Centre</t>
  </si>
  <si>
    <t>TN15 0JR</t>
  </si>
  <si>
    <t>Arc School Napton</t>
  </si>
  <si>
    <t>Arc School Ansley</t>
  </si>
  <si>
    <t>The Norwegian Kindergarten In London</t>
  </si>
  <si>
    <t>Inspired Directions School</t>
  </si>
  <si>
    <t>E8 3AZ</t>
  </si>
  <si>
    <t>Treasure House London CIC</t>
  </si>
  <si>
    <t>SE15 1JF</t>
  </si>
  <si>
    <t>Hardwick House School</t>
  </si>
  <si>
    <t>LE11 3HU</t>
  </si>
  <si>
    <t>IncludEd</t>
  </si>
  <si>
    <t>M16 8ER</t>
  </si>
  <si>
    <t>Kimichi School</t>
  </si>
  <si>
    <t>B27 6LL</t>
  </si>
  <si>
    <t>Focus 1st Academy</t>
  </si>
  <si>
    <t>N11 1BA</t>
  </si>
  <si>
    <t>Pulse and Water College</t>
  </si>
  <si>
    <t>SE18 6PF</t>
  </si>
  <si>
    <t>Impact Independent School</t>
  </si>
  <si>
    <t>Training and Skills Centre</t>
  </si>
  <si>
    <t>BD3 9BE</t>
  </si>
  <si>
    <t>Riverbank Primary School</t>
  </si>
  <si>
    <t>HX6 4DH</t>
  </si>
  <si>
    <t>Kent House Hospital School</t>
  </si>
  <si>
    <t>BR5 4EP</t>
  </si>
  <si>
    <t>Phoenixplace</t>
  </si>
  <si>
    <t>SE5 0NA</t>
  </si>
  <si>
    <t>Hackney City Farm</t>
  </si>
  <si>
    <t>E2 8QA</t>
  </si>
  <si>
    <t>Footsteps Trust</t>
  </si>
  <si>
    <t>N22 5QW</t>
  </si>
  <si>
    <t>Cambian Red Rose School</t>
  </si>
  <si>
    <t>PR5 8LN</t>
  </si>
  <si>
    <t>Newlands Hey</t>
  </si>
  <si>
    <t>L36 5SE</t>
  </si>
  <si>
    <t>Manchester Senior Girls School</t>
  </si>
  <si>
    <t>M7 4GB</t>
  </si>
  <si>
    <t>Huntercombe Hospital School Cotswold Spa</t>
  </si>
  <si>
    <t>WR12 7DE</t>
  </si>
  <si>
    <t>The Chalfonts Independent Grammar</t>
  </si>
  <si>
    <t>HP8 4AD</t>
  </si>
  <si>
    <t>Oscott Academy</t>
  </si>
  <si>
    <t>B23 5AP</t>
  </si>
  <si>
    <t>Manchester Vocational and Learning Academy</t>
  </si>
  <si>
    <t>M19 3AQ</t>
  </si>
  <si>
    <t>Broadstones</t>
  </si>
  <si>
    <t>SK4 5HS</t>
  </si>
  <si>
    <t>Stafford Hall School</t>
  </si>
  <si>
    <t>HX3 0AW</t>
  </si>
  <si>
    <t>Huntercombe Hospital School Maidenhead</t>
  </si>
  <si>
    <t>SL6 0PQ</t>
  </si>
  <si>
    <t>Austen House</t>
  </si>
  <si>
    <t>Riverside Education</t>
  </si>
  <si>
    <t>B33 9BF</t>
  </si>
  <si>
    <t>Manorway Academy</t>
  </si>
  <si>
    <t>ME4 6BA</t>
  </si>
  <si>
    <t>The Haven School</t>
  </si>
  <si>
    <t>ST17 9DJ</t>
  </si>
  <si>
    <t>North West Priory School</t>
  </si>
  <si>
    <t>SK8 3DG</t>
  </si>
  <si>
    <t>TLG Bolton</t>
  </si>
  <si>
    <t>BL4 9AL</t>
  </si>
  <si>
    <t>Chelmsford Hospital School</t>
  </si>
  <si>
    <t>CM1 7SJ</t>
  </si>
  <si>
    <t>REAL Alternative Provision School</t>
  </si>
  <si>
    <t>NG18 2AD</t>
  </si>
  <si>
    <t>The GFC School</t>
  </si>
  <si>
    <t>ME7 4DD</t>
  </si>
  <si>
    <t>Bow Street School</t>
  </si>
  <si>
    <t>WV14 7NB</t>
  </si>
  <si>
    <t>The Write Time</t>
  </si>
  <si>
    <t>CR0 2XX</t>
  </si>
  <si>
    <t>The Priory Woodbourne Hospital School</t>
  </si>
  <si>
    <t>B17 8BY</t>
  </si>
  <si>
    <t>The Shires Oakham</t>
  </si>
  <si>
    <t>LE15 6JB</t>
  </si>
  <si>
    <t>Evergreen School</t>
  </si>
  <si>
    <t>ST10 2LP</t>
  </si>
  <si>
    <t>Wolfdale School</t>
  </si>
  <si>
    <t>LE7 7BP</t>
  </si>
  <si>
    <t>The Jam Academy</t>
  </si>
  <si>
    <t>SL7 2LS</t>
  </si>
  <si>
    <t>Active Support Education Centre</t>
  </si>
  <si>
    <t>LU3 1RJ</t>
  </si>
  <si>
    <t>Hall Cliffe Primary School</t>
  </si>
  <si>
    <t>WF2 0QB</t>
  </si>
  <si>
    <t>Excel and Exceed Centre</t>
  </si>
  <si>
    <t>BL8 2BS</t>
  </si>
  <si>
    <t>Landmark International School</t>
  </si>
  <si>
    <t>CB21 5EP</t>
  </si>
  <si>
    <t>ASPIRE: Lifeskills Learning Centre</t>
  </si>
  <si>
    <t>LE11 3EB</t>
  </si>
  <si>
    <t>New Level Academy</t>
  </si>
  <si>
    <t>Bridge Training and Development</t>
  </si>
  <si>
    <t>Church of England/Roman Catholic</t>
  </si>
  <si>
    <t>WR8 0DX</t>
  </si>
  <si>
    <t>Cambian Spring Hill</t>
  </si>
  <si>
    <t>HG4 3HN</t>
  </si>
  <si>
    <t>Phoenix School of Therapeutic Education</t>
  </si>
  <si>
    <t>S2 3PX</t>
  </si>
  <si>
    <t>Ticehurst Hospital School</t>
  </si>
  <si>
    <t>TN5 7HU</t>
  </si>
  <si>
    <t>FUEL</t>
  </si>
  <si>
    <t>NG5 1DX</t>
  </si>
  <si>
    <t>The Place Independent School</t>
  </si>
  <si>
    <t>NG13 0EA</t>
  </si>
  <si>
    <t>SW!TCH Borders</t>
  </si>
  <si>
    <t>RM8 2UT</t>
  </si>
  <si>
    <t>Raise Education and Wellbeing School</t>
  </si>
  <si>
    <t>BL3 3HS</t>
  </si>
  <si>
    <t>Alternative Centre of Education</t>
  </si>
  <si>
    <t>N9 0TZ</t>
  </si>
  <si>
    <t>Kings Brighton</t>
  </si>
  <si>
    <t>BN1 4SB</t>
  </si>
  <si>
    <t>TLG Newcastle</t>
  </si>
  <si>
    <t>NE12 8UZ</t>
  </si>
  <si>
    <t>Tlg Wakefield</t>
  </si>
  <si>
    <t>WF6 1NT</t>
  </si>
  <si>
    <t>The National Mathematics and Science College</t>
  </si>
  <si>
    <t>CV4 8JB</t>
  </si>
  <si>
    <t>Independent school standard inspection - integrated - first</t>
  </si>
  <si>
    <t>Gloverspiece</t>
  </si>
  <si>
    <t>WR9 0RQ</t>
  </si>
  <si>
    <t>New Barn School</t>
  </si>
  <si>
    <t>RH12 3PQ</t>
  </si>
  <si>
    <t>Oak House School</t>
  </si>
  <si>
    <t>IG3 9AB</t>
  </si>
  <si>
    <t>Chances Educational Support Services</t>
  </si>
  <si>
    <t>EX7 0AF</t>
  </si>
  <si>
    <t>Birmingham Independent College</t>
  </si>
  <si>
    <t>B6 5NU</t>
  </si>
  <si>
    <t>Eden School</t>
  </si>
  <si>
    <t>Ashbrooke School</t>
  </si>
  <si>
    <t>SR2 7JA</t>
  </si>
  <si>
    <t>Running Deer</t>
  </si>
  <si>
    <t>TQ13 8PY</t>
  </si>
  <si>
    <t>Arbour House</t>
  </si>
  <si>
    <t>DT4 7QF</t>
  </si>
  <si>
    <t>Pennine House School</t>
  </si>
  <si>
    <t>BL9 7TD</t>
  </si>
  <si>
    <t>Peak Education Stoke</t>
  </si>
  <si>
    <t>ST1 4LY</t>
  </si>
  <si>
    <t>TLG Lewisham</t>
  </si>
  <si>
    <t>SE13 7FY</t>
  </si>
  <si>
    <t>Nightingale House School</t>
  </si>
  <si>
    <t>Lincoln House School</t>
  </si>
  <si>
    <t>The Ryes College and Community</t>
  </si>
  <si>
    <t>CO10 5NA</t>
  </si>
  <si>
    <t>Progress Schools - Toxteth</t>
  </si>
  <si>
    <t>L8 8HD</t>
  </si>
  <si>
    <t>Foundation Bridge Academy</t>
  </si>
  <si>
    <t>ST6 1JJ</t>
  </si>
  <si>
    <t>Cheshire Alternative Provision School</t>
  </si>
  <si>
    <t>CW12 1EH</t>
  </si>
  <si>
    <t>Bluebell School</t>
  </si>
  <si>
    <t>ST7 1EH</t>
  </si>
  <si>
    <t>Reflections Small School</t>
  </si>
  <si>
    <t>BN11 1PS</t>
  </si>
  <si>
    <t>RG20 8HZ</t>
  </si>
  <si>
    <t>Lubavitch Senior Boys' School</t>
  </si>
  <si>
    <t>Rotunda Independent School for Excellence</t>
  </si>
  <si>
    <t>L5 2PL</t>
  </si>
  <si>
    <t>The Rowan School</t>
  </si>
  <si>
    <t>WV14 9JW</t>
  </si>
  <si>
    <t>Maple House</t>
  </si>
  <si>
    <t>BB4 6LN</t>
  </si>
  <si>
    <t>Youth Works Community College</t>
  </si>
  <si>
    <t>NN16 9HX</t>
  </si>
  <si>
    <t>The Retreat</t>
  </si>
  <si>
    <t>Parkview Academy</t>
  </si>
  <si>
    <t>CT9 2AN</t>
  </si>
  <si>
    <t>The Wasp Centre</t>
  </si>
  <si>
    <t>SP2 7PY</t>
  </si>
  <si>
    <t>Wetherby Kensington</t>
  </si>
  <si>
    <t>SW5 0JN</t>
  </si>
  <si>
    <t>Beechtree Steiner Initiative</t>
  </si>
  <si>
    <t>LS7 4HZ</t>
  </si>
  <si>
    <t>Hidelow Grange School</t>
  </si>
  <si>
    <t>WR6 5AH</t>
  </si>
  <si>
    <t>Rhodes Wood Hospital School</t>
  </si>
  <si>
    <t>AL9 6NN</t>
  </si>
  <si>
    <t>Aurora Redehall School</t>
  </si>
  <si>
    <t>RH6 9QA</t>
  </si>
  <si>
    <t>Gesher Primary Special School</t>
  </si>
  <si>
    <t>NW2 3BS</t>
  </si>
  <si>
    <t>The Anderson School</t>
  </si>
  <si>
    <t>IG7 5AB</t>
  </si>
  <si>
    <t>Edith Kay Independent School</t>
  </si>
  <si>
    <t>NW10 8HR</t>
  </si>
  <si>
    <t>The Independent Grammar School, Durham</t>
  </si>
  <si>
    <t>DH1 1RH</t>
  </si>
  <si>
    <t>Watchorn Christian School</t>
  </si>
  <si>
    <t>DE55 7AQ</t>
  </si>
  <si>
    <t>Releasing Potential</t>
  </si>
  <si>
    <t>PO9 1LS</t>
  </si>
  <si>
    <t>Rida Girls' High School</t>
  </si>
  <si>
    <t>WF12 9EJ</t>
  </si>
  <si>
    <t>Olive High Ltd</t>
  </si>
  <si>
    <t>BB10 1LJ</t>
  </si>
  <si>
    <t>Open Box Education Centre</t>
  </si>
  <si>
    <t>CM16 5DN</t>
  </si>
  <si>
    <t>Assure Community College</t>
  </si>
  <si>
    <t>SO16 6RB</t>
  </si>
  <si>
    <t>Pivot Academy</t>
  </si>
  <si>
    <t>BD19 5LH</t>
  </si>
  <si>
    <t>Kensington Wade</t>
  </si>
  <si>
    <t>W14 8PU</t>
  </si>
  <si>
    <t>Good Apple Independent School</t>
  </si>
  <si>
    <t>DN21 2NS</t>
  </si>
  <si>
    <t>Cherry Tree School</t>
  </si>
  <si>
    <t>CT9 5QN</t>
  </si>
  <si>
    <t>Dovecote School</t>
  </si>
  <si>
    <t>HR9 6PB</t>
  </si>
  <si>
    <t>Peregrinate Ltd</t>
  </si>
  <si>
    <t>L9 7BN</t>
  </si>
  <si>
    <t>Tram House School</t>
  </si>
  <si>
    <t>SW17 0NY</t>
  </si>
  <si>
    <t>The Beech House School</t>
  </si>
  <si>
    <t>KT8 2EJ</t>
  </si>
  <si>
    <t>EX32 8PA</t>
  </si>
  <si>
    <t>Cannon Hill Girls School</t>
  </si>
  <si>
    <t>B12 9LB</t>
  </si>
  <si>
    <t>Unique Children's School</t>
  </si>
  <si>
    <t>N10 2PS</t>
  </si>
  <si>
    <t>Al-Madani Independent Grammar School</t>
  </si>
  <si>
    <t>Act Fast</t>
  </si>
  <si>
    <t>DN17 3PS</t>
  </si>
  <si>
    <t>Liral Veget College London</t>
  </si>
  <si>
    <t>SE1 5TY</t>
  </si>
  <si>
    <t>Wribbenhall School</t>
  </si>
  <si>
    <t>DY12 1JL</t>
  </si>
  <si>
    <t>Jameah Boys Academy</t>
  </si>
  <si>
    <t>LE5 3SQ</t>
  </si>
  <si>
    <t>The Bridge</t>
  </si>
  <si>
    <t>RM1 2PS</t>
  </si>
  <si>
    <t>Tor View School</t>
  </si>
  <si>
    <t>PL19 0JN</t>
  </si>
  <si>
    <t>Shiras Devorah</t>
  </si>
  <si>
    <t>N12 8RZ</t>
  </si>
  <si>
    <t>In-tuition Holistic Education</t>
  </si>
  <si>
    <t>ST3 4JD</t>
  </si>
  <si>
    <t>The Stables</t>
  </si>
  <si>
    <t>NR12 9EU</t>
  </si>
  <si>
    <t>Potters Bar Clinic School</t>
  </si>
  <si>
    <t>EN6 2SE</t>
  </si>
  <si>
    <t>Mountfield Heath School</t>
  </si>
  <si>
    <t>TN32 5JN</t>
  </si>
  <si>
    <t>The Nook</t>
  </si>
  <si>
    <t>BB8 8HH</t>
  </si>
  <si>
    <t>Peak Education - Primary</t>
  </si>
  <si>
    <t>The Seeds School</t>
  </si>
  <si>
    <t>TF4 3EE</t>
  </si>
  <si>
    <t>The Spires</t>
  </si>
  <si>
    <t>SP1 3YA</t>
  </si>
  <si>
    <t>The Greater Horseshoe School</t>
  </si>
  <si>
    <t>TQ12 6RH</t>
  </si>
  <si>
    <t>OL6 8AJ</t>
  </si>
  <si>
    <t>Young Women's Hub</t>
  </si>
  <si>
    <t>SE6 1AU</t>
  </si>
  <si>
    <t>K-HQ</t>
  </si>
  <si>
    <t>EX15 2BY</t>
  </si>
  <si>
    <t>Ameina Community Education</t>
  </si>
  <si>
    <t>Oaks International School</t>
  </si>
  <si>
    <t>CB1 8DW</t>
  </si>
  <si>
    <t>Sycamore House School</t>
  </si>
  <si>
    <t>HU19 2NT</t>
  </si>
  <si>
    <t>Compton Dundon School</t>
  </si>
  <si>
    <t>TA11 6TE</t>
  </si>
  <si>
    <t>Alex Park Democratic School</t>
  </si>
  <si>
    <t>M16 8PH</t>
  </si>
  <si>
    <t>Arun Court School</t>
  </si>
  <si>
    <t>GU5 0HF</t>
  </si>
  <si>
    <t>The Pivot Academy LS East</t>
  </si>
  <si>
    <t>LS14 6UF</t>
  </si>
  <si>
    <t>Overton School</t>
  </si>
  <si>
    <t>SY8 4AD</t>
  </si>
  <si>
    <t>Progress Schools - Chorley</t>
  </si>
  <si>
    <t>PR7 1BS</t>
  </si>
  <si>
    <t>Dovetree School</t>
  </si>
  <si>
    <t>LE10 0TB</t>
  </si>
  <si>
    <t>Oxford International College</t>
  </si>
  <si>
    <t>OX4 1BD</t>
  </si>
  <si>
    <t>Norton College Tewkesbury</t>
  </si>
  <si>
    <t>GL20 8UQ</t>
  </si>
  <si>
    <t>Cornfields</t>
  </si>
  <si>
    <t>TN24 8PL</t>
  </si>
  <si>
    <t>The Derwen School</t>
  </si>
  <si>
    <t>SY11 3NA</t>
  </si>
  <si>
    <t>Abbey Rose School</t>
  </si>
  <si>
    <t>GL20 7DG</t>
  </si>
  <si>
    <t>Turning Point Academy NW</t>
  </si>
  <si>
    <t>L30 4UE</t>
  </si>
  <si>
    <t>Abbeywood School</t>
  </si>
  <si>
    <t>Rotherham</t>
  </si>
  <si>
    <t>S66 8QN</t>
  </si>
  <si>
    <t>Argyll House</t>
  </si>
  <si>
    <t>NR27 9JN</t>
  </si>
  <si>
    <t>Southway</t>
  </si>
  <si>
    <t>LS10 3JA</t>
  </si>
  <si>
    <t>Lumiar Stowford</t>
  </si>
  <si>
    <t>BA14 9LH</t>
  </si>
  <si>
    <t>Serenity School</t>
  </si>
  <si>
    <t>CR0 1DQ</t>
  </si>
  <si>
    <t>Community Mentoring and Support School</t>
  </si>
  <si>
    <t>GL15 5DZ</t>
  </si>
  <si>
    <t>Alchemy School</t>
  </si>
  <si>
    <t>ME9 9SN</t>
  </si>
  <si>
    <t>Teenage Works</t>
  </si>
  <si>
    <t>M35 9RD</t>
  </si>
  <si>
    <t>Independent School Pre-registration Inspection</t>
  </si>
  <si>
    <t>Likely to meet all standards</t>
  </si>
  <si>
    <t>Unlikely to meet all standards</t>
  </si>
  <si>
    <t>South Lakes Academy</t>
  </si>
  <si>
    <t>LA9 4ED</t>
  </si>
  <si>
    <t>New Skill Centre</t>
  </si>
  <si>
    <t>IP3 9QR</t>
  </si>
  <si>
    <t>Keser Girls' School</t>
  </si>
  <si>
    <t>NE8 1NR</t>
  </si>
  <si>
    <t>Heath House Hospital School</t>
  </si>
  <si>
    <t>BS16 1EQ</t>
  </si>
  <si>
    <t>CT4 5RU</t>
  </si>
  <si>
    <t>Eden Springs</t>
  </si>
  <si>
    <t>Independent Educational Services - Central</t>
  </si>
  <si>
    <t>CV11 5BB</t>
  </si>
  <si>
    <t>Operating without registration and likely to meet all standards</t>
  </si>
  <si>
    <t>Operating without registration and unlikely to meet all standards</t>
  </si>
  <si>
    <t>West Midlands Education and Skills</t>
  </si>
  <si>
    <t>LSI Independent College</t>
  </si>
  <si>
    <t>Overall standards</t>
  </si>
  <si>
    <t>Safeguarding procedure 2</t>
  </si>
  <si>
    <t>Safeguarding procedure 1</t>
  </si>
  <si>
    <t>Safeguarding procedure 3</t>
  </si>
  <si>
    <t>The faith tables 1b and 4b are based on whether the school has declared a religious character or ethos.</t>
  </si>
  <si>
    <t>Source: Ofsted</t>
  </si>
  <si>
    <r>
      <t>Table 1a: Non-association independent schools standard inspections and outcomes</t>
    </r>
    <r>
      <rPr>
        <b/>
        <vertAlign val="superscript"/>
        <sz val="12"/>
        <color theme="1"/>
        <rFont val="Tahoma"/>
        <family val="2"/>
      </rPr>
      <t xml:space="preserve">1 2 </t>
    </r>
  </si>
  <si>
    <r>
      <t>Table 1b: Non-association independent schools standard inspections and outcomes, by faith grouping</t>
    </r>
    <r>
      <rPr>
        <b/>
        <vertAlign val="superscript"/>
        <sz val="12"/>
        <color theme="1"/>
        <rFont val="Tahoma"/>
        <family val="2"/>
      </rPr>
      <t>1 2 3</t>
    </r>
  </si>
  <si>
    <r>
      <t>Table 2: Compliance with regulatory standards for non-association independent schools</t>
    </r>
    <r>
      <rPr>
        <b/>
        <vertAlign val="superscript"/>
        <sz val="12"/>
        <rFont val="Tahoma"/>
        <family val="2"/>
      </rPr>
      <t>1 2</t>
    </r>
  </si>
  <si>
    <t>1. One school that had a standard inspection did not receive an outcome for overall effectiveness.</t>
  </si>
  <si>
    <t>3. The total number of inspections includes integrated inspections.</t>
  </si>
  <si>
    <t>4. Percentages are rounded and may not sum to 100. Where the number of inspections is small, percentages should be treated with caution.</t>
  </si>
  <si>
    <t xml:space="preserve">Guidance
</t>
  </si>
  <si>
    <t xml:space="preserve">The publication date of an inspection report is the date it was marked ‘published’ in our administrative system. </t>
  </si>
  <si>
    <t>Due to inspection volumes and publication processing times, it can take up to 24 hours for this to be reflected on our website.</t>
  </si>
  <si>
    <t>Christian
Church of England
Church of England/Christian
Church of England/Free Church
Church of England/Methodist
Church of England/Methodist/United Reform Church/Baptist
Church of England/Roman Catholic
Church of England/United Reformed Church
Greek Orthodox
Hindu
Inter- / non- denominational
Islam
Orthodox Jewish
Methodist
Methodist/Church of England
Muslim
None
Quaker
Roman Catholic
Roman Catholic/Church of England
Seventh Day Adventist
Sikh
United Reformed Church</t>
  </si>
  <si>
    <t>Christian
Church of England
Inter- / non- denominational
Islam
Jewish
Muslim
Roman Catholic
Seventh Day Adventist</t>
  </si>
  <si>
    <t>Christian
Church of England
Church of England/Christian
Church of England/Free Church
Church of England/Methodist
Church of England/Methodist/United Reform Church/Baptist
Church of England/Roman Catholic
Church of England/United Reformed Church
Greek Orthodox
Hindu
Inter- / non- denominational
Islam
Jewish
Orthodox Jewish
Methodist
Methodist/Church of England
Muslim
None
Quaker
Roman Catholic
Roman Catholic/Church of England
Seventh Day Adventist
Sikh
United Reformed Church</t>
  </si>
  <si>
    <t>Yes
No</t>
  </si>
  <si>
    <t>Met
No response
Not in scope for this inspection
Not met</t>
  </si>
  <si>
    <t>Yes
No
No response
Not applicable</t>
  </si>
  <si>
    <t>Y=Yes
N=No</t>
  </si>
  <si>
    <t>Met
Not met
Not applicable to this setting</t>
  </si>
  <si>
    <t>Independent school progress monitoring inspection
Independent school progress monitoring inspection - Integrated</t>
  </si>
  <si>
    <t>Standards met
Met all standards that were checked
Did not meet all standards that were checked</t>
  </si>
  <si>
    <r>
      <t>Table 4a: Non-association independent schools overall effectiveness at their most recent standard inspection</t>
    </r>
    <r>
      <rPr>
        <b/>
        <vertAlign val="superscript"/>
        <sz val="12"/>
        <color theme="1"/>
        <rFont val="Tahoma"/>
        <family val="2"/>
      </rPr>
      <t>1 2 3 4 5 6</t>
    </r>
  </si>
  <si>
    <r>
      <t>Table 4b: Non-association independent schools overall effectiveness at their most recent standard inspection, by faith grouping</t>
    </r>
    <r>
      <rPr>
        <b/>
        <vertAlign val="superscript"/>
        <sz val="12"/>
        <color theme="1"/>
        <rFont val="Tahoma"/>
        <family val="2"/>
      </rPr>
      <t>1 2 3 4 5</t>
    </r>
    <r>
      <rPr>
        <b/>
        <sz val="12"/>
        <color theme="1"/>
        <rFont val="Tahoma"/>
        <family val="2"/>
      </rPr>
      <t xml:space="preserve"> </t>
    </r>
    <r>
      <rPr>
        <b/>
        <vertAlign val="superscript"/>
        <sz val="12"/>
        <color theme="1"/>
        <rFont val="Tahoma"/>
        <family val="2"/>
      </rPr>
      <t>6 7</t>
    </r>
  </si>
  <si>
    <t>Overall standards - Standard Inspections</t>
  </si>
  <si>
    <t>Ofsted
ISI (Independent Schools Inspectorate)</t>
  </si>
  <si>
    <t>Independent Schools Standards outcome for part 1. Quality of education provided</t>
  </si>
  <si>
    <t>Met
Not Met
NULL</t>
  </si>
  <si>
    <t>Independent Schools Standards outcome for part 2. Spiritual, moral, social and cultural education of pupils</t>
  </si>
  <si>
    <t>Independent Schools Standards outcome for part 3. Welfare, health and safety of pupils</t>
  </si>
  <si>
    <t>Independent Schools Standards outcome for part 4. Suitability of the proprietor, staff and supply staff</t>
  </si>
  <si>
    <t>Independent Schools Standards outcome for part 5. Premises and accommodation of schools</t>
  </si>
  <si>
    <t>Independent Schools Standards outcome for part 6. Provision of information for parents, carers and others</t>
  </si>
  <si>
    <t>Independent Schools Standards outcome for part 7. Manner in which complaints are to be handled</t>
  </si>
  <si>
    <t>Independent Schools Standards outcome for part 8. Quality of Leadership and Management</t>
  </si>
  <si>
    <t>Independent School Standards outcomes. More information is available at: http://www.legislation.gov.uk/uksi/2014/3283/schedule/made</t>
  </si>
  <si>
    <t>Statutory requirement for the EYFS: Safeguarding and welfare</t>
  </si>
  <si>
    <t>Statutory requirement for the EYFS: Learning and development</t>
  </si>
  <si>
    <t>Compliance with the requirements of the Early Years Foundation Stage relating to safeguarding and welfare</t>
  </si>
  <si>
    <t>Compliance with the requirements of the Early Years Foundation Stage relating to learning and development</t>
  </si>
  <si>
    <t>Compliance with the requirements of Schedule 10 of the Equality Act 2010 outcome</t>
  </si>
  <si>
    <t>All standards Met
Did not meet all standards
NULL</t>
  </si>
  <si>
    <t>1 = Outstanding
2 = Good
3 = Requires improvement
4 = Inadequate
0 = School has been inspected, but did not receive a judgement due to insufficient evidence
8, 9 = Not applicable
NULL = Not inspected yet</t>
  </si>
  <si>
    <t>1 = Outstanding
2 = Good
3 = Requires improvement
4 = Inadequate
0 = School has been inspected, but did not receive a judgement due to insufficient evidence
NULL = Not inspected yet</t>
  </si>
  <si>
    <t>Independent School Standards overall outcome for standard inspections</t>
  </si>
  <si>
    <t>Change implemented and does not meet relevant standards
Change implemented and meets relevant standards
Did not meet all standards that were checked
Likely to meet all standards
Likely to meet relevant standards
Met all standards that were checked
Operating without registration and likely to meet all standards
Operating without registration and unlikely to meet all standards
School appears to have closed
Unlikely to meet all standards
Unlikely to meet relevant standards</t>
  </si>
  <si>
    <t>Independent School Standards overall outcome for additional inspections (outcome depends on the type of inspection)</t>
  </si>
  <si>
    <t xml:space="preserve">Regular management information is designed to provide an up to date picture of the most recent inspection of each non-association independent school at local authority and regional level.
These figures have not been reconciled centrally with any Official Statistics. 
</t>
  </si>
  <si>
    <t>Inspections from 1 September 2019 to 31 December 2019, published by 31 December 2019</t>
  </si>
  <si>
    <t>Most recent inspections as at 31 December 2019, published by 31 December 2019</t>
  </si>
  <si>
    <t>© Crown copyright 2020</t>
  </si>
  <si>
    <t>Quality of education</t>
  </si>
  <si>
    <t>Personal development</t>
  </si>
  <si>
    <t>Behaviour and attitudes</t>
  </si>
  <si>
    <t>Independent Schools Standards: 19(2)(a)(i)(dd)</t>
  </si>
  <si>
    <t>Parliamentary Constituency</t>
  </si>
  <si>
    <t>Number on roll</t>
  </si>
  <si>
    <t>Sixth Form</t>
  </si>
  <si>
    <t>Inspection type grouping</t>
  </si>
  <si>
    <t>Early years provision (where applicable)</t>
  </si>
  <si>
    <t>Sixth form provision (where applicable)</t>
  </si>
  <si>
    <t>Previous inspection number</t>
  </si>
  <si>
    <t>Previous first day of inspection</t>
  </si>
  <si>
    <t>Previous last day of inspection</t>
  </si>
  <si>
    <t>Previous publication date</t>
  </si>
  <si>
    <t>Previous overall effectiveness</t>
  </si>
  <si>
    <t>Progress monitoring: inspection number</t>
  </si>
  <si>
    <t>Progress monitoring: inspection type</t>
  </si>
  <si>
    <t>Progress monitoring: last day of inspection</t>
  </si>
  <si>
    <t>Progress monitoring: academic year</t>
  </si>
  <si>
    <t>Progress monitoring: publication date</t>
  </si>
  <si>
    <t>Progress monitoring: overall outcome</t>
  </si>
  <si>
    <t>Dataset 1b: Inspection outcomes of additional inspections for non-association independent schools</t>
  </si>
  <si>
    <t>Dataset 2: Overall effectiveness and standards for non-association independent schools at their most recent inspection, and progress monitoring inspections and outcomes following an overall effectiveness grade of requires improvement or inadequate</t>
  </si>
  <si>
    <t>Dataset 1a: Inspection outcomes and standards for non-association independent schools</t>
  </si>
  <si>
    <t>Hopwood Hall School</t>
  </si>
  <si>
    <t>B15 3DU</t>
  </si>
  <si>
    <t>Priory Telford</t>
  </si>
  <si>
    <t>TF8 7DT</t>
  </si>
  <si>
    <t>Malton Montessori School</t>
  </si>
  <si>
    <t>YO17 6NJ</t>
  </si>
  <si>
    <t>Eton Dorney Independent Therapeutic School</t>
  </si>
  <si>
    <t>New School Canterbury</t>
  </si>
  <si>
    <t>Medway Green School</t>
  </si>
  <si>
    <t>ME1 3TS</t>
  </si>
  <si>
    <t>Connie Rothman</t>
  </si>
  <si>
    <t>Bournemouth, Christchurch &amp; Poole</t>
  </si>
  <si>
    <t>BH6 3DJ</t>
  </si>
  <si>
    <t>Lisa Lashes School of Music</t>
  </si>
  <si>
    <t>NN1 1DF</t>
  </si>
  <si>
    <t>The Stable School</t>
  </si>
  <si>
    <t>BH23 6AQ</t>
  </si>
  <si>
    <t>Forest Lodge</t>
  </si>
  <si>
    <t>DE12 6AS</t>
  </si>
  <si>
    <t>Darul Madinah London</t>
  </si>
  <si>
    <t>E7 9HZ</t>
  </si>
  <si>
    <t>Tashbar Boys' Nursery School</t>
  </si>
  <si>
    <t>Al-Khair Boys Secondary School</t>
  </si>
  <si>
    <t>Fulham  School</t>
  </si>
  <si>
    <t>Moon Hall  School, Reigate</t>
  </si>
  <si>
    <t>RH2 8RE</t>
  </si>
  <si>
    <t>Bnos Margulis Viznitz Girls' School</t>
  </si>
  <si>
    <t>M7 4DQ</t>
  </si>
  <si>
    <t xml:space="preserve">Did not meet all standards that were checked </t>
  </si>
  <si>
    <t>Langley Hill Independent School</t>
  </si>
  <si>
    <t>Abney Hastings</t>
  </si>
  <si>
    <t>LE65 1BR</t>
  </si>
  <si>
    <t>City of Rochester School</t>
  </si>
  <si>
    <t>Ashbridge Independent School</t>
  </si>
  <si>
    <t>PR4 4AQ</t>
  </si>
  <si>
    <t>V.A.S.E Academy</t>
  </si>
  <si>
    <t>B21 0NA</t>
  </si>
  <si>
    <t>Nurture Learning</t>
  </si>
  <si>
    <t>DY11 6RQ</t>
  </si>
  <si>
    <t>Al Mumin Boys Secondary School</t>
  </si>
  <si>
    <t>NexGen Academy</t>
  </si>
  <si>
    <t>L14 9BA</t>
  </si>
  <si>
    <t>Blackpool</t>
  </si>
  <si>
    <t>Progress Schools - Hamilton Square</t>
  </si>
  <si>
    <t>Wirral</t>
  </si>
  <si>
    <t>CH41 5AT</t>
  </si>
  <si>
    <t>CR0 2NU</t>
  </si>
  <si>
    <t>Barbara Speake Schools for Performing Arts</t>
  </si>
  <si>
    <t>Imam Muhammad Adam Institute Boys School</t>
  </si>
  <si>
    <t>Aurora Grace House School</t>
  </si>
  <si>
    <t>ST7 8DH</t>
  </si>
  <si>
    <t>Brookbank School</t>
  </si>
  <si>
    <t>TA21 0SA</t>
  </si>
  <si>
    <t>Calder Lodge School</t>
  </si>
  <si>
    <t>PR3 1UL</t>
  </si>
  <si>
    <t>Learning4life-GY</t>
  </si>
  <si>
    <t>DN32 7AP</t>
  </si>
  <si>
    <t>Evolve Youth Academy</t>
  </si>
  <si>
    <t>Thurrock</t>
  </si>
  <si>
    <t>RM20 4BS</t>
  </si>
  <si>
    <t>Bristol International College</t>
  </si>
  <si>
    <t>BS6 6XA</t>
  </si>
  <si>
    <t>Mill School Bury</t>
  </si>
  <si>
    <t>BL8 2BD</t>
  </si>
  <si>
    <t>VTC Independent School</t>
  </si>
  <si>
    <t>ME10 3DZ</t>
  </si>
  <si>
    <t>SE6 2BX</t>
  </si>
  <si>
    <t>CMAS School Devon</t>
  </si>
  <si>
    <t>EX2 6NF</t>
  </si>
  <si>
    <t>BL3 2EF</t>
  </si>
  <si>
    <t>CB6 2EL</t>
  </si>
  <si>
    <t>MK42 9HE</t>
  </si>
  <si>
    <t>The Priory Roehampton Hospital School</t>
  </si>
  <si>
    <t>NW4 2NB</t>
  </si>
  <si>
    <t>Educateu</t>
  </si>
  <si>
    <t>BN11 1BG</t>
  </si>
  <si>
    <t>Wotton House International School</t>
  </si>
  <si>
    <t>SR3 1SS</t>
  </si>
  <si>
    <t>Al-Furqan Community College</t>
  </si>
  <si>
    <t>B91 3HG</t>
  </si>
  <si>
    <t>Al-Furqan Community College (Boys)</t>
  </si>
  <si>
    <t>Merrywood House Independent Special School</t>
  </si>
  <si>
    <t>KT20 7HF</t>
  </si>
  <si>
    <t>Ascend Education</t>
  </si>
  <si>
    <t>B70 8TQ</t>
  </si>
  <si>
    <t>Hampstead and Kilburn</t>
  </si>
  <si>
    <t>Does not have a sixth form</t>
  </si>
  <si>
    <t>Independent standard inspection</t>
  </si>
  <si>
    <t>ITS452079</t>
  </si>
  <si>
    <t>Holborn and St Pancras</t>
  </si>
  <si>
    <t>ITS408700</t>
  </si>
  <si>
    <t>2019/20</t>
  </si>
  <si>
    <t>ITS454239</t>
  </si>
  <si>
    <t>ITS385064</t>
  </si>
  <si>
    <t>Hackney North and Stoke Newington</t>
  </si>
  <si>
    <t>ITS386844</t>
  </si>
  <si>
    <t>Has a sixth form</t>
  </si>
  <si>
    <t>ITS462854</t>
  </si>
  <si>
    <t>ITS422689</t>
  </si>
  <si>
    <t>ITS420196</t>
  </si>
  <si>
    <t>ITS442979</t>
  </si>
  <si>
    <t>ITS464155</t>
  </si>
  <si>
    <t>Poplar and Limehouse</t>
  </si>
  <si>
    <t>ITS364208</t>
  </si>
  <si>
    <t>Hammersmith</t>
  </si>
  <si>
    <t>ITS385065</t>
  </si>
  <si>
    <t>Chelsea and Fulham</t>
  </si>
  <si>
    <t>ITS341939</t>
  </si>
  <si>
    <t>Islington South and Finsbury</t>
  </si>
  <si>
    <t>ITS454240</t>
  </si>
  <si>
    <t>Kensington</t>
  </si>
  <si>
    <t>ITS420169</t>
  </si>
  <si>
    <t>ITS454804</t>
  </si>
  <si>
    <t>Battersea</t>
  </si>
  <si>
    <t>ITS443486</t>
  </si>
  <si>
    <t>ITS364211</t>
  </si>
  <si>
    <t>ITS361319</t>
  </si>
  <si>
    <t>Cities of London and Westminster</t>
  </si>
  <si>
    <t>ITS422691</t>
  </si>
  <si>
    <t>ITS361320</t>
  </si>
  <si>
    <t>ITS397589</t>
  </si>
  <si>
    <t>Bethnal Green and Bow</t>
  </si>
  <si>
    <t>ITS320364</t>
  </si>
  <si>
    <t>Putney</t>
  </si>
  <si>
    <t>ITS344613</t>
  </si>
  <si>
    <t>Streatham</t>
  </si>
  <si>
    <t>ITS320405</t>
  </si>
  <si>
    <t>ITS454241</t>
  </si>
  <si>
    <t>Tooting</t>
  </si>
  <si>
    <t>ITS341957</t>
  </si>
  <si>
    <t>ITS443489</t>
  </si>
  <si>
    <t>ITS408702</t>
  </si>
  <si>
    <t>Westminster North</t>
  </si>
  <si>
    <t>ITS408703</t>
  </si>
  <si>
    <t>ITS385071</t>
  </si>
  <si>
    <t>ITS462855</t>
  </si>
  <si>
    <t>Finchley and Golders Green</t>
  </si>
  <si>
    <t>ITS443490</t>
  </si>
  <si>
    <t>Hendon</t>
  </si>
  <si>
    <t>ITS454242</t>
  </si>
  <si>
    <t>ITS442984</t>
  </si>
  <si>
    <t>ITS462856</t>
  </si>
  <si>
    <t>Old Bexley and Sidcup</t>
  </si>
  <si>
    <t>ITS348777</t>
  </si>
  <si>
    <t>Ealing North</t>
  </si>
  <si>
    <t>ITS443492</t>
  </si>
  <si>
    <t>Al-Sadiq School</t>
  </si>
  <si>
    <t>NW6 6TP</t>
  </si>
  <si>
    <t>ITS452042</t>
  </si>
  <si>
    <t>Bromley and Chislehurst</t>
  </si>
  <si>
    <t>ITS386852</t>
  </si>
  <si>
    <t>Croydon South</t>
  </si>
  <si>
    <t>ITS462858</t>
  </si>
  <si>
    <t>Ealing Central and Acton</t>
  </si>
  <si>
    <t>Ealing, Southall</t>
  </si>
  <si>
    <t>ITS446376</t>
  </si>
  <si>
    <t>ITS408416</t>
  </si>
  <si>
    <t>Hornsey and Wood Green</t>
  </si>
  <si>
    <t>Brentford and Isleworth</t>
  </si>
  <si>
    <t>ITS393358</t>
  </si>
  <si>
    <t>Enfield North</t>
  </si>
  <si>
    <t>Tottenham</t>
  </si>
  <si>
    <t>ITS364224</t>
  </si>
  <si>
    <t>Romford</t>
  </si>
  <si>
    <t>ITS443495</t>
  </si>
  <si>
    <t>Ruislip, Northwood and Pinner</t>
  </si>
  <si>
    <t>Wimbledon</t>
  </si>
  <si>
    <t>Ilford South</t>
  </si>
  <si>
    <t>Twickenham</t>
  </si>
  <si>
    <t>ITS443496</t>
  </si>
  <si>
    <t>Richmond Park</t>
  </si>
  <si>
    <t>ITS441612</t>
  </si>
  <si>
    <t>ITS387062</t>
  </si>
  <si>
    <t>Birmingham, Hall Green</t>
  </si>
  <si>
    <t>ITS385077</t>
  </si>
  <si>
    <t>Birmingham, Yardley</t>
  </si>
  <si>
    <t>Birmingham, Edgbaston</t>
  </si>
  <si>
    <t>ITS443497</t>
  </si>
  <si>
    <t>Birmingham, Ladywood</t>
  </si>
  <si>
    <t>Birmingham, Hodge Hill</t>
  </si>
  <si>
    <t>ITS455486</t>
  </si>
  <si>
    <t>Coventry North East</t>
  </si>
  <si>
    <t>Stourbridge</t>
  </si>
  <si>
    <t>ITS443499</t>
  </si>
  <si>
    <t>St Helens North</t>
  </si>
  <si>
    <t>ITS397755</t>
  </si>
  <si>
    <t>Bolton South East</t>
  </si>
  <si>
    <t>ITS406910</t>
  </si>
  <si>
    <t>Bury North</t>
  </si>
  <si>
    <t>ITS447246</t>
  </si>
  <si>
    <t>Manchester Central</t>
  </si>
  <si>
    <t>Manchester, Withington</t>
  </si>
  <si>
    <t>Oldham East and Saddleworth</t>
  </si>
  <si>
    <t>ITS443500</t>
  </si>
  <si>
    <t>Blackley and Broughton</t>
  </si>
  <si>
    <t>ITS443502</t>
  </si>
  <si>
    <t>Bury South</t>
  </si>
  <si>
    <t>ITS441512</t>
  </si>
  <si>
    <t>Cheadle</t>
  </si>
  <si>
    <t>Don Valley</t>
  </si>
  <si>
    <t>Doncaster Central</t>
  </si>
  <si>
    <t>Wentworth and Dearne</t>
  </si>
  <si>
    <t>ITS446377</t>
  </si>
  <si>
    <t>Sheffield Central</t>
  </si>
  <si>
    <t>Shipley</t>
  </si>
  <si>
    <t>Huddersfield</t>
  </si>
  <si>
    <t>Dewsbury</t>
  </si>
  <si>
    <t>Morley and Outwood</t>
  </si>
  <si>
    <t>Leeds North East</t>
  </si>
  <si>
    <t>Hemsworth</t>
  </si>
  <si>
    <t>ITS408706</t>
  </si>
  <si>
    <t>ITS422699</t>
  </si>
  <si>
    <t>Sunderland Central</t>
  </si>
  <si>
    <t>South Cambridgeshire</t>
  </si>
  <si>
    <t>ITS455956</t>
  </si>
  <si>
    <t>Bristol North West</t>
  </si>
  <si>
    <t>Bristol East</t>
  </si>
  <si>
    <t>Bristol West</t>
  </si>
  <si>
    <t>Thornbury and Yate</t>
  </si>
  <si>
    <t>ITS422700</t>
  </si>
  <si>
    <t>Filton and Bradley Stoke</t>
  </si>
  <si>
    <t>ITS385085</t>
  </si>
  <si>
    <t>Weston-Super-Mare</t>
  </si>
  <si>
    <t>South West Bedfordshire</t>
  </si>
  <si>
    <t>ITS364234</t>
  </si>
  <si>
    <t>Mitcham and Morden</t>
  </si>
  <si>
    <t>Windsor</t>
  </si>
  <si>
    <t>ITS397668</t>
  </si>
  <si>
    <t>Wycombe</t>
  </si>
  <si>
    <t>Buckingham</t>
  </si>
  <si>
    <t>ITS455485</t>
  </si>
  <si>
    <t>ITS422702</t>
  </si>
  <si>
    <t>Cambridge</t>
  </si>
  <si>
    <t>North East Cambridgeshire</t>
  </si>
  <si>
    <t>ITS450700</t>
  </si>
  <si>
    <t>Westmorland and Lonsdale</t>
  </si>
  <si>
    <t>Skipton and Ripon</t>
  </si>
  <si>
    <t>ITS393350</t>
  </si>
  <si>
    <t>South Derbyshire</t>
  </si>
  <si>
    <t>Derbyshire Dales</t>
  </si>
  <si>
    <t>ITS446380</t>
  </si>
  <si>
    <t>North East Derbyshire</t>
  </si>
  <si>
    <t>Exeter</t>
  </si>
  <si>
    <t>ITS443455</t>
  </si>
  <si>
    <t>ITS465376</t>
  </si>
  <si>
    <t>Plymouth, Sutton and Devonport</t>
  </si>
  <si>
    <t>Totnes</t>
  </si>
  <si>
    <t>Torridge and West Devon</t>
  </si>
  <si>
    <t>ITS462861</t>
  </si>
  <si>
    <t>ITS344591</t>
  </si>
  <si>
    <t>Christchurch</t>
  </si>
  <si>
    <t>Bournemouth East</t>
  </si>
  <si>
    <t>ITS443459</t>
  </si>
  <si>
    <t>South Dorset</t>
  </si>
  <si>
    <t>ITS446381</t>
  </si>
  <si>
    <t>Wealden</t>
  </si>
  <si>
    <t>Hastings and Rye</t>
  </si>
  <si>
    <t>Lewes</t>
  </si>
  <si>
    <t>ITS446382</t>
  </si>
  <si>
    <t>Bexhill and Battle</t>
  </si>
  <si>
    <t>ITS361340</t>
  </si>
  <si>
    <t>Brighton, Kemptown</t>
  </si>
  <si>
    <t>Brentwood and Ongar</t>
  </si>
  <si>
    <t>Epping Forest</t>
  </si>
  <si>
    <t>Harwich and North Essex</t>
  </si>
  <si>
    <t>Saffron Walden</t>
  </si>
  <si>
    <t>ITS388421</t>
  </si>
  <si>
    <t>Stroud</t>
  </si>
  <si>
    <t>The Cotswolds</t>
  </si>
  <si>
    <t>Forest of Dean</t>
  </si>
  <si>
    <t>ITS462863</t>
  </si>
  <si>
    <t>Gloucester</t>
  </si>
  <si>
    <t>New Forest East</t>
  </si>
  <si>
    <t>ITS393342</t>
  </si>
  <si>
    <t>Southampton, Itchen</t>
  </si>
  <si>
    <t>ITS408714</t>
  </si>
  <si>
    <t>Romsey and Southampton North</t>
  </si>
  <si>
    <t>ITS461519</t>
  </si>
  <si>
    <t>North West Hampshire</t>
  </si>
  <si>
    <t>North East Hampshire</t>
  </si>
  <si>
    <t>ITS462865</t>
  </si>
  <si>
    <t>North Dorset</t>
  </si>
  <si>
    <t>Mid Worcestershire</t>
  </si>
  <si>
    <t>ITS411692</t>
  </si>
  <si>
    <t>Bromsgrove</t>
  </si>
  <si>
    <t>North Herefordshire</t>
  </si>
  <si>
    <t>ITS446280</t>
  </si>
  <si>
    <t>Wyre Forest</t>
  </si>
  <si>
    <t>ITS408715</t>
  </si>
  <si>
    <t>Hertsmere</t>
  </si>
  <si>
    <t>St Albans</t>
  </si>
  <si>
    <t>ITS397761</t>
  </si>
  <si>
    <t>Watford</t>
  </si>
  <si>
    <t>ITS361346</t>
  </si>
  <si>
    <t>Kingston upon Hull North</t>
  </si>
  <si>
    <t>Kingston upon Hull West and Hessle</t>
  </si>
  <si>
    <t>ITS397611</t>
  </si>
  <si>
    <t>Maidstone and The Weald</t>
  </si>
  <si>
    <t>North Thanet</t>
  </si>
  <si>
    <t>ITS440227</t>
  </si>
  <si>
    <t>Gillingham and Rainham</t>
  </si>
  <si>
    <t>Gravesham</t>
  </si>
  <si>
    <t>Dover</t>
  </si>
  <si>
    <t>ITS397756</t>
  </si>
  <si>
    <t>Sittingbourne and Sheppey</t>
  </si>
  <si>
    <t>ITS397665</t>
  </si>
  <si>
    <t>Ashford</t>
  </si>
  <si>
    <t>ITS462866</t>
  </si>
  <si>
    <t>ITS393337</t>
  </si>
  <si>
    <t>ITS397619</t>
  </si>
  <si>
    <t>Fylde</t>
  </si>
  <si>
    <t>Rossendale and Darwen</t>
  </si>
  <si>
    <t>ITS446386</t>
  </si>
  <si>
    <t>Blackburn</t>
  </si>
  <si>
    <t>Lancaster and Fleetwood</t>
  </si>
  <si>
    <t>ITS446271</t>
  </si>
  <si>
    <t>Chorley</t>
  </si>
  <si>
    <t>Leicester South</t>
  </si>
  <si>
    <t>ITS462912</t>
  </si>
  <si>
    <t>Rutland and Melton</t>
  </si>
  <si>
    <t>Bosworth</t>
  </si>
  <si>
    <t>ITS409500</t>
  </si>
  <si>
    <t>ITS443464</t>
  </si>
  <si>
    <t>Leicester East</t>
  </si>
  <si>
    <t>Grantham and Stamford</t>
  </si>
  <si>
    <t>Boston and Skegness</t>
  </si>
  <si>
    <t>Sleaford and North Hykeham</t>
  </si>
  <si>
    <t>Louth and Horncastle</t>
  </si>
  <si>
    <t>South West Norfolk</t>
  </si>
  <si>
    <t>North Norfolk</t>
  </si>
  <si>
    <t>Scarborough and Whitby</t>
  </si>
  <si>
    <t>ITS296781</t>
  </si>
  <si>
    <t>York Central</t>
  </si>
  <si>
    <t>ITS443467</t>
  </si>
  <si>
    <t>South Northamptonshire</t>
  </si>
  <si>
    <t>Northampton North</t>
  </si>
  <si>
    <t>Mansfield</t>
  </si>
  <si>
    <t>Newark</t>
  </si>
  <si>
    <t>ITS443469</t>
  </si>
  <si>
    <t>Nottingham East</t>
  </si>
  <si>
    <t>ITS301540</t>
  </si>
  <si>
    <t>Witney</t>
  </si>
  <si>
    <t>ITS446270</t>
  </si>
  <si>
    <t>North Shropshire</t>
  </si>
  <si>
    <t>ITS443470</t>
  </si>
  <si>
    <t>Mill Hall School</t>
  </si>
  <si>
    <t>Shrewsbury and Atcham</t>
  </si>
  <si>
    <t>The Wrekin</t>
  </si>
  <si>
    <t>Somerton and Frome</t>
  </si>
  <si>
    <t>ITS393323</t>
  </si>
  <si>
    <t>Wells</t>
  </si>
  <si>
    <t>Lichfield</t>
  </si>
  <si>
    <t>ITS454252</t>
  </si>
  <si>
    <t>Staffordshire Moorlands</t>
  </si>
  <si>
    <t>ITS422711</t>
  </si>
  <si>
    <t>Suffolk Coastal</t>
  </si>
  <si>
    <t>ITS397747</t>
  </si>
  <si>
    <t>South Suffolk</t>
  </si>
  <si>
    <t>IP11 7NA</t>
  </si>
  <si>
    <t>Mole Valley</t>
  </si>
  <si>
    <t>ITS332985</t>
  </si>
  <si>
    <t>South West Surrey</t>
  </si>
  <si>
    <t>Moon Hall School for Dyslexic Children</t>
  </si>
  <si>
    <t>RH5 6LQ</t>
  </si>
  <si>
    <t>ITS284736</t>
  </si>
  <si>
    <t>Woking</t>
  </si>
  <si>
    <t>ITS452991</t>
  </si>
  <si>
    <t>Uxbridge and South Ruislip</t>
  </si>
  <si>
    <t>UB8 2FX</t>
  </si>
  <si>
    <t>ITS462915</t>
  </si>
  <si>
    <t>Congleton</t>
  </si>
  <si>
    <t>Horsham</t>
  </si>
  <si>
    <t>ITS446181</t>
  </si>
  <si>
    <t>Mid Sussex</t>
  </si>
  <si>
    <t>Devizes</t>
  </si>
  <si>
    <t>ITS462872</t>
  </si>
  <si>
    <t>North Wiltshire</t>
  </si>
  <si>
    <t>On Track Education Mildenhall</t>
  </si>
  <si>
    <t>West Suffolk</t>
  </si>
  <si>
    <t>Charnwood</t>
  </si>
  <si>
    <t>Camborne and Redruth</t>
  </si>
  <si>
    <t>Norwich South</t>
  </si>
  <si>
    <t>West Lancashire</t>
  </si>
  <si>
    <t>ITS443472</t>
  </si>
  <si>
    <t>Bradford East</t>
  </si>
  <si>
    <t>ITS462917</t>
  </si>
  <si>
    <t>Beis Ruchel Girls School - Manchester</t>
  </si>
  <si>
    <t>ITS422716</t>
  </si>
  <si>
    <t>ITS422717</t>
  </si>
  <si>
    <t>Walsall South</t>
  </si>
  <si>
    <t>Luton South</t>
  </si>
  <si>
    <t>ITS446264</t>
  </si>
  <si>
    <t>ITS364250</t>
  </si>
  <si>
    <t>Ashton-under-Lyne</t>
  </si>
  <si>
    <t>ITS443504</t>
  </si>
  <si>
    <t>Spen Brook School</t>
  </si>
  <si>
    <t>Preston</t>
  </si>
  <si>
    <t>South Thanet</t>
  </si>
  <si>
    <t>ITS397652</t>
  </si>
  <si>
    <t>ITS442960</t>
  </si>
  <si>
    <t>ITS463003</t>
  </si>
  <si>
    <t>West Ham</t>
  </si>
  <si>
    <t>ITS408717</t>
  </si>
  <si>
    <t>ITS462919</t>
  </si>
  <si>
    <t>ITS409639</t>
  </si>
  <si>
    <t>Henley</t>
  </si>
  <si>
    <t>ITS452711</t>
  </si>
  <si>
    <t>Sheffield South East</t>
  </si>
  <si>
    <t>Hove</t>
  </si>
  <si>
    <t>ITS420179</t>
  </si>
  <si>
    <t>ITS397758</t>
  </si>
  <si>
    <t>Calder Valley</t>
  </si>
  <si>
    <t>ITS397605</t>
  </si>
  <si>
    <t>ITS408718</t>
  </si>
  <si>
    <t>ITS442961</t>
  </si>
  <si>
    <t>ITS443474</t>
  </si>
  <si>
    <t>ITS408719</t>
  </si>
  <si>
    <t>ITS420183</t>
  </si>
  <si>
    <t>Bermondsey and Old Southwark</t>
  </si>
  <si>
    <t>ITS422720</t>
  </si>
  <si>
    <t>ITS397656</t>
  </si>
  <si>
    <t>ITS420193</t>
  </si>
  <si>
    <t>ITS386849</t>
  </si>
  <si>
    <t>ITS341936</t>
  </si>
  <si>
    <t>Pendle</t>
  </si>
  <si>
    <t>ITS442962</t>
  </si>
  <si>
    <t>ITS420203</t>
  </si>
  <si>
    <t>ITS462920</t>
  </si>
  <si>
    <t>ITS442963</t>
  </si>
  <si>
    <t>ITS301543</t>
  </si>
  <si>
    <t>Orpington</t>
  </si>
  <si>
    <t>ITS447170</t>
  </si>
  <si>
    <t>ITS462876</t>
  </si>
  <si>
    <t>ITS422724</t>
  </si>
  <si>
    <t>Taunton Deane</t>
  </si>
  <si>
    <t>ITS454261</t>
  </si>
  <si>
    <t>Aylesbury</t>
  </si>
  <si>
    <t>ITS397590</t>
  </si>
  <si>
    <t>Arundel and South Downs</t>
  </si>
  <si>
    <t>ITS397759</t>
  </si>
  <si>
    <t>ITS422725</t>
  </si>
  <si>
    <t>Broxtowe</t>
  </si>
  <si>
    <t>ITS446391</t>
  </si>
  <si>
    <t>Hazel Grove</t>
  </si>
  <si>
    <t>ITS397745</t>
  </si>
  <si>
    <t>PR2 2HW</t>
  </si>
  <si>
    <t>ITS422726</t>
  </si>
  <si>
    <t>Sevenoaks</t>
  </si>
  <si>
    <t>ITS463004</t>
  </si>
  <si>
    <t>ITS353863</t>
  </si>
  <si>
    <t>On Track Education Totnes</t>
  </si>
  <si>
    <t>Oldham West and Royton</t>
  </si>
  <si>
    <t>ITS422733</t>
  </si>
  <si>
    <t>ITS393322</t>
  </si>
  <si>
    <t>ITS445760</t>
  </si>
  <si>
    <t>City of Chester</t>
  </si>
  <si>
    <t>Eddisbury</t>
  </si>
  <si>
    <t>South East Cambridgeshire</t>
  </si>
  <si>
    <t>ITS454263</t>
  </si>
  <si>
    <t>Halifax</t>
  </si>
  <si>
    <t>ITS422737</t>
  </si>
  <si>
    <t>Guildford</t>
  </si>
  <si>
    <t>ITS441435</t>
  </si>
  <si>
    <t>Newbury</t>
  </si>
  <si>
    <t>ITS422740</t>
  </si>
  <si>
    <t>Greenwich and Woolwich</t>
  </si>
  <si>
    <t>ITS301530</t>
  </si>
  <si>
    <t>ITS422741</t>
  </si>
  <si>
    <t>Burnley</t>
  </si>
  <si>
    <t>Rochester and Strood</t>
  </si>
  <si>
    <t>ITS422742</t>
  </si>
  <si>
    <t>Carlisle</t>
  </si>
  <si>
    <t>Liverpool, Riverside</t>
  </si>
  <si>
    <t>ITS462921</t>
  </si>
  <si>
    <t>ITS301581</t>
  </si>
  <si>
    <t>Batley and Spen</t>
  </si>
  <si>
    <t>ITS447191</t>
  </si>
  <si>
    <t>ITS447244</t>
  </si>
  <si>
    <t>ITS316892</t>
  </si>
  <si>
    <t>South West Wiltshire</t>
  </si>
  <si>
    <t>Croydon North</t>
  </si>
  <si>
    <t>ITS361394</t>
  </si>
  <si>
    <t>ITS442987</t>
  </si>
  <si>
    <t>ITS454264</t>
  </si>
  <si>
    <t>Leyton and Wanstead</t>
  </si>
  <si>
    <t>Wansbeck</t>
  </si>
  <si>
    <t>Garston and Halewood</t>
  </si>
  <si>
    <t>ITS422748</t>
  </si>
  <si>
    <t>Bolton North East</t>
  </si>
  <si>
    <t>Liverpool, Walton</t>
  </si>
  <si>
    <t>ITS454265</t>
  </si>
  <si>
    <t>ITS463005</t>
  </si>
  <si>
    <t>Brighton, Pavilion</t>
  </si>
  <si>
    <t>ITS422749</t>
  </si>
  <si>
    <t>North Devon</t>
  </si>
  <si>
    <t>Beverley and Holderness</t>
  </si>
  <si>
    <t>ITS463006</t>
  </si>
  <si>
    <t>Croydon Central</t>
  </si>
  <si>
    <t>ITS422750</t>
  </si>
  <si>
    <t>ITS454266</t>
  </si>
  <si>
    <t>Lewisham, Deptford</t>
  </si>
  <si>
    <t>Bradford West</t>
  </si>
  <si>
    <t>Reigate</t>
  </si>
  <si>
    <t>ITS422752</t>
  </si>
  <si>
    <t>ITS463026</t>
  </si>
  <si>
    <t>ITS364274</t>
  </si>
  <si>
    <t>ITS446282</t>
  </si>
  <si>
    <t>ITS447462</t>
  </si>
  <si>
    <t>ITS422618</t>
  </si>
  <si>
    <t>ITS422755</t>
  </si>
  <si>
    <t>On Track Education Wisbech</t>
  </si>
  <si>
    <t>ITS446127</t>
  </si>
  <si>
    <t>ITS446392</t>
  </si>
  <si>
    <t>Stone</t>
  </si>
  <si>
    <t>ITS422758</t>
  </si>
  <si>
    <t>ITS447293</t>
  </si>
  <si>
    <t>ITS464982</t>
  </si>
  <si>
    <t>SL1 5AN</t>
  </si>
  <si>
    <t>ITS441442</t>
  </si>
  <si>
    <t>On Track Education Silverstone</t>
  </si>
  <si>
    <t>NN12 8UB</t>
  </si>
  <si>
    <t>ITS361408</t>
  </si>
  <si>
    <t>Bradford South</t>
  </si>
  <si>
    <t>Camberwell and Peckham</t>
  </si>
  <si>
    <t>ITS420194</t>
  </si>
  <si>
    <t>ITS422760</t>
  </si>
  <si>
    <t>Warrington South</t>
  </si>
  <si>
    <t>ITS442990</t>
  </si>
  <si>
    <t>Hayes and Harlington</t>
  </si>
  <si>
    <t>ITS446423</t>
  </si>
  <si>
    <t>Derby South</t>
  </si>
  <si>
    <t>Options Barton School</t>
  </si>
  <si>
    <t>Cleethorpes</t>
  </si>
  <si>
    <t>Barking</t>
  </si>
  <si>
    <t>Bolsover</t>
  </si>
  <si>
    <t>ITS397673</t>
  </si>
  <si>
    <t>Braintree</t>
  </si>
  <si>
    <t>ITS422763</t>
  </si>
  <si>
    <t>North West Leicestershire</t>
  </si>
  <si>
    <t>Norwich North</t>
  </si>
  <si>
    <t>Stretford and Urmston</t>
  </si>
  <si>
    <t>ITS302905</t>
  </si>
  <si>
    <t>ITS464148</t>
  </si>
  <si>
    <t>ITS463344</t>
  </si>
  <si>
    <t>Walthamstow</t>
  </si>
  <si>
    <t>Edmonton</t>
  </si>
  <si>
    <t>ITS447172</t>
  </si>
  <si>
    <t>East Ham</t>
  </si>
  <si>
    <t>Leicester West</t>
  </si>
  <si>
    <t>ITS393305</t>
  </si>
  <si>
    <t>North Warwickshire</t>
  </si>
  <si>
    <t>ITS422770</t>
  </si>
  <si>
    <t>ITS463916</t>
  </si>
  <si>
    <t>Bassetlaw</t>
  </si>
  <si>
    <t>ITS447295</t>
  </si>
  <si>
    <t>ITS463007</t>
  </si>
  <si>
    <t>ITS422772</t>
  </si>
  <si>
    <t>ITS463008</t>
  </si>
  <si>
    <t>Luton North</t>
  </si>
  <si>
    <t>ITS454272</t>
  </si>
  <si>
    <t>ITS442970</t>
  </si>
  <si>
    <t>Yeovil</t>
  </si>
  <si>
    <t>ITS464256</t>
  </si>
  <si>
    <t>Southend West</t>
  </si>
  <si>
    <t>ITS462929</t>
  </si>
  <si>
    <t>South Norfolk</t>
  </si>
  <si>
    <t>ITS393281</t>
  </si>
  <si>
    <t>Birmingham, Erdington</t>
  </si>
  <si>
    <t>ITS455443</t>
  </si>
  <si>
    <t>Tynemouth</t>
  </si>
  <si>
    <t>ITS463009</t>
  </si>
  <si>
    <t>ITS393319</t>
  </si>
  <si>
    <t>Scunthorpe</t>
  </si>
  <si>
    <t>ITS463010</t>
  </si>
  <si>
    <t>ITS443481</t>
  </si>
  <si>
    <t>ITS422775</t>
  </si>
  <si>
    <t>Meon Valley</t>
  </si>
  <si>
    <t>ITS422777</t>
  </si>
  <si>
    <t>Sedgefield</t>
  </si>
  <si>
    <t>Witham</t>
  </si>
  <si>
    <t>ITS440228</t>
  </si>
  <si>
    <t>ITS422781</t>
  </si>
  <si>
    <t>ITS464058</t>
  </si>
  <si>
    <t>East Worthing and Shoreham</t>
  </si>
  <si>
    <t>South Leicestershire</t>
  </si>
  <si>
    <t>ITS342553</t>
  </si>
  <si>
    <t>Macclesfield</t>
  </si>
  <si>
    <t>ITS422784</t>
  </si>
  <si>
    <t>ITS422785</t>
  </si>
  <si>
    <t>Loughborough</t>
  </si>
  <si>
    <t>ITS440221</t>
  </si>
  <si>
    <t>ITS440216</t>
  </si>
  <si>
    <t>Fareham</t>
  </si>
  <si>
    <t>ITS422789</t>
  </si>
  <si>
    <t>High Peak</t>
  </si>
  <si>
    <t>Brigg and Goole</t>
  </si>
  <si>
    <t>ITS446244</t>
  </si>
  <si>
    <t>ITS397621</t>
  </si>
  <si>
    <t>ITS463316</t>
  </si>
  <si>
    <t>Fusion College</t>
  </si>
  <si>
    <t>ITS446253</t>
  </si>
  <si>
    <t>ITS446261</t>
  </si>
  <si>
    <t>Rushcliffe</t>
  </si>
  <si>
    <t>Brent North</t>
  </si>
  <si>
    <t>ITS454280</t>
  </si>
  <si>
    <t>Barnsley Central</t>
  </si>
  <si>
    <t>ITS454281</t>
  </si>
  <si>
    <t>ITS462934</t>
  </si>
  <si>
    <t>ITS385126</t>
  </si>
  <si>
    <t>ITS440222</t>
  </si>
  <si>
    <t>South East Cornwall</t>
  </si>
  <si>
    <t>ITS462882</t>
  </si>
  <si>
    <t>Penrith and The Border</t>
  </si>
  <si>
    <t>ITS446284</t>
  </si>
  <si>
    <t>ITS386843</t>
  </si>
  <si>
    <t>ITS454284</t>
  </si>
  <si>
    <t>Options Higford School</t>
  </si>
  <si>
    <t>Ludlow</t>
  </si>
  <si>
    <t>ITS462939</t>
  </si>
  <si>
    <t>Meriden</t>
  </si>
  <si>
    <t>ITS455552</t>
  </si>
  <si>
    <t>Walsall North</t>
  </si>
  <si>
    <t>ITS442989</t>
  </si>
  <si>
    <t>Folkestone and Hythe</t>
  </si>
  <si>
    <t>ITS393299</t>
  </si>
  <si>
    <t>West Bromwich West</t>
  </si>
  <si>
    <t>Denton and Reddish</t>
  </si>
  <si>
    <t>ITS463013</t>
  </si>
  <si>
    <t>Leigh</t>
  </si>
  <si>
    <t>ITS420204</t>
  </si>
  <si>
    <t>Chatham and Aylesford</t>
  </si>
  <si>
    <t>Esher and Walton</t>
  </si>
  <si>
    <t>ITS388417</t>
  </si>
  <si>
    <t>ITS397643</t>
  </si>
  <si>
    <t>Birmingham, Perry Barr</t>
  </si>
  <si>
    <t>ITS397626</t>
  </si>
  <si>
    <t>ITS464320</t>
  </si>
  <si>
    <t>ITS408734</t>
  </si>
  <si>
    <t>Bridgwater and West Somerset</t>
  </si>
  <si>
    <t>ITS397617</t>
  </si>
  <si>
    <t>Central Suffolk and North Ipswich</t>
  </si>
  <si>
    <t>ITS408737</t>
  </si>
  <si>
    <t>ITS420195</t>
  </si>
  <si>
    <t>Northampton South</t>
  </si>
  <si>
    <t>ITS408745</t>
  </si>
  <si>
    <t>ITS422793</t>
  </si>
  <si>
    <t>ITS420173</t>
  </si>
  <si>
    <t>West Bromwich East</t>
  </si>
  <si>
    <t>ITS447301</t>
  </si>
  <si>
    <t>Sutton and Cheam</t>
  </si>
  <si>
    <t>ITS420201</t>
  </si>
  <si>
    <t>ITS422794</t>
  </si>
  <si>
    <t>North West Durham</t>
  </si>
  <si>
    <t>ITS422798</t>
  </si>
  <si>
    <t>EN3 7XH</t>
  </si>
  <si>
    <t>ITS422799</t>
  </si>
  <si>
    <t>North East Bedfordshire</t>
  </si>
  <si>
    <t>Reading East</t>
  </si>
  <si>
    <t>ITS440226</t>
  </si>
  <si>
    <t>ITS422816</t>
  </si>
  <si>
    <t>South Ribble</t>
  </si>
  <si>
    <t>ITS422819</t>
  </si>
  <si>
    <t>ITS422820</t>
  </si>
  <si>
    <t>On Track Education Westbury</t>
  </si>
  <si>
    <t>ITS422822</t>
  </si>
  <si>
    <t>ITS422824</t>
  </si>
  <si>
    <t>Al-Noor Girls Secondary School</t>
  </si>
  <si>
    <t>ITS364144</t>
  </si>
  <si>
    <t>Nuneaton</t>
  </si>
  <si>
    <t>ITS364146</t>
  </si>
  <si>
    <t>ITS422825</t>
  </si>
  <si>
    <t>ITS440217</t>
  </si>
  <si>
    <t>ITS422826</t>
  </si>
  <si>
    <t>ITS447180</t>
  </si>
  <si>
    <t>Ribble Valley</t>
  </si>
  <si>
    <t>Beis Ruchel Girls School - Salford</t>
  </si>
  <si>
    <t>ITS443452</t>
  </si>
  <si>
    <t>ITS441440</t>
  </si>
  <si>
    <t>Eltham</t>
  </si>
  <si>
    <t>ITS442999</t>
  </si>
  <si>
    <t>ITS364338</t>
  </si>
  <si>
    <t>ITS442977</t>
  </si>
  <si>
    <t>ITS447181</t>
  </si>
  <si>
    <t>ITS447240</t>
  </si>
  <si>
    <t>ITS447241</t>
  </si>
  <si>
    <t>ITS446278</t>
  </si>
  <si>
    <t>ITS446246</t>
  </si>
  <si>
    <t>Southampton, Test</t>
  </si>
  <si>
    <t>ITS443150</t>
  </si>
  <si>
    <t>Stoke-on-Trent South</t>
  </si>
  <si>
    <t>ITS446255</t>
  </si>
  <si>
    <t>On Track Education Northampton</t>
  </si>
  <si>
    <t>ITS447296</t>
  </si>
  <si>
    <t>Beckenham</t>
  </si>
  <si>
    <t>BR2 8LD</t>
  </si>
  <si>
    <t>ITS447201</t>
  </si>
  <si>
    <t>ITS446247</t>
  </si>
  <si>
    <t>ITS447183</t>
  </si>
  <si>
    <t>ITS446393</t>
  </si>
  <si>
    <t>ITS463015</t>
  </si>
  <si>
    <t>ITS454292</t>
  </si>
  <si>
    <t>Ilford North</t>
  </si>
  <si>
    <t>ITS385128</t>
  </si>
  <si>
    <t>Newcastle-under-Lyme</t>
  </si>
  <si>
    <t>ITS454293</t>
  </si>
  <si>
    <t>ITS454294</t>
  </si>
  <si>
    <t>Newcastle upon Tyne Central</t>
  </si>
  <si>
    <t>West Worcestershire</t>
  </si>
  <si>
    <t>ITS446256</t>
  </si>
  <si>
    <t>ITS452377</t>
  </si>
  <si>
    <t>Chipping Barnet</t>
  </si>
  <si>
    <t>ITS454298</t>
  </si>
  <si>
    <t>Wythenshawe and Sale East</t>
  </si>
  <si>
    <t>ITS454299</t>
  </si>
  <si>
    <t>ITS454300</t>
  </si>
  <si>
    <t>Nottingham North</t>
  </si>
  <si>
    <t>ITS454301</t>
  </si>
  <si>
    <t>Ipswich</t>
  </si>
  <si>
    <t>ITS462889</t>
  </si>
  <si>
    <t>Kenilworth and Southam</t>
  </si>
  <si>
    <t>ITS462890</t>
  </si>
  <si>
    <t>Reading West</t>
  </si>
  <si>
    <t>ITS462891</t>
  </si>
  <si>
    <t>Bishop Auckland</t>
  </si>
  <si>
    <t>N16 5DH</t>
  </si>
  <si>
    <t>ITS393249</t>
  </si>
  <si>
    <t>ITS393252</t>
  </si>
  <si>
    <t>ITS393257</t>
  </si>
  <si>
    <t>ITS393267</t>
  </si>
  <si>
    <t>Feltham and Heston</t>
  </si>
  <si>
    <t>Salford and Eccles</t>
  </si>
  <si>
    <t>ITS393270</t>
  </si>
  <si>
    <t>ITS393287</t>
  </si>
  <si>
    <t>ITS397683</t>
  </si>
  <si>
    <t>Rochford and Southend East</t>
  </si>
  <si>
    <t>Sheffield, Brightside and Hillsborough</t>
  </si>
  <si>
    <t>ITS397688</t>
  </si>
  <si>
    <t>Stoke-on-Trent Central</t>
  </si>
  <si>
    <t>ITS397690</t>
  </si>
  <si>
    <t>Bristol South</t>
  </si>
  <si>
    <t>Brent Central</t>
  </si>
  <si>
    <t>ITS397700</t>
  </si>
  <si>
    <t>ITS397702</t>
  </si>
  <si>
    <t>ITS397703</t>
  </si>
  <si>
    <t>ITS397705</t>
  </si>
  <si>
    <t>ITS408678</t>
  </si>
  <si>
    <t>Stafford</t>
  </si>
  <si>
    <t>Oxford East</t>
  </si>
  <si>
    <t>ITS408691</t>
  </si>
  <si>
    <t>North West Norfolk</t>
  </si>
  <si>
    <t>Bournemouth Christian School</t>
  </si>
  <si>
    <t>Bournemouth West</t>
  </si>
  <si>
    <t>Salisbury</t>
  </si>
  <si>
    <t>ITS420277</t>
  </si>
  <si>
    <t>Lewisham West and Penge</t>
  </si>
  <si>
    <t>ITS420250</t>
  </si>
  <si>
    <t>Bexleyheath and Crayford</t>
  </si>
  <si>
    <t>ITS420252</t>
  </si>
  <si>
    <t>ITS420256</t>
  </si>
  <si>
    <t>ITS420281</t>
  </si>
  <si>
    <t>ITS420282</t>
  </si>
  <si>
    <t>ITS420263</t>
  </si>
  <si>
    <t>ITS420269</t>
  </si>
  <si>
    <t>Great Yarmouth</t>
  </si>
  <si>
    <t>Vauxhall</t>
  </si>
  <si>
    <t>ITS420274</t>
  </si>
  <si>
    <t>Wantage</t>
  </si>
  <si>
    <t>Liverpool, Wavertree</t>
  </si>
  <si>
    <t>ITS422837</t>
  </si>
  <si>
    <t>Aurora Woodlands School</t>
  </si>
  <si>
    <t>ITS422839</t>
  </si>
  <si>
    <t>ITS422845</t>
  </si>
  <si>
    <t>Stoke-on-Trent North</t>
  </si>
  <si>
    <t>ITS422847</t>
  </si>
  <si>
    <t>ITS422852</t>
  </si>
  <si>
    <t>ITS422853</t>
  </si>
  <si>
    <t>ITS422857</t>
  </si>
  <si>
    <t>ITS422861</t>
  </si>
  <si>
    <t>ITS422864</t>
  </si>
  <si>
    <t>ITS422865</t>
  </si>
  <si>
    <t>ITS422866</t>
  </si>
  <si>
    <t>Morecambe and Lunesdale</t>
  </si>
  <si>
    <t>ITS429468</t>
  </si>
  <si>
    <t>ITS429469</t>
  </si>
  <si>
    <t>Sherwood</t>
  </si>
  <si>
    <t>ITS439268</t>
  </si>
  <si>
    <t>Eastbourne</t>
  </si>
  <si>
    <t>ITS443002</t>
  </si>
  <si>
    <t>Leeds Central</t>
  </si>
  <si>
    <t>LE12 8UE</t>
  </si>
  <si>
    <t>ITS443006</t>
  </si>
  <si>
    <t>ITS443007</t>
  </si>
  <si>
    <t>Maple View School</t>
  </si>
  <si>
    <t>Derby North</t>
  </si>
  <si>
    <t>ITS446396</t>
  </si>
  <si>
    <t>ITS443011</t>
  </si>
  <si>
    <t>IG1 3BD</t>
  </si>
  <si>
    <t>ITS443018</t>
  </si>
  <si>
    <t>Birmingham, Selly Oak</t>
  </si>
  <si>
    <t>ITS443019</t>
  </si>
  <si>
    <t>ITS443020</t>
  </si>
  <si>
    <t>Oxford West and Abingdon</t>
  </si>
  <si>
    <t>ITS443023</t>
  </si>
  <si>
    <t>ITS443025</t>
  </si>
  <si>
    <t>Leeds East</t>
  </si>
  <si>
    <t>Erith and Thamesmead</t>
  </si>
  <si>
    <t>ITS443027</t>
  </si>
  <si>
    <t>ITS443029</t>
  </si>
  <si>
    <t>ITS443032</t>
  </si>
  <si>
    <t>ITS443034</t>
  </si>
  <si>
    <t>ITS443035</t>
  </si>
  <si>
    <t>Bridge House School</t>
  </si>
  <si>
    <t>ITS443036</t>
  </si>
  <si>
    <t>Stockton North</t>
  </si>
  <si>
    <t>ITS456413</t>
  </si>
  <si>
    <t>ITS447298</t>
  </si>
  <si>
    <t>Rugby</t>
  </si>
  <si>
    <t>ITS447299</t>
  </si>
  <si>
    <t>ITS447300</t>
  </si>
  <si>
    <t>ITS447249</t>
  </si>
  <si>
    <t>ITS447290</t>
  </si>
  <si>
    <t>Nottingham South</t>
  </si>
  <si>
    <t>ITS447302</t>
  </si>
  <si>
    <t>ITS447235</t>
  </si>
  <si>
    <t>J.A.M.E.S.</t>
  </si>
  <si>
    <t>ITS454302</t>
  </si>
  <si>
    <t>Portsmouth South</t>
  </si>
  <si>
    <t>Hertford and Stortford</t>
  </si>
  <si>
    <t>ITS454306</t>
  </si>
  <si>
    <t>Stalybridge and Hyde</t>
  </si>
  <si>
    <t>ITS454307</t>
  </si>
  <si>
    <t>Truro and Falmouth</t>
  </si>
  <si>
    <t>ITS462740</t>
  </si>
  <si>
    <t>Warley</t>
  </si>
  <si>
    <t>ITS462980</t>
  </si>
  <si>
    <t>ITS462981</t>
  </si>
  <si>
    <t>ITS462983</t>
  </si>
  <si>
    <t>ITS462894</t>
  </si>
  <si>
    <t>ITS462895</t>
  </si>
  <si>
    <t>ITS462896</t>
  </si>
  <si>
    <t>ITS455281</t>
  </si>
  <si>
    <t>ITS462985</t>
  </si>
  <si>
    <t>Manchester, Gorton</t>
  </si>
  <si>
    <t>ITS463023</t>
  </si>
  <si>
    <t>ITS462986</t>
  </si>
  <si>
    <t>Enfield, Southgate</t>
  </si>
  <si>
    <t>Newton Abbot</t>
  </si>
  <si>
    <t>Dudley North</t>
  </si>
  <si>
    <t>DY1 4RF</t>
  </si>
  <si>
    <t>Hackney South and Shoreditch</t>
  </si>
  <si>
    <t>Chesham and Amersham</t>
  </si>
  <si>
    <t>Penistone and Stocksbridge</t>
  </si>
  <si>
    <t>Milton Keynes South</t>
  </si>
  <si>
    <t>Beaconsfield</t>
  </si>
  <si>
    <t>North East Hertfordshire</t>
  </si>
  <si>
    <t>Chelmsford</t>
  </si>
  <si>
    <t>Wolverhampton South East</t>
  </si>
  <si>
    <t>HA9 6AR</t>
  </si>
  <si>
    <t>Sheffield, Heeley</t>
  </si>
  <si>
    <t>W6 0JS</t>
  </si>
  <si>
    <t>Waveney</t>
  </si>
  <si>
    <t>Normanton, Pontefract and Castleford</t>
  </si>
  <si>
    <t>Coventry South</t>
  </si>
  <si>
    <t>B6 7SS</t>
  </si>
  <si>
    <t>Middlesbrough South and East Cleveland</t>
  </si>
  <si>
    <t>PR5 6QE</t>
  </si>
  <si>
    <t>Central Devon</t>
  </si>
  <si>
    <t>Lewisham East</t>
  </si>
  <si>
    <t>Worthing West</t>
  </si>
  <si>
    <t>Hillcrest New Barn School</t>
  </si>
  <si>
    <t>Great Grimsby</t>
  </si>
  <si>
    <t>Hyndburn</t>
  </si>
  <si>
    <t>Kettering</t>
  </si>
  <si>
    <t>Welwyn Hatfield</t>
  </si>
  <si>
    <t>East Surrey</t>
  </si>
  <si>
    <t>City of Durham</t>
  </si>
  <si>
    <t>Amber Valley</t>
  </si>
  <si>
    <t>Havant</t>
  </si>
  <si>
    <t>WF12 9LX</t>
  </si>
  <si>
    <t>Birkenhead</t>
  </si>
  <si>
    <t>Gainsborough</t>
  </si>
  <si>
    <t>Wolverhampton North East</t>
  </si>
  <si>
    <t>Hereford and South Herefordshire</t>
  </si>
  <si>
    <t>Mid Norfolk</t>
  </si>
  <si>
    <t>Clacton</t>
  </si>
  <si>
    <t>Heywood and Middleton</t>
  </si>
  <si>
    <t>On Track Education Barnstaple</t>
  </si>
  <si>
    <t>Makerfield</t>
  </si>
  <si>
    <t>New Ways School</t>
  </si>
  <si>
    <t>Birmingham, Northfield</t>
  </si>
  <si>
    <t>Barrow and Furness</t>
  </si>
  <si>
    <t>Warwick and Leamington</t>
  </si>
  <si>
    <t>East Hampshire</t>
  </si>
  <si>
    <t>Ashfield</t>
  </si>
  <si>
    <t>E7 8QT</t>
  </si>
  <si>
    <t>Harrow West</t>
  </si>
  <si>
    <t>Telford</t>
  </si>
  <si>
    <t>The Outdoors School</t>
  </si>
  <si>
    <t>EX2 9TG</t>
  </si>
  <si>
    <t>Tiverton and Honiton</t>
  </si>
  <si>
    <t>Westbourne School</t>
  </si>
  <si>
    <t>NG17 2EL</t>
  </si>
  <si>
    <t>LU3 2SF</t>
  </si>
  <si>
    <t>Tewkesbury</t>
  </si>
  <si>
    <t>NW3 5QA</t>
  </si>
  <si>
    <t>Bootle</t>
  </si>
  <si>
    <t>Rother Valley</t>
  </si>
  <si>
    <t>SMS Changing Lives</t>
  </si>
  <si>
    <t>M35 9AY</t>
  </si>
  <si>
    <t>Al-Risalah Boys School</t>
  </si>
  <si>
    <t>Hartwell School</t>
  </si>
  <si>
    <t>Stockton South</t>
  </si>
  <si>
    <t>TS18 3TN</t>
  </si>
  <si>
    <t>Kingsgate School</t>
  </si>
  <si>
    <t>PO16 0HZ</t>
  </si>
  <si>
    <t>Aurora Boveridge College - The Beeches School</t>
  </si>
  <si>
    <t>BH21 5RT</t>
  </si>
  <si>
    <t>Clarity Independent School</t>
  </si>
  <si>
    <t>Maldon</t>
  </si>
  <si>
    <t>CM2 7SG</t>
  </si>
  <si>
    <t>Big Picture Doncaster</t>
  </si>
  <si>
    <t>Doncaster North</t>
  </si>
  <si>
    <t>DN5 0BF</t>
  </si>
  <si>
    <t>Peak Education - Cannock</t>
  </si>
  <si>
    <t>Cannock Chase</t>
  </si>
  <si>
    <t>WS11 0LG</t>
  </si>
  <si>
    <t>Elmbank Learning Centre</t>
  </si>
  <si>
    <t>TS20 1PQ</t>
  </si>
  <si>
    <t>Witham Prospect School</t>
  </si>
  <si>
    <t>LN6 9JR</t>
  </si>
  <si>
    <t>Koru</t>
  </si>
  <si>
    <t>Hornchurch and Upminster</t>
  </si>
  <si>
    <t>RM3 7SU</t>
  </si>
  <si>
    <t>Heather Field School</t>
  </si>
  <si>
    <t>ST17 9JW</t>
  </si>
  <si>
    <t>Lyme Brook Independent School</t>
  </si>
  <si>
    <t>ST5 1JB</t>
  </si>
  <si>
    <t>The Holden School</t>
  </si>
  <si>
    <t>WN7 4SB</t>
  </si>
  <si>
    <t>Camp Hill Education</t>
  </si>
  <si>
    <t>B11 1AR</t>
  </si>
  <si>
    <t>Al-Zahra School</t>
  </si>
  <si>
    <t>Al-Khair Girls' School</t>
  </si>
  <si>
    <t>CR0 6BB</t>
  </si>
  <si>
    <t>The View School</t>
  </si>
  <si>
    <t>Tonbridge and Malling</t>
  </si>
  <si>
    <t>TN8 5BD</t>
  </si>
  <si>
    <t>Eagle House School ( Bramley)</t>
  </si>
  <si>
    <t>KT20 7ST</t>
  </si>
  <si>
    <t>Heritage Academy</t>
  </si>
  <si>
    <t>B12 0DX</t>
  </si>
  <si>
    <t>Odyssey House School</t>
  </si>
  <si>
    <t>N6 5TN</t>
  </si>
  <si>
    <t>Thirsk and Malton</t>
  </si>
  <si>
    <t>The Family Learning School</t>
  </si>
  <si>
    <t>SE6 4AS</t>
  </si>
  <si>
    <t>Parkgate School</t>
  </si>
  <si>
    <t>Castle Futures</t>
  </si>
  <si>
    <t>Lincoln</t>
  </si>
  <si>
    <t>LN2 2JN</t>
  </si>
  <si>
    <t>Rida Boys High School</t>
  </si>
  <si>
    <t>Al-Khair Preparatory School</t>
  </si>
  <si>
    <t>CR0 3RA</t>
  </si>
  <si>
    <t>Social Arts for Education</t>
  </si>
  <si>
    <t>SE9 1TY</t>
  </si>
  <si>
    <t>Bridgeway School</t>
  </si>
  <si>
    <t>PR5 6EP</t>
  </si>
  <si>
    <t>Ateres Elisheva Girls Primary School</t>
  </si>
  <si>
    <t>M7 4JD</t>
  </si>
  <si>
    <t>HR8 1HT</t>
  </si>
  <si>
    <t>George Johnson Education Centre</t>
  </si>
  <si>
    <t>LN6 3QN</t>
  </si>
  <si>
    <t>SMK Gateway - Alternative Provision</t>
  </si>
  <si>
    <t>Milton Keynes North</t>
  </si>
  <si>
    <t>MK9 3GN</t>
  </si>
  <si>
    <t>Orion School</t>
  </si>
  <si>
    <t>B18 7QH</t>
  </si>
  <si>
    <t>Progress Schools - Stockport</t>
  </si>
  <si>
    <t>SK3 0AN</t>
  </si>
  <si>
    <t>Excellence Girls Academy</t>
  </si>
  <si>
    <t>ST4 2ER</t>
  </si>
  <si>
    <t>Beis Rochel Mcr Girls' School</t>
  </si>
  <si>
    <t>M7 2FZ</t>
  </si>
  <si>
    <t>Darul Madinah Slough</t>
  </si>
  <si>
    <t>SL1 2PH</t>
  </si>
  <si>
    <t>The Aspire Hub, Bolton</t>
  </si>
  <si>
    <t>Bolton West</t>
  </si>
  <si>
    <t>BL5 2JE</t>
  </si>
  <si>
    <t>Clervaux Garden School</t>
  </si>
  <si>
    <t>Richmond (Yorks)</t>
  </si>
  <si>
    <t>DL2 2TF</t>
  </si>
  <si>
    <t>Edenfield Girls High School</t>
  </si>
  <si>
    <t>BB9 0PQ</t>
  </si>
  <si>
    <t>Compass Community School Hemsworth</t>
  </si>
  <si>
    <t>WF9 4EA</t>
  </si>
  <si>
    <t>Ohr Emes</t>
  </si>
  <si>
    <t>E5 9AL</t>
  </si>
  <si>
    <t>Canterbury</t>
  </si>
  <si>
    <t>Liberty Woodland School</t>
  </si>
  <si>
    <t>Epsom and Ewell</t>
  </si>
  <si>
    <t>KT4 7PU</t>
  </si>
  <si>
    <t>Learning4Life-GY</t>
  </si>
  <si>
    <t>6 February 2020</t>
  </si>
  <si>
    <t xml:space="preserve">The education inspection framework (EIF) was introduced in September 2019. </t>
  </si>
  <si>
    <t>https://www.gov.uk/government/publications/education-inspection-framework</t>
  </si>
  <si>
    <t>Only those judgements that map to the EIF have been included in this publication. All other judgements made on inspection can be found in the inspection report using the web link provided.</t>
  </si>
  <si>
    <t>Independent school standard inspection
Independent school standard inspection - first
Independent school standard inspection - group
Independent school standard inspection - integrated
Independent school standard inspection - integrated - first
Independent school emergency inspection
Independent school emergency inspection -integrated
Independent school Material Change inspection
Independent School material change inspection - Integrated
Independent School Pre-registration Inspection
Independent School Pre-Registration inspection - integrated
Independent school Progress Monitoring inspection
Independent school progress monitoring inspection - Integrated</t>
  </si>
  <si>
    <t>Safeguarding is effective? is effective?</t>
  </si>
  <si>
    <t>Independent School standard inspection - first</t>
  </si>
  <si>
    <t>Dataset 1a: In-year standard inspections</t>
  </si>
  <si>
    <t>Dataset 1b: In-year additional</t>
  </si>
  <si>
    <t>Dataset 2: Most recent inspections</t>
  </si>
  <si>
    <t>Data in D1a, D1b and D2 presents information about whether a school has met the independent school standards.</t>
  </si>
  <si>
    <t>Further information about the independent school standards is available at the following link:</t>
  </si>
  <si>
    <t>Indicates whether a school is complying with its registration agreement on the GIAS database</t>
  </si>
  <si>
    <t>Y = Yes
N = No
NULL = not inspected yet</t>
  </si>
  <si>
    <t>1. In the ‘All standards’ row, ‘met’ means that all of the standards in all eight parts have been met. For each part of the standards, ‘met’ means that all of the independent schools standards have been met in that part.</t>
  </si>
  <si>
    <t xml:space="preserve">4. In the ‘standards’ columns, ‘met’ means that all of the standards in all eight parts of the independent school standards have been met. </t>
  </si>
  <si>
    <t>5. Data on the total number of independent schools, number inspected, their overall effectiveness and their compliance to the independent school standards is based on their most recent inspection if applicable. Data on safeguarding is based on inspections since 1 September 2015, when the Common Inspection Framework was introduced.</t>
  </si>
  <si>
    <t>6. The total number of schools judged on their compliance with the independent school standards does not add up to the total number of schools inspected. Most schools which were judged on their compliance with the independent school standards were inspected from 2015 onwards.</t>
  </si>
  <si>
    <t>2. Data on faith is based on a declaration by the school that it has a religious character and / or ethos, recorded in the Get Information About Schools (GIAS) database (Source: Department for Education). The faith groupings are described in the "Contents and guidance" tab, in the "Faith schools" section.</t>
  </si>
  <si>
    <t xml:space="preserve">5. In the ‘standards’ columns, ‘met’ means that all of the standards in all eight parts of the independent school standards have been met. </t>
  </si>
  <si>
    <t>6. Data on the total number of independent schools, number inspected, their overall effectiveness and their compliance to the independent school standards is based on their most recent inspection if applicable. Data on safeguarding is based on inspections since 1 September 2015, when the Common Inspection Framework was introduced.</t>
  </si>
  <si>
    <t>7. The total number of schools judged on their compliance with the independent school standards does not add up to the total number of schools inspected. Most schools which were judged on their compliance with the independent school standards were inspected from 2015 onwards.</t>
  </si>
  <si>
    <t>3. Non-association independent schools that failed at least one of the independent school standards and were therefore judged requires improvement (RI) or inadequate at their most recent standard inspection, normally receive a progress monitoring inspection.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</si>
</sst>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74"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sz val="11"/>
      <color theme="1"/>
      <name val="Calibri"/>
      <family val="2"/>
    </font>
    <font>
      <sz val="10"/>
      <name val="Tahoma"/>
      <family val="2"/>
    </font>
    <font>
      <b/>
      <sz val="12"/>
      <name val="Tahoma"/>
      <family val="2"/>
    </font>
    <font>
      <u/>
      <sz val="10"/>
      <color indexed="12"/>
      <name val="Tahoma"/>
      <family val="2"/>
    </font>
    <font>
      <sz val="10"/>
      <color indexed="23"/>
      <name val="Tahoma"/>
      <family val="2"/>
    </font>
    <font>
      <sz val="10"/>
      <color indexed="8"/>
      <name val="Tahoma"/>
      <family val="2"/>
    </font>
    <font>
      <sz val="10"/>
      <name val="Arial"/>
      <family val="2"/>
    </font>
    <font>
      <u/>
      <sz val="10"/>
      <color theme="10"/>
      <name val="Arial"/>
      <family val="2"/>
    </font>
    <font>
      <u/>
      <sz val="10"/>
      <color theme="10"/>
      <name val="Tahoma"/>
      <family val="2"/>
    </font>
    <font>
      <sz val="12"/>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sz val="11"/>
      <color indexed="60"/>
      <name val="Calibri"/>
      <family val="2"/>
    </font>
    <font>
      <b/>
      <sz val="11"/>
      <color indexed="8"/>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2"/>
      <name val="Arial"/>
      <family val="2"/>
    </font>
    <font>
      <b/>
      <sz val="11"/>
      <color indexed="63"/>
      <name val="Calibri"/>
      <family val="2"/>
    </font>
    <font>
      <b/>
      <sz val="18"/>
      <color indexed="56"/>
      <name val="Cambria"/>
      <family val="2"/>
    </font>
    <font>
      <sz val="12"/>
      <color theme="1"/>
      <name val="Arial"/>
      <family val="2"/>
    </font>
    <font>
      <b/>
      <sz val="10"/>
      <color theme="1"/>
      <name val="Tahoma"/>
      <family val="2"/>
    </font>
    <font>
      <b/>
      <sz val="10"/>
      <name val="Tahoma"/>
      <family val="2"/>
    </font>
    <font>
      <sz val="10"/>
      <color rgb="FF000000"/>
      <name val="Tahoma"/>
      <family val="2"/>
    </font>
    <font>
      <b/>
      <sz val="10"/>
      <color rgb="FFFF0000"/>
      <name val="Tahoma"/>
      <family val="2"/>
    </font>
    <font>
      <i/>
      <sz val="10"/>
      <name val="Tahoma"/>
      <family val="2"/>
    </font>
    <font>
      <sz val="10"/>
      <name val="Tahoma"/>
      <family val="2"/>
    </font>
    <font>
      <sz val="10"/>
      <name val="Arial"/>
      <family val="4"/>
    </font>
    <font>
      <sz val="10"/>
      <color theme="1"/>
      <name val="Verdana"/>
      <family val="2"/>
    </font>
    <font>
      <u/>
      <sz val="12"/>
      <color indexed="12"/>
      <name val="Tahoma"/>
      <family val="2"/>
    </font>
    <font>
      <sz val="12"/>
      <color theme="1"/>
      <name val="Tahoma"/>
      <family val="2"/>
    </font>
    <font>
      <b/>
      <u/>
      <sz val="12"/>
      <name val="Tahoma"/>
      <family val="2"/>
    </font>
    <font>
      <u/>
      <sz val="12"/>
      <color theme="10"/>
      <name val="Tahoma"/>
      <family val="2"/>
    </font>
    <font>
      <u/>
      <sz val="11"/>
      <color rgb="FF0070C0"/>
      <name val="Calibri"/>
      <family val="2"/>
      <scheme val="minor"/>
    </font>
    <font>
      <sz val="10"/>
      <color rgb="FFFF0000"/>
      <name val="Tahoma"/>
      <family val="2"/>
    </font>
    <font>
      <sz val="11"/>
      <color theme="1"/>
      <name val="Calibri"/>
      <family val="2"/>
      <scheme val="minor"/>
    </font>
    <font>
      <b/>
      <sz val="20"/>
      <color indexed="9"/>
      <name val="Tahoma"/>
      <family val="2"/>
    </font>
    <font>
      <sz val="11"/>
      <color rgb="FFFF0000"/>
      <name val="Calibri"/>
      <family val="2"/>
      <scheme val="minor"/>
    </font>
    <font>
      <sz val="12"/>
      <color theme="10"/>
      <name val="Tahoma"/>
      <family val="2"/>
    </font>
    <font>
      <sz val="12"/>
      <color indexed="12"/>
      <name val="Tahoma"/>
      <family val="2"/>
    </font>
    <font>
      <sz val="11"/>
      <name val="Calibri"/>
      <family val="2"/>
      <scheme val="minor"/>
    </font>
    <font>
      <b/>
      <sz val="12"/>
      <color theme="1"/>
      <name val="Tahoma"/>
      <family val="2"/>
    </font>
    <font>
      <b/>
      <vertAlign val="superscript"/>
      <sz val="12"/>
      <color theme="1"/>
      <name val="Tahoma"/>
      <family val="2"/>
    </font>
    <font>
      <b/>
      <vertAlign val="superscript"/>
      <sz val="12"/>
      <name val="Tahoma"/>
      <family val="2"/>
    </font>
    <font>
      <b/>
      <sz val="11"/>
      <color theme="0"/>
      <name val="Calibri"/>
      <family val="2"/>
      <scheme val="minor"/>
    </font>
    <font>
      <sz val="10"/>
      <color theme="1"/>
      <name val="Tahoma"/>
      <family val="2"/>
    </font>
    <font>
      <sz val="10"/>
      <name val="Tahoma"/>
      <family val="2"/>
    </font>
    <font>
      <sz val="10"/>
      <color rgb="FFFF0000"/>
      <name val="Tahoma"/>
      <family val="2"/>
    </font>
    <font>
      <sz val="10"/>
      <color rgb="FF000000"/>
      <name val="Tahoma"/>
      <family val="2"/>
    </font>
  </fonts>
  <fills count="33">
    <fill>
      <patternFill patternType="none"/>
    </fill>
    <fill>
      <patternFill patternType="gray125"/>
    </fill>
    <fill>
      <patternFill patternType="solid">
        <fgColor rgb="FFFFFFCC"/>
      </patternFill>
    </fill>
    <fill>
      <patternFill patternType="solid">
        <fgColor theme="3" tint="0.39997558519241921"/>
        <bgColor indexed="64"/>
      </patternFill>
    </fill>
    <fill>
      <patternFill patternType="solid">
        <fgColor theme="0"/>
        <bgColor indexed="6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2"/>
      </patternFill>
    </fill>
    <fill>
      <patternFill patternType="solid">
        <fgColor indexed="55"/>
      </patternFill>
    </fill>
    <fill>
      <patternFill patternType="solid">
        <fgColor theme="3" tint="0.7999816888943144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rgb="FF0070C0"/>
        <bgColor theme="4"/>
      </patternFill>
    </fill>
    <fill>
      <patternFill patternType="solid">
        <fgColor rgb="FF0070C0"/>
        <bgColor indexed="64"/>
      </patternFill>
    </fill>
  </fills>
  <borders count="102">
    <border>
      <left/>
      <right/>
      <top/>
      <bottom/>
      <diagonal/>
    </border>
    <border>
      <left style="thin">
        <color rgb="FFB2B2B2"/>
      </left>
      <right style="thin">
        <color rgb="FFB2B2B2"/>
      </right>
      <top style="thin">
        <color rgb="FFB2B2B2"/>
      </top>
      <bottom style="thin">
        <color rgb="FFB2B2B2"/>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hair">
        <color indexed="64"/>
      </left>
      <right style="hair">
        <color indexed="64"/>
      </right>
      <top style="hair">
        <color indexed="64"/>
      </top>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5"/>
      </left>
      <right/>
      <top style="thin">
        <color indexed="55"/>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left>
      <right style="thin">
        <color indexed="64"/>
      </right>
      <top style="thin">
        <color theme="0"/>
      </top>
      <bottom/>
      <diagonal/>
    </border>
    <border>
      <left/>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diagonal/>
    </border>
    <border>
      <left style="thin">
        <color indexed="64"/>
      </left>
      <right style="thin">
        <color theme="0"/>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theme="0"/>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theme="0"/>
      </left>
      <right/>
      <top style="thin">
        <color theme="0"/>
      </top>
      <bottom/>
      <diagonal/>
    </border>
    <border>
      <left/>
      <right style="thin">
        <color theme="0"/>
      </right>
      <top style="thin">
        <color theme="0"/>
      </top>
      <bottom/>
      <diagonal/>
    </border>
    <border>
      <left style="thin">
        <color indexed="64"/>
      </left>
      <right/>
      <top/>
      <bottom style="thin">
        <color theme="0"/>
      </bottom>
      <diagonal/>
    </border>
    <border>
      <left style="thin">
        <color theme="0"/>
      </left>
      <right/>
      <top/>
      <bottom/>
      <diagonal/>
    </border>
    <border>
      <left style="thin">
        <color theme="0"/>
      </left>
      <right/>
      <top/>
      <bottom style="thin">
        <color indexed="64"/>
      </bottom>
      <diagonal/>
    </border>
    <border>
      <left style="thin">
        <color theme="0"/>
      </left>
      <right/>
      <top/>
      <bottom style="thin">
        <color theme="0"/>
      </bottom>
      <diagonal/>
    </border>
    <border>
      <left style="thin">
        <color theme="0"/>
      </left>
      <right style="thin">
        <color indexed="64"/>
      </right>
      <top/>
      <bottom style="thin">
        <color theme="0"/>
      </bottom>
      <diagonal/>
    </border>
    <border>
      <left style="thin">
        <color theme="0"/>
      </left>
      <right style="thin">
        <color theme="0"/>
      </right>
      <top style="thin">
        <color theme="0"/>
      </top>
      <bottom style="thin">
        <color indexed="64"/>
      </bottom>
      <diagonal/>
    </border>
    <border>
      <left style="thin">
        <color indexed="64"/>
      </left>
      <right/>
      <top style="thin">
        <color indexed="64"/>
      </top>
      <bottom style="thin">
        <color theme="0"/>
      </bottom>
      <diagonal/>
    </border>
    <border>
      <left style="thin">
        <color theme="0"/>
      </left>
      <right style="thin">
        <color indexed="64"/>
      </right>
      <top style="thin">
        <color indexed="64"/>
      </top>
      <bottom/>
      <diagonal/>
    </border>
    <border>
      <left style="thin">
        <color theme="0"/>
      </left>
      <right style="thin">
        <color indexed="64"/>
      </right>
      <top style="thin">
        <color theme="0"/>
      </top>
      <bottom style="thin">
        <color indexed="64"/>
      </bottom>
      <diagonal/>
    </border>
    <border>
      <left style="thin">
        <color theme="0"/>
      </left>
      <right/>
      <top style="thin">
        <color indexed="64"/>
      </top>
      <bottom/>
      <diagonal/>
    </border>
    <border>
      <left/>
      <right style="thin">
        <color indexed="64"/>
      </right>
      <top style="thin">
        <color theme="0"/>
      </top>
      <bottom/>
      <diagonal/>
    </border>
    <border>
      <left/>
      <right/>
      <top style="thin">
        <color theme="0"/>
      </top>
      <bottom/>
      <diagonal/>
    </border>
    <border>
      <left/>
      <right style="thin">
        <color theme="0"/>
      </right>
      <top/>
      <bottom/>
      <diagonal/>
    </border>
    <border>
      <left/>
      <right style="thin">
        <color theme="0"/>
      </right>
      <top style="thin">
        <color theme="0"/>
      </top>
      <bottom style="thin">
        <color indexed="64"/>
      </bottom>
      <diagonal/>
    </border>
    <border>
      <left style="thin">
        <color indexed="64"/>
      </left>
      <right style="thin">
        <color theme="0"/>
      </right>
      <top/>
      <bottom style="thin">
        <color theme="0"/>
      </bottom>
      <diagonal/>
    </border>
    <border>
      <left style="thin">
        <color indexed="64"/>
      </left>
      <right style="thin">
        <color theme="0"/>
      </right>
      <top/>
      <bottom/>
      <diagonal/>
    </border>
    <border>
      <left style="thin">
        <color theme="0"/>
      </left>
      <right style="thin">
        <color theme="0"/>
      </right>
      <top/>
      <bottom/>
      <diagonal/>
    </border>
    <border>
      <left/>
      <right style="thin">
        <color theme="0"/>
      </right>
      <top/>
      <bottom style="thin">
        <color theme="0"/>
      </bottom>
      <diagonal/>
    </border>
    <border>
      <left/>
      <right style="thin">
        <color theme="0"/>
      </right>
      <top style="thin">
        <color indexed="64"/>
      </top>
      <bottom style="thin">
        <color theme="0"/>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theme="0"/>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s>
  <cellStyleXfs count="353">
    <xf numFmtId="0" fontId="0" fillId="0" borderId="0"/>
    <xf numFmtId="0" fontId="14" fillId="0" borderId="0"/>
    <xf numFmtId="0" fontId="17" fillId="0" borderId="0"/>
    <xf numFmtId="43" fontId="17"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7" fillId="0" borderId="0"/>
    <xf numFmtId="0" fontId="14" fillId="0" borderId="0"/>
    <xf numFmtId="0" fontId="17" fillId="0" borderId="0"/>
    <xf numFmtId="0" fontId="14" fillId="0" borderId="0"/>
    <xf numFmtId="0" fontId="17" fillId="0" borderId="0"/>
    <xf numFmtId="0" fontId="20" fillId="2" borderId="1" applyNumberFormat="0" applyFont="0" applyAlignment="0" applyProtection="0"/>
    <xf numFmtId="9" fontId="17" fillId="0" borderId="0" applyFont="0" applyFill="0" applyBorder="0" applyAlignment="0" applyProtection="0"/>
    <xf numFmtId="9" fontId="21" fillId="0" borderId="0" applyFont="0" applyFill="0" applyBorder="0" applyAlignment="0" applyProtection="0"/>
    <xf numFmtId="43" fontId="17" fillId="0" borderId="0" applyFont="0" applyFill="0" applyBorder="0" applyAlignment="0" applyProtection="0"/>
    <xf numFmtId="0" fontId="22" fillId="0" borderId="0"/>
    <xf numFmtId="9" fontId="17" fillId="0" borderId="0" applyFont="0" applyFill="0" applyBorder="0" applyAlignment="0" applyProtection="0"/>
    <xf numFmtId="0" fontId="14" fillId="0" borderId="0"/>
    <xf numFmtId="0" fontId="22" fillId="0" borderId="0"/>
    <xf numFmtId="0" fontId="14" fillId="0" borderId="0"/>
    <xf numFmtId="0" fontId="23" fillId="0" borderId="0" applyNumberFormat="0" applyFill="0" applyBorder="0" applyAlignment="0" applyProtection="0"/>
    <xf numFmtId="0" fontId="14" fillId="0" borderId="0"/>
    <xf numFmtId="0" fontId="24" fillId="0" borderId="0" applyNumberFormat="0" applyFill="0" applyBorder="0" applyAlignment="0" applyProtection="0"/>
    <xf numFmtId="0" fontId="17" fillId="0" borderId="0"/>
    <xf numFmtId="0" fontId="1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5" borderId="0" applyNumberFormat="0" applyBorder="0" applyAlignment="0" applyProtection="0"/>
    <xf numFmtId="0" fontId="26" fillId="5"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6" borderId="0" applyNumberFormat="0" applyBorder="0" applyAlignment="0" applyProtection="0"/>
    <xf numFmtId="0" fontId="27" fillId="6" borderId="0" applyNumberFormat="0" applyBorder="0" applyAlignment="0" applyProtection="0"/>
    <xf numFmtId="0" fontId="27" fillId="14"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8" fillId="7" borderId="0" applyNumberFormat="0" applyBorder="0" applyAlignment="0" applyProtection="0"/>
    <xf numFmtId="0" fontId="29" fillId="25" borderId="11" applyNumberFormat="0" applyAlignment="0" applyProtection="0"/>
    <xf numFmtId="0" fontId="30" fillId="26" borderId="12"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4" fillId="0" borderId="0" applyNumberFormat="0" applyFill="0" applyBorder="0" applyAlignment="0" applyProtection="0"/>
    <xf numFmtId="0" fontId="41" fillId="12" borderId="11" applyNumberFormat="0" applyAlignment="0" applyProtection="0"/>
    <xf numFmtId="0" fontId="33" fillId="0" borderId="16" applyNumberFormat="0" applyFill="0" applyAlignment="0" applyProtection="0"/>
    <xf numFmtId="0" fontId="34" fillId="24" borderId="0" applyNumberFormat="0" applyBorder="0" applyAlignment="0" applyProtection="0"/>
    <xf numFmtId="0" fontId="22" fillId="0" borderId="0"/>
    <xf numFmtId="0" fontId="22" fillId="0" borderId="0"/>
    <xf numFmtId="0" fontId="15" fillId="0" borderId="0"/>
    <xf numFmtId="0" fontId="22" fillId="0" borderId="0"/>
    <xf numFmtId="0" fontId="22" fillId="0" borderId="0"/>
    <xf numFmtId="0" fontId="15" fillId="0" borderId="0"/>
    <xf numFmtId="0" fontId="22" fillId="0" borderId="0"/>
    <xf numFmtId="0" fontId="22" fillId="0" borderId="0"/>
    <xf numFmtId="0" fontId="15" fillId="0" borderId="0"/>
    <xf numFmtId="0" fontId="45" fillId="0" borderId="0"/>
    <xf numFmtId="0" fontId="15" fillId="0" borderId="0"/>
    <xf numFmtId="0" fontId="15" fillId="0" borderId="0"/>
    <xf numFmtId="0" fontId="22" fillId="0" borderId="0"/>
    <xf numFmtId="0" fontId="14" fillId="0" borderId="0"/>
    <xf numFmtId="0" fontId="45" fillId="0" borderId="0"/>
    <xf numFmtId="0" fontId="22" fillId="0" borderId="0"/>
    <xf numFmtId="0" fontId="42" fillId="0" borderId="0"/>
    <xf numFmtId="0" fontId="45" fillId="0" borderId="0"/>
    <xf numFmtId="0" fontId="14" fillId="0" borderId="0"/>
    <xf numFmtId="0" fontId="17" fillId="0" borderId="0"/>
    <xf numFmtId="0" fontId="22" fillId="0" borderId="0"/>
    <xf numFmtId="0" fontId="22" fillId="0" borderId="0" applyNumberFormat="0" applyFont="0" applyFill="0" applyBorder="0" applyAlignment="0" applyProtection="0"/>
    <xf numFmtId="0" fontId="22" fillId="0" borderId="0"/>
    <xf numFmtId="0" fontId="22" fillId="0" borderId="0" applyNumberFormat="0" applyFont="0" applyFill="0" applyBorder="0" applyAlignment="0" applyProtection="0"/>
    <xf numFmtId="0" fontId="22" fillId="0" borderId="0"/>
    <xf numFmtId="0" fontId="42" fillId="0" borderId="0"/>
    <xf numFmtId="0" fontId="17" fillId="0" borderId="0"/>
    <xf numFmtId="0" fontId="22" fillId="0" borderId="0"/>
    <xf numFmtId="0" fontId="45" fillId="0" borderId="0"/>
    <xf numFmtId="0" fontId="45" fillId="0" borderId="0"/>
    <xf numFmtId="0" fontId="22" fillId="0" borderId="0"/>
    <xf numFmtId="0" fontId="45" fillId="0" borderId="0"/>
    <xf numFmtId="0" fontId="22" fillId="0" borderId="0" applyNumberFormat="0" applyFont="0" applyFill="0" applyBorder="0" applyAlignment="0" applyProtection="0"/>
    <xf numFmtId="0" fontId="17" fillId="0" borderId="0"/>
    <xf numFmtId="0" fontId="22" fillId="0" borderId="0"/>
    <xf numFmtId="0" fontId="14" fillId="0" borderId="0"/>
    <xf numFmtId="0" fontId="22" fillId="0" borderId="0"/>
    <xf numFmtId="0" fontId="45" fillId="0" borderId="0"/>
    <xf numFmtId="0" fontId="17" fillId="0" borderId="0"/>
    <xf numFmtId="0" fontId="17" fillId="0" borderId="0"/>
    <xf numFmtId="0" fontId="17" fillId="0" borderId="0"/>
    <xf numFmtId="0" fontId="17" fillId="0" borderId="0"/>
    <xf numFmtId="0" fontId="15" fillId="0" borderId="0"/>
    <xf numFmtId="0" fontId="15" fillId="0" borderId="0"/>
    <xf numFmtId="0" fontId="17" fillId="0" borderId="0"/>
    <xf numFmtId="0" fontId="17" fillId="0" borderId="0"/>
    <xf numFmtId="0" fontId="22" fillId="0" borderId="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22" fillId="8" borderId="17" applyNumberFormat="0" applyFont="0" applyAlignment="0" applyProtection="0"/>
    <xf numFmtId="0" fontId="43" fillId="25" borderId="1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0" fontId="44" fillId="0" borderId="0" applyNumberFormat="0" applyFill="0" applyBorder="0" applyAlignment="0" applyProtection="0"/>
    <xf numFmtId="0" fontId="35" fillId="0" borderId="19" applyNumberFormat="0" applyFill="0" applyAlignment="0" applyProtection="0"/>
    <xf numFmtId="0" fontId="36" fillId="0" borderId="0" applyNumberFormat="0" applyFill="0" applyBorder="0" applyAlignment="0" applyProtection="0"/>
    <xf numFmtId="0" fontId="14"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43"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9" fontId="14" fillId="0" borderId="0" applyFont="0" applyFill="0" applyBorder="0" applyAlignment="0" applyProtection="0"/>
    <xf numFmtId="43" fontId="17" fillId="0" borderId="0" applyFont="0" applyFill="0" applyBorder="0" applyAlignment="0" applyProtection="0"/>
    <xf numFmtId="0" fontId="19" fillId="0" borderId="0" applyNumberFormat="0" applyFill="0" applyBorder="0" applyAlignment="0" applyProtection="0">
      <alignment vertical="top"/>
      <protection locked="0"/>
    </xf>
    <xf numFmtId="0" fontId="22" fillId="0" borderId="0"/>
    <xf numFmtId="0" fontId="14" fillId="0" borderId="0"/>
    <xf numFmtId="0" fontId="42" fillId="0" borderId="0"/>
    <xf numFmtId="0" fontId="15" fillId="0" borderId="0"/>
    <xf numFmtId="0" fontId="45" fillId="0" borderId="0"/>
    <xf numFmtId="0" fontId="16" fillId="0" borderId="0"/>
    <xf numFmtId="0" fontId="14" fillId="0" borderId="0"/>
    <xf numFmtId="0" fontId="17" fillId="0" borderId="0"/>
    <xf numFmtId="0" fontId="17" fillId="0" borderId="0"/>
    <xf numFmtId="0" fontId="14"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5" fillId="0" borderId="0" applyFont="0" applyFill="0" applyBorder="0" applyAlignment="0" applyProtection="0"/>
    <xf numFmtId="0" fontId="51" fillId="0" borderId="0"/>
    <xf numFmtId="0" fontId="11" fillId="0" borderId="0"/>
    <xf numFmtId="0" fontId="15" fillId="0" borderId="0"/>
    <xf numFmtId="15" fontId="52" fillId="28" borderId="36">
      <alignment horizontal="left" vertical="center"/>
    </xf>
    <xf numFmtId="43" fontId="17"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0" fontId="19" fillId="0" borderId="0" applyNumberFormat="0" applyFill="0" applyBorder="0" applyAlignment="0" applyProtection="0">
      <alignment vertical="top"/>
      <protection locked="0"/>
    </xf>
    <xf numFmtId="0" fontId="23" fillId="0" borderId="0" applyNumberFormat="0" applyFill="0" applyBorder="0" applyAlignment="0" applyProtection="0"/>
    <xf numFmtId="0" fontId="24" fillId="0" borderId="0" applyNumberFormat="0" applyFill="0" applyBorder="0" applyAlignment="0" applyProtection="0"/>
    <xf numFmtId="0" fontId="17" fillId="0" borderId="0"/>
    <xf numFmtId="0" fontId="11" fillId="0" borderId="0"/>
    <xf numFmtId="0" fontId="11" fillId="0" borderId="0"/>
    <xf numFmtId="0" fontId="11" fillId="0" borderId="0"/>
    <xf numFmtId="0" fontId="22" fillId="0" borderId="0"/>
    <xf numFmtId="0" fontId="17" fillId="0" borderId="0"/>
    <xf numFmtId="0" fontId="17" fillId="0" borderId="0"/>
    <xf numFmtId="0" fontId="11" fillId="0" borderId="0"/>
    <xf numFmtId="0" fontId="11" fillId="0" borderId="0"/>
    <xf numFmtId="0" fontId="11" fillId="0" borderId="0"/>
    <xf numFmtId="0" fontId="11" fillId="0" borderId="0"/>
    <xf numFmtId="0" fontId="53" fillId="0" borderId="0"/>
    <xf numFmtId="0" fontId="11" fillId="0" borderId="0"/>
    <xf numFmtId="0" fontId="15"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7" fillId="0" borderId="0"/>
    <xf numFmtId="0" fontId="11" fillId="0" borderId="0"/>
    <xf numFmtId="9"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51" fillId="0" borderId="0"/>
    <xf numFmtId="43" fontId="1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9" fontId="9" fillId="0" borderId="0" applyFont="0" applyFill="0" applyBorder="0" applyAlignment="0" applyProtection="0"/>
    <xf numFmtId="0" fontId="24" fillId="0" borderId="0" applyNumberForma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cellStyleXfs>
  <cellXfs count="374">
    <xf numFmtId="0" fontId="0" fillId="0" borderId="0" xfId="0"/>
    <xf numFmtId="0" fontId="0" fillId="4" borderId="0" xfId="0" applyFill="1"/>
    <xf numFmtId="0" fontId="48" fillId="4" borderId="0" xfId="0" applyFont="1" applyFill="1" applyBorder="1" applyAlignment="1">
      <alignment vertical="center"/>
    </xf>
    <xf numFmtId="0" fontId="48" fillId="4" borderId="0" xfId="0" applyFont="1" applyFill="1" applyBorder="1" applyAlignment="1">
      <alignment horizontal="center" vertical="center"/>
    </xf>
    <xf numFmtId="0" fontId="47" fillId="0" borderId="30" xfId="0" applyFont="1" applyFill="1" applyBorder="1" applyAlignment="1" applyProtection="1">
      <alignment vertical="center"/>
      <protection locked="0" hidden="1"/>
    </xf>
    <xf numFmtId="0" fontId="49" fillId="0" borderId="30" xfId="0" applyFont="1" applyFill="1" applyBorder="1" applyAlignment="1" applyProtection="1">
      <alignment vertical="center"/>
      <protection locked="0" hidden="1"/>
    </xf>
    <xf numFmtId="0" fontId="17" fillId="0" borderId="31" xfId="0" quotePrefix="1" applyFont="1" applyFill="1" applyBorder="1" applyAlignment="1" applyProtection="1">
      <alignment vertical="center"/>
      <protection hidden="1"/>
    </xf>
    <xf numFmtId="0" fontId="17" fillId="0" borderId="30" xfId="6" applyFont="1" applyFill="1" applyBorder="1" applyProtection="1">
      <protection locked="0" hidden="1"/>
    </xf>
    <xf numFmtId="0" fontId="46" fillId="4" borderId="0" xfId="0" applyFont="1" applyFill="1"/>
    <xf numFmtId="0" fontId="13" fillId="4" borderId="0" xfId="0" applyFont="1" applyFill="1"/>
    <xf numFmtId="0" fontId="13" fillId="0" borderId="0" xfId="0" applyFont="1"/>
    <xf numFmtId="0" fontId="47" fillId="0" borderId="31" xfId="0" applyFont="1" applyFill="1" applyBorder="1" applyAlignment="1" applyProtection="1">
      <alignment vertical="center"/>
      <protection hidden="1"/>
    </xf>
    <xf numFmtId="0" fontId="47" fillId="0" borderId="30" xfId="0" applyFont="1" applyFill="1" applyBorder="1" applyAlignment="1" applyProtection="1">
      <alignment vertical="center" wrapText="1"/>
      <protection locked="0" hidden="1"/>
    </xf>
    <xf numFmtId="0" fontId="47" fillId="0" borderId="31" xfId="0" applyFont="1" applyFill="1" applyBorder="1" applyAlignment="1" applyProtection="1">
      <alignment vertical="center" wrapText="1"/>
      <protection locked="0" hidden="1"/>
    </xf>
    <xf numFmtId="0" fontId="47" fillId="0" borderId="33" xfId="0" applyFont="1" applyFill="1" applyBorder="1" applyProtection="1">
      <protection hidden="1"/>
    </xf>
    <xf numFmtId="0" fontId="47" fillId="0" borderId="31" xfId="0" applyFont="1" applyFill="1" applyBorder="1" applyAlignment="1" applyProtection="1">
      <alignment horizontal="center" vertical="center" wrapText="1"/>
      <protection locked="0" hidden="1"/>
    </xf>
    <xf numFmtId="0" fontId="47" fillId="0" borderId="34" xfId="0" applyFont="1" applyFill="1" applyBorder="1" applyAlignment="1" applyProtection="1">
      <alignment vertical="center" wrapText="1"/>
      <protection locked="0" hidden="1"/>
    </xf>
    <xf numFmtId="0" fontId="50" fillId="0" borderId="30" xfId="0" applyFont="1" applyFill="1" applyBorder="1" applyAlignment="1" applyProtection="1">
      <alignment horizontal="right"/>
      <protection hidden="1"/>
    </xf>
    <xf numFmtId="0" fontId="17" fillId="0" borderId="33" xfId="0" applyFont="1" applyFill="1" applyBorder="1" applyAlignment="1" applyProtection="1">
      <alignment horizontal="right"/>
      <protection hidden="1"/>
    </xf>
    <xf numFmtId="0" fontId="47" fillId="0" borderId="0" xfId="0" applyFont="1" applyFill="1" applyBorder="1" applyProtection="1">
      <protection hidden="1"/>
    </xf>
    <xf numFmtId="0" fontId="12" fillId="0" borderId="0" xfId="0" applyFont="1"/>
    <xf numFmtId="0" fontId="10" fillId="0" borderId="0" xfId="0" applyFont="1"/>
    <xf numFmtId="0" fontId="10" fillId="0" borderId="0" xfId="0" applyFont="1" applyFill="1"/>
    <xf numFmtId="0" fontId="17" fillId="0" borderId="30" xfId="0" applyFont="1" applyFill="1" applyBorder="1" applyProtection="1">
      <protection locked="0" hidden="1"/>
    </xf>
    <xf numFmtId="0" fontId="10" fillId="0" borderId="0" xfId="0" applyFont="1" applyAlignment="1">
      <alignment horizontal="right" vertical="top"/>
    </xf>
    <xf numFmtId="0" fontId="12" fillId="0" borderId="0" xfId="0" applyFont="1" applyAlignment="1">
      <alignment horizontal="left"/>
    </xf>
    <xf numFmtId="0" fontId="55" fillId="4" borderId="0" xfId="0" applyFont="1" applyFill="1"/>
    <xf numFmtId="0" fontId="18" fillId="29" borderId="0" xfId="338" applyFont="1" applyFill="1" applyProtection="1">
      <protection locked="0" hidden="1"/>
    </xf>
    <xf numFmtId="0" fontId="25" fillId="29" borderId="0" xfId="338" applyFont="1" applyFill="1" applyProtection="1">
      <protection locked="0" hidden="1"/>
    </xf>
    <xf numFmtId="0" fontId="56" fillId="29" borderId="0" xfId="338" applyFont="1" applyFill="1" applyProtection="1">
      <protection locked="0" hidden="1"/>
    </xf>
    <xf numFmtId="0" fontId="54" fillId="4" borderId="0" xfId="5" applyFont="1" applyFill="1" applyBorder="1" applyAlignment="1" applyProtection="1">
      <alignment horizontal="left" vertical="center"/>
      <protection hidden="1"/>
    </xf>
    <xf numFmtId="0" fontId="54" fillId="4" borderId="0" xfId="5" applyFont="1" applyFill="1" applyBorder="1" applyAlignment="1" applyProtection="1">
      <alignment horizontal="left" vertical="top"/>
      <protection hidden="1"/>
    </xf>
    <xf numFmtId="0" fontId="57" fillId="4" borderId="0" xfId="22" applyFont="1" applyFill="1"/>
    <xf numFmtId="0" fontId="46" fillId="4" borderId="40" xfId="0" applyFont="1" applyFill="1" applyBorder="1"/>
    <xf numFmtId="0" fontId="47" fillId="0" borderId="34" xfId="0" applyFont="1" applyFill="1" applyBorder="1" applyAlignment="1" applyProtection="1">
      <alignment horizontal="center" vertical="center"/>
      <protection hidden="1"/>
    </xf>
    <xf numFmtId="0" fontId="46" fillId="4" borderId="39" xfId="0" applyFont="1" applyFill="1" applyBorder="1" applyAlignment="1">
      <alignment wrapText="1"/>
    </xf>
    <xf numFmtId="0" fontId="46" fillId="4" borderId="40" xfId="0" applyFont="1" applyFill="1" applyBorder="1" applyAlignment="1">
      <alignment horizontal="left"/>
    </xf>
    <xf numFmtId="0" fontId="47" fillId="0" borderId="45" xfId="0" applyFont="1" applyFill="1" applyBorder="1" applyAlignment="1" applyProtection="1">
      <alignment vertical="center" wrapText="1"/>
      <protection hidden="1"/>
    </xf>
    <xf numFmtId="0" fontId="47" fillId="0" borderId="45" xfId="0" applyFont="1" applyFill="1" applyBorder="1" applyAlignment="1" applyProtection="1">
      <alignment horizontal="left" vertical="center" wrapText="1" indent="1"/>
      <protection hidden="1"/>
    </xf>
    <xf numFmtId="0" fontId="17" fillId="0" borderId="45" xfId="0" applyFont="1" applyFill="1" applyBorder="1" applyAlignment="1" applyProtection="1">
      <alignment horizontal="left" vertical="top" wrapText="1" indent="1"/>
      <protection hidden="1"/>
    </xf>
    <xf numFmtId="0" fontId="17" fillId="0" borderId="46" xfId="0" applyFont="1" applyFill="1" applyBorder="1" applyAlignment="1" applyProtection="1">
      <alignment horizontal="left" vertical="top" wrapText="1" indent="1"/>
      <protection hidden="1"/>
    </xf>
    <xf numFmtId="0" fontId="47" fillId="0" borderId="45" xfId="0" applyFont="1" applyFill="1" applyBorder="1" applyAlignment="1" applyProtection="1">
      <alignment horizontal="left" vertical="center" wrapText="1" indent="2"/>
      <protection hidden="1"/>
    </xf>
    <xf numFmtId="0" fontId="17" fillId="0" borderId="45" xfId="0" applyFont="1" applyFill="1" applyBorder="1" applyAlignment="1" applyProtection="1">
      <alignment horizontal="left" vertical="top" wrapText="1" indent="2"/>
      <protection hidden="1"/>
    </xf>
    <xf numFmtId="0" fontId="17" fillId="0" borderId="46" xfId="0" applyFont="1" applyFill="1" applyBorder="1" applyAlignment="1" applyProtection="1">
      <alignment horizontal="left" vertical="top" wrapText="1" indent="2"/>
      <protection hidden="1"/>
    </xf>
    <xf numFmtId="0" fontId="17" fillId="0" borderId="47" xfId="0" applyFont="1" applyFill="1" applyBorder="1" applyAlignment="1" applyProtection="1">
      <alignment horizontal="left" vertical="top" wrapText="1" indent="2"/>
      <protection hidden="1"/>
    </xf>
    <xf numFmtId="0" fontId="47" fillId="0" borderId="48" xfId="0" applyFont="1" applyFill="1" applyBorder="1" applyAlignment="1" applyProtection="1">
      <alignment horizontal="right" vertical="center" indent="2"/>
      <protection hidden="1"/>
    </xf>
    <xf numFmtId="0" fontId="47" fillId="0" borderId="49" xfId="0" applyFont="1" applyFill="1" applyBorder="1" applyAlignment="1" applyProtection="1">
      <alignment horizontal="right" vertical="center" indent="2"/>
      <protection hidden="1"/>
    </xf>
    <xf numFmtId="0" fontId="47" fillId="0" borderId="53" xfId="0" applyFont="1" applyFill="1" applyBorder="1" applyAlignment="1" applyProtection="1">
      <alignment horizontal="right" vertical="center" indent="3"/>
      <protection hidden="1"/>
    </xf>
    <xf numFmtId="0" fontId="49" fillId="4" borderId="0" xfId="0" applyFont="1" applyFill="1"/>
    <xf numFmtId="0" fontId="47" fillId="0" borderId="55" xfId="0" applyFont="1" applyFill="1" applyBorder="1" applyAlignment="1" applyProtection="1">
      <alignment horizontal="right" vertical="center" indent="2"/>
      <protection hidden="1"/>
    </xf>
    <xf numFmtId="49" fontId="47" fillId="27" borderId="24" xfId="0" applyNumberFormat="1" applyFont="1" applyFill="1" applyBorder="1" applyAlignment="1">
      <alignment horizontal="center" vertical="center" wrapText="1"/>
    </xf>
    <xf numFmtId="49" fontId="47" fillId="27" borderId="0" xfId="0" applyNumberFormat="1" applyFont="1" applyFill="1" applyBorder="1" applyAlignment="1">
      <alignment horizontal="center" vertical="center" wrapText="1"/>
    </xf>
    <xf numFmtId="0" fontId="49" fillId="0" borderId="34" xfId="0" applyFont="1" applyFill="1" applyBorder="1" applyAlignment="1" applyProtection="1">
      <alignment horizontal="center" vertical="center"/>
      <protection hidden="1"/>
    </xf>
    <xf numFmtId="0" fontId="59" fillId="4" borderId="0" xfId="0" applyFont="1" applyFill="1" applyBorder="1" applyAlignment="1">
      <alignment horizontal="center" vertical="center"/>
    </xf>
    <xf numFmtId="0" fontId="59" fillId="4" borderId="0" xfId="0" applyFont="1" applyFill="1"/>
    <xf numFmtId="0" fontId="59" fillId="0" borderId="0" xfId="0" applyFont="1"/>
    <xf numFmtId="49" fontId="47" fillId="27" borderId="25" xfId="0" applyNumberFormat="1" applyFont="1" applyFill="1" applyBorder="1" applyAlignment="1">
      <alignment horizontal="center" vertical="center" wrapText="1"/>
    </xf>
    <xf numFmtId="0" fontId="60" fillId="4" borderId="0" xfId="0" applyFont="1" applyFill="1"/>
    <xf numFmtId="0" fontId="62" fillId="4" borderId="0" xfId="0" applyFont="1" applyFill="1"/>
    <xf numFmtId="0" fontId="63" fillId="0" borderId="6" xfId="22" applyFont="1" applyBorder="1" applyAlignment="1" applyProtection="1">
      <alignment horizontal="left" vertical="center" wrapText="1"/>
      <protection locked="0" hidden="1"/>
    </xf>
    <xf numFmtId="3" fontId="63" fillId="4" borderId="2" xfId="22" applyNumberFormat="1" applyFont="1" applyFill="1" applyBorder="1" applyAlignment="1" applyProtection="1">
      <protection locked="0" hidden="1"/>
    </xf>
    <xf numFmtId="3" fontId="64" fillId="4" borderId="3" xfId="5" applyNumberFormat="1" applyFont="1" applyFill="1" applyBorder="1" applyAlignment="1" applyProtection="1">
      <protection locked="0" hidden="1"/>
    </xf>
    <xf numFmtId="0" fontId="65" fillId="4" borderId="0" xfId="0" applyFont="1" applyFill="1"/>
    <xf numFmtId="0" fontId="17" fillId="0" borderId="0" xfId="0" applyFont="1" applyFill="1" applyBorder="1" applyAlignment="1" applyProtection="1">
      <alignment horizontal="right"/>
      <protection hidden="1"/>
    </xf>
    <xf numFmtId="0" fontId="66" fillId="4" borderId="0" xfId="0" applyFont="1" applyFill="1"/>
    <xf numFmtId="0" fontId="18" fillId="0" borderId="31" xfId="0" applyFont="1" applyFill="1" applyBorder="1" applyAlignment="1" applyProtection="1">
      <alignment vertical="center"/>
      <protection hidden="1"/>
    </xf>
    <xf numFmtId="0" fontId="18" fillId="0" borderId="30" xfId="0" applyFont="1" applyFill="1" applyBorder="1" applyAlignment="1" applyProtection="1">
      <alignment vertical="center"/>
      <protection hidden="1"/>
    </xf>
    <xf numFmtId="0" fontId="55" fillId="4" borderId="0" xfId="0" applyFont="1" applyFill="1" applyAlignment="1"/>
    <xf numFmtId="0" fontId="17" fillId="0" borderId="30" xfId="0" applyFont="1" applyFill="1" applyBorder="1" applyAlignment="1" applyProtection="1">
      <alignment horizontal="right"/>
      <protection hidden="1"/>
    </xf>
    <xf numFmtId="0" fontId="17" fillId="0" borderId="87" xfId="0" applyFont="1" applyFill="1" applyBorder="1" applyAlignment="1" applyProtection="1">
      <alignment horizontal="right"/>
      <protection hidden="1"/>
    </xf>
    <xf numFmtId="0" fontId="0" fillId="0" borderId="0" xfId="0" applyFill="1"/>
    <xf numFmtId="0" fontId="8" fillId="4" borderId="41" xfId="0" applyFont="1" applyFill="1" applyBorder="1" applyAlignment="1">
      <alignment horizontal="left" indent="1"/>
    </xf>
    <xf numFmtId="0" fontId="47" fillId="4" borderId="42" xfId="0" applyFont="1" applyFill="1" applyBorder="1" applyAlignment="1">
      <alignment horizontal="right"/>
    </xf>
    <xf numFmtId="0" fontId="47" fillId="4" borderId="21" xfId="0" applyFont="1" applyFill="1" applyBorder="1" applyAlignment="1">
      <alignment horizontal="right"/>
    </xf>
    <xf numFmtId="0" fontId="47" fillId="4" borderId="35" xfId="0" applyFont="1" applyFill="1" applyBorder="1" applyAlignment="1">
      <alignment horizontal="right"/>
    </xf>
    <xf numFmtId="1" fontId="47" fillId="4" borderId="82" xfId="0" applyNumberFormat="1" applyFont="1" applyFill="1" applyBorder="1" applyAlignment="1">
      <alignment horizontal="right"/>
    </xf>
    <xf numFmtId="1" fontId="47" fillId="4" borderId="85" xfId="0" applyNumberFormat="1" applyFont="1" applyFill="1" applyBorder="1" applyAlignment="1">
      <alignment horizontal="right"/>
    </xf>
    <xf numFmtId="1" fontId="47" fillId="4" borderId="83" xfId="0" applyNumberFormat="1" applyFont="1" applyFill="1" applyBorder="1" applyAlignment="1">
      <alignment horizontal="right"/>
    </xf>
    <xf numFmtId="1" fontId="47" fillId="4" borderId="35" xfId="268" applyNumberFormat="1" applyFont="1" applyFill="1" applyBorder="1" applyAlignment="1">
      <alignment horizontal="right"/>
    </xf>
    <xf numFmtId="0" fontId="17" fillId="0" borderId="76" xfId="0" applyFont="1" applyBorder="1" applyAlignment="1">
      <alignment horizontal="right"/>
    </xf>
    <xf numFmtId="0" fontId="17" fillId="0" borderId="79" xfId="0" applyFont="1" applyBorder="1" applyAlignment="1">
      <alignment horizontal="right"/>
    </xf>
    <xf numFmtId="0" fontId="17" fillId="0" borderId="77" xfId="0" applyFont="1" applyBorder="1" applyAlignment="1">
      <alignment horizontal="right"/>
    </xf>
    <xf numFmtId="0" fontId="17" fillId="0" borderId="80" xfId="0" applyFont="1" applyBorder="1" applyAlignment="1">
      <alignment horizontal="right"/>
    </xf>
    <xf numFmtId="1" fontId="17" fillId="4" borderId="24" xfId="0" applyNumberFormat="1" applyFont="1" applyFill="1" applyBorder="1" applyAlignment="1">
      <alignment horizontal="right"/>
    </xf>
    <xf numFmtId="1" fontId="17" fillId="4" borderId="74" xfId="0" applyNumberFormat="1" applyFont="1" applyFill="1" applyBorder="1" applyAlignment="1">
      <alignment horizontal="right"/>
    </xf>
    <xf numFmtId="1" fontId="17" fillId="4" borderId="37" xfId="0" applyNumberFormat="1" applyFont="1" applyFill="1" applyBorder="1" applyAlignment="1">
      <alignment horizontal="right"/>
    </xf>
    <xf numFmtId="0" fontId="17" fillId="4" borderId="24" xfId="0" applyFont="1" applyFill="1" applyBorder="1" applyAlignment="1">
      <alignment horizontal="right"/>
    </xf>
    <xf numFmtId="0" fontId="17" fillId="4" borderId="29" xfId="0" applyFont="1" applyFill="1" applyBorder="1" applyAlignment="1">
      <alignment horizontal="right"/>
    </xf>
    <xf numFmtId="1" fontId="17" fillId="4" borderId="24" xfId="268" applyNumberFormat="1" applyFont="1" applyFill="1" applyBorder="1" applyAlignment="1">
      <alignment horizontal="right"/>
    </xf>
    <xf numFmtId="1" fontId="17" fillId="4" borderId="29" xfId="268" applyNumberFormat="1" applyFont="1" applyFill="1" applyBorder="1" applyAlignment="1">
      <alignment horizontal="right"/>
    </xf>
    <xf numFmtId="0" fontId="17" fillId="0" borderId="25" xfId="0" applyFont="1" applyBorder="1" applyAlignment="1">
      <alignment horizontal="right"/>
    </xf>
    <xf numFmtId="0" fontId="17" fillId="0" borderId="78" xfId="0" applyFont="1" applyBorder="1" applyAlignment="1">
      <alignment horizontal="right"/>
    </xf>
    <xf numFmtId="0" fontId="17" fillId="0" borderId="81" xfId="0" applyFont="1" applyBorder="1" applyAlignment="1">
      <alignment horizontal="right"/>
    </xf>
    <xf numFmtId="0" fontId="17" fillId="0" borderId="26" xfId="0" applyFont="1" applyBorder="1" applyAlignment="1">
      <alignment horizontal="right"/>
    </xf>
    <xf numFmtId="1" fontId="17" fillId="4" borderId="52" xfId="0" applyNumberFormat="1" applyFont="1" applyFill="1" applyBorder="1" applyAlignment="1">
      <alignment horizontal="right"/>
    </xf>
    <xf numFmtId="1" fontId="17" fillId="4" borderId="81" xfId="0" applyNumberFormat="1" applyFont="1" applyFill="1" applyBorder="1" applyAlignment="1">
      <alignment horizontal="right"/>
    </xf>
    <xf numFmtId="1" fontId="17" fillId="4" borderId="84" xfId="0" applyNumberFormat="1" applyFont="1" applyFill="1" applyBorder="1" applyAlignment="1">
      <alignment horizontal="right"/>
    </xf>
    <xf numFmtId="0" fontId="17" fillId="4" borderId="25" xfId="0" applyFont="1" applyFill="1" applyBorder="1" applyAlignment="1">
      <alignment horizontal="right"/>
    </xf>
    <xf numFmtId="0" fontId="17" fillId="4" borderId="26" xfId="0" applyFont="1" applyFill="1" applyBorder="1" applyAlignment="1">
      <alignment horizontal="right"/>
    </xf>
    <xf numFmtId="1" fontId="17" fillId="4" borderId="25" xfId="268" applyNumberFormat="1" applyFont="1" applyFill="1" applyBorder="1" applyAlignment="1">
      <alignment horizontal="right"/>
    </xf>
    <xf numFmtId="1" fontId="17" fillId="4" borderId="26" xfId="268" applyNumberFormat="1" applyFont="1" applyFill="1" applyBorder="1" applyAlignment="1">
      <alignment horizontal="right"/>
    </xf>
    <xf numFmtId="0" fontId="47" fillId="4" borderId="39" xfId="0" applyFont="1" applyFill="1" applyBorder="1" applyAlignment="1">
      <alignment horizontal="right"/>
    </xf>
    <xf numFmtId="1" fontId="47" fillId="4" borderId="48" xfId="0" applyNumberFormat="1" applyFont="1" applyFill="1" applyBorder="1" applyAlignment="1">
      <alignment horizontal="right"/>
    </xf>
    <xf numFmtId="0" fontId="17" fillId="4" borderId="40" xfId="0" applyFont="1" applyFill="1" applyBorder="1" applyAlignment="1">
      <alignment horizontal="right"/>
    </xf>
    <xf numFmtId="0" fontId="17" fillId="0" borderId="90" xfId="0" applyFont="1" applyBorder="1" applyAlignment="1">
      <alignment horizontal="right"/>
    </xf>
    <xf numFmtId="0" fontId="17" fillId="0" borderId="88" xfId="0" applyFont="1" applyBorder="1" applyAlignment="1">
      <alignment horizontal="right"/>
    </xf>
    <xf numFmtId="0" fontId="17" fillId="0" borderId="29" xfId="0" applyFont="1" applyBorder="1" applyAlignment="1">
      <alignment horizontal="right"/>
    </xf>
    <xf numFmtId="1" fontId="17" fillId="4" borderId="76" xfId="0" applyNumberFormat="1" applyFont="1" applyFill="1" applyBorder="1" applyAlignment="1">
      <alignment horizontal="right"/>
    </xf>
    <xf numFmtId="1" fontId="17" fillId="4" borderId="31" xfId="0" applyNumberFormat="1" applyFont="1" applyFill="1" applyBorder="1" applyAlignment="1">
      <alignment horizontal="right"/>
    </xf>
    <xf numFmtId="0" fontId="17" fillId="0" borderId="91" xfId="0" applyFont="1" applyBorder="1" applyAlignment="1">
      <alignment horizontal="right"/>
    </xf>
    <xf numFmtId="0" fontId="17" fillId="0" borderId="34" xfId="0" applyFont="1" applyBorder="1" applyAlignment="1">
      <alignment horizontal="right"/>
    </xf>
    <xf numFmtId="0" fontId="17" fillId="0" borderId="75" xfId="0" applyFont="1" applyBorder="1" applyAlignment="1">
      <alignment horizontal="right"/>
    </xf>
    <xf numFmtId="0" fontId="17" fillId="0" borderId="43" xfId="0" applyFont="1" applyBorder="1" applyAlignment="1">
      <alignment horizontal="right"/>
    </xf>
    <xf numFmtId="0" fontId="17" fillId="0" borderId="51" xfId="0" applyFont="1" applyBorder="1" applyAlignment="1">
      <alignment horizontal="right"/>
    </xf>
    <xf numFmtId="0" fontId="17" fillId="0" borderId="86" xfId="0" applyFont="1" applyBorder="1" applyAlignment="1">
      <alignment horizontal="right"/>
    </xf>
    <xf numFmtId="0" fontId="17" fillId="4" borderId="41" xfId="0" applyFont="1" applyFill="1" applyBorder="1" applyAlignment="1">
      <alignment horizontal="right"/>
    </xf>
    <xf numFmtId="1" fontId="17" fillId="0" borderId="45" xfId="268" applyNumberFormat="1" applyFont="1" applyFill="1" applyBorder="1" applyAlignment="1" applyProtection="1">
      <alignment horizontal="right" vertical="center" indent="2"/>
      <protection hidden="1"/>
    </xf>
    <xf numFmtId="1" fontId="17" fillId="0" borderId="47" xfId="268" applyNumberFormat="1" applyFont="1" applyFill="1" applyBorder="1" applyAlignment="1" applyProtection="1">
      <alignment horizontal="right" vertical="center" indent="2"/>
      <protection hidden="1"/>
    </xf>
    <xf numFmtId="1" fontId="17" fillId="4" borderId="0" xfId="0" applyNumberFormat="1" applyFont="1" applyFill="1" applyBorder="1" applyAlignment="1">
      <alignment horizontal="right"/>
    </xf>
    <xf numFmtId="1" fontId="17" fillId="4" borderId="29" xfId="0" applyNumberFormat="1" applyFont="1" applyFill="1" applyBorder="1" applyAlignment="1">
      <alignment horizontal="right"/>
    </xf>
    <xf numFmtId="1" fontId="17" fillId="4" borderId="23" xfId="0" applyNumberFormat="1" applyFont="1" applyFill="1" applyBorder="1" applyAlignment="1">
      <alignment horizontal="right"/>
    </xf>
    <xf numFmtId="1" fontId="17" fillId="4" borderId="26" xfId="0" applyNumberFormat="1" applyFont="1" applyFill="1" applyBorder="1" applyAlignment="1">
      <alignment horizontal="right"/>
    </xf>
    <xf numFmtId="1" fontId="47" fillId="4" borderId="21" xfId="268" applyNumberFormat="1" applyFont="1" applyFill="1" applyBorder="1" applyAlignment="1">
      <alignment horizontal="right"/>
    </xf>
    <xf numFmtId="3" fontId="47" fillId="4" borderId="39" xfId="0" applyNumberFormat="1" applyFont="1" applyFill="1" applyBorder="1" applyAlignment="1">
      <alignment horizontal="right" indent="1"/>
    </xf>
    <xf numFmtId="0" fontId="47" fillId="4" borderId="42" xfId="0" applyFont="1" applyFill="1" applyBorder="1" applyAlignment="1">
      <alignment horizontal="right" indent="1"/>
    </xf>
    <xf numFmtId="0" fontId="47" fillId="4" borderId="21" xfId="0" applyFont="1" applyFill="1" applyBorder="1" applyAlignment="1">
      <alignment horizontal="right" indent="1"/>
    </xf>
    <xf numFmtId="1" fontId="47" fillId="4" borderId="42" xfId="268" applyNumberFormat="1" applyFont="1" applyFill="1" applyBorder="1" applyAlignment="1">
      <alignment horizontal="right" indent="1"/>
    </xf>
    <xf numFmtId="1" fontId="47" fillId="4" borderId="0" xfId="268" applyNumberFormat="1" applyFont="1" applyFill="1" applyBorder="1" applyAlignment="1">
      <alignment horizontal="right" indent="1"/>
    </xf>
    <xf numFmtId="1" fontId="47" fillId="4" borderId="21" xfId="268" applyNumberFormat="1" applyFont="1" applyFill="1" applyBorder="1" applyAlignment="1">
      <alignment horizontal="right" indent="1"/>
    </xf>
    <xf numFmtId="1" fontId="47" fillId="4" borderId="42" xfId="268" applyNumberFormat="1" applyFont="1" applyFill="1" applyBorder="1" applyAlignment="1">
      <alignment horizontal="right"/>
    </xf>
    <xf numFmtId="1" fontId="47" fillId="4" borderId="0" xfId="268" applyNumberFormat="1" applyFont="1" applyFill="1" applyBorder="1" applyAlignment="1">
      <alignment horizontal="right"/>
    </xf>
    <xf numFmtId="1" fontId="47" fillId="4" borderId="24" xfId="268" applyNumberFormat="1" applyFont="1" applyFill="1" applyBorder="1" applyAlignment="1">
      <alignment horizontal="right"/>
    </xf>
    <xf numFmtId="3" fontId="17" fillId="4" borderId="40" xfId="0" applyNumberFormat="1" applyFont="1" applyFill="1" applyBorder="1" applyAlignment="1">
      <alignment horizontal="right" indent="1"/>
    </xf>
    <xf numFmtId="0" fontId="17" fillId="4" borderId="24" xfId="0" applyFont="1" applyFill="1" applyBorder="1" applyAlignment="1">
      <alignment horizontal="right" indent="1"/>
    </xf>
    <xf numFmtId="0" fontId="17" fillId="4" borderId="0" xfId="0" applyFont="1" applyFill="1" applyBorder="1" applyAlignment="1">
      <alignment horizontal="right" indent="1"/>
    </xf>
    <xf numFmtId="1" fontId="17" fillId="4" borderId="24" xfId="268" applyNumberFormat="1" applyFont="1" applyFill="1" applyBorder="1" applyAlignment="1">
      <alignment horizontal="right" indent="1"/>
    </xf>
    <xf numFmtId="1" fontId="17" fillId="4" borderId="0" xfId="268" applyNumberFormat="1" applyFont="1" applyFill="1" applyBorder="1" applyAlignment="1">
      <alignment horizontal="right" indent="1"/>
    </xf>
    <xf numFmtId="0" fontId="17" fillId="4" borderId="0" xfId="0" applyFont="1" applyFill="1" applyBorder="1" applyAlignment="1">
      <alignment horizontal="right"/>
    </xf>
    <xf numFmtId="1" fontId="17" fillId="4" borderId="0" xfId="268" applyNumberFormat="1" applyFont="1" applyFill="1" applyBorder="1" applyAlignment="1">
      <alignment horizontal="right"/>
    </xf>
    <xf numFmtId="3" fontId="17" fillId="4" borderId="41" xfId="0" applyNumberFormat="1" applyFont="1" applyFill="1" applyBorder="1" applyAlignment="1">
      <alignment horizontal="right" indent="1"/>
    </xf>
    <xf numFmtId="0" fontId="17" fillId="4" borderId="25" xfId="0" applyFont="1" applyFill="1" applyBorder="1" applyAlignment="1">
      <alignment horizontal="right" indent="1"/>
    </xf>
    <xf numFmtId="0" fontId="17" fillId="4" borderId="23" xfId="0" applyFont="1" applyFill="1" applyBorder="1" applyAlignment="1">
      <alignment horizontal="right" indent="1"/>
    </xf>
    <xf numFmtId="1" fontId="17" fillId="4" borderId="25" xfId="268" applyNumberFormat="1" applyFont="1" applyFill="1" applyBorder="1" applyAlignment="1">
      <alignment horizontal="right" indent="1"/>
    </xf>
    <xf numFmtId="1" fontId="17" fillId="4" borderId="23" xfId="268" applyNumberFormat="1" applyFont="1" applyFill="1" applyBorder="1" applyAlignment="1">
      <alignment horizontal="right" indent="1"/>
    </xf>
    <xf numFmtId="0" fontId="17" fillId="4" borderId="23" xfId="0" applyFont="1" applyFill="1" applyBorder="1" applyAlignment="1">
      <alignment horizontal="right"/>
    </xf>
    <xf numFmtId="1" fontId="17" fillId="4" borderId="23" xfId="268" applyNumberFormat="1" applyFont="1" applyFill="1" applyBorder="1" applyAlignment="1">
      <alignment horizontal="right"/>
    </xf>
    <xf numFmtId="1" fontId="47" fillId="0" borderId="50" xfId="268" applyNumberFormat="1" applyFont="1" applyFill="1" applyBorder="1" applyAlignment="1" applyProtection="1">
      <alignment horizontal="right" vertical="center" indent="2"/>
      <protection hidden="1"/>
    </xf>
    <xf numFmtId="1" fontId="47" fillId="0" borderId="43" xfId="268" applyNumberFormat="1" applyFont="1" applyFill="1" applyBorder="1" applyAlignment="1" applyProtection="1">
      <alignment horizontal="right" vertical="center" indent="2"/>
      <protection hidden="1"/>
    </xf>
    <xf numFmtId="0" fontId="17" fillId="0" borderId="45" xfId="0" applyFont="1" applyFill="1" applyBorder="1" applyAlignment="1" applyProtection="1">
      <alignment horizontal="right" vertical="center" indent="3"/>
      <protection hidden="1"/>
    </xf>
    <xf numFmtId="0" fontId="17" fillId="0" borderId="50" xfId="0" applyFont="1" applyFill="1" applyBorder="1" applyAlignment="1" applyProtection="1">
      <alignment horizontal="right" vertical="center" indent="2"/>
      <protection hidden="1"/>
    </xf>
    <xf numFmtId="0" fontId="17" fillId="0" borderId="43" xfId="0" applyFont="1" applyFill="1" applyBorder="1" applyAlignment="1" applyProtection="1">
      <alignment horizontal="right" vertical="center" indent="2"/>
      <protection hidden="1"/>
    </xf>
    <xf numFmtId="1" fontId="17" fillId="0" borderId="50" xfId="268" applyNumberFormat="1" applyFont="1" applyFill="1" applyBorder="1" applyAlignment="1" applyProtection="1">
      <alignment horizontal="right" vertical="center" indent="2"/>
      <protection hidden="1"/>
    </xf>
    <xf numFmtId="1" fontId="17" fillId="0" borderId="43" xfId="268" applyNumberFormat="1" applyFont="1" applyFill="1" applyBorder="1" applyAlignment="1" applyProtection="1">
      <alignment horizontal="right" vertical="center" indent="2"/>
      <protection hidden="1"/>
    </xf>
    <xf numFmtId="0" fontId="17" fillId="0" borderId="47" xfId="0" applyFont="1" applyFill="1" applyBorder="1" applyAlignment="1" applyProtection="1">
      <alignment horizontal="right" vertical="center" indent="3"/>
      <protection hidden="1"/>
    </xf>
    <xf numFmtId="0" fontId="17" fillId="0" borderId="52" xfId="0" applyFont="1" applyFill="1" applyBorder="1" applyAlignment="1" applyProtection="1">
      <alignment horizontal="right" vertical="center" indent="2"/>
      <protection hidden="1"/>
    </xf>
    <xf numFmtId="0" fontId="17" fillId="0" borderId="44" xfId="0" applyFont="1" applyFill="1" applyBorder="1" applyAlignment="1" applyProtection="1">
      <alignment horizontal="right" vertical="center" indent="2"/>
      <protection hidden="1"/>
    </xf>
    <xf numFmtId="1" fontId="17" fillId="0" borderId="52" xfId="268" applyNumberFormat="1" applyFont="1" applyFill="1" applyBorder="1" applyAlignment="1" applyProtection="1">
      <alignment horizontal="right" vertical="center" indent="2"/>
      <protection hidden="1"/>
    </xf>
    <xf numFmtId="1" fontId="17" fillId="0" borderId="44" xfId="268" applyNumberFormat="1" applyFont="1" applyFill="1" applyBorder="1" applyAlignment="1" applyProtection="1">
      <alignment horizontal="right" vertical="center" indent="2"/>
      <protection hidden="1"/>
    </xf>
    <xf numFmtId="0" fontId="55" fillId="4" borderId="95" xfId="0" applyFont="1" applyFill="1" applyBorder="1"/>
    <xf numFmtId="0" fontId="55" fillId="4" borderId="96" xfId="0" applyFont="1" applyFill="1" applyBorder="1"/>
    <xf numFmtId="0" fontId="18" fillId="30" borderId="97" xfId="0" applyFont="1" applyFill="1" applyBorder="1" applyAlignment="1"/>
    <xf numFmtId="0" fontId="18" fillId="30" borderId="98" xfId="0" applyFont="1" applyFill="1" applyBorder="1" applyAlignment="1"/>
    <xf numFmtId="0" fontId="55" fillId="4" borderId="97" xfId="0" applyFont="1" applyFill="1" applyBorder="1"/>
    <xf numFmtId="0" fontId="55" fillId="4" borderId="98" xfId="0" applyFont="1" applyFill="1" applyBorder="1"/>
    <xf numFmtId="0" fontId="47" fillId="0" borderId="82" xfId="0" applyFont="1" applyFill="1" applyBorder="1" applyAlignment="1" applyProtection="1">
      <alignment horizontal="right" vertical="center" indent="3"/>
      <protection hidden="1"/>
    </xf>
    <xf numFmtId="0" fontId="47" fillId="0" borderId="54" xfId="0" applyFont="1" applyFill="1" applyBorder="1" applyAlignment="1" applyProtection="1">
      <alignment horizontal="right" vertical="center" indent="3"/>
      <protection hidden="1"/>
    </xf>
    <xf numFmtId="0" fontId="17" fillId="0" borderId="99" xfId="0" applyFont="1" applyFill="1" applyBorder="1" applyAlignment="1" applyProtection="1">
      <alignment horizontal="right" vertical="center" indent="3"/>
      <protection hidden="1"/>
    </xf>
    <xf numFmtId="0" fontId="47" fillId="0" borderId="69" xfId="0" applyFont="1" applyFill="1" applyBorder="1" applyAlignment="1" applyProtection="1">
      <alignment horizontal="right" vertical="center" indent="3"/>
      <protection hidden="1"/>
    </xf>
    <xf numFmtId="1" fontId="17" fillId="0" borderId="86" xfId="268" applyNumberFormat="1" applyFont="1" applyFill="1" applyBorder="1" applyAlignment="1" applyProtection="1">
      <alignment horizontal="right" vertical="center" indent="2"/>
      <protection hidden="1"/>
    </xf>
    <xf numFmtId="0" fontId="47" fillId="0" borderId="42" xfId="0" applyFont="1" applyFill="1" applyBorder="1" applyAlignment="1" applyProtection="1">
      <alignment horizontal="right" vertical="center" indent="2"/>
      <protection hidden="1"/>
    </xf>
    <xf numFmtId="0" fontId="47" fillId="0" borderId="35" xfId="0" applyFont="1" applyFill="1" applyBorder="1" applyAlignment="1" applyProtection="1">
      <alignment horizontal="right" vertical="center" indent="2"/>
      <protection hidden="1"/>
    </xf>
    <xf numFmtId="0" fontId="17" fillId="4" borderId="24" xfId="0" applyFont="1" applyFill="1" applyBorder="1" applyAlignment="1" applyProtection="1">
      <alignment horizontal="right" vertical="center" indent="2"/>
      <protection hidden="1"/>
    </xf>
    <xf numFmtId="0" fontId="17" fillId="4" borderId="29" xfId="0" applyFont="1" applyFill="1" applyBorder="1" applyAlignment="1" applyProtection="1">
      <alignment horizontal="right" vertical="center" indent="2"/>
      <protection hidden="1"/>
    </xf>
    <xf numFmtId="0" fontId="17" fillId="4" borderId="25" xfId="0" applyFont="1" applyFill="1" applyBorder="1" applyAlignment="1" applyProtection="1">
      <alignment horizontal="right" vertical="center" indent="2"/>
      <protection hidden="1"/>
    </xf>
    <xf numFmtId="0" fontId="17" fillId="4" borderId="26" xfId="0" applyFont="1" applyFill="1" applyBorder="1" applyAlignment="1" applyProtection="1">
      <alignment horizontal="right" vertical="center" indent="2"/>
      <protection hidden="1"/>
    </xf>
    <xf numFmtId="0" fontId="17" fillId="0" borderId="24" xfId="0" applyFont="1" applyFill="1" applyBorder="1" applyAlignment="1" applyProtection="1">
      <alignment horizontal="right" vertical="center" indent="2"/>
      <protection hidden="1"/>
    </xf>
    <xf numFmtId="0" fontId="17" fillId="0" borderId="29" xfId="0" applyFont="1" applyFill="1" applyBorder="1" applyAlignment="1" applyProtection="1">
      <alignment horizontal="right" vertical="center" indent="2"/>
      <protection hidden="1"/>
    </xf>
    <xf numFmtId="0" fontId="66" fillId="4" borderId="0" xfId="0" applyFont="1" applyFill="1" applyAlignment="1">
      <alignment horizontal="left" wrapText="1"/>
    </xf>
    <xf numFmtId="49" fontId="47" fillId="27" borderId="29" xfId="0" applyNumberFormat="1" applyFont="1" applyFill="1" applyBorder="1" applyAlignment="1">
      <alignment horizontal="center" vertical="center" wrapText="1"/>
    </xf>
    <xf numFmtId="49" fontId="47" fillId="27" borderId="26" xfId="0" applyNumberFormat="1" applyFont="1" applyFill="1" applyBorder="1" applyAlignment="1">
      <alignment horizontal="center" vertical="center" wrapText="1"/>
    </xf>
    <xf numFmtId="49" fontId="47" fillId="27" borderId="22" xfId="0" applyNumberFormat="1" applyFont="1" applyFill="1" applyBorder="1" applyAlignment="1">
      <alignment horizontal="center" vertical="center" wrapText="1"/>
    </xf>
    <xf numFmtId="49" fontId="47" fillId="27" borderId="27" xfId="0" applyNumberFormat="1" applyFont="1" applyFill="1" applyBorder="1" applyAlignment="1">
      <alignment horizontal="center" vertical="center" wrapText="1"/>
    </xf>
    <xf numFmtId="49" fontId="47" fillId="27" borderId="28" xfId="0" applyNumberFormat="1" applyFont="1" applyFill="1" applyBorder="1" applyAlignment="1">
      <alignment horizontal="center" vertical="center" wrapText="1"/>
    </xf>
    <xf numFmtId="49" fontId="47" fillId="27" borderId="23" xfId="0" applyNumberFormat="1" applyFont="1" applyFill="1" applyBorder="1" applyAlignment="1">
      <alignment horizontal="center" vertical="center" wrapText="1"/>
    </xf>
    <xf numFmtId="49" fontId="47" fillId="27" borderId="39" xfId="0" applyNumberFormat="1" applyFont="1" applyFill="1" applyBorder="1" applyAlignment="1">
      <alignment horizontal="center" vertical="center" wrapText="1"/>
    </xf>
    <xf numFmtId="49" fontId="47" fillId="27" borderId="41" xfId="0" applyNumberFormat="1" applyFont="1" applyFill="1" applyBorder="1" applyAlignment="1">
      <alignment horizontal="center" vertical="center" wrapText="1"/>
    </xf>
    <xf numFmtId="0" fontId="15" fillId="4" borderId="0" xfId="0" applyFont="1" applyFill="1"/>
    <xf numFmtId="0" fontId="25" fillId="0" borderId="6" xfId="2" applyFont="1" applyBorder="1" applyAlignment="1" applyProtection="1">
      <alignment vertical="center" wrapText="1"/>
      <protection locked="0" hidden="1"/>
    </xf>
    <xf numFmtId="0" fontId="25" fillId="0" borderId="7" xfId="2" applyFont="1" applyBorder="1" applyAlignment="1" applyProtection="1">
      <alignment vertical="center" wrapText="1"/>
      <protection locked="0" hidden="1"/>
    </xf>
    <xf numFmtId="0" fontId="25" fillId="0" borderId="8" xfId="2" applyFont="1" applyBorder="1" applyAlignment="1" applyProtection="1">
      <alignment vertical="center" wrapText="1"/>
      <protection locked="0" hidden="1"/>
    </xf>
    <xf numFmtId="0" fontId="25" fillId="0" borderId="10" xfId="2" applyFont="1" applyBorder="1" applyAlignment="1" applyProtection="1">
      <alignment vertical="center" wrapText="1"/>
      <protection locked="0" hidden="1"/>
    </xf>
    <xf numFmtId="0" fontId="18" fillId="0" borderId="6" xfId="2" applyFont="1" applyBorder="1" applyAlignment="1" applyProtection="1">
      <alignment vertical="center" wrapText="1"/>
      <protection locked="0" hidden="1"/>
    </xf>
    <xf numFmtId="0" fontId="25" fillId="4" borderId="6" xfId="2" applyFont="1" applyFill="1" applyBorder="1" applyAlignment="1" applyProtection="1">
      <alignment horizontal="left" vertical="center" wrapText="1"/>
      <protection locked="0" hidden="1"/>
    </xf>
    <xf numFmtId="0" fontId="25" fillId="0" borderId="6" xfId="2" applyFont="1" applyBorder="1" applyAlignment="1" applyProtection="1">
      <alignment horizontal="left" vertical="center" wrapText="1"/>
      <protection locked="0" hidden="1"/>
    </xf>
    <xf numFmtId="0" fontId="25" fillId="4" borderId="2" xfId="2" applyFont="1" applyFill="1" applyBorder="1" applyProtection="1">
      <protection locked="0" hidden="1"/>
    </xf>
    <xf numFmtId="0" fontId="25" fillId="4" borderId="3" xfId="2" applyFont="1" applyFill="1" applyBorder="1" applyProtection="1">
      <protection locked="0" hidden="1"/>
    </xf>
    <xf numFmtId="3" fontId="25" fillId="4" borderId="2" xfId="2" applyNumberFormat="1" applyFont="1" applyFill="1" applyBorder="1" applyProtection="1">
      <protection locked="0" hidden="1"/>
    </xf>
    <xf numFmtId="3" fontId="25" fillId="4" borderId="3" xfId="2" applyNumberFormat="1" applyFont="1" applyFill="1" applyBorder="1" applyProtection="1">
      <protection locked="0" hidden="1"/>
    </xf>
    <xf numFmtId="3" fontId="18" fillId="4" borderId="3" xfId="2" applyNumberFormat="1" applyFont="1" applyFill="1" applyBorder="1" applyProtection="1">
      <protection locked="0" hidden="1"/>
    </xf>
    <xf numFmtId="3" fontId="25" fillId="4" borderId="3" xfId="2" applyNumberFormat="1" applyFont="1" applyFill="1" applyBorder="1" applyAlignment="1" applyProtection="1">
      <alignment wrapText="1"/>
      <protection locked="0" hidden="1"/>
    </xf>
    <xf numFmtId="3" fontId="25" fillId="4" borderId="2" xfId="2" applyNumberFormat="1" applyFont="1" applyFill="1" applyBorder="1" applyAlignment="1" applyProtection="1">
      <alignment wrapText="1"/>
      <protection locked="0" hidden="1"/>
    </xf>
    <xf numFmtId="3" fontId="25" fillId="4" borderId="4" xfId="2" applyNumberFormat="1" applyFont="1" applyFill="1" applyBorder="1" applyProtection="1">
      <protection locked="0" hidden="1"/>
    </xf>
    <xf numFmtId="3" fontId="25" fillId="4" borderId="5" xfId="2" applyNumberFormat="1" applyFont="1" applyFill="1" applyBorder="1" applyProtection="1">
      <protection locked="0" hidden="1"/>
    </xf>
    <xf numFmtId="0" fontId="8" fillId="4" borderId="0" xfId="0" applyFont="1" applyFill="1"/>
    <xf numFmtId="0" fontId="8" fillId="0" borderId="0" xfId="0" applyFont="1"/>
    <xf numFmtId="0" fontId="8" fillId="4" borderId="40" xfId="0" applyFont="1" applyFill="1" applyBorder="1" applyAlignment="1">
      <alignment horizontal="left" indent="1"/>
    </xf>
    <xf numFmtId="0" fontId="8" fillId="4" borderId="21" xfId="0" applyFont="1" applyFill="1" applyBorder="1"/>
    <xf numFmtId="0" fontId="8" fillId="0" borderId="0" xfId="0" applyFont="1" applyFill="1"/>
    <xf numFmtId="0" fontId="8" fillId="0" borderId="77" xfId="0" applyFont="1" applyBorder="1"/>
    <xf numFmtId="9" fontId="8" fillId="4" borderId="0" xfId="0" applyNumberFormat="1" applyFont="1" applyFill="1"/>
    <xf numFmtId="0" fontId="8" fillId="0" borderId="93" xfId="0" applyFont="1" applyFill="1" applyBorder="1"/>
    <xf numFmtId="0" fontId="8" fillId="0" borderId="92" xfId="0" applyFont="1" applyBorder="1"/>
    <xf numFmtId="0" fontId="8" fillId="0" borderId="87" xfId="0" applyFont="1" applyFill="1" applyBorder="1"/>
    <xf numFmtId="0" fontId="8" fillId="0" borderId="78" xfId="0" applyFont="1" applyBorder="1"/>
    <xf numFmtId="0" fontId="8" fillId="0" borderId="94" xfId="0" applyFont="1" applyBorder="1"/>
    <xf numFmtId="0" fontId="8" fillId="0" borderId="87" xfId="0" applyFont="1" applyBorder="1"/>
    <xf numFmtId="0" fontId="8" fillId="0" borderId="75" xfId="0" applyFont="1" applyFill="1" applyBorder="1"/>
    <xf numFmtId="0" fontId="8" fillId="0" borderId="74" xfId="0" applyFont="1" applyBorder="1"/>
    <xf numFmtId="0" fontId="8" fillId="0" borderId="30" xfId="0" applyFont="1" applyFill="1" applyBorder="1" applyAlignment="1" applyProtection="1">
      <alignment horizontal="right" vertical="top"/>
      <protection locked="0" hidden="1"/>
    </xf>
    <xf numFmtId="0" fontId="8" fillId="0" borderId="32" xfId="0" applyFont="1" applyFill="1" applyBorder="1" applyAlignment="1" applyProtection="1">
      <alignment horizontal="right" vertical="top"/>
      <protection locked="0" hidden="1"/>
    </xf>
    <xf numFmtId="0" fontId="8" fillId="0" borderId="32" xfId="0" applyFont="1" applyFill="1" applyBorder="1" applyAlignment="1" applyProtection="1">
      <alignment horizontal="right" vertical="top" wrapText="1"/>
      <protection locked="0" hidden="1"/>
    </xf>
    <xf numFmtId="0" fontId="8" fillId="0" borderId="33" xfId="0" applyFont="1" applyFill="1" applyBorder="1" applyProtection="1">
      <protection hidden="1"/>
    </xf>
    <xf numFmtId="0" fontId="8" fillId="0" borderId="30" xfId="0" applyFont="1" applyFill="1" applyBorder="1" applyProtection="1">
      <protection hidden="1"/>
    </xf>
    <xf numFmtId="0" fontId="8" fillId="0" borderId="0" xfId="0" applyFont="1" applyAlignment="1">
      <alignment horizontal="right" vertical="top"/>
    </xf>
    <xf numFmtId="0" fontId="8" fillId="0" borderId="30" xfId="0" applyFont="1" applyFill="1" applyBorder="1" applyProtection="1">
      <protection locked="0" hidden="1"/>
    </xf>
    <xf numFmtId="0" fontId="8" fillId="0" borderId="31" xfId="0" applyFont="1" applyFill="1" applyBorder="1" applyProtection="1">
      <protection locked="0" hidden="1"/>
    </xf>
    <xf numFmtId="0" fontId="8" fillId="0" borderId="32" xfId="0" applyFont="1" applyFill="1" applyBorder="1" applyProtection="1">
      <protection locked="0" hidden="1"/>
    </xf>
    <xf numFmtId="0" fontId="8" fillId="0" borderId="34" xfId="0" applyFont="1" applyFill="1" applyBorder="1" applyProtection="1">
      <protection locked="0" hidden="1"/>
    </xf>
    <xf numFmtId="0" fontId="8" fillId="0" borderId="33" xfId="0" applyFont="1" applyFill="1" applyBorder="1" applyProtection="1">
      <protection locked="0" hidden="1"/>
    </xf>
    <xf numFmtId="0" fontId="8" fillId="4" borderId="24" xfId="0" applyFont="1" applyFill="1" applyBorder="1"/>
    <xf numFmtId="0" fontId="8" fillId="4" borderId="0" xfId="0" applyFont="1" applyFill="1" applyBorder="1"/>
    <xf numFmtId="0" fontId="8" fillId="4" borderId="0" xfId="0" applyFont="1" applyFill="1" applyBorder="1" applyAlignment="1">
      <alignment horizontal="center" vertical="center"/>
    </xf>
    <xf numFmtId="1" fontId="8" fillId="4" borderId="0" xfId="0" applyNumberFormat="1" applyFont="1" applyFill="1" applyBorder="1" applyAlignment="1">
      <alignment horizontal="center" vertical="center"/>
    </xf>
    <xf numFmtId="0" fontId="8" fillId="4" borderId="0" xfId="0" applyFont="1" applyFill="1" applyAlignment="1">
      <alignment horizontal="left"/>
    </xf>
    <xf numFmtId="0" fontId="66" fillId="0" borderId="0" xfId="0" applyFont="1" applyFill="1"/>
    <xf numFmtId="0" fontId="25" fillId="4" borderId="0" xfId="338" applyFont="1" applyFill="1" applyBorder="1" applyAlignment="1" applyProtection="1">
      <alignment horizontal="left" vertical="center" wrapText="1"/>
      <protection hidden="1"/>
    </xf>
    <xf numFmtId="0" fontId="8" fillId="4" borderId="0" xfId="0" applyFont="1" applyFill="1" applyAlignment="1">
      <alignment horizontal="left" vertical="top" wrapText="1"/>
    </xf>
    <xf numFmtId="0" fontId="6" fillId="4" borderId="0" xfId="0" applyFont="1" applyFill="1"/>
    <xf numFmtId="0" fontId="25" fillId="4" borderId="0" xfId="338" applyFont="1" applyFill="1" applyBorder="1" applyAlignment="1" applyProtection="1">
      <alignment horizontal="left" vertical="center"/>
      <protection hidden="1"/>
    </xf>
    <xf numFmtId="0" fontId="25" fillId="0" borderId="30" xfId="0" quotePrefix="1" applyFont="1" applyFill="1" applyBorder="1" applyAlignment="1" applyProtection="1">
      <alignment vertical="center"/>
      <protection hidden="1"/>
    </xf>
    <xf numFmtId="0" fontId="5" fillId="0" borderId="36" xfId="0" applyFont="1" applyFill="1" applyBorder="1" applyAlignment="1">
      <alignment vertical="top" wrapText="1"/>
    </xf>
    <xf numFmtId="0" fontId="5" fillId="0" borderId="28" xfId="0" applyFont="1" applyFill="1" applyBorder="1" applyAlignment="1">
      <alignment vertical="top" wrapText="1"/>
    </xf>
    <xf numFmtId="0" fontId="5" fillId="0" borderId="62" xfId="0" applyFont="1" applyFill="1" applyBorder="1" applyAlignment="1">
      <alignment vertical="top" wrapText="1"/>
    </xf>
    <xf numFmtId="0" fontId="5" fillId="0" borderId="0" xfId="0" applyFont="1" applyBorder="1" applyAlignment="1">
      <alignment vertical="top"/>
    </xf>
    <xf numFmtId="0" fontId="5" fillId="0" borderId="0" xfId="0" applyFont="1" applyFill="1" applyAlignment="1">
      <alignment vertical="center"/>
    </xf>
    <xf numFmtId="0" fontId="5" fillId="0" borderId="0" xfId="0" applyFont="1" applyFill="1" applyAlignment="1">
      <alignment vertical="center" wrapText="1"/>
    </xf>
    <xf numFmtId="0" fontId="5" fillId="0" borderId="0" xfId="0" applyFont="1" applyFill="1" applyAlignment="1">
      <alignment vertical="top"/>
    </xf>
    <xf numFmtId="0" fontId="5" fillId="0" borderId="0" xfId="0" applyFont="1" applyFill="1"/>
    <xf numFmtId="0" fontId="46" fillId="0" borderId="66" xfId="0" applyFont="1" applyFill="1" applyBorder="1" applyAlignment="1">
      <alignment vertical="top"/>
    </xf>
    <xf numFmtId="0" fontId="46" fillId="0" borderId="67" xfId="0" applyFont="1" applyFill="1" applyBorder="1" applyAlignment="1">
      <alignment vertical="top" wrapText="1"/>
    </xf>
    <xf numFmtId="0" fontId="46" fillId="0" borderId="68" xfId="0" applyFont="1" applyFill="1" applyBorder="1" applyAlignment="1">
      <alignment vertical="top"/>
    </xf>
    <xf numFmtId="0" fontId="5" fillId="0" borderId="59" xfId="0" applyFont="1" applyFill="1" applyBorder="1" applyAlignment="1">
      <alignment vertical="top"/>
    </xf>
    <xf numFmtId="0" fontId="5" fillId="0" borderId="60" xfId="0" applyFont="1" applyFill="1" applyBorder="1" applyAlignment="1">
      <alignment vertical="top" wrapText="1"/>
    </xf>
    <xf numFmtId="0" fontId="5" fillId="0" borderId="61" xfId="0" applyFont="1" applyFill="1" applyBorder="1" applyAlignment="1">
      <alignment vertical="top"/>
    </xf>
    <xf numFmtId="0" fontId="5" fillId="0" borderId="28" xfId="0" applyFont="1" applyFill="1" applyBorder="1" applyAlignment="1">
      <alignment vertical="top"/>
    </xf>
    <xf numFmtId="0" fontId="5" fillId="0" borderId="62" xfId="0" applyFont="1" applyFill="1" applyBorder="1" applyAlignment="1">
      <alignment vertical="top"/>
    </xf>
    <xf numFmtId="0" fontId="5" fillId="0" borderId="0" xfId="0" applyFont="1" applyFill="1" applyBorder="1" applyAlignment="1">
      <alignment vertical="top"/>
    </xf>
    <xf numFmtId="0" fontId="5" fillId="0" borderId="35" xfId="0" applyFont="1" applyFill="1" applyBorder="1" applyAlignment="1">
      <alignment vertical="top"/>
    </xf>
    <xf numFmtId="0" fontId="5" fillId="0" borderId="73" xfId="0" applyFont="1" applyFill="1" applyBorder="1" applyAlignment="1">
      <alignment vertical="top" wrapText="1"/>
    </xf>
    <xf numFmtId="0" fontId="5" fillId="0" borderId="39" xfId="0" applyFont="1" applyFill="1" applyBorder="1" applyAlignment="1">
      <alignment vertical="top" wrapText="1"/>
    </xf>
    <xf numFmtId="0" fontId="5" fillId="0" borderId="63" xfId="0" applyFont="1" applyFill="1" applyBorder="1" applyAlignment="1">
      <alignment vertical="top"/>
    </xf>
    <xf numFmtId="0" fontId="5" fillId="0" borderId="64" xfId="0" applyFont="1" applyFill="1" applyBorder="1" applyAlignment="1">
      <alignment vertical="top" wrapText="1"/>
    </xf>
    <xf numFmtId="0" fontId="5" fillId="0" borderId="65" xfId="0" applyFont="1" applyFill="1" applyBorder="1" applyAlignment="1">
      <alignment vertical="top" wrapText="1"/>
    </xf>
    <xf numFmtId="0" fontId="5" fillId="4" borderId="77" xfId="0" applyFont="1" applyFill="1" applyBorder="1" applyAlignment="1">
      <alignment vertical="top" wrapText="1"/>
    </xf>
    <xf numFmtId="0" fontId="5" fillId="4" borderId="100" xfId="0" applyFont="1" applyFill="1" applyBorder="1" applyAlignment="1">
      <alignment vertical="top" wrapText="1"/>
    </xf>
    <xf numFmtId="0" fontId="5" fillId="0" borderId="101" xfId="0" applyFont="1" applyFill="1" applyBorder="1" applyAlignment="1">
      <alignment vertical="top"/>
    </xf>
    <xf numFmtId="0" fontId="8" fillId="4" borderId="0" xfId="0" applyFont="1" applyFill="1" applyAlignment="1">
      <alignment vertical="top" wrapText="1"/>
    </xf>
    <xf numFmtId="0" fontId="13" fillId="4" borderId="0" xfId="0" applyFont="1" applyFill="1" applyAlignment="1">
      <alignment vertical="top" wrapText="1"/>
    </xf>
    <xf numFmtId="14" fontId="8" fillId="4" borderId="0" xfId="0" applyNumberFormat="1" applyFont="1" applyFill="1" applyAlignment="1">
      <alignment vertical="top" wrapText="1"/>
    </xf>
    <xf numFmtId="0" fontId="0" fillId="0" borderId="0" xfId="0" applyAlignment="1">
      <alignment vertical="top" wrapText="1"/>
    </xf>
    <xf numFmtId="0" fontId="0" fillId="4" borderId="0" xfId="0" applyFill="1" applyAlignment="1">
      <alignment vertical="top" wrapText="1"/>
    </xf>
    <xf numFmtId="0" fontId="0" fillId="0" borderId="0" xfId="0" applyFill="1" applyAlignment="1">
      <alignment vertical="top" wrapText="1"/>
    </xf>
    <xf numFmtId="0" fontId="66" fillId="4" borderId="0" xfId="0" applyFont="1" applyFill="1" applyAlignment="1">
      <alignment vertical="top"/>
    </xf>
    <xf numFmtId="0" fontId="55" fillId="4" borderId="0" xfId="0" applyFont="1" applyFill="1" applyAlignment="1">
      <alignment vertical="top"/>
    </xf>
    <xf numFmtId="0" fontId="5" fillId="0" borderId="0" xfId="0" applyFont="1" applyFill="1" applyAlignment="1">
      <alignment vertical="top" wrapText="1"/>
    </xf>
    <xf numFmtId="0" fontId="5" fillId="0" borderId="62" xfId="0" applyFont="1" applyFill="1" applyBorder="1" applyAlignment="1">
      <alignment horizontal="left" vertical="top" wrapText="1"/>
    </xf>
    <xf numFmtId="0" fontId="5" fillId="0" borderId="0" xfId="0" applyFont="1" applyFill="1" applyAlignment="1">
      <alignment horizontal="left" wrapText="1"/>
    </xf>
    <xf numFmtId="0" fontId="46" fillId="0" borderId="56" xfId="0" applyFont="1" applyFill="1" applyBorder="1" applyAlignment="1">
      <alignment horizontal="left" vertical="top" wrapText="1"/>
    </xf>
    <xf numFmtId="0" fontId="5" fillId="0" borderId="0" xfId="0" applyFont="1" applyFill="1" applyAlignment="1">
      <alignment horizontal="left" vertical="top" wrapText="1"/>
    </xf>
    <xf numFmtId="0" fontId="4" fillId="0" borderId="36" xfId="0" applyFont="1" applyFill="1" applyBorder="1" applyAlignment="1">
      <alignment vertical="top" wrapText="1"/>
    </xf>
    <xf numFmtId="0" fontId="3" fillId="0" borderId="28" xfId="0" applyFont="1" applyFill="1" applyBorder="1" applyAlignment="1">
      <alignment vertical="top"/>
    </xf>
    <xf numFmtId="0" fontId="3" fillId="0" borderId="62" xfId="0" applyFont="1" applyFill="1" applyBorder="1" applyAlignment="1">
      <alignment vertical="top" wrapText="1"/>
    </xf>
    <xf numFmtId="0" fontId="66" fillId="0" borderId="0" xfId="0" applyFont="1" applyAlignment="1">
      <alignment horizontal="left" vertical="top"/>
    </xf>
    <xf numFmtId="0" fontId="2" fillId="0" borderId="35" xfId="0" applyFont="1" applyFill="1" applyBorder="1" applyAlignment="1">
      <alignment vertical="top"/>
    </xf>
    <xf numFmtId="49" fontId="25" fillId="0" borderId="6" xfId="2" quotePrefix="1" applyNumberFormat="1" applyFont="1" applyFill="1" applyBorder="1" applyAlignment="1" applyProtection="1">
      <alignment horizontal="left" vertical="center" wrapText="1"/>
      <protection hidden="1"/>
    </xf>
    <xf numFmtId="0" fontId="25" fillId="0" borderId="9" xfId="2" applyFont="1" applyFill="1" applyBorder="1" applyAlignment="1" applyProtection="1">
      <alignment vertical="center" wrapText="1"/>
      <protection hidden="1"/>
    </xf>
    <xf numFmtId="49" fontId="47" fillId="27" borderId="27" xfId="0" applyNumberFormat="1" applyFont="1" applyFill="1" applyBorder="1" applyAlignment="1">
      <alignment horizontal="center" vertical="center" wrapText="1"/>
    </xf>
    <xf numFmtId="49" fontId="47" fillId="27" borderId="22" xfId="0" applyNumberFormat="1" applyFont="1" applyFill="1" applyBorder="1" applyAlignment="1">
      <alignment horizontal="center" vertical="center" wrapText="1"/>
    </xf>
    <xf numFmtId="49" fontId="47" fillId="27" borderId="28" xfId="0" applyNumberFormat="1" applyFont="1" applyFill="1" applyBorder="1" applyAlignment="1">
      <alignment horizontal="center" vertical="center" wrapText="1"/>
    </xf>
    <xf numFmtId="0" fontId="70" fillId="0" borderId="0" xfId="0" applyFont="1"/>
    <xf numFmtId="0" fontId="71" fillId="0" borderId="0" xfId="0" applyFont="1" applyAlignment="1" applyProtection="1">
      <alignment horizontal="right"/>
      <protection hidden="1"/>
    </xf>
    <xf numFmtId="1" fontId="70" fillId="4" borderId="0" xfId="0" applyNumberFormat="1" applyFont="1" applyFill="1" applyAlignment="1">
      <alignment horizontal="center" vertical="center"/>
    </xf>
    <xf numFmtId="0" fontId="70" fillId="4" borderId="0" xfId="0" applyFont="1" applyFill="1" applyAlignment="1">
      <alignment horizontal="center" vertical="center"/>
    </xf>
    <xf numFmtId="0" fontId="72" fillId="4" borderId="0" xfId="0" applyFont="1" applyFill="1" applyAlignment="1">
      <alignment horizontal="center" vertical="center"/>
    </xf>
    <xf numFmtId="0" fontId="73" fillId="4" borderId="0" xfId="0" applyFont="1" applyFill="1" applyAlignment="1">
      <alignment horizontal="center" vertical="center"/>
    </xf>
    <xf numFmtId="0" fontId="70" fillId="4" borderId="0" xfId="0" applyFont="1" applyFill="1"/>
    <xf numFmtId="0" fontId="1" fillId="0" borderId="36" xfId="0" applyFont="1" applyFill="1" applyBorder="1" applyAlignment="1">
      <alignment vertical="top" wrapText="1"/>
    </xf>
    <xf numFmtId="0" fontId="1" fillId="0" borderId="62" xfId="0" applyFont="1" applyFill="1" applyBorder="1" applyAlignment="1">
      <alignment vertical="top" wrapText="1"/>
    </xf>
    <xf numFmtId="0" fontId="73" fillId="0" borderId="0" xfId="0" applyFont="1" applyFill="1" applyAlignment="1">
      <alignment horizontal="left" vertical="center"/>
    </xf>
    <xf numFmtId="0" fontId="55" fillId="0" borderId="0" xfId="0" applyFont="1" applyFill="1" applyAlignment="1"/>
    <xf numFmtId="0" fontId="1" fillId="4" borderId="0" xfId="0" applyFont="1" applyFill="1"/>
    <xf numFmtId="0" fontId="1" fillId="4" borderId="0" xfId="0" applyFont="1" applyFill="1" applyAlignment="1">
      <alignment horizontal="left" vertical="top"/>
    </xf>
    <xf numFmtId="0" fontId="7" fillId="0" borderId="41" xfId="0" applyFont="1" applyFill="1" applyBorder="1" applyAlignment="1">
      <alignment horizontal="left" indent="1"/>
    </xf>
    <xf numFmtId="0" fontId="17" fillId="0" borderId="41" xfId="0" applyFont="1" applyFill="1" applyBorder="1" applyAlignment="1">
      <alignment horizontal="right"/>
    </xf>
    <xf numFmtId="0" fontId="17" fillId="0" borderId="52" xfId="0" applyFont="1" applyFill="1" applyBorder="1" applyAlignment="1">
      <alignment horizontal="right"/>
    </xf>
    <xf numFmtId="0" fontId="17" fillId="0" borderId="89" xfId="0" applyFont="1" applyFill="1" applyBorder="1" applyAlignment="1">
      <alignment horizontal="right"/>
    </xf>
    <xf numFmtId="0" fontId="17" fillId="0" borderId="44" xfId="0" applyFont="1" applyFill="1" applyBorder="1" applyAlignment="1">
      <alignment horizontal="right"/>
    </xf>
    <xf numFmtId="1" fontId="17" fillId="0" borderId="69" xfId="0" applyNumberFormat="1" applyFont="1" applyFill="1" applyBorder="1" applyAlignment="1">
      <alignment horizontal="right"/>
    </xf>
    <xf numFmtId="1" fontId="17" fillId="0" borderId="81" xfId="0" applyNumberFormat="1" applyFont="1" applyFill="1" applyBorder="1" applyAlignment="1">
      <alignment horizontal="right"/>
    </xf>
    <xf numFmtId="1" fontId="17" fillId="0" borderId="84" xfId="0" applyNumberFormat="1" applyFont="1" applyFill="1" applyBorder="1" applyAlignment="1">
      <alignment horizontal="right"/>
    </xf>
    <xf numFmtId="0" fontId="17" fillId="0" borderId="25" xfId="0" applyFont="1" applyFill="1" applyBorder="1" applyAlignment="1">
      <alignment horizontal="right"/>
    </xf>
    <xf numFmtId="0" fontId="17" fillId="0" borderId="26" xfId="0" applyFont="1" applyFill="1" applyBorder="1" applyAlignment="1">
      <alignment horizontal="right"/>
    </xf>
    <xf numFmtId="1" fontId="17" fillId="0" borderId="24" xfId="268" applyNumberFormat="1" applyFont="1" applyFill="1" applyBorder="1" applyAlignment="1">
      <alignment horizontal="right"/>
    </xf>
    <xf numFmtId="1" fontId="17" fillId="0" borderId="26" xfId="268" applyNumberFormat="1" applyFont="1" applyFill="1" applyBorder="1" applyAlignment="1">
      <alignment horizontal="right"/>
    </xf>
    <xf numFmtId="0" fontId="55" fillId="0" borderId="0" xfId="0" applyFont="1" applyFill="1"/>
    <xf numFmtId="0" fontId="69" fillId="31" borderId="0" xfId="0" applyFont="1" applyFill="1" applyBorder="1" applyAlignment="1">
      <alignment wrapText="1"/>
    </xf>
    <xf numFmtId="0" fontId="69" fillId="31" borderId="77" xfId="0" applyFont="1" applyFill="1" applyBorder="1" applyAlignment="1">
      <alignment wrapText="1"/>
    </xf>
    <xf numFmtId="0" fontId="0" fillId="32" borderId="0" xfId="0" applyFill="1" applyAlignment="1">
      <alignment wrapText="1"/>
    </xf>
    <xf numFmtId="0" fontId="58" fillId="0" borderId="87" xfId="0" applyFont="1" applyFill="1" applyBorder="1" applyAlignment="1">
      <alignment vertical="top" wrapText="1"/>
    </xf>
    <xf numFmtId="0" fontId="0" fillId="0" borderId="74" xfId="0" applyFont="1" applyFill="1" applyBorder="1" applyAlignment="1">
      <alignment vertical="top" wrapText="1"/>
    </xf>
    <xf numFmtId="0" fontId="0" fillId="0" borderId="74" xfId="0" applyFont="1" applyFill="1" applyBorder="1" applyAlignment="1">
      <alignment horizontal="right" vertical="top" wrapText="1"/>
    </xf>
    <xf numFmtId="14" fontId="0" fillId="0" borderId="74" xfId="0" applyNumberFormat="1" applyFont="1" applyFill="1" applyBorder="1" applyAlignment="1">
      <alignment vertical="top" wrapText="1"/>
    </xf>
    <xf numFmtId="14" fontId="0" fillId="0" borderId="74" xfId="0" applyNumberFormat="1" applyFont="1" applyFill="1" applyBorder="1" applyAlignment="1">
      <alignment horizontal="right" vertical="top" wrapText="1"/>
    </xf>
    <xf numFmtId="0" fontId="0" fillId="0" borderId="74" xfId="0" applyFill="1" applyBorder="1" applyAlignment="1">
      <alignment vertical="top" wrapText="1"/>
    </xf>
    <xf numFmtId="0" fontId="0" fillId="0" borderId="74" xfId="0" applyFill="1" applyBorder="1" applyAlignment="1">
      <alignment horizontal="right" vertical="top" wrapText="1"/>
    </xf>
    <xf numFmtId="14" fontId="0" fillId="0" borderId="74" xfId="0" applyNumberFormat="1" applyFill="1" applyBorder="1" applyAlignment="1">
      <alignment vertical="top" wrapText="1"/>
    </xf>
    <xf numFmtId="14" fontId="0" fillId="0" borderId="74" xfId="0" applyNumberFormat="1" applyFill="1" applyBorder="1" applyAlignment="1">
      <alignment horizontal="right" vertical="top" wrapText="1"/>
    </xf>
    <xf numFmtId="0" fontId="69" fillId="31" borderId="0" xfId="0" applyFont="1" applyFill="1" applyBorder="1" applyAlignment="1">
      <alignment horizontal="left" wrapText="1"/>
    </xf>
    <xf numFmtId="0" fontId="69" fillId="31" borderId="77" xfId="0" applyFont="1" applyFill="1" applyBorder="1" applyAlignment="1">
      <alignment horizontal="left" wrapText="1"/>
    </xf>
    <xf numFmtId="0" fontId="0" fillId="32" borderId="0" xfId="0" applyFill="1" applyAlignment="1">
      <alignment horizontal="left" wrapText="1"/>
    </xf>
    <xf numFmtId="0" fontId="58" fillId="0" borderId="87" xfId="0" applyFont="1" applyFill="1" applyBorder="1"/>
    <xf numFmtId="0" fontId="0" fillId="0" borderId="74" xfId="0" applyFont="1" applyFill="1" applyBorder="1"/>
    <xf numFmtId="14" fontId="0" fillId="0" borderId="74" xfId="0" applyNumberFormat="1" applyFont="1" applyFill="1" applyBorder="1"/>
    <xf numFmtId="0" fontId="0" fillId="0" borderId="74" xfId="0" applyNumberFormat="1" applyFont="1" applyFill="1" applyBorder="1"/>
    <xf numFmtId="0" fontId="58" fillId="0" borderId="87" xfId="0" applyNumberFormat="1" applyFont="1" applyFill="1" applyBorder="1"/>
    <xf numFmtId="0" fontId="69" fillId="32" borderId="0" xfId="0" applyFont="1" applyFill="1" applyBorder="1" applyAlignment="1">
      <alignment wrapText="1"/>
    </xf>
    <xf numFmtId="0" fontId="69" fillId="32" borderId="77" xfId="0" applyFont="1" applyFill="1" applyBorder="1" applyAlignment="1">
      <alignment wrapText="1"/>
    </xf>
    <xf numFmtId="0" fontId="61" fillId="3" borderId="6" xfId="2" applyFont="1" applyFill="1" applyBorder="1" applyAlignment="1" applyProtection="1">
      <alignment horizontal="left" vertical="center" wrapText="1"/>
      <protection locked="0" hidden="1"/>
    </xf>
    <xf numFmtId="0" fontId="25" fillId="0" borderId="20" xfId="2" applyFont="1" applyBorder="1" applyAlignment="1" applyProtection="1">
      <alignment horizontal="center" vertical="center" wrapText="1"/>
      <protection locked="0" hidden="1"/>
    </xf>
    <xf numFmtId="0" fontId="25" fillId="0" borderId="9" xfId="2" applyFont="1" applyBorder="1" applyAlignment="1" applyProtection="1">
      <alignment horizontal="center" vertical="center" wrapText="1"/>
      <protection locked="0" hidden="1"/>
    </xf>
    <xf numFmtId="0" fontId="55" fillId="4" borderId="0" xfId="0" applyFont="1" applyFill="1" applyAlignment="1">
      <alignment horizontal="left" vertical="top" wrapText="1"/>
    </xf>
    <xf numFmtId="0" fontId="25" fillId="29" borderId="0" xfId="338" applyFont="1" applyFill="1" applyBorder="1" applyAlignment="1" applyProtection="1">
      <alignment horizontal="left" vertical="center" wrapText="1"/>
      <protection hidden="1"/>
    </xf>
    <xf numFmtId="0" fontId="18" fillId="0" borderId="0" xfId="6" applyFont="1" applyAlignment="1" applyProtection="1">
      <alignment horizontal="left" vertical="top" wrapText="1"/>
      <protection locked="0" hidden="1"/>
    </xf>
    <xf numFmtId="0" fontId="18" fillId="4" borderId="0" xfId="5" applyFont="1" applyFill="1" applyBorder="1" applyAlignment="1" applyProtection="1">
      <alignment horizontal="left" vertical="top" wrapText="1"/>
      <protection locked="0" hidden="1"/>
    </xf>
    <xf numFmtId="0" fontId="25" fillId="4" borderId="0" xfId="5" applyFont="1" applyFill="1" applyBorder="1" applyAlignment="1" applyProtection="1">
      <alignment horizontal="left" vertical="top" wrapText="1"/>
      <protection locked="0" hidden="1"/>
    </xf>
    <xf numFmtId="0" fontId="25" fillId="0" borderId="0" xfId="338" applyFont="1" applyFill="1" applyBorder="1" applyAlignment="1" applyProtection="1">
      <alignment horizontal="left" vertical="center" wrapText="1"/>
      <protection hidden="1"/>
    </xf>
    <xf numFmtId="0" fontId="5" fillId="0" borderId="57" xfId="0" applyFont="1" applyFill="1" applyBorder="1" applyAlignment="1">
      <alignment horizontal="left" vertical="top" wrapText="1"/>
    </xf>
    <xf numFmtId="0" fontId="5" fillId="0" borderId="58" xfId="0" applyFont="1" applyFill="1" applyBorder="1" applyAlignment="1">
      <alignment horizontal="left" vertical="top" wrapText="1"/>
    </xf>
    <xf numFmtId="0" fontId="5" fillId="0" borderId="70" xfId="0" applyFont="1" applyFill="1" applyBorder="1" applyAlignment="1">
      <alignment horizontal="left" vertical="top" wrapText="1"/>
    </xf>
    <xf numFmtId="0" fontId="5" fillId="0" borderId="71" xfId="0" applyFont="1" applyFill="1" applyBorder="1" applyAlignment="1">
      <alignment horizontal="left" vertical="top" wrapText="1"/>
    </xf>
    <xf numFmtId="0" fontId="5" fillId="0" borderId="72" xfId="0" applyFont="1" applyFill="1" applyBorder="1" applyAlignment="1">
      <alignment horizontal="left" vertical="top" wrapText="1"/>
    </xf>
    <xf numFmtId="49" fontId="47" fillId="27" borderId="27" xfId="0" applyNumberFormat="1" applyFont="1" applyFill="1" applyBorder="1" applyAlignment="1">
      <alignment horizontal="center" vertical="center" wrapText="1"/>
    </xf>
    <xf numFmtId="49" fontId="47" fillId="27" borderId="22" xfId="0" applyNumberFormat="1" applyFont="1" applyFill="1" applyBorder="1" applyAlignment="1">
      <alignment horizontal="center" vertical="center" wrapText="1"/>
    </xf>
    <xf numFmtId="49" fontId="47" fillId="27" borderId="28" xfId="0" applyNumberFormat="1" applyFont="1" applyFill="1" applyBorder="1" applyAlignment="1">
      <alignment horizontal="center" vertical="center" wrapText="1"/>
    </xf>
    <xf numFmtId="49" fontId="47" fillId="27" borderId="39" xfId="0" applyNumberFormat="1" applyFont="1" applyFill="1" applyBorder="1" applyAlignment="1">
      <alignment horizontal="left" vertical="center" wrapText="1"/>
    </xf>
    <xf numFmtId="49" fontId="47" fillId="27" borderId="40" xfId="0" applyNumberFormat="1" applyFont="1" applyFill="1" applyBorder="1" applyAlignment="1">
      <alignment horizontal="left" vertical="center" wrapText="1"/>
    </xf>
    <xf numFmtId="49" fontId="47" fillId="27" borderId="41" xfId="0" applyNumberFormat="1" applyFont="1" applyFill="1" applyBorder="1" applyAlignment="1">
      <alignment horizontal="left" vertical="center" wrapText="1"/>
    </xf>
    <xf numFmtId="49" fontId="47" fillId="27" borderId="35" xfId="0" applyNumberFormat="1" applyFont="1" applyFill="1" applyBorder="1" applyAlignment="1">
      <alignment horizontal="center" vertical="center" wrapText="1"/>
    </xf>
    <xf numFmtId="49" fontId="47" fillId="27" borderId="29" xfId="0" applyNumberFormat="1" applyFont="1" applyFill="1" applyBorder="1" applyAlignment="1">
      <alignment horizontal="center" vertical="center" wrapText="1"/>
    </xf>
    <xf numFmtId="49" fontId="47" fillId="27" borderId="26" xfId="0" applyNumberFormat="1" applyFont="1" applyFill="1" applyBorder="1" applyAlignment="1">
      <alignment horizontal="center" vertical="center" wrapText="1"/>
    </xf>
    <xf numFmtId="49" fontId="47" fillId="27" borderId="23" xfId="0" applyNumberFormat="1" applyFont="1" applyFill="1" applyBorder="1" applyAlignment="1">
      <alignment horizontal="center" vertical="center" wrapText="1"/>
    </xf>
    <xf numFmtId="0" fontId="8" fillId="0" borderId="74" xfId="0" applyFont="1" applyBorder="1" applyAlignment="1">
      <alignment horizontal="left" vertical="top" wrapText="1"/>
    </xf>
    <xf numFmtId="0" fontId="8" fillId="0" borderId="87" xfId="0" applyFont="1" applyBorder="1" applyAlignment="1">
      <alignment horizontal="left" vertical="top" wrapText="1"/>
    </xf>
    <xf numFmtId="0" fontId="66" fillId="4" borderId="0" xfId="0" applyFont="1" applyFill="1" applyAlignment="1">
      <alignment horizontal="left" wrapText="1"/>
    </xf>
    <xf numFmtId="0" fontId="17" fillId="0" borderId="32" xfId="0" applyFont="1" applyFill="1" applyBorder="1" applyAlignment="1" applyProtection="1">
      <alignment horizontal="left" wrapText="1"/>
      <protection locked="0" hidden="1"/>
    </xf>
    <xf numFmtId="0" fontId="17" fillId="0" borderId="38" xfId="0" applyFont="1" applyFill="1" applyBorder="1" applyAlignment="1" applyProtection="1">
      <alignment horizontal="left" wrapText="1"/>
      <protection locked="0" hidden="1"/>
    </xf>
    <xf numFmtId="0" fontId="17" fillId="0" borderId="34" xfId="0" applyFont="1" applyFill="1" applyBorder="1" applyAlignment="1" applyProtection="1">
      <alignment horizontal="left" wrapText="1"/>
      <protection locked="0" hidden="1"/>
    </xf>
    <xf numFmtId="0" fontId="8" fillId="4" borderId="0" xfId="0" applyFont="1" applyFill="1" applyAlignment="1">
      <alignment horizontal="left" vertical="top" wrapText="1"/>
    </xf>
    <xf numFmtId="0" fontId="1" fillId="4" borderId="0" xfId="0" applyFont="1" applyFill="1" applyAlignment="1">
      <alignment horizontal="left" wrapText="1"/>
    </xf>
    <xf numFmtId="0" fontId="6" fillId="4" borderId="0" xfId="0" applyFont="1" applyFill="1" applyAlignment="1">
      <alignment horizontal="left" wrapText="1"/>
    </xf>
    <xf numFmtId="0" fontId="66" fillId="0" borderId="0" xfId="0" applyFont="1" applyFill="1" applyAlignment="1">
      <alignment horizontal="left" vertical="top" wrapText="1"/>
    </xf>
    <xf numFmtId="49" fontId="47" fillId="27" borderId="36" xfId="0" applyNumberFormat="1" applyFont="1" applyFill="1" applyBorder="1" applyAlignment="1">
      <alignment horizontal="left" vertical="center" wrapText="1"/>
    </xf>
    <xf numFmtId="49" fontId="47" fillId="27" borderId="39" xfId="0" applyNumberFormat="1" applyFont="1" applyFill="1" applyBorder="1" applyAlignment="1">
      <alignment horizontal="center" vertical="center" wrapText="1"/>
    </xf>
    <xf numFmtId="0" fontId="1" fillId="4" borderId="0" xfId="0" applyFont="1" applyFill="1" applyAlignment="1">
      <alignment horizontal="left" vertical="top" wrapText="1"/>
    </xf>
  </cellXfs>
  <cellStyles count="353">
    <cellStyle name=" 1" xfId="25" xr:uid="{00000000-0005-0000-0000-000000000000}"/>
    <cellStyle name=" 2" xfId="26" xr:uid="{00000000-0005-0000-0000-000001000000}"/>
    <cellStyle name=" 3" xfId="27" xr:uid="{00000000-0005-0000-0000-000002000000}"/>
    <cellStyle name="]_x000d__x000a_Zoomed=1_x000d__x000a_Row=0_x000d__x000a_Column=0_x000d__x000a_Height=0_x000d__x000a_Width=0_x000d__x000a_FontName=FoxFont_x000d__x000a_FontStyle=0_x000d__x000a_FontSize=9_x000d__x000a_PrtFontName=FoxPrin" xfId="28" xr:uid="{00000000-0005-0000-0000-000003000000}"/>
    <cellStyle name="]_x000d__x000a_Zoomed=1_x000d__x000a_Row=0_x000d__x000a_Column=0_x000d__x000a_Height=0_x000d__x000a_Width=0_x000d__x000a_FontName=FoxFont_x000d__x000a_FontStyle=0_x000d__x000a_FontSize=9_x000d__x000a_PrtFontName=FoxPrin 2" xfId="29" xr:uid="{00000000-0005-0000-0000-000004000000}"/>
    <cellStyle name="]_x000d__x000a_Zoomed=1_x000d__x000a_Row=0_x000d__x000a_Column=0_x000d__x000a_Height=0_x000d__x000a_Width=0_x000d__x000a_FontName=FoxFont_x000d__x000a_FontStyle=0_x000d__x000a_FontSize=9_x000d__x000a_PrtFontName=FoxPrin 2 2" xfId="30" xr:uid="{00000000-0005-0000-0000-000005000000}"/>
    <cellStyle name="]_x000d__x000a_Zoomed=1_x000d__x000a_Row=0_x000d__x000a_Column=0_x000d__x000a_Height=0_x000d__x000a_Width=0_x000d__x000a_FontName=FoxFont_x000d__x000a_FontStyle=0_x000d__x000a_FontSize=9_x000d__x000a_PrtFontName=FoxPrin 3" xfId="31" xr:uid="{00000000-0005-0000-0000-000006000000}"/>
    <cellStyle name="]_x000d__x000a_Zoomed=1_x000d__x000a_Row=0_x000d__x000a_Column=0_x000d__x000a_Height=0_x000d__x000a_Width=0_x000d__x000a_FontName=FoxFont_x000d__x000a_FontStyle=0_x000d__x000a_FontSize=9_x000d__x000a_PrtFontName=FoxPrin 3 2" xfId="32" xr:uid="{00000000-0005-0000-0000-000007000000}"/>
    <cellStyle name="]_x000d__x000a_Zoomed=1_x000d__x000a_Row=0_x000d__x000a_Column=0_x000d__x000a_Height=0_x000d__x000a_Width=0_x000d__x000a_FontName=FoxFont_x000d__x000a_FontStyle=0_x000d__x000a_FontSize=9_x000d__x000a_PrtFontName=FoxPrin 3_All Schools2" xfId="33" xr:uid="{00000000-0005-0000-0000-000008000000}"/>
    <cellStyle name="]_x000d__x000a_Zoomed=1_x000d__x000a_Row=0_x000d__x000a_Column=0_x000d__x000a_Height=0_x000d__x000a_Width=0_x000d__x000a_FontName=FoxFont_x000d__x000a_FontStyle=0_x000d__x000a_FontSize=9_x000d__x000a_PrtFontName=FoxPrin_All Schools2" xfId="34" xr:uid="{00000000-0005-0000-0000-000009000000}"/>
    <cellStyle name="20% - Accent1 2" xfId="35" xr:uid="{00000000-0005-0000-0000-00000A000000}"/>
    <cellStyle name="20% - Accent1 2 2" xfId="36" xr:uid="{00000000-0005-0000-0000-00000B000000}"/>
    <cellStyle name="20% - Accent2 2" xfId="37" xr:uid="{00000000-0005-0000-0000-00000C000000}"/>
    <cellStyle name="20% - Accent2 2 2" xfId="38" xr:uid="{00000000-0005-0000-0000-00000D000000}"/>
    <cellStyle name="20% - Accent3 2" xfId="39" xr:uid="{00000000-0005-0000-0000-00000E000000}"/>
    <cellStyle name="20% - Accent3 2 2" xfId="40" xr:uid="{00000000-0005-0000-0000-00000F000000}"/>
    <cellStyle name="20% - Accent4 2" xfId="41" xr:uid="{00000000-0005-0000-0000-000010000000}"/>
    <cellStyle name="20% - Accent4 2 2" xfId="42" xr:uid="{00000000-0005-0000-0000-000011000000}"/>
    <cellStyle name="20% - Accent5 2" xfId="43" xr:uid="{00000000-0005-0000-0000-000012000000}"/>
    <cellStyle name="20% - Accent5 2 2" xfId="44" xr:uid="{00000000-0005-0000-0000-000013000000}"/>
    <cellStyle name="20% - Accent6 2" xfId="45" xr:uid="{00000000-0005-0000-0000-000014000000}"/>
    <cellStyle name="20% - Accent6 2 2" xfId="46" xr:uid="{00000000-0005-0000-0000-000015000000}"/>
    <cellStyle name="40% - Accent1 2" xfId="47" xr:uid="{00000000-0005-0000-0000-000016000000}"/>
    <cellStyle name="40% - Accent1 2 2" xfId="48" xr:uid="{00000000-0005-0000-0000-000017000000}"/>
    <cellStyle name="40% - Accent2 2" xfId="49" xr:uid="{00000000-0005-0000-0000-000018000000}"/>
    <cellStyle name="40% - Accent2 2 2" xfId="50" xr:uid="{00000000-0005-0000-0000-000019000000}"/>
    <cellStyle name="40% - Accent3 2" xfId="51" xr:uid="{00000000-0005-0000-0000-00001A000000}"/>
    <cellStyle name="40% - Accent3 2 2" xfId="52" xr:uid="{00000000-0005-0000-0000-00001B000000}"/>
    <cellStyle name="40% - Accent4 2" xfId="53" xr:uid="{00000000-0005-0000-0000-00001C000000}"/>
    <cellStyle name="40% - Accent4 2 2" xfId="54" xr:uid="{00000000-0005-0000-0000-00001D000000}"/>
    <cellStyle name="40% - Accent5 2" xfId="55" xr:uid="{00000000-0005-0000-0000-00001E000000}"/>
    <cellStyle name="40% - Accent5 2 2" xfId="56" xr:uid="{00000000-0005-0000-0000-00001F000000}"/>
    <cellStyle name="40% - Accent6 2" xfId="57" xr:uid="{00000000-0005-0000-0000-000020000000}"/>
    <cellStyle name="40% - Accent6 2 2" xfId="58" xr:uid="{00000000-0005-0000-0000-000021000000}"/>
    <cellStyle name="60% - Accent1 2" xfId="59" xr:uid="{00000000-0005-0000-0000-000022000000}"/>
    <cellStyle name="60% - Accent2 2" xfId="60" xr:uid="{00000000-0005-0000-0000-000023000000}"/>
    <cellStyle name="60% - Accent3 2" xfId="61" xr:uid="{00000000-0005-0000-0000-000024000000}"/>
    <cellStyle name="60% - Accent4 2" xfId="62" xr:uid="{00000000-0005-0000-0000-000025000000}"/>
    <cellStyle name="60% - Accent5 2" xfId="63" xr:uid="{00000000-0005-0000-0000-000026000000}"/>
    <cellStyle name="60% - Accent6 2" xfId="64" xr:uid="{00000000-0005-0000-0000-000027000000}"/>
    <cellStyle name="Accent1 2" xfId="65" xr:uid="{00000000-0005-0000-0000-000028000000}"/>
    <cellStyle name="Accent2 2" xfId="66" xr:uid="{00000000-0005-0000-0000-000029000000}"/>
    <cellStyle name="Accent3 2" xfId="67" xr:uid="{00000000-0005-0000-0000-00002A000000}"/>
    <cellStyle name="Accent4 2" xfId="68" xr:uid="{00000000-0005-0000-0000-00002B000000}"/>
    <cellStyle name="Accent5 2" xfId="69" xr:uid="{00000000-0005-0000-0000-00002C000000}"/>
    <cellStyle name="Accent6 2" xfId="70" xr:uid="{00000000-0005-0000-0000-00002D000000}"/>
    <cellStyle name="Bad 2" xfId="71" xr:uid="{00000000-0005-0000-0000-00002E000000}"/>
    <cellStyle name="Calculation 2" xfId="72" xr:uid="{00000000-0005-0000-0000-00002F000000}"/>
    <cellStyle name="Check Cell 2" xfId="73" xr:uid="{00000000-0005-0000-0000-000030000000}"/>
    <cellStyle name="Comma 2" xfId="3" xr:uid="{00000000-0005-0000-0000-000031000000}"/>
    <cellStyle name="Comma 2 2" xfId="180" xr:uid="{00000000-0005-0000-0000-000032000000}"/>
    <cellStyle name="Comma 2 2 2" xfId="237" xr:uid="{00000000-0005-0000-0000-000033000000}"/>
    <cellStyle name="Comma 2 2 3" xfId="259" xr:uid="{00000000-0005-0000-0000-000034000000}"/>
    <cellStyle name="Comma 2 2 4" xfId="274" xr:uid="{00000000-0005-0000-0000-000035000000}"/>
    <cellStyle name="Comma 2 3" xfId="75" xr:uid="{00000000-0005-0000-0000-000036000000}"/>
    <cellStyle name="Comma 2 3 2" xfId="230" xr:uid="{00000000-0005-0000-0000-000037000000}"/>
    <cellStyle name="Comma 2 3 2 2" xfId="318" xr:uid="{00000000-0005-0000-0000-000038000000}"/>
    <cellStyle name="Comma 2 3 3" xfId="252" xr:uid="{00000000-0005-0000-0000-000039000000}"/>
    <cellStyle name="Comma 2 3 4" xfId="275" xr:uid="{00000000-0005-0000-0000-00003A000000}"/>
    <cellStyle name="Comma 2 4" xfId="210" xr:uid="{00000000-0005-0000-0000-00003B000000}"/>
    <cellStyle name="Comma 2 4 2" xfId="245" xr:uid="{00000000-0005-0000-0000-00003C000000}"/>
    <cellStyle name="Comma 2 4 3" xfId="267" xr:uid="{00000000-0005-0000-0000-00003D000000}"/>
    <cellStyle name="Comma 2 5" xfId="227" xr:uid="{00000000-0005-0000-0000-00003E000000}"/>
    <cellStyle name="Comma 2 6" xfId="249" xr:uid="{00000000-0005-0000-0000-00003F000000}"/>
    <cellStyle name="Comma 2 7" xfId="273" xr:uid="{00000000-0005-0000-0000-000040000000}"/>
    <cellStyle name="Comma 2 8" xfId="339" xr:uid="{00000000-0005-0000-0000-000041000000}"/>
    <cellStyle name="Comma 3" xfId="14" xr:uid="{00000000-0005-0000-0000-000042000000}"/>
    <cellStyle name="Comma 3 2" xfId="181" xr:uid="{00000000-0005-0000-0000-000043000000}"/>
    <cellStyle name="Comma 3 2 2" xfId="238" xr:uid="{00000000-0005-0000-0000-000044000000}"/>
    <cellStyle name="Comma 3 2 3" xfId="260" xr:uid="{00000000-0005-0000-0000-000045000000}"/>
    <cellStyle name="Comma 3 2 4" xfId="277" xr:uid="{00000000-0005-0000-0000-000046000000}"/>
    <cellStyle name="Comma 3 3" xfId="76" xr:uid="{00000000-0005-0000-0000-000047000000}"/>
    <cellStyle name="Comma 3 3 2" xfId="231" xr:uid="{00000000-0005-0000-0000-000048000000}"/>
    <cellStyle name="Comma 3 3 3" xfId="253" xr:uid="{00000000-0005-0000-0000-000049000000}"/>
    <cellStyle name="Comma 3 4" xfId="228" xr:uid="{00000000-0005-0000-0000-00004A000000}"/>
    <cellStyle name="Comma 3 5" xfId="250" xr:uid="{00000000-0005-0000-0000-00004B000000}"/>
    <cellStyle name="Comma 3 6" xfId="276" xr:uid="{00000000-0005-0000-0000-00004C000000}"/>
    <cellStyle name="Comma 4" xfId="77" xr:uid="{00000000-0005-0000-0000-00004D000000}"/>
    <cellStyle name="Comma 4 2" xfId="78" xr:uid="{00000000-0005-0000-0000-00004E000000}"/>
    <cellStyle name="Comma 4 2 2" xfId="183" xr:uid="{00000000-0005-0000-0000-00004F000000}"/>
    <cellStyle name="Comma 4 2 2 2" xfId="240" xr:uid="{00000000-0005-0000-0000-000050000000}"/>
    <cellStyle name="Comma 4 2 2 3" xfId="262" xr:uid="{00000000-0005-0000-0000-000051000000}"/>
    <cellStyle name="Comma 4 2 2 4" xfId="280" xr:uid="{00000000-0005-0000-0000-000052000000}"/>
    <cellStyle name="Comma 4 2 3" xfId="233" xr:uid="{00000000-0005-0000-0000-000053000000}"/>
    <cellStyle name="Comma 4 2 4" xfId="255" xr:uid="{00000000-0005-0000-0000-000054000000}"/>
    <cellStyle name="Comma 4 2 5" xfId="279" xr:uid="{00000000-0005-0000-0000-000055000000}"/>
    <cellStyle name="Comma 4 3" xfId="182" xr:uid="{00000000-0005-0000-0000-000056000000}"/>
    <cellStyle name="Comma 4 3 2" xfId="239" xr:uid="{00000000-0005-0000-0000-000057000000}"/>
    <cellStyle name="Comma 4 3 3" xfId="261" xr:uid="{00000000-0005-0000-0000-000058000000}"/>
    <cellStyle name="Comma 4 3 4" xfId="281" xr:uid="{00000000-0005-0000-0000-000059000000}"/>
    <cellStyle name="Comma 4 4" xfId="232" xr:uid="{00000000-0005-0000-0000-00005A000000}"/>
    <cellStyle name="Comma 4 5" xfId="254" xr:uid="{00000000-0005-0000-0000-00005B000000}"/>
    <cellStyle name="Comma 4 6" xfId="278" xr:uid="{00000000-0005-0000-0000-00005C000000}"/>
    <cellStyle name="Comma 5" xfId="79" xr:uid="{00000000-0005-0000-0000-00005D000000}"/>
    <cellStyle name="Comma 5 2" xfId="80" xr:uid="{00000000-0005-0000-0000-00005E000000}"/>
    <cellStyle name="Comma 5 2 2" xfId="185" xr:uid="{00000000-0005-0000-0000-00005F000000}"/>
    <cellStyle name="Comma 5 2 2 2" xfId="242" xr:uid="{00000000-0005-0000-0000-000060000000}"/>
    <cellStyle name="Comma 5 2 2 3" xfId="264" xr:uid="{00000000-0005-0000-0000-000061000000}"/>
    <cellStyle name="Comma 5 2 2 4" xfId="284" xr:uid="{00000000-0005-0000-0000-000062000000}"/>
    <cellStyle name="Comma 5 2 3" xfId="235" xr:uid="{00000000-0005-0000-0000-000063000000}"/>
    <cellStyle name="Comma 5 2 4" xfId="257" xr:uid="{00000000-0005-0000-0000-000064000000}"/>
    <cellStyle name="Comma 5 2 5" xfId="283" xr:uid="{00000000-0005-0000-0000-000065000000}"/>
    <cellStyle name="Comma 5 3" xfId="184" xr:uid="{00000000-0005-0000-0000-000066000000}"/>
    <cellStyle name="Comma 5 3 2" xfId="241" xr:uid="{00000000-0005-0000-0000-000067000000}"/>
    <cellStyle name="Comma 5 3 3" xfId="263" xr:uid="{00000000-0005-0000-0000-000068000000}"/>
    <cellStyle name="Comma 5 3 4" xfId="285" xr:uid="{00000000-0005-0000-0000-000069000000}"/>
    <cellStyle name="Comma 5 4" xfId="234" xr:uid="{00000000-0005-0000-0000-00006A000000}"/>
    <cellStyle name="Comma 5 5" xfId="256" xr:uid="{00000000-0005-0000-0000-00006B000000}"/>
    <cellStyle name="Comma 5 6" xfId="282" xr:uid="{00000000-0005-0000-0000-00006C000000}"/>
    <cellStyle name="Comma 6" xfId="81" xr:uid="{00000000-0005-0000-0000-00006D000000}"/>
    <cellStyle name="Comma 6 2" xfId="236" xr:uid="{00000000-0005-0000-0000-00006E000000}"/>
    <cellStyle name="Comma 6 2 2" xfId="319" xr:uid="{00000000-0005-0000-0000-00006F000000}"/>
    <cellStyle name="Comma 6 3" xfId="258" xr:uid="{00000000-0005-0000-0000-000070000000}"/>
    <cellStyle name="Comma 6 4" xfId="286" xr:uid="{00000000-0005-0000-0000-000071000000}"/>
    <cellStyle name="Comma 7" xfId="74" xr:uid="{00000000-0005-0000-0000-000072000000}"/>
    <cellStyle name="Comma 7 2" xfId="229" xr:uid="{00000000-0005-0000-0000-000073000000}"/>
    <cellStyle name="Comma 7 3" xfId="251" xr:uid="{00000000-0005-0000-0000-000074000000}"/>
    <cellStyle name="Comma 7 4" xfId="287" xr:uid="{00000000-0005-0000-0000-000075000000}"/>
    <cellStyle name="Comma 8" xfId="203" xr:uid="{00000000-0005-0000-0000-000076000000}"/>
    <cellStyle name="Comma 8 2" xfId="243" xr:uid="{00000000-0005-0000-0000-000077000000}"/>
    <cellStyle name="Comma 8 3" xfId="265" xr:uid="{00000000-0005-0000-0000-000078000000}"/>
    <cellStyle name="Comma 8 4" xfId="288" xr:uid="{00000000-0005-0000-0000-000079000000}"/>
    <cellStyle name="Comma 9" xfId="207" xr:uid="{00000000-0005-0000-0000-00007A000000}"/>
    <cellStyle name="Comma 9 2" xfId="244" xr:uid="{00000000-0005-0000-0000-00007B000000}"/>
    <cellStyle name="Comma 9 2 2" xfId="320" xr:uid="{00000000-0005-0000-0000-00007C000000}"/>
    <cellStyle name="Comma 9 3" xfId="266" xr:uid="{00000000-0005-0000-0000-00007D000000}"/>
    <cellStyle name="Comma 9 4" xfId="289" xr:uid="{00000000-0005-0000-0000-00007E000000}"/>
    <cellStyle name="Explanatory Text 2" xfId="82" xr:uid="{00000000-0005-0000-0000-00007F000000}"/>
    <cellStyle name="Good 2" xfId="83" xr:uid="{00000000-0005-0000-0000-000080000000}"/>
    <cellStyle name="Heading 1 2" xfId="84" xr:uid="{00000000-0005-0000-0000-000081000000}"/>
    <cellStyle name="Heading 2 2" xfId="85" xr:uid="{00000000-0005-0000-0000-000082000000}"/>
    <cellStyle name="Heading 3 2" xfId="86" xr:uid="{00000000-0005-0000-0000-000083000000}"/>
    <cellStyle name="Heading 4 2" xfId="87" xr:uid="{00000000-0005-0000-0000-000084000000}"/>
    <cellStyle name="Hyperlink" xfId="22" builtinId="8"/>
    <cellStyle name="Hyperlink 2" xfId="5" xr:uid="{00000000-0005-0000-0000-000086000000}"/>
    <cellStyle name="Hyperlink 2 2" xfId="88" xr:uid="{00000000-0005-0000-0000-000087000000}"/>
    <cellStyle name="Hyperlink 2 3" xfId="290" xr:uid="{00000000-0005-0000-0000-000088000000}"/>
    <cellStyle name="Hyperlink 3" xfId="20" xr:uid="{00000000-0005-0000-0000-000089000000}"/>
    <cellStyle name="Hyperlink 3 2" xfId="89" xr:uid="{00000000-0005-0000-0000-00008A000000}"/>
    <cellStyle name="Hyperlink 3 2 2" xfId="291" xr:uid="{00000000-0005-0000-0000-00008B000000}"/>
    <cellStyle name="Hyperlink 3 3" xfId="211" xr:uid="{00000000-0005-0000-0000-00008C000000}"/>
    <cellStyle name="Hyperlink 4" xfId="4" xr:uid="{00000000-0005-0000-0000-00008D000000}"/>
    <cellStyle name="Hyperlink 4 2" xfId="348" xr:uid="{00000000-0005-0000-0000-00008E000000}"/>
    <cellStyle name="Hyperlink 5" xfId="90" xr:uid="{00000000-0005-0000-0000-00008F000000}"/>
    <cellStyle name="Hyperlink 6" xfId="292" xr:uid="{00000000-0005-0000-0000-000090000000}"/>
    <cellStyle name="Input 2" xfId="91" xr:uid="{00000000-0005-0000-0000-000091000000}"/>
    <cellStyle name="Linked Cell 2" xfId="92" xr:uid="{00000000-0005-0000-0000-000092000000}"/>
    <cellStyle name="Neutral 2" xfId="93" xr:uid="{00000000-0005-0000-0000-000093000000}"/>
    <cellStyle name="Normal" xfId="0" builtinId="0"/>
    <cellStyle name="Normal 10" xfId="2" xr:uid="{00000000-0005-0000-0000-000095000000}"/>
    <cellStyle name="Normal 10 2" xfId="95" xr:uid="{00000000-0005-0000-0000-000096000000}"/>
    <cellStyle name="Normal 10 2 2" xfId="346" xr:uid="{00000000-0005-0000-0000-000097000000}"/>
    <cellStyle name="Normal 10 3" xfId="94" xr:uid="{00000000-0005-0000-0000-000098000000}"/>
    <cellStyle name="Normal 10 3 2" xfId="293" xr:uid="{00000000-0005-0000-0000-000099000000}"/>
    <cellStyle name="Normal 10 4" xfId="212" xr:uid="{00000000-0005-0000-0000-00009A000000}"/>
    <cellStyle name="Normal 10 5" xfId="345" xr:uid="{00000000-0005-0000-0000-00009B000000}"/>
    <cellStyle name="Normal 11" xfId="96" xr:uid="{00000000-0005-0000-0000-00009C000000}"/>
    <cellStyle name="Normal 11 2" xfId="349" xr:uid="{00000000-0005-0000-0000-00009D000000}"/>
    <cellStyle name="Normal 12" xfId="97" xr:uid="{00000000-0005-0000-0000-00009E000000}"/>
    <cellStyle name="Normal 12 2" xfId="98" xr:uid="{00000000-0005-0000-0000-00009F000000}"/>
    <cellStyle name="Normal 12 3" xfId="350" xr:uid="{00000000-0005-0000-0000-0000A0000000}"/>
    <cellStyle name="Normal 128" xfId="213" xr:uid="{00000000-0005-0000-0000-0000A1000000}"/>
    <cellStyle name="Normal 128 2" xfId="321" xr:uid="{00000000-0005-0000-0000-0000A2000000}"/>
    <cellStyle name="Normal 128 3" xfId="294" xr:uid="{00000000-0005-0000-0000-0000A3000000}"/>
    <cellStyle name="Normal 13" xfId="99" xr:uid="{00000000-0005-0000-0000-0000A4000000}"/>
    <cellStyle name="Normal 13 2" xfId="352" xr:uid="{00000000-0005-0000-0000-0000A5000000}"/>
    <cellStyle name="Normal 14" xfId="100" xr:uid="{00000000-0005-0000-0000-0000A6000000}"/>
    <cellStyle name="Normal 14 2" xfId="101" xr:uid="{00000000-0005-0000-0000-0000A7000000}"/>
    <cellStyle name="Normal 15" xfId="102" xr:uid="{00000000-0005-0000-0000-0000A8000000}"/>
    <cellStyle name="Normal 16" xfId="103" xr:uid="{00000000-0005-0000-0000-0000A9000000}"/>
    <cellStyle name="Normal 17" xfId="104" xr:uid="{00000000-0005-0000-0000-0000AA000000}"/>
    <cellStyle name="Normal 18" xfId="105" xr:uid="{00000000-0005-0000-0000-0000AB000000}"/>
    <cellStyle name="Normal 19" xfId="106" xr:uid="{00000000-0005-0000-0000-0000AC000000}"/>
    <cellStyle name="Normal 2" xfId="6" xr:uid="{00000000-0005-0000-0000-0000AD000000}"/>
    <cellStyle name="Normal 2 2" xfId="7" xr:uid="{00000000-0005-0000-0000-0000AE000000}"/>
    <cellStyle name="Normal 2 2 2" xfId="107" xr:uid="{00000000-0005-0000-0000-0000AF000000}"/>
    <cellStyle name="Normal 2 2 2 2" xfId="108" xr:uid="{00000000-0005-0000-0000-0000B0000000}"/>
    <cellStyle name="Normal 2 2 2 3" xfId="323" xr:uid="{00000000-0005-0000-0000-0000B1000000}"/>
    <cellStyle name="Normal 2 2 2 4" xfId="296" xr:uid="{00000000-0005-0000-0000-0000B2000000}"/>
    <cellStyle name="Normal 2 2 3" xfId="109" xr:uid="{00000000-0005-0000-0000-0000B3000000}"/>
    <cellStyle name="Normal 2 2 4" xfId="322" xr:uid="{00000000-0005-0000-0000-0000B4000000}"/>
    <cellStyle name="Normal 2 2 5" xfId="295" xr:uid="{00000000-0005-0000-0000-0000B5000000}"/>
    <cellStyle name="Normal 2 2 6" xfId="340" xr:uid="{00000000-0005-0000-0000-0000B6000000}"/>
    <cellStyle name="Normal 2 3" xfId="18" xr:uid="{00000000-0005-0000-0000-0000B7000000}"/>
    <cellStyle name="Normal 2 3 2" xfId="110" xr:uid="{00000000-0005-0000-0000-0000B8000000}"/>
    <cellStyle name="Normal 2 3 2 2" xfId="297" xr:uid="{00000000-0005-0000-0000-0000B9000000}"/>
    <cellStyle name="Normal 2 3 3" xfId="214" xr:uid="{00000000-0005-0000-0000-0000BA000000}"/>
    <cellStyle name="Normal 2 4" xfId="23" xr:uid="{00000000-0005-0000-0000-0000BB000000}"/>
    <cellStyle name="Normal 2 4 2" xfId="111" xr:uid="{00000000-0005-0000-0000-0000BC000000}"/>
    <cellStyle name="Normal 2 4 2 2" xfId="298" xr:uid="{00000000-0005-0000-0000-0000BD000000}"/>
    <cellStyle name="Normal 2 4 3" xfId="215" xr:uid="{00000000-0005-0000-0000-0000BE000000}"/>
    <cellStyle name="Normal 2 4 4" xfId="216" xr:uid="{00000000-0005-0000-0000-0000BF000000}"/>
    <cellStyle name="Normal 2 5" xfId="186" xr:uid="{00000000-0005-0000-0000-0000C0000000}"/>
    <cellStyle name="Normal 2 6" xfId="299" xr:uid="{00000000-0005-0000-0000-0000C1000000}"/>
    <cellStyle name="Normal 2_Contents" xfId="246" xr:uid="{00000000-0005-0000-0000-0000C2000000}"/>
    <cellStyle name="Normal 20" xfId="112" xr:uid="{00000000-0005-0000-0000-0000C3000000}"/>
    <cellStyle name="Normal 20 2" xfId="324" xr:uid="{00000000-0005-0000-0000-0000C4000000}"/>
    <cellStyle name="Normal 20 3" xfId="300" xr:uid="{00000000-0005-0000-0000-0000C5000000}"/>
    <cellStyle name="Normal 21" xfId="24" xr:uid="{00000000-0005-0000-0000-0000C6000000}"/>
    <cellStyle name="Normal 22" xfId="179" xr:uid="{00000000-0005-0000-0000-0000C7000000}"/>
    <cellStyle name="Normal 22 2" xfId="325" xr:uid="{00000000-0005-0000-0000-0000C8000000}"/>
    <cellStyle name="Normal 22 3" xfId="301" xr:uid="{00000000-0005-0000-0000-0000C9000000}"/>
    <cellStyle name="Normal 23" xfId="204" xr:uid="{00000000-0005-0000-0000-0000CA000000}"/>
    <cellStyle name="Normal 24" xfId="206" xr:uid="{00000000-0005-0000-0000-0000CB000000}"/>
    <cellStyle name="Normal 24 2" xfId="326" xr:uid="{00000000-0005-0000-0000-0000CC000000}"/>
    <cellStyle name="Normal 24 3" xfId="302" xr:uid="{00000000-0005-0000-0000-0000CD000000}"/>
    <cellStyle name="Normal 25" xfId="1" xr:uid="{00000000-0005-0000-0000-0000CE000000}"/>
    <cellStyle name="Normal 25 2" xfId="315" xr:uid="{00000000-0005-0000-0000-0000CF000000}"/>
    <cellStyle name="Normal 26" xfId="336" xr:uid="{00000000-0005-0000-0000-0000D0000000}"/>
    <cellStyle name="Normal 27" xfId="337" xr:uid="{00000000-0005-0000-0000-0000D1000000}"/>
    <cellStyle name="Normal 28" xfId="269" xr:uid="{00000000-0005-0000-0000-0000D2000000}"/>
    <cellStyle name="Normal 29" xfId="338" xr:uid="{00000000-0005-0000-0000-0000D3000000}"/>
    <cellStyle name="Normal 3" xfId="8" xr:uid="{00000000-0005-0000-0000-0000D4000000}"/>
    <cellStyle name="Normal 3 2" xfId="114" xr:uid="{00000000-0005-0000-0000-0000D5000000}"/>
    <cellStyle name="Normal 3 2 2" xfId="115" xr:uid="{00000000-0005-0000-0000-0000D6000000}"/>
    <cellStyle name="Normal 3 3" xfId="116" xr:uid="{00000000-0005-0000-0000-0000D7000000}"/>
    <cellStyle name="Normal 3 4" xfId="117" xr:uid="{00000000-0005-0000-0000-0000D8000000}"/>
    <cellStyle name="Normal 3 5" xfId="187" xr:uid="{00000000-0005-0000-0000-0000D9000000}"/>
    <cellStyle name="Normal 3 6" xfId="113" xr:uid="{00000000-0005-0000-0000-0000DA000000}"/>
    <cellStyle name="Normal 3_Contents" xfId="247" xr:uid="{00000000-0005-0000-0000-0000DB000000}"/>
    <cellStyle name="Normal 4" xfId="9" xr:uid="{00000000-0005-0000-0000-0000DC000000}"/>
    <cellStyle name="Normal 4 2" xfId="118" xr:uid="{00000000-0005-0000-0000-0000DD000000}"/>
    <cellStyle name="Normal 4 3" xfId="119" xr:uid="{00000000-0005-0000-0000-0000DE000000}"/>
    <cellStyle name="Normal 4 4" xfId="217" xr:uid="{00000000-0005-0000-0000-0000DF000000}"/>
    <cellStyle name="Normal 4 5" xfId="218" xr:uid="{00000000-0005-0000-0000-0000E0000000}"/>
    <cellStyle name="Normal 4 5 2" xfId="327" xr:uid="{00000000-0005-0000-0000-0000E1000000}"/>
    <cellStyle name="Normal 4 5 3" xfId="303" xr:uid="{00000000-0005-0000-0000-0000E2000000}"/>
    <cellStyle name="Normal 4 6" xfId="341" xr:uid="{00000000-0005-0000-0000-0000E3000000}"/>
    <cellStyle name="Normal 5" xfId="10" xr:uid="{00000000-0005-0000-0000-0000E4000000}"/>
    <cellStyle name="Normal 5 10" xfId="270" xr:uid="{00000000-0005-0000-0000-0000E5000000}"/>
    <cellStyle name="Normal 5 2" xfId="121" xr:uid="{00000000-0005-0000-0000-0000E6000000}"/>
    <cellStyle name="Normal 5 2 2" xfId="122" xr:uid="{00000000-0005-0000-0000-0000E7000000}"/>
    <cellStyle name="Normal 5 3" xfId="123" xr:uid="{00000000-0005-0000-0000-0000E8000000}"/>
    <cellStyle name="Normal 5 3 2" xfId="124" xr:uid="{00000000-0005-0000-0000-0000E9000000}"/>
    <cellStyle name="Normal 5 4" xfId="125" xr:uid="{00000000-0005-0000-0000-0000EA000000}"/>
    <cellStyle name="Normal 5 5" xfId="126" xr:uid="{00000000-0005-0000-0000-0000EB000000}"/>
    <cellStyle name="Normal 5 6" xfId="188" xr:uid="{00000000-0005-0000-0000-0000EC000000}"/>
    <cellStyle name="Normal 5 7" xfId="120" xr:uid="{00000000-0005-0000-0000-0000ED000000}"/>
    <cellStyle name="Normal 5 7 2" xfId="304" xr:uid="{00000000-0005-0000-0000-0000EE000000}"/>
    <cellStyle name="Normal 5 8" xfId="219" xr:uid="{00000000-0005-0000-0000-0000EF000000}"/>
    <cellStyle name="Normal 5 9" xfId="316" xr:uid="{00000000-0005-0000-0000-0000F0000000}"/>
    <cellStyle name="Normal 5_Contents" xfId="248" xr:uid="{00000000-0005-0000-0000-0000F1000000}"/>
    <cellStyle name="Normal 6" xfId="15" xr:uid="{00000000-0005-0000-0000-0000F2000000}"/>
    <cellStyle name="Normal 6 2" xfId="128" xr:uid="{00000000-0005-0000-0000-0000F3000000}"/>
    <cellStyle name="Normal 6 3" xfId="129" xr:uid="{00000000-0005-0000-0000-0000F4000000}"/>
    <cellStyle name="Normal 6 3 2" xfId="130" xr:uid="{00000000-0005-0000-0000-0000F5000000}"/>
    <cellStyle name="Normal 6 3 3" xfId="328" xr:uid="{00000000-0005-0000-0000-0000F6000000}"/>
    <cellStyle name="Normal 6 3 4" xfId="305" xr:uid="{00000000-0005-0000-0000-0000F7000000}"/>
    <cellStyle name="Normal 6 4" xfId="131" xr:uid="{00000000-0005-0000-0000-0000F8000000}"/>
    <cellStyle name="Normal 6 5" xfId="189" xr:uid="{00000000-0005-0000-0000-0000F9000000}"/>
    <cellStyle name="Normal 6 6" xfId="127" xr:uid="{00000000-0005-0000-0000-0000FA000000}"/>
    <cellStyle name="Normal 6 6 2" xfId="306" xr:uid="{00000000-0005-0000-0000-0000FB000000}"/>
    <cellStyle name="Normal 6 7" xfId="220" xr:uid="{00000000-0005-0000-0000-0000FC000000}"/>
    <cellStyle name="Normal 7" xfId="17" xr:uid="{00000000-0005-0000-0000-0000FD000000}"/>
    <cellStyle name="Normal 7 2" xfId="133" xr:uid="{00000000-0005-0000-0000-0000FE000000}"/>
    <cellStyle name="Normal 7 2 2" xfId="191" xr:uid="{00000000-0005-0000-0000-0000FF000000}"/>
    <cellStyle name="Normal 7 2 3" xfId="221" xr:uid="{00000000-0005-0000-0000-000000010000}"/>
    <cellStyle name="Normal 7 2 3 2" xfId="329" xr:uid="{00000000-0005-0000-0000-000001010000}"/>
    <cellStyle name="Normal 7 2 3 3" xfId="307" xr:uid="{00000000-0005-0000-0000-000002010000}"/>
    <cellStyle name="Normal 7 2 4" xfId="222" xr:uid="{00000000-0005-0000-0000-000003010000}"/>
    <cellStyle name="Normal 7 3" xfId="134" xr:uid="{00000000-0005-0000-0000-000004010000}"/>
    <cellStyle name="Normal 7 3 2" xfId="192" xr:uid="{00000000-0005-0000-0000-000005010000}"/>
    <cellStyle name="Normal 7 4" xfId="190" xr:uid="{00000000-0005-0000-0000-000006010000}"/>
    <cellStyle name="Normal 7 5" xfId="132" xr:uid="{00000000-0005-0000-0000-000007010000}"/>
    <cellStyle name="Normal 7 5 2" xfId="330" xr:uid="{00000000-0005-0000-0000-000008010000}"/>
    <cellStyle name="Normal 7 5 3" xfId="308" xr:uid="{00000000-0005-0000-0000-000009010000}"/>
    <cellStyle name="Normal 7 6" xfId="223" xr:uid="{00000000-0005-0000-0000-00000A010000}"/>
    <cellStyle name="Normal 7 7" xfId="271" xr:uid="{00000000-0005-0000-0000-00000B010000}"/>
    <cellStyle name="Normal 7 8" xfId="342" xr:uid="{00000000-0005-0000-0000-00000C010000}"/>
    <cellStyle name="Normal 8" xfId="21" xr:uid="{00000000-0005-0000-0000-00000D010000}"/>
    <cellStyle name="Normal 8 2" xfId="136" xr:uid="{00000000-0005-0000-0000-00000E010000}"/>
    <cellStyle name="Normal 8 2 2" xfId="137" xr:uid="{00000000-0005-0000-0000-00000F010000}"/>
    <cellStyle name="Normal 8 3" xfId="138" xr:uid="{00000000-0005-0000-0000-000010010000}"/>
    <cellStyle name="Normal 8 3 2" xfId="194" xr:uid="{00000000-0005-0000-0000-000011010000}"/>
    <cellStyle name="Normal 8 4" xfId="193" xr:uid="{00000000-0005-0000-0000-000012010000}"/>
    <cellStyle name="Normal 8 5" xfId="135" xr:uid="{00000000-0005-0000-0000-000013010000}"/>
    <cellStyle name="Normal 8 5 2" xfId="331" xr:uid="{00000000-0005-0000-0000-000014010000}"/>
    <cellStyle name="Normal 8 5 3" xfId="309" xr:uid="{00000000-0005-0000-0000-000015010000}"/>
    <cellStyle name="Normal 8 6" xfId="224" xr:uid="{00000000-0005-0000-0000-000016010000}"/>
    <cellStyle name="Normal 8 7" xfId="343" xr:uid="{00000000-0005-0000-0000-000017010000}"/>
    <cellStyle name="Normal 9" xfId="19" xr:uid="{00000000-0005-0000-0000-000018010000}"/>
    <cellStyle name="Normal 9 2" xfId="140" xr:uid="{00000000-0005-0000-0000-000019010000}"/>
    <cellStyle name="Normal 9 3" xfId="195" xr:uid="{00000000-0005-0000-0000-00001A010000}"/>
    <cellStyle name="Normal 9 4" xfId="139" xr:uid="{00000000-0005-0000-0000-00001B010000}"/>
    <cellStyle name="Normal 9 4 2" xfId="332" xr:uid="{00000000-0005-0000-0000-00001C010000}"/>
    <cellStyle name="Normal 9 4 3" xfId="310" xr:uid="{00000000-0005-0000-0000-00001D010000}"/>
    <cellStyle name="Normal 9 5" xfId="225" xr:uid="{00000000-0005-0000-0000-00001E010000}"/>
    <cellStyle name="Normal 9 6" xfId="344" xr:uid="{00000000-0005-0000-0000-00001F010000}"/>
    <cellStyle name="Note 2" xfId="11" xr:uid="{00000000-0005-0000-0000-000020010000}"/>
    <cellStyle name="Note 2 2" xfId="141" xr:uid="{00000000-0005-0000-0000-000021010000}"/>
    <cellStyle name="Note 2 2 2" xfId="142" xr:uid="{00000000-0005-0000-0000-000022010000}"/>
    <cellStyle name="Note 2 3" xfId="143" xr:uid="{00000000-0005-0000-0000-000023010000}"/>
    <cellStyle name="Note 2 3 2" xfId="144" xr:uid="{00000000-0005-0000-0000-000024010000}"/>
    <cellStyle name="Note 2 4" xfId="145" xr:uid="{00000000-0005-0000-0000-000025010000}"/>
    <cellStyle name="Note 2 4 2" xfId="146" xr:uid="{00000000-0005-0000-0000-000026010000}"/>
    <cellStyle name="Note 2 5" xfId="147" xr:uid="{00000000-0005-0000-0000-000027010000}"/>
    <cellStyle name="Note 2 5 2" xfId="148" xr:uid="{00000000-0005-0000-0000-000028010000}"/>
    <cellStyle name="Note 2 6" xfId="149" xr:uid="{00000000-0005-0000-0000-000029010000}"/>
    <cellStyle name="Note 2 6 2" xfId="150" xr:uid="{00000000-0005-0000-0000-00002A010000}"/>
    <cellStyle name="Note 3" xfId="151" xr:uid="{00000000-0005-0000-0000-00002B010000}"/>
    <cellStyle name="Note 3 2" xfId="152" xr:uid="{00000000-0005-0000-0000-00002C010000}"/>
    <cellStyle name="Note 3 2 2" xfId="153" xr:uid="{00000000-0005-0000-0000-00002D010000}"/>
    <cellStyle name="Note 3 3" xfId="154" xr:uid="{00000000-0005-0000-0000-00002E010000}"/>
    <cellStyle name="Note 3 3 2" xfId="155" xr:uid="{00000000-0005-0000-0000-00002F010000}"/>
    <cellStyle name="Note 3 4" xfId="156" xr:uid="{00000000-0005-0000-0000-000030010000}"/>
    <cellStyle name="Note 4" xfId="157" xr:uid="{00000000-0005-0000-0000-000031010000}"/>
    <cellStyle name="Note 4 2" xfId="158" xr:uid="{00000000-0005-0000-0000-000032010000}"/>
    <cellStyle name="Note 5" xfId="159" xr:uid="{00000000-0005-0000-0000-000033010000}"/>
    <cellStyle name="Note 5 2" xfId="160" xr:uid="{00000000-0005-0000-0000-000034010000}"/>
    <cellStyle name="Note 6" xfId="161" xr:uid="{00000000-0005-0000-0000-000035010000}"/>
    <cellStyle name="Note 6 2" xfId="162" xr:uid="{00000000-0005-0000-0000-000036010000}"/>
    <cellStyle name="Note 7" xfId="163" xr:uid="{00000000-0005-0000-0000-000037010000}"/>
    <cellStyle name="Note 7 2" xfId="164" xr:uid="{00000000-0005-0000-0000-000038010000}"/>
    <cellStyle name="Note 8" xfId="165" xr:uid="{00000000-0005-0000-0000-000039010000}"/>
    <cellStyle name="Note 8 2" xfId="166" xr:uid="{00000000-0005-0000-0000-00003A010000}"/>
    <cellStyle name="Output 2" xfId="167" xr:uid="{00000000-0005-0000-0000-00003B010000}"/>
    <cellStyle name="Percent" xfId="268" builtinId="5"/>
    <cellStyle name="Percent 10" xfId="205" xr:uid="{00000000-0005-0000-0000-00003D010000}"/>
    <cellStyle name="Percent 11" xfId="208" xr:uid="{00000000-0005-0000-0000-00003E010000}"/>
    <cellStyle name="Percent 11 2" xfId="333" xr:uid="{00000000-0005-0000-0000-00003F010000}"/>
    <cellStyle name="Percent 11 3" xfId="311" xr:uid="{00000000-0005-0000-0000-000040010000}"/>
    <cellStyle name="Percent 12" xfId="209" xr:uid="{00000000-0005-0000-0000-000041010000}"/>
    <cellStyle name="Percent 12 2" xfId="317" xr:uid="{00000000-0005-0000-0000-000042010000}"/>
    <cellStyle name="Percent 2" xfId="12" xr:uid="{00000000-0005-0000-0000-000043010000}"/>
    <cellStyle name="Percent 2 2" xfId="196" xr:uid="{00000000-0005-0000-0000-000044010000}"/>
    <cellStyle name="Percent 2 3" xfId="169" xr:uid="{00000000-0005-0000-0000-000045010000}"/>
    <cellStyle name="Percent 2 3 2" xfId="312" xr:uid="{00000000-0005-0000-0000-000046010000}"/>
    <cellStyle name="Percent 2 4" xfId="226" xr:uid="{00000000-0005-0000-0000-000047010000}"/>
    <cellStyle name="Percent 3" xfId="13" xr:uid="{00000000-0005-0000-0000-000048010000}"/>
    <cellStyle name="Percent 4" xfId="16" xr:uid="{00000000-0005-0000-0000-000049010000}"/>
    <cellStyle name="Percent 4 2" xfId="197" xr:uid="{00000000-0005-0000-0000-00004A010000}"/>
    <cellStyle name="Percent 4 3" xfId="170" xr:uid="{00000000-0005-0000-0000-00004B010000}"/>
    <cellStyle name="Percent 4 4" xfId="347" xr:uid="{00000000-0005-0000-0000-00004C010000}"/>
    <cellStyle name="Percent 5" xfId="171" xr:uid="{00000000-0005-0000-0000-00004D010000}"/>
    <cellStyle name="Percent 5 2" xfId="172" xr:uid="{00000000-0005-0000-0000-00004E010000}"/>
    <cellStyle name="Percent 5 2 2" xfId="199" xr:uid="{00000000-0005-0000-0000-00004F010000}"/>
    <cellStyle name="Percent 5 3" xfId="198" xr:uid="{00000000-0005-0000-0000-000050010000}"/>
    <cellStyle name="Percent 5 4" xfId="351" xr:uid="{00000000-0005-0000-0000-000051010000}"/>
    <cellStyle name="Percent 6" xfId="173" xr:uid="{00000000-0005-0000-0000-000052010000}"/>
    <cellStyle name="Percent 6 2" xfId="174" xr:uid="{00000000-0005-0000-0000-000053010000}"/>
    <cellStyle name="Percent 6 2 2" xfId="201" xr:uid="{00000000-0005-0000-0000-000054010000}"/>
    <cellStyle name="Percent 6 3" xfId="200" xr:uid="{00000000-0005-0000-0000-000055010000}"/>
    <cellStyle name="Percent 7" xfId="175" xr:uid="{00000000-0005-0000-0000-000056010000}"/>
    <cellStyle name="Percent 7 2" xfId="334" xr:uid="{00000000-0005-0000-0000-000057010000}"/>
    <cellStyle name="Percent 7 3" xfId="313" xr:uid="{00000000-0005-0000-0000-000058010000}"/>
    <cellStyle name="Percent 8" xfId="168" xr:uid="{00000000-0005-0000-0000-000059010000}"/>
    <cellStyle name="Percent 9" xfId="202" xr:uid="{00000000-0005-0000-0000-00005A010000}"/>
    <cellStyle name="Percent 9 2" xfId="335" xr:uid="{00000000-0005-0000-0000-00005B010000}"/>
    <cellStyle name="Percent 9 3" xfId="314" xr:uid="{00000000-0005-0000-0000-00005C010000}"/>
    <cellStyle name="Title 2" xfId="176" xr:uid="{00000000-0005-0000-0000-00005D010000}"/>
    <cellStyle name="Total 2" xfId="177" xr:uid="{00000000-0005-0000-0000-00005E010000}"/>
    <cellStyle name="Tracking" xfId="272" xr:uid="{00000000-0005-0000-0000-00005F010000}"/>
    <cellStyle name="Warning Text 2" xfId="178" xr:uid="{00000000-0005-0000-0000-00006001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DC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4053840</xdr:colOff>
      <xdr:row>1</xdr:row>
      <xdr:rowOff>99060</xdr:rowOff>
    </xdr:from>
    <xdr:to>
      <xdr:col>2</xdr:col>
      <xdr:colOff>5308759</xdr:colOff>
      <xdr:row>1</xdr:row>
      <xdr:rowOff>1162050</xdr:rowOff>
    </xdr:to>
    <xdr:pic>
      <xdr:nvPicPr>
        <xdr:cNvPr id="5" name="Picture 4" descr="ofsted_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2820" y="281940"/>
          <a:ext cx="1254919" cy="1062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non-association-independent-schools-inspections-and-outcomes-management-information"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independent-schools-inspections-and-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10" Type="http://schemas.openxmlformats.org/officeDocument/2006/relationships/drawing" Target="../drawings/drawing1.xml"/><Relationship Id="rId4" Type="http://schemas.openxmlformats.org/officeDocument/2006/relationships/hyperlink" Target="mailto:psi@nationalarchives.gsi.gov.uk"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get-information-schools.service.gov.uk/" TargetMode="External"/><Relationship Id="rId2" Type="http://schemas.openxmlformats.org/officeDocument/2006/relationships/hyperlink" Target="http://www.legislation.gov.uk/uksi/2014/3283/contents/made" TargetMode="External"/><Relationship Id="rId1" Type="http://schemas.openxmlformats.org/officeDocument/2006/relationships/hyperlink" Target="https://www.gov.uk/government/publications/common-inspection-framework-education-skills-and-early-years-from-september-2015" TargetMode="External"/><Relationship Id="rId5" Type="http://schemas.openxmlformats.org/officeDocument/2006/relationships/printerSettings" Target="../printerSettings/printerSettings2.bin"/><Relationship Id="rId4" Type="http://schemas.openxmlformats.org/officeDocument/2006/relationships/hyperlink" Target="https://www.gov.uk/government/publications/education-inspection-framewor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sheetPr>
  <dimension ref="B2:E27"/>
  <sheetViews>
    <sheetView tabSelected="1" workbookViewId="0"/>
  </sheetViews>
  <sheetFormatPr defaultColWidth="8.85546875" defaultRowHeight="15" x14ac:dyDescent="0.25"/>
  <cols>
    <col min="1" max="1" width="2.5703125" style="62" customWidth="1"/>
    <col min="2" max="2" width="35.5703125" style="62" customWidth="1"/>
    <col min="3" max="3" width="80.5703125" style="62" customWidth="1"/>
    <col min="4" max="16384" width="8.85546875" style="62"/>
  </cols>
  <sheetData>
    <row r="2" spans="2:5" s="57" customFormat="1" ht="100.35" customHeight="1" x14ac:dyDescent="0.25">
      <c r="B2" s="338"/>
      <c r="C2" s="339"/>
      <c r="D2" s="186"/>
      <c r="E2" s="186"/>
    </row>
    <row r="3" spans="2:5" s="57" customFormat="1" ht="33" customHeight="1" x14ac:dyDescent="0.25">
      <c r="B3" s="337" t="s">
        <v>0</v>
      </c>
      <c r="C3" s="337"/>
      <c r="D3" s="186"/>
      <c r="E3" s="186"/>
    </row>
    <row r="4" spans="2:5" s="57" customFormat="1" x14ac:dyDescent="0.25">
      <c r="B4" s="187" t="s">
        <v>1</v>
      </c>
      <c r="C4" s="187" t="s">
        <v>2</v>
      </c>
      <c r="D4" s="186"/>
      <c r="E4" s="186"/>
    </row>
    <row r="5" spans="2:5" s="57" customFormat="1" x14ac:dyDescent="0.25">
      <c r="B5" s="187" t="s">
        <v>3</v>
      </c>
      <c r="C5" s="187" t="s">
        <v>4</v>
      </c>
      <c r="D5" s="186"/>
      <c r="E5" s="186"/>
    </row>
    <row r="6" spans="2:5" s="57" customFormat="1" x14ac:dyDescent="0.25">
      <c r="B6" s="187" t="s">
        <v>5</v>
      </c>
      <c r="C6" s="284" t="s">
        <v>3682</v>
      </c>
      <c r="D6" s="186"/>
      <c r="E6" s="186"/>
    </row>
    <row r="7" spans="2:5" s="57" customFormat="1" ht="17.100000000000001" customHeight="1" x14ac:dyDescent="0.25">
      <c r="B7" s="188" t="s">
        <v>6</v>
      </c>
      <c r="C7" s="187" t="s">
        <v>7</v>
      </c>
      <c r="D7" s="186"/>
      <c r="E7" s="186"/>
    </row>
    <row r="8" spans="2:5" s="57" customFormat="1" ht="30" x14ac:dyDescent="0.25">
      <c r="B8" s="189" t="s">
        <v>8</v>
      </c>
      <c r="C8" s="285" t="s">
        <v>2653</v>
      </c>
      <c r="D8" s="186"/>
      <c r="E8" s="58"/>
    </row>
    <row r="9" spans="2:5" s="57" customFormat="1" ht="30" x14ac:dyDescent="0.25">
      <c r="B9" s="189" t="s">
        <v>9</v>
      </c>
      <c r="C9" s="285" t="s">
        <v>2654</v>
      </c>
      <c r="D9" s="186"/>
      <c r="E9" s="58"/>
    </row>
    <row r="10" spans="2:5" s="57" customFormat="1" x14ac:dyDescent="0.25">
      <c r="B10" s="190" t="s">
        <v>10</v>
      </c>
      <c r="C10" s="191" t="s">
        <v>11</v>
      </c>
      <c r="D10" s="186"/>
      <c r="E10" s="186"/>
    </row>
    <row r="11" spans="2:5" s="57" customFormat="1" x14ac:dyDescent="0.25">
      <c r="B11" s="192" t="s">
        <v>12</v>
      </c>
      <c r="C11" s="192" t="s">
        <v>13</v>
      </c>
      <c r="D11" s="186"/>
      <c r="E11" s="186"/>
    </row>
    <row r="12" spans="2:5" s="57" customFormat="1" ht="18" customHeight="1" x14ac:dyDescent="0.25">
      <c r="B12" s="193" t="s">
        <v>14</v>
      </c>
      <c r="C12" s="59" t="s">
        <v>15</v>
      </c>
      <c r="D12" s="186"/>
      <c r="E12" s="186"/>
    </row>
    <row r="13" spans="2:5" s="57" customFormat="1" ht="17.45" customHeight="1" x14ac:dyDescent="0.25">
      <c r="B13" s="193" t="s">
        <v>16</v>
      </c>
      <c r="C13" s="59" t="s">
        <v>17</v>
      </c>
      <c r="D13" s="186"/>
      <c r="E13" s="186"/>
    </row>
    <row r="14" spans="2:5" s="57" customFormat="1" ht="75" x14ac:dyDescent="0.25">
      <c r="B14" s="192" t="s">
        <v>18</v>
      </c>
      <c r="C14" s="59" t="s">
        <v>19</v>
      </c>
      <c r="D14" s="186"/>
      <c r="E14" s="186"/>
    </row>
    <row r="15" spans="2:5" s="57" customFormat="1" ht="33" customHeight="1" x14ac:dyDescent="0.25">
      <c r="B15" s="193" t="s">
        <v>20</v>
      </c>
      <c r="C15" s="59" t="s">
        <v>21</v>
      </c>
      <c r="D15" s="186"/>
      <c r="E15" s="186"/>
    </row>
    <row r="16" spans="2:5" s="57" customFormat="1" ht="15.75" x14ac:dyDescent="0.25">
      <c r="B16" s="194"/>
      <c r="C16" s="195"/>
      <c r="D16" s="186"/>
      <c r="E16" s="186"/>
    </row>
    <row r="17" spans="2:3" s="57" customFormat="1" ht="15.75" x14ac:dyDescent="0.25">
      <c r="B17" s="196"/>
      <c r="C17" s="197"/>
    </row>
    <row r="18" spans="2:3" s="57" customFormat="1" ht="15.75" x14ac:dyDescent="0.25">
      <c r="B18" s="196" t="s">
        <v>2655</v>
      </c>
      <c r="C18" s="197"/>
    </row>
    <row r="19" spans="2:3" s="57" customFormat="1" ht="15.75" x14ac:dyDescent="0.25">
      <c r="B19" s="196"/>
      <c r="C19" s="198"/>
    </row>
    <row r="20" spans="2:3" s="57" customFormat="1" ht="15.75" x14ac:dyDescent="0.25">
      <c r="B20" s="196" t="s">
        <v>22</v>
      </c>
      <c r="C20" s="199"/>
    </row>
    <row r="21" spans="2:3" s="57" customFormat="1" ht="15.75" x14ac:dyDescent="0.25">
      <c r="B21" s="196" t="s">
        <v>23</v>
      </c>
      <c r="C21" s="199"/>
    </row>
    <row r="22" spans="2:3" s="57" customFormat="1" ht="15.75" x14ac:dyDescent="0.25">
      <c r="B22" s="200" t="s">
        <v>24</v>
      </c>
      <c r="C22" s="199"/>
    </row>
    <row r="23" spans="2:3" s="57" customFormat="1" ht="15.75" x14ac:dyDescent="0.25">
      <c r="B23" s="60" t="s">
        <v>25</v>
      </c>
      <c r="C23" s="61"/>
    </row>
    <row r="24" spans="2:3" s="57" customFormat="1" ht="15.75" x14ac:dyDescent="0.25">
      <c r="B24" s="196" t="s">
        <v>26</v>
      </c>
      <c r="C24" s="197"/>
    </row>
    <row r="25" spans="2:3" s="57" customFormat="1" ht="15.75" x14ac:dyDescent="0.25">
      <c r="B25" s="196" t="s">
        <v>27</v>
      </c>
      <c r="C25" s="197"/>
    </row>
    <row r="26" spans="2:3" s="57" customFormat="1" ht="15.75" x14ac:dyDescent="0.25">
      <c r="B26" s="60" t="s">
        <v>28</v>
      </c>
      <c r="C26" s="61"/>
    </row>
    <row r="27" spans="2:3" s="57" customFormat="1" ht="15.75" x14ac:dyDescent="0.25">
      <c r="B27" s="201"/>
      <c r="C27" s="202"/>
    </row>
  </sheetData>
  <mergeCells count="2">
    <mergeCell ref="B3:C3"/>
    <mergeCell ref="B2:C2"/>
  </mergeCells>
  <hyperlinks>
    <hyperlink ref="B23:C23" r:id="rId1" display="visit http://www.nationalarchives.gov.uk/doc/open-government-licence/" xr:uid="{00000000-0004-0000-0000-000000000000}"/>
    <hyperlink ref="B23" r:id="rId2" xr:uid="{00000000-0004-0000-0000-000001000000}"/>
    <hyperlink ref="B26:C26" r:id="rId3" display="psi@nationalarchives.gsi.gov.uk" xr:uid="{00000000-0004-0000-0000-000002000000}"/>
    <hyperlink ref="B26" r:id="rId4" xr:uid="{00000000-0004-0000-0000-000003000000}"/>
    <hyperlink ref="C12" r:id="rId5" xr:uid="{00000000-0004-0000-0000-000004000000}"/>
    <hyperlink ref="C13" r:id="rId6" xr:uid="{00000000-0004-0000-0000-000005000000}"/>
    <hyperlink ref="C15" r:id="rId7" xr:uid="{00000000-0004-0000-0000-000006000000}"/>
    <hyperlink ref="C14" r:id="rId8" xr:uid="{00000000-0004-0000-0000-000007000000}"/>
  </hyperlinks>
  <pageMargins left="0.7" right="0.7" top="0.75" bottom="0.75" header="0.3" footer="0.3"/>
  <pageSetup paperSize="9"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2D050"/>
  </sheetPr>
  <dimension ref="A1:IT1102"/>
  <sheetViews>
    <sheetView showGridLines="0" zoomScaleNormal="100" workbookViewId="0"/>
  </sheetViews>
  <sheetFormatPr defaultColWidth="9.140625" defaultRowHeight="15" x14ac:dyDescent="0.25"/>
  <cols>
    <col min="1" max="1" width="26.140625" style="269" customWidth="1"/>
    <col min="2" max="2" width="8.85546875" style="269" customWidth="1"/>
    <col min="3" max="3" width="10.85546875" style="269" bestFit="1" customWidth="1"/>
    <col min="4" max="4" width="53" style="269" bestFit="1" customWidth="1"/>
    <col min="5" max="5" width="37.42578125" style="269" customWidth="1"/>
    <col min="6" max="6" width="21.42578125" style="269" bestFit="1" customWidth="1"/>
    <col min="7" max="7" width="32.140625" style="269" bestFit="1" customWidth="1"/>
    <col min="8" max="8" width="32.140625" style="271" bestFit="1" customWidth="1"/>
    <col min="9" max="9" width="16.140625" style="271" bestFit="1" customWidth="1"/>
    <col min="10" max="10" width="14.42578125" style="269" bestFit="1" customWidth="1"/>
    <col min="11" max="11" width="35" style="269" bestFit="1" customWidth="1"/>
    <col min="12" max="12" width="24.42578125" style="269" bestFit="1" customWidth="1"/>
    <col min="13" max="13" width="33.42578125" style="269" bestFit="1" customWidth="1"/>
    <col min="14" max="14" width="34.85546875" style="269" customWidth="1"/>
    <col min="15" max="15" width="11.42578125" style="269" bestFit="1" customWidth="1"/>
    <col min="16" max="16" width="16.85546875" style="269" bestFit="1" customWidth="1"/>
    <col min="17" max="17" width="24.85546875" style="269" bestFit="1" customWidth="1"/>
    <col min="18" max="18" width="22.5703125" style="269" bestFit="1" customWidth="1"/>
    <col min="19" max="20" width="26.42578125" style="269" customWidth="1"/>
    <col min="21" max="21" width="22.42578125" style="269" bestFit="1" customWidth="1"/>
    <col min="22" max="22" width="54" style="269" bestFit="1" customWidth="1"/>
    <col min="23" max="23" width="31.140625" style="269" bestFit="1" customWidth="1"/>
    <col min="24" max="27" width="28.42578125" style="269" customWidth="1"/>
    <col min="28" max="28" width="34.5703125" style="269" customWidth="1"/>
    <col min="29" max="31" width="28.42578125" style="269" customWidth="1"/>
    <col min="32" max="32" width="25.140625" style="269" customWidth="1"/>
    <col min="33" max="126" width="40.140625" style="269" customWidth="1"/>
    <col min="127" max="127" width="42.5703125" style="269" bestFit="1" customWidth="1"/>
    <col min="128" max="248" width="40.140625" style="269" customWidth="1"/>
    <col min="249" max="249" width="23.140625" style="269" customWidth="1"/>
    <col min="250" max="250" width="59.42578125" style="269" bestFit="1" customWidth="1"/>
    <col min="251" max="251" width="31.140625" style="269" bestFit="1" customWidth="1"/>
    <col min="252" max="252" width="41.85546875" style="269" bestFit="1" customWidth="1"/>
    <col min="253" max="253" width="17.5703125" style="269" customWidth="1"/>
    <col min="254" max="254" width="41.85546875" style="269" bestFit="1" customWidth="1"/>
    <col min="255" max="16384" width="9.140625" style="269"/>
  </cols>
  <sheetData>
    <row r="1" spans="1:254" s="267" customFormat="1" x14ac:dyDescent="0.25">
      <c r="A1" s="272" t="s">
        <v>2678</v>
      </c>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c r="EJ1" s="266"/>
      <c r="EK1" s="266"/>
      <c r="EL1" s="266"/>
      <c r="EM1" s="266"/>
      <c r="EN1" s="266"/>
      <c r="EO1" s="266"/>
      <c r="EP1" s="266"/>
      <c r="EQ1" s="266"/>
      <c r="ER1" s="266"/>
      <c r="ES1" s="266"/>
      <c r="ET1" s="266"/>
      <c r="EU1" s="266"/>
      <c r="EV1" s="266"/>
      <c r="EW1" s="266"/>
      <c r="EX1" s="266"/>
      <c r="EY1" s="266"/>
      <c r="EZ1" s="266"/>
      <c r="FA1" s="266"/>
      <c r="FB1" s="266"/>
      <c r="FC1" s="266"/>
      <c r="FD1" s="266"/>
      <c r="FE1" s="266"/>
      <c r="FF1" s="266"/>
      <c r="FG1" s="266"/>
      <c r="FH1" s="266"/>
      <c r="FI1" s="266"/>
      <c r="FJ1" s="266"/>
      <c r="FK1" s="266"/>
      <c r="FL1" s="266"/>
      <c r="FM1" s="266"/>
      <c r="FN1" s="266"/>
      <c r="FO1" s="266"/>
      <c r="FP1" s="266"/>
      <c r="FQ1" s="266"/>
      <c r="FR1" s="266"/>
      <c r="FS1" s="266"/>
      <c r="FT1" s="266"/>
      <c r="FU1" s="266"/>
      <c r="FV1" s="266"/>
      <c r="FW1" s="266"/>
      <c r="FX1" s="266"/>
      <c r="FY1" s="266"/>
      <c r="FZ1" s="266"/>
      <c r="GA1" s="266"/>
      <c r="GB1" s="266"/>
      <c r="GC1" s="266"/>
      <c r="GD1" s="266"/>
      <c r="GE1" s="266"/>
      <c r="GF1" s="266"/>
      <c r="GG1" s="266"/>
      <c r="GH1" s="266"/>
      <c r="GI1" s="266"/>
      <c r="GJ1" s="266"/>
      <c r="GK1" s="266"/>
      <c r="GL1" s="266"/>
      <c r="GM1" s="266"/>
      <c r="GN1" s="266"/>
      <c r="GO1" s="266"/>
      <c r="GP1" s="266"/>
      <c r="GQ1" s="266"/>
      <c r="GR1" s="266"/>
      <c r="GS1" s="266"/>
      <c r="GT1" s="266"/>
      <c r="GU1" s="266"/>
      <c r="GV1" s="266"/>
      <c r="GW1" s="266"/>
      <c r="GX1" s="266"/>
      <c r="GY1" s="266"/>
      <c r="GZ1" s="266"/>
      <c r="HA1" s="266"/>
      <c r="HB1" s="266"/>
      <c r="HC1" s="266"/>
      <c r="HD1" s="266"/>
      <c r="HE1" s="266"/>
      <c r="HF1" s="266"/>
      <c r="HG1" s="266"/>
      <c r="HH1" s="266"/>
      <c r="HI1" s="266"/>
      <c r="HJ1" s="266"/>
      <c r="HK1" s="266"/>
      <c r="HL1" s="266"/>
      <c r="HM1" s="266"/>
      <c r="HN1" s="266"/>
      <c r="HO1" s="266"/>
      <c r="HP1" s="266"/>
      <c r="HQ1" s="266"/>
      <c r="HR1" s="266"/>
      <c r="HS1" s="266"/>
      <c r="HT1" s="266"/>
      <c r="HU1" s="266"/>
      <c r="HV1" s="266"/>
      <c r="HW1" s="266"/>
      <c r="HX1" s="266"/>
      <c r="HY1" s="266"/>
      <c r="HZ1" s="266"/>
      <c r="IA1" s="266"/>
      <c r="IB1" s="266"/>
      <c r="IC1" s="266"/>
      <c r="ID1" s="266"/>
      <c r="IE1" s="266"/>
      <c r="IF1" s="266"/>
      <c r="IG1" s="266"/>
      <c r="IH1" s="266"/>
      <c r="II1" s="266"/>
      <c r="IJ1" s="266"/>
      <c r="IK1" s="266"/>
      <c r="IL1" s="266"/>
      <c r="IM1" s="266"/>
      <c r="IN1" s="266"/>
      <c r="IO1" s="266"/>
      <c r="IP1" s="266"/>
      <c r="IQ1" s="266"/>
      <c r="IR1" s="266"/>
      <c r="IS1" s="266"/>
      <c r="IT1" s="266"/>
    </row>
    <row r="2" spans="1:254" s="267" customFormat="1" x14ac:dyDescent="0.25">
      <c r="A2" s="273" t="str">
        <f>Cover!C9</f>
        <v>Most recent inspections as at 31 December 2019, published by 31 December 2019</v>
      </c>
      <c r="B2" s="266"/>
      <c r="C2" s="268"/>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c r="FL2" s="266"/>
      <c r="FM2" s="266"/>
      <c r="FN2" s="266"/>
      <c r="FO2" s="266"/>
      <c r="FP2" s="266"/>
      <c r="FQ2" s="266"/>
      <c r="FR2" s="266"/>
      <c r="FS2" s="266"/>
      <c r="FT2" s="266"/>
      <c r="FU2" s="266"/>
      <c r="FV2" s="266"/>
      <c r="FW2" s="266"/>
      <c r="FX2" s="266"/>
      <c r="FY2" s="266"/>
      <c r="FZ2" s="266"/>
      <c r="GA2" s="266"/>
      <c r="GB2" s="266"/>
      <c r="GC2" s="266"/>
      <c r="GD2" s="266"/>
      <c r="GE2" s="266"/>
      <c r="GF2" s="266"/>
      <c r="GG2" s="266"/>
      <c r="GH2" s="266"/>
      <c r="GI2" s="266"/>
      <c r="GJ2" s="266"/>
      <c r="GK2" s="266"/>
      <c r="GL2" s="266"/>
      <c r="GM2" s="266"/>
      <c r="GN2" s="266"/>
      <c r="GO2" s="266"/>
      <c r="GP2" s="266"/>
      <c r="GQ2" s="266"/>
      <c r="GR2" s="266"/>
      <c r="GS2" s="266"/>
      <c r="GT2" s="266"/>
      <c r="GU2" s="266"/>
      <c r="GV2" s="266"/>
      <c r="GW2" s="266"/>
      <c r="GX2" s="266"/>
      <c r="GY2" s="266"/>
      <c r="GZ2" s="266"/>
      <c r="HA2" s="266"/>
      <c r="HB2" s="266"/>
      <c r="HC2" s="266"/>
      <c r="HD2" s="266"/>
      <c r="HE2" s="266"/>
      <c r="HF2" s="266"/>
      <c r="HG2" s="266"/>
      <c r="HH2" s="266"/>
      <c r="HI2" s="266"/>
      <c r="HJ2" s="266"/>
      <c r="HK2" s="266"/>
      <c r="HL2" s="266"/>
      <c r="HM2" s="266"/>
      <c r="HN2" s="266"/>
      <c r="HO2" s="266"/>
      <c r="HP2" s="266"/>
      <c r="HQ2" s="266"/>
      <c r="HR2" s="266"/>
      <c r="HS2" s="266"/>
      <c r="HT2" s="266"/>
      <c r="HU2" s="266"/>
      <c r="HV2" s="266"/>
      <c r="HW2" s="266"/>
      <c r="HX2" s="266"/>
      <c r="HY2" s="266"/>
      <c r="HZ2" s="266"/>
      <c r="IA2" s="266"/>
      <c r="IB2" s="266"/>
      <c r="IC2" s="266"/>
      <c r="ID2" s="266"/>
      <c r="IE2" s="266"/>
      <c r="IF2" s="266"/>
      <c r="IG2" s="266"/>
      <c r="IH2" s="266"/>
      <c r="II2" s="266"/>
      <c r="IJ2" s="266"/>
      <c r="IK2" s="266"/>
      <c r="IL2" s="266"/>
      <c r="IM2" s="266"/>
      <c r="IN2" s="266"/>
      <c r="IO2" s="266"/>
      <c r="IP2" s="266"/>
      <c r="IQ2" s="266"/>
      <c r="IR2" s="266"/>
      <c r="IS2" s="266"/>
      <c r="IT2" s="266"/>
    </row>
    <row r="3" spans="1:254" x14ac:dyDescent="0.25">
      <c r="H3" s="269"/>
      <c r="I3" s="269"/>
      <c r="AE3" s="270"/>
      <c r="AF3" s="270"/>
    </row>
    <row r="4" spans="1:254" s="317" customFormat="1" ht="45" x14ac:dyDescent="0.25">
      <c r="A4" s="315" t="s">
        <v>87</v>
      </c>
      <c r="B4" s="316" t="s">
        <v>90</v>
      </c>
      <c r="C4" s="316" t="s">
        <v>92</v>
      </c>
      <c r="D4" s="316" t="s">
        <v>94</v>
      </c>
      <c r="E4" s="316" t="s">
        <v>96</v>
      </c>
      <c r="F4" s="316" t="s">
        <v>104</v>
      </c>
      <c r="G4" s="316" t="s">
        <v>106</v>
      </c>
      <c r="H4" s="316" t="s">
        <v>56</v>
      </c>
      <c r="I4" s="316" t="s">
        <v>57</v>
      </c>
      <c r="J4" s="316" t="s">
        <v>122</v>
      </c>
      <c r="K4" s="316" t="s">
        <v>111</v>
      </c>
      <c r="L4" s="316" t="s">
        <v>421</v>
      </c>
      <c r="M4" s="316" t="s">
        <v>116</v>
      </c>
      <c r="N4" s="316" t="s">
        <v>2660</v>
      </c>
      <c r="O4" s="316" t="s">
        <v>119</v>
      </c>
      <c r="P4" s="316" t="s">
        <v>2661</v>
      </c>
      <c r="Q4" s="316" t="s">
        <v>2662</v>
      </c>
      <c r="R4" s="316" t="s">
        <v>124</v>
      </c>
      <c r="S4" s="316" t="s">
        <v>126</v>
      </c>
      <c r="T4" s="316" t="s">
        <v>128</v>
      </c>
      <c r="U4" s="316" t="s">
        <v>130</v>
      </c>
      <c r="V4" s="316" t="s">
        <v>132</v>
      </c>
      <c r="W4" s="316" t="s">
        <v>2663</v>
      </c>
      <c r="X4" s="316" t="s">
        <v>136</v>
      </c>
      <c r="Y4" s="316" t="s">
        <v>2656</v>
      </c>
      <c r="Z4" s="316" t="s">
        <v>2658</v>
      </c>
      <c r="AA4" s="316" t="s">
        <v>2657</v>
      </c>
      <c r="AB4" s="316" t="s">
        <v>137</v>
      </c>
      <c r="AC4" s="316" t="s">
        <v>141</v>
      </c>
      <c r="AD4" s="316" t="s">
        <v>2664</v>
      </c>
      <c r="AE4" s="316" t="s">
        <v>2665</v>
      </c>
      <c r="AF4" s="316" t="s">
        <v>210</v>
      </c>
      <c r="AG4" s="316" t="s">
        <v>2629</v>
      </c>
      <c r="AH4" s="316" t="s">
        <v>211</v>
      </c>
      <c r="AI4" s="316" t="s">
        <v>212</v>
      </c>
      <c r="AJ4" s="316" t="s">
        <v>213</v>
      </c>
      <c r="AK4" s="316" t="s">
        <v>214</v>
      </c>
      <c r="AL4" s="316" t="s">
        <v>215</v>
      </c>
      <c r="AM4" s="316" t="s">
        <v>216</v>
      </c>
      <c r="AN4" s="316" t="s">
        <v>217</v>
      </c>
      <c r="AO4" s="316" t="s">
        <v>218</v>
      </c>
      <c r="AP4" s="316" t="s">
        <v>219</v>
      </c>
      <c r="AQ4" s="316" t="s">
        <v>220</v>
      </c>
      <c r="AR4" s="316" t="s">
        <v>221</v>
      </c>
      <c r="AS4" s="316" t="s">
        <v>222</v>
      </c>
      <c r="AT4" s="316" t="s">
        <v>223</v>
      </c>
      <c r="AU4" s="316" t="s">
        <v>224</v>
      </c>
      <c r="AV4" s="316" t="s">
        <v>225</v>
      </c>
      <c r="AW4" s="316" t="s">
        <v>226</v>
      </c>
      <c r="AX4" s="316" t="s">
        <v>227</v>
      </c>
      <c r="AY4" s="316" t="s">
        <v>228</v>
      </c>
      <c r="AZ4" s="316" t="s">
        <v>229</v>
      </c>
      <c r="BA4" s="316" t="s">
        <v>230</v>
      </c>
      <c r="BB4" s="316" t="s">
        <v>231</v>
      </c>
      <c r="BC4" s="316" t="s">
        <v>232</v>
      </c>
      <c r="BD4" s="316" t="s">
        <v>233</v>
      </c>
      <c r="BE4" s="316" t="s">
        <v>234</v>
      </c>
      <c r="BF4" s="316" t="s">
        <v>235</v>
      </c>
      <c r="BG4" s="316" t="s">
        <v>236</v>
      </c>
      <c r="BH4" s="316" t="s">
        <v>237</v>
      </c>
      <c r="BI4" s="316" t="s">
        <v>238</v>
      </c>
      <c r="BJ4" s="316" t="s">
        <v>239</v>
      </c>
      <c r="BK4" s="316" t="s">
        <v>240</v>
      </c>
      <c r="BL4" s="316" t="s">
        <v>241</v>
      </c>
      <c r="BM4" s="316" t="s">
        <v>242</v>
      </c>
      <c r="BN4" s="316" t="s">
        <v>243</v>
      </c>
      <c r="BO4" s="316" t="s">
        <v>244</v>
      </c>
      <c r="BP4" s="316" t="s">
        <v>245</v>
      </c>
      <c r="BQ4" s="316" t="s">
        <v>246</v>
      </c>
      <c r="BR4" s="316" t="s">
        <v>247</v>
      </c>
      <c r="BS4" s="316" t="s">
        <v>248</v>
      </c>
      <c r="BT4" s="316" t="s">
        <v>249</v>
      </c>
      <c r="BU4" s="316" t="s">
        <v>250</v>
      </c>
      <c r="BV4" s="316" t="s">
        <v>251</v>
      </c>
      <c r="BW4" s="316" t="s">
        <v>252</v>
      </c>
      <c r="BX4" s="316" t="s">
        <v>253</v>
      </c>
      <c r="BY4" s="316" t="s">
        <v>254</v>
      </c>
      <c r="BZ4" s="316" t="s">
        <v>255</v>
      </c>
      <c r="CA4" s="316" t="s">
        <v>256</v>
      </c>
      <c r="CB4" s="316" t="s">
        <v>257</v>
      </c>
      <c r="CC4" s="316" t="s">
        <v>258</v>
      </c>
      <c r="CD4" s="316" t="s">
        <v>259</v>
      </c>
      <c r="CE4" s="316" t="s">
        <v>260</v>
      </c>
      <c r="CF4" s="316" t="s">
        <v>261</v>
      </c>
      <c r="CG4" s="316" t="s">
        <v>262</v>
      </c>
      <c r="CH4" s="316" t="s">
        <v>263</v>
      </c>
      <c r="CI4" s="316" t="s">
        <v>264</v>
      </c>
      <c r="CJ4" s="316" t="s">
        <v>265</v>
      </c>
      <c r="CK4" s="316" t="s">
        <v>266</v>
      </c>
      <c r="CL4" s="316" t="s">
        <v>267</v>
      </c>
      <c r="CM4" s="316" t="s">
        <v>268</v>
      </c>
      <c r="CN4" s="316" t="s">
        <v>269</v>
      </c>
      <c r="CO4" s="316" t="s">
        <v>270</v>
      </c>
      <c r="CP4" s="316" t="s">
        <v>271</v>
      </c>
      <c r="CQ4" s="316" t="s">
        <v>272</v>
      </c>
      <c r="CR4" s="316" t="s">
        <v>273</v>
      </c>
      <c r="CS4" s="316" t="s">
        <v>274</v>
      </c>
      <c r="CT4" s="316" t="s">
        <v>275</v>
      </c>
      <c r="CU4" s="316" t="s">
        <v>276</v>
      </c>
      <c r="CV4" s="316" t="s">
        <v>277</v>
      </c>
      <c r="CW4" s="316" t="s">
        <v>278</v>
      </c>
      <c r="CX4" s="316" t="s">
        <v>279</v>
      </c>
      <c r="CY4" s="316" t="s">
        <v>280</v>
      </c>
      <c r="CZ4" s="316" t="s">
        <v>281</v>
      </c>
      <c r="DA4" s="316" t="s">
        <v>282</v>
      </c>
      <c r="DB4" s="316" t="s">
        <v>283</v>
      </c>
      <c r="DC4" s="316" t="s">
        <v>284</v>
      </c>
      <c r="DD4" s="316" t="s">
        <v>285</v>
      </c>
      <c r="DE4" s="316" t="s">
        <v>286</v>
      </c>
      <c r="DF4" s="316" t="s">
        <v>287</v>
      </c>
      <c r="DG4" s="316" t="s">
        <v>288</v>
      </c>
      <c r="DH4" s="316" t="s">
        <v>289</v>
      </c>
      <c r="DI4" s="316" t="s">
        <v>290</v>
      </c>
      <c r="DJ4" s="316" t="s">
        <v>291</v>
      </c>
      <c r="DK4" s="316" t="s">
        <v>292</v>
      </c>
      <c r="DL4" s="316" t="s">
        <v>293</v>
      </c>
      <c r="DM4" s="316" t="s">
        <v>294</v>
      </c>
      <c r="DN4" s="316" t="s">
        <v>295</v>
      </c>
      <c r="DO4" s="316" t="s">
        <v>296</v>
      </c>
      <c r="DP4" s="316" t="s">
        <v>297</v>
      </c>
      <c r="DQ4" s="316" t="s">
        <v>298</v>
      </c>
      <c r="DR4" s="316" t="s">
        <v>299</v>
      </c>
      <c r="DS4" s="316" t="s">
        <v>300</v>
      </c>
      <c r="DT4" s="316" t="s">
        <v>301</v>
      </c>
      <c r="DU4" s="316" t="s">
        <v>302</v>
      </c>
      <c r="DV4" s="316" t="s">
        <v>2659</v>
      </c>
      <c r="DW4" s="316" t="s">
        <v>303</v>
      </c>
      <c r="DX4" s="316" t="s">
        <v>304</v>
      </c>
      <c r="DY4" s="316" t="s">
        <v>305</v>
      </c>
      <c r="DZ4" s="316" t="s">
        <v>306</v>
      </c>
      <c r="EA4" s="316" t="s">
        <v>307</v>
      </c>
      <c r="EB4" s="316" t="s">
        <v>308</v>
      </c>
      <c r="EC4" s="316" t="s">
        <v>309</v>
      </c>
      <c r="ED4" s="316" t="s">
        <v>310</v>
      </c>
      <c r="EE4" s="316" t="s">
        <v>311</v>
      </c>
      <c r="EF4" s="316" t="s">
        <v>312</v>
      </c>
      <c r="EG4" s="316" t="s">
        <v>313</v>
      </c>
      <c r="EH4" s="316" t="s">
        <v>314</v>
      </c>
      <c r="EI4" s="316" t="s">
        <v>315</v>
      </c>
      <c r="EJ4" s="316" t="s">
        <v>316</v>
      </c>
      <c r="EK4" s="316" t="s">
        <v>317</v>
      </c>
      <c r="EL4" s="316" t="s">
        <v>318</v>
      </c>
      <c r="EM4" s="316" t="s">
        <v>319</v>
      </c>
      <c r="EN4" s="316" t="s">
        <v>320</v>
      </c>
      <c r="EO4" s="316" t="s">
        <v>321</v>
      </c>
      <c r="EP4" s="316" t="s">
        <v>322</v>
      </c>
      <c r="EQ4" s="316" t="s">
        <v>323</v>
      </c>
      <c r="ER4" s="316" t="s">
        <v>324</v>
      </c>
      <c r="ES4" s="316" t="s">
        <v>325</v>
      </c>
      <c r="ET4" s="316" t="s">
        <v>326</v>
      </c>
      <c r="EU4" s="316" t="s">
        <v>327</v>
      </c>
      <c r="EV4" s="316" t="s">
        <v>328</v>
      </c>
      <c r="EW4" s="316" t="s">
        <v>329</v>
      </c>
      <c r="EX4" s="316" t="s">
        <v>330</v>
      </c>
      <c r="EY4" s="316" t="s">
        <v>331</v>
      </c>
      <c r="EZ4" s="316" t="s">
        <v>332</v>
      </c>
      <c r="FA4" s="316" t="s">
        <v>333</v>
      </c>
      <c r="FB4" s="316" t="s">
        <v>334</v>
      </c>
      <c r="FC4" s="316" t="s">
        <v>335</v>
      </c>
      <c r="FD4" s="316" t="s">
        <v>336</v>
      </c>
      <c r="FE4" s="316" t="s">
        <v>337</v>
      </c>
      <c r="FF4" s="316" t="s">
        <v>338</v>
      </c>
      <c r="FG4" s="316" t="s">
        <v>339</v>
      </c>
      <c r="FH4" s="316" t="s">
        <v>340</v>
      </c>
      <c r="FI4" s="316" t="s">
        <v>341</v>
      </c>
      <c r="FJ4" s="316" t="s">
        <v>342</v>
      </c>
      <c r="FK4" s="316" t="s">
        <v>343</v>
      </c>
      <c r="FL4" s="316" t="s">
        <v>344</v>
      </c>
      <c r="FM4" s="316" t="s">
        <v>345</v>
      </c>
      <c r="FN4" s="316" t="s">
        <v>346</v>
      </c>
      <c r="FO4" s="316" t="s">
        <v>347</v>
      </c>
      <c r="FP4" s="316" t="s">
        <v>348</v>
      </c>
      <c r="FQ4" s="316" t="s">
        <v>349</v>
      </c>
      <c r="FR4" s="316" t="s">
        <v>350</v>
      </c>
      <c r="FS4" s="316" t="s">
        <v>351</v>
      </c>
      <c r="FT4" s="316" t="s">
        <v>352</v>
      </c>
      <c r="FU4" s="316" t="s">
        <v>353</v>
      </c>
      <c r="FV4" s="316" t="s">
        <v>354</v>
      </c>
      <c r="FW4" s="316" t="s">
        <v>355</v>
      </c>
      <c r="FX4" s="316" t="s">
        <v>356</v>
      </c>
      <c r="FY4" s="316" t="s">
        <v>357</v>
      </c>
      <c r="FZ4" s="316" t="s">
        <v>358</v>
      </c>
      <c r="GA4" s="316" t="s">
        <v>359</v>
      </c>
      <c r="GB4" s="316" t="s">
        <v>360</v>
      </c>
      <c r="GC4" s="316" t="s">
        <v>361</v>
      </c>
      <c r="GD4" s="316" t="s">
        <v>362</v>
      </c>
      <c r="GE4" s="316" t="s">
        <v>363</v>
      </c>
      <c r="GF4" s="316" t="s">
        <v>364</v>
      </c>
      <c r="GG4" s="316" t="s">
        <v>365</v>
      </c>
      <c r="GH4" s="316" t="s">
        <v>366</v>
      </c>
      <c r="GI4" s="316" t="s">
        <v>367</v>
      </c>
      <c r="GJ4" s="316" t="s">
        <v>368</v>
      </c>
      <c r="GK4" s="316" t="s">
        <v>369</v>
      </c>
      <c r="GL4" s="316" t="s">
        <v>370</v>
      </c>
      <c r="GM4" s="316" t="s">
        <v>371</v>
      </c>
      <c r="GN4" s="316" t="s">
        <v>372</v>
      </c>
      <c r="GO4" s="316" t="s">
        <v>373</v>
      </c>
      <c r="GP4" s="316" t="s">
        <v>374</v>
      </c>
      <c r="GQ4" s="316" t="s">
        <v>375</v>
      </c>
      <c r="GR4" s="316" t="s">
        <v>376</v>
      </c>
      <c r="GS4" s="316" t="s">
        <v>377</v>
      </c>
      <c r="GT4" s="316" t="s">
        <v>378</v>
      </c>
      <c r="GU4" s="316" t="s">
        <v>379</v>
      </c>
      <c r="GV4" s="316" t="s">
        <v>380</v>
      </c>
      <c r="GW4" s="316" t="s">
        <v>381</v>
      </c>
      <c r="GX4" s="316" t="s">
        <v>382</v>
      </c>
      <c r="GY4" s="316" t="s">
        <v>383</v>
      </c>
      <c r="GZ4" s="316" t="s">
        <v>384</v>
      </c>
      <c r="HA4" s="316" t="s">
        <v>385</v>
      </c>
      <c r="HB4" s="316" t="s">
        <v>386</v>
      </c>
      <c r="HC4" s="316" t="s">
        <v>387</v>
      </c>
      <c r="HD4" s="316" t="s">
        <v>388</v>
      </c>
      <c r="HE4" s="316" t="s">
        <v>389</v>
      </c>
      <c r="HF4" s="316" t="s">
        <v>390</v>
      </c>
      <c r="HG4" s="316" t="s">
        <v>391</v>
      </c>
      <c r="HH4" s="316" t="s">
        <v>392</v>
      </c>
      <c r="HI4" s="316" t="s">
        <v>393</v>
      </c>
      <c r="HJ4" s="316" t="s">
        <v>394</v>
      </c>
      <c r="HK4" s="316" t="s">
        <v>395</v>
      </c>
      <c r="HL4" s="316" t="s">
        <v>396</v>
      </c>
      <c r="HM4" s="316" t="s">
        <v>397</v>
      </c>
      <c r="HN4" s="316" t="s">
        <v>398</v>
      </c>
      <c r="HO4" s="316" t="s">
        <v>399</v>
      </c>
      <c r="HP4" s="316" t="s">
        <v>400</v>
      </c>
      <c r="HQ4" s="316" t="s">
        <v>401</v>
      </c>
      <c r="HR4" s="316" t="s">
        <v>402</v>
      </c>
      <c r="HS4" s="316" t="s">
        <v>403</v>
      </c>
      <c r="HT4" s="316" t="s">
        <v>404</v>
      </c>
      <c r="HU4" s="316" t="s">
        <v>405</v>
      </c>
      <c r="HV4" s="316" t="s">
        <v>406</v>
      </c>
      <c r="HW4" s="316" t="s">
        <v>407</v>
      </c>
      <c r="HX4" s="316" t="s">
        <v>408</v>
      </c>
      <c r="HY4" s="316" t="s">
        <v>409</v>
      </c>
      <c r="HZ4" s="316" t="s">
        <v>410</v>
      </c>
      <c r="IA4" s="316" t="s">
        <v>411</v>
      </c>
      <c r="IB4" s="316" t="s">
        <v>412</v>
      </c>
      <c r="IC4" s="316" t="s">
        <v>413</v>
      </c>
      <c r="ID4" s="316" t="s">
        <v>414</v>
      </c>
      <c r="IE4" s="316" t="s">
        <v>415</v>
      </c>
      <c r="IF4" s="316" t="s">
        <v>416</v>
      </c>
      <c r="IG4" s="316" t="s">
        <v>417</v>
      </c>
      <c r="IH4" s="316" t="s">
        <v>418</v>
      </c>
      <c r="II4" s="316" t="s">
        <v>419</v>
      </c>
      <c r="IJ4" s="316" t="s">
        <v>2666</v>
      </c>
      <c r="IK4" s="316" t="s">
        <v>2667</v>
      </c>
      <c r="IL4" s="316" t="s">
        <v>2668</v>
      </c>
      <c r="IM4" s="316" t="s">
        <v>2669</v>
      </c>
      <c r="IN4" s="316" t="s">
        <v>2670</v>
      </c>
      <c r="IO4" s="316" t="s">
        <v>2671</v>
      </c>
      <c r="IP4" s="316" t="s">
        <v>2672</v>
      </c>
      <c r="IQ4" s="316" t="s">
        <v>2673</v>
      </c>
      <c r="IR4" s="316" t="s">
        <v>2674</v>
      </c>
      <c r="IS4" s="316" t="s">
        <v>2675</v>
      </c>
      <c r="IT4" s="316" t="s">
        <v>2676</v>
      </c>
    </row>
    <row r="5" spans="1:254" s="271" customFormat="1" x14ac:dyDescent="0.25">
      <c r="A5" s="318" t="str">
        <f>HYPERLINK("http://www.ofsted.gov.uk/inspection-reports/find-inspection-report/provider/ELS/100073 ","Ofsted School Webpage")</f>
        <v>Ofsted School Webpage</v>
      </c>
      <c r="B5" s="319">
        <v>100073</v>
      </c>
      <c r="C5" s="319">
        <v>2026264</v>
      </c>
      <c r="D5" s="319" t="s">
        <v>1208</v>
      </c>
      <c r="E5" s="319" t="s">
        <v>167</v>
      </c>
      <c r="F5" s="319" t="s">
        <v>81</v>
      </c>
      <c r="G5" s="319" t="s">
        <v>81</v>
      </c>
      <c r="H5" s="319" t="s">
        <v>81</v>
      </c>
      <c r="I5" s="319" t="s">
        <v>78</v>
      </c>
      <c r="J5" s="319" t="s">
        <v>424</v>
      </c>
      <c r="K5" s="319" t="s">
        <v>441</v>
      </c>
      <c r="L5" s="319" t="s">
        <v>441</v>
      </c>
      <c r="M5" s="319" t="s">
        <v>1039</v>
      </c>
      <c r="N5" s="319" t="s">
        <v>2765</v>
      </c>
      <c r="O5" s="319" t="s">
        <v>1209</v>
      </c>
      <c r="P5" s="319">
        <v>389</v>
      </c>
      <c r="Q5" s="319" t="s">
        <v>2766</v>
      </c>
      <c r="R5" s="320">
        <v>10038147</v>
      </c>
      <c r="S5" s="321">
        <v>43151</v>
      </c>
      <c r="T5" s="321">
        <v>43153</v>
      </c>
      <c r="U5" s="321">
        <v>43173</v>
      </c>
      <c r="V5" s="319" t="s">
        <v>425</v>
      </c>
      <c r="W5" s="319" t="s">
        <v>2767</v>
      </c>
      <c r="X5" s="319">
        <v>1</v>
      </c>
      <c r="Y5" s="319" t="s">
        <v>173</v>
      </c>
      <c r="Z5" s="319" t="s">
        <v>173</v>
      </c>
      <c r="AA5" s="319" t="s">
        <v>173</v>
      </c>
      <c r="AB5" s="319">
        <v>1</v>
      </c>
      <c r="AC5" s="319" t="s">
        <v>169</v>
      </c>
      <c r="AD5" s="319">
        <v>1</v>
      </c>
      <c r="AE5" s="319" t="s">
        <v>173</v>
      </c>
      <c r="AF5" s="319" t="s">
        <v>427</v>
      </c>
      <c r="AG5" s="319" t="s">
        <v>171</v>
      </c>
      <c r="AH5" s="319" t="s">
        <v>190</v>
      </c>
      <c r="AI5" s="319" t="s">
        <v>190</v>
      </c>
      <c r="AJ5" s="319" t="s">
        <v>190</v>
      </c>
      <c r="AK5" s="319" t="s">
        <v>190</v>
      </c>
      <c r="AL5" s="319" t="s">
        <v>190</v>
      </c>
      <c r="AM5" s="319" t="s">
        <v>190</v>
      </c>
      <c r="AN5" s="319" t="s">
        <v>190</v>
      </c>
      <c r="AO5" s="319" t="s">
        <v>190</v>
      </c>
      <c r="AP5" s="319" t="s">
        <v>190</v>
      </c>
      <c r="AQ5" s="319" t="s">
        <v>190</v>
      </c>
      <c r="AR5" s="319" t="s">
        <v>190</v>
      </c>
      <c r="AS5" s="319" t="s">
        <v>190</v>
      </c>
      <c r="AT5" s="319" t="s">
        <v>190</v>
      </c>
      <c r="AU5" s="319" t="s">
        <v>190</v>
      </c>
      <c r="AV5" s="319" t="s">
        <v>190</v>
      </c>
      <c r="AW5" s="319" t="s">
        <v>190</v>
      </c>
      <c r="AX5" s="319" t="s">
        <v>428</v>
      </c>
      <c r="AY5" s="319" t="s">
        <v>190</v>
      </c>
      <c r="AZ5" s="319" t="s">
        <v>190</v>
      </c>
      <c r="BA5" s="319" t="s">
        <v>190</v>
      </c>
      <c r="BB5" s="319" t="s">
        <v>428</v>
      </c>
      <c r="BC5" s="319" t="s">
        <v>428</v>
      </c>
      <c r="BD5" s="319" t="s">
        <v>428</v>
      </c>
      <c r="BE5" s="319" t="s">
        <v>428</v>
      </c>
      <c r="BF5" s="319" t="s">
        <v>190</v>
      </c>
      <c r="BG5" s="319" t="s">
        <v>428</v>
      </c>
      <c r="BH5" s="319" t="s">
        <v>190</v>
      </c>
      <c r="BI5" s="319" t="s">
        <v>190</v>
      </c>
      <c r="BJ5" s="319" t="s">
        <v>190</v>
      </c>
      <c r="BK5" s="319" t="s">
        <v>190</v>
      </c>
      <c r="BL5" s="319" t="s">
        <v>190</v>
      </c>
      <c r="BM5" s="319" t="s">
        <v>190</v>
      </c>
      <c r="BN5" s="319" t="s">
        <v>190</v>
      </c>
      <c r="BO5" s="319" t="s">
        <v>190</v>
      </c>
      <c r="BP5" s="319" t="s">
        <v>190</v>
      </c>
      <c r="BQ5" s="319" t="s">
        <v>190</v>
      </c>
      <c r="BR5" s="319" t="s">
        <v>190</v>
      </c>
      <c r="BS5" s="319" t="s">
        <v>190</v>
      </c>
      <c r="BT5" s="319" t="s">
        <v>190</v>
      </c>
      <c r="BU5" s="319" t="s">
        <v>190</v>
      </c>
      <c r="BV5" s="319" t="s">
        <v>190</v>
      </c>
      <c r="BW5" s="319" t="s">
        <v>190</v>
      </c>
      <c r="BX5" s="319" t="s">
        <v>190</v>
      </c>
      <c r="BY5" s="319" t="s">
        <v>190</v>
      </c>
      <c r="BZ5" s="319" t="s">
        <v>190</v>
      </c>
      <c r="CA5" s="319" t="s">
        <v>190</v>
      </c>
      <c r="CB5" s="319" t="s">
        <v>190</v>
      </c>
      <c r="CC5" s="319" t="s">
        <v>190</v>
      </c>
      <c r="CD5" s="319" t="s">
        <v>190</v>
      </c>
      <c r="CE5" s="319" t="s">
        <v>190</v>
      </c>
      <c r="CF5" s="319" t="s">
        <v>190</v>
      </c>
      <c r="CG5" s="319" t="s">
        <v>190</v>
      </c>
      <c r="CH5" s="319" t="s">
        <v>190</v>
      </c>
      <c r="CI5" s="319" t="s">
        <v>190</v>
      </c>
      <c r="CJ5" s="319" t="s">
        <v>190</v>
      </c>
      <c r="CK5" s="319" t="s">
        <v>190</v>
      </c>
      <c r="CL5" s="319" t="s">
        <v>190</v>
      </c>
      <c r="CM5" s="319" t="s">
        <v>190</v>
      </c>
      <c r="CN5" s="319" t="s">
        <v>428</v>
      </c>
      <c r="CO5" s="319" t="s">
        <v>428</v>
      </c>
      <c r="CP5" s="319" t="s">
        <v>428</v>
      </c>
      <c r="CQ5" s="319" t="s">
        <v>190</v>
      </c>
      <c r="CR5" s="319" t="s">
        <v>190</v>
      </c>
      <c r="CS5" s="319" t="s">
        <v>190</v>
      </c>
      <c r="CT5" s="319" t="s">
        <v>190</v>
      </c>
      <c r="CU5" s="319" t="s">
        <v>190</v>
      </c>
      <c r="CV5" s="319" t="s">
        <v>190</v>
      </c>
      <c r="CW5" s="319" t="s">
        <v>190</v>
      </c>
      <c r="CX5" s="319" t="s">
        <v>190</v>
      </c>
      <c r="CY5" s="319" t="s">
        <v>190</v>
      </c>
      <c r="CZ5" s="319" t="s">
        <v>190</v>
      </c>
      <c r="DA5" s="319" t="s">
        <v>190</v>
      </c>
      <c r="DB5" s="319" t="s">
        <v>190</v>
      </c>
      <c r="DC5" s="319" t="s">
        <v>190</v>
      </c>
      <c r="DD5" s="319" t="s">
        <v>190</v>
      </c>
      <c r="DE5" s="319" t="s">
        <v>190</v>
      </c>
      <c r="DF5" s="319" t="s">
        <v>190</v>
      </c>
      <c r="DG5" s="319" t="s">
        <v>190</v>
      </c>
      <c r="DH5" s="319" t="s">
        <v>190</v>
      </c>
      <c r="DI5" s="319" t="s">
        <v>190</v>
      </c>
      <c r="DJ5" s="319" t="s">
        <v>190</v>
      </c>
      <c r="DK5" s="319" t="s">
        <v>190</v>
      </c>
      <c r="DL5" s="319" t="s">
        <v>190</v>
      </c>
      <c r="DM5" s="319" t="s">
        <v>190</v>
      </c>
      <c r="DN5" s="319" t="s">
        <v>428</v>
      </c>
      <c r="DO5" s="319" t="s">
        <v>190</v>
      </c>
      <c r="DP5" s="319" t="s">
        <v>190</v>
      </c>
      <c r="DQ5" s="319" t="s">
        <v>190</v>
      </c>
      <c r="DR5" s="319" t="s">
        <v>190</v>
      </c>
      <c r="DS5" s="319" t="s">
        <v>190</v>
      </c>
      <c r="DT5" s="319" t="s">
        <v>190</v>
      </c>
      <c r="DU5" s="319" t="s">
        <v>190</v>
      </c>
      <c r="DV5" s="319" t="s">
        <v>173</v>
      </c>
      <c r="DW5" s="319" t="s">
        <v>190</v>
      </c>
      <c r="DX5" s="319" t="s">
        <v>190</v>
      </c>
      <c r="DY5" s="319" t="s">
        <v>190</v>
      </c>
      <c r="DZ5" s="319" t="s">
        <v>190</v>
      </c>
      <c r="EA5" s="319" t="s">
        <v>190</v>
      </c>
      <c r="EB5" s="319" t="s">
        <v>190</v>
      </c>
      <c r="EC5" s="319" t="s">
        <v>428</v>
      </c>
      <c r="ED5" s="319" t="s">
        <v>190</v>
      </c>
      <c r="EE5" s="319" t="s">
        <v>190</v>
      </c>
      <c r="EF5" s="319" t="s">
        <v>190</v>
      </c>
      <c r="EG5" s="319" t="s">
        <v>190</v>
      </c>
      <c r="EH5" s="319" t="s">
        <v>190</v>
      </c>
      <c r="EI5" s="319" t="s">
        <v>190</v>
      </c>
      <c r="EJ5" s="319" t="s">
        <v>190</v>
      </c>
      <c r="EK5" s="319" t="s">
        <v>190</v>
      </c>
      <c r="EL5" s="319" t="s">
        <v>190</v>
      </c>
      <c r="EM5" s="319" t="s">
        <v>190</v>
      </c>
      <c r="EN5" s="319" t="s">
        <v>190</v>
      </c>
      <c r="EO5" s="319" t="s">
        <v>190</v>
      </c>
      <c r="EP5" s="319" t="s">
        <v>190</v>
      </c>
      <c r="EQ5" s="319" t="s">
        <v>190</v>
      </c>
      <c r="ER5" s="319" t="s">
        <v>190</v>
      </c>
      <c r="ES5" s="319" t="s">
        <v>190</v>
      </c>
      <c r="ET5" s="319" t="s">
        <v>190</v>
      </c>
      <c r="EU5" s="319" t="s">
        <v>190</v>
      </c>
      <c r="EV5" s="319" t="s">
        <v>190</v>
      </c>
      <c r="EW5" s="319" t="s">
        <v>190</v>
      </c>
      <c r="EX5" s="319" t="s">
        <v>190</v>
      </c>
      <c r="EY5" s="319" t="s">
        <v>190</v>
      </c>
      <c r="EZ5" s="319" t="s">
        <v>190</v>
      </c>
      <c r="FA5" s="319" t="s">
        <v>190</v>
      </c>
      <c r="FB5" s="319" t="s">
        <v>190</v>
      </c>
      <c r="FC5" s="319" t="s">
        <v>190</v>
      </c>
      <c r="FD5" s="319" t="s">
        <v>190</v>
      </c>
      <c r="FE5" s="319" t="s">
        <v>190</v>
      </c>
      <c r="FF5" s="319" t="s">
        <v>190</v>
      </c>
      <c r="FG5" s="319" t="s">
        <v>190</v>
      </c>
      <c r="FH5" s="319" t="s">
        <v>190</v>
      </c>
      <c r="FI5" s="319" t="s">
        <v>190</v>
      </c>
      <c r="FJ5" s="319" t="s">
        <v>190</v>
      </c>
      <c r="FK5" s="319" t="s">
        <v>190</v>
      </c>
      <c r="FL5" s="319" t="s">
        <v>190</v>
      </c>
      <c r="FM5" s="319" t="s">
        <v>190</v>
      </c>
      <c r="FN5" s="319" t="s">
        <v>428</v>
      </c>
      <c r="FO5" s="319" t="s">
        <v>428</v>
      </c>
      <c r="FP5" s="319" t="s">
        <v>190</v>
      </c>
      <c r="FQ5" s="319" t="s">
        <v>190</v>
      </c>
      <c r="FR5" s="319" t="s">
        <v>190</v>
      </c>
      <c r="FS5" s="319" t="s">
        <v>190</v>
      </c>
      <c r="FT5" s="319" t="s">
        <v>190</v>
      </c>
      <c r="FU5" s="319" t="s">
        <v>190</v>
      </c>
      <c r="FV5" s="319" t="s">
        <v>190</v>
      </c>
      <c r="FW5" s="319" t="s">
        <v>190</v>
      </c>
      <c r="FX5" s="319" t="s">
        <v>190</v>
      </c>
      <c r="FY5" s="319" t="s">
        <v>190</v>
      </c>
      <c r="FZ5" s="319" t="s">
        <v>190</v>
      </c>
      <c r="GA5" s="319" t="s">
        <v>190</v>
      </c>
      <c r="GB5" s="319" t="s">
        <v>190</v>
      </c>
      <c r="GC5" s="319" t="s">
        <v>190</v>
      </c>
      <c r="GD5" s="319" t="s">
        <v>190</v>
      </c>
      <c r="GE5" s="319" t="s">
        <v>190</v>
      </c>
      <c r="GF5" s="319" t="s">
        <v>190</v>
      </c>
      <c r="GG5" s="319" t="s">
        <v>190</v>
      </c>
      <c r="GH5" s="319" t="s">
        <v>190</v>
      </c>
      <c r="GI5" s="319" t="s">
        <v>190</v>
      </c>
      <c r="GJ5" s="319" t="s">
        <v>190</v>
      </c>
      <c r="GK5" s="319" t="s">
        <v>428</v>
      </c>
      <c r="GL5" s="319" t="s">
        <v>190</v>
      </c>
      <c r="GM5" s="319" t="s">
        <v>190</v>
      </c>
      <c r="GN5" s="319" t="s">
        <v>190</v>
      </c>
      <c r="GO5" s="319" t="s">
        <v>190</v>
      </c>
      <c r="GP5" s="319" t="s">
        <v>190</v>
      </c>
      <c r="GQ5" s="319" t="s">
        <v>428</v>
      </c>
      <c r="GR5" s="319" t="s">
        <v>190</v>
      </c>
      <c r="GS5" s="319" t="s">
        <v>190</v>
      </c>
      <c r="GT5" s="319" t="s">
        <v>428</v>
      </c>
      <c r="GU5" s="319" t="s">
        <v>428</v>
      </c>
      <c r="GV5" s="319" t="s">
        <v>190</v>
      </c>
      <c r="GW5" s="319" t="s">
        <v>190</v>
      </c>
      <c r="GX5" s="319" t="s">
        <v>190</v>
      </c>
      <c r="GY5" s="319" t="s">
        <v>190</v>
      </c>
      <c r="GZ5" s="319" t="s">
        <v>190</v>
      </c>
      <c r="HA5" s="319" t="s">
        <v>428</v>
      </c>
      <c r="HB5" s="319" t="s">
        <v>428</v>
      </c>
      <c r="HC5" s="319" t="s">
        <v>190</v>
      </c>
      <c r="HD5" s="319" t="s">
        <v>190</v>
      </c>
      <c r="HE5" s="319" t="s">
        <v>190</v>
      </c>
      <c r="HF5" s="319" t="s">
        <v>428</v>
      </c>
      <c r="HG5" s="319" t="s">
        <v>190</v>
      </c>
      <c r="HH5" s="319" t="s">
        <v>190</v>
      </c>
      <c r="HI5" s="319" t="s">
        <v>190</v>
      </c>
      <c r="HJ5" s="319" t="s">
        <v>190</v>
      </c>
      <c r="HK5" s="319" t="s">
        <v>190</v>
      </c>
      <c r="HL5" s="319" t="s">
        <v>428</v>
      </c>
      <c r="HM5" s="319" t="s">
        <v>428</v>
      </c>
      <c r="HN5" s="319" t="s">
        <v>428</v>
      </c>
      <c r="HO5" s="319" t="s">
        <v>428</v>
      </c>
      <c r="HP5" s="319" t="s">
        <v>190</v>
      </c>
      <c r="HQ5" s="319" t="s">
        <v>190</v>
      </c>
      <c r="HR5" s="319" t="s">
        <v>190</v>
      </c>
      <c r="HS5" s="319" t="s">
        <v>190</v>
      </c>
      <c r="HT5" s="319" t="s">
        <v>190</v>
      </c>
      <c r="HU5" s="319" t="s">
        <v>190</v>
      </c>
      <c r="HV5" s="319" t="s">
        <v>190</v>
      </c>
      <c r="HW5" s="319" t="s">
        <v>190</v>
      </c>
      <c r="HX5" s="319" t="s">
        <v>190</v>
      </c>
      <c r="HY5" s="319" t="s">
        <v>190</v>
      </c>
      <c r="HZ5" s="319" t="s">
        <v>190</v>
      </c>
      <c r="IA5" s="319" t="s">
        <v>190</v>
      </c>
      <c r="IB5" s="319" t="s">
        <v>190</v>
      </c>
      <c r="IC5" s="319" t="s">
        <v>190</v>
      </c>
      <c r="ID5" s="319" t="s">
        <v>190</v>
      </c>
      <c r="IE5" s="319" t="s">
        <v>190</v>
      </c>
      <c r="IF5" s="319" t="s">
        <v>190</v>
      </c>
      <c r="IG5" s="319" t="s">
        <v>190</v>
      </c>
      <c r="IH5" s="319" t="s">
        <v>190</v>
      </c>
      <c r="II5" s="319" t="s">
        <v>190</v>
      </c>
      <c r="IJ5" s="319" t="s">
        <v>2768</v>
      </c>
      <c r="IK5" s="321">
        <v>41975</v>
      </c>
      <c r="IL5" s="321">
        <v>41977</v>
      </c>
      <c r="IM5" s="321">
        <v>42017</v>
      </c>
      <c r="IN5" s="319">
        <v>2</v>
      </c>
      <c r="IO5" s="319" t="s">
        <v>173</v>
      </c>
      <c r="IP5" s="319" t="s">
        <v>173</v>
      </c>
      <c r="IQ5" s="321" t="s">
        <v>173</v>
      </c>
      <c r="IR5" s="320" t="s">
        <v>173</v>
      </c>
      <c r="IS5" s="322" t="s">
        <v>173</v>
      </c>
      <c r="IT5" s="319" t="s">
        <v>173</v>
      </c>
    </row>
    <row r="6" spans="1:254" s="271" customFormat="1" x14ac:dyDescent="0.25">
      <c r="A6" s="318" t="str">
        <f>HYPERLINK("http://www.ofsted.gov.uk/inspection-reports/find-inspection-report/provider/ELS/100077 ","Ofsted School Webpage")</f>
        <v>Ofsted School Webpage</v>
      </c>
      <c r="B6" s="319">
        <v>100077</v>
      </c>
      <c r="C6" s="319">
        <v>2026353</v>
      </c>
      <c r="D6" s="319" t="s">
        <v>1210</v>
      </c>
      <c r="E6" s="319" t="s">
        <v>167</v>
      </c>
      <c r="F6" s="319" t="s">
        <v>81</v>
      </c>
      <c r="G6" s="319" t="s">
        <v>80</v>
      </c>
      <c r="H6" s="319" t="s">
        <v>80</v>
      </c>
      <c r="I6" s="319" t="s">
        <v>78</v>
      </c>
      <c r="J6" s="319" t="s">
        <v>424</v>
      </c>
      <c r="K6" s="319" t="s">
        <v>441</v>
      </c>
      <c r="L6" s="319" t="s">
        <v>441</v>
      </c>
      <c r="M6" s="319" t="s">
        <v>1039</v>
      </c>
      <c r="N6" s="319" t="s">
        <v>2769</v>
      </c>
      <c r="O6" s="319" t="s">
        <v>1211</v>
      </c>
      <c r="P6" s="319">
        <v>95</v>
      </c>
      <c r="Q6" s="319" t="s">
        <v>2766</v>
      </c>
      <c r="R6" s="320">
        <v>10006054</v>
      </c>
      <c r="S6" s="321">
        <v>42773</v>
      </c>
      <c r="T6" s="321">
        <v>42775</v>
      </c>
      <c r="U6" s="321">
        <v>42815</v>
      </c>
      <c r="V6" s="319" t="s">
        <v>425</v>
      </c>
      <c r="W6" s="319" t="s">
        <v>2767</v>
      </c>
      <c r="X6" s="319">
        <v>1</v>
      </c>
      <c r="Y6" s="319" t="s">
        <v>173</v>
      </c>
      <c r="Z6" s="319" t="s">
        <v>173</v>
      </c>
      <c r="AA6" s="319" t="s">
        <v>173</v>
      </c>
      <c r="AB6" s="319">
        <v>1</v>
      </c>
      <c r="AC6" s="319" t="s">
        <v>169</v>
      </c>
      <c r="AD6" s="319">
        <v>1</v>
      </c>
      <c r="AE6" s="319" t="s">
        <v>173</v>
      </c>
      <c r="AF6" s="319" t="s">
        <v>173</v>
      </c>
      <c r="AG6" s="319" t="s">
        <v>171</v>
      </c>
      <c r="AH6" s="319" t="s">
        <v>190</v>
      </c>
      <c r="AI6" s="319" t="s">
        <v>190</v>
      </c>
      <c r="AJ6" s="319" t="s">
        <v>190</v>
      </c>
      <c r="AK6" s="319" t="s">
        <v>190</v>
      </c>
      <c r="AL6" s="319" t="s">
        <v>190</v>
      </c>
      <c r="AM6" s="319" t="s">
        <v>190</v>
      </c>
      <c r="AN6" s="319" t="s">
        <v>190</v>
      </c>
      <c r="AO6" s="319" t="s">
        <v>190</v>
      </c>
      <c r="AP6" s="319" t="s">
        <v>190</v>
      </c>
      <c r="AQ6" s="319" t="s">
        <v>190</v>
      </c>
      <c r="AR6" s="319" t="s">
        <v>190</v>
      </c>
      <c r="AS6" s="319" t="s">
        <v>190</v>
      </c>
      <c r="AT6" s="319" t="s">
        <v>190</v>
      </c>
      <c r="AU6" s="319" t="s">
        <v>190</v>
      </c>
      <c r="AV6" s="319" t="s">
        <v>190</v>
      </c>
      <c r="AW6" s="319" t="s">
        <v>190</v>
      </c>
      <c r="AX6" s="319" t="s">
        <v>429</v>
      </c>
      <c r="AY6" s="319" t="s">
        <v>190</v>
      </c>
      <c r="AZ6" s="319" t="s">
        <v>190</v>
      </c>
      <c r="BA6" s="319" t="s">
        <v>190</v>
      </c>
      <c r="BB6" s="319" t="s">
        <v>429</v>
      </c>
      <c r="BC6" s="319" t="s">
        <v>429</v>
      </c>
      <c r="BD6" s="319" t="s">
        <v>429</v>
      </c>
      <c r="BE6" s="319" t="s">
        <v>429</v>
      </c>
      <c r="BF6" s="319" t="s">
        <v>190</v>
      </c>
      <c r="BG6" s="319" t="s">
        <v>429</v>
      </c>
      <c r="BH6" s="319" t="s">
        <v>190</v>
      </c>
      <c r="BI6" s="319" t="s">
        <v>190</v>
      </c>
      <c r="BJ6" s="319" t="s">
        <v>190</v>
      </c>
      <c r="BK6" s="319" t="s">
        <v>190</v>
      </c>
      <c r="BL6" s="319" t="s">
        <v>190</v>
      </c>
      <c r="BM6" s="319" t="s">
        <v>190</v>
      </c>
      <c r="BN6" s="319" t="s">
        <v>190</v>
      </c>
      <c r="BO6" s="319" t="s">
        <v>190</v>
      </c>
      <c r="BP6" s="319" t="s">
        <v>190</v>
      </c>
      <c r="BQ6" s="319" t="s">
        <v>190</v>
      </c>
      <c r="BR6" s="319" t="s">
        <v>190</v>
      </c>
      <c r="BS6" s="319" t="s">
        <v>190</v>
      </c>
      <c r="BT6" s="319" t="s">
        <v>190</v>
      </c>
      <c r="BU6" s="319" t="s">
        <v>190</v>
      </c>
      <c r="BV6" s="319" t="s">
        <v>190</v>
      </c>
      <c r="BW6" s="319" t="s">
        <v>190</v>
      </c>
      <c r="BX6" s="319" t="s">
        <v>190</v>
      </c>
      <c r="BY6" s="319" t="s">
        <v>190</v>
      </c>
      <c r="BZ6" s="319" t="s">
        <v>190</v>
      </c>
      <c r="CA6" s="319" t="s">
        <v>190</v>
      </c>
      <c r="CB6" s="319" t="s">
        <v>190</v>
      </c>
      <c r="CC6" s="319" t="s">
        <v>190</v>
      </c>
      <c r="CD6" s="319" t="s">
        <v>190</v>
      </c>
      <c r="CE6" s="319" t="s">
        <v>190</v>
      </c>
      <c r="CF6" s="319" t="s">
        <v>190</v>
      </c>
      <c r="CG6" s="319" t="s">
        <v>190</v>
      </c>
      <c r="CH6" s="319" t="s">
        <v>190</v>
      </c>
      <c r="CI6" s="319" t="s">
        <v>190</v>
      </c>
      <c r="CJ6" s="319" t="s">
        <v>190</v>
      </c>
      <c r="CK6" s="319" t="s">
        <v>190</v>
      </c>
      <c r="CL6" s="319" t="s">
        <v>190</v>
      </c>
      <c r="CM6" s="319" t="s">
        <v>190</v>
      </c>
      <c r="CN6" s="319" t="s">
        <v>190</v>
      </c>
      <c r="CO6" s="319" t="s">
        <v>429</v>
      </c>
      <c r="CP6" s="319" t="s">
        <v>429</v>
      </c>
      <c r="CQ6" s="319" t="s">
        <v>190</v>
      </c>
      <c r="CR6" s="319" t="s">
        <v>190</v>
      </c>
      <c r="CS6" s="319" t="s">
        <v>190</v>
      </c>
      <c r="CT6" s="319" t="s">
        <v>190</v>
      </c>
      <c r="CU6" s="319" t="s">
        <v>190</v>
      </c>
      <c r="CV6" s="319" t="s">
        <v>190</v>
      </c>
      <c r="CW6" s="319" t="s">
        <v>190</v>
      </c>
      <c r="CX6" s="319" t="s">
        <v>190</v>
      </c>
      <c r="CY6" s="319" t="s">
        <v>190</v>
      </c>
      <c r="CZ6" s="319" t="s">
        <v>190</v>
      </c>
      <c r="DA6" s="319" t="s">
        <v>190</v>
      </c>
      <c r="DB6" s="319" t="s">
        <v>190</v>
      </c>
      <c r="DC6" s="319" t="s">
        <v>190</v>
      </c>
      <c r="DD6" s="319" t="s">
        <v>190</v>
      </c>
      <c r="DE6" s="319" t="s">
        <v>190</v>
      </c>
      <c r="DF6" s="319" t="s">
        <v>190</v>
      </c>
      <c r="DG6" s="319" t="s">
        <v>190</v>
      </c>
      <c r="DH6" s="319" t="s">
        <v>190</v>
      </c>
      <c r="DI6" s="319" t="s">
        <v>190</v>
      </c>
      <c r="DJ6" s="319" t="s">
        <v>190</v>
      </c>
      <c r="DK6" s="319" t="s">
        <v>190</v>
      </c>
      <c r="DL6" s="319" t="s">
        <v>190</v>
      </c>
      <c r="DM6" s="319" t="s">
        <v>190</v>
      </c>
      <c r="DN6" s="319" t="s">
        <v>429</v>
      </c>
      <c r="DO6" s="319" t="s">
        <v>190</v>
      </c>
      <c r="DP6" s="319" t="s">
        <v>190</v>
      </c>
      <c r="DQ6" s="319" t="s">
        <v>190</v>
      </c>
      <c r="DR6" s="319" t="s">
        <v>190</v>
      </c>
      <c r="DS6" s="319" t="s">
        <v>190</v>
      </c>
      <c r="DT6" s="319" t="s">
        <v>190</v>
      </c>
      <c r="DU6" s="319" t="s">
        <v>190</v>
      </c>
      <c r="DV6" s="319" t="s">
        <v>173</v>
      </c>
      <c r="DW6" s="319" t="s">
        <v>190</v>
      </c>
      <c r="DX6" s="319" t="s">
        <v>190</v>
      </c>
      <c r="DY6" s="319" t="s">
        <v>190</v>
      </c>
      <c r="DZ6" s="319" t="s">
        <v>190</v>
      </c>
      <c r="EA6" s="319" t="s">
        <v>190</v>
      </c>
      <c r="EB6" s="319" t="s">
        <v>190</v>
      </c>
      <c r="EC6" s="319" t="s">
        <v>429</v>
      </c>
      <c r="ED6" s="319" t="s">
        <v>190</v>
      </c>
      <c r="EE6" s="319" t="s">
        <v>190</v>
      </c>
      <c r="EF6" s="319" t="s">
        <v>190</v>
      </c>
      <c r="EG6" s="319" t="s">
        <v>190</v>
      </c>
      <c r="EH6" s="319" t="s">
        <v>190</v>
      </c>
      <c r="EI6" s="319" t="s">
        <v>190</v>
      </c>
      <c r="EJ6" s="319" t="s">
        <v>190</v>
      </c>
      <c r="EK6" s="319" t="s">
        <v>190</v>
      </c>
      <c r="EL6" s="319" t="s">
        <v>190</v>
      </c>
      <c r="EM6" s="319" t="s">
        <v>190</v>
      </c>
      <c r="EN6" s="319" t="s">
        <v>190</v>
      </c>
      <c r="EO6" s="319" t="s">
        <v>190</v>
      </c>
      <c r="EP6" s="319" t="s">
        <v>190</v>
      </c>
      <c r="EQ6" s="319" t="s">
        <v>190</v>
      </c>
      <c r="ER6" s="319" t="s">
        <v>190</v>
      </c>
      <c r="ES6" s="319" t="s">
        <v>190</v>
      </c>
      <c r="ET6" s="319" t="s">
        <v>190</v>
      </c>
      <c r="EU6" s="319" t="s">
        <v>190</v>
      </c>
      <c r="EV6" s="319" t="s">
        <v>190</v>
      </c>
      <c r="EW6" s="319" t="s">
        <v>190</v>
      </c>
      <c r="EX6" s="319" t="s">
        <v>190</v>
      </c>
      <c r="EY6" s="319" t="s">
        <v>190</v>
      </c>
      <c r="EZ6" s="319" t="s">
        <v>190</v>
      </c>
      <c r="FA6" s="319" t="s">
        <v>190</v>
      </c>
      <c r="FB6" s="319" t="s">
        <v>190</v>
      </c>
      <c r="FC6" s="319" t="s">
        <v>190</v>
      </c>
      <c r="FD6" s="319" t="s">
        <v>190</v>
      </c>
      <c r="FE6" s="319" t="s">
        <v>190</v>
      </c>
      <c r="FF6" s="319" t="s">
        <v>190</v>
      </c>
      <c r="FG6" s="319" t="s">
        <v>190</v>
      </c>
      <c r="FH6" s="319" t="s">
        <v>190</v>
      </c>
      <c r="FI6" s="319" t="s">
        <v>190</v>
      </c>
      <c r="FJ6" s="319" t="s">
        <v>190</v>
      </c>
      <c r="FK6" s="319" t="s">
        <v>190</v>
      </c>
      <c r="FL6" s="319" t="s">
        <v>190</v>
      </c>
      <c r="FM6" s="319" t="s">
        <v>190</v>
      </c>
      <c r="FN6" s="319" t="s">
        <v>190</v>
      </c>
      <c r="FO6" s="319" t="s">
        <v>190</v>
      </c>
      <c r="FP6" s="319" t="s">
        <v>190</v>
      </c>
      <c r="FQ6" s="319" t="s">
        <v>190</v>
      </c>
      <c r="FR6" s="319" t="s">
        <v>190</v>
      </c>
      <c r="FS6" s="319" t="s">
        <v>190</v>
      </c>
      <c r="FT6" s="319" t="s">
        <v>190</v>
      </c>
      <c r="FU6" s="319" t="s">
        <v>190</v>
      </c>
      <c r="FV6" s="319" t="s">
        <v>190</v>
      </c>
      <c r="FW6" s="319" t="s">
        <v>190</v>
      </c>
      <c r="FX6" s="319" t="s">
        <v>190</v>
      </c>
      <c r="FY6" s="319" t="s">
        <v>190</v>
      </c>
      <c r="FZ6" s="319" t="s">
        <v>190</v>
      </c>
      <c r="GA6" s="319" t="s">
        <v>190</v>
      </c>
      <c r="GB6" s="319" t="s">
        <v>190</v>
      </c>
      <c r="GC6" s="319" t="s">
        <v>190</v>
      </c>
      <c r="GD6" s="319" t="s">
        <v>190</v>
      </c>
      <c r="GE6" s="319" t="s">
        <v>190</v>
      </c>
      <c r="GF6" s="319" t="s">
        <v>190</v>
      </c>
      <c r="GG6" s="319" t="s">
        <v>190</v>
      </c>
      <c r="GH6" s="319" t="s">
        <v>190</v>
      </c>
      <c r="GI6" s="319" t="s">
        <v>190</v>
      </c>
      <c r="GJ6" s="319" t="s">
        <v>190</v>
      </c>
      <c r="GK6" s="319" t="s">
        <v>429</v>
      </c>
      <c r="GL6" s="319" t="s">
        <v>190</v>
      </c>
      <c r="GM6" s="319" t="s">
        <v>190</v>
      </c>
      <c r="GN6" s="319" t="s">
        <v>190</v>
      </c>
      <c r="GO6" s="319" t="s">
        <v>190</v>
      </c>
      <c r="GP6" s="319" t="s">
        <v>190</v>
      </c>
      <c r="GQ6" s="319" t="s">
        <v>190</v>
      </c>
      <c r="GR6" s="319" t="s">
        <v>190</v>
      </c>
      <c r="GS6" s="319" t="s">
        <v>190</v>
      </c>
      <c r="GT6" s="319" t="s">
        <v>190</v>
      </c>
      <c r="GU6" s="319" t="s">
        <v>429</v>
      </c>
      <c r="GV6" s="319" t="s">
        <v>190</v>
      </c>
      <c r="GW6" s="319" t="s">
        <v>190</v>
      </c>
      <c r="GX6" s="319" t="s">
        <v>190</v>
      </c>
      <c r="GY6" s="319" t="s">
        <v>190</v>
      </c>
      <c r="GZ6" s="319" t="s">
        <v>190</v>
      </c>
      <c r="HA6" s="319" t="s">
        <v>190</v>
      </c>
      <c r="HB6" s="319" t="s">
        <v>429</v>
      </c>
      <c r="HC6" s="319" t="s">
        <v>190</v>
      </c>
      <c r="HD6" s="319" t="s">
        <v>190</v>
      </c>
      <c r="HE6" s="319" t="s">
        <v>190</v>
      </c>
      <c r="HF6" s="319" t="s">
        <v>429</v>
      </c>
      <c r="HG6" s="319" t="s">
        <v>190</v>
      </c>
      <c r="HH6" s="319" t="s">
        <v>190</v>
      </c>
      <c r="HI6" s="319" t="s">
        <v>190</v>
      </c>
      <c r="HJ6" s="319" t="s">
        <v>190</v>
      </c>
      <c r="HK6" s="319" t="s">
        <v>190</v>
      </c>
      <c r="HL6" s="319" t="s">
        <v>429</v>
      </c>
      <c r="HM6" s="319" t="s">
        <v>429</v>
      </c>
      <c r="HN6" s="319" t="s">
        <v>429</v>
      </c>
      <c r="HO6" s="319" t="s">
        <v>429</v>
      </c>
      <c r="HP6" s="319" t="s">
        <v>190</v>
      </c>
      <c r="HQ6" s="319" t="s">
        <v>190</v>
      </c>
      <c r="HR6" s="319" t="s">
        <v>190</v>
      </c>
      <c r="HS6" s="319" t="s">
        <v>190</v>
      </c>
      <c r="HT6" s="319" t="s">
        <v>190</v>
      </c>
      <c r="HU6" s="319" t="s">
        <v>190</v>
      </c>
      <c r="HV6" s="319" t="s">
        <v>190</v>
      </c>
      <c r="HW6" s="319" t="s">
        <v>190</v>
      </c>
      <c r="HX6" s="319" t="s">
        <v>190</v>
      </c>
      <c r="HY6" s="319" t="s">
        <v>190</v>
      </c>
      <c r="HZ6" s="319" t="s">
        <v>190</v>
      </c>
      <c r="IA6" s="319" t="s">
        <v>190</v>
      </c>
      <c r="IB6" s="319" t="s">
        <v>190</v>
      </c>
      <c r="IC6" s="319" t="s">
        <v>190</v>
      </c>
      <c r="ID6" s="319" t="s">
        <v>190</v>
      </c>
      <c r="IE6" s="319" t="s">
        <v>190</v>
      </c>
      <c r="IF6" s="319" t="s">
        <v>190</v>
      </c>
      <c r="IG6" s="319" t="s">
        <v>190</v>
      </c>
      <c r="IH6" s="319" t="s">
        <v>190</v>
      </c>
      <c r="II6" s="319" t="s">
        <v>190</v>
      </c>
      <c r="IJ6" s="319" t="s">
        <v>2770</v>
      </c>
      <c r="IK6" s="321">
        <v>41185</v>
      </c>
      <c r="IL6" s="321">
        <v>41186</v>
      </c>
      <c r="IM6" s="321">
        <v>41207</v>
      </c>
      <c r="IN6" s="319">
        <v>1</v>
      </c>
      <c r="IO6" s="319" t="s">
        <v>173</v>
      </c>
      <c r="IP6" s="319" t="s">
        <v>173</v>
      </c>
      <c r="IQ6" s="321" t="s">
        <v>173</v>
      </c>
      <c r="IR6" s="320" t="s">
        <v>173</v>
      </c>
      <c r="IS6" s="322" t="s">
        <v>173</v>
      </c>
      <c r="IT6" s="319" t="s">
        <v>173</v>
      </c>
    </row>
    <row r="7" spans="1:254" s="271" customFormat="1" x14ac:dyDescent="0.25">
      <c r="A7" s="318" t="str">
        <f>HYPERLINK("http://www.ofsted.gov.uk/inspection-reports/find-inspection-report/provider/ELS/100078 ","Ofsted School Webpage")</f>
        <v>Ofsted School Webpage</v>
      </c>
      <c r="B7" s="319">
        <v>100078</v>
      </c>
      <c r="C7" s="319">
        <v>2026360</v>
      </c>
      <c r="D7" s="319" t="s">
        <v>1038</v>
      </c>
      <c r="E7" s="319" t="s">
        <v>167</v>
      </c>
      <c r="F7" s="319" t="s">
        <v>81</v>
      </c>
      <c r="G7" s="319" t="s">
        <v>81</v>
      </c>
      <c r="H7" s="319" t="s">
        <v>81</v>
      </c>
      <c r="I7" s="319" t="s">
        <v>78</v>
      </c>
      <c r="J7" s="319" t="s">
        <v>424</v>
      </c>
      <c r="K7" s="319" t="s">
        <v>441</v>
      </c>
      <c r="L7" s="319" t="s">
        <v>441</v>
      </c>
      <c r="M7" s="319" t="s">
        <v>1039</v>
      </c>
      <c r="N7" s="319" t="s">
        <v>2765</v>
      </c>
      <c r="O7" s="319" t="s">
        <v>1040</v>
      </c>
      <c r="P7" s="319">
        <v>501</v>
      </c>
      <c r="Q7" s="319" t="s">
        <v>2766</v>
      </c>
      <c r="R7" s="320">
        <v>10095013</v>
      </c>
      <c r="S7" s="321">
        <v>43543</v>
      </c>
      <c r="T7" s="321">
        <v>43545</v>
      </c>
      <c r="U7" s="321">
        <v>43604</v>
      </c>
      <c r="V7" s="319" t="s">
        <v>554</v>
      </c>
      <c r="W7" s="319" t="s">
        <v>2767</v>
      </c>
      <c r="X7" s="319">
        <v>3</v>
      </c>
      <c r="Y7" s="319" t="s">
        <v>173</v>
      </c>
      <c r="Z7" s="319" t="s">
        <v>173</v>
      </c>
      <c r="AA7" s="319" t="s">
        <v>173</v>
      </c>
      <c r="AB7" s="319">
        <v>3</v>
      </c>
      <c r="AC7" s="319" t="s">
        <v>169</v>
      </c>
      <c r="AD7" s="319">
        <v>2</v>
      </c>
      <c r="AE7" s="319" t="s">
        <v>173</v>
      </c>
      <c r="AF7" s="319" t="s">
        <v>427</v>
      </c>
      <c r="AG7" s="319" t="s">
        <v>172</v>
      </c>
      <c r="AH7" s="319" t="s">
        <v>479</v>
      </c>
      <c r="AI7" s="319" t="s">
        <v>190</v>
      </c>
      <c r="AJ7" s="319" t="s">
        <v>190</v>
      </c>
      <c r="AK7" s="319" t="s">
        <v>190</v>
      </c>
      <c r="AL7" s="319" t="s">
        <v>190</v>
      </c>
      <c r="AM7" s="319" t="s">
        <v>190</v>
      </c>
      <c r="AN7" s="319" t="s">
        <v>190</v>
      </c>
      <c r="AO7" s="319" t="s">
        <v>479</v>
      </c>
      <c r="AP7" s="319" t="s">
        <v>190</v>
      </c>
      <c r="AQ7" s="319" t="s">
        <v>190</v>
      </c>
      <c r="AR7" s="319" t="s">
        <v>190</v>
      </c>
      <c r="AS7" s="319" t="s">
        <v>190</v>
      </c>
      <c r="AT7" s="319" t="s">
        <v>190</v>
      </c>
      <c r="AU7" s="319" t="s">
        <v>190</v>
      </c>
      <c r="AV7" s="319" t="s">
        <v>190</v>
      </c>
      <c r="AW7" s="319" t="s">
        <v>190</v>
      </c>
      <c r="AX7" s="319" t="s">
        <v>428</v>
      </c>
      <c r="AY7" s="319" t="s">
        <v>190</v>
      </c>
      <c r="AZ7" s="319" t="s">
        <v>190</v>
      </c>
      <c r="BA7" s="319" t="s">
        <v>190</v>
      </c>
      <c r="BB7" s="319" t="s">
        <v>190</v>
      </c>
      <c r="BC7" s="319" t="s">
        <v>190</v>
      </c>
      <c r="BD7" s="319" t="s">
        <v>190</v>
      </c>
      <c r="BE7" s="319" t="s">
        <v>190</v>
      </c>
      <c r="BF7" s="319" t="s">
        <v>190</v>
      </c>
      <c r="BG7" s="319" t="s">
        <v>190</v>
      </c>
      <c r="BH7" s="319" t="s">
        <v>190</v>
      </c>
      <c r="BI7" s="319" t="s">
        <v>190</v>
      </c>
      <c r="BJ7" s="319" t="s">
        <v>191</v>
      </c>
      <c r="BK7" s="319" t="s">
        <v>191</v>
      </c>
      <c r="BL7" s="319" t="s">
        <v>190</v>
      </c>
      <c r="BM7" s="319" t="s">
        <v>190</v>
      </c>
      <c r="BN7" s="319" t="s">
        <v>190</v>
      </c>
      <c r="BO7" s="319" t="s">
        <v>190</v>
      </c>
      <c r="BP7" s="319" t="s">
        <v>190</v>
      </c>
      <c r="BQ7" s="319" t="s">
        <v>190</v>
      </c>
      <c r="BR7" s="319" t="s">
        <v>190</v>
      </c>
      <c r="BS7" s="319" t="s">
        <v>190</v>
      </c>
      <c r="BT7" s="319" t="s">
        <v>190</v>
      </c>
      <c r="BU7" s="319" t="s">
        <v>190</v>
      </c>
      <c r="BV7" s="319" t="s">
        <v>190</v>
      </c>
      <c r="BW7" s="319" t="s">
        <v>190</v>
      </c>
      <c r="BX7" s="319" t="s">
        <v>190</v>
      </c>
      <c r="BY7" s="319" t="s">
        <v>190</v>
      </c>
      <c r="BZ7" s="319" t="s">
        <v>190</v>
      </c>
      <c r="CA7" s="319" t="s">
        <v>190</v>
      </c>
      <c r="CB7" s="319" t="s">
        <v>190</v>
      </c>
      <c r="CC7" s="319" t="s">
        <v>190</v>
      </c>
      <c r="CD7" s="319" t="s">
        <v>190</v>
      </c>
      <c r="CE7" s="319" t="s">
        <v>190</v>
      </c>
      <c r="CF7" s="319" t="s">
        <v>190</v>
      </c>
      <c r="CG7" s="319" t="s">
        <v>190</v>
      </c>
      <c r="CH7" s="319" t="s">
        <v>190</v>
      </c>
      <c r="CI7" s="319" t="s">
        <v>190</v>
      </c>
      <c r="CJ7" s="319" t="s">
        <v>190</v>
      </c>
      <c r="CK7" s="319" t="s">
        <v>190</v>
      </c>
      <c r="CL7" s="319" t="s">
        <v>190</v>
      </c>
      <c r="CM7" s="319" t="s">
        <v>190</v>
      </c>
      <c r="CN7" s="319" t="s">
        <v>190</v>
      </c>
      <c r="CO7" s="319" t="s">
        <v>190</v>
      </c>
      <c r="CP7" s="319" t="s">
        <v>190</v>
      </c>
      <c r="CQ7" s="319" t="s">
        <v>190</v>
      </c>
      <c r="CR7" s="319" t="s">
        <v>190</v>
      </c>
      <c r="CS7" s="319" t="s">
        <v>190</v>
      </c>
      <c r="CT7" s="319" t="s">
        <v>190</v>
      </c>
      <c r="CU7" s="319" t="s">
        <v>190</v>
      </c>
      <c r="CV7" s="319" t="s">
        <v>190</v>
      </c>
      <c r="CW7" s="319" t="s">
        <v>190</v>
      </c>
      <c r="CX7" s="319" t="s">
        <v>190</v>
      </c>
      <c r="CY7" s="319" t="s">
        <v>190</v>
      </c>
      <c r="CZ7" s="319" t="s">
        <v>190</v>
      </c>
      <c r="DA7" s="319" t="s">
        <v>190</v>
      </c>
      <c r="DB7" s="319" t="s">
        <v>190</v>
      </c>
      <c r="DC7" s="319" t="s">
        <v>190</v>
      </c>
      <c r="DD7" s="319" t="s">
        <v>190</v>
      </c>
      <c r="DE7" s="319" t="s">
        <v>190</v>
      </c>
      <c r="DF7" s="319" t="s">
        <v>190</v>
      </c>
      <c r="DG7" s="319" t="s">
        <v>190</v>
      </c>
      <c r="DH7" s="319" t="s">
        <v>190</v>
      </c>
      <c r="DI7" s="319" t="s">
        <v>190</v>
      </c>
      <c r="DJ7" s="319" t="s">
        <v>190</v>
      </c>
      <c r="DK7" s="319" t="s">
        <v>190</v>
      </c>
      <c r="DL7" s="319" t="s">
        <v>190</v>
      </c>
      <c r="DM7" s="319" t="s">
        <v>190</v>
      </c>
      <c r="DN7" s="319" t="s">
        <v>190</v>
      </c>
      <c r="DO7" s="319" t="s">
        <v>190</v>
      </c>
      <c r="DP7" s="319" t="s">
        <v>190</v>
      </c>
      <c r="DQ7" s="319" t="s">
        <v>190</v>
      </c>
      <c r="DR7" s="319" t="s">
        <v>190</v>
      </c>
      <c r="DS7" s="319" t="s">
        <v>190</v>
      </c>
      <c r="DT7" s="319" t="s">
        <v>190</v>
      </c>
      <c r="DU7" s="319" t="s">
        <v>190</v>
      </c>
      <c r="DV7" s="319" t="s">
        <v>173</v>
      </c>
      <c r="DW7" s="319" t="s">
        <v>190</v>
      </c>
      <c r="DX7" s="319" t="s">
        <v>190</v>
      </c>
      <c r="DY7" s="319" t="s">
        <v>190</v>
      </c>
      <c r="DZ7" s="319" t="s">
        <v>190</v>
      </c>
      <c r="EA7" s="319" t="s">
        <v>190</v>
      </c>
      <c r="EB7" s="319" t="s">
        <v>190</v>
      </c>
      <c r="EC7" s="319" t="s">
        <v>190</v>
      </c>
      <c r="ED7" s="319" t="s">
        <v>190</v>
      </c>
      <c r="EE7" s="319" t="s">
        <v>190</v>
      </c>
      <c r="EF7" s="319" t="s">
        <v>190</v>
      </c>
      <c r="EG7" s="319" t="s">
        <v>190</v>
      </c>
      <c r="EH7" s="319" t="s">
        <v>190</v>
      </c>
      <c r="EI7" s="319" t="s">
        <v>190</v>
      </c>
      <c r="EJ7" s="319" t="s">
        <v>190</v>
      </c>
      <c r="EK7" s="319" t="s">
        <v>190</v>
      </c>
      <c r="EL7" s="319" t="s">
        <v>190</v>
      </c>
      <c r="EM7" s="319" t="s">
        <v>190</v>
      </c>
      <c r="EN7" s="319" t="s">
        <v>190</v>
      </c>
      <c r="EO7" s="319" t="s">
        <v>190</v>
      </c>
      <c r="EP7" s="319" t="s">
        <v>190</v>
      </c>
      <c r="EQ7" s="319" t="s">
        <v>190</v>
      </c>
      <c r="ER7" s="319" t="s">
        <v>190</v>
      </c>
      <c r="ES7" s="319" t="s">
        <v>190</v>
      </c>
      <c r="ET7" s="319" t="s">
        <v>190</v>
      </c>
      <c r="EU7" s="319" t="s">
        <v>190</v>
      </c>
      <c r="EV7" s="319" t="s">
        <v>190</v>
      </c>
      <c r="EW7" s="319" t="s">
        <v>190</v>
      </c>
      <c r="EX7" s="319" t="s">
        <v>190</v>
      </c>
      <c r="EY7" s="319" t="s">
        <v>190</v>
      </c>
      <c r="EZ7" s="319" t="s">
        <v>190</v>
      </c>
      <c r="FA7" s="319" t="s">
        <v>190</v>
      </c>
      <c r="FB7" s="319" t="s">
        <v>190</v>
      </c>
      <c r="FC7" s="319" t="s">
        <v>190</v>
      </c>
      <c r="FD7" s="319" t="s">
        <v>190</v>
      </c>
      <c r="FE7" s="319" t="s">
        <v>190</v>
      </c>
      <c r="FF7" s="319" t="s">
        <v>190</v>
      </c>
      <c r="FG7" s="319" t="s">
        <v>190</v>
      </c>
      <c r="FH7" s="319" t="s">
        <v>190</v>
      </c>
      <c r="FI7" s="319" t="s">
        <v>190</v>
      </c>
      <c r="FJ7" s="319" t="s">
        <v>190</v>
      </c>
      <c r="FK7" s="319" t="s">
        <v>190</v>
      </c>
      <c r="FL7" s="319" t="s">
        <v>190</v>
      </c>
      <c r="FM7" s="319" t="s">
        <v>190</v>
      </c>
      <c r="FN7" s="319" t="s">
        <v>190</v>
      </c>
      <c r="FO7" s="319" t="s">
        <v>190</v>
      </c>
      <c r="FP7" s="319" t="s">
        <v>190</v>
      </c>
      <c r="FQ7" s="319" t="s">
        <v>190</v>
      </c>
      <c r="FR7" s="319" t="s">
        <v>190</v>
      </c>
      <c r="FS7" s="319" t="s">
        <v>190</v>
      </c>
      <c r="FT7" s="319" t="s">
        <v>190</v>
      </c>
      <c r="FU7" s="319" t="s">
        <v>190</v>
      </c>
      <c r="FV7" s="319" t="s">
        <v>190</v>
      </c>
      <c r="FW7" s="319" t="s">
        <v>190</v>
      </c>
      <c r="FX7" s="319" t="s">
        <v>190</v>
      </c>
      <c r="FY7" s="319" t="s">
        <v>190</v>
      </c>
      <c r="FZ7" s="319" t="s">
        <v>190</v>
      </c>
      <c r="GA7" s="319" t="s">
        <v>190</v>
      </c>
      <c r="GB7" s="319" t="s">
        <v>190</v>
      </c>
      <c r="GC7" s="319" t="s">
        <v>190</v>
      </c>
      <c r="GD7" s="319" t="s">
        <v>190</v>
      </c>
      <c r="GE7" s="319" t="s">
        <v>190</v>
      </c>
      <c r="GF7" s="319" t="s">
        <v>190</v>
      </c>
      <c r="GG7" s="319" t="s">
        <v>190</v>
      </c>
      <c r="GH7" s="319" t="s">
        <v>190</v>
      </c>
      <c r="GI7" s="319" t="s">
        <v>190</v>
      </c>
      <c r="GJ7" s="319" t="s">
        <v>190</v>
      </c>
      <c r="GK7" s="319" t="s">
        <v>190</v>
      </c>
      <c r="GL7" s="319" t="s">
        <v>190</v>
      </c>
      <c r="GM7" s="319" t="s">
        <v>190</v>
      </c>
      <c r="GN7" s="319" t="s">
        <v>190</v>
      </c>
      <c r="GO7" s="319" t="s">
        <v>190</v>
      </c>
      <c r="GP7" s="319" t="s">
        <v>190</v>
      </c>
      <c r="GQ7" s="319" t="s">
        <v>190</v>
      </c>
      <c r="GR7" s="319" t="s">
        <v>190</v>
      </c>
      <c r="GS7" s="319" t="s">
        <v>190</v>
      </c>
      <c r="GT7" s="319" t="s">
        <v>190</v>
      </c>
      <c r="GU7" s="319" t="s">
        <v>190</v>
      </c>
      <c r="GV7" s="319" t="s">
        <v>190</v>
      </c>
      <c r="GW7" s="319" t="s">
        <v>190</v>
      </c>
      <c r="GX7" s="319" t="s">
        <v>190</v>
      </c>
      <c r="GY7" s="319" t="s">
        <v>190</v>
      </c>
      <c r="GZ7" s="319" t="s">
        <v>190</v>
      </c>
      <c r="HA7" s="319" t="s">
        <v>190</v>
      </c>
      <c r="HB7" s="319" t="s">
        <v>190</v>
      </c>
      <c r="HC7" s="319" t="s">
        <v>190</v>
      </c>
      <c r="HD7" s="319" t="s">
        <v>190</v>
      </c>
      <c r="HE7" s="319" t="s">
        <v>190</v>
      </c>
      <c r="HF7" s="319" t="s">
        <v>190</v>
      </c>
      <c r="HG7" s="319" t="s">
        <v>190</v>
      </c>
      <c r="HH7" s="319" t="s">
        <v>190</v>
      </c>
      <c r="HI7" s="319" t="s">
        <v>190</v>
      </c>
      <c r="HJ7" s="319" t="s">
        <v>190</v>
      </c>
      <c r="HK7" s="319" t="s">
        <v>190</v>
      </c>
      <c r="HL7" s="319" t="s">
        <v>190</v>
      </c>
      <c r="HM7" s="319" t="s">
        <v>190</v>
      </c>
      <c r="HN7" s="319" t="s">
        <v>190</v>
      </c>
      <c r="HO7" s="319" t="s">
        <v>190</v>
      </c>
      <c r="HP7" s="319" t="s">
        <v>190</v>
      </c>
      <c r="HQ7" s="319" t="s">
        <v>190</v>
      </c>
      <c r="HR7" s="319" t="s">
        <v>190</v>
      </c>
      <c r="HS7" s="319" t="s">
        <v>190</v>
      </c>
      <c r="HT7" s="319" t="s">
        <v>190</v>
      </c>
      <c r="HU7" s="319" t="s">
        <v>190</v>
      </c>
      <c r="HV7" s="319" t="s">
        <v>190</v>
      </c>
      <c r="HW7" s="319" t="s">
        <v>190</v>
      </c>
      <c r="HX7" s="319" t="s">
        <v>190</v>
      </c>
      <c r="HY7" s="319" t="s">
        <v>190</v>
      </c>
      <c r="HZ7" s="319" t="s">
        <v>190</v>
      </c>
      <c r="IA7" s="319" t="s">
        <v>190</v>
      </c>
      <c r="IB7" s="319" t="s">
        <v>190</v>
      </c>
      <c r="IC7" s="319" t="s">
        <v>190</v>
      </c>
      <c r="ID7" s="319" t="s">
        <v>190</v>
      </c>
      <c r="IE7" s="319" t="s">
        <v>190</v>
      </c>
      <c r="IF7" s="319" t="s">
        <v>191</v>
      </c>
      <c r="IG7" s="319" t="s">
        <v>191</v>
      </c>
      <c r="IH7" s="319" t="s">
        <v>191</v>
      </c>
      <c r="II7" s="319" t="s">
        <v>190</v>
      </c>
      <c r="IJ7" s="319">
        <v>10012781</v>
      </c>
      <c r="IK7" s="321">
        <v>42997</v>
      </c>
      <c r="IL7" s="321">
        <v>42999</v>
      </c>
      <c r="IM7" s="321">
        <v>43052</v>
      </c>
      <c r="IN7" s="319">
        <v>1</v>
      </c>
      <c r="IO7" s="319">
        <v>10119842</v>
      </c>
      <c r="IP7" s="319" t="s">
        <v>1061</v>
      </c>
      <c r="IQ7" s="321">
        <v>43720</v>
      </c>
      <c r="IR7" s="320" t="s">
        <v>2771</v>
      </c>
      <c r="IS7" s="322">
        <v>43755</v>
      </c>
      <c r="IT7" s="319" t="s">
        <v>165</v>
      </c>
    </row>
    <row r="8" spans="1:254" s="271" customFormat="1" x14ac:dyDescent="0.25">
      <c r="A8" s="318" t="str">
        <f>HYPERLINK("http://www.ofsted.gov.uk/inspection-reports/find-inspection-report/provider/ELS/100082 ","Ofsted School Webpage")</f>
        <v>Ofsted School Webpage</v>
      </c>
      <c r="B8" s="319">
        <v>100082</v>
      </c>
      <c r="C8" s="319">
        <v>2026385</v>
      </c>
      <c r="D8" s="319" t="s">
        <v>1212</v>
      </c>
      <c r="E8" s="319" t="s">
        <v>167</v>
      </c>
      <c r="F8" s="319" t="s">
        <v>81</v>
      </c>
      <c r="G8" s="319" t="s">
        <v>81</v>
      </c>
      <c r="H8" s="319" t="s">
        <v>81</v>
      </c>
      <c r="I8" s="319" t="s">
        <v>78</v>
      </c>
      <c r="J8" s="319" t="s">
        <v>424</v>
      </c>
      <c r="K8" s="319" t="s">
        <v>441</v>
      </c>
      <c r="L8" s="319" t="s">
        <v>441</v>
      </c>
      <c r="M8" s="319" t="s">
        <v>1039</v>
      </c>
      <c r="N8" s="319" t="s">
        <v>2769</v>
      </c>
      <c r="O8" s="319" t="s">
        <v>1213</v>
      </c>
      <c r="P8" s="319">
        <v>669</v>
      </c>
      <c r="Q8" s="319" t="s">
        <v>2766</v>
      </c>
      <c r="R8" s="320">
        <v>10041393</v>
      </c>
      <c r="S8" s="321">
        <v>43277</v>
      </c>
      <c r="T8" s="321">
        <v>43279</v>
      </c>
      <c r="U8" s="321">
        <v>43361</v>
      </c>
      <c r="V8" s="319" t="s">
        <v>425</v>
      </c>
      <c r="W8" s="319" t="s">
        <v>2767</v>
      </c>
      <c r="X8" s="319">
        <v>1</v>
      </c>
      <c r="Y8" s="319" t="s">
        <v>173</v>
      </c>
      <c r="Z8" s="319" t="s">
        <v>173</v>
      </c>
      <c r="AA8" s="319" t="s">
        <v>173</v>
      </c>
      <c r="AB8" s="319">
        <v>1</v>
      </c>
      <c r="AC8" s="319" t="s">
        <v>169</v>
      </c>
      <c r="AD8" s="319" t="s">
        <v>173</v>
      </c>
      <c r="AE8" s="319" t="s">
        <v>173</v>
      </c>
      <c r="AF8" s="319" t="s">
        <v>427</v>
      </c>
      <c r="AG8" s="319" t="s">
        <v>171</v>
      </c>
      <c r="AH8" s="319" t="s">
        <v>190</v>
      </c>
      <c r="AI8" s="319" t="s">
        <v>190</v>
      </c>
      <c r="AJ8" s="319" t="s">
        <v>190</v>
      </c>
      <c r="AK8" s="319" t="s">
        <v>190</v>
      </c>
      <c r="AL8" s="319" t="s">
        <v>190</v>
      </c>
      <c r="AM8" s="319" t="s">
        <v>190</v>
      </c>
      <c r="AN8" s="319" t="s">
        <v>190</v>
      </c>
      <c r="AO8" s="319" t="s">
        <v>190</v>
      </c>
      <c r="AP8" s="319" t="s">
        <v>190</v>
      </c>
      <c r="AQ8" s="319" t="s">
        <v>190</v>
      </c>
      <c r="AR8" s="319" t="s">
        <v>190</v>
      </c>
      <c r="AS8" s="319" t="s">
        <v>190</v>
      </c>
      <c r="AT8" s="319" t="s">
        <v>190</v>
      </c>
      <c r="AU8" s="319" t="s">
        <v>190</v>
      </c>
      <c r="AV8" s="319" t="s">
        <v>190</v>
      </c>
      <c r="AW8" s="319" t="s">
        <v>190</v>
      </c>
      <c r="AX8" s="319" t="s">
        <v>190</v>
      </c>
      <c r="AY8" s="319" t="s">
        <v>190</v>
      </c>
      <c r="AZ8" s="319" t="s">
        <v>190</v>
      </c>
      <c r="BA8" s="319" t="s">
        <v>190</v>
      </c>
      <c r="BB8" s="319" t="s">
        <v>190</v>
      </c>
      <c r="BC8" s="319" t="s">
        <v>190</v>
      </c>
      <c r="BD8" s="319" t="s">
        <v>190</v>
      </c>
      <c r="BE8" s="319" t="s">
        <v>190</v>
      </c>
      <c r="BF8" s="319" t="s">
        <v>428</v>
      </c>
      <c r="BG8" s="319" t="s">
        <v>190</v>
      </c>
      <c r="BH8" s="319" t="s">
        <v>190</v>
      </c>
      <c r="BI8" s="319" t="s">
        <v>190</v>
      </c>
      <c r="BJ8" s="319" t="s">
        <v>190</v>
      </c>
      <c r="BK8" s="319" t="s">
        <v>190</v>
      </c>
      <c r="BL8" s="319" t="s">
        <v>190</v>
      </c>
      <c r="BM8" s="319" t="s">
        <v>190</v>
      </c>
      <c r="BN8" s="319" t="s">
        <v>190</v>
      </c>
      <c r="BO8" s="319" t="s">
        <v>190</v>
      </c>
      <c r="BP8" s="319" t="s">
        <v>190</v>
      </c>
      <c r="BQ8" s="319" t="s">
        <v>190</v>
      </c>
      <c r="BR8" s="319" t="s">
        <v>190</v>
      </c>
      <c r="BS8" s="319" t="s">
        <v>190</v>
      </c>
      <c r="BT8" s="319" t="s">
        <v>190</v>
      </c>
      <c r="BU8" s="319" t="s">
        <v>190</v>
      </c>
      <c r="BV8" s="319" t="s">
        <v>190</v>
      </c>
      <c r="BW8" s="319" t="s">
        <v>190</v>
      </c>
      <c r="BX8" s="319" t="s">
        <v>190</v>
      </c>
      <c r="BY8" s="319" t="s">
        <v>190</v>
      </c>
      <c r="BZ8" s="319" t="s">
        <v>190</v>
      </c>
      <c r="CA8" s="319" t="s">
        <v>190</v>
      </c>
      <c r="CB8" s="319" t="s">
        <v>190</v>
      </c>
      <c r="CC8" s="319" t="s">
        <v>190</v>
      </c>
      <c r="CD8" s="319" t="s">
        <v>190</v>
      </c>
      <c r="CE8" s="319" t="s">
        <v>190</v>
      </c>
      <c r="CF8" s="319" t="s">
        <v>190</v>
      </c>
      <c r="CG8" s="319" t="s">
        <v>190</v>
      </c>
      <c r="CH8" s="319" t="s">
        <v>190</v>
      </c>
      <c r="CI8" s="319" t="s">
        <v>190</v>
      </c>
      <c r="CJ8" s="319" t="s">
        <v>190</v>
      </c>
      <c r="CK8" s="319" t="s">
        <v>190</v>
      </c>
      <c r="CL8" s="319" t="s">
        <v>190</v>
      </c>
      <c r="CM8" s="319" t="s">
        <v>190</v>
      </c>
      <c r="CN8" s="319" t="s">
        <v>190</v>
      </c>
      <c r="CO8" s="319" t="s">
        <v>428</v>
      </c>
      <c r="CP8" s="319" t="s">
        <v>428</v>
      </c>
      <c r="CQ8" s="319" t="s">
        <v>190</v>
      </c>
      <c r="CR8" s="319" t="s">
        <v>190</v>
      </c>
      <c r="CS8" s="319" t="s">
        <v>190</v>
      </c>
      <c r="CT8" s="319" t="s">
        <v>190</v>
      </c>
      <c r="CU8" s="319" t="s">
        <v>190</v>
      </c>
      <c r="CV8" s="319" t="s">
        <v>190</v>
      </c>
      <c r="CW8" s="319" t="s">
        <v>190</v>
      </c>
      <c r="CX8" s="319" t="s">
        <v>190</v>
      </c>
      <c r="CY8" s="319" t="s">
        <v>190</v>
      </c>
      <c r="CZ8" s="319" t="s">
        <v>190</v>
      </c>
      <c r="DA8" s="319" t="s">
        <v>190</v>
      </c>
      <c r="DB8" s="319" t="s">
        <v>190</v>
      </c>
      <c r="DC8" s="319" t="s">
        <v>190</v>
      </c>
      <c r="DD8" s="319" t="s">
        <v>190</v>
      </c>
      <c r="DE8" s="319" t="s">
        <v>190</v>
      </c>
      <c r="DF8" s="319" t="s">
        <v>190</v>
      </c>
      <c r="DG8" s="319" t="s">
        <v>190</v>
      </c>
      <c r="DH8" s="319" t="s">
        <v>190</v>
      </c>
      <c r="DI8" s="319" t="s">
        <v>190</v>
      </c>
      <c r="DJ8" s="319" t="s">
        <v>190</v>
      </c>
      <c r="DK8" s="319" t="s">
        <v>190</v>
      </c>
      <c r="DL8" s="319" t="s">
        <v>190</v>
      </c>
      <c r="DM8" s="319" t="s">
        <v>190</v>
      </c>
      <c r="DN8" s="319" t="s">
        <v>428</v>
      </c>
      <c r="DO8" s="319" t="s">
        <v>428</v>
      </c>
      <c r="DP8" s="319" t="s">
        <v>190</v>
      </c>
      <c r="DQ8" s="319" t="s">
        <v>190</v>
      </c>
      <c r="DR8" s="319" t="s">
        <v>190</v>
      </c>
      <c r="DS8" s="319" t="s">
        <v>190</v>
      </c>
      <c r="DT8" s="319" t="s">
        <v>190</v>
      </c>
      <c r="DU8" s="319" t="s">
        <v>190</v>
      </c>
      <c r="DV8" s="319" t="s">
        <v>173</v>
      </c>
      <c r="DW8" s="319" t="s">
        <v>190</v>
      </c>
      <c r="DX8" s="319" t="s">
        <v>190</v>
      </c>
      <c r="DY8" s="319" t="s">
        <v>190</v>
      </c>
      <c r="DZ8" s="319" t="s">
        <v>190</v>
      </c>
      <c r="EA8" s="319" t="s">
        <v>190</v>
      </c>
      <c r="EB8" s="319" t="s">
        <v>190</v>
      </c>
      <c r="EC8" s="319" t="s">
        <v>428</v>
      </c>
      <c r="ED8" s="319" t="s">
        <v>190</v>
      </c>
      <c r="EE8" s="319" t="s">
        <v>190</v>
      </c>
      <c r="EF8" s="319" t="s">
        <v>190</v>
      </c>
      <c r="EG8" s="319" t="s">
        <v>190</v>
      </c>
      <c r="EH8" s="319" t="s">
        <v>190</v>
      </c>
      <c r="EI8" s="319" t="s">
        <v>190</v>
      </c>
      <c r="EJ8" s="319" t="s">
        <v>190</v>
      </c>
      <c r="EK8" s="319" t="s">
        <v>173</v>
      </c>
      <c r="EL8" s="319" t="s">
        <v>190</v>
      </c>
      <c r="EM8" s="319" t="s">
        <v>190</v>
      </c>
      <c r="EN8" s="319" t="s">
        <v>190</v>
      </c>
      <c r="EO8" s="319" t="s">
        <v>190</v>
      </c>
      <c r="EP8" s="319" t="s">
        <v>190</v>
      </c>
      <c r="EQ8" s="319" t="s">
        <v>190</v>
      </c>
      <c r="ER8" s="319" t="s">
        <v>190</v>
      </c>
      <c r="ES8" s="319" t="s">
        <v>190</v>
      </c>
      <c r="ET8" s="319" t="s">
        <v>190</v>
      </c>
      <c r="EU8" s="319" t="s">
        <v>190</v>
      </c>
      <c r="EV8" s="319" t="s">
        <v>190</v>
      </c>
      <c r="EW8" s="319" t="s">
        <v>190</v>
      </c>
      <c r="EX8" s="319" t="s">
        <v>190</v>
      </c>
      <c r="EY8" s="319" t="s">
        <v>190</v>
      </c>
      <c r="EZ8" s="319" t="s">
        <v>190</v>
      </c>
      <c r="FA8" s="319" t="s">
        <v>190</v>
      </c>
      <c r="FB8" s="319" t="s">
        <v>190</v>
      </c>
      <c r="FC8" s="319" t="s">
        <v>190</v>
      </c>
      <c r="FD8" s="319" t="s">
        <v>190</v>
      </c>
      <c r="FE8" s="319" t="s">
        <v>190</v>
      </c>
      <c r="FF8" s="319" t="s">
        <v>190</v>
      </c>
      <c r="FG8" s="319" t="s">
        <v>190</v>
      </c>
      <c r="FH8" s="319" t="s">
        <v>190</v>
      </c>
      <c r="FI8" s="319" t="s">
        <v>190</v>
      </c>
      <c r="FJ8" s="319" t="s">
        <v>190</v>
      </c>
      <c r="FK8" s="319" t="s">
        <v>190</v>
      </c>
      <c r="FL8" s="319" t="s">
        <v>190</v>
      </c>
      <c r="FM8" s="319" t="s">
        <v>190</v>
      </c>
      <c r="FN8" s="319" t="s">
        <v>190</v>
      </c>
      <c r="FO8" s="319" t="s">
        <v>190</v>
      </c>
      <c r="FP8" s="319" t="s">
        <v>190</v>
      </c>
      <c r="FQ8" s="319" t="s">
        <v>190</v>
      </c>
      <c r="FR8" s="319" t="s">
        <v>190</v>
      </c>
      <c r="FS8" s="319" t="s">
        <v>190</v>
      </c>
      <c r="FT8" s="319" t="s">
        <v>190</v>
      </c>
      <c r="FU8" s="319" t="s">
        <v>190</v>
      </c>
      <c r="FV8" s="319" t="s">
        <v>190</v>
      </c>
      <c r="FW8" s="319" t="s">
        <v>190</v>
      </c>
      <c r="FX8" s="319" t="s">
        <v>190</v>
      </c>
      <c r="FY8" s="319" t="s">
        <v>190</v>
      </c>
      <c r="FZ8" s="319" t="s">
        <v>190</v>
      </c>
      <c r="GA8" s="319" t="s">
        <v>190</v>
      </c>
      <c r="GB8" s="319" t="s">
        <v>190</v>
      </c>
      <c r="GC8" s="319" t="s">
        <v>190</v>
      </c>
      <c r="GD8" s="319" t="s">
        <v>190</v>
      </c>
      <c r="GE8" s="319" t="s">
        <v>190</v>
      </c>
      <c r="GF8" s="319" t="s">
        <v>190</v>
      </c>
      <c r="GG8" s="319" t="s">
        <v>190</v>
      </c>
      <c r="GH8" s="319" t="s">
        <v>190</v>
      </c>
      <c r="GI8" s="319" t="s">
        <v>190</v>
      </c>
      <c r="GJ8" s="319" t="s">
        <v>190</v>
      </c>
      <c r="GK8" s="319" t="s">
        <v>428</v>
      </c>
      <c r="GL8" s="319" t="s">
        <v>190</v>
      </c>
      <c r="GM8" s="319" t="s">
        <v>190</v>
      </c>
      <c r="GN8" s="319" t="s">
        <v>190</v>
      </c>
      <c r="GO8" s="319" t="s">
        <v>190</v>
      </c>
      <c r="GP8" s="319" t="s">
        <v>190</v>
      </c>
      <c r="GQ8" s="319" t="s">
        <v>190</v>
      </c>
      <c r="GR8" s="319" t="s">
        <v>190</v>
      </c>
      <c r="GS8" s="319" t="s">
        <v>190</v>
      </c>
      <c r="GT8" s="319" t="s">
        <v>428</v>
      </c>
      <c r="GU8" s="319" t="s">
        <v>428</v>
      </c>
      <c r="GV8" s="319" t="s">
        <v>190</v>
      </c>
      <c r="GW8" s="319" t="s">
        <v>190</v>
      </c>
      <c r="GX8" s="319" t="s">
        <v>190</v>
      </c>
      <c r="GY8" s="319" t="s">
        <v>190</v>
      </c>
      <c r="GZ8" s="319" t="s">
        <v>173</v>
      </c>
      <c r="HA8" s="319" t="s">
        <v>190</v>
      </c>
      <c r="HB8" s="319" t="s">
        <v>190</v>
      </c>
      <c r="HC8" s="319" t="s">
        <v>190</v>
      </c>
      <c r="HD8" s="319" t="s">
        <v>190</v>
      </c>
      <c r="HE8" s="319" t="s">
        <v>190</v>
      </c>
      <c r="HF8" s="319" t="s">
        <v>190</v>
      </c>
      <c r="HG8" s="319" t="s">
        <v>190</v>
      </c>
      <c r="HH8" s="319" t="s">
        <v>190</v>
      </c>
      <c r="HI8" s="319" t="s">
        <v>190</v>
      </c>
      <c r="HJ8" s="319" t="s">
        <v>190</v>
      </c>
      <c r="HK8" s="319" t="s">
        <v>190</v>
      </c>
      <c r="HL8" s="319" t="s">
        <v>190</v>
      </c>
      <c r="HM8" s="319" t="s">
        <v>428</v>
      </c>
      <c r="HN8" s="319" t="s">
        <v>428</v>
      </c>
      <c r="HO8" s="319" t="s">
        <v>428</v>
      </c>
      <c r="HP8" s="319" t="s">
        <v>190</v>
      </c>
      <c r="HQ8" s="319" t="s">
        <v>190</v>
      </c>
      <c r="HR8" s="319" t="s">
        <v>190</v>
      </c>
      <c r="HS8" s="319" t="s">
        <v>190</v>
      </c>
      <c r="HT8" s="319" t="s">
        <v>190</v>
      </c>
      <c r="HU8" s="319" t="s">
        <v>190</v>
      </c>
      <c r="HV8" s="319" t="s">
        <v>190</v>
      </c>
      <c r="HW8" s="319" t="s">
        <v>190</v>
      </c>
      <c r="HX8" s="319" t="s">
        <v>190</v>
      </c>
      <c r="HY8" s="319" t="s">
        <v>190</v>
      </c>
      <c r="HZ8" s="319" t="s">
        <v>190</v>
      </c>
      <c r="IA8" s="319" t="s">
        <v>190</v>
      </c>
      <c r="IB8" s="319" t="s">
        <v>190</v>
      </c>
      <c r="IC8" s="319" t="s">
        <v>190</v>
      </c>
      <c r="ID8" s="319" t="s">
        <v>190</v>
      </c>
      <c r="IE8" s="319" t="s">
        <v>190</v>
      </c>
      <c r="IF8" s="319" t="s">
        <v>190</v>
      </c>
      <c r="IG8" s="319" t="s">
        <v>190</v>
      </c>
      <c r="IH8" s="319" t="s">
        <v>190</v>
      </c>
      <c r="II8" s="319" t="s">
        <v>190</v>
      </c>
      <c r="IJ8" s="319" t="s">
        <v>2772</v>
      </c>
      <c r="IK8" s="321">
        <v>42073</v>
      </c>
      <c r="IL8" s="321">
        <v>42075</v>
      </c>
      <c r="IM8" s="321">
        <v>42125</v>
      </c>
      <c r="IN8" s="319">
        <v>2</v>
      </c>
      <c r="IO8" s="319" t="s">
        <v>173</v>
      </c>
      <c r="IP8" s="319" t="s">
        <v>173</v>
      </c>
      <c r="IQ8" s="321" t="s">
        <v>173</v>
      </c>
      <c r="IR8" s="320" t="s">
        <v>173</v>
      </c>
      <c r="IS8" s="322" t="s">
        <v>173</v>
      </c>
      <c r="IT8" s="319" t="s">
        <v>173</v>
      </c>
    </row>
    <row r="9" spans="1:254" s="271" customFormat="1" x14ac:dyDescent="0.25">
      <c r="A9" s="318" t="str">
        <f>HYPERLINK("http://www.ofsted.gov.uk/inspection-reports/find-inspection-report/provider/ELS/100086 ","Ofsted School Webpage")</f>
        <v>Ofsted School Webpage</v>
      </c>
      <c r="B9" s="319">
        <v>100086</v>
      </c>
      <c r="C9" s="319">
        <v>2026390</v>
      </c>
      <c r="D9" s="319" t="s">
        <v>1214</v>
      </c>
      <c r="E9" s="319" t="s">
        <v>167</v>
      </c>
      <c r="F9" s="319" t="s">
        <v>81</v>
      </c>
      <c r="G9" s="319" t="s">
        <v>81</v>
      </c>
      <c r="H9" s="319" t="s">
        <v>81</v>
      </c>
      <c r="I9" s="319" t="s">
        <v>78</v>
      </c>
      <c r="J9" s="319" t="s">
        <v>424</v>
      </c>
      <c r="K9" s="319" t="s">
        <v>441</v>
      </c>
      <c r="L9" s="319" t="s">
        <v>441</v>
      </c>
      <c r="M9" s="319" t="s">
        <v>1039</v>
      </c>
      <c r="N9" s="319" t="s">
        <v>2765</v>
      </c>
      <c r="O9" s="319" t="s">
        <v>1215</v>
      </c>
      <c r="P9" s="319">
        <v>39</v>
      </c>
      <c r="Q9" s="319" t="s">
        <v>2766</v>
      </c>
      <c r="R9" s="320">
        <v>10020718</v>
      </c>
      <c r="S9" s="321">
        <v>43123</v>
      </c>
      <c r="T9" s="321">
        <v>43125</v>
      </c>
      <c r="U9" s="321">
        <v>43157</v>
      </c>
      <c r="V9" s="319" t="s">
        <v>425</v>
      </c>
      <c r="W9" s="319" t="s">
        <v>2767</v>
      </c>
      <c r="X9" s="319">
        <v>2</v>
      </c>
      <c r="Y9" s="319" t="s">
        <v>173</v>
      </c>
      <c r="Z9" s="319" t="s">
        <v>173</v>
      </c>
      <c r="AA9" s="319" t="s">
        <v>173</v>
      </c>
      <c r="AB9" s="319">
        <v>2</v>
      </c>
      <c r="AC9" s="319" t="s">
        <v>169</v>
      </c>
      <c r="AD9" s="319">
        <v>2</v>
      </c>
      <c r="AE9" s="319" t="s">
        <v>173</v>
      </c>
      <c r="AF9" s="319" t="s">
        <v>427</v>
      </c>
      <c r="AG9" s="319" t="s">
        <v>171</v>
      </c>
      <c r="AH9" s="319" t="s">
        <v>190</v>
      </c>
      <c r="AI9" s="319" t="s">
        <v>190</v>
      </c>
      <c r="AJ9" s="319" t="s">
        <v>190</v>
      </c>
      <c r="AK9" s="319" t="s">
        <v>190</v>
      </c>
      <c r="AL9" s="319" t="s">
        <v>190</v>
      </c>
      <c r="AM9" s="319" t="s">
        <v>190</v>
      </c>
      <c r="AN9" s="319" t="s">
        <v>190</v>
      </c>
      <c r="AO9" s="319" t="s">
        <v>190</v>
      </c>
      <c r="AP9" s="319" t="s">
        <v>190</v>
      </c>
      <c r="AQ9" s="319" t="s">
        <v>190</v>
      </c>
      <c r="AR9" s="319" t="s">
        <v>190</v>
      </c>
      <c r="AS9" s="319" t="s">
        <v>190</v>
      </c>
      <c r="AT9" s="319" t="s">
        <v>190</v>
      </c>
      <c r="AU9" s="319" t="s">
        <v>190</v>
      </c>
      <c r="AV9" s="319" t="s">
        <v>190</v>
      </c>
      <c r="AW9" s="319" t="s">
        <v>190</v>
      </c>
      <c r="AX9" s="319" t="s">
        <v>428</v>
      </c>
      <c r="AY9" s="319" t="s">
        <v>190</v>
      </c>
      <c r="AZ9" s="319" t="s">
        <v>190</v>
      </c>
      <c r="BA9" s="319" t="s">
        <v>190</v>
      </c>
      <c r="BB9" s="319" t="s">
        <v>428</v>
      </c>
      <c r="BC9" s="319" t="s">
        <v>428</v>
      </c>
      <c r="BD9" s="319" t="s">
        <v>428</v>
      </c>
      <c r="BE9" s="319" t="s">
        <v>428</v>
      </c>
      <c r="BF9" s="319" t="s">
        <v>190</v>
      </c>
      <c r="BG9" s="319" t="s">
        <v>190</v>
      </c>
      <c r="BH9" s="319" t="s">
        <v>190</v>
      </c>
      <c r="BI9" s="319" t="s">
        <v>190</v>
      </c>
      <c r="BJ9" s="319" t="s">
        <v>190</v>
      </c>
      <c r="BK9" s="319" t="s">
        <v>190</v>
      </c>
      <c r="BL9" s="319" t="s">
        <v>190</v>
      </c>
      <c r="BM9" s="319" t="s">
        <v>190</v>
      </c>
      <c r="BN9" s="319" t="s">
        <v>190</v>
      </c>
      <c r="BO9" s="319" t="s">
        <v>190</v>
      </c>
      <c r="BP9" s="319" t="s">
        <v>190</v>
      </c>
      <c r="BQ9" s="319" t="s">
        <v>190</v>
      </c>
      <c r="BR9" s="319" t="s">
        <v>190</v>
      </c>
      <c r="BS9" s="319" t="s">
        <v>190</v>
      </c>
      <c r="BT9" s="319" t="s">
        <v>190</v>
      </c>
      <c r="BU9" s="319" t="s">
        <v>190</v>
      </c>
      <c r="BV9" s="319" t="s">
        <v>190</v>
      </c>
      <c r="BW9" s="319" t="s">
        <v>190</v>
      </c>
      <c r="BX9" s="319" t="s">
        <v>190</v>
      </c>
      <c r="BY9" s="319" t="s">
        <v>190</v>
      </c>
      <c r="BZ9" s="319" t="s">
        <v>190</v>
      </c>
      <c r="CA9" s="319" t="s">
        <v>190</v>
      </c>
      <c r="CB9" s="319" t="s">
        <v>190</v>
      </c>
      <c r="CC9" s="319" t="s">
        <v>190</v>
      </c>
      <c r="CD9" s="319" t="s">
        <v>190</v>
      </c>
      <c r="CE9" s="319" t="s">
        <v>190</v>
      </c>
      <c r="CF9" s="319" t="s">
        <v>190</v>
      </c>
      <c r="CG9" s="319" t="s">
        <v>190</v>
      </c>
      <c r="CH9" s="319" t="s">
        <v>190</v>
      </c>
      <c r="CI9" s="319" t="s">
        <v>190</v>
      </c>
      <c r="CJ9" s="319" t="s">
        <v>190</v>
      </c>
      <c r="CK9" s="319" t="s">
        <v>190</v>
      </c>
      <c r="CL9" s="319" t="s">
        <v>190</v>
      </c>
      <c r="CM9" s="319" t="s">
        <v>190</v>
      </c>
      <c r="CN9" s="319" t="s">
        <v>428</v>
      </c>
      <c r="CO9" s="319" t="s">
        <v>428</v>
      </c>
      <c r="CP9" s="319" t="s">
        <v>428</v>
      </c>
      <c r="CQ9" s="319" t="s">
        <v>190</v>
      </c>
      <c r="CR9" s="319" t="s">
        <v>190</v>
      </c>
      <c r="CS9" s="319" t="s">
        <v>190</v>
      </c>
      <c r="CT9" s="319" t="s">
        <v>190</v>
      </c>
      <c r="CU9" s="319" t="s">
        <v>190</v>
      </c>
      <c r="CV9" s="319" t="s">
        <v>190</v>
      </c>
      <c r="CW9" s="319" t="s">
        <v>190</v>
      </c>
      <c r="CX9" s="319" t="s">
        <v>190</v>
      </c>
      <c r="CY9" s="319" t="s">
        <v>190</v>
      </c>
      <c r="CZ9" s="319" t="s">
        <v>190</v>
      </c>
      <c r="DA9" s="319" t="s">
        <v>190</v>
      </c>
      <c r="DB9" s="319" t="s">
        <v>190</v>
      </c>
      <c r="DC9" s="319" t="s">
        <v>190</v>
      </c>
      <c r="DD9" s="319" t="s">
        <v>190</v>
      </c>
      <c r="DE9" s="319" t="s">
        <v>190</v>
      </c>
      <c r="DF9" s="319" t="s">
        <v>190</v>
      </c>
      <c r="DG9" s="319" t="s">
        <v>190</v>
      </c>
      <c r="DH9" s="319" t="s">
        <v>190</v>
      </c>
      <c r="DI9" s="319" t="s">
        <v>190</v>
      </c>
      <c r="DJ9" s="319" t="s">
        <v>190</v>
      </c>
      <c r="DK9" s="319" t="s">
        <v>190</v>
      </c>
      <c r="DL9" s="319" t="s">
        <v>190</v>
      </c>
      <c r="DM9" s="319" t="s">
        <v>190</v>
      </c>
      <c r="DN9" s="319" t="s">
        <v>428</v>
      </c>
      <c r="DO9" s="319" t="s">
        <v>190</v>
      </c>
      <c r="DP9" s="319" t="s">
        <v>190</v>
      </c>
      <c r="DQ9" s="319" t="s">
        <v>190</v>
      </c>
      <c r="DR9" s="319" t="s">
        <v>190</v>
      </c>
      <c r="DS9" s="319" t="s">
        <v>190</v>
      </c>
      <c r="DT9" s="319" t="s">
        <v>190</v>
      </c>
      <c r="DU9" s="319" t="s">
        <v>190</v>
      </c>
      <c r="DV9" s="319" t="s">
        <v>173</v>
      </c>
      <c r="DW9" s="319" t="s">
        <v>190</v>
      </c>
      <c r="DX9" s="319" t="s">
        <v>190</v>
      </c>
      <c r="DY9" s="319" t="s">
        <v>190</v>
      </c>
      <c r="DZ9" s="319" t="s">
        <v>190</v>
      </c>
      <c r="EA9" s="319" t="s">
        <v>190</v>
      </c>
      <c r="EB9" s="319" t="s">
        <v>190</v>
      </c>
      <c r="EC9" s="319" t="s">
        <v>428</v>
      </c>
      <c r="ED9" s="319" t="s">
        <v>190</v>
      </c>
      <c r="EE9" s="319" t="s">
        <v>190</v>
      </c>
      <c r="EF9" s="319" t="s">
        <v>190</v>
      </c>
      <c r="EG9" s="319" t="s">
        <v>190</v>
      </c>
      <c r="EH9" s="319" t="s">
        <v>190</v>
      </c>
      <c r="EI9" s="319" t="s">
        <v>190</v>
      </c>
      <c r="EJ9" s="319" t="s">
        <v>190</v>
      </c>
      <c r="EK9" s="319" t="s">
        <v>190</v>
      </c>
      <c r="EL9" s="319" t="s">
        <v>190</v>
      </c>
      <c r="EM9" s="319" t="s">
        <v>190</v>
      </c>
      <c r="EN9" s="319" t="s">
        <v>190</v>
      </c>
      <c r="EO9" s="319" t="s">
        <v>190</v>
      </c>
      <c r="EP9" s="319" t="s">
        <v>190</v>
      </c>
      <c r="EQ9" s="319" t="s">
        <v>190</v>
      </c>
      <c r="ER9" s="319" t="s">
        <v>190</v>
      </c>
      <c r="ES9" s="319" t="s">
        <v>190</v>
      </c>
      <c r="ET9" s="319" t="s">
        <v>190</v>
      </c>
      <c r="EU9" s="319" t="s">
        <v>190</v>
      </c>
      <c r="EV9" s="319" t="s">
        <v>190</v>
      </c>
      <c r="EW9" s="319" t="s">
        <v>190</v>
      </c>
      <c r="EX9" s="319" t="s">
        <v>190</v>
      </c>
      <c r="EY9" s="319" t="s">
        <v>190</v>
      </c>
      <c r="EZ9" s="319" t="s">
        <v>190</v>
      </c>
      <c r="FA9" s="319" t="s">
        <v>190</v>
      </c>
      <c r="FB9" s="319" t="s">
        <v>190</v>
      </c>
      <c r="FC9" s="319" t="s">
        <v>190</v>
      </c>
      <c r="FD9" s="319" t="s">
        <v>190</v>
      </c>
      <c r="FE9" s="319" t="s">
        <v>190</v>
      </c>
      <c r="FF9" s="319" t="s">
        <v>190</v>
      </c>
      <c r="FG9" s="319" t="s">
        <v>190</v>
      </c>
      <c r="FH9" s="319" t="s">
        <v>190</v>
      </c>
      <c r="FI9" s="319" t="s">
        <v>190</v>
      </c>
      <c r="FJ9" s="319" t="s">
        <v>190</v>
      </c>
      <c r="FK9" s="319" t="s">
        <v>190</v>
      </c>
      <c r="FL9" s="319" t="s">
        <v>190</v>
      </c>
      <c r="FM9" s="319" t="s">
        <v>190</v>
      </c>
      <c r="FN9" s="319" t="s">
        <v>190</v>
      </c>
      <c r="FO9" s="319" t="s">
        <v>190</v>
      </c>
      <c r="FP9" s="319" t="s">
        <v>190</v>
      </c>
      <c r="FQ9" s="319" t="s">
        <v>190</v>
      </c>
      <c r="FR9" s="319" t="s">
        <v>190</v>
      </c>
      <c r="FS9" s="319" t="s">
        <v>428</v>
      </c>
      <c r="FT9" s="319" t="s">
        <v>190</v>
      </c>
      <c r="FU9" s="319" t="s">
        <v>190</v>
      </c>
      <c r="FV9" s="319" t="s">
        <v>190</v>
      </c>
      <c r="FW9" s="319" t="s">
        <v>190</v>
      </c>
      <c r="FX9" s="319" t="s">
        <v>190</v>
      </c>
      <c r="FY9" s="319" t="s">
        <v>190</v>
      </c>
      <c r="FZ9" s="319" t="s">
        <v>190</v>
      </c>
      <c r="GA9" s="319" t="s">
        <v>190</v>
      </c>
      <c r="GB9" s="319" t="s">
        <v>190</v>
      </c>
      <c r="GC9" s="319" t="s">
        <v>190</v>
      </c>
      <c r="GD9" s="319" t="s">
        <v>190</v>
      </c>
      <c r="GE9" s="319" t="s">
        <v>190</v>
      </c>
      <c r="GF9" s="319" t="s">
        <v>190</v>
      </c>
      <c r="GG9" s="319" t="s">
        <v>190</v>
      </c>
      <c r="GH9" s="319" t="s">
        <v>190</v>
      </c>
      <c r="GI9" s="319" t="s">
        <v>190</v>
      </c>
      <c r="GJ9" s="319" t="s">
        <v>190</v>
      </c>
      <c r="GK9" s="319" t="s">
        <v>428</v>
      </c>
      <c r="GL9" s="319" t="s">
        <v>190</v>
      </c>
      <c r="GM9" s="319" t="s">
        <v>190</v>
      </c>
      <c r="GN9" s="319" t="s">
        <v>190</v>
      </c>
      <c r="GO9" s="319" t="s">
        <v>190</v>
      </c>
      <c r="GP9" s="319" t="s">
        <v>190</v>
      </c>
      <c r="GQ9" s="319" t="s">
        <v>428</v>
      </c>
      <c r="GR9" s="319" t="s">
        <v>190</v>
      </c>
      <c r="GS9" s="319" t="s">
        <v>190</v>
      </c>
      <c r="GT9" s="319" t="s">
        <v>428</v>
      </c>
      <c r="GU9" s="319" t="s">
        <v>428</v>
      </c>
      <c r="GV9" s="319" t="s">
        <v>190</v>
      </c>
      <c r="GW9" s="319" t="s">
        <v>190</v>
      </c>
      <c r="GX9" s="319" t="s">
        <v>190</v>
      </c>
      <c r="GY9" s="319" t="s">
        <v>190</v>
      </c>
      <c r="GZ9" s="319" t="s">
        <v>190</v>
      </c>
      <c r="HA9" s="319" t="s">
        <v>428</v>
      </c>
      <c r="HB9" s="319" t="s">
        <v>428</v>
      </c>
      <c r="HC9" s="319" t="s">
        <v>190</v>
      </c>
      <c r="HD9" s="319" t="s">
        <v>190</v>
      </c>
      <c r="HE9" s="319" t="s">
        <v>190</v>
      </c>
      <c r="HF9" s="319" t="s">
        <v>190</v>
      </c>
      <c r="HG9" s="319" t="s">
        <v>190</v>
      </c>
      <c r="HH9" s="319" t="s">
        <v>190</v>
      </c>
      <c r="HI9" s="319" t="s">
        <v>190</v>
      </c>
      <c r="HJ9" s="319" t="s">
        <v>190</v>
      </c>
      <c r="HK9" s="319" t="s">
        <v>190</v>
      </c>
      <c r="HL9" s="319" t="s">
        <v>428</v>
      </c>
      <c r="HM9" s="319" t="s">
        <v>428</v>
      </c>
      <c r="HN9" s="319" t="s">
        <v>428</v>
      </c>
      <c r="HO9" s="319" t="s">
        <v>428</v>
      </c>
      <c r="HP9" s="319" t="s">
        <v>190</v>
      </c>
      <c r="HQ9" s="319" t="s">
        <v>190</v>
      </c>
      <c r="HR9" s="319" t="s">
        <v>190</v>
      </c>
      <c r="HS9" s="319" t="s">
        <v>190</v>
      </c>
      <c r="HT9" s="319" t="s">
        <v>190</v>
      </c>
      <c r="HU9" s="319" t="s">
        <v>190</v>
      </c>
      <c r="HV9" s="319" t="s">
        <v>190</v>
      </c>
      <c r="HW9" s="319" t="s">
        <v>190</v>
      </c>
      <c r="HX9" s="319" t="s">
        <v>190</v>
      </c>
      <c r="HY9" s="319" t="s">
        <v>190</v>
      </c>
      <c r="HZ9" s="319" t="s">
        <v>190</v>
      </c>
      <c r="IA9" s="319" t="s">
        <v>190</v>
      </c>
      <c r="IB9" s="319" t="s">
        <v>190</v>
      </c>
      <c r="IC9" s="319" t="s">
        <v>190</v>
      </c>
      <c r="ID9" s="319" t="s">
        <v>190</v>
      </c>
      <c r="IE9" s="319" t="s">
        <v>190</v>
      </c>
      <c r="IF9" s="319" t="s">
        <v>190</v>
      </c>
      <c r="IG9" s="319" t="s">
        <v>190</v>
      </c>
      <c r="IH9" s="319" t="s">
        <v>190</v>
      </c>
      <c r="II9" s="319" t="s">
        <v>190</v>
      </c>
      <c r="IJ9" s="319" t="s">
        <v>2773</v>
      </c>
      <c r="IK9" s="321">
        <v>40807</v>
      </c>
      <c r="IL9" s="321">
        <v>40808</v>
      </c>
      <c r="IM9" s="321">
        <v>40851</v>
      </c>
      <c r="IN9" s="319">
        <v>2</v>
      </c>
      <c r="IO9" s="319" t="s">
        <v>173</v>
      </c>
      <c r="IP9" s="319" t="s">
        <v>173</v>
      </c>
      <c r="IQ9" s="321" t="s">
        <v>173</v>
      </c>
      <c r="IR9" s="320" t="s">
        <v>173</v>
      </c>
      <c r="IS9" s="322" t="s">
        <v>173</v>
      </c>
      <c r="IT9" s="319" t="s">
        <v>173</v>
      </c>
    </row>
    <row r="10" spans="1:254" s="271" customFormat="1" x14ac:dyDescent="0.25">
      <c r="A10" s="318" t="str">
        <f>HYPERLINK("http://www.ofsted.gov.uk/inspection-reports/find-inspection-report/provider/ELS/100287 ","Ofsted School Webpage")</f>
        <v>Ofsted School Webpage</v>
      </c>
      <c r="B10" s="319">
        <v>100287</v>
      </c>
      <c r="C10" s="319">
        <v>2046072</v>
      </c>
      <c r="D10" s="319" t="s">
        <v>628</v>
      </c>
      <c r="E10" s="319" t="s">
        <v>167</v>
      </c>
      <c r="F10" s="319" t="s">
        <v>81</v>
      </c>
      <c r="G10" s="319" t="s">
        <v>69</v>
      </c>
      <c r="H10" s="319" t="s">
        <v>69</v>
      </c>
      <c r="I10" s="319" t="s">
        <v>69</v>
      </c>
      <c r="J10" s="319" t="s">
        <v>424</v>
      </c>
      <c r="K10" s="319" t="s">
        <v>441</v>
      </c>
      <c r="L10" s="319" t="s">
        <v>441</v>
      </c>
      <c r="M10" s="319" t="s">
        <v>547</v>
      </c>
      <c r="N10" s="319" t="s">
        <v>2774</v>
      </c>
      <c r="O10" s="319" t="s">
        <v>629</v>
      </c>
      <c r="P10" s="319">
        <v>695</v>
      </c>
      <c r="Q10" s="319" t="s">
        <v>2766</v>
      </c>
      <c r="R10" s="320">
        <v>10055368</v>
      </c>
      <c r="S10" s="321">
        <v>43410</v>
      </c>
      <c r="T10" s="321">
        <v>43412</v>
      </c>
      <c r="U10" s="321">
        <v>43447</v>
      </c>
      <c r="V10" s="319" t="s">
        <v>425</v>
      </c>
      <c r="W10" s="319" t="s">
        <v>2767</v>
      </c>
      <c r="X10" s="319">
        <v>3</v>
      </c>
      <c r="Y10" s="319" t="s">
        <v>173</v>
      </c>
      <c r="Z10" s="319" t="s">
        <v>173</v>
      </c>
      <c r="AA10" s="319" t="s">
        <v>173</v>
      </c>
      <c r="AB10" s="319">
        <v>3</v>
      </c>
      <c r="AC10" s="319" t="s">
        <v>169</v>
      </c>
      <c r="AD10" s="319">
        <v>2</v>
      </c>
      <c r="AE10" s="319" t="s">
        <v>173</v>
      </c>
      <c r="AF10" s="319" t="s">
        <v>427</v>
      </c>
      <c r="AG10" s="319" t="s">
        <v>172</v>
      </c>
      <c r="AH10" s="319" t="s">
        <v>479</v>
      </c>
      <c r="AI10" s="319" t="s">
        <v>479</v>
      </c>
      <c r="AJ10" s="319" t="s">
        <v>190</v>
      </c>
      <c r="AK10" s="319" t="s">
        <v>190</v>
      </c>
      <c r="AL10" s="319" t="s">
        <v>190</v>
      </c>
      <c r="AM10" s="319" t="s">
        <v>190</v>
      </c>
      <c r="AN10" s="319" t="s">
        <v>190</v>
      </c>
      <c r="AO10" s="319" t="s">
        <v>479</v>
      </c>
      <c r="AP10" s="319" t="s">
        <v>191</v>
      </c>
      <c r="AQ10" s="319" t="s">
        <v>190</v>
      </c>
      <c r="AR10" s="319" t="s">
        <v>191</v>
      </c>
      <c r="AS10" s="319" t="s">
        <v>190</v>
      </c>
      <c r="AT10" s="319" t="s">
        <v>191</v>
      </c>
      <c r="AU10" s="319" t="s">
        <v>191</v>
      </c>
      <c r="AV10" s="319" t="s">
        <v>190</v>
      </c>
      <c r="AW10" s="319" t="s">
        <v>190</v>
      </c>
      <c r="AX10" s="319" t="s">
        <v>428</v>
      </c>
      <c r="AY10" s="319" t="s">
        <v>191</v>
      </c>
      <c r="AZ10" s="319" t="s">
        <v>190</v>
      </c>
      <c r="BA10" s="319" t="s">
        <v>191</v>
      </c>
      <c r="BB10" s="319" t="s">
        <v>190</v>
      </c>
      <c r="BC10" s="319" t="s">
        <v>190</v>
      </c>
      <c r="BD10" s="319" t="s">
        <v>190</v>
      </c>
      <c r="BE10" s="319" t="s">
        <v>190</v>
      </c>
      <c r="BF10" s="319" t="s">
        <v>428</v>
      </c>
      <c r="BG10" s="319" t="s">
        <v>190</v>
      </c>
      <c r="BH10" s="319" t="s">
        <v>190</v>
      </c>
      <c r="BI10" s="319" t="s">
        <v>191</v>
      </c>
      <c r="BJ10" s="319" t="s">
        <v>191</v>
      </c>
      <c r="BK10" s="319" t="s">
        <v>190</v>
      </c>
      <c r="BL10" s="319" t="s">
        <v>190</v>
      </c>
      <c r="BM10" s="319" t="s">
        <v>190</v>
      </c>
      <c r="BN10" s="319" t="s">
        <v>190</v>
      </c>
      <c r="BO10" s="319" t="s">
        <v>190</v>
      </c>
      <c r="BP10" s="319" t="s">
        <v>190</v>
      </c>
      <c r="BQ10" s="319" t="s">
        <v>190</v>
      </c>
      <c r="BR10" s="319" t="s">
        <v>190</v>
      </c>
      <c r="BS10" s="319" t="s">
        <v>191</v>
      </c>
      <c r="BT10" s="319" t="s">
        <v>191</v>
      </c>
      <c r="BU10" s="319" t="s">
        <v>190</v>
      </c>
      <c r="BV10" s="319" t="s">
        <v>191</v>
      </c>
      <c r="BW10" s="319" t="s">
        <v>191</v>
      </c>
      <c r="BX10" s="319" t="s">
        <v>190</v>
      </c>
      <c r="BY10" s="319" t="s">
        <v>190</v>
      </c>
      <c r="BZ10" s="319" t="s">
        <v>190</v>
      </c>
      <c r="CA10" s="319" t="s">
        <v>190</v>
      </c>
      <c r="CB10" s="319" t="s">
        <v>190</v>
      </c>
      <c r="CC10" s="319" t="s">
        <v>191</v>
      </c>
      <c r="CD10" s="319" t="s">
        <v>191</v>
      </c>
      <c r="CE10" s="319" t="s">
        <v>190</v>
      </c>
      <c r="CF10" s="319" t="s">
        <v>190</v>
      </c>
      <c r="CG10" s="319" t="s">
        <v>190</v>
      </c>
      <c r="CH10" s="319" t="s">
        <v>190</v>
      </c>
      <c r="CI10" s="319" t="s">
        <v>190</v>
      </c>
      <c r="CJ10" s="319" t="s">
        <v>190</v>
      </c>
      <c r="CK10" s="319" t="s">
        <v>190</v>
      </c>
      <c r="CL10" s="319" t="s">
        <v>190</v>
      </c>
      <c r="CM10" s="319" t="s">
        <v>190</v>
      </c>
      <c r="CN10" s="319" t="s">
        <v>428</v>
      </c>
      <c r="CO10" s="319" t="s">
        <v>428</v>
      </c>
      <c r="CP10" s="319" t="s">
        <v>428</v>
      </c>
      <c r="CQ10" s="319" t="s">
        <v>190</v>
      </c>
      <c r="CR10" s="319" t="s">
        <v>190</v>
      </c>
      <c r="CS10" s="319" t="s">
        <v>190</v>
      </c>
      <c r="CT10" s="319" t="s">
        <v>190</v>
      </c>
      <c r="CU10" s="319" t="s">
        <v>190</v>
      </c>
      <c r="CV10" s="319" t="s">
        <v>190</v>
      </c>
      <c r="CW10" s="319" t="s">
        <v>190</v>
      </c>
      <c r="CX10" s="319" t="s">
        <v>190</v>
      </c>
      <c r="CY10" s="319" t="s">
        <v>190</v>
      </c>
      <c r="CZ10" s="319" t="s">
        <v>190</v>
      </c>
      <c r="DA10" s="319" t="s">
        <v>190</v>
      </c>
      <c r="DB10" s="319" t="s">
        <v>190</v>
      </c>
      <c r="DC10" s="319" t="s">
        <v>190</v>
      </c>
      <c r="DD10" s="319" t="s">
        <v>190</v>
      </c>
      <c r="DE10" s="319" t="s">
        <v>190</v>
      </c>
      <c r="DF10" s="319" t="s">
        <v>190</v>
      </c>
      <c r="DG10" s="319" t="s">
        <v>190</v>
      </c>
      <c r="DH10" s="319" t="s">
        <v>190</v>
      </c>
      <c r="DI10" s="319" t="s">
        <v>190</v>
      </c>
      <c r="DJ10" s="319" t="s">
        <v>190</v>
      </c>
      <c r="DK10" s="319" t="s">
        <v>190</v>
      </c>
      <c r="DL10" s="319" t="s">
        <v>190</v>
      </c>
      <c r="DM10" s="319" t="s">
        <v>190</v>
      </c>
      <c r="DN10" s="319" t="s">
        <v>428</v>
      </c>
      <c r="DO10" s="319" t="s">
        <v>190</v>
      </c>
      <c r="DP10" s="319" t="s">
        <v>190</v>
      </c>
      <c r="DQ10" s="319" t="s">
        <v>190</v>
      </c>
      <c r="DR10" s="319" t="s">
        <v>190</v>
      </c>
      <c r="DS10" s="319" t="s">
        <v>190</v>
      </c>
      <c r="DT10" s="319" t="s">
        <v>190</v>
      </c>
      <c r="DU10" s="319" t="s">
        <v>190</v>
      </c>
      <c r="DV10" s="319" t="s">
        <v>173</v>
      </c>
      <c r="DW10" s="319" t="s">
        <v>190</v>
      </c>
      <c r="DX10" s="319" t="s">
        <v>190</v>
      </c>
      <c r="DY10" s="319" t="s">
        <v>190</v>
      </c>
      <c r="DZ10" s="319" t="s">
        <v>190</v>
      </c>
      <c r="EA10" s="319" t="s">
        <v>190</v>
      </c>
      <c r="EB10" s="319" t="s">
        <v>190</v>
      </c>
      <c r="EC10" s="319" t="s">
        <v>428</v>
      </c>
      <c r="ED10" s="319" t="s">
        <v>190</v>
      </c>
      <c r="EE10" s="319" t="s">
        <v>190</v>
      </c>
      <c r="EF10" s="319" t="s">
        <v>190</v>
      </c>
      <c r="EG10" s="319" t="s">
        <v>190</v>
      </c>
      <c r="EH10" s="319" t="s">
        <v>190</v>
      </c>
      <c r="EI10" s="319" t="s">
        <v>190</v>
      </c>
      <c r="EJ10" s="319" t="s">
        <v>190</v>
      </c>
      <c r="EK10" s="319" t="s">
        <v>190</v>
      </c>
      <c r="EL10" s="319" t="s">
        <v>190</v>
      </c>
      <c r="EM10" s="319" t="s">
        <v>190</v>
      </c>
      <c r="EN10" s="319" t="s">
        <v>190</v>
      </c>
      <c r="EO10" s="319" t="s">
        <v>190</v>
      </c>
      <c r="EP10" s="319" t="s">
        <v>190</v>
      </c>
      <c r="EQ10" s="319" t="s">
        <v>190</v>
      </c>
      <c r="ER10" s="319" t="s">
        <v>190</v>
      </c>
      <c r="ES10" s="319" t="s">
        <v>190</v>
      </c>
      <c r="ET10" s="319" t="s">
        <v>190</v>
      </c>
      <c r="EU10" s="319" t="s">
        <v>190</v>
      </c>
      <c r="EV10" s="319" t="s">
        <v>190</v>
      </c>
      <c r="EW10" s="319" t="s">
        <v>190</v>
      </c>
      <c r="EX10" s="319" t="s">
        <v>190</v>
      </c>
      <c r="EY10" s="319" t="s">
        <v>190</v>
      </c>
      <c r="EZ10" s="319" t="s">
        <v>190</v>
      </c>
      <c r="FA10" s="319" t="s">
        <v>190</v>
      </c>
      <c r="FB10" s="319" t="s">
        <v>190</v>
      </c>
      <c r="FC10" s="319" t="s">
        <v>190</v>
      </c>
      <c r="FD10" s="319" t="s">
        <v>190</v>
      </c>
      <c r="FE10" s="319" t="s">
        <v>190</v>
      </c>
      <c r="FF10" s="319" t="s">
        <v>190</v>
      </c>
      <c r="FG10" s="319" t="s">
        <v>190</v>
      </c>
      <c r="FH10" s="319" t="s">
        <v>190</v>
      </c>
      <c r="FI10" s="319" t="s">
        <v>190</v>
      </c>
      <c r="FJ10" s="319" t="s">
        <v>190</v>
      </c>
      <c r="FK10" s="319" t="s">
        <v>190</v>
      </c>
      <c r="FL10" s="319" t="s">
        <v>190</v>
      </c>
      <c r="FM10" s="319" t="s">
        <v>190</v>
      </c>
      <c r="FN10" s="319" t="s">
        <v>190</v>
      </c>
      <c r="FO10" s="319" t="s">
        <v>190</v>
      </c>
      <c r="FP10" s="319" t="s">
        <v>190</v>
      </c>
      <c r="FQ10" s="319" t="s">
        <v>190</v>
      </c>
      <c r="FR10" s="319" t="s">
        <v>190</v>
      </c>
      <c r="FS10" s="319" t="s">
        <v>190</v>
      </c>
      <c r="FT10" s="319" t="s">
        <v>190</v>
      </c>
      <c r="FU10" s="319" t="s">
        <v>190</v>
      </c>
      <c r="FV10" s="319" t="s">
        <v>190</v>
      </c>
      <c r="FW10" s="319" t="s">
        <v>190</v>
      </c>
      <c r="FX10" s="319" t="s">
        <v>190</v>
      </c>
      <c r="FY10" s="319" t="s">
        <v>190</v>
      </c>
      <c r="FZ10" s="319" t="s">
        <v>190</v>
      </c>
      <c r="GA10" s="319" t="s">
        <v>190</v>
      </c>
      <c r="GB10" s="319" t="s">
        <v>190</v>
      </c>
      <c r="GC10" s="319" t="s">
        <v>190</v>
      </c>
      <c r="GD10" s="319" t="s">
        <v>190</v>
      </c>
      <c r="GE10" s="319" t="s">
        <v>190</v>
      </c>
      <c r="GF10" s="319" t="s">
        <v>190</v>
      </c>
      <c r="GG10" s="319" t="s">
        <v>190</v>
      </c>
      <c r="GH10" s="319" t="s">
        <v>190</v>
      </c>
      <c r="GI10" s="319" t="s">
        <v>190</v>
      </c>
      <c r="GJ10" s="319" t="s">
        <v>190</v>
      </c>
      <c r="GK10" s="319" t="s">
        <v>428</v>
      </c>
      <c r="GL10" s="319" t="s">
        <v>190</v>
      </c>
      <c r="GM10" s="319" t="s">
        <v>190</v>
      </c>
      <c r="GN10" s="319" t="s">
        <v>190</v>
      </c>
      <c r="GO10" s="319" t="s">
        <v>190</v>
      </c>
      <c r="GP10" s="319" t="s">
        <v>190</v>
      </c>
      <c r="GQ10" s="319" t="s">
        <v>428</v>
      </c>
      <c r="GR10" s="319" t="s">
        <v>190</v>
      </c>
      <c r="GS10" s="319" t="s">
        <v>190</v>
      </c>
      <c r="GT10" s="319" t="s">
        <v>428</v>
      </c>
      <c r="GU10" s="319" t="s">
        <v>190</v>
      </c>
      <c r="GV10" s="319" t="s">
        <v>190</v>
      </c>
      <c r="GW10" s="319" t="s">
        <v>190</v>
      </c>
      <c r="GX10" s="319" t="s">
        <v>190</v>
      </c>
      <c r="GY10" s="319" t="s">
        <v>190</v>
      </c>
      <c r="GZ10" s="319" t="s">
        <v>190</v>
      </c>
      <c r="HA10" s="319" t="s">
        <v>428</v>
      </c>
      <c r="HB10" s="319" t="s">
        <v>190</v>
      </c>
      <c r="HC10" s="319" t="s">
        <v>190</v>
      </c>
      <c r="HD10" s="319" t="s">
        <v>190</v>
      </c>
      <c r="HE10" s="319" t="s">
        <v>190</v>
      </c>
      <c r="HF10" s="319" t="s">
        <v>190</v>
      </c>
      <c r="HG10" s="319" t="s">
        <v>190</v>
      </c>
      <c r="HH10" s="319" t="s">
        <v>190</v>
      </c>
      <c r="HI10" s="319" t="s">
        <v>190</v>
      </c>
      <c r="HJ10" s="319" t="s">
        <v>190</v>
      </c>
      <c r="HK10" s="319" t="s">
        <v>190</v>
      </c>
      <c r="HL10" s="319" t="s">
        <v>428</v>
      </c>
      <c r="HM10" s="319" t="s">
        <v>428</v>
      </c>
      <c r="HN10" s="319" t="s">
        <v>428</v>
      </c>
      <c r="HO10" s="319" t="s">
        <v>428</v>
      </c>
      <c r="HP10" s="319" t="s">
        <v>190</v>
      </c>
      <c r="HQ10" s="319" t="s">
        <v>190</v>
      </c>
      <c r="HR10" s="319" t="s">
        <v>190</v>
      </c>
      <c r="HS10" s="319" t="s">
        <v>190</v>
      </c>
      <c r="HT10" s="319" t="s">
        <v>190</v>
      </c>
      <c r="HU10" s="319" t="s">
        <v>190</v>
      </c>
      <c r="HV10" s="319" t="s">
        <v>190</v>
      </c>
      <c r="HW10" s="319" t="s">
        <v>190</v>
      </c>
      <c r="HX10" s="319" t="s">
        <v>190</v>
      </c>
      <c r="HY10" s="319" t="s">
        <v>190</v>
      </c>
      <c r="HZ10" s="319" t="s">
        <v>190</v>
      </c>
      <c r="IA10" s="319" t="s">
        <v>190</v>
      </c>
      <c r="IB10" s="319" t="s">
        <v>190</v>
      </c>
      <c r="IC10" s="319" t="s">
        <v>190</v>
      </c>
      <c r="ID10" s="319" t="s">
        <v>190</v>
      </c>
      <c r="IE10" s="319" t="s">
        <v>190</v>
      </c>
      <c r="IF10" s="319" t="s">
        <v>191</v>
      </c>
      <c r="IG10" s="319" t="s">
        <v>191</v>
      </c>
      <c r="IH10" s="319" t="s">
        <v>191</v>
      </c>
      <c r="II10" s="319" t="s">
        <v>190</v>
      </c>
      <c r="IJ10" s="319">
        <v>10030851</v>
      </c>
      <c r="IK10" s="321">
        <v>42871</v>
      </c>
      <c r="IL10" s="321">
        <v>42873</v>
      </c>
      <c r="IM10" s="321">
        <v>42919</v>
      </c>
      <c r="IN10" s="319">
        <v>4</v>
      </c>
      <c r="IO10" s="319">
        <v>10103989</v>
      </c>
      <c r="IP10" s="319" t="s">
        <v>985</v>
      </c>
      <c r="IQ10" s="321">
        <v>43642</v>
      </c>
      <c r="IR10" s="320" t="s">
        <v>1223</v>
      </c>
      <c r="IS10" s="322">
        <v>43682</v>
      </c>
      <c r="IT10" s="319" t="s">
        <v>166</v>
      </c>
    </row>
    <row r="11" spans="1:254" s="271" customFormat="1" x14ac:dyDescent="0.25">
      <c r="A11" s="318" t="str">
        <f>HYPERLINK("http://www.ofsted.gov.uk/inspection-reports/find-inspection-report/provider/ELS/100289 ","Ofsted School Webpage")</f>
        <v>Ofsted School Webpage</v>
      </c>
      <c r="B11" s="319">
        <v>100289</v>
      </c>
      <c r="C11" s="319">
        <v>2046233</v>
      </c>
      <c r="D11" s="319" t="s">
        <v>853</v>
      </c>
      <c r="E11" s="319" t="s">
        <v>167</v>
      </c>
      <c r="F11" s="319" t="s">
        <v>81</v>
      </c>
      <c r="G11" s="319" t="s">
        <v>81</v>
      </c>
      <c r="H11" s="319" t="s">
        <v>81</v>
      </c>
      <c r="I11" s="319" t="s">
        <v>78</v>
      </c>
      <c r="J11" s="319" t="s">
        <v>424</v>
      </c>
      <c r="K11" s="319" t="s">
        <v>441</v>
      </c>
      <c r="L11" s="319" t="s">
        <v>441</v>
      </c>
      <c r="M11" s="319" t="s">
        <v>547</v>
      </c>
      <c r="N11" s="319" t="s">
        <v>2774</v>
      </c>
      <c r="O11" s="319" t="s">
        <v>854</v>
      </c>
      <c r="P11" s="319">
        <v>984</v>
      </c>
      <c r="Q11" s="319" t="s">
        <v>2766</v>
      </c>
      <c r="R11" s="320">
        <v>10055369</v>
      </c>
      <c r="S11" s="321">
        <v>43487</v>
      </c>
      <c r="T11" s="321">
        <v>43489</v>
      </c>
      <c r="U11" s="321">
        <v>43513</v>
      </c>
      <c r="V11" s="319" t="s">
        <v>425</v>
      </c>
      <c r="W11" s="319" t="s">
        <v>2767</v>
      </c>
      <c r="X11" s="319">
        <v>4</v>
      </c>
      <c r="Y11" s="319" t="s">
        <v>173</v>
      </c>
      <c r="Z11" s="319" t="s">
        <v>173</v>
      </c>
      <c r="AA11" s="319" t="s">
        <v>173</v>
      </c>
      <c r="AB11" s="319">
        <v>4</v>
      </c>
      <c r="AC11" s="319" t="s">
        <v>170</v>
      </c>
      <c r="AD11" s="319">
        <v>4</v>
      </c>
      <c r="AE11" s="319" t="s">
        <v>173</v>
      </c>
      <c r="AF11" s="319" t="s">
        <v>447</v>
      </c>
      <c r="AG11" s="319" t="s">
        <v>172</v>
      </c>
      <c r="AH11" s="319" t="s">
        <v>479</v>
      </c>
      <c r="AI11" s="319" t="s">
        <v>479</v>
      </c>
      <c r="AJ11" s="319" t="s">
        <v>479</v>
      </c>
      <c r="AK11" s="319" t="s">
        <v>190</v>
      </c>
      <c r="AL11" s="319" t="s">
        <v>479</v>
      </c>
      <c r="AM11" s="319" t="s">
        <v>190</v>
      </c>
      <c r="AN11" s="319" t="s">
        <v>190</v>
      </c>
      <c r="AO11" s="319" t="s">
        <v>479</v>
      </c>
      <c r="AP11" s="319" t="s">
        <v>191</v>
      </c>
      <c r="AQ11" s="319" t="s">
        <v>191</v>
      </c>
      <c r="AR11" s="319" t="s">
        <v>191</v>
      </c>
      <c r="AS11" s="319" t="s">
        <v>191</v>
      </c>
      <c r="AT11" s="319" t="s">
        <v>190</v>
      </c>
      <c r="AU11" s="319" t="s">
        <v>191</v>
      </c>
      <c r="AV11" s="319" t="s">
        <v>191</v>
      </c>
      <c r="AW11" s="319" t="s">
        <v>191</v>
      </c>
      <c r="AX11" s="319" t="s">
        <v>190</v>
      </c>
      <c r="AY11" s="319" t="s">
        <v>191</v>
      </c>
      <c r="AZ11" s="319" t="s">
        <v>190</v>
      </c>
      <c r="BA11" s="319" t="s">
        <v>191</v>
      </c>
      <c r="BB11" s="319" t="s">
        <v>191</v>
      </c>
      <c r="BC11" s="319" t="s">
        <v>191</v>
      </c>
      <c r="BD11" s="319" t="s">
        <v>191</v>
      </c>
      <c r="BE11" s="319" t="s">
        <v>191</v>
      </c>
      <c r="BF11" s="319" t="s">
        <v>191</v>
      </c>
      <c r="BG11" s="319" t="s">
        <v>428</v>
      </c>
      <c r="BH11" s="319" t="s">
        <v>191</v>
      </c>
      <c r="BI11" s="319" t="s">
        <v>191</v>
      </c>
      <c r="BJ11" s="319" t="s">
        <v>191</v>
      </c>
      <c r="BK11" s="319" t="s">
        <v>191</v>
      </c>
      <c r="BL11" s="319" t="s">
        <v>190</v>
      </c>
      <c r="BM11" s="319" t="s">
        <v>191</v>
      </c>
      <c r="BN11" s="319" t="s">
        <v>191</v>
      </c>
      <c r="BO11" s="319" t="s">
        <v>191</v>
      </c>
      <c r="BP11" s="319" t="s">
        <v>191</v>
      </c>
      <c r="BQ11" s="319" t="s">
        <v>191</v>
      </c>
      <c r="BR11" s="319" t="s">
        <v>191</v>
      </c>
      <c r="BS11" s="319" t="s">
        <v>190</v>
      </c>
      <c r="BT11" s="319" t="s">
        <v>190</v>
      </c>
      <c r="BU11" s="319" t="s">
        <v>190</v>
      </c>
      <c r="BV11" s="319" t="s">
        <v>191</v>
      </c>
      <c r="BW11" s="319" t="s">
        <v>190</v>
      </c>
      <c r="BX11" s="319" t="s">
        <v>191</v>
      </c>
      <c r="BY11" s="319" t="s">
        <v>190</v>
      </c>
      <c r="BZ11" s="319" t="s">
        <v>190</v>
      </c>
      <c r="CA11" s="319" t="s">
        <v>191</v>
      </c>
      <c r="CB11" s="319" t="s">
        <v>190</v>
      </c>
      <c r="CC11" s="319" t="s">
        <v>190</v>
      </c>
      <c r="CD11" s="319" t="s">
        <v>191</v>
      </c>
      <c r="CE11" s="319" t="s">
        <v>190</v>
      </c>
      <c r="CF11" s="319" t="s">
        <v>190</v>
      </c>
      <c r="CG11" s="319" t="s">
        <v>190</v>
      </c>
      <c r="CH11" s="319" t="s">
        <v>190</v>
      </c>
      <c r="CI11" s="319" t="s">
        <v>190</v>
      </c>
      <c r="CJ11" s="319" t="s">
        <v>190</v>
      </c>
      <c r="CK11" s="319" t="s">
        <v>191</v>
      </c>
      <c r="CL11" s="319" t="s">
        <v>191</v>
      </c>
      <c r="CM11" s="319" t="s">
        <v>191</v>
      </c>
      <c r="CN11" s="319" t="s">
        <v>428</v>
      </c>
      <c r="CO11" s="319" t="s">
        <v>428</v>
      </c>
      <c r="CP11" s="319" t="s">
        <v>428</v>
      </c>
      <c r="CQ11" s="319" t="s">
        <v>191</v>
      </c>
      <c r="CR11" s="319" t="s">
        <v>190</v>
      </c>
      <c r="CS11" s="319" t="s">
        <v>191</v>
      </c>
      <c r="CT11" s="319" t="s">
        <v>191</v>
      </c>
      <c r="CU11" s="319" t="s">
        <v>190</v>
      </c>
      <c r="CV11" s="319" t="s">
        <v>191</v>
      </c>
      <c r="CW11" s="319" t="s">
        <v>190</v>
      </c>
      <c r="CX11" s="319" t="s">
        <v>190</v>
      </c>
      <c r="CY11" s="319" t="s">
        <v>191</v>
      </c>
      <c r="CZ11" s="319" t="s">
        <v>191</v>
      </c>
      <c r="DA11" s="319" t="s">
        <v>191</v>
      </c>
      <c r="DB11" s="319" t="s">
        <v>191</v>
      </c>
      <c r="DC11" s="319" t="s">
        <v>191</v>
      </c>
      <c r="DD11" s="319" t="s">
        <v>190</v>
      </c>
      <c r="DE11" s="319" t="s">
        <v>190</v>
      </c>
      <c r="DF11" s="319" t="s">
        <v>190</v>
      </c>
      <c r="DG11" s="319" t="s">
        <v>190</v>
      </c>
      <c r="DH11" s="319" t="s">
        <v>190</v>
      </c>
      <c r="DI11" s="319" t="s">
        <v>190</v>
      </c>
      <c r="DJ11" s="319" t="s">
        <v>190</v>
      </c>
      <c r="DK11" s="319" t="s">
        <v>190</v>
      </c>
      <c r="DL11" s="319" t="s">
        <v>190</v>
      </c>
      <c r="DM11" s="319" t="s">
        <v>190</v>
      </c>
      <c r="DN11" s="319" t="s">
        <v>428</v>
      </c>
      <c r="DO11" s="319" t="s">
        <v>190</v>
      </c>
      <c r="DP11" s="319" t="s">
        <v>428</v>
      </c>
      <c r="DQ11" s="319" t="s">
        <v>428</v>
      </c>
      <c r="DR11" s="319" t="s">
        <v>428</v>
      </c>
      <c r="DS11" s="319" t="s">
        <v>428</v>
      </c>
      <c r="DT11" s="319" t="s">
        <v>428</v>
      </c>
      <c r="DU11" s="319" t="s">
        <v>428</v>
      </c>
      <c r="DV11" s="319" t="s">
        <v>173</v>
      </c>
      <c r="DW11" s="319" t="s">
        <v>428</v>
      </c>
      <c r="DX11" s="319" t="s">
        <v>428</v>
      </c>
      <c r="DY11" s="319" t="s">
        <v>428</v>
      </c>
      <c r="DZ11" s="319" t="s">
        <v>428</v>
      </c>
      <c r="EA11" s="319" t="s">
        <v>428</v>
      </c>
      <c r="EB11" s="319" t="s">
        <v>428</v>
      </c>
      <c r="EC11" s="319" t="s">
        <v>428</v>
      </c>
      <c r="ED11" s="319" t="s">
        <v>428</v>
      </c>
      <c r="EE11" s="319" t="s">
        <v>190</v>
      </c>
      <c r="EF11" s="319" t="s">
        <v>190</v>
      </c>
      <c r="EG11" s="319" t="s">
        <v>190</v>
      </c>
      <c r="EH11" s="319" t="s">
        <v>190</v>
      </c>
      <c r="EI11" s="319" t="s">
        <v>190</v>
      </c>
      <c r="EJ11" s="319" t="s">
        <v>190</v>
      </c>
      <c r="EK11" s="319" t="s">
        <v>190</v>
      </c>
      <c r="EL11" s="319" t="s">
        <v>190</v>
      </c>
      <c r="EM11" s="319" t="s">
        <v>190</v>
      </c>
      <c r="EN11" s="319" t="s">
        <v>190</v>
      </c>
      <c r="EO11" s="319" t="s">
        <v>190</v>
      </c>
      <c r="EP11" s="319" t="s">
        <v>190</v>
      </c>
      <c r="EQ11" s="319" t="s">
        <v>190</v>
      </c>
      <c r="ER11" s="319" t="s">
        <v>190</v>
      </c>
      <c r="ES11" s="319" t="s">
        <v>190</v>
      </c>
      <c r="ET11" s="319" t="s">
        <v>190</v>
      </c>
      <c r="EU11" s="319" t="s">
        <v>190</v>
      </c>
      <c r="EV11" s="319" t="s">
        <v>190</v>
      </c>
      <c r="EW11" s="319" t="s">
        <v>190</v>
      </c>
      <c r="EX11" s="319" t="s">
        <v>190</v>
      </c>
      <c r="EY11" s="319" t="s">
        <v>190</v>
      </c>
      <c r="EZ11" s="319" t="s">
        <v>190</v>
      </c>
      <c r="FA11" s="319" t="s">
        <v>190</v>
      </c>
      <c r="FB11" s="319" t="s">
        <v>428</v>
      </c>
      <c r="FC11" s="319" t="s">
        <v>428</v>
      </c>
      <c r="FD11" s="319" t="s">
        <v>428</v>
      </c>
      <c r="FE11" s="319" t="s">
        <v>428</v>
      </c>
      <c r="FF11" s="319" t="s">
        <v>428</v>
      </c>
      <c r="FG11" s="319" t="s">
        <v>428</v>
      </c>
      <c r="FH11" s="319" t="s">
        <v>190</v>
      </c>
      <c r="FI11" s="319" t="s">
        <v>190</v>
      </c>
      <c r="FJ11" s="319" t="s">
        <v>190</v>
      </c>
      <c r="FK11" s="319" t="s">
        <v>190</v>
      </c>
      <c r="FL11" s="319" t="s">
        <v>190</v>
      </c>
      <c r="FM11" s="319" t="s">
        <v>190</v>
      </c>
      <c r="FN11" s="319" t="s">
        <v>190</v>
      </c>
      <c r="FO11" s="319" t="s">
        <v>190</v>
      </c>
      <c r="FP11" s="319" t="s">
        <v>190</v>
      </c>
      <c r="FQ11" s="319" t="s">
        <v>190</v>
      </c>
      <c r="FR11" s="319" t="s">
        <v>190</v>
      </c>
      <c r="FS11" s="319" t="s">
        <v>428</v>
      </c>
      <c r="FT11" s="319" t="s">
        <v>190</v>
      </c>
      <c r="FU11" s="319" t="s">
        <v>191</v>
      </c>
      <c r="FV11" s="319" t="s">
        <v>190</v>
      </c>
      <c r="FW11" s="319" t="s">
        <v>190</v>
      </c>
      <c r="FX11" s="319" t="s">
        <v>190</v>
      </c>
      <c r="FY11" s="319" t="s">
        <v>190</v>
      </c>
      <c r="FZ11" s="319" t="s">
        <v>190</v>
      </c>
      <c r="GA11" s="319" t="s">
        <v>190</v>
      </c>
      <c r="GB11" s="319" t="s">
        <v>190</v>
      </c>
      <c r="GC11" s="319" t="s">
        <v>190</v>
      </c>
      <c r="GD11" s="319" t="s">
        <v>190</v>
      </c>
      <c r="GE11" s="319" t="s">
        <v>190</v>
      </c>
      <c r="GF11" s="319" t="s">
        <v>190</v>
      </c>
      <c r="GG11" s="319" t="s">
        <v>190</v>
      </c>
      <c r="GH11" s="319" t="s">
        <v>190</v>
      </c>
      <c r="GI11" s="319" t="s">
        <v>190</v>
      </c>
      <c r="GJ11" s="319" t="s">
        <v>190</v>
      </c>
      <c r="GK11" s="319" t="s">
        <v>428</v>
      </c>
      <c r="GL11" s="319" t="s">
        <v>190</v>
      </c>
      <c r="GM11" s="319" t="s">
        <v>190</v>
      </c>
      <c r="GN11" s="319" t="s">
        <v>190</v>
      </c>
      <c r="GO11" s="319" t="s">
        <v>190</v>
      </c>
      <c r="GP11" s="319" t="s">
        <v>190</v>
      </c>
      <c r="GQ11" s="319" t="s">
        <v>428</v>
      </c>
      <c r="GR11" s="319" t="s">
        <v>190</v>
      </c>
      <c r="GS11" s="319" t="s">
        <v>190</v>
      </c>
      <c r="GT11" s="319" t="s">
        <v>190</v>
      </c>
      <c r="GU11" s="319" t="s">
        <v>190</v>
      </c>
      <c r="GV11" s="319" t="s">
        <v>190</v>
      </c>
      <c r="GW11" s="319" t="s">
        <v>190</v>
      </c>
      <c r="GX11" s="319" t="s">
        <v>190</v>
      </c>
      <c r="GY11" s="319" t="s">
        <v>190</v>
      </c>
      <c r="GZ11" s="319" t="s">
        <v>190</v>
      </c>
      <c r="HA11" s="319" t="s">
        <v>190</v>
      </c>
      <c r="HB11" s="319" t="s">
        <v>190</v>
      </c>
      <c r="HC11" s="319" t="s">
        <v>190</v>
      </c>
      <c r="HD11" s="319" t="s">
        <v>190</v>
      </c>
      <c r="HE11" s="319" t="s">
        <v>190</v>
      </c>
      <c r="HF11" s="319" t="s">
        <v>190</v>
      </c>
      <c r="HG11" s="319" t="s">
        <v>190</v>
      </c>
      <c r="HH11" s="319" t="s">
        <v>190</v>
      </c>
      <c r="HI11" s="319" t="s">
        <v>190</v>
      </c>
      <c r="HJ11" s="319" t="s">
        <v>190</v>
      </c>
      <c r="HK11" s="319" t="s">
        <v>190</v>
      </c>
      <c r="HL11" s="319" t="s">
        <v>428</v>
      </c>
      <c r="HM11" s="319" t="s">
        <v>428</v>
      </c>
      <c r="HN11" s="319" t="s">
        <v>428</v>
      </c>
      <c r="HO11" s="319" t="s">
        <v>428</v>
      </c>
      <c r="HP11" s="319" t="s">
        <v>190</v>
      </c>
      <c r="HQ11" s="319" t="s">
        <v>190</v>
      </c>
      <c r="HR11" s="319" t="s">
        <v>190</v>
      </c>
      <c r="HS11" s="319" t="s">
        <v>190</v>
      </c>
      <c r="HT11" s="319" t="s">
        <v>190</v>
      </c>
      <c r="HU11" s="319" t="s">
        <v>190</v>
      </c>
      <c r="HV11" s="319" t="s">
        <v>190</v>
      </c>
      <c r="HW11" s="319" t="s">
        <v>190</v>
      </c>
      <c r="HX11" s="319" t="s">
        <v>190</v>
      </c>
      <c r="HY11" s="319" t="s">
        <v>190</v>
      </c>
      <c r="HZ11" s="319" t="s">
        <v>190</v>
      </c>
      <c r="IA11" s="319" t="s">
        <v>190</v>
      </c>
      <c r="IB11" s="319" t="s">
        <v>190</v>
      </c>
      <c r="IC11" s="319" t="s">
        <v>190</v>
      </c>
      <c r="ID11" s="319" t="s">
        <v>190</v>
      </c>
      <c r="IE11" s="319" t="s">
        <v>190</v>
      </c>
      <c r="IF11" s="319" t="s">
        <v>191</v>
      </c>
      <c r="IG11" s="319" t="s">
        <v>191</v>
      </c>
      <c r="IH11" s="319" t="s">
        <v>191</v>
      </c>
      <c r="II11" s="319" t="s">
        <v>191</v>
      </c>
      <c r="IJ11" s="319">
        <v>10038148</v>
      </c>
      <c r="IK11" s="321">
        <v>42990</v>
      </c>
      <c r="IL11" s="321">
        <v>42992</v>
      </c>
      <c r="IM11" s="321">
        <v>43062</v>
      </c>
      <c r="IN11" s="319">
        <v>4</v>
      </c>
      <c r="IO11" s="319">
        <v>10115177</v>
      </c>
      <c r="IP11" s="319" t="s">
        <v>985</v>
      </c>
      <c r="IQ11" s="321">
        <v>43733</v>
      </c>
      <c r="IR11" s="320" t="s">
        <v>2771</v>
      </c>
      <c r="IS11" s="322">
        <v>43768</v>
      </c>
      <c r="IT11" s="319" t="s">
        <v>166</v>
      </c>
    </row>
    <row r="12" spans="1:254" s="271" customFormat="1" x14ac:dyDescent="0.25">
      <c r="A12" s="318" t="str">
        <f>HYPERLINK("http://www.ofsted.gov.uk/inspection-reports/find-inspection-report/provider/ELS/100291 ","Ofsted School Webpage")</f>
        <v>Ofsted School Webpage</v>
      </c>
      <c r="B12" s="319">
        <v>100291</v>
      </c>
      <c r="C12" s="319">
        <v>2046242</v>
      </c>
      <c r="D12" s="319" t="s">
        <v>1216</v>
      </c>
      <c r="E12" s="319" t="s">
        <v>167</v>
      </c>
      <c r="F12" s="319" t="s">
        <v>81</v>
      </c>
      <c r="G12" s="319" t="s">
        <v>70</v>
      </c>
      <c r="H12" s="319" t="s">
        <v>70</v>
      </c>
      <c r="I12" s="319" t="s">
        <v>69</v>
      </c>
      <c r="J12" s="319" t="s">
        <v>424</v>
      </c>
      <c r="K12" s="319" t="s">
        <v>441</v>
      </c>
      <c r="L12" s="319" t="s">
        <v>441</v>
      </c>
      <c r="M12" s="319" t="s">
        <v>547</v>
      </c>
      <c r="N12" s="319" t="s">
        <v>2774</v>
      </c>
      <c r="O12" s="319" t="s">
        <v>625</v>
      </c>
      <c r="P12" s="319">
        <v>840</v>
      </c>
      <c r="Q12" s="319" t="s">
        <v>2766</v>
      </c>
      <c r="R12" s="320">
        <v>10026268</v>
      </c>
      <c r="S12" s="321">
        <v>43263</v>
      </c>
      <c r="T12" s="321">
        <v>43265</v>
      </c>
      <c r="U12" s="321">
        <v>43385</v>
      </c>
      <c r="V12" s="319" t="s">
        <v>425</v>
      </c>
      <c r="W12" s="319" t="s">
        <v>2767</v>
      </c>
      <c r="X12" s="319">
        <v>4</v>
      </c>
      <c r="Y12" s="319" t="s">
        <v>173</v>
      </c>
      <c r="Z12" s="319" t="s">
        <v>173</v>
      </c>
      <c r="AA12" s="319" t="s">
        <v>173</v>
      </c>
      <c r="AB12" s="319">
        <v>4</v>
      </c>
      <c r="AC12" s="319" t="s">
        <v>170</v>
      </c>
      <c r="AD12" s="319">
        <v>4</v>
      </c>
      <c r="AE12" s="319" t="s">
        <v>173</v>
      </c>
      <c r="AF12" s="319" t="s">
        <v>447</v>
      </c>
      <c r="AG12" s="319" t="s">
        <v>172</v>
      </c>
      <c r="AH12" s="319" t="s">
        <v>479</v>
      </c>
      <c r="AI12" s="319" t="s">
        <v>479</v>
      </c>
      <c r="AJ12" s="319" t="s">
        <v>479</v>
      </c>
      <c r="AK12" s="319" t="s">
        <v>190</v>
      </c>
      <c r="AL12" s="319" t="s">
        <v>479</v>
      </c>
      <c r="AM12" s="319" t="s">
        <v>479</v>
      </c>
      <c r="AN12" s="319" t="s">
        <v>190</v>
      </c>
      <c r="AO12" s="319" t="s">
        <v>479</v>
      </c>
      <c r="AP12" s="319" t="s">
        <v>191</v>
      </c>
      <c r="AQ12" s="319" t="s">
        <v>191</v>
      </c>
      <c r="AR12" s="319" t="s">
        <v>190</v>
      </c>
      <c r="AS12" s="319" t="s">
        <v>190</v>
      </c>
      <c r="AT12" s="319" t="s">
        <v>190</v>
      </c>
      <c r="AU12" s="319" t="s">
        <v>191</v>
      </c>
      <c r="AV12" s="319" t="s">
        <v>190</v>
      </c>
      <c r="AW12" s="319" t="s">
        <v>190</v>
      </c>
      <c r="AX12" s="319" t="s">
        <v>190</v>
      </c>
      <c r="AY12" s="319" t="s">
        <v>191</v>
      </c>
      <c r="AZ12" s="319" t="s">
        <v>190</v>
      </c>
      <c r="BA12" s="319" t="s">
        <v>191</v>
      </c>
      <c r="BB12" s="319" t="s">
        <v>191</v>
      </c>
      <c r="BC12" s="319" t="s">
        <v>191</v>
      </c>
      <c r="BD12" s="319" t="s">
        <v>191</v>
      </c>
      <c r="BE12" s="319" t="s">
        <v>191</v>
      </c>
      <c r="BF12" s="319" t="s">
        <v>190</v>
      </c>
      <c r="BG12" s="319" t="s">
        <v>428</v>
      </c>
      <c r="BH12" s="319" t="s">
        <v>190</v>
      </c>
      <c r="BI12" s="319" t="s">
        <v>191</v>
      </c>
      <c r="BJ12" s="319" t="s">
        <v>191</v>
      </c>
      <c r="BK12" s="319" t="s">
        <v>190</v>
      </c>
      <c r="BL12" s="319" t="s">
        <v>190</v>
      </c>
      <c r="BM12" s="319" t="s">
        <v>190</v>
      </c>
      <c r="BN12" s="319" t="s">
        <v>190</v>
      </c>
      <c r="BO12" s="319" t="s">
        <v>190</v>
      </c>
      <c r="BP12" s="319" t="s">
        <v>190</v>
      </c>
      <c r="BQ12" s="319" t="s">
        <v>190</v>
      </c>
      <c r="BR12" s="319" t="s">
        <v>190</v>
      </c>
      <c r="BS12" s="319" t="s">
        <v>190</v>
      </c>
      <c r="BT12" s="319" t="s">
        <v>191</v>
      </c>
      <c r="BU12" s="319" t="s">
        <v>190</v>
      </c>
      <c r="BV12" s="319" t="s">
        <v>191</v>
      </c>
      <c r="BW12" s="319" t="s">
        <v>191</v>
      </c>
      <c r="BX12" s="319" t="s">
        <v>191</v>
      </c>
      <c r="BY12" s="319" t="s">
        <v>190</v>
      </c>
      <c r="BZ12" s="319" t="s">
        <v>190</v>
      </c>
      <c r="CA12" s="319" t="s">
        <v>190</v>
      </c>
      <c r="CB12" s="319" t="s">
        <v>190</v>
      </c>
      <c r="CC12" s="319" t="s">
        <v>191</v>
      </c>
      <c r="CD12" s="319" t="s">
        <v>191</v>
      </c>
      <c r="CE12" s="319" t="s">
        <v>190</v>
      </c>
      <c r="CF12" s="319" t="s">
        <v>190</v>
      </c>
      <c r="CG12" s="319" t="s">
        <v>190</v>
      </c>
      <c r="CH12" s="319" t="s">
        <v>190</v>
      </c>
      <c r="CI12" s="319" t="s">
        <v>190</v>
      </c>
      <c r="CJ12" s="319" t="s">
        <v>190</v>
      </c>
      <c r="CK12" s="319" t="s">
        <v>191</v>
      </c>
      <c r="CL12" s="319" t="s">
        <v>191</v>
      </c>
      <c r="CM12" s="319" t="s">
        <v>191</v>
      </c>
      <c r="CN12" s="319" t="s">
        <v>428</v>
      </c>
      <c r="CO12" s="319" t="s">
        <v>428</v>
      </c>
      <c r="CP12" s="319" t="s">
        <v>428</v>
      </c>
      <c r="CQ12" s="319" t="s">
        <v>190</v>
      </c>
      <c r="CR12" s="319" t="s">
        <v>190</v>
      </c>
      <c r="CS12" s="319" t="s">
        <v>190</v>
      </c>
      <c r="CT12" s="319" t="s">
        <v>190</v>
      </c>
      <c r="CU12" s="319" t="s">
        <v>191</v>
      </c>
      <c r="CV12" s="319" t="s">
        <v>191</v>
      </c>
      <c r="CW12" s="319" t="s">
        <v>190</v>
      </c>
      <c r="CX12" s="319" t="s">
        <v>190</v>
      </c>
      <c r="CY12" s="319" t="s">
        <v>190</v>
      </c>
      <c r="CZ12" s="319" t="s">
        <v>190</v>
      </c>
      <c r="DA12" s="319" t="s">
        <v>191</v>
      </c>
      <c r="DB12" s="319" t="s">
        <v>191</v>
      </c>
      <c r="DC12" s="319" t="s">
        <v>191</v>
      </c>
      <c r="DD12" s="319" t="s">
        <v>190</v>
      </c>
      <c r="DE12" s="319" t="s">
        <v>190</v>
      </c>
      <c r="DF12" s="319" t="s">
        <v>190</v>
      </c>
      <c r="DG12" s="319" t="s">
        <v>190</v>
      </c>
      <c r="DH12" s="319" t="s">
        <v>190</v>
      </c>
      <c r="DI12" s="319" t="s">
        <v>190</v>
      </c>
      <c r="DJ12" s="319" t="s">
        <v>190</v>
      </c>
      <c r="DK12" s="319" t="s">
        <v>190</v>
      </c>
      <c r="DL12" s="319" t="s">
        <v>190</v>
      </c>
      <c r="DM12" s="319" t="s">
        <v>190</v>
      </c>
      <c r="DN12" s="319" t="s">
        <v>428</v>
      </c>
      <c r="DO12" s="319" t="s">
        <v>190</v>
      </c>
      <c r="DP12" s="319" t="s">
        <v>190</v>
      </c>
      <c r="DQ12" s="319" t="s">
        <v>190</v>
      </c>
      <c r="DR12" s="319" t="s">
        <v>190</v>
      </c>
      <c r="DS12" s="319" t="s">
        <v>190</v>
      </c>
      <c r="DT12" s="319" t="s">
        <v>190</v>
      </c>
      <c r="DU12" s="319" t="s">
        <v>190</v>
      </c>
      <c r="DV12" s="319" t="s">
        <v>173</v>
      </c>
      <c r="DW12" s="319" t="s">
        <v>190</v>
      </c>
      <c r="DX12" s="319" t="s">
        <v>190</v>
      </c>
      <c r="DY12" s="319" t="s">
        <v>190</v>
      </c>
      <c r="DZ12" s="319" t="s">
        <v>190</v>
      </c>
      <c r="EA12" s="319" t="s">
        <v>190</v>
      </c>
      <c r="EB12" s="319" t="s">
        <v>190</v>
      </c>
      <c r="EC12" s="319" t="s">
        <v>428</v>
      </c>
      <c r="ED12" s="319" t="s">
        <v>190</v>
      </c>
      <c r="EE12" s="319" t="s">
        <v>190</v>
      </c>
      <c r="EF12" s="319" t="s">
        <v>190</v>
      </c>
      <c r="EG12" s="319" t="s">
        <v>190</v>
      </c>
      <c r="EH12" s="319" t="s">
        <v>190</v>
      </c>
      <c r="EI12" s="319" t="s">
        <v>190</v>
      </c>
      <c r="EJ12" s="319" t="s">
        <v>190</v>
      </c>
      <c r="EK12" s="319" t="s">
        <v>190</v>
      </c>
      <c r="EL12" s="319" t="s">
        <v>190</v>
      </c>
      <c r="EM12" s="319" t="s">
        <v>190</v>
      </c>
      <c r="EN12" s="319" t="s">
        <v>190</v>
      </c>
      <c r="EO12" s="319" t="s">
        <v>190</v>
      </c>
      <c r="EP12" s="319" t="s">
        <v>190</v>
      </c>
      <c r="EQ12" s="319" t="s">
        <v>190</v>
      </c>
      <c r="ER12" s="319" t="s">
        <v>190</v>
      </c>
      <c r="ES12" s="319" t="s">
        <v>190</v>
      </c>
      <c r="ET12" s="319" t="s">
        <v>190</v>
      </c>
      <c r="EU12" s="319" t="s">
        <v>190</v>
      </c>
      <c r="EV12" s="319" t="s">
        <v>190</v>
      </c>
      <c r="EW12" s="319" t="s">
        <v>190</v>
      </c>
      <c r="EX12" s="319" t="s">
        <v>190</v>
      </c>
      <c r="EY12" s="319" t="s">
        <v>190</v>
      </c>
      <c r="EZ12" s="319" t="s">
        <v>190</v>
      </c>
      <c r="FA12" s="319" t="s">
        <v>190</v>
      </c>
      <c r="FB12" s="319" t="s">
        <v>190</v>
      </c>
      <c r="FC12" s="319" t="s">
        <v>190</v>
      </c>
      <c r="FD12" s="319" t="s">
        <v>190</v>
      </c>
      <c r="FE12" s="319" t="s">
        <v>190</v>
      </c>
      <c r="FF12" s="319" t="s">
        <v>190</v>
      </c>
      <c r="FG12" s="319" t="s">
        <v>190</v>
      </c>
      <c r="FH12" s="319" t="s">
        <v>190</v>
      </c>
      <c r="FI12" s="319" t="s">
        <v>190</v>
      </c>
      <c r="FJ12" s="319" t="s">
        <v>190</v>
      </c>
      <c r="FK12" s="319" t="s">
        <v>190</v>
      </c>
      <c r="FL12" s="319" t="s">
        <v>190</v>
      </c>
      <c r="FM12" s="319" t="s">
        <v>190</v>
      </c>
      <c r="FN12" s="319" t="s">
        <v>428</v>
      </c>
      <c r="FO12" s="319" t="s">
        <v>190</v>
      </c>
      <c r="FP12" s="319" t="s">
        <v>190</v>
      </c>
      <c r="FQ12" s="319" t="s">
        <v>190</v>
      </c>
      <c r="FR12" s="319" t="s">
        <v>190</v>
      </c>
      <c r="FS12" s="319" t="s">
        <v>428</v>
      </c>
      <c r="FT12" s="319" t="s">
        <v>190</v>
      </c>
      <c r="FU12" s="319" t="s">
        <v>191</v>
      </c>
      <c r="FV12" s="319" t="s">
        <v>190</v>
      </c>
      <c r="FW12" s="319" t="s">
        <v>190</v>
      </c>
      <c r="FX12" s="319" t="s">
        <v>190</v>
      </c>
      <c r="FY12" s="319" t="s">
        <v>190</v>
      </c>
      <c r="FZ12" s="319" t="s">
        <v>190</v>
      </c>
      <c r="GA12" s="319" t="s">
        <v>190</v>
      </c>
      <c r="GB12" s="319" t="s">
        <v>190</v>
      </c>
      <c r="GC12" s="319" t="s">
        <v>190</v>
      </c>
      <c r="GD12" s="319" t="s">
        <v>190</v>
      </c>
      <c r="GE12" s="319" t="s">
        <v>190</v>
      </c>
      <c r="GF12" s="319" t="s">
        <v>190</v>
      </c>
      <c r="GG12" s="319" t="s">
        <v>190</v>
      </c>
      <c r="GH12" s="319" t="s">
        <v>190</v>
      </c>
      <c r="GI12" s="319" t="s">
        <v>190</v>
      </c>
      <c r="GJ12" s="319" t="s">
        <v>190</v>
      </c>
      <c r="GK12" s="319" t="s">
        <v>428</v>
      </c>
      <c r="GL12" s="319" t="s">
        <v>191</v>
      </c>
      <c r="GM12" s="319" t="s">
        <v>190</v>
      </c>
      <c r="GN12" s="319" t="s">
        <v>190</v>
      </c>
      <c r="GO12" s="319" t="s">
        <v>190</v>
      </c>
      <c r="GP12" s="319" t="s">
        <v>190</v>
      </c>
      <c r="GQ12" s="319" t="s">
        <v>428</v>
      </c>
      <c r="GR12" s="319" t="s">
        <v>190</v>
      </c>
      <c r="GS12" s="319" t="s">
        <v>191</v>
      </c>
      <c r="GT12" s="319" t="s">
        <v>190</v>
      </c>
      <c r="GU12" s="319" t="s">
        <v>190</v>
      </c>
      <c r="GV12" s="319" t="s">
        <v>190</v>
      </c>
      <c r="GW12" s="319" t="s">
        <v>190</v>
      </c>
      <c r="GX12" s="319" t="s">
        <v>190</v>
      </c>
      <c r="GY12" s="319" t="s">
        <v>190</v>
      </c>
      <c r="GZ12" s="319" t="s">
        <v>190</v>
      </c>
      <c r="HA12" s="319" t="s">
        <v>190</v>
      </c>
      <c r="HB12" s="319" t="s">
        <v>190</v>
      </c>
      <c r="HC12" s="319" t="s">
        <v>190</v>
      </c>
      <c r="HD12" s="319" t="s">
        <v>190</v>
      </c>
      <c r="HE12" s="319" t="s">
        <v>190</v>
      </c>
      <c r="HF12" s="319" t="s">
        <v>190</v>
      </c>
      <c r="HG12" s="319" t="s">
        <v>190</v>
      </c>
      <c r="HH12" s="319" t="s">
        <v>190</v>
      </c>
      <c r="HI12" s="319" t="s">
        <v>190</v>
      </c>
      <c r="HJ12" s="319" t="s">
        <v>190</v>
      </c>
      <c r="HK12" s="319" t="s">
        <v>190</v>
      </c>
      <c r="HL12" s="319" t="s">
        <v>190</v>
      </c>
      <c r="HM12" s="319" t="s">
        <v>190</v>
      </c>
      <c r="HN12" s="319" t="s">
        <v>190</v>
      </c>
      <c r="HO12" s="319" t="s">
        <v>190</v>
      </c>
      <c r="HP12" s="319" t="s">
        <v>190</v>
      </c>
      <c r="HQ12" s="319" t="s">
        <v>190</v>
      </c>
      <c r="HR12" s="319" t="s">
        <v>190</v>
      </c>
      <c r="HS12" s="319" t="s">
        <v>190</v>
      </c>
      <c r="HT12" s="319" t="s">
        <v>190</v>
      </c>
      <c r="HU12" s="319" t="s">
        <v>190</v>
      </c>
      <c r="HV12" s="319" t="s">
        <v>190</v>
      </c>
      <c r="HW12" s="319" t="s">
        <v>190</v>
      </c>
      <c r="HX12" s="319" t="s">
        <v>190</v>
      </c>
      <c r="HY12" s="319" t="s">
        <v>190</v>
      </c>
      <c r="HZ12" s="319" t="s">
        <v>190</v>
      </c>
      <c r="IA12" s="319" t="s">
        <v>190</v>
      </c>
      <c r="IB12" s="319" t="s">
        <v>190</v>
      </c>
      <c r="IC12" s="319" t="s">
        <v>190</v>
      </c>
      <c r="ID12" s="319" t="s">
        <v>190</v>
      </c>
      <c r="IE12" s="319" t="s">
        <v>190</v>
      </c>
      <c r="IF12" s="319" t="s">
        <v>191</v>
      </c>
      <c r="IG12" s="319" t="s">
        <v>191</v>
      </c>
      <c r="IH12" s="319" t="s">
        <v>191</v>
      </c>
      <c r="II12" s="319" t="s">
        <v>191</v>
      </c>
      <c r="IJ12" s="319" t="s">
        <v>2775</v>
      </c>
      <c r="IK12" s="321">
        <v>40946</v>
      </c>
      <c r="IL12" s="321">
        <v>40947</v>
      </c>
      <c r="IM12" s="321">
        <v>41241</v>
      </c>
      <c r="IN12" s="319">
        <v>2</v>
      </c>
      <c r="IO12" s="319">
        <v>10093610</v>
      </c>
      <c r="IP12" s="319" t="s">
        <v>985</v>
      </c>
      <c r="IQ12" s="321">
        <v>43551</v>
      </c>
      <c r="IR12" s="320" t="s">
        <v>1223</v>
      </c>
      <c r="IS12" s="322">
        <v>43605</v>
      </c>
      <c r="IT12" s="319" t="s">
        <v>166</v>
      </c>
    </row>
    <row r="13" spans="1:254" s="271" customFormat="1" x14ac:dyDescent="0.25">
      <c r="A13" s="318" t="str">
        <f>HYPERLINK("http://www.ofsted.gov.uk/inspection-reports/find-inspection-report/provider/ELS/100293 ","Ofsted School Webpage")</f>
        <v>Ofsted School Webpage</v>
      </c>
      <c r="B13" s="319">
        <v>100293</v>
      </c>
      <c r="C13" s="319">
        <v>2046296</v>
      </c>
      <c r="D13" s="319" t="s">
        <v>624</v>
      </c>
      <c r="E13" s="319" t="s">
        <v>167</v>
      </c>
      <c r="F13" s="319" t="s">
        <v>69</v>
      </c>
      <c r="G13" s="319" t="s">
        <v>69</v>
      </c>
      <c r="H13" s="319" t="s">
        <v>69</v>
      </c>
      <c r="I13" s="319" t="s">
        <v>69</v>
      </c>
      <c r="J13" s="319" t="s">
        <v>424</v>
      </c>
      <c r="K13" s="319" t="s">
        <v>441</v>
      </c>
      <c r="L13" s="319" t="s">
        <v>441</v>
      </c>
      <c r="M13" s="319" t="s">
        <v>547</v>
      </c>
      <c r="N13" s="319" t="s">
        <v>2774</v>
      </c>
      <c r="O13" s="319" t="s">
        <v>625</v>
      </c>
      <c r="P13" s="319">
        <v>1800</v>
      </c>
      <c r="Q13" s="319" t="s">
        <v>2776</v>
      </c>
      <c r="R13" s="320">
        <v>10034880</v>
      </c>
      <c r="S13" s="321">
        <v>43410</v>
      </c>
      <c r="T13" s="321">
        <v>43412</v>
      </c>
      <c r="U13" s="321">
        <v>43446</v>
      </c>
      <c r="V13" s="319" t="s">
        <v>425</v>
      </c>
      <c r="W13" s="319" t="s">
        <v>2767</v>
      </c>
      <c r="X13" s="319">
        <v>3</v>
      </c>
      <c r="Y13" s="319" t="s">
        <v>173</v>
      </c>
      <c r="Z13" s="319" t="s">
        <v>173</v>
      </c>
      <c r="AA13" s="319" t="s">
        <v>173</v>
      </c>
      <c r="AB13" s="319">
        <v>3</v>
      </c>
      <c r="AC13" s="319" t="s">
        <v>169</v>
      </c>
      <c r="AD13" s="319">
        <v>3</v>
      </c>
      <c r="AE13" s="319">
        <v>4</v>
      </c>
      <c r="AF13" s="319" t="s">
        <v>447</v>
      </c>
      <c r="AG13" s="319" t="s">
        <v>172</v>
      </c>
      <c r="AH13" s="319" t="s">
        <v>479</v>
      </c>
      <c r="AI13" s="319" t="s">
        <v>190</v>
      </c>
      <c r="AJ13" s="319" t="s">
        <v>190</v>
      </c>
      <c r="AK13" s="319" t="s">
        <v>190</v>
      </c>
      <c r="AL13" s="319" t="s">
        <v>190</v>
      </c>
      <c r="AM13" s="319" t="s">
        <v>190</v>
      </c>
      <c r="AN13" s="319" t="s">
        <v>190</v>
      </c>
      <c r="AO13" s="319" t="s">
        <v>479</v>
      </c>
      <c r="AP13" s="319" t="s">
        <v>190</v>
      </c>
      <c r="AQ13" s="319" t="s">
        <v>190</v>
      </c>
      <c r="AR13" s="319" t="s">
        <v>190</v>
      </c>
      <c r="AS13" s="319" t="s">
        <v>190</v>
      </c>
      <c r="AT13" s="319" t="s">
        <v>190</v>
      </c>
      <c r="AU13" s="319" t="s">
        <v>191</v>
      </c>
      <c r="AV13" s="319" t="s">
        <v>190</v>
      </c>
      <c r="AW13" s="319" t="s">
        <v>190</v>
      </c>
      <c r="AX13" s="319" t="s">
        <v>190</v>
      </c>
      <c r="AY13" s="319" t="s">
        <v>190</v>
      </c>
      <c r="AZ13" s="319" t="s">
        <v>190</v>
      </c>
      <c r="BA13" s="319" t="s">
        <v>190</v>
      </c>
      <c r="BB13" s="319" t="s">
        <v>191</v>
      </c>
      <c r="BC13" s="319" t="s">
        <v>191</v>
      </c>
      <c r="BD13" s="319" t="s">
        <v>191</v>
      </c>
      <c r="BE13" s="319" t="s">
        <v>191</v>
      </c>
      <c r="BF13" s="319" t="s">
        <v>190</v>
      </c>
      <c r="BG13" s="319" t="s">
        <v>191</v>
      </c>
      <c r="BH13" s="319" t="s">
        <v>190</v>
      </c>
      <c r="BI13" s="319" t="s">
        <v>190</v>
      </c>
      <c r="BJ13" s="319" t="s">
        <v>191</v>
      </c>
      <c r="BK13" s="319" t="s">
        <v>190</v>
      </c>
      <c r="BL13" s="319" t="s">
        <v>190</v>
      </c>
      <c r="BM13" s="319" t="s">
        <v>190</v>
      </c>
      <c r="BN13" s="319" t="s">
        <v>190</v>
      </c>
      <c r="BO13" s="319" t="s">
        <v>190</v>
      </c>
      <c r="BP13" s="319" t="s">
        <v>190</v>
      </c>
      <c r="BQ13" s="319" t="s">
        <v>190</v>
      </c>
      <c r="BR13" s="319" t="s">
        <v>190</v>
      </c>
      <c r="BS13" s="319" t="s">
        <v>190</v>
      </c>
      <c r="BT13" s="319" t="s">
        <v>191</v>
      </c>
      <c r="BU13" s="319" t="s">
        <v>190</v>
      </c>
      <c r="BV13" s="319" t="s">
        <v>190</v>
      </c>
      <c r="BW13" s="319" t="s">
        <v>190</v>
      </c>
      <c r="BX13" s="319" t="s">
        <v>190</v>
      </c>
      <c r="BY13" s="319" t="s">
        <v>190</v>
      </c>
      <c r="BZ13" s="319" t="s">
        <v>190</v>
      </c>
      <c r="CA13" s="319" t="s">
        <v>190</v>
      </c>
      <c r="CB13" s="319" t="s">
        <v>190</v>
      </c>
      <c r="CC13" s="319" t="s">
        <v>190</v>
      </c>
      <c r="CD13" s="319" t="s">
        <v>190</v>
      </c>
      <c r="CE13" s="319" t="s">
        <v>190</v>
      </c>
      <c r="CF13" s="319" t="s">
        <v>190</v>
      </c>
      <c r="CG13" s="319" t="s">
        <v>190</v>
      </c>
      <c r="CH13" s="319" t="s">
        <v>190</v>
      </c>
      <c r="CI13" s="319" t="s">
        <v>190</v>
      </c>
      <c r="CJ13" s="319" t="s">
        <v>190</v>
      </c>
      <c r="CK13" s="319" t="s">
        <v>190</v>
      </c>
      <c r="CL13" s="319" t="s">
        <v>190</v>
      </c>
      <c r="CM13" s="319" t="s">
        <v>190</v>
      </c>
      <c r="CN13" s="319" t="s">
        <v>428</v>
      </c>
      <c r="CO13" s="319" t="s">
        <v>428</v>
      </c>
      <c r="CP13" s="319" t="s">
        <v>428</v>
      </c>
      <c r="CQ13" s="319" t="s">
        <v>190</v>
      </c>
      <c r="CR13" s="319" t="s">
        <v>190</v>
      </c>
      <c r="CS13" s="319" t="s">
        <v>190</v>
      </c>
      <c r="CT13" s="319" t="s">
        <v>190</v>
      </c>
      <c r="CU13" s="319" t="s">
        <v>190</v>
      </c>
      <c r="CV13" s="319" t="s">
        <v>190</v>
      </c>
      <c r="CW13" s="319" t="s">
        <v>190</v>
      </c>
      <c r="CX13" s="319" t="s">
        <v>190</v>
      </c>
      <c r="CY13" s="319" t="s">
        <v>190</v>
      </c>
      <c r="CZ13" s="319" t="s">
        <v>190</v>
      </c>
      <c r="DA13" s="319" t="s">
        <v>190</v>
      </c>
      <c r="DB13" s="319" t="s">
        <v>190</v>
      </c>
      <c r="DC13" s="319" t="s">
        <v>190</v>
      </c>
      <c r="DD13" s="319" t="s">
        <v>190</v>
      </c>
      <c r="DE13" s="319" t="s">
        <v>190</v>
      </c>
      <c r="DF13" s="319" t="s">
        <v>190</v>
      </c>
      <c r="DG13" s="319" t="s">
        <v>190</v>
      </c>
      <c r="DH13" s="319" t="s">
        <v>190</v>
      </c>
      <c r="DI13" s="319" t="s">
        <v>190</v>
      </c>
      <c r="DJ13" s="319" t="s">
        <v>190</v>
      </c>
      <c r="DK13" s="319" t="s">
        <v>190</v>
      </c>
      <c r="DL13" s="319" t="s">
        <v>190</v>
      </c>
      <c r="DM13" s="319" t="s">
        <v>190</v>
      </c>
      <c r="DN13" s="319" t="s">
        <v>428</v>
      </c>
      <c r="DO13" s="319" t="s">
        <v>190</v>
      </c>
      <c r="DP13" s="319" t="s">
        <v>190</v>
      </c>
      <c r="DQ13" s="319" t="s">
        <v>190</v>
      </c>
      <c r="DR13" s="319" t="s">
        <v>190</v>
      </c>
      <c r="DS13" s="319" t="s">
        <v>190</v>
      </c>
      <c r="DT13" s="319" t="s">
        <v>190</v>
      </c>
      <c r="DU13" s="319" t="s">
        <v>190</v>
      </c>
      <c r="DV13" s="319" t="s">
        <v>173</v>
      </c>
      <c r="DW13" s="319" t="s">
        <v>190</v>
      </c>
      <c r="DX13" s="319" t="s">
        <v>190</v>
      </c>
      <c r="DY13" s="319" t="s">
        <v>190</v>
      </c>
      <c r="DZ13" s="319" t="s">
        <v>190</v>
      </c>
      <c r="EA13" s="319" t="s">
        <v>190</v>
      </c>
      <c r="EB13" s="319" t="s">
        <v>190</v>
      </c>
      <c r="EC13" s="319" t="s">
        <v>428</v>
      </c>
      <c r="ED13" s="319" t="s">
        <v>190</v>
      </c>
      <c r="EE13" s="319" t="s">
        <v>190</v>
      </c>
      <c r="EF13" s="319" t="s">
        <v>190</v>
      </c>
      <c r="EG13" s="319" t="s">
        <v>190</v>
      </c>
      <c r="EH13" s="319" t="s">
        <v>190</v>
      </c>
      <c r="EI13" s="319" t="s">
        <v>190</v>
      </c>
      <c r="EJ13" s="319" t="s">
        <v>190</v>
      </c>
      <c r="EK13" s="319" t="s">
        <v>190</v>
      </c>
      <c r="EL13" s="319" t="s">
        <v>190</v>
      </c>
      <c r="EM13" s="319" t="s">
        <v>190</v>
      </c>
      <c r="EN13" s="319" t="s">
        <v>190</v>
      </c>
      <c r="EO13" s="319" t="s">
        <v>190</v>
      </c>
      <c r="EP13" s="319" t="s">
        <v>190</v>
      </c>
      <c r="EQ13" s="319" t="s">
        <v>190</v>
      </c>
      <c r="ER13" s="319" t="s">
        <v>190</v>
      </c>
      <c r="ES13" s="319" t="s">
        <v>190</v>
      </c>
      <c r="ET13" s="319" t="s">
        <v>190</v>
      </c>
      <c r="EU13" s="319" t="s">
        <v>190</v>
      </c>
      <c r="EV13" s="319" t="s">
        <v>190</v>
      </c>
      <c r="EW13" s="319" t="s">
        <v>190</v>
      </c>
      <c r="EX13" s="319" t="s">
        <v>190</v>
      </c>
      <c r="EY13" s="319" t="s">
        <v>190</v>
      </c>
      <c r="EZ13" s="319" t="s">
        <v>190</v>
      </c>
      <c r="FA13" s="319" t="s">
        <v>190</v>
      </c>
      <c r="FB13" s="319" t="s">
        <v>190</v>
      </c>
      <c r="FC13" s="319" t="s">
        <v>190</v>
      </c>
      <c r="FD13" s="319" t="s">
        <v>190</v>
      </c>
      <c r="FE13" s="319" t="s">
        <v>190</v>
      </c>
      <c r="FF13" s="319" t="s">
        <v>190</v>
      </c>
      <c r="FG13" s="319" t="s">
        <v>190</v>
      </c>
      <c r="FH13" s="319" t="s">
        <v>190</v>
      </c>
      <c r="FI13" s="319" t="s">
        <v>190</v>
      </c>
      <c r="FJ13" s="319" t="s">
        <v>190</v>
      </c>
      <c r="FK13" s="319" t="s">
        <v>190</v>
      </c>
      <c r="FL13" s="319" t="s">
        <v>190</v>
      </c>
      <c r="FM13" s="319" t="s">
        <v>190</v>
      </c>
      <c r="FN13" s="319" t="s">
        <v>190</v>
      </c>
      <c r="FO13" s="319" t="s">
        <v>190</v>
      </c>
      <c r="FP13" s="319" t="s">
        <v>190</v>
      </c>
      <c r="FQ13" s="319" t="s">
        <v>190</v>
      </c>
      <c r="FR13" s="319" t="s">
        <v>190</v>
      </c>
      <c r="FS13" s="319" t="s">
        <v>428</v>
      </c>
      <c r="FT13" s="319" t="s">
        <v>190</v>
      </c>
      <c r="FU13" s="319" t="s">
        <v>190</v>
      </c>
      <c r="FV13" s="319" t="s">
        <v>190</v>
      </c>
      <c r="FW13" s="319" t="s">
        <v>190</v>
      </c>
      <c r="FX13" s="319" t="s">
        <v>190</v>
      </c>
      <c r="FY13" s="319" t="s">
        <v>190</v>
      </c>
      <c r="FZ13" s="319" t="s">
        <v>190</v>
      </c>
      <c r="GA13" s="319" t="s">
        <v>190</v>
      </c>
      <c r="GB13" s="319" t="s">
        <v>190</v>
      </c>
      <c r="GC13" s="319" t="s">
        <v>190</v>
      </c>
      <c r="GD13" s="319" t="s">
        <v>190</v>
      </c>
      <c r="GE13" s="319" t="s">
        <v>190</v>
      </c>
      <c r="GF13" s="319" t="s">
        <v>190</v>
      </c>
      <c r="GG13" s="319" t="s">
        <v>190</v>
      </c>
      <c r="GH13" s="319" t="s">
        <v>190</v>
      </c>
      <c r="GI13" s="319" t="s">
        <v>190</v>
      </c>
      <c r="GJ13" s="319" t="s">
        <v>190</v>
      </c>
      <c r="GK13" s="319" t="s">
        <v>428</v>
      </c>
      <c r="GL13" s="319" t="s">
        <v>190</v>
      </c>
      <c r="GM13" s="319" t="s">
        <v>190</v>
      </c>
      <c r="GN13" s="319" t="s">
        <v>190</v>
      </c>
      <c r="GO13" s="319" t="s">
        <v>190</v>
      </c>
      <c r="GP13" s="319" t="s">
        <v>190</v>
      </c>
      <c r="GQ13" s="319" t="s">
        <v>428</v>
      </c>
      <c r="GR13" s="319" t="s">
        <v>190</v>
      </c>
      <c r="GS13" s="319" t="s">
        <v>190</v>
      </c>
      <c r="GT13" s="319" t="s">
        <v>190</v>
      </c>
      <c r="GU13" s="319" t="s">
        <v>190</v>
      </c>
      <c r="GV13" s="319" t="s">
        <v>190</v>
      </c>
      <c r="GW13" s="319" t="s">
        <v>190</v>
      </c>
      <c r="GX13" s="319" t="s">
        <v>190</v>
      </c>
      <c r="GY13" s="319" t="s">
        <v>190</v>
      </c>
      <c r="GZ13" s="319" t="s">
        <v>190</v>
      </c>
      <c r="HA13" s="319" t="s">
        <v>190</v>
      </c>
      <c r="HB13" s="319" t="s">
        <v>190</v>
      </c>
      <c r="HC13" s="319" t="s">
        <v>190</v>
      </c>
      <c r="HD13" s="319" t="s">
        <v>190</v>
      </c>
      <c r="HE13" s="319" t="s">
        <v>190</v>
      </c>
      <c r="HF13" s="319" t="s">
        <v>190</v>
      </c>
      <c r="HG13" s="319" t="s">
        <v>190</v>
      </c>
      <c r="HH13" s="319" t="s">
        <v>190</v>
      </c>
      <c r="HI13" s="319" t="s">
        <v>190</v>
      </c>
      <c r="HJ13" s="319" t="s">
        <v>190</v>
      </c>
      <c r="HK13" s="319" t="s">
        <v>190</v>
      </c>
      <c r="HL13" s="319" t="s">
        <v>190</v>
      </c>
      <c r="HM13" s="319" t="s">
        <v>190</v>
      </c>
      <c r="HN13" s="319" t="s">
        <v>190</v>
      </c>
      <c r="HO13" s="319" t="s">
        <v>190</v>
      </c>
      <c r="HP13" s="319" t="s">
        <v>190</v>
      </c>
      <c r="HQ13" s="319" t="s">
        <v>190</v>
      </c>
      <c r="HR13" s="319" t="s">
        <v>190</v>
      </c>
      <c r="HS13" s="319" t="s">
        <v>190</v>
      </c>
      <c r="HT13" s="319" t="s">
        <v>190</v>
      </c>
      <c r="HU13" s="319" t="s">
        <v>190</v>
      </c>
      <c r="HV13" s="319" t="s">
        <v>190</v>
      </c>
      <c r="HW13" s="319" t="s">
        <v>190</v>
      </c>
      <c r="HX13" s="319" t="s">
        <v>190</v>
      </c>
      <c r="HY13" s="319" t="s">
        <v>190</v>
      </c>
      <c r="HZ13" s="319" t="s">
        <v>190</v>
      </c>
      <c r="IA13" s="319" t="s">
        <v>190</v>
      </c>
      <c r="IB13" s="319" t="s">
        <v>190</v>
      </c>
      <c r="IC13" s="319" t="s">
        <v>190</v>
      </c>
      <c r="ID13" s="319" t="s">
        <v>190</v>
      </c>
      <c r="IE13" s="319" t="s">
        <v>190</v>
      </c>
      <c r="IF13" s="319" t="s">
        <v>191</v>
      </c>
      <c r="IG13" s="319" t="s">
        <v>191</v>
      </c>
      <c r="IH13" s="319" t="s">
        <v>191</v>
      </c>
      <c r="II13" s="319" t="s">
        <v>191</v>
      </c>
      <c r="IJ13" s="319" t="s">
        <v>2777</v>
      </c>
      <c r="IK13" s="321">
        <v>42157</v>
      </c>
      <c r="IL13" s="321">
        <v>42159</v>
      </c>
      <c r="IM13" s="321">
        <v>42389</v>
      </c>
      <c r="IN13" s="319">
        <v>4</v>
      </c>
      <c r="IO13" s="319" t="s">
        <v>173</v>
      </c>
      <c r="IP13" s="319" t="s">
        <v>173</v>
      </c>
      <c r="IQ13" s="321" t="s">
        <v>173</v>
      </c>
      <c r="IR13" s="320" t="s">
        <v>173</v>
      </c>
      <c r="IS13" s="322" t="s">
        <v>173</v>
      </c>
      <c r="IT13" s="319" t="s">
        <v>173</v>
      </c>
    </row>
    <row r="14" spans="1:254" s="271" customFormat="1" x14ac:dyDescent="0.25">
      <c r="A14" s="318" t="str">
        <f>HYPERLINK("http://www.ofsted.gov.uk/inspection-reports/find-inspection-report/provider/ELS/100294 ","Ofsted School Webpage")</f>
        <v>Ofsted School Webpage</v>
      </c>
      <c r="B14" s="319">
        <v>100294</v>
      </c>
      <c r="C14" s="319">
        <v>2046331</v>
      </c>
      <c r="D14" s="319" t="s">
        <v>1217</v>
      </c>
      <c r="E14" s="319" t="s">
        <v>167</v>
      </c>
      <c r="F14" s="319" t="s">
        <v>68</v>
      </c>
      <c r="G14" s="319" t="s">
        <v>69</v>
      </c>
      <c r="H14" s="319" t="s">
        <v>68</v>
      </c>
      <c r="I14" s="319" t="s">
        <v>69</v>
      </c>
      <c r="J14" s="319" t="s">
        <v>424</v>
      </c>
      <c r="K14" s="319" t="s">
        <v>441</v>
      </c>
      <c r="L14" s="319" t="s">
        <v>441</v>
      </c>
      <c r="M14" s="319" t="s">
        <v>547</v>
      </c>
      <c r="N14" s="319" t="s">
        <v>2774</v>
      </c>
      <c r="O14" s="319" t="s">
        <v>1218</v>
      </c>
      <c r="P14" s="319">
        <v>612</v>
      </c>
      <c r="Q14" s="319" t="s">
        <v>2766</v>
      </c>
      <c r="R14" s="320">
        <v>10038149</v>
      </c>
      <c r="S14" s="321">
        <v>43137</v>
      </c>
      <c r="T14" s="321">
        <v>43139</v>
      </c>
      <c r="U14" s="321">
        <v>43213</v>
      </c>
      <c r="V14" s="319" t="s">
        <v>425</v>
      </c>
      <c r="W14" s="319" t="s">
        <v>2767</v>
      </c>
      <c r="X14" s="319">
        <v>4</v>
      </c>
      <c r="Y14" s="319" t="s">
        <v>173</v>
      </c>
      <c r="Z14" s="319" t="s">
        <v>173</v>
      </c>
      <c r="AA14" s="319" t="s">
        <v>173</v>
      </c>
      <c r="AB14" s="319">
        <v>4</v>
      </c>
      <c r="AC14" s="319" t="s">
        <v>169</v>
      </c>
      <c r="AD14" s="319">
        <v>3</v>
      </c>
      <c r="AE14" s="319" t="s">
        <v>173</v>
      </c>
      <c r="AF14" s="319" t="s">
        <v>427</v>
      </c>
      <c r="AG14" s="319" t="s">
        <v>172</v>
      </c>
      <c r="AH14" s="319" t="s">
        <v>479</v>
      </c>
      <c r="AI14" s="319" t="s">
        <v>479</v>
      </c>
      <c r="AJ14" s="319" t="s">
        <v>190</v>
      </c>
      <c r="AK14" s="319" t="s">
        <v>190</v>
      </c>
      <c r="AL14" s="319" t="s">
        <v>479</v>
      </c>
      <c r="AM14" s="319" t="s">
        <v>190</v>
      </c>
      <c r="AN14" s="319" t="s">
        <v>190</v>
      </c>
      <c r="AO14" s="319" t="s">
        <v>479</v>
      </c>
      <c r="AP14" s="319" t="s">
        <v>191</v>
      </c>
      <c r="AQ14" s="319" t="s">
        <v>191</v>
      </c>
      <c r="AR14" s="319" t="s">
        <v>191</v>
      </c>
      <c r="AS14" s="319" t="s">
        <v>191</v>
      </c>
      <c r="AT14" s="319" t="s">
        <v>190</v>
      </c>
      <c r="AU14" s="319" t="s">
        <v>191</v>
      </c>
      <c r="AV14" s="319" t="s">
        <v>190</v>
      </c>
      <c r="AW14" s="319" t="s">
        <v>190</v>
      </c>
      <c r="AX14" s="319" t="s">
        <v>190</v>
      </c>
      <c r="AY14" s="319" t="s">
        <v>191</v>
      </c>
      <c r="AZ14" s="319" t="s">
        <v>190</v>
      </c>
      <c r="BA14" s="319" t="s">
        <v>191</v>
      </c>
      <c r="BB14" s="319" t="s">
        <v>190</v>
      </c>
      <c r="BC14" s="319" t="s">
        <v>190</v>
      </c>
      <c r="BD14" s="319" t="s">
        <v>190</v>
      </c>
      <c r="BE14" s="319" t="s">
        <v>190</v>
      </c>
      <c r="BF14" s="319" t="s">
        <v>190</v>
      </c>
      <c r="BG14" s="319" t="s">
        <v>428</v>
      </c>
      <c r="BH14" s="319" t="s">
        <v>190</v>
      </c>
      <c r="BI14" s="319" t="s">
        <v>191</v>
      </c>
      <c r="BJ14" s="319" t="s">
        <v>191</v>
      </c>
      <c r="BK14" s="319" t="s">
        <v>191</v>
      </c>
      <c r="BL14" s="319" t="s">
        <v>190</v>
      </c>
      <c r="BM14" s="319" t="s">
        <v>191</v>
      </c>
      <c r="BN14" s="319" t="s">
        <v>191</v>
      </c>
      <c r="BO14" s="319" t="s">
        <v>191</v>
      </c>
      <c r="BP14" s="319" t="s">
        <v>191</v>
      </c>
      <c r="BQ14" s="319" t="s">
        <v>190</v>
      </c>
      <c r="BR14" s="319" t="s">
        <v>190</v>
      </c>
      <c r="BS14" s="319" t="s">
        <v>190</v>
      </c>
      <c r="BT14" s="319" t="s">
        <v>190</v>
      </c>
      <c r="BU14" s="319" t="s">
        <v>190</v>
      </c>
      <c r="BV14" s="319" t="s">
        <v>191</v>
      </c>
      <c r="BW14" s="319" t="s">
        <v>190</v>
      </c>
      <c r="BX14" s="319" t="s">
        <v>191</v>
      </c>
      <c r="BY14" s="319" t="s">
        <v>190</v>
      </c>
      <c r="BZ14" s="319" t="s">
        <v>190</v>
      </c>
      <c r="CA14" s="319" t="s">
        <v>190</v>
      </c>
      <c r="CB14" s="319" t="s">
        <v>190</v>
      </c>
      <c r="CC14" s="319" t="s">
        <v>190</v>
      </c>
      <c r="CD14" s="319" t="s">
        <v>191</v>
      </c>
      <c r="CE14" s="319" t="s">
        <v>190</v>
      </c>
      <c r="CF14" s="319" t="s">
        <v>190</v>
      </c>
      <c r="CG14" s="319" t="s">
        <v>190</v>
      </c>
      <c r="CH14" s="319" t="s">
        <v>190</v>
      </c>
      <c r="CI14" s="319" t="s">
        <v>190</v>
      </c>
      <c r="CJ14" s="319" t="s">
        <v>190</v>
      </c>
      <c r="CK14" s="319" t="s">
        <v>190</v>
      </c>
      <c r="CL14" s="319" t="s">
        <v>190</v>
      </c>
      <c r="CM14" s="319" t="s">
        <v>190</v>
      </c>
      <c r="CN14" s="319" t="s">
        <v>428</v>
      </c>
      <c r="CO14" s="319" t="s">
        <v>428</v>
      </c>
      <c r="CP14" s="319" t="s">
        <v>428</v>
      </c>
      <c r="CQ14" s="319" t="s">
        <v>190</v>
      </c>
      <c r="CR14" s="319" t="s">
        <v>190</v>
      </c>
      <c r="CS14" s="319" t="s">
        <v>190</v>
      </c>
      <c r="CT14" s="319" t="s">
        <v>190</v>
      </c>
      <c r="CU14" s="319" t="s">
        <v>190</v>
      </c>
      <c r="CV14" s="319" t="s">
        <v>190</v>
      </c>
      <c r="CW14" s="319" t="s">
        <v>190</v>
      </c>
      <c r="CX14" s="319" t="s">
        <v>190</v>
      </c>
      <c r="CY14" s="319" t="s">
        <v>190</v>
      </c>
      <c r="CZ14" s="319" t="s">
        <v>190</v>
      </c>
      <c r="DA14" s="319" t="s">
        <v>190</v>
      </c>
      <c r="DB14" s="319" t="s">
        <v>190</v>
      </c>
      <c r="DC14" s="319" t="s">
        <v>190</v>
      </c>
      <c r="DD14" s="319" t="s">
        <v>190</v>
      </c>
      <c r="DE14" s="319" t="s">
        <v>190</v>
      </c>
      <c r="DF14" s="319" t="s">
        <v>190</v>
      </c>
      <c r="DG14" s="319" t="s">
        <v>190</v>
      </c>
      <c r="DH14" s="319" t="s">
        <v>190</v>
      </c>
      <c r="DI14" s="319" t="s">
        <v>190</v>
      </c>
      <c r="DJ14" s="319" t="s">
        <v>190</v>
      </c>
      <c r="DK14" s="319" t="s">
        <v>190</v>
      </c>
      <c r="DL14" s="319" t="s">
        <v>190</v>
      </c>
      <c r="DM14" s="319" t="s">
        <v>190</v>
      </c>
      <c r="DN14" s="319" t="s">
        <v>428</v>
      </c>
      <c r="DO14" s="319" t="s">
        <v>190</v>
      </c>
      <c r="DP14" s="319" t="s">
        <v>428</v>
      </c>
      <c r="DQ14" s="319" t="s">
        <v>428</v>
      </c>
      <c r="DR14" s="319" t="s">
        <v>428</v>
      </c>
      <c r="DS14" s="319" t="s">
        <v>428</v>
      </c>
      <c r="DT14" s="319" t="s">
        <v>428</v>
      </c>
      <c r="DU14" s="319" t="s">
        <v>428</v>
      </c>
      <c r="DV14" s="319" t="s">
        <v>173</v>
      </c>
      <c r="DW14" s="319" t="s">
        <v>428</v>
      </c>
      <c r="DX14" s="319" t="s">
        <v>428</v>
      </c>
      <c r="DY14" s="319" t="s">
        <v>428</v>
      </c>
      <c r="DZ14" s="319" t="s">
        <v>428</v>
      </c>
      <c r="EA14" s="319" t="s">
        <v>428</v>
      </c>
      <c r="EB14" s="319" t="s">
        <v>428</v>
      </c>
      <c r="EC14" s="319" t="s">
        <v>428</v>
      </c>
      <c r="ED14" s="319" t="s">
        <v>190</v>
      </c>
      <c r="EE14" s="319" t="s">
        <v>190</v>
      </c>
      <c r="EF14" s="319" t="s">
        <v>190</v>
      </c>
      <c r="EG14" s="319" t="s">
        <v>190</v>
      </c>
      <c r="EH14" s="319" t="s">
        <v>190</v>
      </c>
      <c r="EI14" s="319" t="s">
        <v>190</v>
      </c>
      <c r="EJ14" s="319" t="s">
        <v>190</v>
      </c>
      <c r="EK14" s="319" t="s">
        <v>190</v>
      </c>
      <c r="EL14" s="319" t="s">
        <v>190</v>
      </c>
      <c r="EM14" s="319" t="s">
        <v>190</v>
      </c>
      <c r="EN14" s="319" t="s">
        <v>190</v>
      </c>
      <c r="EO14" s="319" t="s">
        <v>190</v>
      </c>
      <c r="EP14" s="319" t="s">
        <v>190</v>
      </c>
      <c r="EQ14" s="319" t="s">
        <v>190</v>
      </c>
      <c r="ER14" s="319" t="s">
        <v>190</v>
      </c>
      <c r="ES14" s="319" t="s">
        <v>190</v>
      </c>
      <c r="ET14" s="319" t="s">
        <v>190</v>
      </c>
      <c r="EU14" s="319" t="s">
        <v>190</v>
      </c>
      <c r="EV14" s="319" t="s">
        <v>190</v>
      </c>
      <c r="EW14" s="319" t="s">
        <v>190</v>
      </c>
      <c r="EX14" s="319" t="s">
        <v>190</v>
      </c>
      <c r="EY14" s="319" t="s">
        <v>190</v>
      </c>
      <c r="EZ14" s="319" t="s">
        <v>190</v>
      </c>
      <c r="FA14" s="319" t="s">
        <v>190</v>
      </c>
      <c r="FB14" s="319" t="s">
        <v>428</v>
      </c>
      <c r="FC14" s="319" t="s">
        <v>428</v>
      </c>
      <c r="FD14" s="319" t="s">
        <v>428</v>
      </c>
      <c r="FE14" s="319" t="s">
        <v>428</v>
      </c>
      <c r="FF14" s="319" t="s">
        <v>428</v>
      </c>
      <c r="FG14" s="319" t="s">
        <v>428</v>
      </c>
      <c r="FH14" s="319" t="s">
        <v>190</v>
      </c>
      <c r="FI14" s="319" t="s">
        <v>190</v>
      </c>
      <c r="FJ14" s="319" t="s">
        <v>190</v>
      </c>
      <c r="FK14" s="319" t="s">
        <v>190</v>
      </c>
      <c r="FL14" s="319" t="s">
        <v>190</v>
      </c>
      <c r="FM14" s="319" t="s">
        <v>190</v>
      </c>
      <c r="FN14" s="319" t="s">
        <v>428</v>
      </c>
      <c r="FO14" s="319" t="s">
        <v>190</v>
      </c>
      <c r="FP14" s="319" t="s">
        <v>190</v>
      </c>
      <c r="FQ14" s="319" t="s">
        <v>190</v>
      </c>
      <c r="FR14" s="319" t="s">
        <v>190</v>
      </c>
      <c r="FS14" s="319" t="s">
        <v>190</v>
      </c>
      <c r="FT14" s="319" t="s">
        <v>190</v>
      </c>
      <c r="FU14" s="319" t="s">
        <v>190</v>
      </c>
      <c r="FV14" s="319" t="s">
        <v>190</v>
      </c>
      <c r="FW14" s="319" t="s">
        <v>190</v>
      </c>
      <c r="FX14" s="319" t="s">
        <v>190</v>
      </c>
      <c r="FY14" s="319" t="s">
        <v>190</v>
      </c>
      <c r="FZ14" s="319" t="s">
        <v>191</v>
      </c>
      <c r="GA14" s="319" t="s">
        <v>190</v>
      </c>
      <c r="GB14" s="319" t="s">
        <v>191</v>
      </c>
      <c r="GC14" s="319" t="s">
        <v>190</v>
      </c>
      <c r="GD14" s="319" t="s">
        <v>190</v>
      </c>
      <c r="GE14" s="319" t="s">
        <v>190</v>
      </c>
      <c r="GF14" s="319" t="s">
        <v>190</v>
      </c>
      <c r="GG14" s="319" t="s">
        <v>190</v>
      </c>
      <c r="GH14" s="319" t="s">
        <v>190</v>
      </c>
      <c r="GI14" s="319" t="s">
        <v>190</v>
      </c>
      <c r="GJ14" s="319" t="s">
        <v>190</v>
      </c>
      <c r="GK14" s="319" t="s">
        <v>428</v>
      </c>
      <c r="GL14" s="319" t="s">
        <v>190</v>
      </c>
      <c r="GM14" s="319" t="s">
        <v>190</v>
      </c>
      <c r="GN14" s="319" t="s">
        <v>190</v>
      </c>
      <c r="GO14" s="319" t="s">
        <v>190</v>
      </c>
      <c r="GP14" s="319" t="s">
        <v>190</v>
      </c>
      <c r="GQ14" s="319" t="s">
        <v>190</v>
      </c>
      <c r="GR14" s="319" t="s">
        <v>190</v>
      </c>
      <c r="GS14" s="319" t="s">
        <v>190</v>
      </c>
      <c r="GT14" s="319" t="s">
        <v>190</v>
      </c>
      <c r="GU14" s="319" t="s">
        <v>190</v>
      </c>
      <c r="GV14" s="319" t="s">
        <v>190</v>
      </c>
      <c r="GW14" s="319" t="s">
        <v>190</v>
      </c>
      <c r="GX14" s="319" t="s">
        <v>190</v>
      </c>
      <c r="GY14" s="319" t="s">
        <v>190</v>
      </c>
      <c r="GZ14" s="319" t="s">
        <v>428</v>
      </c>
      <c r="HA14" s="319" t="s">
        <v>190</v>
      </c>
      <c r="HB14" s="319" t="s">
        <v>190</v>
      </c>
      <c r="HC14" s="319" t="s">
        <v>190</v>
      </c>
      <c r="HD14" s="319" t="s">
        <v>190</v>
      </c>
      <c r="HE14" s="319" t="s">
        <v>190</v>
      </c>
      <c r="HF14" s="319" t="s">
        <v>190</v>
      </c>
      <c r="HG14" s="319" t="s">
        <v>190</v>
      </c>
      <c r="HH14" s="319" t="s">
        <v>190</v>
      </c>
      <c r="HI14" s="319" t="s">
        <v>190</v>
      </c>
      <c r="HJ14" s="319" t="s">
        <v>190</v>
      </c>
      <c r="HK14" s="319" t="s">
        <v>190</v>
      </c>
      <c r="HL14" s="319" t="s">
        <v>190</v>
      </c>
      <c r="HM14" s="319" t="s">
        <v>428</v>
      </c>
      <c r="HN14" s="319" t="s">
        <v>428</v>
      </c>
      <c r="HO14" s="319" t="s">
        <v>428</v>
      </c>
      <c r="HP14" s="319" t="s">
        <v>190</v>
      </c>
      <c r="HQ14" s="319" t="s">
        <v>190</v>
      </c>
      <c r="HR14" s="319" t="s">
        <v>190</v>
      </c>
      <c r="HS14" s="319" t="s">
        <v>190</v>
      </c>
      <c r="HT14" s="319" t="s">
        <v>190</v>
      </c>
      <c r="HU14" s="319" t="s">
        <v>190</v>
      </c>
      <c r="HV14" s="319" t="s">
        <v>190</v>
      </c>
      <c r="HW14" s="319" t="s">
        <v>190</v>
      </c>
      <c r="HX14" s="319" t="s">
        <v>190</v>
      </c>
      <c r="HY14" s="319" t="s">
        <v>190</v>
      </c>
      <c r="HZ14" s="319" t="s">
        <v>190</v>
      </c>
      <c r="IA14" s="319" t="s">
        <v>190</v>
      </c>
      <c r="IB14" s="319" t="s">
        <v>190</v>
      </c>
      <c r="IC14" s="319" t="s">
        <v>190</v>
      </c>
      <c r="ID14" s="319" t="s">
        <v>190</v>
      </c>
      <c r="IE14" s="319" t="s">
        <v>190</v>
      </c>
      <c r="IF14" s="319" t="s">
        <v>191</v>
      </c>
      <c r="IG14" s="319" t="s">
        <v>191</v>
      </c>
      <c r="IH14" s="319" t="s">
        <v>191</v>
      </c>
      <c r="II14" s="319" t="s">
        <v>190</v>
      </c>
      <c r="IJ14" s="319" t="s">
        <v>2778</v>
      </c>
      <c r="IK14" s="321">
        <v>41947</v>
      </c>
      <c r="IL14" s="321">
        <v>41949</v>
      </c>
      <c r="IM14" s="321">
        <v>41978</v>
      </c>
      <c r="IN14" s="319">
        <v>2</v>
      </c>
      <c r="IO14" s="319" t="s">
        <v>173</v>
      </c>
      <c r="IP14" s="319" t="s">
        <v>173</v>
      </c>
      <c r="IQ14" s="321" t="s">
        <v>173</v>
      </c>
      <c r="IR14" s="320" t="s">
        <v>173</v>
      </c>
      <c r="IS14" s="322" t="s">
        <v>173</v>
      </c>
      <c r="IT14" s="319" t="s">
        <v>173</v>
      </c>
    </row>
    <row r="15" spans="1:254" s="271" customFormat="1" x14ac:dyDescent="0.25">
      <c r="A15" s="318" t="str">
        <f>HYPERLINK("http://www.ofsted.gov.uk/inspection-reports/find-inspection-report/provider/ELS/100295 ","Ofsted School Webpage")</f>
        <v>Ofsted School Webpage</v>
      </c>
      <c r="B15" s="319">
        <v>100295</v>
      </c>
      <c r="C15" s="319">
        <v>2046337</v>
      </c>
      <c r="D15" s="319" t="s">
        <v>1219</v>
      </c>
      <c r="E15" s="319" t="s">
        <v>167</v>
      </c>
      <c r="F15" s="319" t="s">
        <v>81</v>
      </c>
      <c r="G15" s="319" t="s">
        <v>69</v>
      </c>
      <c r="H15" s="319" t="s">
        <v>69</v>
      </c>
      <c r="I15" s="319" t="s">
        <v>69</v>
      </c>
      <c r="J15" s="319" t="s">
        <v>424</v>
      </c>
      <c r="K15" s="319" t="s">
        <v>441</v>
      </c>
      <c r="L15" s="319" t="s">
        <v>441</v>
      </c>
      <c r="M15" s="319" t="s">
        <v>547</v>
      </c>
      <c r="N15" s="319" t="s">
        <v>2774</v>
      </c>
      <c r="O15" s="319" t="s">
        <v>1220</v>
      </c>
      <c r="P15" s="319">
        <v>583</v>
      </c>
      <c r="Q15" s="319" t="s">
        <v>2766</v>
      </c>
      <c r="R15" s="320">
        <v>10020732</v>
      </c>
      <c r="S15" s="321">
        <v>42850</v>
      </c>
      <c r="T15" s="321">
        <v>42852</v>
      </c>
      <c r="U15" s="321">
        <v>42877</v>
      </c>
      <c r="V15" s="319" t="s">
        <v>425</v>
      </c>
      <c r="W15" s="319" t="s">
        <v>2767</v>
      </c>
      <c r="X15" s="319">
        <v>2</v>
      </c>
      <c r="Y15" s="319" t="s">
        <v>173</v>
      </c>
      <c r="Z15" s="319" t="s">
        <v>173</v>
      </c>
      <c r="AA15" s="319" t="s">
        <v>173</v>
      </c>
      <c r="AB15" s="319">
        <v>2</v>
      </c>
      <c r="AC15" s="319" t="s">
        <v>169</v>
      </c>
      <c r="AD15" s="319">
        <v>2</v>
      </c>
      <c r="AE15" s="319" t="s">
        <v>173</v>
      </c>
      <c r="AF15" s="319" t="s">
        <v>173</v>
      </c>
      <c r="AG15" s="319" t="s">
        <v>171</v>
      </c>
      <c r="AH15" s="319" t="s">
        <v>190</v>
      </c>
      <c r="AI15" s="319" t="s">
        <v>190</v>
      </c>
      <c r="AJ15" s="319" t="s">
        <v>190</v>
      </c>
      <c r="AK15" s="319" t="s">
        <v>190</v>
      </c>
      <c r="AL15" s="319" t="s">
        <v>190</v>
      </c>
      <c r="AM15" s="319" t="s">
        <v>190</v>
      </c>
      <c r="AN15" s="319" t="s">
        <v>190</v>
      </c>
      <c r="AO15" s="319" t="s">
        <v>190</v>
      </c>
      <c r="AP15" s="319" t="s">
        <v>190</v>
      </c>
      <c r="AQ15" s="319" t="s">
        <v>190</v>
      </c>
      <c r="AR15" s="319" t="s">
        <v>190</v>
      </c>
      <c r="AS15" s="319" t="s">
        <v>190</v>
      </c>
      <c r="AT15" s="319" t="s">
        <v>190</v>
      </c>
      <c r="AU15" s="319" t="s">
        <v>190</v>
      </c>
      <c r="AV15" s="319" t="s">
        <v>190</v>
      </c>
      <c r="AW15" s="319" t="s">
        <v>190</v>
      </c>
      <c r="AX15" s="319" t="s">
        <v>429</v>
      </c>
      <c r="AY15" s="319" t="s">
        <v>190</v>
      </c>
      <c r="AZ15" s="319" t="s">
        <v>190</v>
      </c>
      <c r="BA15" s="319" t="s">
        <v>190</v>
      </c>
      <c r="BB15" s="319" t="s">
        <v>190</v>
      </c>
      <c r="BC15" s="319" t="s">
        <v>190</v>
      </c>
      <c r="BD15" s="319" t="s">
        <v>190</v>
      </c>
      <c r="BE15" s="319" t="s">
        <v>190</v>
      </c>
      <c r="BF15" s="319" t="s">
        <v>190</v>
      </c>
      <c r="BG15" s="319" t="s">
        <v>429</v>
      </c>
      <c r="BH15" s="319" t="s">
        <v>190</v>
      </c>
      <c r="BI15" s="319" t="s">
        <v>190</v>
      </c>
      <c r="BJ15" s="319" t="s">
        <v>190</v>
      </c>
      <c r="BK15" s="319" t="s">
        <v>190</v>
      </c>
      <c r="BL15" s="319" t="s">
        <v>190</v>
      </c>
      <c r="BM15" s="319" t="s">
        <v>190</v>
      </c>
      <c r="BN15" s="319" t="s">
        <v>190</v>
      </c>
      <c r="BO15" s="319" t="s">
        <v>190</v>
      </c>
      <c r="BP15" s="319" t="s">
        <v>190</v>
      </c>
      <c r="BQ15" s="319" t="s">
        <v>190</v>
      </c>
      <c r="BR15" s="319" t="s">
        <v>190</v>
      </c>
      <c r="BS15" s="319" t="s">
        <v>190</v>
      </c>
      <c r="BT15" s="319" t="s">
        <v>190</v>
      </c>
      <c r="BU15" s="319" t="s">
        <v>190</v>
      </c>
      <c r="BV15" s="319" t="s">
        <v>190</v>
      </c>
      <c r="BW15" s="319" t="s">
        <v>190</v>
      </c>
      <c r="BX15" s="319" t="s">
        <v>190</v>
      </c>
      <c r="BY15" s="319" t="s">
        <v>190</v>
      </c>
      <c r="BZ15" s="319" t="s">
        <v>190</v>
      </c>
      <c r="CA15" s="319" t="s">
        <v>190</v>
      </c>
      <c r="CB15" s="319" t="s">
        <v>190</v>
      </c>
      <c r="CC15" s="319" t="s">
        <v>190</v>
      </c>
      <c r="CD15" s="319" t="s">
        <v>190</v>
      </c>
      <c r="CE15" s="319" t="s">
        <v>190</v>
      </c>
      <c r="CF15" s="319" t="s">
        <v>190</v>
      </c>
      <c r="CG15" s="319" t="s">
        <v>190</v>
      </c>
      <c r="CH15" s="319" t="s">
        <v>190</v>
      </c>
      <c r="CI15" s="319" t="s">
        <v>190</v>
      </c>
      <c r="CJ15" s="319" t="s">
        <v>190</v>
      </c>
      <c r="CK15" s="319" t="s">
        <v>190</v>
      </c>
      <c r="CL15" s="319" t="s">
        <v>190</v>
      </c>
      <c r="CM15" s="319" t="s">
        <v>190</v>
      </c>
      <c r="CN15" s="319" t="s">
        <v>429</v>
      </c>
      <c r="CO15" s="319" t="s">
        <v>429</v>
      </c>
      <c r="CP15" s="319" t="s">
        <v>429</v>
      </c>
      <c r="CQ15" s="319" t="s">
        <v>190</v>
      </c>
      <c r="CR15" s="319" t="s">
        <v>190</v>
      </c>
      <c r="CS15" s="319" t="s">
        <v>190</v>
      </c>
      <c r="CT15" s="319" t="s">
        <v>190</v>
      </c>
      <c r="CU15" s="319" t="s">
        <v>190</v>
      </c>
      <c r="CV15" s="319" t="s">
        <v>190</v>
      </c>
      <c r="CW15" s="319" t="s">
        <v>190</v>
      </c>
      <c r="CX15" s="319" t="s">
        <v>190</v>
      </c>
      <c r="CY15" s="319" t="s">
        <v>190</v>
      </c>
      <c r="CZ15" s="319" t="s">
        <v>190</v>
      </c>
      <c r="DA15" s="319" t="s">
        <v>190</v>
      </c>
      <c r="DB15" s="319" t="s">
        <v>190</v>
      </c>
      <c r="DC15" s="319" t="s">
        <v>190</v>
      </c>
      <c r="DD15" s="319" t="s">
        <v>190</v>
      </c>
      <c r="DE15" s="319" t="s">
        <v>190</v>
      </c>
      <c r="DF15" s="319" t="s">
        <v>190</v>
      </c>
      <c r="DG15" s="319" t="s">
        <v>190</v>
      </c>
      <c r="DH15" s="319" t="s">
        <v>190</v>
      </c>
      <c r="DI15" s="319" t="s">
        <v>190</v>
      </c>
      <c r="DJ15" s="319" t="s">
        <v>190</v>
      </c>
      <c r="DK15" s="319" t="s">
        <v>190</v>
      </c>
      <c r="DL15" s="319" t="s">
        <v>190</v>
      </c>
      <c r="DM15" s="319" t="s">
        <v>190</v>
      </c>
      <c r="DN15" s="319" t="s">
        <v>429</v>
      </c>
      <c r="DO15" s="319" t="s">
        <v>190</v>
      </c>
      <c r="DP15" s="319" t="s">
        <v>190</v>
      </c>
      <c r="DQ15" s="319" t="s">
        <v>190</v>
      </c>
      <c r="DR15" s="319" t="s">
        <v>190</v>
      </c>
      <c r="DS15" s="319" t="s">
        <v>190</v>
      </c>
      <c r="DT15" s="319" t="s">
        <v>190</v>
      </c>
      <c r="DU15" s="319" t="s">
        <v>190</v>
      </c>
      <c r="DV15" s="319" t="s">
        <v>173</v>
      </c>
      <c r="DW15" s="319" t="s">
        <v>190</v>
      </c>
      <c r="DX15" s="319" t="s">
        <v>190</v>
      </c>
      <c r="DY15" s="319" t="s">
        <v>190</v>
      </c>
      <c r="DZ15" s="319" t="s">
        <v>190</v>
      </c>
      <c r="EA15" s="319" t="s">
        <v>190</v>
      </c>
      <c r="EB15" s="319" t="s">
        <v>190</v>
      </c>
      <c r="EC15" s="319" t="s">
        <v>429</v>
      </c>
      <c r="ED15" s="319" t="s">
        <v>190</v>
      </c>
      <c r="EE15" s="319" t="s">
        <v>190</v>
      </c>
      <c r="EF15" s="319" t="s">
        <v>190</v>
      </c>
      <c r="EG15" s="319" t="s">
        <v>190</v>
      </c>
      <c r="EH15" s="319" t="s">
        <v>190</v>
      </c>
      <c r="EI15" s="319" t="s">
        <v>190</v>
      </c>
      <c r="EJ15" s="319" t="s">
        <v>190</v>
      </c>
      <c r="EK15" s="319" t="s">
        <v>190</v>
      </c>
      <c r="EL15" s="319" t="s">
        <v>190</v>
      </c>
      <c r="EM15" s="319" t="s">
        <v>190</v>
      </c>
      <c r="EN15" s="319" t="s">
        <v>190</v>
      </c>
      <c r="EO15" s="319" t="s">
        <v>190</v>
      </c>
      <c r="EP15" s="319" t="s">
        <v>190</v>
      </c>
      <c r="EQ15" s="319" t="s">
        <v>190</v>
      </c>
      <c r="ER15" s="319" t="s">
        <v>190</v>
      </c>
      <c r="ES15" s="319" t="s">
        <v>190</v>
      </c>
      <c r="ET15" s="319" t="s">
        <v>190</v>
      </c>
      <c r="EU15" s="319" t="s">
        <v>190</v>
      </c>
      <c r="EV15" s="319" t="s">
        <v>190</v>
      </c>
      <c r="EW15" s="319" t="s">
        <v>190</v>
      </c>
      <c r="EX15" s="319" t="s">
        <v>190</v>
      </c>
      <c r="EY15" s="319" t="s">
        <v>190</v>
      </c>
      <c r="EZ15" s="319" t="s">
        <v>190</v>
      </c>
      <c r="FA15" s="319" t="s">
        <v>190</v>
      </c>
      <c r="FB15" s="319" t="s">
        <v>190</v>
      </c>
      <c r="FC15" s="319" t="s">
        <v>190</v>
      </c>
      <c r="FD15" s="319" t="s">
        <v>190</v>
      </c>
      <c r="FE15" s="319" t="s">
        <v>190</v>
      </c>
      <c r="FF15" s="319" t="s">
        <v>190</v>
      </c>
      <c r="FG15" s="319" t="s">
        <v>190</v>
      </c>
      <c r="FH15" s="319" t="s">
        <v>190</v>
      </c>
      <c r="FI15" s="319" t="s">
        <v>190</v>
      </c>
      <c r="FJ15" s="319" t="s">
        <v>190</v>
      </c>
      <c r="FK15" s="319" t="s">
        <v>190</v>
      </c>
      <c r="FL15" s="319" t="s">
        <v>190</v>
      </c>
      <c r="FM15" s="319" t="s">
        <v>190</v>
      </c>
      <c r="FN15" s="319" t="s">
        <v>190</v>
      </c>
      <c r="FO15" s="319" t="s">
        <v>190</v>
      </c>
      <c r="FP15" s="319" t="s">
        <v>190</v>
      </c>
      <c r="FQ15" s="319" t="s">
        <v>190</v>
      </c>
      <c r="FR15" s="319" t="s">
        <v>190</v>
      </c>
      <c r="FS15" s="319" t="s">
        <v>429</v>
      </c>
      <c r="FT15" s="319" t="s">
        <v>190</v>
      </c>
      <c r="FU15" s="319" t="s">
        <v>190</v>
      </c>
      <c r="FV15" s="319" t="s">
        <v>190</v>
      </c>
      <c r="FW15" s="319" t="s">
        <v>190</v>
      </c>
      <c r="FX15" s="319" t="s">
        <v>190</v>
      </c>
      <c r="FY15" s="319" t="s">
        <v>190</v>
      </c>
      <c r="FZ15" s="319" t="s">
        <v>190</v>
      </c>
      <c r="GA15" s="319" t="s">
        <v>190</v>
      </c>
      <c r="GB15" s="319" t="s">
        <v>190</v>
      </c>
      <c r="GC15" s="319" t="s">
        <v>190</v>
      </c>
      <c r="GD15" s="319" t="s">
        <v>190</v>
      </c>
      <c r="GE15" s="319" t="s">
        <v>190</v>
      </c>
      <c r="GF15" s="319" t="s">
        <v>190</v>
      </c>
      <c r="GG15" s="319" t="s">
        <v>190</v>
      </c>
      <c r="GH15" s="319" t="s">
        <v>190</v>
      </c>
      <c r="GI15" s="319" t="s">
        <v>190</v>
      </c>
      <c r="GJ15" s="319" t="s">
        <v>190</v>
      </c>
      <c r="GK15" s="319" t="s">
        <v>429</v>
      </c>
      <c r="GL15" s="319" t="s">
        <v>190</v>
      </c>
      <c r="GM15" s="319" t="s">
        <v>190</v>
      </c>
      <c r="GN15" s="319" t="s">
        <v>190</v>
      </c>
      <c r="GO15" s="319" t="s">
        <v>190</v>
      </c>
      <c r="GP15" s="319" t="s">
        <v>190</v>
      </c>
      <c r="GQ15" s="319" t="s">
        <v>429</v>
      </c>
      <c r="GR15" s="319" t="s">
        <v>190</v>
      </c>
      <c r="GS15" s="319" t="s">
        <v>190</v>
      </c>
      <c r="GT15" s="319" t="s">
        <v>429</v>
      </c>
      <c r="GU15" s="319" t="s">
        <v>190</v>
      </c>
      <c r="GV15" s="319" t="s">
        <v>190</v>
      </c>
      <c r="GW15" s="319" t="s">
        <v>190</v>
      </c>
      <c r="GX15" s="319" t="s">
        <v>190</v>
      </c>
      <c r="GY15" s="319" t="s">
        <v>190</v>
      </c>
      <c r="GZ15" s="319" t="s">
        <v>190</v>
      </c>
      <c r="HA15" s="319" t="s">
        <v>429</v>
      </c>
      <c r="HB15" s="319" t="s">
        <v>190</v>
      </c>
      <c r="HC15" s="319" t="s">
        <v>190</v>
      </c>
      <c r="HD15" s="319" t="s">
        <v>190</v>
      </c>
      <c r="HE15" s="319" t="s">
        <v>190</v>
      </c>
      <c r="HF15" s="319" t="s">
        <v>190</v>
      </c>
      <c r="HG15" s="319" t="s">
        <v>190</v>
      </c>
      <c r="HH15" s="319" t="s">
        <v>190</v>
      </c>
      <c r="HI15" s="319" t="s">
        <v>190</v>
      </c>
      <c r="HJ15" s="319" t="s">
        <v>190</v>
      </c>
      <c r="HK15" s="319" t="s">
        <v>190</v>
      </c>
      <c r="HL15" s="319" t="s">
        <v>429</v>
      </c>
      <c r="HM15" s="319" t="s">
        <v>429</v>
      </c>
      <c r="HN15" s="319" t="s">
        <v>429</v>
      </c>
      <c r="HO15" s="319" t="s">
        <v>429</v>
      </c>
      <c r="HP15" s="319" t="s">
        <v>190</v>
      </c>
      <c r="HQ15" s="319" t="s">
        <v>190</v>
      </c>
      <c r="HR15" s="319" t="s">
        <v>190</v>
      </c>
      <c r="HS15" s="319" t="s">
        <v>190</v>
      </c>
      <c r="HT15" s="319" t="s">
        <v>190</v>
      </c>
      <c r="HU15" s="319" t="s">
        <v>190</v>
      </c>
      <c r="HV15" s="319" t="s">
        <v>190</v>
      </c>
      <c r="HW15" s="319" t="s">
        <v>190</v>
      </c>
      <c r="HX15" s="319" t="s">
        <v>190</v>
      </c>
      <c r="HY15" s="319" t="s">
        <v>190</v>
      </c>
      <c r="HZ15" s="319" t="s">
        <v>190</v>
      </c>
      <c r="IA15" s="319" t="s">
        <v>190</v>
      </c>
      <c r="IB15" s="319" t="s">
        <v>190</v>
      </c>
      <c r="IC15" s="319" t="s">
        <v>190</v>
      </c>
      <c r="ID15" s="319" t="s">
        <v>190</v>
      </c>
      <c r="IE15" s="319" t="s">
        <v>190</v>
      </c>
      <c r="IF15" s="319" t="s">
        <v>190</v>
      </c>
      <c r="IG15" s="319" t="s">
        <v>190</v>
      </c>
      <c r="IH15" s="319" t="s">
        <v>190</v>
      </c>
      <c r="II15" s="319" t="s">
        <v>190</v>
      </c>
      <c r="IJ15" s="319" t="s">
        <v>2779</v>
      </c>
      <c r="IK15" s="321">
        <v>41562</v>
      </c>
      <c r="IL15" s="321">
        <v>41564</v>
      </c>
      <c r="IM15" s="321">
        <v>41585</v>
      </c>
      <c r="IN15" s="319">
        <v>2</v>
      </c>
      <c r="IO15" s="319" t="s">
        <v>173</v>
      </c>
      <c r="IP15" s="319" t="s">
        <v>173</v>
      </c>
      <c r="IQ15" s="319" t="s">
        <v>173</v>
      </c>
      <c r="IR15" s="320" t="s">
        <v>173</v>
      </c>
      <c r="IS15" s="320" t="s">
        <v>173</v>
      </c>
      <c r="IT15" s="319" t="s">
        <v>173</v>
      </c>
    </row>
    <row r="16" spans="1:254" s="271" customFormat="1" x14ac:dyDescent="0.25">
      <c r="A16" s="318" t="str">
        <f>HYPERLINK("http://www.ofsted.gov.uk/inspection-reports/find-inspection-report/provider/ELS/100296 ","Ofsted School Webpage")</f>
        <v>Ofsted School Webpage</v>
      </c>
      <c r="B16" s="319">
        <v>100296</v>
      </c>
      <c r="C16" s="319">
        <v>2046377</v>
      </c>
      <c r="D16" s="319" t="s">
        <v>1221</v>
      </c>
      <c r="E16" s="319" t="s">
        <v>167</v>
      </c>
      <c r="F16" s="319" t="s">
        <v>81</v>
      </c>
      <c r="G16" s="319" t="s">
        <v>69</v>
      </c>
      <c r="H16" s="319" t="s">
        <v>69</v>
      </c>
      <c r="I16" s="319" t="s">
        <v>69</v>
      </c>
      <c r="J16" s="319" t="s">
        <v>424</v>
      </c>
      <c r="K16" s="319" t="s">
        <v>441</v>
      </c>
      <c r="L16" s="319" t="s">
        <v>441</v>
      </c>
      <c r="M16" s="319" t="s">
        <v>547</v>
      </c>
      <c r="N16" s="319" t="s">
        <v>2774</v>
      </c>
      <c r="O16" s="319" t="s">
        <v>1222</v>
      </c>
      <c r="P16" s="319">
        <v>255</v>
      </c>
      <c r="Q16" s="319" t="s">
        <v>2766</v>
      </c>
      <c r="R16" s="320">
        <v>10035771</v>
      </c>
      <c r="S16" s="321">
        <v>43109</v>
      </c>
      <c r="T16" s="321">
        <v>43111</v>
      </c>
      <c r="U16" s="321">
        <v>43173</v>
      </c>
      <c r="V16" s="319" t="s">
        <v>425</v>
      </c>
      <c r="W16" s="319" t="s">
        <v>2767</v>
      </c>
      <c r="X16" s="319">
        <v>4</v>
      </c>
      <c r="Y16" s="319" t="s">
        <v>173</v>
      </c>
      <c r="Z16" s="319" t="s">
        <v>173</v>
      </c>
      <c r="AA16" s="319" t="s">
        <v>173</v>
      </c>
      <c r="AB16" s="319">
        <v>4</v>
      </c>
      <c r="AC16" s="319" t="s">
        <v>170</v>
      </c>
      <c r="AD16" s="319">
        <v>4</v>
      </c>
      <c r="AE16" s="319" t="s">
        <v>173</v>
      </c>
      <c r="AF16" s="319" t="s">
        <v>447</v>
      </c>
      <c r="AG16" s="319" t="s">
        <v>172</v>
      </c>
      <c r="AH16" s="319" t="s">
        <v>479</v>
      </c>
      <c r="AI16" s="319" t="s">
        <v>479</v>
      </c>
      <c r="AJ16" s="319" t="s">
        <v>479</v>
      </c>
      <c r="AK16" s="319" t="s">
        <v>190</v>
      </c>
      <c r="AL16" s="319" t="s">
        <v>190</v>
      </c>
      <c r="AM16" s="319" t="s">
        <v>190</v>
      </c>
      <c r="AN16" s="319" t="s">
        <v>190</v>
      </c>
      <c r="AO16" s="319" t="s">
        <v>479</v>
      </c>
      <c r="AP16" s="319" t="s">
        <v>191</v>
      </c>
      <c r="AQ16" s="319" t="s">
        <v>191</v>
      </c>
      <c r="AR16" s="319" t="s">
        <v>191</v>
      </c>
      <c r="AS16" s="319" t="s">
        <v>191</v>
      </c>
      <c r="AT16" s="319" t="s">
        <v>190</v>
      </c>
      <c r="AU16" s="319" t="s">
        <v>191</v>
      </c>
      <c r="AV16" s="319" t="s">
        <v>191</v>
      </c>
      <c r="AW16" s="319" t="s">
        <v>190</v>
      </c>
      <c r="AX16" s="319" t="s">
        <v>190</v>
      </c>
      <c r="AY16" s="319" t="s">
        <v>191</v>
      </c>
      <c r="AZ16" s="319" t="s">
        <v>190</v>
      </c>
      <c r="BA16" s="319" t="s">
        <v>191</v>
      </c>
      <c r="BB16" s="319" t="s">
        <v>190</v>
      </c>
      <c r="BC16" s="319" t="s">
        <v>190</v>
      </c>
      <c r="BD16" s="319" t="s">
        <v>190</v>
      </c>
      <c r="BE16" s="319" t="s">
        <v>190</v>
      </c>
      <c r="BF16" s="319" t="s">
        <v>191</v>
      </c>
      <c r="BG16" s="319" t="s">
        <v>428</v>
      </c>
      <c r="BH16" s="319" t="s">
        <v>190</v>
      </c>
      <c r="BI16" s="319" t="s">
        <v>191</v>
      </c>
      <c r="BJ16" s="319" t="s">
        <v>191</v>
      </c>
      <c r="BK16" s="319" t="s">
        <v>191</v>
      </c>
      <c r="BL16" s="319" t="s">
        <v>190</v>
      </c>
      <c r="BM16" s="319" t="s">
        <v>191</v>
      </c>
      <c r="BN16" s="319" t="s">
        <v>191</v>
      </c>
      <c r="BO16" s="319" t="s">
        <v>190</v>
      </c>
      <c r="BP16" s="319" t="s">
        <v>190</v>
      </c>
      <c r="BQ16" s="319" t="s">
        <v>190</v>
      </c>
      <c r="BR16" s="319" t="s">
        <v>190</v>
      </c>
      <c r="BS16" s="319" t="s">
        <v>190</v>
      </c>
      <c r="BT16" s="319" t="s">
        <v>190</v>
      </c>
      <c r="BU16" s="319" t="s">
        <v>190</v>
      </c>
      <c r="BV16" s="319" t="s">
        <v>191</v>
      </c>
      <c r="BW16" s="319" t="s">
        <v>190</v>
      </c>
      <c r="BX16" s="319" t="s">
        <v>191</v>
      </c>
      <c r="BY16" s="319" t="s">
        <v>190</v>
      </c>
      <c r="BZ16" s="319" t="s">
        <v>190</v>
      </c>
      <c r="CA16" s="319" t="s">
        <v>190</v>
      </c>
      <c r="CB16" s="319" t="s">
        <v>190</v>
      </c>
      <c r="CC16" s="319" t="s">
        <v>190</v>
      </c>
      <c r="CD16" s="319" t="s">
        <v>191</v>
      </c>
      <c r="CE16" s="319" t="s">
        <v>190</v>
      </c>
      <c r="CF16" s="319" t="s">
        <v>190</v>
      </c>
      <c r="CG16" s="319" t="s">
        <v>190</v>
      </c>
      <c r="CH16" s="319" t="s">
        <v>190</v>
      </c>
      <c r="CI16" s="319" t="s">
        <v>190</v>
      </c>
      <c r="CJ16" s="319" t="s">
        <v>190</v>
      </c>
      <c r="CK16" s="319" t="s">
        <v>191</v>
      </c>
      <c r="CL16" s="319" t="s">
        <v>191</v>
      </c>
      <c r="CM16" s="319" t="s">
        <v>191</v>
      </c>
      <c r="CN16" s="319" t="s">
        <v>428</v>
      </c>
      <c r="CO16" s="319" t="s">
        <v>428</v>
      </c>
      <c r="CP16" s="319" t="s">
        <v>428</v>
      </c>
      <c r="CQ16" s="319" t="s">
        <v>191</v>
      </c>
      <c r="CR16" s="319" t="s">
        <v>190</v>
      </c>
      <c r="CS16" s="319" t="s">
        <v>191</v>
      </c>
      <c r="CT16" s="319" t="s">
        <v>190</v>
      </c>
      <c r="CU16" s="319" t="s">
        <v>190</v>
      </c>
      <c r="CV16" s="319" t="s">
        <v>190</v>
      </c>
      <c r="CW16" s="319" t="s">
        <v>190</v>
      </c>
      <c r="CX16" s="319" t="s">
        <v>190</v>
      </c>
      <c r="CY16" s="319" t="s">
        <v>190</v>
      </c>
      <c r="CZ16" s="319" t="s">
        <v>190</v>
      </c>
      <c r="DA16" s="319" t="s">
        <v>190</v>
      </c>
      <c r="DB16" s="319" t="s">
        <v>190</v>
      </c>
      <c r="DC16" s="319" t="s">
        <v>190</v>
      </c>
      <c r="DD16" s="319" t="s">
        <v>190</v>
      </c>
      <c r="DE16" s="319" t="s">
        <v>190</v>
      </c>
      <c r="DF16" s="319" t="s">
        <v>190</v>
      </c>
      <c r="DG16" s="319" t="s">
        <v>190</v>
      </c>
      <c r="DH16" s="319" t="s">
        <v>190</v>
      </c>
      <c r="DI16" s="319" t="s">
        <v>190</v>
      </c>
      <c r="DJ16" s="319" t="s">
        <v>190</v>
      </c>
      <c r="DK16" s="319" t="s">
        <v>190</v>
      </c>
      <c r="DL16" s="319" t="s">
        <v>190</v>
      </c>
      <c r="DM16" s="319" t="s">
        <v>190</v>
      </c>
      <c r="DN16" s="319" t="s">
        <v>428</v>
      </c>
      <c r="DO16" s="319" t="s">
        <v>190</v>
      </c>
      <c r="DP16" s="319" t="s">
        <v>190</v>
      </c>
      <c r="DQ16" s="319" t="s">
        <v>190</v>
      </c>
      <c r="DR16" s="319" t="s">
        <v>190</v>
      </c>
      <c r="DS16" s="319" t="s">
        <v>190</v>
      </c>
      <c r="DT16" s="319" t="s">
        <v>190</v>
      </c>
      <c r="DU16" s="319" t="s">
        <v>190</v>
      </c>
      <c r="DV16" s="319" t="s">
        <v>173</v>
      </c>
      <c r="DW16" s="319" t="s">
        <v>190</v>
      </c>
      <c r="DX16" s="319" t="s">
        <v>190</v>
      </c>
      <c r="DY16" s="319" t="s">
        <v>190</v>
      </c>
      <c r="DZ16" s="319" t="s">
        <v>190</v>
      </c>
      <c r="EA16" s="319" t="s">
        <v>190</v>
      </c>
      <c r="EB16" s="319" t="s">
        <v>190</v>
      </c>
      <c r="EC16" s="319" t="s">
        <v>428</v>
      </c>
      <c r="ED16" s="319" t="s">
        <v>190</v>
      </c>
      <c r="EE16" s="319" t="s">
        <v>190</v>
      </c>
      <c r="EF16" s="319" t="s">
        <v>190</v>
      </c>
      <c r="EG16" s="319" t="s">
        <v>190</v>
      </c>
      <c r="EH16" s="319" t="s">
        <v>190</v>
      </c>
      <c r="EI16" s="319" t="s">
        <v>190</v>
      </c>
      <c r="EJ16" s="319" t="s">
        <v>190</v>
      </c>
      <c r="EK16" s="319" t="s">
        <v>190</v>
      </c>
      <c r="EL16" s="319" t="s">
        <v>190</v>
      </c>
      <c r="EM16" s="319" t="s">
        <v>190</v>
      </c>
      <c r="EN16" s="319" t="s">
        <v>190</v>
      </c>
      <c r="EO16" s="319" t="s">
        <v>190</v>
      </c>
      <c r="EP16" s="319" t="s">
        <v>190</v>
      </c>
      <c r="EQ16" s="319" t="s">
        <v>190</v>
      </c>
      <c r="ER16" s="319" t="s">
        <v>190</v>
      </c>
      <c r="ES16" s="319" t="s">
        <v>190</v>
      </c>
      <c r="ET16" s="319" t="s">
        <v>190</v>
      </c>
      <c r="EU16" s="319" t="s">
        <v>190</v>
      </c>
      <c r="EV16" s="319" t="s">
        <v>190</v>
      </c>
      <c r="EW16" s="319" t="s">
        <v>190</v>
      </c>
      <c r="EX16" s="319" t="s">
        <v>190</v>
      </c>
      <c r="EY16" s="319" t="s">
        <v>190</v>
      </c>
      <c r="EZ16" s="319" t="s">
        <v>190</v>
      </c>
      <c r="FA16" s="319" t="s">
        <v>190</v>
      </c>
      <c r="FB16" s="319" t="s">
        <v>190</v>
      </c>
      <c r="FC16" s="319" t="s">
        <v>190</v>
      </c>
      <c r="FD16" s="319" t="s">
        <v>190</v>
      </c>
      <c r="FE16" s="319" t="s">
        <v>190</v>
      </c>
      <c r="FF16" s="319" t="s">
        <v>190</v>
      </c>
      <c r="FG16" s="319" t="s">
        <v>190</v>
      </c>
      <c r="FH16" s="319" t="s">
        <v>190</v>
      </c>
      <c r="FI16" s="319" t="s">
        <v>190</v>
      </c>
      <c r="FJ16" s="319" t="s">
        <v>190</v>
      </c>
      <c r="FK16" s="319" t="s">
        <v>190</v>
      </c>
      <c r="FL16" s="319" t="s">
        <v>190</v>
      </c>
      <c r="FM16" s="319" t="s">
        <v>190</v>
      </c>
      <c r="FN16" s="319" t="s">
        <v>190</v>
      </c>
      <c r="FO16" s="319" t="s">
        <v>190</v>
      </c>
      <c r="FP16" s="319" t="s">
        <v>190</v>
      </c>
      <c r="FQ16" s="319" t="s">
        <v>190</v>
      </c>
      <c r="FR16" s="319" t="s">
        <v>190</v>
      </c>
      <c r="FS16" s="319" t="s">
        <v>428</v>
      </c>
      <c r="FT16" s="319" t="s">
        <v>190</v>
      </c>
      <c r="FU16" s="319" t="s">
        <v>190</v>
      </c>
      <c r="FV16" s="319" t="s">
        <v>190</v>
      </c>
      <c r="FW16" s="319" t="s">
        <v>190</v>
      </c>
      <c r="FX16" s="319" t="s">
        <v>190</v>
      </c>
      <c r="FY16" s="319" t="s">
        <v>190</v>
      </c>
      <c r="FZ16" s="319" t="s">
        <v>190</v>
      </c>
      <c r="GA16" s="319" t="s">
        <v>190</v>
      </c>
      <c r="GB16" s="319" t="s">
        <v>190</v>
      </c>
      <c r="GC16" s="319" t="s">
        <v>190</v>
      </c>
      <c r="GD16" s="319" t="s">
        <v>190</v>
      </c>
      <c r="GE16" s="319" t="s">
        <v>190</v>
      </c>
      <c r="GF16" s="319" t="s">
        <v>190</v>
      </c>
      <c r="GG16" s="319" t="s">
        <v>190</v>
      </c>
      <c r="GH16" s="319" t="s">
        <v>190</v>
      </c>
      <c r="GI16" s="319" t="s">
        <v>190</v>
      </c>
      <c r="GJ16" s="319" t="s">
        <v>190</v>
      </c>
      <c r="GK16" s="319" t="s">
        <v>428</v>
      </c>
      <c r="GL16" s="319" t="s">
        <v>190</v>
      </c>
      <c r="GM16" s="319" t="s">
        <v>190</v>
      </c>
      <c r="GN16" s="319" t="s">
        <v>190</v>
      </c>
      <c r="GO16" s="319" t="s">
        <v>190</v>
      </c>
      <c r="GP16" s="319" t="s">
        <v>190</v>
      </c>
      <c r="GQ16" s="319" t="s">
        <v>428</v>
      </c>
      <c r="GR16" s="319" t="s">
        <v>190</v>
      </c>
      <c r="GS16" s="319" t="s">
        <v>190</v>
      </c>
      <c r="GT16" s="319" t="s">
        <v>190</v>
      </c>
      <c r="GU16" s="319" t="s">
        <v>190</v>
      </c>
      <c r="GV16" s="319" t="s">
        <v>190</v>
      </c>
      <c r="GW16" s="319" t="s">
        <v>190</v>
      </c>
      <c r="GX16" s="319" t="s">
        <v>190</v>
      </c>
      <c r="GY16" s="319" t="s">
        <v>190</v>
      </c>
      <c r="GZ16" s="319" t="s">
        <v>190</v>
      </c>
      <c r="HA16" s="319" t="s">
        <v>190</v>
      </c>
      <c r="HB16" s="319" t="s">
        <v>190</v>
      </c>
      <c r="HC16" s="319" t="s">
        <v>190</v>
      </c>
      <c r="HD16" s="319" t="s">
        <v>190</v>
      </c>
      <c r="HE16" s="319" t="s">
        <v>190</v>
      </c>
      <c r="HF16" s="319" t="s">
        <v>190</v>
      </c>
      <c r="HG16" s="319" t="s">
        <v>190</v>
      </c>
      <c r="HH16" s="319" t="s">
        <v>190</v>
      </c>
      <c r="HI16" s="319" t="s">
        <v>190</v>
      </c>
      <c r="HJ16" s="319" t="s">
        <v>190</v>
      </c>
      <c r="HK16" s="319" t="s">
        <v>190</v>
      </c>
      <c r="HL16" s="319" t="s">
        <v>190</v>
      </c>
      <c r="HM16" s="319" t="s">
        <v>190</v>
      </c>
      <c r="HN16" s="319" t="s">
        <v>190</v>
      </c>
      <c r="HO16" s="319" t="s">
        <v>190</v>
      </c>
      <c r="HP16" s="319" t="s">
        <v>190</v>
      </c>
      <c r="HQ16" s="319" t="s">
        <v>190</v>
      </c>
      <c r="HR16" s="319" t="s">
        <v>190</v>
      </c>
      <c r="HS16" s="319" t="s">
        <v>190</v>
      </c>
      <c r="HT16" s="319" t="s">
        <v>190</v>
      </c>
      <c r="HU16" s="319" t="s">
        <v>190</v>
      </c>
      <c r="HV16" s="319" t="s">
        <v>190</v>
      </c>
      <c r="HW16" s="319" t="s">
        <v>190</v>
      </c>
      <c r="HX16" s="319" t="s">
        <v>190</v>
      </c>
      <c r="HY16" s="319" t="s">
        <v>190</v>
      </c>
      <c r="HZ16" s="319" t="s">
        <v>190</v>
      </c>
      <c r="IA16" s="319" t="s">
        <v>190</v>
      </c>
      <c r="IB16" s="319" t="s">
        <v>190</v>
      </c>
      <c r="IC16" s="319" t="s">
        <v>190</v>
      </c>
      <c r="ID16" s="319" t="s">
        <v>190</v>
      </c>
      <c r="IE16" s="319" t="s">
        <v>190</v>
      </c>
      <c r="IF16" s="319" t="s">
        <v>191</v>
      </c>
      <c r="IG16" s="319" t="s">
        <v>191</v>
      </c>
      <c r="IH16" s="319" t="s">
        <v>191</v>
      </c>
      <c r="II16" s="319" t="s">
        <v>191</v>
      </c>
      <c r="IJ16" s="319" t="s">
        <v>2780</v>
      </c>
      <c r="IK16" s="321">
        <v>41800</v>
      </c>
      <c r="IL16" s="321">
        <v>41802</v>
      </c>
      <c r="IM16" s="321">
        <v>41881</v>
      </c>
      <c r="IN16" s="319">
        <v>4</v>
      </c>
      <c r="IO16" s="319" t="s">
        <v>173</v>
      </c>
      <c r="IP16" s="319" t="s">
        <v>173</v>
      </c>
      <c r="IQ16" s="321" t="s">
        <v>173</v>
      </c>
      <c r="IR16" s="320" t="s">
        <v>173</v>
      </c>
      <c r="IS16" s="322" t="s">
        <v>173</v>
      </c>
      <c r="IT16" s="319" t="s">
        <v>173</v>
      </c>
    </row>
    <row r="17" spans="1:254" s="271" customFormat="1" x14ac:dyDescent="0.25">
      <c r="A17" s="318" t="str">
        <f>HYPERLINK("http://www.ofsted.gov.uk/inspection-reports/find-inspection-report/provider/ELS/100298 ","Ofsted School Webpage")</f>
        <v>Ofsted School Webpage</v>
      </c>
      <c r="B17" s="319">
        <v>100298</v>
      </c>
      <c r="C17" s="319">
        <v>2046385</v>
      </c>
      <c r="D17" s="319" t="s">
        <v>1195</v>
      </c>
      <c r="E17" s="319" t="s">
        <v>167</v>
      </c>
      <c r="F17" s="319" t="s">
        <v>81</v>
      </c>
      <c r="G17" s="319" t="s">
        <v>69</v>
      </c>
      <c r="H17" s="319" t="s">
        <v>69</v>
      </c>
      <c r="I17" s="319" t="s">
        <v>69</v>
      </c>
      <c r="J17" s="319" t="s">
        <v>424</v>
      </c>
      <c r="K17" s="319" t="s">
        <v>441</v>
      </c>
      <c r="L17" s="319" t="s">
        <v>441</v>
      </c>
      <c r="M17" s="319" t="s">
        <v>547</v>
      </c>
      <c r="N17" s="319" t="s">
        <v>2774</v>
      </c>
      <c r="O17" s="319" t="s">
        <v>1196</v>
      </c>
      <c r="P17" s="319">
        <v>244</v>
      </c>
      <c r="Q17" s="319" t="s">
        <v>2766</v>
      </c>
      <c r="R17" s="320">
        <v>10035772</v>
      </c>
      <c r="S17" s="321">
        <v>43235</v>
      </c>
      <c r="T17" s="321">
        <v>43237</v>
      </c>
      <c r="U17" s="321">
        <v>43348</v>
      </c>
      <c r="V17" s="319" t="s">
        <v>425</v>
      </c>
      <c r="W17" s="319" t="s">
        <v>2767</v>
      </c>
      <c r="X17" s="319">
        <v>4</v>
      </c>
      <c r="Y17" s="319" t="s">
        <v>173</v>
      </c>
      <c r="Z17" s="319" t="s">
        <v>173</v>
      </c>
      <c r="AA17" s="319" t="s">
        <v>173</v>
      </c>
      <c r="AB17" s="319">
        <v>4</v>
      </c>
      <c r="AC17" s="319" t="s">
        <v>169</v>
      </c>
      <c r="AD17" s="319">
        <v>4</v>
      </c>
      <c r="AE17" s="319" t="s">
        <v>173</v>
      </c>
      <c r="AF17" s="319" t="s">
        <v>427</v>
      </c>
      <c r="AG17" s="319" t="s">
        <v>172</v>
      </c>
      <c r="AH17" s="319" t="s">
        <v>479</v>
      </c>
      <c r="AI17" s="319" t="s">
        <v>479</v>
      </c>
      <c r="AJ17" s="319" t="s">
        <v>190</v>
      </c>
      <c r="AK17" s="319" t="s">
        <v>190</v>
      </c>
      <c r="AL17" s="319" t="s">
        <v>190</v>
      </c>
      <c r="AM17" s="319" t="s">
        <v>190</v>
      </c>
      <c r="AN17" s="319" t="s">
        <v>190</v>
      </c>
      <c r="AO17" s="319" t="s">
        <v>479</v>
      </c>
      <c r="AP17" s="319" t="s">
        <v>191</v>
      </c>
      <c r="AQ17" s="319" t="s">
        <v>191</v>
      </c>
      <c r="AR17" s="319" t="s">
        <v>191</v>
      </c>
      <c r="AS17" s="319" t="s">
        <v>191</v>
      </c>
      <c r="AT17" s="319" t="s">
        <v>190</v>
      </c>
      <c r="AU17" s="319" t="s">
        <v>191</v>
      </c>
      <c r="AV17" s="319" t="s">
        <v>191</v>
      </c>
      <c r="AW17" s="319" t="s">
        <v>191</v>
      </c>
      <c r="AX17" s="319" t="s">
        <v>191</v>
      </c>
      <c r="AY17" s="319" t="s">
        <v>191</v>
      </c>
      <c r="AZ17" s="319" t="s">
        <v>190</v>
      </c>
      <c r="BA17" s="319" t="s">
        <v>191</v>
      </c>
      <c r="BB17" s="319" t="s">
        <v>191</v>
      </c>
      <c r="BC17" s="319" t="s">
        <v>191</v>
      </c>
      <c r="BD17" s="319" t="s">
        <v>191</v>
      </c>
      <c r="BE17" s="319" t="s">
        <v>191</v>
      </c>
      <c r="BF17" s="319" t="s">
        <v>191</v>
      </c>
      <c r="BG17" s="319" t="s">
        <v>428</v>
      </c>
      <c r="BH17" s="319" t="s">
        <v>191</v>
      </c>
      <c r="BI17" s="319" t="s">
        <v>191</v>
      </c>
      <c r="BJ17" s="319" t="s">
        <v>191</v>
      </c>
      <c r="BK17" s="319" t="s">
        <v>191</v>
      </c>
      <c r="BL17" s="319" t="s">
        <v>191</v>
      </c>
      <c r="BM17" s="319" t="s">
        <v>191</v>
      </c>
      <c r="BN17" s="319" t="s">
        <v>191</v>
      </c>
      <c r="BO17" s="319" t="s">
        <v>191</v>
      </c>
      <c r="BP17" s="319" t="s">
        <v>191</v>
      </c>
      <c r="BQ17" s="319" t="s">
        <v>191</v>
      </c>
      <c r="BR17" s="319" t="s">
        <v>191</v>
      </c>
      <c r="BS17" s="319" t="s">
        <v>190</v>
      </c>
      <c r="BT17" s="319" t="s">
        <v>190</v>
      </c>
      <c r="BU17" s="319" t="s">
        <v>190</v>
      </c>
      <c r="BV17" s="319" t="s">
        <v>191</v>
      </c>
      <c r="BW17" s="319" t="s">
        <v>190</v>
      </c>
      <c r="BX17" s="319" t="s">
        <v>191</v>
      </c>
      <c r="BY17" s="319" t="s">
        <v>190</v>
      </c>
      <c r="BZ17" s="319" t="s">
        <v>190</v>
      </c>
      <c r="CA17" s="319" t="s">
        <v>190</v>
      </c>
      <c r="CB17" s="319" t="s">
        <v>190</v>
      </c>
      <c r="CC17" s="319" t="s">
        <v>190</v>
      </c>
      <c r="CD17" s="319" t="s">
        <v>191</v>
      </c>
      <c r="CE17" s="319" t="s">
        <v>190</v>
      </c>
      <c r="CF17" s="319" t="s">
        <v>190</v>
      </c>
      <c r="CG17" s="319" t="s">
        <v>190</v>
      </c>
      <c r="CH17" s="319" t="s">
        <v>190</v>
      </c>
      <c r="CI17" s="319" t="s">
        <v>190</v>
      </c>
      <c r="CJ17" s="319" t="s">
        <v>190</v>
      </c>
      <c r="CK17" s="319" t="s">
        <v>190</v>
      </c>
      <c r="CL17" s="319" t="s">
        <v>190</v>
      </c>
      <c r="CM17" s="319" t="s">
        <v>190</v>
      </c>
      <c r="CN17" s="319" t="s">
        <v>428</v>
      </c>
      <c r="CO17" s="319" t="s">
        <v>428</v>
      </c>
      <c r="CP17" s="319" t="s">
        <v>428</v>
      </c>
      <c r="CQ17" s="319" t="s">
        <v>190</v>
      </c>
      <c r="CR17" s="319" t="s">
        <v>190</v>
      </c>
      <c r="CS17" s="319" t="s">
        <v>190</v>
      </c>
      <c r="CT17" s="319" t="s">
        <v>190</v>
      </c>
      <c r="CU17" s="319" t="s">
        <v>190</v>
      </c>
      <c r="CV17" s="319" t="s">
        <v>190</v>
      </c>
      <c r="CW17" s="319" t="s">
        <v>190</v>
      </c>
      <c r="CX17" s="319" t="s">
        <v>190</v>
      </c>
      <c r="CY17" s="319" t="s">
        <v>190</v>
      </c>
      <c r="CZ17" s="319" t="s">
        <v>190</v>
      </c>
      <c r="DA17" s="319" t="s">
        <v>190</v>
      </c>
      <c r="DB17" s="319" t="s">
        <v>190</v>
      </c>
      <c r="DC17" s="319" t="s">
        <v>190</v>
      </c>
      <c r="DD17" s="319" t="s">
        <v>190</v>
      </c>
      <c r="DE17" s="319" t="s">
        <v>190</v>
      </c>
      <c r="DF17" s="319" t="s">
        <v>190</v>
      </c>
      <c r="DG17" s="319" t="s">
        <v>190</v>
      </c>
      <c r="DH17" s="319" t="s">
        <v>190</v>
      </c>
      <c r="DI17" s="319" t="s">
        <v>190</v>
      </c>
      <c r="DJ17" s="319" t="s">
        <v>190</v>
      </c>
      <c r="DK17" s="319" t="s">
        <v>190</v>
      </c>
      <c r="DL17" s="319" t="s">
        <v>190</v>
      </c>
      <c r="DM17" s="319" t="s">
        <v>190</v>
      </c>
      <c r="DN17" s="319" t="s">
        <v>428</v>
      </c>
      <c r="DO17" s="319" t="s">
        <v>190</v>
      </c>
      <c r="DP17" s="319" t="s">
        <v>190</v>
      </c>
      <c r="DQ17" s="319" t="s">
        <v>190</v>
      </c>
      <c r="DR17" s="319" t="s">
        <v>190</v>
      </c>
      <c r="DS17" s="319" t="s">
        <v>190</v>
      </c>
      <c r="DT17" s="319" t="s">
        <v>190</v>
      </c>
      <c r="DU17" s="319" t="s">
        <v>190</v>
      </c>
      <c r="DV17" s="319" t="s">
        <v>173</v>
      </c>
      <c r="DW17" s="319" t="s">
        <v>190</v>
      </c>
      <c r="DX17" s="319" t="s">
        <v>190</v>
      </c>
      <c r="DY17" s="319" t="s">
        <v>190</v>
      </c>
      <c r="DZ17" s="319" t="s">
        <v>190</v>
      </c>
      <c r="EA17" s="319" t="s">
        <v>190</v>
      </c>
      <c r="EB17" s="319" t="s">
        <v>190</v>
      </c>
      <c r="EC17" s="319" t="s">
        <v>428</v>
      </c>
      <c r="ED17" s="319" t="s">
        <v>190</v>
      </c>
      <c r="EE17" s="319" t="s">
        <v>428</v>
      </c>
      <c r="EF17" s="319" t="s">
        <v>428</v>
      </c>
      <c r="EG17" s="319" t="s">
        <v>428</v>
      </c>
      <c r="EH17" s="319" t="s">
        <v>428</v>
      </c>
      <c r="EI17" s="319" t="s">
        <v>428</v>
      </c>
      <c r="EJ17" s="319" t="s">
        <v>428</v>
      </c>
      <c r="EK17" s="319" t="s">
        <v>428</v>
      </c>
      <c r="EL17" s="319" t="s">
        <v>428</v>
      </c>
      <c r="EM17" s="319" t="s">
        <v>428</v>
      </c>
      <c r="EN17" s="319" t="s">
        <v>190</v>
      </c>
      <c r="EO17" s="319" t="s">
        <v>190</v>
      </c>
      <c r="EP17" s="319" t="s">
        <v>190</v>
      </c>
      <c r="EQ17" s="319" t="s">
        <v>190</v>
      </c>
      <c r="ER17" s="319" t="s">
        <v>190</v>
      </c>
      <c r="ES17" s="319" t="s">
        <v>190</v>
      </c>
      <c r="ET17" s="319" t="s">
        <v>190</v>
      </c>
      <c r="EU17" s="319" t="s">
        <v>190</v>
      </c>
      <c r="EV17" s="319" t="s">
        <v>190</v>
      </c>
      <c r="EW17" s="319" t="s">
        <v>190</v>
      </c>
      <c r="EX17" s="319" t="s">
        <v>190</v>
      </c>
      <c r="EY17" s="319" t="s">
        <v>190</v>
      </c>
      <c r="EZ17" s="319" t="s">
        <v>190</v>
      </c>
      <c r="FA17" s="319" t="s">
        <v>190</v>
      </c>
      <c r="FB17" s="319" t="s">
        <v>190</v>
      </c>
      <c r="FC17" s="319" t="s">
        <v>190</v>
      </c>
      <c r="FD17" s="319" t="s">
        <v>190</v>
      </c>
      <c r="FE17" s="319" t="s">
        <v>190</v>
      </c>
      <c r="FF17" s="319" t="s">
        <v>190</v>
      </c>
      <c r="FG17" s="319" t="s">
        <v>190</v>
      </c>
      <c r="FH17" s="319" t="s">
        <v>428</v>
      </c>
      <c r="FI17" s="319" t="s">
        <v>428</v>
      </c>
      <c r="FJ17" s="319" t="s">
        <v>429</v>
      </c>
      <c r="FK17" s="319" t="s">
        <v>428</v>
      </c>
      <c r="FL17" s="319" t="s">
        <v>190</v>
      </c>
      <c r="FM17" s="319" t="s">
        <v>190</v>
      </c>
      <c r="FN17" s="319" t="s">
        <v>190</v>
      </c>
      <c r="FO17" s="319" t="s">
        <v>190</v>
      </c>
      <c r="FP17" s="319" t="s">
        <v>190</v>
      </c>
      <c r="FQ17" s="319" t="s">
        <v>190</v>
      </c>
      <c r="FR17" s="319" t="s">
        <v>190</v>
      </c>
      <c r="FS17" s="319" t="s">
        <v>428</v>
      </c>
      <c r="FT17" s="319" t="s">
        <v>190</v>
      </c>
      <c r="FU17" s="319" t="s">
        <v>190</v>
      </c>
      <c r="FV17" s="319" t="s">
        <v>190</v>
      </c>
      <c r="FW17" s="319" t="s">
        <v>190</v>
      </c>
      <c r="FX17" s="319" t="s">
        <v>190</v>
      </c>
      <c r="FY17" s="319" t="s">
        <v>190</v>
      </c>
      <c r="FZ17" s="319" t="s">
        <v>190</v>
      </c>
      <c r="GA17" s="319" t="s">
        <v>190</v>
      </c>
      <c r="GB17" s="319" t="s">
        <v>190</v>
      </c>
      <c r="GC17" s="319" t="s">
        <v>190</v>
      </c>
      <c r="GD17" s="319" t="s">
        <v>190</v>
      </c>
      <c r="GE17" s="319" t="s">
        <v>190</v>
      </c>
      <c r="GF17" s="319" t="s">
        <v>190</v>
      </c>
      <c r="GG17" s="319" t="s">
        <v>190</v>
      </c>
      <c r="GH17" s="319" t="s">
        <v>190</v>
      </c>
      <c r="GI17" s="319" t="s">
        <v>190</v>
      </c>
      <c r="GJ17" s="319" t="s">
        <v>190</v>
      </c>
      <c r="GK17" s="319" t="s">
        <v>428</v>
      </c>
      <c r="GL17" s="319" t="s">
        <v>190</v>
      </c>
      <c r="GM17" s="319" t="s">
        <v>190</v>
      </c>
      <c r="GN17" s="319" t="s">
        <v>190</v>
      </c>
      <c r="GO17" s="319" t="s">
        <v>190</v>
      </c>
      <c r="GP17" s="319" t="s">
        <v>190</v>
      </c>
      <c r="GQ17" s="319" t="s">
        <v>428</v>
      </c>
      <c r="GR17" s="319" t="s">
        <v>190</v>
      </c>
      <c r="GS17" s="319" t="s">
        <v>190</v>
      </c>
      <c r="GT17" s="319" t="s">
        <v>190</v>
      </c>
      <c r="GU17" s="319" t="s">
        <v>190</v>
      </c>
      <c r="GV17" s="319" t="s">
        <v>190</v>
      </c>
      <c r="GW17" s="319" t="s">
        <v>190</v>
      </c>
      <c r="GX17" s="319" t="s">
        <v>190</v>
      </c>
      <c r="GY17" s="319" t="s">
        <v>190</v>
      </c>
      <c r="GZ17" s="319" t="s">
        <v>190</v>
      </c>
      <c r="HA17" s="319" t="s">
        <v>428</v>
      </c>
      <c r="HB17" s="319" t="s">
        <v>428</v>
      </c>
      <c r="HC17" s="319" t="s">
        <v>190</v>
      </c>
      <c r="HD17" s="319" t="s">
        <v>190</v>
      </c>
      <c r="HE17" s="319" t="s">
        <v>190</v>
      </c>
      <c r="HF17" s="319" t="s">
        <v>190</v>
      </c>
      <c r="HG17" s="319" t="s">
        <v>190</v>
      </c>
      <c r="HH17" s="319" t="s">
        <v>190</v>
      </c>
      <c r="HI17" s="319" t="s">
        <v>428</v>
      </c>
      <c r="HJ17" s="319" t="s">
        <v>190</v>
      </c>
      <c r="HK17" s="319" t="s">
        <v>190</v>
      </c>
      <c r="HL17" s="319" t="s">
        <v>428</v>
      </c>
      <c r="HM17" s="319" t="s">
        <v>428</v>
      </c>
      <c r="HN17" s="319" t="s">
        <v>428</v>
      </c>
      <c r="HO17" s="319" t="s">
        <v>428</v>
      </c>
      <c r="HP17" s="319" t="s">
        <v>190</v>
      </c>
      <c r="HQ17" s="319" t="s">
        <v>190</v>
      </c>
      <c r="HR17" s="319" t="s">
        <v>190</v>
      </c>
      <c r="HS17" s="319" t="s">
        <v>190</v>
      </c>
      <c r="HT17" s="319" t="s">
        <v>190</v>
      </c>
      <c r="HU17" s="319" t="s">
        <v>190</v>
      </c>
      <c r="HV17" s="319" t="s">
        <v>190</v>
      </c>
      <c r="HW17" s="319" t="s">
        <v>190</v>
      </c>
      <c r="HX17" s="319" t="s">
        <v>190</v>
      </c>
      <c r="HY17" s="319" t="s">
        <v>190</v>
      </c>
      <c r="HZ17" s="319" t="s">
        <v>190</v>
      </c>
      <c r="IA17" s="319" t="s">
        <v>190</v>
      </c>
      <c r="IB17" s="319" t="s">
        <v>190</v>
      </c>
      <c r="IC17" s="319" t="s">
        <v>190</v>
      </c>
      <c r="ID17" s="319" t="s">
        <v>190</v>
      </c>
      <c r="IE17" s="319" t="s">
        <v>190</v>
      </c>
      <c r="IF17" s="319" t="s">
        <v>191</v>
      </c>
      <c r="IG17" s="319" t="s">
        <v>191</v>
      </c>
      <c r="IH17" s="319" t="s">
        <v>191</v>
      </c>
      <c r="II17" s="319" t="s">
        <v>190</v>
      </c>
      <c r="IJ17" s="319" t="s">
        <v>2781</v>
      </c>
      <c r="IK17" s="321">
        <v>42178</v>
      </c>
      <c r="IL17" s="321">
        <v>42180</v>
      </c>
      <c r="IM17" s="321">
        <v>42340</v>
      </c>
      <c r="IN17" s="319">
        <v>4</v>
      </c>
      <c r="IO17" s="319">
        <v>10092174</v>
      </c>
      <c r="IP17" s="319" t="s">
        <v>985</v>
      </c>
      <c r="IQ17" s="321">
        <v>43509</v>
      </c>
      <c r="IR17" s="320" t="s">
        <v>1223</v>
      </c>
      <c r="IS17" s="322">
        <v>43543</v>
      </c>
      <c r="IT17" s="319" t="s">
        <v>166</v>
      </c>
    </row>
    <row r="18" spans="1:254" s="271" customFormat="1" x14ac:dyDescent="0.25">
      <c r="A18" s="318" t="str">
        <f>HYPERLINK("http://www.ofsted.gov.uk/inspection-reports/find-inspection-report/provider/ELS/100299 ","Ofsted School Webpage")</f>
        <v>Ofsted School Webpage</v>
      </c>
      <c r="B18" s="319">
        <v>100299</v>
      </c>
      <c r="C18" s="319">
        <v>2046387</v>
      </c>
      <c r="D18" s="319" t="s">
        <v>850</v>
      </c>
      <c r="E18" s="319" t="s">
        <v>167</v>
      </c>
      <c r="F18" s="319" t="s">
        <v>81</v>
      </c>
      <c r="G18" s="319" t="s">
        <v>69</v>
      </c>
      <c r="H18" s="319" t="s">
        <v>69</v>
      </c>
      <c r="I18" s="319" t="s">
        <v>69</v>
      </c>
      <c r="J18" s="319" t="s">
        <v>424</v>
      </c>
      <c r="K18" s="319" t="s">
        <v>441</v>
      </c>
      <c r="L18" s="319" t="s">
        <v>441</v>
      </c>
      <c r="M18" s="319" t="s">
        <v>547</v>
      </c>
      <c r="N18" s="319" t="s">
        <v>2774</v>
      </c>
      <c r="O18" s="319" t="s">
        <v>851</v>
      </c>
      <c r="P18" s="319">
        <v>164</v>
      </c>
      <c r="Q18" s="319" t="s">
        <v>2766</v>
      </c>
      <c r="R18" s="320">
        <v>10055372</v>
      </c>
      <c r="S18" s="321">
        <v>43487</v>
      </c>
      <c r="T18" s="321">
        <v>43489</v>
      </c>
      <c r="U18" s="321">
        <v>43530</v>
      </c>
      <c r="V18" s="319" t="s">
        <v>425</v>
      </c>
      <c r="W18" s="319" t="s">
        <v>2767</v>
      </c>
      <c r="X18" s="319">
        <v>4</v>
      </c>
      <c r="Y18" s="319" t="s">
        <v>173</v>
      </c>
      <c r="Z18" s="319" t="s">
        <v>173</v>
      </c>
      <c r="AA18" s="319" t="s">
        <v>173</v>
      </c>
      <c r="AB18" s="319">
        <v>4</v>
      </c>
      <c r="AC18" s="319" t="s">
        <v>169</v>
      </c>
      <c r="AD18" s="319">
        <v>4</v>
      </c>
      <c r="AE18" s="319" t="s">
        <v>173</v>
      </c>
      <c r="AF18" s="319" t="s">
        <v>427</v>
      </c>
      <c r="AG18" s="319" t="s">
        <v>172</v>
      </c>
      <c r="AH18" s="319" t="s">
        <v>479</v>
      </c>
      <c r="AI18" s="319" t="s">
        <v>479</v>
      </c>
      <c r="AJ18" s="319" t="s">
        <v>190</v>
      </c>
      <c r="AK18" s="319" t="s">
        <v>190</v>
      </c>
      <c r="AL18" s="319" t="s">
        <v>190</v>
      </c>
      <c r="AM18" s="319" t="s">
        <v>190</v>
      </c>
      <c r="AN18" s="319" t="s">
        <v>190</v>
      </c>
      <c r="AO18" s="319" t="s">
        <v>479</v>
      </c>
      <c r="AP18" s="319" t="s">
        <v>191</v>
      </c>
      <c r="AQ18" s="319" t="s">
        <v>191</v>
      </c>
      <c r="AR18" s="319" t="s">
        <v>191</v>
      </c>
      <c r="AS18" s="319" t="s">
        <v>191</v>
      </c>
      <c r="AT18" s="319" t="s">
        <v>190</v>
      </c>
      <c r="AU18" s="319" t="s">
        <v>191</v>
      </c>
      <c r="AV18" s="319" t="s">
        <v>191</v>
      </c>
      <c r="AW18" s="319" t="s">
        <v>190</v>
      </c>
      <c r="AX18" s="319" t="s">
        <v>190</v>
      </c>
      <c r="AY18" s="319" t="s">
        <v>191</v>
      </c>
      <c r="AZ18" s="319" t="s">
        <v>190</v>
      </c>
      <c r="BA18" s="319" t="s">
        <v>191</v>
      </c>
      <c r="BB18" s="319" t="s">
        <v>191</v>
      </c>
      <c r="BC18" s="319" t="s">
        <v>191</v>
      </c>
      <c r="BD18" s="319" t="s">
        <v>191</v>
      </c>
      <c r="BE18" s="319" t="s">
        <v>191</v>
      </c>
      <c r="BF18" s="319" t="s">
        <v>191</v>
      </c>
      <c r="BG18" s="319" t="s">
        <v>428</v>
      </c>
      <c r="BH18" s="319" t="s">
        <v>191</v>
      </c>
      <c r="BI18" s="319" t="s">
        <v>190</v>
      </c>
      <c r="BJ18" s="319" t="s">
        <v>191</v>
      </c>
      <c r="BK18" s="319" t="s">
        <v>191</v>
      </c>
      <c r="BL18" s="319" t="s">
        <v>190</v>
      </c>
      <c r="BM18" s="319" t="s">
        <v>191</v>
      </c>
      <c r="BN18" s="319" t="s">
        <v>191</v>
      </c>
      <c r="BO18" s="319" t="s">
        <v>191</v>
      </c>
      <c r="BP18" s="319" t="s">
        <v>191</v>
      </c>
      <c r="BQ18" s="319" t="s">
        <v>191</v>
      </c>
      <c r="BR18" s="319" t="s">
        <v>190</v>
      </c>
      <c r="BS18" s="319" t="s">
        <v>190</v>
      </c>
      <c r="BT18" s="319" t="s">
        <v>190</v>
      </c>
      <c r="BU18" s="319" t="s">
        <v>190</v>
      </c>
      <c r="BV18" s="319" t="s">
        <v>191</v>
      </c>
      <c r="BW18" s="319" t="s">
        <v>190</v>
      </c>
      <c r="BX18" s="319" t="s">
        <v>190</v>
      </c>
      <c r="BY18" s="319" t="s">
        <v>190</v>
      </c>
      <c r="BZ18" s="319" t="s">
        <v>190</v>
      </c>
      <c r="CA18" s="319" t="s">
        <v>190</v>
      </c>
      <c r="CB18" s="319" t="s">
        <v>190</v>
      </c>
      <c r="CC18" s="319" t="s">
        <v>190</v>
      </c>
      <c r="CD18" s="319" t="s">
        <v>191</v>
      </c>
      <c r="CE18" s="319" t="s">
        <v>190</v>
      </c>
      <c r="CF18" s="319" t="s">
        <v>190</v>
      </c>
      <c r="CG18" s="319" t="s">
        <v>190</v>
      </c>
      <c r="CH18" s="319" t="s">
        <v>190</v>
      </c>
      <c r="CI18" s="319" t="s">
        <v>190</v>
      </c>
      <c r="CJ18" s="319" t="s">
        <v>190</v>
      </c>
      <c r="CK18" s="319" t="s">
        <v>190</v>
      </c>
      <c r="CL18" s="319" t="s">
        <v>190</v>
      </c>
      <c r="CM18" s="319" t="s">
        <v>190</v>
      </c>
      <c r="CN18" s="319" t="s">
        <v>428</v>
      </c>
      <c r="CO18" s="319" t="s">
        <v>428</v>
      </c>
      <c r="CP18" s="319" t="s">
        <v>428</v>
      </c>
      <c r="CQ18" s="319" t="s">
        <v>190</v>
      </c>
      <c r="CR18" s="319" t="s">
        <v>190</v>
      </c>
      <c r="CS18" s="319" t="s">
        <v>190</v>
      </c>
      <c r="CT18" s="319" t="s">
        <v>190</v>
      </c>
      <c r="CU18" s="319" t="s">
        <v>190</v>
      </c>
      <c r="CV18" s="319" t="s">
        <v>190</v>
      </c>
      <c r="CW18" s="319" t="s">
        <v>190</v>
      </c>
      <c r="CX18" s="319" t="s">
        <v>190</v>
      </c>
      <c r="CY18" s="319" t="s">
        <v>190</v>
      </c>
      <c r="CZ18" s="319" t="s">
        <v>190</v>
      </c>
      <c r="DA18" s="319" t="s">
        <v>190</v>
      </c>
      <c r="DB18" s="319" t="s">
        <v>190</v>
      </c>
      <c r="DC18" s="319" t="s">
        <v>190</v>
      </c>
      <c r="DD18" s="319" t="s">
        <v>190</v>
      </c>
      <c r="DE18" s="319" t="s">
        <v>190</v>
      </c>
      <c r="DF18" s="319" t="s">
        <v>190</v>
      </c>
      <c r="DG18" s="319" t="s">
        <v>190</v>
      </c>
      <c r="DH18" s="319" t="s">
        <v>190</v>
      </c>
      <c r="DI18" s="319" t="s">
        <v>190</v>
      </c>
      <c r="DJ18" s="319" t="s">
        <v>190</v>
      </c>
      <c r="DK18" s="319" t="s">
        <v>190</v>
      </c>
      <c r="DL18" s="319" t="s">
        <v>190</v>
      </c>
      <c r="DM18" s="319" t="s">
        <v>190</v>
      </c>
      <c r="DN18" s="319" t="s">
        <v>428</v>
      </c>
      <c r="DO18" s="319" t="s">
        <v>190</v>
      </c>
      <c r="DP18" s="319" t="s">
        <v>428</v>
      </c>
      <c r="DQ18" s="319" t="s">
        <v>428</v>
      </c>
      <c r="DR18" s="319" t="s">
        <v>428</v>
      </c>
      <c r="DS18" s="319" t="s">
        <v>428</v>
      </c>
      <c r="DT18" s="319" t="s">
        <v>428</v>
      </c>
      <c r="DU18" s="319" t="s">
        <v>428</v>
      </c>
      <c r="DV18" s="319" t="s">
        <v>173</v>
      </c>
      <c r="DW18" s="319" t="s">
        <v>428</v>
      </c>
      <c r="DX18" s="319" t="s">
        <v>428</v>
      </c>
      <c r="DY18" s="319" t="s">
        <v>428</v>
      </c>
      <c r="DZ18" s="319" t="s">
        <v>428</v>
      </c>
      <c r="EA18" s="319" t="s">
        <v>428</v>
      </c>
      <c r="EB18" s="319" t="s">
        <v>428</v>
      </c>
      <c r="EC18" s="319" t="s">
        <v>428</v>
      </c>
      <c r="ED18" s="319" t="s">
        <v>428</v>
      </c>
      <c r="EE18" s="319" t="s">
        <v>190</v>
      </c>
      <c r="EF18" s="319" t="s">
        <v>190</v>
      </c>
      <c r="EG18" s="319" t="s">
        <v>190</v>
      </c>
      <c r="EH18" s="319" t="s">
        <v>190</v>
      </c>
      <c r="EI18" s="319" t="s">
        <v>190</v>
      </c>
      <c r="EJ18" s="319" t="s">
        <v>190</v>
      </c>
      <c r="EK18" s="319" t="s">
        <v>190</v>
      </c>
      <c r="EL18" s="319" t="s">
        <v>190</v>
      </c>
      <c r="EM18" s="319" t="s">
        <v>190</v>
      </c>
      <c r="EN18" s="319" t="s">
        <v>190</v>
      </c>
      <c r="EO18" s="319" t="s">
        <v>190</v>
      </c>
      <c r="EP18" s="319" t="s">
        <v>190</v>
      </c>
      <c r="EQ18" s="319" t="s">
        <v>190</v>
      </c>
      <c r="ER18" s="319" t="s">
        <v>190</v>
      </c>
      <c r="ES18" s="319" t="s">
        <v>190</v>
      </c>
      <c r="ET18" s="319" t="s">
        <v>190</v>
      </c>
      <c r="EU18" s="319" t="s">
        <v>190</v>
      </c>
      <c r="EV18" s="319" t="s">
        <v>190</v>
      </c>
      <c r="EW18" s="319" t="s">
        <v>190</v>
      </c>
      <c r="EX18" s="319" t="s">
        <v>190</v>
      </c>
      <c r="EY18" s="319" t="s">
        <v>190</v>
      </c>
      <c r="EZ18" s="319" t="s">
        <v>190</v>
      </c>
      <c r="FA18" s="319" t="s">
        <v>190</v>
      </c>
      <c r="FB18" s="319" t="s">
        <v>428</v>
      </c>
      <c r="FC18" s="319" t="s">
        <v>428</v>
      </c>
      <c r="FD18" s="319" t="s">
        <v>428</v>
      </c>
      <c r="FE18" s="319" t="s">
        <v>428</v>
      </c>
      <c r="FF18" s="319" t="s">
        <v>428</v>
      </c>
      <c r="FG18" s="319" t="s">
        <v>428</v>
      </c>
      <c r="FH18" s="319" t="s">
        <v>428</v>
      </c>
      <c r="FI18" s="319" t="s">
        <v>428</v>
      </c>
      <c r="FJ18" s="319" t="s">
        <v>429</v>
      </c>
      <c r="FK18" s="319" t="s">
        <v>428</v>
      </c>
      <c r="FL18" s="319" t="s">
        <v>190</v>
      </c>
      <c r="FM18" s="319" t="s">
        <v>190</v>
      </c>
      <c r="FN18" s="319" t="s">
        <v>190</v>
      </c>
      <c r="FO18" s="319" t="s">
        <v>190</v>
      </c>
      <c r="FP18" s="319" t="s">
        <v>190</v>
      </c>
      <c r="FQ18" s="319" t="s">
        <v>190</v>
      </c>
      <c r="FR18" s="319" t="s">
        <v>190</v>
      </c>
      <c r="FS18" s="319" t="s">
        <v>428</v>
      </c>
      <c r="FT18" s="319" t="s">
        <v>428</v>
      </c>
      <c r="FU18" s="319" t="s">
        <v>190</v>
      </c>
      <c r="FV18" s="319" t="s">
        <v>190</v>
      </c>
      <c r="FW18" s="319" t="s">
        <v>190</v>
      </c>
      <c r="FX18" s="319" t="s">
        <v>190</v>
      </c>
      <c r="FY18" s="319" t="s">
        <v>190</v>
      </c>
      <c r="FZ18" s="319" t="s">
        <v>190</v>
      </c>
      <c r="GA18" s="319" t="s">
        <v>190</v>
      </c>
      <c r="GB18" s="319" t="s">
        <v>190</v>
      </c>
      <c r="GC18" s="319" t="s">
        <v>190</v>
      </c>
      <c r="GD18" s="319" t="s">
        <v>190</v>
      </c>
      <c r="GE18" s="319" t="s">
        <v>190</v>
      </c>
      <c r="GF18" s="319" t="s">
        <v>190</v>
      </c>
      <c r="GG18" s="319" t="s">
        <v>190</v>
      </c>
      <c r="GH18" s="319" t="s">
        <v>190</v>
      </c>
      <c r="GI18" s="319" t="s">
        <v>190</v>
      </c>
      <c r="GJ18" s="319" t="s">
        <v>190</v>
      </c>
      <c r="GK18" s="319" t="s">
        <v>428</v>
      </c>
      <c r="GL18" s="319" t="s">
        <v>190</v>
      </c>
      <c r="GM18" s="319" t="s">
        <v>190</v>
      </c>
      <c r="GN18" s="319" t="s">
        <v>190</v>
      </c>
      <c r="GO18" s="319" t="s">
        <v>190</v>
      </c>
      <c r="GP18" s="319" t="s">
        <v>190</v>
      </c>
      <c r="GQ18" s="319" t="s">
        <v>190</v>
      </c>
      <c r="GR18" s="319" t="s">
        <v>190</v>
      </c>
      <c r="GS18" s="319" t="s">
        <v>190</v>
      </c>
      <c r="GT18" s="319" t="s">
        <v>190</v>
      </c>
      <c r="GU18" s="319" t="s">
        <v>190</v>
      </c>
      <c r="GV18" s="319" t="s">
        <v>190</v>
      </c>
      <c r="GW18" s="319" t="s">
        <v>190</v>
      </c>
      <c r="GX18" s="319" t="s">
        <v>190</v>
      </c>
      <c r="GY18" s="319" t="s">
        <v>190</v>
      </c>
      <c r="GZ18" s="319" t="s">
        <v>190</v>
      </c>
      <c r="HA18" s="319" t="s">
        <v>190</v>
      </c>
      <c r="HB18" s="319" t="s">
        <v>190</v>
      </c>
      <c r="HC18" s="319" t="s">
        <v>190</v>
      </c>
      <c r="HD18" s="319" t="s">
        <v>190</v>
      </c>
      <c r="HE18" s="319" t="s">
        <v>190</v>
      </c>
      <c r="HF18" s="319" t="s">
        <v>190</v>
      </c>
      <c r="HG18" s="319" t="s">
        <v>190</v>
      </c>
      <c r="HH18" s="319" t="s">
        <v>190</v>
      </c>
      <c r="HI18" s="319" t="s">
        <v>190</v>
      </c>
      <c r="HJ18" s="319" t="s">
        <v>190</v>
      </c>
      <c r="HK18" s="319" t="s">
        <v>190</v>
      </c>
      <c r="HL18" s="319" t="s">
        <v>428</v>
      </c>
      <c r="HM18" s="319" t="s">
        <v>428</v>
      </c>
      <c r="HN18" s="319" t="s">
        <v>428</v>
      </c>
      <c r="HO18" s="319" t="s">
        <v>428</v>
      </c>
      <c r="HP18" s="319" t="s">
        <v>190</v>
      </c>
      <c r="HQ18" s="319" t="s">
        <v>190</v>
      </c>
      <c r="HR18" s="319" t="s">
        <v>190</v>
      </c>
      <c r="HS18" s="319" t="s">
        <v>190</v>
      </c>
      <c r="HT18" s="319" t="s">
        <v>190</v>
      </c>
      <c r="HU18" s="319" t="s">
        <v>190</v>
      </c>
      <c r="HV18" s="319" t="s">
        <v>190</v>
      </c>
      <c r="HW18" s="319" t="s">
        <v>190</v>
      </c>
      <c r="HX18" s="319" t="s">
        <v>190</v>
      </c>
      <c r="HY18" s="319" t="s">
        <v>190</v>
      </c>
      <c r="HZ18" s="319" t="s">
        <v>190</v>
      </c>
      <c r="IA18" s="319" t="s">
        <v>190</v>
      </c>
      <c r="IB18" s="319" t="s">
        <v>190</v>
      </c>
      <c r="IC18" s="319" t="s">
        <v>190</v>
      </c>
      <c r="ID18" s="319" t="s">
        <v>190</v>
      </c>
      <c r="IE18" s="319" t="s">
        <v>190</v>
      </c>
      <c r="IF18" s="319" t="s">
        <v>191</v>
      </c>
      <c r="IG18" s="319" t="s">
        <v>191</v>
      </c>
      <c r="IH18" s="319" t="s">
        <v>191</v>
      </c>
      <c r="II18" s="319" t="s">
        <v>190</v>
      </c>
      <c r="IJ18" s="319">
        <v>10035532</v>
      </c>
      <c r="IK18" s="321">
        <v>42899</v>
      </c>
      <c r="IL18" s="321">
        <v>42901</v>
      </c>
      <c r="IM18" s="321">
        <v>43031</v>
      </c>
      <c r="IN18" s="319">
        <v>4</v>
      </c>
      <c r="IO18" s="319" t="s">
        <v>173</v>
      </c>
      <c r="IP18" s="319" t="s">
        <v>173</v>
      </c>
      <c r="IQ18" s="321" t="s">
        <v>173</v>
      </c>
      <c r="IR18" s="320" t="s">
        <v>173</v>
      </c>
      <c r="IS18" s="322" t="s">
        <v>173</v>
      </c>
      <c r="IT18" s="319" t="s">
        <v>173</v>
      </c>
    </row>
    <row r="19" spans="1:254" s="271" customFormat="1" x14ac:dyDescent="0.25">
      <c r="A19" s="318" t="str">
        <f>HYPERLINK("http://www.ofsted.gov.uk/inspection-reports/find-inspection-report/provider/ELS/100300 ","Ofsted School Webpage")</f>
        <v>Ofsted School Webpage</v>
      </c>
      <c r="B19" s="319">
        <v>100300</v>
      </c>
      <c r="C19" s="319">
        <v>2046388</v>
      </c>
      <c r="D19" s="319" t="s">
        <v>882</v>
      </c>
      <c r="E19" s="319" t="s">
        <v>167</v>
      </c>
      <c r="F19" s="319" t="s">
        <v>81</v>
      </c>
      <c r="G19" s="319" t="s">
        <v>72</v>
      </c>
      <c r="H19" s="319" t="s">
        <v>72</v>
      </c>
      <c r="I19" s="319" t="s">
        <v>72</v>
      </c>
      <c r="J19" s="319" t="s">
        <v>424</v>
      </c>
      <c r="K19" s="319" t="s">
        <v>441</v>
      </c>
      <c r="L19" s="319" t="s">
        <v>441</v>
      </c>
      <c r="M19" s="319" t="s">
        <v>547</v>
      </c>
      <c r="N19" s="319" t="s">
        <v>2774</v>
      </c>
      <c r="O19" s="319" t="s">
        <v>883</v>
      </c>
      <c r="P19" s="319">
        <v>186</v>
      </c>
      <c r="Q19" s="319" t="s">
        <v>2776</v>
      </c>
      <c r="R19" s="320">
        <v>10054282</v>
      </c>
      <c r="S19" s="321">
        <v>43494</v>
      </c>
      <c r="T19" s="321">
        <v>43496</v>
      </c>
      <c r="U19" s="321">
        <v>43531</v>
      </c>
      <c r="V19" s="319" t="s">
        <v>425</v>
      </c>
      <c r="W19" s="319" t="s">
        <v>2767</v>
      </c>
      <c r="X19" s="319">
        <v>4</v>
      </c>
      <c r="Y19" s="319" t="s">
        <v>173</v>
      </c>
      <c r="Z19" s="319" t="s">
        <v>173</v>
      </c>
      <c r="AA19" s="319" t="s">
        <v>173</v>
      </c>
      <c r="AB19" s="319">
        <v>4</v>
      </c>
      <c r="AC19" s="319" t="s">
        <v>169</v>
      </c>
      <c r="AD19" s="319" t="s">
        <v>173</v>
      </c>
      <c r="AE19" s="319" t="s">
        <v>173</v>
      </c>
      <c r="AF19" s="319" t="s">
        <v>427</v>
      </c>
      <c r="AG19" s="319" t="s">
        <v>173</v>
      </c>
      <c r="AH19" s="319" t="s">
        <v>173</v>
      </c>
      <c r="AI19" s="319" t="s">
        <v>173</v>
      </c>
      <c r="AJ19" s="319" t="s">
        <v>173</v>
      </c>
      <c r="AK19" s="319" t="s">
        <v>173</v>
      </c>
      <c r="AL19" s="319" t="s">
        <v>173</v>
      </c>
      <c r="AM19" s="319" t="s">
        <v>173</v>
      </c>
      <c r="AN19" s="319" t="s">
        <v>173</v>
      </c>
      <c r="AO19" s="319" t="s">
        <v>173</v>
      </c>
      <c r="AP19" s="319" t="s">
        <v>173</v>
      </c>
      <c r="AQ19" s="319" t="s">
        <v>173</v>
      </c>
      <c r="AR19" s="319" t="s">
        <v>173</v>
      </c>
      <c r="AS19" s="319" t="s">
        <v>173</v>
      </c>
      <c r="AT19" s="319" t="s">
        <v>173</v>
      </c>
      <c r="AU19" s="319" t="s">
        <v>173</v>
      </c>
      <c r="AV19" s="319" t="s">
        <v>173</v>
      </c>
      <c r="AW19" s="319" t="s">
        <v>173</v>
      </c>
      <c r="AX19" s="319" t="s">
        <v>173</v>
      </c>
      <c r="AY19" s="319" t="s">
        <v>173</v>
      </c>
      <c r="AZ19" s="319" t="s">
        <v>173</v>
      </c>
      <c r="BA19" s="319" t="s">
        <v>173</v>
      </c>
      <c r="BB19" s="319" t="s">
        <v>173</v>
      </c>
      <c r="BC19" s="319" t="s">
        <v>173</v>
      </c>
      <c r="BD19" s="319" t="s">
        <v>173</v>
      </c>
      <c r="BE19" s="319" t="s">
        <v>173</v>
      </c>
      <c r="BF19" s="319" t="s">
        <v>173</v>
      </c>
      <c r="BG19" s="319" t="s">
        <v>173</v>
      </c>
      <c r="BH19" s="319" t="s">
        <v>173</v>
      </c>
      <c r="BI19" s="319" t="s">
        <v>173</v>
      </c>
      <c r="BJ19" s="319" t="s">
        <v>173</v>
      </c>
      <c r="BK19" s="319" t="s">
        <v>173</v>
      </c>
      <c r="BL19" s="319" t="s">
        <v>173</v>
      </c>
      <c r="BM19" s="319" t="s">
        <v>173</v>
      </c>
      <c r="BN19" s="319" t="s">
        <v>173</v>
      </c>
      <c r="BO19" s="319" t="s">
        <v>173</v>
      </c>
      <c r="BP19" s="319" t="s">
        <v>173</v>
      </c>
      <c r="BQ19" s="319" t="s">
        <v>173</v>
      </c>
      <c r="BR19" s="319" t="s">
        <v>173</v>
      </c>
      <c r="BS19" s="319" t="s">
        <v>173</v>
      </c>
      <c r="BT19" s="319" t="s">
        <v>173</v>
      </c>
      <c r="BU19" s="319" t="s">
        <v>173</v>
      </c>
      <c r="BV19" s="319" t="s">
        <v>173</v>
      </c>
      <c r="BW19" s="319" t="s">
        <v>173</v>
      </c>
      <c r="BX19" s="319" t="s">
        <v>173</v>
      </c>
      <c r="BY19" s="319" t="s">
        <v>173</v>
      </c>
      <c r="BZ19" s="319" t="s">
        <v>173</v>
      </c>
      <c r="CA19" s="319" t="s">
        <v>173</v>
      </c>
      <c r="CB19" s="319" t="s">
        <v>173</v>
      </c>
      <c r="CC19" s="319" t="s">
        <v>173</v>
      </c>
      <c r="CD19" s="319" t="s">
        <v>173</v>
      </c>
      <c r="CE19" s="319" t="s">
        <v>173</v>
      </c>
      <c r="CF19" s="319" t="s">
        <v>173</v>
      </c>
      <c r="CG19" s="319" t="s">
        <v>173</v>
      </c>
      <c r="CH19" s="319" t="s">
        <v>173</v>
      </c>
      <c r="CI19" s="319" t="s">
        <v>173</v>
      </c>
      <c r="CJ19" s="319" t="s">
        <v>173</v>
      </c>
      <c r="CK19" s="319" t="s">
        <v>173</v>
      </c>
      <c r="CL19" s="319" t="s">
        <v>173</v>
      </c>
      <c r="CM19" s="319" t="s">
        <v>173</v>
      </c>
      <c r="CN19" s="319" t="s">
        <v>173</v>
      </c>
      <c r="CO19" s="319" t="s">
        <v>173</v>
      </c>
      <c r="CP19" s="319" t="s">
        <v>173</v>
      </c>
      <c r="CQ19" s="319" t="s">
        <v>173</v>
      </c>
      <c r="CR19" s="319" t="s">
        <v>173</v>
      </c>
      <c r="CS19" s="319" t="s">
        <v>173</v>
      </c>
      <c r="CT19" s="319" t="s">
        <v>173</v>
      </c>
      <c r="CU19" s="319" t="s">
        <v>173</v>
      </c>
      <c r="CV19" s="319" t="s">
        <v>173</v>
      </c>
      <c r="CW19" s="319" t="s">
        <v>173</v>
      </c>
      <c r="CX19" s="319" t="s">
        <v>173</v>
      </c>
      <c r="CY19" s="319" t="s">
        <v>173</v>
      </c>
      <c r="CZ19" s="319" t="s">
        <v>173</v>
      </c>
      <c r="DA19" s="319" t="s">
        <v>173</v>
      </c>
      <c r="DB19" s="319" t="s">
        <v>173</v>
      </c>
      <c r="DC19" s="319" t="s">
        <v>173</v>
      </c>
      <c r="DD19" s="319" t="s">
        <v>173</v>
      </c>
      <c r="DE19" s="319" t="s">
        <v>173</v>
      </c>
      <c r="DF19" s="319" t="s">
        <v>173</v>
      </c>
      <c r="DG19" s="319" t="s">
        <v>173</v>
      </c>
      <c r="DH19" s="319" t="s">
        <v>173</v>
      </c>
      <c r="DI19" s="319" t="s">
        <v>173</v>
      </c>
      <c r="DJ19" s="319" t="s">
        <v>173</v>
      </c>
      <c r="DK19" s="319" t="s">
        <v>173</v>
      </c>
      <c r="DL19" s="319" t="s">
        <v>173</v>
      </c>
      <c r="DM19" s="319" t="s">
        <v>173</v>
      </c>
      <c r="DN19" s="319" t="s">
        <v>173</v>
      </c>
      <c r="DO19" s="319" t="s">
        <v>173</v>
      </c>
      <c r="DP19" s="319" t="s">
        <v>173</v>
      </c>
      <c r="DQ19" s="319" t="s">
        <v>173</v>
      </c>
      <c r="DR19" s="319" t="s">
        <v>173</v>
      </c>
      <c r="DS19" s="319" t="s">
        <v>173</v>
      </c>
      <c r="DT19" s="319" t="s">
        <v>173</v>
      </c>
      <c r="DU19" s="319" t="s">
        <v>173</v>
      </c>
      <c r="DV19" s="319" t="s">
        <v>173</v>
      </c>
      <c r="DW19" s="319" t="s">
        <v>173</v>
      </c>
      <c r="DX19" s="319" t="s">
        <v>173</v>
      </c>
      <c r="DY19" s="319" t="s">
        <v>173</v>
      </c>
      <c r="DZ19" s="319" t="s">
        <v>173</v>
      </c>
      <c r="EA19" s="319" t="s">
        <v>173</v>
      </c>
      <c r="EB19" s="319" t="s">
        <v>173</v>
      </c>
      <c r="EC19" s="319" t="s">
        <v>173</v>
      </c>
      <c r="ED19" s="319" t="s">
        <v>173</v>
      </c>
      <c r="EE19" s="319" t="s">
        <v>173</v>
      </c>
      <c r="EF19" s="319" t="s">
        <v>173</v>
      </c>
      <c r="EG19" s="319" t="s">
        <v>173</v>
      </c>
      <c r="EH19" s="319" t="s">
        <v>173</v>
      </c>
      <c r="EI19" s="319" t="s">
        <v>173</v>
      </c>
      <c r="EJ19" s="319" t="s">
        <v>173</v>
      </c>
      <c r="EK19" s="319" t="s">
        <v>173</v>
      </c>
      <c r="EL19" s="319" t="s">
        <v>173</v>
      </c>
      <c r="EM19" s="319" t="s">
        <v>173</v>
      </c>
      <c r="EN19" s="319" t="s">
        <v>173</v>
      </c>
      <c r="EO19" s="319" t="s">
        <v>173</v>
      </c>
      <c r="EP19" s="319" t="s">
        <v>173</v>
      </c>
      <c r="EQ19" s="319" t="s">
        <v>173</v>
      </c>
      <c r="ER19" s="319" t="s">
        <v>173</v>
      </c>
      <c r="ES19" s="319" t="s">
        <v>173</v>
      </c>
      <c r="ET19" s="319" t="s">
        <v>173</v>
      </c>
      <c r="EU19" s="319" t="s">
        <v>173</v>
      </c>
      <c r="EV19" s="319" t="s">
        <v>173</v>
      </c>
      <c r="EW19" s="319" t="s">
        <v>173</v>
      </c>
      <c r="EX19" s="319" t="s">
        <v>173</v>
      </c>
      <c r="EY19" s="319" t="s">
        <v>173</v>
      </c>
      <c r="EZ19" s="319" t="s">
        <v>173</v>
      </c>
      <c r="FA19" s="319" t="s">
        <v>173</v>
      </c>
      <c r="FB19" s="319" t="s">
        <v>173</v>
      </c>
      <c r="FC19" s="319" t="s">
        <v>173</v>
      </c>
      <c r="FD19" s="319" t="s">
        <v>173</v>
      </c>
      <c r="FE19" s="319" t="s">
        <v>173</v>
      </c>
      <c r="FF19" s="319" t="s">
        <v>173</v>
      </c>
      <c r="FG19" s="319" t="s">
        <v>173</v>
      </c>
      <c r="FH19" s="319" t="s">
        <v>173</v>
      </c>
      <c r="FI19" s="319" t="s">
        <v>173</v>
      </c>
      <c r="FJ19" s="319" t="s">
        <v>173</v>
      </c>
      <c r="FK19" s="319" t="s">
        <v>173</v>
      </c>
      <c r="FL19" s="319" t="s">
        <v>173</v>
      </c>
      <c r="FM19" s="319" t="s">
        <v>173</v>
      </c>
      <c r="FN19" s="319" t="s">
        <v>173</v>
      </c>
      <c r="FO19" s="319" t="s">
        <v>173</v>
      </c>
      <c r="FP19" s="319" t="s">
        <v>173</v>
      </c>
      <c r="FQ19" s="319" t="s">
        <v>173</v>
      </c>
      <c r="FR19" s="319" t="s">
        <v>173</v>
      </c>
      <c r="FS19" s="319" t="s">
        <v>173</v>
      </c>
      <c r="FT19" s="319" t="s">
        <v>173</v>
      </c>
      <c r="FU19" s="319" t="s">
        <v>173</v>
      </c>
      <c r="FV19" s="319" t="s">
        <v>173</v>
      </c>
      <c r="FW19" s="319" t="s">
        <v>173</v>
      </c>
      <c r="FX19" s="319" t="s">
        <v>173</v>
      </c>
      <c r="FY19" s="319" t="s">
        <v>173</v>
      </c>
      <c r="FZ19" s="319" t="s">
        <v>173</v>
      </c>
      <c r="GA19" s="319" t="s">
        <v>173</v>
      </c>
      <c r="GB19" s="319" t="s">
        <v>173</v>
      </c>
      <c r="GC19" s="319" t="s">
        <v>173</v>
      </c>
      <c r="GD19" s="319" t="s">
        <v>173</v>
      </c>
      <c r="GE19" s="319" t="s">
        <v>173</v>
      </c>
      <c r="GF19" s="319" t="s">
        <v>173</v>
      </c>
      <c r="GG19" s="319" t="s">
        <v>173</v>
      </c>
      <c r="GH19" s="319" t="s">
        <v>173</v>
      </c>
      <c r="GI19" s="319" t="s">
        <v>173</v>
      </c>
      <c r="GJ19" s="319" t="s">
        <v>173</v>
      </c>
      <c r="GK19" s="319" t="s">
        <v>173</v>
      </c>
      <c r="GL19" s="319" t="s">
        <v>173</v>
      </c>
      <c r="GM19" s="319" t="s">
        <v>173</v>
      </c>
      <c r="GN19" s="319" t="s">
        <v>173</v>
      </c>
      <c r="GO19" s="319" t="s">
        <v>173</v>
      </c>
      <c r="GP19" s="319" t="s">
        <v>173</v>
      </c>
      <c r="GQ19" s="319" t="s">
        <v>173</v>
      </c>
      <c r="GR19" s="319" t="s">
        <v>173</v>
      </c>
      <c r="GS19" s="319" t="s">
        <v>173</v>
      </c>
      <c r="GT19" s="319" t="s">
        <v>173</v>
      </c>
      <c r="GU19" s="319" t="s">
        <v>173</v>
      </c>
      <c r="GV19" s="319" t="s">
        <v>173</v>
      </c>
      <c r="GW19" s="319" t="s">
        <v>173</v>
      </c>
      <c r="GX19" s="319" t="s">
        <v>173</v>
      </c>
      <c r="GY19" s="319" t="s">
        <v>173</v>
      </c>
      <c r="GZ19" s="319" t="s">
        <v>173</v>
      </c>
      <c r="HA19" s="319" t="s">
        <v>173</v>
      </c>
      <c r="HB19" s="319" t="s">
        <v>173</v>
      </c>
      <c r="HC19" s="319" t="s">
        <v>173</v>
      </c>
      <c r="HD19" s="319" t="s">
        <v>173</v>
      </c>
      <c r="HE19" s="319" t="s">
        <v>173</v>
      </c>
      <c r="HF19" s="319" t="s">
        <v>173</v>
      </c>
      <c r="HG19" s="319" t="s">
        <v>173</v>
      </c>
      <c r="HH19" s="319" t="s">
        <v>173</v>
      </c>
      <c r="HI19" s="319" t="s">
        <v>173</v>
      </c>
      <c r="HJ19" s="319" t="s">
        <v>173</v>
      </c>
      <c r="HK19" s="319" t="s">
        <v>173</v>
      </c>
      <c r="HL19" s="319" t="s">
        <v>173</v>
      </c>
      <c r="HM19" s="319" t="s">
        <v>173</v>
      </c>
      <c r="HN19" s="319" t="s">
        <v>173</v>
      </c>
      <c r="HO19" s="319" t="s">
        <v>173</v>
      </c>
      <c r="HP19" s="319" t="s">
        <v>173</v>
      </c>
      <c r="HQ19" s="319" t="s">
        <v>173</v>
      </c>
      <c r="HR19" s="319" t="s">
        <v>173</v>
      </c>
      <c r="HS19" s="319" t="s">
        <v>173</v>
      </c>
      <c r="HT19" s="319" t="s">
        <v>173</v>
      </c>
      <c r="HU19" s="319" t="s">
        <v>173</v>
      </c>
      <c r="HV19" s="319" t="s">
        <v>173</v>
      </c>
      <c r="HW19" s="319" t="s">
        <v>173</v>
      </c>
      <c r="HX19" s="319" t="s">
        <v>173</v>
      </c>
      <c r="HY19" s="319" t="s">
        <v>173</v>
      </c>
      <c r="HZ19" s="319" t="s">
        <v>173</v>
      </c>
      <c r="IA19" s="319" t="s">
        <v>173</v>
      </c>
      <c r="IB19" s="319" t="s">
        <v>173</v>
      </c>
      <c r="IC19" s="319" t="s">
        <v>173</v>
      </c>
      <c r="ID19" s="319" t="s">
        <v>173</v>
      </c>
      <c r="IE19" s="319" t="s">
        <v>173</v>
      </c>
      <c r="IF19" s="319" t="s">
        <v>173</v>
      </c>
      <c r="IG19" s="319" t="s">
        <v>173</v>
      </c>
      <c r="IH19" s="319" t="s">
        <v>173</v>
      </c>
      <c r="II19" s="319" t="s">
        <v>173</v>
      </c>
      <c r="IJ19" s="319">
        <v>10017856</v>
      </c>
      <c r="IK19" s="321">
        <v>42634</v>
      </c>
      <c r="IL19" s="321">
        <v>42636</v>
      </c>
      <c r="IM19" s="321">
        <v>42716</v>
      </c>
      <c r="IN19" s="319">
        <v>4</v>
      </c>
      <c r="IO19" s="319" t="s">
        <v>173</v>
      </c>
      <c r="IP19" s="319" t="s">
        <v>173</v>
      </c>
      <c r="IQ19" s="321" t="s">
        <v>173</v>
      </c>
      <c r="IR19" s="320" t="s">
        <v>173</v>
      </c>
      <c r="IS19" s="322" t="s">
        <v>173</v>
      </c>
      <c r="IT19" s="319" t="s">
        <v>173</v>
      </c>
    </row>
    <row r="20" spans="1:254" s="271" customFormat="1" x14ac:dyDescent="0.25">
      <c r="A20" s="318" t="str">
        <f>HYPERLINK("http://www.ofsted.gov.uk/inspection-reports/find-inspection-report/provider/ELS/100303 ","Ofsted School Webpage")</f>
        <v>Ofsted School Webpage</v>
      </c>
      <c r="B20" s="319">
        <v>100303</v>
      </c>
      <c r="C20" s="319">
        <v>2116385</v>
      </c>
      <c r="D20" s="319" t="s">
        <v>1224</v>
      </c>
      <c r="E20" s="319" t="s">
        <v>167</v>
      </c>
      <c r="F20" s="319" t="s">
        <v>81</v>
      </c>
      <c r="G20" s="319" t="s">
        <v>81</v>
      </c>
      <c r="H20" s="319" t="s">
        <v>81</v>
      </c>
      <c r="I20" s="319" t="s">
        <v>78</v>
      </c>
      <c r="J20" s="319" t="s">
        <v>424</v>
      </c>
      <c r="K20" s="319" t="s">
        <v>441</v>
      </c>
      <c r="L20" s="319" t="s">
        <v>441</v>
      </c>
      <c r="M20" s="319" t="s">
        <v>757</v>
      </c>
      <c r="N20" s="319" t="s">
        <v>2782</v>
      </c>
      <c r="O20" s="319" t="s">
        <v>1225</v>
      </c>
      <c r="P20" s="319">
        <v>308</v>
      </c>
      <c r="Q20" s="319" t="s">
        <v>2766</v>
      </c>
      <c r="R20" s="320">
        <v>10026270</v>
      </c>
      <c r="S20" s="321">
        <v>43221</v>
      </c>
      <c r="T20" s="321">
        <v>43223</v>
      </c>
      <c r="U20" s="321">
        <v>43271</v>
      </c>
      <c r="V20" s="319" t="s">
        <v>425</v>
      </c>
      <c r="W20" s="319" t="s">
        <v>2767</v>
      </c>
      <c r="X20" s="319">
        <v>2</v>
      </c>
      <c r="Y20" s="319" t="s">
        <v>173</v>
      </c>
      <c r="Z20" s="319" t="s">
        <v>173</v>
      </c>
      <c r="AA20" s="319" t="s">
        <v>173</v>
      </c>
      <c r="AB20" s="319">
        <v>2</v>
      </c>
      <c r="AC20" s="319" t="s">
        <v>169</v>
      </c>
      <c r="AD20" s="319">
        <v>2</v>
      </c>
      <c r="AE20" s="319" t="s">
        <v>173</v>
      </c>
      <c r="AF20" s="319" t="s">
        <v>427</v>
      </c>
      <c r="AG20" s="319" t="s">
        <v>171</v>
      </c>
      <c r="AH20" s="319" t="s">
        <v>190</v>
      </c>
      <c r="AI20" s="319" t="s">
        <v>190</v>
      </c>
      <c r="AJ20" s="319" t="s">
        <v>190</v>
      </c>
      <c r="AK20" s="319" t="s">
        <v>190</v>
      </c>
      <c r="AL20" s="319" t="s">
        <v>190</v>
      </c>
      <c r="AM20" s="319" t="s">
        <v>190</v>
      </c>
      <c r="AN20" s="319" t="s">
        <v>190</v>
      </c>
      <c r="AO20" s="319" t="s">
        <v>190</v>
      </c>
      <c r="AP20" s="319" t="s">
        <v>190</v>
      </c>
      <c r="AQ20" s="319" t="s">
        <v>190</v>
      </c>
      <c r="AR20" s="319" t="s">
        <v>190</v>
      </c>
      <c r="AS20" s="319" t="s">
        <v>190</v>
      </c>
      <c r="AT20" s="319" t="s">
        <v>190</v>
      </c>
      <c r="AU20" s="319" t="s">
        <v>190</v>
      </c>
      <c r="AV20" s="319" t="s">
        <v>190</v>
      </c>
      <c r="AW20" s="319" t="s">
        <v>190</v>
      </c>
      <c r="AX20" s="319" t="s">
        <v>428</v>
      </c>
      <c r="AY20" s="319" t="s">
        <v>190</v>
      </c>
      <c r="AZ20" s="319" t="s">
        <v>190</v>
      </c>
      <c r="BA20" s="319" t="s">
        <v>190</v>
      </c>
      <c r="BB20" s="319" t="s">
        <v>190</v>
      </c>
      <c r="BC20" s="319" t="s">
        <v>190</v>
      </c>
      <c r="BD20" s="319" t="s">
        <v>190</v>
      </c>
      <c r="BE20" s="319" t="s">
        <v>190</v>
      </c>
      <c r="BF20" s="319" t="s">
        <v>190</v>
      </c>
      <c r="BG20" s="319" t="s">
        <v>428</v>
      </c>
      <c r="BH20" s="319" t="s">
        <v>190</v>
      </c>
      <c r="BI20" s="319" t="s">
        <v>190</v>
      </c>
      <c r="BJ20" s="319" t="s">
        <v>190</v>
      </c>
      <c r="BK20" s="319" t="s">
        <v>190</v>
      </c>
      <c r="BL20" s="319" t="s">
        <v>190</v>
      </c>
      <c r="BM20" s="319" t="s">
        <v>190</v>
      </c>
      <c r="BN20" s="319" t="s">
        <v>190</v>
      </c>
      <c r="BO20" s="319" t="s">
        <v>190</v>
      </c>
      <c r="BP20" s="319" t="s">
        <v>190</v>
      </c>
      <c r="BQ20" s="319" t="s">
        <v>190</v>
      </c>
      <c r="BR20" s="319" t="s">
        <v>190</v>
      </c>
      <c r="BS20" s="319" t="s">
        <v>190</v>
      </c>
      <c r="BT20" s="319" t="s">
        <v>190</v>
      </c>
      <c r="BU20" s="319" t="s">
        <v>190</v>
      </c>
      <c r="BV20" s="319" t="s">
        <v>190</v>
      </c>
      <c r="BW20" s="319" t="s">
        <v>190</v>
      </c>
      <c r="BX20" s="319" t="s">
        <v>190</v>
      </c>
      <c r="BY20" s="319" t="s">
        <v>190</v>
      </c>
      <c r="BZ20" s="319" t="s">
        <v>190</v>
      </c>
      <c r="CA20" s="319" t="s">
        <v>190</v>
      </c>
      <c r="CB20" s="319" t="s">
        <v>190</v>
      </c>
      <c r="CC20" s="319" t="s">
        <v>190</v>
      </c>
      <c r="CD20" s="319" t="s">
        <v>190</v>
      </c>
      <c r="CE20" s="319" t="s">
        <v>190</v>
      </c>
      <c r="CF20" s="319" t="s">
        <v>190</v>
      </c>
      <c r="CG20" s="319" t="s">
        <v>190</v>
      </c>
      <c r="CH20" s="319" t="s">
        <v>190</v>
      </c>
      <c r="CI20" s="319" t="s">
        <v>190</v>
      </c>
      <c r="CJ20" s="319" t="s">
        <v>190</v>
      </c>
      <c r="CK20" s="319" t="s">
        <v>190</v>
      </c>
      <c r="CL20" s="319" t="s">
        <v>190</v>
      </c>
      <c r="CM20" s="319" t="s">
        <v>190</v>
      </c>
      <c r="CN20" s="319" t="s">
        <v>428</v>
      </c>
      <c r="CO20" s="319" t="s">
        <v>428</v>
      </c>
      <c r="CP20" s="319" t="s">
        <v>428</v>
      </c>
      <c r="CQ20" s="319" t="s">
        <v>190</v>
      </c>
      <c r="CR20" s="319" t="s">
        <v>190</v>
      </c>
      <c r="CS20" s="319" t="s">
        <v>190</v>
      </c>
      <c r="CT20" s="319" t="s">
        <v>190</v>
      </c>
      <c r="CU20" s="319" t="s">
        <v>190</v>
      </c>
      <c r="CV20" s="319" t="s">
        <v>190</v>
      </c>
      <c r="CW20" s="319" t="s">
        <v>190</v>
      </c>
      <c r="CX20" s="319" t="s">
        <v>190</v>
      </c>
      <c r="CY20" s="319" t="s">
        <v>190</v>
      </c>
      <c r="CZ20" s="319" t="s">
        <v>190</v>
      </c>
      <c r="DA20" s="319" t="s">
        <v>190</v>
      </c>
      <c r="DB20" s="319" t="s">
        <v>190</v>
      </c>
      <c r="DC20" s="319" t="s">
        <v>190</v>
      </c>
      <c r="DD20" s="319" t="s">
        <v>190</v>
      </c>
      <c r="DE20" s="319" t="s">
        <v>190</v>
      </c>
      <c r="DF20" s="319" t="s">
        <v>190</v>
      </c>
      <c r="DG20" s="319" t="s">
        <v>190</v>
      </c>
      <c r="DH20" s="319" t="s">
        <v>190</v>
      </c>
      <c r="DI20" s="319" t="s">
        <v>190</v>
      </c>
      <c r="DJ20" s="319" t="s">
        <v>190</v>
      </c>
      <c r="DK20" s="319" t="s">
        <v>190</v>
      </c>
      <c r="DL20" s="319" t="s">
        <v>190</v>
      </c>
      <c r="DM20" s="319" t="s">
        <v>190</v>
      </c>
      <c r="DN20" s="319" t="s">
        <v>428</v>
      </c>
      <c r="DO20" s="319" t="s">
        <v>190</v>
      </c>
      <c r="DP20" s="319" t="s">
        <v>190</v>
      </c>
      <c r="DQ20" s="319" t="s">
        <v>190</v>
      </c>
      <c r="DR20" s="319" t="s">
        <v>190</v>
      </c>
      <c r="DS20" s="319" t="s">
        <v>190</v>
      </c>
      <c r="DT20" s="319" t="s">
        <v>190</v>
      </c>
      <c r="DU20" s="319" t="s">
        <v>190</v>
      </c>
      <c r="DV20" s="319" t="s">
        <v>173</v>
      </c>
      <c r="DW20" s="319" t="s">
        <v>190</v>
      </c>
      <c r="DX20" s="319" t="s">
        <v>190</v>
      </c>
      <c r="DY20" s="319" t="s">
        <v>190</v>
      </c>
      <c r="DZ20" s="319" t="s">
        <v>190</v>
      </c>
      <c r="EA20" s="319" t="s">
        <v>190</v>
      </c>
      <c r="EB20" s="319" t="s">
        <v>190</v>
      </c>
      <c r="EC20" s="319" t="s">
        <v>190</v>
      </c>
      <c r="ED20" s="319" t="s">
        <v>190</v>
      </c>
      <c r="EE20" s="319" t="s">
        <v>190</v>
      </c>
      <c r="EF20" s="319" t="s">
        <v>190</v>
      </c>
      <c r="EG20" s="319" t="s">
        <v>190</v>
      </c>
      <c r="EH20" s="319" t="s">
        <v>190</v>
      </c>
      <c r="EI20" s="319" t="s">
        <v>190</v>
      </c>
      <c r="EJ20" s="319" t="s">
        <v>190</v>
      </c>
      <c r="EK20" s="319" t="s">
        <v>190</v>
      </c>
      <c r="EL20" s="319" t="s">
        <v>190</v>
      </c>
      <c r="EM20" s="319" t="s">
        <v>190</v>
      </c>
      <c r="EN20" s="319" t="s">
        <v>190</v>
      </c>
      <c r="EO20" s="319" t="s">
        <v>190</v>
      </c>
      <c r="EP20" s="319" t="s">
        <v>190</v>
      </c>
      <c r="EQ20" s="319" t="s">
        <v>190</v>
      </c>
      <c r="ER20" s="319" t="s">
        <v>190</v>
      </c>
      <c r="ES20" s="319" t="s">
        <v>190</v>
      </c>
      <c r="ET20" s="319" t="s">
        <v>190</v>
      </c>
      <c r="EU20" s="319" t="s">
        <v>190</v>
      </c>
      <c r="EV20" s="319" t="s">
        <v>190</v>
      </c>
      <c r="EW20" s="319" t="s">
        <v>190</v>
      </c>
      <c r="EX20" s="319" t="s">
        <v>190</v>
      </c>
      <c r="EY20" s="319" t="s">
        <v>190</v>
      </c>
      <c r="EZ20" s="319" t="s">
        <v>190</v>
      </c>
      <c r="FA20" s="319" t="s">
        <v>190</v>
      </c>
      <c r="FB20" s="319" t="s">
        <v>190</v>
      </c>
      <c r="FC20" s="319" t="s">
        <v>190</v>
      </c>
      <c r="FD20" s="319" t="s">
        <v>190</v>
      </c>
      <c r="FE20" s="319" t="s">
        <v>190</v>
      </c>
      <c r="FF20" s="319" t="s">
        <v>190</v>
      </c>
      <c r="FG20" s="319" t="s">
        <v>190</v>
      </c>
      <c r="FH20" s="319" t="s">
        <v>190</v>
      </c>
      <c r="FI20" s="319" t="s">
        <v>190</v>
      </c>
      <c r="FJ20" s="319" t="s">
        <v>190</v>
      </c>
      <c r="FK20" s="319" t="s">
        <v>190</v>
      </c>
      <c r="FL20" s="319" t="s">
        <v>190</v>
      </c>
      <c r="FM20" s="319" t="s">
        <v>190</v>
      </c>
      <c r="FN20" s="319" t="s">
        <v>190</v>
      </c>
      <c r="FO20" s="319" t="s">
        <v>190</v>
      </c>
      <c r="FP20" s="319" t="s">
        <v>190</v>
      </c>
      <c r="FQ20" s="319" t="s">
        <v>190</v>
      </c>
      <c r="FR20" s="319" t="s">
        <v>190</v>
      </c>
      <c r="FS20" s="319" t="s">
        <v>190</v>
      </c>
      <c r="FT20" s="319" t="s">
        <v>190</v>
      </c>
      <c r="FU20" s="319" t="s">
        <v>190</v>
      </c>
      <c r="FV20" s="319" t="s">
        <v>190</v>
      </c>
      <c r="FW20" s="319" t="s">
        <v>190</v>
      </c>
      <c r="FX20" s="319" t="s">
        <v>190</v>
      </c>
      <c r="FY20" s="319" t="s">
        <v>190</v>
      </c>
      <c r="FZ20" s="319" t="s">
        <v>190</v>
      </c>
      <c r="GA20" s="319" t="s">
        <v>190</v>
      </c>
      <c r="GB20" s="319" t="s">
        <v>190</v>
      </c>
      <c r="GC20" s="319" t="s">
        <v>190</v>
      </c>
      <c r="GD20" s="319" t="s">
        <v>190</v>
      </c>
      <c r="GE20" s="319" t="s">
        <v>190</v>
      </c>
      <c r="GF20" s="319" t="s">
        <v>190</v>
      </c>
      <c r="GG20" s="319" t="s">
        <v>190</v>
      </c>
      <c r="GH20" s="319" t="s">
        <v>190</v>
      </c>
      <c r="GI20" s="319" t="s">
        <v>190</v>
      </c>
      <c r="GJ20" s="319" t="s">
        <v>190</v>
      </c>
      <c r="GK20" s="319" t="s">
        <v>428</v>
      </c>
      <c r="GL20" s="319" t="s">
        <v>190</v>
      </c>
      <c r="GM20" s="319" t="s">
        <v>190</v>
      </c>
      <c r="GN20" s="319" t="s">
        <v>190</v>
      </c>
      <c r="GO20" s="319" t="s">
        <v>190</v>
      </c>
      <c r="GP20" s="319" t="s">
        <v>190</v>
      </c>
      <c r="GQ20" s="319" t="s">
        <v>428</v>
      </c>
      <c r="GR20" s="319" t="s">
        <v>190</v>
      </c>
      <c r="GS20" s="319" t="s">
        <v>190</v>
      </c>
      <c r="GT20" s="319" t="s">
        <v>428</v>
      </c>
      <c r="GU20" s="319" t="s">
        <v>190</v>
      </c>
      <c r="GV20" s="319" t="s">
        <v>190</v>
      </c>
      <c r="GW20" s="319" t="s">
        <v>190</v>
      </c>
      <c r="GX20" s="319" t="s">
        <v>190</v>
      </c>
      <c r="GY20" s="319" t="s">
        <v>190</v>
      </c>
      <c r="GZ20" s="319" t="s">
        <v>428</v>
      </c>
      <c r="HA20" s="319" t="s">
        <v>190</v>
      </c>
      <c r="HB20" s="319" t="s">
        <v>428</v>
      </c>
      <c r="HC20" s="319" t="s">
        <v>190</v>
      </c>
      <c r="HD20" s="319" t="s">
        <v>190</v>
      </c>
      <c r="HE20" s="319" t="s">
        <v>190</v>
      </c>
      <c r="HF20" s="319" t="s">
        <v>190</v>
      </c>
      <c r="HG20" s="319" t="s">
        <v>190</v>
      </c>
      <c r="HH20" s="319" t="s">
        <v>190</v>
      </c>
      <c r="HI20" s="319" t="s">
        <v>190</v>
      </c>
      <c r="HJ20" s="319" t="s">
        <v>190</v>
      </c>
      <c r="HK20" s="319" t="s">
        <v>190</v>
      </c>
      <c r="HL20" s="319" t="s">
        <v>190</v>
      </c>
      <c r="HM20" s="319" t="s">
        <v>428</v>
      </c>
      <c r="HN20" s="319" t="s">
        <v>428</v>
      </c>
      <c r="HO20" s="319" t="s">
        <v>428</v>
      </c>
      <c r="HP20" s="319" t="s">
        <v>190</v>
      </c>
      <c r="HQ20" s="319" t="s">
        <v>190</v>
      </c>
      <c r="HR20" s="319" t="s">
        <v>190</v>
      </c>
      <c r="HS20" s="319" t="s">
        <v>190</v>
      </c>
      <c r="HT20" s="319" t="s">
        <v>190</v>
      </c>
      <c r="HU20" s="319" t="s">
        <v>190</v>
      </c>
      <c r="HV20" s="319" t="s">
        <v>190</v>
      </c>
      <c r="HW20" s="319" t="s">
        <v>190</v>
      </c>
      <c r="HX20" s="319" t="s">
        <v>190</v>
      </c>
      <c r="HY20" s="319" t="s">
        <v>190</v>
      </c>
      <c r="HZ20" s="319" t="s">
        <v>190</v>
      </c>
      <c r="IA20" s="319" t="s">
        <v>190</v>
      </c>
      <c r="IB20" s="319" t="s">
        <v>190</v>
      </c>
      <c r="IC20" s="319" t="s">
        <v>190</v>
      </c>
      <c r="ID20" s="319" t="s">
        <v>190</v>
      </c>
      <c r="IE20" s="319" t="s">
        <v>190</v>
      </c>
      <c r="IF20" s="319" t="s">
        <v>190</v>
      </c>
      <c r="IG20" s="319" t="s">
        <v>190</v>
      </c>
      <c r="IH20" s="319" t="s">
        <v>190</v>
      </c>
      <c r="II20" s="319" t="s">
        <v>190</v>
      </c>
      <c r="IJ20" s="319" t="s">
        <v>2783</v>
      </c>
      <c r="IK20" s="321">
        <v>40626</v>
      </c>
      <c r="IL20" s="321">
        <v>40626</v>
      </c>
      <c r="IM20" s="321">
        <v>40666</v>
      </c>
      <c r="IN20" s="319">
        <v>2</v>
      </c>
      <c r="IO20" s="319" t="s">
        <v>173</v>
      </c>
      <c r="IP20" s="319" t="s">
        <v>173</v>
      </c>
      <c r="IQ20" s="321" t="s">
        <v>173</v>
      </c>
      <c r="IR20" s="320" t="s">
        <v>173</v>
      </c>
      <c r="IS20" s="322" t="s">
        <v>173</v>
      </c>
      <c r="IT20" s="319" t="s">
        <v>173</v>
      </c>
    </row>
    <row r="21" spans="1:254" s="271" customFormat="1" x14ac:dyDescent="0.25">
      <c r="A21" s="318" t="str">
        <f>HYPERLINK("http://www.ofsted.gov.uk/inspection-reports/find-inspection-report/provider/ELS/100371 ","Ofsted School Webpage")</f>
        <v>Ofsted School Webpage</v>
      </c>
      <c r="B21" s="319">
        <v>100371</v>
      </c>
      <c r="C21" s="319">
        <v>2056359</v>
      </c>
      <c r="D21" s="319" t="s">
        <v>1226</v>
      </c>
      <c r="E21" s="319" t="s">
        <v>167</v>
      </c>
      <c r="F21" s="319" t="s">
        <v>81</v>
      </c>
      <c r="G21" s="319" t="s">
        <v>81</v>
      </c>
      <c r="H21" s="319" t="s">
        <v>81</v>
      </c>
      <c r="I21" s="319" t="s">
        <v>78</v>
      </c>
      <c r="J21" s="319" t="s">
        <v>424</v>
      </c>
      <c r="K21" s="319" t="s">
        <v>441</v>
      </c>
      <c r="L21" s="319" t="s">
        <v>441</v>
      </c>
      <c r="M21" s="319" t="s">
        <v>768</v>
      </c>
      <c r="N21" s="319" t="s">
        <v>2784</v>
      </c>
      <c r="O21" s="319" t="s">
        <v>1227</v>
      </c>
      <c r="P21" s="319">
        <v>256</v>
      </c>
      <c r="Q21" s="319" t="s">
        <v>429</v>
      </c>
      <c r="R21" s="320">
        <v>10020717</v>
      </c>
      <c r="S21" s="321">
        <v>43179</v>
      </c>
      <c r="T21" s="321">
        <v>43181</v>
      </c>
      <c r="U21" s="321">
        <v>43229</v>
      </c>
      <c r="V21" s="319" t="s">
        <v>425</v>
      </c>
      <c r="W21" s="319" t="s">
        <v>2767</v>
      </c>
      <c r="X21" s="319">
        <v>1</v>
      </c>
      <c r="Y21" s="319" t="s">
        <v>173</v>
      </c>
      <c r="Z21" s="319" t="s">
        <v>173</v>
      </c>
      <c r="AA21" s="319" t="s">
        <v>173</v>
      </c>
      <c r="AB21" s="319">
        <v>1</v>
      </c>
      <c r="AC21" s="319" t="s">
        <v>169</v>
      </c>
      <c r="AD21" s="319">
        <v>1</v>
      </c>
      <c r="AE21" s="319" t="s">
        <v>173</v>
      </c>
      <c r="AF21" s="319" t="s">
        <v>427</v>
      </c>
      <c r="AG21" s="319" t="s">
        <v>171</v>
      </c>
      <c r="AH21" s="319" t="s">
        <v>190</v>
      </c>
      <c r="AI21" s="319" t="s">
        <v>190</v>
      </c>
      <c r="AJ21" s="319" t="s">
        <v>190</v>
      </c>
      <c r="AK21" s="319" t="s">
        <v>190</v>
      </c>
      <c r="AL21" s="319" t="s">
        <v>190</v>
      </c>
      <c r="AM21" s="319" t="s">
        <v>190</v>
      </c>
      <c r="AN21" s="319" t="s">
        <v>190</v>
      </c>
      <c r="AO21" s="319" t="s">
        <v>190</v>
      </c>
      <c r="AP21" s="319" t="s">
        <v>190</v>
      </c>
      <c r="AQ21" s="319" t="s">
        <v>190</v>
      </c>
      <c r="AR21" s="319" t="s">
        <v>190</v>
      </c>
      <c r="AS21" s="319" t="s">
        <v>190</v>
      </c>
      <c r="AT21" s="319" t="s">
        <v>190</v>
      </c>
      <c r="AU21" s="319" t="s">
        <v>190</v>
      </c>
      <c r="AV21" s="319" t="s">
        <v>190</v>
      </c>
      <c r="AW21" s="319" t="s">
        <v>190</v>
      </c>
      <c r="AX21" s="319" t="s">
        <v>190</v>
      </c>
      <c r="AY21" s="319" t="s">
        <v>190</v>
      </c>
      <c r="AZ21" s="319" t="s">
        <v>190</v>
      </c>
      <c r="BA21" s="319" t="s">
        <v>190</v>
      </c>
      <c r="BB21" s="319" t="s">
        <v>428</v>
      </c>
      <c r="BC21" s="319" t="s">
        <v>428</v>
      </c>
      <c r="BD21" s="319" t="s">
        <v>428</v>
      </c>
      <c r="BE21" s="319" t="s">
        <v>428</v>
      </c>
      <c r="BF21" s="319" t="s">
        <v>190</v>
      </c>
      <c r="BG21" s="319" t="s">
        <v>190</v>
      </c>
      <c r="BH21" s="319" t="s">
        <v>190</v>
      </c>
      <c r="BI21" s="319" t="s">
        <v>190</v>
      </c>
      <c r="BJ21" s="319" t="s">
        <v>190</v>
      </c>
      <c r="BK21" s="319" t="s">
        <v>190</v>
      </c>
      <c r="BL21" s="319" t="s">
        <v>190</v>
      </c>
      <c r="BM21" s="319" t="s">
        <v>190</v>
      </c>
      <c r="BN21" s="319" t="s">
        <v>190</v>
      </c>
      <c r="BO21" s="319" t="s">
        <v>190</v>
      </c>
      <c r="BP21" s="319" t="s">
        <v>190</v>
      </c>
      <c r="BQ21" s="319" t="s">
        <v>190</v>
      </c>
      <c r="BR21" s="319" t="s">
        <v>190</v>
      </c>
      <c r="BS21" s="319" t="s">
        <v>190</v>
      </c>
      <c r="BT21" s="319" t="s">
        <v>190</v>
      </c>
      <c r="BU21" s="319" t="s">
        <v>190</v>
      </c>
      <c r="BV21" s="319" t="s">
        <v>190</v>
      </c>
      <c r="BW21" s="319" t="s">
        <v>190</v>
      </c>
      <c r="BX21" s="319" t="s">
        <v>190</v>
      </c>
      <c r="BY21" s="319" t="s">
        <v>190</v>
      </c>
      <c r="BZ21" s="319" t="s">
        <v>190</v>
      </c>
      <c r="CA21" s="319" t="s">
        <v>190</v>
      </c>
      <c r="CB21" s="319" t="s">
        <v>190</v>
      </c>
      <c r="CC21" s="319" t="s">
        <v>190</v>
      </c>
      <c r="CD21" s="319" t="s">
        <v>190</v>
      </c>
      <c r="CE21" s="319" t="s">
        <v>190</v>
      </c>
      <c r="CF21" s="319" t="s">
        <v>190</v>
      </c>
      <c r="CG21" s="319" t="s">
        <v>190</v>
      </c>
      <c r="CH21" s="319" t="s">
        <v>190</v>
      </c>
      <c r="CI21" s="319" t="s">
        <v>190</v>
      </c>
      <c r="CJ21" s="319" t="s">
        <v>190</v>
      </c>
      <c r="CK21" s="319" t="s">
        <v>190</v>
      </c>
      <c r="CL21" s="319" t="s">
        <v>190</v>
      </c>
      <c r="CM21" s="319" t="s">
        <v>190</v>
      </c>
      <c r="CN21" s="319" t="s">
        <v>428</v>
      </c>
      <c r="CO21" s="319" t="s">
        <v>428</v>
      </c>
      <c r="CP21" s="319" t="s">
        <v>428</v>
      </c>
      <c r="CQ21" s="319" t="s">
        <v>190</v>
      </c>
      <c r="CR21" s="319" t="s">
        <v>190</v>
      </c>
      <c r="CS21" s="319" t="s">
        <v>190</v>
      </c>
      <c r="CT21" s="319" t="s">
        <v>190</v>
      </c>
      <c r="CU21" s="319" t="s">
        <v>190</v>
      </c>
      <c r="CV21" s="319" t="s">
        <v>190</v>
      </c>
      <c r="CW21" s="319" t="s">
        <v>190</v>
      </c>
      <c r="CX21" s="319" t="s">
        <v>190</v>
      </c>
      <c r="CY21" s="319" t="s">
        <v>190</v>
      </c>
      <c r="CZ21" s="319" t="s">
        <v>190</v>
      </c>
      <c r="DA21" s="319" t="s">
        <v>190</v>
      </c>
      <c r="DB21" s="319" t="s">
        <v>190</v>
      </c>
      <c r="DC21" s="319" t="s">
        <v>190</v>
      </c>
      <c r="DD21" s="319" t="s">
        <v>190</v>
      </c>
      <c r="DE21" s="319" t="s">
        <v>190</v>
      </c>
      <c r="DF21" s="319" t="s">
        <v>190</v>
      </c>
      <c r="DG21" s="319" t="s">
        <v>190</v>
      </c>
      <c r="DH21" s="319" t="s">
        <v>190</v>
      </c>
      <c r="DI21" s="319" t="s">
        <v>190</v>
      </c>
      <c r="DJ21" s="319" t="s">
        <v>190</v>
      </c>
      <c r="DK21" s="319" t="s">
        <v>190</v>
      </c>
      <c r="DL21" s="319" t="s">
        <v>190</v>
      </c>
      <c r="DM21" s="319" t="s">
        <v>190</v>
      </c>
      <c r="DN21" s="319" t="s">
        <v>428</v>
      </c>
      <c r="DO21" s="319" t="s">
        <v>190</v>
      </c>
      <c r="DP21" s="319" t="s">
        <v>190</v>
      </c>
      <c r="DQ21" s="319" t="s">
        <v>190</v>
      </c>
      <c r="DR21" s="319" t="s">
        <v>190</v>
      </c>
      <c r="DS21" s="319" t="s">
        <v>190</v>
      </c>
      <c r="DT21" s="319" t="s">
        <v>190</v>
      </c>
      <c r="DU21" s="319" t="s">
        <v>190</v>
      </c>
      <c r="DV21" s="319" t="s">
        <v>173</v>
      </c>
      <c r="DW21" s="319" t="s">
        <v>190</v>
      </c>
      <c r="DX21" s="319" t="s">
        <v>190</v>
      </c>
      <c r="DY21" s="319" t="s">
        <v>190</v>
      </c>
      <c r="DZ21" s="319" t="s">
        <v>190</v>
      </c>
      <c r="EA21" s="319" t="s">
        <v>190</v>
      </c>
      <c r="EB21" s="319" t="s">
        <v>190</v>
      </c>
      <c r="EC21" s="319" t="s">
        <v>428</v>
      </c>
      <c r="ED21" s="319" t="s">
        <v>190</v>
      </c>
      <c r="EE21" s="319" t="s">
        <v>190</v>
      </c>
      <c r="EF21" s="319" t="s">
        <v>190</v>
      </c>
      <c r="EG21" s="319" t="s">
        <v>190</v>
      </c>
      <c r="EH21" s="319" t="s">
        <v>190</v>
      </c>
      <c r="EI21" s="319" t="s">
        <v>190</v>
      </c>
      <c r="EJ21" s="319" t="s">
        <v>190</v>
      </c>
      <c r="EK21" s="319" t="s">
        <v>190</v>
      </c>
      <c r="EL21" s="319" t="s">
        <v>190</v>
      </c>
      <c r="EM21" s="319" t="s">
        <v>190</v>
      </c>
      <c r="EN21" s="319" t="s">
        <v>190</v>
      </c>
      <c r="EO21" s="319" t="s">
        <v>190</v>
      </c>
      <c r="EP21" s="319" t="s">
        <v>190</v>
      </c>
      <c r="EQ21" s="319" t="s">
        <v>190</v>
      </c>
      <c r="ER21" s="319" t="s">
        <v>190</v>
      </c>
      <c r="ES21" s="319" t="s">
        <v>190</v>
      </c>
      <c r="ET21" s="319" t="s">
        <v>190</v>
      </c>
      <c r="EU21" s="319" t="s">
        <v>190</v>
      </c>
      <c r="EV21" s="319" t="s">
        <v>190</v>
      </c>
      <c r="EW21" s="319" t="s">
        <v>190</v>
      </c>
      <c r="EX21" s="319" t="s">
        <v>190</v>
      </c>
      <c r="EY21" s="319" t="s">
        <v>190</v>
      </c>
      <c r="EZ21" s="319" t="s">
        <v>190</v>
      </c>
      <c r="FA21" s="319" t="s">
        <v>190</v>
      </c>
      <c r="FB21" s="319" t="s">
        <v>190</v>
      </c>
      <c r="FC21" s="319" t="s">
        <v>190</v>
      </c>
      <c r="FD21" s="319" t="s">
        <v>190</v>
      </c>
      <c r="FE21" s="319" t="s">
        <v>190</v>
      </c>
      <c r="FF21" s="319" t="s">
        <v>190</v>
      </c>
      <c r="FG21" s="319" t="s">
        <v>190</v>
      </c>
      <c r="FH21" s="319" t="s">
        <v>190</v>
      </c>
      <c r="FI21" s="319" t="s">
        <v>190</v>
      </c>
      <c r="FJ21" s="319" t="s">
        <v>190</v>
      </c>
      <c r="FK21" s="319" t="s">
        <v>190</v>
      </c>
      <c r="FL21" s="319" t="s">
        <v>190</v>
      </c>
      <c r="FM21" s="319" t="s">
        <v>190</v>
      </c>
      <c r="FN21" s="319" t="s">
        <v>190</v>
      </c>
      <c r="FO21" s="319" t="s">
        <v>428</v>
      </c>
      <c r="FP21" s="319" t="s">
        <v>190</v>
      </c>
      <c r="FQ21" s="319" t="s">
        <v>190</v>
      </c>
      <c r="FR21" s="319" t="s">
        <v>190</v>
      </c>
      <c r="FS21" s="319" t="s">
        <v>428</v>
      </c>
      <c r="FT21" s="319" t="s">
        <v>190</v>
      </c>
      <c r="FU21" s="319" t="s">
        <v>190</v>
      </c>
      <c r="FV21" s="319" t="s">
        <v>190</v>
      </c>
      <c r="FW21" s="319" t="s">
        <v>190</v>
      </c>
      <c r="FX21" s="319" t="s">
        <v>190</v>
      </c>
      <c r="FY21" s="319" t="s">
        <v>190</v>
      </c>
      <c r="FZ21" s="319" t="s">
        <v>190</v>
      </c>
      <c r="GA21" s="319" t="s">
        <v>190</v>
      </c>
      <c r="GB21" s="319" t="s">
        <v>190</v>
      </c>
      <c r="GC21" s="319" t="s">
        <v>190</v>
      </c>
      <c r="GD21" s="319" t="s">
        <v>190</v>
      </c>
      <c r="GE21" s="319" t="s">
        <v>190</v>
      </c>
      <c r="GF21" s="319" t="s">
        <v>190</v>
      </c>
      <c r="GG21" s="319" t="s">
        <v>190</v>
      </c>
      <c r="GH21" s="319" t="s">
        <v>190</v>
      </c>
      <c r="GI21" s="319" t="s">
        <v>190</v>
      </c>
      <c r="GJ21" s="319" t="s">
        <v>190</v>
      </c>
      <c r="GK21" s="319" t="s">
        <v>428</v>
      </c>
      <c r="GL21" s="319" t="s">
        <v>190</v>
      </c>
      <c r="GM21" s="319" t="s">
        <v>190</v>
      </c>
      <c r="GN21" s="319" t="s">
        <v>190</v>
      </c>
      <c r="GO21" s="319" t="s">
        <v>190</v>
      </c>
      <c r="GP21" s="319" t="s">
        <v>190</v>
      </c>
      <c r="GQ21" s="319" t="s">
        <v>428</v>
      </c>
      <c r="GR21" s="319" t="s">
        <v>190</v>
      </c>
      <c r="GS21" s="319" t="s">
        <v>190</v>
      </c>
      <c r="GT21" s="319" t="s">
        <v>428</v>
      </c>
      <c r="GU21" s="319" t="s">
        <v>428</v>
      </c>
      <c r="GV21" s="319" t="s">
        <v>190</v>
      </c>
      <c r="GW21" s="319" t="s">
        <v>190</v>
      </c>
      <c r="GX21" s="319" t="s">
        <v>190</v>
      </c>
      <c r="GY21" s="319" t="s">
        <v>190</v>
      </c>
      <c r="GZ21" s="319" t="s">
        <v>428</v>
      </c>
      <c r="HA21" s="319" t="s">
        <v>190</v>
      </c>
      <c r="HB21" s="319" t="s">
        <v>190</v>
      </c>
      <c r="HC21" s="319" t="s">
        <v>190</v>
      </c>
      <c r="HD21" s="319" t="s">
        <v>190</v>
      </c>
      <c r="HE21" s="319" t="s">
        <v>190</v>
      </c>
      <c r="HF21" s="319" t="s">
        <v>190</v>
      </c>
      <c r="HG21" s="319" t="s">
        <v>190</v>
      </c>
      <c r="HH21" s="319" t="s">
        <v>190</v>
      </c>
      <c r="HI21" s="319" t="s">
        <v>190</v>
      </c>
      <c r="HJ21" s="319" t="s">
        <v>190</v>
      </c>
      <c r="HK21" s="319" t="s">
        <v>190</v>
      </c>
      <c r="HL21" s="319" t="s">
        <v>428</v>
      </c>
      <c r="HM21" s="319" t="s">
        <v>428</v>
      </c>
      <c r="HN21" s="319" t="s">
        <v>428</v>
      </c>
      <c r="HO21" s="319" t="s">
        <v>428</v>
      </c>
      <c r="HP21" s="319" t="s">
        <v>190</v>
      </c>
      <c r="HQ21" s="319" t="s">
        <v>190</v>
      </c>
      <c r="HR21" s="319" t="s">
        <v>190</v>
      </c>
      <c r="HS21" s="319" t="s">
        <v>190</v>
      </c>
      <c r="HT21" s="319" t="s">
        <v>190</v>
      </c>
      <c r="HU21" s="319" t="s">
        <v>190</v>
      </c>
      <c r="HV21" s="319" t="s">
        <v>190</v>
      </c>
      <c r="HW21" s="319" t="s">
        <v>190</v>
      </c>
      <c r="HX21" s="319" t="s">
        <v>190</v>
      </c>
      <c r="HY21" s="319" t="s">
        <v>190</v>
      </c>
      <c r="HZ21" s="319" t="s">
        <v>190</v>
      </c>
      <c r="IA21" s="319" t="s">
        <v>190</v>
      </c>
      <c r="IB21" s="319" t="s">
        <v>190</v>
      </c>
      <c r="IC21" s="319" t="s">
        <v>190</v>
      </c>
      <c r="ID21" s="319" t="s">
        <v>190</v>
      </c>
      <c r="IE21" s="319" t="s">
        <v>190</v>
      </c>
      <c r="IF21" s="319" t="s">
        <v>190</v>
      </c>
      <c r="IG21" s="319" t="s">
        <v>190</v>
      </c>
      <c r="IH21" s="319" t="s">
        <v>190</v>
      </c>
      <c r="II21" s="319" t="s">
        <v>190</v>
      </c>
      <c r="IJ21" s="319" t="s">
        <v>2785</v>
      </c>
      <c r="IK21" s="321">
        <v>40828</v>
      </c>
      <c r="IL21" s="321">
        <v>40829</v>
      </c>
      <c r="IM21" s="321">
        <v>40857</v>
      </c>
      <c r="IN21" s="319">
        <v>1</v>
      </c>
      <c r="IO21" s="319" t="s">
        <v>173</v>
      </c>
      <c r="IP21" s="319" t="s">
        <v>173</v>
      </c>
      <c r="IQ21" s="319" t="s">
        <v>173</v>
      </c>
      <c r="IR21" s="320" t="s">
        <v>173</v>
      </c>
      <c r="IS21" s="320" t="s">
        <v>173</v>
      </c>
      <c r="IT21" s="319" t="s">
        <v>173</v>
      </c>
    </row>
    <row r="22" spans="1:254" s="271" customFormat="1" x14ac:dyDescent="0.25">
      <c r="A22" s="318" t="str">
        <f>HYPERLINK("http://www.ofsted.gov.uk/inspection-reports/find-inspection-report/provider/ELS/100372 ","Ofsted School Webpage")</f>
        <v>Ofsted School Webpage</v>
      </c>
      <c r="B22" s="319">
        <v>100372</v>
      </c>
      <c r="C22" s="319">
        <v>2056382</v>
      </c>
      <c r="D22" s="319" t="s">
        <v>1228</v>
      </c>
      <c r="E22" s="319" t="s">
        <v>167</v>
      </c>
      <c r="F22" s="319" t="s">
        <v>71</v>
      </c>
      <c r="G22" s="319" t="s">
        <v>72</v>
      </c>
      <c r="H22" s="319" t="s">
        <v>71</v>
      </c>
      <c r="I22" s="319" t="s">
        <v>72</v>
      </c>
      <c r="J22" s="319" t="s">
        <v>424</v>
      </c>
      <c r="K22" s="319" t="s">
        <v>441</v>
      </c>
      <c r="L22" s="319" t="s">
        <v>441</v>
      </c>
      <c r="M22" s="319" t="s">
        <v>768</v>
      </c>
      <c r="N22" s="319" t="s">
        <v>2786</v>
      </c>
      <c r="O22" s="319" t="s">
        <v>1229</v>
      </c>
      <c r="P22" s="319">
        <v>79</v>
      </c>
      <c r="Q22" s="319" t="s">
        <v>2766</v>
      </c>
      <c r="R22" s="320">
        <v>10092437</v>
      </c>
      <c r="S22" s="321">
        <v>43641</v>
      </c>
      <c r="T22" s="321">
        <v>43643</v>
      </c>
      <c r="U22" s="321">
        <v>43655</v>
      </c>
      <c r="V22" s="319" t="s">
        <v>425</v>
      </c>
      <c r="W22" s="319" t="s">
        <v>2767</v>
      </c>
      <c r="X22" s="319">
        <v>3</v>
      </c>
      <c r="Y22" s="319" t="s">
        <v>173</v>
      </c>
      <c r="Z22" s="319" t="s">
        <v>173</v>
      </c>
      <c r="AA22" s="319" t="s">
        <v>173</v>
      </c>
      <c r="AB22" s="319">
        <v>3</v>
      </c>
      <c r="AC22" s="319" t="s">
        <v>169</v>
      </c>
      <c r="AD22" s="319">
        <v>3</v>
      </c>
      <c r="AE22" s="319" t="s">
        <v>173</v>
      </c>
      <c r="AF22" s="319" t="s">
        <v>427</v>
      </c>
      <c r="AG22" s="319" t="s">
        <v>171</v>
      </c>
      <c r="AH22" s="319" t="s">
        <v>190</v>
      </c>
      <c r="AI22" s="319" t="s">
        <v>190</v>
      </c>
      <c r="AJ22" s="319" t="s">
        <v>190</v>
      </c>
      <c r="AK22" s="319" t="s">
        <v>190</v>
      </c>
      <c r="AL22" s="319" t="s">
        <v>190</v>
      </c>
      <c r="AM22" s="319" t="s">
        <v>190</v>
      </c>
      <c r="AN22" s="319" t="s">
        <v>190</v>
      </c>
      <c r="AO22" s="319" t="s">
        <v>190</v>
      </c>
      <c r="AP22" s="319" t="s">
        <v>190</v>
      </c>
      <c r="AQ22" s="319" t="s">
        <v>190</v>
      </c>
      <c r="AR22" s="319" t="s">
        <v>190</v>
      </c>
      <c r="AS22" s="319" t="s">
        <v>190</v>
      </c>
      <c r="AT22" s="319" t="s">
        <v>190</v>
      </c>
      <c r="AU22" s="319" t="s">
        <v>190</v>
      </c>
      <c r="AV22" s="319" t="s">
        <v>190</v>
      </c>
      <c r="AW22" s="319" t="s">
        <v>190</v>
      </c>
      <c r="AX22" s="319" t="s">
        <v>428</v>
      </c>
      <c r="AY22" s="319" t="s">
        <v>190</v>
      </c>
      <c r="AZ22" s="319" t="s">
        <v>190</v>
      </c>
      <c r="BA22" s="319" t="s">
        <v>190</v>
      </c>
      <c r="BB22" s="319" t="s">
        <v>428</v>
      </c>
      <c r="BC22" s="319" t="s">
        <v>428</v>
      </c>
      <c r="BD22" s="319" t="s">
        <v>428</v>
      </c>
      <c r="BE22" s="319" t="s">
        <v>428</v>
      </c>
      <c r="BF22" s="319" t="s">
        <v>190</v>
      </c>
      <c r="BG22" s="319" t="s">
        <v>428</v>
      </c>
      <c r="BH22" s="319" t="s">
        <v>190</v>
      </c>
      <c r="BI22" s="319" t="s">
        <v>190</v>
      </c>
      <c r="BJ22" s="319" t="s">
        <v>190</v>
      </c>
      <c r="BK22" s="319" t="s">
        <v>190</v>
      </c>
      <c r="BL22" s="319" t="s">
        <v>190</v>
      </c>
      <c r="BM22" s="319" t="s">
        <v>190</v>
      </c>
      <c r="BN22" s="319" t="s">
        <v>190</v>
      </c>
      <c r="BO22" s="319" t="s">
        <v>190</v>
      </c>
      <c r="BP22" s="319" t="s">
        <v>190</v>
      </c>
      <c r="BQ22" s="319" t="s">
        <v>190</v>
      </c>
      <c r="BR22" s="319" t="s">
        <v>190</v>
      </c>
      <c r="BS22" s="319" t="s">
        <v>190</v>
      </c>
      <c r="BT22" s="319" t="s">
        <v>190</v>
      </c>
      <c r="BU22" s="319" t="s">
        <v>190</v>
      </c>
      <c r="BV22" s="319" t="s">
        <v>190</v>
      </c>
      <c r="BW22" s="319" t="s">
        <v>190</v>
      </c>
      <c r="BX22" s="319" t="s">
        <v>190</v>
      </c>
      <c r="BY22" s="319" t="s">
        <v>190</v>
      </c>
      <c r="BZ22" s="319" t="s">
        <v>190</v>
      </c>
      <c r="CA22" s="319" t="s">
        <v>190</v>
      </c>
      <c r="CB22" s="319" t="s">
        <v>190</v>
      </c>
      <c r="CC22" s="319" t="s">
        <v>190</v>
      </c>
      <c r="CD22" s="319" t="s">
        <v>190</v>
      </c>
      <c r="CE22" s="319" t="s">
        <v>190</v>
      </c>
      <c r="CF22" s="319" t="s">
        <v>190</v>
      </c>
      <c r="CG22" s="319" t="s">
        <v>190</v>
      </c>
      <c r="CH22" s="319" t="s">
        <v>190</v>
      </c>
      <c r="CI22" s="319" t="s">
        <v>190</v>
      </c>
      <c r="CJ22" s="319" t="s">
        <v>190</v>
      </c>
      <c r="CK22" s="319" t="s">
        <v>190</v>
      </c>
      <c r="CL22" s="319" t="s">
        <v>190</v>
      </c>
      <c r="CM22" s="319" t="s">
        <v>190</v>
      </c>
      <c r="CN22" s="319" t="s">
        <v>428</v>
      </c>
      <c r="CO22" s="319" t="s">
        <v>428</v>
      </c>
      <c r="CP22" s="319" t="s">
        <v>428</v>
      </c>
      <c r="CQ22" s="319" t="s">
        <v>190</v>
      </c>
      <c r="CR22" s="319" t="s">
        <v>190</v>
      </c>
      <c r="CS22" s="319" t="s">
        <v>190</v>
      </c>
      <c r="CT22" s="319" t="s">
        <v>190</v>
      </c>
      <c r="CU22" s="319" t="s">
        <v>190</v>
      </c>
      <c r="CV22" s="319" t="s">
        <v>190</v>
      </c>
      <c r="CW22" s="319" t="s">
        <v>190</v>
      </c>
      <c r="CX22" s="319" t="s">
        <v>190</v>
      </c>
      <c r="CY22" s="319" t="s">
        <v>190</v>
      </c>
      <c r="CZ22" s="319" t="s">
        <v>190</v>
      </c>
      <c r="DA22" s="319" t="s">
        <v>190</v>
      </c>
      <c r="DB22" s="319" t="s">
        <v>190</v>
      </c>
      <c r="DC22" s="319" t="s">
        <v>190</v>
      </c>
      <c r="DD22" s="319" t="s">
        <v>190</v>
      </c>
      <c r="DE22" s="319" t="s">
        <v>190</v>
      </c>
      <c r="DF22" s="319" t="s">
        <v>190</v>
      </c>
      <c r="DG22" s="319" t="s">
        <v>190</v>
      </c>
      <c r="DH22" s="319" t="s">
        <v>190</v>
      </c>
      <c r="DI22" s="319" t="s">
        <v>190</v>
      </c>
      <c r="DJ22" s="319" t="s">
        <v>190</v>
      </c>
      <c r="DK22" s="319" t="s">
        <v>190</v>
      </c>
      <c r="DL22" s="319" t="s">
        <v>190</v>
      </c>
      <c r="DM22" s="319" t="s">
        <v>190</v>
      </c>
      <c r="DN22" s="319" t="s">
        <v>428</v>
      </c>
      <c r="DO22" s="319" t="s">
        <v>190</v>
      </c>
      <c r="DP22" s="319" t="s">
        <v>428</v>
      </c>
      <c r="DQ22" s="319" t="s">
        <v>428</v>
      </c>
      <c r="DR22" s="319" t="s">
        <v>428</v>
      </c>
      <c r="DS22" s="319" t="s">
        <v>428</v>
      </c>
      <c r="DT22" s="319" t="s">
        <v>428</v>
      </c>
      <c r="DU22" s="319" t="s">
        <v>428</v>
      </c>
      <c r="DV22" s="319" t="s">
        <v>173</v>
      </c>
      <c r="DW22" s="319" t="s">
        <v>428</v>
      </c>
      <c r="DX22" s="319" t="s">
        <v>428</v>
      </c>
      <c r="DY22" s="319" t="s">
        <v>428</v>
      </c>
      <c r="DZ22" s="319" t="s">
        <v>428</v>
      </c>
      <c r="EA22" s="319" t="s">
        <v>428</v>
      </c>
      <c r="EB22" s="319" t="s">
        <v>428</v>
      </c>
      <c r="EC22" s="319" t="s">
        <v>428</v>
      </c>
      <c r="ED22" s="319" t="s">
        <v>190</v>
      </c>
      <c r="EE22" s="319" t="s">
        <v>190</v>
      </c>
      <c r="EF22" s="319" t="s">
        <v>190</v>
      </c>
      <c r="EG22" s="319" t="s">
        <v>190</v>
      </c>
      <c r="EH22" s="319" t="s">
        <v>190</v>
      </c>
      <c r="EI22" s="319" t="s">
        <v>190</v>
      </c>
      <c r="EJ22" s="319" t="s">
        <v>190</v>
      </c>
      <c r="EK22" s="319" t="s">
        <v>190</v>
      </c>
      <c r="EL22" s="319" t="s">
        <v>190</v>
      </c>
      <c r="EM22" s="319" t="s">
        <v>190</v>
      </c>
      <c r="EN22" s="319" t="s">
        <v>190</v>
      </c>
      <c r="EO22" s="319" t="s">
        <v>190</v>
      </c>
      <c r="EP22" s="319" t="s">
        <v>190</v>
      </c>
      <c r="EQ22" s="319" t="s">
        <v>190</v>
      </c>
      <c r="ER22" s="319" t="s">
        <v>190</v>
      </c>
      <c r="ES22" s="319" t="s">
        <v>190</v>
      </c>
      <c r="ET22" s="319" t="s">
        <v>190</v>
      </c>
      <c r="EU22" s="319" t="s">
        <v>190</v>
      </c>
      <c r="EV22" s="319" t="s">
        <v>190</v>
      </c>
      <c r="EW22" s="319" t="s">
        <v>190</v>
      </c>
      <c r="EX22" s="319" t="s">
        <v>190</v>
      </c>
      <c r="EY22" s="319" t="s">
        <v>190</v>
      </c>
      <c r="EZ22" s="319" t="s">
        <v>190</v>
      </c>
      <c r="FA22" s="319" t="s">
        <v>190</v>
      </c>
      <c r="FB22" s="319" t="s">
        <v>428</v>
      </c>
      <c r="FC22" s="319" t="s">
        <v>428</v>
      </c>
      <c r="FD22" s="319" t="s">
        <v>428</v>
      </c>
      <c r="FE22" s="319" t="s">
        <v>428</v>
      </c>
      <c r="FF22" s="319" t="s">
        <v>428</v>
      </c>
      <c r="FG22" s="319" t="s">
        <v>428</v>
      </c>
      <c r="FH22" s="319" t="s">
        <v>428</v>
      </c>
      <c r="FI22" s="319" t="s">
        <v>428</v>
      </c>
      <c r="FJ22" s="319" t="s">
        <v>429</v>
      </c>
      <c r="FK22" s="319" t="s">
        <v>428</v>
      </c>
      <c r="FL22" s="319" t="s">
        <v>190</v>
      </c>
      <c r="FM22" s="319" t="s">
        <v>190</v>
      </c>
      <c r="FN22" s="319" t="s">
        <v>190</v>
      </c>
      <c r="FO22" s="319" t="s">
        <v>428</v>
      </c>
      <c r="FP22" s="319" t="s">
        <v>190</v>
      </c>
      <c r="FQ22" s="319" t="s">
        <v>190</v>
      </c>
      <c r="FR22" s="319" t="s">
        <v>190</v>
      </c>
      <c r="FS22" s="319" t="s">
        <v>428</v>
      </c>
      <c r="FT22" s="319" t="s">
        <v>190</v>
      </c>
      <c r="FU22" s="319" t="s">
        <v>190</v>
      </c>
      <c r="FV22" s="319" t="s">
        <v>190</v>
      </c>
      <c r="FW22" s="319" t="s">
        <v>190</v>
      </c>
      <c r="FX22" s="319" t="s">
        <v>190</v>
      </c>
      <c r="FY22" s="319" t="s">
        <v>190</v>
      </c>
      <c r="FZ22" s="319" t="s">
        <v>190</v>
      </c>
      <c r="GA22" s="319" t="s">
        <v>190</v>
      </c>
      <c r="GB22" s="319" t="s">
        <v>190</v>
      </c>
      <c r="GC22" s="319" t="s">
        <v>190</v>
      </c>
      <c r="GD22" s="319" t="s">
        <v>190</v>
      </c>
      <c r="GE22" s="319" t="s">
        <v>190</v>
      </c>
      <c r="GF22" s="319" t="s">
        <v>190</v>
      </c>
      <c r="GG22" s="319" t="s">
        <v>190</v>
      </c>
      <c r="GH22" s="319" t="s">
        <v>190</v>
      </c>
      <c r="GI22" s="319" t="s">
        <v>190</v>
      </c>
      <c r="GJ22" s="319" t="s">
        <v>190</v>
      </c>
      <c r="GK22" s="319" t="s">
        <v>428</v>
      </c>
      <c r="GL22" s="319" t="s">
        <v>190</v>
      </c>
      <c r="GM22" s="319" t="s">
        <v>190</v>
      </c>
      <c r="GN22" s="319" t="s">
        <v>190</v>
      </c>
      <c r="GO22" s="319" t="s">
        <v>190</v>
      </c>
      <c r="GP22" s="319" t="s">
        <v>190</v>
      </c>
      <c r="GQ22" s="319" t="s">
        <v>428</v>
      </c>
      <c r="GR22" s="319" t="s">
        <v>190</v>
      </c>
      <c r="GS22" s="319" t="s">
        <v>190</v>
      </c>
      <c r="GT22" s="319" t="s">
        <v>428</v>
      </c>
      <c r="GU22" s="319" t="s">
        <v>428</v>
      </c>
      <c r="GV22" s="319" t="s">
        <v>190</v>
      </c>
      <c r="GW22" s="319" t="s">
        <v>190</v>
      </c>
      <c r="GX22" s="319" t="s">
        <v>190</v>
      </c>
      <c r="GY22" s="319" t="s">
        <v>190</v>
      </c>
      <c r="GZ22" s="319" t="s">
        <v>190</v>
      </c>
      <c r="HA22" s="319" t="s">
        <v>428</v>
      </c>
      <c r="HB22" s="319" t="s">
        <v>428</v>
      </c>
      <c r="HC22" s="319" t="s">
        <v>190</v>
      </c>
      <c r="HD22" s="319" t="s">
        <v>190</v>
      </c>
      <c r="HE22" s="319" t="s">
        <v>190</v>
      </c>
      <c r="HF22" s="319" t="s">
        <v>190</v>
      </c>
      <c r="HG22" s="319" t="s">
        <v>190</v>
      </c>
      <c r="HH22" s="319" t="s">
        <v>190</v>
      </c>
      <c r="HI22" s="319" t="s">
        <v>190</v>
      </c>
      <c r="HJ22" s="319" t="s">
        <v>190</v>
      </c>
      <c r="HK22" s="319" t="s">
        <v>190</v>
      </c>
      <c r="HL22" s="319" t="s">
        <v>428</v>
      </c>
      <c r="HM22" s="319" t="s">
        <v>428</v>
      </c>
      <c r="HN22" s="319" t="s">
        <v>428</v>
      </c>
      <c r="HO22" s="319" t="s">
        <v>428</v>
      </c>
      <c r="HP22" s="319" t="s">
        <v>190</v>
      </c>
      <c r="HQ22" s="319" t="s">
        <v>190</v>
      </c>
      <c r="HR22" s="319" t="s">
        <v>190</v>
      </c>
      <c r="HS22" s="319" t="s">
        <v>190</v>
      </c>
      <c r="HT22" s="319" t="s">
        <v>190</v>
      </c>
      <c r="HU22" s="319" t="s">
        <v>190</v>
      </c>
      <c r="HV22" s="319" t="s">
        <v>190</v>
      </c>
      <c r="HW22" s="319" t="s">
        <v>190</v>
      </c>
      <c r="HX22" s="319" t="s">
        <v>190</v>
      </c>
      <c r="HY22" s="319" t="s">
        <v>190</v>
      </c>
      <c r="HZ22" s="319" t="s">
        <v>190</v>
      </c>
      <c r="IA22" s="319" t="s">
        <v>190</v>
      </c>
      <c r="IB22" s="319" t="s">
        <v>190</v>
      </c>
      <c r="IC22" s="319" t="s">
        <v>190</v>
      </c>
      <c r="ID22" s="319" t="s">
        <v>190</v>
      </c>
      <c r="IE22" s="319" t="s">
        <v>190</v>
      </c>
      <c r="IF22" s="319" t="s">
        <v>190</v>
      </c>
      <c r="IG22" s="319" t="s">
        <v>190</v>
      </c>
      <c r="IH22" s="319" t="s">
        <v>190</v>
      </c>
      <c r="II22" s="319" t="s">
        <v>190</v>
      </c>
      <c r="IJ22" s="319">
        <v>10035773</v>
      </c>
      <c r="IK22" s="321">
        <v>42990</v>
      </c>
      <c r="IL22" s="321">
        <v>42992</v>
      </c>
      <c r="IM22" s="321">
        <v>43201</v>
      </c>
      <c r="IN22" s="319">
        <v>3</v>
      </c>
      <c r="IO22" s="319" t="s">
        <v>173</v>
      </c>
      <c r="IP22" s="319" t="s">
        <v>173</v>
      </c>
      <c r="IQ22" s="321" t="s">
        <v>173</v>
      </c>
      <c r="IR22" s="320" t="s">
        <v>173</v>
      </c>
      <c r="IS22" s="322" t="s">
        <v>173</v>
      </c>
      <c r="IT22" s="319" t="s">
        <v>173</v>
      </c>
    </row>
    <row r="23" spans="1:254" s="271" customFormat="1" x14ac:dyDescent="0.25">
      <c r="A23" s="318" t="str">
        <f>HYPERLINK("http://www.ofsted.gov.uk/inspection-reports/find-inspection-report/provider/ELS/100375 ","Ofsted School Webpage")</f>
        <v>Ofsted School Webpage</v>
      </c>
      <c r="B23" s="319">
        <v>100375</v>
      </c>
      <c r="C23" s="319">
        <v>2056386</v>
      </c>
      <c r="D23" s="319" t="s">
        <v>1230</v>
      </c>
      <c r="E23" s="319" t="s">
        <v>167</v>
      </c>
      <c r="F23" s="319" t="s">
        <v>81</v>
      </c>
      <c r="G23" s="319" t="s">
        <v>81</v>
      </c>
      <c r="H23" s="319" t="s">
        <v>81</v>
      </c>
      <c r="I23" s="319" t="s">
        <v>78</v>
      </c>
      <c r="J23" s="319" t="s">
        <v>424</v>
      </c>
      <c r="K23" s="319" t="s">
        <v>441</v>
      </c>
      <c r="L23" s="319" t="s">
        <v>441</v>
      </c>
      <c r="M23" s="319" t="s">
        <v>768</v>
      </c>
      <c r="N23" s="319" t="s">
        <v>2786</v>
      </c>
      <c r="O23" s="319" t="s">
        <v>1231</v>
      </c>
      <c r="P23" s="319">
        <v>129</v>
      </c>
      <c r="Q23" s="319" t="s">
        <v>2766</v>
      </c>
      <c r="R23" s="320">
        <v>10008534</v>
      </c>
      <c r="S23" s="321">
        <v>43060</v>
      </c>
      <c r="T23" s="321">
        <v>43062</v>
      </c>
      <c r="U23" s="321">
        <v>43096</v>
      </c>
      <c r="V23" s="319" t="s">
        <v>425</v>
      </c>
      <c r="W23" s="319" t="s">
        <v>2767</v>
      </c>
      <c r="X23" s="319">
        <v>1</v>
      </c>
      <c r="Y23" s="319" t="s">
        <v>173</v>
      </c>
      <c r="Z23" s="319" t="s">
        <v>173</v>
      </c>
      <c r="AA23" s="319" t="s">
        <v>173</v>
      </c>
      <c r="AB23" s="319">
        <v>1</v>
      </c>
      <c r="AC23" s="319" t="s">
        <v>169</v>
      </c>
      <c r="AD23" s="319">
        <v>1</v>
      </c>
      <c r="AE23" s="319" t="s">
        <v>173</v>
      </c>
      <c r="AF23" s="319" t="s">
        <v>173</v>
      </c>
      <c r="AG23" s="319" t="s">
        <v>171</v>
      </c>
      <c r="AH23" s="319" t="s">
        <v>190</v>
      </c>
      <c r="AI23" s="319" t="s">
        <v>190</v>
      </c>
      <c r="AJ23" s="319" t="s">
        <v>190</v>
      </c>
      <c r="AK23" s="319" t="s">
        <v>190</v>
      </c>
      <c r="AL23" s="319" t="s">
        <v>190</v>
      </c>
      <c r="AM23" s="319" t="s">
        <v>190</v>
      </c>
      <c r="AN23" s="319" t="s">
        <v>190</v>
      </c>
      <c r="AO23" s="319" t="s">
        <v>190</v>
      </c>
      <c r="AP23" s="319" t="s">
        <v>190</v>
      </c>
      <c r="AQ23" s="319" t="s">
        <v>190</v>
      </c>
      <c r="AR23" s="319" t="s">
        <v>190</v>
      </c>
      <c r="AS23" s="319" t="s">
        <v>190</v>
      </c>
      <c r="AT23" s="319" t="s">
        <v>190</v>
      </c>
      <c r="AU23" s="319" t="s">
        <v>190</v>
      </c>
      <c r="AV23" s="319" t="s">
        <v>190</v>
      </c>
      <c r="AW23" s="319" t="s">
        <v>190</v>
      </c>
      <c r="AX23" s="319" t="s">
        <v>190</v>
      </c>
      <c r="AY23" s="319" t="s">
        <v>190</v>
      </c>
      <c r="AZ23" s="319" t="s">
        <v>190</v>
      </c>
      <c r="BA23" s="319" t="s">
        <v>190</v>
      </c>
      <c r="BB23" s="319" t="s">
        <v>429</v>
      </c>
      <c r="BC23" s="319" t="s">
        <v>429</v>
      </c>
      <c r="BD23" s="319" t="s">
        <v>429</v>
      </c>
      <c r="BE23" s="319" t="s">
        <v>429</v>
      </c>
      <c r="BF23" s="319" t="s">
        <v>190</v>
      </c>
      <c r="BG23" s="319" t="s">
        <v>190</v>
      </c>
      <c r="BH23" s="319" t="s">
        <v>190</v>
      </c>
      <c r="BI23" s="319" t="s">
        <v>190</v>
      </c>
      <c r="BJ23" s="319" t="s">
        <v>190</v>
      </c>
      <c r="BK23" s="319" t="s">
        <v>190</v>
      </c>
      <c r="BL23" s="319" t="s">
        <v>190</v>
      </c>
      <c r="BM23" s="319" t="s">
        <v>190</v>
      </c>
      <c r="BN23" s="319" t="s">
        <v>190</v>
      </c>
      <c r="BO23" s="319" t="s">
        <v>190</v>
      </c>
      <c r="BP23" s="319" t="s">
        <v>190</v>
      </c>
      <c r="BQ23" s="319" t="s">
        <v>190</v>
      </c>
      <c r="BR23" s="319" t="s">
        <v>190</v>
      </c>
      <c r="BS23" s="319" t="s">
        <v>190</v>
      </c>
      <c r="BT23" s="319" t="s">
        <v>190</v>
      </c>
      <c r="BU23" s="319" t="s">
        <v>190</v>
      </c>
      <c r="BV23" s="319" t="s">
        <v>190</v>
      </c>
      <c r="BW23" s="319" t="s">
        <v>190</v>
      </c>
      <c r="BX23" s="319" t="s">
        <v>190</v>
      </c>
      <c r="BY23" s="319" t="s">
        <v>190</v>
      </c>
      <c r="BZ23" s="319" t="s">
        <v>190</v>
      </c>
      <c r="CA23" s="319" t="s">
        <v>190</v>
      </c>
      <c r="CB23" s="319" t="s">
        <v>190</v>
      </c>
      <c r="CC23" s="319" t="s">
        <v>190</v>
      </c>
      <c r="CD23" s="319" t="s">
        <v>190</v>
      </c>
      <c r="CE23" s="319" t="s">
        <v>190</v>
      </c>
      <c r="CF23" s="319" t="s">
        <v>190</v>
      </c>
      <c r="CG23" s="319" t="s">
        <v>190</v>
      </c>
      <c r="CH23" s="319" t="s">
        <v>190</v>
      </c>
      <c r="CI23" s="319" t="s">
        <v>190</v>
      </c>
      <c r="CJ23" s="319" t="s">
        <v>190</v>
      </c>
      <c r="CK23" s="319" t="s">
        <v>190</v>
      </c>
      <c r="CL23" s="319" t="s">
        <v>190</v>
      </c>
      <c r="CM23" s="319" t="s">
        <v>190</v>
      </c>
      <c r="CN23" s="319" t="s">
        <v>190</v>
      </c>
      <c r="CO23" s="319" t="s">
        <v>190</v>
      </c>
      <c r="CP23" s="319" t="s">
        <v>190</v>
      </c>
      <c r="CQ23" s="319" t="s">
        <v>190</v>
      </c>
      <c r="CR23" s="319" t="s">
        <v>190</v>
      </c>
      <c r="CS23" s="319" t="s">
        <v>190</v>
      </c>
      <c r="CT23" s="319" t="s">
        <v>190</v>
      </c>
      <c r="CU23" s="319" t="s">
        <v>190</v>
      </c>
      <c r="CV23" s="319" t="s">
        <v>190</v>
      </c>
      <c r="CW23" s="319" t="s">
        <v>190</v>
      </c>
      <c r="CX23" s="319" t="s">
        <v>190</v>
      </c>
      <c r="CY23" s="319" t="s">
        <v>190</v>
      </c>
      <c r="CZ23" s="319" t="s">
        <v>190</v>
      </c>
      <c r="DA23" s="319" t="s">
        <v>190</v>
      </c>
      <c r="DB23" s="319" t="s">
        <v>190</v>
      </c>
      <c r="DC23" s="319" t="s">
        <v>190</v>
      </c>
      <c r="DD23" s="319" t="s">
        <v>190</v>
      </c>
      <c r="DE23" s="319" t="s">
        <v>190</v>
      </c>
      <c r="DF23" s="319" t="s">
        <v>190</v>
      </c>
      <c r="DG23" s="319" t="s">
        <v>190</v>
      </c>
      <c r="DH23" s="319" t="s">
        <v>190</v>
      </c>
      <c r="DI23" s="319" t="s">
        <v>190</v>
      </c>
      <c r="DJ23" s="319" t="s">
        <v>190</v>
      </c>
      <c r="DK23" s="319" t="s">
        <v>190</v>
      </c>
      <c r="DL23" s="319" t="s">
        <v>190</v>
      </c>
      <c r="DM23" s="319" t="s">
        <v>190</v>
      </c>
      <c r="DN23" s="319" t="s">
        <v>190</v>
      </c>
      <c r="DO23" s="319" t="s">
        <v>190</v>
      </c>
      <c r="DP23" s="319" t="s">
        <v>190</v>
      </c>
      <c r="DQ23" s="319" t="s">
        <v>190</v>
      </c>
      <c r="DR23" s="319" t="s">
        <v>190</v>
      </c>
      <c r="DS23" s="319" t="s">
        <v>190</v>
      </c>
      <c r="DT23" s="319" t="s">
        <v>190</v>
      </c>
      <c r="DU23" s="319" t="s">
        <v>190</v>
      </c>
      <c r="DV23" s="319" t="s">
        <v>173</v>
      </c>
      <c r="DW23" s="319" t="s">
        <v>190</v>
      </c>
      <c r="DX23" s="319" t="s">
        <v>190</v>
      </c>
      <c r="DY23" s="319" t="s">
        <v>190</v>
      </c>
      <c r="DZ23" s="319" t="s">
        <v>190</v>
      </c>
      <c r="EA23" s="319" t="s">
        <v>190</v>
      </c>
      <c r="EB23" s="319" t="s">
        <v>190</v>
      </c>
      <c r="EC23" s="319" t="s">
        <v>190</v>
      </c>
      <c r="ED23" s="319" t="s">
        <v>190</v>
      </c>
      <c r="EE23" s="319" t="s">
        <v>190</v>
      </c>
      <c r="EF23" s="319" t="s">
        <v>190</v>
      </c>
      <c r="EG23" s="319" t="s">
        <v>190</v>
      </c>
      <c r="EH23" s="319" t="s">
        <v>190</v>
      </c>
      <c r="EI23" s="319" t="s">
        <v>190</v>
      </c>
      <c r="EJ23" s="319" t="s">
        <v>190</v>
      </c>
      <c r="EK23" s="319" t="s">
        <v>190</v>
      </c>
      <c r="EL23" s="319" t="s">
        <v>190</v>
      </c>
      <c r="EM23" s="319" t="s">
        <v>190</v>
      </c>
      <c r="EN23" s="319" t="s">
        <v>190</v>
      </c>
      <c r="EO23" s="319" t="s">
        <v>190</v>
      </c>
      <c r="EP23" s="319" t="s">
        <v>190</v>
      </c>
      <c r="EQ23" s="319" t="s">
        <v>190</v>
      </c>
      <c r="ER23" s="319" t="s">
        <v>190</v>
      </c>
      <c r="ES23" s="319" t="s">
        <v>190</v>
      </c>
      <c r="ET23" s="319" t="s">
        <v>190</v>
      </c>
      <c r="EU23" s="319" t="s">
        <v>190</v>
      </c>
      <c r="EV23" s="319" t="s">
        <v>190</v>
      </c>
      <c r="EW23" s="319" t="s">
        <v>190</v>
      </c>
      <c r="EX23" s="319" t="s">
        <v>190</v>
      </c>
      <c r="EY23" s="319" t="s">
        <v>190</v>
      </c>
      <c r="EZ23" s="319" t="s">
        <v>190</v>
      </c>
      <c r="FA23" s="319" t="s">
        <v>190</v>
      </c>
      <c r="FB23" s="319" t="s">
        <v>190</v>
      </c>
      <c r="FC23" s="319" t="s">
        <v>190</v>
      </c>
      <c r="FD23" s="319" t="s">
        <v>190</v>
      </c>
      <c r="FE23" s="319" t="s">
        <v>190</v>
      </c>
      <c r="FF23" s="319" t="s">
        <v>190</v>
      </c>
      <c r="FG23" s="319" t="s">
        <v>190</v>
      </c>
      <c r="FH23" s="319" t="s">
        <v>190</v>
      </c>
      <c r="FI23" s="319" t="s">
        <v>190</v>
      </c>
      <c r="FJ23" s="319" t="s">
        <v>190</v>
      </c>
      <c r="FK23" s="319" t="s">
        <v>190</v>
      </c>
      <c r="FL23" s="319" t="s">
        <v>190</v>
      </c>
      <c r="FM23" s="319" t="s">
        <v>190</v>
      </c>
      <c r="FN23" s="319" t="s">
        <v>190</v>
      </c>
      <c r="FO23" s="319" t="s">
        <v>190</v>
      </c>
      <c r="FP23" s="319" t="s">
        <v>190</v>
      </c>
      <c r="FQ23" s="319" t="s">
        <v>190</v>
      </c>
      <c r="FR23" s="319" t="s">
        <v>190</v>
      </c>
      <c r="FS23" s="319" t="s">
        <v>190</v>
      </c>
      <c r="FT23" s="319" t="s">
        <v>190</v>
      </c>
      <c r="FU23" s="319" t="s">
        <v>190</v>
      </c>
      <c r="FV23" s="319" t="s">
        <v>190</v>
      </c>
      <c r="FW23" s="319" t="s">
        <v>190</v>
      </c>
      <c r="FX23" s="319" t="s">
        <v>190</v>
      </c>
      <c r="FY23" s="319" t="s">
        <v>190</v>
      </c>
      <c r="FZ23" s="319" t="s">
        <v>190</v>
      </c>
      <c r="GA23" s="319" t="s">
        <v>190</v>
      </c>
      <c r="GB23" s="319" t="s">
        <v>190</v>
      </c>
      <c r="GC23" s="319" t="s">
        <v>190</v>
      </c>
      <c r="GD23" s="319" t="s">
        <v>190</v>
      </c>
      <c r="GE23" s="319" t="s">
        <v>190</v>
      </c>
      <c r="GF23" s="319" t="s">
        <v>190</v>
      </c>
      <c r="GG23" s="319" t="s">
        <v>190</v>
      </c>
      <c r="GH23" s="319" t="s">
        <v>190</v>
      </c>
      <c r="GI23" s="319" t="s">
        <v>190</v>
      </c>
      <c r="GJ23" s="319" t="s">
        <v>190</v>
      </c>
      <c r="GK23" s="319" t="s">
        <v>190</v>
      </c>
      <c r="GL23" s="319" t="s">
        <v>190</v>
      </c>
      <c r="GM23" s="319" t="s">
        <v>190</v>
      </c>
      <c r="GN23" s="319" t="s">
        <v>190</v>
      </c>
      <c r="GO23" s="319" t="s">
        <v>190</v>
      </c>
      <c r="GP23" s="319" t="s">
        <v>190</v>
      </c>
      <c r="GQ23" s="319" t="s">
        <v>190</v>
      </c>
      <c r="GR23" s="319" t="s">
        <v>190</v>
      </c>
      <c r="GS23" s="319" t="s">
        <v>190</v>
      </c>
      <c r="GT23" s="319" t="s">
        <v>190</v>
      </c>
      <c r="GU23" s="319" t="s">
        <v>190</v>
      </c>
      <c r="GV23" s="319" t="s">
        <v>190</v>
      </c>
      <c r="GW23" s="319" t="s">
        <v>190</v>
      </c>
      <c r="GX23" s="319" t="s">
        <v>190</v>
      </c>
      <c r="GY23" s="319" t="s">
        <v>190</v>
      </c>
      <c r="GZ23" s="319" t="s">
        <v>190</v>
      </c>
      <c r="HA23" s="319" t="s">
        <v>190</v>
      </c>
      <c r="HB23" s="319" t="s">
        <v>190</v>
      </c>
      <c r="HC23" s="319" t="s">
        <v>190</v>
      </c>
      <c r="HD23" s="319" t="s">
        <v>190</v>
      </c>
      <c r="HE23" s="319" t="s">
        <v>190</v>
      </c>
      <c r="HF23" s="319" t="s">
        <v>190</v>
      </c>
      <c r="HG23" s="319" t="s">
        <v>190</v>
      </c>
      <c r="HH23" s="319" t="s">
        <v>190</v>
      </c>
      <c r="HI23" s="319" t="s">
        <v>190</v>
      </c>
      <c r="HJ23" s="319" t="s">
        <v>190</v>
      </c>
      <c r="HK23" s="319" t="s">
        <v>190</v>
      </c>
      <c r="HL23" s="319" t="s">
        <v>190</v>
      </c>
      <c r="HM23" s="319" t="s">
        <v>190</v>
      </c>
      <c r="HN23" s="319" t="s">
        <v>190</v>
      </c>
      <c r="HO23" s="319" t="s">
        <v>190</v>
      </c>
      <c r="HP23" s="319" t="s">
        <v>190</v>
      </c>
      <c r="HQ23" s="319" t="s">
        <v>190</v>
      </c>
      <c r="HR23" s="319" t="s">
        <v>190</v>
      </c>
      <c r="HS23" s="319" t="s">
        <v>190</v>
      </c>
      <c r="HT23" s="319" t="s">
        <v>190</v>
      </c>
      <c r="HU23" s="319" t="s">
        <v>190</v>
      </c>
      <c r="HV23" s="319" t="s">
        <v>190</v>
      </c>
      <c r="HW23" s="319" t="s">
        <v>190</v>
      </c>
      <c r="HX23" s="319" t="s">
        <v>190</v>
      </c>
      <c r="HY23" s="319" t="s">
        <v>190</v>
      </c>
      <c r="HZ23" s="319" t="s">
        <v>190</v>
      </c>
      <c r="IA23" s="319" t="s">
        <v>190</v>
      </c>
      <c r="IB23" s="319" t="s">
        <v>190</v>
      </c>
      <c r="IC23" s="319" t="s">
        <v>190</v>
      </c>
      <c r="ID23" s="319" t="s">
        <v>190</v>
      </c>
      <c r="IE23" s="319" t="s">
        <v>190</v>
      </c>
      <c r="IF23" s="319" t="s">
        <v>190</v>
      </c>
      <c r="IG23" s="319" t="s">
        <v>190</v>
      </c>
      <c r="IH23" s="319" t="s">
        <v>190</v>
      </c>
      <c r="II23" s="319" t="s">
        <v>190</v>
      </c>
      <c r="IJ23" s="319" t="s">
        <v>2787</v>
      </c>
      <c r="IK23" s="321">
        <v>40108</v>
      </c>
      <c r="IL23" s="321">
        <v>40108</v>
      </c>
      <c r="IM23" s="321">
        <v>40194</v>
      </c>
      <c r="IN23" s="319">
        <v>1</v>
      </c>
      <c r="IO23" s="319" t="s">
        <v>173</v>
      </c>
      <c r="IP23" s="319" t="s">
        <v>173</v>
      </c>
      <c r="IQ23" s="321" t="s">
        <v>173</v>
      </c>
      <c r="IR23" s="320" t="s">
        <v>173</v>
      </c>
      <c r="IS23" s="322" t="s">
        <v>173</v>
      </c>
      <c r="IT23" s="319" t="s">
        <v>173</v>
      </c>
    </row>
    <row r="24" spans="1:254" s="271" customFormat="1" x14ac:dyDescent="0.25">
      <c r="A24" s="318" t="str">
        <f>HYPERLINK("http://www.ofsted.gov.uk/inspection-reports/find-inspection-report/provider/ELS/100376 ","Ofsted School Webpage")</f>
        <v>Ofsted School Webpage</v>
      </c>
      <c r="B24" s="319">
        <v>100376</v>
      </c>
      <c r="C24" s="319">
        <v>2056387</v>
      </c>
      <c r="D24" s="319" t="s">
        <v>767</v>
      </c>
      <c r="E24" s="319" t="s">
        <v>167</v>
      </c>
      <c r="F24" s="319" t="s">
        <v>81</v>
      </c>
      <c r="G24" s="319" t="s">
        <v>81</v>
      </c>
      <c r="H24" s="319" t="s">
        <v>81</v>
      </c>
      <c r="I24" s="319" t="s">
        <v>78</v>
      </c>
      <c r="J24" s="319" t="s">
        <v>424</v>
      </c>
      <c r="K24" s="319" t="s">
        <v>441</v>
      </c>
      <c r="L24" s="319" t="s">
        <v>441</v>
      </c>
      <c r="M24" s="319" t="s">
        <v>768</v>
      </c>
      <c r="N24" s="319" t="s">
        <v>2784</v>
      </c>
      <c r="O24" s="319" t="s">
        <v>769</v>
      </c>
      <c r="P24" s="319">
        <v>43</v>
      </c>
      <c r="Q24" s="319" t="s">
        <v>2766</v>
      </c>
      <c r="R24" s="320">
        <v>10055373</v>
      </c>
      <c r="S24" s="321">
        <v>43445</v>
      </c>
      <c r="T24" s="321">
        <v>43447</v>
      </c>
      <c r="U24" s="321">
        <v>43482</v>
      </c>
      <c r="V24" s="319" t="s">
        <v>425</v>
      </c>
      <c r="W24" s="319" t="s">
        <v>2767</v>
      </c>
      <c r="X24" s="319">
        <v>2</v>
      </c>
      <c r="Y24" s="319" t="s">
        <v>173</v>
      </c>
      <c r="Z24" s="319" t="s">
        <v>173</v>
      </c>
      <c r="AA24" s="319" t="s">
        <v>173</v>
      </c>
      <c r="AB24" s="319">
        <v>2</v>
      </c>
      <c r="AC24" s="319" t="s">
        <v>169</v>
      </c>
      <c r="AD24" s="319">
        <v>2</v>
      </c>
      <c r="AE24" s="319" t="s">
        <v>173</v>
      </c>
      <c r="AF24" s="319" t="s">
        <v>427</v>
      </c>
      <c r="AG24" s="319" t="s">
        <v>171</v>
      </c>
      <c r="AH24" s="319" t="s">
        <v>190</v>
      </c>
      <c r="AI24" s="319" t="s">
        <v>190</v>
      </c>
      <c r="AJ24" s="319" t="s">
        <v>190</v>
      </c>
      <c r="AK24" s="319" t="s">
        <v>190</v>
      </c>
      <c r="AL24" s="319" t="s">
        <v>190</v>
      </c>
      <c r="AM24" s="319" t="s">
        <v>190</v>
      </c>
      <c r="AN24" s="319" t="s">
        <v>190</v>
      </c>
      <c r="AO24" s="319" t="s">
        <v>190</v>
      </c>
      <c r="AP24" s="319" t="s">
        <v>190</v>
      </c>
      <c r="AQ24" s="319" t="s">
        <v>190</v>
      </c>
      <c r="AR24" s="319" t="s">
        <v>190</v>
      </c>
      <c r="AS24" s="319" t="s">
        <v>190</v>
      </c>
      <c r="AT24" s="319" t="s">
        <v>190</v>
      </c>
      <c r="AU24" s="319" t="s">
        <v>190</v>
      </c>
      <c r="AV24" s="319" t="s">
        <v>190</v>
      </c>
      <c r="AW24" s="319" t="s">
        <v>190</v>
      </c>
      <c r="AX24" s="319" t="s">
        <v>190</v>
      </c>
      <c r="AY24" s="319" t="s">
        <v>190</v>
      </c>
      <c r="AZ24" s="319" t="s">
        <v>190</v>
      </c>
      <c r="BA24" s="319" t="s">
        <v>190</v>
      </c>
      <c r="BB24" s="319" t="s">
        <v>428</v>
      </c>
      <c r="BC24" s="319" t="s">
        <v>428</v>
      </c>
      <c r="BD24" s="319" t="s">
        <v>428</v>
      </c>
      <c r="BE24" s="319" t="s">
        <v>428</v>
      </c>
      <c r="BF24" s="319" t="s">
        <v>190</v>
      </c>
      <c r="BG24" s="319" t="s">
        <v>428</v>
      </c>
      <c r="BH24" s="319" t="s">
        <v>190</v>
      </c>
      <c r="BI24" s="319" t="s">
        <v>190</v>
      </c>
      <c r="BJ24" s="319" t="s">
        <v>190</v>
      </c>
      <c r="BK24" s="319" t="s">
        <v>190</v>
      </c>
      <c r="BL24" s="319" t="s">
        <v>190</v>
      </c>
      <c r="BM24" s="319" t="s">
        <v>190</v>
      </c>
      <c r="BN24" s="319" t="s">
        <v>190</v>
      </c>
      <c r="BO24" s="319" t="s">
        <v>190</v>
      </c>
      <c r="BP24" s="319" t="s">
        <v>190</v>
      </c>
      <c r="BQ24" s="319" t="s">
        <v>190</v>
      </c>
      <c r="BR24" s="319" t="s">
        <v>190</v>
      </c>
      <c r="BS24" s="319" t="s">
        <v>190</v>
      </c>
      <c r="BT24" s="319" t="s">
        <v>190</v>
      </c>
      <c r="BU24" s="319" t="s">
        <v>190</v>
      </c>
      <c r="BV24" s="319" t="s">
        <v>190</v>
      </c>
      <c r="BW24" s="319" t="s">
        <v>190</v>
      </c>
      <c r="BX24" s="319" t="s">
        <v>190</v>
      </c>
      <c r="BY24" s="319" t="s">
        <v>190</v>
      </c>
      <c r="BZ24" s="319" t="s">
        <v>190</v>
      </c>
      <c r="CA24" s="319" t="s">
        <v>190</v>
      </c>
      <c r="CB24" s="319" t="s">
        <v>190</v>
      </c>
      <c r="CC24" s="319" t="s">
        <v>190</v>
      </c>
      <c r="CD24" s="319" t="s">
        <v>190</v>
      </c>
      <c r="CE24" s="319" t="s">
        <v>190</v>
      </c>
      <c r="CF24" s="319" t="s">
        <v>190</v>
      </c>
      <c r="CG24" s="319" t="s">
        <v>190</v>
      </c>
      <c r="CH24" s="319" t="s">
        <v>190</v>
      </c>
      <c r="CI24" s="319" t="s">
        <v>190</v>
      </c>
      <c r="CJ24" s="319" t="s">
        <v>190</v>
      </c>
      <c r="CK24" s="319" t="s">
        <v>190</v>
      </c>
      <c r="CL24" s="319" t="s">
        <v>190</v>
      </c>
      <c r="CM24" s="319" t="s">
        <v>190</v>
      </c>
      <c r="CN24" s="319" t="s">
        <v>428</v>
      </c>
      <c r="CO24" s="319" t="s">
        <v>428</v>
      </c>
      <c r="CP24" s="319" t="s">
        <v>428</v>
      </c>
      <c r="CQ24" s="319" t="s">
        <v>190</v>
      </c>
      <c r="CR24" s="319" t="s">
        <v>190</v>
      </c>
      <c r="CS24" s="319" t="s">
        <v>190</v>
      </c>
      <c r="CT24" s="319" t="s">
        <v>190</v>
      </c>
      <c r="CU24" s="319" t="s">
        <v>190</v>
      </c>
      <c r="CV24" s="319" t="s">
        <v>190</v>
      </c>
      <c r="CW24" s="319" t="s">
        <v>190</v>
      </c>
      <c r="CX24" s="319" t="s">
        <v>190</v>
      </c>
      <c r="CY24" s="319" t="s">
        <v>190</v>
      </c>
      <c r="CZ24" s="319" t="s">
        <v>190</v>
      </c>
      <c r="DA24" s="319" t="s">
        <v>190</v>
      </c>
      <c r="DB24" s="319" t="s">
        <v>190</v>
      </c>
      <c r="DC24" s="319" t="s">
        <v>190</v>
      </c>
      <c r="DD24" s="319" t="s">
        <v>190</v>
      </c>
      <c r="DE24" s="319" t="s">
        <v>190</v>
      </c>
      <c r="DF24" s="319" t="s">
        <v>190</v>
      </c>
      <c r="DG24" s="319" t="s">
        <v>190</v>
      </c>
      <c r="DH24" s="319" t="s">
        <v>190</v>
      </c>
      <c r="DI24" s="319" t="s">
        <v>190</v>
      </c>
      <c r="DJ24" s="319" t="s">
        <v>190</v>
      </c>
      <c r="DK24" s="319" t="s">
        <v>190</v>
      </c>
      <c r="DL24" s="319" t="s">
        <v>190</v>
      </c>
      <c r="DM24" s="319" t="s">
        <v>190</v>
      </c>
      <c r="DN24" s="319" t="s">
        <v>428</v>
      </c>
      <c r="DO24" s="319" t="s">
        <v>190</v>
      </c>
      <c r="DP24" s="319" t="s">
        <v>428</v>
      </c>
      <c r="DQ24" s="319" t="s">
        <v>428</v>
      </c>
      <c r="DR24" s="319" t="s">
        <v>428</v>
      </c>
      <c r="DS24" s="319" t="s">
        <v>428</v>
      </c>
      <c r="DT24" s="319" t="s">
        <v>428</v>
      </c>
      <c r="DU24" s="319" t="s">
        <v>428</v>
      </c>
      <c r="DV24" s="319" t="s">
        <v>173</v>
      </c>
      <c r="DW24" s="319" t="s">
        <v>428</v>
      </c>
      <c r="DX24" s="319" t="s">
        <v>428</v>
      </c>
      <c r="DY24" s="319" t="s">
        <v>428</v>
      </c>
      <c r="DZ24" s="319" t="s">
        <v>428</v>
      </c>
      <c r="EA24" s="319" t="s">
        <v>428</v>
      </c>
      <c r="EB24" s="319" t="s">
        <v>428</v>
      </c>
      <c r="EC24" s="319" t="s">
        <v>428</v>
      </c>
      <c r="ED24" s="319" t="s">
        <v>428</v>
      </c>
      <c r="EE24" s="319" t="s">
        <v>190</v>
      </c>
      <c r="EF24" s="319" t="s">
        <v>190</v>
      </c>
      <c r="EG24" s="319" t="s">
        <v>190</v>
      </c>
      <c r="EH24" s="319" t="s">
        <v>190</v>
      </c>
      <c r="EI24" s="319" t="s">
        <v>190</v>
      </c>
      <c r="EJ24" s="319" t="s">
        <v>190</v>
      </c>
      <c r="EK24" s="319" t="s">
        <v>190</v>
      </c>
      <c r="EL24" s="319" t="s">
        <v>428</v>
      </c>
      <c r="EM24" s="319" t="s">
        <v>428</v>
      </c>
      <c r="EN24" s="319" t="s">
        <v>190</v>
      </c>
      <c r="EO24" s="319" t="s">
        <v>190</v>
      </c>
      <c r="EP24" s="319" t="s">
        <v>190</v>
      </c>
      <c r="EQ24" s="319" t="s">
        <v>190</v>
      </c>
      <c r="ER24" s="319" t="s">
        <v>190</v>
      </c>
      <c r="ES24" s="319" t="s">
        <v>190</v>
      </c>
      <c r="ET24" s="319" t="s">
        <v>190</v>
      </c>
      <c r="EU24" s="319" t="s">
        <v>190</v>
      </c>
      <c r="EV24" s="319" t="s">
        <v>190</v>
      </c>
      <c r="EW24" s="319" t="s">
        <v>190</v>
      </c>
      <c r="EX24" s="319" t="s">
        <v>190</v>
      </c>
      <c r="EY24" s="319" t="s">
        <v>190</v>
      </c>
      <c r="EZ24" s="319" t="s">
        <v>190</v>
      </c>
      <c r="FA24" s="319" t="s">
        <v>190</v>
      </c>
      <c r="FB24" s="319" t="s">
        <v>428</v>
      </c>
      <c r="FC24" s="319" t="s">
        <v>428</v>
      </c>
      <c r="FD24" s="319" t="s">
        <v>428</v>
      </c>
      <c r="FE24" s="319" t="s">
        <v>428</v>
      </c>
      <c r="FF24" s="319" t="s">
        <v>428</v>
      </c>
      <c r="FG24" s="319" t="s">
        <v>428</v>
      </c>
      <c r="FH24" s="319" t="s">
        <v>190</v>
      </c>
      <c r="FI24" s="319" t="s">
        <v>190</v>
      </c>
      <c r="FJ24" s="319" t="s">
        <v>190</v>
      </c>
      <c r="FK24" s="319" t="s">
        <v>190</v>
      </c>
      <c r="FL24" s="319" t="s">
        <v>190</v>
      </c>
      <c r="FM24" s="319" t="s">
        <v>190</v>
      </c>
      <c r="FN24" s="319" t="s">
        <v>428</v>
      </c>
      <c r="FO24" s="319" t="s">
        <v>428</v>
      </c>
      <c r="FP24" s="319" t="s">
        <v>190</v>
      </c>
      <c r="FQ24" s="319" t="s">
        <v>190</v>
      </c>
      <c r="FR24" s="319" t="s">
        <v>190</v>
      </c>
      <c r="FS24" s="319" t="s">
        <v>428</v>
      </c>
      <c r="FT24" s="319" t="s">
        <v>190</v>
      </c>
      <c r="FU24" s="319" t="s">
        <v>190</v>
      </c>
      <c r="FV24" s="319" t="s">
        <v>190</v>
      </c>
      <c r="FW24" s="319" t="s">
        <v>190</v>
      </c>
      <c r="FX24" s="319" t="s">
        <v>190</v>
      </c>
      <c r="FY24" s="319" t="s">
        <v>190</v>
      </c>
      <c r="FZ24" s="319" t="s">
        <v>190</v>
      </c>
      <c r="GA24" s="319" t="s">
        <v>190</v>
      </c>
      <c r="GB24" s="319" t="s">
        <v>190</v>
      </c>
      <c r="GC24" s="319" t="s">
        <v>190</v>
      </c>
      <c r="GD24" s="319" t="s">
        <v>190</v>
      </c>
      <c r="GE24" s="319" t="s">
        <v>190</v>
      </c>
      <c r="GF24" s="319" t="s">
        <v>190</v>
      </c>
      <c r="GG24" s="319" t="s">
        <v>190</v>
      </c>
      <c r="GH24" s="319" t="s">
        <v>190</v>
      </c>
      <c r="GI24" s="319" t="s">
        <v>190</v>
      </c>
      <c r="GJ24" s="319" t="s">
        <v>190</v>
      </c>
      <c r="GK24" s="319" t="s">
        <v>428</v>
      </c>
      <c r="GL24" s="319" t="s">
        <v>190</v>
      </c>
      <c r="GM24" s="319" t="s">
        <v>190</v>
      </c>
      <c r="GN24" s="319" t="s">
        <v>190</v>
      </c>
      <c r="GO24" s="319" t="s">
        <v>190</v>
      </c>
      <c r="GP24" s="319" t="s">
        <v>190</v>
      </c>
      <c r="GQ24" s="319" t="s">
        <v>428</v>
      </c>
      <c r="GR24" s="319" t="s">
        <v>190</v>
      </c>
      <c r="GS24" s="319" t="s">
        <v>190</v>
      </c>
      <c r="GT24" s="319" t="s">
        <v>428</v>
      </c>
      <c r="GU24" s="319" t="s">
        <v>428</v>
      </c>
      <c r="GV24" s="319" t="s">
        <v>190</v>
      </c>
      <c r="GW24" s="319" t="s">
        <v>190</v>
      </c>
      <c r="GX24" s="319" t="s">
        <v>190</v>
      </c>
      <c r="GY24" s="319" t="s">
        <v>190</v>
      </c>
      <c r="GZ24" s="319" t="s">
        <v>190</v>
      </c>
      <c r="HA24" s="319" t="s">
        <v>428</v>
      </c>
      <c r="HB24" s="319" t="s">
        <v>428</v>
      </c>
      <c r="HC24" s="319" t="s">
        <v>190</v>
      </c>
      <c r="HD24" s="319" t="s">
        <v>190</v>
      </c>
      <c r="HE24" s="319" t="s">
        <v>190</v>
      </c>
      <c r="HF24" s="319" t="s">
        <v>190</v>
      </c>
      <c r="HG24" s="319" t="s">
        <v>190</v>
      </c>
      <c r="HH24" s="319" t="s">
        <v>190</v>
      </c>
      <c r="HI24" s="319" t="s">
        <v>190</v>
      </c>
      <c r="HJ24" s="319" t="s">
        <v>190</v>
      </c>
      <c r="HK24" s="319" t="s">
        <v>190</v>
      </c>
      <c r="HL24" s="319" t="s">
        <v>428</v>
      </c>
      <c r="HM24" s="319" t="s">
        <v>428</v>
      </c>
      <c r="HN24" s="319" t="s">
        <v>428</v>
      </c>
      <c r="HO24" s="319" t="s">
        <v>428</v>
      </c>
      <c r="HP24" s="319" t="s">
        <v>190</v>
      </c>
      <c r="HQ24" s="319" t="s">
        <v>190</v>
      </c>
      <c r="HR24" s="319" t="s">
        <v>190</v>
      </c>
      <c r="HS24" s="319" t="s">
        <v>190</v>
      </c>
      <c r="HT24" s="319" t="s">
        <v>190</v>
      </c>
      <c r="HU24" s="319" t="s">
        <v>190</v>
      </c>
      <c r="HV24" s="319" t="s">
        <v>190</v>
      </c>
      <c r="HW24" s="319" t="s">
        <v>190</v>
      </c>
      <c r="HX24" s="319" t="s">
        <v>190</v>
      </c>
      <c r="HY24" s="319" t="s">
        <v>190</v>
      </c>
      <c r="HZ24" s="319" t="s">
        <v>190</v>
      </c>
      <c r="IA24" s="319" t="s">
        <v>190</v>
      </c>
      <c r="IB24" s="319" t="s">
        <v>190</v>
      </c>
      <c r="IC24" s="319" t="s">
        <v>190</v>
      </c>
      <c r="ID24" s="319" t="s">
        <v>190</v>
      </c>
      <c r="IE24" s="319" t="s">
        <v>190</v>
      </c>
      <c r="IF24" s="319" t="s">
        <v>190</v>
      </c>
      <c r="IG24" s="319" t="s">
        <v>190</v>
      </c>
      <c r="IH24" s="319" t="s">
        <v>190</v>
      </c>
      <c r="II24" s="319" t="s">
        <v>190</v>
      </c>
      <c r="IJ24" s="319">
        <v>10037572</v>
      </c>
      <c r="IK24" s="321">
        <v>42920</v>
      </c>
      <c r="IL24" s="321">
        <v>42922</v>
      </c>
      <c r="IM24" s="321">
        <v>43010</v>
      </c>
      <c r="IN24" s="319">
        <v>4</v>
      </c>
      <c r="IO24" s="319" t="s">
        <v>173</v>
      </c>
      <c r="IP24" s="319" t="s">
        <v>173</v>
      </c>
      <c r="IQ24" s="321" t="s">
        <v>173</v>
      </c>
      <c r="IR24" s="320" t="s">
        <v>173</v>
      </c>
      <c r="IS24" s="322" t="s">
        <v>173</v>
      </c>
      <c r="IT24" s="319" t="s">
        <v>173</v>
      </c>
    </row>
    <row r="25" spans="1:254" s="271" customFormat="1" x14ac:dyDescent="0.25">
      <c r="A25" s="318" t="str">
        <f>HYPERLINK("http://www.ofsted.gov.uk/inspection-reports/find-inspection-report/provider/ELS/100462 ","Ofsted School Webpage")</f>
        <v>Ofsted School Webpage</v>
      </c>
      <c r="B25" s="319">
        <v>100462</v>
      </c>
      <c r="C25" s="319">
        <v>2066299</v>
      </c>
      <c r="D25" s="319" t="s">
        <v>1232</v>
      </c>
      <c r="E25" s="319" t="s">
        <v>167</v>
      </c>
      <c r="F25" s="319" t="s">
        <v>81</v>
      </c>
      <c r="G25" s="319" t="s">
        <v>81</v>
      </c>
      <c r="H25" s="319" t="s">
        <v>81</v>
      </c>
      <c r="I25" s="319" t="s">
        <v>78</v>
      </c>
      <c r="J25" s="319" t="s">
        <v>424</v>
      </c>
      <c r="K25" s="319" t="s">
        <v>441</v>
      </c>
      <c r="L25" s="319" t="s">
        <v>441</v>
      </c>
      <c r="M25" s="319" t="s">
        <v>668</v>
      </c>
      <c r="N25" s="319" t="s">
        <v>2788</v>
      </c>
      <c r="O25" s="319" t="s">
        <v>1233</v>
      </c>
      <c r="P25" s="319">
        <v>138</v>
      </c>
      <c r="Q25" s="319" t="s">
        <v>2766</v>
      </c>
      <c r="R25" s="320">
        <v>10041394</v>
      </c>
      <c r="S25" s="321">
        <v>43151</v>
      </c>
      <c r="T25" s="321">
        <v>43153</v>
      </c>
      <c r="U25" s="321">
        <v>43179</v>
      </c>
      <c r="V25" s="319" t="s">
        <v>425</v>
      </c>
      <c r="W25" s="319" t="s">
        <v>2767</v>
      </c>
      <c r="X25" s="319">
        <v>1</v>
      </c>
      <c r="Y25" s="319" t="s">
        <v>173</v>
      </c>
      <c r="Z25" s="319" t="s">
        <v>173</v>
      </c>
      <c r="AA25" s="319" t="s">
        <v>173</v>
      </c>
      <c r="AB25" s="319">
        <v>1</v>
      </c>
      <c r="AC25" s="319" t="s">
        <v>169</v>
      </c>
      <c r="AD25" s="319">
        <v>1</v>
      </c>
      <c r="AE25" s="319" t="s">
        <v>173</v>
      </c>
      <c r="AF25" s="319" t="s">
        <v>427</v>
      </c>
      <c r="AG25" s="319" t="s">
        <v>171</v>
      </c>
      <c r="AH25" s="319" t="s">
        <v>190</v>
      </c>
      <c r="AI25" s="319" t="s">
        <v>190</v>
      </c>
      <c r="AJ25" s="319" t="s">
        <v>190</v>
      </c>
      <c r="AK25" s="319" t="s">
        <v>190</v>
      </c>
      <c r="AL25" s="319" t="s">
        <v>190</v>
      </c>
      <c r="AM25" s="319" t="s">
        <v>190</v>
      </c>
      <c r="AN25" s="319" t="s">
        <v>190</v>
      </c>
      <c r="AO25" s="319" t="s">
        <v>190</v>
      </c>
      <c r="AP25" s="319" t="s">
        <v>190</v>
      </c>
      <c r="AQ25" s="319" t="s">
        <v>190</v>
      </c>
      <c r="AR25" s="319" t="s">
        <v>190</v>
      </c>
      <c r="AS25" s="319" t="s">
        <v>190</v>
      </c>
      <c r="AT25" s="319" t="s">
        <v>190</v>
      </c>
      <c r="AU25" s="319" t="s">
        <v>190</v>
      </c>
      <c r="AV25" s="319" t="s">
        <v>190</v>
      </c>
      <c r="AW25" s="319" t="s">
        <v>190</v>
      </c>
      <c r="AX25" s="319" t="s">
        <v>428</v>
      </c>
      <c r="AY25" s="319" t="s">
        <v>190</v>
      </c>
      <c r="AZ25" s="319" t="s">
        <v>190</v>
      </c>
      <c r="BA25" s="319" t="s">
        <v>190</v>
      </c>
      <c r="BB25" s="319" t="s">
        <v>428</v>
      </c>
      <c r="BC25" s="319" t="s">
        <v>428</v>
      </c>
      <c r="BD25" s="319" t="s">
        <v>428</v>
      </c>
      <c r="BE25" s="319" t="s">
        <v>428</v>
      </c>
      <c r="BF25" s="319" t="s">
        <v>190</v>
      </c>
      <c r="BG25" s="319" t="s">
        <v>428</v>
      </c>
      <c r="BH25" s="319" t="s">
        <v>190</v>
      </c>
      <c r="BI25" s="319" t="s">
        <v>190</v>
      </c>
      <c r="BJ25" s="319" t="s">
        <v>190</v>
      </c>
      <c r="BK25" s="319" t="s">
        <v>190</v>
      </c>
      <c r="BL25" s="319" t="s">
        <v>190</v>
      </c>
      <c r="BM25" s="319" t="s">
        <v>190</v>
      </c>
      <c r="BN25" s="319" t="s">
        <v>190</v>
      </c>
      <c r="BO25" s="319" t="s">
        <v>190</v>
      </c>
      <c r="BP25" s="319" t="s">
        <v>190</v>
      </c>
      <c r="BQ25" s="319" t="s">
        <v>190</v>
      </c>
      <c r="BR25" s="319" t="s">
        <v>190</v>
      </c>
      <c r="BS25" s="319" t="s">
        <v>190</v>
      </c>
      <c r="BT25" s="319" t="s">
        <v>190</v>
      </c>
      <c r="BU25" s="319" t="s">
        <v>190</v>
      </c>
      <c r="BV25" s="319" t="s">
        <v>190</v>
      </c>
      <c r="BW25" s="319" t="s">
        <v>190</v>
      </c>
      <c r="BX25" s="319" t="s">
        <v>190</v>
      </c>
      <c r="BY25" s="319" t="s">
        <v>190</v>
      </c>
      <c r="BZ25" s="319" t="s">
        <v>190</v>
      </c>
      <c r="CA25" s="319" t="s">
        <v>190</v>
      </c>
      <c r="CB25" s="319" t="s">
        <v>190</v>
      </c>
      <c r="CC25" s="319" t="s">
        <v>190</v>
      </c>
      <c r="CD25" s="319" t="s">
        <v>190</v>
      </c>
      <c r="CE25" s="319" t="s">
        <v>190</v>
      </c>
      <c r="CF25" s="319" t="s">
        <v>190</v>
      </c>
      <c r="CG25" s="319" t="s">
        <v>190</v>
      </c>
      <c r="CH25" s="319" t="s">
        <v>190</v>
      </c>
      <c r="CI25" s="319" t="s">
        <v>190</v>
      </c>
      <c r="CJ25" s="319" t="s">
        <v>190</v>
      </c>
      <c r="CK25" s="319" t="s">
        <v>190</v>
      </c>
      <c r="CL25" s="319" t="s">
        <v>190</v>
      </c>
      <c r="CM25" s="319" t="s">
        <v>190</v>
      </c>
      <c r="CN25" s="319" t="s">
        <v>428</v>
      </c>
      <c r="CO25" s="319" t="s">
        <v>428</v>
      </c>
      <c r="CP25" s="319" t="s">
        <v>428</v>
      </c>
      <c r="CQ25" s="319" t="s">
        <v>190</v>
      </c>
      <c r="CR25" s="319" t="s">
        <v>190</v>
      </c>
      <c r="CS25" s="319" t="s">
        <v>190</v>
      </c>
      <c r="CT25" s="319" t="s">
        <v>190</v>
      </c>
      <c r="CU25" s="319" t="s">
        <v>190</v>
      </c>
      <c r="CV25" s="319" t="s">
        <v>190</v>
      </c>
      <c r="CW25" s="319" t="s">
        <v>190</v>
      </c>
      <c r="CX25" s="319" t="s">
        <v>190</v>
      </c>
      <c r="CY25" s="319" t="s">
        <v>190</v>
      </c>
      <c r="CZ25" s="319" t="s">
        <v>190</v>
      </c>
      <c r="DA25" s="319" t="s">
        <v>190</v>
      </c>
      <c r="DB25" s="319" t="s">
        <v>190</v>
      </c>
      <c r="DC25" s="319" t="s">
        <v>190</v>
      </c>
      <c r="DD25" s="319" t="s">
        <v>190</v>
      </c>
      <c r="DE25" s="319" t="s">
        <v>190</v>
      </c>
      <c r="DF25" s="319" t="s">
        <v>190</v>
      </c>
      <c r="DG25" s="319" t="s">
        <v>190</v>
      </c>
      <c r="DH25" s="319" t="s">
        <v>190</v>
      </c>
      <c r="DI25" s="319" t="s">
        <v>190</v>
      </c>
      <c r="DJ25" s="319" t="s">
        <v>190</v>
      </c>
      <c r="DK25" s="319" t="s">
        <v>190</v>
      </c>
      <c r="DL25" s="319" t="s">
        <v>190</v>
      </c>
      <c r="DM25" s="319" t="s">
        <v>190</v>
      </c>
      <c r="DN25" s="319" t="s">
        <v>428</v>
      </c>
      <c r="DO25" s="319" t="s">
        <v>190</v>
      </c>
      <c r="DP25" s="319" t="s">
        <v>428</v>
      </c>
      <c r="DQ25" s="319" t="s">
        <v>428</v>
      </c>
      <c r="DR25" s="319" t="s">
        <v>428</v>
      </c>
      <c r="DS25" s="319" t="s">
        <v>428</v>
      </c>
      <c r="DT25" s="319" t="s">
        <v>428</v>
      </c>
      <c r="DU25" s="319" t="s">
        <v>428</v>
      </c>
      <c r="DV25" s="319" t="s">
        <v>173</v>
      </c>
      <c r="DW25" s="319" t="s">
        <v>428</v>
      </c>
      <c r="DX25" s="319" t="s">
        <v>428</v>
      </c>
      <c r="DY25" s="319" t="s">
        <v>428</v>
      </c>
      <c r="DZ25" s="319" t="s">
        <v>428</v>
      </c>
      <c r="EA25" s="319" t="s">
        <v>428</v>
      </c>
      <c r="EB25" s="319" t="s">
        <v>428</v>
      </c>
      <c r="EC25" s="319" t="s">
        <v>428</v>
      </c>
      <c r="ED25" s="319" t="s">
        <v>190</v>
      </c>
      <c r="EE25" s="319" t="s">
        <v>190</v>
      </c>
      <c r="EF25" s="319" t="s">
        <v>190</v>
      </c>
      <c r="EG25" s="319" t="s">
        <v>190</v>
      </c>
      <c r="EH25" s="319" t="s">
        <v>190</v>
      </c>
      <c r="EI25" s="319" t="s">
        <v>190</v>
      </c>
      <c r="EJ25" s="319" t="s">
        <v>190</v>
      </c>
      <c r="EK25" s="319" t="s">
        <v>190</v>
      </c>
      <c r="EL25" s="319" t="s">
        <v>190</v>
      </c>
      <c r="EM25" s="319" t="s">
        <v>190</v>
      </c>
      <c r="EN25" s="319" t="s">
        <v>190</v>
      </c>
      <c r="EO25" s="319" t="s">
        <v>190</v>
      </c>
      <c r="EP25" s="319" t="s">
        <v>190</v>
      </c>
      <c r="EQ25" s="319" t="s">
        <v>190</v>
      </c>
      <c r="ER25" s="319" t="s">
        <v>190</v>
      </c>
      <c r="ES25" s="319" t="s">
        <v>190</v>
      </c>
      <c r="ET25" s="319" t="s">
        <v>190</v>
      </c>
      <c r="EU25" s="319" t="s">
        <v>190</v>
      </c>
      <c r="EV25" s="319" t="s">
        <v>190</v>
      </c>
      <c r="EW25" s="319" t="s">
        <v>190</v>
      </c>
      <c r="EX25" s="319" t="s">
        <v>190</v>
      </c>
      <c r="EY25" s="319" t="s">
        <v>190</v>
      </c>
      <c r="EZ25" s="319" t="s">
        <v>190</v>
      </c>
      <c r="FA25" s="319" t="s">
        <v>190</v>
      </c>
      <c r="FB25" s="319" t="s">
        <v>428</v>
      </c>
      <c r="FC25" s="319" t="s">
        <v>428</v>
      </c>
      <c r="FD25" s="319" t="s">
        <v>428</v>
      </c>
      <c r="FE25" s="319" t="s">
        <v>428</v>
      </c>
      <c r="FF25" s="319" t="s">
        <v>428</v>
      </c>
      <c r="FG25" s="319" t="s">
        <v>428</v>
      </c>
      <c r="FH25" s="319" t="s">
        <v>428</v>
      </c>
      <c r="FI25" s="319" t="s">
        <v>428</v>
      </c>
      <c r="FJ25" s="319" t="s">
        <v>429</v>
      </c>
      <c r="FK25" s="319" t="s">
        <v>428</v>
      </c>
      <c r="FL25" s="319" t="s">
        <v>190</v>
      </c>
      <c r="FM25" s="319" t="s">
        <v>190</v>
      </c>
      <c r="FN25" s="319" t="s">
        <v>190</v>
      </c>
      <c r="FO25" s="319" t="s">
        <v>190</v>
      </c>
      <c r="FP25" s="319" t="s">
        <v>190</v>
      </c>
      <c r="FQ25" s="319" t="s">
        <v>190</v>
      </c>
      <c r="FR25" s="319" t="s">
        <v>190</v>
      </c>
      <c r="FS25" s="319" t="s">
        <v>428</v>
      </c>
      <c r="FT25" s="319" t="s">
        <v>190</v>
      </c>
      <c r="FU25" s="319" t="s">
        <v>190</v>
      </c>
      <c r="FV25" s="319" t="s">
        <v>190</v>
      </c>
      <c r="FW25" s="319" t="s">
        <v>190</v>
      </c>
      <c r="FX25" s="319" t="s">
        <v>190</v>
      </c>
      <c r="FY25" s="319" t="s">
        <v>190</v>
      </c>
      <c r="FZ25" s="319" t="s">
        <v>190</v>
      </c>
      <c r="GA25" s="319" t="s">
        <v>190</v>
      </c>
      <c r="GB25" s="319" t="s">
        <v>190</v>
      </c>
      <c r="GC25" s="319" t="s">
        <v>190</v>
      </c>
      <c r="GD25" s="319" t="s">
        <v>190</v>
      </c>
      <c r="GE25" s="319" t="s">
        <v>190</v>
      </c>
      <c r="GF25" s="319" t="s">
        <v>190</v>
      </c>
      <c r="GG25" s="319" t="s">
        <v>190</v>
      </c>
      <c r="GH25" s="319" t="s">
        <v>190</v>
      </c>
      <c r="GI25" s="319" t="s">
        <v>190</v>
      </c>
      <c r="GJ25" s="319" t="s">
        <v>190</v>
      </c>
      <c r="GK25" s="319" t="s">
        <v>428</v>
      </c>
      <c r="GL25" s="319" t="s">
        <v>190</v>
      </c>
      <c r="GM25" s="319" t="s">
        <v>190</v>
      </c>
      <c r="GN25" s="319" t="s">
        <v>190</v>
      </c>
      <c r="GO25" s="319" t="s">
        <v>190</v>
      </c>
      <c r="GP25" s="319" t="s">
        <v>190</v>
      </c>
      <c r="GQ25" s="319" t="s">
        <v>428</v>
      </c>
      <c r="GR25" s="319" t="s">
        <v>190</v>
      </c>
      <c r="GS25" s="319" t="s">
        <v>190</v>
      </c>
      <c r="GT25" s="319" t="s">
        <v>428</v>
      </c>
      <c r="GU25" s="319" t="s">
        <v>190</v>
      </c>
      <c r="GV25" s="319" t="s">
        <v>190</v>
      </c>
      <c r="GW25" s="319" t="s">
        <v>190</v>
      </c>
      <c r="GX25" s="319" t="s">
        <v>190</v>
      </c>
      <c r="GY25" s="319" t="s">
        <v>190</v>
      </c>
      <c r="GZ25" s="319" t="s">
        <v>190</v>
      </c>
      <c r="HA25" s="319" t="s">
        <v>428</v>
      </c>
      <c r="HB25" s="319" t="s">
        <v>190</v>
      </c>
      <c r="HC25" s="319" t="s">
        <v>190</v>
      </c>
      <c r="HD25" s="319" t="s">
        <v>190</v>
      </c>
      <c r="HE25" s="319" t="s">
        <v>190</v>
      </c>
      <c r="HF25" s="319" t="s">
        <v>190</v>
      </c>
      <c r="HG25" s="319" t="s">
        <v>190</v>
      </c>
      <c r="HH25" s="319" t="s">
        <v>190</v>
      </c>
      <c r="HI25" s="319" t="s">
        <v>190</v>
      </c>
      <c r="HJ25" s="319" t="s">
        <v>190</v>
      </c>
      <c r="HK25" s="319" t="s">
        <v>190</v>
      </c>
      <c r="HL25" s="319" t="s">
        <v>428</v>
      </c>
      <c r="HM25" s="319" t="s">
        <v>428</v>
      </c>
      <c r="HN25" s="319" t="s">
        <v>428</v>
      </c>
      <c r="HO25" s="319" t="s">
        <v>428</v>
      </c>
      <c r="HP25" s="319" t="s">
        <v>190</v>
      </c>
      <c r="HQ25" s="319" t="s">
        <v>190</v>
      </c>
      <c r="HR25" s="319" t="s">
        <v>190</v>
      </c>
      <c r="HS25" s="319" t="s">
        <v>190</v>
      </c>
      <c r="HT25" s="319" t="s">
        <v>190</v>
      </c>
      <c r="HU25" s="319" t="s">
        <v>190</v>
      </c>
      <c r="HV25" s="319" t="s">
        <v>190</v>
      </c>
      <c r="HW25" s="319" t="s">
        <v>190</v>
      </c>
      <c r="HX25" s="319" t="s">
        <v>190</v>
      </c>
      <c r="HY25" s="319" t="s">
        <v>190</v>
      </c>
      <c r="HZ25" s="319" t="s">
        <v>190</v>
      </c>
      <c r="IA25" s="319" t="s">
        <v>190</v>
      </c>
      <c r="IB25" s="319" t="s">
        <v>190</v>
      </c>
      <c r="IC25" s="319" t="s">
        <v>190</v>
      </c>
      <c r="ID25" s="319" t="s">
        <v>190</v>
      </c>
      <c r="IE25" s="319" t="s">
        <v>190</v>
      </c>
      <c r="IF25" s="319" t="s">
        <v>190</v>
      </c>
      <c r="IG25" s="319" t="s">
        <v>190</v>
      </c>
      <c r="IH25" s="319" t="s">
        <v>190</v>
      </c>
      <c r="II25" s="319" t="s">
        <v>190</v>
      </c>
      <c r="IJ25" s="319" t="s">
        <v>2789</v>
      </c>
      <c r="IK25" s="321">
        <v>42073</v>
      </c>
      <c r="IL25" s="321">
        <v>42075</v>
      </c>
      <c r="IM25" s="321">
        <v>42144</v>
      </c>
      <c r="IN25" s="319">
        <v>2</v>
      </c>
      <c r="IO25" s="319" t="s">
        <v>173</v>
      </c>
      <c r="IP25" s="319" t="s">
        <v>173</v>
      </c>
      <c r="IQ25" s="321" t="s">
        <v>173</v>
      </c>
      <c r="IR25" s="320" t="s">
        <v>173</v>
      </c>
      <c r="IS25" s="322" t="s">
        <v>173</v>
      </c>
      <c r="IT25" s="319" t="s">
        <v>173</v>
      </c>
    </row>
    <row r="26" spans="1:254" s="271" customFormat="1" x14ac:dyDescent="0.25">
      <c r="A26" s="318" t="str">
        <f>HYPERLINK("http://www.ofsted.gov.uk/inspection-reports/find-inspection-report/provider/ELS/100516 ","Ofsted School Webpage")</f>
        <v>Ofsted School Webpage</v>
      </c>
      <c r="B26" s="319">
        <v>100516</v>
      </c>
      <c r="C26" s="319">
        <v>2076104</v>
      </c>
      <c r="D26" s="319" t="s">
        <v>1234</v>
      </c>
      <c r="E26" s="319" t="s">
        <v>167</v>
      </c>
      <c r="F26" s="319" t="s">
        <v>67</v>
      </c>
      <c r="G26" s="319" t="s">
        <v>67</v>
      </c>
      <c r="H26" s="319" t="s">
        <v>67</v>
      </c>
      <c r="I26" s="319" t="s">
        <v>59</v>
      </c>
      <c r="J26" s="319" t="s">
        <v>424</v>
      </c>
      <c r="K26" s="319" t="s">
        <v>441</v>
      </c>
      <c r="L26" s="319" t="s">
        <v>441</v>
      </c>
      <c r="M26" s="319" t="s">
        <v>567</v>
      </c>
      <c r="N26" s="319" t="s">
        <v>2790</v>
      </c>
      <c r="O26" s="319" t="s">
        <v>1235</v>
      </c>
      <c r="P26" s="319">
        <v>92</v>
      </c>
      <c r="Q26" s="319" t="s">
        <v>2766</v>
      </c>
      <c r="R26" s="320">
        <v>10012793</v>
      </c>
      <c r="S26" s="321">
        <v>43165</v>
      </c>
      <c r="T26" s="321">
        <v>43167</v>
      </c>
      <c r="U26" s="321">
        <v>43220</v>
      </c>
      <c r="V26" s="319" t="s">
        <v>425</v>
      </c>
      <c r="W26" s="319" t="s">
        <v>2767</v>
      </c>
      <c r="X26" s="319">
        <v>1</v>
      </c>
      <c r="Y26" s="319" t="s">
        <v>173</v>
      </c>
      <c r="Z26" s="319" t="s">
        <v>173</v>
      </c>
      <c r="AA26" s="319" t="s">
        <v>173</v>
      </c>
      <c r="AB26" s="319">
        <v>1</v>
      </c>
      <c r="AC26" s="319" t="s">
        <v>169</v>
      </c>
      <c r="AD26" s="319" t="s">
        <v>173</v>
      </c>
      <c r="AE26" s="319" t="s">
        <v>173</v>
      </c>
      <c r="AF26" s="319" t="s">
        <v>427</v>
      </c>
      <c r="AG26" s="319" t="s">
        <v>171</v>
      </c>
      <c r="AH26" s="319" t="s">
        <v>190</v>
      </c>
      <c r="AI26" s="319" t="s">
        <v>190</v>
      </c>
      <c r="AJ26" s="319" t="s">
        <v>190</v>
      </c>
      <c r="AK26" s="319" t="s">
        <v>190</v>
      </c>
      <c r="AL26" s="319" t="s">
        <v>190</v>
      </c>
      <c r="AM26" s="319" t="s">
        <v>190</v>
      </c>
      <c r="AN26" s="319" t="s">
        <v>190</v>
      </c>
      <c r="AO26" s="319" t="s">
        <v>190</v>
      </c>
      <c r="AP26" s="319" t="s">
        <v>190</v>
      </c>
      <c r="AQ26" s="319" t="s">
        <v>190</v>
      </c>
      <c r="AR26" s="319" t="s">
        <v>190</v>
      </c>
      <c r="AS26" s="319" t="s">
        <v>190</v>
      </c>
      <c r="AT26" s="319" t="s">
        <v>190</v>
      </c>
      <c r="AU26" s="319" t="s">
        <v>190</v>
      </c>
      <c r="AV26" s="319" t="s">
        <v>190</v>
      </c>
      <c r="AW26" s="319" t="s">
        <v>190</v>
      </c>
      <c r="AX26" s="319" t="s">
        <v>428</v>
      </c>
      <c r="AY26" s="319" t="s">
        <v>190</v>
      </c>
      <c r="AZ26" s="319" t="s">
        <v>190</v>
      </c>
      <c r="BA26" s="319" t="s">
        <v>190</v>
      </c>
      <c r="BB26" s="319" t="s">
        <v>190</v>
      </c>
      <c r="BC26" s="319" t="s">
        <v>190</v>
      </c>
      <c r="BD26" s="319" t="s">
        <v>190</v>
      </c>
      <c r="BE26" s="319" t="s">
        <v>190</v>
      </c>
      <c r="BF26" s="319" t="s">
        <v>428</v>
      </c>
      <c r="BG26" s="319" t="s">
        <v>428</v>
      </c>
      <c r="BH26" s="319" t="s">
        <v>190</v>
      </c>
      <c r="BI26" s="319" t="s">
        <v>190</v>
      </c>
      <c r="BJ26" s="319" t="s">
        <v>190</v>
      </c>
      <c r="BK26" s="319" t="s">
        <v>190</v>
      </c>
      <c r="BL26" s="319" t="s">
        <v>190</v>
      </c>
      <c r="BM26" s="319" t="s">
        <v>190</v>
      </c>
      <c r="BN26" s="319" t="s">
        <v>190</v>
      </c>
      <c r="BO26" s="319" t="s">
        <v>190</v>
      </c>
      <c r="BP26" s="319" t="s">
        <v>190</v>
      </c>
      <c r="BQ26" s="319" t="s">
        <v>190</v>
      </c>
      <c r="BR26" s="319" t="s">
        <v>190</v>
      </c>
      <c r="BS26" s="319" t="s">
        <v>190</v>
      </c>
      <c r="BT26" s="319" t="s">
        <v>190</v>
      </c>
      <c r="BU26" s="319" t="s">
        <v>190</v>
      </c>
      <c r="BV26" s="319" t="s">
        <v>190</v>
      </c>
      <c r="BW26" s="319" t="s">
        <v>190</v>
      </c>
      <c r="BX26" s="319" t="s">
        <v>190</v>
      </c>
      <c r="BY26" s="319" t="s">
        <v>190</v>
      </c>
      <c r="BZ26" s="319" t="s">
        <v>190</v>
      </c>
      <c r="CA26" s="319" t="s">
        <v>190</v>
      </c>
      <c r="CB26" s="319" t="s">
        <v>190</v>
      </c>
      <c r="CC26" s="319" t="s">
        <v>190</v>
      </c>
      <c r="CD26" s="319" t="s">
        <v>190</v>
      </c>
      <c r="CE26" s="319" t="s">
        <v>190</v>
      </c>
      <c r="CF26" s="319" t="s">
        <v>190</v>
      </c>
      <c r="CG26" s="319" t="s">
        <v>190</v>
      </c>
      <c r="CH26" s="319" t="s">
        <v>190</v>
      </c>
      <c r="CI26" s="319" t="s">
        <v>190</v>
      </c>
      <c r="CJ26" s="319" t="s">
        <v>190</v>
      </c>
      <c r="CK26" s="319" t="s">
        <v>190</v>
      </c>
      <c r="CL26" s="319" t="s">
        <v>190</v>
      </c>
      <c r="CM26" s="319" t="s">
        <v>190</v>
      </c>
      <c r="CN26" s="319" t="s">
        <v>428</v>
      </c>
      <c r="CO26" s="319" t="s">
        <v>428</v>
      </c>
      <c r="CP26" s="319" t="s">
        <v>428</v>
      </c>
      <c r="CQ26" s="319" t="s">
        <v>190</v>
      </c>
      <c r="CR26" s="319" t="s">
        <v>190</v>
      </c>
      <c r="CS26" s="319" t="s">
        <v>190</v>
      </c>
      <c r="CT26" s="319" t="s">
        <v>190</v>
      </c>
      <c r="CU26" s="319" t="s">
        <v>190</v>
      </c>
      <c r="CV26" s="319" t="s">
        <v>190</v>
      </c>
      <c r="CW26" s="319" t="s">
        <v>190</v>
      </c>
      <c r="CX26" s="319" t="s">
        <v>190</v>
      </c>
      <c r="CY26" s="319" t="s">
        <v>190</v>
      </c>
      <c r="CZ26" s="319" t="s">
        <v>190</v>
      </c>
      <c r="DA26" s="319" t="s">
        <v>190</v>
      </c>
      <c r="DB26" s="319" t="s">
        <v>190</v>
      </c>
      <c r="DC26" s="319" t="s">
        <v>190</v>
      </c>
      <c r="DD26" s="319" t="s">
        <v>190</v>
      </c>
      <c r="DE26" s="319" t="s">
        <v>190</v>
      </c>
      <c r="DF26" s="319" t="s">
        <v>190</v>
      </c>
      <c r="DG26" s="319" t="s">
        <v>190</v>
      </c>
      <c r="DH26" s="319" t="s">
        <v>190</v>
      </c>
      <c r="DI26" s="319" t="s">
        <v>190</v>
      </c>
      <c r="DJ26" s="319" t="s">
        <v>190</v>
      </c>
      <c r="DK26" s="319" t="s">
        <v>190</v>
      </c>
      <c r="DL26" s="319" t="s">
        <v>190</v>
      </c>
      <c r="DM26" s="319" t="s">
        <v>190</v>
      </c>
      <c r="DN26" s="319" t="s">
        <v>428</v>
      </c>
      <c r="DO26" s="319" t="s">
        <v>190</v>
      </c>
      <c r="DP26" s="319" t="s">
        <v>428</v>
      </c>
      <c r="DQ26" s="319" t="s">
        <v>428</v>
      </c>
      <c r="DR26" s="319" t="s">
        <v>428</v>
      </c>
      <c r="DS26" s="319" t="s">
        <v>428</v>
      </c>
      <c r="DT26" s="319" t="s">
        <v>428</v>
      </c>
      <c r="DU26" s="319" t="s">
        <v>428</v>
      </c>
      <c r="DV26" s="319" t="s">
        <v>173</v>
      </c>
      <c r="DW26" s="319" t="s">
        <v>428</v>
      </c>
      <c r="DX26" s="319" t="s">
        <v>428</v>
      </c>
      <c r="DY26" s="319" t="s">
        <v>428</v>
      </c>
      <c r="DZ26" s="319" t="s">
        <v>428</v>
      </c>
      <c r="EA26" s="319" t="s">
        <v>428</v>
      </c>
      <c r="EB26" s="319" t="s">
        <v>428</v>
      </c>
      <c r="EC26" s="319" t="s">
        <v>428</v>
      </c>
      <c r="ED26" s="319" t="s">
        <v>428</v>
      </c>
      <c r="EE26" s="319" t="s">
        <v>190</v>
      </c>
      <c r="EF26" s="319" t="s">
        <v>190</v>
      </c>
      <c r="EG26" s="319" t="s">
        <v>190</v>
      </c>
      <c r="EH26" s="319" t="s">
        <v>190</v>
      </c>
      <c r="EI26" s="319" t="s">
        <v>190</v>
      </c>
      <c r="EJ26" s="319" t="s">
        <v>190</v>
      </c>
      <c r="EK26" s="319" t="s">
        <v>190</v>
      </c>
      <c r="EL26" s="319" t="s">
        <v>190</v>
      </c>
      <c r="EM26" s="319" t="s">
        <v>190</v>
      </c>
      <c r="EN26" s="319" t="s">
        <v>190</v>
      </c>
      <c r="EO26" s="319" t="s">
        <v>190</v>
      </c>
      <c r="EP26" s="319" t="s">
        <v>190</v>
      </c>
      <c r="EQ26" s="319" t="s">
        <v>190</v>
      </c>
      <c r="ER26" s="319" t="s">
        <v>190</v>
      </c>
      <c r="ES26" s="319" t="s">
        <v>190</v>
      </c>
      <c r="ET26" s="319" t="s">
        <v>190</v>
      </c>
      <c r="EU26" s="319" t="s">
        <v>190</v>
      </c>
      <c r="EV26" s="319" t="s">
        <v>190</v>
      </c>
      <c r="EW26" s="319" t="s">
        <v>190</v>
      </c>
      <c r="EX26" s="319" t="s">
        <v>190</v>
      </c>
      <c r="EY26" s="319" t="s">
        <v>190</v>
      </c>
      <c r="EZ26" s="319" t="s">
        <v>190</v>
      </c>
      <c r="FA26" s="319" t="s">
        <v>190</v>
      </c>
      <c r="FB26" s="319" t="s">
        <v>428</v>
      </c>
      <c r="FC26" s="319" t="s">
        <v>428</v>
      </c>
      <c r="FD26" s="319" t="s">
        <v>428</v>
      </c>
      <c r="FE26" s="319" t="s">
        <v>428</v>
      </c>
      <c r="FF26" s="319" t="s">
        <v>428</v>
      </c>
      <c r="FG26" s="319" t="s">
        <v>428</v>
      </c>
      <c r="FH26" s="319" t="s">
        <v>190</v>
      </c>
      <c r="FI26" s="319" t="s">
        <v>190</v>
      </c>
      <c r="FJ26" s="319" t="s">
        <v>190</v>
      </c>
      <c r="FK26" s="319" t="s">
        <v>190</v>
      </c>
      <c r="FL26" s="319" t="s">
        <v>190</v>
      </c>
      <c r="FM26" s="319" t="s">
        <v>190</v>
      </c>
      <c r="FN26" s="319" t="s">
        <v>190</v>
      </c>
      <c r="FO26" s="319" t="s">
        <v>190</v>
      </c>
      <c r="FP26" s="319" t="s">
        <v>190</v>
      </c>
      <c r="FQ26" s="319" t="s">
        <v>190</v>
      </c>
      <c r="FR26" s="319" t="s">
        <v>190</v>
      </c>
      <c r="FS26" s="319" t="s">
        <v>428</v>
      </c>
      <c r="FT26" s="319" t="s">
        <v>190</v>
      </c>
      <c r="FU26" s="319" t="s">
        <v>190</v>
      </c>
      <c r="FV26" s="319" t="s">
        <v>190</v>
      </c>
      <c r="FW26" s="319" t="s">
        <v>190</v>
      </c>
      <c r="FX26" s="319" t="s">
        <v>190</v>
      </c>
      <c r="FY26" s="319" t="s">
        <v>190</v>
      </c>
      <c r="FZ26" s="319" t="s">
        <v>190</v>
      </c>
      <c r="GA26" s="319" t="s">
        <v>190</v>
      </c>
      <c r="GB26" s="319" t="s">
        <v>190</v>
      </c>
      <c r="GC26" s="319" t="s">
        <v>190</v>
      </c>
      <c r="GD26" s="319" t="s">
        <v>190</v>
      </c>
      <c r="GE26" s="319" t="s">
        <v>190</v>
      </c>
      <c r="GF26" s="319" t="s">
        <v>190</v>
      </c>
      <c r="GG26" s="319" t="s">
        <v>190</v>
      </c>
      <c r="GH26" s="319" t="s">
        <v>190</v>
      </c>
      <c r="GI26" s="319" t="s">
        <v>190</v>
      </c>
      <c r="GJ26" s="319" t="s">
        <v>190</v>
      </c>
      <c r="GK26" s="319" t="s">
        <v>428</v>
      </c>
      <c r="GL26" s="319" t="s">
        <v>190</v>
      </c>
      <c r="GM26" s="319" t="s">
        <v>190</v>
      </c>
      <c r="GN26" s="319" t="s">
        <v>190</v>
      </c>
      <c r="GO26" s="319" t="s">
        <v>190</v>
      </c>
      <c r="GP26" s="319" t="s">
        <v>190</v>
      </c>
      <c r="GQ26" s="319" t="s">
        <v>428</v>
      </c>
      <c r="GR26" s="319" t="s">
        <v>190</v>
      </c>
      <c r="GS26" s="319" t="s">
        <v>190</v>
      </c>
      <c r="GT26" s="319" t="s">
        <v>428</v>
      </c>
      <c r="GU26" s="319" t="s">
        <v>428</v>
      </c>
      <c r="GV26" s="319" t="s">
        <v>190</v>
      </c>
      <c r="GW26" s="319" t="s">
        <v>190</v>
      </c>
      <c r="GX26" s="319" t="s">
        <v>190</v>
      </c>
      <c r="GY26" s="319" t="s">
        <v>190</v>
      </c>
      <c r="GZ26" s="319" t="s">
        <v>428</v>
      </c>
      <c r="HA26" s="319" t="s">
        <v>190</v>
      </c>
      <c r="HB26" s="319" t="s">
        <v>190</v>
      </c>
      <c r="HC26" s="319" t="s">
        <v>190</v>
      </c>
      <c r="HD26" s="319" t="s">
        <v>190</v>
      </c>
      <c r="HE26" s="319" t="s">
        <v>190</v>
      </c>
      <c r="HF26" s="319" t="s">
        <v>190</v>
      </c>
      <c r="HG26" s="319" t="s">
        <v>190</v>
      </c>
      <c r="HH26" s="319" t="s">
        <v>190</v>
      </c>
      <c r="HI26" s="319" t="s">
        <v>190</v>
      </c>
      <c r="HJ26" s="319" t="s">
        <v>190</v>
      </c>
      <c r="HK26" s="319" t="s">
        <v>190</v>
      </c>
      <c r="HL26" s="319" t="s">
        <v>190</v>
      </c>
      <c r="HM26" s="319" t="s">
        <v>428</v>
      </c>
      <c r="HN26" s="319" t="s">
        <v>428</v>
      </c>
      <c r="HO26" s="319" t="s">
        <v>428</v>
      </c>
      <c r="HP26" s="319" t="s">
        <v>190</v>
      </c>
      <c r="HQ26" s="319" t="s">
        <v>190</v>
      </c>
      <c r="HR26" s="319" t="s">
        <v>190</v>
      </c>
      <c r="HS26" s="319" t="s">
        <v>190</v>
      </c>
      <c r="HT26" s="319" t="s">
        <v>190</v>
      </c>
      <c r="HU26" s="319" t="s">
        <v>190</v>
      </c>
      <c r="HV26" s="319" t="s">
        <v>190</v>
      </c>
      <c r="HW26" s="319" t="s">
        <v>190</v>
      </c>
      <c r="HX26" s="319" t="s">
        <v>190</v>
      </c>
      <c r="HY26" s="319" t="s">
        <v>190</v>
      </c>
      <c r="HZ26" s="319" t="s">
        <v>190</v>
      </c>
      <c r="IA26" s="319" t="s">
        <v>190</v>
      </c>
      <c r="IB26" s="319" t="s">
        <v>190</v>
      </c>
      <c r="IC26" s="319" t="s">
        <v>190</v>
      </c>
      <c r="ID26" s="319" t="s">
        <v>190</v>
      </c>
      <c r="IE26" s="319" t="s">
        <v>190</v>
      </c>
      <c r="IF26" s="319" t="s">
        <v>190</v>
      </c>
      <c r="IG26" s="319" t="s">
        <v>190</v>
      </c>
      <c r="IH26" s="319" t="s">
        <v>190</v>
      </c>
      <c r="II26" s="319" t="s">
        <v>190</v>
      </c>
      <c r="IJ26" s="319" t="s">
        <v>2791</v>
      </c>
      <c r="IK26" s="321">
        <v>41408</v>
      </c>
      <c r="IL26" s="321">
        <v>41410</v>
      </c>
      <c r="IM26" s="321">
        <v>41457</v>
      </c>
      <c r="IN26" s="319">
        <v>2</v>
      </c>
      <c r="IO26" s="319" t="s">
        <v>173</v>
      </c>
      <c r="IP26" s="319" t="s">
        <v>173</v>
      </c>
      <c r="IQ26" s="321" t="s">
        <v>173</v>
      </c>
      <c r="IR26" s="320" t="s">
        <v>173</v>
      </c>
      <c r="IS26" s="322" t="s">
        <v>173</v>
      </c>
      <c r="IT26" s="319" t="s">
        <v>173</v>
      </c>
    </row>
    <row r="27" spans="1:254" s="271" customFormat="1" x14ac:dyDescent="0.25">
      <c r="A27" s="318" t="str">
        <f>HYPERLINK("http://www.ofsted.gov.uk/inspection-reports/find-inspection-report/provider/ELS/100518 ","Ofsted School Webpage")</f>
        <v>Ofsted School Webpage</v>
      </c>
      <c r="B27" s="319">
        <v>100518</v>
      </c>
      <c r="C27" s="319">
        <v>2076188</v>
      </c>
      <c r="D27" s="319" t="s">
        <v>1236</v>
      </c>
      <c r="E27" s="319" t="s">
        <v>167</v>
      </c>
      <c r="F27" s="319" t="s">
        <v>81</v>
      </c>
      <c r="G27" s="319" t="s">
        <v>81</v>
      </c>
      <c r="H27" s="319" t="s">
        <v>81</v>
      </c>
      <c r="I27" s="319" t="s">
        <v>78</v>
      </c>
      <c r="J27" s="319" t="s">
        <v>424</v>
      </c>
      <c r="K27" s="319" t="s">
        <v>441</v>
      </c>
      <c r="L27" s="319" t="s">
        <v>441</v>
      </c>
      <c r="M27" s="319" t="s">
        <v>567</v>
      </c>
      <c r="N27" s="319" t="s">
        <v>2790</v>
      </c>
      <c r="O27" s="319" t="s">
        <v>1237</v>
      </c>
      <c r="P27" s="319">
        <v>698</v>
      </c>
      <c r="Q27" s="319" t="s">
        <v>2766</v>
      </c>
      <c r="R27" s="320">
        <v>10038150</v>
      </c>
      <c r="S27" s="321">
        <v>43116</v>
      </c>
      <c r="T27" s="321">
        <v>43118</v>
      </c>
      <c r="U27" s="321">
        <v>43157</v>
      </c>
      <c r="V27" s="319" t="s">
        <v>425</v>
      </c>
      <c r="W27" s="319" t="s">
        <v>2767</v>
      </c>
      <c r="X27" s="319">
        <v>2</v>
      </c>
      <c r="Y27" s="319" t="s">
        <v>173</v>
      </c>
      <c r="Z27" s="319" t="s">
        <v>173</v>
      </c>
      <c r="AA27" s="319" t="s">
        <v>173</v>
      </c>
      <c r="AB27" s="319">
        <v>2</v>
      </c>
      <c r="AC27" s="319" t="s">
        <v>169</v>
      </c>
      <c r="AD27" s="319">
        <v>2</v>
      </c>
      <c r="AE27" s="319" t="s">
        <v>173</v>
      </c>
      <c r="AF27" s="319" t="s">
        <v>427</v>
      </c>
      <c r="AG27" s="319" t="s">
        <v>171</v>
      </c>
      <c r="AH27" s="319" t="s">
        <v>190</v>
      </c>
      <c r="AI27" s="319" t="s">
        <v>190</v>
      </c>
      <c r="AJ27" s="319" t="s">
        <v>190</v>
      </c>
      <c r="AK27" s="319" t="s">
        <v>190</v>
      </c>
      <c r="AL27" s="319" t="s">
        <v>190</v>
      </c>
      <c r="AM27" s="319" t="s">
        <v>190</v>
      </c>
      <c r="AN27" s="319" t="s">
        <v>190</v>
      </c>
      <c r="AO27" s="319" t="s">
        <v>190</v>
      </c>
      <c r="AP27" s="319" t="s">
        <v>190</v>
      </c>
      <c r="AQ27" s="319" t="s">
        <v>190</v>
      </c>
      <c r="AR27" s="319" t="s">
        <v>190</v>
      </c>
      <c r="AS27" s="319" t="s">
        <v>190</v>
      </c>
      <c r="AT27" s="319" t="s">
        <v>190</v>
      </c>
      <c r="AU27" s="319" t="s">
        <v>190</v>
      </c>
      <c r="AV27" s="319" t="s">
        <v>190</v>
      </c>
      <c r="AW27" s="319" t="s">
        <v>190</v>
      </c>
      <c r="AX27" s="319" t="s">
        <v>190</v>
      </c>
      <c r="AY27" s="319" t="s">
        <v>190</v>
      </c>
      <c r="AZ27" s="319" t="s">
        <v>190</v>
      </c>
      <c r="BA27" s="319" t="s">
        <v>190</v>
      </c>
      <c r="BB27" s="319" t="s">
        <v>190</v>
      </c>
      <c r="BC27" s="319" t="s">
        <v>190</v>
      </c>
      <c r="BD27" s="319" t="s">
        <v>190</v>
      </c>
      <c r="BE27" s="319" t="s">
        <v>190</v>
      </c>
      <c r="BF27" s="319" t="s">
        <v>190</v>
      </c>
      <c r="BG27" s="319" t="s">
        <v>190</v>
      </c>
      <c r="BH27" s="319" t="s">
        <v>190</v>
      </c>
      <c r="BI27" s="319" t="s">
        <v>190</v>
      </c>
      <c r="BJ27" s="319" t="s">
        <v>190</v>
      </c>
      <c r="BK27" s="319" t="s">
        <v>190</v>
      </c>
      <c r="BL27" s="319" t="s">
        <v>190</v>
      </c>
      <c r="BM27" s="319" t="s">
        <v>190</v>
      </c>
      <c r="BN27" s="319" t="s">
        <v>190</v>
      </c>
      <c r="BO27" s="319" t="s">
        <v>190</v>
      </c>
      <c r="BP27" s="319" t="s">
        <v>190</v>
      </c>
      <c r="BQ27" s="319" t="s">
        <v>190</v>
      </c>
      <c r="BR27" s="319" t="s">
        <v>190</v>
      </c>
      <c r="BS27" s="319" t="s">
        <v>190</v>
      </c>
      <c r="BT27" s="319" t="s">
        <v>190</v>
      </c>
      <c r="BU27" s="319" t="s">
        <v>190</v>
      </c>
      <c r="BV27" s="319" t="s">
        <v>190</v>
      </c>
      <c r="BW27" s="319" t="s">
        <v>190</v>
      </c>
      <c r="BX27" s="319" t="s">
        <v>190</v>
      </c>
      <c r="BY27" s="319" t="s">
        <v>190</v>
      </c>
      <c r="BZ27" s="319" t="s">
        <v>190</v>
      </c>
      <c r="CA27" s="319" t="s">
        <v>190</v>
      </c>
      <c r="CB27" s="319" t="s">
        <v>190</v>
      </c>
      <c r="CC27" s="319" t="s">
        <v>190</v>
      </c>
      <c r="CD27" s="319" t="s">
        <v>190</v>
      </c>
      <c r="CE27" s="319" t="s">
        <v>190</v>
      </c>
      <c r="CF27" s="319" t="s">
        <v>190</v>
      </c>
      <c r="CG27" s="319" t="s">
        <v>190</v>
      </c>
      <c r="CH27" s="319" t="s">
        <v>190</v>
      </c>
      <c r="CI27" s="319" t="s">
        <v>190</v>
      </c>
      <c r="CJ27" s="319" t="s">
        <v>190</v>
      </c>
      <c r="CK27" s="319" t="s">
        <v>190</v>
      </c>
      <c r="CL27" s="319" t="s">
        <v>190</v>
      </c>
      <c r="CM27" s="319" t="s">
        <v>190</v>
      </c>
      <c r="CN27" s="319" t="s">
        <v>428</v>
      </c>
      <c r="CO27" s="319" t="s">
        <v>428</v>
      </c>
      <c r="CP27" s="319" t="s">
        <v>428</v>
      </c>
      <c r="CQ27" s="319" t="s">
        <v>190</v>
      </c>
      <c r="CR27" s="319" t="s">
        <v>190</v>
      </c>
      <c r="CS27" s="319" t="s">
        <v>190</v>
      </c>
      <c r="CT27" s="319" t="s">
        <v>190</v>
      </c>
      <c r="CU27" s="319" t="s">
        <v>190</v>
      </c>
      <c r="CV27" s="319" t="s">
        <v>190</v>
      </c>
      <c r="CW27" s="319" t="s">
        <v>190</v>
      </c>
      <c r="CX27" s="319" t="s">
        <v>190</v>
      </c>
      <c r="CY27" s="319" t="s">
        <v>190</v>
      </c>
      <c r="CZ27" s="319" t="s">
        <v>190</v>
      </c>
      <c r="DA27" s="319" t="s">
        <v>190</v>
      </c>
      <c r="DB27" s="319" t="s">
        <v>190</v>
      </c>
      <c r="DC27" s="319" t="s">
        <v>190</v>
      </c>
      <c r="DD27" s="319" t="s">
        <v>190</v>
      </c>
      <c r="DE27" s="319" t="s">
        <v>190</v>
      </c>
      <c r="DF27" s="319" t="s">
        <v>190</v>
      </c>
      <c r="DG27" s="319" t="s">
        <v>190</v>
      </c>
      <c r="DH27" s="319" t="s">
        <v>190</v>
      </c>
      <c r="DI27" s="319" t="s">
        <v>190</v>
      </c>
      <c r="DJ27" s="319" t="s">
        <v>190</v>
      </c>
      <c r="DK27" s="319" t="s">
        <v>190</v>
      </c>
      <c r="DL27" s="319" t="s">
        <v>190</v>
      </c>
      <c r="DM27" s="319" t="s">
        <v>190</v>
      </c>
      <c r="DN27" s="319" t="s">
        <v>428</v>
      </c>
      <c r="DO27" s="319" t="s">
        <v>190</v>
      </c>
      <c r="DP27" s="319" t="s">
        <v>428</v>
      </c>
      <c r="DQ27" s="319" t="s">
        <v>428</v>
      </c>
      <c r="DR27" s="319" t="s">
        <v>428</v>
      </c>
      <c r="DS27" s="319" t="s">
        <v>428</v>
      </c>
      <c r="DT27" s="319" t="s">
        <v>428</v>
      </c>
      <c r="DU27" s="319" t="s">
        <v>428</v>
      </c>
      <c r="DV27" s="319" t="s">
        <v>173</v>
      </c>
      <c r="DW27" s="319" t="s">
        <v>428</v>
      </c>
      <c r="DX27" s="319" t="s">
        <v>428</v>
      </c>
      <c r="DY27" s="319" t="s">
        <v>428</v>
      </c>
      <c r="DZ27" s="319" t="s">
        <v>428</v>
      </c>
      <c r="EA27" s="319" t="s">
        <v>428</v>
      </c>
      <c r="EB27" s="319" t="s">
        <v>428</v>
      </c>
      <c r="EC27" s="319" t="s">
        <v>428</v>
      </c>
      <c r="ED27" s="319" t="s">
        <v>428</v>
      </c>
      <c r="EE27" s="319" t="s">
        <v>190</v>
      </c>
      <c r="EF27" s="319" t="s">
        <v>190</v>
      </c>
      <c r="EG27" s="319" t="s">
        <v>190</v>
      </c>
      <c r="EH27" s="319" t="s">
        <v>190</v>
      </c>
      <c r="EI27" s="319" t="s">
        <v>190</v>
      </c>
      <c r="EJ27" s="319" t="s">
        <v>190</v>
      </c>
      <c r="EK27" s="319" t="s">
        <v>190</v>
      </c>
      <c r="EL27" s="319" t="s">
        <v>190</v>
      </c>
      <c r="EM27" s="319" t="s">
        <v>190</v>
      </c>
      <c r="EN27" s="319" t="s">
        <v>190</v>
      </c>
      <c r="EO27" s="319" t="s">
        <v>190</v>
      </c>
      <c r="EP27" s="319" t="s">
        <v>190</v>
      </c>
      <c r="EQ27" s="319" t="s">
        <v>190</v>
      </c>
      <c r="ER27" s="319" t="s">
        <v>190</v>
      </c>
      <c r="ES27" s="319" t="s">
        <v>190</v>
      </c>
      <c r="ET27" s="319" t="s">
        <v>190</v>
      </c>
      <c r="EU27" s="319" t="s">
        <v>190</v>
      </c>
      <c r="EV27" s="319" t="s">
        <v>190</v>
      </c>
      <c r="EW27" s="319" t="s">
        <v>190</v>
      </c>
      <c r="EX27" s="319" t="s">
        <v>190</v>
      </c>
      <c r="EY27" s="319" t="s">
        <v>190</v>
      </c>
      <c r="EZ27" s="319" t="s">
        <v>190</v>
      </c>
      <c r="FA27" s="319" t="s">
        <v>190</v>
      </c>
      <c r="FB27" s="319" t="s">
        <v>428</v>
      </c>
      <c r="FC27" s="319" t="s">
        <v>190</v>
      </c>
      <c r="FD27" s="319" t="s">
        <v>190</v>
      </c>
      <c r="FE27" s="319" t="s">
        <v>190</v>
      </c>
      <c r="FF27" s="319" t="s">
        <v>190</v>
      </c>
      <c r="FG27" s="319" t="s">
        <v>190</v>
      </c>
      <c r="FH27" s="319" t="s">
        <v>190</v>
      </c>
      <c r="FI27" s="319" t="s">
        <v>190</v>
      </c>
      <c r="FJ27" s="319" t="s">
        <v>190</v>
      </c>
      <c r="FK27" s="319" t="s">
        <v>190</v>
      </c>
      <c r="FL27" s="319" t="s">
        <v>190</v>
      </c>
      <c r="FM27" s="319" t="s">
        <v>190</v>
      </c>
      <c r="FN27" s="319" t="s">
        <v>190</v>
      </c>
      <c r="FO27" s="319" t="s">
        <v>190</v>
      </c>
      <c r="FP27" s="319" t="s">
        <v>190</v>
      </c>
      <c r="FQ27" s="319" t="s">
        <v>190</v>
      </c>
      <c r="FR27" s="319" t="s">
        <v>190</v>
      </c>
      <c r="FS27" s="319" t="s">
        <v>428</v>
      </c>
      <c r="FT27" s="319" t="s">
        <v>190</v>
      </c>
      <c r="FU27" s="319" t="s">
        <v>190</v>
      </c>
      <c r="FV27" s="319" t="s">
        <v>190</v>
      </c>
      <c r="FW27" s="319" t="s">
        <v>190</v>
      </c>
      <c r="FX27" s="319" t="s">
        <v>190</v>
      </c>
      <c r="FY27" s="319" t="s">
        <v>190</v>
      </c>
      <c r="FZ27" s="319" t="s">
        <v>190</v>
      </c>
      <c r="GA27" s="319" t="s">
        <v>190</v>
      </c>
      <c r="GB27" s="319" t="s">
        <v>190</v>
      </c>
      <c r="GC27" s="319" t="s">
        <v>190</v>
      </c>
      <c r="GD27" s="319" t="s">
        <v>190</v>
      </c>
      <c r="GE27" s="319" t="s">
        <v>190</v>
      </c>
      <c r="GF27" s="319" t="s">
        <v>190</v>
      </c>
      <c r="GG27" s="319" t="s">
        <v>190</v>
      </c>
      <c r="GH27" s="319" t="s">
        <v>190</v>
      </c>
      <c r="GI27" s="319" t="s">
        <v>190</v>
      </c>
      <c r="GJ27" s="319" t="s">
        <v>190</v>
      </c>
      <c r="GK27" s="319" t="s">
        <v>428</v>
      </c>
      <c r="GL27" s="319" t="s">
        <v>190</v>
      </c>
      <c r="GM27" s="319" t="s">
        <v>190</v>
      </c>
      <c r="GN27" s="319" t="s">
        <v>190</v>
      </c>
      <c r="GO27" s="319" t="s">
        <v>190</v>
      </c>
      <c r="GP27" s="319" t="s">
        <v>190</v>
      </c>
      <c r="GQ27" s="319" t="s">
        <v>428</v>
      </c>
      <c r="GR27" s="319" t="s">
        <v>190</v>
      </c>
      <c r="GS27" s="319" t="s">
        <v>190</v>
      </c>
      <c r="GT27" s="319" t="s">
        <v>428</v>
      </c>
      <c r="GU27" s="319" t="s">
        <v>428</v>
      </c>
      <c r="GV27" s="319" t="s">
        <v>190</v>
      </c>
      <c r="GW27" s="319" t="s">
        <v>190</v>
      </c>
      <c r="GX27" s="319" t="s">
        <v>190</v>
      </c>
      <c r="GY27" s="319" t="s">
        <v>190</v>
      </c>
      <c r="GZ27" s="319" t="s">
        <v>190</v>
      </c>
      <c r="HA27" s="319" t="s">
        <v>190</v>
      </c>
      <c r="HB27" s="319" t="s">
        <v>190</v>
      </c>
      <c r="HC27" s="319" t="s">
        <v>190</v>
      </c>
      <c r="HD27" s="319" t="s">
        <v>190</v>
      </c>
      <c r="HE27" s="319" t="s">
        <v>190</v>
      </c>
      <c r="HF27" s="319" t="s">
        <v>428</v>
      </c>
      <c r="HG27" s="319" t="s">
        <v>190</v>
      </c>
      <c r="HH27" s="319" t="s">
        <v>190</v>
      </c>
      <c r="HI27" s="319" t="s">
        <v>190</v>
      </c>
      <c r="HJ27" s="319" t="s">
        <v>190</v>
      </c>
      <c r="HK27" s="319" t="s">
        <v>190</v>
      </c>
      <c r="HL27" s="319" t="s">
        <v>190</v>
      </c>
      <c r="HM27" s="319" t="s">
        <v>190</v>
      </c>
      <c r="HN27" s="319" t="s">
        <v>190</v>
      </c>
      <c r="HO27" s="319" t="s">
        <v>190</v>
      </c>
      <c r="HP27" s="319" t="s">
        <v>190</v>
      </c>
      <c r="HQ27" s="319" t="s">
        <v>190</v>
      </c>
      <c r="HR27" s="319" t="s">
        <v>190</v>
      </c>
      <c r="HS27" s="319" t="s">
        <v>190</v>
      </c>
      <c r="HT27" s="319" t="s">
        <v>190</v>
      </c>
      <c r="HU27" s="319" t="s">
        <v>190</v>
      </c>
      <c r="HV27" s="319" t="s">
        <v>190</v>
      </c>
      <c r="HW27" s="319" t="s">
        <v>190</v>
      </c>
      <c r="HX27" s="319" t="s">
        <v>190</v>
      </c>
      <c r="HY27" s="319" t="s">
        <v>190</v>
      </c>
      <c r="HZ27" s="319" t="s">
        <v>190</v>
      </c>
      <c r="IA27" s="319" t="s">
        <v>190</v>
      </c>
      <c r="IB27" s="319" t="s">
        <v>190</v>
      </c>
      <c r="IC27" s="319" t="s">
        <v>190</v>
      </c>
      <c r="ID27" s="319" t="s">
        <v>190</v>
      </c>
      <c r="IE27" s="319" t="s">
        <v>190</v>
      </c>
      <c r="IF27" s="319" t="s">
        <v>190</v>
      </c>
      <c r="IG27" s="319" t="s">
        <v>190</v>
      </c>
      <c r="IH27" s="319" t="s">
        <v>190</v>
      </c>
      <c r="II27" s="319" t="s">
        <v>190</v>
      </c>
      <c r="IJ27" s="319" t="s">
        <v>2792</v>
      </c>
      <c r="IK27" s="321">
        <v>41975</v>
      </c>
      <c r="IL27" s="321">
        <v>41977</v>
      </c>
      <c r="IM27" s="321">
        <v>42168</v>
      </c>
      <c r="IN27" s="319">
        <v>4</v>
      </c>
      <c r="IO27" s="319" t="s">
        <v>173</v>
      </c>
      <c r="IP27" s="319" t="s">
        <v>173</v>
      </c>
      <c r="IQ27" s="321" t="s">
        <v>173</v>
      </c>
      <c r="IR27" s="320" t="s">
        <v>173</v>
      </c>
      <c r="IS27" s="322" t="s">
        <v>173</v>
      </c>
      <c r="IT27" s="319" t="s">
        <v>173</v>
      </c>
    </row>
    <row r="28" spans="1:254" s="271" customFormat="1" x14ac:dyDescent="0.25">
      <c r="A28" s="318" t="str">
        <f>HYPERLINK("http://www.ofsted.gov.uk/inspection-reports/find-inspection-report/provider/ELS/100530 ","Ofsted School Webpage")</f>
        <v>Ofsted School Webpage</v>
      </c>
      <c r="B28" s="319">
        <v>100530</v>
      </c>
      <c r="C28" s="319">
        <v>2126401</v>
      </c>
      <c r="D28" s="319" t="s">
        <v>1238</v>
      </c>
      <c r="E28" s="319" t="s">
        <v>167</v>
      </c>
      <c r="F28" s="319" t="s">
        <v>81</v>
      </c>
      <c r="G28" s="319" t="s">
        <v>62</v>
      </c>
      <c r="H28" s="319" t="s">
        <v>62</v>
      </c>
      <c r="I28" s="319" t="s">
        <v>59</v>
      </c>
      <c r="J28" s="319" t="s">
        <v>424</v>
      </c>
      <c r="K28" s="319" t="s">
        <v>441</v>
      </c>
      <c r="L28" s="319" t="s">
        <v>441</v>
      </c>
      <c r="M28" s="319" t="s">
        <v>745</v>
      </c>
      <c r="N28" s="319" t="s">
        <v>2793</v>
      </c>
      <c r="O28" s="319" t="s">
        <v>1239</v>
      </c>
      <c r="P28" s="319">
        <v>578</v>
      </c>
      <c r="Q28" s="319" t="s">
        <v>2766</v>
      </c>
      <c r="R28" s="320">
        <v>10035775</v>
      </c>
      <c r="S28" s="321">
        <v>43137</v>
      </c>
      <c r="T28" s="321">
        <v>43139</v>
      </c>
      <c r="U28" s="321">
        <v>43180</v>
      </c>
      <c r="V28" s="319" t="s">
        <v>425</v>
      </c>
      <c r="W28" s="319" t="s">
        <v>2767</v>
      </c>
      <c r="X28" s="319">
        <v>1</v>
      </c>
      <c r="Y28" s="319" t="s">
        <v>173</v>
      </c>
      <c r="Z28" s="319" t="s">
        <v>173</v>
      </c>
      <c r="AA28" s="319" t="s">
        <v>173</v>
      </c>
      <c r="AB28" s="319">
        <v>1</v>
      </c>
      <c r="AC28" s="319" t="s">
        <v>169</v>
      </c>
      <c r="AD28" s="319">
        <v>1</v>
      </c>
      <c r="AE28" s="319" t="s">
        <v>173</v>
      </c>
      <c r="AF28" s="319" t="s">
        <v>427</v>
      </c>
      <c r="AG28" s="319" t="s">
        <v>171</v>
      </c>
      <c r="AH28" s="319" t="s">
        <v>190</v>
      </c>
      <c r="AI28" s="319" t="s">
        <v>190</v>
      </c>
      <c r="AJ28" s="319" t="s">
        <v>190</v>
      </c>
      <c r="AK28" s="319" t="s">
        <v>190</v>
      </c>
      <c r="AL28" s="319" t="s">
        <v>190</v>
      </c>
      <c r="AM28" s="319" t="s">
        <v>190</v>
      </c>
      <c r="AN28" s="319" t="s">
        <v>190</v>
      </c>
      <c r="AO28" s="319" t="s">
        <v>190</v>
      </c>
      <c r="AP28" s="319" t="s">
        <v>190</v>
      </c>
      <c r="AQ28" s="319" t="s">
        <v>190</v>
      </c>
      <c r="AR28" s="319" t="s">
        <v>190</v>
      </c>
      <c r="AS28" s="319" t="s">
        <v>190</v>
      </c>
      <c r="AT28" s="319" t="s">
        <v>190</v>
      </c>
      <c r="AU28" s="319" t="s">
        <v>190</v>
      </c>
      <c r="AV28" s="319" t="s">
        <v>190</v>
      </c>
      <c r="AW28" s="319" t="s">
        <v>190</v>
      </c>
      <c r="AX28" s="319" t="s">
        <v>190</v>
      </c>
      <c r="AY28" s="319" t="s">
        <v>190</v>
      </c>
      <c r="AZ28" s="319" t="s">
        <v>190</v>
      </c>
      <c r="BA28" s="319" t="s">
        <v>190</v>
      </c>
      <c r="BB28" s="319" t="s">
        <v>190</v>
      </c>
      <c r="BC28" s="319" t="s">
        <v>190</v>
      </c>
      <c r="BD28" s="319" t="s">
        <v>190</v>
      </c>
      <c r="BE28" s="319" t="s">
        <v>190</v>
      </c>
      <c r="BF28" s="319" t="s">
        <v>190</v>
      </c>
      <c r="BG28" s="319" t="s">
        <v>190</v>
      </c>
      <c r="BH28" s="319" t="s">
        <v>190</v>
      </c>
      <c r="BI28" s="319" t="s">
        <v>190</v>
      </c>
      <c r="BJ28" s="319" t="s">
        <v>190</v>
      </c>
      <c r="BK28" s="319" t="s">
        <v>190</v>
      </c>
      <c r="BL28" s="319" t="s">
        <v>190</v>
      </c>
      <c r="BM28" s="319" t="s">
        <v>190</v>
      </c>
      <c r="BN28" s="319" t="s">
        <v>190</v>
      </c>
      <c r="BO28" s="319" t="s">
        <v>190</v>
      </c>
      <c r="BP28" s="319" t="s">
        <v>190</v>
      </c>
      <c r="BQ28" s="319" t="s">
        <v>190</v>
      </c>
      <c r="BR28" s="319" t="s">
        <v>190</v>
      </c>
      <c r="BS28" s="319" t="s">
        <v>190</v>
      </c>
      <c r="BT28" s="319" t="s">
        <v>190</v>
      </c>
      <c r="BU28" s="319" t="s">
        <v>190</v>
      </c>
      <c r="BV28" s="319" t="s">
        <v>190</v>
      </c>
      <c r="BW28" s="319" t="s">
        <v>190</v>
      </c>
      <c r="BX28" s="319" t="s">
        <v>190</v>
      </c>
      <c r="BY28" s="319" t="s">
        <v>190</v>
      </c>
      <c r="BZ28" s="319" t="s">
        <v>190</v>
      </c>
      <c r="CA28" s="319" t="s">
        <v>190</v>
      </c>
      <c r="CB28" s="319" t="s">
        <v>190</v>
      </c>
      <c r="CC28" s="319" t="s">
        <v>190</v>
      </c>
      <c r="CD28" s="319" t="s">
        <v>190</v>
      </c>
      <c r="CE28" s="319" t="s">
        <v>190</v>
      </c>
      <c r="CF28" s="319" t="s">
        <v>190</v>
      </c>
      <c r="CG28" s="319" t="s">
        <v>190</v>
      </c>
      <c r="CH28" s="319" t="s">
        <v>190</v>
      </c>
      <c r="CI28" s="319" t="s">
        <v>190</v>
      </c>
      <c r="CJ28" s="319" t="s">
        <v>190</v>
      </c>
      <c r="CK28" s="319" t="s">
        <v>190</v>
      </c>
      <c r="CL28" s="319" t="s">
        <v>190</v>
      </c>
      <c r="CM28" s="319" t="s">
        <v>190</v>
      </c>
      <c r="CN28" s="319" t="s">
        <v>428</v>
      </c>
      <c r="CO28" s="319" t="s">
        <v>428</v>
      </c>
      <c r="CP28" s="319" t="s">
        <v>428</v>
      </c>
      <c r="CQ28" s="319" t="s">
        <v>190</v>
      </c>
      <c r="CR28" s="319" t="s">
        <v>190</v>
      </c>
      <c r="CS28" s="319" t="s">
        <v>190</v>
      </c>
      <c r="CT28" s="319" t="s">
        <v>190</v>
      </c>
      <c r="CU28" s="319" t="s">
        <v>190</v>
      </c>
      <c r="CV28" s="319" t="s">
        <v>190</v>
      </c>
      <c r="CW28" s="319" t="s">
        <v>190</v>
      </c>
      <c r="CX28" s="319" t="s">
        <v>190</v>
      </c>
      <c r="CY28" s="319" t="s">
        <v>190</v>
      </c>
      <c r="CZ28" s="319" t="s">
        <v>190</v>
      </c>
      <c r="DA28" s="319" t="s">
        <v>190</v>
      </c>
      <c r="DB28" s="319" t="s">
        <v>190</v>
      </c>
      <c r="DC28" s="319" t="s">
        <v>190</v>
      </c>
      <c r="DD28" s="319" t="s">
        <v>190</v>
      </c>
      <c r="DE28" s="319" t="s">
        <v>190</v>
      </c>
      <c r="DF28" s="319" t="s">
        <v>190</v>
      </c>
      <c r="DG28" s="319" t="s">
        <v>190</v>
      </c>
      <c r="DH28" s="319" t="s">
        <v>190</v>
      </c>
      <c r="DI28" s="319" t="s">
        <v>190</v>
      </c>
      <c r="DJ28" s="319" t="s">
        <v>190</v>
      </c>
      <c r="DK28" s="319" t="s">
        <v>190</v>
      </c>
      <c r="DL28" s="319" t="s">
        <v>190</v>
      </c>
      <c r="DM28" s="319" t="s">
        <v>428</v>
      </c>
      <c r="DN28" s="319" t="s">
        <v>428</v>
      </c>
      <c r="DO28" s="319" t="s">
        <v>190</v>
      </c>
      <c r="DP28" s="319" t="s">
        <v>190</v>
      </c>
      <c r="DQ28" s="319" t="s">
        <v>190</v>
      </c>
      <c r="DR28" s="319" t="s">
        <v>190</v>
      </c>
      <c r="DS28" s="319" t="s">
        <v>190</v>
      </c>
      <c r="DT28" s="319" t="s">
        <v>190</v>
      </c>
      <c r="DU28" s="319" t="s">
        <v>190</v>
      </c>
      <c r="DV28" s="319" t="s">
        <v>173</v>
      </c>
      <c r="DW28" s="319" t="s">
        <v>190</v>
      </c>
      <c r="DX28" s="319" t="s">
        <v>190</v>
      </c>
      <c r="DY28" s="319" t="s">
        <v>190</v>
      </c>
      <c r="DZ28" s="319" t="s">
        <v>190</v>
      </c>
      <c r="EA28" s="319" t="s">
        <v>190</v>
      </c>
      <c r="EB28" s="319" t="s">
        <v>190</v>
      </c>
      <c r="EC28" s="319" t="s">
        <v>428</v>
      </c>
      <c r="ED28" s="319" t="s">
        <v>190</v>
      </c>
      <c r="EE28" s="319" t="s">
        <v>190</v>
      </c>
      <c r="EF28" s="319" t="s">
        <v>190</v>
      </c>
      <c r="EG28" s="319" t="s">
        <v>190</v>
      </c>
      <c r="EH28" s="319" t="s">
        <v>190</v>
      </c>
      <c r="EI28" s="319" t="s">
        <v>190</v>
      </c>
      <c r="EJ28" s="319" t="s">
        <v>190</v>
      </c>
      <c r="EK28" s="319" t="s">
        <v>190</v>
      </c>
      <c r="EL28" s="319" t="s">
        <v>190</v>
      </c>
      <c r="EM28" s="319" t="s">
        <v>190</v>
      </c>
      <c r="EN28" s="319" t="s">
        <v>190</v>
      </c>
      <c r="EO28" s="319" t="s">
        <v>190</v>
      </c>
      <c r="EP28" s="319" t="s">
        <v>190</v>
      </c>
      <c r="EQ28" s="319" t="s">
        <v>190</v>
      </c>
      <c r="ER28" s="319" t="s">
        <v>190</v>
      </c>
      <c r="ES28" s="319" t="s">
        <v>190</v>
      </c>
      <c r="ET28" s="319" t="s">
        <v>190</v>
      </c>
      <c r="EU28" s="319" t="s">
        <v>190</v>
      </c>
      <c r="EV28" s="319" t="s">
        <v>190</v>
      </c>
      <c r="EW28" s="319" t="s">
        <v>190</v>
      </c>
      <c r="EX28" s="319" t="s">
        <v>190</v>
      </c>
      <c r="EY28" s="319" t="s">
        <v>190</v>
      </c>
      <c r="EZ28" s="319" t="s">
        <v>190</v>
      </c>
      <c r="FA28" s="319" t="s">
        <v>190</v>
      </c>
      <c r="FB28" s="319" t="s">
        <v>190</v>
      </c>
      <c r="FC28" s="319" t="s">
        <v>190</v>
      </c>
      <c r="FD28" s="319" t="s">
        <v>190</v>
      </c>
      <c r="FE28" s="319" t="s">
        <v>190</v>
      </c>
      <c r="FF28" s="319" t="s">
        <v>190</v>
      </c>
      <c r="FG28" s="319" t="s">
        <v>190</v>
      </c>
      <c r="FH28" s="319" t="s">
        <v>190</v>
      </c>
      <c r="FI28" s="319" t="s">
        <v>190</v>
      </c>
      <c r="FJ28" s="319" t="s">
        <v>190</v>
      </c>
      <c r="FK28" s="319" t="s">
        <v>190</v>
      </c>
      <c r="FL28" s="319" t="s">
        <v>190</v>
      </c>
      <c r="FM28" s="319" t="s">
        <v>190</v>
      </c>
      <c r="FN28" s="319" t="s">
        <v>190</v>
      </c>
      <c r="FO28" s="319" t="s">
        <v>190</v>
      </c>
      <c r="FP28" s="319" t="s">
        <v>190</v>
      </c>
      <c r="FQ28" s="319" t="s">
        <v>190</v>
      </c>
      <c r="FR28" s="319" t="s">
        <v>190</v>
      </c>
      <c r="FS28" s="319" t="s">
        <v>190</v>
      </c>
      <c r="FT28" s="319" t="s">
        <v>190</v>
      </c>
      <c r="FU28" s="319" t="s">
        <v>190</v>
      </c>
      <c r="FV28" s="319" t="s">
        <v>190</v>
      </c>
      <c r="FW28" s="319" t="s">
        <v>190</v>
      </c>
      <c r="FX28" s="319" t="s">
        <v>190</v>
      </c>
      <c r="FY28" s="319" t="s">
        <v>190</v>
      </c>
      <c r="FZ28" s="319" t="s">
        <v>190</v>
      </c>
      <c r="GA28" s="319" t="s">
        <v>190</v>
      </c>
      <c r="GB28" s="319" t="s">
        <v>190</v>
      </c>
      <c r="GC28" s="319" t="s">
        <v>190</v>
      </c>
      <c r="GD28" s="319" t="s">
        <v>190</v>
      </c>
      <c r="GE28" s="319" t="s">
        <v>190</v>
      </c>
      <c r="GF28" s="319" t="s">
        <v>190</v>
      </c>
      <c r="GG28" s="319" t="s">
        <v>190</v>
      </c>
      <c r="GH28" s="319" t="s">
        <v>190</v>
      </c>
      <c r="GI28" s="319" t="s">
        <v>190</v>
      </c>
      <c r="GJ28" s="319" t="s">
        <v>190</v>
      </c>
      <c r="GK28" s="319" t="s">
        <v>428</v>
      </c>
      <c r="GL28" s="319" t="s">
        <v>190</v>
      </c>
      <c r="GM28" s="319" t="s">
        <v>190</v>
      </c>
      <c r="GN28" s="319" t="s">
        <v>190</v>
      </c>
      <c r="GO28" s="319" t="s">
        <v>190</v>
      </c>
      <c r="GP28" s="319" t="s">
        <v>190</v>
      </c>
      <c r="GQ28" s="319" t="s">
        <v>190</v>
      </c>
      <c r="GR28" s="319" t="s">
        <v>190</v>
      </c>
      <c r="GS28" s="319" t="s">
        <v>190</v>
      </c>
      <c r="GT28" s="319" t="s">
        <v>428</v>
      </c>
      <c r="GU28" s="319" t="s">
        <v>428</v>
      </c>
      <c r="GV28" s="319" t="s">
        <v>190</v>
      </c>
      <c r="GW28" s="319" t="s">
        <v>190</v>
      </c>
      <c r="GX28" s="319" t="s">
        <v>190</v>
      </c>
      <c r="GY28" s="319" t="s">
        <v>190</v>
      </c>
      <c r="GZ28" s="319" t="s">
        <v>190</v>
      </c>
      <c r="HA28" s="319" t="s">
        <v>190</v>
      </c>
      <c r="HB28" s="319" t="s">
        <v>190</v>
      </c>
      <c r="HC28" s="319" t="s">
        <v>190</v>
      </c>
      <c r="HD28" s="319" t="s">
        <v>190</v>
      </c>
      <c r="HE28" s="319" t="s">
        <v>190</v>
      </c>
      <c r="HF28" s="319" t="s">
        <v>190</v>
      </c>
      <c r="HG28" s="319" t="s">
        <v>190</v>
      </c>
      <c r="HH28" s="319" t="s">
        <v>190</v>
      </c>
      <c r="HI28" s="319" t="s">
        <v>190</v>
      </c>
      <c r="HJ28" s="319" t="s">
        <v>190</v>
      </c>
      <c r="HK28" s="319" t="s">
        <v>190</v>
      </c>
      <c r="HL28" s="319" t="s">
        <v>190</v>
      </c>
      <c r="HM28" s="319" t="s">
        <v>190</v>
      </c>
      <c r="HN28" s="319" t="s">
        <v>190</v>
      </c>
      <c r="HO28" s="319" t="s">
        <v>190</v>
      </c>
      <c r="HP28" s="319" t="s">
        <v>190</v>
      </c>
      <c r="HQ28" s="319" t="s">
        <v>190</v>
      </c>
      <c r="HR28" s="319" t="s">
        <v>190</v>
      </c>
      <c r="HS28" s="319" t="s">
        <v>190</v>
      </c>
      <c r="HT28" s="319" t="s">
        <v>190</v>
      </c>
      <c r="HU28" s="319" t="s">
        <v>190</v>
      </c>
      <c r="HV28" s="319" t="s">
        <v>190</v>
      </c>
      <c r="HW28" s="319" t="s">
        <v>190</v>
      </c>
      <c r="HX28" s="319" t="s">
        <v>190</v>
      </c>
      <c r="HY28" s="319" t="s">
        <v>190</v>
      </c>
      <c r="HZ28" s="319" t="s">
        <v>190</v>
      </c>
      <c r="IA28" s="319" t="s">
        <v>190</v>
      </c>
      <c r="IB28" s="319" t="s">
        <v>190</v>
      </c>
      <c r="IC28" s="319" t="s">
        <v>190</v>
      </c>
      <c r="ID28" s="319" t="s">
        <v>190</v>
      </c>
      <c r="IE28" s="319" t="s">
        <v>190</v>
      </c>
      <c r="IF28" s="319" t="s">
        <v>190</v>
      </c>
      <c r="IG28" s="319" t="s">
        <v>190</v>
      </c>
      <c r="IH28" s="319" t="s">
        <v>190</v>
      </c>
      <c r="II28" s="319" t="s">
        <v>190</v>
      </c>
      <c r="IJ28" s="319" t="s">
        <v>2794</v>
      </c>
      <c r="IK28" s="321">
        <v>41779</v>
      </c>
      <c r="IL28" s="321">
        <v>41781</v>
      </c>
      <c r="IM28" s="321">
        <v>41801</v>
      </c>
      <c r="IN28" s="319">
        <v>1</v>
      </c>
      <c r="IO28" s="319" t="s">
        <v>173</v>
      </c>
      <c r="IP28" s="319" t="s">
        <v>173</v>
      </c>
      <c r="IQ28" s="321" t="s">
        <v>173</v>
      </c>
      <c r="IR28" s="320" t="s">
        <v>173</v>
      </c>
      <c r="IS28" s="322" t="s">
        <v>173</v>
      </c>
      <c r="IT28" s="319" t="s">
        <v>173</v>
      </c>
    </row>
    <row r="29" spans="1:254" s="271" customFormat="1" x14ac:dyDescent="0.25">
      <c r="A29" s="318" t="str">
        <f>HYPERLINK("http://www.ofsted.gov.uk/inspection-reports/find-inspection-report/provider/ELS/100534 ","Ofsted School Webpage")</f>
        <v>Ofsted School Webpage</v>
      </c>
      <c r="B29" s="319">
        <v>100534</v>
      </c>
      <c r="C29" s="319">
        <v>2076317</v>
      </c>
      <c r="D29" s="319" t="s">
        <v>1240</v>
      </c>
      <c r="E29" s="319" t="s">
        <v>167</v>
      </c>
      <c r="F29" s="319" t="s">
        <v>81</v>
      </c>
      <c r="G29" s="319" t="s">
        <v>81</v>
      </c>
      <c r="H29" s="319" t="s">
        <v>81</v>
      </c>
      <c r="I29" s="319" t="s">
        <v>78</v>
      </c>
      <c r="J29" s="319" t="s">
        <v>424</v>
      </c>
      <c r="K29" s="319" t="s">
        <v>441</v>
      </c>
      <c r="L29" s="319" t="s">
        <v>441</v>
      </c>
      <c r="M29" s="319" t="s">
        <v>567</v>
      </c>
      <c r="N29" s="319" t="s">
        <v>2790</v>
      </c>
      <c r="O29" s="319" t="s">
        <v>1241</v>
      </c>
      <c r="P29" s="319">
        <v>374</v>
      </c>
      <c r="Q29" s="319" t="s">
        <v>2766</v>
      </c>
      <c r="R29" s="320">
        <v>10012796</v>
      </c>
      <c r="S29" s="321">
        <v>43039</v>
      </c>
      <c r="T29" s="321">
        <v>43041</v>
      </c>
      <c r="U29" s="321">
        <v>43068</v>
      </c>
      <c r="V29" s="319" t="s">
        <v>425</v>
      </c>
      <c r="W29" s="319" t="s">
        <v>2767</v>
      </c>
      <c r="X29" s="319">
        <v>1</v>
      </c>
      <c r="Y29" s="319" t="s">
        <v>173</v>
      </c>
      <c r="Z29" s="319" t="s">
        <v>173</v>
      </c>
      <c r="AA29" s="319" t="s">
        <v>173</v>
      </c>
      <c r="AB29" s="319">
        <v>1</v>
      </c>
      <c r="AC29" s="319" t="s">
        <v>169</v>
      </c>
      <c r="AD29" s="319">
        <v>1</v>
      </c>
      <c r="AE29" s="319" t="s">
        <v>173</v>
      </c>
      <c r="AF29" s="319" t="s">
        <v>173</v>
      </c>
      <c r="AG29" s="319" t="s">
        <v>171</v>
      </c>
      <c r="AH29" s="319" t="s">
        <v>190</v>
      </c>
      <c r="AI29" s="319" t="s">
        <v>190</v>
      </c>
      <c r="AJ29" s="319" t="s">
        <v>190</v>
      </c>
      <c r="AK29" s="319" t="s">
        <v>190</v>
      </c>
      <c r="AL29" s="319" t="s">
        <v>190</v>
      </c>
      <c r="AM29" s="319" t="s">
        <v>190</v>
      </c>
      <c r="AN29" s="319" t="s">
        <v>190</v>
      </c>
      <c r="AO29" s="319" t="s">
        <v>190</v>
      </c>
      <c r="AP29" s="319" t="s">
        <v>190</v>
      </c>
      <c r="AQ29" s="319" t="s">
        <v>190</v>
      </c>
      <c r="AR29" s="319" t="s">
        <v>190</v>
      </c>
      <c r="AS29" s="319" t="s">
        <v>190</v>
      </c>
      <c r="AT29" s="319" t="s">
        <v>190</v>
      </c>
      <c r="AU29" s="319" t="s">
        <v>190</v>
      </c>
      <c r="AV29" s="319" t="s">
        <v>190</v>
      </c>
      <c r="AW29" s="319" t="s">
        <v>190</v>
      </c>
      <c r="AX29" s="319" t="s">
        <v>429</v>
      </c>
      <c r="AY29" s="319" t="s">
        <v>190</v>
      </c>
      <c r="AZ29" s="319" t="s">
        <v>190</v>
      </c>
      <c r="BA29" s="319" t="s">
        <v>190</v>
      </c>
      <c r="BB29" s="319" t="s">
        <v>429</v>
      </c>
      <c r="BC29" s="319" t="s">
        <v>429</v>
      </c>
      <c r="BD29" s="319" t="s">
        <v>429</v>
      </c>
      <c r="BE29" s="319" t="s">
        <v>429</v>
      </c>
      <c r="BF29" s="319" t="s">
        <v>190</v>
      </c>
      <c r="BG29" s="319" t="s">
        <v>190</v>
      </c>
      <c r="BH29" s="319" t="s">
        <v>190</v>
      </c>
      <c r="BI29" s="319" t="s">
        <v>190</v>
      </c>
      <c r="BJ29" s="319" t="s">
        <v>190</v>
      </c>
      <c r="BK29" s="319" t="s">
        <v>190</v>
      </c>
      <c r="BL29" s="319" t="s">
        <v>190</v>
      </c>
      <c r="BM29" s="319" t="s">
        <v>190</v>
      </c>
      <c r="BN29" s="319" t="s">
        <v>190</v>
      </c>
      <c r="BO29" s="319" t="s">
        <v>190</v>
      </c>
      <c r="BP29" s="319" t="s">
        <v>190</v>
      </c>
      <c r="BQ29" s="319" t="s">
        <v>190</v>
      </c>
      <c r="BR29" s="319" t="s">
        <v>190</v>
      </c>
      <c r="BS29" s="319" t="s">
        <v>190</v>
      </c>
      <c r="BT29" s="319" t="s">
        <v>190</v>
      </c>
      <c r="BU29" s="319" t="s">
        <v>190</v>
      </c>
      <c r="BV29" s="319" t="s">
        <v>190</v>
      </c>
      <c r="BW29" s="319" t="s">
        <v>190</v>
      </c>
      <c r="BX29" s="319" t="s">
        <v>190</v>
      </c>
      <c r="BY29" s="319" t="s">
        <v>190</v>
      </c>
      <c r="BZ29" s="319" t="s">
        <v>190</v>
      </c>
      <c r="CA29" s="319" t="s">
        <v>190</v>
      </c>
      <c r="CB29" s="319" t="s">
        <v>190</v>
      </c>
      <c r="CC29" s="319" t="s">
        <v>190</v>
      </c>
      <c r="CD29" s="319" t="s">
        <v>190</v>
      </c>
      <c r="CE29" s="319" t="s">
        <v>190</v>
      </c>
      <c r="CF29" s="319" t="s">
        <v>190</v>
      </c>
      <c r="CG29" s="319" t="s">
        <v>190</v>
      </c>
      <c r="CH29" s="319" t="s">
        <v>190</v>
      </c>
      <c r="CI29" s="319" t="s">
        <v>190</v>
      </c>
      <c r="CJ29" s="319" t="s">
        <v>190</v>
      </c>
      <c r="CK29" s="319" t="s">
        <v>190</v>
      </c>
      <c r="CL29" s="319" t="s">
        <v>190</v>
      </c>
      <c r="CM29" s="319" t="s">
        <v>190</v>
      </c>
      <c r="CN29" s="319" t="s">
        <v>429</v>
      </c>
      <c r="CO29" s="319" t="s">
        <v>429</v>
      </c>
      <c r="CP29" s="319" t="s">
        <v>429</v>
      </c>
      <c r="CQ29" s="319" t="s">
        <v>190</v>
      </c>
      <c r="CR29" s="319" t="s">
        <v>190</v>
      </c>
      <c r="CS29" s="319" t="s">
        <v>190</v>
      </c>
      <c r="CT29" s="319" t="s">
        <v>190</v>
      </c>
      <c r="CU29" s="319" t="s">
        <v>190</v>
      </c>
      <c r="CV29" s="319" t="s">
        <v>190</v>
      </c>
      <c r="CW29" s="319" t="s">
        <v>190</v>
      </c>
      <c r="CX29" s="319" t="s">
        <v>190</v>
      </c>
      <c r="CY29" s="319" t="s">
        <v>190</v>
      </c>
      <c r="CZ29" s="319" t="s">
        <v>190</v>
      </c>
      <c r="DA29" s="319" t="s">
        <v>190</v>
      </c>
      <c r="DB29" s="319" t="s">
        <v>190</v>
      </c>
      <c r="DC29" s="319" t="s">
        <v>190</v>
      </c>
      <c r="DD29" s="319" t="s">
        <v>190</v>
      </c>
      <c r="DE29" s="319" t="s">
        <v>190</v>
      </c>
      <c r="DF29" s="319" t="s">
        <v>190</v>
      </c>
      <c r="DG29" s="319" t="s">
        <v>190</v>
      </c>
      <c r="DH29" s="319" t="s">
        <v>190</v>
      </c>
      <c r="DI29" s="319" t="s">
        <v>190</v>
      </c>
      <c r="DJ29" s="319" t="s">
        <v>190</v>
      </c>
      <c r="DK29" s="319" t="s">
        <v>190</v>
      </c>
      <c r="DL29" s="319" t="s">
        <v>190</v>
      </c>
      <c r="DM29" s="319" t="s">
        <v>190</v>
      </c>
      <c r="DN29" s="319" t="s">
        <v>429</v>
      </c>
      <c r="DO29" s="319" t="s">
        <v>190</v>
      </c>
      <c r="DP29" s="319" t="s">
        <v>190</v>
      </c>
      <c r="DQ29" s="319" t="s">
        <v>190</v>
      </c>
      <c r="DR29" s="319" t="s">
        <v>190</v>
      </c>
      <c r="DS29" s="319" t="s">
        <v>190</v>
      </c>
      <c r="DT29" s="319" t="s">
        <v>190</v>
      </c>
      <c r="DU29" s="319" t="s">
        <v>190</v>
      </c>
      <c r="DV29" s="319" t="s">
        <v>173</v>
      </c>
      <c r="DW29" s="319" t="s">
        <v>190</v>
      </c>
      <c r="DX29" s="319" t="s">
        <v>190</v>
      </c>
      <c r="DY29" s="319" t="s">
        <v>190</v>
      </c>
      <c r="DZ29" s="319" t="s">
        <v>190</v>
      </c>
      <c r="EA29" s="319" t="s">
        <v>190</v>
      </c>
      <c r="EB29" s="319" t="s">
        <v>190</v>
      </c>
      <c r="EC29" s="319" t="s">
        <v>429</v>
      </c>
      <c r="ED29" s="319" t="s">
        <v>190</v>
      </c>
      <c r="EE29" s="319" t="s">
        <v>190</v>
      </c>
      <c r="EF29" s="319" t="s">
        <v>190</v>
      </c>
      <c r="EG29" s="319" t="s">
        <v>190</v>
      </c>
      <c r="EH29" s="319" t="s">
        <v>190</v>
      </c>
      <c r="EI29" s="319" t="s">
        <v>190</v>
      </c>
      <c r="EJ29" s="319" t="s">
        <v>190</v>
      </c>
      <c r="EK29" s="319" t="s">
        <v>190</v>
      </c>
      <c r="EL29" s="319" t="s">
        <v>190</v>
      </c>
      <c r="EM29" s="319" t="s">
        <v>190</v>
      </c>
      <c r="EN29" s="319" t="s">
        <v>190</v>
      </c>
      <c r="EO29" s="319" t="s">
        <v>190</v>
      </c>
      <c r="EP29" s="319" t="s">
        <v>190</v>
      </c>
      <c r="EQ29" s="319" t="s">
        <v>190</v>
      </c>
      <c r="ER29" s="319" t="s">
        <v>190</v>
      </c>
      <c r="ES29" s="319" t="s">
        <v>190</v>
      </c>
      <c r="ET29" s="319" t="s">
        <v>190</v>
      </c>
      <c r="EU29" s="319" t="s">
        <v>190</v>
      </c>
      <c r="EV29" s="319" t="s">
        <v>190</v>
      </c>
      <c r="EW29" s="319" t="s">
        <v>190</v>
      </c>
      <c r="EX29" s="319" t="s">
        <v>190</v>
      </c>
      <c r="EY29" s="319" t="s">
        <v>190</v>
      </c>
      <c r="EZ29" s="319" t="s">
        <v>190</v>
      </c>
      <c r="FA29" s="319" t="s">
        <v>190</v>
      </c>
      <c r="FB29" s="319" t="s">
        <v>190</v>
      </c>
      <c r="FC29" s="319" t="s">
        <v>190</v>
      </c>
      <c r="FD29" s="319" t="s">
        <v>190</v>
      </c>
      <c r="FE29" s="319" t="s">
        <v>190</v>
      </c>
      <c r="FF29" s="319" t="s">
        <v>190</v>
      </c>
      <c r="FG29" s="319" t="s">
        <v>190</v>
      </c>
      <c r="FH29" s="319" t="s">
        <v>190</v>
      </c>
      <c r="FI29" s="319" t="s">
        <v>190</v>
      </c>
      <c r="FJ29" s="319" t="s">
        <v>190</v>
      </c>
      <c r="FK29" s="319" t="s">
        <v>190</v>
      </c>
      <c r="FL29" s="319" t="s">
        <v>190</v>
      </c>
      <c r="FM29" s="319" t="s">
        <v>190</v>
      </c>
      <c r="FN29" s="319" t="s">
        <v>190</v>
      </c>
      <c r="FO29" s="319" t="s">
        <v>429</v>
      </c>
      <c r="FP29" s="319" t="s">
        <v>190</v>
      </c>
      <c r="FQ29" s="319" t="s">
        <v>190</v>
      </c>
      <c r="FR29" s="319" t="s">
        <v>190</v>
      </c>
      <c r="FS29" s="319" t="s">
        <v>429</v>
      </c>
      <c r="FT29" s="319" t="s">
        <v>190</v>
      </c>
      <c r="FU29" s="319" t="s">
        <v>190</v>
      </c>
      <c r="FV29" s="319" t="s">
        <v>190</v>
      </c>
      <c r="FW29" s="319" t="s">
        <v>190</v>
      </c>
      <c r="FX29" s="319" t="s">
        <v>190</v>
      </c>
      <c r="FY29" s="319" t="s">
        <v>190</v>
      </c>
      <c r="FZ29" s="319" t="s">
        <v>190</v>
      </c>
      <c r="GA29" s="319" t="s">
        <v>190</v>
      </c>
      <c r="GB29" s="319" t="s">
        <v>190</v>
      </c>
      <c r="GC29" s="319" t="s">
        <v>190</v>
      </c>
      <c r="GD29" s="319" t="s">
        <v>190</v>
      </c>
      <c r="GE29" s="319" t="s">
        <v>190</v>
      </c>
      <c r="GF29" s="319" t="s">
        <v>190</v>
      </c>
      <c r="GG29" s="319" t="s">
        <v>190</v>
      </c>
      <c r="GH29" s="319" t="s">
        <v>190</v>
      </c>
      <c r="GI29" s="319" t="s">
        <v>190</v>
      </c>
      <c r="GJ29" s="319" t="s">
        <v>190</v>
      </c>
      <c r="GK29" s="319" t="s">
        <v>429</v>
      </c>
      <c r="GL29" s="319" t="s">
        <v>190</v>
      </c>
      <c r="GM29" s="319" t="s">
        <v>190</v>
      </c>
      <c r="GN29" s="319" t="s">
        <v>190</v>
      </c>
      <c r="GO29" s="319" t="s">
        <v>190</v>
      </c>
      <c r="GP29" s="319" t="s">
        <v>190</v>
      </c>
      <c r="GQ29" s="319" t="s">
        <v>429</v>
      </c>
      <c r="GR29" s="319" t="s">
        <v>190</v>
      </c>
      <c r="GS29" s="319" t="s">
        <v>190</v>
      </c>
      <c r="GT29" s="319" t="s">
        <v>429</v>
      </c>
      <c r="GU29" s="319" t="s">
        <v>429</v>
      </c>
      <c r="GV29" s="319" t="s">
        <v>429</v>
      </c>
      <c r="GW29" s="319" t="s">
        <v>190</v>
      </c>
      <c r="GX29" s="319" t="s">
        <v>190</v>
      </c>
      <c r="GY29" s="319" t="s">
        <v>190</v>
      </c>
      <c r="GZ29" s="319" t="s">
        <v>190</v>
      </c>
      <c r="HA29" s="319" t="s">
        <v>190</v>
      </c>
      <c r="HB29" s="319" t="s">
        <v>429</v>
      </c>
      <c r="HC29" s="319" t="s">
        <v>190</v>
      </c>
      <c r="HD29" s="319" t="s">
        <v>190</v>
      </c>
      <c r="HE29" s="319" t="s">
        <v>190</v>
      </c>
      <c r="HF29" s="319" t="s">
        <v>190</v>
      </c>
      <c r="HG29" s="319" t="s">
        <v>190</v>
      </c>
      <c r="HH29" s="319" t="s">
        <v>190</v>
      </c>
      <c r="HI29" s="319" t="s">
        <v>190</v>
      </c>
      <c r="HJ29" s="319" t="s">
        <v>190</v>
      </c>
      <c r="HK29" s="319" t="s">
        <v>190</v>
      </c>
      <c r="HL29" s="319" t="s">
        <v>429</v>
      </c>
      <c r="HM29" s="319" t="s">
        <v>429</v>
      </c>
      <c r="HN29" s="319" t="s">
        <v>429</v>
      </c>
      <c r="HO29" s="319" t="s">
        <v>429</v>
      </c>
      <c r="HP29" s="319" t="s">
        <v>190</v>
      </c>
      <c r="HQ29" s="319" t="s">
        <v>190</v>
      </c>
      <c r="HR29" s="319" t="s">
        <v>190</v>
      </c>
      <c r="HS29" s="319" t="s">
        <v>190</v>
      </c>
      <c r="HT29" s="319" t="s">
        <v>190</v>
      </c>
      <c r="HU29" s="319" t="s">
        <v>190</v>
      </c>
      <c r="HV29" s="319" t="s">
        <v>190</v>
      </c>
      <c r="HW29" s="319" t="s">
        <v>190</v>
      </c>
      <c r="HX29" s="319" t="s">
        <v>190</v>
      </c>
      <c r="HY29" s="319" t="s">
        <v>190</v>
      </c>
      <c r="HZ29" s="319" t="s">
        <v>190</v>
      </c>
      <c r="IA29" s="319" t="s">
        <v>190</v>
      </c>
      <c r="IB29" s="319" t="s">
        <v>190</v>
      </c>
      <c r="IC29" s="319" t="s">
        <v>190</v>
      </c>
      <c r="ID29" s="319" t="s">
        <v>190</v>
      </c>
      <c r="IE29" s="319" t="s">
        <v>190</v>
      </c>
      <c r="IF29" s="319" t="s">
        <v>190</v>
      </c>
      <c r="IG29" s="319" t="s">
        <v>190</v>
      </c>
      <c r="IH29" s="319" t="s">
        <v>190</v>
      </c>
      <c r="II29" s="319" t="s">
        <v>190</v>
      </c>
      <c r="IJ29" s="319" t="s">
        <v>2795</v>
      </c>
      <c r="IK29" s="321">
        <v>40722</v>
      </c>
      <c r="IL29" s="321">
        <v>40722</v>
      </c>
      <c r="IM29" s="321">
        <v>40746</v>
      </c>
      <c r="IN29" s="319">
        <v>1</v>
      </c>
      <c r="IO29" s="319" t="s">
        <v>173</v>
      </c>
      <c r="IP29" s="319" t="s">
        <v>173</v>
      </c>
      <c r="IQ29" s="319" t="s">
        <v>173</v>
      </c>
      <c r="IR29" s="320" t="s">
        <v>173</v>
      </c>
      <c r="IS29" s="320" t="s">
        <v>173</v>
      </c>
      <c r="IT29" s="319" t="s">
        <v>173</v>
      </c>
    </row>
    <row r="30" spans="1:254" s="271" customFormat="1" x14ac:dyDescent="0.25">
      <c r="A30" s="318" t="str">
        <f>HYPERLINK("http://www.ofsted.gov.uk/inspection-reports/find-inspection-report/provider/ELS/100537 ","Ofsted School Webpage")</f>
        <v>Ofsted School Webpage</v>
      </c>
      <c r="B30" s="319">
        <v>100537</v>
      </c>
      <c r="C30" s="319">
        <v>2076348</v>
      </c>
      <c r="D30" s="319" t="s">
        <v>1242</v>
      </c>
      <c r="E30" s="319" t="s">
        <v>167</v>
      </c>
      <c r="F30" s="319" t="s">
        <v>81</v>
      </c>
      <c r="G30" s="319" t="s">
        <v>81</v>
      </c>
      <c r="H30" s="319" t="s">
        <v>81</v>
      </c>
      <c r="I30" s="319" t="s">
        <v>78</v>
      </c>
      <c r="J30" s="319" t="s">
        <v>424</v>
      </c>
      <c r="K30" s="319" t="s">
        <v>441</v>
      </c>
      <c r="L30" s="319" t="s">
        <v>441</v>
      </c>
      <c r="M30" s="319" t="s">
        <v>567</v>
      </c>
      <c r="N30" s="319" t="s">
        <v>2790</v>
      </c>
      <c r="O30" s="319" t="s">
        <v>1243</v>
      </c>
      <c r="P30" s="319">
        <v>283</v>
      </c>
      <c r="Q30" s="319" t="s">
        <v>2776</v>
      </c>
      <c r="R30" s="320">
        <v>10020765</v>
      </c>
      <c r="S30" s="321">
        <v>43131</v>
      </c>
      <c r="T30" s="321">
        <v>43133</v>
      </c>
      <c r="U30" s="321">
        <v>43173</v>
      </c>
      <c r="V30" s="319" t="s">
        <v>425</v>
      </c>
      <c r="W30" s="319" t="s">
        <v>2767</v>
      </c>
      <c r="X30" s="319">
        <v>2</v>
      </c>
      <c r="Y30" s="319" t="s">
        <v>173</v>
      </c>
      <c r="Z30" s="319" t="s">
        <v>173</v>
      </c>
      <c r="AA30" s="319" t="s">
        <v>173</v>
      </c>
      <c r="AB30" s="319">
        <v>2</v>
      </c>
      <c r="AC30" s="319" t="s">
        <v>169</v>
      </c>
      <c r="AD30" s="319" t="s">
        <v>173</v>
      </c>
      <c r="AE30" s="319">
        <v>1</v>
      </c>
      <c r="AF30" s="319" t="s">
        <v>427</v>
      </c>
      <c r="AG30" s="319" t="s">
        <v>171</v>
      </c>
      <c r="AH30" s="319" t="s">
        <v>190</v>
      </c>
      <c r="AI30" s="319" t="s">
        <v>190</v>
      </c>
      <c r="AJ30" s="319" t="s">
        <v>190</v>
      </c>
      <c r="AK30" s="319" t="s">
        <v>190</v>
      </c>
      <c r="AL30" s="319" t="s">
        <v>190</v>
      </c>
      <c r="AM30" s="319" t="s">
        <v>190</v>
      </c>
      <c r="AN30" s="319" t="s">
        <v>190</v>
      </c>
      <c r="AO30" s="319" t="s">
        <v>190</v>
      </c>
      <c r="AP30" s="319" t="s">
        <v>190</v>
      </c>
      <c r="AQ30" s="319" t="s">
        <v>190</v>
      </c>
      <c r="AR30" s="319" t="s">
        <v>190</v>
      </c>
      <c r="AS30" s="319" t="s">
        <v>190</v>
      </c>
      <c r="AT30" s="319" t="s">
        <v>190</v>
      </c>
      <c r="AU30" s="319" t="s">
        <v>190</v>
      </c>
      <c r="AV30" s="319" t="s">
        <v>190</v>
      </c>
      <c r="AW30" s="319" t="s">
        <v>190</v>
      </c>
      <c r="AX30" s="319" t="s">
        <v>428</v>
      </c>
      <c r="AY30" s="319" t="s">
        <v>190</v>
      </c>
      <c r="AZ30" s="319" t="s">
        <v>190</v>
      </c>
      <c r="BA30" s="319" t="s">
        <v>190</v>
      </c>
      <c r="BB30" s="319" t="s">
        <v>190</v>
      </c>
      <c r="BC30" s="319" t="s">
        <v>173</v>
      </c>
      <c r="BD30" s="319" t="s">
        <v>190</v>
      </c>
      <c r="BE30" s="319" t="s">
        <v>190</v>
      </c>
      <c r="BF30" s="319" t="s">
        <v>190</v>
      </c>
      <c r="BG30" s="319" t="s">
        <v>190</v>
      </c>
      <c r="BH30" s="319" t="s">
        <v>190</v>
      </c>
      <c r="BI30" s="319" t="s">
        <v>190</v>
      </c>
      <c r="BJ30" s="319" t="s">
        <v>190</v>
      </c>
      <c r="BK30" s="319" t="s">
        <v>190</v>
      </c>
      <c r="BL30" s="319" t="s">
        <v>190</v>
      </c>
      <c r="BM30" s="319" t="s">
        <v>190</v>
      </c>
      <c r="BN30" s="319" t="s">
        <v>190</v>
      </c>
      <c r="BO30" s="319" t="s">
        <v>190</v>
      </c>
      <c r="BP30" s="319" t="s">
        <v>190</v>
      </c>
      <c r="BQ30" s="319" t="s">
        <v>190</v>
      </c>
      <c r="BR30" s="319" t="s">
        <v>190</v>
      </c>
      <c r="BS30" s="319" t="s">
        <v>190</v>
      </c>
      <c r="BT30" s="319" t="s">
        <v>190</v>
      </c>
      <c r="BU30" s="319" t="s">
        <v>190</v>
      </c>
      <c r="BV30" s="319" t="s">
        <v>190</v>
      </c>
      <c r="BW30" s="319" t="s">
        <v>190</v>
      </c>
      <c r="BX30" s="319" t="s">
        <v>190</v>
      </c>
      <c r="BY30" s="319" t="s">
        <v>190</v>
      </c>
      <c r="BZ30" s="319" t="s">
        <v>190</v>
      </c>
      <c r="CA30" s="319" t="s">
        <v>190</v>
      </c>
      <c r="CB30" s="319" t="s">
        <v>190</v>
      </c>
      <c r="CC30" s="319" t="s">
        <v>190</v>
      </c>
      <c r="CD30" s="319" t="s">
        <v>190</v>
      </c>
      <c r="CE30" s="319" t="s">
        <v>190</v>
      </c>
      <c r="CF30" s="319" t="s">
        <v>190</v>
      </c>
      <c r="CG30" s="319" t="s">
        <v>190</v>
      </c>
      <c r="CH30" s="319" t="s">
        <v>190</v>
      </c>
      <c r="CI30" s="319" t="s">
        <v>190</v>
      </c>
      <c r="CJ30" s="319" t="s">
        <v>190</v>
      </c>
      <c r="CK30" s="319" t="s">
        <v>190</v>
      </c>
      <c r="CL30" s="319" t="s">
        <v>190</v>
      </c>
      <c r="CM30" s="319" t="s">
        <v>190</v>
      </c>
      <c r="CN30" s="319" t="s">
        <v>428</v>
      </c>
      <c r="CO30" s="319" t="s">
        <v>428</v>
      </c>
      <c r="CP30" s="319" t="s">
        <v>428</v>
      </c>
      <c r="CQ30" s="319" t="s">
        <v>190</v>
      </c>
      <c r="CR30" s="319" t="s">
        <v>190</v>
      </c>
      <c r="CS30" s="319" t="s">
        <v>190</v>
      </c>
      <c r="CT30" s="319" t="s">
        <v>190</v>
      </c>
      <c r="CU30" s="319" t="s">
        <v>190</v>
      </c>
      <c r="CV30" s="319" t="s">
        <v>190</v>
      </c>
      <c r="CW30" s="319" t="s">
        <v>190</v>
      </c>
      <c r="CX30" s="319" t="s">
        <v>190</v>
      </c>
      <c r="CY30" s="319" t="s">
        <v>190</v>
      </c>
      <c r="CZ30" s="319" t="s">
        <v>190</v>
      </c>
      <c r="DA30" s="319" t="s">
        <v>190</v>
      </c>
      <c r="DB30" s="319" t="s">
        <v>190</v>
      </c>
      <c r="DC30" s="319" t="s">
        <v>190</v>
      </c>
      <c r="DD30" s="319" t="s">
        <v>190</v>
      </c>
      <c r="DE30" s="319" t="s">
        <v>190</v>
      </c>
      <c r="DF30" s="319" t="s">
        <v>190</v>
      </c>
      <c r="DG30" s="319" t="s">
        <v>190</v>
      </c>
      <c r="DH30" s="319" t="s">
        <v>190</v>
      </c>
      <c r="DI30" s="319" t="s">
        <v>190</v>
      </c>
      <c r="DJ30" s="319" t="s">
        <v>190</v>
      </c>
      <c r="DK30" s="319" t="s">
        <v>190</v>
      </c>
      <c r="DL30" s="319" t="s">
        <v>190</v>
      </c>
      <c r="DM30" s="319" t="s">
        <v>190</v>
      </c>
      <c r="DN30" s="319" t="s">
        <v>428</v>
      </c>
      <c r="DO30" s="319" t="s">
        <v>190</v>
      </c>
      <c r="DP30" s="319" t="s">
        <v>190</v>
      </c>
      <c r="DQ30" s="319" t="s">
        <v>190</v>
      </c>
      <c r="DR30" s="319" t="s">
        <v>190</v>
      </c>
      <c r="DS30" s="319" t="s">
        <v>190</v>
      </c>
      <c r="DT30" s="319" t="s">
        <v>190</v>
      </c>
      <c r="DU30" s="319" t="s">
        <v>190</v>
      </c>
      <c r="DV30" s="319" t="s">
        <v>173</v>
      </c>
      <c r="DW30" s="319" t="s">
        <v>190</v>
      </c>
      <c r="DX30" s="319" t="s">
        <v>190</v>
      </c>
      <c r="DY30" s="319" t="s">
        <v>190</v>
      </c>
      <c r="DZ30" s="319" t="s">
        <v>190</v>
      </c>
      <c r="EA30" s="319" t="s">
        <v>190</v>
      </c>
      <c r="EB30" s="319" t="s">
        <v>190</v>
      </c>
      <c r="EC30" s="319" t="s">
        <v>428</v>
      </c>
      <c r="ED30" s="319" t="s">
        <v>190</v>
      </c>
      <c r="EE30" s="319" t="s">
        <v>190</v>
      </c>
      <c r="EF30" s="319" t="s">
        <v>190</v>
      </c>
      <c r="EG30" s="319" t="s">
        <v>190</v>
      </c>
      <c r="EH30" s="319" t="s">
        <v>190</v>
      </c>
      <c r="EI30" s="319" t="s">
        <v>190</v>
      </c>
      <c r="EJ30" s="319" t="s">
        <v>190</v>
      </c>
      <c r="EK30" s="319" t="s">
        <v>190</v>
      </c>
      <c r="EL30" s="319" t="s">
        <v>428</v>
      </c>
      <c r="EM30" s="319" t="s">
        <v>428</v>
      </c>
      <c r="EN30" s="319" t="s">
        <v>190</v>
      </c>
      <c r="EO30" s="319" t="s">
        <v>190</v>
      </c>
      <c r="EP30" s="319" t="s">
        <v>190</v>
      </c>
      <c r="EQ30" s="319" t="s">
        <v>190</v>
      </c>
      <c r="ER30" s="319" t="s">
        <v>190</v>
      </c>
      <c r="ES30" s="319" t="s">
        <v>190</v>
      </c>
      <c r="ET30" s="319" t="s">
        <v>190</v>
      </c>
      <c r="EU30" s="319" t="s">
        <v>190</v>
      </c>
      <c r="EV30" s="319" t="s">
        <v>190</v>
      </c>
      <c r="EW30" s="319" t="s">
        <v>190</v>
      </c>
      <c r="EX30" s="319" t="s">
        <v>190</v>
      </c>
      <c r="EY30" s="319" t="s">
        <v>190</v>
      </c>
      <c r="EZ30" s="319" t="s">
        <v>190</v>
      </c>
      <c r="FA30" s="319" t="s">
        <v>190</v>
      </c>
      <c r="FB30" s="319" t="s">
        <v>190</v>
      </c>
      <c r="FC30" s="319" t="s">
        <v>190</v>
      </c>
      <c r="FD30" s="319" t="s">
        <v>190</v>
      </c>
      <c r="FE30" s="319" t="s">
        <v>190</v>
      </c>
      <c r="FF30" s="319" t="s">
        <v>190</v>
      </c>
      <c r="FG30" s="319" t="s">
        <v>190</v>
      </c>
      <c r="FH30" s="319" t="s">
        <v>190</v>
      </c>
      <c r="FI30" s="319" t="s">
        <v>190</v>
      </c>
      <c r="FJ30" s="319" t="s">
        <v>190</v>
      </c>
      <c r="FK30" s="319" t="s">
        <v>190</v>
      </c>
      <c r="FL30" s="319" t="s">
        <v>190</v>
      </c>
      <c r="FM30" s="319" t="s">
        <v>190</v>
      </c>
      <c r="FN30" s="319" t="s">
        <v>190</v>
      </c>
      <c r="FO30" s="319" t="s">
        <v>190</v>
      </c>
      <c r="FP30" s="319" t="s">
        <v>190</v>
      </c>
      <c r="FQ30" s="319" t="s">
        <v>190</v>
      </c>
      <c r="FR30" s="319" t="s">
        <v>190</v>
      </c>
      <c r="FS30" s="319" t="s">
        <v>428</v>
      </c>
      <c r="FT30" s="319" t="s">
        <v>190</v>
      </c>
      <c r="FU30" s="319" t="s">
        <v>190</v>
      </c>
      <c r="FV30" s="319" t="s">
        <v>190</v>
      </c>
      <c r="FW30" s="319" t="s">
        <v>190</v>
      </c>
      <c r="FX30" s="319" t="s">
        <v>190</v>
      </c>
      <c r="FY30" s="319" t="s">
        <v>190</v>
      </c>
      <c r="FZ30" s="319" t="s">
        <v>190</v>
      </c>
      <c r="GA30" s="319" t="s">
        <v>190</v>
      </c>
      <c r="GB30" s="319" t="s">
        <v>190</v>
      </c>
      <c r="GC30" s="319" t="s">
        <v>190</v>
      </c>
      <c r="GD30" s="319" t="s">
        <v>190</v>
      </c>
      <c r="GE30" s="319" t="s">
        <v>190</v>
      </c>
      <c r="GF30" s="319" t="s">
        <v>190</v>
      </c>
      <c r="GG30" s="319" t="s">
        <v>190</v>
      </c>
      <c r="GH30" s="319" t="s">
        <v>190</v>
      </c>
      <c r="GI30" s="319" t="s">
        <v>190</v>
      </c>
      <c r="GJ30" s="319" t="s">
        <v>190</v>
      </c>
      <c r="GK30" s="319" t="s">
        <v>428</v>
      </c>
      <c r="GL30" s="319" t="s">
        <v>190</v>
      </c>
      <c r="GM30" s="319" t="s">
        <v>190</v>
      </c>
      <c r="GN30" s="319" t="s">
        <v>190</v>
      </c>
      <c r="GO30" s="319" t="s">
        <v>190</v>
      </c>
      <c r="GP30" s="319" t="s">
        <v>190</v>
      </c>
      <c r="GQ30" s="319" t="s">
        <v>428</v>
      </c>
      <c r="GR30" s="319" t="s">
        <v>190</v>
      </c>
      <c r="GS30" s="319" t="s">
        <v>190</v>
      </c>
      <c r="GT30" s="319" t="s">
        <v>428</v>
      </c>
      <c r="GU30" s="319" t="s">
        <v>428</v>
      </c>
      <c r="GV30" s="319" t="s">
        <v>190</v>
      </c>
      <c r="GW30" s="319" t="s">
        <v>190</v>
      </c>
      <c r="GX30" s="319" t="s">
        <v>190</v>
      </c>
      <c r="GY30" s="319" t="s">
        <v>190</v>
      </c>
      <c r="GZ30" s="319" t="s">
        <v>190</v>
      </c>
      <c r="HA30" s="319" t="s">
        <v>190</v>
      </c>
      <c r="HB30" s="319" t="s">
        <v>190</v>
      </c>
      <c r="HC30" s="319" t="s">
        <v>190</v>
      </c>
      <c r="HD30" s="319" t="s">
        <v>190</v>
      </c>
      <c r="HE30" s="319" t="s">
        <v>190</v>
      </c>
      <c r="HF30" s="319" t="s">
        <v>428</v>
      </c>
      <c r="HG30" s="319" t="s">
        <v>190</v>
      </c>
      <c r="HH30" s="319" t="s">
        <v>190</v>
      </c>
      <c r="HI30" s="319" t="s">
        <v>190</v>
      </c>
      <c r="HJ30" s="319" t="s">
        <v>190</v>
      </c>
      <c r="HK30" s="319" t="s">
        <v>190</v>
      </c>
      <c r="HL30" s="319" t="s">
        <v>190</v>
      </c>
      <c r="HM30" s="319" t="s">
        <v>428</v>
      </c>
      <c r="HN30" s="319" t="s">
        <v>428</v>
      </c>
      <c r="HO30" s="319" t="s">
        <v>428</v>
      </c>
      <c r="HP30" s="319" t="s">
        <v>190</v>
      </c>
      <c r="HQ30" s="319" t="s">
        <v>190</v>
      </c>
      <c r="HR30" s="319" t="s">
        <v>190</v>
      </c>
      <c r="HS30" s="319" t="s">
        <v>190</v>
      </c>
      <c r="HT30" s="319" t="s">
        <v>190</v>
      </c>
      <c r="HU30" s="319" t="s">
        <v>190</v>
      </c>
      <c r="HV30" s="319" t="s">
        <v>190</v>
      </c>
      <c r="HW30" s="319" t="s">
        <v>190</v>
      </c>
      <c r="HX30" s="319" t="s">
        <v>190</v>
      </c>
      <c r="HY30" s="319" t="s">
        <v>190</v>
      </c>
      <c r="HZ30" s="319" t="s">
        <v>190</v>
      </c>
      <c r="IA30" s="319" t="s">
        <v>190</v>
      </c>
      <c r="IB30" s="319" t="s">
        <v>190</v>
      </c>
      <c r="IC30" s="319" t="s">
        <v>190</v>
      </c>
      <c r="ID30" s="319" t="s">
        <v>190</v>
      </c>
      <c r="IE30" s="319" t="s">
        <v>190</v>
      </c>
      <c r="IF30" s="319" t="s">
        <v>190</v>
      </c>
      <c r="IG30" s="319" t="s">
        <v>190</v>
      </c>
      <c r="IH30" s="319" t="s">
        <v>190</v>
      </c>
      <c r="II30" s="319" t="s">
        <v>190</v>
      </c>
      <c r="IJ30" s="319" t="s">
        <v>2796</v>
      </c>
      <c r="IK30" s="321">
        <v>40513</v>
      </c>
      <c r="IL30" s="321">
        <v>40514</v>
      </c>
      <c r="IM30" s="321">
        <v>40555</v>
      </c>
      <c r="IN30" s="319">
        <v>1</v>
      </c>
      <c r="IO30" s="319" t="s">
        <v>173</v>
      </c>
      <c r="IP30" s="319" t="s">
        <v>173</v>
      </c>
      <c r="IQ30" s="319" t="s">
        <v>173</v>
      </c>
      <c r="IR30" s="320" t="s">
        <v>173</v>
      </c>
      <c r="IS30" s="320" t="s">
        <v>173</v>
      </c>
      <c r="IT30" s="319" t="s">
        <v>173</v>
      </c>
    </row>
    <row r="31" spans="1:254" s="271" customFormat="1" x14ac:dyDescent="0.25">
      <c r="A31" s="318" t="str">
        <f>HYPERLINK("http://www.ofsted.gov.uk/inspection-reports/find-inspection-report/provider/ELS/100544 ","Ofsted School Webpage")</f>
        <v>Ofsted School Webpage</v>
      </c>
      <c r="B31" s="319">
        <v>100544</v>
      </c>
      <c r="C31" s="319">
        <v>2136005</v>
      </c>
      <c r="D31" s="319" t="s">
        <v>1244</v>
      </c>
      <c r="E31" s="319" t="s">
        <v>167</v>
      </c>
      <c r="F31" s="319" t="s">
        <v>81</v>
      </c>
      <c r="G31" s="319" t="s">
        <v>81</v>
      </c>
      <c r="H31" s="319" t="s">
        <v>81</v>
      </c>
      <c r="I31" s="319" t="s">
        <v>78</v>
      </c>
      <c r="J31" s="319" t="s">
        <v>424</v>
      </c>
      <c r="K31" s="319" t="s">
        <v>441</v>
      </c>
      <c r="L31" s="319" t="s">
        <v>441</v>
      </c>
      <c r="M31" s="319" t="s">
        <v>582</v>
      </c>
      <c r="N31" s="319" t="s">
        <v>2797</v>
      </c>
      <c r="O31" s="319" t="s">
        <v>1245</v>
      </c>
      <c r="P31" s="319">
        <v>256</v>
      </c>
      <c r="Q31" s="319" t="s">
        <v>2776</v>
      </c>
      <c r="R31" s="320">
        <v>10034004</v>
      </c>
      <c r="S31" s="321">
        <v>42857</v>
      </c>
      <c r="T31" s="321">
        <v>42859</v>
      </c>
      <c r="U31" s="321">
        <v>42881</v>
      </c>
      <c r="V31" s="319" t="s">
        <v>425</v>
      </c>
      <c r="W31" s="319" t="s">
        <v>2767</v>
      </c>
      <c r="X31" s="319">
        <v>1</v>
      </c>
      <c r="Y31" s="319" t="s">
        <v>173</v>
      </c>
      <c r="Z31" s="319" t="s">
        <v>173</v>
      </c>
      <c r="AA31" s="319" t="s">
        <v>173</v>
      </c>
      <c r="AB31" s="319">
        <v>1</v>
      </c>
      <c r="AC31" s="319" t="s">
        <v>169</v>
      </c>
      <c r="AD31" s="319" t="s">
        <v>173</v>
      </c>
      <c r="AE31" s="319">
        <v>1</v>
      </c>
      <c r="AF31" s="319" t="s">
        <v>173</v>
      </c>
      <c r="AG31" s="319" t="s">
        <v>171</v>
      </c>
      <c r="AH31" s="319" t="s">
        <v>190</v>
      </c>
      <c r="AI31" s="319" t="s">
        <v>190</v>
      </c>
      <c r="AJ31" s="319" t="s">
        <v>190</v>
      </c>
      <c r="AK31" s="319" t="s">
        <v>190</v>
      </c>
      <c r="AL31" s="319" t="s">
        <v>190</v>
      </c>
      <c r="AM31" s="319" t="s">
        <v>190</v>
      </c>
      <c r="AN31" s="319" t="s">
        <v>190</v>
      </c>
      <c r="AO31" s="319" t="s">
        <v>190</v>
      </c>
      <c r="AP31" s="319" t="s">
        <v>190</v>
      </c>
      <c r="AQ31" s="319" t="s">
        <v>190</v>
      </c>
      <c r="AR31" s="319" t="s">
        <v>190</v>
      </c>
      <c r="AS31" s="319" t="s">
        <v>190</v>
      </c>
      <c r="AT31" s="319" t="s">
        <v>190</v>
      </c>
      <c r="AU31" s="319" t="s">
        <v>190</v>
      </c>
      <c r="AV31" s="319" t="s">
        <v>190</v>
      </c>
      <c r="AW31" s="319" t="s">
        <v>190</v>
      </c>
      <c r="AX31" s="319" t="s">
        <v>429</v>
      </c>
      <c r="AY31" s="319" t="s">
        <v>190</v>
      </c>
      <c r="AZ31" s="319" t="s">
        <v>190</v>
      </c>
      <c r="BA31" s="319" t="s">
        <v>190</v>
      </c>
      <c r="BB31" s="319" t="s">
        <v>190</v>
      </c>
      <c r="BC31" s="319" t="s">
        <v>190</v>
      </c>
      <c r="BD31" s="319" t="s">
        <v>190</v>
      </c>
      <c r="BE31" s="319" t="s">
        <v>190</v>
      </c>
      <c r="BF31" s="319" t="s">
        <v>429</v>
      </c>
      <c r="BG31" s="319" t="s">
        <v>190</v>
      </c>
      <c r="BH31" s="319" t="s">
        <v>190</v>
      </c>
      <c r="BI31" s="319" t="s">
        <v>190</v>
      </c>
      <c r="BJ31" s="319" t="s">
        <v>190</v>
      </c>
      <c r="BK31" s="319" t="s">
        <v>190</v>
      </c>
      <c r="BL31" s="319" t="s">
        <v>190</v>
      </c>
      <c r="BM31" s="319" t="s">
        <v>190</v>
      </c>
      <c r="BN31" s="319" t="s">
        <v>190</v>
      </c>
      <c r="BO31" s="319" t="s">
        <v>190</v>
      </c>
      <c r="BP31" s="319" t="s">
        <v>190</v>
      </c>
      <c r="BQ31" s="319" t="s">
        <v>190</v>
      </c>
      <c r="BR31" s="319" t="s">
        <v>190</v>
      </c>
      <c r="BS31" s="319" t="s">
        <v>190</v>
      </c>
      <c r="BT31" s="319" t="s">
        <v>190</v>
      </c>
      <c r="BU31" s="319" t="s">
        <v>190</v>
      </c>
      <c r="BV31" s="319" t="s">
        <v>190</v>
      </c>
      <c r="BW31" s="319" t="s">
        <v>190</v>
      </c>
      <c r="BX31" s="319" t="s">
        <v>190</v>
      </c>
      <c r="BY31" s="319" t="s">
        <v>190</v>
      </c>
      <c r="BZ31" s="319" t="s">
        <v>190</v>
      </c>
      <c r="CA31" s="319" t="s">
        <v>190</v>
      </c>
      <c r="CB31" s="319" t="s">
        <v>190</v>
      </c>
      <c r="CC31" s="319" t="s">
        <v>190</v>
      </c>
      <c r="CD31" s="319" t="s">
        <v>190</v>
      </c>
      <c r="CE31" s="319" t="s">
        <v>190</v>
      </c>
      <c r="CF31" s="319" t="s">
        <v>190</v>
      </c>
      <c r="CG31" s="319" t="s">
        <v>190</v>
      </c>
      <c r="CH31" s="319" t="s">
        <v>190</v>
      </c>
      <c r="CI31" s="319" t="s">
        <v>190</v>
      </c>
      <c r="CJ31" s="319" t="s">
        <v>190</v>
      </c>
      <c r="CK31" s="319" t="s">
        <v>190</v>
      </c>
      <c r="CL31" s="319" t="s">
        <v>190</v>
      </c>
      <c r="CM31" s="319" t="s">
        <v>190</v>
      </c>
      <c r="CN31" s="319" t="s">
        <v>429</v>
      </c>
      <c r="CO31" s="319" t="s">
        <v>429</v>
      </c>
      <c r="CP31" s="319" t="s">
        <v>429</v>
      </c>
      <c r="CQ31" s="319" t="s">
        <v>190</v>
      </c>
      <c r="CR31" s="319" t="s">
        <v>190</v>
      </c>
      <c r="CS31" s="319" t="s">
        <v>190</v>
      </c>
      <c r="CT31" s="319" t="s">
        <v>190</v>
      </c>
      <c r="CU31" s="319" t="s">
        <v>190</v>
      </c>
      <c r="CV31" s="319" t="s">
        <v>190</v>
      </c>
      <c r="CW31" s="319" t="s">
        <v>190</v>
      </c>
      <c r="CX31" s="319" t="s">
        <v>190</v>
      </c>
      <c r="CY31" s="319" t="s">
        <v>190</v>
      </c>
      <c r="CZ31" s="319" t="s">
        <v>190</v>
      </c>
      <c r="DA31" s="319" t="s">
        <v>190</v>
      </c>
      <c r="DB31" s="319" t="s">
        <v>190</v>
      </c>
      <c r="DC31" s="319" t="s">
        <v>190</v>
      </c>
      <c r="DD31" s="319" t="s">
        <v>190</v>
      </c>
      <c r="DE31" s="319" t="s">
        <v>190</v>
      </c>
      <c r="DF31" s="319" t="s">
        <v>190</v>
      </c>
      <c r="DG31" s="319" t="s">
        <v>190</v>
      </c>
      <c r="DH31" s="319" t="s">
        <v>190</v>
      </c>
      <c r="DI31" s="319" t="s">
        <v>190</v>
      </c>
      <c r="DJ31" s="319" t="s">
        <v>190</v>
      </c>
      <c r="DK31" s="319" t="s">
        <v>190</v>
      </c>
      <c r="DL31" s="319" t="s">
        <v>190</v>
      </c>
      <c r="DM31" s="319" t="s">
        <v>190</v>
      </c>
      <c r="DN31" s="319" t="s">
        <v>429</v>
      </c>
      <c r="DO31" s="319" t="s">
        <v>190</v>
      </c>
      <c r="DP31" s="319" t="s">
        <v>190</v>
      </c>
      <c r="DQ31" s="319" t="s">
        <v>190</v>
      </c>
      <c r="DR31" s="319" t="s">
        <v>190</v>
      </c>
      <c r="DS31" s="319" t="s">
        <v>190</v>
      </c>
      <c r="DT31" s="319" t="s">
        <v>190</v>
      </c>
      <c r="DU31" s="319" t="s">
        <v>190</v>
      </c>
      <c r="DV31" s="319" t="s">
        <v>173</v>
      </c>
      <c r="DW31" s="319" t="s">
        <v>190</v>
      </c>
      <c r="DX31" s="319" t="s">
        <v>190</v>
      </c>
      <c r="DY31" s="319" t="s">
        <v>190</v>
      </c>
      <c r="DZ31" s="319" t="s">
        <v>190</v>
      </c>
      <c r="EA31" s="319" t="s">
        <v>190</v>
      </c>
      <c r="EB31" s="319" t="s">
        <v>190</v>
      </c>
      <c r="EC31" s="319" t="s">
        <v>190</v>
      </c>
      <c r="ED31" s="319" t="s">
        <v>190</v>
      </c>
      <c r="EE31" s="319" t="s">
        <v>190</v>
      </c>
      <c r="EF31" s="319" t="s">
        <v>190</v>
      </c>
      <c r="EG31" s="319" t="s">
        <v>190</v>
      </c>
      <c r="EH31" s="319" t="s">
        <v>190</v>
      </c>
      <c r="EI31" s="319" t="s">
        <v>190</v>
      </c>
      <c r="EJ31" s="319" t="s">
        <v>190</v>
      </c>
      <c r="EK31" s="319" t="s">
        <v>190</v>
      </c>
      <c r="EL31" s="319" t="s">
        <v>190</v>
      </c>
      <c r="EM31" s="319" t="s">
        <v>190</v>
      </c>
      <c r="EN31" s="319" t="s">
        <v>190</v>
      </c>
      <c r="EO31" s="319" t="s">
        <v>190</v>
      </c>
      <c r="EP31" s="319" t="s">
        <v>190</v>
      </c>
      <c r="EQ31" s="319" t="s">
        <v>190</v>
      </c>
      <c r="ER31" s="319" t="s">
        <v>190</v>
      </c>
      <c r="ES31" s="319" t="s">
        <v>190</v>
      </c>
      <c r="ET31" s="319" t="s">
        <v>190</v>
      </c>
      <c r="EU31" s="319" t="s">
        <v>190</v>
      </c>
      <c r="EV31" s="319" t="s">
        <v>190</v>
      </c>
      <c r="EW31" s="319" t="s">
        <v>190</v>
      </c>
      <c r="EX31" s="319" t="s">
        <v>190</v>
      </c>
      <c r="EY31" s="319" t="s">
        <v>190</v>
      </c>
      <c r="EZ31" s="319" t="s">
        <v>190</v>
      </c>
      <c r="FA31" s="319" t="s">
        <v>190</v>
      </c>
      <c r="FB31" s="319" t="s">
        <v>190</v>
      </c>
      <c r="FC31" s="319" t="s">
        <v>190</v>
      </c>
      <c r="FD31" s="319" t="s">
        <v>190</v>
      </c>
      <c r="FE31" s="319" t="s">
        <v>190</v>
      </c>
      <c r="FF31" s="319" t="s">
        <v>190</v>
      </c>
      <c r="FG31" s="319" t="s">
        <v>190</v>
      </c>
      <c r="FH31" s="319" t="s">
        <v>190</v>
      </c>
      <c r="FI31" s="319" t="s">
        <v>190</v>
      </c>
      <c r="FJ31" s="319" t="s">
        <v>190</v>
      </c>
      <c r="FK31" s="319" t="s">
        <v>190</v>
      </c>
      <c r="FL31" s="319" t="s">
        <v>190</v>
      </c>
      <c r="FM31" s="319" t="s">
        <v>190</v>
      </c>
      <c r="FN31" s="319" t="s">
        <v>190</v>
      </c>
      <c r="FO31" s="319" t="s">
        <v>190</v>
      </c>
      <c r="FP31" s="319" t="s">
        <v>190</v>
      </c>
      <c r="FQ31" s="319" t="s">
        <v>190</v>
      </c>
      <c r="FR31" s="319" t="s">
        <v>190</v>
      </c>
      <c r="FS31" s="319" t="s">
        <v>429</v>
      </c>
      <c r="FT31" s="319" t="s">
        <v>190</v>
      </c>
      <c r="FU31" s="319" t="s">
        <v>190</v>
      </c>
      <c r="FV31" s="319" t="s">
        <v>190</v>
      </c>
      <c r="FW31" s="319" t="s">
        <v>190</v>
      </c>
      <c r="FX31" s="319" t="s">
        <v>190</v>
      </c>
      <c r="FY31" s="319" t="s">
        <v>190</v>
      </c>
      <c r="FZ31" s="319" t="s">
        <v>190</v>
      </c>
      <c r="GA31" s="319" t="s">
        <v>190</v>
      </c>
      <c r="GB31" s="319" t="s">
        <v>190</v>
      </c>
      <c r="GC31" s="319" t="s">
        <v>190</v>
      </c>
      <c r="GD31" s="319" t="s">
        <v>190</v>
      </c>
      <c r="GE31" s="319" t="s">
        <v>190</v>
      </c>
      <c r="GF31" s="319" t="s">
        <v>190</v>
      </c>
      <c r="GG31" s="319" t="s">
        <v>190</v>
      </c>
      <c r="GH31" s="319" t="s">
        <v>190</v>
      </c>
      <c r="GI31" s="319" t="s">
        <v>190</v>
      </c>
      <c r="GJ31" s="319" t="s">
        <v>190</v>
      </c>
      <c r="GK31" s="319" t="s">
        <v>429</v>
      </c>
      <c r="GL31" s="319" t="s">
        <v>190</v>
      </c>
      <c r="GM31" s="319" t="s">
        <v>190</v>
      </c>
      <c r="GN31" s="319" t="s">
        <v>190</v>
      </c>
      <c r="GO31" s="319" t="s">
        <v>190</v>
      </c>
      <c r="GP31" s="319" t="s">
        <v>190</v>
      </c>
      <c r="GQ31" s="319" t="s">
        <v>429</v>
      </c>
      <c r="GR31" s="319" t="s">
        <v>190</v>
      </c>
      <c r="GS31" s="319" t="s">
        <v>190</v>
      </c>
      <c r="GT31" s="319" t="s">
        <v>429</v>
      </c>
      <c r="GU31" s="319" t="s">
        <v>429</v>
      </c>
      <c r="GV31" s="319" t="s">
        <v>429</v>
      </c>
      <c r="GW31" s="319" t="s">
        <v>190</v>
      </c>
      <c r="GX31" s="319" t="s">
        <v>190</v>
      </c>
      <c r="GY31" s="319" t="s">
        <v>190</v>
      </c>
      <c r="GZ31" s="319" t="s">
        <v>190</v>
      </c>
      <c r="HA31" s="319" t="s">
        <v>429</v>
      </c>
      <c r="HB31" s="319" t="s">
        <v>429</v>
      </c>
      <c r="HC31" s="319" t="s">
        <v>190</v>
      </c>
      <c r="HD31" s="319" t="s">
        <v>190</v>
      </c>
      <c r="HE31" s="319" t="s">
        <v>190</v>
      </c>
      <c r="HF31" s="319" t="s">
        <v>190</v>
      </c>
      <c r="HG31" s="319" t="s">
        <v>190</v>
      </c>
      <c r="HH31" s="319" t="s">
        <v>190</v>
      </c>
      <c r="HI31" s="319" t="s">
        <v>190</v>
      </c>
      <c r="HJ31" s="319" t="s">
        <v>190</v>
      </c>
      <c r="HK31" s="319" t="s">
        <v>190</v>
      </c>
      <c r="HL31" s="319" t="s">
        <v>429</v>
      </c>
      <c r="HM31" s="319" t="s">
        <v>429</v>
      </c>
      <c r="HN31" s="319" t="s">
        <v>429</v>
      </c>
      <c r="HO31" s="319" t="s">
        <v>429</v>
      </c>
      <c r="HP31" s="319" t="s">
        <v>190</v>
      </c>
      <c r="HQ31" s="319" t="s">
        <v>190</v>
      </c>
      <c r="HR31" s="319" t="s">
        <v>190</v>
      </c>
      <c r="HS31" s="319" t="s">
        <v>190</v>
      </c>
      <c r="HT31" s="319" t="s">
        <v>190</v>
      </c>
      <c r="HU31" s="319" t="s">
        <v>190</v>
      </c>
      <c r="HV31" s="319" t="s">
        <v>190</v>
      </c>
      <c r="HW31" s="319" t="s">
        <v>190</v>
      </c>
      <c r="HX31" s="319" t="s">
        <v>190</v>
      </c>
      <c r="HY31" s="319" t="s">
        <v>190</v>
      </c>
      <c r="HZ31" s="319" t="s">
        <v>190</v>
      </c>
      <c r="IA31" s="319" t="s">
        <v>190</v>
      </c>
      <c r="IB31" s="319" t="s">
        <v>190</v>
      </c>
      <c r="IC31" s="319" t="s">
        <v>190</v>
      </c>
      <c r="ID31" s="319" t="s">
        <v>190</v>
      </c>
      <c r="IE31" s="319" t="s">
        <v>190</v>
      </c>
      <c r="IF31" s="319" t="s">
        <v>190</v>
      </c>
      <c r="IG31" s="319" t="s">
        <v>190</v>
      </c>
      <c r="IH31" s="319" t="s">
        <v>190</v>
      </c>
      <c r="II31" s="319" t="s">
        <v>190</v>
      </c>
      <c r="IJ31" s="319" t="s">
        <v>2798</v>
      </c>
      <c r="IK31" s="321">
        <v>41611</v>
      </c>
      <c r="IL31" s="321">
        <v>41613</v>
      </c>
      <c r="IM31" s="321">
        <v>41738</v>
      </c>
      <c r="IN31" s="319">
        <v>2</v>
      </c>
      <c r="IO31" s="319" t="s">
        <v>173</v>
      </c>
      <c r="IP31" s="319" t="s">
        <v>173</v>
      </c>
      <c r="IQ31" s="321" t="s">
        <v>173</v>
      </c>
      <c r="IR31" s="320" t="s">
        <v>173</v>
      </c>
      <c r="IS31" s="322" t="s">
        <v>173</v>
      </c>
      <c r="IT31" s="319" t="s">
        <v>173</v>
      </c>
    </row>
    <row r="32" spans="1:254" s="271" customFormat="1" x14ac:dyDescent="0.25">
      <c r="A32" s="318" t="str">
        <f>HYPERLINK("http://www.ofsted.gov.uk/inspection-reports/find-inspection-report/provider/ELS/100545 ","Ofsted School Webpage")</f>
        <v>Ofsted School Webpage</v>
      </c>
      <c r="B32" s="319">
        <v>100545</v>
      </c>
      <c r="C32" s="319">
        <v>2076387</v>
      </c>
      <c r="D32" s="319" t="s">
        <v>1246</v>
      </c>
      <c r="E32" s="319" t="s">
        <v>167</v>
      </c>
      <c r="F32" s="319" t="s">
        <v>81</v>
      </c>
      <c r="G32" s="319" t="s">
        <v>81</v>
      </c>
      <c r="H32" s="319" t="s">
        <v>81</v>
      </c>
      <c r="I32" s="319" t="s">
        <v>78</v>
      </c>
      <c r="J32" s="319" t="s">
        <v>424</v>
      </c>
      <c r="K32" s="319" t="s">
        <v>441</v>
      </c>
      <c r="L32" s="319" t="s">
        <v>441</v>
      </c>
      <c r="M32" s="319" t="s">
        <v>567</v>
      </c>
      <c r="N32" s="319" t="s">
        <v>2790</v>
      </c>
      <c r="O32" s="319" t="s">
        <v>1247</v>
      </c>
      <c r="P32" s="319">
        <v>115</v>
      </c>
      <c r="Q32" s="319" t="s">
        <v>2766</v>
      </c>
      <c r="R32" s="320">
        <v>10020733</v>
      </c>
      <c r="S32" s="321">
        <v>43159</v>
      </c>
      <c r="T32" s="321">
        <v>43161</v>
      </c>
      <c r="U32" s="321">
        <v>43213</v>
      </c>
      <c r="V32" s="319" t="s">
        <v>425</v>
      </c>
      <c r="W32" s="319" t="s">
        <v>2767</v>
      </c>
      <c r="X32" s="319">
        <v>1</v>
      </c>
      <c r="Y32" s="319" t="s">
        <v>173</v>
      </c>
      <c r="Z32" s="319" t="s">
        <v>173</v>
      </c>
      <c r="AA32" s="319" t="s">
        <v>173</v>
      </c>
      <c r="AB32" s="319">
        <v>1</v>
      </c>
      <c r="AC32" s="319" t="s">
        <v>169</v>
      </c>
      <c r="AD32" s="319">
        <v>1</v>
      </c>
      <c r="AE32" s="319" t="s">
        <v>173</v>
      </c>
      <c r="AF32" s="319" t="s">
        <v>427</v>
      </c>
      <c r="AG32" s="319" t="s">
        <v>171</v>
      </c>
      <c r="AH32" s="319" t="s">
        <v>190</v>
      </c>
      <c r="AI32" s="319" t="s">
        <v>190</v>
      </c>
      <c r="AJ32" s="319" t="s">
        <v>190</v>
      </c>
      <c r="AK32" s="319" t="s">
        <v>190</v>
      </c>
      <c r="AL32" s="319" t="s">
        <v>190</v>
      </c>
      <c r="AM32" s="319" t="s">
        <v>190</v>
      </c>
      <c r="AN32" s="319" t="s">
        <v>190</v>
      </c>
      <c r="AO32" s="319" t="s">
        <v>190</v>
      </c>
      <c r="AP32" s="319" t="s">
        <v>190</v>
      </c>
      <c r="AQ32" s="319" t="s">
        <v>190</v>
      </c>
      <c r="AR32" s="319" t="s">
        <v>190</v>
      </c>
      <c r="AS32" s="319" t="s">
        <v>190</v>
      </c>
      <c r="AT32" s="319" t="s">
        <v>190</v>
      </c>
      <c r="AU32" s="319" t="s">
        <v>190</v>
      </c>
      <c r="AV32" s="319" t="s">
        <v>190</v>
      </c>
      <c r="AW32" s="319" t="s">
        <v>190</v>
      </c>
      <c r="AX32" s="319" t="s">
        <v>190</v>
      </c>
      <c r="AY32" s="319" t="s">
        <v>190</v>
      </c>
      <c r="AZ32" s="319" t="s">
        <v>190</v>
      </c>
      <c r="BA32" s="319" t="s">
        <v>190</v>
      </c>
      <c r="BB32" s="319" t="s">
        <v>428</v>
      </c>
      <c r="BC32" s="319" t="s">
        <v>428</v>
      </c>
      <c r="BD32" s="319" t="s">
        <v>428</v>
      </c>
      <c r="BE32" s="319" t="s">
        <v>428</v>
      </c>
      <c r="BF32" s="319" t="s">
        <v>190</v>
      </c>
      <c r="BG32" s="319" t="s">
        <v>190</v>
      </c>
      <c r="BH32" s="319" t="s">
        <v>190</v>
      </c>
      <c r="BI32" s="319" t="s">
        <v>190</v>
      </c>
      <c r="BJ32" s="319" t="s">
        <v>190</v>
      </c>
      <c r="BK32" s="319" t="s">
        <v>190</v>
      </c>
      <c r="BL32" s="319" t="s">
        <v>190</v>
      </c>
      <c r="BM32" s="319" t="s">
        <v>190</v>
      </c>
      <c r="BN32" s="319" t="s">
        <v>190</v>
      </c>
      <c r="BO32" s="319" t="s">
        <v>190</v>
      </c>
      <c r="BP32" s="319" t="s">
        <v>190</v>
      </c>
      <c r="BQ32" s="319" t="s">
        <v>190</v>
      </c>
      <c r="BR32" s="319" t="s">
        <v>190</v>
      </c>
      <c r="BS32" s="319" t="s">
        <v>190</v>
      </c>
      <c r="BT32" s="319" t="s">
        <v>190</v>
      </c>
      <c r="BU32" s="319" t="s">
        <v>190</v>
      </c>
      <c r="BV32" s="319" t="s">
        <v>190</v>
      </c>
      <c r="BW32" s="319" t="s">
        <v>190</v>
      </c>
      <c r="BX32" s="319" t="s">
        <v>190</v>
      </c>
      <c r="BY32" s="319" t="s">
        <v>190</v>
      </c>
      <c r="BZ32" s="319" t="s">
        <v>190</v>
      </c>
      <c r="CA32" s="319" t="s">
        <v>190</v>
      </c>
      <c r="CB32" s="319" t="s">
        <v>190</v>
      </c>
      <c r="CC32" s="319" t="s">
        <v>190</v>
      </c>
      <c r="CD32" s="319" t="s">
        <v>190</v>
      </c>
      <c r="CE32" s="319" t="s">
        <v>190</v>
      </c>
      <c r="CF32" s="319" t="s">
        <v>190</v>
      </c>
      <c r="CG32" s="319" t="s">
        <v>190</v>
      </c>
      <c r="CH32" s="319" t="s">
        <v>190</v>
      </c>
      <c r="CI32" s="319" t="s">
        <v>190</v>
      </c>
      <c r="CJ32" s="319" t="s">
        <v>190</v>
      </c>
      <c r="CK32" s="319" t="s">
        <v>190</v>
      </c>
      <c r="CL32" s="319" t="s">
        <v>190</v>
      </c>
      <c r="CM32" s="319" t="s">
        <v>190</v>
      </c>
      <c r="CN32" s="319" t="s">
        <v>428</v>
      </c>
      <c r="CO32" s="319" t="s">
        <v>428</v>
      </c>
      <c r="CP32" s="319" t="s">
        <v>428</v>
      </c>
      <c r="CQ32" s="319" t="s">
        <v>190</v>
      </c>
      <c r="CR32" s="319" t="s">
        <v>190</v>
      </c>
      <c r="CS32" s="319" t="s">
        <v>190</v>
      </c>
      <c r="CT32" s="319" t="s">
        <v>190</v>
      </c>
      <c r="CU32" s="319" t="s">
        <v>190</v>
      </c>
      <c r="CV32" s="319" t="s">
        <v>190</v>
      </c>
      <c r="CW32" s="319" t="s">
        <v>190</v>
      </c>
      <c r="CX32" s="319" t="s">
        <v>190</v>
      </c>
      <c r="CY32" s="319" t="s">
        <v>190</v>
      </c>
      <c r="CZ32" s="319" t="s">
        <v>190</v>
      </c>
      <c r="DA32" s="319" t="s">
        <v>190</v>
      </c>
      <c r="DB32" s="319" t="s">
        <v>190</v>
      </c>
      <c r="DC32" s="319" t="s">
        <v>190</v>
      </c>
      <c r="DD32" s="319" t="s">
        <v>190</v>
      </c>
      <c r="DE32" s="319" t="s">
        <v>190</v>
      </c>
      <c r="DF32" s="319" t="s">
        <v>190</v>
      </c>
      <c r="DG32" s="319" t="s">
        <v>190</v>
      </c>
      <c r="DH32" s="319" t="s">
        <v>190</v>
      </c>
      <c r="DI32" s="319" t="s">
        <v>190</v>
      </c>
      <c r="DJ32" s="319" t="s">
        <v>190</v>
      </c>
      <c r="DK32" s="319" t="s">
        <v>190</v>
      </c>
      <c r="DL32" s="319" t="s">
        <v>190</v>
      </c>
      <c r="DM32" s="319" t="s">
        <v>190</v>
      </c>
      <c r="DN32" s="319" t="s">
        <v>190</v>
      </c>
      <c r="DO32" s="319" t="s">
        <v>190</v>
      </c>
      <c r="DP32" s="319" t="s">
        <v>190</v>
      </c>
      <c r="DQ32" s="319" t="s">
        <v>190</v>
      </c>
      <c r="DR32" s="319" t="s">
        <v>190</v>
      </c>
      <c r="DS32" s="319" t="s">
        <v>190</v>
      </c>
      <c r="DT32" s="319" t="s">
        <v>190</v>
      </c>
      <c r="DU32" s="319" t="s">
        <v>190</v>
      </c>
      <c r="DV32" s="319" t="s">
        <v>173</v>
      </c>
      <c r="DW32" s="319" t="s">
        <v>190</v>
      </c>
      <c r="DX32" s="319" t="s">
        <v>190</v>
      </c>
      <c r="DY32" s="319" t="s">
        <v>190</v>
      </c>
      <c r="DZ32" s="319" t="s">
        <v>190</v>
      </c>
      <c r="EA32" s="319" t="s">
        <v>190</v>
      </c>
      <c r="EB32" s="319" t="s">
        <v>190</v>
      </c>
      <c r="EC32" s="319" t="s">
        <v>428</v>
      </c>
      <c r="ED32" s="319" t="s">
        <v>190</v>
      </c>
      <c r="EE32" s="319" t="s">
        <v>190</v>
      </c>
      <c r="EF32" s="319" t="s">
        <v>190</v>
      </c>
      <c r="EG32" s="319" t="s">
        <v>190</v>
      </c>
      <c r="EH32" s="319" t="s">
        <v>190</v>
      </c>
      <c r="EI32" s="319" t="s">
        <v>190</v>
      </c>
      <c r="EJ32" s="319" t="s">
        <v>190</v>
      </c>
      <c r="EK32" s="319" t="s">
        <v>190</v>
      </c>
      <c r="EL32" s="319" t="s">
        <v>190</v>
      </c>
      <c r="EM32" s="319" t="s">
        <v>190</v>
      </c>
      <c r="EN32" s="319" t="s">
        <v>190</v>
      </c>
      <c r="EO32" s="319" t="s">
        <v>190</v>
      </c>
      <c r="EP32" s="319" t="s">
        <v>190</v>
      </c>
      <c r="EQ32" s="319" t="s">
        <v>190</v>
      </c>
      <c r="ER32" s="319" t="s">
        <v>190</v>
      </c>
      <c r="ES32" s="319" t="s">
        <v>190</v>
      </c>
      <c r="ET32" s="319" t="s">
        <v>190</v>
      </c>
      <c r="EU32" s="319" t="s">
        <v>190</v>
      </c>
      <c r="EV32" s="319" t="s">
        <v>190</v>
      </c>
      <c r="EW32" s="319" t="s">
        <v>190</v>
      </c>
      <c r="EX32" s="319" t="s">
        <v>190</v>
      </c>
      <c r="EY32" s="319" t="s">
        <v>190</v>
      </c>
      <c r="EZ32" s="319" t="s">
        <v>190</v>
      </c>
      <c r="FA32" s="319" t="s">
        <v>190</v>
      </c>
      <c r="FB32" s="319" t="s">
        <v>190</v>
      </c>
      <c r="FC32" s="319" t="s">
        <v>190</v>
      </c>
      <c r="FD32" s="319" t="s">
        <v>190</v>
      </c>
      <c r="FE32" s="319" t="s">
        <v>190</v>
      </c>
      <c r="FF32" s="319" t="s">
        <v>190</v>
      </c>
      <c r="FG32" s="319" t="s">
        <v>190</v>
      </c>
      <c r="FH32" s="319" t="s">
        <v>190</v>
      </c>
      <c r="FI32" s="319" t="s">
        <v>190</v>
      </c>
      <c r="FJ32" s="319" t="s">
        <v>190</v>
      </c>
      <c r="FK32" s="319" t="s">
        <v>190</v>
      </c>
      <c r="FL32" s="319" t="s">
        <v>190</v>
      </c>
      <c r="FM32" s="319" t="s">
        <v>190</v>
      </c>
      <c r="FN32" s="319" t="s">
        <v>190</v>
      </c>
      <c r="FO32" s="319" t="s">
        <v>428</v>
      </c>
      <c r="FP32" s="319" t="s">
        <v>190</v>
      </c>
      <c r="FQ32" s="319" t="s">
        <v>190</v>
      </c>
      <c r="FR32" s="319" t="s">
        <v>190</v>
      </c>
      <c r="FS32" s="319" t="s">
        <v>190</v>
      </c>
      <c r="FT32" s="319" t="s">
        <v>190</v>
      </c>
      <c r="FU32" s="319" t="s">
        <v>190</v>
      </c>
      <c r="FV32" s="319" t="s">
        <v>190</v>
      </c>
      <c r="FW32" s="319" t="s">
        <v>190</v>
      </c>
      <c r="FX32" s="319" t="s">
        <v>190</v>
      </c>
      <c r="FY32" s="319" t="s">
        <v>190</v>
      </c>
      <c r="FZ32" s="319" t="s">
        <v>190</v>
      </c>
      <c r="GA32" s="319" t="s">
        <v>190</v>
      </c>
      <c r="GB32" s="319" t="s">
        <v>190</v>
      </c>
      <c r="GC32" s="319" t="s">
        <v>190</v>
      </c>
      <c r="GD32" s="319" t="s">
        <v>190</v>
      </c>
      <c r="GE32" s="319" t="s">
        <v>190</v>
      </c>
      <c r="GF32" s="319" t="s">
        <v>190</v>
      </c>
      <c r="GG32" s="319" t="s">
        <v>190</v>
      </c>
      <c r="GH32" s="319" t="s">
        <v>190</v>
      </c>
      <c r="GI32" s="319" t="s">
        <v>190</v>
      </c>
      <c r="GJ32" s="319" t="s">
        <v>190</v>
      </c>
      <c r="GK32" s="319" t="s">
        <v>428</v>
      </c>
      <c r="GL32" s="319" t="s">
        <v>190</v>
      </c>
      <c r="GM32" s="319" t="s">
        <v>190</v>
      </c>
      <c r="GN32" s="319" t="s">
        <v>190</v>
      </c>
      <c r="GO32" s="319" t="s">
        <v>190</v>
      </c>
      <c r="GP32" s="319" t="s">
        <v>190</v>
      </c>
      <c r="GQ32" s="319" t="s">
        <v>190</v>
      </c>
      <c r="GR32" s="319" t="s">
        <v>190</v>
      </c>
      <c r="GS32" s="319" t="s">
        <v>190</v>
      </c>
      <c r="GT32" s="319" t="s">
        <v>428</v>
      </c>
      <c r="GU32" s="319" t="s">
        <v>428</v>
      </c>
      <c r="GV32" s="319" t="s">
        <v>190</v>
      </c>
      <c r="GW32" s="319" t="s">
        <v>190</v>
      </c>
      <c r="GX32" s="319" t="s">
        <v>190</v>
      </c>
      <c r="GY32" s="319" t="s">
        <v>190</v>
      </c>
      <c r="GZ32" s="319" t="s">
        <v>190</v>
      </c>
      <c r="HA32" s="319" t="s">
        <v>428</v>
      </c>
      <c r="HB32" s="319" t="s">
        <v>428</v>
      </c>
      <c r="HC32" s="319" t="s">
        <v>190</v>
      </c>
      <c r="HD32" s="319" t="s">
        <v>190</v>
      </c>
      <c r="HE32" s="319" t="s">
        <v>190</v>
      </c>
      <c r="HF32" s="319" t="s">
        <v>190</v>
      </c>
      <c r="HG32" s="319" t="s">
        <v>190</v>
      </c>
      <c r="HH32" s="319" t="s">
        <v>190</v>
      </c>
      <c r="HI32" s="319" t="s">
        <v>190</v>
      </c>
      <c r="HJ32" s="319" t="s">
        <v>190</v>
      </c>
      <c r="HK32" s="319" t="s">
        <v>190</v>
      </c>
      <c r="HL32" s="319" t="s">
        <v>190</v>
      </c>
      <c r="HM32" s="319" t="s">
        <v>428</v>
      </c>
      <c r="HN32" s="319" t="s">
        <v>428</v>
      </c>
      <c r="HO32" s="319" t="s">
        <v>428</v>
      </c>
      <c r="HP32" s="319" t="s">
        <v>190</v>
      </c>
      <c r="HQ32" s="319" t="s">
        <v>190</v>
      </c>
      <c r="HR32" s="319" t="s">
        <v>190</v>
      </c>
      <c r="HS32" s="319" t="s">
        <v>190</v>
      </c>
      <c r="HT32" s="319" t="s">
        <v>190</v>
      </c>
      <c r="HU32" s="319" t="s">
        <v>190</v>
      </c>
      <c r="HV32" s="319" t="s">
        <v>190</v>
      </c>
      <c r="HW32" s="319" t="s">
        <v>190</v>
      </c>
      <c r="HX32" s="319" t="s">
        <v>190</v>
      </c>
      <c r="HY32" s="319" t="s">
        <v>190</v>
      </c>
      <c r="HZ32" s="319" t="s">
        <v>190</v>
      </c>
      <c r="IA32" s="319" t="s">
        <v>190</v>
      </c>
      <c r="IB32" s="319" t="s">
        <v>190</v>
      </c>
      <c r="IC32" s="319" t="s">
        <v>190</v>
      </c>
      <c r="ID32" s="319" t="s">
        <v>190</v>
      </c>
      <c r="IE32" s="319" t="s">
        <v>190</v>
      </c>
      <c r="IF32" s="319" t="s">
        <v>190</v>
      </c>
      <c r="IG32" s="319" t="s">
        <v>190</v>
      </c>
      <c r="IH32" s="319" t="s">
        <v>190</v>
      </c>
      <c r="II32" s="319" t="s">
        <v>190</v>
      </c>
      <c r="IJ32" s="319" t="s">
        <v>2799</v>
      </c>
      <c r="IK32" s="321">
        <v>40500</v>
      </c>
      <c r="IL32" s="321">
        <v>40500</v>
      </c>
      <c r="IM32" s="321">
        <v>40521</v>
      </c>
      <c r="IN32" s="319">
        <v>1</v>
      </c>
      <c r="IO32" s="319" t="s">
        <v>173</v>
      </c>
      <c r="IP32" s="319" t="s">
        <v>173</v>
      </c>
      <c r="IQ32" s="319" t="s">
        <v>173</v>
      </c>
      <c r="IR32" s="320" t="s">
        <v>173</v>
      </c>
      <c r="IS32" s="320" t="s">
        <v>173</v>
      </c>
      <c r="IT32" s="319" t="s">
        <v>173</v>
      </c>
    </row>
    <row r="33" spans="1:254" s="271" customFormat="1" x14ac:dyDescent="0.25">
      <c r="A33" s="318" t="str">
        <f>HYPERLINK("http://www.ofsted.gov.uk/inspection-reports/find-inspection-report/provider/ELS/100547 ","Ofsted School Webpage")</f>
        <v>Ofsted School Webpage</v>
      </c>
      <c r="B33" s="319">
        <v>100547</v>
      </c>
      <c r="C33" s="319">
        <v>2076391</v>
      </c>
      <c r="D33" s="319" t="s">
        <v>1248</v>
      </c>
      <c r="E33" s="319" t="s">
        <v>167</v>
      </c>
      <c r="F33" s="319" t="s">
        <v>81</v>
      </c>
      <c r="G33" s="319" t="s">
        <v>81</v>
      </c>
      <c r="H33" s="319" t="s">
        <v>81</v>
      </c>
      <c r="I33" s="319" t="s">
        <v>78</v>
      </c>
      <c r="J33" s="319" t="s">
        <v>424</v>
      </c>
      <c r="K33" s="319" t="s">
        <v>441</v>
      </c>
      <c r="L33" s="319" t="s">
        <v>441</v>
      </c>
      <c r="M33" s="319" t="s">
        <v>567</v>
      </c>
      <c r="N33" s="319" t="s">
        <v>2790</v>
      </c>
      <c r="O33" s="319" t="s">
        <v>1249</v>
      </c>
      <c r="P33" s="319">
        <v>3628</v>
      </c>
      <c r="Q33" s="319" t="s">
        <v>2776</v>
      </c>
      <c r="R33" s="320">
        <v>10020763</v>
      </c>
      <c r="S33" s="321">
        <v>43277</v>
      </c>
      <c r="T33" s="321">
        <v>43279</v>
      </c>
      <c r="U33" s="321">
        <v>43360</v>
      </c>
      <c r="V33" s="319" t="s">
        <v>425</v>
      </c>
      <c r="W33" s="319" t="s">
        <v>2767</v>
      </c>
      <c r="X33" s="319">
        <v>2</v>
      </c>
      <c r="Y33" s="319" t="s">
        <v>173</v>
      </c>
      <c r="Z33" s="319" t="s">
        <v>173</v>
      </c>
      <c r="AA33" s="319" t="s">
        <v>173</v>
      </c>
      <c r="AB33" s="319">
        <v>2</v>
      </c>
      <c r="AC33" s="319" t="s">
        <v>169</v>
      </c>
      <c r="AD33" s="319" t="s">
        <v>173</v>
      </c>
      <c r="AE33" s="319">
        <v>2</v>
      </c>
      <c r="AF33" s="319" t="s">
        <v>427</v>
      </c>
      <c r="AG33" s="319" t="s">
        <v>171</v>
      </c>
      <c r="AH33" s="319" t="s">
        <v>190</v>
      </c>
      <c r="AI33" s="319" t="s">
        <v>190</v>
      </c>
      <c r="AJ33" s="319" t="s">
        <v>190</v>
      </c>
      <c r="AK33" s="319" t="s">
        <v>190</v>
      </c>
      <c r="AL33" s="319" t="s">
        <v>190</v>
      </c>
      <c r="AM33" s="319" t="s">
        <v>190</v>
      </c>
      <c r="AN33" s="319" t="s">
        <v>190</v>
      </c>
      <c r="AO33" s="319" t="s">
        <v>190</v>
      </c>
      <c r="AP33" s="319" t="s">
        <v>190</v>
      </c>
      <c r="AQ33" s="319" t="s">
        <v>190</v>
      </c>
      <c r="AR33" s="319" t="s">
        <v>190</v>
      </c>
      <c r="AS33" s="319" t="s">
        <v>190</v>
      </c>
      <c r="AT33" s="319" t="s">
        <v>190</v>
      </c>
      <c r="AU33" s="319" t="s">
        <v>190</v>
      </c>
      <c r="AV33" s="319" t="s">
        <v>190</v>
      </c>
      <c r="AW33" s="319" t="s">
        <v>190</v>
      </c>
      <c r="AX33" s="319" t="s">
        <v>190</v>
      </c>
      <c r="AY33" s="319" t="s">
        <v>190</v>
      </c>
      <c r="AZ33" s="319" t="s">
        <v>190</v>
      </c>
      <c r="BA33" s="319" t="s">
        <v>190</v>
      </c>
      <c r="BB33" s="319" t="s">
        <v>190</v>
      </c>
      <c r="BC33" s="319" t="s">
        <v>190</v>
      </c>
      <c r="BD33" s="319" t="s">
        <v>190</v>
      </c>
      <c r="BE33" s="319" t="s">
        <v>190</v>
      </c>
      <c r="BF33" s="319" t="s">
        <v>190</v>
      </c>
      <c r="BG33" s="319" t="s">
        <v>190</v>
      </c>
      <c r="BH33" s="319" t="s">
        <v>190</v>
      </c>
      <c r="BI33" s="319" t="s">
        <v>190</v>
      </c>
      <c r="BJ33" s="319" t="s">
        <v>190</v>
      </c>
      <c r="BK33" s="319" t="s">
        <v>190</v>
      </c>
      <c r="BL33" s="319" t="s">
        <v>190</v>
      </c>
      <c r="BM33" s="319" t="s">
        <v>190</v>
      </c>
      <c r="BN33" s="319" t="s">
        <v>190</v>
      </c>
      <c r="BO33" s="319" t="s">
        <v>190</v>
      </c>
      <c r="BP33" s="319" t="s">
        <v>190</v>
      </c>
      <c r="BQ33" s="319" t="s">
        <v>190</v>
      </c>
      <c r="BR33" s="319" t="s">
        <v>190</v>
      </c>
      <c r="BS33" s="319" t="s">
        <v>190</v>
      </c>
      <c r="BT33" s="319" t="s">
        <v>190</v>
      </c>
      <c r="BU33" s="319" t="s">
        <v>190</v>
      </c>
      <c r="BV33" s="319" t="s">
        <v>190</v>
      </c>
      <c r="BW33" s="319" t="s">
        <v>190</v>
      </c>
      <c r="BX33" s="319" t="s">
        <v>190</v>
      </c>
      <c r="BY33" s="319" t="s">
        <v>190</v>
      </c>
      <c r="BZ33" s="319" t="s">
        <v>190</v>
      </c>
      <c r="CA33" s="319" t="s">
        <v>190</v>
      </c>
      <c r="CB33" s="319" t="s">
        <v>190</v>
      </c>
      <c r="CC33" s="319" t="s">
        <v>190</v>
      </c>
      <c r="CD33" s="319" t="s">
        <v>190</v>
      </c>
      <c r="CE33" s="319" t="s">
        <v>190</v>
      </c>
      <c r="CF33" s="319" t="s">
        <v>190</v>
      </c>
      <c r="CG33" s="319" t="s">
        <v>190</v>
      </c>
      <c r="CH33" s="319" t="s">
        <v>190</v>
      </c>
      <c r="CI33" s="319" t="s">
        <v>190</v>
      </c>
      <c r="CJ33" s="319" t="s">
        <v>190</v>
      </c>
      <c r="CK33" s="319" t="s">
        <v>190</v>
      </c>
      <c r="CL33" s="319" t="s">
        <v>190</v>
      </c>
      <c r="CM33" s="319" t="s">
        <v>190</v>
      </c>
      <c r="CN33" s="319" t="s">
        <v>428</v>
      </c>
      <c r="CO33" s="319" t="s">
        <v>428</v>
      </c>
      <c r="CP33" s="319" t="s">
        <v>428</v>
      </c>
      <c r="CQ33" s="319" t="s">
        <v>190</v>
      </c>
      <c r="CR33" s="319" t="s">
        <v>190</v>
      </c>
      <c r="CS33" s="319" t="s">
        <v>190</v>
      </c>
      <c r="CT33" s="319" t="s">
        <v>190</v>
      </c>
      <c r="CU33" s="319" t="s">
        <v>190</v>
      </c>
      <c r="CV33" s="319" t="s">
        <v>190</v>
      </c>
      <c r="CW33" s="319" t="s">
        <v>190</v>
      </c>
      <c r="CX33" s="319" t="s">
        <v>190</v>
      </c>
      <c r="CY33" s="319" t="s">
        <v>190</v>
      </c>
      <c r="CZ33" s="319" t="s">
        <v>190</v>
      </c>
      <c r="DA33" s="319" t="s">
        <v>190</v>
      </c>
      <c r="DB33" s="319" t="s">
        <v>190</v>
      </c>
      <c r="DC33" s="319" t="s">
        <v>190</v>
      </c>
      <c r="DD33" s="319" t="s">
        <v>190</v>
      </c>
      <c r="DE33" s="319" t="s">
        <v>190</v>
      </c>
      <c r="DF33" s="319" t="s">
        <v>190</v>
      </c>
      <c r="DG33" s="319" t="s">
        <v>190</v>
      </c>
      <c r="DH33" s="319" t="s">
        <v>190</v>
      </c>
      <c r="DI33" s="319" t="s">
        <v>190</v>
      </c>
      <c r="DJ33" s="319" t="s">
        <v>190</v>
      </c>
      <c r="DK33" s="319" t="s">
        <v>190</v>
      </c>
      <c r="DL33" s="319" t="s">
        <v>190</v>
      </c>
      <c r="DM33" s="319" t="s">
        <v>190</v>
      </c>
      <c r="DN33" s="319" t="s">
        <v>428</v>
      </c>
      <c r="DO33" s="319" t="s">
        <v>190</v>
      </c>
      <c r="DP33" s="319" t="s">
        <v>190</v>
      </c>
      <c r="DQ33" s="319" t="s">
        <v>190</v>
      </c>
      <c r="DR33" s="319" t="s">
        <v>190</v>
      </c>
      <c r="DS33" s="319" t="s">
        <v>190</v>
      </c>
      <c r="DT33" s="319" t="s">
        <v>190</v>
      </c>
      <c r="DU33" s="319" t="s">
        <v>190</v>
      </c>
      <c r="DV33" s="319" t="s">
        <v>173</v>
      </c>
      <c r="DW33" s="319" t="s">
        <v>190</v>
      </c>
      <c r="DX33" s="319" t="s">
        <v>190</v>
      </c>
      <c r="DY33" s="319" t="s">
        <v>190</v>
      </c>
      <c r="DZ33" s="319" t="s">
        <v>190</v>
      </c>
      <c r="EA33" s="319" t="s">
        <v>190</v>
      </c>
      <c r="EB33" s="319" t="s">
        <v>190</v>
      </c>
      <c r="EC33" s="319" t="s">
        <v>428</v>
      </c>
      <c r="ED33" s="319" t="s">
        <v>190</v>
      </c>
      <c r="EE33" s="319" t="s">
        <v>190</v>
      </c>
      <c r="EF33" s="319" t="s">
        <v>190</v>
      </c>
      <c r="EG33" s="319" t="s">
        <v>190</v>
      </c>
      <c r="EH33" s="319" t="s">
        <v>190</v>
      </c>
      <c r="EI33" s="319" t="s">
        <v>190</v>
      </c>
      <c r="EJ33" s="319" t="s">
        <v>190</v>
      </c>
      <c r="EK33" s="319" t="s">
        <v>190</v>
      </c>
      <c r="EL33" s="319" t="s">
        <v>190</v>
      </c>
      <c r="EM33" s="319" t="s">
        <v>190</v>
      </c>
      <c r="EN33" s="319" t="s">
        <v>190</v>
      </c>
      <c r="EO33" s="319" t="s">
        <v>190</v>
      </c>
      <c r="EP33" s="319" t="s">
        <v>190</v>
      </c>
      <c r="EQ33" s="319" t="s">
        <v>190</v>
      </c>
      <c r="ER33" s="319" t="s">
        <v>190</v>
      </c>
      <c r="ES33" s="319" t="s">
        <v>190</v>
      </c>
      <c r="ET33" s="319" t="s">
        <v>190</v>
      </c>
      <c r="EU33" s="319" t="s">
        <v>190</v>
      </c>
      <c r="EV33" s="319" t="s">
        <v>190</v>
      </c>
      <c r="EW33" s="319" t="s">
        <v>190</v>
      </c>
      <c r="EX33" s="319" t="s">
        <v>190</v>
      </c>
      <c r="EY33" s="319" t="s">
        <v>190</v>
      </c>
      <c r="EZ33" s="319" t="s">
        <v>190</v>
      </c>
      <c r="FA33" s="319" t="s">
        <v>190</v>
      </c>
      <c r="FB33" s="319" t="s">
        <v>190</v>
      </c>
      <c r="FC33" s="319" t="s">
        <v>190</v>
      </c>
      <c r="FD33" s="319" t="s">
        <v>190</v>
      </c>
      <c r="FE33" s="319" t="s">
        <v>190</v>
      </c>
      <c r="FF33" s="319" t="s">
        <v>190</v>
      </c>
      <c r="FG33" s="319" t="s">
        <v>190</v>
      </c>
      <c r="FH33" s="319" t="s">
        <v>190</v>
      </c>
      <c r="FI33" s="319" t="s">
        <v>190</v>
      </c>
      <c r="FJ33" s="319" t="s">
        <v>190</v>
      </c>
      <c r="FK33" s="319" t="s">
        <v>190</v>
      </c>
      <c r="FL33" s="319" t="s">
        <v>190</v>
      </c>
      <c r="FM33" s="319" t="s">
        <v>190</v>
      </c>
      <c r="FN33" s="319" t="s">
        <v>190</v>
      </c>
      <c r="FO33" s="319" t="s">
        <v>190</v>
      </c>
      <c r="FP33" s="319" t="s">
        <v>190</v>
      </c>
      <c r="FQ33" s="319" t="s">
        <v>190</v>
      </c>
      <c r="FR33" s="319" t="s">
        <v>190</v>
      </c>
      <c r="FS33" s="319" t="s">
        <v>428</v>
      </c>
      <c r="FT33" s="319" t="s">
        <v>190</v>
      </c>
      <c r="FU33" s="319" t="s">
        <v>190</v>
      </c>
      <c r="FV33" s="319" t="s">
        <v>190</v>
      </c>
      <c r="FW33" s="319" t="s">
        <v>190</v>
      </c>
      <c r="FX33" s="319" t="s">
        <v>190</v>
      </c>
      <c r="FY33" s="319" t="s">
        <v>190</v>
      </c>
      <c r="FZ33" s="319" t="s">
        <v>190</v>
      </c>
      <c r="GA33" s="319" t="s">
        <v>190</v>
      </c>
      <c r="GB33" s="319" t="s">
        <v>190</v>
      </c>
      <c r="GC33" s="319" t="s">
        <v>190</v>
      </c>
      <c r="GD33" s="319" t="s">
        <v>190</v>
      </c>
      <c r="GE33" s="319" t="s">
        <v>190</v>
      </c>
      <c r="GF33" s="319" t="s">
        <v>190</v>
      </c>
      <c r="GG33" s="319" t="s">
        <v>190</v>
      </c>
      <c r="GH33" s="319" t="s">
        <v>190</v>
      </c>
      <c r="GI33" s="319" t="s">
        <v>190</v>
      </c>
      <c r="GJ33" s="319" t="s">
        <v>190</v>
      </c>
      <c r="GK33" s="319" t="s">
        <v>428</v>
      </c>
      <c r="GL33" s="319" t="s">
        <v>190</v>
      </c>
      <c r="GM33" s="319" t="s">
        <v>190</v>
      </c>
      <c r="GN33" s="319" t="s">
        <v>190</v>
      </c>
      <c r="GO33" s="319" t="s">
        <v>190</v>
      </c>
      <c r="GP33" s="319" t="s">
        <v>190</v>
      </c>
      <c r="GQ33" s="319" t="s">
        <v>428</v>
      </c>
      <c r="GR33" s="319" t="s">
        <v>190</v>
      </c>
      <c r="GS33" s="319" t="s">
        <v>190</v>
      </c>
      <c r="GT33" s="319" t="s">
        <v>428</v>
      </c>
      <c r="GU33" s="319" t="s">
        <v>428</v>
      </c>
      <c r="GV33" s="319" t="s">
        <v>190</v>
      </c>
      <c r="GW33" s="319" t="s">
        <v>190</v>
      </c>
      <c r="GX33" s="319" t="s">
        <v>190</v>
      </c>
      <c r="GY33" s="319" t="s">
        <v>190</v>
      </c>
      <c r="GZ33" s="319" t="s">
        <v>428</v>
      </c>
      <c r="HA33" s="319" t="s">
        <v>190</v>
      </c>
      <c r="HB33" s="319" t="s">
        <v>190</v>
      </c>
      <c r="HC33" s="319" t="s">
        <v>190</v>
      </c>
      <c r="HD33" s="319" t="s">
        <v>190</v>
      </c>
      <c r="HE33" s="319" t="s">
        <v>190</v>
      </c>
      <c r="HF33" s="319" t="s">
        <v>190</v>
      </c>
      <c r="HG33" s="319" t="s">
        <v>190</v>
      </c>
      <c r="HH33" s="319" t="s">
        <v>190</v>
      </c>
      <c r="HI33" s="319" t="s">
        <v>190</v>
      </c>
      <c r="HJ33" s="319" t="s">
        <v>190</v>
      </c>
      <c r="HK33" s="319" t="s">
        <v>190</v>
      </c>
      <c r="HL33" s="319" t="s">
        <v>190</v>
      </c>
      <c r="HM33" s="319" t="s">
        <v>428</v>
      </c>
      <c r="HN33" s="319" t="s">
        <v>428</v>
      </c>
      <c r="HO33" s="319" t="s">
        <v>428</v>
      </c>
      <c r="HP33" s="319" t="s">
        <v>190</v>
      </c>
      <c r="HQ33" s="319" t="s">
        <v>190</v>
      </c>
      <c r="HR33" s="319" t="s">
        <v>190</v>
      </c>
      <c r="HS33" s="319" t="s">
        <v>190</v>
      </c>
      <c r="HT33" s="319" t="s">
        <v>190</v>
      </c>
      <c r="HU33" s="319" t="s">
        <v>190</v>
      </c>
      <c r="HV33" s="319" t="s">
        <v>190</v>
      </c>
      <c r="HW33" s="319" t="s">
        <v>190</v>
      </c>
      <c r="HX33" s="319" t="s">
        <v>190</v>
      </c>
      <c r="HY33" s="319" t="s">
        <v>190</v>
      </c>
      <c r="HZ33" s="319" t="s">
        <v>190</v>
      </c>
      <c r="IA33" s="319" t="s">
        <v>190</v>
      </c>
      <c r="IB33" s="319" t="s">
        <v>190</v>
      </c>
      <c r="IC33" s="319" t="s">
        <v>190</v>
      </c>
      <c r="ID33" s="319" t="s">
        <v>190</v>
      </c>
      <c r="IE33" s="319" t="s">
        <v>190</v>
      </c>
      <c r="IF33" s="319" t="s">
        <v>190</v>
      </c>
      <c r="IG33" s="319" t="s">
        <v>190</v>
      </c>
      <c r="IH33" s="319" t="s">
        <v>190</v>
      </c>
      <c r="II33" s="319" t="s">
        <v>190</v>
      </c>
      <c r="IJ33" s="319" t="s">
        <v>2800</v>
      </c>
      <c r="IK33" s="321">
        <v>41241</v>
      </c>
      <c r="IL33" s="321">
        <v>41242</v>
      </c>
      <c r="IM33" s="321">
        <v>41263</v>
      </c>
      <c r="IN33" s="319">
        <v>2</v>
      </c>
      <c r="IO33" s="319" t="s">
        <v>173</v>
      </c>
      <c r="IP33" s="319" t="s">
        <v>173</v>
      </c>
      <c r="IQ33" s="321" t="s">
        <v>173</v>
      </c>
      <c r="IR33" s="320" t="s">
        <v>173</v>
      </c>
      <c r="IS33" s="322" t="s">
        <v>173</v>
      </c>
      <c r="IT33" s="319" t="s">
        <v>173</v>
      </c>
    </row>
    <row r="34" spans="1:254" s="271" customFormat="1" x14ac:dyDescent="0.25">
      <c r="A34" s="318" t="str">
        <f>HYPERLINK("http://www.ofsted.gov.uk/inspection-reports/find-inspection-report/provider/ELS/100982 ","Ofsted School Webpage")</f>
        <v>Ofsted School Webpage</v>
      </c>
      <c r="B34" s="319">
        <v>100982</v>
      </c>
      <c r="C34" s="319">
        <v>2116383</v>
      </c>
      <c r="D34" s="319" t="s">
        <v>1250</v>
      </c>
      <c r="E34" s="319" t="s">
        <v>167</v>
      </c>
      <c r="F34" s="319" t="s">
        <v>81</v>
      </c>
      <c r="G34" s="319" t="s">
        <v>72</v>
      </c>
      <c r="H34" s="319" t="s">
        <v>72</v>
      </c>
      <c r="I34" s="319" t="s">
        <v>72</v>
      </c>
      <c r="J34" s="319" t="s">
        <v>424</v>
      </c>
      <c r="K34" s="319" t="s">
        <v>441</v>
      </c>
      <c r="L34" s="319" t="s">
        <v>441</v>
      </c>
      <c r="M34" s="319" t="s">
        <v>757</v>
      </c>
      <c r="N34" s="319" t="s">
        <v>2801</v>
      </c>
      <c r="O34" s="319" t="s">
        <v>1251</v>
      </c>
      <c r="P34" s="319">
        <v>246</v>
      </c>
      <c r="Q34" s="319" t="s">
        <v>2776</v>
      </c>
      <c r="R34" s="320">
        <v>10026274</v>
      </c>
      <c r="S34" s="321">
        <v>43053</v>
      </c>
      <c r="T34" s="321">
        <v>43055</v>
      </c>
      <c r="U34" s="321">
        <v>43089</v>
      </c>
      <c r="V34" s="319" t="s">
        <v>425</v>
      </c>
      <c r="W34" s="319" t="s">
        <v>2767</v>
      </c>
      <c r="X34" s="319">
        <v>2</v>
      </c>
      <c r="Y34" s="319" t="s">
        <v>173</v>
      </c>
      <c r="Z34" s="319" t="s">
        <v>173</v>
      </c>
      <c r="AA34" s="319" t="s">
        <v>173</v>
      </c>
      <c r="AB34" s="319">
        <v>2</v>
      </c>
      <c r="AC34" s="319" t="s">
        <v>169</v>
      </c>
      <c r="AD34" s="319" t="s">
        <v>173</v>
      </c>
      <c r="AE34" s="319">
        <v>0</v>
      </c>
      <c r="AF34" s="319" t="s">
        <v>427</v>
      </c>
      <c r="AG34" s="319" t="s">
        <v>171</v>
      </c>
      <c r="AH34" s="319" t="s">
        <v>190</v>
      </c>
      <c r="AI34" s="319" t="s">
        <v>190</v>
      </c>
      <c r="AJ34" s="319" t="s">
        <v>190</v>
      </c>
      <c r="AK34" s="319" t="s">
        <v>190</v>
      </c>
      <c r="AL34" s="319" t="s">
        <v>190</v>
      </c>
      <c r="AM34" s="319" t="s">
        <v>190</v>
      </c>
      <c r="AN34" s="319" t="s">
        <v>190</v>
      </c>
      <c r="AO34" s="319" t="s">
        <v>190</v>
      </c>
      <c r="AP34" s="319" t="s">
        <v>190</v>
      </c>
      <c r="AQ34" s="319" t="s">
        <v>190</v>
      </c>
      <c r="AR34" s="319" t="s">
        <v>190</v>
      </c>
      <c r="AS34" s="319" t="s">
        <v>190</v>
      </c>
      <c r="AT34" s="319" t="s">
        <v>190</v>
      </c>
      <c r="AU34" s="319" t="s">
        <v>190</v>
      </c>
      <c r="AV34" s="319" t="s">
        <v>190</v>
      </c>
      <c r="AW34" s="319" t="s">
        <v>190</v>
      </c>
      <c r="AX34" s="319" t="s">
        <v>428</v>
      </c>
      <c r="AY34" s="319" t="s">
        <v>190</v>
      </c>
      <c r="AZ34" s="319" t="s">
        <v>190</v>
      </c>
      <c r="BA34" s="319" t="s">
        <v>190</v>
      </c>
      <c r="BB34" s="319" t="s">
        <v>190</v>
      </c>
      <c r="BC34" s="319" t="s">
        <v>190</v>
      </c>
      <c r="BD34" s="319" t="s">
        <v>190</v>
      </c>
      <c r="BE34" s="319" t="s">
        <v>190</v>
      </c>
      <c r="BF34" s="319" t="s">
        <v>428</v>
      </c>
      <c r="BG34" s="319" t="s">
        <v>584</v>
      </c>
      <c r="BH34" s="319" t="s">
        <v>190</v>
      </c>
      <c r="BI34" s="319" t="s">
        <v>190</v>
      </c>
      <c r="BJ34" s="319" t="s">
        <v>190</v>
      </c>
      <c r="BK34" s="319" t="s">
        <v>190</v>
      </c>
      <c r="BL34" s="319" t="s">
        <v>190</v>
      </c>
      <c r="BM34" s="319" t="s">
        <v>190</v>
      </c>
      <c r="BN34" s="319" t="s">
        <v>190</v>
      </c>
      <c r="BO34" s="319" t="s">
        <v>190</v>
      </c>
      <c r="BP34" s="319" t="s">
        <v>190</v>
      </c>
      <c r="BQ34" s="319" t="s">
        <v>190</v>
      </c>
      <c r="BR34" s="319" t="s">
        <v>190</v>
      </c>
      <c r="BS34" s="319" t="s">
        <v>190</v>
      </c>
      <c r="BT34" s="319" t="s">
        <v>190</v>
      </c>
      <c r="BU34" s="319" t="s">
        <v>190</v>
      </c>
      <c r="BV34" s="319" t="s">
        <v>190</v>
      </c>
      <c r="BW34" s="319" t="s">
        <v>190</v>
      </c>
      <c r="BX34" s="319" t="s">
        <v>190</v>
      </c>
      <c r="BY34" s="319" t="s">
        <v>190</v>
      </c>
      <c r="BZ34" s="319" t="s">
        <v>190</v>
      </c>
      <c r="CA34" s="319" t="s">
        <v>190</v>
      </c>
      <c r="CB34" s="319" t="s">
        <v>190</v>
      </c>
      <c r="CC34" s="319" t="s">
        <v>190</v>
      </c>
      <c r="CD34" s="319" t="s">
        <v>190</v>
      </c>
      <c r="CE34" s="319" t="s">
        <v>190</v>
      </c>
      <c r="CF34" s="319" t="s">
        <v>190</v>
      </c>
      <c r="CG34" s="319" t="s">
        <v>190</v>
      </c>
      <c r="CH34" s="319" t="s">
        <v>190</v>
      </c>
      <c r="CI34" s="319" t="s">
        <v>190</v>
      </c>
      <c r="CJ34" s="319" t="s">
        <v>190</v>
      </c>
      <c r="CK34" s="319" t="s">
        <v>190</v>
      </c>
      <c r="CL34" s="319" t="s">
        <v>190</v>
      </c>
      <c r="CM34" s="319" t="s">
        <v>190</v>
      </c>
      <c r="CN34" s="319" t="s">
        <v>428</v>
      </c>
      <c r="CO34" s="319" t="s">
        <v>428</v>
      </c>
      <c r="CP34" s="319" t="s">
        <v>428</v>
      </c>
      <c r="CQ34" s="319" t="s">
        <v>190</v>
      </c>
      <c r="CR34" s="319" t="s">
        <v>190</v>
      </c>
      <c r="CS34" s="319" t="s">
        <v>190</v>
      </c>
      <c r="CT34" s="319" t="s">
        <v>190</v>
      </c>
      <c r="CU34" s="319" t="s">
        <v>190</v>
      </c>
      <c r="CV34" s="319" t="s">
        <v>190</v>
      </c>
      <c r="CW34" s="319" t="s">
        <v>190</v>
      </c>
      <c r="CX34" s="319" t="s">
        <v>190</v>
      </c>
      <c r="CY34" s="319" t="s">
        <v>190</v>
      </c>
      <c r="CZ34" s="319" t="s">
        <v>190</v>
      </c>
      <c r="DA34" s="319" t="s">
        <v>190</v>
      </c>
      <c r="DB34" s="319" t="s">
        <v>190</v>
      </c>
      <c r="DC34" s="319" t="s">
        <v>190</v>
      </c>
      <c r="DD34" s="319" t="s">
        <v>190</v>
      </c>
      <c r="DE34" s="319" t="s">
        <v>190</v>
      </c>
      <c r="DF34" s="319" t="s">
        <v>190</v>
      </c>
      <c r="DG34" s="319" t="s">
        <v>190</v>
      </c>
      <c r="DH34" s="319" t="s">
        <v>190</v>
      </c>
      <c r="DI34" s="319" t="s">
        <v>190</v>
      </c>
      <c r="DJ34" s="319" t="s">
        <v>190</v>
      </c>
      <c r="DK34" s="319" t="s">
        <v>190</v>
      </c>
      <c r="DL34" s="319" t="s">
        <v>190</v>
      </c>
      <c r="DM34" s="319" t="s">
        <v>190</v>
      </c>
      <c r="DN34" s="319" t="s">
        <v>428</v>
      </c>
      <c r="DO34" s="319" t="s">
        <v>190</v>
      </c>
      <c r="DP34" s="319" t="s">
        <v>190</v>
      </c>
      <c r="DQ34" s="319" t="s">
        <v>190</v>
      </c>
      <c r="DR34" s="319" t="s">
        <v>190</v>
      </c>
      <c r="DS34" s="319" t="s">
        <v>190</v>
      </c>
      <c r="DT34" s="319" t="s">
        <v>190</v>
      </c>
      <c r="DU34" s="319" t="s">
        <v>190</v>
      </c>
      <c r="DV34" s="319" t="s">
        <v>173</v>
      </c>
      <c r="DW34" s="319" t="s">
        <v>190</v>
      </c>
      <c r="DX34" s="319" t="s">
        <v>190</v>
      </c>
      <c r="DY34" s="319" t="s">
        <v>190</v>
      </c>
      <c r="DZ34" s="319" t="s">
        <v>190</v>
      </c>
      <c r="EA34" s="319" t="s">
        <v>190</v>
      </c>
      <c r="EB34" s="319" t="s">
        <v>190</v>
      </c>
      <c r="EC34" s="319" t="s">
        <v>428</v>
      </c>
      <c r="ED34" s="319" t="s">
        <v>190</v>
      </c>
      <c r="EE34" s="319" t="s">
        <v>190</v>
      </c>
      <c r="EF34" s="319" t="s">
        <v>190</v>
      </c>
      <c r="EG34" s="319" t="s">
        <v>190</v>
      </c>
      <c r="EH34" s="319" t="s">
        <v>190</v>
      </c>
      <c r="EI34" s="319" t="s">
        <v>190</v>
      </c>
      <c r="EJ34" s="319" t="s">
        <v>190</v>
      </c>
      <c r="EK34" s="319" t="s">
        <v>190</v>
      </c>
      <c r="EL34" s="319" t="s">
        <v>190</v>
      </c>
      <c r="EM34" s="319" t="s">
        <v>190</v>
      </c>
      <c r="EN34" s="319" t="s">
        <v>190</v>
      </c>
      <c r="EO34" s="319" t="s">
        <v>190</v>
      </c>
      <c r="EP34" s="319" t="s">
        <v>190</v>
      </c>
      <c r="EQ34" s="319" t="s">
        <v>190</v>
      </c>
      <c r="ER34" s="319" t="s">
        <v>190</v>
      </c>
      <c r="ES34" s="319" t="s">
        <v>190</v>
      </c>
      <c r="ET34" s="319" t="s">
        <v>190</v>
      </c>
      <c r="EU34" s="319" t="s">
        <v>190</v>
      </c>
      <c r="EV34" s="319" t="s">
        <v>190</v>
      </c>
      <c r="EW34" s="319" t="s">
        <v>190</v>
      </c>
      <c r="EX34" s="319" t="s">
        <v>190</v>
      </c>
      <c r="EY34" s="319" t="s">
        <v>190</v>
      </c>
      <c r="EZ34" s="319" t="s">
        <v>190</v>
      </c>
      <c r="FA34" s="319" t="s">
        <v>190</v>
      </c>
      <c r="FB34" s="319" t="s">
        <v>190</v>
      </c>
      <c r="FC34" s="319" t="s">
        <v>190</v>
      </c>
      <c r="FD34" s="319" t="s">
        <v>190</v>
      </c>
      <c r="FE34" s="319" t="s">
        <v>190</v>
      </c>
      <c r="FF34" s="319" t="s">
        <v>190</v>
      </c>
      <c r="FG34" s="319" t="s">
        <v>190</v>
      </c>
      <c r="FH34" s="319" t="s">
        <v>190</v>
      </c>
      <c r="FI34" s="319" t="s">
        <v>190</v>
      </c>
      <c r="FJ34" s="319" t="s">
        <v>190</v>
      </c>
      <c r="FK34" s="319" t="s">
        <v>190</v>
      </c>
      <c r="FL34" s="319" t="s">
        <v>190</v>
      </c>
      <c r="FM34" s="319" t="s">
        <v>190</v>
      </c>
      <c r="FN34" s="319" t="s">
        <v>190</v>
      </c>
      <c r="FO34" s="319" t="s">
        <v>190</v>
      </c>
      <c r="FP34" s="319" t="s">
        <v>190</v>
      </c>
      <c r="FQ34" s="319" t="s">
        <v>190</v>
      </c>
      <c r="FR34" s="319" t="s">
        <v>190</v>
      </c>
      <c r="FS34" s="319" t="s">
        <v>428</v>
      </c>
      <c r="FT34" s="319" t="s">
        <v>190</v>
      </c>
      <c r="FU34" s="319" t="s">
        <v>190</v>
      </c>
      <c r="FV34" s="319" t="s">
        <v>190</v>
      </c>
      <c r="FW34" s="319" t="s">
        <v>190</v>
      </c>
      <c r="FX34" s="319" t="s">
        <v>190</v>
      </c>
      <c r="FY34" s="319" t="s">
        <v>190</v>
      </c>
      <c r="FZ34" s="319" t="s">
        <v>190</v>
      </c>
      <c r="GA34" s="319" t="s">
        <v>190</v>
      </c>
      <c r="GB34" s="319" t="s">
        <v>190</v>
      </c>
      <c r="GC34" s="319" t="s">
        <v>190</v>
      </c>
      <c r="GD34" s="319" t="s">
        <v>190</v>
      </c>
      <c r="GE34" s="319" t="s">
        <v>190</v>
      </c>
      <c r="GF34" s="319" t="s">
        <v>190</v>
      </c>
      <c r="GG34" s="319" t="s">
        <v>190</v>
      </c>
      <c r="GH34" s="319" t="s">
        <v>190</v>
      </c>
      <c r="GI34" s="319" t="s">
        <v>190</v>
      </c>
      <c r="GJ34" s="319" t="s">
        <v>190</v>
      </c>
      <c r="GK34" s="319" t="s">
        <v>428</v>
      </c>
      <c r="GL34" s="319" t="s">
        <v>190</v>
      </c>
      <c r="GM34" s="319" t="s">
        <v>190</v>
      </c>
      <c r="GN34" s="319" t="s">
        <v>190</v>
      </c>
      <c r="GO34" s="319" t="s">
        <v>190</v>
      </c>
      <c r="GP34" s="319" t="s">
        <v>190</v>
      </c>
      <c r="GQ34" s="319" t="s">
        <v>190</v>
      </c>
      <c r="GR34" s="319" t="s">
        <v>190</v>
      </c>
      <c r="GS34" s="319" t="s">
        <v>190</v>
      </c>
      <c r="GT34" s="319" t="s">
        <v>428</v>
      </c>
      <c r="GU34" s="319" t="s">
        <v>428</v>
      </c>
      <c r="GV34" s="319" t="s">
        <v>190</v>
      </c>
      <c r="GW34" s="319" t="s">
        <v>190</v>
      </c>
      <c r="GX34" s="319" t="s">
        <v>190</v>
      </c>
      <c r="GY34" s="319" t="s">
        <v>190</v>
      </c>
      <c r="GZ34" s="319" t="s">
        <v>428</v>
      </c>
      <c r="HA34" s="319" t="s">
        <v>190</v>
      </c>
      <c r="HB34" s="319" t="s">
        <v>190</v>
      </c>
      <c r="HC34" s="319" t="s">
        <v>190</v>
      </c>
      <c r="HD34" s="319" t="s">
        <v>190</v>
      </c>
      <c r="HE34" s="319" t="s">
        <v>190</v>
      </c>
      <c r="HF34" s="319" t="s">
        <v>190</v>
      </c>
      <c r="HG34" s="319" t="s">
        <v>190</v>
      </c>
      <c r="HH34" s="319" t="s">
        <v>190</v>
      </c>
      <c r="HI34" s="319" t="s">
        <v>190</v>
      </c>
      <c r="HJ34" s="319" t="s">
        <v>190</v>
      </c>
      <c r="HK34" s="319" t="s">
        <v>190</v>
      </c>
      <c r="HL34" s="319" t="s">
        <v>428</v>
      </c>
      <c r="HM34" s="319" t="s">
        <v>428</v>
      </c>
      <c r="HN34" s="319" t="s">
        <v>428</v>
      </c>
      <c r="HO34" s="319" t="s">
        <v>428</v>
      </c>
      <c r="HP34" s="319" t="s">
        <v>190</v>
      </c>
      <c r="HQ34" s="319" t="s">
        <v>190</v>
      </c>
      <c r="HR34" s="319" t="s">
        <v>190</v>
      </c>
      <c r="HS34" s="319" t="s">
        <v>190</v>
      </c>
      <c r="HT34" s="319" t="s">
        <v>190</v>
      </c>
      <c r="HU34" s="319" t="s">
        <v>190</v>
      </c>
      <c r="HV34" s="319" t="s">
        <v>190</v>
      </c>
      <c r="HW34" s="319" t="s">
        <v>190</v>
      </c>
      <c r="HX34" s="319" t="s">
        <v>190</v>
      </c>
      <c r="HY34" s="319" t="s">
        <v>190</v>
      </c>
      <c r="HZ34" s="319" t="s">
        <v>190</v>
      </c>
      <c r="IA34" s="319" t="s">
        <v>190</v>
      </c>
      <c r="IB34" s="319" t="s">
        <v>190</v>
      </c>
      <c r="IC34" s="319" t="s">
        <v>190</v>
      </c>
      <c r="ID34" s="319" t="s">
        <v>190</v>
      </c>
      <c r="IE34" s="319" t="s">
        <v>190</v>
      </c>
      <c r="IF34" s="319" t="s">
        <v>190</v>
      </c>
      <c r="IG34" s="319" t="s">
        <v>190</v>
      </c>
      <c r="IH34" s="319" t="s">
        <v>190</v>
      </c>
      <c r="II34" s="319" t="s">
        <v>190</v>
      </c>
      <c r="IJ34" s="319" t="s">
        <v>2802</v>
      </c>
      <c r="IK34" s="321">
        <v>39490</v>
      </c>
      <c r="IL34" s="321">
        <v>39491</v>
      </c>
      <c r="IM34" s="321">
        <v>39518</v>
      </c>
      <c r="IN34" s="319">
        <v>3</v>
      </c>
      <c r="IO34" s="319" t="s">
        <v>173</v>
      </c>
      <c r="IP34" s="319" t="s">
        <v>173</v>
      </c>
      <c r="IQ34" s="321" t="s">
        <v>173</v>
      </c>
      <c r="IR34" s="320" t="s">
        <v>173</v>
      </c>
      <c r="IS34" s="322" t="s">
        <v>173</v>
      </c>
      <c r="IT34" s="319" t="s">
        <v>173</v>
      </c>
    </row>
    <row r="35" spans="1:254" s="271" customFormat="1" x14ac:dyDescent="0.25">
      <c r="A35" s="318" t="str">
        <f>HYPERLINK("http://www.ofsted.gov.uk/inspection-reports/find-inspection-report/provider/ELS/101065 ","Ofsted School Webpage")</f>
        <v>Ofsted School Webpage</v>
      </c>
      <c r="B35" s="319">
        <v>101065</v>
      </c>
      <c r="C35" s="319">
        <v>2126144</v>
      </c>
      <c r="D35" s="319" t="s">
        <v>1252</v>
      </c>
      <c r="E35" s="319" t="s">
        <v>167</v>
      </c>
      <c r="F35" s="319" t="s">
        <v>81</v>
      </c>
      <c r="G35" s="319" t="s">
        <v>81</v>
      </c>
      <c r="H35" s="319" t="s">
        <v>81</v>
      </c>
      <c r="I35" s="319" t="s">
        <v>78</v>
      </c>
      <c r="J35" s="319" t="s">
        <v>424</v>
      </c>
      <c r="K35" s="319" t="s">
        <v>441</v>
      </c>
      <c r="L35" s="319" t="s">
        <v>441</v>
      </c>
      <c r="M35" s="319" t="s">
        <v>745</v>
      </c>
      <c r="N35" s="319" t="s">
        <v>2803</v>
      </c>
      <c r="O35" s="319" t="s">
        <v>1253</v>
      </c>
      <c r="P35" s="319">
        <v>175</v>
      </c>
      <c r="Q35" s="319" t="s">
        <v>2766</v>
      </c>
      <c r="R35" s="320">
        <v>10008537</v>
      </c>
      <c r="S35" s="321">
        <v>43046</v>
      </c>
      <c r="T35" s="321">
        <v>43048</v>
      </c>
      <c r="U35" s="321">
        <v>43066</v>
      </c>
      <c r="V35" s="319" t="s">
        <v>425</v>
      </c>
      <c r="W35" s="319" t="s">
        <v>2767</v>
      </c>
      <c r="X35" s="319">
        <v>1</v>
      </c>
      <c r="Y35" s="319" t="s">
        <v>173</v>
      </c>
      <c r="Z35" s="319" t="s">
        <v>173</v>
      </c>
      <c r="AA35" s="319" t="s">
        <v>173</v>
      </c>
      <c r="AB35" s="319">
        <v>1</v>
      </c>
      <c r="AC35" s="319" t="s">
        <v>169</v>
      </c>
      <c r="AD35" s="319">
        <v>1</v>
      </c>
      <c r="AE35" s="319" t="s">
        <v>173</v>
      </c>
      <c r="AF35" s="319" t="s">
        <v>173</v>
      </c>
      <c r="AG35" s="319" t="s">
        <v>171</v>
      </c>
      <c r="AH35" s="319" t="s">
        <v>190</v>
      </c>
      <c r="AI35" s="319" t="s">
        <v>190</v>
      </c>
      <c r="AJ35" s="319" t="s">
        <v>190</v>
      </c>
      <c r="AK35" s="319" t="s">
        <v>190</v>
      </c>
      <c r="AL35" s="319" t="s">
        <v>190</v>
      </c>
      <c r="AM35" s="319" t="s">
        <v>190</v>
      </c>
      <c r="AN35" s="319" t="s">
        <v>190</v>
      </c>
      <c r="AO35" s="319" t="s">
        <v>190</v>
      </c>
      <c r="AP35" s="319" t="s">
        <v>190</v>
      </c>
      <c r="AQ35" s="319" t="s">
        <v>190</v>
      </c>
      <c r="AR35" s="319" t="s">
        <v>190</v>
      </c>
      <c r="AS35" s="319" t="s">
        <v>190</v>
      </c>
      <c r="AT35" s="319" t="s">
        <v>190</v>
      </c>
      <c r="AU35" s="319" t="s">
        <v>190</v>
      </c>
      <c r="AV35" s="319" t="s">
        <v>190</v>
      </c>
      <c r="AW35" s="319" t="s">
        <v>190</v>
      </c>
      <c r="AX35" s="319" t="s">
        <v>429</v>
      </c>
      <c r="AY35" s="319" t="s">
        <v>190</v>
      </c>
      <c r="AZ35" s="319" t="s">
        <v>190</v>
      </c>
      <c r="BA35" s="319" t="s">
        <v>190</v>
      </c>
      <c r="BB35" s="319" t="s">
        <v>429</v>
      </c>
      <c r="BC35" s="319" t="s">
        <v>429</v>
      </c>
      <c r="BD35" s="319" t="s">
        <v>429</v>
      </c>
      <c r="BE35" s="319" t="s">
        <v>429</v>
      </c>
      <c r="BF35" s="319" t="s">
        <v>190</v>
      </c>
      <c r="BG35" s="319" t="s">
        <v>429</v>
      </c>
      <c r="BH35" s="319" t="s">
        <v>190</v>
      </c>
      <c r="BI35" s="319" t="s">
        <v>190</v>
      </c>
      <c r="BJ35" s="319" t="s">
        <v>190</v>
      </c>
      <c r="BK35" s="319" t="s">
        <v>190</v>
      </c>
      <c r="BL35" s="319" t="s">
        <v>190</v>
      </c>
      <c r="BM35" s="319" t="s">
        <v>190</v>
      </c>
      <c r="BN35" s="319" t="s">
        <v>190</v>
      </c>
      <c r="BO35" s="319" t="s">
        <v>190</v>
      </c>
      <c r="BP35" s="319" t="s">
        <v>190</v>
      </c>
      <c r="BQ35" s="319" t="s">
        <v>190</v>
      </c>
      <c r="BR35" s="319" t="s">
        <v>190</v>
      </c>
      <c r="BS35" s="319" t="s">
        <v>190</v>
      </c>
      <c r="BT35" s="319" t="s">
        <v>190</v>
      </c>
      <c r="BU35" s="319" t="s">
        <v>190</v>
      </c>
      <c r="BV35" s="319" t="s">
        <v>190</v>
      </c>
      <c r="BW35" s="319" t="s">
        <v>190</v>
      </c>
      <c r="BX35" s="319" t="s">
        <v>190</v>
      </c>
      <c r="BY35" s="319" t="s">
        <v>190</v>
      </c>
      <c r="BZ35" s="319" t="s">
        <v>190</v>
      </c>
      <c r="CA35" s="319" t="s">
        <v>190</v>
      </c>
      <c r="CB35" s="319" t="s">
        <v>190</v>
      </c>
      <c r="CC35" s="319" t="s">
        <v>190</v>
      </c>
      <c r="CD35" s="319" t="s">
        <v>190</v>
      </c>
      <c r="CE35" s="319" t="s">
        <v>190</v>
      </c>
      <c r="CF35" s="319" t="s">
        <v>190</v>
      </c>
      <c r="CG35" s="319" t="s">
        <v>190</v>
      </c>
      <c r="CH35" s="319" t="s">
        <v>190</v>
      </c>
      <c r="CI35" s="319" t="s">
        <v>190</v>
      </c>
      <c r="CJ35" s="319" t="s">
        <v>190</v>
      </c>
      <c r="CK35" s="319" t="s">
        <v>190</v>
      </c>
      <c r="CL35" s="319" t="s">
        <v>190</v>
      </c>
      <c r="CM35" s="319" t="s">
        <v>190</v>
      </c>
      <c r="CN35" s="319" t="s">
        <v>429</v>
      </c>
      <c r="CO35" s="319" t="s">
        <v>429</v>
      </c>
      <c r="CP35" s="319" t="s">
        <v>429</v>
      </c>
      <c r="CQ35" s="319" t="s">
        <v>190</v>
      </c>
      <c r="CR35" s="319" t="s">
        <v>190</v>
      </c>
      <c r="CS35" s="319" t="s">
        <v>190</v>
      </c>
      <c r="CT35" s="319" t="s">
        <v>190</v>
      </c>
      <c r="CU35" s="319" t="s">
        <v>190</v>
      </c>
      <c r="CV35" s="319" t="s">
        <v>190</v>
      </c>
      <c r="CW35" s="319" t="s">
        <v>190</v>
      </c>
      <c r="CX35" s="319" t="s">
        <v>190</v>
      </c>
      <c r="CY35" s="319" t="s">
        <v>190</v>
      </c>
      <c r="CZ35" s="319" t="s">
        <v>190</v>
      </c>
      <c r="DA35" s="319" t="s">
        <v>190</v>
      </c>
      <c r="DB35" s="319" t="s">
        <v>190</v>
      </c>
      <c r="DC35" s="319" t="s">
        <v>190</v>
      </c>
      <c r="DD35" s="319" t="s">
        <v>190</v>
      </c>
      <c r="DE35" s="319" t="s">
        <v>190</v>
      </c>
      <c r="DF35" s="319" t="s">
        <v>190</v>
      </c>
      <c r="DG35" s="319" t="s">
        <v>190</v>
      </c>
      <c r="DH35" s="319" t="s">
        <v>190</v>
      </c>
      <c r="DI35" s="319" t="s">
        <v>190</v>
      </c>
      <c r="DJ35" s="319" t="s">
        <v>190</v>
      </c>
      <c r="DK35" s="319" t="s">
        <v>190</v>
      </c>
      <c r="DL35" s="319" t="s">
        <v>190</v>
      </c>
      <c r="DM35" s="319" t="s">
        <v>190</v>
      </c>
      <c r="DN35" s="319" t="s">
        <v>429</v>
      </c>
      <c r="DO35" s="319" t="s">
        <v>190</v>
      </c>
      <c r="DP35" s="319" t="s">
        <v>190</v>
      </c>
      <c r="DQ35" s="319" t="s">
        <v>190</v>
      </c>
      <c r="DR35" s="319" t="s">
        <v>190</v>
      </c>
      <c r="DS35" s="319" t="s">
        <v>190</v>
      </c>
      <c r="DT35" s="319" t="s">
        <v>190</v>
      </c>
      <c r="DU35" s="319" t="s">
        <v>190</v>
      </c>
      <c r="DV35" s="319" t="s">
        <v>173</v>
      </c>
      <c r="DW35" s="319" t="s">
        <v>190</v>
      </c>
      <c r="DX35" s="319" t="s">
        <v>190</v>
      </c>
      <c r="DY35" s="319" t="s">
        <v>190</v>
      </c>
      <c r="DZ35" s="319" t="s">
        <v>190</v>
      </c>
      <c r="EA35" s="319" t="s">
        <v>190</v>
      </c>
      <c r="EB35" s="319" t="s">
        <v>190</v>
      </c>
      <c r="EC35" s="319" t="s">
        <v>429</v>
      </c>
      <c r="ED35" s="319" t="s">
        <v>190</v>
      </c>
      <c r="EE35" s="319" t="s">
        <v>190</v>
      </c>
      <c r="EF35" s="319" t="s">
        <v>190</v>
      </c>
      <c r="EG35" s="319" t="s">
        <v>190</v>
      </c>
      <c r="EH35" s="319" t="s">
        <v>190</v>
      </c>
      <c r="EI35" s="319" t="s">
        <v>190</v>
      </c>
      <c r="EJ35" s="319" t="s">
        <v>190</v>
      </c>
      <c r="EK35" s="319" t="s">
        <v>190</v>
      </c>
      <c r="EL35" s="319" t="s">
        <v>190</v>
      </c>
      <c r="EM35" s="319" t="s">
        <v>190</v>
      </c>
      <c r="EN35" s="319" t="s">
        <v>190</v>
      </c>
      <c r="EO35" s="319" t="s">
        <v>190</v>
      </c>
      <c r="EP35" s="319" t="s">
        <v>190</v>
      </c>
      <c r="EQ35" s="319" t="s">
        <v>190</v>
      </c>
      <c r="ER35" s="319" t="s">
        <v>190</v>
      </c>
      <c r="ES35" s="319" t="s">
        <v>190</v>
      </c>
      <c r="ET35" s="319" t="s">
        <v>190</v>
      </c>
      <c r="EU35" s="319" t="s">
        <v>190</v>
      </c>
      <c r="EV35" s="319" t="s">
        <v>190</v>
      </c>
      <c r="EW35" s="319" t="s">
        <v>190</v>
      </c>
      <c r="EX35" s="319" t="s">
        <v>190</v>
      </c>
      <c r="EY35" s="319" t="s">
        <v>190</v>
      </c>
      <c r="EZ35" s="319" t="s">
        <v>190</v>
      </c>
      <c r="FA35" s="319" t="s">
        <v>190</v>
      </c>
      <c r="FB35" s="319" t="s">
        <v>190</v>
      </c>
      <c r="FC35" s="319" t="s">
        <v>190</v>
      </c>
      <c r="FD35" s="319" t="s">
        <v>190</v>
      </c>
      <c r="FE35" s="319" t="s">
        <v>190</v>
      </c>
      <c r="FF35" s="319" t="s">
        <v>190</v>
      </c>
      <c r="FG35" s="319" t="s">
        <v>190</v>
      </c>
      <c r="FH35" s="319" t="s">
        <v>190</v>
      </c>
      <c r="FI35" s="319" t="s">
        <v>190</v>
      </c>
      <c r="FJ35" s="319" t="s">
        <v>190</v>
      </c>
      <c r="FK35" s="319" t="s">
        <v>190</v>
      </c>
      <c r="FL35" s="319" t="s">
        <v>190</v>
      </c>
      <c r="FM35" s="319" t="s">
        <v>190</v>
      </c>
      <c r="FN35" s="319" t="s">
        <v>190</v>
      </c>
      <c r="FO35" s="319" t="s">
        <v>429</v>
      </c>
      <c r="FP35" s="319" t="s">
        <v>190</v>
      </c>
      <c r="FQ35" s="319" t="s">
        <v>190</v>
      </c>
      <c r="FR35" s="319" t="s">
        <v>190</v>
      </c>
      <c r="FS35" s="319" t="s">
        <v>429</v>
      </c>
      <c r="FT35" s="319" t="s">
        <v>190</v>
      </c>
      <c r="FU35" s="319" t="s">
        <v>190</v>
      </c>
      <c r="FV35" s="319" t="s">
        <v>190</v>
      </c>
      <c r="FW35" s="319" t="s">
        <v>190</v>
      </c>
      <c r="FX35" s="319" t="s">
        <v>190</v>
      </c>
      <c r="FY35" s="319" t="s">
        <v>190</v>
      </c>
      <c r="FZ35" s="319" t="s">
        <v>190</v>
      </c>
      <c r="GA35" s="319" t="s">
        <v>190</v>
      </c>
      <c r="GB35" s="319" t="s">
        <v>190</v>
      </c>
      <c r="GC35" s="319" t="s">
        <v>190</v>
      </c>
      <c r="GD35" s="319" t="s">
        <v>190</v>
      </c>
      <c r="GE35" s="319" t="s">
        <v>190</v>
      </c>
      <c r="GF35" s="319" t="s">
        <v>190</v>
      </c>
      <c r="GG35" s="319" t="s">
        <v>190</v>
      </c>
      <c r="GH35" s="319" t="s">
        <v>190</v>
      </c>
      <c r="GI35" s="319" t="s">
        <v>190</v>
      </c>
      <c r="GJ35" s="319" t="s">
        <v>190</v>
      </c>
      <c r="GK35" s="319" t="s">
        <v>429</v>
      </c>
      <c r="GL35" s="319" t="s">
        <v>190</v>
      </c>
      <c r="GM35" s="319" t="s">
        <v>190</v>
      </c>
      <c r="GN35" s="319" t="s">
        <v>190</v>
      </c>
      <c r="GO35" s="319" t="s">
        <v>190</v>
      </c>
      <c r="GP35" s="319" t="s">
        <v>190</v>
      </c>
      <c r="GQ35" s="319" t="s">
        <v>429</v>
      </c>
      <c r="GR35" s="319" t="s">
        <v>190</v>
      </c>
      <c r="GS35" s="319" t="s">
        <v>190</v>
      </c>
      <c r="GT35" s="319" t="s">
        <v>429</v>
      </c>
      <c r="GU35" s="319" t="s">
        <v>190</v>
      </c>
      <c r="GV35" s="319" t="s">
        <v>190</v>
      </c>
      <c r="GW35" s="319" t="s">
        <v>190</v>
      </c>
      <c r="GX35" s="319" t="s">
        <v>190</v>
      </c>
      <c r="GY35" s="319" t="s">
        <v>190</v>
      </c>
      <c r="GZ35" s="319" t="s">
        <v>190</v>
      </c>
      <c r="HA35" s="319" t="s">
        <v>429</v>
      </c>
      <c r="HB35" s="319" t="s">
        <v>429</v>
      </c>
      <c r="HC35" s="319" t="s">
        <v>190</v>
      </c>
      <c r="HD35" s="319" t="s">
        <v>190</v>
      </c>
      <c r="HE35" s="319" t="s">
        <v>190</v>
      </c>
      <c r="HF35" s="319" t="s">
        <v>190</v>
      </c>
      <c r="HG35" s="319" t="s">
        <v>190</v>
      </c>
      <c r="HH35" s="319" t="s">
        <v>190</v>
      </c>
      <c r="HI35" s="319" t="s">
        <v>190</v>
      </c>
      <c r="HJ35" s="319" t="s">
        <v>190</v>
      </c>
      <c r="HK35" s="319" t="s">
        <v>190</v>
      </c>
      <c r="HL35" s="319" t="s">
        <v>190</v>
      </c>
      <c r="HM35" s="319" t="s">
        <v>190</v>
      </c>
      <c r="HN35" s="319" t="s">
        <v>190</v>
      </c>
      <c r="HO35" s="319" t="s">
        <v>190</v>
      </c>
      <c r="HP35" s="319" t="s">
        <v>190</v>
      </c>
      <c r="HQ35" s="319" t="s">
        <v>190</v>
      </c>
      <c r="HR35" s="319" t="s">
        <v>190</v>
      </c>
      <c r="HS35" s="319" t="s">
        <v>190</v>
      </c>
      <c r="HT35" s="319" t="s">
        <v>190</v>
      </c>
      <c r="HU35" s="319" t="s">
        <v>190</v>
      </c>
      <c r="HV35" s="319" t="s">
        <v>190</v>
      </c>
      <c r="HW35" s="319" t="s">
        <v>190</v>
      </c>
      <c r="HX35" s="319" t="s">
        <v>190</v>
      </c>
      <c r="HY35" s="319" t="s">
        <v>190</v>
      </c>
      <c r="HZ35" s="319" t="s">
        <v>190</v>
      </c>
      <c r="IA35" s="319" t="s">
        <v>190</v>
      </c>
      <c r="IB35" s="319" t="s">
        <v>190</v>
      </c>
      <c r="IC35" s="319" t="s">
        <v>190</v>
      </c>
      <c r="ID35" s="319" t="s">
        <v>190</v>
      </c>
      <c r="IE35" s="319" t="s">
        <v>190</v>
      </c>
      <c r="IF35" s="319" t="s">
        <v>190</v>
      </c>
      <c r="IG35" s="319" t="s">
        <v>190</v>
      </c>
      <c r="IH35" s="319" t="s">
        <v>190</v>
      </c>
      <c r="II35" s="319" t="s">
        <v>190</v>
      </c>
      <c r="IJ35" s="319" t="s">
        <v>2804</v>
      </c>
      <c r="IK35" s="321">
        <v>40255</v>
      </c>
      <c r="IL35" s="321">
        <v>40255</v>
      </c>
      <c r="IM35" s="321">
        <v>40291</v>
      </c>
      <c r="IN35" s="319">
        <v>1</v>
      </c>
      <c r="IO35" s="319" t="s">
        <v>173</v>
      </c>
      <c r="IP35" s="319" t="s">
        <v>173</v>
      </c>
      <c r="IQ35" s="321" t="s">
        <v>173</v>
      </c>
      <c r="IR35" s="320" t="s">
        <v>173</v>
      </c>
      <c r="IS35" s="322" t="s">
        <v>173</v>
      </c>
      <c r="IT35" s="319" t="s">
        <v>173</v>
      </c>
    </row>
    <row r="36" spans="1:254" s="271" customFormat="1" x14ac:dyDescent="0.25">
      <c r="A36" s="318" t="str">
        <f>HYPERLINK("http://www.ofsted.gov.uk/inspection-reports/find-inspection-report/provider/ELS/101073 ","Ofsted School Webpage")</f>
        <v>Ofsted School Webpage</v>
      </c>
      <c r="B36" s="319">
        <v>101073</v>
      </c>
      <c r="C36" s="319">
        <v>2086344</v>
      </c>
      <c r="D36" s="319" t="s">
        <v>727</v>
      </c>
      <c r="E36" s="319" t="s">
        <v>167</v>
      </c>
      <c r="F36" s="319" t="s">
        <v>81</v>
      </c>
      <c r="G36" s="319" t="s">
        <v>81</v>
      </c>
      <c r="H36" s="319" t="s">
        <v>81</v>
      </c>
      <c r="I36" s="319" t="s">
        <v>78</v>
      </c>
      <c r="J36" s="319" t="s">
        <v>424</v>
      </c>
      <c r="K36" s="319" t="s">
        <v>441</v>
      </c>
      <c r="L36" s="319" t="s">
        <v>441</v>
      </c>
      <c r="M36" s="319" t="s">
        <v>728</v>
      </c>
      <c r="N36" s="319" t="s">
        <v>2805</v>
      </c>
      <c r="O36" s="319" t="s">
        <v>729</v>
      </c>
      <c r="P36" s="319">
        <v>80</v>
      </c>
      <c r="Q36" s="319" t="s">
        <v>2766</v>
      </c>
      <c r="R36" s="320">
        <v>10085318</v>
      </c>
      <c r="S36" s="321">
        <v>43431</v>
      </c>
      <c r="T36" s="321">
        <v>43433</v>
      </c>
      <c r="U36" s="321">
        <v>43494</v>
      </c>
      <c r="V36" s="319" t="s">
        <v>425</v>
      </c>
      <c r="W36" s="319" t="s">
        <v>2767</v>
      </c>
      <c r="X36" s="319">
        <v>4</v>
      </c>
      <c r="Y36" s="319" t="s">
        <v>173</v>
      </c>
      <c r="Z36" s="319" t="s">
        <v>173</v>
      </c>
      <c r="AA36" s="319" t="s">
        <v>173</v>
      </c>
      <c r="AB36" s="319">
        <v>4</v>
      </c>
      <c r="AC36" s="319" t="s">
        <v>170</v>
      </c>
      <c r="AD36" s="319">
        <v>4</v>
      </c>
      <c r="AE36" s="319" t="s">
        <v>173</v>
      </c>
      <c r="AF36" s="319" t="s">
        <v>427</v>
      </c>
      <c r="AG36" s="319" t="s">
        <v>172</v>
      </c>
      <c r="AH36" s="319" t="s">
        <v>479</v>
      </c>
      <c r="AI36" s="319" t="s">
        <v>479</v>
      </c>
      <c r="AJ36" s="319" t="s">
        <v>479</v>
      </c>
      <c r="AK36" s="319" t="s">
        <v>190</v>
      </c>
      <c r="AL36" s="319" t="s">
        <v>479</v>
      </c>
      <c r="AM36" s="319" t="s">
        <v>479</v>
      </c>
      <c r="AN36" s="319" t="s">
        <v>190</v>
      </c>
      <c r="AO36" s="319" t="s">
        <v>479</v>
      </c>
      <c r="AP36" s="319" t="s">
        <v>191</v>
      </c>
      <c r="AQ36" s="319" t="s">
        <v>191</v>
      </c>
      <c r="AR36" s="319" t="s">
        <v>191</v>
      </c>
      <c r="AS36" s="319" t="s">
        <v>191</v>
      </c>
      <c r="AT36" s="319" t="s">
        <v>190</v>
      </c>
      <c r="AU36" s="319" t="s">
        <v>191</v>
      </c>
      <c r="AV36" s="319" t="s">
        <v>190</v>
      </c>
      <c r="AW36" s="319" t="s">
        <v>190</v>
      </c>
      <c r="AX36" s="319" t="s">
        <v>428</v>
      </c>
      <c r="AY36" s="319" t="s">
        <v>190</v>
      </c>
      <c r="AZ36" s="319" t="s">
        <v>190</v>
      </c>
      <c r="BA36" s="319" t="s">
        <v>190</v>
      </c>
      <c r="BB36" s="319" t="s">
        <v>191</v>
      </c>
      <c r="BC36" s="319" t="s">
        <v>191</v>
      </c>
      <c r="BD36" s="319" t="s">
        <v>191</v>
      </c>
      <c r="BE36" s="319" t="s">
        <v>191</v>
      </c>
      <c r="BF36" s="319" t="s">
        <v>190</v>
      </c>
      <c r="BG36" s="319" t="s">
        <v>428</v>
      </c>
      <c r="BH36" s="319" t="s">
        <v>190</v>
      </c>
      <c r="BI36" s="319" t="s">
        <v>190</v>
      </c>
      <c r="BJ36" s="319" t="s">
        <v>191</v>
      </c>
      <c r="BK36" s="319" t="s">
        <v>191</v>
      </c>
      <c r="BL36" s="319" t="s">
        <v>190</v>
      </c>
      <c r="BM36" s="319" t="s">
        <v>191</v>
      </c>
      <c r="BN36" s="319" t="s">
        <v>191</v>
      </c>
      <c r="BO36" s="319" t="s">
        <v>190</v>
      </c>
      <c r="BP36" s="319" t="s">
        <v>190</v>
      </c>
      <c r="BQ36" s="319" t="s">
        <v>191</v>
      </c>
      <c r="BR36" s="319" t="s">
        <v>190</v>
      </c>
      <c r="BS36" s="319" t="s">
        <v>190</v>
      </c>
      <c r="BT36" s="319" t="s">
        <v>191</v>
      </c>
      <c r="BU36" s="319" t="s">
        <v>191</v>
      </c>
      <c r="BV36" s="319" t="s">
        <v>191</v>
      </c>
      <c r="BW36" s="319" t="s">
        <v>191</v>
      </c>
      <c r="BX36" s="319" t="s">
        <v>190</v>
      </c>
      <c r="BY36" s="319" t="s">
        <v>190</v>
      </c>
      <c r="BZ36" s="319" t="s">
        <v>190</v>
      </c>
      <c r="CA36" s="319" t="s">
        <v>190</v>
      </c>
      <c r="CB36" s="319" t="s">
        <v>190</v>
      </c>
      <c r="CC36" s="319" t="s">
        <v>190</v>
      </c>
      <c r="CD36" s="319" t="s">
        <v>190</v>
      </c>
      <c r="CE36" s="319" t="s">
        <v>190</v>
      </c>
      <c r="CF36" s="319" t="s">
        <v>190</v>
      </c>
      <c r="CG36" s="319" t="s">
        <v>190</v>
      </c>
      <c r="CH36" s="319" t="s">
        <v>190</v>
      </c>
      <c r="CI36" s="319" t="s">
        <v>190</v>
      </c>
      <c r="CJ36" s="319" t="s">
        <v>190</v>
      </c>
      <c r="CK36" s="319" t="s">
        <v>191</v>
      </c>
      <c r="CL36" s="319" t="s">
        <v>191</v>
      </c>
      <c r="CM36" s="319" t="s">
        <v>191</v>
      </c>
      <c r="CN36" s="319" t="s">
        <v>428</v>
      </c>
      <c r="CO36" s="319" t="s">
        <v>428</v>
      </c>
      <c r="CP36" s="319" t="s">
        <v>428</v>
      </c>
      <c r="CQ36" s="319" t="s">
        <v>191</v>
      </c>
      <c r="CR36" s="319" t="s">
        <v>190</v>
      </c>
      <c r="CS36" s="319" t="s">
        <v>191</v>
      </c>
      <c r="CT36" s="319" t="s">
        <v>191</v>
      </c>
      <c r="CU36" s="319" t="s">
        <v>191</v>
      </c>
      <c r="CV36" s="319" t="s">
        <v>191</v>
      </c>
      <c r="CW36" s="319" t="s">
        <v>191</v>
      </c>
      <c r="CX36" s="319" t="s">
        <v>191</v>
      </c>
      <c r="CY36" s="319" t="s">
        <v>190</v>
      </c>
      <c r="CZ36" s="319" t="s">
        <v>191</v>
      </c>
      <c r="DA36" s="319" t="s">
        <v>191</v>
      </c>
      <c r="DB36" s="319" t="s">
        <v>191</v>
      </c>
      <c r="DC36" s="319" t="s">
        <v>191</v>
      </c>
      <c r="DD36" s="319" t="s">
        <v>190</v>
      </c>
      <c r="DE36" s="319" t="s">
        <v>190</v>
      </c>
      <c r="DF36" s="319" t="s">
        <v>190</v>
      </c>
      <c r="DG36" s="319" t="s">
        <v>190</v>
      </c>
      <c r="DH36" s="319" t="s">
        <v>190</v>
      </c>
      <c r="DI36" s="319" t="s">
        <v>190</v>
      </c>
      <c r="DJ36" s="319" t="s">
        <v>190</v>
      </c>
      <c r="DK36" s="319" t="s">
        <v>190</v>
      </c>
      <c r="DL36" s="319" t="s">
        <v>190</v>
      </c>
      <c r="DM36" s="319" t="s">
        <v>190</v>
      </c>
      <c r="DN36" s="319" t="s">
        <v>428</v>
      </c>
      <c r="DO36" s="319" t="s">
        <v>190</v>
      </c>
      <c r="DP36" s="319" t="s">
        <v>428</v>
      </c>
      <c r="DQ36" s="319" t="s">
        <v>428</v>
      </c>
      <c r="DR36" s="319" t="s">
        <v>428</v>
      </c>
      <c r="DS36" s="319" t="s">
        <v>428</v>
      </c>
      <c r="DT36" s="319" t="s">
        <v>428</v>
      </c>
      <c r="DU36" s="319" t="s">
        <v>428</v>
      </c>
      <c r="DV36" s="319" t="s">
        <v>173</v>
      </c>
      <c r="DW36" s="319" t="s">
        <v>428</v>
      </c>
      <c r="DX36" s="319" t="s">
        <v>428</v>
      </c>
      <c r="DY36" s="319" t="s">
        <v>428</v>
      </c>
      <c r="DZ36" s="319" t="s">
        <v>428</v>
      </c>
      <c r="EA36" s="319" t="s">
        <v>428</v>
      </c>
      <c r="EB36" s="319" t="s">
        <v>428</v>
      </c>
      <c r="EC36" s="319" t="s">
        <v>428</v>
      </c>
      <c r="ED36" s="319" t="s">
        <v>428</v>
      </c>
      <c r="EE36" s="319" t="s">
        <v>190</v>
      </c>
      <c r="EF36" s="319" t="s">
        <v>190</v>
      </c>
      <c r="EG36" s="319" t="s">
        <v>190</v>
      </c>
      <c r="EH36" s="319" t="s">
        <v>190</v>
      </c>
      <c r="EI36" s="319" t="s">
        <v>190</v>
      </c>
      <c r="EJ36" s="319" t="s">
        <v>190</v>
      </c>
      <c r="EK36" s="319" t="s">
        <v>190</v>
      </c>
      <c r="EL36" s="319" t="s">
        <v>190</v>
      </c>
      <c r="EM36" s="319" t="s">
        <v>190</v>
      </c>
      <c r="EN36" s="319" t="s">
        <v>190</v>
      </c>
      <c r="EO36" s="319" t="s">
        <v>190</v>
      </c>
      <c r="EP36" s="319" t="s">
        <v>190</v>
      </c>
      <c r="EQ36" s="319" t="s">
        <v>190</v>
      </c>
      <c r="ER36" s="319" t="s">
        <v>190</v>
      </c>
      <c r="ES36" s="319" t="s">
        <v>190</v>
      </c>
      <c r="ET36" s="319" t="s">
        <v>190</v>
      </c>
      <c r="EU36" s="319" t="s">
        <v>190</v>
      </c>
      <c r="EV36" s="319" t="s">
        <v>190</v>
      </c>
      <c r="EW36" s="319" t="s">
        <v>190</v>
      </c>
      <c r="EX36" s="319" t="s">
        <v>190</v>
      </c>
      <c r="EY36" s="319" t="s">
        <v>190</v>
      </c>
      <c r="EZ36" s="319" t="s">
        <v>190</v>
      </c>
      <c r="FA36" s="319" t="s">
        <v>190</v>
      </c>
      <c r="FB36" s="319" t="s">
        <v>428</v>
      </c>
      <c r="FC36" s="319" t="s">
        <v>428</v>
      </c>
      <c r="FD36" s="319" t="s">
        <v>428</v>
      </c>
      <c r="FE36" s="319" t="s">
        <v>428</v>
      </c>
      <c r="FF36" s="319" t="s">
        <v>428</v>
      </c>
      <c r="FG36" s="319" t="s">
        <v>428</v>
      </c>
      <c r="FH36" s="319" t="s">
        <v>190</v>
      </c>
      <c r="FI36" s="319" t="s">
        <v>190</v>
      </c>
      <c r="FJ36" s="319" t="s">
        <v>190</v>
      </c>
      <c r="FK36" s="319" t="s">
        <v>190</v>
      </c>
      <c r="FL36" s="319" t="s">
        <v>190</v>
      </c>
      <c r="FM36" s="319" t="s">
        <v>190</v>
      </c>
      <c r="FN36" s="319" t="s">
        <v>190</v>
      </c>
      <c r="FO36" s="319" t="s">
        <v>190</v>
      </c>
      <c r="FP36" s="319" t="s">
        <v>191</v>
      </c>
      <c r="FQ36" s="319" t="s">
        <v>190</v>
      </c>
      <c r="FR36" s="319" t="s">
        <v>191</v>
      </c>
      <c r="FS36" s="319" t="s">
        <v>428</v>
      </c>
      <c r="FT36" s="319" t="s">
        <v>190</v>
      </c>
      <c r="FU36" s="319" t="s">
        <v>191</v>
      </c>
      <c r="FV36" s="319" t="s">
        <v>190</v>
      </c>
      <c r="FW36" s="319" t="s">
        <v>190</v>
      </c>
      <c r="FX36" s="319" t="s">
        <v>190</v>
      </c>
      <c r="FY36" s="319" t="s">
        <v>190</v>
      </c>
      <c r="FZ36" s="319" t="s">
        <v>191</v>
      </c>
      <c r="GA36" s="319" t="s">
        <v>190</v>
      </c>
      <c r="GB36" s="319" t="s">
        <v>190</v>
      </c>
      <c r="GC36" s="319" t="s">
        <v>190</v>
      </c>
      <c r="GD36" s="319" t="s">
        <v>191</v>
      </c>
      <c r="GE36" s="319" t="s">
        <v>190</v>
      </c>
      <c r="GF36" s="319" t="s">
        <v>190</v>
      </c>
      <c r="GG36" s="319" t="s">
        <v>190</v>
      </c>
      <c r="GH36" s="319" t="s">
        <v>190</v>
      </c>
      <c r="GI36" s="319" t="s">
        <v>190</v>
      </c>
      <c r="GJ36" s="319" t="s">
        <v>190</v>
      </c>
      <c r="GK36" s="319" t="s">
        <v>428</v>
      </c>
      <c r="GL36" s="319" t="s">
        <v>191</v>
      </c>
      <c r="GM36" s="319" t="s">
        <v>191</v>
      </c>
      <c r="GN36" s="319" t="s">
        <v>191</v>
      </c>
      <c r="GO36" s="319" t="s">
        <v>190</v>
      </c>
      <c r="GP36" s="319" t="s">
        <v>190</v>
      </c>
      <c r="GQ36" s="319" t="s">
        <v>428</v>
      </c>
      <c r="GR36" s="319" t="s">
        <v>190</v>
      </c>
      <c r="GS36" s="319" t="s">
        <v>190</v>
      </c>
      <c r="GT36" s="319" t="s">
        <v>428</v>
      </c>
      <c r="GU36" s="319" t="s">
        <v>428</v>
      </c>
      <c r="GV36" s="319" t="s">
        <v>428</v>
      </c>
      <c r="GW36" s="319" t="s">
        <v>191</v>
      </c>
      <c r="GX36" s="319" t="s">
        <v>190</v>
      </c>
      <c r="GY36" s="319" t="s">
        <v>191</v>
      </c>
      <c r="GZ36" s="319" t="s">
        <v>428</v>
      </c>
      <c r="HA36" s="319" t="s">
        <v>191</v>
      </c>
      <c r="HB36" s="319" t="s">
        <v>428</v>
      </c>
      <c r="HC36" s="319" t="s">
        <v>190</v>
      </c>
      <c r="HD36" s="319" t="s">
        <v>191</v>
      </c>
      <c r="HE36" s="319" t="s">
        <v>190</v>
      </c>
      <c r="HF36" s="319" t="s">
        <v>191</v>
      </c>
      <c r="HG36" s="319" t="s">
        <v>190</v>
      </c>
      <c r="HH36" s="319" t="s">
        <v>190</v>
      </c>
      <c r="HI36" s="319" t="s">
        <v>428</v>
      </c>
      <c r="HJ36" s="319" t="s">
        <v>190</v>
      </c>
      <c r="HK36" s="319" t="s">
        <v>190</v>
      </c>
      <c r="HL36" s="319" t="s">
        <v>428</v>
      </c>
      <c r="HM36" s="319" t="s">
        <v>428</v>
      </c>
      <c r="HN36" s="319" t="s">
        <v>428</v>
      </c>
      <c r="HO36" s="319" t="s">
        <v>428</v>
      </c>
      <c r="HP36" s="319" t="s">
        <v>190</v>
      </c>
      <c r="HQ36" s="319" t="s">
        <v>190</v>
      </c>
      <c r="HR36" s="319" t="s">
        <v>190</v>
      </c>
      <c r="HS36" s="319" t="s">
        <v>190</v>
      </c>
      <c r="HT36" s="319" t="s">
        <v>190</v>
      </c>
      <c r="HU36" s="319" t="s">
        <v>190</v>
      </c>
      <c r="HV36" s="319" t="s">
        <v>190</v>
      </c>
      <c r="HW36" s="319" t="s">
        <v>190</v>
      </c>
      <c r="HX36" s="319" t="s">
        <v>190</v>
      </c>
      <c r="HY36" s="319" t="s">
        <v>190</v>
      </c>
      <c r="HZ36" s="319" t="s">
        <v>190</v>
      </c>
      <c r="IA36" s="319" t="s">
        <v>190</v>
      </c>
      <c r="IB36" s="319" t="s">
        <v>190</v>
      </c>
      <c r="IC36" s="319" t="s">
        <v>190</v>
      </c>
      <c r="ID36" s="319" t="s">
        <v>190</v>
      </c>
      <c r="IE36" s="319" t="s">
        <v>190</v>
      </c>
      <c r="IF36" s="319" t="s">
        <v>191</v>
      </c>
      <c r="IG36" s="319" t="s">
        <v>191</v>
      </c>
      <c r="IH36" s="319" t="s">
        <v>191</v>
      </c>
      <c r="II36" s="319" t="s">
        <v>191</v>
      </c>
      <c r="IJ36" s="319" t="s">
        <v>2806</v>
      </c>
      <c r="IK36" s="321">
        <v>39457</v>
      </c>
      <c r="IL36" s="321">
        <v>39458</v>
      </c>
      <c r="IM36" s="321">
        <v>39479</v>
      </c>
      <c r="IN36" s="319">
        <v>3</v>
      </c>
      <c r="IO36" s="319">
        <v>10102839</v>
      </c>
      <c r="IP36" s="319" t="s">
        <v>985</v>
      </c>
      <c r="IQ36" s="321">
        <v>43650</v>
      </c>
      <c r="IR36" s="320" t="s">
        <v>1223</v>
      </c>
      <c r="IS36" s="322">
        <v>43719</v>
      </c>
      <c r="IT36" s="319" t="s">
        <v>166</v>
      </c>
    </row>
    <row r="37" spans="1:254" s="271" customFormat="1" x14ac:dyDescent="0.25">
      <c r="A37" s="318" t="str">
        <f>HYPERLINK("http://www.ofsted.gov.uk/inspection-reports/find-inspection-report/provider/ELS/101077 ","Ofsted School Webpage")</f>
        <v>Ofsted School Webpage</v>
      </c>
      <c r="B37" s="319">
        <v>101077</v>
      </c>
      <c r="C37" s="319">
        <v>2126368</v>
      </c>
      <c r="D37" s="319" t="s">
        <v>1254</v>
      </c>
      <c r="E37" s="319" t="s">
        <v>168</v>
      </c>
      <c r="F37" s="319" t="s">
        <v>81</v>
      </c>
      <c r="G37" s="319" t="s">
        <v>81</v>
      </c>
      <c r="H37" s="319" t="s">
        <v>81</v>
      </c>
      <c r="I37" s="319" t="s">
        <v>78</v>
      </c>
      <c r="J37" s="319" t="s">
        <v>424</v>
      </c>
      <c r="K37" s="319" t="s">
        <v>441</v>
      </c>
      <c r="L37" s="319" t="s">
        <v>441</v>
      </c>
      <c r="M37" s="319" t="s">
        <v>745</v>
      </c>
      <c r="N37" s="319" t="s">
        <v>2793</v>
      </c>
      <c r="O37" s="319" t="s">
        <v>1255</v>
      </c>
      <c r="P37" s="319">
        <v>26</v>
      </c>
      <c r="Q37" s="319" t="s">
        <v>429</v>
      </c>
      <c r="R37" s="320">
        <v>10041395</v>
      </c>
      <c r="S37" s="321">
        <v>43109</v>
      </c>
      <c r="T37" s="321">
        <v>43111</v>
      </c>
      <c r="U37" s="321">
        <v>43157</v>
      </c>
      <c r="V37" s="319" t="s">
        <v>425</v>
      </c>
      <c r="W37" s="319" t="s">
        <v>2767</v>
      </c>
      <c r="X37" s="319">
        <v>2</v>
      </c>
      <c r="Y37" s="319" t="s">
        <v>173</v>
      </c>
      <c r="Z37" s="319" t="s">
        <v>173</v>
      </c>
      <c r="AA37" s="319" t="s">
        <v>173</v>
      </c>
      <c r="AB37" s="319">
        <v>2</v>
      </c>
      <c r="AC37" s="319" t="s">
        <v>169</v>
      </c>
      <c r="AD37" s="319" t="s">
        <v>173</v>
      </c>
      <c r="AE37" s="319" t="s">
        <v>173</v>
      </c>
      <c r="AF37" s="319" t="s">
        <v>427</v>
      </c>
      <c r="AG37" s="319" t="s">
        <v>171</v>
      </c>
      <c r="AH37" s="319" t="s">
        <v>190</v>
      </c>
      <c r="AI37" s="319" t="s">
        <v>190</v>
      </c>
      <c r="AJ37" s="319" t="s">
        <v>190</v>
      </c>
      <c r="AK37" s="319" t="s">
        <v>190</v>
      </c>
      <c r="AL37" s="319" t="s">
        <v>190</v>
      </c>
      <c r="AM37" s="319" t="s">
        <v>190</v>
      </c>
      <c r="AN37" s="319" t="s">
        <v>190</v>
      </c>
      <c r="AO37" s="319" t="s">
        <v>190</v>
      </c>
      <c r="AP37" s="319" t="s">
        <v>190</v>
      </c>
      <c r="AQ37" s="319" t="s">
        <v>190</v>
      </c>
      <c r="AR37" s="319" t="s">
        <v>190</v>
      </c>
      <c r="AS37" s="319" t="s">
        <v>190</v>
      </c>
      <c r="AT37" s="319" t="s">
        <v>190</v>
      </c>
      <c r="AU37" s="319" t="s">
        <v>190</v>
      </c>
      <c r="AV37" s="319" t="s">
        <v>190</v>
      </c>
      <c r="AW37" s="319" t="s">
        <v>190</v>
      </c>
      <c r="AX37" s="319" t="s">
        <v>428</v>
      </c>
      <c r="AY37" s="319" t="s">
        <v>190</v>
      </c>
      <c r="AZ37" s="319" t="s">
        <v>190</v>
      </c>
      <c r="BA37" s="319" t="s">
        <v>190</v>
      </c>
      <c r="BB37" s="319" t="s">
        <v>190</v>
      </c>
      <c r="BC37" s="319" t="s">
        <v>190</v>
      </c>
      <c r="BD37" s="319" t="s">
        <v>190</v>
      </c>
      <c r="BE37" s="319" t="s">
        <v>190</v>
      </c>
      <c r="BF37" s="319" t="s">
        <v>428</v>
      </c>
      <c r="BG37" s="319" t="s">
        <v>428</v>
      </c>
      <c r="BH37" s="319" t="s">
        <v>190</v>
      </c>
      <c r="BI37" s="319" t="s">
        <v>190</v>
      </c>
      <c r="BJ37" s="319" t="s">
        <v>190</v>
      </c>
      <c r="BK37" s="319" t="s">
        <v>190</v>
      </c>
      <c r="BL37" s="319" t="s">
        <v>190</v>
      </c>
      <c r="BM37" s="319" t="s">
        <v>190</v>
      </c>
      <c r="BN37" s="319" t="s">
        <v>190</v>
      </c>
      <c r="BO37" s="319" t="s">
        <v>190</v>
      </c>
      <c r="BP37" s="319" t="s">
        <v>190</v>
      </c>
      <c r="BQ37" s="319" t="s">
        <v>190</v>
      </c>
      <c r="BR37" s="319" t="s">
        <v>190</v>
      </c>
      <c r="BS37" s="319" t="s">
        <v>190</v>
      </c>
      <c r="BT37" s="319" t="s">
        <v>190</v>
      </c>
      <c r="BU37" s="319" t="s">
        <v>190</v>
      </c>
      <c r="BV37" s="319" t="s">
        <v>190</v>
      </c>
      <c r="BW37" s="319" t="s">
        <v>190</v>
      </c>
      <c r="BX37" s="319" t="s">
        <v>190</v>
      </c>
      <c r="BY37" s="319" t="s">
        <v>190</v>
      </c>
      <c r="BZ37" s="319" t="s">
        <v>190</v>
      </c>
      <c r="CA37" s="319" t="s">
        <v>190</v>
      </c>
      <c r="CB37" s="319" t="s">
        <v>190</v>
      </c>
      <c r="CC37" s="319" t="s">
        <v>190</v>
      </c>
      <c r="CD37" s="319" t="s">
        <v>190</v>
      </c>
      <c r="CE37" s="319" t="s">
        <v>190</v>
      </c>
      <c r="CF37" s="319" t="s">
        <v>190</v>
      </c>
      <c r="CG37" s="319" t="s">
        <v>190</v>
      </c>
      <c r="CH37" s="319" t="s">
        <v>190</v>
      </c>
      <c r="CI37" s="319" t="s">
        <v>190</v>
      </c>
      <c r="CJ37" s="319" t="s">
        <v>190</v>
      </c>
      <c r="CK37" s="319" t="s">
        <v>190</v>
      </c>
      <c r="CL37" s="319" t="s">
        <v>190</v>
      </c>
      <c r="CM37" s="319" t="s">
        <v>190</v>
      </c>
      <c r="CN37" s="319" t="s">
        <v>428</v>
      </c>
      <c r="CO37" s="319" t="s">
        <v>428</v>
      </c>
      <c r="CP37" s="319" t="s">
        <v>428</v>
      </c>
      <c r="CQ37" s="319" t="s">
        <v>190</v>
      </c>
      <c r="CR37" s="319" t="s">
        <v>190</v>
      </c>
      <c r="CS37" s="319" t="s">
        <v>190</v>
      </c>
      <c r="CT37" s="319" t="s">
        <v>190</v>
      </c>
      <c r="CU37" s="319" t="s">
        <v>190</v>
      </c>
      <c r="CV37" s="319" t="s">
        <v>190</v>
      </c>
      <c r="CW37" s="319" t="s">
        <v>190</v>
      </c>
      <c r="CX37" s="319" t="s">
        <v>190</v>
      </c>
      <c r="CY37" s="319" t="s">
        <v>190</v>
      </c>
      <c r="CZ37" s="319" t="s">
        <v>190</v>
      </c>
      <c r="DA37" s="319" t="s">
        <v>190</v>
      </c>
      <c r="DB37" s="319" t="s">
        <v>190</v>
      </c>
      <c r="DC37" s="319" t="s">
        <v>190</v>
      </c>
      <c r="DD37" s="319" t="s">
        <v>190</v>
      </c>
      <c r="DE37" s="319" t="s">
        <v>190</v>
      </c>
      <c r="DF37" s="319" t="s">
        <v>190</v>
      </c>
      <c r="DG37" s="319" t="s">
        <v>190</v>
      </c>
      <c r="DH37" s="319" t="s">
        <v>190</v>
      </c>
      <c r="DI37" s="319" t="s">
        <v>190</v>
      </c>
      <c r="DJ37" s="319" t="s">
        <v>190</v>
      </c>
      <c r="DK37" s="319" t="s">
        <v>190</v>
      </c>
      <c r="DL37" s="319" t="s">
        <v>190</v>
      </c>
      <c r="DM37" s="319" t="s">
        <v>190</v>
      </c>
      <c r="DN37" s="319" t="s">
        <v>428</v>
      </c>
      <c r="DO37" s="319" t="s">
        <v>190</v>
      </c>
      <c r="DP37" s="319" t="s">
        <v>428</v>
      </c>
      <c r="DQ37" s="319" t="s">
        <v>428</v>
      </c>
      <c r="DR37" s="319" t="s">
        <v>428</v>
      </c>
      <c r="DS37" s="319" t="s">
        <v>428</v>
      </c>
      <c r="DT37" s="319" t="s">
        <v>428</v>
      </c>
      <c r="DU37" s="319" t="s">
        <v>428</v>
      </c>
      <c r="DV37" s="319" t="s">
        <v>173</v>
      </c>
      <c r="DW37" s="319" t="s">
        <v>428</v>
      </c>
      <c r="DX37" s="319" t="s">
        <v>428</v>
      </c>
      <c r="DY37" s="319" t="s">
        <v>428</v>
      </c>
      <c r="DZ37" s="319" t="s">
        <v>428</v>
      </c>
      <c r="EA37" s="319" t="s">
        <v>428</v>
      </c>
      <c r="EB37" s="319" t="s">
        <v>428</v>
      </c>
      <c r="EC37" s="319" t="s">
        <v>428</v>
      </c>
      <c r="ED37" s="319" t="s">
        <v>428</v>
      </c>
      <c r="EE37" s="319" t="s">
        <v>428</v>
      </c>
      <c r="EF37" s="319" t="s">
        <v>428</v>
      </c>
      <c r="EG37" s="319" t="s">
        <v>428</v>
      </c>
      <c r="EH37" s="319" t="s">
        <v>428</v>
      </c>
      <c r="EI37" s="319" t="s">
        <v>428</v>
      </c>
      <c r="EJ37" s="319" t="s">
        <v>428</v>
      </c>
      <c r="EK37" s="319" t="s">
        <v>428</v>
      </c>
      <c r="EL37" s="319" t="s">
        <v>428</v>
      </c>
      <c r="EM37" s="319" t="s">
        <v>428</v>
      </c>
      <c r="EN37" s="319" t="s">
        <v>190</v>
      </c>
      <c r="EO37" s="319" t="s">
        <v>190</v>
      </c>
      <c r="EP37" s="319" t="s">
        <v>190</v>
      </c>
      <c r="EQ37" s="319" t="s">
        <v>190</v>
      </c>
      <c r="ER37" s="319" t="s">
        <v>190</v>
      </c>
      <c r="ES37" s="319" t="s">
        <v>190</v>
      </c>
      <c r="ET37" s="319" t="s">
        <v>190</v>
      </c>
      <c r="EU37" s="319" t="s">
        <v>190</v>
      </c>
      <c r="EV37" s="319" t="s">
        <v>190</v>
      </c>
      <c r="EW37" s="319" t="s">
        <v>190</v>
      </c>
      <c r="EX37" s="319" t="s">
        <v>190</v>
      </c>
      <c r="EY37" s="319" t="s">
        <v>190</v>
      </c>
      <c r="EZ37" s="319" t="s">
        <v>190</v>
      </c>
      <c r="FA37" s="319" t="s">
        <v>190</v>
      </c>
      <c r="FB37" s="319" t="s">
        <v>428</v>
      </c>
      <c r="FC37" s="319" t="s">
        <v>428</v>
      </c>
      <c r="FD37" s="319" t="s">
        <v>428</v>
      </c>
      <c r="FE37" s="319" t="s">
        <v>428</v>
      </c>
      <c r="FF37" s="319" t="s">
        <v>428</v>
      </c>
      <c r="FG37" s="319" t="s">
        <v>428</v>
      </c>
      <c r="FH37" s="319" t="s">
        <v>428</v>
      </c>
      <c r="FI37" s="319" t="s">
        <v>428</v>
      </c>
      <c r="FJ37" s="319" t="s">
        <v>429</v>
      </c>
      <c r="FK37" s="319" t="s">
        <v>428</v>
      </c>
      <c r="FL37" s="319" t="s">
        <v>190</v>
      </c>
      <c r="FM37" s="319" t="s">
        <v>190</v>
      </c>
      <c r="FN37" s="319" t="s">
        <v>190</v>
      </c>
      <c r="FO37" s="319" t="s">
        <v>190</v>
      </c>
      <c r="FP37" s="319" t="s">
        <v>190</v>
      </c>
      <c r="FQ37" s="319" t="s">
        <v>190</v>
      </c>
      <c r="FR37" s="319" t="s">
        <v>190</v>
      </c>
      <c r="FS37" s="319" t="s">
        <v>428</v>
      </c>
      <c r="FT37" s="319" t="s">
        <v>190</v>
      </c>
      <c r="FU37" s="319" t="s">
        <v>190</v>
      </c>
      <c r="FV37" s="319" t="s">
        <v>190</v>
      </c>
      <c r="FW37" s="319" t="s">
        <v>190</v>
      </c>
      <c r="FX37" s="319" t="s">
        <v>190</v>
      </c>
      <c r="FY37" s="319" t="s">
        <v>190</v>
      </c>
      <c r="FZ37" s="319" t="s">
        <v>190</v>
      </c>
      <c r="GA37" s="319" t="s">
        <v>190</v>
      </c>
      <c r="GB37" s="319" t="s">
        <v>190</v>
      </c>
      <c r="GC37" s="319" t="s">
        <v>190</v>
      </c>
      <c r="GD37" s="319" t="s">
        <v>190</v>
      </c>
      <c r="GE37" s="319" t="s">
        <v>190</v>
      </c>
      <c r="GF37" s="319" t="s">
        <v>190</v>
      </c>
      <c r="GG37" s="319" t="s">
        <v>190</v>
      </c>
      <c r="GH37" s="319" t="s">
        <v>190</v>
      </c>
      <c r="GI37" s="319" t="s">
        <v>190</v>
      </c>
      <c r="GJ37" s="319" t="s">
        <v>190</v>
      </c>
      <c r="GK37" s="319" t="s">
        <v>428</v>
      </c>
      <c r="GL37" s="319" t="s">
        <v>190</v>
      </c>
      <c r="GM37" s="319" t="s">
        <v>190</v>
      </c>
      <c r="GN37" s="319" t="s">
        <v>190</v>
      </c>
      <c r="GO37" s="319" t="s">
        <v>190</v>
      </c>
      <c r="GP37" s="319" t="s">
        <v>190</v>
      </c>
      <c r="GQ37" s="319" t="s">
        <v>428</v>
      </c>
      <c r="GR37" s="319" t="s">
        <v>190</v>
      </c>
      <c r="GS37" s="319" t="s">
        <v>190</v>
      </c>
      <c r="GT37" s="319" t="s">
        <v>190</v>
      </c>
      <c r="GU37" s="319" t="s">
        <v>190</v>
      </c>
      <c r="GV37" s="319" t="s">
        <v>190</v>
      </c>
      <c r="GW37" s="319" t="s">
        <v>190</v>
      </c>
      <c r="GX37" s="319" t="s">
        <v>190</v>
      </c>
      <c r="GY37" s="319" t="s">
        <v>190</v>
      </c>
      <c r="GZ37" s="319" t="s">
        <v>190</v>
      </c>
      <c r="HA37" s="319" t="s">
        <v>428</v>
      </c>
      <c r="HB37" s="319" t="s">
        <v>428</v>
      </c>
      <c r="HC37" s="319" t="s">
        <v>190</v>
      </c>
      <c r="HD37" s="319" t="s">
        <v>190</v>
      </c>
      <c r="HE37" s="319" t="s">
        <v>190</v>
      </c>
      <c r="HF37" s="319" t="s">
        <v>190</v>
      </c>
      <c r="HG37" s="319" t="s">
        <v>190</v>
      </c>
      <c r="HH37" s="319" t="s">
        <v>190</v>
      </c>
      <c r="HI37" s="319" t="s">
        <v>428</v>
      </c>
      <c r="HJ37" s="319" t="s">
        <v>190</v>
      </c>
      <c r="HK37" s="319" t="s">
        <v>190</v>
      </c>
      <c r="HL37" s="319" t="s">
        <v>428</v>
      </c>
      <c r="HM37" s="319" t="s">
        <v>428</v>
      </c>
      <c r="HN37" s="319" t="s">
        <v>428</v>
      </c>
      <c r="HO37" s="319" t="s">
        <v>428</v>
      </c>
      <c r="HP37" s="319" t="s">
        <v>190</v>
      </c>
      <c r="HQ37" s="319" t="s">
        <v>190</v>
      </c>
      <c r="HR37" s="319" t="s">
        <v>190</v>
      </c>
      <c r="HS37" s="319" t="s">
        <v>190</v>
      </c>
      <c r="HT37" s="319" t="s">
        <v>190</v>
      </c>
      <c r="HU37" s="319" t="s">
        <v>190</v>
      </c>
      <c r="HV37" s="319" t="s">
        <v>190</v>
      </c>
      <c r="HW37" s="319" t="s">
        <v>190</v>
      </c>
      <c r="HX37" s="319" t="s">
        <v>190</v>
      </c>
      <c r="HY37" s="319" t="s">
        <v>190</v>
      </c>
      <c r="HZ37" s="319" t="s">
        <v>190</v>
      </c>
      <c r="IA37" s="319" t="s">
        <v>190</v>
      </c>
      <c r="IB37" s="319" t="s">
        <v>190</v>
      </c>
      <c r="IC37" s="319" t="s">
        <v>190</v>
      </c>
      <c r="ID37" s="319" t="s">
        <v>190</v>
      </c>
      <c r="IE37" s="319" t="s">
        <v>190</v>
      </c>
      <c r="IF37" s="319" t="s">
        <v>190</v>
      </c>
      <c r="IG37" s="319" t="s">
        <v>190</v>
      </c>
      <c r="IH37" s="319" t="s">
        <v>190</v>
      </c>
      <c r="II37" s="319" t="s">
        <v>190</v>
      </c>
      <c r="IJ37" s="319" t="s">
        <v>2807</v>
      </c>
      <c r="IK37" s="321">
        <v>42045</v>
      </c>
      <c r="IL37" s="321">
        <v>42047</v>
      </c>
      <c r="IM37" s="321">
        <v>42082</v>
      </c>
      <c r="IN37" s="319">
        <v>1</v>
      </c>
      <c r="IO37" s="319" t="s">
        <v>173</v>
      </c>
      <c r="IP37" s="319" t="s">
        <v>173</v>
      </c>
      <c r="IQ37" s="319" t="s">
        <v>173</v>
      </c>
      <c r="IR37" s="320" t="s">
        <v>173</v>
      </c>
      <c r="IS37" s="320" t="s">
        <v>173</v>
      </c>
      <c r="IT37" s="319" t="s">
        <v>173</v>
      </c>
    </row>
    <row r="38" spans="1:254" s="271" customFormat="1" x14ac:dyDescent="0.25">
      <c r="A38" s="318" t="str">
        <f>HYPERLINK("http://www.ofsted.gov.uk/inspection-reports/find-inspection-report/provider/ELS/101080 ","Ofsted School Webpage")</f>
        <v>Ofsted School Webpage</v>
      </c>
      <c r="B38" s="319">
        <v>101080</v>
      </c>
      <c r="C38" s="319">
        <v>2126383</v>
      </c>
      <c r="D38" s="319" t="s">
        <v>1256</v>
      </c>
      <c r="E38" s="319" t="s">
        <v>167</v>
      </c>
      <c r="F38" s="319" t="s">
        <v>81</v>
      </c>
      <c r="G38" s="319" t="s">
        <v>81</v>
      </c>
      <c r="H38" s="319" t="s">
        <v>81</v>
      </c>
      <c r="I38" s="319" t="s">
        <v>78</v>
      </c>
      <c r="J38" s="319" t="s">
        <v>424</v>
      </c>
      <c r="K38" s="319" t="s">
        <v>441</v>
      </c>
      <c r="L38" s="319" t="s">
        <v>441</v>
      </c>
      <c r="M38" s="319" t="s">
        <v>745</v>
      </c>
      <c r="N38" s="319" t="s">
        <v>2808</v>
      </c>
      <c r="O38" s="319" t="s">
        <v>1257</v>
      </c>
      <c r="P38" s="319">
        <v>121</v>
      </c>
      <c r="Q38" s="319" t="s">
        <v>2766</v>
      </c>
      <c r="R38" s="320">
        <v>10008538</v>
      </c>
      <c r="S38" s="321">
        <v>43018</v>
      </c>
      <c r="T38" s="321">
        <v>43020</v>
      </c>
      <c r="U38" s="321">
        <v>43055</v>
      </c>
      <c r="V38" s="319" t="s">
        <v>425</v>
      </c>
      <c r="W38" s="319" t="s">
        <v>2767</v>
      </c>
      <c r="X38" s="319">
        <v>2</v>
      </c>
      <c r="Y38" s="319" t="s">
        <v>173</v>
      </c>
      <c r="Z38" s="319" t="s">
        <v>173</v>
      </c>
      <c r="AA38" s="319" t="s">
        <v>173</v>
      </c>
      <c r="AB38" s="319">
        <v>2</v>
      </c>
      <c r="AC38" s="319" t="s">
        <v>169</v>
      </c>
      <c r="AD38" s="319">
        <v>2</v>
      </c>
      <c r="AE38" s="319" t="s">
        <v>173</v>
      </c>
      <c r="AF38" s="319" t="s">
        <v>173</v>
      </c>
      <c r="AG38" s="319" t="s">
        <v>171</v>
      </c>
      <c r="AH38" s="319" t="s">
        <v>190</v>
      </c>
      <c r="AI38" s="319" t="s">
        <v>190</v>
      </c>
      <c r="AJ38" s="319" t="s">
        <v>190</v>
      </c>
      <c r="AK38" s="319" t="s">
        <v>190</v>
      </c>
      <c r="AL38" s="319" t="s">
        <v>190</v>
      </c>
      <c r="AM38" s="319" t="s">
        <v>190</v>
      </c>
      <c r="AN38" s="319" t="s">
        <v>190</v>
      </c>
      <c r="AO38" s="319" t="s">
        <v>190</v>
      </c>
      <c r="AP38" s="319" t="s">
        <v>190</v>
      </c>
      <c r="AQ38" s="319" t="s">
        <v>190</v>
      </c>
      <c r="AR38" s="319" t="s">
        <v>190</v>
      </c>
      <c r="AS38" s="319" t="s">
        <v>190</v>
      </c>
      <c r="AT38" s="319" t="s">
        <v>190</v>
      </c>
      <c r="AU38" s="319" t="s">
        <v>190</v>
      </c>
      <c r="AV38" s="319" t="s">
        <v>190</v>
      </c>
      <c r="AW38" s="319" t="s">
        <v>190</v>
      </c>
      <c r="AX38" s="319" t="s">
        <v>190</v>
      </c>
      <c r="AY38" s="319" t="s">
        <v>190</v>
      </c>
      <c r="AZ38" s="319" t="s">
        <v>190</v>
      </c>
      <c r="BA38" s="319" t="s">
        <v>190</v>
      </c>
      <c r="BB38" s="319" t="s">
        <v>429</v>
      </c>
      <c r="BC38" s="319" t="s">
        <v>429</v>
      </c>
      <c r="BD38" s="319" t="s">
        <v>429</v>
      </c>
      <c r="BE38" s="319" t="s">
        <v>429</v>
      </c>
      <c r="BF38" s="319" t="s">
        <v>190</v>
      </c>
      <c r="BG38" s="319" t="s">
        <v>429</v>
      </c>
      <c r="BH38" s="319" t="s">
        <v>190</v>
      </c>
      <c r="BI38" s="319" t="s">
        <v>190</v>
      </c>
      <c r="BJ38" s="319" t="s">
        <v>190</v>
      </c>
      <c r="BK38" s="319" t="s">
        <v>190</v>
      </c>
      <c r="BL38" s="319" t="s">
        <v>190</v>
      </c>
      <c r="BM38" s="319" t="s">
        <v>190</v>
      </c>
      <c r="BN38" s="319" t="s">
        <v>190</v>
      </c>
      <c r="BO38" s="319" t="s">
        <v>190</v>
      </c>
      <c r="BP38" s="319" t="s">
        <v>190</v>
      </c>
      <c r="BQ38" s="319" t="s">
        <v>190</v>
      </c>
      <c r="BR38" s="319" t="s">
        <v>190</v>
      </c>
      <c r="BS38" s="319" t="s">
        <v>190</v>
      </c>
      <c r="BT38" s="319" t="s">
        <v>190</v>
      </c>
      <c r="BU38" s="319" t="s">
        <v>190</v>
      </c>
      <c r="BV38" s="319" t="s">
        <v>190</v>
      </c>
      <c r="BW38" s="319" t="s">
        <v>190</v>
      </c>
      <c r="BX38" s="319" t="s">
        <v>190</v>
      </c>
      <c r="BY38" s="319" t="s">
        <v>190</v>
      </c>
      <c r="BZ38" s="319" t="s">
        <v>190</v>
      </c>
      <c r="CA38" s="319" t="s">
        <v>190</v>
      </c>
      <c r="CB38" s="319" t="s">
        <v>190</v>
      </c>
      <c r="CC38" s="319" t="s">
        <v>190</v>
      </c>
      <c r="CD38" s="319" t="s">
        <v>190</v>
      </c>
      <c r="CE38" s="319" t="s">
        <v>190</v>
      </c>
      <c r="CF38" s="319" t="s">
        <v>190</v>
      </c>
      <c r="CG38" s="319" t="s">
        <v>190</v>
      </c>
      <c r="CH38" s="319" t="s">
        <v>190</v>
      </c>
      <c r="CI38" s="319" t="s">
        <v>190</v>
      </c>
      <c r="CJ38" s="319" t="s">
        <v>190</v>
      </c>
      <c r="CK38" s="319" t="s">
        <v>190</v>
      </c>
      <c r="CL38" s="319" t="s">
        <v>190</v>
      </c>
      <c r="CM38" s="319" t="s">
        <v>190</v>
      </c>
      <c r="CN38" s="319" t="s">
        <v>190</v>
      </c>
      <c r="CO38" s="319" t="s">
        <v>429</v>
      </c>
      <c r="CP38" s="319" t="s">
        <v>429</v>
      </c>
      <c r="CQ38" s="319" t="s">
        <v>190</v>
      </c>
      <c r="CR38" s="319" t="s">
        <v>190</v>
      </c>
      <c r="CS38" s="319" t="s">
        <v>190</v>
      </c>
      <c r="CT38" s="319" t="s">
        <v>190</v>
      </c>
      <c r="CU38" s="319" t="s">
        <v>190</v>
      </c>
      <c r="CV38" s="319" t="s">
        <v>190</v>
      </c>
      <c r="CW38" s="319" t="s">
        <v>190</v>
      </c>
      <c r="CX38" s="319" t="s">
        <v>190</v>
      </c>
      <c r="CY38" s="319" t="s">
        <v>190</v>
      </c>
      <c r="CZ38" s="319" t="s">
        <v>190</v>
      </c>
      <c r="DA38" s="319" t="s">
        <v>190</v>
      </c>
      <c r="DB38" s="319" t="s">
        <v>190</v>
      </c>
      <c r="DC38" s="319" t="s">
        <v>190</v>
      </c>
      <c r="DD38" s="319" t="s">
        <v>190</v>
      </c>
      <c r="DE38" s="319" t="s">
        <v>190</v>
      </c>
      <c r="DF38" s="319" t="s">
        <v>190</v>
      </c>
      <c r="DG38" s="319" t="s">
        <v>190</v>
      </c>
      <c r="DH38" s="319" t="s">
        <v>190</v>
      </c>
      <c r="DI38" s="319" t="s">
        <v>190</v>
      </c>
      <c r="DJ38" s="319" t="s">
        <v>190</v>
      </c>
      <c r="DK38" s="319" t="s">
        <v>190</v>
      </c>
      <c r="DL38" s="319" t="s">
        <v>190</v>
      </c>
      <c r="DM38" s="319" t="s">
        <v>190</v>
      </c>
      <c r="DN38" s="319" t="s">
        <v>429</v>
      </c>
      <c r="DO38" s="319" t="s">
        <v>190</v>
      </c>
      <c r="DP38" s="319" t="s">
        <v>429</v>
      </c>
      <c r="DQ38" s="319" t="s">
        <v>429</v>
      </c>
      <c r="DR38" s="319" t="s">
        <v>429</v>
      </c>
      <c r="DS38" s="319" t="s">
        <v>429</v>
      </c>
      <c r="DT38" s="319" t="s">
        <v>429</v>
      </c>
      <c r="DU38" s="319" t="s">
        <v>429</v>
      </c>
      <c r="DV38" s="319" t="s">
        <v>173</v>
      </c>
      <c r="DW38" s="319" t="s">
        <v>429</v>
      </c>
      <c r="DX38" s="319" t="s">
        <v>429</v>
      </c>
      <c r="DY38" s="319" t="s">
        <v>429</v>
      </c>
      <c r="DZ38" s="319" t="s">
        <v>429</v>
      </c>
      <c r="EA38" s="319" t="s">
        <v>429</v>
      </c>
      <c r="EB38" s="319" t="s">
        <v>429</v>
      </c>
      <c r="EC38" s="319" t="s">
        <v>429</v>
      </c>
      <c r="ED38" s="319" t="s">
        <v>429</v>
      </c>
      <c r="EE38" s="319" t="s">
        <v>190</v>
      </c>
      <c r="EF38" s="319" t="s">
        <v>190</v>
      </c>
      <c r="EG38" s="319" t="s">
        <v>190</v>
      </c>
      <c r="EH38" s="319" t="s">
        <v>190</v>
      </c>
      <c r="EI38" s="319" t="s">
        <v>190</v>
      </c>
      <c r="EJ38" s="319" t="s">
        <v>190</v>
      </c>
      <c r="EK38" s="319" t="s">
        <v>190</v>
      </c>
      <c r="EL38" s="319" t="s">
        <v>190</v>
      </c>
      <c r="EM38" s="319" t="s">
        <v>190</v>
      </c>
      <c r="EN38" s="319" t="s">
        <v>190</v>
      </c>
      <c r="EO38" s="319" t="s">
        <v>190</v>
      </c>
      <c r="EP38" s="319" t="s">
        <v>190</v>
      </c>
      <c r="EQ38" s="319" t="s">
        <v>190</v>
      </c>
      <c r="ER38" s="319" t="s">
        <v>190</v>
      </c>
      <c r="ES38" s="319" t="s">
        <v>190</v>
      </c>
      <c r="ET38" s="319" t="s">
        <v>190</v>
      </c>
      <c r="EU38" s="319" t="s">
        <v>190</v>
      </c>
      <c r="EV38" s="319" t="s">
        <v>190</v>
      </c>
      <c r="EW38" s="319" t="s">
        <v>190</v>
      </c>
      <c r="EX38" s="319" t="s">
        <v>190</v>
      </c>
      <c r="EY38" s="319" t="s">
        <v>190</v>
      </c>
      <c r="EZ38" s="319" t="s">
        <v>190</v>
      </c>
      <c r="FA38" s="319" t="s">
        <v>190</v>
      </c>
      <c r="FB38" s="319" t="s">
        <v>429</v>
      </c>
      <c r="FC38" s="319" t="s">
        <v>429</v>
      </c>
      <c r="FD38" s="319" t="s">
        <v>429</v>
      </c>
      <c r="FE38" s="319" t="s">
        <v>429</v>
      </c>
      <c r="FF38" s="319" t="s">
        <v>429</v>
      </c>
      <c r="FG38" s="319" t="s">
        <v>429</v>
      </c>
      <c r="FH38" s="319" t="s">
        <v>429</v>
      </c>
      <c r="FI38" s="319" t="s">
        <v>190</v>
      </c>
      <c r="FJ38" s="319" t="s">
        <v>190</v>
      </c>
      <c r="FK38" s="319" t="s">
        <v>190</v>
      </c>
      <c r="FL38" s="319" t="s">
        <v>190</v>
      </c>
      <c r="FM38" s="319" t="s">
        <v>190</v>
      </c>
      <c r="FN38" s="319" t="s">
        <v>190</v>
      </c>
      <c r="FO38" s="319" t="s">
        <v>190</v>
      </c>
      <c r="FP38" s="319" t="s">
        <v>190</v>
      </c>
      <c r="FQ38" s="319" t="s">
        <v>190</v>
      </c>
      <c r="FR38" s="319" t="s">
        <v>190</v>
      </c>
      <c r="FS38" s="319" t="s">
        <v>429</v>
      </c>
      <c r="FT38" s="319" t="s">
        <v>190</v>
      </c>
      <c r="FU38" s="319" t="s">
        <v>190</v>
      </c>
      <c r="FV38" s="319" t="s">
        <v>190</v>
      </c>
      <c r="FW38" s="319" t="s">
        <v>190</v>
      </c>
      <c r="FX38" s="319" t="s">
        <v>190</v>
      </c>
      <c r="FY38" s="319" t="s">
        <v>190</v>
      </c>
      <c r="FZ38" s="319" t="s">
        <v>190</v>
      </c>
      <c r="GA38" s="319" t="s">
        <v>190</v>
      </c>
      <c r="GB38" s="319" t="s">
        <v>190</v>
      </c>
      <c r="GC38" s="319" t="s">
        <v>190</v>
      </c>
      <c r="GD38" s="319" t="s">
        <v>190</v>
      </c>
      <c r="GE38" s="319" t="s">
        <v>190</v>
      </c>
      <c r="GF38" s="319" t="s">
        <v>190</v>
      </c>
      <c r="GG38" s="319" t="s">
        <v>190</v>
      </c>
      <c r="GH38" s="319" t="s">
        <v>190</v>
      </c>
      <c r="GI38" s="319" t="s">
        <v>190</v>
      </c>
      <c r="GJ38" s="319" t="s">
        <v>190</v>
      </c>
      <c r="GK38" s="319" t="s">
        <v>429</v>
      </c>
      <c r="GL38" s="319" t="s">
        <v>190</v>
      </c>
      <c r="GM38" s="319" t="s">
        <v>190</v>
      </c>
      <c r="GN38" s="319" t="s">
        <v>190</v>
      </c>
      <c r="GO38" s="319" t="s">
        <v>190</v>
      </c>
      <c r="GP38" s="319" t="s">
        <v>190</v>
      </c>
      <c r="GQ38" s="319" t="s">
        <v>429</v>
      </c>
      <c r="GR38" s="319" t="s">
        <v>190</v>
      </c>
      <c r="GS38" s="319" t="s">
        <v>190</v>
      </c>
      <c r="GT38" s="319" t="s">
        <v>190</v>
      </c>
      <c r="GU38" s="319" t="s">
        <v>429</v>
      </c>
      <c r="GV38" s="319" t="s">
        <v>190</v>
      </c>
      <c r="GW38" s="319" t="s">
        <v>190</v>
      </c>
      <c r="GX38" s="319" t="s">
        <v>190</v>
      </c>
      <c r="GY38" s="319" t="s">
        <v>190</v>
      </c>
      <c r="GZ38" s="319" t="s">
        <v>190</v>
      </c>
      <c r="HA38" s="319" t="s">
        <v>190</v>
      </c>
      <c r="HB38" s="319" t="s">
        <v>429</v>
      </c>
      <c r="HC38" s="319" t="s">
        <v>190</v>
      </c>
      <c r="HD38" s="319" t="s">
        <v>190</v>
      </c>
      <c r="HE38" s="319" t="s">
        <v>190</v>
      </c>
      <c r="HF38" s="319" t="s">
        <v>190</v>
      </c>
      <c r="HG38" s="319" t="s">
        <v>190</v>
      </c>
      <c r="HH38" s="319" t="s">
        <v>190</v>
      </c>
      <c r="HI38" s="319" t="s">
        <v>190</v>
      </c>
      <c r="HJ38" s="319" t="s">
        <v>190</v>
      </c>
      <c r="HK38" s="319" t="s">
        <v>190</v>
      </c>
      <c r="HL38" s="319" t="s">
        <v>190</v>
      </c>
      <c r="HM38" s="319" t="s">
        <v>429</v>
      </c>
      <c r="HN38" s="319" t="s">
        <v>429</v>
      </c>
      <c r="HO38" s="319" t="s">
        <v>429</v>
      </c>
      <c r="HP38" s="319" t="s">
        <v>190</v>
      </c>
      <c r="HQ38" s="319" t="s">
        <v>190</v>
      </c>
      <c r="HR38" s="319" t="s">
        <v>190</v>
      </c>
      <c r="HS38" s="319" t="s">
        <v>190</v>
      </c>
      <c r="HT38" s="319" t="s">
        <v>190</v>
      </c>
      <c r="HU38" s="319" t="s">
        <v>190</v>
      </c>
      <c r="HV38" s="319" t="s">
        <v>190</v>
      </c>
      <c r="HW38" s="319" t="s">
        <v>190</v>
      </c>
      <c r="HX38" s="319" t="s">
        <v>190</v>
      </c>
      <c r="HY38" s="319" t="s">
        <v>190</v>
      </c>
      <c r="HZ38" s="319" t="s">
        <v>190</v>
      </c>
      <c r="IA38" s="319" t="s">
        <v>190</v>
      </c>
      <c r="IB38" s="319" t="s">
        <v>190</v>
      </c>
      <c r="IC38" s="319" t="s">
        <v>190</v>
      </c>
      <c r="ID38" s="319" t="s">
        <v>190</v>
      </c>
      <c r="IE38" s="319" t="s">
        <v>190</v>
      </c>
      <c r="IF38" s="319" t="s">
        <v>190</v>
      </c>
      <c r="IG38" s="319" t="s">
        <v>190</v>
      </c>
      <c r="IH38" s="319" t="s">
        <v>190</v>
      </c>
      <c r="II38" s="319" t="s">
        <v>190</v>
      </c>
      <c r="IJ38" s="319" t="s">
        <v>2809</v>
      </c>
      <c r="IK38" s="321">
        <v>40101</v>
      </c>
      <c r="IL38" s="321">
        <v>40101</v>
      </c>
      <c r="IM38" s="321">
        <v>40134</v>
      </c>
      <c r="IN38" s="319">
        <v>2</v>
      </c>
      <c r="IO38" s="319" t="s">
        <v>173</v>
      </c>
      <c r="IP38" s="319" t="s">
        <v>173</v>
      </c>
      <c r="IQ38" s="321" t="s">
        <v>173</v>
      </c>
      <c r="IR38" s="320" t="s">
        <v>173</v>
      </c>
      <c r="IS38" s="322" t="s">
        <v>173</v>
      </c>
      <c r="IT38" s="319" t="s">
        <v>173</v>
      </c>
    </row>
    <row r="39" spans="1:254" s="271" customFormat="1" x14ac:dyDescent="0.25">
      <c r="A39" s="318" t="str">
        <f>HYPERLINK("http://www.ofsted.gov.uk/inspection-reports/find-inspection-report/provider/ELS/101086 ","Ofsted School Webpage")</f>
        <v>Ofsted School Webpage</v>
      </c>
      <c r="B39" s="319">
        <v>101086</v>
      </c>
      <c r="C39" s="319">
        <v>2126390</v>
      </c>
      <c r="D39" s="319" t="s">
        <v>1258</v>
      </c>
      <c r="E39" s="319" t="s">
        <v>167</v>
      </c>
      <c r="F39" s="319" t="s">
        <v>81</v>
      </c>
      <c r="G39" s="319" t="s">
        <v>81</v>
      </c>
      <c r="H39" s="319" t="s">
        <v>81</v>
      </c>
      <c r="I39" s="319" t="s">
        <v>78</v>
      </c>
      <c r="J39" s="319" t="s">
        <v>424</v>
      </c>
      <c r="K39" s="319" t="s">
        <v>441</v>
      </c>
      <c r="L39" s="319" t="s">
        <v>441</v>
      </c>
      <c r="M39" s="319" t="s">
        <v>745</v>
      </c>
      <c r="N39" s="319" t="s">
        <v>2803</v>
      </c>
      <c r="O39" s="319" t="s">
        <v>1259</v>
      </c>
      <c r="P39" s="319">
        <v>237</v>
      </c>
      <c r="Q39" s="319" t="s">
        <v>2766</v>
      </c>
      <c r="R39" s="320">
        <v>10055383</v>
      </c>
      <c r="S39" s="321">
        <v>43522</v>
      </c>
      <c r="T39" s="321">
        <v>43524</v>
      </c>
      <c r="U39" s="321">
        <v>43585</v>
      </c>
      <c r="V39" s="319" t="s">
        <v>425</v>
      </c>
      <c r="W39" s="319" t="s">
        <v>2767</v>
      </c>
      <c r="X39" s="319">
        <v>2</v>
      </c>
      <c r="Y39" s="319" t="s">
        <v>173</v>
      </c>
      <c r="Z39" s="319" t="s">
        <v>173</v>
      </c>
      <c r="AA39" s="319" t="s">
        <v>173</v>
      </c>
      <c r="AB39" s="319">
        <v>2</v>
      </c>
      <c r="AC39" s="319" t="s">
        <v>169</v>
      </c>
      <c r="AD39" s="319">
        <v>1</v>
      </c>
      <c r="AE39" s="319" t="s">
        <v>173</v>
      </c>
      <c r="AF39" s="319" t="s">
        <v>427</v>
      </c>
      <c r="AG39" s="319" t="s">
        <v>171</v>
      </c>
      <c r="AH39" s="319" t="s">
        <v>190</v>
      </c>
      <c r="AI39" s="319" t="s">
        <v>190</v>
      </c>
      <c r="AJ39" s="319" t="s">
        <v>190</v>
      </c>
      <c r="AK39" s="319" t="s">
        <v>190</v>
      </c>
      <c r="AL39" s="319" t="s">
        <v>190</v>
      </c>
      <c r="AM39" s="319" t="s">
        <v>190</v>
      </c>
      <c r="AN39" s="319" t="s">
        <v>190</v>
      </c>
      <c r="AO39" s="319" t="s">
        <v>190</v>
      </c>
      <c r="AP39" s="319" t="s">
        <v>190</v>
      </c>
      <c r="AQ39" s="319" t="s">
        <v>190</v>
      </c>
      <c r="AR39" s="319" t="s">
        <v>190</v>
      </c>
      <c r="AS39" s="319" t="s">
        <v>190</v>
      </c>
      <c r="AT39" s="319" t="s">
        <v>190</v>
      </c>
      <c r="AU39" s="319" t="s">
        <v>190</v>
      </c>
      <c r="AV39" s="319" t="s">
        <v>190</v>
      </c>
      <c r="AW39" s="319" t="s">
        <v>190</v>
      </c>
      <c r="AX39" s="319" t="s">
        <v>190</v>
      </c>
      <c r="AY39" s="319" t="s">
        <v>190</v>
      </c>
      <c r="AZ39" s="319" t="s">
        <v>190</v>
      </c>
      <c r="BA39" s="319" t="s">
        <v>190</v>
      </c>
      <c r="BB39" s="319" t="s">
        <v>190</v>
      </c>
      <c r="BC39" s="319" t="s">
        <v>190</v>
      </c>
      <c r="BD39" s="319" t="s">
        <v>190</v>
      </c>
      <c r="BE39" s="319" t="s">
        <v>190</v>
      </c>
      <c r="BF39" s="319" t="s">
        <v>190</v>
      </c>
      <c r="BG39" s="319" t="s">
        <v>428</v>
      </c>
      <c r="BH39" s="319" t="s">
        <v>190</v>
      </c>
      <c r="BI39" s="319" t="s">
        <v>190</v>
      </c>
      <c r="BJ39" s="319" t="s">
        <v>190</v>
      </c>
      <c r="BK39" s="319" t="s">
        <v>190</v>
      </c>
      <c r="BL39" s="319" t="s">
        <v>190</v>
      </c>
      <c r="BM39" s="319" t="s">
        <v>190</v>
      </c>
      <c r="BN39" s="319" t="s">
        <v>190</v>
      </c>
      <c r="BO39" s="319" t="s">
        <v>190</v>
      </c>
      <c r="BP39" s="319" t="s">
        <v>190</v>
      </c>
      <c r="BQ39" s="319" t="s">
        <v>190</v>
      </c>
      <c r="BR39" s="319" t="s">
        <v>190</v>
      </c>
      <c r="BS39" s="319" t="s">
        <v>190</v>
      </c>
      <c r="BT39" s="319" t="s">
        <v>190</v>
      </c>
      <c r="BU39" s="319" t="s">
        <v>190</v>
      </c>
      <c r="BV39" s="319" t="s">
        <v>190</v>
      </c>
      <c r="BW39" s="319" t="s">
        <v>190</v>
      </c>
      <c r="BX39" s="319" t="s">
        <v>190</v>
      </c>
      <c r="BY39" s="319" t="s">
        <v>190</v>
      </c>
      <c r="BZ39" s="319" t="s">
        <v>190</v>
      </c>
      <c r="CA39" s="319" t="s">
        <v>190</v>
      </c>
      <c r="CB39" s="319" t="s">
        <v>190</v>
      </c>
      <c r="CC39" s="319" t="s">
        <v>190</v>
      </c>
      <c r="CD39" s="319" t="s">
        <v>190</v>
      </c>
      <c r="CE39" s="319" t="s">
        <v>190</v>
      </c>
      <c r="CF39" s="319" t="s">
        <v>190</v>
      </c>
      <c r="CG39" s="319" t="s">
        <v>190</v>
      </c>
      <c r="CH39" s="319" t="s">
        <v>190</v>
      </c>
      <c r="CI39" s="319" t="s">
        <v>190</v>
      </c>
      <c r="CJ39" s="319" t="s">
        <v>190</v>
      </c>
      <c r="CK39" s="319" t="s">
        <v>190</v>
      </c>
      <c r="CL39" s="319" t="s">
        <v>190</v>
      </c>
      <c r="CM39" s="319" t="s">
        <v>190</v>
      </c>
      <c r="CN39" s="319" t="s">
        <v>428</v>
      </c>
      <c r="CO39" s="319" t="s">
        <v>428</v>
      </c>
      <c r="CP39" s="319" t="s">
        <v>428</v>
      </c>
      <c r="CQ39" s="319" t="s">
        <v>190</v>
      </c>
      <c r="CR39" s="319" t="s">
        <v>190</v>
      </c>
      <c r="CS39" s="319" t="s">
        <v>190</v>
      </c>
      <c r="CT39" s="319" t="s">
        <v>190</v>
      </c>
      <c r="CU39" s="319" t="s">
        <v>190</v>
      </c>
      <c r="CV39" s="319" t="s">
        <v>190</v>
      </c>
      <c r="CW39" s="319" t="s">
        <v>190</v>
      </c>
      <c r="CX39" s="319" t="s">
        <v>190</v>
      </c>
      <c r="CY39" s="319" t="s">
        <v>190</v>
      </c>
      <c r="CZ39" s="319" t="s">
        <v>190</v>
      </c>
      <c r="DA39" s="319" t="s">
        <v>190</v>
      </c>
      <c r="DB39" s="319" t="s">
        <v>190</v>
      </c>
      <c r="DC39" s="319" t="s">
        <v>190</v>
      </c>
      <c r="DD39" s="319" t="s">
        <v>190</v>
      </c>
      <c r="DE39" s="319" t="s">
        <v>190</v>
      </c>
      <c r="DF39" s="319" t="s">
        <v>190</v>
      </c>
      <c r="DG39" s="319" t="s">
        <v>190</v>
      </c>
      <c r="DH39" s="319" t="s">
        <v>190</v>
      </c>
      <c r="DI39" s="319" t="s">
        <v>190</v>
      </c>
      <c r="DJ39" s="319" t="s">
        <v>190</v>
      </c>
      <c r="DK39" s="319" t="s">
        <v>190</v>
      </c>
      <c r="DL39" s="319" t="s">
        <v>190</v>
      </c>
      <c r="DM39" s="319" t="s">
        <v>190</v>
      </c>
      <c r="DN39" s="319" t="s">
        <v>190</v>
      </c>
      <c r="DO39" s="319" t="s">
        <v>190</v>
      </c>
      <c r="DP39" s="319" t="s">
        <v>428</v>
      </c>
      <c r="DQ39" s="319" t="s">
        <v>428</v>
      </c>
      <c r="DR39" s="319" t="s">
        <v>428</v>
      </c>
      <c r="DS39" s="319" t="s">
        <v>428</v>
      </c>
      <c r="DT39" s="319" t="s">
        <v>428</v>
      </c>
      <c r="DU39" s="319" t="s">
        <v>428</v>
      </c>
      <c r="DV39" s="319" t="s">
        <v>173</v>
      </c>
      <c r="DW39" s="319" t="s">
        <v>428</v>
      </c>
      <c r="DX39" s="319" t="s">
        <v>428</v>
      </c>
      <c r="DY39" s="319" t="s">
        <v>428</v>
      </c>
      <c r="DZ39" s="319" t="s">
        <v>428</v>
      </c>
      <c r="EA39" s="319" t="s">
        <v>428</v>
      </c>
      <c r="EB39" s="319" t="s">
        <v>428</v>
      </c>
      <c r="EC39" s="319" t="s">
        <v>428</v>
      </c>
      <c r="ED39" s="319" t="s">
        <v>428</v>
      </c>
      <c r="EE39" s="319" t="s">
        <v>190</v>
      </c>
      <c r="EF39" s="319" t="s">
        <v>190</v>
      </c>
      <c r="EG39" s="319" t="s">
        <v>190</v>
      </c>
      <c r="EH39" s="319" t="s">
        <v>190</v>
      </c>
      <c r="EI39" s="319" t="s">
        <v>190</v>
      </c>
      <c r="EJ39" s="319" t="s">
        <v>190</v>
      </c>
      <c r="EK39" s="319" t="s">
        <v>190</v>
      </c>
      <c r="EL39" s="319" t="s">
        <v>190</v>
      </c>
      <c r="EM39" s="319" t="s">
        <v>190</v>
      </c>
      <c r="EN39" s="319" t="s">
        <v>190</v>
      </c>
      <c r="EO39" s="319" t="s">
        <v>190</v>
      </c>
      <c r="EP39" s="319" t="s">
        <v>190</v>
      </c>
      <c r="EQ39" s="319" t="s">
        <v>190</v>
      </c>
      <c r="ER39" s="319" t="s">
        <v>190</v>
      </c>
      <c r="ES39" s="319" t="s">
        <v>190</v>
      </c>
      <c r="ET39" s="319" t="s">
        <v>190</v>
      </c>
      <c r="EU39" s="319" t="s">
        <v>190</v>
      </c>
      <c r="EV39" s="319" t="s">
        <v>190</v>
      </c>
      <c r="EW39" s="319" t="s">
        <v>190</v>
      </c>
      <c r="EX39" s="319" t="s">
        <v>190</v>
      </c>
      <c r="EY39" s="319" t="s">
        <v>190</v>
      </c>
      <c r="EZ39" s="319" t="s">
        <v>190</v>
      </c>
      <c r="FA39" s="319" t="s">
        <v>190</v>
      </c>
      <c r="FB39" s="319" t="s">
        <v>428</v>
      </c>
      <c r="FC39" s="319" t="s">
        <v>428</v>
      </c>
      <c r="FD39" s="319" t="s">
        <v>428</v>
      </c>
      <c r="FE39" s="319" t="s">
        <v>428</v>
      </c>
      <c r="FF39" s="319" t="s">
        <v>428</v>
      </c>
      <c r="FG39" s="319" t="s">
        <v>428</v>
      </c>
      <c r="FH39" s="319" t="s">
        <v>190</v>
      </c>
      <c r="FI39" s="319" t="s">
        <v>428</v>
      </c>
      <c r="FJ39" s="319" t="s">
        <v>429</v>
      </c>
      <c r="FK39" s="319" t="s">
        <v>428</v>
      </c>
      <c r="FL39" s="319" t="s">
        <v>190</v>
      </c>
      <c r="FM39" s="319" t="s">
        <v>190</v>
      </c>
      <c r="FN39" s="319" t="s">
        <v>190</v>
      </c>
      <c r="FO39" s="319" t="s">
        <v>190</v>
      </c>
      <c r="FP39" s="319" t="s">
        <v>190</v>
      </c>
      <c r="FQ39" s="319" t="s">
        <v>190</v>
      </c>
      <c r="FR39" s="319" t="s">
        <v>190</v>
      </c>
      <c r="FS39" s="319" t="s">
        <v>428</v>
      </c>
      <c r="FT39" s="319" t="s">
        <v>190</v>
      </c>
      <c r="FU39" s="319" t="s">
        <v>190</v>
      </c>
      <c r="FV39" s="319" t="s">
        <v>190</v>
      </c>
      <c r="FW39" s="319" t="s">
        <v>190</v>
      </c>
      <c r="FX39" s="319" t="s">
        <v>190</v>
      </c>
      <c r="FY39" s="319" t="s">
        <v>190</v>
      </c>
      <c r="FZ39" s="319" t="s">
        <v>190</v>
      </c>
      <c r="GA39" s="319" t="s">
        <v>190</v>
      </c>
      <c r="GB39" s="319" t="s">
        <v>190</v>
      </c>
      <c r="GC39" s="319" t="s">
        <v>190</v>
      </c>
      <c r="GD39" s="319" t="s">
        <v>190</v>
      </c>
      <c r="GE39" s="319" t="s">
        <v>190</v>
      </c>
      <c r="GF39" s="319" t="s">
        <v>190</v>
      </c>
      <c r="GG39" s="319" t="s">
        <v>190</v>
      </c>
      <c r="GH39" s="319" t="s">
        <v>190</v>
      </c>
      <c r="GI39" s="319" t="s">
        <v>190</v>
      </c>
      <c r="GJ39" s="319" t="s">
        <v>190</v>
      </c>
      <c r="GK39" s="319" t="s">
        <v>428</v>
      </c>
      <c r="GL39" s="319" t="s">
        <v>190</v>
      </c>
      <c r="GM39" s="319" t="s">
        <v>190</v>
      </c>
      <c r="GN39" s="319" t="s">
        <v>190</v>
      </c>
      <c r="GO39" s="319" t="s">
        <v>190</v>
      </c>
      <c r="GP39" s="319" t="s">
        <v>190</v>
      </c>
      <c r="GQ39" s="319" t="s">
        <v>190</v>
      </c>
      <c r="GR39" s="319" t="s">
        <v>190</v>
      </c>
      <c r="GS39" s="319" t="s">
        <v>190</v>
      </c>
      <c r="GT39" s="319" t="s">
        <v>190</v>
      </c>
      <c r="GU39" s="319" t="s">
        <v>190</v>
      </c>
      <c r="GV39" s="319" t="s">
        <v>190</v>
      </c>
      <c r="GW39" s="319" t="s">
        <v>190</v>
      </c>
      <c r="GX39" s="319" t="s">
        <v>190</v>
      </c>
      <c r="GY39" s="319" t="s">
        <v>190</v>
      </c>
      <c r="GZ39" s="319" t="s">
        <v>428</v>
      </c>
      <c r="HA39" s="319" t="s">
        <v>190</v>
      </c>
      <c r="HB39" s="319" t="s">
        <v>190</v>
      </c>
      <c r="HC39" s="319" t="s">
        <v>190</v>
      </c>
      <c r="HD39" s="319" t="s">
        <v>190</v>
      </c>
      <c r="HE39" s="319" t="s">
        <v>190</v>
      </c>
      <c r="HF39" s="319" t="s">
        <v>190</v>
      </c>
      <c r="HG39" s="319" t="s">
        <v>190</v>
      </c>
      <c r="HH39" s="319" t="s">
        <v>190</v>
      </c>
      <c r="HI39" s="319" t="s">
        <v>190</v>
      </c>
      <c r="HJ39" s="319" t="s">
        <v>190</v>
      </c>
      <c r="HK39" s="319" t="s">
        <v>190</v>
      </c>
      <c r="HL39" s="319" t="s">
        <v>428</v>
      </c>
      <c r="HM39" s="319" t="s">
        <v>428</v>
      </c>
      <c r="HN39" s="319" t="s">
        <v>428</v>
      </c>
      <c r="HO39" s="319" t="s">
        <v>428</v>
      </c>
      <c r="HP39" s="319" t="s">
        <v>190</v>
      </c>
      <c r="HQ39" s="319" t="s">
        <v>190</v>
      </c>
      <c r="HR39" s="319" t="s">
        <v>190</v>
      </c>
      <c r="HS39" s="319" t="s">
        <v>190</v>
      </c>
      <c r="HT39" s="319" t="s">
        <v>190</v>
      </c>
      <c r="HU39" s="319" t="s">
        <v>190</v>
      </c>
      <c r="HV39" s="319" t="s">
        <v>190</v>
      </c>
      <c r="HW39" s="319" t="s">
        <v>190</v>
      </c>
      <c r="HX39" s="319" t="s">
        <v>190</v>
      </c>
      <c r="HY39" s="319" t="s">
        <v>190</v>
      </c>
      <c r="HZ39" s="319" t="s">
        <v>190</v>
      </c>
      <c r="IA39" s="319" t="s">
        <v>190</v>
      </c>
      <c r="IB39" s="319" t="s">
        <v>190</v>
      </c>
      <c r="IC39" s="319" t="s">
        <v>190</v>
      </c>
      <c r="ID39" s="319" t="s">
        <v>190</v>
      </c>
      <c r="IE39" s="319" t="s">
        <v>190</v>
      </c>
      <c r="IF39" s="319" t="s">
        <v>190</v>
      </c>
      <c r="IG39" s="319" t="s">
        <v>190</v>
      </c>
      <c r="IH39" s="319" t="s">
        <v>190</v>
      </c>
      <c r="II39" s="319" t="s">
        <v>190</v>
      </c>
      <c r="IJ39" s="319">
        <v>10020722</v>
      </c>
      <c r="IK39" s="321">
        <v>42892</v>
      </c>
      <c r="IL39" s="321">
        <v>42894</v>
      </c>
      <c r="IM39" s="321">
        <v>42923</v>
      </c>
      <c r="IN39" s="319">
        <v>4</v>
      </c>
      <c r="IO39" s="319" t="s">
        <v>173</v>
      </c>
      <c r="IP39" s="319" t="s">
        <v>173</v>
      </c>
      <c r="IQ39" s="321" t="s">
        <v>173</v>
      </c>
      <c r="IR39" s="320" t="s">
        <v>173</v>
      </c>
      <c r="IS39" s="322" t="s">
        <v>173</v>
      </c>
      <c r="IT39" s="319" t="s">
        <v>173</v>
      </c>
    </row>
    <row r="40" spans="1:254" s="271" customFormat="1" x14ac:dyDescent="0.25">
      <c r="A40" s="318" t="str">
        <f>HYPERLINK("http://www.ofsted.gov.uk/inspection-reports/find-inspection-report/provider/ELS/101090 ","Ofsted School Webpage")</f>
        <v>Ofsted School Webpage</v>
      </c>
      <c r="B40" s="319">
        <v>101090</v>
      </c>
      <c r="C40" s="319">
        <v>2126396</v>
      </c>
      <c r="D40" s="319" t="s">
        <v>1261</v>
      </c>
      <c r="E40" s="319" t="s">
        <v>167</v>
      </c>
      <c r="F40" s="319" t="s">
        <v>81</v>
      </c>
      <c r="G40" s="319" t="s">
        <v>72</v>
      </c>
      <c r="H40" s="319" t="s">
        <v>72</v>
      </c>
      <c r="I40" s="319" t="s">
        <v>72</v>
      </c>
      <c r="J40" s="319" t="s">
        <v>424</v>
      </c>
      <c r="K40" s="319" t="s">
        <v>441</v>
      </c>
      <c r="L40" s="319" t="s">
        <v>441</v>
      </c>
      <c r="M40" s="319" t="s">
        <v>745</v>
      </c>
      <c r="N40" s="319" t="s">
        <v>2808</v>
      </c>
      <c r="O40" s="319" t="s">
        <v>1262</v>
      </c>
      <c r="P40" s="319">
        <v>308</v>
      </c>
      <c r="Q40" s="319" t="s">
        <v>2766</v>
      </c>
      <c r="R40" s="320">
        <v>10054283</v>
      </c>
      <c r="S40" s="321">
        <v>43543</v>
      </c>
      <c r="T40" s="321">
        <v>43545</v>
      </c>
      <c r="U40" s="321">
        <v>43593</v>
      </c>
      <c r="V40" s="319" t="s">
        <v>425</v>
      </c>
      <c r="W40" s="319" t="s">
        <v>2767</v>
      </c>
      <c r="X40" s="319">
        <v>3</v>
      </c>
      <c r="Y40" s="319" t="s">
        <v>173</v>
      </c>
      <c r="Z40" s="319" t="s">
        <v>173</v>
      </c>
      <c r="AA40" s="319" t="s">
        <v>173</v>
      </c>
      <c r="AB40" s="319">
        <v>3</v>
      </c>
      <c r="AC40" s="319" t="s">
        <v>169</v>
      </c>
      <c r="AD40" s="319">
        <v>2</v>
      </c>
      <c r="AE40" s="319" t="s">
        <v>173</v>
      </c>
      <c r="AF40" s="319" t="s">
        <v>427</v>
      </c>
      <c r="AG40" s="319" t="s">
        <v>172</v>
      </c>
      <c r="AH40" s="319" t="s">
        <v>190</v>
      </c>
      <c r="AI40" s="319" t="s">
        <v>190</v>
      </c>
      <c r="AJ40" s="319" t="s">
        <v>190</v>
      </c>
      <c r="AK40" s="319" t="s">
        <v>190</v>
      </c>
      <c r="AL40" s="319" t="s">
        <v>190</v>
      </c>
      <c r="AM40" s="319" t="s">
        <v>190</v>
      </c>
      <c r="AN40" s="319" t="s">
        <v>190</v>
      </c>
      <c r="AO40" s="319" t="s">
        <v>479</v>
      </c>
      <c r="AP40" s="319" t="s">
        <v>190</v>
      </c>
      <c r="AQ40" s="319" t="s">
        <v>190</v>
      </c>
      <c r="AR40" s="319" t="s">
        <v>190</v>
      </c>
      <c r="AS40" s="319" t="s">
        <v>190</v>
      </c>
      <c r="AT40" s="319" t="s">
        <v>190</v>
      </c>
      <c r="AU40" s="319" t="s">
        <v>190</v>
      </c>
      <c r="AV40" s="319" t="s">
        <v>190</v>
      </c>
      <c r="AW40" s="319" t="s">
        <v>190</v>
      </c>
      <c r="AX40" s="319" t="s">
        <v>428</v>
      </c>
      <c r="AY40" s="319" t="s">
        <v>190</v>
      </c>
      <c r="AZ40" s="319" t="s">
        <v>190</v>
      </c>
      <c r="BA40" s="319" t="s">
        <v>190</v>
      </c>
      <c r="BB40" s="319" t="s">
        <v>190</v>
      </c>
      <c r="BC40" s="319" t="s">
        <v>190</v>
      </c>
      <c r="BD40" s="319" t="s">
        <v>190</v>
      </c>
      <c r="BE40" s="319" t="s">
        <v>190</v>
      </c>
      <c r="BF40" s="319" t="s">
        <v>190</v>
      </c>
      <c r="BG40" s="319" t="s">
        <v>428</v>
      </c>
      <c r="BH40" s="319" t="s">
        <v>190</v>
      </c>
      <c r="BI40" s="319" t="s">
        <v>190</v>
      </c>
      <c r="BJ40" s="319" t="s">
        <v>190</v>
      </c>
      <c r="BK40" s="319" t="s">
        <v>190</v>
      </c>
      <c r="BL40" s="319" t="s">
        <v>190</v>
      </c>
      <c r="BM40" s="319" t="s">
        <v>190</v>
      </c>
      <c r="BN40" s="319" t="s">
        <v>190</v>
      </c>
      <c r="BO40" s="319" t="s">
        <v>190</v>
      </c>
      <c r="BP40" s="319" t="s">
        <v>190</v>
      </c>
      <c r="BQ40" s="319" t="s">
        <v>190</v>
      </c>
      <c r="BR40" s="319" t="s">
        <v>190</v>
      </c>
      <c r="BS40" s="319" t="s">
        <v>190</v>
      </c>
      <c r="BT40" s="319" t="s">
        <v>191</v>
      </c>
      <c r="BU40" s="319" t="s">
        <v>190</v>
      </c>
      <c r="BV40" s="319" t="s">
        <v>190</v>
      </c>
      <c r="BW40" s="319" t="s">
        <v>190</v>
      </c>
      <c r="BX40" s="319" t="s">
        <v>190</v>
      </c>
      <c r="BY40" s="319" t="s">
        <v>190</v>
      </c>
      <c r="BZ40" s="319" t="s">
        <v>190</v>
      </c>
      <c r="CA40" s="319" t="s">
        <v>190</v>
      </c>
      <c r="CB40" s="319" t="s">
        <v>190</v>
      </c>
      <c r="CC40" s="319" t="s">
        <v>190</v>
      </c>
      <c r="CD40" s="319" t="s">
        <v>190</v>
      </c>
      <c r="CE40" s="319" t="s">
        <v>190</v>
      </c>
      <c r="CF40" s="319" t="s">
        <v>190</v>
      </c>
      <c r="CG40" s="319" t="s">
        <v>190</v>
      </c>
      <c r="CH40" s="319" t="s">
        <v>190</v>
      </c>
      <c r="CI40" s="319" t="s">
        <v>190</v>
      </c>
      <c r="CJ40" s="319" t="s">
        <v>190</v>
      </c>
      <c r="CK40" s="319" t="s">
        <v>190</v>
      </c>
      <c r="CL40" s="319" t="s">
        <v>190</v>
      </c>
      <c r="CM40" s="319" t="s">
        <v>190</v>
      </c>
      <c r="CN40" s="319" t="s">
        <v>428</v>
      </c>
      <c r="CO40" s="319" t="s">
        <v>428</v>
      </c>
      <c r="CP40" s="319" t="s">
        <v>428</v>
      </c>
      <c r="CQ40" s="319" t="s">
        <v>190</v>
      </c>
      <c r="CR40" s="319" t="s">
        <v>190</v>
      </c>
      <c r="CS40" s="319" t="s">
        <v>190</v>
      </c>
      <c r="CT40" s="319" t="s">
        <v>190</v>
      </c>
      <c r="CU40" s="319" t="s">
        <v>190</v>
      </c>
      <c r="CV40" s="319" t="s">
        <v>190</v>
      </c>
      <c r="CW40" s="319" t="s">
        <v>190</v>
      </c>
      <c r="CX40" s="319" t="s">
        <v>190</v>
      </c>
      <c r="CY40" s="319" t="s">
        <v>190</v>
      </c>
      <c r="CZ40" s="319" t="s">
        <v>190</v>
      </c>
      <c r="DA40" s="319" t="s">
        <v>190</v>
      </c>
      <c r="DB40" s="319" t="s">
        <v>190</v>
      </c>
      <c r="DC40" s="319" t="s">
        <v>190</v>
      </c>
      <c r="DD40" s="319" t="s">
        <v>190</v>
      </c>
      <c r="DE40" s="319" t="s">
        <v>190</v>
      </c>
      <c r="DF40" s="319" t="s">
        <v>190</v>
      </c>
      <c r="DG40" s="319" t="s">
        <v>190</v>
      </c>
      <c r="DH40" s="319" t="s">
        <v>190</v>
      </c>
      <c r="DI40" s="319" t="s">
        <v>190</v>
      </c>
      <c r="DJ40" s="319" t="s">
        <v>190</v>
      </c>
      <c r="DK40" s="319" t="s">
        <v>190</v>
      </c>
      <c r="DL40" s="319" t="s">
        <v>190</v>
      </c>
      <c r="DM40" s="319" t="s">
        <v>190</v>
      </c>
      <c r="DN40" s="319" t="s">
        <v>428</v>
      </c>
      <c r="DO40" s="319" t="s">
        <v>190</v>
      </c>
      <c r="DP40" s="319" t="s">
        <v>428</v>
      </c>
      <c r="DQ40" s="319" t="s">
        <v>428</v>
      </c>
      <c r="DR40" s="319" t="s">
        <v>428</v>
      </c>
      <c r="DS40" s="319" t="s">
        <v>428</v>
      </c>
      <c r="DT40" s="319" t="s">
        <v>428</v>
      </c>
      <c r="DU40" s="319" t="s">
        <v>428</v>
      </c>
      <c r="DV40" s="319" t="s">
        <v>173</v>
      </c>
      <c r="DW40" s="319" t="s">
        <v>428</v>
      </c>
      <c r="DX40" s="319" t="s">
        <v>428</v>
      </c>
      <c r="DY40" s="319" t="s">
        <v>428</v>
      </c>
      <c r="DZ40" s="319" t="s">
        <v>428</v>
      </c>
      <c r="EA40" s="319" t="s">
        <v>428</v>
      </c>
      <c r="EB40" s="319" t="s">
        <v>428</v>
      </c>
      <c r="EC40" s="319" t="s">
        <v>428</v>
      </c>
      <c r="ED40" s="319" t="s">
        <v>428</v>
      </c>
      <c r="EE40" s="319" t="s">
        <v>190</v>
      </c>
      <c r="EF40" s="319" t="s">
        <v>190</v>
      </c>
      <c r="EG40" s="319" t="s">
        <v>190</v>
      </c>
      <c r="EH40" s="319" t="s">
        <v>190</v>
      </c>
      <c r="EI40" s="319" t="s">
        <v>190</v>
      </c>
      <c r="EJ40" s="319" t="s">
        <v>190</v>
      </c>
      <c r="EK40" s="319" t="s">
        <v>190</v>
      </c>
      <c r="EL40" s="319" t="s">
        <v>190</v>
      </c>
      <c r="EM40" s="319" t="s">
        <v>190</v>
      </c>
      <c r="EN40" s="319" t="s">
        <v>190</v>
      </c>
      <c r="EO40" s="319" t="s">
        <v>190</v>
      </c>
      <c r="EP40" s="319" t="s">
        <v>190</v>
      </c>
      <c r="EQ40" s="319" t="s">
        <v>190</v>
      </c>
      <c r="ER40" s="319" t="s">
        <v>190</v>
      </c>
      <c r="ES40" s="319" t="s">
        <v>190</v>
      </c>
      <c r="ET40" s="319" t="s">
        <v>190</v>
      </c>
      <c r="EU40" s="319" t="s">
        <v>190</v>
      </c>
      <c r="EV40" s="319" t="s">
        <v>190</v>
      </c>
      <c r="EW40" s="319" t="s">
        <v>190</v>
      </c>
      <c r="EX40" s="319" t="s">
        <v>190</v>
      </c>
      <c r="EY40" s="319" t="s">
        <v>190</v>
      </c>
      <c r="EZ40" s="319" t="s">
        <v>190</v>
      </c>
      <c r="FA40" s="319" t="s">
        <v>190</v>
      </c>
      <c r="FB40" s="319" t="s">
        <v>428</v>
      </c>
      <c r="FC40" s="319" t="s">
        <v>428</v>
      </c>
      <c r="FD40" s="319" t="s">
        <v>428</v>
      </c>
      <c r="FE40" s="319" t="s">
        <v>428</v>
      </c>
      <c r="FF40" s="319" t="s">
        <v>428</v>
      </c>
      <c r="FG40" s="319" t="s">
        <v>428</v>
      </c>
      <c r="FH40" s="319" t="s">
        <v>428</v>
      </c>
      <c r="FI40" s="319" t="s">
        <v>190</v>
      </c>
      <c r="FJ40" s="319" t="s">
        <v>190</v>
      </c>
      <c r="FK40" s="319" t="s">
        <v>190</v>
      </c>
      <c r="FL40" s="319" t="s">
        <v>190</v>
      </c>
      <c r="FM40" s="319" t="s">
        <v>190</v>
      </c>
      <c r="FN40" s="319" t="s">
        <v>190</v>
      </c>
      <c r="FO40" s="319" t="s">
        <v>190</v>
      </c>
      <c r="FP40" s="319" t="s">
        <v>190</v>
      </c>
      <c r="FQ40" s="319" t="s">
        <v>190</v>
      </c>
      <c r="FR40" s="319" t="s">
        <v>190</v>
      </c>
      <c r="FS40" s="319" t="s">
        <v>428</v>
      </c>
      <c r="FT40" s="319" t="s">
        <v>190</v>
      </c>
      <c r="FU40" s="319" t="s">
        <v>190</v>
      </c>
      <c r="FV40" s="319" t="s">
        <v>190</v>
      </c>
      <c r="FW40" s="319" t="s">
        <v>190</v>
      </c>
      <c r="FX40" s="319" t="s">
        <v>190</v>
      </c>
      <c r="FY40" s="319" t="s">
        <v>190</v>
      </c>
      <c r="FZ40" s="319" t="s">
        <v>190</v>
      </c>
      <c r="GA40" s="319" t="s">
        <v>190</v>
      </c>
      <c r="GB40" s="319" t="s">
        <v>190</v>
      </c>
      <c r="GC40" s="319" t="s">
        <v>190</v>
      </c>
      <c r="GD40" s="319" t="s">
        <v>190</v>
      </c>
      <c r="GE40" s="319" t="s">
        <v>190</v>
      </c>
      <c r="GF40" s="319" t="s">
        <v>190</v>
      </c>
      <c r="GG40" s="319" t="s">
        <v>190</v>
      </c>
      <c r="GH40" s="319" t="s">
        <v>190</v>
      </c>
      <c r="GI40" s="319" t="s">
        <v>190</v>
      </c>
      <c r="GJ40" s="319" t="s">
        <v>190</v>
      </c>
      <c r="GK40" s="319" t="s">
        <v>428</v>
      </c>
      <c r="GL40" s="319" t="s">
        <v>190</v>
      </c>
      <c r="GM40" s="319" t="s">
        <v>190</v>
      </c>
      <c r="GN40" s="319" t="s">
        <v>190</v>
      </c>
      <c r="GO40" s="319" t="s">
        <v>190</v>
      </c>
      <c r="GP40" s="319" t="s">
        <v>190</v>
      </c>
      <c r="GQ40" s="319" t="s">
        <v>190</v>
      </c>
      <c r="GR40" s="319" t="s">
        <v>190</v>
      </c>
      <c r="GS40" s="319" t="s">
        <v>190</v>
      </c>
      <c r="GT40" s="319" t="s">
        <v>428</v>
      </c>
      <c r="GU40" s="319" t="s">
        <v>428</v>
      </c>
      <c r="GV40" s="319" t="s">
        <v>190</v>
      </c>
      <c r="GW40" s="319" t="s">
        <v>190</v>
      </c>
      <c r="GX40" s="319" t="s">
        <v>190</v>
      </c>
      <c r="GY40" s="319" t="s">
        <v>190</v>
      </c>
      <c r="GZ40" s="319" t="s">
        <v>190</v>
      </c>
      <c r="HA40" s="319" t="s">
        <v>428</v>
      </c>
      <c r="HB40" s="319" t="s">
        <v>190</v>
      </c>
      <c r="HC40" s="319" t="s">
        <v>190</v>
      </c>
      <c r="HD40" s="319" t="s">
        <v>190</v>
      </c>
      <c r="HE40" s="319" t="s">
        <v>190</v>
      </c>
      <c r="HF40" s="319" t="s">
        <v>190</v>
      </c>
      <c r="HG40" s="319" t="s">
        <v>190</v>
      </c>
      <c r="HH40" s="319" t="s">
        <v>190</v>
      </c>
      <c r="HI40" s="319" t="s">
        <v>190</v>
      </c>
      <c r="HJ40" s="319" t="s">
        <v>190</v>
      </c>
      <c r="HK40" s="319" t="s">
        <v>190</v>
      </c>
      <c r="HL40" s="319" t="s">
        <v>428</v>
      </c>
      <c r="HM40" s="319" t="s">
        <v>428</v>
      </c>
      <c r="HN40" s="319" t="s">
        <v>428</v>
      </c>
      <c r="HO40" s="319" t="s">
        <v>428</v>
      </c>
      <c r="HP40" s="319" t="s">
        <v>190</v>
      </c>
      <c r="HQ40" s="319" t="s">
        <v>190</v>
      </c>
      <c r="HR40" s="319" t="s">
        <v>190</v>
      </c>
      <c r="HS40" s="319" t="s">
        <v>190</v>
      </c>
      <c r="HT40" s="319" t="s">
        <v>190</v>
      </c>
      <c r="HU40" s="319" t="s">
        <v>190</v>
      </c>
      <c r="HV40" s="319" t="s">
        <v>190</v>
      </c>
      <c r="HW40" s="319" t="s">
        <v>190</v>
      </c>
      <c r="HX40" s="319" t="s">
        <v>190</v>
      </c>
      <c r="HY40" s="319" t="s">
        <v>190</v>
      </c>
      <c r="HZ40" s="319" t="s">
        <v>190</v>
      </c>
      <c r="IA40" s="319" t="s">
        <v>190</v>
      </c>
      <c r="IB40" s="319" t="s">
        <v>190</v>
      </c>
      <c r="IC40" s="319" t="s">
        <v>190</v>
      </c>
      <c r="ID40" s="319" t="s">
        <v>190</v>
      </c>
      <c r="IE40" s="319" t="s">
        <v>190</v>
      </c>
      <c r="IF40" s="319" t="s">
        <v>191</v>
      </c>
      <c r="IG40" s="319" t="s">
        <v>191</v>
      </c>
      <c r="IH40" s="319" t="s">
        <v>191</v>
      </c>
      <c r="II40" s="319" t="s">
        <v>191</v>
      </c>
      <c r="IJ40" s="319">
        <v>10006123</v>
      </c>
      <c r="IK40" s="321">
        <v>42353</v>
      </c>
      <c r="IL40" s="321">
        <v>42355</v>
      </c>
      <c r="IM40" s="321">
        <v>42384</v>
      </c>
      <c r="IN40" s="319">
        <v>2</v>
      </c>
      <c r="IO40" s="319" t="s">
        <v>173</v>
      </c>
      <c r="IP40" s="319" t="s">
        <v>173</v>
      </c>
      <c r="IQ40" s="321" t="s">
        <v>173</v>
      </c>
      <c r="IR40" s="320" t="s">
        <v>173</v>
      </c>
      <c r="IS40" s="322" t="s">
        <v>173</v>
      </c>
      <c r="IT40" s="319" t="s">
        <v>173</v>
      </c>
    </row>
    <row r="41" spans="1:254" s="271" customFormat="1" x14ac:dyDescent="0.25">
      <c r="A41" s="318" t="str">
        <f>HYPERLINK("http://www.ofsted.gov.uk/inspection-reports/find-inspection-report/provider/ELS/101091 ","Ofsted School Webpage")</f>
        <v>Ofsted School Webpage</v>
      </c>
      <c r="B41" s="319">
        <v>101091</v>
      </c>
      <c r="C41" s="319">
        <v>2126397</v>
      </c>
      <c r="D41" s="319" t="s">
        <v>1263</v>
      </c>
      <c r="E41" s="319" t="s">
        <v>167</v>
      </c>
      <c r="F41" s="319" t="s">
        <v>81</v>
      </c>
      <c r="G41" s="319" t="s">
        <v>81</v>
      </c>
      <c r="H41" s="319" t="s">
        <v>81</v>
      </c>
      <c r="I41" s="319" t="s">
        <v>78</v>
      </c>
      <c r="J41" s="319" t="s">
        <v>424</v>
      </c>
      <c r="K41" s="319" t="s">
        <v>441</v>
      </c>
      <c r="L41" s="319" t="s">
        <v>441</v>
      </c>
      <c r="M41" s="319" t="s">
        <v>745</v>
      </c>
      <c r="N41" s="319" t="s">
        <v>2793</v>
      </c>
      <c r="O41" s="319" t="s">
        <v>1264</v>
      </c>
      <c r="P41" s="319">
        <v>190</v>
      </c>
      <c r="Q41" s="319" t="s">
        <v>2766</v>
      </c>
      <c r="R41" s="320">
        <v>10038151</v>
      </c>
      <c r="S41" s="321">
        <v>43172</v>
      </c>
      <c r="T41" s="321">
        <v>43174</v>
      </c>
      <c r="U41" s="321">
        <v>43206</v>
      </c>
      <c r="V41" s="319" t="s">
        <v>425</v>
      </c>
      <c r="W41" s="319" t="s">
        <v>2767</v>
      </c>
      <c r="X41" s="319">
        <v>2</v>
      </c>
      <c r="Y41" s="319" t="s">
        <v>173</v>
      </c>
      <c r="Z41" s="319" t="s">
        <v>173</v>
      </c>
      <c r="AA41" s="319" t="s">
        <v>173</v>
      </c>
      <c r="AB41" s="319">
        <v>2</v>
      </c>
      <c r="AC41" s="319" t="s">
        <v>169</v>
      </c>
      <c r="AD41" s="319">
        <v>2</v>
      </c>
      <c r="AE41" s="319" t="s">
        <v>173</v>
      </c>
      <c r="AF41" s="319" t="s">
        <v>427</v>
      </c>
      <c r="AG41" s="319" t="s">
        <v>171</v>
      </c>
      <c r="AH41" s="319" t="s">
        <v>190</v>
      </c>
      <c r="AI41" s="319" t="s">
        <v>190</v>
      </c>
      <c r="AJ41" s="319" t="s">
        <v>190</v>
      </c>
      <c r="AK41" s="319" t="s">
        <v>190</v>
      </c>
      <c r="AL41" s="319" t="s">
        <v>190</v>
      </c>
      <c r="AM41" s="319" t="s">
        <v>190</v>
      </c>
      <c r="AN41" s="319" t="s">
        <v>190</v>
      </c>
      <c r="AO41" s="319" t="s">
        <v>190</v>
      </c>
      <c r="AP41" s="319" t="s">
        <v>190</v>
      </c>
      <c r="AQ41" s="319" t="s">
        <v>190</v>
      </c>
      <c r="AR41" s="319" t="s">
        <v>190</v>
      </c>
      <c r="AS41" s="319" t="s">
        <v>190</v>
      </c>
      <c r="AT41" s="319" t="s">
        <v>190</v>
      </c>
      <c r="AU41" s="319" t="s">
        <v>190</v>
      </c>
      <c r="AV41" s="319" t="s">
        <v>190</v>
      </c>
      <c r="AW41" s="319" t="s">
        <v>190</v>
      </c>
      <c r="AX41" s="319" t="s">
        <v>428</v>
      </c>
      <c r="AY41" s="319" t="s">
        <v>190</v>
      </c>
      <c r="AZ41" s="319" t="s">
        <v>190</v>
      </c>
      <c r="BA41" s="319" t="s">
        <v>190</v>
      </c>
      <c r="BB41" s="319" t="s">
        <v>428</v>
      </c>
      <c r="BC41" s="319" t="s">
        <v>428</v>
      </c>
      <c r="BD41" s="319" t="s">
        <v>428</v>
      </c>
      <c r="BE41" s="319" t="s">
        <v>428</v>
      </c>
      <c r="BF41" s="319" t="s">
        <v>190</v>
      </c>
      <c r="BG41" s="319" t="s">
        <v>428</v>
      </c>
      <c r="BH41" s="319" t="s">
        <v>190</v>
      </c>
      <c r="BI41" s="319" t="s">
        <v>190</v>
      </c>
      <c r="BJ41" s="319" t="s">
        <v>190</v>
      </c>
      <c r="BK41" s="319" t="s">
        <v>190</v>
      </c>
      <c r="BL41" s="319" t="s">
        <v>190</v>
      </c>
      <c r="BM41" s="319" t="s">
        <v>190</v>
      </c>
      <c r="BN41" s="319" t="s">
        <v>190</v>
      </c>
      <c r="BO41" s="319" t="s">
        <v>190</v>
      </c>
      <c r="BP41" s="319" t="s">
        <v>190</v>
      </c>
      <c r="BQ41" s="319" t="s">
        <v>190</v>
      </c>
      <c r="BR41" s="319" t="s">
        <v>190</v>
      </c>
      <c r="BS41" s="319" t="s">
        <v>190</v>
      </c>
      <c r="BT41" s="319" t="s">
        <v>190</v>
      </c>
      <c r="BU41" s="319" t="s">
        <v>190</v>
      </c>
      <c r="BV41" s="319" t="s">
        <v>190</v>
      </c>
      <c r="BW41" s="319" t="s">
        <v>190</v>
      </c>
      <c r="BX41" s="319" t="s">
        <v>190</v>
      </c>
      <c r="BY41" s="319" t="s">
        <v>190</v>
      </c>
      <c r="BZ41" s="319" t="s">
        <v>190</v>
      </c>
      <c r="CA41" s="319" t="s">
        <v>190</v>
      </c>
      <c r="CB41" s="319" t="s">
        <v>190</v>
      </c>
      <c r="CC41" s="319" t="s">
        <v>190</v>
      </c>
      <c r="CD41" s="319" t="s">
        <v>190</v>
      </c>
      <c r="CE41" s="319" t="s">
        <v>190</v>
      </c>
      <c r="CF41" s="319" t="s">
        <v>190</v>
      </c>
      <c r="CG41" s="319" t="s">
        <v>190</v>
      </c>
      <c r="CH41" s="319" t="s">
        <v>190</v>
      </c>
      <c r="CI41" s="319" t="s">
        <v>190</v>
      </c>
      <c r="CJ41" s="319" t="s">
        <v>190</v>
      </c>
      <c r="CK41" s="319" t="s">
        <v>190</v>
      </c>
      <c r="CL41" s="319" t="s">
        <v>190</v>
      </c>
      <c r="CM41" s="319" t="s">
        <v>190</v>
      </c>
      <c r="CN41" s="319" t="s">
        <v>190</v>
      </c>
      <c r="CO41" s="319" t="s">
        <v>428</v>
      </c>
      <c r="CP41" s="319" t="s">
        <v>428</v>
      </c>
      <c r="CQ41" s="319" t="s">
        <v>190</v>
      </c>
      <c r="CR41" s="319" t="s">
        <v>190</v>
      </c>
      <c r="CS41" s="319" t="s">
        <v>190</v>
      </c>
      <c r="CT41" s="319" t="s">
        <v>190</v>
      </c>
      <c r="CU41" s="319" t="s">
        <v>190</v>
      </c>
      <c r="CV41" s="319" t="s">
        <v>190</v>
      </c>
      <c r="CW41" s="319" t="s">
        <v>190</v>
      </c>
      <c r="CX41" s="319" t="s">
        <v>190</v>
      </c>
      <c r="CY41" s="319" t="s">
        <v>190</v>
      </c>
      <c r="CZ41" s="319" t="s">
        <v>190</v>
      </c>
      <c r="DA41" s="319" t="s">
        <v>190</v>
      </c>
      <c r="DB41" s="319" t="s">
        <v>190</v>
      </c>
      <c r="DC41" s="319" t="s">
        <v>190</v>
      </c>
      <c r="DD41" s="319" t="s">
        <v>190</v>
      </c>
      <c r="DE41" s="319" t="s">
        <v>190</v>
      </c>
      <c r="DF41" s="319" t="s">
        <v>190</v>
      </c>
      <c r="DG41" s="319" t="s">
        <v>190</v>
      </c>
      <c r="DH41" s="319" t="s">
        <v>190</v>
      </c>
      <c r="DI41" s="319" t="s">
        <v>190</v>
      </c>
      <c r="DJ41" s="319" t="s">
        <v>190</v>
      </c>
      <c r="DK41" s="319" t="s">
        <v>190</v>
      </c>
      <c r="DL41" s="319" t="s">
        <v>190</v>
      </c>
      <c r="DM41" s="319" t="s">
        <v>190</v>
      </c>
      <c r="DN41" s="319" t="s">
        <v>428</v>
      </c>
      <c r="DO41" s="319" t="s">
        <v>428</v>
      </c>
      <c r="DP41" s="319" t="s">
        <v>190</v>
      </c>
      <c r="DQ41" s="319" t="s">
        <v>190</v>
      </c>
      <c r="DR41" s="319" t="s">
        <v>190</v>
      </c>
      <c r="DS41" s="319" t="s">
        <v>190</v>
      </c>
      <c r="DT41" s="319" t="s">
        <v>190</v>
      </c>
      <c r="DU41" s="319" t="s">
        <v>190</v>
      </c>
      <c r="DV41" s="319" t="s">
        <v>173</v>
      </c>
      <c r="DW41" s="319" t="s">
        <v>190</v>
      </c>
      <c r="DX41" s="319" t="s">
        <v>190</v>
      </c>
      <c r="DY41" s="319" t="s">
        <v>190</v>
      </c>
      <c r="DZ41" s="319" t="s">
        <v>190</v>
      </c>
      <c r="EA41" s="319" t="s">
        <v>190</v>
      </c>
      <c r="EB41" s="319" t="s">
        <v>190</v>
      </c>
      <c r="EC41" s="319" t="s">
        <v>428</v>
      </c>
      <c r="ED41" s="319" t="s">
        <v>428</v>
      </c>
      <c r="EE41" s="319" t="s">
        <v>428</v>
      </c>
      <c r="EF41" s="319" t="s">
        <v>428</v>
      </c>
      <c r="EG41" s="319" t="s">
        <v>428</v>
      </c>
      <c r="EH41" s="319" t="s">
        <v>428</v>
      </c>
      <c r="EI41" s="319" t="s">
        <v>428</v>
      </c>
      <c r="EJ41" s="319" t="s">
        <v>428</v>
      </c>
      <c r="EK41" s="319" t="s">
        <v>428</v>
      </c>
      <c r="EL41" s="319" t="s">
        <v>428</v>
      </c>
      <c r="EM41" s="319" t="s">
        <v>428</v>
      </c>
      <c r="EN41" s="319" t="s">
        <v>190</v>
      </c>
      <c r="EO41" s="319" t="s">
        <v>190</v>
      </c>
      <c r="EP41" s="319" t="s">
        <v>190</v>
      </c>
      <c r="EQ41" s="319" t="s">
        <v>190</v>
      </c>
      <c r="ER41" s="319" t="s">
        <v>190</v>
      </c>
      <c r="ES41" s="319" t="s">
        <v>190</v>
      </c>
      <c r="ET41" s="319" t="s">
        <v>190</v>
      </c>
      <c r="EU41" s="319" t="s">
        <v>190</v>
      </c>
      <c r="EV41" s="319" t="s">
        <v>190</v>
      </c>
      <c r="EW41" s="319" t="s">
        <v>190</v>
      </c>
      <c r="EX41" s="319" t="s">
        <v>190</v>
      </c>
      <c r="EY41" s="319" t="s">
        <v>190</v>
      </c>
      <c r="EZ41" s="319" t="s">
        <v>190</v>
      </c>
      <c r="FA41" s="319" t="s">
        <v>190</v>
      </c>
      <c r="FB41" s="319" t="s">
        <v>190</v>
      </c>
      <c r="FC41" s="319" t="s">
        <v>190</v>
      </c>
      <c r="FD41" s="319" t="s">
        <v>190</v>
      </c>
      <c r="FE41" s="319" t="s">
        <v>190</v>
      </c>
      <c r="FF41" s="319" t="s">
        <v>190</v>
      </c>
      <c r="FG41" s="319" t="s">
        <v>190</v>
      </c>
      <c r="FH41" s="319" t="s">
        <v>190</v>
      </c>
      <c r="FI41" s="319" t="s">
        <v>190</v>
      </c>
      <c r="FJ41" s="319" t="s">
        <v>190</v>
      </c>
      <c r="FK41" s="319" t="s">
        <v>190</v>
      </c>
      <c r="FL41" s="319" t="s">
        <v>190</v>
      </c>
      <c r="FM41" s="319" t="s">
        <v>190</v>
      </c>
      <c r="FN41" s="319" t="s">
        <v>190</v>
      </c>
      <c r="FO41" s="319" t="s">
        <v>428</v>
      </c>
      <c r="FP41" s="319" t="s">
        <v>190</v>
      </c>
      <c r="FQ41" s="319" t="s">
        <v>190</v>
      </c>
      <c r="FR41" s="319" t="s">
        <v>190</v>
      </c>
      <c r="FS41" s="319" t="s">
        <v>190</v>
      </c>
      <c r="FT41" s="319" t="s">
        <v>190</v>
      </c>
      <c r="FU41" s="319" t="s">
        <v>428</v>
      </c>
      <c r="FV41" s="319" t="s">
        <v>190</v>
      </c>
      <c r="FW41" s="319" t="s">
        <v>190</v>
      </c>
      <c r="FX41" s="319" t="s">
        <v>190</v>
      </c>
      <c r="FY41" s="319" t="s">
        <v>190</v>
      </c>
      <c r="FZ41" s="319" t="s">
        <v>190</v>
      </c>
      <c r="GA41" s="319" t="s">
        <v>190</v>
      </c>
      <c r="GB41" s="319" t="s">
        <v>190</v>
      </c>
      <c r="GC41" s="319" t="s">
        <v>190</v>
      </c>
      <c r="GD41" s="319" t="s">
        <v>190</v>
      </c>
      <c r="GE41" s="319" t="s">
        <v>190</v>
      </c>
      <c r="GF41" s="319" t="s">
        <v>190</v>
      </c>
      <c r="GG41" s="319" t="s">
        <v>190</v>
      </c>
      <c r="GH41" s="319" t="s">
        <v>190</v>
      </c>
      <c r="GI41" s="319" t="s">
        <v>190</v>
      </c>
      <c r="GJ41" s="319" t="s">
        <v>190</v>
      </c>
      <c r="GK41" s="319" t="s">
        <v>428</v>
      </c>
      <c r="GL41" s="319" t="s">
        <v>190</v>
      </c>
      <c r="GM41" s="319" t="s">
        <v>190</v>
      </c>
      <c r="GN41" s="319" t="s">
        <v>190</v>
      </c>
      <c r="GO41" s="319" t="s">
        <v>190</v>
      </c>
      <c r="GP41" s="319" t="s">
        <v>190</v>
      </c>
      <c r="GQ41" s="319" t="s">
        <v>428</v>
      </c>
      <c r="GR41" s="319" t="s">
        <v>190</v>
      </c>
      <c r="GS41" s="319" t="s">
        <v>190</v>
      </c>
      <c r="GT41" s="319" t="s">
        <v>428</v>
      </c>
      <c r="GU41" s="319" t="s">
        <v>428</v>
      </c>
      <c r="GV41" s="319" t="s">
        <v>190</v>
      </c>
      <c r="GW41" s="319" t="s">
        <v>190</v>
      </c>
      <c r="GX41" s="319" t="s">
        <v>190</v>
      </c>
      <c r="GY41" s="319" t="s">
        <v>190</v>
      </c>
      <c r="GZ41" s="319" t="s">
        <v>190</v>
      </c>
      <c r="HA41" s="319" t="s">
        <v>190</v>
      </c>
      <c r="HB41" s="319" t="s">
        <v>190</v>
      </c>
      <c r="HC41" s="319" t="s">
        <v>190</v>
      </c>
      <c r="HD41" s="319" t="s">
        <v>190</v>
      </c>
      <c r="HE41" s="319" t="s">
        <v>190</v>
      </c>
      <c r="HF41" s="319" t="s">
        <v>190</v>
      </c>
      <c r="HG41" s="319" t="s">
        <v>190</v>
      </c>
      <c r="HH41" s="319" t="s">
        <v>190</v>
      </c>
      <c r="HI41" s="319" t="s">
        <v>190</v>
      </c>
      <c r="HJ41" s="319" t="s">
        <v>190</v>
      </c>
      <c r="HK41" s="319" t="s">
        <v>190</v>
      </c>
      <c r="HL41" s="319" t="s">
        <v>428</v>
      </c>
      <c r="HM41" s="319" t="s">
        <v>428</v>
      </c>
      <c r="HN41" s="319" t="s">
        <v>428</v>
      </c>
      <c r="HO41" s="319" t="s">
        <v>428</v>
      </c>
      <c r="HP41" s="319" t="s">
        <v>190</v>
      </c>
      <c r="HQ41" s="319" t="s">
        <v>190</v>
      </c>
      <c r="HR41" s="319" t="s">
        <v>190</v>
      </c>
      <c r="HS41" s="319" t="s">
        <v>190</v>
      </c>
      <c r="HT41" s="319" t="s">
        <v>190</v>
      </c>
      <c r="HU41" s="319" t="s">
        <v>190</v>
      </c>
      <c r="HV41" s="319" t="s">
        <v>190</v>
      </c>
      <c r="HW41" s="319" t="s">
        <v>190</v>
      </c>
      <c r="HX41" s="319" t="s">
        <v>190</v>
      </c>
      <c r="HY41" s="319" t="s">
        <v>190</v>
      </c>
      <c r="HZ41" s="319" t="s">
        <v>190</v>
      </c>
      <c r="IA41" s="319" t="s">
        <v>190</v>
      </c>
      <c r="IB41" s="319" t="s">
        <v>190</v>
      </c>
      <c r="IC41" s="319" t="s">
        <v>190</v>
      </c>
      <c r="ID41" s="319" t="s">
        <v>190</v>
      </c>
      <c r="IE41" s="319" t="s">
        <v>190</v>
      </c>
      <c r="IF41" s="319" t="s">
        <v>190</v>
      </c>
      <c r="IG41" s="319" t="s">
        <v>190</v>
      </c>
      <c r="IH41" s="319" t="s">
        <v>190</v>
      </c>
      <c r="II41" s="319" t="s">
        <v>190</v>
      </c>
      <c r="IJ41" s="319" t="s">
        <v>2810</v>
      </c>
      <c r="IK41" s="321">
        <v>41933</v>
      </c>
      <c r="IL41" s="321">
        <v>41935</v>
      </c>
      <c r="IM41" s="321">
        <v>42017</v>
      </c>
      <c r="IN41" s="319">
        <v>2</v>
      </c>
      <c r="IO41" s="319" t="s">
        <v>173</v>
      </c>
      <c r="IP41" s="319" t="s">
        <v>173</v>
      </c>
      <c r="IQ41" s="321" t="s">
        <v>173</v>
      </c>
      <c r="IR41" s="320" t="s">
        <v>173</v>
      </c>
      <c r="IS41" s="322" t="s">
        <v>173</v>
      </c>
      <c r="IT41" s="319" t="s">
        <v>173</v>
      </c>
    </row>
    <row r="42" spans="1:254" s="271" customFormat="1" x14ac:dyDescent="0.25">
      <c r="A42" s="318" t="str">
        <f>HYPERLINK("http://www.ofsted.gov.uk/inspection-reports/find-inspection-report/provider/ELS/101164 ","Ofsted School Webpage")</f>
        <v>Ofsted School Webpage</v>
      </c>
      <c r="B42" s="319">
        <v>101164</v>
      </c>
      <c r="C42" s="319">
        <v>2136129</v>
      </c>
      <c r="D42" s="319" t="s">
        <v>1265</v>
      </c>
      <c r="E42" s="319" t="s">
        <v>167</v>
      </c>
      <c r="F42" s="319" t="s">
        <v>81</v>
      </c>
      <c r="G42" s="319" t="s">
        <v>81</v>
      </c>
      <c r="H42" s="319" t="s">
        <v>81</v>
      </c>
      <c r="I42" s="319" t="s">
        <v>78</v>
      </c>
      <c r="J42" s="319" t="s">
        <v>424</v>
      </c>
      <c r="K42" s="319" t="s">
        <v>441</v>
      </c>
      <c r="L42" s="319" t="s">
        <v>441</v>
      </c>
      <c r="M42" s="319" t="s">
        <v>582</v>
      </c>
      <c r="N42" s="319" t="s">
        <v>2797</v>
      </c>
      <c r="O42" s="319" t="s">
        <v>1266</v>
      </c>
      <c r="P42" s="319">
        <v>75</v>
      </c>
      <c r="Q42" s="319" t="s">
        <v>2766</v>
      </c>
      <c r="R42" s="320">
        <v>10026275</v>
      </c>
      <c r="S42" s="321">
        <v>43165</v>
      </c>
      <c r="T42" s="321">
        <v>43167</v>
      </c>
      <c r="U42" s="321">
        <v>43209</v>
      </c>
      <c r="V42" s="319" t="s">
        <v>425</v>
      </c>
      <c r="W42" s="319" t="s">
        <v>2767</v>
      </c>
      <c r="X42" s="319">
        <v>2</v>
      </c>
      <c r="Y42" s="319" t="s">
        <v>173</v>
      </c>
      <c r="Z42" s="319" t="s">
        <v>173</v>
      </c>
      <c r="AA42" s="319" t="s">
        <v>173</v>
      </c>
      <c r="AB42" s="319">
        <v>2</v>
      </c>
      <c r="AC42" s="319" t="s">
        <v>169</v>
      </c>
      <c r="AD42" s="319">
        <v>2</v>
      </c>
      <c r="AE42" s="319" t="s">
        <v>173</v>
      </c>
      <c r="AF42" s="319" t="s">
        <v>427</v>
      </c>
      <c r="AG42" s="319" t="s">
        <v>171</v>
      </c>
      <c r="AH42" s="319" t="s">
        <v>190</v>
      </c>
      <c r="AI42" s="319" t="s">
        <v>190</v>
      </c>
      <c r="AJ42" s="319" t="s">
        <v>190</v>
      </c>
      <c r="AK42" s="319" t="s">
        <v>190</v>
      </c>
      <c r="AL42" s="319" t="s">
        <v>190</v>
      </c>
      <c r="AM42" s="319" t="s">
        <v>190</v>
      </c>
      <c r="AN42" s="319" t="s">
        <v>190</v>
      </c>
      <c r="AO42" s="319" t="s">
        <v>190</v>
      </c>
      <c r="AP42" s="319" t="s">
        <v>190</v>
      </c>
      <c r="AQ42" s="319" t="s">
        <v>190</v>
      </c>
      <c r="AR42" s="319" t="s">
        <v>190</v>
      </c>
      <c r="AS42" s="319" t="s">
        <v>190</v>
      </c>
      <c r="AT42" s="319" t="s">
        <v>190</v>
      </c>
      <c r="AU42" s="319" t="s">
        <v>190</v>
      </c>
      <c r="AV42" s="319" t="s">
        <v>190</v>
      </c>
      <c r="AW42" s="319" t="s">
        <v>190</v>
      </c>
      <c r="AX42" s="319" t="s">
        <v>428</v>
      </c>
      <c r="AY42" s="319" t="s">
        <v>190</v>
      </c>
      <c r="AZ42" s="319" t="s">
        <v>190</v>
      </c>
      <c r="BA42" s="319" t="s">
        <v>190</v>
      </c>
      <c r="BB42" s="319" t="s">
        <v>428</v>
      </c>
      <c r="BC42" s="319" t="s">
        <v>428</v>
      </c>
      <c r="BD42" s="319" t="s">
        <v>428</v>
      </c>
      <c r="BE42" s="319" t="s">
        <v>428</v>
      </c>
      <c r="BF42" s="319" t="s">
        <v>428</v>
      </c>
      <c r="BG42" s="319" t="s">
        <v>190</v>
      </c>
      <c r="BH42" s="319" t="s">
        <v>190</v>
      </c>
      <c r="BI42" s="319" t="s">
        <v>190</v>
      </c>
      <c r="BJ42" s="319" t="s">
        <v>190</v>
      </c>
      <c r="BK42" s="319" t="s">
        <v>190</v>
      </c>
      <c r="BL42" s="319" t="s">
        <v>190</v>
      </c>
      <c r="BM42" s="319" t="s">
        <v>190</v>
      </c>
      <c r="BN42" s="319" t="s">
        <v>190</v>
      </c>
      <c r="BO42" s="319" t="s">
        <v>190</v>
      </c>
      <c r="BP42" s="319" t="s">
        <v>190</v>
      </c>
      <c r="BQ42" s="319" t="s">
        <v>190</v>
      </c>
      <c r="BR42" s="319" t="s">
        <v>190</v>
      </c>
      <c r="BS42" s="319" t="s">
        <v>190</v>
      </c>
      <c r="BT42" s="319" t="s">
        <v>190</v>
      </c>
      <c r="BU42" s="319" t="s">
        <v>190</v>
      </c>
      <c r="BV42" s="319" t="s">
        <v>190</v>
      </c>
      <c r="BW42" s="319" t="s">
        <v>190</v>
      </c>
      <c r="BX42" s="319" t="s">
        <v>190</v>
      </c>
      <c r="BY42" s="319" t="s">
        <v>190</v>
      </c>
      <c r="BZ42" s="319" t="s">
        <v>190</v>
      </c>
      <c r="CA42" s="319" t="s">
        <v>190</v>
      </c>
      <c r="CB42" s="319" t="s">
        <v>190</v>
      </c>
      <c r="CC42" s="319" t="s">
        <v>190</v>
      </c>
      <c r="CD42" s="319" t="s">
        <v>190</v>
      </c>
      <c r="CE42" s="319" t="s">
        <v>190</v>
      </c>
      <c r="CF42" s="319" t="s">
        <v>190</v>
      </c>
      <c r="CG42" s="319" t="s">
        <v>190</v>
      </c>
      <c r="CH42" s="319" t="s">
        <v>190</v>
      </c>
      <c r="CI42" s="319" t="s">
        <v>190</v>
      </c>
      <c r="CJ42" s="319" t="s">
        <v>190</v>
      </c>
      <c r="CK42" s="319" t="s">
        <v>190</v>
      </c>
      <c r="CL42" s="319" t="s">
        <v>190</v>
      </c>
      <c r="CM42" s="319" t="s">
        <v>190</v>
      </c>
      <c r="CN42" s="319" t="s">
        <v>428</v>
      </c>
      <c r="CO42" s="319" t="s">
        <v>428</v>
      </c>
      <c r="CP42" s="319" t="s">
        <v>428</v>
      </c>
      <c r="CQ42" s="319" t="s">
        <v>190</v>
      </c>
      <c r="CR42" s="319" t="s">
        <v>190</v>
      </c>
      <c r="CS42" s="319" t="s">
        <v>190</v>
      </c>
      <c r="CT42" s="319" t="s">
        <v>190</v>
      </c>
      <c r="CU42" s="319" t="s">
        <v>190</v>
      </c>
      <c r="CV42" s="319" t="s">
        <v>190</v>
      </c>
      <c r="CW42" s="319" t="s">
        <v>190</v>
      </c>
      <c r="CX42" s="319" t="s">
        <v>190</v>
      </c>
      <c r="CY42" s="319" t="s">
        <v>190</v>
      </c>
      <c r="CZ42" s="319" t="s">
        <v>190</v>
      </c>
      <c r="DA42" s="319" t="s">
        <v>190</v>
      </c>
      <c r="DB42" s="319" t="s">
        <v>190</v>
      </c>
      <c r="DC42" s="319" t="s">
        <v>190</v>
      </c>
      <c r="DD42" s="319" t="s">
        <v>190</v>
      </c>
      <c r="DE42" s="319" t="s">
        <v>190</v>
      </c>
      <c r="DF42" s="319" t="s">
        <v>190</v>
      </c>
      <c r="DG42" s="319" t="s">
        <v>190</v>
      </c>
      <c r="DH42" s="319" t="s">
        <v>190</v>
      </c>
      <c r="DI42" s="319" t="s">
        <v>190</v>
      </c>
      <c r="DJ42" s="319" t="s">
        <v>190</v>
      </c>
      <c r="DK42" s="319" t="s">
        <v>190</v>
      </c>
      <c r="DL42" s="319" t="s">
        <v>190</v>
      </c>
      <c r="DM42" s="319" t="s">
        <v>190</v>
      </c>
      <c r="DN42" s="319" t="s">
        <v>428</v>
      </c>
      <c r="DO42" s="319" t="s">
        <v>190</v>
      </c>
      <c r="DP42" s="319" t="s">
        <v>428</v>
      </c>
      <c r="DQ42" s="319" t="s">
        <v>428</v>
      </c>
      <c r="DR42" s="319" t="s">
        <v>428</v>
      </c>
      <c r="DS42" s="319" t="s">
        <v>428</v>
      </c>
      <c r="DT42" s="319" t="s">
        <v>428</v>
      </c>
      <c r="DU42" s="319" t="s">
        <v>428</v>
      </c>
      <c r="DV42" s="319" t="s">
        <v>173</v>
      </c>
      <c r="DW42" s="319" t="s">
        <v>428</v>
      </c>
      <c r="DX42" s="319" t="s">
        <v>428</v>
      </c>
      <c r="DY42" s="319" t="s">
        <v>428</v>
      </c>
      <c r="DZ42" s="319" t="s">
        <v>190</v>
      </c>
      <c r="EA42" s="319" t="s">
        <v>190</v>
      </c>
      <c r="EB42" s="319" t="s">
        <v>190</v>
      </c>
      <c r="EC42" s="319" t="s">
        <v>428</v>
      </c>
      <c r="ED42" s="319" t="s">
        <v>190</v>
      </c>
      <c r="EE42" s="319" t="s">
        <v>190</v>
      </c>
      <c r="EF42" s="319" t="s">
        <v>428</v>
      </c>
      <c r="EG42" s="319" t="s">
        <v>428</v>
      </c>
      <c r="EH42" s="319" t="s">
        <v>428</v>
      </c>
      <c r="EI42" s="319" t="s">
        <v>428</v>
      </c>
      <c r="EJ42" s="319" t="s">
        <v>428</v>
      </c>
      <c r="EK42" s="319" t="s">
        <v>428</v>
      </c>
      <c r="EL42" s="319" t="s">
        <v>428</v>
      </c>
      <c r="EM42" s="319" t="s">
        <v>190</v>
      </c>
      <c r="EN42" s="319" t="s">
        <v>190</v>
      </c>
      <c r="EO42" s="319" t="s">
        <v>190</v>
      </c>
      <c r="EP42" s="319" t="s">
        <v>190</v>
      </c>
      <c r="EQ42" s="319" t="s">
        <v>190</v>
      </c>
      <c r="ER42" s="319" t="s">
        <v>190</v>
      </c>
      <c r="ES42" s="319" t="s">
        <v>190</v>
      </c>
      <c r="ET42" s="319" t="s">
        <v>190</v>
      </c>
      <c r="EU42" s="319" t="s">
        <v>190</v>
      </c>
      <c r="EV42" s="319" t="s">
        <v>190</v>
      </c>
      <c r="EW42" s="319" t="s">
        <v>190</v>
      </c>
      <c r="EX42" s="319" t="s">
        <v>190</v>
      </c>
      <c r="EY42" s="319" t="s">
        <v>190</v>
      </c>
      <c r="EZ42" s="319" t="s">
        <v>190</v>
      </c>
      <c r="FA42" s="319" t="s">
        <v>190</v>
      </c>
      <c r="FB42" s="319" t="s">
        <v>428</v>
      </c>
      <c r="FC42" s="319" t="s">
        <v>428</v>
      </c>
      <c r="FD42" s="319" t="s">
        <v>190</v>
      </c>
      <c r="FE42" s="319" t="s">
        <v>190</v>
      </c>
      <c r="FF42" s="319" t="s">
        <v>428</v>
      </c>
      <c r="FG42" s="319" t="s">
        <v>190</v>
      </c>
      <c r="FH42" s="319" t="s">
        <v>428</v>
      </c>
      <c r="FI42" s="319" t="s">
        <v>428</v>
      </c>
      <c r="FJ42" s="319" t="s">
        <v>429</v>
      </c>
      <c r="FK42" s="319" t="s">
        <v>428</v>
      </c>
      <c r="FL42" s="319" t="s">
        <v>190</v>
      </c>
      <c r="FM42" s="319" t="s">
        <v>190</v>
      </c>
      <c r="FN42" s="319" t="s">
        <v>190</v>
      </c>
      <c r="FO42" s="319" t="s">
        <v>428</v>
      </c>
      <c r="FP42" s="319" t="s">
        <v>190</v>
      </c>
      <c r="FQ42" s="319" t="s">
        <v>190</v>
      </c>
      <c r="FR42" s="319" t="s">
        <v>190</v>
      </c>
      <c r="FS42" s="319" t="s">
        <v>428</v>
      </c>
      <c r="FT42" s="319" t="s">
        <v>190</v>
      </c>
      <c r="FU42" s="319" t="s">
        <v>190</v>
      </c>
      <c r="FV42" s="319" t="s">
        <v>190</v>
      </c>
      <c r="FW42" s="319" t="s">
        <v>190</v>
      </c>
      <c r="FX42" s="319" t="s">
        <v>190</v>
      </c>
      <c r="FY42" s="319" t="s">
        <v>190</v>
      </c>
      <c r="FZ42" s="319" t="s">
        <v>190</v>
      </c>
      <c r="GA42" s="319" t="s">
        <v>190</v>
      </c>
      <c r="GB42" s="319" t="s">
        <v>190</v>
      </c>
      <c r="GC42" s="319" t="s">
        <v>190</v>
      </c>
      <c r="GD42" s="319" t="s">
        <v>190</v>
      </c>
      <c r="GE42" s="319" t="s">
        <v>190</v>
      </c>
      <c r="GF42" s="319" t="s">
        <v>190</v>
      </c>
      <c r="GG42" s="319" t="s">
        <v>190</v>
      </c>
      <c r="GH42" s="319" t="s">
        <v>190</v>
      </c>
      <c r="GI42" s="319" t="s">
        <v>190</v>
      </c>
      <c r="GJ42" s="319" t="s">
        <v>190</v>
      </c>
      <c r="GK42" s="319" t="s">
        <v>428</v>
      </c>
      <c r="GL42" s="319" t="s">
        <v>190</v>
      </c>
      <c r="GM42" s="319" t="s">
        <v>190</v>
      </c>
      <c r="GN42" s="319" t="s">
        <v>190</v>
      </c>
      <c r="GO42" s="319" t="s">
        <v>190</v>
      </c>
      <c r="GP42" s="319" t="s">
        <v>190</v>
      </c>
      <c r="GQ42" s="319" t="s">
        <v>428</v>
      </c>
      <c r="GR42" s="319" t="s">
        <v>190</v>
      </c>
      <c r="GS42" s="319" t="s">
        <v>190</v>
      </c>
      <c r="GT42" s="319" t="s">
        <v>428</v>
      </c>
      <c r="GU42" s="319" t="s">
        <v>428</v>
      </c>
      <c r="GV42" s="319" t="s">
        <v>190</v>
      </c>
      <c r="GW42" s="319" t="s">
        <v>190</v>
      </c>
      <c r="GX42" s="319" t="s">
        <v>190</v>
      </c>
      <c r="GY42" s="319" t="s">
        <v>190</v>
      </c>
      <c r="GZ42" s="319" t="s">
        <v>190</v>
      </c>
      <c r="HA42" s="319" t="s">
        <v>428</v>
      </c>
      <c r="HB42" s="319" t="s">
        <v>428</v>
      </c>
      <c r="HC42" s="319" t="s">
        <v>190</v>
      </c>
      <c r="HD42" s="319" t="s">
        <v>190</v>
      </c>
      <c r="HE42" s="319" t="s">
        <v>190</v>
      </c>
      <c r="HF42" s="319" t="s">
        <v>190</v>
      </c>
      <c r="HG42" s="319" t="s">
        <v>190</v>
      </c>
      <c r="HH42" s="319" t="s">
        <v>190</v>
      </c>
      <c r="HI42" s="319" t="s">
        <v>428</v>
      </c>
      <c r="HJ42" s="319" t="s">
        <v>190</v>
      </c>
      <c r="HK42" s="319" t="s">
        <v>190</v>
      </c>
      <c r="HL42" s="319" t="s">
        <v>428</v>
      </c>
      <c r="HM42" s="319" t="s">
        <v>428</v>
      </c>
      <c r="HN42" s="319" t="s">
        <v>428</v>
      </c>
      <c r="HO42" s="319" t="s">
        <v>428</v>
      </c>
      <c r="HP42" s="319" t="s">
        <v>190</v>
      </c>
      <c r="HQ42" s="319" t="s">
        <v>190</v>
      </c>
      <c r="HR42" s="319" t="s">
        <v>190</v>
      </c>
      <c r="HS42" s="319" t="s">
        <v>190</v>
      </c>
      <c r="HT42" s="319" t="s">
        <v>190</v>
      </c>
      <c r="HU42" s="319" t="s">
        <v>190</v>
      </c>
      <c r="HV42" s="319" t="s">
        <v>190</v>
      </c>
      <c r="HW42" s="319" t="s">
        <v>190</v>
      </c>
      <c r="HX42" s="319" t="s">
        <v>190</v>
      </c>
      <c r="HY42" s="319" t="s">
        <v>190</v>
      </c>
      <c r="HZ42" s="319" t="s">
        <v>190</v>
      </c>
      <c r="IA42" s="319" t="s">
        <v>190</v>
      </c>
      <c r="IB42" s="319" t="s">
        <v>190</v>
      </c>
      <c r="IC42" s="319" t="s">
        <v>190</v>
      </c>
      <c r="ID42" s="319" t="s">
        <v>190</v>
      </c>
      <c r="IE42" s="319" t="s">
        <v>190</v>
      </c>
      <c r="IF42" s="319" t="s">
        <v>190</v>
      </c>
      <c r="IG42" s="319" t="s">
        <v>190</v>
      </c>
      <c r="IH42" s="319" t="s">
        <v>190</v>
      </c>
      <c r="II42" s="319" t="s">
        <v>190</v>
      </c>
      <c r="IJ42" s="319" t="s">
        <v>2811</v>
      </c>
      <c r="IK42" s="321">
        <v>41338</v>
      </c>
      <c r="IL42" s="321">
        <v>41340</v>
      </c>
      <c r="IM42" s="321">
        <v>41361</v>
      </c>
      <c r="IN42" s="319">
        <v>2</v>
      </c>
      <c r="IO42" s="319" t="s">
        <v>173</v>
      </c>
      <c r="IP42" s="319" t="s">
        <v>173</v>
      </c>
      <c r="IQ42" s="321" t="s">
        <v>173</v>
      </c>
      <c r="IR42" s="320" t="s">
        <v>173</v>
      </c>
      <c r="IS42" s="322" t="s">
        <v>173</v>
      </c>
      <c r="IT42" s="319" t="s">
        <v>173</v>
      </c>
    </row>
    <row r="43" spans="1:254" s="271" customFormat="1" x14ac:dyDescent="0.25">
      <c r="A43" s="318" t="str">
        <f>HYPERLINK("http://www.ofsted.gov.uk/inspection-reports/find-inspection-report/provider/ELS/101168 ","Ofsted School Webpage")</f>
        <v>Ofsted School Webpage</v>
      </c>
      <c r="B43" s="319">
        <v>101168</v>
      </c>
      <c r="C43" s="319">
        <v>2136215</v>
      </c>
      <c r="D43" s="319" t="s">
        <v>1267</v>
      </c>
      <c r="E43" s="319" t="s">
        <v>167</v>
      </c>
      <c r="F43" s="319" t="s">
        <v>81</v>
      </c>
      <c r="G43" s="319" t="s">
        <v>81</v>
      </c>
      <c r="H43" s="319" t="s">
        <v>81</v>
      </c>
      <c r="I43" s="319" t="s">
        <v>78</v>
      </c>
      <c r="J43" s="319" t="s">
        <v>424</v>
      </c>
      <c r="K43" s="319" t="s">
        <v>441</v>
      </c>
      <c r="L43" s="319" t="s">
        <v>441</v>
      </c>
      <c r="M43" s="319" t="s">
        <v>582</v>
      </c>
      <c r="N43" s="319" t="s">
        <v>2812</v>
      </c>
      <c r="O43" s="319" t="s">
        <v>1268</v>
      </c>
      <c r="P43" s="319">
        <v>1397</v>
      </c>
      <c r="Q43" s="319" t="s">
        <v>2776</v>
      </c>
      <c r="R43" s="320">
        <v>10026276</v>
      </c>
      <c r="S43" s="321">
        <v>43179</v>
      </c>
      <c r="T43" s="321">
        <v>43181</v>
      </c>
      <c r="U43" s="321">
        <v>43224</v>
      </c>
      <c r="V43" s="319" t="s">
        <v>425</v>
      </c>
      <c r="W43" s="319" t="s">
        <v>2767</v>
      </c>
      <c r="X43" s="319">
        <v>1</v>
      </c>
      <c r="Y43" s="319" t="s">
        <v>173</v>
      </c>
      <c r="Z43" s="319" t="s">
        <v>173</v>
      </c>
      <c r="AA43" s="319" t="s">
        <v>173</v>
      </c>
      <c r="AB43" s="319">
        <v>1</v>
      </c>
      <c r="AC43" s="319" t="s">
        <v>169</v>
      </c>
      <c r="AD43" s="319">
        <v>1</v>
      </c>
      <c r="AE43" s="319">
        <v>1</v>
      </c>
      <c r="AF43" s="319" t="s">
        <v>447</v>
      </c>
      <c r="AG43" s="319" t="s">
        <v>171</v>
      </c>
      <c r="AH43" s="319" t="s">
        <v>190</v>
      </c>
      <c r="AI43" s="319" t="s">
        <v>190</v>
      </c>
      <c r="AJ43" s="319" t="s">
        <v>190</v>
      </c>
      <c r="AK43" s="319" t="s">
        <v>190</v>
      </c>
      <c r="AL43" s="319" t="s">
        <v>190</v>
      </c>
      <c r="AM43" s="319" t="s">
        <v>190</v>
      </c>
      <c r="AN43" s="319" t="s">
        <v>190</v>
      </c>
      <c r="AO43" s="319" t="s">
        <v>190</v>
      </c>
      <c r="AP43" s="319" t="s">
        <v>190</v>
      </c>
      <c r="AQ43" s="319" t="s">
        <v>190</v>
      </c>
      <c r="AR43" s="319" t="s">
        <v>190</v>
      </c>
      <c r="AS43" s="319" t="s">
        <v>190</v>
      </c>
      <c r="AT43" s="319" t="s">
        <v>190</v>
      </c>
      <c r="AU43" s="319" t="s">
        <v>190</v>
      </c>
      <c r="AV43" s="319" t="s">
        <v>190</v>
      </c>
      <c r="AW43" s="319" t="s">
        <v>190</v>
      </c>
      <c r="AX43" s="319" t="s">
        <v>428</v>
      </c>
      <c r="AY43" s="319" t="s">
        <v>190</v>
      </c>
      <c r="AZ43" s="319" t="s">
        <v>190</v>
      </c>
      <c r="BA43" s="319" t="s">
        <v>190</v>
      </c>
      <c r="BB43" s="319" t="s">
        <v>190</v>
      </c>
      <c r="BC43" s="319" t="s">
        <v>190</v>
      </c>
      <c r="BD43" s="319" t="s">
        <v>190</v>
      </c>
      <c r="BE43" s="319" t="s">
        <v>190</v>
      </c>
      <c r="BF43" s="319" t="s">
        <v>428</v>
      </c>
      <c r="BG43" s="319" t="s">
        <v>428</v>
      </c>
      <c r="BH43" s="319" t="s">
        <v>190</v>
      </c>
      <c r="BI43" s="319" t="s">
        <v>190</v>
      </c>
      <c r="BJ43" s="319" t="s">
        <v>190</v>
      </c>
      <c r="BK43" s="319" t="s">
        <v>190</v>
      </c>
      <c r="BL43" s="319" t="s">
        <v>190</v>
      </c>
      <c r="BM43" s="319" t="s">
        <v>190</v>
      </c>
      <c r="BN43" s="319" t="s">
        <v>190</v>
      </c>
      <c r="BO43" s="319" t="s">
        <v>190</v>
      </c>
      <c r="BP43" s="319" t="s">
        <v>190</v>
      </c>
      <c r="BQ43" s="319" t="s">
        <v>190</v>
      </c>
      <c r="BR43" s="319" t="s">
        <v>190</v>
      </c>
      <c r="BS43" s="319" t="s">
        <v>190</v>
      </c>
      <c r="BT43" s="319" t="s">
        <v>190</v>
      </c>
      <c r="BU43" s="319" t="s">
        <v>190</v>
      </c>
      <c r="BV43" s="319" t="s">
        <v>190</v>
      </c>
      <c r="BW43" s="319" t="s">
        <v>190</v>
      </c>
      <c r="BX43" s="319" t="s">
        <v>190</v>
      </c>
      <c r="BY43" s="319" t="s">
        <v>190</v>
      </c>
      <c r="BZ43" s="319" t="s">
        <v>190</v>
      </c>
      <c r="CA43" s="319" t="s">
        <v>190</v>
      </c>
      <c r="CB43" s="319" t="s">
        <v>190</v>
      </c>
      <c r="CC43" s="319" t="s">
        <v>190</v>
      </c>
      <c r="CD43" s="319" t="s">
        <v>190</v>
      </c>
      <c r="CE43" s="319" t="s">
        <v>190</v>
      </c>
      <c r="CF43" s="319" t="s">
        <v>190</v>
      </c>
      <c r="CG43" s="319" t="s">
        <v>190</v>
      </c>
      <c r="CH43" s="319" t="s">
        <v>190</v>
      </c>
      <c r="CI43" s="319" t="s">
        <v>190</v>
      </c>
      <c r="CJ43" s="319" t="s">
        <v>190</v>
      </c>
      <c r="CK43" s="319" t="s">
        <v>190</v>
      </c>
      <c r="CL43" s="319" t="s">
        <v>190</v>
      </c>
      <c r="CM43" s="319" t="s">
        <v>190</v>
      </c>
      <c r="CN43" s="319" t="s">
        <v>428</v>
      </c>
      <c r="CO43" s="319" t="s">
        <v>428</v>
      </c>
      <c r="CP43" s="319" t="s">
        <v>428</v>
      </c>
      <c r="CQ43" s="319" t="s">
        <v>190</v>
      </c>
      <c r="CR43" s="319" t="s">
        <v>190</v>
      </c>
      <c r="CS43" s="319" t="s">
        <v>190</v>
      </c>
      <c r="CT43" s="319" t="s">
        <v>190</v>
      </c>
      <c r="CU43" s="319" t="s">
        <v>190</v>
      </c>
      <c r="CV43" s="319" t="s">
        <v>190</v>
      </c>
      <c r="CW43" s="319" t="s">
        <v>190</v>
      </c>
      <c r="CX43" s="319" t="s">
        <v>190</v>
      </c>
      <c r="CY43" s="319" t="s">
        <v>190</v>
      </c>
      <c r="CZ43" s="319" t="s">
        <v>190</v>
      </c>
      <c r="DA43" s="319" t="s">
        <v>190</v>
      </c>
      <c r="DB43" s="319" t="s">
        <v>190</v>
      </c>
      <c r="DC43" s="319" t="s">
        <v>190</v>
      </c>
      <c r="DD43" s="319" t="s">
        <v>190</v>
      </c>
      <c r="DE43" s="319" t="s">
        <v>190</v>
      </c>
      <c r="DF43" s="319" t="s">
        <v>190</v>
      </c>
      <c r="DG43" s="319" t="s">
        <v>190</v>
      </c>
      <c r="DH43" s="319" t="s">
        <v>190</v>
      </c>
      <c r="DI43" s="319" t="s">
        <v>190</v>
      </c>
      <c r="DJ43" s="319" t="s">
        <v>190</v>
      </c>
      <c r="DK43" s="319" t="s">
        <v>190</v>
      </c>
      <c r="DL43" s="319" t="s">
        <v>190</v>
      </c>
      <c r="DM43" s="319" t="s">
        <v>190</v>
      </c>
      <c r="DN43" s="319" t="s">
        <v>428</v>
      </c>
      <c r="DO43" s="319" t="s">
        <v>190</v>
      </c>
      <c r="DP43" s="319" t="s">
        <v>190</v>
      </c>
      <c r="DQ43" s="319" t="s">
        <v>190</v>
      </c>
      <c r="DR43" s="319" t="s">
        <v>190</v>
      </c>
      <c r="DS43" s="319" t="s">
        <v>190</v>
      </c>
      <c r="DT43" s="319" t="s">
        <v>190</v>
      </c>
      <c r="DU43" s="319" t="s">
        <v>190</v>
      </c>
      <c r="DV43" s="319" t="s">
        <v>173</v>
      </c>
      <c r="DW43" s="319" t="s">
        <v>190</v>
      </c>
      <c r="DX43" s="319" t="s">
        <v>190</v>
      </c>
      <c r="DY43" s="319" t="s">
        <v>190</v>
      </c>
      <c r="DZ43" s="319" t="s">
        <v>190</v>
      </c>
      <c r="EA43" s="319" t="s">
        <v>190</v>
      </c>
      <c r="EB43" s="319" t="s">
        <v>190</v>
      </c>
      <c r="EC43" s="319" t="s">
        <v>428</v>
      </c>
      <c r="ED43" s="319" t="s">
        <v>428</v>
      </c>
      <c r="EE43" s="319" t="s">
        <v>190</v>
      </c>
      <c r="EF43" s="319" t="s">
        <v>190</v>
      </c>
      <c r="EG43" s="319" t="s">
        <v>190</v>
      </c>
      <c r="EH43" s="319" t="s">
        <v>190</v>
      </c>
      <c r="EI43" s="319" t="s">
        <v>190</v>
      </c>
      <c r="EJ43" s="319" t="s">
        <v>190</v>
      </c>
      <c r="EK43" s="319" t="s">
        <v>190</v>
      </c>
      <c r="EL43" s="319" t="s">
        <v>190</v>
      </c>
      <c r="EM43" s="319" t="s">
        <v>190</v>
      </c>
      <c r="EN43" s="319" t="s">
        <v>190</v>
      </c>
      <c r="EO43" s="319" t="s">
        <v>190</v>
      </c>
      <c r="EP43" s="319" t="s">
        <v>190</v>
      </c>
      <c r="EQ43" s="319" t="s">
        <v>190</v>
      </c>
      <c r="ER43" s="319" t="s">
        <v>190</v>
      </c>
      <c r="ES43" s="319" t="s">
        <v>190</v>
      </c>
      <c r="ET43" s="319" t="s">
        <v>190</v>
      </c>
      <c r="EU43" s="319" t="s">
        <v>190</v>
      </c>
      <c r="EV43" s="319" t="s">
        <v>190</v>
      </c>
      <c r="EW43" s="319" t="s">
        <v>190</v>
      </c>
      <c r="EX43" s="319" t="s">
        <v>190</v>
      </c>
      <c r="EY43" s="319" t="s">
        <v>190</v>
      </c>
      <c r="EZ43" s="319" t="s">
        <v>190</v>
      </c>
      <c r="FA43" s="319" t="s">
        <v>190</v>
      </c>
      <c r="FB43" s="319" t="s">
        <v>190</v>
      </c>
      <c r="FC43" s="319" t="s">
        <v>190</v>
      </c>
      <c r="FD43" s="319" t="s">
        <v>190</v>
      </c>
      <c r="FE43" s="319" t="s">
        <v>190</v>
      </c>
      <c r="FF43" s="319" t="s">
        <v>190</v>
      </c>
      <c r="FG43" s="319" t="s">
        <v>190</v>
      </c>
      <c r="FH43" s="319" t="s">
        <v>190</v>
      </c>
      <c r="FI43" s="319" t="s">
        <v>190</v>
      </c>
      <c r="FJ43" s="319" t="s">
        <v>190</v>
      </c>
      <c r="FK43" s="319" t="s">
        <v>190</v>
      </c>
      <c r="FL43" s="319" t="s">
        <v>190</v>
      </c>
      <c r="FM43" s="319" t="s">
        <v>190</v>
      </c>
      <c r="FN43" s="319" t="s">
        <v>190</v>
      </c>
      <c r="FO43" s="319" t="s">
        <v>190</v>
      </c>
      <c r="FP43" s="319" t="s">
        <v>190</v>
      </c>
      <c r="FQ43" s="319" t="s">
        <v>190</v>
      </c>
      <c r="FR43" s="319" t="s">
        <v>190</v>
      </c>
      <c r="FS43" s="319" t="s">
        <v>428</v>
      </c>
      <c r="FT43" s="319" t="s">
        <v>190</v>
      </c>
      <c r="FU43" s="319" t="s">
        <v>190</v>
      </c>
      <c r="FV43" s="319" t="s">
        <v>190</v>
      </c>
      <c r="FW43" s="319" t="s">
        <v>190</v>
      </c>
      <c r="FX43" s="319" t="s">
        <v>190</v>
      </c>
      <c r="FY43" s="319" t="s">
        <v>190</v>
      </c>
      <c r="FZ43" s="319" t="s">
        <v>190</v>
      </c>
      <c r="GA43" s="319" t="s">
        <v>190</v>
      </c>
      <c r="GB43" s="319" t="s">
        <v>190</v>
      </c>
      <c r="GC43" s="319" t="s">
        <v>190</v>
      </c>
      <c r="GD43" s="319" t="s">
        <v>190</v>
      </c>
      <c r="GE43" s="319" t="s">
        <v>190</v>
      </c>
      <c r="GF43" s="319" t="s">
        <v>190</v>
      </c>
      <c r="GG43" s="319" t="s">
        <v>190</v>
      </c>
      <c r="GH43" s="319" t="s">
        <v>190</v>
      </c>
      <c r="GI43" s="319" t="s">
        <v>190</v>
      </c>
      <c r="GJ43" s="319" t="s">
        <v>190</v>
      </c>
      <c r="GK43" s="319" t="s">
        <v>428</v>
      </c>
      <c r="GL43" s="319" t="s">
        <v>190</v>
      </c>
      <c r="GM43" s="319" t="s">
        <v>190</v>
      </c>
      <c r="GN43" s="319" t="s">
        <v>190</v>
      </c>
      <c r="GO43" s="319" t="s">
        <v>190</v>
      </c>
      <c r="GP43" s="319" t="s">
        <v>190</v>
      </c>
      <c r="GQ43" s="319" t="s">
        <v>428</v>
      </c>
      <c r="GR43" s="319" t="s">
        <v>190</v>
      </c>
      <c r="GS43" s="319" t="s">
        <v>190</v>
      </c>
      <c r="GT43" s="319" t="s">
        <v>428</v>
      </c>
      <c r="GU43" s="319" t="s">
        <v>428</v>
      </c>
      <c r="GV43" s="319" t="s">
        <v>428</v>
      </c>
      <c r="GW43" s="319" t="s">
        <v>190</v>
      </c>
      <c r="GX43" s="319" t="s">
        <v>190</v>
      </c>
      <c r="GY43" s="319" t="s">
        <v>190</v>
      </c>
      <c r="GZ43" s="319" t="s">
        <v>428</v>
      </c>
      <c r="HA43" s="319" t="s">
        <v>190</v>
      </c>
      <c r="HB43" s="319" t="s">
        <v>190</v>
      </c>
      <c r="HC43" s="319" t="s">
        <v>190</v>
      </c>
      <c r="HD43" s="319" t="s">
        <v>190</v>
      </c>
      <c r="HE43" s="319" t="s">
        <v>190</v>
      </c>
      <c r="HF43" s="319" t="s">
        <v>190</v>
      </c>
      <c r="HG43" s="319" t="s">
        <v>190</v>
      </c>
      <c r="HH43" s="319" t="s">
        <v>190</v>
      </c>
      <c r="HI43" s="319" t="s">
        <v>190</v>
      </c>
      <c r="HJ43" s="319" t="s">
        <v>190</v>
      </c>
      <c r="HK43" s="319" t="s">
        <v>190</v>
      </c>
      <c r="HL43" s="319" t="s">
        <v>428</v>
      </c>
      <c r="HM43" s="319" t="s">
        <v>428</v>
      </c>
      <c r="HN43" s="319" t="s">
        <v>428</v>
      </c>
      <c r="HO43" s="319" t="s">
        <v>428</v>
      </c>
      <c r="HP43" s="319" t="s">
        <v>190</v>
      </c>
      <c r="HQ43" s="319" t="s">
        <v>190</v>
      </c>
      <c r="HR43" s="319" t="s">
        <v>190</v>
      </c>
      <c r="HS43" s="319" t="s">
        <v>190</v>
      </c>
      <c r="HT43" s="319" t="s">
        <v>190</v>
      </c>
      <c r="HU43" s="319" t="s">
        <v>190</v>
      </c>
      <c r="HV43" s="319" t="s">
        <v>190</v>
      </c>
      <c r="HW43" s="319" t="s">
        <v>190</v>
      </c>
      <c r="HX43" s="319" t="s">
        <v>190</v>
      </c>
      <c r="HY43" s="319" t="s">
        <v>190</v>
      </c>
      <c r="HZ43" s="319" t="s">
        <v>190</v>
      </c>
      <c r="IA43" s="319" t="s">
        <v>190</v>
      </c>
      <c r="IB43" s="319" t="s">
        <v>190</v>
      </c>
      <c r="IC43" s="319" t="s">
        <v>190</v>
      </c>
      <c r="ID43" s="319" t="s">
        <v>190</v>
      </c>
      <c r="IE43" s="319" t="s">
        <v>190</v>
      </c>
      <c r="IF43" s="319" t="s">
        <v>190</v>
      </c>
      <c r="IG43" s="319" t="s">
        <v>190</v>
      </c>
      <c r="IH43" s="319" t="s">
        <v>190</v>
      </c>
      <c r="II43" s="319" t="s">
        <v>190</v>
      </c>
      <c r="IJ43" s="319" t="s">
        <v>2813</v>
      </c>
      <c r="IK43" s="321">
        <v>41324</v>
      </c>
      <c r="IL43" s="321">
        <v>41326</v>
      </c>
      <c r="IM43" s="321">
        <v>41346</v>
      </c>
      <c r="IN43" s="319">
        <v>1</v>
      </c>
      <c r="IO43" s="319" t="s">
        <v>173</v>
      </c>
      <c r="IP43" s="319" t="s">
        <v>173</v>
      </c>
      <c r="IQ43" s="319" t="s">
        <v>173</v>
      </c>
      <c r="IR43" s="320" t="s">
        <v>173</v>
      </c>
      <c r="IS43" s="320" t="s">
        <v>173</v>
      </c>
      <c r="IT43" s="319" t="s">
        <v>173</v>
      </c>
    </row>
    <row r="44" spans="1:254" s="271" customFormat="1" x14ac:dyDescent="0.25">
      <c r="A44" s="318" t="str">
        <f>HYPERLINK("http://www.ofsted.gov.uk/inspection-reports/find-inspection-report/provider/ELS/101174 ","Ofsted School Webpage")</f>
        <v>Ofsted School Webpage</v>
      </c>
      <c r="B44" s="319">
        <v>101174</v>
      </c>
      <c r="C44" s="319">
        <v>2136333</v>
      </c>
      <c r="D44" s="319" t="s">
        <v>1269</v>
      </c>
      <c r="E44" s="319" t="s">
        <v>167</v>
      </c>
      <c r="F44" s="319" t="s">
        <v>81</v>
      </c>
      <c r="G44" s="319" t="s">
        <v>81</v>
      </c>
      <c r="H44" s="319" t="s">
        <v>81</v>
      </c>
      <c r="I44" s="319" t="s">
        <v>78</v>
      </c>
      <c r="J44" s="319" t="s">
        <v>424</v>
      </c>
      <c r="K44" s="319" t="s">
        <v>441</v>
      </c>
      <c r="L44" s="319" t="s">
        <v>441</v>
      </c>
      <c r="M44" s="319" t="s">
        <v>582</v>
      </c>
      <c r="N44" s="319" t="s">
        <v>2812</v>
      </c>
      <c r="O44" s="319" t="s">
        <v>1270</v>
      </c>
      <c r="P44" s="319">
        <v>51</v>
      </c>
      <c r="Q44" s="319" t="s">
        <v>2766</v>
      </c>
      <c r="R44" s="320">
        <v>10020767</v>
      </c>
      <c r="S44" s="321">
        <v>43235</v>
      </c>
      <c r="T44" s="321">
        <v>43237</v>
      </c>
      <c r="U44" s="321">
        <v>43266</v>
      </c>
      <c r="V44" s="319" t="s">
        <v>425</v>
      </c>
      <c r="W44" s="319" t="s">
        <v>2767</v>
      </c>
      <c r="X44" s="319">
        <v>2</v>
      </c>
      <c r="Y44" s="319" t="s">
        <v>173</v>
      </c>
      <c r="Z44" s="319" t="s">
        <v>173</v>
      </c>
      <c r="AA44" s="319" t="s">
        <v>173</v>
      </c>
      <c r="AB44" s="319">
        <v>2</v>
      </c>
      <c r="AC44" s="319" t="s">
        <v>169</v>
      </c>
      <c r="AD44" s="319">
        <v>1</v>
      </c>
      <c r="AE44" s="319" t="s">
        <v>173</v>
      </c>
      <c r="AF44" s="319" t="s">
        <v>427</v>
      </c>
      <c r="AG44" s="319" t="s">
        <v>171</v>
      </c>
      <c r="AH44" s="319" t="s">
        <v>190</v>
      </c>
      <c r="AI44" s="319" t="s">
        <v>190</v>
      </c>
      <c r="AJ44" s="319" t="s">
        <v>190</v>
      </c>
      <c r="AK44" s="319" t="s">
        <v>190</v>
      </c>
      <c r="AL44" s="319" t="s">
        <v>190</v>
      </c>
      <c r="AM44" s="319" t="s">
        <v>190</v>
      </c>
      <c r="AN44" s="319" t="s">
        <v>190</v>
      </c>
      <c r="AO44" s="319" t="s">
        <v>190</v>
      </c>
      <c r="AP44" s="319" t="s">
        <v>190</v>
      </c>
      <c r="AQ44" s="319" t="s">
        <v>190</v>
      </c>
      <c r="AR44" s="319" t="s">
        <v>190</v>
      </c>
      <c r="AS44" s="319" t="s">
        <v>190</v>
      </c>
      <c r="AT44" s="319" t="s">
        <v>190</v>
      </c>
      <c r="AU44" s="319" t="s">
        <v>190</v>
      </c>
      <c r="AV44" s="319" t="s">
        <v>428</v>
      </c>
      <c r="AW44" s="319" t="s">
        <v>190</v>
      </c>
      <c r="AX44" s="319" t="s">
        <v>428</v>
      </c>
      <c r="AY44" s="319" t="s">
        <v>190</v>
      </c>
      <c r="AZ44" s="319" t="s">
        <v>190</v>
      </c>
      <c r="BA44" s="319" t="s">
        <v>190</v>
      </c>
      <c r="BB44" s="319" t="s">
        <v>428</v>
      </c>
      <c r="BC44" s="319" t="s">
        <v>190</v>
      </c>
      <c r="BD44" s="319" t="s">
        <v>190</v>
      </c>
      <c r="BE44" s="319" t="s">
        <v>190</v>
      </c>
      <c r="BF44" s="319" t="s">
        <v>428</v>
      </c>
      <c r="BG44" s="319" t="s">
        <v>428</v>
      </c>
      <c r="BH44" s="319" t="s">
        <v>190</v>
      </c>
      <c r="BI44" s="319" t="s">
        <v>190</v>
      </c>
      <c r="BJ44" s="319" t="s">
        <v>190</v>
      </c>
      <c r="BK44" s="319" t="s">
        <v>190</v>
      </c>
      <c r="BL44" s="319" t="s">
        <v>190</v>
      </c>
      <c r="BM44" s="319" t="s">
        <v>190</v>
      </c>
      <c r="BN44" s="319" t="s">
        <v>190</v>
      </c>
      <c r="BO44" s="319" t="s">
        <v>190</v>
      </c>
      <c r="BP44" s="319" t="s">
        <v>190</v>
      </c>
      <c r="BQ44" s="319" t="s">
        <v>190</v>
      </c>
      <c r="BR44" s="319" t="s">
        <v>190</v>
      </c>
      <c r="BS44" s="319" t="s">
        <v>190</v>
      </c>
      <c r="BT44" s="319" t="s">
        <v>190</v>
      </c>
      <c r="BU44" s="319" t="s">
        <v>190</v>
      </c>
      <c r="BV44" s="319" t="s">
        <v>190</v>
      </c>
      <c r="BW44" s="319" t="s">
        <v>190</v>
      </c>
      <c r="BX44" s="319" t="s">
        <v>190</v>
      </c>
      <c r="BY44" s="319" t="s">
        <v>190</v>
      </c>
      <c r="BZ44" s="319" t="s">
        <v>190</v>
      </c>
      <c r="CA44" s="319" t="s">
        <v>190</v>
      </c>
      <c r="CB44" s="319" t="s">
        <v>190</v>
      </c>
      <c r="CC44" s="319" t="s">
        <v>190</v>
      </c>
      <c r="CD44" s="319" t="s">
        <v>190</v>
      </c>
      <c r="CE44" s="319" t="s">
        <v>190</v>
      </c>
      <c r="CF44" s="319" t="s">
        <v>190</v>
      </c>
      <c r="CG44" s="319" t="s">
        <v>190</v>
      </c>
      <c r="CH44" s="319" t="s">
        <v>190</v>
      </c>
      <c r="CI44" s="319" t="s">
        <v>190</v>
      </c>
      <c r="CJ44" s="319" t="s">
        <v>190</v>
      </c>
      <c r="CK44" s="319" t="s">
        <v>190</v>
      </c>
      <c r="CL44" s="319" t="s">
        <v>190</v>
      </c>
      <c r="CM44" s="319" t="s">
        <v>190</v>
      </c>
      <c r="CN44" s="319" t="s">
        <v>428</v>
      </c>
      <c r="CO44" s="319" t="s">
        <v>428</v>
      </c>
      <c r="CP44" s="319" t="s">
        <v>428</v>
      </c>
      <c r="CQ44" s="319" t="s">
        <v>190</v>
      </c>
      <c r="CR44" s="319" t="s">
        <v>190</v>
      </c>
      <c r="CS44" s="319" t="s">
        <v>190</v>
      </c>
      <c r="CT44" s="319" t="s">
        <v>190</v>
      </c>
      <c r="CU44" s="319" t="s">
        <v>190</v>
      </c>
      <c r="CV44" s="319" t="s">
        <v>190</v>
      </c>
      <c r="CW44" s="319" t="s">
        <v>190</v>
      </c>
      <c r="CX44" s="319" t="s">
        <v>190</v>
      </c>
      <c r="CY44" s="319" t="s">
        <v>190</v>
      </c>
      <c r="CZ44" s="319" t="s">
        <v>190</v>
      </c>
      <c r="DA44" s="319" t="s">
        <v>190</v>
      </c>
      <c r="DB44" s="319" t="s">
        <v>190</v>
      </c>
      <c r="DC44" s="319" t="s">
        <v>190</v>
      </c>
      <c r="DD44" s="319" t="s">
        <v>190</v>
      </c>
      <c r="DE44" s="319" t="s">
        <v>190</v>
      </c>
      <c r="DF44" s="319" t="s">
        <v>190</v>
      </c>
      <c r="DG44" s="319" t="s">
        <v>190</v>
      </c>
      <c r="DH44" s="319" t="s">
        <v>190</v>
      </c>
      <c r="DI44" s="319" t="s">
        <v>190</v>
      </c>
      <c r="DJ44" s="319" t="s">
        <v>190</v>
      </c>
      <c r="DK44" s="319" t="s">
        <v>190</v>
      </c>
      <c r="DL44" s="319" t="s">
        <v>190</v>
      </c>
      <c r="DM44" s="319" t="s">
        <v>190</v>
      </c>
      <c r="DN44" s="319" t="s">
        <v>428</v>
      </c>
      <c r="DO44" s="319" t="s">
        <v>190</v>
      </c>
      <c r="DP44" s="319" t="s">
        <v>190</v>
      </c>
      <c r="DQ44" s="319" t="s">
        <v>190</v>
      </c>
      <c r="DR44" s="319" t="s">
        <v>190</v>
      </c>
      <c r="DS44" s="319" t="s">
        <v>190</v>
      </c>
      <c r="DT44" s="319" t="s">
        <v>190</v>
      </c>
      <c r="DU44" s="319" t="s">
        <v>190</v>
      </c>
      <c r="DV44" s="319" t="s">
        <v>173</v>
      </c>
      <c r="DW44" s="319" t="s">
        <v>190</v>
      </c>
      <c r="DX44" s="319" t="s">
        <v>190</v>
      </c>
      <c r="DY44" s="319" t="s">
        <v>190</v>
      </c>
      <c r="DZ44" s="319" t="s">
        <v>190</v>
      </c>
      <c r="EA44" s="319" t="s">
        <v>190</v>
      </c>
      <c r="EB44" s="319" t="s">
        <v>190</v>
      </c>
      <c r="EC44" s="319" t="s">
        <v>428</v>
      </c>
      <c r="ED44" s="319" t="s">
        <v>190</v>
      </c>
      <c r="EE44" s="319" t="s">
        <v>190</v>
      </c>
      <c r="EF44" s="319" t="s">
        <v>190</v>
      </c>
      <c r="EG44" s="319" t="s">
        <v>190</v>
      </c>
      <c r="EH44" s="319" t="s">
        <v>190</v>
      </c>
      <c r="EI44" s="319" t="s">
        <v>190</v>
      </c>
      <c r="EJ44" s="319" t="s">
        <v>190</v>
      </c>
      <c r="EK44" s="319" t="s">
        <v>190</v>
      </c>
      <c r="EL44" s="319" t="s">
        <v>190</v>
      </c>
      <c r="EM44" s="319" t="s">
        <v>190</v>
      </c>
      <c r="EN44" s="319" t="s">
        <v>190</v>
      </c>
      <c r="EO44" s="319" t="s">
        <v>190</v>
      </c>
      <c r="EP44" s="319" t="s">
        <v>190</v>
      </c>
      <c r="EQ44" s="319" t="s">
        <v>190</v>
      </c>
      <c r="ER44" s="319" t="s">
        <v>190</v>
      </c>
      <c r="ES44" s="319" t="s">
        <v>190</v>
      </c>
      <c r="ET44" s="319" t="s">
        <v>190</v>
      </c>
      <c r="EU44" s="319" t="s">
        <v>190</v>
      </c>
      <c r="EV44" s="319" t="s">
        <v>190</v>
      </c>
      <c r="EW44" s="319" t="s">
        <v>190</v>
      </c>
      <c r="EX44" s="319" t="s">
        <v>190</v>
      </c>
      <c r="EY44" s="319" t="s">
        <v>190</v>
      </c>
      <c r="EZ44" s="319" t="s">
        <v>190</v>
      </c>
      <c r="FA44" s="319" t="s">
        <v>190</v>
      </c>
      <c r="FB44" s="319" t="s">
        <v>190</v>
      </c>
      <c r="FC44" s="319" t="s">
        <v>190</v>
      </c>
      <c r="FD44" s="319" t="s">
        <v>190</v>
      </c>
      <c r="FE44" s="319" t="s">
        <v>190</v>
      </c>
      <c r="FF44" s="319" t="s">
        <v>190</v>
      </c>
      <c r="FG44" s="319" t="s">
        <v>190</v>
      </c>
      <c r="FH44" s="319" t="s">
        <v>190</v>
      </c>
      <c r="FI44" s="319" t="s">
        <v>190</v>
      </c>
      <c r="FJ44" s="319" t="s">
        <v>190</v>
      </c>
      <c r="FK44" s="319" t="s">
        <v>190</v>
      </c>
      <c r="FL44" s="319" t="s">
        <v>190</v>
      </c>
      <c r="FM44" s="319" t="s">
        <v>190</v>
      </c>
      <c r="FN44" s="319" t="s">
        <v>428</v>
      </c>
      <c r="FO44" s="319" t="s">
        <v>428</v>
      </c>
      <c r="FP44" s="319" t="s">
        <v>190</v>
      </c>
      <c r="FQ44" s="319" t="s">
        <v>190</v>
      </c>
      <c r="FR44" s="319" t="s">
        <v>190</v>
      </c>
      <c r="FS44" s="319" t="s">
        <v>428</v>
      </c>
      <c r="FT44" s="319" t="s">
        <v>190</v>
      </c>
      <c r="FU44" s="319" t="s">
        <v>190</v>
      </c>
      <c r="FV44" s="319" t="s">
        <v>190</v>
      </c>
      <c r="FW44" s="319" t="s">
        <v>190</v>
      </c>
      <c r="FX44" s="319" t="s">
        <v>190</v>
      </c>
      <c r="FY44" s="319" t="s">
        <v>190</v>
      </c>
      <c r="FZ44" s="319" t="s">
        <v>190</v>
      </c>
      <c r="GA44" s="319" t="s">
        <v>190</v>
      </c>
      <c r="GB44" s="319" t="s">
        <v>190</v>
      </c>
      <c r="GC44" s="319" t="s">
        <v>190</v>
      </c>
      <c r="GD44" s="319" t="s">
        <v>190</v>
      </c>
      <c r="GE44" s="319" t="s">
        <v>190</v>
      </c>
      <c r="GF44" s="319" t="s">
        <v>190</v>
      </c>
      <c r="GG44" s="319" t="s">
        <v>190</v>
      </c>
      <c r="GH44" s="319" t="s">
        <v>190</v>
      </c>
      <c r="GI44" s="319" t="s">
        <v>190</v>
      </c>
      <c r="GJ44" s="319" t="s">
        <v>190</v>
      </c>
      <c r="GK44" s="319" t="s">
        <v>428</v>
      </c>
      <c r="GL44" s="319" t="s">
        <v>190</v>
      </c>
      <c r="GM44" s="319" t="s">
        <v>190</v>
      </c>
      <c r="GN44" s="319" t="s">
        <v>190</v>
      </c>
      <c r="GO44" s="319" t="s">
        <v>190</v>
      </c>
      <c r="GP44" s="319" t="s">
        <v>190</v>
      </c>
      <c r="GQ44" s="319" t="s">
        <v>428</v>
      </c>
      <c r="GR44" s="319" t="s">
        <v>190</v>
      </c>
      <c r="GS44" s="319" t="s">
        <v>190</v>
      </c>
      <c r="GT44" s="319" t="s">
        <v>428</v>
      </c>
      <c r="GU44" s="319" t="s">
        <v>428</v>
      </c>
      <c r="GV44" s="319" t="s">
        <v>190</v>
      </c>
      <c r="GW44" s="319" t="s">
        <v>190</v>
      </c>
      <c r="GX44" s="319" t="s">
        <v>190</v>
      </c>
      <c r="GY44" s="319" t="s">
        <v>190</v>
      </c>
      <c r="GZ44" s="319" t="s">
        <v>190</v>
      </c>
      <c r="HA44" s="319" t="s">
        <v>428</v>
      </c>
      <c r="HB44" s="319" t="s">
        <v>190</v>
      </c>
      <c r="HC44" s="319" t="s">
        <v>190</v>
      </c>
      <c r="HD44" s="319" t="s">
        <v>190</v>
      </c>
      <c r="HE44" s="319" t="s">
        <v>190</v>
      </c>
      <c r="HF44" s="319" t="s">
        <v>190</v>
      </c>
      <c r="HG44" s="319" t="s">
        <v>190</v>
      </c>
      <c r="HH44" s="319" t="s">
        <v>190</v>
      </c>
      <c r="HI44" s="319" t="s">
        <v>190</v>
      </c>
      <c r="HJ44" s="319" t="s">
        <v>190</v>
      </c>
      <c r="HK44" s="319" t="s">
        <v>190</v>
      </c>
      <c r="HL44" s="319" t="s">
        <v>428</v>
      </c>
      <c r="HM44" s="319" t="s">
        <v>428</v>
      </c>
      <c r="HN44" s="319" t="s">
        <v>428</v>
      </c>
      <c r="HO44" s="319" t="s">
        <v>428</v>
      </c>
      <c r="HP44" s="319" t="s">
        <v>190</v>
      </c>
      <c r="HQ44" s="319" t="s">
        <v>190</v>
      </c>
      <c r="HR44" s="319" t="s">
        <v>190</v>
      </c>
      <c r="HS44" s="319" t="s">
        <v>190</v>
      </c>
      <c r="HT44" s="319" t="s">
        <v>190</v>
      </c>
      <c r="HU44" s="319" t="s">
        <v>190</v>
      </c>
      <c r="HV44" s="319" t="s">
        <v>190</v>
      </c>
      <c r="HW44" s="319" t="s">
        <v>190</v>
      </c>
      <c r="HX44" s="319" t="s">
        <v>190</v>
      </c>
      <c r="HY44" s="319" t="s">
        <v>190</v>
      </c>
      <c r="HZ44" s="319" t="s">
        <v>190</v>
      </c>
      <c r="IA44" s="319" t="s">
        <v>190</v>
      </c>
      <c r="IB44" s="319" t="s">
        <v>190</v>
      </c>
      <c r="IC44" s="319" t="s">
        <v>190</v>
      </c>
      <c r="ID44" s="319" t="s">
        <v>190</v>
      </c>
      <c r="IE44" s="319" t="s">
        <v>190</v>
      </c>
      <c r="IF44" s="319" t="s">
        <v>190</v>
      </c>
      <c r="IG44" s="319" t="s">
        <v>190</v>
      </c>
      <c r="IH44" s="319" t="s">
        <v>190</v>
      </c>
      <c r="II44" s="319" t="s">
        <v>190</v>
      </c>
      <c r="IJ44" s="319" t="s">
        <v>2814</v>
      </c>
      <c r="IK44" s="321">
        <v>40870</v>
      </c>
      <c r="IL44" s="321">
        <v>40871</v>
      </c>
      <c r="IM44" s="321">
        <v>40922</v>
      </c>
      <c r="IN44" s="319">
        <v>2</v>
      </c>
      <c r="IO44" s="319" t="s">
        <v>173</v>
      </c>
      <c r="IP44" s="319" t="s">
        <v>173</v>
      </c>
      <c r="IQ44" s="321" t="s">
        <v>173</v>
      </c>
      <c r="IR44" s="320" t="s">
        <v>173</v>
      </c>
      <c r="IS44" s="322" t="s">
        <v>173</v>
      </c>
      <c r="IT44" s="319" t="s">
        <v>173</v>
      </c>
    </row>
    <row r="45" spans="1:254" s="271" customFormat="1" x14ac:dyDescent="0.25">
      <c r="A45" s="318" t="str">
        <f>HYPERLINK("http://www.ofsted.gov.uk/inspection-reports/find-inspection-report/provider/ELS/101175 ","Ofsted School Webpage")</f>
        <v>Ofsted School Webpage</v>
      </c>
      <c r="B45" s="319">
        <v>101175</v>
      </c>
      <c r="C45" s="319">
        <v>2126408</v>
      </c>
      <c r="D45" s="319" t="s">
        <v>1271</v>
      </c>
      <c r="E45" s="319" t="s">
        <v>168</v>
      </c>
      <c r="F45" s="319" t="s">
        <v>81</v>
      </c>
      <c r="G45" s="319" t="s">
        <v>81</v>
      </c>
      <c r="H45" s="319" t="s">
        <v>81</v>
      </c>
      <c r="I45" s="319" t="s">
        <v>78</v>
      </c>
      <c r="J45" s="319" t="s">
        <v>424</v>
      </c>
      <c r="K45" s="319" t="s">
        <v>441</v>
      </c>
      <c r="L45" s="319" t="s">
        <v>441</v>
      </c>
      <c r="M45" s="319" t="s">
        <v>745</v>
      </c>
      <c r="N45" s="319" t="s">
        <v>2793</v>
      </c>
      <c r="O45" s="319" t="s">
        <v>1272</v>
      </c>
      <c r="P45" s="319">
        <v>45</v>
      </c>
      <c r="Q45" s="319" t="s">
        <v>2776</v>
      </c>
      <c r="R45" s="320">
        <v>10048713</v>
      </c>
      <c r="S45" s="321">
        <v>43256</v>
      </c>
      <c r="T45" s="321">
        <v>43258</v>
      </c>
      <c r="U45" s="321">
        <v>43283</v>
      </c>
      <c r="V45" s="319" t="s">
        <v>425</v>
      </c>
      <c r="W45" s="319" t="s">
        <v>2767</v>
      </c>
      <c r="X45" s="319">
        <v>2</v>
      </c>
      <c r="Y45" s="319" t="s">
        <v>173</v>
      </c>
      <c r="Z45" s="319" t="s">
        <v>173</v>
      </c>
      <c r="AA45" s="319" t="s">
        <v>173</v>
      </c>
      <c r="AB45" s="319">
        <v>2</v>
      </c>
      <c r="AC45" s="319" t="s">
        <v>169</v>
      </c>
      <c r="AD45" s="319" t="s">
        <v>173</v>
      </c>
      <c r="AE45" s="319">
        <v>2</v>
      </c>
      <c r="AF45" s="319" t="s">
        <v>427</v>
      </c>
      <c r="AG45" s="319" t="s">
        <v>171</v>
      </c>
      <c r="AH45" s="319" t="s">
        <v>190</v>
      </c>
      <c r="AI45" s="319" t="s">
        <v>190</v>
      </c>
      <c r="AJ45" s="319" t="s">
        <v>190</v>
      </c>
      <c r="AK45" s="319" t="s">
        <v>190</v>
      </c>
      <c r="AL45" s="319" t="s">
        <v>190</v>
      </c>
      <c r="AM45" s="319" t="s">
        <v>190</v>
      </c>
      <c r="AN45" s="319" t="s">
        <v>190</v>
      </c>
      <c r="AO45" s="319" t="s">
        <v>190</v>
      </c>
      <c r="AP45" s="319" t="s">
        <v>190</v>
      </c>
      <c r="AQ45" s="319" t="s">
        <v>190</v>
      </c>
      <c r="AR45" s="319" t="s">
        <v>190</v>
      </c>
      <c r="AS45" s="319" t="s">
        <v>190</v>
      </c>
      <c r="AT45" s="319" t="s">
        <v>190</v>
      </c>
      <c r="AU45" s="319" t="s">
        <v>190</v>
      </c>
      <c r="AV45" s="319" t="s">
        <v>190</v>
      </c>
      <c r="AW45" s="319" t="s">
        <v>190</v>
      </c>
      <c r="AX45" s="319" t="s">
        <v>428</v>
      </c>
      <c r="AY45" s="319" t="s">
        <v>190</v>
      </c>
      <c r="AZ45" s="319" t="s">
        <v>190</v>
      </c>
      <c r="BA45" s="319" t="s">
        <v>190</v>
      </c>
      <c r="BB45" s="319" t="s">
        <v>190</v>
      </c>
      <c r="BC45" s="319" t="s">
        <v>190</v>
      </c>
      <c r="BD45" s="319" t="s">
        <v>190</v>
      </c>
      <c r="BE45" s="319" t="s">
        <v>190</v>
      </c>
      <c r="BF45" s="319" t="s">
        <v>428</v>
      </c>
      <c r="BG45" s="319" t="s">
        <v>190</v>
      </c>
      <c r="BH45" s="319" t="s">
        <v>190</v>
      </c>
      <c r="BI45" s="319" t="s">
        <v>190</v>
      </c>
      <c r="BJ45" s="319" t="s">
        <v>190</v>
      </c>
      <c r="BK45" s="319" t="s">
        <v>190</v>
      </c>
      <c r="BL45" s="319" t="s">
        <v>190</v>
      </c>
      <c r="BM45" s="319" t="s">
        <v>190</v>
      </c>
      <c r="BN45" s="319" t="s">
        <v>190</v>
      </c>
      <c r="BO45" s="319" t="s">
        <v>190</v>
      </c>
      <c r="BP45" s="319" t="s">
        <v>190</v>
      </c>
      <c r="BQ45" s="319" t="s">
        <v>190</v>
      </c>
      <c r="BR45" s="319" t="s">
        <v>190</v>
      </c>
      <c r="BS45" s="319" t="s">
        <v>190</v>
      </c>
      <c r="BT45" s="319" t="s">
        <v>190</v>
      </c>
      <c r="BU45" s="319" t="s">
        <v>190</v>
      </c>
      <c r="BV45" s="319" t="s">
        <v>190</v>
      </c>
      <c r="BW45" s="319" t="s">
        <v>190</v>
      </c>
      <c r="BX45" s="319" t="s">
        <v>190</v>
      </c>
      <c r="BY45" s="319" t="s">
        <v>190</v>
      </c>
      <c r="BZ45" s="319" t="s">
        <v>190</v>
      </c>
      <c r="CA45" s="319" t="s">
        <v>190</v>
      </c>
      <c r="CB45" s="319" t="s">
        <v>190</v>
      </c>
      <c r="CC45" s="319" t="s">
        <v>190</v>
      </c>
      <c r="CD45" s="319" t="s">
        <v>190</v>
      </c>
      <c r="CE45" s="319" t="s">
        <v>190</v>
      </c>
      <c r="CF45" s="319" t="s">
        <v>190</v>
      </c>
      <c r="CG45" s="319" t="s">
        <v>190</v>
      </c>
      <c r="CH45" s="319" t="s">
        <v>190</v>
      </c>
      <c r="CI45" s="319" t="s">
        <v>190</v>
      </c>
      <c r="CJ45" s="319" t="s">
        <v>190</v>
      </c>
      <c r="CK45" s="319" t="s">
        <v>190</v>
      </c>
      <c r="CL45" s="319" t="s">
        <v>190</v>
      </c>
      <c r="CM45" s="319" t="s">
        <v>190</v>
      </c>
      <c r="CN45" s="319" t="s">
        <v>428</v>
      </c>
      <c r="CO45" s="319" t="s">
        <v>428</v>
      </c>
      <c r="CP45" s="319" t="s">
        <v>428</v>
      </c>
      <c r="CQ45" s="319" t="s">
        <v>190</v>
      </c>
      <c r="CR45" s="319" t="s">
        <v>190</v>
      </c>
      <c r="CS45" s="319" t="s">
        <v>190</v>
      </c>
      <c r="CT45" s="319" t="s">
        <v>190</v>
      </c>
      <c r="CU45" s="319" t="s">
        <v>190</v>
      </c>
      <c r="CV45" s="319" t="s">
        <v>190</v>
      </c>
      <c r="CW45" s="319" t="s">
        <v>190</v>
      </c>
      <c r="CX45" s="319" t="s">
        <v>190</v>
      </c>
      <c r="CY45" s="319" t="s">
        <v>190</v>
      </c>
      <c r="CZ45" s="319" t="s">
        <v>190</v>
      </c>
      <c r="DA45" s="319" t="s">
        <v>190</v>
      </c>
      <c r="DB45" s="319" t="s">
        <v>190</v>
      </c>
      <c r="DC45" s="319" t="s">
        <v>190</v>
      </c>
      <c r="DD45" s="319" t="s">
        <v>190</v>
      </c>
      <c r="DE45" s="319" t="s">
        <v>190</v>
      </c>
      <c r="DF45" s="319" t="s">
        <v>190</v>
      </c>
      <c r="DG45" s="319" t="s">
        <v>190</v>
      </c>
      <c r="DH45" s="319" t="s">
        <v>190</v>
      </c>
      <c r="DI45" s="319" t="s">
        <v>190</v>
      </c>
      <c r="DJ45" s="319" t="s">
        <v>190</v>
      </c>
      <c r="DK45" s="319" t="s">
        <v>190</v>
      </c>
      <c r="DL45" s="319" t="s">
        <v>190</v>
      </c>
      <c r="DM45" s="319" t="s">
        <v>190</v>
      </c>
      <c r="DN45" s="319" t="s">
        <v>428</v>
      </c>
      <c r="DO45" s="319" t="s">
        <v>190</v>
      </c>
      <c r="DP45" s="319" t="s">
        <v>428</v>
      </c>
      <c r="DQ45" s="319" t="s">
        <v>428</v>
      </c>
      <c r="DR45" s="319" t="s">
        <v>428</v>
      </c>
      <c r="DS45" s="319" t="s">
        <v>428</v>
      </c>
      <c r="DT45" s="319" t="s">
        <v>428</v>
      </c>
      <c r="DU45" s="319" t="s">
        <v>428</v>
      </c>
      <c r="DV45" s="319" t="s">
        <v>173</v>
      </c>
      <c r="DW45" s="319" t="s">
        <v>428</v>
      </c>
      <c r="DX45" s="319" t="s">
        <v>428</v>
      </c>
      <c r="DY45" s="319" t="s">
        <v>428</v>
      </c>
      <c r="DZ45" s="319" t="s">
        <v>428</v>
      </c>
      <c r="EA45" s="319" t="s">
        <v>428</v>
      </c>
      <c r="EB45" s="319" t="s">
        <v>428</v>
      </c>
      <c r="EC45" s="319" t="s">
        <v>428</v>
      </c>
      <c r="ED45" s="319" t="s">
        <v>428</v>
      </c>
      <c r="EE45" s="319" t="s">
        <v>190</v>
      </c>
      <c r="EF45" s="319" t="s">
        <v>190</v>
      </c>
      <c r="EG45" s="319" t="s">
        <v>190</v>
      </c>
      <c r="EH45" s="319" t="s">
        <v>190</v>
      </c>
      <c r="EI45" s="319" t="s">
        <v>190</v>
      </c>
      <c r="EJ45" s="319" t="s">
        <v>190</v>
      </c>
      <c r="EK45" s="319" t="s">
        <v>190</v>
      </c>
      <c r="EL45" s="319" t="s">
        <v>190</v>
      </c>
      <c r="EM45" s="319" t="s">
        <v>190</v>
      </c>
      <c r="EN45" s="319" t="s">
        <v>190</v>
      </c>
      <c r="EO45" s="319" t="s">
        <v>190</v>
      </c>
      <c r="EP45" s="319" t="s">
        <v>190</v>
      </c>
      <c r="EQ45" s="319" t="s">
        <v>190</v>
      </c>
      <c r="ER45" s="319" t="s">
        <v>190</v>
      </c>
      <c r="ES45" s="319" t="s">
        <v>190</v>
      </c>
      <c r="ET45" s="319" t="s">
        <v>190</v>
      </c>
      <c r="EU45" s="319" t="s">
        <v>190</v>
      </c>
      <c r="EV45" s="319" t="s">
        <v>190</v>
      </c>
      <c r="EW45" s="319" t="s">
        <v>190</v>
      </c>
      <c r="EX45" s="319" t="s">
        <v>190</v>
      </c>
      <c r="EY45" s="319" t="s">
        <v>190</v>
      </c>
      <c r="EZ45" s="319" t="s">
        <v>190</v>
      </c>
      <c r="FA45" s="319" t="s">
        <v>190</v>
      </c>
      <c r="FB45" s="319" t="s">
        <v>428</v>
      </c>
      <c r="FC45" s="319" t="s">
        <v>428</v>
      </c>
      <c r="FD45" s="319" t="s">
        <v>428</v>
      </c>
      <c r="FE45" s="319" t="s">
        <v>428</v>
      </c>
      <c r="FF45" s="319" t="s">
        <v>428</v>
      </c>
      <c r="FG45" s="319" t="s">
        <v>428</v>
      </c>
      <c r="FH45" s="319" t="s">
        <v>190</v>
      </c>
      <c r="FI45" s="319" t="s">
        <v>190</v>
      </c>
      <c r="FJ45" s="319" t="s">
        <v>190</v>
      </c>
      <c r="FK45" s="319" t="s">
        <v>190</v>
      </c>
      <c r="FL45" s="319" t="s">
        <v>190</v>
      </c>
      <c r="FM45" s="319" t="s">
        <v>190</v>
      </c>
      <c r="FN45" s="319" t="s">
        <v>190</v>
      </c>
      <c r="FO45" s="319" t="s">
        <v>190</v>
      </c>
      <c r="FP45" s="319" t="s">
        <v>190</v>
      </c>
      <c r="FQ45" s="319" t="s">
        <v>190</v>
      </c>
      <c r="FR45" s="319" t="s">
        <v>190</v>
      </c>
      <c r="FS45" s="319" t="s">
        <v>428</v>
      </c>
      <c r="FT45" s="319" t="s">
        <v>190</v>
      </c>
      <c r="FU45" s="319" t="s">
        <v>190</v>
      </c>
      <c r="FV45" s="319" t="s">
        <v>190</v>
      </c>
      <c r="FW45" s="319" t="s">
        <v>190</v>
      </c>
      <c r="FX45" s="319" t="s">
        <v>190</v>
      </c>
      <c r="FY45" s="319" t="s">
        <v>190</v>
      </c>
      <c r="FZ45" s="319" t="s">
        <v>190</v>
      </c>
      <c r="GA45" s="319" t="s">
        <v>190</v>
      </c>
      <c r="GB45" s="319" t="s">
        <v>190</v>
      </c>
      <c r="GC45" s="319" t="s">
        <v>190</v>
      </c>
      <c r="GD45" s="319" t="s">
        <v>190</v>
      </c>
      <c r="GE45" s="319" t="s">
        <v>190</v>
      </c>
      <c r="GF45" s="319" t="s">
        <v>190</v>
      </c>
      <c r="GG45" s="319" t="s">
        <v>190</v>
      </c>
      <c r="GH45" s="319" t="s">
        <v>190</v>
      </c>
      <c r="GI45" s="319" t="s">
        <v>190</v>
      </c>
      <c r="GJ45" s="319" t="s">
        <v>190</v>
      </c>
      <c r="GK45" s="319" t="s">
        <v>428</v>
      </c>
      <c r="GL45" s="319" t="s">
        <v>190</v>
      </c>
      <c r="GM45" s="319" t="s">
        <v>190</v>
      </c>
      <c r="GN45" s="319" t="s">
        <v>190</v>
      </c>
      <c r="GO45" s="319" t="s">
        <v>190</v>
      </c>
      <c r="GP45" s="319" t="s">
        <v>190</v>
      </c>
      <c r="GQ45" s="319" t="s">
        <v>428</v>
      </c>
      <c r="GR45" s="319" t="s">
        <v>190</v>
      </c>
      <c r="GS45" s="319" t="s">
        <v>190</v>
      </c>
      <c r="GT45" s="319" t="s">
        <v>190</v>
      </c>
      <c r="GU45" s="319" t="s">
        <v>190</v>
      </c>
      <c r="GV45" s="319" t="s">
        <v>190</v>
      </c>
      <c r="GW45" s="319" t="s">
        <v>190</v>
      </c>
      <c r="GX45" s="319" t="s">
        <v>190</v>
      </c>
      <c r="GY45" s="319" t="s">
        <v>190</v>
      </c>
      <c r="GZ45" s="319" t="s">
        <v>190</v>
      </c>
      <c r="HA45" s="319" t="s">
        <v>190</v>
      </c>
      <c r="HB45" s="319" t="s">
        <v>190</v>
      </c>
      <c r="HC45" s="319" t="s">
        <v>190</v>
      </c>
      <c r="HD45" s="319" t="s">
        <v>190</v>
      </c>
      <c r="HE45" s="319" t="s">
        <v>190</v>
      </c>
      <c r="HF45" s="319" t="s">
        <v>190</v>
      </c>
      <c r="HG45" s="319" t="s">
        <v>190</v>
      </c>
      <c r="HH45" s="319" t="s">
        <v>190</v>
      </c>
      <c r="HI45" s="319" t="s">
        <v>190</v>
      </c>
      <c r="HJ45" s="319" t="s">
        <v>190</v>
      </c>
      <c r="HK45" s="319" t="s">
        <v>190</v>
      </c>
      <c r="HL45" s="319" t="s">
        <v>190</v>
      </c>
      <c r="HM45" s="319" t="s">
        <v>190</v>
      </c>
      <c r="HN45" s="319" t="s">
        <v>190</v>
      </c>
      <c r="HO45" s="319" t="s">
        <v>190</v>
      </c>
      <c r="HP45" s="319" t="s">
        <v>190</v>
      </c>
      <c r="HQ45" s="319" t="s">
        <v>190</v>
      </c>
      <c r="HR45" s="319" t="s">
        <v>190</v>
      </c>
      <c r="HS45" s="319" t="s">
        <v>190</v>
      </c>
      <c r="HT45" s="319" t="s">
        <v>190</v>
      </c>
      <c r="HU45" s="319" t="s">
        <v>190</v>
      </c>
      <c r="HV45" s="319" t="s">
        <v>190</v>
      </c>
      <c r="HW45" s="319" t="s">
        <v>190</v>
      </c>
      <c r="HX45" s="319" t="s">
        <v>190</v>
      </c>
      <c r="HY45" s="319" t="s">
        <v>190</v>
      </c>
      <c r="HZ45" s="319" t="s">
        <v>190</v>
      </c>
      <c r="IA45" s="319" t="s">
        <v>190</v>
      </c>
      <c r="IB45" s="319" t="s">
        <v>190</v>
      </c>
      <c r="IC45" s="319" t="s">
        <v>190</v>
      </c>
      <c r="ID45" s="319" t="s">
        <v>190</v>
      </c>
      <c r="IE45" s="319" t="s">
        <v>190</v>
      </c>
      <c r="IF45" s="319" t="s">
        <v>190</v>
      </c>
      <c r="IG45" s="319" t="s">
        <v>190</v>
      </c>
      <c r="IH45" s="319" t="s">
        <v>190</v>
      </c>
      <c r="II45" s="319" t="s">
        <v>190</v>
      </c>
      <c r="IJ45" s="319" t="s">
        <v>2815</v>
      </c>
      <c r="IK45" s="321">
        <v>42136</v>
      </c>
      <c r="IL45" s="321">
        <v>42138</v>
      </c>
      <c r="IM45" s="321">
        <v>42174</v>
      </c>
      <c r="IN45" s="319">
        <v>2</v>
      </c>
      <c r="IO45" s="319" t="s">
        <v>173</v>
      </c>
      <c r="IP45" s="319" t="s">
        <v>173</v>
      </c>
      <c r="IQ45" s="319" t="s">
        <v>173</v>
      </c>
      <c r="IR45" s="320" t="s">
        <v>173</v>
      </c>
      <c r="IS45" s="320" t="s">
        <v>173</v>
      </c>
      <c r="IT45" s="319" t="s">
        <v>173</v>
      </c>
    </row>
    <row r="46" spans="1:254" s="271" customFormat="1" x14ac:dyDescent="0.25">
      <c r="A46" s="318" t="str">
        <f>HYPERLINK("http://www.ofsted.gov.uk/inspection-reports/find-inspection-report/provider/ELS/101377 ","Ofsted School Webpage")</f>
        <v>Ofsted School Webpage</v>
      </c>
      <c r="B46" s="319">
        <v>101377</v>
      </c>
      <c r="C46" s="319">
        <v>3026063</v>
      </c>
      <c r="D46" s="319" t="s">
        <v>1273</v>
      </c>
      <c r="E46" s="319" t="s">
        <v>167</v>
      </c>
      <c r="F46" s="319" t="s">
        <v>81</v>
      </c>
      <c r="G46" s="319" t="s">
        <v>81</v>
      </c>
      <c r="H46" s="319" t="s">
        <v>81</v>
      </c>
      <c r="I46" s="319" t="s">
        <v>78</v>
      </c>
      <c r="J46" s="319" t="s">
        <v>424</v>
      </c>
      <c r="K46" s="319" t="s">
        <v>441</v>
      </c>
      <c r="L46" s="319" t="s">
        <v>441</v>
      </c>
      <c r="M46" s="319" t="s">
        <v>544</v>
      </c>
      <c r="N46" s="319" t="s">
        <v>2816</v>
      </c>
      <c r="O46" s="319" t="s">
        <v>1274</v>
      </c>
      <c r="P46" s="319">
        <v>89</v>
      </c>
      <c r="Q46" s="319" t="s">
        <v>2766</v>
      </c>
      <c r="R46" s="320">
        <v>10035779</v>
      </c>
      <c r="S46" s="321">
        <v>43158</v>
      </c>
      <c r="T46" s="321">
        <v>43160</v>
      </c>
      <c r="U46" s="321">
        <v>43180</v>
      </c>
      <c r="V46" s="319" t="s">
        <v>425</v>
      </c>
      <c r="W46" s="319" t="s">
        <v>2767</v>
      </c>
      <c r="X46" s="319">
        <v>2</v>
      </c>
      <c r="Y46" s="319" t="s">
        <v>173</v>
      </c>
      <c r="Z46" s="319" t="s">
        <v>173</v>
      </c>
      <c r="AA46" s="319" t="s">
        <v>173</v>
      </c>
      <c r="AB46" s="319">
        <v>2</v>
      </c>
      <c r="AC46" s="319" t="s">
        <v>169</v>
      </c>
      <c r="AD46" s="319">
        <v>2</v>
      </c>
      <c r="AE46" s="319" t="s">
        <v>173</v>
      </c>
      <c r="AF46" s="319" t="s">
        <v>427</v>
      </c>
      <c r="AG46" s="319" t="s">
        <v>171</v>
      </c>
      <c r="AH46" s="319" t="s">
        <v>190</v>
      </c>
      <c r="AI46" s="319" t="s">
        <v>190</v>
      </c>
      <c r="AJ46" s="319" t="s">
        <v>190</v>
      </c>
      <c r="AK46" s="319" t="s">
        <v>190</v>
      </c>
      <c r="AL46" s="319" t="s">
        <v>190</v>
      </c>
      <c r="AM46" s="319" t="s">
        <v>190</v>
      </c>
      <c r="AN46" s="319" t="s">
        <v>190</v>
      </c>
      <c r="AO46" s="319" t="s">
        <v>190</v>
      </c>
      <c r="AP46" s="319" t="s">
        <v>190</v>
      </c>
      <c r="AQ46" s="319" t="s">
        <v>190</v>
      </c>
      <c r="AR46" s="319" t="s">
        <v>190</v>
      </c>
      <c r="AS46" s="319" t="s">
        <v>190</v>
      </c>
      <c r="AT46" s="319" t="s">
        <v>190</v>
      </c>
      <c r="AU46" s="319" t="s">
        <v>190</v>
      </c>
      <c r="AV46" s="319" t="s">
        <v>190</v>
      </c>
      <c r="AW46" s="319" t="s">
        <v>190</v>
      </c>
      <c r="AX46" s="319" t="s">
        <v>428</v>
      </c>
      <c r="AY46" s="319" t="s">
        <v>190</v>
      </c>
      <c r="AZ46" s="319" t="s">
        <v>190</v>
      </c>
      <c r="BA46" s="319" t="s">
        <v>190</v>
      </c>
      <c r="BB46" s="319" t="s">
        <v>428</v>
      </c>
      <c r="BC46" s="319" t="s">
        <v>428</v>
      </c>
      <c r="BD46" s="319" t="s">
        <v>428</v>
      </c>
      <c r="BE46" s="319" t="s">
        <v>428</v>
      </c>
      <c r="BF46" s="319" t="s">
        <v>190</v>
      </c>
      <c r="BG46" s="319" t="s">
        <v>190</v>
      </c>
      <c r="BH46" s="319" t="s">
        <v>190</v>
      </c>
      <c r="BI46" s="319" t="s">
        <v>190</v>
      </c>
      <c r="BJ46" s="319" t="s">
        <v>190</v>
      </c>
      <c r="BK46" s="319" t="s">
        <v>190</v>
      </c>
      <c r="BL46" s="319" t="s">
        <v>190</v>
      </c>
      <c r="BM46" s="319" t="s">
        <v>190</v>
      </c>
      <c r="BN46" s="319" t="s">
        <v>190</v>
      </c>
      <c r="BO46" s="319" t="s">
        <v>190</v>
      </c>
      <c r="BP46" s="319" t="s">
        <v>190</v>
      </c>
      <c r="BQ46" s="319" t="s">
        <v>190</v>
      </c>
      <c r="BR46" s="319" t="s">
        <v>190</v>
      </c>
      <c r="BS46" s="319" t="s">
        <v>190</v>
      </c>
      <c r="BT46" s="319" t="s">
        <v>190</v>
      </c>
      <c r="BU46" s="319" t="s">
        <v>190</v>
      </c>
      <c r="BV46" s="319" t="s">
        <v>190</v>
      </c>
      <c r="BW46" s="319" t="s">
        <v>190</v>
      </c>
      <c r="BX46" s="319" t="s">
        <v>190</v>
      </c>
      <c r="BY46" s="319" t="s">
        <v>190</v>
      </c>
      <c r="BZ46" s="319" t="s">
        <v>190</v>
      </c>
      <c r="CA46" s="319" t="s">
        <v>190</v>
      </c>
      <c r="CB46" s="319" t="s">
        <v>190</v>
      </c>
      <c r="CC46" s="319" t="s">
        <v>190</v>
      </c>
      <c r="CD46" s="319" t="s">
        <v>190</v>
      </c>
      <c r="CE46" s="319" t="s">
        <v>190</v>
      </c>
      <c r="CF46" s="319" t="s">
        <v>190</v>
      </c>
      <c r="CG46" s="319" t="s">
        <v>190</v>
      </c>
      <c r="CH46" s="319" t="s">
        <v>190</v>
      </c>
      <c r="CI46" s="319" t="s">
        <v>190</v>
      </c>
      <c r="CJ46" s="319" t="s">
        <v>190</v>
      </c>
      <c r="CK46" s="319" t="s">
        <v>190</v>
      </c>
      <c r="CL46" s="319" t="s">
        <v>190</v>
      </c>
      <c r="CM46" s="319" t="s">
        <v>190</v>
      </c>
      <c r="CN46" s="319" t="s">
        <v>428</v>
      </c>
      <c r="CO46" s="319" t="s">
        <v>428</v>
      </c>
      <c r="CP46" s="319" t="s">
        <v>428</v>
      </c>
      <c r="CQ46" s="319" t="s">
        <v>190</v>
      </c>
      <c r="CR46" s="319" t="s">
        <v>190</v>
      </c>
      <c r="CS46" s="319" t="s">
        <v>190</v>
      </c>
      <c r="CT46" s="319" t="s">
        <v>190</v>
      </c>
      <c r="CU46" s="319" t="s">
        <v>190</v>
      </c>
      <c r="CV46" s="319" t="s">
        <v>190</v>
      </c>
      <c r="CW46" s="319" t="s">
        <v>190</v>
      </c>
      <c r="CX46" s="319" t="s">
        <v>190</v>
      </c>
      <c r="CY46" s="319" t="s">
        <v>190</v>
      </c>
      <c r="CZ46" s="319" t="s">
        <v>190</v>
      </c>
      <c r="DA46" s="319" t="s">
        <v>190</v>
      </c>
      <c r="DB46" s="319" t="s">
        <v>190</v>
      </c>
      <c r="DC46" s="319" t="s">
        <v>190</v>
      </c>
      <c r="DD46" s="319" t="s">
        <v>190</v>
      </c>
      <c r="DE46" s="319" t="s">
        <v>190</v>
      </c>
      <c r="DF46" s="319" t="s">
        <v>190</v>
      </c>
      <c r="DG46" s="319" t="s">
        <v>190</v>
      </c>
      <c r="DH46" s="319" t="s">
        <v>190</v>
      </c>
      <c r="DI46" s="319" t="s">
        <v>190</v>
      </c>
      <c r="DJ46" s="319" t="s">
        <v>190</v>
      </c>
      <c r="DK46" s="319" t="s">
        <v>190</v>
      </c>
      <c r="DL46" s="319" t="s">
        <v>190</v>
      </c>
      <c r="DM46" s="319" t="s">
        <v>428</v>
      </c>
      <c r="DN46" s="319" t="s">
        <v>428</v>
      </c>
      <c r="DO46" s="319" t="s">
        <v>190</v>
      </c>
      <c r="DP46" s="319" t="s">
        <v>428</v>
      </c>
      <c r="DQ46" s="319" t="s">
        <v>428</v>
      </c>
      <c r="DR46" s="319" t="s">
        <v>428</v>
      </c>
      <c r="DS46" s="319" t="s">
        <v>428</v>
      </c>
      <c r="DT46" s="319" t="s">
        <v>428</v>
      </c>
      <c r="DU46" s="319" t="s">
        <v>428</v>
      </c>
      <c r="DV46" s="319" t="s">
        <v>173</v>
      </c>
      <c r="DW46" s="319" t="s">
        <v>428</v>
      </c>
      <c r="DX46" s="319" t="s">
        <v>428</v>
      </c>
      <c r="DY46" s="319" t="s">
        <v>428</v>
      </c>
      <c r="DZ46" s="319" t="s">
        <v>428</v>
      </c>
      <c r="EA46" s="319" t="s">
        <v>428</v>
      </c>
      <c r="EB46" s="319" t="s">
        <v>428</v>
      </c>
      <c r="EC46" s="319" t="s">
        <v>428</v>
      </c>
      <c r="ED46" s="319" t="s">
        <v>190</v>
      </c>
      <c r="EE46" s="319" t="s">
        <v>190</v>
      </c>
      <c r="EF46" s="319" t="s">
        <v>190</v>
      </c>
      <c r="EG46" s="319" t="s">
        <v>190</v>
      </c>
      <c r="EH46" s="319" t="s">
        <v>190</v>
      </c>
      <c r="EI46" s="319" t="s">
        <v>428</v>
      </c>
      <c r="EJ46" s="319" t="s">
        <v>190</v>
      </c>
      <c r="EK46" s="319" t="s">
        <v>190</v>
      </c>
      <c r="EL46" s="319" t="s">
        <v>428</v>
      </c>
      <c r="EM46" s="319" t="s">
        <v>190</v>
      </c>
      <c r="EN46" s="319" t="s">
        <v>190</v>
      </c>
      <c r="EO46" s="319" t="s">
        <v>190</v>
      </c>
      <c r="EP46" s="319" t="s">
        <v>190</v>
      </c>
      <c r="EQ46" s="319" t="s">
        <v>190</v>
      </c>
      <c r="ER46" s="319" t="s">
        <v>190</v>
      </c>
      <c r="ES46" s="319" t="s">
        <v>190</v>
      </c>
      <c r="ET46" s="319" t="s">
        <v>190</v>
      </c>
      <c r="EU46" s="319" t="s">
        <v>190</v>
      </c>
      <c r="EV46" s="319" t="s">
        <v>190</v>
      </c>
      <c r="EW46" s="319" t="s">
        <v>190</v>
      </c>
      <c r="EX46" s="319" t="s">
        <v>190</v>
      </c>
      <c r="EY46" s="319" t="s">
        <v>190</v>
      </c>
      <c r="EZ46" s="319" t="s">
        <v>190</v>
      </c>
      <c r="FA46" s="319" t="s">
        <v>190</v>
      </c>
      <c r="FB46" s="319" t="s">
        <v>428</v>
      </c>
      <c r="FC46" s="319" t="s">
        <v>428</v>
      </c>
      <c r="FD46" s="319" t="s">
        <v>428</v>
      </c>
      <c r="FE46" s="319" t="s">
        <v>428</v>
      </c>
      <c r="FF46" s="319" t="s">
        <v>428</v>
      </c>
      <c r="FG46" s="319" t="s">
        <v>428</v>
      </c>
      <c r="FH46" s="319" t="s">
        <v>190</v>
      </c>
      <c r="FI46" s="319" t="s">
        <v>190</v>
      </c>
      <c r="FJ46" s="319" t="s">
        <v>190</v>
      </c>
      <c r="FK46" s="319" t="s">
        <v>190</v>
      </c>
      <c r="FL46" s="319" t="s">
        <v>190</v>
      </c>
      <c r="FM46" s="319" t="s">
        <v>190</v>
      </c>
      <c r="FN46" s="319" t="s">
        <v>428</v>
      </c>
      <c r="FO46" s="319" t="s">
        <v>428</v>
      </c>
      <c r="FP46" s="319" t="s">
        <v>190</v>
      </c>
      <c r="FQ46" s="319" t="s">
        <v>190</v>
      </c>
      <c r="FR46" s="319" t="s">
        <v>190</v>
      </c>
      <c r="FS46" s="319" t="s">
        <v>190</v>
      </c>
      <c r="FT46" s="319" t="s">
        <v>190</v>
      </c>
      <c r="FU46" s="319" t="s">
        <v>190</v>
      </c>
      <c r="FV46" s="319" t="s">
        <v>190</v>
      </c>
      <c r="FW46" s="319" t="s">
        <v>190</v>
      </c>
      <c r="FX46" s="319" t="s">
        <v>190</v>
      </c>
      <c r="FY46" s="319" t="s">
        <v>190</v>
      </c>
      <c r="FZ46" s="319" t="s">
        <v>190</v>
      </c>
      <c r="GA46" s="319" t="s">
        <v>190</v>
      </c>
      <c r="GB46" s="319" t="s">
        <v>190</v>
      </c>
      <c r="GC46" s="319" t="s">
        <v>190</v>
      </c>
      <c r="GD46" s="319" t="s">
        <v>190</v>
      </c>
      <c r="GE46" s="319" t="s">
        <v>190</v>
      </c>
      <c r="GF46" s="319" t="s">
        <v>190</v>
      </c>
      <c r="GG46" s="319" t="s">
        <v>190</v>
      </c>
      <c r="GH46" s="319" t="s">
        <v>190</v>
      </c>
      <c r="GI46" s="319" t="s">
        <v>190</v>
      </c>
      <c r="GJ46" s="319" t="s">
        <v>190</v>
      </c>
      <c r="GK46" s="319" t="s">
        <v>428</v>
      </c>
      <c r="GL46" s="319" t="s">
        <v>190</v>
      </c>
      <c r="GM46" s="319" t="s">
        <v>190</v>
      </c>
      <c r="GN46" s="319" t="s">
        <v>190</v>
      </c>
      <c r="GO46" s="319" t="s">
        <v>190</v>
      </c>
      <c r="GP46" s="319" t="s">
        <v>190</v>
      </c>
      <c r="GQ46" s="319" t="s">
        <v>428</v>
      </c>
      <c r="GR46" s="319" t="s">
        <v>190</v>
      </c>
      <c r="GS46" s="319" t="s">
        <v>190</v>
      </c>
      <c r="GT46" s="319" t="s">
        <v>428</v>
      </c>
      <c r="GU46" s="319" t="s">
        <v>428</v>
      </c>
      <c r="GV46" s="319" t="s">
        <v>190</v>
      </c>
      <c r="GW46" s="319" t="s">
        <v>190</v>
      </c>
      <c r="GX46" s="319" t="s">
        <v>190</v>
      </c>
      <c r="GY46" s="319" t="s">
        <v>190</v>
      </c>
      <c r="GZ46" s="319" t="s">
        <v>190</v>
      </c>
      <c r="HA46" s="319" t="s">
        <v>428</v>
      </c>
      <c r="HB46" s="319" t="s">
        <v>428</v>
      </c>
      <c r="HC46" s="319" t="s">
        <v>190</v>
      </c>
      <c r="HD46" s="319" t="s">
        <v>190</v>
      </c>
      <c r="HE46" s="319" t="s">
        <v>190</v>
      </c>
      <c r="HF46" s="319" t="s">
        <v>190</v>
      </c>
      <c r="HG46" s="319" t="s">
        <v>190</v>
      </c>
      <c r="HH46" s="319" t="s">
        <v>190</v>
      </c>
      <c r="HI46" s="319" t="s">
        <v>190</v>
      </c>
      <c r="HJ46" s="319" t="s">
        <v>190</v>
      </c>
      <c r="HK46" s="319" t="s">
        <v>190</v>
      </c>
      <c r="HL46" s="319" t="s">
        <v>428</v>
      </c>
      <c r="HM46" s="319" t="s">
        <v>428</v>
      </c>
      <c r="HN46" s="319" t="s">
        <v>428</v>
      </c>
      <c r="HO46" s="319" t="s">
        <v>428</v>
      </c>
      <c r="HP46" s="319" t="s">
        <v>190</v>
      </c>
      <c r="HQ46" s="319" t="s">
        <v>190</v>
      </c>
      <c r="HR46" s="319" t="s">
        <v>190</v>
      </c>
      <c r="HS46" s="319" t="s">
        <v>190</v>
      </c>
      <c r="HT46" s="319" t="s">
        <v>190</v>
      </c>
      <c r="HU46" s="319" t="s">
        <v>190</v>
      </c>
      <c r="HV46" s="319" t="s">
        <v>190</v>
      </c>
      <c r="HW46" s="319" t="s">
        <v>190</v>
      </c>
      <c r="HX46" s="319" t="s">
        <v>190</v>
      </c>
      <c r="HY46" s="319" t="s">
        <v>190</v>
      </c>
      <c r="HZ46" s="319" t="s">
        <v>190</v>
      </c>
      <c r="IA46" s="319" t="s">
        <v>190</v>
      </c>
      <c r="IB46" s="319" t="s">
        <v>190</v>
      </c>
      <c r="IC46" s="319" t="s">
        <v>190</v>
      </c>
      <c r="ID46" s="319" t="s">
        <v>190</v>
      </c>
      <c r="IE46" s="319" t="s">
        <v>190</v>
      </c>
      <c r="IF46" s="319" t="s">
        <v>190</v>
      </c>
      <c r="IG46" s="319" t="s">
        <v>190</v>
      </c>
      <c r="IH46" s="319" t="s">
        <v>190</v>
      </c>
      <c r="II46" s="319" t="s">
        <v>190</v>
      </c>
      <c r="IJ46" s="319" t="s">
        <v>2817</v>
      </c>
      <c r="IK46" s="321">
        <v>41766</v>
      </c>
      <c r="IL46" s="321">
        <v>41768</v>
      </c>
      <c r="IM46" s="321">
        <v>41787</v>
      </c>
      <c r="IN46" s="319">
        <v>2</v>
      </c>
      <c r="IO46" s="319" t="s">
        <v>173</v>
      </c>
      <c r="IP46" s="319" t="s">
        <v>173</v>
      </c>
      <c r="IQ46" s="319" t="s">
        <v>173</v>
      </c>
      <c r="IR46" s="320" t="s">
        <v>173</v>
      </c>
      <c r="IS46" s="320" t="s">
        <v>173</v>
      </c>
      <c r="IT46" s="319" t="s">
        <v>173</v>
      </c>
    </row>
    <row r="47" spans="1:254" s="271" customFormat="1" x14ac:dyDescent="0.25">
      <c r="A47" s="318" t="str">
        <f>HYPERLINK("http://www.ofsted.gov.uk/inspection-reports/find-inspection-report/provider/ELS/101383 ","Ofsted School Webpage")</f>
        <v>Ofsted School Webpage</v>
      </c>
      <c r="B47" s="319">
        <v>101383</v>
      </c>
      <c r="C47" s="319">
        <v>3026077</v>
      </c>
      <c r="D47" s="319" t="s">
        <v>1275</v>
      </c>
      <c r="E47" s="319" t="s">
        <v>167</v>
      </c>
      <c r="F47" s="319" t="s">
        <v>81</v>
      </c>
      <c r="G47" s="319" t="s">
        <v>80</v>
      </c>
      <c r="H47" s="319" t="s">
        <v>80</v>
      </c>
      <c r="I47" s="319" t="s">
        <v>78</v>
      </c>
      <c r="J47" s="319" t="s">
        <v>424</v>
      </c>
      <c r="K47" s="319" t="s">
        <v>441</v>
      </c>
      <c r="L47" s="319" t="s">
        <v>441</v>
      </c>
      <c r="M47" s="319" t="s">
        <v>544</v>
      </c>
      <c r="N47" s="319" t="s">
        <v>2818</v>
      </c>
      <c r="O47" s="319" t="s">
        <v>1276</v>
      </c>
      <c r="P47" s="319">
        <v>103</v>
      </c>
      <c r="Q47" s="319" t="s">
        <v>2766</v>
      </c>
      <c r="R47" s="320">
        <v>10035780</v>
      </c>
      <c r="S47" s="321">
        <v>43011</v>
      </c>
      <c r="T47" s="321">
        <v>43013</v>
      </c>
      <c r="U47" s="321">
        <v>43048</v>
      </c>
      <c r="V47" s="319" t="s">
        <v>425</v>
      </c>
      <c r="W47" s="319" t="s">
        <v>2767</v>
      </c>
      <c r="X47" s="319">
        <v>2</v>
      </c>
      <c r="Y47" s="319" t="s">
        <v>173</v>
      </c>
      <c r="Z47" s="319" t="s">
        <v>173</v>
      </c>
      <c r="AA47" s="319" t="s">
        <v>173</v>
      </c>
      <c r="AB47" s="319">
        <v>2</v>
      </c>
      <c r="AC47" s="319" t="s">
        <v>169</v>
      </c>
      <c r="AD47" s="319">
        <v>2</v>
      </c>
      <c r="AE47" s="319" t="s">
        <v>173</v>
      </c>
      <c r="AF47" s="319" t="s">
        <v>427</v>
      </c>
      <c r="AG47" s="319" t="s">
        <v>171</v>
      </c>
      <c r="AH47" s="319" t="s">
        <v>190</v>
      </c>
      <c r="AI47" s="319" t="s">
        <v>190</v>
      </c>
      <c r="AJ47" s="319" t="s">
        <v>190</v>
      </c>
      <c r="AK47" s="319" t="s">
        <v>190</v>
      </c>
      <c r="AL47" s="319" t="s">
        <v>190</v>
      </c>
      <c r="AM47" s="319" t="s">
        <v>190</v>
      </c>
      <c r="AN47" s="319" t="s">
        <v>190</v>
      </c>
      <c r="AO47" s="319" t="s">
        <v>190</v>
      </c>
      <c r="AP47" s="319" t="s">
        <v>190</v>
      </c>
      <c r="AQ47" s="319" t="s">
        <v>190</v>
      </c>
      <c r="AR47" s="319" t="s">
        <v>190</v>
      </c>
      <c r="AS47" s="319" t="s">
        <v>190</v>
      </c>
      <c r="AT47" s="319" t="s">
        <v>190</v>
      </c>
      <c r="AU47" s="319" t="s">
        <v>190</v>
      </c>
      <c r="AV47" s="319" t="s">
        <v>190</v>
      </c>
      <c r="AW47" s="319" t="s">
        <v>190</v>
      </c>
      <c r="AX47" s="319" t="s">
        <v>428</v>
      </c>
      <c r="AY47" s="319" t="s">
        <v>190</v>
      </c>
      <c r="AZ47" s="319" t="s">
        <v>190</v>
      </c>
      <c r="BA47" s="319" t="s">
        <v>190</v>
      </c>
      <c r="BB47" s="319" t="s">
        <v>428</v>
      </c>
      <c r="BC47" s="319" t="s">
        <v>428</v>
      </c>
      <c r="BD47" s="319" t="s">
        <v>428</v>
      </c>
      <c r="BE47" s="319" t="s">
        <v>428</v>
      </c>
      <c r="BF47" s="319" t="s">
        <v>190</v>
      </c>
      <c r="BG47" s="319" t="s">
        <v>428</v>
      </c>
      <c r="BH47" s="319" t="s">
        <v>190</v>
      </c>
      <c r="BI47" s="319" t="s">
        <v>190</v>
      </c>
      <c r="BJ47" s="319" t="s">
        <v>190</v>
      </c>
      <c r="BK47" s="319" t="s">
        <v>190</v>
      </c>
      <c r="BL47" s="319" t="s">
        <v>190</v>
      </c>
      <c r="BM47" s="319" t="s">
        <v>190</v>
      </c>
      <c r="BN47" s="319" t="s">
        <v>190</v>
      </c>
      <c r="BO47" s="319" t="s">
        <v>190</v>
      </c>
      <c r="BP47" s="319" t="s">
        <v>190</v>
      </c>
      <c r="BQ47" s="319" t="s">
        <v>190</v>
      </c>
      <c r="BR47" s="319" t="s">
        <v>190</v>
      </c>
      <c r="BS47" s="319" t="s">
        <v>190</v>
      </c>
      <c r="BT47" s="319" t="s">
        <v>190</v>
      </c>
      <c r="BU47" s="319" t="s">
        <v>190</v>
      </c>
      <c r="BV47" s="319" t="s">
        <v>190</v>
      </c>
      <c r="BW47" s="319" t="s">
        <v>190</v>
      </c>
      <c r="BX47" s="319" t="s">
        <v>190</v>
      </c>
      <c r="BY47" s="319" t="s">
        <v>190</v>
      </c>
      <c r="BZ47" s="319" t="s">
        <v>190</v>
      </c>
      <c r="CA47" s="319" t="s">
        <v>190</v>
      </c>
      <c r="CB47" s="319" t="s">
        <v>190</v>
      </c>
      <c r="CC47" s="319" t="s">
        <v>190</v>
      </c>
      <c r="CD47" s="319" t="s">
        <v>190</v>
      </c>
      <c r="CE47" s="319" t="s">
        <v>190</v>
      </c>
      <c r="CF47" s="319" t="s">
        <v>190</v>
      </c>
      <c r="CG47" s="319" t="s">
        <v>190</v>
      </c>
      <c r="CH47" s="319" t="s">
        <v>190</v>
      </c>
      <c r="CI47" s="319" t="s">
        <v>190</v>
      </c>
      <c r="CJ47" s="319" t="s">
        <v>190</v>
      </c>
      <c r="CK47" s="319" t="s">
        <v>190</v>
      </c>
      <c r="CL47" s="319" t="s">
        <v>190</v>
      </c>
      <c r="CM47" s="319" t="s">
        <v>190</v>
      </c>
      <c r="CN47" s="319" t="s">
        <v>428</v>
      </c>
      <c r="CO47" s="319" t="s">
        <v>428</v>
      </c>
      <c r="CP47" s="319" t="s">
        <v>428</v>
      </c>
      <c r="CQ47" s="319" t="s">
        <v>190</v>
      </c>
      <c r="CR47" s="319" t="s">
        <v>190</v>
      </c>
      <c r="CS47" s="319" t="s">
        <v>190</v>
      </c>
      <c r="CT47" s="319" t="s">
        <v>190</v>
      </c>
      <c r="CU47" s="319" t="s">
        <v>190</v>
      </c>
      <c r="CV47" s="319" t="s">
        <v>190</v>
      </c>
      <c r="CW47" s="319" t="s">
        <v>190</v>
      </c>
      <c r="CX47" s="319" t="s">
        <v>190</v>
      </c>
      <c r="CY47" s="319" t="s">
        <v>190</v>
      </c>
      <c r="CZ47" s="319" t="s">
        <v>190</v>
      </c>
      <c r="DA47" s="319" t="s">
        <v>190</v>
      </c>
      <c r="DB47" s="319" t="s">
        <v>190</v>
      </c>
      <c r="DC47" s="319" t="s">
        <v>190</v>
      </c>
      <c r="DD47" s="319" t="s">
        <v>190</v>
      </c>
      <c r="DE47" s="319" t="s">
        <v>190</v>
      </c>
      <c r="DF47" s="319" t="s">
        <v>190</v>
      </c>
      <c r="DG47" s="319" t="s">
        <v>190</v>
      </c>
      <c r="DH47" s="319" t="s">
        <v>190</v>
      </c>
      <c r="DI47" s="319" t="s">
        <v>190</v>
      </c>
      <c r="DJ47" s="319" t="s">
        <v>190</v>
      </c>
      <c r="DK47" s="319" t="s">
        <v>190</v>
      </c>
      <c r="DL47" s="319" t="s">
        <v>190</v>
      </c>
      <c r="DM47" s="319" t="s">
        <v>428</v>
      </c>
      <c r="DN47" s="319" t="s">
        <v>428</v>
      </c>
      <c r="DO47" s="319" t="s">
        <v>190</v>
      </c>
      <c r="DP47" s="319" t="s">
        <v>428</v>
      </c>
      <c r="DQ47" s="319" t="s">
        <v>428</v>
      </c>
      <c r="DR47" s="319" t="s">
        <v>428</v>
      </c>
      <c r="DS47" s="319" t="s">
        <v>428</v>
      </c>
      <c r="DT47" s="319" t="s">
        <v>428</v>
      </c>
      <c r="DU47" s="319" t="s">
        <v>428</v>
      </c>
      <c r="DV47" s="319" t="s">
        <v>173</v>
      </c>
      <c r="DW47" s="319" t="s">
        <v>428</v>
      </c>
      <c r="DX47" s="319" t="s">
        <v>428</v>
      </c>
      <c r="DY47" s="319" t="s">
        <v>428</v>
      </c>
      <c r="DZ47" s="319" t="s">
        <v>428</v>
      </c>
      <c r="EA47" s="319" t="s">
        <v>428</v>
      </c>
      <c r="EB47" s="319" t="s">
        <v>428</v>
      </c>
      <c r="EC47" s="319" t="s">
        <v>428</v>
      </c>
      <c r="ED47" s="319" t="s">
        <v>190</v>
      </c>
      <c r="EE47" s="319" t="s">
        <v>190</v>
      </c>
      <c r="EF47" s="319" t="s">
        <v>190</v>
      </c>
      <c r="EG47" s="319" t="s">
        <v>190</v>
      </c>
      <c r="EH47" s="319" t="s">
        <v>190</v>
      </c>
      <c r="EI47" s="319" t="s">
        <v>190</v>
      </c>
      <c r="EJ47" s="319" t="s">
        <v>190</v>
      </c>
      <c r="EK47" s="319" t="s">
        <v>190</v>
      </c>
      <c r="EL47" s="319" t="s">
        <v>190</v>
      </c>
      <c r="EM47" s="319" t="s">
        <v>190</v>
      </c>
      <c r="EN47" s="319" t="s">
        <v>190</v>
      </c>
      <c r="EO47" s="319" t="s">
        <v>190</v>
      </c>
      <c r="EP47" s="319" t="s">
        <v>190</v>
      </c>
      <c r="EQ47" s="319" t="s">
        <v>190</v>
      </c>
      <c r="ER47" s="319" t="s">
        <v>190</v>
      </c>
      <c r="ES47" s="319" t="s">
        <v>190</v>
      </c>
      <c r="ET47" s="319" t="s">
        <v>190</v>
      </c>
      <c r="EU47" s="319" t="s">
        <v>190</v>
      </c>
      <c r="EV47" s="319" t="s">
        <v>190</v>
      </c>
      <c r="EW47" s="319" t="s">
        <v>190</v>
      </c>
      <c r="EX47" s="319" t="s">
        <v>190</v>
      </c>
      <c r="EY47" s="319" t="s">
        <v>190</v>
      </c>
      <c r="EZ47" s="319" t="s">
        <v>190</v>
      </c>
      <c r="FA47" s="319" t="s">
        <v>190</v>
      </c>
      <c r="FB47" s="319" t="s">
        <v>428</v>
      </c>
      <c r="FC47" s="319" t="s">
        <v>428</v>
      </c>
      <c r="FD47" s="319" t="s">
        <v>428</v>
      </c>
      <c r="FE47" s="319" t="s">
        <v>428</v>
      </c>
      <c r="FF47" s="319" t="s">
        <v>428</v>
      </c>
      <c r="FG47" s="319" t="s">
        <v>428</v>
      </c>
      <c r="FH47" s="319" t="s">
        <v>428</v>
      </c>
      <c r="FI47" s="319" t="s">
        <v>428</v>
      </c>
      <c r="FJ47" s="319" t="s">
        <v>429</v>
      </c>
      <c r="FK47" s="319" t="s">
        <v>428</v>
      </c>
      <c r="FL47" s="319" t="s">
        <v>190</v>
      </c>
      <c r="FM47" s="319" t="s">
        <v>190</v>
      </c>
      <c r="FN47" s="319" t="s">
        <v>190</v>
      </c>
      <c r="FO47" s="319" t="s">
        <v>428</v>
      </c>
      <c r="FP47" s="319" t="s">
        <v>190</v>
      </c>
      <c r="FQ47" s="319" t="s">
        <v>190</v>
      </c>
      <c r="FR47" s="319" t="s">
        <v>190</v>
      </c>
      <c r="FS47" s="319" t="s">
        <v>428</v>
      </c>
      <c r="FT47" s="319" t="s">
        <v>190</v>
      </c>
      <c r="FU47" s="319" t="s">
        <v>190</v>
      </c>
      <c r="FV47" s="319" t="s">
        <v>190</v>
      </c>
      <c r="FW47" s="319" t="s">
        <v>190</v>
      </c>
      <c r="FX47" s="319" t="s">
        <v>190</v>
      </c>
      <c r="FY47" s="319" t="s">
        <v>190</v>
      </c>
      <c r="FZ47" s="319" t="s">
        <v>190</v>
      </c>
      <c r="GA47" s="319" t="s">
        <v>190</v>
      </c>
      <c r="GB47" s="319" t="s">
        <v>190</v>
      </c>
      <c r="GC47" s="319" t="s">
        <v>190</v>
      </c>
      <c r="GD47" s="319" t="s">
        <v>190</v>
      </c>
      <c r="GE47" s="319" t="s">
        <v>190</v>
      </c>
      <c r="GF47" s="319" t="s">
        <v>190</v>
      </c>
      <c r="GG47" s="319" t="s">
        <v>190</v>
      </c>
      <c r="GH47" s="319" t="s">
        <v>190</v>
      </c>
      <c r="GI47" s="319" t="s">
        <v>190</v>
      </c>
      <c r="GJ47" s="319" t="s">
        <v>190</v>
      </c>
      <c r="GK47" s="319" t="s">
        <v>428</v>
      </c>
      <c r="GL47" s="319" t="s">
        <v>190</v>
      </c>
      <c r="GM47" s="319" t="s">
        <v>190</v>
      </c>
      <c r="GN47" s="319" t="s">
        <v>190</v>
      </c>
      <c r="GO47" s="319" t="s">
        <v>190</v>
      </c>
      <c r="GP47" s="319" t="s">
        <v>190</v>
      </c>
      <c r="GQ47" s="319" t="s">
        <v>428</v>
      </c>
      <c r="GR47" s="319" t="s">
        <v>190</v>
      </c>
      <c r="GS47" s="319" t="s">
        <v>190</v>
      </c>
      <c r="GT47" s="319" t="s">
        <v>190</v>
      </c>
      <c r="GU47" s="319" t="s">
        <v>190</v>
      </c>
      <c r="GV47" s="319" t="s">
        <v>190</v>
      </c>
      <c r="GW47" s="319" t="s">
        <v>190</v>
      </c>
      <c r="GX47" s="319" t="s">
        <v>190</v>
      </c>
      <c r="GY47" s="319" t="s">
        <v>190</v>
      </c>
      <c r="GZ47" s="319" t="s">
        <v>190</v>
      </c>
      <c r="HA47" s="319" t="s">
        <v>428</v>
      </c>
      <c r="HB47" s="319" t="s">
        <v>428</v>
      </c>
      <c r="HC47" s="319" t="s">
        <v>190</v>
      </c>
      <c r="HD47" s="319" t="s">
        <v>190</v>
      </c>
      <c r="HE47" s="319" t="s">
        <v>190</v>
      </c>
      <c r="HF47" s="319" t="s">
        <v>190</v>
      </c>
      <c r="HG47" s="319" t="s">
        <v>190</v>
      </c>
      <c r="HH47" s="319" t="s">
        <v>190</v>
      </c>
      <c r="HI47" s="319" t="s">
        <v>190</v>
      </c>
      <c r="HJ47" s="319" t="s">
        <v>190</v>
      </c>
      <c r="HK47" s="319" t="s">
        <v>190</v>
      </c>
      <c r="HL47" s="319" t="s">
        <v>428</v>
      </c>
      <c r="HM47" s="319" t="s">
        <v>428</v>
      </c>
      <c r="HN47" s="319" t="s">
        <v>428</v>
      </c>
      <c r="HO47" s="319" t="s">
        <v>428</v>
      </c>
      <c r="HP47" s="319" t="s">
        <v>190</v>
      </c>
      <c r="HQ47" s="319" t="s">
        <v>190</v>
      </c>
      <c r="HR47" s="319" t="s">
        <v>190</v>
      </c>
      <c r="HS47" s="319" t="s">
        <v>190</v>
      </c>
      <c r="HT47" s="319" t="s">
        <v>190</v>
      </c>
      <c r="HU47" s="319" t="s">
        <v>190</v>
      </c>
      <c r="HV47" s="319" t="s">
        <v>190</v>
      </c>
      <c r="HW47" s="319" t="s">
        <v>190</v>
      </c>
      <c r="HX47" s="319" t="s">
        <v>190</v>
      </c>
      <c r="HY47" s="319" t="s">
        <v>190</v>
      </c>
      <c r="HZ47" s="319" t="s">
        <v>190</v>
      </c>
      <c r="IA47" s="319" t="s">
        <v>190</v>
      </c>
      <c r="IB47" s="319" t="s">
        <v>190</v>
      </c>
      <c r="IC47" s="319" t="s">
        <v>190</v>
      </c>
      <c r="ID47" s="319" t="s">
        <v>190</v>
      </c>
      <c r="IE47" s="319" t="s">
        <v>190</v>
      </c>
      <c r="IF47" s="319" t="s">
        <v>190</v>
      </c>
      <c r="IG47" s="319" t="s">
        <v>190</v>
      </c>
      <c r="IH47" s="319" t="s">
        <v>190</v>
      </c>
      <c r="II47" s="319" t="s">
        <v>190</v>
      </c>
      <c r="IJ47" s="319" t="s">
        <v>2819</v>
      </c>
      <c r="IK47" s="321">
        <v>42193</v>
      </c>
      <c r="IL47" s="321">
        <v>42195</v>
      </c>
      <c r="IM47" s="321">
        <v>42283</v>
      </c>
      <c r="IN47" s="319">
        <v>4</v>
      </c>
      <c r="IO47" s="319" t="s">
        <v>173</v>
      </c>
      <c r="IP47" s="319" t="s">
        <v>173</v>
      </c>
      <c r="IQ47" s="321" t="s">
        <v>173</v>
      </c>
      <c r="IR47" s="320" t="s">
        <v>173</v>
      </c>
      <c r="IS47" s="322" t="s">
        <v>173</v>
      </c>
      <c r="IT47" s="319" t="s">
        <v>173</v>
      </c>
    </row>
    <row r="48" spans="1:254" s="271" customFormat="1" x14ac:dyDescent="0.25">
      <c r="A48" s="318" t="str">
        <f>HYPERLINK("http://www.ofsted.gov.uk/inspection-reports/find-inspection-report/provider/ELS/101385 ","Ofsted School Webpage")</f>
        <v>Ofsted School Webpage</v>
      </c>
      <c r="B48" s="319">
        <v>101385</v>
      </c>
      <c r="C48" s="319">
        <v>3026084</v>
      </c>
      <c r="D48" s="319" t="s">
        <v>1277</v>
      </c>
      <c r="E48" s="319" t="s">
        <v>167</v>
      </c>
      <c r="F48" s="319" t="s">
        <v>81</v>
      </c>
      <c r="G48" s="319" t="s">
        <v>69</v>
      </c>
      <c r="H48" s="319" t="s">
        <v>69</v>
      </c>
      <c r="I48" s="319" t="s">
        <v>69</v>
      </c>
      <c r="J48" s="319" t="s">
        <v>424</v>
      </c>
      <c r="K48" s="319" t="s">
        <v>441</v>
      </c>
      <c r="L48" s="319" t="s">
        <v>441</v>
      </c>
      <c r="M48" s="319" t="s">
        <v>544</v>
      </c>
      <c r="N48" s="319" t="s">
        <v>2816</v>
      </c>
      <c r="O48" s="319" t="s">
        <v>1278</v>
      </c>
      <c r="P48" s="319">
        <v>191</v>
      </c>
      <c r="Q48" s="319" t="s">
        <v>2766</v>
      </c>
      <c r="R48" s="320">
        <v>10038153</v>
      </c>
      <c r="S48" s="321">
        <v>43137</v>
      </c>
      <c r="T48" s="321">
        <v>43139</v>
      </c>
      <c r="U48" s="321">
        <v>43166</v>
      </c>
      <c r="V48" s="319" t="s">
        <v>425</v>
      </c>
      <c r="W48" s="319" t="s">
        <v>2767</v>
      </c>
      <c r="X48" s="319">
        <v>2</v>
      </c>
      <c r="Y48" s="319" t="s">
        <v>173</v>
      </c>
      <c r="Z48" s="319" t="s">
        <v>173</v>
      </c>
      <c r="AA48" s="319" t="s">
        <v>173</v>
      </c>
      <c r="AB48" s="319">
        <v>2</v>
      </c>
      <c r="AC48" s="319" t="s">
        <v>169</v>
      </c>
      <c r="AD48" s="319" t="s">
        <v>173</v>
      </c>
      <c r="AE48" s="319" t="s">
        <v>173</v>
      </c>
      <c r="AF48" s="319" t="s">
        <v>427</v>
      </c>
      <c r="AG48" s="319" t="s">
        <v>171</v>
      </c>
      <c r="AH48" s="319" t="s">
        <v>190</v>
      </c>
      <c r="AI48" s="319" t="s">
        <v>190</v>
      </c>
      <c r="AJ48" s="319" t="s">
        <v>190</v>
      </c>
      <c r="AK48" s="319" t="s">
        <v>190</v>
      </c>
      <c r="AL48" s="319" t="s">
        <v>190</v>
      </c>
      <c r="AM48" s="319" t="s">
        <v>190</v>
      </c>
      <c r="AN48" s="319" t="s">
        <v>190</v>
      </c>
      <c r="AO48" s="319" t="s">
        <v>190</v>
      </c>
      <c r="AP48" s="319" t="s">
        <v>190</v>
      </c>
      <c r="AQ48" s="319" t="s">
        <v>190</v>
      </c>
      <c r="AR48" s="319" t="s">
        <v>190</v>
      </c>
      <c r="AS48" s="319" t="s">
        <v>190</v>
      </c>
      <c r="AT48" s="319" t="s">
        <v>190</v>
      </c>
      <c r="AU48" s="319" t="s">
        <v>190</v>
      </c>
      <c r="AV48" s="319" t="s">
        <v>190</v>
      </c>
      <c r="AW48" s="319" t="s">
        <v>190</v>
      </c>
      <c r="AX48" s="319" t="s">
        <v>428</v>
      </c>
      <c r="AY48" s="319" t="s">
        <v>190</v>
      </c>
      <c r="AZ48" s="319" t="s">
        <v>190</v>
      </c>
      <c r="BA48" s="319" t="s">
        <v>190</v>
      </c>
      <c r="BB48" s="319" t="s">
        <v>190</v>
      </c>
      <c r="BC48" s="319" t="s">
        <v>190</v>
      </c>
      <c r="BD48" s="319" t="s">
        <v>190</v>
      </c>
      <c r="BE48" s="319" t="s">
        <v>190</v>
      </c>
      <c r="BF48" s="319" t="s">
        <v>428</v>
      </c>
      <c r="BG48" s="319" t="s">
        <v>428</v>
      </c>
      <c r="BH48" s="319" t="s">
        <v>190</v>
      </c>
      <c r="BI48" s="319" t="s">
        <v>190</v>
      </c>
      <c r="BJ48" s="319" t="s">
        <v>190</v>
      </c>
      <c r="BK48" s="319" t="s">
        <v>190</v>
      </c>
      <c r="BL48" s="319" t="s">
        <v>190</v>
      </c>
      <c r="BM48" s="319" t="s">
        <v>190</v>
      </c>
      <c r="BN48" s="319" t="s">
        <v>190</v>
      </c>
      <c r="BO48" s="319" t="s">
        <v>190</v>
      </c>
      <c r="BP48" s="319" t="s">
        <v>190</v>
      </c>
      <c r="BQ48" s="319" t="s">
        <v>190</v>
      </c>
      <c r="BR48" s="319" t="s">
        <v>190</v>
      </c>
      <c r="BS48" s="319" t="s">
        <v>190</v>
      </c>
      <c r="BT48" s="319" t="s">
        <v>190</v>
      </c>
      <c r="BU48" s="319" t="s">
        <v>190</v>
      </c>
      <c r="BV48" s="319" t="s">
        <v>190</v>
      </c>
      <c r="BW48" s="319" t="s">
        <v>190</v>
      </c>
      <c r="BX48" s="319" t="s">
        <v>190</v>
      </c>
      <c r="BY48" s="319" t="s">
        <v>190</v>
      </c>
      <c r="BZ48" s="319" t="s">
        <v>190</v>
      </c>
      <c r="CA48" s="319" t="s">
        <v>190</v>
      </c>
      <c r="CB48" s="319" t="s">
        <v>190</v>
      </c>
      <c r="CC48" s="319" t="s">
        <v>190</v>
      </c>
      <c r="CD48" s="319" t="s">
        <v>190</v>
      </c>
      <c r="CE48" s="319" t="s">
        <v>190</v>
      </c>
      <c r="CF48" s="319" t="s">
        <v>190</v>
      </c>
      <c r="CG48" s="319" t="s">
        <v>190</v>
      </c>
      <c r="CH48" s="319" t="s">
        <v>190</v>
      </c>
      <c r="CI48" s="319" t="s">
        <v>190</v>
      </c>
      <c r="CJ48" s="319" t="s">
        <v>190</v>
      </c>
      <c r="CK48" s="319" t="s">
        <v>190</v>
      </c>
      <c r="CL48" s="319" t="s">
        <v>190</v>
      </c>
      <c r="CM48" s="319" t="s">
        <v>190</v>
      </c>
      <c r="CN48" s="319" t="s">
        <v>190</v>
      </c>
      <c r="CO48" s="319" t="s">
        <v>428</v>
      </c>
      <c r="CP48" s="319" t="s">
        <v>428</v>
      </c>
      <c r="CQ48" s="319" t="s">
        <v>190</v>
      </c>
      <c r="CR48" s="319" t="s">
        <v>190</v>
      </c>
      <c r="CS48" s="319" t="s">
        <v>190</v>
      </c>
      <c r="CT48" s="319" t="s">
        <v>190</v>
      </c>
      <c r="CU48" s="319" t="s">
        <v>190</v>
      </c>
      <c r="CV48" s="319" t="s">
        <v>190</v>
      </c>
      <c r="CW48" s="319" t="s">
        <v>190</v>
      </c>
      <c r="CX48" s="319" t="s">
        <v>190</v>
      </c>
      <c r="CY48" s="319" t="s">
        <v>190</v>
      </c>
      <c r="CZ48" s="319" t="s">
        <v>190</v>
      </c>
      <c r="DA48" s="319" t="s">
        <v>190</v>
      </c>
      <c r="DB48" s="319" t="s">
        <v>190</v>
      </c>
      <c r="DC48" s="319" t="s">
        <v>190</v>
      </c>
      <c r="DD48" s="319" t="s">
        <v>190</v>
      </c>
      <c r="DE48" s="319" t="s">
        <v>190</v>
      </c>
      <c r="DF48" s="319" t="s">
        <v>190</v>
      </c>
      <c r="DG48" s="319" t="s">
        <v>190</v>
      </c>
      <c r="DH48" s="319" t="s">
        <v>190</v>
      </c>
      <c r="DI48" s="319" t="s">
        <v>190</v>
      </c>
      <c r="DJ48" s="319" t="s">
        <v>190</v>
      </c>
      <c r="DK48" s="319" t="s">
        <v>190</v>
      </c>
      <c r="DL48" s="319" t="s">
        <v>190</v>
      </c>
      <c r="DM48" s="319" t="s">
        <v>190</v>
      </c>
      <c r="DN48" s="319" t="s">
        <v>428</v>
      </c>
      <c r="DO48" s="319" t="s">
        <v>190</v>
      </c>
      <c r="DP48" s="319" t="s">
        <v>190</v>
      </c>
      <c r="DQ48" s="319" t="s">
        <v>190</v>
      </c>
      <c r="DR48" s="319" t="s">
        <v>190</v>
      </c>
      <c r="DS48" s="319" t="s">
        <v>190</v>
      </c>
      <c r="DT48" s="319" t="s">
        <v>190</v>
      </c>
      <c r="DU48" s="319" t="s">
        <v>190</v>
      </c>
      <c r="DV48" s="319" t="s">
        <v>173</v>
      </c>
      <c r="DW48" s="319" t="s">
        <v>190</v>
      </c>
      <c r="DX48" s="319" t="s">
        <v>190</v>
      </c>
      <c r="DY48" s="319" t="s">
        <v>190</v>
      </c>
      <c r="DZ48" s="319" t="s">
        <v>190</v>
      </c>
      <c r="EA48" s="319" t="s">
        <v>190</v>
      </c>
      <c r="EB48" s="319" t="s">
        <v>190</v>
      </c>
      <c r="EC48" s="319" t="s">
        <v>428</v>
      </c>
      <c r="ED48" s="319" t="s">
        <v>190</v>
      </c>
      <c r="EE48" s="319" t="s">
        <v>190</v>
      </c>
      <c r="EF48" s="319" t="s">
        <v>190</v>
      </c>
      <c r="EG48" s="319" t="s">
        <v>190</v>
      </c>
      <c r="EH48" s="319" t="s">
        <v>190</v>
      </c>
      <c r="EI48" s="319" t="s">
        <v>190</v>
      </c>
      <c r="EJ48" s="319" t="s">
        <v>190</v>
      </c>
      <c r="EK48" s="319" t="s">
        <v>190</v>
      </c>
      <c r="EL48" s="319" t="s">
        <v>190</v>
      </c>
      <c r="EM48" s="319" t="s">
        <v>190</v>
      </c>
      <c r="EN48" s="319" t="s">
        <v>190</v>
      </c>
      <c r="EO48" s="319" t="s">
        <v>190</v>
      </c>
      <c r="EP48" s="319" t="s">
        <v>190</v>
      </c>
      <c r="EQ48" s="319" t="s">
        <v>190</v>
      </c>
      <c r="ER48" s="319" t="s">
        <v>190</v>
      </c>
      <c r="ES48" s="319" t="s">
        <v>190</v>
      </c>
      <c r="ET48" s="319" t="s">
        <v>190</v>
      </c>
      <c r="EU48" s="319" t="s">
        <v>190</v>
      </c>
      <c r="EV48" s="319" t="s">
        <v>190</v>
      </c>
      <c r="EW48" s="319" t="s">
        <v>190</v>
      </c>
      <c r="EX48" s="319" t="s">
        <v>190</v>
      </c>
      <c r="EY48" s="319" t="s">
        <v>173</v>
      </c>
      <c r="EZ48" s="319" t="s">
        <v>190</v>
      </c>
      <c r="FA48" s="319" t="s">
        <v>190</v>
      </c>
      <c r="FB48" s="319" t="s">
        <v>190</v>
      </c>
      <c r="FC48" s="319" t="s">
        <v>190</v>
      </c>
      <c r="FD48" s="319" t="s">
        <v>190</v>
      </c>
      <c r="FE48" s="319" t="s">
        <v>190</v>
      </c>
      <c r="FF48" s="319" t="s">
        <v>190</v>
      </c>
      <c r="FG48" s="319" t="s">
        <v>190</v>
      </c>
      <c r="FH48" s="319" t="s">
        <v>190</v>
      </c>
      <c r="FI48" s="319" t="s">
        <v>190</v>
      </c>
      <c r="FJ48" s="319" t="s">
        <v>190</v>
      </c>
      <c r="FK48" s="319" t="s">
        <v>190</v>
      </c>
      <c r="FL48" s="319" t="s">
        <v>190</v>
      </c>
      <c r="FM48" s="319" t="s">
        <v>190</v>
      </c>
      <c r="FN48" s="319" t="s">
        <v>190</v>
      </c>
      <c r="FO48" s="319" t="s">
        <v>190</v>
      </c>
      <c r="FP48" s="319" t="s">
        <v>190</v>
      </c>
      <c r="FQ48" s="319" t="s">
        <v>190</v>
      </c>
      <c r="FR48" s="319" t="s">
        <v>190</v>
      </c>
      <c r="FS48" s="319" t="s">
        <v>428</v>
      </c>
      <c r="FT48" s="319" t="s">
        <v>190</v>
      </c>
      <c r="FU48" s="319" t="s">
        <v>190</v>
      </c>
      <c r="FV48" s="319" t="s">
        <v>190</v>
      </c>
      <c r="FW48" s="319" t="s">
        <v>190</v>
      </c>
      <c r="FX48" s="319" t="s">
        <v>190</v>
      </c>
      <c r="FY48" s="319" t="s">
        <v>190</v>
      </c>
      <c r="FZ48" s="319" t="s">
        <v>190</v>
      </c>
      <c r="GA48" s="319" t="s">
        <v>190</v>
      </c>
      <c r="GB48" s="319" t="s">
        <v>190</v>
      </c>
      <c r="GC48" s="319" t="s">
        <v>190</v>
      </c>
      <c r="GD48" s="319" t="s">
        <v>190</v>
      </c>
      <c r="GE48" s="319" t="s">
        <v>190</v>
      </c>
      <c r="GF48" s="319" t="s">
        <v>190</v>
      </c>
      <c r="GG48" s="319" t="s">
        <v>190</v>
      </c>
      <c r="GH48" s="319" t="s">
        <v>190</v>
      </c>
      <c r="GI48" s="319" t="s">
        <v>190</v>
      </c>
      <c r="GJ48" s="319" t="s">
        <v>190</v>
      </c>
      <c r="GK48" s="319" t="s">
        <v>428</v>
      </c>
      <c r="GL48" s="319" t="s">
        <v>190</v>
      </c>
      <c r="GM48" s="319" t="s">
        <v>190</v>
      </c>
      <c r="GN48" s="319" t="s">
        <v>190</v>
      </c>
      <c r="GO48" s="319" t="s">
        <v>190</v>
      </c>
      <c r="GP48" s="319" t="s">
        <v>190</v>
      </c>
      <c r="GQ48" s="319" t="s">
        <v>428</v>
      </c>
      <c r="GR48" s="319" t="s">
        <v>190</v>
      </c>
      <c r="GS48" s="319" t="s">
        <v>190</v>
      </c>
      <c r="GT48" s="319" t="s">
        <v>428</v>
      </c>
      <c r="GU48" s="319" t="s">
        <v>428</v>
      </c>
      <c r="GV48" s="319" t="s">
        <v>190</v>
      </c>
      <c r="GW48" s="319" t="s">
        <v>190</v>
      </c>
      <c r="GX48" s="319" t="s">
        <v>190</v>
      </c>
      <c r="GY48" s="319" t="s">
        <v>190</v>
      </c>
      <c r="GZ48" s="319" t="s">
        <v>428</v>
      </c>
      <c r="HA48" s="319" t="s">
        <v>190</v>
      </c>
      <c r="HB48" s="319" t="s">
        <v>190</v>
      </c>
      <c r="HC48" s="319" t="s">
        <v>190</v>
      </c>
      <c r="HD48" s="319" t="s">
        <v>190</v>
      </c>
      <c r="HE48" s="319" t="s">
        <v>190</v>
      </c>
      <c r="HF48" s="319" t="s">
        <v>190</v>
      </c>
      <c r="HG48" s="319" t="s">
        <v>190</v>
      </c>
      <c r="HH48" s="319" t="s">
        <v>190</v>
      </c>
      <c r="HI48" s="319" t="s">
        <v>190</v>
      </c>
      <c r="HJ48" s="319" t="s">
        <v>190</v>
      </c>
      <c r="HK48" s="319" t="s">
        <v>190</v>
      </c>
      <c r="HL48" s="319" t="s">
        <v>190</v>
      </c>
      <c r="HM48" s="319" t="s">
        <v>190</v>
      </c>
      <c r="HN48" s="319" t="s">
        <v>190</v>
      </c>
      <c r="HO48" s="319" t="s">
        <v>190</v>
      </c>
      <c r="HP48" s="319" t="s">
        <v>190</v>
      </c>
      <c r="HQ48" s="319" t="s">
        <v>190</v>
      </c>
      <c r="HR48" s="319" t="s">
        <v>190</v>
      </c>
      <c r="HS48" s="319" t="s">
        <v>190</v>
      </c>
      <c r="HT48" s="319" t="s">
        <v>190</v>
      </c>
      <c r="HU48" s="319" t="s">
        <v>190</v>
      </c>
      <c r="HV48" s="319" t="s">
        <v>190</v>
      </c>
      <c r="HW48" s="319" t="s">
        <v>190</v>
      </c>
      <c r="HX48" s="319" t="s">
        <v>190</v>
      </c>
      <c r="HY48" s="319" t="s">
        <v>190</v>
      </c>
      <c r="HZ48" s="319" t="s">
        <v>190</v>
      </c>
      <c r="IA48" s="319" t="s">
        <v>190</v>
      </c>
      <c r="IB48" s="319" t="s">
        <v>190</v>
      </c>
      <c r="IC48" s="319" t="s">
        <v>190</v>
      </c>
      <c r="ID48" s="319" t="s">
        <v>190</v>
      </c>
      <c r="IE48" s="319" t="s">
        <v>190</v>
      </c>
      <c r="IF48" s="319" t="s">
        <v>190</v>
      </c>
      <c r="IG48" s="319" t="s">
        <v>190</v>
      </c>
      <c r="IH48" s="319" t="s">
        <v>190</v>
      </c>
      <c r="II48" s="319" t="s">
        <v>190</v>
      </c>
      <c r="IJ48" s="319" t="s">
        <v>2820</v>
      </c>
      <c r="IK48" s="321">
        <v>41955</v>
      </c>
      <c r="IL48" s="321">
        <v>41957</v>
      </c>
      <c r="IM48" s="321">
        <v>42039</v>
      </c>
      <c r="IN48" s="319">
        <v>2</v>
      </c>
      <c r="IO48" s="319" t="s">
        <v>173</v>
      </c>
      <c r="IP48" s="319" t="s">
        <v>173</v>
      </c>
      <c r="IQ48" s="319" t="s">
        <v>173</v>
      </c>
      <c r="IR48" s="320" t="s">
        <v>173</v>
      </c>
      <c r="IS48" s="320" t="s">
        <v>173</v>
      </c>
      <c r="IT48" s="319" t="s">
        <v>173</v>
      </c>
    </row>
    <row r="49" spans="1:254" s="271" customFormat="1" x14ac:dyDescent="0.25">
      <c r="A49" s="318" t="str">
        <f>HYPERLINK("http://www.ofsted.gov.uk/inspection-reports/find-inspection-report/provider/ELS/101387 ","Ofsted School Webpage")</f>
        <v>Ofsted School Webpage</v>
      </c>
      <c r="B49" s="319">
        <v>101387</v>
      </c>
      <c r="C49" s="319">
        <v>3026089</v>
      </c>
      <c r="D49" s="319" t="s">
        <v>1279</v>
      </c>
      <c r="E49" s="319" t="s">
        <v>167</v>
      </c>
      <c r="F49" s="319" t="s">
        <v>69</v>
      </c>
      <c r="G49" s="319" t="s">
        <v>69</v>
      </c>
      <c r="H49" s="319" t="s">
        <v>69</v>
      </c>
      <c r="I49" s="319" t="s">
        <v>69</v>
      </c>
      <c r="J49" s="319" t="s">
        <v>424</v>
      </c>
      <c r="K49" s="319" t="s">
        <v>441</v>
      </c>
      <c r="L49" s="319" t="s">
        <v>441</v>
      </c>
      <c r="M49" s="319" t="s">
        <v>544</v>
      </c>
      <c r="N49" s="319" t="s">
        <v>2818</v>
      </c>
      <c r="O49" s="319" t="s">
        <v>1280</v>
      </c>
      <c r="P49" s="319">
        <v>259</v>
      </c>
      <c r="Q49" s="319" t="s">
        <v>2776</v>
      </c>
      <c r="R49" s="320">
        <v>10035782</v>
      </c>
      <c r="S49" s="321">
        <v>43067</v>
      </c>
      <c r="T49" s="321">
        <v>43069</v>
      </c>
      <c r="U49" s="321">
        <v>43112</v>
      </c>
      <c r="V49" s="319" t="s">
        <v>425</v>
      </c>
      <c r="W49" s="319" t="s">
        <v>2767</v>
      </c>
      <c r="X49" s="319">
        <v>2</v>
      </c>
      <c r="Y49" s="319" t="s">
        <v>173</v>
      </c>
      <c r="Z49" s="319" t="s">
        <v>173</v>
      </c>
      <c r="AA49" s="319" t="s">
        <v>173</v>
      </c>
      <c r="AB49" s="319">
        <v>2</v>
      </c>
      <c r="AC49" s="319" t="s">
        <v>169</v>
      </c>
      <c r="AD49" s="319" t="s">
        <v>173</v>
      </c>
      <c r="AE49" s="319">
        <v>2</v>
      </c>
      <c r="AF49" s="319" t="s">
        <v>427</v>
      </c>
      <c r="AG49" s="319" t="s">
        <v>171</v>
      </c>
      <c r="AH49" s="319" t="s">
        <v>190</v>
      </c>
      <c r="AI49" s="319" t="s">
        <v>190</v>
      </c>
      <c r="AJ49" s="319" t="s">
        <v>190</v>
      </c>
      <c r="AK49" s="319" t="s">
        <v>190</v>
      </c>
      <c r="AL49" s="319" t="s">
        <v>190</v>
      </c>
      <c r="AM49" s="319" t="s">
        <v>190</v>
      </c>
      <c r="AN49" s="319" t="s">
        <v>190</v>
      </c>
      <c r="AO49" s="319" t="s">
        <v>190</v>
      </c>
      <c r="AP49" s="319" t="s">
        <v>190</v>
      </c>
      <c r="AQ49" s="319" t="s">
        <v>190</v>
      </c>
      <c r="AR49" s="319" t="s">
        <v>190</v>
      </c>
      <c r="AS49" s="319" t="s">
        <v>190</v>
      </c>
      <c r="AT49" s="319" t="s">
        <v>190</v>
      </c>
      <c r="AU49" s="319" t="s">
        <v>190</v>
      </c>
      <c r="AV49" s="319" t="s">
        <v>190</v>
      </c>
      <c r="AW49" s="319" t="s">
        <v>190</v>
      </c>
      <c r="AX49" s="319" t="s">
        <v>190</v>
      </c>
      <c r="AY49" s="319" t="s">
        <v>190</v>
      </c>
      <c r="AZ49" s="319" t="s">
        <v>190</v>
      </c>
      <c r="BA49" s="319" t="s">
        <v>190</v>
      </c>
      <c r="BB49" s="319" t="s">
        <v>190</v>
      </c>
      <c r="BC49" s="319" t="s">
        <v>190</v>
      </c>
      <c r="BD49" s="319" t="s">
        <v>190</v>
      </c>
      <c r="BE49" s="319" t="s">
        <v>190</v>
      </c>
      <c r="BF49" s="319" t="s">
        <v>428</v>
      </c>
      <c r="BG49" s="319" t="s">
        <v>190</v>
      </c>
      <c r="BH49" s="319" t="s">
        <v>190</v>
      </c>
      <c r="BI49" s="319" t="s">
        <v>190</v>
      </c>
      <c r="BJ49" s="319" t="s">
        <v>190</v>
      </c>
      <c r="BK49" s="319" t="s">
        <v>190</v>
      </c>
      <c r="BL49" s="319" t="s">
        <v>190</v>
      </c>
      <c r="BM49" s="319" t="s">
        <v>190</v>
      </c>
      <c r="BN49" s="319" t="s">
        <v>190</v>
      </c>
      <c r="BO49" s="319" t="s">
        <v>190</v>
      </c>
      <c r="BP49" s="319" t="s">
        <v>190</v>
      </c>
      <c r="BQ49" s="319" t="s">
        <v>190</v>
      </c>
      <c r="BR49" s="319" t="s">
        <v>190</v>
      </c>
      <c r="BS49" s="319" t="s">
        <v>190</v>
      </c>
      <c r="BT49" s="319" t="s">
        <v>190</v>
      </c>
      <c r="BU49" s="319" t="s">
        <v>190</v>
      </c>
      <c r="BV49" s="319" t="s">
        <v>190</v>
      </c>
      <c r="BW49" s="319" t="s">
        <v>190</v>
      </c>
      <c r="BX49" s="319" t="s">
        <v>190</v>
      </c>
      <c r="BY49" s="319" t="s">
        <v>190</v>
      </c>
      <c r="BZ49" s="319" t="s">
        <v>190</v>
      </c>
      <c r="CA49" s="319" t="s">
        <v>190</v>
      </c>
      <c r="CB49" s="319" t="s">
        <v>190</v>
      </c>
      <c r="CC49" s="319" t="s">
        <v>190</v>
      </c>
      <c r="CD49" s="319" t="s">
        <v>190</v>
      </c>
      <c r="CE49" s="319" t="s">
        <v>190</v>
      </c>
      <c r="CF49" s="319" t="s">
        <v>190</v>
      </c>
      <c r="CG49" s="319" t="s">
        <v>190</v>
      </c>
      <c r="CH49" s="319" t="s">
        <v>190</v>
      </c>
      <c r="CI49" s="319" t="s">
        <v>190</v>
      </c>
      <c r="CJ49" s="319" t="s">
        <v>190</v>
      </c>
      <c r="CK49" s="319" t="s">
        <v>190</v>
      </c>
      <c r="CL49" s="319" t="s">
        <v>190</v>
      </c>
      <c r="CM49" s="319" t="s">
        <v>190</v>
      </c>
      <c r="CN49" s="319" t="s">
        <v>428</v>
      </c>
      <c r="CO49" s="319" t="s">
        <v>428</v>
      </c>
      <c r="CP49" s="319" t="s">
        <v>428</v>
      </c>
      <c r="CQ49" s="319" t="s">
        <v>190</v>
      </c>
      <c r="CR49" s="319" t="s">
        <v>190</v>
      </c>
      <c r="CS49" s="319" t="s">
        <v>190</v>
      </c>
      <c r="CT49" s="319" t="s">
        <v>190</v>
      </c>
      <c r="CU49" s="319" t="s">
        <v>190</v>
      </c>
      <c r="CV49" s="319" t="s">
        <v>190</v>
      </c>
      <c r="CW49" s="319" t="s">
        <v>190</v>
      </c>
      <c r="CX49" s="319" t="s">
        <v>190</v>
      </c>
      <c r="CY49" s="319" t="s">
        <v>190</v>
      </c>
      <c r="CZ49" s="319" t="s">
        <v>190</v>
      </c>
      <c r="DA49" s="319" t="s">
        <v>190</v>
      </c>
      <c r="DB49" s="319" t="s">
        <v>190</v>
      </c>
      <c r="DC49" s="319" t="s">
        <v>190</v>
      </c>
      <c r="DD49" s="319" t="s">
        <v>190</v>
      </c>
      <c r="DE49" s="319" t="s">
        <v>190</v>
      </c>
      <c r="DF49" s="319" t="s">
        <v>190</v>
      </c>
      <c r="DG49" s="319" t="s">
        <v>190</v>
      </c>
      <c r="DH49" s="319" t="s">
        <v>190</v>
      </c>
      <c r="DI49" s="319" t="s">
        <v>190</v>
      </c>
      <c r="DJ49" s="319" t="s">
        <v>190</v>
      </c>
      <c r="DK49" s="319" t="s">
        <v>190</v>
      </c>
      <c r="DL49" s="319" t="s">
        <v>190</v>
      </c>
      <c r="DM49" s="319" t="s">
        <v>190</v>
      </c>
      <c r="DN49" s="319" t="s">
        <v>428</v>
      </c>
      <c r="DO49" s="319" t="s">
        <v>190</v>
      </c>
      <c r="DP49" s="319" t="s">
        <v>190</v>
      </c>
      <c r="DQ49" s="319" t="s">
        <v>190</v>
      </c>
      <c r="DR49" s="319" t="s">
        <v>190</v>
      </c>
      <c r="DS49" s="319" t="s">
        <v>190</v>
      </c>
      <c r="DT49" s="319" t="s">
        <v>190</v>
      </c>
      <c r="DU49" s="319" t="s">
        <v>190</v>
      </c>
      <c r="DV49" s="319" t="s">
        <v>173</v>
      </c>
      <c r="DW49" s="319" t="s">
        <v>190</v>
      </c>
      <c r="DX49" s="319" t="s">
        <v>190</v>
      </c>
      <c r="DY49" s="319" t="s">
        <v>190</v>
      </c>
      <c r="DZ49" s="319" t="s">
        <v>190</v>
      </c>
      <c r="EA49" s="319" t="s">
        <v>190</v>
      </c>
      <c r="EB49" s="319" t="s">
        <v>190</v>
      </c>
      <c r="EC49" s="319" t="s">
        <v>428</v>
      </c>
      <c r="ED49" s="319" t="s">
        <v>190</v>
      </c>
      <c r="EE49" s="319" t="s">
        <v>190</v>
      </c>
      <c r="EF49" s="319" t="s">
        <v>190</v>
      </c>
      <c r="EG49" s="319" t="s">
        <v>190</v>
      </c>
      <c r="EH49" s="319" t="s">
        <v>190</v>
      </c>
      <c r="EI49" s="319" t="s">
        <v>190</v>
      </c>
      <c r="EJ49" s="319" t="s">
        <v>190</v>
      </c>
      <c r="EK49" s="319" t="s">
        <v>190</v>
      </c>
      <c r="EL49" s="319" t="s">
        <v>190</v>
      </c>
      <c r="EM49" s="319" t="s">
        <v>190</v>
      </c>
      <c r="EN49" s="319" t="s">
        <v>190</v>
      </c>
      <c r="EO49" s="319" t="s">
        <v>190</v>
      </c>
      <c r="EP49" s="319" t="s">
        <v>190</v>
      </c>
      <c r="EQ49" s="319" t="s">
        <v>190</v>
      </c>
      <c r="ER49" s="319" t="s">
        <v>190</v>
      </c>
      <c r="ES49" s="319" t="s">
        <v>190</v>
      </c>
      <c r="ET49" s="319" t="s">
        <v>190</v>
      </c>
      <c r="EU49" s="319" t="s">
        <v>190</v>
      </c>
      <c r="EV49" s="319" t="s">
        <v>190</v>
      </c>
      <c r="EW49" s="319" t="s">
        <v>190</v>
      </c>
      <c r="EX49" s="319" t="s">
        <v>190</v>
      </c>
      <c r="EY49" s="319" t="s">
        <v>190</v>
      </c>
      <c r="EZ49" s="319" t="s">
        <v>190</v>
      </c>
      <c r="FA49" s="319" t="s">
        <v>190</v>
      </c>
      <c r="FB49" s="319" t="s">
        <v>190</v>
      </c>
      <c r="FC49" s="319" t="s">
        <v>190</v>
      </c>
      <c r="FD49" s="319" t="s">
        <v>190</v>
      </c>
      <c r="FE49" s="319" t="s">
        <v>190</v>
      </c>
      <c r="FF49" s="319" t="s">
        <v>190</v>
      </c>
      <c r="FG49" s="319" t="s">
        <v>190</v>
      </c>
      <c r="FH49" s="319" t="s">
        <v>190</v>
      </c>
      <c r="FI49" s="319" t="s">
        <v>190</v>
      </c>
      <c r="FJ49" s="319" t="s">
        <v>190</v>
      </c>
      <c r="FK49" s="319" t="s">
        <v>190</v>
      </c>
      <c r="FL49" s="319" t="s">
        <v>190</v>
      </c>
      <c r="FM49" s="319" t="s">
        <v>190</v>
      </c>
      <c r="FN49" s="319" t="s">
        <v>190</v>
      </c>
      <c r="FO49" s="319" t="s">
        <v>190</v>
      </c>
      <c r="FP49" s="319" t="s">
        <v>190</v>
      </c>
      <c r="FQ49" s="319" t="s">
        <v>190</v>
      </c>
      <c r="FR49" s="319" t="s">
        <v>190</v>
      </c>
      <c r="FS49" s="319" t="s">
        <v>428</v>
      </c>
      <c r="FT49" s="319" t="s">
        <v>190</v>
      </c>
      <c r="FU49" s="319" t="s">
        <v>190</v>
      </c>
      <c r="FV49" s="319" t="s">
        <v>190</v>
      </c>
      <c r="FW49" s="319" t="s">
        <v>190</v>
      </c>
      <c r="FX49" s="319" t="s">
        <v>190</v>
      </c>
      <c r="FY49" s="319" t="s">
        <v>190</v>
      </c>
      <c r="FZ49" s="319" t="s">
        <v>190</v>
      </c>
      <c r="GA49" s="319" t="s">
        <v>190</v>
      </c>
      <c r="GB49" s="319" t="s">
        <v>190</v>
      </c>
      <c r="GC49" s="319" t="s">
        <v>190</v>
      </c>
      <c r="GD49" s="319" t="s">
        <v>190</v>
      </c>
      <c r="GE49" s="319" t="s">
        <v>190</v>
      </c>
      <c r="GF49" s="319" t="s">
        <v>190</v>
      </c>
      <c r="GG49" s="319" t="s">
        <v>190</v>
      </c>
      <c r="GH49" s="319" t="s">
        <v>190</v>
      </c>
      <c r="GI49" s="319" t="s">
        <v>190</v>
      </c>
      <c r="GJ49" s="319" t="s">
        <v>190</v>
      </c>
      <c r="GK49" s="319" t="s">
        <v>428</v>
      </c>
      <c r="GL49" s="319" t="s">
        <v>190</v>
      </c>
      <c r="GM49" s="319" t="s">
        <v>190</v>
      </c>
      <c r="GN49" s="319" t="s">
        <v>190</v>
      </c>
      <c r="GO49" s="319" t="s">
        <v>190</v>
      </c>
      <c r="GP49" s="319" t="s">
        <v>190</v>
      </c>
      <c r="GQ49" s="319" t="s">
        <v>190</v>
      </c>
      <c r="GR49" s="319" t="s">
        <v>190</v>
      </c>
      <c r="GS49" s="319" t="s">
        <v>190</v>
      </c>
      <c r="GT49" s="319" t="s">
        <v>190</v>
      </c>
      <c r="GU49" s="319" t="s">
        <v>190</v>
      </c>
      <c r="GV49" s="319" t="s">
        <v>190</v>
      </c>
      <c r="GW49" s="319" t="s">
        <v>190</v>
      </c>
      <c r="GX49" s="319" t="s">
        <v>190</v>
      </c>
      <c r="GY49" s="319" t="s">
        <v>190</v>
      </c>
      <c r="GZ49" s="319" t="s">
        <v>190</v>
      </c>
      <c r="HA49" s="319" t="s">
        <v>190</v>
      </c>
      <c r="HB49" s="319" t="s">
        <v>190</v>
      </c>
      <c r="HC49" s="319" t="s">
        <v>190</v>
      </c>
      <c r="HD49" s="319" t="s">
        <v>190</v>
      </c>
      <c r="HE49" s="319" t="s">
        <v>190</v>
      </c>
      <c r="HF49" s="319" t="s">
        <v>190</v>
      </c>
      <c r="HG49" s="319" t="s">
        <v>190</v>
      </c>
      <c r="HH49" s="319" t="s">
        <v>190</v>
      </c>
      <c r="HI49" s="319" t="s">
        <v>190</v>
      </c>
      <c r="HJ49" s="319" t="s">
        <v>190</v>
      </c>
      <c r="HK49" s="319" t="s">
        <v>190</v>
      </c>
      <c r="HL49" s="319" t="s">
        <v>190</v>
      </c>
      <c r="HM49" s="319" t="s">
        <v>190</v>
      </c>
      <c r="HN49" s="319" t="s">
        <v>190</v>
      </c>
      <c r="HO49" s="319" t="s">
        <v>190</v>
      </c>
      <c r="HP49" s="319" t="s">
        <v>190</v>
      </c>
      <c r="HQ49" s="319" t="s">
        <v>190</v>
      </c>
      <c r="HR49" s="319" t="s">
        <v>190</v>
      </c>
      <c r="HS49" s="319" t="s">
        <v>190</v>
      </c>
      <c r="HT49" s="319" t="s">
        <v>190</v>
      </c>
      <c r="HU49" s="319" t="s">
        <v>190</v>
      </c>
      <c r="HV49" s="319" t="s">
        <v>190</v>
      </c>
      <c r="HW49" s="319" t="s">
        <v>190</v>
      </c>
      <c r="HX49" s="319" t="s">
        <v>190</v>
      </c>
      <c r="HY49" s="319" t="s">
        <v>190</v>
      </c>
      <c r="HZ49" s="319" t="s">
        <v>190</v>
      </c>
      <c r="IA49" s="319" t="s">
        <v>190</v>
      </c>
      <c r="IB49" s="319" t="s">
        <v>190</v>
      </c>
      <c r="IC49" s="319" t="s">
        <v>190</v>
      </c>
      <c r="ID49" s="319" t="s">
        <v>190</v>
      </c>
      <c r="IE49" s="319" t="s">
        <v>190</v>
      </c>
      <c r="IF49" s="319" t="s">
        <v>190</v>
      </c>
      <c r="IG49" s="319" t="s">
        <v>190</v>
      </c>
      <c r="IH49" s="319" t="s">
        <v>190</v>
      </c>
      <c r="II49" s="319" t="s">
        <v>190</v>
      </c>
      <c r="IJ49" s="319" t="s">
        <v>2821</v>
      </c>
      <c r="IK49" s="321">
        <v>42178</v>
      </c>
      <c r="IL49" s="321">
        <v>42180</v>
      </c>
      <c r="IM49" s="321">
        <v>42255</v>
      </c>
      <c r="IN49" s="319">
        <v>4</v>
      </c>
      <c r="IO49" s="319" t="s">
        <v>173</v>
      </c>
      <c r="IP49" s="319" t="s">
        <v>173</v>
      </c>
      <c r="IQ49" s="321" t="s">
        <v>173</v>
      </c>
      <c r="IR49" s="320" t="s">
        <v>173</v>
      </c>
      <c r="IS49" s="322" t="s">
        <v>173</v>
      </c>
      <c r="IT49" s="319" t="s">
        <v>173</v>
      </c>
    </row>
    <row r="50" spans="1:254" s="271" customFormat="1" x14ac:dyDescent="0.25">
      <c r="A50" s="318" t="str">
        <f>HYPERLINK("http://www.ofsted.gov.uk/inspection-reports/find-inspection-report/provider/ELS/101388 ","Ofsted School Webpage")</f>
        <v>Ofsted School Webpage</v>
      </c>
      <c r="B50" s="319">
        <v>101388</v>
      </c>
      <c r="C50" s="319">
        <v>3026092</v>
      </c>
      <c r="D50" s="319" t="s">
        <v>555</v>
      </c>
      <c r="E50" s="319" t="s">
        <v>167</v>
      </c>
      <c r="F50" s="319" t="s">
        <v>81</v>
      </c>
      <c r="G50" s="319" t="s">
        <v>69</v>
      </c>
      <c r="H50" s="319" t="s">
        <v>69</v>
      </c>
      <c r="I50" s="319" t="s">
        <v>69</v>
      </c>
      <c r="J50" s="319" t="s">
        <v>424</v>
      </c>
      <c r="K50" s="319" t="s">
        <v>441</v>
      </c>
      <c r="L50" s="319" t="s">
        <v>441</v>
      </c>
      <c r="M50" s="319" t="s">
        <v>544</v>
      </c>
      <c r="N50" s="319" t="s">
        <v>2818</v>
      </c>
      <c r="O50" s="319" t="s">
        <v>556</v>
      </c>
      <c r="P50" s="319">
        <v>282</v>
      </c>
      <c r="Q50" s="319" t="s">
        <v>2776</v>
      </c>
      <c r="R50" s="320">
        <v>10054284</v>
      </c>
      <c r="S50" s="321">
        <v>43382</v>
      </c>
      <c r="T50" s="321">
        <v>43384</v>
      </c>
      <c r="U50" s="321">
        <v>43410</v>
      </c>
      <c r="V50" s="319" t="s">
        <v>425</v>
      </c>
      <c r="W50" s="319" t="s">
        <v>2767</v>
      </c>
      <c r="X50" s="319">
        <v>2</v>
      </c>
      <c r="Y50" s="319" t="s">
        <v>173</v>
      </c>
      <c r="Z50" s="319" t="s">
        <v>173</v>
      </c>
      <c r="AA50" s="319" t="s">
        <v>173</v>
      </c>
      <c r="AB50" s="319">
        <v>2</v>
      </c>
      <c r="AC50" s="319" t="s">
        <v>169</v>
      </c>
      <c r="AD50" s="319" t="s">
        <v>173</v>
      </c>
      <c r="AE50" s="319" t="s">
        <v>173</v>
      </c>
      <c r="AF50" s="319" t="s">
        <v>427</v>
      </c>
      <c r="AG50" s="319" t="s">
        <v>171</v>
      </c>
      <c r="AH50" s="319" t="s">
        <v>190</v>
      </c>
      <c r="AI50" s="319" t="s">
        <v>190</v>
      </c>
      <c r="AJ50" s="319" t="s">
        <v>190</v>
      </c>
      <c r="AK50" s="319" t="s">
        <v>190</v>
      </c>
      <c r="AL50" s="319" t="s">
        <v>190</v>
      </c>
      <c r="AM50" s="319" t="s">
        <v>190</v>
      </c>
      <c r="AN50" s="319" t="s">
        <v>190</v>
      </c>
      <c r="AO50" s="319" t="s">
        <v>190</v>
      </c>
      <c r="AP50" s="319" t="s">
        <v>190</v>
      </c>
      <c r="AQ50" s="319" t="s">
        <v>190</v>
      </c>
      <c r="AR50" s="319" t="s">
        <v>190</v>
      </c>
      <c r="AS50" s="319" t="s">
        <v>190</v>
      </c>
      <c r="AT50" s="319" t="s">
        <v>190</v>
      </c>
      <c r="AU50" s="319" t="s">
        <v>190</v>
      </c>
      <c r="AV50" s="319" t="s">
        <v>190</v>
      </c>
      <c r="AW50" s="319" t="s">
        <v>190</v>
      </c>
      <c r="AX50" s="319" t="s">
        <v>428</v>
      </c>
      <c r="AY50" s="319" t="s">
        <v>190</v>
      </c>
      <c r="AZ50" s="319" t="s">
        <v>190</v>
      </c>
      <c r="BA50" s="319" t="s">
        <v>190</v>
      </c>
      <c r="BB50" s="319" t="s">
        <v>190</v>
      </c>
      <c r="BC50" s="319" t="s">
        <v>190</v>
      </c>
      <c r="BD50" s="319" t="s">
        <v>190</v>
      </c>
      <c r="BE50" s="319" t="s">
        <v>190</v>
      </c>
      <c r="BF50" s="319" t="s">
        <v>428</v>
      </c>
      <c r="BG50" s="319" t="s">
        <v>428</v>
      </c>
      <c r="BH50" s="319" t="s">
        <v>190</v>
      </c>
      <c r="BI50" s="319" t="s">
        <v>190</v>
      </c>
      <c r="BJ50" s="319" t="s">
        <v>190</v>
      </c>
      <c r="BK50" s="319" t="s">
        <v>190</v>
      </c>
      <c r="BL50" s="319" t="s">
        <v>190</v>
      </c>
      <c r="BM50" s="319" t="s">
        <v>190</v>
      </c>
      <c r="BN50" s="319" t="s">
        <v>190</v>
      </c>
      <c r="BO50" s="319" t="s">
        <v>190</v>
      </c>
      <c r="BP50" s="319" t="s">
        <v>190</v>
      </c>
      <c r="BQ50" s="319" t="s">
        <v>190</v>
      </c>
      <c r="BR50" s="319" t="s">
        <v>190</v>
      </c>
      <c r="BS50" s="319" t="s">
        <v>190</v>
      </c>
      <c r="BT50" s="319" t="s">
        <v>190</v>
      </c>
      <c r="BU50" s="319" t="s">
        <v>190</v>
      </c>
      <c r="BV50" s="319" t="s">
        <v>190</v>
      </c>
      <c r="BW50" s="319" t="s">
        <v>190</v>
      </c>
      <c r="BX50" s="319" t="s">
        <v>190</v>
      </c>
      <c r="BY50" s="319" t="s">
        <v>190</v>
      </c>
      <c r="BZ50" s="319" t="s">
        <v>190</v>
      </c>
      <c r="CA50" s="319" t="s">
        <v>190</v>
      </c>
      <c r="CB50" s="319" t="s">
        <v>190</v>
      </c>
      <c r="CC50" s="319" t="s">
        <v>190</v>
      </c>
      <c r="CD50" s="319" t="s">
        <v>190</v>
      </c>
      <c r="CE50" s="319" t="s">
        <v>190</v>
      </c>
      <c r="CF50" s="319" t="s">
        <v>190</v>
      </c>
      <c r="CG50" s="319" t="s">
        <v>190</v>
      </c>
      <c r="CH50" s="319" t="s">
        <v>190</v>
      </c>
      <c r="CI50" s="319" t="s">
        <v>190</v>
      </c>
      <c r="CJ50" s="319" t="s">
        <v>190</v>
      </c>
      <c r="CK50" s="319" t="s">
        <v>190</v>
      </c>
      <c r="CL50" s="319" t="s">
        <v>190</v>
      </c>
      <c r="CM50" s="319" t="s">
        <v>190</v>
      </c>
      <c r="CN50" s="319" t="s">
        <v>190</v>
      </c>
      <c r="CO50" s="319" t="s">
        <v>428</v>
      </c>
      <c r="CP50" s="319" t="s">
        <v>428</v>
      </c>
      <c r="CQ50" s="319" t="s">
        <v>190</v>
      </c>
      <c r="CR50" s="319" t="s">
        <v>190</v>
      </c>
      <c r="CS50" s="319" t="s">
        <v>190</v>
      </c>
      <c r="CT50" s="319" t="s">
        <v>190</v>
      </c>
      <c r="CU50" s="319" t="s">
        <v>190</v>
      </c>
      <c r="CV50" s="319" t="s">
        <v>190</v>
      </c>
      <c r="CW50" s="319" t="s">
        <v>190</v>
      </c>
      <c r="CX50" s="319" t="s">
        <v>190</v>
      </c>
      <c r="CY50" s="319" t="s">
        <v>190</v>
      </c>
      <c r="CZ50" s="319" t="s">
        <v>190</v>
      </c>
      <c r="DA50" s="319" t="s">
        <v>190</v>
      </c>
      <c r="DB50" s="319" t="s">
        <v>190</v>
      </c>
      <c r="DC50" s="319" t="s">
        <v>190</v>
      </c>
      <c r="DD50" s="319" t="s">
        <v>190</v>
      </c>
      <c r="DE50" s="319" t="s">
        <v>190</v>
      </c>
      <c r="DF50" s="319" t="s">
        <v>190</v>
      </c>
      <c r="DG50" s="319" t="s">
        <v>190</v>
      </c>
      <c r="DH50" s="319" t="s">
        <v>190</v>
      </c>
      <c r="DI50" s="319" t="s">
        <v>190</v>
      </c>
      <c r="DJ50" s="319" t="s">
        <v>190</v>
      </c>
      <c r="DK50" s="319" t="s">
        <v>190</v>
      </c>
      <c r="DL50" s="319" t="s">
        <v>190</v>
      </c>
      <c r="DM50" s="319" t="s">
        <v>190</v>
      </c>
      <c r="DN50" s="319" t="s">
        <v>428</v>
      </c>
      <c r="DO50" s="319" t="s">
        <v>190</v>
      </c>
      <c r="DP50" s="319" t="s">
        <v>428</v>
      </c>
      <c r="DQ50" s="319" t="s">
        <v>428</v>
      </c>
      <c r="DR50" s="319" t="s">
        <v>428</v>
      </c>
      <c r="DS50" s="319" t="s">
        <v>428</v>
      </c>
      <c r="DT50" s="319" t="s">
        <v>428</v>
      </c>
      <c r="DU50" s="319" t="s">
        <v>428</v>
      </c>
      <c r="DV50" s="319" t="s">
        <v>173</v>
      </c>
      <c r="DW50" s="319" t="s">
        <v>428</v>
      </c>
      <c r="DX50" s="319" t="s">
        <v>428</v>
      </c>
      <c r="DY50" s="319" t="s">
        <v>428</v>
      </c>
      <c r="DZ50" s="319" t="s">
        <v>428</v>
      </c>
      <c r="EA50" s="319" t="s">
        <v>428</v>
      </c>
      <c r="EB50" s="319" t="s">
        <v>428</v>
      </c>
      <c r="EC50" s="319" t="s">
        <v>428</v>
      </c>
      <c r="ED50" s="319" t="s">
        <v>428</v>
      </c>
      <c r="EE50" s="319" t="s">
        <v>190</v>
      </c>
      <c r="EF50" s="319" t="s">
        <v>190</v>
      </c>
      <c r="EG50" s="319" t="s">
        <v>190</v>
      </c>
      <c r="EH50" s="319" t="s">
        <v>190</v>
      </c>
      <c r="EI50" s="319" t="s">
        <v>190</v>
      </c>
      <c r="EJ50" s="319" t="s">
        <v>190</v>
      </c>
      <c r="EK50" s="319" t="s">
        <v>190</v>
      </c>
      <c r="EL50" s="319" t="s">
        <v>190</v>
      </c>
      <c r="EM50" s="319" t="s">
        <v>190</v>
      </c>
      <c r="EN50" s="319" t="s">
        <v>190</v>
      </c>
      <c r="EO50" s="319" t="s">
        <v>190</v>
      </c>
      <c r="EP50" s="319" t="s">
        <v>190</v>
      </c>
      <c r="EQ50" s="319" t="s">
        <v>173</v>
      </c>
      <c r="ER50" s="319" t="s">
        <v>190</v>
      </c>
      <c r="ES50" s="319" t="s">
        <v>190</v>
      </c>
      <c r="ET50" s="319" t="s">
        <v>190</v>
      </c>
      <c r="EU50" s="319" t="s">
        <v>190</v>
      </c>
      <c r="EV50" s="319" t="s">
        <v>190</v>
      </c>
      <c r="EW50" s="319" t="s">
        <v>190</v>
      </c>
      <c r="EX50" s="319" t="s">
        <v>190</v>
      </c>
      <c r="EY50" s="319" t="s">
        <v>190</v>
      </c>
      <c r="EZ50" s="319" t="s">
        <v>190</v>
      </c>
      <c r="FA50" s="319" t="s">
        <v>190</v>
      </c>
      <c r="FB50" s="319" t="s">
        <v>428</v>
      </c>
      <c r="FC50" s="319" t="s">
        <v>428</v>
      </c>
      <c r="FD50" s="319" t="s">
        <v>428</v>
      </c>
      <c r="FE50" s="319" t="s">
        <v>428</v>
      </c>
      <c r="FF50" s="319" t="s">
        <v>428</v>
      </c>
      <c r="FG50" s="319" t="s">
        <v>428</v>
      </c>
      <c r="FH50" s="319" t="s">
        <v>190</v>
      </c>
      <c r="FI50" s="319" t="s">
        <v>190</v>
      </c>
      <c r="FJ50" s="319" t="s">
        <v>190</v>
      </c>
      <c r="FK50" s="319" t="s">
        <v>190</v>
      </c>
      <c r="FL50" s="319" t="s">
        <v>190</v>
      </c>
      <c r="FM50" s="319" t="s">
        <v>190</v>
      </c>
      <c r="FN50" s="319" t="s">
        <v>428</v>
      </c>
      <c r="FO50" s="319" t="s">
        <v>190</v>
      </c>
      <c r="FP50" s="319" t="s">
        <v>190</v>
      </c>
      <c r="FQ50" s="319" t="s">
        <v>190</v>
      </c>
      <c r="FR50" s="319" t="s">
        <v>190</v>
      </c>
      <c r="FS50" s="319" t="s">
        <v>428</v>
      </c>
      <c r="FT50" s="319" t="s">
        <v>190</v>
      </c>
      <c r="FU50" s="319" t="s">
        <v>190</v>
      </c>
      <c r="FV50" s="319" t="s">
        <v>190</v>
      </c>
      <c r="FW50" s="319" t="s">
        <v>190</v>
      </c>
      <c r="FX50" s="319" t="s">
        <v>190</v>
      </c>
      <c r="FY50" s="319" t="s">
        <v>190</v>
      </c>
      <c r="FZ50" s="319" t="s">
        <v>190</v>
      </c>
      <c r="GA50" s="319" t="s">
        <v>190</v>
      </c>
      <c r="GB50" s="319" t="s">
        <v>190</v>
      </c>
      <c r="GC50" s="319" t="s">
        <v>190</v>
      </c>
      <c r="GD50" s="319" t="s">
        <v>190</v>
      </c>
      <c r="GE50" s="319" t="s">
        <v>190</v>
      </c>
      <c r="GF50" s="319" t="s">
        <v>190</v>
      </c>
      <c r="GG50" s="319" t="s">
        <v>190</v>
      </c>
      <c r="GH50" s="319" t="s">
        <v>190</v>
      </c>
      <c r="GI50" s="319" t="s">
        <v>190</v>
      </c>
      <c r="GJ50" s="319" t="s">
        <v>190</v>
      </c>
      <c r="GK50" s="319" t="s">
        <v>428</v>
      </c>
      <c r="GL50" s="319" t="s">
        <v>190</v>
      </c>
      <c r="GM50" s="319" t="s">
        <v>190</v>
      </c>
      <c r="GN50" s="319" t="s">
        <v>190</v>
      </c>
      <c r="GO50" s="319" t="s">
        <v>190</v>
      </c>
      <c r="GP50" s="319" t="s">
        <v>190</v>
      </c>
      <c r="GQ50" s="319" t="s">
        <v>428</v>
      </c>
      <c r="GR50" s="319" t="s">
        <v>190</v>
      </c>
      <c r="GS50" s="319" t="s">
        <v>190</v>
      </c>
      <c r="GT50" s="319" t="s">
        <v>428</v>
      </c>
      <c r="GU50" s="319" t="s">
        <v>190</v>
      </c>
      <c r="GV50" s="319" t="s">
        <v>190</v>
      </c>
      <c r="GW50" s="319" t="s">
        <v>190</v>
      </c>
      <c r="GX50" s="319" t="s">
        <v>190</v>
      </c>
      <c r="GY50" s="319" t="s">
        <v>190</v>
      </c>
      <c r="GZ50" s="319" t="s">
        <v>190</v>
      </c>
      <c r="HA50" s="319" t="s">
        <v>428</v>
      </c>
      <c r="HB50" s="319" t="s">
        <v>173</v>
      </c>
      <c r="HC50" s="319" t="s">
        <v>190</v>
      </c>
      <c r="HD50" s="319" t="s">
        <v>190</v>
      </c>
      <c r="HE50" s="319" t="s">
        <v>190</v>
      </c>
      <c r="HF50" s="319" t="s">
        <v>190</v>
      </c>
      <c r="HG50" s="319" t="s">
        <v>190</v>
      </c>
      <c r="HH50" s="319" t="s">
        <v>190</v>
      </c>
      <c r="HI50" s="319" t="s">
        <v>190</v>
      </c>
      <c r="HJ50" s="319" t="s">
        <v>190</v>
      </c>
      <c r="HK50" s="319" t="s">
        <v>190</v>
      </c>
      <c r="HL50" s="319" t="s">
        <v>190</v>
      </c>
      <c r="HM50" s="319" t="s">
        <v>428</v>
      </c>
      <c r="HN50" s="319" t="s">
        <v>428</v>
      </c>
      <c r="HO50" s="319" t="s">
        <v>428</v>
      </c>
      <c r="HP50" s="319" t="s">
        <v>190</v>
      </c>
      <c r="HQ50" s="319" t="s">
        <v>190</v>
      </c>
      <c r="HR50" s="319" t="s">
        <v>190</v>
      </c>
      <c r="HS50" s="319" t="s">
        <v>190</v>
      </c>
      <c r="HT50" s="319" t="s">
        <v>190</v>
      </c>
      <c r="HU50" s="319" t="s">
        <v>190</v>
      </c>
      <c r="HV50" s="319" t="s">
        <v>190</v>
      </c>
      <c r="HW50" s="319" t="s">
        <v>190</v>
      </c>
      <c r="HX50" s="319" t="s">
        <v>190</v>
      </c>
      <c r="HY50" s="319" t="s">
        <v>190</v>
      </c>
      <c r="HZ50" s="319" t="s">
        <v>173</v>
      </c>
      <c r="IA50" s="319" t="s">
        <v>190</v>
      </c>
      <c r="IB50" s="319" t="s">
        <v>190</v>
      </c>
      <c r="IC50" s="319" t="s">
        <v>190</v>
      </c>
      <c r="ID50" s="319" t="s">
        <v>190</v>
      </c>
      <c r="IE50" s="319" t="s">
        <v>190</v>
      </c>
      <c r="IF50" s="319" t="s">
        <v>190</v>
      </c>
      <c r="IG50" s="319" t="s">
        <v>190</v>
      </c>
      <c r="IH50" s="319" t="s">
        <v>190</v>
      </c>
      <c r="II50" s="319" t="s">
        <v>190</v>
      </c>
      <c r="IJ50" s="319">
        <v>10020771</v>
      </c>
      <c r="IK50" s="321">
        <v>42676</v>
      </c>
      <c r="IL50" s="321">
        <v>42678</v>
      </c>
      <c r="IM50" s="321">
        <v>42787</v>
      </c>
      <c r="IN50" s="319">
        <v>4</v>
      </c>
      <c r="IO50" s="319" t="s">
        <v>173</v>
      </c>
      <c r="IP50" s="319" t="s">
        <v>173</v>
      </c>
      <c r="IQ50" s="321" t="s">
        <v>173</v>
      </c>
      <c r="IR50" s="320" t="s">
        <v>173</v>
      </c>
      <c r="IS50" s="322" t="s">
        <v>173</v>
      </c>
      <c r="IT50" s="319" t="s">
        <v>173</v>
      </c>
    </row>
    <row r="51" spans="1:254" s="271" customFormat="1" x14ac:dyDescent="0.25">
      <c r="A51" s="318" t="str">
        <f>HYPERLINK("http://www.ofsted.gov.uk/inspection-reports/find-inspection-report/provider/ELS/101484 ","Ofsted School Webpage")</f>
        <v>Ofsted School Webpage</v>
      </c>
      <c r="B51" s="319">
        <v>101484</v>
      </c>
      <c r="C51" s="319">
        <v>3036060</v>
      </c>
      <c r="D51" s="319" t="s">
        <v>1281</v>
      </c>
      <c r="E51" s="319" t="s">
        <v>167</v>
      </c>
      <c r="F51" s="319" t="s">
        <v>81</v>
      </c>
      <c r="G51" s="319" t="s">
        <v>81</v>
      </c>
      <c r="H51" s="319" t="s">
        <v>81</v>
      </c>
      <c r="I51" s="319" t="s">
        <v>78</v>
      </c>
      <c r="J51" s="319" t="s">
        <v>424</v>
      </c>
      <c r="K51" s="319" t="s">
        <v>441</v>
      </c>
      <c r="L51" s="319" t="s">
        <v>441</v>
      </c>
      <c r="M51" s="319" t="s">
        <v>1167</v>
      </c>
      <c r="N51" s="319" t="s">
        <v>2822</v>
      </c>
      <c r="O51" s="319" t="s">
        <v>1282</v>
      </c>
      <c r="P51" s="319">
        <v>153</v>
      </c>
      <c r="Q51" s="319" t="s">
        <v>2766</v>
      </c>
      <c r="R51" s="320">
        <v>10008542</v>
      </c>
      <c r="S51" s="321">
        <v>43046</v>
      </c>
      <c r="T51" s="321">
        <v>43048</v>
      </c>
      <c r="U51" s="321">
        <v>43087</v>
      </c>
      <c r="V51" s="319" t="s">
        <v>425</v>
      </c>
      <c r="W51" s="319" t="s">
        <v>2767</v>
      </c>
      <c r="X51" s="319">
        <v>2</v>
      </c>
      <c r="Y51" s="319" t="s">
        <v>173</v>
      </c>
      <c r="Z51" s="319" t="s">
        <v>173</v>
      </c>
      <c r="AA51" s="319" t="s">
        <v>173</v>
      </c>
      <c r="AB51" s="319">
        <v>2</v>
      </c>
      <c r="AC51" s="319" t="s">
        <v>169</v>
      </c>
      <c r="AD51" s="319">
        <v>2</v>
      </c>
      <c r="AE51" s="319" t="s">
        <v>173</v>
      </c>
      <c r="AF51" s="319" t="s">
        <v>173</v>
      </c>
      <c r="AG51" s="319" t="s">
        <v>171</v>
      </c>
      <c r="AH51" s="319" t="s">
        <v>190</v>
      </c>
      <c r="AI51" s="319" t="s">
        <v>190</v>
      </c>
      <c r="AJ51" s="319" t="s">
        <v>190</v>
      </c>
      <c r="AK51" s="319" t="s">
        <v>190</v>
      </c>
      <c r="AL51" s="319" t="s">
        <v>190</v>
      </c>
      <c r="AM51" s="319" t="s">
        <v>190</v>
      </c>
      <c r="AN51" s="319" t="s">
        <v>190</v>
      </c>
      <c r="AO51" s="319" t="s">
        <v>190</v>
      </c>
      <c r="AP51" s="319" t="s">
        <v>190</v>
      </c>
      <c r="AQ51" s="319" t="s">
        <v>190</v>
      </c>
      <c r="AR51" s="319" t="s">
        <v>190</v>
      </c>
      <c r="AS51" s="319" t="s">
        <v>190</v>
      </c>
      <c r="AT51" s="319" t="s">
        <v>190</v>
      </c>
      <c r="AU51" s="319" t="s">
        <v>190</v>
      </c>
      <c r="AV51" s="319" t="s">
        <v>190</v>
      </c>
      <c r="AW51" s="319" t="s">
        <v>190</v>
      </c>
      <c r="AX51" s="319" t="s">
        <v>429</v>
      </c>
      <c r="AY51" s="319" t="s">
        <v>190</v>
      </c>
      <c r="AZ51" s="319" t="s">
        <v>190</v>
      </c>
      <c r="BA51" s="319" t="s">
        <v>190</v>
      </c>
      <c r="BB51" s="319" t="s">
        <v>429</v>
      </c>
      <c r="BC51" s="319" t="s">
        <v>429</v>
      </c>
      <c r="BD51" s="319" t="s">
        <v>429</v>
      </c>
      <c r="BE51" s="319" t="s">
        <v>429</v>
      </c>
      <c r="BF51" s="319" t="s">
        <v>190</v>
      </c>
      <c r="BG51" s="319" t="s">
        <v>429</v>
      </c>
      <c r="BH51" s="319" t="s">
        <v>190</v>
      </c>
      <c r="BI51" s="319" t="s">
        <v>190</v>
      </c>
      <c r="BJ51" s="319" t="s">
        <v>190</v>
      </c>
      <c r="BK51" s="319" t="s">
        <v>190</v>
      </c>
      <c r="BL51" s="319" t="s">
        <v>190</v>
      </c>
      <c r="BM51" s="319" t="s">
        <v>190</v>
      </c>
      <c r="BN51" s="319" t="s">
        <v>190</v>
      </c>
      <c r="BO51" s="319" t="s">
        <v>190</v>
      </c>
      <c r="BP51" s="319" t="s">
        <v>190</v>
      </c>
      <c r="BQ51" s="319" t="s">
        <v>190</v>
      </c>
      <c r="BR51" s="319" t="s">
        <v>190</v>
      </c>
      <c r="BS51" s="319" t="s">
        <v>190</v>
      </c>
      <c r="BT51" s="319" t="s">
        <v>190</v>
      </c>
      <c r="BU51" s="319" t="s">
        <v>190</v>
      </c>
      <c r="BV51" s="319" t="s">
        <v>190</v>
      </c>
      <c r="BW51" s="319" t="s">
        <v>190</v>
      </c>
      <c r="BX51" s="319" t="s">
        <v>190</v>
      </c>
      <c r="BY51" s="319" t="s">
        <v>190</v>
      </c>
      <c r="BZ51" s="319" t="s">
        <v>190</v>
      </c>
      <c r="CA51" s="319" t="s">
        <v>190</v>
      </c>
      <c r="CB51" s="319" t="s">
        <v>190</v>
      </c>
      <c r="CC51" s="319" t="s">
        <v>190</v>
      </c>
      <c r="CD51" s="319" t="s">
        <v>190</v>
      </c>
      <c r="CE51" s="319" t="s">
        <v>190</v>
      </c>
      <c r="CF51" s="319" t="s">
        <v>190</v>
      </c>
      <c r="CG51" s="319" t="s">
        <v>190</v>
      </c>
      <c r="CH51" s="319" t="s">
        <v>190</v>
      </c>
      <c r="CI51" s="319" t="s">
        <v>190</v>
      </c>
      <c r="CJ51" s="319" t="s">
        <v>190</v>
      </c>
      <c r="CK51" s="319" t="s">
        <v>190</v>
      </c>
      <c r="CL51" s="319" t="s">
        <v>190</v>
      </c>
      <c r="CM51" s="319" t="s">
        <v>190</v>
      </c>
      <c r="CN51" s="319" t="s">
        <v>429</v>
      </c>
      <c r="CO51" s="319" t="s">
        <v>429</v>
      </c>
      <c r="CP51" s="319" t="s">
        <v>429</v>
      </c>
      <c r="CQ51" s="319" t="s">
        <v>190</v>
      </c>
      <c r="CR51" s="319" t="s">
        <v>190</v>
      </c>
      <c r="CS51" s="319" t="s">
        <v>190</v>
      </c>
      <c r="CT51" s="319" t="s">
        <v>190</v>
      </c>
      <c r="CU51" s="319" t="s">
        <v>190</v>
      </c>
      <c r="CV51" s="319" t="s">
        <v>190</v>
      </c>
      <c r="CW51" s="319" t="s">
        <v>190</v>
      </c>
      <c r="CX51" s="319" t="s">
        <v>190</v>
      </c>
      <c r="CY51" s="319" t="s">
        <v>190</v>
      </c>
      <c r="CZ51" s="319" t="s">
        <v>190</v>
      </c>
      <c r="DA51" s="319" t="s">
        <v>190</v>
      </c>
      <c r="DB51" s="319" t="s">
        <v>190</v>
      </c>
      <c r="DC51" s="319" t="s">
        <v>190</v>
      </c>
      <c r="DD51" s="319" t="s">
        <v>190</v>
      </c>
      <c r="DE51" s="319" t="s">
        <v>190</v>
      </c>
      <c r="DF51" s="319" t="s">
        <v>190</v>
      </c>
      <c r="DG51" s="319" t="s">
        <v>190</v>
      </c>
      <c r="DH51" s="319" t="s">
        <v>190</v>
      </c>
      <c r="DI51" s="319" t="s">
        <v>190</v>
      </c>
      <c r="DJ51" s="319" t="s">
        <v>190</v>
      </c>
      <c r="DK51" s="319" t="s">
        <v>190</v>
      </c>
      <c r="DL51" s="319" t="s">
        <v>190</v>
      </c>
      <c r="DM51" s="319" t="s">
        <v>190</v>
      </c>
      <c r="DN51" s="319" t="s">
        <v>429</v>
      </c>
      <c r="DO51" s="319" t="s">
        <v>190</v>
      </c>
      <c r="DP51" s="319" t="s">
        <v>190</v>
      </c>
      <c r="DQ51" s="319" t="s">
        <v>190</v>
      </c>
      <c r="DR51" s="319" t="s">
        <v>190</v>
      </c>
      <c r="DS51" s="319" t="s">
        <v>190</v>
      </c>
      <c r="DT51" s="319" t="s">
        <v>190</v>
      </c>
      <c r="DU51" s="319" t="s">
        <v>190</v>
      </c>
      <c r="DV51" s="319" t="s">
        <v>173</v>
      </c>
      <c r="DW51" s="319" t="s">
        <v>190</v>
      </c>
      <c r="DX51" s="319" t="s">
        <v>190</v>
      </c>
      <c r="DY51" s="319" t="s">
        <v>190</v>
      </c>
      <c r="DZ51" s="319" t="s">
        <v>190</v>
      </c>
      <c r="EA51" s="319" t="s">
        <v>190</v>
      </c>
      <c r="EB51" s="319" t="s">
        <v>190</v>
      </c>
      <c r="EC51" s="319" t="s">
        <v>429</v>
      </c>
      <c r="ED51" s="319" t="s">
        <v>190</v>
      </c>
      <c r="EE51" s="319" t="s">
        <v>190</v>
      </c>
      <c r="EF51" s="319" t="s">
        <v>190</v>
      </c>
      <c r="EG51" s="319" t="s">
        <v>190</v>
      </c>
      <c r="EH51" s="319" t="s">
        <v>190</v>
      </c>
      <c r="EI51" s="319" t="s">
        <v>190</v>
      </c>
      <c r="EJ51" s="319" t="s">
        <v>190</v>
      </c>
      <c r="EK51" s="319" t="s">
        <v>190</v>
      </c>
      <c r="EL51" s="319" t="s">
        <v>190</v>
      </c>
      <c r="EM51" s="319" t="s">
        <v>190</v>
      </c>
      <c r="EN51" s="319" t="s">
        <v>190</v>
      </c>
      <c r="EO51" s="319" t="s">
        <v>190</v>
      </c>
      <c r="EP51" s="319" t="s">
        <v>190</v>
      </c>
      <c r="EQ51" s="319" t="s">
        <v>190</v>
      </c>
      <c r="ER51" s="319" t="s">
        <v>190</v>
      </c>
      <c r="ES51" s="319" t="s">
        <v>190</v>
      </c>
      <c r="ET51" s="319" t="s">
        <v>190</v>
      </c>
      <c r="EU51" s="319" t="s">
        <v>190</v>
      </c>
      <c r="EV51" s="319" t="s">
        <v>190</v>
      </c>
      <c r="EW51" s="319" t="s">
        <v>190</v>
      </c>
      <c r="EX51" s="319" t="s">
        <v>190</v>
      </c>
      <c r="EY51" s="319" t="s">
        <v>190</v>
      </c>
      <c r="EZ51" s="319" t="s">
        <v>190</v>
      </c>
      <c r="FA51" s="319" t="s">
        <v>190</v>
      </c>
      <c r="FB51" s="319" t="s">
        <v>190</v>
      </c>
      <c r="FC51" s="319" t="s">
        <v>190</v>
      </c>
      <c r="FD51" s="319" t="s">
        <v>190</v>
      </c>
      <c r="FE51" s="319" t="s">
        <v>190</v>
      </c>
      <c r="FF51" s="319" t="s">
        <v>190</v>
      </c>
      <c r="FG51" s="319" t="s">
        <v>190</v>
      </c>
      <c r="FH51" s="319" t="s">
        <v>190</v>
      </c>
      <c r="FI51" s="319" t="s">
        <v>190</v>
      </c>
      <c r="FJ51" s="319" t="s">
        <v>190</v>
      </c>
      <c r="FK51" s="319" t="s">
        <v>190</v>
      </c>
      <c r="FL51" s="319" t="s">
        <v>190</v>
      </c>
      <c r="FM51" s="319" t="s">
        <v>190</v>
      </c>
      <c r="FN51" s="319" t="s">
        <v>190</v>
      </c>
      <c r="FO51" s="319" t="s">
        <v>429</v>
      </c>
      <c r="FP51" s="319" t="s">
        <v>190</v>
      </c>
      <c r="FQ51" s="319" t="s">
        <v>190</v>
      </c>
      <c r="FR51" s="319" t="s">
        <v>190</v>
      </c>
      <c r="FS51" s="319" t="s">
        <v>190</v>
      </c>
      <c r="FT51" s="319" t="s">
        <v>190</v>
      </c>
      <c r="FU51" s="319" t="s">
        <v>190</v>
      </c>
      <c r="FV51" s="319" t="s">
        <v>190</v>
      </c>
      <c r="FW51" s="319" t="s">
        <v>190</v>
      </c>
      <c r="FX51" s="319" t="s">
        <v>190</v>
      </c>
      <c r="FY51" s="319" t="s">
        <v>190</v>
      </c>
      <c r="FZ51" s="319" t="s">
        <v>190</v>
      </c>
      <c r="GA51" s="319" t="s">
        <v>190</v>
      </c>
      <c r="GB51" s="319" t="s">
        <v>190</v>
      </c>
      <c r="GC51" s="319" t="s">
        <v>190</v>
      </c>
      <c r="GD51" s="319" t="s">
        <v>190</v>
      </c>
      <c r="GE51" s="319" t="s">
        <v>190</v>
      </c>
      <c r="GF51" s="319" t="s">
        <v>190</v>
      </c>
      <c r="GG51" s="319" t="s">
        <v>190</v>
      </c>
      <c r="GH51" s="319" t="s">
        <v>190</v>
      </c>
      <c r="GI51" s="319" t="s">
        <v>190</v>
      </c>
      <c r="GJ51" s="319" t="s">
        <v>190</v>
      </c>
      <c r="GK51" s="319" t="s">
        <v>429</v>
      </c>
      <c r="GL51" s="319" t="s">
        <v>190</v>
      </c>
      <c r="GM51" s="319" t="s">
        <v>190</v>
      </c>
      <c r="GN51" s="319" t="s">
        <v>190</v>
      </c>
      <c r="GO51" s="319" t="s">
        <v>190</v>
      </c>
      <c r="GP51" s="319" t="s">
        <v>190</v>
      </c>
      <c r="GQ51" s="319" t="s">
        <v>190</v>
      </c>
      <c r="GR51" s="319" t="s">
        <v>190</v>
      </c>
      <c r="GS51" s="319" t="s">
        <v>190</v>
      </c>
      <c r="GT51" s="319" t="s">
        <v>190</v>
      </c>
      <c r="GU51" s="319" t="s">
        <v>190</v>
      </c>
      <c r="GV51" s="319" t="s">
        <v>190</v>
      </c>
      <c r="GW51" s="319" t="s">
        <v>190</v>
      </c>
      <c r="GX51" s="319" t="s">
        <v>190</v>
      </c>
      <c r="GY51" s="319" t="s">
        <v>190</v>
      </c>
      <c r="GZ51" s="319" t="s">
        <v>429</v>
      </c>
      <c r="HA51" s="319" t="s">
        <v>190</v>
      </c>
      <c r="HB51" s="319" t="s">
        <v>190</v>
      </c>
      <c r="HC51" s="319" t="s">
        <v>190</v>
      </c>
      <c r="HD51" s="319" t="s">
        <v>190</v>
      </c>
      <c r="HE51" s="319" t="s">
        <v>190</v>
      </c>
      <c r="HF51" s="319" t="s">
        <v>190</v>
      </c>
      <c r="HG51" s="319" t="s">
        <v>190</v>
      </c>
      <c r="HH51" s="319" t="s">
        <v>190</v>
      </c>
      <c r="HI51" s="319" t="s">
        <v>190</v>
      </c>
      <c r="HJ51" s="319" t="s">
        <v>190</v>
      </c>
      <c r="HK51" s="319" t="s">
        <v>190</v>
      </c>
      <c r="HL51" s="319" t="s">
        <v>429</v>
      </c>
      <c r="HM51" s="319" t="s">
        <v>429</v>
      </c>
      <c r="HN51" s="319" t="s">
        <v>429</v>
      </c>
      <c r="HO51" s="319" t="s">
        <v>429</v>
      </c>
      <c r="HP51" s="319" t="s">
        <v>190</v>
      </c>
      <c r="HQ51" s="319" t="s">
        <v>190</v>
      </c>
      <c r="HR51" s="319" t="s">
        <v>190</v>
      </c>
      <c r="HS51" s="319" t="s">
        <v>190</v>
      </c>
      <c r="HT51" s="319" t="s">
        <v>190</v>
      </c>
      <c r="HU51" s="319" t="s">
        <v>190</v>
      </c>
      <c r="HV51" s="319" t="s">
        <v>190</v>
      </c>
      <c r="HW51" s="319" t="s">
        <v>190</v>
      </c>
      <c r="HX51" s="319" t="s">
        <v>190</v>
      </c>
      <c r="HY51" s="319" t="s">
        <v>190</v>
      </c>
      <c r="HZ51" s="319" t="s">
        <v>190</v>
      </c>
      <c r="IA51" s="319" t="s">
        <v>190</v>
      </c>
      <c r="IB51" s="319" t="s">
        <v>190</v>
      </c>
      <c r="IC51" s="319" t="s">
        <v>190</v>
      </c>
      <c r="ID51" s="319" t="s">
        <v>190</v>
      </c>
      <c r="IE51" s="319" t="s">
        <v>190</v>
      </c>
      <c r="IF51" s="319" t="s">
        <v>190</v>
      </c>
      <c r="IG51" s="319" t="s">
        <v>190</v>
      </c>
      <c r="IH51" s="319" t="s">
        <v>190</v>
      </c>
      <c r="II51" s="319" t="s">
        <v>190</v>
      </c>
      <c r="IJ51" s="319" t="s">
        <v>2823</v>
      </c>
      <c r="IK51" s="321">
        <v>40358</v>
      </c>
      <c r="IL51" s="321">
        <v>40358</v>
      </c>
      <c r="IM51" s="321">
        <v>40372</v>
      </c>
      <c r="IN51" s="319">
        <v>2</v>
      </c>
      <c r="IO51" s="319" t="s">
        <v>173</v>
      </c>
      <c r="IP51" s="319" t="s">
        <v>173</v>
      </c>
      <c r="IQ51" s="321" t="s">
        <v>173</v>
      </c>
      <c r="IR51" s="320" t="s">
        <v>173</v>
      </c>
      <c r="IS51" s="322" t="s">
        <v>173</v>
      </c>
      <c r="IT51" s="319" t="s">
        <v>173</v>
      </c>
    </row>
    <row r="52" spans="1:254" s="271" customFormat="1" x14ac:dyDescent="0.25">
      <c r="A52" s="318" t="str">
        <f>HYPERLINK("http://www.ofsted.gov.uk/inspection-reports/find-inspection-report/provider/ELS/101573 ","Ofsted School Webpage")</f>
        <v>Ofsted School Webpage</v>
      </c>
      <c r="B52" s="319">
        <v>101573</v>
      </c>
      <c r="C52" s="319">
        <v>3076007</v>
      </c>
      <c r="D52" s="319" t="s">
        <v>448</v>
      </c>
      <c r="E52" s="319" t="s">
        <v>167</v>
      </c>
      <c r="F52" s="319" t="s">
        <v>81</v>
      </c>
      <c r="G52" s="319" t="s">
        <v>81</v>
      </c>
      <c r="H52" s="319" t="s">
        <v>81</v>
      </c>
      <c r="I52" s="319" t="s">
        <v>78</v>
      </c>
      <c r="J52" s="319" t="s">
        <v>424</v>
      </c>
      <c r="K52" s="319" t="s">
        <v>441</v>
      </c>
      <c r="L52" s="319" t="s">
        <v>441</v>
      </c>
      <c r="M52" s="319" t="s">
        <v>442</v>
      </c>
      <c r="N52" s="319" t="s">
        <v>2824</v>
      </c>
      <c r="O52" s="319" t="s">
        <v>449</v>
      </c>
      <c r="P52" s="319">
        <v>27</v>
      </c>
      <c r="Q52" s="319" t="s">
        <v>2766</v>
      </c>
      <c r="R52" s="320">
        <v>10054289</v>
      </c>
      <c r="S52" s="321">
        <v>43361</v>
      </c>
      <c r="T52" s="321">
        <v>43363</v>
      </c>
      <c r="U52" s="321">
        <v>43383</v>
      </c>
      <c r="V52" s="319" t="s">
        <v>425</v>
      </c>
      <c r="W52" s="319" t="s">
        <v>2767</v>
      </c>
      <c r="X52" s="319">
        <v>2</v>
      </c>
      <c r="Y52" s="319" t="s">
        <v>173</v>
      </c>
      <c r="Z52" s="319" t="s">
        <v>173</v>
      </c>
      <c r="AA52" s="319" t="s">
        <v>173</v>
      </c>
      <c r="AB52" s="319">
        <v>2</v>
      </c>
      <c r="AC52" s="319" t="s">
        <v>169</v>
      </c>
      <c r="AD52" s="319">
        <v>2</v>
      </c>
      <c r="AE52" s="319" t="s">
        <v>173</v>
      </c>
      <c r="AF52" s="319" t="s">
        <v>427</v>
      </c>
      <c r="AG52" s="319" t="s">
        <v>171</v>
      </c>
      <c r="AH52" s="319" t="s">
        <v>190</v>
      </c>
      <c r="AI52" s="319" t="s">
        <v>190</v>
      </c>
      <c r="AJ52" s="319" t="s">
        <v>190</v>
      </c>
      <c r="AK52" s="319" t="s">
        <v>190</v>
      </c>
      <c r="AL52" s="319" t="s">
        <v>190</v>
      </c>
      <c r="AM52" s="319" t="s">
        <v>190</v>
      </c>
      <c r="AN52" s="319" t="s">
        <v>190</v>
      </c>
      <c r="AO52" s="319" t="s">
        <v>190</v>
      </c>
      <c r="AP52" s="319" t="s">
        <v>190</v>
      </c>
      <c r="AQ52" s="319" t="s">
        <v>190</v>
      </c>
      <c r="AR52" s="319" t="s">
        <v>190</v>
      </c>
      <c r="AS52" s="319" t="s">
        <v>190</v>
      </c>
      <c r="AT52" s="319" t="s">
        <v>190</v>
      </c>
      <c r="AU52" s="319" t="s">
        <v>190</v>
      </c>
      <c r="AV52" s="319" t="s">
        <v>190</v>
      </c>
      <c r="AW52" s="319" t="s">
        <v>190</v>
      </c>
      <c r="AX52" s="319" t="s">
        <v>190</v>
      </c>
      <c r="AY52" s="319" t="s">
        <v>190</v>
      </c>
      <c r="AZ52" s="319" t="s">
        <v>190</v>
      </c>
      <c r="BA52" s="319" t="s">
        <v>190</v>
      </c>
      <c r="BB52" s="319" t="s">
        <v>428</v>
      </c>
      <c r="BC52" s="319" t="s">
        <v>428</v>
      </c>
      <c r="BD52" s="319" t="s">
        <v>428</v>
      </c>
      <c r="BE52" s="319" t="s">
        <v>428</v>
      </c>
      <c r="BF52" s="319" t="s">
        <v>190</v>
      </c>
      <c r="BG52" s="319" t="s">
        <v>428</v>
      </c>
      <c r="BH52" s="319" t="s">
        <v>190</v>
      </c>
      <c r="BI52" s="319" t="s">
        <v>190</v>
      </c>
      <c r="BJ52" s="319" t="s">
        <v>190</v>
      </c>
      <c r="BK52" s="319" t="s">
        <v>190</v>
      </c>
      <c r="BL52" s="319" t="s">
        <v>190</v>
      </c>
      <c r="BM52" s="319" t="s">
        <v>190</v>
      </c>
      <c r="BN52" s="319" t="s">
        <v>190</v>
      </c>
      <c r="BO52" s="319" t="s">
        <v>190</v>
      </c>
      <c r="BP52" s="319" t="s">
        <v>190</v>
      </c>
      <c r="BQ52" s="319" t="s">
        <v>190</v>
      </c>
      <c r="BR52" s="319" t="s">
        <v>190</v>
      </c>
      <c r="BS52" s="319" t="s">
        <v>190</v>
      </c>
      <c r="BT52" s="319" t="s">
        <v>190</v>
      </c>
      <c r="BU52" s="319" t="s">
        <v>190</v>
      </c>
      <c r="BV52" s="319" t="s">
        <v>190</v>
      </c>
      <c r="BW52" s="319" t="s">
        <v>190</v>
      </c>
      <c r="BX52" s="319" t="s">
        <v>190</v>
      </c>
      <c r="BY52" s="319" t="s">
        <v>190</v>
      </c>
      <c r="BZ52" s="319" t="s">
        <v>190</v>
      </c>
      <c r="CA52" s="319" t="s">
        <v>190</v>
      </c>
      <c r="CB52" s="319" t="s">
        <v>190</v>
      </c>
      <c r="CC52" s="319" t="s">
        <v>190</v>
      </c>
      <c r="CD52" s="319" t="s">
        <v>190</v>
      </c>
      <c r="CE52" s="319" t="s">
        <v>190</v>
      </c>
      <c r="CF52" s="319" t="s">
        <v>190</v>
      </c>
      <c r="CG52" s="319" t="s">
        <v>190</v>
      </c>
      <c r="CH52" s="319" t="s">
        <v>190</v>
      </c>
      <c r="CI52" s="319" t="s">
        <v>190</v>
      </c>
      <c r="CJ52" s="319" t="s">
        <v>190</v>
      </c>
      <c r="CK52" s="319" t="s">
        <v>190</v>
      </c>
      <c r="CL52" s="319" t="s">
        <v>190</v>
      </c>
      <c r="CM52" s="319" t="s">
        <v>190</v>
      </c>
      <c r="CN52" s="319" t="s">
        <v>428</v>
      </c>
      <c r="CO52" s="319" t="s">
        <v>428</v>
      </c>
      <c r="CP52" s="319" t="s">
        <v>428</v>
      </c>
      <c r="CQ52" s="319" t="s">
        <v>190</v>
      </c>
      <c r="CR52" s="319" t="s">
        <v>190</v>
      </c>
      <c r="CS52" s="319" t="s">
        <v>190</v>
      </c>
      <c r="CT52" s="319" t="s">
        <v>190</v>
      </c>
      <c r="CU52" s="319" t="s">
        <v>190</v>
      </c>
      <c r="CV52" s="319" t="s">
        <v>190</v>
      </c>
      <c r="CW52" s="319" t="s">
        <v>190</v>
      </c>
      <c r="CX52" s="319" t="s">
        <v>190</v>
      </c>
      <c r="CY52" s="319" t="s">
        <v>190</v>
      </c>
      <c r="CZ52" s="319" t="s">
        <v>190</v>
      </c>
      <c r="DA52" s="319" t="s">
        <v>190</v>
      </c>
      <c r="DB52" s="319" t="s">
        <v>190</v>
      </c>
      <c r="DC52" s="319" t="s">
        <v>190</v>
      </c>
      <c r="DD52" s="319" t="s">
        <v>190</v>
      </c>
      <c r="DE52" s="319" t="s">
        <v>190</v>
      </c>
      <c r="DF52" s="319" t="s">
        <v>190</v>
      </c>
      <c r="DG52" s="319" t="s">
        <v>190</v>
      </c>
      <c r="DH52" s="319" t="s">
        <v>190</v>
      </c>
      <c r="DI52" s="319" t="s">
        <v>190</v>
      </c>
      <c r="DJ52" s="319" t="s">
        <v>190</v>
      </c>
      <c r="DK52" s="319" t="s">
        <v>190</v>
      </c>
      <c r="DL52" s="319" t="s">
        <v>190</v>
      </c>
      <c r="DM52" s="319" t="s">
        <v>190</v>
      </c>
      <c r="DN52" s="319" t="s">
        <v>190</v>
      </c>
      <c r="DO52" s="319" t="s">
        <v>190</v>
      </c>
      <c r="DP52" s="319" t="s">
        <v>428</v>
      </c>
      <c r="DQ52" s="319" t="s">
        <v>428</v>
      </c>
      <c r="DR52" s="319" t="s">
        <v>428</v>
      </c>
      <c r="DS52" s="319" t="s">
        <v>428</v>
      </c>
      <c r="DT52" s="319" t="s">
        <v>428</v>
      </c>
      <c r="DU52" s="319" t="s">
        <v>428</v>
      </c>
      <c r="DV52" s="319" t="s">
        <v>173</v>
      </c>
      <c r="DW52" s="319" t="s">
        <v>428</v>
      </c>
      <c r="DX52" s="319" t="s">
        <v>428</v>
      </c>
      <c r="DY52" s="319" t="s">
        <v>428</v>
      </c>
      <c r="DZ52" s="319" t="s">
        <v>428</v>
      </c>
      <c r="EA52" s="319" t="s">
        <v>428</v>
      </c>
      <c r="EB52" s="319" t="s">
        <v>428</v>
      </c>
      <c r="EC52" s="319" t="s">
        <v>428</v>
      </c>
      <c r="ED52" s="319" t="s">
        <v>428</v>
      </c>
      <c r="EE52" s="319" t="s">
        <v>190</v>
      </c>
      <c r="EF52" s="319" t="s">
        <v>190</v>
      </c>
      <c r="EG52" s="319" t="s">
        <v>190</v>
      </c>
      <c r="EH52" s="319" t="s">
        <v>190</v>
      </c>
      <c r="EI52" s="319" t="s">
        <v>190</v>
      </c>
      <c r="EJ52" s="319" t="s">
        <v>190</v>
      </c>
      <c r="EK52" s="319" t="s">
        <v>190</v>
      </c>
      <c r="EL52" s="319" t="s">
        <v>190</v>
      </c>
      <c r="EM52" s="319" t="s">
        <v>190</v>
      </c>
      <c r="EN52" s="319" t="s">
        <v>190</v>
      </c>
      <c r="EO52" s="319" t="s">
        <v>190</v>
      </c>
      <c r="EP52" s="319" t="s">
        <v>190</v>
      </c>
      <c r="EQ52" s="319" t="s">
        <v>190</v>
      </c>
      <c r="ER52" s="319" t="s">
        <v>190</v>
      </c>
      <c r="ES52" s="319" t="s">
        <v>190</v>
      </c>
      <c r="ET52" s="319" t="s">
        <v>190</v>
      </c>
      <c r="EU52" s="319" t="s">
        <v>190</v>
      </c>
      <c r="EV52" s="319" t="s">
        <v>190</v>
      </c>
      <c r="EW52" s="319" t="s">
        <v>190</v>
      </c>
      <c r="EX52" s="319" t="s">
        <v>190</v>
      </c>
      <c r="EY52" s="319" t="s">
        <v>190</v>
      </c>
      <c r="EZ52" s="319" t="s">
        <v>190</v>
      </c>
      <c r="FA52" s="319" t="s">
        <v>190</v>
      </c>
      <c r="FB52" s="319" t="s">
        <v>428</v>
      </c>
      <c r="FC52" s="319" t="s">
        <v>428</v>
      </c>
      <c r="FD52" s="319" t="s">
        <v>428</v>
      </c>
      <c r="FE52" s="319" t="s">
        <v>428</v>
      </c>
      <c r="FF52" s="319" t="s">
        <v>428</v>
      </c>
      <c r="FG52" s="319" t="s">
        <v>428</v>
      </c>
      <c r="FH52" s="319" t="s">
        <v>190</v>
      </c>
      <c r="FI52" s="319" t="s">
        <v>190</v>
      </c>
      <c r="FJ52" s="319" t="s">
        <v>190</v>
      </c>
      <c r="FK52" s="319" t="s">
        <v>190</v>
      </c>
      <c r="FL52" s="319" t="s">
        <v>190</v>
      </c>
      <c r="FM52" s="319" t="s">
        <v>190</v>
      </c>
      <c r="FN52" s="319" t="s">
        <v>190</v>
      </c>
      <c r="FO52" s="319" t="s">
        <v>428</v>
      </c>
      <c r="FP52" s="319" t="s">
        <v>190</v>
      </c>
      <c r="FQ52" s="319" t="s">
        <v>190</v>
      </c>
      <c r="FR52" s="319" t="s">
        <v>190</v>
      </c>
      <c r="FS52" s="319" t="s">
        <v>428</v>
      </c>
      <c r="FT52" s="319" t="s">
        <v>190</v>
      </c>
      <c r="FU52" s="319" t="s">
        <v>190</v>
      </c>
      <c r="FV52" s="319" t="s">
        <v>190</v>
      </c>
      <c r="FW52" s="319" t="s">
        <v>190</v>
      </c>
      <c r="FX52" s="319" t="s">
        <v>190</v>
      </c>
      <c r="FY52" s="319" t="s">
        <v>190</v>
      </c>
      <c r="FZ52" s="319" t="s">
        <v>190</v>
      </c>
      <c r="GA52" s="319" t="s">
        <v>190</v>
      </c>
      <c r="GB52" s="319" t="s">
        <v>190</v>
      </c>
      <c r="GC52" s="319" t="s">
        <v>190</v>
      </c>
      <c r="GD52" s="319" t="s">
        <v>190</v>
      </c>
      <c r="GE52" s="319" t="s">
        <v>190</v>
      </c>
      <c r="GF52" s="319" t="s">
        <v>190</v>
      </c>
      <c r="GG52" s="319" t="s">
        <v>190</v>
      </c>
      <c r="GH52" s="319" t="s">
        <v>190</v>
      </c>
      <c r="GI52" s="319" t="s">
        <v>190</v>
      </c>
      <c r="GJ52" s="319" t="s">
        <v>190</v>
      </c>
      <c r="GK52" s="319" t="s">
        <v>428</v>
      </c>
      <c r="GL52" s="319" t="s">
        <v>190</v>
      </c>
      <c r="GM52" s="319" t="s">
        <v>190</v>
      </c>
      <c r="GN52" s="319" t="s">
        <v>190</v>
      </c>
      <c r="GO52" s="319" t="s">
        <v>190</v>
      </c>
      <c r="GP52" s="319" t="s">
        <v>190</v>
      </c>
      <c r="GQ52" s="319" t="s">
        <v>428</v>
      </c>
      <c r="GR52" s="319" t="s">
        <v>190</v>
      </c>
      <c r="GS52" s="319" t="s">
        <v>190</v>
      </c>
      <c r="GT52" s="319" t="s">
        <v>190</v>
      </c>
      <c r="GU52" s="319" t="s">
        <v>190</v>
      </c>
      <c r="GV52" s="319" t="s">
        <v>190</v>
      </c>
      <c r="GW52" s="319" t="s">
        <v>190</v>
      </c>
      <c r="GX52" s="319" t="s">
        <v>190</v>
      </c>
      <c r="GY52" s="319" t="s">
        <v>190</v>
      </c>
      <c r="GZ52" s="319" t="s">
        <v>428</v>
      </c>
      <c r="HA52" s="319" t="s">
        <v>190</v>
      </c>
      <c r="HB52" s="319" t="s">
        <v>190</v>
      </c>
      <c r="HC52" s="319" t="s">
        <v>190</v>
      </c>
      <c r="HD52" s="319" t="s">
        <v>190</v>
      </c>
      <c r="HE52" s="319" t="s">
        <v>190</v>
      </c>
      <c r="HF52" s="319" t="s">
        <v>190</v>
      </c>
      <c r="HG52" s="319" t="s">
        <v>190</v>
      </c>
      <c r="HH52" s="319" t="s">
        <v>190</v>
      </c>
      <c r="HI52" s="319" t="s">
        <v>190</v>
      </c>
      <c r="HJ52" s="319" t="s">
        <v>190</v>
      </c>
      <c r="HK52" s="319" t="s">
        <v>190</v>
      </c>
      <c r="HL52" s="319" t="s">
        <v>190</v>
      </c>
      <c r="HM52" s="319" t="s">
        <v>428</v>
      </c>
      <c r="HN52" s="319" t="s">
        <v>428</v>
      </c>
      <c r="HO52" s="319" t="s">
        <v>428</v>
      </c>
      <c r="HP52" s="319" t="s">
        <v>190</v>
      </c>
      <c r="HQ52" s="319" t="s">
        <v>190</v>
      </c>
      <c r="HR52" s="319" t="s">
        <v>190</v>
      </c>
      <c r="HS52" s="319" t="s">
        <v>190</v>
      </c>
      <c r="HT52" s="319" t="s">
        <v>190</v>
      </c>
      <c r="HU52" s="319" t="s">
        <v>190</v>
      </c>
      <c r="HV52" s="319" t="s">
        <v>190</v>
      </c>
      <c r="HW52" s="319" t="s">
        <v>190</v>
      </c>
      <c r="HX52" s="319" t="s">
        <v>190</v>
      </c>
      <c r="HY52" s="319" t="s">
        <v>190</v>
      </c>
      <c r="HZ52" s="319" t="s">
        <v>190</v>
      </c>
      <c r="IA52" s="319" t="s">
        <v>190</v>
      </c>
      <c r="IB52" s="319" t="s">
        <v>190</v>
      </c>
      <c r="IC52" s="319" t="s">
        <v>190</v>
      </c>
      <c r="ID52" s="319" t="s">
        <v>190</v>
      </c>
      <c r="IE52" s="319" t="s">
        <v>190</v>
      </c>
      <c r="IF52" s="319" t="s">
        <v>190</v>
      </c>
      <c r="IG52" s="319" t="s">
        <v>190</v>
      </c>
      <c r="IH52" s="319" t="s">
        <v>190</v>
      </c>
      <c r="II52" s="319" t="s">
        <v>190</v>
      </c>
      <c r="IJ52" s="319">
        <v>10006125</v>
      </c>
      <c r="IK52" s="321">
        <v>42703</v>
      </c>
      <c r="IL52" s="321">
        <v>42705</v>
      </c>
      <c r="IM52" s="321">
        <v>42745</v>
      </c>
      <c r="IN52" s="319">
        <v>3</v>
      </c>
      <c r="IO52" s="319" t="s">
        <v>173</v>
      </c>
      <c r="IP52" s="319" t="s">
        <v>173</v>
      </c>
      <c r="IQ52" s="321" t="s">
        <v>173</v>
      </c>
      <c r="IR52" s="320" t="s">
        <v>173</v>
      </c>
      <c r="IS52" s="322" t="s">
        <v>173</v>
      </c>
      <c r="IT52" s="319" t="s">
        <v>173</v>
      </c>
    </row>
    <row r="53" spans="1:254" s="271" customFormat="1" x14ac:dyDescent="0.25">
      <c r="A53" s="318" t="str">
        <f>HYPERLINK("http://www.ofsted.gov.uk/inspection-reports/find-inspection-report/provider/ELS/101575 ","Ofsted School Webpage")</f>
        <v>Ofsted School Webpage</v>
      </c>
      <c r="B53" s="319">
        <v>101575</v>
      </c>
      <c r="C53" s="319">
        <v>3046069</v>
      </c>
      <c r="D53" s="319" t="s">
        <v>1283</v>
      </c>
      <c r="E53" s="319" t="s">
        <v>167</v>
      </c>
      <c r="F53" s="319" t="s">
        <v>71</v>
      </c>
      <c r="G53" s="319" t="s">
        <v>72</v>
      </c>
      <c r="H53" s="319" t="s">
        <v>71</v>
      </c>
      <c r="I53" s="319" t="s">
        <v>72</v>
      </c>
      <c r="J53" s="319" t="s">
        <v>424</v>
      </c>
      <c r="K53" s="319" t="s">
        <v>441</v>
      </c>
      <c r="L53" s="319" t="s">
        <v>441</v>
      </c>
      <c r="M53" s="319" t="s">
        <v>477</v>
      </c>
      <c r="N53" s="319" t="s">
        <v>2765</v>
      </c>
      <c r="O53" s="319" t="s">
        <v>1284</v>
      </c>
      <c r="P53" s="319">
        <v>154</v>
      </c>
      <c r="Q53" s="319" t="s">
        <v>2766</v>
      </c>
      <c r="R53" s="320">
        <v>10026716</v>
      </c>
      <c r="S53" s="321">
        <v>42787</v>
      </c>
      <c r="T53" s="321">
        <v>42789</v>
      </c>
      <c r="U53" s="321">
        <v>42850</v>
      </c>
      <c r="V53" s="319" t="s">
        <v>425</v>
      </c>
      <c r="W53" s="319" t="s">
        <v>2767</v>
      </c>
      <c r="X53" s="319">
        <v>1</v>
      </c>
      <c r="Y53" s="319" t="s">
        <v>173</v>
      </c>
      <c r="Z53" s="319" t="s">
        <v>173</v>
      </c>
      <c r="AA53" s="319" t="s">
        <v>173</v>
      </c>
      <c r="AB53" s="319">
        <v>1</v>
      </c>
      <c r="AC53" s="319" t="s">
        <v>169</v>
      </c>
      <c r="AD53" s="319" t="s">
        <v>173</v>
      </c>
      <c r="AE53" s="319" t="s">
        <v>173</v>
      </c>
      <c r="AF53" s="319" t="s">
        <v>173</v>
      </c>
      <c r="AG53" s="319" t="s">
        <v>171</v>
      </c>
      <c r="AH53" s="319" t="s">
        <v>190</v>
      </c>
      <c r="AI53" s="319" t="s">
        <v>190</v>
      </c>
      <c r="AJ53" s="319" t="s">
        <v>190</v>
      </c>
      <c r="AK53" s="319" t="s">
        <v>190</v>
      </c>
      <c r="AL53" s="319" t="s">
        <v>190</v>
      </c>
      <c r="AM53" s="319" t="s">
        <v>190</v>
      </c>
      <c r="AN53" s="319" t="s">
        <v>190</v>
      </c>
      <c r="AO53" s="319" t="s">
        <v>190</v>
      </c>
      <c r="AP53" s="319" t="s">
        <v>190</v>
      </c>
      <c r="AQ53" s="319" t="s">
        <v>190</v>
      </c>
      <c r="AR53" s="319" t="s">
        <v>190</v>
      </c>
      <c r="AS53" s="319" t="s">
        <v>190</v>
      </c>
      <c r="AT53" s="319" t="s">
        <v>190</v>
      </c>
      <c r="AU53" s="319" t="s">
        <v>190</v>
      </c>
      <c r="AV53" s="319" t="s">
        <v>190</v>
      </c>
      <c r="AW53" s="319" t="s">
        <v>190</v>
      </c>
      <c r="AX53" s="319" t="s">
        <v>429</v>
      </c>
      <c r="AY53" s="319" t="s">
        <v>190</v>
      </c>
      <c r="AZ53" s="319" t="s">
        <v>190</v>
      </c>
      <c r="BA53" s="319" t="s">
        <v>190</v>
      </c>
      <c r="BB53" s="319" t="s">
        <v>190</v>
      </c>
      <c r="BC53" s="319" t="s">
        <v>190</v>
      </c>
      <c r="BD53" s="319" t="s">
        <v>190</v>
      </c>
      <c r="BE53" s="319" t="s">
        <v>190</v>
      </c>
      <c r="BF53" s="319" t="s">
        <v>429</v>
      </c>
      <c r="BG53" s="319" t="s">
        <v>429</v>
      </c>
      <c r="BH53" s="319" t="s">
        <v>190</v>
      </c>
      <c r="BI53" s="319" t="s">
        <v>190</v>
      </c>
      <c r="BJ53" s="319" t="s">
        <v>190</v>
      </c>
      <c r="BK53" s="319" t="s">
        <v>190</v>
      </c>
      <c r="BL53" s="319" t="s">
        <v>190</v>
      </c>
      <c r="BM53" s="319" t="s">
        <v>190</v>
      </c>
      <c r="BN53" s="319" t="s">
        <v>190</v>
      </c>
      <c r="BO53" s="319" t="s">
        <v>190</v>
      </c>
      <c r="BP53" s="319" t="s">
        <v>190</v>
      </c>
      <c r="BQ53" s="319" t="s">
        <v>190</v>
      </c>
      <c r="BR53" s="319" t="s">
        <v>190</v>
      </c>
      <c r="BS53" s="319" t="s">
        <v>190</v>
      </c>
      <c r="BT53" s="319" t="s">
        <v>190</v>
      </c>
      <c r="BU53" s="319" t="s">
        <v>190</v>
      </c>
      <c r="BV53" s="319" t="s">
        <v>190</v>
      </c>
      <c r="BW53" s="319" t="s">
        <v>190</v>
      </c>
      <c r="BX53" s="319" t="s">
        <v>190</v>
      </c>
      <c r="BY53" s="319" t="s">
        <v>190</v>
      </c>
      <c r="BZ53" s="319" t="s">
        <v>190</v>
      </c>
      <c r="CA53" s="319" t="s">
        <v>190</v>
      </c>
      <c r="CB53" s="319" t="s">
        <v>190</v>
      </c>
      <c r="CC53" s="319" t="s">
        <v>190</v>
      </c>
      <c r="CD53" s="319" t="s">
        <v>190</v>
      </c>
      <c r="CE53" s="319" t="s">
        <v>190</v>
      </c>
      <c r="CF53" s="319" t="s">
        <v>190</v>
      </c>
      <c r="CG53" s="319" t="s">
        <v>190</v>
      </c>
      <c r="CH53" s="319" t="s">
        <v>190</v>
      </c>
      <c r="CI53" s="319" t="s">
        <v>190</v>
      </c>
      <c r="CJ53" s="319" t="s">
        <v>190</v>
      </c>
      <c r="CK53" s="319" t="s">
        <v>190</v>
      </c>
      <c r="CL53" s="319" t="s">
        <v>190</v>
      </c>
      <c r="CM53" s="319" t="s">
        <v>190</v>
      </c>
      <c r="CN53" s="319" t="s">
        <v>429</v>
      </c>
      <c r="CO53" s="319" t="s">
        <v>429</v>
      </c>
      <c r="CP53" s="319" t="s">
        <v>429</v>
      </c>
      <c r="CQ53" s="319" t="s">
        <v>190</v>
      </c>
      <c r="CR53" s="319" t="s">
        <v>190</v>
      </c>
      <c r="CS53" s="319" t="s">
        <v>190</v>
      </c>
      <c r="CT53" s="319" t="s">
        <v>190</v>
      </c>
      <c r="CU53" s="319" t="s">
        <v>190</v>
      </c>
      <c r="CV53" s="319" t="s">
        <v>190</v>
      </c>
      <c r="CW53" s="319" t="s">
        <v>190</v>
      </c>
      <c r="CX53" s="319" t="s">
        <v>190</v>
      </c>
      <c r="CY53" s="319" t="s">
        <v>190</v>
      </c>
      <c r="CZ53" s="319" t="s">
        <v>190</v>
      </c>
      <c r="DA53" s="319" t="s">
        <v>190</v>
      </c>
      <c r="DB53" s="319" t="s">
        <v>190</v>
      </c>
      <c r="DC53" s="319" t="s">
        <v>190</v>
      </c>
      <c r="DD53" s="319" t="s">
        <v>190</v>
      </c>
      <c r="DE53" s="319" t="s">
        <v>190</v>
      </c>
      <c r="DF53" s="319" t="s">
        <v>190</v>
      </c>
      <c r="DG53" s="319" t="s">
        <v>190</v>
      </c>
      <c r="DH53" s="319" t="s">
        <v>190</v>
      </c>
      <c r="DI53" s="319" t="s">
        <v>190</v>
      </c>
      <c r="DJ53" s="319" t="s">
        <v>190</v>
      </c>
      <c r="DK53" s="319" t="s">
        <v>190</v>
      </c>
      <c r="DL53" s="319" t="s">
        <v>190</v>
      </c>
      <c r="DM53" s="319" t="s">
        <v>190</v>
      </c>
      <c r="DN53" s="319" t="s">
        <v>429</v>
      </c>
      <c r="DO53" s="319" t="s">
        <v>190</v>
      </c>
      <c r="DP53" s="319" t="s">
        <v>190</v>
      </c>
      <c r="DQ53" s="319" t="s">
        <v>190</v>
      </c>
      <c r="DR53" s="319" t="s">
        <v>190</v>
      </c>
      <c r="DS53" s="319" t="s">
        <v>190</v>
      </c>
      <c r="DT53" s="319" t="s">
        <v>190</v>
      </c>
      <c r="DU53" s="319" t="s">
        <v>190</v>
      </c>
      <c r="DV53" s="319" t="s">
        <v>173</v>
      </c>
      <c r="DW53" s="319" t="s">
        <v>190</v>
      </c>
      <c r="DX53" s="319" t="s">
        <v>190</v>
      </c>
      <c r="DY53" s="319" t="s">
        <v>190</v>
      </c>
      <c r="DZ53" s="319" t="s">
        <v>190</v>
      </c>
      <c r="EA53" s="319" t="s">
        <v>190</v>
      </c>
      <c r="EB53" s="319" t="s">
        <v>190</v>
      </c>
      <c r="EC53" s="319" t="s">
        <v>429</v>
      </c>
      <c r="ED53" s="319" t="s">
        <v>190</v>
      </c>
      <c r="EE53" s="319" t="s">
        <v>190</v>
      </c>
      <c r="EF53" s="319" t="s">
        <v>190</v>
      </c>
      <c r="EG53" s="319" t="s">
        <v>190</v>
      </c>
      <c r="EH53" s="319" t="s">
        <v>190</v>
      </c>
      <c r="EI53" s="319" t="s">
        <v>190</v>
      </c>
      <c r="EJ53" s="319" t="s">
        <v>190</v>
      </c>
      <c r="EK53" s="319" t="s">
        <v>190</v>
      </c>
      <c r="EL53" s="319" t="s">
        <v>190</v>
      </c>
      <c r="EM53" s="319" t="s">
        <v>190</v>
      </c>
      <c r="EN53" s="319" t="s">
        <v>190</v>
      </c>
      <c r="EO53" s="319" t="s">
        <v>190</v>
      </c>
      <c r="EP53" s="319" t="s">
        <v>190</v>
      </c>
      <c r="EQ53" s="319" t="s">
        <v>190</v>
      </c>
      <c r="ER53" s="319" t="s">
        <v>190</v>
      </c>
      <c r="ES53" s="319" t="s">
        <v>190</v>
      </c>
      <c r="ET53" s="319" t="s">
        <v>190</v>
      </c>
      <c r="EU53" s="319" t="s">
        <v>190</v>
      </c>
      <c r="EV53" s="319" t="s">
        <v>190</v>
      </c>
      <c r="EW53" s="319" t="s">
        <v>190</v>
      </c>
      <c r="EX53" s="319" t="s">
        <v>190</v>
      </c>
      <c r="EY53" s="319" t="s">
        <v>190</v>
      </c>
      <c r="EZ53" s="319" t="s">
        <v>190</v>
      </c>
      <c r="FA53" s="319" t="s">
        <v>190</v>
      </c>
      <c r="FB53" s="319" t="s">
        <v>190</v>
      </c>
      <c r="FC53" s="319" t="s">
        <v>190</v>
      </c>
      <c r="FD53" s="319" t="s">
        <v>190</v>
      </c>
      <c r="FE53" s="319" t="s">
        <v>190</v>
      </c>
      <c r="FF53" s="319" t="s">
        <v>190</v>
      </c>
      <c r="FG53" s="319" t="s">
        <v>190</v>
      </c>
      <c r="FH53" s="319" t="s">
        <v>190</v>
      </c>
      <c r="FI53" s="319" t="s">
        <v>190</v>
      </c>
      <c r="FJ53" s="319" t="s">
        <v>190</v>
      </c>
      <c r="FK53" s="319" t="s">
        <v>190</v>
      </c>
      <c r="FL53" s="319" t="s">
        <v>190</v>
      </c>
      <c r="FM53" s="319" t="s">
        <v>190</v>
      </c>
      <c r="FN53" s="319" t="s">
        <v>190</v>
      </c>
      <c r="FO53" s="319" t="s">
        <v>190</v>
      </c>
      <c r="FP53" s="319" t="s">
        <v>190</v>
      </c>
      <c r="FQ53" s="319" t="s">
        <v>190</v>
      </c>
      <c r="FR53" s="319" t="s">
        <v>190</v>
      </c>
      <c r="FS53" s="319" t="s">
        <v>429</v>
      </c>
      <c r="FT53" s="319" t="s">
        <v>429</v>
      </c>
      <c r="FU53" s="319" t="s">
        <v>190</v>
      </c>
      <c r="FV53" s="319" t="s">
        <v>190</v>
      </c>
      <c r="FW53" s="319" t="s">
        <v>190</v>
      </c>
      <c r="FX53" s="319" t="s">
        <v>190</v>
      </c>
      <c r="FY53" s="319" t="s">
        <v>190</v>
      </c>
      <c r="FZ53" s="319" t="s">
        <v>190</v>
      </c>
      <c r="GA53" s="319" t="s">
        <v>190</v>
      </c>
      <c r="GB53" s="319" t="s">
        <v>190</v>
      </c>
      <c r="GC53" s="319" t="s">
        <v>190</v>
      </c>
      <c r="GD53" s="319" t="s">
        <v>190</v>
      </c>
      <c r="GE53" s="319" t="s">
        <v>190</v>
      </c>
      <c r="GF53" s="319" t="s">
        <v>190</v>
      </c>
      <c r="GG53" s="319" t="s">
        <v>190</v>
      </c>
      <c r="GH53" s="319" t="s">
        <v>190</v>
      </c>
      <c r="GI53" s="319" t="s">
        <v>190</v>
      </c>
      <c r="GJ53" s="319" t="s">
        <v>190</v>
      </c>
      <c r="GK53" s="319" t="s">
        <v>429</v>
      </c>
      <c r="GL53" s="319" t="s">
        <v>190</v>
      </c>
      <c r="GM53" s="319" t="s">
        <v>190</v>
      </c>
      <c r="GN53" s="319" t="s">
        <v>190</v>
      </c>
      <c r="GO53" s="319" t="s">
        <v>190</v>
      </c>
      <c r="GP53" s="319" t="s">
        <v>190</v>
      </c>
      <c r="GQ53" s="319" t="s">
        <v>190</v>
      </c>
      <c r="GR53" s="319" t="s">
        <v>190</v>
      </c>
      <c r="GS53" s="319" t="s">
        <v>190</v>
      </c>
      <c r="GT53" s="319" t="s">
        <v>429</v>
      </c>
      <c r="GU53" s="319" t="s">
        <v>429</v>
      </c>
      <c r="GV53" s="319" t="s">
        <v>190</v>
      </c>
      <c r="GW53" s="319" t="s">
        <v>190</v>
      </c>
      <c r="GX53" s="319" t="s">
        <v>190</v>
      </c>
      <c r="GY53" s="319" t="s">
        <v>190</v>
      </c>
      <c r="GZ53" s="319" t="s">
        <v>190</v>
      </c>
      <c r="HA53" s="319" t="s">
        <v>190</v>
      </c>
      <c r="HB53" s="319" t="s">
        <v>190</v>
      </c>
      <c r="HC53" s="319" t="s">
        <v>190</v>
      </c>
      <c r="HD53" s="319" t="s">
        <v>190</v>
      </c>
      <c r="HE53" s="319" t="s">
        <v>190</v>
      </c>
      <c r="HF53" s="319" t="s">
        <v>190</v>
      </c>
      <c r="HG53" s="319" t="s">
        <v>190</v>
      </c>
      <c r="HH53" s="319" t="s">
        <v>190</v>
      </c>
      <c r="HI53" s="319" t="s">
        <v>190</v>
      </c>
      <c r="HJ53" s="319" t="s">
        <v>190</v>
      </c>
      <c r="HK53" s="319" t="s">
        <v>190</v>
      </c>
      <c r="HL53" s="319" t="s">
        <v>429</v>
      </c>
      <c r="HM53" s="319" t="s">
        <v>429</v>
      </c>
      <c r="HN53" s="319" t="s">
        <v>429</v>
      </c>
      <c r="HO53" s="319" t="s">
        <v>429</v>
      </c>
      <c r="HP53" s="319" t="s">
        <v>190</v>
      </c>
      <c r="HQ53" s="319" t="s">
        <v>190</v>
      </c>
      <c r="HR53" s="319" t="s">
        <v>190</v>
      </c>
      <c r="HS53" s="319" t="s">
        <v>190</v>
      </c>
      <c r="HT53" s="319" t="s">
        <v>190</v>
      </c>
      <c r="HU53" s="319" t="s">
        <v>190</v>
      </c>
      <c r="HV53" s="319" t="s">
        <v>190</v>
      </c>
      <c r="HW53" s="319" t="s">
        <v>190</v>
      </c>
      <c r="HX53" s="319" t="s">
        <v>190</v>
      </c>
      <c r="HY53" s="319" t="s">
        <v>190</v>
      </c>
      <c r="HZ53" s="319" t="s">
        <v>190</v>
      </c>
      <c r="IA53" s="319" t="s">
        <v>190</v>
      </c>
      <c r="IB53" s="319" t="s">
        <v>190</v>
      </c>
      <c r="IC53" s="319" t="s">
        <v>190</v>
      </c>
      <c r="ID53" s="319" t="s">
        <v>190</v>
      </c>
      <c r="IE53" s="319" t="s">
        <v>190</v>
      </c>
      <c r="IF53" s="319" t="s">
        <v>190</v>
      </c>
      <c r="IG53" s="319" t="s">
        <v>190</v>
      </c>
      <c r="IH53" s="319" t="s">
        <v>190</v>
      </c>
      <c r="II53" s="319" t="s">
        <v>190</v>
      </c>
      <c r="IJ53" s="319" t="s">
        <v>2825</v>
      </c>
      <c r="IK53" s="321">
        <v>41808</v>
      </c>
      <c r="IL53" s="321">
        <v>41810</v>
      </c>
      <c r="IM53" s="321">
        <v>41829</v>
      </c>
      <c r="IN53" s="319">
        <v>1</v>
      </c>
      <c r="IO53" s="319" t="s">
        <v>173</v>
      </c>
      <c r="IP53" s="319" t="s">
        <v>173</v>
      </c>
      <c r="IQ53" s="321" t="s">
        <v>173</v>
      </c>
      <c r="IR53" s="320" t="s">
        <v>173</v>
      </c>
      <c r="IS53" s="322" t="s">
        <v>173</v>
      </c>
      <c r="IT53" s="319" t="s">
        <v>173</v>
      </c>
    </row>
    <row r="54" spans="1:254" s="271" customFormat="1" x14ac:dyDescent="0.25">
      <c r="A54" s="318" t="str">
        <f>HYPERLINK("http://www.ofsted.gov.uk/inspection-reports/find-inspection-report/provider/ELS/101576 ","Ofsted School Webpage")</f>
        <v>Ofsted School Webpage</v>
      </c>
      <c r="B54" s="319">
        <v>101576</v>
      </c>
      <c r="C54" s="319">
        <v>3046072</v>
      </c>
      <c r="D54" s="319" t="s">
        <v>2826</v>
      </c>
      <c r="E54" s="319" t="s">
        <v>167</v>
      </c>
      <c r="F54" s="319" t="s">
        <v>81</v>
      </c>
      <c r="G54" s="319" t="s">
        <v>72</v>
      </c>
      <c r="H54" s="319" t="s">
        <v>72</v>
      </c>
      <c r="I54" s="319" t="s">
        <v>72</v>
      </c>
      <c r="J54" s="319" t="s">
        <v>424</v>
      </c>
      <c r="K54" s="319" t="s">
        <v>441</v>
      </c>
      <c r="L54" s="319" t="s">
        <v>441</v>
      </c>
      <c r="M54" s="319" t="s">
        <v>477</v>
      </c>
      <c r="N54" s="319" t="s">
        <v>2765</v>
      </c>
      <c r="O54" s="319" t="s">
        <v>2827</v>
      </c>
      <c r="P54" s="319">
        <v>366</v>
      </c>
      <c r="Q54" s="319" t="s">
        <v>2766</v>
      </c>
      <c r="R54" s="320">
        <v>10038154</v>
      </c>
      <c r="S54" s="321">
        <v>43368</v>
      </c>
      <c r="T54" s="321">
        <v>43370</v>
      </c>
      <c r="U54" s="321">
        <v>43423</v>
      </c>
      <c r="V54" s="319" t="s">
        <v>425</v>
      </c>
      <c r="W54" s="319" t="s">
        <v>2767</v>
      </c>
      <c r="X54" s="319">
        <v>3</v>
      </c>
      <c r="Y54" s="319" t="s">
        <v>173</v>
      </c>
      <c r="Z54" s="319" t="s">
        <v>173</v>
      </c>
      <c r="AA54" s="319" t="s">
        <v>173</v>
      </c>
      <c r="AB54" s="319">
        <v>3</v>
      </c>
      <c r="AC54" s="319" t="s">
        <v>169</v>
      </c>
      <c r="AD54" s="319">
        <v>4</v>
      </c>
      <c r="AE54" s="319" t="s">
        <v>173</v>
      </c>
      <c r="AF54" s="319" t="s">
        <v>427</v>
      </c>
      <c r="AG54" s="319" t="s">
        <v>172</v>
      </c>
      <c r="AH54" s="319" t="s">
        <v>479</v>
      </c>
      <c r="AI54" s="319" t="s">
        <v>190</v>
      </c>
      <c r="AJ54" s="319" t="s">
        <v>190</v>
      </c>
      <c r="AK54" s="319" t="s">
        <v>190</v>
      </c>
      <c r="AL54" s="319" t="s">
        <v>190</v>
      </c>
      <c r="AM54" s="319" t="s">
        <v>190</v>
      </c>
      <c r="AN54" s="319" t="s">
        <v>190</v>
      </c>
      <c r="AO54" s="319" t="s">
        <v>479</v>
      </c>
      <c r="AP54" s="319" t="s">
        <v>190</v>
      </c>
      <c r="AQ54" s="319" t="s">
        <v>190</v>
      </c>
      <c r="AR54" s="319" t="s">
        <v>190</v>
      </c>
      <c r="AS54" s="319" t="s">
        <v>190</v>
      </c>
      <c r="AT54" s="319" t="s">
        <v>190</v>
      </c>
      <c r="AU54" s="319" t="s">
        <v>190</v>
      </c>
      <c r="AV54" s="319" t="s">
        <v>190</v>
      </c>
      <c r="AW54" s="319" t="s">
        <v>190</v>
      </c>
      <c r="AX54" s="319" t="s">
        <v>428</v>
      </c>
      <c r="AY54" s="319" t="s">
        <v>190</v>
      </c>
      <c r="AZ54" s="319" t="s">
        <v>190</v>
      </c>
      <c r="BA54" s="319" t="s">
        <v>190</v>
      </c>
      <c r="BB54" s="319" t="s">
        <v>190</v>
      </c>
      <c r="BC54" s="319" t="s">
        <v>190</v>
      </c>
      <c r="BD54" s="319" t="s">
        <v>190</v>
      </c>
      <c r="BE54" s="319" t="s">
        <v>190</v>
      </c>
      <c r="BF54" s="319" t="s">
        <v>190</v>
      </c>
      <c r="BG54" s="319" t="s">
        <v>428</v>
      </c>
      <c r="BH54" s="319" t="s">
        <v>190</v>
      </c>
      <c r="BI54" s="319" t="s">
        <v>190</v>
      </c>
      <c r="BJ54" s="319" t="s">
        <v>191</v>
      </c>
      <c r="BK54" s="319" t="s">
        <v>190</v>
      </c>
      <c r="BL54" s="319" t="s">
        <v>190</v>
      </c>
      <c r="BM54" s="319" t="s">
        <v>190</v>
      </c>
      <c r="BN54" s="319" t="s">
        <v>190</v>
      </c>
      <c r="BO54" s="319" t="s">
        <v>190</v>
      </c>
      <c r="BP54" s="319" t="s">
        <v>190</v>
      </c>
      <c r="BQ54" s="319" t="s">
        <v>190</v>
      </c>
      <c r="BR54" s="319" t="s">
        <v>190</v>
      </c>
      <c r="BS54" s="319" t="s">
        <v>190</v>
      </c>
      <c r="BT54" s="319" t="s">
        <v>191</v>
      </c>
      <c r="BU54" s="319" t="s">
        <v>190</v>
      </c>
      <c r="BV54" s="319" t="s">
        <v>190</v>
      </c>
      <c r="BW54" s="319" t="s">
        <v>190</v>
      </c>
      <c r="BX54" s="319" t="s">
        <v>190</v>
      </c>
      <c r="BY54" s="319" t="s">
        <v>190</v>
      </c>
      <c r="BZ54" s="319" t="s">
        <v>190</v>
      </c>
      <c r="CA54" s="319" t="s">
        <v>190</v>
      </c>
      <c r="CB54" s="319" t="s">
        <v>190</v>
      </c>
      <c r="CC54" s="319" t="s">
        <v>190</v>
      </c>
      <c r="CD54" s="319" t="s">
        <v>190</v>
      </c>
      <c r="CE54" s="319" t="s">
        <v>190</v>
      </c>
      <c r="CF54" s="319" t="s">
        <v>190</v>
      </c>
      <c r="CG54" s="319" t="s">
        <v>190</v>
      </c>
      <c r="CH54" s="319" t="s">
        <v>190</v>
      </c>
      <c r="CI54" s="319" t="s">
        <v>190</v>
      </c>
      <c r="CJ54" s="319" t="s">
        <v>190</v>
      </c>
      <c r="CK54" s="319" t="s">
        <v>190</v>
      </c>
      <c r="CL54" s="319" t="s">
        <v>190</v>
      </c>
      <c r="CM54" s="319" t="s">
        <v>190</v>
      </c>
      <c r="CN54" s="319" t="s">
        <v>428</v>
      </c>
      <c r="CO54" s="319" t="s">
        <v>428</v>
      </c>
      <c r="CP54" s="319" t="s">
        <v>428</v>
      </c>
      <c r="CQ54" s="319" t="s">
        <v>190</v>
      </c>
      <c r="CR54" s="319" t="s">
        <v>190</v>
      </c>
      <c r="CS54" s="319" t="s">
        <v>190</v>
      </c>
      <c r="CT54" s="319" t="s">
        <v>190</v>
      </c>
      <c r="CU54" s="319" t="s">
        <v>190</v>
      </c>
      <c r="CV54" s="319" t="s">
        <v>190</v>
      </c>
      <c r="CW54" s="319" t="s">
        <v>190</v>
      </c>
      <c r="CX54" s="319" t="s">
        <v>190</v>
      </c>
      <c r="CY54" s="319" t="s">
        <v>190</v>
      </c>
      <c r="CZ54" s="319" t="s">
        <v>190</v>
      </c>
      <c r="DA54" s="319" t="s">
        <v>190</v>
      </c>
      <c r="DB54" s="319" t="s">
        <v>190</v>
      </c>
      <c r="DC54" s="319" t="s">
        <v>190</v>
      </c>
      <c r="DD54" s="319" t="s">
        <v>190</v>
      </c>
      <c r="DE54" s="319" t="s">
        <v>190</v>
      </c>
      <c r="DF54" s="319" t="s">
        <v>190</v>
      </c>
      <c r="DG54" s="319" t="s">
        <v>190</v>
      </c>
      <c r="DH54" s="319" t="s">
        <v>190</v>
      </c>
      <c r="DI54" s="319" t="s">
        <v>190</v>
      </c>
      <c r="DJ54" s="319" t="s">
        <v>190</v>
      </c>
      <c r="DK54" s="319" t="s">
        <v>190</v>
      </c>
      <c r="DL54" s="319" t="s">
        <v>190</v>
      </c>
      <c r="DM54" s="319" t="s">
        <v>190</v>
      </c>
      <c r="DN54" s="319" t="s">
        <v>428</v>
      </c>
      <c r="DO54" s="319" t="s">
        <v>190</v>
      </c>
      <c r="DP54" s="319" t="s">
        <v>190</v>
      </c>
      <c r="DQ54" s="319" t="s">
        <v>190</v>
      </c>
      <c r="DR54" s="319" t="s">
        <v>190</v>
      </c>
      <c r="DS54" s="319" t="s">
        <v>190</v>
      </c>
      <c r="DT54" s="319" t="s">
        <v>190</v>
      </c>
      <c r="DU54" s="319" t="s">
        <v>190</v>
      </c>
      <c r="DV54" s="319" t="s">
        <v>173</v>
      </c>
      <c r="DW54" s="319" t="s">
        <v>190</v>
      </c>
      <c r="DX54" s="319" t="s">
        <v>190</v>
      </c>
      <c r="DY54" s="319" t="s">
        <v>190</v>
      </c>
      <c r="DZ54" s="319" t="s">
        <v>190</v>
      </c>
      <c r="EA54" s="319" t="s">
        <v>190</v>
      </c>
      <c r="EB54" s="319" t="s">
        <v>190</v>
      </c>
      <c r="EC54" s="319" t="s">
        <v>428</v>
      </c>
      <c r="ED54" s="319" t="s">
        <v>190</v>
      </c>
      <c r="EE54" s="319" t="s">
        <v>190</v>
      </c>
      <c r="EF54" s="319" t="s">
        <v>190</v>
      </c>
      <c r="EG54" s="319" t="s">
        <v>190</v>
      </c>
      <c r="EH54" s="319" t="s">
        <v>190</v>
      </c>
      <c r="EI54" s="319" t="s">
        <v>190</v>
      </c>
      <c r="EJ54" s="319" t="s">
        <v>190</v>
      </c>
      <c r="EK54" s="319" t="s">
        <v>190</v>
      </c>
      <c r="EL54" s="319" t="s">
        <v>190</v>
      </c>
      <c r="EM54" s="319" t="s">
        <v>190</v>
      </c>
      <c r="EN54" s="319" t="s">
        <v>190</v>
      </c>
      <c r="EO54" s="319" t="s">
        <v>190</v>
      </c>
      <c r="EP54" s="319" t="s">
        <v>190</v>
      </c>
      <c r="EQ54" s="319" t="s">
        <v>190</v>
      </c>
      <c r="ER54" s="319" t="s">
        <v>190</v>
      </c>
      <c r="ES54" s="319" t="s">
        <v>190</v>
      </c>
      <c r="ET54" s="319" t="s">
        <v>190</v>
      </c>
      <c r="EU54" s="319" t="s">
        <v>190</v>
      </c>
      <c r="EV54" s="319" t="s">
        <v>190</v>
      </c>
      <c r="EW54" s="319" t="s">
        <v>190</v>
      </c>
      <c r="EX54" s="319" t="s">
        <v>190</v>
      </c>
      <c r="EY54" s="319" t="s">
        <v>190</v>
      </c>
      <c r="EZ54" s="319" t="s">
        <v>190</v>
      </c>
      <c r="FA54" s="319" t="s">
        <v>190</v>
      </c>
      <c r="FB54" s="319" t="s">
        <v>190</v>
      </c>
      <c r="FC54" s="319" t="s">
        <v>190</v>
      </c>
      <c r="FD54" s="319" t="s">
        <v>190</v>
      </c>
      <c r="FE54" s="319" t="s">
        <v>190</v>
      </c>
      <c r="FF54" s="319" t="s">
        <v>190</v>
      </c>
      <c r="FG54" s="319" t="s">
        <v>190</v>
      </c>
      <c r="FH54" s="319" t="s">
        <v>190</v>
      </c>
      <c r="FI54" s="319" t="s">
        <v>190</v>
      </c>
      <c r="FJ54" s="319" t="s">
        <v>190</v>
      </c>
      <c r="FK54" s="319" t="s">
        <v>190</v>
      </c>
      <c r="FL54" s="319" t="s">
        <v>190</v>
      </c>
      <c r="FM54" s="319" t="s">
        <v>190</v>
      </c>
      <c r="FN54" s="319" t="s">
        <v>190</v>
      </c>
      <c r="FO54" s="319" t="s">
        <v>190</v>
      </c>
      <c r="FP54" s="319" t="s">
        <v>190</v>
      </c>
      <c r="FQ54" s="319" t="s">
        <v>190</v>
      </c>
      <c r="FR54" s="319" t="s">
        <v>190</v>
      </c>
      <c r="FS54" s="319" t="s">
        <v>190</v>
      </c>
      <c r="FT54" s="319" t="s">
        <v>190</v>
      </c>
      <c r="FU54" s="319" t="s">
        <v>190</v>
      </c>
      <c r="FV54" s="319" t="s">
        <v>190</v>
      </c>
      <c r="FW54" s="319" t="s">
        <v>190</v>
      </c>
      <c r="FX54" s="319" t="s">
        <v>190</v>
      </c>
      <c r="FY54" s="319" t="s">
        <v>190</v>
      </c>
      <c r="FZ54" s="319" t="s">
        <v>190</v>
      </c>
      <c r="GA54" s="319" t="s">
        <v>190</v>
      </c>
      <c r="GB54" s="319" t="s">
        <v>190</v>
      </c>
      <c r="GC54" s="319" t="s">
        <v>190</v>
      </c>
      <c r="GD54" s="319" t="s">
        <v>190</v>
      </c>
      <c r="GE54" s="319" t="s">
        <v>190</v>
      </c>
      <c r="GF54" s="319" t="s">
        <v>190</v>
      </c>
      <c r="GG54" s="319" t="s">
        <v>190</v>
      </c>
      <c r="GH54" s="319" t="s">
        <v>190</v>
      </c>
      <c r="GI54" s="319" t="s">
        <v>190</v>
      </c>
      <c r="GJ54" s="319" t="s">
        <v>190</v>
      </c>
      <c r="GK54" s="319" t="s">
        <v>428</v>
      </c>
      <c r="GL54" s="319" t="s">
        <v>190</v>
      </c>
      <c r="GM54" s="319" t="s">
        <v>190</v>
      </c>
      <c r="GN54" s="319" t="s">
        <v>190</v>
      </c>
      <c r="GO54" s="319" t="s">
        <v>190</v>
      </c>
      <c r="GP54" s="319" t="s">
        <v>190</v>
      </c>
      <c r="GQ54" s="319" t="s">
        <v>190</v>
      </c>
      <c r="GR54" s="319" t="s">
        <v>190</v>
      </c>
      <c r="GS54" s="319" t="s">
        <v>190</v>
      </c>
      <c r="GT54" s="319" t="s">
        <v>428</v>
      </c>
      <c r="GU54" s="319" t="s">
        <v>428</v>
      </c>
      <c r="GV54" s="319" t="s">
        <v>190</v>
      </c>
      <c r="GW54" s="319" t="s">
        <v>190</v>
      </c>
      <c r="GX54" s="319" t="s">
        <v>190</v>
      </c>
      <c r="GY54" s="319" t="s">
        <v>190</v>
      </c>
      <c r="GZ54" s="319" t="s">
        <v>428</v>
      </c>
      <c r="HA54" s="319" t="s">
        <v>190</v>
      </c>
      <c r="HB54" s="319" t="s">
        <v>428</v>
      </c>
      <c r="HC54" s="319" t="s">
        <v>190</v>
      </c>
      <c r="HD54" s="319" t="s">
        <v>190</v>
      </c>
      <c r="HE54" s="319" t="s">
        <v>190</v>
      </c>
      <c r="HF54" s="319" t="s">
        <v>190</v>
      </c>
      <c r="HG54" s="319" t="s">
        <v>190</v>
      </c>
      <c r="HH54" s="319" t="s">
        <v>190</v>
      </c>
      <c r="HI54" s="319" t="s">
        <v>190</v>
      </c>
      <c r="HJ54" s="319" t="s">
        <v>190</v>
      </c>
      <c r="HK54" s="319" t="s">
        <v>190</v>
      </c>
      <c r="HL54" s="319" t="s">
        <v>428</v>
      </c>
      <c r="HM54" s="319" t="s">
        <v>428</v>
      </c>
      <c r="HN54" s="319" t="s">
        <v>428</v>
      </c>
      <c r="HO54" s="319" t="s">
        <v>428</v>
      </c>
      <c r="HP54" s="319" t="s">
        <v>190</v>
      </c>
      <c r="HQ54" s="319" t="s">
        <v>190</v>
      </c>
      <c r="HR54" s="319" t="s">
        <v>190</v>
      </c>
      <c r="HS54" s="319" t="s">
        <v>190</v>
      </c>
      <c r="HT54" s="319" t="s">
        <v>190</v>
      </c>
      <c r="HU54" s="319" t="s">
        <v>190</v>
      </c>
      <c r="HV54" s="319" t="s">
        <v>190</v>
      </c>
      <c r="HW54" s="319" t="s">
        <v>190</v>
      </c>
      <c r="HX54" s="319" t="s">
        <v>190</v>
      </c>
      <c r="HY54" s="319" t="s">
        <v>190</v>
      </c>
      <c r="HZ54" s="319" t="s">
        <v>190</v>
      </c>
      <c r="IA54" s="319" t="s">
        <v>190</v>
      </c>
      <c r="IB54" s="319" t="s">
        <v>190</v>
      </c>
      <c r="IC54" s="319" t="s">
        <v>190</v>
      </c>
      <c r="ID54" s="319" t="s">
        <v>190</v>
      </c>
      <c r="IE54" s="319" t="s">
        <v>190</v>
      </c>
      <c r="IF54" s="319" t="s">
        <v>191</v>
      </c>
      <c r="IG54" s="319" t="s">
        <v>191</v>
      </c>
      <c r="IH54" s="319" t="s">
        <v>191</v>
      </c>
      <c r="II54" s="319" t="s">
        <v>190</v>
      </c>
      <c r="IJ54" s="319" t="s">
        <v>2828</v>
      </c>
      <c r="IK54" s="321">
        <v>41982</v>
      </c>
      <c r="IL54" s="321">
        <v>41984</v>
      </c>
      <c r="IM54" s="321">
        <v>42065</v>
      </c>
      <c r="IN54" s="319">
        <v>4</v>
      </c>
      <c r="IO54" s="319" t="s">
        <v>173</v>
      </c>
      <c r="IP54" s="319" t="s">
        <v>173</v>
      </c>
      <c r="IQ54" s="321" t="s">
        <v>173</v>
      </c>
      <c r="IR54" s="320" t="s">
        <v>173</v>
      </c>
      <c r="IS54" s="322" t="s">
        <v>173</v>
      </c>
      <c r="IT54" s="319" t="s">
        <v>173</v>
      </c>
    </row>
    <row r="55" spans="1:254" s="271" customFormat="1" x14ac:dyDescent="0.25">
      <c r="A55" s="318" t="str">
        <f>HYPERLINK("http://www.ofsted.gov.uk/inspection-reports/find-inspection-report/provider/ELS/101694 ","Ofsted School Webpage")</f>
        <v>Ofsted School Webpage</v>
      </c>
      <c r="B55" s="319">
        <v>101694</v>
      </c>
      <c r="C55" s="319">
        <v>3056075</v>
      </c>
      <c r="D55" s="319" t="s">
        <v>1285</v>
      </c>
      <c r="E55" s="319" t="s">
        <v>167</v>
      </c>
      <c r="F55" s="319" t="s">
        <v>81</v>
      </c>
      <c r="G55" s="319" t="s">
        <v>81</v>
      </c>
      <c r="H55" s="319" t="s">
        <v>81</v>
      </c>
      <c r="I55" s="319" t="s">
        <v>78</v>
      </c>
      <c r="J55" s="319" t="s">
        <v>424</v>
      </c>
      <c r="K55" s="319" t="s">
        <v>441</v>
      </c>
      <c r="L55" s="319" t="s">
        <v>441</v>
      </c>
      <c r="M55" s="319" t="s">
        <v>600</v>
      </c>
      <c r="N55" s="319" t="s">
        <v>2829</v>
      </c>
      <c r="O55" s="319" t="s">
        <v>1286</v>
      </c>
      <c r="P55" s="319">
        <v>94</v>
      </c>
      <c r="Q55" s="319" t="s">
        <v>2766</v>
      </c>
      <c r="R55" s="320">
        <v>10026277</v>
      </c>
      <c r="S55" s="321">
        <v>43123</v>
      </c>
      <c r="T55" s="321">
        <v>43125</v>
      </c>
      <c r="U55" s="321">
        <v>43144</v>
      </c>
      <c r="V55" s="319" t="s">
        <v>425</v>
      </c>
      <c r="W55" s="319" t="s">
        <v>2767</v>
      </c>
      <c r="X55" s="319">
        <v>3</v>
      </c>
      <c r="Y55" s="319" t="s">
        <v>173</v>
      </c>
      <c r="Z55" s="319" t="s">
        <v>173</v>
      </c>
      <c r="AA55" s="319" t="s">
        <v>173</v>
      </c>
      <c r="AB55" s="319">
        <v>3</v>
      </c>
      <c r="AC55" s="319" t="s">
        <v>169</v>
      </c>
      <c r="AD55" s="319">
        <v>3</v>
      </c>
      <c r="AE55" s="319" t="s">
        <v>173</v>
      </c>
      <c r="AF55" s="319" t="s">
        <v>427</v>
      </c>
      <c r="AG55" s="319" t="s">
        <v>171</v>
      </c>
      <c r="AH55" s="319" t="s">
        <v>190</v>
      </c>
      <c r="AI55" s="319" t="s">
        <v>190</v>
      </c>
      <c r="AJ55" s="319" t="s">
        <v>190</v>
      </c>
      <c r="AK55" s="319" t="s">
        <v>190</v>
      </c>
      <c r="AL55" s="319" t="s">
        <v>190</v>
      </c>
      <c r="AM55" s="319" t="s">
        <v>190</v>
      </c>
      <c r="AN55" s="319" t="s">
        <v>190</v>
      </c>
      <c r="AO55" s="319" t="s">
        <v>190</v>
      </c>
      <c r="AP55" s="319" t="s">
        <v>190</v>
      </c>
      <c r="AQ55" s="319" t="s">
        <v>190</v>
      </c>
      <c r="AR55" s="319" t="s">
        <v>190</v>
      </c>
      <c r="AS55" s="319" t="s">
        <v>190</v>
      </c>
      <c r="AT55" s="319" t="s">
        <v>190</v>
      </c>
      <c r="AU55" s="319" t="s">
        <v>190</v>
      </c>
      <c r="AV55" s="319" t="s">
        <v>190</v>
      </c>
      <c r="AW55" s="319" t="s">
        <v>190</v>
      </c>
      <c r="AX55" s="319" t="s">
        <v>428</v>
      </c>
      <c r="AY55" s="319" t="s">
        <v>190</v>
      </c>
      <c r="AZ55" s="319" t="s">
        <v>190</v>
      </c>
      <c r="BA55" s="319" t="s">
        <v>190</v>
      </c>
      <c r="BB55" s="319" t="s">
        <v>428</v>
      </c>
      <c r="BC55" s="319" t="s">
        <v>428</v>
      </c>
      <c r="BD55" s="319" t="s">
        <v>428</v>
      </c>
      <c r="BE55" s="319" t="s">
        <v>428</v>
      </c>
      <c r="BF55" s="319" t="s">
        <v>190</v>
      </c>
      <c r="BG55" s="319" t="s">
        <v>190</v>
      </c>
      <c r="BH55" s="319" t="s">
        <v>190</v>
      </c>
      <c r="BI55" s="319" t="s">
        <v>190</v>
      </c>
      <c r="BJ55" s="319" t="s">
        <v>190</v>
      </c>
      <c r="BK55" s="319" t="s">
        <v>190</v>
      </c>
      <c r="BL55" s="319" t="s">
        <v>190</v>
      </c>
      <c r="BM55" s="319" t="s">
        <v>190</v>
      </c>
      <c r="BN55" s="319" t="s">
        <v>190</v>
      </c>
      <c r="BO55" s="319" t="s">
        <v>190</v>
      </c>
      <c r="BP55" s="319" t="s">
        <v>190</v>
      </c>
      <c r="BQ55" s="319" t="s">
        <v>190</v>
      </c>
      <c r="BR55" s="319" t="s">
        <v>190</v>
      </c>
      <c r="BS55" s="319" t="s">
        <v>190</v>
      </c>
      <c r="BT55" s="319" t="s">
        <v>190</v>
      </c>
      <c r="BU55" s="319" t="s">
        <v>190</v>
      </c>
      <c r="BV55" s="319" t="s">
        <v>190</v>
      </c>
      <c r="BW55" s="319" t="s">
        <v>190</v>
      </c>
      <c r="BX55" s="319" t="s">
        <v>190</v>
      </c>
      <c r="BY55" s="319" t="s">
        <v>190</v>
      </c>
      <c r="BZ55" s="319" t="s">
        <v>190</v>
      </c>
      <c r="CA55" s="319" t="s">
        <v>190</v>
      </c>
      <c r="CB55" s="319" t="s">
        <v>190</v>
      </c>
      <c r="CC55" s="319" t="s">
        <v>190</v>
      </c>
      <c r="CD55" s="319" t="s">
        <v>190</v>
      </c>
      <c r="CE55" s="319" t="s">
        <v>190</v>
      </c>
      <c r="CF55" s="319" t="s">
        <v>190</v>
      </c>
      <c r="CG55" s="319" t="s">
        <v>190</v>
      </c>
      <c r="CH55" s="319" t="s">
        <v>190</v>
      </c>
      <c r="CI55" s="319" t="s">
        <v>190</v>
      </c>
      <c r="CJ55" s="319" t="s">
        <v>190</v>
      </c>
      <c r="CK55" s="319" t="s">
        <v>190</v>
      </c>
      <c r="CL55" s="319" t="s">
        <v>190</v>
      </c>
      <c r="CM55" s="319" t="s">
        <v>190</v>
      </c>
      <c r="CN55" s="319" t="s">
        <v>428</v>
      </c>
      <c r="CO55" s="319" t="s">
        <v>428</v>
      </c>
      <c r="CP55" s="319" t="s">
        <v>428</v>
      </c>
      <c r="CQ55" s="319" t="s">
        <v>190</v>
      </c>
      <c r="CR55" s="319" t="s">
        <v>190</v>
      </c>
      <c r="CS55" s="319" t="s">
        <v>190</v>
      </c>
      <c r="CT55" s="319" t="s">
        <v>190</v>
      </c>
      <c r="CU55" s="319" t="s">
        <v>190</v>
      </c>
      <c r="CV55" s="319" t="s">
        <v>190</v>
      </c>
      <c r="CW55" s="319" t="s">
        <v>190</v>
      </c>
      <c r="CX55" s="319" t="s">
        <v>190</v>
      </c>
      <c r="CY55" s="319" t="s">
        <v>190</v>
      </c>
      <c r="CZ55" s="319" t="s">
        <v>190</v>
      </c>
      <c r="DA55" s="319" t="s">
        <v>190</v>
      </c>
      <c r="DB55" s="319" t="s">
        <v>190</v>
      </c>
      <c r="DC55" s="319" t="s">
        <v>190</v>
      </c>
      <c r="DD55" s="319" t="s">
        <v>190</v>
      </c>
      <c r="DE55" s="319" t="s">
        <v>190</v>
      </c>
      <c r="DF55" s="319" t="s">
        <v>190</v>
      </c>
      <c r="DG55" s="319" t="s">
        <v>190</v>
      </c>
      <c r="DH55" s="319" t="s">
        <v>190</v>
      </c>
      <c r="DI55" s="319" t="s">
        <v>190</v>
      </c>
      <c r="DJ55" s="319" t="s">
        <v>190</v>
      </c>
      <c r="DK55" s="319" t="s">
        <v>190</v>
      </c>
      <c r="DL55" s="319" t="s">
        <v>190</v>
      </c>
      <c r="DM55" s="319" t="s">
        <v>190</v>
      </c>
      <c r="DN55" s="319" t="s">
        <v>428</v>
      </c>
      <c r="DO55" s="319" t="s">
        <v>190</v>
      </c>
      <c r="DP55" s="319" t="s">
        <v>428</v>
      </c>
      <c r="DQ55" s="319" t="s">
        <v>428</v>
      </c>
      <c r="DR55" s="319" t="s">
        <v>428</v>
      </c>
      <c r="DS55" s="319" t="s">
        <v>428</v>
      </c>
      <c r="DT55" s="319" t="s">
        <v>428</v>
      </c>
      <c r="DU55" s="319" t="s">
        <v>428</v>
      </c>
      <c r="DV55" s="319" t="s">
        <v>173</v>
      </c>
      <c r="DW55" s="319" t="s">
        <v>428</v>
      </c>
      <c r="DX55" s="319" t="s">
        <v>428</v>
      </c>
      <c r="DY55" s="319" t="s">
        <v>428</v>
      </c>
      <c r="DZ55" s="319" t="s">
        <v>428</v>
      </c>
      <c r="EA55" s="319" t="s">
        <v>428</v>
      </c>
      <c r="EB55" s="319" t="s">
        <v>428</v>
      </c>
      <c r="EC55" s="319" t="s">
        <v>428</v>
      </c>
      <c r="ED55" s="319" t="s">
        <v>428</v>
      </c>
      <c r="EE55" s="319" t="s">
        <v>428</v>
      </c>
      <c r="EF55" s="319" t="s">
        <v>428</v>
      </c>
      <c r="EG55" s="319" t="s">
        <v>428</v>
      </c>
      <c r="EH55" s="319" t="s">
        <v>428</v>
      </c>
      <c r="EI55" s="319" t="s">
        <v>428</v>
      </c>
      <c r="EJ55" s="319" t="s">
        <v>428</v>
      </c>
      <c r="EK55" s="319" t="s">
        <v>428</v>
      </c>
      <c r="EL55" s="319" t="s">
        <v>428</v>
      </c>
      <c r="EM55" s="319" t="s">
        <v>428</v>
      </c>
      <c r="EN55" s="319" t="s">
        <v>190</v>
      </c>
      <c r="EO55" s="319" t="s">
        <v>190</v>
      </c>
      <c r="EP55" s="319" t="s">
        <v>190</v>
      </c>
      <c r="EQ55" s="319" t="s">
        <v>190</v>
      </c>
      <c r="ER55" s="319" t="s">
        <v>190</v>
      </c>
      <c r="ES55" s="319" t="s">
        <v>190</v>
      </c>
      <c r="ET55" s="319" t="s">
        <v>190</v>
      </c>
      <c r="EU55" s="319" t="s">
        <v>190</v>
      </c>
      <c r="EV55" s="319" t="s">
        <v>190</v>
      </c>
      <c r="EW55" s="319" t="s">
        <v>190</v>
      </c>
      <c r="EX55" s="319" t="s">
        <v>190</v>
      </c>
      <c r="EY55" s="319" t="s">
        <v>190</v>
      </c>
      <c r="EZ55" s="319" t="s">
        <v>190</v>
      </c>
      <c r="FA55" s="319" t="s">
        <v>190</v>
      </c>
      <c r="FB55" s="319" t="s">
        <v>428</v>
      </c>
      <c r="FC55" s="319" t="s">
        <v>428</v>
      </c>
      <c r="FD55" s="319" t="s">
        <v>428</v>
      </c>
      <c r="FE55" s="319" t="s">
        <v>428</v>
      </c>
      <c r="FF55" s="319" t="s">
        <v>428</v>
      </c>
      <c r="FG55" s="319" t="s">
        <v>428</v>
      </c>
      <c r="FH55" s="319" t="s">
        <v>428</v>
      </c>
      <c r="FI55" s="319" t="s">
        <v>190</v>
      </c>
      <c r="FJ55" s="319" t="s">
        <v>190</v>
      </c>
      <c r="FK55" s="319" t="s">
        <v>190</v>
      </c>
      <c r="FL55" s="319" t="s">
        <v>190</v>
      </c>
      <c r="FM55" s="319" t="s">
        <v>190</v>
      </c>
      <c r="FN55" s="319" t="s">
        <v>190</v>
      </c>
      <c r="FO55" s="319" t="s">
        <v>428</v>
      </c>
      <c r="FP55" s="319" t="s">
        <v>190</v>
      </c>
      <c r="FQ55" s="319" t="s">
        <v>190</v>
      </c>
      <c r="FR55" s="319" t="s">
        <v>190</v>
      </c>
      <c r="FS55" s="319" t="s">
        <v>428</v>
      </c>
      <c r="FT55" s="319" t="s">
        <v>190</v>
      </c>
      <c r="FU55" s="319" t="s">
        <v>190</v>
      </c>
      <c r="FV55" s="319" t="s">
        <v>190</v>
      </c>
      <c r="FW55" s="319" t="s">
        <v>190</v>
      </c>
      <c r="FX55" s="319" t="s">
        <v>190</v>
      </c>
      <c r="FY55" s="319" t="s">
        <v>190</v>
      </c>
      <c r="FZ55" s="319" t="s">
        <v>190</v>
      </c>
      <c r="GA55" s="319" t="s">
        <v>190</v>
      </c>
      <c r="GB55" s="319" t="s">
        <v>190</v>
      </c>
      <c r="GC55" s="319" t="s">
        <v>190</v>
      </c>
      <c r="GD55" s="319" t="s">
        <v>190</v>
      </c>
      <c r="GE55" s="319" t="s">
        <v>190</v>
      </c>
      <c r="GF55" s="319" t="s">
        <v>190</v>
      </c>
      <c r="GG55" s="319" t="s">
        <v>190</v>
      </c>
      <c r="GH55" s="319" t="s">
        <v>190</v>
      </c>
      <c r="GI55" s="319" t="s">
        <v>190</v>
      </c>
      <c r="GJ55" s="319" t="s">
        <v>190</v>
      </c>
      <c r="GK55" s="319" t="s">
        <v>428</v>
      </c>
      <c r="GL55" s="319" t="s">
        <v>190</v>
      </c>
      <c r="GM55" s="319" t="s">
        <v>190</v>
      </c>
      <c r="GN55" s="319" t="s">
        <v>190</v>
      </c>
      <c r="GO55" s="319" t="s">
        <v>190</v>
      </c>
      <c r="GP55" s="319" t="s">
        <v>190</v>
      </c>
      <c r="GQ55" s="319" t="s">
        <v>428</v>
      </c>
      <c r="GR55" s="319" t="s">
        <v>190</v>
      </c>
      <c r="GS55" s="319" t="s">
        <v>190</v>
      </c>
      <c r="GT55" s="319" t="s">
        <v>428</v>
      </c>
      <c r="GU55" s="319" t="s">
        <v>428</v>
      </c>
      <c r="GV55" s="319" t="s">
        <v>190</v>
      </c>
      <c r="GW55" s="319" t="s">
        <v>190</v>
      </c>
      <c r="GX55" s="319" t="s">
        <v>190</v>
      </c>
      <c r="GY55" s="319" t="s">
        <v>190</v>
      </c>
      <c r="GZ55" s="319" t="s">
        <v>190</v>
      </c>
      <c r="HA55" s="319" t="s">
        <v>428</v>
      </c>
      <c r="HB55" s="319" t="s">
        <v>428</v>
      </c>
      <c r="HC55" s="319" t="s">
        <v>190</v>
      </c>
      <c r="HD55" s="319" t="s">
        <v>190</v>
      </c>
      <c r="HE55" s="319" t="s">
        <v>190</v>
      </c>
      <c r="HF55" s="319" t="s">
        <v>190</v>
      </c>
      <c r="HG55" s="319" t="s">
        <v>190</v>
      </c>
      <c r="HH55" s="319" t="s">
        <v>190</v>
      </c>
      <c r="HI55" s="319" t="s">
        <v>190</v>
      </c>
      <c r="HJ55" s="319" t="s">
        <v>190</v>
      </c>
      <c r="HK55" s="319" t="s">
        <v>190</v>
      </c>
      <c r="HL55" s="319" t="s">
        <v>428</v>
      </c>
      <c r="HM55" s="319" t="s">
        <v>428</v>
      </c>
      <c r="HN55" s="319" t="s">
        <v>428</v>
      </c>
      <c r="HO55" s="319" t="s">
        <v>428</v>
      </c>
      <c r="HP55" s="319" t="s">
        <v>190</v>
      </c>
      <c r="HQ55" s="319" t="s">
        <v>190</v>
      </c>
      <c r="HR55" s="319" t="s">
        <v>190</v>
      </c>
      <c r="HS55" s="319" t="s">
        <v>190</v>
      </c>
      <c r="HT55" s="319" t="s">
        <v>190</v>
      </c>
      <c r="HU55" s="319" t="s">
        <v>190</v>
      </c>
      <c r="HV55" s="319" t="s">
        <v>190</v>
      </c>
      <c r="HW55" s="319" t="s">
        <v>190</v>
      </c>
      <c r="HX55" s="319" t="s">
        <v>190</v>
      </c>
      <c r="HY55" s="319" t="s">
        <v>190</v>
      </c>
      <c r="HZ55" s="319" t="s">
        <v>190</v>
      </c>
      <c r="IA55" s="319" t="s">
        <v>190</v>
      </c>
      <c r="IB55" s="319" t="s">
        <v>190</v>
      </c>
      <c r="IC55" s="319" t="s">
        <v>190</v>
      </c>
      <c r="ID55" s="319" t="s">
        <v>190</v>
      </c>
      <c r="IE55" s="319" t="s">
        <v>190</v>
      </c>
      <c r="IF55" s="319" t="s">
        <v>190</v>
      </c>
      <c r="IG55" s="319" t="s">
        <v>190</v>
      </c>
      <c r="IH55" s="319" t="s">
        <v>190</v>
      </c>
      <c r="II55" s="319" t="s">
        <v>190</v>
      </c>
      <c r="IJ55" s="319" t="s">
        <v>2830</v>
      </c>
      <c r="IK55" s="321">
        <v>40968</v>
      </c>
      <c r="IL55" s="321">
        <v>40969</v>
      </c>
      <c r="IM55" s="321">
        <v>41241</v>
      </c>
      <c r="IN55" s="319">
        <v>2</v>
      </c>
      <c r="IO55" s="319" t="s">
        <v>173</v>
      </c>
      <c r="IP55" s="319" t="s">
        <v>173</v>
      </c>
      <c r="IQ55" s="321" t="s">
        <v>173</v>
      </c>
      <c r="IR55" s="320" t="s">
        <v>173</v>
      </c>
      <c r="IS55" s="322" t="s">
        <v>173</v>
      </c>
      <c r="IT55" s="319" t="s">
        <v>173</v>
      </c>
    </row>
    <row r="56" spans="1:254" s="271" customFormat="1" x14ac:dyDescent="0.25">
      <c r="A56" s="318" t="str">
        <f>HYPERLINK("http://www.ofsted.gov.uk/inspection-reports/find-inspection-report/provider/ELS/101695 ","Ofsted School Webpage")</f>
        <v>Ofsted School Webpage</v>
      </c>
      <c r="B56" s="319">
        <v>101695</v>
      </c>
      <c r="C56" s="319">
        <v>3056077</v>
      </c>
      <c r="D56" s="319" t="s">
        <v>1287</v>
      </c>
      <c r="E56" s="319" t="s">
        <v>167</v>
      </c>
      <c r="F56" s="319" t="s">
        <v>81</v>
      </c>
      <c r="G56" s="319" t="s">
        <v>72</v>
      </c>
      <c r="H56" s="319" t="s">
        <v>72</v>
      </c>
      <c r="I56" s="319" t="s">
        <v>72</v>
      </c>
      <c r="J56" s="319" t="s">
        <v>424</v>
      </c>
      <c r="K56" s="319" t="s">
        <v>441</v>
      </c>
      <c r="L56" s="319" t="s">
        <v>441</v>
      </c>
      <c r="M56" s="319" t="s">
        <v>600</v>
      </c>
      <c r="N56" s="319" t="s">
        <v>2829</v>
      </c>
      <c r="O56" s="319" t="s">
        <v>1288</v>
      </c>
      <c r="P56" s="319">
        <v>159</v>
      </c>
      <c r="Q56" s="319" t="s">
        <v>2776</v>
      </c>
      <c r="R56" s="320">
        <v>10092441</v>
      </c>
      <c r="S56" s="321">
        <v>43634</v>
      </c>
      <c r="T56" s="321">
        <v>43636</v>
      </c>
      <c r="U56" s="321">
        <v>43682</v>
      </c>
      <c r="V56" s="319" t="s">
        <v>554</v>
      </c>
      <c r="W56" s="319" t="s">
        <v>2767</v>
      </c>
      <c r="X56" s="319">
        <v>3</v>
      </c>
      <c r="Y56" s="319" t="s">
        <v>173</v>
      </c>
      <c r="Z56" s="319" t="s">
        <v>173</v>
      </c>
      <c r="AA56" s="319" t="s">
        <v>173</v>
      </c>
      <c r="AB56" s="319">
        <v>3</v>
      </c>
      <c r="AC56" s="319" t="s">
        <v>169</v>
      </c>
      <c r="AD56" s="319" t="s">
        <v>173</v>
      </c>
      <c r="AE56" s="319">
        <v>3</v>
      </c>
      <c r="AF56" s="319" t="s">
        <v>427</v>
      </c>
      <c r="AG56" s="319" t="s">
        <v>172</v>
      </c>
      <c r="AH56" s="319" t="s">
        <v>190</v>
      </c>
      <c r="AI56" s="319" t="s">
        <v>190</v>
      </c>
      <c r="AJ56" s="319" t="s">
        <v>190</v>
      </c>
      <c r="AK56" s="319" t="s">
        <v>190</v>
      </c>
      <c r="AL56" s="319" t="s">
        <v>479</v>
      </c>
      <c r="AM56" s="319" t="s">
        <v>190</v>
      </c>
      <c r="AN56" s="319" t="s">
        <v>190</v>
      </c>
      <c r="AO56" s="319" t="s">
        <v>479</v>
      </c>
      <c r="AP56" s="319" t="s">
        <v>190</v>
      </c>
      <c r="AQ56" s="319" t="s">
        <v>190</v>
      </c>
      <c r="AR56" s="319" t="s">
        <v>190</v>
      </c>
      <c r="AS56" s="319" t="s">
        <v>190</v>
      </c>
      <c r="AT56" s="319" t="s">
        <v>190</v>
      </c>
      <c r="AU56" s="319" t="s">
        <v>190</v>
      </c>
      <c r="AV56" s="319" t="s">
        <v>190</v>
      </c>
      <c r="AW56" s="319" t="s">
        <v>190</v>
      </c>
      <c r="AX56" s="319" t="s">
        <v>428</v>
      </c>
      <c r="AY56" s="319" t="s">
        <v>190</v>
      </c>
      <c r="AZ56" s="319" t="s">
        <v>190</v>
      </c>
      <c r="BA56" s="319" t="s">
        <v>190</v>
      </c>
      <c r="BB56" s="319" t="s">
        <v>190</v>
      </c>
      <c r="BC56" s="319" t="s">
        <v>190</v>
      </c>
      <c r="BD56" s="319" t="s">
        <v>190</v>
      </c>
      <c r="BE56" s="319" t="s">
        <v>190</v>
      </c>
      <c r="BF56" s="319" t="s">
        <v>428</v>
      </c>
      <c r="BG56" s="319" t="s">
        <v>190</v>
      </c>
      <c r="BH56" s="319" t="s">
        <v>190</v>
      </c>
      <c r="BI56" s="319" t="s">
        <v>190</v>
      </c>
      <c r="BJ56" s="319" t="s">
        <v>190</v>
      </c>
      <c r="BK56" s="319" t="s">
        <v>190</v>
      </c>
      <c r="BL56" s="319" t="s">
        <v>190</v>
      </c>
      <c r="BM56" s="319" t="s">
        <v>190</v>
      </c>
      <c r="BN56" s="319" t="s">
        <v>190</v>
      </c>
      <c r="BO56" s="319" t="s">
        <v>190</v>
      </c>
      <c r="BP56" s="319" t="s">
        <v>190</v>
      </c>
      <c r="BQ56" s="319" t="s">
        <v>190</v>
      </c>
      <c r="BR56" s="319" t="s">
        <v>190</v>
      </c>
      <c r="BS56" s="319" t="s">
        <v>190</v>
      </c>
      <c r="BT56" s="319" t="s">
        <v>190</v>
      </c>
      <c r="BU56" s="319" t="s">
        <v>190</v>
      </c>
      <c r="BV56" s="319" t="s">
        <v>190</v>
      </c>
      <c r="BW56" s="319" t="s">
        <v>190</v>
      </c>
      <c r="BX56" s="319" t="s">
        <v>190</v>
      </c>
      <c r="BY56" s="319" t="s">
        <v>190</v>
      </c>
      <c r="BZ56" s="319" t="s">
        <v>190</v>
      </c>
      <c r="CA56" s="319" t="s">
        <v>190</v>
      </c>
      <c r="CB56" s="319" t="s">
        <v>190</v>
      </c>
      <c r="CC56" s="319" t="s">
        <v>190</v>
      </c>
      <c r="CD56" s="319" t="s">
        <v>190</v>
      </c>
      <c r="CE56" s="319" t="s">
        <v>190</v>
      </c>
      <c r="CF56" s="319" t="s">
        <v>190</v>
      </c>
      <c r="CG56" s="319" t="s">
        <v>190</v>
      </c>
      <c r="CH56" s="319" t="s">
        <v>190</v>
      </c>
      <c r="CI56" s="319" t="s">
        <v>190</v>
      </c>
      <c r="CJ56" s="319" t="s">
        <v>190</v>
      </c>
      <c r="CK56" s="319" t="s">
        <v>190</v>
      </c>
      <c r="CL56" s="319" t="s">
        <v>190</v>
      </c>
      <c r="CM56" s="319" t="s">
        <v>190</v>
      </c>
      <c r="CN56" s="319" t="s">
        <v>190</v>
      </c>
      <c r="CO56" s="319" t="s">
        <v>191</v>
      </c>
      <c r="CP56" s="319" t="s">
        <v>191</v>
      </c>
      <c r="CQ56" s="319" t="s">
        <v>190</v>
      </c>
      <c r="CR56" s="319" t="s">
        <v>190</v>
      </c>
      <c r="CS56" s="319" t="s">
        <v>190</v>
      </c>
      <c r="CT56" s="319" t="s">
        <v>190</v>
      </c>
      <c r="CU56" s="319" t="s">
        <v>190</v>
      </c>
      <c r="CV56" s="319" t="s">
        <v>190</v>
      </c>
      <c r="CW56" s="319" t="s">
        <v>190</v>
      </c>
      <c r="CX56" s="319" t="s">
        <v>190</v>
      </c>
      <c r="CY56" s="319" t="s">
        <v>190</v>
      </c>
      <c r="CZ56" s="319" t="s">
        <v>190</v>
      </c>
      <c r="DA56" s="319" t="s">
        <v>190</v>
      </c>
      <c r="DB56" s="319" t="s">
        <v>190</v>
      </c>
      <c r="DC56" s="319" t="s">
        <v>190</v>
      </c>
      <c r="DD56" s="319" t="s">
        <v>190</v>
      </c>
      <c r="DE56" s="319" t="s">
        <v>190</v>
      </c>
      <c r="DF56" s="319" t="s">
        <v>190</v>
      </c>
      <c r="DG56" s="319" t="s">
        <v>190</v>
      </c>
      <c r="DH56" s="319" t="s">
        <v>190</v>
      </c>
      <c r="DI56" s="319" t="s">
        <v>190</v>
      </c>
      <c r="DJ56" s="319" t="s">
        <v>190</v>
      </c>
      <c r="DK56" s="319" t="s">
        <v>190</v>
      </c>
      <c r="DL56" s="319" t="s">
        <v>190</v>
      </c>
      <c r="DM56" s="319" t="s">
        <v>190</v>
      </c>
      <c r="DN56" s="319" t="s">
        <v>190</v>
      </c>
      <c r="DO56" s="319" t="s">
        <v>190</v>
      </c>
      <c r="DP56" s="319" t="s">
        <v>428</v>
      </c>
      <c r="DQ56" s="319" t="s">
        <v>428</v>
      </c>
      <c r="DR56" s="319" t="s">
        <v>428</v>
      </c>
      <c r="DS56" s="319" t="s">
        <v>428</v>
      </c>
      <c r="DT56" s="319" t="s">
        <v>428</v>
      </c>
      <c r="DU56" s="319" t="s">
        <v>428</v>
      </c>
      <c r="DV56" s="319" t="s">
        <v>173</v>
      </c>
      <c r="DW56" s="319" t="s">
        <v>428</v>
      </c>
      <c r="DX56" s="319" t="s">
        <v>428</v>
      </c>
      <c r="DY56" s="319" t="s">
        <v>428</v>
      </c>
      <c r="DZ56" s="319" t="s">
        <v>428</v>
      </c>
      <c r="EA56" s="319" t="s">
        <v>428</v>
      </c>
      <c r="EB56" s="319" t="s">
        <v>428</v>
      </c>
      <c r="EC56" s="319" t="s">
        <v>428</v>
      </c>
      <c r="ED56" s="319" t="s">
        <v>428</v>
      </c>
      <c r="EE56" s="319" t="s">
        <v>190</v>
      </c>
      <c r="EF56" s="319" t="s">
        <v>190</v>
      </c>
      <c r="EG56" s="319" t="s">
        <v>190</v>
      </c>
      <c r="EH56" s="319" t="s">
        <v>190</v>
      </c>
      <c r="EI56" s="319" t="s">
        <v>190</v>
      </c>
      <c r="EJ56" s="319" t="s">
        <v>190</v>
      </c>
      <c r="EK56" s="319" t="s">
        <v>190</v>
      </c>
      <c r="EL56" s="319" t="s">
        <v>190</v>
      </c>
      <c r="EM56" s="319" t="s">
        <v>190</v>
      </c>
      <c r="EN56" s="319" t="s">
        <v>190</v>
      </c>
      <c r="EO56" s="319" t="s">
        <v>190</v>
      </c>
      <c r="EP56" s="319" t="s">
        <v>190</v>
      </c>
      <c r="EQ56" s="319" t="s">
        <v>190</v>
      </c>
      <c r="ER56" s="319" t="s">
        <v>190</v>
      </c>
      <c r="ES56" s="319" t="s">
        <v>190</v>
      </c>
      <c r="ET56" s="319" t="s">
        <v>190</v>
      </c>
      <c r="EU56" s="319" t="s">
        <v>190</v>
      </c>
      <c r="EV56" s="319" t="s">
        <v>190</v>
      </c>
      <c r="EW56" s="319" t="s">
        <v>190</v>
      </c>
      <c r="EX56" s="319" t="s">
        <v>190</v>
      </c>
      <c r="EY56" s="319" t="s">
        <v>190</v>
      </c>
      <c r="EZ56" s="319" t="s">
        <v>190</v>
      </c>
      <c r="FA56" s="319" t="s">
        <v>190</v>
      </c>
      <c r="FB56" s="319" t="s">
        <v>428</v>
      </c>
      <c r="FC56" s="319" t="s">
        <v>428</v>
      </c>
      <c r="FD56" s="319" t="s">
        <v>428</v>
      </c>
      <c r="FE56" s="319" t="s">
        <v>428</v>
      </c>
      <c r="FF56" s="319" t="s">
        <v>428</v>
      </c>
      <c r="FG56" s="319" t="s">
        <v>428</v>
      </c>
      <c r="FH56" s="319" t="s">
        <v>428</v>
      </c>
      <c r="FI56" s="319" t="s">
        <v>190</v>
      </c>
      <c r="FJ56" s="319" t="s">
        <v>190</v>
      </c>
      <c r="FK56" s="319" t="s">
        <v>190</v>
      </c>
      <c r="FL56" s="319" t="s">
        <v>190</v>
      </c>
      <c r="FM56" s="319" t="s">
        <v>190</v>
      </c>
      <c r="FN56" s="319" t="s">
        <v>190</v>
      </c>
      <c r="FO56" s="319" t="s">
        <v>190</v>
      </c>
      <c r="FP56" s="319" t="s">
        <v>190</v>
      </c>
      <c r="FQ56" s="319" t="s">
        <v>190</v>
      </c>
      <c r="FR56" s="319" t="s">
        <v>190</v>
      </c>
      <c r="FS56" s="319" t="s">
        <v>428</v>
      </c>
      <c r="FT56" s="319" t="s">
        <v>190</v>
      </c>
      <c r="FU56" s="319" t="s">
        <v>191</v>
      </c>
      <c r="FV56" s="319" t="s">
        <v>190</v>
      </c>
      <c r="FW56" s="319" t="s">
        <v>190</v>
      </c>
      <c r="FX56" s="319" t="s">
        <v>190</v>
      </c>
      <c r="FY56" s="319" t="s">
        <v>190</v>
      </c>
      <c r="FZ56" s="319" t="s">
        <v>190</v>
      </c>
      <c r="GA56" s="319" t="s">
        <v>190</v>
      </c>
      <c r="GB56" s="319" t="s">
        <v>190</v>
      </c>
      <c r="GC56" s="319" t="s">
        <v>190</v>
      </c>
      <c r="GD56" s="319" t="s">
        <v>190</v>
      </c>
      <c r="GE56" s="319" t="s">
        <v>190</v>
      </c>
      <c r="GF56" s="319" t="s">
        <v>190</v>
      </c>
      <c r="GG56" s="319" t="s">
        <v>190</v>
      </c>
      <c r="GH56" s="319" t="s">
        <v>190</v>
      </c>
      <c r="GI56" s="319" t="s">
        <v>190</v>
      </c>
      <c r="GJ56" s="319" t="s">
        <v>190</v>
      </c>
      <c r="GK56" s="319" t="s">
        <v>191</v>
      </c>
      <c r="GL56" s="319" t="s">
        <v>190</v>
      </c>
      <c r="GM56" s="319" t="s">
        <v>190</v>
      </c>
      <c r="GN56" s="319" t="s">
        <v>190</v>
      </c>
      <c r="GO56" s="319" t="s">
        <v>190</v>
      </c>
      <c r="GP56" s="319" t="s">
        <v>190</v>
      </c>
      <c r="GQ56" s="319" t="s">
        <v>190</v>
      </c>
      <c r="GR56" s="319" t="s">
        <v>190</v>
      </c>
      <c r="GS56" s="319" t="s">
        <v>190</v>
      </c>
      <c r="GT56" s="319" t="s">
        <v>428</v>
      </c>
      <c r="GU56" s="319" t="s">
        <v>428</v>
      </c>
      <c r="GV56" s="319" t="s">
        <v>190</v>
      </c>
      <c r="GW56" s="319" t="s">
        <v>190</v>
      </c>
      <c r="GX56" s="319" t="s">
        <v>190</v>
      </c>
      <c r="GY56" s="319" t="s">
        <v>190</v>
      </c>
      <c r="GZ56" s="319" t="s">
        <v>190</v>
      </c>
      <c r="HA56" s="319" t="s">
        <v>190</v>
      </c>
      <c r="HB56" s="319" t="s">
        <v>190</v>
      </c>
      <c r="HC56" s="319" t="s">
        <v>190</v>
      </c>
      <c r="HD56" s="319" t="s">
        <v>190</v>
      </c>
      <c r="HE56" s="319" t="s">
        <v>190</v>
      </c>
      <c r="HF56" s="319" t="s">
        <v>428</v>
      </c>
      <c r="HG56" s="319" t="s">
        <v>190</v>
      </c>
      <c r="HH56" s="319" t="s">
        <v>190</v>
      </c>
      <c r="HI56" s="319" t="s">
        <v>190</v>
      </c>
      <c r="HJ56" s="319" t="s">
        <v>190</v>
      </c>
      <c r="HK56" s="319" t="s">
        <v>190</v>
      </c>
      <c r="HL56" s="319" t="s">
        <v>428</v>
      </c>
      <c r="HM56" s="319" t="s">
        <v>428</v>
      </c>
      <c r="HN56" s="319" t="s">
        <v>428</v>
      </c>
      <c r="HO56" s="319" t="s">
        <v>428</v>
      </c>
      <c r="HP56" s="319" t="s">
        <v>190</v>
      </c>
      <c r="HQ56" s="319" t="s">
        <v>190</v>
      </c>
      <c r="HR56" s="319" t="s">
        <v>190</v>
      </c>
      <c r="HS56" s="319" t="s">
        <v>190</v>
      </c>
      <c r="HT56" s="319" t="s">
        <v>190</v>
      </c>
      <c r="HU56" s="319" t="s">
        <v>190</v>
      </c>
      <c r="HV56" s="319" t="s">
        <v>190</v>
      </c>
      <c r="HW56" s="319" t="s">
        <v>190</v>
      </c>
      <c r="HX56" s="319" t="s">
        <v>190</v>
      </c>
      <c r="HY56" s="319" t="s">
        <v>190</v>
      </c>
      <c r="HZ56" s="319" t="s">
        <v>190</v>
      </c>
      <c r="IA56" s="319" t="s">
        <v>190</v>
      </c>
      <c r="IB56" s="319" t="s">
        <v>190</v>
      </c>
      <c r="IC56" s="319" t="s">
        <v>190</v>
      </c>
      <c r="ID56" s="319" t="s">
        <v>190</v>
      </c>
      <c r="IE56" s="319" t="s">
        <v>190</v>
      </c>
      <c r="IF56" s="319" t="s">
        <v>191</v>
      </c>
      <c r="IG56" s="319" t="s">
        <v>191</v>
      </c>
      <c r="IH56" s="319" t="s">
        <v>191</v>
      </c>
      <c r="II56" s="319" t="s">
        <v>190</v>
      </c>
      <c r="IJ56" s="319">
        <v>10034171</v>
      </c>
      <c r="IK56" s="321">
        <v>42864</v>
      </c>
      <c r="IL56" s="321">
        <v>42866</v>
      </c>
      <c r="IM56" s="321">
        <v>42937</v>
      </c>
      <c r="IN56" s="319">
        <v>4</v>
      </c>
      <c r="IO56" s="319" t="s">
        <v>173</v>
      </c>
      <c r="IP56" s="319" t="s">
        <v>173</v>
      </c>
      <c r="IQ56" s="321" t="s">
        <v>173</v>
      </c>
      <c r="IR56" s="320" t="s">
        <v>173</v>
      </c>
      <c r="IS56" s="322" t="s">
        <v>173</v>
      </c>
      <c r="IT56" s="319" t="s">
        <v>173</v>
      </c>
    </row>
    <row r="57" spans="1:254" s="271" customFormat="1" x14ac:dyDescent="0.25">
      <c r="A57" s="318" t="str">
        <f>HYPERLINK("http://www.ofsted.gov.uk/inspection-reports/find-inspection-report/provider/ELS/101843 ","Ofsted School Webpage")</f>
        <v>Ofsted School Webpage</v>
      </c>
      <c r="B57" s="319">
        <v>101843</v>
      </c>
      <c r="C57" s="319">
        <v>3066078</v>
      </c>
      <c r="D57" s="319" t="s">
        <v>1289</v>
      </c>
      <c r="E57" s="319" t="s">
        <v>168</v>
      </c>
      <c r="F57" s="319" t="s">
        <v>81</v>
      </c>
      <c r="G57" s="319" t="s">
        <v>81</v>
      </c>
      <c r="H57" s="319" t="s">
        <v>81</v>
      </c>
      <c r="I57" s="319" t="s">
        <v>78</v>
      </c>
      <c r="J57" s="319" t="s">
        <v>424</v>
      </c>
      <c r="K57" s="319" t="s">
        <v>441</v>
      </c>
      <c r="L57" s="319" t="s">
        <v>441</v>
      </c>
      <c r="M57" s="319" t="s">
        <v>734</v>
      </c>
      <c r="N57" s="319" t="s">
        <v>2831</v>
      </c>
      <c r="O57" s="319" t="s">
        <v>1290</v>
      </c>
      <c r="P57" s="319">
        <v>19</v>
      </c>
      <c r="Q57" s="319" t="s">
        <v>429</v>
      </c>
      <c r="R57" s="320">
        <v>10048714</v>
      </c>
      <c r="S57" s="321">
        <v>43284</v>
      </c>
      <c r="T57" s="321">
        <v>43286</v>
      </c>
      <c r="U57" s="321">
        <v>43360</v>
      </c>
      <c r="V57" s="319" t="s">
        <v>425</v>
      </c>
      <c r="W57" s="319" t="s">
        <v>2767</v>
      </c>
      <c r="X57" s="319">
        <v>2</v>
      </c>
      <c r="Y57" s="319" t="s">
        <v>173</v>
      </c>
      <c r="Z57" s="319" t="s">
        <v>173</v>
      </c>
      <c r="AA57" s="319" t="s">
        <v>173</v>
      </c>
      <c r="AB57" s="319">
        <v>2</v>
      </c>
      <c r="AC57" s="319" t="s">
        <v>169</v>
      </c>
      <c r="AD57" s="319" t="s">
        <v>173</v>
      </c>
      <c r="AE57" s="319" t="s">
        <v>173</v>
      </c>
      <c r="AF57" s="319" t="s">
        <v>427</v>
      </c>
      <c r="AG57" s="319" t="s">
        <v>171</v>
      </c>
      <c r="AH57" s="319" t="s">
        <v>190</v>
      </c>
      <c r="AI57" s="319" t="s">
        <v>190</v>
      </c>
      <c r="AJ57" s="319" t="s">
        <v>190</v>
      </c>
      <c r="AK57" s="319" t="s">
        <v>190</v>
      </c>
      <c r="AL57" s="319" t="s">
        <v>190</v>
      </c>
      <c r="AM57" s="319" t="s">
        <v>190</v>
      </c>
      <c r="AN57" s="319" t="s">
        <v>190</v>
      </c>
      <c r="AO57" s="319" t="s">
        <v>190</v>
      </c>
      <c r="AP57" s="319" t="s">
        <v>190</v>
      </c>
      <c r="AQ57" s="319" t="s">
        <v>190</v>
      </c>
      <c r="AR57" s="319" t="s">
        <v>190</v>
      </c>
      <c r="AS57" s="319" t="s">
        <v>190</v>
      </c>
      <c r="AT57" s="319" t="s">
        <v>190</v>
      </c>
      <c r="AU57" s="319" t="s">
        <v>190</v>
      </c>
      <c r="AV57" s="319" t="s">
        <v>190</v>
      </c>
      <c r="AW57" s="319" t="s">
        <v>190</v>
      </c>
      <c r="AX57" s="319" t="s">
        <v>428</v>
      </c>
      <c r="AY57" s="319" t="s">
        <v>190</v>
      </c>
      <c r="AZ57" s="319" t="s">
        <v>190</v>
      </c>
      <c r="BA57" s="319" t="s">
        <v>190</v>
      </c>
      <c r="BB57" s="319" t="s">
        <v>190</v>
      </c>
      <c r="BC57" s="319" t="s">
        <v>190</v>
      </c>
      <c r="BD57" s="319" t="s">
        <v>190</v>
      </c>
      <c r="BE57" s="319" t="s">
        <v>190</v>
      </c>
      <c r="BF57" s="319" t="s">
        <v>190</v>
      </c>
      <c r="BG57" s="319" t="s">
        <v>190</v>
      </c>
      <c r="BH57" s="319" t="s">
        <v>190</v>
      </c>
      <c r="BI57" s="319" t="s">
        <v>190</v>
      </c>
      <c r="BJ57" s="319" t="s">
        <v>190</v>
      </c>
      <c r="BK57" s="319" t="s">
        <v>190</v>
      </c>
      <c r="BL57" s="319" t="s">
        <v>190</v>
      </c>
      <c r="BM57" s="319" t="s">
        <v>190</v>
      </c>
      <c r="BN57" s="319" t="s">
        <v>190</v>
      </c>
      <c r="BO57" s="319" t="s">
        <v>190</v>
      </c>
      <c r="BP57" s="319" t="s">
        <v>190</v>
      </c>
      <c r="BQ57" s="319" t="s">
        <v>190</v>
      </c>
      <c r="BR57" s="319" t="s">
        <v>190</v>
      </c>
      <c r="BS57" s="319" t="s">
        <v>190</v>
      </c>
      <c r="BT57" s="319" t="s">
        <v>190</v>
      </c>
      <c r="BU57" s="319" t="s">
        <v>190</v>
      </c>
      <c r="BV57" s="319" t="s">
        <v>190</v>
      </c>
      <c r="BW57" s="319" t="s">
        <v>190</v>
      </c>
      <c r="BX57" s="319" t="s">
        <v>190</v>
      </c>
      <c r="BY57" s="319" t="s">
        <v>190</v>
      </c>
      <c r="BZ57" s="319" t="s">
        <v>190</v>
      </c>
      <c r="CA57" s="319" t="s">
        <v>190</v>
      </c>
      <c r="CB57" s="319" t="s">
        <v>190</v>
      </c>
      <c r="CC57" s="319" t="s">
        <v>190</v>
      </c>
      <c r="CD57" s="319" t="s">
        <v>190</v>
      </c>
      <c r="CE57" s="319" t="s">
        <v>190</v>
      </c>
      <c r="CF57" s="319" t="s">
        <v>190</v>
      </c>
      <c r="CG57" s="319" t="s">
        <v>190</v>
      </c>
      <c r="CH57" s="319" t="s">
        <v>190</v>
      </c>
      <c r="CI57" s="319" t="s">
        <v>190</v>
      </c>
      <c r="CJ57" s="319" t="s">
        <v>190</v>
      </c>
      <c r="CK57" s="319" t="s">
        <v>190</v>
      </c>
      <c r="CL57" s="319" t="s">
        <v>190</v>
      </c>
      <c r="CM57" s="319" t="s">
        <v>190</v>
      </c>
      <c r="CN57" s="319" t="s">
        <v>428</v>
      </c>
      <c r="CO57" s="319" t="s">
        <v>428</v>
      </c>
      <c r="CP57" s="319" t="s">
        <v>428</v>
      </c>
      <c r="CQ57" s="319" t="s">
        <v>190</v>
      </c>
      <c r="CR57" s="319" t="s">
        <v>190</v>
      </c>
      <c r="CS57" s="319" t="s">
        <v>190</v>
      </c>
      <c r="CT57" s="319" t="s">
        <v>190</v>
      </c>
      <c r="CU57" s="319" t="s">
        <v>190</v>
      </c>
      <c r="CV57" s="319" t="s">
        <v>190</v>
      </c>
      <c r="CW57" s="319" t="s">
        <v>190</v>
      </c>
      <c r="CX57" s="319" t="s">
        <v>190</v>
      </c>
      <c r="CY57" s="319" t="s">
        <v>190</v>
      </c>
      <c r="CZ57" s="319" t="s">
        <v>190</v>
      </c>
      <c r="DA57" s="319" t="s">
        <v>190</v>
      </c>
      <c r="DB57" s="319" t="s">
        <v>190</v>
      </c>
      <c r="DC57" s="319" t="s">
        <v>190</v>
      </c>
      <c r="DD57" s="319" t="s">
        <v>190</v>
      </c>
      <c r="DE57" s="319" t="s">
        <v>190</v>
      </c>
      <c r="DF57" s="319" t="s">
        <v>190</v>
      </c>
      <c r="DG57" s="319" t="s">
        <v>190</v>
      </c>
      <c r="DH57" s="319" t="s">
        <v>190</v>
      </c>
      <c r="DI57" s="319" t="s">
        <v>190</v>
      </c>
      <c r="DJ57" s="319" t="s">
        <v>190</v>
      </c>
      <c r="DK57" s="319" t="s">
        <v>190</v>
      </c>
      <c r="DL57" s="319" t="s">
        <v>190</v>
      </c>
      <c r="DM57" s="319" t="s">
        <v>190</v>
      </c>
      <c r="DN57" s="319" t="s">
        <v>428</v>
      </c>
      <c r="DO57" s="319" t="s">
        <v>190</v>
      </c>
      <c r="DP57" s="319" t="s">
        <v>190</v>
      </c>
      <c r="DQ57" s="319" t="s">
        <v>190</v>
      </c>
      <c r="DR57" s="319" t="s">
        <v>190</v>
      </c>
      <c r="DS57" s="319" t="s">
        <v>190</v>
      </c>
      <c r="DT57" s="319" t="s">
        <v>190</v>
      </c>
      <c r="DU57" s="319" t="s">
        <v>190</v>
      </c>
      <c r="DV57" s="319" t="s">
        <v>173</v>
      </c>
      <c r="DW57" s="319" t="s">
        <v>190</v>
      </c>
      <c r="DX57" s="319" t="s">
        <v>190</v>
      </c>
      <c r="DY57" s="319" t="s">
        <v>190</v>
      </c>
      <c r="DZ57" s="319" t="s">
        <v>190</v>
      </c>
      <c r="EA57" s="319" t="s">
        <v>190</v>
      </c>
      <c r="EB57" s="319" t="s">
        <v>190</v>
      </c>
      <c r="EC57" s="319" t="s">
        <v>428</v>
      </c>
      <c r="ED57" s="319" t="s">
        <v>190</v>
      </c>
      <c r="EE57" s="319" t="s">
        <v>190</v>
      </c>
      <c r="EF57" s="319" t="s">
        <v>190</v>
      </c>
      <c r="EG57" s="319" t="s">
        <v>190</v>
      </c>
      <c r="EH57" s="319" t="s">
        <v>190</v>
      </c>
      <c r="EI57" s="319" t="s">
        <v>190</v>
      </c>
      <c r="EJ57" s="319" t="s">
        <v>190</v>
      </c>
      <c r="EK57" s="319" t="s">
        <v>190</v>
      </c>
      <c r="EL57" s="319" t="s">
        <v>190</v>
      </c>
      <c r="EM57" s="319" t="s">
        <v>190</v>
      </c>
      <c r="EN57" s="319" t="s">
        <v>190</v>
      </c>
      <c r="EO57" s="319" t="s">
        <v>190</v>
      </c>
      <c r="EP57" s="319" t="s">
        <v>190</v>
      </c>
      <c r="EQ57" s="319" t="s">
        <v>190</v>
      </c>
      <c r="ER57" s="319" t="s">
        <v>190</v>
      </c>
      <c r="ES57" s="319" t="s">
        <v>190</v>
      </c>
      <c r="ET57" s="319" t="s">
        <v>190</v>
      </c>
      <c r="EU57" s="319" t="s">
        <v>190</v>
      </c>
      <c r="EV57" s="319" t="s">
        <v>190</v>
      </c>
      <c r="EW57" s="319" t="s">
        <v>190</v>
      </c>
      <c r="EX57" s="319" t="s">
        <v>190</v>
      </c>
      <c r="EY57" s="319" t="s">
        <v>190</v>
      </c>
      <c r="EZ57" s="319" t="s">
        <v>190</v>
      </c>
      <c r="FA57" s="319" t="s">
        <v>190</v>
      </c>
      <c r="FB57" s="319" t="s">
        <v>190</v>
      </c>
      <c r="FC57" s="319" t="s">
        <v>190</v>
      </c>
      <c r="FD57" s="319" t="s">
        <v>190</v>
      </c>
      <c r="FE57" s="319" t="s">
        <v>190</v>
      </c>
      <c r="FF57" s="319" t="s">
        <v>190</v>
      </c>
      <c r="FG57" s="319" t="s">
        <v>190</v>
      </c>
      <c r="FH57" s="319" t="s">
        <v>190</v>
      </c>
      <c r="FI57" s="319" t="s">
        <v>190</v>
      </c>
      <c r="FJ57" s="319" t="s">
        <v>190</v>
      </c>
      <c r="FK57" s="319" t="s">
        <v>190</v>
      </c>
      <c r="FL57" s="319" t="s">
        <v>190</v>
      </c>
      <c r="FM57" s="319" t="s">
        <v>190</v>
      </c>
      <c r="FN57" s="319" t="s">
        <v>190</v>
      </c>
      <c r="FO57" s="319" t="s">
        <v>190</v>
      </c>
      <c r="FP57" s="319" t="s">
        <v>190</v>
      </c>
      <c r="FQ57" s="319" t="s">
        <v>190</v>
      </c>
      <c r="FR57" s="319" t="s">
        <v>190</v>
      </c>
      <c r="FS57" s="319" t="s">
        <v>190</v>
      </c>
      <c r="FT57" s="319" t="s">
        <v>190</v>
      </c>
      <c r="FU57" s="319" t="s">
        <v>190</v>
      </c>
      <c r="FV57" s="319" t="s">
        <v>190</v>
      </c>
      <c r="FW57" s="319" t="s">
        <v>190</v>
      </c>
      <c r="FX57" s="319" t="s">
        <v>190</v>
      </c>
      <c r="FY57" s="319" t="s">
        <v>190</v>
      </c>
      <c r="FZ57" s="319" t="s">
        <v>190</v>
      </c>
      <c r="GA57" s="319" t="s">
        <v>190</v>
      </c>
      <c r="GB57" s="319" t="s">
        <v>190</v>
      </c>
      <c r="GC57" s="319" t="s">
        <v>190</v>
      </c>
      <c r="GD57" s="319" t="s">
        <v>190</v>
      </c>
      <c r="GE57" s="319" t="s">
        <v>190</v>
      </c>
      <c r="GF57" s="319" t="s">
        <v>190</v>
      </c>
      <c r="GG57" s="319" t="s">
        <v>190</v>
      </c>
      <c r="GH57" s="319" t="s">
        <v>190</v>
      </c>
      <c r="GI57" s="319" t="s">
        <v>190</v>
      </c>
      <c r="GJ57" s="319" t="s">
        <v>190</v>
      </c>
      <c r="GK57" s="319" t="s">
        <v>428</v>
      </c>
      <c r="GL57" s="319" t="s">
        <v>190</v>
      </c>
      <c r="GM57" s="319" t="s">
        <v>190</v>
      </c>
      <c r="GN57" s="319" t="s">
        <v>190</v>
      </c>
      <c r="GO57" s="319" t="s">
        <v>190</v>
      </c>
      <c r="GP57" s="319" t="s">
        <v>190</v>
      </c>
      <c r="GQ57" s="319" t="s">
        <v>428</v>
      </c>
      <c r="GR57" s="319" t="s">
        <v>190</v>
      </c>
      <c r="GS57" s="319" t="s">
        <v>190</v>
      </c>
      <c r="GT57" s="319" t="s">
        <v>190</v>
      </c>
      <c r="GU57" s="319" t="s">
        <v>190</v>
      </c>
      <c r="GV57" s="319" t="s">
        <v>190</v>
      </c>
      <c r="GW57" s="319" t="s">
        <v>190</v>
      </c>
      <c r="GX57" s="319" t="s">
        <v>190</v>
      </c>
      <c r="GY57" s="319" t="s">
        <v>190</v>
      </c>
      <c r="GZ57" s="319" t="s">
        <v>428</v>
      </c>
      <c r="HA57" s="319" t="s">
        <v>190</v>
      </c>
      <c r="HB57" s="319" t="s">
        <v>190</v>
      </c>
      <c r="HC57" s="319" t="s">
        <v>190</v>
      </c>
      <c r="HD57" s="319" t="s">
        <v>190</v>
      </c>
      <c r="HE57" s="319" t="s">
        <v>190</v>
      </c>
      <c r="HF57" s="319" t="s">
        <v>190</v>
      </c>
      <c r="HG57" s="319" t="s">
        <v>190</v>
      </c>
      <c r="HH57" s="319" t="s">
        <v>190</v>
      </c>
      <c r="HI57" s="319" t="s">
        <v>190</v>
      </c>
      <c r="HJ57" s="319" t="s">
        <v>190</v>
      </c>
      <c r="HK57" s="319" t="s">
        <v>190</v>
      </c>
      <c r="HL57" s="319" t="s">
        <v>428</v>
      </c>
      <c r="HM57" s="319" t="s">
        <v>428</v>
      </c>
      <c r="HN57" s="319" t="s">
        <v>428</v>
      </c>
      <c r="HO57" s="319" t="s">
        <v>428</v>
      </c>
      <c r="HP57" s="319" t="s">
        <v>190</v>
      </c>
      <c r="HQ57" s="319" t="s">
        <v>190</v>
      </c>
      <c r="HR57" s="319" t="s">
        <v>190</v>
      </c>
      <c r="HS57" s="319" t="s">
        <v>190</v>
      </c>
      <c r="HT57" s="319" t="s">
        <v>190</v>
      </c>
      <c r="HU57" s="319" t="s">
        <v>190</v>
      </c>
      <c r="HV57" s="319" t="s">
        <v>190</v>
      </c>
      <c r="HW57" s="319" t="s">
        <v>190</v>
      </c>
      <c r="HX57" s="319" t="s">
        <v>190</v>
      </c>
      <c r="HY57" s="319" t="s">
        <v>190</v>
      </c>
      <c r="HZ57" s="319" t="s">
        <v>190</v>
      </c>
      <c r="IA57" s="319" t="s">
        <v>190</v>
      </c>
      <c r="IB57" s="319" t="s">
        <v>190</v>
      </c>
      <c r="IC57" s="319" t="s">
        <v>190</v>
      </c>
      <c r="ID57" s="319" t="s">
        <v>190</v>
      </c>
      <c r="IE57" s="319" t="s">
        <v>190</v>
      </c>
      <c r="IF57" s="319" t="s">
        <v>190</v>
      </c>
      <c r="IG57" s="319" t="s">
        <v>190</v>
      </c>
      <c r="IH57" s="319" t="s">
        <v>190</v>
      </c>
      <c r="II57" s="319" t="s">
        <v>190</v>
      </c>
      <c r="IJ57" s="319" t="s">
        <v>2832</v>
      </c>
      <c r="IK57" s="321">
        <v>42192</v>
      </c>
      <c r="IL57" s="321">
        <v>42194</v>
      </c>
      <c r="IM57" s="321">
        <v>42257</v>
      </c>
      <c r="IN57" s="319">
        <v>1</v>
      </c>
      <c r="IO57" s="319" t="s">
        <v>173</v>
      </c>
      <c r="IP57" s="319" t="s">
        <v>173</v>
      </c>
      <c r="IQ57" s="321" t="s">
        <v>173</v>
      </c>
      <c r="IR57" s="320" t="s">
        <v>173</v>
      </c>
      <c r="IS57" s="322" t="s">
        <v>173</v>
      </c>
      <c r="IT57" s="319" t="s">
        <v>173</v>
      </c>
    </row>
    <row r="58" spans="1:254" s="271" customFormat="1" x14ac:dyDescent="0.25">
      <c r="A58" s="318" t="str">
        <f>HYPERLINK("http://www.ofsted.gov.uk/inspection-reports/find-inspection-report/provider/ELS/101948 ","Ofsted School Webpage")</f>
        <v>Ofsted School Webpage</v>
      </c>
      <c r="B58" s="319">
        <v>101948</v>
      </c>
      <c r="C58" s="319">
        <v>3076050</v>
      </c>
      <c r="D58" s="319" t="s">
        <v>2727</v>
      </c>
      <c r="E58" s="319" t="s">
        <v>167</v>
      </c>
      <c r="F58" s="319" t="s">
        <v>81</v>
      </c>
      <c r="G58" s="319" t="s">
        <v>81</v>
      </c>
      <c r="H58" s="319" t="s">
        <v>81</v>
      </c>
      <c r="I58" s="319" t="s">
        <v>78</v>
      </c>
      <c r="J58" s="319" t="s">
        <v>424</v>
      </c>
      <c r="K58" s="319" t="s">
        <v>441</v>
      </c>
      <c r="L58" s="319" t="s">
        <v>441</v>
      </c>
      <c r="M58" s="319" t="s">
        <v>442</v>
      </c>
      <c r="N58" s="319" t="s">
        <v>2833</v>
      </c>
      <c r="O58" s="319" t="s">
        <v>1118</v>
      </c>
      <c r="P58" s="319">
        <v>71</v>
      </c>
      <c r="Q58" s="319" t="s">
        <v>2766</v>
      </c>
      <c r="R58" s="320">
        <v>10092444</v>
      </c>
      <c r="S58" s="321">
        <v>43585</v>
      </c>
      <c r="T58" s="321">
        <v>43587</v>
      </c>
      <c r="U58" s="321">
        <v>43636</v>
      </c>
      <c r="V58" s="319" t="s">
        <v>425</v>
      </c>
      <c r="W58" s="319" t="s">
        <v>2767</v>
      </c>
      <c r="X58" s="319">
        <v>4</v>
      </c>
      <c r="Y58" s="319" t="s">
        <v>173</v>
      </c>
      <c r="Z58" s="319" t="s">
        <v>173</v>
      </c>
      <c r="AA58" s="319" t="s">
        <v>173</v>
      </c>
      <c r="AB58" s="319">
        <v>4</v>
      </c>
      <c r="AC58" s="319" t="s">
        <v>170</v>
      </c>
      <c r="AD58" s="319" t="s">
        <v>173</v>
      </c>
      <c r="AE58" s="319" t="s">
        <v>173</v>
      </c>
      <c r="AF58" s="319" t="s">
        <v>447</v>
      </c>
      <c r="AG58" s="319" t="s">
        <v>172</v>
      </c>
      <c r="AH58" s="319" t="s">
        <v>190</v>
      </c>
      <c r="AI58" s="319" t="s">
        <v>190</v>
      </c>
      <c r="AJ58" s="319" t="s">
        <v>479</v>
      </c>
      <c r="AK58" s="319" t="s">
        <v>190</v>
      </c>
      <c r="AL58" s="319" t="s">
        <v>190</v>
      </c>
      <c r="AM58" s="319" t="s">
        <v>190</v>
      </c>
      <c r="AN58" s="319" t="s">
        <v>190</v>
      </c>
      <c r="AO58" s="319" t="s">
        <v>479</v>
      </c>
      <c r="AP58" s="319" t="s">
        <v>190</v>
      </c>
      <c r="AQ58" s="319" t="s">
        <v>190</v>
      </c>
      <c r="AR58" s="319" t="s">
        <v>190</v>
      </c>
      <c r="AS58" s="319" t="s">
        <v>190</v>
      </c>
      <c r="AT58" s="319" t="s">
        <v>190</v>
      </c>
      <c r="AU58" s="319" t="s">
        <v>190</v>
      </c>
      <c r="AV58" s="319" t="s">
        <v>190</v>
      </c>
      <c r="AW58" s="319" t="s">
        <v>190</v>
      </c>
      <c r="AX58" s="319" t="s">
        <v>428</v>
      </c>
      <c r="AY58" s="319" t="s">
        <v>190</v>
      </c>
      <c r="AZ58" s="319" t="s">
        <v>190</v>
      </c>
      <c r="BA58" s="319" t="s">
        <v>190</v>
      </c>
      <c r="BB58" s="319" t="s">
        <v>190</v>
      </c>
      <c r="BC58" s="319" t="s">
        <v>190</v>
      </c>
      <c r="BD58" s="319" t="s">
        <v>190</v>
      </c>
      <c r="BE58" s="319" t="s">
        <v>190</v>
      </c>
      <c r="BF58" s="319" t="s">
        <v>428</v>
      </c>
      <c r="BG58" s="319" t="s">
        <v>428</v>
      </c>
      <c r="BH58" s="319" t="s">
        <v>190</v>
      </c>
      <c r="BI58" s="319" t="s">
        <v>190</v>
      </c>
      <c r="BJ58" s="319" t="s">
        <v>190</v>
      </c>
      <c r="BK58" s="319" t="s">
        <v>190</v>
      </c>
      <c r="BL58" s="319" t="s">
        <v>190</v>
      </c>
      <c r="BM58" s="319" t="s">
        <v>190</v>
      </c>
      <c r="BN58" s="319" t="s">
        <v>190</v>
      </c>
      <c r="BO58" s="319" t="s">
        <v>190</v>
      </c>
      <c r="BP58" s="319" t="s">
        <v>190</v>
      </c>
      <c r="BQ58" s="319" t="s">
        <v>190</v>
      </c>
      <c r="BR58" s="319" t="s">
        <v>190</v>
      </c>
      <c r="BS58" s="319" t="s">
        <v>190</v>
      </c>
      <c r="BT58" s="319" t="s">
        <v>190</v>
      </c>
      <c r="BU58" s="319" t="s">
        <v>190</v>
      </c>
      <c r="BV58" s="319" t="s">
        <v>190</v>
      </c>
      <c r="BW58" s="319" t="s">
        <v>190</v>
      </c>
      <c r="BX58" s="319" t="s">
        <v>190</v>
      </c>
      <c r="BY58" s="319" t="s">
        <v>190</v>
      </c>
      <c r="BZ58" s="319" t="s">
        <v>190</v>
      </c>
      <c r="CA58" s="319" t="s">
        <v>190</v>
      </c>
      <c r="CB58" s="319" t="s">
        <v>190</v>
      </c>
      <c r="CC58" s="319" t="s">
        <v>190</v>
      </c>
      <c r="CD58" s="319" t="s">
        <v>190</v>
      </c>
      <c r="CE58" s="319" t="s">
        <v>190</v>
      </c>
      <c r="CF58" s="319" t="s">
        <v>190</v>
      </c>
      <c r="CG58" s="319" t="s">
        <v>190</v>
      </c>
      <c r="CH58" s="319" t="s">
        <v>190</v>
      </c>
      <c r="CI58" s="319" t="s">
        <v>190</v>
      </c>
      <c r="CJ58" s="319" t="s">
        <v>190</v>
      </c>
      <c r="CK58" s="319" t="s">
        <v>191</v>
      </c>
      <c r="CL58" s="319" t="s">
        <v>191</v>
      </c>
      <c r="CM58" s="319" t="s">
        <v>191</v>
      </c>
      <c r="CN58" s="319" t="s">
        <v>428</v>
      </c>
      <c r="CO58" s="319" t="s">
        <v>428</v>
      </c>
      <c r="CP58" s="319" t="s">
        <v>428</v>
      </c>
      <c r="CQ58" s="319" t="s">
        <v>190</v>
      </c>
      <c r="CR58" s="319" t="s">
        <v>190</v>
      </c>
      <c r="CS58" s="319" t="s">
        <v>190</v>
      </c>
      <c r="CT58" s="319" t="s">
        <v>190</v>
      </c>
      <c r="CU58" s="319" t="s">
        <v>190</v>
      </c>
      <c r="CV58" s="319" t="s">
        <v>190</v>
      </c>
      <c r="CW58" s="319" t="s">
        <v>190</v>
      </c>
      <c r="CX58" s="319" t="s">
        <v>190</v>
      </c>
      <c r="CY58" s="319" t="s">
        <v>190</v>
      </c>
      <c r="CZ58" s="319" t="s">
        <v>190</v>
      </c>
      <c r="DA58" s="319" t="s">
        <v>190</v>
      </c>
      <c r="DB58" s="319" t="s">
        <v>190</v>
      </c>
      <c r="DC58" s="319" t="s">
        <v>190</v>
      </c>
      <c r="DD58" s="319" t="s">
        <v>190</v>
      </c>
      <c r="DE58" s="319" t="s">
        <v>190</v>
      </c>
      <c r="DF58" s="319" t="s">
        <v>190</v>
      </c>
      <c r="DG58" s="319" t="s">
        <v>190</v>
      </c>
      <c r="DH58" s="319" t="s">
        <v>190</v>
      </c>
      <c r="DI58" s="319" t="s">
        <v>190</v>
      </c>
      <c r="DJ58" s="319" t="s">
        <v>190</v>
      </c>
      <c r="DK58" s="319" t="s">
        <v>190</v>
      </c>
      <c r="DL58" s="319" t="s">
        <v>190</v>
      </c>
      <c r="DM58" s="319" t="s">
        <v>428</v>
      </c>
      <c r="DN58" s="319" t="s">
        <v>428</v>
      </c>
      <c r="DO58" s="319" t="s">
        <v>190</v>
      </c>
      <c r="DP58" s="319" t="s">
        <v>190</v>
      </c>
      <c r="DQ58" s="319" t="s">
        <v>190</v>
      </c>
      <c r="DR58" s="319" t="s">
        <v>190</v>
      </c>
      <c r="DS58" s="319" t="s">
        <v>190</v>
      </c>
      <c r="DT58" s="319" t="s">
        <v>190</v>
      </c>
      <c r="DU58" s="319" t="s">
        <v>190</v>
      </c>
      <c r="DV58" s="319" t="s">
        <v>173</v>
      </c>
      <c r="DW58" s="319" t="s">
        <v>190</v>
      </c>
      <c r="DX58" s="319" t="s">
        <v>190</v>
      </c>
      <c r="DY58" s="319" t="s">
        <v>190</v>
      </c>
      <c r="DZ58" s="319" t="s">
        <v>190</v>
      </c>
      <c r="EA58" s="319" t="s">
        <v>190</v>
      </c>
      <c r="EB58" s="319" t="s">
        <v>190</v>
      </c>
      <c r="EC58" s="319" t="s">
        <v>428</v>
      </c>
      <c r="ED58" s="319" t="s">
        <v>190</v>
      </c>
      <c r="EE58" s="319" t="s">
        <v>190</v>
      </c>
      <c r="EF58" s="319" t="s">
        <v>190</v>
      </c>
      <c r="EG58" s="319" t="s">
        <v>190</v>
      </c>
      <c r="EH58" s="319" t="s">
        <v>190</v>
      </c>
      <c r="EI58" s="319" t="s">
        <v>190</v>
      </c>
      <c r="EJ58" s="319" t="s">
        <v>190</v>
      </c>
      <c r="EK58" s="319" t="s">
        <v>190</v>
      </c>
      <c r="EL58" s="319" t="s">
        <v>190</v>
      </c>
      <c r="EM58" s="319" t="s">
        <v>190</v>
      </c>
      <c r="EN58" s="319" t="s">
        <v>190</v>
      </c>
      <c r="EO58" s="319" t="s">
        <v>190</v>
      </c>
      <c r="EP58" s="319" t="s">
        <v>190</v>
      </c>
      <c r="EQ58" s="319" t="s">
        <v>190</v>
      </c>
      <c r="ER58" s="319" t="s">
        <v>190</v>
      </c>
      <c r="ES58" s="319" t="s">
        <v>190</v>
      </c>
      <c r="ET58" s="319" t="s">
        <v>190</v>
      </c>
      <c r="EU58" s="319" t="s">
        <v>190</v>
      </c>
      <c r="EV58" s="319" t="s">
        <v>190</v>
      </c>
      <c r="EW58" s="319" t="s">
        <v>190</v>
      </c>
      <c r="EX58" s="319" t="s">
        <v>190</v>
      </c>
      <c r="EY58" s="319" t="s">
        <v>190</v>
      </c>
      <c r="EZ58" s="319" t="s">
        <v>190</v>
      </c>
      <c r="FA58" s="319" t="s">
        <v>190</v>
      </c>
      <c r="FB58" s="319" t="s">
        <v>190</v>
      </c>
      <c r="FC58" s="319" t="s">
        <v>190</v>
      </c>
      <c r="FD58" s="319" t="s">
        <v>190</v>
      </c>
      <c r="FE58" s="319" t="s">
        <v>190</v>
      </c>
      <c r="FF58" s="319" t="s">
        <v>190</v>
      </c>
      <c r="FG58" s="319" t="s">
        <v>190</v>
      </c>
      <c r="FH58" s="319" t="s">
        <v>428</v>
      </c>
      <c r="FI58" s="319" t="s">
        <v>428</v>
      </c>
      <c r="FJ58" s="319" t="s">
        <v>429</v>
      </c>
      <c r="FK58" s="319" t="s">
        <v>428</v>
      </c>
      <c r="FL58" s="319" t="s">
        <v>190</v>
      </c>
      <c r="FM58" s="319" t="s">
        <v>190</v>
      </c>
      <c r="FN58" s="319" t="s">
        <v>190</v>
      </c>
      <c r="FO58" s="319" t="s">
        <v>190</v>
      </c>
      <c r="FP58" s="319" t="s">
        <v>190</v>
      </c>
      <c r="FQ58" s="319" t="s">
        <v>190</v>
      </c>
      <c r="FR58" s="319" t="s">
        <v>190</v>
      </c>
      <c r="FS58" s="319" t="s">
        <v>428</v>
      </c>
      <c r="FT58" s="319" t="s">
        <v>190</v>
      </c>
      <c r="FU58" s="319" t="s">
        <v>190</v>
      </c>
      <c r="FV58" s="319" t="s">
        <v>190</v>
      </c>
      <c r="FW58" s="319" t="s">
        <v>190</v>
      </c>
      <c r="FX58" s="319" t="s">
        <v>190</v>
      </c>
      <c r="FY58" s="319" t="s">
        <v>190</v>
      </c>
      <c r="FZ58" s="319" t="s">
        <v>190</v>
      </c>
      <c r="GA58" s="319" t="s">
        <v>190</v>
      </c>
      <c r="GB58" s="319" t="s">
        <v>190</v>
      </c>
      <c r="GC58" s="319" t="s">
        <v>190</v>
      </c>
      <c r="GD58" s="319" t="s">
        <v>190</v>
      </c>
      <c r="GE58" s="319" t="s">
        <v>190</v>
      </c>
      <c r="GF58" s="319" t="s">
        <v>190</v>
      </c>
      <c r="GG58" s="319" t="s">
        <v>190</v>
      </c>
      <c r="GH58" s="319" t="s">
        <v>190</v>
      </c>
      <c r="GI58" s="319" t="s">
        <v>190</v>
      </c>
      <c r="GJ58" s="319" t="s">
        <v>190</v>
      </c>
      <c r="GK58" s="319" t="s">
        <v>428</v>
      </c>
      <c r="GL58" s="319" t="s">
        <v>190</v>
      </c>
      <c r="GM58" s="319" t="s">
        <v>190</v>
      </c>
      <c r="GN58" s="319" t="s">
        <v>190</v>
      </c>
      <c r="GO58" s="319" t="s">
        <v>190</v>
      </c>
      <c r="GP58" s="319" t="s">
        <v>190</v>
      </c>
      <c r="GQ58" s="319" t="s">
        <v>428</v>
      </c>
      <c r="GR58" s="319" t="s">
        <v>190</v>
      </c>
      <c r="GS58" s="319" t="s">
        <v>190</v>
      </c>
      <c r="GT58" s="319" t="s">
        <v>428</v>
      </c>
      <c r="GU58" s="319" t="s">
        <v>428</v>
      </c>
      <c r="GV58" s="319" t="s">
        <v>190</v>
      </c>
      <c r="GW58" s="319" t="s">
        <v>190</v>
      </c>
      <c r="GX58" s="319" t="s">
        <v>190</v>
      </c>
      <c r="GY58" s="319" t="s">
        <v>190</v>
      </c>
      <c r="GZ58" s="319" t="s">
        <v>190</v>
      </c>
      <c r="HA58" s="319" t="s">
        <v>428</v>
      </c>
      <c r="HB58" s="319" t="s">
        <v>190</v>
      </c>
      <c r="HC58" s="319" t="s">
        <v>190</v>
      </c>
      <c r="HD58" s="319" t="s">
        <v>190</v>
      </c>
      <c r="HE58" s="319" t="s">
        <v>190</v>
      </c>
      <c r="HF58" s="319" t="s">
        <v>428</v>
      </c>
      <c r="HG58" s="319" t="s">
        <v>190</v>
      </c>
      <c r="HH58" s="319" t="s">
        <v>190</v>
      </c>
      <c r="HI58" s="319" t="s">
        <v>190</v>
      </c>
      <c r="HJ58" s="319" t="s">
        <v>190</v>
      </c>
      <c r="HK58" s="319" t="s">
        <v>190</v>
      </c>
      <c r="HL58" s="319" t="s">
        <v>428</v>
      </c>
      <c r="HM58" s="319" t="s">
        <v>428</v>
      </c>
      <c r="HN58" s="319" t="s">
        <v>428</v>
      </c>
      <c r="HO58" s="319" t="s">
        <v>428</v>
      </c>
      <c r="HP58" s="319" t="s">
        <v>190</v>
      </c>
      <c r="HQ58" s="319" t="s">
        <v>190</v>
      </c>
      <c r="HR58" s="319" t="s">
        <v>190</v>
      </c>
      <c r="HS58" s="319" t="s">
        <v>190</v>
      </c>
      <c r="HT58" s="319" t="s">
        <v>190</v>
      </c>
      <c r="HU58" s="319" t="s">
        <v>190</v>
      </c>
      <c r="HV58" s="319" t="s">
        <v>190</v>
      </c>
      <c r="HW58" s="319" t="s">
        <v>190</v>
      </c>
      <c r="HX58" s="319" t="s">
        <v>190</v>
      </c>
      <c r="HY58" s="319" t="s">
        <v>190</v>
      </c>
      <c r="HZ58" s="319" t="s">
        <v>190</v>
      </c>
      <c r="IA58" s="319" t="s">
        <v>190</v>
      </c>
      <c r="IB58" s="319" t="s">
        <v>190</v>
      </c>
      <c r="IC58" s="319" t="s">
        <v>190</v>
      </c>
      <c r="ID58" s="319" t="s">
        <v>190</v>
      </c>
      <c r="IE58" s="319" t="s">
        <v>190</v>
      </c>
      <c r="IF58" s="319" t="s">
        <v>191</v>
      </c>
      <c r="IG58" s="319" t="s">
        <v>191</v>
      </c>
      <c r="IH58" s="319" t="s">
        <v>191</v>
      </c>
      <c r="II58" s="319" t="s">
        <v>191</v>
      </c>
      <c r="IJ58" s="319">
        <v>10012825</v>
      </c>
      <c r="IK58" s="321">
        <v>43046</v>
      </c>
      <c r="IL58" s="321">
        <v>43048</v>
      </c>
      <c r="IM58" s="321">
        <v>43076</v>
      </c>
      <c r="IN58" s="319">
        <v>3</v>
      </c>
      <c r="IO58" s="319">
        <v>10125076</v>
      </c>
      <c r="IP58" s="319" t="s">
        <v>985</v>
      </c>
      <c r="IQ58" s="321">
        <v>43749</v>
      </c>
      <c r="IR58" s="320" t="s">
        <v>2771</v>
      </c>
      <c r="IS58" s="322">
        <v>43789</v>
      </c>
      <c r="IT58" s="319" t="s">
        <v>166</v>
      </c>
    </row>
    <row r="59" spans="1:254" s="271" customFormat="1" x14ac:dyDescent="0.25">
      <c r="A59" s="318" t="str">
        <f>HYPERLINK("http://www.ofsted.gov.uk/inspection-reports/find-inspection-report/provider/ELS/101953 ","Ofsted School Webpage")</f>
        <v>Ofsted School Webpage</v>
      </c>
      <c r="B59" s="319">
        <v>101953</v>
      </c>
      <c r="C59" s="319">
        <v>3076064</v>
      </c>
      <c r="D59" s="319" t="s">
        <v>1291</v>
      </c>
      <c r="E59" s="319" t="s">
        <v>168</v>
      </c>
      <c r="F59" s="319" t="s">
        <v>81</v>
      </c>
      <c r="G59" s="319" t="s">
        <v>81</v>
      </c>
      <c r="H59" s="319" t="s">
        <v>81</v>
      </c>
      <c r="I59" s="319" t="s">
        <v>78</v>
      </c>
      <c r="J59" s="319" t="s">
        <v>424</v>
      </c>
      <c r="K59" s="319" t="s">
        <v>441</v>
      </c>
      <c r="L59" s="319" t="s">
        <v>441</v>
      </c>
      <c r="M59" s="319" t="s">
        <v>442</v>
      </c>
      <c r="N59" s="319" t="s">
        <v>2834</v>
      </c>
      <c r="O59" s="319" t="s">
        <v>1292</v>
      </c>
      <c r="P59" s="319">
        <v>87</v>
      </c>
      <c r="Q59" s="319" t="s">
        <v>429</v>
      </c>
      <c r="R59" s="320">
        <v>10038156</v>
      </c>
      <c r="S59" s="321">
        <v>43068</v>
      </c>
      <c r="T59" s="321">
        <v>43070</v>
      </c>
      <c r="U59" s="321">
        <v>43115</v>
      </c>
      <c r="V59" s="319" t="s">
        <v>425</v>
      </c>
      <c r="W59" s="319" t="s">
        <v>2767</v>
      </c>
      <c r="X59" s="319">
        <v>1</v>
      </c>
      <c r="Y59" s="319" t="s">
        <v>173</v>
      </c>
      <c r="Z59" s="319" t="s">
        <v>173</v>
      </c>
      <c r="AA59" s="319" t="s">
        <v>173</v>
      </c>
      <c r="AB59" s="319">
        <v>1</v>
      </c>
      <c r="AC59" s="319" t="s">
        <v>169</v>
      </c>
      <c r="AD59" s="319" t="s">
        <v>173</v>
      </c>
      <c r="AE59" s="319">
        <v>1</v>
      </c>
      <c r="AF59" s="319" t="s">
        <v>427</v>
      </c>
      <c r="AG59" s="319" t="s">
        <v>171</v>
      </c>
      <c r="AH59" s="319" t="s">
        <v>190</v>
      </c>
      <c r="AI59" s="319" t="s">
        <v>190</v>
      </c>
      <c r="AJ59" s="319" t="s">
        <v>190</v>
      </c>
      <c r="AK59" s="319" t="s">
        <v>190</v>
      </c>
      <c r="AL59" s="319" t="s">
        <v>190</v>
      </c>
      <c r="AM59" s="319" t="s">
        <v>190</v>
      </c>
      <c r="AN59" s="319" t="s">
        <v>190</v>
      </c>
      <c r="AO59" s="319" t="s">
        <v>190</v>
      </c>
      <c r="AP59" s="319" t="s">
        <v>190</v>
      </c>
      <c r="AQ59" s="319" t="s">
        <v>190</v>
      </c>
      <c r="AR59" s="319" t="s">
        <v>190</v>
      </c>
      <c r="AS59" s="319" t="s">
        <v>190</v>
      </c>
      <c r="AT59" s="319" t="s">
        <v>190</v>
      </c>
      <c r="AU59" s="319" t="s">
        <v>190</v>
      </c>
      <c r="AV59" s="319" t="s">
        <v>190</v>
      </c>
      <c r="AW59" s="319" t="s">
        <v>190</v>
      </c>
      <c r="AX59" s="319" t="s">
        <v>428</v>
      </c>
      <c r="AY59" s="319" t="s">
        <v>190</v>
      </c>
      <c r="AZ59" s="319" t="s">
        <v>190</v>
      </c>
      <c r="BA59" s="319" t="s">
        <v>190</v>
      </c>
      <c r="BB59" s="319" t="s">
        <v>190</v>
      </c>
      <c r="BC59" s="319" t="s">
        <v>190</v>
      </c>
      <c r="BD59" s="319" t="s">
        <v>190</v>
      </c>
      <c r="BE59" s="319" t="s">
        <v>190</v>
      </c>
      <c r="BF59" s="319" t="s">
        <v>190</v>
      </c>
      <c r="BG59" s="319" t="s">
        <v>190</v>
      </c>
      <c r="BH59" s="319" t="s">
        <v>190</v>
      </c>
      <c r="BI59" s="319" t="s">
        <v>190</v>
      </c>
      <c r="BJ59" s="319" t="s">
        <v>190</v>
      </c>
      <c r="BK59" s="319" t="s">
        <v>190</v>
      </c>
      <c r="BL59" s="319" t="s">
        <v>190</v>
      </c>
      <c r="BM59" s="319" t="s">
        <v>190</v>
      </c>
      <c r="BN59" s="319" t="s">
        <v>190</v>
      </c>
      <c r="BO59" s="319" t="s">
        <v>190</v>
      </c>
      <c r="BP59" s="319" t="s">
        <v>190</v>
      </c>
      <c r="BQ59" s="319" t="s">
        <v>190</v>
      </c>
      <c r="BR59" s="319" t="s">
        <v>190</v>
      </c>
      <c r="BS59" s="319" t="s">
        <v>190</v>
      </c>
      <c r="BT59" s="319" t="s">
        <v>190</v>
      </c>
      <c r="BU59" s="319" t="s">
        <v>190</v>
      </c>
      <c r="BV59" s="319" t="s">
        <v>190</v>
      </c>
      <c r="BW59" s="319" t="s">
        <v>190</v>
      </c>
      <c r="BX59" s="319" t="s">
        <v>190</v>
      </c>
      <c r="BY59" s="319" t="s">
        <v>190</v>
      </c>
      <c r="BZ59" s="319" t="s">
        <v>190</v>
      </c>
      <c r="CA59" s="319" t="s">
        <v>190</v>
      </c>
      <c r="CB59" s="319" t="s">
        <v>190</v>
      </c>
      <c r="CC59" s="319" t="s">
        <v>190</v>
      </c>
      <c r="CD59" s="319" t="s">
        <v>190</v>
      </c>
      <c r="CE59" s="319" t="s">
        <v>190</v>
      </c>
      <c r="CF59" s="319" t="s">
        <v>190</v>
      </c>
      <c r="CG59" s="319" t="s">
        <v>190</v>
      </c>
      <c r="CH59" s="319" t="s">
        <v>190</v>
      </c>
      <c r="CI59" s="319" t="s">
        <v>190</v>
      </c>
      <c r="CJ59" s="319" t="s">
        <v>190</v>
      </c>
      <c r="CK59" s="319" t="s">
        <v>190</v>
      </c>
      <c r="CL59" s="319" t="s">
        <v>190</v>
      </c>
      <c r="CM59" s="319" t="s">
        <v>190</v>
      </c>
      <c r="CN59" s="319" t="s">
        <v>428</v>
      </c>
      <c r="CO59" s="319" t="s">
        <v>428</v>
      </c>
      <c r="CP59" s="319" t="s">
        <v>428</v>
      </c>
      <c r="CQ59" s="319" t="s">
        <v>190</v>
      </c>
      <c r="CR59" s="319" t="s">
        <v>190</v>
      </c>
      <c r="CS59" s="319" t="s">
        <v>190</v>
      </c>
      <c r="CT59" s="319" t="s">
        <v>190</v>
      </c>
      <c r="CU59" s="319" t="s">
        <v>190</v>
      </c>
      <c r="CV59" s="319" t="s">
        <v>190</v>
      </c>
      <c r="CW59" s="319" t="s">
        <v>190</v>
      </c>
      <c r="CX59" s="319" t="s">
        <v>190</v>
      </c>
      <c r="CY59" s="319" t="s">
        <v>190</v>
      </c>
      <c r="CZ59" s="319" t="s">
        <v>190</v>
      </c>
      <c r="DA59" s="319" t="s">
        <v>190</v>
      </c>
      <c r="DB59" s="319" t="s">
        <v>190</v>
      </c>
      <c r="DC59" s="319" t="s">
        <v>190</v>
      </c>
      <c r="DD59" s="319" t="s">
        <v>190</v>
      </c>
      <c r="DE59" s="319" t="s">
        <v>190</v>
      </c>
      <c r="DF59" s="319" t="s">
        <v>190</v>
      </c>
      <c r="DG59" s="319" t="s">
        <v>190</v>
      </c>
      <c r="DH59" s="319" t="s">
        <v>190</v>
      </c>
      <c r="DI59" s="319" t="s">
        <v>190</v>
      </c>
      <c r="DJ59" s="319" t="s">
        <v>190</v>
      </c>
      <c r="DK59" s="319" t="s">
        <v>190</v>
      </c>
      <c r="DL59" s="319" t="s">
        <v>190</v>
      </c>
      <c r="DM59" s="319" t="s">
        <v>190</v>
      </c>
      <c r="DN59" s="319" t="s">
        <v>428</v>
      </c>
      <c r="DO59" s="319" t="s">
        <v>190</v>
      </c>
      <c r="DP59" s="319" t="s">
        <v>190</v>
      </c>
      <c r="DQ59" s="319" t="s">
        <v>190</v>
      </c>
      <c r="DR59" s="319" t="s">
        <v>190</v>
      </c>
      <c r="DS59" s="319" t="s">
        <v>190</v>
      </c>
      <c r="DT59" s="319" t="s">
        <v>190</v>
      </c>
      <c r="DU59" s="319" t="s">
        <v>190</v>
      </c>
      <c r="DV59" s="319" t="s">
        <v>173</v>
      </c>
      <c r="DW59" s="319" t="s">
        <v>190</v>
      </c>
      <c r="DX59" s="319" t="s">
        <v>190</v>
      </c>
      <c r="DY59" s="319" t="s">
        <v>190</v>
      </c>
      <c r="DZ59" s="319" t="s">
        <v>190</v>
      </c>
      <c r="EA59" s="319" t="s">
        <v>190</v>
      </c>
      <c r="EB59" s="319" t="s">
        <v>190</v>
      </c>
      <c r="EC59" s="319" t="s">
        <v>428</v>
      </c>
      <c r="ED59" s="319" t="s">
        <v>190</v>
      </c>
      <c r="EE59" s="319" t="s">
        <v>190</v>
      </c>
      <c r="EF59" s="319" t="s">
        <v>190</v>
      </c>
      <c r="EG59" s="319" t="s">
        <v>190</v>
      </c>
      <c r="EH59" s="319" t="s">
        <v>190</v>
      </c>
      <c r="EI59" s="319" t="s">
        <v>190</v>
      </c>
      <c r="EJ59" s="319" t="s">
        <v>190</v>
      </c>
      <c r="EK59" s="319" t="s">
        <v>190</v>
      </c>
      <c r="EL59" s="319" t="s">
        <v>190</v>
      </c>
      <c r="EM59" s="319" t="s">
        <v>190</v>
      </c>
      <c r="EN59" s="319" t="s">
        <v>190</v>
      </c>
      <c r="EO59" s="319" t="s">
        <v>190</v>
      </c>
      <c r="EP59" s="319" t="s">
        <v>190</v>
      </c>
      <c r="EQ59" s="319" t="s">
        <v>190</v>
      </c>
      <c r="ER59" s="319" t="s">
        <v>190</v>
      </c>
      <c r="ES59" s="319" t="s">
        <v>190</v>
      </c>
      <c r="ET59" s="319" t="s">
        <v>190</v>
      </c>
      <c r="EU59" s="319" t="s">
        <v>190</v>
      </c>
      <c r="EV59" s="319" t="s">
        <v>190</v>
      </c>
      <c r="EW59" s="319" t="s">
        <v>190</v>
      </c>
      <c r="EX59" s="319" t="s">
        <v>190</v>
      </c>
      <c r="EY59" s="319" t="s">
        <v>190</v>
      </c>
      <c r="EZ59" s="319" t="s">
        <v>190</v>
      </c>
      <c r="FA59" s="319" t="s">
        <v>190</v>
      </c>
      <c r="FB59" s="319" t="s">
        <v>190</v>
      </c>
      <c r="FC59" s="319" t="s">
        <v>190</v>
      </c>
      <c r="FD59" s="319" t="s">
        <v>190</v>
      </c>
      <c r="FE59" s="319" t="s">
        <v>190</v>
      </c>
      <c r="FF59" s="319" t="s">
        <v>190</v>
      </c>
      <c r="FG59" s="319" t="s">
        <v>190</v>
      </c>
      <c r="FH59" s="319" t="s">
        <v>190</v>
      </c>
      <c r="FI59" s="319" t="s">
        <v>190</v>
      </c>
      <c r="FJ59" s="319" t="s">
        <v>190</v>
      </c>
      <c r="FK59" s="319" t="s">
        <v>190</v>
      </c>
      <c r="FL59" s="319" t="s">
        <v>190</v>
      </c>
      <c r="FM59" s="319" t="s">
        <v>190</v>
      </c>
      <c r="FN59" s="319" t="s">
        <v>190</v>
      </c>
      <c r="FO59" s="319" t="s">
        <v>190</v>
      </c>
      <c r="FP59" s="319" t="s">
        <v>190</v>
      </c>
      <c r="FQ59" s="319" t="s">
        <v>190</v>
      </c>
      <c r="FR59" s="319" t="s">
        <v>190</v>
      </c>
      <c r="FS59" s="319" t="s">
        <v>190</v>
      </c>
      <c r="FT59" s="319" t="s">
        <v>190</v>
      </c>
      <c r="FU59" s="319" t="s">
        <v>190</v>
      </c>
      <c r="FV59" s="319" t="s">
        <v>190</v>
      </c>
      <c r="FW59" s="319" t="s">
        <v>190</v>
      </c>
      <c r="FX59" s="319" t="s">
        <v>190</v>
      </c>
      <c r="FY59" s="319" t="s">
        <v>190</v>
      </c>
      <c r="FZ59" s="319" t="s">
        <v>190</v>
      </c>
      <c r="GA59" s="319" t="s">
        <v>190</v>
      </c>
      <c r="GB59" s="319" t="s">
        <v>190</v>
      </c>
      <c r="GC59" s="319" t="s">
        <v>190</v>
      </c>
      <c r="GD59" s="319" t="s">
        <v>190</v>
      </c>
      <c r="GE59" s="319" t="s">
        <v>190</v>
      </c>
      <c r="GF59" s="319" t="s">
        <v>190</v>
      </c>
      <c r="GG59" s="319" t="s">
        <v>190</v>
      </c>
      <c r="GH59" s="319" t="s">
        <v>190</v>
      </c>
      <c r="GI59" s="319" t="s">
        <v>190</v>
      </c>
      <c r="GJ59" s="319" t="s">
        <v>190</v>
      </c>
      <c r="GK59" s="319" t="s">
        <v>428</v>
      </c>
      <c r="GL59" s="319" t="s">
        <v>190</v>
      </c>
      <c r="GM59" s="319" t="s">
        <v>190</v>
      </c>
      <c r="GN59" s="319" t="s">
        <v>190</v>
      </c>
      <c r="GO59" s="319" t="s">
        <v>190</v>
      </c>
      <c r="GP59" s="319" t="s">
        <v>190</v>
      </c>
      <c r="GQ59" s="319" t="s">
        <v>428</v>
      </c>
      <c r="GR59" s="319" t="s">
        <v>190</v>
      </c>
      <c r="GS59" s="319" t="s">
        <v>190</v>
      </c>
      <c r="GT59" s="319" t="s">
        <v>190</v>
      </c>
      <c r="GU59" s="319" t="s">
        <v>190</v>
      </c>
      <c r="GV59" s="319" t="s">
        <v>190</v>
      </c>
      <c r="GW59" s="319" t="s">
        <v>190</v>
      </c>
      <c r="GX59" s="319" t="s">
        <v>190</v>
      </c>
      <c r="GY59" s="319" t="s">
        <v>190</v>
      </c>
      <c r="GZ59" s="319" t="s">
        <v>428</v>
      </c>
      <c r="HA59" s="319" t="s">
        <v>190</v>
      </c>
      <c r="HB59" s="319" t="s">
        <v>190</v>
      </c>
      <c r="HC59" s="319" t="s">
        <v>190</v>
      </c>
      <c r="HD59" s="319" t="s">
        <v>190</v>
      </c>
      <c r="HE59" s="319" t="s">
        <v>190</v>
      </c>
      <c r="HF59" s="319" t="s">
        <v>190</v>
      </c>
      <c r="HG59" s="319" t="s">
        <v>190</v>
      </c>
      <c r="HH59" s="319" t="s">
        <v>190</v>
      </c>
      <c r="HI59" s="319" t="s">
        <v>190</v>
      </c>
      <c r="HJ59" s="319" t="s">
        <v>190</v>
      </c>
      <c r="HK59" s="319" t="s">
        <v>428</v>
      </c>
      <c r="HL59" s="319" t="s">
        <v>428</v>
      </c>
      <c r="HM59" s="319" t="s">
        <v>428</v>
      </c>
      <c r="HN59" s="319" t="s">
        <v>428</v>
      </c>
      <c r="HO59" s="319" t="s">
        <v>428</v>
      </c>
      <c r="HP59" s="319" t="s">
        <v>190</v>
      </c>
      <c r="HQ59" s="319" t="s">
        <v>190</v>
      </c>
      <c r="HR59" s="319" t="s">
        <v>190</v>
      </c>
      <c r="HS59" s="319" t="s">
        <v>190</v>
      </c>
      <c r="HT59" s="319" t="s">
        <v>190</v>
      </c>
      <c r="HU59" s="319" t="s">
        <v>190</v>
      </c>
      <c r="HV59" s="319" t="s">
        <v>190</v>
      </c>
      <c r="HW59" s="319" t="s">
        <v>190</v>
      </c>
      <c r="HX59" s="319" t="s">
        <v>190</v>
      </c>
      <c r="HY59" s="319" t="s">
        <v>190</v>
      </c>
      <c r="HZ59" s="319" t="s">
        <v>190</v>
      </c>
      <c r="IA59" s="319" t="s">
        <v>190</v>
      </c>
      <c r="IB59" s="319" t="s">
        <v>190</v>
      </c>
      <c r="IC59" s="319" t="s">
        <v>190</v>
      </c>
      <c r="ID59" s="319" t="s">
        <v>190</v>
      </c>
      <c r="IE59" s="319" t="s">
        <v>190</v>
      </c>
      <c r="IF59" s="319" t="s">
        <v>190</v>
      </c>
      <c r="IG59" s="319" t="s">
        <v>190</v>
      </c>
      <c r="IH59" s="319" t="s">
        <v>190</v>
      </c>
      <c r="II59" s="319" t="s">
        <v>190</v>
      </c>
      <c r="IJ59" s="319" t="s">
        <v>2835</v>
      </c>
      <c r="IK59" s="321">
        <v>41919</v>
      </c>
      <c r="IL59" s="321">
        <v>41921</v>
      </c>
      <c r="IM59" s="321">
        <v>41974</v>
      </c>
      <c r="IN59" s="319">
        <v>2</v>
      </c>
      <c r="IO59" s="319" t="s">
        <v>173</v>
      </c>
      <c r="IP59" s="319" t="s">
        <v>173</v>
      </c>
      <c r="IQ59" s="321" t="s">
        <v>173</v>
      </c>
      <c r="IR59" s="320" t="s">
        <v>173</v>
      </c>
      <c r="IS59" s="322" t="s">
        <v>173</v>
      </c>
      <c r="IT59" s="319" t="s">
        <v>173</v>
      </c>
    </row>
    <row r="60" spans="1:254" s="271" customFormat="1" x14ac:dyDescent="0.25">
      <c r="A60" s="318" t="str">
        <f>HYPERLINK("http://www.ofsted.gov.uk/inspection-reports/find-inspection-report/provider/ELS/101957 ","Ofsted School Webpage")</f>
        <v>Ofsted School Webpage</v>
      </c>
      <c r="B60" s="319">
        <v>101957</v>
      </c>
      <c r="C60" s="319">
        <v>3076068</v>
      </c>
      <c r="D60" s="319" t="s">
        <v>1057</v>
      </c>
      <c r="E60" s="319" t="s">
        <v>167</v>
      </c>
      <c r="F60" s="319" t="s">
        <v>81</v>
      </c>
      <c r="G60" s="319" t="s">
        <v>72</v>
      </c>
      <c r="H60" s="319" t="s">
        <v>72</v>
      </c>
      <c r="I60" s="319" t="s">
        <v>72</v>
      </c>
      <c r="J60" s="319" t="s">
        <v>424</v>
      </c>
      <c r="K60" s="319" t="s">
        <v>441</v>
      </c>
      <c r="L60" s="319" t="s">
        <v>441</v>
      </c>
      <c r="M60" s="319" t="s">
        <v>442</v>
      </c>
      <c r="N60" s="319" t="s">
        <v>2833</v>
      </c>
      <c r="O60" s="319" t="s">
        <v>1058</v>
      </c>
      <c r="P60" s="319">
        <v>507</v>
      </c>
      <c r="Q60" s="319" t="s">
        <v>2776</v>
      </c>
      <c r="R60" s="320">
        <v>10006090</v>
      </c>
      <c r="S60" s="321">
        <v>42752</v>
      </c>
      <c r="T60" s="321">
        <v>42754</v>
      </c>
      <c r="U60" s="321">
        <v>42779</v>
      </c>
      <c r="V60" s="319" t="s">
        <v>425</v>
      </c>
      <c r="W60" s="319" t="s">
        <v>2767</v>
      </c>
      <c r="X60" s="319">
        <v>3</v>
      </c>
      <c r="Y60" s="319" t="s">
        <v>173</v>
      </c>
      <c r="Z60" s="319" t="s">
        <v>173</v>
      </c>
      <c r="AA60" s="319" t="s">
        <v>173</v>
      </c>
      <c r="AB60" s="319">
        <v>3</v>
      </c>
      <c r="AC60" s="319" t="s">
        <v>169</v>
      </c>
      <c r="AD60" s="319">
        <v>2</v>
      </c>
      <c r="AE60" s="319">
        <v>2</v>
      </c>
      <c r="AF60" s="319" t="s">
        <v>173</v>
      </c>
      <c r="AG60" s="319" t="s">
        <v>172</v>
      </c>
      <c r="AH60" s="319" t="s">
        <v>479</v>
      </c>
      <c r="AI60" s="319" t="s">
        <v>190</v>
      </c>
      <c r="AJ60" s="319" t="s">
        <v>190</v>
      </c>
      <c r="AK60" s="319" t="s">
        <v>190</v>
      </c>
      <c r="AL60" s="319" t="s">
        <v>190</v>
      </c>
      <c r="AM60" s="319" t="s">
        <v>190</v>
      </c>
      <c r="AN60" s="319" t="s">
        <v>479</v>
      </c>
      <c r="AO60" s="319" t="s">
        <v>479</v>
      </c>
      <c r="AP60" s="319" t="s">
        <v>190</v>
      </c>
      <c r="AQ60" s="319" t="s">
        <v>190</v>
      </c>
      <c r="AR60" s="319" t="s">
        <v>190</v>
      </c>
      <c r="AS60" s="319" t="s">
        <v>190</v>
      </c>
      <c r="AT60" s="319" t="s">
        <v>190</v>
      </c>
      <c r="AU60" s="319" t="s">
        <v>190</v>
      </c>
      <c r="AV60" s="319" t="s">
        <v>190</v>
      </c>
      <c r="AW60" s="319" t="s">
        <v>190</v>
      </c>
      <c r="AX60" s="319" t="s">
        <v>190</v>
      </c>
      <c r="AY60" s="319" t="s">
        <v>190</v>
      </c>
      <c r="AZ60" s="319" t="s">
        <v>190</v>
      </c>
      <c r="BA60" s="319" t="s">
        <v>190</v>
      </c>
      <c r="BB60" s="319" t="s">
        <v>190</v>
      </c>
      <c r="BC60" s="319" t="s">
        <v>190</v>
      </c>
      <c r="BD60" s="319" t="s">
        <v>190</v>
      </c>
      <c r="BE60" s="319" t="s">
        <v>190</v>
      </c>
      <c r="BF60" s="319" t="s">
        <v>190</v>
      </c>
      <c r="BG60" s="319" t="s">
        <v>190</v>
      </c>
      <c r="BH60" s="319" t="s">
        <v>190</v>
      </c>
      <c r="BI60" s="319" t="s">
        <v>190</v>
      </c>
      <c r="BJ60" s="319" t="s">
        <v>191</v>
      </c>
      <c r="BK60" s="319" t="s">
        <v>191</v>
      </c>
      <c r="BL60" s="319" t="s">
        <v>190</v>
      </c>
      <c r="BM60" s="319" t="s">
        <v>190</v>
      </c>
      <c r="BN60" s="319" t="s">
        <v>190</v>
      </c>
      <c r="BO60" s="319" t="s">
        <v>190</v>
      </c>
      <c r="BP60" s="319" t="s">
        <v>190</v>
      </c>
      <c r="BQ60" s="319" t="s">
        <v>190</v>
      </c>
      <c r="BR60" s="319" t="s">
        <v>190</v>
      </c>
      <c r="BS60" s="319" t="s">
        <v>190</v>
      </c>
      <c r="BT60" s="319" t="s">
        <v>190</v>
      </c>
      <c r="BU60" s="319" t="s">
        <v>190</v>
      </c>
      <c r="BV60" s="319" t="s">
        <v>190</v>
      </c>
      <c r="BW60" s="319" t="s">
        <v>190</v>
      </c>
      <c r="BX60" s="319" t="s">
        <v>190</v>
      </c>
      <c r="BY60" s="319" t="s">
        <v>190</v>
      </c>
      <c r="BZ60" s="319" t="s">
        <v>190</v>
      </c>
      <c r="CA60" s="319" t="s">
        <v>190</v>
      </c>
      <c r="CB60" s="319" t="s">
        <v>190</v>
      </c>
      <c r="CC60" s="319" t="s">
        <v>190</v>
      </c>
      <c r="CD60" s="319" t="s">
        <v>190</v>
      </c>
      <c r="CE60" s="319" t="s">
        <v>190</v>
      </c>
      <c r="CF60" s="319" t="s">
        <v>190</v>
      </c>
      <c r="CG60" s="319" t="s">
        <v>190</v>
      </c>
      <c r="CH60" s="319" t="s">
        <v>190</v>
      </c>
      <c r="CI60" s="319" t="s">
        <v>190</v>
      </c>
      <c r="CJ60" s="319" t="s">
        <v>190</v>
      </c>
      <c r="CK60" s="319" t="s">
        <v>190</v>
      </c>
      <c r="CL60" s="319" t="s">
        <v>190</v>
      </c>
      <c r="CM60" s="319" t="s">
        <v>190</v>
      </c>
      <c r="CN60" s="319" t="s">
        <v>429</v>
      </c>
      <c r="CO60" s="319" t="s">
        <v>429</v>
      </c>
      <c r="CP60" s="319" t="s">
        <v>429</v>
      </c>
      <c r="CQ60" s="319" t="s">
        <v>190</v>
      </c>
      <c r="CR60" s="319" t="s">
        <v>190</v>
      </c>
      <c r="CS60" s="319" t="s">
        <v>190</v>
      </c>
      <c r="CT60" s="319" t="s">
        <v>190</v>
      </c>
      <c r="CU60" s="319" t="s">
        <v>190</v>
      </c>
      <c r="CV60" s="319" t="s">
        <v>190</v>
      </c>
      <c r="CW60" s="319" t="s">
        <v>190</v>
      </c>
      <c r="CX60" s="319" t="s">
        <v>190</v>
      </c>
      <c r="CY60" s="319" t="s">
        <v>190</v>
      </c>
      <c r="CZ60" s="319" t="s">
        <v>190</v>
      </c>
      <c r="DA60" s="319" t="s">
        <v>190</v>
      </c>
      <c r="DB60" s="319" t="s">
        <v>190</v>
      </c>
      <c r="DC60" s="319" t="s">
        <v>190</v>
      </c>
      <c r="DD60" s="319" t="s">
        <v>190</v>
      </c>
      <c r="DE60" s="319" t="s">
        <v>190</v>
      </c>
      <c r="DF60" s="319" t="s">
        <v>190</v>
      </c>
      <c r="DG60" s="319" t="s">
        <v>190</v>
      </c>
      <c r="DH60" s="319" t="s">
        <v>190</v>
      </c>
      <c r="DI60" s="319" t="s">
        <v>190</v>
      </c>
      <c r="DJ60" s="319" t="s">
        <v>190</v>
      </c>
      <c r="DK60" s="319" t="s">
        <v>190</v>
      </c>
      <c r="DL60" s="319" t="s">
        <v>190</v>
      </c>
      <c r="DM60" s="319" t="s">
        <v>190</v>
      </c>
      <c r="DN60" s="319" t="s">
        <v>429</v>
      </c>
      <c r="DO60" s="319" t="s">
        <v>190</v>
      </c>
      <c r="DP60" s="319" t="s">
        <v>190</v>
      </c>
      <c r="DQ60" s="319" t="s">
        <v>190</v>
      </c>
      <c r="DR60" s="319" t="s">
        <v>190</v>
      </c>
      <c r="DS60" s="319" t="s">
        <v>190</v>
      </c>
      <c r="DT60" s="319" t="s">
        <v>190</v>
      </c>
      <c r="DU60" s="319" t="s">
        <v>190</v>
      </c>
      <c r="DV60" s="319" t="s">
        <v>173</v>
      </c>
      <c r="DW60" s="319" t="s">
        <v>190</v>
      </c>
      <c r="DX60" s="319" t="s">
        <v>190</v>
      </c>
      <c r="DY60" s="319" t="s">
        <v>190</v>
      </c>
      <c r="DZ60" s="319" t="s">
        <v>190</v>
      </c>
      <c r="EA60" s="319" t="s">
        <v>190</v>
      </c>
      <c r="EB60" s="319" t="s">
        <v>190</v>
      </c>
      <c r="EC60" s="319" t="s">
        <v>429</v>
      </c>
      <c r="ED60" s="319" t="s">
        <v>190</v>
      </c>
      <c r="EE60" s="319" t="s">
        <v>190</v>
      </c>
      <c r="EF60" s="319" t="s">
        <v>190</v>
      </c>
      <c r="EG60" s="319" t="s">
        <v>190</v>
      </c>
      <c r="EH60" s="319" t="s">
        <v>190</v>
      </c>
      <c r="EI60" s="319" t="s">
        <v>190</v>
      </c>
      <c r="EJ60" s="319" t="s">
        <v>190</v>
      </c>
      <c r="EK60" s="319" t="s">
        <v>190</v>
      </c>
      <c r="EL60" s="319" t="s">
        <v>190</v>
      </c>
      <c r="EM60" s="319" t="s">
        <v>190</v>
      </c>
      <c r="EN60" s="319" t="s">
        <v>190</v>
      </c>
      <c r="EO60" s="319" t="s">
        <v>190</v>
      </c>
      <c r="EP60" s="319" t="s">
        <v>190</v>
      </c>
      <c r="EQ60" s="319" t="s">
        <v>190</v>
      </c>
      <c r="ER60" s="319" t="s">
        <v>190</v>
      </c>
      <c r="ES60" s="319" t="s">
        <v>190</v>
      </c>
      <c r="ET60" s="319" t="s">
        <v>190</v>
      </c>
      <c r="EU60" s="319" t="s">
        <v>190</v>
      </c>
      <c r="EV60" s="319" t="s">
        <v>190</v>
      </c>
      <c r="EW60" s="319" t="s">
        <v>190</v>
      </c>
      <c r="EX60" s="319" t="s">
        <v>190</v>
      </c>
      <c r="EY60" s="319" t="s">
        <v>190</v>
      </c>
      <c r="EZ60" s="319" t="s">
        <v>190</v>
      </c>
      <c r="FA60" s="319" t="s">
        <v>190</v>
      </c>
      <c r="FB60" s="319" t="s">
        <v>190</v>
      </c>
      <c r="FC60" s="319" t="s">
        <v>190</v>
      </c>
      <c r="FD60" s="319" t="s">
        <v>190</v>
      </c>
      <c r="FE60" s="319" t="s">
        <v>190</v>
      </c>
      <c r="FF60" s="319" t="s">
        <v>190</v>
      </c>
      <c r="FG60" s="319" t="s">
        <v>190</v>
      </c>
      <c r="FH60" s="319" t="s">
        <v>190</v>
      </c>
      <c r="FI60" s="319" t="s">
        <v>190</v>
      </c>
      <c r="FJ60" s="319" t="s">
        <v>190</v>
      </c>
      <c r="FK60" s="319" t="s">
        <v>190</v>
      </c>
      <c r="FL60" s="319" t="s">
        <v>190</v>
      </c>
      <c r="FM60" s="319" t="s">
        <v>190</v>
      </c>
      <c r="FN60" s="319" t="s">
        <v>190</v>
      </c>
      <c r="FO60" s="319" t="s">
        <v>190</v>
      </c>
      <c r="FP60" s="319" t="s">
        <v>190</v>
      </c>
      <c r="FQ60" s="319" t="s">
        <v>190</v>
      </c>
      <c r="FR60" s="319" t="s">
        <v>190</v>
      </c>
      <c r="FS60" s="319" t="s">
        <v>190</v>
      </c>
      <c r="FT60" s="319" t="s">
        <v>190</v>
      </c>
      <c r="FU60" s="319" t="s">
        <v>190</v>
      </c>
      <c r="FV60" s="319" t="s">
        <v>190</v>
      </c>
      <c r="FW60" s="319" t="s">
        <v>190</v>
      </c>
      <c r="FX60" s="319" t="s">
        <v>190</v>
      </c>
      <c r="FY60" s="319" t="s">
        <v>190</v>
      </c>
      <c r="FZ60" s="319" t="s">
        <v>190</v>
      </c>
      <c r="GA60" s="319" t="s">
        <v>190</v>
      </c>
      <c r="GB60" s="319" t="s">
        <v>190</v>
      </c>
      <c r="GC60" s="319" t="s">
        <v>190</v>
      </c>
      <c r="GD60" s="319" t="s">
        <v>190</v>
      </c>
      <c r="GE60" s="319" t="s">
        <v>190</v>
      </c>
      <c r="GF60" s="319" t="s">
        <v>190</v>
      </c>
      <c r="GG60" s="319" t="s">
        <v>190</v>
      </c>
      <c r="GH60" s="319" t="s">
        <v>190</v>
      </c>
      <c r="GI60" s="319" t="s">
        <v>190</v>
      </c>
      <c r="GJ60" s="319" t="s">
        <v>190</v>
      </c>
      <c r="GK60" s="319" t="s">
        <v>429</v>
      </c>
      <c r="GL60" s="319" t="s">
        <v>190</v>
      </c>
      <c r="GM60" s="319" t="s">
        <v>190</v>
      </c>
      <c r="GN60" s="319" t="s">
        <v>190</v>
      </c>
      <c r="GO60" s="319" t="s">
        <v>190</v>
      </c>
      <c r="GP60" s="319" t="s">
        <v>190</v>
      </c>
      <c r="GQ60" s="319" t="s">
        <v>190</v>
      </c>
      <c r="GR60" s="319" t="s">
        <v>190</v>
      </c>
      <c r="GS60" s="319" t="s">
        <v>190</v>
      </c>
      <c r="GT60" s="319" t="s">
        <v>190</v>
      </c>
      <c r="GU60" s="319" t="s">
        <v>190</v>
      </c>
      <c r="GV60" s="319" t="s">
        <v>190</v>
      </c>
      <c r="GW60" s="319" t="s">
        <v>190</v>
      </c>
      <c r="GX60" s="319" t="s">
        <v>190</v>
      </c>
      <c r="GY60" s="319" t="s">
        <v>190</v>
      </c>
      <c r="GZ60" s="319" t="s">
        <v>190</v>
      </c>
      <c r="HA60" s="319" t="s">
        <v>190</v>
      </c>
      <c r="HB60" s="319" t="s">
        <v>190</v>
      </c>
      <c r="HC60" s="319" t="s">
        <v>190</v>
      </c>
      <c r="HD60" s="319" t="s">
        <v>190</v>
      </c>
      <c r="HE60" s="319" t="s">
        <v>190</v>
      </c>
      <c r="HF60" s="319" t="s">
        <v>190</v>
      </c>
      <c r="HG60" s="319" t="s">
        <v>190</v>
      </c>
      <c r="HH60" s="319" t="s">
        <v>190</v>
      </c>
      <c r="HI60" s="319" t="s">
        <v>190</v>
      </c>
      <c r="HJ60" s="319" t="s">
        <v>190</v>
      </c>
      <c r="HK60" s="319" t="s">
        <v>190</v>
      </c>
      <c r="HL60" s="319" t="s">
        <v>190</v>
      </c>
      <c r="HM60" s="319" t="s">
        <v>190</v>
      </c>
      <c r="HN60" s="319" t="s">
        <v>190</v>
      </c>
      <c r="HO60" s="319" t="s">
        <v>190</v>
      </c>
      <c r="HP60" s="319" t="s">
        <v>191</v>
      </c>
      <c r="HQ60" s="319" t="s">
        <v>190</v>
      </c>
      <c r="HR60" s="319" t="s">
        <v>190</v>
      </c>
      <c r="HS60" s="319" t="s">
        <v>190</v>
      </c>
      <c r="HT60" s="319" t="s">
        <v>190</v>
      </c>
      <c r="HU60" s="319" t="s">
        <v>190</v>
      </c>
      <c r="HV60" s="319" t="s">
        <v>190</v>
      </c>
      <c r="HW60" s="319" t="s">
        <v>190</v>
      </c>
      <c r="HX60" s="319" t="s">
        <v>190</v>
      </c>
      <c r="HY60" s="319" t="s">
        <v>190</v>
      </c>
      <c r="HZ60" s="319" t="s">
        <v>190</v>
      </c>
      <c r="IA60" s="319" t="s">
        <v>190</v>
      </c>
      <c r="IB60" s="319" t="s">
        <v>191</v>
      </c>
      <c r="IC60" s="319" t="s">
        <v>191</v>
      </c>
      <c r="ID60" s="319" t="s">
        <v>191</v>
      </c>
      <c r="IE60" s="319" t="s">
        <v>191</v>
      </c>
      <c r="IF60" s="319" t="s">
        <v>191</v>
      </c>
      <c r="IG60" s="319" t="s">
        <v>191</v>
      </c>
      <c r="IH60" s="319" t="s">
        <v>191</v>
      </c>
      <c r="II60" s="319" t="s">
        <v>190</v>
      </c>
      <c r="IJ60" s="319" t="s">
        <v>2836</v>
      </c>
      <c r="IK60" s="321">
        <v>41184</v>
      </c>
      <c r="IL60" s="321">
        <v>41185</v>
      </c>
      <c r="IM60" s="321">
        <v>41206</v>
      </c>
      <c r="IN60" s="319">
        <v>3</v>
      </c>
      <c r="IO60" s="319">
        <v>10118332</v>
      </c>
      <c r="IP60" s="319" t="s">
        <v>985</v>
      </c>
      <c r="IQ60" s="321">
        <v>43740</v>
      </c>
      <c r="IR60" s="320" t="s">
        <v>2771</v>
      </c>
      <c r="IS60" s="322">
        <v>43772</v>
      </c>
      <c r="IT60" s="319" t="s">
        <v>165</v>
      </c>
    </row>
    <row r="61" spans="1:254" s="271" customFormat="1" x14ac:dyDescent="0.25">
      <c r="A61" s="318" t="str">
        <f>HYPERLINK("http://www.ofsted.gov.uk/inspection-reports/find-inspection-report/provider/ELS/101958 ","Ofsted School Webpage")</f>
        <v>Ofsted School Webpage</v>
      </c>
      <c r="B61" s="319">
        <v>101958</v>
      </c>
      <c r="C61" s="319">
        <v>3076070</v>
      </c>
      <c r="D61" s="319" t="s">
        <v>589</v>
      </c>
      <c r="E61" s="319" t="s">
        <v>167</v>
      </c>
      <c r="F61" s="319" t="s">
        <v>81</v>
      </c>
      <c r="G61" s="319" t="s">
        <v>81</v>
      </c>
      <c r="H61" s="319" t="s">
        <v>81</v>
      </c>
      <c r="I61" s="319" t="s">
        <v>78</v>
      </c>
      <c r="J61" s="319" t="s">
        <v>424</v>
      </c>
      <c r="K61" s="319" t="s">
        <v>441</v>
      </c>
      <c r="L61" s="319" t="s">
        <v>441</v>
      </c>
      <c r="M61" s="319" t="s">
        <v>442</v>
      </c>
      <c r="N61" s="319" t="s">
        <v>2833</v>
      </c>
      <c r="O61" s="319" t="s">
        <v>590</v>
      </c>
      <c r="P61" s="319">
        <v>348</v>
      </c>
      <c r="Q61" s="319" t="s">
        <v>2766</v>
      </c>
      <c r="R61" s="320">
        <v>10055397</v>
      </c>
      <c r="S61" s="321">
        <v>43403</v>
      </c>
      <c r="T61" s="321">
        <v>43404</v>
      </c>
      <c r="U61" s="321">
        <v>43446</v>
      </c>
      <c r="V61" s="319" t="s">
        <v>425</v>
      </c>
      <c r="W61" s="319" t="s">
        <v>2767</v>
      </c>
      <c r="X61" s="319">
        <v>4</v>
      </c>
      <c r="Y61" s="319" t="s">
        <v>173</v>
      </c>
      <c r="Z61" s="319" t="s">
        <v>173</v>
      </c>
      <c r="AA61" s="319" t="s">
        <v>173</v>
      </c>
      <c r="AB61" s="319">
        <v>4</v>
      </c>
      <c r="AC61" s="319" t="s">
        <v>170</v>
      </c>
      <c r="AD61" s="319" t="s">
        <v>173</v>
      </c>
      <c r="AE61" s="319" t="s">
        <v>173</v>
      </c>
      <c r="AF61" s="319" t="s">
        <v>447</v>
      </c>
      <c r="AG61" s="319" t="s">
        <v>172</v>
      </c>
      <c r="AH61" s="319" t="s">
        <v>479</v>
      </c>
      <c r="AI61" s="319" t="s">
        <v>479</v>
      </c>
      <c r="AJ61" s="319" t="s">
        <v>479</v>
      </c>
      <c r="AK61" s="319" t="s">
        <v>479</v>
      </c>
      <c r="AL61" s="319" t="s">
        <v>190</v>
      </c>
      <c r="AM61" s="319" t="s">
        <v>190</v>
      </c>
      <c r="AN61" s="319" t="s">
        <v>479</v>
      </c>
      <c r="AO61" s="319" t="s">
        <v>479</v>
      </c>
      <c r="AP61" s="319" t="s">
        <v>191</v>
      </c>
      <c r="AQ61" s="319" t="s">
        <v>190</v>
      </c>
      <c r="AR61" s="319" t="s">
        <v>191</v>
      </c>
      <c r="AS61" s="319" t="s">
        <v>191</v>
      </c>
      <c r="AT61" s="319" t="s">
        <v>190</v>
      </c>
      <c r="AU61" s="319" t="s">
        <v>191</v>
      </c>
      <c r="AV61" s="319" t="s">
        <v>190</v>
      </c>
      <c r="AW61" s="319" t="s">
        <v>190</v>
      </c>
      <c r="AX61" s="319" t="s">
        <v>190</v>
      </c>
      <c r="AY61" s="319" t="s">
        <v>191</v>
      </c>
      <c r="AZ61" s="319" t="s">
        <v>190</v>
      </c>
      <c r="BA61" s="319" t="s">
        <v>191</v>
      </c>
      <c r="BB61" s="319" t="s">
        <v>190</v>
      </c>
      <c r="BC61" s="319" t="s">
        <v>190</v>
      </c>
      <c r="BD61" s="319" t="s">
        <v>190</v>
      </c>
      <c r="BE61" s="319" t="s">
        <v>190</v>
      </c>
      <c r="BF61" s="319" t="s">
        <v>428</v>
      </c>
      <c r="BG61" s="319" t="s">
        <v>428</v>
      </c>
      <c r="BH61" s="319" t="s">
        <v>190</v>
      </c>
      <c r="BI61" s="319" t="s">
        <v>190</v>
      </c>
      <c r="BJ61" s="319" t="s">
        <v>190</v>
      </c>
      <c r="BK61" s="319" t="s">
        <v>190</v>
      </c>
      <c r="BL61" s="319" t="s">
        <v>190</v>
      </c>
      <c r="BM61" s="319" t="s">
        <v>190</v>
      </c>
      <c r="BN61" s="319" t="s">
        <v>190</v>
      </c>
      <c r="BO61" s="319" t="s">
        <v>190</v>
      </c>
      <c r="BP61" s="319" t="s">
        <v>190</v>
      </c>
      <c r="BQ61" s="319" t="s">
        <v>190</v>
      </c>
      <c r="BR61" s="319" t="s">
        <v>190</v>
      </c>
      <c r="BS61" s="319" t="s">
        <v>190</v>
      </c>
      <c r="BT61" s="319" t="s">
        <v>190</v>
      </c>
      <c r="BU61" s="319" t="s">
        <v>190</v>
      </c>
      <c r="BV61" s="319" t="s">
        <v>191</v>
      </c>
      <c r="BW61" s="319" t="s">
        <v>190</v>
      </c>
      <c r="BX61" s="319" t="s">
        <v>191</v>
      </c>
      <c r="BY61" s="319" t="s">
        <v>190</v>
      </c>
      <c r="BZ61" s="319" t="s">
        <v>190</v>
      </c>
      <c r="CA61" s="319" t="s">
        <v>190</v>
      </c>
      <c r="CB61" s="319" t="s">
        <v>190</v>
      </c>
      <c r="CC61" s="319" t="s">
        <v>190</v>
      </c>
      <c r="CD61" s="319" t="s">
        <v>191</v>
      </c>
      <c r="CE61" s="319" t="s">
        <v>190</v>
      </c>
      <c r="CF61" s="319" t="s">
        <v>190</v>
      </c>
      <c r="CG61" s="319" t="s">
        <v>190</v>
      </c>
      <c r="CH61" s="319" t="s">
        <v>190</v>
      </c>
      <c r="CI61" s="319" t="s">
        <v>190</v>
      </c>
      <c r="CJ61" s="319" t="s">
        <v>190</v>
      </c>
      <c r="CK61" s="319" t="s">
        <v>191</v>
      </c>
      <c r="CL61" s="319" t="s">
        <v>191</v>
      </c>
      <c r="CM61" s="319" t="s">
        <v>191</v>
      </c>
      <c r="CN61" s="319" t="s">
        <v>428</v>
      </c>
      <c r="CO61" s="319" t="s">
        <v>428</v>
      </c>
      <c r="CP61" s="319" t="s">
        <v>428</v>
      </c>
      <c r="CQ61" s="319" t="s">
        <v>190</v>
      </c>
      <c r="CR61" s="319" t="s">
        <v>190</v>
      </c>
      <c r="CS61" s="319" t="s">
        <v>190</v>
      </c>
      <c r="CT61" s="319" t="s">
        <v>190</v>
      </c>
      <c r="CU61" s="319" t="s">
        <v>190</v>
      </c>
      <c r="CV61" s="319" t="s">
        <v>190</v>
      </c>
      <c r="CW61" s="319" t="s">
        <v>190</v>
      </c>
      <c r="CX61" s="319" t="s">
        <v>190</v>
      </c>
      <c r="CY61" s="319" t="s">
        <v>190</v>
      </c>
      <c r="CZ61" s="319" t="s">
        <v>190</v>
      </c>
      <c r="DA61" s="319" t="s">
        <v>190</v>
      </c>
      <c r="DB61" s="319" t="s">
        <v>190</v>
      </c>
      <c r="DC61" s="319" t="s">
        <v>190</v>
      </c>
      <c r="DD61" s="319" t="s">
        <v>191</v>
      </c>
      <c r="DE61" s="319" t="s">
        <v>190</v>
      </c>
      <c r="DF61" s="319" t="s">
        <v>191</v>
      </c>
      <c r="DG61" s="319" t="s">
        <v>191</v>
      </c>
      <c r="DH61" s="319" t="s">
        <v>191</v>
      </c>
      <c r="DI61" s="319" t="s">
        <v>190</v>
      </c>
      <c r="DJ61" s="319" t="s">
        <v>191</v>
      </c>
      <c r="DK61" s="319" t="s">
        <v>190</v>
      </c>
      <c r="DL61" s="319" t="s">
        <v>190</v>
      </c>
      <c r="DM61" s="319" t="s">
        <v>190</v>
      </c>
      <c r="DN61" s="319" t="s">
        <v>428</v>
      </c>
      <c r="DO61" s="319" t="s">
        <v>191</v>
      </c>
      <c r="DP61" s="319" t="s">
        <v>190</v>
      </c>
      <c r="DQ61" s="319" t="s">
        <v>190</v>
      </c>
      <c r="DR61" s="319" t="s">
        <v>190</v>
      </c>
      <c r="DS61" s="319" t="s">
        <v>190</v>
      </c>
      <c r="DT61" s="319" t="s">
        <v>190</v>
      </c>
      <c r="DU61" s="319" t="s">
        <v>190</v>
      </c>
      <c r="DV61" s="319" t="s">
        <v>173</v>
      </c>
      <c r="DW61" s="319" t="s">
        <v>190</v>
      </c>
      <c r="DX61" s="319" t="s">
        <v>190</v>
      </c>
      <c r="DY61" s="319" t="s">
        <v>190</v>
      </c>
      <c r="DZ61" s="319" t="s">
        <v>190</v>
      </c>
      <c r="EA61" s="319" t="s">
        <v>190</v>
      </c>
      <c r="EB61" s="319" t="s">
        <v>190</v>
      </c>
      <c r="EC61" s="319" t="s">
        <v>428</v>
      </c>
      <c r="ED61" s="319" t="s">
        <v>428</v>
      </c>
      <c r="EE61" s="319" t="s">
        <v>191</v>
      </c>
      <c r="EF61" s="319" t="s">
        <v>191</v>
      </c>
      <c r="EG61" s="319" t="s">
        <v>190</v>
      </c>
      <c r="EH61" s="319" t="s">
        <v>191</v>
      </c>
      <c r="EI61" s="319" t="s">
        <v>191</v>
      </c>
      <c r="EJ61" s="319" t="s">
        <v>190</v>
      </c>
      <c r="EK61" s="319" t="s">
        <v>191</v>
      </c>
      <c r="EL61" s="319" t="s">
        <v>190</v>
      </c>
      <c r="EM61" s="319" t="s">
        <v>191</v>
      </c>
      <c r="EN61" s="319" t="s">
        <v>191</v>
      </c>
      <c r="EO61" s="319" t="s">
        <v>190</v>
      </c>
      <c r="EP61" s="319" t="s">
        <v>191</v>
      </c>
      <c r="EQ61" s="319" t="s">
        <v>191</v>
      </c>
      <c r="ER61" s="319" t="s">
        <v>191</v>
      </c>
      <c r="ES61" s="319" t="s">
        <v>190</v>
      </c>
      <c r="ET61" s="319" t="s">
        <v>191</v>
      </c>
      <c r="EU61" s="319" t="s">
        <v>190</v>
      </c>
      <c r="EV61" s="319" t="s">
        <v>190</v>
      </c>
      <c r="EW61" s="319" t="s">
        <v>190</v>
      </c>
      <c r="EX61" s="319" t="s">
        <v>191</v>
      </c>
      <c r="EY61" s="319" t="s">
        <v>190</v>
      </c>
      <c r="EZ61" s="319" t="s">
        <v>191</v>
      </c>
      <c r="FA61" s="319" t="s">
        <v>190</v>
      </c>
      <c r="FB61" s="319" t="s">
        <v>190</v>
      </c>
      <c r="FC61" s="319" t="s">
        <v>190</v>
      </c>
      <c r="FD61" s="319" t="s">
        <v>190</v>
      </c>
      <c r="FE61" s="319" t="s">
        <v>190</v>
      </c>
      <c r="FF61" s="319" t="s">
        <v>190</v>
      </c>
      <c r="FG61" s="319" t="s">
        <v>190</v>
      </c>
      <c r="FH61" s="319" t="s">
        <v>190</v>
      </c>
      <c r="FI61" s="319" t="s">
        <v>190</v>
      </c>
      <c r="FJ61" s="319" t="s">
        <v>190</v>
      </c>
      <c r="FK61" s="319" t="s">
        <v>190</v>
      </c>
      <c r="FL61" s="319" t="s">
        <v>190</v>
      </c>
      <c r="FM61" s="319" t="s">
        <v>190</v>
      </c>
      <c r="FN61" s="319" t="s">
        <v>190</v>
      </c>
      <c r="FO61" s="319" t="s">
        <v>190</v>
      </c>
      <c r="FP61" s="319" t="s">
        <v>190</v>
      </c>
      <c r="FQ61" s="319" t="s">
        <v>190</v>
      </c>
      <c r="FR61" s="319" t="s">
        <v>190</v>
      </c>
      <c r="FS61" s="319" t="s">
        <v>428</v>
      </c>
      <c r="FT61" s="319" t="s">
        <v>190</v>
      </c>
      <c r="FU61" s="319" t="s">
        <v>190</v>
      </c>
      <c r="FV61" s="319" t="s">
        <v>190</v>
      </c>
      <c r="FW61" s="319" t="s">
        <v>190</v>
      </c>
      <c r="FX61" s="319" t="s">
        <v>190</v>
      </c>
      <c r="FY61" s="319" t="s">
        <v>190</v>
      </c>
      <c r="FZ61" s="319" t="s">
        <v>190</v>
      </c>
      <c r="GA61" s="319" t="s">
        <v>190</v>
      </c>
      <c r="GB61" s="319" t="s">
        <v>190</v>
      </c>
      <c r="GC61" s="319" t="s">
        <v>190</v>
      </c>
      <c r="GD61" s="319" t="s">
        <v>190</v>
      </c>
      <c r="GE61" s="319" t="s">
        <v>190</v>
      </c>
      <c r="GF61" s="319" t="s">
        <v>190</v>
      </c>
      <c r="GG61" s="319" t="s">
        <v>190</v>
      </c>
      <c r="GH61" s="319" t="s">
        <v>190</v>
      </c>
      <c r="GI61" s="319" t="s">
        <v>190</v>
      </c>
      <c r="GJ61" s="319" t="s">
        <v>190</v>
      </c>
      <c r="GK61" s="319" t="s">
        <v>428</v>
      </c>
      <c r="GL61" s="319" t="s">
        <v>190</v>
      </c>
      <c r="GM61" s="319" t="s">
        <v>190</v>
      </c>
      <c r="GN61" s="319" t="s">
        <v>190</v>
      </c>
      <c r="GO61" s="319" t="s">
        <v>190</v>
      </c>
      <c r="GP61" s="319" t="s">
        <v>190</v>
      </c>
      <c r="GQ61" s="319" t="s">
        <v>190</v>
      </c>
      <c r="GR61" s="319" t="s">
        <v>190</v>
      </c>
      <c r="GS61" s="319" t="s">
        <v>190</v>
      </c>
      <c r="GT61" s="319" t="s">
        <v>190</v>
      </c>
      <c r="GU61" s="319" t="s">
        <v>190</v>
      </c>
      <c r="GV61" s="319" t="s">
        <v>190</v>
      </c>
      <c r="GW61" s="319" t="s">
        <v>190</v>
      </c>
      <c r="GX61" s="319" t="s">
        <v>190</v>
      </c>
      <c r="GY61" s="319" t="s">
        <v>190</v>
      </c>
      <c r="GZ61" s="319" t="s">
        <v>428</v>
      </c>
      <c r="HA61" s="319" t="s">
        <v>190</v>
      </c>
      <c r="HB61" s="319" t="s">
        <v>190</v>
      </c>
      <c r="HC61" s="319" t="s">
        <v>190</v>
      </c>
      <c r="HD61" s="319" t="s">
        <v>190</v>
      </c>
      <c r="HE61" s="319" t="s">
        <v>190</v>
      </c>
      <c r="HF61" s="319" t="s">
        <v>190</v>
      </c>
      <c r="HG61" s="319" t="s">
        <v>190</v>
      </c>
      <c r="HH61" s="319" t="s">
        <v>190</v>
      </c>
      <c r="HI61" s="319" t="s">
        <v>190</v>
      </c>
      <c r="HJ61" s="319" t="s">
        <v>190</v>
      </c>
      <c r="HK61" s="319" t="s">
        <v>190</v>
      </c>
      <c r="HL61" s="319" t="s">
        <v>190</v>
      </c>
      <c r="HM61" s="319" t="s">
        <v>190</v>
      </c>
      <c r="HN61" s="319" t="s">
        <v>190</v>
      </c>
      <c r="HO61" s="319" t="s">
        <v>190</v>
      </c>
      <c r="HP61" s="319" t="s">
        <v>191</v>
      </c>
      <c r="HQ61" s="319" t="s">
        <v>190</v>
      </c>
      <c r="HR61" s="319" t="s">
        <v>190</v>
      </c>
      <c r="HS61" s="319" t="s">
        <v>190</v>
      </c>
      <c r="HT61" s="319" t="s">
        <v>190</v>
      </c>
      <c r="HU61" s="319" t="s">
        <v>190</v>
      </c>
      <c r="HV61" s="319" t="s">
        <v>191</v>
      </c>
      <c r="HW61" s="319" t="s">
        <v>191</v>
      </c>
      <c r="HX61" s="319" t="s">
        <v>190</v>
      </c>
      <c r="HY61" s="319" t="s">
        <v>191</v>
      </c>
      <c r="HZ61" s="319" t="s">
        <v>191</v>
      </c>
      <c r="IA61" s="319" t="s">
        <v>190</v>
      </c>
      <c r="IB61" s="319" t="s">
        <v>191</v>
      </c>
      <c r="IC61" s="319" t="s">
        <v>191</v>
      </c>
      <c r="ID61" s="319" t="s">
        <v>191</v>
      </c>
      <c r="IE61" s="319" t="s">
        <v>190</v>
      </c>
      <c r="IF61" s="319" t="s">
        <v>191</v>
      </c>
      <c r="IG61" s="319" t="s">
        <v>191</v>
      </c>
      <c r="IH61" s="319" t="s">
        <v>191</v>
      </c>
      <c r="II61" s="319" t="s">
        <v>191</v>
      </c>
      <c r="IJ61" s="319">
        <v>10034364</v>
      </c>
      <c r="IK61" s="321">
        <v>42920</v>
      </c>
      <c r="IL61" s="321">
        <v>42922</v>
      </c>
      <c r="IM61" s="321">
        <v>42989</v>
      </c>
      <c r="IN61" s="319">
        <v>3</v>
      </c>
      <c r="IO61" s="319">
        <v>10102210</v>
      </c>
      <c r="IP61" s="319" t="s">
        <v>985</v>
      </c>
      <c r="IQ61" s="321">
        <v>43620</v>
      </c>
      <c r="IR61" s="320" t="s">
        <v>1223</v>
      </c>
      <c r="IS61" s="322">
        <v>43649</v>
      </c>
      <c r="IT61" s="319" t="s">
        <v>166</v>
      </c>
    </row>
    <row r="62" spans="1:254" s="271" customFormat="1" x14ac:dyDescent="0.25">
      <c r="A62" s="318" t="str">
        <f>HYPERLINK("http://www.ofsted.gov.uk/inspection-reports/find-inspection-report/provider/ELS/101959 ","Ofsted School Webpage")</f>
        <v>Ofsted School Webpage</v>
      </c>
      <c r="B62" s="319">
        <v>101959</v>
      </c>
      <c r="C62" s="319">
        <v>3096081</v>
      </c>
      <c r="D62" s="319" t="s">
        <v>1098</v>
      </c>
      <c r="E62" s="319" t="s">
        <v>167</v>
      </c>
      <c r="F62" s="319" t="s">
        <v>81</v>
      </c>
      <c r="G62" s="319" t="s">
        <v>81</v>
      </c>
      <c r="H62" s="319" t="s">
        <v>81</v>
      </c>
      <c r="I62" s="319" t="s">
        <v>78</v>
      </c>
      <c r="J62" s="319" t="s">
        <v>424</v>
      </c>
      <c r="K62" s="319" t="s">
        <v>441</v>
      </c>
      <c r="L62" s="319" t="s">
        <v>441</v>
      </c>
      <c r="M62" s="319" t="s">
        <v>527</v>
      </c>
      <c r="N62" s="319" t="s">
        <v>2837</v>
      </c>
      <c r="O62" s="319" t="s">
        <v>1099</v>
      </c>
      <c r="P62" s="319">
        <v>94</v>
      </c>
      <c r="Q62" s="319" t="s">
        <v>2776</v>
      </c>
      <c r="R62" s="320">
        <v>10092520</v>
      </c>
      <c r="S62" s="321">
        <v>43600</v>
      </c>
      <c r="T62" s="321">
        <v>43602</v>
      </c>
      <c r="U62" s="321">
        <v>43634</v>
      </c>
      <c r="V62" s="319" t="s">
        <v>425</v>
      </c>
      <c r="W62" s="319" t="s">
        <v>2767</v>
      </c>
      <c r="X62" s="319">
        <v>2</v>
      </c>
      <c r="Y62" s="319" t="s">
        <v>173</v>
      </c>
      <c r="Z62" s="319" t="s">
        <v>173</v>
      </c>
      <c r="AA62" s="319" t="s">
        <v>173</v>
      </c>
      <c r="AB62" s="319">
        <v>2</v>
      </c>
      <c r="AC62" s="319" t="s">
        <v>169</v>
      </c>
      <c r="AD62" s="319" t="s">
        <v>173</v>
      </c>
      <c r="AE62" s="319">
        <v>2</v>
      </c>
      <c r="AF62" s="319" t="s">
        <v>447</v>
      </c>
      <c r="AG62" s="319" t="s">
        <v>171</v>
      </c>
      <c r="AH62" s="319" t="s">
        <v>190</v>
      </c>
      <c r="AI62" s="319" t="s">
        <v>190</v>
      </c>
      <c r="AJ62" s="319" t="s">
        <v>190</v>
      </c>
      <c r="AK62" s="319" t="s">
        <v>190</v>
      </c>
      <c r="AL62" s="319" t="s">
        <v>190</v>
      </c>
      <c r="AM62" s="319" t="s">
        <v>190</v>
      </c>
      <c r="AN62" s="319" t="s">
        <v>190</v>
      </c>
      <c r="AO62" s="319" t="s">
        <v>190</v>
      </c>
      <c r="AP62" s="319" t="s">
        <v>190</v>
      </c>
      <c r="AQ62" s="319" t="s">
        <v>190</v>
      </c>
      <c r="AR62" s="319" t="s">
        <v>190</v>
      </c>
      <c r="AS62" s="319" t="s">
        <v>190</v>
      </c>
      <c r="AT62" s="319" t="s">
        <v>190</v>
      </c>
      <c r="AU62" s="319" t="s">
        <v>190</v>
      </c>
      <c r="AV62" s="319" t="s">
        <v>190</v>
      </c>
      <c r="AW62" s="319" t="s">
        <v>190</v>
      </c>
      <c r="AX62" s="319" t="s">
        <v>190</v>
      </c>
      <c r="AY62" s="319" t="s">
        <v>190</v>
      </c>
      <c r="AZ62" s="319" t="s">
        <v>190</v>
      </c>
      <c r="BA62" s="319" t="s">
        <v>190</v>
      </c>
      <c r="BB62" s="319" t="s">
        <v>190</v>
      </c>
      <c r="BC62" s="319" t="s">
        <v>190</v>
      </c>
      <c r="BD62" s="319" t="s">
        <v>190</v>
      </c>
      <c r="BE62" s="319" t="s">
        <v>190</v>
      </c>
      <c r="BF62" s="319" t="s">
        <v>428</v>
      </c>
      <c r="BG62" s="319" t="s">
        <v>190</v>
      </c>
      <c r="BH62" s="319" t="s">
        <v>190</v>
      </c>
      <c r="BI62" s="319" t="s">
        <v>190</v>
      </c>
      <c r="BJ62" s="319" t="s">
        <v>190</v>
      </c>
      <c r="BK62" s="319" t="s">
        <v>190</v>
      </c>
      <c r="BL62" s="319" t="s">
        <v>190</v>
      </c>
      <c r="BM62" s="319" t="s">
        <v>190</v>
      </c>
      <c r="BN62" s="319" t="s">
        <v>190</v>
      </c>
      <c r="BO62" s="319" t="s">
        <v>190</v>
      </c>
      <c r="BP62" s="319" t="s">
        <v>190</v>
      </c>
      <c r="BQ62" s="319" t="s">
        <v>190</v>
      </c>
      <c r="BR62" s="319" t="s">
        <v>190</v>
      </c>
      <c r="BS62" s="319" t="s">
        <v>190</v>
      </c>
      <c r="BT62" s="319" t="s">
        <v>190</v>
      </c>
      <c r="BU62" s="319" t="s">
        <v>190</v>
      </c>
      <c r="BV62" s="319" t="s">
        <v>190</v>
      </c>
      <c r="BW62" s="319" t="s">
        <v>190</v>
      </c>
      <c r="BX62" s="319" t="s">
        <v>190</v>
      </c>
      <c r="BY62" s="319" t="s">
        <v>190</v>
      </c>
      <c r="BZ62" s="319" t="s">
        <v>190</v>
      </c>
      <c r="CA62" s="319" t="s">
        <v>190</v>
      </c>
      <c r="CB62" s="319" t="s">
        <v>190</v>
      </c>
      <c r="CC62" s="319" t="s">
        <v>190</v>
      </c>
      <c r="CD62" s="319" t="s">
        <v>190</v>
      </c>
      <c r="CE62" s="319" t="s">
        <v>190</v>
      </c>
      <c r="CF62" s="319" t="s">
        <v>190</v>
      </c>
      <c r="CG62" s="319" t="s">
        <v>190</v>
      </c>
      <c r="CH62" s="319" t="s">
        <v>190</v>
      </c>
      <c r="CI62" s="319" t="s">
        <v>190</v>
      </c>
      <c r="CJ62" s="319" t="s">
        <v>190</v>
      </c>
      <c r="CK62" s="319" t="s">
        <v>190</v>
      </c>
      <c r="CL62" s="319" t="s">
        <v>190</v>
      </c>
      <c r="CM62" s="319" t="s">
        <v>190</v>
      </c>
      <c r="CN62" s="319" t="s">
        <v>428</v>
      </c>
      <c r="CO62" s="319" t="s">
        <v>428</v>
      </c>
      <c r="CP62" s="319" t="s">
        <v>428</v>
      </c>
      <c r="CQ62" s="319" t="s">
        <v>190</v>
      </c>
      <c r="CR62" s="319" t="s">
        <v>190</v>
      </c>
      <c r="CS62" s="319" t="s">
        <v>190</v>
      </c>
      <c r="CT62" s="319" t="s">
        <v>190</v>
      </c>
      <c r="CU62" s="319" t="s">
        <v>190</v>
      </c>
      <c r="CV62" s="319" t="s">
        <v>190</v>
      </c>
      <c r="CW62" s="319" t="s">
        <v>190</v>
      </c>
      <c r="CX62" s="319" t="s">
        <v>190</v>
      </c>
      <c r="CY62" s="319" t="s">
        <v>190</v>
      </c>
      <c r="CZ62" s="319" t="s">
        <v>190</v>
      </c>
      <c r="DA62" s="319" t="s">
        <v>190</v>
      </c>
      <c r="DB62" s="319" t="s">
        <v>190</v>
      </c>
      <c r="DC62" s="319" t="s">
        <v>190</v>
      </c>
      <c r="DD62" s="319" t="s">
        <v>190</v>
      </c>
      <c r="DE62" s="319" t="s">
        <v>190</v>
      </c>
      <c r="DF62" s="319" t="s">
        <v>190</v>
      </c>
      <c r="DG62" s="319" t="s">
        <v>190</v>
      </c>
      <c r="DH62" s="319" t="s">
        <v>190</v>
      </c>
      <c r="DI62" s="319" t="s">
        <v>190</v>
      </c>
      <c r="DJ62" s="319" t="s">
        <v>190</v>
      </c>
      <c r="DK62" s="319" t="s">
        <v>190</v>
      </c>
      <c r="DL62" s="319" t="s">
        <v>190</v>
      </c>
      <c r="DM62" s="319" t="s">
        <v>190</v>
      </c>
      <c r="DN62" s="319" t="s">
        <v>428</v>
      </c>
      <c r="DO62" s="319" t="s">
        <v>190</v>
      </c>
      <c r="DP62" s="319" t="s">
        <v>428</v>
      </c>
      <c r="DQ62" s="319" t="s">
        <v>428</v>
      </c>
      <c r="DR62" s="319" t="s">
        <v>428</v>
      </c>
      <c r="DS62" s="319" t="s">
        <v>428</v>
      </c>
      <c r="DT62" s="319" t="s">
        <v>428</v>
      </c>
      <c r="DU62" s="319" t="s">
        <v>428</v>
      </c>
      <c r="DV62" s="319" t="s">
        <v>173</v>
      </c>
      <c r="DW62" s="319" t="s">
        <v>428</v>
      </c>
      <c r="DX62" s="319" t="s">
        <v>428</v>
      </c>
      <c r="DY62" s="319" t="s">
        <v>428</v>
      </c>
      <c r="DZ62" s="319" t="s">
        <v>428</v>
      </c>
      <c r="EA62" s="319" t="s">
        <v>428</v>
      </c>
      <c r="EB62" s="319" t="s">
        <v>428</v>
      </c>
      <c r="EC62" s="319" t="s">
        <v>428</v>
      </c>
      <c r="ED62" s="319" t="s">
        <v>428</v>
      </c>
      <c r="EE62" s="319" t="s">
        <v>428</v>
      </c>
      <c r="EF62" s="319" t="s">
        <v>428</v>
      </c>
      <c r="EG62" s="319" t="s">
        <v>428</v>
      </c>
      <c r="EH62" s="319" t="s">
        <v>428</v>
      </c>
      <c r="EI62" s="319" t="s">
        <v>428</v>
      </c>
      <c r="EJ62" s="319" t="s">
        <v>428</v>
      </c>
      <c r="EK62" s="319" t="s">
        <v>428</v>
      </c>
      <c r="EL62" s="319" t="s">
        <v>428</v>
      </c>
      <c r="EM62" s="319" t="s">
        <v>428</v>
      </c>
      <c r="EN62" s="319" t="s">
        <v>190</v>
      </c>
      <c r="EO62" s="319" t="s">
        <v>190</v>
      </c>
      <c r="EP62" s="319" t="s">
        <v>190</v>
      </c>
      <c r="EQ62" s="319" t="s">
        <v>190</v>
      </c>
      <c r="ER62" s="319" t="s">
        <v>190</v>
      </c>
      <c r="ES62" s="319" t="s">
        <v>190</v>
      </c>
      <c r="ET62" s="319" t="s">
        <v>190</v>
      </c>
      <c r="EU62" s="319" t="s">
        <v>190</v>
      </c>
      <c r="EV62" s="319" t="s">
        <v>190</v>
      </c>
      <c r="EW62" s="319" t="s">
        <v>190</v>
      </c>
      <c r="EX62" s="319" t="s">
        <v>190</v>
      </c>
      <c r="EY62" s="319" t="s">
        <v>190</v>
      </c>
      <c r="EZ62" s="319" t="s">
        <v>190</v>
      </c>
      <c r="FA62" s="319" t="s">
        <v>190</v>
      </c>
      <c r="FB62" s="319" t="s">
        <v>428</v>
      </c>
      <c r="FC62" s="319" t="s">
        <v>428</v>
      </c>
      <c r="FD62" s="319" t="s">
        <v>428</v>
      </c>
      <c r="FE62" s="319" t="s">
        <v>428</v>
      </c>
      <c r="FF62" s="319" t="s">
        <v>428</v>
      </c>
      <c r="FG62" s="319" t="s">
        <v>428</v>
      </c>
      <c r="FH62" s="319" t="s">
        <v>428</v>
      </c>
      <c r="FI62" s="319" t="s">
        <v>428</v>
      </c>
      <c r="FJ62" s="319" t="s">
        <v>429</v>
      </c>
      <c r="FK62" s="319" t="s">
        <v>428</v>
      </c>
      <c r="FL62" s="319" t="s">
        <v>190</v>
      </c>
      <c r="FM62" s="319" t="s">
        <v>190</v>
      </c>
      <c r="FN62" s="319" t="s">
        <v>190</v>
      </c>
      <c r="FO62" s="319" t="s">
        <v>190</v>
      </c>
      <c r="FP62" s="319" t="s">
        <v>190</v>
      </c>
      <c r="FQ62" s="319" t="s">
        <v>190</v>
      </c>
      <c r="FR62" s="319" t="s">
        <v>190</v>
      </c>
      <c r="FS62" s="319" t="s">
        <v>428</v>
      </c>
      <c r="FT62" s="319" t="s">
        <v>428</v>
      </c>
      <c r="FU62" s="319" t="s">
        <v>190</v>
      </c>
      <c r="FV62" s="319" t="s">
        <v>190</v>
      </c>
      <c r="FW62" s="319" t="s">
        <v>190</v>
      </c>
      <c r="FX62" s="319" t="s">
        <v>190</v>
      </c>
      <c r="FY62" s="319" t="s">
        <v>190</v>
      </c>
      <c r="FZ62" s="319" t="s">
        <v>190</v>
      </c>
      <c r="GA62" s="319" t="s">
        <v>190</v>
      </c>
      <c r="GB62" s="319" t="s">
        <v>190</v>
      </c>
      <c r="GC62" s="319" t="s">
        <v>190</v>
      </c>
      <c r="GD62" s="319" t="s">
        <v>190</v>
      </c>
      <c r="GE62" s="319" t="s">
        <v>190</v>
      </c>
      <c r="GF62" s="319" t="s">
        <v>190</v>
      </c>
      <c r="GG62" s="319" t="s">
        <v>190</v>
      </c>
      <c r="GH62" s="319" t="s">
        <v>190</v>
      </c>
      <c r="GI62" s="319" t="s">
        <v>190</v>
      </c>
      <c r="GJ62" s="319" t="s">
        <v>190</v>
      </c>
      <c r="GK62" s="319" t="s">
        <v>428</v>
      </c>
      <c r="GL62" s="319" t="s">
        <v>190</v>
      </c>
      <c r="GM62" s="319" t="s">
        <v>190</v>
      </c>
      <c r="GN62" s="319" t="s">
        <v>190</v>
      </c>
      <c r="GO62" s="319" t="s">
        <v>190</v>
      </c>
      <c r="GP62" s="319" t="s">
        <v>190</v>
      </c>
      <c r="GQ62" s="319" t="s">
        <v>428</v>
      </c>
      <c r="GR62" s="319" t="s">
        <v>190</v>
      </c>
      <c r="GS62" s="319" t="s">
        <v>190</v>
      </c>
      <c r="GT62" s="319" t="s">
        <v>428</v>
      </c>
      <c r="GU62" s="319" t="s">
        <v>428</v>
      </c>
      <c r="GV62" s="319" t="s">
        <v>190</v>
      </c>
      <c r="GW62" s="319" t="s">
        <v>190</v>
      </c>
      <c r="GX62" s="319" t="s">
        <v>190</v>
      </c>
      <c r="GY62" s="319" t="s">
        <v>190</v>
      </c>
      <c r="GZ62" s="319" t="s">
        <v>428</v>
      </c>
      <c r="HA62" s="319" t="s">
        <v>190</v>
      </c>
      <c r="HB62" s="319" t="s">
        <v>428</v>
      </c>
      <c r="HC62" s="319" t="s">
        <v>190</v>
      </c>
      <c r="HD62" s="319" t="s">
        <v>190</v>
      </c>
      <c r="HE62" s="319" t="s">
        <v>190</v>
      </c>
      <c r="HF62" s="319" t="s">
        <v>190</v>
      </c>
      <c r="HG62" s="319" t="s">
        <v>190</v>
      </c>
      <c r="HH62" s="319" t="s">
        <v>190</v>
      </c>
      <c r="HI62" s="319" t="s">
        <v>190</v>
      </c>
      <c r="HJ62" s="319" t="s">
        <v>190</v>
      </c>
      <c r="HK62" s="319" t="s">
        <v>190</v>
      </c>
      <c r="HL62" s="319" t="s">
        <v>428</v>
      </c>
      <c r="HM62" s="319" t="s">
        <v>428</v>
      </c>
      <c r="HN62" s="319" t="s">
        <v>428</v>
      </c>
      <c r="HO62" s="319" t="s">
        <v>428</v>
      </c>
      <c r="HP62" s="319" t="s">
        <v>190</v>
      </c>
      <c r="HQ62" s="319" t="s">
        <v>190</v>
      </c>
      <c r="HR62" s="319" t="s">
        <v>190</v>
      </c>
      <c r="HS62" s="319" t="s">
        <v>190</v>
      </c>
      <c r="HT62" s="319" t="s">
        <v>190</v>
      </c>
      <c r="HU62" s="319" t="s">
        <v>190</v>
      </c>
      <c r="HV62" s="319" t="s">
        <v>190</v>
      </c>
      <c r="HW62" s="319" t="s">
        <v>190</v>
      </c>
      <c r="HX62" s="319" t="s">
        <v>190</v>
      </c>
      <c r="HY62" s="319" t="s">
        <v>190</v>
      </c>
      <c r="HZ62" s="319" t="s">
        <v>190</v>
      </c>
      <c r="IA62" s="319" t="s">
        <v>190</v>
      </c>
      <c r="IB62" s="319" t="s">
        <v>190</v>
      </c>
      <c r="IC62" s="319" t="s">
        <v>190</v>
      </c>
      <c r="ID62" s="319" t="s">
        <v>190</v>
      </c>
      <c r="IE62" s="319" t="s">
        <v>190</v>
      </c>
      <c r="IF62" s="319" t="s">
        <v>190</v>
      </c>
      <c r="IG62" s="319" t="s">
        <v>190</v>
      </c>
      <c r="IH62" s="319" t="s">
        <v>190</v>
      </c>
      <c r="II62" s="319" t="s">
        <v>190</v>
      </c>
      <c r="IJ62" s="319">
        <v>10035784</v>
      </c>
      <c r="IK62" s="321">
        <v>43179</v>
      </c>
      <c r="IL62" s="321">
        <v>43186</v>
      </c>
      <c r="IM62" s="321">
        <v>43242</v>
      </c>
      <c r="IN62" s="319">
        <v>4</v>
      </c>
      <c r="IO62" s="319" t="s">
        <v>173</v>
      </c>
      <c r="IP62" s="319" t="s">
        <v>173</v>
      </c>
      <c r="IQ62" s="321" t="s">
        <v>173</v>
      </c>
      <c r="IR62" s="320" t="s">
        <v>173</v>
      </c>
      <c r="IS62" s="322" t="s">
        <v>173</v>
      </c>
      <c r="IT62" s="319" t="s">
        <v>173</v>
      </c>
    </row>
    <row r="63" spans="1:254" s="271" customFormat="1" x14ac:dyDescent="0.25">
      <c r="A63" s="318" t="str">
        <f>HYPERLINK("http://www.ofsted.gov.uk/inspection-reports/find-inspection-report/provider/ELS/101964 ","Ofsted School Webpage")</f>
        <v>Ofsted School Webpage</v>
      </c>
      <c r="B63" s="319">
        <v>101964</v>
      </c>
      <c r="C63" s="319">
        <v>3136003</v>
      </c>
      <c r="D63" s="319" t="s">
        <v>1293</v>
      </c>
      <c r="E63" s="319" t="s">
        <v>167</v>
      </c>
      <c r="F63" s="319" t="s">
        <v>81</v>
      </c>
      <c r="G63" s="319" t="s">
        <v>66</v>
      </c>
      <c r="H63" s="319" t="s">
        <v>66</v>
      </c>
      <c r="I63" s="319" t="s">
        <v>59</v>
      </c>
      <c r="J63" s="319" t="s">
        <v>424</v>
      </c>
      <c r="K63" s="319" t="s">
        <v>441</v>
      </c>
      <c r="L63" s="319" t="s">
        <v>441</v>
      </c>
      <c r="M63" s="319" t="s">
        <v>721</v>
      </c>
      <c r="N63" s="319" t="s">
        <v>2838</v>
      </c>
      <c r="O63" s="319" t="s">
        <v>1294</v>
      </c>
      <c r="P63" s="319">
        <v>47</v>
      </c>
      <c r="Q63" s="319" t="s">
        <v>2776</v>
      </c>
      <c r="R63" s="320">
        <v>10026278</v>
      </c>
      <c r="S63" s="321">
        <v>43053</v>
      </c>
      <c r="T63" s="321">
        <v>43055</v>
      </c>
      <c r="U63" s="321">
        <v>43077</v>
      </c>
      <c r="V63" s="319" t="s">
        <v>425</v>
      </c>
      <c r="W63" s="319" t="s">
        <v>2767</v>
      </c>
      <c r="X63" s="319">
        <v>3</v>
      </c>
      <c r="Y63" s="319" t="s">
        <v>173</v>
      </c>
      <c r="Z63" s="319" t="s">
        <v>173</v>
      </c>
      <c r="AA63" s="319" t="s">
        <v>173</v>
      </c>
      <c r="AB63" s="319">
        <v>3</v>
      </c>
      <c r="AC63" s="319" t="s">
        <v>169</v>
      </c>
      <c r="AD63" s="319">
        <v>3</v>
      </c>
      <c r="AE63" s="319" t="s">
        <v>173</v>
      </c>
      <c r="AF63" s="319" t="s">
        <v>447</v>
      </c>
      <c r="AG63" s="319" t="s">
        <v>171</v>
      </c>
      <c r="AH63" s="319" t="s">
        <v>190</v>
      </c>
      <c r="AI63" s="319" t="s">
        <v>190</v>
      </c>
      <c r="AJ63" s="319" t="s">
        <v>190</v>
      </c>
      <c r="AK63" s="319" t="s">
        <v>190</v>
      </c>
      <c r="AL63" s="319" t="s">
        <v>190</v>
      </c>
      <c r="AM63" s="319" t="s">
        <v>190</v>
      </c>
      <c r="AN63" s="319" t="s">
        <v>190</v>
      </c>
      <c r="AO63" s="319" t="s">
        <v>190</v>
      </c>
      <c r="AP63" s="319" t="s">
        <v>190</v>
      </c>
      <c r="AQ63" s="319" t="s">
        <v>190</v>
      </c>
      <c r="AR63" s="319" t="s">
        <v>190</v>
      </c>
      <c r="AS63" s="319" t="s">
        <v>190</v>
      </c>
      <c r="AT63" s="319" t="s">
        <v>190</v>
      </c>
      <c r="AU63" s="319" t="s">
        <v>190</v>
      </c>
      <c r="AV63" s="319" t="s">
        <v>190</v>
      </c>
      <c r="AW63" s="319" t="s">
        <v>190</v>
      </c>
      <c r="AX63" s="319" t="s">
        <v>428</v>
      </c>
      <c r="AY63" s="319" t="s">
        <v>190</v>
      </c>
      <c r="AZ63" s="319" t="s">
        <v>190</v>
      </c>
      <c r="BA63" s="319" t="s">
        <v>190</v>
      </c>
      <c r="BB63" s="319" t="s">
        <v>190</v>
      </c>
      <c r="BC63" s="319" t="s">
        <v>190</v>
      </c>
      <c r="BD63" s="319" t="s">
        <v>190</v>
      </c>
      <c r="BE63" s="319" t="s">
        <v>190</v>
      </c>
      <c r="BF63" s="319" t="s">
        <v>190</v>
      </c>
      <c r="BG63" s="319" t="s">
        <v>428</v>
      </c>
      <c r="BH63" s="319" t="s">
        <v>190</v>
      </c>
      <c r="BI63" s="319" t="s">
        <v>190</v>
      </c>
      <c r="BJ63" s="319" t="s">
        <v>190</v>
      </c>
      <c r="BK63" s="319" t="s">
        <v>190</v>
      </c>
      <c r="BL63" s="319" t="s">
        <v>190</v>
      </c>
      <c r="BM63" s="319" t="s">
        <v>190</v>
      </c>
      <c r="BN63" s="319" t="s">
        <v>190</v>
      </c>
      <c r="BO63" s="319" t="s">
        <v>190</v>
      </c>
      <c r="BP63" s="319" t="s">
        <v>190</v>
      </c>
      <c r="BQ63" s="319" t="s">
        <v>190</v>
      </c>
      <c r="BR63" s="319" t="s">
        <v>190</v>
      </c>
      <c r="BS63" s="319" t="s">
        <v>190</v>
      </c>
      <c r="BT63" s="319" t="s">
        <v>190</v>
      </c>
      <c r="BU63" s="319" t="s">
        <v>190</v>
      </c>
      <c r="BV63" s="319" t="s">
        <v>190</v>
      </c>
      <c r="BW63" s="319" t="s">
        <v>190</v>
      </c>
      <c r="BX63" s="319" t="s">
        <v>190</v>
      </c>
      <c r="BY63" s="319" t="s">
        <v>190</v>
      </c>
      <c r="BZ63" s="319" t="s">
        <v>190</v>
      </c>
      <c r="CA63" s="319" t="s">
        <v>190</v>
      </c>
      <c r="CB63" s="319" t="s">
        <v>190</v>
      </c>
      <c r="CC63" s="319" t="s">
        <v>190</v>
      </c>
      <c r="CD63" s="319" t="s">
        <v>190</v>
      </c>
      <c r="CE63" s="319" t="s">
        <v>190</v>
      </c>
      <c r="CF63" s="319" t="s">
        <v>190</v>
      </c>
      <c r="CG63" s="319" t="s">
        <v>190</v>
      </c>
      <c r="CH63" s="319" t="s">
        <v>190</v>
      </c>
      <c r="CI63" s="319" t="s">
        <v>190</v>
      </c>
      <c r="CJ63" s="319" t="s">
        <v>190</v>
      </c>
      <c r="CK63" s="319" t="s">
        <v>190</v>
      </c>
      <c r="CL63" s="319" t="s">
        <v>190</v>
      </c>
      <c r="CM63" s="319" t="s">
        <v>190</v>
      </c>
      <c r="CN63" s="319" t="s">
        <v>428</v>
      </c>
      <c r="CO63" s="319" t="s">
        <v>428</v>
      </c>
      <c r="CP63" s="319" t="s">
        <v>428</v>
      </c>
      <c r="CQ63" s="319" t="s">
        <v>190</v>
      </c>
      <c r="CR63" s="319" t="s">
        <v>190</v>
      </c>
      <c r="CS63" s="319" t="s">
        <v>190</v>
      </c>
      <c r="CT63" s="319" t="s">
        <v>190</v>
      </c>
      <c r="CU63" s="319" t="s">
        <v>190</v>
      </c>
      <c r="CV63" s="319" t="s">
        <v>190</v>
      </c>
      <c r="CW63" s="319" t="s">
        <v>190</v>
      </c>
      <c r="CX63" s="319" t="s">
        <v>190</v>
      </c>
      <c r="CY63" s="319" t="s">
        <v>190</v>
      </c>
      <c r="CZ63" s="319" t="s">
        <v>190</v>
      </c>
      <c r="DA63" s="319" t="s">
        <v>190</v>
      </c>
      <c r="DB63" s="319" t="s">
        <v>190</v>
      </c>
      <c r="DC63" s="319" t="s">
        <v>190</v>
      </c>
      <c r="DD63" s="319" t="s">
        <v>190</v>
      </c>
      <c r="DE63" s="319" t="s">
        <v>190</v>
      </c>
      <c r="DF63" s="319" t="s">
        <v>190</v>
      </c>
      <c r="DG63" s="319" t="s">
        <v>190</v>
      </c>
      <c r="DH63" s="319" t="s">
        <v>190</v>
      </c>
      <c r="DI63" s="319" t="s">
        <v>190</v>
      </c>
      <c r="DJ63" s="319" t="s">
        <v>190</v>
      </c>
      <c r="DK63" s="319" t="s">
        <v>190</v>
      </c>
      <c r="DL63" s="319" t="s">
        <v>190</v>
      </c>
      <c r="DM63" s="319" t="s">
        <v>190</v>
      </c>
      <c r="DN63" s="319" t="s">
        <v>428</v>
      </c>
      <c r="DO63" s="319" t="s">
        <v>190</v>
      </c>
      <c r="DP63" s="319" t="s">
        <v>190</v>
      </c>
      <c r="DQ63" s="319" t="s">
        <v>190</v>
      </c>
      <c r="DR63" s="319" t="s">
        <v>190</v>
      </c>
      <c r="DS63" s="319" t="s">
        <v>190</v>
      </c>
      <c r="DT63" s="319" t="s">
        <v>190</v>
      </c>
      <c r="DU63" s="319" t="s">
        <v>190</v>
      </c>
      <c r="DV63" s="319" t="s">
        <v>173</v>
      </c>
      <c r="DW63" s="319" t="s">
        <v>190</v>
      </c>
      <c r="DX63" s="319" t="s">
        <v>190</v>
      </c>
      <c r="DY63" s="319" t="s">
        <v>190</v>
      </c>
      <c r="DZ63" s="319" t="s">
        <v>190</v>
      </c>
      <c r="EA63" s="319" t="s">
        <v>190</v>
      </c>
      <c r="EB63" s="319" t="s">
        <v>190</v>
      </c>
      <c r="EC63" s="319" t="s">
        <v>428</v>
      </c>
      <c r="ED63" s="319" t="s">
        <v>190</v>
      </c>
      <c r="EE63" s="319" t="s">
        <v>190</v>
      </c>
      <c r="EF63" s="319" t="s">
        <v>190</v>
      </c>
      <c r="EG63" s="319" t="s">
        <v>190</v>
      </c>
      <c r="EH63" s="319" t="s">
        <v>190</v>
      </c>
      <c r="EI63" s="319" t="s">
        <v>190</v>
      </c>
      <c r="EJ63" s="319" t="s">
        <v>190</v>
      </c>
      <c r="EK63" s="319" t="s">
        <v>190</v>
      </c>
      <c r="EL63" s="319" t="s">
        <v>190</v>
      </c>
      <c r="EM63" s="319" t="s">
        <v>190</v>
      </c>
      <c r="EN63" s="319" t="s">
        <v>190</v>
      </c>
      <c r="EO63" s="319" t="s">
        <v>190</v>
      </c>
      <c r="EP63" s="319" t="s">
        <v>190</v>
      </c>
      <c r="EQ63" s="319" t="s">
        <v>190</v>
      </c>
      <c r="ER63" s="319" t="s">
        <v>190</v>
      </c>
      <c r="ES63" s="319" t="s">
        <v>190</v>
      </c>
      <c r="ET63" s="319" t="s">
        <v>190</v>
      </c>
      <c r="EU63" s="319" t="s">
        <v>190</v>
      </c>
      <c r="EV63" s="319" t="s">
        <v>190</v>
      </c>
      <c r="EW63" s="319" t="s">
        <v>190</v>
      </c>
      <c r="EX63" s="319" t="s">
        <v>190</v>
      </c>
      <c r="EY63" s="319" t="s">
        <v>190</v>
      </c>
      <c r="EZ63" s="319" t="s">
        <v>190</v>
      </c>
      <c r="FA63" s="319" t="s">
        <v>190</v>
      </c>
      <c r="FB63" s="319" t="s">
        <v>190</v>
      </c>
      <c r="FC63" s="319" t="s">
        <v>190</v>
      </c>
      <c r="FD63" s="319" t="s">
        <v>190</v>
      </c>
      <c r="FE63" s="319" t="s">
        <v>190</v>
      </c>
      <c r="FF63" s="319" t="s">
        <v>190</v>
      </c>
      <c r="FG63" s="319" t="s">
        <v>190</v>
      </c>
      <c r="FH63" s="319" t="s">
        <v>190</v>
      </c>
      <c r="FI63" s="319" t="s">
        <v>190</v>
      </c>
      <c r="FJ63" s="319" t="s">
        <v>190</v>
      </c>
      <c r="FK63" s="319" t="s">
        <v>190</v>
      </c>
      <c r="FL63" s="319" t="s">
        <v>190</v>
      </c>
      <c r="FM63" s="319" t="s">
        <v>190</v>
      </c>
      <c r="FN63" s="319" t="s">
        <v>190</v>
      </c>
      <c r="FO63" s="319" t="s">
        <v>190</v>
      </c>
      <c r="FP63" s="319" t="s">
        <v>190</v>
      </c>
      <c r="FQ63" s="319" t="s">
        <v>190</v>
      </c>
      <c r="FR63" s="319" t="s">
        <v>190</v>
      </c>
      <c r="FS63" s="319" t="s">
        <v>428</v>
      </c>
      <c r="FT63" s="319" t="s">
        <v>190</v>
      </c>
      <c r="FU63" s="319" t="s">
        <v>190</v>
      </c>
      <c r="FV63" s="319" t="s">
        <v>190</v>
      </c>
      <c r="FW63" s="319" t="s">
        <v>190</v>
      </c>
      <c r="FX63" s="319" t="s">
        <v>190</v>
      </c>
      <c r="FY63" s="319" t="s">
        <v>190</v>
      </c>
      <c r="FZ63" s="319" t="s">
        <v>190</v>
      </c>
      <c r="GA63" s="319" t="s">
        <v>190</v>
      </c>
      <c r="GB63" s="319" t="s">
        <v>190</v>
      </c>
      <c r="GC63" s="319" t="s">
        <v>190</v>
      </c>
      <c r="GD63" s="319" t="s">
        <v>190</v>
      </c>
      <c r="GE63" s="319" t="s">
        <v>190</v>
      </c>
      <c r="GF63" s="319" t="s">
        <v>190</v>
      </c>
      <c r="GG63" s="319" t="s">
        <v>190</v>
      </c>
      <c r="GH63" s="319" t="s">
        <v>190</v>
      </c>
      <c r="GI63" s="319" t="s">
        <v>190</v>
      </c>
      <c r="GJ63" s="319" t="s">
        <v>190</v>
      </c>
      <c r="GK63" s="319" t="s">
        <v>428</v>
      </c>
      <c r="GL63" s="319" t="s">
        <v>190</v>
      </c>
      <c r="GM63" s="319" t="s">
        <v>190</v>
      </c>
      <c r="GN63" s="319" t="s">
        <v>190</v>
      </c>
      <c r="GO63" s="319" t="s">
        <v>190</v>
      </c>
      <c r="GP63" s="319" t="s">
        <v>190</v>
      </c>
      <c r="GQ63" s="319" t="s">
        <v>190</v>
      </c>
      <c r="GR63" s="319" t="s">
        <v>190</v>
      </c>
      <c r="GS63" s="319" t="s">
        <v>190</v>
      </c>
      <c r="GT63" s="319" t="s">
        <v>190</v>
      </c>
      <c r="GU63" s="319" t="s">
        <v>190</v>
      </c>
      <c r="GV63" s="319" t="s">
        <v>190</v>
      </c>
      <c r="GW63" s="319" t="s">
        <v>190</v>
      </c>
      <c r="GX63" s="319" t="s">
        <v>190</v>
      </c>
      <c r="GY63" s="319" t="s">
        <v>190</v>
      </c>
      <c r="GZ63" s="319" t="s">
        <v>428</v>
      </c>
      <c r="HA63" s="319" t="s">
        <v>190</v>
      </c>
      <c r="HB63" s="319" t="s">
        <v>190</v>
      </c>
      <c r="HC63" s="319" t="s">
        <v>190</v>
      </c>
      <c r="HD63" s="319" t="s">
        <v>190</v>
      </c>
      <c r="HE63" s="319" t="s">
        <v>190</v>
      </c>
      <c r="HF63" s="319" t="s">
        <v>190</v>
      </c>
      <c r="HG63" s="319" t="s">
        <v>190</v>
      </c>
      <c r="HH63" s="319" t="s">
        <v>190</v>
      </c>
      <c r="HI63" s="319" t="s">
        <v>190</v>
      </c>
      <c r="HJ63" s="319" t="s">
        <v>190</v>
      </c>
      <c r="HK63" s="319" t="s">
        <v>190</v>
      </c>
      <c r="HL63" s="319" t="s">
        <v>190</v>
      </c>
      <c r="HM63" s="319" t="s">
        <v>190</v>
      </c>
      <c r="HN63" s="319" t="s">
        <v>190</v>
      </c>
      <c r="HO63" s="319" t="s">
        <v>190</v>
      </c>
      <c r="HP63" s="319" t="s">
        <v>190</v>
      </c>
      <c r="HQ63" s="319" t="s">
        <v>190</v>
      </c>
      <c r="HR63" s="319" t="s">
        <v>190</v>
      </c>
      <c r="HS63" s="319" t="s">
        <v>190</v>
      </c>
      <c r="HT63" s="319" t="s">
        <v>190</v>
      </c>
      <c r="HU63" s="319" t="s">
        <v>190</v>
      </c>
      <c r="HV63" s="319" t="s">
        <v>190</v>
      </c>
      <c r="HW63" s="319" t="s">
        <v>190</v>
      </c>
      <c r="HX63" s="319" t="s">
        <v>190</v>
      </c>
      <c r="HY63" s="319" t="s">
        <v>190</v>
      </c>
      <c r="HZ63" s="319" t="s">
        <v>190</v>
      </c>
      <c r="IA63" s="319" t="s">
        <v>190</v>
      </c>
      <c r="IB63" s="319" t="s">
        <v>190</v>
      </c>
      <c r="IC63" s="319" t="s">
        <v>190</v>
      </c>
      <c r="ID63" s="319" t="s">
        <v>190</v>
      </c>
      <c r="IE63" s="319" t="s">
        <v>190</v>
      </c>
      <c r="IF63" s="319" t="s">
        <v>190</v>
      </c>
      <c r="IG63" s="319" t="s">
        <v>190</v>
      </c>
      <c r="IH63" s="319" t="s">
        <v>190</v>
      </c>
      <c r="II63" s="319" t="s">
        <v>190</v>
      </c>
      <c r="IJ63" s="319" t="s">
        <v>2839</v>
      </c>
      <c r="IK63" s="321">
        <v>40927</v>
      </c>
      <c r="IL63" s="321">
        <v>40928</v>
      </c>
      <c r="IM63" s="321">
        <v>41236</v>
      </c>
      <c r="IN63" s="319">
        <v>2</v>
      </c>
      <c r="IO63" s="319" t="s">
        <v>173</v>
      </c>
      <c r="IP63" s="319" t="s">
        <v>173</v>
      </c>
      <c r="IQ63" s="321" t="s">
        <v>173</v>
      </c>
      <c r="IR63" s="320" t="s">
        <v>173</v>
      </c>
      <c r="IS63" s="322" t="s">
        <v>173</v>
      </c>
      <c r="IT63" s="319" t="s">
        <v>173</v>
      </c>
    </row>
    <row r="64" spans="1:254" s="271" customFormat="1" x14ac:dyDescent="0.25">
      <c r="A64" s="318" t="str">
        <f>HYPERLINK("http://www.ofsted.gov.uk/inspection-reports/find-inspection-report/provider/ELS/102065 ","Ofsted School Webpage")</f>
        <v>Ofsted School Webpage</v>
      </c>
      <c r="B64" s="319">
        <v>102065</v>
      </c>
      <c r="C64" s="319">
        <v>3086062</v>
      </c>
      <c r="D64" s="319" t="s">
        <v>1295</v>
      </c>
      <c r="E64" s="319" t="s">
        <v>167</v>
      </c>
      <c r="F64" s="319" t="s">
        <v>81</v>
      </c>
      <c r="G64" s="319" t="s">
        <v>59</v>
      </c>
      <c r="H64" s="319" t="s">
        <v>59</v>
      </c>
      <c r="I64" s="319" t="s">
        <v>59</v>
      </c>
      <c r="J64" s="319" t="s">
        <v>424</v>
      </c>
      <c r="K64" s="319" t="s">
        <v>441</v>
      </c>
      <c r="L64" s="319" t="s">
        <v>441</v>
      </c>
      <c r="M64" s="319" t="s">
        <v>561</v>
      </c>
      <c r="N64" s="319" t="s">
        <v>2840</v>
      </c>
      <c r="O64" s="319" t="s">
        <v>1296</v>
      </c>
      <c r="P64" s="319">
        <v>447</v>
      </c>
      <c r="Q64" s="319" t="s">
        <v>2776</v>
      </c>
      <c r="R64" s="320">
        <v>10067116</v>
      </c>
      <c r="S64" s="321">
        <v>43536</v>
      </c>
      <c r="T64" s="321">
        <v>43538</v>
      </c>
      <c r="U64" s="321">
        <v>43586</v>
      </c>
      <c r="V64" s="319" t="s">
        <v>425</v>
      </c>
      <c r="W64" s="319" t="s">
        <v>2767</v>
      </c>
      <c r="X64" s="319">
        <v>1</v>
      </c>
      <c r="Y64" s="319" t="s">
        <v>173</v>
      </c>
      <c r="Z64" s="319" t="s">
        <v>173</v>
      </c>
      <c r="AA64" s="319" t="s">
        <v>173</v>
      </c>
      <c r="AB64" s="319">
        <v>1</v>
      </c>
      <c r="AC64" s="319" t="s">
        <v>169</v>
      </c>
      <c r="AD64" s="319">
        <v>2</v>
      </c>
      <c r="AE64" s="319">
        <v>1</v>
      </c>
      <c r="AF64" s="319" t="s">
        <v>427</v>
      </c>
      <c r="AG64" s="319" t="s">
        <v>171</v>
      </c>
      <c r="AH64" s="319" t="s">
        <v>190</v>
      </c>
      <c r="AI64" s="319" t="s">
        <v>190</v>
      </c>
      <c r="AJ64" s="319" t="s">
        <v>190</v>
      </c>
      <c r="AK64" s="319" t="s">
        <v>190</v>
      </c>
      <c r="AL64" s="319" t="s">
        <v>190</v>
      </c>
      <c r="AM64" s="319" t="s">
        <v>190</v>
      </c>
      <c r="AN64" s="319" t="s">
        <v>190</v>
      </c>
      <c r="AO64" s="319" t="s">
        <v>190</v>
      </c>
      <c r="AP64" s="319" t="s">
        <v>190</v>
      </c>
      <c r="AQ64" s="319" t="s">
        <v>190</v>
      </c>
      <c r="AR64" s="319" t="s">
        <v>190</v>
      </c>
      <c r="AS64" s="319" t="s">
        <v>190</v>
      </c>
      <c r="AT64" s="319" t="s">
        <v>190</v>
      </c>
      <c r="AU64" s="319" t="s">
        <v>190</v>
      </c>
      <c r="AV64" s="319" t="s">
        <v>190</v>
      </c>
      <c r="AW64" s="319" t="s">
        <v>190</v>
      </c>
      <c r="AX64" s="319" t="s">
        <v>190</v>
      </c>
      <c r="AY64" s="319" t="s">
        <v>190</v>
      </c>
      <c r="AZ64" s="319" t="s">
        <v>190</v>
      </c>
      <c r="BA64" s="319" t="s">
        <v>190</v>
      </c>
      <c r="BB64" s="319" t="s">
        <v>190</v>
      </c>
      <c r="BC64" s="319" t="s">
        <v>190</v>
      </c>
      <c r="BD64" s="319" t="s">
        <v>190</v>
      </c>
      <c r="BE64" s="319" t="s">
        <v>190</v>
      </c>
      <c r="BF64" s="319" t="s">
        <v>190</v>
      </c>
      <c r="BG64" s="319" t="s">
        <v>190</v>
      </c>
      <c r="BH64" s="319" t="s">
        <v>190</v>
      </c>
      <c r="BI64" s="319" t="s">
        <v>190</v>
      </c>
      <c r="BJ64" s="319" t="s">
        <v>190</v>
      </c>
      <c r="BK64" s="319" t="s">
        <v>190</v>
      </c>
      <c r="BL64" s="319" t="s">
        <v>190</v>
      </c>
      <c r="BM64" s="319" t="s">
        <v>190</v>
      </c>
      <c r="BN64" s="319" t="s">
        <v>190</v>
      </c>
      <c r="BO64" s="319" t="s">
        <v>190</v>
      </c>
      <c r="BP64" s="319" t="s">
        <v>190</v>
      </c>
      <c r="BQ64" s="319" t="s">
        <v>190</v>
      </c>
      <c r="BR64" s="319" t="s">
        <v>190</v>
      </c>
      <c r="BS64" s="319" t="s">
        <v>190</v>
      </c>
      <c r="BT64" s="319" t="s">
        <v>190</v>
      </c>
      <c r="BU64" s="319" t="s">
        <v>190</v>
      </c>
      <c r="BV64" s="319" t="s">
        <v>190</v>
      </c>
      <c r="BW64" s="319" t="s">
        <v>190</v>
      </c>
      <c r="BX64" s="319" t="s">
        <v>190</v>
      </c>
      <c r="BY64" s="319" t="s">
        <v>190</v>
      </c>
      <c r="BZ64" s="319" t="s">
        <v>190</v>
      </c>
      <c r="CA64" s="319" t="s">
        <v>190</v>
      </c>
      <c r="CB64" s="319" t="s">
        <v>190</v>
      </c>
      <c r="CC64" s="319" t="s">
        <v>190</v>
      </c>
      <c r="CD64" s="319" t="s">
        <v>190</v>
      </c>
      <c r="CE64" s="319" t="s">
        <v>190</v>
      </c>
      <c r="CF64" s="319" t="s">
        <v>190</v>
      </c>
      <c r="CG64" s="319" t="s">
        <v>190</v>
      </c>
      <c r="CH64" s="319" t="s">
        <v>190</v>
      </c>
      <c r="CI64" s="319" t="s">
        <v>190</v>
      </c>
      <c r="CJ64" s="319" t="s">
        <v>190</v>
      </c>
      <c r="CK64" s="319" t="s">
        <v>190</v>
      </c>
      <c r="CL64" s="319" t="s">
        <v>190</v>
      </c>
      <c r="CM64" s="319" t="s">
        <v>190</v>
      </c>
      <c r="CN64" s="319" t="s">
        <v>428</v>
      </c>
      <c r="CO64" s="319" t="s">
        <v>428</v>
      </c>
      <c r="CP64" s="319" t="s">
        <v>428</v>
      </c>
      <c r="CQ64" s="319" t="s">
        <v>190</v>
      </c>
      <c r="CR64" s="319" t="s">
        <v>190</v>
      </c>
      <c r="CS64" s="319" t="s">
        <v>190</v>
      </c>
      <c r="CT64" s="319" t="s">
        <v>190</v>
      </c>
      <c r="CU64" s="319" t="s">
        <v>190</v>
      </c>
      <c r="CV64" s="319" t="s">
        <v>190</v>
      </c>
      <c r="CW64" s="319" t="s">
        <v>190</v>
      </c>
      <c r="CX64" s="319" t="s">
        <v>190</v>
      </c>
      <c r="CY64" s="319" t="s">
        <v>190</v>
      </c>
      <c r="CZ64" s="319" t="s">
        <v>190</v>
      </c>
      <c r="DA64" s="319" t="s">
        <v>190</v>
      </c>
      <c r="DB64" s="319" t="s">
        <v>190</v>
      </c>
      <c r="DC64" s="319" t="s">
        <v>190</v>
      </c>
      <c r="DD64" s="319" t="s">
        <v>190</v>
      </c>
      <c r="DE64" s="319" t="s">
        <v>190</v>
      </c>
      <c r="DF64" s="319" t="s">
        <v>190</v>
      </c>
      <c r="DG64" s="319" t="s">
        <v>190</v>
      </c>
      <c r="DH64" s="319" t="s">
        <v>190</v>
      </c>
      <c r="DI64" s="319" t="s">
        <v>190</v>
      </c>
      <c r="DJ64" s="319" t="s">
        <v>190</v>
      </c>
      <c r="DK64" s="319" t="s">
        <v>190</v>
      </c>
      <c r="DL64" s="319" t="s">
        <v>190</v>
      </c>
      <c r="DM64" s="319" t="s">
        <v>190</v>
      </c>
      <c r="DN64" s="319" t="s">
        <v>428</v>
      </c>
      <c r="DO64" s="319" t="s">
        <v>190</v>
      </c>
      <c r="DP64" s="319" t="s">
        <v>428</v>
      </c>
      <c r="DQ64" s="319" t="s">
        <v>428</v>
      </c>
      <c r="DR64" s="319" t="s">
        <v>428</v>
      </c>
      <c r="DS64" s="319" t="s">
        <v>428</v>
      </c>
      <c r="DT64" s="319" t="s">
        <v>428</v>
      </c>
      <c r="DU64" s="319" t="s">
        <v>428</v>
      </c>
      <c r="DV64" s="319" t="s">
        <v>173</v>
      </c>
      <c r="DW64" s="319" t="s">
        <v>428</v>
      </c>
      <c r="DX64" s="319" t="s">
        <v>428</v>
      </c>
      <c r="DY64" s="319" t="s">
        <v>428</v>
      </c>
      <c r="DZ64" s="319" t="s">
        <v>428</v>
      </c>
      <c r="EA64" s="319" t="s">
        <v>428</v>
      </c>
      <c r="EB64" s="319" t="s">
        <v>428</v>
      </c>
      <c r="EC64" s="319" t="s">
        <v>428</v>
      </c>
      <c r="ED64" s="319" t="s">
        <v>428</v>
      </c>
      <c r="EE64" s="319" t="s">
        <v>190</v>
      </c>
      <c r="EF64" s="319" t="s">
        <v>190</v>
      </c>
      <c r="EG64" s="319" t="s">
        <v>190</v>
      </c>
      <c r="EH64" s="319" t="s">
        <v>190</v>
      </c>
      <c r="EI64" s="319" t="s">
        <v>190</v>
      </c>
      <c r="EJ64" s="319" t="s">
        <v>190</v>
      </c>
      <c r="EK64" s="319" t="s">
        <v>190</v>
      </c>
      <c r="EL64" s="319" t="s">
        <v>190</v>
      </c>
      <c r="EM64" s="319" t="s">
        <v>190</v>
      </c>
      <c r="EN64" s="319" t="s">
        <v>190</v>
      </c>
      <c r="EO64" s="319" t="s">
        <v>190</v>
      </c>
      <c r="EP64" s="319" t="s">
        <v>190</v>
      </c>
      <c r="EQ64" s="319" t="s">
        <v>190</v>
      </c>
      <c r="ER64" s="319" t="s">
        <v>190</v>
      </c>
      <c r="ES64" s="319" t="s">
        <v>190</v>
      </c>
      <c r="ET64" s="319" t="s">
        <v>190</v>
      </c>
      <c r="EU64" s="319" t="s">
        <v>190</v>
      </c>
      <c r="EV64" s="319" t="s">
        <v>190</v>
      </c>
      <c r="EW64" s="319" t="s">
        <v>190</v>
      </c>
      <c r="EX64" s="319" t="s">
        <v>190</v>
      </c>
      <c r="EY64" s="319" t="s">
        <v>190</v>
      </c>
      <c r="EZ64" s="319" t="s">
        <v>190</v>
      </c>
      <c r="FA64" s="319" t="s">
        <v>190</v>
      </c>
      <c r="FB64" s="319" t="s">
        <v>190</v>
      </c>
      <c r="FC64" s="319" t="s">
        <v>190</v>
      </c>
      <c r="FD64" s="319" t="s">
        <v>190</v>
      </c>
      <c r="FE64" s="319" t="s">
        <v>190</v>
      </c>
      <c r="FF64" s="319" t="s">
        <v>190</v>
      </c>
      <c r="FG64" s="319" t="s">
        <v>190</v>
      </c>
      <c r="FH64" s="319" t="s">
        <v>190</v>
      </c>
      <c r="FI64" s="319" t="s">
        <v>190</v>
      </c>
      <c r="FJ64" s="319" t="s">
        <v>190</v>
      </c>
      <c r="FK64" s="319" t="s">
        <v>190</v>
      </c>
      <c r="FL64" s="319" t="s">
        <v>190</v>
      </c>
      <c r="FM64" s="319" t="s">
        <v>190</v>
      </c>
      <c r="FN64" s="319" t="s">
        <v>190</v>
      </c>
      <c r="FO64" s="319" t="s">
        <v>190</v>
      </c>
      <c r="FP64" s="319" t="s">
        <v>190</v>
      </c>
      <c r="FQ64" s="319" t="s">
        <v>190</v>
      </c>
      <c r="FR64" s="319" t="s">
        <v>190</v>
      </c>
      <c r="FS64" s="319" t="s">
        <v>190</v>
      </c>
      <c r="FT64" s="319" t="s">
        <v>190</v>
      </c>
      <c r="FU64" s="319" t="s">
        <v>190</v>
      </c>
      <c r="FV64" s="319" t="s">
        <v>190</v>
      </c>
      <c r="FW64" s="319" t="s">
        <v>190</v>
      </c>
      <c r="FX64" s="319" t="s">
        <v>190</v>
      </c>
      <c r="FY64" s="319" t="s">
        <v>190</v>
      </c>
      <c r="FZ64" s="319" t="s">
        <v>190</v>
      </c>
      <c r="GA64" s="319" t="s">
        <v>190</v>
      </c>
      <c r="GB64" s="319" t="s">
        <v>190</v>
      </c>
      <c r="GC64" s="319" t="s">
        <v>190</v>
      </c>
      <c r="GD64" s="319" t="s">
        <v>190</v>
      </c>
      <c r="GE64" s="319" t="s">
        <v>190</v>
      </c>
      <c r="GF64" s="319" t="s">
        <v>190</v>
      </c>
      <c r="GG64" s="319" t="s">
        <v>190</v>
      </c>
      <c r="GH64" s="319" t="s">
        <v>190</v>
      </c>
      <c r="GI64" s="319" t="s">
        <v>190</v>
      </c>
      <c r="GJ64" s="319" t="s">
        <v>190</v>
      </c>
      <c r="GK64" s="319" t="s">
        <v>428</v>
      </c>
      <c r="GL64" s="319" t="s">
        <v>190</v>
      </c>
      <c r="GM64" s="319" t="s">
        <v>190</v>
      </c>
      <c r="GN64" s="319" t="s">
        <v>190</v>
      </c>
      <c r="GO64" s="319" t="s">
        <v>190</v>
      </c>
      <c r="GP64" s="319" t="s">
        <v>190</v>
      </c>
      <c r="GQ64" s="319" t="s">
        <v>190</v>
      </c>
      <c r="GR64" s="319" t="s">
        <v>190</v>
      </c>
      <c r="GS64" s="319" t="s">
        <v>190</v>
      </c>
      <c r="GT64" s="319" t="s">
        <v>190</v>
      </c>
      <c r="GU64" s="319" t="s">
        <v>190</v>
      </c>
      <c r="GV64" s="319" t="s">
        <v>190</v>
      </c>
      <c r="GW64" s="319" t="s">
        <v>190</v>
      </c>
      <c r="GX64" s="319" t="s">
        <v>190</v>
      </c>
      <c r="GY64" s="319" t="s">
        <v>190</v>
      </c>
      <c r="GZ64" s="319" t="s">
        <v>190</v>
      </c>
      <c r="HA64" s="319" t="s">
        <v>428</v>
      </c>
      <c r="HB64" s="319" t="s">
        <v>428</v>
      </c>
      <c r="HC64" s="319" t="s">
        <v>190</v>
      </c>
      <c r="HD64" s="319" t="s">
        <v>190</v>
      </c>
      <c r="HE64" s="319" t="s">
        <v>190</v>
      </c>
      <c r="HF64" s="319" t="s">
        <v>190</v>
      </c>
      <c r="HG64" s="319" t="s">
        <v>190</v>
      </c>
      <c r="HH64" s="319" t="s">
        <v>190</v>
      </c>
      <c r="HI64" s="319" t="s">
        <v>190</v>
      </c>
      <c r="HJ64" s="319" t="s">
        <v>190</v>
      </c>
      <c r="HK64" s="319" t="s">
        <v>190</v>
      </c>
      <c r="HL64" s="319" t="s">
        <v>190</v>
      </c>
      <c r="HM64" s="319" t="s">
        <v>190</v>
      </c>
      <c r="HN64" s="319" t="s">
        <v>190</v>
      </c>
      <c r="HO64" s="319" t="s">
        <v>190</v>
      </c>
      <c r="HP64" s="319" t="s">
        <v>190</v>
      </c>
      <c r="HQ64" s="319" t="s">
        <v>190</v>
      </c>
      <c r="HR64" s="319" t="s">
        <v>190</v>
      </c>
      <c r="HS64" s="319" t="s">
        <v>190</v>
      </c>
      <c r="HT64" s="319" t="s">
        <v>190</v>
      </c>
      <c r="HU64" s="319" t="s">
        <v>190</v>
      </c>
      <c r="HV64" s="319" t="s">
        <v>190</v>
      </c>
      <c r="HW64" s="319" t="s">
        <v>190</v>
      </c>
      <c r="HX64" s="319" t="s">
        <v>190</v>
      </c>
      <c r="HY64" s="319" t="s">
        <v>190</v>
      </c>
      <c r="HZ64" s="319" t="s">
        <v>190</v>
      </c>
      <c r="IA64" s="319" t="s">
        <v>190</v>
      </c>
      <c r="IB64" s="319" t="s">
        <v>190</v>
      </c>
      <c r="IC64" s="319" t="s">
        <v>190</v>
      </c>
      <c r="ID64" s="319" t="s">
        <v>190</v>
      </c>
      <c r="IE64" s="319" t="s">
        <v>190</v>
      </c>
      <c r="IF64" s="319" t="s">
        <v>190</v>
      </c>
      <c r="IG64" s="319" t="s">
        <v>190</v>
      </c>
      <c r="IH64" s="319" t="s">
        <v>190</v>
      </c>
      <c r="II64" s="319" t="s">
        <v>190</v>
      </c>
      <c r="IJ64" s="319">
        <v>10012824</v>
      </c>
      <c r="IK64" s="321">
        <v>42794</v>
      </c>
      <c r="IL64" s="321">
        <v>42796</v>
      </c>
      <c r="IM64" s="321">
        <v>42850</v>
      </c>
      <c r="IN64" s="319">
        <v>4</v>
      </c>
      <c r="IO64" s="319" t="s">
        <v>173</v>
      </c>
      <c r="IP64" s="319" t="s">
        <v>173</v>
      </c>
      <c r="IQ64" s="321" t="s">
        <v>173</v>
      </c>
      <c r="IR64" s="320" t="s">
        <v>173</v>
      </c>
      <c r="IS64" s="322" t="s">
        <v>173</v>
      </c>
      <c r="IT64" s="319" t="s">
        <v>173</v>
      </c>
    </row>
    <row r="65" spans="1:254" s="271" customFormat="1" x14ac:dyDescent="0.25">
      <c r="A65" s="318" t="str">
        <f>HYPERLINK("http://www.ofsted.gov.uk/inspection-reports/find-inspection-report/provider/ELS/102168 ","Ofsted School Webpage")</f>
        <v>Ofsted School Webpage</v>
      </c>
      <c r="B65" s="319">
        <v>102168</v>
      </c>
      <c r="C65" s="319">
        <v>3096066</v>
      </c>
      <c r="D65" s="319" t="s">
        <v>526</v>
      </c>
      <c r="E65" s="319" t="s">
        <v>167</v>
      </c>
      <c r="F65" s="319" t="s">
        <v>81</v>
      </c>
      <c r="G65" s="319" t="s">
        <v>81</v>
      </c>
      <c r="H65" s="319" t="s">
        <v>81</v>
      </c>
      <c r="I65" s="319" t="s">
        <v>78</v>
      </c>
      <c r="J65" s="319" t="s">
        <v>424</v>
      </c>
      <c r="K65" s="319" t="s">
        <v>441</v>
      </c>
      <c r="L65" s="319" t="s">
        <v>441</v>
      </c>
      <c r="M65" s="319" t="s">
        <v>527</v>
      </c>
      <c r="N65" s="319" t="s">
        <v>2841</v>
      </c>
      <c r="O65" s="319" t="s">
        <v>528</v>
      </c>
      <c r="P65" s="319">
        <v>30</v>
      </c>
      <c r="Q65" s="319" t="s">
        <v>2766</v>
      </c>
      <c r="R65" s="320">
        <v>10055400</v>
      </c>
      <c r="S65" s="321">
        <v>43375</v>
      </c>
      <c r="T65" s="321">
        <v>43377</v>
      </c>
      <c r="U65" s="321">
        <v>43454</v>
      </c>
      <c r="V65" s="319" t="s">
        <v>425</v>
      </c>
      <c r="W65" s="319" t="s">
        <v>2767</v>
      </c>
      <c r="X65" s="319">
        <v>4</v>
      </c>
      <c r="Y65" s="319" t="s">
        <v>173</v>
      </c>
      <c r="Z65" s="319" t="s">
        <v>173</v>
      </c>
      <c r="AA65" s="319" t="s">
        <v>173</v>
      </c>
      <c r="AB65" s="319">
        <v>4</v>
      </c>
      <c r="AC65" s="319" t="s">
        <v>169</v>
      </c>
      <c r="AD65" s="319">
        <v>4</v>
      </c>
      <c r="AE65" s="319" t="s">
        <v>173</v>
      </c>
      <c r="AF65" s="319" t="s">
        <v>427</v>
      </c>
      <c r="AG65" s="319" t="s">
        <v>172</v>
      </c>
      <c r="AH65" s="319" t="s">
        <v>479</v>
      </c>
      <c r="AI65" s="319" t="s">
        <v>190</v>
      </c>
      <c r="AJ65" s="319" t="s">
        <v>190</v>
      </c>
      <c r="AK65" s="319" t="s">
        <v>190</v>
      </c>
      <c r="AL65" s="319" t="s">
        <v>190</v>
      </c>
      <c r="AM65" s="319" t="s">
        <v>190</v>
      </c>
      <c r="AN65" s="319" t="s">
        <v>190</v>
      </c>
      <c r="AO65" s="319" t="s">
        <v>479</v>
      </c>
      <c r="AP65" s="319" t="s">
        <v>191</v>
      </c>
      <c r="AQ65" s="319" t="s">
        <v>191</v>
      </c>
      <c r="AR65" s="319" t="s">
        <v>191</v>
      </c>
      <c r="AS65" s="319" t="s">
        <v>191</v>
      </c>
      <c r="AT65" s="319" t="s">
        <v>190</v>
      </c>
      <c r="AU65" s="319" t="s">
        <v>190</v>
      </c>
      <c r="AV65" s="319" t="s">
        <v>190</v>
      </c>
      <c r="AW65" s="319" t="s">
        <v>190</v>
      </c>
      <c r="AX65" s="319" t="s">
        <v>428</v>
      </c>
      <c r="AY65" s="319" t="s">
        <v>190</v>
      </c>
      <c r="AZ65" s="319" t="s">
        <v>190</v>
      </c>
      <c r="BA65" s="319" t="s">
        <v>190</v>
      </c>
      <c r="BB65" s="319" t="s">
        <v>428</v>
      </c>
      <c r="BC65" s="319" t="s">
        <v>428</v>
      </c>
      <c r="BD65" s="319" t="s">
        <v>428</v>
      </c>
      <c r="BE65" s="319" t="s">
        <v>428</v>
      </c>
      <c r="BF65" s="319" t="s">
        <v>190</v>
      </c>
      <c r="BG65" s="319" t="s">
        <v>428</v>
      </c>
      <c r="BH65" s="319" t="s">
        <v>190</v>
      </c>
      <c r="BI65" s="319" t="s">
        <v>190</v>
      </c>
      <c r="BJ65" s="319" t="s">
        <v>191</v>
      </c>
      <c r="BK65" s="319" t="s">
        <v>191</v>
      </c>
      <c r="BL65" s="319" t="s">
        <v>190</v>
      </c>
      <c r="BM65" s="319" t="s">
        <v>191</v>
      </c>
      <c r="BN65" s="319" t="s">
        <v>191</v>
      </c>
      <c r="BO65" s="319" t="s">
        <v>191</v>
      </c>
      <c r="BP65" s="319" t="s">
        <v>191</v>
      </c>
      <c r="BQ65" s="319" t="s">
        <v>191</v>
      </c>
      <c r="BR65" s="319" t="s">
        <v>190</v>
      </c>
      <c r="BS65" s="319" t="s">
        <v>190</v>
      </c>
      <c r="BT65" s="319" t="s">
        <v>190</v>
      </c>
      <c r="BU65" s="319" t="s">
        <v>190</v>
      </c>
      <c r="BV65" s="319" t="s">
        <v>190</v>
      </c>
      <c r="BW65" s="319" t="s">
        <v>190</v>
      </c>
      <c r="BX65" s="319" t="s">
        <v>190</v>
      </c>
      <c r="BY65" s="319" t="s">
        <v>190</v>
      </c>
      <c r="BZ65" s="319" t="s">
        <v>190</v>
      </c>
      <c r="CA65" s="319" t="s">
        <v>190</v>
      </c>
      <c r="CB65" s="319" t="s">
        <v>190</v>
      </c>
      <c r="CC65" s="319" t="s">
        <v>190</v>
      </c>
      <c r="CD65" s="319" t="s">
        <v>190</v>
      </c>
      <c r="CE65" s="319" t="s">
        <v>190</v>
      </c>
      <c r="CF65" s="319" t="s">
        <v>190</v>
      </c>
      <c r="CG65" s="319" t="s">
        <v>190</v>
      </c>
      <c r="CH65" s="319" t="s">
        <v>190</v>
      </c>
      <c r="CI65" s="319" t="s">
        <v>190</v>
      </c>
      <c r="CJ65" s="319" t="s">
        <v>190</v>
      </c>
      <c r="CK65" s="319" t="s">
        <v>190</v>
      </c>
      <c r="CL65" s="319" t="s">
        <v>190</v>
      </c>
      <c r="CM65" s="319" t="s">
        <v>190</v>
      </c>
      <c r="CN65" s="319" t="s">
        <v>428</v>
      </c>
      <c r="CO65" s="319" t="s">
        <v>428</v>
      </c>
      <c r="CP65" s="319" t="s">
        <v>428</v>
      </c>
      <c r="CQ65" s="319" t="s">
        <v>190</v>
      </c>
      <c r="CR65" s="319" t="s">
        <v>190</v>
      </c>
      <c r="CS65" s="319" t="s">
        <v>190</v>
      </c>
      <c r="CT65" s="319" t="s">
        <v>428</v>
      </c>
      <c r="CU65" s="319" t="s">
        <v>190</v>
      </c>
      <c r="CV65" s="319" t="s">
        <v>190</v>
      </c>
      <c r="CW65" s="319" t="s">
        <v>190</v>
      </c>
      <c r="CX65" s="319" t="s">
        <v>190</v>
      </c>
      <c r="CY65" s="319" t="s">
        <v>190</v>
      </c>
      <c r="CZ65" s="319" t="s">
        <v>190</v>
      </c>
      <c r="DA65" s="319" t="s">
        <v>190</v>
      </c>
      <c r="DB65" s="319" t="s">
        <v>190</v>
      </c>
      <c r="DC65" s="319" t="s">
        <v>190</v>
      </c>
      <c r="DD65" s="319" t="s">
        <v>190</v>
      </c>
      <c r="DE65" s="319" t="s">
        <v>190</v>
      </c>
      <c r="DF65" s="319" t="s">
        <v>190</v>
      </c>
      <c r="DG65" s="319" t="s">
        <v>190</v>
      </c>
      <c r="DH65" s="319" t="s">
        <v>190</v>
      </c>
      <c r="DI65" s="319" t="s">
        <v>190</v>
      </c>
      <c r="DJ65" s="319" t="s">
        <v>190</v>
      </c>
      <c r="DK65" s="319" t="s">
        <v>190</v>
      </c>
      <c r="DL65" s="319" t="s">
        <v>190</v>
      </c>
      <c r="DM65" s="319" t="s">
        <v>190</v>
      </c>
      <c r="DN65" s="319" t="s">
        <v>428</v>
      </c>
      <c r="DO65" s="319" t="s">
        <v>190</v>
      </c>
      <c r="DP65" s="319" t="s">
        <v>428</v>
      </c>
      <c r="DQ65" s="319" t="s">
        <v>428</v>
      </c>
      <c r="DR65" s="319" t="s">
        <v>428</v>
      </c>
      <c r="DS65" s="319" t="s">
        <v>428</v>
      </c>
      <c r="DT65" s="319" t="s">
        <v>428</v>
      </c>
      <c r="DU65" s="319" t="s">
        <v>428</v>
      </c>
      <c r="DV65" s="319" t="s">
        <v>173</v>
      </c>
      <c r="DW65" s="319" t="s">
        <v>428</v>
      </c>
      <c r="DX65" s="319" t="s">
        <v>428</v>
      </c>
      <c r="DY65" s="319" t="s">
        <v>428</v>
      </c>
      <c r="DZ65" s="319" t="s">
        <v>428</v>
      </c>
      <c r="EA65" s="319" t="s">
        <v>428</v>
      </c>
      <c r="EB65" s="319" t="s">
        <v>428</v>
      </c>
      <c r="EC65" s="319" t="s">
        <v>428</v>
      </c>
      <c r="ED65" s="319" t="s">
        <v>428</v>
      </c>
      <c r="EE65" s="319" t="s">
        <v>190</v>
      </c>
      <c r="EF65" s="319" t="s">
        <v>190</v>
      </c>
      <c r="EG65" s="319" t="s">
        <v>190</v>
      </c>
      <c r="EH65" s="319" t="s">
        <v>190</v>
      </c>
      <c r="EI65" s="319" t="s">
        <v>190</v>
      </c>
      <c r="EJ65" s="319" t="s">
        <v>190</v>
      </c>
      <c r="EK65" s="319" t="s">
        <v>190</v>
      </c>
      <c r="EL65" s="319" t="s">
        <v>190</v>
      </c>
      <c r="EM65" s="319" t="s">
        <v>190</v>
      </c>
      <c r="EN65" s="319" t="s">
        <v>190</v>
      </c>
      <c r="EO65" s="319" t="s">
        <v>190</v>
      </c>
      <c r="EP65" s="319" t="s">
        <v>190</v>
      </c>
      <c r="EQ65" s="319" t="s">
        <v>190</v>
      </c>
      <c r="ER65" s="319" t="s">
        <v>190</v>
      </c>
      <c r="ES65" s="319" t="s">
        <v>190</v>
      </c>
      <c r="ET65" s="319" t="s">
        <v>190</v>
      </c>
      <c r="EU65" s="319" t="s">
        <v>190</v>
      </c>
      <c r="EV65" s="319" t="s">
        <v>190</v>
      </c>
      <c r="EW65" s="319" t="s">
        <v>190</v>
      </c>
      <c r="EX65" s="319" t="s">
        <v>190</v>
      </c>
      <c r="EY65" s="319" t="s">
        <v>190</v>
      </c>
      <c r="EZ65" s="319" t="s">
        <v>190</v>
      </c>
      <c r="FA65" s="319" t="s">
        <v>190</v>
      </c>
      <c r="FB65" s="319" t="s">
        <v>428</v>
      </c>
      <c r="FC65" s="319" t="s">
        <v>428</v>
      </c>
      <c r="FD65" s="319" t="s">
        <v>428</v>
      </c>
      <c r="FE65" s="319" t="s">
        <v>428</v>
      </c>
      <c r="FF65" s="319" t="s">
        <v>428</v>
      </c>
      <c r="FG65" s="319" t="s">
        <v>428</v>
      </c>
      <c r="FH65" s="319" t="s">
        <v>190</v>
      </c>
      <c r="FI65" s="319" t="s">
        <v>190</v>
      </c>
      <c r="FJ65" s="319" t="s">
        <v>190</v>
      </c>
      <c r="FK65" s="319" t="s">
        <v>190</v>
      </c>
      <c r="FL65" s="319" t="s">
        <v>190</v>
      </c>
      <c r="FM65" s="319" t="s">
        <v>190</v>
      </c>
      <c r="FN65" s="319" t="s">
        <v>190</v>
      </c>
      <c r="FO65" s="319" t="s">
        <v>428</v>
      </c>
      <c r="FP65" s="319" t="s">
        <v>190</v>
      </c>
      <c r="FQ65" s="319" t="s">
        <v>190</v>
      </c>
      <c r="FR65" s="319" t="s">
        <v>190</v>
      </c>
      <c r="FS65" s="319" t="s">
        <v>428</v>
      </c>
      <c r="FT65" s="319" t="s">
        <v>428</v>
      </c>
      <c r="FU65" s="319" t="s">
        <v>190</v>
      </c>
      <c r="FV65" s="319" t="s">
        <v>190</v>
      </c>
      <c r="FW65" s="319" t="s">
        <v>190</v>
      </c>
      <c r="FX65" s="319" t="s">
        <v>190</v>
      </c>
      <c r="FY65" s="319" t="s">
        <v>190</v>
      </c>
      <c r="FZ65" s="319" t="s">
        <v>190</v>
      </c>
      <c r="GA65" s="319" t="s">
        <v>190</v>
      </c>
      <c r="GB65" s="319" t="s">
        <v>190</v>
      </c>
      <c r="GC65" s="319" t="s">
        <v>190</v>
      </c>
      <c r="GD65" s="319" t="s">
        <v>190</v>
      </c>
      <c r="GE65" s="319" t="s">
        <v>190</v>
      </c>
      <c r="GF65" s="319" t="s">
        <v>190</v>
      </c>
      <c r="GG65" s="319" t="s">
        <v>190</v>
      </c>
      <c r="GH65" s="319" t="s">
        <v>190</v>
      </c>
      <c r="GI65" s="319" t="s">
        <v>190</v>
      </c>
      <c r="GJ65" s="319" t="s">
        <v>190</v>
      </c>
      <c r="GK65" s="319" t="s">
        <v>428</v>
      </c>
      <c r="GL65" s="319" t="s">
        <v>190</v>
      </c>
      <c r="GM65" s="319" t="s">
        <v>190</v>
      </c>
      <c r="GN65" s="319" t="s">
        <v>190</v>
      </c>
      <c r="GO65" s="319" t="s">
        <v>190</v>
      </c>
      <c r="GP65" s="319" t="s">
        <v>190</v>
      </c>
      <c r="GQ65" s="319" t="s">
        <v>190</v>
      </c>
      <c r="GR65" s="319" t="s">
        <v>190</v>
      </c>
      <c r="GS65" s="319" t="s">
        <v>190</v>
      </c>
      <c r="GT65" s="319" t="s">
        <v>428</v>
      </c>
      <c r="GU65" s="319" t="s">
        <v>428</v>
      </c>
      <c r="GV65" s="319" t="s">
        <v>190</v>
      </c>
      <c r="GW65" s="319" t="s">
        <v>190</v>
      </c>
      <c r="GX65" s="319" t="s">
        <v>190</v>
      </c>
      <c r="GY65" s="319" t="s">
        <v>190</v>
      </c>
      <c r="GZ65" s="319" t="s">
        <v>428</v>
      </c>
      <c r="HA65" s="319" t="s">
        <v>190</v>
      </c>
      <c r="HB65" s="319" t="s">
        <v>190</v>
      </c>
      <c r="HC65" s="319" t="s">
        <v>190</v>
      </c>
      <c r="HD65" s="319" t="s">
        <v>190</v>
      </c>
      <c r="HE65" s="319" t="s">
        <v>190</v>
      </c>
      <c r="HF65" s="319" t="s">
        <v>428</v>
      </c>
      <c r="HG65" s="319" t="s">
        <v>190</v>
      </c>
      <c r="HH65" s="319" t="s">
        <v>190</v>
      </c>
      <c r="HI65" s="319" t="s">
        <v>190</v>
      </c>
      <c r="HJ65" s="319" t="s">
        <v>190</v>
      </c>
      <c r="HK65" s="319" t="s">
        <v>190</v>
      </c>
      <c r="HL65" s="319" t="s">
        <v>190</v>
      </c>
      <c r="HM65" s="319" t="s">
        <v>428</v>
      </c>
      <c r="HN65" s="319" t="s">
        <v>428</v>
      </c>
      <c r="HO65" s="319" t="s">
        <v>428</v>
      </c>
      <c r="HP65" s="319" t="s">
        <v>190</v>
      </c>
      <c r="HQ65" s="319" t="s">
        <v>190</v>
      </c>
      <c r="HR65" s="319" t="s">
        <v>190</v>
      </c>
      <c r="HS65" s="319" t="s">
        <v>190</v>
      </c>
      <c r="HT65" s="319" t="s">
        <v>190</v>
      </c>
      <c r="HU65" s="319" t="s">
        <v>190</v>
      </c>
      <c r="HV65" s="319" t="s">
        <v>190</v>
      </c>
      <c r="HW65" s="319" t="s">
        <v>190</v>
      </c>
      <c r="HX65" s="319" t="s">
        <v>190</v>
      </c>
      <c r="HY65" s="319" t="s">
        <v>190</v>
      </c>
      <c r="HZ65" s="319" t="s">
        <v>190</v>
      </c>
      <c r="IA65" s="319" t="s">
        <v>190</v>
      </c>
      <c r="IB65" s="319" t="s">
        <v>190</v>
      </c>
      <c r="IC65" s="319" t="s">
        <v>190</v>
      </c>
      <c r="ID65" s="319" t="s">
        <v>190</v>
      </c>
      <c r="IE65" s="319" t="s">
        <v>190</v>
      </c>
      <c r="IF65" s="319" t="s">
        <v>191</v>
      </c>
      <c r="IG65" s="319" t="s">
        <v>191</v>
      </c>
      <c r="IH65" s="319" t="s">
        <v>191</v>
      </c>
      <c r="II65" s="319" t="s">
        <v>190</v>
      </c>
      <c r="IJ65" s="319">
        <v>10008573</v>
      </c>
      <c r="IK65" s="321">
        <v>42927</v>
      </c>
      <c r="IL65" s="321">
        <v>42929</v>
      </c>
      <c r="IM65" s="321">
        <v>43019</v>
      </c>
      <c r="IN65" s="319">
        <v>4</v>
      </c>
      <c r="IO65" s="319">
        <v>10128280</v>
      </c>
      <c r="IP65" s="319" t="s">
        <v>985</v>
      </c>
      <c r="IQ65" s="321">
        <v>43788</v>
      </c>
      <c r="IR65" s="320" t="s">
        <v>2771</v>
      </c>
      <c r="IS65" s="322">
        <v>43807</v>
      </c>
      <c r="IT65" s="319" t="s">
        <v>165</v>
      </c>
    </row>
    <row r="66" spans="1:254" s="271" customFormat="1" x14ac:dyDescent="0.25">
      <c r="A66" s="318" t="str">
        <f>HYPERLINK("http://www.ofsted.gov.uk/inspection-reports/find-inspection-report/provider/ELS/102169 ","Ofsted School Webpage")</f>
        <v>Ofsted School Webpage</v>
      </c>
      <c r="B66" s="319">
        <v>102169</v>
      </c>
      <c r="C66" s="319">
        <v>3096067</v>
      </c>
      <c r="D66" s="319" t="s">
        <v>1297</v>
      </c>
      <c r="E66" s="319" t="s">
        <v>167</v>
      </c>
      <c r="F66" s="319" t="s">
        <v>81</v>
      </c>
      <c r="G66" s="319" t="s">
        <v>81</v>
      </c>
      <c r="H66" s="319" t="s">
        <v>81</v>
      </c>
      <c r="I66" s="319" t="s">
        <v>78</v>
      </c>
      <c r="J66" s="319" t="s">
        <v>424</v>
      </c>
      <c r="K66" s="319" t="s">
        <v>441</v>
      </c>
      <c r="L66" s="319" t="s">
        <v>441</v>
      </c>
      <c r="M66" s="319" t="s">
        <v>527</v>
      </c>
      <c r="N66" s="319" t="s">
        <v>2837</v>
      </c>
      <c r="O66" s="319" t="s">
        <v>1298</v>
      </c>
      <c r="P66" s="319">
        <v>23</v>
      </c>
      <c r="Q66" s="319" t="s">
        <v>2766</v>
      </c>
      <c r="R66" s="320">
        <v>10094402</v>
      </c>
      <c r="S66" s="321">
        <v>43592</v>
      </c>
      <c r="T66" s="321">
        <v>43594</v>
      </c>
      <c r="U66" s="321">
        <v>43632</v>
      </c>
      <c r="V66" s="319" t="s">
        <v>425</v>
      </c>
      <c r="W66" s="319" t="s">
        <v>2767</v>
      </c>
      <c r="X66" s="319">
        <v>4</v>
      </c>
      <c r="Y66" s="319" t="s">
        <v>173</v>
      </c>
      <c r="Z66" s="319" t="s">
        <v>173</v>
      </c>
      <c r="AA66" s="319" t="s">
        <v>173</v>
      </c>
      <c r="AB66" s="319">
        <v>4</v>
      </c>
      <c r="AC66" s="319" t="s">
        <v>170</v>
      </c>
      <c r="AD66" s="319">
        <v>4</v>
      </c>
      <c r="AE66" s="319" t="s">
        <v>173</v>
      </c>
      <c r="AF66" s="319" t="s">
        <v>427</v>
      </c>
      <c r="AG66" s="319" t="s">
        <v>172</v>
      </c>
      <c r="AH66" s="319" t="s">
        <v>190</v>
      </c>
      <c r="AI66" s="319" t="s">
        <v>190</v>
      </c>
      <c r="AJ66" s="319" t="s">
        <v>479</v>
      </c>
      <c r="AK66" s="319" t="s">
        <v>190</v>
      </c>
      <c r="AL66" s="319" t="s">
        <v>479</v>
      </c>
      <c r="AM66" s="319" t="s">
        <v>190</v>
      </c>
      <c r="AN66" s="319" t="s">
        <v>190</v>
      </c>
      <c r="AO66" s="319" t="s">
        <v>479</v>
      </c>
      <c r="AP66" s="319" t="s">
        <v>190</v>
      </c>
      <c r="AQ66" s="319" t="s">
        <v>190</v>
      </c>
      <c r="AR66" s="319" t="s">
        <v>190</v>
      </c>
      <c r="AS66" s="319" t="s">
        <v>190</v>
      </c>
      <c r="AT66" s="319" t="s">
        <v>190</v>
      </c>
      <c r="AU66" s="319" t="s">
        <v>190</v>
      </c>
      <c r="AV66" s="319" t="s">
        <v>190</v>
      </c>
      <c r="AW66" s="319" t="s">
        <v>190</v>
      </c>
      <c r="AX66" s="319" t="s">
        <v>428</v>
      </c>
      <c r="AY66" s="319" t="s">
        <v>190</v>
      </c>
      <c r="AZ66" s="319" t="s">
        <v>190</v>
      </c>
      <c r="BA66" s="319" t="s">
        <v>190</v>
      </c>
      <c r="BB66" s="319" t="s">
        <v>428</v>
      </c>
      <c r="BC66" s="319" t="s">
        <v>428</v>
      </c>
      <c r="BD66" s="319" t="s">
        <v>428</v>
      </c>
      <c r="BE66" s="319" t="s">
        <v>428</v>
      </c>
      <c r="BF66" s="319" t="s">
        <v>428</v>
      </c>
      <c r="BG66" s="319" t="s">
        <v>428</v>
      </c>
      <c r="BH66" s="319" t="s">
        <v>428</v>
      </c>
      <c r="BI66" s="319" t="s">
        <v>428</v>
      </c>
      <c r="BJ66" s="319" t="s">
        <v>190</v>
      </c>
      <c r="BK66" s="319" t="s">
        <v>190</v>
      </c>
      <c r="BL66" s="319" t="s">
        <v>190</v>
      </c>
      <c r="BM66" s="319" t="s">
        <v>190</v>
      </c>
      <c r="BN66" s="319" t="s">
        <v>190</v>
      </c>
      <c r="BO66" s="319" t="s">
        <v>190</v>
      </c>
      <c r="BP66" s="319" t="s">
        <v>190</v>
      </c>
      <c r="BQ66" s="319" t="s">
        <v>190</v>
      </c>
      <c r="BR66" s="319" t="s">
        <v>190</v>
      </c>
      <c r="BS66" s="319" t="s">
        <v>190</v>
      </c>
      <c r="BT66" s="319" t="s">
        <v>190</v>
      </c>
      <c r="BU66" s="319" t="s">
        <v>190</v>
      </c>
      <c r="BV66" s="319" t="s">
        <v>190</v>
      </c>
      <c r="BW66" s="319" t="s">
        <v>190</v>
      </c>
      <c r="BX66" s="319" t="s">
        <v>190</v>
      </c>
      <c r="BY66" s="319" t="s">
        <v>190</v>
      </c>
      <c r="BZ66" s="319" t="s">
        <v>190</v>
      </c>
      <c r="CA66" s="319" t="s">
        <v>190</v>
      </c>
      <c r="CB66" s="319" t="s">
        <v>190</v>
      </c>
      <c r="CC66" s="319" t="s">
        <v>190</v>
      </c>
      <c r="CD66" s="319" t="s">
        <v>190</v>
      </c>
      <c r="CE66" s="319" t="s">
        <v>190</v>
      </c>
      <c r="CF66" s="319" t="s">
        <v>190</v>
      </c>
      <c r="CG66" s="319" t="s">
        <v>190</v>
      </c>
      <c r="CH66" s="319" t="s">
        <v>190</v>
      </c>
      <c r="CI66" s="319" t="s">
        <v>190</v>
      </c>
      <c r="CJ66" s="319" t="s">
        <v>190</v>
      </c>
      <c r="CK66" s="319" t="s">
        <v>191</v>
      </c>
      <c r="CL66" s="319" t="s">
        <v>191</v>
      </c>
      <c r="CM66" s="319" t="s">
        <v>191</v>
      </c>
      <c r="CN66" s="319" t="s">
        <v>428</v>
      </c>
      <c r="CO66" s="319" t="s">
        <v>428</v>
      </c>
      <c r="CP66" s="319" t="s">
        <v>428</v>
      </c>
      <c r="CQ66" s="319" t="s">
        <v>190</v>
      </c>
      <c r="CR66" s="319" t="s">
        <v>190</v>
      </c>
      <c r="CS66" s="319" t="s">
        <v>190</v>
      </c>
      <c r="CT66" s="319" t="s">
        <v>190</v>
      </c>
      <c r="CU66" s="319" t="s">
        <v>190</v>
      </c>
      <c r="CV66" s="319" t="s">
        <v>191</v>
      </c>
      <c r="CW66" s="319" t="s">
        <v>191</v>
      </c>
      <c r="CX66" s="319" t="s">
        <v>190</v>
      </c>
      <c r="CY66" s="319" t="s">
        <v>190</v>
      </c>
      <c r="CZ66" s="319" t="s">
        <v>190</v>
      </c>
      <c r="DA66" s="319" t="s">
        <v>190</v>
      </c>
      <c r="DB66" s="319" t="s">
        <v>190</v>
      </c>
      <c r="DC66" s="319" t="s">
        <v>190</v>
      </c>
      <c r="DD66" s="319" t="s">
        <v>190</v>
      </c>
      <c r="DE66" s="319" t="s">
        <v>190</v>
      </c>
      <c r="DF66" s="319" t="s">
        <v>190</v>
      </c>
      <c r="DG66" s="319" t="s">
        <v>190</v>
      </c>
      <c r="DH66" s="319" t="s">
        <v>190</v>
      </c>
      <c r="DI66" s="319" t="s">
        <v>190</v>
      </c>
      <c r="DJ66" s="319" t="s">
        <v>190</v>
      </c>
      <c r="DK66" s="319" t="s">
        <v>190</v>
      </c>
      <c r="DL66" s="319" t="s">
        <v>190</v>
      </c>
      <c r="DM66" s="319" t="s">
        <v>190</v>
      </c>
      <c r="DN66" s="319" t="s">
        <v>428</v>
      </c>
      <c r="DO66" s="319" t="s">
        <v>190</v>
      </c>
      <c r="DP66" s="319" t="s">
        <v>428</v>
      </c>
      <c r="DQ66" s="319" t="s">
        <v>428</v>
      </c>
      <c r="DR66" s="319" t="s">
        <v>428</v>
      </c>
      <c r="DS66" s="319" t="s">
        <v>428</v>
      </c>
      <c r="DT66" s="319" t="s">
        <v>428</v>
      </c>
      <c r="DU66" s="319" t="s">
        <v>428</v>
      </c>
      <c r="DV66" s="319" t="s">
        <v>173</v>
      </c>
      <c r="DW66" s="319" t="s">
        <v>428</v>
      </c>
      <c r="DX66" s="319" t="s">
        <v>428</v>
      </c>
      <c r="DY66" s="319" t="s">
        <v>428</v>
      </c>
      <c r="DZ66" s="319" t="s">
        <v>428</v>
      </c>
      <c r="EA66" s="319" t="s">
        <v>428</v>
      </c>
      <c r="EB66" s="319" t="s">
        <v>428</v>
      </c>
      <c r="EC66" s="319" t="s">
        <v>428</v>
      </c>
      <c r="ED66" s="319" t="s">
        <v>428</v>
      </c>
      <c r="EE66" s="319" t="s">
        <v>190</v>
      </c>
      <c r="EF66" s="319" t="s">
        <v>190</v>
      </c>
      <c r="EG66" s="319" t="s">
        <v>190</v>
      </c>
      <c r="EH66" s="319" t="s">
        <v>190</v>
      </c>
      <c r="EI66" s="319" t="s">
        <v>190</v>
      </c>
      <c r="EJ66" s="319" t="s">
        <v>190</v>
      </c>
      <c r="EK66" s="319" t="s">
        <v>190</v>
      </c>
      <c r="EL66" s="319" t="s">
        <v>190</v>
      </c>
      <c r="EM66" s="319" t="s">
        <v>190</v>
      </c>
      <c r="EN66" s="319" t="s">
        <v>190</v>
      </c>
      <c r="EO66" s="319" t="s">
        <v>190</v>
      </c>
      <c r="EP66" s="319" t="s">
        <v>190</v>
      </c>
      <c r="EQ66" s="319" t="s">
        <v>190</v>
      </c>
      <c r="ER66" s="319" t="s">
        <v>190</v>
      </c>
      <c r="ES66" s="319" t="s">
        <v>190</v>
      </c>
      <c r="ET66" s="319" t="s">
        <v>190</v>
      </c>
      <c r="EU66" s="319" t="s">
        <v>190</v>
      </c>
      <c r="EV66" s="319" t="s">
        <v>190</v>
      </c>
      <c r="EW66" s="319" t="s">
        <v>190</v>
      </c>
      <c r="EX66" s="319" t="s">
        <v>190</v>
      </c>
      <c r="EY66" s="319" t="s">
        <v>190</v>
      </c>
      <c r="EZ66" s="319" t="s">
        <v>190</v>
      </c>
      <c r="FA66" s="319" t="s">
        <v>190</v>
      </c>
      <c r="FB66" s="319" t="s">
        <v>428</v>
      </c>
      <c r="FC66" s="319" t="s">
        <v>428</v>
      </c>
      <c r="FD66" s="319" t="s">
        <v>428</v>
      </c>
      <c r="FE66" s="319" t="s">
        <v>428</v>
      </c>
      <c r="FF66" s="319" t="s">
        <v>428</v>
      </c>
      <c r="FG66" s="319" t="s">
        <v>428</v>
      </c>
      <c r="FH66" s="319" t="s">
        <v>190</v>
      </c>
      <c r="FI66" s="319" t="s">
        <v>190</v>
      </c>
      <c r="FJ66" s="319" t="s">
        <v>190</v>
      </c>
      <c r="FK66" s="319" t="s">
        <v>190</v>
      </c>
      <c r="FL66" s="319" t="s">
        <v>191</v>
      </c>
      <c r="FM66" s="319" t="s">
        <v>191</v>
      </c>
      <c r="FN66" s="319" t="s">
        <v>428</v>
      </c>
      <c r="FO66" s="319" t="s">
        <v>428</v>
      </c>
      <c r="FP66" s="319" t="s">
        <v>190</v>
      </c>
      <c r="FQ66" s="319" t="s">
        <v>190</v>
      </c>
      <c r="FR66" s="319" t="s">
        <v>190</v>
      </c>
      <c r="FS66" s="319" t="s">
        <v>428</v>
      </c>
      <c r="FT66" s="319" t="s">
        <v>190</v>
      </c>
      <c r="FU66" s="319" t="s">
        <v>191</v>
      </c>
      <c r="FV66" s="319" t="s">
        <v>190</v>
      </c>
      <c r="FW66" s="319" t="s">
        <v>190</v>
      </c>
      <c r="FX66" s="319" t="s">
        <v>190</v>
      </c>
      <c r="FY66" s="319" t="s">
        <v>190</v>
      </c>
      <c r="FZ66" s="319" t="s">
        <v>191</v>
      </c>
      <c r="GA66" s="319" t="s">
        <v>190</v>
      </c>
      <c r="GB66" s="319" t="s">
        <v>191</v>
      </c>
      <c r="GC66" s="319" t="s">
        <v>190</v>
      </c>
      <c r="GD66" s="319" t="s">
        <v>191</v>
      </c>
      <c r="GE66" s="319" t="s">
        <v>190</v>
      </c>
      <c r="GF66" s="319" t="s">
        <v>190</v>
      </c>
      <c r="GG66" s="319" t="s">
        <v>190</v>
      </c>
      <c r="GH66" s="319" t="s">
        <v>190</v>
      </c>
      <c r="GI66" s="319" t="s">
        <v>190</v>
      </c>
      <c r="GJ66" s="319" t="s">
        <v>190</v>
      </c>
      <c r="GK66" s="319" t="s">
        <v>428</v>
      </c>
      <c r="GL66" s="319" t="s">
        <v>190</v>
      </c>
      <c r="GM66" s="319" t="s">
        <v>190</v>
      </c>
      <c r="GN66" s="319" t="s">
        <v>190</v>
      </c>
      <c r="GO66" s="319" t="s">
        <v>190</v>
      </c>
      <c r="GP66" s="319" t="s">
        <v>190</v>
      </c>
      <c r="GQ66" s="319" t="s">
        <v>190</v>
      </c>
      <c r="GR66" s="319" t="s">
        <v>190</v>
      </c>
      <c r="GS66" s="319" t="s">
        <v>190</v>
      </c>
      <c r="GT66" s="319" t="s">
        <v>428</v>
      </c>
      <c r="GU66" s="319" t="s">
        <v>428</v>
      </c>
      <c r="GV66" s="319" t="s">
        <v>190</v>
      </c>
      <c r="GW66" s="319" t="s">
        <v>190</v>
      </c>
      <c r="GX66" s="319" t="s">
        <v>190</v>
      </c>
      <c r="GY66" s="319" t="s">
        <v>190</v>
      </c>
      <c r="GZ66" s="319" t="s">
        <v>428</v>
      </c>
      <c r="HA66" s="319" t="s">
        <v>190</v>
      </c>
      <c r="HB66" s="319" t="s">
        <v>190</v>
      </c>
      <c r="HC66" s="319" t="s">
        <v>190</v>
      </c>
      <c r="HD66" s="319" t="s">
        <v>190</v>
      </c>
      <c r="HE66" s="319" t="s">
        <v>190</v>
      </c>
      <c r="HF66" s="319" t="s">
        <v>428</v>
      </c>
      <c r="HG66" s="319" t="s">
        <v>190</v>
      </c>
      <c r="HH66" s="319" t="s">
        <v>190</v>
      </c>
      <c r="HI66" s="319" t="s">
        <v>428</v>
      </c>
      <c r="HJ66" s="319" t="s">
        <v>190</v>
      </c>
      <c r="HK66" s="319" t="s">
        <v>190</v>
      </c>
      <c r="HL66" s="319" t="s">
        <v>190</v>
      </c>
      <c r="HM66" s="319" t="s">
        <v>428</v>
      </c>
      <c r="HN66" s="319" t="s">
        <v>428</v>
      </c>
      <c r="HO66" s="319" t="s">
        <v>428</v>
      </c>
      <c r="HP66" s="319" t="s">
        <v>190</v>
      </c>
      <c r="HQ66" s="319" t="s">
        <v>190</v>
      </c>
      <c r="HR66" s="319" t="s">
        <v>190</v>
      </c>
      <c r="HS66" s="319" t="s">
        <v>190</v>
      </c>
      <c r="HT66" s="319" t="s">
        <v>190</v>
      </c>
      <c r="HU66" s="319" t="s">
        <v>190</v>
      </c>
      <c r="HV66" s="319" t="s">
        <v>190</v>
      </c>
      <c r="HW66" s="319" t="s">
        <v>190</v>
      </c>
      <c r="HX66" s="319" t="s">
        <v>190</v>
      </c>
      <c r="HY66" s="319" t="s">
        <v>190</v>
      </c>
      <c r="HZ66" s="319" t="s">
        <v>190</v>
      </c>
      <c r="IA66" s="319" t="s">
        <v>190</v>
      </c>
      <c r="IB66" s="319" t="s">
        <v>190</v>
      </c>
      <c r="IC66" s="319" t="s">
        <v>190</v>
      </c>
      <c r="ID66" s="319" t="s">
        <v>190</v>
      </c>
      <c r="IE66" s="319" t="s">
        <v>190</v>
      </c>
      <c r="IF66" s="319" t="s">
        <v>191</v>
      </c>
      <c r="IG66" s="319" t="s">
        <v>191</v>
      </c>
      <c r="IH66" s="319" t="s">
        <v>191</v>
      </c>
      <c r="II66" s="319" t="s">
        <v>191</v>
      </c>
      <c r="IJ66" s="319" t="s">
        <v>1299</v>
      </c>
      <c r="IK66" s="321">
        <v>39359</v>
      </c>
      <c r="IL66" s="321">
        <v>39360</v>
      </c>
      <c r="IM66" s="321">
        <v>39385</v>
      </c>
      <c r="IN66" s="319">
        <v>3</v>
      </c>
      <c r="IO66" s="319">
        <v>10124416</v>
      </c>
      <c r="IP66" s="319" t="s">
        <v>985</v>
      </c>
      <c r="IQ66" s="321">
        <v>43768</v>
      </c>
      <c r="IR66" s="320" t="s">
        <v>2771</v>
      </c>
      <c r="IS66" s="322">
        <v>43795</v>
      </c>
      <c r="IT66" s="319" t="s">
        <v>165</v>
      </c>
    </row>
    <row r="67" spans="1:254" s="271" customFormat="1" x14ac:dyDescent="0.25">
      <c r="A67" s="318" t="str">
        <f>HYPERLINK("http://www.ofsted.gov.uk/inspection-reports/find-inspection-report/provider/ELS/102171 ","Ofsted School Webpage")</f>
        <v>Ofsted School Webpage</v>
      </c>
      <c r="B67" s="319">
        <v>102171</v>
      </c>
      <c r="C67" s="319">
        <v>2046399</v>
      </c>
      <c r="D67" s="319" t="s">
        <v>1300</v>
      </c>
      <c r="E67" s="319" t="s">
        <v>167</v>
      </c>
      <c r="F67" s="319" t="s">
        <v>81</v>
      </c>
      <c r="G67" s="319" t="s">
        <v>70</v>
      </c>
      <c r="H67" s="319" t="s">
        <v>70</v>
      </c>
      <c r="I67" s="319" t="s">
        <v>69</v>
      </c>
      <c r="J67" s="319" t="s">
        <v>424</v>
      </c>
      <c r="K67" s="319" t="s">
        <v>441</v>
      </c>
      <c r="L67" s="319" t="s">
        <v>441</v>
      </c>
      <c r="M67" s="319" t="s">
        <v>547</v>
      </c>
      <c r="N67" s="319" t="s">
        <v>2774</v>
      </c>
      <c r="O67" s="319" t="s">
        <v>1301</v>
      </c>
      <c r="P67" s="319">
        <v>717</v>
      </c>
      <c r="Q67" s="319" t="s">
        <v>2766</v>
      </c>
      <c r="R67" s="320">
        <v>10026279</v>
      </c>
      <c r="S67" s="321">
        <v>43277</v>
      </c>
      <c r="T67" s="321">
        <v>43279</v>
      </c>
      <c r="U67" s="321">
        <v>43493</v>
      </c>
      <c r="V67" s="319" t="s">
        <v>425</v>
      </c>
      <c r="W67" s="319" t="s">
        <v>2767</v>
      </c>
      <c r="X67" s="319">
        <v>4</v>
      </c>
      <c r="Y67" s="319" t="s">
        <v>173</v>
      </c>
      <c r="Z67" s="319" t="s">
        <v>173</v>
      </c>
      <c r="AA67" s="319" t="s">
        <v>173</v>
      </c>
      <c r="AB67" s="319">
        <v>4</v>
      </c>
      <c r="AC67" s="319" t="s">
        <v>170</v>
      </c>
      <c r="AD67" s="319">
        <v>4</v>
      </c>
      <c r="AE67" s="319" t="s">
        <v>173</v>
      </c>
      <c r="AF67" s="319" t="s">
        <v>447</v>
      </c>
      <c r="AG67" s="319" t="s">
        <v>172</v>
      </c>
      <c r="AH67" s="319" t="s">
        <v>479</v>
      </c>
      <c r="AI67" s="319" t="s">
        <v>479</v>
      </c>
      <c r="AJ67" s="319" t="s">
        <v>479</v>
      </c>
      <c r="AK67" s="319" t="s">
        <v>479</v>
      </c>
      <c r="AL67" s="319" t="s">
        <v>479</v>
      </c>
      <c r="AM67" s="319" t="s">
        <v>190</v>
      </c>
      <c r="AN67" s="319" t="s">
        <v>190</v>
      </c>
      <c r="AO67" s="319" t="s">
        <v>479</v>
      </c>
      <c r="AP67" s="319" t="s">
        <v>191</v>
      </c>
      <c r="AQ67" s="319" t="s">
        <v>191</v>
      </c>
      <c r="AR67" s="319" t="s">
        <v>191</v>
      </c>
      <c r="AS67" s="319" t="s">
        <v>191</v>
      </c>
      <c r="AT67" s="319" t="s">
        <v>190</v>
      </c>
      <c r="AU67" s="319" t="s">
        <v>191</v>
      </c>
      <c r="AV67" s="319" t="s">
        <v>191</v>
      </c>
      <c r="AW67" s="319" t="s">
        <v>190</v>
      </c>
      <c r="AX67" s="319" t="s">
        <v>428</v>
      </c>
      <c r="AY67" s="319" t="s">
        <v>191</v>
      </c>
      <c r="AZ67" s="319" t="s">
        <v>190</v>
      </c>
      <c r="BA67" s="319" t="s">
        <v>191</v>
      </c>
      <c r="BB67" s="319" t="s">
        <v>190</v>
      </c>
      <c r="BC67" s="319" t="s">
        <v>190</v>
      </c>
      <c r="BD67" s="319" t="s">
        <v>190</v>
      </c>
      <c r="BE67" s="319" t="s">
        <v>190</v>
      </c>
      <c r="BF67" s="319" t="s">
        <v>191</v>
      </c>
      <c r="BG67" s="319" t="s">
        <v>428</v>
      </c>
      <c r="BH67" s="319" t="s">
        <v>191</v>
      </c>
      <c r="BI67" s="319" t="s">
        <v>191</v>
      </c>
      <c r="BJ67" s="319" t="s">
        <v>191</v>
      </c>
      <c r="BK67" s="319" t="s">
        <v>191</v>
      </c>
      <c r="BL67" s="319" t="s">
        <v>191</v>
      </c>
      <c r="BM67" s="319" t="s">
        <v>191</v>
      </c>
      <c r="BN67" s="319" t="s">
        <v>191</v>
      </c>
      <c r="BO67" s="319" t="s">
        <v>191</v>
      </c>
      <c r="BP67" s="319" t="s">
        <v>191</v>
      </c>
      <c r="BQ67" s="319" t="s">
        <v>191</v>
      </c>
      <c r="BR67" s="319" t="s">
        <v>190</v>
      </c>
      <c r="BS67" s="319" t="s">
        <v>190</v>
      </c>
      <c r="BT67" s="319" t="s">
        <v>191</v>
      </c>
      <c r="BU67" s="319" t="s">
        <v>190</v>
      </c>
      <c r="BV67" s="319" t="s">
        <v>191</v>
      </c>
      <c r="BW67" s="319" t="s">
        <v>190</v>
      </c>
      <c r="BX67" s="319" t="s">
        <v>191</v>
      </c>
      <c r="BY67" s="319" t="s">
        <v>190</v>
      </c>
      <c r="BZ67" s="319" t="s">
        <v>190</v>
      </c>
      <c r="CA67" s="319" t="s">
        <v>190</v>
      </c>
      <c r="CB67" s="319" t="s">
        <v>190</v>
      </c>
      <c r="CC67" s="319" t="s">
        <v>191</v>
      </c>
      <c r="CD67" s="319" t="s">
        <v>191</v>
      </c>
      <c r="CE67" s="319" t="s">
        <v>190</v>
      </c>
      <c r="CF67" s="319" t="s">
        <v>190</v>
      </c>
      <c r="CG67" s="319" t="s">
        <v>190</v>
      </c>
      <c r="CH67" s="319" t="s">
        <v>190</v>
      </c>
      <c r="CI67" s="319" t="s">
        <v>190</v>
      </c>
      <c r="CJ67" s="319" t="s">
        <v>190</v>
      </c>
      <c r="CK67" s="319" t="s">
        <v>191</v>
      </c>
      <c r="CL67" s="319" t="s">
        <v>191</v>
      </c>
      <c r="CM67" s="319" t="s">
        <v>191</v>
      </c>
      <c r="CN67" s="319" t="s">
        <v>428</v>
      </c>
      <c r="CO67" s="319" t="s">
        <v>428</v>
      </c>
      <c r="CP67" s="319" t="s">
        <v>428</v>
      </c>
      <c r="CQ67" s="319" t="s">
        <v>190</v>
      </c>
      <c r="CR67" s="319" t="s">
        <v>190</v>
      </c>
      <c r="CS67" s="319" t="s">
        <v>190</v>
      </c>
      <c r="CT67" s="319" t="s">
        <v>190</v>
      </c>
      <c r="CU67" s="319" t="s">
        <v>190</v>
      </c>
      <c r="CV67" s="319" t="s">
        <v>191</v>
      </c>
      <c r="CW67" s="319" t="s">
        <v>191</v>
      </c>
      <c r="CX67" s="319" t="s">
        <v>190</v>
      </c>
      <c r="CY67" s="319" t="s">
        <v>190</v>
      </c>
      <c r="CZ67" s="319" t="s">
        <v>190</v>
      </c>
      <c r="DA67" s="319" t="s">
        <v>191</v>
      </c>
      <c r="DB67" s="319" t="s">
        <v>191</v>
      </c>
      <c r="DC67" s="319" t="s">
        <v>191</v>
      </c>
      <c r="DD67" s="319" t="s">
        <v>191</v>
      </c>
      <c r="DE67" s="319" t="s">
        <v>190</v>
      </c>
      <c r="DF67" s="319" t="s">
        <v>191</v>
      </c>
      <c r="DG67" s="319" t="s">
        <v>190</v>
      </c>
      <c r="DH67" s="319" t="s">
        <v>190</v>
      </c>
      <c r="DI67" s="319" t="s">
        <v>190</v>
      </c>
      <c r="DJ67" s="319" t="s">
        <v>190</v>
      </c>
      <c r="DK67" s="319" t="s">
        <v>190</v>
      </c>
      <c r="DL67" s="319" t="s">
        <v>190</v>
      </c>
      <c r="DM67" s="319" t="s">
        <v>190</v>
      </c>
      <c r="DN67" s="319" t="s">
        <v>428</v>
      </c>
      <c r="DO67" s="319" t="s">
        <v>190</v>
      </c>
      <c r="DP67" s="319" t="s">
        <v>190</v>
      </c>
      <c r="DQ67" s="319" t="s">
        <v>190</v>
      </c>
      <c r="DR67" s="319" t="s">
        <v>190</v>
      </c>
      <c r="DS67" s="319" t="s">
        <v>190</v>
      </c>
      <c r="DT67" s="319" t="s">
        <v>190</v>
      </c>
      <c r="DU67" s="319" t="s">
        <v>190</v>
      </c>
      <c r="DV67" s="319" t="s">
        <v>173</v>
      </c>
      <c r="DW67" s="319" t="s">
        <v>190</v>
      </c>
      <c r="DX67" s="319" t="s">
        <v>190</v>
      </c>
      <c r="DY67" s="319" t="s">
        <v>190</v>
      </c>
      <c r="DZ67" s="319" t="s">
        <v>190</v>
      </c>
      <c r="EA67" s="319" t="s">
        <v>190</v>
      </c>
      <c r="EB67" s="319" t="s">
        <v>190</v>
      </c>
      <c r="EC67" s="319" t="s">
        <v>428</v>
      </c>
      <c r="ED67" s="319" t="s">
        <v>190</v>
      </c>
      <c r="EE67" s="319" t="s">
        <v>191</v>
      </c>
      <c r="EF67" s="319" t="s">
        <v>191</v>
      </c>
      <c r="EG67" s="319" t="s">
        <v>191</v>
      </c>
      <c r="EH67" s="319" t="s">
        <v>191</v>
      </c>
      <c r="EI67" s="319" t="s">
        <v>191</v>
      </c>
      <c r="EJ67" s="319" t="s">
        <v>191</v>
      </c>
      <c r="EK67" s="319" t="s">
        <v>191</v>
      </c>
      <c r="EL67" s="319" t="s">
        <v>191</v>
      </c>
      <c r="EM67" s="319" t="s">
        <v>191</v>
      </c>
      <c r="EN67" s="319" t="s">
        <v>191</v>
      </c>
      <c r="EO67" s="319" t="s">
        <v>191</v>
      </c>
      <c r="EP67" s="319" t="s">
        <v>191</v>
      </c>
      <c r="EQ67" s="319" t="s">
        <v>191</v>
      </c>
      <c r="ER67" s="319" t="s">
        <v>191</v>
      </c>
      <c r="ES67" s="319" t="s">
        <v>191</v>
      </c>
      <c r="ET67" s="319" t="s">
        <v>191</v>
      </c>
      <c r="EU67" s="319" t="s">
        <v>190</v>
      </c>
      <c r="EV67" s="319" t="s">
        <v>191</v>
      </c>
      <c r="EW67" s="319" t="s">
        <v>191</v>
      </c>
      <c r="EX67" s="319" t="s">
        <v>191</v>
      </c>
      <c r="EY67" s="319" t="s">
        <v>191</v>
      </c>
      <c r="EZ67" s="319" t="s">
        <v>191</v>
      </c>
      <c r="FA67" s="319" t="s">
        <v>191</v>
      </c>
      <c r="FB67" s="319" t="s">
        <v>190</v>
      </c>
      <c r="FC67" s="319" t="s">
        <v>190</v>
      </c>
      <c r="FD67" s="319" t="s">
        <v>190</v>
      </c>
      <c r="FE67" s="319" t="s">
        <v>190</v>
      </c>
      <c r="FF67" s="319" t="s">
        <v>190</v>
      </c>
      <c r="FG67" s="319" t="s">
        <v>190</v>
      </c>
      <c r="FH67" s="319" t="s">
        <v>191</v>
      </c>
      <c r="FI67" s="319" t="s">
        <v>191</v>
      </c>
      <c r="FJ67" s="319" t="s">
        <v>191</v>
      </c>
      <c r="FK67" s="319" t="s">
        <v>191</v>
      </c>
      <c r="FL67" s="319" t="s">
        <v>190</v>
      </c>
      <c r="FM67" s="319" t="s">
        <v>190</v>
      </c>
      <c r="FN67" s="319" t="s">
        <v>428</v>
      </c>
      <c r="FO67" s="319" t="s">
        <v>190</v>
      </c>
      <c r="FP67" s="319" t="s">
        <v>190</v>
      </c>
      <c r="FQ67" s="319" t="s">
        <v>190</v>
      </c>
      <c r="FR67" s="319" t="s">
        <v>190</v>
      </c>
      <c r="FS67" s="319" t="s">
        <v>428</v>
      </c>
      <c r="FT67" s="319" t="s">
        <v>190</v>
      </c>
      <c r="FU67" s="319" t="s">
        <v>191</v>
      </c>
      <c r="FV67" s="319" t="s">
        <v>190</v>
      </c>
      <c r="FW67" s="319" t="s">
        <v>190</v>
      </c>
      <c r="FX67" s="319" t="s">
        <v>190</v>
      </c>
      <c r="FY67" s="319" t="s">
        <v>190</v>
      </c>
      <c r="FZ67" s="319" t="s">
        <v>190</v>
      </c>
      <c r="GA67" s="319" t="s">
        <v>190</v>
      </c>
      <c r="GB67" s="319" t="s">
        <v>190</v>
      </c>
      <c r="GC67" s="319" t="s">
        <v>190</v>
      </c>
      <c r="GD67" s="319" t="s">
        <v>190</v>
      </c>
      <c r="GE67" s="319" t="s">
        <v>190</v>
      </c>
      <c r="GF67" s="319" t="s">
        <v>190</v>
      </c>
      <c r="GG67" s="319" t="s">
        <v>190</v>
      </c>
      <c r="GH67" s="319" t="s">
        <v>190</v>
      </c>
      <c r="GI67" s="319" t="s">
        <v>190</v>
      </c>
      <c r="GJ67" s="319" t="s">
        <v>190</v>
      </c>
      <c r="GK67" s="319" t="s">
        <v>428</v>
      </c>
      <c r="GL67" s="319" t="s">
        <v>190</v>
      </c>
      <c r="GM67" s="319" t="s">
        <v>190</v>
      </c>
      <c r="GN67" s="319" t="s">
        <v>190</v>
      </c>
      <c r="GO67" s="319" t="s">
        <v>190</v>
      </c>
      <c r="GP67" s="319" t="s">
        <v>190</v>
      </c>
      <c r="GQ67" s="319" t="s">
        <v>428</v>
      </c>
      <c r="GR67" s="319" t="s">
        <v>190</v>
      </c>
      <c r="GS67" s="319" t="s">
        <v>190</v>
      </c>
      <c r="GT67" s="319" t="s">
        <v>190</v>
      </c>
      <c r="GU67" s="319" t="s">
        <v>190</v>
      </c>
      <c r="GV67" s="319" t="s">
        <v>190</v>
      </c>
      <c r="GW67" s="319" t="s">
        <v>190</v>
      </c>
      <c r="GX67" s="319" t="s">
        <v>190</v>
      </c>
      <c r="GY67" s="319" t="s">
        <v>190</v>
      </c>
      <c r="GZ67" s="319" t="s">
        <v>428</v>
      </c>
      <c r="HA67" s="319" t="s">
        <v>190</v>
      </c>
      <c r="HB67" s="319" t="s">
        <v>190</v>
      </c>
      <c r="HC67" s="319" t="s">
        <v>190</v>
      </c>
      <c r="HD67" s="319" t="s">
        <v>190</v>
      </c>
      <c r="HE67" s="319" t="s">
        <v>190</v>
      </c>
      <c r="HF67" s="319" t="s">
        <v>190</v>
      </c>
      <c r="HG67" s="319" t="s">
        <v>190</v>
      </c>
      <c r="HH67" s="319" t="s">
        <v>190</v>
      </c>
      <c r="HI67" s="319" t="s">
        <v>190</v>
      </c>
      <c r="HJ67" s="319" t="s">
        <v>190</v>
      </c>
      <c r="HK67" s="319" t="s">
        <v>190</v>
      </c>
      <c r="HL67" s="319" t="s">
        <v>428</v>
      </c>
      <c r="HM67" s="319" t="s">
        <v>428</v>
      </c>
      <c r="HN67" s="319" t="s">
        <v>428</v>
      </c>
      <c r="HO67" s="319" t="s">
        <v>428</v>
      </c>
      <c r="HP67" s="319" t="s">
        <v>190</v>
      </c>
      <c r="HQ67" s="319" t="s">
        <v>190</v>
      </c>
      <c r="HR67" s="319" t="s">
        <v>190</v>
      </c>
      <c r="HS67" s="319" t="s">
        <v>190</v>
      </c>
      <c r="HT67" s="319" t="s">
        <v>190</v>
      </c>
      <c r="HU67" s="319" t="s">
        <v>190</v>
      </c>
      <c r="HV67" s="319" t="s">
        <v>190</v>
      </c>
      <c r="HW67" s="319" t="s">
        <v>190</v>
      </c>
      <c r="HX67" s="319" t="s">
        <v>190</v>
      </c>
      <c r="HY67" s="319" t="s">
        <v>190</v>
      </c>
      <c r="HZ67" s="319" t="s">
        <v>190</v>
      </c>
      <c r="IA67" s="319" t="s">
        <v>190</v>
      </c>
      <c r="IB67" s="319" t="s">
        <v>190</v>
      </c>
      <c r="IC67" s="319" t="s">
        <v>190</v>
      </c>
      <c r="ID67" s="319" t="s">
        <v>190</v>
      </c>
      <c r="IE67" s="319" t="s">
        <v>190</v>
      </c>
      <c r="IF67" s="319" t="s">
        <v>191</v>
      </c>
      <c r="IG67" s="319" t="s">
        <v>191</v>
      </c>
      <c r="IH67" s="319" t="s">
        <v>191</v>
      </c>
      <c r="II67" s="319" t="s">
        <v>191</v>
      </c>
      <c r="IJ67" s="319" t="s">
        <v>2842</v>
      </c>
      <c r="IK67" s="321">
        <v>40605</v>
      </c>
      <c r="IL67" s="321">
        <v>40605</v>
      </c>
      <c r="IM67" s="321">
        <v>40634</v>
      </c>
      <c r="IN67" s="319">
        <v>1</v>
      </c>
      <c r="IO67" s="319">
        <v>10093501</v>
      </c>
      <c r="IP67" s="319" t="s">
        <v>985</v>
      </c>
      <c r="IQ67" s="321">
        <v>43557</v>
      </c>
      <c r="IR67" s="320" t="s">
        <v>1223</v>
      </c>
      <c r="IS67" s="322">
        <v>43684</v>
      </c>
      <c r="IT67" s="319" t="s">
        <v>166</v>
      </c>
    </row>
    <row r="68" spans="1:254" s="271" customFormat="1" x14ac:dyDescent="0.25">
      <c r="A68" s="318" t="str">
        <f>HYPERLINK("http://www.ofsted.gov.uk/inspection-reports/find-inspection-report/provider/ELS/102357 ","Ofsted School Webpage")</f>
        <v>Ofsted School Webpage</v>
      </c>
      <c r="B68" s="319">
        <v>102357</v>
      </c>
      <c r="C68" s="319">
        <v>3116054</v>
      </c>
      <c r="D68" s="319" t="s">
        <v>1302</v>
      </c>
      <c r="E68" s="319" t="s">
        <v>167</v>
      </c>
      <c r="F68" s="319" t="s">
        <v>81</v>
      </c>
      <c r="G68" s="319" t="s">
        <v>67</v>
      </c>
      <c r="H68" s="319" t="s">
        <v>67</v>
      </c>
      <c r="I68" s="319" t="s">
        <v>59</v>
      </c>
      <c r="J68" s="319" t="s">
        <v>424</v>
      </c>
      <c r="K68" s="319" t="s">
        <v>441</v>
      </c>
      <c r="L68" s="319" t="s">
        <v>441</v>
      </c>
      <c r="M68" s="319" t="s">
        <v>635</v>
      </c>
      <c r="N68" s="319" t="s">
        <v>2843</v>
      </c>
      <c r="O68" s="319" t="s">
        <v>1303</v>
      </c>
      <c r="P68" s="319">
        <v>176</v>
      </c>
      <c r="Q68" s="319" t="s">
        <v>2766</v>
      </c>
      <c r="R68" s="320">
        <v>10048715</v>
      </c>
      <c r="S68" s="321">
        <v>43256</v>
      </c>
      <c r="T68" s="321">
        <v>43258</v>
      </c>
      <c r="U68" s="321">
        <v>43308</v>
      </c>
      <c r="V68" s="319" t="s">
        <v>425</v>
      </c>
      <c r="W68" s="319" t="s">
        <v>2767</v>
      </c>
      <c r="X68" s="319">
        <v>2</v>
      </c>
      <c r="Y68" s="319" t="s">
        <v>173</v>
      </c>
      <c r="Z68" s="319" t="s">
        <v>173</v>
      </c>
      <c r="AA68" s="319" t="s">
        <v>173</v>
      </c>
      <c r="AB68" s="319">
        <v>2</v>
      </c>
      <c r="AC68" s="319" t="s">
        <v>169</v>
      </c>
      <c r="AD68" s="319">
        <v>2</v>
      </c>
      <c r="AE68" s="319" t="s">
        <v>173</v>
      </c>
      <c r="AF68" s="319" t="s">
        <v>427</v>
      </c>
      <c r="AG68" s="319" t="s">
        <v>171</v>
      </c>
      <c r="AH68" s="319" t="s">
        <v>190</v>
      </c>
      <c r="AI68" s="319" t="s">
        <v>190</v>
      </c>
      <c r="AJ68" s="319" t="s">
        <v>190</v>
      </c>
      <c r="AK68" s="319" t="s">
        <v>190</v>
      </c>
      <c r="AL68" s="319" t="s">
        <v>190</v>
      </c>
      <c r="AM68" s="319" t="s">
        <v>190</v>
      </c>
      <c r="AN68" s="319" t="s">
        <v>190</v>
      </c>
      <c r="AO68" s="319" t="s">
        <v>190</v>
      </c>
      <c r="AP68" s="319" t="s">
        <v>190</v>
      </c>
      <c r="AQ68" s="319" t="s">
        <v>190</v>
      </c>
      <c r="AR68" s="319" t="s">
        <v>190</v>
      </c>
      <c r="AS68" s="319" t="s">
        <v>190</v>
      </c>
      <c r="AT68" s="319" t="s">
        <v>190</v>
      </c>
      <c r="AU68" s="319" t="s">
        <v>190</v>
      </c>
      <c r="AV68" s="319" t="s">
        <v>190</v>
      </c>
      <c r="AW68" s="319" t="s">
        <v>190</v>
      </c>
      <c r="AX68" s="319" t="s">
        <v>428</v>
      </c>
      <c r="AY68" s="319" t="s">
        <v>190</v>
      </c>
      <c r="AZ68" s="319" t="s">
        <v>190</v>
      </c>
      <c r="BA68" s="319" t="s">
        <v>190</v>
      </c>
      <c r="BB68" s="319" t="s">
        <v>428</v>
      </c>
      <c r="BC68" s="319" t="s">
        <v>428</v>
      </c>
      <c r="BD68" s="319" t="s">
        <v>428</v>
      </c>
      <c r="BE68" s="319" t="s">
        <v>190</v>
      </c>
      <c r="BF68" s="319" t="s">
        <v>190</v>
      </c>
      <c r="BG68" s="319" t="s">
        <v>428</v>
      </c>
      <c r="BH68" s="319" t="s">
        <v>190</v>
      </c>
      <c r="BI68" s="319" t="s">
        <v>190</v>
      </c>
      <c r="BJ68" s="319" t="s">
        <v>190</v>
      </c>
      <c r="BK68" s="319" t="s">
        <v>190</v>
      </c>
      <c r="BL68" s="319" t="s">
        <v>190</v>
      </c>
      <c r="BM68" s="319" t="s">
        <v>190</v>
      </c>
      <c r="BN68" s="319" t="s">
        <v>190</v>
      </c>
      <c r="BO68" s="319" t="s">
        <v>190</v>
      </c>
      <c r="BP68" s="319" t="s">
        <v>190</v>
      </c>
      <c r="BQ68" s="319" t="s">
        <v>190</v>
      </c>
      <c r="BR68" s="319" t="s">
        <v>190</v>
      </c>
      <c r="BS68" s="319" t="s">
        <v>190</v>
      </c>
      <c r="BT68" s="319" t="s">
        <v>190</v>
      </c>
      <c r="BU68" s="319" t="s">
        <v>190</v>
      </c>
      <c r="BV68" s="319" t="s">
        <v>190</v>
      </c>
      <c r="BW68" s="319" t="s">
        <v>190</v>
      </c>
      <c r="BX68" s="319" t="s">
        <v>190</v>
      </c>
      <c r="BY68" s="319" t="s">
        <v>190</v>
      </c>
      <c r="BZ68" s="319" t="s">
        <v>190</v>
      </c>
      <c r="CA68" s="319" t="s">
        <v>190</v>
      </c>
      <c r="CB68" s="319" t="s">
        <v>190</v>
      </c>
      <c r="CC68" s="319" t="s">
        <v>190</v>
      </c>
      <c r="CD68" s="319" t="s">
        <v>190</v>
      </c>
      <c r="CE68" s="319" t="s">
        <v>190</v>
      </c>
      <c r="CF68" s="319" t="s">
        <v>190</v>
      </c>
      <c r="CG68" s="319" t="s">
        <v>190</v>
      </c>
      <c r="CH68" s="319" t="s">
        <v>190</v>
      </c>
      <c r="CI68" s="319" t="s">
        <v>190</v>
      </c>
      <c r="CJ68" s="319" t="s">
        <v>190</v>
      </c>
      <c r="CK68" s="319" t="s">
        <v>190</v>
      </c>
      <c r="CL68" s="319" t="s">
        <v>190</v>
      </c>
      <c r="CM68" s="319" t="s">
        <v>190</v>
      </c>
      <c r="CN68" s="319" t="s">
        <v>428</v>
      </c>
      <c r="CO68" s="319" t="s">
        <v>428</v>
      </c>
      <c r="CP68" s="319" t="s">
        <v>428</v>
      </c>
      <c r="CQ68" s="319" t="s">
        <v>190</v>
      </c>
      <c r="CR68" s="319" t="s">
        <v>190</v>
      </c>
      <c r="CS68" s="319" t="s">
        <v>190</v>
      </c>
      <c r="CT68" s="319" t="s">
        <v>190</v>
      </c>
      <c r="CU68" s="319" t="s">
        <v>190</v>
      </c>
      <c r="CV68" s="319" t="s">
        <v>190</v>
      </c>
      <c r="CW68" s="319" t="s">
        <v>190</v>
      </c>
      <c r="CX68" s="319" t="s">
        <v>190</v>
      </c>
      <c r="CY68" s="319" t="s">
        <v>190</v>
      </c>
      <c r="CZ68" s="319" t="s">
        <v>190</v>
      </c>
      <c r="DA68" s="319" t="s">
        <v>190</v>
      </c>
      <c r="DB68" s="319" t="s">
        <v>190</v>
      </c>
      <c r="DC68" s="319" t="s">
        <v>190</v>
      </c>
      <c r="DD68" s="319" t="s">
        <v>190</v>
      </c>
      <c r="DE68" s="319" t="s">
        <v>190</v>
      </c>
      <c r="DF68" s="319" t="s">
        <v>190</v>
      </c>
      <c r="DG68" s="319" t="s">
        <v>190</v>
      </c>
      <c r="DH68" s="319" t="s">
        <v>190</v>
      </c>
      <c r="DI68" s="319" t="s">
        <v>190</v>
      </c>
      <c r="DJ68" s="319" t="s">
        <v>190</v>
      </c>
      <c r="DK68" s="319" t="s">
        <v>190</v>
      </c>
      <c r="DL68" s="319" t="s">
        <v>190</v>
      </c>
      <c r="DM68" s="319" t="s">
        <v>428</v>
      </c>
      <c r="DN68" s="319" t="s">
        <v>428</v>
      </c>
      <c r="DO68" s="319" t="s">
        <v>190</v>
      </c>
      <c r="DP68" s="319" t="s">
        <v>428</v>
      </c>
      <c r="DQ68" s="319" t="s">
        <v>428</v>
      </c>
      <c r="DR68" s="319" t="s">
        <v>428</v>
      </c>
      <c r="DS68" s="319" t="s">
        <v>428</v>
      </c>
      <c r="DT68" s="319" t="s">
        <v>428</v>
      </c>
      <c r="DU68" s="319" t="s">
        <v>428</v>
      </c>
      <c r="DV68" s="319" t="s">
        <v>173</v>
      </c>
      <c r="DW68" s="319" t="s">
        <v>428</v>
      </c>
      <c r="DX68" s="319" t="s">
        <v>428</v>
      </c>
      <c r="DY68" s="319" t="s">
        <v>428</v>
      </c>
      <c r="DZ68" s="319" t="s">
        <v>428</v>
      </c>
      <c r="EA68" s="319" t="s">
        <v>428</v>
      </c>
      <c r="EB68" s="319" t="s">
        <v>428</v>
      </c>
      <c r="EC68" s="319" t="s">
        <v>428</v>
      </c>
      <c r="ED68" s="319" t="s">
        <v>428</v>
      </c>
      <c r="EE68" s="319" t="s">
        <v>190</v>
      </c>
      <c r="EF68" s="319" t="s">
        <v>190</v>
      </c>
      <c r="EG68" s="319" t="s">
        <v>190</v>
      </c>
      <c r="EH68" s="319" t="s">
        <v>190</v>
      </c>
      <c r="EI68" s="319" t="s">
        <v>190</v>
      </c>
      <c r="EJ68" s="319" t="s">
        <v>190</v>
      </c>
      <c r="EK68" s="319" t="s">
        <v>428</v>
      </c>
      <c r="EL68" s="319" t="s">
        <v>428</v>
      </c>
      <c r="EM68" s="319" t="s">
        <v>428</v>
      </c>
      <c r="EN68" s="319" t="s">
        <v>190</v>
      </c>
      <c r="EO68" s="319" t="s">
        <v>190</v>
      </c>
      <c r="EP68" s="319" t="s">
        <v>190</v>
      </c>
      <c r="EQ68" s="319" t="s">
        <v>190</v>
      </c>
      <c r="ER68" s="319" t="s">
        <v>190</v>
      </c>
      <c r="ES68" s="319" t="s">
        <v>190</v>
      </c>
      <c r="ET68" s="319" t="s">
        <v>190</v>
      </c>
      <c r="EU68" s="319" t="s">
        <v>190</v>
      </c>
      <c r="EV68" s="319" t="s">
        <v>190</v>
      </c>
      <c r="EW68" s="319" t="s">
        <v>190</v>
      </c>
      <c r="EX68" s="319" t="s">
        <v>190</v>
      </c>
      <c r="EY68" s="319" t="s">
        <v>190</v>
      </c>
      <c r="EZ68" s="319" t="s">
        <v>190</v>
      </c>
      <c r="FA68" s="319" t="s">
        <v>190</v>
      </c>
      <c r="FB68" s="319" t="s">
        <v>428</v>
      </c>
      <c r="FC68" s="319" t="s">
        <v>428</v>
      </c>
      <c r="FD68" s="319" t="s">
        <v>428</v>
      </c>
      <c r="FE68" s="319" t="s">
        <v>428</v>
      </c>
      <c r="FF68" s="319" t="s">
        <v>428</v>
      </c>
      <c r="FG68" s="319" t="s">
        <v>428</v>
      </c>
      <c r="FH68" s="319" t="s">
        <v>190</v>
      </c>
      <c r="FI68" s="319" t="s">
        <v>190</v>
      </c>
      <c r="FJ68" s="319" t="s">
        <v>190</v>
      </c>
      <c r="FK68" s="319" t="s">
        <v>190</v>
      </c>
      <c r="FL68" s="319" t="s">
        <v>190</v>
      </c>
      <c r="FM68" s="319" t="s">
        <v>190</v>
      </c>
      <c r="FN68" s="319" t="s">
        <v>190</v>
      </c>
      <c r="FO68" s="319" t="s">
        <v>428</v>
      </c>
      <c r="FP68" s="319" t="s">
        <v>190</v>
      </c>
      <c r="FQ68" s="319" t="s">
        <v>190</v>
      </c>
      <c r="FR68" s="319" t="s">
        <v>190</v>
      </c>
      <c r="FS68" s="319" t="s">
        <v>190</v>
      </c>
      <c r="FT68" s="319" t="s">
        <v>428</v>
      </c>
      <c r="FU68" s="319" t="s">
        <v>190</v>
      </c>
      <c r="FV68" s="319" t="s">
        <v>190</v>
      </c>
      <c r="FW68" s="319" t="s">
        <v>190</v>
      </c>
      <c r="FX68" s="319" t="s">
        <v>190</v>
      </c>
      <c r="FY68" s="319" t="s">
        <v>190</v>
      </c>
      <c r="FZ68" s="319" t="s">
        <v>190</v>
      </c>
      <c r="GA68" s="319" t="s">
        <v>190</v>
      </c>
      <c r="GB68" s="319" t="s">
        <v>190</v>
      </c>
      <c r="GC68" s="319" t="s">
        <v>190</v>
      </c>
      <c r="GD68" s="319" t="s">
        <v>190</v>
      </c>
      <c r="GE68" s="319" t="s">
        <v>190</v>
      </c>
      <c r="GF68" s="319" t="s">
        <v>190</v>
      </c>
      <c r="GG68" s="319" t="s">
        <v>190</v>
      </c>
      <c r="GH68" s="319" t="s">
        <v>190</v>
      </c>
      <c r="GI68" s="319" t="s">
        <v>190</v>
      </c>
      <c r="GJ68" s="319" t="s">
        <v>190</v>
      </c>
      <c r="GK68" s="319" t="s">
        <v>190</v>
      </c>
      <c r="GL68" s="319" t="s">
        <v>190</v>
      </c>
      <c r="GM68" s="319" t="s">
        <v>190</v>
      </c>
      <c r="GN68" s="319" t="s">
        <v>190</v>
      </c>
      <c r="GO68" s="319" t="s">
        <v>190</v>
      </c>
      <c r="GP68" s="319" t="s">
        <v>190</v>
      </c>
      <c r="GQ68" s="319" t="s">
        <v>428</v>
      </c>
      <c r="GR68" s="319" t="s">
        <v>190</v>
      </c>
      <c r="GS68" s="319" t="s">
        <v>190</v>
      </c>
      <c r="GT68" s="319" t="s">
        <v>428</v>
      </c>
      <c r="GU68" s="319" t="s">
        <v>428</v>
      </c>
      <c r="GV68" s="319" t="s">
        <v>190</v>
      </c>
      <c r="GW68" s="319" t="s">
        <v>190</v>
      </c>
      <c r="GX68" s="319" t="s">
        <v>190</v>
      </c>
      <c r="GY68" s="319" t="s">
        <v>190</v>
      </c>
      <c r="GZ68" s="319" t="s">
        <v>190</v>
      </c>
      <c r="HA68" s="319" t="s">
        <v>190</v>
      </c>
      <c r="HB68" s="319" t="s">
        <v>190</v>
      </c>
      <c r="HC68" s="319" t="s">
        <v>190</v>
      </c>
      <c r="HD68" s="319" t="s">
        <v>190</v>
      </c>
      <c r="HE68" s="319" t="s">
        <v>190</v>
      </c>
      <c r="HF68" s="319" t="s">
        <v>190</v>
      </c>
      <c r="HG68" s="319" t="s">
        <v>190</v>
      </c>
      <c r="HH68" s="319" t="s">
        <v>190</v>
      </c>
      <c r="HI68" s="319" t="s">
        <v>190</v>
      </c>
      <c r="HJ68" s="319" t="s">
        <v>190</v>
      </c>
      <c r="HK68" s="319" t="s">
        <v>190</v>
      </c>
      <c r="HL68" s="319" t="s">
        <v>428</v>
      </c>
      <c r="HM68" s="319" t="s">
        <v>428</v>
      </c>
      <c r="HN68" s="319" t="s">
        <v>428</v>
      </c>
      <c r="HO68" s="319" t="s">
        <v>428</v>
      </c>
      <c r="HP68" s="319" t="s">
        <v>190</v>
      </c>
      <c r="HQ68" s="319" t="s">
        <v>190</v>
      </c>
      <c r="HR68" s="319" t="s">
        <v>190</v>
      </c>
      <c r="HS68" s="319" t="s">
        <v>190</v>
      </c>
      <c r="HT68" s="319" t="s">
        <v>190</v>
      </c>
      <c r="HU68" s="319" t="s">
        <v>190</v>
      </c>
      <c r="HV68" s="319" t="s">
        <v>190</v>
      </c>
      <c r="HW68" s="319" t="s">
        <v>190</v>
      </c>
      <c r="HX68" s="319" t="s">
        <v>190</v>
      </c>
      <c r="HY68" s="319" t="s">
        <v>190</v>
      </c>
      <c r="HZ68" s="319" t="s">
        <v>190</v>
      </c>
      <c r="IA68" s="319" t="s">
        <v>190</v>
      </c>
      <c r="IB68" s="319" t="s">
        <v>190</v>
      </c>
      <c r="IC68" s="319" t="s">
        <v>190</v>
      </c>
      <c r="ID68" s="319" t="s">
        <v>190</v>
      </c>
      <c r="IE68" s="319" t="s">
        <v>190</v>
      </c>
      <c r="IF68" s="319" t="s">
        <v>190</v>
      </c>
      <c r="IG68" s="319" t="s">
        <v>190</v>
      </c>
      <c r="IH68" s="319" t="s">
        <v>190</v>
      </c>
      <c r="II68" s="319" t="s">
        <v>190</v>
      </c>
      <c r="IJ68" s="319" t="s">
        <v>2844</v>
      </c>
      <c r="IK68" s="321">
        <v>42163</v>
      </c>
      <c r="IL68" s="321">
        <v>42165</v>
      </c>
      <c r="IM68" s="321">
        <v>42200</v>
      </c>
      <c r="IN68" s="319">
        <v>1</v>
      </c>
      <c r="IO68" s="319" t="s">
        <v>173</v>
      </c>
      <c r="IP68" s="319" t="s">
        <v>173</v>
      </c>
      <c r="IQ68" s="321" t="s">
        <v>173</v>
      </c>
      <c r="IR68" s="320" t="s">
        <v>173</v>
      </c>
      <c r="IS68" s="322" t="s">
        <v>173</v>
      </c>
      <c r="IT68" s="319" t="s">
        <v>173</v>
      </c>
    </row>
    <row r="69" spans="1:254" s="271" customFormat="1" x14ac:dyDescent="0.25">
      <c r="A69" s="318" t="str">
        <f>HYPERLINK("http://www.ofsted.gov.uk/inspection-reports/find-inspection-report/provider/ELS/102455 ","Ofsted School Webpage")</f>
        <v>Ofsted School Webpage</v>
      </c>
      <c r="B69" s="319">
        <v>102455</v>
      </c>
      <c r="C69" s="319">
        <v>3126054</v>
      </c>
      <c r="D69" s="319" t="s">
        <v>1035</v>
      </c>
      <c r="E69" s="319" t="s">
        <v>167</v>
      </c>
      <c r="F69" s="319" t="s">
        <v>81</v>
      </c>
      <c r="G69" s="319" t="s">
        <v>59</v>
      </c>
      <c r="H69" s="319" t="s">
        <v>59</v>
      </c>
      <c r="I69" s="319" t="s">
        <v>59</v>
      </c>
      <c r="J69" s="319" t="s">
        <v>424</v>
      </c>
      <c r="K69" s="319" t="s">
        <v>441</v>
      </c>
      <c r="L69" s="319" t="s">
        <v>441</v>
      </c>
      <c r="M69" s="319" t="s">
        <v>1036</v>
      </c>
      <c r="N69" s="319" t="s">
        <v>2845</v>
      </c>
      <c r="O69" s="319" t="s">
        <v>1037</v>
      </c>
      <c r="P69" s="319">
        <v>64</v>
      </c>
      <c r="Q69" s="319" t="s">
        <v>2766</v>
      </c>
      <c r="R69" s="320">
        <v>10092453</v>
      </c>
      <c r="S69" s="321">
        <v>43550</v>
      </c>
      <c r="T69" s="321">
        <v>43552</v>
      </c>
      <c r="U69" s="321">
        <v>43593</v>
      </c>
      <c r="V69" s="319" t="s">
        <v>425</v>
      </c>
      <c r="W69" s="319" t="s">
        <v>2767</v>
      </c>
      <c r="X69" s="319">
        <v>1</v>
      </c>
      <c r="Y69" s="319" t="s">
        <v>173</v>
      </c>
      <c r="Z69" s="319" t="s">
        <v>173</v>
      </c>
      <c r="AA69" s="319" t="s">
        <v>173</v>
      </c>
      <c r="AB69" s="319">
        <v>1</v>
      </c>
      <c r="AC69" s="319" t="s">
        <v>169</v>
      </c>
      <c r="AD69" s="319">
        <v>1</v>
      </c>
      <c r="AE69" s="319" t="s">
        <v>173</v>
      </c>
      <c r="AF69" s="319" t="s">
        <v>427</v>
      </c>
      <c r="AG69" s="319" t="s">
        <v>171</v>
      </c>
      <c r="AH69" s="319" t="s">
        <v>190</v>
      </c>
      <c r="AI69" s="319" t="s">
        <v>190</v>
      </c>
      <c r="AJ69" s="319" t="s">
        <v>190</v>
      </c>
      <c r="AK69" s="319" t="s">
        <v>190</v>
      </c>
      <c r="AL69" s="319" t="s">
        <v>190</v>
      </c>
      <c r="AM69" s="319" t="s">
        <v>190</v>
      </c>
      <c r="AN69" s="319" t="s">
        <v>190</v>
      </c>
      <c r="AO69" s="319" t="s">
        <v>190</v>
      </c>
      <c r="AP69" s="319" t="s">
        <v>190</v>
      </c>
      <c r="AQ69" s="319" t="s">
        <v>190</v>
      </c>
      <c r="AR69" s="319" t="s">
        <v>190</v>
      </c>
      <c r="AS69" s="319" t="s">
        <v>190</v>
      </c>
      <c r="AT69" s="319" t="s">
        <v>190</v>
      </c>
      <c r="AU69" s="319" t="s">
        <v>190</v>
      </c>
      <c r="AV69" s="319" t="s">
        <v>190</v>
      </c>
      <c r="AW69" s="319" t="s">
        <v>190</v>
      </c>
      <c r="AX69" s="319" t="s">
        <v>428</v>
      </c>
      <c r="AY69" s="319" t="s">
        <v>190</v>
      </c>
      <c r="AZ69" s="319" t="s">
        <v>190</v>
      </c>
      <c r="BA69" s="319" t="s">
        <v>190</v>
      </c>
      <c r="BB69" s="319" t="s">
        <v>428</v>
      </c>
      <c r="BC69" s="319" t="s">
        <v>428</v>
      </c>
      <c r="BD69" s="319" t="s">
        <v>428</v>
      </c>
      <c r="BE69" s="319" t="s">
        <v>428</v>
      </c>
      <c r="BF69" s="319" t="s">
        <v>190</v>
      </c>
      <c r="BG69" s="319" t="s">
        <v>428</v>
      </c>
      <c r="BH69" s="319" t="s">
        <v>190</v>
      </c>
      <c r="BI69" s="319" t="s">
        <v>190</v>
      </c>
      <c r="BJ69" s="319" t="s">
        <v>190</v>
      </c>
      <c r="BK69" s="319" t="s">
        <v>190</v>
      </c>
      <c r="BL69" s="319" t="s">
        <v>190</v>
      </c>
      <c r="BM69" s="319" t="s">
        <v>190</v>
      </c>
      <c r="BN69" s="319" t="s">
        <v>190</v>
      </c>
      <c r="BO69" s="319" t="s">
        <v>190</v>
      </c>
      <c r="BP69" s="319" t="s">
        <v>190</v>
      </c>
      <c r="BQ69" s="319" t="s">
        <v>190</v>
      </c>
      <c r="BR69" s="319" t="s">
        <v>190</v>
      </c>
      <c r="BS69" s="319" t="s">
        <v>190</v>
      </c>
      <c r="BT69" s="319" t="s">
        <v>190</v>
      </c>
      <c r="BU69" s="319" t="s">
        <v>190</v>
      </c>
      <c r="BV69" s="319" t="s">
        <v>190</v>
      </c>
      <c r="BW69" s="319" t="s">
        <v>190</v>
      </c>
      <c r="BX69" s="319" t="s">
        <v>190</v>
      </c>
      <c r="BY69" s="319" t="s">
        <v>190</v>
      </c>
      <c r="BZ69" s="319" t="s">
        <v>190</v>
      </c>
      <c r="CA69" s="319" t="s">
        <v>190</v>
      </c>
      <c r="CB69" s="319" t="s">
        <v>190</v>
      </c>
      <c r="CC69" s="319" t="s">
        <v>190</v>
      </c>
      <c r="CD69" s="319" t="s">
        <v>190</v>
      </c>
      <c r="CE69" s="319" t="s">
        <v>190</v>
      </c>
      <c r="CF69" s="319" t="s">
        <v>190</v>
      </c>
      <c r="CG69" s="319" t="s">
        <v>190</v>
      </c>
      <c r="CH69" s="319" t="s">
        <v>190</v>
      </c>
      <c r="CI69" s="319" t="s">
        <v>190</v>
      </c>
      <c r="CJ69" s="319" t="s">
        <v>190</v>
      </c>
      <c r="CK69" s="319" t="s">
        <v>190</v>
      </c>
      <c r="CL69" s="319" t="s">
        <v>190</v>
      </c>
      <c r="CM69" s="319" t="s">
        <v>190</v>
      </c>
      <c r="CN69" s="319" t="s">
        <v>428</v>
      </c>
      <c r="CO69" s="319" t="s">
        <v>428</v>
      </c>
      <c r="CP69" s="319" t="s">
        <v>428</v>
      </c>
      <c r="CQ69" s="319" t="s">
        <v>190</v>
      </c>
      <c r="CR69" s="319" t="s">
        <v>190</v>
      </c>
      <c r="CS69" s="319" t="s">
        <v>190</v>
      </c>
      <c r="CT69" s="319" t="s">
        <v>190</v>
      </c>
      <c r="CU69" s="319" t="s">
        <v>190</v>
      </c>
      <c r="CV69" s="319" t="s">
        <v>190</v>
      </c>
      <c r="CW69" s="319" t="s">
        <v>190</v>
      </c>
      <c r="CX69" s="319" t="s">
        <v>190</v>
      </c>
      <c r="CY69" s="319" t="s">
        <v>190</v>
      </c>
      <c r="CZ69" s="319" t="s">
        <v>190</v>
      </c>
      <c r="DA69" s="319" t="s">
        <v>190</v>
      </c>
      <c r="DB69" s="319" t="s">
        <v>190</v>
      </c>
      <c r="DC69" s="319" t="s">
        <v>190</v>
      </c>
      <c r="DD69" s="319" t="s">
        <v>190</v>
      </c>
      <c r="DE69" s="319" t="s">
        <v>190</v>
      </c>
      <c r="DF69" s="319" t="s">
        <v>190</v>
      </c>
      <c r="DG69" s="319" t="s">
        <v>190</v>
      </c>
      <c r="DH69" s="319" t="s">
        <v>190</v>
      </c>
      <c r="DI69" s="319" t="s">
        <v>190</v>
      </c>
      <c r="DJ69" s="319" t="s">
        <v>190</v>
      </c>
      <c r="DK69" s="319" t="s">
        <v>190</v>
      </c>
      <c r="DL69" s="319" t="s">
        <v>190</v>
      </c>
      <c r="DM69" s="319" t="s">
        <v>190</v>
      </c>
      <c r="DN69" s="319" t="s">
        <v>428</v>
      </c>
      <c r="DO69" s="319" t="s">
        <v>190</v>
      </c>
      <c r="DP69" s="319" t="s">
        <v>428</v>
      </c>
      <c r="DQ69" s="319" t="s">
        <v>428</v>
      </c>
      <c r="DR69" s="319" t="s">
        <v>428</v>
      </c>
      <c r="DS69" s="319" t="s">
        <v>428</v>
      </c>
      <c r="DT69" s="319" t="s">
        <v>428</v>
      </c>
      <c r="DU69" s="319" t="s">
        <v>428</v>
      </c>
      <c r="DV69" s="319" t="s">
        <v>173</v>
      </c>
      <c r="DW69" s="319" t="s">
        <v>428</v>
      </c>
      <c r="DX69" s="319" t="s">
        <v>428</v>
      </c>
      <c r="DY69" s="319" t="s">
        <v>428</v>
      </c>
      <c r="DZ69" s="319" t="s">
        <v>428</v>
      </c>
      <c r="EA69" s="319" t="s">
        <v>428</v>
      </c>
      <c r="EB69" s="319" t="s">
        <v>428</v>
      </c>
      <c r="EC69" s="319" t="s">
        <v>428</v>
      </c>
      <c r="ED69" s="319" t="s">
        <v>190</v>
      </c>
      <c r="EE69" s="319" t="s">
        <v>190</v>
      </c>
      <c r="EF69" s="319" t="s">
        <v>190</v>
      </c>
      <c r="EG69" s="319" t="s">
        <v>190</v>
      </c>
      <c r="EH69" s="319" t="s">
        <v>190</v>
      </c>
      <c r="EI69" s="319" t="s">
        <v>190</v>
      </c>
      <c r="EJ69" s="319" t="s">
        <v>190</v>
      </c>
      <c r="EK69" s="319" t="s">
        <v>190</v>
      </c>
      <c r="EL69" s="319" t="s">
        <v>190</v>
      </c>
      <c r="EM69" s="319" t="s">
        <v>190</v>
      </c>
      <c r="EN69" s="319" t="s">
        <v>190</v>
      </c>
      <c r="EO69" s="319" t="s">
        <v>190</v>
      </c>
      <c r="EP69" s="319" t="s">
        <v>190</v>
      </c>
      <c r="EQ69" s="319" t="s">
        <v>190</v>
      </c>
      <c r="ER69" s="319" t="s">
        <v>190</v>
      </c>
      <c r="ES69" s="319" t="s">
        <v>190</v>
      </c>
      <c r="ET69" s="319" t="s">
        <v>190</v>
      </c>
      <c r="EU69" s="319" t="s">
        <v>190</v>
      </c>
      <c r="EV69" s="319" t="s">
        <v>190</v>
      </c>
      <c r="EW69" s="319" t="s">
        <v>190</v>
      </c>
      <c r="EX69" s="319" t="s">
        <v>190</v>
      </c>
      <c r="EY69" s="319" t="s">
        <v>190</v>
      </c>
      <c r="EZ69" s="319" t="s">
        <v>190</v>
      </c>
      <c r="FA69" s="319" t="s">
        <v>190</v>
      </c>
      <c r="FB69" s="319" t="s">
        <v>428</v>
      </c>
      <c r="FC69" s="319" t="s">
        <v>428</v>
      </c>
      <c r="FD69" s="319" t="s">
        <v>428</v>
      </c>
      <c r="FE69" s="319" t="s">
        <v>428</v>
      </c>
      <c r="FF69" s="319" t="s">
        <v>428</v>
      </c>
      <c r="FG69" s="319" t="s">
        <v>428</v>
      </c>
      <c r="FH69" s="319" t="s">
        <v>190</v>
      </c>
      <c r="FI69" s="319" t="s">
        <v>190</v>
      </c>
      <c r="FJ69" s="319" t="s">
        <v>190</v>
      </c>
      <c r="FK69" s="319" t="s">
        <v>190</v>
      </c>
      <c r="FL69" s="319" t="s">
        <v>190</v>
      </c>
      <c r="FM69" s="319" t="s">
        <v>190</v>
      </c>
      <c r="FN69" s="319" t="s">
        <v>428</v>
      </c>
      <c r="FO69" s="319" t="s">
        <v>428</v>
      </c>
      <c r="FP69" s="319" t="s">
        <v>190</v>
      </c>
      <c r="FQ69" s="319" t="s">
        <v>190</v>
      </c>
      <c r="FR69" s="319" t="s">
        <v>190</v>
      </c>
      <c r="FS69" s="319" t="s">
        <v>428</v>
      </c>
      <c r="FT69" s="319" t="s">
        <v>190</v>
      </c>
      <c r="FU69" s="319" t="s">
        <v>190</v>
      </c>
      <c r="FV69" s="319" t="s">
        <v>190</v>
      </c>
      <c r="FW69" s="319" t="s">
        <v>190</v>
      </c>
      <c r="FX69" s="319" t="s">
        <v>190</v>
      </c>
      <c r="FY69" s="319" t="s">
        <v>190</v>
      </c>
      <c r="FZ69" s="319" t="s">
        <v>190</v>
      </c>
      <c r="GA69" s="319" t="s">
        <v>190</v>
      </c>
      <c r="GB69" s="319" t="s">
        <v>190</v>
      </c>
      <c r="GC69" s="319" t="s">
        <v>190</v>
      </c>
      <c r="GD69" s="319" t="s">
        <v>190</v>
      </c>
      <c r="GE69" s="319" t="s">
        <v>190</v>
      </c>
      <c r="GF69" s="319" t="s">
        <v>190</v>
      </c>
      <c r="GG69" s="319" t="s">
        <v>190</v>
      </c>
      <c r="GH69" s="319" t="s">
        <v>190</v>
      </c>
      <c r="GI69" s="319" t="s">
        <v>190</v>
      </c>
      <c r="GJ69" s="319" t="s">
        <v>190</v>
      </c>
      <c r="GK69" s="319" t="s">
        <v>428</v>
      </c>
      <c r="GL69" s="319" t="s">
        <v>190</v>
      </c>
      <c r="GM69" s="319" t="s">
        <v>190</v>
      </c>
      <c r="GN69" s="319" t="s">
        <v>190</v>
      </c>
      <c r="GO69" s="319" t="s">
        <v>190</v>
      </c>
      <c r="GP69" s="319" t="s">
        <v>190</v>
      </c>
      <c r="GQ69" s="319" t="s">
        <v>428</v>
      </c>
      <c r="GR69" s="319" t="s">
        <v>190</v>
      </c>
      <c r="GS69" s="319" t="s">
        <v>190</v>
      </c>
      <c r="GT69" s="319" t="s">
        <v>428</v>
      </c>
      <c r="GU69" s="319" t="s">
        <v>428</v>
      </c>
      <c r="GV69" s="319" t="s">
        <v>190</v>
      </c>
      <c r="GW69" s="319" t="s">
        <v>190</v>
      </c>
      <c r="GX69" s="319" t="s">
        <v>190</v>
      </c>
      <c r="GY69" s="319" t="s">
        <v>190</v>
      </c>
      <c r="GZ69" s="319" t="s">
        <v>190</v>
      </c>
      <c r="HA69" s="319" t="s">
        <v>428</v>
      </c>
      <c r="HB69" s="319" t="s">
        <v>428</v>
      </c>
      <c r="HC69" s="319" t="s">
        <v>190</v>
      </c>
      <c r="HD69" s="319" t="s">
        <v>190</v>
      </c>
      <c r="HE69" s="319" t="s">
        <v>190</v>
      </c>
      <c r="HF69" s="319" t="s">
        <v>190</v>
      </c>
      <c r="HG69" s="319" t="s">
        <v>190</v>
      </c>
      <c r="HH69" s="319" t="s">
        <v>190</v>
      </c>
      <c r="HI69" s="319" t="s">
        <v>190</v>
      </c>
      <c r="HJ69" s="319" t="s">
        <v>190</v>
      </c>
      <c r="HK69" s="319" t="s">
        <v>190</v>
      </c>
      <c r="HL69" s="319" t="s">
        <v>428</v>
      </c>
      <c r="HM69" s="319" t="s">
        <v>428</v>
      </c>
      <c r="HN69" s="319" t="s">
        <v>428</v>
      </c>
      <c r="HO69" s="319" t="s">
        <v>428</v>
      </c>
      <c r="HP69" s="319" t="s">
        <v>190</v>
      </c>
      <c r="HQ69" s="319" t="s">
        <v>190</v>
      </c>
      <c r="HR69" s="319" t="s">
        <v>190</v>
      </c>
      <c r="HS69" s="319" t="s">
        <v>190</v>
      </c>
      <c r="HT69" s="319" t="s">
        <v>190</v>
      </c>
      <c r="HU69" s="319" t="s">
        <v>190</v>
      </c>
      <c r="HV69" s="319" t="s">
        <v>190</v>
      </c>
      <c r="HW69" s="319" t="s">
        <v>190</v>
      </c>
      <c r="HX69" s="319" t="s">
        <v>190</v>
      </c>
      <c r="HY69" s="319" t="s">
        <v>190</v>
      </c>
      <c r="HZ69" s="319" t="s">
        <v>190</v>
      </c>
      <c r="IA69" s="319" t="s">
        <v>190</v>
      </c>
      <c r="IB69" s="319" t="s">
        <v>190</v>
      </c>
      <c r="IC69" s="319" t="s">
        <v>190</v>
      </c>
      <c r="ID69" s="319" t="s">
        <v>190</v>
      </c>
      <c r="IE69" s="319" t="s">
        <v>190</v>
      </c>
      <c r="IF69" s="319" t="s">
        <v>190</v>
      </c>
      <c r="IG69" s="319" t="s">
        <v>190</v>
      </c>
      <c r="IH69" s="319" t="s">
        <v>190</v>
      </c>
      <c r="II69" s="319" t="s">
        <v>190</v>
      </c>
      <c r="IJ69" s="319">
        <v>10008545</v>
      </c>
      <c r="IK69" s="321">
        <v>43158</v>
      </c>
      <c r="IL69" s="321">
        <v>43160</v>
      </c>
      <c r="IM69" s="321">
        <v>43214</v>
      </c>
      <c r="IN69" s="319">
        <v>3</v>
      </c>
      <c r="IO69" s="319" t="s">
        <v>173</v>
      </c>
      <c r="IP69" s="319" t="s">
        <v>173</v>
      </c>
      <c r="IQ69" s="321" t="s">
        <v>173</v>
      </c>
      <c r="IR69" s="320" t="s">
        <v>173</v>
      </c>
      <c r="IS69" s="322" t="s">
        <v>173</v>
      </c>
      <c r="IT69" s="319" t="s">
        <v>173</v>
      </c>
    </row>
    <row r="70" spans="1:254" s="271" customFormat="1" x14ac:dyDescent="0.25">
      <c r="A70" s="318" t="str">
        <f>HYPERLINK("http://www.ofsted.gov.uk/inspection-reports/find-inspection-report/provider/ELS/102550 ","Ofsted School Webpage")</f>
        <v>Ofsted School Webpage</v>
      </c>
      <c r="B70" s="319">
        <v>102550</v>
      </c>
      <c r="C70" s="319">
        <v>3136063</v>
      </c>
      <c r="D70" s="319" t="s">
        <v>977</v>
      </c>
      <c r="E70" s="319" t="s">
        <v>167</v>
      </c>
      <c r="F70" s="319" t="s">
        <v>81</v>
      </c>
      <c r="G70" s="319" t="s">
        <v>81</v>
      </c>
      <c r="H70" s="319" t="s">
        <v>81</v>
      </c>
      <c r="I70" s="319" t="s">
        <v>78</v>
      </c>
      <c r="J70" s="319" t="s">
        <v>424</v>
      </c>
      <c r="K70" s="319" t="s">
        <v>441</v>
      </c>
      <c r="L70" s="319" t="s">
        <v>441</v>
      </c>
      <c r="M70" s="319" t="s">
        <v>721</v>
      </c>
      <c r="N70" s="319" t="s">
        <v>2838</v>
      </c>
      <c r="O70" s="319" t="s">
        <v>978</v>
      </c>
      <c r="P70" s="319">
        <v>465</v>
      </c>
      <c r="Q70" s="319" t="s">
        <v>2776</v>
      </c>
      <c r="R70" s="320">
        <v>10067119</v>
      </c>
      <c r="S70" s="321">
        <v>43536</v>
      </c>
      <c r="T70" s="321">
        <v>43538</v>
      </c>
      <c r="U70" s="321">
        <v>43552</v>
      </c>
      <c r="V70" s="319" t="s">
        <v>425</v>
      </c>
      <c r="W70" s="319" t="s">
        <v>2767</v>
      </c>
      <c r="X70" s="319">
        <v>2</v>
      </c>
      <c r="Y70" s="319" t="s">
        <v>173</v>
      </c>
      <c r="Z70" s="319" t="s">
        <v>173</v>
      </c>
      <c r="AA70" s="319" t="s">
        <v>173</v>
      </c>
      <c r="AB70" s="319">
        <v>2</v>
      </c>
      <c r="AC70" s="319" t="s">
        <v>169</v>
      </c>
      <c r="AD70" s="319">
        <v>2</v>
      </c>
      <c r="AE70" s="319">
        <v>1</v>
      </c>
      <c r="AF70" s="319" t="s">
        <v>427</v>
      </c>
      <c r="AG70" s="319" t="s">
        <v>171</v>
      </c>
      <c r="AH70" s="319" t="s">
        <v>190</v>
      </c>
      <c r="AI70" s="319" t="s">
        <v>190</v>
      </c>
      <c r="AJ70" s="319" t="s">
        <v>190</v>
      </c>
      <c r="AK70" s="319" t="s">
        <v>190</v>
      </c>
      <c r="AL70" s="319" t="s">
        <v>190</v>
      </c>
      <c r="AM70" s="319" t="s">
        <v>190</v>
      </c>
      <c r="AN70" s="319" t="s">
        <v>190</v>
      </c>
      <c r="AO70" s="319" t="s">
        <v>190</v>
      </c>
      <c r="AP70" s="319" t="s">
        <v>190</v>
      </c>
      <c r="AQ70" s="319" t="s">
        <v>190</v>
      </c>
      <c r="AR70" s="319" t="s">
        <v>190</v>
      </c>
      <c r="AS70" s="319" t="s">
        <v>190</v>
      </c>
      <c r="AT70" s="319" t="s">
        <v>190</v>
      </c>
      <c r="AU70" s="319" t="s">
        <v>190</v>
      </c>
      <c r="AV70" s="319" t="s">
        <v>190</v>
      </c>
      <c r="AW70" s="319" t="s">
        <v>190</v>
      </c>
      <c r="AX70" s="319" t="s">
        <v>428</v>
      </c>
      <c r="AY70" s="319" t="s">
        <v>190</v>
      </c>
      <c r="AZ70" s="319" t="s">
        <v>190</v>
      </c>
      <c r="BA70" s="319" t="s">
        <v>190</v>
      </c>
      <c r="BB70" s="319" t="s">
        <v>190</v>
      </c>
      <c r="BC70" s="319" t="s">
        <v>190</v>
      </c>
      <c r="BD70" s="319" t="s">
        <v>190</v>
      </c>
      <c r="BE70" s="319" t="s">
        <v>190</v>
      </c>
      <c r="BF70" s="319" t="s">
        <v>428</v>
      </c>
      <c r="BG70" s="319" t="s">
        <v>428</v>
      </c>
      <c r="BH70" s="319" t="s">
        <v>190</v>
      </c>
      <c r="BI70" s="319" t="s">
        <v>190</v>
      </c>
      <c r="BJ70" s="319" t="s">
        <v>190</v>
      </c>
      <c r="BK70" s="319" t="s">
        <v>190</v>
      </c>
      <c r="BL70" s="319" t="s">
        <v>190</v>
      </c>
      <c r="BM70" s="319" t="s">
        <v>190</v>
      </c>
      <c r="BN70" s="319" t="s">
        <v>190</v>
      </c>
      <c r="BO70" s="319" t="s">
        <v>190</v>
      </c>
      <c r="BP70" s="319" t="s">
        <v>190</v>
      </c>
      <c r="BQ70" s="319" t="s">
        <v>190</v>
      </c>
      <c r="BR70" s="319" t="s">
        <v>190</v>
      </c>
      <c r="BS70" s="319" t="s">
        <v>190</v>
      </c>
      <c r="BT70" s="319" t="s">
        <v>190</v>
      </c>
      <c r="BU70" s="319" t="s">
        <v>190</v>
      </c>
      <c r="BV70" s="319" t="s">
        <v>190</v>
      </c>
      <c r="BW70" s="319" t="s">
        <v>190</v>
      </c>
      <c r="BX70" s="319" t="s">
        <v>190</v>
      </c>
      <c r="BY70" s="319" t="s">
        <v>190</v>
      </c>
      <c r="BZ70" s="319" t="s">
        <v>190</v>
      </c>
      <c r="CA70" s="319" t="s">
        <v>190</v>
      </c>
      <c r="CB70" s="319" t="s">
        <v>190</v>
      </c>
      <c r="CC70" s="319" t="s">
        <v>190</v>
      </c>
      <c r="CD70" s="319" t="s">
        <v>190</v>
      </c>
      <c r="CE70" s="319" t="s">
        <v>190</v>
      </c>
      <c r="CF70" s="319" t="s">
        <v>190</v>
      </c>
      <c r="CG70" s="319" t="s">
        <v>190</v>
      </c>
      <c r="CH70" s="319" t="s">
        <v>190</v>
      </c>
      <c r="CI70" s="319" t="s">
        <v>190</v>
      </c>
      <c r="CJ70" s="319" t="s">
        <v>190</v>
      </c>
      <c r="CK70" s="319" t="s">
        <v>190</v>
      </c>
      <c r="CL70" s="319" t="s">
        <v>190</v>
      </c>
      <c r="CM70" s="319" t="s">
        <v>190</v>
      </c>
      <c r="CN70" s="319" t="s">
        <v>428</v>
      </c>
      <c r="CO70" s="319" t="s">
        <v>428</v>
      </c>
      <c r="CP70" s="319" t="s">
        <v>428</v>
      </c>
      <c r="CQ70" s="319" t="s">
        <v>190</v>
      </c>
      <c r="CR70" s="319" t="s">
        <v>190</v>
      </c>
      <c r="CS70" s="319" t="s">
        <v>190</v>
      </c>
      <c r="CT70" s="319" t="s">
        <v>190</v>
      </c>
      <c r="CU70" s="319" t="s">
        <v>190</v>
      </c>
      <c r="CV70" s="319" t="s">
        <v>190</v>
      </c>
      <c r="CW70" s="319" t="s">
        <v>190</v>
      </c>
      <c r="CX70" s="319" t="s">
        <v>190</v>
      </c>
      <c r="CY70" s="319" t="s">
        <v>190</v>
      </c>
      <c r="CZ70" s="319" t="s">
        <v>190</v>
      </c>
      <c r="DA70" s="319" t="s">
        <v>190</v>
      </c>
      <c r="DB70" s="319" t="s">
        <v>190</v>
      </c>
      <c r="DC70" s="319" t="s">
        <v>190</v>
      </c>
      <c r="DD70" s="319" t="s">
        <v>190</v>
      </c>
      <c r="DE70" s="319" t="s">
        <v>190</v>
      </c>
      <c r="DF70" s="319" t="s">
        <v>190</v>
      </c>
      <c r="DG70" s="319" t="s">
        <v>190</v>
      </c>
      <c r="DH70" s="319" t="s">
        <v>190</v>
      </c>
      <c r="DI70" s="319" t="s">
        <v>190</v>
      </c>
      <c r="DJ70" s="319" t="s">
        <v>190</v>
      </c>
      <c r="DK70" s="319" t="s">
        <v>190</v>
      </c>
      <c r="DL70" s="319" t="s">
        <v>190</v>
      </c>
      <c r="DM70" s="319" t="s">
        <v>190</v>
      </c>
      <c r="DN70" s="319" t="s">
        <v>190</v>
      </c>
      <c r="DO70" s="319" t="s">
        <v>190</v>
      </c>
      <c r="DP70" s="319" t="s">
        <v>190</v>
      </c>
      <c r="DQ70" s="319" t="s">
        <v>190</v>
      </c>
      <c r="DR70" s="319" t="s">
        <v>190</v>
      </c>
      <c r="DS70" s="319" t="s">
        <v>190</v>
      </c>
      <c r="DT70" s="319" t="s">
        <v>190</v>
      </c>
      <c r="DU70" s="319" t="s">
        <v>190</v>
      </c>
      <c r="DV70" s="319" t="s">
        <v>173</v>
      </c>
      <c r="DW70" s="319" t="s">
        <v>190</v>
      </c>
      <c r="DX70" s="319" t="s">
        <v>190</v>
      </c>
      <c r="DY70" s="319" t="s">
        <v>190</v>
      </c>
      <c r="DZ70" s="319" t="s">
        <v>190</v>
      </c>
      <c r="EA70" s="319" t="s">
        <v>190</v>
      </c>
      <c r="EB70" s="319" t="s">
        <v>190</v>
      </c>
      <c r="EC70" s="319" t="s">
        <v>428</v>
      </c>
      <c r="ED70" s="319" t="s">
        <v>428</v>
      </c>
      <c r="EE70" s="319" t="s">
        <v>190</v>
      </c>
      <c r="EF70" s="319" t="s">
        <v>190</v>
      </c>
      <c r="EG70" s="319" t="s">
        <v>190</v>
      </c>
      <c r="EH70" s="319" t="s">
        <v>190</v>
      </c>
      <c r="EI70" s="319" t="s">
        <v>190</v>
      </c>
      <c r="EJ70" s="319" t="s">
        <v>190</v>
      </c>
      <c r="EK70" s="319" t="s">
        <v>190</v>
      </c>
      <c r="EL70" s="319" t="s">
        <v>190</v>
      </c>
      <c r="EM70" s="319" t="s">
        <v>190</v>
      </c>
      <c r="EN70" s="319" t="s">
        <v>190</v>
      </c>
      <c r="EO70" s="319" t="s">
        <v>190</v>
      </c>
      <c r="EP70" s="319" t="s">
        <v>190</v>
      </c>
      <c r="EQ70" s="319" t="s">
        <v>190</v>
      </c>
      <c r="ER70" s="319" t="s">
        <v>190</v>
      </c>
      <c r="ES70" s="319" t="s">
        <v>190</v>
      </c>
      <c r="ET70" s="319" t="s">
        <v>190</v>
      </c>
      <c r="EU70" s="319" t="s">
        <v>190</v>
      </c>
      <c r="EV70" s="319" t="s">
        <v>190</v>
      </c>
      <c r="EW70" s="319" t="s">
        <v>190</v>
      </c>
      <c r="EX70" s="319" t="s">
        <v>190</v>
      </c>
      <c r="EY70" s="319" t="s">
        <v>190</v>
      </c>
      <c r="EZ70" s="319" t="s">
        <v>190</v>
      </c>
      <c r="FA70" s="319" t="s">
        <v>190</v>
      </c>
      <c r="FB70" s="319" t="s">
        <v>190</v>
      </c>
      <c r="FC70" s="319" t="s">
        <v>190</v>
      </c>
      <c r="FD70" s="319" t="s">
        <v>190</v>
      </c>
      <c r="FE70" s="319" t="s">
        <v>190</v>
      </c>
      <c r="FF70" s="319" t="s">
        <v>190</v>
      </c>
      <c r="FG70" s="319" t="s">
        <v>190</v>
      </c>
      <c r="FH70" s="319" t="s">
        <v>190</v>
      </c>
      <c r="FI70" s="319" t="s">
        <v>190</v>
      </c>
      <c r="FJ70" s="319" t="s">
        <v>190</v>
      </c>
      <c r="FK70" s="319" t="s">
        <v>190</v>
      </c>
      <c r="FL70" s="319" t="s">
        <v>190</v>
      </c>
      <c r="FM70" s="319" t="s">
        <v>190</v>
      </c>
      <c r="FN70" s="319" t="s">
        <v>190</v>
      </c>
      <c r="FO70" s="319" t="s">
        <v>190</v>
      </c>
      <c r="FP70" s="319" t="s">
        <v>190</v>
      </c>
      <c r="FQ70" s="319" t="s">
        <v>190</v>
      </c>
      <c r="FR70" s="319" t="s">
        <v>190</v>
      </c>
      <c r="FS70" s="319" t="s">
        <v>428</v>
      </c>
      <c r="FT70" s="319" t="s">
        <v>428</v>
      </c>
      <c r="FU70" s="319" t="s">
        <v>190</v>
      </c>
      <c r="FV70" s="319" t="s">
        <v>190</v>
      </c>
      <c r="FW70" s="319" t="s">
        <v>190</v>
      </c>
      <c r="FX70" s="319" t="s">
        <v>190</v>
      </c>
      <c r="FY70" s="319" t="s">
        <v>190</v>
      </c>
      <c r="FZ70" s="319" t="s">
        <v>190</v>
      </c>
      <c r="GA70" s="319" t="s">
        <v>190</v>
      </c>
      <c r="GB70" s="319" t="s">
        <v>190</v>
      </c>
      <c r="GC70" s="319" t="s">
        <v>190</v>
      </c>
      <c r="GD70" s="319" t="s">
        <v>190</v>
      </c>
      <c r="GE70" s="319" t="s">
        <v>190</v>
      </c>
      <c r="GF70" s="319" t="s">
        <v>190</v>
      </c>
      <c r="GG70" s="319" t="s">
        <v>190</v>
      </c>
      <c r="GH70" s="319" t="s">
        <v>190</v>
      </c>
      <c r="GI70" s="319" t="s">
        <v>190</v>
      </c>
      <c r="GJ70" s="319" t="s">
        <v>190</v>
      </c>
      <c r="GK70" s="319" t="s">
        <v>428</v>
      </c>
      <c r="GL70" s="319" t="s">
        <v>190</v>
      </c>
      <c r="GM70" s="319" t="s">
        <v>190</v>
      </c>
      <c r="GN70" s="319" t="s">
        <v>190</v>
      </c>
      <c r="GO70" s="319" t="s">
        <v>190</v>
      </c>
      <c r="GP70" s="319" t="s">
        <v>190</v>
      </c>
      <c r="GQ70" s="319" t="s">
        <v>190</v>
      </c>
      <c r="GR70" s="319" t="s">
        <v>190</v>
      </c>
      <c r="GS70" s="319" t="s">
        <v>190</v>
      </c>
      <c r="GT70" s="319" t="s">
        <v>190</v>
      </c>
      <c r="GU70" s="319" t="s">
        <v>428</v>
      </c>
      <c r="GV70" s="319" t="s">
        <v>428</v>
      </c>
      <c r="GW70" s="319" t="s">
        <v>190</v>
      </c>
      <c r="GX70" s="319" t="s">
        <v>190</v>
      </c>
      <c r="GY70" s="319" t="s">
        <v>190</v>
      </c>
      <c r="GZ70" s="319" t="s">
        <v>428</v>
      </c>
      <c r="HA70" s="319" t="s">
        <v>190</v>
      </c>
      <c r="HB70" s="319" t="s">
        <v>190</v>
      </c>
      <c r="HC70" s="319" t="s">
        <v>190</v>
      </c>
      <c r="HD70" s="319" t="s">
        <v>190</v>
      </c>
      <c r="HE70" s="319" t="s">
        <v>190</v>
      </c>
      <c r="HF70" s="319" t="s">
        <v>190</v>
      </c>
      <c r="HG70" s="319" t="s">
        <v>190</v>
      </c>
      <c r="HH70" s="319" t="s">
        <v>190</v>
      </c>
      <c r="HI70" s="319" t="s">
        <v>190</v>
      </c>
      <c r="HJ70" s="319" t="s">
        <v>190</v>
      </c>
      <c r="HK70" s="319" t="s">
        <v>190</v>
      </c>
      <c r="HL70" s="319" t="s">
        <v>428</v>
      </c>
      <c r="HM70" s="319" t="s">
        <v>428</v>
      </c>
      <c r="HN70" s="319" t="s">
        <v>428</v>
      </c>
      <c r="HO70" s="319" t="s">
        <v>428</v>
      </c>
      <c r="HP70" s="319" t="s">
        <v>190</v>
      </c>
      <c r="HQ70" s="319" t="s">
        <v>190</v>
      </c>
      <c r="HR70" s="319" t="s">
        <v>190</v>
      </c>
      <c r="HS70" s="319" t="s">
        <v>190</v>
      </c>
      <c r="HT70" s="319" t="s">
        <v>190</v>
      </c>
      <c r="HU70" s="319" t="s">
        <v>190</v>
      </c>
      <c r="HV70" s="319" t="s">
        <v>190</v>
      </c>
      <c r="HW70" s="319" t="s">
        <v>190</v>
      </c>
      <c r="HX70" s="319" t="s">
        <v>190</v>
      </c>
      <c r="HY70" s="319" t="s">
        <v>190</v>
      </c>
      <c r="HZ70" s="319" t="s">
        <v>190</v>
      </c>
      <c r="IA70" s="319" t="s">
        <v>190</v>
      </c>
      <c r="IB70" s="319" t="s">
        <v>190</v>
      </c>
      <c r="IC70" s="319" t="s">
        <v>190</v>
      </c>
      <c r="ID70" s="319" t="s">
        <v>190</v>
      </c>
      <c r="IE70" s="319" t="s">
        <v>190</v>
      </c>
      <c r="IF70" s="319" t="s">
        <v>190</v>
      </c>
      <c r="IG70" s="319" t="s">
        <v>190</v>
      </c>
      <c r="IH70" s="319" t="s">
        <v>190</v>
      </c>
      <c r="II70" s="319" t="s">
        <v>190</v>
      </c>
      <c r="IJ70" s="319">
        <v>10008546</v>
      </c>
      <c r="IK70" s="321">
        <v>42437</v>
      </c>
      <c r="IL70" s="321">
        <v>42439</v>
      </c>
      <c r="IM70" s="321">
        <v>42478</v>
      </c>
      <c r="IN70" s="319">
        <v>2</v>
      </c>
      <c r="IO70" s="319" t="s">
        <v>173</v>
      </c>
      <c r="IP70" s="319" t="s">
        <v>173</v>
      </c>
      <c r="IQ70" s="321" t="s">
        <v>173</v>
      </c>
      <c r="IR70" s="320" t="s">
        <v>173</v>
      </c>
      <c r="IS70" s="322" t="s">
        <v>173</v>
      </c>
      <c r="IT70" s="319" t="s">
        <v>173</v>
      </c>
    </row>
    <row r="71" spans="1:254" s="271" customFormat="1" x14ac:dyDescent="0.25">
      <c r="A71" s="318" t="str">
        <f>HYPERLINK("http://www.ofsted.gov.uk/inspection-reports/find-inspection-report/provider/ELS/102693 ","Ofsted School Webpage")</f>
        <v>Ofsted School Webpage</v>
      </c>
      <c r="B71" s="319">
        <v>102693</v>
      </c>
      <c r="C71" s="319">
        <v>3156072</v>
      </c>
      <c r="D71" s="319" t="s">
        <v>1304</v>
      </c>
      <c r="E71" s="319" t="s">
        <v>167</v>
      </c>
      <c r="F71" s="319" t="s">
        <v>81</v>
      </c>
      <c r="G71" s="319" t="s">
        <v>81</v>
      </c>
      <c r="H71" s="319" t="s">
        <v>81</v>
      </c>
      <c r="I71" s="319" t="s">
        <v>78</v>
      </c>
      <c r="J71" s="319" t="s">
        <v>424</v>
      </c>
      <c r="K71" s="319" t="s">
        <v>441</v>
      </c>
      <c r="L71" s="319" t="s">
        <v>441</v>
      </c>
      <c r="M71" s="319" t="s">
        <v>1193</v>
      </c>
      <c r="N71" s="319" t="s">
        <v>2846</v>
      </c>
      <c r="O71" s="319" t="s">
        <v>1305</v>
      </c>
      <c r="P71" s="319">
        <v>74</v>
      </c>
      <c r="Q71" s="319" t="s">
        <v>2766</v>
      </c>
      <c r="R71" s="320">
        <v>10038157</v>
      </c>
      <c r="S71" s="321">
        <v>43158</v>
      </c>
      <c r="T71" s="321">
        <v>43160</v>
      </c>
      <c r="U71" s="321">
        <v>43213</v>
      </c>
      <c r="V71" s="319" t="s">
        <v>425</v>
      </c>
      <c r="W71" s="319" t="s">
        <v>2767</v>
      </c>
      <c r="X71" s="319">
        <v>2</v>
      </c>
      <c r="Y71" s="319" t="s">
        <v>173</v>
      </c>
      <c r="Z71" s="319" t="s">
        <v>173</v>
      </c>
      <c r="AA71" s="319" t="s">
        <v>173</v>
      </c>
      <c r="AB71" s="319">
        <v>2</v>
      </c>
      <c r="AC71" s="319" t="s">
        <v>169</v>
      </c>
      <c r="AD71" s="319" t="s">
        <v>173</v>
      </c>
      <c r="AE71" s="319" t="s">
        <v>173</v>
      </c>
      <c r="AF71" s="319" t="s">
        <v>427</v>
      </c>
      <c r="AG71" s="319" t="s">
        <v>171</v>
      </c>
      <c r="AH71" s="319" t="s">
        <v>190</v>
      </c>
      <c r="AI71" s="319" t="s">
        <v>190</v>
      </c>
      <c r="AJ71" s="319" t="s">
        <v>190</v>
      </c>
      <c r="AK71" s="319" t="s">
        <v>190</v>
      </c>
      <c r="AL71" s="319" t="s">
        <v>190</v>
      </c>
      <c r="AM71" s="319" t="s">
        <v>190</v>
      </c>
      <c r="AN71" s="319" t="s">
        <v>190</v>
      </c>
      <c r="AO71" s="319" t="s">
        <v>190</v>
      </c>
      <c r="AP71" s="319" t="s">
        <v>190</v>
      </c>
      <c r="AQ71" s="319" t="s">
        <v>190</v>
      </c>
      <c r="AR71" s="319" t="s">
        <v>190</v>
      </c>
      <c r="AS71" s="319" t="s">
        <v>190</v>
      </c>
      <c r="AT71" s="319" t="s">
        <v>190</v>
      </c>
      <c r="AU71" s="319" t="s">
        <v>190</v>
      </c>
      <c r="AV71" s="319" t="s">
        <v>190</v>
      </c>
      <c r="AW71" s="319" t="s">
        <v>190</v>
      </c>
      <c r="AX71" s="319" t="s">
        <v>190</v>
      </c>
      <c r="AY71" s="319" t="s">
        <v>190</v>
      </c>
      <c r="AZ71" s="319" t="s">
        <v>190</v>
      </c>
      <c r="BA71" s="319" t="s">
        <v>190</v>
      </c>
      <c r="BB71" s="319" t="s">
        <v>190</v>
      </c>
      <c r="BC71" s="319" t="s">
        <v>190</v>
      </c>
      <c r="BD71" s="319" t="s">
        <v>190</v>
      </c>
      <c r="BE71" s="319" t="s">
        <v>190</v>
      </c>
      <c r="BF71" s="319" t="s">
        <v>428</v>
      </c>
      <c r="BG71" s="319" t="s">
        <v>428</v>
      </c>
      <c r="BH71" s="319" t="s">
        <v>190</v>
      </c>
      <c r="BI71" s="319" t="s">
        <v>190</v>
      </c>
      <c r="BJ71" s="319" t="s">
        <v>190</v>
      </c>
      <c r="BK71" s="319" t="s">
        <v>190</v>
      </c>
      <c r="BL71" s="319" t="s">
        <v>190</v>
      </c>
      <c r="BM71" s="319" t="s">
        <v>190</v>
      </c>
      <c r="BN71" s="319" t="s">
        <v>190</v>
      </c>
      <c r="BO71" s="319" t="s">
        <v>190</v>
      </c>
      <c r="BP71" s="319" t="s">
        <v>190</v>
      </c>
      <c r="BQ71" s="319" t="s">
        <v>190</v>
      </c>
      <c r="BR71" s="319" t="s">
        <v>190</v>
      </c>
      <c r="BS71" s="319" t="s">
        <v>190</v>
      </c>
      <c r="BT71" s="319" t="s">
        <v>190</v>
      </c>
      <c r="BU71" s="319" t="s">
        <v>190</v>
      </c>
      <c r="BV71" s="319" t="s">
        <v>190</v>
      </c>
      <c r="BW71" s="319" t="s">
        <v>190</v>
      </c>
      <c r="BX71" s="319" t="s">
        <v>190</v>
      </c>
      <c r="BY71" s="319" t="s">
        <v>190</v>
      </c>
      <c r="BZ71" s="319" t="s">
        <v>190</v>
      </c>
      <c r="CA71" s="319" t="s">
        <v>190</v>
      </c>
      <c r="CB71" s="319" t="s">
        <v>190</v>
      </c>
      <c r="CC71" s="319" t="s">
        <v>190</v>
      </c>
      <c r="CD71" s="319" t="s">
        <v>190</v>
      </c>
      <c r="CE71" s="319" t="s">
        <v>190</v>
      </c>
      <c r="CF71" s="319" t="s">
        <v>190</v>
      </c>
      <c r="CG71" s="319" t="s">
        <v>190</v>
      </c>
      <c r="CH71" s="319" t="s">
        <v>190</v>
      </c>
      <c r="CI71" s="319" t="s">
        <v>190</v>
      </c>
      <c r="CJ71" s="319" t="s">
        <v>190</v>
      </c>
      <c r="CK71" s="319" t="s">
        <v>190</v>
      </c>
      <c r="CL71" s="319" t="s">
        <v>190</v>
      </c>
      <c r="CM71" s="319" t="s">
        <v>190</v>
      </c>
      <c r="CN71" s="319" t="s">
        <v>428</v>
      </c>
      <c r="CO71" s="319" t="s">
        <v>428</v>
      </c>
      <c r="CP71" s="319" t="s">
        <v>428</v>
      </c>
      <c r="CQ71" s="319" t="s">
        <v>190</v>
      </c>
      <c r="CR71" s="319" t="s">
        <v>190</v>
      </c>
      <c r="CS71" s="319" t="s">
        <v>190</v>
      </c>
      <c r="CT71" s="319" t="s">
        <v>190</v>
      </c>
      <c r="CU71" s="319" t="s">
        <v>190</v>
      </c>
      <c r="CV71" s="319" t="s">
        <v>190</v>
      </c>
      <c r="CW71" s="319" t="s">
        <v>190</v>
      </c>
      <c r="CX71" s="319" t="s">
        <v>190</v>
      </c>
      <c r="CY71" s="319" t="s">
        <v>190</v>
      </c>
      <c r="CZ71" s="319" t="s">
        <v>190</v>
      </c>
      <c r="DA71" s="319" t="s">
        <v>190</v>
      </c>
      <c r="DB71" s="319" t="s">
        <v>190</v>
      </c>
      <c r="DC71" s="319" t="s">
        <v>190</v>
      </c>
      <c r="DD71" s="319" t="s">
        <v>190</v>
      </c>
      <c r="DE71" s="319" t="s">
        <v>190</v>
      </c>
      <c r="DF71" s="319" t="s">
        <v>190</v>
      </c>
      <c r="DG71" s="319" t="s">
        <v>190</v>
      </c>
      <c r="DH71" s="319" t="s">
        <v>190</v>
      </c>
      <c r="DI71" s="319" t="s">
        <v>190</v>
      </c>
      <c r="DJ71" s="319" t="s">
        <v>190</v>
      </c>
      <c r="DK71" s="319" t="s">
        <v>190</v>
      </c>
      <c r="DL71" s="319" t="s">
        <v>190</v>
      </c>
      <c r="DM71" s="319" t="s">
        <v>190</v>
      </c>
      <c r="DN71" s="319" t="s">
        <v>428</v>
      </c>
      <c r="DO71" s="319" t="s">
        <v>190</v>
      </c>
      <c r="DP71" s="319" t="s">
        <v>190</v>
      </c>
      <c r="DQ71" s="319" t="s">
        <v>190</v>
      </c>
      <c r="DR71" s="319" t="s">
        <v>190</v>
      </c>
      <c r="DS71" s="319" t="s">
        <v>190</v>
      </c>
      <c r="DT71" s="319" t="s">
        <v>190</v>
      </c>
      <c r="DU71" s="319" t="s">
        <v>190</v>
      </c>
      <c r="DV71" s="319" t="s">
        <v>173</v>
      </c>
      <c r="DW71" s="319" t="s">
        <v>190</v>
      </c>
      <c r="DX71" s="319" t="s">
        <v>190</v>
      </c>
      <c r="DY71" s="319" t="s">
        <v>190</v>
      </c>
      <c r="DZ71" s="319" t="s">
        <v>190</v>
      </c>
      <c r="EA71" s="319" t="s">
        <v>190</v>
      </c>
      <c r="EB71" s="319" t="s">
        <v>190</v>
      </c>
      <c r="EC71" s="319" t="s">
        <v>428</v>
      </c>
      <c r="ED71" s="319" t="s">
        <v>190</v>
      </c>
      <c r="EE71" s="319" t="s">
        <v>190</v>
      </c>
      <c r="EF71" s="319" t="s">
        <v>190</v>
      </c>
      <c r="EG71" s="319" t="s">
        <v>190</v>
      </c>
      <c r="EH71" s="319" t="s">
        <v>190</v>
      </c>
      <c r="EI71" s="319" t="s">
        <v>190</v>
      </c>
      <c r="EJ71" s="319" t="s">
        <v>190</v>
      </c>
      <c r="EK71" s="319" t="s">
        <v>190</v>
      </c>
      <c r="EL71" s="319" t="s">
        <v>190</v>
      </c>
      <c r="EM71" s="319" t="s">
        <v>190</v>
      </c>
      <c r="EN71" s="319" t="s">
        <v>190</v>
      </c>
      <c r="EO71" s="319" t="s">
        <v>190</v>
      </c>
      <c r="EP71" s="319" t="s">
        <v>190</v>
      </c>
      <c r="EQ71" s="319" t="s">
        <v>190</v>
      </c>
      <c r="ER71" s="319" t="s">
        <v>190</v>
      </c>
      <c r="ES71" s="319" t="s">
        <v>190</v>
      </c>
      <c r="ET71" s="319" t="s">
        <v>190</v>
      </c>
      <c r="EU71" s="319" t="s">
        <v>190</v>
      </c>
      <c r="EV71" s="319" t="s">
        <v>190</v>
      </c>
      <c r="EW71" s="319" t="s">
        <v>190</v>
      </c>
      <c r="EX71" s="319" t="s">
        <v>190</v>
      </c>
      <c r="EY71" s="319" t="s">
        <v>190</v>
      </c>
      <c r="EZ71" s="319" t="s">
        <v>190</v>
      </c>
      <c r="FA71" s="319" t="s">
        <v>190</v>
      </c>
      <c r="FB71" s="319" t="s">
        <v>190</v>
      </c>
      <c r="FC71" s="319" t="s">
        <v>190</v>
      </c>
      <c r="FD71" s="319" t="s">
        <v>190</v>
      </c>
      <c r="FE71" s="319" t="s">
        <v>190</v>
      </c>
      <c r="FF71" s="319" t="s">
        <v>190</v>
      </c>
      <c r="FG71" s="319" t="s">
        <v>190</v>
      </c>
      <c r="FH71" s="319" t="s">
        <v>190</v>
      </c>
      <c r="FI71" s="319" t="s">
        <v>190</v>
      </c>
      <c r="FJ71" s="319" t="s">
        <v>190</v>
      </c>
      <c r="FK71" s="319" t="s">
        <v>190</v>
      </c>
      <c r="FL71" s="319" t="s">
        <v>190</v>
      </c>
      <c r="FM71" s="319" t="s">
        <v>190</v>
      </c>
      <c r="FN71" s="319" t="s">
        <v>190</v>
      </c>
      <c r="FO71" s="319" t="s">
        <v>190</v>
      </c>
      <c r="FP71" s="319" t="s">
        <v>190</v>
      </c>
      <c r="FQ71" s="319" t="s">
        <v>190</v>
      </c>
      <c r="FR71" s="319" t="s">
        <v>190</v>
      </c>
      <c r="FS71" s="319" t="s">
        <v>428</v>
      </c>
      <c r="FT71" s="319" t="s">
        <v>190</v>
      </c>
      <c r="FU71" s="319" t="s">
        <v>190</v>
      </c>
      <c r="FV71" s="319" t="s">
        <v>190</v>
      </c>
      <c r="FW71" s="319" t="s">
        <v>190</v>
      </c>
      <c r="FX71" s="319" t="s">
        <v>190</v>
      </c>
      <c r="FY71" s="319" t="s">
        <v>190</v>
      </c>
      <c r="FZ71" s="319" t="s">
        <v>190</v>
      </c>
      <c r="GA71" s="319" t="s">
        <v>190</v>
      </c>
      <c r="GB71" s="319" t="s">
        <v>190</v>
      </c>
      <c r="GC71" s="319" t="s">
        <v>190</v>
      </c>
      <c r="GD71" s="319" t="s">
        <v>190</v>
      </c>
      <c r="GE71" s="319" t="s">
        <v>190</v>
      </c>
      <c r="GF71" s="319" t="s">
        <v>190</v>
      </c>
      <c r="GG71" s="319" t="s">
        <v>190</v>
      </c>
      <c r="GH71" s="319" t="s">
        <v>190</v>
      </c>
      <c r="GI71" s="319" t="s">
        <v>190</v>
      </c>
      <c r="GJ71" s="319" t="s">
        <v>190</v>
      </c>
      <c r="GK71" s="319" t="s">
        <v>428</v>
      </c>
      <c r="GL71" s="319" t="s">
        <v>190</v>
      </c>
      <c r="GM71" s="319" t="s">
        <v>190</v>
      </c>
      <c r="GN71" s="319" t="s">
        <v>190</v>
      </c>
      <c r="GO71" s="319" t="s">
        <v>190</v>
      </c>
      <c r="GP71" s="319" t="s">
        <v>190</v>
      </c>
      <c r="GQ71" s="319" t="s">
        <v>190</v>
      </c>
      <c r="GR71" s="319" t="s">
        <v>190</v>
      </c>
      <c r="GS71" s="319" t="s">
        <v>190</v>
      </c>
      <c r="GT71" s="319" t="s">
        <v>190</v>
      </c>
      <c r="GU71" s="319" t="s">
        <v>190</v>
      </c>
      <c r="GV71" s="319" t="s">
        <v>190</v>
      </c>
      <c r="GW71" s="319" t="s">
        <v>190</v>
      </c>
      <c r="GX71" s="319" t="s">
        <v>190</v>
      </c>
      <c r="GY71" s="319" t="s">
        <v>190</v>
      </c>
      <c r="GZ71" s="319" t="s">
        <v>190</v>
      </c>
      <c r="HA71" s="319" t="s">
        <v>190</v>
      </c>
      <c r="HB71" s="319" t="s">
        <v>190</v>
      </c>
      <c r="HC71" s="319" t="s">
        <v>190</v>
      </c>
      <c r="HD71" s="319" t="s">
        <v>190</v>
      </c>
      <c r="HE71" s="319" t="s">
        <v>190</v>
      </c>
      <c r="HF71" s="319" t="s">
        <v>190</v>
      </c>
      <c r="HG71" s="319" t="s">
        <v>190</v>
      </c>
      <c r="HH71" s="319" t="s">
        <v>190</v>
      </c>
      <c r="HI71" s="319" t="s">
        <v>190</v>
      </c>
      <c r="HJ71" s="319" t="s">
        <v>190</v>
      </c>
      <c r="HK71" s="319" t="s">
        <v>190</v>
      </c>
      <c r="HL71" s="319" t="s">
        <v>190</v>
      </c>
      <c r="HM71" s="319" t="s">
        <v>190</v>
      </c>
      <c r="HN71" s="319" t="s">
        <v>190</v>
      </c>
      <c r="HO71" s="319" t="s">
        <v>190</v>
      </c>
      <c r="HP71" s="319" t="s">
        <v>190</v>
      </c>
      <c r="HQ71" s="319" t="s">
        <v>190</v>
      </c>
      <c r="HR71" s="319" t="s">
        <v>190</v>
      </c>
      <c r="HS71" s="319" t="s">
        <v>190</v>
      </c>
      <c r="HT71" s="319" t="s">
        <v>190</v>
      </c>
      <c r="HU71" s="319" t="s">
        <v>190</v>
      </c>
      <c r="HV71" s="319" t="s">
        <v>190</v>
      </c>
      <c r="HW71" s="319" t="s">
        <v>190</v>
      </c>
      <c r="HX71" s="319" t="s">
        <v>190</v>
      </c>
      <c r="HY71" s="319" t="s">
        <v>190</v>
      </c>
      <c r="HZ71" s="319" t="s">
        <v>190</v>
      </c>
      <c r="IA71" s="319" t="s">
        <v>190</v>
      </c>
      <c r="IB71" s="319" t="s">
        <v>190</v>
      </c>
      <c r="IC71" s="319" t="s">
        <v>190</v>
      </c>
      <c r="ID71" s="319" t="s">
        <v>190</v>
      </c>
      <c r="IE71" s="319" t="s">
        <v>190</v>
      </c>
      <c r="IF71" s="319" t="s">
        <v>190</v>
      </c>
      <c r="IG71" s="319" t="s">
        <v>190</v>
      </c>
      <c r="IH71" s="319" t="s">
        <v>190</v>
      </c>
      <c r="II71" s="319" t="s">
        <v>190</v>
      </c>
      <c r="IJ71" s="319">
        <v>10006058</v>
      </c>
      <c r="IK71" s="321">
        <v>42332</v>
      </c>
      <c r="IL71" s="321">
        <v>42334</v>
      </c>
      <c r="IM71" s="321">
        <v>42354</v>
      </c>
      <c r="IN71" s="319">
        <v>3</v>
      </c>
      <c r="IO71" s="319" t="s">
        <v>173</v>
      </c>
      <c r="IP71" s="319" t="s">
        <v>173</v>
      </c>
      <c r="IQ71" s="321" t="s">
        <v>173</v>
      </c>
      <c r="IR71" s="320" t="s">
        <v>173</v>
      </c>
      <c r="IS71" s="322" t="s">
        <v>173</v>
      </c>
      <c r="IT71" s="319" t="s">
        <v>173</v>
      </c>
    </row>
    <row r="72" spans="1:254" s="271" customFormat="1" x14ac:dyDescent="0.25">
      <c r="A72" s="318" t="str">
        <f>HYPERLINK("http://www.ofsted.gov.uk/inspection-reports/find-inspection-report/provider/ELS/102694 ","Ofsted School Webpage")</f>
        <v>Ofsted School Webpage</v>
      </c>
      <c r="B72" s="319">
        <v>102694</v>
      </c>
      <c r="C72" s="319">
        <v>3156076</v>
      </c>
      <c r="D72" s="319" t="s">
        <v>1306</v>
      </c>
      <c r="E72" s="319" t="s">
        <v>168</v>
      </c>
      <c r="F72" s="319" t="s">
        <v>81</v>
      </c>
      <c r="G72" s="319" t="s">
        <v>81</v>
      </c>
      <c r="H72" s="319" t="s">
        <v>81</v>
      </c>
      <c r="I72" s="319" t="s">
        <v>78</v>
      </c>
      <c r="J72" s="319" t="s">
        <v>424</v>
      </c>
      <c r="K72" s="319" t="s">
        <v>441</v>
      </c>
      <c r="L72" s="319" t="s">
        <v>441</v>
      </c>
      <c r="M72" s="319" t="s">
        <v>1193</v>
      </c>
      <c r="N72" s="319" t="s">
        <v>2846</v>
      </c>
      <c r="O72" s="319" t="s">
        <v>1307</v>
      </c>
      <c r="P72" s="319">
        <v>242</v>
      </c>
      <c r="Q72" s="319" t="s">
        <v>429</v>
      </c>
      <c r="R72" s="320">
        <v>10092458</v>
      </c>
      <c r="S72" s="321">
        <v>43627</v>
      </c>
      <c r="T72" s="321">
        <v>43629</v>
      </c>
      <c r="U72" s="321">
        <v>43656</v>
      </c>
      <c r="V72" s="319" t="s">
        <v>425</v>
      </c>
      <c r="W72" s="319" t="s">
        <v>2767</v>
      </c>
      <c r="X72" s="319">
        <v>1</v>
      </c>
      <c r="Y72" s="319" t="s">
        <v>173</v>
      </c>
      <c r="Z72" s="319" t="s">
        <v>173</v>
      </c>
      <c r="AA72" s="319" t="s">
        <v>173</v>
      </c>
      <c r="AB72" s="319">
        <v>1</v>
      </c>
      <c r="AC72" s="319" t="s">
        <v>169</v>
      </c>
      <c r="AD72" s="319">
        <v>1</v>
      </c>
      <c r="AE72" s="319">
        <v>1</v>
      </c>
      <c r="AF72" s="319" t="s">
        <v>427</v>
      </c>
      <c r="AG72" s="319" t="s">
        <v>171</v>
      </c>
      <c r="AH72" s="319" t="s">
        <v>190</v>
      </c>
      <c r="AI72" s="319" t="s">
        <v>190</v>
      </c>
      <c r="AJ72" s="319" t="s">
        <v>190</v>
      </c>
      <c r="AK72" s="319" t="s">
        <v>190</v>
      </c>
      <c r="AL72" s="319" t="s">
        <v>190</v>
      </c>
      <c r="AM72" s="319" t="s">
        <v>190</v>
      </c>
      <c r="AN72" s="319" t="s">
        <v>190</v>
      </c>
      <c r="AO72" s="319" t="s">
        <v>190</v>
      </c>
      <c r="AP72" s="319" t="s">
        <v>190</v>
      </c>
      <c r="AQ72" s="319" t="s">
        <v>190</v>
      </c>
      <c r="AR72" s="319" t="s">
        <v>190</v>
      </c>
      <c r="AS72" s="319" t="s">
        <v>190</v>
      </c>
      <c r="AT72" s="319" t="s">
        <v>190</v>
      </c>
      <c r="AU72" s="319" t="s">
        <v>190</v>
      </c>
      <c r="AV72" s="319" t="s">
        <v>190</v>
      </c>
      <c r="AW72" s="319" t="s">
        <v>190</v>
      </c>
      <c r="AX72" s="319" t="s">
        <v>428</v>
      </c>
      <c r="AY72" s="319" t="s">
        <v>190</v>
      </c>
      <c r="AZ72" s="319" t="s">
        <v>190</v>
      </c>
      <c r="BA72" s="319" t="s">
        <v>190</v>
      </c>
      <c r="BB72" s="319" t="s">
        <v>190</v>
      </c>
      <c r="BC72" s="319" t="s">
        <v>190</v>
      </c>
      <c r="BD72" s="319" t="s">
        <v>190</v>
      </c>
      <c r="BE72" s="319" t="s">
        <v>190</v>
      </c>
      <c r="BF72" s="319" t="s">
        <v>190</v>
      </c>
      <c r="BG72" s="319" t="s">
        <v>190</v>
      </c>
      <c r="BH72" s="319" t="s">
        <v>190</v>
      </c>
      <c r="BI72" s="319" t="s">
        <v>190</v>
      </c>
      <c r="BJ72" s="319" t="s">
        <v>190</v>
      </c>
      <c r="BK72" s="319" t="s">
        <v>190</v>
      </c>
      <c r="BL72" s="319" t="s">
        <v>190</v>
      </c>
      <c r="BM72" s="319" t="s">
        <v>190</v>
      </c>
      <c r="BN72" s="319" t="s">
        <v>190</v>
      </c>
      <c r="BO72" s="319" t="s">
        <v>190</v>
      </c>
      <c r="BP72" s="319" t="s">
        <v>190</v>
      </c>
      <c r="BQ72" s="319" t="s">
        <v>190</v>
      </c>
      <c r="BR72" s="319" t="s">
        <v>190</v>
      </c>
      <c r="BS72" s="319" t="s">
        <v>190</v>
      </c>
      <c r="BT72" s="319" t="s">
        <v>190</v>
      </c>
      <c r="BU72" s="319" t="s">
        <v>190</v>
      </c>
      <c r="BV72" s="319" t="s">
        <v>190</v>
      </c>
      <c r="BW72" s="319" t="s">
        <v>190</v>
      </c>
      <c r="BX72" s="319" t="s">
        <v>190</v>
      </c>
      <c r="BY72" s="319" t="s">
        <v>190</v>
      </c>
      <c r="BZ72" s="319" t="s">
        <v>190</v>
      </c>
      <c r="CA72" s="319" t="s">
        <v>190</v>
      </c>
      <c r="CB72" s="319" t="s">
        <v>190</v>
      </c>
      <c r="CC72" s="319" t="s">
        <v>190</v>
      </c>
      <c r="CD72" s="319" t="s">
        <v>190</v>
      </c>
      <c r="CE72" s="319" t="s">
        <v>190</v>
      </c>
      <c r="CF72" s="319" t="s">
        <v>190</v>
      </c>
      <c r="CG72" s="319" t="s">
        <v>190</v>
      </c>
      <c r="CH72" s="319" t="s">
        <v>190</v>
      </c>
      <c r="CI72" s="319" t="s">
        <v>190</v>
      </c>
      <c r="CJ72" s="319" t="s">
        <v>190</v>
      </c>
      <c r="CK72" s="319" t="s">
        <v>190</v>
      </c>
      <c r="CL72" s="319" t="s">
        <v>190</v>
      </c>
      <c r="CM72" s="319" t="s">
        <v>190</v>
      </c>
      <c r="CN72" s="319" t="s">
        <v>428</v>
      </c>
      <c r="CO72" s="319" t="s">
        <v>428</v>
      </c>
      <c r="CP72" s="319" t="s">
        <v>428</v>
      </c>
      <c r="CQ72" s="319" t="s">
        <v>190</v>
      </c>
      <c r="CR72" s="319" t="s">
        <v>190</v>
      </c>
      <c r="CS72" s="319" t="s">
        <v>190</v>
      </c>
      <c r="CT72" s="319" t="s">
        <v>190</v>
      </c>
      <c r="CU72" s="319" t="s">
        <v>190</v>
      </c>
      <c r="CV72" s="319" t="s">
        <v>190</v>
      </c>
      <c r="CW72" s="319" t="s">
        <v>190</v>
      </c>
      <c r="CX72" s="319" t="s">
        <v>190</v>
      </c>
      <c r="CY72" s="319" t="s">
        <v>190</v>
      </c>
      <c r="CZ72" s="319" t="s">
        <v>190</v>
      </c>
      <c r="DA72" s="319" t="s">
        <v>190</v>
      </c>
      <c r="DB72" s="319" t="s">
        <v>190</v>
      </c>
      <c r="DC72" s="319" t="s">
        <v>190</v>
      </c>
      <c r="DD72" s="319" t="s">
        <v>190</v>
      </c>
      <c r="DE72" s="319" t="s">
        <v>190</v>
      </c>
      <c r="DF72" s="319" t="s">
        <v>190</v>
      </c>
      <c r="DG72" s="319" t="s">
        <v>190</v>
      </c>
      <c r="DH72" s="319" t="s">
        <v>190</v>
      </c>
      <c r="DI72" s="319" t="s">
        <v>190</v>
      </c>
      <c r="DJ72" s="319" t="s">
        <v>190</v>
      </c>
      <c r="DK72" s="319" t="s">
        <v>190</v>
      </c>
      <c r="DL72" s="319" t="s">
        <v>190</v>
      </c>
      <c r="DM72" s="319" t="s">
        <v>190</v>
      </c>
      <c r="DN72" s="319" t="s">
        <v>428</v>
      </c>
      <c r="DO72" s="319" t="s">
        <v>190</v>
      </c>
      <c r="DP72" s="319" t="s">
        <v>190</v>
      </c>
      <c r="DQ72" s="319" t="s">
        <v>190</v>
      </c>
      <c r="DR72" s="319" t="s">
        <v>190</v>
      </c>
      <c r="DS72" s="319" t="s">
        <v>190</v>
      </c>
      <c r="DT72" s="319" t="s">
        <v>190</v>
      </c>
      <c r="DU72" s="319" t="s">
        <v>190</v>
      </c>
      <c r="DV72" s="319" t="s">
        <v>173</v>
      </c>
      <c r="DW72" s="319" t="s">
        <v>190</v>
      </c>
      <c r="DX72" s="319" t="s">
        <v>190</v>
      </c>
      <c r="DY72" s="319" t="s">
        <v>190</v>
      </c>
      <c r="DZ72" s="319" t="s">
        <v>190</v>
      </c>
      <c r="EA72" s="319" t="s">
        <v>190</v>
      </c>
      <c r="EB72" s="319" t="s">
        <v>190</v>
      </c>
      <c r="EC72" s="319" t="s">
        <v>428</v>
      </c>
      <c r="ED72" s="319" t="s">
        <v>190</v>
      </c>
      <c r="EE72" s="319" t="s">
        <v>190</v>
      </c>
      <c r="EF72" s="319" t="s">
        <v>190</v>
      </c>
      <c r="EG72" s="319" t="s">
        <v>190</v>
      </c>
      <c r="EH72" s="319" t="s">
        <v>190</v>
      </c>
      <c r="EI72" s="319" t="s">
        <v>190</v>
      </c>
      <c r="EJ72" s="319" t="s">
        <v>190</v>
      </c>
      <c r="EK72" s="319" t="s">
        <v>190</v>
      </c>
      <c r="EL72" s="319" t="s">
        <v>190</v>
      </c>
      <c r="EM72" s="319" t="s">
        <v>190</v>
      </c>
      <c r="EN72" s="319" t="s">
        <v>190</v>
      </c>
      <c r="EO72" s="319" t="s">
        <v>190</v>
      </c>
      <c r="EP72" s="319" t="s">
        <v>190</v>
      </c>
      <c r="EQ72" s="319" t="s">
        <v>190</v>
      </c>
      <c r="ER72" s="319" t="s">
        <v>190</v>
      </c>
      <c r="ES72" s="319" t="s">
        <v>190</v>
      </c>
      <c r="ET72" s="319" t="s">
        <v>190</v>
      </c>
      <c r="EU72" s="319" t="s">
        <v>190</v>
      </c>
      <c r="EV72" s="319" t="s">
        <v>190</v>
      </c>
      <c r="EW72" s="319" t="s">
        <v>190</v>
      </c>
      <c r="EX72" s="319" t="s">
        <v>190</v>
      </c>
      <c r="EY72" s="319" t="s">
        <v>190</v>
      </c>
      <c r="EZ72" s="319" t="s">
        <v>190</v>
      </c>
      <c r="FA72" s="319" t="s">
        <v>190</v>
      </c>
      <c r="FB72" s="319" t="s">
        <v>190</v>
      </c>
      <c r="FC72" s="319" t="s">
        <v>190</v>
      </c>
      <c r="FD72" s="319" t="s">
        <v>190</v>
      </c>
      <c r="FE72" s="319" t="s">
        <v>190</v>
      </c>
      <c r="FF72" s="319" t="s">
        <v>190</v>
      </c>
      <c r="FG72" s="319" t="s">
        <v>190</v>
      </c>
      <c r="FH72" s="319" t="s">
        <v>190</v>
      </c>
      <c r="FI72" s="319" t="s">
        <v>190</v>
      </c>
      <c r="FJ72" s="319" t="s">
        <v>190</v>
      </c>
      <c r="FK72" s="319" t="s">
        <v>190</v>
      </c>
      <c r="FL72" s="319" t="s">
        <v>190</v>
      </c>
      <c r="FM72" s="319" t="s">
        <v>190</v>
      </c>
      <c r="FN72" s="319" t="s">
        <v>190</v>
      </c>
      <c r="FO72" s="319" t="s">
        <v>190</v>
      </c>
      <c r="FP72" s="319" t="s">
        <v>190</v>
      </c>
      <c r="FQ72" s="319" t="s">
        <v>190</v>
      </c>
      <c r="FR72" s="319" t="s">
        <v>190</v>
      </c>
      <c r="FS72" s="319" t="s">
        <v>428</v>
      </c>
      <c r="FT72" s="319" t="s">
        <v>190</v>
      </c>
      <c r="FU72" s="319" t="s">
        <v>190</v>
      </c>
      <c r="FV72" s="319" t="s">
        <v>190</v>
      </c>
      <c r="FW72" s="319" t="s">
        <v>190</v>
      </c>
      <c r="FX72" s="319" t="s">
        <v>190</v>
      </c>
      <c r="FY72" s="319" t="s">
        <v>190</v>
      </c>
      <c r="FZ72" s="319" t="s">
        <v>190</v>
      </c>
      <c r="GA72" s="319" t="s">
        <v>190</v>
      </c>
      <c r="GB72" s="319" t="s">
        <v>190</v>
      </c>
      <c r="GC72" s="319" t="s">
        <v>190</v>
      </c>
      <c r="GD72" s="319" t="s">
        <v>190</v>
      </c>
      <c r="GE72" s="319" t="s">
        <v>190</v>
      </c>
      <c r="GF72" s="319" t="s">
        <v>190</v>
      </c>
      <c r="GG72" s="319" t="s">
        <v>190</v>
      </c>
      <c r="GH72" s="319" t="s">
        <v>190</v>
      </c>
      <c r="GI72" s="319" t="s">
        <v>190</v>
      </c>
      <c r="GJ72" s="319" t="s">
        <v>190</v>
      </c>
      <c r="GK72" s="319" t="s">
        <v>428</v>
      </c>
      <c r="GL72" s="319" t="s">
        <v>190</v>
      </c>
      <c r="GM72" s="319" t="s">
        <v>190</v>
      </c>
      <c r="GN72" s="319" t="s">
        <v>190</v>
      </c>
      <c r="GO72" s="319" t="s">
        <v>190</v>
      </c>
      <c r="GP72" s="319" t="s">
        <v>190</v>
      </c>
      <c r="GQ72" s="319" t="s">
        <v>428</v>
      </c>
      <c r="GR72" s="319" t="s">
        <v>190</v>
      </c>
      <c r="GS72" s="319" t="s">
        <v>190</v>
      </c>
      <c r="GT72" s="319" t="s">
        <v>190</v>
      </c>
      <c r="GU72" s="319" t="s">
        <v>190</v>
      </c>
      <c r="GV72" s="319" t="s">
        <v>190</v>
      </c>
      <c r="GW72" s="319" t="s">
        <v>190</v>
      </c>
      <c r="GX72" s="319" t="s">
        <v>190</v>
      </c>
      <c r="GY72" s="319" t="s">
        <v>190</v>
      </c>
      <c r="GZ72" s="319" t="s">
        <v>190</v>
      </c>
      <c r="HA72" s="319" t="s">
        <v>190</v>
      </c>
      <c r="HB72" s="319" t="s">
        <v>190</v>
      </c>
      <c r="HC72" s="319" t="s">
        <v>190</v>
      </c>
      <c r="HD72" s="319" t="s">
        <v>190</v>
      </c>
      <c r="HE72" s="319" t="s">
        <v>190</v>
      </c>
      <c r="HF72" s="319" t="s">
        <v>190</v>
      </c>
      <c r="HG72" s="319" t="s">
        <v>190</v>
      </c>
      <c r="HH72" s="319" t="s">
        <v>190</v>
      </c>
      <c r="HI72" s="319" t="s">
        <v>190</v>
      </c>
      <c r="HJ72" s="319" t="s">
        <v>190</v>
      </c>
      <c r="HK72" s="319" t="s">
        <v>190</v>
      </c>
      <c r="HL72" s="319" t="s">
        <v>190</v>
      </c>
      <c r="HM72" s="319" t="s">
        <v>190</v>
      </c>
      <c r="HN72" s="319" t="s">
        <v>190</v>
      </c>
      <c r="HO72" s="319" t="s">
        <v>190</v>
      </c>
      <c r="HP72" s="319" t="s">
        <v>190</v>
      </c>
      <c r="HQ72" s="319" t="s">
        <v>190</v>
      </c>
      <c r="HR72" s="319" t="s">
        <v>190</v>
      </c>
      <c r="HS72" s="319" t="s">
        <v>190</v>
      </c>
      <c r="HT72" s="319" t="s">
        <v>190</v>
      </c>
      <c r="HU72" s="319" t="s">
        <v>190</v>
      </c>
      <c r="HV72" s="319" t="s">
        <v>190</v>
      </c>
      <c r="HW72" s="319" t="s">
        <v>190</v>
      </c>
      <c r="HX72" s="319" t="s">
        <v>190</v>
      </c>
      <c r="HY72" s="319" t="s">
        <v>190</v>
      </c>
      <c r="HZ72" s="319" t="s">
        <v>190</v>
      </c>
      <c r="IA72" s="319" t="s">
        <v>190</v>
      </c>
      <c r="IB72" s="319" t="s">
        <v>190</v>
      </c>
      <c r="IC72" s="319" t="s">
        <v>190</v>
      </c>
      <c r="ID72" s="319" t="s">
        <v>190</v>
      </c>
      <c r="IE72" s="319" t="s">
        <v>190</v>
      </c>
      <c r="IF72" s="319" t="s">
        <v>190</v>
      </c>
      <c r="IG72" s="319" t="s">
        <v>190</v>
      </c>
      <c r="IH72" s="319" t="s">
        <v>190</v>
      </c>
      <c r="II72" s="319" t="s">
        <v>190</v>
      </c>
      <c r="IJ72" s="319">
        <v>10006008</v>
      </c>
      <c r="IK72" s="321">
        <v>42710</v>
      </c>
      <c r="IL72" s="321">
        <v>42712</v>
      </c>
      <c r="IM72" s="321">
        <v>42790</v>
      </c>
      <c r="IN72" s="319">
        <v>1</v>
      </c>
      <c r="IO72" s="319" t="s">
        <v>173</v>
      </c>
      <c r="IP72" s="319" t="s">
        <v>173</v>
      </c>
      <c r="IQ72" s="321" t="s">
        <v>173</v>
      </c>
      <c r="IR72" s="320" t="s">
        <v>173</v>
      </c>
      <c r="IS72" s="322" t="s">
        <v>173</v>
      </c>
      <c r="IT72" s="319" t="s">
        <v>173</v>
      </c>
    </row>
    <row r="73" spans="1:254" s="271" customFormat="1" x14ac:dyDescent="0.25">
      <c r="A73" s="318" t="str">
        <f>HYPERLINK("http://www.ofsted.gov.uk/inspection-reports/find-inspection-report/provider/ELS/102869 ","Ofsted School Webpage")</f>
        <v>Ofsted School Webpage</v>
      </c>
      <c r="B73" s="319">
        <v>102869</v>
      </c>
      <c r="C73" s="319">
        <v>3176055</v>
      </c>
      <c r="D73" s="319" t="s">
        <v>1001</v>
      </c>
      <c r="E73" s="319" t="s">
        <v>167</v>
      </c>
      <c r="F73" s="319" t="s">
        <v>81</v>
      </c>
      <c r="G73" s="319" t="s">
        <v>81</v>
      </c>
      <c r="H73" s="319" t="s">
        <v>81</v>
      </c>
      <c r="I73" s="319" t="s">
        <v>78</v>
      </c>
      <c r="J73" s="319" t="s">
        <v>424</v>
      </c>
      <c r="K73" s="319" t="s">
        <v>441</v>
      </c>
      <c r="L73" s="319" t="s">
        <v>441</v>
      </c>
      <c r="M73" s="319" t="s">
        <v>648</v>
      </c>
      <c r="N73" s="319" t="s">
        <v>2847</v>
      </c>
      <c r="O73" s="319" t="s">
        <v>1002</v>
      </c>
      <c r="P73" s="319">
        <v>292</v>
      </c>
      <c r="Q73" s="319" t="s">
        <v>2766</v>
      </c>
      <c r="R73" s="320">
        <v>10092446</v>
      </c>
      <c r="S73" s="321">
        <v>43599</v>
      </c>
      <c r="T73" s="321">
        <v>43601</v>
      </c>
      <c r="U73" s="321">
        <v>43627</v>
      </c>
      <c r="V73" s="319" t="s">
        <v>425</v>
      </c>
      <c r="W73" s="319" t="s">
        <v>2767</v>
      </c>
      <c r="X73" s="319">
        <v>2</v>
      </c>
      <c r="Y73" s="319" t="s">
        <v>173</v>
      </c>
      <c r="Z73" s="319" t="s">
        <v>173</v>
      </c>
      <c r="AA73" s="319" t="s">
        <v>173</v>
      </c>
      <c r="AB73" s="319">
        <v>2</v>
      </c>
      <c r="AC73" s="319" t="s">
        <v>169</v>
      </c>
      <c r="AD73" s="319">
        <v>2</v>
      </c>
      <c r="AE73" s="319" t="s">
        <v>173</v>
      </c>
      <c r="AF73" s="319" t="s">
        <v>427</v>
      </c>
      <c r="AG73" s="319" t="s">
        <v>171</v>
      </c>
      <c r="AH73" s="319" t="s">
        <v>190</v>
      </c>
      <c r="AI73" s="319" t="s">
        <v>190</v>
      </c>
      <c r="AJ73" s="319" t="s">
        <v>190</v>
      </c>
      <c r="AK73" s="319" t="s">
        <v>190</v>
      </c>
      <c r="AL73" s="319" t="s">
        <v>190</v>
      </c>
      <c r="AM73" s="319" t="s">
        <v>190</v>
      </c>
      <c r="AN73" s="319" t="s">
        <v>190</v>
      </c>
      <c r="AO73" s="319" t="s">
        <v>190</v>
      </c>
      <c r="AP73" s="319" t="s">
        <v>190</v>
      </c>
      <c r="AQ73" s="319" t="s">
        <v>190</v>
      </c>
      <c r="AR73" s="319" t="s">
        <v>190</v>
      </c>
      <c r="AS73" s="319" t="s">
        <v>190</v>
      </c>
      <c r="AT73" s="319" t="s">
        <v>190</v>
      </c>
      <c r="AU73" s="319" t="s">
        <v>190</v>
      </c>
      <c r="AV73" s="319" t="s">
        <v>190</v>
      </c>
      <c r="AW73" s="319" t="s">
        <v>190</v>
      </c>
      <c r="AX73" s="319" t="s">
        <v>428</v>
      </c>
      <c r="AY73" s="319" t="s">
        <v>190</v>
      </c>
      <c r="AZ73" s="319" t="s">
        <v>190</v>
      </c>
      <c r="BA73" s="319" t="s">
        <v>190</v>
      </c>
      <c r="BB73" s="319" t="s">
        <v>428</v>
      </c>
      <c r="BC73" s="319" t="s">
        <v>428</v>
      </c>
      <c r="BD73" s="319" t="s">
        <v>428</v>
      </c>
      <c r="BE73" s="319" t="s">
        <v>428</v>
      </c>
      <c r="BF73" s="319" t="s">
        <v>190</v>
      </c>
      <c r="BG73" s="319" t="s">
        <v>428</v>
      </c>
      <c r="BH73" s="319" t="s">
        <v>190</v>
      </c>
      <c r="BI73" s="319" t="s">
        <v>190</v>
      </c>
      <c r="BJ73" s="319" t="s">
        <v>190</v>
      </c>
      <c r="BK73" s="319" t="s">
        <v>190</v>
      </c>
      <c r="BL73" s="319" t="s">
        <v>190</v>
      </c>
      <c r="BM73" s="319" t="s">
        <v>190</v>
      </c>
      <c r="BN73" s="319" t="s">
        <v>190</v>
      </c>
      <c r="BO73" s="319" t="s">
        <v>190</v>
      </c>
      <c r="BP73" s="319" t="s">
        <v>190</v>
      </c>
      <c r="BQ73" s="319" t="s">
        <v>190</v>
      </c>
      <c r="BR73" s="319" t="s">
        <v>190</v>
      </c>
      <c r="BS73" s="319" t="s">
        <v>190</v>
      </c>
      <c r="BT73" s="319" t="s">
        <v>190</v>
      </c>
      <c r="BU73" s="319" t="s">
        <v>190</v>
      </c>
      <c r="BV73" s="319" t="s">
        <v>190</v>
      </c>
      <c r="BW73" s="319" t="s">
        <v>190</v>
      </c>
      <c r="BX73" s="319" t="s">
        <v>190</v>
      </c>
      <c r="BY73" s="319" t="s">
        <v>190</v>
      </c>
      <c r="BZ73" s="319" t="s">
        <v>190</v>
      </c>
      <c r="CA73" s="319" t="s">
        <v>190</v>
      </c>
      <c r="CB73" s="319" t="s">
        <v>190</v>
      </c>
      <c r="CC73" s="319" t="s">
        <v>190</v>
      </c>
      <c r="CD73" s="319" t="s">
        <v>190</v>
      </c>
      <c r="CE73" s="319" t="s">
        <v>190</v>
      </c>
      <c r="CF73" s="319" t="s">
        <v>190</v>
      </c>
      <c r="CG73" s="319" t="s">
        <v>190</v>
      </c>
      <c r="CH73" s="319" t="s">
        <v>190</v>
      </c>
      <c r="CI73" s="319" t="s">
        <v>190</v>
      </c>
      <c r="CJ73" s="319" t="s">
        <v>190</v>
      </c>
      <c r="CK73" s="319" t="s">
        <v>190</v>
      </c>
      <c r="CL73" s="319" t="s">
        <v>190</v>
      </c>
      <c r="CM73" s="319" t="s">
        <v>190</v>
      </c>
      <c r="CN73" s="319" t="s">
        <v>428</v>
      </c>
      <c r="CO73" s="319" t="s">
        <v>428</v>
      </c>
      <c r="CP73" s="319" t="s">
        <v>428</v>
      </c>
      <c r="CQ73" s="319" t="s">
        <v>190</v>
      </c>
      <c r="CR73" s="319" t="s">
        <v>190</v>
      </c>
      <c r="CS73" s="319" t="s">
        <v>190</v>
      </c>
      <c r="CT73" s="319" t="s">
        <v>190</v>
      </c>
      <c r="CU73" s="319" t="s">
        <v>190</v>
      </c>
      <c r="CV73" s="319" t="s">
        <v>190</v>
      </c>
      <c r="CW73" s="319" t="s">
        <v>190</v>
      </c>
      <c r="CX73" s="319" t="s">
        <v>190</v>
      </c>
      <c r="CY73" s="319" t="s">
        <v>190</v>
      </c>
      <c r="CZ73" s="319" t="s">
        <v>190</v>
      </c>
      <c r="DA73" s="319" t="s">
        <v>190</v>
      </c>
      <c r="DB73" s="319" t="s">
        <v>190</v>
      </c>
      <c r="DC73" s="319" t="s">
        <v>190</v>
      </c>
      <c r="DD73" s="319" t="s">
        <v>190</v>
      </c>
      <c r="DE73" s="319" t="s">
        <v>190</v>
      </c>
      <c r="DF73" s="319" t="s">
        <v>190</v>
      </c>
      <c r="DG73" s="319" t="s">
        <v>190</v>
      </c>
      <c r="DH73" s="319" t="s">
        <v>190</v>
      </c>
      <c r="DI73" s="319" t="s">
        <v>190</v>
      </c>
      <c r="DJ73" s="319" t="s">
        <v>190</v>
      </c>
      <c r="DK73" s="319" t="s">
        <v>190</v>
      </c>
      <c r="DL73" s="319" t="s">
        <v>190</v>
      </c>
      <c r="DM73" s="319" t="s">
        <v>190</v>
      </c>
      <c r="DN73" s="319" t="s">
        <v>428</v>
      </c>
      <c r="DO73" s="319" t="s">
        <v>190</v>
      </c>
      <c r="DP73" s="319" t="s">
        <v>428</v>
      </c>
      <c r="DQ73" s="319" t="s">
        <v>428</v>
      </c>
      <c r="DR73" s="319" t="s">
        <v>428</v>
      </c>
      <c r="DS73" s="319" t="s">
        <v>428</v>
      </c>
      <c r="DT73" s="319" t="s">
        <v>428</v>
      </c>
      <c r="DU73" s="319" t="s">
        <v>428</v>
      </c>
      <c r="DV73" s="319" t="s">
        <v>173</v>
      </c>
      <c r="DW73" s="319" t="s">
        <v>428</v>
      </c>
      <c r="DX73" s="319" t="s">
        <v>428</v>
      </c>
      <c r="DY73" s="319" t="s">
        <v>428</v>
      </c>
      <c r="DZ73" s="319" t="s">
        <v>428</v>
      </c>
      <c r="EA73" s="319" t="s">
        <v>428</v>
      </c>
      <c r="EB73" s="319" t="s">
        <v>428</v>
      </c>
      <c r="EC73" s="319" t="s">
        <v>428</v>
      </c>
      <c r="ED73" s="319" t="s">
        <v>428</v>
      </c>
      <c r="EE73" s="319" t="s">
        <v>428</v>
      </c>
      <c r="EF73" s="319" t="s">
        <v>428</v>
      </c>
      <c r="EG73" s="319" t="s">
        <v>428</v>
      </c>
      <c r="EH73" s="319" t="s">
        <v>428</v>
      </c>
      <c r="EI73" s="319" t="s">
        <v>428</v>
      </c>
      <c r="EJ73" s="319" t="s">
        <v>428</v>
      </c>
      <c r="EK73" s="319" t="s">
        <v>428</v>
      </c>
      <c r="EL73" s="319" t="s">
        <v>428</v>
      </c>
      <c r="EM73" s="319" t="s">
        <v>428</v>
      </c>
      <c r="EN73" s="319" t="s">
        <v>190</v>
      </c>
      <c r="EO73" s="319" t="s">
        <v>190</v>
      </c>
      <c r="EP73" s="319" t="s">
        <v>190</v>
      </c>
      <c r="EQ73" s="319" t="s">
        <v>190</v>
      </c>
      <c r="ER73" s="319" t="s">
        <v>190</v>
      </c>
      <c r="ES73" s="319" t="s">
        <v>190</v>
      </c>
      <c r="ET73" s="319" t="s">
        <v>190</v>
      </c>
      <c r="EU73" s="319" t="s">
        <v>190</v>
      </c>
      <c r="EV73" s="319" t="s">
        <v>190</v>
      </c>
      <c r="EW73" s="319" t="s">
        <v>190</v>
      </c>
      <c r="EX73" s="319" t="s">
        <v>190</v>
      </c>
      <c r="EY73" s="319" t="s">
        <v>190</v>
      </c>
      <c r="EZ73" s="319" t="s">
        <v>190</v>
      </c>
      <c r="FA73" s="319" t="s">
        <v>190</v>
      </c>
      <c r="FB73" s="319" t="s">
        <v>428</v>
      </c>
      <c r="FC73" s="319" t="s">
        <v>428</v>
      </c>
      <c r="FD73" s="319" t="s">
        <v>428</v>
      </c>
      <c r="FE73" s="319" t="s">
        <v>428</v>
      </c>
      <c r="FF73" s="319" t="s">
        <v>428</v>
      </c>
      <c r="FG73" s="319" t="s">
        <v>428</v>
      </c>
      <c r="FH73" s="319" t="s">
        <v>428</v>
      </c>
      <c r="FI73" s="319" t="s">
        <v>428</v>
      </c>
      <c r="FJ73" s="319" t="s">
        <v>429</v>
      </c>
      <c r="FK73" s="319" t="s">
        <v>584</v>
      </c>
      <c r="FL73" s="319" t="s">
        <v>190</v>
      </c>
      <c r="FM73" s="319" t="s">
        <v>190</v>
      </c>
      <c r="FN73" s="319" t="s">
        <v>190</v>
      </c>
      <c r="FO73" s="319" t="s">
        <v>190</v>
      </c>
      <c r="FP73" s="319" t="s">
        <v>190</v>
      </c>
      <c r="FQ73" s="319" t="s">
        <v>190</v>
      </c>
      <c r="FR73" s="319" t="s">
        <v>190</v>
      </c>
      <c r="FS73" s="319" t="s">
        <v>428</v>
      </c>
      <c r="FT73" s="319" t="s">
        <v>190</v>
      </c>
      <c r="FU73" s="319" t="s">
        <v>190</v>
      </c>
      <c r="FV73" s="319" t="s">
        <v>190</v>
      </c>
      <c r="FW73" s="319" t="s">
        <v>190</v>
      </c>
      <c r="FX73" s="319" t="s">
        <v>190</v>
      </c>
      <c r="FY73" s="319" t="s">
        <v>190</v>
      </c>
      <c r="FZ73" s="319" t="s">
        <v>190</v>
      </c>
      <c r="GA73" s="319" t="s">
        <v>190</v>
      </c>
      <c r="GB73" s="319" t="s">
        <v>190</v>
      </c>
      <c r="GC73" s="319" t="s">
        <v>190</v>
      </c>
      <c r="GD73" s="319" t="s">
        <v>190</v>
      </c>
      <c r="GE73" s="319" t="s">
        <v>190</v>
      </c>
      <c r="GF73" s="319" t="s">
        <v>190</v>
      </c>
      <c r="GG73" s="319" t="s">
        <v>190</v>
      </c>
      <c r="GH73" s="319" t="s">
        <v>190</v>
      </c>
      <c r="GI73" s="319" t="s">
        <v>190</v>
      </c>
      <c r="GJ73" s="319" t="s">
        <v>190</v>
      </c>
      <c r="GK73" s="319" t="s">
        <v>428</v>
      </c>
      <c r="GL73" s="319" t="s">
        <v>190</v>
      </c>
      <c r="GM73" s="319" t="s">
        <v>190</v>
      </c>
      <c r="GN73" s="319" t="s">
        <v>190</v>
      </c>
      <c r="GO73" s="319" t="s">
        <v>190</v>
      </c>
      <c r="GP73" s="319" t="s">
        <v>190</v>
      </c>
      <c r="GQ73" s="319" t="s">
        <v>190</v>
      </c>
      <c r="GR73" s="319" t="s">
        <v>190</v>
      </c>
      <c r="GS73" s="319" t="s">
        <v>190</v>
      </c>
      <c r="GT73" s="319" t="s">
        <v>190</v>
      </c>
      <c r="GU73" s="319" t="s">
        <v>190</v>
      </c>
      <c r="GV73" s="319" t="s">
        <v>190</v>
      </c>
      <c r="GW73" s="319" t="s">
        <v>190</v>
      </c>
      <c r="GX73" s="319" t="s">
        <v>190</v>
      </c>
      <c r="GY73" s="319" t="s">
        <v>190</v>
      </c>
      <c r="GZ73" s="319" t="s">
        <v>190</v>
      </c>
      <c r="HA73" s="319" t="s">
        <v>428</v>
      </c>
      <c r="HB73" s="319" t="s">
        <v>428</v>
      </c>
      <c r="HC73" s="319" t="s">
        <v>190</v>
      </c>
      <c r="HD73" s="319" t="s">
        <v>190</v>
      </c>
      <c r="HE73" s="319" t="s">
        <v>190</v>
      </c>
      <c r="HF73" s="319" t="s">
        <v>190</v>
      </c>
      <c r="HG73" s="319" t="s">
        <v>190</v>
      </c>
      <c r="HH73" s="319" t="s">
        <v>190</v>
      </c>
      <c r="HI73" s="319" t="s">
        <v>190</v>
      </c>
      <c r="HJ73" s="319" t="s">
        <v>190</v>
      </c>
      <c r="HK73" s="319" t="s">
        <v>190</v>
      </c>
      <c r="HL73" s="319" t="s">
        <v>190</v>
      </c>
      <c r="HM73" s="319" t="s">
        <v>428</v>
      </c>
      <c r="HN73" s="319" t="s">
        <v>428</v>
      </c>
      <c r="HO73" s="319" t="s">
        <v>428</v>
      </c>
      <c r="HP73" s="319" t="s">
        <v>190</v>
      </c>
      <c r="HQ73" s="319" t="s">
        <v>190</v>
      </c>
      <c r="HR73" s="319" t="s">
        <v>190</v>
      </c>
      <c r="HS73" s="319" t="s">
        <v>190</v>
      </c>
      <c r="HT73" s="319" t="s">
        <v>190</v>
      </c>
      <c r="HU73" s="319" t="s">
        <v>190</v>
      </c>
      <c r="HV73" s="319" t="s">
        <v>190</v>
      </c>
      <c r="HW73" s="319" t="s">
        <v>190</v>
      </c>
      <c r="HX73" s="319" t="s">
        <v>190</v>
      </c>
      <c r="HY73" s="319" t="s">
        <v>190</v>
      </c>
      <c r="HZ73" s="319" t="s">
        <v>190</v>
      </c>
      <c r="IA73" s="319" t="s">
        <v>190</v>
      </c>
      <c r="IB73" s="319" t="s">
        <v>190</v>
      </c>
      <c r="IC73" s="319" t="s">
        <v>190</v>
      </c>
      <c r="ID73" s="319" t="s">
        <v>190</v>
      </c>
      <c r="IE73" s="319" t="s">
        <v>190</v>
      </c>
      <c r="IF73" s="319" t="s">
        <v>190</v>
      </c>
      <c r="IG73" s="319" t="s">
        <v>190</v>
      </c>
      <c r="IH73" s="319" t="s">
        <v>190</v>
      </c>
      <c r="II73" s="319" t="s">
        <v>190</v>
      </c>
      <c r="IJ73" s="319">
        <v>10041396</v>
      </c>
      <c r="IK73" s="321">
        <v>43137</v>
      </c>
      <c r="IL73" s="321">
        <v>43139</v>
      </c>
      <c r="IM73" s="321">
        <v>43313</v>
      </c>
      <c r="IN73" s="319">
        <v>4</v>
      </c>
      <c r="IO73" s="319" t="s">
        <v>173</v>
      </c>
      <c r="IP73" s="319" t="s">
        <v>173</v>
      </c>
      <c r="IQ73" s="321" t="s">
        <v>173</v>
      </c>
      <c r="IR73" s="320" t="s">
        <v>173</v>
      </c>
      <c r="IS73" s="322" t="s">
        <v>173</v>
      </c>
      <c r="IT73" s="319" t="s">
        <v>173</v>
      </c>
    </row>
    <row r="74" spans="1:254" s="271" customFormat="1" x14ac:dyDescent="0.25">
      <c r="A74" s="318" t="str">
        <f>HYPERLINK("http://www.ofsted.gov.uk/inspection-reports/find-inspection-report/provider/ELS/102939 ","Ofsted School Webpage")</f>
        <v>Ofsted School Webpage</v>
      </c>
      <c r="B74" s="319">
        <v>102939</v>
      </c>
      <c r="C74" s="319">
        <v>3186055</v>
      </c>
      <c r="D74" s="319" t="s">
        <v>1308</v>
      </c>
      <c r="E74" s="319" t="s">
        <v>167</v>
      </c>
      <c r="F74" s="319" t="s">
        <v>81</v>
      </c>
      <c r="G74" s="319" t="s">
        <v>59</v>
      </c>
      <c r="H74" s="319" t="s">
        <v>59</v>
      </c>
      <c r="I74" s="319" t="s">
        <v>59</v>
      </c>
      <c r="J74" s="319" t="s">
        <v>424</v>
      </c>
      <c r="K74" s="319" t="s">
        <v>441</v>
      </c>
      <c r="L74" s="319" t="s">
        <v>441</v>
      </c>
      <c r="M74" s="319" t="s">
        <v>931</v>
      </c>
      <c r="N74" s="319" t="s">
        <v>2848</v>
      </c>
      <c r="O74" s="319" t="s">
        <v>1309</v>
      </c>
      <c r="P74" s="319">
        <v>204</v>
      </c>
      <c r="Q74" s="319" t="s">
        <v>2766</v>
      </c>
      <c r="R74" s="320">
        <v>10038158</v>
      </c>
      <c r="S74" s="321">
        <v>42990</v>
      </c>
      <c r="T74" s="321">
        <v>42992</v>
      </c>
      <c r="U74" s="321">
        <v>43020</v>
      </c>
      <c r="V74" s="319" t="s">
        <v>425</v>
      </c>
      <c r="W74" s="319" t="s">
        <v>2767</v>
      </c>
      <c r="X74" s="319">
        <v>1</v>
      </c>
      <c r="Y74" s="319" t="s">
        <v>173</v>
      </c>
      <c r="Z74" s="319" t="s">
        <v>173</v>
      </c>
      <c r="AA74" s="319" t="s">
        <v>173</v>
      </c>
      <c r="AB74" s="319">
        <v>1</v>
      </c>
      <c r="AC74" s="319" t="s">
        <v>169</v>
      </c>
      <c r="AD74" s="319">
        <v>1</v>
      </c>
      <c r="AE74" s="319" t="s">
        <v>173</v>
      </c>
      <c r="AF74" s="319" t="s">
        <v>173</v>
      </c>
      <c r="AG74" s="319" t="s">
        <v>171</v>
      </c>
      <c r="AH74" s="319" t="s">
        <v>190</v>
      </c>
      <c r="AI74" s="319" t="s">
        <v>190</v>
      </c>
      <c r="AJ74" s="319" t="s">
        <v>190</v>
      </c>
      <c r="AK74" s="319" t="s">
        <v>190</v>
      </c>
      <c r="AL74" s="319" t="s">
        <v>190</v>
      </c>
      <c r="AM74" s="319" t="s">
        <v>190</v>
      </c>
      <c r="AN74" s="319" t="s">
        <v>190</v>
      </c>
      <c r="AO74" s="319" t="s">
        <v>190</v>
      </c>
      <c r="AP74" s="319" t="s">
        <v>190</v>
      </c>
      <c r="AQ74" s="319" t="s">
        <v>190</v>
      </c>
      <c r="AR74" s="319" t="s">
        <v>190</v>
      </c>
      <c r="AS74" s="319" t="s">
        <v>190</v>
      </c>
      <c r="AT74" s="319" t="s">
        <v>190</v>
      </c>
      <c r="AU74" s="319" t="s">
        <v>190</v>
      </c>
      <c r="AV74" s="319" t="s">
        <v>190</v>
      </c>
      <c r="AW74" s="319" t="s">
        <v>190</v>
      </c>
      <c r="AX74" s="319" t="s">
        <v>429</v>
      </c>
      <c r="AY74" s="319" t="s">
        <v>190</v>
      </c>
      <c r="AZ74" s="319" t="s">
        <v>190</v>
      </c>
      <c r="BA74" s="319" t="s">
        <v>190</v>
      </c>
      <c r="BB74" s="319" t="s">
        <v>429</v>
      </c>
      <c r="BC74" s="319" t="s">
        <v>429</v>
      </c>
      <c r="BD74" s="319" t="s">
        <v>429</v>
      </c>
      <c r="BE74" s="319" t="s">
        <v>429</v>
      </c>
      <c r="BF74" s="319" t="s">
        <v>190</v>
      </c>
      <c r="BG74" s="319" t="s">
        <v>429</v>
      </c>
      <c r="BH74" s="319" t="s">
        <v>190</v>
      </c>
      <c r="BI74" s="319" t="s">
        <v>190</v>
      </c>
      <c r="BJ74" s="319" t="s">
        <v>190</v>
      </c>
      <c r="BK74" s="319" t="s">
        <v>190</v>
      </c>
      <c r="BL74" s="319" t="s">
        <v>190</v>
      </c>
      <c r="BM74" s="319" t="s">
        <v>190</v>
      </c>
      <c r="BN74" s="319" t="s">
        <v>190</v>
      </c>
      <c r="BO74" s="319" t="s">
        <v>190</v>
      </c>
      <c r="BP74" s="319" t="s">
        <v>190</v>
      </c>
      <c r="BQ74" s="319" t="s">
        <v>190</v>
      </c>
      <c r="BR74" s="319" t="s">
        <v>190</v>
      </c>
      <c r="BS74" s="319" t="s">
        <v>190</v>
      </c>
      <c r="BT74" s="319" t="s">
        <v>190</v>
      </c>
      <c r="BU74" s="319" t="s">
        <v>190</v>
      </c>
      <c r="BV74" s="319" t="s">
        <v>190</v>
      </c>
      <c r="BW74" s="319" t="s">
        <v>190</v>
      </c>
      <c r="BX74" s="319" t="s">
        <v>190</v>
      </c>
      <c r="BY74" s="319" t="s">
        <v>190</v>
      </c>
      <c r="BZ74" s="319" t="s">
        <v>190</v>
      </c>
      <c r="CA74" s="319" t="s">
        <v>190</v>
      </c>
      <c r="CB74" s="319" t="s">
        <v>190</v>
      </c>
      <c r="CC74" s="319" t="s">
        <v>190</v>
      </c>
      <c r="CD74" s="319" t="s">
        <v>190</v>
      </c>
      <c r="CE74" s="319" t="s">
        <v>190</v>
      </c>
      <c r="CF74" s="319" t="s">
        <v>190</v>
      </c>
      <c r="CG74" s="319" t="s">
        <v>190</v>
      </c>
      <c r="CH74" s="319" t="s">
        <v>190</v>
      </c>
      <c r="CI74" s="319" t="s">
        <v>190</v>
      </c>
      <c r="CJ74" s="319" t="s">
        <v>190</v>
      </c>
      <c r="CK74" s="319" t="s">
        <v>190</v>
      </c>
      <c r="CL74" s="319" t="s">
        <v>190</v>
      </c>
      <c r="CM74" s="319" t="s">
        <v>190</v>
      </c>
      <c r="CN74" s="319" t="s">
        <v>429</v>
      </c>
      <c r="CO74" s="319" t="s">
        <v>429</v>
      </c>
      <c r="CP74" s="319" t="s">
        <v>429</v>
      </c>
      <c r="CQ74" s="319" t="s">
        <v>190</v>
      </c>
      <c r="CR74" s="319" t="s">
        <v>190</v>
      </c>
      <c r="CS74" s="319" t="s">
        <v>190</v>
      </c>
      <c r="CT74" s="319" t="s">
        <v>190</v>
      </c>
      <c r="CU74" s="319" t="s">
        <v>190</v>
      </c>
      <c r="CV74" s="319" t="s">
        <v>190</v>
      </c>
      <c r="CW74" s="319" t="s">
        <v>190</v>
      </c>
      <c r="CX74" s="319" t="s">
        <v>190</v>
      </c>
      <c r="CY74" s="319" t="s">
        <v>190</v>
      </c>
      <c r="CZ74" s="319" t="s">
        <v>190</v>
      </c>
      <c r="DA74" s="319" t="s">
        <v>190</v>
      </c>
      <c r="DB74" s="319" t="s">
        <v>190</v>
      </c>
      <c r="DC74" s="319" t="s">
        <v>190</v>
      </c>
      <c r="DD74" s="319" t="s">
        <v>190</v>
      </c>
      <c r="DE74" s="319" t="s">
        <v>190</v>
      </c>
      <c r="DF74" s="319" t="s">
        <v>190</v>
      </c>
      <c r="DG74" s="319" t="s">
        <v>190</v>
      </c>
      <c r="DH74" s="319" t="s">
        <v>190</v>
      </c>
      <c r="DI74" s="319" t="s">
        <v>190</v>
      </c>
      <c r="DJ74" s="319" t="s">
        <v>190</v>
      </c>
      <c r="DK74" s="319" t="s">
        <v>190</v>
      </c>
      <c r="DL74" s="319" t="s">
        <v>190</v>
      </c>
      <c r="DM74" s="319" t="s">
        <v>190</v>
      </c>
      <c r="DN74" s="319" t="s">
        <v>429</v>
      </c>
      <c r="DO74" s="319" t="s">
        <v>190</v>
      </c>
      <c r="DP74" s="319" t="s">
        <v>429</v>
      </c>
      <c r="DQ74" s="319" t="s">
        <v>429</v>
      </c>
      <c r="DR74" s="319" t="s">
        <v>429</v>
      </c>
      <c r="DS74" s="319" t="s">
        <v>429</v>
      </c>
      <c r="DT74" s="319" t="s">
        <v>429</v>
      </c>
      <c r="DU74" s="319" t="s">
        <v>429</v>
      </c>
      <c r="DV74" s="319" t="s">
        <v>173</v>
      </c>
      <c r="DW74" s="319" t="s">
        <v>429</v>
      </c>
      <c r="DX74" s="319" t="s">
        <v>429</v>
      </c>
      <c r="DY74" s="319" t="s">
        <v>429</v>
      </c>
      <c r="DZ74" s="319" t="s">
        <v>429</v>
      </c>
      <c r="EA74" s="319" t="s">
        <v>429</v>
      </c>
      <c r="EB74" s="319" t="s">
        <v>429</v>
      </c>
      <c r="EC74" s="319" t="s">
        <v>429</v>
      </c>
      <c r="ED74" s="319" t="s">
        <v>429</v>
      </c>
      <c r="EE74" s="319" t="s">
        <v>190</v>
      </c>
      <c r="EF74" s="319" t="s">
        <v>190</v>
      </c>
      <c r="EG74" s="319" t="s">
        <v>190</v>
      </c>
      <c r="EH74" s="319" t="s">
        <v>190</v>
      </c>
      <c r="EI74" s="319" t="s">
        <v>190</v>
      </c>
      <c r="EJ74" s="319" t="s">
        <v>190</v>
      </c>
      <c r="EK74" s="319" t="s">
        <v>190</v>
      </c>
      <c r="EL74" s="319" t="s">
        <v>190</v>
      </c>
      <c r="EM74" s="319" t="s">
        <v>190</v>
      </c>
      <c r="EN74" s="319" t="s">
        <v>190</v>
      </c>
      <c r="EO74" s="319" t="s">
        <v>190</v>
      </c>
      <c r="EP74" s="319" t="s">
        <v>190</v>
      </c>
      <c r="EQ74" s="319" t="s">
        <v>190</v>
      </c>
      <c r="ER74" s="319" t="s">
        <v>190</v>
      </c>
      <c r="ES74" s="319" t="s">
        <v>190</v>
      </c>
      <c r="ET74" s="319" t="s">
        <v>190</v>
      </c>
      <c r="EU74" s="319" t="s">
        <v>190</v>
      </c>
      <c r="EV74" s="319" t="s">
        <v>190</v>
      </c>
      <c r="EW74" s="319" t="s">
        <v>190</v>
      </c>
      <c r="EX74" s="319" t="s">
        <v>190</v>
      </c>
      <c r="EY74" s="319" t="s">
        <v>190</v>
      </c>
      <c r="EZ74" s="319" t="s">
        <v>190</v>
      </c>
      <c r="FA74" s="319" t="s">
        <v>190</v>
      </c>
      <c r="FB74" s="319" t="s">
        <v>429</v>
      </c>
      <c r="FC74" s="319" t="s">
        <v>429</v>
      </c>
      <c r="FD74" s="319" t="s">
        <v>429</v>
      </c>
      <c r="FE74" s="319" t="s">
        <v>429</v>
      </c>
      <c r="FF74" s="319" t="s">
        <v>429</v>
      </c>
      <c r="FG74" s="319" t="s">
        <v>429</v>
      </c>
      <c r="FH74" s="319" t="s">
        <v>190</v>
      </c>
      <c r="FI74" s="319" t="s">
        <v>190</v>
      </c>
      <c r="FJ74" s="319" t="s">
        <v>190</v>
      </c>
      <c r="FK74" s="319" t="s">
        <v>190</v>
      </c>
      <c r="FL74" s="319" t="s">
        <v>190</v>
      </c>
      <c r="FM74" s="319" t="s">
        <v>190</v>
      </c>
      <c r="FN74" s="319" t="s">
        <v>190</v>
      </c>
      <c r="FO74" s="319" t="s">
        <v>429</v>
      </c>
      <c r="FP74" s="319" t="s">
        <v>429</v>
      </c>
      <c r="FQ74" s="319" t="s">
        <v>190</v>
      </c>
      <c r="FR74" s="319" t="s">
        <v>190</v>
      </c>
      <c r="FS74" s="319" t="s">
        <v>429</v>
      </c>
      <c r="FT74" s="319" t="s">
        <v>190</v>
      </c>
      <c r="FU74" s="319" t="s">
        <v>190</v>
      </c>
      <c r="FV74" s="319" t="s">
        <v>190</v>
      </c>
      <c r="FW74" s="319" t="s">
        <v>190</v>
      </c>
      <c r="FX74" s="319" t="s">
        <v>190</v>
      </c>
      <c r="FY74" s="319" t="s">
        <v>190</v>
      </c>
      <c r="FZ74" s="319" t="s">
        <v>190</v>
      </c>
      <c r="GA74" s="319" t="s">
        <v>190</v>
      </c>
      <c r="GB74" s="319" t="s">
        <v>190</v>
      </c>
      <c r="GC74" s="319" t="s">
        <v>190</v>
      </c>
      <c r="GD74" s="319" t="s">
        <v>190</v>
      </c>
      <c r="GE74" s="319" t="s">
        <v>190</v>
      </c>
      <c r="GF74" s="319" t="s">
        <v>529</v>
      </c>
      <c r="GG74" s="319" t="s">
        <v>190</v>
      </c>
      <c r="GH74" s="319" t="s">
        <v>190</v>
      </c>
      <c r="GI74" s="319" t="s">
        <v>190</v>
      </c>
      <c r="GJ74" s="319" t="s">
        <v>190</v>
      </c>
      <c r="GK74" s="319" t="s">
        <v>429</v>
      </c>
      <c r="GL74" s="319" t="s">
        <v>190</v>
      </c>
      <c r="GM74" s="319" t="s">
        <v>190</v>
      </c>
      <c r="GN74" s="319" t="s">
        <v>190</v>
      </c>
      <c r="GO74" s="319" t="s">
        <v>190</v>
      </c>
      <c r="GP74" s="319" t="s">
        <v>190</v>
      </c>
      <c r="GQ74" s="319" t="s">
        <v>190</v>
      </c>
      <c r="GR74" s="319" t="s">
        <v>190</v>
      </c>
      <c r="GS74" s="319" t="s">
        <v>190</v>
      </c>
      <c r="GT74" s="319" t="s">
        <v>429</v>
      </c>
      <c r="GU74" s="319" t="s">
        <v>429</v>
      </c>
      <c r="GV74" s="319" t="s">
        <v>190</v>
      </c>
      <c r="GW74" s="319" t="s">
        <v>190</v>
      </c>
      <c r="GX74" s="319" t="s">
        <v>190</v>
      </c>
      <c r="GY74" s="319" t="s">
        <v>190</v>
      </c>
      <c r="GZ74" s="319" t="s">
        <v>190</v>
      </c>
      <c r="HA74" s="319" t="s">
        <v>429</v>
      </c>
      <c r="HB74" s="319" t="s">
        <v>190</v>
      </c>
      <c r="HC74" s="319" t="s">
        <v>190</v>
      </c>
      <c r="HD74" s="319" t="s">
        <v>190</v>
      </c>
      <c r="HE74" s="319" t="s">
        <v>190</v>
      </c>
      <c r="HF74" s="319" t="s">
        <v>190</v>
      </c>
      <c r="HG74" s="319" t="s">
        <v>190</v>
      </c>
      <c r="HH74" s="319" t="s">
        <v>190</v>
      </c>
      <c r="HI74" s="319" t="s">
        <v>190</v>
      </c>
      <c r="HJ74" s="319" t="s">
        <v>190</v>
      </c>
      <c r="HK74" s="319" t="s">
        <v>190</v>
      </c>
      <c r="HL74" s="319" t="s">
        <v>190</v>
      </c>
      <c r="HM74" s="319" t="s">
        <v>190</v>
      </c>
      <c r="HN74" s="319" t="s">
        <v>190</v>
      </c>
      <c r="HO74" s="319" t="s">
        <v>190</v>
      </c>
      <c r="HP74" s="319" t="s">
        <v>190</v>
      </c>
      <c r="HQ74" s="319" t="s">
        <v>190</v>
      </c>
      <c r="HR74" s="319" t="s">
        <v>190</v>
      </c>
      <c r="HS74" s="319" t="s">
        <v>190</v>
      </c>
      <c r="HT74" s="319" t="s">
        <v>190</v>
      </c>
      <c r="HU74" s="319" t="s">
        <v>190</v>
      </c>
      <c r="HV74" s="319" t="s">
        <v>190</v>
      </c>
      <c r="HW74" s="319" t="s">
        <v>190</v>
      </c>
      <c r="HX74" s="319" t="s">
        <v>190</v>
      </c>
      <c r="HY74" s="319" t="s">
        <v>190</v>
      </c>
      <c r="HZ74" s="319" t="s">
        <v>190</v>
      </c>
      <c r="IA74" s="319" t="s">
        <v>190</v>
      </c>
      <c r="IB74" s="319" t="s">
        <v>190</v>
      </c>
      <c r="IC74" s="319" t="s">
        <v>190</v>
      </c>
      <c r="ID74" s="319" t="s">
        <v>190</v>
      </c>
      <c r="IE74" s="319" t="s">
        <v>190</v>
      </c>
      <c r="IF74" s="319" t="s">
        <v>190</v>
      </c>
      <c r="IG74" s="319" t="s">
        <v>190</v>
      </c>
      <c r="IH74" s="319" t="s">
        <v>190</v>
      </c>
      <c r="II74" s="319" t="s">
        <v>190</v>
      </c>
      <c r="IJ74" s="319" t="s">
        <v>2849</v>
      </c>
      <c r="IK74" s="321">
        <v>41968</v>
      </c>
      <c r="IL74" s="321">
        <v>41970</v>
      </c>
      <c r="IM74" s="321">
        <v>41991</v>
      </c>
      <c r="IN74" s="319">
        <v>1</v>
      </c>
      <c r="IO74" s="319" t="s">
        <v>173</v>
      </c>
      <c r="IP74" s="319" t="s">
        <v>173</v>
      </c>
      <c r="IQ74" s="321" t="s">
        <v>173</v>
      </c>
      <c r="IR74" s="320" t="s">
        <v>173</v>
      </c>
      <c r="IS74" s="322" t="s">
        <v>173</v>
      </c>
      <c r="IT74" s="319" t="s">
        <v>173</v>
      </c>
    </row>
    <row r="75" spans="1:254" s="271" customFormat="1" x14ac:dyDescent="0.25">
      <c r="A75" s="318" t="str">
        <f>HYPERLINK("http://www.ofsted.gov.uk/inspection-reports/find-inspection-report/provider/ELS/102945 ","Ofsted School Webpage")</f>
        <v>Ofsted School Webpage</v>
      </c>
      <c r="B75" s="319">
        <v>102945</v>
      </c>
      <c r="C75" s="319">
        <v>3186070</v>
      </c>
      <c r="D75" s="319" t="s">
        <v>1310</v>
      </c>
      <c r="E75" s="319" t="s">
        <v>167</v>
      </c>
      <c r="F75" s="319" t="s">
        <v>81</v>
      </c>
      <c r="G75" s="319" t="s">
        <v>81</v>
      </c>
      <c r="H75" s="319" t="s">
        <v>81</v>
      </c>
      <c r="I75" s="319" t="s">
        <v>78</v>
      </c>
      <c r="J75" s="319" t="s">
        <v>424</v>
      </c>
      <c r="K75" s="319" t="s">
        <v>441</v>
      </c>
      <c r="L75" s="319" t="s">
        <v>441</v>
      </c>
      <c r="M75" s="319" t="s">
        <v>931</v>
      </c>
      <c r="N75" s="319" t="s">
        <v>2850</v>
      </c>
      <c r="O75" s="319" t="s">
        <v>1311</v>
      </c>
      <c r="P75" s="319">
        <v>888</v>
      </c>
      <c r="Q75" s="319" t="s">
        <v>2776</v>
      </c>
      <c r="R75" s="320">
        <v>10035787</v>
      </c>
      <c r="S75" s="321">
        <v>43215</v>
      </c>
      <c r="T75" s="321">
        <v>43217</v>
      </c>
      <c r="U75" s="321">
        <v>43238</v>
      </c>
      <c r="V75" s="319" t="s">
        <v>425</v>
      </c>
      <c r="W75" s="319" t="s">
        <v>2767</v>
      </c>
      <c r="X75" s="319">
        <v>2</v>
      </c>
      <c r="Y75" s="319" t="s">
        <v>173</v>
      </c>
      <c r="Z75" s="319" t="s">
        <v>173</v>
      </c>
      <c r="AA75" s="319" t="s">
        <v>173</v>
      </c>
      <c r="AB75" s="319">
        <v>2</v>
      </c>
      <c r="AC75" s="319" t="s">
        <v>169</v>
      </c>
      <c r="AD75" s="319">
        <v>2</v>
      </c>
      <c r="AE75" s="319">
        <v>2</v>
      </c>
      <c r="AF75" s="319" t="s">
        <v>427</v>
      </c>
      <c r="AG75" s="319" t="s">
        <v>171</v>
      </c>
      <c r="AH75" s="319" t="s">
        <v>190</v>
      </c>
      <c r="AI75" s="319" t="s">
        <v>190</v>
      </c>
      <c r="AJ75" s="319" t="s">
        <v>190</v>
      </c>
      <c r="AK75" s="319" t="s">
        <v>190</v>
      </c>
      <c r="AL75" s="319" t="s">
        <v>190</v>
      </c>
      <c r="AM75" s="319" t="s">
        <v>190</v>
      </c>
      <c r="AN75" s="319" t="s">
        <v>190</v>
      </c>
      <c r="AO75" s="319" t="s">
        <v>190</v>
      </c>
      <c r="AP75" s="319" t="s">
        <v>190</v>
      </c>
      <c r="AQ75" s="319" t="s">
        <v>190</v>
      </c>
      <c r="AR75" s="319" t="s">
        <v>190</v>
      </c>
      <c r="AS75" s="319" t="s">
        <v>190</v>
      </c>
      <c r="AT75" s="319" t="s">
        <v>190</v>
      </c>
      <c r="AU75" s="319" t="s">
        <v>190</v>
      </c>
      <c r="AV75" s="319" t="s">
        <v>190</v>
      </c>
      <c r="AW75" s="319" t="s">
        <v>190</v>
      </c>
      <c r="AX75" s="319" t="s">
        <v>190</v>
      </c>
      <c r="AY75" s="319" t="s">
        <v>190</v>
      </c>
      <c r="AZ75" s="319" t="s">
        <v>190</v>
      </c>
      <c r="BA75" s="319" t="s">
        <v>190</v>
      </c>
      <c r="BB75" s="319" t="s">
        <v>190</v>
      </c>
      <c r="BC75" s="319" t="s">
        <v>190</v>
      </c>
      <c r="BD75" s="319" t="s">
        <v>190</v>
      </c>
      <c r="BE75" s="319" t="s">
        <v>190</v>
      </c>
      <c r="BF75" s="319" t="s">
        <v>190</v>
      </c>
      <c r="BG75" s="319" t="s">
        <v>190</v>
      </c>
      <c r="BH75" s="319" t="s">
        <v>190</v>
      </c>
      <c r="BI75" s="319" t="s">
        <v>190</v>
      </c>
      <c r="BJ75" s="319" t="s">
        <v>190</v>
      </c>
      <c r="BK75" s="319" t="s">
        <v>190</v>
      </c>
      <c r="BL75" s="319" t="s">
        <v>190</v>
      </c>
      <c r="BM75" s="319" t="s">
        <v>190</v>
      </c>
      <c r="BN75" s="319" t="s">
        <v>190</v>
      </c>
      <c r="BO75" s="319" t="s">
        <v>190</v>
      </c>
      <c r="BP75" s="319" t="s">
        <v>190</v>
      </c>
      <c r="BQ75" s="319" t="s">
        <v>190</v>
      </c>
      <c r="BR75" s="319" t="s">
        <v>190</v>
      </c>
      <c r="BS75" s="319" t="s">
        <v>190</v>
      </c>
      <c r="BT75" s="319" t="s">
        <v>190</v>
      </c>
      <c r="BU75" s="319" t="s">
        <v>190</v>
      </c>
      <c r="BV75" s="319" t="s">
        <v>190</v>
      </c>
      <c r="BW75" s="319" t="s">
        <v>190</v>
      </c>
      <c r="BX75" s="319" t="s">
        <v>190</v>
      </c>
      <c r="BY75" s="319" t="s">
        <v>190</v>
      </c>
      <c r="BZ75" s="319" t="s">
        <v>190</v>
      </c>
      <c r="CA75" s="319" t="s">
        <v>190</v>
      </c>
      <c r="CB75" s="319" t="s">
        <v>190</v>
      </c>
      <c r="CC75" s="319" t="s">
        <v>190</v>
      </c>
      <c r="CD75" s="319" t="s">
        <v>190</v>
      </c>
      <c r="CE75" s="319" t="s">
        <v>190</v>
      </c>
      <c r="CF75" s="319" t="s">
        <v>190</v>
      </c>
      <c r="CG75" s="319" t="s">
        <v>190</v>
      </c>
      <c r="CH75" s="319" t="s">
        <v>190</v>
      </c>
      <c r="CI75" s="319" t="s">
        <v>190</v>
      </c>
      <c r="CJ75" s="319" t="s">
        <v>190</v>
      </c>
      <c r="CK75" s="319" t="s">
        <v>190</v>
      </c>
      <c r="CL75" s="319" t="s">
        <v>190</v>
      </c>
      <c r="CM75" s="319" t="s">
        <v>190</v>
      </c>
      <c r="CN75" s="319" t="s">
        <v>428</v>
      </c>
      <c r="CO75" s="319" t="s">
        <v>428</v>
      </c>
      <c r="CP75" s="319" t="s">
        <v>428</v>
      </c>
      <c r="CQ75" s="319" t="s">
        <v>190</v>
      </c>
      <c r="CR75" s="319" t="s">
        <v>190</v>
      </c>
      <c r="CS75" s="319" t="s">
        <v>190</v>
      </c>
      <c r="CT75" s="319" t="s">
        <v>190</v>
      </c>
      <c r="CU75" s="319" t="s">
        <v>190</v>
      </c>
      <c r="CV75" s="319" t="s">
        <v>190</v>
      </c>
      <c r="CW75" s="319" t="s">
        <v>190</v>
      </c>
      <c r="CX75" s="319" t="s">
        <v>190</v>
      </c>
      <c r="CY75" s="319" t="s">
        <v>190</v>
      </c>
      <c r="CZ75" s="319" t="s">
        <v>190</v>
      </c>
      <c r="DA75" s="319" t="s">
        <v>190</v>
      </c>
      <c r="DB75" s="319" t="s">
        <v>190</v>
      </c>
      <c r="DC75" s="319" t="s">
        <v>190</v>
      </c>
      <c r="DD75" s="319" t="s">
        <v>190</v>
      </c>
      <c r="DE75" s="319" t="s">
        <v>190</v>
      </c>
      <c r="DF75" s="319" t="s">
        <v>190</v>
      </c>
      <c r="DG75" s="319" t="s">
        <v>190</v>
      </c>
      <c r="DH75" s="319" t="s">
        <v>190</v>
      </c>
      <c r="DI75" s="319" t="s">
        <v>190</v>
      </c>
      <c r="DJ75" s="319" t="s">
        <v>190</v>
      </c>
      <c r="DK75" s="319" t="s">
        <v>190</v>
      </c>
      <c r="DL75" s="319" t="s">
        <v>190</v>
      </c>
      <c r="DM75" s="319" t="s">
        <v>190</v>
      </c>
      <c r="DN75" s="319" t="s">
        <v>428</v>
      </c>
      <c r="DO75" s="319" t="s">
        <v>190</v>
      </c>
      <c r="DP75" s="319" t="s">
        <v>428</v>
      </c>
      <c r="DQ75" s="319" t="s">
        <v>428</v>
      </c>
      <c r="DR75" s="319" t="s">
        <v>428</v>
      </c>
      <c r="DS75" s="319" t="s">
        <v>428</v>
      </c>
      <c r="DT75" s="319" t="s">
        <v>428</v>
      </c>
      <c r="DU75" s="319" t="s">
        <v>428</v>
      </c>
      <c r="DV75" s="319" t="s">
        <v>173</v>
      </c>
      <c r="DW75" s="319" t="s">
        <v>428</v>
      </c>
      <c r="DX75" s="319" t="s">
        <v>428</v>
      </c>
      <c r="DY75" s="319" t="s">
        <v>428</v>
      </c>
      <c r="DZ75" s="319" t="s">
        <v>428</v>
      </c>
      <c r="EA75" s="319" t="s">
        <v>428</v>
      </c>
      <c r="EB75" s="319" t="s">
        <v>428</v>
      </c>
      <c r="EC75" s="319" t="s">
        <v>428</v>
      </c>
      <c r="ED75" s="319" t="s">
        <v>428</v>
      </c>
      <c r="EE75" s="319" t="s">
        <v>190</v>
      </c>
      <c r="EF75" s="319" t="s">
        <v>190</v>
      </c>
      <c r="EG75" s="319" t="s">
        <v>190</v>
      </c>
      <c r="EH75" s="319" t="s">
        <v>190</v>
      </c>
      <c r="EI75" s="319" t="s">
        <v>190</v>
      </c>
      <c r="EJ75" s="319" t="s">
        <v>190</v>
      </c>
      <c r="EK75" s="319" t="s">
        <v>190</v>
      </c>
      <c r="EL75" s="319" t="s">
        <v>190</v>
      </c>
      <c r="EM75" s="319" t="s">
        <v>190</v>
      </c>
      <c r="EN75" s="319" t="s">
        <v>190</v>
      </c>
      <c r="EO75" s="319" t="s">
        <v>190</v>
      </c>
      <c r="EP75" s="319" t="s">
        <v>190</v>
      </c>
      <c r="EQ75" s="319" t="s">
        <v>190</v>
      </c>
      <c r="ER75" s="319" t="s">
        <v>190</v>
      </c>
      <c r="ES75" s="319" t="s">
        <v>190</v>
      </c>
      <c r="ET75" s="319" t="s">
        <v>190</v>
      </c>
      <c r="EU75" s="319" t="s">
        <v>190</v>
      </c>
      <c r="EV75" s="319" t="s">
        <v>190</v>
      </c>
      <c r="EW75" s="319" t="s">
        <v>190</v>
      </c>
      <c r="EX75" s="319" t="s">
        <v>190</v>
      </c>
      <c r="EY75" s="319" t="s">
        <v>190</v>
      </c>
      <c r="EZ75" s="319" t="s">
        <v>190</v>
      </c>
      <c r="FA75" s="319" t="s">
        <v>190</v>
      </c>
      <c r="FB75" s="319" t="s">
        <v>428</v>
      </c>
      <c r="FC75" s="319" t="s">
        <v>428</v>
      </c>
      <c r="FD75" s="319" t="s">
        <v>428</v>
      </c>
      <c r="FE75" s="319" t="s">
        <v>428</v>
      </c>
      <c r="FF75" s="319" t="s">
        <v>428</v>
      </c>
      <c r="FG75" s="319" t="s">
        <v>428</v>
      </c>
      <c r="FH75" s="319" t="s">
        <v>190</v>
      </c>
      <c r="FI75" s="319" t="s">
        <v>190</v>
      </c>
      <c r="FJ75" s="319" t="s">
        <v>190</v>
      </c>
      <c r="FK75" s="319" t="s">
        <v>190</v>
      </c>
      <c r="FL75" s="319" t="s">
        <v>190</v>
      </c>
      <c r="FM75" s="319" t="s">
        <v>190</v>
      </c>
      <c r="FN75" s="319" t="s">
        <v>190</v>
      </c>
      <c r="FO75" s="319" t="s">
        <v>190</v>
      </c>
      <c r="FP75" s="319" t="s">
        <v>190</v>
      </c>
      <c r="FQ75" s="319" t="s">
        <v>190</v>
      </c>
      <c r="FR75" s="319" t="s">
        <v>190</v>
      </c>
      <c r="FS75" s="319" t="s">
        <v>428</v>
      </c>
      <c r="FT75" s="319" t="s">
        <v>190</v>
      </c>
      <c r="FU75" s="319" t="s">
        <v>190</v>
      </c>
      <c r="FV75" s="319" t="s">
        <v>190</v>
      </c>
      <c r="FW75" s="319" t="s">
        <v>190</v>
      </c>
      <c r="FX75" s="319" t="s">
        <v>190</v>
      </c>
      <c r="FY75" s="319" t="s">
        <v>190</v>
      </c>
      <c r="FZ75" s="319" t="s">
        <v>190</v>
      </c>
      <c r="GA75" s="319" t="s">
        <v>190</v>
      </c>
      <c r="GB75" s="319" t="s">
        <v>190</v>
      </c>
      <c r="GC75" s="319" t="s">
        <v>190</v>
      </c>
      <c r="GD75" s="319" t="s">
        <v>190</v>
      </c>
      <c r="GE75" s="319" t="s">
        <v>190</v>
      </c>
      <c r="GF75" s="319" t="s">
        <v>190</v>
      </c>
      <c r="GG75" s="319" t="s">
        <v>190</v>
      </c>
      <c r="GH75" s="319" t="s">
        <v>190</v>
      </c>
      <c r="GI75" s="319" t="s">
        <v>190</v>
      </c>
      <c r="GJ75" s="319" t="s">
        <v>190</v>
      </c>
      <c r="GK75" s="319" t="s">
        <v>428</v>
      </c>
      <c r="GL75" s="319" t="s">
        <v>190</v>
      </c>
      <c r="GM75" s="319" t="s">
        <v>190</v>
      </c>
      <c r="GN75" s="319" t="s">
        <v>190</v>
      </c>
      <c r="GO75" s="319" t="s">
        <v>190</v>
      </c>
      <c r="GP75" s="319" t="s">
        <v>190</v>
      </c>
      <c r="GQ75" s="319" t="s">
        <v>190</v>
      </c>
      <c r="GR75" s="319" t="s">
        <v>190</v>
      </c>
      <c r="GS75" s="319" t="s">
        <v>190</v>
      </c>
      <c r="GT75" s="319" t="s">
        <v>428</v>
      </c>
      <c r="GU75" s="319" t="s">
        <v>428</v>
      </c>
      <c r="GV75" s="319" t="s">
        <v>190</v>
      </c>
      <c r="GW75" s="319" t="s">
        <v>190</v>
      </c>
      <c r="GX75" s="319" t="s">
        <v>190</v>
      </c>
      <c r="GY75" s="319" t="s">
        <v>190</v>
      </c>
      <c r="GZ75" s="319" t="s">
        <v>190</v>
      </c>
      <c r="HA75" s="319" t="s">
        <v>190</v>
      </c>
      <c r="HB75" s="319" t="s">
        <v>190</v>
      </c>
      <c r="HC75" s="319" t="s">
        <v>190</v>
      </c>
      <c r="HD75" s="319" t="s">
        <v>190</v>
      </c>
      <c r="HE75" s="319" t="s">
        <v>190</v>
      </c>
      <c r="HF75" s="319" t="s">
        <v>190</v>
      </c>
      <c r="HG75" s="319" t="s">
        <v>190</v>
      </c>
      <c r="HH75" s="319" t="s">
        <v>190</v>
      </c>
      <c r="HI75" s="319" t="s">
        <v>190</v>
      </c>
      <c r="HJ75" s="319" t="s">
        <v>190</v>
      </c>
      <c r="HK75" s="319" t="s">
        <v>190</v>
      </c>
      <c r="HL75" s="319" t="s">
        <v>190</v>
      </c>
      <c r="HM75" s="319" t="s">
        <v>190</v>
      </c>
      <c r="HN75" s="319" t="s">
        <v>190</v>
      </c>
      <c r="HO75" s="319" t="s">
        <v>190</v>
      </c>
      <c r="HP75" s="319" t="s">
        <v>190</v>
      </c>
      <c r="HQ75" s="319" t="s">
        <v>190</v>
      </c>
      <c r="HR75" s="319" t="s">
        <v>190</v>
      </c>
      <c r="HS75" s="319" t="s">
        <v>190</v>
      </c>
      <c r="HT75" s="319" t="s">
        <v>190</v>
      </c>
      <c r="HU75" s="319" t="s">
        <v>190</v>
      </c>
      <c r="HV75" s="319" t="s">
        <v>190</v>
      </c>
      <c r="HW75" s="319" t="s">
        <v>190</v>
      </c>
      <c r="HX75" s="319" t="s">
        <v>190</v>
      </c>
      <c r="HY75" s="319" t="s">
        <v>190</v>
      </c>
      <c r="HZ75" s="319" t="s">
        <v>190</v>
      </c>
      <c r="IA75" s="319" t="s">
        <v>190</v>
      </c>
      <c r="IB75" s="319" t="s">
        <v>190</v>
      </c>
      <c r="IC75" s="319" t="s">
        <v>190</v>
      </c>
      <c r="ID75" s="319" t="s">
        <v>190</v>
      </c>
      <c r="IE75" s="319" t="s">
        <v>190</v>
      </c>
      <c r="IF75" s="319" t="s">
        <v>190</v>
      </c>
      <c r="IG75" s="319" t="s">
        <v>190</v>
      </c>
      <c r="IH75" s="319" t="s">
        <v>190</v>
      </c>
      <c r="II75" s="319" t="s">
        <v>190</v>
      </c>
      <c r="IJ75" s="319" t="s">
        <v>2851</v>
      </c>
      <c r="IK75" s="321">
        <v>41807</v>
      </c>
      <c r="IL75" s="321">
        <v>41809</v>
      </c>
      <c r="IM75" s="321">
        <v>41828</v>
      </c>
      <c r="IN75" s="319">
        <v>1</v>
      </c>
      <c r="IO75" s="319" t="s">
        <v>173</v>
      </c>
      <c r="IP75" s="319" t="s">
        <v>173</v>
      </c>
      <c r="IQ75" s="321" t="s">
        <v>173</v>
      </c>
      <c r="IR75" s="320" t="s">
        <v>173</v>
      </c>
      <c r="IS75" s="322" t="s">
        <v>173</v>
      </c>
      <c r="IT75" s="319" t="s">
        <v>173</v>
      </c>
    </row>
    <row r="76" spans="1:254" s="271" customFormat="1" x14ac:dyDescent="0.25">
      <c r="A76" s="318" t="str">
        <f>HYPERLINK("http://www.ofsted.gov.uk/inspection-reports/find-inspection-report/provider/ELS/102948 ","Ofsted School Webpage")</f>
        <v>Ofsted School Webpage</v>
      </c>
      <c r="B76" s="319">
        <v>102948</v>
      </c>
      <c r="C76" s="319">
        <v>3186076</v>
      </c>
      <c r="D76" s="319" t="s">
        <v>930</v>
      </c>
      <c r="E76" s="319" t="s">
        <v>167</v>
      </c>
      <c r="F76" s="319" t="s">
        <v>81</v>
      </c>
      <c r="G76" s="319" t="s">
        <v>81</v>
      </c>
      <c r="H76" s="319" t="s">
        <v>81</v>
      </c>
      <c r="I76" s="319" t="s">
        <v>78</v>
      </c>
      <c r="J76" s="319" t="s">
        <v>424</v>
      </c>
      <c r="K76" s="319" t="s">
        <v>441</v>
      </c>
      <c r="L76" s="319" t="s">
        <v>441</v>
      </c>
      <c r="M76" s="319" t="s">
        <v>931</v>
      </c>
      <c r="N76" s="319" t="s">
        <v>2850</v>
      </c>
      <c r="O76" s="319" t="s">
        <v>932</v>
      </c>
      <c r="P76" s="319">
        <v>277</v>
      </c>
      <c r="Q76" s="319" t="s">
        <v>2776</v>
      </c>
      <c r="R76" s="320">
        <v>10067123</v>
      </c>
      <c r="S76" s="321">
        <v>43508</v>
      </c>
      <c r="T76" s="321">
        <v>43510</v>
      </c>
      <c r="U76" s="321">
        <v>43534</v>
      </c>
      <c r="V76" s="319" t="s">
        <v>425</v>
      </c>
      <c r="W76" s="319" t="s">
        <v>2767</v>
      </c>
      <c r="X76" s="319">
        <v>1</v>
      </c>
      <c r="Y76" s="319" t="s">
        <v>173</v>
      </c>
      <c r="Z76" s="319" t="s">
        <v>173</v>
      </c>
      <c r="AA76" s="319" t="s">
        <v>173</v>
      </c>
      <c r="AB76" s="319">
        <v>1</v>
      </c>
      <c r="AC76" s="319" t="s">
        <v>169</v>
      </c>
      <c r="AD76" s="319">
        <v>1</v>
      </c>
      <c r="AE76" s="319">
        <v>1</v>
      </c>
      <c r="AF76" s="319" t="s">
        <v>427</v>
      </c>
      <c r="AG76" s="319" t="s">
        <v>171</v>
      </c>
      <c r="AH76" s="319" t="s">
        <v>190</v>
      </c>
      <c r="AI76" s="319" t="s">
        <v>190</v>
      </c>
      <c r="AJ76" s="319" t="s">
        <v>190</v>
      </c>
      <c r="AK76" s="319" t="s">
        <v>190</v>
      </c>
      <c r="AL76" s="319" t="s">
        <v>190</v>
      </c>
      <c r="AM76" s="319" t="s">
        <v>190</v>
      </c>
      <c r="AN76" s="319" t="s">
        <v>190</v>
      </c>
      <c r="AO76" s="319" t="s">
        <v>190</v>
      </c>
      <c r="AP76" s="319" t="s">
        <v>190</v>
      </c>
      <c r="AQ76" s="319" t="s">
        <v>190</v>
      </c>
      <c r="AR76" s="319" t="s">
        <v>190</v>
      </c>
      <c r="AS76" s="319" t="s">
        <v>190</v>
      </c>
      <c r="AT76" s="319" t="s">
        <v>190</v>
      </c>
      <c r="AU76" s="319" t="s">
        <v>190</v>
      </c>
      <c r="AV76" s="319" t="s">
        <v>190</v>
      </c>
      <c r="AW76" s="319" t="s">
        <v>190</v>
      </c>
      <c r="AX76" s="319" t="s">
        <v>190</v>
      </c>
      <c r="AY76" s="319" t="s">
        <v>190</v>
      </c>
      <c r="AZ76" s="319" t="s">
        <v>190</v>
      </c>
      <c r="BA76" s="319" t="s">
        <v>190</v>
      </c>
      <c r="BB76" s="319" t="s">
        <v>190</v>
      </c>
      <c r="BC76" s="319" t="s">
        <v>190</v>
      </c>
      <c r="BD76" s="319" t="s">
        <v>190</v>
      </c>
      <c r="BE76" s="319" t="s">
        <v>190</v>
      </c>
      <c r="BF76" s="319" t="s">
        <v>190</v>
      </c>
      <c r="BG76" s="319" t="s">
        <v>190</v>
      </c>
      <c r="BH76" s="319" t="s">
        <v>190</v>
      </c>
      <c r="BI76" s="319" t="s">
        <v>190</v>
      </c>
      <c r="BJ76" s="319" t="s">
        <v>190</v>
      </c>
      <c r="BK76" s="319" t="s">
        <v>190</v>
      </c>
      <c r="BL76" s="319" t="s">
        <v>190</v>
      </c>
      <c r="BM76" s="319" t="s">
        <v>190</v>
      </c>
      <c r="BN76" s="319" t="s">
        <v>190</v>
      </c>
      <c r="BO76" s="319" t="s">
        <v>190</v>
      </c>
      <c r="BP76" s="319" t="s">
        <v>190</v>
      </c>
      <c r="BQ76" s="319" t="s">
        <v>190</v>
      </c>
      <c r="BR76" s="319" t="s">
        <v>190</v>
      </c>
      <c r="BS76" s="319" t="s">
        <v>190</v>
      </c>
      <c r="BT76" s="319" t="s">
        <v>190</v>
      </c>
      <c r="BU76" s="319" t="s">
        <v>190</v>
      </c>
      <c r="BV76" s="319" t="s">
        <v>190</v>
      </c>
      <c r="BW76" s="319" t="s">
        <v>190</v>
      </c>
      <c r="BX76" s="319" t="s">
        <v>190</v>
      </c>
      <c r="BY76" s="319" t="s">
        <v>190</v>
      </c>
      <c r="BZ76" s="319" t="s">
        <v>190</v>
      </c>
      <c r="CA76" s="319" t="s">
        <v>190</v>
      </c>
      <c r="CB76" s="319" t="s">
        <v>190</v>
      </c>
      <c r="CC76" s="319" t="s">
        <v>190</v>
      </c>
      <c r="CD76" s="319" t="s">
        <v>190</v>
      </c>
      <c r="CE76" s="319" t="s">
        <v>190</v>
      </c>
      <c r="CF76" s="319" t="s">
        <v>190</v>
      </c>
      <c r="CG76" s="319" t="s">
        <v>190</v>
      </c>
      <c r="CH76" s="319" t="s">
        <v>190</v>
      </c>
      <c r="CI76" s="319" t="s">
        <v>190</v>
      </c>
      <c r="CJ76" s="319" t="s">
        <v>190</v>
      </c>
      <c r="CK76" s="319" t="s">
        <v>190</v>
      </c>
      <c r="CL76" s="319" t="s">
        <v>190</v>
      </c>
      <c r="CM76" s="319" t="s">
        <v>190</v>
      </c>
      <c r="CN76" s="319" t="s">
        <v>428</v>
      </c>
      <c r="CO76" s="319" t="s">
        <v>428</v>
      </c>
      <c r="CP76" s="319" t="s">
        <v>428</v>
      </c>
      <c r="CQ76" s="319" t="s">
        <v>190</v>
      </c>
      <c r="CR76" s="319" t="s">
        <v>190</v>
      </c>
      <c r="CS76" s="319" t="s">
        <v>190</v>
      </c>
      <c r="CT76" s="319" t="s">
        <v>190</v>
      </c>
      <c r="CU76" s="319" t="s">
        <v>190</v>
      </c>
      <c r="CV76" s="319" t="s">
        <v>190</v>
      </c>
      <c r="CW76" s="319" t="s">
        <v>190</v>
      </c>
      <c r="CX76" s="319" t="s">
        <v>190</v>
      </c>
      <c r="CY76" s="319" t="s">
        <v>190</v>
      </c>
      <c r="CZ76" s="319" t="s">
        <v>190</v>
      </c>
      <c r="DA76" s="319" t="s">
        <v>190</v>
      </c>
      <c r="DB76" s="319" t="s">
        <v>190</v>
      </c>
      <c r="DC76" s="319" t="s">
        <v>190</v>
      </c>
      <c r="DD76" s="319" t="s">
        <v>190</v>
      </c>
      <c r="DE76" s="319" t="s">
        <v>190</v>
      </c>
      <c r="DF76" s="319" t="s">
        <v>190</v>
      </c>
      <c r="DG76" s="319" t="s">
        <v>190</v>
      </c>
      <c r="DH76" s="319" t="s">
        <v>190</v>
      </c>
      <c r="DI76" s="319" t="s">
        <v>190</v>
      </c>
      <c r="DJ76" s="319" t="s">
        <v>190</v>
      </c>
      <c r="DK76" s="319" t="s">
        <v>190</v>
      </c>
      <c r="DL76" s="319" t="s">
        <v>190</v>
      </c>
      <c r="DM76" s="319" t="s">
        <v>190</v>
      </c>
      <c r="DN76" s="319" t="s">
        <v>428</v>
      </c>
      <c r="DO76" s="319" t="s">
        <v>190</v>
      </c>
      <c r="DP76" s="319" t="s">
        <v>428</v>
      </c>
      <c r="DQ76" s="319" t="s">
        <v>428</v>
      </c>
      <c r="DR76" s="319" t="s">
        <v>428</v>
      </c>
      <c r="DS76" s="319" t="s">
        <v>428</v>
      </c>
      <c r="DT76" s="319" t="s">
        <v>428</v>
      </c>
      <c r="DU76" s="319" t="s">
        <v>428</v>
      </c>
      <c r="DV76" s="319" t="s">
        <v>173</v>
      </c>
      <c r="DW76" s="319" t="s">
        <v>428</v>
      </c>
      <c r="DX76" s="319" t="s">
        <v>428</v>
      </c>
      <c r="DY76" s="319" t="s">
        <v>428</v>
      </c>
      <c r="DZ76" s="319" t="s">
        <v>428</v>
      </c>
      <c r="EA76" s="319" t="s">
        <v>428</v>
      </c>
      <c r="EB76" s="319" t="s">
        <v>428</v>
      </c>
      <c r="EC76" s="319" t="s">
        <v>428</v>
      </c>
      <c r="ED76" s="319" t="s">
        <v>428</v>
      </c>
      <c r="EE76" s="319" t="s">
        <v>190</v>
      </c>
      <c r="EF76" s="319" t="s">
        <v>190</v>
      </c>
      <c r="EG76" s="319" t="s">
        <v>190</v>
      </c>
      <c r="EH76" s="319" t="s">
        <v>190</v>
      </c>
      <c r="EI76" s="319" t="s">
        <v>190</v>
      </c>
      <c r="EJ76" s="319" t="s">
        <v>190</v>
      </c>
      <c r="EK76" s="319" t="s">
        <v>190</v>
      </c>
      <c r="EL76" s="319" t="s">
        <v>190</v>
      </c>
      <c r="EM76" s="319" t="s">
        <v>190</v>
      </c>
      <c r="EN76" s="319" t="s">
        <v>190</v>
      </c>
      <c r="EO76" s="319" t="s">
        <v>190</v>
      </c>
      <c r="EP76" s="319" t="s">
        <v>190</v>
      </c>
      <c r="EQ76" s="319" t="s">
        <v>190</v>
      </c>
      <c r="ER76" s="319" t="s">
        <v>190</v>
      </c>
      <c r="ES76" s="319" t="s">
        <v>190</v>
      </c>
      <c r="ET76" s="319" t="s">
        <v>190</v>
      </c>
      <c r="EU76" s="319" t="s">
        <v>190</v>
      </c>
      <c r="EV76" s="319" t="s">
        <v>190</v>
      </c>
      <c r="EW76" s="319" t="s">
        <v>190</v>
      </c>
      <c r="EX76" s="319" t="s">
        <v>190</v>
      </c>
      <c r="EY76" s="319" t="s">
        <v>190</v>
      </c>
      <c r="EZ76" s="319" t="s">
        <v>190</v>
      </c>
      <c r="FA76" s="319" t="s">
        <v>190</v>
      </c>
      <c r="FB76" s="319" t="s">
        <v>428</v>
      </c>
      <c r="FC76" s="319" t="s">
        <v>428</v>
      </c>
      <c r="FD76" s="319" t="s">
        <v>428</v>
      </c>
      <c r="FE76" s="319" t="s">
        <v>428</v>
      </c>
      <c r="FF76" s="319" t="s">
        <v>428</v>
      </c>
      <c r="FG76" s="319" t="s">
        <v>428</v>
      </c>
      <c r="FH76" s="319" t="s">
        <v>428</v>
      </c>
      <c r="FI76" s="319" t="s">
        <v>428</v>
      </c>
      <c r="FJ76" s="319" t="s">
        <v>429</v>
      </c>
      <c r="FK76" s="319" t="s">
        <v>428</v>
      </c>
      <c r="FL76" s="319" t="s">
        <v>190</v>
      </c>
      <c r="FM76" s="319" t="s">
        <v>190</v>
      </c>
      <c r="FN76" s="319" t="s">
        <v>190</v>
      </c>
      <c r="FO76" s="319" t="s">
        <v>190</v>
      </c>
      <c r="FP76" s="319" t="s">
        <v>190</v>
      </c>
      <c r="FQ76" s="319" t="s">
        <v>190</v>
      </c>
      <c r="FR76" s="319" t="s">
        <v>190</v>
      </c>
      <c r="FS76" s="319" t="s">
        <v>428</v>
      </c>
      <c r="FT76" s="319" t="s">
        <v>190</v>
      </c>
      <c r="FU76" s="319" t="s">
        <v>190</v>
      </c>
      <c r="FV76" s="319" t="s">
        <v>190</v>
      </c>
      <c r="FW76" s="319" t="s">
        <v>190</v>
      </c>
      <c r="FX76" s="319" t="s">
        <v>190</v>
      </c>
      <c r="FY76" s="319" t="s">
        <v>190</v>
      </c>
      <c r="FZ76" s="319" t="s">
        <v>190</v>
      </c>
      <c r="GA76" s="319" t="s">
        <v>190</v>
      </c>
      <c r="GB76" s="319" t="s">
        <v>190</v>
      </c>
      <c r="GC76" s="319" t="s">
        <v>190</v>
      </c>
      <c r="GD76" s="319" t="s">
        <v>190</v>
      </c>
      <c r="GE76" s="319" t="s">
        <v>190</v>
      </c>
      <c r="GF76" s="319" t="s">
        <v>190</v>
      </c>
      <c r="GG76" s="319" t="s">
        <v>190</v>
      </c>
      <c r="GH76" s="319" t="s">
        <v>190</v>
      </c>
      <c r="GI76" s="319" t="s">
        <v>190</v>
      </c>
      <c r="GJ76" s="319" t="s">
        <v>190</v>
      </c>
      <c r="GK76" s="319" t="s">
        <v>428</v>
      </c>
      <c r="GL76" s="319" t="s">
        <v>190</v>
      </c>
      <c r="GM76" s="319" t="s">
        <v>190</v>
      </c>
      <c r="GN76" s="319" t="s">
        <v>190</v>
      </c>
      <c r="GO76" s="319" t="s">
        <v>190</v>
      </c>
      <c r="GP76" s="319" t="s">
        <v>190</v>
      </c>
      <c r="GQ76" s="319" t="s">
        <v>428</v>
      </c>
      <c r="GR76" s="319" t="s">
        <v>190</v>
      </c>
      <c r="GS76" s="319" t="s">
        <v>190</v>
      </c>
      <c r="GT76" s="319" t="s">
        <v>428</v>
      </c>
      <c r="GU76" s="319" t="s">
        <v>428</v>
      </c>
      <c r="GV76" s="319" t="s">
        <v>428</v>
      </c>
      <c r="GW76" s="319" t="s">
        <v>190</v>
      </c>
      <c r="GX76" s="319" t="s">
        <v>190</v>
      </c>
      <c r="GY76" s="319" t="s">
        <v>190</v>
      </c>
      <c r="GZ76" s="319" t="s">
        <v>428</v>
      </c>
      <c r="HA76" s="319" t="s">
        <v>190</v>
      </c>
      <c r="HB76" s="319" t="s">
        <v>190</v>
      </c>
      <c r="HC76" s="319" t="s">
        <v>190</v>
      </c>
      <c r="HD76" s="319" t="s">
        <v>190</v>
      </c>
      <c r="HE76" s="319" t="s">
        <v>190</v>
      </c>
      <c r="HF76" s="319" t="s">
        <v>428</v>
      </c>
      <c r="HG76" s="319" t="s">
        <v>190</v>
      </c>
      <c r="HH76" s="319" t="s">
        <v>190</v>
      </c>
      <c r="HI76" s="319" t="s">
        <v>190</v>
      </c>
      <c r="HJ76" s="319" t="s">
        <v>190</v>
      </c>
      <c r="HK76" s="319" t="s">
        <v>190</v>
      </c>
      <c r="HL76" s="319" t="s">
        <v>428</v>
      </c>
      <c r="HM76" s="319" t="s">
        <v>428</v>
      </c>
      <c r="HN76" s="319" t="s">
        <v>428</v>
      </c>
      <c r="HO76" s="319" t="s">
        <v>428</v>
      </c>
      <c r="HP76" s="319" t="s">
        <v>190</v>
      </c>
      <c r="HQ76" s="319" t="s">
        <v>190</v>
      </c>
      <c r="HR76" s="319" t="s">
        <v>190</v>
      </c>
      <c r="HS76" s="319" t="s">
        <v>190</v>
      </c>
      <c r="HT76" s="319" t="s">
        <v>190</v>
      </c>
      <c r="HU76" s="319" t="s">
        <v>190</v>
      </c>
      <c r="HV76" s="319" t="s">
        <v>190</v>
      </c>
      <c r="HW76" s="319" t="s">
        <v>190</v>
      </c>
      <c r="HX76" s="319" t="s">
        <v>190</v>
      </c>
      <c r="HY76" s="319" t="s">
        <v>190</v>
      </c>
      <c r="HZ76" s="319" t="s">
        <v>190</v>
      </c>
      <c r="IA76" s="319" t="s">
        <v>190</v>
      </c>
      <c r="IB76" s="319" t="s">
        <v>190</v>
      </c>
      <c r="IC76" s="319" t="s">
        <v>190</v>
      </c>
      <c r="ID76" s="319" t="s">
        <v>190</v>
      </c>
      <c r="IE76" s="319" t="s">
        <v>190</v>
      </c>
      <c r="IF76" s="319" t="s">
        <v>190</v>
      </c>
      <c r="IG76" s="319" t="s">
        <v>190</v>
      </c>
      <c r="IH76" s="319" t="s">
        <v>190</v>
      </c>
      <c r="II76" s="319" t="s">
        <v>190</v>
      </c>
      <c r="IJ76" s="319">
        <v>10008884</v>
      </c>
      <c r="IK76" s="321">
        <v>42430</v>
      </c>
      <c r="IL76" s="321">
        <v>42432</v>
      </c>
      <c r="IM76" s="321">
        <v>42471</v>
      </c>
      <c r="IN76" s="319">
        <v>1</v>
      </c>
      <c r="IO76" s="319" t="s">
        <v>173</v>
      </c>
      <c r="IP76" s="319" t="s">
        <v>173</v>
      </c>
      <c r="IQ76" s="321" t="s">
        <v>173</v>
      </c>
      <c r="IR76" s="320" t="s">
        <v>173</v>
      </c>
      <c r="IS76" s="322" t="s">
        <v>173</v>
      </c>
      <c r="IT76" s="319" t="s">
        <v>173</v>
      </c>
    </row>
    <row r="77" spans="1:254" s="271" customFormat="1" x14ac:dyDescent="0.25">
      <c r="A77" s="318" t="str">
        <f>HYPERLINK("http://www.ofsted.gov.uk/inspection-reports/find-inspection-report/provider/ELS/102950 ","Ofsted School Webpage")</f>
        <v>Ofsted School Webpage</v>
      </c>
      <c r="B77" s="319">
        <v>102950</v>
      </c>
      <c r="C77" s="319">
        <v>3186078</v>
      </c>
      <c r="D77" s="319" t="s">
        <v>1312</v>
      </c>
      <c r="E77" s="319" t="s">
        <v>167</v>
      </c>
      <c r="F77" s="319" t="s">
        <v>81</v>
      </c>
      <c r="G77" s="319" t="s">
        <v>81</v>
      </c>
      <c r="H77" s="319" t="s">
        <v>81</v>
      </c>
      <c r="I77" s="319" t="s">
        <v>78</v>
      </c>
      <c r="J77" s="319" t="s">
        <v>424</v>
      </c>
      <c r="K77" s="319" t="s">
        <v>441</v>
      </c>
      <c r="L77" s="319" t="s">
        <v>441</v>
      </c>
      <c r="M77" s="319" t="s">
        <v>931</v>
      </c>
      <c r="N77" s="319" t="s">
        <v>2850</v>
      </c>
      <c r="O77" s="319" t="s">
        <v>1313</v>
      </c>
      <c r="P77" s="319">
        <v>1011</v>
      </c>
      <c r="Q77" s="319" t="s">
        <v>2776</v>
      </c>
      <c r="R77" s="320">
        <v>10026280</v>
      </c>
      <c r="S77" s="321">
        <v>43221</v>
      </c>
      <c r="T77" s="321">
        <v>43223</v>
      </c>
      <c r="U77" s="321">
        <v>43258</v>
      </c>
      <c r="V77" s="319" t="s">
        <v>425</v>
      </c>
      <c r="W77" s="319" t="s">
        <v>2767</v>
      </c>
      <c r="X77" s="319">
        <v>2</v>
      </c>
      <c r="Y77" s="319" t="s">
        <v>173</v>
      </c>
      <c r="Z77" s="319" t="s">
        <v>173</v>
      </c>
      <c r="AA77" s="319" t="s">
        <v>173</v>
      </c>
      <c r="AB77" s="319">
        <v>2</v>
      </c>
      <c r="AC77" s="319" t="s">
        <v>169</v>
      </c>
      <c r="AD77" s="319">
        <v>2</v>
      </c>
      <c r="AE77" s="319">
        <v>1</v>
      </c>
      <c r="AF77" s="319" t="s">
        <v>427</v>
      </c>
      <c r="AG77" s="319" t="s">
        <v>171</v>
      </c>
      <c r="AH77" s="319" t="s">
        <v>190</v>
      </c>
      <c r="AI77" s="319" t="s">
        <v>190</v>
      </c>
      <c r="AJ77" s="319" t="s">
        <v>190</v>
      </c>
      <c r="AK77" s="319" t="s">
        <v>190</v>
      </c>
      <c r="AL77" s="319" t="s">
        <v>190</v>
      </c>
      <c r="AM77" s="319" t="s">
        <v>190</v>
      </c>
      <c r="AN77" s="319" t="s">
        <v>190</v>
      </c>
      <c r="AO77" s="319" t="s">
        <v>190</v>
      </c>
      <c r="AP77" s="319" t="s">
        <v>190</v>
      </c>
      <c r="AQ77" s="319" t="s">
        <v>190</v>
      </c>
      <c r="AR77" s="319" t="s">
        <v>190</v>
      </c>
      <c r="AS77" s="319" t="s">
        <v>190</v>
      </c>
      <c r="AT77" s="319" t="s">
        <v>190</v>
      </c>
      <c r="AU77" s="319" t="s">
        <v>190</v>
      </c>
      <c r="AV77" s="319" t="s">
        <v>190</v>
      </c>
      <c r="AW77" s="319" t="s">
        <v>190</v>
      </c>
      <c r="AX77" s="319" t="s">
        <v>428</v>
      </c>
      <c r="AY77" s="319" t="s">
        <v>190</v>
      </c>
      <c r="AZ77" s="319" t="s">
        <v>190</v>
      </c>
      <c r="BA77" s="319" t="s">
        <v>190</v>
      </c>
      <c r="BB77" s="319" t="s">
        <v>190</v>
      </c>
      <c r="BC77" s="319" t="s">
        <v>190</v>
      </c>
      <c r="BD77" s="319" t="s">
        <v>190</v>
      </c>
      <c r="BE77" s="319" t="s">
        <v>190</v>
      </c>
      <c r="BF77" s="319" t="s">
        <v>428</v>
      </c>
      <c r="BG77" s="319" t="s">
        <v>190</v>
      </c>
      <c r="BH77" s="319" t="s">
        <v>190</v>
      </c>
      <c r="BI77" s="319" t="s">
        <v>190</v>
      </c>
      <c r="BJ77" s="319" t="s">
        <v>190</v>
      </c>
      <c r="BK77" s="319" t="s">
        <v>190</v>
      </c>
      <c r="BL77" s="319" t="s">
        <v>190</v>
      </c>
      <c r="BM77" s="319" t="s">
        <v>190</v>
      </c>
      <c r="BN77" s="319" t="s">
        <v>190</v>
      </c>
      <c r="BO77" s="319" t="s">
        <v>190</v>
      </c>
      <c r="BP77" s="319" t="s">
        <v>190</v>
      </c>
      <c r="BQ77" s="319" t="s">
        <v>190</v>
      </c>
      <c r="BR77" s="319" t="s">
        <v>190</v>
      </c>
      <c r="BS77" s="319" t="s">
        <v>190</v>
      </c>
      <c r="BT77" s="319" t="s">
        <v>190</v>
      </c>
      <c r="BU77" s="319" t="s">
        <v>190</v>
      </c>
      <c r="BV77" s="319" t="s">
        <v>190</v>
      </c>
      <c r="BW77" s="319" t="s">
        <v>190</v>
      </c>
      <c r="BX77" s="319" t="s">
        <v>190</v>
      </c>
      <c r="BY77" s="319" t="s">
        <v>190</v>
      </c>
      <c r="BZ77" s="319" t="s">
        <v>190</v>
      </c>
      <c r="CA77" s="319" t="s">
        <v>190</v>
      </c>
      <c r="CB77" s="319" t="s">
        <v>190</v>
      </c>
      <c r="CC77" s="319" t="s">
        <v>190</v>
      </c>
      <c r="CD77" s="319" t="s">
        <v>190</v>
      </c>
      <c r="CE77" s="319" t="s">
        <v>190</v>
      </c>
      <c r="CF77" s="319" t="s">
        <v>190</v>
      </c>
      <c r="CG77" s="319" t="s">
        <v>190</v>
      </c>
      <c r="CH77" s="319" t="s">
        <v>190</v>
      </c>
      <c r="CI77" s="319" t="s">
        <v>190</v>
      </c>
      <c r="CJ77" s="319" t="s">
        <v>190</v>
      </c>
      <c r="CK77" s="319" t="s">
        <v>190</v>
      </c>
      <c r="CL77" s="319" t="s">
        <v>190</v>
      </c>
      <c r="CM77" s="319" t="s">
        <v>190</v>
      </c>
      <c r="CN77" s="319" t="s">
        <v>428</v>
      </c>
      <c r="CO77" s="319" t="s">
        <v>428</v>
      </c>
      <c r="CP77" s="319" t="s">
        <v>428</v>
      </c>
      <c r="CQ77" s="319" t="s">
        <v>190</v>
      </c>
      <c r="CR77" s="319" t="s">
        <v>190</v>
      </c>
      <c r="CS77" s="319" t="s">
        <v>190</v>
      </c>
      <c r="CT77" s="319" t="s">
        <v>190</v>
      </c>
      <c r="CU77" s="319" t="s">
        <v>190</v>
      </c>
      <c r="CV77" s="319" t="s">
        <v>190</v>
      </c>
      <c r="CW77" s="319" t="s">
        <v>190</v>
      </c>
      <c r="CX77" s="319" t="s">
        <v>190</v>
      </c>
      <c r="CY77" s="319" t="s">
        <v>190</v>
      </c>
      <c r="CZ77" s="319" t="s">
        <v>190</v>
      </c>
      <c r="DA77" s="319" t="s">
        <v>190</v>
      </c>
      <c r="DB77" s="319" t="s">
        <v>190</v>
      </c>
      <c r="DC77" s="319" t="s">
        <v>190</v>
      </c>
      <c r="DD77" s="319" t="s">
        <v>190</v>
      </c>
      <c r="DE77" s="319" t="s">
        <v>190</v>
      </c>
      <c r="DF77" s="319" t="s">
        <v>190</v>
      </c>
      <c r="DG77" s="319" t="s">
        <v>190</v>
      </c>
      <c r="DH77" s="319" t="s">
        <v>190</v>
      </c>
      <c r="DI77" s="319" t="s">
        <v>190</v>
      </c>
      <c r="DJ77" s="319" t="s">
        <v>190</v>
      </c>
      <c r="DK77" s="319" t="s">
        <v>190</v>
      </c>
      <c r="DL77" s="319" t="s">
        <v>190</v>
      </c>
      <c r="DM77" s="319" t="s">
        <v>190</v>
      </c>
      <c r="DN77" s="319" t="s">
        <v>428</v>
      </c>
      <c r="DO77" s="319" t="s">
        <v>190</v>
      </c>
      <c r="DP77" s="319" t="s">
        <v>190</v>
      </c>
      <c r="DQ77" s="319" t="s">
        <v>190</v>
      </c>
      <c r="DR77" s="319" t="s">
        <v>190</v>
      </c>
      <c r="DS77" s="319" t="s">
        <v>190</v>
      </c>
      <c r="DT77" s="319" t="s">
        <v>190</v>
      </c>
      <c r="DU77" s="319" t="s">
        <v>190</v>
      </c>
      <c r="DV77" s="319" t="s">
        <v>173</v>
      </c>
      <c r="DW77" s="319" t="s">
        <v>190</v>
      </c>
      <c r="DX77" s="319" t="s">
        <v>190</v>
      </c>
      <c r="DY77" s="319" t="s">
        <v>190</v>
      </c>
      <c r="DZ77" s="319" t="s">
        <v>190</v>
      </c>
      <c r="EA77" s="319" t="s">
        <v>190</v>
      </c>
      <c r="EB77" s="319" t="s">
        <v>190</v>
      </c>
      <c r="EC77" s="319" t="s">
        <v>428</v>
      </c>
      <c r="ED77" s="319" t="s">
        <v>190</v>
      </c>
      <c r="EE77" s="319" t="s">
        <v>190</v>
      </c>
      <c r="EF77" s="319" t="s">
        <v>190</v>
      </c>
      <c r="EG77" s="319" t="s">
        <v>190</v>
      </c>
      <c r="EH77" s="319" t="s">
        <v>190</v>
      </c>
      <c r="EI77" s="319" t="s">
        <v>190</v>
      </c>
      <c r="EJ77" s="319" t="s">
        <v>190</v>
      </c>
      <c r="EK77" s="319" t="s">
        <v>190</v>
      </c>
      <c r="EL77" s="319" t="s">
        <v>190</v>
      </c>
      <c r="EM77" s="319" t="s">
        <v>190</v>
      </c>
      <c r="EN77" s="319" t="s">
        <v>190</v>
      </c>
      <c r="EO77" s="319" t="s">
        <v>190</v>
      </c>
      <c r="EP77" s="319" t="s">
        <v>190</v>
      </c>
      <c r="EQ77" s="319" t="s">
        <v>190</v>
      </c>
      <c r="ER77" s="319" t="s">
        <v>190</v>
      </c>
      <c r="ES77" s="319" t="s">
        <v>190</v>
      </c>
      <c r="ET77" s="319" t="s">
        <v>190</v>
      </c>
      <c r="EU77" s="319" t="s">
        <v>190</v>
      </c>
      <c r="EV77" s="319" t="s">
        <v>190</v>
      </c>
      <c r="EW77" s="319" t="s">
        <v>190</v>
      </c>
      <c r="EX77" s="319" t="s">
        <v>190</v>
      </c>
      <c r="EY77" s="319" t="s">
        <v>190</v>
      </c>
      <c r="EZ77" s="319" t="s">
        <v>190</v>
      </c>
      <c r="FA77" s="319" t="s">
        <v>190</v>
      </c>
      <c r="FB77" s="319" t="s">
        <v>190</v>
      </c>
      <c r="FC77" s="319" t="s">
        <v>190</v>
      </c>
      <c r="FD77" s="319" t="s">
        <v>190</v>
      </c>
      <c r="FE77" s="319" t="s">
        <v>190</v>
      </c>
      <c r="FF77" s="319" t="s">
        <v>190</v>
      </c>
      <c r="FG77" s="319" t="s">
        <v>190</v>
      </c>
      <c r="FH77" s="319" t="s">
        <v>190</v>
      </c>
      <c r="FI77" s="319" t="s">
        <v>190</v>
      </c>
      <c r="FJ77" s="319" t="s">
        <v>190</v>
      </c>
      <c r="FK77" s="319" t="s">
        <v>190</v>
      </c>
      <c r="FL77" s="319" t="s">
        <v>190</v>
      </c>
      <c r="FM77" s="319" t="s">
        <v>190</v>
      </c>
      <c r="FN77" s="319" t="s">
        <v>190</v>
      </c>
      <c r="FO77" s="319" t="s">
        <v>190</v>
      </c>
      <c r="FP77" s="319" t="s">
        <v>190</v>
      </c>
      <c r="FQ77" s="319" t="s">
        <v>190</v>
      </c>
      <c r="FR77" s="319" t="s">
        <v>190</v>
      </c>
      <c r="FS77" s="319" t="s">
        <v>190</v>
      </c>
      <c r="FT77" s="319" t="s">
        <v>190</v>
      </c>
      <c r="FU77" s="319" t="s">
        <v>190</v>
      </c>
      <c r="FV77" s="319" t="s">
        <v>190</v>
      </c>
      <c r="FW77" s="319" t="s">
        <v>190</v>
      </c>
      <c r="FX77" s="319" t="s">
        <v>190</v>
      </c>
      <c r="FY77" s="319" t="s">
        <v>190</v>
      </c>
      <c r="FZ77" s="319" t="s">
        <v>190</v>
      </c>
      <c r="GA77" s="319" t="s">
        <v>190</v>
      </c>
      <c r="GB77" s="319" t="s">
        <v>190</v>
      </c>
      <c r="GC77" s="319" t="s">
        <v>190</v>
      </c>
      <c r="GD77" s="319" t="s">
        <v>190</v>
      </c>
      <c r="GE77" s="319" t="s">
        <v>190</v>
      </c>
      <c r="GF77" s="319" t="s">
        <v>190</v>
      </c>
      <c r="GG77" s="319" t="s">
        <v>190</v>
      </c>
      <c r="GH77" s="319" t="s">
        <v>190</v>
      </c>
      <c r="GI77" s="319" t="s">
        <v>190</v>
      </c>
      <c r="GJ77" s="319" t="s">
        <v>190</v>
      </c>
      <c r="GK77" s="319" t="s">
        <v>428</v>
      </c>
      <c r="GL77" s="319" t="s">
        <v>190</v>
      </c>
      <c r="GM77" s="319" t="s">
        <v>190</v>
      </c>
      <c r="GN77" s="319" t="s">
        <v>190</v>
      </c>
      <c r="GO77" s="319" t="s">
        <v>190</v>
      </c>
      <c r="GP77" s="319" t="s">
        <v>190</v>
      </c>
      <c r="GQ77" s="319" t="s">
        <v>190</v>
      </c>
      <c r="GR77" s="319" t="s">
        <v>190</v>
      </c>
      <c r="GS77" s="319" t="s">
        <v>190</v>
      </c>
      <c r="GT77" s="319" t="s">
        <v>190</v>
      </c>
      <c r="GU77" s="319" t="s">
        <v>428</v>
      </c>
      <c r="GV77" s="319" t="s">
        <v>190</v>
      </c>
      <c r="GW77" s="319" t="s">
        <v>190</v>
      </c>
      <c r="GX77" s="319" t="s">
        <v>190</v>
      </c>
      <c r="GY77" s="319" t="s">
        <v>190</v>
      </c>
      <c r="GZ77" s="319" t="s">
        <v>190</v>
      </c>
      <c r="HA77" s="319" t="s">
        <v>428</v>
      </c>
      <c r="HB77" s="319" t="s">
        <v>428</v>
      </c>
      <c r="HC77" s="319" t="s">
        <v>190</v>
      </c>
      <c r="HD77" s="319" t="s">
        <v>190</v>
      </c>
      <c r="HE77" s="319" t="s">
        <v>190</v>
      </c>
      <c r="HF77" s="319" t="s">
        <v>190</v>
      </c>
      <c r="HG77" s="319" t="s">
        <v>190</v>
      </c>
      <c r="HH77" s="319" t="s">
        <v>190</v>
      </c>
      <c r="HI77" s="319" t="s">
        <v>190</v>
      </c>
      <c r="HJ77" s="319" t="s">
        <v>190</v>
      </c>
      <c r="HK77" s="319" t="s">
        <v>190</v>
      </c>
      <c r="HL77" s="319" t="s">
        <v>428</v>
      </c>
      <c r="HM77" s="319" t="s">
        <v>428</v>
      </c>
      <c r="HN77" s="319" t="s">
        <v>428</v>
      </c>
      <c r="HO77" s="319" t="s">
        <v>428</v>
      </c>
      <c r="HP77" s="319" t="s">
        <v>190</v>
      </c>
      <c r="HQ77" s="319" t="s">
        <v>190</v>
      </c>
      <c r="HR77" s="319" t="s">
        <v>190</v>
      </c>
      <c r="HS77" s="319" t="s">
        <v>190</v>
      </c>
      <c r="HT77" s="319" t="s">
        <v>190</v>
      </c>
      <c r="HU77" s="319" t="s">
        <v>190</v>
      </c>
      <c r="HV77" s="319" t="s">
        <v>190</v>
      </c>
      <c r="HW77" s="319" t="s">
        <v>190</v>
      </c>
      <c r="HX77" s="319" t="s">
        <v>190</v>
      </c>
      <c r="HY77" s="319" t="s">
        <v>190</v>
      </c>
      <c r="HZ77" s="319" t="s">
        <v>190</v>
      </c>
      <c r="IA77" s="319" t="s">
        <v>190</v>
      </c>
      <c r="IB77" s="319" t="s">
        <v>190</v>
      </c>
      <c r="IC77" s="319" t="s">
        <v>190</v>
      </c>
      <c r="ID77" s="319" t="s">
        <v>190</v>
      </c>
      <c r="IE77" s="319" t="s">
        <v>190</v>
      </c>
      <c r="IF77" s="319" t="s">
        <v>190</v>
      </c>
      <c r="IG77" s="319" t="s">
        <v>190</v>
      </c>
      <c r="IH77" s="319" t="s">
        <v>190</v>
      </c>
      <c r="II77" s="319" t="s">
        <v>190</v>
      </c>
      <c r="IJ77" s="319" t="s">
        <v>2852</v>
      </c>
      <c r="IK77" s="321">
        <v>40940</v>
      </c>
      <c r="IL77" s="321">
        <v>40941</v>
      </c>
      <c r="IM77" s="321">
        <v>41241</v>
      </c>
      <c r="IN77" s="319">
        <v>2</v>
      </c>
      <c r="IO77" s="319" t="s">
        <v>173</v>
      </c>
      <c r="IP77" s="319" t="s">
        <v>173</v>
      </c>
      <c r="IQ77" s="321" t="s">
        <v>173</v>
      </c>
      <c r="IR77" s="320" t="s">
        <v>173</v>
      </c>
      <c r="IS77" s="322" t="s">
        <v>173</v>
      </c>
      <c r="IT77" s="319" t="s">
        <v>173</v>
      </c>
    </row>
    <row r="78" spans="1:254" s="271" customFormat="1" x14ac:dyDescent="0.25">
      <c r="A78" s="318" t="str">
        <f>HYPERLINK("http://www.ofsted.gov.uk/inspection-reports/find-inspection-report/provider/ELS/103111 ","Ofsted School Webpage")</f>
        <v>Ofsted School Webpage</v>
      </c>
      <c r="B78" s="319">
        <v>103111</v>
      </c>
      <c r="C78" s="319">
        <v>3096005</v>
      </c>
      <c r="D78" s="319" t="s">
        <v>723</v>
      </c>
      <c r="E78" s="319" t="s">
        <v>167</v>
      </c>
      <c r="F78" s="319" t="s">
        <v>81</v>
      </c>
      <c r="G78" s="319" t="s">
        <v>66</v>
      </c>
      <c r="H78" s="319" t="s">
        <v>66</v>
      </c>
      <c r="I78" s="319" t="s">
        <v>59</v>
      </c>
      <c r="J78" s="319" t="s">
        <v>424</v>
      </c>
      <c r="K78" s="319" t="s">
        <v>441</v>
      </c>
      <c r="L78" s="319" t="s">
        <v>441</v>
      </c>
      <c r="M78" s="319" t="s">
        <v>527</v>
      </c>
      <c r="N78" s="319" t="s">
        <v>2841</v>
      </c>
      <c r="O78" s="319" t="s">
        <v>724</v>
      </c>
      <c r="P78" s="319">
        <v>48</v>
      </c>
      <c r="Q78" s="319" t="s">
        <v>2766</v>
      </c>
      <c r="R78" s="320">
        <v>10067128</v>
      </c>
      <c r="S78" s="321">
        <v>43431</v>
      </c>
      <c r="T78" s="321">
        <v>43433</v>
      </c>
      <c r="U78" s="321">
        <v>43454</v>
      </c>
      <c r="V78" s="319" t="s">
        <v>425</v>
      </c>
      <c r="W78" s="319" t="s">
        <v>2767</v>
      </c>
      <c r="X78" s="319">
        <v>2</v>
      </c>
      <c r="Y78" s="319" t="s">
        <v>173</v>
      </c>
      <c r="Z78" s="319" t="s">
        <v>173</v>
      </c>
      <c r="AA78" s="319" t="s">
        <v>173</v>
      </c>
      <c r="AB78" s="319">
        <v>2</v>
      </c>
      <c r="AC78" s="319" t="s">
        <v>169</v>
      </c>
      <c r="AD78" s="319">
        <v>1</v>
      </c>
      <c r="AE78" s="319" t="s">
        <v>173</v>
      </c>
      <c r="AF78" s="319" t="s">
        <v>427</v>
      </c>
      <c r="AG78" s="319" t="s">
        <v>171</v>
      </c>
      <c r="AH78" s="319" t="s">
        <v>190</v>
      </c>
      <c r="AI78" s="319" t="s">
        <v>190</v>
      </c>
      <c r="AJ78" s="319" t="s">
        <v>190</v>
      </c>
      <c r="AK78" s="319" t="s">
        <v>190</v>
      </c>
      <c r="AL78" s="319" t="s">
        <v>190</v>
      </c>
      <c r="AM78" s="319" t="s">
        <v>190</v>
      </c>
      <c r="AN78" s="319" t="s">
        <v>190</v>
      </c>
      <c r="AO78" s="319" t="s">
        <v>190</v>
      </c>
      <c r="AP78" s="319" t="s">
        <v>190</v>
      </c>
      <c r="AQ78" s="319" t="s">
        <v>190</v>
      </c>
      <c r="AR78" s="319" t="s">
        <v>190</v>
      </c>
      <c r="AS78" s="319" t="s">
        <v>190</v>
      </c>
      <c r="AT78" s="319" t="s">
        <v>190</v>
      </c>
      <c r="AU78" s="319" t="s">
        <v>190</v>
      </c>
      <c r="AV78" s="319" t="s">
        <v>190</v>
      </c>
      <c r="AW78" s="319" t="s">
        <v>190</v>
      </c>
      <c r="AX78" s="319" t="s">
        <v>428</v>
      </c>
      <c r="AY78" s="319" t="s">
        <v>190</v>
      </c>
      <c r="AZ78" s="319" t="s">
        <v>190</v>
      </c>
      <c r="BA78" s="319" t="s">
        <v>190</v>
      </c>
      <c r="BB78" s="319" t="s">
        <v>428</v>
      </c>
      <c r="BC78" s="319" t="s">
        <v>428</v>
      </c>
      <c r="BD78" s="319" t="s">
        <v>428</v>
      </c>
      <c r="BE78" s="319" t="s">
        <v>428</v>
      </c>
      <c r="BF78" s="319" t="s">
        <v>190</v>
      </c>
      <c r="BG78" s="319" t="s">
        <v>428</v>
      </c>
      <c r="BH78" s="319" t="s">
        <v>190</v>
      </c>
      <c r="BI78" s="319" t="s">
        <v>190</v>
      </c>
      <c r="BJ78" s="319" t="s">
        <v>190</v>
      </c>
      <c r="BK78" s="319" t="s">
        <v>190</v>
      </c>
      <c r="BL78" s="319" t="s">
        <v>190</v>
      </c>
      <c r="BM78" s="319" t="s">
        <v>190</v>
      </c>
      <c r="BN78" s="319" t="s">
        <v>190</v>
      </c>
      <c r="BO78" s="319" t="s">
        <v>190</v>
      </c>
      <c r="BP78" s="319" t="s">
        <v>190</v>
      </c>
      <c r="BQ78" s="319" t="s">
        <v>190</v>
      </c>
      <c r="BR78" s="319" t="s">
        <v>190</v>
      </c>
      <c r="BS78" s="319" t="s">
        <v>190</v>
      </c>
      <c r="BT78" s="319" t="s">
        <v>190</v>
      </c>
      <c r="BU78" s="319" t="s">
        <v>190</v>
      </c>
      <c r="BV78" s="319" t="s">
        <v>190</v>
      </c>
      <c r="BW78" s="319" t="s">
        <v>190</v>
      </c>
      <c r="BX78" s="319" t="s">
        <v>190</v>
      </c>
      <c r="BY78" s="319" t="s">
        <v>190</v>
      </c>
      <c r="BZ78" s="319" t="s">
        <v>190</v>
      </c>
      <c r="CA78" s="319" t="s">
        <v>190</v>
      </c>
      <c r="CB78" s="319" t="s">
        <v>190</v>
      </c>
      <c r="CC78" s="319" t="s">
        <v>190</v>
      </c>
      <c r="CD78" s="319" t="s">
        <v>190</v>
      </c>
      <c r="CE78" s="319" t="s">
        <v>190</v>
      </c>
      <c r="CF78" s="319" t="s">
        <v>190</v>
      </c>
      <c r="CG78" s="319" t="s">
        <v>190</v>
      </c>
      <c r="CH78" s="319" t="s">
        <v>190</v>
      </c>
      <c r="CI78" s="319" t="s">
        <v>190</v>
      </c>
      <c r="CJ78" s="319" t="s">
        <v>190</v>
      </c>
      <c r="CK78" s="319" t="s">
        <v>190</v>
      </c>
      <c r="CL78" s="319" t="s">
        <v>190</v>
      </c>
      <c r="CM78" s="319" t="s">
        <v>190</v>
      </c>
      <c r="CN78" s="319" t="s">
        <v>428</v>
      </c>
      <c r="CO78" s="319" t="s">
        <v>428</v>
      </c>
      <c r="CP78" s="319" t="s">
        <v>428</v>
      </c>
      <c r="CQ78" s="319" t="s">
        <v>190</v>
      </c>
      <c r="CR78" s="319" t="s">
        <v>190</v>
      </c>
      <c r="CS78" s="319" t="s">
        <v>190</v>
      </c>
      <c r="CT78" s="319" t="s">
        <v>190</v>
      </c>
      <c r="CU78" s="319" t="s">
        <v>190</v>
      </c>
      <c r="CV78" s="319" t="s">
        <v>190</v>
      </c>
      <c r="CW78" s="319" t="s">
        <v>190</v>
      </c>
      <c r="CX78" s="319" t="s">
        <v>190</v>
      </c>
      <c r="CY78" s="319" t="s">
        <v>190</v>
      </c>
      <c r="CZ78" s="319" t="s">
        <v>190</v>
      </c>
      <c r="DA78" s="319" t="s">
        <v>190</v>
      </c>
      <c r="DB78" s="319" t="s">
        <v>190</v>
      </c>
      <c r="DC78" s="319" t="s">
        <v>190</v>
      </c>
      <c r="DD78" s="319" t="s">
        <v>190</v>
      </c>
      <c r="DE78" s="319" t="s">
        <v>190</v>
      </c>
      <c r="DF78" s="319" t="s">
        <v>190</v>
      </c>
      <c r="DG78" s="319" t="s">
        <v>190</v>
      </c>
      <c r="DH78" s="319" t="s">
        <v>190</v>
      </c>
      <c r="DI78" s="319" t="s">
        <v>190</v>
      </c>
      <c r="DJ78" s="319" t="s">
        <v>190</v>
      </c>
      <c r="DK78" s="319" t="s">
        <v>190</v>
      </c>
      <c r="DL78" s="319" t="s">
        <v>190</v>
      </c>
      <c r="DM78" s="319" t="s">
        <v>190</v>
      </c>
      <c r="DN78" s="319" t="s">
        <v>428</v>
      </c>
      <c r="DO78" s="319" t="s">
        <v>190</v>
      </c>
      <c r="DP78" s="319" t="s">
        <v>428</v>
      </c>
      <c r="DQ78" s="319" t="s">
        <v>428</v>
      </c>
      <c r="DR78" s="319" t="s">
        <v>428</v>
      </c>
      <c r="DS78" s="319" t="s">
        <v>428</v>
      </c>
      <c r="DT78" s="319" t="s">
        <v>428</v>
      </c>
      <c r="DU78" s="319" t="s">
        <v>428</v>
      </c>
      <c r="DV78" s="319" t="s">
        <v>173</v>
      </c>
      <c r="DW78" s="319" t="s">
        <v>428</v>
      </c>
      <c r="DX78" s="319" t="s">
        <v>428</v>
      </c>
      <c r="DY78" s="319" t="s">
        <v>428</v>
      </c>
      <c r="DZ78" s="319" t="s">
        <v>428</v>
      </c>
      <c r="EA78" s="319" t="s">
        <v>428</v>
      </c>
      <c r="EB78" s="319" t="s">
        <v>428</v>
      </c>
      <c r="EC78" s="319" t="s">
        <v>428</v>
      </c>
      <c r="ED78" s="319" t="s">
        <v>428</v>
      </c>
      <c r="EE78" s="319" t="s">
        <v>190</v>
      </c>
      <c r="EF78" s="319" t="s">
        <v>190</v>
      </c>
      <c r="EG78" s="319" t="s">
        <v>190</v>
      </c>
      <c r="EH78" s="319" t="s">
        <v>190</v>
      </c>
      <c r="EI78" s="319" t="s">
        <v>190</v>
      </c>
      <c r="EJ78" s="319" t="s">
        <v>190</v>
      </c>
      <c r="EK78" s="319" t="s">
        <v>190</v>
      </c>
      <c r="EL78" s="319" t="s">
        <v>190</v>
      </c>
      <c r="EM78" s="319" t="s">
        <v>190</v>
      </c>
      <c r="EN78" s="319" t="s">
        <v>190</v>
      </c>
      <c r="EO78" s="319" t="s">
        <v>190</v>
      </c>
      <c r="EP78" s="319" t="s">
        <v>190</v>
      </c>
      <c r="EQ78" s="319" t="s">
        <v>190</v>
      </c>
      <c r="ER78" s="319" t="s">
        <v>190</v>
      </c>
      <c r="ES78" s="319" t="s">
        <v>190</v>
      </c>
      <c r="ET78" s="319" t="s">
        <v>190</v>
      </c>
      <c r="EU78" s="319" t="s">
        <v>190</v>
      </c>
      <c r="EV78" s="319" t="s">
        <v>190</v>
      </c>
      <c r="EW78" s="319" t="s">
        <v>190</v>
      </c>
      <c r="EX78" s="319" t="s">
        <v>190</v>
      </c>
      <c r="EY78" s="319" t="s">
        <v>190</v>
      </c>
      <c r="EZ78" s="319" t="s">
        <v>190</v>
      </c>
      <c r="FA78" s="319" t="s">
        <v>190</v>
      </c>
      <c r="FB78" s="319" t="s">
        <v>428</v>
      </c>
      <c r="FC78" s="319" t="s">
        <v>428</v>
      </c>
      <c r="FD78" s="319" t="s">
        <v>428</v>
      </c>
      <c r="FE78" s="319" t="s">
        <v>428</v>
      </c>
      <c r="FF78" s="319" t="s">
        <v>428</v>
      </c>
      <c r="FG78" s="319" t="s">
        <v>428</v>
      </c>
      <c r="FH78" s="319" t="s">
        <v>190</v>
      </c>
      <c r="FI78" s="319" t="s">
        <v>190</v>
      </c>
      <c r="FJ78" s="319" t="s">
        <v>190</v>
      </c>
      <c r="FK78" s="319" t="s">
        <v>190</v>
      </c>
      <c r="FL78" s="319" t="s">
        <v>190</v>
      </c>
      <c r="FM78" s="319" t="s">
        <v>190</v>
      </c>
      <c r="FN78" s="319" t="s">
        <v>190</v>
      </c>
      <c r="FO78" s="319" t="s">
        <v>428</v>
      </c>
      <c r="FP78" s="319" t="s">
        <v>190</v>
      </c>
      <c r="FQ78" s="319" t="s">
        <v>190</v>
      </c>
      <c r="FR78" s="319" t="s">
        <v>190</v>
      </c>
      <c r="FS78" s="319" t="s">
        <v>428</v>
      </c>
      <c r="FT78" s="319" t="s">
        <v>190</v>
      </c>
      <c r="FU78" s="319" t="s">
        <v>190</v>
      </c>
      <c r="FV78" s="319" t="s">
        <v>190</v>
      </c>
      <c r="FW78" s="319" t="s">
        <v>190</v>
      </c>
      <c r="FX78" s="319" t="s">
        <v>190</v>
      </c>
      <c r="FY78" s="319" t="s">
        <v>190</v>
      </c>
      <c r="FZ78" s="319" t="s">
        <v>190</v>
      </c>
      <c r="GA78" s="319" t="s">
        <v>190</v>
      </c>
      <c r="GB78" s="319" t="s">
        <v>190</v>
      </c>
      <c r="GC78" s="319" t="s">
        <v>190</v>
      </c>
      <c r="GD78" s="319" t="s">
        <v>190</v>
      </c>
      <c r="GE78" s="319" t="s">
        <v>190</v>
      </c>
      <c r="GF78" s="319" t="s">
        <v>190</v>
      </c>
      <c r="GG78" s="319" t="s">
        <v>190</v>
      </c>
      <c r="GH78" s="319" t="s">
        <v>190</v>
      </c>
      <c r="GI78" s="319" t="s">
        <v>190</v>
      </c>
      <c r="GJ78" s="319" t="s">
        <v>190</v>
      </c>
      <c r="GK78" s="319" t="s">
        <v>428</v>
      </c>
      <c r="GL78" s="319" t="s">
        <v>190</v>
      </c>
      <c r="GM78" s="319" t="s">
        <v>190</v>
      </c>
      <c r="GN78" s="319" t="s">
        <v>190</v>
      </c>
      <c r="GO78" s="319" t="s">
        <v>190</v>
      </c>
      <c r="GP78" s="319" t="s">
        <v>190</v>
      </c>
      <c r="GQ78" s="319" t="s">
        <v>428</v>
      </c>
      <c r="GR78" s="319" t="s">
        <v>190</v>
      </c>
      <c r="GS78" s="319" t="s">
        <v>190</v>
      </c>
      <c r="GT78" s="319" t="s">
        <v>428</v>
      </c>
      <c r="GU78" s="319" t="s">
        <v>428</v>
      </c>
      <c r="GV78" s="319" t="s">
        <v>190</v>
      </c>
      <c r="GW78" s="319" t="s">
        <v>190</v>
      </c>
      <c r="GX78" s="319" t="s">
        <v>190</v>
      </c>
      <c r="GY78" s="319" t="s">
        <v>428</v>
      </c>
      <c r="GZ78" s="319" t="s">
        <v>428</v>
      </c>
      <c r="HA78" s="319" t="s">
        <v>428</v>
      </c>
      <c r="HB78" s="319" t="s">
        <v>190</v>
      </c>
      <c r="HC78" s="319" t="s">
        <v>190</v>
      </c>
      <c r="HD78" s="319" t="s">
        <v>190</v>
      </c>
      <c r="HE78" s="319" t="s">
        <v>190</v>
      </c>
      <c r="HF78" s="319" t="s">
        <v>190</v>
      </c>
      <c r="HG78" s="319" t="s">
        <v>190</v>
      </c>
      <c r="HH78" s="319" t="s">
        <v>190</v>
      </c>
      <c r="HI78" s="319" t="s">
        <v>190</v>
      </c>
      <c r="HJ78" s="319" t="s">
        <v>190</v>
      </c>
      <c r="HK78" s="319" t="s">
        <v>190</v>
      </c>
      <c r="HL78" s="319" t="s">
        <v>428</v>
      </c>
      <c r="HM78" s="319" t="s">
        <v>428</v>
      </c>
      <c r="HN78" s="319" t="s">
        <v>428</v>
      </c>
      <c r="HO78" s="319" t="s">
        <v>428</v>
      </c>
      <c r="HP78" s="319" t="s">
        <v>190</v>
      </c>
      <c r="HQ78" s="319" t="s">
        <v>190</v>
      </c>
      <c r="HR78" s="319" t="s">
        <v>190</v>
      </c>
      <c r="HS78" s="319" t="s">
        <v>190</v>
      </c>
      <c r="HT78" s="319" t="s">
        <v>190</v>
      </c>
      <c r="HU78" s="319" t="s">
        <v>190</v>
      </c>
      <c r="HV78" s="319" t="s">
        <v>190</v>
      </c>
      <c r="HW78" s="319" t="s">
        <v>190</v>
      </c>
      <c r="HX78" s="319" t="s">
        <v>190</v>
      </c>
      <c r="HY78" s="319" t="s">
        <v>190</v>
      </c>
      <c r="HZ78" s="319" t="s">
        <v>190</v>
      </c>
      <c r="IA78" s="319" t="s">
        <v>190</v>
      </c>
      <c r="IB78" s="319" t="s">
        <v>190</v>
      </c>
      <c r="IC78" s="319" t="s">
        <v>190</v>
      </c>
      <c r="ID78" s="319" t="s">
        <v>190</v>
      </c>
      <c r="IE78" s="319" t="s">
        <v>190</v>
      </c>
      <c r="IF78" s="319" t="s">
        <v>190</v>
      </c>
      <c r="IG78" s="319" t="s">
        <v>190</v>
      </c>
      <c r="IH78" s="319" t="s">
        <v>190</v>
      </c>
      <c r="II78" s="319" t="s">
        <v>190</v>
      </c>
      <c r="IJ78" s="319">
        <v>10020784</v>
      </c>
      <c r="IK78" s="321">
        <v>42759</v>
      </c>
      <c r="IL78" s="321">
        <v>42761</v>
      </c>
      <c r="IM78" s="321">
        <v>42816</v>
      </c>
      <c r="IN78" s="319">
        <v>3</v>
      </c>
      <c r="IO78" s="319" t="s">
        <v>173</v>
      </c>
      <c r="IP78" s="319" t="s">
        <v>173</v>
      </c>
      <c r="IQ78" s="319" t="s">
        <v>173</v>
      </c>
      <c r="IR78" s="320" t="s">
        <v>173</v>
      </c>
      <c r="IS78" s="320" t="s">
        <v>173</v>
      </c>
      <c r="IT78" s="319" t="s">
        <v>173</v>
      </c>
    </row>
    <row r="79" spans="1:254" s="271" customFormat="1" x14ac:dyDescent="0.25">
      <c r="A79" s="318" t="str">
        <f>HYPERLINK("http://www.ofsted.gov.uk/inspection-reports/find-inspection-report/provider/ELS/103573 ","Ofsted School Webpage")</f>
        <v>Ofsted School Webpage</v>
      </c>
      <c r="B79" s="319">
        <v>103573</v>
      </c>
      <c r="C79" s="319">
        <v>3306048</v>
      </c>
      <c r="D79" s="319" t="s">
        <v>1314</v>
      </c>
      <c r="E79" s="319" t="s">
        <v>167</v>
      </c>
      <c r="F79" s="319" t="s">
        <v>81</v>
      </c>
      <c r="G79" s="319" t="s">
        <v>81</v>
      </c>
      <c r="H79" s="319" t="s">
        <v>81</v>
      </c>
      <c r="I79" s="319" t="s">
        <v>78</v>
      </c>
      <c r="J79" s="319" t="s">
        <v>424</v>
      </c>
      <c r="K79" s="319" t="s">
        <v>437</v>
      </c>
      <c r="L79" s="319" t="s">
        <v>437</v>
      </c>
      <c r="M79" s="319" t="s">
        <v>813</v>
      </c>
      <c r="N79" s="319" t="s">
        <v>2853</v>
      </c>
      <c r="O79" s="319" t="s">
        <v>1315</v>
      </c>
      <c r="P79" s="319">
        <v>75</v>
      </c>
      <c r="Q79" s="319" t="s">
        <v>2766</v>
      </c>
      <c r="R79" s="320">
        <v>10020734</v>
      </c>
      <c r="S79" s="321">
        <v>43046</v>
      </c>
      <c r="T79" s="321">
        <v>43048</v>
      </c>
      <c r="U79" s="321">
        <v>43139</v>
      </c>
      <c r="V79" s="319" t="s">
        <v>425</v>
      </c>
      <c r="W79" s="319" t="s">
        <v>2767</v>
      </c>
      <c r="X79" s="319">
        <v>2</v>
      </c>
      <c r="Y79" s="319" t="s">
        <v>173</v>
      </c>
      <c r="Z79" s="319" t="s">
        <v>173</v>
      </c>
      <c r="AA79" s="319" t="s">
        <v>173</v>
      </c>
      <c r="AB79" s="319">
        <v>2</v>
      </c>
      <c r="AC79" s="319" t="s">
        <v>169</v>
      </c>
      <c r="AD79" s="319">
        <v>2</v>
      </c>
      <c r="AE79" s="319" t="s">
        <v>173</v>
      </c>
      <c r="AF79" s="319" t="s">
        <v>173</v>
      </c>
      <c r="AG79" s="319" t="s">
        <v>171</v>
      </c>
      <c r="AH79" s="319" t="s">
        <v>190</v>
      </c>
      <c r="AI79" s="319" t="s">
        <v>190</v>
      </c>
      <c r="AJ79" s="319" t="s">
        <v>190</v>
      </c>
      <c r="AK79" s="319" t="s">
        <v>190</v>
      </c>
      <c r="AL79" s="319" t="s">
        <v>190</v>
      </c>
      <c r="AM79" s="319" t="s">
        <v>190</v>
      </c>
      <c r="AN79" s="319" t="s">
        <v>190</v>
      </c>
      <c r="AO79" s="319" t="s">
        <v>190</v>
      </c>
      <c r="AP79" s="319" t="s">
        <v>190</v>
      </c>
      <c r="AQ79" s="319" t="s">
        <v>190</v>
      </c>
      <c r="AR79" s="319" t="s">
        <v>190</v>
      </c>
      <c r="AS79" s="319" t="s">
        <v>190</v>
      </c>
      <c r="AT79" s="319" t="s">
        <v>190</v>
      </c>
      <c r="AU79" s="319" t="s">
        <v>190</v>
      </c>
      <c r="AV79" s="319" t="s">
        <v>190</v>
      </c>
      <c r="AW79" s="319" t="s">
        <v>190</v>
      </c>
      <c r="AX79" s="319" t="s">
        <v>429</v>
      </c>
      <c r="AY79" s="319" t="s">
        <v>190</v>
      </c>
      <c r="AZ79" s="319" t="s">
        <v>190</v>
      </c>
      <c r="BA79" s="319" t="s">
        <v>190</v>
      </c>
      <c r="BB79" s="319" t="s">
        <v>429</v>
      </c>
      <c r="BC79" s="319" t="s">
        <v>429</v>
      </c>
      <c r="BD79" s="319" t="s">
        <v>429</v>
      </c>
      <c r="BE79" s="319" t="s">
        <v>429</v>
      </c>
      <c r="BF79" s="319" t="s">
        <v>190</v>
      </c>
      <c r="BG79" s="319" t="s">
        <v>429</v>
      </c>
      <c r="BH79" s="319" t="s">
        <v>190</v>
      </c>
      <c r="BI79" s="319" t="s">
        <v>190</v>
      </c>
      <c r="BJ79" s="319" t="s">
        <v>190</v>
      </c>
      <c r="BK79" s="319" t="s">
        <v>190</v>
      </c>
      <c r="BL79" s="319" t="s">
        <v>190</v>
      </c>
      <c r="BM79" s="319" t="s">
        <v>190</v>
      </c>
      <c r="BN79" s="319" t="s">
        <v>190</v>
      </c>
      <c r="BO79" s="319" t="s">
        <v>190</v>
      </c>
      <c r="BP79" s="319" t="s">
        <v>190</v>
      </c>
      <c r="BQ79" s="319" t="s">
        <v>190</v>
      </c>
      <c r="BR79" s="319" t="s">
        <v>190</v>
      </c>
      <c r="BS79" s="319" t="s">
        <v>190</v>
      </c>
      <c r="BT79" s="319" t="s">
        <v>190</v>
      </c>
      <c r="BU79" s="319" t="s">
        <v>190</v>
      </c>
      <c r="BV79" s="319" t="s">
        <v>190</v>
      </c>
      <c r="BW79" s="319" t="s">
        <v>190</v>
      </c>
      <c r="BX79" s="319" t="s">
        <v>190</v>
      </c>
      <c r="BY79" s="319" t="s">
        <v>190</v>
      </c>
      <c r="BZ79" s="319" t="s">
        <v>190</v>
      </c>
      <c r="CA79" s="319" t="s">
        <v>190</v>
      </c>
      <c r="CB79" s="319" t="s">
        <v>190</v>
      </c>
      <c r="CC79" s="319" t="s">
        <v>190</v>
      </c>
      <c r="CD79" s="319" t="s">
        <v>190</v>
      </c>
      <c r="CE79" s="319" t="s">
        <v>190</v>
      </c>
      <c r="CF79" s="319" t="s">
        <v>190</v>
      </c>
      <c r="CG79" s="319" t="s">
        <v>190</v>
      </c>
      <c r="CH79" s="319" t="s">
        <v>190</v>
      </c>
      <c r="CI79" s="319" t="s">
        <v>190</v>
      </c>
      <c r="CJ79" s="319" t="s">
        <v>190</v>
      </c>
      <c r="CK79" s="319" t="s">
        <v>190</v>
      </c>
      <c r="CL79" s="319" t="s">
        <v>190</v>
      </c>
      <c r="CM79" s="319" t="s">
        <v>190</v>
      </c>
      <c r="CN79" s="319" t="s">
        <v>429</v>
      </c>
      <c r="CO79" s="319" t="s">
        <v>429</v>
      </c>
      <c r="CP79" s="319" t="s">
        <v>429</v>
      </c>
      <c r="CQ79" s="319" t="s">
        <v>190</v>
      </c>
      <c r="CR79" s="319" t="s">
        <v>190</v>
      </c>
      <c r="CS79" s="319" t="s">
        <v>190</v>
      </c>
      <c r="CT79" s="319" t="s">
        <v>190</v>
      </c>
      <c r="CU79" s="319" t="s">
        <v>190</v>
      </c>
      <c r="CV79" s="319" t="s">
        <v>190</v>
      </c>
      <c r="CW79" s="319" t="s">
        <v>190</v>
      </c>
      <c r="CX79" s="319" t="s">
        <v>190</v>
      </c>
      <c r="CY79" s="319" t="s">
        <v>190</v>
      </c>
      <c r="CZ79" s="319" t="s">
        <v>190</v>
      </c>
      <c r="DA79" s="319" t="s">
        <v>190</v>
      </c>
      <c r="DB79" s="319" t="s">
        <v>190</v>
      </c>
      <c r="DC79" s="319" t="s">
        <v>190</v>
      </c>
      <c r="DD79" s="319" t="s">
        <v>190</v>
      </c>
      <c r="DE79" s="319" t="s">
        <v>190</v>
      </c>
      <c r="DF79" s="319" t="s">
        <v>190</v>
      </c>
      <c r="DG79" s="319" t="s">
        <v>190</v>
      </c>
      <c r="DH79" s="319" t="s">
        <v>190</v>
      </c>
      <c r="DI79" s="319" t="s">
        <v>190</v>
      </c>
      <c r="DJ79" s="319" t="s">
        <v>190</v>
      </c>
      <c r="DK79" s="319" t="s">
        <v>190</v>
      </c>
      <c r="DL79" s="319" t="s">
        <v>190</v>
      </c>
      <c r="DM79" s="319" t="s">
        <v>190</v>
      </c>
      <c r="DN79" s="319" t="s">
        <v>429</v>
      </c>
      <c r="DO79" s="319" t="s">
        <v>190</v>
      </c>
      <c r="DP79" s="319" t="s">
        <v>429</v>
      </c>
      <c r="DQ79" s="319" t="s">
        <v>429</v>
      </c>
      <c r="DR79" s="319" t="s">
        <v>429</v>
      </c>
      <c r="DS79" s="319" t="s">
        <v>429</v>
      </c>
      <c r="DT79" s="319" t="s">
        <v>429</v>
      </c>
      <c r="DU79" s="319" t="s">
        <v>429</v>
      </c>
      <c r="DV79" s="319" t="s">
        <v>173</v>
      </c>
      <c r="DW79" s="319" t="s">
        <v>429</v>
      </c>
      <c r="DX79" s="319" t="s">
        <v>429</v>
      </c>
      <c r="DY79" s="319" t="s">
        <v>429</v>
      </c>
      <c r="DZ79" s="319" t="s">
        <v>429</v>
      </c>
      <c r="EA79" s="319" t="s">
        <v>429</v>
      </c>
      <c r="EB79" s="319" t="s">
        <v>429</v>
      </c>
      <c r="EC79" s="319" t="s">
        <v>429</v>
      </c>
      <c r="ED79" s="319" t="s">
        <v>190</v>
      </c>
      <c r="EE79" s="319" t="s">
        <v>190</v>
      </c>
      <c r="EF79" s="319" t="s">
        <v>190</v>
      </c>
      <c r="EG79" s="319" t="s">
        <v>190</v>
      </c>
      <c r="EH79" s="319" t="s">
        <v>190</v>
      </c>
      <c r="EI79" s="319" t="s">
        <v>190</v>
      </c>
      <c r="EJ79" s="319" t="s">
        <v>190</v>
      </c>
      <c r="EK79" s="319" t="s">
        <v>190</v>
      </c>
      <c r="EL79" s="319" t="s">
        <v>190</v>
      </c>
      <c r="EM79" s="319" t="s">
        <v>190</v>
      </c>
      <c r="EN79" s="319" t="s">
        <v>190</v>
      </c>
      <c r="EO79" s="319" t="s">
        <v>190</v>
      </c>
      <c r="EP79" s="319" t="s">
        <v>190</v>
      </c>
      <c r="EQ79" s="319" t="s">
        <v>190</v>
      </c>
      <c r="ER79" s="319" t="s">
        <v>190</v>
      </c>
      <c r="ES79" s="319" t="s">
        <v>190</v>
      </c>
      <c r="ET79" s="319" t="s">
        <v>190</v>
      </c>
      <c r="EU79" s="319" t="s">
        <v>190</v>
      </c>
      <c r="EV79" s="319" t="s">
        <v>190</v>
      </c>
      <c r="EW79" s="319" t="s">
        <v>190</v>
      </c>
      <c r="EX79" s="319" t="s">
        <v>190</v>
      </c>
      <c r="EY79" s="319" t="s">
        <v>190</v>
      </c>
      <c r="EZ79" s="319" t="s">
        <v>190</v>
      </c>
      <c r="FA79" s="319" t="s">
        <v>190</v>
      </c>
      <c r="FB79" s="319" t="s">
        <v>429</v>
      </c>
      <c r="FC79" s="319" t="s">
        <v>429</v>
      </c>
      <c r="FD79" s="319" t="s">
        <v>429</v>
      </c>
      <c r="FE79" s="319" t="s">
        <v>429</v>
      </c>
      <c r="FF79" s="319" t="s">
        <v>429</v>
      </c>
      <c r="FG79" s="319" t="s">
        <v>429</v>
      </c>
      <c r="FH79" s="319" t="s">
        <v>190</v>
      </c>
      <c r="FI79" s="319" t="s">
        <v>190</v>
      </c>
      <c r="FJ79" s="319" t="s">
        <v>190</v>
      </c>
      <c r="FK79" s="319" t="s">
        <v>190</v>
      </c>
      <c r="FL79" s="319" t="s">
        <v>190</v>
      </c>
      <c r="FM79" s="319" t="s">
        <v>190</v>
      </c>
      <c r="FN79" s="319" t="s">
        <v>190</v>
      </c>
      <c r="FO79" s="319" t="s">
        <v>429</v>
      </c>
      <c r="FP79" s="319" t="s">
        <v>190</v>
      </c>
      <c r="FQ79" s="319" t="s">
        <v>190</v>
      </c>
      <c r="FR79" s="319" t="s">
        <v>190</v>
      </c>
      <c r="FS79" s="319" t="s">
        <v>429</v>
      </c>
      <c r="FT79" s="319" t="s">
        <v>190</v>
      </c>
      <c r="FU79" s="319" t="s">
        <v>190</v>
      </c>
      <c r="FV79" s="319" t="s">
        <v>190</v>
      </c>
      <c r="FW79" s="319" t="s">
        <v>190</v>
      </c>
      <c r="FX79" s="319" t="s">
        <v>190</v>
      </c>
      <c r="FY79" s="319" t="s">
        <v>190</v>
      </c>
      <c r="FZ79" s="319" t="s">
        <v>190</v>
      </c>
      <c r="GA79" s="319" t="s">
        <v>190</v>
      </c>
      <c r="GB79" s="319" t="s">
        <v>190</v>
      </c>
      <c r="GC79" s="319" t="s">
        <v>190</v>
      </c>
      <c r="GD79" s="319" t="s">
        <v>190</v>
      </c>
      <c r="GE79" s="319" t="s">
        <v>190</v>
      </c>
      <c r="GF79" s="319" t="s">
        <v>190</v>
      </c>
      <c r="GG79" s="319" t="s">
        <v>190</v>
      </c>
      <c r="GH79" s="319" t="s">
        <v>190</v>
      </c>
      <c r="GI79" s="319" t="s">
        <v>190</v>
      </c>
      <c r="GJ79" s="319" t="s">
        <v>190</v>
      </c>
      <c r="GK79" s="319" t="s">
        <v>429</v>
      </c>
      <c r="GL79" s="319" t="s">
        <v>190</v>
      </c>
      <c r="GM79" s="319" t="s">
        <v>190</v>
      </c>
      <c r="GN79" s="319" t="s">
        <v>190</v>
      </c>
      <c r="GO79" s="319" t="s">
        <v>190</v>
      </c>
      <c r="GP79" s="319" t="s">
        <v>190</v>
      </c>
      <c r="GQ79" s="319" t="s">
        <v>429</v>
      </c>
      <c r="GR79" s="319" t="s">
        <v>190</v>
      </c>
      <c r="GS79" s="319" t="s">
        <v>190</v>
      </c>
      <c r="GT79" s="319" t="s">
        <v>429</v>
      </c>
      <c r="GU79" s="319" t="s">
        <v>429</v>
      </c>
      <c r="GV79" s="319" t="s">
        <v>190</v>
      </c>
      <c r="GW79" s="319" t="s">
        <v>190</v>
      </c>
      <c r="GX79" s="319" t="s">
        <v>190</v>
      </c>
      <c r="GY79" s="319" t="s">
        <v>190</v>
      </c>
      <c r="GZ79" s="319" t="s">
        <v>190</v>
      </c>
      <c r="HA79" s="319" t="s">
        <v>190</v>
      </c>
      <c r="HB79" s="319" t="s">
        <v>429</v>
      </c>
      <c r="HC79" s="319" t="s">
        <v>190</v>
      </c>
      <c r="HD79" s="319" t="s">
        <v>190</v>
      </c>
      <c r="HE79" s="319" t="s">
        <v>190</v>
      </c>
      <c r="HF79" s="319" t="s">
        <v>190</v>
      </c>
      <c r="HG79" s="319" t="s">
        <v>190</v>
      </c>
      <c r="HH79" s="319" t="s">
        <v>190</v>
      </c>
      <c r="HI79" s="319" t="s">
        <v>190</v>
      </c>
      <c r="HJ79" s="319" t="s">
        <v>190</v>
      </c>
      <c r="HK79" s="319" t="s">
        <v>190</v>
      </c>
      <c r="HL79" s="319" t="s">
        <v>429</v>
      </c>
      <c r="HM79" s="319" t="s">
        <v>429</v>
      </c>
      <c r="HN79" s="319" t="s">
        <v>429</v>
      </c>
      <c r="HO79" s="319" t="s">
        <v>429</v>
      </c>
      <c r="HP79" s="319" t="s">
        <v>190</v>
      </c>
      <c r="HQ79" s="319" t="s">
        <v>190</v>
      </c>
      <c r="HR79" s="319" t="s">
        <v>190</v>
      </c>
      <c r="HS79" s="319" t="s">
        <v>190</v>
      </c>
      <c r="HT79" s="319" t="s">
        <v>190</v>
      </c>
      <c r="HU79" s="319" t="s">
        <v>190</v>
      </c>
      <c r="HV79" s="319" t="s">
        <v>190</v>
      </c>
      <c r="HW79" s="319" t="s">
        <v>190</v>
      </c>
      <c r="HX79" s="319" t="s">
        <v>190</v>
      </c>
      <c r="HY79" s="319" t="s">
        <v>190</v>
      </c>
      <c r="HZ79" s="319" t="s">
        <v>190</v>
      </c>
      <c r="IA79" s="319" t="s">
        <v>190</v>
      </c>
      <c r="IB79" s="319" t="s">
        <v>190</v>
      </c>
      <c r="IC79" s="319" t="s">
        <v>190</v>
      </c>
      <c r="ID79" s="319" t="s">
        <v>190</v>
      </c>
      <c r="IE79" s="319" t="s">
        <v>190</v>
      </c>
      <c r="IF79" s="319" t="s">
        <v>190</v>
      </c>
      <c r="IG79" s="319" t="s">
        <v>190</v>
      </c>
      <c r="IH79" s="319" t="s">
        <v>190</v>
      </c>
      <c r="II79" s="319" t="s">
        <v>190</v>
      </c>
      <c r="IJ79" s="319" t="s">
        <v>2854</v>
      </c>
      <c r="IK79" s="321">
        <v>40800</v>
      </c>
      <c r="IL79" s="321">
        <v>40801</v>
      </c>
      <c r="IM79" s="321">
        <v>40821</v>
      </c>
      <c r="IN79" s="319">
        <v>2</v>
      </c>
      <c r="IO79" s="319" t="s">
        <v>173</v>
      </c>
      <c r="IP79" s="319" t="s">
        <v>173</v>
      </c>
      <c r="IQ79" s="319" t="s">
        <v>173</v>
      </c>
      <c r="IR79" s="320" t="s">
        <v>173</v>
      </c>
      <c r="IS79" s="320" t="s">
        <v>173</v>
      </c>
      <c r="IT79" s="319" t="s">
        <v>173</v>
      </c>
    </row>
    <row r="80" spans="1:254" s="271" customFormat="1" x14ac:dyDescent="0.25">
      <c r="A80" s="318" t="str">
        <f>HYPERLINK("http://www.ofsted.gov.uk/inspection-reports/find-inspection-report/provider/ELS/103586 ","Ofsted School Webpage")</f>
        <v>Ofsted School Webpage</v>
      </c>
      <c r="B80" s="319">
        <v>103586</v>
      </c>
      <c r="C80" s="319">
        <v>3306078</v>
      </c>
      <c r="D80" s="319" t="s">
        <v>1316</v>
      </c>
      <c r="E80" s="319" t="s">
        <v>167</v>
      </c>
      <c r="F80" s="319" t="s">
        <v>81</v>
      </c>
      <c r="G80" s="319" t="s">
        <v>72</v>
      </c>
      <c r="H80" s="319" t="s">
        <v>72</v>
      </c>
      <c r="I80" s="319" t="s">
        <v>72</v>
      </c>
      <c r="J80" s="319" t="s">
        <v>424</v>
      </c>
      <c r="K80" s="319" t="s">
        <v>437</v>
      </c>
      <c r="L80" s="319" t="s">
        <v>437</v>
      </c>
      <c r="M80" s="319" t="s">
        <v>813</v>
      </c>
      <c r="N80" s="319" t="s">
        <v>2855</v>
      </c>
      <c r="O80" s="319" t="s">
        <v>1317</v>
      </c>
      <c r="P80" s="319">
        <v>128</v>
      </c>
      <c r="Q80" s="319" t="s">
        <v>2776</v>
      </c>
      <c r="R80" s="320">
        <v>10038825</v>
      </c>
      <c r="S80" s="321">
        <v>42997</v>
      </c>
      <c r="T80" s="321">
        <v>42999</v>
      </c>
      <c r="U80" s="321">
        <v>43040</v>
      </c>
      <c r="V80" s="319" t="s">
        <v>425</v>
      </c>
      <c r="W80" s="319" t="s">
        <v>2767</v>
      </c>
      <c r="X80" s="319">
        <v>2</v>
      </c>
      <c r="Y80" s="319" t="s">
        <v>173</v>
      </c>
      <c r="Z80" s="319" t="s">
        <v>173</v>
      </c>
      <c r="AA80" s="319" t="s">
        <v>173</v>
      </c>
      <c r="AB80" s="319">
        <v>2</v>
      </c>
      <c r="AC80" s="319" t="s">
        <v>169</v>
      </c>
      <c r="AD80" s="319" t="s">
        <v>173</v>
      </c>
      <c r="AE80" s="319" t="s">
        <v>173</v>
      </c>
      <c r="AF80" s="319" t="s">
        <v>173</v>
      </c>
      <c r="AG80" s="319" t="s">
        <v>171</v>
      </c>
      <c r="AH80" s="319" t="s">
        <v>190</v>
      </c>
      <c r="AI80" s="319" t="s">
        <v>190</v>
      </c>
      <c r="AJ80" s="319" t="s">
        <v>190</v>
      </c>
      <c r="AK80" s="319" t="s">
        <v>190</v>
      </c>
      <c r="AL80" s="319" t="s">
        <v>190</v>
      </c>
      <c r="AM80" s="319" t="s">
        <v>190</v>
      </c>
      <c r="AN80" s="319" t="s">
        <v>190</v>
      </c>
      <c r="AO80" s="319" t="s">
        <v>190</v>
      </c>
      <c r="AP80" s="319" t="s">
        <v>190</v>
      </c>
      <c r="AQ80" s="319" t="s">
        <v>190</v>
      </c>
      <c r="AR80" s="319" t="s">
        <v>190</v>
      </c>
      <c r="AS80" s="319" t="s">
        <v>190</v>
      </c>
      <c r="AT80" s="319" t="s">
        <v>190</v>
      </c>
      <c r="AU80" s="319" t="s">
        <v>190</v>
      </c>
      <c r="AV80" s="319" t="s">
        <v>190</v>
      </c>
      <c r="AW80" s="319" t="s">
        <v>190</v>
      </c>
      <c r="AX80" s="319" t="s">
        <v>429</v>
      </c>
      <c r="AY80" s="319" t="s">
        <v>190</v>
      </c>
      <c r="AZ80" s="319" t="s">
        <v>190</v>
      </c>
      <c r="BA80" s="319" t="s">
        <v>190</v>
      </c>
      <c r="BB80" s="319" t="s">
        <v>190</v>
      </c>
      <c r="BC80" s="319" t="s">
        <v>190</v>
      </c>
      <c r="BD80" s="319" t="s">
        <v>190</v>
      </c>
      <c r="BE80" s="319" t="s">
        <v>190</v>
      </c>
      <c r="BF80" s="319" t="s">
        <v>429</v>
      </c>
      <c r="BG80" s="319" t="s">
        <v>190</v>
      </c>
      <c r="BH80" s="319" t="s">
        <v>190</v>
      </c>
      <c r="BI80" s="319" t="s">
        <v>190</v>
      </c>
      <c r="BJ80" s="319" t="s">
        <v>190</v>
      </c>
      <c r="BK80" s="319" t="s">
        <v>190</v>
      </c>
      <c r="BL80" s="319" t="s">
        <v>190</v>
      </c>
      <c r="BM80" s="319" t="s">
        <v>190</v>
      </c>
      <c r="BN80" s="319" t="s">
        <v>190</v>
      </c>
      <c r="BO80" s="319" t="s">
        <v>190</v>
      </c>
      <c r="BP80" s="319" t="s">
        <v>190</v>
      </c>
      <c r="BQ80" s="319" t="s">
        <v>190</v>
      </c>
      <c r="BR80" s="319" t="s">
        <v>190</v>
      </c>
      <c r="BS80" s="319" t="s">
        <v>190</v>
      </c>
      <c r="BT80" s="319" t="s">
        <v>190</v>
      </c>
      <c r="BU80" s="319" t="s">
        <v>190</v>
      </c>
      <c r="BV80" s="319" t="s">
        <v>190</v>
      </c>
      <c r="BW80" s="319" t="s">
        <v>190</v>
      </c>
      <c r="BX80" s="319" t="s">
        <v>190</v>
      </c>
      <c r="BY80" s="319" t="s">
        <v>190</v>
      </c>
      <c r="BZ80" s="319" t="s">
        <v>190</v>
      </c>
      <c r="CA80" s="319" t="s">
        <v>190</v>
      </c>
      <c r="CB80" s="319" t="s">
        <v>190</v>
      </c>
      <c r="CC80" s="319" t="s">
        <v>190</v>
      </c>
      <c r="CD80" s="319" t="s">
        <v>190</v>
      </c>
      <c r="CE80" s="319" t="s">
        <v>190</v>
      </c>
      <c r="CF80" s="319" t="s">
        <v>190</v>
      </c>
      <c r="CG80" s="319" t="s">
        <v>190</v>
      </c>
      <c r="CH80" s="319" t="s">
        <v>190</v>
      </c>
      <c r="CI80" s="319" t="s">
        <v>190</v>
      </c>
      <c r="CJ80" s="319" t="s">
        <v>190</v>
      </c>
      <c r="CK80" s="319" t="s">
        <v>190</v>
      </c>
      <c r="CL80" s="319" t="s">
        <v>190</v>
      </c>
      <c r="CM80" s="319" t="s">
        <v>190</v>
      </c>
      <c r="CN80" s="319" t="s">
        <v>429</v>
      </c>
      <c r="CO80" s="319" t="s">
        <v>429</v>
      </c>
      <c r="CP80" s="319" t="s">
        <v>429</v>
      </c>
      <c r="CQ80" s="319" t="s">
        <v>190</v>
      </c>
      <c r="CR80" s="319" t="s">
        <v>190</v>
      </c>
      <c r="CS80" s="319" t="s">
        <v>190</v>
      </c>
      <c r="CT80" s="319" t="s">
        <v>190</v>
      </c>
      <c r="CU80" s="319" t="s">
        <v>190</v>
      </c>
      <c r="CV80" s="319" t="s">
        <v>190</v>
      </c>
      <c r="CW80" s="319" t="s">
        <v>190</v>
      </c>
      <c r="CX80" s="319" t="s">
        <v>190</v>
      </c>
      <c r="CY80" s="319" t="s">
        <v>190</v>
      </c>
      <c r="CZ80" s="319" t="s">
        <v>190</v>
      </c>
      <c r="DA80" s="319" t="s">
        <v>190</v>
      </c>
      <c r="DB80" s="319" t="s">
        <v>190</v>
      </c>
      <c r="DC80" s="319" t="s">
        <v>190</v>
      </c>
      <c r="DD80" s="319" t="s">
        <v>190</v>
      </c>
      <c r="DE80" s="319" t="s">
        <v>190</v>
      </c>
      <c r="DF80" s="319" t="s">
        <v>190</v>
      </c>
      <c r="DG80" s="319" t="s">
        <v>190</v>
      </c>
      <c r="DH80" s="319" t="s">
        <v>190</v>
      </c>
      <c r="DI80" s="319" t="s">
        <v>190</v>
      </c>
      <c r="DJ80" s="319" t="s">
        <v>190</v>
      </c>
      <c r="DK80" s="319" t="s">
        <v>190</v>
      </c>
      <c r="DL80" s="319" t="s">
        <v>190</v>
      </c>
      <c r="DM80" s="319" t="s">
        <v>190</v>
      </c>
      <c r="DN80" s="319" t="s">
        <v>429</v>
      </c>
      <c r="DO80" s="319" t="s">
        <v>190</v>
      </c>
      <c r="DP80" s="319" t="s">
        <v>190</v>
      </c>
      <c r="DQ80" s="319" t="s">
        <v>190</v>
      </c>
      <c r="DR80" s="319" t="s">
        <v>190</v>
      </c>
      <c r="DS80" s="319" t="s">
        <v>190</v>
      </c>
      <c r="DT80" s="319" t="s">
        <v>190</v>
      </c>
      <c r="DU80" s="319" t="s">
        <v>190</v>
      </c>
      <c r="DV80" s="319" t="s">
        <v>173</v>
      </c>
      <c r="DW80" s="319" t="s">
        <v>190</v>
      </c>
      <c r="DX80" s="319" t="s">
        <v>190</v>
      </c>
      <c r="DY80" s="319" t="s">
        <v>190</v>
      </c>
      <c r="DZ80" s="319" t="s">
        <v>190</v>
      </c>
      <c r="EA80" s="319" t="s">
        <v>190</v>
      </c>
      <c r="EB80" s="319" t="s">
        <v>190</v>
      </c>
      <c r="EC80" s="319" t="s">
        <v>429</v>
      </c>
      <c r="ED80" s="319" t="s">
        <v>190</v>
      </c>
      <c r="EE80" s="319" t="s">
        <v>190</v>
      </c>
      <c r="EF80" s="319" t="s">
        <v>190</v>
      </c>
      <c r="EG80" s="319" t="s">
        <v>190</v>
      </c>
      <c r="EH80" s="319" t="s">
        <v>190</v>
      </c>
      <c r="EI80" s="319" t="s">
        <v>190</v>
      </c>
      <c r="EJ80" s="319" t="s">
        <v>190</v>
      </c>
      <c r="EK80" s="319" t="s">
        <v>190</v>
      </c>
      <c r="EL80" s="319" t="s">
        <v>190</v>
      </c>
      <c r="EM80" s="319" t="s">
        <v>190</v>
      </c>
      <c r="EN80" s="319" t="s">
        <v>190</v>
      </c>
      <c r="EO80" s="319" t="s">
        <v>190</v>
      </c>
      <c r="EP80" s="319" t="s">
        <v>190</v>
      </c>
      <c r="EQ80" s="319" t="s">
        <v>190</v>
      </c>
      <c r="ER80" s="319" t="s">
        <v>190</v>
      </c>
      <c r="ES80" s="319" t="s">
        <v>190</v>
      </c>
      <c r="ET80" s="319" t="s">
        <v>190</v>
      </c>
      <c r="EU80" s="319" t="s">
        <v>190</v>
      </c>
      <c r="EV80" s="319" t="s">
        <v>190</v>
      </c>
      <c r="EW80" s="319" t="s">
        <v>190</v>
      </c>
      <c r="EX80" s="319" t="s">
        <v>190</v>
      </c>
      <c r="EY80" s="319" t="s">
        <v>190</v>
      </c>
      <c r="EZ80" s="319" t="s">
        <v>190</v>
      </c>
      <c r="FA80" s="319" t="s">
        <v>190</v>
      </c>
      <c r="FB80" s="319" t="s">
        <v>190</v>
      </c>
      <c r="FC80" s="319" t="s">
        <v>190</v>
      </c>
      <c r="FD80" s="319" t="s">
        <v>190</v>
      </c>
      <c r="FE80" s="319" t="s">
        <v>190</v>
      </c>
      <c r="FF80" s="319" t="s">
        <v>190</v>
      </c>
      <c r="FG80" s="319" t="s">
        <v>190</v>
      </c>
      <c r="FH80" s="319" t="s">
        <v>190</v>
      </c>
      <c r="FI80" s="319" t="s">
        <v>429</v>
      </c>
      <c r="FJ80" s="319" t="s">
        <v>429</v>
      </c>
      <c r="FK80" s="319" t="s">
        <v>429</v>
      </c>
      <c r="FL80" s="319" t="s">
        <v>190</v>
      </c>
      <c r="FM80" s="319" t="s">
        <v>190</v>
      </c>
      <c r="FN80" s="319" t="s">
        <v>190</v>
      </c>
      <c r="FO80" s="319" t="s">
        <v>190</v>
      </c>
      <c r="FP80" s="319" t="s">
        <v>190</v>
      </c>
      <c r="FQ80" s="319" t="s">
        <v>190</v>
      </c>
      <c r="FR80" s="319" t="s">
        <v>190</v>
      </c>
      <c r="FS80" s="319" t="s">
        <v>429</v>
      </c>
      <c r="FT80" s="319" t="s">
        <v>190</v>
      </c>
      <c r="FU80" s="319" t="s">
        <v>190</v>
      </c>
      <c r="FV80" s="319" t="s">
        <v>190</v>
      </c>
      <c r="FW80" s="319" t="s">
        <v>190</v>
      </c>
      <c r="FX80" s="319" t="s">
        <v>190</v>
      </c>
      <c r="FY80" s="319" t="s">
        <v>190</v>
      </c>
      <c r="FZ80" s="319" t="s">
        <v>190</v>
      </c>
      <c r="GA80" s="319" t="s">
        <v>190</v>
      </c>
      <c r="GB80" s="319" t="s">
        <v>190</v>
      </c>
      <c r="GC80" s="319" t="s">
        <v>190</v>
      </c>
      <c r="GD80" s="319" t="s">
        <v>190</v>
      </c>
      <c r="GE80" s="319" t="s">
        <v>190</v>
      </c>
      <c r="GF80" s="319" t="s">
        <v>190</v>
      </c>
      <c r="GG80" s="319" t="s">
        <v>190</v>
      </c>
      <c r="GH80" s="319" t="s">
        <v>190</v>
      </c>
      <c r="GI80" s="319" t="s">
        <v>190</v>
      </c>
      <c r="GJ80" s="319" t="s">
        <v>190</v>
      </c>
      <c r="GK80" s="319" t="s">
        <v>429</v>
      </c>
      <c r="GL80" s="319" t="s">
        <v>190</v>
      </c>
      <c r="GM80" s="319" t="s">
        <v>190</v>
      </c>
      <c r="GN80" s="319" t="s">
        <v>190</v>
      </c>
      <c r="GO80" s="319" t="s">
        <v>190</v>
      </c>
      <c r="GP80" s="319" t="s">
        <v>190</v>
      </c>
      <c r="GQ80" s="319" t="s">
        <v>429</v>
      </c>
      <c r="GR80" s="319" t="s">
        <v>190</v>
      </c>
      <c r="GS80" s="319" t="s">
        <v>190</v>
      </c>
      <c r="GT80" s="319" t="s">
        <v>429</v>
      </c>
      <c r="GU80" s="319" t="s">
        <v>429</v>
      </c>
      <c r="GV80" s="319" t="s">
        <v>190</v>
      </c>
      <c r="GW80" s="319" t="s">
        <v>190</v>
      </c>
      <c r="GX80" s="319" t="s">
        <v>190</v>
      </c>
      <c r="GY80" s="319" t="s">
        <v>190</v>
      </c>
      <c r="GZ80" s="319" t="s">
        <v>429</v>
      </c>
      <c r="HA80" s="319" t="s">
        <v>190</v>
      </c>
      <c r="HB80" s="319" t="s">
        <v>429</v>
      </c>
      <c r="HC80" s="319" t="s">
        <v>190</v>
      </c>
      <c r="HD80" s="319" t="s">
        <v>190</v>
      </c>
      <c r="HE80" s="319" t="s">
        <v>190</v>
      </c>
      <c r="HF80" s="319" t="s">
        <v>190</v>
      </c>
      <c r="HG80" s="319" t="s">
        <v>190</v>
      </c>
      <c r="HH80" s="319" t="s">
        <v>190</v>
      </c>
      <c r="HI80" s="319" t="s">
        <v>190</v>
      </c>
      <c r="HJ80" s="319" t="s">
        <v>190</v>
      </c>
      <c r="HK80" s="319" t="s">
        <v>190</v>
      </c>
      <c r="HL80" s="319" t="s">
        <v>429</v>
      </c>
      <c r="HM80" s="319" t="s">
        <v>429</v>
      </c>
      <c r="HN80" s="319" t="s">
        <v>429</v>
      </c>
      <c r="HO80" s="319" t="s">
        <v>429</v>
      </c>
      <c r="HP80" s="319" t="s">
        <v>190</v>
      </c>
      <c r="HQ80" s="319" t="s">
        <v>190</v>
      </c>
      <c r="HR80" s="319" t="s">
        <v>190</v>
      </c>
      <c r="HS80" s="319" t="s">
        <v>190</v>
      </c>
      <c r="HT80" s="319" t="s">
        <v>190</v>
      </c>
      <c r="HU80" s="319" t="s">
        <v>190</v>
      </c>
      <c r="HV80" s="319" t="s">
        <v>190</v>
      </c>
      <c r="HW80" s="319" t="s">
        <v>190</v>
      </c>
      <c r="HX80" s="319" t="s">
        <v>190</v>
      </c>
      <c r="HY80" s="319" t="s">
        <v>190</v>
      </c>
      <c r="HZ80" s="319" t="s">
        <v>190</v>
      </c>
      <c r="IA80" s="319" t="s">
        <v>190</v>
      </c>
      <c r="IB80" s="319" t="s">
        <v>190</v>
      </c>
      <c r="IC80" s="319" t="s">
        <v>190</v>
      </c>
      <c r="ID80" s="319" t="s">
        <v>190</v>
      </c>
      <c r="IE80" s="319" t="s">
        <v>190</v>
      </c>
      <c r="IF80" s="319" t="s">
        <v>190</v>
      </c>
      <c r="IG80" s="319" t="s">
        <v>190</v>
      </c>
      <c r="IH80" s="319" t="s">
        <v>190</v>
      </c>
      <c r="II80" s="319" t="s">
        <v>190</v>
      </c>
      <c r="IJ80" s="319">
        <v>10007687</v>
      </c>
      <c r="IK80" s="321">
        <v>42290</v>
      </c>
      <c r="IL80" s="321">
        <v>42292</v>
      </c>
      <c r="IM80" s="321">
        <v>42331</v>
      </c>
      <c r="IN80" s="319">
        <v>4</v>
      </c>
      <c r="IO80" s="319" t="s">
        <v>173</v>
      </c>
      <c r="IP80" s="319" t="s">
        <v>173</v>
      </c>
      <c r="IQ80" s="321" t="s">
        <v>173</v>
      </c>
      <c r="IR80" s="320" t="s">
        <v>173</v>
      </c>
      <c r="IS80" s="322" t="s">
        <v>173</v>
      </c>
      <c r="IT80" s="319" t="s">
        <v>173</v>
      </c>
    </row>
    <row r="81" spans="1:254" s="271" customFormat="1" x14ac:dyDescent="0.25">
      <c r="A81" s="318" t="str">
        <f>HYPERLINK("http://www.ofsted.gov.uk/inspection-reports/find-inspection-report/provider/ELS/103587 ","Ofsted School Webpage")</f>
        <v>Ofsted School Webpage</v>
      </c>
      <c r="B81" s="319">
        <v>103587</v>
      </c>
      <c r="C81" s="319">
        <v>3306079</v>
      </c>
      <c r="D81" s="319" t="s">
        <v>1318</v>
      </c>
      <c r="E81" s="319" t="s">
        <v>167</v>
      </c>
      <c r="F81" s="319" t="s">
        <v>81</v>
      </c>
      <c r="G81" s="319" t="s">
        <v>81</v>
      </c>
      <c r="H81" s="319" t="s">
        <v>81</v>
      </c>
      <c r="I81" s="319" t="s">
        <v>78</v>
      </c>
      <c r="J81" s="319" t="s">
        <v>424</v>
      </c>
      <c r="K81" s="319" t="s">
        <v>437</v>
      </c>
      <c r="L81" s="319" t="s">
        <v>437</v>
      </c>
      <c r="M81" s="319" t="s">
        <v>813</v>
      </c>
      <c r="N81" s="319" t="s">
        <v>2856</v>
      </c>
      <c r="O81" s="319" t="s">
        <v>1319</v>
      </c>
      <c r="P81" s="319">
        <v>260</v>
      </c>
      <c r="Q81" s="319" t="s">
        <v>2776</v>
      </c>
      <c r="R81" s="320">
        <v>10039275</v>
      </c>
      <c r="S81" s="321">
        <v>43158</v>
      </c>
      <c r="T81" s="321">
        <v>43160</v>
      </c>
      <c r="U81" s="321">
        <v>43216</v>
      </c>
      <c r="V81" s="319" t="s">
        <v>425</v>
      </c>
      <c r="W81" s="319" t="s">
        <v>2767</v>
      </c>
      <c r="X81" s="319">
        <v>1</v>
      </c>
      <c r="Y81" s="319" t="s">
        <v>173</v>
      </c>
      <c r="Z81" s="319" t="s">
        <v>173</v>
      </c>
      <c r="AA81" s="319" t="s">
        <v>173</v>
      </c>
      <c r="AB81" s="319">
        <v>1</v>
      </c>
      <c r="AC81" s="319" t="s">
        <v>169</v>
      </c>
      <c r="AD81" s="319" t="s">
        <v>173</v>
      </c>
      <c r="AE81" s="319">
        <v>1</v>
      </c>
      <c r="AF81" s="319" t="s">
        <v>427</v>
      </c>
      <c r="AG81" s="319" t="s">
        <v>171</v>
      </c>
      <c r="AH81" s="319" t="s">
        <v>190</v>
      </c>
      <c r="AI81" s="319" t="s">
        <v>190</v>
      </c>
      <c r="AJ81" s="319" t="s">
        <v>190</v>
      </c>
      <c r="AK81" s="319" t="s">
        <v>190</v>
      </c>
      <c r="AL81" s="319" t="s">
        <v>190</v>
      </c>
      <c r="AM81" s="319" t="s">
        <v>190</v>
      </c>
      <c r="AN81" s="319" t="s">
        <v>190</v>
      </c>
      <c r="AO81" s="319" t="s">
        <v>190</v>
      </c>
      <c r="AP81" s="319" t="s">
        <v>190</v>
      </c>
      <c r="AQ81" s="319" t="s">
        <v>190</v>
      </c>
      <c r="AR81" s="319" t="s">
        <v>190</v>
      </c>
      <c r="AS81" s="319" t="s">
        <v>190</v>
      </c>
      <c r="AT81" s="319" t="s">
        <v>190</v>
      </c>
      <c r="AU81" s="319" t="s">
        <v>190</v>
      </c>
      <c r="AV81" s="319" t="s">
        <v>190</v>
      </c>
      <c r="AW81" s="319" t="s">
        <v>190</v>
      </c>
      <c r="AX81" s="319" t="s">
        <v>428</v>
      </c>
      <c r="AY81" s="319" t="s">
        <v>190</v>
      </c>
      <c r="AZ81" s="319" t="s">
        <v>190</v>
      </c>
      <c r="BA81" s="319" t="s">
        <v>190</v>
      </c>
      <c r="BB81" s="319" t="s">
        <v>190</v>
      </c>
      <c r="BC81" s="319" t="s">
        <v>190</v>
      </c>
      <c r="BD81" s="319" t="s">
        <v>190</v>
      </c>
      <c r="BE81" s="319" t="s">
        <v>190</v>
      </c>
      <c r="BF81" s="319" t="s">
        <v>428</v>
      </c>
      <c r="BG81" s="319" t="s">
        <v>190</v>
      </c>
      <c r="BH81" s="319" t="s">
        <v>190</v>
      </c>
      <c r="BI81" s="319" t="s">
        <v>190</v>
      </c>
      <c r="BJ81" s="319" t="s">
        <v>190</v>
      </c>
      <c r="BK81" s="319" t="s">
        <v>190</v>
      </c>
      <c r="BL81" s="319" t="s">
        <v>190</v>
      </c>
      <c r="BM81" s="319" t="s">
        <v>190</v>
      </c>
      <c r="BN81" s="319" t="s">
        <v>190</v>
      </c>
      <c r="BO81" s="319" t="s">
        <v>190</v>
      </c>
      <c r="BP81" s="319" t="s">
        <v>190</v>
      </c>
      <c r="BQ81" s="319" t="s">
        <v>190</v>
      </c>
      <c r="BR81" s="319" t="s">
        <v>190</v>
      </c>
      <c r="BS81" s="319" t="s">
        <v>190</v>
      </c>
      <c r="BT81" s="319" t="s">
        <v>190</v>
      </c>
      <c r="BU81" s="319" t="s">
        <v>190</v>
      </c>
      <c r="BV81" s="319" t="s">
        <v>190</v>
      </c>
      <c r="BW81" s="319" t="s">
        <v>190</v>
      </c>
      <c r="BX81" s="319" t="s">
        <v>190</v>
      </c>
      <c r="BY81" s="319" t="s">
        <v>190</v>
      </c>
      <c r="BZ81" s="319" t="s">
        <v>190</v>
      </c>
      <c r="CA81" s="319" t="s">
        <v>190</v>
      </c>
      <c r="CB81" s="319" t="s">
        <v>190</v>
      </c>
      <c r="CC81" s="319" t="s">
        <v>190</v>
      </c>
      <c r="CD81" s="319" t="s">
        <v>190</v>
      </c>
      <c r="CE81" s="319" t="s">
        <v>190</v>
      </c>
      <c r="CF81" s="319" t="s">
        <v>190</v>
      </c>
      <c r="CG81" s="319" t="s">
        <v>190</v>
      </c>
      <c r="CH81" s="319" t="s">
        <v>190</v>
      </c>
      <c r="CI81" s="319" t="s">
        <v>190</v>
      </c>
      <c r="CJ81" s="319" t="s">
        <v>190</v>
      </c>
      <c r="CK81" s="319" t="s">
        <v>190</v>
      </c>
      <c r="CL81" s="319" t="s">
        <v>190</v>
      </c>
      <c r="CM81" s="319" t="s">
        <v>190</v>
      </c>
      <c r="CN81" s="319" t="s">
        <v>428</v>
      </c>
      <c r="CO81" s="319" t="s">
        <v>428</v>
      </c>
      <c r="CP81" s="319" t="s">
        <v>428</v>
      </c>
      <c r="CQ81" s="319" t="s">
        <v>190</v>
      </c>
      <c r="CR81" s="319" t="s">
        <v>190</v>
      </c>
      <c r="CS81" s="319" t="s">
        <v>190</v>
      </c>
      <c r="CT81" s="319" t="s">
        <v>190</v>
      </c>
      <c r="CU81" s="319" t="s">
        <v>190</v>
      </c>
      <c r="CV81" s="319" t="s">
        <v>190</v>
      </c>
      <c r="CW81" s="319" t="s">
        <v>190</v>
      </c>
      <c r="CX81" s="319" t="s">
        <v>190</v>
      </c>
      <c r="CY81" s="319" t="s">
        <v>190</v>
      </c>
      <c r="CZ81" s="319" t="s">
        <v>190</v>
      </c>
      <c r="DA81" s="319" t="s">
        <v>190</v>
      </c>
      <c r="DB81" s="319" t="s">
        <v>190</v>
      </c>
      <c r="DC81" s="319" t="s">
        <v>190</v>
      </c>
      <c r="DD81" s="319" t="s">
        <v>190</v>
      </c>
      <c r="DE81" s="319" t="s">
        <v>190</v>
      </c>
      <c r="DF81" s="319" t="s">
        <v>190</v>
      </c>
      <c r="DG81" s="319" t="s">
        <v>190</v>
      </c>
      <c r="DH81" s="319" t="s">
        <v>190</v>
      </c>
      <c r="DI81" s="319" t="s">
        <v>190</v>
      </c>
      <c r="DJ81" s="319" t="s">
        <v>190</v>
      </c>
      <c r="DK81" s="319" t="s">
        <v>190</v>
      </c>
      <c r="DL81" s="319" t="s">
        <v>190</v>
      </c>
      <c r="DM81" s="319" t="s">
        <v>190</v>
      </c>
      <c r="DN81" s="319" t="s">
        <v>428</v>
      </c>
      <c r="DO81" s="319" t="s">
        <v>190</v>
      </c>
      <c r="DP81" s="319" t="s">
        <v>428</v>
      </c>
      <c r="DQ81" s="319" t="s">
        <v>428</v>
      </c>
      <c r="DR81" s="319" t="s">
        <v>428</v>
      </c>
      <c r="DS81" s="319" t="s">
        <v>428</v>
      </c>
      <c r="DT81" s="319" t="s">
        <v>428</v>
      </c>
      <c r="DU81" s="319" t="s">
        <v>428</v>
      </c>
      <c r="DV81" s="319" t="s">
        <v>173</v>
      </c>
      <c r="DW81" s="319" t="s">
        <v>428</v>
      </c>
      <c r="DX81" s="319" t="s">
        <v>190</v>
      </c>
      <c r="DY81" s="319" t="s">
        <v>190</v>
      </c>
      <c r="DZ81" s="319" t="s">
        <v>428</v>
      </c>
      <c r="EA81" s="319" t="s">
        <v>428</v>
      </c>
      <c r="EB81" s="319" t="s">
        <v>428</v>
      </c>
      <c r="EC81" s="319" t="s">
        <v>428</v>
      </c>
      <c r="ED81" s="319" t="s">
        <v>190</v>
      </c>
      <c r="EE81" s="319" t="s">
        <v>190</v>
      </c>
      <c r="EF81" s="319" t="s">
        <v>190</v>
      </c>
      <c r="EG81" s="319" t="s">
        <v>190</v>
      </c>
      <c r="EH81" s="319" t="s">
        <v>190</v>
      </c>
      <c r="EI81" s="319" t="s">
        <v>190</v>
      </c>
      <c r="EJ81" s="319" t="s">
        <v>190</v>
      </c>
      <c r="EK81" s="319" t="s">
        <v>190</v>
      </c>
      <c r="EL81" s="319" t="s">
        <v>190</v>
      </c>
      <c r="EM81" s="319" t="s">
        <v>190</v>
      </c>
      <c r="EN81" s="319" t="s">
        <v>190</v>
      </c>
      <c r="EO81" s="319" t="s">
        <v>190</v>
      </c>
      <c r="EP81" s="319" t="s">
        <v>190</v>
      </c>
      <c r="EQ81" s="319" t="s">
        <v>190</v>
      </c>
      <c r="ER81" s="319" t="s">
        <v>190</v>
      </c>
      <c r="ES81" s="319" t="s">
        <v>190</v>
      </c>
      <c r="ET81" s="319" t="s">
        <v>190</v>
      </c>
      <c r="EU81" s="319" t="s">
        <v>190</v>
      </c>
      <c r="EV81" s="319" t="s">
        <v>190</v>
      </c>
      <c r="EW81" s="319" t="s">
        <v>190</v>
      </c>
      <c r="EX81" s="319" t="s">
        <v>190</v>
      </c>
      <c r="EY81" s="319" t="s">
        <v>190</v>
      </c>
      <c r="EZ81" s="319" t="s">
        <v>190</v>
      </c>
      <c r="FA81" s="319" t="s">
        <v>190</v>
      </c>
      <c r="FB81" s="319" t="s">
        <v>428</v>
      </c>
      <c r="FC81" s="319" t="s">
        <v>428</v>
      </c>
      <c r="FD81" s="319" t="s">
        <v>428</v>
      </c>
      <c r="FE81" s="319" t="s">
        <v>428</v>
      </c>
      <c r="FF81" s="319" t="s">
        <v>428</v>
      </c>
      <c r="FG81" s="319" t="s">
        <v>428</v>
      </c>
      <c r="FH81" s="319" t="s">
        <v>190</v>
      </c>
      <c r="FI81" s="319" t="s">
        <v>190</v>
      </c>
      <c r="FJ81" s="319" t="s">
        <v>190</v>
      </c>
      <c r="FK81" s="319" t="s">
        <v>190</v>
      </c>
      <c r="FL81" s="319" t="s">
        <v>190</v>
      </c>
      <c r="FM81" s="319" t="s">
        <v>190</v>
      </c>
      <c r="FN81" s="319" t="s">
        <v>190</v>
      </c>
      <c r="FO81" s="319" t="s">
        <v>190</v>
      </c>
      <c r="FP81" s="319" t="s">
        <v>190</v>
      </c>
      <c r="FQ81" s="319" t="s">
        <v>190</v>
      </c>
      <c r="FR81" s="319" t="s">
        <v>190</v>
      </c>
      <c r="FS81" s="319" t="s">
        <v>428</v>
      </c>
      <c r="FT81" s="319" t="s">
        <v>190</v>
      </c>
      <c r="FU81" s="319" t="s">
        <v>190</v>
      </c>
      <c r="FV81" s="319" t="s">
        <v>190</v>
      </c>
      <c r="FW81" s="319" t="s">
        <v>190</v>
      </c>
      <c r="FX81" s="319" t="s">
        <v>190</v>
      </c>
      <c r="FY81" s="319" t="s">
        <v>190</v>
      </c>
      <c r="FZ81" s="319" t="s">
        <v>190</v>
      </c>
      <c r="GA81" s="319" t="s">
        <v>190</v>
      </c>
      <c r="GB81" s="319" t="s">
        <v>190</v>
      </c>
      <c r="GC81" s="319" t="s">
        <v>190</v>
      </c>
      <c r="GD81" s="319" t="s">
        <v>190</v>
      </c>
      <c r="GE81" s="319" t="s">
        <v>190</v>
      </c>
      <c r="GF81" s="319" t="s">
        <v>190</v>
      </c>
      <c r="GG81" s="319" t="s">
        <v>190</v>
      </c>
      <c r="GH81" s="319" t="s">
        <v>190</v>
      </c>
      <c r="GI81" s="319" t="s">
        <v>190</v>
      </c>
      <c r="GJ81" s="319" t="s">
        <v>190</v>
      </c>
      <c r="GK81" s="319" t="s">
        <v>428</v>
      </c>
      <c r="GL81" s="319" t="s">
        <v>190</v>
      </c>
      <c r="GM81" s="319" t="s">
        <v>190</v>
      </c>
      <c r="GN81" s="319" t="s">
        <v>190</v>
      </c>
      <c r="GO81" s="319" t="s">
        <v>190</v>
      </c>
      <c r="GP81" s="319" t="s">
        <v>190</v>
      </c>
      <c r="GQ81" s="319" t="s">
        <v>190</v>
      </c>
      <c r="GR81" s="319" t="s">
        <v>190</v>
      </c>
      <c r="GS81" s="319" t="s">
        <v>190</v>
      </c>
      <c r="GT81" s="319" t="s">
        <v>190</v>
      </c>
      <c r="GU81" s="319" t="s">
        <v>190</v>
      </c>
      <c r="GV81" s="319" t="s">
        <v>190</v>
      </c>
      <c r="GW81" s="319" t="s">
        <v>190</v>
      </c>
      <c r="GX81" s="319" t="s">
        <v>190</v>
      </c>
      <c r="GY81" s="319" t="s">
        <v>190</v>
      </c>
      <c r="GZ81" s="319" t="s">
        <v>428</v>
      </c>
      <c r="HA81" s="319" t="s">
        <v>190</v>
      </c>
      <c r="HB81" s="319" t="s">
        <v>190</v>
      </c>
      <c r="HC81" s="319" t="s">
        <v>190</v>
      </c>
      <c r="HD81" s="319" t="s">
        <v>190</v>
      </c>
      <c r="HE81" s="319" t="s">
        <v>190</v>
      </c>
      <c r="HF81" s="319" t="s">
        <v>190</v>
      </c>
      <c r="HG81" s="319" t="s">
        <v>190</v>
      </c>
      <c r="HH81" s="319" t="s">
        <v>190</v>
      </c>
      <c r="HI81" s="319" t="s">
        <v>190</v>
      </c>
      <c r="HJ81" s="319" t="s">
        <v>190</v>
      </c>
      <c r="HK81" s="319" t="s">
        <v>190</v>
      </c>
      <c r="HL81" s="319" t="s">
        <v>428</v>
      </c>
      <c r="HM81" s="319" t="s">
        <v>428</v>
      </c>
      <c r="HN81" s="319" t="s">
        <v>428</v>
      </c>
      <c r="HO81" s="319" t="s">
        <v>428</v>
      </c>
      <c r="HP81" s="319" t="s">
        <v>190</v>
      </c>
      <c r="HQ81" s="319" t="s">
        <v>190</v>
      </c>
      <c r="HR81" s="319" t="s">
        <v>190</v>
      </c>
      <c r="HS81" s="319" t="s">
        <v>190</v>
      </c>
      <c r="HT81" s="319" t="s">
        <v>190</v>
      </c>
      <c r="HU81" s="319" t="s">
        <v>190</v>
      </c>
      <c r="HV81" s="319" t="s">
        <v>190</v>
      </c>
      <c r="HW81" s="319" t="s">
        <v>190</v>
      </c>
      <c r="HX81" s="319" t="s">
        <v>190</v>
      </c>
      <c r="HY81" s="319" t="s">
        <v>190</v>
      </c>
      <c r="HZ81" s="319" t="s">
        <v>190</v>
      </c>
      <c r="IA81" s="319" t="s">
        <v>190</v>
      </c>
      <c r="IB81" s="319" t="s">
        <v>190</v>
      </c>
      <c r="IC81" s="319" t="s">
        <v>190</v>
      </c>
      <c r="ID81" s="319" t="s">
        <v>190</v>
      </c>
      <c r="IE81" s="319" t="s">
        <v>190</v>
      </c>
      <c r="IF81" s="319" t="s">
        <v>190</v>
      </c>
      <c r="IG81" s="319" t="s">
        <v>190</v>
      </c>
      <c r="IH81" s="319" t="s">
        <v>190</v>
      </c>
      <c r="II81" s="319" t="s">
        <v>190</v>
      </c>
      <c r="IJ81" s="319" t="s">
        <v>2857</v>
      </c>
      <c r="IK81" s="321">
        <v>41906</v>
      </c>
      <c r="IL81" s="321">
        <v>41908</v>
      </c>
      <c r="IM81" s="321">
        <v>41929</v>
      </c>
      <c r="IN81" s="319">
        <v>1</v>
      </c>
      <c r="IO81" s="319" t="s">
        <v>173</v>
      </c>
      <c r="IP81" s="319" t="s">
        <v>173</v>
      </c>
      <c r="IQ81" s="319" t="s">
        <v>173</v>
      </c>
      <c r="IR81" s="320" t="s">
        <v>173</v>
      </c>
      <c r="IS81" s="320" t="s">
        <v>173</v>
      </c>
      <c r="IT81" s="319" t="s">
        <v>173</v>
      </c>
    </row>
    <row r="82" spans="1:254" s="271" customFormat="1" x14ac:dyDescent="0.25">
      <c r="A82" s="318" t="str">
        <f>HYPERLINK("http://www.ofsted.gov.uk/inspection-reports/find-inspection-report/provider/ELS/103588 ","Ofsted School Webpage")</f>
        <v>Ofsted School Webpage</v>
      </c>
      <c r="B82" s="319">
        <v>103588</v>
      </c>
      <c r="C82" s="319">
        <v>3306080</v>
      </c>
      <c r="D82" s="319" t="s">
        <v>1320</v>
      </c>
      <c r="E82" s="319" t="s">
        <v>168</v>
      </c>
      <c r="F82" s="319" t="s">
        <v>81</v>
      </c>
      <c r="G82" s="319" t="s">
        <v>81</v>
      </c>
      <c r="H82" s="319" t="s">
        <v>81</v>
      </c>
      <c r="I82" s="319" t="s">
        <v>78</v>
      </c>
      <c r="J82" s="319" t="s">
        <v>424</v>
      </c>
      <c r="K82" s="319" t="s">
        <v>437</v>
      </c>
      <c r="L82" s="319" t="s">
        <v>437</v>
      </c>
      <c r="M82" s="319" t="s">
        <v>813</v>
      </c>
      <c r="N82" s="319" t="s">
        <v>2853</v>
      </c>
      <c r="O82" s="319" t="s">
        <v>1321</v>
      </c>
      <c r="P82" s="319">
        <v>21</v>
      </c>
      <c r="Q82" s="319" t="s">
        <v>429</v>
      </c>
      <c r="R82" s="320">
        <v>10092447</v>
      </c>
      <c r="S82" s="321">
        <v>43607</v>
      </c>
      <c r="T82" s="321">
        <v>43609</v>
      </c>
      <c r="U82" s="321">
        <v>43634</v>
      </c>
      <c r="V82" s="319" t="s">
        <v>425</v>
      </c>
      <c r="W82" s="319" t="s">
        <v>2767</v>
      </c>
      <c r="X82" s="319">
        <v>1</v>
      </c>
      <c r="Y82" s="319" t="s">
        <v>173</v>
      </c>
      <c r="Z82" s="319" t="s">
        <v>173</v>
      </c>
      <c r="AA82" s="319" t="s">
        <v>173</v>
      </c>
      <c r="AB82" s="319">
        <v>1</v>
      </c>
      <c r="AC82" s="319" t="s">
        <v>169</v>
      </c>
      <c r="AD82" s="319">
        <v>1</v>
      </c>
      <c r="AE82" s="319" t="s">
        <v>173</v>
      </c>
      <c r="AF82" s="319" t="s">
        <v>427</v>
      </c>
      <c r="AG82" s="319" t="s">
        <v>171</v>
      </c>
      <c r="AH82" s="319" t="s">
        <v>190</v>
      </c>
      <c r="AI82" s="319" t="s">
        <v>190</v>
      </c>
      <c r="AJ82" s="319" t="s">
        <v>190</v>
      </c>
      <c r="AK82" s="319" t="s">
        <v>190</v>
      </c>
      <c r="AL82" s="319" t="s">
        <v>190</v>
      </c>
      <c r="AM82" s="319" t="s">
        <v>190</v>
      </c>
      <c r="AN82" s="319" t="s">
        <v>190</v>
      </c>
      <c r="AO82" s="319" t="s">
        <v>190</v>
      </c>
      <c r="AP82" s="319" t="s">
        <v>190</v>
      </c>
      <c r="AQ82" s="319" t="s">
        <v>190</v>
      </c>
      <c r="AR82" s="319" t="s">
        <v>190</v>
      </c>
      <c r="AS82" s="319" t="s">
        <v>190</v>
      </c>
      <c r="AT82" s="319" t="s">
        <v>190</v>
      </c>
      <c r="AU82" s="319" t="s">
        <v>190</v>
      </c>
      <c r="AV82" s="319" t="s">
        <v>190</v>
      </c>
      <c r="AW82" s="319" t="s">
        <v>190</v>
      </c>
      <c r="AX82" s="319" t="s">
        <v>190</v>
      </c>
      <c r="AY82" s="319" t="s">
        <v>190</v>
      </c>
      <c r="AZ82" s="319" t="s">
        <v>190</v>
      </c>
      <c r="BA82" s="319" t="s">
        <v>190</v>
      </c>
      <c r="BB82" s="319" t="s">
        <v>428</v>
      </c>
      <c r="BC82" s="319" t="s">
        <v>428</v>
      </c>
      <c r="BD82" s="319" t="s">
        <v>428</v>
      </c>
      <c r="BE82" s="319" t="s">
        <v>428</v>
      </c>
      <c r="BF82" s="319" t="s">
        <v>190</v>
      </c>
      <c r="BG82" s="319" t="s">
        <v>428</v>
      </c>
      <c r="BH82" s="319" t="s">
        <v>190</v>
      </c>
      <c r="BI82" s="319" t="s">
        <v>190</v>
      </c>
      <c r="BJ82" s="319" t="s">
        <v>190</v>
      </c>
      <c r="BK82" s="319" t="s">
        <v>190</v>
      </c>
      <c r="BL82" s="319" t="s">
        <v>190</v>
      </c>
      <c r="BM82" s="319" t="s">
        <v>190</v>
      </c>
      <c r="BN82" s="319" t="s">
        <v>190</v>
      </c>
      <c r="BO82" s="319" t="s">
        <v>190</v>
      </c>
      <c r="BP82" s="319" t="s">
        <v>190</v>
      </c>
      <c r="BQ82" s="319" t="s">
        <v>190</v>
      </c>
      <c r="BR82" s="319" t="s">
        <v>190</v>
      </c>
      <c r="BS82" s="319" t="s">
        <v>190</v>
      </c>
      <c r="BT82" s="319" t="s">
        <v>190</v>
      </c>
      <c r="BU82" s="319" t="s">
        <v>190</v>
      </c>
      <c r="BV82" s="319" t="s">
        <v>190</v>
      </c>
      <c r="BW82" s="319" t="s">
        <v>190</v>
      </c>
      <c r="BX82" s="319" t="s">
        <v>190</v>
      </c>
      <c r="BY82" s="319" t="s">
        <v>190</v>
      </c>
      <c r="BZ82" s="319" t="s">
        <v>190</v>
      </c>
      <c r="CA82" s="319" t="s">
        <v>190</v>
      </c>
      <c r="CB82" s="319" t="s">
        <v>190</v>
      </c>
      <c r="CC82" s="319" t="s">
        <v>190</v>
      </c>
      <c r="CD82" s="319" t="s">
        <v>190</v>
      </c>
      <c r="CE82" s="319" t="s">
        <v>190</v>
      </c>
      <c r="CF82" s="319" t="s">
        <v>190</v>
      </c>
      <c r="CG82" s="319" t="s">
        <v>190</v>
      </c>
      <c r="CH82" s="319" t="s">
        <v>190</v>
      </c>
      <c r="CI82" s="319" t="s">
        <v>190</v>
      </c>
      <c r="CJ82" s="319" t="s">
        <v>190</v>
      </c>
      <c r="CK82" s="319" t="s">
        <v>190</v>
      </c>
      <c r="CL82" s="319" t="s">
        <v>190</v>
      </c>
      <c r="CM82" s="319" t="s">
        <v>190</v>
      </c>
      <c r="CN82" s="319" t="s">
        <v>428</v>
      </c>
      <c r="CO82" s="319" t="s">
        <v>428</v>
      </c>
      <c r="CP82" s="319" t="s">
        <v>428</v>
      </c>
      <c r="CQ82" s="319" t="s">
        <v>190</v>
      </c>
      <c r="CR82" s="319" t="s">
        <v>190</v>
      </c>
      <c r="CS82" s="319" t="s">
        <v>190</v>
      </c>
      <c r="CT82" s="319" t="s">
        <v>190</v>
      </c>
      <c r="CU82" s="319" t="s">
        <v>190</v>
      </c>
      <c r="CV82" s="319" t="s">
        <v>190</v>
      </c>
      <c r="CW82" s="319" t="s">
        <v>190</v>
      </c>
      <c r="CX82" s="319" t="s">
        <v>190</v>
      </c>
      <c r="CY82" s="319" t="s">
        <v>190</v>
      </c>
      <c r="CZ82" s="319" t="s">
        <v>190</v>
      </c>
      <c r="DA82" s="319" t="s">
        <v>190</v>
      </c>
      <c r="DB82" s="319" t="s">
        <v>190</v>
      </c>
      <c r="DC82" s="319" t="s">
        <v>190</v>
      </c>
      <c r="DD82" s="319" t="s">
        <v>190</v>
      </c>
      <c r="DE82" s="319" t="s">
        <v>190</v>
      </c>
      <c r="DF82" s="319" t="s">
        <v>190</v>
      </c>
      <c r="DG82" s="319" t="s">
        <v>190</v>
      </c>
      <c r="DH82" s="319" t="s">
        <v>190</v>
      </c>
      <c r="DI82" s="319" t="s">
        <v>190</v>
      </c>
      <c r="DJ82" s="319" t="s">
        <v>190</v>
      </c>
      <c r="DK82" s="319" t="s">
        <v>190</v>
      </c>
      <c r="DL82" s="319" t="s">
        <v>190</v>
      </c>
      <c r="DM82" s="319" t="s">
        <v>190</v>
      </c>
      <c r="DN82" s="319" t="s">
        <v>428</v>
      </c>
      <c r="DO82" s="319" t="s">
        <v>190</v>
      </c>
      <c r="DP82" s="319" t="s">
        <v>190</v>
      </c>
      <c r="DQ82" s="319" t="s">
        <v>190</v>
      </c>
      <c r="DR82" s="319" t="s">
        <v>190</v>
      </c>
      <c r="DS82" s="319" t="s">
        <v>190</v>
      </c>
      <c r="DT82" s="319" t="s">
        <v>190</v>
      </c>
      <c r="DU82" s="319" t="s">
        <v>190</v>
      </c>
      <c r="DV82" s="319" t="s">
        <v>173</v>
      </c>
      <c r="DW82" s="319" t="s">
        <v>190</v>
      </c>
      <c r="DX82" s="319" t="s">
        <v>190</v>
      </c>
      <c r="DY82" s="319" t="s">
        <v>190</v>
      </c>
      <c r="DZ82" s="319" t="s">
        <v>190</v>
      </c>
      <c r="EA82" s="319" t="s">
        <v>190</v>
      </c>
      <c r="EB82" s="319" t="s">
        <v>190</v>
      </c>
      <c r="EC82" s="319" t="s">
        <v>428</v>
      </c>
      <c r="ED82" s="319" t="s">
        <v>428</v>
      </c>
      <c r="EE82" s="319" t="s">
        <v>190</v>
      </c>
      <c r="EF82" s="319" t="s">
        <v>190</v>
      </c>
      <c r="EG82" s="319" t="s">
        <v>190</v>
      </c>
      <c r="EH82" s="319" t="s">
        <v>190</v>
      </c>
      <c r="EI82" s="319" t="s">
        <v>190</v>
      </c>
      <c r="EJ82" s="319" t="s">
        <v>190</v>
      </c>
      <c r="EK82" s="319" t="s">
        <v>190</v>
      </c>
      <c r="EL82" s="319" t="s">
        <v>190</v>
      </c>
      <c r="EM82" s="319" t="s">
        <v>190</v>
      </c>
      <c r="EN82" s="319" t="s">
        <v>190</v>
      </c>
      <c r="EO82" s="319" t="s">
        <v>190</v>
      </c>
      <c r="EP82" s="319" t="s">
        <v>190</v>
      </c>
      <c r="EQ82" s="319" t="s">
        <v>190</v>
      </c>
      <c r="ER82" s="319" t="s">
        <v>190</v>
      </c>
      <c r="ES82" s="319" t="s">
        <v>190</v>
      </c>
      <c r="ET82" s="319" t="s">
        <v>190</v>
      </c>
      <c r="EU82" s="319" t="s">
        <v>190</v>
      </c>
      <c r="EV82" s="319" t="s">
        <v>190</v>
      </c>
      <c r="EW82" s="319" t="s">
        <v>190</v>
      </c>
      <c r="EX82" s="319" t="s">
        <v>190</v>
      </c>
      <c r="EY82" s="319" t="s">
        <v>190</v>
      </c>
      <c r="EZ82" s="319" t="s">
        <v>190</v>
      </c>
      <c r="FA82" s="319" t="s">
        <v>190</v>
      </c>
      <c r="FB82" s="319" t="s">
        <v>190</v>
      </c>
      <c r="FC82" s="319" t="s">
        <v>190</v>
      </c>
      <c r="FD82" s="319" t="s">
        <v>190</v>
      </c>
      <c r="FE82" s="319" t="s">
        <v>190</v>
      </c>
      <c r="FF82" s="319" t="s">
        <v>190</v>
      </c>
      <c r="FG82" s="319" t="s">
        <v>190</v>
      </c>
      <c r="FH82" s="319" t="s">
        <v>190</v>
      </c>
      <c r="FI82" s="319" t="s">
        <v>190</v>
      </c>
      <c r="FJ82" s="319" t="s">
        <v>190</v>
      </c>
      <c r="FK82" s="319" t="s">
        <v>190</v>
      </c>
      <c r="FL82" s="319" t="s">
        <v>190</v>
      </c>
      <c r="FM82" s="319" t="s">
        <v>190</v>
      </c>
      <c r="FN82" s="319" t="s">
        <v>190</v>
      </c>
      <c r="FO82" s="319" t="s">
        <v>428</v>
      </c>
      <c r="FP82" s="319" t="s">
        <v>190</v>
      </c>
      <c r="FQ82" s="319" t="s">
        <v>190</v>
      </c>
      <c r="FR82" s="319" t="s">
        <v>190</v>
      </c>
      <c r="FS82" s="319" t="s">
        <v>190</v>
      </c>
      <c r="FT82" s="319" t="s">
        <v>190</v>
      </c>
      <c r="FU82" s="319" t="s">
        <v>190</v>
      </c>
      <c r="FV82" s="319" t="s">
        <v>190</v>
      </c>
      <c r="FW82" s="319" t="s">
        <v>190</v>
      </c>
      <c r="FX82" s="319" t="s">
        <v>190</v>
      </c>
      <c r="FY82" s="319" t="s">
        <v>190</v>
      </c>
      <c r="FZ82" s="319" t="s">
        <v>190</v>
      </c>
      <c r="GA82" s="319" t="s">
        <v>190</v>
      </c>
      <c r="GB82" s="319" t="s">
        <v>190</v>
      </c>
      <c r="GC82" s="319" t="s">
        <v>190</v>
      </c>
      <c r="GD82" s="319" t="s">
        <v>190</v>
      </c>
      <c r="GE82" s="319" t="s">
        <v>190</v>
      </c>
      <c r="GF82" s="319" t="s">
        <v>190</v>
      </c>
      <c r="GG82" s="319" t="s">
        <v>190</v>
      </c>
      <c r="GH82" s="319" t="s">
        <v>190</v>
      </c>
      <c r="GI82" s="319" t="s">
        <v>190</v>
      </c>
      <c r="GJ82" s="319" t="s">
        <v>190</v>
      </c>
      <c r="GK82" s="319" t="s">
        <v>190</v>
      </c>
      <c r="GL82" s="319" t="s">
        <v>190</v>
      </c>
      <c r="GM82" s="319" t="s">
        <v>190</v>
      </c>
      <c r="GN82" s="319" t="s">
        <v>190</v>
      </c>
      <c r="GO82" s="319" t="s">
        <v>190</v>
      </c>
      <c r="GP82" s="319" t="s">
        <v>190</v>
      </c>
      <c r="GQ82" s="319" t="s">
        <v>428</v>
      </c>
      <c r="GR82" s="319" t="s">
        <v>190</v>
      </c>
      <c r="GS82" s="319" t="s">
        <v>190</v>
      </c>
      <c r="GT82" s="319" t="s">
        <v>190</v>
      </c>
      <c r="GU82" s="319" t="s">
        <v>190</v>
      </c>
      <c r="GV82" s="319" t="s">
        <v>190</v>
      </c>
      <c r="GW82" s="319" t="s">
        <v>190</v>
      </c>
      <c r="GX82" s="319" t="s">
        <v>190</v>
      </c>
      <c r="GY82" s="319" t="s">
        <v>190</v>
      </c>
      <c r="GZ82" s="319" t="s">
        <v>190</v>
      </c>
      <c r="HA82" s="319" t="s">
        <v>428</v>
      </c>
      <c r="HB82" s="319" t="s">
        <v>190</v>
      </c>
      <c r="HC82" s="319" t="s">
        <v>190</v>
      </c>
      <c r="HD82" s="319" t="s">
        <v>190</v>
      </c>
      <c r="HE82" s="319" t="s">
        <v>190</v>
      </c>
      <c r="HF82" s="319" t="s">
        <v>190</v>
      </c>
      <c r="HG82" s="319" t="s">
        <v>190</v>
      </c>
      <c r="HH82" s="319" t="s">
        <v>190</v>
      </c>
      <c r="HI82" s="319" t="s">
        <v>190</v>
      </c>
      <c r="HJ82" s="319" t="s">
        <v>190</v>
      </c>
      <c r="HK82" s="319" t="s">
        <v>190</v>
      </c>
      <c r="HL82" s="319" t="s">
        <v>190</v>
      </c>
      <c r="HM82" s="319" t="s">
        <v>428</v>
      </c>
      <c r="HN82" s="319" t="s">
        <v>428</v>
      </c>
      <c r="HO82" s="319" t="s">
        <v>428</v>
      </c>
      <c r="HP82" s="319" t="s">
        <v>190</v>
      </c>
      <c r="HQ82" s="319" t="s">
        <v>190</v>
      </c>
      <c r="HR82" s="319" t="s">
        <v>190</v>
      </c>
      <c r="HS82" s="319" t="s">
        <v>190</v>
      </c>
      <c r="HT82" s="319" t="s">
        <v>190</v>
      </c>
      <c r="HU82" s="319" t="s">
        <v>190</v>
      </c>
      <c r="HV82" s="319" t="s">
        <v>190</v>
      </c>
      <c r="HW82" s="319" t="s">
        <v>190</v>
      </c>
      <c r="HX82" s="319" t="s">
        <v>190</v>
      </c>
      <c r="HY82" s="319" t="s">
        <v>190</v>
      </c>
      <c r="HZ82" s="319" t="s">
        <v>190</v>
      </c>
      <c r="IA82" s="319" t="s">
        <v>190</v>
      </c>
      <c r="IB82" s="319" t="s">
        <v>190</v>
      </c>
      <c r="IC82" s="319" t="s">
        <v>190</v>
      </c>
      <c r="ID82" s="319" t="s">
        <v>190</v>
      </c>
      <c r="IE82" s="319" t="s">
        <v>190</v>
      </c>
      <c r="IF82" s="319" t="s">
        <v>190</v>
      </c>
      <c r="IG82" s="319" t="s">
        <v>190</v>
      </c>
      <c r="IH82" s="319" t="s">
        <v>190</v>
      </c>
      <c r="II82" s="319" t="s">
        <v>190</v>
      </c>
      <c r="IJ82" s="319">
        <v>10012864</v>
      </c>
      <c r="IK82" s="321">
        <v>42514</v>
      </c>
      <c r="IL82" s="321">
        <v>42516</v>
      </c>
      <c r="IM82" s="321">
        <v>42569</v>
      </c>
      <c r="IN82" s="319">
        <v>1</v>
      </c>
      <c r="IO82" s="319" t="s">
        <v>173</v>
      </c>
      <c r="IP82" s="319" t="s">
        <v>173</v>
      </c>
      <c r="IQ82" s="319" t="s">
        <v>173</v>
      </c>
      <c r="IR82" s="320" t="s">
        <v>173</v>
      </c>
      <c r="IS82" s="320" t="s">
        <v>173</v>
      </c>
      <c r="IT82" s="319" t="s">
        <v>173</v>
      </c>
    </row>
    <row r="83" spans="1:254" s="271" customFormat="1" x14ac:dyDescent="0.25">
      <c r="A83" s="318" t="str">
        <f>HYPERLINK("http://www.ofsted.gov.uk/inspection-reports/find-inspection-report/provider/ELS/103591 ","Ofsted School Webpage")</f>
        <v>Ofsted School Webpage</v>
      </c>
      <c r="B83" s="319">
        <v>103591</v>
      </c>
      <c r="C83" s="319">
        <v>3306083</v>
      </c>
      <c r="D83" s="319" t="s">
        <v>1322</v>
      </c>
      <c r="E83" s="319" t="s">
        <v>167</v>
      </c>
      <c r="F83" s="319" t="s">
        <v>81</v>
      </c>
      <c r="G83" s="319" t="s">
        <v>72</v>
      </c>
      <c r="H83" s="319" t="s">
        <v>72</v>
      </c>
      <c r="I83" s="319" t="s">
        <v>72</v>
      </c>
      <c r="J83" s="319" t="s">
        <v>424</v>
      </c>
      <c r="K83" s="319" t="s">
        <v>437</v>
      </c>
      <c r="L83" s="319" t="s">
        <v>437</v>
      </c>
      <c r="M83" s="319" t="s">
        <v>813</v>
      </c>
      <c r="N83" s="319" t="s">
        <v>2858</v>
      </c>
      <c r="O83" s="319" t="s">
        <v>1323</v>
      </c>
      <c r="P83" s="319">
        <v>106</v>
      </c>
      <c r="Q83" s="319" t="s">
        <v>2776</v>
      </c>
      <c r="R83" s="320">
        <v>10040660</v>
      </c>
      <c r="S83" s="321">
        <v>43172</v>
      </c>
      <c r="T83" s="321">
        <v>43174</v>
      </c>
      <c r="U83" s="321">
        <v>43255</v>
      </c>
      <c r="V83" s="319" t="s">
        <v>425</v>
      </c>
      <c r="W83" s="319" t="s">
        <v>2767</v>
      </c>
      <c r="X83" s="319">
        <v>3</v>
      </c>
      <c r="Y83" s="319" t="s">
        <v>173</v>
      </c>
      <c r="Z83" s="319" t="s">
        <v>173</v>
      </c>
      <c r="AA83" s="319" t="s">
        <v>173</v>
      </c>
      <c r="AB83" s="319">
        <v>2</v>
      </c>
      <c r="AC83" s="319" t="s">
        <v>169</v>
      </c>
      <c r="AD83" s="319" t="s">
        <v>173</v>
      </c>
      <c r="AE83" s="319">
        <v>3</v>
      </c>
      <c r="AF83" s="319" t="s">
        <v>427</v>
      </c>
      <c r="AG83" s="319" t="s">
        <v>171</v>
      </c>
      <c r="AH83" s="319" t="s">
        <v>190</v>
      </c>
      <c r="AI83" s="319" t="s">
        <v>190</v>
      </c>
      <c r="AJ83" s="319" t="s">
        <v>190</v>
      </c>
      <c r="AK83" s="319" t="s">
        <v>190</v>
      </c>
      <c r="AL83" s="319" t="s">
        <v>190</v>
      </c>
      <c r="AM83" s="319" t="s">
        <v>190</v>
      </c>
      <c r="AN83" s="319" t="s">
        <v>190</v>
      </c>
      <c r="AO83" s="319" t="s">
        <v>190</v>
      </c>
      <c r="AP83" s="319" t="s">
        <v>190</v>
      </c>
      <c r="AQ83" s="319" t="s">
        <v>190</v>
      </c>
      <c r="AR83" s="319" t="s">
        <v>190</v>
      </c>
      <c r="AS83" s="319" t="s">
        <v>190</v>
      </c>
      <c r="AT83" s="319" t="s">
        <v>190</v>
      </c>
      <c r="AU83" s="319" t="s">
        <v>190</v>
      </c>
      <c r="AV83" s="319" t="s">
        <v>190</v>
      </c>
      <c r="AW83" s="319" t="s">
        <v>190</v>
      </c>
      <c r="AX83" s="319" t="s">
        <v>428</v>
      </c>
      <c r="AY83" s="319" t="s">
        <v>190</v>
      </c>
      <c r="AZ83" s="319" t="s">
        <v>190</v>
      </c>
      <c r="BA83" s="319" t="s">
        <v>190</v>
      </c>
      <c r="BB83" s="319" t="s">
        <v>190</v>
      </c>
      <c r="BC83" s="319" t="s">
        <v>190</v>
      </c>
      <c r="BD83" s="319" t="s">
        <v>190</v>
      </c>
      <c r="BE83" s="319" t="s">
        <v>190</v>
      </c>
      <c r="BF83" s="319" t="s">
        <v>428</v>
      </c>
      <c r="BG83" s="319" t="s">
        <v>190</v>
      </c>
      <c r="BH83" s="319" t="s">
        <v>190</v>
      </c>
      <c r="BI83" s="319" t="s">
        <v>190</v>
      </c>
      <c r="BJ83" s="319" t="s">
        <v>190</v>
      </c>
      <c r="BK83" s="319" t="s">
        <v>190</v>
      </c>
      <c r="BL83" s="319" t="s">
        <v>190</v>
      </c>
      <c r="BM83" s="319" t="s">
        <v>190</v>
      </c>
      <c r="BN83" s="319" t="s">
        <v>190</v>
      </c>
      <c r="BO83" s="319" t="s">
        <v>190</v>
      </c>
      <c r="BP83" s="319" t="s">
        <v>190</v>
      </c>
      <c r="BQ83" s="319" t="s">
        <v>190</v>
      </c>
      <c r="BR83" s="319" t="s">
        <v>190</v>
      </c>
      <c r="BS83" s="319" t="s">
        <v>190</v>
      </c>
      <c r="BT83" s="319" t="s">
        <v>190</v>
      </c>
      <c r="BU83" s="319" t="s">
        <v>190</v>
      </c>
      <c r="BV83" s="319" t="s">
        <v>190</v>
      </c>
      <c r="BW83" s="319" t="s">
        <v>190</v>
      </c>
      <c r="BX83" s="319" t="s">
        <v>190</v>
      </c>
      <c r="BY83" s="319" t="s">
        <v>190</v>
      </c>
      <c r="BZ83" s="319" t="s">
        <v>190</v>
      </c>
      <c r="CA83" s="319" t="s">
        <v>190</v>
      </c>
      <c r="CB83" s="319" t="s">
        <v>190</v>
      </c>
      <c r="CC83" s="319" t="s">
        <v>190</v>
      </c>
      <c r="CD83" s="319" t="s">
        <v>190</v>
      </c>
      <c r="CE83" s="319" t="s">
        <v>190</v>
      </c>
      <c r="CF83" s="319" t="s">
        <v>190</v>
      </c>
      <c r="CG83" s="319" t="s">
        <v>190</v>
      </c>
      <c r="CH83" s="319" t="s">
        <v>190</v>
      </c>
      <c r="CI83" s="319" t="s">
        <v>190</v>
      </c>
      <c r="CJ83" s="319" t="s">
        <v>190</v>
      </c>
      <c r="CK83" s="319" t="s">
        <v>190</v>
      </c>
      <c r="CL83" s="319" t="s">
        <v>190</v>
      </c>
      <c r="CM83" s="319" t="s">
        <v>190</v>
      </c>
      <c r="CN83" s="319" t="s">
        <v>428</v>
      </c>
      <c r="CO83" s="319" t="s">
        <v>428</v>
      </c>
      <c r="CP83" s="319" t="s">
        <v>428</v>
      </c>
      <c r="CQ83" s="319" t="s">
        <v>190</v>
      </c>
      <c r="CR83" s="319" t="s">
        <v>190</v>
      </c>
      <c r="CS83" s="319" t="s">
        <v>190</v>
      </c>
      <c r="CT83" s="319" t="s">
        <v>190</v>
      </c>
      <c r="CU83" s="319" t="s">
        <v>190</v>
      </c>
      <c r="CV83" s="319" t="s">
        <v>190</v>
      </c>
      <c r="CW83" s="319" t="s">
        <v>190</v>
      </c>
      <c r="CX83" s="319" t="s">
        <v>190</v>
      </c>
      <c r="CY83" s="319" t="s">
        <v>190</v>
      </c>
      <c r="CZ83" s="319" t="s">
        <v>190</v>
      </c>
      <c r="DA83" s="319" t="s">
        <v>190</v>
      </c>
      <c r="DB83" s="319" t="s">
        <v>190</v>
      </c>
      <c r="DC83" s="319" t="s">
        <v>190</v>
      </c>
      <c r="DD83" s="319" t="s">
        <v>190</v>
      </c>
      <c r="DE83" s="319" t="s">
        <v>190</v>
      </c>
      <c r="DF83" s="319" t="s">
        <v>190</v>
      </c>
      <c r="DG83" s="319" t="s">
        <v>190</v>
      </c>
      <c r="DH83" s="319" t="s">
        <v>190</v>
      </c>
      <c r="DI83" s="319" t="s">
        <v>190</v>
      </c>
      <c r="DJ83" s="319" t="s">
        <v>190</v>
      </c>
      <c r="DK83" s="319" t="s">
        <v>190</v>
      </c>
      <c r="DL83" s="319" t="s">
        <v>190</v>
      </c>
      <c r="DM83" s="319" t="s">
        <v>190</v>
      </c>
      <c r="DN83" s="319" t="s">
        <v>428</v>
      </c>
      <c r="DO83" s="319" t="s">
        <v>428</v>
      </c>
      <c r="DP83" s="319" t="s">
        <v>190</v>
      </c>
      <c r="DQ83" s="319" t="s">
        <v>190</v>
      </c>
      <c r="DR83" s="319" t="s">
        <v>190</v>
      </c>
      <c r="DS83" s="319" t="s">
        <v>190</v>
      </c>
      <c r="DT83" s="319" t="s">
        <v>190</v>
      </c>
      <c r="DU83" s="319" t="s">
        <v>190</v>
      </c>
      <c r="DV83" s="319" t="s">
        <v>173</v>
      </c>
      <c r="DW83" s="319" t="s">
        <v>190</v>
      </c>
      <c r="DX83" s="319" t="s">
        <v>190</v>
      </c>
      <c r="DY83" s="319" t="s">
        <v>190</v>
      </c>
      <c r="DZ83" s="319" t="s">
        <v>190</v>
      </c>
      <c r="EA83" s="319" t="s">
        <v>190</v>
      </c>
      <c r="EB83" s="319" t="s">
        <v>190</v>
      </c>
      <c r="EC83" s="319" t="s">
        <v>428</v>
      </c>
      <c r="ED83" s="319" t="s">
        <v>190</v>
      </c>
      <c r="EE83" s="319" t="s">
        <v>190</v>
      </c>
      <c r="EF83" s="319" t="s">
        <v>190</v>
      </c>
      <c r="EG83" s="319" t="s">
        <v>190</v>
      </c>
      <c r="EH83" s="319" t="s">
        <v>190</v>
      </c>
      <c r="EI83" s="319" t="s">
        <v>190</v>
      </c>
      <c r="EJ83" s="319" t="s">
        <v>190</v>
      </c>
      <c r="EK83" s="319" t="s">
        <v>190</v>
      </c>
      <c r="EL83" s="319" t="s">
        <v>190</v>
      </c>
      <c r="EM83" s="319" t="s">
        <v>190</v>
      </c>
      <c r="EN83" s="319" t="s">
        <v>190</v>
      </c>
      <c r="EO83" s="319" t="s">
        <v>190</v>
      </c>
      <c r="EP83" s="319" t="s">
        <v>190</v>
      </c>
      <c r="EQ83" s="319" t="s">
        <v>190</v>
      </c>
      <c r="ER83" s="319" t="s">
        <v>190</v>
      </c>
      <c r="ES83" s="319" t="s">
        <v>190</v>
      </c>
      <c r="ET83" s="319" t="s">
        <v>190</v>
      </c>
      <c r="EU83" s="319" t="s">
        <v>190</v>
      </c>
      <c r="EV83" s="319" t="s">
        <v>190</v>
      </c>
      <c r="EW83" s="319" t="s">
        <v>190</v>
      </c>
      <c r="EX83" s="319" t="s">
        <v>190</v>
      </c>
      <c r="EY83" s="319" t="s">
        <v>190</v>
      </c>
      <c r="EZ83" s="319" t="s">
        <v>190</v>
      </c>
      <c r="FA83" s="319" t="s">
        <v>190</v>
      </c>
      <c r="FB83" s="319" t="s">
        <v>190</v>
      </c>
      <c r="FC83" s="319" t="s">
        <v>190</v>
      </c>
      <c r="FD83" s="319" t="s">
        <v>190</v>
      </c>
      <c r="FE83" s="319" t="s">
        <v>190</v>
      </c>
      <c r="FF83" s="319" t="s">
        <v>190</v>
      </c>
      <c r="FG83" s="319" t="s">
        <v>190</v>
      </c>
      <c r="FH83" s="319" t="s">
        <v>190</v>
      </c>
      <c r="FI83" s="319" t="s">
        <v>190</v>
      </c>
      <c r="FJ83" s="319" t="s">
        <v>190</v>
      </c>
      <c r="FK83" s="319" t="s">
        <v>190</v>
      </c>
      <c r="FL83" s="319" t="s">
        <v>190</v>
      </c>
      <c r="FM83" s="319" t="s">
        <v>190</v>
      </c>
      <c r="FN83" s="319" t="s">
        <v>190</v>
      </c>
      <c r="FO83" s="319" t="s">
        <v>190</v>
      </c>
      <c r="FP83" s="319" t="s">
        <v>190</v>
      </c>
      <c r="FQ83" s="319" t="s">
        <v>190</v>
      </c>
      <c r="FR83" s="319" t="s">
        <v>190</v>
      </c>
      <c r="FS83" s="319" t="s">
        <v>428</v>
      </c>
      <c r="FT83" s="319" t="s">
        <v>190</v>
      </c>
      <c r="FU83" s="319" t="s">
        <v>190</v>
      </c>
      <c r="FV83" s="319" t="s">
        <v>190</v>
      </c>
      <c r="FW83" s="319" t="s">
        <v>190</v>
      </c>
      <c r="FX83" s="319" t="s">
        <v>190</v>
      </c>
      <c r="FY83" s="319" t="s">
        <v>190</v>
      </c>
      <c r="FZ83" s="319" t="s">
        <v>190</v>
      </c>
      <c r="GA83" s="319" t="s">
        <v>190</v>
      </c>
      <c r="GB83" s="319" t="s">
        <v>190</v>
      </c>
      <c r="GC83" s="319" t="s">
        <v>190</v>
      </c>
      <c r="GD83" s="319" t="s">
        <v>190</v>
      </c>
      <c r="GE83" s="319" t="s">
        <v>190</v>
      </c>
      <c r="GF83" s="319" t="s">
        <v>190</v>
      </c>
      <c r="GG83" s="319" t="s">
        <v>190</v>
      </c>
      <c r="GH83" s="319" t="s">
        <v>190</v>
      </c>
      <c r="GI83" s="319" t="s">
        <v>190</v>
      </c>
      <c r="GJ83" s="319" t="s">
        <v>190</v>
      </c>
      <c r="GK83" s="319" t="s">
        <v>428</v>
      </c>
      <c r="GL83" s="319" t="s">
        <v>190</v>
      </c>
      <c r="GM83" s="319" t="s">
        <v>190</v>
      </c>
      <c r="GN83" s="319" t="s">
        <v>190</v>
      </c>
      <c r="GO83" s="319" t="s">
        <v>190</v>
      </c>
      <c r="GP83" s="319" t="s">
        <v>190</v>
      </c>
      <c r="GQ83" s="319" t="s">
        <v>190</v>
      </c>
      <c r="GR83" s="319" t="s">
        <v>190</v>
      </c>
      <c r="GS83" s="319" t="s">
        <v>190</v>
      </c>
      <c r="GT83" s="319" t="s">
        <v>190</v>
      </c>
      <c r="GU83" s="319" t="s">
        <v>190</v>
      </c>
      <c r="GV83" s="319" t="s">
        <v>190</v>
      </c>
      <c r="GW83" s="319" t="s">
        <v>190</v>
      </c>
      <c r="GX83" s="319" t="s">
        <v>190</v>
      </c>
      <c r="GY83" s="319" t="s">
        <v>190</v>
      </c>
      <c r="GZ83" s="319" t="s">
        <v>190</v>
      </c>
      <c r="HA83" s="319" t="s">
        <v>428</v>
      </c>
      <c r="HB83" s="319" t="s">
        <v>190</v>
      </c>
      <c r="HC83" s="319" t="s">
        <v>190</v>
      </c>
      <c r="HD83" s="319" t="s">
        <v>190</v>
      </c>
      <c r="HE83" s="319" t="s">
        <v>190</v>
      </c>
      <c r="HF83" s="319" t="s">
        <v>190</v>
      </c>
      <c r="HG83" s="319" t="s">
        <v>190</v>
      </c>
      <c r="HH83" s="319" t="s">
        <v>190</v>
      </c>
      <c r="HI83" s="319" t="s">
        <v>190</v>
      </c>
      <c r="HJ83" s="319" t="s">
        <v>190</v>
      </c>
      <c r="HK83" s="319" t="s">
        <v>190</v>
      </c>
      <c r="HL83" s="319" t="s">
        <v>190</v>
      </c>
      <c r="HM83" s="319" t="s">
        <v>190</v>
      </c>
      <c r="HN83" s="319" t="s">
        <v>190</v>
      </c>
      <c r="HO83" s="319" t="s">
        <v>190</v>
      </c>
      <c r="HP83" s="319" t="s">
        <v>190</v>
      </c>
      <c r="HQ83" s="319" t="s">
        <v>190</v>
      </c>
      <c r="HR83" s="319" t="s">
        <v>190</v>
      </c>
      <c r="HS83" s="319" t="s">
        <v>190</v>
      </c>
      <c r="HT83" s="319" t="s">
        <v>190</v>
      </c>
      <c r="HU83" s="319" t="s">
        <v>190</v>
      </c>
      <c r="HV83" s="319" t="s">
        <v>190</v>
      </c>
      <c r="HW83" s="319" t="s">
        <v>190</v>
      </c>
      <c r="HX83" s="319" t="s">
        <v>190</v>
      </c>
      <c r="HY83" s="319" t="s">
        <v>190</v>
      </c>
      <c r="HZ83" s="319" t="s">
        <v>190</v>
      </c>
      <c r="IA83" s="319" t="s">
        <v>190</v>
      </c>
      <c r="IB83" s="319" t="s">
        <v>190</v>
      </c>
      <c r="IC83" s="319" t="s">
        <v>190</v>
      </c>
      <c r="ID83" s="319" t="s">
        <v>190</v>
      </c>
      <c r="IE83" s="319" t="s">
        <v>190</v>
      </c>
      <c r="IF83" s="319" t="s">
        <v>190</v>
      </c>
      <c r="IG83" s="319" t="s">
        <v>190</v>
      </c>
      <c r="IH83" s="319" t="s">
        <v>190</v>
      </c>
      <c r="II83" s="319" t="s">
        <v>190</v>
      </c>
      <c r="IJ83" s="319" t="s">
        <v>173</v>
      </c>
      <c r="IK83" s="319" t="s">
        <v>173</v>
      </c>
      <c r="IL83" s="319" t="s">
        <v>173</v>
      </c>
      <c r="IM83" s="319" t="s">
        <v>173</v>
      </c>
      <c r="IN83" s="319" t="s">
        <v>173</v>
      </c>
      <c r="IO83" s="319" t="s">
        <v>173</v>
      </c>
      <c r="IP83" s="319" t="s">
        <v>173</v>
      </c>
      <c r="IQ83" s="319" t="s">
        <v>173</v>
      </c>
      <c r="IR83" s="320" t="s">
        <v>173</v>
      </c>
      <c r="IS83" s="320" t="s">
        <v>173</v>
      </c>
      <c r="IT83" s="319" t="s">
        <v>173</v>
      </c>
    </row>
    <row r="84" spans="1:254" s="271" customFormat="1" x14ac:dyDescent="0.25">
      <c r="A84" s="318" t="str">
        <f>HYPERLINK("http://www.ofsted.gov.uk/inspection-reports/find-inspection-report/provider/ELS/103595 ","Ofsted School Webpage")</f>
        <v>Ofsted School Webpage</v>
      </c>
      <c r="B84" s="319">
        <v>103595</v>
      </c>
      <c r="C84" s="319">
        <v>3306088</v>
      </c>
      <c r="D84" s="319" t="s">
        <v>1324</v>
      </c>
      <c r="E84" s="319" t="s">
        <v>167</v>
      </c>
      <c r="F84" s="319" t="s">
        <v>81</v>
      </c>
      <c r="G84" s="319" t="s">
        <v>72</v>
      </c>
      <c r="H84" s="319" t="s">
        <v>72</v>
      </c>
      <c r="I84" s="319" t="s">
        <v>72</v>
      </c>
      <c r="J84" s="319" t="s">
        <v>424</v>
      </c>
      <c r="K84" s="319" t="s">
        <v>437</v>
      </c>
      <c r="L84" s="319" t="s">
        <v>437</v>
      </c>
      <c r="M84" s="319" t="s">
        <v>813</v>
      </c>
      <c r="N84" s="319" t="s">
        <v>2859</v>
      </c>
      <c r="O84" s="319" t="s">
        <v>1325</v>
      </c>
      <c r="P84" s="319">
        <v>70</v>
      </c>
      <c r="Q84" s="319" t="s">
        <v>2776</v>
      </c>
      <c r="R84" s="320">
        <v>10020735</v>
      </c>
      <c r="S84" s="321">
        <v>42878</v>
      </c>
      <c r="T84" s="321">
        <v>42880</v>
      </c>
      <c r="U84" s="321">
        <v>42907</v>
      </c>
      <c r="V84" s="319" t="s">
        <v>425</v>
      </c>
      <c r="W84" s="319" t="s">
        <v>2767</v>
      </c>
      <c r="X84" s="319">
        <v>2</v>
      </c>
      <c r="Y84" s="319" t="s">
        <v>173</v>
      </c>
      <c r="Z84" s="319" t="s">
        <v>173</v>
      </c>
      <c r="AA84" s="319" t="s">
        <v>173</v>
      </c>
      <c r="AB84" s="319">
        <v>2</v>
      </c>
      <c r="AC84" s="319" t="s">
        <v>169</v>
      </c>
      <c r="AD84" s="319" t="s">
        <v>173</v>
      </c>
      <c r="AE84" s="319" t="s">
        <v>173</v>
      </c>
      <c r="AF84" s="319" t="s">
        <v>173</v>
      </c>
      <c r="AG84" s="319" t="s">
        <v>171</v>
      </c>
      <c r="AH84" s="319" t="s">
        <v>190</v>
      </c>
      <c r="AI84" s="319" t="s">
        <v>190</v>
      </c>
      <c r="AJ84" s="319" t="s">
        <v>190</v>
      </c>
      <c r="AK84" s="319" t="s">
        <v>190</v>
      </c>
      <c r="AL84" s="319" t="s">
        <v>190</v>
      </c>
      <c r="AM84" s="319" t="s">
        <v>190</v>
      </c>
      <c r="AN84" s="319" t="s">
        <v>190</v>
      </c>
      <c r="AO84" s="319" t="s">
        <v>190</v>
      </c>
      <c r="AP84" s="319" t="s">
        <v>190</v>
      </c>
      <c r="AQ84" s="319" t="s">
        <v>190</v>
      </c>
      <c r="AR84" s="319" t="s">
        <v>190</v>
      </c>
      <c r="AS84" s="319" t="s">
        <v>190</v>
      </c>
      <c r="AT84" s="319" t="s">
        <v>190</v>
      </c>
      <c r="AU84" s="319" t="s">
        <v>190</v>
      </c>
      <c r="AV84" s="319" t="s">
        <v>190</v>
      </c>
      <c r="AW84" s="319" t="s">
        <v>190</v>
      </c>
      <c r="AX84" s="319" t="s">
        <v>429</v>
      </c>
      <c r="AY84" s="319" t="s">
        <v>190</v>
      </c>
      <c r="AZ84" s="319" t="s">
        <v>190</v>
      </c>
      <c r="BA84" s="319" t="s">
        <v>190</v>
      </c>
      <c r="BB84" s="319" t="s">
        <v>190</v>
      </c>
      <c r="BC84" s="319" t="s">
        <v>190</v>
      </c>
      <c r="BD84" s="319" t="s">
        <v>190</v>
      </c>
      <c r="BE84" s="319" t="s">
        <v>190</v>
      </c>
      <c r="BF84" s="319" t="s">
        <v>429</v>
      </c>
      <c r="BG84" s="319" t="s">
        <v>429</v>
      </c>
      <c r="BH84" s="319" t="s">
        <v>190</v>
      </c>
      <c r="BI84" s="319" t="s">
        <v>190</v>
      </c>
      <c r="BJ84" s="319" t="s">
        <v>190</v>
      </c>
      <c r="BK84" s="319" t="s">
        <v>190</v>
      </c>
      <c r="BL84" s="319" t="s">
        <v>190</v>
      </c>
      <c r="BM84" s="319" t="s">
        <v>190</v>
      </c>
      <c r="BN84" s="319" t="s">
        <v>190</v>
      </c>
      <c r="BO84" s="319" t="s">
        <v>190</v>
      </c>
      <c r="BP84" s="319" t="s">
        <v>190</v>
      </c>
      <c r="BQ84" s="319" t="s">
        <v>190</v>
      </c>
      <c r="BR84" s="319" t="s">
        <v>190</v>
      </c>
      <c r="BS84" s="319" t="s">
        <v>190</v>
      </c>
      <c r="BT84" s="319" t="s">
        <v>190</v>
      </c>
      <c r="BU84" s="319" t="s">
        <v>190</v>
      </c>
      <c r="BV84" s="319" t="s">
        <v>190</v>
      </c>
      <c r="BW84" s="319" t="s">
        <v>190</v>
      </c>
      <c r="BX84" s="319" t="s">
        <v>190</v>
      </c>
      <c r="BY84" s="319" t="s">
        <v>190</v>
      </c>
      <c r="BZ84" s="319" t="s">
        <v>190</v>
      </c>
      <c r="CA84" s="319" t="s">
        <v>190</v>
      </c>
      <c r="CB84" s="319" t="s">
        <v>190</v>
      </c>
      <c r="CC84" s="319" t="s">
        <v>190</v>
      </c>
      <c r="CD84" s="319" t="s">
        <v>190</v>
      </c>
      <c r="CE84" s="319" t="s">
        <v>190</v>
      </c>
      <c r="CF84" s="319" t="s">
        <v>190</v>
      </c>
      <c r="CG84" s="319" t="s">
        <v>190</v>
      </c>
      <c r="CH84" s="319" t="s">
        <v>190</v>
      </c>
      <c r="CI84" s="319" t="s">
        <v>190</v>
      </c>
      <c r="CJ84" s="319" t="s">
        <v>190</v>
      </c>
      <c r="CK84" s="319" t="s">
        <v>190</v>
      </c>
      <c r="CL84" s="319" t="s">
        <v>190</v>
      </c>
      <c r="CM84" s="319" t="s">
        <v>190</v>
      </c>
      <c r="CN84" s="319" t="s">
        <v>190</v>
      </c>
      <c r="CO84" s="319" t="s">
        <v>429</v>
      </c>
      <c r="CP84" s="319" t="s">
        <v>429</v>
      </c>
      <c r="CQ84" s="319" t="s">
        <v>190</v>
      </c>
      <c r="CR84" s="319" t="s">
        <v>190</v>
      </c>
      <c r="CS84" s="319" t="s">
        <v>190</v>
      </c>
      <c r="CT84" s="319" t="s">
        <v>190</v>
      </c>
      <c r="CU84" s="319" t="s">
        <v>190</v>
      </c>
      <c r="CV84" s="319" t="s">
        <v>190</v>
      </c>
      <c r="CW84" s="319" t="s">
        <v>190</v>
      </c>
      <c r="CX84" s="319" t="s">
        <v>190</v>
      </c>
      <c r="CY84" s="319" t="s">
        <v>190</v>
      </c>
      <c r="CZ84" s="319" t="s">
        <v>190</v>
      </c>
      <c r="DA84" s="319" t="s">
        <v>190</v>
      </c>
      <c r="DB84" s="319" t="s">
        <v>190</v>
      </c>
      <c r="DC84" s="319" t="s">
        <v>190</v>
      </c>
      <c r="DD84" s="319" t="s">
        <v>190</v>
      </c>
      <c r="DE84" s="319" t="s">
        <v>190</v>
      </c>
      <c r="DF84" s="319" t="s">
        <v>190</v>
      </c>
      <c r="DG84" s="319" t="s">
        <v>190</v>
      </c>
      <c r="DH84" s="319" t="s">
        <v>190</v>
      </c>
      <c r="DI84" s="319" t="s">
        <v>190</v>
      </c>
      <c r="DJ84" s="319" t="s">
        <v>190</v>
      </c>
      <c r="DK84" s="319" t="s">
        <v>190</v>
      </c>
      <c r="DL84" s="319" t="s">
        <v>190</v>
      </c>
      <c r="DM84" s="319" t="s">
        <v>190</v>
      </c>
      <c r="DN84" s="319" t="s">
        <v>429</v>
      </c>
      <c r="DO84" s="319" t="s">
        <v>190</v>
      </c>
      <c r="DP84" s="319" t="s">
        <v>190</v>
      </c>
      <c r="DQ84" s="319" t="s">
        <v>190</v>
      </c>
      <c r="DR84" s="319" t="s">
        <v>190</v>
      </c>
      <c r="DS84" s="319" t="s">
        <v>190</v>
      </c>
      <c r="DT84" s="319" t="s">
        <v>190</v>
      </c>
      <c r="DU84" s="319" t="s">
        <v>190</v>
      </c>
      <c r="DV84" s="319" t="s">
        <v>173</v>
      </c>
      <c r="DW84" s="319" t="s">
        <v>190</v>
      </c>
      <c r="DX84" s="319" t="s">
        <v>190</v>
      </c>
      <c r="DY84" s="319" t="s">
        <v>190</v>
      </c>
      <c r="DZ84" s="319" t="s">
        <v>190</v>
      </c>
      <c r="EA84" s="319" t="s">
        <v>190</v>
      </c>
      <c r="EB84" s="319" t="s">
        <v>190</v>
      </c>
      <c r="EC84" s="319" t="s">
        <v>429</v>
      </c>
      <c r="ED84" s="319" t="s">
        <v>190</v>
      </c>
      <c r="EE84" s="319" t="s">
        <v>190</v>
      </c>
      <c r="EF84" s="319" t="s">
        <v>190</v>
      </c>
      <c r="EG84" s="319" t="s">
        <v>190</v>
      </c>
      <c r="EH84" s="319" t="s">
        <v>190</v>
      </c>
      <c r="EI84" s="319" t="s">
        <v>190</v>
      </c>
      <c r="EJ84" s="319" t="s">
        <v>190</v>
      </c>
      <c r="EK84" s="319" t="s">
        <v>190</v>
      </c>
      <c r="EL84" s="319" t="s">
        <v>190</v>
      </c>
      <c r="EM84" s="319" t="s">
        <v>190</v>
      </c>
      <c r="EN84" s="319" t="s">
        <v>190</v>
      </c>
      <c r="EO84" s="319" t="s">
        <v>190</v>
      </c>
      <c r="EP84" s="319" t="s">
        <v>190</v>
      </c>
      <c r="EQ84" s="319" t="s">
        <v>190</v>
      </c>
      <c r="ER84" s="319" t="s">
        <v>190</v>
      </c>
      <c r="ES84" s="319" t="s">
        <v>190</v>
      </c>
      <c r="ET84" s="319" t="s">
        <v>190</v>
      </c>
      <c r="EU84" s="319" t="s">
        <v>190</v>
      </c>
      <c r="EV84" s="319" t="s">
        <v>190</v>
      </c>
      <c r="EW84" s="319" t="s">
        <v>190</v>
      </c>
      <c r="EX84" s="319" t="s">
        <v>190</v>
      </c>
      <c r="EY84" s="319" t="s">
        <v>190</v>
      </c>
      <c r="EZ84" s="319" t="s">
        <v>190</v>
      </c>
      <c r="FA84" s="319" t="s">
        <v>190</v>
      </c>
      <c r="FB84" s="319" t="s">
        <v>190</v>
      </c>
      <c r="FC84" s="319" t="s">
        <v>190</v>
      </c>
      <c r="FD84" s="319" t="s">
        <v>190</v>
      </c>
      <c r="FE84" s="319" t="s">
        <v>190</v>
      </c>
      <c r="FF84" s="319" t="s">
        <v>190</v>
      </c>
      <c r="FG84" s="319" t="s">
        <v>190</v>
      </c>
      <c r="FH84" s="319" t="s">
        <v>190</v>
      </c>
      <c r="FI84" s="319" t="s">
        <v>190</v>
      </c>
      <c r="FJ84" s="319" t="s">
        <v>190</v>
      </c>
      <c r="FK84" s="319" t="s">
        <v>190</v>
      </c>
      <c r="FL84" s="319" t="s">
        <v>190</v>
      </c>
      <c r="FM84" s="319" t="s">
        <v>190</v>
      </c>
      <c r="FN84" s="319" t="s">
        <v>190</v>
      </c>
      <c r="FO84" s="319" t="s">
        <v>190</v>
      </c>
      <c r="FP84" s="319" t="s">
        <v>190</v>
      </c>
      <c r="FQ84" s="319" t="s">
        <v>190</v>
      </c>
      <c r="FR84" s="319" t="s">
        <v>190</v>
      </c>
      <c r="FS84" s="319" t="s">
        <v>429</v>
      </c>
      <c r="FT84" s="319" t="s">
        <v>190</v>
      </c>
      <c r="FU84" s="319" t="s">
        <v>190</v>
      </c>
      <c r="FV84" s="319" t="s">
        <v>190</v>
      </c>
      <c r="FW84" s="319" t="s">
        <v>190</v>
      </c>
      <c r="FX84" s="319" t="s">
        <v>190</v>
      </c>
      <c r="FY84" s="319" t="s">
        <v>190</v>
      </c>
      <c r="FZ84" s="319" t="s">
        <v>190</v>
      </c>
      <c r="GA84" s="319" t="s">
        <v>190</v>
      </c>
      <c r="GB84" s="319" t="s">
        <v>190</v>
      </c>
      <c r="GC84" s="319" t="s">
        <v>190</v>
      </c>
      <c r="GD84" s="319" t="s">
        <v>190</v>
      </c>
      <c r="GE84" s="319" t="s">
        <v>190</v>
      </c>
      <c r="GF84" s="319" t="s">
        <v>190</v>
      </c>
      <c r="GG84" s="319" t="s">
        <v>190</v>
      </c>
      <c r="GH84" s="319" t="s">
        <v>190</v>
      </c>
      <c r="GI84" s="319" t="s">
        <v>190</v>
      </c>
      <c r="GJ84" s="319" t="s">
        <v>190</v>
      </c>
      <c r="GK84" s="319" t="s">
        <v>429</v>
      </c>
      <c r="GL84" s="319" t="s">
        <v>190</v>
      </c>
      <c r="GM84" s="319" t="s">
        <v>190</v>
      </c>
      <c r="GN84" s="319" t="s">
        <v>190</v>
      </c>
      <c r="GO84" s="319" t="s">
        <v>190</v>
      </c>
      <c r="GP84" s="319" t="s">
        <v>190</v>
      </c>
      <c r="GQ84" s="319" t="s">
        <v>190</v>
      </c>
      <c r="GR84" s="319" t="s">
        <v>190</v>
      </c>
      <c r="GS84" s="319" t="s">
        <v>190</v>
      </c>
      <c r="GT84" s="319" t="s">
        <v>190</v>
      </c>
      <c r="GU84" s="319" t="s">
        <v>429</v>
      </c>
      <c r="GV84" s="319" t="s">
        <v>190</v>
      </c>
      <c r="GW84" s="319" t="s">
        <v>190</v>
      </c>
      <c r="GX84" s="319" t="s">
        <v>190</v>
      </c>
      <c r="GY84" s="319" t="s">
        <v>190</v>
      </c>
      <c r="GZ84" s="319" t="s">
        <v>190</v>
      </c>
      <c r="HA84" s="319" t="s">
        <v>190</v>
      </c>
      <c r="HB84" s="319" t="s">
        <v>190</v>
      </c>
      <c r="HC84" s="319" t="s">
        <v>190</v>
      </c>
      <c r="HD84" s="319" t="s">
        <v>190</v>
      </c>
      <c r="HE84" s="319" t="s">
        <v>190</v>
      </c>
      <c r="HF84" s="319" t="s">
        <v>190</v>
      </c>
      <c r="HG84" s="319" t="s">
        <v>190</v>
      </c>
      <c r="HH84" s="319" t="s">
        <v>190</v>
      </c>
      <c r="HI84" s="319" t="s">
        <v>190</v>
      </c>
      <c r="HJ84" s="319" t="s">
        <v>190</v>
      </c>
      <c r="HK84" s="319" t="s">
        <v>190</v>
      </c>
      <c r="HL84" s="319" t="s">
        <v>190</v>
      </c>
      <c r="HM84" s="319" t="s">
        <v>429</v>
      </c>
      <c r="HN84" s="319" t="s">
        <v>429</v>
      </c>
      <c r="HO84" s="319" t="s">
        <v>429</v>
      </c>
      <c r="HP84" s="319" t="s">
        <v>190</v>
      </c>
      <c r="HQ84" s="319" t="s">
        <v>190</v>
      </c>
      <c r="HR84" s="319" t="s">
        <v>190</v>
      </c>
      <c r="HS84" s="319" t="s">
        <v>190</v>
      </c>
      <c r="HT84" s="319" t="s">
        <v>190</v>
      </c>
      <c r="HU84" s="319" t="s">
        <v>190</v>
      </c>
      <c r="HV84" s="319" t="s">
        <v>190</v>
      </c>
      <c r="HW84" s="319" t="s">
        <v>190</v>
      </c>
      <c r="HX84" s="319" t="s">
        <v>190</v>
      </c>
      <c r="HY84" s="319" t="s">
        <v>190</v>
      </c>
      <c r="HZ84" s="319" t="s">
        <v>190</v>
      </c>
      <c r="IA84" s="319" t="s">
        <v>190</v>
      </c>
      <c r="IB84" s="319" t="s">
        <v>190</v>
      </c>
      <c r="IC84" s="319" t="s">
        <v>190</v>
      </c>
      <c r="ID84" s="319" t="s">
        <v>190</v>
      </c>
      <c r="IE84" s="319" t="s">
        <v>190</v>
      </c>
      <c r="IF84" s="319" t="s">
        <v>190</v>
      </c>
      <c r="IG84" s="319" t="s">
        <v>190</v>
      </c>
      <c r="IH84" s="319" t="s">
        <v>190</v>
      </c>
      <c r="II84" s="319" t="s">
        <v>190</v>
      </c>
      <c r="IJ84" s="319" t="s">
        <v>2860</v>
      </c>
      <c r="IK84" s="321">
        <v>42038</v>
      </c>
      <c r="IL84" s="321">
        <v>42040</v>
      </c>
      <c r="IM84" s="321">
        <v>42068</v>
      </c>
      <c r="IN84" s="319">
        <v>3</v>
      </c>
      <c r="IO84" s="319" t="s">
        <v>173</v>
      </c>
      <c r="IP84" s="319" t="s">
        <v>173</v>
      </c>
      <c r="IQ84" s="321" t="s">
        <v>173</v>
      </c>
      <c r="IR84" s="320" t="s">
        <v>173</v>
      </c>
      <c r="IS84" s="322" t="s">
        <v>173</v>
      </c>
      <c r="IT84" s="319" t="s">
        <v>173</v>
      </c>
    </row>
    <row r="85" spans="1:254" s="271" customFormat="1" x14ac:dyDescent="0.25">
      <c r="A85" s="318" t="str">
        <f>HYPERLINK("http://www.ofsted.gov.uk/inspection-reports/find-inspection-report/provider/ELS/103753 ","Ofsted School Webpage")</f>
        <v>Ofsted School Webpage</v>
      </c>
      <c r="B85" s="319">
        <v>103753</v>
      </c>
      <c r="C85" s="319">
        <v>3316022</v>
      </c>
      <c r="D85" s="319" t="s">
        <v>1326</v>
      </c>
      <c r="E85" s="319" t="s">
        <v>167</v>
      </c>
      <c r="F85" s="319" t="s">
        <v>71</v>
      </c>
      <c r="G85" s="319" t="s">
        <v>72</v>
      </c>
      <c r="H85" s="319" t="s">
        <v>71</v>
      </c>
      <c r="I85" s="319" t="s">
        <v>72</v>
      </c>
      <c r="J85" s="319" t="s">
        <v>424</v>
      </c>
      <c r="K85" s="319" t="s">
        <v>437</v>
      </c>
      <c r="L85" s="319" t="s">
        <v>437</v>
      </c>
      <c r="M85" s="319" t="s">
        <v>1327</v>
      </c>
      <c r="N85" s="319" t="s">
        <v>2861</v>
      </c>
      <c r="O85" s="319" t="s">
        <v>1328</v>
      </c>
      <c r="P85" s="319">
        <v>74</v>
      </c>
      <c r="Q85" s="319" t="s">
        <v>2766</v>
      </c>
      <c r="R85" s="320">
        <v>10092448</v>
      </c>
      <c r="S85" s="321">
        <v>43781</v>
      </c>
      <c r="T85" s="321">
        <v>43783</v>
      </c>
      <c r="U85" s="321">
        <v>43810</v>
      </c>
      <c r="V85" s="319" t="s">
        <v>425</v>
      </c>
      <c r="W85" s="319" t="s">
        <v>2767</v>
      </c>
      <c r="X85" s="319">
        <v>2</v>
      </c>
      <c r="Y85" s="319">
        <v>2</v>
      </c>
      <c r="Z85" s="319">
        <v>2</v>
      </c>
      <c r="AA85" s="319">
        <v>2</v>
      </c>
      <c r="AB85" s="319">
        <v>2</v>
      </c>
      <c r="AC85" s="319" t="s">
        <v>169</v>
      </c>
      <c r="AD85" s="319">
        <v>2</v>
      </c>
      <c r="AE85" s="319" t="s">
        <v>173</v>
      </c>
      <c r="AF85" s="319" t="s">
        <v>427</v>
      </c>
      <c r="AG85" s="319" t="s">
        <v>171</v>
      </c>
      <c r="AH85" s="319" t="s">
        <v>190</v>
      </c>
      <c r="AI85" s="319" t="s">
        <v>190</v>
      </c>
      <c r="AJ85" s="319" t="s">
        <v>190</v>
      </c>
      <c r="AK85" s="319" t="s">
        <v>190</v>
      </c>
      <c r="AL85" s="319" t="s">
        <v>190</v>
      </c>
      <c r="AM85" s="319" t="s">
        <v>190</v>
      </c>
      <c r="AN85" s="319" t="s">
        <v>190</v>
      </c>
      <c r="AO85" s="319" t="s">
        <v>190</v>
      </c>
      <c r="AP85" s="319" t="s">
        <v>190</v>
      </c>
      <c r="AQ85" s="319" t="s">
        <v>190</v>
      </c>
      <c r="AR85" s="319" t="s">
        <v>190</v>
      </c>
      <c r="AS85" s="319" t="s">
        <v>190</v>
      </c>
      <c r="AT85" s="319" t="s">
        <v>190</v>
      </c>
      <c r="AU85" s="319" t="s">
        <v>190</v>
      </c>
      <c r="AV85" s="319" t="s">
        <v>190</v>
      </c>
      <c r="AW85" s="319" t="s">
        <v>190</v>
      </c>
      <c r="AX85" s="319" t="s">
        <v>428</v>
      </c>
      <c r="AY85" s="319" t="s">
        <v>190</v>
      </c>
      <c r="AZ85" s="319" t="s">
        <v>190</v>
      </c>
      <c r="BA85" s="319" t="s">
        <v>190</v>
      </c>
      <c r="BB85" s="319" t="s">
        <v>428</v>
      </c>
      <c r="BC85" s="319" t="s">
        <v>428</v>
      </c>
      <c r="BD85" s="319" t="s">
        <v>428</v>
      </c>
      <c r="BE85" s="319" t="s">
        <v>428</v>
      </c>
      <c r="BF85" s="319" t="s">
        <v>190</v>
      </c>
      <c r="BG85" s="319" t="s">
        <v>428</v>
      </c>
      <c r="BH85" s="319" t="s">
        <v>190</v>
      </c>
      <c r="BI85" s="319" t="s">
        <v>190</v>
      </c>
      <c r="BJ85" s="319" t="s">
        <v>190</v>
      </c>
      <c r="BK85" s="319" t="s">
        <v>190</v>
      </c>
      <c r="BL85" s="319" t="s">
        <v>190</v>
      </c>
      <c r="BM85" s="319" t="s">
        <v>190</v>
      </c>
      <c r="BN85" s="319" t="s">
        <v>190</v>
      </c>
      <c r="BO85" s="319" t="s">
        <v>190</v>
      </c>
      <c r="BP85" s="319" t="s">
        <v>190</v>
      </c>
      <c r="BQ85" s="319" t="s">
        <v>190</v>
      </c>
      <c r="BR85" s="319" t="s">
        <v>190</v>
      </c>
      <c r="BS85" s="319" t="s">
        <v>190</v>
      </c>
      <c r="BT85" s="319" t="s">
        <v>190</v>
      </c>
      <c r="BU85" s="319" t="s">
        <v>190</v>
      </c>
      <c r="BV85" s="319" t="s">
        <v>190</v>
      </c>
      <c r="BW85" s="319" t="s">
        <v>190</v>
      </c>
      <c r="BX85" s="319" t="s">
        <v>190</v>
      </c>
      <c r="BY85" s="319" t="s">
        <v>190</v>
      </c>
      <c r="BZ85" s="319" t="s">
        <v>190</v>
      </c>
      <c r="CA85" s="319" t="s">
        <v>190</v>
      </c>
      <c r="CB85" s="319" t="s">
        <v>190</v>
      </c>
      <c r="CC85" s="319" t="s">
        <v>190</v>
      </c>
      <c r="CD85" s="319" t="s">
        <v>190</v>
      </c>
      <c r="CE85" s="319" t="s">
        <v>190</v>
      </c>
      <c r="CF85" s="319" t="s">
        <v>190</v>
      </c>
      <c r="CG85" s="319" t="s">
        <v>190</v>
      </c>
      <c r="CH85" s="319" t="s">
        <v>190</v>
      </c>
      <c r="CI85" s="319" t="s">
        <v>190</v>
      </c>
      <c r="CJ85" s="319" t="s">
        <v>190</v>
      </c>
      <c r="CK85" s="319" t="s">
        <v>190</v>
      </c>
      <c r="CL85" s="319" t="s">
        <v>190</v>
      </c>
      <c r="CM85" s="319" t="s">
        <v>190</v>
      </c>
      <c r="CN85" s="319" t="s">
        <v>428</v>
      </c>
      <c r="CO85" s="319" t="s">
        <v>428</v>
      </c>
      <c r="CP85" s="319" t="s">
        <v>428</v>
      </c>
      <c r="CQ85" s="319" t="s">
        <v>190</v>
      </c>
      <c r="CR85" s="319" t="s">
        <v>190</v>
      </c>
      <c r="CS85" s="319" t="s">
        <v>190</v>
      </c>
      <c r="CT85" s="319" t="s">
        <v>190</v>
      </c>
      <c r="CU85" s="319" t="s">
        <v>190</v>
      </c>
      <c r="CV85" s="319" t="s">
        <v>190</v>
      </c>
      <c r="CW85" s="319" t="s">
        <v>190</v>
      </c>
      <c r="CX85" s="319" t="s">
        <v>190</v>
      </c>
      <c r="CY85" s="319" t="s">
        <v>190</v>
      </c>
      <c r="CZ85" s="319" t="s">
        <v>190</v>
      </c>
      <c r="DA85" s="319" t="s">
        <v>190</v>
      </c>
      <c r="DB85" s="319" t="s">
        <v>190</v>
      </c>
      <c r="DC85" s="319" t="s">
        <v>190</v>
      </c>
      <c r="DD85" s="319" t="s">
        <v>190</v>
      </c>
      <c r="DE85" s="319" t="s">
        <v>190</v>
      </c>
      <c r="DF85" s="319" t="s">
        <v>190</v>
      </c>
      <c r="DG85" s="319" t="s">
        <v>190</v>
      </c>
      <c r="DH85" s="319" t="s">
        <v>190</v>
      </c>
      <c r="DI85" s="319" t="s">
        <v>190</v>
      </c>
      <c r="DJ85" s="319" t="s">
        <v>190</v>
      </c>
      <c r="DK85" s="319" t="s">
        <v>190</v>
      </c>
      <c r="DL85" s="319" t="s">
        <v>190</v>
      </c>
      <c r="DM85" s="319" t="s">
        <v>190</v>
      </c>
      <c r="DN85" s="319" t="s">
        <v>428</v>
      </c>
      <c r="DO85" s="319" t="s">
        <v>190</v>
      </c>
      <c r="DP85" s="319" t="s">
        <v>190</v>
      </c>
      <c r="DQ85" s="319" t="s">
        <v>190</v>
      </c>
      <c r="DR85" s="319" t="s">
        <v>190</v>
      </c>
      <c r="DS85" s="319" t="s">
        <v>190</v>
      </c>
      <c r="DT85" s="319" t="s">
        <v>190</v>
      </c>
      <c r="DU85" s="319" t="s">
        <v>190</v>
      </c>
      <c r="DV85" s="319" t="s">
        <v>190</v>
      </c>
      <c r="DW85" s="319" t="s">
        <v>190</v>
      </c>
      <c r="DX85" s="319" t="s">
        <v>190</v>
      </c>
      <c r="DY85" s="319" t="s">
        <v>190</v>
      </c>
      <c r="DZ85" s="319" t="s">
        <v>190</v>
      </c>
      <c r="EA85" s="319" t="s">
        <v>190</v>
      </c>
      <c r="EB85" s="319" t="s">
        <v>190</v>
      </c>
      <c r="EC85" s="319" t="s">
        <v>428</v>
      </c>
      <c r="ED85" s="319" t="s">
        <v>190</v>
      </c>
      <c r="EE85" s="319" t="s">
        <v>190</v>
      </c>
      <c r="EF85" s="319" t="s">
        <v>190</v>
      </c>
      <c r="EG85" s="319" t="s">
        <v>190</v>
      </c>
      <c r="EH85" s="319" t="s">
        <v>190</v>
      </c>
      <c r="EI85" s="319" t="s">
        <v>190</v>
      </c>
      <c r="EJ85" s="319" t="s">
        <v>190</v>
      </c>
      <c r="EK85" s="319" t="s">
        <v>190</v>
      </c>
      <c r="EL85" s="319" t="s">
        <v>190</v>
      </c>
      <c r="EM85" s="319" t="s">
        <v>190</v>
      </c>
      <c r="EN85" s="319" t="s">
        <v>190</v>
      </c>
      <c r="EO85" s="319" t="s">
        <v>190</v>
      </c>
      <c r="EP85" s="319" t="s">
        <v>190</v>
      </c>
      <c r="EQ85" s="319" t="s">
        <v>190</v>
      </c>
      <c r="ER85" s="319" t="s">
        <v>190</v>
      </c>
      <c r="ES85" s="319" t="s">
        <v>190</v>
      </c>
      <c r="ET85" s="319" t="s">
        <v>190</v>
      </c>
      <c r="EU85" s="319" t="s">
        <v>190</v>
      </c>
      <c r="EV85" s="319" t="s">
        <v>190</v>
      </c>
      <c r="EW85" s="319" t="s">
        <v>190</v>
      </c>
      <c r="EX85" s="319" t="s">
        <v>190</v>
      </c>
      <c r="EY85" s="319" t="s">
        <v>190</v>
      </c>
      <c r="EZ85" s="319" t="s">
        <v>190</v>
      </c>
      <c r="FA85" s="319" t="s">
        <v>190</v>
      </c>
      <c r="FB85" s="319" t="s">
        <v>190</v>
      </c>
      <c r="FC85" s="319" t="s">
        <v>190</v>
      </c>
      <c r="FD85" s="319" t="s">
        <v>190</v>
      </c>
      <c r="FE85" s="319" t="s">
        <v>190</v>
      </c>
      <c r="FF85" s="319" t="s">
        <v>190</v>
      </c>
      <c r="FG85" s="319" t="s">
        <v>190</v>
      </c>
      <c r="FH85" s="319" t="s">
        <v>190</v>
      </c>
      <c r="FI85" s="319" t="s">
        <v>428</v>
      </c>
      <c r="FJ85" s="319" t="s">
        <v>429</v>
      </c>
      <c r="FK85" s="319" t="s">
        <v>428</v>
      </c>
      <c r="FL85" s="319" t="s">
        <v>190</v>
      </c>
      <c r="FM85" s="319" t="s">
        <v>190</v>
      </c>
      <c r="FN85" s="319" t="s">
        <v>190</v>
      </c>
      <c r="FO85" s="319" t="s">
        <v>428</v>
      </c>
      <c r="FP85" s="319" t="s">
        <v>190</v>
      </c>
      <c r="FQ85" s="319" t="s">
        <v>190</v>
      </c>
      <c r="FR85" s="319" t="s">
        <v>190</v>
      </c>
      <c r="FS85" s="319" t="s">
        <v>428</v>
      </c>
      <c r="FT85" s="319" t="s">
        <v>190</v>
      </c>
      <c r="FU85" s="319" t="s">
        <v>190</v>
      </c>
      <c r="FV85" s="319" t="s">
        <v>190</v>
      </c>
      <c r="FW85" s="319" t="s">
        <v>190</v>
      </c>
      <c r="FX85" s="319" t="s">
        <v>190</v>
      </c>
      <c r="FY85" s="319" t="s">
        <v>190</v>
      </c>
      <c r="FZ85" s="319" t="s">
        <v>190</v>
      </c>
      <c r="GA85" s="319" t="s">
        <v>190</v>
      </c>
      <c r="GB85" s="319" t="s">
        <v>190</v>
      </c>
      <c r="GC85" s="319" t="s">
        <v>190</v>
      </c>
      <c r="GD85" s="319" t="s">
        <v>190</v>
      </c>
      <c r="GE85" s="319" t="s">
        <v>190</v>
      </c>
      <c r="GF85" s="319" t="s">
        <v>190</v>
      </c>
      <c r="GG85" s="319" t="s">
        <v>190</v>
      </c>
      <c r="GH85" s="319" t="s">
        <v>190</v>
      </c>
      <c r="GI85" s="319" t="s">
        <v>190</v>
      </c>
      <c r="GJ85" s="319" t="s">
        <v>190</v>
      </c>
      <c r="GK85" s="319" t="s">
        <v>428</v>
      </c>
      <c r="GL85" s="319" t="s">
        <v>190</v>
      </c>
      <c r="GM85" s="319" t="s">
        <v>190</v>
      </c>
      <c r="GN85" s="319" t="s">
        <v>190</v>
      </c>
      <c r="GO85" s="319" t="s">
        <v>190</v>
      </c>
      <c r="GP85" s="319" t="s">
        <v>190</v>
      </c>
      <c r="GQ85" s="319" t="s">
        <v>190</v>
      </c>
      <c r="GR85" s="319" t="s">
        <v>190</v>
      </c>
      <c r="GS85" s="319" t="s">
        <v>190</v>
      </c>
      <c r="GT85" s="319" t="s">
        <v>428</v>
      </c>
      <c r="GU85" s="319" t="s">
        <v>190</v>
      </c>
      <c r="GV85" s="319" t="s">
        <v>190</v>
      </c>
      <c r="GW85" s="319" t="s">
        <v>190</v>
      </c>
      <c r="GX85" s="319" t="s">
        <v>190</v>
      </c>
      <c r="GY85" s="319" t="s">
        <v>190</v>
      </c>
      <c r="GZ85" s="319" t="s">
        <v>190</v>
      </c>
      <c r="HA85" s="319" t="s">
        <v>428</v>
      </c>
      <c r="HB85" s="319" t="s">
        <v>190</v>
      </c>
      <c r="HC85" s="319" t="s">
        <v>190</v>
      </c>
      <c r="HD85" s="319" t="s">
        <v>190</v>
      </c>
      <c r="HE85" s="319" t="s">
        <v>190</v>
      </c>
      <c r="HF85" s="319" t="s">
        <v>190</v>
      </c>
      <c r="HG85" s="319" t="s">
        <v>190</v>
      </c>
      <c r="HH85" s="319" t="s">
        <v>190</v>
      </c>
      <c r="HI85" s="319" t="s">
        <v>190</v>
      </c>
      <c r="HJ85" s="319" t="s">
        <v>190</v>
      </c>
      <c r="HK85" s="319" t="s">
        <v>190</v>
      </c>
      <c r="HL85" s="319" t="s">
        <v>428</v>
      </c>
      <c r="HM85" s="319" t="s">
        <v>428</v>
      </c>
      <c r="HN85" s="319" t="s">
        <v>428</v>
      </c>
      <c r="HO85" s="319" t="s">
        <v>428</v>
      </c>
      <c r="HP85" s="319" t="s">
        <v>190</v>
      </c>
      <c r="HQ85" s="319" t="s">
        <v>190</v>
      </c>
      <c r="HR85" s="319" t="s">
        <v>190</v>
      </c>
      <c r="HS85" s="319" t="s">
        <v>190</v>
      </c>
      <c r="HT85" s="319" t="s">
        <v>190</v>
      </c>
      <c r="HU85" s="319" t="s">
        <v>190</v>
      </c>
      <c r="HV85" s="319" t="s">
        <v>190</v>
      </c>
      <c r="HW85" s="319" t="s">
        <v>190</v>
      </c>
      <c r="HX85" s="319" t="s">
        <v>190</v>
      </c>
      <c r="HY85" s="319" t="s">
        <v>190</v>
      </c>
      <c r="HZ85" s="319" t="s">
        <v>190</v>
      </c>
      <c r="IA85" s="319" t="s">
        <v>190</v>
      </c>
      <c r="IB85" s="319" t="s">
        <v>190</v>
      </c>
      <c r="IC85" s="319" t="s">
        <v>190</v>
      </c>
      <c r="ID85" s="319" t="s">
        <v>190</v>
      </c>
      <c r="IE85" s="319" t="s">
        <v>190</v>
      </c>
      <c r="IF85" s="319" t="s">
        <v>190</v>
      </c>
      <c r="IG85" s="319" t="s">
        <v>190</v>
      </c>
      <c r="IH85" s="319" t="s">
        <v>190</v>
      </c>
      <c r="II85" s="319" t="s">
        <v>190</v>
      </c>
      <c r="IJ85" s="319">
        <v>10038826</v>
      </c>
      <c r="IK85" s="321">
        <v>43018</v>
      </c>
      <c r="IL85" s="321">
        <v>43020</v>
      </c>
      <c r="IM85" s="321">
        <v>43059</v>
      </c>
      <c r="IN85" s="319">
        <v>3</v>
      </c>
      <c r="IO85" s="319" t="s">
        <v>173</v>
      </c>
      <c r="IP85" s="319" t="s">
        <v>173</v>
      </c>
      <c r="IQ85" s="321" t="s">
        <v>173</v>
      </c>
      <c r="IR85" s="320" t="s">
        <v>173</v>
      </c>
      <c r="IS85" s="322" t="s">
        <v>173</v>
      </c>
      <c r="IT85" s="319" t="s">
        <v>173</v>
      </c>
    </row>
    <row r="86" spans="1:254" s="271" customFormat="1" x14ac:dyDescent="0.25">
      <c r="A86" s="318" t="str">
        <f>HYPERLINK("http://www.ofsted.gov.uk/inspection-reports/find-inspection-report/provider/ELS/103876 ","Ofsted School Webpage")</f>
        <v>Ofsted School Webpage</v>
      </c>
      <c r="B86" s="319">
        <v>103876</v>
      </c>
      <c r="C86" s="319">
        <v>3326000</v>
      </c>
      <c r="D86" s="319" t="s">
        <v>1329</v>
      </c>
      <c r="E86" s="319" t="s">
        <v>167</v>
      </c>
      <c r="F86" s="319" t="s">
        <v>81</v>
      </c>
      <c r="G86" s="319" t="s">
        <v>81</v>
      </c>
      <c r="H86" s="319" t="s">
        <v>81</v>
      </c>
      <c r="I86" s="319" t="s">
        <v>78</v>
      </c>
      <c r="J86" s="319" t="s">
        <v>424</v>
      </c>
      <c r="K86" s="319" t="s">
        <v>437</v>
      </c>
      <c r="L86" s="319" t="s">
        <v>437</v>
      </c>
      <c r="M86" s="319" t="s">
        <v>619</v>
      </c>
      <c r="N86" s="319" t="s">
        <v>2862</v>
      </c>
      <c r="O86" s="319" t="s">
        <v>1330</v>
      </c>
      <c r="P86" s="319">
        <v>284</v>
      </c>
      <c r="Q86" s="319" t="s">
        <v>2776</v>
      </c>
      <c r="R86" s="320">
        <v>10094406</v>
      </c>
      <c r="S86" s="321">
        <v>43627</v>
      </c>
      <c r="T86" s="321">
        <v>43629</v>
      </c>
      <c r="U86" s="321">
        <v>43654</v>
      </c>
      <c r="V86" s="319" t="s">
        <v>554</v>
      </c>
      <c r="W86" s="319" t="s">
        <v>2767</v>
      </c>
      <c r="X86" s="319">
        <v>2</v>
      </c>
      <c r="Y86" s="319" t="s">
        <v>173</v>
      </c>
      <c r="Z86" s="319" t="s">
        <v>173</v>
      </c>
      <c r="AA86" s="319" t="s">
        <v>173</v>
      </c>
      <c r="AB86" s="319">
        <v>2</v>
      </c>
      <c r="AC86" s="319" t="s">
        <v>169</v>
      </c>
      <c r="AD86" s="319">
        <v>2</v>
      </c>
      <c r="AE86" s="319" t="s">
        <v>173</v>
      </c>
      <c r="AF86" s="319" t="s">
        <v>427</v>
      </c>
      <c r="AG86" s="319" t="s">
        <v>171</v>
      </c>
      <c r="AH86" s="319" t="s">
        <v>190</v>
      </c>
      <c r="AI86" s="319" t="s">
        <v>190</v>
      </c>
      <c r="AJ86" s="319" t="s">
        <v>190</v>
      </c>
      <c r="AK86" s="319" t="s">
        <v>190</v>
      </c>
      <c r="AL86" s="319" t="s">
        <v>190</v>
      </c>
      <c r="AM86" s="319" t="s">
        <v>190</v>
      </c>
      <c r="AN86" s="319" t="s">
        <v>190</v>
      </c>
      <c r="AO86" s="319" t="s">
        <v>190</v>
      </c>
      <c r="AP86" s="319" t="s">
        <v>190</v>
      </c>
      <c r="AQ86" s="319" t="s">
        <v>190</v>
      </c>
      <c r="AR86" s="319" t="s">
        <v>190</v>
      </c>
      <c r="AS86" s="319" t="s">
        <v>190</v>
      </c>
      <c r="AT86" s="319" t="s">
        <v>190</v>
      </c>
      <c r="AU86" s="319" t="s">
        <v>190</v>
      </c>
      <c r="AV86" s="319" t="s">
        <v>190</v>
      </c>
      <c r="AW86" s="319" t="s">
        <v>190</v>
      </c>
      <c r="AX86" s="319" t="s">
        <v>428</v>
      </c>
      <c r="AY86" s="319" t="s">
        <v>190</v>
      </c>
      <c r="AZ86" s="319" t="s">
        <v>190</v>
      </c>
      <c r="BA86" s="319" t="s">
        <v>190</v>
      </c>
      <c r="BB86" s="319" t="s">
        <v>190</v>
      </c>
      <c r="BC86" s="319" t="s">
        <v>190</v>
      </c>
      <c r="BD86" s="319" t="s">
        <v>190</v>
      </c>
      <c r="BE86" s="319" t="s">
        <v>190</v>
      </c>
      <c r="BF86" s="319" t="s">
        <v>190</v>
      </c>
      <c r="BG86" s="319" t="s">
        <v>190</v>
      </c>
      <c r="BH86" s="319" t="s">
        <v>190</v>
      </c>
      <c r="BI86" s="319" t="s">
        <v>190</v>
      </c>
      <c r="BJ86" s="319" t="s">
        <v>190</v>
      </c>
      <c r="BK86" s="319" t="s">
        <v>190</v>
      </c>
      <c r="BL86" s="319" t="s">
        <v>190</v>
      </c>
      <c r="BM86" s="319" t="s">
        <v>190</v>
      </c>
      <c r="BN86" s="319" t="s">
        <v>190</v>
      </c>
      <c r="BO86" s="319" t="s">
        <v>190</v>
      </c>
      <c r="BP86" s="319" t="s">
        <v>190</v>
      </c>
      <c r="BQ86" s="319" t="s">
        <v>190</v>
      </c>
      <c r="BR86" s="319" t="s">
        <v>190</v>
      </c>
      <c r="BS86" s="319" t="s">
        <v>190</v>
      </c>
      <c r="BT86" s="319" t="s">
        <v>190</v>
      </c>
      <c r="BU86" s="319" t="s">
        <v>190</v>
      </c>
      <c r="BV86" s="319" t="s">
        <v>190</v>
      </c>
      <c r="BW86" s="319" t="s">
        <v>190</v>
      </c>
      <c r="BX86" s="319" t="s">
        <v>190</v>
      </c>
      <c r="BY86" s="319" t="s">
        <v>190</v>
      </c>
      <c r="BZ86" s="319" t="s">
        <v>190</v>
      </c>
      <c r="CA86" s="319" t="s">
        <v>190</v>
      </c>
      <c r="CB86" s="319" t="s">
        <v>190</v>
      </c>
      <c r="CC86" s="319" t="s">
        <v>190</v>
      </c>
      <c r="CD86" s="319" t="s">
        <v>190</v>
      </c>
      <c r="CE86" s="319" t="s">
        <v>190</v>
      </c>
      <c r="CF86" s="319" t="s">
        <v>190</v>
      </c>
      <c r="CG86" s="319" t="s">
        <v>190</v>
      </c>
      <c r="CH86" s="319" t="s">
        <v>190</v>
      </c>
      <c r="CI86" s="319" t="s">
        <v>190</v>
      </c>
      <c r="CJ86" s="319" t="s">
        <v>190</v>
      </c>
      <c r="CK86" s="319" t="s">
        <v>190</v>
      </c>
      <c r="CL86" s="319" t="s">
        <v>190</v>
      </c>
      <c r="CM86" s="319" t="s">
        <v>190</v>
      </c>
      <c r="CN86" s="319" t="s">
        <v>190</v>
      </c>
      <c r="CO86" s="319" t="s">
        <v>190</v>
      </c>
      <c r="CP86" s="319" t="s">
        <v>190</v>
      </c>
      <c r="CQ86" s="319" t="s">
        <v>190</v>
      </c>
      <c r="CR86" s="319" t="s">
        <v>190</v>
      </c>
      <c r="CS86" s="319" t="s">
        <v>190</v>
      </c>
      <c r="CT86" s="319" t="s">
        <v>190</v>
      </c>
      <c r="CU86" s="319" t="s">
        <v>190</v>
      </c>
      <c r="CV86" s="319" t="s">
        <v>190</v>
      </c>
      <c r="CW86" s="319" t="s">
        <v>190</v>
      </c>
      <c r="CX86" s="319" t="s">
        <v>190</v>
      </c>
      <c r="CY86" s="319" t="s">
        <v>190</v>
      </c>
      <c r="CZ86" s="319" t="s">
        <v>190</v>
      </c>
      <c r="DA86" s="319" t="s">
        <v>190</v>
      </c>
      <c r="DB86" s="319" t="s">
        <v>190</v>
      </c>
      <c r="DC86" s="319" t="s">
        <v>190</v>
      </c>
      <c r="DD86" s="319" t="s">
        <v>190</v>
      </c>
      <c r="DE86" s="319" t="s">
        <v>190</v>
      </c>
      <c r="DF86" s="319" t="s">
        <v>190</v>
      </c>
      <c r="DG86" s="319" t="s">
        <v>190</v>
      </c>
      <c r="DH86" s="319" t="s">
        <v>190</v>
      </c>
      <c r="DI86" s="319" t="s">
        <v>190</v>
      </c>
      <c r="DJ86" s="319" t="s">
        <v>190</v>
      </c>
      <c r="DK86" s="319" t="s">
        <v>190</v>
      </c>
      <c r="DL86" s="319" t="s">
        <v>190</v>
      </c>
      <c r="DM86" s="319" t="s">
        <v>190</v>
      </c>
      <c r="DN86" s="319" t="s">
        <v>190</v>
      </c>
      <c r="DO86" s="319" t="s">
        <v>190</v>
      </c>
      <c r="DP86" s="319" t="s">
        <v>428</v>
      </c>
      <c r="DQ86" s="319" t="s">
        <v>428</v>
      </c>
      <c r="DR86" s="319" t="s">
        <v>428</v>
      </c>
      <c r="DS86" s="319" t="s">
        <v>428</v>
      </c>
      <c r="DT86" s="319" t="s">
        <v>428</v>
      </c>
      <c r="DU86" s="319" t="s">
        <v>428</v>
      </c>
      <c r="DV86" s="319" t="s">
        <v>173</v>
      </c>
      <c r="DW86" s="319" t="s">
        <v>428</v>
      </c>
      <c r="DX86" s="319" t="s">
        <v>428</v>
      </c>
      <c r="DY86" s="319" t="s">
        <v>428</v>
      </c>
      <c r="DZ86" s="319" t="s">
        <v>428</v>
      </c>
      <c r="EA86" s="319" t="s">
        <v>428</v>
      </c>
      <c r="EB86" s="319" t="s">
        <v>428</v>
      </c>
      <c r="EC86" s="319" t="s">
        <v>428</v>
      </c>
      <c r="ED86" s="319" t="s">
        <v>428</v>
      </c>
      <c r="EE86" s="319" t="s">
        <v>190</v>
      </c>
      <c r="EF86" s="319" t="s">
        <v>190</v>
      </c>
      <c r="EG86" s="319" t="s">
        <v>190</v>
      </c>
      <c r="EH86" s="319" t="s">
        <v>190</v>
      </c>
      <c r="EI86" s="319" t="s">
        <v>190</v>
      </c>
      <c r="EJ86" s="319" t="s">
        <v>190</v>
      </c>
      <c r="EK86" s="319" t="s">
        <v>190</v>
      </c>
      <c r="EL86" s="319" t="s">
        <v>190</v>
      </c>
      <c r="EM86" s="319" t="s">
        <v>190</v>
      </c>
      <c r="EN86" s="319" t="s">
        <v>190</v>
      </c>
      <c r="EO86" s="319" t="s">
        <v>190</v>
      </c>
      <c r="EP86" s="319" t="s">
        <v>190</v>
      </c>
      <c r="EQ86" s="319" t="s">
        <v>190</v>
      </c>
      <c r="ER86" s="319" t="s">
        <v>190</v>
      </c>
      <c r="ES86" s="319" t="s">
        <v>190</v>
      </c>
      <c r="ET86" s="319" t="s">
        <v>190</v>
      </c>
      <c r="EU86" s="319" t="s">
        <v>190</v>
      </c>
      <c r="EV86" s="319" t="s">
        <v>190</v>
      </c>
      <c r="EW86" s="319" t="s">
        <v>190</v>
      </c>
      <c r="EX86" s="319" t="s">
        <v>190</v>
      </c>
      <c r="EY86" s="319" t="s">
        <v>190</v>
      </c>
      <c r="EZ86" s="319" t="s">
        <v>190</v>
      </c>
      <c r="FA86" s="319" t="s">
        <v>190</v>
      </c>
      <c r="FB86" s="319" t="s">
        <v>428</v>
      </c>
      <c r="FC86" s="319" t="s">
        <v>428</v>
      </c>
      <c r="FD86" s="319" t="s">
        <v>428</v>
      </c>
      <c r="FE86" s="319" t="s">
        <v>428</v>
      </c>
      <c r="FF86" s="319" t="s">
        <v>428</v>
      </c>
      <c r="FG86" s="319" t="s">
        <v>428</v>
      </c>
      <c r="FH86" s="319" t="s">
        <v>190</v>
      </c>
      <c r="FI86" s="319" t="s">
        <v>190</v>
      </c>
      <c r="FJ86" s="319" t="s">
        <v>190</v>
      </c>
      <c r="FK86" s="319" t="s">
        <v>190</v>
      </c>
      <c r="FL86" s="319" t="s">
        <v>190</v>
      </c>
      <c r="FM86" s="319" t="s">
        <v>190</v>
      </c>
      <c r="FN86" s="319" t="s">
        <v>190</v>
      </c>
      <c r="FO86" s="319" t="s">
        <v>190</v>
      </c>
      <c r="FP86" s="319" t="s">
        <v>190</v>
      </c>
      <c r="FQ86" s="319" t="s">
        <v>190</v>
      </c>
      <c r="FR86" s="319" t="s">
        <v>190</v>
      </c>
      <c r="FS86" s="319" t="s">
        <v>428</v>
      </c>
      <c r="FT86" s="319" t="s">
        <v>190</v>
      </c>
      <c r="FU86" s="319" t="s">
        <v>190</v>
      </c>
      <c r="FV86" s="319" t="s">
        <v>190</v>
      </c>
      <c r="FW86" s="319" t="s">
        <v>190</v>
      </c>
      <c r="FX86" s="319" t="s">
        <v>190</v>
      </c>
      <c r="FY86" s="319" t="s">
        <v>190</v>
      </c>
      <c r="FZ86" s="319" t="s">
        <v>190</v>
      </c>
      <c r="GA86" s="319" t="s">
        <v>190</v>
      </c>
      <c r="GB86" s="319" t="s">
        <v>190</v>
      </c>
      <c r="GC86" s="319" t="s">
        <v>190</v>
      </c>
      <c r="GD86" s="319" t="s">
        <v>190</v>
      </c>
      <c r="GE86" s="319" t="s">
        <v>190</v>
      </c>
      <c r="GF86" s="319" t="s">
        <v>190</v>
      </c>
      <c r="GG86" s="319" t="s">
        <v>190</v>
      </c>
      <c r="GH86" s="319" t="s">
        <v>190</v>
      </c>
      <c r="GI86" s="319" t="s">
        <v>190</v>
      </c>
      <c r="GJ86" s="319" t="s">
        <v>190</v>
      </c>
      <c r="GK86" s="319" t="s">
        <v>190</v>
      </c>
      <c r="GL86" s="319" t="s">
        <v>190</v>
      </c>
      <c r="GM86" s="319" t="s">
        <v>190</v>
      </c>
      <c r="GN86" s="319" t="s">
        <v>190</v>
      </c>
      <c r="GO86" s="319" t="s">
        <v>190</v>
      </c>
      <c r="GP86" s="319" t="s">
        <v>190</v>
      </c>
      <c r="GQ86" s="319" t="s">
        <v>190</v>
      </c>
      <c r="GR86" s="319" t="s">
        <v>190</v>
      </c>
      <c r="GS86" s="319" t="s">
        <v>190</v>
      </c>
      <c r="GT86" s="319" t="s">
        <v>428</v>
      </c>
      <c r="GU86" s="319" t="s">
        <v>190</v>
      </c>
      <c r="GV86" s="319" t="s">
        <v>190</v>
      </c>
      <c r="GW86" s="319" t="s">
        <v>190</v>
      </c>
      <c r="GX86" s="319" t="s">
        <v>190</v>
      </c>
      <c r="GY86" s="319" t="s">
        <v>190</v>
      </c>
      <c r="GZ86" s="319" t="s">
        <v>428</v>
      </c>
      <c r="HA86" s="319" t="s">
        <v>190</v>
      </c>
      <c r="HB86" s="319" t="s">
        <v>190</v>
      </c>
      <c r="HC86" s="319" t="s">
        <v>190</v>
      </c>
      <c r="HD86" s="319" t="s">
        <v>190</v>
      </c>
      <c r="HE86" s="319" t="s">
        <v>190</v>
      </c>
      <c r="HF86" s="319" t="s">
        <v>190</v>
      </c>
      <c r="HG86" s="319" t="s">
        <v>190</v>
      </c>
      <c r="HH86" s="319" t="s">
        <v>190</v>
      </c>
      <c r="HI86" s="319" t="s">
        <v>190</v>
      </c>
      <c r="HJ86" s="319" t="s">
        <v>190</v>
      </c>
      <c r="HK86" s="319" t="s">
        <v>190</v>
      </c>
      <c r="HL86" s="319" t="s">
        <v>428</v>
      </c>
      <c r="HM86" s="319" t="s">
        <v>428</v>
      </c>
      <c r="HN86" s="319" t="s">
        <v>428</v>
      </c>
      <c r="HO86" s="319" t="s">
        <v>428</v>
      </c>
      <c r="HP86" s="319" t="s">
        <v>190</v>
      </c>
      <c r="HQ86" s="319" t="s">
        <v>190</v>
      </c>
      <c r="HR86" s="319" t="s">
        <v>190</v>
      </c>
      <c r="HS86" s="319" t="s">
        <v>190</v>
      </c>
      <c r="HT86" s="319" t="s">
        <v>190</v>
      </c>
      <c r="HU86" s="319" t="s">
        <v>190</v>
      </c>
      <c r="HV86" s="319" t="s">
        <v>190</v>
      </c>
      <c r="HW86" s="319" t="s">
        <v>190</v>
      </c>
      <c r="HX86" s="319" t="s">
        <v>190</v>
      </c>
      <c r="HY86" s="319" t="s">
        <v>190</v>
      </c>
      <c r="HZ86" s="319" t="s">
        <v>190</v>
      </c>
      <c r="IA86" s="319" t="s">
        <v>190</v>
      </c>
      <c r="IB86" s="319" t="s">
        <v>190</v>
      </c>
      <c r="IC86" s="319" t="s">
        <v>190</v>
      </c>
      <c r="ID86" s="319" t="s">
        <v>190</v>
      </c>
      <c r="IE86" s="319" t="s">
        <v>190</v>
      </c>
      <c r="IF86" s="319" t="s">
        <v>190</v>
      </c>
      <c r="IG86" s="319" t="s">
        <v>190</v>
      </c>
      <c r="IH86" s="319" t="s">
        <v>190</v>
      </c>
      <c r="II86" s="319" t="s">
        <v>190</v>
      </c>
      <c r="IJ86" s="319" t="s">
        <v>1331</v>
      </c>
      <c r="IK86" s="321">
        <v>39932</v>
      </c>
      <c r="IL86" s="321">
        <v>39933</v>
      </c>
      <c r="IM86" s="321">
        <v>39965</v>
      </c>
      <c r="IN86" s="319">
        <v>2</v>
      </c>
      <c r="IO86" s="319" t="s">
        <v>173</v>
      </c>
      <c r="IP86" s="319" t="s">
        <v>173</v>
      </c>
      <c r="IQ86" s="321" t="s">
        <v>173</v>
      </c>
      <c r="IR86" s="320" t="s">
        <v>173</v>
      </c>
      <c r="IS86" s="322" t="s">
        <v>173</v>
      </c>
      <c r="IT86" s="319" t="s">
        <v>173</v>
      </c>
    </row>
    <row r="87" spans="1:254" s="271" customFormat="1" x14ac:dyDescent="0.25">
      <c r="A87" s="318" t="str">
        <f>HYPERLINK("http://www.ofsted.gov.uk/inspection-reports/find-inspection-report/provider/ELS/104128 ","Ofsted School Webpage")</f>
        <v>Ofsted School Webpage</v>
      </c>
      <c r="B87" s="319">
        <v>104128</v>
      </c>
      <c r="C87" s="319">
        <v>3346009</v>
      </c>
      <c r="D87" s="319" t="s">
        <v>1332</v>
      </c>
      <c r="E87" s="319" t="s">
        <v>167</v>
      </c>
      <c r="F87" s="319" t="s">
        <v>81</v>
      </c>
      <c r="G87" s="319" t="s">
        <v>81</v>
      </c>
      <c r="H87" s="319" t="s">
        <v>81</v>
      </c>
      <c r="I87" s="319" t="s">
        <v>78</v>
      </c>
      <c r="J87" s="319" t="s">
        <v>424</v>
      </c>
      <c r="K87" s="319" t="s">
        <v>437</v>
      </c>
      <c r="L87" s="319" t="s">
        <v>437</v>
      </c>
      <c r="M87" s="319" t="s">
        <v>1333</v>
      </c>
      <c r="N87" s="319" t="s">
        <v>1333</v>
      </c>
      <c r="O87" s="319" t="s">
        <v>1334</v>
      </c>
      <c r="P87" s="319">
        <v>91</v>
      </c>
      <c r="Q87" s="319" t="s">
        <v>2766</v>
      </c>
      <c r="R87" s="320">
        <v>10033541</v>
      </c>
      <c r="S87" s="321">
        <v>43179</v>
      </c>
      <c r="T87" s="321">
        <v>43181</v>
      </c>
      <c r="U87" s="321">
        <v>43217</v>
      </c>
      <c r="V87" s="319" t="s">
        <v>425</v>
      </c>
      <c r="W87" s="319" t="s">
        <v>2767</v>
      </c>
      <c r="X87" s="319">
        <v>1</v>
      </c>
      <c r="Y87" s="319" t="s">
        <v>173</v>
      </c>
      <c r="Z87" s="319" t="s">
        <v>173</v>
      </c>
      <c r="AA87" s="319" t="s">
        <v>173</v>
      </c>
      <c r="AB87" s="319">
        <v>1</v>
      </c>
      <c r="AC87" s="319" t="s">
        <v>169</v>
      </c>
      <c r="AD87" s="319">
        <v>1</v>
      </c>
      <c r="AE87" s="319" t="s">
        <v>173</v>
      </c>
      <c r="AF87" s="319" t="s">
        <v>427</v>
      </c>
      <c r="AG87" s="319" t="s">
        <v>171</v>
      </c>
      <c r="AH87" s="319" t="s">
        <v>190</v>
      </c>
      <c r="AI87" s="319" t="s">
        <v>190</v>
      </c>
      <c r="AJ87" s="319" t="s">
        <v>190</v>
      </c>
      <c r="AK87" s="319" t="s">
        <v>190</v>
      </c>
      <c r="AL87" s="319" t="s">
        <v>190</v>
      </c>
      <c r="AM87" s="319" t="s">
        <v>190</v>
      </c>
      <c r="AN87" s="319" t="s">
        <v>190</v>
      </c>
      <c r="AO87" s="319" t="s">
        <v>190</v>
      </c>
      <c r="AP87" s="319" t="s">
        <v>190</v>
      </c>
      <c r="AQ87" s="319" t="s">
        <v>190</v>
      </c>
      <c r="AR87" s="319" t="s">
        <v>190</v>
      </c>
      <c r="AS87" s="319" t="s">
        <v>190</v>
      </c>
      <c r="AT87" s="319" t="s">
        <v>190</v>
      </c>
      <c r="AU87" s="319" t="s">
        <v>190</v>
      </c>
      <c r="AV87" s="319" t="s">
        <v>190</v>
      </c>
      <c r="AW87" s="319" t="s">
        <v>190</v>
      </c>
      <c r="AX87" s="319" t="s">
        <v>190</v>
      </c>
      <c r="AY87" s="319" t="s">
        <v>190</v>
      </c>
      <c r="AZ87" s="319" t="s">
        <v>190</v>
      </c>
      <c r="BA87" s="319" t="s">
        <v>190</v>
      </c>
      <c r="BB87" s="319" t="s">
        <v>428</v>
      </c>
      <c r="BC87" s="319" t="s">
        <v>428</v>
      </c>
      <c r="BD87" s="319" t="s">
        <v>428</v>
      </c>
      <c r="BE87" s="319" t="s">
        <v>428</v>
      </c>
      <c r="BF87" s="319" t="s">
        <v>190</v>
      </c>
      <c r="BG87" s="319" t="s">
        <v>428</v>
      </c>
      <c r="BH87" s="319" t="s">
        <v>190</v>
      </c>
      <c r="BI87" s="319" t="s">
        <v>190</v>
      </c>
      <c r="BJ87" s="319" t="s">
        <v>190</v>
      </c>
      <c r="BK87" s="319" t="s">
        <v>190</v>
      </c>
      <c r="BL87" s="319" t="s">
        <v>190</v>
      </c>
      <c r="BM87" s="319" t="s">
        <v>190</v>
      </c>
      <c r="BN87" s="319" t="s">
        <v>190</v>
      </c>
      <c r="BO87" s="319" t="s">
        <v>190</v>
      </c>
      <c r="BP87" s="319" t="s">
        <v>190</v>
      </c>
      <c r="BQ87" s="319" t="s">
        <v>190</v>
      </c>
      <c r="BR87" s="319" t="s">
        <v>190</v>
      </c>
      <c r="BS87" s="319" t="s">
        <v>190</v>
      </c>
      <c r="BT87" s="319" t="s">
        <v>190</v>
      </c>
      <c r="BU87" s="319" t="s">
        <v>190</v>
      </c>
      <c r="BV87" s="319" t="s">
        <v>190</v>
      </c>
      <c r="BW87" s="319" t="s">
        <v>190</v>
      </c>
      <c r="BX87" s="319" t="s">
        <v>190</v>
      </c>
      <c r="BY87" s="319" t="s">
        <v>190</v>
      </c>
      <c r="BZ87" s="319" t="s">
        <v>190</v>
      </c>
      <c r="CA87" s="319" t="s">
        <v>190</v>
      </c>
      <c r="CB87" s="319" t="s">
        <v>190</v>
      </c>
      <c r="CC87" s="319" t="s">
        <v>190</v>
      </c>
      <c r="CD87" s="319" t="s">
        <v>190</v>
      </c>
      <c r="CE87" s="319" t="s">
        <v>190</v>
      </c>
      <c r="CF87" s="319" t="s">
        <v>190</v>
      </c>
      <c r="CG87" s="319" t="s">
        <v>190</v>
      </c>
      <c r="CH87" s="319" t="s">
        <v>190</v>
      </c>
      <c r="CI87" s="319" t="s">
        <v>190</v>
      </c>
      <c r="CJ87" s="319" t="s">
        <v>190</v>
      </c>
      <c r="CK87" s="319" t="s">
        <v>190</v>
      </c>
      <c r="CL87" s="319" t="s">
        <v>190</v>
      </c>
      <c r="CM87" s="319" t="s">
        <v>190</v>
      </c>
      <c r="CN87" s="319" t="s">
        <v>428</v>
      </c>
      <c r="CO87" s="319" t="s">
        <v>428</v>
      </c>
      <c r="CP87" s="319" t="s">
        <v>428</v>
      </c>
      <c r="CQ87" s="319" t="s">
        <v>190</v>
      </c>
      <c r="CR87" s="319" t="s">
        <v>190</v>
      </c>
      <c r="CS87" s="319" t="s">
        <v>190</v>
      </c>
      <c r="CT87" s="319" t="s">
        <v>190</v>
      </c>
      <c r="CU87" s="319" t="s">
        <v>190</v>
      </c>
      <c r="CV87" s="319" t="s">
        <v>190</v>
      </c>
      <c r="CW87" s="319" t="s">
        <v>190</v>
      </c>
      <c r="CX87" s="319" t="s">
        <v>190</v>
      </c>
      <c r="CY87" s="319" t="s">
        <v>190</v>
      </c>
      <c r="CZ87" s="319" t="s">
        <v>190</v>
      </c>
      <c r="DA87" s="319" t="s">
        <v>190</v>
      </c>
      <c r="DB87" s="319" t="s">
        <v>190</v>
      </c>
      <c r="DC87" s="319" t="s">
        <v>190</v>
      </c>
      <c r="DD87" s="319" t="s">
        <v>190</v>
      </c>
      <c r="DE87" s="319" t="s">
        <v>190</v>
      </c>
      <c r="DF87" s="319" t="s">
        <v>190</v>
      </c>
      <c r="DG87" s="319" t="s">
        <v>190</v>
      </c>
      <c r="DH87" s="319" t="s">
        <v>190</v>
      </c>
      <c r="DI87" s="319" t="s">
        <v>190</v>
      </c>
      <c r="DJ87" s="319" t="s">
        <v>190</v>
      </c>
      <c r="DK87" s="319" t="s">
        <v>190</v>
      </c>
      <c r="DL87" s="319" t="s">
        <v>190</v>
      </c>
      <c r="DM87" s="319" t="s">
        <v>190</v>
      </c>
      <c r="DN87" s="319" t="s">
        <v>428</v>
      </c>
      <c r="DO87" s="319" t="s">
        <v>190</v>
      </c>
      <c r="DP87" s="319" t="s">
        <v>190</v>
      </c>
      <c r="DQ87" s="319" t="s">
        <v>190</v>
      </c>
      <c r="DR87" s="319" t="s">
        <v>190</v>
      </c>
      <c r="DS87" s="319" t="s">
        <v>190</v>
      </c>
      <c r="DT87" s="319" t="s">
        <v>190</v>
      </c>
      <c r="DU87" s="319" t="s">
        <v>190</v>
      </c>
      <c r="DV87" s="319" t="s">
        <v>173</v>
      </c>
      <c r="DW87" s="319" t="s">
        <v>190</v>
      </c>
      <c r="DX87" s="319" t="s">
        <v>190</v>
      </c>
      <c r="DY87" s="319" t="s">
        <v>190</v>
      </c>
      <c r="DZ87" s="319" t="s">
        <v>190</v>
      </c>
      <c r="EA87" s="319" t="s">
        <v>190</v>
      </c>
      <c r="EB87" s="319" t="s">
        <v>190</v>
      </c>
      <c r="EC87" s="319" t="s">
        <v>428</v>
      </c>
      <c r="ED87" s="319" t="s">
        <v>190</v>
      </c>
      <c r="EE87" s="319" t="s">
        <v>190</v>
      </c>
      <c r="EF87" s="319" t="s">
        <v>190</v>
      </c>
      <c r="EG87" s="319" t="s">
        <v>190</v>
      </c>
      <c r="EH87" s="319" t="s">
        <v>190</v>
      </c>
      <c r="EI87" s="319" t="s">
        <v>190</v>
      </c>
      <c r="EJ87" s="319" t="s">
        <v>190</v>
      </c>
      <c r="EK87" s="319" t="s">
        <v>190</v>
      </c>
      <c r="EL87" s="319" t="s">
        <v>190</v>
      </c>
      <c r="EM87" s="319" t="s">
        <v>190</v>
      </c>
      <c r="EN87" s="319" t="s">
        <v>190</v>
      </c>
      <c r="EO87" s="319" t="s">
        <v>190</v>
      </c>
      <c r="EP87" s="319" t="s">
        <v>190</v>
      </c>
      <c r="EQ87" s="319" t="s">
        <v>190</v>
      </c>
      <c r="ER87" s="319" t="s">
        <v>190</v>
      </c>
      <c r="ES87" s="319" t="s">
        <v>190</v>
      </c>
      <c r="ET87" s="319" t="s">
        <v>190</v>
      </c>
      <c r="EU87" s="319" t="s">
        <v>190</v>
      </c>
      <c r="EV87" s="319" t="s">
        <v>190</v>
      </c>
      <c r="EW87" s="319" t="s">
        <v>190</v>
      </c>
      <c r="EX87" s="319" t="s">
        <v>190</v>
      </c>
      <c r="EY87" s="319" t="s">
        <v>190</v>
      </c>
      <c r="EZ87" s="319" t="s">
        <v>190</v>
      </c>
      <c r="FA87" s="319" t="s">
        <v>190</v>
      </c>
      <c r="FB87" s="319" t="s">
        <v>190</v>
      </c>
      <c r="FC87" s="319" t="s">
        <v>190</v>
      </c>
      <c r="FD87" s="319" t="s">
        <v>190</v>
      </c>
      <c r="FE87" s="319" t="s">
        <v>190</v>
      </c>
      <c r="FF87" s="319" t="s">
        <v>190</v>
      </c>
      <c r="FG87" s="319" t="s">
        <v>190</v>
      </c>
      <c r="FH87" s="319" t="s">
        <v>190</v>
      </c>
      <c r="FI87" s="319" t="s">
        <v>190</v>
      </c>
      <c r="FJ87" s="319" t="s">
        <v>190</v>
      </c>
      <c r="FK87" s="319" t="s">
        <v>190</v>
      </c>
      <c r="FL87" s="319" t="s">
        <v>190</v>
      </c>
      <c r="FM87" s="319" t="s">
        <v>190</v>
      </c>
      <c r="FN87" s="319" t="s">
        <v>190</v>
      </c>
      <c r="FO87" s="319" t="s">
        <v>428</v>
      </c>
      <c r="FP87" s="319" t="s">
        <v>190</v>
      </c>
      <c r="FQ87" s="319" t="s">
        <v>190</v>
      </c>
      <c r="FR87" s="319" t="s">
        <v>190</v>
      </c>
      <c r="FS87" s="319" t="s">
        <v>428</v>
      </c>
      <c r="FT87" s="319" t="s">
        <v>190</v>
      </c>
      <c r="FU87" s="319" t="s">
        <v>190</v>
      </c>
      <c r="FV87" s="319" t="s">
        <v>190</v>
      </c>
      <c r="FW87" s="319" t="s">
        <v>190</v>
      </c>
      <c r="FX87" s="319" t="s">
        <v>190</v>
      </c>
      <c r="FY87" s="319" t="s">
        <v>190</v>
      </c>
      <c r="FZ87" s="319" t="s">
        <v>190</v>
      </c>
      <c r="GA87" s="319" t="s">
        <v>190</v>
      </c>
      <c r="GB87" s="319" t="s">
        <v>190</v>
      </c>
      <c r="GC87" s="319" t="s">
        <v>190</v>
      </c>
      <c r="GD87" s="319" t="s">
        <v>190</v>
      </c>
      <c r="GE87" s="319" t="s">
        <v>190</v>
      </c>
      <c r="GF87" s="319" t="s">
        <v>190</v>
      </c>
      <c r="GG87" s="319" t="s">
        <v>190</v>
      </c>
      <c r="GH87" s="319" t="s">
        <v>190</v>
      </c>
      <c r="GI87" s="319" t="s">
        <v>190</v>
      </c>
      <c r="GJ87" s="319" t="s">
        <v>190</v>
      </c>
      <c r="GK87" s="319" t="s">
        <v>428</v>
      </c>
      <c r="GL87" s="319" t="s">
        <v>190</v>
      </c>
      <c r="GM87" s="319" t="s">
        <v>190</v>
      </c>
      <c r="GN87" s="319" t="s">
        <v>190</v>
      </c>
      <c r="GO87" s="319" t="s">
        <v>190</v>
      </c>
      <c r="GP87" s="319" t="s">
        <v>190</v>
      </c>
      <c r="GQ87" s="319" t="s">
        <v>428</v>
      </c>
      <c r="GR87" s="319" t="s">
        <v>190</v>
      </c>
      <c r="GS87" s="319" t="s">
        <v>190</v>
      </c>
      <c r="GT87" s="319" t="s">
        <v>428</v>
      </c>
      <c r="GU87" s="319" t="s">
        <v>190</v>
      </c>
      <c r="GV87" s="319" t="s">
        <v>190</v>
      </c>
      <c r="GW87" s="319" t="s">
        <v>190</v>
      </c>
      <c r="GX87" s="319" t="s">
        <v>190</v>
      </c>
      <c r="GY87" s="319" t="s">
        <v>190</v>
      </c>
      <c r="GZ87" s="319" t="s">
        <v>190</v>
      </c>
      <c r="HA87" s="319" t="s">
        <v>428</v>
      </c>
      <c r="HB87" s="319" t="s">
        <v>428</v>
      </c>
      <c r="HC87" s="319" t="s">
        <v>190</v>
      </c>
      <c r="HD87" s="319" t="s">
        <v>190</v>
      </c>
      <c r="HE87" s="319" t="s">
        <v>190</v>
      </c>
      <c r="HF87" s="319" t="s">
        <v>190</v>
      </c>
      <c r="HG87" s="319" t="s">
        <v>190</v>
      </c>
      <c r="HH87" s="319" t="s">
        <v>190</v>
      </c>
      <c r="HI87" s="319" t="s">
        <v>190</v>
      </c>
      <c r="HJ87" s="319" t="s">
        <v>190</v>
      </c>
      <c r="HK87" s="319" t="s">
        <v>190</v>
      </c>
      <c r="HL87" s="319" t="s">
        <v>428</v>
      </c>
      <c r="HM87" s="319" t="s">
        <v>428</v>
      </c>
      <c r="HN87" s="319" t="s">
        <v>428</v>
      </c>
      <c r="HO87" s="319" t="s">
        <v>428</v>
      </c>
      <c r="HP87" s="319" t="s">
        <v>190</v>
      </c>
      <c r="HQ87" s="319" t="s">
        <v>190</v>
      </c>
      <c r="HR87" s="319" t="s">
        <v>190</v>
      </c>
      <c r="HS87" s="319" t="s">
        <v>190</v>
      </c>
      <c r="HT87" s="319" t="s">
        <v>190</v>
      </c>
      <c r="HU87" s="319" t="s">
        <v>190</v>
      </c>
      <c r="HV87" s="319" t="s">
        <v>190</v>
      </c>
      <c r="HW87" s="319" t="s">
        <v>190</v>
      </c>
      <c r="HX87" s="319" t="s">
        <v>190</v>
      </c>
      <c r="HY87" s="319" t="s">
        <v>190</v>
      </c>
      <c r="HZ87" s="319" t="s">
        <v>190</v>
      </c>
      <c r="IA87" s="319" t="s">
        <v>190</v>
      </c>
      <c r="IB87" s="319" t="s">
        <v>190</v>
      </c>
      <c r="IC87" s="319" t="s">
        <v>190</v>
      </c>
      <c r="ID87" s="319" t="s">
        <v>190</v>
      </c>
      <c r="IE87" s="319" t="s">
        <v>190</v>
      </c>
      <c r="IF87" s="319" t="s">
        <v>190</v>
      </c>
      <c r="IG87" s="319" t="s">
        <v>190</v>
      </c>
      <c r="IH87" s="319" t="s">
        <v>190</v>
      </c>
      <c r="II87" s="319" t="s">
        <v>190</v>
      </c>
      <c r="IJ87" s="319" t="s">
        <v>2863</v>
      </c>
      <c r="IK87" s="321">
        <v>41822</v>
      </c>
      <c r="IL87" s="321">
        <v>41824</v>
      </c>
      <c r="IM87" s="321">
        <v>41897</v>
      </c>
      <c r="IN87" s="319">
        <v>1</v>
      </c>
      <c r="IO87" s="319" t="s">
        <v>173</v>
      </c>
      <c r="IP87" s="319" t="s">
        <v>173</v>
      </c>
      <c r="IQ87" s="319" t="s">
        <v>173</v>
      </c>
      <c r="IR87" s="320" t="s">
        <v>173</v>
      </c>
      <c r="IS87" s="320" t="s">
        <v>173</v>
      </c>
      <c r="IT87" s="319" t="s">
        <v>173</v>
      </c>
    </row>
    <row r="88" spans="1:254" s="271" customFormat="1" x14ac:dyDescent="0.25">
      <c r="A88" s="318" t="str">
        <f>HYPERLINK("http://www.ofsted.gov.uk/inspection-reports/find-inspection-report/provider/ELS/104839 ","Ofsted School Webpage")</f>
        <v>Ofsted School Webpage</v>
      </c>
      <c r="B88" s="319">
        <v>104839</v>
      </c>
      <c r="C88" s="319">
        <v>3426004</v>
      </c>
      <c r="D88" s="319" t="s">
        <v>1335</v>
      </c>
      <c r="E88" s="319" t="s">
        <v>168</v>
      </c>
      <c r="F88" s="319" t="s">
        <v>81</v>
      </c>
      <c r="G88" s="319" t="s">
        <v>81</v>
      </c>
      <c r="H88" s="319" t="s">
        <v>81</v>
      </c>
      <c r="I88" s="319" t="s">
        <v>78</v>
      </c>
      <c r="J88" s="319" t="s">
        <v>424</v>
      </c>
      <c r="K88" s="319" t="s">
        <v>431</v>
      </c>
      <c r="L88" s="319" t="s">
        <v>431</v>
      </c>
      <c r="M88" s="319" t="s">
        <v>1336</v>
      </c>
      <c r="N88" s="319" t="s">
        <v>2864</v>
      </c>
      <c r="O88" s="319" t="s">
        <v>1337</v>
      </c>
      <c r="P88" s="319">
        <v>40</v>
      </c>
      <c r="Q88" s="319" t="s">
        <v>2776</v>
      </c>
      <c r="R88" s="320">
        <v>10008860</v>
      </c>
      <c r="S88" s="321">
        <v>42920</v>
      </c>
      <c r="T88" s="321">
        <v>42922</v>
      </c>
      <c r="U88" s="321">
        <v>42989</v>
      </c>
      <c r="V88" s="319" t="s">
        <v>425</v>
      </c>
      <c r="W88" s="319" t="s">
        <v>2767</v>
      </c>
      <c r="X88" s="319">
        <v>2</v>
      </c>
      <c r="Y88" s="319" t="s">
        <v>173</v>
      </c>
      <c r="Z88" s="319" t="s">
        <v>173</v>
      </c>
      <c r="AA88" s="319" t="s">
        <v>173</v>
      </c>
      <c r="AB88" s="319">
        <v>2</v>
      </c>
      <c r="AC88" s="319" t="s">
        <v>169</v>
      </c>
      <c r="AD88" s="319" t="s">
        <v>173</v>
      </c>
      <c r="AE88" s="319">
        <v>2</v>
      </c>
      <c r="AF88" s="319" t="s">
        <v>173</v>
      </c>
      <c r="AG88" s="319" t="s">
        <v>171</v>
      </c>
      <c r="AH88" s="319" t="s">
        <v>190</v>
      </c>
      <c r="AI88" s="319" t="s">
        <v>190</v>
      </c>
      <c r="AJ88" s="319" t="s">
        <v>190</v>
      </c>
      <c r="AK88" s="319" t="s">
        <v>190</v>
      </c>
      <c r="AL88" s="319" t="s">
        <v>190</v>
      </c>
      <c r="AM88" s="319" t="s">
        <v>190</v>
      </c>
      <c r="AN88" s="319" t="s">
        <v>190</v>
      </c>
      <c r="AO88" s="319" t="s">
        <v>190</v>
      </c>
      <c r="AP88" s="319" t="s">
        <v>190</v>
      </c>
      <c r="AQ88" s="319" t="s">
        <v>190</v>
      </c>
      <c r="AR88" s="319" t="s">
        <v>190</v>
      </c>
      <c r="AS88" s="319" t="s">
        <v>190</v>
      </c>
      <c r="AT88" s="319" t="s">
        <v>190</v>
      </c>
      <c r="AU88" s="319" t="s">
        <v>190</v>
      </c>
      <c r="AV88" s="319" t="s">
        <v>190</v>
      </c>
      <c r="AW88" s="319" t="s">
        <v>190</v>
      </c>
      <c r="AX88" s="319" t="s">
        <v>429</v>
      </c>
      <c r="AY88" s="319" t="s">
        <v>190</v>
      </c>
      <c r="AZ88" s="319" t="s">
        <v>190</v>
      </c>
      <c r="BA88" s="319" t="s">
        <v>190</v>
      </c>
      <c r="BB88" s="319" t="s">
        <v>190</v>
      </c>
      <c r="BC88" s="319" t="s">
        <v>190</v>
      </c>
      <c r="BD88" s="319" t="s">
        <v>190</v>
      </c>
      <c r="BE88" s="319" t="s">
        <v>190</v>
      </c>
      <c r="BF88" s="319" t="s">
        <v>429</v>
      </c>
      <c r="BG88" s="319" t="s">
        <v>190</v>
      </c>
      <c r="BH88" s="319" t="s">
        <v>190</v>
      </c>
      <c r="BI88" s="319" t="s">
        <v>190</v>
      </c>
      <c r="BJ88" s="319" t="s">
        <v>190</v>
      </c>
      <c r="BK88" s="319" t="s">
        <v>190</v>
      </c>
      <c r="BL88" s="319" t="s">
        <v>190</v>
      </c>
      <c r="BM88" s="319" t="s">
        <v>190</v>
      </c>
      <c r="BN88" s="319" t="s">
        <v>190</v>
      </c>
      <c r="BO88" s="319" t="s">
        <v>190</v>
      </c>
      <c r="BP88" s="319" t="s">
        <v>190</v>
      </c>
      <c r="BQ88" s="319" t="s">
        <v>190</v>
      </c>
      <c r="BR88" s="319" t="s">
        <v>190</v>
      </c>
      <c r="BS88" s="319" t="s">
        <v>190</v>
      </c>
      <c r="BT88" s="319" t="s">
        <v>190</v>
      </c>
      <c r="BU88" s="319" t="s">
        <v>190</v>
      </c>
      <c r="BV88" s="319" t="s">
        <v>190</v>
      </c>
      <c r="BW88" s="319" t="s">
        <v>190</v>
      </c>
      <c r="BX88" s="319" t="s">
        <v>190</v>
      </c>
      <c r="BY88" s="319" t="s">
        <v>190</v>
      </c>
      <c r="BZ88" s="319" t="s">
        <v>190</v>
      </c>
      <c r="CA88" s="319" t="s">
        <v>190</v>
      </c>
      <c r="CB88" s="319" t="s">
        <v>190</v>
      </c>
      <c r="CC88" s="319" t="s">
        <v>190</v>
      </c>
      <c r="CD88" s="319" t="s">
        <v>190</v>
      </c>
      <c r="CE88" s="319" t="s">
        <v>190</v>
      </c>
      <c r="CF88" s="319" t="s">
        <v>190</v>
      </c>
      <c r="CG88" s="319" t="s">
        <v>190</v>
      </c>
      <c r="CH88" s="319" t="s">
        <v>190</v>
      </c>
      <c r="CI88" s="319" t="s">
        <v>190</v>
      </c>
      <c r="CJ88" s="319" t="s">
        <v>190</v>
      </c>
      <c r="CK88" s="319" t="s">
        <v>190</v>
      </c>
      <c r="CL88" s="319" t="s">
        <v>190</v>
      </c>
      <c r="CM88" s="319" t="s">
        <v>190</v>
      </c>
      <c r="CN88" s="319" t="s">
        <v>429</v>
      </c>
      <c r="CO88" s="319" t="s">
        <v>429</v>
      </c>
      <c r="CP88" s="319" t="s">
        <v>429</v>
      </c>
      <c r="CQ88" s="319" t="s">
        <v>190</v>
      </c>
      <c r="CR88" s="319" t="s">
        <v>190</v>
      </c>
      <c r="CS88" s="319" t="s">
        <v>190</v>
      </c>
      <c r="CT88" s="319" t="s">
        <v>190</v>
      </c>
      <c r="CU88" s="319" t="s">
        <v>190</v>
      </c>
      <c r="CV88" s="319" t="s">
        <v>190</v>
      </c>
      <c r="CW88" s="319" t="s">
        <v>190</v>
      </c>
      <c r="CX88" s="319" t="s">
        <v>190</v>
      </c>
      <c r="CY88" s="319" t="s">
        <v>190</v>
      </c>
      <c r="CZ88" s="319" t="s">
        <v>190</v>
      </c>
      <c r="DA88" s="319" t="s">
        <v>190</v>
      </c>
      <c r="DB88" s="319" t="s">
        <v>190</v>
      </c>
      <c r="DC88" s="319" t="s">
        <v>190</v>
      </c>
      <c r="DD88" s="319" t="s">
        <v>190</v>
      </c>
      <c r="DE88" s="319" t="s">
        <v>190</v>
      </c>
      <c r="DF88" s="319" t="s">
        <v>190</v>
      </c>
      <c r="DG88" s="319" t="s">
        <v>190</v>
      </c>
      <c r="DH88" s="319" t="s">
        <v>190</v>
      </c>
      <c r="DI88" s="319" t="s">
        <v>190</v>
      </c>
      <c r="DJ88" s="319" t="s">
        <v>190</v>
      </c>
      <c r="DK88" s="319" t="s">
        <v>190</v>
      </c>
      <c r="DL88" s="319" t="s">
        <v>190</v>
      </c>
      <c r="DM88" s="319" t="s">
        <v>190</v>
      </c>
      <c r="DN88" s="319" t="s">
        <v>429</v>
      </c>
      <c r="DO88" s="319" t="s">
        <v>190</v>
      </c>
      <c r="DP88" s="319" t="s">
        <v>190</v>
      </c>
      <c r="DQ88" s="319" t="s">
        <v>190</v>
      </c>
      <c r="DR88" s="319" t="s">
        <v>190</v>
      </c>
      <c r="DS88" s="319" t="s">
        <v>190</v>
      </c>
      <c r="DT88" s="319" t="s">
        <v>190</v>
      </c>
      <c r="DU88" s="319" t="s">
        <v>190</v>
      </c>
      <c r="DV88" s="319" t="s">
        <v>173</v>
      </c>
      <c r="DW88" s="319" t="s">
        <v>190</v>
      </c>
      <c r="DX88" s="319" t="s">
        <v>190</v>
      </c>
      <c r="DY88" s="319" t="s">
        <v>190</v>
      </c>
      <c r="DZ88" s="319" t="s">
        <v>190</v>
      </c>
      <c r="EA88" s="319" t="s">
        <v>190</v>
      </c>
      <c r="EB88" s="319" t="s">
        <v>190</v>
      </c>
      <c r="EC88" s="319" t="s">
        <v>190</v>
      </c>
      <c r="ED88" s="319" t="s">
        <v>190</v>
      </c>
      <c r="EE88" s="319" t="s">
        <v>190</v>
      </c>
      <c r="EF88" s="319" t="s">
        <v>190</v>
      </c>
      <c r="EG88" s="319" t="s">
        <v>190</v>
      </c>
      <c r="EH88" s="319" t="s">
        <v>190</v>
      </c>
      <c r="EI88" s="319" t="s">
        <v>190</v>
      </c>
      <c r="EJ88" s="319" t="s">
        <v>190</v>
      </c>
      <c r="EK88" s="319" t="s">
        <v>190</v>
      </c>
      <c r="EL88" s="319" t="s">
        <v>190</v>
      </c>
      <c r="EM88" s="319" t="s">
        <v>190</v>
      </c>
      <c r="EN88" s="319" t="s">
        <v>190</v>
      </c>
      <c r="EO88" s="319" t="s">
        <v>190</v>
      </c>
      <c r="EP88" s="319" t="s">
        <v>190</v>
      </c>
      <c r="EQ88" s="319" t="s">
        <v>190</v>
      </c>
      <c r="ER88" s="319" t="s">
        <v>190</v>
      </c>
      <c r="ES88" s="319" t="s">
        <v>190</v>
      </c>
      <c r="ET88" s="319" t="s">
        <v>190</v>
      </c>
      <c r="EU88" s="319" t="s">
        <v>190</v>
      </c>
      <c r="EV88" s="319" t="s">
        <v>190</v>
      </c>
      <c r="EW88" s="319" t="s">
        <v>190</v>
      </c>
      <c r="EX88" s="319" t="s">
        <v>190</v>
      </c>
      <c r="EY88" s="319" t="s">
        <v>190</v>
      </c>
      <c r="EZ88" s="319" t="s">
        <v>190</v>
      </c>
      <c r="FA88" s="319" t="s">
        <v>190</v>
      </c>
      <c r="FB88" s="319" t="s">
        <v>190</v>
      </c>
      <c r="FC88" s="319" t="s">
        <v>190</v>
      </c>
      <c r="FD88" s="319" t="s">
        <v>190</v>
      </c>
      <c r="FE88" s="319" t="s">
        <v>190</v>
      </c>
      <c r="FF88" s="319" t="s">
        <v>190</v>
      </c>
      <c r="FG88" s="319" t="s">
        <v>190</v>
      </c>
      <c r="FH88" s="319" t="s">
        <v>190</v>
      </c>
      <c r="FI88" s="319" t="s">
        <v>190</v>
      </c>
      <c r="FJ88" s="319" t="s">
        <v>190</v>
      </c>
      <c r="FK88" s="319" t="s">
        <v>190</v>
      </c>
      <c r="FL88" s="319" t="s">
        <v>190</v>
      </c>
      <c r="FM88" s="319" t="s">
        <v>190</v>
      </c>
      <c r="FN88" s="319" t="s">
        <v>429</v>
      </c>
      <c r="FO88" s="319" t="s">
        <v>190</v>
      </c>
      <c r="FP88" s="319" t="s">
        <v>190</v>
      </c>
      <c r="FQ88" s="319" t="s">
        <v>190</v>
      </c>
      <c r="FR88" s="319" t="s">
        <v>190</v>
      </c>
      <c r="FS88" s="319" t="s">
        <v>190</v>
      </c>
      <c r="FT88" s="319" t="s">
        <v>190</v>
      </c>
      <c r="FU88" s="319" t="s">
        <v>190</v>
      </c>
      <c r="FV88" s="319" t="s">
        <v>190</v>
      </c>
      <c r="FW88" s="319" t="s">
        <v>190</v>
      </c>
      <c r="FX88" s="319" t="s">
        <v>190</v>
      </c>
      <c r="FY88" s="319" t="s">
        <v>190</v>
      </c>
      <c r="FZ88" s="319" t="s">
        <v>190</v>
      </c>
      <c r="GA88" s="319" t="s">
        <v>190</v>
      </c>
      <c r="GB88" s="319" t="s">
        <v>190</v>
      </c>
      <c r="GC88" s="319" t="s">
        <v>190</v>
      </c>
      <c r="GD88" s="319" t="s">
        <v>190</v>
      </c>
      <c r="GE88" s="319" t="s">
        <v>190</v>
      </c>
      <c r="GF88" s="319" t="s">
        <v>190</v>
      </c>
      <c r="GG88" s="319" t="s">
        <v>190</v>
      </c>
      <c r="GH88" s="319" t="s">
        <v>190</v>
      </c>
      <c r="GI88" s="319" t="s">
        <v>190</v>
      </c>
      <c r="GJ88" s="319" t="s">
        <v>190</v>
      </c>
      <c r="GK88" s="319" t="s">
        <v>429</v>
      </c>
      <c r="GL88" s="319" t="s">
        <v>190</v>
      </c>
      <c r="GM88" s="319" t="s">
        <v>190</v>
      </c>
      <c r="GN88" s="319" t="s">
        <v>190</v>
      </c>
      <c r="GO88" s="319" t="s">
        <v>190</v>
      </c>
      <c r="GP88" s="319" t="s">
        <v>190</v>
      </c>
      <c r="GQ88" s="319" t="s">
        <v>429</v>
      </c>
      <c r="GR88" s="319" t="s">
        <v>190</v>
      </c>
      <c r="GS88" s="319" t="s">
        <v>190</v>
      </c>
      <c r="GT88" s="319" t="s">
        <v>190</v>
      </c>
      <c r="GU88" s="319" t="s">
        <v>190</v>
      </c>
      <c r="GV88" s="319" t="s">
        <v>190</v>
      </c>
      <c r="GW88" s="319" t="s">
        <v>190</v>
      </c>
      <c r="GX88" s="319" t="s">
        <v>190</v>
      </c>
      <c r="GY88" s="319" t="s">
        <v>190</v>
      </c>
      <c r="GZ88" s="319" t="s">
        <v>190</v>
      </c>
      <c r="HA88" s="319" t="s">
        <v>190</v>
      </c>
      <c r="HB88" s="319" t="s">
        <v>190</v>
      </c>
      <c r="HC88" s="319" t="s">
        <v>190</v>
      </c>
      <c r="HD88" s="319" t="s">
        <v>190</v>
      </c>
      <c r="HE88" s="319" t="s">
        <v>190</v>
      </c>
      <c r="HF88" s="319" t="s">
        <v>190</v>
      </c>
      <c r="HG88" s="319" t="s">
        <v>190</v>
      </c>
      <c r="HH88" s="319" t="s">
        <v>190</v>
      </c>
      <c r="HI88" s="319" t="s">
        <v>190</v>
      </c>
      <c r="HJ88" s="319" t="s">
        <v>190</v>
      </c>
      <c r="HK88" s="319" t="s">
        <v>190</v>
      </c>
      <c r="HL88" s="319" t="s">
        <v>190</v>
      </c>
      <c r="HM88" s="319" t="s">
        <v>190</v>
      </c>
      <c r="HN88" s="319" t="s">
        <v>190</v>
      </c>
      <c r="HO88" s="319" t="s">
        <v>190</v>
      </c>
      <c r="HP88" s="319" t="s">
        <v>190</v>
      </c>
      <c r="HQ88" s="319" t="s">
        <v>190</v>
      </c>
      <c r="HR88" s="319" t="s">
        <v>190</v>
      </c>
      <c r="HS88" s="319" t="s">
        <v>190</v>
      </c>
      <c r="HT88" s="319" t="s">
        <v>190</v>
      </c>
      <c r="HU88" s="319" t="s">
        <v>190</v>
      </c>
      <c r="HV88" s="319" t="s">
        <v>190</v>
      </c>
      <c r="HW88" s="319" t="s">
        <v>190</v>
      </c>
      <c r="HX88" s="319" t="s">
        <v>190</v>
      </c>
      <c r="HY88" s="319" t="s">
        <v>190</v>
      </c>
      <c r="HZ88" s="319" t="s">
        <v>190</v>
      </c>
      <c r="IA88" s="319" t="s">
        <v>190</v>
      </c>
      <c r="IB88" s="319" t="s">
        <v>190</v>
      </c>
      <c r="IC88" s="319" t="s">
        <v>190</v>
      </c>
      <c r="ID88" s="319" t="s">
        <v>190</v>
      </c>
      <c r="IE88" s="319" t="s">
        <v>190</v>
      </c>
      <c r="IF88" s="319" t="s">
        <v>190</v>
      </c>
      <c r="IG88" s="319" t="s">
        <v>190</v>
      </c>
      <c r="IH88" s="319" t="s">
        <v>190</v>
      </c>
      <c r="II88" s="319" t="s">
        <v>190</v>
      </c>
      <c r="IJ88" s="319" t="s">
        <v>2865</v>
      </c>
      <c r="IK88" s="321">
        <v>41351</v>
      </c>
      <c r="IL88" s="321">
        <v>41353</v>
      </c>
      <c r="IM88" s="321">
        <v>41375</v>
      </c>
      <c r="IN88" s="319">
        <v>2</v>
      </c>
      <c r="IO88" s="319" t="s">
        <v>173</v>
      </c>
      <c r="IP88" s="319" t="s">
        <v>173</v>
      </c>
      <c r="IQ88" s="321" t="s">
        <v>173</v>
      </c>
      <c r="IR88" s="320" t="s">
        <v>173</v>
      </c>
      <c r="IS88" s="322" t="s">
        <v>173</v>
      </c>
      <c r="IT88" s="319" t="s">
        <v>173</v>
      </c>
    </row>
    <row r="89" spans="1:254" s="271" customFormat="1" x14ac:dyDescent="0.25">
      <c r="A89" s="318" t="str">
        <f>HYPERLINK("http://www.ofsted.gov.uk/inspection-reports/find-inspection-report/provider/ELS/105269 ","Ofsted School Webpage")</f>
        <v>Ofsted School Webpage</v>
      </c>
      <c r="B89" s="319">
        <v>105269</v>
      </c>
      <c r="C89" s="319">
        <v>3506000</v>
      </c>
      <c r="D89" s="319" t="s">
        <v>1338</v>
      </c>
      <c r="E89" s="319" t="s">
        <v>167</v>
      </c>
      <c r="F89" s="319" t="s">
        <v>81</v>
      </c>
      <c r="G89" s="319" t="s">
        <v>81</v>
      </c>
      <c r="H89" s="319" t="s">
        <v>81</v>
      </c>
      <c r="I89" s="319" t="s">
        <v>78</v>
      </c>
      <c r="J89" s="319" t="s">
        <v>424</v>
      </c>
      <c r="K89" s="319" t="s">
        <v>431</v>
      </c>
      <c r="L89" s="319" t="s">
        <v>431</v>
      </c>
      <c r="M89" s="319" t="s">
        <v>1031</v>
      </c>
      <c r="N89" s="319" t="s">
        <v>2866</v>
      </c>
      <c r="O89" s="319" t="s">
        <v>2749</v>
      </c>
      <c r="P89" s="319">
        <v>26</v>
      </c>
      <c r="Q89" s="319" t="s">
        <v>2776</v>
      </c>
      <c r="R89" s="320">
        <v>10012840</v>
      </c>
      <c r="S89" s="321">
        <v>42808</v>
      </c>
      <c r="T89" s="321">
        <v>42810</v>
      </c>
      <c r="U89" s="321">
        <v>42851</v>
      </c>
      <c r="V89" s="319" t="s">
        <v>425</v>
      </c>
      <c r="W89" s="319" t="s">
        <v>2767</v>
      </c>
      <c r="X89" s="319">
        <v>2</v>
      </c>
      <c r="Y89" s="319" t="s">
        <v>173</v>
      </c>
      <c r="Z89" s="319" t="s">
        <v>173</v>
      </c>
      <c r="AA89" s="319" t="s">
        <v>173</v>
      </c>
      <c r="AB89" s="319">
        <v>2</v>
      </c>
      <c r="AC89" s="319" t="s">
        <v>169</v>
      </c>
      <c r="AD89" s="319" t="s">
        <v>173</v>
      </c>
      <c r="AE89" s="319">
        <v>2</v>
      </c>
      <c r="AF89" s="319" t="s">
        <v>173</v>
      </c>
      <c r="AG89" s="319" t="s">
        <v>171</v>
      </c>
      <c r="AH89" s="319" t="s">
        <v>190</v>
      </c>
      <c r="AI89" s="319" t="s">
        <v>190</v>
      </c>
      <c r="AJ89" s="319" t="s">
        <v>190</v>
      </c>
      <c r="AK89" s="319" t="s">
        <v>190</v>
      </c>
      <c r="AL89" s="319" t="s">
        <v>190</v>
      </c>
      <c r="AM89" s="319" t="s">
        <v>190</v>
      </c>
      <c r="AN89" s="319" t="s">
        <v>190</v>
      </c>
      <c r="AO89" s="319" t="s">
        <v>190</v>
      </c>
      <c r="AP89" s="319" t="s">
        <v>190</v>
      </c>
      <c r="AQ89" s="319" t="s">
        <v>190</v>
      </c>
      <c r="AR89" s="319" t="s">
        <v>190</v>
      </c>
      <c r="AS89" s="319" t="s">
        <v>190</v>
      </c>
      <c r="AT89" s="319" t="s">
        <v>190</v>
      </c>
      <c r="AU89" s="319" t="s">
        <v>190</v>
      </c>
      <c r="AV89" s="319" t="s">
        <v>190</v>
      </c>
      <c r="AW89" s="319" t="s">
        <v>190</v>
      </c>
      <c r="AX89" s="319" t="s">
        <v>429</v>
      </c>
      <c r="AY89" s="319" t="s">
        <v>190</v>
      </c>
      <c r="AZ89" s="319" t="s">
        <v>190</v>
      </c>
      <c r="BA89" s="319" t="s">
        <v>190</v>
      </c>
      <c r="BB89" s="319" t="s">
        <v>190</v>
      </c>
      <c r="BC89" s="319" t="s">
        <v>190</v>
      </c>
      <c r="BD89" s="319" t="s">
        <v>190</v>
      </c>
      <c r="BE89" s="319" t="s">
        <v>190</v>
      </c>
      <c r="BF89" s="319" t="s">
        <v>429</v>
      </c>
      <c r="BG89" s="319" t="s">
        <v>190</v>
      </c>
      <c r="BH89" s="319" t="s">
        <v>190</v>
      </c>
      <c r="BI89" s="319" t="s">
        <v>190</v>
      </c>
      <c r="BJ89" s="319" t="s">
        <v>190</v>
      </c>
      <c r="BK89" s="319" t="s">
        <v>190</v>
      </c>
      <c r="BL89" s="319" t="s">
        <v>190</v>
      </c>
      <c r="BM89" s="319" t="s">
        <v>190</v>
      </c>
      <c r="BN89" s="319" t="s">
        <v>190</v>
      </c>
      <c r="BO89" s="319" t="s">
        <v>190</v>
      </c>
      <c r="BP89" s="319" t="s">
        <v>190</v>
      </c>
      <c r="BQ89" s="319" t="s">
        <v>190</v>
      </c>
      <c r="BR89" s="319" t="s">
        <v>190</v>
      </c>
      <c r="BS89" s="319" t="s">
        <v>190</v>
      </c>
      <c r="BT89" s="319" t="s">
        <v>190</v>
      </c>
      <c r="BU89" s="319" t="s">
        <v>190</v>
      </c>
      <c r="BV89" s="319" t="s">
        <v>190</v>
      </c>
      <c r="BW89" s="319" t="s">
        <v>190</v>
      </c>
      <c r="BX89" s="319" t="s">
        <v>190</v>
      </c>
      <c r="BY89" s="319" t="s">
        <v>190</v>
      </c>
      <c r="BZ89" s="319" t="s">
        <v>190</v>
      </c>
      <c r="CA89" s="319" t="s">
        <v>190</v>
      </c>
      <c r="CB89" s="319" t="s">
        <v>190</v>
      </c>
      <c r="CC89" s="319" t="s">
        <v>190</v>
      </c>
      <c r="CD89" s="319" t="s">
        <v>190</v>
      </c>
      <c r="CE89" s="319" t="s">
        <v>190</v>
      </c>
      <c r="CF89" s="319" t="s">
        <v>190</v>
      </c>
      <c r="CG89" s="319" t="s">
        <v>190</v>
      </c>
      <c r="CH89" s="319" t="s">
        <v>190</v>
      </c>
      <c r="CI89" s="319" t="s">
        <v>190</v>
      </c>
      <c r="CJ89" s="319" t="s">
        <v>190</v>
      </c>
      <c r="CK89" s="319" t="s">
        <v>190</v>
      </c>
      <c r="CL89" s="319" t="s">
        <v>190</v>
      </c>
      <c r="CM89" s="319" t="s">
        <v>190</v>
      </c>
      <c r="CN89" s="319" t="s">
        <v>190</v>
      </c>
      <c r="CO89" s="319" t="s">
        <v>429</v>
      </c>
      <c r="CP89" s="319" t="s">
        <v>429</v>
      </c>
      <c r="CQ89" s="319" t="s">
        <v>190</v>
      </c>
      <c r="CR89" s="319" t="s">
        <v>190</v>
      </c>
      <c r="CS89" s="319" t="s">
        <v>190</v>
      </c>
      <c r="CT89" s="319" t="s">
        <v>190</v>
      </c>
      <c r="CU89" s="319" t="s">
        <v>190</v>
      </c>
      <c r="CV89" s="319" t="s">
        <v>190</v>
      </c>
      <c r="CW89" s="319" t="s">
        <v>190</v>
      </c>
      <c r="CX89" s="319" t="s">
        <v>190</v>
      </c>
      <c r="CY89" s="319" t="s">
        <v>190</v>
      </c>
      <c r="CZ89" s="319" t="s">
        <v>190</v>
      </c>
      <c r="DA89" s="319" t="s">
        <v>190</v>
      </c>
      <c r="DB89" s="319" t="s">
        <v>190</v>
      </c>
      <c r="DC89" s="319" t="s">
        <v>190</v>
      </c>
      <c r="DD89" s="319" t="s">
        <v>190</v>
      </c>
      <c r="DE89" s="319" t="s">
        <v>190</v>
      </c>
      <c r="DF89" s="319" t="s">
        <v>190</v>
      </c>
      <c r="DG89" s="319" t="s">
        <v>190</v>
      </c>
      <c r="DH89" s="319" t="s">
        <v>190</v>
      </c>
      <c r="DI89" s="319" t="s">
        <v>190</v>
      </c>
      <c r="DJ89" s="319" t="s">
        <v>190</v>
      </c>
      <c r="DK89" s="319" t="s">
        <v>190</v>
      </c>
      <c r="DL89" s="319" t="s">
        <v>190</v>
      </c>
      <c r="DM89" s="319" t="s">
        <v>190</v>
      </c>
      <c r="DN89" s="319" t="s">
        <v>190</v>
      </c>
      <c r="DO89" s="319" t="s">
        <v>190</v>
      </c>
      <c r="DP89" s="319" t="s">
        <v>190</v>
      </c>
      <c r="DQ89" s="319" t="s">
        <v>190</v>
      </c>
      <c r="DR89" s="319" t="s">
        <v>190</v>
      </c>
      <c r="DS89" s="319" t="s">
        <v>190</v>
      </c>
      <c r="DT89" s="319" t="s">
        <v>190</v>
      </c>
      <c r="DU89" s="319" t="s">
        <v>190</v>
      </c>
      <c r="DV89" s="319" t="s">
        <v>173</v>
      </c>
      <c r="DW89" s="319" t="s">
        <v>190</v>
      </c>
      <c r="DX89" s="319" t="s">
        <v>190</v>
      </c>
      <c r="DY89" s="319" t="s">
        <v>190</v>
      </c>
      <c r="DZ89" s="319" t="s">
        <v>190</v>
      </c>
      <c r="EA89" s="319" t="s">
        <v>190</v>
      </c>
      <c r="EB89" s="319" t="s">
        <v>190</v>
      </c>
      <c r="EC89" s="319" t="s">
        <v>190</v>
      </c>
      <c r="ED89" s="319" t="s">
        <v>190</v>
      </c>
      <c r="EE89" s="319" t="s">
        <v>190</v>
      </c>
      <c r="EF89" s="319" t="s">
        <v>190</v>
      </c>
      <c r="EG89" s="319" t="s">
        <v>190</v>
      </c>
      <c r="EH89" s="319" t="s">
        <v>190</v>
      </c>
      <c r="EI89" s="319" t="s">
        <v>190</v>
      </c>
      <c r="EJ89" s="319" t="s">
        <v>190</v>
      </c>
      <c r="EK89" s="319" t="s">
        <v>190</v>
      </c>
      <c r="EL89" s="319" t="s">
        <v>190</v>
      </c>
      <c r="EM89" s="319" t="s">
        <v>190</v>
      </c>
      <c r="EN89" s="319" t="s">
        <v>190</v>
      </c>
      <c r="EO89" s="319" t="s">
        <v>190</v>
      </c>
      <c r="EP89" s="319" t="s">
        <v>190</v>
      </c>
      <c r="EQ89" s="319" t="s">
        <v>190</v>
      </c>
      <c r="ER89" s="319" t="s">
        <v>190</v>
      </c>
      <c r="ES89" s="319" t="s">
        <v>190</v>
      </c>
      <c r="ET89" s="319" t="s">
        <v>190</v>
      </c>
      <c r="EU89" s="319" t="s">
        <v>190</v>
      </c>
      <c r="EV89" s="319" t="s">
        <v>190</v>
      </c>
      <c r="EW89" s="319" t="s">
        <v>190</v>
      </c>
      <c r="EX89" s="319" t="s">
        <v>190</v>
      </c>
      <c r="EY89" s="319" t="s">
        <v>190</v>
      </c>
      <c r="EZ89" s="319" t="s">
        <v>190</v>
      </c>
      <c r="FA89" s="319" t="s">
        <v>190</v>
      </c>
      <c r="FB89" s="319" t="s">
        <v>190</v>
      </c>
      <c r="FC89" s="319" t="s">
        <v>190</v>
      </c>
      <c r="FD89" s="319" t="s">
        <v>190</v>
      </c>
      <c r="FE89" s="319" t="s">
        <v>190</v>
      </c>
      <c r="FF89" s="319" t="s">
        <v>190</v>
      </c>
      <c r="FG89" s="319" t="s">
        <v>190</v>
      </c>
      <c r="FH89" s="319" t="s">
        <v>190</v>
      </c>
      <c r="FI89" s="319" t="s">
        <v>190</v>
      </c>
      <c r="FJ89" s="319" t="s">
        <v>190</v>
      </c>
      <c r="FK89" s="319" t="s">
        <v>190</v>
      </c>
      <c r="FL89" s="319" t="s">
        <v>190</v>
      </c>
      <c r="FM89" s="319" t="s">
        <v>190</v>
      </c>
      <c r="FN89" s="319" t="s">
        <v>190</v>
      </c>
      <c r="FO89" s="319" t="s">
        <v>190</v>
      </c>
      <c r="FP89" s="319" t="s">
        <v>190</v>
      </c>
      <c r="FQ89" s="319" t="s">
        <v>190</v>
      </c>
      <c r="FR89" s="319" t="s">
        <v>190</v>
      </c>
      <c r="FS89" s="319" t="s">
        <v>190</v>
      </c>
      <c r="FT89" s="319" t="s">
        <v>190</v>
      </c>
      <c r="FU89" s="319" t="s">
        <v>190</v>
      </c>
      <c r="FV89" s="319" t="s">
        <v>190</v>
      </c>
      <c r="FW89" s="319" t="s">
        <v>190</v>
      </c>
      <c r="FX89" s="319" t="s">
        <v>190</v>
      </c>
      <c r="FY89" s="319" t="s">
        <v>190</v>
      </c>
      <c r="FZ89" s="319" t="s">
        <v>190</v>
      </c>
      <c r="GA89" s="319" t="s">
        <v>190</v>
      </c>
      <c r="GB89" s="319" t="s">
        <v>190</v>
      </c>
      <c r="GC89" s="319" t="s">
        <v>190</v>
      </c>
      <c r="GD89" s="319" t="s">
        <v>190</v>
      </c>
      <c r="GE89" s="319" t="s">
        <v>190</v>
      </c>
      <c r="GF89" s="319" t="s">
        <v>190</v>
      </c>
      <c r="GG89" s="319" t="s">
        <v>190</v>
      </c>
      <c r="GH89" s="319" t="s">
        <v>190</v>
      </c>
      <c r="GI89" s="319" t="s">
        <v>190</v>
      </c>
      <c r="GJ89" s="319" t="s">
        <v>190</v>
      </c>
      <c r="GK89" s="319" t="s">
        <v>429</v>
      </c>
      <c r="GL89" s="319" t="s">
        <v>190</v>
      </c>
      <c r="GM89" s="319" t="s">
        <v>190</v>
      </c>
      <c r="GN89" s="319" t="s">
        <v>190</v>
      </c>
      <c r="GO89" s="319" t="s">
        <v>190</v>
      </c>
      <c r="GP89" s="319" t="s">
        <v>190</v>
      </c>
      <c r="GQ89" s="319" t="s">
        <v>190</v>
      </c>
      <c r="GR89" s="319" t="s">
        <v>190</v>
      </c>
      <c r="GS89" s="319" t="s">
        <v>190</v>
      </c>
      <c r="GT89" s="319" t="s">
        <v>190</v>
      </c>
      <c r="GU89" s="319" t="s">
        <v>190</v>
      </c>
      <c r="GV89" s="319" t="s">
        <v>190</v>
      </c>
      <c r="GW89" s="319" t="s">
        <v>190</v>
      </c>
      <c r="GX89" s="319" t="s">
        <v>190</v>
      </c>
      <c r="GY89" s="319" t="s">
        <v>190</v>
      </c>
      <c r="GZ89" s="319" t="s">
        <v>190</v>
      </c>
      <c r="HA89" s="319" t="s">
        <v>190</v>
      </c>
      <c r="HB89" s="319" t="s">
        <v>190</v>
      </c>
      <c r="HC89" s="319" t="s">
        <v>190</v>
      </c>
      <c r="HD89" s="319" t="s">
        <v>190</v>
      </c>
      <c r="HE89" s="319" t="s">
        <v>190</v>
      </c>
      <c r="HF89" s="319" t="s">
        <v>190</v>
      </c>
      <c r="HG89" s="319" t="s">
        <v>190</v>
      </c>
      <c r="HH89" s="319" t="s">
        <v>190</v>
      </c>
      <c r="HI89" s="319" t="s">
        <v>190</v>
      </c>
      <c r="HJ89" s="319" t="s">
        <v>190</v>
      </c>
      <c r="HK89" s="319" t="s">
        <v>190</v>
      </c>
      <c r="HL89" s="319" t="s">
        <v>190</v>
      </c>
      <c r="HM89" s="319" t="s">
        <v>429</v>
      </c>
      <c r="HN89" s="319" t="s">
        <v>429</v>
      </c>
      <c r="HO89" s="319" t="s">
        <v>429</v>
      </c>
      <c r="HP89" s="319" t="s">
        <v>190</v>
      </c>
      <c r="HQ89" s="319" t="s">
        <v>190</v>
      </c>
      <c r="HR89" s="319" t="s">
        <v>190</v>
      </c>
      <c r="HS89" s="319" t="s">
        <v>190</v>
      </c>
      <c r="HT89" s="319" t="s">
        <v>190</v>
      </c>
      <c r="HU89" s="319" t="s">
        <v>190</v>
      </c>
      <c r="HV89" s="319" t="s">
        <v>190</v>
      </c>
      <c r="HW89" s="319" t="s">
        <v>190</v>
      </c>
      <c r="HX89" s="319" t="s">
        <v>190</v>
      </c>
      <c r="HY89" s="319" t="s">
        <v>190</v>
      </c>
      <c r="HZ89" s="319" t="s">
        <v>190</v>
      </c>
      <c r="IA89" s="319" t="s">
        <v>190</v>
      </c>
      <c r="IB89" s="319" t="s">
        <v>190</v>
      </c>
      <c r="IC89" s="319" t="s">
        <v>190</v>
      </c>
      <c r="ID89" s="319" t="s">
        <v>190</v>
      </c>
      <c r="IE89" s="319" t="s">
        <v>190</v>
      </c>
      <c r="IF89" s="319" t="s">
        <v>190</v>
      </c>
      <c r="IG89" s="319" t="s">
        <v>190</v>
      </c>
      <c r="IH89" s="319" t="s">
        <v>190</v>
      </c>
      <c r="II89" s="319" t="s">
        <v>190</v>
      </c>
      <c r="IJ89" s="319" t="s">
        <v>2867</v>
      </c>
      <c r="IK89" s="321">
        <v>41214</v>
      </c>
      <c r="IL89" s="321">
        <v>41215</v>
      </c>
      <c r="IM89" s="321">
        <v>41236</v>
      </c>
      <c r="IN89" s="319">
        <v>2</v>
      </c>
      <c r="IO89" s="319" t="s">
        <v>173</v>
      </c>
      <c r="IP89" s="319" t="s">
        <v>173</v>
      </c>
      <c r="IQ89" s="321" t="s">
        <v>173</v>
      </c>
      <c r="IR89" s="320" t="s">
        <v>173</v>
      </c>
      <c r="IS89" s="322" t="s">
        <v>173</v>
      </c>
      <c r="IT89" s="319" t="s">
        <v>173</v>
      </c>
    </row>
    <row r="90" spans="1:254" s="271" customFormat="1" x14ac:dyDescent="0.25">
      <c r="A90" s="318" t="str">
        <f>HYPERLINK("http://www.ofsted.gov.uk/inspection-reports/find-inspection-report/provider/ELS/105372 ","Ofsted School Webpage")</f>
        <v>Ofsted School Webpage</v>
      </c>
      <c r="B90" s="319">
        <v>105372</v>
      </c>
      <c r="C90" s="319">
        <v>3516007</v>
      </c>
      <c r="D90" s="319" t="s">
        <v>1339</v>
      </c>
      <c r="E90" s="319" t="s">
        <v>167</v>
      </c>
      <c r="F90" s="319" t="s">
        <v>71</v>
      </c>
      <c r="G90" s="319" t="s">
        <v>72</v>
      </c>
      <c r="H90" s="319" t="s">
        <v>71</v>
      </c>
      <c r="I90" s="319" t="s">
        <v>72</v>
      </c>
      <c r="J90" s="319" t="s">
        <v>424</v>
      </c>
      <c r="K90" s="319" t="s">
        <v>431</v>
      </c>
      <c r="L90" s="319" t="s">
        <v>431</v>
      </c>
      <c r="M90" s="319" t="s">
        <v>936</v>
      </c>
      <c r="N90" s="319" t="s">
        <v>2868</v>
      </c>
      <c r="O90" s="319" t="s">
        <v>1340</v>
      </c>
      <c r="P90" s="319">
        <v>319</v>
      </c>
      <c r="Q90" s="319" t="s">
        <v>2776</v>
      </c>
      <c r="R90" s="320">
        <v>10038832</v>
      </c>
      <c r="S90" s="321">
        <v>43172</v>
      </c>
      <c r="T90" s="321">
        <v>43174</v>
      </c>
      <c r="U90" s="321">
        <v>43224</v>
      </c>
      <c r="V90" s="319" t="s">
        <v>425</v>
      </c>
      <c r="W90" s="319" t="s">
        <v>2767</v>
      </c>
      <c r="X90" s="319">
        <v>2</v>
      </c>
      <c r="Y90" s="319" t="s">
        <v>173</v>
      </c>
      <c r="Z90" s="319" t="s">
        <v>173</v>
      </c>
      <c r="AA90" s="319" t="s">
        <v>173</v>
      </c>
      <c r="AB90" s="319">
        <v>3</v>
      </c>
      <c r="AC90" s="319" t="s">
        <v>169</v>
      </c>
      <c r="AD90" s="319" t="s">
        <v>173</v>
      </c>
      <c r="AE90" s="319">
        <v>1</v>
      </c>
      <c r="AF90" s="319" t="s">
        <v>447</v>
      </c>
      <c r="AG90" s="319" t="s">
        <v>171</v>
      </c>
      <c r="AH90" s="319" t="s">
        <v>190</v>
      </c>
      <c r="AI90" s="319" t="s">
        <v>190</v>
      </c>
      <c r="AJ90" s="319" t="s">
        <v>190</v>
      </c>
      <c r="AK90" s="319" t="s">
        <v>190</v>
      </c>
      <c r="AL90" s="319" t="s">
        <v>190</v>
      </c>
      <c r="AM90" s="319" t="s">
        <v>190</v>
      </c>
      <c r="AN90" s="319" t="s">
        <v>190</v>
      </c>
      <c r="AO90" s="319" t="s">
        <v>190</v>
      </c>
      <c r="AP90" s="319" t="s">
        <v>190</v>
      </c>
      <c r="AQ90" s="319" t="s">
        <v>190</v>
      </c>
      <c r="AR90" s="319" t="s">
        <v>190</v>
      </c>
      <c r="AS90" s="319" t="s">
        <v>190</v>
      </c>
      <c r="AT90" s="319" t="s">
        <v>190</v>
      </c>
      <c r="AU90" s="319" t="s">
        <v>190</v>
      </c>
      <c r="AV90" s="319" t="s">
        <v>190</v>
      </c>
      <c r="AW90" s="319" t="s">
        <v>190</v>
      </c>
      <c r="AX90" s="319" t="s">
        <v>190</v>
      </c>
      <c r="AY90" s="319" t="s">
        <v>190</v>
      </c>
      <c r="AZ90" s="319" t="s">
        <v>190</v>
      </c>
      <c r="BA90" s="319" t="s">
        <v>190</v>
      </c>
      <c r="BB90" s="319" t="s">
        <v>190</v>
      </c>
      <c r="BC90" s="319" t="s">
        <v>190</v>
      </c>
      <c r="BD90" s="319" t="s">
        <v>190</v>
      </c>
      <c r="BE90" s="319" t="s">
        <v>190</v>
      </c>
      <c r="BF90" s="319" t="s">
        <v>190</v>
      </c>
      <c r="BG90" s="319" t="s">
        <v>190</v>
      </c>
      <c r="BH90" s="319" t="s">
        <v>190</v>
      </c>
      <c r="BI90" s="319" t="s">
        <v>190</v>
      </c>
      <c r="BJ90" s="319" t="s">
        <v>190</v>
      </c>
      <c r="BK90" s="319" t="s">
        <v>190</v>
      </c>
      <c r="BL90" s="319" t="s">
        <v>190</v>
      </c>
      <c r="BM90" s="319" t="s">
        <v>190</v>
      </c>
      <c r="BN90" s="319" t="s">
        <v>190</v>
      </c>
      <c r="BO90" s="319" t="s">
        <v>190</v>
      </c>
      <c r="BP90" s="319" t="s">
        <v>190</v>
      </c>
      <c r="BQ90" s="319" t="s">
        <v>190</v>
      </c>
      <c r="BR90" s="319" t="s">
        <v>190</v>
      </c>
      <c r="BS90" s="319" t="s">
        <v>190</v>
      </c>
      <c r="BT90" s="319" t="s">
        <v>190</v>
      </c>
      <c r="BU90" s="319" t="s">
        <v>190</v>
      </c>
      <c r="BV90" s="319" t="s">
        <v>190</v>
      </c>
      <c r="BW90" s="319" t="s">
        <v>190</v>
      </c>
      <c r="BX90" s="319" t="s">
        <v>190</v>
      </c>
      <c r="BY90" s="319" t="s">
        <v>190</v>
      </c>
      <c r="BZ90" s="319" t="s">
        <v>190</v>
      </c>
      <c r="CA90" s="319" t="s">
        <v>190</v>
      </c>
      <c r="CB90" s="319" t="s">
        <v>190</v>
      </c>
      <c r="CC90" s="319" t="s">
        <v>190</v>
      </c>
      <c r="CD90" s="319" t="s">
        <v>190</v>
      </c>
      <c r="CE90" s="319" t="s">
        <v>190</v>
      </c>
      <c r="CF90" s="319" t="s">
        <v>190</v>
      </c>
      <c r="CG90" s="319" t="s">
        <v>190</v>
      </c>
      <c r="CH90" s="319" t="s">
        <v>190</v>
      </c>
      <c r="CI90" s="319" t="s">
        <v>190</v>
      </c>
      <c r="CJ90" s="319" t="s">
        <v>190</v>
      </c>
      <c r="CK90" s="319" t="s">
        <v>190</v>
      </c>
      <c r="CL90" s="319" t="s">
        <v>190</v>
      </c>
      <c r="CM90" s="319" t="s">
        <v>190</v>
      </c>
      <c r="CN90" s="319" t="s">
        <v>190</v>
      </c>
      <c r="CO90" s="319" t="s">
        <v>190</v>
      </c>
      <c r="CP90" s="319" t="s">
        <v>190</v>
      </c>
      <c r="CQ90" s="319" t="s">
        <v>190</v>
      </c>
      <c r="CR90" s="319" t="s">
        <v>190</v>
      </c>
      <c r="CS90" s="319" t="s">
        <v>190</v>
      </c>
      <c r="CT90" s="319" t="s">
        <v>190</v>
      </c>
      <c r="CU90" s="319" t="s">
        <v>190</v>
      </c>
      <c r="CV90" s="319" t="s">
        <v>190</v>
      </c>
      <c r="CW90" s="319" t="s">
        <v>190</v>
      </c>
      <c r="CX90" s="319" t="s">
        <v>190</v>
      </c>
      <c r="CY90" s="319" t="s">
        <v>190</v>
      </c>
      <c r="CZ90" s="319" t="s">
        <v>190</v>
      </c>
      <c r="DA90" s="319" t="s">
        <v>190</v>
      </c>
      <c r="DB90" s="319" t="s">
        <v>190</v>
      </c>
      <c r="DC90" s="319" t="s">
        <v>190</v>
      </c>
      <c r="DD90" s="319" t="s">
        <v>190</v>
      </c>
      <c r="DE90" s="319" t="s">
        <v>190</v>
      </c>
      <c r="DF90" s="319" t="s">
        <v>190</v>
      </c>
      <c r="DG90" s="319" t="s">
        <v>190</v>
      </c>
      <c r="DH90" s="319" t="s">
        <v>190</v>
      </c>
      <c r="DI90" s="319" t="s">
        <v>190</v>
      </c>
      <c r="DJ90" s="319" t="s">
        <v>190</v>
      </c>
      <c r="DK90" s="319" t="s">
        <v>190</v>
      </c>
      <c r="DL90" s="319" t="s">
        <v>190</v>
      </c>
      <c r="DM90" s="319" t="s">
        <v>190</v>
      </c>
      <c r="DN90" s="319" t="s">
        <v>190</v>
      </c>
      <c r="DO90" s="319" t="s">
        <v>190</v>
      </c>
      <c r="DP90" s="319" t="s">
        <v>428</v>
      </c>
      <c r="DQ90" s="319" t="s">
        <v>428</v>
      </c>
      <c r="DR90" s="319" t="s">
        <v>428</v>
      </c>
      <c r="DS90" s="319" t="s">
        <v>428</v>
      </c>
      <c r="DT90" s="319" t="s">
        <v>428</v>
      </c>
      <c r="DU90" s="319" t="s">
        <v>428</v>
      </c>
      <c r="DV90" s="319" t="s">
        <v>173</v>
      </c>
      <c r="DW90" s="319" t="s">
        <v>428</v>
      </c>
      <c r="DX90" s="319" t="s">
        <v>428</v>
      </c>
      <c r="DY90" s="319" t="s">
        <v>428</v>
      </c>
      <c r="DZ90" s="319" t="s">
        <v>428</v>
      </c>
      <c r="EA90" s="319" t="s">
        <v>428</v>
      </c>
      <c r="EB90" s="319" t="s">
        <v>428</v>
      </c>
      <c r="EC90" s="319" t="s">
        <v>428</v>
      </c>
      <c r="ED90" s="319" t="s">
        <v>428</v>
      </c>
      <c r="EE90" s="319" t="s">
        <v>190</v>
      </c>
      <c r="EF90" s="319" t="s">
        <v>190</v>
      </c>
      <c r="EG90" s="319" t="s">
        <v>190</v>
      </c>
      <c r="EH90" s="319" t="s">
        <v>190</v>
      </c>
      <c r="EI90" s="319" t="s">
        <v>190</v>
      </c>
      <c r="EJ90" s="319" t="s">
        <v>190</v>
      </c>
      <c r="EK90" s="319" t="s">
        <v>190</v>
      </c>
      <c r="EL90" s="319" t="s">
        <v>190</v>
      </c>
      <c r="EM90" s="319" t="s">
        <v>190</v>
      </c>
      <c r="EN90" s="319" t="s">
        <v>190</v>
      </c>
      <c r="EO90" s="319" t="s">
        <v>190</v>
      </c>
      <c r="EP90" s="319" t="s">
        <v>190</v>
      </c>
      <c r="EQ90" s="319" t="s">
        <v>190</v>
      </c>
      <c r="ER90" s="319" t="s">
        <v>190</v>
      </c>
      <c r="ES90" s="319" t="s">
        <v>190</v>
      </c>
      <c r="ET90" s="319" t="s">
        <v>190</v>
      </c>
      <c r="EU90" s="319" t="s">
        <v>190</v>
      </c>
      <c r="EV90" s="319" t="s">
        <v>190</v>
      </c>
      <c r="EW90" s="319" t="s">
        <v>190</v>
      </c>
      <c r="EX90" s="319" t="s">
        <v>190</v>
      </c>
      <c r="EY90" s="319" t="s">
        <v>190</v>
      </c>
      <c r="EZ90" s="319" t="s">
        <v>190</v>
      </c>
      <c r="FA90" s="319" t="s">
        <v>190</v>
      </c>
      <c r="FB90" s="319" t="s">
        <v>190</v>
      </c>
      <c r="FC90" s="319" t="s">
        <v>190</v>
      </c>
      <c r="FD90" s="319" t="s">
        <v>190</v>
      </c>
      <c r="FE90" s="319" t="s">
        <v>190</v>
      </c>
      <c r="FF90" s="319" t="s">
        <v>190</v>
      </c>
      <c r="FG90" s="319" t="s">
        <v>190</v>
      </c>
      <c r="FH90" s="319" t="s">
        <v>190</v>
      </c>
      <c r="FI90" s="319" t="s">
        <v>190</v>
      </c>
      <c r="FJ90" s="319" t="s">
        <v>190</v>
      </c>
      <c r="FK90" s="319" t="s">
        <v>190</v>
      </c>
      <c r="FL90" s="319" t="s">
        <v>190</v>
      </c>
      <c r="FM90" s="319" t="s">
        <v>190</v>
      </c>
      <c r="FN90" s="319" t="s">
        <v>190</v>
      </c>
      <c r="FO90" s="319" t="s">
        <v>190</v>
      </c>
      <c r="FP90" s="319" t="s">
        <v>190</v>
      </c>
      <c r="FQ90" s="319" t="s">
        <v>190</v>
      </c>
      <c r="FR90" s="319" t="s">
        <v>190</v>
      </c>
      <c r="FS90" s="319" t="s">
        <v>428</v>
      </c>
      <c r="FT90" s="319" t="s">
        <v>190</v>
      </c>
      <c r="FU90" s="319" t="s">
        <v>190</v>
      </c>
      <c r="FV90" s="319" t="s">
        <v>190</v>
      </c>
      <c r="FW90" s="319" t="s">
        <v>190</v>
      </c>
      <c r="FX90" s="319" t="s">
        <v>190</v>
      </c>
      <c r="FY90" s="319" t="s">
        <v>190</v>
      </c>
      <c r="FZ90" s="319" t="s">
        <v>190</v>
      </c>
      <c r="GA90" s="319" t="s">
        <v>190</v>
      </c>
      <c r="GB90" s="319" t="s">
        <v>190</v>
      </c>
      <c r="GC90" s="319" t="s">
        <v>190</v>
      </c>
      <c r="GD90" s="319" t="s">
        <v>190</v>
      </c>
      <c r="GE90" s="319" t="s">
        <v>190</v>
      </c>
      <c r="GF90" s="319" t="s">
        <v>190</v>
      </c>
      <c r="GG90" s="319" t="s">
        <v>190</v>
      </c>
      <c r="GH90" s="319" t="s">
        <v>190</v>
      </c>
      <c r="GI90" s="319" t="s">
        <v>190</v>
      </c>
      <c r="GJ90" s="319" t="s">
        <v>190</v>
      </c>
      <c r="GK90" s="319" t="s">
        <v>190</v>
      </c>
      <c r="GL90" s="319" t="s">
        <v>190</v>
      </c>
      <c r="GM90" s="319" t="s">
        <v>190</v>
      </c>
      <c r="GN90" s="319" t="s">
        <v>190</v>
      </c>
      <c r="GO90" s="319" t="s">
        <v>190</v>
      </c>
      <c r="GP90" s="319" t="s">
        <v>190</v>
      </c>
      <c r="GQ90" s="319" t="s">
        <v>190</v>
      </c>
      <c r="GR90" s="319" t="s">
        <v>190</v>
      </c>
      <c r="GS90" s="319" t="s">
        <v>190</v>
      </c>
      <c r="GT90" s="319" t="s">
        <v>428</v>
      </c>
      <c r="GU90" s="319" t="s">
        <v>428</v>
      </c>
      <c r="GV90" s="319" t="s">
        <v>190</v>
      </c>
      <c r="GW90" s="319" t="s">
        <v>190</v>
      </c>
      <c r="GX90" s="319" t="s">
        <v>190</v>
      </c>
      <c r="GY90" s="319" t="s">
        <v>190</v>
      </c>
      <c r="GZ90" s="319" t="s">
        <v>190</v>
      </c>
      <c r="HA90" s="319" t="s">
        <v>190</v>
      </c>
      <c r="HB90" s="319" t="s">
        <v>428</v>
      </c>
      <c r="HC90" s="319" t="s">
        <v>190</v>
      </c>
      <c r="HD90" s="319" t="s">
        <v>190</v>
      </c>
      <c r="HE90" s="319" t="s">
        <v>190</v>
      </c>
      <c r="HF90" s="319" t="s">
        <v>190</v>
      </c>
      <c r="HG90" s="319" t="s">
        <v>190</v>
      </c>
      <c r="HH90" s="319" t="s">
        <v>190</v>
      </c>
      <c r="HI90" s="319" t="s">
        <v>190</v>
      </c>
      <c r="HJ90" s="319" t="s">
        <v>190</v>
      </c>
      <c r="HK90" s="319" t="s">
        <v>190</v>
      </c>
      <c r="HL90" s="319" t="s">
        <v>190</v>
      </c>
      <c r="HM90" s="319" t="s">
        <v>190</v>
      </c>
      <c r="HN90" s="319" t="s">
        <v>190</v>
      </c>
      <c r="HO90" s="319" t="s">
        <v>190</v>
      </c>
      <c r="HP90" s="319" t="s">
        <v>190</v>
      </c>
      <c r="HQ90" s="319" t="s">
        <v>190</v>
      </c>
      <c r="HR90" s="319" t="s">
        <v>190</v>
      </c>
      <c r="HS90" s="319" t="s">
        <v>190</v>
      </c>
      <c r="HT90" s="319" t="s">
        <v>190</v>
      </c>
      <c r="HU90" s="319" t="s">
        <v>190</v>
      </c>
      <c r="HV90" s="319" t="s">
        <v>190</v>
      </c>
      <c r="HW90" s="319" t="s">
        <v>190</v>
      </c>
      <c r="HX90" s="319" t="s">
        <v>190</v>
      </c>
      <c r="HY90" s="319" t="s">
        <v>190</v>
      </c>
      <c r="HZ90" s="319" t="s">
        <v>190</v>
      </c>
      <c r="IA90" s="319" t="s">
        <v>190</v>
      </c>
      <c r="IB90" s="319" t="s">
        <v>190</v>
      </c>
      <c r="IC90" s="319" t="s">
        <v>190</v>
      </c>
      <c r="ID90" s="319" t="s">
        <v>190</v>
      </c>
      <c r="IE90" s="319" t="s">
        <v>190</v>
      </c>
      <c r="IF90" s="319" t="s">
        <v>190</v>
      </c>
      <c r="IG90" s="319" t="s">
        <v>190</v>
      </c>
      <c r="IH90" s="319" t="s">
        <v>190</v>
      </c>
      <c r="II90" s="319" t="s">
        <v>190</v>
      </c>
      <c r="IJ90" s="319" t="s">
        <v>2869</v>
      </c>
      <c r="IK90" s="321">
        <v>41947</v>
      </c>
      <c r="IL90" s="321">
        <v>41949</v>
      </c>
      <c r="IM90" s="321">
        <v>41970</v>
      </c>
      <c r="IN90" s="319">
        <v>1</v>
      </c>
      <c r="IO90" s="319" t="s">
        <v>173</v>
      </c>
      <c r="IP90" s="319" t="s">
        <v>173</v>
      </c>
      <c r="IQ90" s="321" t="s">
        <v>173</v>
      </c>
      <c r="IR90" s="320" t="s">
        <v>173</v>
      </c>
      <c r="IS90" s="322" t="s">
        <v>173</v>
      </c>
      <c r="IT90" s="319" t="s">
        <v>173</v>
      </c>
    </row>
    <row r="91" spans="1:254" s="271" customFormat="1" x14ac:dyDescent="0.25">
      <c r="A91" s="318" t="str">
        <f>HYPERLINK("http://www.ofsted.gov.uk/inspection-reports/find-inspection-report/provider/ELS/105596 ","Ofsted School Webpage")</f>
        <v>Ofsted School Webpage</v>
      </c>
      <c r="B91" s="319">
        <v>105596</v>
      </c>
      <c r="C91" s="319">
        <v>3526037</v>
      </c>
      <c r="D91" s="319" t="s">
        <v>871</v>
      </c>
      <c r="E91" s="319" t="s">
        <v>167</v>
      </c>
      <c r="F91" s="319" t="s">
        <v>59</v>
      </c>
      <c r="G91" s="319" t="s">
        <v>59</v>
      </c>
      <c r="H91" s="319" t="s">
        <v>59</v>
      </c>
      <c r="I91" s="319" t="s">
        <v>59</v>
      </c>
      <c r="J91" s="319" t="s">
        <v>424</v>
      </c>
      <c r="K91" s="319" t="s">
        <v>431</v>
      </c>
      <c r="L91" s="319" t="s">
        <v>431</v>
      </c>
      <c r="M91" s="319" t="s">
        <v>660</v>
      </c>
      <c r="N91" s="319" t="s">
        <v>2870</v>
      </c>
      <c r="O91" s="319" t="s">
        <v>872</v>
      </c>
      <c r="P91" s="319">
        <v>13</v>
      </c>
      <c r="Q91" s="319" t="s">
        <v>2776</v>
      </c>
      <c r="R91" s="320">
        <v>10086143</v>
      </c>
      <c r="S91" s="321">
        <v>43494</v>
      </c>
      <c r="T91" s="321">
        <v>43496</v>
      </c>
      <c r="U91" s="321">
        <v>43529</v>
      </c>
      <c r="V91" s="319" t="s">
        <v>425</v>
      </c>
      <c r="W91" s="319" t="s">
        <v>2767</v>
      </c>
      <c r="X91" s="319">
        <v>2</v>
      </c>
      <c r="Y91" s="319" t="s">
        <v>173</v>
      </c>
      <c r="Z91" s="319" t="s">
        <v>173</v>
      </c>
      <c r="AA91" s="319" t="s">
        <v>173</v>
      </c>
      <c r="AB91" s="319">
        <v>2</v>
      </c>
      <c r="AC91" s="319" t="s">
        <v>169</v>
      </c>
      <c r="AD91" s="319" t="s">
        <v>173</v>
      </c>
      <c r="AE91" s="319" t="s">
        <v>173</v>
      </c>
      <c r="AF91" s="319" t="s">
        <v>427</v>
      </c>
      <c r="AG91" s="319" t="s">
        <v>171</v>
      </c>
      <c r="AH91" s="319" t="s">
        <v>190</v>
      </c>
      <c r="AI91" s="319" t="s">
        <v>190</v>
      </c>
      <c r="AJ91" s="319" t="s">
        <v>190</v>
      </c>
      <c r="AK91" s="319" t="s">
        <v>190</v>
      </c>
      <c r="AL91" s="319" t="s">
        <v>190</v>
      </c>
      <c r="AM91" s="319" t="s">
        <v>190</v>
      </c>
      <c r="AN91" s="319" t="s">
        <v>190</v>
      </c>
      <c r="AO91" s="319" t="s">
        <v>190</v>
      </c>
      <c r="AP91" s="319" t="s">
        <v>190</v>
      </c>
      <c r="AQ91" s="319" t="s">
        <v>190</v>
      </c>
      <c r="AR91" s="319" t="s">
        <v>190</v>
      </c>
      <c r="AS91" s="319" t="s">
        <v>190</v>
      </c>
      <c r="AT91" s="319" t="s">
        <v>190</v>
      </c>
      <c r="AU91" s="319" t="s">
        <v>190</v>
      </c>
      <c r="AV91" s="319" t="s">
        <v>190</v>
      </c>
      <c r="AW91" s="319" t="s">
        <v>190</v>
      </c>
      <c r="AX91" s="319" t="s">
        <v>190</v>
      </c>
      <c r="AY91" s="319" t="s">
        <v>190</v>
      </c>
      <c r="AZ91" s="319" t="s">
        <v>190</v>
      </c>
      <c r="BA91" s="319" t="s">
        <v>190</v>
      </c>
      <c r="BB91" s="319" t="s">
        <v>190</v>
      </c>
      <c r="BC91" s="319" t="s">
        <v>190</v>
      </c>
      <c r="BD91" s="319" t="s">
        <v>190</v>
      </c>
      <c r="BE91" s="319" t="s">
        <v>190</v>
      </c>
      <c r="BF91" s="319" t="s">
        <v>428</v>
      </c>
      <c r="BG91" s="319" t="s">
        <v>190</v>
      </c>
      <c r="BH91" s="319" t="s">
        <v>190</v>
      </c>
      <c r="BI91" s="319" t="s">
        <v>190</v>
      </c>
      <c r="BJ91" s="319" t="s">
        <v>190</v>
      </c>
      <c r="BK91" s="319" t="s">
        <v>190</v>
      </c>
      <c r="BL91" s="319" t="s">
        <v>190</v>
      </c>
      <c r="BM91" s="319" t="s">
        <v>190</v>
      </c>
      <c r="BN91" s="319" t="s">
        <v>190</v>
      </c>
      <c r="BO91" s="319" t="s">
        <v>190</v>
      </c>
      <c r="BP91" s="319" t="s">
        <v>190</v>
      </c>
      <c r="BQ91" s="319" t="s">
        <v>190</v>
      </c>
      <c r="BR91" s="319" t="s">
        <v>190</v>
      </c>
      <c r="BS91" s="319" t="s">
        <v>190</v>
      </c>
      <c r="BT91" s="319" t="s">
        <v>190</v>
      </c>
      <c r="BU91" s="319" t="s">
        <v>190</v>
      </c>
      <c r="BV91" s="319" t="s">
        <v>190</v>
      </c>
      <c r="BW91" s="319" t="s">
        <v>190</v>
      </c>
      <c r="BX91" s="319" t="s">
        <v>190</v>
      </c>
      <c r="BY91" s="319" t="s">
        <v>190</v>
      </c>
      <c r="BZ91" s="319" t="s">
        <v>190</v>
      </c>
      <c r="CA91" s="319" t="s">
        <v>190</v>
      </c>
      <c r="CB91" s="319" t="s">
        <v>190</v>
      </c>
      <c r="CC91" s="319" t="s">
        <v>190</v>
      </c>
      <c r="CD91" s="319" t="s">
        <v>190</v>
      </c>
      <c r="CE91" s="319" t="s">
        <v>190</v>
      </c>
      <c r="CF91" s="319" t="s">
        <v>190</v>
      </c>
      <c r="CG91" s="319" t="s">
        <v>190</v>
      </c>
      <c r="CH91" s="319" t="s">
        <v>190</v>
      </c>
      <c r="CI91" s="319" t="s">
        <v>190</v>
      </c>
      <c r="CJ91" s="319" t="s">
        <v>190</v>
      </c>
      <c r="CK91" s="319" t="s">
        <v>190</v>
      </c>
      <c r="CL91" s="319" t="s">
        <v>190</v>
      </c>
      <c r="CM91" s="319" t="s">
        <v>190</v>
      </c>
      <c r="CN91" s="319" t="s">
        <v>190</v>
      </c>
      <c r="CO91" s="319" t="s">
        <v>428</v>
      </c>
      <c r="CP91" s="319" t="s">
        <v>428</v>
      </c>
      <c r="CQ91" s="319" t="s">
        <v>190</v>
      </c>
      <c r="CR91" s="319" t="s">
        <v>190</v>
      </c>
      <c r="CS91" s="319" t="s">
        <v>190</v>
      </c>
      <c r="CT91" s="319" t="s">
        <v>190</v>
      </c>
      <c r="CU91" s="319" t="s">
        <v>190</v>
      </c>
      <c r="CV91" s="319" t="s">
        <v>190</v>
      </c>
      <c r="CW91" s="319" t="s">
        <v>190</v>
      </c>
      <c r="CX91" s="319" t="s">
        <v>190</v>
      </c>
      <c r="CY91" s="319" t="s">
        <v>190</v>
      </c>
      <c r="CZ91" s="319" t="s">
        <v>190</v>
      </c>
      <c r="DA91" s="319" t="s">
        <v>190</v>
      </c>
      <c r="DB91" s="319" t="s">
        <v>190</v>
      </c>
      <c r="DC91" s="319" t="s">
        <v>190</v>
      </c>
      <c r="DD91" s="319" t="s">
        <v>190</v>
      </c>
      <c r="DE91" s="319" t="s">
        <v>190</v>
      </c>
      <c r="DF91" s="319" t="s">
        <v>190</v>
      </c>
      <c r="DG91" s="319" t="s">
        <v>190</v>
      </c>
      <c r="DH91" s="319" t="s">
        <v>190</v>
      </c>
      <c r="DI91" s="319" t="s">
        <v>190</v>
      </c>
      <c r="DJ91" s="319" t="s">
        <v>190</v>
      </c>
      <c r="DK91" s="319" t="s">
        <v>190</v>
      </c>
      <c r="DL91" s="319" t="s">
        <v>190</v>
      </c>
      <c r="DM91" s="319" t="s">
        <v>190</v>
      </c>
      <c r="DN91" s="319" t="s">
        <v>428</v>
      </c>
      <c r="DO91" s="319" t="s">
        <v>428</v>
      </c>
      <c r="DP91" s="319" t="s">
        <v>428</v>
      </c>
      <c r="DQ91" s="319" t="s">
        <v>428</v>
      </c>
      <c r="DR91" s="319" t="s">
        <v>428</v>
      </c>
      <c r="DS91" s="319" t="s">
        <v>428</v>
      </c>
      <c r="DT91" s="319" t="s">
        <v>428</v>
      </c>
      <c r="DU91" s="319" t="s">
        <v>428</v>
      </c>
      <c r="DV91" s="319" t="s">
        <v>173</v>
      </c>
      <c r="DW91" s="319" t="s">
        <v>428</v>
      </c>
      <c r="DX91" s="319" t="s">
        <v>428</v>
      </c>
      <c r="DY91" s="319" t="s">
        <v>428</v>
      </c>
      <c r="DZ91" s="319" t="s">
        <v>428</v>
      </c>
      <c r="EA91" s="319" t="s">
        <v>428</v>
      </c>
      <c r="EB91" s="319" t="s">
        <v>428</v>
      </c>
      <c r="EC91" s="319" t="s">
        <v>428</v>
      </c>
      <c r="ED91" s="319" t="s">
        <v>428</v>
      </c>
      <c r="EE91" s="319" t="s">
        <v>190</v>
      </c>
      <c r="EF91" s="319" t="s">
        <v>190</v>
      </c>
      <c r="EG91" s="319" t="s">
        <v>190</v>
      </c>
      <c r="EH91" s="319" t="s">
        <v>190</v>
      </c>
      <c r="EI91" s="319" t="s">
        <v>190</v>
      </c>
      <c r="EJ91" s="319" t="s">
        <v>190</v>
      </c>
      <c r="EK91" s="319" t="s">
        <v>190</v>
      </c>
      <c r="EL91" s="319" t="s">
        <v>190</v>
      </c>
      <c r="EM91" s="319" t="s">
        <v>190</v>
      </c>
      <c r="EN91" s="319" t="s">
        <v>190</v>
      </c>
      <c r="EO91" s="319" t="s">
        <v>190</v>
      </c>
      <c r="EP91" s="319" t="s">
        <v>190</v>
      </c>
      <c r="EQ91" s="319" t="s">
        <v>190</v>
      </c>
      <c r="ER91" s="319" t="s">
        <v>190</v>
      </c>
      <c r="ES91" s="319" t="s">
        <v>190</v>
      </c>
      <c r="ET91" s="319" t="s">
        <v>190</v>
      </c>
      <c r="EU91" s="319" t="s">
        <v>190</v>
      </c>
      <c r="EV91" s="319" t="s">
        <v>190</v>
      </c>
      <c r="EW91" s="319" t="s">
        <v>190</v>
      </c>
      <c r="EX91" s="319" t="s">
        <v>190</v>
      </c>
      <c r="EY91" s="319" t="s">
        <v>190</v>
      </c>
      <c r="EZ91" s="319" t="s">
        <v>190</v>
      </c>
      <c r="FA91" s="319" t="s">
        <v>190</v>
      </c>
      <c r="FB91" s="319" t="s">
        <v>428</v>
      </c>
      <c r="FC91" s="319" t="s">
        <v>428</v>
      </c>
      <c r="FD91" s="319" t="s">
        <v>428</v>
      </c>
      <c r="FE91" s="319" t="s">
        <v>428</v>
      </c>
      <c r="FF91" s="319" t="s">
        <v>428</v>
      </c>
      <c r="FG91" s="319" t="s">
        <v>428</v>
      </c>
      <c r="FH91" s="319" t="s">
        <v>190</v>
      </c>
      <c r="FI91" s="319" t="s">
        <v>190</v>
      </c>
      <c r="FJ91" s="319" t="s">
        <v>190</v>
      </c>
      <c r="FK91" s="319" t="s">
        <v>190</v>
      </c>
      <c r="FL91" s="319" t="s">
        <v>190</v>
      </c>
      <c r="FM91" s="319" t="s">
        <v>190</v>
      </c>
      <c r="FN91" s="319" t="s">
        <v>190</v>
      </c>
      <c r="FO91" s="319" t="s">
        <v>190</v>
      </c>
      <c r="FP91" s="319" t="s">
        <v>190</v>
      </c>
      <c r="FQ91" s="319" t="s">
        <v>190</v>
      </c>
      <c r="FR91" s="319" t="s">
        <v>190</v>
      </c>
      <c r="FS91" s="319" t="s">
        <v>428</v>
      </c>
      <c r="FT91" s="319" t="s">
        <v>190</v>
      </c>
      <c r="FU91" s="319" t="s">
        <v>190</v>
      </c>
      <c r="FV91" s="319" t="s">
        <v>190</v>
      </c>
      <c r="FW91" s="319" t="s">
        <v>190</v>
      </c>
      <c r="FX91" s="319" t="s">
        <v>190</v>
      </c>
      <c r="FY91" s="319" t="s">
        <v>190</v>
      </c>
      <c r="FZ91" s="319" t="s">
        <v>190</v>
      </c>
      <c r="GA91" s="319" t="s">
        <v>190</v>
      </c>
      <c r="GB91" s="319" t="s">
        <v>190</v>
      </c>
      <c r="GC91" s="319" t="s">
        <v>190</v>
      </c>
      <c r="GD91" s="319" t="s">
        <v>190</v>
      </c>
      <c r="GE91" s="319" t="s">
        <v>190</v>
      </c>
      <c r="GF91" s="319" t="s">
        <v>190</v>
      </c>
      <c r="GG91" s="319" t="s">
        <v>190</v>
      </c>
      <c r="GH91" s="319" t="s">
        <v>190</v>
      </c>
      <c r="GI91" s="319" t="s">
        <v>190</v>
      </c>
      <c r="GJ91" s="319" t="s">
        <v>190</v>
      </c>
      <c r="GK91" s="319" t="s">
        <v>428</v>
      </c>
      <c r="GL91" s="319" t="s">
        <v>190</v>
      </c>
      <c r="GM91" s="319" t="s">
        <v>190</v>
      </c>
      <c r="GN91" s="319" t="s">
        <v>190</v>
      </c>
      <c r="GO91" s="319" t="s">
        <v>190</v>
      </c>
      <c r="GP91" s="319" t="s">
        <v>190</v>
      </c>
      <c r="GQ91" s="319" t="s">
        <v>190</v>
      </c>
      <c r="GR91" s="319" t="s">
        <v>190</v>
      </c>
      <c r="GS91" s="319" t="s">
        <v>190</v>
      </c>
      <c r="GT91" s="319" t="s">
        <v>428</v>
      </c>
      <c r="GU91" s="319" t="s">
        <v>428</v>
      </c>
      <c r="GV91" s="319" t="s">
        <v>190</v>
      </c>
      <c r="GW91" s="319" t="s">
        <v>190</v>
      </c>
      <c r="GX91" s="319" t="s">
        <v>190</v>
      </c>
      <c r="GY91" s="319" t="s">
        <v>190</v>
      </c>
      <c r="GZ91" s="319" t="s">
        <v>190</v>
      </c>
      <c r="HA91" s="319" t="s">
        <v>190</v>
      </c>
      <c r="HB91" s="319" t="s">
        <v>190</v>
      </c>
      <c r="HC91" s="319" t="s">
        <v>190</v>
      </c>
      <c r="HD91" s="319" t="s">
        <v>190</v>
      </c>
      <c r="HE91" s="319" t="s">
        <v>190</v>
      </c>
      <c r="HF91" s="319" t="s">
        <v>190</v>
      </c>
      <c r="HG91" s="319" t="s">
        <v>190</v>
      </c>
      <c r="HH91" s="319" t="s">
        <v>190</v>
      </c>
      <c r="HI91" s="319" t="s">
        <v>428</v>
      </c>
      <c r="HJ91" s="319" t="s">
        <v>190</v>
      </c>
      <c r="HK91" s="319" t="s">
        <v>190</v>
      </c>
      <c r="HL91" s="319" t="s">
        <v>428</v>
      </c>
      <c r="HM91" s="319" t="s">
        <v>428</v>
      </c>
      <c r="HN91" s="319" t="s">
        <v>428</v>
      </c>
      <c r="HO91" s="319" t="s">
        <v>428</v>
      </c>
      <c r="HP91" s="319" t="s">
        <v>190</v>
      </c>
      <c r="HQ91" s="319" t="s">
        <v>190</v>
      </c>
      <c r="HR91" s="319" t="s">
        <v>190</v>
      </c>
      <c r="HS91" s="319" t="s">
        <v>190</v>
      </c>
      <c r="HT91" s="319" t="s">
        <v>190</v>
      </c>
      <c r="HU91" s="319" t="s">
        <v>190</v>
      </c>
      <c r="HV91" s="319" t="s">
        <v>190</v>
      </c>
      <c r="HW91" s="319" t="s">
        <v>190</v>
      </c>
      <c r="HX91" s="319" t="s">
        <v>190</v>
      </c>
      <c r="HY91" s="319" t="s">
        <v>190</v>
      </c>
      <c r="HZ91" s="319" t="s">
        <v>190</v>
      </c>
      <c r="IA91" s="319" t="s">
        <v>190</v>
      </c>
      <c r="IB91" s="319" t="s">
        <v>190</v>
      </c>
      <c r="IC91" s="319" t="s">
        <v>190</v>
      </c>
      <c r="ID91" s="319" t="s">
        <v>190</v>
      </c>
      <c r="IE91" s="319" t="s">
        <v>190</v>
      </c>
      <c r="IF91" s="319" t="s">
        <v>190</v>
      </c>
      <c r="IG91" s="319" t="s">
        <v>190</v>
      </c>
      <c r="IH91" s="319" t="s">
        <v>190</v>
      </c>
      <c r="II91" s="319" t="s">
        <v>190</v>
      </c>
      <c r="IJ91" s="319">
        <v>10044719</v>
      </c>
      <c r="IK91" s="321">
        <v>43116</v>
      </c>
      <c r="IL91" s="321">
        <v>43118</v>
      </c>
      <c r="IM91" s="321">
        <v>43143</v>
      </c>
      <c r="IN91" s="319">
        <v>3</v>
      </c>
      <c r="IO91" s="319" t="s">
        <v>173</v>
      </c>
      <c r="IP91" s="319" t="s">
        <v>173</v>
      </c>
      <c r="IQ91" s="319" t="s">
        <v>173</v>
      </c>
      <c r="IR91" s="320" t="s">
        <v>173</v>
      </c>
      <c r="IS91" s="320" t="s">
        <v>173</v>
      </c>
      <c r="IT91" s="319" t="s">
        <v>173</v>
      </c>
    </row>
    <row r="92" spans="1:254" s="271" customFormat="1" x14ac:dyDescent="0.25">
      <c r="A92" s="318" t="str">
        <f>HYPERLINK("http://www.ofsted.gov.uk/inspection-reports/find-inspection-report/provider/ELS/105598 ","Ofsted School Webpage")</f>
        <v>Ofsted School Webpage</v>
      </c>
      <c r="B92" s="319">
        <v>105598</v>
      </c>
      <c r="C92" s="319">
        <v>3526041</v>
      </c>
      <c r="D92" s="319" t="s">
        <v>1341</v>
      </c>
      <c r="E92" s="319" t="s">
        <v>167</v>
      </c>
      <c r="F92" s="319" t="s">
        <v>71</v>
      </c>
      <c r="G92" s="319" t="s">
        <v>72</v>
      </c>
      <c r="H92" s="319" t="s">
        <v>71</v>
      </c>
      <c r="I92" s="319" t="s">
        <v>72</v>
      </c>
      <c r="J92" s="319" t="s">
        <v>424</v>
      </c>
      <c r="K92" s="319" t="s">
        <v>431</v>
      </c>
      <c r="L92" s="319" t="s">
        <v>431</v>
      </c>
      <c r="M92" s="319" t="s">
        <v>660</v>
      </c>
      <c r="N92" s="319" t="s">
        <v>2871</v>
      </c>
      <c r="O92" s="319" t="s">
        <v>1342</v>
      </c>
      <c r="P92" s="319">
        <v>146</v>
      </c>
      <c r="Q92" s="319" t="s">
        <v>2766</v>
      </c>
      <c r="R92" s="320">
        <v>10043368</v>
      </c>
      <c r="S92" s="321">
        <v>43137</v>
      </c>
      <c r="T92" s="321">
        <v>43139</v>
      </c>
      <c r="U92" s="321">
        <v>43172</v>
      </c>
      <c r="V92" s="319" t="s">
        <v>425</v>
      </c>
      <c r="W92" s="319" t="s">
        <v>2767</v>
      </c>
      <c r="X92" s="319">
        <v>2</v>
      </c>
      <c r="Y92" s="319" t="s">
        <v>173</v>
      </c>
      <c r="Z92" s="319" t="s">
        <v>173</v>
      </c>
      <c r="AA92" s="319" t="s">
        <v>173</v>
      </c>
      <c r="AB92" s="319">
        <v>2</v>
      </c>
      <c r="AC92" s="319" t="s">
        <v>169</v>
      </c>
      <c r="AD92" s="319">
        <v>2</v>
      </c>
      <c r="AE92" s="319" t="s">
        <v>173</v>
      </c>
      <c r="AF92" s="319" t="s">
        <v>427</v>
      </c>
      <c r="AG92" s="319" t="s">
        <v>171</v>
      </c>
      <c r="AH92" s="319" t="s">
        <v>190</v>
      </c>
      <c r="AI92" s="319" t="s">
        <v>190</v>
      </c>
      <c r="AJ92" s="319" t="s">
        <v>190</v>
      </c>
      <c r="AK92" s="319" t="s">
        <v>190</v>
      </c>
      <c r="AL92" s="319" t="s">
        <v>190</v>
      </c>
      <c r="AM92" s="319" t="s">
        <v>190</v>
      </c>
      <c r="AN92" s="319" t="s">
        <v>190</v>
      </c>
      <c r="AO92" s="319" t="s">
        <v>190</v>
      </c>
      <c r="AP92" s="319" t="s">
        <v>190</v>
      </c>
      <c r="AQ92" s="319" t="s">
        <v>190</v>
      </c>
      <c r="AR92" s="319" t="s">
        <v>190</v>
      </c>
      <c r="AS92" s="319" t="s">
        <v>190</v>
      </c>
      <c r="AT92" s="319" t="s">
        <v>190</v>
      </c>
      <c r="AU92" s="319" t="s">
        <v>190</v>
      </c>
      <c r="AV92" s="319" t="s">
        <v>190</v>
      </c>
      <c r="AW92" s="319" t="s">
        <v>190</v>
      </c>
      <c r="AX92" s="319" t="s">
        <v>428</v>
      </c>
      <c r="AY92" s="319" t="s">
        <v>190</v>
      </c>
      <c r="AZ92" s="319" t="s">
        <v>190</v>
      </c>
      <c r="BA92" s="319" t="s">
        <v>190</v>
      </c>
      <c r="BB92" s="319" t="s">
        <v>428</v>
      </c>
      <c r="BC92" s="319" t="s">
        <v>428</v>
      </c>
      <c r="BD92" s="319" t="s">
        <v>428</v>
      </c>
      <c r="BE92" s="319" t="s">
        <v>428</v>
      </c>
      <c r="BF92" s="319" t="s">
        <v>190</v>
      </c>
      <c r="BG92" s="319" t="s">
        <v>428</v>
      </c>
      <c r="BH92" s="319" t="s">
        <v>190</v>
      </c>
      <c r="BI92" s="319" t="s">
        <v>190</v>
      </c>
      <c r="BJ92" s="319" t="s">
        <v>190</v>
      </c>
      <c r="BK92" s="319" t="s">
        <v>190</v>
      </c>
      <c r="BL92" s="319" t="s">
        <v>190</v>
      </c>
      <c r="BM92" s="319" t="s">
        <v>190</v>
      </c>
      <c r="BN92" s="319" t="s">
        <v>190</v>
      </c>
      <c r="BO92" s="319" t="s">
        <v>190</v>
      </c>
      <c r="BP92" s="319" t="s">
        <v>190</v>
      </c>
      <c r="BQ92" s="319" t="s">
        <v>190</v>
      </c>
      <c r="BR92" s="319" t="s">
        <v>190</v>
      </c>
      <c r="BS92" s="319" t="s">
        <v>190</v>
      </c>
      <c r="BT92" s="319" t="s">
        <v>190</v>
      </c>
      <c r="BU92" s="319" t="s">
        <v>190</v>
      </c>
      <c r="BV92" s="319" t="s">
        <v>190</v>
      </c>
      <c r="BW92" s="319" t="s">
        <v>190</v>
      </c>
      <c r="BX92" s="319" t="s">
        <v>190</v>
      </c>
      <c r="BY92" s="319" t="s">
        <v>190</v>
      </c>
      <c r="BZ92" s="319" t="s">
        <v>190</v>
      </c>
      <c r="CA92" s="319" t="s">
        <v>190</v>
      </c>
      <c r="CB92" s="319" t="s">
        <v>190</v>
      </c>
      <c r="CC92" s="319" t="s">
        <v>190</v>
      </c>
      <c r="CD92" s="319" t="s">
        <v>190</v>
      </c>
      <c r="CE92" s="319" t="s">
        <v>190</v>
      </c>
      <c r="CF92" s="319" t="s">
        <v>190</v>
      </c>
      <c r="CG92" s="319" t="s">
        <v>190</v>
      </c>
      <c r="CH92" s="319" t="s">
        <v>190</v>
      </c>
      <c r="CI92" s="319" t="s">
        <v>190</v>
      </c>
      <c r="CJ92" s="319" t="s">
        <v>190</v>
      </c>
      <c r="CK92" s="319" t="s">
        <v>190</v>
      </c>
      <c r="CL92" s="319" t="s">
        <v>190</v>
      </c>
      <c r="CM92" s="319" t="s">
        <v>190</v>
      </c>
      <c r="CN92" s="319" t="s">
        <v>190</v>
      </c>
      <c r="CO92" s="319" t="s">
        <v>428</v>
      </c>
      <c r="CP92" s="319" t="s">
        <v>428</v>
      </c>
      <c r="CQ92" s="319" t="s">
        <v>190</v>
      </c>
      <c r="CR92" s="319" t="s">
        <v>190</v>
      </c>
      <c r="CS92" s="319" t="s">
        <v>190</v>
      </c>
      <c r="CT92" s="319" t="s">
        <v>190</v>
      </c>
      <c r="CU92" s="319" t="s">
        <v>190</v>
      </c>
      <c r="CV92" s="319" t="s">
        <v>190</v>
      </c>
      <c r="CW92" s="319" t="s">
        <v>190</v>
      </c>
      <c r="CX92" s="319" t="s">
        <v>190</v>
      </c>
      <c r="CY92" s="319" t="s">
        <v>190</v>
      </c>
      <c r="CZ92" s="319" t="s">
        <v>190</v>
      </c>
      <c r="DA92" s="319" t="s">
        <v>190</v>
      </c>
      <c r="DB92" s="319" t="s">
        <v>190</v>
      </c>
      <c r="DC92" s="319" t="s">
        <v>190</v>
      </c>
      <c r="DD92" s="319" t="s">
        <v>190</v>
      </c>
      <c r="DE92" s="319" t="s">
        <v>190</v>
      </c>
      <c r="DF92" s="319" t="s">
        <v>190</v>
      </c>
      <c r="DG92" s="319" t="s">
        <v>190</v>
      </c>
      <c r="DH92" s="319" t="s">
        <v>190</v>
      </c>
      <c r="DI92" s="319" t="s">
        <v>190</v>
      </c>
      <c r="DJ92" s="319" t="s">
        <v>190</v>
      </c>
      <c r="DK92" s="319" t="s">
        <v>190</v>
      </c>
      <c r="DL92" s="319" t="s">
        <v>190</v>
      </c>
      <c r="DM92" s="319" t="s">
        <v>190</v>
      </c>
      <c r="DN92" s="319" t="s">
        <v>428</v>
      </c>
      <c r="DO92" s="319" t="s">
        <v>190</v>
      </c>
      <c r="DP92" s="319" t="s">
        <v>190</v>
      </c>
      <c r="DQ92" s="319" t="s">
        <v>190</v>
      </c>
      <c r="DR92" s="319" t="s">
        <v>190</v>
      </c>
      <c r="DS92" s="319" t="s">
        <v>190</v>
      </c>
      <c r="DT92" s="319" t="s">
        <v>190</v>
      </c>
      <c r="DU92" s="319" t="s">
        <v>190</v>
      </c>
      <c r="DV92" s="319" t="s">
        <v>173</v>
      </c>
      <c r="DW92" s="319" t="s">
        <v>190</v>
      </c>
      <c r="DX92" s="319" t="s">
        <v>190</v>
      </c>
      <c r="DY92" s="319" t="s">
        <v>190</v>
      </c>
      <c r="DZ92" s="319" t="s">
        <v>190</v>
      </c>
      <c r="EA92" s="319" t="s">
        <v>190</v>
      </c>
      <c r="EB92" s="319" t="s">
        <v>190</v>
      </c>
      <c r="EC92" s="319" t="s">
        <v>428</v>
      </c>
      <c r="ED92" s="319" t="s">
        <v>190</v>
      </c>
      <c r="EE92" s="319" t="s">
        <v>190</v>
      </c>
      <c r="EF92" s="319" t="s">
        <v>190</v>
      </c>
      <c r="EG92" s="319" t="s">
        <v>190</v>
      </c>
      <c r="EH92" s="319" t="s">
        <v>190</v>
      </c>
      <c r="EI92" s="319" t="s">
        <v>190</v>
      </c>
      <c r="EJ92" s="319" t="s">
        <v>190</v>
      </c>
      <c r="EK92" s="319" t="s">
        <v>190</v>
      </c>
      <c r="EL92" s="319" t="s">
        <v>190</v>
      </c>
      <c r="EM92" s="319" t="s">
        <v>190</v>
      </c>
      <c r="EN92" s="319" t="s">
        <v>190</v>
      </c>
      <c r="EO92" s="319" t="s">
        <v>190</v>
      </c>
      <c r="EP92" s="319" t="s">
        <v>190</v>
      </c>
      <c r="EQ92" s="319" t="s">
        <v>190</v>
      </c>
      <c r="ER92" s="319" t="s">
        <v>190</v>
      </c>
      <c r="ES92" s="319" t="s">
        <v>190</v>
      </c>
      <c r="ET92" s="319" t="s">
        <v>190</v>
      </c>
      <c r="EU92" s="319" t="s">
        <v>190</v>
      </c>
      <c r="EV92" s="319" t="s">
        <v>190</v>
      </c>
      <c r="EW92" s="319" t="s">
        <v>190</v>
      </c>
      <c r="EX92" s="319" t="s">
        <v>190</v>
      </c>
      <c r="EY92" s="319" t="s">
        <v>190</v>
      </c>
      <c r="EZ92" s="319" t="s">
        <v>190</v>
      </c>
      <c r="FA92" s="319" t="s">
        <v>190</v>
      </c>
      <c r="FB92" s="319" t="s">
        <v>190</v>
      </c>
      <c r="FC92" s="319" t="s">
        <v>190</v>
      </c>
      <c r="FD92" s="319" t="s">
        <v>190</v>
      </c>
      <c r="FE92" s="319" t="s">
        <v>190</v>
      </c>
      <c r="FF92" s="319" t="s">
        <v>190</v>
      </c>
      <c r="FG92" s="319" t="s">
        <v>190</v>
      </c>
      <c r="FH92" s="319" t="s">
        <v>190</v>
      </c>
      <c r="FI92" s="319" t="s">
        <v>190</v>
      </c>
      <c r="FJ92" s="319" t="s">
        <v>190</v>
      </c>
      <c r="FK92" s="319" t="s">
        <v>190</v>
      </c>
      <c r="FL92" s="319" t="s">
        <v>190</v>
      </c>
      <c r="FM92" s="319" t="s">
        <v>190</v>
      </c>
      <c r="FN92" s="319" t="s">
        <v>190</v>
      </c>
      <c r="FO92" s="319" t="s">
        <v>428</v>
      </c>
      <c r="FP92" s="319" t="s">
        <v>190</v>
      </c>
      <c r="FQ92" s="319" t="s">
        <v>190</v>
      </c>
      <c r="FR92" s="319" t="s">
        <v>190</v>
      </c>
      <c r="FS92" s="319" t="s">
        <v>428</v>
      </c>
      <c r="FT92" s="319" t="s">
        <v>190</v>
      </c>
      <c r="FU92" s="319" t="s">
        <v>190</v>
      </c>
      <c r="FV92" s="319" t="s">
        <v>190</v>
      </c>
      <c r="FW92" s="319" t="s">
        <v>190</v>
      </c>
      <c r="FX92" s="319" t="s">
        <v>190</v>
      </c>
      <c r="FY92" s="319" t="s">
        <v>190</v>
      </c>
      <c r="FZ92" s="319" t="s">
        <v>190</v>
      </c>
      <c r="GA92" s="319" t="s">
        <v>190</v>
      </c>
      <c r="GB92" s="319" t="s">
        <v>190</v>
      </c>
      <c r="GC92" s="319" t="s">
        <v>190</v>
      </c>
      <c r="GD92" s="319" t="s">
        <v>190</v>
      </c>
      <c r="GE92" s="319" t="s">
        <v>190</v>
      </c>
      <c r="GF92" s="319" t="s">
        <v>190</v>
      </c>
      <c r="GG92" s="319" t="s">
        <v>190</v>
      </c>
      <c r="GH92" s="319" t="s">
        <v>190</v>
      </c>
      <c r="GI92" s="319" t="s">
        <v>190</v>
      </c>
      <c r="GJ92" s="319" t="s">
        <v>190</v>
      </c>
      <c r="GK92" s="319" t="s">
        <v>428</v>
      </c>
      <c r="GL92" s="319" t="s">
        <v>190</v>
      </c>
      <c r="GM92" s="319" t="s">
        <v>190</v>
      </c>
      <c r="GN92" s="319" t="s">
        <v>190</v>
      </c>
      <c r="GO92" s="319" t="s">
        <v>190</v>
      </c>
      <c r="GP92" s="319" t="s">
        <v>190</v>
      </c>
      <c r="GQ92" s="319" t="s">
        <v>428</v>
      </c>
      <c r="GR92" s="319" t="s">
        <v>190</v>
      </c>
      <c r="GS92" s="319" t="s">
        <v>190</v>
      </c>
      <c r="GT92" s="319" t="s">
        <v>428</v>
      </c>
      <c r="GU92" s="319" t="s">
        <v>428</v>
      </c>
      <c r="GV92" s="319" t="s">
        <v>190</v>
      </c>
      <c r="GW92" s="319" t="s">
        <v>190</v>
      </c>
      <c r="GX92" s="319" t="s">
        <v>190</v>
      </c>
      <c r="GY92" s="319" t="s">
        <v>190</v>
      </c>
      <c r="GZ92" s="319" t="s">
        <v>428</v>
      </c>
      <c r="HA92" s="319" t="s">
        <v>190</v>
      </c>
      <c r="HB92" s="319" t="s">
        <v>190</v>
      </c>
      <c r="HC92" s="319" t="s">
        <v>190</v>
      </c>
      <c r="HD92" s="319" t="s">
        <v>190</v>
      </c>
      <c r="HE92" s="319" t="s">
        <v>190</v>
      </c>
      <c r="HF92" s="319" t="s">
        <v>190</v>
      </c>
      <c r="HG92" s="319" t="s">
        <v>190</v>
      </c>
      <c r="HH92" s="319" t="s">
        <v>190</v>
      </c>
      <c r="HI92" s="319" t="s">
        <v>190</v>
      </c>
      <c r="HJ92" s="319" t="s">
        <v>190</v>
      </c>
      <c r="HK92" s="319" t="s">
        <v>190</v>
      </c>
      <c r="HL92" s="319" t="s">
        <v>190</v>
      </c>
      <c r="HM92" s="319" t="s">
        <v>190</v>
      </c>
      <c r="HN92" s="319" t="s">
        <v>190</v>
      </c>
      <c r="HO92" s="319" t="s">
        <v>190</v>
      </c>
      <c r="HP92" s="319" t="s">
        <v>190</v>
      </c>
      <c r="HQ92" s="319" t="s">
        <v>190</v>
      </c>
      <c r="HR92" s="319" t="s">
        <v>190</v>
      </c>
      <c r="HS92" s="319" t="s">
        <v>190</v>
      </c>
      <c r="HT92" s="319" t="s">
        <v>190</v>
      </c>
      <c r="HU92" s="319" t="s">
        <v>190</v>
      </c>
      <c r="HV92" s="319" t="s">
        <v>190</v>
      </c>
      <c r="HW92" s="319" t="s">
        <v>190</v>
      </c>
      <c r="HX92" s="319" t="s">
        <v>190</v>
      </c>
      <c r="HY92" s="319" t="s">
        <v>190</v>
      </c>
      <c r="HZ92" s="319" t="s">
        <v>190</v>
      </c>
      <c r="IA92" s="319" t="s">
        <v>190</v>
      </c>
      <c r="IB92" s="319" t="s">
        <v>190</v>
      </c>
      <c r="IC92" s="319" t="s">
        <v>190</v>
      </c>
      <c r="ID92" s="319" t="s">
        <v>190</v>
      </c>
      <c r="IE92" s="319" t="s">
        <v>190</v>
      </c>
      <c r="IF92" s="319" t="s">
        <v>190</v>
      </c>
      <c r="IG92" s="319" t="s">
        <v>190</v>
      </c>
      <c r="IH92" s="319" t="s">
        <v>190</v>
      </c>
      <c r="II92" s="319" t="s">
        <v>190</v>
      </c>
      <c r="IJ92" s="319">
        <v>10007691</v>
      </c>
      <c r="IK92" s="321">
        <v>42290</v>
      </c>
      <c r="IL92" s="321">
        <v>42292</v>
      </c>
      <c r="IM92" s="321">
        <v>42328</v>
      </c>
      <c r="IN92" s="319">
        <v>2</v>
      </c>
      <c r="IO92" s="319" t="s">
        <v>173</v>
      </c>
      <c r="IP92" s="319" t="s">
        <v>173</v>
      </c>
      <c r="IQ92" s="321" t="s">
        <v>173</v>
      </c>
      <c r="IR92" s="320" t="s">
        <v>173</v>
      </c>
      <c r="IS92" s="322" t="s">
        <v>173</v>
      </c>
      <c r="IT92" s="319" t="s">
        <v>173</v>
      </c>
    </row>
    <row r="93" spans="1:254" s="271" customFormat="1" x14ac:dyDescent="0.25">
      <c r="A93" s="318" t="str">
        <f>HYPERLINK("http://www.ofsted.gov.uk/inspection-reports/find-inspection-report/provider/ELS/105747 ","Ofsted School Webpage")</f>
        <v>Ofsted School Webpage</v>
      </c>
      <c r="B93" s="319">
        <v>105747</v>
      </c>
      <c r="C93" s="319">
        <v>3536014</v>
      </c>
      <c r="D93" s="319" t="s">
        <v>1343</v>
      </c>
      <c r="E93" s="319" t="s">
        <v>167</v>
      </c>
      <c r="F93" s="319" t="s">
        <v>81</v>
      </c>
      <c r="G93" s="319" t="s">
        <v>81</v>
      </c>
      <c r="H93" s="319" t="s">
        <v>81</v>
      </c>
      <c r="I93" s="319" t="s">
        <v>78</v>
      </c>
      <c r="J93" s="319" t="s">
        <v>424</v>
      </c>
      <c r="K93" s="319" t="s">
        <v>431</v>
      </c>
      <c r="L93" s="319" t="s">
        <v>431</v>
      </c>
      <c r="M93" s="319" t="s">
        <v>784</v>
      </c>
      <c r="N93" s="319" t="s">
        <v>2872</v>
      </c>
      <c r="O93" s="319" t="s">
        <v>1344</v>
      </c>
      <c r="P93" s="319">
        <v>45</v>
      </c>
      <c r="Q93" s="319" t="s">
        <v>2766</v>
      </c>
      <c r="R93" s="320">
        <v>10034020</v>
      </c>
      <c r="S93" s="321">
        <v>43004</v>
      </c>
      <c r="T93" s="321">
        <v>43006</v>
      </c>
      <c r="U93" s="321">
        <v>43025</v>
      </c>
      <c r="V93" s="319" t="s">
        <v>425</v>
      </c>
      <c r="W93" s="319" t="s">
        <v>2767</v>
      </c>
      <c r="X93" s="319">
        <v>2</v>
      </c>
      <c r="Y93" s="319" t="s">
        <v>173</v>
      </c>
      <c r="Z93" s="319" t="s">
        <v>173</v>
      </c>
      <c r="AA93" s="319" t="s">
        <v>173</v>
      </c>
      <c r="AB93" s="319">
        <v>2</v>
      </c>
      <c r="AC93" s="319" t="s">
        <v>169</v>
      </c>
      <c r="AD93" s="319">
        <v>3</v>
      </c>
      <c r="AE93" s="319" t="s">
        <v>173</v>
      </c>
      <c r="AF93" s="319" t="s">
        <v>427</v>
      </c>
      <c r="AG93" s="319" t="s">
        <v>171</v>
      </c>
      <c r="AH93" s="319" t="s">
        <v>190</v>
      </c>
      <c r="AI93" s="319" t="s">
        <v>190</v>
      </c>
      <c r="AJ93" s="319" t="s">
        <v>190</v>
      </c>
      <c r="AK93" s="319" t="s">
        <v>190</v>
      </c>
      <c r="AL93" s="319" t="s">
        <v>190</v>
      </c>
      <c r="AM93" s="319" t="s">
        <v>190</v>
      </c>
      <c r="AN93" s="319" t="s">
        <v>190</v>
      </c>
      <c r="AO93" s="319" t="s">
        <v>190</v>
      </c>
      <c r="AP93" s="319" t="s">
        <v>190</v>
      </c>
      <c r="AQ93" s="319" t="s">
        <v>190</v>
      </c>
      <c r="AR93" s="319" t="s">
        <v>190</v>
      </c>
      <c r="AS93" s="319" t="s">
        <v>190</v>
      </c>
      <c r="AT93" s="319" t="s">
        <v>190</v>
      </c>
      <c r="AU93" s="319" t="s">
        <v>190</v>
      </c>
      <c r="AV93" s="319" t="s">
        <v>190</v>
      </c>
      <c r="AW93" s="319" t="s">
        <v>190</v>
      </c>
      <c r="AX93" s="319" t="s">
        <v>428</v>
      </c>
      <c r="AY93" s="319" t="s">
        <v>190</v>
      </c>
      <c r="AZ93" s="319" t="s">
        <v>190</v>
      </c>
      <c r="BA93" s="319" t="s">
        <v>190</v>
      </c>
      <c r="BB93" s="319" t="s">
        <v>428</v>
      </c>
      <c r="BC93" s="319" t="s">
        <v>428</v>
      </c>
      <c r="BD93" s="319" t="s">
        <v>428</v>
      </c>
      <c r="BE93" s="319" t="s">
        <v>428</v>
      </c>
      <c r="BF93" s="319" t="s">
        <v>190</v>
      </c>
      <c r="BG93" s="319" t="s">
        <v>428</v>
      </c>
      <c r="BH93" s="319" t="s">
        <v>190</v>
      </c>
      <c r="BI93" s="319" t="s">
        <v>190</v>
      </c>
      <c r="BJ93" s="319" t="s">
        <v>190</v>
      </c>
      <c r="BK93" s="319" t="s">
        <v>190</v>
      </c>
      <c r="BL93" s="319" t="s">
        <v>190</v>
      </c>
      <c r="BM93" s="319" t="s">
        <v>190</v>
      </c>
      <c r="BN93" s="319" t="s">
        <v>190</v>
      </c>
      <c r="BO93" s="319" t="s">
        <v>190</v>
      </c>
      <c r="BP93" s="319" t="s">
        <v>190</v>
      </c>
      <c r="BQ93" s="319" t="s">
        <v>190</v>
      </c>
      <c r="BR93" s="319" t="s">
        <v>190</v>
      </c>
      <c r="BS93" s="319" t="s">
        <v>190</v>
      </c>
      <c r="BT93" s="319" t="s">
        <v>190</v>
      </c>
      <c r="BU93" s="319" t="s">
        <v>190</v>
      </c>
      <c r="BV93" s="319" t="s">
        <v>190</v>
      </c>
      <c r="BW93" s="319" t="s">
        <v>190</v>
      </c>
      <c r="BX93" s="319" t="s">
        <v>190</v>
      </c>
      <c r="BY93" s="319" t="s">
        <v>190</v>
      </c>
      <c r="BZ93" s="319" t="s">
        <v>190</v>
      </c>
      <c r="CA93" s="319" t="s">
        <v>190</v>
      </c>
      <c r="CB93" s="319" t="s">
        <v>190</v>
      </c>
      <c r="CC93" s="319" t="s">
        <v>190</v>
      </c>
      <c r="CD93" s="319" t="s">
        <v>190</v>
      </c>
      <c r="CE93" s="319" t="s">
        <v>190</v>
      </c>
      <c r="CF93" s="319" t="s">
        <v>190</v>
      </c>
      <c r="CG93" s="319" t="s">
        <v>190</v>
      </c>
      <c r="CH93" s="319" t="s">
        <v>190</v>
      </c>
      <c r="CI93" s="319" t="s">
        <v>190</v>
      </c>
      <c r="CJ93" s="319" t="s">
        <v>190</v>
      </c>
      <c r="CK93" s="319" t="s">
        <v>190</v>
      </c>
      <c r="CL93" s="319" t="s">
        <v>190</v>
      </c>
      <c r="CM93" s="319" t="s">
        <v>190</v>
      </c>
      <c r="CN93" s="319" t="s">
        <v>428</v>
      </c>
      <c r="CO93" s="319" t="s">
        <v>428</v>
      </c>
      <c r="CP93" s="319" t="s">
        <v>428</v>
      </c>
      <c r="CQ93" s="319" t="s">
        <v>190</v>
      </c>
      <c r="CR93" s="319" t="s">
        <v>190</v>
      </c>
      <c r="CS93" s="319" t="s">
        <v>190</v>
      </c>
      <c r="CT93" s="319" t="s">
        <v>190</v>
      </c>
      <c r="CU93" s="319" t="s">
        <v>190</v>
      </c>
      <c r="CV93" s="319" t="s">
        <v>190</v>
      </c>
      <c r="CW93" s="319" t="s">
        <v>190</v>
      </c>
      <c r="CX93" s="319" t="s">
        <v>190</v>
      </c>
      <c r="CY93" s="319" t="s">
        <v>190</v>
      </c>
      <c r="CZ93" s="319" t="s">
        <v>190</v>
      </c>
      <c r="DA93" s="319" t="s">
        <v>190</v>
      </c>
      <c r="DB93" s="319" t="s">
        <v>190</v>
      </c>
      <c r="DC93" s="319" t="s">
        <v>190</v>
      </c>
      <c r="DD93" s="319" t="s">
        <v>190</v>
      </c>
      <c r="DE93" s="319" t="s">
        <v>190</v>
      </c>
      <c r="DF93" s="319" t="s">
        <v>190</v>
      </c>
      <c r="DG93" s="319" t="s">
        <v>190</v>
      </c>
      <c r="DH93" s="319" t="s">
        <v>190</v>
      </c>
      <c r="DI93" s="319" t="s">
        <v>190</v>
      </c>
      <c r="DJ93" s="319" t="s">
        <v>190</v>
      </c>
      <c r="DK93" s="319" t="s">
        <v>190</v>
      </c>
      <c r="DL93" s="319" t="s">
        <v>190</v>
      </c>
      <c r="DM93" s="319" t="s">
        <v>190</v>
      </c>
      <c r="DN93" s="319" t="s">
        <v>428</v>
      </c>
      <c r="DO93" s="319" t="s">
        <v>190</v>
      </c>
      <c r="DP93" s="319" t="s">
        <v>428</v>
      </c>
      <c r="DQ93" s="319" t="s">
        <v>428</v>
      </c>
      <c r="DR93" s="319" t="s">
        <v>428</v>
      </c>
      <c r="DS93" s="319" t="s">
        <v>428</v>
      </c>
      <c r="DT93" s="319" t="s">
        <v>428</v>
      </c>
      <c r="DU93" s="319" t="s">
        <v>428</v>
      </c>
      <c r="DV93" s="319" t="s">
        <v>173</v>
      </c>
      <c r="DW93" s="319" t="s">
        <v>428</v>
      </c>
      <c r="DX93" s="319" t="s">
        <v>428</v>
      </c>
      <c r="DY93" s="319" t="s">
        <v>428</v>
      </c>
      <c r="DZ93" s="319" t="s">
        <v>428</v>
      </c>
      <c r="EA93" s="319" t="s">
        <v>428</v>
      </c>
      <c r="EB93" s="319" t="s">
        <v>428</v>
      </c>
      <c r="EC93" s="319" t="s">
        <v>428</v>
      </c>
      <c r="ED93" s="319" t="s">
        <v>428</v>
      </c>
      <c r="EE93" s="319" t="s">
        <v>190</v>
      </c>
      <c r="EF93" s="319" t="s">
        <v>190</v>
      </c>
      <c r="EG93" s="319" t="s">
        <v>190</v>
      </c>
      <c r="EH93" s="319" t="s">
        <v>190</v>
      </c>
      <c r="EI93" s="319" t="s">
        <v>190</v>
      </c>
      <c r="EJ93" s="319" t="s">
        <v>190</v>
      </c>
      <c r="EK93" s="319" t="s">
        <v>190</v>
      </c>
      <c r="EL93" s="319" t="s">
        <v>190</v>
      </c>
      <c r="EM93" s="319" t="s">
        <v>190</v>
      </c>
      <c r="EN93" s="319" t="s">
        <v>190</v>
      </c>
      <c r="EO93" s="319" t="s">
        <v>190</v>
      </c>
      <c r="EP93" s="319" t="s">
        <v>190</v>
      </c>
      <c r="EQ93" s="319" t="s">
        <v>190</v>
      </c>
      <c r="ER93" s="319" t="s">
        <v>190</v>
      </c>
      <c r="ES93" s="319" t="s">
        <v>190</v>
      </c>
      <c r="ET93" s="319" t="s">
        <v>190</v>
      </c>
      <c r="EU93" s="319" t="s">
        <v>190</v>
      </c>
      <c r="EV93" s="319" t="s">
        <v>190</v>
      </c>
      <c r="EW93" s="319" t="s">
        <v>190</v>
      </c>
      <c r="EX93" s="319" t="s">
        <v>190</v>
      </c>
      <c r="EY93" s="319" t="s">
        <v>190</v>
      </c>
      <c r="EZ93" s="319" t="s">
        <v>190</v>
      </c>
      <c r="FA93" s="319" t="s">
        <v>190</v>
      </c>
      <c r="FB93" s="319" t="s">
        <v>428</v>
      </c>
      <c r="FC93" s="319" t="s">
        <v>428</v>
      </c>
      <c r="FD93" s="319" t="s">
        <v>428</v>
      </c>
      <c r="FE93" s="319" t="s">
        <v>428</v>
      </c>
      <c r="FF93" s="319" t="s">
        <v>428</v>
      </c>
      <c r="FG93" s="319" t="s">
        <v>428</v>
      </c>
      <c r="FH93" s="319" t="s">
        <v>190</v>
      </c>
      <c r="FI93" s="319" t="s">
        <v>190</v>
      </c>
      <c r="FJ93" s="319" t="s">
        <v>190</v>
      </c>
      <c r="FK93" s="319" t="s">
        <v>190</v>
      </c>
      <c r="FL93" s="319" t="s">
        <v>190</v>
      </c>
      <c r="FM93" s="319" t="s">
        <v>190</v>
      </c>
      <c r="FN93" s="319" t="s">
        <v>190</v>
      </c>
      <c r="FO93" s="319" t="s">
        <v>428</v>
      </c>
      <c r="FP93" s="319" t="s">
        <v>190</v>
      </c>
      <c r="FQ93" s="319" t="s">
        <v>190</v>
      </c>
      <c r="FR93" s="319" t="s">
        <v>190</v>
      </c>
      <c r="FS93" s="319" t="s">
        <v>428</v>
      </c>
      <c r="FT93" s="319" t="s">
        <v>190</v>
      </c>
      <c r="FU93" s="319" t="s">
        <v>190</v>
      </c>
      <c r="FV93" s="319" t="s">
        <v>190</v>
      </c>
      <c r="FW93" s="319" t="s">
        <v>190</v>
      </c>
      <c r="FX93" s="319" t="s">
        <v>190</v>
      </c>
      <c r="FY93" s="319" t="s">
        <v>190</v>
      </c>
      <c r="FZ93" s="319" t="s">
        <v>190</v>
      </c>
      <c r="GA93" s="319" t="s">
        <v>190</v>
      </c>
      <c r="GB93" s="319" t="s">
        <v>190</v>
      </c>
      <c r="GC93" s="319" t="s">
        <v>190</v>
      </c>
      <c r="GD93" s="319" t="s">
        <v>190</v>
      </c>
      <c r="GE93" s="319" t="s">
        <v>190</v>
      </c>
      <c r="GF93" s="319" t="s">
        <v>190</v>
      </c>
      <c r="GG93" s="319" t="s">
        <v>190</v>
      </c>
      <c r="GH93" s="319" t="s">
        <v>190</v>
      </c>
      <c r="GI93" s="319" t="s">
        <v>190</v>
      </c>
      <c r="GJ93" s="319" t="s">
        <v>190</v>
      </c>
      <c r="GK93" s="319" t="s">
        <v>428</v>
      </c>
      <c r="GL93" s="319" t="s">
        <v>190</v>
      </c>
      <c r="GM93" s="319" t="s">
        <v>190</v>
      </c>
      <c r="GN93" s="319" t="s">
        <v>190</v>
      </c>
      <c r="GO93" s="319" t="s">
        <v>190</v>
      </c>
      <c r="GP93" s="319" t="s">
        <v>190</v>
      </c>
      <c r="GQ93" s="319" t="s">
        <v>428</v>
      </c>
      <c r="GR93" s="319" t="s">
        <v>190</v>
      </c>
      <c r="GS93" s="319" t="s">
        <v>190</v>
      </c>
      <c r="GT93" s="319" t="s">
        <v>428</v>
      </c>
      <c r="GU93" s="319" t="s">
        <v>428</v>
      </c>
      <c r="GV93" s="319" t="s">
        <v>190</v>
      </c>
      <c r="GW93" s="319" t="s">
        <v>190</v>
      </c>
      <c r="GX93" s="319" t="s">
        <v>190</v>
      </c>
      <c r="GY93" s="319" t="s">
        <v>190</v>
      </c>
      <c r="GZ93" s="319" t="s">
        <v>428</v>
      </c>
      <c r="HA93" s="319" t="s">
        <v>190</v>
      </c>
      <c r="HB93" s="319" t="s">
        <v>428</v>
      </c>
      <c r="HC93" s="319" t="s">
        <v>190</v>
      </c>
      <c r="HD93" s="319" t="s">
        <v>190</v>
      </c>
      <c r="HE93" s="319" t="s">
        <v>190</v>
      </c>
      <c r="HF93" s="319" t="s">
        <v>190</v>
      </c>
      <c r="HG93" s="319" t="s">
        <v>190</v>
      </c>
      <c r="HH93" s="319" t="s">
        <v>190</v>
      </c>
      <c r="HI93" s="319" t="s">
        <v>190</v>
      </c>
      <c r="HJ93" s="319" t="s">
        <v>190</v>
      </c>
      <c r="HK93" s="319" t="s">
        <v>190</v>
      </c>
      <c r="HL93" s="319" t="s">
        <v>428</v>
      </c>
      <c r="HM93" s="319" t="s">
        <v>428</v>
      </c>
      <c r="HN93" s="319" t="s">
        <v>428</v>
      </c>
      <c r="HO93" s="319" t="s">
        <v>428</v>
      </c>
      <c r="HP93" s="319" t="s">
        <v>190</v>
      </c>
      <c r="HQ93" s="319" t="s">
        <v>190</v>
      </c>
      <c r="HR93" s="319" t="s">
        <v>190</v>
      </c>
      <c r="HS93" s="319" t="s">
        <v>190</v>
      </c>
      <c r="HT93" s="319" t="s">
        <v>190</v>
      </c>
      <c r="HU93" s="319" t="s">
        <v>190</v>
      </c>
      <c r="HV93" s="319" t="s">
        <v>190</v>
      </c>
      <c r="HW93" s="319" t="s">
        <v>190</v>
      </c>
      <c r="HX93" s="319" t="s">
        <v>190</v>
      </c>
      <c r="HY93" s="319" t="s">
        <v>190</v>
      </c>
      <c r="HZ93" s="319" t="s">
        <v>190</v>
      </c>
      <c r="IA93" s="319" t="s">
        <v>190</v>
      </c>
      <c r="IB93" s="319" t="s">
        <v>190</v>
      </c>
      <c r="IC93" s="319" t="s">
        <v>190</v>
      </c>
      <c r="ID93" s="319" t="s">
        <v>190</v>
      </c>
      <c r="IE93" s="319" t="s">
        <v>190</v>
      </c>
      <c r="IF93" s="319" t="s">
        <v>190</v>
      </c>
      <c r="IG93" s="319" t="s">
        <v>190</v>
      </c>
      <c r="IH93" s="319" t="s">
        <v>190</v>
      </c>
      <c r="II93" s="319" t="s">
        <v>190</v>
      </c>
      <c r="IJ93" s="319" t="s">
        <v>2873</v>
      </c>
      <c r="IK93" s="321">
        <v>41779</v>
      </c>
      <c r="IL93" s="321">
        <v>41781</v>
      </c>
      <c r="IM93" s="321">
        <v>41809</v>
      </c>
      <c r="IN93" s="319">
        <v>2</v>
      </c>
      <c r="IO93" s="319" t="s">
        <v>173</v>
      </c>
      <c r="IP93" s="319" t="s">
        <v>173</v>
      </c>
      <c r="IQ93" s="319" t="s">
        <v>173</v>
      </c>
      <c r="IR93" s="320" t="s">
        <v>173</v>
      </c>
      <c r="IS93" s="320" t="s">
        <v>173</v>
      </c>
      <c r="IT93" s="319" t="s">
        <v>173</v>
      </c>
    </row>
    <row r="94" spans="1:254" s="271" customFormat="1" x14ac:dyDescent="0.25">
      <c r="A94" s="318" t="str">
        <f>HYPERLINK("http://www.ofsted.gov.uk/inspection-reports/find-inspection-report/provider/ELS/105748 ","Ofsted School Webpage")</f>
        <v>Ofsted School Webpage</v>
      </c>
      <c r="B94" s="319">
        <v>105748</v>
      </c>
      <c r="C94" s="319">
        <v>3536015</v>
      </c>
      <c r="D94" s="319" t="s">
        <v>783</v>
      </c>
      <c r="E94" s="319" t="s">
        <v>168</v>
      </c>
      <c r="F94" s="319" t="s">
        <v>81</v>
      </c>
      <c r="G94" s="319" t="s">
        <v>81</v>
      </c>
      <c r="H94" s="319" t="s">
        <v>81</v>
      </c>
      <c r="I94" s="319" t="s">
        <v>78</v>
      </c>
      <c r="J94" s="319" t="s">
        <v>424</v>
      </c>
      <c r="K94" s="319" t="s">
        <v>431</v>
      </c>
      <c r="L94" s="319" t="s">
        <v>431</v>
      </c>
      <c r="M94" s="319" t="s">
        <v>784</v>
      </c>
      <c r="N94" s="319" t="s">
        <v>2872</v>
      </c>
      <c r="O94" s="319" t="s">
        <v>785</v>
      </c>
      <c r="P94" s="319">
        <v>12</v>
      </c>
      <c r="Q94" s="319" t="s">
        <v>429</v>
      </c>
      <c r="R94" s="320">
        <v>10086947</v>
      </c>
      <c r="S94" s="321">
        <v>43445</v>
      </c>
      <c r="T94" s="321">
        <v>43447</v>
      </c>
      <c r="U94" s="321">
        <v>43486</v>
      </c>
      <c r="V94" s="319" t="s">
        <v>425</v>
      </c>
      <c r="W94" s="319" t="s">
        <v>2767</v>
      </c>
      <c r="X94" s="319">
        <v>2</v>
      </c>
      <c r="Y94" s="319" t="s">
        <v>173</v>
      </c>
      <c r="Z94" s="319" t="s">
        <v>173</v>
      </c>
      <c r="AA94" s="319" t="s">
        <v>173</v>
      </c>
      <c r="AB94" s="319">
        <v>2</v>
      </c>
      <c r="AC94" s="319" t="s">
        <v>169</v>
      </c>
      <c r="AD94" s="319" t="s">
        <v>173</v>
      </c>
      <c r="AE94" s="319" t="s">
        <v>173</v>
      </c>
      <c r="AF94" s="319" t="s">
        <v>447</v>
      </c>
      <c r="AG94" s="319" t="s">
        <v>171</v>
      </c>
      <c r="AH94" s="319" t="s">
        <v>190</v>
      </c>
      <c r="AI94" s="319" t="s">
        <v>190</v>
      </c>
      <c r="AJ94" s="319" t="s">
        <v>190</v>
      </c>
      <c r="AK94" s="319" t="s">
        <v>190</v>
      </c>
      <c r="AL94" s="319" t="s">
        <v>190</v>
      </c>
      <c r="AM94" s="319" t="s">
        <v>190</v>
      </c>
      <c r="AN94" s="319" t="s">
        <v>190</v>
      </c>
      <c r="AO94" s="319" t="s">
        <v>190</v>
      </c>
      <c r="AP94" s="319" t="s">
        <v>190</v>
      </c>
      <c r="AQ94" s="319" t="s">
        <v>190</v>
      </c>
      <c r="AR94" s="319" t="s">
        <v>190</v>
      </c>
      <c r="AS94" s="319" t="s">
        <v>190</v>
      </c>
      <c r="AT94" s="319" t="s">
        <v>190</v>
      </c>
      <c r="AU94" s="319" t="s">
        <v>190</v>
      </c>
      <c r="AV94" s="319" t="s">
        <v>190</v>
      </c>
      <c r="AW94" s="319" t="s">
        <v>190</v>
      </c>
      <c r="AX94" s="319" t="s">
        <v>428</v>
      </c>
      <c r="AY94" s="319" t="s">
        <v>190</v>
      </c>
      <c r="AZ94" s="319" t="s">
        <v>190</v>
      </c>
      <c r="BA94" s="319" t="s">
        <v>190</v>
      </c>
      <c r="BB94" s="319" t="s">
        <v>190</v>
      </c>
      <c r="BC94" s="319" t="s">
        <v>190</v>
      </c>
      <c r="BD94" s="319" t="s">
        <v>190</v>
      </c>
      <c r="BE94" s="319" t="s">
        <v>190</v>
      </c>
      <c r="BF94" s="319" t="s">
        <v>428</v>
      </c>
      <c r="BG94" s="319" t="s">
        <v>190</v>
      </c>
      <c r="BH94" s="319" t="s">
        <v>190</v>
      </c>
      <c r="BI94" s="319" t="s">
        <v>190</v>
      </c>
      <c r="BJ94" s="319" t="s">
        <v>190</v>
      </c>
      <c r="BK94" s="319" t="s">
        <v>190</v>
      </c>
      <c r="BL94" s="319" t="s">
        <v>190</v>
      </c>
      <c r="BM94" s="319" t="s">
        <v>190</v>
      </c>
      <c r="BN94" s="319" t="s">
        <v>190</v>
      </c>
      <c r="BO94" s="319" t="s">
        <v>190</v>
      </c>
      <c r="BP94" s="319" t="s">
        <v>190</v>
      </c>
      <c r="BQ94" s="319" t="s">
        <v>190</v>
      </c>
      <c r="BR94" s="319" t="s">
        <v>190</v>
      </c>
      <c r="BS94" s="319" t="s">
        <v>190</v>
      </c>
      <c r="BT94" s="319" t="s">
        <v>190</v>
      </c>
      <c r="BU94" s="319" t="s">
        <v>190</v>
      </c>
      <c r="BV94" s="319" t="s">
        <v>190</v>
      </c>
      <c r="BW94" s="319" t="s">
        <v>190</v>
      </c>
      <c r="BX94" s="319" t="s">
        <v>190</v>
      </c>
      <c r="BY94" s="319" t="s">
        <v>190</v>
      </c>
      <c r="BZ94" s="319" t="s">
        <v>190</v>
      </c>
      <c r="CA94" s="319" t="s">
        <v>190</v>
      </c>
      <c r="CB94" s="319" t="s">
        <v>190</v>
      </c>
      <c r="CC94" s="319" t="s">
        <v>190</v>
      </c>
      <c r="CD94" s="319" t="s">
        <v>190</v>
      </c>
      <c r="CE94" s="319" t="s">
        <v>190</v>
      </c>
      <c r="CF94" s="319" t="s">
        <v>190</v>
      </c>
      <c r="CG94" s="319" t="s">
        <v>190</v>
      </c>
      <c r="CH94" s="319" t="s">
        <v>190</v>
      </c>
      <c r="CI94" s="319" t="s">
        <v>190</v>
      </c>
      <c r="CJ94" s="319" t="s">
        <v>190</v>
      </c>
      <c r="CK94" s="319" t="s">
        <v>190</v>
      </c>
      <c r="CL94" s="319" t="s">
        <v>190</v>
      </c>
      <c r="CM94" s="319" t="s">
        <v>190</v>
      </c>
      <c r="CN94" s="319" t="s">
        <v>428</v>
      </c>
      <c r="CO94" s="319" t="s">
        <v>428</v>
      </c>
      <c r="CP94" s="319" t="s">
        <v>428</v>
      </c>
      <c r="CQ94" s="319" t="s">
        <v>190</v>
      </c>
      <c r="CR94" s="319" t="s">
        <v>190</v>
      </c>
      <c r="CS94" s="319" t="s">
        <v>190</v>
      </c>
      <c r="CT94" s="319" t="s">
        <v>190</v>
      </c>
      <c r="CU94" s="319" t="s">
        <v>190</v>
      </c>
      <c r="CV94" s="319" t="s">
        <v>190</v>
      </c>
      <c r="CW94" s="319" t="s">
        <v>190</v>
      </c>
      <c r="CX94" s="319" t="s">
        <v>190</v>
      </c>
      <c r="CY94" s="319" t="s">
        <v>190</v>
      </c>
      <c r="CZ94" s="319" t="s">
        <v>190</v>
      </c>
      <c r="DA94" s="319" t="s">
        <v>190</v>
      </c>
      <c r="DB94" s="319" t="s">
        <v>190</v>
      </c>
      <c r="DC94" s="319" t="s">
        <v>190</v>
      </c>
      <c r="DD94" s="319" t="s">
        <v>190</v>
      </c>
      <c r="DE94" s="319" t="s">
        <v>190</v>
      </c>
      <c r="DF94" s="319" t="s">
        <v>190</v>
      </c>
      <c r="DG94" s="319" t="s">
        <v>190</v>
      </c>
      <c r="DH94" s="319" t="s">
        <v>190</v>
      </c>
      <c r="DI94" s="319" t="s">
        <v>190</v>
      </c>
      <c r="DJ94" s="319" t="s">
        <v>190</v>
      </c>
      <c r="DK94" s="319" t="s">
        <v>190</v>
      </c>
      <c r="DL94" s="319" t="s">
        <v>190</v>
      </c>
      <c r="DM94" s="319" t="s">
        <v>428</v>
      </c>
      <c r="DN94" s="319" t="s">
        <v>428</v>
      </c>
      <c r="DO94" s="319" t="s">
        <v>190</v>
      </c>
      <c r="DP94" s="319" t="s">
        <v>190</v>
      </c>
      <c r="DQ94" s="319" t="s">
        <v>190</v>
      </c>
      <c r="DR94" s="319" t="s">
        <v>190</v>
      </c>
      <c r="DS94" s="319" t="s">
        <v>190</v>
      </c>
      <c r="DT94" s="319" t="s">
        <v>190</v>
      </c>
      <c r="DU94" s="319" t="s">
        <v>190</v>
      </c>
      <c r="DV94" s="319" t="s">
        <v>173</v>
      </c>
      <c r="DW94" s="319" t="s">
        <v>190</v>
      </c>
      <c r="DX94" s="319" t="s">
        <v>190</v>
      </c>
      <c r="DY94" s="319" t="s">
        <v>190</v>
      </c>
      <c r="DZ94" s="319" t="s">
        <v>190</v>
      </c>
      <c r="EA94" s="319" t="s">
        <v>190</v>
      </c>
      <c r="EB94" s="319" t="s">
        <v>190</v>
      </c>
      <c r="EC94" s="319" t="s">
        <v>428</v>
      </c>
      <c r="ED94" s="319" t="s">
        <v>190</v>
      </c>
      <c r="EE94" s="319" t="s">
        <v>428</v>
      </c>
      <c r="EF94" s="319" t="s">
        <v>428</v>
      </c>
      <c r="EG94" s="319" t="s">
        <v>428</v>
      </c>
      <c r="EH94" s="319" t="s">
        <v>428</v>
      </c>
      <c r="EI94" s="319" t="s">
        <v>428</v>
      </c>
      <c r="EJ94" s="319" t="s">
        <v>428</v>
      </c>
      <c r="EK94" s="319" t="s">
        <v>428</v>
      </c>
      <c r="EL94" s="319" t="s">
        <v>428</v>
      </c>
      <c r="EM94" s="319" t="s">
        <v>428</v>
      </c>
      <c r="EN94" s="319" t="s">
        <v>190</v>
      </c>
      <c r="EO94" s="319" t="s">
        <v>190</v>
      </c>
      <c r="EP94" s="319" t="s">
        <v>190</v>
      </c>
      <c r="EQ94" s="319" t="s">
        <v>190</v>
      </c>
      <c r="ER94" s="319" t="s">
        <v>190</v>
      </c>
      <c r="ES94" s="319" t="s">
        <v>190</v>
      </c>
      <c r="ET94" s="319" t="s">
        <v>190</v>
      </c>
      <c r="EU94" s="319" t="s">
        <v>190</v>
      </c>
      <c r="EV94" s="319" t="s">
        <v>190</v>
      </c>
      <c r="EW94" s="319" t="s">
        <v>190</v>
      </c>
      <c r="EX94" s="319" t="s">
        <v>190</v>
      </c>
      <c r="EY94" s="319" t="s">
        <v>428</v>
      </c>
      <c r="EZ94" s="319" t="s">
        <v>190</v>
      </c>
      <c r="FA94" s="319" t="s">
        <v>428</v>
      </c>
      <c r="FB94" s="319" t="s">
        <v>190</v>
      </c>
      <c r="FC94" s="319" t="s">
        <v>190</v>
      </c>
      <c r="FD94" s="319" t="s">
        <v>190</v>
      </c>
      <c r="FE94" s="319" t="s">
        <v>190</v>
      </c>
      <c r="FF94" s="319" t="s">
        <v>428</v>
      </c>
      <c r="FG94" s="319" t="s">
        <v>190</v>
      </c>
      <c r="FH94" s="319" t="s">
        <v>428</v>
      </c>
      <c r="FI94" s="319" t="s">
        <v>428</v>
      </c>
      <c r="FJ94" s="319" t="s">
        <v>429</v>
      </c>
      <c r="FK94" s="319" t="s">
        <v>428</v>
      </c>
      <c r="FL94" s="319" t="s">
        <v>190</v>
      </c>
      <c r="FM94" s="319" t="s">
        <v>190</v>
      </c>
      <c r="FN94" s="319" t="s">
        <v>190</v>
      </c>
      <c r="FO94" s="319" t="s">
        <v>190</v>
      </c>
      <c r="FP94" s="319" t="s">
        <v>190</v>
      </c>
      <c r="FQ94" s="319" t="s">
        <v>190</v>
      </c>
      <c r="FR94" s="319" t="s">
        <v>190</v>
      </c>
      <c r="FS94" s="319" t="s">
        <v>428</v>
      </c>
      <c r="FT94" s="319" t="s">
        <v>190</v>
      </c>
      <c r="FU94" s="319" t="s">
        <v>190</v>
      </c>
      <c r="FV94" s="319" t="s">
        <v>190</v>
      </c>
      <c r="FW94" s="319" t="s">
        <v>190</v>
      </c>
      <c r="FX94" s="319" t="s">
        <v>190</v>
      </c>
      <c r="FY94" s="319" t="s">
        <v>190</v>
      </c>
      <c r="FZ94" s="319" t="s">
        <v>190</v>
      </c>
      <c r="GA94" s="319" t="s">
        <v>190</v>
      </c>
      <c r="GB94" s="319" t="s">
        <v>190</v>
      </c>
      <c r="GC94" s="319" t="s">
        <v>190</v>
      </c>
      <c r="GD94" s="319" t="s">
        <v>190</v>
      </c>
      <c r="GE94" s="319" t="s">
        <v>190</v>
      </c>
      <c r="GF94" s="319" t="s">
        <v>190</v>
      </c>
      <c r="GG94" s="319" t="s">
        <v>190</v>
      </c>
      <c r="GH94" s="319" t="s">
        <v>190</v>
      </c>
      <c r="GI94" s="319" t="s">
        <v>190</v>
      </c>
      <c r="GJ94" s="319" t="s">
        <v>190</v>
      </c>
      <c r="GK94" s="319" t="s">
        <v>428</v>
      </c>
      <c r="GL94" s="319" t="s">
        <v>190</v>
      </c>
      <c r="GM94" s="319" t="s">
        <v>190</v>
      </c>
      <c r="GN94" s="319" t="s">
        <v>190</v>
      </c>
      <c r="GO94" s="319" t="s">
        <v>190</v>
      </c>
      <c r="GP94" s="319" t="s">
        <v>190</v>
      </c>
      <c r="GQ94" s="319" t="s">
        <v>428</v>
      </c>
      <c r="GR94" s="319" t="s">
        <v>190</v>
      </c>
      <c r="GS94" s="319" t="s">
        <v>190</v>
      </c>
      <c r="GT94" s="319" t="s">
        <v>190</v>
      </c>
      <c r="GU94" s="319" t="s">
        <v>190</v>
      </c>
      <c r="GV94" s="319" t="s">
        <v>428</v>
      </c>
      <c r="GW94" s="319" t="s">
        <v>190</v>
      </c>
      <c r="GX94" s="319" t="s">
        <v>190</v>
      </c>
      <c r="GY94" s="319" t="s">
        <v>190</v>
      </c>
      <c r="GZ94" s="319" t="s">
        <v>190</v>
      </c>
      <c r="HA94" s="319" t="s">
        <v>428</v>
      </c>
      <c r="HB94" s="319" t="s">
        <v>428</v>
      </c>
      <c r="HC94" s="319" t="s">
        <v>190</v>
      </c>
      <c r="HD94" s="319" t="s">
        <v>190</v>
      </c>
      <c r="HE94" s="319" t="s">
        <v>190</v>
      </c>
      <c r="HF94" s="319" t="s">
        <v>190</v>
      </c>
      <c r="HG94" s="319" t="s">
        <v>190</v>
      </c>
      <c r="HH94" s="319" t="s">
        <v>190</v>
      </c>
      <c r="HI94" s="319" t="s">
        <v>190</v>
      </c>
      <c r="HJ94" s="319" t="s">
        <v>190</v>
      </c>
      <c r="HK94" s="319" t="s">
        <v>190</v>
      </c>
      <c r="HL94" s="319" t="s">
        <v>428</v>
      </c>
      <c r="HM94" s="319" t="s">
        <v>428</v>
      </c>
      <c r="HN94" s="319" t="s">
        <v>428</v>
      </c>
      <c r="HO94" s="319" t="s">
        <v>428</v>
      </c>
      <c r="HP94" s="319" t="s">
        <v>190</v>
      </c>
      <c r="HQ94" s="319" t="s">
        <v>190</v>
      </c>
      <c r="HR94" s="319" t="s">
        <v>190</v>
      </c>
      <c r="HS94" s="319" t="s">
        <v>190</v>
      </c>
      <c r="HT94" s="319" t="s">
        <v>190</v>
      </c>
      <c r="HU94" s="319" t="s">
        <v>190</v>
      </c>
      <c r="HV94" s="319" t="s">
        <v>190</v>
      </c>
      <c r="HW94" s="319" t="s">
        <v>190</v>
      </c>
      <c r="HX94" s="319" t="s">
        <v>190</v>
      </c>
      <c r="HY94" s="319" t="s">
        <v>190</v>
      </c>
      <c r="HZ94" s="319" t="s">
        <v>190</v>
      </c>
      <c r="IA94" s="319" t="s">
        <v>190</v>
      </c>
      <c r="IB94" s="319" t="s">
        <v>190</v>
      </c>
      <c r="IC94" s="319" t="s">
        <v>190</v>
      </c>
      <c r="ID94" s="319" t="s">
        <v>190</v>
      </c>
      <c r="IE94" s="319" t="s">
        <v>190</v>
      </c>
      <c r="IF94" s="319" t="s">
        <v>190</v>
      </c>
      <c r="IG94" s="319" t="s">
        <v>190</v>
      </c>
      <c r="IH94" s="319" t="s">
        <v>190</v>
      </c>
      <c r="II94" s="319" t="s">
        <v>190</v>
      </c>
      <c r="IJ94" s="319">
        <v>10008576</v>
      </c>
      <c r="IK94" s="321">
        <v>42682</v>
      </c>
      <c r="IL94" s="321">
        <v>42684</v>
      </c>
      <c r="IM94" s="321">
        <v>42724</v>
      </c>
      <c r="IN94" s="319">
        <v>2</v>
      </c>
      <c r="IO94" s="319" t="s">
        <v>173</v>
      </c>
      <c r="IP94" s="319" t="s">
        <v>173</v>
      </c>
      <c r="IQ94" s="321" t="s">
        <v>173</v>
      </c>
      <c r="IR94" s="320" t="s">
        <v>173</v>
      </c>
      <c r="IS94" s="322" t="s">
        <v>173</v>
      </c>
      <c r="IT94" s="319" t="s">
        <v>173</v>
      </c>
    </row>
    <row r="95" spans="1:254" s="271" customFormat="1" x14ac:dyDescent="0.25">
      <c r="A95" s="318" t="str">
        <f>HYPERLINK("http://www.ofsted.gov.uk/inspection-reports/find-inspection-report/provider/ELS/105993 ","Ofsted School Webpage")</f>
        <v>Ofsted School Webpage</v>
      </c>
      <c r="B95" s="319">
        <v>105993</v>
      </c>
      <c r="C95" s="319">
        <v>3556007</v>
      </c>
      <c r="D95" s="319" t="s">
        <v>1108</v>
      </c>
      <c r="E95" s="319" t="s">
        <v>167</v>
      </c>
      <c r="F95" s="319" t="s">
        <v>81</v>
      </c>
      <c r="G95" s="319" t="s">
        <v>69</v>
      </c>
      <c r="H95" s="319" t="s">
        <v>69</v>
      </c>
      <c r="I95" s="319" t="s">
        <v>69</v>
      </c>
      <c r="J95" s="319" t="s">
        <v>424</v>
      </c>
      <c r="K95" s="319" t="s">
        <v>431</v>
      </c>
      <c r="L95" s="319" t="s">
        <v>431</v>
      </c>
      <c r="M95" s="319" t="s">
        <v>533</v>
      </c>
      <c r="N95" s="319" t="s">
        <v>2874</v>
      </c>
      <c r="O95" s="319" t="s">
        <v>1109</v>
      </c>
      <c r="P95" s="319">
        <v>310</v>
      </c>
      <c r="Q95" s="319" t="s">
        <v>2766</v>
      </c>
      <c r="R95" s="320">
        <v>10048616</v>
      </c>
      <c r="S95" s="321">
        <v>43263</v>
      </c>
      <c r="T95" s="321">
        <v>43265</v>
      </c>
      <c r="U95" s="321">
        <v>43299</v>
      </c>
      <c r="V95" s="319" t="s">
        <v>425</v>
      </c>
      <c r="W95" s="319" t="s">
        <v>2767</v>
      </c>
      <c r="X95" s="319">
        <v>3</v>
      </c>
      <c r="Y95" s="319" t="s">
        <v>173</v>
      </c>
      <c r="Z95" s="319" t="s">
        <v>173</v>
      </c>
      <c r="AA95" s="319" t="s">
        <v>173</v>
      </c>
      <c r="AB95" s="319">
        <v>3</v>
      </c>
      <c r="AC95" s="319" t="s">
        <v>169</v>
      </c>
      <c r="AD95" s="319">
        <v>3</v>
      </c>
      <c r="AE95" s="319" t="s">
        <v>173</v>
      </c>
      <c r="AF95" s="319" t="s">
        <v>427</v>
      </c>
      <c r="AG95" s="319" t="s">
        <v>171</v>
      </c>
      <c r="AH95" s="319" t="s">
        <v>190</v>
      </c>
      <c r="AI95" s="319" t="s">
        <v>190</v>
      </c>
      <c r="AJ95" s="319" t="s">
        <v>190</v>
      </c>
      <c r="AK95" s="319" t="s">
        <v>190</v>
      </c>
      <c r="AL95" s="319" t="s">
        <v>190</v>
      </c>
      <c r="AM95" s="319" t="s">
        <v>190</v>
      </c>
      <c r="AN95" s="319" t="s">
        <v>190</v>
      </c>
      <c r="AO95" s="319" t="s">
        <v>190</v>
      </c>
      <c r="AP95" s="319" t="s">
        <v>190</v>
      </c>
      <c r="AQ95" s="319" t="s">
        <v>190</v>
      </c>
      <c r="AR95" s="319" t="s">
        <v>190</v>
      </c>
      <c r="AS95" s="319" t="s">
        <v>190</v>
      </c>
      <c r="AT95" s="319" t="s">
        <v>190</v>
      </c>
      <c r="AU95" s="319" t="s">
        <v>190</v>
      </c>
      <c r="AV95" s="319" t="s">
        <v>190</v>
      </c>
      <c r="AW95" s="319" t="s">
        <v>190</v>
      </c>
      <c r="AX95" s="319" t="s">
        <v>190</v>
      </c>
      <c r="AY95" s="319" t="s">
        <v>190</v>
      </c>
      <c r="AZ95" s="319" t="s">
        <v>190</v>
      </c>
      <c r="BA95" s="319" t="s">
        <v>190</v>
      </c>
      <c r="BB95" s="319" t="s">
        <v>190</v>
      </c>
      <c r="BC95" s="319" t="s">
        <v>190</v>
      </c>
      <c r="BD95" s="319" t="s">
        <v>190</v>
      </c>
      <c r="BE95" s="319" t="s">
        <v>190</v>
      </c>
      <c r="BF95" s="319" t="s">
        <v>190</v>
      </c>
      <c r="BG95" s="319" t="s">
        <v>428</v>
      </c>
      <c r="BH95" s="319" t="s">
        <v>190</v>
      </c>
      <c r="BI95" s="319" t="s">
        <v>190</v>
      </c>
      <c r="BJ95" s="319" t="s">
        <v>190</v>
      </c>
      <c r="BK95" s="319" t="s">
        <v>190</v>
      </c>
      <c r="BL95" s="319" t="s">
        <v>190</v>
      </c>
      <c r="BM95" s="319" t="s">
        <v>190</v>
      </c>
      <c r="BN95" s="319" t="s">
        <v>190</v>
      </c>
      <c r="BO95" s="319" t="s">
        <v>190</v>
      </c>
      <c r="BP95" s="319" t="s">
        <v>190</v>
      </c>
      <c r="BQ95" s="319" t="s">
        <v>190</v>
      </c>
      <c r="BR95" s="319" t="s">
        <v>190</v>
      </c>
      <c r="BS95" s="319" t="s">
        <v>190</v>
      </c>
      <c r="BT95" s="319" t="s">
        <v>190</v>
      </c>
      <c r="BU95" s="319" t="s">
        <v>190</v>
      </c>
      <c r="BV95" s="319" t="s">
        <v>190</v>
      </c>
      <c r="BW95" s="319" t="s">
        <v>190</v>
      </c>
      <c r="BX95" s="319" t="s">
        <v>190</v>
      </c>
      <c r="BY95" s="319" t="s">
        <v>190</v>
      </c>
      <c r="BZ95" s="319" t="s">
        <v>190</v>
      </c>
      <c r="CA95" s="319" t="s">
        <v>190</v>
      </c>
      <c r="CB95" s="319" t="s">
        <v>190</v>
      </c>
      <c r="CC95" s="319" t="s">
        <v>190</v>
      </c>
      <c r="CD95" s="319" t="s">
        <v>190</v>
      </c>
      <c r="CE95" s="319" t="s">
        <v>190</v>
      </c>
      <c r="CF95" s="319" t="s">
        <v>190</v>
      </c>
      <c r="CG95" s="319" t="s">
        <v>190</v>
      </c>
      <c r="CH95" s="319" t="s">
        <v>190</v>
      </c>
      <c r="CI95" s="319" t="s">
        <v>190</v>
      </c>
      <c r="CJ95" s="319" t="s">
        <v>190</v>
      </c>
      <c r="CK95" s="319" t="s">
        <v>190</v>
      </c>
      <c r="CL95" s="319" t="s">
        <v>190</v>
      </c>
      <c r="CM95" s="319" t="s">
        <v>190</v>
      </c>
      <c r="CN95" s="319" t="s">
        <v>428</v>
      </c>
      <c r="CO95" s="319" t="s">
        <v>428</v>
      </c>
      <c r="CP95" s="319" t="s">
        <v>428</v>
      </c>
      <c r="CQ95" s="319" t="s">
        <v>190</v>
      </c>
      <c r="CR95" s="319" t="s">
        <v>190</v>
      </c>
      <c r="CS95" s="319" t="s">
        <v>190</v>
      </c>
      <c r="CT95" s="319" t="s">
        <v>190</v>
      </c>
      <c r="CU95" s="319" t="s">
        <v>190</v>
      </c>
      <c r="CV95" s="319" t="s">
        <v>190</v>
      </c>
      <c r="CW95" s="319" t="s">
        <v>190</v>
      </c>
      <c r="CX95" s="319" t="s">
        <v>190</v>
      </c>
      <c r="CY95" s="319" t="s">
        <v>190</v>
      </c>
      <c r="CZ95" s="319" t="s">
        <v>190</v>
      </c>
      <c r="DA95" s="319" t="s">
        <v>190</v>
      </c>
      <c r="DB95" s="319" t="s">
        <v>190</v>
      </c>
      <c r="DC95" s="319" t="s">
        <v>190</v>
      </c>
      <c r="DD95" s="319" t="s">
        <v>190</v>
      </c>
      <c r="DE95" s="319" t="s">
        <v>190</v>
      </c>
      <c r="DF95" s="319" t="s">
        <v>190</v>
      </c>
      <c r="DG95" s="319" t="s">
        <v>190</v>
      </c>
      <c r="DH95" s="319" t="s">
        <v>190</v>
      </c>
      <c r="DI95" s="319" t="s">
        <v>190</v>
      </c>
      <c r="DJ95" s="319" t="s">
        <v>190</v>
      </c>
      <c r="DK95" s="319" t="s">
        <v>190</v>
      </c>
      <c r="DL95" s="319" t="s">
        <v>190</v>
      </c>
      <c r="DM95" s="319" t="s">
        <v>190</v>
      </c>
      <c r="DN95" s="319" t="s">
        <v>428</v>
      </c>
      <c r="DO95" s="319" t="s">
        <v>190</v>
      </c>
      <c r="DP95" s="319" t="s">
        <v>190</v>
      </c>
      <c r="DQ95" s="319" t="s">
        <v>190</v>
      </c>
      <c r="DR95" s="319" t="s">
        <v>190</v>
      </c>
      <c r="DS95" s="319" t="s">
        <v>190</v>
      </c>
      <c r="DT95" s="319" t="s">
        <v>190</v>
      </c>
      <c r="DU95" s="319" t="s">
        <v>190</v>
      </c>
      <c r="DV95" s="319" t="s">
        <v>173</v>
      </c>
      <c r="DW95" s="319" t="s">
        <v>190</v>
      </c>
      <c r="DX95" s="319" t="s">
        <v>190</v>
      </c>
      <c r="DY95" s="319" t="s">
        <v>190</v>
      </c>
      <c r="DZ95" s="319" t="s">
        <v>190</v>
      </c>
      <c r="EA95" s="319" t="s">
        <v>190</v>
      </c>
      <c r="EB95" s="319" t="s">
        <v>190</v>
      </c>
      <c r="EC95" s="319" t="s">
        <v>428</v>
      </c>
      <c r="ED95" s="319" t="s">
        <v>190</v>
      </c>
      <c r="EE95" s="319" t="s">
        <v>190</v>
      </c>
      <c r="EF95" s="319" t="s">
        <v>190</v>
      </c>
      <c r="EG95" s="319" t="s">
        <v>190</v>
      </c>
      <c r="EH95" s="319" t="s">
        <v>190</v>
      </c>
      <c r="EI95" s="319" t="s">
        <v>190</v>
      </c>
      <c r="EJ95" s="319" t="s">
        <v>190</v>
      </c>
      <c r="EK95" s="319" t="s">
        <v>190</v>
      </c>
      <c r="EL95" s="319" t="s">
        <v>190</v>
      </c>
      <c r="EM95" s="319" t="s">
        <v>190</v>
      </c>
      <c r="EN95" s="319" t="s">
        <v>190</v>
      </c>
      <c r="EO95" s="319" t="s">
        <v>190</v>
      </c>
      <c r="EP95" s="319" t="s">
        <v>190</v>
      </c>
      <c r="EQ95" s="319" t="s">
        <v>190</v>
      </c>
      <c r="ER95" s="319" t="s">
        <v>190</v>
      </c>
      <c r="ES95" s="319" t="s">
        <v>190</v>
      </c>
      <c r="ET95" s="319" t="s">
        <v>190</v>
      </c>
      <c r="EU95" s="319" t="s">
        <v>190</v>
      </c>
      <c r="EV95" s="319" t="s">
        <v>190</v>
      </c>
      <c r="EW95" s="319" t="s">
        <v>190</v>
      </c>
      <c r="EX95" s="319" t="s">
        <v>190</v>
      </c>
      <c r="EY95" s="319" t="s">
        <v>190</v>
      </c>
      <c r="EZ95" s="319" t="s">
        <v>190</v>
      </c>
      <c r="FA95" s="319" t="s">
        <v>190</v>
      </c>
      <c r="FB95" s="319" t="s">
        <v>190</v>
      </c>
      <c r="FC95" s="319" t="s">
        <v>190</v>
      </c>
      <c r="FD95" s="319" t="s">
        <v>190</v>
      </c>
      <c r="FE95" s="319" t="s">
        <v>190</v>
      </c>
      <c r="FF95" s="319" t="s">
        <v>428</v>
      </c>
      <c r="FG95" s="319" t="s">
        <v>190</v>
      </c>
      <c r="FH95" s="319" t="s">
        <v>190</v>
      </c>
      <c r="FI95" s="319" t="s">
        <v>190</v>
      </c>
      <c r="FJ95" s="319" t="s">
        <v>190</v>
      </c>
      <c r="FK95" s="319" t="s">
        <v>190</v>
      </c>
      <c r="FL95" s="319" t="s">
        <v>190</v>
      </c>
      <c r="FM95" s="319" t="s">
        <v>190</v>
      </c>
      <c r="FN95" s="319" t="s">
        <v>190</v>
      </c>
      <c r="FO95" s="319" t="s">
        <v>190</v>
      </c>
      <c r="FP95" s="319" t="s">
        <v>190</v>
      </c>
      <c r="FQ95" s="319" t="s">
        <v>190</v>
      </c>
      <c r="FR95" s="319" t="s">
        <v>190</v>
      </c>
      <c r="FS95" s="319" t="s">
        <v>428</v>
      </c>
      <c r="FT95" s="319" t="s">
        <v>190</v>
      </c>
      <c r="FU95" s="319" t="s">
        <v>190</v>
      </c>
      <c r="FV95" s="319" t="s">
        <v>190</v>
      </c>
      <c r="FW95" s="319" t="s">
        <v>190</v>
      </c>
      <c r="FX95" s="319" t="s">
        <v>190</v>
      </c>
      <c r="FY95" s="319" t="s">
        <v>190</v>
      </c>
      <c r="FZ95" s="319" t="s">
        <v>190</v>
      </c>
      <c r="GA95" s="319" t="s">
        <v>190</v>
      </c>
      <c r="GB95" s="319" t="s">
        <v>190</v>
      </c>
      <c r="GC95" s="319" t="s">
        <v>190</v>
      </c>
      <c r="GD95" s="319" t="s">
        <v>190</v>
      </c>
      <c r="GE95" s="319" t="s">
        <v>190</v>
      </c>
      <c r="GF95" s="319" t="s">
        <v>190</v>
      </c>
      <c r="GG95" s="319" t="s">
        <v>190</v>
      </c>
      <c r="GH95" s="319" t="s">
        <v>190</v>
      </c>
      <c r="GI95" s="319" t="s">
        <v>190</v>
      </c>
      <c r="GJ95" s="319" t="s">
        <v>190</v>
      </c>
      <c r="GK95" s="319" t="s">
        <v>428</v>
      </c>
      <c r="GL95" s="319" t="s">
        <v>190</v>
      </c>
      <c r="GM95" s="319" t="s">
        <v>190</v>
      </c>
      <c r="GN95" s="319" t="s">
        <v>190</v>
      </c>
      <c r="GO95" s="319" t="s">
        <v>190</v>
      </c>
      <c r="GP95" s="319" t="s">
        <v>190</v>
      </c>
      <c r="GQ95" s="319" t="s">
        <v>428</v>
      </c>
      <c r="GR95" s="319" t="s">
        <v>190</v>
      </c>
      <c r="GS95" s="319" t="s">
        <v>190</v>
      </c>
      <c r="GT95" s="319" t="s">
        <v>428</v>
      </c>
      <c r="GU95" s="319" t="s">
        <v>428</v>
      </c>
      <c r="GV95" s="319" t="s">
        <v>190</v>
      </c>
      <c r="GW95" s="319" t="s">
        <v>190</v>
      </c>
      <c r="GX95" s="319" t="s">
        <v>190</v>
      </c>
      <c r="GY95" s="319" t="s">
        <v>190</v>
      </c>
      <c r="GZ95" s="319" t="s">
        <v>190</v>
      </c>
      <c r="HA95" s="319" t="s">
        <v>190</v>
      </c>
      <c r="HB95" s="319" t="s">
        <v>190</v>
      </c>
      <c r="HC95" s="319" t="s">
        <v>190</v>
      </c>
      <c r="HD95" s="319" t="s">
        <v>190</v>
      </c>
      <c r="HE95" s="319" t="s">
        <v>190</v>
      </c>
      <c r="HF95" s="319" t="s">
        <v>190</v>
      </c>
      <c r="HG95" s="319" t="s">
        <v>190</v>
      </c>
      <c r="HH95" s="319" t="s">
        <v>190</v>
      </c>
      <c r="HI95" s="319" t="s">
        <v>190</v>
      </c>
      <c r="HJ95" s="319" t="s">
        <v>190</v>
      </c>
      <c r="HK95" s="319" t="s">
        <v>190</v>
      </c>
      <c r="HL95" s="319" t="s">
        <v>428</v>
      </c>
      <c r="HM95" s="319" t="s">
        <v>428</v>
      </c>
      <c r="HN95" s="319" t="s">
        <v>428</v>
      </c>
      <c r="HO95" s="319" t="s">
        <v>428</v>
      </c>
      <c r="HP95" s="319" t="s">
        <v>190</v>
      </c>
      <c r="HQ95" s="319" t="s">
        <v>190</v>
      </c>
      <c r="HR95" s="319" t="s">
        <v>190</v>
      </c>
      <c r="HS95" s="319" t="s">
        <v>190</v>
      </c>
      <c r="HT95" s="319" t="s">
        <v>190</v>
      </c>
      <c r="HU95" s="319" t="s">
        <v>190</v>
      </c>
      <c r="HV95" s="319" t="s">
        <v>190</v>
      </c>
      <c r="HW95" s="319" t="s">
        <v>190</v>
      </c>
      <c r="HX95" s="319" t="s">
        <v>190</v>
      </c>
      <c r="HY95" s="319" t="s">
        <v>190</v>
      </c>
      <c r="HZ95" s="319" t="s">
        <v>190</v>
      </c>
      <c r="IA95" s="319" t="s">
        <v>190</v>
      </c>
      <c r="IB95" s="319" t="s">
        <v>190</v>
      </c>
      <c r="IC95" s="319" t="s">
        <v>190</v>
      </c>
      <c r="ID95" s="319" t="s">
        <v>190</v>
      </c>
      <c r="IE95" s="319" t="s">
        <v>190</v>
      </c>
      <c r="IF95" s="319" t="s">
        <v>190</v>
      </c>
      <c r="IG95" s="319" t="s">
        <v>190</v>
      </c>
      <c r="IH95" s="319" t="s">
        <v>190</v>
      </c>
      <c r="II95" s="319" t="s">
        <v>190</v>
      </c>
      <c r="IJ95" s="319">
        <v>10020752</v>
      </c>
      <c r="IK95" s="321">
        <v>42556</v>
      </c>
      <c r="IL95" s="321">
        <v>42558</v>
      </c>
      <c r="IM95" s="321">
        <v>42627</v>
      </c>
      <c r="IN95" s="319">
        <v>4</v>
      </c>
      <c r="IO95" s="319" t="s">
        <v>173</v>
      </c>
      <c r="IP95" s="319" t="s">
        <v>173</v>
      </c>
      <c r="IQ95" s="321" t="s">
        <v>173</v>
      </c>
      <c r="IR95" s="320" t="s">
        <v>173</v>
      </c>
      <c r="IS95" s="322" t="s">
        <v>173</v>
      </c>
      <c r="IT95" s="319" t="s">
        <v>173</v>
      </c>
    </row>
    <row r="96" spans="1:254" s="271" customFormat="1" x14ac:dyDescent="0.25">
      <c r="A96" s="318" t="str">
        <f>HYPERLINK("http://www.ofsted.gov.uk/inspection-reports/find-inspection-report/provider/ELS/105996 ","Ofsted School Webpage")</f>
        <v>Ofsted School Webpage</v>
      </c>
      <c r="B96" s="319">
        <v>105996</v>
      </c>
      <c r="C96" s="319">
        <v>3556011</v>
      </c>
      <c r="D96" s="319" t="s">
        <v>1345</v>
      </c>
      <c r="E96" s="319" t="s">
        <v>167</v>
      </c>
      <c r="F96" s="319" t="s">
        <v>81</v>
      </c>
      <c r="G96" s="319" t="s">
        <v>69</v>
      </c>
      <c r="H96" s="319" t="s">
        <v>69</v>
      </c>
      <c r="I96" s="319" t="s">
        <v>69</v>
      </c>
      <c r="J96" s="319" t="s">
        <v>424</v>
      </c>
      <c r="K96" s="319" t="s">
        <v>431</v>
      </c>
      <c r="L96" s="319" t="s">
        <v>431</v>
      </c>
      <c r="M96" s="319" t="s">
        <v>533</v>
      </c>
      <c r="N96" s="319" t="s">
        <v>2874</v>
      </c>
      <c r="O96" s="319" t="s">
        <v>1346</v>
      </c>
      <c r="P96" s="319">
        <v>637</v>
      </c>
      <c r="Q96" s="319" t="s">
        <v>2766</v>
      </c>
      <c r="R96" s="320">
        <v>10034022</v>
      </c>
      <c r="S96" s="321">
        <v>42920</v>
      </c>
      <c r="T96" s="321">
        <v>42922</v>
      </c>
      <c r="U96" s="321">
        <v>43042</v>
      </c>
      <c r="V96" s="319" t="s">
        <v>425</v>
      </c>
      <c r="W96" s="319" t="s">
        <v>2767</v>
      </c>
      <c r="X96" s="319">
        <v>2</v>
      </c>
      <c r="Y96" s="319" t="s">
        <v>173</v>
      </c>
      <c r="Z96" s="319" t="s">
        <v>173</v>
      </c>
      <c r="AA96" s="319" t="s">
        <v>173</v>
      </c>
      <c r="AB96" s="319">
        <v>2</v>
      </c>
      <c r="AC96" s="319" t="s">
        <v>169</v>
      </c>
      <c r="AD96" s="319">
        <v>2</v>
      </c>
      <c r="AE96" s="319" t="s">
        <v>173</v>
      </c>
      <c r="AF96" s="319" t="s">
        <v>173</v>
      </c>
      <c r="AG96" s="319" t="s">
        <v>171</v>
      </c>
      <c r="AH96" s="319" t="s">
        <v>190</v>
      </c>
      <c r="AI96" s="319" t="s">
        <v>190</v>
      </c>
      <c r="AJ96" s="319" t="s">
        <v>190</v>
      </c>
      <c r="AK96" s="319" t="s">
        <v>190</v>
      </c>
      <c r="AL96" s="319" t="s">
        <v>190</v>
      </c>
      <c r="AM96" s="319" t="s">
        <v>190</v>
      </c>
      <c r="AN96" s="319" t="s">
        <v>190</v>
      </c>
      <c r="AO96" s="319" t="s">
        <v>190</v>
      </c>
      <c r="AP96" s="319" t="s">
        <v>190</v>
      </c>
      <c r="AQ96" s="319" t="s">
        <v>190</v>
      </c>
      <c r="AR96" s="319" t="s">
        <v>190</v>
      </c>
      <c r="AS96" s="319" t="s">
        <v>190</v>
      </c>
      <c r="AT96" s="319" t="s">
        <v>190</v>
      </c>
      <c r="AU96" s="319" t="s">
        <v>190</v>
      </c>
      <c r="AV96" s="319" t="s">
        <v>190</v>
      </c>
      <c r="AW96" s="319" t="s">
        <v>190</v>
      </c>
      <c r="AX96" s="319" t="s">
        <v>190</v>
      </c>
      <c r="AY96" s="319" t="s">
        <v>190</v>
      </c>
      <c r="AZ96" s="319" t="s">
        <v>190</v>
      </c>
      <c r="BA96" s="319" t="s">
        <v>190</v>
      </c>
      <c r="BB96" s="319" t="s">
        <v>190</v>
      </c>
      <c r="BC96" s="319" t="s">
        <v>190</v>
      </c>
      <c r="BD96" s="319" t="s">
        <v>190</v>
      </c>
      <c r="BE96" s="319" t="s">
        <v>190</v>
      </c>
      <c r="BF96" s="319" t="s">
        <v>190</v>
      </c>
      <c r="BG96" s="319" t="s">
        <v>429</v>
      </c>
      <c r="BH96" s="319" t="s">
        <v>190</v>
      </c>
      <c r="BI96" s="319" t="s">
        <v>190</v>
      </c>
      <c r="BJ96" s="319" t="s">
        <v>190</v>
      </c>
      <c r="BK96" s="319" t="s">
        <v>190</v>
      </c>
      <c r="BL96" s="319" t="s">
        <v>190</v>
      </c>
      <c r="BM96" s="319" t="s">
        <v>190</v>
      </c>
      <c r="BN96" s="319" t="s">
        <v>190</v>
      </c>
      <c r="BO96" s="319" t="s">
        <v>190</v>
      </c>
      <c r="BP96" s="319" t="s">
        <v>190</v>
      </c>
      <c r="BQ96" s="319" t="s">
        <v>190</v>
      </c>
      <c r="BR96" s="319" t="s">
        <v>190</v>
      </c>
      <c r="BS96" s="319" t="s">
        <v>190</v>
      </c>
      <c r="BT96" s="319" t="s">
        <v>190</v>
      </c>
      <c r="BU96" s="319" t="s">
        <v>190</v>
      </c>
      <c r="BV96" s="319" t="s">
        <v>190</v>
      </c>
      <c r="BW96" s="319" t="s">
        <v>190</v>
      </c>
      <c r="BX96" s="319" t="s">
        <v>190</v>
      </c>
      <c r="BY96" s="319" t="s">
        <v>190</v>
      </c>
      <c r="BZ96" s="319" t="s">
        <v>190</v>
      </c>
      <c r="CA96" s="319" t="s">
        <v>190</v>
      </c>
      <c r="CB96" s="319" t="s">
        <v>190</v>
      </c>
      <c r="CC96" s="319" t="s">
        <v>190</v>
      </c>
      <c r="CD96" s="319" t="s">
        <v>190</v>
      </c>
      <c r="CE96" s="319" t="s">
        <v>190</v>
      </c>
      <c r="CF96" s="319" t="s">
        <v>190</v>
      </c>
      <c r="CG96" s="319" t="s">
        <v>190</v>
      </c>
      <c r="CH96" s="319" t="s">
        <v>190</v>
      </c>
      <c r="CI96" s="319" t="s">
        <v>190</v>
      </c>
      <c r="CJ96" s="319" t="s">
        <v>190</v>
      </c>
      <c r="CK96" s="319" t="s">
        <v>190</v>
      </c>
      <c r="CL96" s="319" t="s">
        <v>190</v>
      </c>
      <c r="CM96" s="319" t="s">
        <v>190</v>
      </c>
      <c r="CN96" s="319" t="s">
        <v>429</v>
      </c>
      <c r="CO96" s="319" t="s">
        <v>429</v>
      </c>
      <c r="CP96" s="319" t="s">
        <v>429</v>
      </c>
      <c r="CQ96" s="319" t="s">
        <v>190</v>
      </c>
      <c r="CR96" s="319" t="s">
        <v>190</v>
      </c>
      <c r="CS96" s="319" t="s">
        <v>190</v>
      </c>
      <c r="CT96" s="319" t="s">
        <v>190</v>
      </c>
      <c r="CU96" s="319" t="s">
        <v>190</v>
      </c>
      <c r="CV96" s="319" t="s">
        <v>190</v>
      </c>
      <c r="CW96" s="319" t="s">
        <v>190</v>
      </c>
      <c r="CX96" s="319" t="s">
        <v>190</v>
      </c>
      <c r="CY96" s="319" t="s">
        <v>190</v>
      </c>
      <c r="CZ96" s="319" t="s">
        <v>190</v>
      </c>
      <c r="DA96" s="319" t="s">
        <v>190</v>
      </c>
      <c r="DB96" s="319" t="s">
        <v>190</v>
      </c>
      <c r="DC96" s="319" t="s">
        <v>190</v>
      </c>
      <c r="DD96" s="319" t="s">
        <v>190</v>
      </c>
      <c r="DE96" s="319" t="s">
        <v>190</v>
      </c>
      <c r="DF96" s="319" t="s">
        <v>190</v>
      </c>
      <c r="DG96" s="319" t="s">
        <v>190</v>
      </c>
      <c r="DH96" s="319" t="s">
        <v>190</v>
      </c>
      <c r="DI96" s="319" t="s">
        <v>190</v>
      </c>
      <c r="DJ96" s="319" t="s">
        <v>190</v>
      </c>
      <c r="DK96" s="319" t="s">
        <v>190</v>
      </c>
      <c r="DL96" s="319" t="s">
        <v>190</v>
      </c>
      <c r="DM96" s="319" t="s">
        <v>190</v>
      </c>
      <c r="DN96" s="319" t="s">
        <v>429</v>
      </c>
      <c r="DO96" s="319" t="s">
        <v>190</v>
      </c>
      <c r="DP96" s="319" t="s">
        <v>190</v>
      </c>
      <c r="DQ96" s="319" t="s">
        <v>190</v>
      </c>
      <c r="DR96" s="319" t="s">
        <v>190</v>
      </c>
      <c r="DS96" s="319" t="s">
        <v>190</v>
      </c>
      <c r="DT96" s="319" t="s">
        <v>190</v>
      </c>
      <c r="DU96" s="319" t="s">
        <v>190</v>
      </c>
      <c r="DV96" s="319" t="s">
        <v>173</v>
      </c>
      <c r="DW96" s="319" t="s">
        <v>190</v>
      </c>
      <c r="DX96" s="319" t="s">
        <v>190</v>
      </c>
      <c r="DY96" s="319" t="s">
        <v>190</v>
      </c>
      <c r="DZ96" s="319" t="s">
        <v>190</v>
      </c>
      <c r="EA96" s="319" t="s">
        <v>190</v>
      </c>
      <c r="EB96" s="319" t="s">
        <v>190</v>
      </c>
      <c r="EC96" s="319" t="s">
        <v>429</v>
      </c>
      <c r="ED96" s="319" t="s">
        <v>429</v>
      </c>
      <c r="EE96" s="319" t="s">
        <v>190</v>
      </c>
      <c r="EF96" s="319" t="s">
        <v>190</v>
      </c>
      <c r="EG96" s="319" t="s">
        <v>190</v>
      </c>
      <c r="EH96" s="319" t="s">
        <v>190</v>
      </c>
      <c r="EI96" s="319" t="s">
        <v>190</v>
      </c>
      <c r="EJ96" s="319" t="s">
        <v>190</v>
      </c>
      <c r="EK96" s="319" t="s">
        <v>190</v>
      </c>
      <c r="EL96" s="319" t="s">
        <v>190</v>
      </c>
      <c r="EM96" s="319" t="s">
        <v>190</v>
      </c>
      <c r="EN96" s="319" t="s">
        <v>190</v>
      </c>
      <c r="EO96" s="319" t="s">
        <v>190</v>
      </c>
      <c r="EP96" s="319" t="s">
        <v>190</v>
      </c>
      <c r="EQ96" s="319" t="s">
        <v>190</v>
      </c>
      <c r="ER96" s="319" t="s">
        <v>190</v>
      </c>
      <c r="ES96" s="319" t="s">
        <v>190</v>
      </c>
      <c r="ET96" s="319" t="s">
        <v>190</v>
      </c>
      <c r="EU96" s="319" t="s">
        <v>190</v>
      </c>
      <c r="EV96" s="319" t="s">
        <v>190</v>
      </c>
      <c r="EW96" s="319" t="s">
        <v>190</v>
      </c>
      <c r="EX96" s="319" t="s">
        <v>190</v>
      </c>
      <c r="EY96" s="319" t="s">
        <v>190</v>
      </c>
      <c r="EZ96" s="319" t="s">
        <v>190</v>
      </c>
      <c r="FA96" s="319" t="s">
        <v>190</v>
      </c>
      <c r="FB96" s="319" t="s">
        <v>190</v>
      </c>
      <c r="FC96" s="319" t="s">
        <v>190</v>
      </c>
      <c r="FD96" s="319" t="s">
        <v>190</v>
      </c>
      <c r="FE96" s="319" t="s">
        <v>190</v>
      </c>
      <c r="FF96" s="319" t="s">
        <v>190</v>
      </c>
      <c r="FG96" s="319" t="s">
        <v>190</v>
      </c>
      <c r="FH96" s="319" t="s">
        <v>190</v>
      </c>
      <c r="FI96" s="319" t="s">
        <v>190</v>
      </c>
      <c r="FJ96" s="319" t="s">
        <v>190</v>
      </c>
      <c r="FK96" s="319" t="s">
        <v>190</v>
      </c>
      <c r="FL96" s="319" t="s">
        <v>190</v>
      </c>
      <c r="FM96" s="319" t="s">
        <v>190</v>
      </c>
      <c r="FN96" s="319" t="s">
        <v>429</v>
      </c>
      <c r="FO96" s="319" t="s">
        <v>190</v>
      </c>
      <c r="FP96" s="319" t="s">
        <v>190</v>
      </c>
      <c r="FQ96" s="319" t="s">
        <v>190</v>
      </c>
      <c r="FR96" s="319" t="s">
        <v>190</v>
      </c>
      <c r="FS96" s="319" t="s">
        <v>190</v>
      </c>
      <c r="FT96" s="319" t="s">
        <v>190</v>
      </c>
      <c r="FU96" s="319" t="s">
        <v>190</v>
      </c>
      <c r="FV96" s="319" t="s">
        <v>190</v>
      </c>
      <c r="FW96" s="319" t="s">
        <v>190</v>
      </c>
      <c r="FX96" s="319" t="s">
        <v>190</v>
      </c>
      <c r="FY96" s="319" t="s">
        <v>190</v>
      </c>
      <c r="FZ96" s="319" t="s">
        <v>190</v>
      </c>
      <c r="GA96" s="319" t="s">
        <v>190</v>
      </c>
      <c r="GB96" s="319" t="s">
        <v>190</v>
      </c>
      <c r="GC96" s="319" t="s">
        <v>190</v>
      </c>
      <c r="GD96" s="319" t="s">
        <v>190</v>
      </c>
      <c r="GE96" s="319" t="s">
        <v>190</v>
      </c>
      <c r="GF96" s="319" t="s">
        <v>190</v>
      </c>
      <c r="GG96" s="319" t="s">
        <v>190</v>
      </c>
      <c r="GH96" s="319" t="s">
        <v>190</v>
      </c>
      <c r="GI96" s="319" t="s">
        <v>190</v>
      </c>
      <c r="GJ96" s="319" t="s">
        <v>190</v>
      </c>
      <c r="GK96" s="319" t="s">
        <v>190</v>
      </c>
      <c r="GL96" s="319" t="s">
        <v>190</v>
      </c>
      <c r="GM96" s="319" t="s">
        <v>190</v>
      </c>
      <c r="GN96" s="319" t="s">
        <v>190</v>
      </c>
      <c r="GO96" s="319" t="s">
        <v>190</v>
      </c>
      <c r="GP96" s="319" t="s">
        <v>190</v>
      </c>
      <c r="GQ96" s="319" t="s">
        <v>429</v>
      </c>
      <c r="GR96" s="319" t="s">
        <v>190</v>
      </c>
      <c r="GS96" s="319" t="s">
        <v>190</v>
      </c>
      <c r="GT96" s="319" t="s">
        <v>190</v>
      </c>
      <c r="GU96" s="319" t="s">
        <v>190</v>
      </c>
      <c r="GV96" s="319" t="s">
        <v>190</v>
      </c>
      <c r="GW96" s="319" t="s">
        <v>190</v>
      </c>
      <c r="GX96" s="319" t="s">
        <v>190</v>
      </c>
      <c r="GY96" s="319" t="s">
        <v>190</v>
      </c>
      <c r="GZ96" s="319" t="s">
        <v>190</v>
      </c>
      <c r="HA96" s="319" t="s">
        <v>429</v>
      </c>
      <c r="HB96" s="319" t="s">
        <v>190</v>
      </c>
      <c r="HC96" s="319" t="s">
        <v>190</v>
      </c>
      <c r="HD96" s="319" t="s">
        <v>190</v>
      </c>
      <c r="HE96" s="319" t="s">
        <v>190</v>
      </c>
      <c r="HF96" s="319" t="s">
        <v>190</v>
      </c>
      <c r="HG96" s="319" t="s">
        <v>190</v>
      </c>
      <c r="HH96" s="319" t="s">
        <v>190</v>
      </c>
      <c r="HI96" s="319" t="s">
        <v>190</v>
      </c>
      <c r="HJ96" s="319" t="s">
        <v>190</v>
      </c>
      <c r="HK96" s="319" t="s">
        <v>190</v>
      </c>
      <c r="HL96" s="319" t="s">
        <v>190</v>
      </c>
      <c r="HM96" s="319" t="s">
        <v>429</v>
      </c>
      <c r="HN96" s="319" t="s">
        <v>429</v>
      </c>
      <c r="HO96" s="319" t="s">
        <v>429</v>
      </c>
      <c r="HP96" s="319" t="s">
        <v>190</v>
      </c>
      <c r="HQ96" s="319" t="s">
        <v>190</v>
      </c>
      <c r="HR96" s="319" t="s">
        <v>190</v>
      </c>
      <c r="HS96" s="319" t="s">
        <v>190</v>
      </c>
      <c r="HT96" s="319" t="s">
        <v>190</v>
      </c>
      <c r="HU96" s="319" t="s">
        <v>190</v>
      </c>
      <c r="HV96" s="319" t="s">
        <v>190</v>
      </c>
      <c r="HW96" s="319" t="s">
        <v>190</v>
      </c>
      <c r="HX96" s="319" t="s">
        <v>190</v>
      </c>
      <c r="HY96" s="319" t="s">
        <v>190</v>
      </c>
      <c r="HZ96" s="319" t="s">
        <v>190</v>
      </c>
      <c r="IA96" s="319" t="s">
        <v>190</v>
      </c>
      <c r="IB96" s="319" t="s">
        <v>190</v>
      </c>
      <c r="IC96" s="319" t="s">
        <v>190</v>
      </c>
      <c r="ID96" s="319" t="s">
        <v>190</v>
      </c>
      <c r="IE96" s="319" t="s">
        <v>190</v>
      </c>
      <c r="IF96" s="319" t="s">
        <v>190</v>
      </c>
      <c r="IG96" s="319" t="s">
        <v>190</v>
      </c>
      <c r="IH96" s="319" t="s">
        <v>190</v>
      </c>
      <c r="II96" s="319" t="s">
        <v>190</v>
      </c>
      <c r="IJ96" s="319" t="s">
        <v>2875</v>
      </c>
      <c r="IK96" s="321">
        <v>41821</v>
      </c>
      <c r="IL96" s="321">
        <v>41823</v>
      </c>
      <c r="IM96" s="321">
        <v>41844</v>
      </c>
      <c r="IN96" s="319">
        <v>2</v>
      </c>
      <c r="IO96" s="319" t="s">
        <v>173</v>
      </c>
      <c r="IP96" s="319" t="s">
        <v>173</v>
      </c>
      <c r="IQ96" s="321" t="s">
        <v>173</v>
      </c>
      <c r="IR96" s="320" t="s">
        <v>173</v>
      </c>
      <c r="IS96" s="322" t="s">
        <v>173</v>
      </c>
      <c r="IT96" s="319" t="s">
        <v>173</v>
      </c>
    </row>
    <row r="97" spans="1:254" s="271" customFormat="1" x14ac:dyDescent="0.25">
      <c r="A97" s="318" t="str">
        <f>HYPERLINK("http://www.ofsted.gov.uk/inspection-reports/find-inspection-report/provider/ELS/105997 ","Ofsted School Webpage")</f>
        <v>Ofsted School Webpage</v>
      </c>
      <c r="B97" s="319">
        <v>105997</v>
      </c>
      <c r="C97" s="319">
        <v>3516012</v>
      </c>
      <c r="D97" s="319" t="s">
        <v>935</v>
      </c>
      <c r="E97" s="319" t="s">
        <v>167</v>
      </c>
      <c r="F97" s="319" t="s">
        <v>81</v>
      </c>
      <c r="G97" s="319" t="s">
        <v>81</v>
      </c>
      <c r="H97" s="319" t="s">
        <v>81</v>
      </c>
      <c r="I97" s="319" t="s">
        <v>78</v>
      </c>
      <c r="J97" s="319" t="s">
        <v>424</v>
      </c>
      <c r="K97" s="319" t="s">
        <v>431</v>
      </c>
      <c r="L97" s="319" t="s">
        <v>431</v>
      </c>
      <c r="M97" s="319" t="s">
        <v>936</v>
      </c>
      <c r="N97" s="319" t="s">
        <v>2876</v>
      </c>
      <c r="O97" s="319" t="s">
        <v>937</v>
      </c>
      <c r="P97" s="319">
        <v>70</v>
      </c>
      <c r="Q97" s="319" t="s">
        <v>2766</v>
      </c>
      <c r="R97" s="320">
        <v>10067874</v>
      </c>
      <c r="S97" s="321">
        <v>43508</v>
      </c>
      <c r="T97" s="321">
        <v>43510</v>
      </c>
      <c r="U97" s="321">
        <v>43529</v>
      </c>
      <c r="V97" s="319" t="s">
        <v>425</v>
      </c>
      <c r="W97" s="319" t="s">
        <v>2767</v>
      </c>
      <c r="X97" s="319">
        <v>2</v>
      </c>
      <c r="Y97" s="319" t="s">
        <v>173</v>
      </c>
      <c r="Z97" s="319" t="s">
        <v>173</v>
      </c>
      <c r="AA97" s="319" t="s">
        <v>173</v>
      </c>
      <c r="AB97" s="319">
        <v>2</v>
      </c>
      <c r="AC97" s="319" t="s">
        <v>169</v>
      </c>
      <c r="AD97" s="319">
        <v>2</v>
      </c>
      <c r="AE97" s="319" t="s">
        <v>173</v>
      </c>
      <c r="AF97" s="319" t="s">
        <v>427</v>
      </c>
      <c r="AG97" s="319" t="s">
        <v>171</v>
      </c>
      <c r="AH97" s="319" t="s">
        <v>190</v>
      </c>
      <c r="AI97" s="319" t="s">
        <v>190</v>
      </c>
      <c r="AJ97" s="319" t="s">
        <v>190</v>
      </c>
      <c r="AK97" s="319" t="s">
        <v>190</v>
      </c>
      <c r="AL97" s="319" t="s">
        <v>190</v>
      </c>
      <c r="AM97" s="319" t="s">
        <v>190</v>
      </c>
      <c r="AN97" s="319" t="s">
        <v>190</v>
      </c>
      <c r="AO97" s="319" t="s">
        <v>190</v>
      </c>
      <c r="AP97" s="319" t="s">
        <v>190</v>
      </c>
      <c r="AQ97" s="319" t="s">
        <v>190</v>
      </c>
      <c r="AR97" s="319" t="s">
        <v>190</v>
      </c>
      <c r="AS97" s="319" t="s">
        <v>190</v>
      </c>
      <c r="AT97" s="319" t="s">
        <v>190</v>
      </c>
      <c r="AU97" s="319" t="s">
        <v>190</v>
      </c>
      <c r="AV97" s="319" t="s">
        <v>190</v>
      </c>
      <c r="AW97" s="319" t="s">
        <v>190</v>
      </c>
      <c r="AX97" s="319" t="s">
        <v>428</v>
      </c>
      <c r="AY97" s="319" t="s">
        <v>190</v>
      </c>
      <c r="AZ97" s="319" t="s">
        <v>190</v>
      </c>
      <c r="BA97" s="319" t="s">
        <v>190</v>
      </c>
      <c r="BB97" s="319" t="s">
        <v>428</v>
      </c>
      <c r="BC97" s="319" t="s">
        <v>428</v>
      </c>
      <c r="BD97" s="319" t="s">
        <v>428</v>
      </c>
      <c r="BE97" s="319" t="s">
        <v>428</v>
      </c>
      <c r="BF97" s="319" t="s">
        <v>190</v>
      </c>
      <c r="BG97" s="319" t="s">
        <v>428</v>
      </c>
      <c r="BH97" s="319" t="s">
        <v>190</v>
      </c>
      <c r="BI97" s="319" t="s">
        <v>190</v>
      </c>
      <c r="BJ97" s="319" t="s">
        <v>190</v>
      </c>
      <c r="BK97" s="319" t="s">
        <v>190</v>
      </c>
      <c r="BL97" s="319" t="s">
        <v>190</v>
      </c>
      <c r="BM97" s="319" t="s">
        <v>190</v>
      </c>
      <c r="BN97" s="319" t="s">
        <v>190</v>
      </c>
      <c r="BO97" s="319" t="s">
        <v>190</v>
      </c>
      <c r="BP97" s="319" t="s">
        <v>190</v>
      </c>
      <c r="BQ97" s="319" t="s">
        <v>190</v>
      </c>
      <c r="BR97" s="319" t="s">
        <v>190</v>
      </c>
      <c r="BS97" s="319" t="s">
        <v>190</v>
      </c>
      <c r="BT97" s="319" t="s">
        <v>190</v>
      </c>
      <c r="BU97" s="319" t="s">
        <v>190</v>
      </c>
      <c r="BV97" s="319" t="s">
        <v>190</v>
      </c>
      <c r="BW97" s="319" t="s">
        <v>190</v>
      </c>
      <c r="BX97" s="319" t="s">
        <v>190</v>
      </c>
      <c r="BY97" s="319" t="s">
        <v>190</v>
      </c>
      <c r="BZ97" s="319" t="s">
        <v>190</v>
      </c>
      <c r="CA97" s="319" t="s">
        <v>190</v>
      </c>
      <c r="CB97" s="319" t="s">
        <v>190</v>
      </c>
      <c r="CC97" s="319" t="s">
        <v>190</v>
      </c>
      <c r="CD97" s="319" t="s">
        <v>190</v>
      </c>
      <c r="CE97" s="319" t="s">
        <v>190</v>
      </c>
      <c r="CF97" s="319" t="s">
        <v>190</v>
      </c>
      <c r="CG97" s="319" t="s">
        <v>190</v>
      </c>
      <c r="CH97" s="319" t="s">
        <v>190</v>
      </c>
      <c r="CI97" s="319" t="s">
        <v>190</v>
      </c>
      <c r="CJ97" s="319" t="s">
        <v>190</v>
      </c>
      <c r="CK97" s="319" t="s">
        <v>190</v>
      </c>
      <c r="CL97" s="319" t="s">
        <v>190</v>
      </c>
      <c r="CM97" s="319" t="s">
        <v>190</v>
      </c>
      <c r="CN97" s="319" t="s">
        <v>428</v>
      </c>
      <c r="CO97" s="319" t="s">
        <v>428</v>
      </c>
      <c r="CP97" s="319" t="s">
        <v>428</v>
      </c>
      <c r="CQ97" s="319" t="s">
        <v>190</v>
      </c>
      <c r="CR97" s="319" t="s">
        <v>190</v>
      </c>
      <c r="CS97" s="319" t="s">
        <v>190</v>
      </c>
      <c r="CT97" s="319" t="s">
        <v>190</v>
      </c>
      <c r="CU97" s="319" t="s">
        <v>190</v>
      </c>
      <c r="CV97" s="319" t="s">
        <v>190</v>
      </c>
      <c r="CW97" s="319" t="s">
        <v>190</v>
      </c>
      <c r="CX97" s="319" t="s">
        <v>190</v>
      </c>
      <c r="CY97" s="319" t="s">
        <v>190</v>
      </c>
      <c r="CZ97" s="319" t="s">
        <v>190</v>
      </c>
      <c r="DA97" s="319" t="s">
        <v>190</v>
      </c>
      <c r="DB97" s="319" t="s">
        <v>190</v>
      </c>
      <c r="DC97" s="319" t="s">
        <v>190</v>
      </c>
      <c r="DD97" s="319" t="s">
        <v>190</v>
      </c>
      <c r="DE97" s="319" t="s">
        <v>190</v>
      </c>
      <c r="DF97" s="319" t="s">
        <v>190</v>
      </c>
      <c r="DG97" s="319" t="s">
        <v>190</v>
      </c>
      <c r="DH97" s="319" t="s">
        <v>190</v>
      </c>
      <c r="DI97" s="319" t="s">
        <v>190</v>
      </c>
      <c r="DJ97" s="319" t="s">
        <v>190</v>
      </c>
      <c r="DK97" s="319" t="s">
        <v>190</v>
      </c>
      <c r="DL97" s="319" t="s">
        <v>190</v>
      </c>
      <c r="DM97" s="319" t="s">
        <v>190</v>
      </c>
      <c r="DN97" s="319" t="s">
        <v>428</v>
      </c>
      <c r="DO97" s="319" t="s">
        <v>190</v>
      </c>
      <c r="DP97" s="319" t="s">
        <v>428</v>
      </c>
      <c r="DQ97" s="319" t="s">
        <v>428</v>
      </c>
      <c r="DR97" s="319" t="s">
        <v>428</v>
      </c>
      <c r="DS97" s="319" t="s">
        <v>428</v>
      </c>
      <c r="DT97" s="319" t="s">
        <v>428</v>
      </c>
      <c r="DU97" s="319" t="s">
        <v>428</v>
      </c>
      <c r="DV97" s="319" t="s">
        <v>173</v>
      </c>
      <c r="DW97" s="319" t="s">
        <v>428</v>
      </c>
      <c r="DX97" s="319" t="s">
        <v>428</v>
      </c>
      <c r="DY97" s="319" t="s">
        <v>428</v>
      </c>
      <c r="DZ97" s="319" t="s">
        <v>428</v>
      </c>
      <c r="EA97" s="319" t="s">
        <v>428</v>
      </c>
      <c r="EB97" s="319" t="s">
        <v>428</v>
      </c>
      <c r="EC97" s="319" t="s">
        <v>428</v>
      </c>
      <c r="ED97" s="319" t="s">
        <v>428</v>
      </c>
      <c r="EE97" s="319" t="s">
        <v>190</v>
      </c>
      <c r="EF97" s="319" t="s">
        <v>190</v>
      </c>
      <c r="EG97" s="319" t="s">
        <v>190</v>
      </c>
      <c r="EH97" s="319" t="s">
        <v>428</v>
      </c>
      <c r="EI97" s="319" t="s">
        <v>190</v>
      </c>
      <c r="EJ97" s="319" t="s">
        <v>190</v>
      </c>
      <c r="EK97" s="319" t="s">
        <v>190</v>
      </c>
      <c r="EL97" s="319" t="s">
        <v>190</v>
      </c>
      <c r="EM97" s="319" t="s">
        <v>190</v>
      </c>
      <c r="EN97" s="319" t="s">
        <v>190</v>
      </c>
      <c r="EO97" s="319" t="s">
        <v>190</v>
      </c>
      <c r="EP97" s="319" t="s">
        <v>190</v>
      </c>
      <c r="EQ97" s="319" t="s">
        <v>190</v>
      </c>
      <c r="ER97" s="319" t="s">
        <v>190</v>
      </c>
      <c r="ES97" s="319" t="s">
        <v>190</v>
      </c>
      <c r="ET97" s="319" t="s">
        <v>190</v>
      </c>
      <c r="EU97" s="319" t="s">
        <v>190</v>
      </c>
      <c r="EV97" s="319" t="s">
        <v>190</v>
      </c>
      <c r="EW97" s="319" t="s">
        <v>190</v>
      </c>
      <c r="EX97" s="319" t="s">
        <v>190</v>
      </c>
      <c r="EY97" s="319" t="s">
        <v>190</v>
      </c>
      <c r="EZ97" s="319" t="s">
        <v>190</v>
      </c>
      <c r="FA97" s="319" t="s">
        <v>190</v>
      </c>
      <c r="FB97" s="319" t="s">
        <v>428</v>
      </c>
      <c r="FC97" s="319" t="s">
        <v>428</v>
      </c>
      <c r="FD97" s="319" t="s">
        <v>428</v>
      </c>
      <c r="FE97" s="319" t="s">
        <v>428</v>
      </c>
      <c r="FF97" s="319" t="s">
        <v>428</v>
      </c>
      <c r="FG97" s="319" t="s">
        <v>428</v>
      </c>
      <c r="FH97" s="319" t="s">
        <v>428</v>
      </c>
      <c r="FI97" s="319" t="s">
        <v>190</v>
      </c>
      <c r="FJ97" s="319" t="s">
        <v>190</v>
      </c>
      <c r="FK97" s="319" t="s">
        <v>190</v>
      </c>
      <c r="FL97" s="319" t="s">
        <v>190</v>
      </c>
      <c r="FM97" s="319" t="s">
        <v>190</v>
      </c>
      <c r="FN97" s="319" t="s">
        <v>190</v>
      </c>
      <c r="FO97" s="319" t="s">
        <v>190</v>
      </c>
      <c r="FP97" s="319" t="s">
        <v>190</v>
      </c>
      <c r="FQ97" s="319" t="s">
        <v>190</v>
      </c>
      <c r="FR97" s="319" t="s">
        <v>190</v>
      </c>
      <c r="FS97" s="319" t="s">
        <v>428</v>
      </c>
      <c r="FT97" s="319" t="s">
        <v>190</v>
      </c>
      <c r="FU97" s="319" t="s">
        <v>190</v>
      </c>
      <c r="FV97" s="319" t="s">
        <v>190</v>
      </c>
      <c r="FW97" s="319" t="s">
        <v>190</v>
      </c>
      <c r="FX97" s="319" t="s">
        <v>190</v>
      </c>
      <c r="FY97" s="319" t="s">
        <v>190</v>
      </c>
      <c r="FZ97" s="319" t="s">
        <v>190</v>
      </c>
      <c r="GA97" s="319" t="s">
        <v>190</v>
      </c>
      <c r="GB97" s="319" t="s">
        <v>190</v>
      </c>
      <c r="GC97" s="319" t="s">
        <v>190</v>
      </c>
      <c r="GD97" s="319" t="s">
        <v>190</v>
      </c>
      <c r="GE97" s="319" t="s">
        <v>190</v>
      </c>
      <c r="GF97" s="319" t="s">
        <v>190</v>
      </c>
      <c r="GG97" s="319" t="s">
        <v>190</v>
      </c>
      <c r="GH97" s="319" t="s">
        <v>190</v>
      </c>
      <c r="GI97" s="319" t="s">
        <v>190</v>
      </c>
      <c r="GJ97" s="319" t="s">
        <v>190</v>
      </c>
      <c r="GK97" s="319" t="s">
        <v>428</v>
      </c>
      <c r="GL97" s="319" t="s">
        <v>190</v>
      </c>
      <c r="GM97" s="319" t="s">
        <v>190</v>
      </c>
      <c r="GN97" s="319" t="s">
        <v>190</v>
      </c>
      <c r="GO97" s="319" t="s">
        <v>190</v>
      </c>
      <c r="GP97" s="319" t="s">
        <v>190</v>
      </c>
      <c r="GQ97" s="319" t="s">
        <v>190</v>
      </c>
      <c r="GR97" s="319" t="s">
        <v>190</v>
      </c>
      <c r="GS97" s="319" t="s">
        <v>190</v>
      </c>
      <c r="GT97" s="319" t="s">
        <v>428</v>
      </c>
      <c r="GU97" s="319" t="s">
        <v>428</v>
      </c>
      <c r="GV97" s="319" t="s">
        <v>190</v>
      </c>
      <c r="GW97" s="319" t="s">
        <v>190</v>
      </c>
      <c r="GX97" s="319" t="s">
        <v>190</v>
      </c>
      <c r="GY97" s="319" t="s">
        <v>190</v>
      </c>
      <c r="GZ97" s="319" t="s">
        <v>190</v>
      </c>
      <c r="HA97" s="319" t="s">
        <v>190</v>
      </c>
      <c r="HB97" s="319" t="s">
        <v>190</v>
      </c>
      <c r="HC97" s="319" t="s">
        <v>190</v>
      </c>
      <c r="HD97" s="319" t="s">
        <v>190</v>
      </c>
      <c r="HE97" s="319" t="s">
        <v>190</v>
      </c>
      <c r="HF97" s="319" t="s">
        <v>190</v>
      </c>
      <c r="HG97" s="319" t="s">
        <v>190</v>
      </c>
      <c r="HH97" s="319" t="s">
        <v>190</v>
      </c>
      <c r="HI97" s="319" t="s">
        <v>190</v>
      </c>
      <c r="HJ97" s="319" t="s">
        <v>190</v>
      </c>
      <c r="HK97" s="319" t="s">
        <v>190</v>
      </c>
      <c r="HL97" s="319" t="s">
        <v>428</v>
      </c>
      <c r="HM97" s="319" t="s">
        <v>428</v>
      </c>
      <c r="HN97" s="319" t="s">
        <v>428</v>
      </c>
      <c r="HO97" s="319" t="s">
        <v>428</v>
      </c>
      <c r="HP97" s="319" t="s">
        <v>190</v>
      </c>
      <c r="HQ97" s="319" t="s">
        <v>190</v>
      </c>
      <c r="HR97" s="319" t="s">
        <v>190</v>
      </c>
      <c r="HS97" s="319" t="s">
        <v>190</v>
      </c>
      <c r="HT97" s="319" t="s">
        <v>190</v>
      </c>
      <c r="HU97" s="319" t="s">
        <v>190</v>
      </c>
      <c r="HV97" s="319" t="s">
        <v>190</v>
      </c>
      <c r="HW97" s="319" t="s">
        <v>190</v>
      </c>
      <c r="HX97" s="319" t="s">
        <v>190</v>
      </c>
      <c r="HY97" s="319" t="s">
        <v>190</v>
      </c>
      <c r="HZ97" s="319" t="s">
        <v>190</v>
      </c>
      <c r="IA97" s="319" t="s">
        <v>190</v>
      </c>
      <c r="IB97" s="319" t="s">
        <v>190</v>
      </c>
      <c r="IC97" s="319" t="s">
        <v>190</v>
      </c>
      <c r="ID97" s="319" t="s">
        <v>190</v>
      </c>
      <c r="IE97" s="319" t="s">
        <v>190</v>
      </c>
      <c r="IF97" s="319" t="s">
        <v>190</v>
      </c>
      <c r="IG97" s="319" t="s">
        <v>190</v>
      </c>
      <c r="IH97" s="319" t="s">
        <v>190</v>
      </c>
      <c r="II97" s="319" t="s">
        <v>190</v>
      </c>
      <c r="IJ97" s="319">
        <v>10026000</v>
      </c>
      <c r="IK97" s="321">
        <v>42773</v>
      </c>
      <c r="IL97" s="321">
        <v>42775</v>
      </c>
      <c r="IM97" s="321">
        <v>42857</v>
      </c>
      <c r="IN97" s="319">
        <v>4</v>
      </c>
      <c r="IO97" s="319" t="s">
        <v>173</v>
      </c>
      <c r="IP97" s="319" t="s">
        <v>173</v>
      </c>
      <c r="IQ97" s="319" t="s">
        <v>173</v>
      </c>
      <c r="IR97" s="320" t="s">
        <v>173</v>
      </c>
      <c r="IS97" s="320" t="s">
        <v>173</v>
      </c>
      <c r="IT97" s="319" t="s">
        <v>173</v>
      </c>
    </row>
    <row r="98" spans="1:254" s="271" customFormat="1" x14ac:dyDescent="0.25">
      <c r="A98" s="318" t="str">
        <f>HYPERLINK("http://www.ofsted.gov.uk/inspection-reports/find-inspection-report/provider/ELS/105999 ","Ofsted School Webpage")</f>
        <v>Ofsted School Webpage</v>
      </c>
      <c r="B98" s="319">
        <v>105999</v>
      </c>
      <c r="C98" s="319">
        <v>3556020</v>
      </c>
      <c r="D98" s="319" t="s">
        <v>808</v>
      </c>
      <c r="E98" s="319" t="s">
        <v>167</v>
      </c>
      <c r="F98" s="319" t="s">
        <v>81</v>
      </c>
      <c r="G98" s="319" t="s">
        <v>69</v>
      </c>
      <c r="H98" s="319" t="s">
        <v>69</v>
      </c>
      <c r="I98" s="319" t="s">
        <v>69</v>
      </c>
      <c r="J98" s="319" t="s">
        <v>424</v>
      </c>
      <c r="K98" s="319" t="s">
        <v>431</v>
      </c>
      <c r="L98" s="319" t="s">
        <v>431</v>
      </c>
      <c r="M98" s="319" t="s">
        <v>533</v>
      </c>
      <c r="N98" s="319" t="s">
        <v>2874</v>
      </c>
      <c r="O98" s="319" t="s">
        <v>809</v>
      </c>
      <c r="P98" s="319">
        <v>68</v>
      </c>
      <c r="Q98" s="319" t="s">
        <v>2766</v>
      </c>
      <c r="R98" s="320">
        <v>10067879</v>
      </c>
      <c r="S98" s="321">
        <v>43473</v>
      </c>
      <c r="T98" s="321">
        <v>43475</v>
      </c>
      <c r="U98" s="321">
        <v>43515</v>
      </c>
      <c r="V98" s="319" t="s">
        <v>425</v>
      </c>
      <c r="W98" s="319" t="s">
        <v>2767</v>
      </c>
      <c r="X98" s="319">
        <v>3</v>
      </c>
      <c r="Y98" s="319" t="s">
        <v>173</v>
      </c>
      <c r="Z98" s="319" t="s">
        <v>173</v>
      </c>
      <c r="AA98" s="319" t="s">
        <v>173</v>
      </c>
      <c r="AB98" s="319">
        <v>3</v>
      </c>
      <c r="AC98" s="319" t="s">
        <v>169</v>
      </c>
      <c r="AD98" s="319" t="s">
        <v>173</v>
      </c>
      <c r="AE98" s="319" t="s">
        <v>173</v>
      </c>
      <c r="AF98" s="319" t="s">
        <v>427</v>
      </c>
      <c r="AG98" s="319" t="s">
        <v>172</v>
      </c>
      <c r="AH98" s="319" t="s">
        <v>479</v>
      </c>
      <c r="AI98" s="319" t="s">
        <v>479</v>
      </c>
      <c r="AJ98" s="319" t="s">
        <v>190</v>
      </c>
      <c r="AK98" s="319" t="s">
        <v>190</v>
      </c>
      <c r="AL98" s="319" t="s">
        <v>190</v>
      </c>
      <c r="AM98" s="319" t="s">
        <v>190</v>
      </c>
      <c r="AN98" s="319" t="s">
        <v>190</v>
      </c>
      <c r="AO98" s="319" t="s">
        <v>479</v>
      </c>
      <c r="AP98" s="319" t="s">
        <v>191</v>
      </c>
      <c r="AQ98" s="319" t="s">
        <v>191</v>
      </c>
      <c r="AR98" s="319" t="s">
        <v>190</v>
      </c>
      <c r="AS98" s="319" t="s">
        <v>190</v>
      </c>
      <c r="AT98" s="319" t="s">
        <v>190</v>
      </c>
      <c r="AU98" s="319" t="s">
        <v>191</v>
      </c>
      <c r="AV98" s="319" t="s">
        <v>190</v>
      </c>
      <c r="AW98" s="319" t="s">
        <v>190</v>
      </c>
      <c r="AX98" s="319" t="s">
        <v>428</v>
      </c>
      <c r="AY98" s="319" t="s">
        <v>191</v>
      </c>
      <c r="AZ98" s="319" t="s">
        <v>190</v>
      </c>
      <c r="BA98" s="319" t="s">
        <v>191</v>
      </c>
      <c r="BB98" s="319" t="s">
        <v>190</v>
      </c>
      <c r="BC98" s="319" t="s">
        <v>190</v>
      </c>
      <c r="BD98" s="319" t="s">
        <v>190</v>
      </c>
      <c r="BE98" s="319" t="s">
        <v>190</v>
      </c>
      <c r="BF98" s="319" t="s">
        <v>428</v>
      </c>
      <c r="BG98" s="319" t="s">
        <v>428</v>
      </c>
      <c r="BH98" s="319" t="s">
        <v>190</v>
      </c>
      <c r="BI98" s="319" t="s">
        <v>190</v>
      </c>
      <c r="BJ98" s="319" t="s">
        <v>190</v>
      </c>
      <c r="BK98" s="319" t="s">
        <v>190</v>
      </c>
      <c r="BL98" s="319" t="s">
        <v>190</v>
      </c>
      <c r="BM98" s="319" t="s">
        <v>190</v>
      </c>
      <c r="BN98" s="319" t="s">
        <v>190</v>
      </c>
      <c r="BO98" s="319" t="s">
        <v>190</v>
      </c>
      <c r="BP98" s="319" t="s">
        <v>190</v>
      </c>
      <c r="BQ98" s="319" t="s">
        <v>190</v>
      </c>
      <c r="BR98" s="319" t="s">
        <v>190</v>
      </c>
      <c r="BS98" s="319" t="s">
        <v>190</v>
      </c>
      <c r="BT98" s="319" t="s">
        <v>190</v>
      </c>
      <c r="BU98" s="319" t="s">
        <v>190</v>
      </c>
      <c r="BV98" s="319" t="s">
        <v>191</v>
      </c>
      <c r="BW98" s="319" t="s">
        <v>190</v>
      </c>
      <c r="BX98" s="319" t="s">
        <v>191</v>
      </c>
      <c r="BY98" s="319" t="s">
        <v>190</v>
      </c>
      <c r="BZ98" s="319" t="s">
        <v>190</v>
      </c>
      <c r="CA98" s="319" t="s">
        <v>190</v>
      </c>
      <c r="CB98" s="319" t="s">
        <v>190</v>
      </c>
      <c r="CC98" s="319" t="s">
        <v>190</v>
      </c>
      <c r="CD98" s="319" t="s">
        <v>191</v>
      </c>
      <c r="CE98" s="319" t="s">
        <v>190</v>
      </c>
      <c r="CF98" s="319" t="s">
        <v>190</v>
      </c>
      <c r="CG98" s="319" t="s">
        <v>190</v>
      </c>
      <c r="CH98" s="319" t="s">
        <v>190</v>
      </c>
      <c r="CI98" s="319" t="s">
        <v>190</v>
      </c>
      <c r="CJ98" s="319" t="s">
        <v>190</v>
      </c>
      <c r="CK98" s="319" t="s">
        <v>190</v>
      </c>
      <c r="CL98" s="319" t="s">
        <v>190</v>
      </c>
      <c r="CM98" s="319" t="s">
        <v>190</v>
      </c>
      <c r="CN98" s="319" t="s">
        <v>428</v>
      </c>
      <c r="CO98" s="319" t="s">
        <v>428</v>
      </c>
      <c r="CP98" s="319" t="s">
        <v>428</v>
      </c>
      <c r="CQ98" s="319" t="s">
        <v>190</v>
      </c>
      <c r="CR98" s="319" t="s">
        <v>190</v>
      </c>
      <c r="CS98" s="319" t="s">
        <v>190</v>
      </c>
      <c r="CT98" s="319" t="s">
        <v>190</v>
      </c>
      <c r="CU98" s="319" t="s">
        <v>190</v>
      </c>
      <c r="CV98" s="319" t="s">
        <v>190</v>
      </c>
      <c r="CW98" s="319" t="s">
        <v>190</v>
      </c>
      <c r="CX98" s="319" t="s">
        <v>190</v>
      </c>
      <c r="CY98" s="319" t="s">
        <v>190</v>
      </c>
      <c r="CZ98" s="319" t="s">
        <v>190</v>
      </c>
      <c r="DA98" s="319" t="s">
        <v>190</v>
      </c>
      <c r="DB98" s="319" t="s">
        <v>190</v>
      </c>
      <c r="DC98" s="319" t="s">
        <v>190</v>
      </c>
      <c r="DD98" s="319" t="s">
        <v>190</v>
      </c>
      <c r="DE98" s="319" t="s">
        <v>190</v>
      </c>
      <c r="DF98" s="319" t="s">
        <v>190</v>
      </c>
      <c r="DG98" s="319" t="s">
        <v>190</v>
      </c>
      <c r="DH98" s="319" t="s">
        <v>190</v>
      </c>
      <c r="DI98" s="319" t="s">
        <v>190</v>
      </c>
      <c r="DJ98" s="319" t="s">
        <v>190</v>
      </c>
      <c r="DK98" s="319" t="s">
        <v>190</v>
      </c>
      <c r="DL98" s="319" t="s">
        <v>190</v>
      </c>
      <c r="DM98" s="319" t="s">
        <v>190</v>
      </c>
      <c r="DN98" s="319" t="s">
        <v>190</v>
      </c>
      <c r="DO98" s="319" t="s">
        <v>190</v>
      </c>
      <c r="DP98" s="319" t="s">
        <v>190</v>
      </c>
      <c r="DQ98" s="319" t="s">
        <v>190</v>
      </c>
      <c r="DR98" s="319" t="s">
        <v>190</v>
      </c>
      <c r="DS98" s="319" t="s">
        <v>190</v>
      </c>
      <c r="DT98" s="319" t="s">
        <v>190</v>
      </c>
      <c r="DU98" s="319" t="s">
        <v>190</v>
      </c>
      <c r="DV98" s="319" t="s">
        <v>173</v>
      </c>
      <c r="DW98" s="319" t="s">
        <v>190</v>
      </c>
      <c r="DX98" s="319" t="s">
        <v>190</v>
      </c>
      <c r="DY98" s="319" t="s">
        <v>190</v>
      </c>
      <c r="DZ98" s="319" t="s">
        <v>190</v>
      </c>
      <c r="EA98" s="319" t="s">
        <v>190</v>
      </c>
      <c r="EB98" s="319" t="s">
        <v>190</v>
      </c>
      <c r="EC98" s="319" t="s">
        <v>190</v>
      </c>
      <c r="ED98" s="319" t="s">
        <v>190</v>
      </c>
      <c r="EE98" s="319" t="s">
        <v>190</v>
      </c>
      <c r="EF98" s="319" t="s">
        <v>190</v>
      </c>
      <c r="EG98" s="319" t="s">
        <v>190</v>
      </c>
      <c r="EH98" s="319" t="s">
        <v>190</v>
      </c>
      <c r="EI98" s="319" t="s">
        <v>190</v>
      </c>
      <c r="EJ98" s="319" t="s">
        <v>190</v>
      </c>
      <c r="EK98" s="319" t="s">
        <v>190</v>
      </c>
      <c r="EL98" s="319" t="s">
        <v>190</v>
      </c>
      <c r="EM98" s="319" t="s">
        <v>190</v>
      </c>
      <c r="EN98" s="319" t="s">
        <v>190</v>
      </c>
      <c r="EO98" s="319" t="s">
        <v>190</v>
      </c>
      <c r="EP98" s="319" t="s">
        <v>190</v>
      </c>
      <c r="EQ98" s="319" t="s">
        <v>190</v>
      </c>
      <c r="ER98" s="319" t="s">
        <v>190</v>
      </c>
      <c r="ES98" s="319" t="s">
        <v>190</v>
      </c>
      <c r="ET98" s="319" t="s">
        <v>190</v>
      </c>
      <c r="EU98" s="319" t="s">
        <v>190</v>
      </c>
      <c r="EV98" s="319" t="s">
        <v>190</v>
      </c>
      <c r="EW98" s="319" t="s">
        <v>190</v>
      </c>
      <c r="EX98" s="319" t="s">
        <v>190</v>
      </c>
      <c r="EY98" s="319" t="s">
        <v>190</v>
      </c>
      <c r="EZ98" s="319" t="s">
        <v>190</v>
      </c>
      <c r="FA98" s="319" t="s">
        <v>190</v>
      </c>
      <c r="FB98" s="319" t="s">
        <v>190</v>
      </c>
      <c r="FC98" s="319" t="s">
        <v>190</v>
      </c>
      <c r="FD98" s="319" t="s">
        <v>190</v>
      </c>
      <c r="FE98" s="319" t="s">
        <v>190</v>
      </c>
      <c r="FF98" s="319" t="s">
        <v>190</v>
      </c>
      <c r="FG98" s="319" t="s">
        <v>190</v>
      </c>
      <c r="FH98" s="319" t="s">
        <v>190</v>
      </c>
      <c r="FI98" s="319" t="s">
        <v>190</v>
      </c>
      <c r="FJ98" s="319" t="s">
        <v>190</v>
      </c>
      <c r="FK98" s="319" t="s">
        <v>190</v>
      </c>
      <c r="FL98" s="319" t="s">
        <v>190</v>
      </c>
      <c r="FM98" s="319" t="s">
        <v>190</v>
      </c>
      <c r="FN98" s="319" t="s">
        <v>190</v>
      </c>
      <c r="FO98" s="319" t="s">
        <v>190</v>
      </c>
      <c r="FP98" s="319" t="s">
        <v>190</v>
      </c>
      <c r="FQ98" s="319" t="s">
        <v>190</v>
      </c>
      <c r="FR98" s="319" t="s">
        <v>190</v>
      </c>
      <c r="FS98" s="319" t="s">
        <v>190</v>
      </c>
      <c r="FT98" s="319" t="s">
        <v>190</v>
      </c>
      <c r="FU98" s="319" t="s">
        <v>190</v>
      </c>
      <c r="FV98" s="319" t="s">
        <v>190</v>
      </c>
      <c r="FW98" s="319" t="s">
        <v>190</v>
      </c>
      <c r="FX98" s="319" t="s">
        <v>190</v>
      </c>
      <c r="FY98" s="319" t="s">
        <v>190</v>
      </c>
      <c r="FZ98" s="319" t="s">
        <v>190</v>
      </c>
      <c r="GA98" s="319" t="s">
        <v>190</v>
      </c>
      <c r="GB98" s="319" t="s">
        <v>190</v>
      </c>
      <c r="GC98" s="319" t="s">
        <v>190</v>
      </c>
      <c r="GD98" s="319" t="s">
        <v>190</v>
      </c>
      <c r="GE98" s="319" t="s">
        <v>190</v>
      </c>
      <c r="GF98" s="319" t="s">
        <v>190</v>
      </c>
      <c r="GG98" s="319" t="s">
        <v>190</v>
      </c>
      <c r="GH98" s="319" t="s">
        <v>190</v>
      </c>
      <c r="GI98" s="319" t="s">
        <v>190</v>
      </c>
      <c r="GJ98" s="319" t="s">
        <v>190</v>
      </c>
      <c r="GK98" s="319" t="s">
        <v>190</v>
      </c>
      <c r="GL98" s="319" t="s">
        <v>190</v>
      </c>
      <c r="GM98" s="319" t="s">
        <v>190</v>
      </c>
      <c r="GN98" s="319" t="s">
        <v>190</v>
      </c>
      <c r="GO98" s="319" t="s">
        <v>190</v>
      </c>
      <c r="GP98" s="319" t="s">
        <v>190</v>
      </c>
      <c r="GQ98" s="319" t="s">
        <v>190</v>
      </c>
      <c r="GR98" s="319" t="s">
        <v>190</v>
      </c>
      <c r="GS98" s="319" t="s">
        <v>190</v>
      </c>
      <c r="GT98" s="319" t="s">
        <v>428</v>
      </c>
      <c r="GU98" s="319" t="s">
        <v>428</v>
      </c>
      <c r="GV98" s="319" t="s">
        <v>190</v>
      </c>
      <c r="GW98" s="319" t="s">
        <v>190</v>
      </c>
      <c r="GX98" s="319" t="s">
        <v>190</v>
      </c>
      <c r="GY98" s="319" t="s">
        <v>190</v>
      </c>
      <c r="GZ98" s="319" t="s">
        <v>428</v>
      </c>
      <c r="HA98" s="319" t="s">
        <v>190</v>
      </c>
      <c r="HB98" s="319" t="s">
        <v>428</v>
      </c>
      <c r="HC98" s="319" t="s">
        <v>190</v>
      </c>
      <c r="HD98" s="319" t="s">
        <v>190</v>
      </c>
      <c r="HE98" s="319" t="s">
        <v>190</v>
      </c>
      <c r="HF98" s="319" t="s">
        <v>190</v>
      </c>
      <c r="HG98" s="319" t="s">
        <v>190</v>
      </c>
      <c r="HH98" s="319" t="s">
        <v>190</v>
      </c>
      <c r="HI98" s="319" t="s">
        <v>190</v>
      </c>
      <c r="HJ98" s="319" t="s">
        <v>190</v>
      </c>
      <c r="HK98" s="319" t="s">
        <v>190</v>
      </c>
      <c r="HL98" s="319" t="s">
        <v>428</v>
      </c>
      <c r="HM98" s="319" t="s">
        <v>428</v>
      </c>
      <c r="HN98" s="319" t="s">
        <v>428</v>
      </c>
      <c r="HO98" s="319" t="s">
        <v>428</v>
      </c>
      <c r="HP98" s="319" t="s">
        <v>190</v>
      </c>
      <c r="HQ98" s="319" t="s">
        <v>190</v>
      </c>
      <c r="HR98" s="319" t="s">
        <v>190</v>
      </c>
      <c r="HS98" s="319" t="s">
        <v>190</v>
      </c>
      <c r="HT98" s="319" t="s">
        <v>190</v>
      </c>
      <c r="HU98" s="319" t="s">
        <v>190</v>
      </c>
      <c r="HV98" s="319" t="s">
        <v>190</v>
      </c>
      <c r="HW98" s="319" t="s">
        <v>190</v>
      </c>
      <c r="HX98" s="319" t="s">
        <v>190</v>
      </c>
      <c r="HY98" s="319" t="s">
        <v>190</v>
      </c>
      <c r="HZ98" s="319" t="s">
        <v>190</v>
      </c>
      <c r="IA98" s="319" t="s">
        <v>190</v>
      </c>
      <c r="IB98" s="319" t="s">
        <v>190</v>
      </c>
      <c r="IC98" s="319" t="s">
        <v>190</v>
      </c>
      <c r="ID98" s="319" t="s">
        <v>190</v>
      </c>
      <c r="IE98" s="319" t="s">
        <v>190</v>
      </c>
      <c r="IF98" s="319" t="s">
        <v>191</v>
      </c>
      <c r="IG98" s="319" t="s">
        <v>191</v>
      </c>
      <c r="IH98" s="319" t="s">
        <v>191</v>
      </c>
      <c r="II98" s="319" t="s">
        <v>190</v>
      </c>
      <c r="IJ98" s="319">
        <v>10021800</v>
      </c>
      <c r="IK98" s="321">
        <v>42822</v>
      </c>
      <c r="IL98" s="321">
        <v>42824</v>
      </c>
      <c r="IM98" s="321">
        <v>42864</v>
      </c>
      <c r="IN98" s="319">
        <v>4</v>
      </c>
      <c r="IO98" s="319" t="s">
        <v>173</v>
      </c>
      <c r="IP98" s="319" t="s">
        <v>173</v>
      </c>
      <c r="IQ98" s="319" t="s">
        <v>173</v>
      </c>
      <c r="IR98" s="320" t="s">
        <v>173</v>
      </c>
      <c r="IS98" s="320" t="s">
        <v>173</v>
      </c>
      <c r="IT98" s="319" t="s">
        <v>173</v>
      </c>
    </row>
    <row r="99" spans="1:254" s="271" customFormat="1" x14ac:dyDescent="0.25">
      <c r="A99" s="318" t="str">
        <f>HYPERLINK("http://www.ofsted.gov.uk/inspection-reports/find-inspection-report/provider/ELS/106002 ","Ofsted School Webpage")</f>
        <v>Ofsted School Webpage</v>
      </c>
      <c r="B99" s="319">
        <v>106002</v>
      </c>
      <c r="C99" s="319">
        <v>3556024</v>
      </c>
      <c r="D99" s="319" t="s">
        <v>866</v>
      </c>
      <c r="E99" s="319" t="s">
        <v>167</v>
      </c>
      <c r="F99" s="319" t="s">
        <v>70</v>
      </c>
      <c r="G99" s="319" t="s">
        <v>70</v>
      </c>
      <c r="H99" s="319" t="s">
        <v>70</v>
      </c>
      <c r="I99" s="319" t="s">
        <v>69</v>
      </c>
      <c r="J99" s="319" t="s">
        <v>424</v>
      </c>
      <c r="K99" s="319" t="s">
        <v>431</v>
      </c>
      <c r="L99" s="319" t="s">
        <v>431</v>
      </c>
      <c r="M99" s="319" t="s">
        <v>533</v>
      </c>
      <c r="N99" s="319" t="s">
        <v>2874</v>
      </c>
      <c r="O99" s="319" t="s">
        <v>867</v>
      </c>
      <c r="P99" s="319">
        <v>533</v>
      </c>
      <c r="Q99" s="319" t="s">
        <v>2766</v>
      </c>
      <c r="R99" s="320">
        <v>10067881</v>
      </c>
      <c r="S99" s="321">
        <v>43487</v>
      </c>
      <c r="T99" s="321">
        <v>43489</v>
      </c>
      <c r="U99" s="321">
        <v>43523</v>
      </c>
      <c r="V99" s="319" t="s">
        <v>425</v>
      </c>
      <c r="W99" s="319" t="s">
        <v>2767</v>
      </c>
      <c r="X99" s="319">
        <v>3</v>
      </c>
      <c r="Y99" s="319" t="s">
        <v>173</v>
      </c>
      <c r="Z99" s="319" t="s">
        <v>173</v>
      </c>
      <c r="AA99" s="319" t="s">
        <v>173</v>
      </c>
      <c r="AB99" s="319">
        <v>3</v>
      </c>
      <c r="AC99" s="319" t="s">
        <v>169</v>
      </c>
      <c r="AD99" s="319">
        <v>3</v>
      </c>
      <c r="AE99" s="319" t="s">
        <v>173</v>
      </c>
      <c r="AF99" s="319" t="s">
        <v>447</v>
      </c>
      <c r="AG99" s="319" t="s">
        <v>172</v>
      </c>
      <c r="AH99" s="319" t="s">
        <v>479</v>
      </c>
      <c r="AI99" s="319" t="s">
        <v>479</v>
      </c>
      <c r="AJ99" s="319" t="s">
        <v>190</v>
      </c>
      <c r="AK99" s="319" t="s">
        <v>190</v>
      </c>
      <c r="AL99" s="319" t="s">
        <v>190</v>
      </c>
      <c r="AM99" s="319" t="s">
        <v>190</v>
      </c>
      <c r="AN99" s="319" t="s">
        <v>190</v>
      </c>
      <c r="AO99" s="319" t="s">
        <v>479</v>
      </c>
      <c r="AP99" s="319" t="s">
        <v>191</v>
      </c>
      <c r="AQ99" s="319" t="s">
        <v>191</v>
      </c>
      <c r="AR99" s="319" t="s">
        <v>190</v>
      </c>
      <c r="AS99" s="319" t="s">
        <v>190</v>
      </c>
      <c r="AT99" s="319" t="s">
        <v>190</v>
      </c>
      <c r="AU99" s="319" t="s">
        <v>191</v>
      </c>
      <c r="AV99" s="319" t="s">
        <v>190</v>
      </c>
      <c r="AW99" s="319" t="s">
        <v>190</v>
      </c>
      <c r="AX99" s="319" t="s">
        <v>428</v>
      </c>
      <c r="AY99" s="319" t="s">
        <v>191</v>
      </c>
      <c r="AZ99" s="319" t="s">
        <v>190</v>
      </c>
      <c r="BA99" s="319" t="s">
        <v>191</v>
      </c>
      <c r="BB99" s="319" t="s">
        <v>428</v>
      </c>
      <c r="BC99" s="319" t="s">
        <v>428</v>
      </c>
      <c r="BD99" s="319" t="s">
        <v>428</v>
      </c>
      <c r="BE99" s="319" t="s">
        <v>428</v>
      </c>
      <c r="BF99" s="319" t="s">
        <v>190</v>
      </c>
      <c r="BG99" s="319" t="s">
        <v>428</v>
      </c>
      <c r="BH99" s="319" t="s">
        <v>190</v>
      </c>
      <c r="BI99" s="319" t="s">
        <v>190</v>
      </c>
      <c r="BJ99" s="319" t="s">
        <v>190</v>
      </c>
      <c r="BK99" s="319" t="s">
        <v>190</v>
      </c>
      <c r="BL99" s="319" t="s">
        <v>190</v>
      </c>
      <c r="BM99" s="319" t="s">
        <v>190</v>
      </c>
      <c r="BN99" s="319" t="s">
        <v>190</v>
      </c>
      <c r="BO99" s="319" t="s">
        <v>190</v>
      </c>
      <c r="BP99" s="319" t="s">
        <v>190</v>
      </c>
      <c r="BQ99" s="319" t="s">
        <v>190</v>
      </c>
      <c r="BR99" s="319" t="s">
        <v>190</v>
      </c>
      <c r="BS99" s="319" t="s">
        <v>190</v>
      </c>
      <c r="BT99" s="319" t="s">
        <v>190</v>
      </c>
      <c r="BU99" s="319" t="s">
        <v>190</v>
      </c>
      <c r="BV99" s="319" t="s">
        <v>191</v>
      </c>
      <c r="BW99" s="319" t="s">
        <v>190</v>
      </c>
      <c r="BX99" s="319" t="s">
        <v>191</v>
      </c>
      <c r="BY99" s="319" t="s">
        <v>190</v>
      </c>
      <c r="BZ99" s="319" t="s">
        <v>190</v>
      </c>
      <c r="CA99" s="319" t="s">
        <v>190</v>
      </c>
      <c r="CB99" s="319" t="s">
        <v>190</v>
      </c>
      <c r="CC99" s="319" t="s">
        <v>190</v>
      </c>
      <c r="CD99" s="319" t="s">
        <v>191</v>
      </c>
      <c r="CE99" s="319" t="s">
        <v>190</v>
      </c>
      <c r="CF99" s="319" t="s">
        <v>190</v>
      </c>
      <c r="CG99" s="319" t="s">
        <v>190</v>
      </c>
      <c r="CH99" s="319" t="s">
        <v>190</v>
      </c>
      <c r="CI99" s="319" t="s">
        <v>190</v>
      </c>
      <c r="CJ99" s="319" t="s">
        <v>190</v>
      </c>
      <c r="CK99" s="319" t="s">
        <v>190</v>
      </c>
      <c r="CL99" s="319" t="s">
        <v>190</v>
      </c>
      <c r="CM99" s="319" t="s">
        <v>190</v>
      </c>
      <c r="CN99" s="319" t="s">
        <v>428</v>
      </c>
      <c r="CO99" s="319" t="s">
        <v>428</v>
      </c>
      <c r="CP99" s="319" t="s">
        <v>428</v>
      </c>
      <c r="CQ99" s="319" t="s">
        <v>190</v>
      </c>
      <c r="CR99" s="319" t="s">
        <v>190</v>
      </c>
      <c r="CS99" s="319" t="s">
        <v>190</v>
      </c>
      <c r="CT99" s="319" t="s">
        <v>190</v>
      </c>
      <c r="CU99" s="319" t="s">
        <v>190</v>
      </c>
      <c r="CV99" s="319" t="s">
        <v>190</v>
      </c>
      <c r="CW99" s="319" t="s">
        <v>190</v>
      </c>
      <c r="CX99" s="319" t="s">
        <v>190</v>
      </c>
      <c r="CY99" s="319" t="s">
        <v>190</v>
      </c>
      <c r="CZ99" s="319" t="s">
        <v>190</v>
      </c>
      <c r="DA99" s="319" t="s">
        <v>190</v>
      </c>
      <c r="DB99" s="319" t="s">
        <v>190</v>
      </c>
      <c r="DC99" s="319" t="s">
        <v>190</v>
      </c>
      <c r="DD99" s="319" t="s">
        <v>190</v>
      </c>
      <c r="DE99" s="319" t="s">
        <v>190</v>
      </c>
      <c r="DF99" s="319" t="s">
        <v>190</v>
      </c>
      <c r="DG99" s="319" t="s">
        <v>190</v>
      </c>
      <c r="DH99" s="319" t="s">
        <v>190</v>
      </c>
      <c r="DI99" s="319" t="s">
        <v>190</v>
      </c>
      <c r="DJ99" s="319" t="s">
        <v>190</v>
      </c>
      <c r="DK99" s="319" t="s">
        <v>190</v>
      </c>
      <c r="DL99" s="319" t="s">
        <v>190</v>
      </c>
      <c r="DM99" s="319" t="s">
        <v>190</v>
      </c>
      <c r="DN99" s="319" t="s">
        <v>428</v>
      </c>
      <c r="DO99" s="319" t="s">
        <v>190</v>
      </c>
      <c r="DP99" s="319" t="s">
        <v>428</v>
      </c>
      <c r="DQ99" s="319" t="s">
        <v>428</v>
      </c>
      <c r="DR99" s="319" t="s">
        <v>428</v>
      </c>
      <c r="DS99" s="319" t="s">
        <v>428</v>
      </c>
      <c r="DT99" s="319" t="s">
        <v>428</v>
      </c>
      <c r="DU99" s="319" t="s">
        <v>428</v>
      </c>
      <c r="DV99" s="319" t="s">
        <v>173</v>
      </c>
      <c r="DW99" s="319" t="s">
        <v>428</v>
      </c>
      <c r="DX99" s="319" t="s">
        <v>428</v>
      </c>
      <c r="DY99" s="319" t="s">
        <v>428</v>
      </c>
      <c r="DZ99" s="319" t="s">
        <v>428</v>
      </c>
      <c r="EA99" s="319" t="s">
        <v>428</v>
      </c>
      <c r="EB99" s="319" t="s">
        <v>428</v>
      </c>
      <c r="EC99" s="319" t="s">
        <v>428</v>
      </c>
      <c r="ED99" s="319" t="s">
        <v>428</v>
      </c>
      <c r="EE99" s="319" t="s">
        <v>428</v>
      </c>
      <c r="EF99" s="319" t="s">
        <v>428</v>
      </c>
      <c r="EG99" s="319" t="s">
        <v>428</v>
      </c>
      <c r="EH99" s="319" t="s">
        <v>428</v>
      </c>
      <c r="EI99" s="319" t="s">
        <v>428</v>
      </c>
      <c r="EJ99" s="319" t="s">
        <v>428</v>
      </c>
      <c r="EK99" s="319" t="s">
        <v>428</v>
      </c>
      <c r="EL99" s="319" t="s">
        <v>428</v>
      </c>
      <c r="EM99" s="319" t="s">
        <v>428</v>
      </c>
      <c r="EN99" s="319" t="s">
        <v>190</v>
      </c>
      <c r="EO99" s="319" t="s">
        <v>190</v>
      </c>
      <c r="EP99" s="319" t="s">
        <v>190</v>
      </c>
      <c r="EQ99" s="319" t="s">
        <v>190</v>
      </c>
      <c r="ER99" s="319" t="s">
        <v>190</v>
      </c>
      <c r="ES99" s="319" t="s">
        <v>190</v>
      </c>
      <c r="ET99" s="319" t="s">
        <v>190</v>
      </c>
      <c r="EU99" s="319" t="s">
        <v>190</v>
      </c>
      <c r="EV99" s="319" t="s">
        <v>190</v>
      </c>
      <c r="EW99" s="319" t="s">
        <v>190</v>
      </c>
      <c r="EX99" s="319" t="s">
        <v>190</v>
      </c>
      <c r="EY99" s="319" t="s">
        <v>190</v>
      </c>
      <c r="EZ99" s="319" t="s">
        <v>190</v>
      </c>
      <c r="FA99" s="319" t="s">
        <v>190</v>
      </c>
      <c r="FB99" s="319" t="s">
        <v>428</v>
      </c>
      <c r="FC99" s="319" t="s">
        <v>428</v>
      </c>
      <c r="FD99" s="319" t="s">
        <v>428</v>
      </c>
      <c r="FE99" s="319" t="s">
        <v>428</v>
      </c>
      <c r="FF99" s="319" t="s">
        <v>428</v>
      </c>
      <c r="FG99" s="319" t="s">
        <v>428</v>
      </c>
      <c r="FH99" s="319" t="s">
        <v>428</v>
      </c>
      <c r="FI99" s="319" t="s">
        <v>428</v>
      </c>
      <c r="FJ99" s="319" t="s">
        <v>429</v>
      </c>
      <c r="FK99" s="319" t="s">
        <v>428</v>
      </c>
      <c r="FL99" s="319" t="s">
        <v>190</v>
      </c>
      <c r="FM99" s="319" t="s">
        <v>190</v>
      </c>
      <c r="FN99" s="319" t="s">
        <v>428</v>
      </c>
      <c r="FO99" s="319" t="s">
        <v>428</v>
      </c>
      <c r="FP99" s="319" t="s">
        <v>190</v>
      </c>
      <c r="FQ99" s="319" t="s">
        <v>190</v>
      </c>
      <c r="FR99" s="319" t="s">
        <v>190</v>
      </c>
      <c r="FS99" s="319" t="s">
        <v>428</v>
      </c>
      <c r="FT99" s="319" t="s">
        <v>190</v>
      </c>
      <c r="FU99" s="319" t="s">
        <v>190</v>
      </c>
      <c r="FV99" s="319" t="s">
        <v>190</v>
      </c>
      <c r="FW99" s="319" t="s">
        <v>190</v>
      </c>
      <c r="FX99" s="319" t="s">
        <v>190</v>
      </c>
      <c r="FY99" s="319" t="s">
        <v>190</v>
      </c>
      <c r="FZ99" s="319" t="s">
        <v>190</v>
      </c>
      <c r="GA99" s="319" t="s">
        <v>190</v>
      </c>
      <c r="GB99" s="319" t="s">
        <v>190</v>
      </c>
      <c r="GC99" s="319" t="s">
        <v>190</v>
      </c>
      <c r="GD99" s="319" t="s">
        <v>190</v>
      </c>
      <c r="GE99" s="319" t="s">
        <v>190</v>
      </c>
      <c r="GF99" s="319" t="s">
        <v>190</v>
      </c>
      <c r="GG99" s="319" t="s">
        <v>190</v>
      </c>
      <c r="GH99" s="319" t="s">
        <v>190</v>
      </c>
      <c r="GI99" s="319" t="s">
        <v>190</v>
      </c>
      <c r="GJ99" s="319" t="s">
        <v>190</v>
      </c>
      <c r="GK99" s="319" t="s">
        <v>428</v>
      </c>
      <c r="GL99" s="319" t="s">
        <v>190</v>
      </c>
      <c r="GM99" s="319" t="s">
        <v>190</v>
      </c>
      <c r="GN99" s="319" t="s">
        <v>190</v>
      </c>
      <c r="GO99" s="319" t="s">
        <v>190</v>
      </c>
      <c r="GP99" s="319" t="s">
        <v>190</v>
      </c>
      <c r="GQ99" s="319" t="s">
        <v>428</v>
      </c>
      <c r="GR99" s="319" t="s">
        <v>190</v>
      </c>
      <c r="GS99" s="319" t="s">
        <v>190</v>
      </c>
      <c r="GT99" s="319" t="s">
        <v>428</v>
      </c>
      <c r="GU99" s="319" t="s">
        <v>190</v>
      </c>
      <c r="GV99" s="319" t="s">
        <v>428</v>
      </c>
      <c r="GW99" s="319" t="s">
        <v>190</v>
      </c>
      <c r="GX99" s="319" t="s">
        <v>190</v>
      </c>
      <c r="GY99" s="319" t="s">
        <v>190</v>
      </c>
      <c r="GZ99" s="319" t="s">
        <v>190</v>
      </c>
      <c r="HA99" s="319" t="s">
        <v>428</v>
      </c>
      <c r="HB99" s="319" t="s">
        <v>428</v>
      </c>
      <c r="HC99" s="319" t="s">
        <v>190</v>
      </c>
      <c r="HD99" s="319" t="s">
        <v>190</v>
      </c>
      <c r="HE99" s="319" t="s">
        <v>190</v>
      </c>
      <c r="HF99" s="319" t="s">
        <v>190</v>
      </c>
      <c r="HG99" s="319" t="s">
        <v>190</v>
      </c>
      <c r="HH99" s="319" t="s">
        <v>190</v>
      </c>
      <c r="HI99" s="319" t="s">
        <v>190</v>
      </c>
      <c r="HJ99" s="319" t="s">
        <v>190</v>
      </c>
      <c r="HK99" s="319" t="s">
        <v>190</v>
      </c>
      <c r="HL99" s="319" t="s">
        <v>428</v>
      </c>
      <c r="HM99" s="319" t="s">
        <v>428</v>
      </c>
      <c r="HN99" s="319" t="s">
        <v>428</v>
      </c>
      <c r="HO99" s="319" t="s">
        <v>428</v>
      </c>
      <c r="HP99" s="319" t="s">
        <v>190</v>
      </c>
      <c r="HQ99" s="319" t="s">
        <v>190</v>
      </c>
      <c r="HR99" s="319" t="s">
        <v>190</v>
      </c>
      <c r="HS99" s="319" t="s">
        <v>190</v>
      </c>
      <c r="HT99" s="319" t="s">
        <v>190</v>
      </c>
      <c r="HU99" s="319" t="s">
        <v>190</v>
      </c>
      <c r="HV99" s="319" t="s">
        <v>190</v>
      </c>
      <c r="HW99" s="319" t="s">
        <v>190</v>
      </c>
      <c r="HX99" s="319" t="s">
        <v>190</v>
      </c>
      <c r="HY99" s="319" t="s">
        <v>190</v>
      </c>
      <c r="HZ99" s="319" t="s">
        <v>190</v>
      </c>
      <c r="IA99" s="319" t="s">
        <v>190</v>
      </c>
      <c r="IB99" s="319" t="s">
        <v>190</v>
      </c>
      <c r="IC99" s="319" t="s">
        <v>190</v>
      </c>
      <c r="ID99" s="319" t="s">
        <v>190</v>
      </c>
      <c r="IE99" s="319" t="s">
        <v>190</v>
      </c>
      <c r="IF99" s="319" t="s">
        <v>191</v>
      </c>
      <c r="IG99" s="319" t="s">
        <v>191</v>
      </c>
      <c r="IH99" s="319" t="s">
        <v>191</v>
      </c>
      <c r="II99" s="319" t="s">
        <v>190</v>
      </c>
      <c r="IJ99" s="319">
        <v>10026001</v>
      </c>
      <c r="IK99" s="321">
        <v>43053</v>
      </c>
      <c r="IL99" s="321">
        <v>43055</v>
      </c>
      <c r="IM99" s="321">
        <v>43109</v>
      </c>
      <c r="IN99" s="319">
        <v>3</v>
      </c>
      <c r="IO99" s="319">
        <v>10118088</v>
      </c>
      <c r="IP99" s="319" t="s">
        <v>985</v>
      </c>
      <c r="IQ99" s="321">
        <v>43726</v>
      </c>
      <c r="IR99" s="320" t="s">
        <v>2771</v>
      </c>
      <c r="IS99" s="322">
        <v>43772</v>
      </c>
      <c r="IT99" s="319" t="s">
        <v>166</v>
      </c>
    </row>
    <row r="100" spans="1:254" s="271" customFormat="1" x14ac:dyDescent="0.25">
      <c r="A100" s="318" t="str">
        <f>HYPERLINK("http://www.ofsted.gov.uk/inspection-reports/find-inspection-report/provider/ELS/106003 ","Ofsted School Webpage")</f>
        <v>Ofsted School Webpage</v>
      </c>
      <c r="B100" s="319">
        <v>106003</v>
      </c>
      <c r="C100" s="319">
        <v>3556027</v>
      </c>
      <c r="D100" s="319" t="s">
        <v>1347</v>
      </c>
      <c r="E100" s="319" t="s">
        <v>167</v>
      </c>
      <c r="F100" s="319" t="s">
        <v>70</v>
      </c>
      <c r="G100" s="319" t="s">
        <v>69</v>
      </c>
      <c r="H100" s="319" t="s">
        <v>70</v>
      </c>
      <c r="I100" s="319" t="s">
        <v>69</v>
      </c>
      <c r="J100" s="319" t="s">
        <v>424</v>
      </c>
      <c r="K100" s="319" t="s">
        <v>431</v>
      </c>
      <c r="L100" s="319" t="s">
        <v>431</v>
      </c>
      <c r="M100" s="319" t="s">
        <v>533</v>
      </c>
      <c r="N100" s="319" t="s">
        <v>2874</v>
      </c>
      <c r="O100" s="319" t="s">
        <v>1348</v>
      </c>
      <c r="P100" s="319">
        <v>238</v>
      </c>
      <c r="Q100" s="319" t="s">
        <v>2766</v>
      </c>
      <c r="R100" s="320">
        <v>10067882</v>
      </c>
      <c r="S100" s="321">
        <v>43536</v>
      </c>
      <c r="T100" s="321">
        <v>43538</v>
      </c>
      <c r="U100" s="321">
        <v>43558</v>
      </c>
      <c r="V100" s="319" t="s">
        <v>425</v>
      </c>
      <c r="W100" s="319" t="s">
        <v>2767</v>
      </c>
      <c r="X100" s="319">
        <v>2</v>
      </c>
      <c r="Y100" s="319" t="s">
        <v>173</v>
      </c>
      <c r="Z100" s="319" t="s">
        <v>173</v>
      </c>
      <c r="AA100" s="319" t="s">
        <v>173</v>
      </c>
      <c r="AB100" s="319">
        <v>2</v>
      </c>
      <c r="AC100" s="319" t="s">
        <v>169</v>
      </c>
      <c r="AD100" s="319">
        <v>2</v>
      </c>
      <c r="AE100" s="319" t="s">
        <v>173</v>
      </c>
      <c r="AF100" s="319" t="s">
        <v>427</v>
      </c>
      <c r="AG100" s="319" t="s">
        <v>171</v>
      </c>
      <c r="AH100" s="319" t="s">
        <v>190</v>
      </c>
      <c r="AI100" s="319" t="s">
        <v>190</v>
      </c>
      <c r="AJ100" s="319" t="s">
        <v>190</v>
      </c>
      <c r="AK100" s="319" t="s">
        <v>190</v>
      </c>
      <c r="AL100" s="319" t="s">
        <v>190</v>
      </c>
      <c r="AM100" s="319" t="s">
        <v>190</v>
      </c>
      <c r="AN100" s="319" t="s">
        <v>190</v>
      </c>
      <c r="AO100" s="319" t="s">
        <v>190</v>
      </c>
      <c r="AP100" s="319" t="s">
        <v>190</v>
      </c>
      <c r="AQ100" s="319" t="s">
        <v>190</v>
      </c>
      <c r="AR100" s="319" t="s">
        <v>190</v>
      </c>
      <c r="AS100" s="319" t="s">
        <v>190</v>
      </c>
      <c r="AT100" s="319" t="s">
        <v>190</v>
      </c>
      <c r="AU100" s="319" t="s">
        <v>190</v>
      </c>
      <c r="AV100" s="319" t="s">
        <v>190</v>
      </c>
      <c r="AW100" s="319" t="s">
        <v>190</v>
      </c>
      <c r="AX100" s="319" t="s">
        <v>428</v>
      </c>
      <c r="AY100" s="319" t="s">
        <v>190</v>
      </c>
      <c r="AZ100" s="319" t="s">
        <v>190</v>
      </c>
      <c r="BA100" s="319" t="s">
        <v>190</v>
      </c>
      <c r="BB100" s="319" t="s">
        <v>428</v>
      </c>
      <c r="BC100" s="319" t="s">
        <v>428</v>
      </c>
      <c r="BD100" s="319" t="s">
        <v>428</v>
      </c>
      <c r="BE100" s="319" t="s">
        <v>428</v>
      </c>
      <c r="BF100" s="319" t="s">
        <v>190</v>
      </c>
      <c r="BG100" s="319" t="s">
        <v>428</v>
      </c>
      <c r="BH100" s="319" t="s">
        <v>190</v>
      </c>
      <c r="BI100" s="319" t="s">
        <v>190</v>
      </c>
      <c r="BJ100" s="319" t="s">
        <v>190</v>
      </c>
      <c r="BK100" s="319" t="s">
        <v>190</v>
      </c>
      <c r="BL100" s="319" t="s">
        <v>190</v>
      </c>
      <c r="BM100" s="319" t="s">
        <v>190</v>
      </c>
      <c r="BN100" s="319" t="s">
        <v>190</v>
      </c>
      <c r="BO100" s="319" t="s">
        <v>190</v>
      </c>
      <c r="BP100" s="319" t="s">
        <v>190</v>
      </c>
      <c r="BQ100" s="319" t="s">
        <v>190</v>
      </c>
      <c r="BR100" s="319" t="s">
        <v>190</v>
      </c>
      <c r="BS100" s="319" t="s">
        <v>190</v>
      </c>
      <c r="BT100" s="319" t="s">
        <v>190</v>
      </c>
      <c r="BU100" s="319" t="s">
        <v>190</v>
      </c>
      <c r="BV100" s="319" t="s">
        <v>190</v>
      </c>
      <c r="BW100" s="319" t="s">
        <v>190</v>
      </c>
      <c r="BX100" s="319" t="s">
        <v>190</v>
      </c>
      <c r="BY100" s="319" t="s">
        <v>190</v>
      </c>
      <c r="BZ100" s="319" t="s">
        <v>190</v>
      </c>
      <c r="CA100" s="319" t="s">
        <v>190</v>
      </c>
      <c r="CB100" s="319" t="s">
        <v>190</v>
      </c>
      <c r="CC100" s="319" t="s">
        <v>190</v>
      </c>
      <c r="CD100" s="319" t="s">
        <v>190</v>
      </c>
      <c r="CE100" s="319" t="s">
        <v>190</v>
      </c>
      <c r="CF100" s="319" t="s">
        <v>190</v>
      </c>
      <c r="CG100" s="319" t="s">
        <v>190</v>
      </c>
      <c r="CH100" s="319" t="s">
        <v>190</v>
      </c>
      <c r="CI100" s="319" t="s">
        <v>190</v>
      </c>
      <c r="CJ100" s="319" t="s">
        <v>190</v>
      </c>
      <c r="CK100" s="319" t="s">
        <v>190</v>
      </c>
      <c r="CL100" s="319" t="s">
        <v>190</v>
      </c>
      <c r="CM100" s="319" t="s">
        <v>190</v>
      </c>
      <c r="CN100" s="319" t="s">
        <v>190</v>
      </c>
      <c r="CO100" s="319" t="s">
        <v>428</v>
      </c>
      <c r="CP100" s="319" t="s">
        <v>428</v>
      </c>
      <c r="CQ100" s="319" t="s">
        <v>190</v>
      </c>
      <c r="CR100" s="319" t="s">
        <v>190</v>
      </c>
      <c r="CS100" s="319" t="s">
        <v>190</v>
      </c>
      <c r="CT100" s="319" t="s">
        <v>190</v>
      </c>
      <c r="CU100" s="319" t="s">
        <v>190</v>
      </c>
      <c r="CV100" s="319" t="s">
        <v>190</v>
      </c>
      <c r="CW100" s="319" t="s">
        <v>190</v>
      </c>
      <c r="CX100" s="319" t="s">
        <v>190</v>
      </c>
      <c r="CY100" s="319" t="s">
        <v>190</v>
      </c>
      <c r="CZ100" s="319" t="s">
        <v>190</v>
      </c>
      <c r="DA100" s="319" t="s">
        <v>190</v>
      </c>
      <c r="DB100" s="319" t="s">
        <v>190</v>
      </c>
      <c r="DC100" s="319" t="s">
        <v>190</v>
      </c>
      <c r="DD100" s="319" t="s">
        <v>190</v>
      </c>
      <c r="DE100" s="319" t="s">
        <v>190</v>
      </c>
      <c r="DF100" s="319" t="s">
        <v>190</v>
      </c>
      <c r="DG100" s="319" t="s">
        <v>190</v>
      </c>
      <c r="DH100" s="319" t="s">
        <v>190</v>
      </c>
      <c r="DI100" s="319" t="s">
        <v>190</v>
      </c>
      <c r="DJ100" s="319" t="s">
        <v>190</v>
      </c>
      <c r="DK100" s="319" t="s">
        <v>190</v>
      </c>
      <c r="DL100" s="319" t="s">
        <v>190</v>
      </c>
      <c r="DM100" s="319" t="s">
        <v>190</v>
      </c>
      <c r="DN100" s="319" t="s">
        <v>428</v>
      </c>
      <c r="DO100" s="319" t="s">
        <v>190</v>
      </c>
      <c r="DP100" s="319" t="s">
        <v>190</v>
      </c>
      <c r="DQ100" s="319" t="s">
        <v>190</v>
      </c>
      <c r="DR100" s="319" t="s">
        <v>190</v>
      </c>
      <c r="DS100" s="319" t="s">
        <v>190</v>
      </c>
      <c r="DT100" s="319" t="s">
        <v>190</v>
      </c>
      <c r="DU100" s="319" t="s">
        <v>190</v>
      </c>
      <c r="DV100" s="319" t="s">
        <v>173</v>
      </c>
      <c r="DW100" s="319" t="s">
        <v>190</v>
      </c>
      <c r="DX100" s="319" t="s">
        <v>190</v>
      </c>
      <c r="DY100" s="319" t="s">
        <v>190</v>
      </c>
      <c r="DZ100" s="319" t="s">
        <v>190</v>
      </c>
      <c r="EA100" s="319" t="s">
        <v>190</v>
      </c>
      <c r="EB100" s="319" t="s">
        <v>190</v>
      </c>
      <c r="EC100" s="319" t="s">
        <v>428</v>
      </c>
      <c r="ED100" s="319" t="s">
        <v>190</v>
      </c>
      <c r="EE100" s="319" t="s">
        <v>190</v>
      </c>
      <c r="EF100" s="319" t="s">
        <v>190</v>
      </c>
      <c r="EG100" s="319" t="s">
        <v>190</v>
      </c>
      <c r="EH100" s="319" t="s">
        <v>190</v>
      </c>
      <c r="EI100" s="319" t="s">
        <v>190</v>
      </c>
      <c r="EJ100" s="319" t="s">
        <v>190</v>
      </c>
      <c r="EK100" s="319" t="s">
        <v>190</v>
      </c>
      <c r="EL100" s="319" t="s">
        <v>190</v>
      </c>
      <c r="EM100" s="319" t="s">
        <v>190</v>
      </c>
      <c r="EN100" s="319" t="s">
        <v>190</v>
      </c>
      <c r="EO100" s="319" t="s">
        <v>190</v>
      </c>
      <c r="EP100" s="319" t="s">
        <v>190</v>
      </c>
      <c r="EQ100" s="319" t="s">
        <v>190</v>
      </c>
      <c r="ER100" s="319" t="s">
        <v>190</v>
      </c>
      <c r="ES100" s="319" t="s">
        <v>190</v>
      </c>
      <c r="ET100" s="319" t="s">
        <v>190</v>
      </c>
      <c r="EU100" s="319" t="s">
        <v>190</v>
      </c>
      <c r="EV100" s="319" t="s">
        <v>190</v>
      </c>
      <c r="EW100" s="319" t="s">
        <v>190</v>
      </c>
      <c r="EX100" s="319" t="s">
        <v>190</v>
      </c>
      <c r="EY100" s="319" t="s">
        <v>190</v>
      </c>
      <c r="EZ100" s="319" t="s">
        <v>190</v>
      </c>
      <c r="FA100" s="319" t="s">
        <v>190</v>
      </c>
      <c r="FB100" s="319" t="s">
        <v>190</v>
      </c>
      <c r="FC100" s="319" t="s">
        <v>190</v>
      </c>
      <c r="FD100" s="319" t="s">
        <v>190</v>
      </c>
      <c r="FE100" s="319" t="s">
        <v>190</v>
      </c>
      <c r="FF100" s="319" t="s">
        <v>190</v>
      </c>
      <c r="FG100" s="319" t="s">
        <v>190</v>
      </c>
      <c r="FH100" s="319" t="s">
        <v>190</v>
      </c>
      <c r="FI100" s="319" t="s">
        <v>190</v>
      </c>
      <c r="FJ100" s="319" t="s">
        <v>190</v>
      </c>
      <c r="FK100" s="319" t="s">
        <v>190</v>
      </c>
      <c r="FL100" s="319" t="s">
        <v>190</v>
      </c>
      <c r="FM100" s="319" t="s">
        <v>190</v>
      </c>
      <c r="FN100" s="319" t="s">
        <v>428</v>
      </c>
      <c r="FO100" s="319" t="s">
        <v>428</v>
      </c>
      <c r="FP100" s="319" t="s">
        <v>190</v>
      </c>
      <c r="FQ100" s="319" t="s">
        <v>190</v>
      </c>
      <c r="FR100" s="319" t="s">
        <v>190</v>
      </c>
      <c r="FS100" s="319" t="s">
        <v>428</v>
      </c>
      <c r="FT100" s="319" t="s">
        <v>190</v>
      </c>
      <c r="FU100" s="319" t="s">
        <v>190</v>
      </c>
      <c r="FV100" s="319" t="s">
        <v>190</v>
      </c>
      <c r="FW100" s="319" t="s">
        <v>190</v>
      </c>
      <c r="FX100" s="319" t="s">
        <v>190</v>
      </c>
      <c r="FY100" s="319" t="s">
        <v>190</v>
      </c>
      <c r="FZ100" s="319" t="s">
        <v>190</v>
      </c>
      <c r="GA100" s="319" t="s">
        <v>190</v>
      </c>
      <c r="GB100" s="319" t="s">
        <v>190</v>
      </c>
      <c r="GC100" s="319" t="s">
        <v>190</v>
      </c>
      <c r="GD100" s="319" t="s">
        <v>190</v>
      </c>
      <c r="GE100" s="319" t="s">
        <v>190</v>
      </c>
      <c r="GF100" s="319" t="s">
        <v>190</v>
      </c>
      <c r="GG100" s="319" t="s">
        <v>190</v>
      </c>
      <c r="GH100" s="319" t="s">
        <v>190</v>
      </c>
      <c r="GI100" s="319" t="s">
        <v>190</v>
      </c>
      <c r="GJ100" s="319" t="s">
        <v>190</v>
      </c>
      <c r="GK100" s="319" t="s">
        <v>428</v>
      </c>
      <c r="GL100" s="319" t="s">
        <v>190</v>
      </c>
      <c r="GM100" s="319" t="s">
        <v>190</v>
      </c>
      <c r="GN100" s="319" t="s">
        <v>190</v>
      </c>
      <c r="GO100" s="319" t="s">
        <v>190</v>
      </c>
      <c r="GP100" s="319" t="s">
        <v>190</v>
      </c>
      <c r="GQ100" s="319" t="s">
        <v>428</v>
      </c>
      <c r="GR100" s="319" t="s">
        <v>190</v>
      </c>
      <c r="GS100" s="319" t="s">
        <v>190</v>
      </c>
      <c r="GT100" s="319" t="s">
        <v>190</v>
      </c>
      <c r="GU100" s="319" t="s">
        <v>190</v>
      </c>
      <c r="GV100" s="319" t="s">
        <v>190</v>
      </c>
      <c r="GW100" s="319" t="s">
        <v>190</v>
      </c>
      <c r="GX100" s="319" t="s">
        <v>190</v>
      </c>
      <c r="GY100" s="319" t="s">
        <v>190</v>
      </c>
      <c r="GZ100" s="319" t="s">
        <v>190</v>
      </c>
      <c r="HA100" s="319" t="s">
        <v>190</v>
      </c>
      <c r="HB100" s="319" t="s">
        <v>428</v>
      </c>
      <c r="HC100" s="319" t="s">
        <v>190</v>
      </c>
      <c r="HD100" s="319" t="s">
        <v>190</v>
      </c>
      <c r="HE100" s="319" t="s">
        <v>190</v>
      </c>
      <c r="HF100" s="319" t="s">
        <v>190</v>
      </c>
      <c r="HG100" s="319" t="s">
        <v>190</v>
      </c>
      <c r="HH100" s="319" t="s">
        <v>190</v>
      </c>
      <c r="HI100" s="319" t="s">
        <v>190</v>
      </c>
      <c r="HJ100" s="319" t="s">
        <v>190</v>
      </c>
      <c r="HK100" s="319" t="s">
        <v>190</v>
      </c>
      <c r="HL100" s="319" t="s">
        <v>190</v>
      </c>
      <c r="HM100" s="319" t="s">
        <v>428</v>
      </c>
      <c r="HN100" s="319" t="s">
        <v>428</v>
      </c>
      <c r="HO100" s="319" t="s">
        <v>428</v>
      </c>
      <c r="HP100" s="319" t="s">
        <v>190</v>
      </c>
      <c r="HQ100" s="319" t="s">
        <v>190</v>
      </c>
      <c r="HR100" s="319" t="s">
        <v>190</v>
      </c>
      <c r="HS100" s="319" t="s">
        <v>190</v>
      </c>
      <c r="HT100" s="319" t="s">
        <v>190</v>
      </c>
      <c r="HU100" s="319" t="s">
        <v>190</v>
      </c>
      <c r="HV100" s="319" t="s">
        <v>190</v>
      </c>
      <c r="HW100" s="319" t="s">
        <v>190</v>
      </c>
      <c r="HX100" s="319" t="s">
        <v>190</v>
      </c>
      <c r="HY100" s="319" t="s">
        <v>190</v>
      </c>
      <c r="HZ100" s="319" t="s">
        <v>190</v>
      </c>
      <c r="IA100" s="319" t="s">
        <v>190</v>
      </c>
      <c r="IB100" s="319" t="s">
        <v>190</v>
      </c>
      <c r="IC100" s="319" t="s">
        <v>190</v>
      </c>
      <c r="ID100" s="319" t="s">
        <v>190</v>
      </c>
      <c r="IE100" s="319" t="s">
        <v>190</v>
      </c>
      <c r="IF100" s="319" t="s">
        <v>190</v>
      </c>
      <c r="IG100" s="319" t="s">
        <v>190</v>
      </c>
      <c r="IH100" s="319" t="s">
        <v>190</v>
      </c>
      <c r="II100" s="319" t="s">
        <v>190</v>
      </c>
      <c r="IJ100" s="319">
        <v>10026002</v>
      </c>
      <c r="IK100" s="321">
        <v>42773</v>
      </c>
      <c r="IL100" s="321">
        <v>42775</v>
      </c>
      <c r="IM100" s="321">
        <v>42930</v>
      </c>
      <c r="IN100" s="319">
        <v>3</v>
      </c>
      <c r="IO100" s="319" t="s">
        <v>173</v>
      </c>
      <c r="IP100" s="319" t="s">
        <v>173</v>
      </c>
      <c r="IQ100" s="319" t="s">
        <v>173</v>
      </c>
      <c r="IR100" s="320" t="s">
        <v>173</v>
      </c>
      <c r="IS100" s="320" t="s">
        <v>173</v>
      </c>
      <c r="IT100" s="319" t="s">
        <v>173</v>
      </c>
    </row>
    <row r="101" spans="1:254" s="271" customFormat="1" x14ac:dyDescent="0.25">
      <c r="A101" s="318" t="str">
        <f>HYPERLINK("http://www.ofsted.gov.uk/inspection-reports/find-inspection-report/provider/ELS/106154 ","Ofsted School Webpage")</f>
        <v>Ofsted School Webpage</v>
      </c>
      <c r="B101" s="319">
        <v>106154</v>
      </c>
      <c r="C101" s="319">
        <v>3566016</v>
      </c>
      <c r="D101" s="319" t="s">
        <v>1349</v>
      </c>
      <c r="E101" s="319" t="s">
        <v>167</v>
      </c>
      <c r="F101" s="319" t="s">
        <v>81</v>
      </c>
      <c r="G101" s="319" t="s">
        <v>67</v>
      </c>
      <c r="H101" s="319" t="s">
        <v>67</v>
      </c>
      <c r="I101" s="319" t="s">
        <v>59</v>
      </c>
      <c r="J101" s="319" t="s">
        <v>424</v>
      </c>
      <c r="K101" s="319" t="s">
        <v>431</v>
      </c>
      <c r="L101" s="319" t="s">
        <v>431</v>
      </c>
      <c r="M101" s="319" t="s">
        <v>837</v>
      </c>
      <c r="N101" s="319" t="s">
        <v>837</v>
      </c>
      <c r="O101" s="319" t="s">
        <v>1350</v>
      </c>
      <c r="P101" s="319">
        <v>59</v>
      </c>
      <c r="Q101" s="319" t="s">
        <v>2766</v>
      </c>
      <c r="R101" s="320">
        <v>10026003</v>
      </c>
      <c r="S101" s="321">
        <v>42703</v>
      </c>
      <c r="T101" s="321">
        <v>42705</v>
      </c>
      <c r="U101" s="321">
        <v>42746</v>
      </c>
      <c r="V101" s="319" t="s">
        <v>425</v>
      </c>
      <c r="W101" s="319" t="s">
        <v>2767</v>
      </c>
      <c r="X101" s="319">
        <v>2</v>
      </c>
      <c r="Y101" s="319" t="s">
        <v>173</v>
      </c>
      <c r="Z101" s="319" t="s">
        <v>173</v>
      </c>
      <c r="AA101" s="319" t="s">
        <v>173</v>
      </c>
      <c r="AB101" s="319">
        <v>2</v>
      </c>
      <c r="AC101" s="319" t="s">
        <v>169</v>
      </c>
      <c r="AD101" s="319">
        <v>2</v>
      </c>
      <c r="AE101" s="319" t="s">
        <v>173</v>
      </c>
      <c r="AF101" s="319" t="s">
        <v>173</v>
      </c>
      <c r="AG101" s="319" t="s">
        <v>171</v>
      </c>
      <c r="AH101" s="319" t="s">
        <v>190</v>
      </c>
      <c r="AI101" s="319" t="s">
        <v>190</v>
      </c>
      <c r="AJ101" s="319" t="s">
        <v>190</v>
      </c>
      <c r="AK101" s="319" t="s">
        <v>190</v>
      </c>
      <c r="AL101" s="319" t="s">
        <v>190</v>
      </c>
      <c r="AM101" s="319" t="s">
        <v>190</v>
      </c>
      <c r="AN101" s="319" t="s">
        <v>190</v>
      </c>
      <c r="AO101" s="319" t="s">
        <v>190</v>
      </c>
      <c r="AP101" s="319" t="s">
        <v>190</v>
      </c>
      <c r="AQ101" s="319" t="s">
        <v>190</v>
      </c>
      <c r="AR101" s="319" t="s">
        <v>190</v>
      </c>
      <c r="AS101" s="319" t="s">
        <v>190</v>
      </c>
      <c r="AT101" s="319" t="s">
        <v>190</v>
      </c>
      <c r="AU101" s="319" t="s">
        <v>190</v>
      </c>
      <c r="AV101" s="319" t="s">
        <v>190</v>
      </c>
      <c r="AW101" s="319" t="s">
        <v>190</v>
      </c>
      <c r="AX101" s="319" t="s">
        <v>429</v>
      </c>
      <c r="AY101" s="319" t="s">
        <v>190</v>
      </c>
      <c r="AZ101" s="319" t="s">
        <v>190</v>
      </c>
      <c r="BA101" s="319" t="s">
        <v>190</v>
      </c>
      <c r="BB101" s="319" t="s">
        <v>429</v>
      </c>
      <c r="BC101" s="319" t="s">
        <v>429</v>
      </c>
      <c r="BD101" s="319" t="s">
        <v>429</v>
      </c>
      <c r="BE101" s="319" t="s">
        <v>429</v>
      </c>
      <c r="BF101" s="319" t="s">
        <v>190</v>
      </c>
      <c r="BG101" s="319" t="s">
        <v>190</v>
      </c>
      <c r="BH101" s="319" t="s">
        <v>190</v>
      </c>
      <c r="BI101" s="319" t="s">
        <v>190</v>
      </c>
      <c r="BJ101" s="319" t="s">
        <v>190</v>
      </c>
      <c r="BK101" s="319" t="s">
        <v>190</v>
      </c>
      <c r="BL101" s="319" t="s">
        <v>190</v>
      </c>
      <c r="BM101" s="319" t="s">
        <v>190</v>
      </c>
      <c r="BN101" s="319" t="s">
        <v>190</v>
      </c>
      <c r="BO101" s="319" t="s">
        <v>190</v>
      </c>
      <c r="BP101" s="319" t="s">
        <v>190</v>
      </c>
      <c r="BQ101" s="319" t="s">
        <v>190</v>
      </c>
      <c r="BR101" s="319" t="s">
        <v>190</v>
      </c>
      <c r="BS101" s="319" t="s">
        <v>190</v>
      </c>
      <c r="BT101" s="319" t="s">
        <v>190</v>
      </c>
      <c r="BU101" s="319" t="s">
        <v>190</v>
      </c>
      <c r="BV101" s="319" t="s">
        <v>190</v>
      </c>
      <c r="BW101" s="319" t="s">
        <v>190</v>
      </c>
      <c r="BX101" s="319" t="s">
        <v>190</v>
      </c>
      <c r="BY101" s="319" t="s">
        <v>190</v>
      </c>
      <c r="BZ101" s="319" t="s">
        <v>190</v>
      </c>
      <c r="CA101" s="319" t="s">
        <v>190</v>
      </c>
      <c r="CB101" s="319" t="s">
        <v>190</v>
      </c>
      <c r="CC101" s="319" t="s">
        <v>190</v>
      </c>
      <c r="CD101" s="319" t="s">
        <v>190</v>
      </c>
      <c r="CE101" s="319" t="s">
        <v>190</v>
      </c>
      <c r="CF101" s="319" t="s">
        <v>190</v>
      </c>
      <c r="CG101" s="319" t="s">
        <v>190</v>
      </c>
      <c r="CH101" s="319" t="s">
        <v>190</v>
      </c>
      <c r="CI101" s="319" t="s">
        <v>190</v>
      </c>
      <c r="CJ101" s="319" t="s">
        <v>190</v>
      </c>
      <c r="CK101" s="319" t="s">
        <v>190</v>
      </c>
      <c r="CL101" s="319" t="s">
        <v>190</v>
      </c>
      <c r="CM101" s="319" t="s">
        <v>190</v>
      </c>
      <c r="CN101" s="319" t="s">
        <v>429</v>
      </c>
      <c r="CO101" s="319" t="s">
        <v>429</v>
      </c>
      <c r="CP101" s="319" t="s">
        <v>429</v>
      </c>
      <c r="CQ101" s="319" t="s">
        <v>190</v>
      </c>
      <c r="CR101" s="319" t="s">
        <v>190</v>
      </c>
      <c r="CS101" s="319" t="s">
        <v>190</v>
      </c>
      <c r="CT101" s="319" t="s">
        <v>190</v>
      </c>
      <c r="CU101" s="319" t="s">
        <v>190</v>
      </c>
      <c r="CV101" s="319" t="s">
        <v>190</v>
      </c>
      <c r="CW101" s="319" t="s">
        <v>190</v>
      </c>
      <c r="CX101" s="319" t="s">
        <v>190</v>
      </c>
      <c r="CY101" s="319" t="s">
        <v>190</v>
      </c>
      <c r="CZ101" s="319" t="s">
        <v>190</v>
      </c>
      <c r="DA101" s="319" t="s">
        <v>190</v>
      </c>
      <c r="DB101" s="319" t="s">
        <v>190</v>
      </c>
      <c r="DC101" s="319" t="s">
        <v>190</v>
      </c>
      <c r="DD101" s="319" t="s">
        <v>190</v>
      </c>
      <c r="DE101" s="319" t="s">
        <v>190</v>
      </c>
      <c r="DF101" s="319" t="s">
        <v>190</v>
      </c>
      <c r="DG101" s="319" t="s">
        <v>190</v>
      </c>
      <c r="DH101" s="319" t="s">
        <v>190</v>
      </c>
      <c r="DI101" s="319" t="s">
        <v>190</v>
      </c>
      <c r="DJ101" s="319" t="s">
        <v>190</v>
      </c>
      <c r="DK101" s="319" t="s">
        <v>190</v>
      </c>
      <c r="DL101" s="319" t="s">
        <v>190</v>
      </c>
      <c r="DM101" s="319" t="s">
        <v>429</v>
      </c>
      <c r="DN101" s="319" t="s">
        <v>429</v>
      </c>
      <c r="DO101" s="319" t="s">
        <v>190</v>
      </c>
      <c r="DP101" s="319" t="s">
        <v>429</v>
      </c>
      <c r="DQ101" s="319" t="s">
        <v>429</v>
      </c>
      <c r="DR101" s="319" t="s">
        <v>429</v>
      </c>
      <c r="DS101" s="319" t="s">
        <v>429</v>
      </c>
      <c r="DT101" s="319" t="s">
        <v>429</v>
      </c>
      <c r="DU101" s="319" t="s">
        <v>429</v>
      </c>
      <c r="DV101" s="319" t="s">
        <v>173</v>
      </c>
      <c r="DW101" s="319" t="s">
        <v>429</v>
      </c>
      <c r="DX101" s="319" t="s">
        <v>429</v>
      </c>
      <c r="DY101" s="319" t="s">
        <v>429</v>
      </c>
      <c r="DZ101" s="319" t="s">
        <v>429</v>
      </c>
      <c r="EA101" s="319" t="s">
        <v>429</v>
      </c>
      <c r="EB101" s="319" t="s">
        <v>429</v>
      </c>
      <c r="EC101" s="319" t="s">
        <v>429</v>
      </c>
      <c r="ED101" s="319" t="s">
        <v>429</v>
      </c>
      <c r="EE101" s="319" t="s">
        <v>190</v>
      </c>
      <c r="EF101" s="319" t="s">
        <v>190</v>
      </c>
      <c r="EG101" s="319" t="s">
        <v>190</v>
      </c>
      <c r="EH101" s="319" t="s">
        <v>190</v>
      </c>
      <c r="EI101" s="319" t="s">
        <v>190</v>
      </c>
      <c r="EJ101" s="319" t="s">
        <v>190</v>
      </c>
      <c r="EK101" s="319" t="s">
        <v>190</v>
      </c>
      <c r="EL101" s="319" t="s">
        <v>190</v>
      </c>
      <c r="EM101" s="319" t="s">
        <v>190</v>
      </c>
      <c r="EN101" s="319" t="s">
        <v>190</v>
      </c>
      <c r="EO101" s="319" t="s">
        <v>190</v>
      </c>
      <c r="EP101" s="319" t="s">
        <v>190</v>
      </c>
      <c r="EQ101" s="319" t="s">
        <v>190</v>
      </c>
      <c r="ER101" s="319" t="s">
        <v>190</v>
      </c>
      <c r="ES101" s="319" t="s">
        <v>190</v>
      </c>
      <c r="ET101" s="319" t="s">
        <v>190</v>
      </c>
      <c r="EU101" s="319" t="s">
        <v>190</v>
      </c>
      <c r="EV101" s="319" t="s">
        <v>190</v>
      </c>
      <c r="EW101" s="319" t="s">
        <v>190</v>
      </c>
      <c r="EX101" s="319" t="s">
        <v>190</v>
      </c>
      <c r="EY101" s="319" t="s">
        <v>190</v>
      </c>
      <c r="EZ101" s="319" t="s">
        <v>190</v>
      </c>
      <c r="FA101" s="319" t="s">
        <v>190</v>
      </c>
      <c r="FB101" s="319" t="s">
        <v>429</v>
      </c>
      <c r="FC101" s="319" t="s">
        <v>429</v>
      </c>
      <c r="FD101" s="319" t="s">
        <v>429</v>
      </c>
      <c r="FE101" s="319" t="s">
        <v>429</v>
      </c>
      <c r="FF101" s="319" t="s">
        <v>429</v>
      </c>
      <c r="FG101" s="319" t="s">
        <v>429</v>
      </c>
      <c r="FH101" s="319" t="s">
        <v>429</v>
      </c>
      <c r="FI101" s="319" t="s">
        <v>429</v>
      </c>
      <c r="FJ101" s="319" t="s">
        <v>429</v>
      </c>
      <c r="FK101" s="319" t="s">
        <v>429</v>
      </c>
      <c r="FL101" s="319" t="s">
        <v>190</v>
      </c>
      <c r="FM101" s="319" t="s">
        <v>190</v>
      </c>
      <c r="FN101" s="319" t="s">
        <v>190</v>
      </c>
      <c r="FO101" s="319" t="s">
        <v>190</v>
      </c>
      <c r="FP101" s="319" t="s">
        <v>190</v>
      </c>
      <c r="FQ101" s="319" t="s">
        <v>190</v>
      </c>
      <c r="FR101" s="319" t="s">
        <v>190</v>
      </c>
      <c r="FS101" s="319" t="s">
        <v>429</v>
      </c>
      <c r="FT101" s="319" t="s">
        <v>190</v>
      </c>
      <c r="FU101" s="319" t="s">
        <v>190</v>
      </c>
      <c r="FV101" s="319" t="s">
        <v>190</v>
      </c>
      <c r="FW101" s="319" t="s">
        <v>190</v>
      </c>
      <c r="FX101" s="319" t="s">
        <v>190</v>
      </c>
      <c r="FY101" s="319" t="s">
        <v>190</v>
      </c>
      <c r="FZ101" s="319" t="s">
        <v>190</v>
      </c>
      <c r="GA101" s="319" t="s">
        <v>190</v>
      </c>
      <c r="GB101" s="319" t="s">
        <v>190</v>
      </c>
      <c r="GC101" s="319" t="s">
        <v>190</v>
      </c>
      <c r="GD101" s="319" t="s">
        <v>190</v>
      </c>
      <c r="GE101" s="319" t="s">
        <v>190</v>
      </c>
      <c r="GF101" s="319" t="s">
        <v>190</v>
      </c>
      <c r="GG101" s="319" t="s">
        <v>190</v>
      </c>
      <c r="GH101" s="319" t="s">
        <v>190</v>
      </c>
      <c r="GI101" s="319" t="s">
        <v>190</v>
      </c>
      <c r="GJ101" s="319" t="s">
        <v>190</v>
      </c>
      <c r="GK101" s="319" t="s">
        <v>190</v>
      </c>
      <c r="GL101" s="319" t="s">
        <v>190</v>
      </c>
      <c r="GM101" s="319" t="s">
        <v>190</v>
      </c>
      <c r="GN101" s="319" t="s">
        <v>190</v>
      </c>
      <c r="GO101" s="319" t="s">
        <v>190</v>
      </c>
      <c r="GP101" s="319" t="s">
        <v>190</v>
      </c>
      <c r="GQ101" s="319" t="s">
        <v>190</v>
      </c>
      <c r="GR101" s="319" t="s">
        <v>190</v>
      </c>
      <c r="GS101" s="319" t="s">
        <v>190</v>
      </c>
      <c r="GT101" s="319" t="s">
        <v>429</v>
      </c>
      <c r="GU101" s="319" t="s">
        <v>429</v>
      </c>
      <c r="GV101" s="319" t="s">
        <v>429</v>
      </c>
      <c r="GW101" s="319" t="s">
        <v>190</v>
      </c>
      <c r="GX101" s="319" t="s">
        <v>190</v>
      </c>
      <c r="GY101" s="319" t="s">
        <v>190</v>
      </c>
      <c r="GZ101" s="319" t="s">
        <v>190</v>
      </c>
      <c r="HA101" s="319" t="s">
        <v>190</v>
      </c>
      <c r="HB101" s="319" t="s">
        <v>190</v>
      </c>
      <c r="HC101" s="319" t="s">
        <v>190</v>
      </c>
      <c r="HD101" s="319" t="s">
        <v>190</v>
      </c>
      <c r="HE101" s="319" t="s">
        <v>190</v>
      </c>
      <c r="HF101" s="319" t="s">
        <v>429</v>
      </c>
      <c r="HG101" s="319" t="s">
        <v>529</v>
      </c>
      <c r="HH101" s="319" t="s">
        <v>190</v>
      </c>
      <c r="HI101" s="319" t="s">
        <v>190</v>
      </c>
      <c r="HJ101" s="319" t="s">
        <v>190</v>
      </c>
      <c r="HK101" s="319" t="s">
        <v>190</v>
      </c>
      <c r="HL101" s="319" t="s">
        <v>190</v>
      </c>
      <c r="HM101" s="319" t="s">
        <v>190</v>
      </c>
      <c r="HN101" s="319" t="s">
        <v>190</v>
      </c>
      <c r="HO101" s="319" t="s">
        <v>190</v>
      </c>
      <c r="HP101" s="319" t="s">
        <v>190</v>
      </c>
      <c r="HQ101" s="319" t="s">
        <v>190</v>
      </c>
      <c r="HR101" s="319" t="s">
        <v>190</v>
      </c>
      <c r="HS101" s="319" t="s">
        <v>190</v>
      </c>
      <c r="HT101" s="319" t="s">
        <v>190</v>
      </c>
      <c r="HU101" s="319" t="s">
        <v>190</v>
      </c>
      <c r="HV101" s="319" t="s">
        <v>190</v>
      </c>
      <c r="HW101" s="319" t="s">
        <v>190</v>
      </c>
      <c r="HX101" s="319" t="s">
        <v>190</v>
      </c>
      <c r="HY101" s="319" t="s">
        <v>190</v>
      </c>
      <c r="HZ101" s="319" t="s">
        <v>190</v>
      </c>
      <c r="IA101" s="319" t="s">
        <v>190</v>
      </c>
      <c r="IB101" s="319" t="s">
        <v>190</v>
      </c>
      <c r="IC101" s="319" t="s">
        <v>190</v>
      </c>
      <c r="ID101" s="319" t="s">
        <v>190</v>
      </c>
      <c r="IE101" s="319" t="s">
        <v>190</v>
      </c>
      <c r="IF101" s="319" t="s">
        <v>190</v>
      </c>
      <c r="IG101" s="319" t="s">
        <v>190</v>
      </c>
      <c r="IH101" s="319" t="s">
        <v>190</v>
      </c>
      <c r="II101" s="319" t="s">
        <v>190</v>
      </c>
      <c r="IJ101" s="319" t="s">
        <v>2877</v>
      </c>
      <c r="IK101" s="321">
        <v>41702</v>
      </c>
      <c r="IL101" s="321">
        <v>41704</v>
      </c>
      <c r="IM101" s="321">
        <v>41725</v>
      </c>
      <c r="IN101" s="319">
        <v>2</v>
      </c>
      <c r="IO101" s="319" t="s">
        <v>173</v>
      </c>
      <c r="IP101" s="319" t="s">
        <v>173</v>
      </c>
      <c r="IQ101" s="321" t="s">
        <v>173</v>
      </c>
      <c r="IR101" s="320" t="s">
        <v>173</v>
      </c>
      <c r="IS101" s="322" t="s">
        <v>173</v>
      </c>
      <c r="IT101" s="319" t="s">
        <v>173</v>
      </c>
    </row>
    <row r="102" spans="1:254" s="271" customFormat="1" x14ac:dyDescent="0.25">
      <c r="A102" s="318" t="str">
        <f>HYPERLINK("http://www.ofsted.gov.uk/inspection-reports/find-inspection-report/provider/ELS/106158 ","Ofsted School Webpage")</f>
        <v>Ofsted School Webpage</v>
      </c>
      <c r="B102" s="319">
        <v>106158</v>
      </c>
      <c r="C102" s="319">
        <v>3566021</v>
      </c>
      <c r="D102" s="319" t="s">
        <v>1351</v>
      </c>
      <c r="E102" s="319" t="s">
        <v>167</v>
      </c>
      <c r="F102" s="319" t="s">
        <v>61</v>
      </c>
      <c r="G102" s="319" t="s">
        <v>59</v>
      </c>
      <c r="H102" s="319" t="s">
        <v>61</v>
      </c>
      <c r="I102" s="319" t="s">
        <v>59</v>
      </c>
      <c r="J102" s="319" t="s">
        <v>424</v>
      </c>
      <c r="K102" s="319" t="s">
        <v>431</v>
      </c>
      <c r="L102" s="319" t="s">
        <v>431</v>
      </c>
      <c r="M102" s="319" t="s">
        <v>837</v>
      </c>
      <c r="N102" s="319" t="s">
        <v>837</v>
      </c>
      <c r="O102" s="319" t="s">
        <v>1352</v>
      </c>
      <c r="P102" s="319">
        <v>12</v>
      </c>
      <c r="Q102" s="319" t="s">
        <v>2766</v>
      </c>
      <c r="R102" s="320">
        <v>10038836</v>
      </c>
      <c r="S102" s="321">
        <v>43172</v>
      </c>
      <c r="T102" s="321">
        <v>43174</v>
      </c>
      <c r="U102" s="321">
        <v>43223</v>
      </c>
      <c r="V102" s="319" t="s">
        <v>425</v>
      </c>
      <c r="W102" s="319" t="s">
        <v>2767</v>
      </c>
      <c r="X102" s="319">
        <v>3</v>
      </c>
      <c r="Y102" s="319" t="s">
        <v>173</v>
      </c>
      <c r="Z102" s="319" t="s">
        <v>173</v>
      </c>
      <c r="AA102" s="319" t="s">
        <v>173</v>
      </c>
      <c r="AB102" s="319">
        <v>3</v>
      </c>
      <c r="AC102" s="319" t="s">
        <v>169</v>
      </c>
      <c r="AD102" s="319" t="s">
        <v>173</v>
      </c>
      <c r="AE102" s="319" t="s">
        <v>173</v>
      </c>
      <c r="AF102" s="319" t="s">
        <v>427</v>
      </c>
      <c r="AG102" s="319" t="s">
        <v>171</v>
      </c>
      <c r="AH102" s="319" t="s">
        <v>190</v>
      </c>
      <c r="AI102" s="319" t="s">
        <v>190</v>
      </c>
      <c r="AJ102" s="319" t="s">
        <v>190</v>
      </c>
      <c r="AK102" s="319" t="s">
        <v>190</v>
      </c>
      <c r="AL102" s="319" t="s">
        <v>190</v>
      </c>
      <c r="AM102" s="319" t="s">
        <v>190</v>
      </c>
      <c r="AN102" s="319" t="s">
        <v>190</v>
      </c>
      <c r="AO102" s="319" t="s">
        <v>190</v>
      </c>
      <c r="AP102" s="319" t="s">
        <v>190</v>
      </c>
      <c r="AQ102" s="319" t="s">
        <v>190</v>
      </c>
      <c r="AR102" s="319" t="s">
        <v>190</v>
      </c>
      <c r="AS102" s="319" t="s">
        <v>190</v>
      </c>
      <c r="AT102" s="319" t="s">
        <v>190</v>
      </c>
      <c r="AU102" s="319" t="s">
        <v>190</v>
      </c>
      <c r="AV102" s="319" t="s">
        <v>190</v>
      </c>
      <c r="AW102" s="319" t="s">
        <v>190</v>
      </c>
      <c r="AX102" s="319" t="s">
        <v>428</v>
      </c>
      <c r="AY102" s="319" t="s">
        <v>190</v>
      </c>
      <c r="AZ102" s="319" t="s">
        <v>190</v>
      </c>
      <c r="BA102" s="319" t="s">
        <v>190</v>
      </c>
      <c r="BB102" s="319" t="s">
        <v>190</v>
      </c>
      <c r="BC102" s="319" t="s">
        <v>190</v>
      </c>
      <c r="BD102" s="319" t="s">
        <v>190</v>
      </c>
      <c r="BE102" s="319" t="s">
        <v>190</v>
      </c>
      <c r="BF102" s="319" t="s">
        <v>428</v>
      </c>
      <c r="BG102" s="319" t="s">
        <v>428</v>
      </c>
      <c r="BH102" s="319" t="s">
        <v>190</v>
      </c>
      <c r="BI102" s="319" t="s">
        <v>190</v>
      </c>
      <c r="BJ102" s="319" t="s">
        <v>190</v>
      </c>
      <c r="BK102" s="319" t="s">
        <v>190</v>
      </c>
      <c r="BL102" s="319" t="s">
        <v>190</v>
      </c>
      <c r="BM102" s="319" t="s">
        <v>190</v>
      </c>
      <c r="BN102" s="319" t="s">
        <v>190</v>
      </c>
      <c r="BO102" s="319" t="s">
        <v>190</v>
      </c>
      <c r="BP102" s="319" t="s">
        <v>190</v>
      </c>
      <c r="BQ102" s="319" t="s">
        <v>190</v>
      </c>
      <c r="BR102" s="319" t="s">
        <v>190</v>
      </c>
      <c r="BS102" s="319" t="s">
        <v>190</v>
      </c>
      <c r="BT102" s="319" t="s">
        <v>190</v>
      </c>
      <c r="BU102" s="319" t="s">
        <v>190</v>
      </c>
      <c r="BV102" s="319" t="s">
        <v>190</v>
      </c>
      <c r="BW102" s="319" t="s">
        <v>190</v>
      </c>
      <c r="BX102" s="319" t="s">
        <v>190</v>
      </c>
      <c r="BY102" s="319" t="s">
        <v>190</v>
      </c>
      <c r="BZ102" s="319" t="s">
        <v>190</v>
      </c>
      <c r="CA102" s="319" t="s">
        <v>190</v>
      </c>
      <c r="CB102" s="319" t="s">
        <v>190</v>
      </c>
      <c r="CC102" s="319" t="s">
        <v>190</v>
      </c>
      <c r="CD102" s="319" t="s">
        <v>190</v>
      </c>
      <c r="CE102" s="319" t="s">
        <v>190</v>
      </c>
      <c r="CF102" s="319" t="s">
        <v>190</v>
      </c>
      <c r="CG102" s="319" t="s">
        <v>190</v>
      </c>
      <c r="CH102" s="319" t="s">
        <v>190</v>
      </c>
      <c r="CI102" s="319" t="s">
        <v>190</v>
      </c>
      <c r="CJ102" s="319" t="s">
        <v>190</v>
      </c>
      <c r="CK102" s="319" t="s">
        <v>190</v>
      </c>
      <c r="CL102" s="319" t="s">
        <v>190</v>
      </c>
      <c r="CM102" s="319" t="s">
        <v>190</v>
      </c>
      <c r="CN102" s="319" t="s">
        <v>428</v>
      </c>
      <c r="CO102" s="319" t="s">
        <v>428</v>
      </c>
      <c r="CP102" s="319" t="s">
        <v>428</v>
      </c>
      <c r="CQ102" s="319" t="s">
        <v>190</v>
      </c>
      <c r="CR102" s="319" t="s">
        <v>190</v>
      </c>
      <c r="CS102" s="319" t="s">
        <v>190</v>
      </c>
      <c r="CT102" s="319" t="s">
        <v>190</v>
      </c>
      <c r="CU102" s="319" t="s">
        <v>190</v>
      </c>
      <c r="CV102" s="319" t="s">
        <v>190</v>
      </c>
      <c r="CW102" s="319" t="s">
        <v>190</v>
      </c>
      <c r="CX102" s="319" t="s">
        <v>190</v>
      </c>
      <c r="CY102" s="319" t="s">
        <v>190</v>
      </c>
      <c r="CZ102" s="319" t="s">
        <v>190</v>
      </c>
      <c r="DA102" s="319" t="s">
        <v>190</v>
      </c>
      <c r="DB102" s="319" t="s">
        <v>190</v>
      </c>
      <c r="DC102" s="319" t="s">
        <v>190</v>
      </c>
      <c r="DD102" s="319" t="s">
        <v>190</v>
      </c>
      <c r="DE102" s="319" t="s">
        <v>190</v>
      </c>
      <c r="DF102" s="319" t="s">
        <v>190</v>
      </c>
      <c r="DG102" s="319" t="s">
        <v>190</v>
      </c>
      <c r="DH102" s="319" t="s">
        <v>190</v>
      </c>
      <c r="DI102" s="319" t="s">
        <v>190</v>
      </c>
      <c r="DJ102" s="319" t="s">
        <v>190</v>
      </c>
      <c r="DK102" s="319" t="s">
        <v>190</v>
      </c>
      <c r="DL102" s="319" t="s">
        <v>190</v>
      </c>
      <c r="DM102" s="319" t="s">
        <v>190</v>
      </c>
      <c r="DN102" s="319" t="s">
        <v>428</v>
      </c>
      <c r="DO102" s="319" t="s">
        <v>190</v>
      </c>
      <c r="DP102" s="319" t="s">
        <v>190</v>
      </c>
      <c r="DQ102" s="319" t="s">
        <v>190</v>
      </c>
      <c r="DR102" s="319" t="s">
        <v>190</v>
      </c>
      <c r="DS102" s="319" t="s">
        <v>190</v>
      </c>
      <c r="DT102" s="319" t="s">
        <v>190</v>
      </c>
      <c r="DU102" s="319" t="s">
        <v>190</v>
      </c>
      <c r="DV102" s="319" t="s">
        <v>173</v>
      </c>
      <c r="DW102" s="319" t="s">
        <v>190</v>
      </c>
      <c r="DX102" s="319" t="s">
        <v>190</v>
      </c>
      <c r="DY102" s="319" t="s">
        <v>190</v>
      </c>
      <c r="DZ102" s="319" t="s">
        <v>190</v>
      </c>
      <c r="EA102" s="319" t="s">
        <v>190</v>
      </c>
      <c r="EB102" s="319" t="s">
        <v>190</v>
      </c>
      <c r="EC102" s="319" t="s">
        <v>190</v>
      </c>
      <c r="ED102" s="319" t="s">
        <v>190</v>
      </c>
      <c r="EE102" s="319" t="s">
        <v>190</v>
      </c>
      <c r="EF102" s="319" t="s">
        <v>190</v>
      </c>
      <c r="EG102" s="319" t="s">
        <v>190</v>
      </c>
      <c r="EH102" s="319" t="s">
        <v>190</v>
      </c>
      <c r="EI102" s="319" t="s">
        <v>190</v>
      </c>
      <c r="EJ102" s="319" t="s">
        <v>190</v>
      </c>
      <c r="EK102" s="319" t="s">
        <v>190</v>
      </c>
      <c r="EL102" s="319" t="s">
        <v>190</v>
      </c>
      <c r="EM102" s="319" t="s">
        <v>190</v>
      </c>
      <c r="EN102" s="319" t="s">
        <v>190</v>
      </c>
      <c r="EO102" s="319" t="s">
        <v>190</v>
      </c>
      <c r="EP102" s="319" t="s">
        <v>190</v>
      </c>
      <c r="EQ102" s="319" t="s">
        <v>190</v>
      </c>
      <c r="ER102" s="319" t="s">
        <v>190</v>
      </c>
      <c r="ES102" s="319" t="s">
        <v>190</v>
      </c>
      <c r="ET102" s="319" t="s">
        <v>190</v>
      </c>
      <c r="EU102" s="319" t="s">
        <v>190</v>
      </c>
      <c r="EV102" s="319" t="s">
        <v>190</v>
      </c>
      <c r="EW102" s="319" t="s">
        <v>190</v>
      </c>
      <c r="EX102" s="319" t="s">
        <v>190</v>
      </c>
      <c r="EY102" s="319" t="s">
        <v>190</v>
      </c>
      <c r="EZ102" s="319" t="s">
        <v>190</v>
      </c>
      <c r="FA102" s="319" t="s">
        <v>190</v>
      </c>
      <c r="FB102" s="319" t="s">
        <v>190</v>
      </c>
      <c r="FC102" s="319" t="s">
        <v>190</v>
      </c>
      <c r="FD102" s="319" t="s">
        <v>190</v>
      </c>
      <c r="FE102" s="319" t="s">
        <v>190</v>
      </c>
      <c r="FF102" s="319" t="s">
        <v>190</v>
      </c>
      <c r="FG102" s="319" t="s">
        <v>190</v>
      </c>
      <c r="FH102" s="319" t="s">
        <v>190</v>
      </c>
      <c r="FI102" s="319" t="s">
        <v>190</v>
      </c>
      <c r="FJ102" s="319" t="s">
        <v>190</v>
      </c>
      <c r="FK102" s="319" t="s">
        <v>190</v>
      </c>
      <c r="FL102" s="319" t="s">
        <v>190</v>
      </c>
      <c r="FM102" s="319" t="s">
        <v>190</v>
      </c>
      <c r="FN102" s="319" t="s">
        <v>190</v>
      </c>
      <c r="FO102" s="319" t="s">
        <v>190</v>
      </c>
      <c r="FP102" s="319" t="s">
        <v>190</v>
      </c>
      <c r="FQ102" s="319" t="s">
        <v>190</v>
      </c>
      <c r="FR102" s="319" t="s">
        <v>190</v>
      </c>
      <c r="FS102" s="319" t="s">
        <v>428</v>
      </c>
      <c r="FT102" s="319" t="s">
        <v>190</v>
      </c>
      <c r="FU102" s="319" t="s">
        <v>190</v>
      </c>
      <c r="FV102" s="319" t="s">
        <v>190</v>
      </c>
      <c r="FW102" s="319" t="s">
        <v>190</v>
      </c>
      <c r="FX102" s="319" t="s">
        <v>190</v>
      </c>
      <c r="FY102" s="319" t="s">
        <v>190</v>
      </c>
      <c r="FZ102" s="319" t="s">
        <v>190</v>
      </c>
      <c r="GA102" s="319" t="s">
        <v>190</v>
      </c>
      <c r="GB102" s="319" t="s">
        <v>190</v>
      </c>
      <c r="GC102" s="319" t="s">
        <v>190</v>
      </c>
      <c r="GD102" s="319" t="s">
        <v>190</v>
      </c>
      <c r="GE102" s="319" t="s">
        <v>190</v>
      </c>
      <c r="GF102" s="319" t="s">
        <v>190</v>
      </c>
      <c r="GG102" s="319" t="s">
        <v>190</v>
      </c>
      <c r="GH102" s="319" t="s">
        <v>190</v>
      </c>
      <c r="GI102" s="319" t="s">
        <v>190</v>
      </c>
      <c r="GJ102" s="319" t="s">
        <v>190</v>
      </c>
      <c r="GK102" s="319" t="s">
        <v>428</v>
      </c>
      <c r="GL102" s="319" t="s">
        <v>190</v>
      </c>
      <c r="GM102" s="319" t="s">
        <v>190</v>
      </c>
      <c r="GN102" s="319" t="s">
        <v>190</v>
      </c>
      <c r="GO102" s="319" t="s">
        <v>190</v>
      </c>
      <c r="GP102" s="319" t="s">
        <v>190</v>
      </c>
      <c r="GQ102" s="319" t="s">
        <v>428</v>
      </c>
      <c r="GR102" s="319" t="s">
        <v>190</v>
      </c>
      <c r="GS102" s="319" t="s">
        <v>190</v>
      </c>
      <c r="GT102" s="319" t="s">
        <v>428</v>
      </c>
      <c r="GU102" s="319" t="s">
        <v>428</v>
      </c>
      <c r="GV102" s="319" t="s">
        <v>190</v>
      </c>
      <c r="GW102" s="319" t="s">
        <v>190</v>
      </c>
      <c r="GX102" s="319" t="s">
        <v>190</v>
      </c>
      <c r="GY102" s="319" t="s">
        <v>190</v>
      </c>
      <c r="GZ102" s="319" t="s">
        <v>190</v>
      </c>
      <c r="HA102" s="319" t="s">
        <v>428</v>
      </c>
      <c r="HB102" s="319" t="s">
        <v>428</v>
      </c>
      <c r="HC102" s="319" t="s">
        <v>190</v>
      </c>
      <c r="HD102" s="319" t="s">
        <v>190</v>
      </c>
      <c r="HE102" s="319" t="s">
        <v>190</v>
      </c>
      <c r="HF102" s="319" t="s">
        <v>190</v>
      </c>
      <c r="HG102" s="319" t="s">
        <v>190</v>
      </c>
      <c r="HH102" s="319" t="s">
        <v>190</v>
      </c>
      <c r="HI102" s="319" t="s">
        <v>428</v>
      </c>
      <c r="HJ102" s="319" t="s">
        <v>190</v>
      </c>
      <c r="HK102" s="319" t="s">
        <v>190</v>
      </c>
      <c r="HL102" s="319" t="s">
        <v>190</v>
      </c>
      <c r="HM102" s="319" t="s">
        <v>428</v>
      </c>
      <c r="HN102" s="319" t="s">
        <v>428</v>
      </c>
      <c r="HO102" s="319" t="s">
        <v>428</v>
      </c>
      <c r="HP102" s="319" t="s">
        <v>190</v>
      </c>
      <c r="HQ102" s="319" t="s">
        <v>190</v>
      </c>
      <c r="HR102" s="319" t="s">
        <v>190</v>
      </c>
      <c r="HS102" s="319" t="s">
        <v>190</v>
      </c>
      <c r="HT102" s="319" t="s">
        <v>190</v>
      </c>
      <c r="HU102" s="319" t="s">
        <v>190</v>
      </c>
      <c r="HV102" s="319" t="s">
        <v>190</v>
      </c>
      <c r="HW102" s="319" t="s">
        <v>190</v>
      </c>
      <c r="HX102" s="319" t="s">
        <v>190</v>
      </c>
      <c r="HY102" s="319" t="s">
        <v>190</v>
      </c>
      <c r="HZ102" s="319" t="s">
        <v>190</v>
      </c>
      <c r="IA102" s="319" t="s">
        <v>190</v>
      </c>
      <c r="IB102" s="319" t="s">
        <v>190</v>
      </c>
      <c r="IC102" s="319" t="s">
        <v>190</v>
      </c>
      <c r="ID102" s="319" t="s">
        <v>428</v>
      </c>
      <c r="IE102" s="319" t="s">
        <v>190</v>
      </c>
      <c r="IF102" s="319" t="s">
        <v>190</v>
      </c>
      <c r="IG102" s="319" t="s">
        <v>190</v>
      </c>
      <c r="IH102" s="319" t="s">
        <v>190</v>
      </c>
      <c r="II102" s="319" t="s">
        <v>190</v>
      </c>
      <c r="IJ102" s="319">
        <v>10007902</v>
      </c>
      <c r="IK102" s="321">
        <v>42283</v>
      </c>
      <c r="IL102" s="321">
        <v>42284</v>
      </c>
      <c r="IM102" s="321">
        <v>42321</v>
      </c>
      <c r="IN102" s="319">
        <v>4</v>
      </c>
      <c r="IO102" s="319" t="s">
        <v>173</v>
      </c>
      <c r="IP102" s="319" t="s">
        <v>173</v>
      </c>
      <c r="IQ102" s="321" t="s">
        <v>173</v>
      </c>
      <c r="IR102" s="320" t="s">
        <v>173</v>
      </c>
      <c r="IS102" s="322" t="s">
        <v>173</v>
      </c>
      <c r="IT102" s="319" t="s">
        <v>173</v>
      </c>
    </row>
    <row r="103" spans="1:254" s="271" customFormat="1" x14ac:dyDescent="0.25">
      <c r="A103" s="318" t="str">
        <f>HYPERLINK("http://www.ofsted.gov.uk/inspection-reports/find-inspection-report/provider/ELS/106162 ","Ofsted School Webpage")</f>
        <v>Ofsted School Webpage</v>
      </c>
      <c r="B103" s="319">
        <v>106162</v>
      </c>
      <c r="C103" s="319">
        <v>3566025</v>
      </c>
      <c r="D103" s="319" t="s">
        <v>953</v>
      </c>
      <c r="E103" s="319" t="s">
        <v>168</v>
      </c>
      <c r="F103" s="319" t="s">
        <v>81</v>
      </c>
      <c r="G103" s="319" t="s">
        <v>81</v>
      </c>
      <c r="H103" s="319" t="s">
        <v>81</v>
      </c>
      <c r="I103" s="319" t="s">
        <v>78</v>
      </c>
      <c r="J103" s="319" t="s">
        <v>424</v>
      </c>
      <c r="K103" s="319" t="s">
        <v>431</v>
      </c>
      <c r="L103" s="319" t="s">
        <v>431</v>
      </c>
      <c r="M103" s="319" t="s">
        <v>837</v>
      </c>
      <c r="N103" s="319" t="s">
        <v>2878</v>
      </c>
      <c r="O103" s="319" t="s">
        <v>954</v>
      </c>
      <c r="P103" s="319">
        <v>83</v>
      </c>
      <c r="Q103" s="319" t="s">
        <v>429</v>
      </c>
      <c r="R103" s="320">
        <v>10067883</v>
      </c>
      <c r="S103" s="321">
        <v>43522</v>
      </c>
      <c r="T103" s="321">
        <v>43524</v>
      </c>
      <c r="U103" s="321">
        <v>43543</v>
      </c>
      <c r="V103" s="319" t="s">
        <v>425</v>
      </c>
      <c r="W103" s="319" t="s">
        <v>2767</v>
      </c>
      <c r="X103" s="319">
        <v>2</v>
      </c>
      <c r="Y103" s="319" t="s">
        <v>173</v>
      </c>
      <c r="Z103" s="319" t="s">
        <v>173</v>
      </c>
      <c r="AA103" s="319" t="s">
        <v>173</v>
      </c>
      <c r="AB103" s="319">
        <v>2</v>
      </c>
      <c r="AC103" s="319" t="s">
        <v>169</v>
      </c>
      <c r="AD103" s="319" t="s">
        <v>173</v>
      </c>
      <c r="AE103" s="319" t="s">
        <v>173</v>
      </c>
      <c r="AF103" s="319" t="s">
        <v>427</v>
      </c>
      <c r="AG103" s="319" t="s">
        <v>171</v>
      </c>
      <c r="AH103" s="319" t="s">
        <v>190</v>
      </c>
      <c r="AI103" s="319" t="s">
        <v>190</v>
      </c>
      <c r="AJ103" s="319" t="s">
        <v>190</v>
      </c>
      <c r="AK103" s="319" t="s">
        <v>190</v>
      </c>
      <c r="AL103" s="319" t="s">
        <v>190</v>
      </c>
      <c r="AM103" s="319" t="s">
        <v>190</v>
      </c>
      <c r="AN103" s="319" t="s">
        <v>190</v>
      </c>
      <c r="AO103" s="319" t="s">
        <v>190</v>
      </c>
      <c r="AP103" s="319" t="s">
        <v>190</v>
      </c>
      <c r="AQ103" s="319" t="s">
        <v>190</v>
      </c>
      <c r="AR103" s="319" t="s">
        <v>190</v>
      </c>
      <c r="AS103" s="319" t="s">
        <v>190</v>
      </c>
      <c r="AT103" s="319" t="s">
        <v>190</v>
      </c>
      <c r="AU103" s="319" t="s">
        <v>190</v>
      </c>
      <c r="AV103" s="319" t="s">
        <v>190</v>
      </c>
      <c r="AW103" s="319" t="s">
        <v>190</v>
      </c>
      <c r="AX103" s="319" t="s">
        <v>190</v>
      </c>
      <c r="AY103" s="319" t="s">
        <v>190</v>
      </c>
      <c r="AZ103" s="319" t="s">
        <v>190</v>
      </c>
      <c r="BA103" s="319" t="s">
        <v>190</v>
      </c>
      <c r="BB103" s="319" t="s">
        <v>190</v>
      </c>
      <c r="BC103" s="319" t="s">
        <v>190</v>
      </c>
      <c r="BD103" s="319" t="s">
        <v>190</v>
      </c>
      <c r="BE103" s="319" t="s">
        <v>190</v>
      </c>
      <c r="BF103" s="319" t="s">
        <v>428</v>
      </c>
      <c r="BG103" s="319" t="s">
        <v>190</v>
      </c>
      <c r="BH103" s="319" t="s">
        <v>190</v>
      </c>
      <c r="BI103" s="319" t="s">
        <v>190</v>
      </c>
      <c r="BJ103" s="319" t="s">
        <v>190</v>
      </c>
      <c r="BK103" s="319" t="s">
        <v>190</v>
      </c>
      <c r="BL103" s="319" t="s">
        <v>190</v>
      </c>
      <c r="BM103" s="319" t="s">
        <v>190</v>
      </c>
      <c r="BN103" s="319" t="s">
        <v>190</v>
      </c>
      <c r="BO103" s="319" t="s">
        <v>190</v>
      </c>
      <c r="BP103" s="319" t="s">
        <v>190</v>
      </c>
      <c r="BQ103" s="319" t="s">
        <v>190</v>
      </c>
      <c r="BR103" s="319" t="s">
        <v>190</v>
      </c>
      <c r="BS103" s="319" t="s">
        <v>190</v>
      </c>
      <c r="BT103" s="319" t="s">
        <v>190</v>
      </c>
      <c r="BU103" s="319" t="s">
        <v>190</v>
      </c>
      <c r="BV103" s="319" t="s">
        <v>190</v>
      </c>
      <c r="BW103" s="319" t="s">
        <v>190</v>
      </c>
      <c r="BX103" s="319" t="s">
        <v>190</v>
      </c>
      <c r="BY103" s="319" t="s">
        <v>190</v>
      </c>
      <c r="BZ103" s="319" t="s">
        <v>190</v>
      </c>
      <c r="CA103" s="319" t="s">
        <v>190</v>
      </c>
      <c r="CB103" s="319" t="s">
        <v>190</v>
      </c>
      <c r="CC103" s="319" t="s">
        <v>190</v>
      </c>
      <c r="CD103" s="319" t="s">
        <v>190</v>
      </c>
      <c r="CE103" s="319" t="s">
        <v>190</v>
      </c>
      <c r="CF103" s="319" t="s">
        <v>190</v>
      </c>
      <c r="CG103" s="319" t="s">
        <v>190</v>
      </c>
      <c r="CH103" s="319" t="s">
        <v>190</v>
      </c>
      <c r="CI103" s="319" t="s">
        <v>190</v>
      </c>
      <c r="CJ103" s="319" t="s">
        <v>190</v>
      </c>
      <c r="CK103" s="319" t="s">
        <v>190</v>
      </c>
      <c r="CL103" s="319" t="s">
        <v>190</v>
      </c>
      <c r="CM103" s="319" t="s">
        <v>190</v>
      </c>
      <c r="CN103" s="319" t="s">
        <v>190</v>
      </c>
      <c r="CO103" s="319" t="s">
        <v>428</v>
      </c>
      <c r="CP103" s="319" t="s">
        <v>428</v>
      </c>
      <c r="CQ103" s="319" t="s">
        <v>190</v>
      </c>
      <c r="CR103" s="319" t="s">
        <v>190</v>
      </c>
      <c r="CS103" s="319" t="s">
        <v>190</v>
      </c>
      <c r="CT103" s="319" t="s">
        <v>190</v>
      </c>
      <c r="CU103" s="319" t="s">
        <v>190</v>
      </c>
      <c r="CV103" s="319" t="s">
        <v>190</v>
      </c>
      <c r="CW103" s="319" t="s">
        <v>190</v>
      </c>
      <c r="CX103" s="319" t="s">
        <v>190</v>
      </c>
      <c r="CY103" s="319" t="s">
        <v>190</v>
      </c>
      <c r="CZ103" s="319" t="s">
        <v>190</v>
      </c>
      <c r="DA103" s="319" t="s">
        <v>190</v>
      </c>
      <c r="DB103" s="319" t="s">
        <v>190</v>
      </c>
      <c r="DC103" s="319" t="s">
        <v>190</v>
      </c>
      <c r="DD103" s="319" t="s">
        <v>190</v>
      </c>
      <c r="DE103" s="319" t="s">
        <v>190</v>
      </c>
      <c r="DF103" s="319" t="s">
        <v>190</v>
      </c>
      <c r="DG103" s="319" t="s">
        <v>190</v>
      </c>
      <c r="DH103" s="319" t="s">
        <v>190</v>
      </c>
      <c r="DI103" s="319" t="s">
        <v>190</v>
      </c>
      <c r="DJ103" s="319" t="s">
        <v>190</v>
      </c>
      <c r="DK103" s="319" t="s">
        <v>190</v>
      </c>
      <c r="DL103" s="319" t="s">
        <v>190</v>
      </c>
      <c r="DM103" s="319" t="s">
        <v>190</v>
      </c>
      <c r="DN103" s="319" t="s">
        <v>190</v>
      </c>
      <c r="DO103" s="319" t="s">
        <v>190</v>
      </c>
      <c r="DP103" s="319" t="s">
        <v>190</v>
      </c>
      <c r="DQ103" s="319" t="s">
        <v>190</v>
      </c>
      <c r="DR103" s="319" t="s">
        <v>190</v>
      </c>
      <c r="DS103" s="319" t="s">
        <v>190</v>
      </c>
      <c r="DT103" s="319" t="s">
        <v>190</v>
      </c>
      <c r="DU103" s="319" t="s">
        <v>190</v>
      </c>
      <c r="DV103" s="319" t="s">
        <v>173</v>
      </c>
      <c r="DW103" s="319" t="s">
        <v>190</v>
      </c>
      <c r="DX103" s="319" t="s">
        <v>190</v>
      </c>
      <c r="DY103" s="319" t="s">
        <v>190</v>
      </c>
      <c r="DZ103" s="319" t="s">
        <v>190</v>
      </c>
      <c r="EA103" s="319" t="s">
        <v>190</v>
      </c>
      <c r="EB103" s="319" t="s">
        <v>190</v>
      </c>
      <c r="EC103" s="319" t="s">
        <v>190</v>
      </c>
      <c r="ED103" s="319" t="s">
        <v>190</v>
      </c>
      <c r="EE103" s="319" t="s">
        <v>190</v>
      </c>
      <c r="EF103" s="319" t="s">
        <v>190</v>
      </c>
      <c r="EG103" s="319" t="s">
        <v>190</v>
      </c>
      <c r="EH103" s="319" t="s">
        <v>190</v>
      </c>
      <c r="EI103" s="319" t="s">
        <v>190</v>
      </c>
      <c r="EJ103" s="319" t="s">
        <v>190</v>
      </c>
      <c r="EK103" s="319" t="s">
        <v>190</v>
      </c>
      <c r="EL103" s="319" t="s">
        <v>190</v>
      </c>
      <c r="EM103" s="319" t="s">
        <v>190</v>
      </c>
      <c r="EN103" s="319" t="s">
        <v>190</v>
      </c>
      <c r="EO103" s="319" t="s">
        <v>190</v>
      </c>
      <c r="EP103" s="319" t="s">
        <v>190</v>
      </c>
      <c r="EQ103" s="319" t="s">
        <v>190</v>
      </c>
      <c r="ER103" s="319" t="s">
        <v>190</v>
      </c>
      <c r="ES103" s="319" t="s">
        <v>190</v>
      </c>
      <c r="ET103" s="319" t="s">
        <v>190</v>
      </c>
      <c r="EU103" s="319" t="s">
        <v>190</v>
      </c>
      <c r="EV103" s="319" t="s">
        <v>190</v>
      </c>
      <c r="EW103" s="319" t="s">
        <v>190</v>
      </c>
      <c r="EX103" s="319" t="s">
        <v>190</v>
      </c>
      <c r="EY103" s="319" t="s">
        <v>190</v>
      </c>
      <c r="EZ103" s="319" t="s">
        <v>190</v>
      </c>
      <c r="FA103" s="319" t="s">
        <v>190</v>
      </c>
      <c r="FB103" s="319" t="s">
        <v>190</v>
      </c>
      <c r="FC103" s="319" t="s">
        <v>190</v>
      </c>
      <c r="FD103" s="319" t="s">
        <v>190</v>
      </c>
      <c r="FE103" s="319" t="s">
        <v>190</v>
      </c>
      <c r="FF103" s="319" t="s">
        <v>190</v>
      </c>
      <c r="FG103" s="319" t="s">
        <v>190</v>
      </c>
      <c r="FH103" s="319" t="s">
        <v>190</v>
      </c>
      <c r="FI103" s="319" t="s">
        <v>190</v>
      </c>
      <c r="FJ103" s="319" t="s">
        <v>190</v>
      </c>
      <c r="FK103" s="319" t="s">
        <v>190</v>
      </c>
      <c r="FL103" s="319" t="s">
        <v>190</v>
      </c>
      <c r="FM103" s="319" t="s">
        <v>190</v>
      </c>
      <c r="FN103" s="319" t="s">
        <v>190</v>
      </c>
      <c r="FO103" s="319" t="s">
        <v>190</v>
      </c>
      <c r="FP103" s="319" t="s">
        <v>190</v>
      </c>
      <c r="FQ103" s="319" t="s">
        <v>190</v>
      </c>
      <c r="FR103" s="319" t="s">
        <v>190</v>
      </c>
      <c r="FS103" s="319" t="s">
        <v>428</v>
      </c>
      <c r="FT103" s="319" t="s">
        <v>190</v>
      </c>
      <c r="FU103" s="319" t="s">
        <v>190</v>
      </c>
      <c r="FV103" s="319" t="s">
        <v>190</v>
      </c>
      <c r="FW103" s="319" t="s">
        <v>190</v>
      </c>
      <c r="FX103" s="319" t="s">
        <v>190</v>
      </c>
      <c r="FY103" s="319" t="s">
        <v>190</v>
      </c>
      <c r="FZ103" s="319" t="s">
        <v>190</v>
      </c>
      <c r="GA103" s="319" t="s">
        <v>190</v>
      </c>
      <c r="GB103" s="319" t="s">
        <v>190</v>
      </c>
      <c r="GC103" s="319" t="s">
        <v>190</v>
      </c>
      <c r="GD103" s="319" t="s">
        <v>190</v>
      </c>
      <c r="GE103" s="319" t="s">
        <v>190</v>
      </c>
      <c r="GF103" s="319" t="s">
        <v>190</v>
      </c>
      <c r="GG103" s="319" t="s">
        <v>190</v>
      </c>
      <c r="GH103" s="319" t="s">
        <v>190</v>
      </c>
      <c r="GI103" s="319" t="s">
        <v>190</v>
      </c>
      <c r="GJ103" s="319" t="s">
        <v>190</v>
      </c>
      <c r="GK103" s="319" t="s">
        <v>428</v>
      </c>
      <c r="GL103" s="319" t="s">
        <v>190</v>
      </c>
      <c r="GM103" s="319" t="s">
        <v>190</v>
      </c>
      <c r="GN103" s="319" t="s">
        <v>190</v>
      </c>
      <c r="GO103" s="319" t="s">
        <v>190</v>
      </c>
      <c r="GP103" s="319" t="s">
        <v>190</v>
      </c>
      <c r="GQ103" s="319" t="s">
        <v>190</v>
      </c>
      <c r="GR103" s="319" t="s">
        <v>190</v>
      </c>
      <c r="GS103" s="319" t="s">
        <v>190</v>
      </c>
      <c r="GT103" s="319" t="s">
        <v>190</v>
      </c>
      <c r="GU103" s="319" t="s">
        <v>190</v>
      </c>
      <c r="GV103" s="319" t="s">
        <v>190</v>
      </c>
      <c r="GW103" s="319" t="s">
        <v>190</v>
      </c>
      <c r="GX103" s="319" t="s">
        <v>190</v>
      </c>
      <c r="GY103" s="319" t="s">
        <v>190</v>
      </c>
      <c r="GZ103" s="319" t="s">
        <v>190</v>
      </c>
      <c r="HA103" s="319" t="s">
        <v>190</v>
      </c>
      <c r="HB103" s="319" t="s">
        <v>190</v>
      </c>
      <c r="HC103" s="319" t="s">
        <v>190</v>
      </c>
      <c r="HD103" s="319" t="s">
        <v>190</v>
      </c>
      <c r="HE103" s="319" t="s">
        <v>190</v>
      </c>
      <c r="HF103" s="319" t="s">
        <v>190</v>
      </c>
      <c r="HG103" s="319" t="s">
        <v>190</v>
      </c>
      <c r="HH103" s="319" t="s">
        <v>190</v>
      </c>
      <c r="HI103" s="319" t="s">
        <v>190</v>
      </c>
      <c r="HJ103" s="319" t="s">
        <v>190</v>
      </c>
      <c r="HK103" s="319" t="s">
        <v>190</v>
      </c>
      <c r="HL103" s="319" t="s">
        <v>190</v>
      </c>
      <c r="HM103" s="319" t="s">
        <v>190</v>
      </c>
      <c r="HN103" s="319" t="s">
        <v>190</v>
      </c>
      <c r="HO103" s="319" t="s">
        <v>190</v>
      </c>
      <c r="HP103" s="319" t="s">
        <v>190</v>
      </c>
      <c r="HQ103" s="319" t="s">
        <v>190</v>
      </c>
      <c r="HR103" s="319" t="s">
        <v>190</v>
      </c>
      <c r="HS103" s="319" t="s">
        <v>190</v>
      </c>
      <c r="HT103" s="319" t="s">
        <v>190</v>
      </c>
      <c r="HU103" s="319" t="s">
        <v>190</v>
      </c>
      <c r="HV103" s="319" t="s">
        <v>190</v>
      </c>
      <c r="HW103" s="319" t="s">
        <v>190</v>
      </c>
      <c r="HX103" s="319" t="s">
        <v>190</v>
      </c>
      <c r="HY103" s="319" t="s">
        <v>190</v>
      </c>
      <c r="HZ103" s="319" t="s">
        <v>190</v>
      </c>
      <c r="IA103" s="319" t="s">
        <v>190</v>
      </c>
      <c r="IB103" s="319" t="s">
        <v>190</v>
      </c>
      <c r="IC103" s="319" t="s">
        <v>190</v>
      </c>
      <c r="ID103" s="319" t="s">
        <v>190</v>
      </c>
      <c r="IE103" s="319" t="s">
        <v>190</v>
      </c>
      <c r="IF103" s="319" t="s">
        <v>190</v>
      </c>
      <c r="IG103" s="319" t="s">
        <v>190</v>
      </c>
      <c r="IH103" s="319" t="s">
        <v>190</v>
      </c>
      <c r="II103" s="319" t="s">
        <v>190</v>
      </c>
      <c r="IJ103" s="319">
        <v>10008861</v>
      </c>
      <c r="IK103" s="321">
        <v>42542</v>
      </c>
      <c r="IL103" s="321">
        <v>42544</v>
      </c>
      <c r="IM103" s="321">
        <v>42573</v>
      </c>
      <c r="IN103" s="319">
        <v>2</v>
      </c>
      <c r="IO103" s="319" t="s">
        <v>173</v>
      </c>
      <c r="IP103" s="319" t="s">
        <v>173</v>
      </c>
      <c r="IQ103" s="321" t="s">
        <v>173</v>
      </c>
      <c r="IR103" s="320" t="s">
        <v>173</v>
      </c>
      <c r="IS103" s="322" t="s">
        <v>173</v>
      </c>
      <c r="IT103" s="319" t="s">
        <v>173</v>
      </c>
    </row>
    <row r="104" spans="1:254" s="271" customFormat="1" x14ac:dyDescent="0.25">
      <c r="A104" s="318" t="str">
        <f>HYPERLINK("http://www.ofsted.gov.uk/inspection-reports/find-inspection-report/provider/ELS/106814 ","Ofsted School Webpage")</f>
        <v>Ofsted School Webpage</v>
      </c>
      <c r="B104" s="319">
        <v>106814</v>
      </c>
      <c r="C104" s="319">
        <v>3716005</v>
      </c>
      <c r="D104" s="319" t="s">
        <v>770</v>
      </c>
      <c r="E104" s="319" t="s">
        <v>168</v>
      </c>
      <c r="F104" s="319" t="s">
        <v>81</v>
      </c>
      <c r="G104" s="319" t="s">
        <v>81</v>
      </c>
      <c r="H104" s="319" t="s">
        <v>81</v>
      </c>
      <c r="I104" s="319" t="s">
        <v>78</v>
      </c>
      <c r="J104" s="319" t="s">
        <v>424</v>
      </c>
      <c r="K104" s="319" t="s">
        <v>458</v>
      </c>
      <c r="L104" s="319" t="s">
        <v>459</v>
      </c>
      <c r="M104" s="319" t="s">
        <v>716</v>
      </c>
      <c r="N104" s="319" t="s">
        <v>2879</v>
      </c>
      <c r="O104" s="319" t="s">
        <v>771</v>
      </c>
      <c r="P104" s="319">
        <v>27</v>
      </c>
      <c r="Q104" s="319" t="s">
        <v>2776</v>
      </c>
      <c r="R104" s="320">
        <v>10053819</v>
      </c>
      <c r="S104" s="321">
        <v>43445</v>
      </c>
      <c r="T104" s="321">
        <v>43447</v>
      </c>
      <c r="U104" s="321">
        <v>43489</v>
      </c>
      <c r="V104" s="319" t="s">
        <v>425</v>
      </c>
      <c r="W104" s="319" t="s">
        <v>2767</v>
      </c>
      <c r="X104" s="319">
        <v>2</v>
      </c>
      <c r="Y104" s="319" t="s">
        <v>173</v>
      </c>
      <c r="Z104" s="319" t="s">
        <v>173</v>
      </c>
      <c r="AA104" s="319" t="s">
        <v>173</v>
      </c>
      <c r="AB104" s="319">
        <v>2</v>
      </c>
      <c r="AC104" s="319" t="s">
        <v>169</v>
      </c>
      <c r="AD104" s="319" t="s">
        <v>173</v>
      </c>
      <c r="AE104" s="319">
        <v>2</v>
      </c>
      <c r="AF104" s="319" t="s">
        <v>427</v>
      </c>
      <c r="AG104" s="319" t="s">
        <v>171</v>
      </c>
      <c r="AH104" s="319" t="s">
        <v>190</v>
      </c>
      <c r="AI104" s="319" t="s">
        <v>190</v>
      </c>
      <c r="AJ104" s="319" t="s">
        <v>190</v>
      </c>
      <c r="AK104" s="319" t="s">
        <v>190</v>
      </c>
      <c r="AL104" s="319" t="s">
        <v>190</v>
      </c>
      <c r="AM104" s="319" t="s">
        <v>190</v>
      </c>
      <c r="AN104" s="319" t="s">
        <v>190</v>
      </c>
      <c r="AO104" s="319" t="s">
        <v>190</v>
      </c>
      <c r="AP104" s="319" t="s">
        <v>190</v>
      </c>
      <c r="AQ104" s="319" t="s">
        <v>190</v>
      </c>
      <c r="AR104" s="319" t="s">
        <v>190</v>
      </c>
      <c r="AS104" s="319" t="s">
        <v>190</v>
      </c>
      <c r="AT104" s="319" t="s">
        <v>190</v>
      </c>
      <c r="AU104" s="319" t="s">
        <v>190</v>
      </c>
      <c r="AV104" s="319" t="s">
        <v>190</v>
      </c>
      <c r="AW104" s="319" t="s">
        <v>190</v>
      </c>
      <c r="AX104" s="319" t="s">
        <v>428</v>
      </c>
      <c r="AY104" s="319" t="s">
        <v>190</v>
      </c>
      <c r="AZ104" s="319" t="s">
        <v>190</v>
      </c>
      <c r="BA104" s="319" t="s">
        <v>190</v>
      </c>
      <c r="BB104" s="319" t="s">
        <v>190</v>
      </c>
      <c r="BC104" s="319" t="s">
        <v>190</v>
      </c>
      <c r="BD104" s="319" t="s">
        <v>190</v>
      </c>
      <c r="BE104" s="319" t="s">
        <v>190</v>
      </c>
      <c r="BF104" s="319" t="s">
        <v>428</v>
      </c>
      <c r="BG104" s="319" t="s">
        <v>190</v>
      </c>
      <c r="BH104" s="319" t="s">
        <v>190</v>
      </c>
      <c r="BI104" s="319" t="s">
        <v>190</v>
      </c>
      <c r="BJ104" s="319" t="s">
        <v>190</v>
      </c>
      <c r="BK104" s="319" t="s">
        <v>190</v>
      </c>
      <c r="BL104" s="319" t="s">
        <v>190</v>
      </c>
      <c r="BM104" s="319" t="s">
        <v>190</v>
      </c>
      <c r="BN104" s="319" t="s">
        <v>190</v>
      </c>
      <c r="BO104" s="319" t="s">
        <v>190</v>
      </c>
      <c r="BP104" s="319" t="s">
        <v>190</v>
      </c>
      <c r="BQ104" s="319" t="s">
        <v>190</v>
      </c>
      <c r="BR104" s="319" t="s">
        <v>190</v>
      </c>
      <c r="BS104" s="319" t="s">
        <v>190</v>
      </c>
      <c r="BT104" s="319" t="s">
        <v>190</v>
      </c>
      <c r="BU104" s="319" t="s">
        <v>190</v>
      </c>
      <c r="BV104" s="319" t="s">
        <v>190</v>
      </c>
      <c r="BW104" s="319" t="s">
        <v>190</v>
      </c>
      <c r="BX104" s="319" t="s">
        <v>190</v>
      </c>
      <c r="BY104" s="319" t="s">
        <v>190</v>
      </c>
      <c r="BZ104" s="319" t="s">
        <v>190</v>
      </c>
      <c r="CA104" s="319" t="s">
        <v>190</v>
      </c>
      <c r="CB104" s="319" t="s">
        <v>190</v>
      </c>
      <c r="CC104" s="319" t="s">
        <v>190</v>
      </c>
      <c r="CD104" s="319" t="s">
        <v>190</v>
      </c>
      <c r="CE104" s="319" t="s">
        <v>190</v>
      </c>
      <c r="CF104" s="319" t="s">
        <v>190</v>
      </c>
      <c r="CG104" s="319" t="s">
        <v>190</v>
      </c>
      <c r="CH104" s="319" t="s">
        <v>190</v>
      </c>
      <c r="CI104" s="319" t="s">
        <v>190</v>
      </c>
      <c r="CJ104" s="319" t="s">
        <v>190</v>
      </c>
      <c r="CK104" s="319" t="s">
        <v>190</v>
      </c>
      <c r="CL104" s="319" t="s">
        <v>190</v>
      </c>
      <c r="CM104" s="319" t="s">
        <v>190</v>
      </c>
      <c r="CN104" s="319" t="s">
        <v>428</v>
      </c>
      <c r="CO104" s="319" t="s">
        <v>428</v>
      </c>
      <c r="CP104" s="319" t="s">
        <v>428</v>
      </c>
      <c r="CQ104" s="319" t="s">
        <v>190</v>
      </c>
      <c r="CR104" s="319" t="s">
        <v>190</v>
      </c>
      <c r="CS104" s="319" t="s">
        <v>190</v>
      </c>
      <c r="CT104" s="319" t="s">
        <v>190</v>
      </c>
      <c r="CU104" s="319" t="s">
        <v>190</v>
      </c>
      <c r="CV104" s="319" t="s">
        <v>190</v>
      </c>
      <c r="CW104" s="319" t="s">
        <v>190</v>
      </c>
      <c r="CX104" s="319" t="s">
        <v>190</v>
      </c>
      <c r="CY104" s="319" t="s">
        <v>190</v>
      </c>
      <c r="CZ104" s="319" t="s">
        <v>190</v>
      </c>
      <c r="DA104" s="319" t="s">
        <v>190</v>
      </c>
      <c r="DB104" s="319" t="s">
        <v>190</v>
      </c>
      <c r="DC104" s="319" t="s">
        <v>190</v>
      </c>
      <c r="DD104" s="319" t="s">
        <v>190</v>
      </c>
      <c r="DE104" s="319" t="s">
        <v>190</v>
      </c>
      <c r="DF104" s="319" t="s">
        <v>190</v>
      </c>
      <c r="DG104" s="319" t="s">
        <v>190</v>
      </c>
      <c r="DH104" s="319" t="s">
        <v>190</v>
      </c>
      <c r="DI104" s="319" t="s">
        <v>190</v>
      </c>
      <c r="DJ104" s="319" t="s">
        <v>190</v>
      </c>
      <c r="DK104" s="319" t="s">
        <v>190</v>
      </c>
      <c r="DL104" s="319" t="s">
        <v>190</v>
      </c>
      <c r="DM104" s="319" t="s">
        <v>190</v>
      </c>
      <c r="DN104" s="319" t="s">
        <v>428</v>
      </c>
      <c r="DO104" s="319" t="s">
        <v>190</v>
      </c>
      <c r="DP104" s="319" t="s">
        <v>190</v>
      </c>
      <c r="DQ104" s="319" t="s">
        <v>190</v>
      </c>
      <c r="DR104" s="319" t="s">
        <v>190</v>
      </c>
      <c r="DS104" s="319" t="s">
        <v>190</v>
      </c>
      <c r="DT104" s="319" t="s">
        <v>190</v>
      </c>
      <c r="DU104" s="319" t="s">
        <v>190</v>
      </c>
      <c r="DV104" s="319" t="s">
        <v>173</v>
      </c>
      <c r="DW104" s="319" t="s">
        <v>190</v>
      </c>
      <c r="DX104" s="319" t="s">
        <v>190</v>
      </c>
      <c r="DY104" s="319" t="s">
        <v>190</v>
      </c>
      <c r="DZ104" s="319" t="s">
        <v>190</v>
      </c>
      <c r="EA104" s="319" t="s">
        <v>190</v>
      </c>
      <c r="EB104" s="319" t="s">
        <v>190</v>
      </c>
      <c r="EC104" s="319" t="s">
        <v>428</v>
      </c>
      <c r="ED104" s="319" t="s">
        <v>190</v>
      </c>
      <c r="EE104" s="319" t="s">
        <v>190</v>
      </c>
      <c r="EF104" s="319" t="s">
        <v>190</v>
      </c>
      <c r="EG104" s="319" t="s">
        <v>190</v>
      </c>
      <c r="EH104" s="319" t="s">
        <v>190</v>
      </c>
      <c r="EI104" s="319" t="s">
        <v>190</v>
      </c>
      <c r="EJ104" s="319" t="s">
        <v>190</v>
      </c>
      <c r="EK104" s="319" t="s">
        <v>190</v>
      </c>
      <c r="EL104" s="319" t="s">
        <v>428</v>
      </c>
      <c r="EM104" s="319" t="s">
        <v>190</v>
      </c>
      <c r="EN104" s="319" t="s">
        <v>190</v>
      </c>
      <c r="EO104" s="319" t="s">
        <v>190</v>
      </c>
      <c r="EP104" s="319" t="s">
        <v>190</v>
      </c>
      <c r="EQ104" s="319" t="s">
        <v>190</v>
      </c>
      <c r="ER104" s="319" t="s">
        <v>190</v>
      </c>
      <c r="ES104" s="319" t="s">
        <v>190</v>
      </c>
      <c r="ET104" s="319" t="s">
        <v>190</v>
      </c>
      <c r="EU104" s="319" t="s">
        <v>190</v>
      </c>
      <c r="EV104" s="319" t="s">
        <v>190</v>
      </c>
      <c r="EW104" s="319" t="s">
        <v>190</v>
      </c>
      <c r="EX104" s="319" t="s">
        <v>190</v>
      </c>
      <c r="EY104" s="319" t="s">
        <v>190</v>
      </c>
      <c r="EZ104" s="319" t="s">
        <v>190</v>
      </c>
      <c r="FA104" s="319" t="s">
        <v>190</v>
      </c>
      <c r="FB104" s="319" t="s">
        <v>190</v>
      </c>
      <c r="FC104" s="319" t="s">
        <v>190</v>
      </c>
      <c r="FD104" s="319" t="s">
        <v>190</v>
      </c>
      <c r="FE104" s="319" t="s">
        <v>190</v>
      </c>
      <c r="FF104" s="319" t="s">
        <v>190</v>
      </c>
      <c r="FG104" s="319" t="s">
        <v>190</v>
      </c>
      <c r="FH104" s="319" t="s">
        <v>190</v>
      </c>
      <c r="FI104" s="319" t="s">
        <v>190</v>
      </c>
      <c r="FJ104" s="319" t="s">
        <v>190</v>
      </c>
      <c r="FK104" s="319" t="s">
        <v>190</v>
      </c>
      <c r="FL104" s="319" t="s">
        <v>190</v>
      </c>
      <c r="FM104" s="319" t="s">
        <v>190</v>
      </c>
      <c r="FN104" s="319" t="s">
        <v>190</v>
      </c>
      <c r="FO104" s="319" t="s">
        <v>190</v>
      </c>
      <c r="FP104" s="319" t="s">
        <v>190</v>
      </c>
      <c r="FQ104" s="319" t="s">
        <v>190</v>
      </c>
      <c r="FR104" s="319" t="s">
        <v>190</v>
      </c>
      <c r="FS104" s="319" t="s">
        <v>190</v>
      </c>
      <c r="FT104" s="319" t="s">
        <v>190</v>
      </c>
      <c r="FU104" s="319" t="s">
        <v>190</v>
      </c>
      <c r="FV104" s="319" t="s">
        <v>190</v>
      </c>
      <c r="FW104" s="319" t="s">
        <v>190</v>
      </c>
      <c r="FX104" s="319" t="s">
        <v>190</v>
      </c>
      <c r="FY104" s="319" t="s">
        <v>190</v>
      </c>
      <c r="FZ104" s="319" t="s">
        <v>190</v>
      </c>
      <c r="GA104" s="319" t="s">
        <v>190</v>
      </c>
      <c r="GB104" s="319" t="s">
        <v>190</v>
      </c>
      <c r="GC104" s="319" t="s">
        <v>190</v>
      </c>
      <c r="GD104" s="319" t="s">
        <v>190</v>
      </c>
      <c r="GE104" s="319" t="s">
        <v>190</v>
      </c>
      <c r="GF104" s="319" t="s">
        <v>190</v>
      </c>
      <c r="GG104" s="319" t="s">
        <v>190</v>
      </c>
      <c r="GH104" s="319" t="s">
        <v>190</v>
      </c>
      <c r="GI104" s="319" t="s">
        <v>190</v>
      </c>
      <c r="GJ104" s="319" t="s">
        <v>190</v>
      </c>
      <c r="GK104" s="319" t="s">
        <v>428</v>
      </c>
      <c r="GL104" s="319" t="s">
        <v>190</v>
      </c>
      <c r="GM104" s="319" t="s">
        <v>190</v>
      </c>
      <c r="GN104" s="319" t="s">
        <v>190</v>
      </c>
      <c r="GO104" s="319" t="s">
        <v>190</v>
      </c>
      <c r="GP104" s="319" t="s">
        <v>190</v>
      </c>
      <c r="GQ104" s="319" t="s">
        <v>428</v>
      </c>
      <c r="GR104" s="319" t="s">
        <v>190</v>
      </c>
      <c r="GS104" s="319" t="s">
        <v>190</v>
      </c>
      <c r="GT104" s="319" t="s">
        <v>190</v>
      </c>
      <c r="GU104" s="319" t="s">
        <v>190</v>
      </c>
      <c r="GV104" s="319" t="s">
        <v>428</v>
      </c>
      <c r="GW104" s="319" t="s">
        <v>190</v>
      </c>
      <c r="GX104" s="319" t="s">
        <v>190</v>
      </c>
      <c r="GY104" s="319" t="s">
        <v>190</v>
      </c>
      <c r="GZ104" s="319" t="s">
        <v>428</v>
      </c>
      <c r="HA104" s="319" t="s">
        <v>190</v>
      </c>
      <c r="HB104" s="319" t="s">
        <v>428</v>
      </c>
      <c r="HC104" s="319" t="s">
        <v>190</v>
      </c>
      <c r="HD104" s="319" t="s">
        <v>190</v>
      </c>
      <c r="HE104" s="319" t="s">
        <v>190</v>
      </c>
      <c r="HF104" s="319" t="s">
        <v>190</v>
      </c>
      <c r="HG104" s="319" t="s">
        <v>190</v>
      </c>
      <c r="HH104" s="319" t="s">
        <v>190</v>
      </c>
      <c r="HI104" s="319" t="s">
        <v>190</v>
      </c>
      <c r="HJ104" s="319" t="s">
        <v>190</v>
      </c>
      <c r="HK104" s="319" t="s">
        <v>190</v>
      </c>
      <c r="HL104" s="319" t="s">
        <v>190</v>
      </c>
      <c r="HM104" s="319" t="s">
        <v>428</v>
      </c>
      <c r="HN104" s="319" t="s">
        <v>428</v>
      </c>
      <c r="HO104" s="319" t="s">
        <v>428</v>
      </c>
      <c r="HP104" s="319" t="s">
        <v>190</v>
      </c>
      <c r="HQ104" s="319" t="s">
        <v>190</v>
      </c>
      <c r="HR104" s="319" t="s">
        <v>190</v>
      </c>
      <c r="HS104" s="319" t="s">
        <v>190</v>
      </c>
      <c r="HT104" s="319" t="s">
        <v>190</v>
      </c>
      <c r="HU104" s="319" t="s">
        <v>190</v>
      </c>
      <c r="HV104" s="319" t="s">
        <v>190</v>
      </c>
      <c r="HW104" s="319" t="s">
        <v>190</v>
      </c>
      <c r="HX104" s="319" t="s">
        <v>190</v>
      </c>
      <c r="HY104" s="319" t="s">
        <v>190</v>
      </c>
      <c r="HZ104" s="319" t="s">
        <v>190</v>
      </c>
      <c r="IA104" s="319" t="s">
        <v>190</v>
      </c>
      <c r="IB104" s="319" t="s">
        <v>190</v>
      </c>
      <c r="IC104" s="319" t="s">
        <v>190</v>
      </c>
      <c r="ID104" s="319" t="s">
        <v>190</v>
      </c>
      <c r="IE104" s="319" t="s">
        <v>190</v>
      </c>
      <c r="IF104" s="319" t="s">
        <v>190</v>
      </c>
      <c r="IG104" s="319" t="s">
        <v>190</v>
      </c>
      <c r="IH104" s="319" t="s">
        <v>190</v>
      </c>
      <c r="II104" s="319" t="s">
        <v>190</v>
      </c>
      <c r="IJ104" s="319">
        <v>10006036</v>
      </c>
      <c r="IK104" s="321">
        <v>42318</v>
      </c>
      <c r="IL104" s="321">
        <v>42320</v>
      </c>
      <c r="IM104" s="321">
        <v>42353</v>
      </c>
      <c r="IN104" s="319">
        <v>1</v>
      </c>
      <c r="IO104" s="319" t="s">
        <v>173</v>
      </c>
      <c r="IP104" s="319" t="s">
        <v>173</v>
      </c>
      <c r="IQ104" s="319" t="s">
        <v>173</v>
      </c>
      <c r="IR104" s="320" t="s">
        <v>173</v>
      </c>
      <c r="IS104" s="320" t="s">
        <v>173</v>
      </c>
      <c r="IT104" s="319" t="s">
        <v>173</v>
      </c>
    </row>
    <row r="105" spans="1:254" s="271" customFormat="1" x14ac:dyDescent="0.25">
      <c r="A105" s="318" t="str">
        <f>HYPERLINK("http://www.ofsted.gov.uk/inspection-reports/find-inspection-report/provider/ELS/106816 ","Ofsted School Webpage")</f>
        <v>Ofsted School Webpage</v>
      </c>
      <c r="B105" s="319">
        <v>106816</v>
      </c>
      <c r="C105" s="319">
        <v>3716010</v>
      </c>
      <c r="D105" s="319" t="s">
        <v>1353</v>
      </c>
      <c r="E105" s="319" t="s">
        <v>167</v>
      </c>
      <c r="F105" s="319" t="s">
        <v>81</v>
      </c>
      <c r="G105" s="319" t="s">
        <v>81</v>
      </c>
      <c r="H105" s="319" t="s">
        <v>81</v>
      </c>
      <c r="I105" s="319" t="s">
        <v>78</v>
      </c>
      <c r="J105" s="319" t="s">
        <v>424</v>
      </c>
      <c r="K105" s="319" t="s">
        <v>458</v>
      </c>
      <c r="L105" s="319" t="s">
        <v>459</v>
      </c>
      <c r="M105" s="319" t="s">
        <v>716</v>
      </c>
      <c r="N105" s="319" t="s">
        <v>2880</v>
      </c>
      <c r="O105" s="319" t="s">
        <v>1354</v>
      </c>
      <c r="P105" s="319">
        <v>26</v>
      </c>
      <c r="Q105" s="319" t="s">
        <v>2766</v>
      </c>
      <c r="R105" s="320">
        <v>10110585</v>
      </c>
      <c r="S105" s="321">
        <v>43774</v>
      </c>
      <c r="T105" s="321">
        <v>43776</v>
      </c>
      <c r="U105" s="321">
        <v>43802</v>
      </c>
      <c r="V105" s="319" t="s">
        <v>425</v>
      </c>
      <c r="W105" s="319" t="s">
        <v>2767</v>
      </c>
      <c r="X105" s="319">
        <v>3</v>
      </c>
      <c r="Y105" s="319">
        <v>3</v>
      </c>
      <c r="Z105" s="319">
        <v>2</v>
      </c>
      <c r="AA105" s="319">
        <v>2</v>
      </c>
      <c r="AB105" s="319">
        <v>3</v>
      </c>
      <c r="AC105" s="319" t="s">
        <v>169</v>
      </c>
      <c r="AD105" s="319" t="s">
        <v>173</v>
      </c>
      <c r="AE105" s="319" t="s">
        <v>173</v>
      </c>
      <c r="AF105" s="319" t="s">
        <v>427</v>
      </c>
      <c r="AG105" s="319" t="s">
        <v>172</v>
      </c>
      <c r="AH105" s="319" t="s">
        <v>190</v>
      </c>
      <c r="AI105" s="319" t="s">
        <v>190</v>
      </c>
      <c r="AJ105" s="319" t="s">
        <v>479</v>
      </c>
      <c r="AK105" s="319" t="s">
        <v>190</v>
      </c>
      <c r="AL105" s="319" t="s">
        <v>190</v>
      </c>
      <c r="AM105" s="319" t="s">
        <v>479</v>
      </c>
      <c r="AN105" s="319" t="s">
        <v>190</v>
      </c>
      <c r="AO105" s="319" t="s">
        <v>479</v>
      </c>
      <c r="AP105" s="319" t="s">
        <v>190</v>
      </c>
      <c r="AQ105" s="319" t="s">
        <v>190</v>
      </c>
      <c r="AR105" s="319" t="s">
        <v>190</v>
      </c>
      <c r="AS105" s="319" t="s">
        <v>190</v>
      </c>
      <c r="AT105" s="319" t="s">
        <v>190</v>
      </c>
      <c r="AU105" s="319" t="s">
        <v>190</v>
      </c>
      <c r="AV105" s="319" t="s">
        <v>190</v>
      </c>
      <c r="AW105" s="319" t="s">
        <v>190</v>
      </c>
      <c r="AX105" s="319" t="s">
        <v>190</v>
      </c>
      <c r="AY105" s="319" t="s">
        <v>190</v>
      </c>
      <c r="AZ105" s="319" t="s">
        <v>190</v>
      </c>
      <c r="BA105" s="319" t="s">
        <v>190</v>
      </c>
      <c r="BB105" s="319" t="s">
        <v>428</v>
      </c>
      <c r="BC105" s="319" t="s">
        <v>428</v>
      </c>
      <c r="BD105" s="319" t="s">
        <v>428</v>
      </c>
      <c r="BE105" s="319" t="s">
        <v>190</v>
      </c>
      <c r="BF105" s="319" t="s">
        <v>190</v>
      </c>
      <c r="BG105" s="319" t="s">
        <v>428</v>
      </c>
      <c r="BH105" s="319" t="s">
        <v>190</v>
      </c>
      <c r="BI105" s="319" t="s">
        <v>190</v>
      </c>
      <c r="BJ105" s="319" t="s">
        <v>190</v>
      </c>
      <c r="BK105" s="319" t="s">
        <v>190</v>
      </c>
      <c r="BL105" s="319" t="s">
        <v>190</v>
      </c>
      <c r="BM105" s="319" t="s">
        <v>190</v>
      </c>
      <c r="BN105" s="319" t="s">
        <v>190</v>
      </c>
      <c r="BO105" s="319" t="s">
        <v>190</v>
      </c>
      <c r="BP105" s="319" t="s">
        <v>190</v>
      </c>
      <c r="BQ105" s="319" t="s">
        <v>190</v>
      </c>
      <c r="BR105" s="319" t="s">
        <v>190</v>
      </c>
      <c r="BS105" s="319" t="s">
        <v>190</v>
      </c>
      <c r="BT105" s="319" t="s">
        <v>190</v>
      </c>
      <c r="BU105" s="319" t="s">
        <v>190</v>
      </c>
      <c r="BV105" s="319" t="s">
        <v>190</v>
      </c>
      <c r="BW105" s="319" t="s">
        <v>190</v>
      </c>
      <c r="BX105" s="319" t="s">
        <v>190</v>
      </c>
      <c r="BY105" s="319" t="s">
        <v>190</v>
      </c>
      <c r="BZ105" s="319" t="s">
        <v>190</v>
      </c>
      <c r="CA105" s="319" t="s">
        <v>190</v>
      </c>
      <c r="CB105" s="319" t="s">
        <v>190</v>
      </c>
      <c r="CC105" s="319" t="s">
        <v>190</v>
      </c>
      <c r="CD105" s="319" t="s">
        <v>190</v>
      </c>
      <c r="CE105" s="319" t="s">
        <v>190</v>
      </c>
      <c r="CF105" s="319" t="s">
        <v>190</v>
      </c>
      <c r="CG105" s="319" t="s">
        <v>190</v>
      </c>
      <c r="CH105" s="319" t="s">
        <v>190</v>
      </c>
      <c r="CI105" s="319" t="s">
        <v>190</v>
      </c>
      <c r="CJ105" s="319" t="s">
        <v>190</v>
      </c>
      <c r="CK105" s="319" t="s">
        <v>191</v>
      </c>
      <c r="CL105" s="319" t="s">
        <v>191</v>
      </c>
      <c r="CM105" s="319" t="s">
        <v>191</v>
      </c>
      <c r="CN105" s="319" t="s">
        <v>428</v>
      </c>
      <c r="CO105" s="319" t="s">
        <v>428</v>
      </c>
      <c r="CP105" s="319" t="s">
        <v>428</v>
      </c>
      <c r="CQ105" s="319" t="s">
        <v>190</v>
      </c>
      <c r="CR105" s="319" t="s">
        <v>190</v>
      </c>
      <c r="CS105" s="319" t="s">
        <v>190</v>
      </c>
      <c r="CT105" s="319" t="s">
        <v>190</v>
      </c>
      <c r="CU105" s="319" t="s">
        <v>190</v>
      </c>
      <c r="CV105" s="319" t="s">
        <v>190</v>
      </c>
      <c r="CW105" s="319" t="s">
        <v>190</v>
      </c>
      <c r="CX105" s="319" t="s">
        <v>190</v>
      </c>
      <c r="CY105" s="319" t="s">
        <v>190</v>
      </c>
      <c r="CZ105" s="319" t="s">
        <v>190</v>
      </c>
      <c r="DA105" s="319" t="s">
        <v>190</v>
      </c>
      <c r="DB105" s="319" t="s">
        <v>190</v>
      </c>
      <c r="DC105" s="319" t="s">
        <v>190</v>
      </c>
      <c r="DD105" s="319" t="s">
        <v>190</v>
      </c>
      <c r="DE105" s="319" t="s">
        <v>190</v>
      </c>
      <c r="DF105" s="319" t="s">
        <v>190</v>
      </c>
      <c r="DG105" s="319" t="s">
        <v>190</v>
      </c>
      <c r="DH105" s="319" t="s">
        <v>190</v>
      </c>
      <c r="DI105" s="319" t="s">
        <v>190</v>
      </c>
      <c r="DJ105" s="319" t="s">
        <v>190</v>
      </c>
      <c r="DK105" s="319" t="s">
        <v>190</v>
      </c>
      <c r="DL105" s="319" t="s">
        <v>190</v>
      </c>
      <c r="DM105" s="319" t="s">
        <v>190</v>
      </c>
      <c r="DN105" s="319" t="s">
        <v>428</v>
      </c>
      <c r="DO105" s="319" t="s">
        <v>190</v>
      </c>
      <c r="DP105" s="319" t="s">
        <v>428</v>
      </c>
      <c r="DQ105" s="319" t="s">
        <v>428</v>
      </c>
      <c r="DR105" s="319" t="s">
        <v>428</v>
      </c>
      <c r="DS105" s="319" t="s">
        <v>428</v>
      </c>
      <c r="DT105" s="319" t="s">
        <v>428</v>
      </c>
      <c r="DU105" s="319" t="s">
        <v>428</v>
      </c>
      <c r="DV105" s="319" t="s">
        <v>428</v>
      </c>
      <c r="DW105" s="319" t="s">
        <v>428</v>
      </c>
      <c r="DX105" s="319" t="s">
        <v>428</v>
      </c>
      <c r="DY105" s="319" t="s">
        <v>428</v>
      </c>
      <c r="DZ105" s="319" t="s">
        <v>428</v>
      </c>
      <c r="EA105" s="319" t="s">
        <v>428</v>
      </c>
      <c r="EB105" s="319" t="s">
        <v>428</v>
      </c>
      <c r="EC105" s="319" t="s">
        <v>428</v>
      </c>
      <c r="ED105" s="319" t="s">
        <v>428</v>
      </c>
      <c r="EE105" s="319" t="s">
        <v>190</v>
      </c>
      <c r="EF105" s="319" t="s">
        <v>190</v>
      </c>
      <c r="EG105" s="319" t="s">
        <v>190</v>
      </c>
      <c r="EH105" s="319" t="s">
        <v>190</v>
      </c>
      <c r="EI105" s="319" t="s">
        <v>190</v>
      </c>
      <c r="EJ105" s="319" t="s">
        <v>190</v>
      </c>
      <c r="EK105" s="319" t="s">
        <v>190</v>
      </c>
      <c r="EL105" s="319" t="s">
        <v>190</v>
      </c>
      <c r="EM105" s="319" t="s">
        <v>190</v>
      </c>
      <c r="EN105" s="319" t="s">
        <v>190</v>
      </c>
      <c r="EO105" s="319" t="s">
        <v>190</v>
      </c>
      <c r="EP105" s="319" t="s">
        <v>190</v>
      </c>
      <c r="EQ105" s="319" t="s">
        <v>190</v>
      </c>
      <c r="ER105" s="319" t="s">
        <v>190</v>
      </c>
      <c r="ES105" s="319" t="s">
        <v>190</v>
      </c>
      <c r="ET105" s="319" t="s">
        <v>190</v>
      </c>
      <c r="EU105" s="319" t="s">
        <v>190</v>
      </c>
      <c r="EV105" s="319" t="s">
        <v>190</v>
      </c>
      <c r="EW105" s="319" t="s">
        <v>190</v>
      </c>
      <c r="EX105" s="319" t="s">
        <v>190</v>
      </c>
      <c r="EY105" s="319" t="s">
        <v>190</v>
      </c>
      <c r="EZ105" s="319" t="s">
        <v>190</v>
      </c>
      <c r="FA105" s="319" t="s">
        <v>190</v>
      </c>
      <c r="FB105" s="319" t="s">
        <v>428</v>
      </c>
      <c r="FC105" s="319" t="s">
        <v>428</v>
      </c>
      <c r="FD105" s="319" t="s">
        <v>428</v>
      </c>
      <c r="FE105" s="319" t="s">
        <v>428</v>
      </c>
      <c r="FF105" s="319" t="s">
        <v>428</v>
      </c>
      <c r="FG105" s="319" t="s">
        <v>428</v>
      </c>
      <c r="FH105" s="319" t="s">
        <v>190</v>
      </c>
      <c r="FI105" s="319" t="s">
        <v>190</v>
      </c>
      <c r="FJ105" s="319" t="s">
        <v>190</v>
      </c>
      <c r="FK105" s="319" t="s">
        <v>190</v>
      </c>
      <c r="FL105" s="319" t="s">
        <v>190</v>
      </c>
      <c r="FM105" s="319" t="s">
        <v>190</v>
      </c>
      <c r="FN105" s="319" t="s">
        <v>190</v>
      </c>
      <c r="FO105" s="319" t="s">
        <v>190</v>
      </c>
      <c r="FP105" s="319" t="s">
        <v>190</v>
      </c>
      <c r="FQ105" s="319" t="s">
        <v>190</v>
      </c>
      <c r="FR105" s="319" t="s">
        <v>190</v>
      </c>
      <c r="FS105" s="319" t="s">
        <v>190</v>
      </c>
      <c r="FT105" s="319" t="s">
        <v>190</v>
      </c>
      <c r="FU105" s="319" t="s">
        <v>190</v>
      </c>
      <c r="FV105" s="319" t="s">
        <v>190</v>
      </c>
      <c r="FW105" s="319" t="s">
        <v>190</v>
      </c>
      <c r="FX105" s="319" t="s">
        <v>190</v>
      </c>
      <c r="FY105" s="319" t="s">
        <v>190</v>
      </c>
      <c r="FZ105" s="319" t="s">
        <v>190</v>
      </c>
      <c r="GA105" s="319" t="s">
        <v>190</v>
      </c>
      <c r="GB105" s="319" t="s">
        <v>190</v>
      </c>
      <c r="GC105" s="319" t="s">
        <v>190</v>
      </c>
      <c r="GD105" s="319" t="s">
        <v>190</v>
      </c>
      <c r="GE105" s="319" t="s">
        <v>190</v>
      </c>
      <c r="GF105" s="319" t="s">
        <v>190</v>
      </c>
      <c r="GG105" s="319" t="s">
        <v>190</v>
      </c>
      <c r="GH105" s="319" t="s">
        <v>190</v>
      </c>
      <c r="GI105" s="319" t="s">
        <v>190</v>
      </c>
      <c r="GJ105" s="319" t="s">
        <v>190</v>
      </c>
      <c r="GK105" s="319" t="s">
        <v>428</v>
      </c>
      <c r="GL105" s="319" t="s">
        <v>191</v>
      </c>
      <c r="GM105" s="319" t="s">
        <v>190</v>
      </c>
      <c r="GN105" s="319" t="s">
        <v>190</v>
      </c>
      <c r="GO105" s="319" t="s">
        <v>191</v>
      </c>
      <c r="GP105" s="319" t="s">
        <v>190</v>
      </c>
      <c r="GQ105" s="319" t="s">
        <v>428</v>
      </c>
      <c r="GR105" s="319" t="s">
        <v>190</v>
      </c>
      <c r="GS105" s="319" t="s">
        <v>190</v>
      </c>
      <c r="GT105" s="319" t="s">
        <v>428</v>
      </c>
      <c r="GU105" s="319" t="s">
        <v>428</v>
      </c>
      <c r="GV105" s="319" t="s">
        <v>428</v>
      </c>
      <c r="GW105" s="319" t="s">
        <v>190</v>
      </c>
      <c r="GX105" s="319" t="s">
        <v>190</v>
      </c>
      <c r="GY105" s="319" t="s">
        <v>190</v>
      </c>
      <c r="GZ105" s="319" t="s">
        <v>190</v>
      </c>
      <c r="HA105" s="319" t="s">
        <v>428</v>
      </c>
      <c r="HB105" s="319" t="s">
        <v>428</v>
      </c>
      <c r="HC105" s="319" t="s">
        <v>190</v>
      </c>
      <c r="HD105" s="319" t="s">
        <v>190</v>
      </c>
      <c r="HE105" s="319" t="s">
        <v>190</v>
      </c>
      <c r="HF105" s="319" t="s">
        <v>190</v>
      </c>
      <c r="HG105" s="319" t="s">
        <v>190</v>
      </c>
      <c r="HH105" s="319" t="s">
        <v>190</v>
      </c>
      <c r="HI105" s="319" t="s">
        <v>190</v>
      </c>
      <c r="HJ105" s="319" t="s">
        <v>190</v>
      </c>
      <c r="HK105" s="319" t="s">
        <v>190</v>
      </c>
      <c r="HL105" s="319" t="s">
        <v>428</v>
      </c>
      <c r="HM105" s="319" t="s">
        <v>428</v>
      </c>
      <c r="HN105" s="319" t="s">
        <v>428</v>
      </c>
      <c r="HO105" s="319" t="s">
        <v>428</v>
      </c>
      <c r="HP105" s="319" t="s">
        <v>190</v>
      </c>
      <c r="HQ105" s="319" t="s">
        <v>190</v>
      </c>
      <c r="HR105" s="319" t="s">
        <v>190</v>
      </c>
      <c r="HS105" s="319" t="s">
        <v>190</v>
      </c>
      <c r="HT105" s="319" t="s">
        <v>190</v>
      </c>
      <c r="HU105" s="319" t="s">
        <v>190</v>
      </c>
      <c r="HV105" s="319" t="s">
        <v>190</v>
      </c>
      <c r="HW105" s="319" t="s">
        <v>190</v>
      </c>
      <c r="HX105" s="319" t="s">
        <v>190</v>
      </c>
      <c r="HY105" s="319" t="s">
        <v>190</v>
      </c>
      <c r="HZ105" s="319" t="s">
        <v>190</v>
      </c>
      <c r="IA105" s="319" t="s">
        <v>190</v>
      </c>
      <c r="IB105" s="319" t="s">
        <v>190</v>
      </c>
      <c r="IC105" s="319" t="s">
        <v>190</v>
      </c>
      <c r="ID105" s="319" t="s">
        <v>190</v>
      </c>
      <c r="IE105" s="319" t="s">
        <v>190</v>
      </c>
      <c r="IF105" s="319" t="s">
        <v>191</v>
      </c>
      <c r="IG105" s="319" t="s">
        <v>191</v>
      </c>
      <c r="IH105" s="319" t="s">
        <v>191</v>
      </c>
      <c r="II105" s="319" t="s">
        <v>190</v>
      </c>
      <c r="IJ105" s="319">
        <v>10046951</v>
      </c>
      <c r="IK105" s="321">
        <v>43221</v>
      </c>
      <c r="IL105" s="321">
        <v>43223</v>
      </c>
      <c r="IM105" s="321">
        <v>43251</v>
      </c>
      <c r="IN105" s="319">
        <v>3</v>
      </c>
      <c r="IO105" s="319" t="s">
        <v>173</v>
      </c>
      <c r="IP105" s="319" t="s">
        <v>173</v>
      </c>
      <c r="IQ105" s="321" t="s">
        <v>173</v>
      </c>
      <c r="IR105" s="320" t="s">
        <v>173</v>
      </c>
      <c r="IS105" s="322" t="s">
        <v>173</v>
      </c>
      <c r="IT105" s="319" t="s">
        <v>173</v>
      </c>
    </row>
    <row r="106" spans="1:254" s="271" customFormat="1" x14ac:dyDescent="0.25">
      <c r="A106" s="318" t="str">
        <f>HYPERLINK("http://www.ofsted.gov.uk/inspection-reports/find-inspection-report/provider/ELS/106817 ","Ofsted School Webpage")</f>
        <v>Ofsted School Webpage</v>
      </c>
      <c r="B106" s="319">
        <v>106817</v>
      </c>
      <c r="C106" s="319">
        <v>3716011</v>
      </c>
      <c r="D106" s="319" t="s">
        <v>715</v>
      </c>
      <c r="E106" s="319" t="s">
        <v>168</v>
      </c>
      <c r="F106" s="319" t="s">
        <v>81</v>
      </c>
      <c r="G106" s="319" t="s">
        <v>81</v>
      </c>
      <c r="H106" s="319" t="s">
        <v>81</v>
      </c>
      <c r="I106" s="319" t="s">
        <v>78</v>
      </c>
      <c r="J106" s="319" t="s">
        <v>424</v>
      </c>
      <c r="K106" s="319" t="s">
        <v>458</v>
      </c>
      <c r="L106" s="319" t="s">
        <v>459</v>
      </c>
      <c r="M106" s="319" t="s">
        <v>716</v>
      </c>
      <c r="N106" s="319" t="s">
        <v>2879</v>
      </c>
      <c r="O106" s="319" t="s">
        <v>717</v>
      </c>
      <c r="P106" s="319">
        <v>34</v>
      </c>
      <c r="Q106" s="319" t="s">
        <v>2776</v>
      </c>
      <c r="R106" s="320">
        <v>10053824</v>
      </c>
      <c r="S106" s="321">
        <v>43431</v>
      </c>
      <c r="T106" s="321">
        <v>43433</v>
      </c>
      <c r="U106" s="321">
        <v>43464</v>
      </c>
      <c r="V106" s="319" t="s">
        <v>425</v>
      </c>
      <c r="W106" s="319" t="s">
        <v>2767</v>
      </c>
      <c r="X106" s="319">
        <v>2</v>
      </c>
      <c r="Y106" s="319" t="s">
        <v>173</v>
      </c>
      <c r="Z106" s="319" t="s">
        <v>173</v>
      </c>
      <c r="AA106" s="319" t="s">
        <v>173</v>
      </c>
      <c r="AB106" s="319">
        <v>2</v>
      </c>
      <c r="AC106" s="319" t="s">
        <v>169</v>
      </c>
      <c r="AD106" s="319" t="s">
        <v>173</v>
      </c>
      <c r="AE106" s="319" t="s">
        <v>173</v>
      </c>
      <c r="AF106" s="319" t="s">
        <v>427</v>
      </c>
      <c r="AG106" s="319" t="s">
        <v>171</v>
      </c>
      <c r="AH106" s="319" t="s">
        <v>190</v>
      </c>
      <c r="AI106" s="319" t="s">
        <v>190</v>
      </c>
      <c r="AJ106" s="319" t="s">
        <v>190</v>
      </c>
      <c r="AK106" s="319" t="s">
        <v>190</v>
      </c>
      <c r="AL106" s="319" t="s">
        <v>190</v>
      </c>
      <c r="AM106" s="319" t="s">
        <v>190</v>
      </c>
      <c r="AN106" s="319" t="s">
        <v>190</v>
      </c>
      <c r="AO106" s="319" t="s">
        <v>190</v>
      </c>
      <c r="AP106" s="319" t="s">
        <v>190</v>
      </c>
      <c r="AQ106" s="319" t="s">
        <v>190</v>
      </c>
      <c r="AR106" s="319" t="s">
        <v>190</v>
      </c>
      <c r="AS106" s="319" t="s">
        <v>190</v>
      </c>
      <c r="AT106" s="319" t="s">
        <v>190</v>
      </c>
      <c r="AU106" s="319" t="s">
        <v>190</v>
      </c>
      <c r="AV106" s="319" t="s">
        <v>190</v>
      </c>
      <c r="AW106" s="319" t="s">
        <v>190</v>
      </c>
      <c r="AX106" s="319" t="s">
        <v>428</v>
      </c>
      <c r="AY106" s="319" t="s">
        <v>190</v>
      </c>
      <c r="AZ106" s="319" t="s">
        <v>190</v>
      </c>
      <c r="BA106" s="319" t="s">
        <v>190</v>
      </c>
      <c r="BB106" s="319" t="s">
        <v>190</v>
      </c>
      <c r="BC106" s="319" t="s">
        <v>190</v>
      </c>
      <c r="BD106" s="319" t="s">
        <v>190</v>
      </c>
      <c r="BE106" s="319" t="s">
        <v>190</v>
      </c>
      <c r="BF106" s="319" t="s">
        <v>428</v>
      </c>
      <c r="BG106" s="319" t="s">
        <v>190</v>
      </c>
      <c r="BH106" s="319" t="s">
        <v>190</v>
      </c>
      <c r="BI106" s="319" t="s">
        <v>190</v>
      </c>
      <c r="BJ106" s="319" t="s">
        <v>190</v>
      </c>
      <c r="BK106" s="319" t="s">
        <v>190</v>
      </c>
      <c r="BL106" s="319" t="s">
        <v>190</v>
      </c>
      <c r="BM106" s="319" t="s">
        <v>190</v>
      </c>
      <c r="BN106" s="319" t="s">
        <v>190</v>
      </c>
      <c r="BO106" s="319" t="s">
        <v>190</v>
      </c>
      <c r="BP106" s="319" t="s">
        <v>190</v>
      </c>
      <c r="BQ106" s="319" t="s">
        <v>190</v>
      </c>
      <c r="BR106" s="319" t="s">
        <v>190</v>
      </c>
      <c r="BS106" s="319" t="s">
        <v>190</v>
      </c>
      <c r="BT106" s="319" t="s">
        <v>190</v>
      </c>
      <c r="BU106" s="319" t="s">
        <v>190</v>
      </c>
      <c r="BV106" s="319" t="s">
        <v>190</v>
      </c>
      <c r="BW106" s="319" t="s">
        <v>190</v>
      </c>
      <c r="BX106" s="319" t="s">
        <v>190</v>
      </c>
      <c r="BY106" s="319" t="s">
        <v>190</v>
      </c>
      <c r="BZ106" s="319" t="s">
        <v>190</v>
      </c>
      <c r="CA106" s="319" t="s">
        <v>190</v>
      </c>
      <c r="CB106" s="319" t="s">
        <v>190</v>
      </c>
      <c r="CC106" s="319" t="s">
        <v>190</v>
      </c>
      <c r="CD106" s="319" t="s">
        <v>190</v>
      </c>
      <c r="CE106" s="319" t="s">
        <v>190</v>
      </c>
      <c r="CF106" s="319" t="s">
        <v>190</v>
      </c>
      <c r="CG106" s="319" t="s">
        <v>190</v>
      </c>
      <c r="CH106" s="319" t="s">
        <v>190</v>
      </c>
      <c r="CI106" s="319" t="s">
        <v>190</v>
      </c>
      <c r="CJ106" s="319" t="s">
        <v>190</v>
      </c>
      <c r="CK106" s="319" t="s">
        <v>190</v>
      </c>
      <c r="CL106" s="319" t="s">
        <v>190</v>
      </c>
      <c r="CM106" s="319" t="s">
        <v>190</v>
      </c>
      <c r="CN106" s="319" t="s">
        <v>428</v>
      </c>
      <c r="CO106" s="319" t="s">
        <v>428</v>
      </c>
      <c r="CP106" s="319" t="s">
        <v>428</v>
      </c>
      <c r="CQ106" s="319" t="s">
        <v>190</v>
      </c>
      <c r="CR106" s="319" t="s">
        <v>190</v>
      </c>
      <c r="CS106" s="319" t="s">
        <v>190</v>
      </c>
      <c r="CT106" s="319" t="s">
        <v>190</v>
      </c>
      <c r="CU106" s="319" t="s">
        <v>190</v>
      </c>
      <c r="CV106" s="319" t="s">
        <v>190</v>
      </c>
      <c r="CW106" s="319" t="s">
        <v>190</v>
      </c>
      <c r="CX106" s="319" t="s">
        <v>190</v>
      </c>
      <c r="CY106" s="319" t="s">
        <v>190</v>
      </c>
      <c r="CZ106" s="319" t="s">
        <v>190</v>
      </c>
      <c r="DA106" s="319" t="s">
        <v>190</v>
      </c>
      <c r="DB106" s="319" t="s">
        <v>190</v>
      </c>
      <c r="DC106" s="319" t="s">
        <v>190</v>
      </c>
      <c r="DD106" s="319" t="s">
        <v>190</v>
      </c>
      <c r="DE106" s="319" t="s">
        <v>190</v>
      </c>
      <c r="DF106" s="319" t="s">
        <v>190</v>
      </c>
      <c r="DG106" s="319" t="s">
        <v>190</v>
      </c>
      <c r="DH106" s="319" t="s">
        <v>190</v>
      </c>
      <c r="DI106" s="319" t="s">
        <v>190</v>
      </c>
      <c r="DJ106" s="319" t="s">
        <v>190</v>
      </c>
      <c r="DK106" s="319" t="s">
        <v>190</v>
      </c>
      <c r="DL106" s="319" t="s">
        <v>190</v>
      </c>
      <c r="DM106" s="319" t="s">
        <v>190</v>
      </c>
      <c r="DN106" s="319" t="s">
        <v>428</v>
      </c>
      <c r="DO106" s="319" t="s">
        <v>190</v>
      </c>
      <c r="DP106" s="319" t="s">
        <v>428</v>
      </c>
      <c r="DQ106" s="319" t="s">
        <v>428</v>
      </c>
      <c r="DR106" s="319" t="s">
        <v>428</v>
      </c>
      <c r="DS106" s="319" t="s">
        <v>428</v>
      </c>
      <c r="DT106" s="319" t="s">
        <v>428</v>
      </c>
      <c r="DU106" s="319" t="s">
        <v>428</v>
      </c>
      <c r="DV106" s="319" t="s">
        <v>173</v>
      </c>
      <c r="DW106" s="319" t="s">
        <v>428</v>
      </c>
      <c r="DX106" s="319" t="s">
        <v>428</v>
      </c>
      <c r="DY106" s="319" t="s">
        <v>428</v>
      </c>
      <c r="DZ106" s="319" t="s">
        <v>428</v>
      </c>
      <c r="EA106" s="319" t="s">
        <v>428</v>
      </c>
      <c r="EB106" s="319" t="s">
        <v>428</v>
      </c>
      <c r="EC106" s="319" t="s">
        <v>428</v>
      </c>
      <c r="ED106" s="319" t="s">
        <v>428</v>
      </c>
      <c r="EE106" s="319" t="s">
        <v>190</v>
      </c>
      <c r="EF106" s="319" t="s">
        <v>190</v>
      </c>
      <c r="EG106" s="319" t="s">
        <v>190</v>
      </c>
      <c r="EH106" s="319" t="s">
        <v>190</v>
      </c>
      <c r="EI106" s="319" t="s">
        <v>190</v>
      </c>
      <c r="EJ106" s="319" t="s">
        <v>190</v>
      </c>
      <c r="EK106" s="319" t="s">
        <v>190</v>
      </c>
      <c r="EL106" s="319" t="s">
        <v>190</v>
      </c>
      <c r="EM106" s="319" t="s">
        <v>190</v>
      </c>
      <c r="EN106" s="319" t="s">
        <v>190</v>
      </c>
      <c r="EO106" s="319" t="s">
        <v>190</v>
      </c>
      <c r="EP106" s="319" t="s">
        <v>190</v>
      </c>
      <c r="EQ106" s="319" t="s">
        <v>190</v>
      </c>
      <c r="ER106" s="319" t="s">
        <v>190</v>
      </c>
      <c r="ES106" s="319" t="s">
        <v>190</v>
      </c>
      <c r="ET106" s="319" t="s">
        <v>190</v>
      </c>
      <c r="EU106" s="319" t="s">
        <v>190</v>
      </c>
      <c r="EV106" s="319" t="s">
        <v>190</v>
      </c>
      <c r="EW106" s="319" t="s">
        <v>190</v>
      </c>
      <c r="EX106" s="319" t="s">
        <v>190</v>
      </c>
      <c r="EY106" s="319" t="s">
        <v>190</v>
      </c>
      <c r="EZ106" s="319" t="s">
        <v>190</v>
      </c>
      <c r="FA106" s="319" t="s">
        <v>190</v>
      </c>
      <c r="FB106" s="319" t="s">
        <v>428</v>
      </c>
      <c r="FC106" s="319" t="s">
        <v>428</v>
      </c>
      <c r="FD106" s="319" t="s">
        <v>428</v>
      </c>
      <c r="FE106" s="319" t="s">
        <v>428</v>
      </c>
      <c r="FF106" s="319" t="s">
        <v>428</v>
      </c>
      <c r="FG106" s="319" t="s">
        <v>428</v>
      </c>
      <c r="FH106" s="319" t="s">
        <v>190</v>
      </c>
      <c r="FI106" s="319" t="s">
        <v>190</v>
      </c>
      <c r="FJ106" s="319" t="s">
        <v>190</v>
      </c>
      <c r="FK106" s="319" t="s">
        <v>190</v>
      </c>
      <c r="FL106" s="319" t="s">
        <v>190</v>
      </c>
      <c r="FM106" s="319" t="s">
        <v>190</v>
      </c>
      <c r="FN106" s="319" t="s">
        <v>190</v>
      </c>
      <c r="FO106" s="319" t="s">
        <v>190</v>
      </c>
      <c r="FP106" s="319" t="s">
        <v>190</v>
      </c>
      <c r="FQ106" s="319" t="s">
        <v>190</v>
      </c>
      <c r="FR106" s="319" t="s">
        <v>190</v>
      </c>
      <c r="FS106" s="319" t="s">
        <v>428</v>
      </c>
      <c r="FT106" s="319" t="s">
        <v>190</v>
      </c>
      <c r="FU106" s="319" t="s">
        <v>190</v>
      </c>
      <c r="FV106" s="319" t="s">
        <v>190</v>
      </c>
      <c r="FW106" s="319" t="s">
        <v>190</v>
      </c>
      <c r="FX106" s="319" t="s">
        <v>190</v>
      </c>
      <c r="FY106" s="319" t="s">
        <v>190</v>
      </c>
      <c r="FZ106" s="319" t="s">
        <v>190</v>
      </c>
      <c r="GA106" s="319" t="s">
        <v>190</v>
      </c>
      <c r="GB106" s="319" t="s">
        <v>190</v>
      </c>
      <c r="GC106" s="319" t="s">
        <v>190</v>
      </c>
      <c r="GD106" s="319" t="s">
        <v>190</v>
      </c>
      <c r="GE106" s="319" t="s">
        <v>190</v>
      </c>
      <c r="GF106" s="319" t="s">
        <v>190</v>
      </c>
      <c r="GG106" s="319" t="s">
        <v>190</v>
      </c>
      <c r="GH106" s="319" t="s">
        <v>190</v>
      </c>
      <c r="GI106" s="319" t="s">
        <v>190</v>
      </c>
      <c r="GJ106" s="319" t="s">
        <v>190</v>
      </c>
      <c r="GK106" s="319" t="s">
        <v>428</v>
      </c>
      <c r="GL106" s="319" t="s">
        <v>190</v>
      </c>
      <c r="GM106" s="319" t="s">
        <v>190</v>
      </c>
      <c r="GN106" s="319" t="s">
        <v>190</v>
      </c>
      <c r="GO106" s="319" t="s">
        <v>190</v>
      </c>
      <c r="GP106" s="319" t="s">
        <v>190</v>
      </c>
      <c r="GQ106" s="319" t="s">
        <v>428</v>
      </c>
      <c r="GR106" s="319" t="s">
        <v>190</v>
      </c>
      <c r="GS106" s="319" t="s">
        <v>190</v>
      </c>
      <c r="GT106" s="319" t="s">
        <v>190</v>
      </c>
      <c r="GU106" s="319" t="s">
        <v>190</v>
      </c>
      <c r="GV106" s="319" t="s">
        <v>190</v>
      </c>
      <c r="GW106" s="319" t="s">
        <v>190</v>
      </c>
      <c r="GX106" s="319" t="s">
        <v>190</v>
      </c>
      <c r="GY106" s="319" t="s">
        <v>190</v>
      </c>
      <c r="GZ106" s="319" t="s">
        <v>428</v>
      </c>
      <c r="HA106" s="319" t="s">
        <v>190</v>
      </c>
      <c r="HB106" s="319" t="s">
        <v>428</v>
      </c>
      <c r="HC106" s="319" t="s">
        <v>190</v>
      </c>
      <c r="HD106" s="319" t="s">
        <v>190</v>
      </c>
      <c r="HE106" s="319" t="s">
        <v>190</v>
      </c>
      <c r="HF106" s="319" t="s">
        <v>190</v>
      </c>
      <c r="HG106" s="319" t="s">
        <v>190</v>
      </c>
      <c r="HH106" s="319" t="s">
        <v>190</v>
      </c>
      <c r="HI106" s="319" t="s">
        <v>190</v>
      </c>
      <c r="HJ106" s="319" t="s">
        <v>190</v>
      </c>
      <c r="HK106" s="319" t="s">
        <v>190</v>
      </c>
      <c r="HL106" s="319" t="s">
        <v>428</v>
      </c>
      <c r="HM106" s="319" t="s">
        <v>428</v>
      </c>
      <c r="HN106" s="319" t="s">
        <v>428</v>
      </c>
      <c r="HO106" s="319" t="s">
        <v>428</v>
      </c>
      <c r="HP106" s="319" t="s">
        <v>190</v>
      </c>
      <c r="HQ106" s="319" t="s">
        <v>190</v>
      </c>
      <c r="HR106" s="319" t="s">
        <v>190</v>
      </c>
      <c r="HS106" s="319" t="s">
        <v>190</v>
      </c>
      <c r="HT106" s="319" t="s">
        <v>190</v>
      </c>
      <c r="HU106" s="319" t="s">
        <v>190</v>
      </c>
      <c r="HV106" s="319" t="s">
        <v>190</v>
      </c>
      <c r="HW106" s="319" t="s">
        <v>190</v>
      </c>
      <c r="HX106" s="319" t="s">
        <v>190</v>
      </c>
      <c r="HY106" s="319" t="s">
        <v>190</v>
      </c>
      <c r="HZ106" s="319" t="s">
        <v>190</v>
      </c>
      <c r="IA106" s="319" t="s">
        <v>190</v>
      </c>
      <c r="IB106" s="319" t="s">
        <v>190</v>
      </c>
      <c r="IC106" s="319" t="s">
        <v>190</v>
      </c>
      <c r="ID106" s="319" t="s">
        <v>190</v>
      </c>
      <c r="IE106" s="319" t="s">
        <v>190</v>
      </c>
      <c r="IF106" s="319" t="s">
        <v>190</v>
      </c>
      <c r="IG106" s="319" t="s">
        <v>190</v>
      </c>
      <c r="IH106" s="319" t="s">
        <v>190</v>
      </c>
      <c r="II106" s="319" t="s">
        <v>190</v>
      </c>
      <c r="IJ106" s="319">
        <v>10006869</v>
      </c>
      <c r="IK106" s="321">
        <v>42325</v>
      </c>
      <c r="IL106" s="321">
        <v>42327</v>
      </c>
      <c r="IM106" s="321">
        <v>42381</v>
      </c>
      <c r="IN106" s="319">
        <v>2</v>
      </c>
      <c r="IO106" s="319" t="s">
        <v>173</v>
      </c>
      <c r="IP106" s="319" t="s">
        <v>173</v>
      </c>
      <c r="IQ106" s="321" t="s">
        <v>173</v>
      </c>
      <c r="IR106" s="320" t="s">
        <v>173</v>
      </c>
      <c r="IS106" s="322" t="s">
        <v>173</v>
      </c>
      <c r="IT106" s="319" t="s">
        <v>173</v>
      </c>
    </row>
    <row r="107" spans="1:254" s="271" customFormat="1" x14ac:dyDescent="0.25">
      <c r="A107" s="318" t="str">
        <f>HYPERLINK("http://www.ofsted.gov.uk/inspection-reports/find-inspection-report/provider/ELS/106965 ","Ofsted School Webpage")</f>
        <v>Ofsted School Webpage</v>
      </c>
      <c r="B107" s="319">
        <v>106965</v>
      </c>
      <c r="C107" s="319">
        <v>3706004</v>
      </c>
      <c r="D107" s="319" t="s">
        <v>1156</v>
      </c>
      <c r="E107" s="319" t="s">
        <v>168</v>
      </c>
      <c r="F107" s="319" t="s">
        <v>81</v>
      </c>
      <c r="G107" s="319" t="s">
        <v>81</v>
      </c>
      <c r="H107" s="319" t="s">
        <v>81</v>
      </c>
      <c r="I107" s="319" t="s">
        <v>78</v>
      </c>
      <c r="J107" s="319" t="s">
        <v>424</v>
      </c>
      <c r="K107" s="319" t="s">
        <v>458</v>
      </c>
      <c r="L107" s="319" t="s">
        <v>459</v>
      </c>
      <c r="M107" s="319" t="s">
        <v>973</v>
      </c>
      <c r="N107" s="319" t="s">
        <v>2881</v>
      </c>
      <c r="O107" s="319" t="s">
        <v>1157</v>
      </c>
      <c r="P107" s="319">
        <v>100</v>
      </c>
      <c r="Q107" s="319" t="s">
        <v>2776</v>
      </c>
      <c r="R107" s="320">
        <v>10043653</v>
      </c>
      <c r="S107" s="321">
        <v>43172</v>
      </c>
      <c r="T107" s="321">
        <v>43174</v>
      </c>
      <c r="U107" s="321">
        <v>43221</v>
      </c>
      <c r="V107" s="319" t="s">
        <v>425</v>
      </c>
      <c r="W107" s="319" t="s">
        <v>2767</v>
      </c>
      <c r="X107" s="319">
        <v>2</v>
      </c>
      <c r="Y107" s="319" t="s">
        <v>173</v>
      </c>
      <c r="Z107" s="319" t="s">
        <v>173</v>
      </c>
      <c r="AA107" s="319" t="s">
        <v>173</v>
      </c>
      <c r="AB107" s="319">
        <v>2</v>
      </c>
      <c r="AC107" s="319" t="s">
        <v>169</v>
      </c>
      <c r="AD107" s="319" t="s">
        <v>173</v>
      </c>
      <c r="AE107" s="319">
        <v>2</v>
      </c>
      <c r="AF107" s="319" t="s">
        <v>427</v>
      </c>
      <c r="AG107" s="319" t="s">
        <v>171</v>
      </c>
      <c r="AH107" s="319" t="s">
        <v>190</v>
      </c>
      <c r="AI107" s="319" t="s">
        <v>190</v>
      </c>
      <c r="AJ107" s="319" t="s">
        <v>190</v>
      </c>
      <c r="AK107" s="319" t="s">
        <v>190</v>
      </c>
      <c r="AL107" s="319" t="s">
        <v>190</v>
      </c>
      <c r="AM107" s="319" t="s">
        <v>190</v>
      </c>
      <c r="AN107" s="319" t="s">
        <v>190</v>
      </c>
      <c r="AO107" s="319" t="s">
        <v>190</v>
      </c>
      <c r="AP107" s="319" t="s">
        <v>190</v>
      </c>
      <c r="AQ107" s="319" t="s">
        <v>190</v>
      </c>
      <c r="AR107" s="319" t="s">
        <v>190</v>
      </c>
      <c r="AS107" s="319" t="s">
        <v>190</v>
      </c>
      <c r="AT107" s="319" t="s">
        <v>190</v>
      </c>
      <c r="AU107" s="319" t="s">
        <v>190</v>
      </c>
      <c r="AV107" s="319" t="s">
        <v>190</v>
      </c>
      <c r="AW107" s="319" t="s">
        <v>190</v>
      </c>
      <c r="AX107" s="319" t="s">
        <v>190</v>
      </c>
      <c r="AY107" s="319" t="s">
        <v>190</v>
      </c>
      <c r="AZ107" s="319" t="s">
        <v>190</v>
      </c>
      <c r="BA107" s="319" t="s">
        <v>190</v>
      </c>
      <c r="BB107" s="319" t="s">
        <v>190</v>
      </c>
      <c r="BC107" s="319" t="s">
        <v>190</v>
      </c>
      <c r="BD107" s="319" t="s">
        <v>190</v>
      </c>
      <c r="BE107" s="319" t="s">
        <v>190</v>
      </c>
      <c r="BF107" s="319" t="s">
        <v>428</v>
      </c>
      <c r="BG107" s="319" t="s">
        <v>190</v>
      </c>
      <c r="BH107" s="319" t="s">
        <v>190</v>
      </c>
      <c r="BI107" s="319" t="s">
        <v>190</v>
      </c>
      <c r="BJ107" s="319" t="s">
        <v>190</v>
      </c>
      <c r="BK107" s="319" t="s">
        <v>190</v>
      </c>
      <c r="BL107" s="319" t="s">
        <v>190</v>
      </c>
      <c r="BM107" s="319" t="s">
        <v>190</v>
      </c>
      <c r="BN107" s="319" t="s">
        <v>190</v>
      </c>
      <c r="BO107" s="319" t="s">
        <v>190</v>
      </c>
      <c r="BP107" s="319" t="s">
        <v>190</v>
      </c>
      <c r="BQ107" s="319" t="s">
        <v>190</v>
      </c>
      <c r="BR107" s="319" t="s">
        <v>190</v>
      </c>
      <c r="BS107" s="319" t="s">
        <v>190</v>
      </c>
      <c r="BT107" s="319" t="s">
        <v>190</v>
      </c>
      <c r="BU107" s="319" t="s">
        <v>190</v>
      </c>
      <c r="BV107" s="319" t="s">
        <v>190</v>
      </c>
      <c r="BW107" s="319" t="s">
        <v>190</v>
      </c>
      <c r="BX107" s="319" t="s">
        <v>190</v>
      </c>
      <c r="BY107" s="319" t="s">
        <v>190</v>
      </c>
      <c r="BZ107" s="319" t="s">
        <v>190</v>
      </c>
      <c r="CA107" s="319" t="s">
        <v>190</v>
      </c>
      <c r="CB107" s="319" t="s">
        <v>190</v>
      </c>
      <c r="CC107" s="319" t="s">
        <v>190</v>
      </c>
      <c r="CD107" s="319" t="s">
        <v>190</v>
      </c>
      <c r="CE107" s="319" t="s">
        <v>190</v>
      </c>
      <c r="CF107" s="319" t="s">
        <v>190</v>
      </c>
      <c r="CG107" s="319" t="s">
        <v>190</v>
      </c>
      <c r="CH107" s="319" t="s">
        <v>190</v>
      </c>
      <c r="CI107" s="319" t="s">
        <v>190</v>
      </c>
      <c r="CJ107" s="319" t="s">
        <v>190</v>
      </c>
      <c r="CK107" s="319" t="s">
        <v>190</v>
      </c>
      <c r="CL107" s="319" t="s">
        <v>190</v>
      </c>
      <c r="CM107" s="319" t="s">
        <v>190</v>
      </c>
      <c r="CN107" s="319" t="s">
        <v>190</v>
      </c>
      <c r="CO107" s="319" t="s">
        <v>190</v>
      </c>
      <c r="CP107" s="319" t="s">
        <v>190</v>
      </c>
      <c r="CQ107" s="319" t="s">
        <v>190</v>
      </c>
      <c r="CR107" s="319" t="s">
        <v>190</v>
      </c>
      <c r="CS107" s="319" t="s">
        <v>190</v>
      </c>
      <c r="CT107" s="319" t="s">
        <v>190</v>
      </c>
      <c r="CU107" s="319" t="s">
        <v>190</v>
      </c>
      <c r="CV107" s="319" t="s">
        <v>190</v>
      </c>
      <c r="CW107" s="319" t="s">
        <v>190</v>
      </c>
      <c r="CX107" s="319" t="s">
        <v>190</v>
      </c>
      <c r="CY107" s="319" t="s">
        <v>190</v>
      </c>
      <c r="CZ107" s="319" t="s">
        <v>190</v>
      </c>
      <c r="DA107" s="319" t="s">
        <v>190</v>
      </c>
      <c r="DB107" s="319" t="s">
        <v>190</v>
      </c>
      <c r="DC107" s="319" t="s">
        <v>190</v>
      </c>
      <c r="DD107" s="319" t="s">
        <v>190</v>
      </c>
      <c r="DE107" s="319" t="s">
        <v>190</v>
      </c>
      <c r="DF107" s="319" t="s">
        <v>190</v>
      </c>
      <c r="DG107" s="319" t="s">
        <v>190</v>
      </c>
      <c r="DH107" s="319" t="s">
        <v>190</v>
      </c>
      <c r="DI107" s="319" t="s">
        <v>190</v>
      </c>
      <c r="DJ107" s="319" t="s">
        <v>190</v>
      </c>
      <c r="DK107" s="319" t="s">
        <v>190</v>
      </c>
      <c r="DL107" s="319" t="s">
        <v>190</v>
      </c>
      <c r="DM107" s="319" t="s">
        <v>190</v>
      </c>
      <c r="DN107" s="319" t="s">
        <v>428</v>
      </c>
      <c r="DO107" s="319" t="s">
        <v>190</v>
      </c>
      <c r="DP107" s="319" t="s">
        <v>190</v>
      </c>
      <c r="DQ107" s="319" t="s">
        <v>190</v>
      </c>
      <c r="DR107" s="319" t="s">
        <v>190</v>
      </c>
      <c r="DS107" s="319" t="s">
        <v>190</v>
      </c>
      <c r="DT107" s="319" t="s">
        <v>190</v>
      </c>
      <c r="DU107" s="319" t="s">
        <v>190</v>
      </c>
      <c r="DV107" s="319" t="s">
        <v>173</v>
      </c>
      <c r="DW107" s="319" t="s">
        <v>190</v>
      </c>
      <c r="DX107" s="319" t="s">
        <v>190</v>
      </c>
      <c r="DY107" s="319" t="s">
        <v>190</v>
      </c>
      <c r="DZ107" s="319" t="s">
        <v>190</v>
      </c>
      <c r="EA107" s="319" t="s">
        <v>190</v>
      </c>
      <c r="EB107" s="319" t="s">
        <v>190</v>
      </c>
      <c r="EC107" s="319" t="s">
        <v>428</v>
      </c>
      <c r="ED107" s="319" t="s">
        <v>190</v>
      </c>
      <c r="EE107" s="319" t="s">
        <v>190</v>
      </c>
      <c r="EF107" s="319" t="s">
        <v>190</v>
      </c>
      <c r="EG107" s="319" t="s">
        <v>190</v>
      </c>
      <c r="EH107" s="319" t="s">
        <v>190</v>
      </c>
      <c r="EI107" s="319" t="s">
        <v>190</v>
      </c>
      <c r="EJ107" s="319" t="s">
        <v>190</v>
      </c>
      <c r="EK107" s="319" t="s">
        <v>190</v>
      </c>
      <c r="EL107" s="319" t="s">
        <v>190</v>
      </c>
      <c r="EM107" s="319" t="s">
        <v>190</v>
      </c>
      <c r="EN107" s="319" t="s">
        <v>190</v>
      </c>
      <c r="EO107" s="319" t="s">
        <v>190</v>
      </c>
      <c r="EP107" s="319" t="s">
        <v>190</v>
      </c>
      <c r="EQ107" s="319" t="s">
        <v>190</v>
      </c>
      <c r="ER107" s="319" t="s">
        <v>190</v>
      </c>
      <c r="ES107" s="319" t="s">
        <v>190</v>
      </c>
      <c r="ET107" s="319" t="s">
        <v>190</v>
      </c>
      <c r="EU107" s="319" t="s">
        <v>190</v>
      </c>
      <c r="EV107" s="319" t="s">
        <v>190</v>
      </c>
      <c r="EW107" s="319" t="s">
        <v>190</v>
      </c>
      <c r="EX107" s="319" t="s">
        <v>190</v>
      </c>
      <c r="EY107" s="319" t="s">
        <v>190</v>
      </c>
      <c r="EZ107" s="319" t="s">
        <v>190</v>
      </c>
      <c r="FA107" s="319" t="s">
        <v>190</v>
      </c>
      <c r="FB107" s="319" t="s">
        <v>190</v>
      </c>
      <c r="FC107" s="319" t="s">
        <v>190</v>
      </c>
      <c r="FD107" s="319" t="s">
        <v>190</v>
      </c>
      <c r="FE107" s="319" t="s">
        <v>190</v>
      </c>
      <c r="FF107" s="319" t="s">
        <v>190</v>
      </c>
      <c r="FG107" s="319" t="s">
        <v>190</v>
      </c>
      <c r="FH107" s="319" t="s">
        <v>190</v>
      </c>
      <c r="FI107" s="319" t="s">
        <v>190</v>
      </c>
      <c r="FJ107" s="319" t="s">
        <v>190</v>
      </c>
      <c r="FK107" s="319" t="s">
        <v>190</v>
      </c>
      <c r="FL107" s="319" t="s">
        <v>190</v>
      </c>
      <c r="FM107" s="319" t="s">
        <v>190</v>
      </c>
      <c r="FN107" s="319" t="s">
        <v>190</v>
      </c>
      <c r="FO107" s="319" t="s">
        <v>190</v>
      </c>
      <c r="FP107" s="319" t="s">
        <v>190</v>
      </c>
      <c r="FQ107" s="319" t="s">
        <v>190</v>
      </c>
      <c r="FR107" s="319" t="s">
        <v>190</v>
      </c>
      <c r="FS107" s="319" t="s">
        <v>190</v>
      </c>
      <c r="FT107" s="319" t="s">
        <v>190</v>
      </c>
      <c r="FU107" s="319" t="s">
        <v>190</v>
      </c>
      <c r="FV107" s="319" t="s">
        <v>190</v>
      </c>
      <c r="FW107" s="319" t="s">
        <v>190</v>
      </c>
      <c r="FX107" s="319" t="s">
        <v>190</v>
      </c>
      <c r="FY107" s="319" t="s">
        <v>190</v>
      </c>
      <c r="FZ107" s="319" t="s">
        <v>190</v>
      </c>
      <c r="GA107" s="319" t="s">
        <v>190</v>
      </c>
      <c r="GB107" s="319" t="s">
        <v>190</v>
      </c>
      <c r="GC107" s="319" t="s">
        <v>190</v>
      </c>
      <c r="GD107" s="319" t="s">
        <v>190</v>
      </c>
      <c r="GE107" s="319" t="s">
        <v>190</v>
      </c>
      <c r="GF107" s="319" t="s">
        <v>190</v>
      </c>
      <c r="GG107" s="319" t="s">
        <v>190</v>
      </c>
      <c r="GH107" s="319" t="s">
        <v>190</v>
      </c>
      <c r="GI107" s="319" t="s">
        <v>190</v>
      </c>
      <c r="GJ107" s="319" t="s">
        <v>190</v>
      </c>
      <c r="GK107" s="319" t="s">
        <v>428</v>
      </c>
      <c r="GL107" s="319" t="s">
        <v>190</v>
      </c>
      <c r="GM107" s="319" t="s">
        <v>190</v>
      </c>
      <c r="GN107" s="319" t="s">
        <v>190</v>
      </c>
      <c r="GO107" s="319" t="s">
        <v>190</v>
      </c>
      <c r="GP107" s="319" t="s">
        <v>190</v>
      </c>
      <c r="GQ107" s="319" t="s">
        <v>190</v>
      </c>
      <c r="GR107" s="319" t="s">
        <v>190</v>
      </c>
      <c r="GS107" s="319" t="s">
        <v>190</v>
      </c>
      <c r="GT107" s="319" t="s">
        <v>190</v>
      </c>
      <c r="GU107" s="319" t="s">
        <v>190</v>
      </c>
      <c r="GV107" s="319" t="s">
        <v>190</v>
      </c>
      <c r="GW107" s="319" t="s">
        <v>190</v>
      </c>
      <c r="GX107" s="319" t="s">
        <v>190</v>
      </c>
      <c r="GY107" s="319" t="s">
        <v>190</v>
      </c>
      <c r="GZ107" s="319" t="s">
        <v>190</v>
      </c>
      <c r="HA107" s="319" t="s">
        <v>190</v>
      </c>
      <c r="HB107" s="319" t="s">
        <v>190</v>
      </c>
      <c r="HC107" s="319" t="s">
        <v>190</v>
      </c>
      <c r="HD107" s="319" t="s">
        <v>190</v>
      </c>
      <c r="HE107" s="319" t="s">
        <v>190</v>
      </c>
      <c r="HF107" s="319" t="s">
        <v>190</v>
      </c>
      <c r="HG107" s="319" t="s">
        <v>190</v>
      </c>
      <c r="HH107" s="319" t="s">
        <v>190</v>
      </c>
      <c r="HI107" s="319" t="s">
        <v>190</v>
      </c>
      <c r="HJ107" s="319" t="s">
        <v>190</v>
      </c>
      <c r="HK107" s="319" t="s">
        <v>190</v>
      </c>
      <c r="HL107" s="319" t="s">
        <v>190</v>
      </c>
      <c r="HM107" s="319" t="s">
        <v>428</v>
      </c>
      <c r="HN107" s="319" t="s">
        <v>428</v>
      </c>
      <c r="HO107" s="319" t="s">
        <v>428</v>
      </c>
      <c r="HP107" s="319" t="s">
        <v>190</v>
      </c>
      <c r="HQ107" s="319" t="s">
        <v>190</v>
      </c>
      <c r="HR107" s="319" t="s">
        <v>190</v>
      </c>
      <c r="HS107" s="319" t="s">
        <v>190</v>
      </c>
      <c r="HT107" s="319" t="s">
        <v>190</v>
      </c>
      <c r="HU107" s="319" t="s">
        <v>190</v>
      </c>
      <c r="HV107" s="319" t="s">
        <v>190</v>
      </c>
      <c r="HW107" s="319" t="s">
        <v>190</v>
      </c>
      <c r="HX107" s="319" t="s">
        <v>190</v>
      </c>
      <c r="HY107" s="319" t="s">
        <v>190</v>
      </c>
      <c r="HZ107" s="319" t="s">
        <v>190</v>
      </c>
      <c r="IA107" s="319" t="s">
        <v>190</v>
      </c>
      <c r="IB107" s="319" t="s">
        <v>190</v>
      </c>
      <c r="IC107" s="319" t="s">
        <v>190</v>
      </c>
      <c r="ID107" s="319" t="s">
        <v>190</v>
      </c>
      <c r="IE107" s="319" t="s">
        <v>190</v>
      </c>
      <c r="IF107" s="319" t="s">
        <v>190</v>
      </c>
      <c r="IG107" s="319" t="s">
        <v>190</v>
      </c>
      <c r="IH107" s="319" t="s">
        <v>190</v>
      </c>
      <c r="II107" s="319" t="s">
        <v>190</v>
      </c>
      <c r="IJ107" s="319" t="s">
        <v>2882</v>
      </c>
      <c r="IK107" s="321">
        <v>42038</v>
      </c>
      <c r="IL107" s="321">
        <v>42040</v>
      </c>
      <c r="IM107" s="321">
        <v>42074</v>
      </c>
      <c r="IN107" s="319">
        <v>2</v>
      </c>
      <c r="IO107" s="319" t="s">
        <v>173</v>
      </c>
      <c r="IP107" s="319" t="s">
        <v>173</v>
      </c>
      <c r="IQ107" s="321" t="s">
        <v>173</v>
      </c>
      <c r="IR107" s="320" t="s">
        <v>173</v>
      </c>
      <c r="IS107" s="322" t="s">
        <v>173</v>
      </c>
      <c r="IT107" s="319" t="s">
        <v>173</v>
      </c>
    </row>
    <row r="108" spans="1:254" s="271" customFormat="1" x14ac:dyDescent="0.25">
      <c r="A108" s="318" t="str">
        <f>HYPERLINK("http://www.ofsted.gov.uk/inspection-reports/find-inspection-report/provider/ELS/107168 ","Ofsted School Webpage")</f>
        <v>Ofsted School Webpage</v>
      </c>
      <c r="B108" s="319">
        <v>107168</v>
      </c>
      <c r="C108" s="319">
        <v>3736027</v>
      </c>
      <c r="D108" s="319" t="s">
        <v>516</v>
      </c>
      <c r="E108" s="319" t="s">
        <v>167</v>
      </c>
      <c r="F108" s="319" t="s">
        <v>59</v>
      </c>
      <c r="G108" s="319" t="s">
        <v>59</v>
      </c>
      <c r="H108" s="319" t="s">
        <v>59</v>
      </c>
      <c r="I108" s="319" t="s">
        <v>59</v>
      </c>
      <c r="J108" s="319" t="s">
        <v>424</v>
      </c>
      <c r="K108" s="319" t="s">
        <v>458</v>
      </c>
      <c r="L108" s="319" t="s">
        <v>459</v>
      </c>
      <c r="M108" s="319" t="s">
        <v>486</v>
      </c>
      <c r="N108" s="319" t="s">
        <v>2883</v>
      </c>
      <c r="O108" s="319" t="s">
        <v>517</v>
      </c>
      <c r="P108" s="319">
        <v>92</v>
      </c>
      <c r="Q108" s="319" t="s">
        <v>2766</v>
      </c>
      <c r="R108" s="320">
        <v>10053825</v>
      </c>
      <c r="S108" s="321">
        <v>43375</v>
      </c>
      <c r="T108" s="321">
        <v>43377</v>
      </c>
      <c r="U108" s="321">
        <v>43415</v>
      </c>
      <c r="V108" s="319" t="s">
        <v>425</v>
      </c>
      <c r="W108" s="319" t="s">
        <v>2767</v>
      </c>
      <c r="X108" s="319">
        <v>2</v>
      </c>
      <c r="Y108" s="319" t="s">
        <v>173</v>
      </c>
      <c r="Z108" s="319" t="s">
        <v>173</v>
      </c>
      <c r="AA108" s="319" t="s">
        <v>173</v>
      </c>
      <c r="AB108" s="319">
        <v>2</v>
      </c>
      <c r="AC108" s="319" t="s">
        <v>169</v>
      </c>
      <c r="AD108" s="319">
        <v>2</v>
      </c>
      <c r="AE108" s="319" t="s">
        <v>173</v>
      </c>
      <c r="AF108" s="319" t="s">
        <v>427</v>
      </c>
      <c r="AG108" s="319" t="s">
        <v>171</v>
      </c>
      <c r="AH108" s="319" t="s">
        <v>190</v>
      </c>
      <c r="AI108" s="319" t="s">
        <v>190</v>
      </c>
      <c r="AJ108" s="319" t="s">
        <v>190</v>
      </c>
      <c r="AK108" s="319" t="s">
        <v>190</v>
      </c>
      <c r="AL108" s="319" t="s">
        <v>190</v>
      </c>
      <c r="AM108" s="319" t="s">
        <v>190</v>
      </c>
      <c r="AN108" s="319" t="s">
        <v>190</v>
      </c>
      <c r="AO108" s="319" t="s">
        <v>190</v>
      </c>
      <c r="AP108" s="319" t="s">
        <v>190</v>
      </c>
      <c r="AQ108" s="319" t="s">
        <v>190</v>
      </c>
      <c r="AR108" s="319" t="s">
        <v>190</v>
      </c>
      <c r="AS108" s="319" t="s">
        <v>190</v>
      </c>
      <c r="AT108" s="319" t="s">
        <v>190</v>
      </c>
      <c r="AU108" s="319" t="s">
        <v>190</v>
      </c>
      <c r="AV108" s="319" t="s">
        <v>190</v>
      </c>
      <c r="AW108" s="319" t="s">
        <v>190</v>
      </c>
      <c r="AX108" s="319" t="s">
        <v>428</v>
      </c>
      <c r="AY108" s="319" t="s">
        <v>190</v>
      </c>
      <c r="AZ108" s="319" t="s">
        <v>190</v>
      </c>
      <c r="BA108" s="319" t="s">
        <v>190</v>
      </c>
      <c r="BB108" s="319" t="s">
        <v>190</v>
      </c>
      <c r="BC108" s="319" t="s">
        <v>190</v>
      </c>
      <c r="BD108" s="319" t="s">
        <v>190</v>
      </c>
      <c r="BE108" s="319" t="s">
        <v>190</v>
      </c>
      <c r="BF108" s="319" t="s">
        <v>190</v>
      </c>
      <c r="BG108" s="319" t="s">
        <v>190</v>
      </c>
      <c r="BH108" s="319" t="s">
        <v>190</v>
      </c>
      <c r="BI108" s="319" t="s">
        <v>190</v>
      </c>
      <c r="BJ108" s="319" t="s">
        <v>190</v>
      </c>
      <c r="BK108" s="319" t="s">
        <v>190</v>
      </c>
      <c r="BL108" s="319" t="s">
        <v>190</v>
      </c>
      <c r="BM108" s="319" t="s">
        <v>190</v>
      </c>
      <c r="BN108" s="319" t="s">
        <v>190</v>
      </c>
      <c r="BO108" s="319" t="s">
        <v>190</v>
      </c>
      <c r="BP108" s="319" t="s">
        <v>190</v>
      </c>
      <c r="BQ108" s="319" t="s">
        <v>190</v>
      </c>
      <c r="BR108" s="319" t="s">
        <v>190</v>
      </c>
      <c r="BS108" s="319" t="s">
        <v>190</v>
      </c>
      <c r="BT108" s="319" t="s">
        <v>190</v>
      </c>
      <c r="BU108" s="319" t="s">
        <v>190</v>
      </c>
      <c r="BV108" s="319" t="s">
        <v>190</v>
      </c>
      <c r="BW108" s="319" t="s">
        <v>190</v>
      </c>
      <c r="BX108" s="319" t="s">
        <v>190</v>
      </c>
      <c r="BY108" s="319" t="s">
        <v>190</v>
      </c>
      <c r="BZ108" s="319" t="s">
        <v>190</v>
      </c>
      <c r="CA108" s="319" t="s">
        <v>190</v>
      </c>
      <c r="CB108" s="319" t="s">
        <v>190</v>
      </c>
      <c r="CC108" s="319" t="s">
        <v>190</v>
      </c>
      <c r="CD108" s="319" t="s">
        <v>190</v>
      </c>
      <c r="CE108" s="319" t="s">
        <v>190</v>
      </c>
      <c r="CF108" s="319" t="s">
        <v>190</v>
      </c>
      <c r="CG108" s="319" t="s">
        <v>190</v>
      </c>
      <c r="CH108" s="319" t="s">
        <v>190</v>
      </c>
      <c r="CI108" s="319" t="s">
        <v>190</v>
      </c>
      <c r="CJ108" s="319" t="s">
        <v>190</v>
      </c>
      <c r="CK108" s="319" t="s">
        <v>190</v>
      </c>
      <c r="CL108" s="319" t="s">
        <v>190</v>
      </c>
      <c r="CM108" s="319" t="s">
        <v>190</v>
      </c>
      <c r="CN108" s="319" t="s">
        <v>428</v>
      </c>
      <c r="CO108" s="319" t="s">
        <v>428</v>
      </c>
      <c r="CP108" s="319" t="s">
        <v>428</v>
      </c>
      <c r="CQ108" s="319" t="s">
        <v>190</v>
      </c>
      <c r="CR108" s="319" t="s">
        <v>190</v>
      </c>
      <c r="CS108" s="319" t="s">
        <v>190</v>
      </c>
      <c r="CT108" s="319" t="s">
        <v>190</v>
      </c>
      <c r="CU108" s="319" t="s">
        <v>190</v>
      </c>
      <c r="CV108" s="319" t="s">
        <v>190</v>
      </c>
      <c r="CW108" s="319" t="s">
        <v>190</v>
      </c>
      <c r="CX108" s="319" t="s">
        <v>190</v>
      </c>
      <c r="CY108" s="319" t="s">
        <v>190</v>
      </c>
      <c r="CZ108" s="319" t="s">
        <v>190</v>
      </c>
      <c r="DA108" s="319" t="s">
        <v>190</v>
      </c>
      <c r="DB108" s="319" t="s">
        <v>190</v>
      </c>
      <c r="DC108" s="319" t="s">
        <v>190</v>
      </c>
      <c r="DD108" s="319" t="s">
        <v>190</v>
      </c>
      <c r="DE108" s="319" t="s">
        <v>190</v>
      </c>
      <c r="DF108" s="319" t="s">
        <v>190</v>
      </c>
      <c r="DG108" s="319" t="s">
        <v>190</v>
      </c>
      <c r="DH108" s="319" t="s">
        <v>190</v>
      </c>
      <c r="DI108" s="319" t="s">
        <v>190</v>
      </c>
      <c r="DJ108" s="319" t="s">
        <v>190</v>
      </c>
      <c r="DK108" s="319" t="s">
        <v>190</v>
      </c>
      <c r="DL108" s="319" t="s">
        <v>190</v>
      </c>
      <c r="DM108" s="319" t="s">
        <v>190</v>
      </c>
      <c r="DN108" s="319" t="s">
        <v>428</v>
      </c>
      <c r="DO108" s="319" t="s">
        <v>190</v>
      </c>
      <c r="DP108" s="319" t="s">
        <v>428</v>
      </c>
      <c r="DQ108" s="319" t="s">
        <v>428</v>
      </c>
      <c r="DR108" s="319" t="s">
        <v>428</v>
      </c>
      <c r="DS108" s="319" t="s">
        <v>428</v>
      </c>
      <c r="DT108" s="319" t="s">
        <v>428</v>
      </c>
      <c r="DU108" s="319" t="s">
        <v>428</v>
      </c>
      <c r="DV108" s="319" t="s">
        <v>173</v>
      </c>
      <c r="DW108" s="319" t="s">
        <v>428</v>
      </c>
      <c r="DX108" s="319" t="s">
        <v>428</v>
      </c>
      <c r="DY108" s="319" t="s">
        <v>428</v>
      </c>
      <c r="DZ108" s="319" t="s">
        <v>428</v>
      </c>
      <c r="EA108" s="319" t="s">
        <v>428</v>
      </c>
      <c r="EB108" s="319" t="s">
        <v>428</v>
      </c>
      <c r="EC108" s="319" t="s">
        <v>428</v>
      </c>
      <c r="ED108" s="319" t="s">
        <v>428</v>
      </c>
      <c r="EE108" s="319" t="s">
        <v>190</v>
      </c>
      <c r="EF108" s="319" t="s">
        <v>190</v>
      </c>
      <c r="EG108" s="319" t="s">
        <v>190</v>
      </c>
      <c r="EH108" s="319" t="s">
        <v>190</v>
      </c>
      <c r="EI108" s="319" t="s">
        <v>190</v>
      </c>
      <c r="EJ108" s="319" t="s">
        <v>190</v>
      </c>
      <c r="EK108" s="319" t="s">
        <v>190</v>
      </c>
      <c r="EL108" s="319" t="s">
        <v>190</v>
      </c>
      <c r="EM108" s="319" t="s">
        <v>190</v>
      </c>
      <c r="EN108" s="319" t="s">
        <v>190</v>
      </c>
      <c r="EO108" s="319" t="s">
        <v>190</v>
      </c>
      <c r="EP108" s="319" t="s">
        <v>190</v>
      </c>
      <c r="EQ108" s="319" t="s">
        <v>190</v>
      </c>
      <c r="ER108" s="319" t="s">
        <v>190</v>
      </c>
      <c r="ES108" s="319" t="s">
        <v>190</v>
      </c>
      <c r="ET108" s="319" t="s">
        <v>190</v>
      </c>
      <c r="EU108" s="319" t="s">
        <v>190</v>
      </c>
      <c r="EV108" s="319" t="s">
        <v>190</v>
      </c>
      <c r="EW108" s="319" t="s">
        <v>190</v>
      </c>
      <c r="EX108" s="319" t="s">
        <v>190</v>
      </c>
      <c r="EY108" s="319" t="s">
        <v>190</v>
      </c>
      <c r="EZ108" s="319" t="s">
        <v>190</v>
      </c>
      <c r="FA108" s="319" t="s">
        <v>190</v>
      </c>
      <c r="FB108" s="319" t="s">
        <v>428</v>
      </c>
      <c r="FC108" s="319" t="s">
        <v>428</v>
      </c>
      <c r="FD108" s="319" t="s">
        <v>190</v>
      </c>
      <c r="FE108" s="319" t="s">
        <v>190</v>
      </c>
      <c r="FF108" s="319" t="s">
        <v>190</v>
      </c>
      <c r="FG108" s="319" t="s">
        <v>428</v>
      </c>
      <c r="FH108" s="319" t="s">
        <v>190</v>
      </c>
      <c r="FI108" s="319" t="s">
        <v>190</v>
      </c>
      <c r="FJ108" s="319" t="s">
        <v>190</v>
      </c>
      <c r="FK108" s="319" t="s">
        <v>190</v>
      </c>
      <c r="FL108" s="319" t="s">
        <v>190</v>
      </c>
      <c r="FM108" s="319" t="s">
        <v>190</v>
      </c>
      <c r="FN108" s="319" t="s">
        <v>190</v>
      </c>
      <c r="FO108" s="319" t="s">
        <v>190</v>
      </c>
      <c r="FP108" s="319" t="s">
        <v>190</v>
      </c>
      <c r="FQ108" s="319" t="s">
        <v>190</v>
      </c>
      <c r="FR108" s="319" t="s">
        <v>190</v>
      </c>
      <c r="FS108" s="319" t="s">
        <v>190</v>
      </c>
      <c r="FT108" s="319" t="s">
        <v>190</v>
      </c>
      <c r="FU108" s="319" t="s">
        <v>190</v>
      </c>
      <c r="FV108" s="319" t="s">
        <v>190</v>
      </c>
      <c r="FW108" s="319" t="s">
        <v>190</v>
      </c>
      <c r="FX108" s="319" t="s">
        <v>190</v>
      </c>
      <c r="FY108" s="319" t="s">
        <v>190</v>
      </c>
      <c r="FZ108" s="319" t="s">
        <v>190</v>
      </c>
      <c r="GA108" s="319" t="s">
        <v>190</v>
      </c>
      <c r="GB108" s="319" t="s">
        <v>190</v>
      </c>
      <c r="GC108" s="319" t="s">
        <v>190</v>
      </c>
      <c r="GD108" s="319" t="s">
        <v>190</v>
      </c>
      <c r="GE108" s="319" t="s">
        <v>190</v>
      </c>
      <c r="GF108" s="319" t="s">
        <v>190</v>
      </c>
      <c r="GG108" s="319" t="s">
        <v>190</v>
      </c>
      <c r="GH108" s="319" t="s">
        <v>190</v>
      </c>
      <c r="GI108" s="319" t="s">
        <v>190</v>
      </c>
      <c r="GJ108" s="319" t="s">
        <v>190</v>
      </c>
      <c r="GK108" s="319" t="s">
        <v>428</v>
      </c>
      <c r="GL108" s="319" t="s">
        <v>190</v>
      </c>
      <c r="GM108" s="319" t="s">
        <v>190</v>
      </c>
      <c r="GN108" s="319" t="s">
        <v>190</v>
      </c>
      <c r="GO108" s="319" t="s">
        <v>190</v>
      </c>
      <c r="GP108" s="319" t="s">
        <v>190</v>
      </c>
      <c r="GQ108" s="319" t="s">
        <v>190</v>
      </c>
      <c r="GR108" s="319" t="s">
        <v>190</v>
      </c>
      <c r="GS108" s="319" t="s">
        <v>190</v>
      </c>
      <c r="GT108" s="319" t="s">
        <v>190</v>
      </c>
      <c r="GU108" s="319" t="s">
        <v>190</v>
      </c>
      <c r="GV108" s="319" t="s">
        <v>190</v>
      </c>
      <c r="GW108" s="319" t="s">
        <v>190</v>
      </c>
      <c r="GX108" s="319" t="s">
        <v>190</v>
      </c>
      <c r="GY108" s="319" t="s">
        <v>190</v>
      </c>
      <c r="GZ108" s="319" t="s">
        <v>190</v>
      </c>
      <c r="HA108" s="319" t="s">
        <v>190</v>
      </c>
      <c r="HB108" s="319" t="s">
        <v>190</v>
      </c>
      <c r="HC108" s="319" t="s">
        <v>190</v>
      </c>
      <c r="HD108" s="319" t="s">
        <v>190</v>
      </c>
      <c r="HE108" s="319" t="s">
        <v>190</v>
      </c>
      <c r="HF108" s="319" t="s">
        <v>190</v>
      </c>
      <c r="HG108" s="319" t="s">
        <v>190</v>
      </c>
      <c r="HH108" s="319" t="s">
        <v>190</v>
      </c>
      <c r="HI108" s="319" t="s">
        <v>190</v>
      </c>
      <c r="HJ108" s="319" t="s">
        <v>190</v>
      </c>
      <c r="HK108" s="319" t="s">
        <v>190</v>
      </c>
      <c r="HL108" s="319" t="s">
        <v>190</v>
      </c>
      <c r="HM108" s="319" t="s">
        <v>428</v>
      </c>
      <c r="HN108" s="319" t="s">
        <v>428</v>
      </c>
      <c r="HO108" s="319" t="s">
        <v>428</v>
      </c>
      <c r="HP108" s="319" t="s">
        <v>190</v>
      </c>
      <c r="HQ108" s="319" t="s">
        <v>190</v>
      </c>
      <c r="HR108" s="319" t="s">
        <v>190</v>
      </c>
      <c r="HS108" s="319" t="s">
        <v>190</v>
      </c>
      <c r="HT108" s="319" t="s">
        <v>190</v>
      </c>
      <c r="HU108" s="319" t="s">
        <v>190</v>
      </c>
      <c r="HV108" s="319" t="s">
        <v>190</v>
      </c>
      <c r="HW108" s="319" t="s">
        <v>190</v>
      </c>
      <c r="HX108" s="319" t="s">
        <v>190</v>
      </c>
      <c r="HY108" s="319" t="s">
        <v>190</v>
      </c>
      <c r="HZ108" s="319" t="s">
        <v>190</v>
      </c>
      <c r="IA108" s="319" t="s">
        <v>190</v>
      </c>
      <c r="IB108" s="319" t="s">
        <v>190</v>
      </c>
      <c r="IC108" s="319" t="s">
        <v>190</v>
      </c>
      <c r="ID108" s="319" t="s">
        <v>190</v>
      </c>
      <c r="IE108" s="319" t="s">
        <v>190</v>
      </c>
      <c r="IF108" s="319" t="s">
        <v>190</v>
      </c>
      <c r="IG108" s="319" t="s">
        <v>190</v>
      </c>
      <c r="IH108" s="319" t="s">
        <v>190</v>
      </c>
      <c r="II108" s="319" t="s">
        <v>190</v>
      </c>
      <c r="IJ108" s="319">
        <v>10007853</v>
      </c>
      <c r="IK108" s="321">
        <v>42291</v>
      </c>
      <c r="IL108" s="321">
        <v>42293</v>
      </c>
      <c r="IM108" s="321">
        <v>42328</v>
      </c>
      <c r="IN108" s="319">
        <v>2</v>
      </c>
      <c r="IO108" s="319" t="s">
        <v>173</v>
      </c>
      <c r="IP108" s="319" t="s">
        <v>173</v>
      </c>
      <c r="IQ108" s="321" t="s">
        <v>173</v>
      </c>
      <c r="IR108" s="320" t="s">
        <v>173</v>
      </c>
      <c r="IS108" s="322" t="s">
        <v>173</v>
      </c>
      <c r="IT108" s="319" t="s">
        <v>173</v>
      </c>
    </row>
    <row r="109" spans="1:254" s="271" customFormat="1" x14ac:dyDescent="0.25">
      <c r="A109" s="318" t="str">
        <f>HYPERLINK("http://www.ofsted.gov.uk/inspection-reports/find-inspection-report/provider/ELS/107461 ","Ofsted School Webpage")</f>
        <v>Ofsted School Webpage</v>
      </c>
      <c r="B109" s="319">
        <v>107461</v>
      </c>
      <c r="C109" s="319">
        <v>3806110</v>
      </c>
      <c r="D109" s="319" t="s">
        <v>670</v>
      </c>
      <c r="E109" s="319" t="s">
        <v>167</v>
      </c>
      <c r="F109" s="319" t="s">
        <v>81</v>
      </c>
      <c r="G109" s="319" t="s">
        <v>59</v>
      </c>
      <c r="H109" s="319" t="s">
        <v>59</v>
      </c>
      <c r="I109" s="319" t="s">
        <v>59</v>
      </c>
      <c r="J109" s="319" t="s">
        <v>424</v>
      </c>
      <c r="K109" s="319" t="s">
        <v>458</v>
      </c>
      <c r="L109" s="319" t="s">
        <v>459</v>
      </c>
      <c r="M109" s="319" t="s">
        <v>595</v>
      </c>
      <c r="N109" s="319" t="s">
        <v>2884</v>
      </c>
      <c r="O109" s="319" t="s">
        <v>671</v>
      </c>
      <c r="P109" s="319">
        <v>122</v>
      </c>
      <c r="Q109" s="319" t="s">
        <v>2766</v>
      </c>
      <c r="R109" s="320">
        <v>10053826</v>
      </c>
      <c r="S109" s="321">
        <v>43417</v>
      </c>
      <c r="T109" s="321">
        <v>43419</v>
      </c>
      <c r="U109" s="321">
        <v>43438</v>
      </c>
      <c r="V109" s="319" t="s">
        <v>425</v>
      </c>
      <c r="W109" s="319" t="s">
        <v>2767</v>
      </c>
      <c r="X109" s="319">
        <v>2</v>
      </c>
      <c r="Y109" s="319" t="s">
        <v>173</v>
      </c>
      <c r="Z109" s="319" t="s">
        <v>173</v>
      </c>
      <c r="AA109" s="319" t="s">
        <v>173</v>
      </c>
      <c r="AB109" s="319">
        <v>2</v>
      </c>
      <c r="AC109" s="319" t="s">
        <v>169</v>
      </c>
      <c r="AD109" s="319">
        <v>2</v>
      </c>
      <c r="AE109" s="319" t="s">
        <v>173</v>
      </c>
      <c r="AF109" s="319" t="s">
        <v>427</v>
      </c>
      <c r="AG109" s="319" t="s">
        <v>171</v>
      </c>
      <c r="AH109" s="319" t="s">
        <v>190</v>
      </c>
      <c r="AI109" s="319" t="s">
        <v>190</v>
      </c>
      <c r="AJ109" s="319" t="s">
        <v>190</v>
      </c>
      <c r="AK109" s="319" t="s">
        <v>190</v>
      </c>
      <c r="AL109" s="319" t="s">
        <v>190</v>
      </c>
      <c r="AM109" s="319" t="s">
        <v>190</v>
      </c>
      <c r="AN109" s="319" t="s">
        <v>190</v>
      </c>
      <c r="AO109" s="319" t="s">
        <v>190</v>
      </c>
      <c r="AP109" s="319" t="s">
        <v>190</v>
      </c>
      <c r="AQ109" s="319" t="s">
        <v>190</v>
      </c>
      <c r="AR109" s="319" t="s">
        <v>190</v>
      </c>
      <c r="AS109" s="319" t="s">
        <v>190</v>
      </c>
      <c r="AT109" s="319" t="s">
        <v>190</v>
      </c>
      <c r="AU109" s="319" t="s">
        <v>190</v>
      </c>
      <c r="AV109" s="319" t="s">
        <v>190</v>
      </c>
      <c r="AW109" s="319" t="s">
        <v>190</v>
      </c>
      <c r="AX109" s="319" t="s">
        <v>190</v>
      </c>
      <c r="AY109" s="319" t="s">
        <v>190</v>
      </c>
      <c r="AZ109" s="319" t="s">
        <v>190</v>
      </c>
      <c r="BA109" s="319" t="s">
        <v>190</v>
      </c>
      <c r="BB109" s="319" t="s">
        <v>190</v>
      </c>
      <c r="BC109" s="319" t="s">
        <v>190</v>
      </c>
      <c r="BD109" s="319" t="s">
        <v>190</v>
      </c>
      <c r="BE109" s="319" t="s">
        <v>190</v>
      </c>
      <c r="BF109" s="319" t="s">
        <v>190</v>
      </c>
      <c r="BG109" s="319" t="s">
        <v>190</v>
      </c>
      <c r="BH109" s="319" t="s">
        <v>190</v>
      </c>
      <c r="BI109" s="319" t="s">
        <v>190</v>
      </c>
      <c r="BJ109" s="319" t="s">
        <v>190</v>
      </c>
      <c r="BK109" s="319" t="s">
        <v>190</v>
      </c>
      <c r="BL109" s="319" t="s">
        <v>190</v>
      </c>
      <c r="BM109" s="319" t="s">
        <v>190</v>
      </c>
      <c r="BN109" s="319" t="s">
        <v>190</v>
      </c>
      <c r="BO109" s="319" t="s">
        <v>190</v>
      </c>
      <c r="BP109" s="319" t="s">
        <v>190</v>
      </c>
      <c r="BQ109" s="319" t="s">
        <v>190</v>
      </c>
      <c r="BR109" s="319" t="s">
        <v>190</v>
      </c>
      <c r="BS109" s="319" t="s">
        <v>190</v>
      </c>
      <c r="BT109" s="319" t="s">
        <v>190</v>
      </c>
      <c r="BU109" s="319" t="s">
        <v>190</v>
      </c>
      <c r="BV109" s="319" t="s">
        <v>190</v>
      </c>
      <c r="BW109" s="319" t="s">
        <v>190</v>
      </c>
      <c r="BX109" s="319" t="s">
        <v>190</v>
      </c>
      <c r="BY109" s="319" t="s">
        <v>190</v>
      </c>
      <c r="BZ109" s="319" t="s">
        <v>190</v>
      </c>
      <c r="CA109" s="319" t="s">
        <v>190</v>
      </c>
      <c r="CB109" s="319" t="s">
        <v>190</v>
      </c>
      <c r="CC109" s="319" t="s">
        <v>190</v>
      </c>
      <c r="CD109" s="319" t="s">
        <v>190</v>
      </c>
      <c r="CE109" s="319" t="s">
        <v>190</v>
      </c>
      <c r="CF109" s="319" t="s">
        <v>190</v>
      </c>
      <c r="CG109" s="319" t="s">
        <v>190</v>
      </c>
      <c r="CH109" s="319" t="s">
        <v>190</v>
      </c>
      <c r="CI109" s="319" t="s">
        <v>190</v>
      </c>
      <c r="CJ109" s="319" t="s">
        <v>190</v>
      </c>
      <c r="CK109" s="319" t="s">
        <v>190</v>
      </c>
      <c r="CL109" s="319" t="s">
        <v>190</v>
      </c>
      <c r="CM109" s="319" t="s">
        <v>190</v>
      </c>
      <c r="CN109" s="319" t="s">
        <v>190</v>
      </c>
      <c r="CO109" s="319" t="s">
        <v>190</v>
      </c>
      <c r="CP109" s="319" t="s">
        <v>190</v>
      </c>
      <c r="CQ109" s="319" t="s">
        <v>190</v>
      </c>
      <c r="CR109" s="319" t="s">
        <v>190</v>
      </c>
      <c r="CS109" s="319" t="s">
        <v>190</v>
      </c>
      <c r="CT109" s="319" t="s">
        <v>190</v>
      </c>
      <c r="CU109" s="319" t="s">
        <v>190</v>
      </c>
      <c r="CV109" s="319" t="s">
        <v>190</v>
      </c>
      <c r="CW109" s="319" t="s">
        <v>190</v>
      </c>
      <c r="CX109" s="319" t="s">
        <v>190</v>
      </c>
      <c r="CY109" s="319" t="s">
        <v>190</v>
      </c>
      <c r="CZ109" s="319" t="s">
        <v>190</v>
      </c>
      <c r="DA109" s="319" t="s">
        <v>190</v>
      </c>
      <c r="DB109" s="319" t="s">
        <v>190</v>
      </c>
      <c r="DC109" s="319" t="s">
        <v>190</v>
      </c>
      <c r="DD109" s="319" t="s">
        <v>190</v>
      </c>
      <c r="DE109" s="319" t="s">
        <v>190</v>
      </c>
      <c r="DF109" s="319" t="s">
        <v>190</v>
      </c>
      <c r="DG109" s="319" t="s">
        <v>190</v>
      </c>
      <c r="DH109" s="319" t="s">
        <v>190</v>
      </c>
      <c r="DI109" s="319" t="s">
        <v>190</v>
      </c>
      <c r="DJ109" s="319" t="s">
        <v>190</v>
      </c>
      <c r="DK109" s="319" t="s">
        <v>190</v>
      </c>
      <c r="DL109" s="319" t="s">
        <v>190</v>
      </c>
      <c r="DM109" s="319" t="s">
        <v>190</v>
      </c>
      <c r="DN109" s="319" t="s">
        <v>428</v>
      </c>
      <c r="DO109" s="319" t="s">
        <v>190</v>
      </c>
      <c r="DP109" s="319" t="s">
        <v>428</v>
      </c>
      <c r="DQ109" s="319" t="s">
        <v>428</v>
      </c>
      <c r="DR109" s="319" t="s">
        <v>428</v>
      </c>
      <c r="DS109" s="319" t="s">
        <v>428</v>
      </c>
      <c r="DT109" s="319" t="s">
        <v>428</v>
      </c>
      <c r="DU109" s="319" t="s">
        <v>428</v>
      </c>
      <c r="DV109" s="319" t="s">
        <v>173</v>
      </c>
      <c r="DW109" s="319" t="s">
        <v>428</v>
      </c>
      <c r="DX109" s="319" t="s">
        <v>428</v>
      </c>
      <c r="DY109" s="319" t="s">
        <v>428</v>
      </c>
      <c r="DZ109" s="319" t="s">
        <v>428</v>
      </c>
      <c r="EA109" s="319" t="s">
        <v>428</v>
      </c>
      <c r="EB109" s="319" t="s">
        <v>428</v>
      </c>
      <c r="EC109" s="319" t="s">
        <v>428</v>
      </c>
      <c r="ED109" s="319" t="s">
        <v>428</v>
      </c>
      <c r="EE109" s="319" t="s">
        <v>190</v>
      </c>
      <c r="EF109" s="319" t="s">
        <v>190</v>
      </c>
      <c r="EG109" s="319" t="s">
        <v>190</v>
      </c>
      <c r="EH109" s="319" t="s">
        <v>190</v>
      </c>
      <c r="EI109" s="319" t="s">
        <v>190</v>
      </c>
      <c r="EJ109" s="319" t="s">
        <v>190</v>
      </c>
      <c r="EK109" s="319" t="s">
        <v>190</v>
      </c>
      <c r="EL109" s="319" t="s">
        <v>190</v>
      </c>
      <c r="EM109" s="319" t="s">
        <v>190</v>
      </c>
      <c r="EN109" s="319" t="s">
        <v>190</v>
      </c>
      <c r="EO109" s="319" t="s">
        <v>190</v>
      </c>
      <c r="EP109" s="319" t="s">
        <v>190</v>
      </c>
      <c r="EQ109" s="319" t="s">
        <v>190</v>
      </c>
      <c r="ER109" s="319" t="s">
        <v>190</v>
      </c>
      <c r="ES109" s="319" t="s">
        <v>190</v>
      </c>
      <c r="ET109" s="319" t="s">
        <v>190</v>
      </c>
      <c r="EU109" s="319" t="s">
        <v>190</v>
      </c>
      <c r="EV109" s="319" t="s">
        <v>190</v>
      </c>
      <c r="EW109" s="319" t="s">
        <v>190</v>
      </c>
      <c r="EX109" s="319" t="s">
        <v>190</v>
      </c>
      <c r="EY109" s="319" t="s">
        <v>190</v>
      </c>
      <c r="EZ109" s="319" t="s">
        <v>190</v>
      </c>
      <c r="FA109" s="319" t="s">
        <v>190</v>
      </c>
      <c r="FB109" s="319" t="s">
        <v>428</v>
      </c>
      <c r="FC109" s="319" t="s">
        <v>428</v>
      </c>
      <c r="FD109" s="319" t="s">
        <v>428</v>
      </c>
      <c r="FE109" s="319" t="s">
        <v>428</v>
      </c>
      <c r="FF109" s="319" t="s">
        <v>428</v>
      </c>
      <c r="FG109" s="319" t="s">
        <v>190</v>
      </c>
      <c r="FH109" s="319" t="s">
        <v>190</v>
      </c>
      <c r="FI109" s="319" t="s">
        <v>428</v>
      </c>
      <c r="FJ109" s="319" t="s">
        <v>429</v>
      </c>
      <c r="FK109" s="319" t="s">
        <v>428</v>
      </c>
      <c r="FL109" s="319" t="s">
        <v>190</v>
      </c>
      <c r="FM109" s="319" t="s">
        <v>190</v>
      </c>
      <c r="FN109" s="319" t="s">
        <v>190</v>
      </c>
      <c r="FO109" s="319" t="s">
        <v>190</v>
      </c>
      <c r="FP109" s="319" t="s">
        <v>190</v>
      </c>
      <c r="FQ109" s="319" t="s">
        <v>190</v>
      </c>
      <c r="FR109" s="319" t="s">
        <v>190</v>
      </c>
      <c r="FS109" s="319" t="s">
        <v>190</v>
      </c>
      <c r="FT109" s="319" t="s">
        <v>190</v>
      </c>
      <c r="FU109" s="319" t="s">
        <v>190</v>
      </c>
      <c r="FV109" s="319" t="s">
        <v>190</v>
      </c>
      <c r="FW109" s="319" t="s">
        <v>190</v>
      </c>
      <c r="FX109" s="319" t="s">
        <v>190</v>
      </c>
      <c r="FY109" s="319" t="s">
        <v>190</v>
      </c>
      <c r="FZ109" s="319" t="s">
        <v>190</v>
      </c>
      <c r="GA109" s="319" t="s">
        <v>190</v>
      </c>
      <c r="GB109" s="319" t="s">
        <v>190</v>
      </c>
      <c r="GC109" s="319" t="s">
        <v>190</v>
      </c>
      <c r="GD109" s="319" t="s">
        <v>190</v>
      </c>
      <c r="GE109" s="319" t="s">
        <v>190</v>
      </c>
      <c r="GF109" s="319" t="s">
        <v>190</v>
      </c>
      <c r="GG109" s="319" t="s">
        <v>190</v>
      </c>
      <c r="GH109" s="319" t="s">
        <v>190</v>
      </c>
      <c r="GI109" s="319" t="s">
        <v>190</v>
      </c>
      <c r="GJ109" s="319" t="s">
        <v>190</v>
      </c>
      <c r="GK109" s="319" t="s">
        <v>190</v>
      </c>
      <c r="GL109" s="319" t="s">
        <v>190</v>
      </c>
      <c r="GM109" s="319" t="s">
        <v>190</v>
      </c>
      <c r="GN109" s="319" t="s">
        <v>190</v>
      </c>
      <c r="GO109" s="319" t="s">
        <v>190</v>
      </c>
      <c r="GP109" s="319" t="s">
        <v>190</v>
      </c>
      <c r="GQ109" s="319" t="s">
        <v>190</v>
      </c>
      <c r="GR109" s="319" t="s">
        <v>190</v>
      </c>
      <c r="GS109" s="319" t="s">
        <v>190</v>
      </c>
      <c r="GT109" s="319" t="s">
        <v>190</v>
      </c>
      <c r="GU109" s="319" t="s">
        <v>190</v>
      </c>
      <c r="GV109" s="319" t="s">
        <v>190</v>
      </c>
      <c r="GW109" s="319" t="s">
        <v>190</v>
      </c>
      <c r="GX109" s="319" t="s">
        <v>190</v>
      </c>
      <c r="GY109" s="319" t="s">
        <v>190</v>
      </c>
      <c r="GZ109" s="319" t="s">
        <v>190</v>
      </c>
      <c r="HA109" s="319" t="s">
        <v>428</v>
      </c>
      <c r="HB109" s="319" t="s">
        <v>190</v>
      </c>
      <c r="HC109" s="319" t="s">
        <v>190</v>
      </c>
      <c r="HD109" s="319" t="s">
        <v>190</v>
      </c>
      <c r="HE109" s="319" t="s">
        <v>190</v>
      </c>
      <c r="HF109" s="319" t="s">
        <v>190</v>
      </c>
      <c r="HG109" s="319" t="s">
        <v>190</v>
      </c>
      <c r="HH109" s="319" t="s">
        <v>190</v>
      </c>
      <c r="HI109" s="319" t="s">
        <v>190</v>
      </c>
      <c r="HJ109" s="319" t="s">
        <v>190</v>
      </c>
      <c r="HK109" s="319" t="s">
        <v>190</v>
      </c>
      <c r="HL109" s="319" t="s">
        <v>190</v>
      </c>
      <c r="HM109" s="319" t="s">
        <v>190</v>
      </c>
      <c r="HN109" s="319" t="s">
        <v>190</v>
      </c>
      <c r="HO109" s="319" t="s">
        <v>190</v>
      </c>
      <c r="HP109" s="319" t="s">
        <v>190</v>
      </c>
      <c r="HQ109" s="319" t="s">
        <v>190</v>
      </c>
      <c r="HR109" s="319" t="s">
        <v>190</v>
      </c>
      <c r="HS109" s="319" t="s">
        <v>190</v>
      </c>
      <c r="HT109" s="319" t="s">
        <v>190</v>
      </c>
      <c r="HU109" s="319" t="s">
        <v>190</v>
      </c>
      <c r="HV109" s="319" t="s">
        <v>190</v>
      </c>
      <c r="HW109" s="319" t="s">
        <v>190</v>
      </c>
      <c r="HX109" s="319" t="s">
        <v>190</v>
      </c>
      <c r="HY109" s="319" t="s">
        <v>190</v>
      </c>
      <c r="HZ109" s="319" t="s">
        <v>190</v>
      </c>
      <c r="IA109" s="319" t="s">
        <v>190</v>
      </c>
      <c r="IB109" s="319" t="s">
        <v>190</v>
      </c>
      <c r="IC109" s="319" t="s">
        <v>190</v>
      </c>
      <c r="ID109" s="319" t="s">
        <v>190</v>
      </c>
      <c r="IE109" s="319" t="s">
        <v>190</v>
      </c>
      <c r="IF109" s="319" t="s">
        <v>190</v>
      </c>
      <c r="IG109" s="319" t="s">
        <v>190</v>
      </c>
      <c r="IH109" s="319" t="s">
        <v>190</v>
      </c>
      <c r="II109" s="319" t="s">
        <v>190</v>
      </c>
      <c r="IJ109" s="319">
        <v>10020709</v>
      </c>
      <c r="IK109" s="321">
        <v>42696</v>
      </c>
      <c r="IL109" s="321">
        <v>42698</v>
      </c>
      <c r="IM109" s="321">
        <v>42747</v>
      </c>
      <c r="IN109" s="319">
        <v>4</v>
      </c>
      <c r="IO109" s="319" t="s">
        <v>173</v>
      </c>
      <c r="IP109" s="319" t="s">
        <v>173</v>
      </c>
      <c r="IQ109" s="321" t="s">
        <v>173</v>
      </c>
      <c r="IR109" s="320" t="s">
        <v>173</v>
      </c>
      <c r="IS109" s="322" t="s">
        <v>173</v>
      </c>
      <c r="IT109" s="319" t="s">
        <v>173</v>
      </c>
    </row>
    <row r="110" spans="1:254" s="271" customFormat="1" x14ac:dyDescent="0.25">
      <c r="A110" s="318" t="str">
        <f>HYPERLINK("http://www.ofsted.gov.uk/inspection-reports/find-inspection-report/provider/ELS/107787 ","Ofsted School Webpage")</f>
        <v>Ofsted School Webpage</v>
      </c>
      <c r="B110" s="319">
        <v>107787</v>
      </c>
      <c r="C110" s="319">
        <v>3826006</v>
      </c>
      <c r="D110" s="319" t="s">
        <v>796</v>
      </c>
      <c r="E110" s="319" t="s">
        <v>167</v>
      </c>
      <c r="F110" s="319" t="s">
        <v>81</v>
      </c>
      <c r="G110" s="319" t="s">
        <v>81</v>
      </c>
      <c r="H110" s="319" t="s">
        <v>81</v>
      </c>
      <c r="I110" s="319" t="s">
        <v>78</v>
      </c>
      <c r="J110" s="319" t="s">
        <v>424</v>
      </c>
      <c r="K110" s="319" t="s">
        <v>458</v>
      </c>
      <c r="L110" s="319" t="s">
        <v>459</v>
      </c>
      <c r="M110" s="319" t="s">
        <v>682</v>
      </c>
      <c r="N110" s="319" t="s">
        <v>2885</v>
      </c>
      <c r="O110" s="319" t="s">
        <v>797</v>
      </c>
      <c r="P110" s="319">
        <v>105</v>
      </c>
      <c r="Q110" s="319" t="s">
        <v>2766</v>
      </c>
      <c r="R110" s="320">
        <v>10055376</v>
      </c>
      <c r="S110" s="321">
        <v>43446</v>
      </c>
      <c r="T110" s="321">
        <v>43448</v>
      </c>
      <c r="U110" s="321">
        <v>43486</v>
      </c>
      <c r="V110" s="319" t="s">
        <v>425</v>
      </c>
      <c r="W110" s="319" t="s">
        <v>2767</v>
      </c>
      <c r="X110" s="319">
        <v>2</v>
      </c>
      <c r="Y110" s="319" t="s">
        <v>173</v>
      </c>
      <c r="Z110" s="319" t="s">
        <v>173</v>
      </c>
      <c r="AA110" s="319" t="s">
        <v>173</v>
      </c>
      <c r="AB110" s="319">
        <v>2</v>
      </c>
      <c r="AC110" s="319" t="s">
        <v>169</v>
      </c>
      <c r="AD110" s="319">
        <v>2</v>
      </c>
      <c r="AE110" s="319" t="s">
        <v>173</v>
      </c>
      <c r="AF110" s="319" t="s">
        <v>427</v>
      </c>
      <c r="AG110" s="319" t="s">
        <v>171</v>
      </c>
      <c r="AH110" s="319" t="s">
        <v>190</v>
      </c>
      <c r="AI110" s="319" t="s">
        <v>190</v>
      </c>
      <c r="AJ110" s="319" t="s">
        <v>190</v>
      </c>
      <c r="AK110" s="319" t="s">
        <v>190</v>
      </c>
      <c r="AL110" s="319" t="s">
        <v>190</v>
      </c>
      <c r="AM110" s="319" t="s">
        <v>190</v>
      </c>
      <c r="AN110" s="319" t="s">
        <v>190</v>
      </c>
      <c r="AO110" s="319" t="s">
        <v>190</v>
      </c>
      <c r="AP110" s="319" t="s">
        <v>190</v>
      </c>
      <c r="AQ110" s="319" t="s">
        <v>190</v>
      </c>
      <c r="AR110" s="319" t="s">
        <v>190</v>
      </c>
      <c r="AS110" s="319" t="s">
        <v>190</v>
      </c>
      <c r="AT110" s="319" t="s">
        <v>190</v>
      </c>
      <c r="AU110" s="319" t="s">
        <v>190</v>
      </c>
      <c r="AV110" s="319" t="s">
        <v>190</v>
      </c>
      <c r="AW110" s="319" t="s">
        <v>190</v>
      </c>
      <c r="AX110" s="319" t="s">
        <v>428</v>
      </c>
      <c r="AY110" s="319" t="s">
        <v>190</v>
      </c>
      <c r="AZ110" s="319" t="s">
        <v>190</v>
      </c>
      <c r="BA110" s="319" t="s">
        <v>190</v>
      </c>
      <c r="BB110" s="319" t="s">
        <v>428</v>
      </c>
      <c r="BC110" s="319" t="s">
        <v>428</v>
      </c>
      <c r="BD110" s="319" t="s">
        <v>428</v>
      </c>
      <c r="BE110" s="319" t="s">
        <v>428</v>
      </c>
      <c r="BF110" s="319" t="s">
        <v>190</v>
      </c>
      <c r="BG110" s="319" t="s">
        <v>428</v>
      </c>
      <c r="BH110" s="319" t="s">
        <v>190</v>
      </c>
      <c r="BI110" s="319" t="s">
        <v>190</v>
      </c>
      <c r="BJ110" s="319" t="s">
        <v>190</v>
      </c>
      <c r="BK110" s="319" t="s">
        <v>190</v>
      </c>
      <c r="BL110" s="319" t="s">
        <v>190</v>
      </c>
      <c r="BM110" s="319" t="s">
        <v>190</v>
      </c>
      <c r="BN110" s="319" t="s">
        <v>190</v>
      </c>
      <c r="BO110" s="319" t="s">
        <v>190</v>
      </c>
      <c r="BP110" s="319" t="s">
        <v>190</v>
      </c>
      <c r="BQ110" s="319" t="s">
        <v>190</v>
      </c>
      <c r="BR110" s="319" t="s">
        <v>190</v>
      </c>
      <c r="BS110" s="319" t="s">
        <v>190</v>
      </c>
      <c r="BT110" s="319" t="s">
        <v>190</v>
      </c>
      <c r="BU110" s="319" t="s">
        <v>190</v>
      </c>
      <c r="BV110" s="319" t="s">
        <v>190</v>
      </c>
      <c r="BW110" s="319" t="s">
        <v>190</v>
      </c>
      <c r="BX110" s="319" t="s">
        <v>190</v>
      </c>
      <c r="BY110" s="319" t="s">
        <v>190</v>
      </c>
      <c r="BZ110" s="319" t="s">
        <v>190</v>
      </c>
      <c r="CA110" s="319" t="s">
        <v>190</v>
      </c>
      <c r="CB110" s="319" t="s">
        <v>190</v>
      </c>
      <c r="CC110" s="319" t="s">
        <v>190</v>
      </c>
      <c r="CD110" s="319" t="s">
        <v>190</v>
      </c>
      <c r="CE110" s="319" t="s">
        <v>190</v>
      </c>
      <c r="CF110" s="319" t="s">
        <v>190</v>
      </c>
      <c r="CG110" s="319" t="s">
        <v>190</v>
      </c>
      <c r="CH110" s="319" t="s">
        <v>190</v>
      </c>
      <c r="CI110" s="319" t="s">
        <v>190</v>
      </c>
      <c r="CJ110" s="319" t="s">
        <v>190</v>
      </c>
      <c r="CK110" s="319" t="s">
        <v>190</v>
      </c>
      <c r="CL110" s="319" t="s">
        <v>190</v>
      </c>
      <c r="CM110" s="319" t="s">
        <v>190</v>
      </c>
      <c r="CN110" s="319" t="s">
        <v>190</v>
      </c>
      <c r="CO110" s="319" t="s">
        <v>428</v>
      </c>
      <c r="CP110" s="319" t="s">
        <v>428</v>
      </c>
      <c r="CQ110" s="319" t="s">
        <v>190</v>
      </c>
      <c r="CR110" s="319" t="s">
        <v>190</v>
      </c>
      <c r="CS110" s="319" t="s">
        <v>190</v>
      </c>
      <c r="CT110" s="319" t="s">
        <v>190</v>
      </c>
      <c r="CU110" s="319" t="s">
        <v>190</v>
      </c>
      <c r="CV110" s="319" t="s">
        <v>190</v>
      </c>
      <c r="CW110" s="319" t="s">
        <v>190</v>
      </c>
      <c r="CX110" s="319" t="s">
        <v>190</v>
      </c>
      <c r="CY110" s="319" t="s">
        <v>190</v>
      </c>
      <c r="CZ110" s="319" t="s">
        <v>190</v>
      </c>
      <c r="DA110" s="319" t="s">
        <v>190</v>
      </c>
      <c r="DB110" s="319" t="s">
        <v>190</v>
      </c>
      <c r="DC110" s="319" t="s">
        <v>190</v>
      </c>
      <c r="DD110" s="319" t="s">
        <v>190</v>
      </c>
      <c r="DE110" s="319" t="s">
        <v>190</v>
      </c>
      <c r="DF110" s="319" t="s">
        <v>190</v>
      </c>
      <c r="DG110" s="319" t="s">
        <v>190</v>
      </c>
      <c r="DH110" s="319" t="s">
        <v>190</v>
      </c>
      <c r="DI110" s="319" t="s">
        <v>190</v>
      </c>
      <c r="DJ110" s="319" t="s">
        <v>190</v>
      </c>
      <c r="DK110" s="319" t="s">
        <v>190</v>
      </c>
      <c r="DL110" s="319" t="s">
        <v>190</v>
      </c>
      <c r="DM110" s="319" t="s">
        <v>428</v>
      </c>
      <c r="DN110" s="319" t="s">
        <v>428</v>
      </c>
      <c r="DO110" s="319" t="s">
        <v>190</v>
      </c>
      <c r="DP110" s="319" t="s">
        <v>428</v>
      </c>
      <c r="DQ110" s="319" t="s">
        <v>428</v>
      </c>
      <c r="DR110" s="319" t="s">
        <v>428</v>
      </c>
      <c r="DS110" s="319" t="s">
        <v>428</v>
      </c>
      <c r="DT110" s="319" t="s">
        <v>428</v>
      </c>
      <c r="DU110" s="319" t="s">
        <v>428</v>
      </c>
      <c r="DV110" s="319" t="s">
        <v>173</v>
      </c>
      <c r="DW110" s="319" t="s">
        <v>428</v>
      </c>
      <c r="DX110" s="319" t="s">
        <v>428</v>
      </c>
      <c r="DY110" s="319" t="s">
        <v>428</v>
      </c>
      <c r="DZ110" s="319" t="s">
        <v>428</v>
      </c>
      <c r="EA110" s="319" t="s">
        <v>428</v>
      </c>
      <c r="EB110" s="319" t="s">
        <v>428</v>
      </c>
      <c r="EC110" s="319" t="s">
        <v>428</v>
      </c>
      <c r="ED110" s="319" t="s">
        <v>428</v>
      </c>
      <c r="EE110" s="319" t="s">
        <v>190</v>
      </c>
      <c r="EF110" s="319" t="s">
        <v>190</v>
      </c>
      <c r="EG110" s="319" t="s">
        <v>190</v>
      </c>
      <c r="EH110" s="319" t="s">
        <v>190</v>
      </c>
      <c r="EI110" s="319" t="s">
        <v>190</v>
      </c>
      <c r="EJ110" s="319" t="s">
        <v>190</v>
      </c>
      <c r="EK110" s="319" t="s">
        <v>190</v>
      </c>
      <c r="EL110" s="319" t="s">
        <v>190</v>
      </c>
      <c r="EM110" s="319" t="s">
        <v>190</v>
      </c>
      <c r="EN110" s="319" t="s">
        <v>190</v>
      </c>
      <c r="EO110" s="319" t="s">
        <v>190</v>
      </c>
      <c r="EP110" s="319" t="s">
        <v>190</v>
      </c>
      <c r="EQ110" s="319" t="s">
        <v>190</v>
      </c>
      <c r="ER110" s="319" t="s">
        <v>190</v>
      </c>
      <c r="ES110" s="319" t="s">
        <v>190</v>
      </c>
      <c r="ET110" s="319" t="s">
        <v>190</v>
      </c>
      <c r="EU110" s="319" t="s">
        <v>190</v>
      </c>
      <c r="EV110" s="319" t="s">
        <v>190</v>
      </c>
      <c r="EW110" s="319" t="s">
        <v>190</v>
      </c>
      <c r="EX110" s="319" t="s">
        <v>190</v>
      </c>
      <c r="EY110" s="319" t="s">
        <v>190</v>
      </c>
      <c r="EZ110" s="319" t="s">
        <v>190</v>
      </c>
      <c r="FA110" s="319" t="s">
        <v>190</v>
      </c>
      <c r="FB110" s="319" t="s">
        <v>428</v>
      </c>
      <c r="FC110" s="319" t="s">
        <v>428</v>
      </c>
      <c r="FD110" s="319" t="s">
        <v>190</v>
      </c>
      <c r="FE110" s="319" t="s">
        <v>428</v>
      </c>
      <c r="FF110" s="319" t="s">
        <v>428</v>
      </c>
      <c r="FG110" s="319" t="s">
        <v>428</v>
      </c>
      <c r="FH110" s="319" t="s">
        <v>190</v>
      </c>
      <c r="FI110" s="319" t="s">
        <v>190</v>
      </c>
      <c r="FJ110" s="319" t="s">
        <v>190</v>
      </c>
      <c r="FK110" s="319" t="s">
        <v>190</v>
      </c>
      <c r="FL110" s="319" t="s">
        <v>190</v>
      </c>
      <c r="FM110" s="319" t="s">
        <v>190</v>
      </c>
      <c r="FN110" s="319" t="s">
        <v>190</v>
      </c>
      <c r="FO110" s="319" t="s">
        <v>428</v>
      </c>
      <c r="FP110" s="319" t="s">
        <v>190</v>
      </c>
      <c r="FQ110" s="319" t="s">
        <v>190</v>
      </c>
      <c r="FR110" s="319" t="s">
        <v>190</v>
      </c>
      <c r="FS110" s="319" t="s">
        <v>428</v>
      </c>
      <c r="FT110" s="319" t="s">
        <v>190</v>
      </c>
      <c r="FU110" s="319" t="s">
        <v>190</v>
      </c>
      <c r="FV110" s="319" t="s">
        <v>190</v>
      </c>
      <c r="FW110" s="319" t="s">
        <v>190</v>
      </c>
      <c r="FX110" s="319" t="s">
        <v>190</v>
      </c>
      <c r="FY110" s="319" t="s">
        <v>190</v>
      </c>
      <c r="FZ110" s="319" t="s">
        <v>190</v>
      </c>
      <c r="GA110" s="319" t="s">
        <v>190</v>
      </c>
      <c r="GB110" s="319" t="s">
        <v>190</v>
      </c>
      <c r="GC110" s="319" t="s">
        <v>190</v>
      </c>
      <c r="GD110" s="319" t="s">
        <v>190</v>
      </c>
      <c r="GE110" s="319" t="s">
        <v>190</v>
      </c>
      <c r="GF110" s="319" t="s">
        <v>190</v>
      </c>
      <c r="GG110" s="319" t="s">
        <v>190</v>
      </c>
      <c r="GH110" s="319" t="s">
        <v>190</v>
      </c>
      <c r="GI110" s="319" t="s">
        <v>190</v>
      </c>
      <c r="GJ110" s="319" t="s">
        <v>190</v>
      </c>
      <c r="GK110" s="319" t="s">
        <v>428</v>
      </c>
      <c r="GL110" s="319" t="s">
        <v>190</v>
      </c>
      <c r="GM110" s="319" t="s">
        <v>190</v>
      </c>
      <c r="GN110" s="319" t="s">
        <v>190</v>
      </c>
      <c r="GO110" s="319" t="s">
        <v>190</v>
      </c>
      <c r="GP110" s="319" t="s">
        <v>190</v>
      </c>
      <c r="GQ110" s="319" t="s">
        <v>190</v>
      </c>
      <c r="GR110" s="319" t="s">
        <v>190</v>
      </c>
      <c r="GS110" s="319" t="s">
        <v>190</v>
      </c>
      <c r="GT110" s="319" t="s">
        <v>428</v>
      </c>
      <c r="GU110" s="319" t="s">
        <v>428</v>
      </c>
      <c r="GV110" s="319" t="s">
        <v>190</v>
      </c>
      <c r="GW110" s="319" t="s">
        <v>190</v>
      </c>
      <c r="GX110" s="319" t="s">
        <v>190</v>
      </c>
      <c r="GY110" s="319" t="s">
        <v>190</v>
      </c>
      <c r="GZ110" s="319" t="s">
        <v>428</v>
      </c>
      <c r="HA110" s="319" t="s">
        <v>190</v>
      </c>
      <c r="HB110" s="319" t="s">
        <v>428</v>
      </c>
      <c r="HC110" s="319" t="s">
        <v>190</v>
      </c>
      <c r="HD110" s="319" t="s">
        <v>190</v>
      </c>
      <c r="HE110" s="319" t="s">
        <v>190</v>
      </c>
      <c r="HF110" s="319" t="s">
        <v>190</v>
      </c>
      <c r="HG110" s="319" t="s">
        <v>190</v>
      </c>
      <c r="HH110" s="319" t="s">
        <v>190</v>
      </c>
      <c r="HI110" s="319" t="s">
        <v>190</v>
      </c>
      <c r="HJ110" s="319" t="s">
        <v>190</v>
      </c>
      <c r="HK110" s="319" t="s">
        <v>190</v>
      </c>
      <c r="HL110" s="319" t="s">
        <v>190</v>
      </c>
      <c r="HM110" s="319" t="s">
        <v>428</v>
      </c>
      <c r="HN110" s="319" t="s">
        <v>428</v>
      </c>
      <c r="HO110" s="319" t="s">
        <v>428</v>
      </c>
      <c r="HP110" s="319" t="s">
        <v>190</v>
      </c>
      <c r="HQ110" s="319" t="s">
        <v>190</v>
      </c>
      <c r="HR110" s="319" t="s">
        <v>190</v>
      </c>
      <c r="HS110" s="319" t="s">
        <v>190</v>
      </c>
      <c r="HT110" s="319" t="s">
        <v>190</v>
      </c>
      <c r="HU110" s="319" t="s">
        <v>190</v>
      </c>
      <c r="HV110" s="319" t="s">
        <v>190</v>
      </c>
      <c r="HW110" s="319" t="s">
        <v>190</v>
      </c>
      <c r="HX110" s="319" t="s">
        <v>190</v>
      </c>
      <c r="HY110" s="319" t="s">
        <v>190</v>
      </c>
      <c r="HZ110" s="319" t="s">
        <v>190</v>
      </c>
      <c r="IA110" s="319" t="s">
        <v>190</v>
      </c>
      <c r="IB110" s="319" t="s">
        <v>190</v>
      </c>
      <c r="IC110" s="319" t="s">
        <v>190</v>
      </c>
      <c r="ID110" s="319" t="s">
        <v>190</v>
      </c>
      <c r="IE110" s="319" t="s">
        <v>190</v>
      </c>
      <c r="IF110" s="319" t="s">
        <v>190</v>
      </c>
      <c r="IG110" s="319" t="s">
        <v>190</v>
      </c>
      <c r="IH110" s="319" t="s">
        <v>190</v>
      </c>
      <c r="II110" s="319" t="s">
        <v>190</v>
      </c>
      <c r="IJ110" s="319">
        <v>10008554</v>
      </c>
      <c r="IK110" s="321">
        <v>42409</v>
      </c>
      <c r="IL110" s="321">
        <v>42411</v>
      </c>
      <c r="IM110" s="321">
        <v>42437</v>
      </c>
      <c r="IN110" s="319">
        <v>2</v>
      </c>
      <c r="IO110" s="319" t="s">
        <v>173</v>
      </c>
      <c r="IP110" s="319" t="s">
        <v>173</v>
      </c>
      <c r="IQ110" s="321" t="s">
        <v>173</v>
      </c>
      <c r="IR110" s="320" t="s">
        <v>173</v>
      </c>
      <c r="IS110" s="322" t="s">
        <v>173</v>
      </c>
      <c r="IT110" s="319" t="s">
        <v>173</v>
      </c>
    </row>
    <row r="111" spans="1:254" s="271" customFormat="1" x14ac:dyDescent="0.25">
      <c r="A111" s="318" t="str">
        <f>HYPERLINK("http://www.ofsted.gov.uk/inspection-reports/find-inspection-report/provider/ELS/107791 ","Ofsted School Webpage")</f>
        <v>Ofsted School Webpage</v>
      </c>
      <c r="B111" s="319">
        <v>107791</v>
      </c>
      <c r="C111" s="319">
        <v>3826013</v>
      </c>
      <c r="D111" s="319" t="s">
        <v>1355</v>
      </c>
      <c r="E111" s="319" t="s">
        <v>167</v>
      </c>
      <c r="F111" s="319" t="s">
        <v>81</v>
      </c>
      <c r="G111" s="319" t="s">
        <v>72</v>
      </c>
      <c r="H111" s="319" t="s">
        <v>72</v>
      </c>
      <c r="I111" s="319" t="s">
        <v>72</v>
      </c>
      <c r="J111" s="319" t="s">
        <v>424</v>
      </c>
      <c r="K111" s="319" t="s">
        <v>458</v>
      </c>
      <c r="L111" s="319" t="s">
        <v>459</v>
      </c>
      <c r="M111" s="319" t="s">
        <v>682</v>
      </c>
      <c r="N111" s="319" t="s">
        <v>2886</v>
      </c>
      <c r="O111" s="319" t="s">
        <v>1356</v>
      </c>
      <c r="P111" s="319">
        <v>232</v>
      </c>
      <c r="Q111" s="319" t="s">
        <v>2776</v>
      </c>
      <c r="R111" s="320">
        <v>10044408</v>
      </c>
      <c r="S111" s="321">
        <v>43067</v>
      </c>
      <c r="T111" s="321">
        <v>43069</v>
      </c>
      <c r="U111" s="321">
        <v>43115</v>
      </c>
      <c r="V111" s="319" t="s">
        <v>554</v>
      </c>
      <c r="W111" s="319" t="s">
        <v>2767</v>
      </c>
      <c r="X111" s="319">
        <v>2</v>
      </c>
      <c r="Y111" s="319" t="s">
        <v>173</v>
      </c>
      <c r="Z111" s="319" t="s">
        <v>173</v>
      </c>
      <c r="AA111" s="319" t="s">
        <v>173</v>
      </c>
      <c r="AB111" s="319">
        <v>2</v>
      </c>
      <c r="AC111" s="319" t="s">
        <v>169</v>
      </c>
      <c r="AD111" s="319" t="s">
        <v>173</v>
      </c>
      <c r="AE111" s="319">
        <v>2</v>
      </c>
      <c r="AF111" s="319" t="s">
        <v>427</v>
      </c>
      <c r="AG111" s="319" t="s">
        <v>171</v>
      </c>
      <c r="AH111" s="319" t="s">
        <v>190</v>
      </c>
      <c r="AI111" s="319" t="s">
        <v>190</v>
      </c>
      <c r="AJ111" s="319" t="s">
        <v>190</v>
      </c>
      <c r="AK111" s="319" t="s">
        <v>190</v>
      </c>
      <c r="AL111" s="319" t="s">
        <v>190</v>
      </c>
      <c r="AM111" s="319" t="s">
        <v>190</v>
      </c>
      <c r="AN111" s="319" t="s">
        <v>190</v>
      </c>
      <c r="AO111" s="319" t="s">
        <v>190</v>
      </c>
      <c r="AP111" s="319" t="s">
        <v>190</v>
      </c>
      <c r="AQ111" s="319" t="s">
        <v>190</v>
      </c>
      <c r="AR111" s="319" t="s">
        <v>190</v>
      </c>
      <c r="AS111" s="319" t="s">
        <v>190</v>
      </c>
      <c r="AT111" s="319" t="s">
        <v>190</v>
      </c>
      <c r="AU111" s="319" t="s">
        <v>190</v>
      </c>
      <c r="AV111" s="319" t="s">
        <v>190</v>
      </c>
      <c r="AW111" s="319" t="s">
        <v>190</v>
      </c>
      <c r="AX111" s="319" t="s">
        <v>428</v>
      </c>
      <c r="AY111" s="319" t="s">
        <v>190</v>
      </c>
      <c r="AZ111" s="319" t="s">
        <v>190</v>
      </c>
      <c r="BA111" s="319" t="s">
        <v>190</v>
      </c>
      <c r="BB111" s="319" t="s">
        <v>190</v>
      </c>
      <c r="BC111" s="319" t="s">
        <v>190</v>
      </c>
      <c r="BD111" s="319" t="s">
        <v>190</v>
      </c>
      <c r="BE111" s="319" t="s">
        <v>190</v>
      </c>
      <c r="BF111" s="319" t="s">
        <v>428</v>
      </c>
      <c r="BG111" s="319" t="s">
        <v>190</v>
      </c>
      <c r="BH111" s="319" t="s">
        <v>190</v>
      </c>
      <c r="BI111" s="319" t="s">
        <v>190</v>
      </c>
      <c r="BJ111" s="319" t="s">
        <v>190</v>
      </c>
      <c r="BK111" s="319" t="s">
        <v>190</v>
      </c>
      <c r="BL111" s="319" t="s">
        <v>190</v>
      </c>
      <c r="BM111" s="319" t="s">
        <v>190</v>
      </c>
      <c r="BN111" s="319" t="s">
        <v>190</v>
      </c>
      <c r="BO111" s="319" t="s">
        <v>190</v>
      </c>
      <c r="BP111" s="319" t="s">
        <v>190</v>
      </c>
      <c r="BQ111" s="319" t="s">
        <v>190</v>
      </c>
      <c r="BR111" s="319" t="s">
        <v>190</v>
      </c>
      <c r="BS111" s="319" t="s">
        <v>190</v>
      </c>
      <c r="BT111" s="319" t="s">
        <v>190</v>
      </c>
      <c r="BU111" s="319" t="s">
        <v>190</v>
      </c>
      <c r="BV111" s="319" t="s">
        <v>190</v>
      </c>
      <c r="BW111" s="319" t="s">
        <v>190</v>
      </c>
      <c r="BX111" s="319" t="s">
        <v>190</v>
      </c>
      <c r="BY111" s="319" t="s">
        <v>190</v>
      </c>
      <c r="BZ111" s="319" t="s">
        <v>190</v>
      </c>
      <c r="CA111" s="319" t="s">
        <v>190</v>
      </c>
      <c r="CB111" s="319" t="s">
        <v>190</v>
      </c>
      <c r="CC111" s="319" t="s">
        <v>190</v>
      </c>
      <c r="CD111" s="319" t="s">
        <v>190</v>
      </c>
      <c r="CE111" s="319" t="s">
        <v>190</v>
      </c>
      <c r="CF111" s="319" t="s">
        <v>190</v>
      </c>
      <c r="CG111" s="319" t="s">
        <v>190</v>
      </c>
      <c r="CH111" s="319" t="s">
        <v>190</v>
      </c>
      <c r="CI111" s="319" t="s">
        <v>190</v>
      </c>
      <c r="CJ111" s="319" t="s">
        <v>190</v>
      </c>
      <c r="CK111" s="319" t="s">
        <v>190</v>
      </c>
      <c r="CL111" s="319" t="s">
        <v>190</v>
      </c>
      <c r="CM111" s="319" t="s">
        <v>190</v>
      </c>
      <c r="CN111" s="319" t="s">
        <v>584</v>
      </c>
      <c r="CO111" s="319" t="s">
        <v>584</v>
      </c>
      <c r="CP111" s="319" t="s">
        <v>584</v>
      </c>
      <c r="CQ111" s="319" t="s">
        <v>190</v>
      </c>
      <c r="CR111" s="319" t="s">
        <v>190</v>
      </c>
      <c r="CS111" s="319" t="s">
        <v>190</v>
      </c>
      <c r="CT111" s="319" t="s">
        <v>190</v>
      </c>
      <c r="CU111" s="319" t="s">
        <v>190</v>
      </c>
      <c r="CV111" s="319" t="s">
        <v>190</v>
      </c>
      <c r="CW111" s="319" t="s">
        <v>190</v>
      </c>
      <c r="CX111" s="319" t="s">
        <v>190</v>
      </c>
      <c r="CY111" s="319" t="s">
        <v>190</v>
      </c>
      <c r="CZ111" s="319" t="s">
        <v>190</v>
      </c>
      <c r="DA111" s="319" t="s">
        <v>190</v>
      </c>
      <c r="DB111" s="319" t="s">
        <v>190</v>
      </c>
      <c r="DC111" s="319" t="s">
        <v>190</v>
      </c>
      <c r="DD111" s="319" t="s">
        <v>190</v>
      </c>
      <c r="DE111" s="319" t="s">
        <v>190</v>
      </c>
      <c r="DF111" s="319" t="s">
        <v>190</v>
      </c>
      <c r="DG111" s="319" t="s">
        <v>190</v>
      </c>
      <c r="DH111" s="319" t="s">
        <v>190</v>
      </c>
      <c r="DI111" s="319" t="s">
        <v>190</v>
      </c>
      <c r="DJ111" s="319" t="s">
        <v>190</v>
      </c>
      <c r="DK111" s="319" t="s">
        <v>190</v>
      </c>
      <c r="DL111" s="319" t="s">
        <v>190</v>
      </c>
      <c r="DM111" s="319" t="s">
        <v>190</v>
      </c>
      <c r="DN111" s="319" t="s">
        <v>584</v>
      </c>
      <c r="DO111" s="319" t="s">
        <v>190</v>
      </c>
      <c r="DP111" s="319" t="s">
        <v>428</v>
      </c>
      <c r="DQ111" s="319" t="s">
        <v>428</v>
      </c>
      <c r="DR111" s="319" t="s">
        <v>428</v>
      </c>
      <c r="DS111" s="319" t="s">
        <v>428</v>
      </c>
      <c r="DT111" s="319" t="s">
        <v>428</v>
      </c>
      <c r="DU111" s="319" t="s">
        <v>428</v>
      </c>
      <c r="DV111" s="319" t="s">
        <v>173</v>
      </c>
      <c r="DW111" s="319" t="s">
        <v>428</v>
      </c>
      <c r="DX111" s="319" t="s">
        <v>428</v>
      </c>
      <c r="DY111" s="319" t="s">
        <v>428</v>
      </c>
      <c r="DZ111" s="319" t="s">
        <v>428</v>
      </c>
      <c r="EA111" s="319" t="s">
        <v>428</v>
      </c>
      <c r="EB111" s="319" t="s">
        <v>428</v>
      </c>
      <c r="EC111" s="319" t="s">
        <v>584</v>
      </c>
      <c r="ED111" s="319" t="s">
        <v>190</v>
      </c>
      <c r="EE111" s="319" t="s">
        <v>190</v>
      </c>
      <c r="EF111" s="319" t="s">
        <v>190</v>
      </c>
      <c r="EG111" s="319" t="s">
        <v>190</v>
      </c>
      <c r="EH111" s="319" t="s">
        <v>190</v>
      </c>
      <c r="EI111" s="319" t="s">
        <v>190</v>
      </c>
      <c r="EJ111" s="319" t="s">
        <v>190</v>
      </c>
      <c r="EK111" s="319" t="s">
        <v>190</v>
      </c>
      <c r="EL111" s="319" t="s">
        <v>190</v>
      </c>
      <c r="EM111" s="319" t="s">
        <v>190</v>
      </c>
      <c r="EN111" s="319" t="s">
        <v>190</v>
      </c>
      <c r="EO111" s="319" t="s">
        <v>190</v>
      </c>
      <c r="EP111" s="319" t="s">
        <v>190</v>
      </c>
      <c r="EQ111" s="319" t="s">
        <v>190</v>
      </c>
      <c r="ER111" s="319" t="s">
        <v>190</v>
      </c>
      <c r="ES111" s="319" t="s">
        <v>190</v>
      </c>
      <c r="ET111" s="319" t="s">
        <v>190</v>
      </c>
      <c r="EU111" s="319" t="s">
        <v>190</v>
      </c>
      <c r="EV111" s="319" t="s">
        <v>190</v>
      </c>
      <c r="EW111" s="319" t="s">
        <v>190</v>
      </c>
      <c r="EX111" s="319" t="s">
        <v>190</v>
      </c>
      <c r="EY111" s="319" t="s">
        <v>190</v>
      </c>
      <c r="EZ111" s="319" t="s">
        <v>190</v>
      </c>
      <c r="FA111" s="319" t="s">
        <v>190</v>
      </c>
      <c r="FB111" s="319" t="s">
        <v>428</v>
      </c>
      <c r="FC111" s="319" t="s">
        <v>428</v>
      </c>
      <c r="FD111" s="319" t="s">
        <v>428</v>
      </c>
      <c r="FE111" s="319" t="s">
        <v>428</v>
      </c>
      <c r="FF111" s="319" t="s">
        <v>428</v>
      </c>
      <c r="FG111" s="319" t="s">
        <v>428</v>
      </c>
      <c r="FH111" s="319" t="s">
        <v>190</v>
      </c>
      <c r="FI111" s="319" t="s">
        <v>190</v>
      </c>
      <c r="FJ111" s="319" t="s">
        <v>190</v>
      </c>
      <c r="FK111" s="319" t="s">
        <v>190</v>
      </c>
      <c r="FL111" s="319" t="s">
        <v>190</v>
      </c>
      <c r="FM111" s="319" t="s">
        <v>190</v>
      </c>
      <c r="FN111" s="319" t="s">
        <v>428</v>
      </c>
      <c r="FO111" s="319" t="s">
        <v>190</v>
      </c>
      <c r="FP111" s="319" t="s">
        <v>190</v>
      </c>
      <c r="FQ111" s="319" t="s">
        <v>190</v>
      </c>
      <c r="FR111" s="319" t="s">
        <v>190</v>
      </c>
      <c r="FS111" s="319" t="s">
        <v>428</v>
      </c>
      <c r="FT111" s="319" t="s">
        <v>190</v>
      </c>
      <c r="FU111" s="319" t="s">
        <v>190</v>
      </c>
      <c r="FV111" s="319" t="s">
        <v>190</v>
      </c>
      <c r="FW111" s="319" t="s">
        <v>190</v>
      </c>
      <c r="FX111" s="319" t="s">
        <v>190</v>
      </c>
      <c r="FY111" s="319" t="s">
        <v>190</v>
      </c>
      <c r="FZ111" s="319" t="s">
        <v>190</v>
      </c>
      <c r="GA111" s="319" t="s">
        <v>190</v>
      </c>
      <c r="GB111" s="319" t="s">
        <v>190</v>
      </c>
      <c r="GC111" s="319" t="s">
        <v>190</v>
      </c>
      <c r="GD111" s="319" t="s">
        <v>190</v>
      </c>
      <c r="GE111" s="319" t="s">
        <v>190</v>
      </c>
      <c r="GF111" s="319" t="s">
        <v>190</v>
      </c>
      <c r="GG111" s="319" t="s">
        <v>190</v>
      </c>
      <c r="GH111" s="319" t="s">
        <v>190</v>
      </c>
      <c r="GI111" s="319" t="s">
        <v>190</v>
      </c>
      <c r="GJ111" s="319" t="s">
        <v>190</v>
      </c>
      <c r="GK111" s="319" t="s">
        <v>584</v>
      </c>
      <c r="GL111" s="319" t="s">
        <v>190</v>
      </c>
      <c r="GM111" s="319" t="s">
        <v>190</v>
      </c>
      <c r="GN111" s="319" t="s">
        <v>190</v>
      </c>
      <c r="GO111" s="319" t="s">
        <v>190</v>
      </c>
      <c r="GP111" s="319" t="s">
        <v>190</v>
      </c>
      <c r="GQ111" s="319" t="s">
        <v>584</v>
      </c>
      <c r="GR111" s="319" t="s">
        <v>190</v>
      </c>
      <c r="GS111" s="319" t="s">
        <v>190</v>
      </c>
      <c r="GT111" s="319" t="s">
        <v>428</v>
      </c>
      <c r="GU111" s="319" t="s">
        <v>428</v>
      </c>
      <c r="GV111" s="319" t="s">
        <v>190</v>
      </c>
      <c r="GW111" s="319" t="s">
        <v>190</v>
      </c>
      <c r="GX111" s="319" t="s">
        <v>190</v>
      </c>
      <c r="GY111" s="319" t="s">
        <v>190</v>
      </c>
      <c r="GZ111" s="319" t="s">
        <v>190</v>
      </c>
      <c r="HA111" s="319" t="s">
        <v>428</v>
      </c>
      <c r="HB111" s="319" t="s">
        <v>190</v>
      </c>
      <c r="HC111" s="319" t="s">
        <v>190</v>
      </c>
      <c r="HD111" s="319" t="s">
        <v>190</v>
      </c>
      <c r="HE111" s="319" t="s">
        <v>190</v>
      </c>
      <c r="HF111" s="319" t="s">
        <v>190</v>
      </c>
      <c r="HG111" s="319" t="s">
        <v>190</v>
      </c>
      <c r="HH111" s="319" t="s">
        <v>190</v>
      </c>
      <c r="HI111" s="319" t="s">
        <v>190</v>
      </c>
      <c r="HJ111" s="319" t="s">
        <v>190</v>
      </c>
      <c r="HK111" s="319" t="s">
        <v>190</v>
      </c>
      <c r="HL111" s="319" t="s">
        <v>190</v>
      </c>
      <c r="HM111" s="319" t="s">
        <v>428</v>
      </c>
      <c r="HN111" s="319" t="s">
        <v>428</v>
      </c>
      <c r="HO111" s="319" t="s">
        <v>428</v>
      </c>
      <c r="HP111" s="319" t="s">
        <v>190</v>
      </c>
      <c r="HQ111" s="319" t="s">
        <v>190</v>
      </c>
      <c r="HR111" s="319" t="s">
        <v>190</v>
      </c>
      <c r="HS111" s="319" t="s">
        <v>190</v>
      </c>
      <c r="HT111" s="319" t="s">
        <v>190</v>
      </c>
      <c r="HU111" s="319" t="s">
        <v>190</v>
      </c>
      <c r="HV111" s="319" t="s">
        <v>190</v>
      </c>
      <c r="HW111" s="319" t="s">
        <v>190</v>
      </c>
      <c r="HX111" s="319" t="s">
        <v>190</v>
      </c>
      <c r="HY111" s="319" t="s">
        <v>190</v>
      </c>
      <c r="HZ111" s="319" t="s">
        <v>190</v>
      </c>
      <c r="IA111" s="319" t="s">
        <v>190</v>
      </c>
      <c r="IB111" s="319" t="s">
        <v>190</v>
      </c>
      <c r="IC111" s="319" t="s">
        <v>190</v>
      </c>
      <c r="ID111" s="319" t="s">
        <v>190</v>
      </c>
      <c r="IE111" s="319" t="s">
        <v>190</v>
      </c>
      <c r="IF111" s="319" t="s">
        <v>190</v>
      </c>
      <c r="IG111" s="319" t="s">
        <v>190</v>
      </c>
      <c r="IH111" s="319" t="s">
        <v>190</v>
      </c>
      <c r="II111" s="319" t="s">
        <v>190</v>
      </c>
      <c r="IJ111" s="319">
        <v>10007421</v>
      </c>
      <c r="IK111" s="321">
        <v>42283</v>
      </c>
      <c r="IL111" s="321">
        <v>42285</v>
      </c>
      <c r="IM111" s="321">
        <v>42353</v>
      </c>
      <c r="IN111" s="319">
        <v>4</v>
      </c>
      <c r="IO111" s="319" t="s">
        <v>173</v>
      </c>
      <c r="IP111" s="319" t="s">
        <v>173</v>
      </c>
      <c r="IQ111" s="321" t="s">
        <v>173</v>
      </c>
      <c r="IR111" s="320" t="s">
        <v>173</v>
      </c>
      <c r="IS111" s="322" t="s">
        <v>173</v>
      </c>
      <c r="IT111" s="319" t="s">
        <v>173</v>
      </c>
    </row>
    <row r="112" spans="1:254" s="271" customFormat="1" x14ac:dyDescent="0.25">
      <c r="A112" s="318" t="str">
        <f>HYPERLINK("http://www.ofsted.gov.uk/inspection-reports/find-inspection-report/provider/ELS/107794 ","Ofsted School Webpage")</f>
        <v>Ofsted School Webpage</v>
      </c>
      <c r="B112" s="319">
        <v>107794</v>
      </c>
      <c r="C112" s="319">
        <v>3826017</v>
      </c>
      <c r="D112" s="319" t="s">
        <v>914</v>
      </c>
      <c r="E112" s="319" t="s">
        <v>167</v>
      </c>
      <c r="F112" s="319" t="s">
        <v>81</v>
      </c>
      <c r="G112" s="319" t="s">
        <v>72</v>
      </c>
      <c r="H112" s="319" t="s">
        <v>72</v>
      </c>
      <c r="I112" s="319" t="s">
        <v>72</v>
      </c>
      <c r="J112" s="319" t="s">
        <v>424</v>
      </c>
      <c r="K112" s="319" t="s">
        <v>458</v>
      </c>
      <c r="L112" s="319" t="s">
        <v>459</v>
      </c>
      <c r="M112" s="319" t="s">
        <v>682</v>
      </c>
      <c r="N112" s="319" t="s">
        <v>2886</v>
      </c>
      <c r="O112" s="319" t="s">
        <v>915</v>
      </c>
      <c r="P112" s="319">
        <v>235</v>
      </c>
      <c r="Q112" s="319" t="s">
        <v>2766</v>
      </c>
      <c r="R112" s="320">
        <v>10061230</v>
      </c>
      <c r="S112" s="321">
        <v>43501</v>
      </c>
      <c r="T112" s="321">
        <v>43503</v>
      </c>
      <c r="U112" s="321">
        <v>43535</v>
      </c>
      <c r="V112" s="319" t="s">
        <v>425</v>
      </c>
      <c r="W112" s="319" t="s">
        <v>2767</v>
      </c>
      <c r="X112" s="319">
        <v>2</v>
      </c>
      <c r="Y112" s="319" t="s">
        <v>173</v>
      </c>
      <c r="Z112" s="319" t="s">
        <v>173</v>
      </c>
      <c r="AA112" s="319" t="s">
        <v>173</v>
      </c>
      <c r="AB112" s="319">
        <v>2</v>
      </c>
      <c r="AC112" s="319" t="s">
        <v>169</v>
      </c>
      <c r="AD112" s="319">
        <v>2</v>
      </c>
      <c r="AE112" s="319" t="s">
        <v>173</v>
      </c>
      <c r="AF112" s="319" t="s">
        <v>447</v>
      </c>
      <c r="AG112" s="319" t="s">
        <v>171</v>
      </c>
      <c r="AH112" s="319" t="s">
        <v>190</v>
      </c>
      <c r="AI112" s="319" t="s">
        <v>190</v>
      </c>
      <c r="AJ112" s="319" t="s">
        <v>190</v>
      </c>
      <c r="AK112" s="319" t="s">
        <v>190</v>
      </c>
      <c r="AL112" s="319" t="s">
        <v>190</v>
      </c>
      <c r="AM112" s="319" t="s">
        <v>190</v>
      </c>
      <c r="AN112" s="319" t="s">
        <v>190</v>
      </c>
      <c r="AO112" s="319" t="s">
        <v>190</v>
      </c>
      <c r="AP112" s="319" t="s">
        <v>190</v>
      </c>
      <c r="AQ112" s="319" t="s">
        <v>190</v>
      </c>
      <c r="AR112" s="319" t="s">
        <v>190</v>
      </c>
      <c r="AS112" s="319" t="s">
        <v>190</v>
      </c>
      <c r="AT112" s="319" t="s">
        <v>190</v>
      </c>
      <c r="AU112" s="319" t="s">
        <v>190</v>
      </c>
      <c r="AV112" s="319" t="s">
        <v>190</v>
      </c>
      <c r="AW112" s="319" t="s">
        <v>190</v>
      </c>
      <c r="AX112" s="319" t="s">
        <v>428</v>
      </c>
      <c r="AY112" s="319" t="s">
        <v>190</v>
      </c>
      <c r="AZ112" s="319" t="s">
        <v>190</v>
      </c>
      <c r="BA112" s="319" t="s">
        <v>190</v>
      </c>
      <c r="BB112" s="319" t="s">
        <v>190</v>
      </c>
      <c r="BC112" s="319" t="s">
        <v>190</v>
      </c>
      <c r="BD112" s="319" t="s">
        <v>190</v>
      </c>
      <c r="BE112" s="319" t="s">
        <v>190</v>
      </c>
      <c r="BF112" s="319" t="s">
        <v>190</v>
      </c>
      <c r="BG112" s="319" t="s">
        <v>428</v>
      </c>
      <c r="BH112" s="319" t="s">
        <v>190</v>
      </c>
      <c r="BI112" s="319" t="s">
        <v>190</v>
      </c>
      <c r="BJ112" s="319" t="s">
        <v>190</v>
      </c>
      <c r="BK112" s="319" t="s">
        <v>190</v>
      </c>
      <c r="BL112" s="319" t="s">
        <v>190</v>
      </c>
      <c r="BM112" s="319" t="s">
        <v>190</v>
      </c>
      <c r="BN112" s="319" t="s">
        <v>190</v>
      </c>
      <c r="BO112" s="319" t="s">
        <v>190</v>
      </c>
      <c r="BP112" s="319" t="s">
        <v>190</v>
      </c>
      <c r="BQ112" s="319" t="s">
        <v>190</v>
      </c>
      <c r="BR112" s="319" t="s">
        <v>190</v>
      </c>
      <c r="BS112" s="319" t="s">
        <v>190</v>
      </c>
      <c r="BT112" s="319" t="s">
        <v>190</v>
      </c>
      <c r="BU112" s="319" t="s">
        <v>190</v>
      </c>
      <c r="BV112" s="319" t="s">
        <v>190</v>
      </c>
      <c r="BW112" s="319" t="s">
        <v>190</v>
      </c>
      <c r="BX112" s="319" t="s">
        <v>190</v>
      </c>
      <c r="BY112" s="319" t="s">
        <v>190</v>
      </c>
      <c r="BZ112" s="319" t="s">
        <v>190</v>
      </c>
      <c r="CA112" s="319" t="s">
        <v>190</v>
      </c>
      <c r="CB112" s="319" t="s">
        <v>190</v>
      </c>
      <c r="CC112" s="319" t="s">
        <v>190</v>
      </c>
      <c r="CD112" s="319" t="s">
        <v>190</v>
      </c>
      <c r="CE112" s="319" t="s">
        <v>190</v>
      </c>
      <c r="CF112" s="319" t="s">
        <v>190</v>
      </c>
      <c r="CG112" s="319" t="s">
        <v>190</v>
      </c>
      <c r="CH112" s="319" t="s">
        <v>190</v>
      </c>
      <c r="CI112" s="319" t="s">
        <v>190</v>
      </c>
      <c r="CJ112" s="319" t="s">
        <v>190</v>
      </c>
      <c r="CK112" s="319" t="s">
        <v>190</v>
      </c>
      <c r="CL112" s="319" t="s">
        <v>190</v>
      </c>
      <c r="CM112" s="319" t="s">
        <v>190</v>
      </c>
      <c r="CN112" s="319" t="s">
        <v>190</v>
      </c>
      <c r="CO112" s="319" t="s">
        <v>428</v>
      </c>
      <c r="CP112" s="319" t="s">
        <v>428</v>
      </c>
      <c r="CQ112" s="319" t="s">
        <v>190</v>
      </c>
      <c r="CR112" s="319" t="s">
        <v>190</v>
      </c>
      <c r="CS112" s="319" t="s">
        <v>190</v>
      </c>
      <c r="CT112" s="319" t="s">
        <v>190</v>
      </c>
      <c r="CU112" s="319" t="s">
        <v>190</v>
      </c>
      <c r="CV112" s="319" t="s">
        <v>190</v>
      </c>
      <c r="CW112" s="319" t="s">
        <v>190</v>
      </c>
      <c r="CX112" s="319" t="s">
        <v>190</v>
      </c>
      <c r="CY112" s="319" t="s">
        <v>190</v>
      </c>
      <c r="CZ112" s="319" t="s">
        <v>190</v>
      </c>
      <c r="DA112" s="319" t="s">
        <v>190</v>
      </c>
      <c r="DB112" s="319" t="s">
        <v>190</v>
      </c>
      <c r="DC112" s="319" t="s">
        <v>190</v>
      </c>
      <c r="DD112" s="319" t="s">
        <v>190</v>
      </c>
      <c r="DE112" s="319" t="s">
        <v>190</v>
      </c>
      <c r="DF112" s="319" t="s">
        <v>190</v>
      </c>
      <c r="DG112" s="319" t="s">
        <v>190</v>
      </c>
      <c r="DH112" s="319" t="s">
        <v>190</v>
      </c>
      <c r="DI112" s="319" t="s">
        <v>190</v>
      </c>
      <c r="DJ112" s="319" t="s">
        <v>190</v>
      </c>
      <c r="DK112" s="319" t="s">
        <v>190</v>
      </c>
      <c r="DL112" s="319" t="s">
        <v>190</v>
      </c>
      <c r="DM112" s="319" t="s">
        <v>428</v>
      </c>
      <c r="DN112" s="319" t="s">
        <v>428</v>
      </c>
      <c r="DO112" s="319" t="s">
        <v>190</v>
      </c>
      <c r="DP112" s="319" t="s">
        <v>428</v>
      </c>
      <c r="DQ112" s="319" t="s">
        <v>428</v>
      </c>
      <c r="DR112" s="319" t="s">
        <v>428</v>
      </c>
      <c r="DS112" s="319" t="s">
        <v>428</v>
      </c>
      <c r="DT112" s="319" t="s">
        <v>428</v>
      </c>
      <c r="DU112" s="319" t="s">
        <v>428</v>
      </c>
      <c r="DV112" s="319" t="s">
        <v>173</v>
      </c>
      <c r="DW112" s="319" t="s">
        <v>428</v>
      </c>
      <c r="DX112" s="319" t="s">
        <v>428</v>
      </c>
      <c r="DY112" s="319" t="s">
        <v>428</v>
      </c>
      <c r="DZ112" s="319" t="s">
        <v>428</v>
      </c>
      <c r="EA112" s="319" t="s">
        <v>428</v>
      </c>
      <c r="EB112" s="319" t="s">
        <v>428</v>
      </c>
      <c r="EC112" s="319" t="s">
        <v>428</v>
      </c>
      <c r="ED112" s="319" t="s">
        <v>428</v>
      </c>
      <c r="EE112" s="319" t="s">
        <v>190</v>
      </c>
      <c r="EF112" s="319" t="s">
        <v>190</v>
      </c>
      <c r="EG112" s="319" t="s">
        <v>190</v>
      </c>
      <c r="EH112" s="319" t="s">
        <v>190</v>
      </c>
      <c r="EI112" s="319" t="s">
        <v>190</v>
      </c>
      <c r="EJ112" s="319" t="s">
        <v>190</v>
      </c>
      <c r="EK112" s="319" t="s">
        <v>190</v>
      </c>
      <c r="EL112" s="319" t="s">
        <v>428</v>
      </c>
      <c r="EM112" s="319" t="s">
        <v>190</v>
      </c>
      <c r="EN112" s="319" t="s">
        <v>190</v>
      </c>
      <c r="EO112" s="319" t="s">
        <v>190</v>
      </c>
      <c r="EP112" s="319" t="s">
        <v>190</v>
      </c>
      <c r="EQ112" s="319" t="s">
        <v>190</v>
      </c>
      <c r="ER112" s="319" t="s">
        <v>190</v>
      </c>
      <c r="ES112" s="319" t="s">
        <v>190</v>
      </c>
      <c r="ET112" s="319" t="s">
        <v>190</v>
      </c>
      <c r="EU112" s="319" t="s">
        <v>190</v>
      </c>
      <c r="EV112" s="319" t="s">
        <v>190</v>
      </c>
      <c r="EW112" s="319" t="s">
        <v>190</v>
      </c>
      <c r="EX112" s="319" t="s">
        <v>190</v>
      </c>
      <c r="EY112" s="319" t="s">
        <v>190</v>
      </c>
      <c r="EZ112" s="319" t="s">
        <v>190</v>
      </c>
      <c r="FA112" s="319" t="s">
        <v>190</v>
      </c>
      <c r="FB112" s="319" t="s">
        <v>190</v>
      </c>
      <c r="FC112" s="319" t="s">
        <v>190</v>
      </c>
      <c r="FD112" s="319" t="s">
        <v>428</v>
      </c>
      <c r="FE112" s="319" t="s">
        <v>428</v>
      </c>
      <c r="FF112" s="319" t="s">
        <v>428</v>
      </c>
      <c r="FG112" s="319" t="s">
        <v>428</v>
      </c>
      <c r="FH112" s="319" t="s">
        <v>190</v>
      </c>
      <c r="FI112" s="319" t="s">
        <v>190</v>
      </c>
      <c r="FJ112" s="319" t="s">
        <v>190</v>
      </c>
      <c r="FK112" s="319" t="s">
        <v>190</v>
      </c>
      <c r="FL112" s="319" t="s">
        <v>190</v>
      </c>
      <c r="FM112" s="319" t="s">
        <v>190</v>
      </c>
      <c r="FN112" s="319" t="s">
        <v>190</v>
      </c>
      <c r="FO112" s="319" t="s">
        <v>190</v>
      </c>
      <c r="FP112" s="319" t="s">
        <v>190</v>
      </c>
      <c r="FQ112" s="319" t="s">
        <v>190</v>
      </c>
      <c r="FR112" s="319" t="s">
        <v>190</v>
      </c>
      <c r="FS112" s="319" t="s">
        <v>428</v>
      </c>
      <c r="FT112" s="319" t="s">
        <v>190</v>
      </c>
      <c r="FU112" s="319" t="s">
        <v>190</v>
      </c>
      <c r="FV112" s="319" t="s">
        <v>190</v>
      </c>
      <c r="FW112" s="319" t="s">
        <v>190</v>
      </c>
      <c r="FX112" s="319" t="s">
        <v>190</v>
      </c>
      <c r="FY112" s="319" t="s">
        <v>190</v>
      </c>
      <c r="FZ112" s="319" t="s">
        <v>190</v>
      </c>
      <c r="GA112" s="319" t="s">
        <v>190</v>
      </c>
      <c r="GB112" s="319" t="s">
        <v>190</v>
      </c>
      <c r="GC112" s="319" t="s">
        <v>190</v>
      </c>
      <c r="GD112" s="319" t="s">
        <v>190</v>
      </c>
      <c r="GE112" s="319" t="s">
        <v>190</v>
      </c>
      <c r="GF112" s="319" t="s">
        <v>190</v>
      </c>
      <c r="GG112" s="319" t="s">
        <v>190</v>
      </c>
      <c r="GH112" s="319" t="s">
        <v>190</v>
      </c>
      <c r="GI112" s="319" t="s">
        <v>190</v>
      </c>
      <c r="GJ112" s="319" t="s">
        <v>190</v>
      </c>
      <c r="GK112" s="319" t="s">
        <v>428</v>
      </c>
      <c r="GL112" s="319" t="s">
        <v>190</v>
      </c>
      <c r="GM112" s="319" t="s">
        <v>190</v>
      </c>
      <c r="GN112" s="319" t="s">
        <v>190</v>
      </c>
      <c r="GO112" s="319" t="s">
        <v>190</v>
      </c>
      <c r="GP112" s="319" t="s">
        <v>190</v>
      </c>
      <c r="GQ112" s="319" t="s">
        <v>190</v>
      </c>
      <c r="GR112" s="319" t="s">
        <v>190</v>
      </c>
      <c r="GS112" s="319" t="s">
        <v>190</v>
      </c>
      <c r="GT112" s="319" t="s">
        <v>428</v>
      </c>
      <c r="GU112" s="319" t="s">
        <v>428</v>
      </c>
      <c r="GV112" s="319" t="s">
        <v>190</v>
      </c>
      <c r="GW112" s="319" t="s">
        <v>190</v>
      </c>
      <c r="GX112" s="319" t="s">
        <v>190</v>
      </c>
      <c r="GY112" s="319" t="s">
        <v>190</v>
      </c>
      <c r="GZ112" s="319" t="s">
        <v>428</v>
      </c>
      <c r="HA112" s="319" t="s">
        <v>190</v>
      </c>
      <c r="HB112" s="319" t="s">
        <v>190</v>
      </c>
      <c r="HC112" s="319" t="s">
        <v>190</v>
      </c>
      <c r="HD112" s="319" t="s">
        <v>190</v>
      </c>
      <c r="HE112" s="319" t="s">
        <v>190</v>
      </c>
      <c r="HF112" s="319" t="s">
        <v>190</v>
      </c>
      <c r="HG112" s="319" t="s">
        <v>190</v>
      </c>
      <c r="HH112" s="319" t="s">
        <v>190</v>
      </c>
      <c r="HI112" s="319" t="s">
        <v>190</v>
      </c>
      <c r="HJ112" s="319" t="s">
        <v>190</v>
      </c>
      <c r="HK112" s="319" t="s">
        <v>190</v>
      </c>
      <c r="HL112" s="319" t="s">
        <v>190</v>
      </c>
      <c r="HM112" s="319" t="s">
        <v>428</v>
      </c>
      <c r="HN112" s="319" t="s">
        <v>428</v>
      </c>
      <c r="HO112" s="319" t="s">
        <v>428</v>
      </c>
      <c r="HP112" s="319" t="s">
        <v>190</v>
      </c>
      <c r="HQ112" s="319" t="s">
        <v>190</v>
      </c>
      <c r="HR112" s="319" t="s">
        <v>190</v>
      </c>
      <c r="HS112" s="319" t="s">
        <v>190</v>
      </c>
      <c r="HT112" s="319" t="s">
        <v>190</v>
      </c>
      <c r="HU112" s="319" t="s">
        <v>190</v>
      </c>
      <c r="HV112" s="319" t="s">
        <v>190</v>
      </c>
      <c r="HW112" s="319" t="s">
        <v>190</v>
      </c>
      <c r="HX112" s="319" t="s">
        <v>190</v>
      </c>
      <c r="HY112" s="319" t="s">
        <v>190</v>
      </c>
      <c r="HZ112" s="319" t="s">
        <v>190</v>
      </c>
      <c r="IA112" s="319" t="s">
        <v>190</v>
      </c>
      <c r="IB112" s="319" t="s">
        <v>190</v>
      </c>
      <c r="IC112" s="319" t="s">
        <v>190</v>
      </c>
      <c r="ID112" s="319" t="s">
        <v>190</v>
      </c>
      <c r="IE112" s="319" t="s">
        <v>190</v>
      </c>
      <c r="IF112" s="319" t="s">
        <v>190</v>
      </c>
      <c r="IG112" s="319" t="s">
        <v>190</v>
      </c>
      <c r="IH112" s="319" t="s">
        <v>190</v>
      </c>
      <c r="II112" s="319" t="s">
        <v>190</v>
      </c>
      <c r="IJ112" s="319">
        <v>10020762</v>
      </c>
      <c r="IK112" s="321">
        <v>42654</v>
      </c>
      <c r="IL112" s="321">
        <v>42656</v>
      </c>
      <c r="IM112" s="321">
        <v>42695</v>
      </c>
      <c r="IN112" s="319">
        <v>2</v>
      </c>
      <c r="IO112" s="319" t="s">
        <v>173</v>
      </c>
      <c r="IP112" s="319" t="s">
        <v>173</v>
      </c>
      <c r="IQ112" s="321" t="s">
        <v>173</v>
      </c>
      <c r="IR112" s="320" t="s">
        <v>173</v>
      </c>
      <c r="IS112" s="322" t="s">
        <v>173</v>
      </c>
      <c r="IT112" s="319" t="s">
        <v>173</v>
      </c>
    </row>
    <row r="113" spans="1:254" s="271" customFormat="1" x14ac:dyDescent="0.25">
      <c r="A113" s="318" t="str">
        <f>HYPERLINK("http://www.ofsted.gov.uk/inspection-reports/find-inspection-report/provider/ELS/107795 ","Ofsted School Webpage")</f>
        <v>Ofsted School Webpage</v>
      </c>
      <c r="B113" s="319">
        <v>107795</v>
      </c>
      <c r="C113" s="319">
        <v>3826018</v>
      </c>
      <c r="D113" s="319" t="s">
        <v>692</v>
      </c>
      <c r="E113" s="319" t="s">
        <v>167</v>
      </c>
      <c r="F113" s="319" t="s">
        <v>59</v>
      </c>
      <c r="G113" s="319" t="s">
        <v>59</v>
      </c>
      <c r="H113" s="319" t="s">
        <v>59</v>
      </c>
      <c r="I113" s="319" t="s">
        <v>59</v>
      </c>
      <c r="J113" s="319" t="s">
        <v>424</v>
      </c>
      <c r="K113" s="319" t="s">
        <v>458</v>
      </c>
      <c r="L113" s="319" t="s">
        <v>459</v>
      </c>
      <c r="M113" s="319" t="s">
        <v>682</v>
      </c>
      <c r="N113" s="319" t="s">
        <v>2886</v>
      </c>
      <c r="O113" s="319" t="s">
        <v>693</v>
      </c>
      <c r="P113" s="319">
        <v>21</v>
      </c>
      <c r="Q113" s="319" t="s">
        <v>2776</v>
      </c>
      <c r="R113" s="320">
        <v>10055377</v>
      </c>
      <c r="S113" s="321">
        <v>43424</v>
      </c>
      <c r="T113" s="321">
        <v>43426</v>
      </c>
      <c r="U113" s="321">
        <v>43481</v>
      </c>
      <c r="V113" s="319" t="s">
        <v>425</v>
      </c>
      <c r="W113" s="319" t="s">
        <v>2767</v>
      </c>
      <c r="X113" s="319">
        <v>4</v>
      </c>
      <c r="Y113" s="319" t="s">
        <v>173</v>
      </c>
      <c r="Z113" s="319" t="s">
        <v>173</v>
      </c>
      <c r="AA113" s="319" t="s">
        <v>173</v>
      </c>
      <c r="AB113" s="319">
        <v>4</v>
      </c>
      <c r="AC113" s="319" t="s">
        <v>170</v>
      </c>
      <c r="AD113" s="319" t="s">
        <v>173</v>
      </c>
      <c r="AE113" s="319" t="s">
        <v>173</v>
      </c>
      <c r="AF113" s="319" t="s">
        <v>427</v>
      </c>
      <c r="AG113" s="319" t="s">
        <v>172</v>
      </c>
      <c r="AH113" s="319" t="s">
        <v>190</v>
      </c>
      <c r="AI113" s="319" t="s">
        <v>190</v>
      </c>
      <c r="AJ113" s="319" t="s">
        <v>479</v>
      </c>
      <c r="AK113" s="319" t="s">
        <v>190</v>
      </c>
      <c r="AL113" s="319" t="s">
        <v>190</v>
      </c>
      <c r="AM113" s="319" t="s">
        <v>190</v>
      </c>
      <c r="AN113" s="319" t="s">
        <v>190</v>
      </c>
      <c r="AO113" s="319" t="s">
        <v>479</v>
      </c>
      <c r="AP113" s="319" t="s">
        <v>190</v>
      </c>
      <c r="AQ113" s="319" t="s">
        <v>190</v>
      </c>
      <c r="AR113" s="319" t="s">
        <v>190</v>
      </c>
      <c r="AS113" s="319" t="s">
        <v>190</v>
      </c>
      <c r="AT113" s="319" t="s">
        <v>190</v>
      </c>
      <c r="AU113" s="319" t="s">
        <v>190</v>
      </c>
      <c r="AV113" s="319" t="s">
        <v>190</v>
      </c>
      <c r="AW113" s="319" t="s">
        <v>190</v>
      </c>
      <c r="AX113" s="319" t="s">
        <v>428</v>
      </c>
      <c r="AY113" s="319" t="s">
        <v>190</v>
      </c>
      <c r="AZ113" s="319" t="s">
        <v>190</v>
      </c>
      <c r="BA113" s="319" t="s">
        <v>190</v>
      </c>
      <c r="BB113" s="319" t="s">
        <v>191</v>
      </c>
      <c r="BC113" s="319" t="s">
        <v>191</v>
      </c>
      <c r="BD113" s="319" t="s">
        <v>191</v>
      </c>
      <c r="BE113" s="319" t="s">
        <v>191</v>
      </c>
      <c r="BF113" s="319" t="s">
        <v>190</v>
      </c>
      <c r="BG113" s="319" t="s">
        <v>190</v>
      </c>
      <c r="BH113" s="319" t="s">
        <v>190</v>
      </c>
      <c r="BI113" s="319" t="s">
        <v>190</v>
      </c>
      <c r="BJ113" s="319" t="s">
        <v>190</v>
      </c>
      <c r="BK113" s="319" t="s">
        <v>190</v>
      </c>
      <c r="BL113" s="319" t="s">
        <v>190</v>
      </c>
      <c r="BM113" s="319" t="s">
        <v>190</v>
      </c>
      <c r="BN113" s="319" t="s">
        <v>190</v>
      </c>
      <c r="BO113" s="319" t="s">
        <v>190</v>
      </c>
      <c r="BP113" s="319" t="s">
        <v>190</v>
      </c>
      <c r="BQ113" s="319" t="s">
        <v>190</v>
      </c>
      <c r="BR113" s="319" t="s">
        <v>190</v>
      </c>
      <c r="BS113" s="319" t="s">
        <v>190</v>
      </c>
      <c r="BT113" s="319" t="s">
        <v>190</v>
      </c>
      <c r="BU113" s="319" t="s">
        <v>190</v>
      </c>
      <c r="BV113" s="319" t="s">
        <v>190</v>
      </c>
      <c r="BW113" s="319" t="s">
        <v>190</v>
      </c>
      <c r="BX113" s="319" t="s">
        <v>190</v>
      </c>
      <c r="BY113" s="319" t="s">
        <v>190</v>
      </c>
      <c r="BZ113" s="319" t="s">
        <v>190</v>
      </c>
      <c r="CA113" s="319" t="s">
        <v>190</v>
      </c>
      <c r="CB113" s="319" t="s">
        <v>190</v>
      </c>
      <c r="CC113" s="319" t="s">
        <v>190</v>
      </c>
      <c r="CD113" s="319" t="s">
        <v>190</v>
      </c>
      <c r="CE113" s="319" t="s">
        <v>190</v>
      </c>
      <c r="CF113" s="319" t="s">
        <v>190</v>
      </c>
      <c r="CG113" s="319" t="s">
        <v>190</v>
      </c>
      <c r="CH113" s="319" t="s">
        <v>190</v>
      </c>
      <c r="CI113" s="319" t="s">
        <v>190</v>
      </c>
      <c r="CJ113" s="319" t="s">
        <v>190</v>
      </c>
      <c r="CK113" s="319" t="s">
        <v>191</v>
      </c>
      <c r="CL113" s="319" t="s">
        <v>191</v>
      </c>
      <c r="CM113" s="319" t="s">
        <v>191</v>
      </c>
      <c r="CN113" s="319" t="s">
        <v>428</v>
      </c>
      <c r="CO113" s="319" t="s">
        <v>428</v>
      </c>
      <c r="CP113" s="319" t="s">
        <v>428</v>
      </c>
      <c r="CQ113" s="319" t="s">
        <v>190</v>
      </c>
      <c r="CR113" s="319" t="s">
        <v>190</v>
      </c>
      <c r="CS113" s="319" t="s">
        <v>190</v>
      </c>
      <c r="CT113" s="319" t="s">
        <v>190</v>
      </c>
      <c r="CU113" s="319" t="s">
        <v>190</v>
      </c>
      <c r="CV113" s="319" t="s">
        <v>190</v>
      </c>
      <c r="CW113" s="319" t="s">
        <v>190</v>
      </c>
      <c r="CX113" s="319" t="s">
        <v>190</v>
      </c>
      <c r="CY113" s="319" t="s">
        <v>190</v>
      </c>
      <c r="CZ113" s="319" t="s">
        <v>190</v>
      </c>
      <c r="DA113" s="319" t="s">
        <v>190</v>
      </c>
      <c r="DB113" s="319" t="s">
        <v>190</v>
      </c>
      <c r="DC113" s="319" t="s">
        <v>190</v>
      </c>
      <c r="DD113" s="319" t="s">
        <v>190</v>
      </c>
      <c r="DE113" s="319" t="s">
        <v>190</v>
      </c>
      <c r="DF113" s="319" t="s">
        <v>190</v>
      </c>
      <c r="DG113" s="319" t="s">
        <v>190</v>
      </c>
      <c r="DH113" s="319" t="s">
        <v>190</v>
      </c>
      <c r="DI113" s="319" t="s">
        <v>190</v>
      </c>
      <c r="DJ113" s="319" t="s">
        <v>190</v>
      </c>
      <c r="DK113" s="319" t="s">
        <v>190</v>
      </c>
      <c r="DL113" s="319" t="s">
        <v>190</v>
      </c>
      <c r="DM113" s="319" t="s">
        <v>191</v>
      </c>
      <c r="DN113" s="319" t="s">
        <v>428</v>
      </c>
      <c r="DO113" s="319" t="s">
        <v>191</v>
      </c>
      <c r="DP113" s="319" t="s">
        <v>428</v>
      </c>
      <c r="DQ113" s="319" t="s">
        <v>428</v>
      </c>
      <c r="DR113" s="319" t="s">
        <v>428</v>
      </c>
      <c r="DS113" s="319" t="s">
        <v>428</v>
      </c>
      <c r="DT113" s="319" t="s">
        <v>428</v>
      </c>
      <c r="DU113" s="319" t="s">
        <v>428</v>
      </c>
      <c r="DV113" s="319" t="s">
        <v>173</v>
      </c>
      <c r="DW113" s="319" t="s">
        <v>428</v>
      </c>
      <c r="DX113" s="319" t="s">
        <v>428</v>
      </c>
      <c r="DY113" s="319" t="s">
        <v>428</v>
      </c>
      <c r="DZ113" s="319" t="s">
        <v>428</v>
      </c>
      <c r="EA113" s="319" t="s">
        <v>428</v>
      </c>
      <c r="EB113" s="319" t="s">
        <v>428</v>
      </c>
      <c r="EC113" s="319" t="s">
        <v>428</v>
      </c>
      <c r="ED113" s="319" t="s">
        <v>428</v>
      </c>
      <c r="EE113" s="319" t="s">
        <v>190</v>
      </c>
      <c r="EF113" s="319" t="s">
        <v>190</v>
      </c>
      <c r="EG113" s="319" t="s">
        <v>190</v>
      </c>
      <c r="EH113" s="319" t="s">
        <v>190</v>
      </c>
      <c r="EI113" s="319" t="s">
        <v>190</v>
      </c>
      <c r="EJ113" s="319" t="s">
        <v>190</v>
      </c>
      <c r="EK113" s="319" t="s">
        <v>190</v>
      </c>
      <c r="EL113" s="319" t="s">
        <v>190</v>
      </c>
      <c r="EM113" s="319" t="s">
        <v>190</v>
      </c>
      <c r="EN113" s="319" t="s">
        <v>190</v>
      </c>
      <c r="EO113" s="319" t="s">
        <v>190</v>
      </c>
      <c r="EP113" s="319" t="s">
        <v>190</v>
      </c>
      <c r="EQ113" s="319" t="s">
        <v>190</v>
      </c>
      <c r="ER113" s="319" t="s">
        <v>190</v>
      </c>
      <c r="ES113" s="319" t="s">
        <v>190</v>
      </c>
      <c r="ET113" s="319" t="s">
        <v>190</v>
      </c>
      <c r="EU113" s="319" t="s">
        <v>190</v>
      </c>
      <c r="EV113" s="319" t="s">
        <v>190</v>
      </c>
      <c r="EW113" s="319" t="s">
        <v>190</v>
      </c>
      <c r="EX113" s="319" t="s">
        <v>190</v>
      </c>
      <c r="EY113" s="319" t="s">
        <v>190</v>
      </c>
      <c r="EZ113" s="319" t="s">
        <v>190</v>
      </c>
      <c r="FA113" s="319" t="s">
        <v>190</v>
      </c>
      <c r="FB113" s="319" t="s">
        <v>428</v>
      </c>
      <c r="FC113" s="319" t="s">
        <v>428</v>
      </c>
      <c r="FD113" s="319" t="s">
        <v>428</v>
      </c>
      <c r="FE113" s="319" t="s">
        <v>428</v>
      </c>
      <c r="FF113" s="319" t="s">
        <v>428</v>
      </c>
      <c r="FG113" s="319" t="s">
        <v>428</v>
      </c>
      <c r="FH113" s="319" t="s">
        <v>428</v>
      </c>
      <c r="FI113" s="319" t="s">
        <v>428</v>
      </c>
      <c r="FJ113" s="319" t="s">
        <v>429</v>
      </c>
      <c r="FK113" s="319" t="s">
        <v>428</v>
      </c>
      <c r="FL113" s="319" t="s">
        <v>190</v>
      </c>
      <c r="FM113" s="319" t="s">
        <v>190</v>
      </c>
      <c r="FN113" s="319" t="s">
        <v>190</v>
      </c>
      <c r="FO113" s="319" t="s">
        <v>190</v>
      </c>
      <c r="FP113" s="319" t="s">
        <v>190</v>
      </c>
      <c r="FQ113" s="319" t="s">
        <v>190</v>
      </c>
      <c r="FR113" s="319" t="s">
        <v>190</v>
      </c>
      <c r="FS113" s="319" t="s">
        <v>428</v>
      </c>
      <c r="FT113" s="319" t="s">
        <v>190</v>
      </c>
      <c r="FU113" s="319" t="s">
        <v>190</v>
      </c>
      <c r="FV113" s="319" t="s">
        <v>190</v>
      </c>
      <c r="FW113" s="319" t="s">
        <v>190</v>
      </c>
      <c r="FX113" s="319" t="s">
        <v>190</v>
      </c>
      <c r="FY113" s="319" t="s">
        <v>190</v>
      </c>
      <c r="FZ113" s="319" t="s">
        <v>190</v>
      </c>
      <c r="GA113" s="319" t="s">
        <v>190</v>
      </c>
      <c r="GB113" s="319" t="s">
        <v>190</v>
      </c>
      <c r="GC113" s="319" t="s">
        <v>190</v>
      </c>
      <c r="GD113" s="319" t="s">
        <v>190</v>
      </c>
      <c r="GE113" s="319" t="s">
        <v>190</v>
      </c>
      <c r="GF113" s="319" t="s">
        <v>190</v>
      </c>
      <c r="GG113" s="319" t="s">
        <v>190</v>
      </c>
      <c r="GH113" s="319" t="s">
        <v>190</v>
      </c>
      <c r="GI113" s="319" t="s">
        <v>190</v>
      </c>
      <c r="GJ113" s="319" t="s">
        <v>190</v>
      </c>
      <c r="GK113" s="319" t="s">
        <v>428</v>
      </c>
      <c r="GL113" s="319" t="s">
        <v>190</v>
      </c>
      <c r="GM113" s="319" t="s">
        <v>190</v>
      </c>
      <c r="GN113" s="319" t="s">
        <v>190</v>
      </c>
      <c r="GO113" s="319" t="s">
        <v>190</v>
      </c>
      <c r="GP113" s="319" t="s">
        <v>190</v>
      </c>
      <c r="GQ113" s="319" t="s">
        <v>190</v>
      </c>
      <c r="GR113" s="319" t="s">
        <v>190</v>
      </c>
      <c r="GS113" s="319" t="s">
        <v>190</v>
      </c>
      <c r="GT113" s="319" t="s">
        <v>190</v>
      </c>
      <c r="GU113" s="319" t="s">
        <v>190</v>
      </c>
      <c r="GV113" s="319" t="s">
        <v>190</v>
      </c>
      <c r="GW113" s="319" t="s">
        <v>190</v>
      </c>
      <c r="GX113" s="319" t="s">
        <v>190</v>
      </c>
      <c r="GY113" s="319" t="s">
        <v>190</v>
      </c>
      <c r="GZ113" s="319" t="s">
        <v>190</v>
      </c>
      <c r="HA113" s="319" t="s">
        <v>190</v>
      </c>
      <c r="HB113" s="319" t="s">
        <v>190</v>
      </c>
      <c r="HC113" s="319" t="s">
        <v>190</v>
      </c>
      <c r="HD113" s="319" t="s">
        <v>190</v>
      </c>
      <c r="HE113" s="319" t="s">
        <v>190</v>
      </c>
      <c r="HF113" s="319" t="s">
        <v>190</v>
      </c>
      <c r="HG113" s="319" t="s">
        <v>190</v>
      </c>
      <c r="HH113" s="319" t="s">
        <v>190</v>
      </c>
      <c r="HI113" s="319" t="s">
        <v>190</v>
      </c>
      <c r="HJ113" s="319" t="s">
        <v>190</v>
      </c>
      <c r="HK113" s="319" t="s">
        <v>190</v>
      </c>
      <c r="HL113" s="319" t="s">
        <v>190</v>
      </c>
      <c r="HM113" s="319" t="s">
        <v>428</v>
      </c>
      <c r="HN113" s="319" t="s">
        <v>428</v>
      </c>
      <c r="HO113" s="319" t="s">
        <v>428</v>
      </c>
      <c r="HP113" s="319" t="s">
        <v>190</v>
      </c>
      <c r="HQ113" s="319" t="s">
        <v>190</v>
      </c>
      <c r="HR113" s="319" t="s">
        <v>190</v>
      </c>
      <c r="HS113" s="319" t="s">
        <v>190</v>
      </c>
      <c r="HT113" s="319" t="s">
        <v>190</v>
      </c>
      <c r="HU113" s="319" t="s">
        <v>190</v>
      </c>
      <c r="HV113" s="319" t="s">
        <v>190</v>
      </c>
      <c r="HW113" s="319" t="s">
        <v>190</v>
      </c>
      <c r="HX113" s="319" t="s">
        <v>190</v>
      </c>
      <c r="HY113" s="319" t="s">
        <v>190</v>
      </c>
      <c r="HZ113" s="319" t="s">
        <v>190</v>
      </c>
      <c r="IA113" s="319" t="s">
        <v>190</v>
      </c>
      <c r="IB113" s="319" t="s">
        <v>190</v>
      </c>
      <c r="IC113" s="319" t="s">
        <v>190</v>
      </c>
      <c r="ID113" s="319" t="s">
        <v>190</v>
      </c>
      <c r="IE113" s="319" t="s">
        <v>190</v>
      </c>
      <c r="IF113" s="319" t="s">
        <v>191</v>
      </c>
      <c r="IG113" s="319" t="s">
        <v>191</v>
      </c>
      <c r="IH113" s="319" t="s">
        <v>191</v>
      </c>
      <c r="II113" s="319" t="s">
        <v>191</v>
      </c>
      <c r="IJ113" s="319">
        <v>10008555</v>
      </c>
      <c r="IK113" s="321">
        <v>42409</v>
      </c>
      <c r="IL113" s="321">
        <v>42411</v>
      </c>
      <c r="IM113" s="321">
        <v>42437</v>
      </c>
      <c r="IN113" s="319">
        <v>2</v>
      </c>
      <c r="IO113" s="319">
        <v>10106764</v>
      </c>
      <c r="IP113" s="319" t="s">
        <v>985</v>
      </c>
      <c r="IQ113" s="321">
        <v>43628</v>
      </c>
      <c r="IR113" s="320" t="s">
        <v>1223</v>
      </c>
      <c r="IS113" s="322">
        <v>43654</v>
      </c>
      <c r="IT113" s="319" t="s">
        <v>165</v>
      </c>
    </row>
    <row r="114" spans="1:254" s="271" customFormat="1" x14ac:dyDescent="0.25">
      <c r="A114" s="318" t="str">
        <f>HYPERLINK("http://www.ofsted.gov.uk/inspection-reports/find-inspection-report/provider/ELS/108109 ","Ofsted School Webpage")</f>
        <v>Ofsted School Webpage</v>
      </c>
      <c r="B114" s="319">
        <v>108109</v>
      </c>
      <c r="C114" s="319">
        <v>3836098</v>
      </c>
      <c r="D114" s="319" t="s">
        <v>908</v>
      </c>
      <c r="E114" s="319" t="s">
        <v>167</v>
      </c>
      <c r="F114" s="319" t="s">
        <v>81</v>
      </c>
      <c r="G114" s="319" t="s">
        <v>59</v>
      </c>
      <c r="H114" s="319" t="s">
        <v>59</v>
      </c>
      <c r="I114" s="319" t="s">
        <v>59</v>
      </c>
      <c r="J114" s="319" t="s">
        <v>424</v>
      </c>
      <c r="K114" s="319" t="s">
        <v>458</v>
      </c>
      <c r="L114" s="319" t="s">
        <v>459</v>
      </c>
      <c r="M114" s="319" t="s">
        <v>622</v>
      </c>
      <c r="N114" s="319" t="s">
        <v>2887</v>
      </c>
      <c r="O114" s="319" t="s">
        <v>909</v>
      </c>
      <c r="P114" s="319">
        <v>25</v>
      </c>
      <c r="Q114" s="319" t="s">
        <v>2766</v>
      </c>
      <c r="R114" s="320">
        <v>10077924</v>
      </c>
      <c r="S114" s="321">
        <v>43501</v>
      </c>
      <c r="T114" s="321">
        <v>43503</v>
      </c>
      <c r="U114" s="321">
        <v>43531</v>
      </c>
      <c r="V114" s="319" t="s">
        <v>425</v>
      </c>
      <c r="W114" s="319" t="s">
        <v>2767</v>
      </c>
      <c r="X114" s="319">
        <v>2</v>
      </c>
      <c r="Y114" s="319" t="s">
        <v>173</v>
      </c>
      <c r="Z114" s="319" t="s">
        <v>173</v>
      </c>
      <c r="AA114" s="319" t="s">
        <v>173</v>
      </c>
      <c r="AB114" s="319">
        <v>2</v>
      </c>
      <c r="AC114" s="319" t="s">
        <v>169</v>
      </c>
      <c r="AD114" s="319">
        <v>2</v>
      </c>
      <c r="AE114" s="319" t="s">
        <v>173</v>
      </c>
      <c r="AF114" s="319" t="s">
        <v>427</v>
      </c>
      <c r="AG114" s="319" t="s">
        <v>171</v>
      </c>
      <c r="AH114" s="319" t="s">
        <v>190</v>
      </c>
      <c r="AI114" s="319" t="s">
        <v>190</v>
      </c>
      <c r="AJ114" s="319" t="s">
        <v>190</v>
      </c>
      <c r="AK114" s="319" t="s">
        <v>190</v>
      </c>
      <c r="AL114" s="319" t="s">
        <v>190</v>
      </c>
      <c r="AM114" s="319" t="s">
        <v>190</v>
      </c>
      <c r="AN114" s="319" t="s">
        <v>190</v>
      </c>
      <c r="AO114" s="319" t="s">
        <v>190</v>
      </c>
      <c r="AP114" s="319" t="s">
        <v>190</v>
      </c>
      <c r="AQ114" s="319" t="s">
        <v>190</v>
      </c>
      <c r="AR114" s="319" t="s">
        <v>190</v>
      </c>
      <c r="AS114" s="319" t="s">
        <v>190</v>
      </c>
      <c r="AT114" s="319" t="s">
        <v>190</v>
      </c>
      <c r="AU114" s="319" t="s">
        <v>190</v>
      </c>
      <c r="AV114" s="319" t="s">
        <v>190</v>
      </c>
      <c r="AW114" s="319" t="s">
        <v>190</v>
      </c>
      <c r="AX114" s="319" t="s">
        <v>428</v>
      </c>
      <c r="AY114" s="319" t="s">
        <v>190</v>
      </c>
      <c r="AZ114" s="319" t="s">
        <v>190</v>
      </c>
      <c r="BA114" s="319" t="s">
        <v>190</v>
      </c>
      <c r="BB114" s="319" t="s">
        <v>428</v>
      </c>
      <c r="BC114" s="319" t="s">
        <v>428</v>
      </c>
      <c r="BD114" s="319" t="s">
        <v>428</v>
      </c>
      <c r="BE114" s="319" t="s">
        <v>428</v>
      </c>
      <c r="BF114" s="319" t="s">
        <v>190</v>
      </c>
      <c r="BG114" s="319" t="s">
        <v>428</v>
      </c>
      <c r="BH114" s="319" t="s">
        <v>190</v>
      </c>
      <c r="BI114" s="319" t="s">
        <v>190</v>
      </c>
      <c r="BJ114" s="319" t="s">
        <v>190</v>
      </c>
      <c r="BK114" s="319" t="s">
        <v>190</v>
      </c>
      <c r="BL114" s="319" t="s">
        <v>190</v>
      </c>
      <c r="BM114" s="319" t="s">
        <v>190</v>
      </c>
      <c r="BN114" s="319" t="s">
        <v>190</v>
      </c>
      <c r="BO114" s="319" t="s">
        <v>190</v>
      </c>
      <c r="BP114" s="319" t="s">
        <v>190</v>
      </c>
      <c r="BQ114" s="319" t="s">
        <v>190</v>
      </c>
      <c r="BR114" s="319" t="s">
        <v>190</v>
      </c>
      <c r="BS114" s="319" t="s">
        <v>190</v>
      </c>
      <c r="BT114" s="319" t="s">
        <v>190</v>
      </c>
      <c r="BU114" s="319" t="s">
        <v>190</v>
      </c>
      <c r="BV114" s="319" t="s">
        <v>190</v>
      </c>
      <c r="BW114" s="319" t="s">
        <v>190</v>
      </c>
      <c r="BX114" s="319" t="s">
        <v>190</v>
      </c>
      <c r="BY114" s="319" t="s">
        <v>190</v>
      </c>
      <c r="BZ114" s="319" t="s">
        <v>190</v>
      </c>
      <c r="CA114" s="319" t="s">
        <v>190</v>
      </c>
      <c r="CB114" s="319" t="s">
        <v>190</v>
      </c>
      <c r="CC114" s="319" t="s">
        <v>190</v>
      </c>
      <c r="CD114" s="319" t="s">
        <v>190</v>
      </c>
      <c r="CE114" s="319" t="s">
        <v>190</v>
      </c>
      <c r="CF114" s="319" t="s">
        <v>190</v>
      </c>
      <c r="CG114" s="319" t="s">
        <v>190</v>
      </c>
      <c r="CH114" s="319" t="s">
        <v>190</v>
      </c>
      <c r="CI114" s="319" t="s">
        <v>190</v>
      </c>
      <c r="CJ114" s="319" t="s">
        <v>190</v>
      </c>
      <c r="CK114" s="319" t="s">
        <v>190</v>
      </c>
      <c r="CL114" s="319" t="s">
        <v>190</v>
      </c>
      <c r="CM114" s="319" t="s">
        <v>190</v>
      </c>
      <c r="CN114" s="319" t="s">
        <v>428</v>
      </c>
      <c r="CO114" s="319" t="s">
        <v>428</v>
      </c>
      <c r="CP114" s="319" t="s">
        <v>428</v>
      </c>
      <c r="CQ114" s="319" t="s">
        <v>190</v>
      </c>
      <c r="CR114" s="319" t="s">
        <v>190</v>
      </c>
      <c r="CS114" s="319" t="s">
        <v>190</v>
      </c>
      <c r="CT114" s="319" t="s">
        <v>190</v>
      </c>
      <c r="CU114" s="319" t="s">
        <v>190</v>
      </c>
      <c r="CV114" s="319" t="s">
        <v>190</v>
      </c>
      <c r="CW114" s="319" t="s">
        <v>190</v>
      </c>
      <c r="CX114" s="319" t="s">
        <v>190</v>
      </c>
      <c r="CY114" s="319" t="s">
        <v>190</v>
      </c>
      <c r="CZ114" s="319" t="s">
        <v>190</v>
      </c>
      <c r="DA114" s="319" t="s">
        <v>190</v>
      </c>
      <c r="DB114" s="319" t="s">
        <v>190</v>
      </c>
      <c r="DC114" s="319" t="s">
        <v>190</v>
      </c>
      <c r="DD114" s="319" t="s">
        <v>190</v>
      </c>
      <c r="DE114" s="319" t="s">
        <v>190</v>
      </c>
      <c r="DF114" s="319" t="s">
        <v>190</v>
      </c>
      <c r="DG114" s="319" t="s">
        <v>190</v>
      </c>
      <c r="DH114" s="319" t="s">
        <v>190</v>
      </c>
      <c r="DI114" s="319" t="s">
        <v>190</v>
      </c>
      <c r="DJ114" s="319" t="s">
        <v>190</v>
      </c>
      <c r="DK114" s="319" t="s">
        <v>190</v>
      </c>
      <c r="DL114" s="319" t="s">
        <v>190</v>
      </c>
      <c r="DM114" s="319" t="s">
        <v>190</v>
      </c>
      <c r="DN114" s="319" t="s">
        <v>428</v>
      </c>
      <c r="DO114" s="319" t="s">
        <v>190</v>
      </c>
      <c r="DP114" s="319" t="s">
        <v>428</v>
      </c>
      <c r="DQ114" s="319" t="s">
        <v>428</v>
      </c>
      <c r="DR114" s="319" t="s">
        <v>428</v>
      </c>
      <c r="DS114" s="319" t="s">
        <v>428</v>
      </c>
      <c r="DT114" s="319" t="s">
        <v>428</v>
      </c>
      <c r="DU114" s="319" t="s">
        <v>428</v>
      </c>
      <c r="DV114" s="319" t="s">
        <v>173</v>
      </c>
      <c r="DW114" s="319" t="s">
        <v>428</v>
      </c>
      <c r="DX114" s="319" t="s">
        <v>428</v>
      </c>
      <c r="DY114" s="319" t="s">
        <v>428</v>
      </c>
      <c r="DZ114" s="319" t="s">
        <v>428</v>
      </c>
      <c r="EA114" s="319" t="s">
        <v>428</v>
      </c>
      <c r="EB114" s="319" t="s">
        <v>428</v>
      </c>
      <c r="EC114" s="319" t="s">
        <v>428</v>
      </c>
      <c r="ED114" s="319" t="s">
        <v>428</v>
      </c>
      <c r="EE114" s="319" t="s">
        <v>428</v>
      </c>
      <c r="EF114" s="319" t="s">
        <v>428</v>
      </c>
      <c r="EG114" s="319" t="s">
        <v>428</v>
      </c>
      <c r="EH114" s="319" t="s">
        <v>428</v>
      </c>
      <c r="EI114" s="319" t="s">
        <v>428</v>
      </c>
      <c r="EJ114" s="319" t="s">
        <v>428</v>
      </c>
      <c r="EK114" s="319" t="s">
        <v>428</v>
      </c>
      <c r="EL114" s="319" t="s">
        <v>428</v>
      </c>
      <c r="EM114" s="319" t="s">
        <v>428</v>
      </c>
      <c r="EN114" s="319" t="s">
        <v>190</v>
      </c>
      <c r="EO114" s="319" t="s">
        <v>190</v>
      </c>
      <c r="EP114" s="319" t="s">
        <v>190</v>
      </c>
      <c r="EQ114" s="319" t="s">
        <v>190</v>
      </c>
      <c r="ER114" s="319" t="s">
        <v>190</v>
      </c>
      <c r="ES114" s="319" t="s">
        <v>190</v>
      </c>
      <c r="ET114" s="319" t="s">
        <v>190</v>
      </c>
      <c r="EU114" s="319" t="s">
        <v>190</v>
      </c>
      <c r="EV114" s="319" t="s">
        <v>190</v>
      </c>
      <c r="EW114" s="319" t="s">
        <v>190</v>
      </c>
      <c r="EX114" s="319" t="s">
        <v>190</v>
      </c>
      <c r="EY114" s="319" t="s">
        <v>190</v>
      </c>
      <c r="EZ114" s="319" t="s">
        <v>190</v>
      </c>
      <c r="FA114" s="319" t="s">
        <v>190</v>
      </c>
      <c r="FB114" s="319" t="s">
        <v>428</v>
      </c>
      <c r="FC114" s="319" t="s">
        <v>428</v>
      </c>
      <c r="FD114" s="319" t="s">
        <v>428</v>
      </c>
      <c r="FE114" s="319" t="s">
        <v>428</v>
      </c>
      <c r="FF114" s="319" t="s">
        <v>428</v>
      </c>
      <c r="FG114" s="319" t="s">
        <v>428</v>
      </c>
      <c r="FH114" s="319" t="s">
        <v>428</v>
      </c>
      <c r="FI114" s="319" t="s">
        <v>428</v>
      </c>
      <c r="FJ114" s="319" t="s">
        <v>429</v>
      </c>
      <c r="FK114" s="319" t="s">
        <v>428</v>
      </c>
      <c r="FL114" s="319" t="s">
        <v>190</v>
      </c>
      <c r="FM114" s="319" t="s">
        <v>190</v>
      </c>
      <c r="FN114" s="319" t="s">
        <v>190</v>
      </c>
      <c r="FO114" s="319" t="s">
        <v>190</v>
      </c>
      <c r="FP114" s="319" t="s">
        <v>190</v>
      </c>
      <c r="FQ114" s="319" t="s">
        <v>190</v>
      </c>
      <c r="FR114" s="319" t="s">
        <v>190</v>
      </c>
      <c r="FS114" s="319" t="s">
        <v>428</v>
      </c>
      <c r="FT114" s="319" t="s">
        <v>190</v>
      </c>
      <c r="FU114" s="319" t="s">
        <v>190</v>
      </c>
      <c r="FV114" s="319" t="s">
        <v>190</v>
      </c>
      <c r="FW114" s="319" t="s">
        <v>190</v>
      </c>
      <c r="FX114" s="319" t="s">
        <v>190</v>
      </c>
      <c r="FY114" s="319" t="s">
        <v>190</v>
      </c>
      <c r="FZ114" s="319" t="s">
        <v>190</v>
      </c>
      <c r="GA114" s="319" t="s">
        <v>190</v>
      </c>
      <c r="GB114" s="319" t="s">
        <v>190</v>
      </c>
      <c r="GC114" s="319" t="s">
        <v>190</v>
      </c>
      <c r="GD114" s="319" t="s">
        <v>190</v>
      </c>
      <c r="GE114" s="319" t="s">
        <v>190</v>
      </c>
      <c r="GF114" s="319" t="s">
        <v>190</v>
      </c>
      <c r="GG114" s="319" t="s">
        <v>190</v>
      </c>
      <c r="GH114" s="319" t="s">
        <v>190</v>
      </c>
      <c r="GI114" s="319" t="s">
        <v>190</v>
      </c>
      <c r="GJ114" s="319" t="s">
        <v>190</v>
      </c>
      <c r="GK114" s="319" t="s">
        <v>428</v>
      </c>
      <c r="GL114" s="319" t="s">
        <v>190</v>
      </c>
      <c r="GM114" s="319" t="s">
        <v>190</v>
      </c>
      <c r="GN114" s="319" t="s">
        <v>190</v>
      </c>
      <c r="GO114" s="319" t="s">
        <v>190</v>
      </c>
      <c r="GP114" s="319" t="s">
        <v>190</v>
      </c>
      <c r="GQ114" s="319" t="s">
        <v>428</v>
      </c>
      <c r="GR114" s="319" t="s">
        <v>190</v>
      </c>
      <c r="GS114" s="319" t="s">
        <v>190</v>
      </c>
      <c r="GT114" s="319" t="s">
        <v>428</v>
      </c>
      <c r="GU114" s="319" t="s">
        <v>428</v>
      </c>
      <c r="GV114" s="319" t="s">
        <v>428</v>
      </c>
      <c r="GW114" s="319" t="s">
        <v>190</v>
      </c>
      <c r="GX114" s="319" t="s">
        <v>190</v>
      </c>
      <c r="GY114" s="319" t="s">
        <v>190</v>
      </c>
      <c r="GZ114" s="319" t="s">
        <v>190</v>
      </c>
      <c r="HA114" s="319" t="s">
        <v>190</v>
      </c>
      <c r="HB114" s="319" t="s">
        <v>428</v>
      </c>
      <c r="HC114" s="319" t="s">
        <v>190</v>
      </c>
      <c r="HD114" s="319" t="s">
        <v>190</v>
      </c>
      <c r="HE114" s="319" t="s">
        <v>190</v>
      </c>
      <c r="HF114" s="319" t="s">
        <v>190</v>
      </c>
      <c r="HG114" s="319" t="s">
        <v>190</v>
      </c>
      <c r="HH114" s="319" t="s">
        <v>190</v>
      </c>
      <c r="HI114" s="319" t="s">
        <v>190</v>
      </c>
      <c r="HJ114" s="319" t="s">
        <v>190</v>
      </c>
      <c r="HK114" s="319" t="s">
        <v>190</v>
      </c>
      <c r="HL114" s="319" t="s">
        <v>428</v>
      </c>
      <c r="HM114" s="319" t="s">
        <v>428</v>
      </c>
      <c r="HN114" s="319" t="s">
        <v>428</v>
      </c>
      <c r="HO114" s="319" t="s">
        <v>428</v>
      </c>
      <c r="HP114" s="319" t="s">
        <v>190</v>
      </c>
      <c r="HQ114" s="319" t="s">
        <v>190</v>
      </c>
      <c r="HR114" s="319" t="s">
        <v>190</v>
      </c>
      <c r="HS114" s="319" t="s">
        <v>190</v>
      </c>
      <c r="HT114" s="319" t="s">
        <v>190</v>
      </c>
      <c r="HU114" s="319" t="s">
        <v>190</v>
      </c>
      <c r="HV114" s="319" t="s">
        <v>190</v>
      </c>
      <c r="HW114" s="319" t="s">
        <v>190</v>
      </c>
      <c r="HX114" s="319" t="s">
        <v>190</v>
      </c>
      <c r="HY114" s="319" t="s">
        <v>190</v>
      </c>
      <c r="HZ114" s="319" t="s">
        <v>190</v>
      </c>
      <c r="IA114" s="319" t="s">
        <v>190</v>
      </c>
      <c r="IB114" s="319" t="s">
        <v>190</v>
      </c>
      <c r="IC114" s="319" t="s">
        <v>190</v>
      </c>
      <c r="ID114" s="319" t="s">
        <v>190</v>
      </c>
      <c r="IE114" s="319" t="s">
        <v>191</v>
      </c>
      <c r="IF114" s="319" t="s">
        <v>190</v>
      </c>
      <c r="IG114" s="319" t="s">
        <v>190</v>
      </c>
      <c r="IH114" s="319" t="s">
        <v>190</v>
      </c>
      <c r="II114" s="319" t="s">
        <v>190</v>
      </c>
      <c r="IJ114" s="319">
        <v>10020785</v>
      </c>
      <c r="IK114" s="321">
        <v>42689</v>
      </c>
      <c r="IL114" s="321">
        <v>42691</v>
      </c>
      <c r="IM114" s="321">
        <v>42761</v>
      </c>
      <c r="IN114" s="319">
        <v>2</v>
      </c>
      <c r="IO114" s="319" t="s">
        <v>173</v>
      </c>
      <c r="IP114" s="319" t="s">
        <v>173</v>
      </c>
      <c r="IQ114" s="321" t="s">
        <v>173</v>
      </c>
      <c r="IR114" s="320" t="s">
        <v>173</v>
      </c>
      <c r="IS114" s="322" t="s">
        <v>173</v>
      </c>
      <c r="IT114" s="319" t="s">
        <v>173</v>
      </c>
    </row>
    <row r="115" spans="1:254" s="271" customFormat="1" x14ac:dyDescent="0.25">
      <c r="A115" s="318" t="str">
        <f>HYPERLINK("http://www.ofsted.gov.uk/inspection-reports/find-inspection-report/provider/ELS/108110 ","Ofsted School Webpage")</f>
        <v>Ofsted School Webpage</v>
      </c>
      <c r="B115" s="319">
        <v>108110</v>
      </c>
      <c r="C115" s="319">
        <v>3836099</v>
      </c>
      <c r="D115" s="319" t="s">
        <v>1357</v>
      </c>
      <c r="E115" s="319" t="s">
        <v>167</v>
      </c>
      <c r="F115" s="319" t="s">
        <v>81</v>
      </c>
      <c r="G115" s="319" t="s">
        <v>69</v>
      </c>
      <c r="H115" s="319" t="s">
        <v>69</v>
      </c>
      <c r="I115" s="319" t="s">
        <v>69</v>
      </c>
      <c r="J115" s="319" t="s">
        <v>424</v>
      </c>
      <c r="K115" s="319" t="s">
        <v>458</v>
      </c>
      <c r="L115" s="319" t="s">
        <v>459</v>
      </c>
      <c r="M115" s="319" t="s">
        <v>622</v>
      </c>
      <c r="N115" s="319" t="s">
        <v>2888</v>
      </c>
      <c r="O115" s="319" t="s">
        <v>1358</v>
      </c>
      <c r="P115" s="319">
        <v>35</v>
      </c>
      <c r="Q115" s="319" t="s">
        <v>2766</v>
      </c>
      <c r="R115" s="320">
        <v>10061237</v>
      </c>
      <c r="S115" s="321">
        <v>43494</v>
      </c>
      <c r="T115" s="321">
        <v>43496</v>
      </c>
      <c r="U115" s="321">
        <v>43633</v>
      </c>
      <c r="V115" s="319" t="s">
        <v>425</v>
      </c>
      <c r="W115" s="319" t="s">
        <v>2767</v>
      </c>
      <c r="X115" s="319">
        <v>4</v>
      </c>
      <c r="Y115" s="319" t="s">
        <v>173</v>
      </c>
      <c r="Z115" s="319" t="s">
        <v>173</v>
      </c>
      <c r="AA115" s="319" t="s">
        <v>173</v>
      </c>
      <c r="AB115" s="319">
        <v>4</v>
      </c>
      <c r="AC115" s="319" t="s">
        <v>170</v>
      </c>
      <c r="AD115" s="319">
        <v>4</v>
      </c>
      <c r="AE115" s="319" t="s">
        <v>173</v>
      </c>
      <c r="AF115" s="319" t="s">
        <v>427</v>
      </c>
      <c r="AG115" s="319" t="s">
        <v>172</v>
      </c>
      <c r="AH115" s="319" t="s">
        <v>479</v>
      </c>
      <c r="AI115" s="319" t="s">
        <v>479</v>
      </c>
      <c r="AJ115" s="319" t="s">
        <v>479</v>
      </c>
      <c r="AK115" s="319" t="s">
        <v>190</v>
      </c>
      <c r="AL115" s="319" t="s">
        <v>479</v>
      </c>
      <c r="AM115" s="319" t="s">
        <v>190</v>
      </c>
      <c r="AN115" s="319" t="s">
        <v>190</v>
      </c>
      <c r="AO115" s="319" t="s">
        <v>479</v>
      </c>
      <c r="AP115" s="319" t="s">
        <v>190</v>
      </c>
      <c r="AQ115" s="319" t="s">
        <v>190</v>
      </c>
      <c r="AR115" s="319" t="s">
        <v>190</v>
      </c>
      <c r="AS115" s="319" t="s">
        <v>190</v>
      </c>
      <c r="AT115" s="319" t="s">
        <v>190</v>
      </c>
      <c r="AU115" s="319" t="s">
        <v>191</v>
      </c>
      <c r="AV115" s="319" t="s">
        <v>190</v>
      </c>
      <c r="AW115" s="319" t="s">
        <v>190</v>
      </c>
      <c r="AX115" s="319" t="s">
        <v>190</v>
      </c>
      <c r="AY115" s="319" t="s">
        <v>191</v>
      </c>
      <c r="AZ115" s="319" t="s">
        <v>190</v>
      </c>
      <c r="BA115" s="319" t="s">
        <v>191</v>
      </c>
      <c r="BB115" s="319" t="s">
        <v>191</v>
      </c>
      <c r="BC115" s="319" t="s">
        <v>191</v>
      </c>
      <c r="BD115" s="319" t="s">
        <v>191</v>
      </c>
      <c r="BE115" s="319" t="s">
        <v>191</v>
      </c>
      <c r="BF115" s="319" t="s">
        <v>190</v>
      </c>
      <c r="BG115" s="319" t="s">
        <v>428</v>
      </c>
      <c r="BH115" s="319" t="s">
        <v>190</v>
      </c>
      <c r="BI115" s="319" t="s">
        <v>190</v>
      </c>
      <c r="BJ115" s="319" t="s">
        <v>191</v>
      </c>
      <c r="BK115" s="319" t="s">
        <v>190</v>
      </c>
      <c r="BL115" s="319" t="s">
        <v>190</v>
      </c>
      <c r="BM115" s="319" t="s">
        <v>191</v>
      </c>
      <c r="BN115" s="319" t="s">
        <v>191</v>
      </c>
      <c r="BO115" s="319" t="s">
        <v>191</v>
      </c>
      <c r="BP115" s="319" t="s">
        <v>190</v>
      </c>
      <c r="BQ115" s="319" t="s">
        <v>190</v>
      </c>
      <c r="BR115" s="319" t="s">
        <v>190</v>
      </c>
      <c r="BS115" s="319" t="s">
        <v>190</v>
      </c>
      <c r="BT115" s="319" t="s">
        <v>191</v>
      </c>
      <c r="BU115" s="319" t="s">
        <v>190</v>
      </c>
      <c r="BV115" s="319" t="s">
        <v>191</v>
      </c>
      <c r="BW115" s="319" t="s">
        <v>190</v>
      </c>
      <c r="BX115" s="319" t="s">
        <v>191</v>
      </c>
      <c r="BY115" s="319" t="s">
        <v>190</v>
      </c>
      <c r="BZ115" s="319" t="s">
        <v>190</v>
      </c>
      <c r="CA115" s="319" t="s">
        <v>190</v>
      </c>
      <c r="CB115" s="319" t="s">
        <v>191</v>
      </c>
      <c r="CC115" s="319" t="s">
        <v>190</v>
      </c>
      <c r="CD115" s="319" t="s">
        <v>191</v>
      </c>
      <c r="CE115" s="319" t="s">
        <v>190</v>
      </c>
      <c r="CF115" s="319" t="s">
        <v>190</v>
      </c>
      <c r="CG115" s="319" t="s">
        <v>190</v>
      </c>
      <c r="CH115" s="319" t="s">
        <v>190</v>
      </c>
      <c r="CI115" s="319" t="s">
        <v>190</v>
      </c>
      <c r="CJ115" s="319" t="s">
        <v>190</v>
      </c>
      <c r="CK115" s="319" t="s">
        <v>191</v>
      </c>
      <c r="CL115" s="319" t="s">
        <v>191</v>
      </c>
      <c r="CM115" s="319" t="s">
        <v>191</v>
      </c>
      <c r="CN115" s="319" t="s">
        <v>428</v>
      </c>
      <c r="CO115" s="319" t="s">
        <v>428</v>
      </c>
      <c r="CP115" s="319" t="s">
        <v>428</v>
      </c>
      <c r="CQ115" s="319" t="s">
        <v>190</v>
      </c>
      <c r="CR115" s="319" t="s">
        <v>190</v>
      </c>
      <c r="CS115" s="319" t="s">
        <v>190</v>
      </c>
      <c r="CT115" s="319" t="s">
        <v>190</v>
      </c>
      <c r="CU115" s="319" t="s">
        <v>190</v>
      </c>
      <c r="CV115" s="319" t="s">
        <v>190</v>
      </c>
      <c r="CW115" s="319" t="s">
        <v>190</v>
      </c>
      <c r="CX115" s="319" t="s">
        <v>190</v>
      </c>
      <c r="CY115" s="319" t="s">
        <v>190</v>
      </c>
      <c r="CZ115" s="319" t="s">
        <v>191</v>
      </c>
      <c r="DA115" s="319" t="s">
        <v>191</v>
      </c>
      <c r="DB115" s="319" t="s">
        <v>191</v>
      </c>
      <c r="DC115" s="319" t="s">
        <v>191</v>
      </c>
      <c r="DD115" s="319" t="s">
        <v>190</v>
      </c>
      <c r="DE115" s="319" t="s">
        <v>190</v>
      </c>
      <c r="DF115" s="319" t="s">
        <v>191</v>
      </c>
      <c r="DG115" s="319" t="s">
        <v>190</v>
      </c>
      <c r="DH115" s="319" t="s">
        <v>190</v>
      </c>
      <c r="DI115" s="319" t="s">
        <v>190</v>
      </c>
      <c r="DJ115" s="319" t="s">
        <v>190</v>
      </c>
      <c r="DK115" s="319" t="s">
        <v>190</v>
      </c>
      <c r="DL115" s="319" t="s">
        <v>190</v>
      </c>
      <c r="DM115" s="319" t="s">
        <v>190</v>
      </c>
      <c r="DN115" s="319" t="s">
        <v>190</v>
      </c>
      <c r="DO115" s="319" t="s">
        <v>190</v>
      </c>
      <c r="DP115" s="319" t="s">
        <v>428</v>
      </c>
      <c r="DQ115" s="319" t="s">
        <v>428</v>
      </c>
      <c r="DR115" s="319" t="s">
        <v>428</v>
      </c>
      <c r="DS115" s="319" t="s">
        <v>428</v>
      </c>
      <c r="DT115" s="319" t="s">
        <v>428</v>
      </c>
      <c r="DU115" s="319" t="s">
        <v>428</v>
      </c>
      <c r="DV115" s="319" t="s">
        <v>173</v>
      </c>
      <c r="DW115" s="319" t="s">
        <v>428</v>
      </c>
      <c r="DX115" s="319" t="s">
        <v>428</v>
      </c>
      <c r="DY115" s="319" t="s">
        <v>428</v>
      </c>
      <c r="DZ115" s="319" t="s">
        <v>428</v>
      </c>
      <c r="EA115" s="319" t="s">
        <v>428</v>
      </c>
      <c r="EB115" s="319" t="s">
        <v>428</v>
      </c>
      <c r="EC115" s="319" t="s">
        <v>428</v>
      </c>
      <c r="ED115" s="319" t="s">
        <v>428</v>
      </c>
      <c r="EE115" s="319" t="s">
        <v>190</v>
      </c>
      <c r="EF115" s="319" t="s">
        <v>190</v>
      </c>
      <c r="EG115" s="319" t="s">
        <v>190</v>
      </c>
      <c r="EH115" s="319" t="s">
        <v>190</v>
      </c>
      <c r="EI115" s="319" t="s">
        <v>190</v>
      </c>
      <c r="EJ115" s="319" t="s">
        <v>190</v>
      </c>
      <c r="EK115" s="319" t="s">
        <v>190</v>
      </c>
      <c r="EL115" s="319" t="s">
        <v>190</v>
      </c>
      <c r="EM115" s="319" t="s">
        <v>190</v>
      </c>
      <c r="EN115" s="319" t="s">
        <v>190</v>
      </c>
      <c r="EO115" s="319" t="s">
        <v>190</v>
      </c>
      <c r="EP115" s="319" t="s">
        <v>191</v>
      </c>
      <c r="EQ115" s="319" t="s">
        <v>191</v>
      </c>
      <c r="ER115" s="319" t="s">
        <v>190</v>
      </c>
      <c r="ES115" s="319" t="s">
        <v>190</v>
      </c>
      <c r="ET115" s="319" t="s">
        <v>191</v>
      </c>
      <c r="EU115" s="319" t="s">
        <v>190</v>
      </c>
      <c r="EV115" s="319" t="s">
        <v>190</v>
      </c>
      <c r="EW115" s="319" t="s">
        <v>190</v>
      </c>
      <c r="EX115" s="319" t="s">
        <v>190</v>
      </c>
      <c r="EY115" s="319" t="s">
        <v>190</v>
      </c>
      <c r="EZ115" s="319" t="s">
        <v>190</v>
      </c>
      <c r="FA115" s="319" t="s">
        <v>190</v>
      </c>
      <c r="FB115" s="319" t="s">
        <v>190</v>
      </c>
      <c r="FC115" s="319" t="s">
        <v>190</v>
      </c>
      <c r="FD115" s="319" t="s">
        <v>190</v>
      </c>
      <c r="FE115" s="319" t="s">
        <v>190</v>
      </c>
      <c r="FF115" s="319" t="s">
        <v>190</v>
      </c>
      <c r="FG115" s="319" t="s">
        <v>190</v>
      </c>
      <c r="FH115" s="319" t="s">
        <v>190</v>
      </c>
      <c r="FI115" s="319" t="s">
        <v>190</v>
      </c>
      <c r="FJ115" s="319" t="s">
        <v>190</v>
      </c>
      <c r="FK115" s="319" t="s">
        <v>190</v>
      </c>
      <c r="FL115" s="319" t="s">
        <v>190</v>
      </c>
      <c r="FM115" s="319" t="s">
        <v>190</v>
      </c>
      <c r="FN115" s="319" t="s">
        <v>190</v>
      </c>
      <c r="FO115" s="319" t="s">
        <v>190</v>
      </c>
      <c r="FP115" s="319" t="s">
        <v>191</v>
      </c>
      <c r="FQ115" s="319" t="s">
        <v>191</v>
      </c>
      <c r="FR115" s="319" t="s">
        <v>191</v>
      </c>
      <c r="FS115" s="319" t="s">
        <v>428</v>
      </c>
      <c r="FT115" s="319" t="s">
        <v>191</v>
      </c>
      <c r="FU115" s="319" t="s">
        <v>190</v>
      </c>
      <c r="FV115" s="319" t="s">
        <v>190</v>
      </c>
      <c r="FW115" s="319" t="s">
        <v>190</v>
      </c>
      <c r="FX115" s="319" t="s">
        <v>190</v>
      </c>
      <c r="FY115" s="319" t="s">
        <v>190</v>
      </c>
      <c r="FZ115" s="319" t="s">
        <v>190</v>
      </c>
      <c r="GA115" s="319" t="s">
        <v>190</v>
      </c>
      <c r="GB115" s="319" t="s">
        <v>190</v>
      </c>
      <c r="GC115" s="319" t="s">
        <v>190</v>
      </c>
      <c r="GD115" s="319" t="s">
        <v>190</v>
      </c>
      <c r="GE115" s="319" t="s">
        <v>190</v>
      </c>
      <c r="GF115" s="319" t="s">
        <v>190</v>
      </c>
      <c r="GG115" s="319" t="s">
        <v>190</v>
      </c>
      <c r="GH115" s="319" t="s">
        <v>190</v>
      </c>
      <c r="GI115" s="319" t="s">
        <v>190</v>
      </c>
      <c r="GJ115" s="319" t="s">
        <v>190</v>
      </c>
      <c r="GK115" s="319" t="s">
        <v>428</v>
      </c>
      <c r="GL115" s="319" t="s">
        <v>190</v>
      </c>
      <c r="GM115" s="319" t="s">
        <v>190</v>
      </c>
      <c r="GN115" s="319" t="s">
        <v>190</v>
      </c>
      <c r="GO115" s="319" t="s">
        <v>190</v>
      </c>
      <c r="GP115" s="319" t="s">
        <v>190</v>
      </c>
      <c r="GQ115" s="319" t="s">
        <v>428</v>
      </c>
      <c r="GR115" s="319" t="s">
        <v>190</v>
      </c>
      <c r="GS115" s="319" t="s">
        <v>190</v>
      </c>
      <c r="GT115" s="319" t="s">
        <v>428</v>
      </c>
      <c r="GU115" s="319" t="s">
        <v>190</v>
      </c>
      <c r="GV115" s="319" t="s">
        <v>190</v>
      </c>
      <c r="GW115" s="319" t="s">
        <v>190</v>
      </c>
      <c r="GX115" s="319" t="s">
        <v>190</v>
      </c>
      <c r="GY115" s="319" t="s">
        <v>190</v>
      </c>
      <c r="GZ115" s="319" t="s">
        <v>190</v>
      </c>
      <c r="HA115" s="319" t="s">
        <v>428</v>
      </c>
      <c r="HB115" s="319" t="s">
        <v>428</v>
      </c>
      <c r="HC115" s="319" t="s">
        <v>190</v>
      </c>
      <c r="HD115" s="319" t="s">
        <v>190</v>
      </c>
      <c r="HE115" s="319" t="s">
        <v>190</v>
      </c>
      <c r="HF115" s="319" t="s">
        <v>190</v>
      </c>
      <c r="HG115" s="319" t="s">
        <v>190</v>
      </c>
      <c r="HH115" s="319" t="s">
        <v>190</v>
      </c>
      <c r="HI115" s="319" t="s">
        <v>190</v>
      </c>
      <c r="HJ115" s="319" t="s">
        <v>190</v>
      </c>
      <c r="HK115" s="319" t="s">
        <v>190</v>
      </c>
      <c r="HL115" s="319" t="s">
        <v>190</v>
      </c>
      <c r="HM115" s="319" t="s">
        <v>428</v>
      </c>
      <c r="HN115" s="319" t="s">
        <v>428</v>
      </c>
      <c r="HO115" s="319" t="s">
        <v>428</v>
      </c>
      <c r="HP115" s="319" t="s">
        <v>190</v>
      </c>
      <c r="HQ115" s="319" t="s">
        <v>190</v>
      </c>
      <c r="HR115" s="319" t="s">
        <v>190</v>
      </c>
      <c r="HS115" s="319" t="s">
        <v>190</v>
      </c>
      <c r="HT115" s="319" t="s">
        <v>190</v>
      </c>
      <c r="HU115" s="319" t="s">
        <v>190</v>
      </c>
      <c r="HV115" s="319" t="s">
        <v>190</v>
      </c>
      <c r="HW115" s="319" t="s">
        <v>190</v>
      </c>
      <c r="HX115" s="319" t="s">
        <v>190</v>
      </c>
      <c r="HY115" s="319" t="s">
        <v>190</v>
      </c>
      <c r="HZ115" s="319" t="s">
        <v>190</v>
      </c>
      <c r="IA115" s="319" t="s">
        <v>190</v>
      </c>
      <c r="IB115" s="319" t="s">
        <v>190</v>
      </c>
      <c r="IC115" s="319" t="s">
        <v>190</v>
      </c>
      <c r="ID115" s="319" t="s">
        <v>190</v>
      </c>
      <c r="IE115" s="319" t="s">
        <v>190</v>
      </c>
      <c r="IF115" s="319" t="s">
        <v>191</v>
      </c>
      <c r="IG115" s="319" t="s">
        <v>191</v>
      </c>
      <c r="IH115" s="319" t="s">
        <v>191</v>
      </c>
      <c r="II115" s="319" t="s">
        <v>191</v>
      </c>
      <c r="IJ115" s="319">
        <v>10012883</v>
      </c>
      <c r="IK115" s="321">
        <v>42570</v>
      </c>
      <c r="IL115" s="321">
        <v>42572</v>
      </c>
      <c r="IM115" s="321">
        <v>42634</v>
      </c>
      <c r="IN115" s="319">
        <v>2</v>
      </c>
      <c r="IO115" s="319" t="s">
        <v>173</v>
      </c>
      <c r="IP115" s="319" t="s">
        <v>173</v>
      </c>
      <c r="IQ115" s="321" t="s">
        <v>173</v>
      </c>
      <c r="IR115" s="320" t="s">
        <v>173</v>
      </c>
      <c r="IS115" s="322" t="s">
        <v>173</v>
      </c>
      <c r="IT115" s="319" t="s">
        <v>173</v>
      </c>
    </row>
    <row r="116" spans="1:254" s="271" customFormat="1" x14ac:dyDescent="0.25">
      <c r="A116" s="318" t="str">
        <f>HYPERLINK("http://www.ofsted.gov.uk/inspection-reports/find-inspection-report/provider/ELS/108307 ","Ofsted School Webpage")</f>
        <v>Ofsted School Webpage</v>
      </c>
      <c r="B116" s="319">
        <v>108307</v>
      </c>
      <c r="C116" s="319">
        <v>3846116</v>
      </c>
      <c r="D116" s="319" t="s">
        <v>912</v>
      </c>
      <c r="E116" s="319" t="s">
        <v>167</v>
      </c>
      <c r="F116" s="319" t="s">
        <v>81</v>
      </c>
      <c r="G116" s="319" t="s">
        <v>62</v>
      </c>
      <c r="H116" s="319" t="s">
        <v>62</v>
      </c>
      <c r="I116" s="319" t="s">
        <v>59</v>
      </c>
      <c r="J116" s="319" t="s">
        <v>424</v>
      </c>
      <c r="K116" s="319" t="s">
        <v>458</v>
      </c>
      <c r="L116" s="319" t="s">
        <v>459</v>
      </c>
      <c r="M116" s="319" t="s">
        <v>460</v>
      </c>
      <c r="N116" s="319" t="s">
        <v>2889</v>
      </c>
      <c r="O116" s="319" t="s">
        <v>913</v>
      </c>
      <c r="P116" s="319">
        <v>184</v>
      </c>
      <c r="Q116" s="319" t="s">
        <v>2776</v>
      </c>
      <c r="R116" s="320">
        <v>10061239</v>
      </c>
      <c r="S116" s="321">
        <v>43501</v>
      </c>
      <c r="T116" s="321">
        <v>43503</v>
      </c>
      <c r="U116" s="321">
        <v>43531</v>
      </c>
      <c r="V116" s="319" t="s">
        <v>425</v>
      </c>
      <c r="W116" s="319" t="s">
        <v>2767</v>
      </c>
      <c r="X116" s="319">
        <v>2</v>
      </c>
      <c r="Y116" s="319" t="s">
        <v>173</v>
      </c>
      <c r="Z116" s="319" t="s">
        <v>173</v>
      </c>
      <c r="AA116" s="319" t="s">
        <v>173</v>
      </c>
      <c r="AB116" s="319">
        <v>2</v>
      </c>
      <c r="AC116" s="319" t="s">
        <v>169</v>
      </c>
      <c r="AD116" s="319">
        <v>2</v>
      </c>
      <c r="AE116" s="319" t="s">
        <v>173</v>
      </c>
      <c r="AF116" s="319" t="s">
        <v>427</v>
      </c>
      <c r="AG116" s="319" t="s">
        <v>171</v>
      </c>
      <c r="AH116" s="319" t="s">
        <v>190</v>
      </c>
      <c r="AI116" s="319" t="s">
        <v>190</v>
      </c>
      <c r="AJ116" s="319" t="s">
        <v>190</v>
      </c>
      <c r="AK116" s="319" t="s">
        <v>190</v>
      </c>
      <c r="AL116" s="319" t="s">
        <v>190</v>
      </c>
      <c r="AM116" s="319" t="s">
        <v>190</v>
      </c>
      <c r="AN116" s="319" t="s">
        <v>190</v>
      </c>
      <c r="AO116" s="319" t="s">
        <v>190</v>
      </c>
      <c r="AP116" s="319" t="s">
        <v>190</v>
      </c>
      <c r="AQ116" s="319" t="s">
        <v>190</v>
      </c>
      <c r="AR116" s="319" t="s">
        <v>190</v>
      </c>
      <c r="AS116" s="319" t="s">
        <v>190</v>
      </c>
      <c r="AT116" s="319" t="s">
        <v>190</v>
      </c>
      <c r="AU116" s="319" t="s">
        <v>190</v>
      </c>
      <c r="AV116" s="319" t="s">
        <v>190</v>
      </c>
      <c r="AW116" s="319" t="s">
        <v>190</v>
      </c>
      <c r="AX116" s="319" t="s">
        <v>428</v>
      </c>
      <c r="AY116" s="319" t="s">
        <v>190</v>
      </c>
      <c r="AZ116" s="319" t="s">
        <v>190</v>
      </c>
      <c r="BA116" s="319" t="s">
        <v>190</v>
      </c>
      <c r="BB116" s="319" t="s">
        <v>190</v>
      </c>
      <c r="BC116" s="319" t="s">
        <v>190</v>
      </c>
      <c r="BD116" s="319" t="s">
        <v>190</v>
      </c>
      <c r="BE116" s="319" t="s">
        <v>190</v>
      </c>
      <c r="BF116" s="319" t="s">
        <v>190</v>
      </c>
      <c r="BG116" s="319" t="s">
        <v>428</v>
      </c>
      <c r="BH116" s="319" t="s">
        <v>190</v>
      </c>
      <c r="BI116" s="319" t="s">
        <v>190</v>
      </c>
      <c r="BJ116" s="319" t="s">
        <v>190</v>
      </c>
      <c r="BK116" s="319" t="s">
        <v>190</v>
      </c>
      <c r="BL116" s="319" t="s">
        <v>190</v>
      </c>
      <c r="BM116" s="319" t="s">
        <v>190</v>
      </c>
      <c r="BN116" s="319" t="s">
        <v>190</v>
      </c>
      <c r="BO116" s="319" t="s">
        <v>190</v>
      </c>
      <c r="BP116" s="319" t="s">
        <v>190</v>
      </c>
      <c r="BQ116" s="319" t="s">
        <v>190</v>
      </c>
      <c r="BR116" s="319" t="s">
        <v>190</v>
      </c>
      <c r="BS116" s="319" t="s">
        <v>190</v>
      </c>
      <c r="BT116" s="319" t="s">
        <v>190</v>
      </c>
      <c r="BU116" s="319" t="s">
        <v>190</v>
      </c>
      <c r="BV116" s="319" t="s">
        <v>190</v>
      </c>
      <c r="BW116" s="319" t="s">
        <v>190</v>
      </c>
      <c r="BX116" s="319" t="s">
        <v>190</v>
      </c>
      <c r="BY116" s="319" t="s">
        <v>190</v>
      </c>
      <c r="BZ116" s="319" t="s">
        <v>190</v>
      </c>
      <c r="CA116" s="319" t="s">
        <v>190</v>
      </c>
      <c r="CB116" s="319" t="s">
        <v>190</v>
      </c>
      <c r="CC116" s="319" t="s">
        <v>190</v>
      </c>
      <c r="CD116" s="319" t="s">
        <v>190</v>
      </c>
      <c r="CE116" s="319" t="s">
        <v>190</v>
      </c>
      <c r="CF116" s="319" t="s">
        <v>190</v>
      </c>
      <c r="CG116" s="319" t="s">
        <v>190</v>
      </c>
      <c r="CH116" s="319" t="s">
        <v>190</v>
      </c>
      <c r="CI116" s="319" t="s">
        <v>190</v>
      </c>
      <c r="CJ116" s="319" t="s">
        <v>190</v>
      </c>
      <c r="CK116" s="319" t="s">
        <v>190</v>
      </c>
      <c r="CL116" s="319" t="s">
        <v>190</v>
      </c>
      <c r="CM116" s="319" t="s">
        <v>190</v>
      </c>
      <c r="CN116" s="319" t="s">
        <v>428</v>
      </c>
      <c r="CO116" s="319" t="s">
        <v>428</v>
      </c>
      <c r="CP116" s="319" t="s">
        <v>428</v>
      </c>
      <c r="CQ116" s="319" t="s">
        <v>190</v>
      </c>
      <c r="CR116" s="319" t="s">
        <v>190</v>
      </c>
      <c r="CS116" s="319" t="s">
        <v>190</v>
      </c>
      <c r="CT116" s="319" t="s">
        <v>190</v>
      </c>
      <c r="CU116" s="319" t="s">
        <v>190</v>
      </c>
      <c r="CV116" s="319" t="s">
        <v>190</v>
      </c>
      <c r="CW116" s="319" t="s">
        <v>190</v>
      </c>
      <c r="CX116" s="319" t="s">
        <v>190</v>
      </c>
      <c r="CY116" s="319" t="s">
        <v>190</v>
      </c>
      <c r="CZ116" s="319" t="s">
        <v>190</v>
      </c>
      <c r="DA116" s="319" t="s">
        <v>190</v>
      </c>
      <c r="DB116" s="319" t="s">
        <v>190</v>
      </c>
      <c r="DC116" s="319" t="s">
        <v>190</v>
      </c>
      <c r="DD116" s="319" t="s">
        <v>190</v>
      </c>
      <c r="DE116" s="319" t="s">
        <v>190</v>
      </c>
      <c r="DF116" s="319" t="s">
        <v>190</v>
      </c>
      <c r="DG116" s="319" t="s">
        <v>190</v>
      </c>
      <c r="DH116" s="319" t="s">
        <v>190</v>
      </c>
      <c r="DI116" s="319" t="s">
        <v>190</v>
      </c>
      <c r="DJ116" s="319" t="s">
        <v>190</v>
      </c>
      <c r="DK116" s="319" t="s">
        <v>190</v>
      </c>
      <c r="DL116" s="319" t="s">
        <v>190</v>
      </c>
      <c r="DM116" s="319" t="s">
        <v>190</v>
      </c>
      <c r="DN116" s="319" t="s">
        <v>428</v>
      </c>
      <c r="DO116" s="319" t="s">
        <v>190</v>
      </c>
      <c r="DP116" s="319" t="s">
        <v>428</v>
      </c>
      <c r="DQ116" s="319" t="s">
        <v>428</v>
      </c>
      <c r="DR116" s="319" t="s">
        <v>428</v>
      </c>
      <c r="DS116" s="319" t="s">
        <v>428</v>
      </c>
      <c r="DT116" s="319" t="s">
        <v>428</v>
      </c>
      <c r="DU116" s="319" t="s">
        <v>428</v>
      </c>
      <c r="DV116" s="319" t="s">
        <v>173</v>
      </c>
      <c r="DW116" s="319" t="s">
        <v>428</v>
      </c>
      <c r="DX116" s="319" t="s">
        <v>428</v>
      </c>
      <c r="DY116" s="319" t="s">
        <v>428</v>
      </c>
      <c r="DZ116" s="319" t="s">
        <v>428</v>
      </c>
      <c r="EA116" s="319" t="s">
        <v>428</v>
      </c>
      <c r="EB116" s="319" t="s">
        <v>428</v>
      </c>
      <c r="EC116" s="319" t="s">
        <v>428</v>
      </c>
      <c r="ED116" s="319" t="s">
        <v>428</v>
      </c>
      <c r="EE116" s="319" t="s">
        <v>190</v>
      </c>
      <c r="EF116" s="319" t="s">
        <v>190</v>
      </c>
      <c r="EG116" s="319" t="s">
        <v>190</v>
      </c>
      <c r="EH116" s="319" t="s">
        <v>190</v>
      </c>
      <c r="EI116" s="319" t="s">
        <v>190</v>
      </c>
      <c r="EJ116" s="319" t="s">
        <v>190</v>
      </c>
      <c r="EK116" s="319" t="s">
        <v>190</v>
      </c>
      <c r="EL116" s="319" t="s">
        <v>190</v>
      </c>
      <c r="EM116" s="319" t="s">
        <v>190</v>
      </c>
      <c r="EN116" s="319" t="s">
        <v>190</v>
      </c>
      <c r="EO116" s="319" t="s">
        <v>190</v>
      </c>
      <c r="EP116" s="319" t="s">
        <v>190</v>
      </c>
      <c r="EQ116" s="319" t="s">
        <v>190</v>
      </c>
      <c r="ER116" s="319" t="s">
        <v>190</v>
      </c>
      <c r="ES116" s="319" t="s">
        <v>190</v>
      </c>
      <c r="ET116" s="319" t="s">
        <v>190</v>
      </c>
      <c r="EU116" s="319" t="s">
        <v>190</v>
      </c>
      <c r="EV116" s="319" t="s">
        <v>190</v>
      </c>
      <c r="EW116" s="319" t="s">
        <v>190</v>
      </c>
      <c r="EX116" s="319" t="s">
        <v>190</v>
      </c>
      <c r="EY116" s="319" t="s">
        <v>190</v>
      </c>
      <c r="EZ116" s="319" t="s">
        <v>190</v>
      </c>
      <c r="FA116" s="319" t="s">
        <v>190</v>
      </c>
      <c r="FB116" s="319" t="s">
        <v>428</v>
      </c>
      <c r="FC116" s="319" t="s">
        <v>428</v>
      </c>
      <c r="FD116" s="319" t="s">
        <v>428</v>
      </c>
      <c r="FE116" s="319" t="s">
        <v>428</v>
      </c>
      <c r="FF116" s="319" t="s">
        <v>428</v>
      </c>
      <c r="FG116" s="319" t="s">
        <v>428</v>
      </c>
      <c r="FH116" s="319" t="s">
        <v>428</v>
      </c>
      <c r="FI116" s="319" t="s">
        <v>428</v>
      </c>
      <c r="FJ116" s="319" t="s">
        <v>429</v>
      </c>
      <c r="FK116" s="319" t="s">
        <v>428</v>
      </c>
      <c r="FL116" s="319" t="s">
        <v>190</v>
      </c>
      <c r="FM116" s="319" t="s">
        <v>190</v>
      </c>
      <c r="FN116" s="319" t="s">
        <v>190</v>
      </c>
      <c r="FO116" s="319" t="s">
        <v>190</v>
      </c>
      <c r="FP116" s="319" t="s">
        <v>190</v>
      </c>
      <c r="FQ116" s="319" t="s">
        <v>190</v>
      </c>
      <c r="FR116" s="319" t="s">
        <v>190</v>
      </c>
      <c r="FS116" s="319" t="s">
        <v>190</v>
      </c>
      <c r="FT116" s="319" t="s">
        <v>190</v>
      </c>
      <c r="FU116" s="319" t="s">
        <v>190</v>
      </c>
      <c r="FV116" s="319" t="s">
        <v>190</v>
      </c>
      <c r="FW116" s="319" t="s">
        <v>190</v>
      </c>
      <c r="FX116" s="319" t="s">
        <v>190</v>
      </c>
      <c r="FY116" s="319" t="s">
        <v>190</v>
      </c>
      <c r="FZ116" s="319" t="s">
        <v>190</v>
      </c>
      <c r="GA116" s="319" t="s">
        <v>190</v>
      </c>
      <c r="GB116" s="319" t="s">
        <v>190</v>
      </c>
      <c r="GC116" s="319" t="s">
        <v>190</v>
      </c>
      <c r="GD116" s="319" t="s">
        <v>190</v>
      </c>
      <c r="GE116" s="319" t="s">
        <v>190</v>
      </c>
      <c r="GF116" s="319" t="s">
        <v>190</v>
      </c>
      <c r="GG116" s="319" t="s">
        <v>190</v>
      </c>
      <c r="GH116" s="319" t="s">
        <v>190</v>
      </c>
      <c r="GI116" s="319" t="s">
        <v>190</v>
      </c>
      <c r="GJ116" s="319" t="s">
        <v>190</v>
      </c>
      <c r="GK116" s="319" t="s">
        <v>428</v>
      </c>
      <c r="GL116" s="319" t="s">
        <v>190</v>
      </c>
      <c r="GM116" s="319" t="s">
        <v>190</v>
      </c>
      <c r="GN116" s="319" t="s">
        <v>190</v>
      </c>
      <c r="GO116" s="319" t="s">
        <v>190</v>
      </c>
      <c r="GP116" s="319" t="s">
        <v>190</v>
      </c>
      <c r="GQ116" s="319" t="s">
        <v>190</v>
      </c>
      <c r="GR116" s="319" t="s">
        <v>190</v>
      </c>
      <c r="GS116" s="319" t="s">
        <v>190</v>
      </c>
      <c r="GT116" s="319" t="s">
        <v>428</v>
      </c>
      <c r="GU116" s="319" t="s">
        <v>428</v>
      </c>
      <c r="GV116" s="319" t="s">
        <v>190</v>
      </c>
      <c r="GW116" s="319" t="s">
        <v>190</v>
      </c>
      <c r="GX116" s="319" t="s">
        <v>190</v>
      </c>
      <c r="GY116" s="319" t="s">
        <v>190</v>
      </c>
      <c r="GZ116" s="319" t="s">
        <v>428</v>
      </c>
      <c r="HA116" s="319" t="s">
        <v>190</v>
      </c>
      <c r="HB116" s="319" t="s">
        <v>190</v>
      </c>
      <c r="HC116" s="319" t="s">
        <v>190</v>
      </c>
      <c r="HD116" s="319" t="s">
        <v>190</v>
      </c>
      <c r="HE116" s="319" t="s">
        <v>190</v>
      </c>
      <c r="HF116" s="319" t="s">
        <v>190</v>
      </c>
      <c r="HG116" s="319" t="s">
        <v>190</v>
      </c>
      <c r="HH116" s="319" t="s">
        <v>190</v>
      </c>
      <c r="HI116" s="319" t="s">
        <v>190</v>
      </c>
      <c r="HJ116" s="319" t="s">
        <v>190</v>
      </c>
      <c r="HK116" s="319" t="s">
        <v>190</v>
      </c>
      <c r="HL116" s="319" t="s">
        <v>428</v>
      </c>
      <c r="HM116" s="319" t="s">
        <v>428</v>
      </c>
      <c r="HN116" s="319" t="s">
        <v>428</v>
      </c>
      <c r="HO116" s="319" t="s">
        <v>428</v>
      </c>
      <c r="HP116" s="319" t="s">
        <v>190</v>
      </c>
      <c r="HQ116" s="319" t="s">
        <v>190</v>
      </c>
      <c r="HR116" s="319" t="s">
        <v>190</v>
      </c>
      <c r="HS116" s="319" t="s">
        <v>190</v>
      </c>
      <c r="HT116" s="319" t="s">
        <v>190</v>
      </c>
      <c r="HU116" s="319" t="s">
        <v>190</v>
      </c>
      <c r="HV116" s="319" t="s">
        <v>190</v>
      </c>
      <c r="HW116" s="319" t="s">
        <v>190</v>
      </c>
      <c r="HX116" s="319" t="s">
        <v>190</v>
      </c>
      <c r="HY116" s="319" t="s">
        <v>190</v>
      </c>
      <c r="HZ116" s="319" t="s">
        <v>190</v>
      </c>
      <c r="IA116" s="319" t="s">
        <v>190</v>
      </c>
      <c r="IB116" s="319" t="s">
        <v>190</v>
      </c>
      <c r="IC116" s="319" t="s">
        <v>190</v>
      </c>
      <c r="ID116" s="319" t="s">
        <v>190</v>
      </c>
      <c r="IE116" s="319" t="s">
        <v>190</v>
      </c>
      <c r="IF116" s="319" t="s">
        <v>190</v>
      </c>
      <c r="IG116" s="319" t="s">
        <v>190</v>
      </c>
      <c r="IH116" s="319" t="s">
        <v>190</v>
      </c>
      <c r="II116" s="319" t="s">
        <v>190</v>
      </c>
      <c r="IJ116" s="319">
        <v>10006062</v>
      </c>
      <c r="IK116" s="321">
        <v>42486</v>
      </c>
      <c r="IL116" s="321">
        <v>42488</v>
      </c>
      <c r="IM116" s="321">
        <v>42510</v>
      </c>
      <c r="IN116" s="319">
        <v>2</v>
      </c>
      <c r="IO116" s="319" t="s">
        <v>173</v>
      </c>
      <c r="IP116" s="319" t="s">
        <v>173</v>
      </c>
      <c r="IQ116" s="321" t="s">
        <v>173</v>
      </c>
      <c r="IR116" s="320" t="s">
        <v>173</v>
      </c>
      <c r="IS116" s="322" t="s">
        <v>173</v>
      </c>
      <c r="IT116" s="319" t="s">
        <v>173</v>
      </c>
    </row>
    <row r="117" spans="1:254" s="271" customFormat="1" x14ac:dyDescent="0.25">
      <c r="A117" s="318" t="str">
        <f>HYPERLINK("http://www.ofsted.gov.uk/inspection-reports/find-inspection-report/provider/ELS/108414 ","Ofsted School Webpage")</f>
        <v>Ofsted School Webpage</v>
      </c>
      <c r="B117" s="319">
        <v>108414</v>
      </c>
      <c r="C117" s="319">
        <v>3906002</v>
      </c>
      <c r="D117" s="319" t="s">
        <v>1359</v>
      </c>
      <c r="E117" s="319" t="s">
        <v>167</v>
      </c>
      <c r="F117" s="319" t="s">
        <v>81</v>
      </c>
      <c r="G117" s="319" t="s">
        <v>69</v>
      </c>
      <c r="H117" s="319" t="s">
        <v>69</v>
      </c>
      <c r="I117" s="319" t="s">
        <v>69</v>
      </c>
      <c r="J117" s="319" t="s">
        <v>424</v>
      </c>
      <c r="K117" s="319" t="s">
        <v>458</v>
      </c>
      <c r="L117" s="319" t="s">
        <v>474</v>
      </c>
      <c r="M117" s="319" t="s">
        <v>787</v>
      </c>
      <c r="N117" s="319" t="s">
        <v>787</v>
      </c>
      <c r="O117" s="319" t="s">
        <v>1360</v>
      </c>
      <c r="P117" s="319">
        <v>121</v>
      </c>
      <c r="Q117" s="319" t="s">
        <v>2766</v>
      </c>
      <c r="R117" s="320">
        <v>10046953</v>
      </c>
      <c r="S117" s="321">
        <v>43291</v>
      </c>
      <c r="T117" s="321">
        <v>43293</v>
      </c>
      <c r="U117" s="321">
        <v>43357</v>
      </c>
      <c r="V117" s="319" t="s">
        <v>425</v>
      </c>
      <c r="W117" s="319" t="s">
        <v>2767</v>
      </c>
      <c r="X117" s="319">
        <v>3</v>
      </c>
      <c r="Y117" s="319" t="s">
        <v>173</v>
      </c>
      <c r="Z117" s="319" t="s">
        <v>173</v>
      </c>
      <c r="AA117" s="319" t="s">
        <v>173</v>
      </c>
      <c r="AB117" s="319">
        <v>3</v>
      </c>
      <c r="AC117" s="319" t="s">
        <v>169</v>
      </c>
      <c r="AD117" s="319" t="s">
        <v>173</v>
      </c>
      <c r="AE117" s="319" t="s">
        <v>173</v>
      </c>
      <c r="AF117" s="319" t="s">
        <v>427</v>
      </c>
      <c r="AG117" s="319" t="s">
        <v>172</v>
      </c>
      <c r="AH117" s="319" t="s">
        <v>190</v>
      </c>
      <c r="AI117" s="319" t="s">
        <v>190</v>
      </c>
      <c r="AJ117" s="319" t="s">
        <v>479</v>
      </c>
      <c r="AK117" s="319" t="s">
        <v>190</v>
      </c>
      <c r="AL117" s="319" t="s">
        <v>190</v>
      </c>
      <c r="AM117" s="319" t="s">
        <v>190</v>
      </c>
      <c r="AN117" s="319" t="s">
        <v>190</v>
      </c>
      <c r="AO117" s="319" t="s">
        <v>479</v>
      </c>
      <c r="AP117" s="319" t="s">
        <v>190</v>
      </c>
      <c r="AQ117" s="319" t="s">
        <v>190</v>
      </c>
      <c r="AR117" s="319" t="s">
        <v>190</v>
      </c>
      <c r="AS117" s="319" t="s">
        <v>190</v>
      </c>
      <c r="AT117" s="319" t="s">
        <v>190</v>
      </c>
      <c r="AU117" s="319" t="s">
        <v>190</v>
      </c>
      <c r="AV117" s="319" t="s">
        <v>190</v>
      </c>
      <c r="AW117" s="319" t="s">
        <v>190</v>
      </c>
      <c r="AX117" s="319" t="s">
        <v>190</v>
      </c>
      <c r="AY117" s="319" t="s">
        <v>190</v>
      </c>
      <c r="AZ117" s="319" t="s">
        <v>190</v>
      </c>
      <c r="BA117" s="319" t="s">
        <v>190</v>
      </c>
      <c r="BB117" s="319" t="s">
        <v>190</v>
      </c>
      <c r="BC117" s="319" t="s">
        <v>190</v>
      </c>
      <c r="BD117" s="319" t="s">
        <v>190</v>
      </c>
      <c r="BE117" s="319" t="s">
        <v>190</v>
      </c>
      <c r="BF117" s="319" t="s">
        <v>190</v>
      </c>
      <c r="BG117" s="319" t="s">
        <v>190</v>
      </c>
      <c r="BH117" s="319" t="s">
        <v>190</v>
      </c>
      <c r="BI117" s="319" t="s">
        <v>190</v>
      </c>
      <c r="BJ117" s="319" t="s">
        <v>190</v>
      </c>
      <c r="BK117" s="319" t="s">
        <v>190</v>
      </c>
      <c r="BL117" s="319" t="s">
        <v>190</v>
      </c>
      <c r="BM117" s="319" t="s">
        <v>190</v>
      </c>
      <c r="BN117" s="319" t="s">
        <v>190</v>
      </c>
      <c r="BO117" s="319" t="s">
        <v>190</v>
      </c>
      <c r="BP117" s="319" t="s">
        <v>190</v>
      </c>
      <c r="BQ117" s="319" t="s">
        <v>190</v>
      </c>
      <c r="BR117" s="319" t="s">
        <v>190</v>
      </c>
      <c r="BS117" s="319" t="s">
        <v>190</v>
      </c>
      <c r="BT117" s="319" t="s">
        <v>190</v>
      </c>
      <c r="BU117" s="319" t="s">
        <v>190</v>
      </c>
      <c r="BV117" s="319" t="s">
        <v>190</v>
      </c>
      <c r="BW117" s="319" t="s">
        <v>190</v>
      </c>
      <c r="BX117" s="319" t="s">
        <v>190</v>
      </c>
      <c r="BY117" s="319" t="s">
        <v>190</v>
      </c>
      <c r="BZ117" s="319" t="s">
        <v>190</v>
      </c>
      <c r="CA117" s="319" t="s">
        <v>190</v>
      </c>
      <c r="CB117" s="319" t="s">
        <v>190</v>
      </c>
      <c r="CC117" s="319" t="s">
        <v>190</v>
      </c>
      <c r="CD117" s="319" t="s">
        <v>190</v>
      </c>
      <c r="CE117" s="319" t="s">
        <v>190</v>
      </c>
      <c r="CF117" s="319" t="s">
        <v>190</v>
      </c>
      <c r="CG117" s="319" t="s">
        <v>190</v>
      </c>
      <c r="CH117" s="319" t="s">
        <v>190</v>
      </c>
      <c r="CI117" s="319" t="s">
        <v>190</v>
      </c>
      <c r="CJ117" s="319" t="s">
        <v>190</v>
      </c>
      <c r="CK117" s="319" t="s">
        <v>190</v>
      </c>
      <c r="CL117" s="319" t="s">
        <v>190</v>
      </c>
      <c r="CM117" s="319" t="s">
        <v>190</v>
      </c>
      <c r="CN117" s="319" t="s">
        <v>190</v>
      </c>
      <c r="CO117" s="319" t="s">
        <v>190</v>
      </c>
      <c r="CP117" s="319" t="s">
        <v>428</v>
      </c>
      <c r="CQ117" s="319" t="s">
        <v>428</v>
      </c>
      <c r="CR117" s="319" t="s">
        <v>190</v>
      </c>
      <c r="CS117" s="319" t="s">
        <v>190</v>
      </c>
      <c r="CT117" s="319" t="s">
        <v>190</v>
      </c>
      <c r="CU117" s="319" t="s">
        <v>190</v>
      </c>
      <c r="CV117" s="319" t="s">
        <v>190</v>
      </c>
      <c r="CW117" s="319" t="s">
        <v>190</v>
      </c>
      <c r="CX117" s="319" t="s">
        <v>190</v>
      </c>
      <c r="CY117" s="319" t="s">
        <v>190</v>
      </c>
      <c r="CZ117" s="319" t="s">
        <v>190</v>
      </c>
      <c r="DA117" s="319" t="s">
        <v>191</v>
      </c>
      <c r="DB117" s="319" t="s">
        <v>190</v>
      </c>
      <c r="DC117" s="319" t="s">
        <v>191</v>
      </c>
      <c r="DD117" s="319" t="s">
        <v>190</v>
      </c>
      <c r="DE117" s="319" t="s">
        <v>190</v>
      </c>
      <c r="DF117" s="319" t="s">
        <v>190</v>
      </c>
      <c r="DG117" s="319" t="s">
        <v>190</v>
      </c>
      <c r="DH117" s="319" t="s">
        <v>190</v>
      </c>
      <c r="DI117" s="319" t="s">
        <v>190</v>
      </c>
      <c r="DJ117" s="319" t="s">
        <v>190</v>
      </c>
      <c r="DK117" s="319" t="s">
        <v>190</v>
      </c>
      <c r="DL117" s="319" t="s">
        <v>190</v>
      </c>
      <c r="DM117" s="319" t="s">
        <v>190</v>
      </c>
      <c r="DN117" s="319" t="s">
        <v>190</v>
      </c>
      <c r="DO117" s="319" t="s">
        <v>190</v>
      </c>
      <c r="DP117" s="319" t="s">
        <v>190</v>
      </c>
      <c r="DQ117" s="319" t="s">
        <v>190</v>
      </c>
      <c r="DR117" s="319" t="s">
        <v>190</v>
      </c>
      <c r="DS117" s="319" t="s">
        <v>190</v>
      </c>
      <c r="DT117" s="319" t="s">
        <v>190</v>
      </c>
      <c r="DU117" s="319" t="s">
        <v>190</v>
      </c>
      <c r="DV117" s="319" t="s">
        <v>173</v>
      </c>
      <c r="DW117" s="319" t="s">
        <v>190</v>
      </c>
      <c r="DX117" s="319" t="s">
        <v>190</v>
      </c>
      <c r="DY117" s="319" t="s">
        <v>190</v>
      </c>
      <c r="DZ117" s="319" t="s">
        <v>190</v>
      </c>
      <c r="EA117" s="319" t="s">
        <v>190</v>
      </c>
      <c r="EB117" s="319" t="s">
        <v>190</v>
      </c>
      <c r="EC117" s="319" t="s">
        <v>428</v>
      </c>
      <c r="ED117" s="319" t="s">
        <v>190</v>
      </c>
      <c r="EE117" s="319" t="s">
        <v>190</v>
      </c>
      <c r="EF117" s="319" t="s">
        <v>190</v>
      </c>
      <c r="EG117" s="319" t="s">
        <v>190</v>
      </c>
      <c r="EH117" s="319" t="s">
        <v>190</v>
      </c>
      <c r="EI117" s="319" t="s">
        <v>190</v>
      </c>
      <c r="EJ117" s="319" t="s">
        <v>190</v>
      </c>
      <c r="EK117" s="319" t="s">
        <v>190</v>
      </c>
      <c r="EL117" s="319" t="s">
        <v>190</v>
      </c>
      <c r="EM117" s="319" t="s">
        <v>190</v>
      </c>
      <c r="EN117" s="319" t="s">
        <v>190</v>
      </c>
      <c r="EO117" s="319" t="s">
        <v>190</v>
      </c>
      <c r="EP117" s="319" t="s">
        <v>190</v>
      </c>
      <c r="EQ117" s="319" t="s">
        <v>190</v>
      </c>
      <c r="ER117" s="319" t="s">
        <v>190</v>
      </c>
      <c r="ES117" s="319" t="s">
        <v>190</v>
      </c>
      <c r="ET117" s="319" t="s">
        <v>190</v>
      </c>
      <c r="EU117" s="319" t="s">
        <v>190</v>
      </c>
      <c r="EV117" s="319" t="s">
        <v>190</v>
      </c>
      <c r="EW117" s="319" t="s">
        <v>190</v>
      </c>
      <c r="EX117" s="319" t="s">
        <v>190</v>
      </c>
      <c r="EY117" s="319" t="s">
        <v>190</v>
      </c>
      <c r="EZ117" s="319" t="s">
        <v>190</v>
      </c>
      <c r="FA117" s="319" t="s">
        <v>190</v>
      </c>
      <c r="FB117" s="319" t="s">
        <v>190</v>
      </c>
      <c r="FC117" s="319" t="s">
        <v>190</v>
      </c>
      <c r="FD117" s="319" t="s">
        <v>190</v>
      </c>
      <c r="FE117" s="319" t="s">
        <v>190</v>
      </c>
      <c r="FF117" s="319" t="s">
        <v>190</v>
      </c>
      <c r="FG117" s="319" t="s">
        <v>190</v>
      </c>
      <c r="FH117" s="319" t="s">
        <v>190</v>
      </c>
      <c r="FI117" s="319" t="s">
        <v>428</v>
      </c>
      <c r="FJ117" s="319" t="s">
        <v>429</v>
      </c>
      <c r="FK117" s="319" t="s">
        <v>190</v>
      </c>
      <c r="FL117" s="319" t="s">
        <v>190</v>
      </c>
      <c r="FM117" s="319" t="s">
        <v>190</v>
      </c>
      <c r="FN117" s="319" t="s">
        <v>190</v>
      </c>
      <c r="FO117" s="319" t="s">
        <v>190</v>
      </c>
      <c r="FP117" s="319" t="s">
        <v>190</v>
      </c>
      <c r="FQ117" s="319" t="s">
        <v>190</v>
      </c>
      <c r="FR117" s="319" t="s">
        <v>190</v>
      </c>
      <c r="FS117" s="319" t="s">
        <v>190</v>
      </c>
      <c r="FT117" s="319" t="s">
        <v>190</v>
      </c>
      <c r="FU117" s="319" t="s">
        <v>190</v>
      </c>
      <c r="FV117" s="319" t="s">
        <v>190</v>
      </c>
      <c r="FW117" s="319" t="s">
        <v>190</v>
      </c>
      <c r="FX117" s="319" t="s">
        <v>190</v>
      </c>
      <c r="FY117" s="319" t="s">
        <v>190</v>
      </c>
      <c r="FZ117" s="319" t="s">
        <v>190</v>
      </c>
      <c r="GA117" s="319" t="s">
        <v>190</v>
      </c>
      <c r="GB117" s="319" t="s">
        <v>190</v>
      </c>
      <c r="GC117" s="319" t="s">
        <v>190</v>
      </c>
      <c r="GD117" s="319" t="s">
        <v>190</v>
      </c>
      <c r="GE117" s="319" t="s">
        <v>190</v>
      </c>
      <c r="GF117" s="319" t="s">
        <v>190</v>
      </c>
      <c r="GG117" s="319" t="s">
        <v>190</v>
      </c>
      <c r="GH117" s="319" t="s">
        <v>190</v>
      </c>
      <c r="GI117" s="319" t="s">
        <v>190</v>
      </c>
      <c r="GJ117" s="319" t="s">
        <v>190</v>
      </c>
      <c r="GK117" s="319" t="s">
        <v>428</v>
      </c>
      <c r="GL117" s="319" t="s">
        <v>190</v>
      </c>
      <c r="GM117" s="319" t="s">
        <v>190</v>
      </c>
      <c r="GN117" s="319" t="s">
        <v>190</v>
      </c>
      <c r="GO117" s="319" t="s">
        <v>190</v>
      </c>
      <c r="GP117" s="319" t="s">
        <v>190</v>
      </c>
      <c r="GQ117" s="319" t="s">
        <v>190</v>
      </c>
      <c r="GR117" s="319" t="s">
        <v>190</v>
      </c>
      <c r="GS117" s="319" t="s">
        <v>190</v>
      </c>
      <c r="GT117" s="319" t="s">
        <v>428</v>
      </c>
      <c r="GU117" s="319" t="s">
        <v>190</v>
      </c>
      <c r="GV117" s="319" t="s">
        <v>190</v>
      </c>
      <c r="GW117" s="319" t="s">
        <v>190</v>
      </c>
      <c r="GX117" s="319" t="s">
        <v>190</v>
      </c>
      <c r="GY117" s="319" t="s">
        <v>190</v>
      </c>
      <c r="GZ117" s="319" t="s">
        <v>190</v>
      </c>
      <c r="HA117" s="319" t="s">
        <v>428</v>
      </c>
      <c r="HB117" s="319" t="s">
        <v>190</v>
      </c>
      <c r="HC117" s="319" t="s">
        <v>190</v>
      </c>
      <c r="HD117" s="319" t="s">
        <v>190</v>
      </c>
      <c r="HE117" s="319" t="s">
        <v>190</v>
      </c>
      <c r="HF117" s="319" t="s">
        <v>190</v>
      </c>
      <c r="HG117" s="319" t="s">
        <v>190</v>
      </c>
      <c r="HH117" s="319" t="s">
        <v>190</v>
      </c>
      <c r="HI117" s="319" t="s">
        <v>190</v>
      </c>
      <c r="HJ117" s="319" t="s">
        <v>190</v>
      </c>
      <c r="HK117" s="319" t="s">
        <v>190</v>
      </c>
      <c r="HL117" s="319" t="s">
        <v>190</v>
      </c>
      <c r="HM117" s="319" t="s">
        <v>428</v>
      </c>
      <c r="HN117" s="319" t="s">
        <v>428</v>
      </c>
      <c r="HO117" s="319" t="s">
        <v>428</v>
      </c>
      <c r="HP117" s="319" t="s">
        <v>190</v>
      </c>
      <c r="HQ117" s="319" t="s">
        <v>190</v>
      </c>
      <c r="HR117" s="319" t="s">
        <v>190</v>
      </c>
      <c r="HS117" s="319" t="s">
        <v>190</v>
      </c>
      <c r="HT117" s="319" t="s">
        <v>190</v>
      </c>
      <c r="HU117" s="319" t="s">
        <v>190</v>
      </c>
      <c r="HV117" s="319" t="s">
        <v>190</v>
      </c>
      <c r="HW117" s="319" t="s">
        <v>190</v>
      </c>
      <c r="HX117" s="319" t="s">
        <v>190</v>
      </c>
      <c r="HY117" s="319" t="s">
        <v>190</v>
      </c>
      <c r="HZ117" s="319" t="s">
        <v>191</v>
      </c>
      <c r="IA117" s="319" t="s">
        <v>190</v>
      </c>
      <c r="IB117" s="319" t="s">
        <v>190</v>
      </c>
      <c r="IC117" s="319" t="s">
        <v>190</v>
      </c>
      <c r="ID117" s="319" t="s">
        <v>190</v>
      </c>
      <c r="IE117" s="319" t="s">
        <v>190</v>
      </c>
      <c r="IF117" s="319" t="s">
        <v>191</v>
      </c>
      <c r="IG117" s="319" t="s">
        <v>191</v>
      </c>
      <c r="IH117" s="319" t="s">
        <v>191</v>
      </c>
      <c r="II117" s="319" t="s">
        <v>191</v>
      </c>
      <c r="IJ117" s="319">
        <v>10008556</v>
      </c>
      <c r="IK117" s="321">
        <v>42556</v>
      </c>
      <c r="IL117" s="321">
        <v>42558</v>
      </c>
      <c r="IM117" s="321">
        <v>42639</v>
      </c>
      <c r="IN117" s="319">
        <v>4</v>
      </c>
      <c r="IO117" s="319" t="s">
        <v>173</v>
      </c>
      <c r="IP117" s="319" t="s">
        <v>173</v>
      </c>
      <c r="IQ117" s="319" t="s">
        <v>173</v>
      </c>
      <c r="IR117" s="320" t="s">
        <v>173</v>
      </c>
      <c r="IS117" s="320" t="s">
        <v>173</v>
      </c>
      <c r="IT117" s="319" t="s">
        <v>173</v>
      </c>
    </row>
    <row r="118" spans="1:254" s="271" customFormat="1" x14ac:dyDescent="0.25">
      <c r="A118" s="318" t="str">
        <f>HYPERLINK("http://www.ofsted.gov.uk/inspection-reports/find-inspection-report/provider/ELS/108416 ","Ofsted School Webpage")</f>
        <v>Ofsted School Webpage</v>
      </c>
      <c r="B118" s="319">
        <v>108416</v>
      </c>
      <c r="C118" s="319">
        <v>3906004</v>
      </c>
      <c r="D118" s="319" t="s">
        <v>1158</v>
      </c>
      <c r="E118" s="319" t="s">
        <v>167</v>
      </c>
      <c r="F118" s="319" t="s">
        <v>81</v>
      </c>
      <c r="G118" s="319" t="s">
        <v>81</v>
      </c>
      <c r="H118" s="319" t="s">
        <v>81</v>
      </c>
      <c r="I118" s="319" t="s">
        <v>78</v>
      </c>
      <c r="J118" s="319" t="s">
        <v>424</v>
      </c>
      <c r="K118" s="319" t="s">
        <v>458</v>
      </c>
      <c r="L118" s="319" t="s">
        <v>474</v>
      </c>
      <c r="M118" s="319" t="s">
        <v>787</v>
      </c>
      <c r="N118" s="319" t="s">
        <v>787</v>
      </c>
      <c r="O118" s="319" t="s">
        <v>1159</v>
      </c>
      <c r="P118" s="319">
        <v>560</v>
      </c>
      <c r="Q118" s="319" t="s">
        <v>2766</v>
      </c>
      <c r="R118" s="320">
        <v>10010417</v>
      </c>
      <c r="S118" s="321">
        <v>42430</v>
      </c>
      <c r="T118" s="321">
        <v>42432</v>
      </c>
      <c r="U118" s="321">
        <v>42466</v>
      </c>
      <c r="V118" s="319" t="s">
        <v>554</v>
      </c>
      <c r="W118" s="319" t="s">
        <v>2767</v>
      </c>
      <c r="X118" s="319">
        <v>2</v>
      </c>
      <c r="Y118" s="319" t="s">
        <v>173</v>
      </c>
      <c r="Z118" s="319" t="s">
        <v>173</v>
      </c>
      <c r="AA118" s="319" t="s">
        <v>173</v>
      </c>
      <c r="AB118" s="319">
        <v>2</v>
      </c>
      <c r="AC118" s="319" t="s">
        <v>169</v>
      </c>
      <c r="AD118" s="319" t="s">
        <v>173</v>
      </c>
      <c r="AE118" s="319" t="s">
        <v>173</v>
      </c>
      <c r="AF118" s="319" t="s">
        <v>173</v>
      </c>
      <c r="AG118" s="319" t="s">
        <v>171</v>
      </c>
      <c r="AH118" s="319" t="s">
        <v>190</v>
      </c>
      <c r="AI118" s="319" t="s">
        <v>190</v>
      </c>
      <c r="AJ118" s="319" t="s">
        <v>190</v>
      </c>
      <c r="AK118" s="319" t="s">
        <v>190</v>
      </c>
      <c r="AL118" s="319" t="s">
        <v>190</v>
      </c>
      <c r="AM118" s="319" t="s">
        <v>190</v>
      </c>
      <c r="AN118" s="319" t="s">
        <v>190</v>
      </c>
      <c r="AO118" s="319" t="s">
        <v>190</v>
      </c>
      <c r="AP118" s="319" t="s">
        <v>190</v>
      </c>
      <c r="AQ118" s="319" t="s">
        <v>190</v>
      </c>
      <c r="AR118" s="319" t="s">
        <v>173</v>
      </c>
      <c r="AS118" s="319" t="s">
        <v>190</v>
      </c>
      <c r="AT118" s="319" t="s">
        <v>190</v>
      </c>
      <c r="AU118" s="319" t="s">
        <v>173</v>
      </c>
      <c r="AV118" s="319" t="s">
        <v>190</v>
      </c>
      <c r="AW118" s="319" t="s">
        <v>190</v>
      </c>
      <c r="AX118" s="319" t="s">
        <v>429</v>
      </c>
      <c r="AY118" s="319" t="s">
        <v>190</v>
      </c>
      <c r="AZ118" s="319" t="s">
        <v>190</v>
      </c>
      <c r="BA118" s="319" t="s">
        <v>190</v>
      </c>
      <c r="BB118" s="319" t="s">
        <v>429</v>
      </c>
      <c r="BC118" s="319" t="s">
        <v>429</v>
      </c>
      <c r="BD118" s="319" t="s">
        <v>429</v>
      </c>
      <c r="BE118" s="319" t="s">
        <v>429</v>
      </c>
      <c r="BF118" s="319" t="s">
        <v>429</v>
      </c>
      <c r="BG118" s="319" t="s">
        <v>190</v>
      </c>
      <c r="BH118" s="319" t="s">
        <v>190</v>
      </c>
      <c r="BI118" s="319" t="s">
        <v>190</v>
      </c>
      <c r="BJ118" s="319" t="s">
        <v>190</v>
      </c>
      <c r="BK118" s="319" t="s">
        <v>190</v>
      </c>
      <c r="BL118" s="319" t="s">
        <v>190</v>
      </c>
      <c r="BM118" s="319" t="s">
        <v>190</v>
      </c>
      <c r="BN118" s="319" t="s">
        <v>190</v>
      </c>
      <c r="BO118" s="319" t="s">
        <v>190</v>
      </c>
      <c r="BP118" s="319" t="s">
        <v>190</v>
      </c>
      <c r="BQ118" s="319" t="s">
        <v>190</v>
      </c>
      <c r="BR118" s="319" t="s">
        <v>190</v>
      </c>
      <c r="BS118" s="319" t="s">
        <v>190</v>
      </c>
      <c r="BT118" s="319" t="s">
        <v>190</v>
      </c>
      <c r="BU118" s="319" t="s">
        <v>190</v>
      </c>
      <c r="BV118" s="319" t="s">
        <v>190</v>
      </c>
      <c r="BW118" s="319" t="s">
        <v>190</v>
      </c>
      <c r="BX118" s="319" t="s">
        <v>190</v>
      </c>
      <c r="BY118" s="319" t="s">
        <v>190</v>
      </c>
      <c r="BZ118" s="319" t="s">
        <v>190</v>
      </c>
      <c r="CA118" s="319" t="s">
        <v>190</v>
      </c>
      <c r="CB118" s="319" t="s">
        <v>190</v>
      </c>
      <c r="CC118" s="319" t="s">
        <v>190</v>
      </c>
      <c r="CD118" s="319" t="s">
        <v>190</v>
      </c>
      <c r="CE118" s="319" t="s">
        <v>190</v>
      </c>
      <c r="CF118" s="319" t="s">
        <v>190</v>
      </c>
      <c r="CG118" s="319" t="s">
        <v>190</v>
      </c>
      <c r="CH118" s="319" t="s">
        <v>190</v>
      </c>
      <c r="CI118" s="319" t="s">
        <v>190</v>
      </c>
      <c r="CJ118" s="319" t="s">
        <v>190</v>
      </c>
      <c r="CK118" s="319" t="s">
        <v>190</v>
      </c>
      <c r="CL118" s="319" t="s">
        <v>190</v>
      </c>
      <c r="CM118" s="319" t="s">
        <v>190</v>
      </c>
      <c r="CN118" s="319" t="s">
        <v>429</v>
      </c>
      <c r="CO118" s="319" t="s">
        <v>429</v>
      </c>
      <c r="CP118" s="319" t="s">
        <v>429</v>
      </c>
      <c r="CQ118" s="319" t="s">
        <v>190</v>
      </c>
      <c r="CR118" s="319" t="s">
        <v>190</v>
      </c>
      <c r="CS118" s="319" t="s">
        <v>190</v>
      </c>
      <c r="CT118" s="319" t="s">
        <v>190</v>
      </c>
      <c r="CU118" s="319" t="s">
        <v>190</v>
      </c>
      <c r="CV118" s="319" t="s">
        <v>190</v>
      </c>
      <c r="CW118" s="319" t="s">
        <v>190</v>
      </c>
      <c r="CX118" s="319" t="s">
        <v>190</v>
      </c>
      <c r="CY118" s="319" t="s">
        <v>190</v>
      </c>
      <c r="CZ118" s="319" t="s">
        <v>190</v>
      </c>
      <c r="DA118" s="319" t="s">
        <v>190</v>
      </c>
      <c r="DB118" s="319" t="s">
        <v>190</v>
      </c>
      <c r="DC118" s="319" t="s">
        <v>190</v>
      </c>
      <c r="DD118" s="319" t="s">
        <v>190</v>
      </c>
      <c r="DE118" s="319" t="s">
        <v>190</v>
      </c>
      <c r="DF118" s="319" t="s">
        <v>190</v>
      </c>
      <c r="DG118" s="319" t="s">
        <v>190</v>
      </c>
      <c r="DH118" s="319" t="s">
        <v>190</v>
      </c>
      <c r="DI118" s="319" t="s">
        <v>190</v>
      </c>
      <c r="DJ118" s="319" t="s">
        <v>190</v>
      </c>
      <c r="DK118" s="319" t="s">
        <v>190</v>
      </c>
      <c r="DL118" s="319" t="s">
        <v>190</v>
      </c>
      <c r="DM118" s="319" t="s">
        <v>190</v>
      </c>
      <c r="DN118" s="319" t="s">
        <v>190</v>
      </c>
      <c r="DO118" s="319" t="s">
        <v>190</v>
      </c>
      <c r="DP118" s="319" t="s">
        <v>429</v>
      </c>
      <c r="DQ118" s="319" t="s">
        <v>429</v>
      </c>
      <c r="DR118" s="319" t="s">
        <v>429</v>
      </c>
      <c r="DS118" s="319" t="s">
        <v>429</v>
      </c>
      <c r="DT118" s="319" t="s">
        <v>429</v>
      </c>
      <c r="DU118" s="319" t="s">
        <v>429</v>
      </c>
      <c r="DV118" s="319" t="s">
        <v>173</v>
      </c>
      <c r="DW118" s="319" t="s">
        <v>429</v>
      </c>
      <c r="DX118" s="319" t="s">
        <v>429</v>
      </c>
      <c r="DY118" s="319" t="s">
        <v>429</v>
      </c>
      <c r="DZ118" s="319" t="s">
        <v>429</v>
      </c>
      <c r="EA118" s="319" t="s">
        <v>429</v>
      </c>
      <c r="EB118" s="319" t="s">
        <v>429</v>
      </c>
      <c r="EC118" s="319" t="s">
        <v>429</v>
      </c>
      <c r="ED118" s="319" t="s">
        <v>429</v>
      </c>
      <c r="EE118" s="319" t="s">
        <v>190</v>
      </c>
      <c r="EF118" s="319" t="s">
        <v>173</v>
      </c>
      <c r="EG118" s="319" t="s">
        <v>190</v>
      </c>
      <c r="EH118" s="319" t="s">
        <v>190</v>
      </c>
      <c r="EI118" s="319" t="s">
        <v>190</v>
      </c>
      <c r="EJ118" s="319" t="s">
        <v>190</v>
      </c>
      <c r="EK118" s="319" t="s">
        <v>190</v>
      </c>
      <c r="EL118" s="319" t="s">
        <v>429</v>
      </c>
      <c r="EM118" s="319" t="s">
        <v>190</v>
      </c>
      <c r="EN118" s="319" t="s">
        <v>190</v>
      </c>
      <c r="EO118" s="319" t="s">
        <v>190</v>
      </c>
      <c r="EP118" s="319" t="s">
        <v>190</v>
      </c>
      <c r="EQ118" s="319" t="s">
        <v>190</v>
      </c>
      <c r="ER118" s="319" t="s">
        <v>190</v>
      </c>
      <c r="ES118" s="319" t="s">
        <v>190</v>
      </c>
      <c r="ET118" s="319" t="s">
        <v>190</v>
      </c>
      <c r="EU118" s="319" t="s">
        <v>190</v>
      </c>
      <c r="EV118" s="319" t="s">
        <v>190</v>
      </c>
      <c r="EW118" s="319" t="s">
        <v>190</v>
      </c>
      <c r="EX118" s="319" t="s">
        <v>190</v>
      </c>
      <c r="EY118" s="319" t="s">
        <v>190</v>
      </c>
      <c r="EZ118" s="319" t="s">
        <v>190</v>
      </c>
      <c r="FA118" s="319" t="s">
        <v>190</v>
      </c>
      <c r="FB118" s="319" t="s">
        <v>429</v>
      </c>
      <c r="FC118" s="319" t="s">
        <v>429</v>
      </c>
      <c r="FD118" s="319" t="s">
        <v>429</v>
      </c>
      <c r="FE118" s="319" t="s">
        <v>429</v>
      </c>
      <c r="FF118" s="319" t="s">
        <v>429</v>
      </c>
      <c r="FG118" s="319" t="s">
        <v>429</v>
      </c>
      <c r="FH118" s="319" t="s">
        <v>190</v>
      </c>
      <c r="FI118" s="319" t="s">
        <v>190</v>
      </c>
      <c r="FJ118" s="319" t="s">
        <v>190</v>
      </c>
      <c r="FK118" s="319" t="s">
        <v>190</v>
      </c>
      <c r="FL118" s="319" t="s">
        <v>190</v>
      </c>
      <c r="FM118" s="319" t="s">
        <v>190</v>
      </c>
      <c r="FN118" s="319" t="s">
        <v>190</v>
      </c>
      <c r="FO118" s="319" t="s">
        <v>190</v>
      </c>
      <c r="FP118" s="319" t="s">
        <v>190</v>
      </c>
      <c r="FQ118" s="319" t="s">
        <v>190</v>
      </c>
      <c r="FR118" s="319" t="s">
        <v>190</v>
      </c>
      <c r="FS118" s="319" t="s">
        <v>429</v>
      </c>
      <c r="FT118" s="319" t="s">
        <v>173</v>
      </c>
      <c r="FU118" s="319" t="s">
        <v>190</v>
      </c>
      <c r="FV118" s="319" t="s">
        <v>190</v>
      </c>
      <c r="FW118" s="319" t="s">
        <v>190</v>
      </c>
      <c r="FX118" s="319" t="s">
        <v>190</v>
      </c>
      <c r="FY118" s="319" t="s">
        <v>190</v>
      </c>
      <c r="FZ118" s="319" t="s">
        <v>190</v>
      </c>
      <c r="GA118" s="319" t="s">
        <v>190</v>
      </c>
      <c r="GB118" s="319" t="s">
        <v>190</v>
      </c>
      <c r="GC118" s="319" t="s">
        <v>190</v>
      </c>
      <c r="GD118" s="319" t="s">
        <v>190</v>
      </c>
      <c r="GE118" s="319" t="s">
        <v>173</v>
      </c>
      <c r="GF118" s="319" t="s">
        <v>173</v>
      </c>
      <c r="GG118" s="319" t="s">
        <v>173</v>
      </c>
      <c r="GH118" s="319" t="s">
        <v>190</v>
      </c>
      <c r="GI118" s="319" t="s">
        <v>190</v>
      </c>
      <c r="GJ118" s="319" t="s">
        <v>190</v>
      </c>
      <c r="GK118" s="319" t="s">
        <v>190</v>
      </c>
      <c r="GL118" s="319" t="s">
        <v>190</v>
      </c>
      <c r="GM118" s="319" t="s">
        <v>190</v>
      </c>
      <c r="GN118" s="319" t="s">
        <v>190</v>
      </c>
      <c r="GO118" s="319" t="s">
        <v>190</v>
      </c>
      <c r="GP118" s="319" t="s">
        <v>190</v>
      </c>
      <c r="GQ118" s="319" t="s">
        <v>190</v>
      </c>
      <c r="GR118" s="319" t="s">
        <v>190</v>
      </c>
      <c r="GS118" s="319" t="s">
        <v>190</v>
      </c>
      <c r="GT118" s="319" t="s">
        <v>190</v>
      </c>
      <c r="GU118" s="319" t="s">
        <v>190</v>
      </c>
      <c r="GV118" s="319" t="s">
        <v>190</v>
      </c>
      <c r="GW118" s="319" t="s">
        <v>173</v>
      </c>
      <c r="GX118" s="319" t="s">
        <v>173</v>
      </c>
      <c r="GY118" s="319" t="s">
        <v>173</v>
      </c>
      <c r="GZ118" s="319" t="s">
        <v>173</v>
      </c>
      <c r="HA118" s="319" t="s">
        <v>173</v>
      </c>
      <c r="HB118" s="319" t="s">
        <v>173</v>
      </c>
      <c r="HC118" s="319" t="s">
        <v>173</v>
      </c>
      <c r="HD118" s="319" t="s">
        <v>173</v>
      </c>
      <c r="HE118" s="319" t="s">
        <v>173</v>
      </c>
      <c r="HF118" s="319" t="s">
        <v>173</v>
      </c>
      <c r="HG118" s="319" t="s">
        <v>173</v>
      </c>
      <c r="HH118" s="319" t="s">
        <v>173</v>
      </c>
      <c r="HI118" s="319" t="s">
        <v>173</v>
      </c>
      <c r="HJ118" s="319" t="s">
        <v>173</v>
      </c>
      <c r="HK118" s="319" t="s">
        <v>173</v>
      </c>
      <c r="HL118" s="319" t="s">
        <v>173</v>
      </c>
      <c r="HM118" s="319" t="s">
        <v>173</v>
      </c>
      <c r="HN118" s="319" t="s">
        <v>173</v>
      </c>
      <c r="HO118" s="319" t="s">
        <v>173</v>
      </c>
      <c r="HP118" s="319" t="s">
        <v>190</v>
      </c>
      <c r="HQ118" s="319" t="s">
        <v>190</v>
      </c>
      <c r="HR118" s="319" t="s">
        <v>190</v>
      </c>
      <c r="HS118" s="319" t="s">
        <v>190</v>
      </c>
      <c r="HT118" s="319" t="s">
        <v>190</v>
      </c>
      <c r="HU118" s="319" t="s">
        <v>190</v>
      </c>
      <c r="HV118" s="319" t="s">
        <v>190</v>
      </c>
      <c r="HW118" s="319" t="s">
        <v>190</v>
      </c>
      <c r="HX118" s="319" t="s">
        <v>190</v>
      </c>
      <c r="HY118" s="319" t="s">
        <v>190</v>
      </c>
      <c r="HZ118" s="319" t="s">
        <v>190</v>
      </c>
      <c r="IA118" s="319" t="s">
        <v>190</v>
      </c>
      <c r="IB118" s="319" t="s">
        <v>190</v>
      </c>
      <c r="IC118" s="319" t="s">
        <v>190</v>
      </c>
      <c r="ID118" s="319" t="s">
        <v>190</v>
      </c>
      <c r="IE118" s="319" t="s">
        <v>190</v>
      </c>
      <c r="IF118" s="319" t="s">
        <v>190</v>
      </c>
      <c r="IG118" s="319" t="s">
        <v>190</v>
      </c>
      <c r="IH118" s="319" t="s">
        <v>190</v>
      </c>
      <c r="II118" s="319" t="s">
        <v>190</v>
      </c>
      <c r="IJ118" s="319" t="s">
        <v>2890</v>
      </c>
      <c r="IK118" s="321">
        <v>41337</v>
      </c>
      <c r="IL118" s="321">
        <v>41339</v>
      </c>
      <c r="IM118" s="321">
        <v>41361</v>
      </c>
      <c r="IN118" s="319">
        <v>2</v>
      </c>
      <c r="IO118" s="319" t="s">
        <v>173</v>
      </c>
      <c r="IP118" s="319" t="s">
        <v>173</v>
      </c>
      <c r="IQ118" s="319" t="s">
        <v>173</v>
      </c>
      <c r="IR118" s="320" t="s">
        <v>173</v>
      </c>
      <c r="IS118" s="320" t="s">
        <v>173</v>
      </c>
      <c r="IT118" s="319" t="s">
        <v>173</v>
      </c>
    </row>
    <row r="119" spans="1:254" s="271" customFormat="1" x14ac:dyDescent="0.25">
      <c r="A119" s="318" t="str">
        <f>HYPERLINK("http://www.ofsted.gov.uk/inspection-reports/find-inspection-report/provider/ELS/108419 ","Ofsted School Webpage")</f>
        <v>Ofsted School Webpage</v>
      </c>
      <c r="B119" s="319">
        <v>108419</v>
      </c>
      <c r="C119" s="319">
        <v>3906007</v>
      </c>
      <c r="D119" s="319" t="s">
        <v>786</v>
      </c>
      <c r="E119" s="319" t="s">
        <v>167</v>
      </c>
      <c r="F119" s="319" t="s">
        <v>81</v>
      </c>
      <c r="G119" s="319" t="s">
        <v>69</v>
      </c>
      <c r="H119" s="319" t="s">
        <v>69</v>
      </c>
      <c r="I119" s="319" t="s">
        <v>69</v>
      </c>
      <c r="J119" s="319" t="s">
        <v>424</v>
      </c>
      <c r="K119" s="319" t="s">
        <v>458</v>
      </c>
      <c r="L119" s="319" t="s">
        <v>474</v>
      </c>
      <c r="M119" s="319" t="s">
        <v>787</v>
      </c>
      <c r="N119" s="319" t="s">
        <v>787</v>
      </c>
      <c r="O119" s="319" t="s">
        <v>788</v>
      </c>
      <c r="P119" s="319">
        <v>281</v>
      </c>
      <c r="Q119" s="319" t="s">
        <v>2766</v>
      </c>
      <c r="R119" s="320">
        <v>10039497</v>
      </c>
      <c r="S119" s="321">
        <v>43445</v>
      </c>
      <c r="T119" s="321">
        <v>43447</v>
      </c>
      <c r="U119" s="321">
        <v>43531</v>
      </c>
      <c r="V119" s="319" t="s">
        <v>425</v>
      </c>
      <c r="W119" s="319" t="s">
        <v>2767</v>
      </c>
      <c r="X119" s="319">
        <v>4</v>
      </c>
      <c r="Y119" s="319" t="s">
        <v>173</v>
      </c>
      <c r="Z119" s="319" t="s">
        <v>173</v>
      </c>
      <c r="AA119" s="319" t="s">
        <v>173</v>
      </c>
      <c r="AB119" s="319">
        <v>4</v>
      </c>
      <c r="AC119" s="319" t="s">
        <v>169</v>
      </c>
      <c r="AD119" s="319" t="s">
        <v>173</v>
      </c>
      <c r="AE119" s="319" t="s">
        <v>173</v>
      </c>
      <c r="AF119" s="319" t="s">
        <v>427</v>
      </c>
      <c r="AG119" s="319" t="s">
        <v>172</v>
      </c>
      <c r="AH119" s="319" t="s">
        <v>479</v>
      </c>
      <c r="AI119" s="319" t="s">
        <v>190</v>
      </c>
      <c r="AJ119" s="319" t="s">
        <v>190</v>
      </c>
      <c r="AK119" s="319" t="s">
        <v>190</v>
      </c>
      <c r="AL119" s="319" t="s">
        <v>190</v>
      </c>
      <c r="AM119" s="319" t="s">
        <v>190</v>
      </c>
      <c r="AN119" s="319" t="s">
        <v>190</v>
      </c>
      <c r="AO119" s="319" t="s">
        <v>479</v>
      </c>
      <c r="AP119" s="319" t="s">
        <v>190</v>
      </c>
      <c r="AQ119" s="319" t="s">
        <v>190</v>
      </c>
      <c r="AR119" s="319" t="s">
        <v>190</v>
      </c>
      <c r="AS119" s="319" t="s">
        <v>190</v>
      </c>
      <c r="AT119" s="319" t="s">
        <v>190</v>
      </c>
      <c r="AU119" s="319" t="s">
        <v>190</v>
      </c>
      <c r="AV119" s="319" t="s">
        <v>190</v>
      </c>
      <c r="AW119" s="319" t="s">
        <v>190</v>
      </c>
      <c r="AX119" s="319" t="s">
        <v>428</v>
      </c>
      <c r="AY119" s="319" t="s">
        <v>190</v>
      </c>
      <c r="AZ119" s="319" t="s">
        <v>190</v>
      </c>
      <c r="BA119" s="319" t="s">
        <v>190</v>
      </c>
      <c r="BB119" s="319" t="s">
        <v>428</v>
      </c>
      <c r="BC119" s="319" t="s">
        <v>428</v>
      </c>
      <c r="BD119" s="319" t="s">
        <v>428</v>
      </c>
      <c r="BE119" s="319" t="s">
        <v>428</v>
      </c>
      <c r="BF119" s="319" t="s">
        <v>190</v>
      </c>
      <c r="BG119" s="319" t="s">
        <v>428</v>
      </c>
      <c r="BH119" s="319" t="s">
        <v>190</v>
      </c>
      <c r="BI119" s="319" t="s">
        <v>190</v>
      </c>
      <c r="BJ119" s="319" t="s">
        <v>191</v>
      </c>
      <c r="BK119" s="319" t="s">
        <v>191</v>
      </c>
      <c r="BL119" s="319" t="s">
        <v>190</v>
      </c>
      <c r="BM119" s="319" t="s">
        <v>190</v>
      </c>
      <c r="BN119" s="319" t="s">
        <v>190</v>
      </c>
      <c r="BO119" s="319" t="s">
        <v>190</v>
      </c>
      <c r="BP119" s="319" t="s">
        <v>190</v>
      </c>
      <c r="BQ119" s="319" t="s">
        <v>190</v>
      </c>
      <c r="BR119" s="319" t="s">
        <v>190</v>
      </c>
      <c r="BS119" s="319" t="s">
        <v>190</v>
      </c>
      <c r="BT119" s="319" t="s">
        <v>191</v>
      </c>
      <c r="BU119" s="319" t="s">
        <v>190</v>
      </c>
      <c r="BV119" s="319" t="s">
        <v>190</v>
      </c>
      <c r="BW119" s="319" t="s">
        <v>190</v>
      </c>
      <c r="BX119" s="319" t="s">
        <v>190</v>
      </c>
      <c r="BY119" s="319" t="s">
        <v>190</v>
      </c>
      <c r="BZ119" s="319" t="s">
        <v>190</v>
      </c>
      <c r="CA119" s="319" t="s">
        <v>190</v>
      </c>
      <c r="CB119" s="319" t="s">
        <v>190</v>
      </c>
      <c r="CC119" s="319" t="s">
        <v>190</v>
      </c>
      <c r="CD119" s="319" t="s">
        <v>190</v>
      </c>
      <c r="CE119" s="319" t="s">
        <v>190</v>
      </c>
      <c r="CF119" s="319" t="s">
        <v>190</v>
      </c>
      <c r="CG119" s="319" t="s">
        <v>190</v>
      </c>
      <c r="CH119" s="319" t="s">
        <v>190</v>
      </c>
      <c r="CI119" s="319" t="s">
        <v>190</v>
      </c>
      <c r="CJ119" s="319" t="s">
        <v>190</v>
      </c>
      <c r="CK119" s="319" t="s">
        <v>190</v>
      </c>
      <c r="CL119" s="319" t="s">
        <v>190</v>
      </c>
      <c r="CM119" s="319" t="s">
        <v>190</v>
      </c>
      <c r="CN119" s="319" t="s">
        <v>428</v>
      </c>
      <c r="CO119" s="319" t="s">
        <v>428</v>
      </c>
      <c r="CP119" s="319" t="s">
        <v>428</v>
      </c>
      <c r="CQ119" s="319" t="s">
        <v>190</v>
      </c>
      <c r="CR119" s="319" t="s">
        <v>190</v>
      </c>
      <c r="CS119" s="319" t="s">
        <v>190</v>
      </c>
      <c r="CT119" s="319" t="s">
        <v>190</v>
      </c>
      <c r="CU119" s="319" t="s">
        <v>190</v>
      </c>
      <c r="CV119" s="319" t="s">
        <v>190</v>
      </c>
      <c r="CW119" s="319" t="s">
        <v>190</v>
      </c>
      <c r="CX119" s="319" t="s">
        <v>190</v>
      </c>
      <c r="CY119" s="319" t="s">
        <v>190</v>
      </c>
      <c r="CZ119" s="319" t="s">
        <v>190</v>
      </c>
      <c r="DA119" s="319" t="s">
        <v>190</v>
      </c>
      <c r="DB119" s="319" t="s">
        <v>190</v>
      </c>
      <c r="DC119" s="319" t="s">
        <v>190</v>
      </c>
      <c r="DD119" s="319" t="s">
        <v>190</v>
      </c>
      <c r="DE119" s="319" t="s">
        <v>190</v>
      </c>
      <c r="DF119" s="319" t="s">
        <v>190</v>
      </c>
      <c r="DG119" s="319" t="s">
        <v>190</v>
      </c>
      <c r="DH119" s="319" t="s">
        <v>190</v>
      </c>
      <c r="DI119" s="319" t="s">
        <v>190</v>
      </c>
      <c r="DJ119" s="319" t="s">
        <v>190</v>
      </c>
      <c r="DK119" s="319" t="s">
        <v>190</v>
      </c>
      <c r="DL119" s="319" t="s">
        <v>190</v>
      </c>
      <c r="DM119" s="319" t="s">
        <v>190</v>
      </c>
      <c r="DN119" s="319" t="s">
        <v>428</v>
      </c>
      <c r="DO119" s="319" t="s">
        <v>190</v>
      </c>
      <c r="DP119" s="319" t="s">
        <v>428</v>
      </c>
      <c r="DQ119" s="319" t="s">
        <v>428</v>
      </c>
      <c r="DR119" s="319" t="s">
        <v>428</v>
      </c>
      <c r="DS119" s="319" t="s">
        <v>428</v>
      </c>
      <c r="DT119" s="319" t="s">
        <v>428</v>
      </c>
      <c r="DU119" s="319" t="s">
        <v>428</v>
      </c>
      <c r="DV119" s="319" t="s">
        <v>173</v>
      </c>
      <c r="DW119" s="319" t="s">
        <v>428</v>
      </c>
      <c r="DX119" s="319" t="s">
        <v>428</v>
      </c>
      <c r="DY119" s="319" t="s">
        <v>428</v>
      </c>
      <c r="DZ119" s="319" t="s">
        <v>428</v>
      </c>
      <c r="EA119" s="319" t="s">
        <v>428</v>
      </c>
      <c r="EB119" s="319" t="s">
        <v>428</v>
      </c>
      <c r="EC119" s="319" t="s">
        <v>428</v>
      </c>
      <c r="ED119" s="319" t="s">
        <v>190</v>
      </c>
      <c r="EE119" s="319" t="s">
        <v>190</v>
      </c>
      <c r="EF119" s="319" t="s">
        <v>190</v>
      </c>
      <c r="EG119" s="319" t="s">
        <v>190</v>
      </c>
      <c r="EH119" s="319" t="s">
        <v>190</v>
      </c>
      <c r="EI119" s="319" t="s">
        <v>190</v>
      </c>
      <c r="EJ119" s="319" t="s">
        <v>190</v>
      </c>
      <c r="EK119" s="319" t="s">
        <v>190</v>
      </c>
      <c r="EL119" s="319" t="s">
        <v>190</v>
      </c>
      <c r="EM119" s="319" t="s">
        <v>190</v>
      </c>
      <c r="EN119" s="319" t="s">
        <v>190</v>
      </c>
      <c r="EO119" s="319" t="s">
        <v>190</v>
      </c>
      <c r="EP119" s="319" t="s">
        <v>190</v>
      </c>
      <c r="EQ119" s="319" t="s">
        <v>190</v>
      </c>
      <c r="ER119" s="319" t="s">
        <v>190</v>
      </c>
      <c r="ES119" s="319" t="s">
        <v>190</v>
      </c>
      <c r="ET119" s="319" t="s">
        <v>190</v>
      </c>
      <c r="EU119" s="319" t="s">
        <v>190</v>
      </c>
      <c r="EV119" s="319" t="s">
        <v>190</v>
      </c>
      <c r="EW119" s="319" t="s">
        <v>190</v>
      </c>
      <c r="EX119" s="319" t="s">
        <v>190</v>
      </c>
      <c r="EY119" s="319" t="s">
        <v>190</v>
      </c>
      <c r="EZ119" s="319" t="s">
        <v>190</v>
      </c>
      <c r="FA119" s="319" t="s">
        <v>190</v>
      </c>
      <c r="FB119" s="319" t="s">
        <v>428</v>
      </c>
      <c r="FC119" s="319" t="s">
        <v>428</v>
      </c>
      <c r="FD119" s="319" t="s">
        <v>428</v>
      </c>
      <c r="FE119" s="319" t="s">
        <v>428</v>
      </c>
      <c r="FF119" s="319" t="s">
        <v>428</v>
      </c>
      <c r="FG119" s="319" t="s">
        <v>428</v>
      </c>
      <c r="FH119" s="319" t="s">
        <v>190</v>
      </c>
      <c r="FI119" s="319" t="s">
        <v>190</v>
      </c>
      <c r="FJ119" s="319" t="s">
        <v>190</v>
      </c>
      <c r="FK119" s="319" t="s">
        <v>190</v>
      </c>
      <c r="FL119" s="319" t="s">
        <v>190</v>
      </c>
      <c r="FM119" s="319" t="s">
        <v>190</v>
      </c>
      <c r="FN119" s="319" t="s">
        <v>428</v>
      </c>
      <c r="FO119" s="319" t="s">
        <v>428</v>
      </c>
      <c r="FP119" s="319" t="s">
        <v>190</v>
      </c>
      <c r="FQ119" s="319" t="s">
        <v>190</v>
      </c>
      <c r="FR119" s="319" t="s">
        <v>190</v>
      </c>
      <c r="FS119" s="319" t="s">
        <v>428</v>
      </c>
      <c r="FT119" s="319" t="s">
        <v>190</v>
      </c>
      <c r="FU119" s="319" t="s">
        <v>190</v>
      </c>
      <c r="FV119" s="319" t="s">
        <v>190</v>
      </c>
      <c r="FW119" s="319" t="s">
        <v>190</v>
      </c>
      <c r="FX119" s="319" t="s">
        <v>190</v>
      </c>
      <c r="FY119" s="319" t="s">
        <v>190</v>
      </c>
      <c r="FZ119" s="319" t="s">
        <v>190</v>
      </c>
      <c r="GA119" s="319" t="s">
        <v>190</v>
      </c>
      <c r="GB119" s="319" t="s">
        <v>190</v>
      </c>
      <c r="GC119" s="319" t="s">
        <v>190</v>
      </c>
      <c r="GD119" s="319" t="s">
        <v>190</v>
      </c>
      <c r="GE119" s="319" t="s">
        <v>190</v>
      </c>
      <c r="GF119" s="319" t="s">
        <v>190</v>
      </c>
      <c r="GG119" s="319" t="s">
        <v>190</v>
      </c>
      <c r="GH119" s="319" t="s">
        <v>190</v>
      </c>
      <c r="GI119" s="319" t="s">
        <v>190</v>
      </c>
      <c r="GJ119" s="319" t="s">
        <v>190</v>
      </c>
      <c r="GK119" s="319" t="s">
        <v>428</v>
      </c>
      <c r="GL119" s="319" t="s">
        <v>190</v>
      </c>
      <c r="GM119" s="319" t="s">
        <v>190</v>
      </c>
      <c r="GN119" s="319" t="s">
        <v>190</v>
      </c>
      <c r="GO119" s="319" t="s">
        <v>190</v>
      </c>
      <c r="GP119" s="319" t="s">
        <v>190</v>
      </c>
      <c r="GQ119" s="319" t="s">
        <v>190</v>
      </c>
      <c r="GR119" s="319" t="s">
        <v>190</v>
      </c>
      <c r="GS119" s="319" t="s">
        <v>190</v>
      </c>
      <c r="GT119" s="319" t="s">
        <v>428</v>
      </c>
      <c r="GU119" s="319" t="s">
        <v>428</v>
      </c>
      <c r="GV119" s="319" t="s">
        <v>190</v>
      </c>
      <c r="GW119" s="319" t="s">
        <v>190</v>
      </c>
      <c r="GX119" s="319" t="s">
        <v>190</v>
      </c>
      <c r="GY119" s="319" t="s">
        <v>190</v>
      </c>
      <c r="GZ119" s="319" t="s">
        <v>190</v>
      </c>
      <c r="HA119" s="319" t="s">
        <v>428</v>
      </c>
      <c r="HB119" s="319" t="s">
        <v>190</v>
      </c>
      <c r="HC119" s="319" t="s">
        <v>190</v>
      </c>
      <c r="HD119" s="319" t="s">
        <v>190</v>
      </c>
      <c r="HE119" s="319" t="s">
        <v>190</v>
      </c>
      <c r="HF119" s="319" t="s">
        <v>190</v>
      </c>
      <c r="HG119" s="319" t="s">
        <v>190</v>
      </c>
      <c r="HH119" s="319" t="s">
        <v>190</v>
      </c>
      <c r="HI119" s="319" t="s">
        <v>190</v>
      </c>
      <c r="HJ119" s="319" t="s">
        <v>190</v>
      </c>
      <c r="HK119" s="319" t="s">
        <v>190</v>
      </c>
      <c r="HL119" s="319" t="s">
        <v>428</v>
      </c>
      <c r="HM119" s="319" t="s">
        <v>428</v>
      </c>
      <c r="HN119" s="319" t="s">
        <v>428</v>
      </c>
      <c r="HO119" s="319" t="s">
        <v>428</v>
      </c>
      <c r="HP119" s="319" t="s">
        <v>190</v>
      </c>
      <c r="HQ119" s="319" t="s">
        <v>190</v>
      </c>
      <c r="HR119" s="319" t="s">
        <v>190</v>
      </c>
      <c r="HS119" s="319" t="s">
        <v>190</v>
      </c>
      <c r="HT119" s="319" t="s">
        <v>190</v>
      </c>
      <c r="HU119" s="319" t="s">
        <v>190</v>
      </c>
      <c r="HV119" s="319" t="s">
        <v>190</v>
      </c>
      <c r="HW119" s="319" t="s">
        <v>190</v>
      </c>
      <c r="HX119" s="319" t="s">
        <v>190</v>
      </c>
      <c r="HY119" s="319" t="s">
        <v>190</v>
      </c>
      <c r="HZ119" s="319" t="s">
        <v>190</v>
      </c>
      <c r="IA119" s="319" t="s">
        <v>190</v>
      </c>
      <c r="IB119" s="319" t="s">
        <v>190</v>
      </c>
      <c r="IC119" s="319" t="s">
        <v>190</v>
      </c>
      <c r="ID119" s="319" t="s">
        <v>190</v>
      </c>
      <c r="IE119" s="319" t="s">
        <v>190</v>
      </c>
      <c r="IF119" s="319" t="s">
        <v>191</v>
      </c>
      <c r="IG119" s="319" t="s">
        <v>191</v>
      </c>
      <c r="IH119" s="319" t="s">
        <v>191</v>
      </c>
      <c r="II119" s="319" t="s">
        <v>190</v>
      </c>
      <c r="IJ119" s="319" t="s">
        <v>2891</v>
      </c>
      <c r="IK119" s="321">
        <v>41716</v>
      </c>
      <c r="IL119" s="321">
        <v>41718</v>
      </c>
      <c r="IM119" s="321">
        <v>41739</v>
      </c>
      <c r="IN119" s="319">
        <v>2</v>
      </c>
      <c r="IO119" s="319">
        <v>10118333</v>
      </c>
      <c r="IP119" s="319" t="s">
        <v>985</v>
      </c>
      <c r="IQ119" s="321">
        <v>43781</v>
      </c>
      <c r="IR119" s="320" t="s">
        <v>2771</v>
      </c>
      <c r="IS119" s="322">
        <v>43808</v>
      </c>
      <c r="IT119" s="319" t="s">
        <v>165</v>
      </c>
    </row>
    <row r="120" spans="1:254" s="271" customFormat="1" x14ac:dyDescent="0.25">
      <c r="A120" s="318" t="str">
        <f>HYPERLINK("http://www.ofsted.gov.uk/inspection-reports/find-inspection-report/provider/ELS/108877 ","Ofsted School Webpage")</f>
        <v>Ofsted School Webpage</v>
      </c>
      <c r="B120" s="319">
        <v>108877</v>
      </c>
      <c r="C120" s="319">
        <v>3946015</v>
      </c>
      <c r="D120" s="319" t="s">
        <v>665</v>
      </c>
      <c r="E120" s="319" t="s">
        <v>168</v>
      </c>
      <c r="F120" s="319" t="s">
        <v>81</v>
      </c>
      <c r="G120" s="319" t="s">
        <v>81</v>
      </c>
      <c r="H120" s="319" t="s">
        <v>81</v>
      </c>
      <c r="I120" s="319" t="s">
        <v>78</v>
      </c>
      <c r="J120" s="319" t="s">
        <v>424</v>
      </c>
      <c r="K120" s="319" t="s">
        <v>458</v>
      </c>
      <c r="L120" s="319" t="s">
        <v>474</v>
      </c>
      <c r="M120" s="319" t="s">
        <v>666</v>
      </c>
      <c r="N120" s="319" t="s">
        <v>2892</v>
      </c>
      <c r="O120" s="319" t="s">
        <v>2757</v>
      </c>
      <c r="P120" s="319">
        <v>36</v>
      </c>
      <c r="Q120" s="319" t="s">
        <v>429</v>
      </c>
      <c r="R120" s="320">
        <v>10053828</v>
      </c>
      <c r="S120" s="321">
        <v>43417</v>
      </c>
      <c r="T120" s="321">
        <v>43419</v>
      </c>
      <c r="U120" s="321">
        <v>43443</v>
      </c>
      <c r="V120" s="319" t="s">
        <v>425</v>
      </c>
      <c r="W120" s="319" t="s">
        <v>2767</v>
      </c>
      <c r="X120" s="319">
        <v>2</v>
      </c>
      <c r="Y120" s="319" t="s">
        <v>173</v>
      </c>
      <c r="Z120" s="319" t="s">
        <v>173</v>
      </c>
      <c r="AA120" s="319" t="s">
        <v>173</v>
      </c>
      <c r="AB120" s="319">
        <v>2</v>
      </c>
      <c r="AC120" s="319" t="s">
        <v>169</v>
      </c>
      <c r="AD120" s="319" t="s">
        <v>173</v>
      </c>
      <c r="AE120" s="319">
        <v>2</v>
      </c>
      <c r="AF120" s="319" t="s">
        <v>427</v>
      </c>
      <c r="AG120" s="319" t="s">
        <v>171</v>
      </c>
      <c r="AH120" s="319" t="s">
        <v>190</v>
      </c>
      <c r="AI120" s="319" t="s">
        <v>190</v>
      </c>
      <c r="AJ120" s="319" t="s">
        <v>190</v>
      </c>
      <c r="AK120" s="319" t="s">
        <v>190</v>
      </c>
      <c r="AL120" s="319" t="s">
        <v>190</v>
      </c>
      <c r="AM120" s="319" t="s">
        <v>190</v>
      </c>
      <c r="AN120" s="319" t="s">
        <v>190</v>
      </c>
      <c r="AO120" s="319" t="s">
        <v>190</v>
      </c>
      <c r="AP120" s="319" t="s">
        <v>190</v>
      </c>
      <c r="AQ120" s="319" t="s">
        <v>190</v>
      </c>
      <c r="AR120" s="319" t="s">
        <v>190</v>
      </c>
      <c r="AS120" s="319" t="s">
        <v>190</v>
      </c>
      <c r="AT120" s="319" t="s">
        <v>190</v>
      </c>
      <c r="AU120" s="319" t="s">
        <v>190</v>
      </c>
      <c r="AV120" s="319" t="s">
        <v>190</v>
      </c>
      <c r="AW120" s="319" t="s">
        <v>190</v>
      </c>
      <c r="AX120" s="319" t="s">
        <v>428</v>
      </c>
      <c r="AY120" s="319" t="s">
        <v>190</v>
      </c>
      <c r="AZ120" s="319" t="s">
        <v>190</v>
      </c>
      <c r="BA120" s="319" t="s">
        <v>190</v>
      </c>
      <c r="BB120" s="319" t="s">
        <v>190</v>
      </c>
      <c r="BC120" s="319" t="s">
        <v>190</v>
      </c>
      <c r="BD120" s="319" t="s">
        <v>190</v>
      </c>
      <c r="BE120" s="319" t="s">
        <v>190</v>
      </c>
      <c r="BF120" s="319" t="s">
        <v>190</v>
      </c>
      <c r="BG120" s="319" t="s">
        <v>190</v>
      </c>
      <c r="BH120" s="319" t="s">
        <v>190</v>
      </c>
      <c r="BI120" s="319" t="s">
        <v>190</v>
      </c>
      <c r="BJ120" s="319" t="s">
        <v>190</v>
      </c>
      <c r="BK120" s="319" t="s">
        <v>190</v>
      </c>
      <c r="BL120" s="319" t="s">
        <v>190</v>
      </c>
      <c r="BM120" s="319" t="s">
        <v>190</v>
      </c>
      <c r="BN120" s="319" t="s">
        <v>190</v>
      </c>
      <c r="BO120" s="319" t="s">
        <v>190</v>
      </c>
      <c r="BP120" s="319" t="s">
        <v>190</v>
      </c>
      <c r="BQ120" s="319" t="s">
        <v>190</v>
      </c>
      <c r="BR120" s="319" t="s">
        <v>190</v>
      </c>
      <c r="BS120" s="319" t="s">
        <v>190</v>
      </c>
      <c r="BT120" s="319" t="s">
        <v>190</v>
      </c>
      <c r="BU120" s="319" t="s">
        <v>190</v>
      </c>
      <c r="BV120" s="319" t="s">
        <v>190</v>
      </c>
      <c r="BW120" s="319" t="s">
        <v>190</v>
      </c>
      <c r="BX120" s="319" t="s">
        <v>190</v>
      </c>
      <c r="BY120" s="319" t="s">
        <v>190</v>
      </c>
      <c r="BZ120" s="319" t="s">
        <v>190</v>
      </c>
      <c r="CA120" s="319" t="s">
        <v>190</v>
      </c>
      <c r="CB120" s="319" t="s">
        <v>190</v>
      </c>
      <c r="CC120" s="319" t="s">
        <v>190</v>
      </c>
      <c r="CD120" s="319" t="s">
        <v>190</v>
      </c>
      <c r="CE120" s="319" t="s">
        <v>190</v>
      </c>
      <c r="CF120" s="319" t="s">
        <v>190</v>
      </c>
      <c r="CG120" s="319" t="s">
        <v>190</v>
      </c>
      <c r="CH120" s="319" t="s">
        <v>190</v>
      </c>
      <c r="CI120" s="319" t="s">
        <v>190</v>
      </c>
      <c r="CJ120" s="319" t="s">
        <v>190</v>
      </c>
      <c r="CK120" s="319" t="s">
        <v>190</v>
      </c>
      <c r="CL120" s="319" t="s">
        <v>190</v>
      </c>
      <c r="CM120" s="319" t="s">
        <v>190</v>
      </c>
      <c r="CN120" s="319" t="s">
        <v>428</v>
      </c>
      <c r="CO120" s="319" t="s">
        <v>428</v>
      </c>
      <c r="CP120" s="319" t="s">
        <v>428</v>
      </c>
      <c r="CQ120" s="319" t="s">
        <v>190</v>
      </c>
      <c r="CR120" s="319" t="s">
        <v>190</v>
      </c>
      <c r="CS120" s="319" t="s">
        <v>190</v>
      </c>
      <c r="CT120" s="319" t="s">
        <v>190</v>
      </c>
      <c r="CU120" s="319" t="s">
        <v>190</v>
      </c>
      <c r="CV120" s="319" t="s">
        <v>190</v>
      </c>
      <c r="CW120" s="319" t="s">
        <v>190</v>
      </c>
      <c r="CX120" s="319" t="s">
        <v>190</v>
      </c>
      <c r="CY120" s="319" t="s">
        <v>190</v>
      </c>
      <c r="CZ120" s="319" t="s">
        <v>190</v>
      </c>
      <c r="DA120" s="319" t="s">
        <v>190</v>
      </c>
      <c r="DB120" s="319" t="s">
        <v>190</v>
      </c>
      <c r="DC120" s="319" t="s">
        <v>190</v>
      </c>
      <c r="DD120" s="319" t="s">
        <v>190</v>
      </c>
      <c r="DE120" s="319" t="s">
        <v>190</v>
      </c>
      <c r="DF120" s="319" t="s">
        <v>190</v>
      </c>
      <c r="DG120" s="319" t="s">
        <v>190</v>
      </c>
      <c r="DH120" s="319" t="s">
        <v>190</v>
      </c>
      <c r="DI120" s="319" t="s">
        <v>190</v>
      </c>
      <c r="DJ120" s="319" t="s">
        <v>190</v>
      </c>
      <c r="DK120" s="319" t="s">
        <v>190</v>
      </c>
      <c r="DL120" s="319" t="s">
        <v>190</v>
      </c>
      <c r="DM120" s="319" t="s">
        <v>190</v>
      </c>
      <c r="DN120" s="319" t="s">
        <v>428</v>
      </c>
      <c r="DO120" s="319" t="s">
        <v>190</v>
      </c>
      <c r="DP120" s="319" t="s">
        <v>190</v>
      </c>
      <c r="DQ120" s="319" t="s">
        <v>190</v>
      </c>
      <c r="DR120" s="319" t="s">
        <v>190</v>
      </c>
      <c r="DS120" s="319" t="s">
        <v>190</v>
      </c>
      <c r="DT120" s="319" t="s">
        <v>190</v>
      </c>
      <c r="DU120" s="319" t="s">
        <v>190</v>
      </c>
      <c r="DV120" s="319" t="s">
        <v>173</v>
      </c>
      <c r="DW120" s="319" t="s">
        <v>190</v>
      </c>
      <c r="DX120" s="319" t="s">
        <v>190</v>
      </c>
      <c r="DY120" s="319" t="s">
        <v>190</v>
      </c>
      <c r="DZ120" s="319" t="s">
        <v>190</v>
      </c>
      <c r="EA120" s="319" t="s">
        <v>190</v>
      </c>
      <c r="EB120" s="319" t="s">
        <v>190</v>
      </c>
      <c r="EC120" s="319" t="s">
        <v>428</v>
      </c>
      <c r="ED120" s="319" t="s">
        <v>190</v>
      </c>
      <c r="EE120" s="319" t="s">
        <v>190</v>
      </c>
      <c r="EF120" s="319" t="s">
        <v>190</v>
      </c>
      <c r="EG120" s="319" t="s">
        <v>190</v>
      </c>
      <c r="EH120" s="319" t="s">
        <v>190</v>
      </c>
      <c r="EI120" s="319" t="s">
        <v>190</v>
      </c>
      <c r="EJ120" s="319" t="s">
        <v>190</v>
      </c>
      <c r="EK120" s="319" t="s">
        <v>190</v>
      </c>
      <c r="EL120" s="319" t="s">
        <v>190</v>
      </c>
      <c r="EM120" s="319" t="s">
        <v>190</v>
      </c>
      <c r="EN120" s="319" t="s">
        <v>190</v>
      </c>
      <c r="EO120" s="319" t="s">
        <v>190</v>
      </c>
      <c r="EP120" s="319" t="s">
        <v>190</v>
      </c>
      <c r="EQ120" s="319" t="s">
        <v>190</v>
      </c>
      <c r="ER120" s="319" t="s">
        <v>190</v>
      </c>
      <c r="ES120" s="319" t="s">
        <v>190</v>
      </c>
      <c r="ET120" s="319" t="s">
        <v>190</v>
      </c>
      <c r="EU120" s="319" t="s">
        <v>190</v>
      </c>
      <c r="EV120" s="319" t="s">
        <v>190</v>
      </c>
      <c r="EW120" s="319" t="s">
        <v>190</v>
      </c>
      <c r="EX120" s="319" t="s">
        <v>190</v>
      </c>
      <c r="EY120" s="319" t="s">
        <v>190</v>
      </c>
      <c r="EZ120" s="319" t="s">
        <v>190</v>
      </c>
      <c r="FA120" s="319" t="s">
        <v>190</v>
      </c>
      <c r="FB120" s="319" t="s">
        <v>190</v>
      </c>
      <c r="FC120" s="319" t="s">
        <v>190</v>
      </c>
      <c r="FD120" s="319" t="s">
        <v>190</v>
      </c>
      <c r="FE120" s="319" t="s">
        <v>190</v>
      </c>
      <c r="FF120" s="319" t="s">
        <v>190</v>
      </c>
      <c r="FG120" s="319" t="s">
        <v>190</v>
      </c>
      <c r="FH120" s="319" t="s">
        <v>190</v>
      </c>
      <c r="FI120" s="319" t="s">
        <v>190</v>
      </c>
      <c r="FJ120" s="319" t="s">
        <v>190</v>
      </c>
      <c r="FK120" s="319" t="s">
        <v>190</v>
      </c>
      <c r="FL120" s="319" t="s">
        <v>190</v>
      </c>
      <c r="FM120" s="319" t="s">
        <v>190</v>
      </c>
      <c r="FN120" s="319" t="s">
        <v>190</v>
      </c>
      <c r="FO120" s="319" t="s">
        <v>190</v>
      </c>
      <c r="FP120" s="319" t="s">
        <v>190</v>
      </c>
      <c r="FQ120" s="319" t="s">
        <v>190</v>
      </c>
      <c r="FR120" s="319" t="s">
        <v>190</v>
      </c>
      <c r="FS120" s="319" t="s">
        <v>428</v>
      </c>
      <c r="FT120" s="319" t="s">
        <v>190</v>
      </c>
      <c r="FU120" s="319" t="s">
        <v>190</v>
      </c>
      <c r="FV120" s="319" t="s">
        <v>190</v>
      </c>
      <c r="FW120" s="319" t="s">
        <v>190</v>
      </c>
      <c r="FX120" s="319" t="s">
        <v>190</v>
      </c>
      <c r="FY120" s="319" t="s">
        <v>190</v>
      </c>
      <c r="FZ120" s="319" t="s">
        <v>190</v>
      </c>
      <c r="GA120" s="319" t="s">
        <v>190</v>
      </c>
      <c r="GB120" s="319" t="s">
        <v>190</v>
      </c>
      <c r="GC120" s="319" t="s">
        <v>190</v>
      </c>
      <c r="GD120" s="319" t="s">
        <v>190</v>
      </c>
      <c r="GE120" s="319" t="s">
        <v>190</v>
      </c>
      <c r="GF120" s="319" t="s">
        <v>190</v>
      </c>
      <c r="GG120" s="319" t="s">
        <v>190</v>
      </c>
      <c r="GH120" s="319" t="s">
        <v>190</v>
      </c>
      <c r="GI120" s="319" t="s">
        <v>190</v>
      </c>
      <c r="GJ120" s="319" t="s">
        <v>190</v>
      </c>
      <c r="GK120" s="319" t="s">
        <v>428</v>
      </c>
      <c r="GL120" s="319" t="s">
        <v>190</v>
      </c>
      <c r="GM120" s="319" t="s">
        <v>190</v>
      </c>
      <c r="GN120" s="319" t="s">
        <v>190</v>
      </c>
      <c r="GO120" s="319" t="s">
        <v>190</v>
      </c>
      <c r="GP120" s="319" t="s">
        <v>190</v>
      </c>
      <c r="GQ120" s="319" t="s">
        <v>428</v>
      </c>
      <c r="GR120" s="319" t="s">
        <v>190</v>
      </c>
      <c r="GS120" s="319" t="s">
        <v>190</v>
      </c>
      <c r="GT120" s="319" t="s">
        <v>190</v>
      </c>
      <c r="GU120" s="319" t="s">
        <v>190</v>
      </c>
      <c r="GV120" s="319" t="s">
        <v>190</v>
      </c>
      <c r="GW120" s="319" t="s">
        <v>190</v>
      </c>
      <c r="GX120" s="319" t="s">
        <v>190</v>
      </c>
      <c r="GY120" s="319" t="s">
        <v>190</v>
      </c>
      <c r="GZ120" s="319" t="s">
        <v>428</v>
      </c>
      <c r="HA120" s="319" t="s">
        <v>190</v>
      </c>
      <c r="HB120" s="319" t="s">
        <v>190</v>
      </c>
      <c r="HC120" s="319" t="s">
        <v>190</v>
      </c>
      <c r="HD120" s="319" t="s">
        <v>190</v>
      </c>
      <c r="HE120" s="319" t="s">
        <v>190</v>
      </c>
      <c r="HF120" s="319" t="s">
        <v>190</v>
      </c>
      <c r="HG120" s="319" t="s">
        <v>190</v>
      </c>
      <c r="HH120" s="319" t="s">
        <v>190</v>
      </c>
      <c r="HI120" s="319" t="s">
        <v>190</v>
      </c>
      <c r="HJ120" s="319" t="s">
        <v>190</v>
      </c>
      <c r="HK120" s="319" t="s">
        <v>190</v>
      </c>
      <c r="HL120" s="319" t="s">
        <v>428</v>
      </c>
      <c r="HM120" s="319" t="s">
        <v>428</v>
      </c>
      <c r="HN120" s="319" t="s">
        <v>428</v>
      </c>
      <c r="HO120" s="319" t="s">
        <v>428</v>
      </c>
      <c r="HP120" s="319" t="s">
        <v>190</v>
      </c>
      <c r="HQ120" s="319" t="s">
        <v>190</v>
      </c>
      <c r="HR120" s="319" t="s">
        <v>190</v>
      </c>
      <c r="HS120" s="319" t="s">
        <v>190</v>
      </c>
      <c r="HT120" s="319" t="s">
        <v>190</v>
      </c>
      <c r="HU120" s="319" t="s">
        <v>190</v>
      </c>
      <c r="HV120" s="319" t="s">
        <v>190</v>
      </c>
      <c r="HW120" s="319" t="s">
        <v>190</v>
      </c>
      <c r="HX120" s="319" t="s">
        <v>190</v>
      </c>
      <c r="HY120" s="319" t="s">
        <v>190</v>
      </c>
      <c r="HZ120" s="319" t="s">
        <v>190</v>
      </c>
      <c r="IA120" s="319" t="s">
        <v>190</v>
      </c>
      <c r="IB120" s="319" t="s">
        <v>190</v>
      </c>
      <c r="IC120" s="319" t="s">
        <v>190</v>
      </c>
      <c r="ID120" s="319" t="s">
        <v>190</v>
      </c>
      <c r="IE120" s="319" t="s">
        <v>190</v>
      </c>
      <c r="IF120" s="319" t="s">
        <v>190</v>
      </c>
      <c r="IG120" s="319" t="s">
        <v>190</v>
      </c>
      <c r="IH120" s="319" t="s">
        <v>190</v>
      </c>
      <c r="II120" s="319" t="s">
        <v>190</v>
      </c>
      <c r="IJ120" s="319">
        <v>10008894</v>
      </c>
      <c r="IK120" s="321">
        <v>42346</v>
      </c>
      <c r="IL120" s="321">
        <v>42348</v>
      </c>
      <c r="IM120" s="321">
        <v>42390</v>
      </c>
      <c r="IN120" s="319">
        <v>2</v>
      </c>
      <c r="IO120" s="319" t="s">
        <v>173</v>
      </c>
      <c r="IP120" s="319" t="s">
        <v>173</v>
      </c>
      <c r="IQ120" s="321" t="s">
        <v>173</v>
      </c>
      <c r="IR120" s="320" t="s">
        <v>173</v>
      </c>
      <c r="IS120" s="322" t="s">
        <v>173</v>
      </c>
      <c r="IT120" s="319" t="s">
        <v>173</v>
      </c>
    </row>
    <row r="121" spans="1:254" s="271" customFormat="1" x14ac:dyDescent="0.25">
      <c r="A121" s="318" t="str">
        <f>HYPERLINK("http://www.ofsted.gov.uk/inspection-reports/find-inspection-report/provider/ELS/108886 ","Ofsted School Webpage")</f>
        <v>Ofsted School Webpage</v>
      </c>
      <c r="B121" s="319">
        <v>108886</v>
      </c>
      <c r="C121" s="319">
        <v>8736051</v>
      </c>
      <c r="D121" s="319" t="s">
        <v>1089</v>
      </c>
      <c r="E121" s="319" t="s">
        <v>168</v>
      </c>
      <c r="F121" s="319" t="s">
        <v>81</v>
      </c>
      <c r="G121" s="319" t="s">
        <v>81</v>
      </c>
      <c r="H121" s="319" t="s">
        <v>81</v>
      </c>
      <c r="I121" s="319" t="s">
        <v>78</v>
      </c>
      <c r="J121" s="319" t="s">
        <v>424</v>
      </c>
      <c r="K121" s="319" t="s">
        <v>451</v>
      </c>
      <c r="L121" s="319" t="s">
        <v>451</v>
      </c>
      <c r="M121" s="319" t="s">
        <v>772</v>
      </c>
      <c r="N121" s="319" t="s">
        <v>2893</v>
      </c>
      <c r="O121" s="319" t="s">
        <v>1090</v>
      </c>
      <c r="P121" s="319">
        <v>16</v>
      </c>
      <c r="Q121" s="319" t="s">
        <v>429</v>
      </c>
      <c r="R121" s="320">
        <v>10043517</v>
      </c>
      <c r="S121" s="321">
        <v>43060</v>
      </c>
      <c r="T121" s="321">
        <v>43062</v>
      </c>
      <c r="U121" s="321">
        <v>43117</v>
      </c>
      <c r="V121" s="319" t="s">
        <v>425</v>
      </c>
      <c r="W121" s="319" t="s">
        <v>2767</v>
      </c>
      <c r="X121" s="319">
        <v>1</v>
      </c>
      <c r="Y121" s="319" t="s">
        <v>173</v>
      </c>
      <c r="Z121" s="319" t="s">
        <v>173</v>
      </c>
      <c r="AA121" s="319" t="s">
        <v>173</v>
      </c>
      <c r="AB121" s="319">
        <v>1</v>
      </c>
      <c r="AC121" s="319" t="s">
        <v>169</v>
      </c>
      <c r="AD121" s="319" t="s">
        <v>173</v>
      </c>
      <c r="AE121" s="319" t="s">
        <v>173</v>
      </c>
      <c r="AF121" s="319" t="s">
        <v>427</v>
      </c>
      <c r="AG121" s="319" t="s">
        <v>171</v>
      </c>
      <c r="AH121" s="319" t="s">
        <v>190</v>
      </c>
      <c r="AI121" s="319" t="s">
        <v>190</v>
      </c>
      <c r="AJ121" s="319" t="s">
        <v>190</v>
      </c>
      <c r="AK121" s="319" t="s">
        <v>190</v>
      </c>
      <c r="AL121" s="319" t="s">
        <v>190</v>
      </c>
      <c r="AM121" s="319" t="s">
        <v>190</v>
      </c>
      <c r="AN121" s="319" t="s">
        <v>190</v>
      </c>
      <c r="AO121" s="319" t="s">
        <v>190</v>
      </c>
      <c r="AP121" s="319" t="s">
        <v>190</v>
      </c>
      <c r="AQ121" s="319" t="s">
        <v>190</v>
      </c>
      <c r="AR121" s="319" t="s">
        <v>190</v>
      </c>
      <c r="AS121" s="319" t="s">
        <v>190</v>
      </c>
      <c r="AT121" s="319" t="s">
        <v>190</v>
      </c>
      <c r="AU121" s="319" t="s">
        <v>190</v>
      </c>
      <c r="AV121" s="319" t="s">
        <v>190</v>
      </c>
      <c r="AW121" s="319" t="s">
        <v>190</v>
      </c>
      <c r="AX121" s="319" t="s">
        <v>428</v>
      </c>
      <c r="AY121" s="319" t="s">
        <v>190</v>
      </c>
      <c r="AZ121" s="319" t="s">
        <v>190</v>
      </c>
      <c r="BA121" s="319" t="s">
        <v>190</v>
      </c>
      <c r="BB121" s="319" t="s">
        <v>190</v>
      </c>
      <c r="BC121" s="319" t="s">
        <v>190</v>
      </c>
      <c r="BD121" s="319" t="s">
        <v>190</v>
      </c>
      <c r="BE121" s="319" t="s">
        <v>190</v>
      </c>
      <c r="BF121" s="319" t="s">
        <v>428</v>
      </c>
      <c r="BG121" s="319" t="s">
        <v>428</v>
      </c>
      <c r="BH121" s="319" t="s">
        <v>190</v>
      </c>
      <c r="BI121" s="319" t="s">
        <v>190</v>
      </c>
      <c r="BJ121" s="319" t="s">
        <v>190</v>
      </c>
      <c r="BK121" s="319" t="s">
        <v>190</v>
      </c>
      <c r="BL121" s="319" t="s">
        <v>190</v>
      </c>
      <c r="BM121" s="319" t="s">
        <v>190</v>
      </c>
      <c r="BN121" s="319" t="s">
        <v>190</v>
      </c>
      <c r="BO121" s="319" t="s">
        <v>190</v>
      </c>
      <c r="BP121" s="319" t="s">
        <v>190</v>
      </c>
      <c r="BQ121" s="319" t="s">
        <v>190</v>
      </c>
      <c r="BR121" s="319" t="s">
        <v>190</v>
      </c>
      <c r="BS121" s="319" t="s">
        <v>190</v>
      </c>
      <c r="BT121" s="319" t="s">
        <v>190</v>
      </c>
      <c r="BU121" s="319" t="s">
        <v>190</v>
      </c>
      <c r="BV121" s="319" t="s">
        <v>190</v>
      </c>
      <c r="BW121" s="319" t="s">
        <v>190</v>
      </c>
      <c r="BX121" s="319" t="s">
        <v>190</v>
      </c>
      <c r="BY121" s="319" t="s">
        <v>190</v>
      </c>
      <c r="BZ121" s="319" t="s">
        <v>190</v>
      </c>
      <c r="CA121" s="319" t="s">
        <v>190</v>
      </c>
      <c r="CB121" s="319" t="s">
        <v>190</v>
      </c>
      <c r="CC121" s="319" t="s">
        <v>190</v>
      </c>
      <c r="CD121" s="319" t="s">
        <v>190</v>
      </c>
      <c r="CE121" s="319" t="s">
        <v>190</v>
      </c>
      <c r="CF121" s="319" t="s">
        <v>190</v>
      </c>
      <c r="CG121" s="319" t="s">
        <v>190</v>
      </c>
      <c r="CH121" s="319" t="s">
        <v>190</v>
      </c>
      <c r="CI121" s="319" t="s">
        <v>190</v>
      </c>
      <c r="CJ121" s="319" t="s">
        <v>190</v>
      </c>
      <c r="CK121" s="319" t="s">
        <v>190</v>
      </c>
      <c r="CL121" s="319" t="s">
        <v>190</v>
      </c>
      <c r="CM121" s="319" t="s">
        <v>190</v>
      </c>
      <c r="CN121" s="319" t="s">
        <v>428</v>
      </c>
      <c r="CO121" s="319" t="s">
        <v>428</v>
      </c>
      <c r="CP121" s="319" t="s">
        <v>428</v>
      </c>
      <c r="CQ121" s="319" t="s">
        <v>190</v>
      </c>
      <c r="CR121" s="319" t="s">
        <v>190</v>
      </c>
      <c r="CS121" s="319" t="s">
        <v>190</v>
      </c>
      <c r="CT121" s="319" t="s">
        <v>190</v>
      </c>
      <c r="CU121" s="319" t="s">
        <v>190</v>
      </c>
      <c r="CV121" s="319" t="s">
        <v>190</v>
      </c>
      <c r="CW121" s="319" t="s">
        <v>190</v>
      </c>
      <c r="CX121" s="319" t="s">
        <v>190</v>
      </c>
      <c r="CY121" s="319" t="s">
        <v>190</v>
      </c>
      <c r="CZ121" s="319" t="s">
        <v>190</v>
      </c>
      <c r="DA121" s="319" t="s">
        <v>190</v>
      </c>
      <c r="DB121" s="319" t="s">
        <v>190</v>
      </c>
      <c r="DC121" s="319" t="s">
        <v>190</v>
      </c>
      <c r="DD121" s="319" t="s">
        <v>190</v>
      </c>
      <c r="DE121" s="319" t="s">
        <v>190</v>
      </c>
      <c r="DF121" s="319" t="s">
        <v>190</v>
      </c>
      <c r="DG121" s="319" t="s">
        <v>190</v>
      </c>
      <c r="DH121" s="319" t="s">
        <v>190</v>
      </c>
      <c r="DI121" s="319" t="s">
        <v>190</v>
      </c>
      <c r="DJ121" s="319" t="s">
        <v>190</v>
      </c>
      <c r="DK121" s="319" t="s">
        <v>190</v>
      </c>
      <c r="DL121" s="319" t="s">
        <v>190</v>
      </c>
      <c r="DM121" s="319" t="s">
        <v>190</v>
      </c>
      <c r="DN121" s="319" t="s">
        <v>428</v>
      </c>
      <c r="DO121" s="319" t="s">
        <v>190</v>
      </c>
      <c r="DP121" s="319" t="s">
        <v>428</v>
      </c>
      <c r="DQ121" s="319" t="s">
        <v>428</v>
      </c>
      <c r="DR121" s="319" t="s">
        <v>428</v>
      </c>
      <c r="DS121" s="319" t="s">
        <v>428</v>
      </c>
      <c r="DT121" s="319" t="s">
        <v>428</v>
      </c>
      <c r="DU121" s="319" t="s">
        <v>428</v>
      </c>
      <c r="DV121" s="319" t="s">
        <v>173</v>
      </c>
      <c r="DW121" s="319" t="s">
        <v>428</v>
      </c>
      <c r="DX121" s="319" t="s">
        <v>428</v>
      </c>
      <c r="DY121" s="319" t="s">
        <v>428</v>
      </c>
      <c r="DZ121" s="319" t="s">
        <v>428</v>
      </c>
      <c r="EA121" s="319" t="s">
        <v>428</v>
      </c>
      <c r="EB121" s="319" t="s">
        <v>428</v>
      </c>
      <c r="EC121" s="319" t="s">
        <v>428</v>
      </c>
      <c r="ED121" s="319" t="s">
        <v>428</v>
      </c>
      <c r="EE121" s="319" t="s">
        <v>190</v>
      </c>
      <c r="EF121" s="319" t="s">
        <v>190</v>
      </c>
      <c r="EG121" s="319" t="s">
        <v>190</v>
      </c>
      <c r="EH121" s="319" t="s">
        <v>190</v>
      </c>
      <c r="EI121" s="319" t="s">
        <v>190</v>
      </c>
      <c r="EJ121" s="319" t="s">
        <v>190</v>
      </c>
      <c r="EK121" s="319" t="s">
        <v>190</v>
      </c>
      <c r="EL121" s="319" t="s">
        <v>190</v>
      </c>
      <c r="EM121" s="319" t="s">
        <v>190</v>
      </c>
      <c r="EN121" s="319" t="s">
        <v>190</v>
      </c>
      <c r="EO121" s="319" t="s">
        <v>190</v>
      </c>
      <c r="EP121" s="319" t="s">
        <v>190</v>
      </c>
      <c r="EQ121" s="319" t="s">
        <v>190</v>
      </c>
      <c r="ER121" s="319" t="s">
        <v>190</v>
      </c>
      <c r="ES121" s="319" t="s">
        <v>190</v>
      </c>
      <c r="ET121" s="319" t="s">
        <v>190</v>
      </c>
      <c r="EU121" s="319" t="s">
        <v>190</v>
      </c>
      <c r="EV121" s="319" t="s">
        <v>190</v>
      </c>
      <c r="EW121" s="319" t="s">
        <v>190</v>
      </c>
      <c r="EX121" s="319" t="s">
        <v>190</v>
      </c>
      <c r="EY121" s="319" t="s">
        <v>190</v>
      </c>
      <c r="EZ121" s="319" t="s">
        <v>190</v>
      </c>
      <c r="FA121" s="319" t="s">
        <v>190</v>
      </c>
      <c r="FB121" s="319" t="s">
        <v>428</v>
      </c>
      <c r="FC121" s="319" t="s">
        <v>428</v>
      </c>
      <c r="FD121" s="319" t="s">
        <v>428</v>
      </c>
      <c r="FE121" s="319" t="s">
        <v>428</v>
      </c>
      <c r="FF121" s="319" t="s">
        <v>428</v>
      </c>
      <c r="FG121" s="319" t="s">
        <v>428</v>
      </c>
      <c r="FH121" s="319" t="s">
        <v>190</v>
      </c>
      <c r="FI121" s="319" t="s">
        <v>190</v>
      </c>
      <c r="FJ121" s="319" t="s">
        <v>190</v>
      </c>
      <c r="FK121" s="319" t="s">
        <v>190</v>
      </c>
      <c r="FL121" s="319" t="s">
        <v>190</v>
      </c>
      <c r="FM121" s="319" t="s">
        <v>190</v>
      </c>
      <c r="FN121" s="319" t="s">
        <v>190</v>
      </c>
      <c r="FO121" s="319" t="s">
        <v>190</v>
      </c>
      <c r="FP121" s="319" t="s">
        <v>190</v>
      </c>
      <c r="FQ121" s="319" t="s">
        <v>190</v>
      </c>
      <c r="FR121" s="319" t="s">
        <v>190</v>
      </c>
      <c r="FS121" s="319" t="s">
        <v>190</v>
      </c>
      <c r="FT121" s="319" t="s">
        <v>190</v>
      </c>
      <c r="FU121" s="319" t="s">
        <v>190</v>
      </c>
      <c r="FV121" s="319" t="s">
        <v>190</v>
      </c>
      <c r="FW121" s="319" t="s">
        <v>190</v>
      </c>
      <c r="FX121" s="319" t="s">
        <v>190</v>
      </c>
      <c r="FY121" s="319" t="s">
        <v>190</v>
      </c>
      <c r="FZ121" s="319" t="s">
        <v>190</v>
      </c>
      <c r="GA121" s="319" t="s">
        <v>190</v>
      </c>
      <c r="GB121" s="319" t="s">
        <v>190</v>
      </c>
      <c r="GC121" s="319" t="s">
        <v>190</v>
      </c>
      <c r="GD121" s="319" t="s">
        <v>190</v>
      </c>
      <c r="GE121" s="319" t="s">
        <v>190</v>
      </c>
      <c r="GF121" s="319" t="s">
        <v>190</v>
      </c>
      <c r="GG121" s="319" t="s">
        <v>190</v>
      </c>
      <c r="GH121" s="319" t="s">
        <v>190</v>
      </c>
      <c r="GI121" s="319" t="s">
        <v>190</v>
      </c>
      <c r="GJ121" s="319" t="s">
        <v>190</v>
      </c>
      <c r="GK121" s="319" t="s">
        <v>428</v>
      </c>
      <c r="GL121" s="319" t="s">
        <v>190</v>
      </c>
      <c r="GM121" s="319" t="s">
        <v>190</v>
      </c>
      <c r="GN121" s="319" t="s">
        <v>190</v>
      </c>
      <c r="GO121" s="319" t="s">
        <v>190</v>
      </c>
      <c r="GP121" s="319" t="s">
        <v>190</v>
      </c>
      <c r="GQ121" s="319" t="s">
        <v>428</v>
      </c>
      <c r="GR121" s="319" t="s">
        <v>190</v>
      </c>
      <c r="GS121" s="319" t="s">
        <v>190</v>
      </c>
      <c r="GT121" s="319" t="s">
        <v>190</v>
      </c>
      <c r="GU121" s="319" t="s">
        <v>190</v>
      </c>
      <c r="GV121" s="319" t="s">
        <v>190</v>
      </c>
      <c r="GW121" s="319" t="s">
        <v>190</v>
      </c>
      <c r="GX121" s="319" t="s">
        <v>190</v>
      </c>
      <c r="GY121" s="319" t="s">
        <v>190</v>
      </c>
      <c r="GZ121" s="319" t="s">
        <v>428</v>
      </c>
      <c r="HA121" s="319" t="s">
        <v>190</v>
      </c>
      <c r="HB121" s="319" t="s">
        <v>190</v>
      </c>
      <c r="HC121" s="319" t="s">
        <v>190</v>
      </c>
      <c r="HD121" s="319" t="s">
        <v>190</v>
      </c>
      <c r="HE121" s="319" t="s">
        <v>190</v>
      </c>
      <c r="HF121" s="319" t="s">
        <v>190</v>
      </c>
      <c r="HG121" s="319" t="s">
        <v>190</v>
      </c>
      <c r="HH121" s="319" t="s">
        <v>190</v>
      </c>
      <c r="HI121" s="319" t="s">
        <v>190</v>
      </c>
      <c r="HJ121" s="319" t="s">
        <v>190</v>
      </c>
      <c r="HK121" s="319" t="s">
        <v>190</v>
      </c>
      <c r="HL121" s="319" t="s">
        <v>190</v>
      </c>
      <c r="HM121" s="319" t="s">
        <v>190</v>
      </c>
      <c r="HN121" s="319" t="s">
        <v>190</v>
      </c>
      <c r="HO121" s="319" t="s">
        <v>190</v>
      </c>
      <c r="HP121" s="319" t="s">
        <v>190</v>
      </c>
      <c r="HQ121" s="319" t="s">
        <v>190</v>
      </c>
      <c r="HR121" s="319" t="s">
        <v>190</v>
      </c>
      <c r="HS121" s="319" t="s">
        <v>190</v>
      </c>
      <c r="HT121" s="319" t="s">
        <v>190</v>
      </c>
      <c r="HU121" s="319" t="s">
        <v>190</v>
      </c>
      <c r="HV121" s="319" t="s">
        <v>190</v>
      </c>
      <c r="HW121" s="319" t="s">
        <v>190</v>
      </c>
      <c r="HX121" s="319" t="s">
        <v>190</v>
      </c>
      <c r="HY121" s="319" t="s">
        <v>190</v>
      </c>
      <c r="HZ121" s="319" t="s">
        <v>190</v>
      </c>
      <c r="IA121" s="319" t="s">
        <v>190</v>
      </c>
      <c r="IB121" s="319" t="s">
        <v>190</v>
      </c>
      <c r="IC121" s="319" t="s">
        <v>190</v>
      </c>
      <c r="ID121" s="319" t="s">
        <v>190</v>
      </c>
      <c r="IE121" s="319" t="s">
        <v>190</v>
      </c>
      <c r="IF121" s="319" t="s">
        <v>190</v>
      </c>
      <c r="IG121" s="319" t="s">
        <v>190</v>
      </c>
      <c r="IH121" s="319" t="s">
        <v>190</v>
      </c>
      <c r="II121" s="319" t="s">
        <v>190</v>
      </c>
      <c r="IJ121" s="319" t="s">
        <v>2894</v>
      </c>
      <c r="IK121" s="321">
        <v>42073</v>
      </c>
      <c r="IL121" s="321">
        <v>42075</v>
      </c>
      <c r="IM121" s="321">
        <v>42188</v>
      </c>
      <c r="IN121" s="319">
        <v>2</v>
      </c>
      <c r="IO121" s="319" t="s">
        <v>173</v>
      </c>
      <c r="IP121" s="319" t="s">
        <v>173</v>
      </c>
      <c r="IQ121" s="321" t="s">
        <v>173</v>
      </c>
      <c r="IR121" s="320" t="s">
        <v>173</v>
      </c>
      <c r="IS121" s="322" t="s">
        <v>173</v>
      </c>
      <c r="IT121" s="319" t="s">
        <v>173</v>
      </c>
    </row>
    <row r="122" spans="1:254" s="271" customFormat="1" x14ac:dyDescent="0.25">
      <c r="A122" s="318" t="str">
        <f>HYPERLINK("http://www.ofsted.gov.uk/inspection-reports/find-inspection-report/provider/ELS/109342 ","Ofsted School Webpage")</f>
        <v>Ofsted School Webpage</v>
      </c>
      <c r="B122" s="319">
        <v>109342</v>
      </c>
      <c r="C122" s="319">
        <v>8016008</v>
      </c>
      <c r="D122" s="319" t="s">
        <v>2729</v>
      </c>
      <c r="E122" s="319" t="s">
        <v>168</v>
      </c>
      <c r="F122" s="319" t="s">
        <v>81</v>
      </c>
      <c r="G122" s="319" t="s">
        <v>81</v>
      </c>
      <c r="H122" s="319" t="s">
        <v>81</v>
      </c>
      <c r="I122" s="319" t="s">
        <v>78</v>
      </c>
      <c r="J122" s="319" t="s">
        <v>424</v>
      </c>
      <c r="K122" s="319" t="s">
        <v>422</v>
      </c>
      <c r="L122" s="319" t="s">
        <v>422</v>
      </c>
      <c r="M122" s="319" t="s">
        <v>498</v>
      </c>
      <c r="N122" s="319" t="s">
        <v>2895</v>
      </c>
      <c r="O122" s="319" t="s">
        <v>782</v>
      </c>
      <c r="P122" s="319">
        <v>27</v>
      </c>
      <c r="Q122" s="319" t="s">
        <v>2776</v>
      </c>
      <c r="R122" s="320">
        <v>10056301</v>
      </c>
      <c r="S122" s="321">
        <v>43445</v>
      </c>
      <c r="T122" s="321">
        <v>43447</v>
      </c>
      <c r="U122" s="321">
        <v>43488</v>
      </c>
      <c r="V122" s="319" t="s">
        <v>425</v>
      </c>
      <c r="W122" s="319" t="s">
        <v>2767</v>
      </c>
      <c r="X122" s="319">
        <v>3</v>
      </c>
      <c r="Y122" s="319" t="s">
        <v>173</v>
      </c>
      <c r="Z122" s="319" t="s">
        <v>173</v>
      </c>
      <c r="AA122" s="319" t="s">
        <v>173</v>
      </c>
      <c r="AB122" s="319">
        <v>3</v>
      </c>
      <c r="AC122" s="319" t="s">
        <v>169</v>
      </c>
      <c r="AD122" s="319" t="s">
        <v>173</v>
      </c>
      <c r="AE122" s="319">
        <v>3</v>
      </c>
      <c r="AF122" s="319" t="s">
        <v>447</v>
      </c>
      <c r="AG122" s="319" t="s">
        <v>171</v>
      </c>
      <c r="AH122" s="319" t="s">
        <v>190</v>
      </c>
      <c r="AI122" s="319" t="s">
        <v>190</v>
      </c>
      <c r="AJ122" s="319" t="s">
        <v>190</v>
      </c>
      <c r="AK122" s="319" t="s">
        <v>190</v>
      </c>
      <c r="AL122" s="319" t="s">
        <v>190</v>
      </c>
      <c r="AM122" s="319" t="s">
        <v>190</v>
      </c>
      <c r="AN122" s="319" t="s">
        <v>190</v>
      </c>
      <c r="AO122" s="319" t="s">
        <v>190</v>
      </c>
      <c r="AP122" s="319" t="s">
        <v>190</v>
      </c>
      <c r="AQ122" s="319" t="s">
        <v>190</v>
      </c>
      <c r="AR122" s="319" t="s">
        <v>190</v>
      </c>
      <c r="AS122" s="319" t="s">
        <v>190</v>
      </c>
      <c r="AT122" s="319" t="s">
        <v>190</v>
      </c>
      <c r="AU122" s="319" t="s">
        <v>190</v>
      </c>
      <c r="AV122" s="319" t="s">
        <v>190</v>
      </c>
      <c r="AW122" s="319" t="s">
        <v>190</v>
      </c>
      <c r="AX122" s="319" t="s">
        <v>428</v>
      </c>
      <c r="AY122" s="319" t="s">
        <v>190</v>
      </c>
      <c r="AZ122" s="319" t="s">
        <v>190</v>
      </c>
      <c r="BA122" s="319" t="s">
        <v>190</v>
      </c>
      <c r="BB122" s="319" t="s">
        <v>190</v>
      </c>
      <c r="BC122" s="319" t="s">
        <v>190</v>
      </c>
      <c r="BD122" s="319" t="s">
        <v>190</v>
      </c>
      <c r="BE122" s="319" t="s">
        <v>190</v>
      </c>
      <c r="BF122" s="319" t="s">
        <v>428</v>
      </c>
      <c r="BG122" s="319" t="s">
        <v>190</v>
      </c>
      <c r="BH122" s="319" t="s">
        <v>190</v>
      </c>
      <c r="BI122" s="319" t="s">
        <v>190</v>
      </c>
      <c r="BJ122" s="319" t="s">
        <v>190</v>
      </c>
      <c r="BK122" s="319" t="s">
        <v>190</v>
      </c>
      <c r="BL122" s="319" t="s">
        <v>190</v>
      </c>
      <c r="BM122" s="319" t="s">
        <v>190</v>
      </c>
      <c r="BN122" s="319" t="s">
        <v>190</v>
      </c>
      <c r="BO122" s="319" t="s">
        <v>190</v>
      </c>
      <c r="BP122" s="319" t="s">
        <v>190</v>
      </c>
      <c r="BQ122" s="319" t="s">
        <v>190</v>
      </c>
      <c r="BR122" s="319" t="s">
        <v>190</v>
      </c>
      <c r="BS122" s="319" t="s">
        <v>190</v>
      </c>
      <c r="BT122" s="319" t="s">
        <v>190</v>
      </c>
      <c r="BU122" s="319" t="s">
        <v>190</v>
      </c>
      <c r="BV122" s="319" t="s">
        <v>190</v>
      </c>
      <c r="BW122" s="319" t="s">
        <v>190</v>
      </c>
      <c r="BX122" s="319" t="s">
        <v>190</v>
      </c>
      <c r="BY122" s="319" t="s">
        <v>190</v>
      </c>
      <c r="BZ122" s="319" t="s">
        <v>190</v>
      </c>
      <c r="CA122" s="319" t="s">
        <v>190</v>
      </c>
      <c r="CB122" s="319" t="s">
        <v>190</v>
      </c>
      <c r="CC122" s="319" t="s">
        <v>190</v>
      </c>
      <c r="CD122" s="319" t="s">
        <v>190</v>
      </c>
      <c r="CE122" s="319" t="s">
        <v>190</v>
      </c>
      <c r="CF122" s="319" t="s">
        <v>190</v>
      </c>
      <c r="CG122" s="319" t="s">
        <v>190</v>
      </c>
      <c r="CH122" s="319" t="s">
        <v>190</v>
      </c>
      <c r="CI122" s="319" t="s">
        <v>190</v>
      </c>
      <c r="CJ122" s="319" t="s">
        <v>190</v>
      </c>
      <c r="CK122" s="319" t="s">
        <v>190</v>
      </c>
      <c r="CL122" s="319" t="s">
        <v>190</v>
      </c>
      <c r="CM122" s="319" t="s">
        <v>190</v>
      </c>
      <c r="CN122" s="319" t="s">
        <v>190</v>
      </c>
      <c r="CO122" s="319" t="s">
        <v>428</v>
      </c>
      <c r="CP122" s="319" t="s">
        <v>428</v>
      </c>
      <c r="CQ122" s="319" t="s">
        <v>190</v>
      </c>
      <c r="CR122" s="319" t="s">
        <v>190</v>
      </c>
      <c r="CS122" s="319" t="s">
        <v>190</v>
      </c>
      <c r="CT122" s="319" t="s">
        <v>190</v>
      </c>
      <c r="CU122" s="319" t="s">
        <v>190</v>
      </c>
      <c r="CV122" s="319" t="s">
        <v>190</v>
      </c>
      <c r="CW122" s="319" t="s">
        <v>190</v>
      </c>
      <c r="CX122" s="319" t="s">
        <v>190</v>
      </c>
      <c r="CY122" s="319" t="s">
        <v>190</v>
      </c>
      <c r="CZ122" s="319" t="s">
        <v>190</v>
      </c>
      <c r="DA122" s="319" t="s">
        <v>190</v>
      </c>
      <c r="DB122" s="319" t="s">
        <v>190</v>
      </c>
      <c r="DC122" s="319" t="s">
        <v>190</v>
      </c>
      <c r="DD122" s="319" t="s">
        <v>190</v>
      </c>
      <c r="DE122" s="319" t="s">
        <v>190</v>
      </c>
      <c r="DF122" s="319" t="s">
        <v>190</v>
      </c>
      <c r="DG122" s="319" t="s">
        <v>190</v>
      </c>
      <c r="DH122" s="319" t="s">
        <v>190</v>
      </c>
      <c r="DI122" s="319" t="s">
        <v>190</v>
      </c>
      <c r="DJ122" s="319" t="s">
        <v>190</v>
      </c>
      <c r="DK122" s="319" t="s">
        <v>190</v>
      </c>
      <c r="DL122" s="319" t="s">
        <v>190</v>
      </c>
      <c r="DM122" s="319" t="s">
        <v>190</v>
      </c>
      <c r="DN122" s="319" t="s">
        <v>428</v>
      </c>
      <c r="DO122" s="319" t="s">
        <v>190</v>
      </c>
      <c r="DP122" s="319" t="s">
        <v>190</v>
      </c>
      <c r="DQ122" s="319" t="s">
        <v>190</v>
      </c>
      <c r="DR122" s="319" t="s">
        <v>190</v>
      </c>
      <c r="DS122" s="319" t="s">
        <v>190</v>
      </c>
      <c r="DT122" s="319" t="s">
        <v>190</v>
      </c>
      <c r="DU122" s="319" t="s">
        <v>190</v>
      </c>
      <c r="DV122" s="319" t="s">
        <v>173</v>
      </c>
      <c r="DW122" s="319" t="s">
        <v>190</v>
      </c>
      <c r="DX122" s="319" t="s">
        <v>190</v>
      </c>
      <c r="DY122" s="319" t="s">
        <v>190</v>
      </c>
      <c r="DZ122" s="319" t="s">
        <v>190</v>
      </c>
      <c r="EA122" s="319" t="s">
        <v>190</v>
      </c>
      <c r="EB122" s="319" t="s">
        <v>190</v>
      </c>
      <c r="EC122" s="319" t="s">
        <v>428</v>
      </c>
      <c r="ED122" s="319" t="s">
        <v>190</v>
      </c>
      <c r="EE122" s="319" t="s">
        <v>428</v>
      </c>
      <c r="EF122" s="319" t="s">
        <v>428</v>
      </c>
      <c r="EG122" s="319" t="s">
        <v>428</v>
      </c>
      <c r="EH122" s="319" t="s">
        <v>428</v>
      </c>
      <c r="EI122" s="319" t="s">
        <v>428</v>
      </c>
      <c r="EJ122" s="319" t="s">
        <v>428</v>
      </c>
      <c r="EK122" s="319" t="s">
        <v>428</v>
      </c>
      <c r="EL122" s="319" t="s">
        <v>428</v>
      </c>
      <c r="EM122" s="319" t="s">
        <v>428</v>
      </c>
      <c r="EN122" s="319" t="s">
        <v>190</v>
      </c>
      <c r="EO122" s="319" t="s">
        <v>190</v>
      </c>
      <c r="EP122" s="319" t="s">
        <v>190</v>
      </c>
      <c r="EQ122" s="319" t="s">
        <v>190</v>
      </c>
      <c r="ER122" s="319" t="s">
        <v>190</v>
      </c>
      <c r="ES122" s="319" t="s">
        <v>190</v>
      </c>
      <c r="ET122" s="319" t="s">
        <v>190</v>
      </c>
      <c r="EU122" s="319" t="s">
        <v>190</v>
      </c>
      <c r="EV122" s="319" t="s">
        <v>190</v>
      </c>
      <c r="EW122" s="319" t="s">
        <v>190</v>
      </c>
      <c r="EX122" s="319" t="s">
        <v>190</v>
      </c>
      <c r="EY122" s="319" t="s">
        <v>190</v>
      </c>
      <c r="EZ122" s="319" t="s">
        <v>190</v>
      </c>
      <c r="FA122" s="319" t="s">
        <v>190</v>
      </c>
      <c r="FB122" s="319" t="s">
        <v>190</v>
      </c>
      <c r="FC122" s="319" t="s">
        <v>190</v>
      </c>
      <c r="FD122" s="319" t="s">
        <v>190</v>
      </c>
      <c r="FE122" s="319" t="s">
        <v>190</v>
      </c>
      <c r="FF122" s="319" t="s">
        <v>190</v>
      </c>
      <c r="FG122" s="319" t="s">
        <v>190</v>
      </c>
      <c r="FH122" s="319" t="s">
        <v>190</v>
      </c>
      <c r="FI122" s="319" t="s">
        <v>190</v>
      </c>
      <c r="FJ122" s="319" t="s">
        <v>190</v>
      </c>
      <c r="FK122" s="319" t="s">
        <v>190</v>
      </c>
      <c r="FL122" s="319" t="s">
        <v>190</v>
      </c>
      <c r="FM122" s="319" t="s">
        <v>190</v>
      </c>
      <c r="FN122" s="319" t="s">
        <v>190</v>
      </c>
      <c r="FO122" s="319" t="s">
        <v>190</v>
      </c>
      <c r="FP122" s="319" t="s">
        <v>190</v>
      </c>
      <c r="FQ122" s="319" t="s">
        <v>190</v>
      </c>
      <c r="FR122" s="319" t="s">
        <v>190</v>
      </c>
      <c r="FS122" s="319" t="s">
        <v>190</v>
      </c>
      <c r="FT122" s="319" t="s">
        <v>190</v>
      </c>
      <c r="FU122" s="319" t="s">
        <v>190</v>
      </c>
      <c r="FV122" s="319" t="s">
        <v>190</v>
      </c>
      <c r="FW122" s="319" t="s">
        <v>190</v>
      </c>
      <c r="FX122" s="319" t="s">
        <v>190</v>
      </c>
      <c r="FY122" s="319" t="s">
        <v>190</v>
      </c>
      <c r="FZ122" s="319" t="s">
        <v>190</v>
      </c>
      <c r="GA122" s="319" t="s">
        <v>190</v>
      </c>
      <c r="GB122" s="319" t="s">
        <v>190</v>
      </c>
      <c r="GC122" s="319" t="s">
        <v>190</v>
      </c>
      <c r="GD122" s="319" t="s">
        <v>190</v>
      </c>
      <c r="GE122" s="319" t="s">
        <v>190</v>
      </c>
      <c r="GF122" s="319" t="s">
        <v>190</v>
      </c>
      <c r="GG122" s="319" t="s">
        <v>190</v>
      </c>
      <c r="GH122" s="319" t="s">
        <v>190</v>
      </c>
      <c r="GI122" s="319" t="s">
        <v>190</v>
      </c>
      <c r="GJ122" s="319" t="s">
        <v>190</v>
      </c>
      <c r="GK122" s="319" t="s">
        <v>190</v>
      </c>
      <c r="GL122" s="319" t="s">
        <v>190</v>
      </c>
      <c r="GM122" s="319" t="s">
        <v>190</v>
      </c>
      <c r="GN122" s="319" t="s">
        <v>190</v>
      </c>
      <c r="GO122" s="319" t="s">
        <v>190</v>
      </c>
      <c r="GP122" s="319" t="s">
        <v>190</v>
      </c>
      <c r="GQ122" s="319" t="s">
        <v>190</v>
      </c>
      <c r="GR122" s="319" t="s">
        <v>190</v>
      </c>
      <c r="GS122" s="319" t="s">
        <v>190</v>
      </c>
      <c r="GT122" s="319" t="s">
        <v>190</v>
      </c>
      <c r="GU122" s="319" t="s">
        <v>190</v>
      </c>
      <c r="GV122" s="319" t="s">
        <v>190</v>
      </c>
      <c r="GW122" s="319" t="s">
        <v>190</v>
      </c>
      <c r="GX122" s="319" t="s">
        <v>190</v>
      </c>
      <c r="GY122" s="319" t="s">
        <v>190</v>
      </c>
      <c r="GZ122" s="319" t="s">
        <v>428</v>
      </c>
      <c r="HA122" s="319" t="s">
        <v>190</v>
      </c>
      <c r="HB122" s="319" t="s">
        <v>190</v>
      </c>
      <c r="HC122" s="319" t="s">
        <v>190</v>
      </c>
      <c r="HD122" s="319" t="s">
        <v>190</v>
      </c>
      <c r="HE122" s="319" t="s">
        <v>190</v>
      </c>
      <c r="HF122" s="319" t="s">
        <v>428</v>
      </c>
      <c r="HG122" s="319" t="s">
        <v>190</v>
      </c>
      <c r="HH122" s="319" t="s">
        <v>190</v>
      </c>
      <c r="HI122" s="319" t="s">
        <v>428</v>
      </c>
      <c r="HJ122" s="319" t="s">
        <v>190</v>
      </c>
      <c r="HK122" s="319" t="s">
        <v>190</v>
      </c>
      <c r="HL122" s="319" t="s">
        <v>190</v>
      </c>
      <c r="HM122" s="319" t="s">
        <v>428</v>
      </c>
      <c r="HN122" s="319" t="s">
        <v>428</v>
      </c>
      <c r="HO122" s="319" t="s">
        <v>428</v>
      </c>
      <c r="HP122" s="319" t="s">
        <v>190</v>
      </c>
      <c r="HQ122" s="319" t="s">
        <v>190</v>
      </c>
      <c r="HR122" s="319" t="s">
        <v>190</v>
      </c>
      <c r="HS122" s="319" t="s">
        <v>190</v>
      </c>
      <c r="HT122" s="319" t="s">
        <v>190</v>
      </c>
      <c r="HU122" s="319" t="s">
        <v>190</v>
      </c>
      <c r="HV122" s="319" t="s">
        <v>190</v>
      </c>
      <c r="HW122" s="319" t="s">
        <v>190</v>
      </c>
      <c r="HX122" s="319" t="s">
        <v>190</v>
      </c>
      <c r="HY122" s="319" t="s">
        <v>190</v>
      </c>
      <c r="HZ122" s="319" t="s">
        <v>190</v>
      </c>
      <c r="IA122" s="319" t="s">
        <v>190</v>
      </c>
      <c r="IB122" s="319" t="s">
        <v>190</v>
      </c>
      <c r="IC122" s="319" t="s">
        <v>190</v>
      </c>
      <c r="ID122" s="319" t="s">
        <v>190</v>
      </c>
      <c r="IE122" s="319" t="s">
        <v>190</v>
      </c>
      <c r="IF122" s="319" t="s">
        <v>190</v>
      </c>
      <c r="IG122" s="319" t="s">
        <v>190</v>
      </c>
      <c r="IH122" s="319" t="s">
        <v>190</v>
      </c>
      <c r="II122" s="319" t="s">
        <v>190</v>
      </c>
      <c r="IJ122" s="319">
        <v>10006037</v>
      </c>
      <c r="IK122" s="321">
        <v>42758</v>
      </c>
      <c r="IL122" s="321">
        <v>42760</v>
      </c>
      <c r="IM122" s="321">
        <v>42794</v>
      </c>
      <c r="IN122" s="319">
        <v>3</v>
      </c>
      <c r="IO122" s="319" t="s">
        <v>173</v>
      </c>
      <c r="IP122" s="319" t="s">
        <v>173</v>
      </c>
      <c r="IQ122" s="321" t="s">
        <v>173</v>
      </c>
      <c r="IR122" s="320" t="s">
        <v>173</v>
      </c>
      <c r="IS122" s="322" t="s">
        <v>173</v>
      </c>
      <c r="IT122" s="319" t="s">
        <v>173</v>
      </c>
    </row>
    <row r="123" spans="1:254" s="271" customFormat="1" x14ac:dyDescent="0.25">
      <c r="A123" s="318" t="str">
        <f>HYPERLINK("http://www.ofsted.gov.uk/inspection-reports/find-inspection-report/provider/ELS/109343 ","Ofsted School Webpage")</f>
        <v>Ofsted School Webpage</v>
      </c>
      <c r="B123" s="319">
        <v>109343</v>
      </c>
      <c r="C123" s="319">
        <v>8016009</v>
      </c>
      <c r="D123" s="319" t="s">
        <v>1361</v>
      </c>
      <c r="E123" s="319" t="s">
        <v>167</v>
      </c>
      <c r="F123" s="319" t="s">
        <v>81</v>
      </c>
      <c r="G123" s="319" t="s">
        <v>81</v>
      </c>
      <c r="H123" s="319" t="s">
        <v>81</v>
      </c>
      <c r="I123" s="319" t="s">
        <v>78</v>
      </c>
      <c r="J123" s="319" t="s">
        <v>424</v>
      </c>
      <c r="K123" s="319" t="s">
        <v>422</v>
      </c>
      <c r="L123" s="319" t="s">
        <v>422</v>
      </c>
      <c r="M123" s="319" t="s">
        <v>498</v>
      </c>
      <c r="N123" s="319" t="s">
        <v>2896</v>
      </c>
      <c r="O123" s="319" t="s">
        <v>1362</v>
      </c>
      <c r="P123" s="319">
        <v>75</v>
      </c>
      <c r="Q123" s="319" t="s">
        <v>2766</v>
      </c>
      <c r="R123" s="320">
        <v>10056302</v>
      </c>
      <c r="S123" s="321">
        <v>43543</v>
      </c>
      <c r="T123" s="321">
        <v>43545</v>
      </c>
      <c r="U123" s="321">
        <v>43590</v>
      </c>
      <c r="V123" s="319" t="s">
        <v>425</v>
      </c>
      <c r="W123" s="319" t="s">
        <v>2767</v>
      </c>
      <c r="X123" s="319">
        <v>2</v>
      </c>
      <c r="Y123" s="319" t="s">
        <v>173</v>
      </c>
      <c r="Z123" s="319" t="s">
        <v>173</v>
      </c>
      <c r="AA123" s="319" t="s">
        <v>173</v>
      </c>
      <c r="AB123" s="319">
        <v>2</v>
      </c>
      <c r="AC123" s="319" t="s">
        <v>169</v>
      </c>
      <c r="AD123" s="319">
        <v>2</v>
      </c>
      <c r="AE123" s="319" t="s">
        <v>173</v>
      </c>
      <c r="AF123" s="319" t="s">
        <v>427</v>
      </c>
      <c r="AG123" s="319" t="s">
        <v>171</v>
      </c>
      <c r="AH123" s="319" t="s">
        <v>190</v>
      </c>
      <c r="AI123" s="319" t="s">
        <v>190</v>
      </c>
      <c r="AJ123" s="319" t="s">
        <v>190</v>
      </c>
      <c r="AK123" s="319" t="s">
        <v>190</v>
      </c>
      <c r="AL123" s="319" t="s">
        <v>190</v>
      </c>
      <c r="AM123" s="319" t="s">
        <v>190</v>
      </c>
      <c r="AN123" s="319" t="s">
        <v>190</v>
      </c>
      <c r="AO123" s="319" t="s">
        <v>190</v>
      </c>
      <c r="AP123" s="319" t="s">
        <v>190</v>
      </c>
      <c r="AQ123" s="319" t="s">
        <v>190</v>
      </c>
      <c r="AR123" s="319" t="s">
        <v>190</v>
      </c>
      <c r="AS123" s="319" t="s">
        <v>190</v>
      </c>
      <c r="AT123" s="319" t="s">
        <v>190</v>
      </c>
      <c r="AU123" s="319" t="s">
        <v>190</v>
      </c>
      <c r="AV123" s="319" t="s">
        <v>190</v>
      </c>
      <c r="AW123" s="319" t="s">
        <v>190</v>
      </c>
      <c r="AX123" s="319" t="s">
        <v>428</v>
      </c>
      <c r="AY123" s="319" t="s">
        <v>190</v>
      </c>
      <c r="AZ123" s="319" t="s">
        <v>190</v>
      </c>
      <c r="BA123" s="319" t="s">
        <v>190</v>
      </c>
      <c r="BB123" s="319" t="s">
        <v>190</v>
      </c>
      <c r="BC123" s="319" t="s">
        <v>190</v>
      </c>
      <c r="BD123" s="319" t="s">
        <v>190</v>
      </c>
      <c r="BE123" s="319" t="s">
        <v>190</v>
      </c>
      <c r="BF123" s="319" t="s">
        <v>428</v>
      </c>
      <c r="BG123" s="319" t="s">
        <v>428</v>
      </c>
      <c r="BH123" s="319" t="s">
        <v>190</v>
      </c>
      <c r="BI123" s="319" t="s">
        <v>190</v>
      </c>
      <c r="BJ123" s="319" t="s">
        <v>190</v>
      </c>
      <c r="BK123" s="319" t="s">
        <v>190</v>
      </c>
      <c r="BL123" s="319" t="s">
        <v>190</v>
      </c>
      <c r="BM123" s="319" t="s">
        <v>190</v>
      </c>
      <c r="BN123" s="319" t="s">
        <v>190</v>
      </c>
      <c r="BO123" s="319" t="s">
        <v>190</v>
      </c>
      <c r="BP123" s="319" t="s">
        <v>190</v>
      </c>
      <c r="BQ123" s="319" t="s">
        <v>190</v>
      </c>
      <c r="BR123" s="319" t="s">
        <v>190</v>
      </c>
      <c r="BS123" s="319" t="s">
        <v>190</v>
      </c>
      <c r="BT123" s="319" t="s">
        <v>190</v>
      </c>
      <c r="BU123" s="319" t="s">
        <v>190</v>
      </c>
      <c r="BV123" s="319" t="s">
        <v>190</v>
      </c>
      <c r="BW123" s="319" t="s">
        <v>190</v>
      </c>
      <c r="BX123" s="319" t="s">
        <v>190</v>
      </c>
      <c r="BY123" s="319" t="s">
        <v>190</v>
      </c>
      <c r="BZ123" s="319" t="s">
        <v>190</v>
      </c>
      <c r="CA123" s="319" t="s">
        <v>190</v>
      </c>
      <c r="CB123" s="319" t="s">
        <v>190</v>
      </c>
      <c r="CC123" s="319" t="s">
        <v>190</v>
      </c>
      <c r="CD123" s="319" t="s">
        <v>190</v>
      </c>
      <c r="CE123" s="319" t="s">
        <v>190</v>
      </c>
      <c r="CF123" s="319" t="s">
        <v>190</v>
      </c>
      <c r="CG123" s="319" t="s">
        <v>190</v>
      </c>
      <c r="CH123" s="319" t="s">
        <v>190</v>
      </c>
      <c r="CI123" s="319" t="s">
        <v>190</v>
      </c>
      <c r="CJ123" s="319" t="s">
        <v>190</v>
      </c>
      <c r="CK123" s="319" t="s">
        <v>190</v>
      </c>
      <c r="CL123" s="319" t="s">
        <v>190</v>
      </c>
      <c r="CM123" s="319" t="s">
        <v>190</v>
      </c>
      <c r="CN123" s="319" t="s">
        <v>190</v>
      </c>
      <c r="CO123" s="319" t="s">
        <v>428</v>
      </c>
      <c r="CP123" s="319" t="s">
        <v>428</v>
      </c>
      <c r="CQ123" s="319" t="s">
        <v>190</v>
      </c>
      <c r="CR123" s="319" t="s">
        <v>190</v>
      </c>
      <c r="CS123" s="319" t="s">
        <v>190</v>
      </c>
      <c r="CT123" s="319" t="s">
        <v>190</v>
      </c>
      <c r="CU123" s="319" t="s">
        <v>190</v>
      </c>
      <c r="CV123" s="319" t="s">
        <v>190</v>
      </c>
      <c r="CW123" s="319" t="s">
        <v>190</v>
      </c>
      <c r="CX123" s="319" t="s">
        <v>190</v>
      </c>
      <c r="CY123" s="319" t="s">
        <v>190</v>
      </c>
      <c r="CZ123" s="319" t="s">
        <v>190</v>
      </c>
      <c r="DA123" s="319" t="s">
        <v>190</v>
      </c>
      <c r="DB123" s="319" t="s">
        <v>190</v>
      </c>
      <c r="DC123" s="319" t="s">
        <v>190</v>
      </c>
      <c r="DD123" s="319" t="s">
        <v>190</v>
      </c>
      <c r="DE123" s="319" t="s">
        <v>190</v>
      </c>
      <c r="DF123" s="319" t="s">
        <v>190</v>
      </c>
      <c r="DG123" s="319" t="s">
        <v>190</v>
      </c>
      <c r="DH123" s="319" t="s">
        <v>190</v>
      </c>
      <c r="DI123" s="319" t="s">
        <v>190</v>
      </c>
      <c r="DJ123" s="319" t="s">
        <v>190</v>
      </c>
      <c r="DK123" s="319" t="s">
        <v>190</v>
      </c>
      <c r="DL123" s="319" t="s">
        <v>190</v>
      </c>
      <c r="DM123" s="319" t="s">
        <v>190</v>
      </c>
      <c r="DN123" s="319" t="s">
        <v>428</v>
      </c>
      <c r="DO123" s="319" t="s">
        <v>190</v>
      </c>
      <c r="DP123" s="319" t="s">
        <v>190</v>
      </c>
      <c r="DQ123" s="319" t="s">
        <v>190</v>
      </c>
      <c r="DR123" s="319" t="s">
        <v>190</v>
      </c>
      <c r="DS123" s="319" t="s">
        <v>190</v>
      </c>
      <c r="DT123" s="319" t="s">
        <v>190</v>
      </c>
      <c r="DU123" s="319" t="s">
        <v>190</v>
      </c>
      <c r="DV123" s="319" t="s">
        <v>173</v>
      </c>
      <c r="DW123" s="319" t="s">
        <v>190</v>
      </c>
      <c r="DX123" s="319" t="s">
        <v>190</v>
      </c>
      <c r="DY123" s="319" t="s">
        <v>190</v>
      </c>
      <c r="DZ123" s="319" t="s">
        <v>190</v>
      </c>
      <c r="EA123" s="319" t="s">
        <v>190</v>
      </c>
      <c r="EB123" s="319" t="s">
        <v>190</v>
      </c>
      <c r="EC123" s="319" t="s">
        <v>428</v>
      </c>
      <c r="ED123" s="319" t="s">
        <v>190</v>
      </c>
      <c r="EE123" s="319" t="s">
        <v>428</v>
      </c>
      <c r="EF123" s="319" t="s">
        <v>428</v>
      </c>
      <c r="EG123" s="319" t="s">
        <v>428</v>
      </c>
      <c r="EH123" s="319" t="s">
        <v>428</v>
      </c>
      <c r="EI123" s="319" t="s">
        <v>428</v>
      </c>
      <c r="EJ123" s="319" t="s">
        <v>428</v>
      </c>
      <c r="EK123" s="319" t="s">
        <v>428</v>
      </c>
      <c r="EL123" s="319" t="s">
        <v>428</v>
      </c>
      <c r="EM123" s="319" t="s">
        <v>428</v>
      </c>
      <c r="EN123" s="319" t="s">
        <v>190</v>
      </c>
      <c r="EO123" s="319" t="s">
        <v>190</v>
      </c>
      <c r="EP123" s="319" t="s">
        <v>190</v>
      </c>
      <c r="EQ123" s="319" t="s">
        <v>190</v>
      </c>
      <c r="ER123" s="319" t="s">
        <v>190</v>
      </c>
      <c r="ES123" s="319" t="s">
        <v>190</v>
      </c>
      <c r="ET123" s="319" t="s">
        <v>190</v>
      </c>
      <c r="EU123" s="319" t="s">
        <v>190</v>
      </c>
      <c r="EV123" s="319" t="s">
        <v>190</v>
      </c>
      <c r="EW123" s="319" t="s">
        <v>190</v>
      </c>
      <c r="EX123" s="319" t="s">
        <v>190</v>
      </c>
      <c r="EY123" s="319" t="s">
        <v>190</v>
      </c>
      <c r="EZ123" s="319" t="s">
        <v>190</v>
      </c>
      <c r="FA123" s="319" t="s">
        <v>190</v>
      </c>
      <c r="FB123" s="319" t="s">
        <v>190</v>
      </c>
      <c r="FC123" s="319" t="s">
        <v>190</v>
      </c>
      <c r="FD123" s="319" t="s">
        <v>190</v>
      </c>
      <c r="FE123" s="319" t="s">
        <v>190</v>
      </c>
      <c r="FF123" s="319" t="s">
        <v>428</v>
      </c>
      <c r="FG123" s="319" t="s">
        <v>190</v>
      </c>
      <c r="FH123" s="319" t="s">
        <v>428</v>
      </c>
      <c r="FI123" s="319" t="s">
        <v>428</v>
      </c>
      <c r="FJ123" s="319" t="s">
        <v>429</v>
      </c>
      <c r="FK123" s="319" t="s">
        <v>428</v>
      </c>
      <c r="FL123" s="319" t="s">
        <v>190</v>
      </c>
      <c r="FM123" s="319" t="s">
        <v>190</v>
      </c>
      <c r="FN123" s="319" t="s">
        <v>190</v>
      </c>
      <c r="FO123" s="319" t="s">
        <v>428</v>
      </c>
      <c r="FP123" s="319" t="s">
        <v>190</v>
      </c>
      <c r="FQ123" s="319" t="s">
        <v>190</v>
      </c>
      <c r="FR123" s="319" t="s">
        <v>190</v>
      </c>
      <c r="FS123" s="319" t="s">
        <v>428</v>
      </c>
      <c r="FT123" s="319" t="s">
        <v>190</v>
      </c>
      <c r="FU123" s="319" t="s">
        <v>190</v>
      </c>
      <c r="FV123" s="319" t="s">
        <v>190</v>
      </c>
      <c r="FW123" s="319" t="s">
        <v>190</v>
      </c>
      <c r="FX123" s="319" t="s">
        <v>190</v>
      </c>
      <c r="FY123" s="319" t="s">
        <v>190</v>
      </c>
      <c r="FZ123" s="319" t="s">
        <v>190</v>
      </c>
      <c r="GA123" s="319" t="s">
        <v>190</v>
      </c>
      <c r="GB123" s="319" t="s">
        <v>190</v>
      </c>
      <c r="GC123" s="319" t="s">
        <v>190</v>
      </c>
      <c r="GD123" s="319" t="s">
        <v>190</v>
      </c>
      <c r="GE123" s="319" t="s">
        <v>190</v>
      </c>
      <c r="GF123" s="319" t="s">
        <v>190</v>
      </c>
      <c r="GG123" s="319" t="s">
        <v>190</v>
      </c>
      <c r="GH123" s="319" t="s">
        <v>190</v>
      </c>
      <c r="GI123" s="319" t="s">
        <v>190</v>
      </c>
      <c r="GJ123" s="319" t="s">
        <v>190</v>
      </c>
      <c r="GK123" s="319" t="s">
        <v>428</v>
      </c>
      <c r="GL123" s="319" t="s">
        <v>190</v>
      </c>
      <c r="GM123" s="319" t="s">
        <v>190</v>
      </c>
      <c r="GN123" s="319" t="s">
        <v>190</v>
      </c>
      <c r="GO123" s="319" t="s">
        <v>190</v>
      </c>
      <c r="GP123" s="319" t="s">
        <v>190</v>
      </c>
      <c r="GQ123" s="319" t="s">
        <v>190</v>
      </c>
      <c r="GR123" s="319" t="s">
        <v>190</v>
      </c>
      <c r="GS123" s="319" t="s">
        <v>190</v>
      </c>
      <c r="GT123" s="319" t="s">
        <v>428</v>
      </c>
      <c r="GU123" s="319" t="s">
        <v>428</v>
      </c>
      <c r="GV123" s="319" t="s">
        <v>190</v>
      </c>
      <c r="GW123" s="319" t="s">
        <v>190</v>
      </c>
      <c r="GX123" s="319" t="s">
        <v>190</v>
      </c>
      <c r="GY123" s="319" t="s">
        <v>190</v>
      </c>
      <c r="GZ123" s="319" t="s">
        <v>190</v>
      </c>
      <c r="HA123" s="319" t="s">
        <v>428</v>
      </c>
      <c r="HB123" s="319" t="s">
        <v>428</v>
      </c>
      <c r="HC123" s="319" t="s">
        <v>190</v>
      </c>
      <c r="HD123" s="319" t="s">
        <v>190</v>
      </c>
      <c r="HE123" s="319" t="s">
        <v>190</v>
      </c>
      <c r="HF123" s="319" t="s">
        <v>190</v>
      </c>
      <c r="HG123" s="319" t="s">
        <v>190</v>
      </c>
      <c r="HH123" s="319" t="s">
        <v>190</v>
      </c>
      <c r="HI123" s="319" t="s">
        <v>190</v>
      </c>
      <c r="HJ123" s="319" t="s">
        <v>190</v>
      </c>
      <c r="HK123" s="319" t="s">
        <v>190</v>
      </c>
      <c r="HL123" s="319" t="s">
        <v>190</v>
      </c>
      <c r="HM123" s="319" t="s">
        <v>428</v>
      </c>
      <c r="HN123" s="319" t="s">
        <v>428</v>
      </c>
      <c r="HO123" s="319" t="s">
        <v>428</v>
      </c>
      <c r="HP123" s="319" t="s">
        <v>190</v>
      </c>
      <c r="HQ123" s="319" t="s">
        <v>190</v>
      </c>
      <c r="HR123" s="319" t="s">
        <v>190</v>
      </c>
      <c r="HS123" s="319" t="s">
        <v>190</v>
      </c>
      <c r="HT123" s="319" t="s">
        <v>190</v>
      </c>
      <c r="HU123" s="319" t="s">
        <v>190</v>
      </c>
      <c r="HV123" s="319" t="s">
        <v>190</v>
      </c>
      <c r="HW123" s="319" t="s">
        <v>190</v>
      </c>
      <c r="HX123" s="319" t="s">
        <v>190</v>
      </c>
      <c r="HY123" s="319" t="s">
        <v>190</v>
      </c>
      <c r="HZ123" s="319" t="s">
        <v>190</v>
      </c>
      <c r="IA123" s="319" t="s">
        <v>190</v>
      </c>
      <c r="IB123" s="319" t="s">
        <v>190</v>
      </c>
      <c r="IC123" s="319" t="s">
        <v>190</v>
      </c>
      <c r="ID123" s="319" t="s">
        <v>190</v>
      </c>
      <c r="IE123" s="319" t="s">
        <v>190</v>
      </c>
      <c r="IF123" s="319" t="s">
        <v>190</v>
      </c>
      <c r="IG123" s="319" t="s">
        <v>190</v>
      </c>
      <c r="IH123" s="319" t="s">
        <v>190</v>
      </c>
      <c r="II123" s="319" t="s">
        <v>190</v>
      </c>
      <c r="IJ123" s="319">
        <v>10006064</v>
      </c>
      <c r="IK123" s="321">
        <v>42381</v>
      </c>
      <c r="IL123" s="321">
        <v>42383</v>
      </c>
      <c r="IM123" s="321">
        <v>42423</v>
      </c>
      <c r="IN123" s="319">
        <v>2</v>
      </c>
      <c r="IO123" s="319" t="s">
        <v>173</v>
      </c>
      <c r="IP123" s="319" t="s">
        <v>173</v>
      </c>
      <c r="IQ123" s="321" t="s">
        <v>173</v>
      </c>
      <c r="IR123" s="320" t="s">
        <v>173</v>
      </c>
      <c r="IS123" s="322" t="s">
        <v>173</v>
      </c>
      <c r="IT123" s="319" t="s">
        <v>173</v>
      </c>
    </row>
    <row r="124" spans="1:254" s="271" customFormat="1" x14ac:dyDescent="0.25">
      <c r="A124" s="318" t="str">
        <f>HYPERLINK("http://www.ofsted.gov.uk/inspection-reports/find-inspection-report/provider/ELS/109345 ","Ofsted School Webpage")</f>
        <v>Ofsted School Webpage</v>
      </c>
      <c r="B124" s="319">
        <v>109345</v>
      </c>
      <c r="C124" s="319">
        <v>8016011</v>
      </c>
      <c r="D124" s="319" t="s">
        <v>1363</v>
      </c>
      <c r="E124" s="319" t="s">
        <v>167</v>
      </c>
      <c r="F124" s="319" t="s">
        <v>81</v>
      </c>
      <c r="G124" s="319" t="s">
        <v>81</v>
      </c>
      <c r="H124" s="319" t="s">
        <v>81</v>
      </c>
      <c r="I124" s="319" t="s">
        <v>78</v>
      </c>
      <c r="J124" s="319" t="s">
        <v>424</v>
      </c>
      <c r="K124" s="319" t="s">
        <v>422</v>
      </c>
      <c r="L124" s="319" t="s">
        <v>422</v>
      </c>
      <c r="M124" s="319" t="s">
        <v>498</v>
      </c>
      <c r="N124" s="319" t="s">
        <v>2897</v>
      </c>
      <c r="O124" s="319" t="s">
        <v>1364</v>
      </c>
      <c r="P124" s="319">
        <v>75</v>
      </c>
      <c r="Q124" s="319" t="s">
        <v>2766</v>
      </c>
      <c r="R124" s="320">
        <v>10094391</v>
      </c>
      <c r="S124" s="321">
        <v>43550</v>
      </c>
      <c r="T124" s="321">
        <v>43552</v>
      </c>
      <c r="U124" s="321">
        <v>43597</v>
      </c>
      <c r="V124" s="319" t="s">
        <v>425</v>
      </c>
      <c r="W124" s="319" t="s">
        <v>2767</v>
      </c>
      <c r="X124" s="319">
        <v>2</v>
      </c>
      <c r="Y124" s="319" t="s">
        <v>173</v>
      </c>
      <c r="Z124" s="319" t="s">
        <v>173</v>
      </c>
      <c r="AA124" s="319" t="s">
        <v>173</v>
      </c>
      <c r="AB124" s="319">
        <v>2</v>
      </c>
      <c r="AC124" s="319" t="s">
        <v>169</v>
      </c>
      <c r="AD124" s="319">
        <v>2</v>
      </c>
      <c r="AE124" s="319" t="s">
        <v>173</v>
      </c>
      <c r="AF124" s="319" t="s">
        <v>427</v>
      </c>
      <c r="AG124" s="319" t="s">
        <v>171</v>
      </c>
      <c r="AH124" s="319" t="s">
        <v>190</v>
      </c>
      <c r="AI124" s="319" t="s">
        <v>190</v>
      </c>
      <c r="AJ124" s="319" t="s">
        <v>190</v>
      </c>
      <c r="AK124" s="319" t="s">
        <v>190</v>
      </c>
      <c r="AL124" s="319" t="s">
        <v>190</v>
      </c>
      <c r="AM124" s="319" t="s">
        <v>190</v>
      </c>
      <c r="AN124" s="319" t="s">
        <v>190</v>
      </c>
      <c r="AO124" s="319" t="s">
        <v>190</v>
      </c>
      <c r="AP124" s="319" t="s">
        <v>190</v>
      </c>
      <c r="AQ124" s="319" t="s">
        <v>190</v>
      </c>
      <c r="AR124" s="319" t="s">
        <v>190</v>
      </c>
      <c r="AS124" s="319" t="s">
        <v>190</v>
      </c>
      <c r="AT124" s="319" t="s">
        <v>190</v>
      </c>
      <c r="AU124" s="319" t="s">
        <v>190</v>
      </c>
      <c r="AV124" s="319" t="s">
        <v>190</v>
      </c>
      <c r="AW124" s="319" t="s">
        <v>190</v>
      </c>
      <c r="AX124" s="319" t="s">
        <v>428</v>
      </c>
      <c r="AY124" s="319" t="s">
        <v>190</v>
      </c>
      <c r="AZ124" s="319" t="s">
        <v>190</v>
      </c>
      <c r="BA124" s="319" t="s">
        <v>190</v>
      </c>
      <c r="BB124" s="319" t="s">
        <v>428</v>
      </c>
      <c r="BC124" s="319" t="s">
        <v>428</v>
      </c>
      <c r="BD124" s="319" t="s">
        <v>428</v>
      </c>
      <c r="BE124" s="319" t="s">
        <v>428</v>
      </c>
      <c r="BF124" s="319" t="s">
        <v>190</v>
      </c>
      <c r="BG124" s="319" t="s">
        <v>428</v>
      </c>
      <c r="BH124" s="319" t="s">
        <v>190</v>
      </c>
      <c r="BI124" s="319" t="s">
        <v>190</v>
      </c>
      <c r="BJ124" s="319" t="s">
        <v>190</v>
      </c>
      <c r="BK124" s="319" t="s">
        <v>190</v>
      </c>
      <c r="BL124" s="319" t="s">
        <v>190</v>
      </c>
      <c r="BM124" s="319" t="s">
        <v>190</v>
      </c>
      <c r="BN124" s="319" t="s">
        <v>190</v>
      </c>
      <c r="BO124" s="319" t="s">
        <v>190</v>
      </c>
      <c r="BP124" s="319" t="s">
        <v>190</v>
      </c>
      <c r="BQ124" s="319" t="s">
        <v>190</v>
      </c>
      <c r="BR124" s="319" t="s">
        <v>190</v>
      </c>
      <c r="BS124" s="319" t="s">
        <v>190</v>
      </c>
      <c r="BT124" s="319" t="s">
        <v>190</v>
      </c>
      <c r="BU124" s="319" t="s">
        <v>190</v>
      </c>
      <c r="BV124" s="319" t="s">
        <v>190</v>
      </c>
      <c r="BW124" s="319" t="s">
        <v>190</v>
      </c>
      <c r="BX124" s="319" t="s">
        <v>190</v>
      </c>
      <c r="BY124" s="319" t="s">
        <v>190</v>
      </c>
      <c r="BZ124" s="319" t="s">
        <v>190</v>
      </c>
      <c r="CA124" s="319" t="s">
        <v>190</v>
      </c>
      <c r="CB124" s="319" t="s">
        <v>190</v>
      </c>
      <c r="CC124" s="319" t="s">
        <v>190</v>
      </c>
      <c r="CD124" s="319" t="s">
        <v>190</v>
      </c>
      <c r="CE124" s="319" t="s">
        <v>190</v>
      </c>
      <c r="CF124" s="319" t="s">
        <v>190</v>
      </c>
      <c r="CG124" s="319" t="s">
        <v>190</v>
      </c>
      <c r="CH124" s="319" t="s">
        <v>190</v>
      </c>
      <c r="CI124" s="319" t="s">
        <v>190</v>
      </c>
      <c r="CJ124" s="319" t="s">
        <v>190</v>
      </c>
      <c r="CK124" s="319" t="s">
        <v>190</v>
      </c>
      <c r="CL124" s="319" t="s">
        <v>190</v>
      </c>
      <c r="CM124" s="319" t="s">
        <v>190</v>
      </c>
      <c r="CN124" s="319" t="s">
        <v>428</v>
      </c>
      <c r="CO124" s="319" t="s">
        <v>428</v>
      </c>
      <c r="CP124" s="319" t="s">
        <v>428</v>
      </c>
      <c r="CQ124" s="319" t="s">
        <v>190</v>
      </c>
      <c r="CR124" s="319" t="s">
        <v>190</v>
      </c>
      <c r="CS124" s="319" t="s">
        <v>190</v>
      </c>
      <c r="CT124" s="319" t="s">
        <v>190</v>
      </c>
      <c r="CU124" s="319" t="s">
        <v>190</v>
      </c>
      <c r="CV124" s="319" t="s">
        <v>190</v>
      </c>
      <c r="CW124" s="319" t="s">
        <v>190</v>
      </c>
      <c r="CX124" s="319" t="s">
        <v>190</v>
      </c>
      <c r="CY124" s="319" t="s">
        <v>190</v>
      </c>
      <c r="CZ124" s="319" t="s">
        <v>190</v>
      </c>
      <c r="DA124" s="319" t="s">
        <v>190</v>
      </c>
      <c r="DB124" s="319" t="s">
        <v>190</v>
      </c>
      <c r="DC124" s="319" t="s">
        <v>190</v>
      </c>
      <c r="DD124" s="319" t="s">
        <v>190</v>
      </c>
      <c r="DE124" s="319" t="s">
        <v>190</v>
      </c>
      <c r="DF124" s="319" t="s">
        <v>190</v>
      </c>
      <c r="DG124" s="319" t="s">
        <v>190</v>
      </c>
      <c r="DH124" s="319" t="s">
        <v>190</v>
      </c>
      <c r="DI124" s="319" t="s">
        <v>190</v>
      </c>
      <c r="DJ124" s="319" t="s">
        <v>190</v>
      </c>
      <c r="DK124" s="319" t="s">
        <v>190</v>
      </c>
      <c r="DL124" s="319" t="s">
        <v>190</v>
      </c>
      <c r="DM124" s="319" t="s">
        <v>190</v>
      </c>
      <c r="DN124" s="319" t="s">
        <v>428</v>
      </c>
      <c r="DO124" s="319" t="s">
        <v>190</v>
      </c>
      <c r="DP124" s="319" t="s">
        <v>428</v>
      </c>
      <c r="DQ124" s="319" t="s">
        <v>428</v>
      </c>
      <c r="DR124" s="319" t="s">
        <v>428</v>
      </c>
      <c r="DS124" s="319" t="s">
        <v>428</v>
      </c>
      <c r="DT124" s="319" t="s">
        <v>428</v>
      </c>
      <c r="DU124" s="319" t="s">
        <v>428</v>
      </c>
      <c r="DV124" s="319" t="s">
        <v>173</v>
      </c>
      <c r="DW124" s="319" t="s">
        <v>428</v>
      </c>
      <c r="DX124" s="319" t="s">
        <v>428</v>
      </c>
      <c r="DY124" s="319" t="s">
        <v>428</v>
      </c>
      <c r="DZ124" s="319" t="s">
        <v>428</v>
      </c>
      <c r="EA124" s="319" t="s">
        <v>428</v>
      </c>
      <c r="EB124" s="319" t="s">
        <v>428</v>
      </c>
      <c r="EC124" s="319" t="s">
        <v>428</v>
      </c>
      <c r="ED124" s="319" t="s">
        <v>428</v>
      </c>
      <c r="EE124" s="319" t="s">
        <v>190</v>
      </c>
      <c r="EF124" s="319" t="s">
        <v>190</v>
      </c>
      <c r="EG124" s="319" t="s">
        <v>190</v>
      </c>
      <c r="EH124" s="319" t="s">
        <v>190</v>
      </c>
      <c r="EI124" s="319" t="s">
        <v>190</v>
      </c>
      <c r="EJ124" s="319" t="s">
        <v>190</v>
      </c>
      <c r="EK124" s="319" t="s">
        <v>190</v>
      </c>
      <c r="EL124" s="319" t="s">
        <v>190</v>
      </c>
      <c r="EM124" s="319" t="s">
        <v>190</v>
      </c>
      <c r="EN124" s="319" t="s">
        <v>190</v>
      </c>
      <c r="EO124" s="319" t="s">
        <v>190</v>
      </c>
      <c r="EP124" s="319" t="s">
        <v>190</v>
      </c>
      <c r="EQ124" s="319" t="s">
        <v>190</v>
      </c>
      <c r="ER124" s="319" t="s">
        <v>190</v>
      </c>
      <c r="ES124" s="319" t="s">
        <v>190</v>
      </c>
      <c r="ET124" s="319" t="s">
        <v>190</v>
      </c>
      <c r="EU124" s="319" t="s">
        <v>190</v>
      </c>
      <c r="EV124" s="319" t="s">
        <v>190</v>
      </c>
      <c r="EW124" s="319" t="s">
        <v>190</v>
      </c>
      <c r="EX124" s="319" t="s">
        <v>190</v>
      </c>
      <c r="EY124" s="319" t="s">
        <v>190</v>
      </c>
      <c r="EZ124" s="319" t="s">
        <v>190</v>
      </c>
      <c r="FA124" s="319" t="s">
        <v>190</v>
      </c>
      <c r="FB124" s="319" t="s">
        <v>428</v>
      </c>
      <c r="FC124" s="319" t="s">
        <v>428</v>
      </c>
      <c r="FD124" s="319" t="s">
        <v>428</v>
      </c>
      <c r="FE124" s="319" t="s">
        <v>428</v>
      </c>
      <c r="FF124" s="319" t="s">
        <v>428</v>
      </c>
      <c r="FG124" s="319" t="s">
        <v>428</v>
      </c>
      <c r="FH124" s="319" t="s">
        <v>190</v>
      </c>
      <c r="FI124" s="319" t="s">
        <v>428</v>
      </c>
      <c r="FJ124" s="319" t="s">
        <v>429</v>
      </c>
      <c r="FK124" s="319" t="s">
        <v>428</v>
      </c>
      <c r="FL124" s="319" t="s">
        <v>190</v>
      </c>
      <c r="FM124" s="319" t="s">
        <v>190</v>
      </c>
      <c r="FN124" s="319" t="s">
        <v>190</v>
      </c>
      <c r="FO124" s="319" t="s">
        <v>428</v>
      </c>
      <c r="FP124" s="319" t="s">
        <v>190</v>
      </c>
      <c r="FQ124" s="319" t="s">
        <v>190</v>
      </c>
      <c r="FR124" s="319" t="s">
        <v>190</v>
      </c>
      <c r="FS124" s="319" t="s">
        <v>428</v>
      </c>
      <c r="FT124" s="319" t="s">
        <v>190</v>
      </c>
      <c r="FU124" s="319" t="s">
        <v>190</v>
      </c>
      <c r="FV124" s="319" t="s">
        <v>190</v>
      </c>
      <c r="FW124" s="319" t="s">
        <v>190</v>
      </c>
      <c r="FX124" s="319" t="s">
        <v>190</v>
      </c>
      <c r="FY124" s="319" t="s">
        <v>190</v>
      </c>
      <c r="FZ124" s="319" t="s">
        <v>190</v>
      </c>
      <c r="GA124" s="319" t="s">
        <v>190</v>
      </c>
      <c r="GB124" s="319" t="s">
        <v>190</v>
      </c>
      <c r="GC124" s="319" t="s">
        <v>190</v>
      </c>
      <c r="GD124" s="319" t="s">
        <v>190</v>
      </c>
      <c r="GE124" s="319" t="s">
        <v>190</v>
      </c>
      <c r="GF124" s="319" t="s">
        <v>190</v>
      </c>
      <c r="GG124" s="319" t="s">
        <v>190</v>
      </c>
      <c r="GH124" s="319" t="s">
        <v>190</v>
      </c>
      <c r="GI124" s="319" t="s">
        <v>190</v>
      </c>
      <c r="GJ124" s="319" t="s">
        <v>190</v>
      </c>
      <c r="GK124" s="319" t="s">
        <v>428</v>
      </c>
      <c r="GL124" s="319" t="s">
        <v>190</v>
      </c>
      <c r="GM124" s="319" t="s">
        <v>190</v>
      </c>
      <c r="GN124" s="319" t="s">
        <v>190</v>
      </c>
      <c r="GO124" s="319" t="s">
        <v>190</v>
      </c>
      <c r="GP124" s="319" t="s">
        <v>190</v>
      </c>
      <c r="GQ124" s="319" t="s">
        <v>428</v>
      </c>
      <c r="GR124" s="319" t="s">
        <v>190</v>
      </c>
      <c r="GS124" s="319" t="s">
        <v>190</v>
      </c>
      <c r="GT124" s="319" t="s">
        <v>428</v>
      </c>
      <c r="GU124" s="319" t="s">
        <v>428</v>
      </c>
      <c r="GV124" s="319" t="s">
        <v>428</v>
      </c>
      <c r="GW124" s="319" t="s">
        <v>190</v>
      </c>
      <c r="GX124" s="319" t="s">
        <v>190</v>
      </c>
      <c r="GY124" s="319" t="s">
        <v>190</v>
      </c>
      <c r="GZ124" s="319" t="s">
        <v>428</v>
      </c>
      <c r="HA124" s="319" t="s">
        <v>190</v>
      </c>
      <c r="HB124" s="319" t="s">
        <v>190</v>
      </c>
      <c r="HC124" s="319" t="s">
        <v>190</v>
      </c>
      <c r="HD124" s="319" t="s">
        <v>190</v>
      </c>
      <c r="HE124" s="319" t="s">
        <v>190</v>
      </c>
      <c r="HF124" s="319" t="s">
        <v>190</v>
      </c>
      <c r="HG124" s="319" t="s">
        <v>190</v>
      </c>
      <c r="HH124" s="319" t="s">
        <v>190</v>
      </c>
      <c r="HI124" s="319" t="s">
        <v>190</v>
      </c>
      <c r="HJ124" s="319" t="s">
        <v>190</v>
      </c>
      <c r="HK124" s="319" t="s">
        <v>190</v>
      </c>
      <c r="HL124" s="319" t="s">
        <v>428</v>
      </c>
      <c r="HM124" s="319" t="s">
        <v>428</v>
      </c>
      <c r="HN124" s="319" t="s">
        <v>428</v>
      </c>
      <c r="HO124" s="319" t="s">
        <v>428</v>
      </c>
      <c r="HP124" s="319" t="s">
        <v>190</v>
      </c>
      <c r="HQ124" s="319" t="s">
        <v>190</v>
      </c>
      <c r="HR124" s="319" t="s">
        <v>190</v>
      </c>
      <c r="HS124" s="319" t="s">
        <v>190</v>
      </c>
      <c r="HT124" s="319" t="s">
        <v>190</v>
      </c>
      <c r="HU124" s="319" t="s">
        <v>190</v>
      </c>
      <c r="HV124" s="319" t="s">
        <v>190</v>
      </c>
      <c r="HW124" s="319" t="s">
        <v>190</v>
      </c>
      <c r="HX124" s="319" t="s">
        <v>190</v>
      </c>
      <c r="HY124" s="319" t="s">
        <v>190</v>
      </c>
      <c r="HZ124" s="319" t="s">
        <v>190</v>
      </c>
      <c r="IA124" s="319" t="s">
        <v>190</v>
      </c>
      <c r="IB124" s="319" t="s">
        <v>190</v>
      </c>
      <c r="IC124" s="319" t="s">
        <v>190</v>
      </c>
      <c r="ID124" s="319" t="s">
        <v>190</v>
      </c>
      <c r="IE124" s="319" t="s">
        <v>190</v>
      </c>
      <c r="IF124" s="319" t="s">
        <v>190</v>
      </c>
      <c r="IG124" s="319" t="s">
        <v>190</v>
      </c>
      <c r="IH124" s="319" t="s">
        <v>190</v>
      </c>
      <c r="II124" s="319" t="s">
        <v>190</v>
      </c>
      <c r="IJ124" s="319" t="s">
        <v>1365</v>
      </c>
      <c r="IK124" s="321">
        <v>39211</v>
      </c>
      <c r="IL124" s="321">
        <v>39212</v>
      </c>
      <c r="IM124" s="321">
        <v>39234</v>
      </c>
      <c r="IN124" s="319">
        <v>2</v>
      </c>
      <c r="IO124" s="319" t="s">
        <v>173</v>
      </c>
      <c r="IP124" s="319" t="s">
        <v>173</v>
      </c>
      <c r="IQ124" s="321" t="s">
        <v>173</v>
      </c>
      <c r="IR124" s="320" t="s">
        <v>173</v>
      </c>
      <c r="IS124" s="322" t="s">
        <v>173</v>
      </c>
      <c r="IT124" s="319" t="s">
        <v>173</v>
      </c>
    </row>
    <row r="125" spans="1:254" s="271" customFormat="1" x14ac:dyDescent="0.25">
      <c r="A125" s="318" t="str">
        <f>HYPERLINK("http://www.ofsted.gov.uk/inspection-reports/find-inspection-report/provider/ELS/109353 ","Ofsted School Webpage")</f>
        <v>Ofsted School Webpage</v>
      </c>
      <c r="B125" s="319">
        <v>109353</v>
      </c>
      <c r="C125" s="319">
        <v>8036000</v>
      </c>
      <c r="D125" s="319" t="s">
        <v>1366</v>
      </c>
      <c r="E125" s="319" t="s">
        <v>168</v>
      </c>
      <c r="F125" s="319" t="s">
        <v>81</v>
      </c>
      <c r="G125" s="319" t="s">
        <v>59</v>
      </c>
      <c r="H125" s="319" t="s">
        <v>59</v>
      </c>
      <c r="I125" s="319" t="s">
        <v>59</v>
      </c>
      <c r="J125" s="319" t="s">
        <v>424</v>
      </c>
      <c r="K125" s="319" t="s">
        <v>422</v>
      </c>
      <c r="L125" s="319" t="s">
        <v>422</v>
      </c>
      <c r="M125" s="319" t="s">
        <v>1071</v>
      </c>
      <c r="N125" s="319" t="s">
        <v>2898</v>
      </c>
      <c r="O125" s="319" t="s">
        <v>1367</v>
      </c>
      <c r="P125" s="319">
        <v>39</v>
      </c>
      <c r="Q125" s="319" t="s">
        <v>2776</v>
      </c>
      <c r="R125" s="320">
        <v>10026035</v>
      </c>
      <c r="S125" s="321">
        <v>42906</v>
      </c>
      <c r="T125" s="321">
        <v>42908</v>
      </c>
      <c r="U125" s="321">
        <v>42933</v>
      </c>
      <c r="V125" s="319" t="s">
        <v>425</v>
      </c>
      <c r="W125" s="319" t="s">
        <v>2767</v>
      </c>
      <c r="X125" s="319">
        <v>2</v>
      </c>
      <c r="Y125" s="319" t="s">
        <v>173</v>
      </c>
      <c r="Z125" s="319" t="s">
        <v>173</v>
      </c>
      <c r="AA125" s="319" t="s">
        <v>173</v>
      </c>
      <c r="AB125" s="319">
        <v>2</v>
      </c>
      <c r="AC125" s="319" t="s">
        <v>169</v>
      </c>
      <c r="AD125" s="319" t="s">
        <v>173</v>
      </c>
      <c r="AE125" s="319">
        <v>2</v>
      </c>
      <c r="AF125" s="319" t="s">
        <v>173</v>
      </c>
      <c r="AG125" s="319" t="s">
        <v>171</v>
      </c>
      <c r="AH125" s="319" t="s">
        <v>190</v>
      </c>
      <c r="AI125" s="319" t="s">
        <v>190</v>
      </c>
      <c r="AJ125" s="319" t="s">
        <v>190</v>
      </c>
      <c r="AK125" s="319" t="s">
        <v>190</v>
      </c>
      <c r="AL125" s="319" t="s">
        <v>190</v>
      </c>
      <c r="AM125" s="319" t="s">
        <v>190</v>
      </c>
      <c r="AN125" s="319" t="s">
        <v>190</v>
      </c>
      <c r="AO125" s="319" t="s">
        <v>190</v>
      </c>
      <c r="AP125" s="319" t="s">
        <v>190</v>
      </c>
      <c r="AQ125" s="319" t="s">
        <v>190</v>
      </c>
      <c r="AR125" s="319" t="s">
        <v>190</v>
      </c>
      <c r="AS125" s="319" t="s">
        <v>190</v>
      </c>
      <c r="AT125" s="319" t="s">
        <v>190</v>
      </c>
      <c r="AU125" s="319" t="s">
        <v>190</v>
      </c>
      <c r="AV125" s="319" t="s">
        <v>190</v>
      </c>
      <c r="AW125" s="319" t="s">
        <v>190</v>
      </c>
      <c r="AX125" s="319" t="s">
        <v>429</v>
      </c>
      <c r="AY125" s="319" t="s">
        <v>190</v>
      </c>
      <c r="AZ125" s="319" t="s">
        <v>190</v>
      </c>
      <c r="BA125" s="319" t="s">
        <v>190</v>
      </c>
      <c r="BB125" s="319" t="s">
        <v>190</v>
      </c>
      <c r="BC125" s="319" t="s">
        <v>190</v>
      </c>
      <c r="BD125" s="319" t="s">
        <v>190</v>
      </c>
      <c r="BE125" s="319" t="s">
        <v>190</v>
      </c>
      <c r="BF125" s="319" t="s">
        <v>429</v>
      </c>
      <c r="BG125" s="319" t="s">
        <v>190</v>
      </c>
      <c r="BH125" s="319" t="s">
        <v>190</v>
      </c>
      <c r="BI125" s="319" t="s">
        <v>190</v>
      </c>
      <c r="BJ125" s="319" t="s">
        <v>190</v>
      </c>
      <c r="BK125" s="319" t="s">
        <v>190</v>
      </c>
      <c r="BL125" s="319" t="s">
        <v>190</v>
      </c>
      <c r="BM125" s="319" t="s">
        <v>190</v>
      </c>
      <c r="BN125" s="319" t="s">
        <v>190</v>
      </c>
      <c r="BO125" s="319" t="s">
        <v>190</v>
      </c>
      <c r="BP125" s="319" t="s">
        <v>190</v>
      </c>
      <c r="BQ125" s="319" t="s">
        <v>190</v>
      </c>
      <c r="BR125" s="319" t="s">
        <v>190</v>
      </c>
      <c r="BS125" s="319" t="s">
        <v>190</v>
      </c>
      <c r="BT125" s="319" t="s">
        <v>190</v>
      </c>
      <c r="BU125" s="319" t="s">
        <v>190</v>
      </c>
      <c r="BV125" s="319" t="s">
        <v>190</v>
      </c>
      <c r="BW125" s="319" t="s">
        <v>190</v>
      </c>
      <c r="BX125" s="319" t="s">
        <v>190</v>
      </c>
      <c r="BY125" s="319" t="s">
        <v>190</v>
      </c>
      <c r="BZ125" s="319" t="s">
        <v>190</v>
      </c>
      <c r="CA125" s="319" t="s">
        <v>190</v>
      </c>
      <c r="CB125" s="319" t="s">
        <v>190</v>
      </c>
      <c r="CC125" s="319" t="s">
        <v>190</v>
      </c>
      <c r="CD125" s="319" t="s">
        <v>190</v>
      </c>
      <c r="CE125" s="319" t="s">
        <v>190</v>
      </c>
      <c r="CF125" s="319" t="s">
        <v>190</v>
      </c>
      <c r="CG125" s="319" t="s">
        <v>190</v>
      </c>
      <c r="CH125" s="319" t="s">
        <v>190</v>
      </c>
      <c r="CI125" s="319" t="s">
        <v>190</v>
      </c>
      <c r="CJ125" s="319" t="s">
        <v>190</v>
      </c>
      <c r="CK125" s="319" t="s">
        <v>190</v>
      </c>
      <c r="CL125" s="319" t="s">
        <v>190</v>
      </c>
      <c r="CM125" s="319" t="s">
        <v>190</v>
      </c>
      <c r="CN125" s="319" t="s">
        <v>429</v>
      </c>
      <c r="CO125" s="319" t="s">
        <v>429</v>
      </c>
      <c r="CP125" s="319" t="s">
        <v>429</v>
      </c>
      <c r="CQ125" s="319" t="s">
        <v>190</v>
      </c>
      <c r="CR125" s="319" t="s">
        <v>190</v>
      </c>
      <c r="CS125" s="319" t="s">
        <v>190</v>
      </c>
      <c r="CT125" s="319" t="s">
        <v>190</v>
      </c>
      <c r="CU125" s="319" t="s">
        <v>190</v>
      </c>
      <c r="CV125" s="319" t="s">
        <v>190</v>
      </c>
      <c r="CW125" s="319" t="s">
        <v>190</v>
      </c>
      <c r="CX125" s="319" t="s">
        <v>190</v>
      </c>
      <c r="CY125" s="319" t="s">
        <v>190</v>
      </c>
      <c r="CZ125" s="319" t="s">
        <v>190</v>
      </c>
      <c r="DA125" s="319" t="s">
        <v>190</v>
      </c>
      <c r="DB125" s="319" t="s">
        <v>190</v>
      </c>
      <c r="DC125" s="319" t="s">
        <v>190</v>
      </c>
      <c r="DD125" s="319" t="s">
        <v>190</v>
      </c>
      <c r="DE125" s="319" t="s">
        <v>190</v>
      </c>
      <c r="DF125" s="319" t="s">
        <v>190</v>
      </c>
      <c r="DG125" s="319" t="s">
        <v>190</v>
      </c>
      <c r="DH125" s="319" t="s">
        <v>190</v>
      </c>
      <c r="DI125" s="319" t="s">
        <v>190</v>
      </c>
      <c r="DJ125" s="319" t="s">
        <v>190</v>
      </c>
      <c r="DK125" s="319" t="s">
        <v>190</v>
      </c>
      <c r="DL125" s="319" t="s">
        <v>190</v>
      </c>
      <c r="DM125" s="319" t="s">
        <v>190</v>
      </c>
      <c r="DN125" s="319" t="s">
        <v>429</v>
      </c>
      <c r="DO125" s="319" t="s">
        <v>190</v>
      </c>
      <c r="DP125" s="319" t="s">
        <v>190</v>
      </c>
      <c r="DQ125" s="319" t="s">
        <v>190</v>
      </c>
      <c r="DR125" s="319" t="s">
        <v>190</v>
      </c>
      <c r="DS125" s="319" t="s">
        <v>190</v>
      </c>
      <c r="DT125" s="319" t="s">
        <v>190</v>
      </c>
      <c r="DU125" s="319" t="s">
        <v>190</v>
      </c>
      <c r="DV125" s="319" t="s">
        <v>173</v>
      </c>
      <c r="DW125" s="319" t="s">
        <v>190</v>
      </c>
      <c r="DX125" s="319" t="s">
        <v>190</v>
      </c>
      <c r="DY125" s="319" t="s">
        <v>190</v>
      </c>
      <c r="DZ125" s="319" t="s">
        <v>190</v>
      </c>
      <c r="EA125" s="319" t="s">
        <v>190</v>
      </c>
      <c r="EB125" s="319" t="s">
        <v>190</v>
      </c>
      <c r="EC125" s="319" t="s">
        <v>429</v>
      </c>
      <c r="ED125" s="319" t="s">
        <v>190</v>
      </c>
      <c r="EE125" s="319" t="s">
        <v>190</v>
      </c>
      <c r="EF125" s="319" t="s">
        <v>190</v>
      </c>
      <c r="EG125" s="319" t="s">
        <v>190</v>
      </c>
      <c r="EH125" s="319" t="s">
        <v>190</v>
      </c>
      <c r="EI125" s="319" t="s">
        <v>190</v>
      </c>
      <c r="EJ125" s="319" t="s">
        <v>190</v>
      </c>
      <c r="EK125" s="319" t="s">
        <v>190</v>
      </c>
      <c r="EL125" s="319" t="s">
        <v>190</v>
      </c>
      <c r="EM125" s="319" t="s">
        <v>190</v>
      </c>
      <c r="EN125" s="319" t="s">
        <v>190</v>
      </c>
      <c r="EO125" s="319" t="s">
        <v>190</v>
      </c>
      <c r="EP125" s="319" t="s">
        <v>190</v>
      </c>
      <c r="EQ125" s="319" t="s">
        <v>190</v>
      </c>
      <c r="ER125" s="319" t="s">
        <v>190</v>
      </c>
      <c r="ES125" s="319" t="s">
        <v>190</v>
      </c>
      <c r="ET125" s="319" t="s">
        <v>190</v>
      </c>
      <c r="EU125" s="319" t="s">
        <v>190</v>
      </c>
      <c r="EV125" s="319" t="s">
        <v>190</v>
      </c>
      <c r="EW125" s="319" t="s">
        <v>190</v>
      </c>
      <c r="EX125" s="319" t="s">
        <v>190</v>
      </c>
      <c r="EY125" s="319" t="s">
        <v>190</v>
      </c>
      <c r="EZ125" s="319" t="s">
        <v>190</v>
      </c>
      <c r="FA125" s="319" t="s">
        <v>190</v>
      </c>
      <c r="FB125" s="319" t="s">
        <v>190</v>
      </c>
      <c r="FC125" s="319" t="s">
        <v>190</v>
      </c>
      <c r="FD125" s="319" t="s">
        <v>190</v>
      </c>
      <c r="FE125" s="319" t="s">
        <v>190</v>
      </c>
      <c r="FF125" s="319" t="s">
        <v>190</v>
      </c>
      <c r="FG125" s="319" t="s">
        <v>190</v>
      </c>
      <c r="FH125" s="319" t="s">
        <v>190</v>
      </c>
      <c r="FI125" s="319" t="s">
        <v>190</v>
      </c>
      <c r="FJ125" s="319" t="s">
        <v>190</v>
      </c>
      <c r="FK125" s="319" t="s">
        <v>190</v>
      </c>
      <c r="FL125" s="319" t="s">
        <v>190</v>
      </c>
      <c r="FM125" s="319" t="s">
        <v>190</v>
      </c>
      <c r="FN125" s="319" t="s">
        <v>190</v>
      </c>
      <c r="FO125" s="319" t="s">
        <v>190</v>
      </c>
      <c r="FP125" s="319" t="s">
        <v>190</v>
      </c>
      <c r="FQ125" s="319" t="s">
        <v>190</v>
      </c>
      <c r="FR125" s="319" t="s">
        <v>190</v>
      </c>
      <c r="FS125" s="319" t="s">
        <v>190</v>
      </c>
      <c r="FT125" s="319" t="s">
        <v>190</v>
      </c>
      <c r="FU125" s="319" t="s">
        <v>190</v>
      </c>
      <c r="FV125" s="319" t="s">
        <v>190</v>
      </c>
      <c r="FW125" s="319" t="s">
        <v>190</v>
      </c>
      <c r="FX125" s="319" t="s">
        <v>190</v>
      </c>
      <c r="FY125" s="319" t="s">
        <v>190</v>
      </c>
      <c r="FZ125" s="319" t="s">
        <v>190</v>
      </c>
      <c r="GA125" s="319" t="s">
        <v>190</v>
      </c>
      <c r="GB125" s="319" t="s">
        <v>190</v>
      </c>
      <c r="GC125" s="319" t="s">
        <v>190</v>
      </c>
      <c r="GD125" s="319" t="s">
        <v>190</v>
      </c>
      <c r="GE125" s="319" t="s">
        <v>190</v>
      </c>
      <c r="GF125" s="319" t="s">
        <v>190</v>
      </c>
      <c r="GG125" s="319" t="s">
        <v>190</v>
      </c>
      <c r="GH125" s="319" t="s">
        <v>190</v>
      </c>
      <c r="GI125" s="319" t="s">
        <v>190</v>
      </c>
      <c r="GJ125" s="319" t="s">
        <v>190</v>
      </c>
      <c r="GK125" s="319" t="s">
        <v>429</v>
      </c>
      <c r="GL125" s="319" t="s">
        <v>190</v>
      </c>
      <c r="GM125" s="319" t="s">
        <v>190</v>
      </c>
      <c r="GN125" s="319" t="s">
        <v>190</v>
      </c>
      <c r="GO125" s="319" t="s">
        <v>190</v>
      </c>
      <c r="GP125" s="319" t="s">
        <v>190</v>
      </c>
      <c r="GQ125" s="319" t="s">
        <v>190</v>
      </c>
      <c r="GR125" s="319" t="s">
        <v>190</v>
      </c>
      <c r="GS125" s="319" t="s">
        <v>190</v>
      </c>
      <c r="GT125" s="319" t="s">
        <v>190</v>
      </c>
      <c r="GU125" s="319" t="s">
        <v>190</v>
      </c>
      <c r="GV125" s="319" t="s">
        <v>190</v>
      </c>
      <c r="GW125" s="319" t="s">
        <v>190</v>
      </c>
      <c r="GX125" s="319" t="s">
        <v>190</v>
      </c>
      <c r="GY125" s="319" t="s">
        <v>190</v>
      </c>
      <c r="GZ125" s="319" t="s">
        <v>429</v>
      </c>
      <c r="HA125" s="319" t="s">
        <v>190</v>
      </c>
      <c r="HB125" s="319" t="s">
        <v>190</v>
      </c>
      <c r="HC125" s="319" t="s">
        <v>190</v>
      </c>
      <c r="HD125" s="319" t="s">
        <v>190</v>
      </c>
      <c r="HE125" s="319" t="s">
        <v>190</v>
      </c>
      <c r="HF125" s="319" t="s">
        <v>190</v>
      </c>
      <c r="HG125" s="319" t="s">
        <v>190</v>
      </c>
      <c r="HH125" s="319" t="s">
        <v>190</v>
      </c>
      <c r="HI125" s="319" t="s">
        <v>190</v>
      </c>
      <c r="HJ125" s="319" t="s">
        <v>190</v>
      </c>
      <c r="HK125" s="319" t="s">
        <v>190</v>
      </c>
      <c r="HL125" s="319" t="s">
        <v>429</v>
      </c>
      <c r="HM125" s="319" t="s">
        <v>429</v>
      </c>
      <c r="HN125" s="319" t="s">
        <v>429</v>
      </c>
      <c r="HO125" s="319" t="s">
        <v>429</v>
      </c>
      <c r="HP125" s="319" t="s">
        <v>190</v>
      </c>
      <c r="HQ125" s="319" t="s">
        <v>190</v>
      </c>
      <c r="HR125" s="319" t="s">
        <v>190</v>
      </c>
      <c r="HS125" s="319" t="s">
        <v>190</v>
      </c>
      <c r="HT125" s="319" t="s">
        <v>190</v>
      </c>
      <c r="HU125" s="319" t="s">
        <v>190</v>
      </c>
      <c r="HV125" s="319" t="s">
        <v>190</v>
      </c>
      <c r="HW125" s="319" t="s">
        <v>190</v>
      </c>
      <c r="HX125" s="319" t="s">
        <v>190</v>
      </c>
      <c r="HY125" s="319" t="s">
        <v>190</v>
      </c>
      <c r="HZ125" s="319" t="s">
        <v>190</v>
      </c>
      <c r="IA125" s="319" t="s">
        <v>190</v>
      </c>
      <c r="IB125" s="319" t="s">
        <v>190</v>
      </c>
      <c r="IC125" s="319" t="s">
        <v>190</v>
      </c>
      <c r="ID125" s="319" t="s">
        <v>190</v>
      </c>
      <c r="IE125" s="319" t="s">
        <v>190</v>
      </c>
      <c r="IF125" s="319" t="s">
        <v>190</v>
      </c>
      <c r="IG125" s="319" t="s">
        <v>190</v>
      </c>
      <c r="IH125" s="319" t="s">
        <v>190</v>
      </c>
      <c r="II125" s="319" t="s">
        <v>190</v>
      </c>
      <c r="IJ125" s="319" t="s">
        <v>2899</v>
      </c>
      <c r="IK125" s="321">
        <v>41611</v>
      </c>
      <c r="IL125" s="321">
        <v>41613</v>
      </c>
      <c r="IM125" s="321">
        <v>41648</v>
      </c>
      <c r="IN125" s="319">
        <v>2</v>
      </c>
      <c r="IO125" s="319" t="s">
        <v>173</v>
      </c>
      <c r="IP125" s="319" t="s">
        <v>173</v>
      </c>
      <c r="IQ125" s="321" t="s">
        <v>173</v>
      </c>
      <c r="IR125" s="320" t="s">
        <v>173</v>
      </c>
      <c r="IS125" s="322" t="s">
        <v>173</v>
      </c>
      <c r="IT125" s="319" t="s">
        <v>173</v>
      </c>
    </row>
    <row r="126" spans="1:254" s="271" customFormat="1" x14ac:dyDescent="0.25">
      <c r="A126" s="318" t="str">
        <f>HYPERLINK("http://www.ofsted.gov.uk/inspection-reports/find-inspection-report/provider/ELS/109355 ","Ofsted School Webpage")</f>
        <v>Ofsted School Webpage</v>
      </c>
      <c r="B126" s="319">
        <v>109355</v>
      </c>
      <c r="C126" s="319">
        <v>8036002</v>
      </c>
      <c r="D126" s="319" t="s">
        <v>1368</v>
      </c>
      <c r="E126" s="319" t="s">
        <v>167</v>
      </c>
      <c r="F126" s="319" t="s">
        <v>81</v>
      </c>
      <c r="G126" s="319" t="s">
        <v>80</v>
      </c>
      <c r="H126" s="319" t="s">
        <v>80</v>
      </c>
      <c r="I126" s="319" t="s">
        <v>78</v>
      </c>
      <c r="J126" s="319" t="s">
        <v>424</v>
      </c>
      <c r="K126" s="319" t="s">
        <v>422</v>
      </c>
      <c r="L126" s="319" t="s">
        <v>422</v>
      </c>
      <c r="M126" s="319" t="s">
        <v>1071</v>
      </c>
      <c r="N126" s="319" t="s">
        <v>2900</v>
      </c>
      <c r="O126" s="319" t="s">
        <v>1369</v>
      </c>
      <c r="P126" s="319">
        <v>241</v>
      </c>
      <c r="Q126" s="319" t="s">
        <v>2766</v>
      </c>
      <c r="R126" s="320">
        <v>10020727</v>
      </c>
      <c r="S126" s="321">
        <v>42697</v>
      </c>
      <c r="T126" s="321">
        <v>42699</v>
      </c>
      <c r="U126" s="321">
        <v>42745</v>
      </c>
      <c r="V126" s="319" t="s">
        <v>425</v>
      </c>
      <c r="W126" s="319" t="s">
        <v>2767</v>
      </c>
      <c r="X126" s="319">
        <v>1</v>
      </c>
      <c r="Y126" s="319" t="s">
        <v>173</v>
      </c>
      <c r="Z126" s="319" t="s">
        <v>173</v>
      </c>
      <c r="AA126" s="319" t="s">
        <v>173</v>
      </c>
      <c r="AB126" s="319">
        <v>1</v>
      </c>
      <c r="AC126" s="319" t="s">
        <v>169</v>
      </c>
      <c r="AD126" s="319">
        <v>1</v>
      </c>
      <c r="AE126" s="319" t="s">
        <v>173</v>
      </c>
      <c r="AF126" s="319" t="s">
        <v>173</v>
      </c>
      <c r="AG126" s="319" t="s">
        <v>171</v>
      </c>
      <c r="AH126" s="319" t="s">
        <v>190</v>
      </c>
      <c r="AI126" s="319" t="s">
        <v>190</v>
      </c>
      <c r="AJ126" s="319" t="s">
        <v>190</v>
      </c>
      <c r="AK126" s="319" t="s">
        <v>190</v>
      </c>
      <c r="AL126" s="319" t="s">
        <v>190</v>
      </c>
      <c r="AM126" s="319" t="s">
        <v>190</v>
      </c>
      <c r="AN126" s="319" t="s">
        <v>190</v>
      </c>
      <c r="AO126" s="319" t="s">
        <v>190</v>
      </c>
      <c r="AP126" s="319" t="s">
        <v>190</v>
      </c>
      <c r="AQ126" s="319" t="s">
        <v>190</v>
      </c>
      <c r="AR126" s="319" t="s">
        <v>190</v>
      </c>
      <c r="AS126" s="319" t="s">
        <v>190</v>
      </c>
      <c r="AT126" s="319" t="s">
        <v>190</v>
      </c>
      <c r="AU126" s="319" t="s">
        <v>190</v>
      </c>
      <c r="AV126" s="319" t="s">
        <v>190</v>
      </c>
      <c r="AW126" s="319" t="s">
        <v>190</v>
      </c>
      <c r="AX126" s="319" t="s">
        <v>429</v>
      </c>
      <c r="AY126" s="319" t="s">
        <v>190</v>
      </c>
      <c r="AZ126" s="319" t="s">
        <v>190</v>
      </c>
      <c r="BA126" s="319" t="s">
        <v>190</v>
      </c>
      <c r="BB126" s="319" t="s">
        <v>429</v>
      </c>
      <c r="BC126" s="319" t="s">
        <v>429</v>
      </c>
      <c r="BD126" s="319" t="s">
        <v>429</v>
      </c>
      <c r="BE126" s="319" t="s">
        <v>429</v>
      </c>
      <c r="BF126" s="319" t="s">
        <v>190</v>
      </c>
      <c r="BG126" s="319" t="s">
        <v>429</v>
      </c>
      <c r="BH126" s="319" t="s">
        <v>190</v>
      </c>
      <c r="BI126" s="319" t="s">
        <v>190</v>
      </c>
      <c r="BJ126" s="319" t="s">
        <v>190</v>
      </c>
      <c r="BK126" s="319" t="s">
        <v>190</v>
      </c>
      <c r="BL126" s="319" t="s">
        <v>190</v>
      </c>
      <c r="BM126" s="319" t="s">
        <v>190</v>
      </c>
      <c r="BN126" s="319" t="s">
        <v>190</v>
      </c>
      <c r="BO126" s="319" t="s">
        <v>190</v>
      </c>
      <c r="BP126" s="319" t="s">
        <v>190</v>
      </c>
      <c r="BQ126" s="319" t="s">
        <v>190</v>
      </c>
      <c r="BR126" s="319" t="s">
        <v>190</v>
      </c>
      <c r="BS126" s="319" t="s">
        <v>190</v>
      </c>
      <c r="BT126" s="319" t="s">
        <v>190</v>
      </c>
      <c r="BU126" s="319" t="s">
        <v>190</v>
      </c>
      <c r="BV126" s="319" t="s">
        <v>190</v>
      </c>
      <c r="BW126" s="319" t="s">
        <v>190</v>
      </c>
      <c r="BX126" s="319" t="s">
        <v>190</v>
      </c>
      <c r="BY126" s="319" t="s">
        <v>190</v>
      </c>
      <c r="BZ126" s="319" t="s">
        <v>190</v>
      </c>
      <c r="CA126" s="319" t="s">
        <v>190</v>
      </c>
      <c r="CB126" s="319" t="s">
        <v>190</v>
      </c>
      <c r="CC126" s="319" t="s">
        <v>190</v>
      </c>
      <c r="CD126" s="319" t="s">
        <v>190</v>
      </c>
      <c r="CE126" s="319" t="s">
        <v>190</v>
      </c>
      <c r="CF126" s="319" t="s">
        <v>190</v>
      </c>
      <c r="CG126" s="319" t="s">
        <v>190</v>
      </c>
      <c r="CH126" s="319" t="s">
        <v>190</v>
      </c>
      <c r="CI126" s="319" t="s">
        <v>190</v>
      </c>
      <c r="CJ126" s="319" t="s">
        <v>190</v>
      </c>
      <c r="CK126" s="319" t="s">
        <v>190</v>
      </c>
      <c r="CL126" s="319" t="s">
        <v>190</v>
      </c>
      <c r="CM126" s="319" t="s">
        <v>190</v>
      </c>
      <c r="CN126" s="319" t="s">
        <v>190</v>
      </c>
      <c r="CO126" s="319" t="s">
        <v>429</v>
      </c>
      <c r="CP126" s="319" t="s">
        <v>429</v>
      </c>
      <c r="CQ126" s="319" t="s">
        <v>190</v>
      </c>
      <c r="CR126" s="319" t="s">
        <v>190</v>
      </c>
      <c r="CS126" s="319" t="s">
        <v>190</v>
      </c>
      <c r="CT126" s="319" t="s">
        <v>190</v>
      </c>
      <c r="CU126" s="319" t="s">
        <v>190</v>
      </c>
      <c r="CV126" s="319" t="s">
        <v>190</v>
      </c>
      <c r="CW126" s="319" t="s">
        <v>190</v>
      </c>
      <c r="CX126" s="319" t="s">
        <v>190</v>
      </c>
      <c r="CY126" s="319" t="s">
        <v>190</v>
      </c>
      <c r="CZ126" s="319" t="s">
        <v>190</v>
      </c>
      <c r="DA126" s="319" t="s">
        <v>190</v>
      </c>
      <c r="DB126" s="319" t="s">
        <v>190</v>
      </c>
      <c r="DC126" s="319" t="s">
        <v>190</v>
      </c>
      <c r="DD126" s="319" t="s">
        <v>190</v>
      </c>
      <c r="DE126" s="319" t="s">
        <v>190</v>
      </c>
      <c r="DF126" s="319" t="s">
        <v>190</v>
      </c>
      <c r="DG126" s="319" t="s">
        <v>190</v>
      </c>
      <c r="DH126" s="319" t="s">
        <v>190</v>
      </c>
      <c r="DI126" s="319" t="s">
        <v>190</v>
      </c>
      <c r="DJ126" s="319" t="s">
        <v>190</v>
      </c>
      <c r="DK126" s="319" t="s">
        <v>190</v>
      </c>
      <c r="DL126" s="319" t="s">
        <v>190</v>
      </c>
      <c r="DM126" s="319" t="s">
        <v>190</v>
      </c>
      <c r="DN126" s="319" t="s">
        <v>429</v>
      </c>
      <c r="DO126" s="319" t="s">
        <v>190</v>
      </c>
      <c r="DP126" s="319" t="s">
        <v>429</v>
      </c>
      <c r="DQ126" s="319" t="s">
        <v>429</v>
      </c>
      <c r="DR126" s="319" t="s">
        <v>429</v>
      </c>
      <c r="DS126" s="319" t="s">
        <v>429</v>
      </c>
      <c r="DT126" s="319" t="s">
        <v>429</v>
      </c>
      <c r="DU126" s="319" t="s">
        <v>429</v>
      </c>
      <c r="DV126" s="319" t="s">
        <v>173</v>
      </c>
      <c r="DW126" s="319" t="s">
        <v>429</v>
      </c>
      <c r="DX126" s="319" t="s">
        <v>429</v>
      </c>
      <c r="DY126" s="319" t="s">
        <v>429</v>
      </c>
      <c r="DZ126" s="319" t="s">
        <v>429</v>
      </c>
      <c r="EA126" s="319" t="s">
        <v>429</v>
      </c>
      <c r="EB126" s="319" t="s">
        <v>429</v>
      </c>
      <c r="EC126" s="319" t="s">
        <v>429</v>
      </c>
      <c r="ED126" s="319" t="s">
        <v>429</v>
      </c>
      <c r="EE126" s="319" t="s">
        <v>190</v>
      </c>
      <c r="EF126" s="319" t="s">
        <v>190</v>
      </c>
      <c r="EG126" s="319" t="s">
        <v>190</v>
      </c>
      <c r="EH126" s="319" t="s">
        <v>190</v>
      </c>
      <c r="EI126" s="319" t="s">
        <v>190</v>
      </c>
      <c r="EJ126" s="319" t="s">
        <v>190</v>
      </c>
      <c r="EK126" s="319" t="s">
        <v>190</v>
      </c>
      <c r="EL126" s="319" t="s">
        <v>190</v>
      </c>
      <c r="EM126" s="319" t="s">
        <v>190</v>
      </c>
      <c r="EN126" s="319" t="s">
        <v>190</v>
      </c>
      <c r="EO126" s="319" t="s">
        <v>190</v>
      </c>
      <c r="EP126" s="319" t="s">
        <v>190</v>
      </c>
      <c r="EQ126" s="319" t="s">
        <v>190</v>
      </c>
      <c r="ER126" s="319" t="s">
        <v>190</v>
      </c>
      <c r="ES126" s="319" t="s">
        <v>190</v>
      </c>
      <c r="ET126" s="319" t="s">
        <v>190</v>
      </c>
      <c r="EU126" s="319" t="s">
        <v>190</v>
      </c>
      <c r="EV126" s="319" t="s">
        <v>190</v>
      </c>
      <c r="EW126" s="319" t="s">
        <v>190</v>
      </c>
      <c r="EX126" s="319" t="s">
        <v>190</v>
      </c>
      <c r="EY126" s="319" t="s">
        <v>429</v>
      </c>
      <c r="EZ126" s="319" t="s">
        <v>190</v>
      </c>
      <c r="FA126" s="319" t="s">
        <v>190</v>
      </c>
      <c r="FB126" s="319" t="s">
        <v>190</v>
      </c>
      <c r="FC126" s="319" t="s">
        <v>190</v>
      </c>
      <c r="FD126" s="319" t="s">
        <v>190</v>
      </c>
      <c r="FE126" s="319" t="s">
        <v>190</v>
      </c>
      <c r="FF126" s="319" t="s">
        <v>190</v>
      </c>
      <c r="FG126" s="319" t="s">
        <v>429</v>
      </c>
      <c r="FH126" s="319" t="s">
        <v>190</v>
      </c>
      <c r="FI126" s="319" t="s">
        <v>190</v>
      </c>
      <c r="FJ126" s="319" t="s">
        <v>190</v>
      </c>
      <c r="FK126" s="319" t="s">
        <v>190</v>
      </c>
      <c r="FL126" s="319" t="s">
        <v>190</v>
      </c>
      <c r="FM126" s="319" t="s">
        <v>190</v>
      </c>
      <c r="FN126" s="319" t="s">
        <v>190</v>
      </c>
      <c r="FO126" s="319" t="s">
        <v>429</v>
      </c>
      <c r="FP126" s="319" t="s">
        <v>190</v>
      </c>
      <c r="FQ126" s="319" t="s">
        <v>190</v>
      </c>
      <c r="FR126" s="319" t="s">
        <v>190</v>
      </c>
      <c r="FS126" s="319" t="s">
        <v>429</v>
      </c>
      <c r="FT126" s="319" t="s">
        <v>429</v>
      </c>
      <c r="FU126" s="319" t="s">
        <v>190</v>
      </c>
      <c r="FV126" s="319" t="s">
        <v>190</v>
      </c>
      <c r="FW126" s="319" t="s">
        <v>190</v>
      </c>
      <c r="FX126" s="319" t="s">
        <v>190</v>
      </c>
      <c r="FY126" s="319" t="s">
        <v>190</v>
      </c>
      <c r="FZ126" s="319" t="s">
        <v>190</v>
      </c>
      <c r="GA126" s="319" t="s">
        <v>190</v>
      </c>
      <c r="GB126" s="319" t="s">
        <v>190</v>
      </c>
      <c r="GC126" s="319" t="s">
        <v>190</v>
      </c>
      <c r="GD126" s="319" t="s">
        <v>190</v>
      </c>
      <c r="GE126" s="319" t="s">
        <v>190</v>
      </c>
      <c r="GF126" s="319" t="s">
        <v>190</v>
      </c>
      <c r="GG126" s="319" t="s">
        <v>190</v>
      </c>
      <c r="GH126" s="319" t="s">
        <v>190</v>
      </c>
      <c r="GI126" s="319" t="s">
        <v>190</v>
      </c>
      <c r="GJ126" s="319" t="s">
        <v>190</v>
      </c>
      <c r="GK126" s="319" t="s">
        <v>429</v>
      </c>
      <c r="GL126" s="319" t="s">
        <v>190</v>
      </c>
      <c r="GM126" s="319" t="s">
        <v>190</v>
      </c>
      <c r="GN126" s="319" t="s">
        <v>190</v>
      </c>
      <c r="GO126" s="319" t="s">
        <v>190</v>
      </c>
      <c r="GP126" s="319" t="s">
        <v>190</v>
      </c>
      <c r="GQ126" s="319" t="s">
        <v>190</v>
      </c>
      <c r="GR126" s="319" t="s">
        <v>190</v>
      </c>
      <c r="GS126" s="319" t="s">
        <v>190</v>
      </c>
      <c r="GT126" s="319" t="s">
        <v>429</v>
      </c>
      <c r="GU126" s="319" t="s">
        <v>429</v>
      </c>
      <c r="GV126" s="319" t="s">
        <v>190</v>
      </c>
      <c r="GW126" s="319" t="s">
        <v>190</v>
      </c>
      <c r="GX126" s="319" t="s">
        <v>190</v>
      </c>
      <c r="GY126" s="319" t="s">
        <v>190</v>
      </c>
      <c r="GZ126" s="319" t="s">
        <v>190</v>
      </c>
      <c r="HA126" s="319" t="s">
        <v>190</v>
      </c>
      <c r="HB126" s="319" t="s">
        <v>429</v>
      </c>
      <c r="HC126" s="319" t="s">
        <v>190</v>
      </c>
      <c r="HD126" s="319" t="s">
        <v>190</v>
      </c>
      <c r="HE126" s="319" t="s">
        <v>190</v>
      </c>
      <c r="HF126" s="319" t="s">
        <v>190</v>
      </c>
      <c r="HG126" s="319" t="s">
        <v>190</v>
      </c>
      <c r="HH126" s="319" t="s">
        <v>190</v>
      </c>
      <c r="HI126" s="319" t="s">
        <v>190</v>
      </c>
      <c r="HJ126" s="319" t="s">
        <v>190</v>
      </c>
      <c r="HK126" s="319" t="s">
        <v>190</v>
      </c>
      <c r="HL126" s="319" t="s">
        <v>429</v>
      </c>
      <c r="HM126" s="319" t="s">
        <v>429</v>
      </c>
      <c r="HN126" s="319" t="s">
        <v>429</v>
      </c>
      <c r="HO126" s="319" t="s">
        <v>429</v>
      </c>
      <c r="HP126" s="319" t="s">
        <v>190</v>
      </c>
      <c r="HQ126" s="319" t="s">
        <v>190</v>
      </c>
      <c r="HR126" s="319" t="s">
        <v>190</v>
      </c>
      <c r="HS126" s="319" t="s">
        <v>190</v>
      </c>
      <c r="HT126" s="319" t="s">
        <v>190</v>
      </c>
      <c r="HU126" s="319" t="s">
        <v>190</v>
      </c>
      <c r="HV126" s="319" t="s">
        <v>190</v>
      </c>
      <c r="HW126" s="319" t="s">
        <v>190</v>
      </c>
      <c r="HX126" s="319" t="s">
        <v>190</v>
      </c>
      <c r="HY126" s="319" t="s">
        <v>190</v>
      </c>
      <c r="HZ126" s="319" t="s">
        <v>190</v>
      </c>
      <c r="IA126" s="319" t="s">
        <v>190</v>
      </c>
      <c r="IB126" s="319" t="s">
        <v>190</v>
      </c>
      <c r="IC126" s="319" t="s">
        <v>190</v>
      </c>
      <c r="ID126" s="319" t="s">
        <v>190</v>
      </c>
      <c r="IE126" s="319" t="s">
        <v>190</v>
      </c>
      <c r="IF126" s="319" t="s">
        <v>190</v>
      </c>
      <c r="IG126" s="319" t="s">
        <v>190</v>
      </c>
      <c r="IH126" s="319" t="s">
        <v>190</v>
      </c>
      <c r="II126" s="319" t="s">
        <v>190</v>
      </c>
      <c r="IJ126" s="319" t="s">
        <v>2901</v>
      </c>
      <c r="IK126" s="321">
        <v>40871</v>
      </c>
      <c r="IL126" s="321">
        <v>40872</v>
      </c>
      <c r="IM126" s="321">
        <v>40893</v>
      </c>
      <c r="IN126" s="319">
        <v>1</v>
      </c>
      <c r="IO126" s="319" t="s">
        <v>173</v>
      </c>
      <c r="IP126" s="319" t="s">
        <v>173</v>
      </c>
      <c r="IQ126" s="321" t="s">
        <v>173</v>
      </c>
      <c r="IR126" s="320" t="s">
        <v>173</v>
      </c>
      <c r="IS126" s="322" t="s">
        <v>173</v>
      </c>
      <c r="IT126" s="319" t="s">
        <v>173</v>
      </c>
    </row>
    <row r="127" spans="1:254" s="271" customFormat="1" x14ac:dyDescent="0.25">
      <c r="A127" s="318" t="str">
        <f>HYPERLINK("http://www.ofsted.gov.uk/inspection-reports/find-inspection-report/provider/ELS/109364 ","Ofsted School Webpage")</f>
        <v>Ofsted School Webpage</v>
      </c>
      <c r="B127" s="319">
        <v>109364</v>
      </c>
      <c r="C127" s="319">
        <v>8026004</v>
      </c>
      <c r="D127" s="319" t="s">
        <v>1370</v>
      </c>
      <c r="E127" s="319" t="s">
        <v>167</v>
      </c>
      <c r="F127" s="319" t="s">
        <v>81</v>
      </c>
      <c r="G127" s="319" t="s">
        <v>81</v>
      </c>
      <c r="H127" s="319" t="s">
        <v>81</v>
      </c>
      <c r="I127" s="319" t="s">
        <v>78</v>
      </c>
      <c r="J127" s="319" t="s">
        <v>424</v>
      </c>
      <c r="K127" s="319" t="s">
        <v>422</v>
      </c>
      <c r="L127" s="319" t="s">
        <v>422</v>
      </c>
      <c r="M127" s="319" t="s">
        <v>1371</v>
      </c>
      <c r="N127" s="319" t="s">
        <v>2902</v>
      </c>
      <c r="O127" s="319" t="s">
        <v>1372</v>
      </c>
      <c r="P127" s="319">
        <v>50</v>
      </c>
      <c r="Q127" s="319" t="s">
        <v>2766</v>
      </c>
      <c r="R127" s="320">
        <v>10041373</v>
      </c>
      <c r="S127" s="321">
        <v>43123</v>
      </c>
      <c r="T127" s="321">
        <v>43125</v>
      </c>
      <c r="U127" s="321">
        <v>43151</v>
      </c>
      <c r="V127" s="319" t="s">
        <v>425</v>
      </c>
      <c r="W127" s="319" t="s">
        <v>2767</v>
      </c>
      <c r="X127" s="319">
        <v>2</v>
      </c>
      <c r="Y127" s="319" t="s">
        <v>173</v>
      </c>
      <c r="Z127" s="319" t="s">
        <v>173</v>
      </c>
      <c r="AA127" s="319" t="s">
        <v>173</v>
      </c>
      <c r="AB127" s="319">
        <v>2</v>
      </c>
      <c r="AC127" s="319" t="s">
        <v>169</v>
      </c>
      <c r="AD127" s="319">
        <v>2</v>
      </c>
      <c r="AE127" s="319" t="s">
        <v>173</v>
      </c>
      <c r="AF127" s="319" t="s">
        <v>427</v>
      </c>
      <c r="AG127" s="319" t="s">
        <v>171</v>
      </c>
      <c r="AH127" s="319" t="s">
        <v>190</v>
      </c>
      <c r="AI127" s="319" t="s">
        <v>190</v>
      </c>
      <c r="AJ127" s="319" t="s">
        <v>190</v>
      </c>
      <c r="AK127" s="319" t="s">
        <v>190</v>
      </c>
      <c r="AL127" s="319" t="s">
        <v>190</v>
      </c>
      <c r="AM127" s="319" t="s">
        <v>190</v>
      </c>
      <c r="AN127" s="319" t="s">
        <v>190</v>
      </c>
      <c r="AO127" s="319" t="s">
        <v>190</v>
      </c>
      <c r="AP127" s="319" t="s">
        <v>190</v>
      </c>
      <c r="AQ127" s="319" t="s">
        <v>190</v>
      </c>
      <c r="AR127" s="319" t="s">
        <v>190</v>
      </c>
      <c r="AS127" s="319" t="s">
        <v>190</v>
      </c>
      <c r="AT127" s="319" t="s">
        <v>190</v>
      </c>
      <c r="AU127" s="319" t="s">
        <v>190</v>
      </c>
      <c r="AV127" s="319" t="s">
        <v>190</v>
      </c>
      <c r="AW127" s="319" t="s">
        <v>190</v>
      </c>
      <c r="AX127" s="319" t="s">
        <v>428</v>
      </c>
      <c r="AY127" s="319" t="s">
        <v>190</v>
      </c>
      <c r="AZ127" s="319" t="s">
        <v>190</v>
      </c>
      <c r="BA127" s="319" t="s">
        <v>190</v>
      </c>
      <c r="BB127" s="319" t="s">
        <v>428</v>
      </c>
      <c r="BC127" s="319" t="s">
        <v>428</v>
      </c>
      <c r="BD127" s="319" t="s">
        <v>428</v>
      </c>
      <c r="BE127" s="319" t="s">
        <v>428</v>
      </c>
      <c r="BF127" s="319" t="s">
        <v>190</v>
      </c>
      <c r="BG127" s="319" t="s">
        <v>428</v>
      </c>
      <c r="BH127" s="319" t="s">
        <v>190</v>
      </c>
      <c r="BI127" s="319" t="s">
        <v>190</v>
      </c>
      <c r="BJ127" s="319" t="s">
        <v>190</v>
      </c>
      <c r="BK127" s="319" t="s">
        <v>190</v>
      </c>
      <c r="BL127" s="319" t="s">
        <v>190</v>
      </c>
      <c r="BM127" s="319" t="s">
        <v>190</v>
      </c>
      <c r="BN127" s="319" t="s">
        <v>190</v>
      </c>
      <c r="BO127" s="319" t="s">
        <v>190</v>
      </c>
      <c r="BP127" s="319" t="s">
        <v>190</v>
      </c>
      <c r="BQ127" s="319" t="s">
        <v>190</v>
      </c>
      <c r="BR127" s="319" t="s">
        <v>190</v>
      </c>
      <c r="BS127" s="319" t="s">
        <v>190</v>
      </c>
      <c r="BT127" s="319" t="s">
        <v>190</v>
      </c>
      <c r="BU127" s="319" t="s">
        <v>190</v>
      </c>
      <c r="BV127" s="319" t="s">
        <v>190</v>
      </c>
      <c r="BW127" s="319" t="s">
        <v>190</v>
      </c>
      <c r="BX127" s="319" t="s">
        <v>190</v>
      </c>
      <c r="BY127" s="319" t="s">
        <v>190</v>
      </c>
      <c r="BZ127" s="319" t="s">
        <v>190</v>
      </c>
      <c r="CA127" s="319" t="s">
        <v>190</v>
      </c>
      <c r="CB127" s="319" t="s">
        <v>190</v>
      </c>
      <c r="CC127" s="319" t="s">
        <v>190</v>
      </c>
      <c r="CD127" s="319" t="s">
        <v>190</v>
      </c>
      <c r="CE127" s="319" t="s">
        <v>190</v>
      </c>
      <c r="CF127" s="319" t="s">
        <v>190</v>
      </c>
      <c r="CG127" s="319" t="s">
        <v>190</v>
      </c>
      <c r="CH127" s="319" t="s">
        <v>190</v>
      </c>
      <c r="CI127" s="319" t="s">
        <v>190</v>
      </c>
      <c r="CJ127" s="319" t="s">
        <v>190</v>
      </c>
      <c r="CK127" s="319" t="s">
        <v>190</v>
      </c>
      <c r="CL127" s="319" t="s">
        <v>190</v>
      </c>
      <c r="CM127" s="319" t="s">
        <v>190</v>
      </c>
      <c r="CN127" s="319" t="s">
        <v>428</v>
      </c>
      <c r="CO127" s="319" t="s">
        <v>428</v>
      </c>
      <c r="CP127" s="319" t="s">
        <v>428</v>
      </c>
      <c r="CQ127" s="319" t="s">
        <v>190</v>
      </c>
      <c r="CR127" s="319" t="s">
        <v>190</v>
      </c>
      <c r="CS127" s="319" t="s">
        <v>190</v>
      </c>
      <c r="CT127" s="319" t="s">
        <v>190</v>
      </c>
      <c r="CU127" s="319" t="s">
        <v>190</v>
      </c>
      <c r="CV127" s="319" t="s">
        <v>190</v>
      </c>
      <c r="CW127" s="319" t="s">
        <v>190</v>
      </c>
      <c r="CX127" s="319" t="s">
        <v>190</v>
      </c>
      <c r="CY127" s="319" t="s">
        <v>190</v>
      </c>
      <c r="CZ127" s="319" t="s">
        <v>190</v>
      </c>
      <c r="DA127" s="319" t="s">
        <v>190</v>
      </c>
      <c r="DB127" s="319" t="s">
        <v>190</v>
      </c>
      <c r="DC127" s="319" t="s">
        <v>190</v>
      </c>
      <c r="DD127" s="319" t="s">
        <v>190</v>
      </c>
      <c r="DE127" s="319" t="s">
        <v>190</v>
      </c>
      <c r="DF127" s="319" t="s">
        <v>190</v>
      </c>
      <c r="DG127" s="319" t="s">
        <v>190</v>
      </c>
      <c r="DH127" s="319" t="s">
        <v>190</v>
      </c>
      <c r="DI127" s="319" t="s">
        <v>190</v>
      </c>
      <c r="DJ127" s="319" t="s">
        <v>190</v>
      </c>
      <c r="DK127" s="319" t="s">
        <v>190</v>
      </c>
      <c r="DL127" s="319" t="s">
        <v>190</v>
      </c>
      <c r="DM127" s="319" t="s">
        <v>428</v>
      </c>
      <c r="DN127" s="319" t="s">
        <v>428</v>
      </c>
      <c r="DO127" s="319" t="s">
        <v>190</v>
      </c>
      <c r="DP127" s="319" t="s">
        <v>428</v>
      </c>
      <c r="DQ127" s="319" t="s">
        <v>428</v>
      </c>
      <c r="DR127" s="319" t="s">
        <v>428</v>
      </c>
      <c r="DS127" s="319" t="s">
        <v>428</v>
      </c>
      <c r="DT127" s="319" t="s">
        <v>428</v>
      </c>
      <c r="DU127" s="319" t="s">
        <v>428</v>
      </c>
      <c r="DV127" s="319" t="s">
        <v>173</v>
      </c>
      <c r="DW127" s="319" t="s">
        <v>428</v>
      </c>
      <c r="DX127" s="319" t="s">
        <v>428</v>
      </c>
      <c r="DY127" s="319" t="s">
        <v>428</v>
      </c>
      <c r="DZ127" s="319" t="s">
        <v>428</v>
      </c>
      <c r="EA127" s="319" t="s">
        <v>428</v>
      </c>
      <c r="EB127" s="319" t="s">
        <v>428</v>
      </c>
      <c r="EC127" s="319" t="s">
        <v>428</v>
      </c>
      <c r="ED127" s="319" t="s">
        <v>428</v>
      </c>
      <c r="EE127" s="319" t="s">
        <v>190</v>
      </c>
      <c r="EF127" s="319" t="s">
        <v>190</v>
      </c>
      <c r="EG127" s="319" t="s">
        <v>190</v>
      </c>
      <c r="EH127" s="319" t="s">
        <v>190</v>
      </c>
      <c r="EI127" s="319" t="s">
        <v>190</v>
      </c>
      <c r="EJ127" s="319" t="s">
        <v>190</v>
      </c>
      <c r="EK127" s="319" t="s">
        <v>190</v>
      </c>
      <c r="EL127" s="319" t="s">
        <v>190</v>
      </c>
      <c r="EM127" s="319" t="s">
        <v>190</v>
      </c>
      <c r="EN127" s="319" t="s">
        <v>190</v>
      </c>
      <c r="EO127" s="319" t="s">
        <v>190</v>
      </c>
      <c r="EP127" s="319" t="s">
        <v>190</v>
      </c>
      <c r="EQ127" s="319" t="s">
        <v>190</v>
      </c>
      <c r="ER127" s="319" t="s">
        <v>190</v>
      </c>
      <c r="ES127" s="319" t="s">
        <v>190</v>
      </c>
      <c r="ET127" s="319" t="s">
        <v>190</v>
      </c>
      <c r="EU127" s="319" t="s">
        <v>190</v>
      </c>
      <c r="EV127" s="319" t="s">
        <v>190</v>
      </c>
      <c r="EW127" s="319" t="s">
        <v>190</v>
      </c>
      <c r="EX127" s="319" t="s">
        <v>190</v>
      </c>
      <c r="EY127" s="319" t="s">
        <v>190</v>
      </c>
      <c r="EZ127" s="319" t="s">
        <v>190</v>
      </c>
      <c r="FA127" s="319" t="s">
        <v>190</v>
      </c>
      <c r="FB127" s="319" t="s">
        <v>428</v>
      </c>
      <c r="FC127" s="319" t="s">
        <v>428</v>
      </c>
      <c r="FD127" s="319" t="s">
        <v>428</v>
      </c>
      <c r="FE127" s="319" t="s">
        <v>428</v>
      </c>
      <c r="FF127" s="319" t="s">
        <v>428</v>
      </c>
      <c r="FG127" s="319" t="s">
        <v>428</v>
      </c>
      <c r="FH127" s="319" t="s">
        <v>428</v>
      </c>
      <c r="FI127" s="319" t="s">
        <v>190</v>
      </c>
      <c r="FJ127" s="319" t="s">
        <v>190</v>
      </c>
      <c r="FK127" s="319" t="s">
        <v>190</v>
      </c>
      <c r="FL127" s="319" t="s">
        <v>190</v>
      </c>
      <c r="FM127" s="319" t="s">
        <v>190</v>
      </c>
      <c r="FN127" s="319" t="s">
        <v>190</v>
      </c>
      <c r="FO127" s="319" t="s">
        <v>428</v>
      </c>
      <c r="FP127" s="319" t="s">
        <v>190</v>
      </c>
      <c r="FQ127" s="319" t="s">
        <v>190</v>
      </c>
      <c r="FR127" s="319" t="s">
        <v>190</v>
      </c>
      <c r="FS127" s="319" t="s">
        <v>190</v>
      </c>
      <c r="FT127" s="319" t="s">
        <v>190</v>
      </c>
      <c r="FU127" s="319" t="s">
        <v>190</v>
      </c>
      <c r="FV127" s="319" t="s">
        <v>190</v>
      </c>
      <c r="FW127" s="319" t="s">
        <v>190</v>
      </c>
      <c r="FX127" s="319" t="s">
        <v>190</v>
      </c>
      <c r="FY127" s="319" t="s">
        <v>190</v>
      </c>
      <c r="FZ127" s="319" t="s">
        <v>190</v>
      </c>
      <c r="GA127" s="319" t="s">
        <v>190</v>
      </c>
      <c r="GB127" s="319" t="s">
        <v>190</v>
      </c>
      <c r="GC127" s="319" t="s">
        <v>190</v>
      </c>
      <c r="GD127" s="319" t="s">
        <v>190</v>
      </c>
      <c r="GE127" s="319" t="s">
        <v>190</v>
      </c>
      <c r="GF127" s="319" t="s">
        <v>190</v>
      </c>
      <c r="GG127" s="319" t="s">
        <v>190</v>
      </c>
      <c r="GH127" s="319" t="s">
        <v>190</v>
      </c>
      <c r="GI127" s="319" t="s">
        <v>190</v>
      </c>
      <c r="GJ127" s="319" t="s">
        <v>190</v>
      </c>
      <c r="GK127" s="319" t="s">
        <v>428</v>
      </c>
      <c r="GL127" s="319" t="s">
        <v>190</v>
      </c>
      <c r="GM127" s="319" t="s">
        <v>190</v>
      </c>
      <c r="GN127" s="319" t="s">
        <v>190</v>
      </c>
      <c r="GO127" s="319" t="s">
        <v>190</v>
      </c>
      <c r="GP127" s="319" t="s">
        <v>190</v>
      </c>
      <c r="GQ127" s="319" t="s">
        <v>428</v>
      </c>
      <c r="GR127" s="319" t="s">
        <v>190</v>
      </c>
      <c r="GS127" s="319" t="s">
        <v>190</v>
      </c>
      <c r="GT127" s="319" t="s">
        <v>190</v>
      </c>
      <c r="GU127" s="319" t="s">
        <v>428</v>
      </c>
      <c r="GV127" s="319" t="s">
        <v>190</v>
      </c>
      <c r="GW127" s="319" t="s">
        <v>190</v>
      </c>
      <c r="GX127" s="319" t="s">
        <v>190</v>
      </c>
      <c r="GY127" s="319" t="s">
        <v>190</v>
      </c>
      <c r="GZ127" s="319" t="s">
        <v>190</v>
      </c>
      <c r="HA127" s="319" t="s">
        <v>190</v>
      </c>
      <c r="HB127" s="319" t="s">
        <v>428</v>
      </c>
      <c r="HC127" s="319" t="s">
        <v>190</v>
      </c>
      <c r="HD127" s="319" t="s">
        <v>190</v>
      </c>
      <c r="HE127" s="319" t="s">
        <v>190</v>
      </c>
      <c r="HF127" s="319" t="s">
        <v>190</v>
      </c>
      <c r="HG127" s="319" t="s">
        <v>190</v>
      </c>
      <c r="HH127" s="319" t="s">
        <v>190</v>
      </c>
      <c r="HI127" s="319" t="s">
        <v>190</v>
      </c>
      <c r="HJ127" s="319" t="s">
        <v>190</v>
      </c>
      <c r="HK127" s="319" t="s">
        <v>190</v>
      </c>
      <c r="HL127" s="319" t="s">
        <v>190</v>
      </c>
      <c r="HM127" s="319" t="s">
        <v>428</v>
      </c>
      <c r="HN127" s="319" t="s">
        <v>428</v>
      </c>
      <c r="HO127" s="319" t="s">
        <v>428</v>
      </c>
      <c r="HP127" s="319" t="s">
        <v>190</v>
      </c>
      <c r="HQ127" s="319" t="s">
        <v>190</v>
      </c>
      <c r="HR127" s="319" t="s">
        <v>190</v>
      </c>
      <c r="HS127" s="319" t="s">
        <v>190</v>
      </c>
      <c r="HT127" s="319" t="s">
        <v>190</v>
      </c>
      <c r="HU127" s="319" t="s">
        <v>190</v>
      </c>
      <c r="HV127" s="319" t="s">
        <v>190</v>
      </c>
      <c r="HW127" s="319" t="s">
        <v>190</v>
      </c>
      <c r="HX127" s="319" t="s">
        <v>190</v>
      </c>
      <c r="HY127" s="319" t="s">
        <v>190</v>
      </c>
      <c r="HZ127" s="319" t="s">
        <v>190</v>
      </c>
      <c r="IA127" s="319" t="s">
        <v>190</v>
      </c>
      <c r="IB127" s="319" t="s">
        <v>190</v>
      </c>
      <c r="IC127" s="319" t="s">
        <v>190</v>
      </c>
      <c r="ID127" s="319" t="s">
        <v>190</v>
      </c>
      <c r="IE127" s="319" t="s">
        <v>190</v>
      </c>
      <c r="IF127" s="319" t="s">
        <v>190</v>
      </c>
      <c r="IG127" s="319" t="s">
        <v>190</v>
      </c>
      <c r="IH127" s="319" t="s">
        <v>190</v>
      </c>
      <c r="II127" s="319" t="s">
        <v>190</v>
      </c>
      <c r="IJ127" s="319">
        <v>10006131</v>
      </c>
      <c r="IK127" s="321">
        <v>42423</v>
      </c>
      <c r="IL127" s="321">
        <v>42425</v>
      </c>
      <c r="IM127" s="321">
        <v>42500</v>
      </c>
      <c r="IN127" s="319">
        <v>3</v>
      </c>
      <c r="IO127" s="319" t="s">
        <v>173</v>
      </c>
      <c r="IP127" s="319" t="s">
        <v>173</v>
      </c>
      <c r="IQ127" s="321" t="s">
        <v>173</v>
      </c>
      <c r="IR127" s="320" t="s">
        <v>173</v>
      </c>
      <c r="IS127" s="322" t="s">
        <v>173</v>
      </c>
      <c r="IT127" s="319" t="s">
        <v>173</v>
      </c>
    </row>
    <row r="128" spans="1:254" s="271" customFormat="1" x14ac:dyDescent="0.25">
      <c r="A128" s="318" t="str">
        <f>HYPERLINK("http://www.ofsted.gov.uk/inspection-reports/find-inspection-report/provider/ELS/109723 ","Ofsted School Webpage")</f>
        <v>Ofsted School Webpage</v>
      </c>
      <c r="B128" s="319">
        <v>109723</v>
      </c>
      <c r="C128" s="319">
        <v>8236007</v>
      </c>
      <c r="D128" s="319" t="s">
        <v>1373</v>
      </c>
      <c r="E128" s="319" t="s">
        <v>167</v>
      </c>
      <c r="F128" s="319" t="s">
        <v>81</v>
      </c>
      <c r="G128" s="319" t="s">
        <v>81</v>
      </c>
      <c r="H128" s="319" t="s">
        <v>81</v>
      </c>
      <c r="I128" s="319" t="s">
        <v>78</v>
      </c>
      <c r="J128" s="319" t="s">
        <v>424</v>
      </c>
      <c r="K128" s="319" t="s">
        <v>451</v>
      </c>
      <c r="L128" s="319" t="s">
        <v>451</v>
      </c>
      <c r="M128" s="319" t="s">
        <v>1374</v>
      </c>
      <c r="N128" s="319" t="s">
        <v>2903</v>
      </c>
      <c r="O128" s="319" t="s">
        <v>1375</v>
      </c>
      <c r="P128" s="319">
        <v>32</v>
      </c>
      <c r="Q128" s="319" t="s">
        <v>2766</v>
      </c>
      <c r="R128" s="320">
        <v>10026060</v>
      </c>
      <c r="S128" s="321">
        <v>43011</v>
      </c>
      <c r="T128" s="321">
        <v>43013</v>
      </c>
      <c r="U128" s="321">
        <v>43055</v>
      </c>
      <c r="V128" s="319" t="s">
        <v>425</v>
      </c>
      <c r="W128" s="319" t="s">
        <v>2767</v>
      </c>
      <c r="X128" s="319">
        <v>2</v>
      </c>
      <c r="Y128" s="319" t="s">
        <v>173</v>
      </c>
      <c r="Z128" s="319" t="s">
        <v>173</v>
      </c>
      <c r="AA128" s="319" t="s">
        <v>173</v>
      </c>
      <c r="AB128" s="319">
        <v>2</v>
      </c>
      <c r="AC128" s="319" t="s">
        <v>169</v>
      </c>
      <c r="AD128" s="319">
        <v>2</v>
      </c>
      <c r="AE128" s="319" t="s">
        <v>173</v>
      </c>
      <c r="AF128" s="319" t="s">
        <v>427</v>
      </c>
      <c r="AG128" s="319" t="s">
        <v>171</v>
      </c>
      <c r="AH128" s="319" t="s">
        <v>190</v>
      </c>
      <c r="AI128" s="319" t="s">
        <v>190</v>
      </c>
      <c r="AJ128" s="319" t="s">
        <v>190</v>
      </c>
      <c r="AK128" s="319" t="s">
        <v>190</v>
      </c>
      <c r="AL128" s="319" t="s">
        <v>190</v>
      </c>
      <c r="AM128" s="319" t="s">
        <v>190</v>
      </c>
      <c r="AN128" s="319" t="s">
        <v>190</v>
      </c>
      <c r="AO128" s="319" t="s">
        <v>190</v>
      </c>
      <c r="AP128" s="319" t="s">
        <v>190</v>
      </c>
      <c r="AQ128" s="319" t="s">
        <v>190</v>
      </c>
      <c r="AR128" s="319" t="s">
        <v>190</v>
      </c>
      <c r="AS128" s="319" t="s">
        <v>190</v>
      </c>
      <c r="AT128" s="319" t="s">
        <v>190</v>
      </c>
      <c r="AU128" s="319" t="s">
        <v>190</v>
      </c>
      <c r="AV128" s="319" t="s">
        <v>190</v>
      </c>
      <c r="AW128" s="319" t="s">
        <v>190</v>
      </c>
      <c r="AX128" s="319" t="s">
        <v>428</v>
      </c>
      <c r="AY128" s="319" t="s">
        <v>190</v>
      </c>
      <c r="AZ128" s="319" t="s">
        <v>190</v>
      </c>
      <c r="BA128" s="319" t="s">
        <v>190</v>
      </c>
      <c r="BB128" s="319" t="s">
        <v>428</v>
      </c>
      <c r="BC128" s="319" t="s">
        <v>428</v>
      </c>
      <c r="BD128" s="319" t="s">
        <v>428</v>
      </c>
      <c r="BE128" s="319" t="s">
        <v>428</v>
      </c>
      <c r="BF128" s="319" t="s">
        <v>190</v>
      </c>
      <c r="BG128" s="319" t="s">
        <v>428</v>
      </c>
      <c r="BH128" s="319" t="s">
        <v>190</v>
      </c>
      <c r="BI128" s="319" t="s">
        <v>190</v>
      </c>
      <c r="BJ128" s="319" t="s">
        <v>190</v>
      </c>
      <c r="BK128" s="319" t="s">
        <v>190</v>
      </c>
      <c r="BL128" s="319" t="s">
        <v>190</v>
      </c>
      <c r="BM128" s="319" t="s">
        <v>190</v>
      </c>
      <c r="BN128" s="319" t="s">
        <v>190</v>
      </c>
      <c r="BO128" s="319" t="s">
        <v>190</v>
      </c>
      <c r="BP128" s="319" t="s">
        <v>190</v>
      </c>
      <c r="BQ128" s="319" t="s">
        <v>190</v>
      </c>
      <c r="BR128" s="319" t="s">
        <v>190</v>
      </c>
      <c r="BS128" s="319" t="s">
        <v>190</v>
      </c>
      <c r="BT128" s="319" t="s">
        <v>190</v>
      </c>
      <c r="BU128" s="319" t="s">
        <v>190</v>
      </c>
      <c r="BV128" s="319" t="s">
        <v>190</v>
      </c>
      <c r="BW128" s="319" t="s">
        <v>190</v>
      </c>
      <c r="BX128" s="319" t="s">
        <v>190</v>
      </c>
      <c r="BY128" s="319" t="s">
        <v>190</v>
      </c>
      <c r="BZ128" s="319" t="s">
        <v>190</v>
      </c>
      <c r="CA128" s="319" t="s">
        <v>190</v>
      </c>
      <c r="CB128" s="319" t="s">
        <v>190</v>
      </c>
      <c r="CC128" s="319" t="s">
        <v>190</v>
      </c>
      <c r="CD128" s="319" t="s">
        <v>190</v>
      </c>
      <c r="CE128" s="319" t="s">
        <v>190</v>
      </c>
      <c r="CF128" s="319" t="s">
        <v>190</v>
      </c>
      <c r="CG128" s="319" t="s">
        <v>190</v>
      </c>
      <c r="CH128" s="319" t="s">
        <v>190</v>
      </c>
      <c r="CI128" s="319" t="s">
        <v>190</v>
      </c>
      <c r="CJ128" s="319" t="s">
        <v>190</v>
      </c>
      <c r="CK128" s="319" t="s">
        <v>190</v>
      </c>
      <c r="CL128" s="319" t="s">
        <v>190</v>
      </c>
      <c r="CM128" s="319" t="s">
        <v>190</v>
      </c>
      <c r="CN128" s="319" t="s">
        <v>190</v>
      </c>
      <c r="CO128" s="319" t="s">
        <v>428</v>
      </c>
      <c r="CP128" s="319" t="s">
        <v>428</v>
      </c>
      <c r="CQ128" s="319" t="s">
        <v>190</v>
      </c>
      <c r="CR128" s="319" t="s">
        <v>190</v>
      </c>
      <c r="CS128" s="319" t="s">
        <v>190</v>
      </c>
      <c r="CT128" s="319" t="s">
        <v>190</v>
      </c>
      <c r="CU128" s="319" t="s">
        <v>190</v>
      </c>
      <c r="CV128" s="319" t="s">
        <v>190</v>
      </c>
      <c r="CW128" s="319" t="s">
        <v>190</v>
      </c>
      <c r="CX128" s="319" t="s">
        <v>190</v>
      </c>
      <c r="CY128" s="319" t="s">
        <v>190</v>
      </c>
      <c r="CZ128" s="319" t="s">
        <v>190</v>
      </c>
      <c r="DA128" s="319" t="s">
        <v>190</v>
      </c>
      <c r="DB128" s="319" t="s">
        <v>190</v>
      </c>
      <c r="DC128" s="319" t="s">
        <v>190</v>
      </c>
      <c r="DD128" s="319" t="s">
        <v>190</v>
      </c>
      <c r="DE128" s="319" t="s">
        <v>190</v>
      </c>
      <c r="DF128" s="319" t="s">
        <v>190</v>
      </c>
      <c r="DG128" s="319" t="s">
        <v>190</v>
      </c>
      <c r="DH128" s="319" t="s">
        <v>190</v>
      </c>
      <c r="DI128" s="319" t="s">
        <v>190</v>
      </c>
      <c r="DJ128" s="319" t="s">
        <v>190</v>
      </c>
      <c r="DK128" s="319" t="s">
        <v>190</v>
      </c>
      <c r="DL128" s="319" t="s">
        <v>190</v>
      </c>
      <c r="DM128" s="319" t="s">
        <v>428</v>
      </c>
      <c r="DN128" s="319" t="s">
        <v>428</v>
      </c>
      <c r="DO128" s="319" t="s">
        <v>190</v>
      </c>
      <c r="DP128" s="319" t="s">
        <v>428</v>
      </c>
      <c r="DQ128" s="319" t="s">
        <v>428</v>
      </c>
      <c r="DR128" s="319" t="s">
        <v>428</v>
      </c>
      <c r="DS128" s="319" t="s">
        <v>428</v>
      </c>
      <c r="DT128" s="319" t="s">
        <v>428</v>
      </c>
      <c r="DU128" s="319" t="s">
        <v>428</v>
      </c>
      <c r="DV128" s="319" t="s">
        <v>173</v>
      </c>
      <c r="DW128" s="319" t="s">
        <v>428</v>
      </c>
      <c r="DX128" s="319" t="s">
        <v>428</v>
      </c>
      <c r="DY128" s="319" t="s">
        <v>428</v>
      </c>
      <c r="DZ128" s="319" t="s">
        <v>428</v>
      </c>
      <c r="EA128" s="319" t="s">
        <v>428</v>
      </c>
      <c r="EB128" s="319" t="s">
        <v>428</v>
      </c>
      <c r="EC128" s="319" t="s">
        <v>428</v>
      </c>
      <c r="ED128" s="319" t="s">
        <v>190</v>
      </c>
      <c r="EE128" s="319" t="s">
        <v>428</v>
      </c>
      <c r="EF128" s="319" t="s">
        <v>428</v>
      </c>
      <c r="EG128" s="319" t="s">
        <v>428</v>
      </c>
      <c r="EH128" s="319" t="s">
        <v>428</v>
      </c>
      <c r="EI128" s="319" t="s">
        <v>428</v>
      </c>
      <c r="EJ128" s="319" t="s">
        <v>428</v>
      </c>
      <c r="EK128" s="319" t="s">
        <v>428</v>
      </c>
      <c r="EL128" s="319" t="s">
        <v>428</v>
      </c>
      <c r="EM128" s="319" t="s">
        <v>190</v>
      </c>
      <c r="EN128" s="319" t="s">
        <v>190</v>
      </c>
      <c r="EO128" s="319" t="s">
        <v>190</v>
      </c>
      <c r="EP128" s="319" t="s">
        <v>190</v>
      </c>
      <c r="EQ128" s="319" t="s">
        <v>190</v>
      </c>
      <c r="ER128" s="319" t="s">
        <v>190</v>
      </c>
      <c r="ES128" s="319" t="s">
        <v>190</v>
      </c>
      <c r="ET128" s="319" t="s">
        <v>190</v>
      </c>
      <c r="EU128" s="319" t="s">
        <v>190</v>
      </c>
      <c r="EV128" s="319" t="s">
        <v>190</v>
      </c>
      <c r="EW128" s="319" t="s">
        <v>190</v>
      </c>
      <c r="EX128" s="319" t="s">
        <v>190</v>
      </c>
      <c r="EY128" s="319" t="s">
        <v>190</v>
      </c>
      <c r="EZ128" s="319" t="s">
        <v>190</v>
      </c>
      <c r="FA128" s="319" t="s">
        <v>190</v>
      </c>
      <c r="FB128" s="319" t="s">
        <v>428</v>
      </c>
      <c r="FC128" s="319" t="s">
        <v>428</v>
      </c>
      <c r="FD128" s="319" t="s">
        <v>428</v>
      </c>
      <c r="FE128" s="319" t="s">
        <v>190</v>
      </c>
      <c r="FF128" s="319" t="s">
        <v>428</v>
      </c>
      <c r="FG128" s="319" t="s">
        <v>428</v>
      </c>
      <c r="FH128" s="319" t="s">
        <v>428</v>
      </c>
      <c r="FI128" s="319" t="s">
        <v>428</v>
      </c>
      <c r="FJ128" s="319" t="s">
        <v>429</v>
      </c>
      <c r="FK128" s="319" t="s">
        <v>428</v>
      </c>
      <c r="FL128" s="319" t="s">
        <v>190</v>
      </c>
      <c r="FM128" s="319" t="s">
        <v>190</v>
      </c>
      <c r="FN128" s="319" t="s">
        <v>190</v>
      </c>
      <c r="FO128" s="319" t="s">
        <v>428</v>
      </c>
      <c r="FP128" s="319" t="s">
        <v>190</v>
      </c>
      <c r="FQ128" s="319" t="s">
        <v>190</v>
      </c>
      <c r="FR128" s="319" t="s">
        <v>190</v>
      </c>
      <c r="FS128" s="319" t="s">
        <v>428</v>
      </c>
      <c r="FT128" s="319" t="s">
        <v>190</v>
      </c>
      <c r="FU128" s="319" t="s">
        <v>190</v>
      </c>
      <c r="FV128" s="319" t="s">
        <v>190</v>
      </c>
      <c r="FW128" s="319" t="s">
        <v>190</v>
      </c>
      <c r="FX128" s="319" t="s">
        <v>190</v>
      </c>
      <c r="FY128" s="319" t="s">
        <v>190</v>
      </c>
      <c r="FZ128" s="319" t="s">
        <v>190</v>
      </c>
      <c r="GA128" s="319" t="s">
        <v>190</v>
      </c>
      <c r="GB128" s="319" t="s">
        <v>190</v>
      </c>
      <c r="GC128" s="319" t="s">
        <v>190</v>
      </c>
      <c r="GD128" s="319" t="s">
        <v>190</v>
      </c>
      <c r="GE128" s="319" t="s">
        <v>190</v>
      </c>
      <c r="GF128" s="319" t="s">
        <v>190</v>
      </c>
      <c r="GG128" s="319" t="s">
        <v>190</v>
      </c>
      <c r="GH128" s="319" t="s">
        <v>190</v>
      </c>
      <c r="GI128" s="319" t="s">
        <v>190</v>
      </c>
      <c r="GJ128" s="319" t="s">
        <v>190</v>
      </c>
      <c r="GK128" s="319" t="s">
        <v>428</v>
      </c>
      <c r="GL128" s="319" t="s">
        <v>190</v>
      </c>
      <c r="GM128" s="319" t="s">
        <v>190</v>
      </c>
      <c r="GN128" s="319" t="s">
        <v>190</v>
      </c>
      <c r="GO128" s="319" t="s">
        <v>190</v>
      </c>
      <c r="GP128" s="319" t="s">
        <v>428</v>
      </c>
      <c r="GQ128" s="319" t="s">
        <v>428</v>
      </c>
      <c r="GR128" s="319" t="s">
        <v>190</v>
      </c>
      <c r="GS128" s="319" t="s">
        <v>190</v>
      </c>
      <c r="GT128" s="319" t="s">
        <v>428</v>
      </c>
      <c r="GU128" s="319" t="s">
        <v>428</v>
      </c>
      <c r="GV128" s="319" t="s">
        <v>190</v>
      </c>
      <c r="GW128" s="319" t="s">
        <v>190</v>
      </c>
      <c r="GX128" s="319" t="s">
        <v>190</v>
      </c>
      <c r="GY128" s="319" t="s">
        <v>190</v>
      </c>
      <c r="GZ128" s="319" t="s">
        <v>190</v>
      </c>
      <c r="HA128" s="319" t="s">
        <v>428</v>
      </c>
      <c r="HB128" s="319" t="s">
        <v>428</v>
      </c>
      <c r="HC128" s="319" t="s">
        <v>190</v>
      </c>
      <c r="HD128" s="319" t="s">
        <v>190</v>
      </c>
      <c r="HE128" s="319" t="s">
        <v>190</v>
      </c>
      <c r="HF128" s="319" t="s">
        <v>190</v>
      </c>
      <c r="HG128" s="319" t="s">
        <v>190</v>
      </c>
      <c r="HH128" s="319" t="s">
        <v>190</v>
      </c>
      <c r="HI128" s="319" t="s">
        <v>428</v>
      </c>
      <c r="HJ128" s="319" t="s">
        <v>190</v>
      </c>
      <c r="HK128" s="319" t="s">
        <v>428</v>
      </c>
      <c r="HL128" s="319" t="s">
        <v>428</v>
      </c>
      <c r="HM128" s="319" t="s">
        <v>428</v>
      </c>
      <c r="HN128" s="319" t="s">
        <v>428</v>
      </c>
      <c r="HO128" s="319" t="s">
        <v>428</v>
      </c>
      <c r="HP128" s="319" t="s">
        <v>190</v>
      </c>
      <c r="HQ128" s="319" t="s">
        <v>190</v>
      </c>
      <c r="HR128" s="319" t="s">
        <v>190</v>
      </c>
      <c r="HS128" s="319" t="s">
        <v>190</v>
      </c>
      <c r="HT128" s="319" t="s">
        <v>190</v>
      </c>
      <c r="HU128" s="319" t="s">
        <v>190</v>
      </c>
      <c r="HV128" s="319" t="s">
        <v>190</v>
      </c>
      <c r="HW128" s="319" t="s">
        <v>190</v>
      </c>
      <c r="HX128" s="319" t="s">
        <v>190</v>
      </c>
      <c r="HY128" s="319" t="s">
        <v>190</v>
      </c>
      <c r="HZ128" s="319" t="s">
        <v>190</v>
      </c>
      <c r="IA128" s="319" t="s">
        <v>190</v>
      </c>
      <c r="IB128" s="319" t="s">
        <v>190</v>
      </c>
      <c r="IC128" s="319" t="s">
        <v>190</v>
      </c>
      <c r="ID128" s="319" t="s">
        <v>190</v>
      </c>
      <c r="IE128" s="319" t="s">
        <v>190</v>
      </c>
      <c r="IF128" s="319" t="s">
        <v>190</v>
      </c>
      <c r="IG128" s="319" t="s">
        <v>190</v>
      </c>
      <c r="IH128" s="319" t="s">
        <v>190</v>
      </c>
      <c r="II128" s="319" t="s">
        <v>190</v>
      </c>
      <c r="IJ128" s="319" t="s">
        <v>2904</v>
      </c>
      <c r="IK128" s="321">
        <v>40568</v>
      </c>
      <c r="IL128" s="321">
        <v>40568</v>
      </c>
      <c r="IM128" s="321">
        <v>40590</v>
      </c>
      <c r="IN128" s="319">
        <v>2</v>
      </c>
      <c r="IO128" s="319" t="s">
        <v>173</v>
      </c>
      <c r="IP128" s="319" t="s">
        <v>173</v>
      </c>
      <c r="IQ128" s="321" t="s">
        <v>173</v>
      </c>
      <c r="IR128" s="320" t="s">
        <v>173</v>
      </c>
      <c r="IS128" s="322" t="s">
        <v>173</v>
      </c>
      <c r="IT128" s="319" t="s">
        <v>173</v>
      </c>
    </row>
    <row r="129" spans="1:254" s="271" customFormat="1" x14ac:dyDescent="0.25">
      <c r="A129" s="318" t="str">
        <f>HYPERLINK("http://www.ofsted.gov.uk/inspection-reports/find-inspection-report/provider/ELS/109774 ","Ofsted School Webpage")</f>
        <v>Ofsted School Webpage</v>
      </c>
      <c r="B129" s="319">
        <v>109774</v>
      </c>
      <c r="C129" s="319">
        <v>3156588</v>
      </c>
      <c r="D129" s="319" t="s">
        <v>1376</v>
      </c>
      <c r="E129" s="319" t="s">
        <v>167</v>
      </c>
      <c r="F129" s="319" t="s">
        <v>81</v>
      </c>
      <c r="G129" s="319" t="s">
        <v>71</v>
      </c>
      <c r="H129" s="319" t="s">
        <v>71</v>
      </c>
      <c r="I129" s="319" t="s">
        <v>72</v>
      </c>
      <c r="J129" s="319" t="s">
        <v>424</v>
      </c>
      <c r="K129" s="319" t="s">
        <v>441</v>
      </c>
      <c r="L129" s="319" t="s">
        <v>441</v>
      </c>
      <c r="M129" s="319" t="s">
        <v>1193</v>
      </c>
      <c r="N129" s="319" t="s">
        <v>2905</v>
      </c>
      <c r="O129" s="319" t="s">
        <v>1377</v>
      </c>
      <c r="P129" s="319">
        <v>144</v>
      </c>
      <c r="Q129" s="319" t="s">
        <v>2766</v>
      </c>
      <c r="R129" s="320">
        <v>10092462</v>
      </c>
      <c r="S129" s="321">
        <v>43529</v>
      </c>
      <c r="T129" s="321">
        <v>43531</v>
      </c>
      <c r="U129" s="321">
        <v>43580</v>
      </c>
      <c r="V129" s="319" t="s">
        <v>425</v>
      </c>
      <c r="W129" s="319" t="s">
        <v>2767</v>
      </c>
      <c r="X129" s="319">
        <v>3</v>
      </c>
      <c r="Y129" s="319" t="s">
        <v>173</v>
      </c>
      <c r="Z129" s="319" t="s">
        <v>173</v>
      </c>
      <c r="AA129" s="319" t="s">
        <v>173</v>
      </c>
      <c r="AB129" s="319">
        <v>3</v>
      </c>
      <c r="AC129" s="319" t="s">
        <v>169</v>
      </c>
      <c r="AD129" s="319">
        <v>3</v>
      </c>
      <c r="AE129" s="319" t="s">
        <v>173</v>
      </c>
      <c r="AF129" s="319" t="s">
        <v>427</v>
      </c>
      <c r="AG129" s="319" t="s">
        <v>171</v>
      </c>
      <c r="AH129" s="319" t="s">
        <v>190</v>
      </c>
      <c r="AI129" s="319" t="s">
        <v>190</v>
      </c>
      <c r="AJ129" s="319" t="s">
        <v>190</v>
      </c>
      <c r="AK129" s="319" t="s">
        <v>190</v>
      </c>
      <c r="AL129" s="319" t="s">
        <v>190</v>
      </c>
      <c r="AM129" s="319" t="s">
        <v>190</v>
      </c>
      <c r="AN129" s="319" t="s">
        <v>190</v>
      </c>
      <c r="AO129" s="319" t="s">
        <v>190</v>
      </c>
      <c r="AP129" s="319" t="s">
        <v>190</v>
      </c>
      <c r="AQ129" s="319" t="s">
        <v>190</v>
      </c>
      <c r="AR129" s="319" t="s">
        <v>190</v>
      </c>
      <c r="AS129" s="319" t="s">
        <v>190</v>
      </c>
      <c r="AT129" s="319" t="s">
        <v>190</v>
      </c>
      <c r="AU129" s="319" t="s">
        <v>190</v>
      </c>
      <c r="AV129" s="319" t="s">
        <v>190</v>
      </c>
      <c r="AW129" s="319" t="s">
        <v>190</v>
      </c>
      <c r="AX129" s="319" t="s">
        <v>428</v>
      </c>
      <c r="AY129" s="319" t="s">
        <v>190</v>
      </c>
      <c r="AZ129" s="319" t="s">
        <v>190</v>
      </c>
      <c r="BA129" s="319" t="s">
        <v>190</v>
      </c>
      <c r="BB129" s="319" t="s">
        <v>428</v>
      </c>
      <c r="BC129" s="319" t="s">
        <v>428</v>
      </c>
      <c r="BD129" s="319" t="s">
        <v>428</v>
      </c>
      <c r="BE129" s="319" t="s">
        <v>428</v>
      </c>
      <c r="BF129" s="319" t="s">
        <v>190</v>
      </c>
      <c r="BG129" s="319" t="s">
        <v>428</v>
      </c>
      <c r="BH129" s="319" t="s">
        <v>190</v>
      </c>
      <c r="BI129" s="319" t="s">
        <v>190</v>
      </c>
      <c r="BJ129" s="319" t="s">
        <v>190</v>
      </c>
      <c r="BK129" s="319" t="s">
        <v>190</v>
      </c>
      <c r="BL129" s="319" t="s">
        <v>190</v>
      </c>
      <c r="BM129" s="319" t="s">
        <v>190</v>
      </c>
      <c r="BN129" s="319" t="s">
        <v>190</v>
      </c>
      <c r="BO129" s="319" t="s">
        <v>190</v>
      </c>
      <c r="BP129" s="319" t="s">
        <v>190</v>
      </c>
      <c r="BQ129" s="319" t="s">
        <v>190</v>
      </c>
      <c r="BR129" s="319" t="s">
        <v>190</v>
      </c>
      <c r="BS129" s="319" t="s">
        <v>190</v>
      </c>
      <c r="BT129" s="319" t="s">
        <v>190</v>
      </c>
      <c r="BU129" s="319" t="s">
        <v>190</v>
      </c>
      <c r="BV129" s="319" t="s">
        <v>190</v>
      </c>
      <c r="BW129" s="319" t="s">
        <v>190</v>
      </c>
      <c r="BX129" s="319" t="s">
        <v>190</v>
      </c>
      <c r="BY129" s="319" t="s">
        <v>190</v>
      </c>
      <c r="BZ129" s="319" t="s">
        <v>190</v>
      </c>
      <c r="CA129" s="319" t="s">
        <v>190</v>
      </c>
      <c r="CB129" s="319" t="s">
        <v>190</v>
      </c>
      <c r="CC129" s="319" t="s">
        <v>190</v>
      </c>
      <c r="CD129" s="319" t="s">
        <v>190</v>
      </c>
      <c r="CE129" s="319" t="s">
        <v>190</v>
      </c>
      <c r="CF129" s="319" t="s">
        <v>190</v>
      </c>
      <c r="CG129" s="319" t="s">
        <v>190</v>
      </c>
      <c r="CH129" s="319" t="s">
        <v>190</v>
      </c>
      <c r="CI129" s="319" t="s">
        <v>190</v>
      </c>
      <c r="CJ129" s="319" t="s">
        <v>190</v>
      </c>
      <c r="CK129" s="319" t="s">
        <v>190</v>
      </c>
      <c r="CL129" s="319" t="s">
        <v>190</v>
      </c>
      <c r="CM129" s="319" t="s">
        <v>190</v>
      </c>
      <c r="CN129" s="319" t="s">
        <v>428</v>
      </c>
      <c r="CO129" s="319" t="s">
        <v>428</v>
      </c>
      <c r="CP129" s="319" t="s">
        <v>428</v>
      </c>
      <c r="CQ129" s="319" t="s">
        <v>190</v>
      </c>
      <c r="CR129" s="319" t="s">
        <v>190</v>
      </c>
      <c r="CS129" s="319" t="s">
        <v>190</v>
      </c>
      <c r="CT129" s="319" t="s">
        <v>190</v>
      </c>
      <c r="CU129" s="319" t="s">
        <v>190</v>
      </c>
      <c r="CV129" s="319" t="s">
        <v>190</v>
      </c>
      <c r="CW129" s="319" t="s">
        <v>190</v>
      </c>
      <c r="CX129" s="319" t="s">
        <v>190</v>
      </c>
      <c r="CY129" s="319" t="s">
        <v>190</v>
      </c>
      <c r="CZ129" s="319" t="s">
        <v>190</v>
      </c>
      <c r="DA129" s="319" t="s">
        <v>190</v>
      </c>
      <c r="DB129" s="319" t="s">
        <v>190</v>
      </c>
      <c r="DC129" s="319" t="s">
        <v>190</v>
      </c>
      <c r="DD129" s="319" t="s">
        <v>190</v>
      </c>
      <c r="DE129" s="319" t="s">
        <v>190</v>
      </c>
      <c r="DF129" s="319" t="s">
        <v>190</v>
      </c>
      <c r="DG129" s="319" t="s">
        <v>190</v>
      </c>
      <c r="DH129" s="319" t="s">
        <v>190</v>
      </c>
      <c r="DI129" s="319" t="s">
        <v>190</v>
      </c>
      <c r="DJ129" s="319" t="s">
        <v>190</v>
      </c>
      <c r="DK129" s="319" t="s">
        <v>190</v>
      </c>
      <c r="DL129" s="319" t="s">
        <v>190</v>
      </c>
      <c r="DM129" s="319" t="s">
        <v>190</v>
      </c>
      <c r="DN129" s="319" t="s">
        <v>428</v>
      </c>
      <c r="DO129" s="319" t="s">
        <v>190</v>
      </c>
      <c r="DP129" s="319" t="s">
        <v>190</v>
      </c>
      <c r="DQ129" s="319" t="s">
        <v>190</v>
      </c>
      <c r="DR129" s="319" t="s">
        <v>190</v>
      </c>
      <c r="DS129" s="319" t="s">
        <v>190</v>
      </c>
      <c r="DT129" s="319" t="s">
        <v>190</v>
      </c>
      <c r="DU129" s="319" t="s">
        <v>190</v>
      </c>
      <c r="DV129" s="319" t="s">
        <v>173</v>
      </c>
      <c r="DW129" s="319" t="s">
        <v>190</v>
      </c>
      <c r="DX129" s="319" t="s">
        <v>190</v>
      </c>
      <c r="DY129" s="319" t="s">
        <v>190</v>
      </c>
      <c r="DZ129" s="319" t="s">
        <v>190</v>
      </c>
      <c r="EA129" s="319" t="s">
        <v>190</v>
      </c>
      <c r="EB129" s="319" t="s">
        <v>190</v>
      </c>
      <c r="EC129" s="319" t="s">
        <v>428</v>
      </c>
      <c r="ED129" s="319" t="s">
        <v>190</v>
      </c>
      <c r="EE129" s="319" t="s">
        <v>190</v>
      </c>
      <c r="EF129" s="319" t="s">
        <v>190</v>
      </c>
      <c r="EG129" s="319" t="s">
        <v>190</v>
      </c>
      <c r="EH129" s="319" t="s">
        <v>190</v>
      </c>
      <c r="EI129" s="319" t="s">
        <v>190</v>
      </c>
      <c r="EJ129" s="319" t="s">
        <v>190</v>
      </c>
      <c r="EK129" s="319" t="s">
        <v>190</v>
      </c>
      <c r="EL129" s="319" t="s">
        <v>190</v>
      </c>
      <c r="EM129" s="319" t="s">
        <v>190</v>
      </c>
      <c r="EN129" s="319" t="s">
        <v>190</v>
      </c>
      <c r="EO129" s="319" t="s">
        <v>190</v>
      </c>
      <c r="EP129" s="319" t="s">
        <v>190</v>
      </c>
      <c r="EQ129" s="319" t="s">
        <v>190</v>
      </c>
      <c r="ER129" s="319" t="s">
        <v>190</v>
      </c>
      <c r="ES129" s="319" t="s">
        <v>190</v>
      </c>
      <c r="ET129" s="319" t="s">
        <v>190</v>
      </c>
      <c r="EU129" s="319" t="s">
        <v>190</v>
      </c>
      <c r="EV129" s="319" t="s">
        <v>190</v>
      </c>
      <c r="EW129" s="319" t="s">
        <v>190</v>
      </c>
      <c r="EX129" s="319" t="s">
        <v>190</v>
      </c>
      <c r="EY129" s="319" t="s">
        <v>190</v>
      </c>
      <c r="EZ129" s="319" t="s">
        <v>190</v>
      </c>
      <c r="FA129" s="319" t="s">
        <v>190</v>
      </c>
      <c r="FB129" s="319" t="s">
        <v>190</v>
      </c>
      <c r="FC129" s="319" t="s">
        <v>190</v>
      </c>
      <c r="FD129" s="319" t="s">
        <v>190</v>
      </c>
      <c r="FE129" s="319" t="s">
        <v>190</v>
      </c>
      <c r="FF129" s="319" t="s">
        <v>190</v>
      </c>
      <c r="FG129" s="319" t="s">
        <v>190</v>
      </c>
      <c r="FH129" s="319" t="s">
        <v>190</v>
      </c>
      <c r="FI129" s="319" t="s">
        <v>190</v>
      </c>
      <c r="FJ129" s="319" t="s">
        <v>190</v>
      </c>
      <c r="FK129" s="319" t="s">
        <v>190</v>
      </c>
      <c r="FL129" s="319" t="s">
        <v>190</v>
      </c>
      <c r="FM129" s="319" t="s">
        <v>190</v>
      </c>
      <c r="FN129" s="319" t="s">
        <v>190</v>
      </c>
      <c r="FO129" s="319" t="s">
        <v>428</v>
      </c>
      <c r="FP129" s="319" t="s">
        <v>190</v>
      </c>
      <c r="FQ129" s="319" t="s">
        <v>190</v>
      </c>
      <c r="FR129" s="319" t="s">
        <v>190</v>
      </c>
      <c r="FS129" s="319" t="s">
        <v>428</v>
      </c>
      <c r="FT129" s="319" t="s">
        <v>190</v>
      </c>
      <c r="FU129" s="319" t="s">
        <v>190</v>
      </c>
      <c r="FV129" s="319" t="s">
        <v>190</v>
      </c>
      <c r="FW129" s="319" t="s">
        <v>190</v>
      </c>
      <c r="FX129" s="319" t="s">
        <v>190</v>
      </c>
      <c r="FY129" s="319" t="s">
        <v>190</v>
      </c>
      <c r="FZ129" s="319" t="s">
        <v>190</v>
      </c>
      <c r="GA129" s="319" t="s">
        <v>190</v>
      </c>
      <c r="GB129" s="319" t="s">
        <v>190</v>
      </c>
      <c r="GC129" s="319" t="s">
        <v>190</v>
      </c>
      <c r="GD129" s="319" t="s">
        <v>190</v>
      </c>
      <c r="GE129" s="319" t="s">
        <v>190</v>
      </c>
      <c r="GF129" s="319" t="s">
        <v>190</v>
      </c>
      <c r="GG129" s="319" t="s">
        <v>190</v>
      </c>
      <c r="GH129" s="319" t="s">
        <v>190</v>
      </c>
      <c r="GI129" s="319" t="s">
        <v>190</v>
      </c>
      <c r="GJ129" s="319" t="s">
        <v>190</v>
      </c>
      <c r="GK129" s="319" t="s">
        <v>428</v>
      </c>
      <c r="GL129" s="319" t="s">
        <v>190</v>
      </c>
      <c r="GM129" s="319" t="s">
        <v>190</v>
      </c>
      <c r="GN129" s="319" t="s">
        <v>190</v>
      </c>
      <c r="GO129" s="319" t="s">
        <v>190</v>
      </c>
      <c r="GP129" s="319" t="s">
        <v>190</v>
      </c>
      <c r="GQ129" s="319" t="s">
        <v>428</v>
      </c>
      <c r="GR129" s="319" t="s">
        <v>190</v>
      </c>
      <c r="GS129" s="319" t="s">
        <v>190</v>
      </c>
      <c r="GT129" s="319" t="s">
        <v>190</v>
      </c>
      <c r="GU129" s="319" t="s">
        <v>190</v>
      </c>
      <c r="GV129" s="319" t="s">
        <v>190</v>
      </c>
      <c r="GW129" s="319" t="s">
        <v>190</v>
      </c>
      <c r="GX129" s="319" t="s">
        <v>190</v>
      </c>
      <c r="GY129" s="319" t="s">
        <v>190</v>
      </c>
      <c r="GZ129" s="319" t="s">
        <v>190</v>
      </c>
      <c r="HA129" s="319" t="s">
        <v>190</v>
      </c>
      <c r="HB129" s="319" t="s">
        <v>190</v>
      </c>
      <c r="HC129" s="319" t="s">
        <v>190</v>
      </c>
      <c r="HD129" s="319" t="s">
        <v>190</v>
      </c>
      <c r="HE129" s="319" t="s">
        <v>190</v>
      </c>
      <c r="HF129" s="319" t="s">
        <v>190</v>
      </c>
      <c r="HG129" s="319" t="s">
        <v>190</v>
      </c>
      <c r="HH129" s="319" t="s">
        <v>190</v>
      </c>
      <c r="HI129" s="319" t="s">
        <v>190</v>
      </c>
      <c r="HJ129" s="319" t="s">
        <v>190</v>
      </c>
      <c r="HK129" s="319" t="s">
        <v>190</v>
      </c>
      <c r="HL129" s="319" t="s">
        <v>190</v>
      </c>
      <c r="HM129" s="319" t="s">
        <v>190</v>
      </c>
      <c r="HN129" s="319" t="s">
        <v>190</v>
      </c>
      <c r="HO129" s="319" t="s">
        <v>190</v>
      </c>
      <c r="HP129" s="319" t="s">
        <v>190</v>
      </c>
      <c r="HQ129" s="319" t="s">
        <v>190</v>
      </c>
      <c r="HR129" s="319" t="s">
        <v>190</v>
      </c>
      <c r="HS129" s="319" t="s">
        <v>190</v>
      </c>
      <c r="HT129" s="319" t="s">
        <v>190</v>
      </c>
      <c r="HU129" s="319" t="s">
        <v>190</v>
      </c>
      <c r="HV129" s="319" t="s">
        <v>190</v>
      </c>
      <c r="HW129" s="319" t="s">
        <v>190</v>
      </c>
      <c r="HX129" s="319" t="s">
        <v>190</v>
      </c>
      <c r="HY129" s="319" t="s">
        <v>190</v>
      </c>
      <c r="HZ129" s="319" t="s">
        <v>190</v>
      </c>
      <c r="IA129" s="319" t="s">
        <v>190</v>
      </c>
      <c r="IB129" s="319" t="s">
        <v>190</v>
      </c>
      <c r="IC129" s="319" t="s">
        <v>190</v>
      </c>
      <c r="ID129" s="319" t="s">
        <v>190</v>
      </c>
      <c r="IE129" s="319" t="s">
        <v>190</v>
      </c>
      <c r="IF129" s="319" t="s">
        <v>190</v>
      </c>
      <c r="IG129" s="319" t="s">
        <v>190</v>
      </c>
      <c r="IH129" s="319" t="s">
        <v>190</v>
      </c>
      <c r="II129" s="319" t="s">
        <v>190</v>
      </c>
      <c r="IJ129" s="319">
        <v>10034417</v>
      </c>
      <c r="IK129" s="321">
        <v>42990</v>
      </c>
      <c r="IL129" s="321">
        <v>42992</v>
      </c>
      <c r="IM129" s="321">
        <v>43045</v>
      </c>
      <c r="IN129" s="319">
        <v>4</v>
      </c>
      <c r="IO129" s="319" t="s">
        <v>173</v>
      </c>
      <c r="IP129" s="319" t="s">
        <v>173</v>
      </c>
      <c r="IQ129" s="321" t="s">
        <v>173</v>
      </c>
      <c r="IR129" s="320" t="s">
        <v>173</v>
      </c>
      <c r="IS129" s="322" t="s">
        <v>173</v>
      </c>
      <c r="IT129" s="319" t="s">
        <v>173</v>
      </c>
    </row>
    <row r="130" spans="1:254" s="271" customFormat="1" x14ac:dyDescent="0.25">
      <c r="A130" s="318" t="str">
        <f>HYPERLINK("http://www.ofsted.gov.uk/inspection-reports/find-inspection-report/provider/ELS/110141 ","Ofsted School Webpage")</f>
        <v>Ofsted School Webpage</v>
      </c>
      <c r="B130" s="319">
        <v>110141</v>
      </c>
      <c r="C130" s="319">
        <v>8676004</v>
      </c>
      <c r="D130" s="319" t="s">
        <v>1378</v>
      </c>
      <c r="E130" s="319" t="s">
        <v>167</v>
      </c>
      <c r="F130" s="319" t="s">
        <v>81</v>
      </c>
      <c r="G130" s="319" t="s">
        <v>66</v>
      </c>
      <c r="H130" s="319" t="s">
        <v>66</v>
      </c>
      <c r="I130" s="319" t="s">
        <v>59</v>
      </c>
      <c r="J130" s="319" t="s">
        <v>424</v>
      </c>
      <c r="K130" s="319" t="s">
        <v>514</v>
      </c>
      <c r="L130" s="319" t="s">
        <v>514</v>
      </c>
      <c r="M130" s="319" t="s">
        <v>1379</v>
      </c>
      <c r="N130" s="319" t="s">
        <v>2906</v>
      </c>
      <c r="O130" s="319" t="s">
        <v>1380</v>
      </c>
      <c r="P130" s="319">
        <v>73</v>
      </c>
      <c r="Q130" s="319" t="s">
        <v>2766</v>
      </c>
      <c r="R130" s="320">
        <v>10076609</v>
      </c>
      <c r="S130" s="321">
        <v>43537</v>
      </c>
      <c r="T130" s="321">
        <v>43539</v>
      </c>
      <c r="U130" s="321">
        <v>43580</v>
      </c>
      <c r="V130" s="319" t="s">
        <v>425</v>
      </c>
      <c r="W130" s="319" t="s">
        <v>2767</v>
      </c>
      <c r="X130" s="319">
        <v>2</v>
      </c>
      <c r="Y130" s="319" t="s">
        <v>173</v>
      </c>
      <c r="Z130" s="319" t="s">
        <v>173</v>
      </c>
      <c r="AA130" s="319" t="s">
        <v>173</v>
      </c>
      <c r="AB130" s="319">
        <v>2</v>
      </c>
      <c r="AC130" s="319" t="s">
        <v>169</v>
      </c>
      <c r="AD130" s="319">
        <v>2</v>
      </c>
      <c r="AE130" s="319" t="s">
        <v>173</v>
      </c>
      <c r="AF130" s="319" t="s">
        <v>427</v>
      </c>
      <c r="AG130" s="319" t="s">
        <v>171</v>
      </c>
      <c r="AH130" s="319" t="s">
        <v>190</v>
      </c>
      <c r="AI130" s="319" t="s">
        <v>190</v>
      </c>
      <c r="AJ130" s="319" t="s">
        <v>190</v>
      </c>
      <c r="AK130" s="319" t="s">
        <v>190</v>
      </c>
      <c r="AL130" s="319" t="s">
        <v>190</v>
      </c>
      <c r="AM130" s="319" t="s">
        <v>190</v>
      </c>
      <c r="AN130" s="319" t="s">
        <v>190</v>
      </c>
      <c r="AO130" s="319" t="s">
        <v>190</v>
      </c>
      <c r="AP130" s="319" t="s">
        <v>190</v>
      </c>
      <c r="AQ130" s="319" t="s">
        <v>190</v>
      </c>
      <c r="AR130" s="319" t="s">
        <v>190</v>
      </c>
      <c r="AS130" s="319" t="s">
        <v>190</v>
      </c>
      <c r="AT130" s="319" t="s">
        <v>190</v>
      </c>
      <c r="AU130" s="319" t="s">
        <v>190</v>
      </c>
      <c r="AV130" s="319" t="s">
        <v>190</v>
      </c>
      <c r="AW130" s="319" t="s">
        <v>190</v>
      </c>
      <c r="AX130" s="319" t="s">
        <v>428</v>
      </c>
      <c r="AY130" s="319" t="s">
        <v>190</v>
      </c>
      <c r="AZ130" s="319" t="s">
        <v>190</v>
      </c>
      <c r="BA130" s="319" t="s">
        <v>190</v>
      </c>
      <c r="BB130" s="319" t="s">
        <v>428</v>
      </c>
      <c r="BC130" s="319" t="s">
        <v>190</v>
      </c>
      <c r="BD130" s="319" t="s">
        <v>190</v>
      </c>
      <c r="BE130" s="319" t="s">
        <v>190</v>
      </c>
      <c r="BF130" s="319" t="s">
        <v>190</v>
      </c>
      <c r="BG130" s="319" t="s">
        <v>428</v>
      </c>
      <c r="BH130" s="319" t="s">
        <v>190</v>
      </c>
      <c r="BI130" s="319" t="s">
        <v>190</v>
      </c>
      <c r="BJ130" s="319" t="s">
        <v>190</v>
      </c>
      <c r="BK130" s="319" t="s">
        <v>190</v>
      </c>
      <c r="BL130" s="319" t="s">
        <v>190</v>
      </c>
      <c r="BM130" s="319" t="s">
        <v>190</v>
      </c>
      <c r="BN130" s="319" t="s">
        <v>190</v>
      </c>
      <c r="BO130" s="319" t="s">
        <v>190</v>
      </c>
      <c r="BP130" s="319" t="s">
        <v>190</v>
      </c>
      <c r="BQ130" s="319" t="s">
        <v>190</v>
      </c>
      <c r="BR130" s="319" t="s">
        <v>190</v>
      </c>
      <c r="BS130" s="319" t="s">
        <v>190</v>
      </c>
      <c r="BT130" s="319" t="s">
        <v>190</v>
      </c>
      <c r="BU130" s="319" t="s">
        <v>190</v>
      </c>
      <c r="BV130" s="319" t="s">
        <v>190</v>
      </c>
      <c r="BW130" s="319" t="s">
        <v>190</v>
      </c>
      <c r="BX130" s="319" t="s">
        <v>190</v>
      </c>
      <c r="BY130" s="319" t="s">
        <v>190</v>
      </c>
      <c r="BZ130" s="319" t="s">
        <v>190</v>
      </c>
      <c r="CA130" s="319" t="s">
        <v>190</v>
      </c>
      <c r="CB130" s="319" t="s">
        <v>190</v>
      </c>
      <c r="CC130" s="319" t="s">
        <v>190</v>
      </c>
      <c r="CD130" s="319" t="s">
        <v>190</v>
      </c>
      <c r="CE130" s="319" t="s">
        <v>190</v>
      </c>
      <c r="CF130" s="319" t="s">
        <v>190</v>
      </c>
      <c r="CG130" s="319" t="s">
        <v>190</v>
      </c>
      <c r="CH130" s="319" t="s">
        <v>190</v>
      </c>
      <c r="CI130" s="319" t="s">
        <v>190</v>
      </c>
      <c r="CJ130" s="319" t="s">
        <v>190</v>
      </c>
      <c r="CK130" s="319" t="s">
        <v>190</v>
      </c>
      <c r="CL130" s="319" t="s">
        <v>190</v>
      </c>
      <c r="CM130" s="319" t="s">
        <v>190</v>
      </c>
      <c r="CN130" s="319" t="s">
        <v>428</v>
      </c>
      <c r="CO130" s="319" t="s">
        <v>428</v>
      </c>
      <c r="CP130" s="319" t="s">
        <v>428</v>
      </c>
      <c r="CQ130" s="319" t="s">
        <v>190</v>
      </c>
      <c r="CR130" s="319" t="s">
        <v>190</v>
      </c>
      <c r="CS130" s="319" t="s">
        <v>190</v>
      </c>
      <c r="CT130" s="319" t="s">
        <v>190</v>
      </c>
      <c r="CU130" s="319" t="s">
        <v>190</v>
      </c>
      <c r="CV130" s="319" t="s">
        <v>190</v>
      </c>
      <c r="CW130" s="319" t="s">
        <v>190</v>
      </c>
      <c r="CX130" s="319" t="s">
        <v>190</v>
      </c>
      <c r="CY130" s="319" t="s">
        <v>190</v>
      </c>
      <c r="CZ130" s="319" t="s">
        <v>190</v>
      </c>
      <c r="DA130" s="319" t="s">
        <v>190</v>
      </c>
      <c r="DB130" s="319" t="s">
        <v>190</v>
      </c>
      <c r="DC130" s="319" t="s">
        <v>190</v>
      </c>
      <c r="DD130" s="319" t="s">
        <v>190</v>
      </c>
      <c r="DE130" s="319" t="s">
        <v>190</v>
      </c>
      <c r="DF130" s="319" t="s">
        <v>190</v>
      </c>
      <c r="DG130" s="319" t="s">
        <v>190</v>
      </c>
      <c r="DH130" s="319" t="s">
        <v>190</v>
      </c>
      <c r="DI130" s="319" t="s">
        <v>190</v>
      </c>
      <c r="DJ130" s="319" t="s">
        <v>190</v>
      </c>
      <c r="DK130" s="319" t="s">
        <v>190</v>
      </c>
      <c r="DL130" s="319" t="s">
        <v>190</v>
      </c>
      <c r="DM130" s="319" t="s">
        <v>190</v>
      </c>
      <c r="DN130" s="319" t="s">
        <v>428</v>
      </c>
      <c r="DO130" s="319" t="s">
        <v>190</v>
      </c>
      <c r="DP130" s="319" t="s">
        <v>190</v>
      </c>
      <c r="DQ130" s="319" t="s">
        <v>190</v>
      </c>
      <c r="DR130" s="319" t="s">
        <v>190</v>
      </c>
      <c r="DS130" s="319" t="s">
        <v>190</v>
      </c>
      <c r="DT130" s="319" t="s">
        <v>190</v>
      </c>
      <c r="DU130" s="319" t="s">
        <v>190</v>
      </c>
      <c r="DV130" s="319" t="s">
        <v>173</v>
      </c>
      <c r="DW130" s="319" t="s">
        <v>190</v>
      </c>
      <c r="DX130" s="319" t="s">
        <v>190</v>
      </c>
      <c r="DY130" s="319" t="s">
        <v>190</v>
      </c>
      <c r="DZ130" s="319" t="s">
        <v>190</v>
      </c>
      <c r="EA130" s="319" t="s">
        <v>190</v>
      </c>
      <c r="EB130" s="319" t="s">
        <v>190</v>
      </c>
      <c r="EC130" s="319" t="s">
        <v>428</v>
      </c>
      <c r="ED130" s="319" t="s">
        <v>190</v>
      </c>
      <c r="EE130" s="319" t="s">
        <v>190</v>
      </c>
      <c r="EF130" s="319" t="s">
        <v>190</v>
      </c>
      <c r="EG130" s="319" t="s">
        <v>190</v>
      </c>
      <c r="EH130" s="319" t="s">
        <v>190</v>
      </c>
      <c r="EI130" s="319" t="s">
        <v>190</v>
      </c>
      <c r="EJ130" s="319" t="s">
        <v>190</v>
      </c>
      <c r="EK130" s="319" t="s">
        <v>190</v>
      </c>
      <c r="EL130" s="319" t="s">
        <v>190</v>
      </c>
      <c r="EM130" s="319" t="s">
        <v>190</v>
      </c>
      <c r="EN130" s="319" t="s">
        <v>190</v>
      </c>
      <c r="EO130" s="319" t="s">
        <v>190</v>
      </c>
      <c r="EP130" s="319" t="s">
        <v>190</v>
      </c>
      <c r="EQ130" s="319" t="s">
        <v>190</v>
      </c>
      <c r="ER130" s="319" t="s">
        <v>190</v>
      </c>
      <c r="ES130" s="319" t="s">
        <v>190</v>
      </c>
      <c r="ET130" s="319" t="s">
        <v>190</v>
      </c>
      <c r="EU130" s="319" t="s">
        <v>190</v>
      </c>
      <c r="EV130" s="319" t="s">
        <v>190</v>
      </c>
      <c r="EW130" s="319" t="s">
        <v>190</v>
      </c>
      <c r="EX130" s="319" t="s">
        <v>190</v>
      </c>
      <c r="EY130" s="319" t="s">
        <v>190</v>
      </c>
      <c r="EZ130" s="319" t="s">
        <v>190</v>
      </c>
      <c r="FA130" s="319" t="s">
        <v>190</v>
      </c>
      <c r="FB130" s="319" t="s">
        <v>190</v>
      </c>
      <c r="FC130" s="319" t="s">
        <v>190</v>
      </c>
      <c r="FD130" s="319" t="s">
        <v>190</v>
      </c>
      <c r="FE130" s="319" t="s">
        <v>190</v>
      </c>
      <c r="FF130" s="319" t="s">
        <v>190</v>
      </c>
      <c r="FG130" s="319" t="s">
        <v>190</v>
      </c>
      <c r="FH130" s="319" t="s">
        <v>190</v>
      </c>
      <c r="FI130" s="319" t="s">
        <v>190</v>
      </c>
      <c r="FJ130" s="319" t="s">
        <v>190</v>
      </c>
      <c r="FK130" s="319" t="s">
        <v>190</v>
      </c>
      <c r="FL130" s="319" t="s">
        <v>190</v>
      </c>
      <c r="FM130" s="319" t="s">
        <v>190</v>
      </c>
      <c r="FN130" s="319" t="s">
        <v>190</v>
      </c>
      <c r="FO130" s="319" t="s">
        <v>190</v>
      </c>
      <c r="FP130" s="319" t="s">
        <v>190</v>
      </c>
      <c r="FQ130" s="319" t="s">
        <v>190</v>
      </c>
      <c r="FR130" s="319" t="s">
        <v>190</v>
      </c>
      <c r="FS130" s="319" t="s">
        <v>428</v>
      </c>
      <c r="FT130" s="319" t="s">
        <v>190</v>
      </c>
      <c r="FU130" s="319" t="s">
        <v>190</v>
      </c>
      <c r="FV130" s="319" t="s">
        <v>190</v>
      </c>
      <c r="FW130" s="319" t="s">
        <v>190</v>
      </c>
      <c r="FX130" s="319" t="s">
        <v>190</v>
      </c>
      <c r="FY130" s="319" t="s">
        <v>190</v>
      </c>
      <c r="FZ130" s="319" t="s">
        <v>190</v>
      </c>
      <c r="GA130" s="319" t="s">
        <v>190</v>
      </c>
      <c r="GB130" s="319" t="s">
        <v>190</v>
      </c>
      <c r="GC130" s="319" t="s">
        <v>190</v>
      </c>
      <c r="GD130" s="319" t="s">
        <v>190</v>
      </c>
      <c r="GE130" s="319" t="s">
        <v>190</v>
      </c>
      <c r="GF130" s="319" t="s">
        <v>190</v>
      </c>
      <c r="GG130" s="319" t="s">
        <v>190</v>
      </c>
      <c r="GH130" s="319" t="s">
        <v>190</v>
      </c>
      <c r="GI130" s="319" t="s">
        <v>190</v>
      </c>
      <c r="GJ130" s="319" t="s">
        <v>190</v>
      </c>
      <c r="GK130" s="319" t="s">
        <v>428</v>
      </c>
      <c r="GL130" s="319" t="s">
        <v>190</v>
      </c>
      <c r="GM130" s="319" t="s">
        <v>190</v>
      </c>
      <c r="GN130" s="319" t="s">
        <v>190</v>
      </c>
      <c r="GO130" s="319" t="s">
        <v>190</v>
      </c>
      <c r="GP130" s="319" t="s">
        <v>190</v>
      </c>
      <c r="GQ130" s="319" t="s">
        <v>190</v>
      </c>
      <c r="GR130" s="319" t="s">
        <v>190</v>
      </c>
      <c r="GS130" s="319" t="s">
        <v>190</v>
      </c>
      <c r="GT130" s="319" t="s">
        <v>190</v>
      </c>
      <c r="GU130" s="319" t="s">
        <v>190</v>
      </c>
      <c r="GV130" s="319" t="s">
        <v>190</v>
      </c>
      <c r="GW130" s="319" t="s">
        <v>190</v>
      </c>
      <c r="GX130" s="319" t="s">
        <v>190</v>
      </c>
      <c r="GY130" s="319" t="s">
        <v>190</v>
      </c>
      <c r="GZ130" s="319" t="s">
        <v>428</v>
      </c>
      <c r="HA130" s="319" t="s">
        <v>190</v>
      </c>
      <c r="HB130" s="319" t="s">
        <v>190</v>
      </c>
      <c r="HC130" s="319" t="s">
        <v>190</v>
      </c>
      <c r="HD130" s="319" t="s">
        <v>190</v>
      </c>
      <c r="HE130" s="319" t="s">
        <v>190</v>
      </c>
      <c r="HF130" s="319" t="s">
        <v>190</v>
      </c>
      <c r="HG130" s="319" t="s">
        <v>190</v>
      </c>
      <c r="HH130" s="319" t="s">
        <v>190</v>
      </c>
      <c r="HI130" s="319" t="s">
        <v>190</v>
      </c>
      <c r="HJ130" s="319" t="s">
        <v>190</v>
      </c>
      <c r="HK130" s="319" t="s">
        <v>190</v>
      </c>
      <c r="HL130" s="319" t="s">
        <v>190</v>
      </c>
      <c r="HM130" s="319" t="s">
        <v>190</v>
      </c>
      <c r="HN130" s="319" t="s">
        <v>190</v>
      </c>
      <c r="HO130" s="319" t="s">
        <v>190</v>
      </c>
      <c r="HP130" s="319" t="s">
        <v>190</v>
      </c>
      <c r="HQ130" s="319" t="s">
        <v>190</v>
      </c>
      <c r="HR130" s="319" t="s">
        <v>190</v>
      </c>
      <c r="HS130" s="319" t="s">
        <v>190</v>
      </c>
      <c r="HT130" s="319" t="s">
        <v>190</v>
      </c>
      <c r="HU130" s="319" t="s">
        <v>190</v>
      </c>
      <c r="HV130" s="319" t="s">
        <v>190</v>
      </c>
      <c r="HW130" s="319" t="s">
        <v>190</v>
      </c>
      <c r="HX130" s="319" t="s">
        <v>190</v>
      </c>
      <c r="HY130" s="319" t="s">
        <v>190</v>
      </c>
      <c r="HZ130" s="319" t="s">
        <v>190</v>
      </c>
      <c r="IA130" s="319" t="s">
        <v>190</v>
      </c>
      <c r="IB130" s="319" t="s">
        <v>190</v>
      </c>
      <c r="IC130" s="319" t="s">
        <v>190</v>
      </c>
      <c r="ID130" s="319" t="s">
        <v>190</v>
      </c>
      <c r="IE130" s="319" t="s">
        <v>190</v>
      </c>
      <c r="IF130" s="319" t="s">
        <v>190</v>
      </c>
      <c r="IG130" s="319" t="s">
        <v>190</v>
      </c>
      <c r="IH130" s="319" t="s">
        <v>190</v>
      </c>
      <c r="II130" s="319" t="s">
        <v>190</v>
      </c>
      <c r="IJ130" s="319">
        <v>10012939</v>
      </c>
      <c r="IK130" s="321">
        <v>42486</v>
      </c>
      <c r="IL130" s="321">
        <v>42488</v>
      </c>
      <c r="IM130" s="321">
        <v>42508</v>
      </c>
      <c r="IN130" s="319">
        <v>2</v>
      </c>
      <c r="IO130" s="319" t="s">
        <v>173</v>
      </c>
      <c r="IP130" s="319" t="s">
        <v>173</v>
      </c>
      <c r="IQ130" s="321" t="s">
        <v>173</v>
      </c>
      <c r="IR130" s="320" t="s">
        <v>173</v>
      </c>
      <c r="IS130" s="322" t="s">
        <v>173</v>
      </c>
      <c r="IT130" s="319" t="s">
        <v>173</v>
      </c>
    </row>
    <row r="131" spans="1:254" s="271" customFormat="1" x14ac:dyDescent="0.25">
      <c r="A131" s="318" t="str">
        <f>HYPERLINK("http://www.ofsted.gov.uk/inspection-reports/find-inspection-report/provider/ELS/110175 ","Ofsted School Webpage")</f>
        <v>Ofsted School Webpage</v>
      </c>
      <c r="B131" s="319">
        <v>110175</v>
      </c>
      <c r="C131" s="319">
        <v>8696013</v>
      </c>
      <c r="D131" s="319" t="s">
        <v>1381</v>
      </c>
      <c r="E131" s="319" t="s">
        <v>167</v>
      </c>
      <c r="F131" s="319" t="s">
        <v>81</v>
      </c>
      <c r="G131" s="319" t="s">
        <v>81</v>
      </c>
      <c r="H131" s="319" t="s">
        <v>81</v>
      </c>
      <c r="I131" s="319" t="s">
        <v>78</v>
      </c>
      <c r="J131" s="319" t="s">
        <v>424</v>
      </c>
      <c r="K131" s="319" t="s">
        <v>514</v>
      </c>
      <c r="L131" s="319" t="s">
        <v>514</v>
      </c>
      <c r="M131" s="319" t="s">
        <v>1382</v>
      </c>
      <c r="N131" s="319" t="s">
        <v>1814</v>
      </c>
      <c r="O131" s="319" t="s">
        <v>1383</v>
      </c>
      <c r="P131" s="319">
        <v>60</v>
      </c>
      <c r="Q131" s="319" t="s">
        <v>2766</v>
      </c>
      <c r="R131" s="320">
        <v>10094397</v>
      </c>
      <c r="S131" s="321">
        <v>43522</v>
      </c>
      <c r="T131" s="321">
        <v>43524</v>
      </c>
      <c r="U131" s="321">
        <v>43584</v>
      </c>
      <c r="V131" s="319" t="s">
        <v>425</v>
      </c>
      <c r="W131" s="319" t="s">
        <v>2767</v>
      </c>
      <c r="X131" s="319">
        <v>4</v>
      </c>
      <c r="Y131" s="319" t="s">
        <v>173</v>
      </c>
      <c r="Z131" s="319" t="s">
        <v>173</v>
      </c>
      <c r="AA131" s="319" t="s">
        <v>173</v>
      </c>
      <c r="AB131" s="319">
        <v>4</v>
      </c>
      <c r="AC131" s="319" t="s">
        <v>169</v>
      </c>
      <c r="AD131" s="319">
        <v>3</v>
      </c>
      <c r="AE131" s="319" t="s">
        <v>173</v>
      </c>
      <c r="AF131" s="319" t="s">
        <v>427</v>
      </c>
      <c r="AG131" s="319" t="s">
        <v>172</v>
      </c>
      <c r="AH131" s="319" t="s">
        <v>479</v>
      </c>
      <c r="AI131" s="319" t="s">
        <v>190</v>
      </c>
      <c r="AJ131" s="319" t="s">
        <v>190</v>
      </c>
      <c r="AK131" s="319" t="s">
        <v>190</v>
      </c>
      <c r="AL131" s="319" t="s">
        <v>479</v>
      </c>
      <c r="AM131" s="319" t="s">
        <v>479</v>
      </c>
      <c r="AN131" s="319" t="s">
        <v>190</v>
      </c>
      <c r="AO131" s="319" t="s">
        <v>479</v>
      </c>
      <c r="AP131" s="319" t="s">
        <v>191</v>
      </c>
      <c r="AQ131" s="319" t="s">
        <v>190</v>
      </c>
      <c r="AR131" s="319" t="s">
        <v>191</v>
      </c>
      <c r="AS131" s="319" t="s">
        <v>191</v>
      </c>
      <c r="AT131" s="319" t="s">
        <v>190</v>
      </c>
      <c r="AU131" s="319" t="s">
        <v>191</v>
      </c>
      <c r="AV131" s="319" t="s">
        <v>190</v>
      </c>
      <c r="AW131" s="319" t="s">
        <v>190</v>
      </c>
      <c r="AX131" s="319" t="s">
        <v>428</v>
      </c>
      <c r="AY131" s="319" t="s">
        <v>190</v>
      </c>
      <c r="AZ131" s="319" t="s">
        <v>190</v>
      </c>
      <c r="BA131" s="319" t="s">
        <v>190</v>
      </c>
      <c r="BB131" s="319" t="s">
        <v>191</v>
      </c>
      <c r="BC131" s="319" t="s">
        <v>191</v>
      </c>
      <c r="BD131" s="319" t="s">
        <v>191</v>
      </c>
      <c r="BE131" s="319" t="s">
        <v>191</v>
      </c>
      <c r="BF131" s="319" t="s">
        <v>190</v>
      </c>
      <c r="BG131" s="319" t="s">
        <v>428</v>
      </c>
      <c r="BH131" s="319" t="s">
        <v>190</v>
      </c>
      <c r="BI131" s="319" t="s">
        <v>190</v>
      </c>
      <c r="BJ131" s="319" t="s">
        <v>191</v>
      </c>
      <c r="BK131" s="319" t="s">
        <v>190</v>
      </c>
      <c r="BL131" s="319" t="s">
        <v>190</v>
      </c>
      <c r="BM131" s="319" t="s">
        <v>191</v>
      </c>
      <c r="BN131" s="319" t="s">
        <v>191</v>
      </c>
      <c r="BO131" s="319" t="s">
        <v>190</v>
      </c>
      <c r="BP131" s="319" t="s">
        <v>190</v>
      </c>
      <c r="BQ131" s="319" t="s">
        <v>190</v>
      </c>
      <c r="BR131" s="319" t="s">
        <v>190</v>
      </c>
      <c r="BS131" s="319" t="s">
        <v>190</v>
      </c>
      <c r="BT131" s="319" t="s">
        <v>190</v>
      </c>
      <c r="BU131" s="319" t="s">
        <v>190</v>
      </c>
      <c r="BV131" s="319" t="s">
        <v>190</v>
      </c>
      <c r="BW131" s="319" t="s">
        <v>190</v>
      </c>
      <c r="BX131" s="319" t="s">
        <v>190</v>
      </c>
      <c r="BY131" s="319" t="s">
        <v>190</v>
      </c>
      <c r="BZ131" s="319" t="s">
        <v>190</v>
      </c>
      <c r="CA131" s="319" t="s">
        <v>190</v>
      </c>
      <c r="CB131" s="319" t="s">
        <v>190</v>
      </c>
      <c r="CC131" s="319" t="s">
        <v>190</v>
      </c>
      <c r="CD131" s="319" t="s">
        <v>190</v>
      </c>
      <c r="CE131" s="319" t="s">
        <v>190</v>
      </c>
      <c r="CF131" s="319" t="s">
        <v>190</v>
      </c>
      <c r="CG131" s="319" t="s">
        <v>190</v>
      </c>
      <c r="CH131" s="319" t="s">
        <v>190</v>
      </c>
      <c r="CI131" s="319" t="s">
        <v>190</v>
      </c>
      <c r="CJ131" s="319" t="s">
        <v>190</v>
      </c>
      <c r="CK131" s="319" t="s">
        <v>190</v>
      </c>
      <c r="CL131" s="319" t="s">
        <v>190</v>
      </c>
      <c r="CM131" s="319" t="s">
        <v>190</v>
      </c>
      <c r="CN131" s="319" t="s">
        <v>428</v>
      </c>
      <c r="CO131" s="319" t="s">
        <v>428</v>
      </c>
      <c r="CP131" s="319" t="s">
        <v>428</v>
      </c>
      <c r="CQ131" s="319" t="s">
        <v>190</v>
      </c>
      <c r="CR131" s="319" t="s">
        <v>190</v>
      </c>
      <c r="CS131" s="319" t="s">
        <v>190</v>
      </c>
      <c r="CT131" s="319" t="s">
        <v>190</v>
      </c>
      <c r="CU131" s="319" t="s">
        <v>190</v>
      </c>
      <c r="CV131" s="319" t="s">
        <v>190</v>
      </c>
      <c r="CW131" s="319" t="s">
        <v>190</v>
      </c>
      <c r="CX131" s="319" t="s">
        <v>190</v>
      </c>
      <c r="CY131" s="319" t="s">
        <v>190</v>
      </c>
      <c r="CZ131" s="319" t="s">
        <v>190</v>
      </c>
      <c r="DA131" s="319" t="s">
        <v>190</v>
      </c>
      <c r="DB131" s="319" t="s">
        <v>190</v>
      </c>
      <c r="DC131" s="319" t="s">
        <v>190</v>
      </c>
      <c r="DD131" s="319" t="s">
        <v>190</v>
      </c>
      <c r="DE131" s="319" t="s">
        <v>190</v>
      </c>
      <c r="DF131" s="319" t="s">
        <v>190</v>
      </c>
      <c r="DG131" s="319" t="s">
        <v>190</v>
      </c>
      <c r="DH131" s="319" t="s">
        <v>190</v>
      </c>
      <c r="DI131" s="319" t="s">
        <v>190</v>
      </c>
      <c r="DJ131" s="319" t="s">
        <v>190</v>
      </c>
      <c r="DK131" s="319" t="s">
        <v>190</v>
      </c>
      <c r="DL131" s="319" t="s">
        <v>190</v>
      </c>
      <c r="DM131" s="319" t="s">
        <v>190</v>
      </c>
      <c r="DN131" s="319" t="s">
        <v>428</v>
      </c>
      <c r="DO131" s="319" t="s">
        <v>190</v>
      </c>
      <c r="DP131" s="319" t="s">
        <v>428</v>
      </c>
      <c r="DQ131" s="319" t="s">
        <v>428</v>
      </c>
      <c r="DR131" s="319" t="s">
        <v>428</v>
      </c>
      <c r="DS131" s="319" t="s">
        <v>428</v>
      </c>
      <c r="DT131" s="319" t="s">
        <v>428</v>
      </c>
      <c r="DU131" s="319" t="s">
        <v>428</v>
      </c>
      <c r="DV131" s="319" t="s">
        <v>173</v>
      </c>
      <c r="DW131" s="319" t="s">
        <v>428</v>
      </c>
      <c r="DX131" s="319" t="s">
        <v>428</v>
      </c>
      <c r="DY131" s="319" t="s">
        <v>428</v>
      </c>
      <c r="DZ131" s="319" t="s">
        <v>428</v>
      </c>
      <c r="EA131" s="319" t="s">
        <v>428</v>
      </c>
      <c r="EB131" s="319" t="s">
        <v>428</v>
      </c>
      <c r="EC131" s="319" t="s">
        <v>428</v>
      </c>
      <c r="ED131" s="319" t="s">
        <v>428</v>
      </c>
      <c r="EE131" s="319" t="s">
        <v>190</v>
      </c>
      <c r="EF131" s="319" t="s">
        <v>190</v>
      </c>
      <c r="EG131" s="319" t="s">
        <v>190</v>
      </c>
      <c r="EH131" s="319" t="s">
        <v>190</v>
      </c>
      <c r="EI131" s="319" t="s">
        <v>190</v>
      </c>
      <c r="EJ131" s="319" t="s">
        <v>190</v>
      </c>
      <c r="EK131" s="319" t="s">
        <v>190</v>
      </c>
      <c r="EL131" s="319" t="s">
        <v>190</v>
      </c>
      <c r="EM131" s="319" t="s">
        <v>190</v>
      </c>
      <c r="EN131" s="319" t="s">
        <v>190</v>
      </c>
      <c r="EO131" s="319" t="s">
        <v>190</v>
      </c>
      <c r="EP131" s="319" t="s">
        <v>190</v>
      </c>
      <c r="EQ131" s="319" t="s">
        <v>190</v>
      </c>
      <c r="ER131" s="319" t="s">
        <v>190</v>
      </c>
      <c r="ES131" s="319" t="s">
        <v>190</v>
      </c>
      <c r="ET131" s="319" t="s">
        <v>190</v>
      </c>
      <c r="EU131" s="319" t="s">
        <v>190</v>
      </c>
      <c r="EV131" s="319" t="s">
        <v>190</v>
      </c>
      <c r="EW131" s="319" t="s">
        <v>190</v>
      </c>
      <c r="EX131" s="319" t="s">
        <v>190</v>
      </c>
      <c r="EY131" s="319" t="s">
        <v>190</v>
      </c>
      <c r="EZ131" s="319" t="s">
        <v>190</v>
      </c>
      <c r="FA131" s="319" t="s">
        <v>190</v>
      </c>
      <c r="FB131" s="319" t="s">
        <v>428</v>
      </c>
      <c r="FC131" s="319" t="s">
        <v>428</v>
      </c>
      <c r="FD131" s="319" t="s">
        <v>428</v>
      </c>
      <c r="FE131" s="319" t="s">
        <v>428</v>
      </c>
      <c r="FF131" s="319" t="s">
        <v>428</v>
      </c>
      <c r="FG131" s="319" t="s">
        <v>428</v>
      </c>
      <c r="FH131" s="319" t="s">
        <v>190</v>
      </c>
      <c r="FI131" s="319" t="s">
        <v>190</v>
      </c>
      <c r="FJ131" s="319" t="s">
        <v>190</v>
      </c>
      <c r="FK131" s="319" t="s">
        <v>190</v>
      </c>
      <c r="FL131" s="319" t="s">
        <v>191</v>
      </c>
      <c r="FM131" s="319" t="s">
        <v>190</v>
      </c>
      <c r="FN131" s="319" t="s">
        <v>190</v>
      </c>
      <c r="FO131" s="319" t="s">
        <v>191</v>
      </c>
      <c r="FP131" s="319" t="s">
        <v>190</v>
      </c>
      <c r="FQ131" s="319" t="s">
        <v>190</v>
      </c>
      <c r="FR131" s="319" t="s">
        <v>190</v>
      </c>
      <c r="FS131" s="319" t="s">
        <v>428</v>
      </c>
      <c r="FT131" s="319" t="s">
        <v>428</v>
      </c>
      <c r="FU131" s="319" t="s">
        <v>190</v>
      </c>
      <c r="FV131" s="319" t="s">
        <v>190</v>
      </c>
      <c r="FW131" s="319" t="s">
        <v>190</v>
      </c>
      <c r="FX131" s="319" t="s">
        <v>190</v>
      </c>
      <c r="FY131" s="319" t="s">
        <v>190</v>
      </c>
      <c r="FZ131" s="319" t="s">
        <v>190</v>
      </c>
      <c r="GA131" s="319" t="s">
        <v>190</v>
      </c>
      <c r="GB131" s="319" t="s">
        <v>190</v>
      </c>
      <c r="GC131" s="319" t="s">
        <v>190</v>
      </c>
      <c r="GD131" s="319" t="s">
        <v>190</v>
      </c>
      <c r="GE131" s="319" t="s">
        <v>190</v>
      </c>
      <c r="GF131" s="319" t="s">
        <v>190</v>
      </c>
      <c r="GG131" s="319" t="s">
        <v>190</v>
      </c>
      <c r="GH131" s="319" t="s">
        <v>190</v>
      </c>
      <c r="GI131" s="319" t="s">
        <v>190</v>
      </c>
      <c r="GJ131" s="319" t="s">
        <v>190</v>
      </c>
      <c r="GK131" s="319" t="s">
        <v>428</v>
      </c>
      <c r="GL131" s="319" t="s">
        <v>191</v>
      </c>
      <c r="GM131" s="319" t="s">
        <v>190</v>
      </c>
      <c r="GN131" s="319" t="s">
        <v>190</v>
      </c>
      <c r="GO131" s="319" t="s">
        <v>191</v>
      </c>
      <c r="GP131" s="319" t="s">
        <v>190</v>
      </c>
      <c r="GQ131" s="319" t="s">
        <v>428</v>
      </c>
      <c r="GR131" s="319" t="s">
        <v>190</v>
      </c>
      <c r="GS131" s="319" t="s">
        <v>190</v>
      </c>
      <c r="GT131" s="319" t="s">
        <v>190</v>
      </c>
      <c r="GU131" s="319" t="s">
        <v>190</v>
      </c>
      <c r="GV131" s="319" t="s">
        <v>190</v>
      </c>
      <c r="GW131" s="319" t="s">
        <v>190</v>
      </c>
      <c r="GX131" s="319" t="s">
        <v>190</v>
      </c>
      <c r="GY131" s="319" t="s">
        <v>190</v>
      </c>
      <c r="GZ131" s="319" t="s">
        <v>428</v>
      </c>
      <c r="HA131" s="319" t="s">
        <v>190</v>
      </c>
      <c r="HB131" s="319" t="s">
        <v>190</v>
      </c>
      <c r="HC131" s="319" t="s">
        <v>190</v>
      </c>
      <c r="HD131" s="319" t="s">
        <v>190</v>
      </c>
      <c r="HE131" s="319" t="s">
        <v>190</v>
      </c>
      <c r="HF131" s="319" t="s">
        <v>190</v>
      </c>
      <c r="HG131" s="319" t="s">
        <v>190</v>
      </c>
      <c r="HH131" s="319" t="s">
        <v>190</v>
      </c>
      <c r="HI131" s="319" t="s">
        <v>190</v>
      </c>
      <c r="HJ131" s="319" t="s">
        <v>190</v>
      </c>
      <c r="HK131" s="319" t="s">
        <v>190</v>
      </c>
      <c r="HL131" s="319" t="s">
        <v>428</v>
      </c>
      <c r="HM131" s="319" t="s">
        <v>428</v>
      </c>
      <c r="HN131" s="319" t="s">
        <v>428</v>
      </c>
      <c r="HO131" s="319" t="s">
        <v>428</v>
      </c>
      <c r="HP131" s="319" t="s">
        <v>190</v>
      </c>
      <c r="HQ131" s="319" t="s">
        <v>190</v>
      </c>
      <c r="HR131" s="319" t="s">
        <v>190</v>
      </c>
      <c r="HS131" s="319" t="s">
        <v>190</v>
      </c>
      <c r="HT131" s="319" t="s">
        <v>190</v>
      </c>
      <c r="HU131" s="319" t="s">
        <v>190</v>
      </c>
      <c r="HV131" s="319" t="s">
        <v>190</v>
      </c>
      <c r="HW131" s="319" t="s">
        <v>190</v>
      </c>
      <c r="HX131" s="319" t="s">
        <v>190</v>
      </c>
      <c r="HY131" s="319" t="s">
        <v>190</v>
      </c>
      <c r="HZ131" s="319" t="s">
        <v>190</v>
      </c>
      <c r="IA131" s="319" t="s">
        <v>190</v>
      </c>
      <c r="IB131" s="319" t="s">
        <v>190</v>
      </c>
      <c r="IC131" s="319" t="s">
        <v>190</v>
      </c>
      <c r="ID131" s="319" t="s">
        <v>190</v>
      </c>
      <c r="IE131" s="319" t="s">
        <v>190</v>
      </c>
      <c r="IF131" s="319" t="s">
        <v>191</v>
      </c>
      <c r="IG131" s="319" t="s">
        <v>191</v>
      </c>
      <c r="IH131" s="319" t="s">
        <v>191</v>
      </c>
      <c r="II131" s="319" t="s">
        <v>190</v>
      </c>
      <c r="IJ131" s="319" t="s">
        <v>1384</v>
      </c>
      <c r="IK131" s="321">
        <v>39581</v>
      </c>
      <c r="IL131" s="321">
        <v>39582</v>
      </c>
      <c r="IM131" s="321">
        <v>39615</v>
      </c>
      <c r="IN131" s="319">
        <v>2</v>
      </c>
      <c r="IO131" s="319">
        <v>10125001</v>
      </c>
      <c r="IP131" s="319" t="s">
        <v>985</v>
      </c>
      <c r="IQ131" s="321">
        <v>43795</v>
      </c>
      <c r="IR131" s="320" t="s">
        <v>2771</v>
      </c>
      <c r="IS131" s="322">
        <v>43811</v>
      </c>
      <c r="IT131" s="319" t="s">
        <v>166</v>
      </c>
    </row>
    <row r="132" spans="1:254" s="271" customFormat="1" x14ac:dyDescent="0.25">
      <c r="A132" s="318" t="str">
        <f>HYPERLINK("http://www.ofsted.gov.uk/inspection-reports/find-inspection-report/provider/ELS/110178 ","Ofsted School Webpage")</f>
        <v>Ofsted School Webpage</v>
      </c>
      <c r="B132" s="319">
        <v>110178</v>
      </c>
      <c r="C132" s="319">
        <v>8676580</v>
      </c>
      <c r="D132" s="319" t="s">
        <v>1385</v>
      </c>
      <c r="E132" s="319" t="s">
        <v>168</v>
      </c>
      <c r="F132" s="319" t="s">
        <v>81</v>
      </c>
      <c r="G132" s="319" t="s">
        <v>81</v>
      </c>
      <c r="H132" s="319" t="s">
        <v>81</v>
      </c>
      <c r="I132" s="319" t="s">
        <v>78</v>
      </c>
      <c r="J132" s="319" t="s">
        <v>424</v>
      </c>
      <c r="K132" s="319" t="s">
        <v>514</v>
      </c>
      <c r="L132" s="319" t="s">
        <v>514</v>
      </c>
      <c r="M132" s="319" t="s">
        <v>1379</v>
      </c>
      <c r="N132" s="319" t="s">
        <v>2906</v>
      </c>
      <c r="O132" s="319" t="s">
        <v>1386</v>
      </c>
      <c r="P132" s="319">
        <v>15</v>
      </c>
      <c r="Q132" s="319" t="s">
        <v>429</v>
      </c>
      <c r="R132" s="320">
        <v>10006109</v>
      </c>
      <c r="S132" s="321">
        <v>42920</v>
      </c>
      <c r="T132" s="321">
        <v>42922</v>
      </c>
      <c r="U132" s="321">
        <v>42985</v>
      </c>
      <c r="V132" s="319" t="s">
        <v>425</v>
      </c>
      <c r="W132" s="319" t="s">
        <v>2767</v>
      </c>
      <c r="X132" s="319">
        <v>2</v>
      </c>
      <c r="Y132" s="319" t="s">
        <v>173</v>
      </c>
      <c r="Z132" s="319" t="s">
        <v>173</v>
      </c>
      <c r="AA132" s="319" t="s">
        <v>173</v>
      </c>
      <c r="AB132" s="319">
        <v>2</v>
      </c>
      <c r="AC132" s="319" t="s">
        <v>169</v>
      </c>
      <c r="AD132" s="319" t="s">
        <v>173</v>
      </c>
      <c r="AE132" s="319" t="s">
        <v>173</v>
      </c>
      <c r="AF132" s="319" t="s">
        <v>173</v>
      </c>
      <c r="AG132" s="319" t="s">
        <v>171</v>
      </c>
      <c r="AH132" s="319" t="s">
        <v>190</v>
      </c>
      <c r="AI132" s="319" t="s">
        <v>190</v>
      </c>
      <c r="AJ132" s="319" t="s">
        <v>190</v>
      </c>
      <c r="AK132" s="319" t="s">
        <v>190</v>
      </c>
      <c r="AL132" s="319" t="s">
        <v>190</v>
      </c>
      <c r="AM132" s="319" t="s">
        <v>190</v>
      </c>
      <c r="AN132" s="319" t="s">
        <v>190</v>
      </c>
      <c r="AO132" s="319" t="s">
        <v>190</v>
      </c>
      <c r="AP132" s="319" t="s">
        <v>190</v>
      </c>
      <c r="AQ132" s="319" t="s">
        <v>190</v>
      </c>
      <c r="AR132" s="319" t="s">
        <v>190</v>
      </c>
      <c r="AS132" s="319" t="s">
        <v>190</v>
      </c>
      <c r="AT132" s="319" t="s">
        <v>190</v>
      </c>
      <c r="AU132" s="319" t="s">
        <v>190</v>
      </c>
      <c r="AV132" s="319" t="s">
        <v>190</v>
      </c>
      <c r="AW132" s="319" t="s">
        <v>190</v>
      </c>
      <c r="AX132" s="319" t="s">
        <v>429</v>
      </c>
      <c r="AY132" s="319" t="s">
        <v>190</v>
      </c>
      <c r="AZ132" s="319" t="s">
        <v>190</v>
      </c>
      <c r="BA132" s="319" t="s">
        <v>190</v>
      </c>
      <c r="BB132" s="319" t="s">
        <v>190</v>
      </c>
      <c r="BC132" s="319" t="s">
        <v>190</v>
      </c>
      <c r="BD132" s="319" t="s">
        <v>190</v>
      </c>
      <c r="BE132" s="319" t="s">
        <v>190</v>
      </c>
      <c r="BF132" s="319" t="s">
        <v>429</v>
      </c>
      <c r="BG132" s="319" t="s">
        <v>429</v>
      </c>
      <c r="BH132" s="319" t="s">
        <v>190</v>
      </c>
      <c r="BI132" s="319" t="s">
        <v>190</v>
      </c>
      <c r="BJ132" s="319" t="s">
        <v>190</v>
      </c>
      <c r="BK132" s="319" t="s">
        <v>190</v>
      </c>
      <c r="BL132" s="319" t="s">
        <v>190</v>
      </c>
      <c r="BM132" s="319" t="s">
        <v>190</v>
      </c>
      <c r="BN132" s="319" t="s">
        <v>190</v>
      </c>
      <c r="BO132" s="319" t="s">
        <v>190</v>
      </c>
      <c r="BP132" s="319" t="s">
        <v>190</v>
      </c>
      <c r="BQ132" s="319" t="s">
        <v>190</v>
      </c>
      <c r="BR132" s="319" t="s">
        <v>190</v>
      </c>
      <c r="BS132" s="319" t="s">
        <v>190</v>
      </c>
      <c r="BT132" s="319" t="s">
        <v>190</v>
      </c>
      <c r="BU132" s="319" t="s">
        <v>190</v>
      </c>
      <c r="BV132" s="319" t="s">
        <v>190</v>
      </c>
      <c r="BW132" s="319" t="s">
        <v>190</v>
      </c>
      <c r="BX132" s="319" t="s">
        <v>190</v>
      </c>
      <c r="BY132" s="319" t="s">
        <v>190</v>
      </c>
      <c r="BZ132" s="319" t="s">
        <v>190</v>
      </c>
      <c r="CA132" s="319" t="s">
        <v>190</v>
      </c>
      <c r="CB132" s="319" t="s">
        <v>190</v>
      </c>
      <c r="CC132" s="319" t="s">
        <v>190</v>
      </c>
      <c r="CD132" s="319" t="s">
        <v>190</v>
      </c>
      <c r="CE132" s="319" t="s">
        <v>190</v>
      </c>
      <c r="CF132" s="319" t="s">
        <v>190</v>
      </c>
      <c r="CG132" s="319" t="s">
        <v>190</v>
      </c>
      <c r="CH132" s="319" t="s">
        <v>190</v>
      </c>
      <c r="CI132" s="319" t="s">
        <v>190</v>
      </c>
      <c r="CJ132" s="319" t="s">
        <v>190</v>
      </c>
      <c r="CK132" s="319" t="s">
        <v>190</v>
      </c>
      <c r="CL132" s="319" t="s">
        <v>190</v>
      </c>
      <c r="CM132" s="319" t="s">
        <v>190</v>
      </c>
      <c r="CN132" s="319" t="s">
        <v>429</v>
      </c>
      <c r="CO132" s="319" t="s">
        <v>429</v>
      </c>
      <c r="CP132" s="319" t="s">
        <v>429</v>
      </c>
      <c r="CQ132" s="319" t="s">
        <v>190</v>
      </c>
      <c r="CR132" s="319" t="s">
        <v>190</v>
      </c>
      <c r="CS132" s="319" t="s">
        <v>190</v>
      </c>
      <c r="CT132" s="319" t="s">
        <v>190</v>
      </c>
      <c r="CU132" s="319" t="s">
        <v>190</v>
      </c>
      <c r="CV132" s="319" t="s">
        <v>190</v>
      </c>
      <c r="CW132" s="319" t="s">
        <v>190</v>
      </c>
      <c r="CX132" s="319" t="s">
        <v>190</v>
      </c>
      <c r="CY132" s="319" t="s">
        <v>190</v>
      </c>
      <c r="CZ132" s="319" t="s">
        <v>190</v>
      </c>
      <c r="DA132" s="319" t="s">
        <v>190</v>
      </c>
      <c r="DB132" s="319" t="s">
        <v>190</v>
      </c>
      <c r="DC132" s="319" t="s">
        <v>190</v>
      </c>
      <c r="DD132" s="319" t="s">
        <v>190</v>
      </c>
      <c r="DE132" s="319" t="s">
        <v>190</v>
      </c>
      <c r="DF132" s="319" t="s">
        <v>190</v>
      </c>
      <c r="DG132" s="319" t="s">
        <v>190</v>
      </c>
      <c r="DH132" s="319" t="s">
        <v>190</v>
      </c>
      <c r="DI132" s="319" t="s">
        <v>190</v>
      </c>
      <c r="DJ132" s="319" t="s">
        <v>190</v>
      </c>
      <c r="DK132" s="319" t="s">
        <v>190</v>
      </c>
      <c r="DL132" s="319" t="s">
        <v>190</v>
      </c>
      <c r="DM132" s="319" t="s">
        <v>190</v>
      </c>
      <c r="DN132" s="319" t="s">
        <v>429</v>
      </c>
      <c r="DO132" s="319" t="s">
        <v>190</v>
      </c>
      <c r="DP132" s="319" t="s">
        <v>190</v>
      </c>
      <c r="DQ132" s="319" t="s">
        <v>190</v>
      </c>
      <c r="DR132" s="319" t="s">
        <v>190</v>
      </c>
      <c r="DS132" s="319" t="s">
        <v>190</v>
      </c>
      <c r="DT132" s="319" t="s">
        <v>190</v>
      </c>
      <c r="DU132" s="319" t="s">
        <v>190</v>
      </c>
      <c r="DV132" s="319" t="s">
        <v>173</v>
      </c>
      <c r="DW132" s="319" t="s">
        <v>190</v>
      </c>
      <c r="DX132" s="319" t="s">
        <v>190</v>
      </c>
      <c r="DY132" s="319" t="s">
        <v>190</v>
      </c>
      <c r="DZ132" s="319" t="s">
        <v>190</v>
      </c>
      <c r="EA132" s="319" t="s">
        <v>190</v>
      </c>
      <c r="EB132" s="319" t="s">
        <v>190</v>
      </c>
      <c r="EC132" s="319" t="s">
        <v>429</v>
      </c>
      <c r="ED132" s="319" t="s">
        <v>429</v>
      </c>
      <c r="EE132" s="319" t="s">
        <v>190</v>
      </c>
      <c r="EF132" s="319" t="s">
        <v>190</v>
      </c>
      <c r="EG132" s="319" t="s">
        <v>190</v>
      </c>
      <c r="EH132" s="319" t="s">
        <v>190</v>
      </c>
      <c r="EI132" s="319" t="s">
        <v>190</v>
      </c>
      <c r="EJ132" s="319" t="s">
        <v>190</v>
      </c>
      <c r="EK132" s="319" t="s">
        <v>190</v>
      </c>
      <c r="EL132" s="319" t="s">
        <v>190</v>
      </c>
      <c r="EM132" s="319" t="s">
        <v>190</v>
      </c>
      <c r="EN132" s="319" t="s">
        <v>190</v>
      </c>
      <c r="EO132" s="319" t="s">
        <v>190</v>
      </c>
      <c r="EP132" s="319" t="s">
        <v>190</v>
      </c>
      <c r="EQ132" s="319" t="s">
        <v>190</v>
      </c>
      <c r="ER132" s="319" t="s">
        <v>190</v>
      </c>
      <c r="ES132" s="319" t="s">
        <v>190</v>
      </c>
      <c r="ET132" s="319" t="s">
        <v>190</v>
      </c>
      <c r="EU132" s="319" t="s">
        <v>190</v>
      </c>
      <c r="EV132" s="319" t="s">
        <v>190</v>
      </c>
      <c r="EW132" s="319" t="s">
        <v>190</v>
      </c>
      <c r="EX132" s="319" t="s">
        <v>190</v>
      </c>
      <c r="EY132" s="319" t="s">
        <v>190</v>
      </c>
      <c r="EZ132" s="319" t="s">
        <v>190</v>
      </c>
      <c r="FA132" s="319" t="s">
        <v>190</v>
      </c>
      <c r="FB132" s="319" t="s">
        <v>190</v>
      </c>
      <c r="FC132" s="319" t="s">
        <v>190</v>
      </c>
      <c r="FD132" s="319" t="s">
        <v>190</v>
      </c>
      <c r="FE132" s="319" t="s">
        <v>190</v>
      </c>
      <c r="FF132" s="319" t="s">
        <v>190</v>
      </c>
      <c r="FG132" s="319" t="s">
        <v>190</v>
      </c>
      <c r="FH132" s="319" t="s">
        <v>190</v>
      </c>
      <c r="FI132" s="319" t="s">
        <v>190</v>
      </c>
      <c r="FJ132" s="319" t="s">
        <v>190</v>
      </c>
      <c r="FK132" s="319" t="s">
        <v>190</v>
      </c>
      <c r="FL132" s="319" t="s">
        <v>190</v>
      </c>
      <c r="FM132" s="319" t="s">
        <v>190</v>
      </c>
      <c r="FN132" s="319" t="s">
        <v>190</v>
      </c>
      <c r="FO132" s="319" t="s">
        <v>190</v>
      </c>
      <c r="FP132" s="319" t="s">
        <v>190</v>
      </c>
      <c r="FQ132" s="319" t="s">
        <v>190</v>
      </c>
      <c r="FR132" s="319" t="s">
        <v>190</v>
      </c>
      <c r="FS132" s="319" t="s">
        <v>190</v>
      </c>
      <c r="FT132" s="319" t="s">
        <v>190</v>
      </c>
      <c r="FU132" s="319" t="s">
        <v>190</v>
      </c>
      <c r="FV132" s="319" t="s">
        <v>190</v>
      </c>
      <c r="FW132" s="319" t="s">
        <v>190</v>
      </c>
      <c r="FX132" s="319" t="s">
        <v>190</v>
      </c>
      <c r="FY132" s="319" t="s">
        <v>190</v>
      </c>
      <c r="FZ132" s="319" t="s">
        <v>190</v>
      </c>
      <c r="GA132" s="319" t="s">
        <v>190</v>
      </c>
      <c r="GB132" s="319" t="s">
        <v>190</v>
      </c>
      <c r="GC132" s="319" t="s">
        <v>190</v>
      </c>
      <c r="GD132" s="319" t="s">
        <v>190</v>
      </c>
      <c r="GE132" s="319" t="s">
        <v>190</v>
      </c>
      <c r="GF132" s="319" t="s">
        <v>190</v>
      </c>
      <c r="GG132" s="319" t="s">
        <v>190</v>
      </c>
      <c r="GH132" s="319" t="s">
        <v>190</v>
      </c>
      <c r="GI132" s="319" t="s">
        <v>190</v>
      </c>
      <c r="GJ132" s="319" t="s">
        <v>190</v>
      </c>
      <c r="GK132" s="319" t="s">
        <v>429</v>
      </c>
      <c r="GL132" s="319" t="s">
        <v>190</v>
      </c>
      <c r="GM132" s="319" t="s">
        <v>190</v>
      </c>
      <c r="GN132" s="319" t="s">
        <v>190</v>
      </c>
      <c r="GO132" s="319" t="s">
        <v>190</v>
      </c>
      <c r="GP132" s="319" t="s">
        <v>190</v>
      </c>
      <c r="GQ132" s="319" t="s">
        <v>429</v>
      </c>
      <c r="GR132" s="319" t="s">
        <v>190</v>
      </c>
      <c r="GS132" s="319" t="s">
        <v>190</v>
      </c>
      <c r="GT132" s="319" t="s">
        <v>190</v>
      </c>
      <c r="GU132" s="319" t="s">
        <v>190</v>
      </c>
      <c r="GV132" s="319" t="s">
        <v>190</v>
      </c>
      <c r="GW132" s="319" t="s">
        <v>190</v>
      </c>
      <c r="GX132" s="319" t="s">
        <v>190</v>
      </c>
      <c r="GY132" s="319" t="s">
        <v>190</v>
      </c>
      <c r="GZ132" s="319" t="s">
        <v>429</v>
      </c>
      <c r="HA132" s="319" t="s">
        <v>190</v>
      </c>
      <c r="HB132" s="319" t="s">
        <v>429</v>
      </c>
      <c r="HC132" s="319" t="s">
        <v>190</v>
      </c>
      <c r="HD132" s="319" t="s">
        <v>190</v>
      </c>
      <c r="HE132" s="319" t="s">
        <v>190</v>
      </c>
      <c r="HF132" s="319" t="s">
        <v>190</v>
      </c>
      <c r="HG132" s="319" t="s">
        <v>190</v>
      </c>
      <c r="HH132" s="319" t="s">
        <v>190</v>
      </c>
      <c r="HI132" s="319" t="s">
        <v>190</v>
      </c>
      <c r="HJ132" s="319" t="s">
        <v>190</v>
      </c>
      <c r="HK132" s="319" t="s">
        <v>429</v>
      </c>
      <c r="HL132" s="319" t="s">
        <v>429</v>
      </c>
      <c r="HM132" s="319" t="s">
        <v>429</v>
      </c>
      <c r="HN132" s="319" t="s">
        <v>429</v>
      </c>
      <c r="HO132" s="319" t="s">
        <v>429</v>
      </c>
      <c r="HP132" s="319" t="s">
        <v>190</v>
      </c>
      <c r="HQ132" s="319" t="s">
        <v>190</v>
      </c>
      <c r="HR132" s="319" t="s">
        <v>190</v>
      </c>
      <c r="HS132" s="319" t="s">
        <v>190</v>
      </c>
      <c r="HT132" s="319" t="s">
        <v>190</v>
      </c>
      <c r="HU132" s="319" t="s">
        <v>190</v>
      </c>
      <c r="HV132" s="319" t="s">
        <v>190</v>
      </c>
      <c r="HW132" s="319" t="s">
        <v>190</v>
      </c>
      <c r="HX132" s="319" t="s">
        <v>190</v>
      </c>
      <c r="HY132" s="319" t="s">
        <v>190</v>
      </c>
      <c r="HZ132" s="319" t="s">
        <v>190</v>
      </c>
      <c r="IA132" s="319" t="s">
        <v>190</v>
      </c>
      <c r="IB132" s="319" t="s">
        <v>190</v>
      </c>
      <c r="IC132" s="319" t="s">
        <v>190</v>
      </c>
      <c r="ID132" s="319" t="s">
        <v>190</v>
      </c>
      <c r="IE132" s="319" t="s">
        <v>190</v>
      </c>
      <c r="IF132" s="319" t="s">
        <v>190</v>
      </c>
      <c r="IG132" s="319" t="s">
        <v>190</v>
      </c>
      <c r="IH132" s="319" t="s">
        <v>190</v>
      </c>
      <c r="II132" s="319" t="s">
        <v>190</v>
      </c>
      <c r="IJ132" s="319" t="s">
        <v>2907</v>
      </c>
      <c r="IK132" s="321">
        <v>41178</v>
      </c>
      <c r="IL132" s="321">
        <v>41179</v>
      </c>
      <c r="IM132" s="321">
        <v>41200</v>
      </c>
      <c r="IN132" s="319">
        <v>3</v>
      </c>
      <c r="IO132" s="319" t="s">
        <v>173</v>
      </c>
      <c r="IP132" s="319" t="s">
        <v>173</v>
      </c>
      <c r="IQ132" s="319" t="s">
        <v>173</v>
      </c>
      <c r="IR132" s="320" t="s">
        <v>173</v>
      </c>
      <c r="IS132" s="320" t="s">
        <v>173</v>
      </c>
      <c r="IT132" s="319" t="s">
        <v>173</v>
      </c>
    </row>
    <row r="133" spans="1:254" s="271" customFormat="1" x14ac:dyDescent="0.25">
      <c r="A133" s="318" t="str">
        <f>HYPERLINK("http://www.ofsted.gov.uk/inspection-reports/find-inspection-report/provider/ELS/110557 ","Ofsted School Webpage")</f>
        <v>Ofsted School Webpage</v>
      </c>
      <c r="B133" s="319">
        <v>110557</v>
      </c>
      <c r="C133" s="319">
        <v>8256016</v>
      </c>
      <c r="D133" s="319" t="s">
        <v>1387</v>
      </c>
      <c r="E133" s="319" t="s">
        <v>167</v>
      </c>
      <c r="F133" s="319" t="s">
        <v>81</v>
      </c>
      <c r="G133" s="319" t="s">
        <v>81</v>
      </c>
      <c r="H133" s="319" t="s">
        <v>81</v>
      </c>
      <c r="I133" s="319" t="s">
        <v>78</v>
      </c>
      <c r="J133" s="319" t="s">
        <v>424</v>
      </c>
      <c r="K133" s="319" t="s">
        <v>514</v>
      </c>
      <c r="L133" s="319" t="s">
        <v>514</v>
      </c>
      <c r="M133" s="319" t="s">
        <v>632</v>
      </c>
      <c r="N133" s="319" t="s">
        <v>2908</v>
      </c>
      <c r="O133" s="319" t="s">
        <v>1388</v>
      </c>
      <c r="P133" s="319">
        <v>151</v>
      </c>
      <c r="Q133" s="319" t="s">
        <v>2766</v>
      </c>
      <c r="R133" s="320">
        <v>10047023</v>
      </c>
      <c r="S133" s="321">
        <v>43229</v>
      </c>
      <c r="T133" s="321">
        <v>43231</v>
      </c>
      <c r="U133" s="321">
        <v>43269</v>
      </c>
      <c r="V133" s="319" t="s">
        <v>425</v>
      </c>
      <c r="W133" s="319" t="s">
        <v>2767</v>
      </c>
      <c r="X133" s="319">
        <v>2</v>
      </c>
      <c r="Y133" s="319" t="s">
        <v>173</v>
      </c>
      <c r="Z133" s="319" t="s">
        <v>173</v>
      </c>
      <c r="AA133" s="319" t="s">
        <v>173</v>
      </c>
      <c r="AB133" s="319">
        <v>2</v>
      </c>
      <c r="AC133" s="319" t="s">
        <v>169</v>
      </c>
      <c r="AD133" s="319">
        <v>1</v>
      </c>
      <c r="AE133" s="319" t="s">
        <v>173</v>
      </c>
      <c r="AF133" s="319" t="s">
        <v>427</v>
      </c>
      <c r="AG133" s="319" t="s">
        <v>171</v>
      </c>
      <c r="AH133" s="319" t="s">
        <v>190</v>
      </c>
      <c r="AI133" s="319" t="s">
        <v>190</v>
      </c>
      <c r="AJ133" s="319" t="s">
        <v>190</v>
      </c>
      <c r="AK133" s="319" t="s">
        <v>190</v>
      </c>
      <c r="AL133" s="319" t="s">
        <v>190</v>
      </c>
      <c r="AM133" s="319" t="s">
        <v>190</v>
      </c>
      <c r="AN133" s="319" t="s">
        <v>190</v>
      </c>
      <c r="AO133" s="319" t="s">
        <v>190</v>
      </c>
      <c r="AP133" s="319" t="s">
        <v>190</v>
      </c>
      <c r="AQ133" s="319" t="s">
        <v>190</v>
      </c>
      <c r="AR133" s="319" t="s">
        <v>190</v>
      </c>
      <c r="AS133" s="319" t="s">
        <v>190</v>
      </c>
      <c r="AT133" s="319" t="s">
        <v>190</v>
      </c>
      <c r="AU133" s="319" t="s">
        <v>190</v>
      </c>
      <c r="AV133" s="319" t="s">
        <v>190</v>
      </c>
      <c r="AW133" s="319" t="s">
        <v>190</v>
      </c>
      <c r="AX133" s="319" t="s">
        <v>428</v>
      </c>
      <c r="AY133" s="319" t="s">
        <v>190</v>
      </c>
      <c r="AZ133" s="319" t="s">
        <v>190</v>
      </c>
      <c r="BA133" s="319" t="s">
        <v>190</v>
      </c>
      <c r="BB133" s="319" t="s">
        <v>428</v>
      </c>
      <c r="BC133" s="319" t="s">
        <v>428</v>
      </c>
      <c r="BD133" s="319" t="s">
        <v>428</v>
      </c>
      <c r="BE133" s="319" t="s">
        <v>428</v>
      </c>
      <c r="BF133" s="319" t="s">
        <v>190</v>
      </c>
      <c r="BG133" s="319" t="s">
        <v>428</v>
      </c>
      <c r="BH133" s="319" t="s">
        <v>190</v>
      </c>
      <c r="BI133" s="319" t="s">
        <v>190</v>
      </c>
      <c r="BJ133" s="319" t="s">
        <v>190</v>
      </c>
      <c r="BK133" s="319" t="s">
        <v>190</v>
      </c>
      <c r="BL133" s="319" t="s">
        <v>190</v>
      </c>
      <c r="BM133" s="319" t="s">
        <v>190</v>
      </c>
      <c r="BN133" s="319" t="s">
        <v>190</v>
      </c>
      <c r="BO133" s="319" t="s">
        <v>190</v>
      </c>
      <c r="BP133" s="319" t="s">
        <v>190</v>
      </c>
      <c r="BQ133" s="319" t="s">
        <v>190</v>
      </c>
      <c r="BR133" s="319" t="s">
        <v>190</v>
      </c>
      <c r="BS133" s="319" t="s">
        <v>190</v>
      </c>
      <c r="BT133" s="319" t="s">
        <v>190</v>
      </c>
      <c r="BU133" s="319" t="s">
        <v>190</v>
      </c>
      <c r="BV133" s="319" t="s">
        <v>190</v>
      </c>
      <c r="BW133" s="319" t="s">
        <v>190</v>
      </c>
      <c r="BX133" s="319" t="s">
        <v>190</v>
      </c>
      <c r="BY133" s="319" t="s">
        <v>190</v>
      </c>
      <c r="BZ133" s="319" t="s">
        <v>190</v>
      </c>
      <c r="CA133" s="319" t="s">
        <v>190</v>
      </c>
      <c r="CB133" s="319" t="s">
        <v>190</v>
      </c>
      <c r="CC133" s="319" t="s">
        <v>190</v>
      </c>
      <c r="CD133" s="319" t="s">
        <v>190</v>
      </c>
      <c r="CE133" s="319" t="s">
        <v>190</v>
      </c>
      <c r="CF133" s="319" t="s">
        <v>190</v>
      </c>
      <c r="CG133" s="319" t="s">
        <v>190</v>
      </c>
      <c r="CH133" s="319" t="s">
        <v>190</v>
      </c>
      <c r="CI133" s="319" t="s">
        <v>190</v>
      </c>
      <c r="CJ133" s="319" t="s">
        <v>190</v>
      </c>
      <c r="CK133" s="319" t="s">
        <v>190</v>
      </c>
      <c r="CL133" s="319" t="s">
        <v>190</v>
      </c>
      <c r="CM133" s="319" t="s">
        <v>190</v>
      </c>
      <c r="CN133" s="319" t="s">
        <v>190</v>
      </c>
      <c r="CO133" s="319" t="s">
        <v>428</v>
      </c>
      <c r="CP133" s="319" t="s">
        <v>428</v>
      </c>
      <c r="CQ133" s="319" t="s">
        <v>190</v>
      </c>
      <c r="CR133" s="319" t="s">
        <v>190</v>
      </c>
      <c r="CS133" s="319" t="s">
        <v>190</v>
      </c>
      <c r="CT133" s="319" t="s">
        <v>190</v>
      </c>
      <c r="CU133" s="319" t="s">
        <v>190</v>
      </c>
      <c r="CV133" s="319" t="s">
        <v>190</v>
      </c>
      <c r="CW133" s="319" t="s">
        <v>190</v>
      </c>
      <c r="CX133" s="319" t="s">
        <v>190</v>
      </c>
      <c r="CY133" s="319" t="s">
        <v>190</v>
      </c>
      <c r="CZ133" s="319" t="s">
        <v>190</v>
      </c>
      <c r="DA133" s="319" t="s">
        <v>190</v>
      </c>
      <c r="DB133" s="319" t="s">
        <v>190</v>
      </c>
      <c r="DC133" s="319" t="s">
        <v>190</v>
      </c>
      <c r="DD133" s="319" t="s">
        <v>190</v>
      </c>
      <c r="DE133" s="319" t="s">
        <v>190</v>
      </c>
      <c r="DF133" s="319" t="s">
        <v>190</v>
      </c>
      <c r="DG133" s="319" t="s">
        <v>190</v>
      </c>
      <c r="DH133" s="319" t="s">
        <v>190</v>
      </c>
      <c r="DI133" s="319" t="s">
        <v>190</v>
      </c>
      <c r="DJ133" s="319" t="s">
        <v>190</v>
      </c>
      <c r="DK133" s="319" t="s">
        <v>190</v>
      </c>
      <c r="DL133" s="319" t="s">
        <v>190</v>
      </c>
      <c r="DM133" s="319" t="s">
        <v>190</v>
      </c>
      <c r="DN133" s="319" t="s">
        <v>428</v>
      </c>
      <c r="DO133" s="319" t="s">
        <v>190</v>
      </c>
      <c r="DP133" s="319" t="s">
        <v>190</v>
      </c>
      <c r="DQ133" s="319" t="s">
        <v>190</v>
      </c>
      <c r="DR133" s="319" t="s">
        <v>190</v>
      </c>
      <c r="DS133" s="319" t="s">
        <v>190</v>
      </c>
      <c r="DT133" s="319" t="s">
        <v>190</v>
      </c>
      <c r="DU133" s="319" t="s">
        <v>190</v>
      </c>
      <c r="DV133" s="319" t="s">
        <v>173</v>
      </c>
      <c r="DW133" s="319" t="s">
        <v>190</v>
      </c>
      <c r="DX133" s="319" t="s">
        <v>190</v>
      </c>
      <c r="DY133" s="319" t="s">
        <v>190</v>
      </c>
      <c r="DZ133" s="319" t="s">
        <v>190</v>
      </c>
      <c r="EA133" s="319" t="s">
        <v>190</v>
      </c>
      <c r="EB133" s="319" t="s">
        <v>190</v>
      </c>
      <c r="EC133" s="319" t="s">
        <v>428</v>
      </c>
      <c r="ED133" s="319" t="s">
        <v>190</v>
      </c>
      <c r="EE133" s="319" t="s">
        <v>190</v>
      </c>
      <c r="EF133" s="319" t="s">
        <v>190</v>
      </c>
      <c r="EG133" s="319" t="s">
        <v>190</v>
      </c>
      <c r="EH133" s="319" t="s">
        <v>190</v>
      </c>
      <c r="EI133" s="319" t="s">
        <v>190</v>
      </c>
      <c r="EJ133" s="319" t="s">
        <v>190</v>
      </c>
      <c r="EK133" s="319" t="s">
        <v>190</v>
      </c>
      <c r="EL133" s="319" t="s">
        <v>190</v>
      </c>
      <c r="EM133" s="319" t="s">
        <v>190</v>
      </c>
      <c r="EN133" s="319" t="s">
        <v>190</v>
      </c>
      <c r="EO133" s="319" t="s">
        <v>190</v>
      </c>
      <c r="EP133" s="319" t="s">
        <v>190</v>
      </c>
      <c r="EQ133" s="319" t="s">
        <v>190</v>
      </c>
      <c r="ER133" s="319" t="s">
        <v>190</v>
      </c>
      <c r="ES133" s="319" t="s">
        <v>190</v>
      </c>
      <c r="ET133" s="319" t="s">
        <v>190</v>
      </c>
      <c r="EU133" s="319" t="s">
        <v>190</v>
      </c>
      <c r="EV133" s="319" t="s">
        <v>190</v>
      </c>
      <c r="EW133" s="319" t="s">
        <v>190</v>
      </c>
      <c r="EX133" s="319" t="s">
        <v>190</v>
      </c>
      <c r="EY133" s="319" t="s">
        <v>190</v>
      </c>
      <c r="EZ133" s="319" t="s">
        <v>190</v>
      </c>
      <c r="FA133" s="319" t="s">
        <v>190</v>
      </c>
      <c r="FB133" s="319" t="s">
        <v>190</v>
      </c>
      <c r="FC133" s="319" t="s">
        <v>190</v>
      </c>
      <c r="FD133" s="319" t="s">
        <v>190</v>
      </c>
      <c r="FE133" s="319" t="s">
        <v>190</v>
      </c>
      <c r="FF133" s="319" t="s">
        <v>190</v>
      </c>
      <c r="FG133" s="319" t="s">
        <v>190</v>
      </c>
      <c r="FH133" s="319" t="s">
        <v>190</v>
      </c>
      <c r="FI133" s="319" t="s">
        <v>190</v>
      </c>
      <c r="FJ133" s="319" t="s">
        <v>190</v>
      </c>
      <c r="FK133" s="319" t="s">
        <v>190</v>
      </c>
      <c r="FL133" s="319" t="s">
        <v>190</v>
      </c>
      <c r="FM133" s="319" t="s">
        <v>190</v>
      </c>
      <c r="FN133" s="319" t="s">
        <v>190</v>
      </c>
      <c r="FO133" s="319" t="s">
        <v>190</v>
      </c>
      <c r="FP133" s="319" t="s">
        <v>190</v>
      </c>
      <c r="FQ133" s="319" t="s">
        <v>190</v>
      </c>
      <c r="FR133" s="319" t="s">
        <v>190</v>
      </c>
      <c r="FS133" s="319" t="s">
        <v>428</v>
      </c>
      <c r="FT133" s="319" t="s">
        <v>190</v>
      </c>
      <c r="FU133" s="319" t="s">
        <v>190</v>
      </c>
      <c r="FV133" s="319" t="s">
        <v>190</v>
      </c>
      <c r="FW133" s="319" t="s">
        <v>190</v>
      </c>
      <c r="FX133" s="319" t="s">
        <v>190</v>
      </c>
      <c r="FY133" s="319" t="s">
        <v>190</v>
      </c>
      <c r="FZ133" s="319" t="s">
        <v>190</v>
      </c>
      <c r="GA133" s="319" t="s">
        <v>190</v>
      </c>
      <c r="GB133" s="319" t="s">
        <v>190</v>
      </c>
      <c r="GC133" s="319" t="s">
        <v>190</v>
      </c>
      <c r="GD133" s="319" t="s">
        <v>190</v>
      </c>
      <c r="GE133" s="319" t="s">
        <v>190</v>
      </c>
      <c r="GF133" s="319" t="s">
        <v>190</v>
      </c>
      <c r="GG133" s="319" t="s">
        <v>190</v>
      </c>
      <c r="GH133" s="319" t="s">
        <v>190</v>
      </c>
      <c r="GI133" s="319" t="s">
        <v>190</v>
      </c>
      <c r="GJ133" s="319" t="s">
        <v>190</v>
      </c>
      <c r="GK133" s="319" t="s">
        <v>428</v>
      </c>
      <c r="GL133" s="319" t="s">
        <v>190</v>
      </c>
      <c r="GM133" s="319" t="s">
        <v>190</v>
      </c>
      <c r="GN133" s="319" t="s">
        <v>190</v>
      </c>
      <c r="GO133" s="319" t="s">
        <v>190</v>
      </c>
      <c r="GP133" s="319" t="s">
        <v>190</v>
      </c>
      <c r="GQ133" s="319" t="s">
        <v>190</v>
      </c>
      <c r="GR133" s="319" t="s">
        <v>190</v>
      </c>
      <c r="GS133" s="319" t="s">
        <v>190</v>
      </c>
      <c r="GT133" s="319" t="s">
        <v>190</v>
      </c>
      <c r="GU133" s="319" t="s">
        <v>190</v>
      </c>
      <c r="GV133" s="319" t="s">
        <v>190</v>
      </c>
      <c r="GW133" s="319" t="s">
        <v>190</v>
      </c>
      <c r="GX133" s="319" t="s">
        <v>190</v>
      </c>
      <c r="GY133" s="319" t="s">
        <v>190</v>
      </c>
      <c r="GZ133" s="319" t="s">
        <v>428</v>
      </c>
      <c r="HA133" s="319" t="s">
        <v>190</v>
      </c>
      <c r="HB133" s="319" t="s">
        <v>190</v>
      </c>
      <c r="HC133" s="319" t="s">
        <v>190</v>
      </c>
      <c r="HD133" s="319" t="s">
        <v>190</v>
      </c>
      <c r="HE133" s="319" t="s">
        <v>190</v>
      </c>
      <c r="HF133" s="319" t="s">
        <v>190</v>
      </c>
      <c r="HG133" s="319" t="s">
        <v>190</v>
      </c>
      <c r="HH133" s="319" t="s">
        <v>190</v>
      </c>
      <c r="HI133" s="319" t="s">
        <v>190</v>
      </c>
      <c r="HJ133" s="319" t="s">
        <v>190</v>
      </c>
      <c r="HK133" s="319" t="s">
        <v>190</v>
      </c>
      <c r="HL133" s="319" t="s">
        <v>190</v>
      </c>
      <c r="HM133" s="319" t="s">
        <v>190</v>
      </c>
      <c r="HN133" s="319" t="s">
        <v>190</v>
      </c>
      <c r="HO133" s="319" t="s">
        <v>190</v>
      </c>
      <c r="HP133" s="319" t="s">
        <v>190</v>
      </c>
      <c r="HQ133" s="319" t="s">
        <v>190</v>
      </c>
      <c r="HR133" s="319" t="s">
        <v>190</v>
      </c>
      <c r="HS133" s="319" t="s">
        <v>190</v>
      </c>
      <c r="HT133" s="319" t="s">
        <v>190</v>
      </c>
      <c r="HU133" s="319" t="s">
        <v>190</v>
      </c>
      <c r="HV133" s="319" t="s">
        <v>190</v>
      </c>
      <c r="HW133" s="319" t="s">
        <v>190</v>
      </c>
      <c r="HX133" s="319" t="s">
        <v>190</v>
      </c>
      <c r="HY133" s="319" t="s">
        <v>190</v>
      </c>
      <c r="HZ133" s="319" t="s">
        <v>190</v>
      </c>
      <c r="IA133" s="319" t="s">
        <v>190</v>
      </c>
      <c r="IB133" s="319" t="s">
        <v>190</v>
      </c>
      <c r="IC133" s="319" t="s">
        <v>190</v>
      </c>
      <c r="ID133" s="319" t="s">
        <v>190</v>
      </c>
      <c r="IE133" s="319" t="s">
        <v>190</v>
      </c>
      <c r="IF133" s="319" t="s">
        <v>190</v>
      </c>
      <c r="IG133" s="319" t="s">
        <v>190</v>
      </c>
      <c r="IH133" s="319" t="s">
        <v>190</v>
      </c>
      <c r="II133" s="319" t="s">
        <v>190</v>
      </c>
      <c r="IJ133" s="319">
        <v>10012906</v>
      </c>
      <c r="IK133" s="321">
        <v>42535</v>
      </c>
      <c r="IL133" s="321">
        <v>42537</v>
      </c>
      <c r="IM133" s="321">
        <v>42562</v>
      </c>
      <c r="IN133" s="319">
        <v>3</v>
      </c>
      <c r="IO133" s="319" t="s">
        <v>173</v>
      </c>
      <c r="IP133" s="319" t="s">
        <v>173</v>
      </c>
      <c r="IQ133" s="321" t="s">
        <v>173</v>
      </c>
      <c r="IR133" s="320" t="s">
        <v>173</v>
      </c>
      <c r="IS133" s="322" t="s">
        <v>173</v>
      </c>
      <c r="IT133" s="319" t="s">
        <v>173</v>
      </c>
    </row>
    <row r="134" spans="1:254" s="271" customFormat="1" x14ac:dyDescent="0.25">
      <c r="A134" s="318" t="str">
        <f>HYPERLINK("http://www.ofsted.gov.uk/inspection-reports/find-inspection-report/provider/ELS/110564 ","Ofsted School Webpage")</f>
        <v>Ofsted School Webpage</v>
      </c>
      <c r="B134" s="319">
        <v>110564</v>
      </c>
      <c r="C134" s="319">
        <v>8256011</v>
      </c>
      <c r="D134" s="319" t="s">
        <v>1389</v>
      </c>
      <c r="E134" s="319" t="s">
        <v>168</v>
      </c>
      <c r="F134" s="319" t="s">
        <v>81</v>
      </c>
      <c r="G134" s="319" t="s">
        <v>81</v>
      </c>
      <c r="H134" s="319" t="s">
        <v>81</v>
      </c>
      <c r="I134" s="319" t="s">
        <v>78</v>
      </c>
      <c r="J134" s="319" t="s">
        <v>424</v>
      </c>
      <c r="K134" s="319" t="s">
        <v>514</v>
      </c>
      <c r="L134" s="319" t="s">
        <v>514</v>
      </c>
      <c r="M134" s="319" t="s">
        <v>632</v>
      </c>
      <c r="N134" s="319" t="s">
        <v>2909</v>
      </c>
      <c r="O134" s="319" t="s">
        <v>1390</v>
      </c>
      <c r="P134" s="319">
        <v>32</v>
      </c>
      <c r="Q134" s="319" t="s">
        <v>2776</v>
      </c>
      <c r="R134" s="320">
        <v>10025975</v>
      </c>
      <c r="S134" s="321">
        <v>42899</v>
      </c>
      <c r="T134" s="321">
        <v>42901</v>
      </c>
      <c r="U134" s="321">
        <v>42922</v>
      </c>
      <c r="V134" s="319" t="s">
        <v>425</v>
      </c>
      <c r="W134" s="319" t="s">
        <v>2767</v>
      </c>
      <c r="X134" s="319">
        <v>2</v>
      </c>
      <c r="Y134" s="319" t="s">
        <v>173</v>
      </c>
      <c r="Z134" s="319" t="s">
        <v>173</v>
      </c>
      <c r="AA134" s="319" t="s">
        <v>173</v>
      </c>
      <c r="AB134" s="319">
        <v>2</v>
      </c>
      <c r="AC134" s="319" t="s">
        <v>169</v>
      </c>
      <c r="AD134" s="319" t="s">
        <v>173</v>
      </c>
      <c r="AE134" s="319">
        <v>2</v>
      </c>
      <c r="AF134" s="319" t="s">
        <v>173</v>
      </c>
      <c r="AG134" s="319" t="s">
        <v>171</v>
      </c>
      <c r="AH134" s="319" t="s">
        <v>190</v>
      </c>
      <c r="AI134" s="319" t="s">
        <v>190</v>
      </c>
      <c r="AJ134" s="319" t="s">
        <v>190</v>
      </c>
      <c r="AK134" s="319" t="s">
        <v>190</v>
      </c>
      <c r="AL134" s="319" t="s">
        <v>190</v>
      </c>
      <c r="AM134" s="319" t="s">
        <v>190</v>
      </c>
      <c r="AN134" s="319" t="s">
        <v>190</v>
      </c>
      <c r="AO134" s="319" t="s">
        <v>190</v>
      </c>
      <c r="AP134" s="319" t="s">
        <v>190</v>
      </c>
      <c r="AQ134" s="319" t="s">
        <v>190</v>
      </c>
      <c r="AR134" s="319" t="s">
        <v>190</v>
      </c>
      <c r="AS134" s="319" t="s">
        <v>190</v>
      </c>
      <c r="AT134" s="319" t="s">
        <v>190</v>
      </c>
      <c r="AU134" s="319" t="s">
        <v>190</v>
      </c>
      <c r="AV134" s="319" t="s">
        <v>190</v>
      </c>
      <c r="AW134" s="319" t="s">
        <v>190</v>
      </c>
      <c r="AX134" s="319" t="s">
        <v>429</v>
      </c>
      <c r="AY134" s="319" t="s">
        <v>190</v>
      </c>
      <c r="AZ134" s="319" t="s">
        <v>190</v>
      </c>
      <c r="BA134" s="319" t="s">
        <v>190</v>
      </c>
      <c r="BB134" s="319" t="s">
        <v>190</v>
      </c>
      <c r="BC134" s="319" t="s">
        <v>190</v>
      </c>
      <c r="BD134" s="319" t="s">
        <v>190</v>
      </c>
      <c r="BE134" s="319" t="s">
        <v>190</v>
      </c>
      <c r="BF134" s="319" t="s">
        <v>190</v>
      </c>
      <c r="BG134" s="319" t="s">
        <v>190</v>
      </c>
      <c r="BH134" s="319" t="s">
        <v>190</v>
      </c>
      <c r="BI134" s="319" t="s">
        <v>190</v>
      </c>
      <c r="BJ134" s="319" t="s">
        <v>190</v>
      </c>
      <c r="BK134" s="319" t="s">
        <v>190</v>
      </c>
      <c r="BL134" s="319" t="s">
        <v>190</v>
      </c>
      <c r="BM134" s="319" t="s">
        <v>190</v>
      </c>
      <c r="BN134" s="319" t="s">
        <v>190</v>
      </c>
      <c r="BO134" s="319" t="s">
        <v>190</v>
      </c>
      <c r="BP134" s="319" t="s">
        <v>190</v>
      </c>
      <c r="BQ134" s="319" t="s">
        <v>190</v>
      </c>
      <c r="BR134" s="319" t="s">
        <v>190</v>
      </c>
      <c r="BS134" s="319" t="s">
        <v>190</v>
      </c>
      <c r="BT134" s="319" t="s">
        <v>190</v>
      </c>
      <c r="BU134" s="319" t="s">
        <v>190</v>
      </c>
      <c r="BV134" s="319" t="s">
        <v>190</v>
      </c>
      <c r="BW134" s="319" t="s">
        <v>190</v>
      </c>
      <c r="BX134" s="319" t="s">
        <v>190</v>
      </c>
      <c r="BY134" s="319" t="s">
        <v>190</v>
      </c>
      <c r="BZ134" s="319" t="s">
        <v>190</v>
      </c>
      <c r="CA134" s="319" t="s">
        <v>190</v>
      </c>
      <c r="CB134" s="319" t="s">
        <v>190</v>
      </c>
      <c r="CC134" s="319" t="s">
        <v>190</v>
      </c>
      <c r="CD134" s="319" t="s">
        <v>190</v>
      </c>
      <c r="CE134" s="319" t="s">
        <v>190</v>
      </c>
      <c r="CF134" s="319" t="s">
        <v>190</v>
      </c>
      <c r="CG134" s="319" t="s">
        <v>190</v>
      </c>
      <c r="CH134" s="319" t="s">
        <v>190</v>
      </c>
      <c r="CI134" s="319" t="s">
        <v>190</v>
      </c>
      <c r="CJ134" s="319" t="s">
        <v>190</v>
      </c>
      <c r="CK134" s="319" t="s">
        <v>190</v>
      </c>
      <c r="CL134" s="319" t="s">
        <v>190</v>
      </c>
      <c r="CM134" s="319" t="s">
        <v>190</v>
      </c>
      <c r="CN134" s="319" t="s">
        <v>190</v>
      </c>
      <c r="CO134" s="319" t="s">
        <v>190</v>
      </c>
      <c r="CP134" s="319" t="s">
        <v>190</v>
      </c>
      <c r="CQ134" s="319" t="s">
        <v>190</v>
      </c>
      <c r="CR134" s="319" t="s">
        <v>190</v>
      </c>
      <c r="CS134" s="319" t="s">
        <v>190</v>
      </c>
      <c r="CT134" s="319" t="s">
        <v>190</v>
      </c>
      <c r="CU134" s="319" t="s">
        <v>190</v>
      </c>
      <c r="CV134" s="319" t="s">
        <v>190</v>
      </c>
      <c r="CW134" s="319" t="s">
        <v>190</v>
      </c>
      <c r="CX134" s="319" t="s">
        <v>190</v>
      </c>
      <c r="CY134" s="319" t="s">
        <v>190</v>
      </c>
      <c r="CZ134" s="319" t="s">
        <v>190</v>
      </c>
      <c r="DA134" s="319" t="s">
        <v>190</v>
      </c>
      <c r="DB134" s="319" t="s">
        <v>190</v>
      </c>
      <c r="DC134" s="319" t="s">
        <v>190</v>
      </c>
      <c r="DD134" s="319" t="s">
        <v>190</v>
      </c>
      <c r="DE134" s="319" t="s">
        <v>190</v>
      </c>
      <c r="DF134" s="319" t="s">
        <v>190</v>
      </c>
      <c r="DG134" s="319" t="s">
        <v>190</v>
      </c>
      <c r="DH134" s="319" t="s">
        <v>190</v>
      </c>
      <c r="DI134" s="319" t="s">
        <v>190</v>
      </c>
      <c r="DJ134" s="319" t="s">
        <v>190</v>
      </c>
      <c r="DK134" s="319" t="s">
        <v>190</v>
      </c>
      <c r="DL134" s="319" t="s">
        <v>190</v>
      </c>
      <c r="DM134" s="319" t="s">
        <v>190</v>
      </c>
      <c r="DN134" s="319" t="s">
        <v>190</v>
      </c>
      <c r="DO134" s="319" t="s">
        <v>190</v>
      </c>
      <c r="DP134" s="319" t="s">
        <v>190</v>
      </c>
      <c r="DQ134" s="319" t="s">
        <v>190</v>
      </c>
      <c r="DR134" s="319" t="s">
        <v>190</v>
      </c>
      <c r="DS134" s="319" t="s">
        <v>190</v>
      </c>
      <c r="DT134" s="319" t="s">
        <v>190</v>
      </c>
      <c r="DU134" s="319" t="s">
        <v>190</v>
      </c>
      <c r="DV134" s="319" t="s">
        <v>173</v>
      </c>
      <c r="DW134" s="319" t="s">
        <v>190</v>
      </c>
      <c r="DX134" s="319" t="s">
        <v>190</v>
      </c>
      <c r="DY134" s="319" t="s">
        <v>190</v>
      </c>
      <c r="DZ134" s="319" t="s">
        <v>190</v>
      </c>
      <c r="EA134" s="319" t="s">
        <v>190</v>
      </c>
      <c r="EB134" s="319" t="s">
        <v>190</v>
      </c>
      <c r="EC134" s="319" t="s">
        <v>190</v>
      </c>
      <c r="ED134" s="319" t="s">
        <v>190</v>
      </c>
      <c r="EE134" s="319" t="s">
        <v>190</v>
      </c>
      <c r="EF134" s="319" t="s">
        <v>190</v>
      </c>
      <c r="EG134" s="319" t="s">
        <v>190</v>
      </c>
      <c r="EH134" s="319" t="s">
        <v>190</v>
      </c>
      <c r="EI134" s="319" t="s">
        <v>190</v>
      </c>
      <c r="EJ134" s="319" t="s">
        <v>190</v>
      </c>
      <c r="EK134" s="319" t="s">
        <v>190</v>
      </c>
      <c r="EL134" s="319" t="s">
        <v>190</v>
      </c>
      <c r="EM134" s="319" t="s">
        <v>190</v>
      </c>
      <c r="EN134" s="319" t="s">
        <v>190</v>
      </c>
      <c r="EO134" s="319" t="s">
        <v>190</v>
      </c>
      <c r="EP134" s="319" t="s">
        <v>190</v>
      </c>
      <c r="EQ134" s="319" t="s">
        <v>190</v>
      </c>
      <c r="ER134" s="319" t="s">
        <v>190</v>
      </c>
      <c r="ES134" s="319" t="s">
        <v>190</v>
      </c>
      <c r="ET134" s="319" t="s">
        <v>190</v>
      </c>
      <c r="EU134" s="319" t="s">
        <v>190</v>
      </c>
      <c r="EV134" s="319" t="s">
        <v>190</v>
      </c>
      <c r="EW134" s="319" t="s">
        <v>190</v>
      </c>
      <c r="EX134" s="319" t="s">
        <v>190</v>
      </c>
      <c r="EY134" s="319" t="s">
        <v>190</v>
      </c>
      <c r="EZ134" s="319" t="s">
        <v>190</v>
      </c>
      <c r="FA134" s="319" t="s">
        <v>190</v>
      </c>
      <c r="FB134" s="319" t="s">
        <v>190</v>
      </c>
      <c r="FC134" s="319" t="s">
        <v>190</v>
      </c>
      <c r="FD134" s="319" t="s">
        <v>190</v>
      </c>
      <c r="FE134" s="319" t="s">
        <v>190</v>
      </c>
      <c r="FF134" s="319" t="s">
        <v>190</v>
      </c>
      <c r="FG134" s="319" t="s">
        <v>190</v>
      </c>
      <c r="FH134" s="319" t="s">
        <v>190</v>
      </c>
      <c r="FI134" s="319" t="s">
        <v>190</v>
      </c>
      <c r="FJ134" s="319" t="s">
        <v>190</v>
      </c>
      <c r="FK134" s="319" t="s">
        <v>190</v>
      </c>
      <c r="FL134" s="319" t="s">
        <v>190</v>
      </c>
      <c r="FM134" s="319" t="s">
        <v>190</v>
      </c>
      <c r="FN134" s="319" t="s">
        <v>190</v>
      </c>
      <c r="FO134" s="319" t="s">
        <v>190</v>
      </c>
      <c r="FP134" s="319" t="s">
        <v>190</v>
      </c>
      <c r="FQ134" s="319" t="s">
        <v>190</v>
      </c>
      <c r="FR134" s="319" t="s">
        <v>190</v>
      </c>
      <c r="FS134" s="319" t="s">
        <v>190</v>
      </c>
      <c r="FT134" s="319" t="s">
        <v>190</v>
      </c>
      <c r="FU134" s="319" t="s">
        <v>190</v>
      </c>
      <c r="FV134" s="319" t="s">
        <v>190</v>
      </c>
      <c r="FW134" s="319" t="s">
        <v>190</v>
      </c>
      <c r="FX134" s="319" t="s">
        <v>190</v>
      </c>
      <c r="FY134" s="319" t="s">
        <v>190</v>
      </c>
      <c r="FZ134" s="319" t="s">
        <v>190</v>
      </c>
      <c r="GA134" s="319" t="s">
        <v>190</v>
      </c>
      <c r="GB134" s="319" t="s">
        <v>190</v>
      </c>
      <c r="GC134" s="319" t="s">
        <v>190</v>
      </c>
      <c r="GD134" s="319" t="s">
        <v>190</v>
      </c>
      <c r="GE134" s="319" t="s">
        <v>190</v>
      </c>
      <c r="GF134" s="319" t="s">
        <v>190</v>
      </c>
      <c r="GG134" s="319" t="s">
        <v>190</v>
      </c>
      <c r="GH134" s="319" t="s">
        <v>190</v>
      </c>
      <c r="GI134" s="319" t="s">
        <v>190</v>
      </c>
      <c r="GJ134" s="319" t="s">
        <v>190</v>
      </c>
      <c r="GK134" s="319" t="s">
        <v>190</v>
      </c>
      <c r="GL134" s="319" t="s">
        <v>190</v>
      </c>
      <c r="GM134" s="319" t="s">
        <v>190</v>
      </c>
      <c r="GN134" s="319" t="s">
        <v>190</v>
      </c>
      <c r="GO134" s="319" t="s">
        <v>190</v>
      </c>
      <c r="GP134" s="319" t="s">
        <v>190</v>
      </c>
      <c r="GQ134" s="319" t="s">
        <v>190</v>
      </c>
      <c r="GR134" s="319" t="s">
        <v>190</v>
      </c>
      <c r="GS134" s="319" t="s">
        <v>190</v>
      </c>
      <c r="GT134" s="319" t="s">
        <v>190</v>
      </c>
      <c r="GU134" s="319" t="s">
        <v>190</v>
      </c>
      <c r="GV134" s="319" t="s">
        <v>429</v>
      </c>
      <c r="GW134" s="319" t="s">
        <v>190</v>
      </c>
      <c r="GX134" s="319" t="s">
        <v>190</v>
      </c>
      <c r="GY134" s="319" t="s">
        <v>190</v>
      </c>
      <c r="GZ134" s="319" t="s">
        <v>429</v>
      </c>
      <c r="HA134" s="319" t="s">
        <v>190</v>
      </c>
      <c r="HB134" s="319" t="s">
        <v>190</v>
      </c>
      <c r="HC134" s="319" t="s">
        <v>190</v>
      </c>
      <c r="HD134" s="319" t="s">
        <v>190</v>
      </c>
      <c r="HE134" s="319" t="s">
        <v>190</v>
      </c>
      <c r="HF134" s="319" t="s">
        <v>190</v>
      </c>
      <c r="HG134" s="319" t="s">
        <v>190</v>
      </c>
      <c r="HH134" s="319" t="s">
        <v>190</v>
      </c>
      <c r="HI134" s="319" t="s">
        <v>190</v>
      </c>
      <c r="HJ134" s="319" t="s">
        <v>190</v>
      </c>
      <c r="HK134" s="319" t="s">
        <v>190</v>
      </c>
      <c r="HL134" s="319" t="s">
        <v>429</v>
      </c>
      <c r="HM134" s="319" t="s">
        <v>429</v>
      </c>
      <c r="HN134" s="319" t="s">
        <v>429</v>
      </c>
      <c r="HO134" s="319" t="s">
        <v>429</v>
      </c>
      <c r="HP134" s="319" t="s">
        <v>190</v>
      </c>
      <c r="HQ134" s="319" t="s">
        <v>190</v>
      </c>
      <c r="HR134" s="319" t="s">
        <v>190</v>
      </c>
      <c r="HS134" s="319" t="s">
        <v>190</v>
      </c>
      <c r="HT134" s="319" t="s">
        <v>190</v>
      </c>
      <c r="HU134" s="319" t="s">
        <v>190</v>
      </c>
      <c r="HV134" s="319" t="s">
        <v>190</v>
      </c>
      <c r="HW134" s="319" t="s">
        <v>190</v>
      </c>
      <c r="HX134" s="319" t="s">
        <v>190</v>
      </c>
      <c r="HY134" s="319" t="s">
        <v>190</v>
      </c>
      <c r="HZ134" s="319" t="s">
        <v>190</v>
      </c>
      <c r="IA134" s="319" t="s">
        <v>190</v>
      </c>
      <c r="IB134" s="319" t="s">
        <v>190</v>
      </c>
      <c r="IC134" s="319" t="s">
        <v>190</v>
      </c>
      <c r="ID134" s="319" t="s">
        <v>190</v>
      </c>
      <c r="IE134" s="319" t="s">
        <v>190</v>
      </c>
      <c r="IF134" s="319" t="s">
        <v>190</v>
      </c>
      <c r="IG134" s="319" t="s">
        <v>190</v>
      </c>
      <c r="IH134" s="319" t="s">
        <v>190</v>
      </c>
      <c r="II134" s="319" t="s">
        <v>190</v>
      </c>
      <c r="IJ134" s="319" t="s">
        <v>2910</v>
      </c>
      <c r="IK134" s="321">
        <v>42080</v>
      </c>
      <c r="IL134" s="321">
        <v>42082</v>
      </c>
      <c r="IM134" s="321">
        <v>42121</v>
      </c>
      <c r="IN134" s="319">
        <v>3</v>
      </c>
      <c r="IO134" s="319" t="s">
        <v>173</v>
      </c>
      <c r="IP134" s="319" t="s">
        <v>173</v>
      </c>
      <c r="IQ134" s="321" t="s">
        <v>173</v>
      </c>
      <c r="IR134" s="320" t="s">
        <v>173</v>
      </c>
      <c r="IS134" s="322" t="s">
        <v>173</v>
      </c>
      <c r="IT134" s="319" t="s">
        <v>173</v>
      </c>
    </row>
    <row r="135" spans="1:254" s="271" customFormat="1" x14ac:dyDescent="0.25">
      <c r="A135" s="318" t="str">
        <f>HYPERLINK("http://www.ofsted.gov.uk/inspection-reports/find-inspection-report/provider/ELS/110920 ","Ofsted School Webpage")</f>
        <v>Ofsted School Webpage</v>
      </c>
      <c r="B135" s="319">
        <v>110920</v>
      </c>
      <c r="C135" s="319">
        <v>8736008</v>
      </c>
      <c r="D135" s="319" t="s">
        <v>1391</v>
      </c>
      <c r="E135" s="319" t="s">
        <v>168</v>
      </c>
      <c r="F135" s="319" t="s">
        <v>81</v>
      </c>
      <c r="G135" s="319" t="s">
        <v>81</v>
      </c>
      <c r="H135" s="319" t="s">
        <v>81</v>
      </c>
      <c r="I135" s="319" t="s">
        <v>78</v>
      </c>
      <c r="J135" s="319" t="s">
        <v>424</v>
      </c>
      <c r="K135" s="319" t="s">
        <v>451</v>
      </c>
      <c r="L135" s="319" t="s">
        <v>451</v>
      </c>
      <c r="M135" s="319" t="s">
        <v>772</v>
      </c>
      <c r="N135" s="319" t="s">
        <v>2893</v>
      </c>
      <c r="O135" s="319" t="s">
        <v>1392</v>
      </c>
      <c r="P135" s="319">
        <v>21</v>
      </c>
      <c r="Q135" s="319" t="s">
        <v>2776</v>
      </c>
      <c r="R135" s="320">
        <v>10020932</v>
      </c>
      <c r="S135" s="321">
        <v>43047</v>
      </c>
      <c r="T135" s="321">
        <v>43049</v>
      </c>
      <c r="U135" s="321">
        <v>43082</v>
      </c>
      <c r="V135" s="319" t="s">
        <v>425</v>
      </c>
      <c r="W135" s="319" t="s">
        <v>2767</v>
      </c>
      <c r="X135" s="319">
        <v>2</v>
      </c>
      <c r="Y135" s="319" t="s">
        <v>173</v>
      </c>
      <c r="Z135" s="319" t="s">
        <v>173</v>
      </c>
      <c r="AA135" s="319" t="s">
        <v>173</v>
      </c>
      <c r="AB135" s="319">
        <v>2</v>
      </c>
      <c r="AC135" s="319" t="s">
        <v>169</v>
      </c>
      <c r="AD135" s="319" t="s">
        <v>173</v>
      </c>
      <c r="AE135" s="319">
        <v>2</v>
      </c>
      <c r="AF135" s="319" t="s">
        <v>173</v>
      </c>
      <c r="AG135" s="319" t="s">
        <v>171</v>
      </c>
      <c r="AH135" s="319" t="s">
        <v>190</v>
      </c>
      <c r="AI135" s="319" t="s">
        <v>190</v>
      </c>
      <c r="AJ135" s="319" t="s">
        <v>190</v>
      </c>
      <c r="AK135" s="319" t="s">
        <v>190</v>
      </c>
      <c r="AL135" s="319" t="s">
        <v>190</v>
      </c>
      <c r="AM135" s="319" t="s">
        <v>190</v>
      </c>
      <c r="AN135" s="319" t="s">
        <v>190</v>
      </c>
      <c r="AO135" s="319" t="s">
        <v>190</v>
      </c>
      <c r="AP135" s="319" t="s">
        <v>190</v>
      </c>
      <c r="AQ135" s="319" t="s">
        <v>190</v>
      </c>
      <c r="AR135" s="319" t="s">
        <v>190</v>
      </c>
      <c r="AS135" s="319" t="s">
        <v>190</v>
      </c>
      <c r="AT135" s="319" t="s">
        <v>190</v>
      </c>
      <c r="AU135" s="319" t="s">
        <v>190</v>
      </c>
      <c r="AV135" s="319" t="s">
        <v>190</v>
      </c>
      <c r="AW135" s="319" t="s">
        <v>190</v>
      </c>
      <c r="AX135" s="319" t="s">
        <v>429</v>
      </c>
      <c r="AY135" s="319" t="s">
        <v>190</v>
      </c>
      <c r="AZ135" s="319" t="s">
        <v>190</v>
      </c>
      <c r="BA135" s="319" t="s">
        <v>190</v>
      </c>
      <c r="BB135" s="319" t="s">
        <v>190</v>
      </c>
      <c r="BC135" s="319" t="s">
        <v>190</v>
      </c>
      <c r="BD135" s="319" t="s">
        <v>190</v>
      </c>
      <c r="BE135" s="319" t="s">
        <v>190</v>
      </c>
      <c r="BF135" s="319" t="s">
        <v>429</v>
      </c>
      <c r="BG135" s="319" t="s">
        <v>190</v>
      </c>
      <c r="BH135" s="319" t="s">
        <v>190</v>
      </c>
      <c r="BI135" s="319" t="s">
        <v>190</v>
      </c>
      <c r="BJ135" s="319" t="s">
        <v>190</v>
      </c>
      <c r="BK135" s="319" t="s">
        <v>190</v>
      </c>
      <c r="BL135" s="319" t="s">
        <v>190</v>
      </c>
      <c r="BM135" s="319" t="s">
        <v>190</v>
      </c>
      <c r="BN135" s="319" t="s">
        <v>190</v>
      </c>
      <c r="BO135" s="319" t="s">
        <v>190</v>
      </c>
      <c r="BP135" s="319" t="s">
        <v>190</v>
      </c>
      <c r="BQ135" s="319" t="s">
        <v>190</v>
      </c>
      <c r="BR135" s="319" t="s">
        <v>190</v>
      </c>
      <c r="BS135" s="319" t="s">
        <v>190</v>
      </c>
      <c r="BT135" s="319" t="s">
        <v>190</v>
      </c>
      <c r="BU135" s="319" t="s">
        <v>190</v>
      </c>
      <c r="BV135" s="319" t="s">
        <v>190</v>
      </c>
      <c r="BW135" s="319" t="s">
        <v>190</v>
      </c>
      <c r="BX135" s="319" t="s">
        <v>190</v>
      </c>
      <c r="BY135" s="319" t="s">
        <v>190</v>
      </c>
      <c r="BZ135" s="319" t="s">
        <v>190</v>
      </c>
      <c r="CA135" s="319" t="s">
        <v>190</v>
      </c>
      <c r="CB135" s="319" t="s">
        <v>190</v>
      </c>
      <c r="CC135" s="319" t="s">
        <v>190</v>
      </c>
      <c r="CD135" s="319" t="s">
        <v>190</v>
      </c>
      <c r="CE135" s="319" t="s">
        <v>190</v>
      </c>
      <c r="CF135" s="319" t="s">
        <v>190</v>
      </c>
      <c r="CG135" s="319" t="s">
        <v>190</v>
      </c>
      <c r="CH135" s="319" t="s">
        <v>190</v>
      </c>
      <c r="CI135" s="319" t="s">
        <v>190</v>
      </c>
      <c r="CJ135" s="319" t="s">
        <v>190</v>
      </c>
      <c r="CK135" s="319" t="s">
        <v>190</v>
      </c>
      <c r="CL135" s="319" t="s">
        <v>190</v>
      </c>
      <c r="CM135" s="319" t="s">
        <v>190</v>
      </c>
      <c r="CN135" s="319" t="s">
        <v>429</v>
      </c>
      <c r="CO135" s="319" t="s">
        <v>429</v>
      </c>
      <c r="CP135" s="319" t="s">
        <v>429</v>
      </c>
      <c r="CQ135" s="319" t="s">
        <v>190</v>
      </c>
      <c r="CR135" s="319" t="s">
        <v>190</v>
      </c>
      <c r="CS135" s="319" t="s">
        <v>190</v>
      </c>
      <c r="CT135" s="319" t="s">
        <v>190</v>
      </c>
      <c r="CU135" s="319" t="s">
        <v>190</v>
      </c>
      <c r="CV135" s="319" t="s">
        <v>190</v>
      </c>
      <c r="CW135" s="319" t="s">
        <v>190</v>
      </c>
      <c r="CX135" s="319" t="s">
        <v>190</v>
      </c>
      <c r="CY135" s="319" t="s">
        <v>190</v>
      </c>
      <c r="CZ135" s="319" t="s">
        <v>190</v>
      </c>
      <c r="DA135" s="319" t="s">
        <v>190</v>
      </c>
      <c r="DB135" s="319" t="s">
        <v>190</v>
      </c>
      <c r="DC135" s="319" t="s">
        <v>190</v>
      </c>
      <c r="DD135" s="319" t="s">
        <v>190</v>
      </c>
      <c r="DE135" s="319" t="s">
        <v>190</v>
      </c>
      <c r="DF135" s="319" t="s">
        <v>190</v>
      </c>
      <c r="DG135" s="319" t="s">
        <v>190</v>
      </c>
      <c r="DH135" s="319" t="s">
        <v>190</v>
      </c>
      <c r="DI135" s="319" t="s">
        <v>190</v>
      </c>
      <c r="DJ135" s="319" t="s">
        <v>190</v>
      </c>
      <c r="DK135" s="319" t="s">
        <v>190</v>
      </c>
      <c r="DL135" s="319" t="s">
        <v>190</v>
      </c>
      <c r="DM135" s="319" t="s">
        <v>190</v>
      </c>
      <c r="DN135" s="319" t="s">
        <v>190</v>
      </c>
      <c r="DO135" s="319" t="s">
        <v>190</v>
      </c>
      <c r="DP135" s="319" t="s">
        <v>429</v>
      </c>
      <c r="DQ135" s="319" t="s">
        <v>429</v>
      </c>
      <c r="DR135" s="319" t="s">
        <v>429</v>
      </c>
      <c r="DS135" s="319" t="s">
        <v>429</v>
      </c>
      <c r="DT135" s="319" t="s">
        <v>429</v>
      </c>
      <c r="DU135" s="319" t="s">
        <v>429</v>
      </c>
      <c r="DV135" s="319" t="s">
        <v>173</v>
      </c>
      <c r="DW135" s="319" t="s">
        <v>429</v>
      </c>
      <c r="DX135" s="319" t="s">
        <v>429</v>
      </c>
      <c r="DY135" s="319" t="s">
        <v>429</v>
      </c>
      <c r="DZ135" s="319" t="s">
        <v>429</v>
      </c>
      <c r="EA135" s="319" t="s">
        <v>429</v>
      </c>
      <c r="EB135" s="319" t="s">
        <v>429</v>
      </c>
      <c r="EC135" s="319" t="s">
        <v>429</v>
      </c>
      <c r="ED135" s="319" t="s">
        <v>429</v>
      </c>
      <c r="EE135" s="319" t="s">
        <v>190</v>
      </c>
      <c r="EF135" s="319" t="s">
        <v>190</v>
      </c>
      <c r="EG135" s="319" t="s">
        <v>190</v>
      </c>
      <c r="EH135" s="319" t="s">
        <v>190</v>
      </c>
      <c r="EI135" s="319" t="s">
        <v>190</v>
      </c>
      <c r="EJ135" s="319" t="s">
        <v>190</v>
      </c>
      <c r="EK135" s="319" t="s">
        <v>190</v>
      </c>
      <c r="EL135" s="319" t="s">
        <v>190</v>
      </c>
      <c r="EM135" s="319" t="s">
        <v>190</v>
      </c>
      <c r="EN135" s="319" t="s">
        <v>190</v>
      </c>
      <c r="EO135" s="319" t="s">
        <v>190</v>
      </c>
      <c r="EP135" s="319" t="s">
        <v>190</v>
      </c>
      <c r="EQ135" s="319" t="s">
        <v>190</v>
      </c>
      <c r="ER135" s="319" t="s">
        <v>190</v>
      </c>
      <c r="ES135" s="319" t="s">
        <v>190</v>
      </c>
      <c r="ET135" s="319" t="s">
        <v>190</v>
      </c>
      <c r="EU135" s="319" t="s">
        <v>190</v>
      </c>
      <c r="EV135" s="319" t="s">
        <v>190</v>
      </c>
      <c r="EW135" s="319" t="s">
        <v>190</v>
      </c>
      <c r="EX135" s="319" t="s">
        <v>190</v>
      </c>
      <c r="EY135" s="319" t="s">
        <v>190</v>
      </c>
      <c r="EZ135" s="319" t="s">
        <v>190</v>
      </c>
      <c r="FA135" s="319" t="s">
        <v>429</v>
      </c>
      <c r="FB135" s="319" t="s">
        <v>429</v>
      </c>
      <c r="FC135" s="319" t="s">
        <v>429</v>
      </c>
      <c r="FD135" s="319" t="s">
        <v>429</v>
      </c>
      <c r="FE135" s="319" t="s">
        <v>429</v>
      </c>
      <c r="FF135" s="319" t="s">
        <v>429</v>
      </c>
      <c r="FG135" s="319" t="s">
        <v>429</v>
      </c>
      <c r="FH135" s="319" t="s">
        <v>190</v>
      </c>
      <c r="FI135" s="319" t="s">
        <v>429</v>
      </c>
      <c r="FJ135" s="319" t="s">
        <v>190</v>
      </c>
      <c r="FK135" s="319" t="s">
        <v>190</v>
      </c>
      <c r="FL135" s="319" t="s">
        <v>190</v>
      </c>
      <c r="FM135" s="319" t="s">
        <v>190</v>
      </c>
      <c r="FN135" s="319" t="s">
        <v>190</v>
      </c>
      <c r="FO135" s="319" t="s">
        <v>190</v>
      </c>
      <c r="FP135" s="319" t="s">
        <v>190</v>
      </c>
      <c r="FQ135" s="319" t="s">
        <v>190</v>
      </c>
      <c r="FR135" s="319" t="s">
        <v>190</v>
      </c>
      <c r="FS135" s="319" t="s">
        <v>190</v>
      </c>
      <c r="FT135" s="319" t="s">
        <v>429</v>
      </c>
      <c r="FU135" s="319" t="s">
        <v>190</v>
      </c>
      <c r="FV135" s="319" t="s">
        <v>190</v>
      </c>
      <c r="FW135" s="319" t="s">
        <v>190</v>
      </c>
      <c r="FX135" s="319" t="s">
        <v>190</v>
      </c>
      <c r="FY135" s="319" t="s">
        <v>190</v>
      </c>
      <c r="FZ135" s="319" t="s">
        <v>190</v>
      </c>
      <c r="GA135" s="319" t="s">
        <v>190</v>
      </c>
      <c r="GB135" s="319" t="s">
        <v>190</v>
      </c>
      <c r="GC135" s="319" t="s">
        <v>190</v>
      </c>
      <c r="GD135" s="319" t="s">
        <v>190</v>
      </c>
      <c r="GE135" s="319" t="s">
        <v>190</v>
      </c>
      <c r="GF135" s="319" t="s">
        <v>190</v>
      </c>
      <c r="GG135" s="319" t="s">
        <v>190</v>
      </c>
      <c r="GH135" s="319" t="s">
        <v>190</v>
      </c>
      <c r="GI135" s="319" t="s">
        <v>190</v>
      </c>
      <c r="GJ135" s="319" t="s">
        <v>190</v>
      </c>
      <c r="GK135" s="319" t="s">
        <v>429</v>
      </c>
      <c r="GL135" s="319" t="s">
        <v>190</v>
      </c>
      <c r="GM135" s="319" t="s">
        <v>190</v>
      </c>
      <c r="GN135" s="319" t="s">
        <v>190</v>
      </c>
      <c r="GO135" s="319" t="s">
        <v>190</v>
      </c>
      <c r="GP135" s="319" t="s">
        <v>190</v>
      </c>
      <c r="GQ135" s="319" t="s">
        <v>429</v>
      </c>
      <c r="GR135" s="319" t="s">
        <v>190</v>
      </c>
      <c r="GS135" s="319" t="s">
        <v>190</v>
      </c>
      <c r="GT135" s="319" t="s">
        <v>190</v>
      </c>
      <c r="GU135" s="319" t="s">
        <v>190</v>
      </c>
      <c r="GV135" s="319" t="s">
        <v>429</v>
      </c>
      <c r="GW135" s="319" t="s">
        <v>190</v>
      </c>
      <c r="GX135" s="319" t="s">
        <v>190</v>
      </c>
      <c r="GY135" s="319" t="s">
        <v>190</v>
      </c>
      <c r="GZ135" s="319" t="s">
        <v>429</v>
      </c>
      <c r="HA135" s="319" t="s">
        <v>190</v>
      </c>
      <c r="HB135" s="319" t="s">
        <v>190</v>
      </c>
      <c r="HC135" s="319" t="s">
        <v>190</v>
      </c>
      <c r="HD135" s="319" t="s">
        <v>190</v>
      </c>
      <c r="HE135" s="319" t="s">
        <v>190</v>
      </c>
      <c r="HF135" s="319" t="s">
        <v>190</v>
      </c>
      <c r="HG135" s="319" t="s">
        <v>190</v>
      </c>
      <c r="HH135" s="319" t="s">
        <v>190</v>
      </c>
      <c r="HI135" s="319" t="s">
        <v>429</v>
      </c>
      <c r="HJ135" s="319" t="s">
        <v>190</v>
      </c>
      <c r="HK135" s="319" t="s">
        <v>190</v>
      </c>
      <c r="HL135" s="319" t="s">
        <v>190</v>
      </c>
      <c r="HM135" s="319" t="s">
        <v>429</v>
      </c>
      <c r="HN135" s="319" t="s">
        <v>429</v>
      </c>
      <c r="HO135" s="319" t="s">
        <v>429</v>
      </c>
      <c r="HP135" s="319" t="s">
        <v>190</v>
      </c>
      <c r="HQ135" s="319" t="s">
        <v>190</v>
      </c>
      <c r="HR135" s="319" t="s">
        <v>190</v>
      </c>
      <c r="HS135" s="319" t="s">
        <v>190</v>
      </c>
      <c r="HT135" s="319" t="s">
        <v>190</v>
      </c>
      <c r="HU135" s="319" t="s">
        <v>190</v>
      </c>
      <c r="HV135" s="319" t="s">
        <v>190</v>
      </c>
      <c r="HW135" s="319" t="s">
        <v>190</v>
      </c>
      <c r="HX135" s="319" t="s">
        <v>190</v>
      </c>
      <c r="HY135" s="319" t="s">
        <v>190</v>
      </c>
      <c r="HZ135" s="319" t="s">
        <v>190</v>
      </c>
      <c r="IA135" s="319" t="s">
        <v>190</v>
      </c>
      <c r="IB135" s="319" t="s">
        <v>190</v>
      </c>
      <c r="IC135" s="319" t="s">
        <v>190</v>
      </c>
      <c r="ID135" s="319" t="s">
        <v>190</v>
      </c>
      <c r="IE135" s="319" t="s">
        <v>190</v>
      </c>
      <c r="IF135" s="319" t="s">
        <v>190</v>
      </c>
      <c r="IG135" s="319" t="s">
        <v>190</v>
      </c>
      <c r="IH135" s="319" t="s">
        <v>190</v>
      </c>
      <c r="II135" s="319" t="s">
        <v>190</v>
      </c>
      <c r="IJ135" s="319" t="s">
        <v>2911</v>
      </c>
      <c r="IK135" s="321">
        <v>41534</v>
      </c>
      <c r="IL135" s="321">
        <v>41536</v>
      </c>
      <c r="IM135" s="321">
        <v>41568</v>
      </c>
      <c r="IN135" s="319">
        <v>1</v>
      </c>
      <c r="IO135" s="319" t="s">
        <v>173</v>
      </c>
      <c r="IP135" s="319" t="s">
        <v>173</v>
      </c>
      <c r="IQ135" s="321" t="s">
        <v>173</v>
      </c>
      <c r="IR135" s="320" t="s">
        <v>173</v>
      </c>
      <c r="IS135" s="322" t="s">
        <v>173</v>
      </c>
      <c r="IT135" s="319" t="s">
        <v>173</v>
      </c>
    </row>
    <row r="136" spans="1:254" s="271" customFormat="1" x14ac:dyDescent="0.25">
      <c r="A136" s="318" t="str">
        <f>HYPERLINK("http://www.ofsted.gov.uk/inspection-reports/find-inspection-report/provider/ELS/110930 ","Ofsted School Webpage")</f>
        <v>Ofsted School Webpage</v>
      </c>
      <c r="B136" s="319">
        <v>110930</v>
      </c>
      <c r="C136" s="319">
        <v>8736017</v>
      </c>
      <c r="D136" s="319" t="s">
        <v>1393</v>
      </c>
      <c r="E136" s="319" t="s">
        <v>167</v>
      </c>
      <c r="F136" s="319" t="s">
        <v>81</v>
      </c>
      <c r="G136" s="319" t="s">
        <v>80</v>
      </c>
      <c r="H136" s="319" t="s">
        <v>80</v>
      </c>
      <c r="I136" s="319" t="s">
        <v>78</v>
      </c>
      <c r="J136" s="319" t="s">
        <v>424</v>
      </c>
      <c r="K136" s="319" t="s">
        <v>451</v>
      </c>
      <c r="L136" s="319" t="s">
        <v>451</v>
      </c>
      <c r="M136" s="319" t="s">
        <v>772</v>
      </c>
      <c r="N136" s="319" t="s">
        <v>2912</v>
      </c>
      <c r="O136" s="319" t="s">
        <v>1394</v>
      </c>
      <c r="P136" s="319">
        <v>205</v>
      </c>
      <c r="Q136" s="319" t="s">
        <v>2776</v>
      </c>
      <c r="R136" s="320">
        <v>10113569</v>
      </c>
      <c r="S136" s="321">
        <v>43788</v>
      </c>
      <c r="T136" s="321">
        <v>43790</v>
      </c>
      <c r="U136" s="321">
        <v>43817</v>
      </c>
      <c r="V136" s="319" t="s">
        <v>425</v>
      </c>
      <c r="W136" s="319" t="s">
        <v>2767</v>
      </c>
      <c r="X136" s="319">
        <v>1</v>
      </c>
      <c r="Y136" s="319">
        <v>1</v>
      </c>
      <c r="Z136" s="319">
        <v>1</v>
      </c>
      <c r="AA136" s="319">
        <v>1</v>
      </c>
      <c r="AB136" s="319">
        <v>1</v>
      </c>
      <c r="AC136" s="319" t="s">
        <v>169</v>
      </c>
      <c r="AD136" s="319" t="s">
        <v>173</v>
      </c>
      <c r="AE136" s="319">
        <v>1</v>
      </c>
      <c r="AF136" s="319" t="s">
        <v>427</v>
      </c>
      <c r="AG136" s="319" t="s">
        <v>171</v>
      </c>
      <c r="AH136" s="319" t="s">
        <v>190</v>
      </c>
      <c r="AI136" s="319" t="s">
        <v>190</v>
      </c>
      <c r="AJ136" s="319" t="s">
        <v>190</v>
      </c>
      <c r="AK136" s="319" t="s">
        <v>190</v>
      </c>
      <c r="AL136" s="319" t="s">
        <v>190</v>
      </c>
      <c r="AM136" s="319" t="s">
        <v>190</v>
      </c>
      <c r="AN136" s="319" t="s">
        <v>190</v>
      </c>
      <c r="AO136" s="319" t="s">
        <v>190</v>
      </c>
      <c r="AP136" s="319" t="s">
        <v>190</v>
      </c>
      <c r="AQ136" s="319" t="s">
        <v>190</v>
      </c>
      <c r="AR136" s="319" t="s">
        <v>190</v>
      </c>
      <c r="AS136" s="319" t="s">
        <v>190</v>
      </c>
      <c r="AT136" s="319" t="s">
        <v>190</v>
      </c>
      <c r="AU136" s="319" t="s">
        <v>190</v>
      </c>
      <c r="AV136" s="319" t="s">
        <v>190</v>
      </c>
      <c r="AW136" s="319" t="s">
        <v>190</v>
      </c>
      <c r="AX136" s="319" t="s">
        <v>428</v>
      </c>
      <c r="AY136" s="319" t="s">
        <v>190</v>
      </c>
      <c r="AZ136" s="319" t="s">
        <v>190</v>
      </c>
      <c r="BA136" s="319" t="s">
        <v>190</v>
      </c>
      <c r="BB136" s="319" t="s">
        <v>190</v>
      </c>
      <c r="BC136" s="319" t="s">
        <v>190</v>
      </c>
      <c r="BD136" s="319" t="s">
        <v>190</v>
      </c>
      <c r="BE136" s="319" t="s">
        <v>190</v>
      </c>
      <c r="BF136" s="319" t="s">
        <v>190</v>
      </c>
      <c r="BG136" s="319" t="s">
        <v>190</v>
      </c>
      <c r="BH136" s="319" t="s">
        <v>190</v>
      </c>
      <c r="BI136" s="319" t="s">
        <v>190</v>
      </c>
      <c r="BJ136" s="319" t="s">
        <v>190</v>
      </c>
      <c r="BK136" s="319" t="s">
        <v>190</v>
      </c>
      <c r="BL136" s="319" t="s">
        <v>190</v>
      </c>
      <c r="BM136" s="319" t="s">
        <v>190</v>
      </c>
      <c r="BN136" s="319" t="s">
        <v>190</v>
      </c>
      <c r="BO136" s="319" t="s">
        <v>190</v>
      </c>
      <c r="BP136" s="319" t="s">
        <v>190</v>
      </c>
      <c r="BQ136" s="319" t="s">
        <v>190</v>
      </c>
      <c r="BR136" s="319" t="s">
        <v>190</v>
      </c>
      <c r="BS136" s="319" t="s">
        <v>190</v>
      </c>
      <c r="BT136" s="319" t="s">
        <v>190</v>
      </c>
      <c r="BU136" s="319" t="s">
        <v>190</v>
      </c>
      <c r="BV136" s="319" t="s">
        <v>190</v>
      </c>
      <c r="BW136" s="319" t="s">
        <v>190</v>
      </c>
      <c r="BX136" s="319" t="s">
        <v>190</v>
      </c>
      <c r="BY136" s="319" t="s">
        <v>190</v>
      </c>
      <c r="BZ136" s="319" t="s">
        <v>190</v>
      </c>
      <c r="CA136" s="319" t="s">
        <v>190</v>
      </c>
      <c r="CB136" s="319" t="s">
        <v>190</v>
      </c>
      <c r="CC136" s="319" t="s">
        <v>190</v>
      </c>
      <c r="CD136" s="319" t="s">
        <v>190</v>
      </c>
      <c r="CE136" s="319" t="s">
        <v>190</v>
      </c>
      <c r="CF136" s="319" t="s">
        <v>190</v>
      </c>
      <c r="CG136" s="319" t="s">
        <v>190</v>
      </c>
      <c r="CH136" s="319" t="s">
        <v>190</v>
      </c>
      <c r="CI136" s="319" t="s">
        <v>190</v>
      </c>
      <c r="CJ136" s="319" t="s">
        <v>190</v>
      </c>
      <c r="CK136" s="319" t="s">
        <v>190</v>
      </c>
      <c r="CL136" s="319" t="s">
        <v>190</v>
      </c>
      <c r="CM136" s="319" t="s">
        <v>190</v>
      </c>
      <c r="CN136" s="319" t="s">
        <v>428</v>
      </c>
      <c r="CO136" s="319" t="s">
        <v>428</v>
      </c>
      <c r="CP136" s="319" t="s">
        <v>428</v>
      </c>
      <c r="CQ136" s="319" t="s">
        <v>190</v>
      </c>
      <c r="CR136" s="319" t="s">
        <v>190</v>
      </c>
      <c r="CS136" s="319" t="s">
        <v>190</v>
      </c>
      <c r="CT136" s="319" t="s">
        <v>190</v>
      </c>
      <c r="CU136" s="319" t="s">
        <v>190</v>
      </c>
      <c r="CV136" s="319" t="s">
        <v>190</v>
      </c>
      <c r="CW136" s="319" t="s">
        <v>190</v>
      </c>
      <c r="CX136" s="319" t="s">
        <v>190</v>
      </c>
      <c r="CY136" s="319" t="s">
        <v>190</v>
      </c>
      <c r="CZ136" s="319" t="s">
        <v>190</v>
      </c>
      <c r="DA136" s="319" t="s">
        <v>190</v>
      </c>
      <c r="DB136" s="319" t="s">
        <v>190</v>
      </c>
      <c r="DC136" s="319" t="s">
        <v>190</v>
      </c>
      <c r="DD136" s="319" t="s">
        <v>190</v>
      </c>
      <c r="DE136" s="319" t="s">
        <v>190</v>
      </c>
      <c r="DF136" s="319" t="s">
        <v>190</v>
      </c>
      <c r="DG136" s="319" t="s">
        <v>190</v>
      </c>
      <c r="DH136" s="319" t="s">
        <v>190</v>
      </c>
      <c r="DI136" s="319" t="s">
        <v>190</v>
      </c>
      <c r="DJ136" s="319" t="s">
        <v>190</v>
      </c>
      <c r="DK136" s="319" t="s">
        <v>190</v>
      </c>
      <c r="DL136" s="319" t="s">
        <v>190</v>
      </c>
      <c r="DM136" s="319" t="s">
        <v>190</v>
      </c>
      <c r="DN136" s="319" t="s">
        <v>428</v>
      </c>
      <c r="DO136" s="319" t="s">
        <v>190</v>
      </c>
      <c r="DP136" s="319" t="s">
        <v>428</v>
      </c>
      <c r="DQ136" s="319" t="s">
        <v>428</v>
      </c>
      <c r="DR136" s="319" t="s">
        <v>428</v>
      </c>
      <c r="DS136" s="319" t="s">
        <v>428</v>
      </c>
      <c r="DT136" s="319" t="s">
        <v>428</v>
      </c>
      <c r="DU136" s="319" t="s">
        <v>428</v>
      </c>
      <c r="DV136" s="319" t="s">
        <v>428</v>
      </c>
      <c r="DW136" s="319" t="s">
        <v>428</v>
      </c>
      <c r="DX136" s="319" t="s">
        <v>428</v>
      </c>
      <c r="DY136" s="319" t="s">
        <v>428</v>
      </c>
      <c r="DZ136" s="319" t="s">
        <v>428</v>
      </c>
      <c r="EA136" s="319" t="s">
        <v>428</v>
      </c>
      <c r="EB136" s="319" t="s">
        <v>428</v>
      </c>
      <c r="EC136" s="319" t="s">
        <v>428</v>
      </c>
      <c r="ED136" s="319" t="s">
        <v>428</v>
      </c>
      <c r="EE136" s="319" t="s">
        <v>190</v>
      </c>
      <c r="EF136" s="319" t="s">
        <v>190</v>
      </c>
      <c r="EG136" s="319" t="s">
        <v>190</v>
      </c>
      <c r="EH136" s="319" t="s">
        <v>190</v>
      </c>
      <c r="EI136" s="319" t="s">
        <v>190</v>
      </c>
      <c r="EJ136" s="319" t="s">
        <v>190</v>
      </c>
      <c r="EK136" s="319" t="s">
        <v>190</v>
      </c>
      <c r="EL136" s="319" t="s">
        <v>190</v>
      </c>
      <c r="EM136" s="319" t="s">
        <v>190</v>
      </c>
      <c r="EN136" s="319" t="s">
        <v>190</v>
      </c>
      <c r="EO136" s="319" t="s">
        <v>190</v>
      </c>
      <c r="EP136" s="319" t="s">
        <v>190</v>
      </c>
      <c r="EQ136" s="319" t="s">
        <v>190</v>
      </c>
      <c r="ER136" s="319" t="s">
        <v>190</v>
      </c>
      <c r="ES136" s="319" t="s">
        <v>190</v>
      </c>
      <c r="ET136" s="319" t="s">
        <v>190</v>
      </c>
      <c r="EU136" s="319" t="s">
        <v>190</v>
      </c>
      <c r="EV136" s="319" t="s">
        <v>190</v>
      </c>
      <c r="EW136" s="319" t="s">
        <v>190</v>
      </c>
      <c r="EX136" s="319" t="s">
        <v>190</v>
      </c>
      <c r="EY136" s="319" t="s">
        <v>190</v>
      </c>
      <c r="EZ136" s="319" t="s">
        <v>190</v>
      </c>
      <c r="FA136" s="319" t="s">
        <v>190</v>
      </c>
      <c r="FB136" s="319" t="s">
        <v>428</v>
      </c>
      <c r="FC136" s="319" t="s">
        <v>428</v>
      </c>
      <c r="FD136" s="319" t="s">
        <v>428</v>
      </c>
      <c r="FE136" s="319" t="s">
        <v>428</v>
      </c>
      <c r="FF136" s="319" t="s">
        <v>428</v>
      </c>
      <c r="FG136" s="319" t="s">
        <v>428</v>
      </c>
      <c r="FH136" s="319" t="s">
        <v>190</v>
      </c>
      <c r="FI136" s="319" t="s">
        <v>190</v>
      </c>
      <c r="FJ136" s="319" t="s">
        <v>190</v>
      </c>
      <c r="FK136" s="319" t="s">
        <v>190</v>
      </c>
      <c r="FL136" s="319" t="s">
        <v>190</v>
      </c>
      <c r="FM136" s="319" t="s">
        <v>190</v>
      </c>
      <c r="FN136" s="319" t="s">
        <v>190</v>
      </c>
      <c r="FO136" s="319" t="s">
        <v>190</v>
      </c>
      <c r="FP136" s="319" t="s">
        <v>190</v>
      </c>
      <c r="FQ136" s="319" t="s">
        <v>428</v>
      </c>
      <c r="FR136" s="319" t="s">
        <v>190</v>
      </c>
      <c r="FS136" s="319" t="s">
        <v>428</v>
      </c>
      <c r="FT136" s="319" t="s">
        <v>190</v>
      </c>
      <c r="FU136" s="319" t="s">
        <v>190</v>
      </c>
      <c r="FV136" s="319" t="s">
        <v>190</v>
      </c>
      <c r="FW136" s="319" t="s">
        <v>190</v>
      </c>
      <c r="FX136" s="319" t="s">
        <v>190</v>
      </c>
      <c r="FY136" s="319" t="s">
        <v>190</v>
      </c>
      <c r="FZ136" s="319" t="s">
        <v>190</v>
      </c>
      <c r="GA136" s="319" t="s">
        <v>190</v>
      </c>
      <c r="GB136" s="319" t="s">
        <v>190</v>
      </c>
      <c r="GC136" s="319" t="s">
        <v>190</v>
      </c>
      <c r="GD136" s="319" t="s">
        <v>190</v>
      </c>
      <c r="GE136" s="319" t="s">
        <v>190</v>
      </c>
      <c r="GF136" s="319" t="s">
        <v>190</v>
      </c>
      <c r="GG136" s="319" t="s">
        <v>190</v>
      </c>
      <c r="GH136" s="319" t="s">
        <v>190</v>
      </c>
      <c r="GI136" s="319" t="s">
        <v>190</v>
      </c>
      <c r="GJ136" s="319" t="s">
        <v>190</v>
      </c>
      <c r="GK136" s="319" t="s">
        <v>428</v>
      </c>
      <c r="GL136" s="319" t="s">
        <v>190</v>
      </c>
      <c r="GM136" s="319" t="s">
        <v>190</v>
      </c>
      <c r="GN136" s="319" t="s">
        <v>190</v>
      </c>
      <c r="GO136" s="319" t="s">
        <v>190</v>
      </c>
      <c r="GP136" s="319" t="s">
        <v>190</v>
      </c>
      <c r="GQ136" s="319" t="s">
        <v>190</v>
      </c>
      <c r="GR136" s="319" t="s">
        <v>190</v>
      </c>
      <c r="GS136" s="319" t="s">
        <v>190</v>
      </c>
      <c r="GT136" s="319" t="s">
        <v>428</v>
      </c>
      <c r="GU136" s="319" t="s">
        <v>190</v>
      </c>
      <c r="GV136" s="319" t="s">
        <v>190</v>
      </c>
      <c r="GW136" s="319" t="s">
        <v>190</v>
      </c>
      <c r="GX136" s="319" t="s">
        <v>190</v>
      </c>
      <c r="GY136" s="319" t="s">
        <v>190</v>
      </c>
      <c r="GZ136" s="319" t="s">
        <v>190</v>
      </c>
      <c r="HA136" s="319" t="s">
        <v>190</v>
      </c>
      <c r="HB136" s="319" t="s">
        <v>190</v>
      </c>
      <c r="HC136" s="319" t="s">
        <v>190</v>
      </c>
      <c r="HD136" s="319" t="s">
        <v>190</v>
      </c>
      <c r="HE136" s="319" t="s">
        <v>190</v>
      </c>
      <c r="HF136" s="319" t="s">
        <v>190</v>
      </c>
      <c r="HG136" s="319" t="s">
        <v>190</v>
      </c>
      <c r="HH136" s="319" t="s">
        <v>190</v>
      </c>
      <c r="HI136" s="319" t="s">
        <v>190</v>
      </c>
      <c r="HJ136" s="319" t="s">
        <v>190</v>
      </c>
      <c r="HK136" s="319" t="s">
        <v>190</v>
      </c>
      <c r="HL136" s="319" t="s">
        <v>428</v>
      </c>
      <c r="HM136" s="319" t="s">
        <v>428</v>
      </c>
      <c r="HN136" s="319" t="s">
        <v>428</v>
      </c>
      <c r="HO136" s="319" t="s">
        <v>428</v>
      </c>
      <c r="HP136" s="319" t="s">
        <v>190</v>
      </c>
      <c r="HQ136" s="319" t="s">
        <v>190</v>
      </c>
      <c r="HR136" s="319" t="s">
        <v>190</v>
      </c>
      <c r="HS136" s="319" t="s">
        <v>190</v>
      </c>
      <c r="HT136" s="319" t="s">
        <v>190</v>
      </c>
      <c r="HU136" s="319" t="s">
        <v>190</v>
      </c>
      <c r="HV136" s="319" t="s">
        <v>190</v>
      </c>
      <c r="HW136" s="319" t="s">
        <v>190</v>
      </c>
      <c r="HX136" s="319" t="s">
        <v>190</v>
      </c>
      <c r="HY136" s="319" t="s">
        <v>190</v>
      </c>
      <c r="HZ136" s="319" t="s">
        <v>190</v>
      </c>
      <c r="IA136" s="319" t="s">
        <v>190</v>
      </c>
      <c r="IB136" s="319" t="s">
        <v>190</v>
      </c>
      <c r="IC136" s="319" t="s">
        <v>190</v>
      </c>
      <c r="ID136" s="319" t="s">
        <v>190</v>
      </c>
      <c r="IE136" s="319" t="s">
        <v>190</v>
      </c>
      <c r="IF136" s="319" t="s">
        <v>190</v>
      </c>
      <c r="IG136" s="319" t="s">
        <v>190</v>
      </c>
      <c r="IH136" s="319" t="s">
        <v>190</v>
      </c>
      <c r="II136" s="319" t="s">
        <v>190</v>
      </c>
      <c r="IJ136" s="319">
        <v>10008885</v>
      </c>
      <c r="IK136" s="321">
        <v>42682</v>
      </c>
      <c r="IL136" s="321">
        <v>42684</v>
      </c>
      <c r="IM136" s="321">
        <v>42726</v>
      </c>
      <c r="IN136" s="319">
        <v>1</v>
      </c>
      <c r="IO136" s="319" t="s">
        <v>173</v>
      </c>
      <c r="IP136" s="319" t="s">
        <v>173</v>
      </c>
      <c r="IQ136" s="319" t="s">
        <v>173</v>
      </c>
      <c r="IR136" s="320" t="s">
        <v>173</v>
      </c>
      <c r="IS136" s="320" t="s">
        <v>173</v>
      </c>
      <c r="IT136" s="319" t="s">
        <v>173</v>
      </c>
    </row>
    <row r="137" spans="1:254" s="271" customFormat="1" x14ac:dyDescent="0.25">
      <c r="A137" s="318" t="str">
        <f>HYPERLINK("http://www.ofsted.gov.uk/inspection-reports/find-inspection-report/provider/ELS/110931 ","Ofsted School Webpage")</f>
        <v>Ofsted School Webpage</v>
      </c>
      <c r="B137" s="319">
        <v>110931</v>
      </c>
      <c r="C137" s="319">
        <v>8736018</v>
      </c>
      <c r="D137" s="319" t="s">
        <v>1395</v>
      </c>
      <c r="E137" s="319" t="s">
        <v>168</v>
      </c>
      <c r="F137" s="319" t="s">
        <v>81</v>
      </c>
      <c r="G137" s="319" t="s">
        <v>81</v>
      </c>
      <c r="H137" s="319" t="s">
        <v>81</v>
      </c>
      <c r="I137" s="319" t="s">
        <v>78</v>
      </c>
      <c r="J137" s="319" t="s">
        <v>424</v>
      </c>
      <c r="K137" s="319" t="s">
        <v>451</v>
      </c>
      <c r="L137" s="319" t="s">
        <v>451</v>
      </c>
      <c r="M137" s="319" t="s">
        <v>772</v>
      </c>
      <c r="N137" s="319" t="s">
        <v>2913</v>
      </c>
      <c r="O137" s="319" t="s">
        <v>1396</v>
      </c>
      <c r="P137" s="319">
        <v>7</v>
      </c>
      <c r="Q137" s="319" t="s">
        <v>429</v>
      </c>
      <c r="R137" s="320">
        <v>10038901</v>
      </c>
      <c r="S137" s="321">
        <v>43116</v>
      </c>
      <c r="T137" s="321">
        <v>43118</v>
      </c>
      <c r="U137" s="321">
        <v>43153</v>
      </c>
      <c r="V137" s="319" t="s">
        <v>425</v>
      </c>
      <c r="W137" s="319" t="s">
        <v>2767</v>
      </c>
      <c r="X137" s="319">
        <v>2</v>
      </c>
      <c r="Y137" s="319" t="s">
        <v>173</v>
      </c>
      <c r="Z137" s="319" t="s">
        <v>173</v>
      </c>
      <c r="AA137" s="319" t="s">
        <v>173</v>
      </c>
      <c r="AB137" s="319">
        <v>2</v>
      </c>
      <c r="AC137" s="319" t="s">
        <v>169</v>
      </c>
      <c r="AD137" s="319" t="s">
        <v>173</v>
      </c>
      <c r="AE137" s="319" t="s">
        <v>173</v>
      </c>
      <c r="AF137" s="319" t="s">
        <v>427</v>
      </c>
      <c r="AG137" s="319" t="s">
        <v>171</v>
      </c>
      <c r="AH137" s="319" t="s">
        <v>190</v>
      </c>
      <c r="AI137" s="319" t="s">
        <v>190</v>
      </c>
      <c r="AJ137" s="319" t="s">
        <v>190</v>
      </c>
      <c r="AK137" s="319" t="s">
        <v>190</v>
      </c>
      <c r="AL137" s="319" t="s">
        <v>190</v>
      </c>
      <c r="AM137" s="319" t="s">
        <v>190</v>
      </c>
      <c r="AN137" s="319" t="s">
        <v>190</v>
      </c>
      <c r="AO137" s="319" t="s">
        <v>190</v>
      </c>
      <c r="AP137" s="319" t="s">
        <v>190</v>
      </c>
      <c r="AQ137" s="319" t="s">
        <v>190</v>
      </c>
      <c r="AR137" s="319" t="s">
        <v>190</v>
      </c>
      <c r="AS137" s="319" t="s">
        <v>190</v>
      </c>
      <c r="AT137" s="319" t="s">
        <v>190</v>
      </c>
      <c r="AU137" s="319" t="s">
        <v>190</v>
      </c>
      <c r="AV137" s="319" t="s">
        <v>190</v>
      </c>
      <c r="AW137" s="319" t="s">
        <v>190</v>
      </c>
      <c r="AX137" s="319" t="s">
        <v>428</v>
      </c>
      <c r="AY137" s="319" t="s">
        <v>190</v>
      </c>
      <c r="AZ137" s="319" t="s">
        <v>190</v>
      </c>
      <c r="BA137" s="319" t="s">
        <v>190</v>
      </c>
      <c r="BB137" s="319" t="s">
        <v>190</v>
      </c>
      <c r="BC137" s="319" t="s">
        <v>190</v>
      </c>
      <c r="BD137" s="319" t="s">
        <v>190</v>
      </c>
      <c r="BE137" s="319" t="s">
        <v>190</v>
      </c>
      <c r="BF137" s="319" t="s">
        <v>428</v>
      </c>
      <c r="BG137" s="319" t="s">
        <v>428</v>
      </c>
      <c r="BH137" s="319" t="s">
        <v>190</v>
      </c>
      <c r="BI137" s="319" t="s">
        <v>190</v>
      </c>
      <c r="BJ137" s="319" t="s">
        <v>190</v>
      </c>
      <c r="BK137" s="319" t="s">
        <v>190</v>
      </c>
      <c r="BL137" s="319" t="s">
        <v>190</v>
      </c>
      <c r="BM137" s="319" t="s">
        <v>190</v>
      </c>
      <c r="BN137" s="319" t="s">
        <v>190</v>
      </c>
      <c r="BO137" s="319" t="s">
        <v>190</v>
      </c>
      <c r="BP137" s="319" t="s">
        <v>190</v>
      </c>
      <c r="BQ137" s="319" t="s">
        <v>190</v>
      </c>
      <c r="BR137" s="319" t="s">
        <v>190</v>
      </c>
      <c r="BS137" s="319" t="s">
        <v>190</v>
      </c>
      <c r="BT137" s="319" t="s">
        <v>190</v>
      </c>
      <c r="BU137" s="319" t="s">
        <v>190</v>
      </c>
      <c r="BV137" s="319" t="s">
        <v>190</v>
      </c>
      <c r="BW137" s="319" t="s">
        <v>190</v>
      </c>
      <c r="BX137" s="319" t="s">
        <v>190</v>
      </c>
      <c r="BY137" s="319" t="s">
        <v>190</v>
      </c>
      <c r="BZ137" s="319" t="s">
        <v>190</v>
      </c>
      <c r="CA137" s="319" t="s">
        <v>190</v>
      </c>
      <c r="CB137" s="319" t="s">
        <v>190</v>
      </c>
      <c r="CC137" s="319" t="s">
        <v>190</v>
      </c>
      <c r="CD137" s="319" t="s">
        <v>190</v>
      </c>
      <c r="CE137" s="319" t="s">
        <v>190</v>
      </c>
      <c r="CF137" s="319" t="s">
        <v>190</v>
      </c>
      <c r="CG137" s="319" t="s">
        <v>190</v>
      </c>
      <c r="CH137" s="319" t="s">
        <v>190</v>
      </c>
      <c r="CI137" s="319" t="s">
        <v>190</v>
      </c>
      <c r="CJ137" s="319" t="s">
        <v>190</v>
      </c>
      <c r="CK137" s="319" t="s">
        <v>190</v>
      </c>
      <c r="CL137" s="319" t="s">
        <v>190</v>
      </c>
      <c r="CM137" s="319" t="s">
        <v>190</v>
      </c>
      <c r="CN137" s="319" t="s">
        <v>428</v>
      </c>
      <c r="CO137" s="319" t="s">
        <v>428</v>
      </c>
      <c r="CP137" s="319" t="s">
        <v>428</v>
      </c>
      <c r="CQ137" s="319" t="s">
        <v>190</v>
      </c>
      <c r="CR137" s="319" t="s">
        <v>190</v>
      </c>
      <c r="CS137" s="319" t="s">
        <v>190</v>
      </c>
      <c r="CT137" s="319" t="s">
        <v>190</v>
      </c>
      <c r="CU137" s="319" t="s">
        <v>190</v>
      </c>
      <c r="CV137" s="319" t="s">
        <v>190</v>
      </c>
      <c r="CW137" s="319" t="s">
        <v>190</v>
      </c>
      <c r="CX137" s="319" t="s">
        <v>190</v>
      </c>
      <c r="CY137" s="319" t="s">
        <v>190</v>
      </c>
      <c r="CZ137" s="319" t="s">
        <v>190</v>
      </c>
      <c r="DA137" s="319" t="s">
        <v>190</v>
      </c>
      <c r="DB137" s="319" t="s">
        <v>190</v>
      </c>
      <c r="DC137" s="319" t="s">
        <v>190</v>
      </c>
      <c r="DD137" s="319" t="s">
        <v>190</v>
      </c>
      <c r="DE137" s="319" t="s">
        <v>190</v>
      </c>
      <c r="DF137" s="319" t="s">
        <v>190</v>
      </c>
      <c r="DG137" s="319" t="s">
        <v>190</v>
      </c>
      <c r="DH137" s="319" t="s">
        <v>190</v>
      </c>
      <c r="DI137" s="319" t="s">
        <v>190</v>
      </c>
      <c r="DJ137" s="319" t="s">
        <v>190</v>
      </c>
      <c r="DK137" s="319" t="s">
        <v>190</v>
      </c>
      <c r="DL137" s="319" t="s">
        <v>190</v>
      </c>
      <c r="DM137" s="319" t="s">
        <v>428</v>
      </c>
      <c r="DN137" s="319" t="s">
        <v>428</v>
      </c>
      <c r="DO137" s="319" t="s">
        <v>190</v>
      </c>
      <c r="DP137" s="319" t="s">
        <v>428</v>
      </c>
      <c r="DQ137" s="319" t="s">
        <v>428</v>
      </c>
      <c r="DR137" s="319" t="s">
        <v>428</v>
      </c>
      <c r="DS137" s="319" t="s">
        <v>428</v>
      </c>
      <c r="DT137" s="319" t="s">
        <v>428</v>
      </c>
      <c r="DU137" s="319" t="s">
        <v>428</v>
      </c>
      <c r="DV137" s="319" t="s">
        <v>173</v>
      </c>
      <c r="DW137" s="319" t="s">
        <v>428</v>
      </c>
      <c r="DX137" s="319" t="s">
        <v>428</v>
      </c>
      <c r="DY137" s="319" t="s">
        <v>428</v>
      </c>
      <c r="DZ137" s="319" t="s">
        <v>428</v>
      </c>
      <c r="EA137" s="319" t="s">
        <v>428</v>
      </c>
      <c r="EB137" s="319" t="s">
        <v>428</v>
      </c>
      <c r="EC137" s="319" t="s">
        <v>190</v>
      </c>
      <c r="ED137" s="319" t="s">
        <v>190</v>
      </c>
      <c r="EE137" s="319" t="s">
        <v>428</v>
      </c>
      <c r="EF137" s="319" t="s">
        <v>428</v>
      </c>
      <c r="EG137" s="319" t="s">
        <v>428</v>
      </c>
      <c r="EH137" s="319" t="s">
        <v>428</v>
      </c>
      <c r="EI137" s="319" t="s">
        <v>428</v>
      </c>
      <c r="EJ137" s="319" t="s">
        <v>428</v>
      </c>
      <c r="EK137" s="319" t="s">
        <v>428</v>
      </c>
      <c r="EL137" s="319" t="s">
        <v>428</v>
      </c>
      <c r="EM137" s="319" t="s">
        <v>428</v>
      </c>
      <c r="EN137" s="319" t="s">
        <v>190</v>
      </c>
      <c r="EO137" s="319" t="s">
        <v>190</v>
      </c>
      <c r="EP137" s="319" t="s">
        <v>190</v>
      </c>
      <c r="EQ137" s="319" t="s">
        <v>190</v>
      </c>
      <c r="ER137" s="319" t="s">
        <v>190</v>
      </c>
      <c r="ES137" s="319" t="s">
        <v>190</v>
      </c>
      <c r="ET137" s="319" t="s">
        <v>190</v>
      </c>
      <c r="EU137" s="319" t="s">
        <v>190</v>
      </c>
      <c r="EV137" s="319" t="s">
        <v>190</v>
      </c>
      <c r="EW137" s="319" t="s">
        <v>190</v>
      </c>
      <c r="EX137" s="319" t="s">
        <v>190</v>
      </c>
      <c r="EY137" s="319" t="s">
        <v>190</v>
      </c>
      <c r="EZ137" s="319" t="s">
        <v>190</v>
      </c>
      <c r="FA137" s="319" t="s">
        <v>190</v>
      </c>
      <c r="FB137" s="319" t="s">
        <v>428</v>
      </c>
      <c r="FC137" s="319" t="s">
        <v>428</v>
      </c>
      <c r="FD137" s="319" t="s">
        <v>428</v>
      </c>
      <c r="FE137" s="319" t="s">
        <v>428</v>
      </c>
      <c r="FF137" s="319" t="s">
        <v>428</v>
      </c>
      <c r="FG137" s="319" t="s">
        <v>428</v>
      </c>
      <c r="FH137" s="319" t="s">
        <v>190</v>
      </c>
      <c r="FI137" s="319" t="s">
        <v>190</v>
      </c>
      <c r="FJ137" s="319" t="s">
        <v>190</v>
      </c>
      <c r="FK137" s="319" t="s">
        <v>190</v>
      </c>
      <c r="FL137" s="319" t="s">
        <v>190</v>
      </c>
      <c r="FM137" s="319" t="s">
        <v>190</v>
      </c>
      <c r="FN137" s="319" t="s">
        <v>190</v>
      </c>
      <c r="FO137" s="319" t="s">
        <v>190</v>
      </c>
      <c r="FP137" s="319" t="s">
        <v>190</v>
      </c>
      <c r="FQ137" s="319" t="s">
        <v>190</v>
      </c>
      <c r="FR137" s="319" t="s">
        <v>190</v>
      </c>
      <c r="FS137" s="319" t="s">
        <v>190</v>
      </c>
      <c r="FT137" s="319" t="s">
        <v>190</v>
      </c>
      <c r="FU137" s="319" t="s">
        <v>190</v>
      </c>
      <c r="FV137" s="319" t="s">
        <v>190</v>
      </c>
      <c r="FW137" s="319" t="s">
        <v>190</v>
      </c>
      <c r="FX137" s="319" t="s">
        <v>190</v>
      </c>
      <c r="FY137" s="319" t="s">
        <v>190</v>
      </c>
      <c r="FZ137" s="319" t="s">
        <v>190</v>
      </c>
      <c r="GA137" s="319" t="s">
        <v>190</v>
      </c>
      <c r="GB137" s="319" t="s">
        <v>190</v>
      </c>
      <c r="GC137" s="319" t="s">
        <v>190</v>
      </c>
      <c r="GD137" s="319" t="s">
        <v>190</v>
      </c>
      <c r="GE137" s="319" t="s">
        <v>190</v>
      </c>
      <c r="GF137" s="319" t="s">
        <v>190</v>
      </c>
      <c r="GG137" s="319" t="s">
        <v>190</v>
      </c>
      <c r="GH137" s="319" t="s">
        <v>190</v>
      </c>
      <c r="GI137" s="319" t="s">
        <v>190</v>
      </c>
      <c r="GJ137" s="319" t="s">
        <v>190</v>
      </c>
      <c r="GK137" s="319" t="s">
        <v>190</v>
      </c>
      <c r="GL137" s="319" t="s">
        <v>190</v>
      </c>
      <c r="GM137" s="319" t="s">
        <v>190</v>
      </c>
      <c r="GN137" s="319" t="s">
        <v>190</v>
      </c>
      <c r="GO137" s="319" t="s">
        <v>190</v>
      </c>
      <c r="GP137" s="319" t="s">
        <v>190</v>
      </c>
      <c r="GQ137" s="319" t="s">
        <v>190</v>
      </c>
      <c r="GR137" s="319" t="s">
        <v>190</v>
      </c>
      <c r="GS137" s="319" t="s">
        <v>190</v>
      </c>
      <c r="GT137" s="319" t="s">
        <v>190</v>
      </c>
      <c r="GU137" s="319" t="s">
        <v>190</v>
      </c>
      <c r="GV137" s="319" t="s">
        <v>190</v>
      </c>
      <c r="GW137" s="319" t="s">
        <v>190</v>
      </c>
      <c r="GX137" s="319" t="s">
        <v>190</v>
      </c>
      <c r="GY137" s="319" t="s">
        <v>190</v>
      </c>
      <c r="GZ137" s="319" t="s">
        <v>190</v>
      </c>
      <c r="HA137" s="319" t="s">
        <v>428</v>
      </c>
      <c r="HB137" s="319" t="s">
        <v>428</v>
      </c>
      <c r="HC137" s="319" t="s">
        <v>190</v>
      </c>
      <c r="HD137" s="319" t="s">
        <v>190</v>
      </c>
      <c r="HE137" s="319" t="s">
        <v>190</v>
      </c>
      <c r="HF137" s="319" t="s">
        <v>190</v>
      </c>
      <c r="HG137" s="319" t="s">
        <v>190</v>
      </c>
      <c r="HH137" s="319" t="s">
        <v>190</v>
      </c>
      <c r="HI137" s="319" t="s">
        <v>584</v>
      </c>
      <c r="HJ137" s="319" t="s">
        <v>190</v>
      </c>
      <c r="HK137" s="319" t="s">
        <v>428</v>
      </c>
      <c r="HL137" s="319" t="s">
        <v>428</v>
      </c>
      <c r="HM137" s="319" t="s">
        <v>428</v>
      </c>
      <c r="HN137" s="319" t="s">
        <v>428</v>
      </c>
      <c r="HO137" s="319" t="s">
        <v>428</v>
      </c>
      <c r="HP137" s="319" t="s">
        <v>190</v>
      </c>
      <c r="HQ137" s="319" t="s">
        <v>190</v>
      </c>
      <c r="HR137" s="319" t="s">
        <v>190</v>
      </c>
      <c r="HS137" s="319" t="s">
        <v>190</v>
      </c>
      <c r="HT137" s="319" t="s">
        <v>190</v>
      </c>
      <c r="HU137" s="319" t="s">
        <v>190</v>
      </c>
      <c r="HV137" s="319" t="s">
        <v>190</v>
      </c>
      <c r="HW137" s="319" t="s">
        <v>190</v>
      </c>
      <c r="HX137" s="319" t="s">
        <v>190</v>
      </c>
      <c r="HY137" s="319" t="s">
        <v>190</v>
      </c>
      <c r="HZ137" s="319" t="s">
        <v>190</v>
      </c>
      <c r="IA137" s="319" t="s">
        <v>190</v>
      </c>
      <c r="IB137" s="319" t="s">
        <v>190</v>
      </c>
      <c r="IC137" s="319" t="s">
        <v>190</v>
      </c>
      <c r="ID137" s="319" t="s">
        <v>190</v>
      </c>
      <c r="IE137" s="319" t="s">
        <v>190</v>
      </c>
      <c r="IF137" s="319" t="s">
        <v>190</v>
      </c>
      <c r="IG137" s="319" t="s">
        <v>190</v>
      </c>
      <c r="IH137" s="319" t="s">
        <v>190</v>
      </c>
      <c r="II137" s="319" t="s">
        <v>190</v>
      </c>
      <c r="IJ137" s="319" t="s">
        <v>2914</v>
      </c>
      <c r="IK137" s="321">
        <v>41906</v>
      </c>
      <c r="IL137" s="321">
        <v>41908</v>
      </c>
      <c r="IM137" s="321">
        <v>41954</v>
      </c>
      <c r="IN137" s="319">
        <v>2</v>
      </c>
      <c r="IO137" s="319" t="s">
        <v>173</v>
      </c>
      <c r="IP137" s="319" t="s">
        <v>173</v>
      </c>
      <c r="IQ137" s="319" t="s">
        <v>173</v>
      </c>
      <c r="IR137" s="320" t="s">
        <v>173</v>
      </c>
      <c r="IS137" s="320" t="s">
        <v>173</v>
      </c>
      <c r="IT137" s="319" t="s">
        <v>173</v>
      </c>
    </row>
    <row r="138" spans="1:254" s="271" customFormat="1" x14ac:dyDescent="0.25">
      <c r="A138" s="318" t="str">
        <f>HYPERLINK("http://www.ofsted.gov.uk/inspection-reports/find-inspection-report/provider/ELS/112452 ","Ofsted School Webpage")</f>
        <v>Ofsted School Webpage</v>
      </c>
      <c r="B138" s="319">
        <v>112452</v>
      </c>
      <c r="C138" s="319">
        <v>9096027</v>
      </c>
      <c r="D138" s="319" t="s">
        <v>1399</v>
      </c>
      <c r="E138" s="319" t="s">
        <v>168</v>
      </c>
      <c r="F138" s="319" t="s">
        <v>81</v>
      </c>
      <c r="G138" s="319" t="s">
        <v>81</v>
      </c>
      <c r="H138" s="319" t="s">
        <v>81</v>
      </c>
      <c r="I138" s="319" t="s">
        <v>78</v>
      </c>
      <c r="J138" s="319" t="s">
        <v>424</v>
      </c>
      <c r="K138" s="319" t="s">
        <v>431</v>
      </c>
      <c r="L138" s="319" t="s">
        <v>431</v>
      </c>
      <c r="M138" s="319" t="s">
        <v>585</v>
      </c>
      <c r="N138" s="319" t="s">
        <v>2915</v>
      </c>
      <c r="O138" s="319" t="s">
        <v>1400</v>
      </c>
      <c r="P138" s="319">
        <v>64</v>
      </c>
      <c r="Q138" s="319" t="s">
        <v>2776</v>
      </c>
      <c r="R138" s="320">
        <v>10043369</v>
      </c>
      <c r="S138" s="321">
        <v>43116</v>
      </c>
      <c r="T138" s="321">
        <v>43118</v>
      </c>
      <c r="U138" s="321">
        <v>43157</v>
      </c>
      <c r="V138" s="319" t="s">
        <v>425</v>
      </c>
      <c r="W138" s="319" t="s">
        <v>2767</v>
      </c>
      <c r="X138" s="319">
        <v>2</v>
      </c>
      <c r="Y138" s="319" t="s">
        <v>173</v>
      </c>
      <c r="Z138" s="319" t="s">
        <v>173</v>
      </c>
      <c r="AA138" s="319" t="s">
        <v>173</v>
      </c>
      <c r="AB138" s="319">
        <v>2</v>
      </c>
      <c r="AC138" s="319" t="s">
        <v>169</v>
      </c>
      <c r="AD138" s="319" t="s">
        <v>173</v>
      </c>
      <c r="AE138" s="319">
        <v>2</v>
      </c>
      <c r="AF138" s="319" t="s">
        <v>427</v>
      </c>
      <c r="AG138" s="319" t="s">
        <v>171</v>
      </c>
      <c r="AH138" s="319" t="s">
        <v>190</v>
      </c>
      <c r="AI138" s="319" t="s">
        <v>190</v>
      </c>
      <c r="AJ138" s="319" t="s">
        <v>190</v>
      </c>
      <c r="AK138" s="319" t="s">
        <v>190</v>
      </c>
      <c r="AL138" s="319" t="s">
        <v>190</v>
      </c>
      <c r="AM138" s="319" t="s">
        <v>190</v>
      </c>
      <c r="AN138" s="319" t="s">
        <v>190</v>
      </c>
      <c r="AO138" s="319" t="s">
        <v>190</v>
      </c>
      <c r="AP138" s="319" t="s">
        <v>190</v>
      </c>
      <c r="AQ138" s="319" t="s">
        <v>190</v>
      </c>
      <c r="AR138" s="319" t="s">
        <v>190</v>
      </c>
      <c r="AS138" s="319" t="s">
        <v>190</v>
      </c>
      <c r="AT138" s="319" t="s">
        <v>190</v>
      </c>
      <c r="AU138" s="319" t="s">
        <v>190</v>
      </c>
      <c r="AV138" s="319" t="s">
        <v>190</v>
      </c>
      <c r="AW138" s="319" t="s">
        <v>190</v>
      </c>
      <c r="AX138" s="319" t="s">
        <v>428</v>
      </c>
      <c r="AY138" s="319" t="s">
        <v>190</v>
      </c>
      <c r="AZ138" s="319" t="s">
        <v>190</v>
      </c>
      <c r="BA138" s="319" t="s">
        <v>190</v>
      </c>
      <c r="BB138" s="319" t="s">
        <v>190</v>
      </c>
      <c r="BC138" s="319" t="s">
        <v>190</v>
      </c>
      <c r="BD138" s="319" t="s">
        <v>190</v>
      </c>
      <c r="BE138" s="319" t="s">
        <v>190</v>
      </c>
      <c r="BF138" s="319" t="s">
        <v>428</v>
      </c>
      <c r="BG138" s="319" t="s">
        <v>190</v>
      </c>
      <c r="BH138" s="319" t="s">
        <v>190</v>
      </c>
      <c r="BI138" s="319" t="s">
        <v>190</v>
      </c>
      <c r="BJ138" s="319" t="s">
        <v>190</v>
      </c>
      <c r="BK138" s="319" t="s">
        <v>190</v>
      </c>
      <c r="BL138" s="319" t="s">
        <v>190</v>
      </c>
      <c r="BM138" s="319" t="s">
        <v>190</v>
      </c>
      <c r="BN138" s="319" t="s">
        <v>190</v>
      </c>
      <c r="BO138" s="319" t="s">
        <v>190</v>
      </c>
      <c r="BP138" s="319" t="s">
        <v>190</v>
      </c>
      <c r="BQ138" s="319" t="s">
        <v>190</v>
      </c>
      <c r="BR138" s="319" t="s">
        <v>190</v>
      </c>
      <c r="BS138" s="319" t="s">
        <v>190</v>
      </c>
      <c r="BT138" s="319" t="s">
        <v>190</v>
      </c>
      <c r="BU138" s="319" t="s">
        <v>190</v>
      </c>
      <c r="BV138" s="319" t="s">
        <v>190</v>
      </c>
      <c r="BW138" s="319" t="s">
        <v>190</v>
      </c>
      <c r="BX138" s="319" t="s">
        <v>190</v>
      </c>
      <c r="BY138" s="319" t="s">
        <v>190</v>
      </c>
      <c r="BZ138" s="319" t="s">
        <v>190</v>
      </c>
      <c r="CA138" s="319" t="s">
        <v>190</v>
      </c>
      <c r="CB138" s="319" t="s">
        <v>190</v>
      </c>
      <c r="CC138" s="319" t="s">
        <v>190</v>
      </c>
      <c r="CD138" s="319" t="s">
        <v>190</v>
      </c>
      <c r="CE138" s="319" t="s">
        <v>190</v>
      </c>
      <c r="CF138" s="319" t="s">
        <v>190</v>
      </c>
      <c r="CG138" s="319" t="s">
        <v>190</v>
      </c>
      <c r="CH138" s="319" t="s">
        <v>190</v>
      </c>
      <c r="CI138" s="319" t="s">
        <v>190</v>
      </c>
      <c r="CJ138" s="319" t="s">
        <v>190</v>
      </c>
      <c r="CK138" s="319" t="s">
        <v>190</v>
      </c>
      <c r="CL138" s="319" t="s">
        <v>190</v>
      </c>
      <c r="CM138" s="319" t="s">
        <v>190</v>
      </c>
      <c r="CN138" s="319" t="s">
        <v>190</v>
      </c>
      <c r="CO138" s="319" t="s">
        <v>190</v>
      </c>
      <c r="CP138" s="319" t="s">
        <v>190</v>
      </c>
      <c r="CQ138" s="319" t="s">
        <v>190</v>
      </c>
      <c r="CR138" s="319" t="s">
        <v>190</v>
      </c>
      <c r="CS138" s="319" t="s">
        <v>190</v>
      </c>
      <c r="CT138" s="319" t="s">
        <v>190</v>
      </c>
      <c r="CU138" s="319" t="s">
        <v>190</v>
      </c>
      <c r="CV138" s="319" t="s">
        <v>190</v>
      </c>
      <c r="CW138" s="319" t="s">
        <v>190</v>
      </c>
      <c r="CX138" s="319" t="s">
        <v>190</v>
      </c>
      <c r="CY138" s="319" t="s">
        <v>190</v>
      </c>
      <c r="CZ138" s="319" t="s">
        <v>190</v>
      </c>
      <c r="DA138" s="319" t="s">
        <v>190</v>
      </c>
      <c r="DB138" s="319" t="s">
        <v>190</v>
      </c>
      <c r="DC138" s="319" t="s">
        <v>190</v>
      </c>
      <c r="DD138" s="319" t="s">
        <v>190</v>
      </c>
      <c r="DE138" s="319" t="s">
        <v>190</v>
      </c>
      <c r="DF138" s="319" t="s">
        <v>190</v>
      </c>
      <c r="DG138" s="319" t="s">
        <v>190</v>
      </c>
      <c r="DH138" s="319" t="s">
        <v>190</v>
      </c>
      <c r="DI138" s="319" t="s">
        <v>190</v>
      </c>
      <c r="DJ138" s="319" t="s">
        <v>190</v>
      </c>
      <c r="DK138" s="319" t="s">
        <v>190</v>
      </c>
      <c r="DL138" s="319" t="s">
        <v>190</v>
      </c>
      <c r="DM138" s="319" t="s">
        <v>190</v>
      </c>
      <c r="DN138" s="319" t="s">
        <v>190</v>
      </c>
      <c r="DO138" s="319" t="s">
        <v>190</v>
      </c>
      <c r="DP138" s="319" t="s">
        <v>190</v>
      </c>
      <c r="DQ138" s="319" t="s">
        <v>190</v>
      </c>
      <c r="DR138" s="319" t="s">
        <v>190</v>
      </c>
      <c r="DS138" s="319" t="s">
        <v>190</v>
      </c>
      <c r="DT138" s="319" t="s">
        <v>190</v>
      </c>
      <c r="DU138" s="319" t="s">
        <v>190</v>
      </c>
      <c r="DV138" s="319" t="s">
        <v>173</v>
      </c>
      <c r="DW138" s="319" t="s">
        <v>190</v>
      </c>
      <c r="DX138" s="319" t="s">
        <v>190</v>
      </c>
      <c r="DY138" s="319" t="s">
        <v>190</v>
      </c>
      <c r="DZ138" s="319" t="s">
        <v>190</v>
      </c>
      <c r="EA138" s="319" t="s">
        <v>190</v>
      </c>
      <c r="EB138" s="319" t="s">
        <v>190</v>
      </c>
      <c r="EC138" s="319" t="s">
        <v>190</v>
      </c>
      <c r="ED138" s="319" t="s">
        <v>190</v>
      </c>
      <c r="EE138" s="319" t="s">
        <v>190</v>
      </c>
      <c r="EF138" s="319" t="s">
        <v>190</v>
      </c>
      <c r="EG138" s="319" t="s">
        <v>190</v>
      </c>
      <c r="EH138" s="319" t="s">
        <v>190</v>
      </c>
      <c r="EI138" s="319" t="s">
        <v>190</v>
      </c>
      <c r="EJ138" s="319" t="s">
        <v>190</v>
      </c>
      <c r="EK138" s="319" t="s">
        <v>190</v>
      </c>
      <c r="EL138" s="319" t="s">
        <v>190</v>
      </c>
      <c r="EM138" s="319" t="s">
        <v>190</v>
      </c>
      <c r="EN138" s="319" t="s">
        <v>190</v>
      </c>
      <c r="EO138" s="319" t="s">
        <v>190</v>
      </c>
      <c r="EP138" s="319" t="s">
        <v>190</v>
      </c>
      <c r="EQ138" s="319" t="s">
        <v>190</v>
      </c>
      <c r="ER138" s="319" t="s">
        <v>190</v>
      </c>
      <c r="ES138" s="319" t="s">
        <v>190</v>
      </c>
      <c r="ET138" s="319" t="s">
        <v>190</v>
      </c>
      <c r="EU138" s="319" t="s">
        <v>190</v>
      </c>
      <c r="EV138" s="319" t="s">
        <v>190</v>
      </c>
      <c r="EW138" s="319" t="s">
        <v>190</v>
      </c>
      <c r="EX138" s="319" t="s">
        <v>190</v>
      </c>
      <c r="EY138" s="319" t="s">
        <v>190</v>
      </c>
      <c r="EZ138" s="319" t="s">
        <v>190</v>
      </c>
      <c r="FA138" s="319" t="s">
        <v>190</v>
      </c>
      <c r="FB138" s="319" t="s">
        <v>190</v>
      </c>
      <c r="FC138" s="319" t="s">
        <v>190</v>
      </c>
      <c r="FD138" s="319" t="s">
        <v>190</v>
      </c>
      <c r="FE138" s="319" t="s">
        <v>190</v>
      </c>
      <c r="FF138" s="319" t="s">
        <v>190</v>
      </c>
      <c r="FG138" s="319" t="s">
        <v>190</v>
      </c>
      <c r="FH138" s="319" t="s">
        <v>190</v>
      </c>
      <c r="FI138" s="319" t="s">
        <v>190</v>
      </c>
      <c r="FJ138" s="319" t="s">
        <v>190</v>
      </c>
      <c r="FK138" s="319" t="s">
        <v>190</v>
      </c>
      <c r="FL138" s="319" t="s">
        <v>190</v>
      </c>
      <c r="FM138" s="319" t="s">
        <v>190</v>
      </c>
      <c r="FN138" s="319" t="s">
        <v>190</v>
      </c>
      <c r="FO138" s="319" t="s">
        <v>190</v>
      </c>
      <c r="FP138" s="319" t="s">
        <v>190</v>
      </c>
      <c r="FQ138" s="319" t="s">
        <v>190</v>
      </c>
      <c r="FR138" s="319" t="s">
        <v>190</v>
      </c>
      <c r="FS138" s="319" t="s">
        <v>190</v>
      </c>
      <c r="FT138" s="319" t="s">
        <v>190</v>
      </c>
      <c r="FU138" s="319" t="s">
        <v>190</v>
      </c>
      <c r="FV138" s="319" t="s">
        <v>190</v>
      </c>
      <c r="FW138" s="319" t="s">
        <v>190</v>
      </c>
      <c r="FX138" s="319" t="s">
        <v>190</v>
      </c>
      <c r="FY138" s="319" t="s">
        <v>190</v>
      </c>
      <c r="FZ138" s="319" t="s">
        <v>190</v>
      </c>
      <c r="GA138" s="319" t="s">
        <v>190</v>
      </c>
      <c r="GB138" s="319" t="s">
        <v>190</v>
      </c>
      <c r="GC138" s="319" t="s">
        <v>190</v>
      </c>
      <c r="GD138" s="319" t="s">
        <v>190</v>
      </c>
      <c r="GE138" s="319" t="s">
        <v>190</v>
      </c>
      <c r="GF138" s="319" t="s">
        <v>190</v>
      </c>
      <c r="GG138" s="319" t="s">
        <v>190</v>
      </c>
      <c r="GH138" s="319" t="s">
        <v>190</v>
      </c>
      <c r="GI138" s="319" t="s">
        <v>190</v>
      </c>
      <c r="GJ138" s="319" t="s">
        <v>190</v>
      </c>
      <c r="GK138" s="319" t="s">
        <v>190</v>
      </c>
      <c r="GL138" s="319" t="s">
        <v>190</v>
      </c>
      <c r="GM138" s="319" t="s">
        <v>190</v>
      </c>
      <c r="GN138" s="319" t="s">
        <v>190</v>
      </c>
      <c r="GO138" s="319" t="s">
        <v>190</v>
      </c>
      <c r="GP138" s="319" t="s">
        <v>190</v>
      </c>
      <c r="GQ138" s="319" t="s">
        <v>190</v>
      </c>
      <c r="GR138" s="319" t="s">
        <v>190</v>
      </c>
      <c r="GS138" s="319" t="s">
        <v>190</v>
      </c>
      <c r="GT138" s="319" t="s">
        <v>190</v>
      </c>
      <c r="GU138" s="319" t="s">
        <v>190</v>
      </c>
      <c r="GV138" s="319" t="s">
        <v>190</v>
      </c>
      <c r="GW138" s="319" t="s">
        <v>190</v>
      </c>
      <c r="GX138" s="319" t="s">
        <v>190</v>
      </c>
      <c r="GY138" s="319" t="s">
        <v>190</v>
      </c>
      <c r="GZ138" s="319" t="s">
        <v>190</v>
      </c>
      <c r="HA138" s="319" t="s">
        <v>190</v>
      </c>
      <c r="HB138" s="319" t="s">
        <v>190</v>
      </c>
      <c r="HC138" s="319" t="s">
        <v>190</v>
      </c>
      <c r="HD138" s="319" t="s">
        <v>190</v>
      </c>
      <c r="HE138" s="319" t="s">
        <v>190</v>
      </c>
      <c r="HF138" s="319" t="s">
        <v>190</v>
      </c>
      <c r="HG138" s="319" t="s">
        <v>190</v>
      </c>
      <c r="HH138" s="319" t="s">
        <v>190</v>
      </c>
      <c r="HI138" s="319" t="s">
        <v>190</v>
      </c>
      <c r="HJ138" s="319" t="s">
        <v>190</v>
      </c>
      <c r="HK138" s="319" t="s">
        <v>190</v>
      </c>
      <c r="HL138" s="319" t="s">
        <v>190</v>
      </c>
      <c r="HM138" s="319" t="s">
        <v>428</v>
      </c>
      <c r="HN138" s="319" t="s">
        <v>428</v>
      </c>
      <c r="HO138" s="319" t="s">
        <v>428</v>
      </c>
      <c r="HP138" s="319" t="s">
        <v>190</v>
      </c>
      <c r="HQ138" s="319" t="s">
        <v>190</v>
      </c>
      <c r="HR138" s="319" t="s">
        <v>190</v>
      </c>
      <c r="HS138" s="319" t="s">
        <v>190</v>
      </c>
      <c r="HT138" s="319" t="s">
        <v>190</v>
      </c>
      <c r="HU138" s="319" t="s">
        <v>190</v>
      </c>
      <c r="HV138" s="319" t="s">
        <v>190</v>
      </c>
      <c r="HW138" s="319" t="s">
        <v>190</v>
      </c>
      <c r="HX138" s="319" t="s">
        <v>190</v>
      </c>
      <c r="HY138" s="319" t="s">
        <v>190</v>
      </c>
      <c r="HZ138" s="319" t="s">
        <v>190</v>
      </c>
      <c r="IA138" s="319" t="s">
        <v>190</v>
      </c>
      <c r="IB138" s="319" t="s">
        <v>190</v>
      </c>
      <c r="IC138" s="319" t="s">
        <v>190</v>
      </c>
      <c r="ID138" s="319" t="s">
        <v>190</v>
      </c>
      <c r="IE138" s="319" t="s">
        <v>190</v>
      </c>
      <c r="IF138" s="319" t="s">
        <v>190</v>
      </c>
      <c r="IG138" s="319" t="s">
        <v>190</v>
      </c>
      <c r="IH138" s="319" t="s">
        <v>190</v>
      </c>
      <c r="II138" s="319" t="s">
        <v>190</v>
      </c>
      <c r="IJ138" s="319">
        <v>10007025</v>
      </c>
      <c r="IK138" s="321">
        <v>42269</v>
      </c>
      <c r="IL138" s="321">
        <v>42271</v>
      </c>
      <c r="IM138" s="321">
        <v>42311</v>
      </c>
      <c r="IN138" s="319">
        <v>2</v>
      </c>
      <c r="IO138" s="319" t="s">
        <v>173</v>
      </c>
      <c r="IP138" s="319" t="s">
        <v>173</v>
      </c>
      <c r="IQ138" s="321" t="s">
        <v>173</v>
      </c>
      <c r="IR138" s="320" t="s">
        <v>173</v>
      </c>
      <c r="IS138" s="322" t="s">
        <v>173</v>
      </c>
      <c r="IT138" s="319" t="s">
        <v>173</v>
      </c>
    </row>
    <row r="139" spans="1:254" s="271" customFormat="1" x14ac:dyDescent="0.25">
      <c r="A139" s="318" t="str">
        <f>HYPERLINK("http://www.ofsted.gov.uk/inspection-reports/find-inspection-report/provider/ELS/112456 ","Ofsted School Webpage")</f>
        <v>Ofsted School Webpage</v>
      </c>
      <c r="B139" s="319">
        <v>112456</v>
      </c>
      <c r="C139" s="319">
        <v>8156041</v>
      </c>
      <c r="D139" s="319" t="s">
        <v>1401</v>
      </c>
      <c r="E139" s="319" t="s">
        <v>168</v>
      </c>
      <c r="F139" s="319" t="s">
        <v>81</v>
      </c>
      <c r="G139" s="319" t="s">
        <v>81</v>
      </c>
      <c r="H139" s="319" t="s">
        <v>81</v>
      </c>
      <c r="I139" s="319" t="s">
        <v>78</v>
      </c>
      <c r="J139" s="319" t="s">
        <v>424</v>
      </c>
      <c r="K139" s="319" t="s">
        <v>458</v>
      </c>
      <c r="L139" s="319" t="s">
        <v>459</v>
      </c>
      <c r="M139" s="319" t="s">
        <v>754</v>
      </c>
      <c r="N139" s="319" t="s">
        <v>2916</v>
      </c>
      <c r="O139" s="319" t="s">
        <v>1402</v>
      </c>
      <c r="P139" s="319">
        <v>69</v>
      </c>
      <c r="Q139" s="319" t="s">
        <v>429</v>
      </c>
      <c r="R139" s="320">
        <v>10061241</v>
      </c>
      <c r="S139" s="321">
        <v>43508</v>
      </c>
      <c r="T139" s="321">
        <v>43510</v>
      </c>
      <c r="U139" s="321">
        <v>43580</v>
      </c>
      <c r="V139" s="319" t="s">
        <v>554</v>
      </c>
      <c r="W139" s="319" t="s">
        <v>2767</v>
      </c>
      <c r="X139" s="319">
        <v>2</v>
      </c>
      <c r="Y139" s="319" t="s">
        <v>173</v>
      </c>
      <c r="Z139" s="319" t="s">
        <v>173</v>
      </c>
      <c r="AA139" s="319" t="s">
        <v>173</v>
      </c>
      <c r="AB139" s="319">
        <v>2</v>
      </c>
      <c r="AC139" s="319" t="s">
        <v>169</v>
      </c>
      <c r="AD139" s="319" t="s">
        <v>173</v>
      </c>
      <c r="AE139" s="319" t="s">
        <v>173</v>
      </c>
      <c r="AF139" s="319" t="s">
        <v>427</v>
      </c>
      <c r="AG139" s="319" t="s">
        <v>171</v>
      </c>
      <c r="AH139" s="319" t="s">
        <v>190</v>
      </c>
      <c r="AI139" s="319" t="s">
        <v>190</v>
      </c>
      <c r="AJ139" s="319" t="s">
        <v>190</v>
      </c>
      <c r="AK139" s="319" t="s">
        <v>190</v>
      </c>
      <c r="AL139" s="319" t="s">
        <v>190</v>
      </c>
      <c r="AM139" s="319" t="s">
        <v>190</v>
      </c>
      <c r="AN139" s="319" t="s">
        <v>190</v>
      </c>
      <c r="AO139" s="319" t="s">
        <v>190</v>
      </c>
      <c r="AP139" s="319" t="s">
        <v>190</v>
      </c>
      <c r="AQ139" s="319" t="s">
        <v>190</v>
      </c>
      <c r="AR139" s="319" t="s">
        <v>190</v>
      </c>
      <c r="AS139" s="319" t="s">
        <v>190</v>
      </c>
      <c r="AT139" s="319" t="s">
        <v>190</v>
      </c>
      <c r="AU139" s="319" t="s">
        <v>190</v>
      </c>
      <c r="AV139" s="319" t="s">
        <v>190</v>
      </c>
      <c r="AW139" s="319" t="s">
        <v>190</v>
      </c>
      <c r="AX139" s="319" t="s">
        <v>428</v>
      </c>
      <c r="AY139" s="319" t="s">
        <v>190</v>
      </c>
      <c r="AZ139" s="319" t="s">
        <v>190</v>
      </c>
      <c r="BA139" s="319" t="s">
        <v>190</v>
      </c>
      <c r="BB139" s="319" t="s">
        <v>190</v>
      </c>
      <c r="BC139" s="319" t="s">
        <v>190</v>
      </c>
      <c r="BD139" s="319" t="s">
        <v>190</v>
      </c>
      <c r="BE139" s="319" t="s">
        <v>190</v>
      </c>
      <c r="BF139" s="319" t="s">
        <v>428</v>
      </c>
      <c r="BG139" s="319" t="s">
        <v>428</v>
      </c>
      <c r="BH139" s="319" t="s">
        <v>190</v>
      </c>
      <c r="BI139" s="319" t="s">
        <v>190</v>
      </c>
      <c r="BJ139" s="319" t="s">
        <v>190</v>
      </c>
      <c r="BK139" s="319" t="s">
        <v>190</v>
      </c>
      <c r="BL139" s="319" t="s">
        <v>190</v>
      </c>
      <c r="BM139" s="319" t="s">
        <v>190</v>
      </c>
      <c r="BN139" s="319" t="s">
        <v>190</v>
      </c>
      <c r="BO139" s="319" t="s">
        <v>190</v>
      </c>
      <c r="BP139" s="319" t="s">
        <v>190</v>
      </c>
      <c r="BQ139" s="319" t="s">
        <v>190</v>
      </c>
      <c r="BR139" s="319" t="s">
        <v>190</v>
      </c>
      <c r="BS139" s="319" t="s">
        <v>190</v>
      </c>
      <c r="BT139" s="319" t="s">
        <v>190</v>
      </c>
      <c r="BU139" s="319" t="s">
        <v>190</v>
      </c>
      <c r="BV139" s="319" t="s">
        <v>190</v>
      </c>
      <c r="BW139" s="319" t="s">
        <v>190</v>
      </c>
      <c r="BX139" s="319" t="s">
        <v>190</v>
      </c>
      <c r="BY139" s="319" t="s">
        <v>190</v>
      </c>
      <c r="BZ139" s="319" t="s">
        <v>190</v>
      </c>
      <c r="CA139" s="319" t="s">
        <v>190</v>
      </c>
      <c r="CB139" s="319" t="s">
        <v>190</v>
      </c>
      <c r="CC139" s="319" t="s">
        <v>190</v>
      </c>
      <c r="CD139" s="319" t="s">
        <v>190</v>
      </c>
      <c r="CE139" s="319" t="s">
        <v>190</v>
      </c>
      <c r="CF139" s="319" t="s">
        <v>190</v>
      </c>
      <c r="CG139" s="319" t="s">
        <v>190</v>
      </c>
      <c r="CH139" s="319" t="s">
        <v>190</v>
      </c>
      <c r="CI139" s="319" t="s">
        <v>190</v>
      </c>
      <c r="CJ139" s="319" t="s">
        <v>190</v>
      </c>
      <c r="CK139" s="319" t="s">
        <v>190</v>
      </c>
      <c r="CL139" s="319" t="s">
        <v>190</v>
      </c>
      <c r="CM139" s="319" t="s">
        <v>190</v>
      </c>
      <c r="CN139" s="319" t="s">
        <v>190</v>
      </c>
      <c r="CO139" s="319" t="s">
        <v>190</v>
      </c>
      <c r="CP139" s="319" t="s">
        <v>190</v>
      </c>
      <c r="CQ139" s="319" t="s">
        <v>190</v>
      </c>
      <c r="CR139" s="319" t="s">
        <v>190</v>
      </c>
      <c r="CS139" s="319" t="s">
        <v>190</v>
      </c>
      <c r="CT139" s="319" t="s">
        <v>190</v>
      </c>
      <c r="CU139" s="319" t="s">
        <v>190</v>
      </c>
      <c r="CV139" s="319" t="s">
        <v>190</v>
      </c>
      <c r="CW139" s="319" t="s">
        <v>190</v>
      </c>
      <c r="CX139" s="319" t="s">
        <v>190</v>
      </c>
      <c r="CY139" s="319" t="s">
        <v>190</v>
      </c>
      <c r="CZ139" s="319" t="s">
        <v>190</v>
      </c>
      <c r="DA139" s="319" t="s">
        <v>190</v>
      </c>
      <c r="DB139" s="319" t="s">
        <v>190</v>
      </c>
      <c r="DC139" s="319" t="s">
        <v>190</v>
      </c>
      <c r="DD139" s="319" t="s">
        <v>190</v>
      </c>
      <c r="DE139" s="319" t="s">
        <v>190</v>
      </c>
      <c r="DF139" s="319" t="s">
        <v>190</v>
      </c>
      <c r="DG139" s="319" t="s">
        <v>190</v>
      </c>
      <c r="DH139" s="319" t="s">
        <v>190</v>
      </c>
      <c r="DI139" s="319" t="s">
        <v>190</v>
      </c>
      <c r="DJ139" s="319" t="s">
        <v>190</v>
      </c>
      <c r="DK139" s="319" t="s">
        <v>190</v>
      </c>
      <c r="DL139" s="319" t="s">
        <v>190</v>
      </c>
      <c r="DM139" s="319" t="s">
        <v>190</v>
      </c>
      <c r="DN139" s="319" t="s">
        <v>190</v>
      </c>
      <c r="DO139" s="319" t="s">
        <v>190</v>
      </c>
      <c r="DP139" s="319" t="s">
        <v>428</v>
      </c>
      <c r="DQ139" s="319" t="s">
        <v>428</v>
      </c>
      <c r="DR139" s="319" t="s">
        <v>428</v>
      </c>
      <c r="DS139" s="319" t="s">
        <v>428</v>
      </c>
      <c r="DT139" s="319" t="s">
        <v>428</v>
      </c>
      <c r="DU139" s="319" t="s">
        <v>428</v>
      </c>
      <c r="DV139" s="319" t="s">
        <v>173</v>
      </c>
      <c r="DW139" s="319" t="s">
        <v>428</v>
      </c>
      <c r="DX139" s="319" t="s">
        <v>428</v>
      </c>
      <c r="DY139" s="319" t="s">
        <v>428</v>
      </c>
      <c r="DZ139" s="319" t="s">
        <v>428</v>
      </c>
      <c r="EA139" s="319" t="s">
        <v>428</v>
      </c>
      <c r="EB139" s="319" t="s">
        <v>428</v>
      </c>
      <c r="EC139" s="319" t="s">
        <v>428</v>
      </c>
      <c r="ED139" s="319" t="s">
        <v>428</v>
      </c>
      <c r="EE139" s="319" t="s">
        <v>190</v>
      </c>
      <c r="EF139" s="319" t="s">
        <v>190</v>
      </c>
      <c r="EG139" s="319" t="s">
        <v>190</v>
      </c>
      <c r="EH139" s="319" t="s">
        <v>190</v>
      </c>
      <c r="EI139" s="319" t="s">
        <v>190</v>
      </c>
      <c r="EJ139" s="319" t="s">
        <v>190</v>
      </c>
      <c r="EK139" s="319" t="s">
        <v>190</v>
      </c>
      <c r="EL139" s="319" t="s">
        <v>190</v>
      </c>
      <c r="EM139" s="319" t="s">
        <v>190</v>
      </c>
      <c r="EN139" s="319" t="s">
        <v>190</v>
      </c>
      <c r="EO139" s="319" t="s">
        <v>190</v>
      </c>
      <c r="EP139" s="319" t="s">
        <v>190</v>
      </c>
      <c r="EQ139" s="319" t="s">
        <v>190</v>
      </c>
      <c r="ER139" s="319" t="s">
        <v>190</v>
      </c>
      <c r="ES139" s="319" t="s">
        <v>190</v>
      </c>
      <c r="ET139" s="319" t="s">
        <v>190</v>
      </c>
      <c r="EU139" s="319" t="s">
        <v>190</v>
      </c>
      <c r="EV139" s="319" t="s">
        <v>190</v>
      </c>
      <c r="EW139" s="319" t="s">
        <v>190</v>
      </c>
      <c r="EX139" s="319" t="s">
        <v>190</v>
      </c>
      <c r="EY139" s="319" t="s">
        <v>190</v>
      </c>
      <c r="EZ139" s="319" t="s">
        <v>190</v>
      </c>
      <c r="FA139" s="319" t="s">
        <v>190</v>
      </c>
      <c r="FB139" s="319" t="s">
        <v>428</v>
      </c>
      <c r="FC139" s="319" t="s">
        <v>428</v>
      </c>
      <c r="FD139" s="319" t="s">
        <v>428</v>
      </c>
      <c r="FE139" s="319" t="s">
        <v>428</v>
      </c>
      <c r="FF139" s="319" t="s">
        <v>428</v>
      </c>
      <c r="FG139" s="319" t="s">
        <v>428</v>
      </c>
      <c r="FH139" s="319" t="s">
        <v>190</v>
      </c>
      <c r="FI139" s="319" t="s">
        <v>190</v>
      </c>
      <c r="FJ139" s="319" t="s">
        <v>190</v>
      </c>
      <c r="FK139" s="319" t="s">
        <v>190</v>
      </c>
      <c r="FL139" s="319" t="s">
        <v>190</v>
      </c>
      <c r="FM139" s="319" t="s">
        <v>190</v>
      </c>
      <c r="FN139" s="319" t="s">
        <v>190</v>
      </c>
      <c r="FO139" s="319" t="s">
        <v>190</v>
      </c>
      <c r="FP139" s="319" t="s">
        <v>190</v>
      </c>
      <c r="FQ139" s="319" t="s">
        <v>190</v>
      </c>
      <c r="FR139" s="319" t="s">
        <v>190</v>
      </c>
      <c r="FS139" s="319" t="s">
        <v>428</v>
      </c>
      <c r="FT139" s="319" t="s">
        <v>190</v>
      </c>
      <c r="FU139" s="319" t="s">
        <v>190</v>
      </c>
      <c r="FV139" s="319" t="s">
        <v>190</v>
      </c>
      <c r="FW139" s="319" t="s">
        <v>190</v>
      </c>
      <c r="FX139" s="319" t="s">
        <v>190</v>
      </c>
      <c r="FY139" s="319" t="s">
        <v>190</v>
      </c>
      <c r="FZ139" s="319" t="s">
        <v>190</v>
      </c>
      <c r="GA139" s="319" t="s">
        <v>190</v>
      </c>
      <c r="GB139" s="319" t="s">
        <v>190</v>
      </c>
      <c r="GC139" s="319" t="s">
        <v>190</v>
      </c>
      <c r="GD139" s="319" t="s">
        <v>190</v>
      </c>
      <c r="GE139" s="319" t="s">
        <v>190</v>
      </c>
      <c r="GF139" s="319" t="s">
        <v>190</v>
      </c>
      <c r="GG139" s="319" t="s">
        <v>190</v>
      </c>
      <c r="GH139" s="319" t="s">
        <v>190</v>
      </c>
      <c r="GI139" s="319" t="s">
        <v>190</v>
      </c>
      <c r="GJ139" s="319" t="s">
        <v>190</v>
      </c>
      <c r="GK139" s="319" t="s">
        <v>190</v>
      </c>
      <c r="GL139" s="319" t="s">
        <v>190</v>
      </c>
      <c r="GM139" s="319" t="s">
        <v>190</v>
      </c>
      <c r="GN139" s="319" t="s">
        <v>190</v>
      </c>
      <c r="GO139" s="319" t="s">
        <v>190</v>
      </c>
      <c r="GP139" s="319" t="s">
        <v>190</v>
      </c>
      <c r="GQ139" s="319" t="s">
        <v>190</v>
      </c>
      <c r="GR139" s="319" t="s">
        <v>190</v>
      </c>
      <c r="GS139" s="319" t="s">
        <v>190</v>
      </c>
      <c r="GT139" s="319" t="s">
        <v>190</v>
      </c>
      <c r="GU139" s="319" t="s">
        <v>190</v>
      </c>
      <c r="GV139" s="319" t="s">
        <v>428</v>
      </c>
      <c r="GW139" s="319" t="s">
        <v>190</v>
      </c>
      <c r="GX139" s="319" t="s">
        <v>190</v>
      </c>
      <c r="GY139" s="319" t="s">
        <v>190</v>
      </c>
      <c r="GZ139" s="319" t="s">
        <v>428</v>
      </c>
      <c r="HA139" s="319" t="s">
        <v>190</v>
      </c>
      <c r="HB139" s="319" t="s">
        <v>190</v>
      </c>
      <c r="HC139" s="319" t="s">
        <v>190</v>
      </c>
      <c r="HD139" s="319" t="s">
        <v>190</v>
      </c>
      <c r="HE139" s="319" t="s">
        <v>190</v>
      </c>
      <c r="HF139" s="319" t="s">
        <v>190</v>
      </c>
      <c r="HG139" s="319" t="s">
        <v>190</v>
      </c>
      <c r="HH139" s="319" t="s">
        <v>190</v>
      </c>
      <c r="HI139" s="319" t="s">
        <v>190</v>
      </c>
      <c r="HJ139" s="319" t="s">
        <v>190</v>
      </c>
      <c r="HK139" s="319" t="s">
        <v>190</v>
      </c>
      <c r="HL139" s="319" t="s">
        <v>428</v>
      </c>
      <c r="HM139" s="319" t="s">
        <v>428</v>
      </c>
      <c r="HN139" s="319" t="s">
        <v>428</v>
      </c>
      <c r="HO139" s="319" t="s">
        <v>428</v>
      </c>
      <c r="HP139" s="319" t="s">
        <v>190</v>
      </c>
      <c r="HQ139" s="319" t="s">
        <v>190</v>
      </c>
      <c r="HR139" s="319" t="s">
        <v>190</v>
      </c>
      <c r="HS139" s="319" t="s">
        <v>190</v>
      </c>
      <c r="HT139" s="319" t="s">
        <v>190</v>
      </c>
      <c r="HU139" s="319" t="s">
        <v>190</v>
      </c>
      <c r="HV139" s="319" t="s">
        <v>190</v>
      </c>
      <c r="HW139" s="319" t="s">
        <v>190</v>
      </c>
      <c r="HX139" s="319" t="s">
        <v>190</v>
      </c>
      <c r="HY139" s="319" t="s">
        <v>190</v>
      </c>
      <c r="HZ139" s="319" t="s">
        <v>190</v>
      </c>
      <c r="IA139" s="319" t="s">
        <v>190</v>
      </c>
      <c r="IB139" s="319" t="s">
        <v>190</v>
      </c>
      <c r="IC139" s="319" t="s">
        <v>190</v>
      </c>
      <c r="ID139" s="319" t="s">
        <v>190</v>
      </c>
      <c r="IE139" s="319" t="s">
        <v>190</v>
      </c>
      <c r="IF139" s="319" t="s">
        <v>190</v>
      </c>
      <c r="IG139" s="319" t="s">
        <v>190</v>
      </c>
      <c r="IH139" s="319" t="s">
        <v>190</v>
      </c>
      <c r="II139" s="319" t="s">
        <v>190</v>
      </c>
      <c r="IJ139" s="319">
        <v>10018438</v>
      </c>
      <c r="IK139" s="321">
        <v>42486</v>
      </c>
      <c r="IL139" s="321">
        <v>42488</v>
      </c>
      <c r="IM139" s="321">
        <v>42507</v>
      </c>
      <c r="IN139" s="319">
        <v>2</v>
      </c>
      <c r="IO139" s="319" t="s">
        <v>173</v>
      </c>
      <c r="IP139" s="319" t="s">
        <v>173</v>
      </c>
      <c r="IQ139" s="321" t="s">
        <v>173</v>
      </c>
      <c r="IR139" s="320" t="s">
        <v>173</v>
      </c>
      <c r="IS139" s="322" t="s">
        <v>173</v>
      </c>
      <c r="IT139" s="319" t="s">
        <v>173</v>
      </c>
    </row>
    <row r="140" spans="1:254" s="271" customFormat="1" x14ac:dyDescent="0.25">
      <c r="A140" s="318" t="str">
        <f>HYPERLINK("http://www.ofsted.gov.uk/inspection-reports/find-inspection-report/provider/ELS/112461 ","Ofsted School Webpage")</f>
        <v>Ofsted School Webpage</v>
      </c>
      <c r="B140" s="319">
        <v>112461</v>
      </c>
      <c r="C140" s="319">
        <v>9096044</v>
      </c>
      <c r="D140" s="319" t="s">
        <v>1403</v>
      </c>
      <c r="E140" s="319" t="s">
        <v>168</v>
      </c>
      <c r="F140" s="319" t="s">
        <v>81</v>
      </c>
      <c r="G140" s="319" t="s">
        <v>81</v>
      </c>
      <c r="H140" s="319" t="s">
        <v>81</v>
      </c>
      <c r="I140" s="319" t="s">
        <v>78</v>
      </c>
      <c r="J140" s="319" t="s">
        <v>424</v>
      </c>
      <c r="K140" s="319" t="s">
        <v>431</v>
      </c>
      <c r="L140" s="319" t="s">
        <v>431</v>
      </c>
      <c r="M140" s="319" t="s">
        <v>585</v>
      </c>
      <c r="N140" s="319" t="s">
        <v>2915</v>
      </c>
      <c r="O140" s="319" t="s">
        <v>1404</v>
      </c>
      <c r="P140" s="319">
        <v>55</v>
      </c>
      <c r="Q140" s="319" t="s">
        <v>2776</v>
      </c>
      <c r="R140" s="320">
        <v>10008938</v>
      </c>
      <c r="S140" s="321">
        <v>43109</v>
      </c>
      <c r="T140" s="321">
        <v>43111</v>
      </c>
      <c r="U140" s="321">
        <v>43146</v>
      </c>
      <c r="V140" s="319" t="s">
        <v>425</v>
      </c>
      <c r="W140" s="319" t="s">
        <v>2767</v>
      </c>
      <c r="X140" s="319">
        <v>1</v>
      </c>
      <c r="Y140" s="319" t="s">
        <v>173</v>
      </c>
      <c r="Z140" s="319" t="s">
        <v>173</v>
      </c>
      <c r="AA140" s="319" t="s">
        <v>173</v>
      </c>
      <c r="AB140" s="319">
        <v>1</v>
      </c>
      <c r="AC140" s="319" t="s">
        <v>169</v>
      </c>
      <c r="AD140" s="319" t="s">
        <v>173</v>
      </c>
      <c r="AE140" s="319">
        <v>1</v>
      </c>
      <c r="AF140" s="319" t="s">
        <v>427</v>
      </c>
      <c r="AG140" s="319" t="s">
        <v>171</v>
      </c>
      <c r="AH140" s="319" t="s">
        <v>190</v>
      </c>
      <c r="AI140" s="319" t="s">
        <v>190</v>
      </c>
      <c r="AJ140" s="319" t="s">
        <v>190</v>
      </c>
      <c r="AK140" s="319" t="s">
        <v>190</v>
      </c>
      <c r="AL140" s="319" t="s">
        <v>190</v>
      </c>
      <c r="AM140" s="319" t="s">
        <v>190</v>
      </c>
      <c r="AN140" s="319" t="s">
        <v>190</v>
      </c>
      <c r="AO140" s="319" t="s">
        <v>190</v>
      </c>
      <c r="AP140" s="319" t="s">
        <v>190</v>
      </c>
      <c r="AQ140" s="319" t="s">
        <v>190</v>
      </c>
      <c r="AR140" s="319" t="s">
        <v>190</v>
      </c>
      <c r="AS140" s="319" t="s">
        <v>190</v>
      </c>
      <c r="AT140" s="319" t="s">
        <v>190</v>
      </c>
      <c r="AU140" s="319" t="s">
        <v>190</v>
      </c>
      <c r="AV140" s="319" t="s">
        <v>190</v>
      </c>
      <c r="AW140" s="319" t="s">
        <v>190</v>
      </c>
      <c r="AX140" s="319" t="s">
        <v>428</v>
      </c>
      <c r="AY140" s="319" t="s">
        <v>190</v>
      </c>
      <c r="AZ140" s="319" t="s">
        <v>190</v>
      </c>
      <c r="BA140" s="319" t="s">
        <v>190</v>
      </c>
      <c r="BB140" s="319" t="s">
        <v>190</v>
      </c>
      <c r="BC140" s="319" t="s">
        <v>190</v>
      </c>
      <c r="BD140" s="319" t="s">
        <v>190</v>
      </c>
      <c r="BE140" s="319" t="s">
        <v>190</v>
      </c>
      <c r="BF140" s="319" t="s">
        <v>428</v>
      </c>
      <c r="BG140" s="319" t="s">
        <v>190</v>
      </c>
      <c r="BH140" s="319" t="s">
        <v>190</v>
      </c>
      <c r="BI140" s="319" t="s">
        <v>190</v>
      </c>
      <c r="BJ140" s="319" t="s">
        <v>190</v>
      </c>
      <c r="BK140" s="319" t="s">
        <v>190</v>
      </c>
      <c r="BL140" s="319" t="s">
        <v>190</v>
      </c>
      <c r="BM140" s="319" t="s">
        <v>190</v>
      </c>
      <c r="BN140" s="319" t="s">
        <v>190</v>
      </c>
      <c r="BO140" s="319" t="s">
        <v>190</v>
      </c>
      <c r="BP140" s="319" t="s">
        <v>190</v>
      </c>
      <c r="BQ140" s="319" t="s">
        <v>190</v>
      </c>
      <c r="BR140" s="319" t="s">
        <v>190</v>
      </c>
      <c r="BS140" s="319" t="s">
        <v>190</v>
      </c>
      <c r="BT140" s="319" t="s">
        <v>190</v>
      </c>
      <c r="BU140" s="319" t="s">
        <v>190</v>
      </c>
      <c r="BV140" s="319" t="s">
        <v>190</v>
      </c>
      <c r="BW140" s="319" t="s">
        <v>190</v>
      </c>
      <c r="BX140" s="319" t="s">
        <v>190</v>
      </c>
      <c r="BY140" s="319" t="s">
        <v>190</v>
      </c>
      <c r="BZ140" s="319" t="s">
        <v>190</v>
      </c>
      <c r="CA140" s="319" t="s">
        <v>190</v>
      </c>
      <c r="CB140" s="319" t="s">
        <v>190</v>
      </c>
      <c r="CC140" s="319" t="s">
        <v>190</v>
      </c>
      <c r="CD140" s="319" t="s">
        <v>190</v>
      </c>
      <c r="CE140" s="319" t="s">
        <v>190</v>
      </c>
      <c r="CF140" s="319" t="s">
        <v>190</v>
      </c>
      <c r="CG140" s="319" t="s">
        <v>190</v>
      </c>
      <c r="CH140" s="319" t="s">
        <v>190</v>
      </c>
      <c r="CI140" s="319" t="s">
        <v>190</v>
      </c>
      <c r="CJ140" s="319" t="s">
        <v>190</v>
      </c>
      <c r="CK140" s="319" t="s">
        <v>190</v>
      </c>
      <c r="CL140" s="319" t="s">
        <v>190</v>
      </c>
      <c r="CM140" s="319" t="s">
        <v>190</v>
      </c>
      <c r="CN140" s="319" t="s">
        <v>190</v>
      </c>
      <c r="CO140" s="319" t="s">
        <v>428</v>
      </c>
      <c r="CP140" s="319" t="s">
        <v>428</v>
      </c>
      <c r="CQ140" s="319" t="s">
        <v>190</v>
      </c>
      <c r="CR140" s="319" t="s">
        <v>190</v>
      </c>
      <c r="CS140" s="319" t="s">
        <v>190</v>
      </c>
      <c r="CT140" s="319" t="s">
        <v>190</v>
      </c>
      <c r="CU140" s="319" t="s">
        <v>190</v>
      </c>
      <c r="CV140" s="319" t="s">
        <v>190</v>
      </c>
      <c r="CW140" s="319" t="s">
        <v>190</v>
      </c>
      <c r="CX140" s="319" t="s">
        <v>190</v>
      </c>
      <c r="CY140" s="319" t="s">
        <v>190</v>
      </c>
      <c r="CZ140" s="319" t="s">
        <v>190</v>
      </c>
      <c r="DA140" s="319" t="s">
        <v>190</v>
      </c>
      <c r="DB140" s="319" t="s">
        <v>190</v>
      </c>
      <c r="DC140" s="319" t="s">
        <v>190</v>
      </c>
      <c r="DD140" s="319" t="s">
        <v>190</v>
      </c>
      <c r="DE140" s="319" t="s">
        <v>190</v>
      </c>
      <c r="DF140" s="319" t="s">
        <v>190</v>
      </c>
      <c r="DG140" s="319" t="s">
        <v>190</v>
      </c>
      <c r="DH140" s="319" t="s">
        <v>190</v>
      </c>
      <c r="DI140" s="319" t="s">
        <v>190</v>
      </c>
      <c r="DJ140" s="319" t="s">
        <v>190</v>
      </c>
      <c r="DK140" s="319" t="s">
        <v>190</v>
      </c>
      <c r="DL140" s="319" t="s">
        <v>190</v>
      </c>
      <c r="DM140" s="319" t="s">
        <v>190</v>
      </c>
      <c r="DN140" s="319" t="s">
        <v>190</v>
      </c>
      <c r="DO140" s="319" t="s">
        <v>190</v>
      </c>
      <c r="DP140" s="319" t="s">
        <v>190</v>
      </c>
      <c r="DQ140" s="319" t="s">
        <v>190</v>
      </c>
      <c r="DR140" s="319" t="s">
        <v>190</v>
      </c>
      <c r="DS140" s="319" t="s">
        <v>190</v>
      </c>
      <c r="DT140" s="319" t="s">
        <v>190</v>
      </c>
      <c r="DU140" s="319" t="s">
        <v>190</v>
      </c>
      <c r="DV140" s="319" t="s">
        <v>173</v>
      </c>
      <c r="DW140" s="319" t="s">
        <v>190</v>
      </c>
      <c r="DX140" s="319" t="s">
        <v>190</v>
      </c>
      <c r="DY140" s="319" t="s">
        <v>190</v>
      </c>
      <c r="DZ140" s="319" t="s">
        <v>190</v>
      </c>
      <c r="EA140" s="319" t="s">
        <v>190</v>
      </c>
      <c r="EB140" s="319" t="s">
        <v>190</v>
      </c>
      <c r="EC140" s="319" t="s">
        <v>190</v>
      </c>
      <c r="ED140" s="319" t="s">
        <v>190</v>
      </c>
      <c r="EE140" s="319" t="s">
        <v>190</v>
      </c>
      <c r="EF140" s="319" t="s">
        <v>190</v>
      </c>
      <c r="EG140" s="319" t="s">
        <v>190</v>
      </c>
      <c r="EH140" s="319" t="s">
        <v>190</v>
      </c>
      <c r="EI140" s="319" t="s">
        <v>190</v>
      </c>
      <c r="EJ140" s="319" t="s">
        <v>190</v>
      </c>
      <c r="EK140" s="319" t="s">
        <v>190</v>
      </c>
      <c r="EL140" s="319" t="s">
        <v>190</v>
      </c>
      <c r="EM140" s="319" t="s">
        <v>190</v>
      </c>
      <c r="EN140" s="319" t="s">
        <v>190</v>
      </c>
      <c r="EO140" s="319" t="s">
        <v>190</v>
      </c>
      <c r="EP140" s="319" t="s">
        <v>190</v>
      </c>
      <c r="EQ140" s="319" t="s">
        <v>190</v>
      </c>
      <c r="ER140" s="319" t="s">
        <v>190</v>
      </c>
      <c r="ES140" s="319" t="s">
        <v>190</v>
      </c>
      <c r="ET140" s="319" t="s">
        <v>190</v>
      </c>
      <c r="EU140" s="319" t="s">
        <v>190</v>
      </c>
      <c r="EV140" s="319" t="s">
        <v>190</v>
      </c>
      <c r="EW140" s="319" t="s">
        <v>190</v>
      </c>
      <c r="EX140" s="319" t="s">
        <v>190</v>
      </c>
      <c r="EY140" s="319" t="s">
        <v>190</v>
      </c>
      <c r="EZ140" s="319" t="s">
        <v>190</v>
      </c>
      <c r="FA140" s="319" t="s">
        <v>190</v>
      </c>
      <c r="FB140" s="319" t="s">
        <v>190</v>
      </c>
      <c r="FC140" s="319" t="s">
        <v>190</v>
      </c>
      <c r="FD140" s="319" t="s">
        <v>190</v>
      </c>
      <c r="FE140" s="319" t="s">
        <v>190</v>
      </c>
      <c r="FF140" s="319" t="s">
        <v>190</v>
      </c>
      <c r="FG140" s="319" t="s">
        <v>190</v>
      </c>
      <c r="FH140" s="319" t="s">
        <v>190</v>
      </c>
      <c r="FI140" s="319" t="s">
        <v>190</v>
      </c>
      <c r="FJ140" s="319" t="s">
        <v>190</v>
      </c>
      <c r="FK140" s="319" t="s">
        <v>190</v>
      </c>
      <c r="FL140" s="319" t="s">
        <v>190</v>
      </c>
      <c r="FM140" s="319" t="s">
        <v>190</v>
      </c>
      <c r="FN140" s="319" t="s">
        <v>190</v>
      </c>
      <c r="FO140" s="319" t="s">
        <v>190</v>
      </c>
      <c r="FP140" s="319" t="s">
        <v>190</v>
      </c>
      <c r="FQ140" s="319" t="s">
        <v>190</v>
      </c>
      <c r="FR140" s="319" t="s">
        <v>190</v>
      </c>
      <c r="FS140" s="319" t="s">
        <v>190</v>
      </c>
      <c r="FT140" s="319" t="s">
        <v>190</v>
      </c>
      <c r="FU140" s="319" t="s">
        <v>190</v>
      </c>
      <c r="FV140" s="319" t="s">
        <v>190</v>
      </c>
      <c r="FW140" s="319" t="s">
        <v>190</v>
      </c>
      <c r="FX140" s="319" t="s">
        <v>190</v>
      </c>
      <c r="FY140" s="319" t="s">
        <v>190</v>
      </c>
      <c r="FZ140" s="319" t="s">
        <v>190</v>
      </c>
      <c r="GA140" s="319" t="s">
        <v>190</v>
      </c>
      <c r="GB140" s="319" t="s">
        <v>190</v>
      </c>
      <c r="GC140" s="319" t="s">
        <v>190</v>
      </c>
      <c r="GD140" s="319" t="s">
        <v>190</v>
      </c>
      <c r="GE140" s="319" t="s">
        <v>190</v>
      </c>
      <c r="GF140" s="319" t="s">
        <v>190</v>
      </c>
      <c r="GG140" s="319" t="s">
        <v>190</v>
      </c>
      <c r="GH140" s="319" t="s">
        <v>190</v>
      </c>
      <c r="GI140" s="319" t="s">
        <v>190</v>
      </c>
      <c r="GJ140" s="319" t="s">
        <v>190</v>
      </c>
      <c r="GK140" s="319" t="s">
        <v>190</v>
      </c>
      <c r="GL140" s="319" t="s">
        <v>190</v>
      </c>
      <c r="GM140" s="319" t="s">
        <v>190</v>
      </c>
      <c r="GN140" s="319" t="s">
        <v>190</v>
      </c>
      <c r="GO140" s="319" t="s">
        <v>190</v>
      </c>
      <c r="GP140" s="319" t="s">
        <v>190</v>
      </c>
      <c r="GQ140" s="319" t="s">
        <v>190</v>
      </c>
      <c r="GR140" s="319" t="s">
        <v>190</v>
      </c>
      <c r="GS140" s="319" t="s">
        <v>190</v>
      </c>
      <c r="GT140" s="319" t="s">
        <v>190</v>
      </c>
      <c r="GU140" s="319" t="s">
        <v>190</v>
      </c>
      <c r="GV140" s="319" t="s">
        <v>190</v>
      </c>
      <c r="GW140" s="319" t="s">
        <v>190</v>
      </c>
      <c r="GX140" s="319" t="s">
        <v>190</v>
      </c>
      <c r="GY140" s="319" t="s">
        <v>190</v>
      </c>
      <c r="GZ140" s="319" t="s">
        <v>428</v>
      </c>
      <c r="HA140" s="319" t="s">
        <v>190</v>
      </c>
      <c r="HB140" s="319" t="s">
        <v>190</v>
      </c>
      <c r="HC140" s="319" t="s">
        <v>190</v>
      </c>
      <c r="HD140" s="319" t="s">
        <v>190</v>
      </c>
      <c r="HE140" s="319" t="s">
        <v>190</v>
      </c>
      <c r="HF140" s="319" t="s">
        <v>190</v>
      </c>
      <c r="HG140" s="319" t="s">
        <v>190</v>
      </c>
      <c r="HH140" s="319" t="s">
        <v>190</v>
      </c>
      <c r="HI140" s="319" t="s">
        <v>190</v>
      </c>
      <c r="HJ140" s="319" t="s">
        <v>190</v>
      </c>
      <c r="HK140" s="319" t="s">
        <v>190</v>
      </c>
      <c r="HL140" s="319" t="s">
        <v>190</v>
      </c>
      <c r="HM140" s="319" t="s">
        <v>190</v>
      </c>
      <c r="HN140" s="319" t="s">
        <v>190</v>
      </c>
      <c r="HO140" s="319" t="s">
        <v>190</v>
      </c>
      <c r="HP140" s="319" t="s">
        <v>190</v>
      </c>
      <c r="HQ140" s="319" t="s">
        <v>190</v>
      </c>
      <c r="HR140" s="319" t="s">
        <v>190</v>
      </c>
      <c r="HS140" s="319" t="s">
        <v>190</v>
      </c>
      <c r="HT140" s="319" t="s">
        <v>190</v>
      </c>
      <c r="HU140" s="319" t="s">
        <v>190</v>
      </c>
      <c r="HV140" s="319" t="s">
        <v>190</v>
      </c>
      <c r="HW140" s="319" t="s">
        <v>190</v>
      </c>
      <c r="HX140" s="319" t="s">
        <v>190</v>
      </c>
      <c r="HY140" s="319" t="s">
        <v>190</v>
      </c>
      <c r="HZ140" s="319" t="s">
        <v>190</v>
      </c>
      <c r="IA140" s="319" t="s">
        <v>190</v>
      </c>
      <c r="IB140" s="319" t="s">
        <v>190</v>
      </c>
      <c r="IC140" s="319" t="s">
        <v>190</v>
      </c>
      <c r="ID140" s="319" t="s">
        <v>190</v>
      </c>
      <c r="IE140" s="319" t="s">
        <v>190</v>
      </c>
      <c r="IF140" s="319" t="s">
        <v>190</v>
      </c>
      <c r="IG140" s="319" t="s">
        <v>190</v>
      </c>
      <c r="IH140" s="319" t="s">
        <v>190</v>
      </c>
      <c r="II140" s="319" t="s">
        <v>190</v>
      </c>
      <c r="IJ140" s="319" t="s">
        <v>2917</v>
      </c>
      <c r="IK140" s="321">
        <v>41093</v>
      </c>
      <c r="IL140" s="321">
        <v>41094</v>
      </c>
      <c r="IM140" s="321">
        <v>41162</v>
      </c>
      <c r="IN140" s="319">
        <v>2</v>
      </c>
      <c r="IO140" s="319" t="s">
        <v>173</v>
      </c>
      <c r="IP140" s="319" t="s">
        <v>173</v>
      </c>
      <c r="IQ140" s="321" t="s">
        <v>173</v>
      </c>
      <c r="IR140" s="320" t="s">
        <v>173</v>
      </c>
      <c r="IS140" s="322" t="s">
        <v>173</v>
      </c>
      <c r="IT140" s="319" t="s">
        <v>173</v>
      </c>
    </row>
    <row r="141" spans="1:254" s="271" customFormat="1" x14ac:dyDescent="0.25">
      <c r="A141" s="318" t="str">
        <f>HYPERLINK("http://www.ofsted.gov.uk/inspection-reports/find-inspection-report/provider/ELS/113019 ","Ofsted School Webpage")</f>
        <v>Ofsted School Webpage</v>
      </c>
      <c r="B141" s="319">
        <v>113019</v>
      </c>
      <c r="C141" s="319">
        <v>8306009</v>
      </c>
      <c r="D141" s="319" t="s">
        <v>965</v>
      </c>
      <c r="E141" s="319" t="s">
        <v>168</v>
      </c>
      <c r="F141" s="319" t="s">
        <v>81</v>
      </c>
      <c r="G141" s="319" t="s">
        <v>81</v>
      </c>
      <c r="H141" s="319" t="s">
        <v>81</v>
      </c>
      <c r="I141" s="319" t="s">
        <v>78</v>
      </c>
      <c r="J141" s="319" t="s">
        <v>424</v>
      </c>
      <c r="K141" s="319" t="s">
        <v>506</v>
      </c>
      <c r="L141" s="319" t="s">
        <v>506</v>
      </c>
      <c r="M141" s="319" t="s">
        <v>507</v>
      </c>
      <c r="N141" s="319" t="s">
        <v>2918</v>
      </c>
      <c r="O141" s="319" t="s">
        <v>966</v>
      </c>
      <c r="P141" s="319">
        <v>44</v>
      </c>
      <c r="Q141" s="319" t="s">
        <v>2776</v>
      </c>
      <c r="R141" s="320">
        <v>10078658</v>
      </c>
      <c r="S141" s="321">
        <v>43529</v>
      </c>
      <c r="T141" s="321">
        <v>43531</v>
      </c>
      <c r="U141" s="321">
        <v>43550</v>
      </c>
      <c r="V141" s="319" t="s">
        <v>425</v>
      </c>
      <c r="W141" s="319" t="s">
        <v>2767</v>
      </c>
      <c r="X141" s="319">
        <v>2</v>
      </c>
      <c r="Y141" s="319" t="s">
        <v>173</v>
      </c>
      <c r="Z141" s="319" t="s">
        <v>173</v>
      </c>
      <c r="AA141" s="319" t="s">
        <v>173</v>
      </c>
      <c r="AB141" s="319">
        <v>2</v>
      </c>
      <c r="AC141" s="319" t="s">
        <v>169</v>
      </c>
      <c r="AD141" s="319" t="s">
        <v>173</v>
      </c>
      <c r="AE141" s="319">
        <v>2</v>
      </c>
      <c r="AF141" s="319" t="s">
        <v>427</v>
      </c>
      <c r="AG141" s="319" t="s">
        <v>171</v>
      </c>
      <c r="AH141" s="319" t="s">
        <v>190</v>
      </c>
      <c r="AI141" s="319" t="s">
        <v>190</v>
      </c>
      <c r="AJ141" s="319" t="s">
        <v>190</v>
      </c>
      <c r="AK141" s="319" t="s">
        <v>190</v>
      </c>
      <c r="AL141" s="319" t="s">
        <v>190</v>
      </c>
      <c r="AM141" s="319" t="s">
        <v>190</v>
      </c>
      <c r="AN141" s="319" t="s">
        <v>190</v>
      </c>
      <c r="AO141" s="319" t="s">
        <v>190</v>
      </c>
      <c r="AP141" s="319" t="s">
        <v>190</v>
      </c>
      <c r="AQ141" s="319" t="s">
        <v>190</v>
      </c>
      <c r="AR141" s="319" t="s">
        <v>190</v>
      </c>
      <c r="AS141" s="319" t="s">
        <v>190</v>
      </c>
      <c r="AT141" s="319" t="s">
        <v>190</v>
      </c>
      <c r="AU141" s="319" t="s">
        <v>190</v>
      </c>
      <c r="AV141" s="319" t="s">
        <v>190</v>
      </c>
      <c r="AW141" s="319" t="s">
        <v>190</v>
      </c>
      <c r="AX141" s="319" t="s">
        <v>428</v>
      </c>
      <c r="AY141" s="319" t="s">
        <v>190</v>
      </c>
      <c r="AZ141" s="319" t="s">
        <v>190</v>
      </c>
      <c r="BA141" s="319" t="s">
        <v>190</v>
      </c>
      <c r="BB141" s="319" t="s">
        <v>190</v>
      </c>
      <c r="BC141" s="319" t="s">
        <v>190</v>
      </c>
      <c r="BD141" s="319" t="s">
        <v>190</v>
      </c>
      <c r="BE141" s="319" t="s">
        <v>190</v>
      </c>
      <c r="BF141" s="319" t="s">
        <v>428</v>
      </c>
      <c r="BG141" s="319" t="s">
        <v>190</v>
      </c>
      <c r="BH141" s="319" t="s">
        <v>190</v>
      </c>
      <c r="BI141" s="319" t="s">
        <v>190</v>
      </c>
      <c r="BJ141" s="319" t="s">
        <v>190</v>
      </c>
      <c r="BK141" s="319" t="s">
        <v>190</v>
      </c>
      <c r="BL141" s="319" t="s">
        <v>190</v>
      </c>
      <c r="BM141" s="319" t="s">
        <v>190</v>
      </c>
      <c r="BN141" s="319" t="s">
        <v>190</v>
      </c>
      <c r="BO141" s="319" t="s">
        <v>190</v>
      </c>
      <c r="BP141" s="319" t="s">
        <v>190</v>
      </c>
      <c r="BQ141" s="319" t="s">
        <v>190</v>
      </c>
      <c r="BR141" s="319" t="s">
        <v>190</v>
      </c>
      <c r="BS141" s="319" t="s">
        <v>190</v>
      </c>
      <c r="BT141" s="319" t="s">
        <v>190</v>
      </c>
      <c r="BU141" s="319" t="s">
        <v>190</v>
      </c>
      <c r="BV141" s="319" t="s">
        <v>190</v>
      </c>
      <c r="BW141" s="319" t="s">
        <v>190</v>
      </c>
      <c r="BX141" s="319" t="s">
        <v>190</v>
      </c>
      <c r="BY141" s="319" t="s">
        <v>190</v>
      </c>
      <c r="BZ141" s="319" t="s">
        <v>190</v>
      </c>
      <c r="CA141" s="319" t="s">
        <v>190</v>
      </c>
      <c r="CB141" s="319" t="s">
        <v>190</v>
      </c>
      <c r="CC141" s="319" t="s">
        <v>190</v>
      </c>
      <c r="CD141" s="319" t="s">
        <v>190</v>
      </c>
      <c r="CE141" s="319" t="s">
        <v>190</v>
      </c>
      <c r="CF141" s="319" t="s">
        <v>190</v>
      </c>
      <c r="CG141" s="319" t="s">
        <v>190</v>
      </c>
      <c r="CH141" s="319" t="s">
        <v>190</v>
      </c>
      <c r="CI141" s="319" t="s">
        <v>190</v>
      </c>
      <c r="CJ141" s="319" t="s">
        <v>190</v>
      </c>
      <c r="CK141" s="319" t="s">
        <v>190</v>
      </c>
      <c r="CL141" s="319" t="s">
        <v>190</v>
      </c>
      <c r="CM141" s="319" t="s">
        <v>190</v>
      </c>
      <c r="CN141" s="319" t="s">
        <v>428</v>
      </c>
      <c r="CO141" s="319" t="s">
        <v>428</v>
      </c>
      <c r="CP141" s="319" t="s">
        <v>428</v>
      </c>
      <c r="CQ141" s="319" t="s">
        <v>190</v>
      </c>
      <c r="CR141" s="319" t="s">
        <v>190</v>
      </c>
      <c r="CS141" s="319" t="s">
        <v>190</v>
      </c>
      <c r="CT141" s="319" t="s">
        <v>190</v>
      </c>
      <c r="CU141" s="319" t="s">
        <v>190</v>
      </c>
      <c r="CV141" s="319" t="s">
        <v>190</v>
      </c>
      <c r="CW141" s="319" t="s">
        <v>190</v>
      </c>
      <c r="CX141" s="319" t="s">
        <v>190</v>
      </c>
      <c r="CY141" s="319" t="s">
        <v>190</v>
      </c>
      <c r="CZ141" s="319" t="s">
        <v>190</v>
      </c>
      <c r="DA141" s="319" t="s">
        <v>190</v>
      </c>
      <c r="DB141" s="319" t="s">
        <v>190</v>
      </c>
      <c r="DC141" s="319" t="s">
        <v>190</v>
      </c>
      <c r="DD141" s="319" t="s">
        <v>190</v>
      </c>
      <c r="DE141" s="319" t="s">
        <v>190</v>
      </c>
      <c r="DF141" s="319" t="s">
        <v>190</v>
      </c>
      <c r="DG141" s="319" t="s">
        <v>190</v>
      </c>
      <c r="DH141" s="319" t="s">
        <v>190</v>
      </c>
      <c r="DI141" s="319" t="s">
        <v>190</v>
      </c>
      <c r="DJ141" s="319" t="s">
        <v>190</v>
      </c>
      <c r="DK141" s="319" t="s">
        <v>190</v>
      </c>
      <c r="DL141" s="319" t="s">
        <v>190</v>
      </c>
      <c r="DM141" s="319" t="s">
        <v>190</v>
      </c>
      <c r="DN141" s="319" t="s">
        <v>428</v>
      </c>
      <c r="DO141" s="319" t="s">
        <v>190</v>
      </c>
      <c r="DP141" s="319" t="s">
        <v>190</v>
      </c>
      <c r="DQ141" s="319" t="s">
        <v>190</v>
      </c>
      <c r="DR141" s="319" t="s">
        <v>190</v>
      </c>
      <c r="DS141" s="319" t="s">
        <v>190</v>
      </c>
      <c r="DT141" s="319" t="s">
        <v>190</v>
      </c>
      <c r="DU141" s="319" t="s">
        <v>190</v>
      </c>
      <c r="DV141" s="319" t="s">
        <v>173</v>
      </c>
      <c r="DW141" s="319" t="s">
        <v>190</v>
      </c>
      <c r="DX141" s="319" t="s">
        <v>190</v>
      </c>
      <c r="DY141" s="319" t="s">
        <v>190</v>
      </c>
      <c r="DZ141" s="319" t="s">
        <v>190</v>
      </c>
      <c r="EA141" s="319" t="s">
        <v>190</v>
      </c>
      <c r="EB141" s="319" t="s">
        <v>190</v>
      </c>
      <c r="EC141" s="319" t="s">
        <v>428</v>
      </c>
      <c r="ED141" s="319" t="s">
        <v>190</v>
      </c>
      <c r="EE141" s="319" t="s">
        <v>428</v>
      </c>
      <c r="EF141" s="319" t="s">
        <v>428</v>
      </c>
      <c r="EG141" s="319" t="s">
        <v>428</v>
      </c>
      <c r="EH141" s="319" t="s">
        <v>428</v>
      </c>
      <c r="EI141" s="319" t="s">
        <v>428</v>
      </c>
      <c r="EJ141" s="319" t="s">
        <v>428</v>
      </c>
      <c r="EK141" s="319" t="s">
        <v>428</v>
      </c>
      <c r="EL141" s="319" t="s">
        <v>428</v>
      </c>
      <c r="EM141" s="319" t="s">
        <v>428</v>
      </c>
      <c r="EN141" s="319" t="s">
        <v>190</v>
      </c>
      <c r="EO141" s="319" t="s">
        <v>190</v>
      </c>
      <c r="EP141" s="319" t="s">
        <v>190</v>
      </c>
      <c r="EQ141" s="319" t="s">
        <v>190</v>
      </c>
      <c r="ER141" s="319" t="s">
        <v>190</v>
      </c>
      <c r="ES141" s="319" t="s">
        <v>190</v>
      </c>
      <c r="ET141" s="319" t="s">
        <v>190</v>
      </c>
      <c r="EU141" s="319" t="s">
        <v>190</v>
      </c>
      <c r="EV141" s="319" t="s">
        <v>190</v>
      </c>
      <c r="EW141" s="319" t="s">
        <v>190</v>
      </c>
      <c r="EX141" s="319" t="s">
        <v>190</v>
      </c>
      <c r="EY141" s="319" t="s">
        <v>190</v>
      </c>
      <c r="EZ141" s="319" t="s">
        <v>190</v>
      </c>
      <c r="FA141" s="319" t="s">
        <v>190</v>
      </c>
      <c r="FB141" s="319" t="s">
        <v>190</v>
      </c>
      <c r="FC141" s="319" t="s">
        <v>190</v>
      </c>
      <c r="FD141" s="319" t="s">
        <v>190</v>
      </c>
      <c r="FE141" s="319" t="s">
        <v>190</v>
      </c>
      <c r="FF141" s="319" t="s">
        <v>428</v>
      </c>
      <c r="FG141" s="319" t="s">
        <v>190</v>
      </c>
      <c r="FH141" s="319" t="s">
        <v>428</v>
      </c>
      <c r="FI141" s="319" t="s">
        <v>428</v>
      </c>
      <c r="FJ141" s="319" t="s">
        <v>429</v>
      </c>
      <c r="FK141" s="319" t="s">
        <v>428</v>
      </c>
      <c r="FL141" s="319" t="s">
        <v>190</v>
      </c>
      <c r="FM141" s="319" t="s">
        <v>190</v>
      </c>
      <c r="FN141" s="319" t="s">
        <v>190</v>
      </c>
      <c r="FO141" s="319" t="s">
        <v>190</v>
      </c>
      <c r="FP141" s="319" t="s">
        <v>190</v>
      </c>
      <c r="FQ141" s="319" t="s">
        <v>190</v>
      </c>
      <c r="FR141" s="319" t="s">
        <v>190</v>
      </c>
      <c r="FS141" s="319" t="s">
        <v>428</v>
      </c>
      <c r="FT141" s="319" t="s">
        <v>428</v>
      </c>
      <c r="FU141" s="319" t="s">
        <v>190</v>
      </c>
      <c r="FV141" s="319" t="s">
        <v>190</v>
      </c>
      <c r="FW141" s="319" t="s">
        <v>190</v>
      </c>
      <c r="FX141" s="319" t="s">
        <v>190</v>
      </c>
      <c r="FY141" s="319" t="s">
        <v>190</v>
      </c>
      <c r="FZ141" s="319" t="s">
        <v>190</v>
      </c>
      <c r="GA141" s="319" t="s">
        <v>190</v>
      </c>
      <c r="GB141" s="319" t="s">
        <v>190</v>
      </c>
      <c r="GC141" s="319" t="s">
        <v>190</v>
      </c>
      <c r="GD141" s="319" t="s">
        <v>190</v>
      </c>
      <c r="GE141" s="319" t="s">
        <v>190</v>
      </c>
      <c r="GF141" s="319" t="s">
        <v>190</v>
      </c>
      <c r="GG141" s="319" t="s">
        <v>190</v>
      </c>
      <c r="GH141" s="319" t="s">
        <v>190</v>
      </c>
      <c r="GI141" s="319" t="s">
        <v>190</v>
      </c>
      <c r="GJ141" s="319" t="s">
        <v>190</v>
      </c>
      <c r="GK141" s="319" t="s">
        <v>428</v>
      </c>
      <c r="GL141" s="319" t="s">
        <v>190</v>
      </c>
      <c r="GM141" s="319" t="s">
        <v>190</v>
      </c>
      <c r="GN141" s="319" t="s">
        <v>190</v>
      </c>
      <c r="GO141" s="319" t="s">
        <v>190</v>
      </c>
      <c r="GP141" s="319" t="s">
        <v>190</v>
      </c>
      <c r="GQ141" s="319" t="s">
        <v>428</v>
      </c>
      <c r="GR141" s="319" t="s">
        <v>190</v>
      </c>
      <c r="GS141" s="319" t="s">
        <v>190</v>
      </c>
      <c r="GT141" s="319" t="s">
        <v>190</v>
      </c>
      <c r="GU141" s="319" t="s">
        <v>190</v>
      </c>
      <c r="GV141" s="319" t="s">
        <v>428</v>
      </c>
      <c r="GW141" s="319" t="s">
        <v>190</v>
      </c>
      <c r="GX141" s="319" t="s">
        <v>190</v>
      </c>
      <c r="GY141" s="319" t="s">
        <v>190</v>
      </c>
      <c r="GZ141" s="319" t="s">
        <v>190</v>
      </c>
      <c r="HA141" s="319" t="s">
        <v>428</v>
      </c>
      <c r="HB141" s="319" t="s">
        <v>428</v>
      </c>
      <c r="HC141" s="319" t="s">
        <v>190</v>
      </c>
      <c r="HD141" s="319" t="s">
        <v>190</v>
      </c>
      <c r="HE141" s="319" t="s">
        <v>190</v>
      </c>
      <c r="HF141" s="319" t="s">
        <v>190</v>
      </c>
      <c r="HG141" s="319" t="s">
        <v>190</v>
      </c>
      <c r="HH141" s="319" t="s">
        <v>190</v>
      </c>
      <c r="HI141" s="319" t="s">
        <v>190</v>
      </c>
      <c r="HJ141" s="319" t="s">
        <v>190</v>
      </c>
      <c r="HK141" s="319" t="s">
        <v>190</v>
      </c>
      <c r="HL141" s="319" t="s">
        <v>428</v>
      </c>
      <c r="HM141" s="319" t="s">
        <v>428</v>
      </c>
      <c r="HN141" s="319" t="s">
        <v>428</v>
      </c>
      <c r="HO141" s="319" t="s">
        <v>428</v>
      </c>
      <c r="HP141" s="319" t="s">
        <v>190</v>
      </c>
      <c r="HQ141" s="319" t="s">
        <v>190</v>
      </c>
      <c r="HR141" s="319" t="s">
        <v>190</v>
      </c>
      <c r="HS141" s="319" t="s">
        <v>190</v>
      </c>
      <c r="HT141" s="319" t="s">
        <v>190</v>
      </c>
      <c r="HU141" s="319" t="s">
        <v>190</v>
      </c>
      <c r="HV141" s="319" t="s">
        <v>190</v>
      </c>
      <c r="HW141" s="319" t="s">
        <v>190</v>
      </c>
      <c r="HX141" s="319" t="s">
        <v>190</v>
      </c>
      <c r="HY141" s="319" t="s">
        <v>190</v>
      </c>
      <c r="HZ141" s="319" t="s">
        <v>190</v>
      </c>
      <c r="IA141" s="319" t="s">
        <v>190</v>
      </c>
      <c r="IB141" s="319" t="s">
        <v>190</v>
      </c>
      <c r="IC141" s="319" t="s">
        <v>190</v>
      </c>
      <c r="ID141" s="319" t="s">
        <v>190</v>
      </c>
      <c r="IE141" s="319" t="s">
        <v>190</v>
      </c>
      <c r="IF141" s="319" t="s">
        <v>190</v>
      </c>
      <c r="IG141" s="319" t="s">
        <v>190</v>
      </c>
      <c r="IH141" s="319" t="s">
        <v>190</v>
      </c>
      <c r="II141" s="319" t="s">
        <v>190</v>
      </c>
      <c r="IJ141" s="319">
        <v>10012886</v>
      </c>
      <c r="IK141" s="321">
        <v>42494</v>
      </c>
      <c r="IL141" s="321">
        <v>42496</v>
      </c>
      <c r="IM141" s="321">
        <v>42538</v>
      </c>
      <c r="IN141" s="319">
        <v>2</v>
      </c>
      <c r="IO141" s="319" t="s">
        <v>173</v>
      </c>
      <c r="IP141" s="319" t="s">
        <v>173</v>
      </c>
      <c r="IQ141" s="321" t="s">
        <v>173</v>
      </c>
      <c r="IR141" s="320" t="s">
        <v>173</v>
      </c>
      <c r="IS141" s="322" t="s">
        <v>173</v>
      </c>
      <c r="IT141" s="319" t="s">
        <v>173</v>
      </c>
    </row>
    <row r="142" spans="1:254" s="271" customFormat="1" x14ac:dyDescent="0.25">
      <c r="A142" s="318" t="str">
        <f>HYPERLINK("http://www.ofsted.gov.uk/inspection-reports/find-inspection-report/provider/ELS/113021 ","Ofsted School Webpage")</f>
        <v>Ofsted School Webpage</v>
      </c>
      <c r="B142" s="319">
        <v>113021</v>
      </c>
      <c r="C142" s="319">
        <v>8306016</v>
      </c>
      <c r="D142" s="319" t="s">
        <v>1405</v>
      </c>
      <c r="E142" s="319" t="s">
        <v>168</v>
      </c>
      <c r="F142" s="319" t="s">
        <v>81</v>
      </c>
      <c r="G142" s="319" t="s">
        <v>81</v>
      </c>
      <c r="H142" s="319" t="s">
        <v>81</v>
      </c>
      <c r="I142" s="319" t="s">
        <v>78</v>
      </c>
      <c r="J142" s="319" t="s">
        <v>424</v>
      </c>
      <c r="K142" s="319" t="s">
        <v>506</v>
      </c>
      <c r="L142" s="319" t="s">
        <v>506</v>
      </c>
      <c r="M142" s="319" t="s">
        <v>507</v>
      </c>
      <c r="N142" s="319" t="s">
        <v>2919</v>
      </c>
      <c r="O142" s="319" t="s">
        <v>1406</v>
      </c>
      <c r="P142" s="319">
        <v>86</v>
      </c>
      <c r="Q142" s="319" t="s">
        <v>429</v>
      </c>
      <c r="R142" s="320">
        <v>10039178</v>
      </c>
      <c r="S142" s="321">
        <v>43291</v>
      </c>
      <c r="T142" s="321">
        <v>43293</v>
      </c>
      <c r="U142" s="321">
        <v>43355</v>
      </c>
      <c r="V142" s="319" t="s">
        <v>425</v>
      </c>
      <c r="W142" s="319" t="s">
        <v>2767</v>
      </c>
      <c r="X142" s="319">
        <v>2</v>
      </c>
      <c r="Y142" s="319" t="s">
        <v>173</v>
      </c>
      <c r="Z142" s="319" t="s">
        <v>173</v>
      </c>
      <c r="AA142" s="319" t="s">
        <v>173</v>
      </c>
      <c r="AB142" s="319">
        <v>1</v>
      </c>
      <c r="AC142" s="319" t="s">
        <v>169</v>
      </c>
      <c r="AD142" s="319" t="s">
        <v>173</v>
      </c>
      <c r="AE142" s="319">
        <v>2</v>
      </c>
      <c r="AF142" s="319" t="s">
        <v>427</v>
      </c>
      <c r="AG142" s="319" t="s">
        <v>171</v>
      </c>
      <c r="AH142" s="319" t="s">
        <v>190</v>
      </c>
      <c r="AI142" s="319" t="s">
        <v>190</v>
      </c>
      <c r="AJ142" s="319" t="s">
        <v>190</v>
      </c>
      <c r="AK142" s="319" t="s">
        <v>190</v>
      </c>
      <c r="AL142" s="319" t="s">
        <v>190</v>
      </c>
      <c r="AM142" s="319" t="s">
        <v>190</v>
      </c>
      <c r="AN142" s="319" t="s">
        <v>190</v>
      </c>
      <c r="AO142" s="319" t="s">
        <v>190</v>
      </c>
      <c r="AP142" s="319" t="s">
        <v>190</v>
      </c>
      <c r="AQ142" s="319" t="s">
        <v>190</v>
      </c>
      <c r="AR142" s="319" t="s">
        <v>190</v>
      </c>
      <c r="AS142" s="319" t="s">
        <v>190</v>
      </c>
      <c r="AT142" s="319" t="s">
        <v>190</v>
      </c>
      <c r="AU142" s="319" t="s">
        <v>190</v>
      </c>
      <c r="AV142" s="319" t="s">
        <v>190</v>
      </c>
      <c r="AW142" s="319" t="s">
        <v>190</v>
      </c>
      <c r="AX142" s="319" t="s">
        <v>428</v>
      </c>
      <c r="AY142" s="319" t="s">
        <v>190</v>
      </c>
      <c r="AZ142" s="319" t="s">
        <v>190</v>
      </c>
      <c r="BA142" s="319" t="s">
        <v>190</v>
      </c>
      <c r="BB142" s="319" t="s">
        <v>190</v>
      </c>
      <c r="BC142" s="319" t="s">
        <v>190</v>
      </c>
      <c r="BD142" s="319" t="s">
        <v>190</v>
      </c>
      <c r="BE142" s="319" t="s">
        <v>190</v>
      </c>
      <c r="BF142" s="319" t="s">
        <v>428</v>
      </c>
      <c r="BG142" s="319" t="s">
        <v>190</v>
      </c>
      <c r="BH142" s="319" t="s">
        <v>190</v>
      </c>
      <c r="BI142" s="319" t="s">
        <v>190</v>
      </c>
      <c r="BJ142" s="319" t="s">
        <v>190</v>
      </c>
      <c r="BK142" s="319" t="s">
        <v>190</v>
      </c>
      <c r="BL142" s="319" t="s">
        <v>190</v>
      </c>
      <c r="BM142" s="319" t="s">
        <v>190</v>
      </c>
      <c r="BN142" s="319" t="s">
        <v>190</v>
      </c>
      <c r="BO142" s="319" t="s">
        <v>190</v>
      </c>
      <c r="BP142" s="319" t="s">
        <v>190</v>
      </c>
      <c r="BQ142" s="319" t="s">
        <v>190</v>
      </c>
      <c r="BR142" s="319" t="s">
        <v>190</v>
      </c>
      <c r="BS142" s="319" t="s">
        <v>190</v>
      </c>
      <c r="BT142" s="319" t="s">
        <v>190</v>
      </c>
      <c r="BU142" s="319" t="s">
        <v>190</v>
      </c>
      <c r="BV142" s="319" t="s">
        <v>190</v>
      </c>
      <c r="BW142" s="319" t="s">
        <v>190</v>
      </c>
      <c r="BX142" s="319" t="s">
        <v>190</v>
      </c>
      <c r="BY142" s="319" t="s">
        <v>190</v>
      </c>
      <c r="BZ142" s="319" t="s">
        <v>190</v>
      </c>
      <c r="CA142" s="319" t="s">
        <v>190</v>
      </c>
      <c r="CB142" s="319" t="s">
        <v>190</v>
      </c>
      <c r="CC142" s="319" t="s">
        <v>190</v>
      </c>
      <c r="CD142" s="319" t="s">
        <v>190</v>
      </c>
      <c r="CE142" s="319" t="s">
        <v>190</v>
      </c>
      <c r="CF142" s="319" t="s">
        <v>190</v>
      </c>
      <c r="CG142" s="319" t="s">
        <v>190</v>
      </c>
      <c r="CH142" s="319" t="s">
        <v>190</v>
      </c>
      <c r="CI142" s="319" t="s">
        <v>190</v>
      </c>
      <c r="CJ142" s="319" t="s">
        <v>190</v>
      </c>
      <c r="CK142" s="319" t="s">
        <v>190</v>
      </c>
      <c r="CL142" s="319" t="s">
        <v>190</v>
      </c>
      <c r="CM142" s="319" t="s">
        <v>190</v>
      </c>
      <c r="CN142" s="319" t="s">
        <v>428</v>
      </c>
      <c r="CO142" s="319" t="s">
        <v>428</v>
      </c>
      <c r="CP142" s="319" t="s">
        <v>428</v>
      </c>
      <c r="CQ142" s="319" t="s">
        <v>190</v>
      </c>
      <c r="CR142" s="319" t="s">
        <v>190</v>
      </c>
      <c r="CS142" s="319" t="s">
        <v>190</v>
      </c>
      <c r="CT142" s="319" t="s">
        <v>190</v>
      </c>
      <c r="CU142" s="319" t="s">
        <v>190</v>
      </c>
      <c r="CV142" s="319" t="s">
        <v>190</v>
      </c>
      <c r="CW142" s="319" t="s">
        <v>190</v>
      </c>
      <c r="CX142" s="319" t="s">
        <v>190</v>
      </c>
      <c r="CY142" s="319" t="s">
        <v>190</v>
      </c>
      <c r="CZ142" s="319" t="s">
        <v>190</v>
      </c>
      <c r="DA142" s="319" t="s">
        <v>190</v>
      </c>
      <c r="DB142" s="319" t="s">
        <v>190</v>
      </c>
      <c r="DC142" s="319" t="s">
        <v>190</v>
      </c>
      <c r="DD142" s="319" t="s">
        <v>190</v>
      </c>
      <c r="DE142" s="319" t="s">
        <v>190</v>
      </c>
      <c r="DF142" s="319" t="s">
        <v>190</v>
      </c>
      <c r="DG142" s="319" t="s">
        <v>190</v>
      </c>
      <c r="DH142" s="319" t="s">
        <v>190</v>
      </c>
      <c r="DI142" s="319" t="s">
        <v>190</v>
      </c>
      <c r="DJ142" s="319" t="s">
        <v>190</v>
      </c>
      <c r="DK142" s="319" t="s">
        <v>190</v>
      </c>
      <c r="DL142" s="319" t="s">
        <v>190</v>
      </c>
      <c r="DM142" s="319" t="s">
        <v>190</v>
      </c>
      <c r="DN142" s="319" t="s">
        <v>428</v>
      </c>
      <c r="DO142" s="319" t="s">
        <v>190</v>
      </c>
      <c r="DP142" s="319" t="s">
        <v>190</v>
      </c>
      <c r="DQ142" s="319" t="s">
        <v>190</v>
      </c>
      <c r="DR142" s="319" t="s">
        <v>190</v>
      </c>
      <c r="DS142" s="319" t="s">
        <v>190</v>
      </c>
      <c r="DT142" s="319" t="s">
        <v>190</v>
      </c>
      <c r="DU142" s="319" t="s">
        <v>190</v>
      </c>
      <c r="DV142" s="319" t="s">
        <v>173</v>
      </c>
      <c r="DW142" s="319" t="s">
        <v>190</v>
      </c>
      <c r="DX142" s="319" t="s">
        <v>190</v>
      </c>
      <c r="DY142" s="319" t="s">
        <v>190</v>
      </c>
      <c r="DZ142" s="319" t="s">
        <v>190</v>
      </c>
      <c r="EA142" s="319" t="s">
        <v>190</v>
      </c>
      <c r="EB142" s="319" t="s">
        <v>190</v>
      </c>
      <c r="EC142" s="319" t="s">
        <v>428</v>
      </c>
      <c r="ED142" s="319" t="s">
        <v>190</v>
      </c>
      <c r="EE142" s="319" t="s">
        <v>428</v>
      </c>
      <c r="EF142" s="319" t="s">
        <v>428</v>
      </c>
      <c r="EG142" s="319" t="s">
        <v>428</v>
      </c>
      <c r="EH142" s="319" t="s">
        <v>428</v>
      </c>
      <c r="EI142" s="319" t="s">
        <v>428</v>
      </c>
      <c r="EJ142" s="319" t="s">
        <v>428</v>
      </c>
      <c r="EK142" s="319" t="s">
        <v>428</v>
      </c>
      <c r="EL142" s="319" t="s">
        <v>428</v>
      </c>
      <c r="EM142" s="319" t="s">
        <v>428</v>
      </c>
      <c r="EN142" s="319" t="s">
        <v>190</v>
      </c>
      <c r="EO142" s="319" t="s">
        <v>190</v>
      </c>
      <c r="EP142" s="319" t="s">
        <v>190</v>
      </c>
      <c r="EQ142" s="319" t="s">
        <v>190</v>
      </c>
      <c r="ER142" s="319" t="s">
        <v>190</v>
      </c>
      <c r="ES142" s="319" t="s">
        <v>190</v>
      </c>
      <c r="ET142" s="319" t="s">
        <v>190</v>
      </c>
      <c r="EU142" s="319" t="s">
        <v>190</v>
      </c>
      <c r="EV142" s="319" t="s">
        <v>190</v>
      </c>
      <c r="EW142" s="319" t="s">
        <v>190</v>
      </c>
      <c r="EX142" s="319" t="s">
        <v>190</v>
      </c>
      <c r="EY142" s="319" t="s">
        <v>190</v>
      </c>
      <c r="EZ142" s="319" t="s">
        <v>190</v>
      </c>
      <c r="FA142" s="319" t="s">
        <v>190</v>
      </c>
      <c r="FB142" s="319" t="s">
        <v>190</v>
      </c>
      <c r="FC142" s="319" t="s">
        <v>190</v>
      </c>
      <c r="FD142" s="319" t="s">
        <v>190</v>
      </c>
      <c r="FE142" s="319" t="s">
        <v>190</v>
      </c>
      <c r="FF142" s="319" t="s">
        <v>428</v>
      </c>
      <c r="FG142" s="319" t="s">
        <v>190</v>
      </c>
      <c r="FH142" s="319" t="s">
        <v>428</v>
      </c>
      <c r="FI142" s="319" t="s">
        <v>428</v>
      </c>
      <c r="FJ142" s="319" t="s">
        <v>429</v>
      </c>
      <c r="FK142" s="319" t="s">
        <v>428</v>
      </c>
      <c r="FL142" s="319" t="s">
        <v>190</v>
      </c>
      <c r="FM142" s="319" t="s">
        <v>190</v>
      </c>
      <c r="FN142" s="319" t="s">
        <v>190</v>
      </c>
      <c r="FO142" s="319" t="s">
        <v>190</v>
      </c>
      <c r="FP142" s="319" t="s">
        <v>190</v>
      </c>
      <c r="FQ142" s="319" t="s">
        <v>190</v>
      </c>
      <c r="FR142" s="319" t="s">
        <v>190</v>
      </c>
      <c r="FS142" s="319" t="s">
        <v>428</v>
      </c>
      <c r="FT142" s="319" t="s">
        <v>428</v>
      </c>
      <c r="FU142" s="319" t="s">
        <v>190</v>
      </c>
      <c r="FV142" s="319" t="s">
        <v>190</v>
      </c>
      <c r="FW142" s="319" t="s">
        <v>190</v>
      </c>
      <c r="FX142" s="319" t="s">
        <v>190</v>
      </c>
      <c r="FY142" s="319" t="s">
        <v>190</v>
      </c>
      <c r="FZ142" s="319" t="s">
        <v>190</v>
      </c>
      <c r="GA142" s="319" t="s">
        <v>190</v>
      </c>
      <c r="GB142" s="319" t="s">
        <v>190</v>
      </c>
      <c r="GC142" s="319" t="s">
        <v>190</v>
      </c>
      <c r="GD142" s="319" t="s">
        <v>190</v>
      </c>
      <c r="GE142" s="319" t="s">
        <v>190</v>
      </c>
      <c r="GF142" s="319" t="s">
        <v>190</v>
      </c>
      <c r="GG142" s="319" t="s">
        <v>190</v>
      </c>
      <c r="GH142" s="319" t="s">
        <v>190</v>
      </c>
      <c r="GI142" s="319" t="s">
        <v>190</v>
      </c>
      <c r="GJ142" s="319" t="s">
        <v>190</v>
      </c>
      <c r="GK142" s="319" t="s">
        <v>428</v>
      </c>
      <c r="GL142" s="319" t="s">
        <v>190</v>
      </c>
      <c r="GM142" s="319" t="s">
        <v>190</v>
      </c>
      <c r="GN142" s="319" t="s">
        <v>190</v>
      </c>
      <c r="GO142" s="319" t="s">
        <v>190</v>
      </c>
      <c r="GP142" s="319" t="s">
        <v>190</v>
      </c>
      <c r="GQ142" s="319" t="s">
        <v>428</v>
      </c>
      <c r="GR142" s="319" t="s">
        <v>190</v>
      </c>
      <c r="GS142" s="319" t="s">
        <v>190</v>
      </c>
      <c r="GT142" s="319" t="s">
        <v>190</v>
      </c>
      <c r="GU142" s="319" t="s">
        <v>190</v>
      </c>
      <c r="GV142" s="319" t="s">
        <v>428</v>
      </c>
      <c r="GW142" s="319" t="s">
        <v>190</v>
      </c>
      <c r="GX142" s="319" t="s">
        <v>190</v>
      </c>
      <c r="GY142" s="319" t="s">
        <v>190</v>
      </c>
      <c r="GZ142" s="319" t="s">
        <v>190</v>
      </c>
      <c r="HA142" s="319" t="s">
        <v>428</v>
      </c>
      <c r="HB142" s="319" t="s">
        <v>428</v>
      </c>
      <c r="HC142" s="319" t="s">
        <v>190</v>
      </c>
      <c r="HD142" s="319" t="s">
        <v>190</v>
      </c>
      <c r="HE142" s="319" t="s">
        <v>190</v>
      </c>
      <c r="HF142" s="319" t="s">
        <v>190</v>
      </c>
      <c r="HG142" s="319" t="s">
        <v>190</v>
      </c>
      <c r="HH142" s="319" t="s">
        <v>190</v>
      </c>
      <c r="HI142" s="319" t="s">
        <v>190</v>
      </c>
      <c r="HJ142" s="319" t="s">
        <v>190</v>
      </c>
      <c r="HK142" s="319" t="s">
        <v>190</v>
      </c>
      <c r="HL142" s="319" t="s">
        <v>428</v>
      </c>
      <c r="HM142" s="319" t="s">
        <v>428</v>
      </c>
      <c r="HN142" s="319" t="s">
        <v>428</v>
      </c>
      <c r="HO142" s="319" t="s">
        <v>428</v>
      </c>
      <c r="HP142" s="319" t="s">
        <v>190</v>
      </c>
      <c r="HQ142" s="319" t="s">
        <v>190</v>
      </c>
      <c r="HR142" s="319" t="s">
        <v>190</v>
      </c>
      <c r="HS142" s="319" t="s">
        <v>190</v>
      </c>
      <c r="HT142" s="319" t="s">
        <v>190</v>
      </c>
      <c r="HU142" s="319" t="s">
        <v>190</v>
      </c>
      <c r="HV142" s="319" t="s">
        <v>190</v>
      </c>
      <c r="HW142" s="319" t="s">
        <v>190</v>
      </c>
      <c r="HX142" s="319" t="s">
        <v>190</v>
      </c>
      <c r="HY142" s="319" t="s">
        <v>190</v>
      </c>
      <c r="HZ142" s="319" t="s">
        <v>190</v>
      </c>
      <c r="IA142" s="319" t="s">
        <v>190</v>
      </c>
      <c r="IB142" s="319" t="s">
        <v>190</v>
      </c>
      <c r="IC142" s="319" t="s">
        <v>190</v>
      </c>
      <c r="ID142" s="319" t="s">
        <v>190</v>
      </c>
      <c r="IE142" s="319" t="s">
        <v>190</v>
      </c>
      <c r="IF142" s="319" t="s">
        <v>190</v>
      </c>
      <c r="IG142" s="319" t="s">
        <v>190</v>
      </c>
      <c r="IH142" s="319" t="s">
        <v>190</v>
      </c>
      <c r="II142" s="319" t="s">
        <v>190</v>
      </c>
      <c r="IJ142" s="319" t="s">
        <v>2920</v>
      </c>
      <c r="IK142" s="321">
        <v>41821</v>
      </c>
      <c r="IL142" s="321">
        <v>41898</v>
      </c>
      <c r="IM142" s="321">
        <v>41957</v>
      </c>
      <c r="IN142" s="319">
        <v>2</v>
      </c>
      <c r="IO142" s="319" t="s">
        <v>173</v>
      </c>
      <c r="IP142" s="319" t="s">
        <v>173</v>
      </c>
      <c r="IQ142" s="319" t="s">
        <v>173</v>
      </c>
      <c r="IR142" s="320" t="s">
        <v>173</v>
      </c>
      <c r="IS142" s="320" t="s">
        <v>173</v>
      </c>
      <c r="IT142" s="319" t="s">
        <v>173</v>
      </c>
    </row>
    <row r="143" spans="1:254" s="271" customFormat="1" x14ac:dyDescent="0.25">
      <c r="A143" s="318" t="str">
        <f>HYPERLINK("http://www.ofsted.gov.uk/inspection-reports/find-inspection-report/provider/ELS/113023 ","Ofsted School Webpage")</f>
        <v>Ofsted School Webpage</v>
      </c>
      <c r="B143" s="319">
        <v>113023</v>
      </c>
      <c r="C143" s="319">
        <v>8306020</v>
      </c>
      <c r="D143" s="319" t="s">
        <v>1407</v>
      </c>
      <c r="E143" s="319" t="s">
        <v>167</v>
      </c>
      <c r="F143" s="319" t="s">
        <v>81</v>
      </c>
      <c r="G143" s="319" t="s">
        <v>81</v>
      </c>
      <c r="H143" s="319" t="s">
        <v>81</v>
      </c>
      <c r="I143" s="319" t="s">
        <v>78</v>
      </c>
      <c r="J143" s="319" t="s">
        <v>424</v>
      </c>
      <c r="K143" s="319" t="s">
        <v>506</v>
      </c>
      <c r="L143" s="319" t="s">
        <v>506</v>
      </c>
      <c r="M143" s="319" t="s">
        <v>507</v>
      </c>
      <c r="N143" s="319" t="s">
        <v>2918</v>
      </c>
      <c r="O143" s="319" t="s">
        <v>1408</v>
      </c>
      <c r="P143" s="319">
        <v>25</v>
      </c>
      <c r="Q143" s="319" t="s">
        <v>2766</v>
      </c>
      <c r="R143" s="320">
        <v>10078661</v>
      </c>
      <c r="S143" s="321">
        <v>43641</v>
      </c>
      <c r="T143" s="321">
        <v>43643</v>
      </c>
      <c r="U143" s="321">
        <v>43663</v>
      </c>
      <c r="V143" s="319" t="s">
        <v>425</v>
      </c>
      <c r="W143" s="319" t="s">
        <v>2767</v>
      </c>
      <c r="X143" s="319">
        <v>2</v>
      </c>
      <c r="Y143" s="319" t="s">
        <v>173</v>
      </c>
      <c r="Z143" s="319" t="s">
        <v>173</v>
      </c>
      <c r="AA143" s="319" t="s">
        <v>173</v>
      </c>
      <c r="AB143" s="319">
        <v>2</v>
      </c>
      <c r="AC143" s="319" t="s">
        <v>169</v>
      </c>
      <c r="AD143" s="319">
        <v>2</v>
      </c>
      <c r="AE143" s="319" t="s">
        <v>173</v>
      </c>
      <c r="AF143" s="319" t="s">
        <v>427</v>
      </c>
      <c r="AG143" s="319" t="s">
        <v>171</v>
      </c>
      <c r="AH143" s="319" t="s">
        <v>190</v>
      </c>
      <c r="AI143" s="319" t="s">
        <v>190</v>
      </c>
      <c r="AJ143" s="319" t="s">
        <v>190</v>
      </c>
      <c r="AK143" s="319" t="s">
        <v>190</v>
      </c>
      <c r="AL143" s="319" t="s">
        <v>190</v>
      </c>
      <c r="AM143" s="319" t="s">
        <v>190</v>
      </c>
      <c r="AN143" s="319" t="s">
        <v>190</v>
      </c>
      <c r="AO143" s="319" t="s">
        <v>190</v>
      </c>
      <c r="AP143" s="319" t="s">
        <v>190</v>
      </c>
      <c r="AQ143" s="319" t="s">
        <v>190</v>
      </c>
      <c r="AR143" s="319" t="s">
        <v>190</v>
      </c>
      <c r="AS143" s="319" t="s">
        <v>190</v>
      </c>
      <c r="AT143" s="319" t="s">
        <v>190</v>
      </c>
      <c r="AU143" s="319" t="s">
        <v>190</v>
      </c>
      <c r="AV143" s="319" t="s">
        <v>190</v>
      </c>
      <c r="AW143" s="319" t="s">
        <v>190</v>
      </c>
      <c r="AX143" s="319" t="s">
        <v>428</v>
      </c>
      <c r="AY143" s="319" t="s">
        <v>190</v>
      </c>
      <c r="AZ143" s="319" t="s">
        <v>190</v>
      </c>
      <c r="BA143" s="319" t="s">
        <v>190</v>
      </c>
      <c r="BB143" s="319" t="s">
        <v>428</v>
      </c>
      <c r="BC143" s="319" t="s">
        <v>428</v>
      </c>
      <c r="BD143" s="319" t="s">
        <v>428</v>
      </c>
      <c r="BE143" s="319" t="s">
        <v>428</v>
      </c>
      <c r="BF143" s="319" t="s">
        <v>190</v>
      </c>
      <c r="BG143" s="319" t="s">
        <v>428</v>
      </c>
      <c r="BH143" s="319" t="s">
        <v>190</v>
      </c>
      <c r="BI143" s="319" t="s">
        <v>190</v>
      </c>
      <c r="BJ143" s="319" t="s">
        <v>190</v>
      </c>
      <c r="BK143" s="319" t="s">
        <v>190</v>
      </c>
      <c r="BL143" s="319" t="s">
        <v>190</v>
      </c>
      <c r="BM143" s="319" t="s">
        <v>190</v>
      </c>
      <c r="BN143" s="319" t="s">
        <v>190</v>
      </c>
      <c r="BO143" s="319" t="s">
        <v>190</v>
      </c>
      <c r="BP143" s="319" t="s">
        <v>190</v>
      </c>
      <c r="BQ143" s="319" t="s">
        <v>190</v>
      </c>
      <c r="BR143" s="319" t="s">
        <v>190</v>
      </c>
      <c r="BS143" s="319" t="s">
        <v>190</v>
      </c>
      <c r="BT143" s="319" t="s">
        <v>190</v>
      </c>
      <c r="BU143" s="319" t="s">
        <v>190</v>
      </c>
      <c r="BV143" s="319" t="s">
        <v>190</v>
      </c>
      <c r="BW143" s="319" t="s">
        <v>190</v>
      </c>
      <c r="BX143" s="319" t="s">
        <v>190</v>
      </c>
      <c r="BY143" s="319" t="s">
        <v>190</v>
      </c>
      <c r="BZ143" s="319" t="s">
        <v>190</v>
      </c>
      <c r="CA143" s="319" t="s">
        <v>190</v>
      </c>
      <c r="CB143" s="319" t="s">
        <v>190</v>
      </c>
      <c r="CC143" s="319" t="s">
        <v>190</v>
      </c>
      <c r="CD143" s="319" t="s">
        <v>190</v>
      </c>
      <c r="CE143" s="319" t="s">
        <v>190</v>
      </c>
      <c r="CF143" s="319" t="s">
        <v>190</v>
      </c>
      <c r="CG143" s="319" t="s">
        <v>190</v>
      </c>
      <c r="CH143" s="319" t="s">
        <v>190</v>
      </c>
      <c r="CI143" s="319" t="s">
        <v>190</v>
      </c>
      <c r="CJ143" s="319" t="s">
        <v>190</v>
      </c>
      <c r="CK143" s="319" t="s">
        <v>190</v>
      </c>
      <c r="CL143" s="319" t="s">
        <v>190</v>
      </c>
      <c r="CM143" s="319" t="s">
        <v>190</v>
      </c>
      <c r="CN143" s="319" t="s">
        <v>428</v>
      </c>
      <c r="CO143" s="319" t="s">
        <v>428</v>
      </c>
      <c r="CP143" s="319" t="s">
        <v>428</v>
      </c>
      <c r="CQ143" s="319" t="s">
        <v>190</v>
      </c>
      <c r="CR143" s="319" t="s">
        <v>190</v>
      </c>
      <c r="CS143" s="319" t="s">
        <v>190</v>
      </c>
      <c r="CT143" s="319" t="s">
        <v>190</v>
      </c>
      <c r="CU143" s="319" t="s">
        <v>190</v>
      </c>
      <c r="CV143" s="319" t="s">
        <v>190</v>
      </c>
      <c r="CW143" s="319" t="s">
        <v>190</v>
      </c>
      <c r="CX143" s="319" t="s">
        <v>190</v>
      </c>
      <c r="CY143" s="319" t="s">
        <v>190</v>
      </c>
      <c r="CZ143" s="319" t="s">
        <v>190</v>
      </c>
      <c r="DA143" s="319" t="s">
        <v>190</v>
      </c>
      <c r="DB143" s="319" t="s">
        <v>190</v>
      </c>
      <c r="DC143" s="319" t="s">
        <v>190</v>
      </c>
      <c r="DD143" s="319" t="s">
        <v>190</v>
      </c>
      <c r="DE143" s="319" t="s">
        <v>190</v>
      </c>
      <c r="DF143" s="319" t="s">
        <v>190</v>
      </c>
      <c r="DG143" s="319" t="s">
        <v>190</v>
      </c>
      <c r="DH143" s="319" t="s">
        <v>190</v>
      </c>
      <c r="DI143" s="319" t="s">
        <v>190</v>
      </c>
      <c r="DJ143" s="319" t="s">
        <v>190</v>
      </c>
      <c r="DK143" s="319" t="s">
        <v>190</v>
      </c>
      <c r="DL143" s="319" t="s">
        <v>190</v>
      </c>
      <c r="DM143" s="319" t="s">
        <v>190</v>
      </c>
      <c r="DN143" s="319" t="s">
        <v>428</v>
      </c>
      <c r="DO143" s="319" t="s">
        <v>190</v>
      </c>
      <c r="DP143" s="319" t="s">
        <v>428</v>
      </c>
      <c r="DQ143" s="319" t="s">
        <v>428</v>
      </c>
      <c r="DR143" s="319" t="s">
        <v>428</v>
      </c>
      <c r="DS143" s="319" t="s">
        <v>428</v>
      </c>
      <c r="DT143" s="319" t="s">
        <v>428</v>
      </c>
      <c r="DU143" s="319" t="s">
        <v>428</v>
      </c>
      <c r="DV143" s="319" t="s">
        <v>173</v>
      </c>
      <c r="DW143" s="319" t="s">
        <v>428</v>
      </c>
      <c r="DX143" s="319" t="s">
        <v>428</v>
      </c>
      <c r="DY143" s="319" t="s">
        <v>428</v>
      </c>
      <c r="DZ143" s="319" t="s">
        <v>428</v>
      </c>
      <c r="EA143" s="319" t="s">
        <v>428</v>
      </c>
      <c r="EB143" s="319" t="s">
        <v>428</v>
      </c>
      <c r="EC143" s="319" t="s">
        <v>428</v>
      </c>
      <c r="ED143" s="319" t="s">
        <v>428</v>
      </c>
      <c r="EE143" s="319" t="s">
        <v>190</v>
      </c>
      <c r="EF143" s="319" t="s">
        <v>190</v>
      </c>
      <c r="EG143" s="319" t="s">
        <v>190</v>
      </c>
      <c r="EH143" s="319" t="s">
        <v>190</v>
      </c>
      <c r="EI143" s="319" t="s">
        <v>190</v>
      </c>
      <c r="EJ143" s="319" t="s">
        <v>190</v>
      </c>
      <c r="EK143" s="319" t="s">
        <v>190</v>
      </c>
      <c r="EL143" s="319" t="s">
        <v>190</v>
      </c>
      <c r="EM143" s="319" t="s">
        <v>190</v>
      </c>
      <c r="EN143" s="319" t="s">
        <v>190</v>
      </c>
      <c r="EO143" s="319" t="s">
        <v>190</v>
      </c>
      <c r="EP143" s="319" t="s">
        <v>190</v>
      </c>
      <c r="EQ143" s="319" t="s">
        <v>190</v>
      </c>
      <c r="ER143" s="319" t="s">
        <v>190</v>
      </c>
      <c r="ES143" s="319" t="s">
        <v>190</v>
      </c>
      <c r="ET143" s="319" t="s">
        <v>190</v>
      </c>
      <c r="EU143" s="319" t="s">
        <v>190</v>
      </c>
      <c r="EV143" s="319" t="s">
        <v>190</v>
      </c>
      <c r="EW143" s="319" t="s">
        <v>190</v>
      </c>
      <c r="EX143" s="319" t="s">
        <v>190</v>
      </c>
      <c r="EY143" s="319" t="s">
        <v>190</v>
      </c>
      <c r="EZ143" s="319" t="s">
        <v>190</v>
      </c>
      <c r="FA143" s="319" t="s">
        <v>428</v>
      </c>
      <c r="FB143" s="319" t="s">
        <v>428</v>
      </c>
      <c r="FC143" s="319" t="s">
        <v>428</v>
      </c>
      <c r="FD143" s="319" t="s">
        <v>428</v>
      </c>
      <c r="FE143" s="319" t="s">
        <v>428</v>
      </c>
      <c r="FF143" s="319" t="s">
        <v>428</v>
      </c>
      <c r="FG143" s="319" t="s">
        <v>428</v>
      </c>
      <c r="FH143" s="319" t="s">
        <v>190</v>
      </c>
      <c r="FI143" s="319" t="s">
        <v>428</v>
      </c>
      <c r="FJ143" s="319" t="s">
        <v>190</v>
      </c>
      <c r="FK143" s="319" t="s">
        <v>190</v>
      </c>
      <c r="FL143" s="319" t="s">
        <v>190</v>
      </c>
      <c r="FM143" s="319" t="s">
        <v>190</v>
      </c>
      <c r="FN143" s="319" t="s">
        <v>190</v>
      </c>
      <c r="FO143" s="319" t="s">
        <v>428</v>
      </c>
      <c r="FP143" s="319" t="s">
        <v>190</v>
      </c>
      <c r="FQ143" s="319" t="s">
        <v>190</v>
      </c>
      <c r="FR143" s="319" t="s">
        <v>190</v>
      </c>
      <c r="FS143" s="319" t="s">
        <v>428</v>
      </c>
      <c r="FT143" s="319" t="s">
        <v>190</v>
      </c>
      <c r="FU143" s="319" t="s">
        <v>190</v>
      </c>
      <c r="FV143" s="319" t="s">
        <v>190</v>
      </c>
      <c r="FW143" s="319" t="s">
        <v>190</v>
      </c>
      <c r="FX143" s="319" t="s">
        <v>190</v>
      </c>
      <c r="FY143" s="319" t="s">
        <v>190</v>
      </c>
      <c r="FZ143" s="319" t="s">
        <v>190</v>
      </c>
      <c r="GA143" s="319" t="s">
        <v>190</v>
      </c>
      <c r="GB143" s="319" t="s">
        <v>190</v>
      </c>
      <c r="GC143" s="319" t="s">
        <v>190</v>
      </c>
      <c r="GD143" s="319" t="s">
        <v>190</v>
      </c>
      <c r="GE143" s="319" t="s">
        <v>190</v>
      </c>
      <c r="GF143" s="319" t="s">
        <v>190</v>
      </c>
      <c r="GG143" s="319" t="s">
        <v>190</v>
      </c>
      <c r="GH143" s="319" t="s">
        <v>190</v>
      </c>
      <c r="GI143" s="319" t="s">
        <v>190</v>
      </c>
      <c r="GJ143" s="319" t="s">
        <v>190</v>
      </c>
      <c r="GK143" s="319" t="s">
        <v>428</v>
      </c>
      <c r="GL143" s="319" t="s">
        <v>190</v>
      </c>
      <c r="GM143" s="319" t="s">
        <v>190</v>
      </c>
      <c r="GN143" s="319" t="s">
        <v>190</v>
      </c>
      <c r="GO143" s="319" t="s">
        <v>190</v>
      </c>
      <c r="GP143" s="319" t="s">
        <v>190</v>
      </c>
      <c r="GQ143" s="319" t="s">
        <v>428</v>
      </c>
      <c r="GR143" s="319" t="s">
        <v>190</v>
      </c>
      <c r="GS143" s="319" t="s">
        <v>190</v>
      </c>
      <c r="GT143" s="319" t="s">
        <v>428</v>
      </c>
      <c r="GU143" s="319" t="s">
        <v>428</v>
      </c>
      <c r="GV143" s="319" t="s">
        <v>190</v>
      </c>
      <c r="GW143" s="319" t="s">
        <v>190</v>
      </c>
      <c r="GX143" s="319" t="s">
        <v>190</v>
      </c>
      <c r="GY143" s="319" t="s">
        <v>190</v>
      </c>
      <c r="GZ143" s="319" t="s">
        <v>190</v>
      </c>
      <c r="HA143" s="319" t="s">
        <v>190</v>
      </c>
      <c r="HB143" s="319" t="s">
        <v>190</v>
      </c>
      <c r="HC143" s="319" t="s">
        <v>190</v>
      </c>
      <c r="HD143" s="319" t="s">
        <v>190</v>
      </c>
      <c r="HE143" s="319" t="s">
        <v>190</v>
      </c>
      <c r="HF143" s="319" t="s">
        <v>190</v>
      </c>
      <c r="HG143" s="319" t="s">
        <v>190</v>
      </c>
      <c r="HH143" s="319" t="s">
        <v>190</v>
      </c>
      <c r="HI143" s="319" t="s">
        <v>190</v>
      </c>
      <c r="HJ143" s="319" t="s">
        <v>190</v>
      </c>
      <c r="HK143" s="319" t="s">
        <v>190</v>
      </c>
      <c r="HL143" s="319" t="s">
        <v>190</v>
      </c>
      <c r="HM143" s="319" t="s">
        <v>190</v>
      </c>
      <c r="HN143" s="319" t="s">
        <v>190</v>
      </c>
      <c r="HO143" s="319" t="s">
        <v>190</v>
      </c>
      <c r="HP143" s="319" t="s">
        <v>190</v>
      </c>
      <c r="HQ143" s="319" t="s">
        <v>190</v>
      </c>
      <c r="HR143" s="319" t="s">
        <v>190</v>
      </c>
      <c r="HS143" s="319" t="s">
        <v>190</v>
      </c>
      <c r="HT143" s="319" t="s">
        <v>190</v>
      </c>
      <c r="HU143" s="319" t="s">
        <v>190</v>
      </c>
      <c r="HV143" s="319" t="s">
        <v>190</v>
      </c>
      <c r="HW143" s="319" t="s">
        <v>190</v>
      </c>
      <c r="HX143" s="319" t="s">
        <v>190</v>
      </c>
      <c r="HY143" s="319" t="s">
        <v>190</v>
      </c>
      <c r="HZ143" s="319" t="s">
        <v>190</v>
      </c>
      <c r="IA143" s="319" t="s">
        <v>190</v>
      </c>
      <c r="IB143" s="319" t="s">
        <v>190</v>
      </c>
      <c r="IC143" s="319" t="s">
        <v>190</v>
      </c>
      <c r="ID143" s="319" t="s">
        <v>190</v>
      </c>
      <c r="IE143" s="319" t="s">
        <v>190</v>
      </c>
      <c r="IF143" s="319" t="s">
        <v>190</v>
      </c>
      <c r="IG143" s="319" t="s">
        <v>190</v>
      </c>
      <c r="IH143" s="319" t="s">
        <v>190</v>
      </c>
      <c r="II143" s="319" t="s">
        <v>190</v>
      </c>
      <c r="IJ143" s="319">
        <v>10026044</v>
      </c>
      <c r="IK143" s="321">
        <v>42893</v>
      </c>
      <c r="IL143" s="321">
        <v>42895</v>
      </c>
      <c r="IM143" s="321">
        <v>42992</v>
      </c>
      <c r="IN143" s="319">
        <v>4</v>
      </c>
      <c r="IO143" s="319" t="s">
        <v>173</v>
      </c>
      <c r="IP143" s="319" t="s">
        <v>173</v>
      </c>
      <c r="IQ143" s="321" t="s">
        <v>173</v>
      </c>
      <c r="IR143" s="320" t="s">
        <v>173</v>
      </c>
      <c r="IS143" s="322" t="s">
        <v>173</v>
      </c>
      <c r="IT143" s="319" t="s">
        <v>173</v>
      </c>
    </row>
    <row r="144" spans="1:254" s="271" customFormat="1" x14ac:dyDescent="0.25">
      <c r="A144" s="318" t="str">
        <f>HYPERLINK("http://www.ofsted.gov.uk/inspection-reports/find-inspection-report/provider/ELS/113026 ","Ofsted School Webpage")</f>
        <v>Ofsted School Webpage</v>
      </c>
      <c r="B144" s="319">
        <v>113026</v>
      </c>
      <c r="C144" s="319">
        <v>8306013</v>
      </c>
      <c r="D144" s="319" t="s">
        <v>607</v>
      </c>
      <c r="E144" s="319" t="s">
        <v>168</v>
      </c>
      <c r="F144" s="319" t="s">
        <v>81</v>
      </c>
      <c r="G144" s="319" t="s">
        <v>81</v>
      </c>
      <c r="H144" s="319" t="s">
        <v>81</v>
      </c>
      <c r="I144" s="319" t="s">
        <v>78</v>
      </c>
      <c r="J144" s="319" t="s">
        <v>424</v>
      </c>
      <c r="K144" s="319" t="s">
        <v>506</v>
      </c>
      <c r="L144" s="319" t="s">
        <v>506</v>
      </c>
      <c r="M144" s="319" t="s">
        <v>507</v>
      </c>
      <c r="N144" s="319" t="s">
        <v>2921</v>
      </c>
      <c r="O144" s="319" t="s">
        <v>608</v>
      </c>
      <c r="P144" s="319">
        <v>27</v>
      </c>
      <c r="Q144" s="319" t="s">
        <v>429</v>
      </c>
      <c r="R144" s="320">
        <v>10053963</v>
      </c>
      <c r="S144" s="321">
        <v>43410</v>
      </c>
      <c r="T144" s="321">
        <v>43412</v>
      </c>
      <c r="U144" s="321">
        <v>43432</v>
      </c>
      <c r="V144" s="319" t="s">
        <v>425</v>
      </c>
      <c r="W144" s="319" t="s">
        <v>2767</v>
      </c>
      <c r="X144" s="319">
        <v>3</v>
      </c>
      <c r="Y144" s="319" t="s">
        <v>173</v>
      </c>
      <c r="Z144" s="319" t="s">
        <v>173</v>
      </c>
      <c r="AA144" s="319" t="s">
        <v>173</v>
      </c>
      <c r="AB144" s="319">
        <v>3</v>
      </c>
      <c r="AC144" s="319" t="s">
        <v>169</v>
      </c>
      <c r="AD144" s="319" t="s">
        <v>173</v>
      </c>
      <c r="AE144" s="319">
        <v>2</v>
      </c>
      <c r="AF144" s="319" t="s">
        <v>427</v>
      </c>
      <c r="AG144" s="319" t="s">
        <v>172</v>
      </c>
      <c r="AH144" s="319" t="s">
        <v>190</v>
      </c>
      <c r="AI144" s="319" t="s">
        <v>190</v>
      </c>
      <c r="AJ144" s="319" t="s">
        <v>479</v>
      </c>
      <c r="AK144" s="319" t="s">
        <v>190</v>
      </c>
      <c r="AL144" s="319" t="s">
        <v>479</v>
      </c>
      <c r="AM144" s="319" t="s">
        <v>190</v>
      </c>
      <c r="AN144" s="319" t="s">
        <v>190</v>
      </c>
      <c r="AO144" s="319" t="s">
        <v>479</v>
      </c>
      <c r="AP144" s="319" t="s">
        <v>190</v>
      </c>
      <c r="AQ144" s="319" t="s">
        <v>190</v>
      </c>
      <c r="AR144" s="319" t="s">
        <v>190</v>
      </c>
      <c r="AS144" s="319" t="s">
        <v>190</v>
      </c>
      <c r="AT144" s="319" t="s">
        <v>190</v>
      </c>
      <c r="AU144" s="319" t="s">
        <v>190</v>
      </c>
      <c r="AV144" s="319" t="s">
        <v>190</v>
      </c>
      <c r="AW144" s="319" t="s">
        <v>190</v>
      </c>
      <c r="AX144" s="319" t="s">
        <v>190</v>
      </c>
      <c r="AY144" s="319" t="s">
        <v>190</v>
      </c>
      <c r="AZ144" s="319" t="s">
        <v>190</v>
      </c>
      <c r="BA144" s="319" t="s">
        <v>190</v>
      </c>
      <c r="BB144" s="319" t="s">
        <v>190</v>
      </c>
      <c r="BC144" s="319" t="s">
        <v>190</v>
      </c>
      <c r="BD144" s="319" t="s">
        <v>190</v>
      </c>
      <c r="BE144" s="319" t="s">
        <v>190</v>
      </c>
      <c r="BF144" s="319" t="s">
        <v>428</v>
      </c>
      <c r="BG144" s="319" t="s">
        <v>190</v>
      </c>
      <c r="BH144" s="319" t="s">
        <v>190</v>
      </c>
      <c r="BI144" s="319" t="s">
        <v>190</v>
      </c>
      <c r="BJ144" s="319" t="s">
        <v>190</v>
      </c>
      <c r="BK144" s="319" t="s">
        <v>190</v>
      </c>
      <c r="BL144" s="319" t="s">
        <v>190</v>
      </c>
      <c r="BM144" s="319" t="s">
        <v>190</v>
      </c>
      <c r="BN144" s="319" t="s">
        <v>190</v>
      </c>
      <c r="BO144" s="319" t="s">
        <v>190</v>
      </c>
      <c r="BP144" s="319" t="s">
        <v>190</v>
      </c>
      <c r="BQ144" s="319" t="s">
        <v>190</v>
      </c>
      <c r="BR144" s="319" t="s">
        <v>190</v>
      </c>
      <c r="BS144" s="319" t="s">
        <v>190</v>
      </c>
      <c r="BT144" s="319" t="s">
        <v>190</v>
      </c>
      <c r="BU144" s="319" t="s">
        <v>190</v>
      </c>
      <c r="BV144" s="319" t="s">
        <v>190</v>
      </c>
      <c r="BW144" s="319" t="s">
        <v>190</v>
      </c>
      <c r="BX144" s="319" t="s">
        <v>190</v>
      </c>
      <c r="BY144" s="319" t="s">
        <v>190</v>
      </c>
      <c r="BZ144" s="319" t="s">
        <v>190</v>
      </c>
      <c r="CA144" s="319" t="s">
        <v>190</v>
      </c>
      <c r="CB144" s="319" t="s">
        <v>190</v>
      </c>
      <c r="CC144" s="319" t="s">
        <v>190</v>
      </c>
      <c r="CD144" s="319" t="s">
        <v>190</v>
      </c>
      <c r="CE144" s="319" t="s">
        <v>190</v>
      </c>
      <c r="CF144" s="319" t="s">
        <v>190</v>
      </c>
      <c r="CG144" s="319" t="s">
        <v>190</v>
      </c>
      <c r="CH144" s="319" t="s">
        <v>190</v>
      </c>
      <c r="CI144" s="319" t="s">
        <v>190</v>
      </c>
      <c r="CJ144" s="319" t="s">
        <v>190</v>
      </c>
      <c r="CK144" s="319" t="s">
        <v>190</v>
      </c>
      <c r="CL144" s="319" t="s">
        <v>190</v>
      </c>
      <c r="CM144" s="319" t="s">
        <v>190</v>
      </c>
      <c r="CN144" s="319" t="s">
        <v>190</v>
      </c>
      <c r="CO144" s="319" t="s">
        <v>190</v>
      </c>
      <c r="CP144" s="319" t="s">
        <v>190</v>
      </c>
      <c r="CQ144" s="319" t="s">
        <v>190</v>
      </c>
      <c r="CR144" s="319" t="s">
        <v>190</v>
      </c>
      <c r="CS144" s="319" t="s">
        <v>190</v>
      </c>
      <c r="CT144" s="319" t="s">
        <v>190</v>
      </c>
      <c r="CU144" s="319" t="s">
        <v>190</v>
      </c>
      <c r="CV144" s="319" t="s">
        <v>190</v>
      </c>
      <c r="CW144" s="319" t="s">
        <v>190</v>
      </c>
      <c r="CX144" s="319" t="s">
        <v>191</v>
      </c>
      <c r="CY144" s="319" t="s">
        <v>190</v>
      </c>
      <c r="CZ144" s="319" t="s">
        <v>191</v>
      </c>
      <c r="DA144" s="319" t="s">
        <v>190</v>
      </c>
      <c r="DB144" s="319" t="s">
        <v>190</v>
      </c>
      <c r="DC144" s="319" t="s">
        <v>190</v>
      </c>
      <c r="DD144" s="319" t="s">
        <v>190</v>
      </c>
      <c r="DE144" s="319" t="s">
        <v>190</v>
      </c>
      <c r="DF144" s="319" t="s">
        <v>190</v>
      </c>
      <c r="DG144" s="319" t="s">
        <v>190</v>
      </c>
      <c r="DH144" s="319" t="s">
        <v>190</v>
      </c>
      <c r="DI144" s="319" t="s">
        <v>190</v>
      </c>
      <c r="DJ144" s="319" t="s">
        <v>190</v>
      </c>
      <c r="DK144" s="319" t="s">
        <v>190</v>
      </c>
      <c r="DL144" s="319" t="s">
        <v>190</v>
      </c>
      <c r="DM144" s="319" t="s">
        <v>190</v>
      </c>
      <c r="DN144" s="319" t="s">
        <v>190</v>
      </c>
      <c r="DO144" s="319" t="s">
        <v>190</v>
      </c>
      <c r="DP144" s="319" t="s">
        <v>190</v>
      </c>
      <c r="DQ144" s="319" t="s">
        <v>190</v>
      </c>
      <c r="DR144" s="319" t="s">
        <v>190</v>
      </c>
      <c r="DS144" s="319" t="s">
        <v>190</v>
      </c>
      <c r="DT144" s="319" t="s">
        <v>190</v>
      </c>
      <c r="DU144" s="319" t="s">
        <v>190</v>
      </c>
      <c r="DV144" s="319" t="s">
        <v>173</v>
      </c>
      <c r="DW144" s="319" t="s">
        <v>190</v>
      </c>
      <c r="DX144" s="319" t="s">
        <v>190</v>
      </c>
      <c r="DY144" s="319" t="s">
        <v>190</v>
      </c>
      <c r="DZ144" s="319" t="s">
        <v>190</v>
      </c>
      <c r="EA144" s="319" t="s">
        <v>190</v>
      </c>
      <c r="EB144" s="319" t="s">
        <v>190</v>
      </c>
      <c r="EC144" s="319" t="s">
        <v>428</v>
      </c>
      <c r="ED144" s="319" t="s">
        <v>190</v>
      </c>
      <c r="EE144" s="319" t="s">
        <v>190</v>
      </c>
      <c r="EF144" s="319" t="s">
        <v>190</v>
      </c>
      <c r="EG144" s="319" t="s">
        <v>190</v>
      </c>
      <c r="EH144" s="319" t="s">
        <v>190</v>
      </c>
      <c r="EI144" s="319" t="s">
        <v>190</v>
      </c>
      <c r="EJ144" s="319" t="s">
        <v>190</v>
      </c>
      <c r="EK144" s="319" t="s">
        <v>190</v>
      </c>
      <c r="EL144" s="319" t="s">
        <v>190</v>
      </c>
      <c r="EM144" s="319" t="s">
        <v>190</v>
      </c>
      <c r="EN144" s="319" t="s">
        <v>190</v>
      </c>
      <c r="EO144" s="319" t="s">
        <v>190</v>
      </c>
      <c r="EP144" s="319" t="s">
        <v>190</v>
      </c>
      <c r="EQ144" s="319" t="s">
        <v>190</v>
      </c>
      <c r="ER144" s="319" t="s">
        <v>190</v>
      </c>
      <c r="ES144" s="319" t="s">
        <v>190</v>
      </c>
      <c r="ET144" s="319" t="s">
        <v>190</v>
      </c>
      <c r="EU144" s="319" t="s">
        <v>190</v>
      </c>
      <c r="EV144" s="319" t="s">
        <v>190</v>
      </c>
      <c r="EW144" s="319" t="s">
        <v>190</v>
      </c>
      <c r="EX144" s="319" t="s">
        <v>190</v>
      </c>
      <c r="EY144" s="319" t="s">
        <v>190</v>
      </c>
      <c r="EZ144" s="319" t="s">
        <v>190</v>
      </c>
      <c r="FA144" s="319" t="s">
        <v>190</v>
      </c>
      <c r="FB144" s="319" t="s">
        <v>190</v>
      </c>
      <c r="FC144" s="319" t="s">
        <v>190</v>
      </c>
      <c r="FD144" s="319" t="s">
        <v>190</v>
      </c>
      <c r="FE144" s="319" t="s">
        <v>190</v>
      </c>
      <c r="FF144" s="319" t="s">
        <v>190</v>
      </c>
      <c r="FG144" s="319" t="s">
        <v>190</v>
      </c>
      <c r="FH144" s="319" t="s">
        <v>190</v>
      </c>
      <c r="FI144" s="319" t="s">
        <v>190</v>
      </c>
      <c r="FJ144" s="319" t="s">
        <v>190</v>
      </c>
      <c r="FK144" s="319" t="s">
        <v>190</v>
      </c>
      <c r="FL144" s="319" t="s">
        <v>190</v>
      </c>
      <c r="FM144" s="319" t="s">
        <v>190</v>
      </c>
      <c r="FN144" s="319" t="s">
        <v>190</v>
      </c>
      <c r="FO144" s="319" t="s">
        <v>190</v>
      </c>
      <c r="FP144" s="319" t="s">
        <v>191</v>
      </c>
      <c r="FQ144" s="319" t="s">
        <v>191</v>
      </c>
      <c r="FR144" s="319" t="s">
        <v>191</v>
      </c>
      <c r="FS144" s="319" t="s">
        <v>428</v>
      </c>
      <c r="FT144" s="319" t="s">
        <v>191</v>
      </c>
      <c r="FU144" s="319" t="s">
        <v>190</v>
      </c>
      <c r="FV144" s="319" t="s">
        <v>190</v>
      </c>
      <c r="FW144" s="319" t="s">
        <v>190</v>
      </c>
      <c r="FX144" s="319" t="s">
        <v>190</v>
      </c>
      <c r="FY144" s="319" t="s">
        <v>190</v>
      </c>
      <c r="FZ144" s="319" t="s">
        <v>190</v>
      </c>
      <c r="GA144" s="319" t="s">
        <v>190</v>
      </c>
      <c r="GB144" s="319" t="s">
        <v>190</v>
      </c>
      <c r="GC144" s="319" t="s">
        <v>190</v>
      </c>
      <c r="GD144" s="319" t="s">
        <v>190</v>
      </c>
      <c r="GE144" s="319" t="s">
        <v>190</v>
      </c>
      <c r="GF144" s="319" t="s">
        <v>190</v>
      </c>
      <c r="GG144" s="319" t="s">
        <v>190</v>
      </c>
      <c r="GH144" s="319" t="s">
        <v>190</v>
      </c>
      <c r="GI144" s="319" t="s">
        <v>190</v>
      </c>
      <c r="GJ144" s="319" t="s">
        <v>190</v>
      </c>
      <c r="GK144" s="319" t="s">
        <v>428</v>
      </c>
      <c r="GL144" s="319" t="s">
        <v>190</v>
      </c>
      <c r="GM144" s="319" t="s">
        <v>190</v>
      </c>
      <c r="GN144" s="319" t="s">
        <v>190</v>
      </c>
      <c r="GO144" s="319" t="s">
        <v>190</v>
      </c>
      <c r="GP144" s="319" t="s">
        <v>190</v>
      </c>
      <c r="GQ144" s="319" t="s">
        <v>190</v>
      </c>
      <c r="GR144" s="319" t="s">
        <v>190</v>
      </c>
      <c r="GS144" s="319" t="s">
        <v>190</v>
      </c>
      <c r="GT144" s="319" t="s">
        <v>190</v>
      </c>
      <c r="GU144" s="319" t="s">
        <v>190</v>
      </c>
      <c r="GV144" s="319" t="s">
        <v>190</v>
      </c>
      <c r="GW144" s="319" t="s">
        <v>190</v>
      </c>
      <c r="GX144" s="319" t="s">
        <v>190</v>
      </c>
      <c r="GY144" s="319" t="s">
        <v>190</v>
      </c>
      <c r="GZ144" s="319" t="s">
        <v>190</v>
      </c>
      <c r="HA144" s="319" t="s">
        <v>190</v>
      </c>
      <c r="HB144" s="319" t="s">
        <v>190</v>
      </c>
      <c r="HC144" s="319" t="s">
        <v>190</v>
      </c>
      <c r="HD144" s="319" t="s">
        <v>190</v>
      </c>
      <c r="HE144" s="319" t="s">
        <v>190</v>
      </c>
      <c r="HF144" s="319" t="s">
        <v>190</v>
      </c>
      <c r="HG144" s="319" t="s">
        <v>190</v>
      </c>
      <c r="HH144" s="319" t="s">
        <v>190</v>
      </c>
      <c r="HI144" s="319" t="s">
        <v>190</v>
      </c>
      <c r="HJ144" s="319" t="s">
        <v>190</v>
      </c>
      <c r="HK144" s="319" t="s">
        <v>190</v>
      </c>
      <c r="HL144" s="319" t="s">
        <v>190</v>
      </c>
      <c r="HM144" s="319" t="s">
        <v>190</v>
      </c>
      <c r="HN144" s="319" t="s">
        <v>190</v>
      </c>
      <c r="HO144" s="319" t="s">
        <v>190</v>
      </c>
      <c r="HP144" s="319" t="s">
        <v>190</v>
      </c>
      <c r="HQ144" s="319" t="s">
        <v>190</v>
      </c>
      <c r="HR144" s="319" t="s">
        <v>190</v>
      </c>
      <c r="HS144" s="319" t="s">
        <v>190</v>
      </c>
      <c r="HT144" s="319" t="s">
        <v>190</v>
      </c>
      <c r="HU144" s="319" t="s">
        <v>190</v>
      </c>
      <c r="HV144" s="319" t="s">
        <v>190</v>
      </c>
      <c r="HW144" s="319" t="s">
        <v>190</v>
      </c>
      <c r="HX144" s="319" t="s">
        <v>190</v>
      </c>
      <c r="HY144" s="319" t="s">
        <v>190</v>
      </c>
      <c r="HZ144" s="319" t="s">
        <v>190</v>
      </c>
      <c r="IA144" s="319" t="s">
        <v>190</v>
      </c>
      <c r="IB144" s="319" t="s">
        <v>190</v>
      </c>
      <c r="IC144" s="319" t="s">
        <v>190</v>
      </c>
      <c r="ID144" s="319" t="s">
        <v>190</v>
      </c>
      <c r="IE144" s="319" t="s">
        <v>190</v>
      </c>
      <c r="IF144" s="319" t="s">
        <v>191</v>
      </c>
      <c r="IG144" s="319" t="s">
        <v>190</v>
      </c>
      <c r="IH144" s="319" t="s">
        <v>191</v>
      </c>
      <c r="II144" s="319" t="s">
        <v>190</v>
      </c>
      <c r="IJ144" s="319">
        <v>10006083</v>
      </c>
      <c r="IK144" s="321">
        <v>42346</v>
      </c>
      <c r="IL144" s="321">
        <v>42348</v>
      </c>
      <c r="IM144" s="321">
        <v>42375</v>
      </c>
      <c r="IN144" s="319">
        <v>2</v>
      </c>
      <c r="IO144" s="319" t="s">
        <v>173</v>
      </c>
      <c r="IP144" s="319" t="s">
        <v>173</v>
      </c>
      <c r="IQ144" s="321" t="s">
        <v>173</v>
      </c>
      <c r="IR144" s="320" t="s">
        <v>173</v>
      </c>
      <c r="IS144" s="322" t="s">
        <v>173</v>
      </c>
      <c r="IT144" s="319" t="s">
        <v>173</v>
      </c>
    </row>
    <row r="145" spans="1:254" s="271" customFormat="1" x14ac:dyDescent="0.25">
      <c r="A145" s="318" t="str">
        <f>HYPERLINK("http://www.ofsted.gov.uk/inspection-reports/find-inspection-report/provider/ELS/113562 ","Ofsted School Webpage")</f>
        <v>Ofsted School Webpage</v>
      </c>
      <c r="B145" s="319">
        <v>113562</v>
      </c>
      <c r="C145" s="319">
        <v>8786001</v>
      </c>
      <c r="D145" s="319" t="s">
        <v>817</v>
      </c>
      <c r="E145" s="319" t="s">
        <v>167</v>
      </c>
      <c r="F145" s="319" t="s">
        <v>81</v>
      </c>
      <c r="G145" s="319" t="s">
        <v>81</v>
      </c>
      <c r="H145" s="319" t="s">
        <v>81</v>
      </c>
      <c r="I145" s="319" t="s">
        <v>78</v>
      </c>
      <c r="J145" s="319" t="s">
        <v>424</v>
      </c>
      <c r="K145" s="319" t="s">
        <v>422</v>
      </c>
      <c r="L145" s="319" t="s">
        <v>422</v>
      </c>
      <c r="M145" s="319" t="s">
        <v>663</v>
      </c>
      <c r="N145" s="319" t="s">
        <v>2922</v>
      </c>
      <c r="O145" s="319" t="s">
        <v>818</v>
      </c>
      <c r="P145" s="319">
        <v>96</v>
      </c>
      <c r="Q145" s="319" t="s">
        <v>2776</v>
      </c>
      <c r="R145" s="320">
        <v>10053752</v>
      </c>
      <c r="S145" s="321">
        <v>43480</v>
      </c>
      <c r="T145" s="321">
        <v>43482</v>
      </c>
      <c r="U145" s="321">
        <v>43523</v>
      </c>
      <c r="V145" s="319" t="s">
        <v>425</v>
      </c>
      <c r="W145" s="319" t="s">
        <v>2767</v>
      </c>
      <c r="X145" s="319">
        <v>3</v>
      </c>
      <c r="Y145" s="319" t="s">
        <v>173</v>
      </c>
      <c r="Z145" s="319" t="s">
        <v>173</v>
      </c>
      <c r="AA145" s="319" t="s">
        <v>173</v>
      </c>
      <c r="AB145" s="319">
        <v>3</v>
      </c>
      <c r="AC145" s="319" t="s">
        <v>169</v>
      </c>
      <c r="AD145" s="319">
        <v>2</v>
      </c>
      <c r="AE145" s="319" t="s">
        <v>173</v>
      </c>
      <c r="AF145" s="319" t="s">
        <v>427</v>
      </c>
      <c r="AG145" s="319" t="s">
        <v>171</v>
      </c>
      <c r="AH145" s="319" t="s">
        <v>190</v>
      </c>
      <c r="AI145" s="319" t="s">
        <v>190</v>
      </c>
      <c r="AJ145" s="319" t="s">
        <v>190</v>
      </c>
      <c r="AK145" s="319" t="s">
        <v>190</v>
      </c>
      <c r="AL145" s="319" t="s">
        <v>190</v>
      </c>
      <c r="AM145" s="319" t="s">
        <v>190</v>
      </c>
      <c r="AN145" s="319" t="s">
        <v>190</v>
      </c>
      <c r="AO145" s="319" t="s">
        <v>190</v>
      </c>
      <c r="AP145" s="319" t="s">
        <v>190</v>
      </c>
      <c r="AQ145" s="319" t="s">
        <v>190</v>
      </c>
      <c r="AR145" s="319" t="s">
        <v>190</v>
      </c>
      <c r="AS145" s="319" t="s">
        <v>190</v>
      </c>
      <c r="AT145" s="319" t="s">
        <v>190</v>
      </c>
      <c r="AU145" s="319" t="s">
        <v>190</v>
      </c>
      <c r="AV145" s="319" t="s">
        <v>190</v>
      </c>
      <c r="AW145" s="319" t="s">
        <v>190</v>
      </c>
      <c r="AX145" s="319" t="s">
        <v>190</v>
      </c>
      <c r="AY145" s="319" t="s">
        <v>190</v>
      </c>
      <c r="AZ145" s="319" t="s">
        <v>190</v>
      </c>
      <c r="BA145" s="319" t="s">
        <v>190</v>
      </c>
      <c r="BB145" s="319" t="s">
        <v>190</v>
      </c>
      <c r="BC145" s="319" t="s">
        <v>190</v>
      </c>
      <c r="BD145" s="319" t="s">
        <v>190</v>
      </c>
      <c r="BE145" s="319" t="s">
        <v>190</v>
      </c>
      <c r="BF145" s="319" t="s">
        <v>190</v>
      </c>
      <c r="BG145" s="319" t="s">
        <v>190</v>
      </c>
      <c r="BH145" s="319" t="s">
        <v>190</v>
      </c>
      <c r="BI145" s="319" t="s">
        <v>190</v>
      </c>
      <c r="BJ145" s="319" t="s">
        <v>190</v>
      </c>
      <c r="BK145" s="319" t="s">
        <v>190</v>
      </c>
      <c r="BL145" s="319" t="s">
        <v>190</v>
      </c>
      <c r="BM145" s="319" t="s">
        <v>190</v>
      </c>
      <c r="BN145" s="319" t="s">
        <v>190</v>
      </c>
      <c r="BO145" s="319" t="s">
        <v>190</v>
      </c>
      <c r="BP145" s="319" t="s">
        <v>190</v>
      </c>
      <c r="BQ145" s="319" t="s">
        <v>190</v>
      </c>
      <c r="BR145" s="319" t="s">
        <v>190</v>
      </c>
      <c r="BS145" s="319" t="s">
        <v>190</v>
      </c>
      <c r="BT145" s="319" t="s">
        <v>190</v>
      </c>
      <c r="BU145" s="319" t="s">
        <v>190</v>
      </c>
      <c r="BV145" s="319" t="s">
        <v>190</v>
      </c>
      <c r="BW145" s="319" t="s">
        <v>190</v>
      </c>
      <c r="BX145" s="319" t="s">
        <v>190</v>
      </c>
      <c r="BY145" s="319" t="s">
        <v>190</v>
      </c>
      <c r="BZ145" s="319" t="s">
        <v>190</v>
      </c>
      <c r="CA145" s="319" t="s">
        <v>190</v>
      </c>
      <c r="CB145" s="319" t="s">
        <v>190</v>
      </c>
      <c r="CC145" s="319" t="s">
        <v>190</v>
      </c>
      <c r="CD145" s="319" t="s">
        <v>190</v>
      </c>
      <c r="CE145" s="319" t="s">
        <v>190</v>
      </c>
      <c r="CF145" s="319" t="s">
        <v>190</v>
      </c>
      <c r="CG145" s="319" t="s">
        <v>190</v>
      </c>
      <c r="CH145" s="319" t="s">
        <v>190</v>
      </c>
      <c r="CI145" s="319" t="s">
        <v>190</v>
      </c>
      <c r="CJ145" s="319" t="s">
        <v>190</v>
      </c>
      <c r="CK145" s="319" t="s">
        <v>190</v>
      </c>
      <c r="CL145" s="319" t="s">
        <v>190</v>
      </c>
      <c r="CM145" s="319" t="s">
        <v>190</v>
      </c>
      <c r="CN145" s="319" t="s">
        <v>428</v>
      </c>
      <c r="CO145" s="319" t="s">
        <v>428</v>
      </c>
      <c r="CP145" s="319" t="s">
        <v>428</v>
      </c>
      <c r="CQ145" s="319" t="s">
        <v>190</v>
      </c>
      <c r="CR145" s="319" t="s">
        <v>190</v>
      </c>
      <c r="CS145" s="319" t="s">
        <v>190</v>
      </c>
      <c r="CT145" s="319" t="s">
        <v>190</v>
      </c>
      <c r="CU145" s="319" t="s">
        <v>190</v>
      </c>
      <c r="CV145" s="319" t="s">
        <v>190</v>
      </c>
      <c r="CW145" s="319" t="s">
        <v>190</v>
      </c>
      <c r="CX145" s="319" t="s">
        <v>190</v>
      </c>
      <c r="CY145" s="319" t="s">
        <v>190</v>
      </c>
      <c r="CZ145" s="319" t="s">
        <v>190</v>
      </c>
      <c r="DA145" s="319" t="s">
        <v>190</v>
      </c>
      <c r="DB145" s="319" t="s">
        <v>190</v>
      </c>
      <c r="DC145" s="319" t="s">
        <v>190</v>
      </c>
      <c r="DD145" s="319" t="s">
        <v>190</v>
      </c>
      <c r="DE145" s="319" t="s">
        <v>190</v>
      </c>
      <c r="DF145" s="319" t="s">
        <v>190</v>
      </c>
      <c r="DG145" s="319" t="s">
        <v>190</v>
      </c>
      <c r="DH145" s="319" t="s">
        <v>190</v>
      </c>
      <c r="DI145" s="319" t="s">
        <v>190</v>
      </c>
      <c r="DJ145" s="319" t="s">
        <v>190</v>
      </c>
      <c r="DK145" s="319" t="s">
        <v>190</v>
      </c>
      <c r="DL145" s="319" t="s">
        <v>190</v>
      </c>
      <c r="DM145" s="319" t="s">
        <v>190</v>
      </c>
      <c r="DN145" s="319" t="s">
        <v>428</v>
      </c>
      <c r="DO145" s="319" t="s">
        <v>190</v>
      </c>
      <c r="DP145" s="319" t="s">
        <v>190</v>
      </c>
      <c r="DQ145" s="319" t="s">
        <v>190</v>
      </c>
      <c r="DR145" s="319" t="s">
        <v>190</v>
      </c>
      <c r="DS145" s="319" t="s">
        <v>190</v>
      </c>
      <c r="DT145" s="319" t="s">
        <v>190</v>
      </c>
      <c r="DU145" s="319" t="s">
        <v>190</v>
      </c>
      <c r="DV145" s="319" t="s">
        <v>173</v>
      </c>
      <c r="DW145" s="319" t="s">
        <v>190</v>
      </c>
      <c r="DX145" s="319" t="s">
        <v>190</v>
      </c>
      <c r="DY145" s="319" t="s">
        <v>190</v>
      </c>
      <c r="DZ145" s="319" t="s">
        <v>190</v>
      </c>
      <c r="EA145" s="319" t="s">
        <v>190</v>
      </c>
      <c r="EB145" s="319" t="s">
        <v>190</v>
      </c>
      <c r="EC145" s="319" t="s">
        <v>428</v>
      </c>
      <c r="ED145" s="319" t="s">
        <v>428</v>
      </c>
      <c r="EE145" s="319" t="s">
        <v>190</v>
      </c>
      <c r="EF145" s="319" t="s">
        <v>190</v>
      </c>
      <c r="EG145" s="319" t="s">
        <v>190</v>
      </c>
      <c r="EH145" s="319" t="s">
        <v>190</v>
      </c>
      <c r="EI145" s="319" t="s">
        <v>190</v>
      </c>
      <c r="EJ145" s="319" t="s">
        <v>190</v>
      </c>
      <c r="EK145" s="319" t="s">
        <v>190</v>
      </c>
      <c r="EL145" s="319" t="s">
        <v>190</v>
      </c>
      <c r="EM145" s="319" t="s">
        <v>190</v>
      </c>
      <c r="EN145" s="319" t="s">
        <v>190</v>
      </c>
      <c r="EO145" s="319" t="s">
        <v>190</v>
      </c>
      <c r="EP145" s="319" t="s">
        <v>190</v>
      </c>
      <c r="EQ145" s="319" t="s">
        <v>190</v>
      </c>
      <c r="ER145" s="319" t="s">
        <v>190</v>
      </c>
      <c r="ES145" s="319" t="s">
        <v>190</v>
      </c>
      <c r="ET145" s="319" t="s">
        <v>190</v>
      </c>
      <c r="EU145" s="319" t="s">
        <v>190</v>
      </c>
      <c r="EV145" s="319" t="s">
        <v>190</v>
      </c>
      <c r="EW145" s="319" t="s">
        <v>190</v>
      </c>
      <c r="EX145" s="319" t="s">
        <v>190</v>
      </c>
      <c r="EY145" s="319" t="s">
        <v>190</v>
      </c>
      <c r="EZ145" s="319" t="s">
        <v>190</v>
      </c>
      <c r="FA145" s="319" t="s">
        <v>190</v>
      </c>
      <c r="FB145" s="319" t="s">
        <v>190</v>
      </c>
      <c r="FC145" s="319" t="s">
        <v>190</v>
      </c>
      <c r="FD145" s="319" t="s">
        <v>190</v>
      </c>
      <c r="FE145" s="319" t="s">
        <v>190</v>
      </c>
      <c r="FF145" s="319" t="s">
        <v>190</v>
      </c>
      <c r="FG145" s="319" t="s">
        <v>190</v>
      </c>
      <c r="FH145" s="319" t="s">
        <v>190</v>
      </c>
      <c r="FI145" s="319" t="s">
        <v>190</v>
      </c>
      <c r="FJ145" s="319" t="s">
        <v>190</v>
      </c>
      <c r="FK145" s="319" t="s">
        <v>190</v>
      </c>
      <c r="FL145" s="319" t="s">
        <v>190</v>
      </c>
      <c r="FM145" s="319" t="s">
        <v>190</v>
      </c>
      <c r="FN145" s="319" t="s">
        <v>190</v>
      </c>
      <c r="FO145" s="319" t="s">
        <v>190</v>
      </c>
      <c r="FP145" s="319" t="s">
        <v>190</v>
      </c>
      <c r="FQ145" s="319" t="s">
        <v>190</v>
      </c>
      <c r="FR145" s="319" t="s">
        <v>190</v>
      </c>
      <c r="FS145" s="319" t="s">
        <v>190</v>
      </c>
      <c r="FT145" s="319" t="s">
        <v>190</v>
      </c>
      <c r="FU145" s="319" t="s">
        <v>190</v>
      </c>
      <c r="FV145" s="319" t="s">
        <v>190</v>
      </c>
      <c r="FW145" s="319" t="s">
        <v>190</v>
      </c>
      <c r="FX145" s="319" t="s">
        <v>190</v>
      </c>
      <c r="FY145" s="319" t="s">
        <v>190</v>
      </c>
      <c r="FZ145" s="319" t="s">
        <v>190</v>
      </c>
      <c r="GA145" s="319" t="s">
        <v>190</v>
      </c>
      <c r="GB145" s="319" t="s">
        <v>190</v>
      </c>
      <c r="GC145" s="319" t="s">
        <v>190</v>
      </c>
      <c r="GD145" s="319" t="s">
        <v>190</v>
      </c>
      <c r="GE145" s="319" t="s">
        <v>190</v>
      </c>
      <c r="GF145" s="319" t="s">
        <v>190</v>
      </c>
      <c r="GG145" s="319" t="s">
        <v>190</v>
      </c>
      <c r="GH145" s="319" t="s">
        <v>190</v>
      </c>
      <c r="GI145" s="319" t="s">
        <v>190</v>
      </c>
      <c r="GJ145" s="319" t="s">
        <v>190</v>
      </c>
      <c r="GK145" s="319" t="s">
        <v>428</v>
      </c>
      <c r="GL145" s="319" t="s">
        <v>190</v>
      </c>
      <c r="GM145" s="319" t="s">
        <v>190</v>
      </c>
      <c r="GN145" s="319" t="s">
        <v>190</v>
      </c>
      <c r="GO145" s="319" t="s">
        <v>190</v>
      </c>
      <c r="GP145" s="319" t="s">
        <v>190</v>
      </c>
      <c r="GQ145" s="319" t="s">
        <v>428</v>
      </c>
      <c r="GR145" s="319" t="s">
        <v>190</v>
      </c>
      <c r="GS145" s="319" t="s">
        <v>190</v>
      </c>
      <c r="GT145" s="319" t="s">
        <v>428</v>
      </c>
      <c r="GU145" s="319" t="s">
        <v>190</v>
      </c>
      <c r="GV145" s="319" t="s">
        <v>190</v>
      </c>
      <c r="GW145" s="319" t="s">
        <v>190</v>
      </c>
      <c r="GX145" s="319" t="s">
        <v>190</v>
      </c>
      <c r="GY145" s="319" t="s">
        <v>190</v>
      </c>
      <c r="GZ145" s="319" t="s">
        <v>190</v>
      </c>
      <c r="HA145" s="319" t="s">
        <v>190</v>
      </c>
      <c r="HB145" s="319" t="s">
        <v>190</v>
      </c>
      <c r="HC145" s="319" t="s">
        <v>190</v>
      </c>
      <c r="HD145" s="319" t="s">
        <v>190</v>
      </c>
      <c r="HE145" s="319" t="s">
        <v>190</v>
      </c>
      <c r="HF145" s="319" t="s">
        <v>190</v>
      </c>
      <c r="HG145" s="319" t="s">
        <v>190</v>
      </c>
      <c r="HH145" s="319" t="s">
        <v>190</v>
      </c>
      <c r="HI145" s="319" t="s">
        <v>190</v>
      </c>
      <c r="HJ145" s="319" t="s">
        <v>190</v>
      </c>
      <c r="HK145" s="319" t="s">
        <v>190</v>
      </c>
      <c r="HL145" s="319" t="s">
        <v>190</v>
      </c>
      <c r="HM145" s="319" t="s">
        <v>428</v>
      </c>
      <c r="HN145" s="319" t="s">
        <v>428</v>
      </c>
      <c r="HO145" s="319" t="s">
        <v>428</v>
      </c>
      <c r="HP145" s="319" t="s">
        <v>190</v>
      </c>
      <c r="HQ145" s="319" t="s">
        <v>190</v>
      </c>
      <c r="HR145" s="319" t="s">
        <v>190</v>
      </c>
      <c r="HS145" s="319" t="s">
        <v>190</v>
      </c>
      <c r="HT145" s="319" t="s">
        <v>190</v>
      </c>
      <c r="HU145" s="319" t="s">
        <v>190</v>
      </c>
      <c r="HV145" s="319" t="s">
        <v>190</v>
      </c>
      <c r="HW145" s="319" t="s">
        <v>190</v>
      </c>
      <c r="HX145" s="319" t="s">
        <v>190</v>
      </c>
      <c r="HY145" s="319" t="s">
        <v>190</v>
      </c>
      <c r="HZ145" s="319" t="s">
        <v>190</v>
      </c>
      <c r="IA145" s="319" t="s">
        <v>190</v>
      </c>
      <c r="IB145" s="319" t="s">
        <v>190</v>
      </c>
      <c r="IC145" s="319" t="s">
        <v>190</v>
      </c>
      <c r="ID145" s="319" t="s">
        <v>190</v>
      </c>
      <c r="IE145" s="319" t="s">
        <v>190</v>
      </c>
      <c r="IF145" s="319" t="s">
        <v>190</v>
      </c>
      <c r="IG145" s="319" t="s">
        <v>190</v>
      </c>
      <c r="IH145" s="319" t="s">
        <v>190</v>
      </c>
      <c r="II145" s="319" t="s">
        <v>190</v>
      </c>
      <c r="IJ145" s="319">
        <v>10006072</v>
      </c>
      <c r="IK145" s="321">
        <v>42326</v>
      </c>
      <c r="IL145" s="321">
        <v>42328</v>
      </c>
      <c r="IM145" s="321">
        <v>42429</v>
      </c>
      <c r="IN145" s="319">
        <v>2</v>
      </c>
      <c r="IO145" s="319">
        <v>10120985</v>
      </c>
      <c r="IP145" s="319" t="s">
        <v>985</v>
      </c>
      <c r="IQ145" s="321">
        <v>43797</v>
      </c>
      <c r="IR145" s="320" t="s">
        <v>2771</v>
      </c>
      <c r="IS145" s="322">
        <v>43816</v>
      </c>
      <c r="IT145" s="319" t="s">
        <v>166</v>
      </c>
    </row>
    <row r="146" spans="1:254" s="271" customFormat="1" x14ac:dyDescent="0.25">
      <c r="A146" s="318" t="str">
        <f>HYPERLINK("http://www.ofsted.gov.uk/inspection-reports/find-inspection-report/provider/ELS/113567 ","Ofsted School Webpage")</f>
        <v>Ofsted School Webpage</v>
      </c>
      <c r="B146" s="319">
        <v>113567</v>
      </c>
      <c r="C146" s="319">
        <v>8786004</v>
      </c>
      <c r="D146" s="319" t="s">
        <v>1409</v>
      </c>
      <c r="E146" s="319" t="s">
        <v>167</v>
      </c>
      <c r="F146" s="319" t="s">
        <v>81</v>
      </c>
      <c r="G146" s="319" t="s">
        <v>62</v>
      </c>
      <c r="H146" s="319" t="s">
        <v>62</v>
      </c>
      <c r="I146" s="319" t="s">
        <v>59</v>
      </c>
      <c r="J146" s="319" t="s">
        <v>424</v>
      </c>
      <c r="K146" s="319" t="s">
        <v>422</v>
      </c>
      <c r="L146" s="319" t="s">
        <v>422</v>
      </c>
      <c r="M146" s="319" t="s">
        <v>663</v>
      </c>
      <c r="N146" s="319" t="s">
        <v>2922</v>
      </c>
      <c r="O146" s="319" t="s">
        <v>1410</v>
      </c>
      <c r="P146" s="319">
        <v>36</v>
      </c>
      <c r="Q146" s="319" t="s">
        <v>2766</v>
      </c>
      <c r="R146" s="320">
        <v>10033881</v>
      </c>
      <c r="S146" s="321">
        <v>43025</v>
      </c>
      <c r="T146" s="321">
        <v>43027</v>
      </c>
      <c r="U146" s="321">
        <v>43059</v>
      </c>
      <c r="V146" s="319" t="s">
        <v>425</v>
      </c>
      <c r="W146" s="319" t="s">
        <v>2767</v>
      </c>
      <c r="X146" s="319">
        <v>2</v>
      </c>
      <c r="Y146" s="319" t="s">
        <v>173</v>
      </c>
      <c r="Z146" s="319" t="s">
        <v>173</v>
      </c>
      <c r="AA146" s="319" t="s">
        <v>173</v>
      </c>
      <c r="AB146" s="319">
        <v>2</v>
      </c>
      <c r="AC146" s="319" t="s">
        <v>169</v>
      </c>
      <c r="AD146" s="319">
        <v>2</v>
      </c>
      <c r="AE146" s="319" t="s">
        <v>173</v>
      </c>
      <c r="AF146" s="319" t="s">
        <v>427</v>
      </c>
      <c r="AG146" s="319" t="s">
        <v>171</v>
      </c>
      <c r="AH146" s="319" t="s">
        <v>190</v>
      </c>
      <c r="AI146" s="319" t="s">
        <v>190</v>
      </c>
      <c r="AJ146" s="319" t="s">
        <v>190</v>
      </c>
      <c r="AK146" s="319" t="s">
        <v>190</v>
      </c>
      <c r="AL146" s="319" t="s">
        <v>190</v>
      </c>
      <c r="AM146" s="319" t="s">
        <v>190</v>
      </c>
      <c r="AN146" s="319" t="s">
        <v>190</v>
      </c>
      <c r="AO146" s="319" t="s">
        <v>190</v>
      </c>
      <c r="AP146" s="319" t="s">
        <v>190</v>
      </c>
      <c r="AQ146" s="319" t="s">
        <v>190</v>
      </c>
      <c r="AR146" s="319" t="s">
        <v>190</v>
      </c>
      <c r="AS146" s="319" t="s">
        <v>190</v>
      </c>
      <c r="AT146" s="319" t="s">
        <v>190</v>
      </c>
      <c r="AU146" s="319" t="s">
        <v>190</v>
      </c>
      <c r="AV146" s="319" t="s">
        <v>190</v>
      </c>
      <c r="AW146" s="319" t="s">
        <v>190</v>
      </c>
      <c r="AX146" s="319" t="s">
        <v>190</v>
      </c>
      <c r="AY146" s="319" t="s">
        <v>190</v>
      </c>
      <c r="AZ146" s="319" t="s">
        <v>190</v>
      </c>
      <c r="BA146" s="319" t="s">
        <v>190</v>
      </c>
      <c r="BB146" s="319" t="s">
        <v>190</v>
      </c>
      <c r="BC146" s="319" t="s">
        <v>190</v>
      </c>
      <c r="BD146" s="319" t="s">
        <v>190</v>
      </c>
      <c r="BE146" s="319" t="s">
        <v>190</v>
      </c>
      <c r="BF146" s="319" t="s">
        <v>190</v>
      </c>
      <c r="BG146" s="319" t="s">
        <v>428</v>
      </c>
      <c r="BH146" s="319" t="s">
        <v>190</v>
      </c>
      <c r="BI146" s="319" t="s">
        <v>190</v>
      </c>
      <c r="BJ146" s="319" t="s">
        <v>190</v>
      </c>
      <c r="BK146" s="319" t="s">
        <v>190</v>
      </c>
      <c r="BL146" s="319" t="s">
        <v>190</v>
      </c>
      <c r="BM146" s="319" t="s">
        <v>190</v>
      </c>
      <c r="BN146" s="319" t="s">
        <v>190</v>
      </c>
      <c r="BO146" s="319" t="s">
        <v>190</v>
      </c>
      <c r="BP146" s="319" t="s">
        <v>190</v>
      </c>
      <c r="BQ146" s="319" t="s">
        <v>190</v>
      </c>
      <c r="BR146" s="319" t="s">
        <v>190</v>
      </c>
      <c r="BS146" s="319" t="s">
        <v>190</v>
      </c>
      <c r="BT146" s="319" t="s">
        <v>190</v>
      </c>
      <c r="BU146" s="319" t="s">
        <v>190</v>
      </c>
      <c r="BV146" s="319" t="s">
        <v>190</v>
      </c>
      <c r="BW146" s="319" t="s">
        <v>190</v>
      </c>
      <c r="BX146" s="319" t="s">
        <v>190</v>
      </c>
      <c r="BY146" s="319" t="s">
        <v>190</v>
      </c>
      <c r="BZ146" s="319" t="s">
        <v>190</v>
      </c>
      <c r="CA146" s="319" t="s">
        <v>190</v>
      </c>
      <c r="CB146" s="319" t="s">
        <v>190</v>
      </c>
      <c r="CC146" s="319" t="s">
        <v>190</v>
      </c>
      <c r="CD146" s="319" t="s">
        <v>190</v>
      </c>
      <c r="CE146" s="319" t="s">
        <v>190</v>
      </c>
      <c r="CF146" s="319" t="s">
        <v>190</v>
      </c>
      <c r="CG146" s="319" t="s">
        <v>190</v>
      </c>
      <c r="CH146" s="319" t="s">
        <v>190</v>
      </c>
      <c r="CI146" s="319" t="s">
        <v>190</v>
      </c>
      <c r="CJ146" s="319" t="s">
        <v>190</v>
      </c>
      <c r="CK146" s="319" t="s">
        <v>190</v>
      </c>
      <c r="CL146" s="319" t="s">
        <v>190</v>
      </c>
      <c r="CM146" s="319" t="s">
        <v>190</v>
      </c>
      <c r="CN146" s="319" t="s">
        <v>190</v>
      </c>
      <c r="CO146" s="319" t="s">
        <v>190</v>
      </c>
      <c r="CP146" s="319" t="s">
        <v>190</v>
      </c>
      <c r="CQ146" s="319" t="s">
        <v>190</v>
      </c>
      <c r="CR146" s="319" t="s">
        <v>190</v>
      </c>
      <c r="CS146" s="319" t="s">
        <v>190</v>
      </c>
      <c r="CT146" s="319" t="s">
        <v>190</v>
      </c>
      <c r="CU146" s="319" t="s">
        <v>190</v>
      </c>
      <c r="CV146" s="319" t="s">
        <v>190</v>
      </c>
      <c r="CW146" s="319" t="s">
        <v>190</v>
      </c>
      <c r="CX146" s="319" t="s">
        <v>190</v>
      </c>
      <c r="CY146" s="319" t="s">
        <v>190</v>
      </c>
      <c r="CZ146" s="319" t="s">
        <v>190</v>
      </c>
      <c r="DA146" s="319" t="s">
        <v>190</v>
      </c>
      <c r="DB146" s="319" t="s">
        <v>190</v>
      </c>
      <c r="DC146" s="319" t="s">
        <v>190</v>
      </c>
      <c r="DD146" s="319" t="s">
        <v>190</v>
      </c>
      <c r="DE146" s="319" t="s">
        <v>190</v>
      </c>
      <c r="DF146" s="319" t="s">
        <v>190</v>
      </c>
      <c r="DG146" s="319" t="s">
        <v>190</v>
      </c>
      <c r="DH146" s="319" t="s">
        <v>190</v>
      </c>
      <c r="DI146" s="319" t="s">
        <v>190</v>
      </c>
      <c r="DJ146" s="319" t="s">
        <v>190</v>
      </c>
      <c r="DK146" s="319" t="s">
        <v>190</v>
      </c>
      <c r="DL146" s="319" t="s">
        <v>190</v>
      </c>
      <c r="DM146" s="319" t="s">
        <v>190</v>
      </c>
      <c r="DN146" s="319" t="s">
        <v>428</v>
      </c>
      <c r="DO146" s="319" t="s">
        <v>190</v>
      </c>
      <c r="DP146" s="319" t="s">
        <v>190</v>
      </c>
      <c r="DQ146" s="319" t="s">
        <v>190</v>
      </c>
      <c r="DR146" s="319" t="s">
        <v>190</v>
      </c>
      <c r="DS146" s="319" t="s">
        <v>190</v>
      </c>
      <c r="DT146" s="319" t="s">
        <v>190</v>
      </c>
      <c r="DU146" s="319" t="s">
        <v>190</v>
      </c>
      <c r="DV146" s="319" t="s">
        <v>173</v>
      </c>
      <c r="DW146" s="319" t="s">
        <v>190</v>
      </c>
      <c r="DX146" s="319" t="s">
        <v>190</v>
      </c>
      <c r="DY146" s="319" t="s">
        <v>190</v>
      </c>
      <c r="DZ146" s="319" t="s">
        <v>190</v>
      </c>
      <c r="EA146" s="319" t="s">
        <v>190</v>
      </c>
      <c r="EB146" s="319" t="s">
        <v>190</v>
      </c>
      <c r="EC146" s="319" t="s">
        <v>190</v>
      </c>
      <c r="ED146" s="319" t="s">
        <v>190</v>
      </c>
      <c r="EE146" s="319" t="s">
        <v>190</v>
      </c>
      <c r="EF146" s="319" t="s">
        <v>190</v>
      </c>
      <c r="EG146" s="319" t="s">
        <v>190</v>
      </c>
      <c r="EH146" s="319" t="s">
        <v>190</v>
      </c>
      <c r="EI146" s="319" t="s">
        <v>190</v>
      </c>
      <c r="EJ146" s="319" t="s">
        <v>190</v>
      </c>
      <c r="EK146" s="319" t="s">
        <v>190</v>
      </c>
      <c r="EL146" s="319" t="s">
        <v>190</v>
      </c>
      <c r="EM146" s="319" t="s">
        <v>190</v>
      </c>
      <c r="EN146" s="319" t="s">
        <v>190</v>
      </c>
      <c r="EO146" s="319" t="s">
        <v>190</v>
      </c>
      <c r="EP146" s="319" t="s">
        <v>190</v>
      </c>
      <c r="EQ146" s="319" t="s">
        <v>190</v>
      </c>
      <c r="ER146" s="319" t="s">
        <v>190</v>
      </c>
      <c r="ES146" s="319" t="s">
        <v>190</v>
      </c>
      <c r="ET146" s="319" t="s">
        <v>190</v>
      </c>
      <c r="EU146" s="319" t="s">
        <v>190</v>
      </c>
      <c r="EV146" s="319" t="s">
        <v>190</v>
      </c>
      <c r="EW146" s="319" t="s">
        <v>190</v>
      </c>
      <c r="EX146" s="319" t="s">
        <v>190</v>
      </c>
      <c r="EY146" s="319" t="s">
        <v>190</v>
      </c>
      <c r="EZ146" s="319" t="s">
        <v>190</v>
      </c>
      <c r="FA146" s="319" t="s">
        <v>190</v>
      </c>
      <c r="FB146" s="319" t="s">
        <v>190</v>
      </c>
      <c r="FC146" s="319" t="s">
        <v>190</v>
      </c>
      <c r="FD146" s="319" t="s">
        <v>190</v>
      </c>
      <c r="FE146" s="319" t="s">
        <v>190</v>
      </c>
      <c r="FF146" s="319" t="s">
        <v>190</v>
      </c>
      <c r="FG146" s="319" t="s">
        <v>190</v>
      </c>
      <c r="FH146" s="319" t="s">
        <v>190</v>
      </c>
      <c r="FI146" s="319" t="s">
        <v>190</v>
      </c>
      <c r="FJ146" s="319" t="s">
        <v>190</v>
      </c>
      <c r="FK146" s="319" t="s">
        <v>190</v>
      </c>
      <c r="FL146" s="319" t="s">
        <v>190</v>
      </c>
      <c r="FM146" s="319" t="s">
        <v>190</v>
      </c>
      <c r="FN146" s="319" t="s">
        <v>190</v>
      </c>
      <c r="FO146" s="319" t="s">
        <v>190</v>
      </c>
      <c r="FP146" s="319" t="s">
        <v>190</v>
      </c>
      <c r="FQ146" s="319" t="s">
        <v>190</v>
      </c>
      <c r="FR146" s="319" t="s">
        <v>190</v>
      </c>
      <c r="FS146" s="319" t="s">
        <v>190</v>
      </c>
      <c r="FT146" s="319" t="s">
        <v>190</v>
      </c>
      <c r="FU146" s="319" t="s">
        <v>190</v>
      </c>
      <c r="FV146" s="319" t="s">
        <v>190</v>
      </c>
      <c r="FW146" s="319" t="s">
        <v>190</v>
      </c>
      <c r="FX146" s="319" t="s">
        <v>190</v>
      </c>
      <c r="FY146" s="319" t="s">
        <v>190</v>
      </c>
      <c r="FZ146" s="319" t="s">
        <v>190</v>
      </c>
      <c r="GA146" s="319" t="s">
        <v>190</v>
      </c>
      <c r="GB146" s="319" t="s">
        <v>190</v>
      </c>
      <c r="GC146" s="319" t="s">
        <v>190</v>
      </c>
      <c r="GD146" s="319" t="s">
        <v>190</v>
      </c>
      <c r="GE146" s="319" t="s">
        <v>190</v>
      </c>
      <c r="GF146" s="319" t="s">
        <v>190</v>
      </c>
      <c r="GG146" s="319" t="s">
        <v>190</v>
      </c>
      <c r="GH146" s="319" t="s">
        <v>190</v>
      </c>
      <c r="GI146" s="319" t="s">
        <v>190</v>
      </c>
      <c r="GJ146" s="319" t="s">
        <v>190</v>
      </c>
      <c r="GK146" s="319" t="s">
        <v>428</v>
      </c>
      <c r="GL146" s="319" t="s">
        <v>190</v>
      </c>
      <c r="GM146" s="319" t="s">
        <v>190</v>
      </c>
      <c r="GN146" s="319" t="s">
        <v>190</v>
      </c>
      <c r="GO146" s="319" t="s">
        <v>190</v>
      </c>
      <c r="GP146" s="319" t="s">
        <v>190</v>
      </c>
      <c r="GQ146" s="319" t="s">
        <v>190</v>
      </c>
      <c r="GR146" s="319" t="s">
        <v>190</v>
      </c>
      <c r="GS146" s="319" t="s">
        <v>190</v>
      </c>
      <c r="GT146" s="319" t="s">
        <v>190</v>
      </c>
      <c r="GU146" s="319" t="s">
        <v>190</v>
      </c>
      <c r="GV146" s="319" t="s">
        <v>190</v>
      </c>
      <c r="GW146" s="319" t="s">
        <v>190</v>
      </c>
      <c r="GX146" s="319" t="s">
        <v>190</v>
      </c>
      <c r="GY146" s="319" t="s">
        <v>190</v>
      </c>
      <c r="GZ146" s="319" t="s">
        <v>190</v>
      </c>
      <c r="HA146" s="319" t="s">
        <v>190</v>
      </c>
      <c r="HB146" s="319" t="s">
        <v>428</v>
      </c>
      <c r="HC146" s="319" t="s">
        <v>190</v>
      </c>
      <c r="HD146" s="319" t="s">
        <v>190</v>
      </c>
      <c r="HE146" s="319" t="s">
        <v>190</v>
      </c>
      <c r="HF146" s="319" t="s">
        <v>190</v>
      </c>
      <c r="HG146" s="319" t="s">
        <v>190</v>
      </c>
      <c r="HH146" s="319" t="s">
        <v>190</v>
      </c>
      <c r="HI146" s="319" t="s">
        <v>190</v>
      </c>
      <c r="HJ146" s="319" t="s">
        <v>190</v>
      </c>
      <c r="HK146" s="319" t="s">
        <v>190</v>
      </c>
      <c r="HL146" s="319" t="s">
        <v>190</v>
      </c>
      <c r="HM146" s="319" t="s">
        <v>428</v>
      </c>
      <c r="HN146" s="319" t="s">
        <v>428</v>
      </c>
      <c r="HO146" s="319" t="s">
        <v>428</v>
      </c>
      <c r="HP146" s="319" t="s">
        <v>190</v>
      </c>
      <c r="HQ146" s="319" t="s">
        <v>190</v>
      </c>
      <c r="HR146" s="319" t="s">
        <v>190</v>
      </c>
      <c r="HS146" s="319" t="s">
        <v>190</v>
      </c>
      <c r="HT146" s="319" t="s">
        <v>190</v>
      </c>
      <c r="HU146" s="319" t="s">
        <v>190</v>
      </c>
      <c r="HV146" s="319" t="s">
        <v>173</v>
      </c>
      <c r="HW146" s="319" t="s">
        <v>190</v>
      </c>
      <c r="HX146" s="319" t="s">
        <v>190</v>
      </c>
      <c r="HY146" s="319" t="s">
        <v>190</v>
      </c>
      <c r="HZ146" s="319" t="s">
        <v>190</v>
      </c>
      <c r="IA146" s="319" t="s">
        <v>190</v>
      </c>
      <c r="IB146" s="319" t="s">
        <v>190</v>
      </c>
      <c r="IC146" s="319" t="s">
        <v>190</v>
      </c>
      <c r="ID146" s="319" t="s">
        <v>190</v>
      </c>
      <c r="IE146" s="319" t="s">
        <v>190</v>
      </c>
      <c r="IF146" s="319" t="s">
        <v>190</v>
      </c>
      <c r="IG146" s="319" t="s">
        <v>190</v>
      </c>
      <c r="IH146" s="319" t="s">
        <v>190</v>
      </c>
      <c r="II146" s="319" t="s">
        <v>190</v>
      </c>
      <c r="IJ146" s="319" t="s">
        <v>2923</v>
      </c>
      <c r="IK146" s="321">
        <v>41773</v>
      </c>
      <c r="IL146" s="321">
        <v>41775</v>
      </c>
      <c r="IM146" s="321">
        <v>41796</v>
      </c>
      <c r="IN146" s="319">
        <v>2</v>
      </c>
      <c r="IO146" s="319" t="s">
        <v>173</v>
      </c>
      <c r="IP146" s="319" t="s">
        <v>173</v>
      </c>
      <c r="IQ146" s="321" t="s">
        <v>173</v>
      </c>
      <c r="IR146" s="320" t="s">
        <v>173</v>
      </c>
      <c r="IS146" s="322" t="s">
        <v>173</v>
      </c>
      <c r="IT146" s="319" t="s">
        <v>173</v>
      </c>
    </row>
    <row r="147" spans="1:254" s="271" customFormat="1" x14ac:dyDescent="0.25">
      <c r="A147" s="318" t="str">
        <f>HYPERLINK("http://www.ofsted.gov.uk/inspection-reports/find-inspection-report/provider/ELS/113571 ","Ofsted School Webpage")</f>
        <v>Ofsted School Webpage</v>
      </c>
      <c r="B147" s="319">
        <v>113571</v>
      </c>
      <c r="C147" s="319">
        <v>8786007</v>
      </c>
      <c r="D147" s="319" t="s">
        <v>1411</v>
      </c>
      <c r="E147" s="319" t="s">
        <v>168</v>
      </c>
      <c r="F147" s="319" t="s">
        <v>81</v>
      </c>
      <c r="G147" s="319" t="s">
        <v>81</v>
      </c>
      <c r="H147" s="319" t="s">
        <v>81</v>
      </c>
      <c r="I147" s="319" t="s">
        <v>78</v>
      </c>
      <c r="J147" s="319" t="s">
        <v>424</v>
      </c>
      <c r="K147" s="319" t="s">
        <v>422</v>
      </c>
      <c r="L147" s="319" t="s">
        <v>422</v>
      </c>
      <c r="M147" s="319" t="s">
        <v>663</v>
      </c>
      <c r="N147" s="319" t="s">
        <v>2922</v>
      </c>
      <c r="O147" s="319" t="s">
        <v>1412</v>
      </c>
      <c r="P147" s="319">
        <v>29</v>
      </c>
      <c r="Q147" s="319" t="s">
        <v>429</v>
      </c>
      <c r="R147" s="320">
        <v>10047178</v>
      </c>
      <c r="S147" s="321">
        <v>43277</v>
      </c>
      <c r="T147" s="321">
        <v>43279</v>
      </c>
      <c r="U147" s="321">
        <v>43347</v>
      </c>
      <c r="V147" s="319" t="s">
        <v>425</v>
      </c>
      <c r="W147" s="319" t="s">
        <v>2767</v>
      </c>
      <c r="X147" s="319">
        <v>1</v>
      </c>
      <c r="Y147" s="319" t="s">
        <v>173</v>
      </c>
      <c r="Z147" s="319" t="s">
        <v>173</v>
      </c>
      <c r="AA147" s="319" t="s">
        <v>173</v>
      </c>
      <c r="AB147" s="319">
        <v>1</v>
      </c>
      <c r="AC147" s="319" t="s">
        <v>169</v>
      </c>
      <c r="AD147" s="319">
        <v>1</v>
      </c>
      <c r="AE147" s="319" t="s">
        <v>173</v>
      </c>
      <c r="AF147" s="319" t="s">
        <v>427</v>
      </c>
      <c r="AG147" s="319" t="s">
        <v>171</v>
      </c>
      <c r="AH147" s="319" t="s">
        <v>190</v>
      </c>
      <c r="AI147" s="319" t="s">
        <v>190</v>
      </c>
      <c r="AJ147" s="319" t="s">
        <v>190</v>
      </c>
      <c r="AK147" s="319" t="s">
        <v>190</v>
      </c>
      <c r="AL147" s="319" t="s">
        <v>190</v>
      </c>
      <c r="AM147" s="319" t="s">
        <v>190</v>
      </c>
      <c r="AN147" s="319" t="s">
        <v>190</v>
      </c>
      <c r="AO147" s="319" t="s">
        <v>190</v>
      </c>
      <c r="AP147" s="319" t="s">
        <v>190</v>
      </c>
      <c r="AQ147" s="319" t="s">
        <v>190</v>
      </c>
      <c r="AR147" s="319" t="s">
        <v>190</v>
      </c>
      <c r="AS147" s="319" t="s">
        <v>190</v>
      </c>
      <c r="AT147" s="319" t="s">
        <v>190</v>
      </c>
      <c r="AU147" s="319" t="s">
        <v>190</v>
      </c>
      <c r="AV147" s="319" t="s">
        <v>190</v>
      </c>
      <c r="AW147" s="319" t="s">
        <v>190</v>
      </c>
      <c r="AX147" s="319" t="s">
        <v>428</v>
      </c>
      <c r="AY147" s="319" t="s">
        <v>190</v>
      </c>
      <c r="AZ147" s="319" t="s">
        <v>190</v>
      </c>
      <c r="BA147" s="319" t="s">
        <v>190</v>
      </c>
      <c r="BB147" s="319" t="s">
        <v>190</v>
      </c>
      <c r="BC147" s="319" t="s">
        <v>190</v>
      </c>
      <c r="BD147" s="319" t="s">
        <v>190</v>
      </c>
      <c r="BE147" s="319" t="s">
        <v>190</v>
      </c>
      <c r="BF147" s="319" t="s">
        <v>190</v>
      </c>
      <c r="BG147" s="319" t="s">
        <v>428</v>
      </c>
      <c r="BH147" s="319" t="s">
        <v>190</v>
      </c>
      <c r="BI147" s="319" t="s">
        <v>190</v>
      </c>
      <c r="BJ147" s="319" t="s">
        <v>190</v>
      </c>
      <c r="BK147" s="319" t="s">
        <v>190</v>
      </c>
      <c r="BL147" s="319" t="s">
        <v>190</v>
      </c>
      <c r="BM147" s="319" t="s">
        <v>190</v>
      </c>
      <c r="BN147" s="319" t="s">
        <v>190</v>
      </c>
      <c r="BO147" s="319" t="s">
        <v>190</v>
      </c>
      <c r="BP147" s="319" t="s">
        <v>190</v>
      </c>
      <c r="BQ147" s="319" t="s">
        <v>190</v>
      </c>
      <c r="BR147" s="319" t="s">
        <v>190</v>
      </c>
      <c r="BS147" s="319" t="s">
        <v>190</v>
      </c>
      <c r="BT147" s="319" t="s">
        <v>190</v>
      </c>
      <c r="BU147" s="319" t="s">
        <v>190</v>
      </c>
      <c r="BV147" s="319" t="s">
        <v>190</v>
      </c>
      <c r="BW147" s="319" t="s">
        <v>190</v>
      </c>
      <c r="BX147" s="319" t="s">
        <v>190</v>
      </c>
      <c r="BY147" s="319" t="s">
        <v>190</v>
      </c>
      <c r="BZ147" s="319" t="s">
        <v>190</v>
      </c>
      <c r="CA147" s="319" t="s">
        <v>190</v>
      </c>
      <c r="CB147" s="319" t="s">
        <v>190</v>
      </c>
      <c r="CC147" s="319" t="s">
        <v>190</v>
      </c>
      <c r="CD147" s="319" t="s">
        <v>190</v>
      </c>
      <c r="CE147" s="319" t="s">
        <v>190</v>
      </c>
      <c r="CF147" s="319" t="s">
        <v>190</v>
      </c>
      <c r="CG147" s="319" t="s">
        <v>190</v>
      </c>
      <c r="CH147" s="319" t="s">
        <v>190</v>
      </c>
      <c r="CI147" s="319" t="s">
        <v>190</v>
      </c>
      <c r="CJ147" s="319" t="s">
        <v>190</v>
      </c>
      <c r="CK147" s="319" t="s">
        <v>190</v>
      </c>
      <c r="CL147" s="319" t="s">
        <v>190</v>
      </c>
      <c r="CM147" s="319" t="s">
        <v>190</v>
      </c>
      <c r="CN147" s="319" t="s">
        <v>428</v>
      </c>
      <c r="CO147" s="319" t="s">
        <v>428</v>
      </c>
      <c r="CP147" s="319" t="s">
        <v>428</v>
      </c>
      <c r="CQ147" s="319" t="s">
        <v>190</v>
      </c>
      <c r="CR147" s="319" t="s">
        <v>190</v>
      </c>
      <c r="CS147" s="319" t="s">
        <v>190</v>
      </c>
      <c r="CT147" s="319" t="s">
        <v>190</v>
      </c>
      <c r="CU147" s="319" t="s">
        <v>190</v>
      </c>
      <c r="CV147" s="319" t="s">
        <v>190</v>
      </c>
      <c r="CW147" s="319" t="s">
        <v>190</v>
      </c>
      <c r="CX147" s="319" t="s">
        <v>190</v>
      </c>
      <c r="CY147" s="319" t="s">
        <v>190</v>
      </c>
      <c r="CZ147" s="319" t="s">
        <v>190</v>
      </c>
      <c r="DA147" s="319" t="s">
        <v>190</v>
      </c>
      <c r="DB147" s="319" t="s">
        <v>190</v>
      </c>
      <c r="DC147" s="319" t="s">
        <v>190</v>
      </c>
      <c r="DD147" s="319" t="s">
        <v>190</v>
      </c>
      <c r="DE147" s="319" t="s">
        <v>190</v>
      </c>
      <c r="DF147" s="319" t="s">
        <v>190</v>
      </c>
      <c r="DG147" s="319" t="s">
        <v>190</v>
      </c>
      <c r="DH147" s="319" t="s">
        <v>190</v>
      </c>
      <c r="DI147" s="319" t="s">
        <v>190</v>
      </c>
      <c r="DJ147" s="319" t="s">
        <v>190</v>
      </c>
      <c r="DK147" s="319" t="s">
        <v>190</v>
      </c>
      <c r="DL147" s="319" t="s">
        <v>190</v>
      </c>
      <c r="DM147" s="319" t="s">
        <v>428</v>
      </c>
      <c r="DN147" s="319" t="s">
        <v>428</v>
      </c>
      <c r="DO147" s="319" t="s">
        <v>190</v>
      </c>
      <c r="DP147" s="319" t="s">
        <v>428</v>
      </c>
      <c r="DQ147" s="319" t="s">
        <v>428</v>
      </c>
      <c r="DR147" s="319" t="s">
        <v>428</v>
      </c>
      <c r="DS147" s="319" t="s">
        <v>428</v>
      </c>
      <c r="DT147" s="319" t="s">
        <v>428</v>
      </c>
      <c r="DU147" s="319" t="s">
        <v>428</v>
      </c>
      <c r="DV147" s="319" t="s">
        <v>173</v>
      </c>
      <c r="DW147" s="319" t="s">
        <v>428</v>
      </c>
      <c r="DX147" s="319" t="s">
        <v>428</v>
      </c>
      <c r="DY147" s="319" t="s">
        <v>428</v>
      </c>
      <c r="DZ147" s="319" t="s">
        <v>428</v>
      </c>
      <c r="EA147" s="319" t="s">
        <v>428</v>
      </c>
      <c r="EB147" s="319" t="s">
        <v>428</v>
      </c>
      <c r="EC147" s="319" t="s">
        <v>428</v>
      </c>
      <c r="ED147" s="319" t="s">
        <v>428</v>
      </c>
      <c r="EE147" s="319" t="s">
        <v>190</v>
      </c>
      <c r="EF147" s="319" t="s">
        <v>190</v>
      </c>
      <c r="EG147" s="319" t="s">
        <v>190</v>
      </c>
      <c r="EH147" s="319" t="s">
        <v>190</v>
      </c>
      <c r="EI147" s="319" t="s">
        <v>190</v>
      </c>
      <c r="EJ147" s="319" t="s">
        <v>190</v>
      </c>
      <c r="EK147" s="319" t="s">
        <v>190</v>
      </c>
      <c r="EL147" s="319" t="s">
        <v>428</v>
      </c>
      <c r="EM147" s="319" t="s">
        <v>428</v>
      </c>
      <c r="EN147" s="319" t="s">
        <v>190</v>
      </c>
      <c r="EO147" s="319" t="s">
        <v>190</v>
      </c>
      <c r="EP147" s="319" t="s">
        <v>190</v>
      </c>
      <c r="EQ147" s="319" t="s">
        <v>190</v>
      </c>
      <c r="ER147" s="319" t="s">
        <v>190</v>
      </c>
      <c r="ES147" s="319" t="s">
        <v>190</v>
      </c>
      <c r="ET147" s="319" t="s">
        <v>190</v>
      </c>
      <c r="EU147" s="319" t="s">
        <v>190</v>
      </c>
      <c r="EV147" s="319" t="s">
        <v>190</v>
      </c>
      <c r="EW147" s="319" t="s">
        <v>190</v>
      </c>
      <c r="EX147" s="319" t="s">
        <v>190</v>
      </c>
      <c r="EY147" s="319" t="s">
        <v>428</v>
      </c>
      <c r="EZ147" s="319" t="s">
        <v>190</v>
      </c>
      <c r="FA147" s="319" t="s">
        <v>190</v>
      </c>
      <c r="FB147" s="319" t="s">
        <v>428</v>
      </c>
      <c r="FC147" s="319" t="s">
        <v>428</v>
      </c>
      <c r="FD147" s="319" t="s">
        <v>428</v>
      </c>
      <c r="FE147" s="319" t="s">
        <v>428</v>
      </c>
      <c r="FF147" s="319" t="s">
        <v>428</v>
      </c>
      <c r="FG147" s="319" t="s">
        <v>428</v>
      </c>
      <c r="FH147" s="319" t="s">
        <v>428</v>
      </c>
      <c r="FI147" s="319" t="s">
        <v>190</v>
      </c>
      <c r="FJ147" s="319" t="s">
        <v>190</v>
      </c>
      <c r="FK147" s="319" t="s">
        <v>190</v>
      </c>
      <c r="FL147" s="319" t="s">
        <v>190</v>
      </c>
      <c r="FM147" s="319" t="s">
        <v>190</v>
      </c>
      <c r="FN147" s="319" t="s">
        <v>190</v>
      </c>
      <c r="FO147" s="319" t="s">
        <v>190</v>
      </c>
      <c r="FP147" s="319" t="s">
        <v>190</v>
      </c>
      <c r="FQ147" s="319" t="s">
        <v>190</v>
      </c>
      <c r="FR147" s="319" t="s">
        <v>190</v>
      </c>
      <c r="FS147" s="319" t="s">
        <v>190</v>
      </c>
      <c r="FT147" s="319" t="s">
        <v>190</v>
      </c>
      <c r="FU147" s="319" t="s">
        <v>190</v>
      </c>
      <c r="FV147" s="319" t="s">
        <v>190</v>
      </c>
      <c r="FW147" s="319" t="s">
        <v>190</v>
      </c>
      <c r="FX147" s="319" t="s">
        <v>190</v>
      </c>
      <c r="FY147" s="319" t="s">
        <v>190</v>
      </c>
      <c r="FZ147" s="319" t="s">
        <v>190</v>
      </c>
      <c r="GA147" s="319" t="s">
        <v>190</v>
      </c>
      <c r="GB147" s="319" t="s">
        <v>190</v>
      </c>
      <c r="GC147" s="319" t="s">
        <v>190</v>
      </c>
      <c r="GD147" s="319" t="s">
        <v>190</v>
      </c>
      <c r="GE147" s="319" t="s">
        <v>190</v>
      </c>
      <c r="GF147" s="319" t="s">
        <v>190</v>
      </c>
      <c r="GG147" s="319" t="s">
        <v>190</v>
      </c>
      <c r="GH147" s="319" t="s">
        <v>190</v>
      </c>
      <c r="GI147" s="319" t="s">
        <v>190</v>
      </c>
      <c r="GJ147" s="319" t="s">
        <v>190</v>
      </c>
      <c r="GK147" s="319" t="s">
        <v>428</v>
      </c>
      <c r="GL147" s="319" t="s">
        <v>190</v>
      </c>
      <c r="GM147" s="319" t="s">
        <v>190</v>
      </c>
      <c r="GN147" s="319" t="s">
        <v>190</v>
      </c>
      <c r="GO147" s="319" t="s">
        <v>190</v>
      </c>
      <c r="GP147" s="319" t="s">
        <v>190</v>
      </c>
      <c r="GQ147" s="319" t="s">
        <v>190</v>
      </c>
      <c r="GR147" s="319" t="s">
        <v>190</v>
      </c>
      <c r="GS147" s="319" t="s">
        <v>190</v>
      </c>
      <c r="GT147" s="319" t="s">
        <v>190</v>
      </c>
      <c r="GU147" s="319" t="s">
        <v>190</v>
      </c>
      <c r="GV147" s="319" t="s">
        <v>190</v>
      </c>
      <c r="GW147" s="319" t="s">
        <v>190</v>
      </c>
      <c r="GX147" s="319" t="s">
        <v>190</v>
      </c>
      <c r="GY147" s="319" t="s">
        <v>190</v>
      </c>
      <c r="GZ147" s="319" t="s">
        <v>428</v>
      </c>
      <c r="HA147" s="319" t="s">
        <v>190</v>
      </c>
      <c r="HB147" s="319" t="s">
        <v>190</v>
      </c>
      <c r="HC147" s="319" t="s">
        <v>190</v>
      </c>
      <c r="HD147" s="319" t="s">
        <v>190</v>
      </c>
      <c r="HE147" s="319" t="s">
        <v>190</v>
      </c>
      <c r="HF147" s="319" t="s">
        <v>190</v>
      </c>
      <c r="HG147" s="319" t="s">
        <v>190</v>
      </c>
      <c r="HH147" s="319" t="s">
        <v>190</v>
      </c>
      <c r="HI147" s="319" t="s">
        <v>428</v>
      </c>
      <c r="HJ147" s="319" t="s">
        <v>190</v>
      </c>
      <c r="HK147" s="319" t="s">
        <v>190</v>
      </c>
      <c r="HL147" s="319" t="s">
        <v>428</v>
      </c>
      <c r="HM147" s="319" t="s">
        <v>428</v>
      </c>
      <c r="HN147" s="319" t="s">
        <v>428</v>
      </c>
      <c r="HO147" s="319" t="s">
        <v>428</v>
      </c>
      <c r="HP147" s="319" t="s">
        <v>190</v>
      </c>
      <c r="HQ147" s="319" t="s">
        <v>190</v>
      </c>
      <c r="HR147" s="319" t="s">
        <v>190</v>
      </c>
      <c r="HS147" s="319" t="s">
        <v>190</v>
      </c>
      <c r="HT147" s="319" t="s">
        <v>190</v>
      </c>
      <c r="HU147" s="319" t="s">
        <v>190</v>
      </c>
      <c r="HV147" s="319" t="s">
        <v>190</v>
      </c>
      <c r="HW147" s="319" t="s">
        <v>190</v>
      </c>
      <c r="HX147" s="319" t="s">
        <v>190</v>
      </c>
      <c r="HY147" s="319" t="s">
        <v>190</v>
      </c>
      <c r="HZ147" s="319" t="s">
        <v>190</v>
      </c>
      <c r="IA147" s="319" t="s">
        <v>190</v>
      </c>
      <c r="IB147" s="319" t="s">
        <v>190</v>
      </c>
      <c r="IC147" s="319" t="s">
        <v>190</v>
      </c>
      <c r="ID147" s="319" t="s">
        <v>190</v>
      </c>
      <c r="IE147" s="319" t="s">
        <v>190</v>
      </c>
      <c r="IF147" s="319" t="s">
        <v>190</v>
      </c>
      <c r="IG147" s="319" t="s">
        <v>190</v>
      </c>
      <c r="IH147" s="319" t="s">
        <v>190</v>
      </c>
      <c r="II147" s="319" t="s">
        <v>190</v>
      </c>
      <c r="IJ147" s="319" t="s">
        <v>2924</v>
      </c>
      <c r="IK147" s="321">
        <v>42192</v>
      </c>
      <c r="IL147" s="321">
        <v>42194</v>
      </c>
      <c r="IM147" s="321">
        <v>42221</v>
      </c>
      <c r="IN147" s="319">
        <v>2</v>
      </c>
      <c r="IO147" s="319" t="s">
        <v>173</v>
      </c>
      <c r="IP147" s="319" t="s">
        <v>173</v>
      </c>
      <c r="IQ147" s="321" t="s">
        <v>173</v>
      </c>
      <c r="IR147" s="320" t="s">
        <v>173</v>
      </c>
      <c r="IS147" s="322" t="s">
        <v>173</v>
      </c>
      <c r="IT147" s="319" t="s">
        <v>173</v>
      </c>
    </row>
    <row r="148" spans="1:254" s="271" customFormat="1" x14ac:dyDescent="0.25">
      <c r="A148" s="318" t="str">
        <f>HYPERLINK("http://www.ofsted.gov.uk/inspection-reports/find-inspection-report/provider/ELS/113594 ","Ofsted School Webpage")</f>
        <v>Ofsted School Webpage</v>
      </c>
      <c r="B148" s="319">
        <v>113594</v>
      </c>
      <c r="C148" s="319">
        <v>8796001</v>
      </c>
      <c r="D148" s="319" t="s">
        <v>1413</v>
      </c>
      <c r="E148" s="319" t="s">
        <v>167</v>
      </c>
      <c r="F148" s="319" t="s">
        <v>66</v>
      </c>
      <c r="G148" s="319" t="s">
        <v>66</v>
      </c>
      <c r="H148" s="319" t="s">
        <v>66</v>
      </c>
      <c r="I148" s="319" t="s">
        <v>59</v>
      </c>
      <c r="J148" s="319" t="s">
        <v>424</v>
      </c>
      <c r="K148" s="319" t="s">
        <v>422</v>
      </c>
      <c r="L148" s="319" t="s">
        <v>422</v>
      </c>
      <c r="M148" s="319" t="s">
        <v>1414</v>
      </c>
      <c r="N148" s="319" t="s">
        <v>2925</v>
      </c>
      <c r="O148" s="319" t="s">
        <v>1415</v>
      </c>
      <c r="P148" s="319">
        <v>52</v>
      </c>
      <c r="Q148" s="319" t="s">
        <v>2766</v>
      </c>
      <c r="R148" s="320">
        <v>10107527</v>
      </c>
      <c r="S148" s="321">
        <v>43788</v>
      </c>
      <c r="T148" s="321">
        <v>43790</v>
      </c>
      <c r="U148" s="321">
        <v>43810</v>
      </c>
      <c r="V148" s="319" t="s">
        <v>425</v>
      </c>
      <c r="W148" s="319" t="s">
        <v>2767</v>
      </c>
      <c r="X148" s="319">
        <v>2</v>
      </c>
      <c r="Y148" s="319">
        <v>2</v>
      </c>
      <c r="Z148" s="319">
        <v>2</v>
      </c>
      <c r="AA148" s="319">
        <v>1</v>
      </c>
      <c r="AB148" s="319">
        <v>2</v>
      </c>
      <c r="AC148" s="319" t="s">
        <v>169</v>
      </c>
      <c r="AD148" s="319">
        <v>1</v>
      </c>
      <c r="AE148" s="319" t="s">
        <v>173</v>
      </c>
      <c r="AF148" s="319" t="s">
        <v>427</v>
      </c>
      <c r="AG148" s="319" t="s">
        <v>171</v>
      </c>
      <c r="AH148" s="319" t="s">
        <v>190</v>
      </c>
      <c r="AI148" s="319" t="s">
        <v>190</v>
      </c>
      <c r="AJ148" s="319" t="s">
        <v>190</v>
      </c>
      <c r="AK148" s="319" t="s">
        <v>190</v>
      </c>
      <c r="AL148" s="319" t="s">
        <v>190</v>
      </c>
      <c r="AM148" s="319" t="s">
        <v>190</v>
      </c>
      <c r="AN148" s="319" t="s">
        <v>190</v>
      </c>
      <c r="AO148" s="319" t="s">
        <v>190</v>
      </c>
      <c r="AP148" s="319" t="s">
        <v>190</v>
      </c>
      <c r="AQ148" s="319" t="s">
        <v>190</v>
      </c>
      <c r="AR148" s="319" t="s">
        <v>190</v>
      </c>
      <c r="AS148" s="319" t="s">
        <v>190</v>
      </c>
      <c r="AT148" s="319" t="s">
        <v>190</v>
      </c>
      <c r="AU148" s="319" t="s">
        <v>190</v>
      </c>
      <c r="AV148" s="319" t="s">
        <v>190</v>
      </c>
      <c r="AW148" s="319" t="s">
        <v>190</v>
      </c>
      <c r="AX148" s="319" t="s">
        <v>428</v>
      </c>
      <c r="AY148" s="319" t="s">
        <v>190</v>
      </c>
      <c r="AZ148" s="319" t="s">
        <v>190</v>
      </c>
      <c r="BA148" s="319" t="s">
        <v>190</v>
      </c>
      <c r="BB148" s="319" t="s">
        <v>428</v>
      </c>
      <c r="BC148" s="319" t="s">
        <v>428</v>
      </c>
      <c r="BD148" s="319" t="s">
        <v>428</v>
      </c>
      <c r="BE148" s="319" t="s">
        <v>428</v>
      </c>
      <c r="BF148" s="319" t="s">
        <v>190</v>
      </c>
      <c r="BG148" s="319" t="s">
        <v>428</v>
      </c>
      <c r="BH148" s="319" t="s">
        <v>190</v>
      </c>
      <c r="BI148" s="319" t="s">
        <v>190</v>
      </c>
      <c r="BJ148" s="319" t="s">
        <v>190</v>
      </c>
      <c r="BK148" s="319" t="s">
        <v>190</v>
      </c>
      <c r="BL148" s="319" t="s">
        <v>190</v>
      </c>
      <c r="BM148" s="319" t="s">
        <v>190</v>
      </c>
      <c r="BN148" s="319" t="s">
        <v>190</v>
      </c>
      <c r="BO148" s="319" t="s">
        <v>190</v>
      </c>
      <c r="BP148" s="319" t="s">
        <v>190</v>
      </c>
      <c r="BQ148" s="319" t="s">
        <v>190</v>
      </c>
      <c r="BR148" s="319" t="s">
        <v>190</v>
      </c>
      <c r="BS148" s="319" t="s">
        <v>190</v>
      </c>
      <c r="BT148" s="319" t="s">
        <v>190</v>
      </c>
      <c r="BU148" s="319" t="s">
        <v>190</v>
      </c>
      <c r="BV148" s="319" t="s">
        <v>190</v>
      </c>
      <c r="BW148" s="319" t="s">
        <v>190</v>
      </c>
      <c r="BX148" s="319" t="s">
        <v>190</v>
      </c>
      <c r="BY148" s="319" t="s">
        <v>190</v>
      </c>
      <c r="BZ148" s="319" t="s">
        <v>190</v>
      </c>
      <c r="CA148" s="319" t="s">
        <v>190</v>
      </c>
      <c r="CB148" s="319" t="s">
        <v>190</v>
      </c>
      <c r="CC148" s="319" t="s">
        <v>190</v>
      </c>
      <c r="CD148" s="319" t="s">
        <v>190</v>
      </c>
      <c r="CE148" s="319" t="s">
        <v>190</v>
      </c>
      <c r="CF148" s="319" t="s">
        <v>190</v>
      </c>
      <c r="CG148" s="319" t="s">
        <v>190</v>
      </c>
      <c r="CH148" s="319" t="s">
        <v>190</v>
      </c>
      <c r="CI148" s="319" t="s">
        <v>190</v>
      </c>
      <c r="CJ148" s="319" t="s">
        <v>190</v>
      </c>
      <c r="CK148" s="319" t="s">
        <v>190</v>
      </c>
      <c r="CL148" s="319" t="s">
        <v>190</v>
      </c>
      <c r="CM148" s="319" t="s">
        <v>190</v>
      </c>
      <c r="CN148" s="319" t="s">
        <v>428</v>
      </c>
      <c r="CO148" s="319" t="s">
        <v>428</v>
      </c>
      <c r="CP148" s="319" t="s">
        <v>428</v>
      </c>
      <c r="CQ148" s="319" t="s">
        <v>190</v>
      </c>
      <c r="CR148" s="319" t="s">
        <v>190</v>
      </c>
      <c r="CS148" s="319" t="s">
        <v>190</v>
      </c>
      <c r="CT148" s="319" t="s">
        <v>190</v>
      </c>
      <c r="CU148" s="319" t="s">
        <v>190</v>
      </c>
      <c r="CV148" s="319" t="s">
        <v>190</v>
      </c>
      <c r="CW148" s="319" t="s">
        <v>190</v>
      </c>
      <c r="CX148" s="319" t="s">
        <v>190</v>
      </c>
      <c r="CY148" s="319" t="s">
        <v>190</v>
      </c>
      <c r="CZ148" s="319" t="s">
        <v>190</v>
      </c>
      <c r="DA148" s="319" t="s">
        <v>190</v>
      </c>
      <c r="DB148" s="319" t="s">
        <v>190</v>
      </c>
      <c r="DC148" s="319" t="s">
        <v>190</v>
      </c>
      <c r="DD148" s="319" t="s">
        <v>190</v>
      </c>
      <c r="DE148" s="319" t="s">
        <v>190</v>
      </c>
      <c r="DF148" s="319" t="s">
        <v>190</v>
      </c>
      <c r="DG148" s="319" t="s">
        <v>190</v>
      </c>
      <c r="DH148" s="319" t="s">
        <v>190</v>
      </c>
      <c r="DI148" s="319" t="s">
        <v>190</v>
      </c>
      <c r="DJ148" s="319" t="s">
        <v>190</v>
      </c>
      <c r="DK148" s="319" t="s">
        <v>190</v>
      </c>
      <c r="DL148" s="319" t="s">
        <v>190</v>
      </c>
      <c r="DM148" s="319" t="s">
        <v>190</v>
      </c>
      <c r="DN148" s="319" t="s">
        <v>428</v>
      </c>
      <c r="DO148" s="319" t="s">
        <v>190</v>
      </c>
      <c r="DP148" s="319" t="s">
        <v>190</v>
      </c>
      <c r="DQ148" s="319" t="s">
        <v>190</v>
      </c>
      <c r="DR148" s="319" t="s">
        <v>190</v>
      </c>
      <c r="DS148" s="319" t="s">
        <v>190</v>
      </c>
      <c r="DT148" s="319" t="s">
        <v>190</v>
      </c>
      <c r="DU148" s="319" t="s">
        <v>190</v>
      </c>
      <c r="DV148" s="319" t="s">
        <v>190</v>
      </c>
      <c r="DW148" s="319" t="s">
        <v>190</v>
      </c>
      <c r="DX148" s="319" t="s">
        <v>190</v>
      </c>
      <c r="DY148" s="319" t="s">
        <v>190</v>
      </c>
      <c r="DZ148" s="319" t="s">
        <v>190</v>
      </c>
      <c r="EA148" s="319" t="s">
        <v>190</v>
      </c>
      <c r="EB148" s="319" t="s">
        <v>190</v>
      </c>
      <c r="EC148" s="319" t="s">
        <v>428</v>
      </c>
      <c r="ED148" s="319" t="s">
        <v>190</v>
      </c>
      <c r="EE148" s="319" t="s">
        <v>190</v>
      </c>
      <c r="EF148" s="319" t="s">
        <v>190</v>
      </c>
      <c r="EG148" s="319" t="s">
        <v>190</v>
      </c>
      <c r="EH148" s="319" t="s">
        <v>190</v>
      </c>
      <c r="EI148" s="319" t="s">
        <v>190</v>
      </c>
      <c r="EJ148" s="319" t="s">
        <v>190</v>
      </c>
      <c r="EK148" s="319" t="s">
        <v>190</v>
      </c>
      <c r="EL148" s="319" t="s">
        <v>190</v>
      </c>
      <c r="EM148" s="319" t="s">
        <v>428</v>
      </c>
      <c r="EN148" s="319" t="s">
        <v>190</v>
      </c>
      <c r="EO148" s="319" t="s">
        <v>190</v>
      </c>
      <c r="EP148" s="319" t="s">
        <v>190</v>
      </c>
      <c r="EQ148" s="319" t="s">
        <v>190</v>
      </c>
      <c r="ER148" s="319" t="s">
        <v>190</v>
      </c>
      <c r="ES148" s="319" t="s">
        <v>190</v>
      </c>
      <c r="ET148" s="319" t="s">
        <v>190</v>
      </c>
      <c r="EU148" s="319" t="s">
        <v>190</v>
      </c>
      <c r="EV148" s="319" t="s">
        <v>190</v>
      </c>
      <c r="EW148" s="319" t="s">
        <v>190</v>
      </c>
      <c r="EX148" s="319" t="s">
        <v>190</v>
      </c>
      <c r="EY148" s="319" t="s">
        <v>190</v>
      </c>
      <c r="EZ148" s="319" t="s">
        <v>190</v>
      </c>
      <c r="FA148" s="319" t="s">
        <v>190</v>
      </c>
      <c r="FB148" s="319" t="s">
        <v>190</v>
      </c>
      <c r="FC148" s="319" t="s">
        <v>190</v>
      </c>
      <c r="FD148" s="319" t="s">
        <v>190</v>
      </c>
      <c r="FE148" s="319" t="s">
        <v>190</v>
      </c>
      <c r="FF148" s="319" t="s">
        <v>428</v>
      </c>
      <c r="FG148" s="319" t="s">
        <v>190</v>
      </c>
      <c r="FH148" s="319" t="s">
        <v>190</v>
      </c>
      <c r="FI148" s="319" t="s">
        <v>428</v>
      </c>
      <c r="FJ148" s="319" t="s">
        <v>429</v>
      </c>
      <c r="FK148" s="319" t="s">
        <v>428</v>
      </c>
      <c r="FL148" s="319" t="s">
        <v>190</v>
      </c>
      <c r="FM148" s="319" t="s">
        <v>190</v>
      </c>
      <c r="FN148" s="319" t="s">
        <v>190</v>
      </c>
      <c r="FO148" s="319" t="s">
        <v>428</v>
      </c>
      <c r="FP148" s="319" t="s">
        <v>190</v>
      </c>
      <c r="FQ148" s="319" t="s">
        <v>190</v>
      </c>
      <c r="FR148" s="319" t="s">
        <v>190</v>
      </c>
      <c r="FS148" s="319" t="s">
        <v>428</v>
      </c>
      <c r="FT148" s="319" t="s">
        <v>190</v>
      </c>
      <c r="FU148" s="319" t="s">
        <v>190</v>
      </c>
      <c r="FV148" s="319" t="s">
        <v>190</v>
      </c>
      <c r="FW148" s="319" t="s">
        <v>190</v>
      </c>
      <c r="FX148" s="319" t="s">
        <v>190</v>
      </c>
      <c r="FY148" s="319" t="s">
        <v>190</v>
      </c>
      <c r="FZ148" s="319" t="s">
        <v>190</v>
      </c>
      <c r="GA148" s="319" t="s">
        <v>190</v>
      </c>
      <c r="GB148" s="319" t="s">
        <v>190</v>
      </c>
      <c r="GC148" s="319" t="s">
        <v>190</v>
      </c>
      <c r="GD148" s="319" t="s">
        <v>190</v>
      </c>
      <c r="GE148" s="319" t="s">
        <v>190</v>
      </c>
      <c r="GF148" s="319" t="s">
        <v>190</v>
      </c>
      <c r="GG148" s="319" t="s">
        <v>190</v>
      </c>
      <c r="GH148" s="319" t="s">
        <v>190</v>
      </c>
      <c r="GI148" s="319" t="s">
        <v>190</v>
      </c>
      <c r="GJ148" s="319" t="s">
        <v>190</v>
      </c>
      <c r="GK148" s="319" t="s">
        <v>428</v>
      </c>
      <c r="GL148" s="319" t="s">
        <v>190</v>
      </c>
      <c r="GM148" s="319" t="s">
        <v>190</v>
      </c>
      <c r="GN148" s="319" t="s">
        <v>190</v>
      </c>
      <c r="GO148" s="319" t="s">
        <v>190</v>
      </c>
      <c r="GP148" s="319" t="s">
        <v>190</v>
      </c>
      <c r="GQ148" s="319" t="s">
        <v>428</v>
      </c>
      <c r="GR148" s="319" t="s">
        <v>190</v>
      </c>
      <c r="GS148" s="319" t="s">
        <v>190</v>
      </c>
      <c r="GT148" s="319" t="s">
        <v>428</v>
      </c>
      <c r="GU148" s="319" t="s">
        <v>428</v>
      </c>
      <c r="GV148" s="319" t="s">
        <v>428</v>
      </c>
      <c r="GW148" s="319" t="s">
        <v>190</v>
      </c>
      <c r="GX148" s="319" t="s">
        <v>190</v>
      </c>
      <c r="GY148" s="319" t="s">
        <v>190</v>
      </c>
      <c r="GZ148" s="319" t="s">
        <v>428</v>
      </c>
      <c r="HA148" s="319" t="s">
        <v>190</v>
      </c>
      <c r="HB148" s="319" t="s">
        <v>190</v>
      </c>
      <c r="HC148" s="319" t="s">
        <v>190</v>
      </c>
      <c r="HD148" s="319" t="s">
        <v>190</v>
      </c>
      <c r="HE148" s="319" t="s">
        <v>190</v>
      </c>
      <c r="HF148" s="319" t="s">
        <v>190</v>
      </c>
      <c r="HG148" s="319" t="s">
        <v>190</v>
      </c>
      <c r="HH148" s="319" t="s">
        <v>190</v>
      </c>
      <c r="HI148" s="319" t="s">
        <v>190</v>
      </c>
      <c r="HJ148" s="319" t="s">
        <v>190</v>
      </c>
      <c r="HK148" s="319" t="s">
        <v>190</v>
      </c>
      <c r="HL148" s="319" t="s">
        <v>428</v>
      </c>
      <c r="HM148" s="319" t="s">
        <v>428</v>
      </c>
      <c r="HN148" s="319" t="s">
        <v>428</v>
      </c>
      <c r="HO148" s="319" t="s">
        <v>428</v>
      </c>
      <c r="HP148" s="319" t="s">
        <v>190</v>
      </c>
      <c r="HQ148" s="319" t="s">
        <v>190</v>
      </c>
      <c r="HR148" s="319" t="s">
        <v>190</v>
      </c>
      <c r="HS148" s="319" t="s">
        <v>190</v>
      </c>
      <c r="HT148" s="319" t="s">
        <v>190</v>
      </c>
      <c r="HU148" s="319" t="s">
        <v>190</v>
      </c>
      <c r="HV148" s="319" t="s">
        <v>190</v>
      </c>
      <c r="HW148" s="319" t="s">
        <v>190</v>
      </c>
      <c r="HX148" s="319" t="s">
        <v>190</v>
      </c>
      <c r="HY148" s="319" t="s">
        <v>190</v>
      </c>
      <c r="HZ148" s="319" t="s">
        <v>190</v>
      </c>
      <c r="IA148" s="319" t="s">
        <v>190</v>
      </c>
      <c r="IB148" s="319" t="s">
        <v>190</v>
      </c>
      <c r="IC148" s="319" t="s">
        <v>190</v>
      </c>
      <c r="ID148" s="319" t="s">
        <v>190</v>
      </c>
      <c r="IE148" s="319" t="s">
        <v>190</v>
      </c>
      <c r="IF148" s="319" t="s">
        <v>190</v>
      </c>
      <c r="IG148" s="319" t="s">
        <v>190</v>
      </c>
      <c r="IH148" s="319" t="s">
        <v>190</v>
      </c>
      <c r="II148" s="319" t="s">
        <v>190</v>
      </c>
      <c r="IJ148" s="319">
        <v>10020897</v>
      </c>
      <c r="IK148" s="321">
        <v>42822</v>
      </c>
      <c r="IL148" s="321">
        <v>42824</v>
      </c>
      <c r="IM148" s="321">
        <v>42866</v>
      </c>
      <c r="IN148" s="319">
        <v>2</v>
      </c>
      <c r="IO148" s="319" t="s">
        <v>173</v>
      </c>
      <c r="IP148" s="319" t="s">
        <v>173</v>
      </c>
      <c r="IQ148" s="319" t="s">
        <v>173</v>
      </c>
      <c r="IR148" s="320" t="s">
        <v>173</v>
      </c>
      <c r="IS148" s="320" t="s">
        <v>173</v>
      </c>
      <c r="IT148" s="319" t="s">
        <v>173</v>
      </c>
    </row>
    <row r="149" spans="1:254" s="271" customFormat="1" x14ac:dyDescent="0.25">
      <c r="A149" s="318" t="str">
        <f>HYPERLINK("http://www.ofsted.gov.uk/inspection-reports/find-inspection-report/provider/ELS/113603 ","Ofsted School Webpage")</f>
        <v>Ofsted School Webpage</v>
      </c>
      <c r="B149" s="319">
        <v>113603</v>
      </c>
      <c r="C149" s="319">
        <v>8786029</v>
      </c>
      <c r="D149" s="319" t="s">
        <v>1416</v>
      </c>
      <c r="E149" s="319" t="s">
        <v>167</v>
      </c>
      <c r="F149" s="319" t="s">
        <v>81</v>
      </c>
      <c r="G149" s="319" t="s">
        <v>81</v>
      </c>
      <c r="H149" s="319" t="s">
        <v>81</v>
      </c>
      <c r="I149" s="319" t="s">
        <v>78</v>
      </c>
      <c r="J149" s="319" t="s">
        <v>424</v>
      </c>
      <c r="K149" s="319" t="s">
        <v>422</v>
      </c>
      <c r="L149" s="319" t="s">
        <v>422</v>
      </c>
      <c r="M149" s="319" t="s">
        <v>663</v>
      </c>
      <c r="N149" s="319" t="s">
        <v>2926</v>
      </c>
      <c r="O149" s="319" t="s">
        <v>1417</v>
      </c>
      <c r="P149" s="319">
        <v>245</v>
      </c>
      <c r="Q149" s="319" t="s">
        <v>2776</v>
      </c>
      <c r="R149" s="320">
        <v>10094394</v>
      </c>
      <c r="S149" s="321">
        <v>43557</v>
      </c>
      <c r="T149" s="321">
        <v>43559</v>
      </c>
      <c r="U149" s="321">
        <v>43598</v>
      </c>
      <c r="V149" s="319" t="s">
        <v>554</v>
      </c>
      <c r="W149" s="319" t="s">
        <v>2767</v>
      </c>
      <c r="X149" s="319">
        <v>4</v>
      </c>
      <c r="Y149" s="319" t="s">
        <v>173</v>
      </c>
      <c r="Z149" s="319" t="s">
        <v>173</v>
      </c>
      <c r="AA149" s="319" t="s">
        <v>173</v>
      </c>
      <c r="AB149" s="319">
        <v>4</v>
      </c>
      <c r="AC149" s="319" t="s">
        <v>170</v>
      </c>
      <c r="AD149" s="319">
        <v>4</v>
      </c>
      <c r="AE149" s="319">
        <v>4</v>
      </c>
      <c r="AF149" s="319" t="s">
        <v>427</v>
      </c>
      <c r="AG149" s="319" t="s">
        <v>172</v>
      </c>
      <c r="AH149" s="319" t="s">
        <v>479</v>
      </c>
      <c r="AI149" s="319" t="s">
        <v>190</v>
      </c>
      <c r="AJ149" s="319" t="s">
        <v>479</v>
      </c>
      <c r="AK149" s="319" t="s">
        <v>479</v>
      </c>
      <c r="AL149" s="319" t="s">
        <v>190</v>
      </c>
      <c r="AM149" s="319" t="s">
        <v>190</v>
      </c>
      <c r="AN149" s="319" t="s">
        <v>190</v>
      </c>
      <c r="AO149" s="319" t="s">
        <v>479</v>
      </c>
      <c r="AP149" s="319" t="s">
        <v>190</v>
      </c>
      <c r="AQ149" s="319" t="s">
        <v>190</v>
      </c>
      <c r="AR149" s="319" t="s">
        <v>190</v>
      </c>
      <c r="AS149" s="319" t="s">
        <v>190</v>
      </c>
      <c r="AT149" s="319" t="s">
        <v>190</v>
      </c>
      <c r="AU149" s="319" t="s">
        <v>190</v>
      </c>
      <c r="AV149" s="319" t="s">
        <v>190</v>
      </c>
      <c r="AW149" s="319" t="s">
        <v>190</v>
      </c>
      <c r="AX149" s="319" t="s">
        <v>428</v>
      </c>
      <c r="AY149" s="319" t="s">
        <v>190</v>
      </c>
      <c r="AZ149" s="319" t="s">
        <v>190</v>
      </c>
      <c r="BA149" s="319" t="s">
        <v>190</v>
      </c>
      <c r="BB149" s="319" t="s">
        <v>190</v>
      </c>
      <c r="BC149" s="319" t="s">
        <v>190</v>
      </c>
      <c r="BD149" s="319" t="s">
        <v>190</v>
      </c>
      <c r="BE149" s="319" t="s">
        <v>190</v>
      </c>
      <c r="BF149" s="319" t="s">
        <v>190</v>
      </c>
      <c r="BG149" s="319" t="s">
        <v>190</v>
      </c>
      <c r="BH149" s="319" t="s">
        <v>190</v>
      </c>
      <c r="BI149" s="319" t="s">
        <v>190</v>
      </c>
      <c r="BJ149" s="319" t="s">
        <v>191</v>
      </c>
      <c r="BK149" s="319" t="s">
        <v>191</v>
      </c>
      <c r="BL149" s="319" t="s">
        <v>191</v>
      </c>
      <c r="BM149" s="319" t="s">
        <v>191</v>
      </c>
      <c r="BN149" s="319" t="s">
        <v>191</v>
      </c>
      <c r="BO149" s="319" t="s">
        <v>190</v>
      </c>
      <c r="BP149" s="319" t="s">
        <v>190</v>
      </c>
      <c r="BQ149" s="319" t="s">
        <v>190</v>
      </c>
      <c r="BR149" s="319" t="s">
        <v>190</v>
      </c>
      <c r="BS149" s="319" t="s">
        <v>190</v>
      </c>
      <c r="BT149" s="319" t="s">
        <v>190</v>
      </c>
      <c r="BU149" s="319" t="s">
        <v>190</v>
      </c>
      <c r="BV149" s="319" t="s">
        <v>190</v>
      </c>
      <c r="BW149" s="319" t="s">
        <v>190</v>
      </c>
      <c r="BX149" s="319" t="s">
        <v>190</v>
      </c>
      <c r="BY149" s="319" t="s">
        <v>190</v>
      </c>
      <c r="BZ149" s="319" t="s">
        <v>190</v>
      </c>
      <c r="CA149" s="319" t="s">
        <v>190</v>
      </c>
      <c r="CB149" s="319" t="s">
        <v>190</v>
      </c>
      <c r="CC149" s="319" t="s">
        <v>190</v>
      </c>
      <c r="CD149" s="319" t="s">
        <v>190</v>
      </c>
      <c r="CE149" s="319" t="s">
        <v>190</v>
      </c>
      <c r="CF149" s="319" t="s">
        <v>190</v>
      </c>
      <c r="CG149" s="319" t="s">
        <v>190</v>
      </c>
      <c r="CH149" s="319" t="s">
        <v>190</v>
      </c>
      <c r="CI149" s="319" t="s">
        <v>190</v>
      </c>
      <c r="CJ149" s="319" t="s">
        <v>190</v>
      </c>
      <c r="CK149" s="319" t="s">
        <v>191</v>
      </c>
      <c r="CL149" s="319" t="s">
        <v>191</v>
      </c>
      <c r="CM149" s="319" t="s">
        <v>191</v>
      </c>
      <c r="CN149" s="319" t="s">
        <v>191</v>
      </c>
      <c r="CO149" s="319" t="s">
        <v>191</v>
      </c>
      <c r="CP149" s="319" t="s">
        <v>191</v>
      </c>
      <c r="CQ149" s="319" t="s">
        <v>190</v>
      </c>
      <c r="CR149" s="319" t="s">
        <v>190</v>
      </c>
      <c r="CS149" s="319" t="s">
        <v>190</v>
      </c>
      <c r="CT149" s="319" t="s">
        <v>190</v>
      </c>
      <c r="CU149" s="319" t="s">
        <v>190</v>
      </c>
      <c r="CV149" s="319" t="s">
        <v>190</v>
      </c>
      <c r="CW149" s="319" t="s">
        <v>190</v>
      </c>
      <c r="CX149" s="319" t="s">
        <v>190</v>
      </c>
      <c r="CY149" s="319" t="s">
        <v>190</v>
      </c>
      <c r="CZ149" s="319" t="s">
        <v>190</v>
      </c>
      <c r="DA149" s="319" t="s">
        <v>190</v>
      </c>
      <c r="DB149" s="319" t="s">
        <v>190</v>
      </c>
      <c r="DC149" s="319" t="s">
        <v>190</v>
      </c>
      <c r="DD149" s="319" t="s">
        <v>191</v>
      </c>
      <c r="DE149" s="319" t="s">
        <v>190</v>
      </c>
      <c r="DF149" s="319" t="s">
        <v>191</v>
      </c>
      <c r="DG149" s="319" t="s">
        <v>191</v>
      </c>
      <c r="DH149" s="319" t="s">
        <v>191</v>
      </c>
      <c r="DI149" s="319" t="s">
        <v>190</v>
      </c>
      <c r="DJ149" s="319" t="s">
        <v>191</v>
      </c>
      <c r="DK149" s="319" t="s">
        <v>190</v>
      </c>
      <c r="DL149" s="319" t="s">
        <v>190</v>
      </c>
      <c r="DM149" s="319" t="s">
        <v>191</v>
      </c>
      <c r="DN149" s="319" t="s">
        <v>191</v>
      </c>
      <c r="DO149" s="319" t="s">
        <v>191</v>
      </c>
      <c r="DP149" s="319" t="s">
        <v>428</v>
      </c>
      <c r="DQ149" s="319" t="s">
        <v>428</v>
      </c>
      <c r="DR149" s="319" t="s">
        <v>428</v>
      </c>
      <c r="DS149" s="319" t="s">
        <v>428</v>
      </c>
      <c r="DT149" s="319" t="s">
        <v>428</v>
      </c>
      <c r="DU149" s="319" t="s">
        <v>428</v>
      </c>
      <c r="DV149" s="319" t="s">
        <v>173</v>
      </c>
      <c r="DW149" s="319" t="s">
        <v>428</v>
      </c>
      <c r="DX149" s="319" t="s">
        <v>428</v>
      </c>
      <c r="DY149" s="319" t="s">
        <v>428</v>
      </c>
      <c r="DZ149" s="319" t="s">
        <v>428</v>
      </c>
      <c r="EA149" s="319" t="s">
        <v>428</v>
      </c>
      <c r="EB149" s="319" t="s">
        <v>428</v>
      </c>
      <c r="EC149" s="319" t="s">
        <v>428</v>
      </c>
      <c r="ED149" s="319" t="s">
        <v>428</v>
      </c>
      <c r="EE149" s="319" t="s">
        <v>428</v>
      </c>
      <c r="EF149" s="319" t="s">
        <v>428</v>
      </c>
      <c r="EG149" s="319" t="s">
        <v>428</v>
      </c>
      <c r="EH149" s="319" t="s">
        <v>428</v>
      </c>
      <c r="EI149" s="319" t="s">
        <v>428</v>
      </c>
      <c r="EJ149" s="319" t="s">
        <v>428</v>
      </c>
      <c r="EK149" s="319" t="s">
        <v>428</v>
      </c>
      <c r="EL149" s="319" t="s">
        <v>428</v>
      </c>
      <c r="EM149" s="319" t="s">
        <v>428</v>
      </c>
      <c r="EN149" s="319" t="s">
        <v>428</v>
      </c>
      <c r="EO149" s="319" t="s">
        <v>428</v>
      </c>
      <c r="EP149" s="319" t="s">
        <v>428</v>
      </c>
      <c r="EQ149" s="319" t="s">
        <v>190</v>
      </c>
      <c r="ER149" s="319" t="s">
        <v>190</v>
      </c>
      <c r="ES149" s="319" t="s">
        <v>190</v>
      </c>
      <c r="ET149" s="319" t="s">
        <v>190</v>
      </c>
      <c r="EU149" s="319" t="s">
        <v>190</v>
      </c>
      <c r="EV149" s="319" t="s">
        <v>190</v>
      </c>
      <c r="EW149" s="319" t="s">
        <v>190</v>
      </c>
      <c r="EX149" s="319" t="s">
        <v>191</v>
      </c>
      <c r="EY149" s="319" t="s">
        <v>191</v>
      </c>
      <c r="EZ149" s="319" t="s">
        <v>190</v>
      </c>
      <c r="FA149" s="319" t="s">
        <v>190</v>
      </c>
      <c r="FB149" s="319" t="s">
        <v>428</v>
      </c>
      <c r="FC149" s="319" t="s">
        <v>428</v>
      </c>
      <c r="FD149" s="319" t="s">
        <v>428</v>
      </c>
      <c r="FE149" s="319" t="s">
        <v>428</v>
      </c>
      <c r="FF149" s="319" t="s">
        <v>428</v>
      </c>
      <c r="FG149" s="319" t="s">
        <v>428</v>
      </c>
      <c r="FH149" s="319" t="s">
        <v>190</v>
      </c>
      <c r="FI149" s="319" t="s">
        <v>190</v>
      </c>
      <c r="FJ149" s="319" t="s">
        <v>190</v>
      </c>
      <c r="FK149" s="319" t="s">
        <v>190</v>
      </c>
      <c r="FL149" s="319" t="s">
        <v>190</v>
      </c>
      <c r="FM149" s="319" t="s">
        <v>190</v>
      </c>
      <c r="FN149" s="319" t="s">
        <v>190</v>
      </c>
      <c r="FO149" s="319" t="s">
        <v>190</v>
      </c>
      <c r="FP149" s="319" t="s">
        <v>190</v>
      </c>
      <c r="FQ149" s="319" t="s">
        <v>190</v>
      </c>
      <c r="FR149" s="319" t="s">
        <v>190</v>
      </c>
      <c r="FS149" s="319" t="s">
        <v>428</v>
      </c>
      <c r="FT149" s="319" t="s">
        <v>190</v>
      </c>
      <c r="FU149" s="319" t="s">
        <v>190</v>
      </c>
      <c r="FV149" s="319" t="s">
        <v>190</v>
      </c>
      <c r="FW149" s="319" t="s">
        <v>190</v>
      </c>
      <c r="FX149" s="319" t="s">
        <v>190</v>
      </c>
      <c r="FY149" s="319" t="s">
        <v>190</v>
      </c>
      <c r="FZ149" s="319" t="s">
        <v>190</v>
      </c>
      <c r="GA149" s="319" t="s">
        <v>190</v>
      </c>
      <c r="GB149" s="319" t="s">
        <v>190</v>
      </c>
      <c r="GC149" s="319" t="s">
        <v>190</v>
      </c>
      <c r="GD149" s="319" t="s">
        <v>190</v>
      </c>
      <c r="GE149" s="319" t="s">
        <v>190</v>
      </c>
      <c r="GF149" s="319" t="s">
        <v>190</v>
      </c>
      <c r="GG149" s="319" t="s">
        <v>190</v>
      </c>
      <c r="GH149" s="319" t="s">
        <v>190</v>
      </c>
      <c r="GI149" s="319" t="s">
        <v>190</v>
      </c>
      <c r="GJ149" s="319" t="s">
        <v>190</v>
      </c>
      <c r="GK149" s="319" t="s">
        <v>428</v>
      </c>
      <c r="GL149" s="319" t="s">
        <v>190</v>
      </c>
      <c r="GM149" s="319" t="s">
        <v>190</v>
      </c>
      <c r="GN149" s="319" t="s">
        <v>190</v>
      </c>
      <c r="GO149" s="319" t="s">
        <v>190</v>
      </c>
      <c r="GP149" s="319" t="s">
        <v>190</v>
      </c>
      <c r="GQ149" s="319" t="s">
        <v>190</v>
      </c>
      <c r="GR149" s="319" t="s">
        <v>190</v>
      </c>
      <c r="GS149" s="319" t="s">
        <v>190</v>
      </c>
      <c r="GT149" s="319" t="s">
        <v>428</v>
      </c>
      <c r="GU149" s="319" t="s">
        <v>190</v>
      </c>
      <c r="GV149" s="319" t="s">
        <v>190</v>
      </c>
      <c r="GW149" s="319" t="s">
        <v>190</v>
      </c>
      <c r="GX149" s="319" t="s">
        <v>190</v>
      </c>
      <c r="GY149" s="319" t="s">
        <v>190</v>
      </c>
      <c r="GZ149" s="319" t="s">
        <v>428</v>
      </c>
      <c r="HA149" s="319" t="s">
        <v>190</v>
      </c>
      <c r="HB149" s="319" t="s">
        <v>190</v>
      </c>
      <c r="HC149" s="319" t="s">
        <v>190</v>
      </c>
      <c r="HD149" s="319" t="s">
        <v>190</v>
      </c>
      <c r="HE149" s="319" t="s">
        <v>190</v>
      </c>
      <c r="HF149" s="319" t="s">
        <v>190</v>
      </c>
      <c r="HG149" s="319" t="s">
        <v>190</v>
      </c>
      <c r="HH149" s="319" t="s">
        <v>190</v>
      </c>
      <c r="HI149" s="319" t="s">
        <v>190</v>
      </c>
      <c r="HJ149" s="319" t="s">
        <v>190</v>
      </c>
      <c r="HK149" s="319" t="s">
        <v>190</v>
      </c>
      <c r="HL149" s="319" t="s">
        <v>190</v>
      </c>
      <c r="HM149" s="319" t="s">
        <v>190</v>
      </c>
      <c r="HN149" s="319" t="s">
        <v>190</v>
      </c>
      <c r="HO149" s="319" t="s">
        <v>190</v>
      </c>
      <c r="HP149" s="319" t="s">
        <v>190</v>
      </c>
      <c r="HQ149" s="319" t="s">
        <v>190</v>
      </c>
      <c r="HR149" s="319" t="s">
        <v>190</v>
      </c>
      <c r="HS149" s="319" t="s">
        <v>190</v>
      </c>
      <c r="HT149" s="319" t="s">
        <v>190</v>
      </c>
      <c r="HU149" s="319" t="s">
        <v>190</v>
      </c>
      <c r="HV149" s="319" t="s">
        <v>190</v>
      </c>
      <c r="HW149" s="319" t="s">
        <v>190</v>
      </c>
      <c r="HX149" s="319" t="s">
        <v>190</v>
      </c>
      <c r="HY149" s="319" t="s">
        <v>190</v>
      </c>
      <c r="HZ149" s="319" t="s">
        <v>190</v>
      </c>
      <c r="IA149" s="319" t="s">
        <v>190</v>
      </c>
      <c r="IB149" s="319" t="s">
        <v>190</v>
      </c>
      <c r="IC149" s="319" t="s">
        <v>190</v>
      </c>
      <c r="ID149" s="319" t="s">
        <v>190</v>
      </c>
      <c r="IE149" s="319" t="s">
        <v>190</v>
      </c>
      <c r="IF149" s="319" t="s">
        <v>191</v>
      </c>
      <c r="IG149" s="319" t="s">
        <v>191</v>
      </c>
      <c r="IH149" s="319" t="s">
        <v>191</v>
      </c>
      <c r="II149" s="319" t="s">
        <v>191</v>
      </c>
      <c r="IJ149" s="319" t="s">
        <v>1418</v>
      </c>
      <c r="IK149" s="321">
        <v>39337</v>
      </c>
      <c r="IL149" s="321">
        <v>39338</v>
      </c>
      <c r="IM149" s="321">
        <v>39366</v>
      </c>
      <c r="IN149" s="319">
        <v>2</v>
      </c>
      <c r="IO149" s="319">
        <v>10120991</v>
      </c>
      <c r="IP149" s="319" t="s">
        <v>1061</v>
      </c>
      <c r="IQ149" s="321">
        <v>43783</v>
      </c>
      <c r="IR149" s="320" t="s">
        <v>2771</v>
      </c>
      <c r="IS149" s="322">
        <v>43809</v>
      </c>
      <c r="IT149" s="319" t="s">
        <v>166</v>
      </c>
    </row>
    <row r="150" spans="1:254" s="271" customFormat="1" x14ac:dyDescent="0.25">
      <c r="A150" s="318" t="str">
        <f>HYPERLINK("http://www.ofsted.gov.uk/inspection-reports/find-inspection-report/provider/ELS/113616 ","Ofsted School Webpage")</f>
        <v>Ofsted School Webpage</v>
      </c>
      <c r="B150" s="319">
        <v>113616</v>
      </c>
      <c r="C150" s="319">
        <v>8786039</v>
      </c>
      <c r="D150" s="319" t="s">
        <v>1419</v>
      </c>
      <c r="E150" s="319" t="s">
        <v>168</v>
      </c>
      <c r="F150" s="319" t="s">
        <v>81</v>
      </c>
      <c r="G150" s="319" t="s">
        <v>81</v>
      </c>
      <c r="H150" s="319" t="s">
        <v>81</v>
      </c>
      <c r="I150" s="319" t="s">
        <v>78</v>
      </c>
      <c r="J150" s="319" t="s">
        <v>424</v>
      </c>
      <c r="K150" s="319" t="s">
        <v>422</v>
      </c>
      <c r="L150" s="319" t="s">
        <v>422</v>
      </c>
      <c r="M150" s="319" t="s">
        <v>663</v>
      </c>
      <c r="N150" s="319" t="s">
        <v>2927</v>
      </c>
      <c r="O150" s="319" t="s">
        <v>1420</v>
      </c>
      <c r="P150" s="319">
        <v>26</v>
      </c>
      <c r="Q150" s="319" t="s">
        <v>429</v>
      </c>
      <c r="R150" s="320">
        <v>10047179</v>
      </c>
      <c r="S150" s="321">
        <v>43263</v>
      </c>
      <c r="T150" s="321">
        <v>43265</v>
      </c>
      <c r="U150" s="321">
        <v>43297</v>
      </c>
      <c r="V150" s="319" t="s">
        <v>425</v>
      </c>
      <c r="W150" s="319" t="s">
        <v>2767</v>
      </c>
      <c r="X150" s="319">
        <v>3</v>
      </c>
      <c r="Y150" s="319" t="s">
        <v>173</v>
      </c>
      <c r="Z150" s="319" t="s">
        <v>173</v>
      </c>
      <c r="AA150" s="319" t="s">
        <v>173</v>
      </c>
      <c r="AB150" s="319">
        <v>3</v>
      </c>
      <c r="AC150" s="319" t="s">
        <v>169</v>
      </c>
      <c r="AD150" s="319" t="s">
        <v>173</v>
      </c>
      <c r="AE150" s="319" t="s">
        <v>173</v>
      </c>
      <c r="AF150" s="319" t="s">
        <v>427</v>
      </c>
      <c r="AG150" s="319" t="s">
        <v>171</v>
      </c>
      <c r="AH150" s="319" t="s">
        <v>190</v>
      </c>
      <c r="AI150" s="319" t="s">
        <v>190</v>
      </c>
      <c r="AJ150" s="319" t="s">
        <v>190</v>
      </c>
      <c r="AK150" s="319" t="s">
        <v>190</v>
      </c>
      <c r="AL150" s="319" t="s">
        <v>190</v>
      </c>
      <c r="AM150" s="319" t="s">
        <v>190</v>
      </c>
      <c r="AN150" s="319" t="s">
        <v>190</v>
      </c>
      <c r="AO150" s="319" t="s">
        <v>190</v>
      </c>
      <c r="AP150" s="319" t="s">
        <v>190</v>
      </c>
      <c r="AQ150" s="319" t="s">
        <v>190</v>
      </c>
      <c r="AR150" s="319" t="s">
        <v>190</v>
      </c>
      <c r="AS150" s="319" t="s">
        <v>190</v>
      </c>
      <c r="AT150" s="319" t="s">
        <v>190</v>
      </c>
      <c r="AU150" s="319" t="s">
        <v>190</v>
      </c>
      <c r="AV150" s="319" t="s">
        <v>190</v>
      </c>
      <c r="AW150" s="319" t="s">
        <v>190</v>
      </c>
      <c r="AX150" s="319" t="s">
        <v>428</v>
      </c>
      <c r="AY150" s="319" t="s">
        <v>190</v>
      </c>
      <c r="AZ150" s="319" t="s">
        <v>190</v>
      </c>
      <c r="BA150" s="319" t="s">
        <v>190</v>
      </c>
      <c r="BB150" s="319" t="s">
        <v>190</v>
      </c>
      <c r="BC150" s="319" t="s">
        <v>190</v>
      </c>
      <c r="BD150" s="319" t="s">
        <v>190</v>
      </c>
      <c r="BE150" s="319" t="s">
        <v>190</v>
      </c>
      <c r="BF150" s="319" t="s">
        <v>428</v>
      </c>
      <c r="BG150" s="319" t="s">
        <v>190</v>
      </c>
      <c r="BH150" s="319" t="s">
        <v>190</v>
      </c>
      <c r="BI150" s="319" t="s">
        <v>190</v>
      </c>
      <c r="BJ150" s="319" t="s">
        <v>190</v>
      </c>
      <c r="BK150" s="319" t="s">
        <v>190</v>
      </c>
      <c r="BL150" s="319" t="s">
        <v>190</v>
      </c>
      <c r="BM150" s="319" t="s">
        <v>190</v>
      </c>
      <c r="BN150" s="319" t="s">
        <v>190</v>
      </c>
      <c r="BO150" s="319" t="s">
        <v>190</v>
      </c>
      <c r="BP150" s="319" t="s">
        <v>190</v>
      </c>
      <c r="BQ150" s="319" t="s">
        <v>190</v>
      </c>
      <c r="BR150" s="319" t="s">
        <v>190</v>
      </c>
      <c r="BS150" s="319" t="s">
        <v>190</v>
      </c>
      <c r="BT150" s="319" t="s">
        <v>190</v>
      </c>
      <c r="BU150" s="319" t="s">
        <v>190</v>
      </c>
      <c r="BV150" s="319" t="s">
        <v>190</v>
      </c>
      <c r="BW150" s="319" t="s">
        <v>190</v>
      </c>
      <c r="BX150" s="319" t="s">
        <v>190</v>
      </c>
      <c r="BY150" s="319" t="s">
        <v>190</v>
      </c>
      <c r="BZ150" s="319" t="s">
        <v>190</v>
      </c>
      <c r="CA150" s="319" t="s">
        <v>190</v>
      </c>
      <c r="CB150" s="319" t="s">
        <v>190</v>
      </c>
      <c r="CC150" s="319" t="s">
        <v>190</v>
      </c>
      <c r="CD150" s="319" t="s">
        <v>190</v>
      </c>
      <c r="CE150" s="319" t="s">
        <v>190</v>
      </c>
      <c r="CF150" s="319" t="s">
        <v>190</v>
      </c>
      <c r="CG150" s="319" t="s">
        <v>190</v>
      </c>
      <c r="CH150" s="319" t="s">
        <v>190</v>
      </c>
      <c r="CI150" s="319" t="s">
        <v>190</v>
      </c>
      <c r="CJ150" s="319" t="s">
        <v>190</v>
      </c>
      <c r="CK150" s="319" t="s">
        <v>190</v>
      </c>
      <c r="CL150" s="319" t="s">
        <v>190</v>
      </c>
      <c r="CM150" s="319" t="s">
        <v>190</v>
      </c>
      <c r="CN150" s="319" t="s">
        <v>428</v>
      </c>
      <c r="CO150" s="319" t="s">
        <v>428</v>
      </c>
      <c r="CP150" s="319" t="s">
        <v>428</v>
      </c>
      <c r="CQ150" s="319" t="s">
        <v>190</v>
      </c>
      <c r="CR150" s="319" t="s">
        <v>190</v>
      </c>
      <c r="CS150" s="319" t="s">
        <v>190</v>
      </c>
      <c r="CT150" s="319" t="s">
        <v>190</v>
      </c>
      <c r="CU150" s="319" t="s">
        <v>190</v>
      </c>
      <c r="CV150" s="319" t="s">
        <v>190</v>
      </c>
      <c r="CW150" s="319" t="s">
        <v>190</v>
      </c>
      <c r="CX150" s="319" t="s">
        <v>190</v>
      </c>
      <c r="CY150" s="319" t="s">
        <v>190</v>
      </c>
      <c r="CZ150" s="319" t="s">
        <v>190</v>
      </c>
      <c r="DA150" s="319" t="s">
        <v>190</v>
      </c>
      <c r="DB150" s="319" t="s">
        <v>190</v>
      </c>
      <c r="DC150" s="319" t="s">
        <v>190</v>
      </c>
      <c r="DD150" s="319" t="s">
        <v>190</v>
      </c>
      <c r="DE150" s="319" t="s">
        <v>190</v>
      </c>
      <c r="DF150" s="319" t="s">
        <v>190</v>
      </c>
      <c r="DG150" s="319" t="s">
        <v>190</v>
      </c>
      <c r="DH150" s="319" t="s">
        <v>190</v>
      </c>
      <c r="DI150" s="319" t="s">
        <v>190</v>
      </c>
      <c r="DJ150" s="319" t="s">
        <v>190</v>
      </c>
      <c r="DK150" s="319" t="s">
        <v>190</v>
      </c>
      <c r="DL150" s="319" t="s">
        <v>190</v>
      </c>
      <c r="DM150" s="319" t="s">
        <v>190</v>
      </c>
      <c r="DN150" s="319" t="s">
        <v>428</v>
      </c>
      <c r="DO150" s="319" t="s">
        <v>190</v>
      </c>
      <c r="DP150" s="319" t="s">
        <v>190</v>
      </c>
      <c r="DQ150" s="319" t="s">
        <v>190</v>
      </c>
      <c r="DR150" s="319" t="s">
        <v>190</v>
      </c>
      <c r="DS150" s="319" t="s">
        <v>190</v>
      </c>
      <c r="DT150" s="319" t="s">
        <v>190</v>
      </c>
      <c r="DU150" s="319" t="s">
        <v>190</v>
      </c>
      <c r="DV150" s="319" t="s">
        <v>173</v>
      </c>
      <c r="DW150" s="319" t="s">
        <v>190</v>
      </c>
      <c r="DX150" s="319" t="s">
        <v>190</v>
      </c>
      <c r="DY150" s="319" t="s">
        <v>190</v>
      </c>
      <c r="DZ150" s="319" t="s">
        <v>190</v>
      </c>
      <c r="EA150" s="319" t="s">
        <v>190</v>
      </c>
      <c r="EB150" s="319" t="s">
        <v>190</v>
      </c>
      <c r="EC150" s="319" t="s">
        <v>190</v>
      </c>
      <c r="ED150" s="319" t="s">
        <v>190</v>
      </c>
      <c r="EE150" s="319" t="s">
        <v>190</v>
      </c>
      <c r="EF150" s="319" t="s">
        <v>190</v>
      </c>
      <c r="EG150" s="319" t="s">
        <v>190</v>
      </c>
      <c r="EH150" s="319" t="s">
        <v>190</v>
      </c>
      <c r="EI150" s="319" t="s">
        <v>190</v>
      </c>
      <c r="EJ150" s="319" t="s">
        <v>190</v>
      </c>
      <c r="EK150" s="319" t="s">
        <v>190</v>
      </c>
      <c r="EL150" s="319" t="s">
        <v>190</v>
      </c>
      <c r="EM150" s="319" t="s">
        <v>190</v>
      </c>
      <c r="EN150" s="319" t="s">
        <v>190</v>
      </c>
      <c r="EO150" s="319" t="s">
        <v>190</v>
      </c>
      <c r="EP150" s="319" t="s">
        <v>190</v>
      </c>
      <c r="EQ150" s="319" t="s">
        <v>190</v>
      </c>
      <c r="ER150" s="319" t="s">
        <v>190</v>
      </c>
      <c r="ES150" s="319" t="s">
        <v>190</v>
      </c>
      <c r="ET150" s="319" t="s">
        <v>190</v>
      </c>
      <c r="EU150" s="319" t="s">
        <v>190</v>
      </c>
      <c r="EV150" s="319" t="s">
        <v>190</v>
      </c>
      <c r="EW150" s="319" t="s">
        <v>190</v>
      </c>
      <c r="EX150" s="319" t="s">
        <v>190</v>
      </c>
      <c r="EY150" s="319" t="s">
        <v>190</v>
      </c>
      <c r="EZ150" s="319" t="s">
        <v>190</v>
      </c>
      <c r="FA150" s="319" t="s">
        <v>190</v>
      </c>
      <c r="FB150" s="319" t="s">
        <v>190</v>
      </c>
      <c r="FC150" s="319" t="s">
        <v>190</v>
      </c>
      <c r="FD150" s="319" t="s">
        <v>190</v>
      </c>
      <c r="FE150" s="319" t="s">
        <v>190</v>
      </c>
      <c r="FF150" s="319" t="s">
        <v>190</v>
      </c>
      <c r="FG150" s="319" t="s">
        <v>190</v>
      </c>
      <c r="FH150" s="319" t="s">
        <v>190</v>
      </c>
      <c r="FI150" s="319" t="s">
        <v>190</v>
      </c>
      <c r="FJ150" s="319" t="s">
        <v>190</v>
      </c>
      <c r="FK150" s="319" t="s">
        <v>190</v>
      </c>
      <c r="FL150" s="319" t="s">
        <v>190</v>
      </c>
      <c r="FM150" s="319" t="s">
        <v>190</v>
      </c>
      <c r="FN150" s="319" t="s">
        <v>190</v>
      </c>
      <c r="FO150" s="319" t="s">
        <v>190</v>
      </c>
      <c r="FP150" s="319" t="s">
        <v>190</v>
      </c>
      <c r="FQ150" s="319" t="s">
        <v>190</v>
      </c>
      <c r="FR150" s="319" t="s">
        <v>190</v>
      </c>
      <c r="FS150" s="319" t="s">
        <v>190</v>
      </c>
      <c r="FT150" s="319" t="s">
        <v>190</v>
      </c>
      <c r="FU150" s="319" t="s">
        <v>190</v>
      </c>
      <c r="FV150" s="319" t="s">
        <v>190</v>
      </c>
      <c r="FW150" s="319" t="s">
        <v>190</v>
      </c>
      <c r="FX150" s="319" t="s">
        <v>190</v>
      </c>
      <c r="FY150" s="319" t="s">
        <v>190</v>
      </c>
      <c r="FZ150" s="319" t="s">
        <v>190</v>
      </c>
      <c r="GA150" s="319" t="s">
        <v>190</v>
      </c>
      <c r="GB150" s="319" t="s">
        <v>190</v>
      </c>
      <c r="GC150" s="319" t="s">
        <v>190</v>
      </c>
      <c r="GD150" s="319" t="s">
        <v>190</v>
      </c>
      <c r="GE150" s="319" t="s">
        <v>190</v>
      </c>
      <c r="GF150" s="319" t="s">
        <v>190</v>
      </c>
      <c r="GG150" s="319" t="s">
        <v>190</v>
      </c>
      <c r="GH150" s="319" t="s">
        <v>190</v>
      </c>
      <c r="GI150" s="319" t="s">
        <v>190</v>
      </c>
      <c r="GJ150" s="319" t="s">
        <v>190</v>
      </c>
      <c r="GK150" s="319" t="s">
        <v>428</v>
      </c>
      <c r="GL150" s="319" t="s">
        <v>190</v>
      </c>
      <c r="GM150" s="319" t="s">
        <v>190</v>
      </c>
      <c r="GN150" s="319" t="s">
        <v>190</v>
      </c>
      <c r="GO150" s="319" t="s">
        <v>190</v>
      </c>
      <c r="GP150" s="319" t="s">
        <v>190</v>
      </c>
      <c r="GQ150" s="319" t="s">
        <v>428</v>
      </c>
      <c r="GR150" s="319" t="s">
        <v>190</v>
      </c>
      <c r="GS150" s="319" t="s">
        <v>190</v>
      </c>
      <c r="GT150" s="319" t="s">
        <v>190</v>
      </c>
      <c r="GU150" s="319" t="s">
        <v>190</v>
      </c>
      <c r="GV150" s="319" t="s">
        <v>190</v>
      </c>
      <c r="GW150" s="319" t="s">
        <v>190</v>
      </c>
      <c r="GX150" s="319" t="s">
        <v>190</v>
      </c>
      <c r="GY150" s="319" t="s">
        <v>190</v>
      </c>
      <c r="GZ150" s="319" t="s">
        <v>190</v>
      </c>
      <c r="HA150" s="319" t="s">
        <v>190</v>
      </c>
      <c r="HB150" s="319" t="s">
        <v>190</v>
      </c>
      <c r="HC150" s="319" t="s">
        <v>190</v>
      </c>
      <c r="HD150" s="319" t="s">
        <v>190</v>
      </c>
      <c r="HE150" s="319" t="s">
        <v>190</v>
      </c>
      <c r="HF150" s="319" t="s">
        <v>190</v>
      </c>
      <c r="HG150" s="319" t="s">
        <v>190</v>
      </c>
      <c r="HH150" s="319" t="s">
        <v>190</v>
      </c>
      <c r="HI150" s="319" t="s">
        <v>190</v>
      </c>
      <c r="HJ150" s="319" t="s">
        <v>190</v>
      </c>
      <c r="HK150" s="319" t="s">
        <v>190</v>
      </c>
      <c r="HL150" s="319" t="s">
        <v>190</v>
      </c>
      <c r="HM150" s="319" t="s">
        <v>190</v>
      </c>
      <c r="HN150" s="319" t="s">
        <v>190</v>
      </c>
      <c r="HO150" s="319" t="s">
        <v>190</v>
      </c>
      <c r="HP150" s="319" t="s">
        <v>190</v>
      </c>
      <c r="HQ150" s="319" t="s">
        <v>190</v>
      </c>
      <c r="HR150" s="319" t="s">
        <v>190</v>
      </c>
      <c r="HS150" s="319" t="s">
        <v>190</v>
      </c>
      <c r="HT150" s="319" t="s">
        <v>190</v>
      </c>
      <c r="HU150" s="319" t="s">
        <v>190</v>
      </c>
      <c r="HV150" s="319" t="s">
        <v>190</v>
      </c>
      <c r="HW150" s="319" t="s">
        <v>190</v>
      </c>
      <c r="HX150" s="319" t="s">
        <v>190</v>
      </c>
      <c r="HY150" s="319" t="s">
        <v>190</v>
      </c>
      <c r="HZ150" s="319" t="s">
        <v>190</v>
      </c>
      <c r="IA150" s="319" t="s">
        <v>190</v>
      </c>
      <c r="IB150" s="319" t="s">
        <v>190</v>
      </c>
      <c r="IC150" s="319" t="s">
        <v>190</v>
      </c>
      <c r="ID150" s="319" t="s">
        <v>190</v>
      </c>
      <c r="IE150" s="319" t="s">
        <v>190</v>
      </c>
      <c r="IF150" s="319" t="s">
        <v>190</v>
      </c>
      <c r="IG150" s="319" t="s">
        <v>190</v>
      </c>
      <c r="IH150" s="319" t="s">
        <v>190</v>
      </c>
      <c r="II150" s="319" t="s">
        <v>190</v>
      </c>
      <c r="IJ150" s="319" t="s">
        <v>2928</v>
      </c>
      <c r="IK150" s="321">
        <v>42192</v>
      </c>
      <c r="IL150" s="321">
        <v>42194</v>
      </c>
      <c r="IM150" s="321">
        <v>42221</v>
      </c>
      <c r="IN150" s="319">
        <v>2</v>
      </c>
      <c r="IO150" s="319" t="s">
        <v>173</v>
      </c>
      <c r="IP150" s="319" t="s">
        <v>173</v>
      </c>
      <c r="IQ150" s="321" t="s">
        <v>173</v>
      </c>
      <c r="IR150" s="320" t="s">
        <v>173</v>
      </c>
      <c r="IS150" s="322" t="s">
        <v>173</v>
      </c>
      <c r="IT150" s="319" t="s">
        <v>173</v>
      </c>
    </row>
    <row r="151" spans="1:254" s="271" customFormat="1" x14ac:dyDescent="0.25">
      <c r="A151" s="318" t="str">
        <f>HYPERLINK("http://www.ofsted.gov.uk/inspection-reports/find-inspection-report/provider/ELS/113623 ","Ofsted School Webpage")</f>
        <v>Ofsted School Webpage</v>
      </c>
      <c r="B151" s="319">
        <v>113623</v>
      </c>
      <c r="C151" s="319">
        <v>8786045</v>
      </c>
      <c r="D151" s="319" t="s">
        <v>1085</v>
      </c>
      <c r="E151" s="319" t="s">
        <v>167</v>
      </c>
      <c r="F151" s="319" t="s">
        <v>81</v>
      </c>
      <c r="G151" s="319" t="s">
        <v>81</v>
      </c>
      <c r="H151" s="319" t="s">
        <v>81</v>
      </c>
      <c r="I151" s="319" t="s">
        <v>78</v>
      </c>
      <c r="J151" s="319" t="s">
        <v>424</v>
      </c>
      <c r="K151" s="319" t="s">
        <v>422</v>
      </c>
      <c r="L151" s="319" t="s">
        <v>422</v>
      </c>
      <c r="M151" s="319" t="s">
        <v>663</v>
      </c>
      <c r="N151" s="319" t="s">
        <v>2922</v>
      </c>
      <c r="O151" s="319" t="s">
        <v>1086</v>
      </c>
      <c r="P151" s="319">
        <v>38</v>
      </c>
      <c r="Q151" s="319" t="s">
        <v>2776</v>
      </c>
      <c r="R151" s="320">
        <v>10090662</v>
      </c>
      <c r="S151" s="321">
        <v>43648</v>
      </c>
      <c r="T151" s="321">
        <v>43650</v>
      </c>
      <c r="U151" s="321">
        <v>43726</v>
      </c>
      <c r="V151" s="319" t="s">
        <v>425</v>
      </c>
      <c r="W151" s="319" t="s">
        <v>2767</v>
      </c>
      <c r="X151" s="319">
        <v>3</v>
      </c>
      <c r="Y151" s="319" t="s">
        <v>173</v>
      </c>
      <c r="Z151" s="319" t="s">
        <v>173</v>
      </c>
      <c r="AA151" s="319" t="s">
        <v>173</v>
      </c>
      <c r="AB151" s="319">
        <v>3</v>
      </c>
      <c r="AC151" s="319" t="s">
        <v>169</v>
      </c>
      <c r="AD151" s="319" t="s">
        <v>173</v>
      </c>
      <c r="AE151" s="319" t="s">
        <v>173</v>
      </c>
      <c r="AF151" s="319" t="s">
        <v>427</v>
      </c>
      <c r="AG151" s="319" t="s">
        <v>171</v>
      </c>
      <c r="AH151" s="319" t="s">
        <v>190</v>
      </c>
      <c r="AI151" s="319" t="s">
        <v>190</v>
      </c>
      <c r="AJ151" s="319" t="s">
        <v>190</v>
      </c>
      <c r="AK151" s="319" t="s">
        <v>190</v>
      </c>
      <c r="AL151" s="319" t="s">
        <v>190</v>
      </c>
      <c r="AM151" s="319" t="s">
        <v>190</v>
      </c>
      <c r="AN151" s="319" t="s">
        <v>190</v>
      </c>
      <c r="AO151" s="319" t="s">
        <v>190</v>
      </c>
      <c r="AP151" s="319" t="s">
        <v>190</v>
      </c>
      <c r="AQ151" s="319" t="s">
        <v>190</v>
      </c>
      <c r="AR151" s="319" t="s">
        <v>190</v>
      </c>
      <c r="AS151" s="319" t="s">
        <v>190</v>
      </c>
      <c r="AT151" s="319" t="s">
        <v>190</v>
      </c>
      <c r="AU151" s="319" t="s">
        <v>190</v>
      </c>
      <c r="AV151" s="319" t="s">
        <v>190</v>
      </c>
      <c r="AW151" s="319" t="s">
        <v>190</v>
      </c>
      <c r="AX151" s="319" t="s">
        <v>190</v>
      </c>
      <c r="AY151" s="319" t="s">
        <v>190</v>
      </c>
      <c r="AZ151" s="319" t="s">
        <v>190</v>
      </c>
      <c r="BA151" s="319" t="s">
        <v>190</v>
      </c>
      <c r="BB151" s="319" t="s">
        <v>190</v>
      </c>
      <c r="BC151" s="319" t="s">
        <v>190</v>
      </c>
      <c r="BD151" s="319" t="s">
        <v>190</v>
      </c>
      <c r="BE151" s="319" t="s">
        <v>190</v>
      </c>
      <c r="BF151" s="319" t="s">
        <v>190</v>
      </c>
      <c r="BG151" s="319" t="s">
        <v>190</v>
      </c>
      <c r="BH151" s="319" t="s">
        <v>190</v>
      </c>
      <c r="BI151" s="319" t="s">
        <v>190</v>
      </c>
      <c r="BJ151" s="319" t="s">
        <v>190</v>
      </c>
      <c r="BK151" s="319" t="s">
        <v>190</v>
      </c>
      <c r="BL151" s="319" t="s">
        <v>190</v>
      </c>
      <c r="BM151" s="319" t="s">
        <v>190</v>
      </c>
      <c r="BN151" s="319" t="s">
        <v>190</v>
      </c>
      <c r="BO151" s="319" t="s">
        <v>190</v>
      </c>
      <c r="BP151" s="319" t="s">
        <v>190</v>
      </c>
      <c r="BQ151" s="319" t="s">
        <v>190</v>
      </c>
      <c r="BR151" s="319" t="s">
        <v>190</v>
      </c>
      <c r="BS151" s="319" t="s">
        <v>190</v>
      </c>
      <c r="BT151" s="319" t="s">
        <v>190</v>
      </c>
      <c r="BU151" s="319" t="s">
        <v>190</v>
      </c>
      <c r="BV151" s="319" t="s">
        <v>190</v>
      </c>
      <c r="BW151" s="319" t="s">
        <v>190</v>
      </c>
      <c r="BX151" s="319" t="s">
        <v>190</v>
      </c>
      <c r="BY151" s="319" t="s">
        <v>190</v>
      </c>
      <c r="BZ151" s="319" t="s">
        <v>190</v>
      </c>
      <c r="CA151" s="319" t="s">
        <v>190</v>
      </c>
      <c r="CB151" s="319" t="s">
        <v>190</v>
      </c>
      <c r="CC151" s="319" t="s">
        <v>190</v>
      </c>
      <c r="CD151" s="319" t="s">
        <v>190</v>
      </c>
      <c r="CE151" s="319" t="s">
        <v>190</v>
      </c>
      <c r="CF151" s="319" t="s">
        <v>190</v>
      </c>
      <c r="CG151" s="319" t="s">
        <v>190</v>
      </c>
      <c r="CH151" s="319" t="s">
        <v>190</v>
      </c>
      <c r="CI151" s="319" t="s">
        <v>190</v>
      </c>
      <c r="CJ151" s="319" t="s">
        <v>190</v>
      </c>
      <c r="CK151" s="319" t="s">
        <v>190</v>
      </c>
      <c r="CL151" s="319" t="s">
        <v>190</v>
      </c>
      <c r="CM151" s="319" t="s">
        <v>190</v>
      </c>
      <c r="CN151" s="319" t="s">
        <v>190</v>
      </c>
      <c r="CO151" s="319" t="s">
        <v>428</v>
      </c>
      <c r="CP151" s="319" t="s">
        <v>428</v>
      </c>
      <c r="CQ151" s="319" t="s">
        <v>190</v>
      </c>
      <c r="CR151" s="319" t="s">
        <v>190</v>
      </c>
      <c r="CS151" s="319" t="s">
        <v>190</v>
      </c>
      <c r="CT151" s="319" t="s">
        <v>190</v>
      </c>
      <c r="CU151" s="319" t="s">
        <v>190</v>
      </c>
      <c r="CV151" s="319" t="s">
        <v>190</v>
      </c>
      <c r="CW151" s="319" t="s">
        <v>190</v>
      </c>
      <c r="CX151" s="319" t="s">
        <v>190</v>
      </c>
      <c r="CY151" s="319" t="s">
        <v>190</v>
      </c>
      <c r="CZ151" s="319" t="s">
        <v>190</v>
      </c>
      <c r="DA151" s="319" t="s">
        <v>190</v>
      </c>
      <c r="DB151" s="319" t="s">
        <v>190</v>
      </c>
      <c r="DC151" s="319" t="s">
        <v>190</v>
      </c>
      <c r="DD151" s="319" t="s">
        <v>190</v>
      </c>
      <c r="DE151" s="319" t="s">
        <v>190</v>
      </c>
      <c r="DF151" s="319" t="s">
        <v>190</v>
      </c>
      <c r="DG151" s="319" t="s">
        <v>190</v>
      </c>
      <c r="DH151" s="319" t="s">
        <v>190</v>
      </c>
      <c r="DI151" s="319" t="s">
        <v>190</v>
      </c>
      <c r="DJ151" s="319" t="s">
        <v>190</v>
      </c>
      <c r="DK151" s="319" t="s">
        <v>190</v>
      </c>
      <c r="DL151" s="319" t="s">
        <v>190</v>
      </c>
      <c r="DM151" s="319" t="s">
        <v>190</v>
      </c>
      <c r="DN151" s="319" t="s">
        <v>428</v>
      </c>
      <c r="DO151" s="319" t="s">
        <v>190</v>
      </c>
      <c r="DP151" s="319" t="s">
        <v>190</v>
      </c>
      <c r="DQ151" s="319" t="s">
        <v>190</v>
      </c>
      <c r="DR151" s="319" t="s">
        <v>190</v>
      </c>
      <c r="DS151" s="319" t="s">
        <v>190</v>
      </c>
      <c r="DT151" s="319" t="s">
        <v>190</v>
      </c>
      <c r="DU151" s="319" t="s">
        <v>190</v>
      </c>
      <c r="DV151" s="319" t="s">
        <v>173</v>
      </c>
      <c r="DW151" s="319" t="s">
        <v>190</v>
      </c>
      <c r="DX151" s="319" t="s">
        <v>190</v>
      </c>
      <c r="DY151" s="319" t="s">
        <v>190</v>
      </c>
      <c r="DZ151" s="319" t="s">
        <v>190</v>
      </c>
      <c r="EA151" s="319" t="s">
        <v>190</v>
      </c>
      <c r="EB151" s="319" t="s">
        <v>190</v>
      </c>
      <c r="EC151" s="319" t="s">
        <v>428</v>
      </c>
      <c r="ED151" s="319" t="s">
        <v>190</v>
      </c>
      <c r="EE151" s="319" t="s">
        <v>190</v>
      </c>
      <c r="EF151" s="319" t="s">
        <v>190</v>
      </c>
      <c r="EG151" s="319" t="s">
        <v>190</v>
      </c>
      <c r="EH151" s="319" t="s">
        <v>190</v>
      </c>
      <c r="EI151" s="319" t="s">
        <v>190</v>
      </c>
      <c r="EJ151" s="319" t="s">
        <v>190</v>
      </c>
      <c r="EK151" s="319" t="s">
        <v>190</v>
      </c>
      <c r="EL151" s="319" t="s">
        <v>190</v>
      </c>
      <c r="EM151" s="319" t="s">
        <v>190</v>
      </c>
      <c r="EN151" s="319" t="s">
        <v>190</v>
      </c>
      <c r="EO151" s="319" t="s">
        <v>190</v>
      </c>
      <c r="EP151" s="319" t="s">
        <v>190</v>
      </c>
      <c r="EQ151" s="319" t="s">
        <v>190</v>
      </c>
      <c r="ER151" s="319" t="s">
        <v>190</v>
      </c>
      <c r="ES151" s="319" t="s">
        <v>190</v>
      </c>
      <c r="ET151" s="319" t="s">
        <v>190</v>
      </c>
      <c r="EU151" s="319" t="s">
        <v>190</v>
      </c>
      <c r="EV151" s="319" t="s">
        <v>190</v>
      </c>
      <c r="EW151" s="319" t="s">
        <v>190</v>
      </c>
      <c r="EX151" s="319" t="s">
        <v>190</v>
      </c>
      <c r="EY151" s="319" t="s">
        <v>190</v>
      </c>
      <c r="EZ151" s="319" t="s">
        <v>190</v>
      </c>
      <c r="FA151" s="319" t="s">
        <v>190</v>
      </c>
      <c r="FB151" s="319" t="s">
        <v>190</v>
      </c>
      <c r="FC151" s="319" t="s">
        <v>190</v>
      </c>
      <c r="FD151" s="319" t="s">
        <v>190</v>
      </c>
      <c r="FE151" s="319" t="s">
        <v>190</v>
      </c>
      <c r="FF151" s="319" t="s">
        <v>190</v>
      </c>
      <c r="FG151" s="319" t="s">
        <v>190</v>
      </c>
      <c r="FH151" s="319" t="s">
        <v>190</v>
      </c>
      <c r="FI151" s="319" t="s">
        <v>190</v>
      </c>
      <c r="FJ151" s="319" t="s">
        <v>190</v>
      </c>
      <c r="FK151" s="319" t="s">
        <v>190</v>
      </c>
      <c r="FL151" s="319" t="s">
        <v>190</v>
      </c>
      <c r="FM151" s="319" t="s">
        <v>190</v>
      </c>
      <c r="FN151" s="319" t="s">
        <v>190</v>
      </c>
      <c r="FO151" s="319" t="s">
        <v>190</v>
      </c>
      <c r="FP151" s="319" t="s">
        <v>190</v>
      </c>
      <c r="FQ151" s="319" t="s">
        <v>190</v>
      </c>
      <c r="FR151" s="319" t="s">
        <v>190</v>
      </c>
      <c r="FS151" s="319" t="s">
        <v>190</v>
      </c>
      <c r="FT151" s="319" t="s">
        <v>190</v>
      </c>
      <c r="FU151" s="319" t="s">
        <v>190</v>
      </c>
      <c r="FV151" s="319" t="s">
        <v>190</v>
      </c>
      <c r="FW151" s="319" t="s">
        <v>190</v>
      </c>
      <c r="FX151" s="319" t="s">
        <v>190</v>
      </c>
      <c r="FY151" s="319" t="s">
        <v>190</v>
      </c>
      <c r="FZ151" s="319" t="s">
        <v>190</v>
      </c>
      <c r="GA151" s="319" t="s">
        <v>190</v>
      </c>
      <c r="GB151" s="319" t="s">
        <v>190</v>
      </c>
      <c r="GC151" s="319" t="s">
        <v>190</v>
      </c>
      <c r="GD151" s="319" t="s">
        <v>190</v>
      </c>
      <c r="GE151" s="319" t="s">
        <v>190</v>
      </c>
      <c r="GF151" s="319" t="s">
        <v>190</v>
      </c>
      <c r="GG151" s="319" t="s">
        <v>190</v>
      </c>
      <c r="GH151" s="319" t="s">
        <v>190</v>
      </c>
      <c r="GI151" s="319" t="s">
        <v>190</v>
      </c>
      <c r="GJ151" s="319" t="s">
        <v>190</v>
      </c>
      <c r="GK151" s="319" t="s">
        <v>428</v>
      </c>
      <c r="GL151" s="319" t="s">
        <v>190</v>
      </c>
      <c r="GM151" s="319" t="s">
        <v>190</v>
      </c>
      <c r="GN151" s="319" t="s">
        <v>190</v>
      </c>
      <c r="GO151" s="319" t="s">
        <v>190</v>
      </c>
      <c r="GP151" s="319" t="s">
        <v>190</v>
      </c>
      <c r="GQ151" s="319" t="s">
        <v>190</v>
      </c>
      <c r="GR151" s="319" t="s">
        <v>190</v>
      </c>
      <c r="GS151" s="319" t="s">
        <v>190</v>
      </c>
      <c r="GT151" s="319" t="s">
        <v>190</v>
      </c>
      <c r="GU151" s="319" t="s">
        <v>190</v>
      </c>
      <c r="GV151" s="319" t="s">
        <v>190</v>
      </c>
      <c r="GW151" s="319" t="s">
        <v>190</v>
      </c>
      <c r="GX151" s="319" t="s">
        <v>190</v>
      </c>
      <c r="GY151" s="319" t="s">
        <v>190</v>
      </c>
      <c r="GZ151" s="319" t="s">
        <v>190</v>
      </c>
      <c r="HA151" s="319" t="s">
        <v>190</v>
      </c>
      <c r="HB151" s="319" t="s">
        <v>428</v>
      </c>
      <c r="HC151" s="319" t="s">
        <v>190</v>
      </c>
      <c r="HD151" s="319" t="s">
        <v>190</v>
      </c>
      <c r="HE151" s="319" t="s">
        <v>190</v>
      </c>
      <c r="HF151" s="319" t="s">
        <v>190</v>
      </c>
      <c r="HG151" s="319" t="s">
        <v>190</v>
      </c>
      <c r="HH151" s="319" t="s">
        <v>190</v>
      </c>
      <c r="HI151" s="319" t="s">
        <v>190</v>
      </c>
      <c r="HJ151" s="319" t="s">
        <v>190</v>
      </c>
      <c r="HK151" s="319" t="s">
        <v>190</v>
      </c>
      <c r="HL151" s="319" t="s">
        <v>190</v>
      </c>
      <c r="HM151" s="319" t="s">
        <v>190</v>
      </c>
      <c r="HN151" s="319" t="s">
        <v>190</v>
      </c>
      <c r="HO151" s="319" t="s">
        <v>190</v>
      </c>
      <c r="HP151" s="319" t="s">
        <v>190</v>
      </c>
      <c r="HQ151" s="319" t="s">
        <v>190</v>
      </c>
      <c r="HR151" s="319" t="s">
        <v>190</v>
      </c>
      <c r="HS151" s="319" t="s">
        <v>190</v>
      </c>
      <c r="HT151" s="319" t="s">
        <v>190</v>
      </c>
      <c r="HU151" s="319" t="s">
        <v>190</v>
      </c>
      <c r="HV151" s="319" t="s">
        <v>190</v>
      </c>
      <c r="HW151" s="319" t="s">
        <v>190</v>
      </c>
      <c r="HX151" s="319" t="s">
        <v>190</v>
      </c>
      <c r="HY151" s="319" t="s">
        <v>190</v>
      </c>
      <c r="HZ151" s="319" t="s">
        <v>190</v>
      </c>
      <c r="IA151" s="319" t="s">
        <v>190</v>
      </c>
      <c r="IB151" s="319" t="s">
        <v>190</v>
      </c>
      <c r="IC151" s="319" t="s">
        <v>190</v>
      </c>
      <c r="ID151" s="319" t="s">
        <v>190</v>
      </c>
      <c r="IE151" s="319" t="s">
        <v>190</v>
      </c>
      <c r="IF151" s="319" t="s">
        <v>190</v>
      </c>
      <c r="IG151" s="319" t="s">
        <v>190</v>
      </c>
      <c r="IH151" s="319" t="s">
        <v>190</v>
      </c>
      <c r="II151" s="319" t="s">
        <v>190</v>
      </c>
      <c r="IJ151" s="319">
        <v>10035558</v>
      </c>
      <c r="IK151" s="321">
        <v>43067</v>
      </c>
      <c r="IL151" s="321">
        <v>43069</v>
      </c>
      <c r="IM151" s="321">
        <v>43116</v>
      </c>
      <c r="IN151" s="319">
        <v>4</v>
      </c>
      <c r="IO151" s="319" t="s">
        <v>173</v>
      </c>
      <c r="IP151" s="319" t="s">
        <v>173</v>
      </c>
      <c r="IQ151" s="321" t="s">
        <v>173</v>
      </c>
      <c r="IR151" s="320" t="s">
        <v>173</v>
      </c>
      <c r="IS151" s="322" t="s">
        <v>173</v>
      </c>
      <c r="IT151" s="319" t="s">
        <v>173</v>
      </c>
    </row>
    <row r="152" spans="1:254" s="271" customFormat="1" x14ac:dyDescent="0.25">
      <c r="A152" s="318" t="str">
        <f>HYPERLINK("http://www.ofsted.gov.uk/inspection-reports/find-inspection-report/provider/ELS/113632 ","Ofsted School Webpage")</f>
        <v>Ofsted School Webpage</v>
      </c>
      <c r="B152" s="319">
        <v>113632</v>
      </c>
      <c r="C152" s="319">
        <v>8786051</v>
      </c>
      <c r="D152" s="319" t="s">
        <v>1421</v>
      </c>
      <c r="E152" s="319" t="s">
        <v>167</v>
      </c>
      <c r="F152" s="319" t="s">
        <v>81</v>
      </c>
      <c r="G152" s="319" t="s">
        <v>81</v>
      </c>
      <c r="H152" s="319" t="s">
        <v>81</v>
      </c>
      <c r="I152" s="319" t="s">
        <v>78</v>
      </c>
      <c r="J152" s="319" t="s">
        <v>424</v>
      </c>
      <c r="K152" s="319" t="s">
        <v>422</v>
      </c>
      <c r="L152" s="319" t="s">
        <v>422</v>
      </c>
      <c r="M152" s="319" t="s">
        <v>663</v>
      </c>
      <c r="N152" s="319" t="s">
        <v>2922</v>
      </c>
      <c r="O152" s="319" t="s">
        <v>1422</v>
      </c>
      <c r="P152" s="319">
        <v>44</v>
      </c>
      <c r="Q152" s="319" t="s">
        <v>2776</v>
      </c>
      <c r="R152" s="320">
        <v>10020949</v>
      </c>
      <c r="S152" s="321">
        <v>42703</v>
      </c>
      <c r="T152" s="321">
        <v>42705</v>
      </c>
      <c r="U152" s="321">
        <v>42761</v>
      </c>
      <c r="V152" s="319" t="s">
        <v>425</v>
      </c>
      <c r="W152" s="319" t="s">
        <v>2767</v>
      </c>
      <c r="X152" s="319">
        <v>2</v>
      </c>
      <c r="Y152" s="319" t="s">
        <v>173</v>
      </c>
      <c r="Z152" s="319" t="s">
        <v>173</v>
      </c>
      <c r="AA152" s="319" t="s">
        <v>173</v>
      </c>
      <c r="AB152" s="319">
        <v>2</v>
      </c>
      <c r="AC152" s="319" t="s">
        <v>169</v>
      </c>
      <c r="AD152" s="319" t="s">
        <v>173</v>
      </c>
      <c r="AE152" s="319">
        <v>1</v>
      </c>
      <c r="AF152" s="319" t="s">
        <v>173</v>
      </c>
      <c r="AG152" s="319" t="s">
        <v>171</v>
      </c>
      <c r="AH152" s="319" t="s">
        <v>190</v>
      </c>
      <c r="AI152" s="319" t="s">
        <v>190</v>
      </c>
      <c r="AJ152" s="319" t="s">
        <v>190</v>
      </c>
      <c r="AK152" s="319" t="s">
        <v>190</v>
      </c>
      <c r="AL152" s="319" t="s">
        <v>190</v>
      </c>
      <c r="AM152" s="319" t="s">
        <v>190</v>
      </c>
      <c r="AN152" s="319" t="s">
        <v>190</v>
      </c>
      <c r="AO152" s="319" t="s">
        <v>190</v>
      </c>
      <c r="AP152" s="319" t="s">
        <v>190</v>
      </c>
      <c r="AQ152" s="319" t="s">
        <v>190</v>
      </c>
      <c r="AR152" s="319" t="s">
        <v>190</v>
      </c>
      <c r="AS152" s="319" t="s">
        <v>190</v>
      </c>
      <c r="AT152" s="319" t="s">
        <v>190</v>
      </c>
      <c r="AU152" s="319" t="s">
        <v>190</v>
      </c>
      <c r="AV152" s="319" t="s">
        <v>190</v>
      </c>
      <c r="AW152" s="319" t="s">
        <v>190</v>
      </c>
      <c r="AX152" s="319" t="s">
        <v>429</v>
      </c>
      <c r="AY152" s="319" t="s">
        <v>190</v>
      </c>
      <c r="AZ152" s="319" t="s">
        <v>190</v>
      </c>
      <c r="BA152" s="319" t="s">
        <v>190</v>
      </c>
      <c r="BB152" s="319" t="s">
        <v>190</v>
      </c>
      <c r="BC152" s="319" t="s">
        <v>190</v>
      </c>
      <c r="BD152" s="319" t="s">
        <v>190</v>
      </c>
      <c r="BE152" s="319" t="s">
        <v>190</v>
      </c>
      <c r="BF152" s="319" t="s">
        <v>429</v>
      </c>
      <c r="BG152" s="319" t="s">
        <v>190</v>
      </c>
      <c r="BH152" s="319" t="s">
        <v>190</v>
      </c>
      <c r="BI152" s="319" t="s">
        <v>190</v>
      </c>
      <c r="BJ152" s="319" t="s">
        <v>190</v>
      </c>
      <c r="BK152" s="319" t="s">
        <v>190</v>
      </c>
      <c r="BL152" s="319" t="s">
        <v>190</v>
      </c>
      <c r="BM152" s="319" t="s">
        <v>190</v>
      </c>
      <c r="BN152" s="319" t="s">
        <v>190</v>
      </c>
      <c r="BO152" s="319" t="s">
        <v>190</v>
      </c>
      <c r="BP152" s="319" t="s">
        <v>190</v>
      </c>
      <c r="BQ152" s="319" t="s">
        <v>190</v>
      </c>
      <c r="BR152" s="319" t="s">
        <v>190</v>
      </c>
      <c r="BS152" s="319" t="s">
        <v>190</v>
      </c>
      <c r="BT152" s="319" t="s">
        <v>190</v>
      </c>
      <c r="BU152" s="319" t="s">
        <v>190</v>
      </c>
      <c r="BV152" s="319" t="s">
        <v>190</v>
      </c>
      <c r="BW152" s="319" t="s">
        <v>190</v>
      </c>
      <c r="BX152" s="319" t="s">
        <v>190</v>
      </c>
      <c r="BY152" s="319" t="s">
        <v>190</v>
      </c>
      <c r="BZ152" s="319" t="s">
        <v>190</v>
      </c>
      <c r="CA152" s="319" t="s">
        <v>190</v>
      </c>
      <c r="CB152" s="319" t="s">
        <v>190</v>
      </c>
      <c r="CC152" s="319" t="s">
        <v>190</v>
      </c>
      <c r="CD152" s="319" t="s">
        <v>190</v>
      </c>
      <c r="CE152" s="319" t="s">
        <v>190</v>
      </c>
      <c r="CF152" s="319" t="s">
        <v>190</v>
      </c>
      <c r="CG152" s="319" t="s">
        <v>190</v>
      </c>
      <c r="CH152" s="319" t="s">
        <v>190</v>
      </c>
      <c r="CI152" s="319" t="s">
        <v>190</v>
      </c>
      <c r="CJ152" s="319" t="s">
        <v>190</v>
      </c>
      <c r="CK152" s="319" t="s">
        <v>190</v>
      </c>
      <c r="CL152" s="319" t="s">
        <v>190</v>
      </c>
      <c r="CM152" s="319" t="s">
        <v>190</v>
      </c>
      <c r="CN152" s="319" t="s">
        <v>190</v>
      </c>
      <c r="CO152" s="319" t="s">
        <v>190</v>
      </c>
      <c r="CP152" s="319" t="s">
        <v>190</v>
      </c>
      <c r="CQ152" s="319" t="s">
        <v>190</v>
      </c>
      <c r="CR152" s="319" t="s">
        <v>190</v>
      </c>
      <c r="CS152" s="319" t="s">
        <v>190</v>
      </c>
      <c r="CT152" s="319" t="s">
        <v>190</v>
      </c>
      <c r="CU152" s="319" t="s">
        <v>190</v>
      </c>
      <c r="CV152" s="319" t="s">
        <v>190</v>
      </c>
      <c r="CW152" s="319" t="s">
        <v>190</v>
      </c>
      <c r="CX152" s="319" t="s">
        <v>190</v>
      </c>
      <c r="CY152" s="319" t="s">
        <v>190</v>
      </c>
      <c r="CZ152" s="319" t="s">
        <v>190</v>
      </c>
      <c r="DA152" s="319" t="s">
        <v>190</v>
      </c>
      <c r="DB152" s="319" t="s">
        <v>190</v>
      </c>
      <c r="DC152" s="319" t="s">
        <v>190</v>
      </c>
      <c r="DD152" s="319" t="s">
        <v>190</v>
      </c>
      <c r="DE152" s="319" t="s">
        <v>190</v>
      </c>
      <c r="DF152" s="319" t="s">
        <v>190</v>
      </c>
      <c r="DG152" s="319" t="s">
        <v>190</v>
      </c>
      <c r="DH152" s="319" t="s">
        <v>190</v>
      </c>
      <c r="DI152" s="319" t="s">
        <v>190</v>
      </c>
      <c r="DJ152" s="319" t="s">
        <v>190</v>
      </c>
      <c r="DK152" s="319" t="s">
        <v>190</v>
      </c>
      <c r="DL152" s="319" t="s">
        <v>190</v>
      </c>
      <c r="DM152" s="319" t="s">
        <v>190</v>
      </c>
      <c r="DN152" s="319" t="s">
        <v>429</v>
      </c>
      <c r="DO152" s="319" t="s">
        <v>190</v>
      </c>
      <c r="DP152" s="319" t="s">
        <v>429</v>
      </c>
      <c r="DQ152" s="319" t="s">
        <v>429</v>
      </c>
      <c r="DR152" s="319" t="s">
        <v>429</v>
      </c>
      <c r="DS152" s="319" t="s">
        <v>429</v>
      </c>
      <c r="DT152" s="319" t="s">
        <v>429</v>
      </c>
      <c r="DU152" s="319" t="s">
        <v>429</v>
      </c>
      <c r="DV152" s="319" t="s">
        <v>173</v>
      </c>
      <c r="DW152" s="319" t="s">
        <v>429</v>
      </c>
      <c r="DX152" s="319" t="s">
        <v>429</v>
      </c>
      <c r="DY152" s="319" t="s">
        <v>429</v>
      </c>
      <c r="DZ152" s="319" t="s">
        <v>429</v>
      </c>
      <c r="EA152" s="319" t="s">
        <v>429</v>
      </c>
      <c r="EB152" s="319" t="s">
        <v>429</v>
      </c>
      <c r="EC152" s="319" t="s">
        <v>429</v>
      </c>
      <c r="ED152" s="319" t="s">
        <v>429</v>
      </c>
      <c r="EE152" s="319" t="s">
        <v>429</v>
      </c>
      <c r="EF152" s="319" t="s">
        <v>429</v>
      </c>
      <c r="EG152" s="319" t="s">
        <v>429</v>
      </c>
      <c r="EH152" s="319" t="s">
        <v>429</v>
      </c>
      <c r="EI152" s="319" t="s">
        <v>429</v>
      </c>
      <c r="EJ152" s="319" t="s">
        <v>429</v>
      </c>
      <c r="EK152" s="319" t="s">
        <v>429</v>
      </c>
      <c r="EL152" s="319" t="s">
        <v>429</v>
      </c>
      <c r="EM152" s="319" t="s">
        <v>429</v>
      </c>
      <c r="EN152" s="319" t="s">
        <v>190</v>
      </c>
      <c r="EO152" s="319" t="s">
        <v>190</v>
      </c>
      <c r="EP152" s="319" t="s">
        <v>190</v>
      </c>
      <c r="EQ152" s="319" t="s">
        <v>190</v>
      </c>
      <c r="ER152" s="319" t="s">
        <v>190</v>
      </c>
      <c r="ES152" s="319" t="s">
        <v>190</v>
      </c>
      <c r="ET152" s="319" t="s">
        <v>190</v>
      </c>
      <c r="EU152" s="319" t="s">
        <v>190</v>
      </c>
      <c r="EV152" s="319" t="s">
        <v>190</v>
      </c>
      <c r="EW152" s="319" t="s">
        <v>190</v>
      </c>
      <c r="EX152" s="319" t="s">
        <v>190</v>
      </c>
      <c r="EY152" s="319" t="s">
        <v>190</v>
      </c>
      <c r="EZ152" s="319" t="s">
        <v>190</v>
      </c>
      <c r="FA152" s="319" t="s">
        <v>190</v>
      </c>
      <c r="FB152" s="319" t="s">
        <v>429</v>
      </c>
      <c r="FC152" s="319" t="s">
        <v>429</v>
      </c>
      <c r="FD152" s="319" t="s">
        <v>429</v>
      </c>
      <c r="FE152" s="319" t="s">
        <v>429</v>
      </c>
      <c r="FF152" s="319" t="s">
        <v>429</v>
      </c>
      <c r="FG152" s="319" t="s">
        <v>429</v>
      </c>
      <c r="FH152" s="319" t="s">
        <v>429</v>
      </c>
      <c r="FI152" s="319" t="s">
        <v>429</v>
      </c>
      <c r="FJ152" s="319" t="s">
        <v>429</v>
      </c>
      <c r="FK152" s="319" t="s">
        <v>429</v>
      </c>
      <c r="FL152" s="319" t="s">
        <v>190</v>
      </c>
      <c r="FM152" s="319" t="s">
        <v>190</v>
      </c>
      <c r="FN152" s="319" t="s">
        <v>190</v>
      </c>
      <c r="FO152" s="319" t="s">
        <v>190</v>
      </c>
      <c r="FP152" s="319" t="s">
        <v>190</v>
      </c>
      <c r="FQ152" s="319" t="s">
        <v>190</v>
      </c>
      <c r="FR152" s="319" t="s">
        <v>190</v>
      </c>
      <c r="FS152" s="319" t="s">
        <v>429</v>
      </c>
      <c r="FT152" s="319" t="s">
        <v>190</v>
      </c>
      <c r="FU152" s="319" t="s">
        <v>190</v>
      </c>
      <c r="FV152" s="319" t="s">
        <v>190</v>
      </c>
      <c r="FW152" s="319" t="s">
        <v>190</v>
      </c>
      <c r="FX152" s="319" t="s">
        <v>190</v>
      </c>
      <c r="FY152" s="319" t="s">
        <v>190</v>
      </c>
      <c r="FZ152" s="319" t="s">
        <v>190</v>
      </c>
      <c r="GA152" s="319" t="s">
        <v>190</v>
      </c>
      <c r="GB152" s="319" t="s">
        <v>190</v>
      </c>
      <c r="GC152" s="319" t="s">
        <v>190</v>
      </c>
      <c r="GD152" s="319" t="s">
        <v>190</v>
      </c>
      <c r="GE152" s="319" t="s">
        <v>190</v>
      </c>
      <c r="GF152" s="319" t="s">
        <v>190</v>
      </c>
      <c r="GG152" s="319" t="s">
        <v>190</v>
      </c>
      <c r="GH152" s="319" t="s">
        <v>190</v>
      </c>
      <c r="GI152" s="319" t="s">
        <v>190</v>
      </c>
      <c r="GJ152" s="319" t="s">
        <v>190</v>
      </c>
      <c r="GK152" s="319" t="s">
        <v>429</v>
      </c>
      <c r="GL152" s="319" t="s">
        <v>190</v>
      </c>
      <c r="GM152" s="319" t="s">
        <v>190</v>
      </c>
      <c r="GN152" s="319" t="s">
        <v>190</v>
      </c>
      <c r="GO152" s="319" t="s">
        <v>190</v>
      </c>
      <c r="GP152" s="319" t="s">
        <v>190</v>
      </c>
      <c r="GQ152" s="319" t="s">
        <v>190</v>
      </c>
      <c r="GR152" s="319" t="s">
        <v>190</v>
      </c>
      <c r="GS152" s="319" t="s">
        <v>190</v>
      </c>
      <c r="GT152" s="319" t="s">
        <v>429</v>
      </c>
      <c r="GU152" s="319" t="s">
        <v>429</v>
      </c>
      <c r="GV152" s="319" t="s">
        <v>429</v>
      </c>
      <c r="GW152" s="319" t="s">
        <v>190</v>
      </c>
      <c r="GX152" s="319" t="s">
        <v>190</v>
      </c>
      <c r="GY152" s="319" t="s">
        <v>190</v>
      </c>
      <c r="GZ152" s="319" t="s">
        <v>190</v>
      </c>
      <c r="HA152" s="319" t="s">
        <v>429</v>
      </c>
      <c r="HB152" s="319" t="s">
        <v>429</v>
      </c>
      <c r="HC152" s="319" t="s">
        <v>190</v>
      </c>
      <c r="HD152" s="319" t="s">
        <v>190</v>
      </c>
      <c r="HE152" s="319" t="s">
        <v>190</v>
      </c>
      <c r="HF152" s="319" t="s">
        <v>190</v>
      </c>
      <c r="HG152" s="319" t="s">
        <v>190</v>
      </c>
      <c r="HH152" s="319" t="s">
        <v>190</v>
      </c>
      <c r="HI152" s="319" t="s">
        <v>190</v>
      </c>
      <c r="HJ152" s="319" t="s">
        <v>190</v>
      </c>
      <c r="HK152" s="319" t="s">
        <v>190</v>
      </c>
      <c r="HL152" s="319" t="s">
        <v>429</v>
      </c>
      <c r="HM152" s="319" t="s">
        <v>429</v>
      </c>
      <c r="HN152" s="319" t="s">
        <v>429</v>
      </c>
      <c r="HO152" s="319" t="s">
        <v>429</v>
      </c>
      <c r="HP152" s="319" t="s">
        <v>190</v>
      </c>
      <c r="HQ152" s="319" t="s">
        <v>190</v>
      </c>
      <c r="HR152" s="319" t="s">
        <v>190</v>
      </c>
      <c r="HS152" s="319" t="s">
        <v>190</v>
      </c>
      <c r="HT152" s="319" t="s">
        <v>190</v>
      </c>
      <c r="HU152" s="319" t="s">
        <v>190</v>
      </c>
      <c r="HV152" s="319" t="s">
        <v>190</v>
      </c>
      <c r="HW152" s="319" t="s">
        <v>190</v>
      </c>
      <c r="HX152" s="319" t="s">
        <v>190</v>
      </c>
      <c r="HY152" s="319" t="s">
        <v>190</v>
      </c>
      <c r="HZ152" s="319" t="s">
        <v>190</v>
      </c>
      <c r="IA152" s="319" t="s">
        <v>190</v>
      </c>
      <c r="IB152" s="319" t="s">
        <v>190</v>
      </c>
      <c r="IC152" s="319" t="s">
        <v>190</v>
      </c>
      <c r="ID152" s="319" t="s">
        <v>190</v>
      </c>
      <c r="IE152" s="319" t="s">
        <v>190</v>
      </c>
      <c r="IF152" s="319" t="s">
        <v>190</v>
      </c>
      <c r="IG152" s="319" t="s">
        <v>190</v>
      </c>
      <c r="IH152" s="319" t="s">
        <v>190</v>
      </c>
      <c r="II152" s="319" t="s">
        <v>190</v>
      </c>
      <c r="IJ152" s="319" t="s">
        <v>2929</v>
      </c>
      <c r="IK152" s="321">
        <v>40498</v>
      </c>
      <c r="IL152" s="321">
        <v>40499</v>
      </c>
      <c r="IM152" s="321">
        <v>40518</v>
      </c>
      <c r="IN152" s="319">
        <v>1</v>
      </c>
      <c r="IO152" s="319" t="s">
        <v>173</v>
      </c>
      <c r="IP152" s="319" t="s">
        <v>173</v>
      </c>
      <c r="IQ152" s="319" t="s">
        <v>173</v>
      </c>
      <c r="IR152" s="320" t="s">
        <v>173</v>
      </c>
      <c r="IS152" s="320" t="s">
        <v>173</v>
      </c>
      <c r="IT152" s="319" t="s">
        <v>173</v>
      </c>
    </row>
    <row r="153" spans="1:254" s="271" customFormat="1" x14ac:dyDescent="0.25">
      <c r="A153" s="318" t="str">
        <f>HYPERLINK("http://www.ofsted.gov.uk/inspection-reports/find-inspection-report/provider/ELS/113943 ","Ofsted School Webpage")</f>
        <v>Ofsted School Webpage</v>
      </c>
      <c r="B153" s="319">
        <v>113943</v>
      </c>
      <c r="C153" s="319">
        <v>8386022</v>
      </c>
      <c r="D153" s="319" t="s">
        <v>1423</v>
      </c>
      <c r="E153" s="319" t="s">
        <v>167</v>
      </c>
      <c r="F153" s="319" t="s">
        <v>81</v>
      </c>
      <c r="G153" s="319" t="s">
        <v>81</v>
      </c>
      <c r="H153" s="319" t="s">
        <v>81</v>
      </c>
      <c r="I153" s="319" t="s">
        <v>78</v>
      </c>
      <c r="J153" s="319" t="s">
        <v>424</v>
      </c>
      <c r="K153" s="319" t="s">
        <v>422</v>
      </c>
      <c r="L153" s="319" t="s">
        <v>422</v>
      </c>
      <c r="M153" s="319" t="s">
        <v>570</v>
      </c>
      <c r="N153" s="319" t="s">
        <v>2930</v>
      </c>
      <c r="O153" s="319" t="s">
        <v>1424</v>
      </c>
      <c r="P153" s="319">
        <v>177</v>
      </c>
      <c r="Q153" s="319" t="s">
        <v>2776</v>
      </c>
      <c r="R153" s="320">
        <v>10094393</v>
      </c>
      <c r="S153" s="321">
        <v>43557</v>
      </c>
      <c r="T153" s="321">
        <v>43559</v>
      </c>
      <c r="U153" s="321">
        <v>43604</v>
      </c>
      <c r="V153" s="319" t="s">
        <v>425</v>
      </c>
      <c r="W153" s="319" t="s">
        <v>2767</v>
      </c>
      <c r="X153" s="319">
        <v>2</v>
      </c>
      <c r="Y153" s="319" t="s">
        <v>173</v>
      </c>
      <c r="Z153" s="319" t="s">
        <v>173</v>
      </c>
      <c r="AA153" s="319" t="s">
        <v>173</v>
      </c>
      <c r="AB153" s="319">
        <v>2</v>
      </c>
      <c r="AC153" s="319" t="s">
        <v>169</v>
      </c>
      <c r="AD153" s="319">
        <v>2</v>
      </c>
      <c r="AE153" s="319">
        <v>2</v>
      </c>
      <c r="AF153" s="319" t="s">
        <v>427</v>
      </c>
      <c r="AG153" s="319" t="s">
        <v>171</v>
      </c>
      <c r="AH153" s="319" t="s">
        <v>190</v>
      </c>
      <c r="AI153" s="319" t="s">
        <v>190</v>
      </c>
      <c r="AJ153" s="319" t="s">
        <v>190</v>
      </c>
      <c r="AK153" s="319" t="s">
        <v>190</v>
      </c>
      <c r="AL153" s="319" t="s">
        <v>190</v>
      </c>
      <c r="AM153" s="319" t="s">
        <v>190</v>
      </c>
      <c r="AN153" s="319" t="s">
        <v>190</v>
      </c>
      <c r="AO153" s="319" t="s">
        <v>190</v>
      </c>
      <c r="AP153" s="319" t="s">
        <v>190</v>
      </c>
      <c r="AQ153" s="319" t="s">
        <v>190</v>
      </c>
      <c r="AR153" s="319" t="s">
        <v>190</v>
      </c>
      <c r="AS153" s="319" t="s">
        <v>190</v>
      </c>
      <c r="AT153" s="319" t="s">
        <v>190</v>
      </c>
      <c r="AU153" s="319" t="s">
        <v>190</v>
      </c>
      <c r="AV153" s="319" t="s">
        <v>190</v>
      </c>
      <c r="AW153" s="319" t="s">
        <v>190</v>
      </c>
      <c r="AX153" s="319" t="s">
        <v>190</v>
      </c>
      <c r="AY153" s="319" t="s">
        <v>190</v>
      </c>
      <c r="AZ153" s="319" t="s">
        <v>190</v>
      </c>
      <c r="BA153" s="319" t="s">
        <v>190</v>
      </c>
      <c r="BB153" s="319" t="s">
        <v>190</v>
      </c>
      <c r="BC153" s="319" t="s">
        <v>190</v>
      </c>
      <c r="BD153" s="319" t="s">
        <v>190</v>
      </c>
      <c r="BE153" s="319" t="s">
        <v>190</v>
      </c>
      <c r="BF153" s="319" t="s">
        <v>190</v>
      </c>
      <c r="BG153" s="319" t="s">
        <v>190</v>
      </c>
      <c r="BH153" s="319" t="s">
        <v>190</v>
      </c>
      <c r="BI153" s="319" t="s">
        <v>190</v>
      </c>
      <c r="BJ153" s="319" t="s">
        <v>190</v>
      </c>
      <c r="BK153" s="319" t="s">
        <v>190</v>
      </c>
      <c r="BL153" s="319" t="s">
        <v>190</v>
      </c>
      <c r="BM153" s="319" t="s">
        <v>190</v>
      </c>
      <c r="BN153" s="319" t="s">
        <v>190</v>
      </c>
      <c r="BO153" s="319" t="s">
        <v>190</v>
      </c>
      <c r="BP153" s="319" t="s">
        <v>190</v>
      </c>
      <c r="BQ153" s="319" t="s">
        <v>190</v>
      </c>
      <c r="BR153" s="319" t="s">
        <v>190</v>
      </c>
      <c r="BS153" s="319" t="s">
        <v>190</v>
      </c>
      <c r="BT153" s="319" t="s">
        <v>190</v>
      </c>
      <c r="BU153" s="319" t="s">
        <v>190</v>
      </c>
      <c r="BV153" s="319" t="s">
        <v>190</v>
      </c>
      <c r="BW153" s="319" t="s">
        <v>190</v>
      </c>
      <c r="BX153" s="319" t="s">
        <v>190</v>
      </c>
      <c r="BY153" s="319" t="s">
        <v>190</v>
      </c>
      <c r="BZ153" s="319" t="s">
        <v>190</v>
      </c>
      <c r="CA153" s="319" t="s">
        <v>190</v>
      </c>
      <c r="CB153" s="319" t="s">
        <v>190</v>
      </c>
      <c r="CC153" s="319" t="s">
        <v>190</v>
      </c>
      <c r="CD153" s="319" t="s">
        <v>190</v>
      </c>
      <c r="CE153" s="319" t="s">
        <v>190</v>
      </c>
      <c r="CF153" s="319" t="s">
        <v>190</v>
      </c>
      <c r="CG153" s="319" t="s">
        <v>190</v>
      </c>
      <c r="CH153" s="319" t="s">
        <v>190</v>
      </c>
      <c r="CI153" s="319" t="s">
        <v>190</v>
      </c>
      <c r="CJ153" s="319" t="s">
        <v>190</v>
      </c>
      <c r="CK153" s="319" t="s">
        <v>190</v>
      </c>
      <c r="CL153" s="319" t="s">
        <v>190</v>
      </c>
      <c r="CM153" s="319" t="s">
        <v>190</v>
      </c>
      <c r="CN153" s="319" t="s">
        <v>428</v>
      </c>
      <c r="CO153" s="319" t="s">
        <v>428</v>
      </c>
      <c r="CP153" s="319" t="s">
        <v>428</v>
      </c>
      <c r="CQ153" s="319" t="s">
        <v>190</v>
      </c>
      <c r="CR153" s="319" t="s">
        <v>190</v>
      </c>
      <c r="CS153" s="319" t="s">
        <v>190</v>
      </c>
      <c r="CT153" s="319" t="s">
        <v>190</v>
      </c>
      <c r="CU153" s="319" t="s">
        <v>190</v>
      </c>
      <c r="CV153" s="319" t="s">
        <v>190</v>
      </c>
      <c r="CW153" s="319" t="s">
        <v>190</v>
      </c>
      <c r="CX153" s="319" t="s">
        <v>190</v>
      </c>
      <c r="CY153" s="319" t="s">
        <v>190</v>
      </c>
      <c r="CZ153" s="319" t="s">
        <v>190</v>
      </c>
      <c r="DA153" s="319" t="s">
        <v>190</v>
      </c>
      <c r="DB153" s="319" t="s">
        <v>190</v>
      </c>
      <c r="DC153" s="319" t="s">
        <v>190</v>
      </c>
      <c r="DD153" s="319" t="s">
        <v>190</v>
      </c>
      <c r="DE153" s="319" t="s">
        <v>190</v>
      </c>
      <c r="DF153" s="319" t="s">
        <v>190</v>
      </c>
      <c r="DG153" s="319" t="s">
        <v>190</v>
      </c>
      <c r="DH153" s="319" t="s">
        <v>190</v>
      </c>
      <c r="DI153" s="319" t="s">
        <v>190</v>
      </c>
      <c r="DJ153" s="319" t="s">
        <v>190</v>
      </c>
      <c r="DK153" s="319" t="s">
        <v>190</v>
      </c>
      <c r="DL153" s="319" t="s">
        <v>190</v>
      </c>
      <c r="DM153" s="319" t="s">
        <v>190</v>
      </c>
      <c r="DN153" s="319" t="s">
        <v>428</v>
      </c>
      <c r="DO153" s="319" t="s">
        <v>190</v>
      </c>
      <c r="DP153" s="319" t="s">
        <v>190</v>
      </c>
      <c r="DQ153" s="319" t="s">
        <v>190</v>
      </c>
      <c r="DR153" s="319" t="s">
        <v>190</v>
      </c>
      <c r="DS153" s="319" t="s">
        <v>190</v>
      </c>
      <c r="DT153" s="319" t="s">
        <v>190</v>
      </c>
      <c r="DU153" s="319" t="s">
        <v>190</v>
      </c>
      <c r="DV153" s="319" t="s">
        <v>173</v>
      </c>
      <c r="DW153" s="319" t="s">
        <v>190</v>
      </c>
      <c r="DX153" s="319" t="s">
        <v>190</v>
      </c>
      <c r="DY153" s="319" t="s">
        <v>190</v>
      </c>
      <c r="DZ153" s="319" t="s">
        <v>190</v>
      </c>
      <c r="EA153" s="319" t="s">
        <v>190</v>
      </c>
      <c r="EB153" s="319" t="s">
        <v>190</v>
      </c>
      <c r="EC153" s="319" t="s">
        <v>428</v>
      </c>
      <c r="ED153" s="319" t="s">
        <v>190</v>
      </c>
      <c r="EE153" s="319" t="s">
        <v>190</v>
      </c>
      <c r="EF153" s="319" t="s">
        <v>190</v>
      </c>
      <c r="EG153" s="319" t="s">
        <v>190</v>
      </c>
      <c r="EH153" s="319" t="s">
        <v>190</v>
      </c>
      <c r="EI153" s="319" t="s">
        <v>190</v>
      </c>
      <c r="EJ153" s="319" t="s">
        <v>190</v>
      </c>
      <c r="EK153" s="319" t="s">
        <v>190</v>
      </c>
      <c r="EL153" s="319" t="s">
        <v>190</v>
      </c>
      <c r="EM153" s="319" t="s">
        <v>428</v>
      </c>
      <c r="EN153" s="319" t="s">
        <v>190</v>
      </c>
      <c r="EO153" s="319" t="s">
        <v>190</v>
      </c>
      <c r="EP153" s="319" t="s">
        <v>190</v>
      </c>
      <c r="EQ153" s="319" t="s">
        <v>190</v>
      </c>
      <c r="ER153" s="319" t="s">
        <v>190</v>
      </c>
      <c r="ES153" s="319" t="s">
        <v>190</v>
      </c>
      <c r="ET153" s="319" t="s">
        <v>190</v>
      </c>
      <c r="EU153" s="319" t="s">
        <v>190</v>
      </c>
      <c r="EV153" s="319" t="s">
        <v>190</v>
      </c>
      <c r="EW153" s="319" t="s">
        <v>190</v>
      </c>
      <c r="EX153" s="319" t="s">
        <v>190</v>
      </c>
      <c r="EY153" s="319" t="s">
        <v>190</v>
      </c>
      <c r="EZ153" s="319" t="s">
        <v>190</v>
      </c>
      <c r="FA153" s="319" t="s">
        <v>190</v>
      </c>
      <c r="FB153" s="319" t="s">
        <v>190</v>
      </c>
      <c r="FC153" s="319" t="s">
        <v>190</v>
      </c>
      <c r="FD153" s="319" t="s">
        <v>190</v>
      </c>
      <c r="FE153" s="319" t="s">
        <v>190</v>
      </c>
      <c r="FF153" s="319" t="s">
        <v>428</v>
      </c>
      <c r="FG153" s="319" t="s">
        <v>190</v>
      </c>
      <c r="FH153" s="319" t="s">
        <v>190</v>
      </c>
      <c r="FI153" s="319" t="s">
        <v>190</v>
      </c>
      <c r="FJ153" s="319" t="s">
        <v>190</v>
      </c>
      <c r="FK153" s="319" t="s">
        <v>190</v>
      </c>
      <c r="FL153" s="319" t="s">
        <v>190</v>
      </c>
      <c r="FM153" s="319" t="s">
        <v>190</v>
      </c>
      <c r="FN153" s="319" t="s">
        <v>190</v>
      </c>
      <c r="FO153" s="319" t="s">
        <v>190</v>
      </c>
      <c r="FP153" s="319" t="s">
        <v>190</v>
      </c>
      <c r="FQ153" s="319" t="s">
        <v>190</v>
      </c>
      <c r="FR153" s="319" t="s">
        <v>190</v>
      </c>
      <c r="FS153" s="319" t="s">
        <v>428</v>
      </c>
      <c r="FT153" s="319" t="s">
        <v>190</v>
      </c>
      <c r="FU153" s="319" t="s">
        <v>190</v>
      </c>
      <c r="FV153" s="319" t="s">
        <v>190</v>
      </c>
      <c r="FW153" s="319" t="s">
        <v>190</v>
      </c>
      <c r="FX153" s="319" t="s">
        <v>190</v>
      </c>
      <c r="FY153" s="319" t="s">
        <v>190</v>
      </c>
      <c r="FZ153" s="319" t="s">
        <v>190</v>
      </c>
      <c r="GA153" s="319" t="s">
        <v>190</v>
      </c>
      <c r="GB153" s="319" t="s">
        <v>190</v>
      </c>
      <c r="GC153" s="319" t="s">
        <v>190</v>
      </c>
      <c r="GD153" s="319" t="s">
        <v>190</v>
      </c>
      <c r="GE153" s="319" t="s">
        <v>190</v>
      </c>
      <c r="GF153" s="319" t="s">
        <v>190</v>
      </c>
      <c r="GG153" s="319" t="s">
        <v>190</v>
      </c>
      <c r="GH153" s="319" t="s">
        <v>190</v>
      </c>
      <c r="GI153" s="319" t="s">
        <v>190</v>
      </c>
      <c r="GJ153" s="319" t="s">
        <v>190</v>
      </c>
      <c r="GK153" s="319" t="s">
        <v>428</v>
      </c>
      <c r="GL153" s="319" t="s">
        <v>190</v>
      </c>
      <c r="GM153" s="319" t="s">
        <v>190</v>
      </c>
      <c r="GN153" s="319" t="s">
        <v>190</v>
      </c>
      <c r="GO153" s="319" t="s">
        <v>190</v>
      </c>
      <c r="GP153" s="319" t="s">
        <v>190</v>
      </c>
      <c r="GQ153" s="319" t="s">
        <v>428</v>
      </c>
      <c r="GR153" s="319" t="s">
        <v>190</v>
      </c>
      <c r="GS153" s="319" t="s">
        <v>190</v>
      </c>
      <c r="GT153" s="319" t="s">
        <v>428</v>
      </c>
      <c r="GU153" s="319" t="s">
        <v>428</v>
      </c>
      <c r="GV153" s="319" t="s">
        <v>428</v>
      </c>
      <c r="GW153" s="319" t="s">
        <v>190</v>
      </c>
      <c r="GX153" s="319" t="s">
        <v>190</v>
      </c>
      <c r="GY153" s="319" t="s">
        <v>190</v>
      </c>
      <c r="GZ153" s="319" t="s">
        <v>428</v>
      </c>
      <c r="HA153" s="319" t="s">
        <v>190</v>
      </c>
      <c r="HB153" s="319" t="s">
        <v>190</v>
      </c>
      <c r="HC153" s="319" t="s">
        <v>190</v>
      </c>
      <c r="HD153" s="319" t="s">
        <v>190</v>
      </c>
      <c r="HE153" s="319" t="s">
        <v>190</v>
      </c>
      <c r="HF153" s="319" t="s">
        <v>190</v>
      </c>
      <c r="HG153" s="319" t="s">
        <v>190</v>
      </c>
      <c r="HH153" s="319" t="s">
        <v>190</v>
      </c>
      <c r="HI153" s="319" t="s">
        <v>190</v>
      </c>
      <c r="HJ153" s="319" t="s">
        <v>190</v>
      </c>
      <c r="HK153" s="319" t="s">
        <v>190</v>
      </c>
      <c r="HL153" s="319" t="s">
        <v>428</v>
      </c>
      <c r="HM153" s="319" t="s">
        <v>428</v>
      </c>
      <c r="HN153" s="319" t="s">
        <v>428</v>
      </c>
      <c r="HO153" s="319" t="s">
        <v>428</v>
      </c>
      <c r="HP153" s="319" t="s">
        <v>190</v>
      </c>
      <c r="HQ153" s="319" t="s">
        <v>190</v>
      </c>
      <c r="HR153" s="319" t="s">
        <v>190</v>
      </c>
      <c r="HS153" s="319" t="s">
        <v>190</v>
      </c>
      <c r="HT153" s="319" t="s">
        <v>190</v>
      </c>
      <c r="HU153" s="319" t="s">
        <v>190</v>
      </c>
      <c r="HV153" s="319" t="s">
        <v>190</v>
      </c>
      <c r="HW153" s="319" t="s">
        <v>190</v>
      </c>
      <c r="HX153" s="319" t="s">
        <v>190</v>
      </c>
      <c r="HY153" s="319" t="s">
        <v>190</v>
      </c>
      <c r="HZ153" s="319" t="s">
        <v>190</v>
      </c>
      <c r="IA153" s="319" t="s">
        <v>190</v>
      </c>
      <c r="IB153" s="319" t="s">
        <v>190</v>
      </c>
      <c r="IC153" s="319" t="s">
        <v>190</v>
      </c>
      <c r="ID153" s="319" t="s">
        <v>190</v>
      </c>
      <c r="IE153" s="319" t="s">
        <v>190</v>
      </c>
      <c r="IF153" s="319" t="s">
        <v>190</v>
      </c>
      <c r="IG153" s="319" t="s">
        <v>190</v>
      </c>
      <c r="IH153" s="319" t="s">
        <v>190</v>
      </c>
      <c r="II153" s="319" t="s">
        <v>190</v>
      </c>
      <c r="IJ153" s="319" t="s">
        <v>1425</v>
      </c>
      <c r="IK153" s="321">
        <v>39968</v>
      </c>
      <c r="IL153" s="321">
        <v>39968</v>
      </c>
      <c r="IM153" s="321">
        <v>39993</v>
      </c>
      <c r="IN153" s="319">
        <v>2</v>
      </c>
      <c r="IO153" s="319" t="s">
        <v>173</v>
      </c>
      <c r="IP153" s="319" t="s">
        <v>173</v>
      </c>
      <c r="IQ153" s="319" t="s">
        <v>173</v>
      </c>
      <c r="IR153" s="320" t="s">
        <v>173</v>
      </c>
      <c r="IS153" s="320" t="s">
        <v>173</v>
      </c>
      <c r="IT153" s="319" t="s">
        <v>173</v>
      </c>
    </row>
    <row r="154" spans="1:254" s="271" customFormat="1" x14ac:dyDescent="0.25">
      <c r="A154" s="318" t="str">
        <f>HYPERLINK("http://www.ofsted.gov.uk/inspection-reports/find-inspection-report/provider/ELS/113944 ","Ofsted School Webpage")</f>
        <v>Ofsted School Webpage</v>
      </c>
      <c r="B154" s="319">
        <v>113944</v>
      </c>
      <c r="C154" s="319">
        <v>8396010</v>
      </c>
      <c r="D154" s="319" t="s">
        <v>1426</v>
      </c>
      <c r="E154" s="319" t="s">
        <v>167</v>
      </c>
      <c r="F154" s="319" t="s">
        <v>67</v>
      </c>
      <c r="G154" s="319" t="s">
        <v>67</v>
      </c>
      <c r="H154" s="319" t="s">
        <v>67</v>
      </c>
      <c r="I154" s="319" t="s">
        <v>59</v>
      </c>
      <c r="J154" s="319" t="s">
        <v>424</v>
      </c>
      <c r="K154" s="319" t="s">
        <v>422</v>
      </c>
      <c r="L154" s="319" t="s">
        <v>422</v>
      </c>
      <c r="M154" s="319" t="s">
        <v>2691</v>
      </c>
      <c r="N154" s="319" t="s">
        <v>2931</v>
      </c>
      <c r="O154" s="319" t="s">
        <v>1427</v>
      </c>
      <c r="P154" s="319">
        <v>111</v>
      </c>
      <c r="Q154" s="319" t="s">
        <v>2766</v>
      </c>
      <c r="R154" s="320">
        <v>10033884</v>
      </c>
      <c r="S154" s="321">
        <v>42997</v>
      </c>
      <c r="T154" s="321">
        <v>42999</v>
      </c>
      <c r="U154" s="321">
        <v>43021</v>
      </c>
      <c r="V154" s="319" t="s">
        <v>425</v>
      </c>
      <c r="W154" s="319" t="s">
        <v>2767</v>
      </c>
      <c r="X154" s="319">
        <v>2</v>
      </c>
      <c r="Y154" s="319" t="s">
        <v>173</v>
      </c>
      <c r="Z154" s="319" t="s">
        <v>173</v>
      </c>
      <c r="AA154" s="319" t="s">
        <v>173</v>
      </c>
      <c r="AB154" s="319">
        <v>2</v>
      </c>
      <c r="AC154" s="319" t="s">
        <v>169</v>
      </c>
      <c r="AD154" s="319">
        <v>2</v>
      </c>
      <c r="AE154" s="319" t="s">
        <v>173</v>
      </c>
      <c r="AF154" s="319" t="s">
        <v>173</v>
      </c>
      <c r="AG154" s="319" t="s">
        <v>171</v>
      </c>
      <c r="AH154" s="319" t="s">
        <v>190</v>
      </c>
      <c r="AI154" s="319" t="s">
        <v>190</v>
      </c>
      <c r="AJ154" s="319" t="s">
        <v>190</v>
      </c>
      <c r="AK154" s="319" t="s">
        <v>190</v>
      </c>
      <c r="AL154" s="319" t="s">
        <v>190</v>
      </c>
      <c r="AM154" s="319" t="s">
        <v>190</v>
      </c>
      <c r="AN154" s="319" t="s">
        <v>190</v>
      </c>
      <c r="AO154" s="319" t="s">
        <v>190</v>
      </c>
      <c r="AP154" s="319" t="s">
        <v>190</v>
      </c>
      <c r="AQ154" s="319" t="s">
        <v>190</v>
      </c>
      <c r="AR154" s="319" t="s">
        <v>190</v>
      </c>
      <c r="AS154" s="319" t="s">
        <v>190</v>
      </c>
      <c r="AT154" s="319" t="s">
        <v>190</v>
      </c>
      <c r="AU154" s="319" t="s">
        <v>190</v>
      </c>
      <c r="AV154" s="319" t="s">
        <v>190</v>
      </c>
      <c r="AW154" s="319" t="s">
        <v>190</v>
      </c>
      <c r="AX154" s="319" t="s">
        <v>190</v>
      </c>
      <c r="AY154" s="319" t="s">
        <v>190</v>
      </c>
      <c r="AZ154" s="319" t="s">
        <v>190</v>
      </c>
      <c r="BA154" s="319" t="s">
        <v>190</v>
      </c>
      <c r="BB154" s="319" t="s">
        <v>429</v>
      </c>
      <c r="BC154" s="319" t="s">
        <v>429</v>
      </c>
      <c r="BD154" s="319" t="s">
        <v>429</v>
      </c>
      <c r="BE154" s="319" t="s">
        <v>429</v>
      </c>
      <c r="BF154" s="319" t="s">
        <v>190</v>
      </c>
      <c r="BG154" s="319" t="s">
        <v>429</v>
      </c>
      <c r="BH154" s="319" t="s">
        <v>190</v>
      </c>
      <c r="BI154" s="319" t="s">
        <v>190</v>
      </c>
      <c r="BJ154" s="319" t="s">
        <v>190</v>
      </c>
      <c r="BK154" s="319" t="s">
        <v>190</v>
      </c>
      <c r="BL154" s="319" t="s">
        <v>190</v>
      </c>
      <c r="BM154" s="319" t="s">
        <v>190</v>
      </c>
      <c r="BN154" s="319" t="s">
        <v>190</v>
      </c>
      <c r="BO154" s="319" t="s">
        <v>190</v>
      </c>
      <c r="BP154" s="319" t="s">
        <v>190</v>
      </c>
      <c r="BQ154" s="319" t="s">
        <v>190</v>
      </c>
      <c r="BR154" s="319" t="s">
        <v>190</v>
      </c>
      <c r="BS154" s="319" t="s">
        <v>190</v>
      </c>
      <c r="BT154" s="319" t="s">
        <v>190</v>
      </c>
      <c r="BU154" s="319" t="s">
        <v>190</v>
      </c>
      <c r="BV154" s="319" t="s">
        <v>190</v>
      </c>
      <c r="BW154" s="319" t="s">
        <v>190</v>
      </c>
      <c r="BX154" s="319" t="s">
        <v>190</v>
      </c>
      <c r="BY154" s="319" t="s">
        <v>190</v>
      </c>
      <c r="BZ154" s="319" t="s">
        <v>190</v>
      </c>
      <c r="CA154" s="319" t="s">
        <v>190</v>
      </c>
      <c r="CB154" s="319" t="s">
        <v>190</v>
      </c>
      <c r="CC154" s="319" t="s">
        <v>190</v>
      </c>
      <c r="CD154" s="319" t="s">
        <v>190</v>
      </c>
      <c r="CE154" s="319" t="s">
        <v>190</v>
      </c>
      <c r="CF154" s="319" t="s">
        <v>190</v>
      </c>
      <c r="CG154" s="319" t="s">
        <v>190</v>
      </c>
      <c r="CH154" s="319" t="s">
        <v>190</v>
      </c>
      <c r="CI154" s="319" t="s">
        <v>190</v>
      </c>
      <c r="CJ154" s="319" t="s">
        <v>190</v>
      </c>
      <c r="CK154" s="319" t="s">
        <v>190</v>
      </c>
      <c r="CL154" s="319" t="s">
        <v>190</v>
      </c>
      <c r="CM154" s="319" t="s">
        <v>190</v>
      </c>
      <c r="CN154" s="319" t="s">
        <v>429</v>
      </c>
      <c r="CO154" s="319" t="s">
        <v>429</v>
      </c>
      <c r="CP154" s="319" t="s">
        <v>429</v>
      </c>
      <c r="CQ154" s="319" t="s">
        <v>190</v>
      </c>
      <c r="CR154" s="319" t="s">
        <v>190</v>
      </c>
      <c r="CS154" s="319" t="s">
        <v>190</v>
      </c>
      <c r="CT154" s="319" t="s">
        <v>190</v>
      </c>
      <c r="CU154" s="319" t="s">
        <v>190</v>
      </c>
      <c r="CV154" s="319" t="s">
        <v>190</v>
      </c>
      <c r="CW154" s="319" t="s">
        <v>190</v>
      </c>
      <c r="CX154" s="319" t="s">
        <v>190</v>
      </c>
      <c r="CY154" s="319" t="s">
        <v>190</v>
      </c>
      <c r="CZ154" s="319" t="s">
        <v>190</v>
      </c>
      <c r="DA154" s="319" t="s">
        <v>190</v>
      </c>
      <c r="DB154" s="319" t="s">
        <v>190</v>
      </c>
      <c r="DC154" s="319" t="s">
        <v>190</v>
      </c>
      <c r="DD154" s="319" t="s">
        <v>190</v>
      </c>
      <c r="DE154" s="319" t="s">
        <v>190</v>
      </c>
      <c r="DF154" s="319" t="s">
        <v>190</v>
      </c>
      <c r="DG154" s="319" t="s">
        <v>190</v>
      </c>
      <c r="DH154" s="319" t="s">
        <v>190</v>
      </c>
      <c r="DI154" s="319" t="s">
        <v>190</v>
      </c>
      <c r="DJ154" s="319" t="s">
        <v>190</v>
      </c>
      <c r="DK154" s="319" t="s">
        <v>190</v>
      </c>
      <c r="DL154" s="319" t="s">
        <v>190</v>
      </c>
      <c r="DM154" s="319" t="s">
        <v>190</v>
      </c>
      <c r="DN154" s="319" t="s">
        <v>429</v>
      </c>
      <c r="DO154" s="319" t="s">
        <v>190</v>
      </c>
      <c r="DP154" s="319" t="s">
        <v>190</v>
      </c>
      <c r="DQ154" s="319" t="s">
        <v>190</v>
      </c>
      <c r="DR154" s="319" t="s">
        <v>190</v>
      </c>
      <c r="DS154" s="319" t="s">
        <v>529</v>
      </c>
      <c r="DT154" s="319" t="s">
        <v>190</v>
      </c>
      <c r="DU154" s="319" t="s">
        <v>190</v>
      </c>
      <c r="DV154" s="319" t="s">
        <v>173</v>
      </c>
      <c r="DW154" s="319" t="s">
        <v>190</v>
      </c>
      <c r="DX154" s="319" t="s">
        <v>190</v>
      </c>
      <c r="DY154" s="319" t="s">
        <v>190</v>
      </c>
      <c r="DZ154" s="319" t="s">
        <v>190</v>
      </c>
      <c r="EA154" s="319" t="s">
        <v>190</v>
      </c>
      <c r="EB154" s="319" t="s">
        <v>190</v>
      </c>
      <c r="EC154" s="319" t="s">
        <v>429</v>
      </c>
      <c r="ED154" s="319" t="s">
        <v>190</v>
      </c>
      <c r="EE154" s="319" t="s">
        <v>190</v>
      </c>
      <c r="EF154" s="319" t="s">
        <v>190</v>
      </c>
      <c r="EG154" s="319" t="s">
        <v>190</v>
      </c>
      <c r="EH154" s="319" t="s">
        <v>190</v>
      </c>
      <c r="EI154" s="319" t="s">
        <v>190</v>
      </c>
      <c r="EJ154" s="319" t="s">
        <v>190</v>
      </c>
      <c r="EK154" s="319" t="s">
        <v>190</v>
      </c>
      <c r="EL154" s="319" t="s">
        <v>529</v>
      </c>
      <c r="EM154" s="319" t="s">
        <v>529</v>
      </c>
      <c r="EN154" s="319" t="s">
        <v>529</v>
      </c>
      <c r="EO154" s="319" t="s">
        <v>529</v>
      </c>
      <c r="EP154" s="319" t="s">
        <v>529</v>
      </c>
      <c r="EQ154" s="319" t="s">
        <v>529</v>
      </c>
      <c r="ER154" s="319" t="s">
        <v>529</v>
      </c>
      <c r="ES154" s="319" t="s">
        <v>529</v>
      </c>
      <c r="ET154" s="319" t="s">
        <v>529</v>
      </c>
      <c r="EU154" s="319" t="s">
        <v>529</v>
      </c>
      <c r="EV154" s="319" t="s">
        <v>529</v>
      </c>
      <c r="EW154" s="319" t="s">
        <v>529</v>
      </c>
      <c r="EX154" s="319" t="s">
        <v>529</v>
      </c>
      <c r="EY154" s="319" t="s">
        <v>529</v>
      </c>
      <c r="EZ154" s="319" t="s">
        <v>529</v>
      </c>
      <c r="FA154" s="319" t="s">
        <v>529</v>
      </c>
      <c r="FB154" s="319" t="s">
        <v>529</v>
      </c>
      <c r="FC154" s="319" t="s">
        <v>529</v>
      </c>
      <c r="FD154" s="319" t="s">
        <v>529</v>
      </c>
      <c r="FE154" s="319" t="s">
        <v>529</v>
      </c>
      <c r="FF154" s="319" t="s">
        <v>529</v>
      </c>
      <c r="FG154" s="319" t="s">
        <v>529</v>
      </c>
      <c r="FH154" s="319" t="s">
        <v>529</v>
      </c>
      <c r="FI154" s="319" t="s">
        <v>529</v>
      </c>
      <c r="FJ154" s="319" t="s">
        <v>529</v>
      </c>
      <c r="FK154" s="319" t="s">
        <v>529</v>
      </c>
      <c r="FL154" s="319" t="s">
        <v>190</v>
      </c>
      <c r="FM154" s="319" t="s">
        <v>190</v>
      </c>
      <c r="FN154" s="319" t="s">
        <v>190</v>
      </c>
      <c r="FO154" s="319" t="s">
        <v>429</v>
      </c>
      <c r="FP154" s="319" t="s">
        <v>190</v>
      </c>
      <c r="FQ154" s="319" t="s">
        <v>190</v>
      </c>
      <c r="FR154" s="319" t="s">
        <v>190</v>
      </c>
      <c r="FS154" s="319" t="s">
        <v>190</v>
      </c>
      <c r="FT154" s="319" t="s">
        <v>190</v>
      </c>
      <c r="FU154" s="319" t="s">
        <v>190</v>
      </c>
      <c r="FV154" s="319" t="s">
        <v>190</v>
      </c>
      <c r="FW154" s="319" t="s">
        <v>190</v>
      </c>
      <c r="FX154" s="319" t="s">
        <v>190</v>
      </c>
      <c r="FY154" s="319" t="s">
        <v>190</v>
      </c>
      <c r="FZ154" s="319" t="s">
        <v>190</v>
      </c>
      <c r="GA154" s="319" t="s">
        <v>190</v>
      </c>
      <c r="GB154" s="319" t="s">
        <v>190</v>
      </c>
      <c r="GC154" s="319" t="s">
        <v>190</v>
      </c>
      <c r="GD154" s="319" t="s">
        <v>190</v>
      </c>
      <c r="GE154" s="319" t="s">
        <v>190</v>
      </c>
      <c r="GF154" s="319" t="s">
        <v>190</v>
      </c>
      <c r="GG154" s="319" t="s">
        <v>190</v>
      </c>
      <c r="GH154" s="319" t="s">
        <v>190</v>
      </c>
      <c r="GI154" s="319" t="s">
        <v>190</v>
      </c>
      <c r="GJ154" s="319" t="s">
        <v>190</v>
      </c>
      <c r="GK154" s="319" t="s">
        <v>429</v>
      </c>
      <c r="GL154" s="319" t="s">
        <v>190</v>
      </c>
      <c r="GM154" s="319" t="s">
        <v>190</v>
      </c>
      <c r="GN154" s="319" t="s">
        <v>529</v>
      </c>
      <c r="GO154" s="319" t="s">
        <v>190</v>
      </c>
      <c r="GP154" s="319" t="s">
        <v>190</v>
      </c>
      <c r="GQ154" s="319" t="s">
        <v>190</v>
      </c>
      <c r="GR154" s="319" t="s">
        <v>190</v>
      </c>
      <c r="GS154" s="319" t="s">
        <v>190</v>
      </c>
      <c r="GT154" s="319" t="s">
        <v>429</v>
      </c>
      <c r="GU154" s="319" t="s">
        <v>429</v>
      </c>
      <c r="GV154" s="319" t="s">
        <v>190</v>
      </c>
      <c r="GW154" s="319" t="s">
        <v>190</v>
      </c>
      <c r="GX154" s="319" t="s">
        <v>190</v>
      </c>
      <c r="GY154" s="319" t="s">
        <v>190</v>
      </c>
      <c r="GZ154" s="319" t="s">
        <v>190</v>
      </c>
      <c r="HA154" s="319" t="s">
        <v>190</v>
      </c>
      <c r="HB154" s="319" t="s">
        <v>190</v>
      </c>
      <c r="HC154" s="319" t="s">
        <v>190</v>
      </c>
      <c r="HD154" s="319" t="s">
        <v>190</v>
      </c>
      <c r="HE154" s="319" t="s">
        <v>190</v>
      </c>
      <c r="HF154" s="319" t="s">
        <v>429</v>
      </c>
      <c r="HG154" s="319" t="s">
        <v>190</v>
      </c>
      <c r="HH154" s="319" t="s">
        <v>190</v>
      </c>
      <c r="HI154" s="319" t="s">
        <v>190</v>
      </c>
      <c r="HJ154" s="319" t="s">
        <v>190</v>
      </c>
      <c r="HK154" s="319" t="s">
        <v>190</v>
      </c>
      <c r="HL154" s="319" t="s">
        <v>190</v>
      </c>
      <c r="HM154" s="319" t="s">
        <v>429</v>
      </c>
      <c r="HN154" s="319" t="s">
        <v>429</v>
      </c>
      <c r="HO154" s="319" t="s">
        <v>429</v>
      </c>
      <c r="HP154" s="319" t="s">
        <v>190</v>
      </c>
      <c r="HQ154" s="319" t="s">
        <v>190</v>
      </c>
      <c r="HR154" s="319" t="s">
        <v>190</v>
      </c>
      <c r="HS154" s="319" t="s">
        <v>190</v>
      </c>
      <c r="HT154" s="319" t="s">
        <v>190</v>
      </c>
      <c r="HU154" s="319" t="s">
        <v>190</v>
      </c>
      <c r="HV154" s="319" t="s">
        <v>190</v>
      </c>
      <c r="HW154" s="319" t="s">
        <v>190</v>
      </c>
      <c r="HX154" s="319" t="s">
        <v>190</v>
      </c>
      <c r="HY154" s="319" t="s">
        <v>190</v>
      </c>
      <c r="HZ154" s="319" t="s">
        <v>190</v>
      </c>
      <c r="IA154" s="319" t="s">
        <v>190</v>
      </c>
      <c r="IB154" s="319" t="s">
        <v>190</v>
      </c>
      <c r="IC154" s="319" t="s">
        <v>190</v>
      </c>
      <c r="ID154" s="319" t="s">
        <v>190</v>
      </c>
      <c r="IE154" s="319" t="s">
        <v>190</v>
      </c>
      <c r="IF154" s="319" t="s">
        <v>190</v>
      </c>
      <c r="IG154" s="319" t="s">
        <v>190</v>
      </c>
      <c r="IH154" s="319" t="s">
        <v>190</v>
      </c>
      <c r="II154" s="319" t="s">
        <v>190</v>
      </c>
      <c r="IJ154" s="319" t="s">
        <v>2932</v>
      </c>
      <c r="IK154" s="321">
        <v>41814</v>
      </c>
      <c r="IL154" s="321">
        <v>41816</v>
      </c>
      <c r="IM154" s="321">
        <v>41835</v>
      </c>
      <c r="IN154" s="319">
        <v>2</v>
      </c>
      <c r="IO154" s="319" t="s">
        <v>173</v>
      </c>
      <c r="IP154" s="319" t="s">
        <v>173</v>
      </c>
      <c r="IQ154" s="319" t="s">
        <v>173</v>
      </c>
      <c r="IR154" s="320" t="s">
        <v>173</v>
      </c>
      <c r="IS154" s="320" t="s">
        <v>173</v>
      </c>
      <c r="IT154" s="319" t="s">
        <v>173</v>
      </c>
    </row>
    <row r="155" spans="1:254" s="271" customFormat="1" x14ac:dyDescent="0.25">
      <c r="A155" s="318" t="str">
        <f>HYPERLINK("http://www.ofsted.gov.uk/inspection-reports/find-inspection-report/provider/ELS/113950 ","Ofsted School Webpage")</f>
        <v>Ofsted School Webpage</v>
      </c>
      <c r="B155" s="319">
        <v>113950</v>
      </c>
      <c r="C155" s="319">
        <v>8386016</v>
      </c>
      <c r="D155" s="319" t="s">
        <v>806</v>
      </c>
      <c r="E155" s="319" t="s">
        <v>168</v>
      </c>
      <c r="F155" s="319" t="s">
        <v>81</v>
      </c>
      <c r="G155" s="319" t="s">
        <v>81</v>
      </c>
      <c r="H155" s="319" t="s">
        <v>81</v>
      </c>
      <c r="I155" s="319" t="s">
        <v>78</v>
      </c>
      <c r="J155" s="319" t="s">
        <v>424</v>
      </c>
      <c r="K155" s="319" t="s">
        <v>422</v>
      </c>
      <c r="L155" s="319" t="s">
        <v>422</v>
      </c>
      <c r="M155" s="319" t="s">
        <v>570</v>
      </c>
      <c r="N155" s="319" t="s">
        <v>2933</v>
      </c>
      <c r="O155" s="319" t="s">
        <v>807</v>
      </c>
      <c r="P155" s="319">
        <v>29</v>
      </c>
      <c r="Q155" s="319" t="s">
        <v>429</v>
      </c>
      <c r="R155" s="320">
        <v>10056304</v>
      </c>
      <c r="S155" s="321">
        <v>43473</v>
      </c>
      <c r="T155" s="321">
        <v>43475</v>
      </c>
      <c r="U155" s="321">
        <v>43503</v>
      </c>
      <c r="V155" s="319" t="s">
        <v>425</v>
      </c>
      <c r="W155" s="319" t="s">
        <v>2767</v>
      </c>
      <c r="X155" s="319">
        <v>2</v>
      </c>
      <c r="Y155" s="319" t="s">
        <v>173</v>
      </c>
      <c r="Z155" s="319" t="s">
        <v>173</v>
      </c>
      <c r="AA155" s="319" t="s">
        <v>173</v>
      </c>
      <c r="AB155" s="319">
        <v>2</v>
      </c>
      <c r="AC155" s="319" t="s">
        <v>169</v>
      </c>
      <c r="AD155" s="319" t="s">
        <v>173</v>
      </c>
      <c r="AE155" s="319">
        <v>2</v>
      </c>
      <c r="AF155" s="319" t="s">
        <v>427</v>
      </c>
      <c r="AG155" s="319" t="s">
        <v>171</v>
      </c>
      <c r="AH155" s="319" t="s">
        <v>190</v>
      </c>
      <c r="AI155" s="319" t="s">
        <v>190</v>
      </c>
      <c r="AJ155" s="319" t="s">
        <v>190</v>
      </c>
      <c r="AK155" s="319" t="s">
        <v>190</v>
      </c>
      <c r="AL155" s="319" t="s">
        <v>190</v>
      </c>
      <c r="AM155" s="319" t="s">
        <v>190</v>
      </c>
      <c r="AN155" s="319" t="s">
        <v>190</v>
      </c>
      <c r="AO155" s="319" t="s">
        <v>190</v>
      </c>
      <c r="AP155" s="319" t="s">
        <v>190</v>
      </c>
      <c r="AQ155" s="319" t="s">
        <v>190</v>
      </c>
      <c r="AR155" s="319" t="s">
        <v>190</v>
      </c>
      <c r="AS155" s="319" t="s">
        <v>190</v>
      </c>
      <c r="AT155" s="319" t="s">
        <v>190</v>
      </c>
      <c r="AU155" s="319" t="s">
        <v>190</v>
      </c>
      <c r="AV155" s="319" t="s">
        <v>190</v>
      </c>
      <c r="AW155" s="319" t="s">
        <v>190</v>
      </c>
      <c r="AX155" s="319" t="s">
        <v>190</v>
      </c>
      <c r="AY155" s="319" t="s">
        <v>190</v>
      </c>
      <c r="AZ155" s="319" t="s">
        <v>190</v>
      </c>
      <c r="BA155" s="319" t="s">
        <v>190</v>
      </c>
      <c r="BB155" s="319" t="s">
        <v>190</v>
      </c>
      <c r="BC155" s="319" t="s">
        <v>190</v>
      </c>
      <c r="BD155" s="319" t="s">
        <v>190</v>
      </c>
      <c r="BE155" s="319" t="s">
        <v>190</v>
      </c>
      <c r="BF155" s="319" t="s">
        <v>428</v>
      </c>
      <c r="BG155" s="319" t="s">
        <v>190</v>
      </c>
      <c r="BH155" s="319" t="s">
        <v>190</v>
      </c>
      <c r="BI155" s="319" t="s">
        <v>190</v>
      </c>
      <c r="BJ155" s="319" t="s">
        <v>190</v>
      </c>
      <c r="BK155" s="319" t="s">
        <v>190</v>
      </c>
      <c r="BL155" s="319" t="s">
        <v>190</v>
      </c>
      <c r="BM155" s="319" t="s">
        <v>190</v>
      </c>
      <c r="BN155" s="319" t="s">
        <v>190</v>
      </c>
      <c r="BO155" s="319" t="s">
        <v>190</v>
      </c>
      <c r="BP155" s="319" t="s">
        <v>190</v>
      </c>
      <c r="BQ155" s="319" t="s">
        <v>190</v>
      </c>
      <c r="BR155" s="319" t="s">
        <v>190</v>
      </c>
      <c r="BS155" s="319" t="s">
        <v>190</v>
      </c>
      <c r="BT155" s="319" t="s">
        <v>190</v>
      </c>
      <c r="BU155" s="319" t="s">
        <v>190</v>
      </c>
      <c r="BV155" s="319" t="s">
        <v>190</v>
      </c>
      <c r="BW155" s="319" t="s">
        <v>190</v>
      </c>
      <c r="BX155" s="319" t="s">
        <v>190</v>
      </c>
      <c r="BY155" s="319" t="s">
        <v>190</v>
      </c>
      <c r="BZ155" s="319" t="s">
        <v>190</v>
      </c>
      <c r="CA155" s="319" t="s">
        <v>190</v>
      </c>
      <c r="CB155" s="319" t="s">
        <v>190</v>
      </c>
      <c r="CC155" s="319" t="s">
        <v>190</v>
      </c>
      <c r="CD155" s="319" t="s">
        <v>190</v>
      </c>
      <c r="CE155" s="319" t="s">
        <v>190</v>
      </c>
      <c r="CF155" s="319" t="s">
        <v>190</v>
      </c>
      <c r="CG155" s="319" t="s">
        <v>190</v>
      </c>
      <c r="CH155" s="319" t="s">
        <v>190</v>
      </c>
      <c r="CI155" s="319" t="s">
        <v>190</v>
      </c>
      <c r="CJ155" s="319" t="s">
        <v>190</v>
      </c>
      <c r="CK155" s="319" t="s">
        <v>190</v>
      </c>
      <c r="CL155" s="319" t="s">
        <v>190</v>
      </c>
      <c r="CM155" s="319" t="s">
        <v>190</v>
      </c>
      <c r="CN155" s="319" t="s">
        <v>190</v>
      </c>
      <c r="CO155" s="319" t="s">
        <v>190</v>
      </c>
      <c r="CP155" s="319" t="s">
        <v>190</v>
      </c>
      <c r="CQ155" s="319" t="s">
        <v>190</v>
      </c>
      <c r="CR155" s="319" t="s">
        <v>190</v>
      </c>
      <c r="CS155" s="319" t="s">
        <v>190</v>
      </c>
      <c r="CT155" s="319" t="s">
        <v>190</v>
      </c>
      <c r="CU155" s="319" t="s">
        <v>190</v>
      </c>
      <c r="CV155" s="319" t="s">
        <v>190</v>
      </c>
      <c r="CW155" s="319" t="s">
        <v>190</v>
      </c>
      <c r="CX155" s="319" t="s">
        <v>190</v>
      </c>
      <c r="CY155" s="319" t="s">
        <v>190</v>
      </c>
      <c r="CZ155" s="319" t="s">
        <v>190</v>
      </c>
      <c r="DA155" s="319" t="s">
        <v>190</v>
      </c>
      <c r="DB155" s="319" t="s">
        <v>190</v>
      </c>
      <c r="DC155" s="319" t="s">
        <v>190</v>
      </c>
      <c r="DD155" s="319" t="s">
        <v>190</v>
      </c>
      <c r="DE155" s="319" t="s">
        <v>190</v>
      </c>
      <c r="DF155" s="319" t="s">
        <v>190</v>
      </c>
      <c r="DG155" s="319" t="s">
        <v>190</v>
      </c>
      <c r="DH155" s="319" t="s">
        <v>190</v>
      </c>
      <c r="DI155" s="319" t="s">
        <v>190</v>
      </c>
      <c r="DJ155" s="319" t="s">
        <v>190</v>
      </c>
      <c r="DK155" s="319" t="s">
        <v>190</v>
      </c>
      <c r="DL155" s="319" t="s">
        <v>190</v>
      </c>
      <c r="DM155" s="319" t="s">
        <v>190</v>
      </c>
      <c r="DN155" s="319" t="s">
        <v>190</v>
      </c>
      <c r="DO155" s="319" t="s">
        <v>190</v>
      </c>
      <c r="DP155" s="319" t="s">
        <v>190</v>
      </c>
      <c r="DQ155" s="319" t="s">
        <v>190</v>
      </c>
      <c r="DR155" s="319" t="s">
        <v>190</v>
      </c>
      <c r="DS155" s="319" t="s">
        <v>190</v>
      </c>
      <c r="DT155" s="319" t="s">
        <v>190</v>
      </c>
      <c r="DU155" s="319" t="s">
        <v>190</v>
      </c>
      <c r="DV155" s="319" t="s">
        <v>173</v>
      </c>
      <c r="DW155" s="319" t="s">
        <v>190</v>
      </c>
      <c r="DX155" s="319" t="s">
        <v>190</v>
      </c>
      <c r="DY155" s="319" t="s">
        <v>190</v>
      </c>
      <c r="DZ155" s="319" t="s">
        <v>190</v>
      </c>
      <c r="EA155" s="319" t="s">
        <v>190</v>
      </c>
      <c r="EB155" s="319" t="s">
        <v>190</v>
      </c>
      <c r="EC155" s="319" t="s">
        <v>190</v>
      </c>
      <c r="ED155" s="319" t="s">
        <v>190</v>
      </c>
      <c r="EE155" s="319" t="s">
        <v>190</v>
      </c>
      <c r="EF155" s="319" t="s">
        <v>190</v>
      </c>
      <c r="EG155" s="319" t="s">
        <v>190</v>
      </c>
      <c r="EH155" s="319" t="s">
        <v>190</v>
      </c>
      <c r="EI155" s="319" t="s">
        <v>190</v>
      </c>
      <c r="EJ155" s="319" t="s">
        <v>190</v>
      </c>
      <c r="EK155" s="319" t="s">
        <v>190</v>
      </c>
      <c r="EL155" s="319" t="s">
        <v>190</v>
      </c>
      <c r="EM155" s="319" t="s">
        <v>190</v>
      </c>
      <c r="EN155" s="319" t="s">
        <v>190</v>
      </c>
      <c r="EO155" s="319" t="s">
        <v>190</v>
      </c>
      <c r="EP155" s="319" t="s">
        <v>190</v>
      </c>
      <c r="EQ155" s="319" t="s">
        <v>190</v>
      </c>
      <c r="ER155" s="319" t="s">
        <v>190</v>
      </c>
      <c r="ES155" s="319" t="s">
        <v>190</v>
      </c>
      <c r="ET155" s="319" t="s">
        <v>190</v>
      </c>
      <c r="EU155" s="319" t="s">
        <v>190</v>
      </c>
      <c r="EV155" s="319" t="s">
        <v>190</v>
      </c>
      <c r="EW155" s="319" t="s">
        <v>190</v>
      </c>
      <c r="EX155" s="319" t="s">
        <v>190</v>
      </c>
      <c r="EY155" s="319" t="s">
        <v>190</v>
      </c>
      <c r="EZ155" s="319" t="s">
        <v>190</v>
      </c>
      <c r="FA155" s="319" t="s">
        <v>190</v>
      </c>
      <c r="FB155" s="319" t="s">
        <v>190</v>
      </c>
      <c r="FC155" s="319" t="s">
        <v>190</v>
      </c>
      <c r="FD155" s="319" t="s">
        <v>190</v>
      </c>
      <c r="FE155" s="319" t="s">
        <v>190</v>
      </c>
      <c r="FF155" s="319" t="s">
        <v>190</v>
      </c>
      <c r="FG155" s="319" t="s">
        <v>190</v>
      </c>
      <c r="FH155" s="319" t="s">
        <v>190</v>
      </c>
      <c r="FI155" s="319" t="s">
        <v>190</v>
      </c>
      <c r="FJ155" s="319" t="s">
        <v>190</v>
      </c>
      <c r="FK155" s="319" t="s">
        <v>190</v>
      </c>
      <c r="FL155" s="319" t="s">
        <v>190</v>
      </c>
      <c r="FM155" s="319" t="s">
        <v>190</v>
      </c>
      <c r="FN155" s="319" t="s">
        <v>190</v>
      </c>
      <c r="FO155" s="319" t="s">
        <v>190</v>
      </c>
      <c r="FP155" s="319" t="s">
        <v>190</v>
      </c>
      <c r="FQ155" s="319" t="s">
        <v>190</v>
      </c>
      <c r="FR155" s="319" t="s">
        <v>190</v>
      </c>
      <c r="FS155" s="319" t="s">
        <v>190</v>
      </c>
      <c r="FT155" s="319" t="s">
        <v>190</v>
      </c>
      <c r="FU155" s="319" t="s">
        <v>190</v>
      </c>
      <c r="FV155" s="319" t="s">
        <v>190</v>
      </c>
      <c r="FW155" s="319" t="s">
        <v>190</v>
      </c>
      <c r="FX155" s="319" t="s">
        <v>190</v>
      </c>
      <c r="FY155" s="319" t="s">
        <v>190</v>
      </c>
      <c r="FZ155" s="319" t="s">
        <v>190</v>
      </c>
      <c r="GA155" s="319" t="s">
        <v>190</v>
      </c>
      <c r="GB155" s="319" t="s">
        <v>190</v>
      </c>
      <c r="GC155" s="319" t="s">
        <v>190</v>
      </c>
      <c r="GD155" s="319" t="s">
        <v>190</v>
      </c>
      <c r="GE155" s="319" t="s">
        <v>190</v>
      </c>
      <c r="GF155" s="319" t="s">
        <v>190</v>
      </c>
      <c r="GG155" s="319" t="s">
        <v>190</v>
      </c>
      <c r="GH155" s="319" t="s">
        <v>190</v>
      </c>
      <c r="GI155" s="319" t="s">
        <v>190</v>
      </c>
      <c r="GJ155" s="319" t="s">
        <v>190</v>
      </c>
      <c r="GK155" s="319" t="s">
        <v>190</v>
      </c>
      <c r="GL155" s="319" t="s">
        <v>190</v>
      </c>
      <c r="GM155" s="319" t="s">
        <v>190</v>
      </c>
      <c r="GN155" s="319" t="s">
        <v>190</v>
      </c>
      <c r="GO155" s="319" t="s">
        <v>190</v>
      </c>
      <c r="GP155" s="319" t="s">
        <v>190</v>
      </c>
      <c r="GQ155" s="319" t="s">
        <v>190</v>
      </c>
      <c r="GR155" s="319" t="s">
        <v>190</v>
      </c>
      <c r="GS155" s="319" t="s">
        <v>190</v>
      </c>
      <c r="GT155" s="319" t="s">
        <v>190</v>
      </c>
      <c r="GU155" s="319" t="s">
        <v>190</v>
      </c>
      <c r="GV155" s="319" t="s">
        <v>190</v>
      </c>
      <c r="GW155" s="319" t="s">
        <v>190</v>
      </c>
      <c r="GX155" s="319" t="s">
        <v>190</v>
      </c>
      <c r="GY155" s="319" t="s">
        <v>190</v>
      </c>
      <c r="GZ155" s="319" t="s">
        <v>190</v>
      </c>
      <c r="HA155" s="319" t="s">
        <v>190</v>
      </c>
      <c r="HB155" s="319" t="s">
        <v>190</v>
      </c>
      <c r="HC155" s="319" t="s">
        <v>190</v>
      </c>
      <c r="HD155" s="319" t="s">
        <v>190</v>
      </c>
      <c r="HE155" s="319" t="s">
        <v>190</v>
      </c>
      <c r="HF155" s="319" t="s">
        <v>190</v>
      </c>
      <c r="HG155" s="319" t="s">
        <v>190</v>
      </c>
      <c r="HH155" s="319" t="s">
        <v>190</v>
      </c>
      <c r="HI155" s="319" t="s">
        <v>190</v>
      </c>
      <c r="HJ155" s="319" t="s">
        <v>190</v>
      </c>
      <c r="HK155" s="319" t="s">
        <v>190</v>
      </c>
      <c r="HL155" s="319" t="s">
        <v>190</v>
      </c>
      <c r="HM155" s="319" t="s">
        <v>428</v>
      </c>
      <c r="HN155" s="319" t="s">
        <v>428</v>
      </c>
      <c r="HO155" s="319" t="s">
        <v>428</v>
      </c>
      <c r="HP155" s="319" t="s">
        <v>190</v>
      </c>
      <c r="HQ155" s="319" t="s">
        <v>190</v>
      </c>
      <c r="HR155" s="319" t="s">
        <v>190</v>
      </c>
      <c r="HS155" s="319" t="s">
        <v>190</v>
      </c>
      <c r="HT155" s="319" t="s">
        <v>190</v>
      </c>
      <c r="HU155" s="319" t="s">
        <v>190</v>
      </c>
      <c r="HV155" s="319" t="s">
        <v>190</v>
      </c>
      <c r="HW155" s="319" t="s">
        <v>190</v>
      </c>
      <c r="HX155" s="319" t="s">
        <v>190</v>
      </c>
      <c r="HY155" s="319" t="s">
        <v>190</v>
      </c>
      <c r="HZ155" s="319" t="s">
        <v>190</v>
      </c>
      <c r="IA155" s="319" t="s">
        <v>190</v>
      </c>
      <c r="IB155" s="319" t="s">
        <v>190</v>
      </c>
      <c r="IC155" s="319" t="s">
        <v>190</v>
      </c>
      <c r="ID155" s="319" t="s">
        <v>190</v>
      </c>
      <c r="IE155" s="319" t="s">
        <v>190</v>
      </c>
      <c r="IF155" s="319" t="s">
        <v>190</v>
      </c>
      <c r="IG155" s="319" t="s">
        <v>190</v>
      </c>
      <c r="IH155" s="319" t="s">
        <v>190</v>
      </c>
      <c r="II155" s="319" t="s">
        <v>190</v>
      </c>
      <c r="IJ155" s="319">
        <v>10026039</v>
      </c>
      <c r="IK155" s="321">
        <v>42913</v>
      </c>
      <c r="IL155" s="321">
        <v>42915</v>
      </c>
      <c r="IM155" s="321">
        <v>42948</v>
      </c>
      <c r="IN155" s="319">
        <v>4</v>
      </c>
      <c r="IO155" s="319" t="s">
        <v>173</v>
      </c>
      <c r="IP155" s="319" t="s">
        <v>173</v>
      </c>
      <c r="IQ155" s="321" t="s">
        <v>173</v>
      </c>
      <c r="IR155" s="320" t="s">
        <v>173</v>
      </c>
      <c r="IS155" s="322" t="s">
        <v>173</v>
      </c>
      <c r="IT155" s="319" t="s">
        <v>173</v>
      </c>
    </row>
    <row r="156" spans="1:254" s="271" customFormat="1" x14ac:dyDescent="0.25">
      <c r="A156" s="318" t="str">
        <f>HYPERLINK("http://www.ofsted.gov.uk/inspection-reports/find-inspection-report/provider/ELS/113952 ","Ofsted School Webpage")</f>
        <v>Ofsted School Webpage</v>
      </c>
      <c r="B156" s="319">
        <v>113952</v>
      </c>
      <c r="C156" s="319">
        <v>8386004</v>
      </c>
      <c r="D156" s="319" t="s">
        <v>1428</v>
      </c>
      <c r="E156" s="319" t="s">
        <v>168</v>
      </c>
      <c r="F156" s="319" t="s">
        <v>81</v>
      </c>
      <c r="G156" s="319" t="s">
        <v>81</v>
      </c>
      <c r="H156" s="319" t="s">
        <v>81</v>
      </c>
      <c r="I156" s="319" t="s">
        <v>78</v>
      </c>
      <c r="J156" s="319" t="s">
        <v>424</v>
      </c>
      <c r="K156" s="319" t="s">
        <v>422</v>
      </c>
      <c r="L156" s="319" t="s">
        <v>422</v>
      </c>
      <c r="M156" s="319" t="s">
        <v>570</v>
      </c>
      <c r="N156" s="319" t="s">
        <v>2930</v>
      </c>
      <c r="O156" s="319" t="s">
        <v>1429</v>
      </c>
      <c r="P156" s="319">
        <v>30</v>
      </c>
      <c r="Q156" s="319" t="s">
        <v>2776</v>
      </c>
      <c r="R156" s="320">
        <v>10035560</v>
      </c>
      <c r="S156" s="321">
        <v>43067</v>
      </c>
      <c r="T156" s="321">
        <v>43069</v>
      </c>
      <c r="U156" s="321">
        <v>43117</v>
      </c>
      <c r="V156" s="319" t="s">
        <v>425</v>
      </c>
      <c r="W156" s="319" t="s">
        <v>2767</v>
      </c>
      <c r="X156" s="319">
        <v>2</v>
      </c>
      <c r="Y156" s="319" t="s">
        <v>173</v>
      </c>
      <c r="Z156" s="319" t="s">
        <v>173</v>
      </c>
      <c r="AA156" s="319" t="s">
        <v>173</v>
      </c>
      <c r="AB156" s="319">
        <v>2</v>
      </c>
      <c r="AC156" s="319" t="s">
        <v>169</v>
      </c>
      <c r="AD156" s="319" t="s">
        <v>173</v>
      </c>
      <c r="AE156" s="319">
        <v>2</v>
      </c>
      <c r="AF156" s="319" t="s">
        <v>173</v>
      </c>
      <c r="AG156" s="319" t="s">
        <v>171</v>
      </c>
      <c r="AH156" s="319" t="s">
        <v>190</v>
      </c>
      <c r="AI156" s="319" t="s">
        <v>190</v>
      </c>
      <c r="AJ156" s="319" t="s">
        <v>190</v>
      </c>
      <c r="AK156" s="319" t="s">
        <v>190</v>
      </c>
      <c r="AL156" s="319" t="s">
        <v>190</v>
      </c>
      <c r="AM156" s="319" t="s">
        <v>190</v>
      </c>
      <c r="AN156" s="319" t="s">
        <v>190</v>
      </c>
      <c r="AO156" s="319" t="s">
        <v>190</v>
      </c>
      <c r="AP156" s="319" t="s">
        <v>190</v>
      </c>
      <c r="AQ156" s="319" t="s">
        <v>190</v>
      </c>
      <c r="AR156" s="319" t="s">
        <v>190</v>
      </c>
      <c r="AS156" s="319" t="s">
        <v>190</v>
      </c>
      <c r="AT156" s="319" t="s">
        <v>190</v>
      </c>
      <c r="AU156" s="319" t="s">
        <v>190</v>
      </c>
      <c r="AV156" s="319" t="s">
        <v>190</v>
      </c>
      <c r="AW156" s="319" t="s">
        <v>190</v>
      </c>
      <c r="AX156" s="319" t="s">
        <v>429</v>
      </c>
      <c r="AY156" s="319" t="s">
        <v>190</v>
      </c>
      <c r="AZ156" s="319" t="s">
        <v>190</v>
      </c>
      <c r="BA156" s="319" t="s">
        <v>190</v>
      </c>
      <c r="BB156" s="319" t="s">
        <v>190</v>
      </c>
      <c r="BC156" s="319" t="s">
        <v>190</v>
      </c>
      <c r="BD156" s="319" t="s">
        <v>190</v>
      </c>
      <c r="BE156" s="319" t="s">
        <v>190</v>
      </c>
      <c r="BF156" s="319" t="s">
        <v>429</v>
      </c>
      <c r="BG156" s="319" t="s">
        <v>190</v>
      </c>
      <c r="BH156" s="319" t="s">
        <v>190</v>
      </c>
      <c r="BI156" s="319" t="s">
        <v>190</v>
      </c>
      <c r="BJ156" s="319" t="s">
        <v>190</v>
      </c>
      <c r="BK156" s="319" t="s">
        <v>190</v>
      </c>
      <c r="BL156" s="319" t="s">
        <v>190</v>
      </c>
      <c r="BM156" s="319" t="s">
        <v>190</v>
      </c>
      <c r="BN156" s="319" t="s">
        <v>190</v>
      </c>
      <c r="BO156" s="319" t="s">
        <v>190</v>
      </c>
      <c r="BP156" s="319" t="s">
        <v>190</v>
      </c>
      <c r="BQ156" s="319" t="s">
        <v>190</v>
      </c>
      <c r="BR156" s="319" t="s">
        <v>190</v>
      </c>
      <c r="BS156" s="319" t="s">
        <v>190</v>
      </c>
      <c r="BT156" s="319" t="s">
        <v>190</v>
      </c>
      <c r="BU156" s="319" t="s">
        <v>190</v>
      </c>
      <c r="BV156" s="319" t="s">
        <v>190</v>
      </c>
      <c r="BW156" s="319" t="s">
        <v>190</v>
      </c>
      <c r="BX156" s="319" t="s">
        <v>190</v>
      </c>
      <c r="BY156" s="319" t="s">
        <v>190</v>
      </c>
      <c r="BZ156" s="319" t="s">
        <v>190</v>
      </c>
      <c r="CA156" s="319" t="s">
        <v>190</v>
      </c>
      <c r="CB156" s="319" t="s">
        <v>190</v>
      </c>
      <c r="CC156" s="319" t="s">
        <v>190</v>
      </c>
      <c r="CD156" s="319" t="s">
        <v>190</v>
      </c>
      <c r="CE156" s="319" t="s">
        <v>190</v>
      </c>
      <c r="CF156" s="319" t="s">
        <v>190</v>
      </c>
      <c r="CG156" s="319" t="s">
        <v>190</v>
      </c>
      <c r="CH156" s="319" t="s">
        <v>190</v>
      </c>
      <c r="CI156" s="319" t="s">
        <v>190</v>
      </c>
      <c r="CJ156" s="319" t="s">
        <v>190</v>
      </c>
      <c r="CK156" s="319" t="s">
        <v>190</v>
      </c>
      <c r="CL156" s="319" t="s">
        <v>190</v>
      </c>
      <c r="CM156" s="319" t="s">
        <v>190</v>
      </c>
      <c r="CN156" s="319" t="s">
        <v>190</v>
      </c>
      <c r="CO156" s="319" t="s">
        <v>190</v>
      </c>
      <c r="CP156" s="319" t="s">
        <v>190</v>
      </c>
      <c r="CQ156" s="319" t="s">
        <v>190</v>
      </c>
      <c r="CR156" s="319" t="s">
        <v>190</v>
      </c>
      <c r="CS156" s="319" t="s">
        <v>190</v>
      </c>
      <c r="CT156" s="319" t="s">
        <v>190</v>
      </c>
      <c r="CU156" s="319" t="s">
        <v>190</v>
      </c>
      <c r="CV156" s="319" t="s">
        <v>190</v>
      </c>
      <c r="CW156" s="319" t="s">
        <v>190</v>
      </c>
      <c r="CX156" s="319" t="s">
        <v>190</v>
      </c>
      <c r="CY156" s="319" t="s">
        <v>190</v>
      </c>
      <c r="CZ156" s="319" t="s">
        <v>190</v>
      </c>
      <c r="DA156" s="319" t="s">
        <v>190</v>
      </c>
      <c r="DB156" s="319" t="s">
        <v>190</v>
      </c>
      <c r="DC156" s="319" t="s">
        <v>190</v>
      </c>
      <c r="DD156" s="319" t="s">
        <v>190</v>
      </c>
      <c r="DE156" s="319" t="s">
        <v>190</v>
      </c>
      <c r="DF156" s="319" t="s">
        <v>190</v>
      </c>
      <c r="DG156" s="319" t="s">
        <v>190</v>
      </c>
      <c r="DH156" s="319" t="s">
        <v>190</v>
      </c>
      <c r="DI156" s="319" t="s">
        <v>190</v>
      </c>
      <c r="DJ156" s="319" t="s">
        <v>190</v>
      </c>
      <c r="DK156" s="319" t="s">
        <v>190</v>
      </c>
      <c r="DL156" s="319" t="s">
        <v>190</v>
      </c>
      <c r="DM156" s="319" t="s">
        <v>190</v>
      </c>
      <c r="DN156" s="319" t="s">
        <v>190</v>
      </c>
      <c r="DO156" s="319" t="s">
        <v>190</v>
      </c>
      <c r="DP156" s="319" t="s">
        <v>190</v>
      </c>
      <c r="DQ156" s="319" t="s">
        <v>190</v>
      </c>
      <c r="DR156" s="319" t="s">
        <v>190</v>
      </c>
      <c r="DS156" s="319" t="s">
        <v>190</v>
      </c>
      <c r="DT156" s="319" t="s">
        <v>190</v>
      </c>
      <c r="DU156" s="319" t="s">
        <v>190</v>
      </c>
      <c r="DV156" s="319" t="s">
        <v>173</v>
      </c>
      <c r="DW156" s="319" t="s">
        <v>190</v>
      </c>
      <c r="DX156" s="319" t="s">
        <v>190</v>
      </c>
      <c r="DY156" s="319" t="s">
        <v>190</v>
      </c>
      <c r="DZ156" s="319" t="s">
        <v>190</v>
      </c>
      <c r="EA156" s="319" t="s">
        <v>190</v>
      </c>
      <c r="EB156" s="319" t="s">
        <v>190</v>
      </c>
      <c r="EC156" s="319" t="s">
        <v>190</v>
      </c>
      <c r="ED156" s="319" t="s">
        <v>190</v>
      </c>
      <c r="EE156" s="319" t="s">
        <v>190</v>
      </c>
      <c r="EF156" s="319" t="s">
        <v>190</v>
      </c>
      <c r="EG156" s="319" t="s">
        <v>190</v>
      </c>
      <c r="EH156" s="319" t="s">
        <v>190</v>
      </c>
      <c r="EI156" s="319" t="s">
        <v>190</v>
      </c>
      <c r="EJ156" s="319" t="s">
        <v>190</v>
      </c>
      <c r="EK156" s="319" t="s">
        <v>190</v>
      </c>
      <c r="EL156" s="319" t="s">
        <v>190</v>
      </c>
      <c r="EM156" s="319" t="s">
        <v>190</v>
      </c>
      <c r="EN156" s="319" t="s">
        <v>190</v>
      </c>
      <c r="EO156" s="319" t="s">
        <v>190</v>
      </c>
      <c r="EP156" s="319" t="s">
        <v>190</v>
      </c>
      <c r="EQ156" s="319" t="s">
        <v>190</v>
      </c>
      <c r="ER156" s="319" t="s">
        <v>190</v>
      </c>
      <c r="ES156" s="319" t="s">
        <v>190</v>
      </c>
      <c r="ET156" s="319" t="s">
        <v>190</v>
      </c>
      <c r="EU156" s="319" t="s">
        <v>190</v>
      </c>
      <c r="EV156" s="319" t="s">
        <v>190</v>
      </c>
      <c r="EW156" s="319" t="s">
        <v>190</v>
      </c>
      <c r="EX156" s="319" t="s">
        <v>190</v>
      </c>
      <c r="EY156" s="319" t="s">
        <v>190</v>
      </c>
      <c r="EZ156" s="319" t="s">
        <v>190</v>
      </c>
      <c r="FA156" s="319" t="s">
        <v>190</v>
      </c>
      <c r="FB156" s="319" t="s">
        <v>190</v>
      </c>
      <c r="FC156" s="319" t="s">
        <v>190</v>
      </c>
      <c r="FD156" s="319" t="s">
        <v>190</v>
      </c>
      <c r="FE156" s="319" t="s">
        <v>190</v>
      </c>
      <c r="FF156" s="319" t="s">
        <v>190</v>
      </c>
      <c r="FG156" s="319" t="s">
        <v>190</v>
      </c>
      <c r="FH156" s="319" t="s">
        <v>190</v>
      </c>
      <c r="FI156" s="319" t="s">
        <v>190</v>
      </c>
      <c r="FJ156" s="319" t="s">
        <v>190</v>
      </c>
      <c r="FK156" s="319" t="s">
        <v>190</v>
      </c>
      <c r="FL156" s="319" t="s">
        <v>190</v>
      </c>
      <c r="FM156" s="319" t="s">
        <v>190</v>
      </c>
      <c r="FN156" s="319" t="s">
        <v>190</v>
      </c>
      <c r="FO156" s="319" t="s">
        <v>190</v>
      </c>
      <c r="FP156" s="319" t="s">
        <v>190</v>
      </c>
      <c r="FQ156" s="319" t="s">
        <v>190</v>
      </c>
      <c r="FR156" s="319" t="s">
        <v>190</v>
      </c>
      <c r="FS156" s="319" t="s">
        <v>190</v>
      </c>
      <c r="FT156" s="319" t="s">
        <v>190</v>
      </c>
      <c r="FU156" s="319" t="s">
        <v>190</v>
      </c>
      <c r="FV156" s="319" t="s">
        <v>190</v>
      </c>
      <c r="FW156" s="319" t="s">
        <v>190</v>
      </c>
      <c r="FX156" s="319" t="s">
        <v>190</v>
      </c>
      <c r="FY156" s="319" t="s">
        <v>190</v>
      </c>
      <c r="FZ156" s="319" t="s">
        <v>190</v>
      </c>
      <c r="GA156" s="319" t="s">
        <v>190</v>
      </c>
      <c r="GB156" s="319" t="s">
        <v>190</v>
      </c>
      <c r="GC156" s="319" t="s">
        <v>190</v>
      </c>
      <c r="GD156" s="319" t="s">
        <v>190</v>
      </c>
      <c r="GE156" s="319" t="s">
        <v>190</v>
      </c>
      <c r="GF156" s="319" t="s">
        <v>190</v>
      </c>
      <c r="GG156" s="319" t="s">
        <v>190</v>
      </c>
      <c r="GH156" s="319" t="s">
        <v>190</v>
      </c>
      <c r="GI156" s="319" t="s">
        <v>190</v>
      </c>
      <c r="GJ156" s="319" t="s">
        <v>190</v>
      </c>
      <c r="GK156" s="319" t="s">
        <v>190</v>
      </c>
      <c r="GL156" s="319" t="s">
        <v>190</v>
      </c>
      <c r="GM156" s="319" t="s">
        <v>190</v>
      </c>
      <c r="GN156" s="319" t="s">
        <v>190</v>
      </c>
      <c r="GO156" s="319" t="s">
        <v>190</v>
      </c>
      <c r="GP156" s="319" t="s">
        <v>190</v>
      </c>
      <c r="GQ156" s="319" t="s">
        <v>190</v>
      </c>
      <c r="GR156" s="319" t="s">
        <v>190</v>
      </c>
      <c r="GS156" s="319" t="s">
        <v>190</v>
      </c>
      <c r="GT156" s="319" t="s">
        <v>190</v>
      </c>
      <c r="GU156" s="319" t="s">
        <v>190</v>
      </c>
      <c r="GV156" s="319" t="s">
        <v>190</v>
      </c>
      <c r="GW156" s="319" t="s">
        <v>190</v>
      </c>
      <c r="GX156" s="319" t="s">
        <v>190</v>
      </c>
      <c r="GY156" s="319" t="s">
        <v>190</v>
      </c>
      <c r="GZ156" s="319" t="s">
        <v>429</v>
      </c>
      <c r="HA156" s="319" t="s">
        <v>190</v>
      </c>
      <c r="HB156" s="319" t="s">
        <v>190</v>
      </c>
      <c r="HC156" s="319" t="s">
        <v>190</v>
      </c>
      <c r="HD156" s="319" t="s">
        <v>190</v>
      </c>
      <c r="HE156" s="319" t="s">
        <v>190</v>
      </c>
      <c r="HF156" s="319" t="s">
        <v>190</v>
      </c>
      <c r="HG156" s="319" t="s">
        <v>190</v>
      </c>
      <c r="HH156" s="319" t="s">
        <v>190</v>
      </c>
      <c r="HI156" s="319" t="s">
        <v>190</v>
      </c>
      <c r="HJ156" s="319" t="s">
        <v>190</v>
      </c>
      <c r="HK156" s="319" t="s">
        <v>190</v>
      </c>
      <c r="HL156" s="319" t="s">
        <v>429</v>
      </c>
      <c r="HM156" s="319" t="s">
        <v>429</v>
      </c>
      <c r="HN156" s="319" t="s">
        <v>429</v>
      </c>
      <c r="HO156" s="319" t="s">
        <v>429</v>
      </c>
      <c r="HP156" s="319" t="s">
        <v>190</v>
      </c>
      <c r="HQ156" s="319" t="s">
        <v>190</v>
      </c>
      <c r="HR156" s="319" t="s">
        <v>190</v>
      </c>
      <c r="HS156" s="319" t="s">
        <v>190</v>
      </c>
      <c r="HT156" s="319" t="s">
        <v>190</v>
      </c>
      <c r="HU156" s="319" t="s">
        <v>429</v>
      </c>
      <c r="HV156" s="319" t="s">
        <v>190</v>
      </c>
      <c r="HW156" s="319" t="s">
        <v>190</v>
      </c>
      <c r="HX156" s="319" t="s">
        <v>190</v>
      </c>
      <c r="HY156" s="319" t="s">
        <v>190</v>
      </c>
      <c r="HZ156" s="319" t="s">
        <v>190</v>
      </c>
      <c r="IA156" s="319" t="s">
        <v>190</v>
      </c>
      <c r="IB156" s="319" t="s">
        <v>190</v>
      </c>
      <c r="IC156" s="319" t="s">
        <v>190</v>
      </c>
      <c r="ID156" s="319" t="s">
        <v>190</v>
      </c>
      <c r="IE156" s="319" t="s">
        <v>190</v>
      </c>
      <c r="IF156" s="319" t="s">
        <v>190</v>
      </c>
      <c r="IG156" s="319" t="s">
        <v>190</v>
      </c>
      <c r="IH156" s="319" t="s">
        <v>190</v>
      </c>
      <c r="II156" s="319" t="s">
        <v>190</v>
      </c>
      <c r="IJ156" s="319" t="s">
        <v>2934</v>
      </c>
      <c r="IK156" s="321">
        <v>41968</v>
      </c>
      <c r="IL156" s="321">
        <v>41970</v>
      </c>
      <c r="IM156" s="321">
        <v>41997</v>
      </c>
      <c r="IN156" s="319">
        <v>2</v>
      </c>
      <c r="IO156" s="319" t="s">
        <v>173</v>
      </c>
      <c r="IP156" s="319" t="s">
        <v>173</v>
      </c>
      <c r="IQ156" s="321" t="s">
        <v>173</v>
      </c>
      <c r="IR156" s="320" t="s">
        <v>173</v>
      </c>
      <c r="IS156" s="322" t="s">
        <v>173</v>
      </c>
      <c r="IT156" s="319" t="s">
        <v>173</v>
      </c>
    </row>
    <row r="157" spans="1:254" s="271" customFormat="1" x14ac:dyDescent="0.25">
      <c r="A157" s="318" t="str">
        <f>HYPERLINK("http://www.ofsted.gov.uk/inspection-reports/find-inspection-report/provider/ELS/114625 ","Ofsted School Webpage")</f>
        <v>Ofsted School Webpage</v>
      </c>
      <c r="B157" s="319">
        <v>114625</v>
      </c>
      <c r="C157" s="319">
        <v>8456037</v>
      </c>
      <c r="D157" s="319" t="s">
        <v>1430</v>
      </c>
      <c r="E157" s="319" t="s">
        <v>167</v>
      </c>
      <c r="F157" s="319" t="s">
        <v>81</v>
      </c>
      <c r="G157" s="319" t="s">
        <v>81</v>
      </c>
      <c r="H157" s="319" t="s">
        <v>81</v>
      </c>
      <c r="I157" s="319" t="s">
        <v>78</v>
      </c>
      <c r="J157" s="319" t="s">
        <v>424</v>
      </c>
      <c r="K157" s="319" t="s">
        <v>514</v>
      </c>
      <c r="L157" s="319" t="s">
        <v>514</v>
      </c>
      <c r="M157" s="319" t="s">
        <v>676</v>
      </c>
      <c r="N157" s="319" t="s">
        <v>2935</v>
      </c>
      <c r="O157" s="319" t="s">
        <v>1431</v>
      </c>
      <c r="P157" s="319">
        <v>465</v>
      </c>
      <c r="Q157" s="319" t="s">
        <v>2776</v>
      </c>
      <c r="R157" s="320">
        <v>10094399</v>
      </c>
      <c r="S157" s="321">
        <v>43550</v>
      </c>
      <c r="T157" s="321">
        <v>43552</v>
      </c>
      <c r="U157" s="321">
        <v>43597</v>
      </c>
      <c r="V157" s="319" t="s">
        <v>425</v>
      </c>
      <c r="W157" s="319" t="s">
        <v>2767</v>
      </c>
      <c r="X157" s="319">
        <v>4</v>
      </c>
      <c r="Y157" s="319" t="s">
        <v>173</v>
      </c>
      <c r="Z157" s="319" t="s">
        <v>173</v>
      </c>
      <c r="AA157" s="319" t="s">
        <v>173</v>
      </c>
      <c r="AB157" s="319">
        <v>4</v>
      </c>
      <c r="AC157" s="319" t="s">
        <v>169</v>
      </c>
      <c r="AD157" s="319">
        <v>2</v>
      </c>
      <c r="AE157" s="319">
        <v>2</v>
      </c>
      <c r="AF157" s="319" t="s">
        <v>427</v>
      </c>
      <c r="AG157" s="319" t="s">
        <v>172</v>
      </c>
      <c r="AH157" s="319" t="s">
        <v>479</v>
      </c>
      <c r="AI157" s="319" t="s">
        <v>190</v>
      </c>
      <c r="AJ157" s="319" t="s">
        <v>190</v>
      </c>
      <c r="AK157" s="319" t="s">
        <v>190</v>
      </c>
      <c r="AL157" s="319" t="s">
        <v>190</v>
      </c>
      <c r="AM157" s="319" t="s">
        <v>190</v>
      </c>
      <c r="AN157" s="319" t="s">
        <v>190</v>
      </c>
      <c r="AO157" s="319" t="s">
        <v>479</v>
      </c>
      <c r="AP157" s="319" t="s">
        <v>191</v>
      </c>
      <c r="AQ157" s="319" t="s">
        <v>191</v>
      </c>
      <c r="AR157" s="319" t="s">
        <v>191</v>
      </c>
      <c r="AS157" s="319" t="s">
        <v>191</v>
      </c>
      <c r="AT157" s="319" t="s">
        <v>190</v>
      </c>
      <c r="AU157" s="319" t="s">
        <v>191</v>
      </c>
      <c r="AV157" s="319" t="s">
        <v>191</v>
      </c>
      <c r="AW157" s="319" t="s">
        <v>191</v>
      </c>
      <c r="AX157" s="319" t="s">
        <v>428</v>
      </c>
      <c r="AY157" s="319" t="s">
        <v>190</v>
      </c>
      <c r="AZ157" s="319" t="s">
        <v>190</v>
      </c>
      <c r="BA157" s="319" t="s">
        <v>190</v>
      </c>
      <c r="BB157" s="319" t="s">
        <v>191</v>
      </c>
      <c r="BC157" s="319" t="s">
        <v>191</v>
      </c>
      <c r="BD157" s="319" t="s">
        <v>191</v>
      </c>
      <c r="BE157" s="319" t="s">
        <v>191</v>
      </c>
      <c r="BF157" s="319" t="s">
        <v>190</v>
      </c>
      <c r="BG157" s="319" t="s">
        <v>428</v>
      </c>
      <c r="BH157" s="319" t="s">
        <v>191</v>
      </c>
      <c r="BI157" s="319" t="s">
        <v>190</v>
      </c>
      <c r="BJ157" s="319" t="s">
        <v>191</v>
      </c>
      <c r="BK157" s="319" t="s">
        <v>191</v>
      </c>
      <c r="BL157" s="319" t="s">
        <v>190</v>
      </c>
      <c r="BM157" s="319" t="s">
        <v>191</v>
      </c>
      <c r="BN157" s="319" t="s">
        <v>191</v>
      </c>
      <c r="BO157" s="319" t="s">
        <v>191</v>
      </c>
      <c r="BP157" s="319" t="s">
        <v>190</v>
      </c>
      <c r="BQ157" s="319" t="s">
        <v>191</v>
      </c>
      <c r="BR157" s="319" t="s">
        <v>190</v>
      </c>
      <c r="BS157" s="319" t="s">
        <v>190</v>
      </c>
      <c r="BT157" s="319" t="s">
        <v>190</v>
      </c>
      <c r="BU157" s="319" t="s">
        <v>191</v>
      </c>
      <c r="BV157" s="319" t="s">
        <v>190</v>
      </c>
      <c r="BW157" s="319" t="s">
        <v>190</v>
      </c>
      <c r="BX157" s="319" t="s">
        <v>190</v>
      </c>
      <c r="BY157" s="319" t="s">
        <v>190</v>
      </c>
      <c r="BZ157" s="319" t="s">
        <v>190</v>
      </c>
      <c r="CA157" s="319" t="s">
        <v>190</v>
      </c>
      <c r="CB157" s="319" t="s">
        <v>190</v>
      </c>
      <c r="CC157" s="319" t="s">
        <v>190</v>
      </c>
      <c r="CD157" s="319" t="s">
        <v>190</v>
      </c>
      <c r="CE157" s="319" t="s">
        <v>190</v>
      </c>
      <c r="CF157" s="319" t="s">
        <v>190</v>
      </c>
      <c r="CG157" s="319" t="s">
        <v>190</v>
      </c>
      <c r="CH157" s="319" t="s">
        <v>190</v>
      </c>
      <c r="CI157" s="319" t="s">
        <v>190</v>
      </c>
      <c r="CJ157" s="319" t="s">
        <v>190</v>
      </c>
      <c r="CK157" s="319" t="s">
        <v>190</v>
      </c>
      <c r="CL157" s="319" t="s">
        <v>190</v>
      </c>
      <c r="CM157" s="319" t="s">
        <v>190</v>
      </c>
      <c r="CN157" s="319" t="s">
        <v>428</v>
      </c>
      <c r="CO157" s="319" t="s">
        <v>428</v>
      </c>
      <c r="CP157" s="319" t="s">
        <v>428</v>
      </c>
      <c r="CQ157" s="319" t="s">
        <v>190</v>
      </c>
      <c r="CR157" s="319" t="s">
        <v>190</v>
      </c>
      <c r="CS157" s="319" t="s">
        <v>190</v>
      </c>
      <c r="CT157" s="319" t="s">
        <v>190</v>
      </c>
      <c r="CU157" s="319" t="s">
        <v>190</v>
      </c>
      <c r="CV157" s="319" t="s">
        <v>190</v>
      </c>
      <c r="CW157" s="319" t="s">
        <v>190</v>
      </c>
      <c r="CX157" s="319" t="s">
        <v>190</v>
      </c>
      <c r="CY157" s="319" t="s">
        <v>190</v>
      </c>
      <c r="CZ157" s="319" t="s">
        <v>190</v>
      </c>
      <c r="DA157" s="319" t="s">
        <v>190</v>
      </c>
      <c r="DB157" s="319" t="s">
        <v>190</v>
      </c>
      <c r="DC157" s="319" t="s">
        <v>190</v>
      </c>
      <c r="DD157" s="319" t="s">
        <v>190</v>
      </c>
      <c r="DE157" s="319" t="s">
        <v>190</v>
      </c>
      <c r="DF157" s="319" t="s">
        <v>190</v>
      </c>
      <c r="DG157" s="319" t="s">
        <v>190</v>
      </c>
      <c r="DH157" s="319" t="s">
        <v>190</v>
      </c>
      <c r="DI157" s="319" t="s">
        <v>190</v>
      </c>
      <c r="DJ157" s="319" t="s">
        <v>190</v>
      </c>
      <c r="DK157" s="319" t="s">
        <v>190</v>
      </c>
      <c r="DL157" s="319" t="s">
        <v>190</v>
      </c>
      <c r="DM157" s="319" t="s">
        <v>190</v>
      </c>
      <c r="DN157" s="319" t="s">
        <v>428</v>
      </c>
      <c r="DO157" s="319" t="s">
        <v>190</v>
      </c>
      <c r="DP157" s="319" t="s">
        <v>190</v>
      </c>
      <c r="DQ157" s="319" t="s">
        <v>190</v>
      </c>
      <c r="DR157" s="319" t="s">
        <v>190</v>
      </c>
      <c r="DS157" s="319" t="s">
        <v>190</v>
      </c>
      <c r="DT157" s="319" t="s">
        <v>190</v>
      </c>
      <c r="DU157" s="319" t="s">
        <v>190</v>
      </c>
      <c r="DV157" s="319" t="s">
        <v>173</v>
      </c>
      <c r="DW157" s="319" t="s">
        <v>190</v>
      </c>
      <c r="DX157" s="319" t="s">
        <v>190</v>
      </c>
      <c r="DY157" s="319" t="s">
        <v>190</v>
      </c>
      <c r="DZ157" s="319" t="s">
        <v>190</v>
      </c>
      <c r="EA157" s="319" t="s">
        <v>190</v>
      </c>
      <c r="EB157" s="319" t="s">
        <v>190</v>
      </c>
      <c r="EC157" s="319" t="s">
        <v>190</v>
      </c>
      <c r="ED157" s="319" t="s">
        <v>190</v>
      </c>
      <c r="EE157" s="319" t="s">
        <v>190</v>
      </c>
      <c r="EF157" s="319" t="s">
        <v>190</v>
      </c>
      <c r="EG157" s="319" t="s">
        <v>190</v>
      </c>
      <c r="EH157" s="319" t="s">
        <v>190</v>
      </c>
      <c r="EI157" s="319" t="s">
        <v>190</v>
      </c>
      <c r="EJ157" s="319" t="s">
        <v>190</v>
      </c>
      <c r="EK157" s="319" t="s">
        <v>190</v>
      </c>
      <c r="EL157" s="319" t="s">
        <v>190</v>
      </c>
      <c r="EM157" s="319" t="s">
        <v>190</v>
      </c>
      <c r="EN157" s="319" t="s">
        <v>190</v>
      </c>
      <c r="EO157" s="319" t="s">
        <v>190</v>
      </c>
      <c r="EP157" s="319" t="s">
        <v>190</v>
      </c>
      <c r="EQ157" s="319" t="s">
        <v>190</v>
      </c>
      <c r="ER157" s="319" t="s">
        <v>190</v>
      </c>
      <c r="ES157" s="319" t="s">
        <v>190</v>
      </c>
      <c r="ET157" s="319" t="s">
        <v>190</v>
      </c>
      <c r="EU157" s="319" t="s">
        <v>190</v>
      </c>
      <c r="EV157" s="319" t="s">
        <v>190</v>
      </c>
      <c r="EW157" s="319" t="s">
        <v>190</v>
      </c>
      <c r="EX157" s="319" t="s">
        <v>190</v>
      </c>
      <c r="EY157" s="319" t="s">
        <v>190</v>
      </c>
      <c r="EZ157" s="319" t="s">
        <v>190</v>
      </c>
      <c r="FA157" s="319" t="s">
        <v>190</v>
      </c>
      <c r="FB157" s="319" t="s">
        <v>190</v>
      </c>
      <c r="FC157" s="319" t="s">
        <v>190</v>
      </c>
      <c r="FD157" s="319" t="s">
        <v>190</v>
      </c>
      <c r="FE157" s="319" t="s">
        <v>190</v>
      </c>
      <c r="FF157" s="319" t="s">
        <v>190</v>
      </c>
      <c r="FG157" s="319" t="s">
        <v>190</v>
      </c>
      <c r="FH157" s="319" t="s">
        <v>190</v>
      </c>
      <c r="FI157" s="319" t="s">
        <v>190</v>
      </c>
      <c r="FJ157" s="319" t="s">
        <v>190</v>
      </c>
      <c r="FK157" s="319" t="s">
        <v>190</v>
      </c>
      <c r="FL157" s="319" t="s">
        <v>190</v>
      </c>
      <c r="FM157" s="319" t="s">
        <v>190</v>
      </c>
      <c r="FN157" s="319" t="s">
        <v>190</v>
      </c>
      <c r="FO157" s="319" t="s">
        <v>190</v>
      </c>
      <c r="FP157" s="319" t="s">
        <v>190</v>
      </c>
      <c r="FQ157" s="319" t="s">
        <v>190</v>
      </c>
      <c r="FR157" s="319" t="s">
        <v>190</v>
      </c>
      <c r="FS157" s="319" t="s">
        <v>190</v>
      </c>
      <c r="FT157" s="319" t="s">
        <v>190</v>
      </c>
      <c r="FU157" s="319" t="s">
        <v>190</v>
      </c>
      <c r="FV157" s="319" t="s">
        <v>190</v>
      </c>
      <c r="FW157" s="319" t="s">
        <v>190</v>
      </c>
      <c r="FX157" s="319" t="s">
        <v>190</v>
      </c>
      <c r="FY157" s="319" t="s">
        <v>190</v>
      </c>
      <c r="FZ157" s="319" t="s">
        <v>190</v>
      </c>
      <c r="GA157" s="319" t="s">
        <v>190</v>
      </c>
      <c r="GB157" s="319" t="s">
        <v>190</v>
      </c>
      <c r="GC157" s="319" t="s">
        <v>190</v>
      </c>
      <c r="GD157" s="319" t="s">
        <v>190</v>
      </c>
      <c r="GE157" s="319" t="s">
        <v>190</v>
      </c>
      <c r="GF157" s="319" t="s">
        <v>190</v>
      </c>
      <c r="GG157" s="319" t="s">
        <v>190</v>
      </c>
      <c r="GH157" s="319" t="s">
        <v>190</v>
      </c>
      <c r="GI157" s="319" t="s">
        <v>190</v>
      </c>
      <c r="GJ157" s="319" t="s">
        <v>190</v>
      </c>
      <c r="GK157" s="319" t="s">
        <v>428</v>
      </c>
      <c r="GL157" s="319" t="s">
        <v>190</v>
      </c>
      <c r="GM157" s="319" t="s">
        <v>190</v>
      </c>
      <c r="GN157" s="319" t="s">
        <v>190</v>
      </c>
      <c r="GO157" s="319" t="s">
        <v>190</v>
      </c>
      <c r="GP157" s="319" t="s">
        <v>190</v>
      </c>
      <c r="GQ157" s="319" t="s">
        <v>190</v>
      </c>
      <c r="GR157" s="319" t="s">
        <v>190</v>
      </c>
      <c r="GS157" s="319" t="s">
        <v>190</v>
      </c>
      <c r="GT157" s="319" t="s">
        <v>190</v>
      </c>
      <c r="GU157" s="319" t="s">
        <v>190</v>
      </c>
      <c r="GV157" s="319" t="s">
        <v>190</v>
      </c>
      <c r="GW157" s="319" t="s">
        <v>190</v>
      </c>
      <c r="GX157" s="319" t="s">
        <v>190</v>
      </c>
      <c r="GY157" s="319" t="s">
        <v>190</v>
      </c>
      <c r="GZ157" s="319" t="s">
        <v>428</v>
      </c>
      <c r="HA157" s="319" t="s">
        <v>190</v>
      </c>
      <c r="HB157" s="319" t="s">
        <v>190</v>
      </c>
      <c r="HC157" s="319" t="s">
        <v>190</v>
      </c>
      <c r="HD157" s="319" t="s">
        <v>190</v>
      </c>
      <c r="HE157" s="319" t="s">
        <v>190</v>
      </c>
      <c r="HF157" s="319" t="s">
        <v>190</v>
      </c>
      <c r="HG157" s="319" t="s">
        <v>190</v>
      </c>
      <c r="HH157" s="319" t="s">
        <v>190</v>
      </c>
      <c r="HI157" s="319" t="s">
        <v>190</v>
      </c>
      <c r="HJ157" s="319" t="s">
        <v>190</v>
      </c>
      <c r="HK157" s="319" t="s">
        <v>190</v>
      </c>
      <c r="HL157" s="319" t="s">
        <v>190</v>
      </c>
      <c r="HM157" s="319" t="s">
        <v>190</v>
      </c>
      <c r="HN157" s="319" t="s">
        <v>190</v>
      </c>
      <c r="HO157" s="319" t="s">
        <v>190</v>
      </c>
      <c r="HP157" s="319" t="s">
        <v>190</v>
      </c>
      <c r="HQ157" s="319" t="s">
        <v>190</v>
      </c>
      <c r="HR157" s="319" t="s">
        <v>190</v>
      </c>
      <c r="HS157" s="319" t="s">
        <v>190</v>
      </c>
      <c r="HT157" s="319" t="s">
        <v>190</v>
      </c>
      <c r="HU157" s="319" t="s">
        <v>190</v>
      </c>
      <c r="HV157" s="319" t="s">
        <v>190</v>
      </c>
      <c r="HW157" s="319" t="s">
        <v>190</v>
      </c>
      <c r="HX157" s="319" t="s">
        <v>190</v>
      </c>
      <c r="HY157" s="319" t="s">
        <v>190</v>
      </c>
      <c r="HZ157" s="319" t="s">
        <v>190</v>
      </c>
      <c r="IA157" s="319" t="s">
        <v>190</v>
      </c>
      <c r="IB157" s="319" t="s">
        <v>190</v>
      </c>
      <c r="IC157" s="319" t="s">
        <v>190</v>
      </c>
      <c r="ID157" s="319" t="s">
        <v>190</v>
      </c>
      <c r="IE157" s="319" t="s">
        <v>190</v>
      </c>
      <c r="IF157" s="319" t="s">
        <v>191</v>
      </c>
      <c r="IG157" s="319" t="s">
        <v>191</v>
      </c>
      <c r="IH157" s="319" t="s">
        <v>191</v>
      </c>
      <c r="II157" s="319" t="s">
        <v>190</v>
      </c>
      <c r="IJ157" s="319" t="s">
        <v>1432</v>
      </c>
      <c r="IK157" s="321">
        <v>39993</v>
      </c>
      <c r="IL157" s="321">
        <v>39994</v>
      </c>
      <c r="IM157" s="321">
        <v>40026</v>
      </c>
      <c r="IN157" s="319">
        <v>2</v>
      </c>
      <c r="IO157" s="319">
        <v>10124696</v>
      </c>
      <c r="IP157" s="319" t="s">
        <v>985</v>
      </c>
      <c r="IQ157" s="321">
        <v>43789</v>
      </c>
      <c r="IR157" s="320" t="s">
        <v>2771</v>
      </c>
      <c r="IS157" s="322">
        <v>43807</v>
      </c>
      <c r="IT157" s="319" t="s">
        <v>166</v>
      </c>
    </row>
    <row r="158" spans="1:254" s="271" customFormat="1" x14ac:dyDescent="0.25">
      <c r="A158" s="318" t="str">
        <f>HYPERLINK("http://www.ofsted.gov.uk/inspection-reports/find-inspection-report/provider/ELS/114640 ","Ofsted School Webpage")</f>
        <v>Ofsted School Webpage</v>
      </c>
      <c r="B158" s="319">
        <v>114640</v>
      </c>
      <c r="C158" s="319">
        <v>8456010</v>
      </c>
      <c r="D158" s="319" t="s">
        <v>1433</v>
      </c>
      <c r="E158" s="319" t="s">
        <v>167</v>
      </c>
      <c r="F158" s="319" t="s">
        <v>81</v>
      </c>
      <c r="G158" s="319" t="s">
        <v>81</v>
      </c>
      <c r="H158" s="319" t="s">
        <v>81</v>
      </c>
      <c r="I158" s="319" t="s">
        <v>78</v>
      </c>
      <c r="J158" s="319" t="s">
        <v>424</v>
      </c>
      <c r="K158" s="319" t="s">
        <v>514</v>
      </c>
      <c r="L158" s="319" t="s">
        <v>514</v>
      </c>
      <c r="M158" s="319" t="s">
        <v>676</v>
      </c>
      <c r="N158" s="319" t="s">
        <v>2936</v>
      </c>
      <c r="O158" s="319" t="s">
        <v>1434</v>
      </c>
      <c r="P158" s="319">
        <v>703</v>
      </c>
      <c r="Q158" s="319" t="s">
        <v>2776</v>
      </c>
      <c r="R158" s="320">
        <v>10076611</v>
      </c>
      <c r="S158" s="321">
        <v>43536</v>
      </c>
      <c r="T158" s="321">
        <v>43538</v>
      </c>
      <c r="U158" s="321">
        <v>43584</v>
      </c>
      <c r="V158" s="319" t="s">
        <v>425</v>
      </c>
      <c r="W158" s="319" t="s">
        <v>2767</v>
      </c>
      <c r="X158" s="319">
        <v>1</v>
      </c>
      <c r="Y158" s="319" t="s">
        <v>173</v>
      </c>
      <c r="Z158" s="319" t="s">
        <v>173</v>
      </c>
      <c r="AA158" s="319" t="s">
        <v>173</v>
      </c>
      <c r="AB158" s="319">
        <v>1</v>
      </c>
      <c r="AC158" s="319" t="s">
        <v>169</v>
      </c>
      <c r="AD158" s="319">
        <v>1</v>
      </c>
      <c r="AE158" s="319">
        <v>1</v>
      </c>
      <c r="AF158" s="319" t="s">
        <v>427</v>
      </c>
      <c r="AG158" s="319" t="s">
        <v>171</v>
      </c>
      <c r="AH158" s="319" t="s">
        <v>190</v>
      </c>
      <c r="AI158" s="319" t="s">
        <v>190</v>
      </c>
      <c r="AJ158" s="319" t="s">
        <v>190</v>
      </c>
      <c r="AK158" s="319" t="s">
        <v>190</v>
      </c>
      <c r="AL158" s="319" t="s">
        <v>190</v>
      </c>
      <c r="AM158" s="319" t="s">
        <v>190</v>
      </c>
      <c r="AN158" s="319" t="s">
        <v>190</v>
      </c>
      <c r="AO158" s="319" t="s">
        <v>190</v>
      </c>
      <c r="AP158" s="319" t="s">
        <v>190</v>
      </c>
      <c r="AQ158" s="319" t="s">
        <v>190</v>
      </c>
      <c r="AR158" s="319" t="s">
        <v>190</v>
      </c>
      <c r="AS158" s="319" t="s">
        <v>190</v>
      </c>
      <c r="AT158" s="319" t="s">
        <v>190</v>
      </c>
      <c r="AU158" s="319" t="s">
        <v>190</v>
      </c>
      <c r="AV158" s="319" t="s">
        <v>190</v>
      </c>
      <c r="AW158" s="319" t="s">
        <v>190</v>
      </c>
      <c r="AX158" s="319" t="s">
        <v>428</v>
      </c>
      <c r="AY158" s="319" t="s">
        <v>190</v>
      </c>
      <c r="AZ158" s="319" t="s">
        <v>190</v>
      </c>
      <c r="BA158" s="319" t="s">
        <v>190</v>
      </c>
      <c r="BB158" s="319" t="s">
        <v>190</v>
      </c>
      <c r="BC158" s="319" t="s">
        <v>190</v>
      </c>
      <c r="BD158" s="319" t="s">
        <v>190</v>
      </c>
      <c r="BE158" s="319" t="s">
        <v>190</v>
      </c>
      <c r="BF158" s="319" t="s">
        <v>190</v>
      </c>
      <c r="BG158" s="319" t="s">
        <v>190</v>
      </c>
      <c r="BH158" s="319" t="s">
        <v>190</v>
      </c>
      <c r="BI158" s="319" t="s">
        <v>190</v>
      </c>
      <c r="BJ158" s="319" t="s">
        <v>190</v>
      </c>
      <c r="BK158" s="319" t="s">
        <v>190</v>
      </c>
      <c r="BL158" s="319" t="s">
        <v>190</v>
      </c>
      <c r="BM158" s="319" t="s">
        <v>190</v>
      </c>
      <c r="BN158" s="319" t="s">
        <v>190</v>
      </c>
      <c r="BO158" s="319" t="s">
        <v>190</v>
      </c>
      <c r="BP158" s="319" t="s">
        <v>190</v>
      </c>
      <c r="BQ158" s="319" t="s">
        <v>190</v>
      </c>
      <c r="BR158" s="319" t="s">
        <v>190</v>
      </c>
      <c r="BS158" s="319" t="s">
        <v>190</v>
      </c>
      <c r="BT158" s="319" t="s">
        <v>190</v>
      </c>
      <c r="BU158" s="319" t="s">
        <v>190</v>
      </c>
      <c r="BV158" s="319" t="s">
        <v>190</v>
      </c>
      <c r="BW158" s="319" t="s">
        <v>190</v>
      </c>
      <c r="BX158" s="319" t="s">
        <v>190</v>
      </c>
      <c r="BY158" s="319" t="s">
        <v>190</v>
      </c>
      <c r="BZ158" s="319" t="s">
        <v>190</v>
      </c>
      <c r="CA158" s="319" t="s">
        <v>190</v>
      </c>
      <c r="CB158" s="319" t="s">
        <v>190</v>
      </c>
      <c r="CC158" s="319" t="s">
        <v>190</v>
      </c>
      <c r="CD158" s="319" t="s">
        <v>190</v>
      </c>
      <c r="CE158" s="319" t="s">
        <v>190</v>
      </c>
      <c r="CF158" s="319" t="s">
        <v>190</v>
      </c>
      <c r="CG158" s="319" t="s">
        <v>190</v>
      </c>
      <c r="CH158" s="319" t="s">
        <v>190</v>
      </c>
      <c r="CI158" s="319" t="s">
        <v>190</v>
      </c>
      <c r="CJ158" s="319" t="s">
        <v>190</v>
      </c>
      <c r="CK158" s="319" t="s">
        <v>190</v>
      </c>
      <c r="CL158" s="319" t="s">
        <v>190</v>
      </c>
      <c r="CM158" s="319" t="s">
        <v>190</v>
      </c>
      <c r="CN158" s="319" t="s">
        <v>190</v>
      </c>
      <c r="CO158" s="319" t="s">
        <v>190</v>
      </c>
      <c r="CP158" s="319" t="s">
        <v>190</v>
      </c>
      <c r="CQ158" s="319" t="s">
        <v>190</v>
      </c>
      <c r="CR158" s="319" t="s">
        <v>190</v>
      </c>
      <c r="CS158" s="319" t="s">
        <v>190</v>
      </c>
      <c r="CT158" s="319" t="s">
        <v>190</v>
      </c>
      <c r="CU158" s="319" t="s">
        <v>190</v>
      </c>
      <c r="CV158" s="319" t="s">
        <v>190</v>
      </c>
      <c r="CW158" s="319" t="s">
        <v>190</v>
      </c>
      <c r="CX158" s="319" t="s">
        <v>190</v>
      </c>
      <c r="CY158" s="319" t="s">
        <v>190</v>
      </c>
      <c r="CZ158" s="319" t="s">
        <v>190</v>
      </c>
      <c r="DA158" s="319" t="s">
        <v>190</v>
      </c>
      <c r="DB158" s="319" t="s">
        <v>190</v>
      </c>
      <c r="DC158" s="319" t="s">
        <v>190</v>
      </c>
      <c r="DD158" s="319" t="s">
        <v>190</v>
      </c>
      <c r="DE158" s="319" t="s">
        <v>190</v>
      </c>
      <c r="DF158" s="319" t="s">
        <v>190</v>
      </c>
      <c r="DG158" s="319" t="s">
        <v>190</v>
      </c>
      <c r="DH158" s="319" t="s">
        <v>190</v>
      </c>
      <c r="DI158" s="319" t="s">
        <v>190</v>
      </c>
      <c r="DJ158" s="319" t="s">
        <v>190</v>
      </c>
      <c r="DK158" s="319" t="s">
        <v>190</v>
      </c>
      <c r="DL158" s="319" t="s">
        <v>190</v>
      </c>
      <c r="DM158" s="319" t="s">
        <v>190</v>
      </c>
      <c r="DN158" s="319" t="s">
        <v>190</v>
      </c>
      <c r="DO158" s="319" t="s">
        <v>190</v>
      </c>
      <c r="DP158" s="319" t="s">
        <v>190</v>
      </c>
      <c r="DQ158" s="319" t="s">
        <v>190</v>
      </c>
      <c r="DR158" s="319" t="s">
        <v>190</v>
      </c>
      <c r="DS158" s="319" t="s">
        <v>190</v>
      </c>
      <c r="DT158" s="319" t="s">
        <v>190</v>
      </c>
      <c r="DU158" s="319" t="s">
        <v>190</v>
      </c>
      <c r="DV158" s="319" t="s">
        <v>173</v>
      </c>
      <c r="DW158" s="319" t="s">
        <v>190</v>
      </c>
      <c r="DX158" s="319" t="s">
        <v>190</v>
      </c>
      <c r="DY158" s="319" t="s">
        <v>190</v>
      </c>
      <c r="DZ158" s="319" t="s">
        <v>190</v>
      </c>
      <c r="EA158" s="319" t="s">
        <v>190</v>
      </c>
      <c r="EB158" s="319" t="s">
        <v>190</v>
      </c>
      <c r="EC158" s="319" t="s">
        <v>190</v>
      </c>
      <c r="ED158" s="319" t="s">
        <v>190</v>
      </c>
      <c r="EE158" s="319" t="s">
        <v>190</v>
      </c>
      <c r="EF158" s="319" t="s">
        <v>190</v>
      </c>
      <c r="EG158" s="319" t="s">
        <v>190</v>
      </c>
      <c r="EH158" s="319" t="s">
        <v>190</v>
      </c>
      <c r="EI158" s="319" t="s">
        <v>190</v>
      </c>
      <c r="EJ158" s="319" t="s">
        <v>190</v>
      </c>
      <c r="EK158" s="319" t="s">
        <v>190</v>
      </c>
      <c r="EL158" s="319" t="s">
        <v>190</v>
      </c>
      <c r="EM158" s="319" t="s">
        <v>190</v>
      </c>
      <c r="EN158" s="319" t="s">
        <v>190</v>
      </c>
      <c r="EO158" s="319" t="s">
        <v>190</v>
      </c>
      <c r="EP158" s="319" t="s">
        <v>190</v>
      </c>
      <c r="EQ158" s="319" t="s">
        <v>190</v>
      </c>
      <c r="ER158" s="319" t="s">
        <v>190</v>
      </c>
      <c r="ES158" s="319" t="s">
        <v>190</v>
      </c>
      <c r="ET158" s="319" t="s">
        <v>190</v>
      </c>
      <c r="EU158" s="319" t="s">
        <v>190</v>
      </c>
      <c r="EV158" s="319" t="s">
        <v>190</v>
      </c>
      <c r="EW158" s="319" t="s">
        <v>190</v>
      </c>
      <c r="EX158" s="319" t="s">
        <v>190</v>
      </c>
      <c r="EY158" s="319" t="s">
        <v>190</v>
      </c>
      <c r="EZ158" s="319" t="s">
        <v>190</v>
      </c>
      <c r="FA158" s="319" t="s">
        <v>190</v>
      </c>
      <c r="FB158" s="319" t="s">
        <v>190</v>
      </c>
      <c r="FC158" s="319" t="s">
        <v>190</v>
      </c>
      <c r="FD158" s="319" t="s">
        <v>190</v>
      </c>
      <c r="FE158" s="319" t="s">
        <v>190</v>
      </c>
      <c r="FF158" s="319" t="s">
        <v>190</v>
      </c>
      <c r="FG158" s="319" t="s">
        <v>190</v>
      </c>
      <c r="FH158" s="319" t="s">
        <v>190</v>
      </c>
      <c r="FI158" s="319" t="s">
        <v>190</v>
      </c>
      <c r="FJ158" s="319" t="s">
        <v>190</v>
      </c>
      <c r="FK158" s="319" t="s">
        <v>190</v>
      </c>
      <c r="FL158" s="319" t="s">
        <v>190</v>
      </c>
      <c r="FM158" s="319" t="s">
        <v>190</v>
      </c>
      <c r="FN158" s="319" t="s">
        <v>190</v>
      </c>
      <c r="FO158" s="319" t="s">
        <v>190</v>
      </c>
      <c r="FP158" s="319" t="s">
        <v>190</v>
      </c>
      <c r="FQ158" s="319" t="s">
        <v>190</v>
      </c>
      <c r="FR158" s="319" t="s">
        <v>190</v>
      </c>
      <c r="FS158" s="319" t="s">
        <v>190</v>
      </c>
      <c r="FT158" s="319" t="s">
        <v>190</v>
      </c>
      <c r="FU158" s="319" t="s">
        <v>190</v>
      </c>
      <c r="FV158" s="319" t="s">
        <v>190</v>
      </c>
      <c r="FW158" s="319" t="s">
        <v>190</v>
      </c>
      <c r="FX158" s="319" t="s">
        <v>190</v>
      </c>
      <c r="FY158" s="319" t="s">
        <v>190</v>
      </c>
      <c r="FZ158" s="319" t="s">
        <v>190</v>
      </c>
      <c r="GA158" s="319" t="s">
        <v>190</v>
      </c>
      <c r="GB158" s="319" t="s">
        <v>190</v>
      </c>
      <c r="GC158" s="319" t="s">
        <v>190</v>
      </c>
      <c r="GD158" s="319" t="s">
        <v>190</v>
      </c>
      <c r="GE158" s="319" t="s">
        <v>190</v>
      </c>
      <c r="GF158" s="319" t="s">
        <v>190</v>
      </c>
      <c r="GG158" s="319" t="s">
        <v>190</v>
      </c>
      <c r="GH158" s="319" t="s">
        <v>190</v>
      </c>
      <c r="GI158" s="319" t="s">
        <v>190</v>
      </c>
      <c r="GJ158" s="319" t="s">
        <v>190</v>
      </c>
      <c r="GK158" s="319" t="s">
        <v>190</v>
      </c>
      <c r="GL158" s="319" t="s">
        <v>190</v>
      </c>
      <c r="GM158" s="319" t="s">
        <v>190</v>
      </c>
      <c r="GN158" s="319" t="s">
        <v>190</v>
      </c>
      <c r="GO158" s="319" t="s">
        <v>190</v>
      </c>
      <c r="GP158" s="319" t="s">
        <v>190</v>
      </c>
      <c r="GQ158" s="319" t="s">
        <v>190</v>
      </c>
      <c r="GR158" s="319" t="s">
        <v>190</v>
      </c>
      <c r="GS158" s="319" t="s">
        <v>190</v>
      </c>
      <c r="GT158" s="319" t="s">
        <v>190</v>
      </c>
      <c r="GU158" s="319" t="s">
        <v>190</v>
      </c>
      <c r="GV158" s="319" t="s">
        <v>190</v>
      </c>
      <c r="GW158" s="319" t="s">
        <v>190</v>
      </c>
      <c r="GX158" s="319" t="s">
        <v>190</v>
      </c>
      <c r="GY158" s="319" t="s">
        <v>190</v>
      </c>
      <c r="GZ158" s="319" t="s">
        <v>428</v>
      </c>
      <c r="HA158" s="319" t="s">
        <v>190</v>
      </c>
      <c r="HB158" s="319" t="s">
        <v>428</v>
      </c>
      <c r="HC158" s="319" t="s">
        <v>190</v>
      </c>
      <c r="HD158" s="319" t="s">
        <v>190</v>
      </c>
      <c r="HE158" s="319" t="s">
        <v>190</v>
      </c>
      <c r="HF158" s="319" t="s">
        <v>190</v>
      </c>
      <c r="HG158" s="319" t="s">
        <v>190</v>
      </c>
      <c r="HH158" s="319" t="s">
        <v>190</v>
      </c>
      <c r="HI158" s="319" t="s">
        <v>190</v>
      </c>
      <c r="HJ158" s="319" t="s">
        <v>190</v>
      </c>
      <c r="HK158" s="319" t="s">
        <v>190</v>
      </c>
      <c r="HL158" s="319" t="s">
        <v>190</v>
      </c>
      <c r="HM158" s="319" t="s">
        <v>428</v>
      </c>
      <c r="HN158" s="319" t="s">
        <v>428</v>
      </c>
      <c r="HO158" s="319" t="s">
        <v>428</v>
      </c>
      <c r="HP158" s="319" t="s">
        <v>190</v>
      </c>
      <c r="HQ158" s="319" t="s">
        <v>190</v>
      </c>
      <c r="HR158" s="319" t="s">
        <v>190</v>
      </c>
      <c r="HS158" s="319" t="s">
        <v>190</v>
      </c>
      <c r="HT158" s="319" t="s">
        <v>190</v>
      </c>
      <c r="HU158" s="319" t="s">
        <v>190</v>
      </c>
      <c r="HV158" s="319" t="s">
        <v>190</v>
      </c>
      <c r="HW158" s="319" t="s">
        <v>190</v>
      </c>
      <c r="HX158" s="319" t="s">
        <v>190</v>
      </c>
      <c r="HY158" s="319" t="s">
        <v>190</v>
      </c>
      <c r="HZ158" s="319" t="s">
        <v>190</v>
      </c>
      <c r="IA158" s="319" t="s">
        <v>190</v>
      </c>
      <c r="IB158" s="319" t="s">
        <v>190</v>
      </c>
      <c r="IC158" s="319" t="s">
        <v>190</v>
      </c>
      <c r="ID158" s="319" t="s">
        <v>190</v>
      </c>
      <c r="IE158" s="319" t="s">
        <v>190</v>
      </c>
      <c r="IF158" s="319" t="s">
        <v>190</v>
      </c>
      <c r="IG158" s="319" t="s">
        <v>190</v>
      </c>
      <c r="IH158" s="319" t="s">
        <v>190</v>
      </c>
      <c r="II158" s="319" t="s">
        <v>190</v>
      </c>
      <c r="IJ158" s="319">
        <v>10017315</v>
      </c>
      <c r="IK158" s="321">
        <v>42486</v>
      </c>
      <c r="IL158" s="321">
        <v>42488</v>
      </c>
      <c r="IM158" s="321">
        <v>42517</v>
      </c>
      <c r="IN158" s="319">
        <v>1</v>
      </c>
      <c r="IO158" s="319" t="s">
        <v>173</v>
      </c>
      <c r="IP158" s="319" t="s">
        <v>173</v>
      </c>
      <c r="IQ158" s="321" t="s">
        <v>173</v>
      </c>
      <c r="IR158" s="320" t="s">
        <v>173</v>
      </c>
      <c r="IS158" s="322" t="s">
        <v>173</v>
      </c>
      <c r="IT158" s="319" t="s">
        <v>173</v>
      </c>
    </row>
    <row r="159" spans="1:254" s="271" customFormat="1" x14ac:dyDescent="0.25">
      <c r="A159" s="318" t="str">
        <f>HYPERLINK("http://www.ofsted.gov.uk/inspection-reports/find-inspection-report/provider/ELS/114645 ","Ofsted School Webpage")</f>
        <v>Ofsted School Webpage</v>
      </c>
      <c r="B159" s="319">
        <v>114645</v>
      </c>
      <c r="C159" s="319">
        <v>8456028</v>
      </c>
      <c r="D159" s="319" t="s">
        <v>1435</v>
      </c>
      <c r="E159" s="319" t="s">
        <v>168</v>
      </c>
      <c r="F159" s="319" t="s">
        <v>81</v>
      </c>
      <c r="G159" s="319" t="s">
        <v>80</v>
      </c>
      <c r="H159" s="319" t="s">
        <v>80</v>
      </c>
      <c r="I159" s="319" t="s">
        <v>78</v>
      </c>
      <c r="J159" s="319" t="s">
        <v>424</v>
      </c>
      <c r="K159" s="319" t="s">
        <v>514</v>
      </c>
      <c r="L159" s="319" t="s">
        <v>514</v>
      </c>
      <c r="M159" s="319" t="s">
        <v>676</v>
      </c>
      <c r="N159" s="319" t="s">
        <v>2937</v>
      </c>
      <c r="O159" s="319" t="s">
        <v>1436</v>
      </c>
      <c r="P159" s="319">
        <v>69</v>
      </c>
      <c r="Q159" s="319" t="s">
        <v>429</v>
      </c>
      <c r="R159" s="320">
        <v>10039154</v>
      </c>
      <c r="S159" s="321">
        <v>43165</v>
      </c>
      <c r="T159" s="321">
        <v>43167</v>
      </c>
      <c r="U159" s="321">
        <v>43213</v>
      </c>
      <c r="V159" s="319" t="s">
        <v>425</v>
      </c>
      <c r="W159" s="319" t="s">
        <v>2767</v>
      </c>
      <c r="X159" s="319">
        <v>2</v>
      </c>
      <c r="Y159" s="319" t="s">
        <v>173</v>
      </c>
      <c r="Z159" s="319" t="s">
        <v>173</v>
      </c>
      <c r="AA159" s="319" t="s">
        <v>173</v>
      </c>
      <c r="AB159" s="319">
        <v>2</v>
      </c>
      <c r="AC159" s="319" t="s">
        <v>169</v>
      </c>
      <c r="AD159" s="319" t="s">
        <v>173</v>
      </c>
      <c r="AE159" s="319">
        <v>2</v>
      </c>
      <c r="AF159" s="319" t="s">
        <v>427</v>
      </c>
      <c r="AG159" s="319" t="s">
        <v>171</v>
      </c>
      <c r="AH159" s="319" t="s">
        <v>190</v>
      </c>
      <c r="AI159" s="319" t="s">
        <v>190</v>
      </c>
      <c r="AJ159" s="319" t="s">
        <v>190</v>
      </c>
      <c r="AK159" s="319" t="s">
        <v>190</v>
      </c>
      <c r="AL159" s="319" t="s">
        <v>190</v>
      </c>
      <c r="AM159" s="319" t="s">
        <v>190</v>
      </c>
      <c r="AN159" s="319" t="s">
        <v>190</v>
      </c>
      <c r="AO159" s="319" t="s">
        <v>190</v>
      </c>
      <c r="AP159" s="319" t="s">
        <v>190</v>
      </c>
      <c r="AQ159" s="319" t="s">
        <v>190</v>
      </c>
      <c r="AR159" s="319" t="s">
        <v>190</v>
      </c>
      <c r="AS159" s="319" t="s">
        <v>190</v>
      </c>
      <c r="AT159" s="319" t="s">
        <v>190</v>
      </c>
      <c r="AU159" s="319" t="s">
        <v>190</v>
      </c>
      <c r="AV159" s="319" t="s">
        <v>190</v>
      </c>
      <c r="AW159" s="319" t="s">
        <v>190</v>
      </c>
      <c r="AX159" s="319" t="s">
        <v>190</v>
      </c>
      <c r="AY159" s="319" t="s">
        <v>190</v>
      </c>
      <c r="AZ159" s="319" t="s">
        <v>190</v>
      </c>
      <c r="BA159" s="319" t="s">
        <v>190</v>
      </c>
      <c r="BB159" s="319" t="s">
        <v>190</v>
      </c>
      <c r="BC159" s="319" t="s">
        <v>190</v>
      </c>
      <c r="BD159" s="319" t="s">
        <v>190</v>
      </c>
      <c r="BE159" s="319" t="s">
        <v>190</v>
      </c>
      <c r="BF159" s="319" t="s">
        <v>428</v>
      </c>
      <c r="BG159" s="319" t="s">
        <v>190</v>
      </c>
      <c r="BH159" s="319" t="s">
        <v>190</v>
      </c>
      <c r="BI159" s="319" t="s">
        <v>190</v>
      </c>
      <c r="BJ159" s="319" t="s">
        <v>190</v>
      </c>
      <c r="BK159" s="319" t="s">
        <v>190</v>
      </c>
      <c r="BL159" s="319" t="s">
        <v>190</v>
      </c>
      <c r="BM159" s="319" t="s">
        <v>190</v>
      </c>
      <c r="BN159" s="319" t="s">
        <v>190</v>
      </c>
      <c r="BO159" s="319" t="s">
        <v>190</v>
      </c>
      <c r="BP159" s="319" t="s">
        <v>190</v>
      </c>
      <c r="BQ159" s="319" t="s">
        <v>190</v>
      </c>
      <c r="BR159" s="319" t="s">
        <v>190</v>
      </c>
      <c r="BS159" s="319" t="s">
        <v>190</v>
      </c>
      <c r="BT159" s="319" t="s">
        <v>190</v>
      </c>
      <c r="BU159" s="319" t="s">
        <v>190</v>
      </c>
      <c r="BV159" s="319" t="s">
        <v>190</v>
      </c>
      <c r="BW159" s="319" t="s">
        <v>190</v>
      </c>
      <c r="BX159" s="319" t="s">
        <v>190</v>
      </c>
      <c r="BY159" s="319" t="s">
        <v>190</v>
      </c>
      <c r="BZ159" s="319" t="s">
        <v>190</v>
      </c>
      <c r="CA159" s="319" t="s">
        <v>190</v>
      </c>
      <c r="CB159" s="319" t="s">
        <v>190</v>
      </c>
      <c r="CC159" s="319" t="s">
        <v>190</v>
      </c>
      <c r="CD159" s="319" t="s">
        <v>190</v>
      </c>
      <c r="CE159" s="319" t="s">
        <v>190</v>
      </c>
      <c r="CF159" s="319" t="s">
        <v>190</v>
      </c>
      <c r="CG159" s="319" t="s">
        <v>190</v>
      </c>
      <c r="CH159" s="319" t="s">
        <v>190</v>
      </c>
      <c r="CI159" s="319" t="s">
        <v>190</v>
      </c>
      <c r="CJ159" s="319" t="s">
        <v>190</v>
      </c>
      <c r="CK159" s="319" t="s">
        <v>190</v>
      </c>
      <c r="CL159" s="319" t="s">
        <v>190</v>
      </c>
      <c r="CM159" s="319" t="s">
        <v>190</v>
      </c>
      <c r="CN159" s="319" t="s">
        <v>428</v>
      </c>
      <c r="CO159" s="319" t="s">
        <v>428</v>
      </c>
      <c r="CP159" s="319" t="s">
        <v>428</v>
      </c>
      <c r="CQ159" s="319" t="s">
        <v>190</v>
      </c>
      <c r="CR159" s="319" t="s">
        <v>190</v>
      </c>
      <c r="CS159" s="319" t="s">
        <v>190</v>
      </c>
      <c r="CT159" s="319" t="s">
        <v>190</v>
      </c>
      <c r="CU159" s="319" t="s">
        <v>190</v>
      </c>
      <c r="CV159" s="319" t="s">
        <v>190</v>
      </c>
      <c r="CW159" s="319" t="s">
        <v>190</v>
      </c>
      <c r="CX159" s="319" t="s">
        <v>190</v>
      </c>
      <c r="CY159" s="319" t="s">
        <v>190</v>
      </c>
      <c r="CZ159" s="319" t="s">
        <v>190</v>
      </c>
      <c r="DA159" s="319" t="s">
        <v>190</v>
      </c>
      <c r="DB159" s="319" t="s">
        <v>190</v>
      </c>
      <c r="DC159" s="319" t="s">
        <v>190</v>
      </c>
      <c r="DD159" s="319" t="s">
        <v>190</v>
      </c>
      <c r="DE159" s="319" t="s">
        <v>190</v>
      </c>
      <c r="DF159" s="319" t="s">
        <v>190</v>
      </c>
      <c r="DG159" s="319" t="s">
        <v>190</v>
      </c>
      <c r="DH159" s="319" t="s">
        <v>190</v>
      </c>
      <c r="DI159" s="319" t="s">
        <v>190</v>
      </c>
      <c r="DJ159" s="319" t="s">
        <v>190</v>
      </c>
      <c r="DK159" s="319" t="s">
        <v>190</v>
      </c>
      <c r="DL159" s="319" t="s">
        <v>190</v>
      </c>
      <c r="DM159" s="319" t="s">
        <v>190</v>
      </c>
      <c r="DN159" s="319" t="s">
        <v>428</v>
      </c>
      <c r="DO159" s="319" t="s">
        <v>190</v>
      </c>
      <c r="DP159" s="319" t="s">
        <v>190</v>
      </c>
      <c r="DQ159" s="319" t="s">
        <v>190</v>
      </c>
      <c r="DR159" s="319" t="s">
        <v>190</v>
      </c>
      <c r="DS159" s="319" t="s">
        <v>190</v>
      </c>
      <c r="DT159" s="319" t="s">
        <v>190</v>
      </c>
      <c r="DU159" s="319" t="s">
        <v>190</v>
      </c>
      <c r="DV159" s="319" t="s">
        <v>173</v>
      </c>
      <c r="DW159" s="319" t="s">
        <v>190</v>
      </c>
      <c r="DX159" s="319" t="s">
        <v>190</v>
      </c>
      <c r="DY159" s="319" t="s">
        <v>190</v>
      </c>
      <c r="DZ159" s="319" t="s">
        <v>190</v>
      </c>
      <c r="EA159" s="319" t="s">
        <v>190</v>
      </c>
      <c r="EB159" s="319" t="s">
        <v>190</v>
      </c>
      <c r="EC159" s="319" t="s">
        <v>428</v>
      </c>
      <c r="ED159" s="319" t="s">
        <v>190</v>
      </c>
      <c r="EE159" s="319" t="s">
        <v>190</v>
      </c>
      <c r="EF159" s="319" t="s">
        <v>190</v>
      </c>
      <c r="EG159" s="319" t="s">
        <v>190</v>
      </c>
      <c r="EH159" s="319" t="s">
        <v>190</v>
      </c>
      <c r="EI159" s="319" t="s">
        <v>190</v>
      </c>
      <c r="EJ159" s="319" t="s">
        <v>190</v>
      </c>
      <c r="EK159" s="319" t="s">
        <v>190</v>
      </c>
      <c r="EL159" s="319" t="s">
        <v>190</v>
      </c>
      <c r="EM159" s="319" t="s">
        <v>190</v>
      </c>
      <c r="EN159" s="319" t="s">
        <v>190</v>
      </c>
      <c r="EO159" s="319" t="s">
        <v>190</v>
      </c>
      <c r="EP159" s="319" t="s">
        <v>190</v>
      </c>
      <c r="EQ159" s="319" t="s">
        <v>190</v>
      </c>
      <c r="ER159" s="319" t="s">
        <v>190</v>
      </c>
      <c r="ES159" s="319" t="s">
        <v>190</v>
      </c>
      <c r="ET159" s="319" t="s">
        <v>190</v>
      </c>
      <c r="EU159" s="319" t="s">
        <v>190</v>
      </c>
      <c r="EV159" s="319" t="s">
        <v>190</v>
      </c>
      <c r="EW159" s="319" t="s">
        <v>190</v>
      </c>
      <c r="EX159" s="319" t="s">
        <v>190</v>
      </c>
      <c r="EY159" s="319" t="s">
        <v>190</v>
      </c>
      <c r="EZ159" s="319" t="s">
        <v>190</v>
      </c>
      <c r="FA159" s="319" t="s">
        <v>190</v>
      </c>
      <c r="FB159" s="319" t="s">
        <v>190</v>
      </c>
      <c r="FC159" s="319" t="s">
        <v>190</v>
      </c>
      <c r="FD159" s="319" t="s">
        <v>190</v>
      </c>
      <c r="FE159" s="319" t="s">
        <v>190</v>
      </c>
      <c r="FF159" s="319" t="s">
        <v>190</v>
      </c>
      <c r="FG159" s="319" t="s">
        <v>190</v>
      </c>
      <c r="FH159" s="319" t="s">
        <v>190</v>
      </c>
      <c r="FI159" s="319" t="s">
        <v>190</v>
      </c>
      <c r="FJ159" s="319" t="s">
        <v>190</v>
      </c>
      <c r="FK159" s="319" t="s">
        <v>190</v>
      </c>
      <c r="FL159" s="319" t="s">
        <v>190</v>
      </c>
      <c r="FM159" s="319" t="s">
        <v>190</v>
      </c>
      <c r="FN159" s="319" t="s">
        <v>190</v>
      </c>
      <c r="FO159" s="319" t="s">
        <v>190</v>
      </c>
      <c r="FP159" s="319" t="s">
        <v>190</v>
      </c>
      <c r="FQ159" s="319" t="s">
        <v>190</v>
      </c>
      <c r="FR159" s="319" t="s">
        <v>190</v>
      </c>
      <c r="FS159" s="319" t="s">
        <v>428</v>
      </c>
      <c r="FT159" s="319" t="s">
        <v>190</v>
      </c>
      <c r="FU159" s="319" t="s">
        <v>190</v>
      </c>
      <c r="FV159" s="319" t="s">
        <v>190</v>
      </c>
      <c r="FW159" s="319" t="s">
        <v>190</v>
      </c>
      <c r="FX159" s="319" t="s">
        <v>190</v>
      </c>
      <c r="FY159" s="319" t="s">
        <v>190</v>
      </c>
      <c r="FZ159" s="319" t="s">
        <v>190</v>
      </c>
      <c r="GA159" s="319" t="s">
        <v>190</v>
      </c>
      <c r="GB159" s="319" t="s">
        <v>190</v>
      </c>
      <c r="GC159" s="319" t="s">
        <v>190</v>
      </c>
      <c r="GD159" s="319" t="s">
        <v>190</v>
      </c>
      <c r="GE159" s="319" t="s">
        <v>190</v>
      </c>
      <c r="GF159" s="319" t="s">
        <v>190</v>
      </c>
      <c r="GG159" s="319" t="s">
        <v>190</v>
      </c>
      <c r="GH159" s="319" t="s">
        <v>190</v>
      </c>
      <c r="GI159" s="319" t="s">
        <v>190</v>
      </c>
      <c r="GJ159" s="319" t="s">
        <v>190</v>
      </c>
      <c r="GK159" s="319" t="s">
        <v>428</v>
      </c>
      <c r="GL159" s="319" t="s">
        <v>190</v>
      </c>
      <c r="GM159" s="319" t="s">
        <v>190</v>
      </c>
      <c r="GN159" s="319" t="s">
        <v>190</v>
      </c>
      <c r="GO159" s="319" t="s">
        <v>190</v>
      </c>
      <c r="GP159" s="319" t="s">
        <v>190</v>
      </c>
      <c r="GQ159" s="319" t="s">
        <v>190</v>
      </c>
      <c r="GR159" s="319" t="s">
        <v>190</v>
      </c>
      <c r="GS159" s="319" t="s">
        <v>190</v>
      </c>
      <c r="GT159" s="319" t="s">
        <v>190</v>
      </c>
      <c r="GU159" s="319" t="s">
        <v>190</v>
      </c>
      <c r="GV159" s="319" t="s">
        <v>190</v>
      </c>
      <c r="GW159" s="319" t="s">
        <v>190</v>
      </c>
      <c r="GX159" s="319" t="s">
        <v>190</v>
      </c>
      <c r="GY159" s="319" t="s">
        <v>190</v>
      </c>
      <c r="GZ159" s="319" t="s">
        <v>428</v>
      </c>
      <c r="HA159" s="319" t="s">
        <v>190</v>
      </c>
      <c r="HB159" s="319" t="s">
        <v>190</v>
      </c>
      <c r="HC159" s="319" t="s">
        <v>190</v>
      </c>
      <c r="HD159" s="319" t="s">
        <v>190</v>
      </c>
      <c r="HE159" s="319" t="s">
        <v>190</v>
      </c>
      <c r="HF159" s="319" t="s">
        <v>190</v>
      </c>
      <c r="HG159" s="319" t="s">
        <v>190</v>
      </c>
      <c r="HH159" s="319" t="s">
        <v>190</v>
      </c>
      <c r="HI159" s="319" t="s">
        <v>190</v>
      </c>
      <c r="HJ159" s="319" t="s">
        <v>190</v>
      </c>
      <c r="HK159" s="319" t="s">
        <v>190</v>
      </c>
      <c r="HL159" s="319" t="s">
        <v>190</v>
      </c>
      <c r="HM159" s="319" t="s">
        <v>190</v>
      </c>
      <c r="HN159" s="319" t="s">
        <v>190</v>
      </c>
      <c r="HO159" s="319" t="s">
        <v>190</v>
      </c>
      <c r="HP159" s="319" t="s">
        <v>190</v>
      </c>
      <c r="HQ159" s="319" t="s">
        <v>190</v>
      </c>
      <c r="HR159" s="319" t="s">
        <v>190</v>
      </c>
      <c r="HS159" s="319" t="s">
        <v>190</v>
      </c>
      <c r="HT159" s="319" t="s">
        <v>190</v>
      </c>
      <c r="HU159" s="319" t="s">
        <v>190</v>
      </c>
      <c r="HV159" s="319" t="s">
        <v>190</v>
      </c>
      <c r="HW159" s="319" t="s">
        <v>190</v>
      </c>
      <c r="HX159" s="319" t="s">
        <v>190</v>
      </c>
      <c r="HY159" s="319" t="s">
        <v>190</v>
      </c>
      <c r="HZ159" s="319" t="s">
        <v>190</v>
      </c>
      <c r="IA159" s="319" t="s">
        <v>190</v>
      </c>
      <c r="IB159" s="319" t="s">
        <v>190</v>
      </c>
      <c r="IC159" s="319" t="s">
        <v>190</v>
      </c>
      <c r="ID159" s="319" t="s">
        <v>190</v>
      </c>
      <c r="IE159" s="319" t="s">
        <v>190</v>
      </c>
      <c r="IF159" s="319" t="s">
        <v>190</v>
      </c>
      <c r="IG159" s="319" t="s">
        <v>190</v>
      </c>
      <c r="IH159" s="319" t="s">
        <v>190</v>
      </c>
      <c r="II159" s="319" t="s">
        <v>190</v>
      </c>
      <c r="IJ159" s="319" t="s">
        <v>2938</v>
      </c>
      <c r="IK159" s="321">
        <v>41961</v>
      </c>
      <c r="IL159" s="321">
        <v>41963</v>
      </c>
      <c r="IM159" s="321">
        <v>42025</v>
      </c>
      <c r="IN159" s="319">
        <v>3</v>
      </c>
      <c r="IO159" s="319" t="s">
        <v>173</v>
      </c>
      <c r="IP159" s="319" t="s">
        <v>173</v>
      </c>
      <c r="IQ159" s="319" t="s">
        <v>173</v>
      </c>
      <c r="IR159" s="320" t="s">
        <v>173</v>
      </c>
      <c r="IS159" s="320" t="s">
        <v>173</v>
      </c>
      <c r="IT159" s="319" t="s">
        <v>173</v>
      </c>
    </row>
    <row r="160" spans="1:254" s="271" customFormat="1" x14ac:dyDescent="0.25">
      <c r="A160" s="318" t="str">
        <f>HYPERLINK("http://www.ofsted.gov.uk/inspection-reports/find-inspection-report/provider/ELS/114646 ","Ofsted School Webpage")</f>
        <v>Ofsted School Webpage</v>
      </c>
      <c r="B160" s="319">
        <v>114646</v>
      </c>
      <c r="C160" s="319">
        <v>8456003</v>
      </c>
      <c r="D160" s="319" t="s">
        <v>1437</v>
      </c>
      <c r="E160" s="319" t="s">
        <v>167</v>
      </c>
      <c r="F160" s="319" t="s">
        <v>81</v>
      </c>
      <c r="G160" s="319" t="s">
        <v>59</v>
      </c>
      <c r="H160" s="319" t="s">
        <v>59</v>
      </c>
      <c r="I160" s="319" t="s">
        <v>59</v>
      </c>
      <c r="J160" s="319" t="s">
        <v>424</v>
      </c>
      <c r="K160" s="319" t="s">
        <v>514</v>
      </c>
      <c r="L160" s="319" t="s">
        <v>514</v>
      </c>
      <c r="M160" s="319" t="s">
        <v>676</v>
      </c>
      <c r="N160" s="319" t="s">
        <v>2939</v>
      </c>
      <c r="O160" s="319" t="s">
        <v>1438</v>
      </c>
      <c r="P160" s="319">
        <v>56</v>
      </c>
      <c r="Q160" s="319" t="s">
        <v>2766</v>
      </c>
      <c r="R160" s="320">
        <v>10020919</v>
      </c>
      <c r="S160" s="321">
        <v>43235</v>
      </c>
      <c r="T160" s="321">
        <v>43237</v>
      </c>
      <c r="U160" s="321">
        <v>43266</v>
      </c>
      <c r="V160" s="319" t="s">
        <v>425</v>
      </c>
      <c r="W160" s="319" t="s">
        <v>2767</v>
      </c>
      <c r="X160" s="319">
        <v>2</v>
      </c>
      <c r="Y160" s="319" t="s">
        <v>173</v>
      </c>
      <c r="Z160" s="319" t="s">
        <v>173</v>
      </c>
      <c r="AA160" s="319" t="s">
        <v>173</v>
      </c>
      <c r="AB160" s="319">
        <v>2</v>
      </c>
      <c r="AC160" s="319" t="s">
        <v>169</v>
      </c>
      <c r="AD160" s="319">
        <v>2</v>
      </c>
      <c r="AE160" s="319" t="s">
        <v>173</v>
      </c>
      <c r="AF160" s="319" t="s">
        <v>173</v>
      </c>
      <c r="AG160" s="319" t="s">
        <v>171</v>
      </c>
      <c r="AH160" s="319" t="s">
        <v>190</v>
      </c>
      <c r="AI160" s="319" t="s">
        <v>190</v>
      </c>
      <c r="AJ160" s="319" t="s">
        <v>190</v>
      </c>
      <c r="AK160" s="319" t="s">
        <v>190</v>
      </c>
      <c r="AL160" s="319" t="s">
        <v>190</v>
      </c>
      <c r="AM160" s="319" t="s">
        <v>190</v>
      </c>
      <c r="AN160" s="319" t="s">
        <v>190</v>
      </c>
      <c r="AO160" s="319" t="s">
        <v>190</v>
      </c>
      <c r="AP160" s="319" t="s">
        <v>190</v>
      </c>
      <c r="AQ160" s="319" t="s">
        <v>190</v>
      </c>
      <c r="AR160" s="319" t="s">
        <v>190</v>
      </c>
      <c r="AS160" s="319" t="s">
        <v>190</v>
      </c>
      <c r="AT160" s="319" t="s">
        <v>190</v>
      </c>
      <c r="AU160" s="319" t="s">
        <v>190</v>
      </c>
      <c r="AV160" s="319" t="s">
        <v>190</v>
      </c>
      <c r="AW160" s="319" t="s">
        <v>190</v>
      </c>
      <c r="AX160" s="319" t="s">
        <v>429</v>
      </c>
      <c r="AY160" s="319" t="s">
        <v>190</v>
      </c>
      <c r="AZ160" s="319" t="s">
        <v>190</v>
      </c>
      <c r="BA160" s="319" t="s">
        <v>190</v>
      </c>
      <c r="BB160" s="319" t="s">
        <v>190</v>
      </c>
      <c r="BC160" s="319" t="s">
        <v>190</v>
      </c>
      <c r="BD160" s="319" t="s">
        <v>190</v>
      </c>
      <c r="BE160" s="319" t="s">
        <v>190</v>
      </c>
      <c r="BF160" s="319" t="s">
        <v>190</v>
      </c>
      <c r="BG160" s="319" t="s">
        <v>429</v>
      </c>
      <c r="BH160" s="319" t="s">
        <v>190</v>
      </c>
      <c r="BI160" s="319" t="s">
        <v>190</v>
      </c>
      <c r="BJ160" s="319" t="s">
        <v>190</v>
      </c>
      <c r="BK160" s="319" t="s">
        <v>190</v>
      </c>
      <c r="BL160" s="319" t="s">
        <v>190</v>
      </c>
      <c r="BM160" s="319" t="s">
        <v>190</v>
      </c>
      <c r="BN160" s="319" t="s">
        <v>190</v>
      </c>
      <c r="BO160" s="319" t="s">
        <v>190</v>
      </c>
      <c r="BP160" s="319" t="s">
        <v>190</v>
      </c>
      <c r="BQ160" s="319" t="s">
        <v>190</v>
      </c>
      <c r="BR160" s="319" t="s">
        <v>190</v>
      </c>
      <c r="BS160" s="319" t="s">
        <v>190</v>
      </c>
      <c r="BT160" s="319" t="s">
        <v>190</v>
      </c>
      <c r="BU160" s="319" t="s">
        <v>190</v>
      </c>
      <c r="BV160" s="319" t="s">
        <v>190</v>
      </c>
      <c r="BW160" s="319" t="s">
        <v>190</v>
      </c>
      <c r="BX160" s="319" t="s">
        <v>190</v>
      </c>
      <c r="BY160" s="319" t="s">
        <v>190</v>
      </c>
      <c r="BZ160" s="319" t="s">
        <v>190</v>
      </c>
      <c r="CA160" s="319" t="s">
        <v>190</v>
      </c>
      <c r="CB160" s="319" t="s">
        <v>190</v>
      </c>
      <c r="CC160" s="319" t="s">
        <v>190</v>
      </c>
      <c r="CD160" s="319" t="s">
        <v>190</v>
      </c>
      <c r="CE160" s="319" t="s">
        <v>190</v>
      </c>
      <c r="CF160" s="319" t="s">
        <v>190</v>
      </c>
      <c r="CG160" s="319" t="s">
        <v>190</v>
      </c>
      <c r="CH160" s="319" t="s">
        <v>190</v>
      </c>
      <c r="CI160" s="319" t="s">
        <v>190</v>
      </c>
      <c r="CJ160" s="319" t="s">
        <v>190</v>
      </c>
      <c r="CK160" s="319" t="s">
        <v>190</v>
      </c>
      <c r="CL160" s="319" t="s">
        <v>190</v>
      </c>
      <c r="CM160" s="319" t="s">
        <v>190</v>
      </c>
      <c r="CN160" s="319" t="s">
        <v>429</v>
      </c>
      <c r="CO160" s="319" t="s">
        <v>429</v>
      </c>
      <c r="CP160" s="319" t="s">
        <v>429</v>
      </c>
      <c r="CQ160" s="319" t="s">
        <v>190</v>
      </c>
      <c r="CR160" s="319" t="s">
        <v>190</v>
      </c>
      <c r="CS160" s="319" t="s">
        <v>190</v>
      </c>
      <c r="CT160" s="319" t="s">
        <v>190</v>
      </c>
      <c r="CU160" s="319" t="s">
        <v>190</v>
      </c>
      <c r="CV160" s="319" t="s">
        <v>190</v>
      </c>
      <c r="CW160" s="319" t="s">
        <v>190</v>
      </c>
      <c r="CX160" s="319" t="s">
        <v>190</v>
      </c>
      <c r="CY160" s="319" t="s">
        <v>190</v>
      </c>
      <c r="CZ160" s="319" t="s">
        <v>190</v>
      </c>
      <c r="DA160" s="319" t="s">
        <v>190</v>
      </c>
      <c r="DB160" s="319" t="s">
        <v>190</v>
      </c>
      <c r="DC160" s="319" t="s">
        <v>190</v>
      </c>
      <c r="DD160" s="319" t="s">
        <v>190</v>
      </c>
      <c r="DE160" s="319" t="s">
        <v>190</v>
      </c>
      <c r="DF160" s="319" t="s">
        <v>190</v>
      </c>
      <c r="DG160" s="319" t="s">
        <v>190</v>
      </c>
      <c r="DH160" s="319" t="s">
        <v>190</v>
      </c>
      <c r="DI160" s="319" t="s">
        <v>190</v>
      </c>
      <c r="DJ160" s="319" t="s">
        <v>190</v>
      </c>
      <c r="DK160" s="319" t="s">
        <v>190</v>
      </c>
      <c r="DL160" s="319" t="s">
        <v>190</v>
      </c>
      <c r="DM160" s="319" t="s">
        <v>190</v>
      </c>
      <c r="DN160" s="319" t="s">
        <v>429</v>
      </c>
      <c r="DO160" s="319" t="s">
        <v>190</v>
      </c>
      <c r="DP160" s="319" t="s">
        <v>429</v>
      </c>
      <c r="DQ160" s="319" t="s">
        <v>429</v>
      </c>
      <c r="DR160" s="319" t="s">
        <v>429</v>
      </c>
      <c r="DS160" s="319" t="s">
        <v>429</v>
      </c>
      <c r="DT160" s="319" t="s">
        <v>429</v>
      </c>
      <c r="DU160" s="319" t="s">
        <v>429</v>
      </c>
      <c r="DV160" s="319" t="s">
        <v>173</v>
      </c>
      <c r="DW160" s="319" t="s">
        <v>429</v>
      </c>
      <c r="DX160" s="319" t="s">
        <v>429</v>
      </c>
      <c r="DY160" s="319" t="s">
        <v>429</v>
      </c>
      <c r="DZ160" s="319" t="s">
        <v>429</v>
      </c>
      <c r="EA160" s="319" t="s">
        <v>429</v>
      </c>
      <c r="EB160" s="319" t="s">
        <v>429</v>
      </c>
      <c r="EC160" s="319" t="s">
        <v>429</v>
      </c>
      <c r="ED160" s="319" t="s">
        <v>429</v>
      </c>
      <c r="EE160" s="319" t="s">
        <v>190</v>
      </c>
      <c r="EF160" s="319" t="s">
        <v>190</v>
      </c>
      <c r="EG160" s="319" t="s">
        <v>190</v>
      </c>
      <c r="EH160" s="319" t="s">
        <v>190</v>
      </c>
      <c r="EI160" s="319" t="s">
        <v>190</v>
      </c>
      <c r="EJ160" s="319" t="s">
        <v>190</v>
      </c>
      <c r="EK160" s="319" t="s">
        <v>190</v>
      </c>
      <c r="EL160" s="319" t="s">
        <v>190</v>
      </c>
      <c r="EM160" s="319" t="s">
        <v>190</v>
      </c>
      <c r="EN160" s="319" t="s">
        <v>190</v>
      </c>
      <c r="EO160" s="319" t="s">
        <v>190</v>
      </c>
      <c r="EP160" s="319" t="s">
        <v>190</v>
      </c>
      <c r="EQ160" s="319" t="s">
        <v>190</v>
      </c>
      <c r="ER160" s="319" t="s">
        <v>190</v>
      </c>
      <c r="ES160" s="319" t="s">
        <v>190</v>
      </c>
      <c r="ET160" s="319" t="s">
        <v>190</v>
      </c>
      <c r="EU160" s="319" t="s">
        <v>190</v>
      </c>
      <c r="EV160" s="319" t="s">
        <v>190</v>
      </c>
      <c r="EW160" s="319" t="s">
        <v>190</v>
      </c>
      <c r="EX160" s="319" t="s">
        <v>190</v>
      </c>
      <c r="EY160" s="319" t="s">
        <v>190</v>
      </c>
      <c r="EZ160" s="319" t="s">
        <v>190</v>
      </c>
      <c r="FA160" s="319" t="s">
        <v>190</v>
      </c>
      <c r="FB160" s="319" t="s">
        <v>429</v>
      </c>
      <c r="FC160" s="319" t="s">
        <v>429</v>
      </c>
      <c r="FD160" s="319" t="s">
        <v>429</v>
      </c>
      <c r="FE160" s="319" t="s">
        <v>429</v>
      </c>
      <c r="FF160" s="319" t="s">
        <v>429</v>
      </c>
      <c r="FG160" s="319" t="s">
        <v>429</v>
      </c>
      <c r="FH160" s="319" t="s">
        <v>190</v>
      </c>
      <c r="FI160" s="319" t="s">
        <v>190</v>
      </c>
      <c r="FJ160" s="319" t="s">
        <v>190</v>
      </c>
      <c r="FK160" s="319" t="s">
        <v>190</v>
      </c>
      <c r="FL160" s="319" t="s">
        <v>190</v>
      </c>
      <c r="FM160" s="319" t="s">
        <v>190</v>
      </c>
      <c r="FN160" s="319" t="s">
        <v>190</v>
      </c>
      <c r="FO160" s="319" t="s">
        <v>190</v>
      </c>
      <c r="FP160" s="319" t="s">
        <v>190</v>
      </c>
      <c r="FQ160" s="319" t="s">
        <v>190</v>
      </c>
      <c r="FR160" s="319" t="s">
        <v>190</v>
      </c>
      <c r="FS160" s="319" t="s">
        <v>190</v>
      </c>
      <c r="FT160" s="319" t="s">
        <v>190</v>
      </c>
      <c r="FU160" s="319" t="s">
        <v>190</v>
      </c>
      <c r="FV160" s="319" t="s">
        <v>190</v>
      </c>
      <c r="FW160" s="319" t="s">
        <v>190</v>
      </c>
      <c r="FX160" s="319" t="s">
        <v>190</v>
      </c>
      <c r="FY160" s="319" t="s">
        <v>190</v>
      </c>
      <c r="FZ160" s="319" t="s">
        <v>190</v>
      </c>
      <c r="GA160" s="319" t="s">
        <v>190</v>
      </c>
      <c r="GB160" s="319" t="s">
        <v>190</v>
      </c>
      <c r="GC160" s="319" t="s">
        <v>190</v>
      </c>
      <c r="GD160" s="319" t="s">
        <v>190</v>
      </c>
      <c r="GE160" s="319" t="s">
        <v>190</v>
      </c>
      <c r="GF160" s="319" t="s">
        <v>190</v>
      </c>
      <c r="GG160" s="319" t="s">
        <v>190</v>
      </c>
      <c r="GH160" s="319" t="s">
        <v>190</v>
      </c>
      <c r="GI160" s="319" t="s">
        <v>190</v>
      </c>
      <c r="GJ160" s="319" t="s">
        <v>190</v>
      </c>
      <c r="GK160" s="319" t="s">
        <v>429</v>
      </c>
      <c r="GL160" s="319" t="s">
        <v>190</v>
      </c>
      <c r="GM160" s="319" t="s">
        <v>190</v>
      </c>
      <c r="GN160" s="319" t="s">
        <v>190</v>
      </c>
      <c r="GO160" s="319" t="s">
        <v>190</v>
      </c>
      <c r="GP160" s="319" t="s">
        <v>190</v>
      </c>
      <c r="GQ160" s="319" t="s">
        <v>429</v>
      </c>
      <c r="GR160" s="319" t="s">
        <v>190</v>
      </c>
      <c r="GS160" s="319" t="s">
        <v>190</v>
      </c>
      <c r="GT160" s="319" t="s">
        <v>429</v>
      </c>
      <c r="GU160" s="319" t="s">
        <v>429</v>
      </c>
      <c r="GV160" s="319" t="s">
        <v>190</v>
      </c>
      <c r="GW160" s="319" t="s">
        <v>190</v>
      </c>
      <c r="GX160" s="319" t="s">
        <v>190</v>
      </c>
      <c r="GY160" s="319" t="s">
        <v>190</v>
      </c>
      <c r="GZ160" s="319" t="s">
        <v>429</v>
      </c>
      <c r="HA160" s="319" t="s">
        <v>190</v>
      </c>
      <c r="HB160" s="319" t="s">
        <v>429</v>
      </c>
      <c r="HC160" s="319" t="s">
        <v>190</v>
      </c>
      <c r="HD160" s="319" t="s">
        <v>190</v>
      </c>
      <c r="HE160" s="319" t="s">
        <v>190</v>
      </c>
      <c r="HF160" s="319" t="s">
        <v>190</v>
      </c>
      <c r="HG160" s="319" t="s">
        <v>190</v>
      </c>
      <c r="HH160" s="319" t="s">
        <v>190</v>
      </c>
      <c r="HI160" s="319" t="s">
        <v>190</v>
      </c>
      <c r="HJ160" s="319" t="s">
        <v>190</v>
      </c>
      <c r="HK160" s="319" t="s">
        <v>190</v>
      </c>
      <c r="HL160" s="319" t="s">
        <v>429</v>
      </c>
      <c r="HM160" s="319" t="s">
        <v>429</v>
      </c>
      <c r="HN160" s="319" t="s">
        <v>429</v>
      </c>
      <c r="HO160" s="319" t="s">
        <v>429</v>
      </c>
      <c r="HP160" s="319" t="s">
        <v>190</v>
      </c>
      <c r="HQ160" s="319" t="s">
        <v>190</v>
      </c>
      <c r="HR160" s="319" t="s">
        <v>190</v>
      </c>
      <c r="HS160" s="319" t="s">
        <v>190</v>
      </c>
      <c r="HT160" s="319" t="s">
        <v>190</v>
      </c>
      <c r="HU160" s="319" t="s">
        <v>190</v>
      </c>
      <c r="HV160" s="319" t="s">
        <v>190</v>
      </c>
      <c r="HW160" s="319" t="s">
        <v>190</v>
      </c>
      <c r="HX160" s="319" t="s">
        <v>190</v>
      </c>
      <c r="HY160" s="319" t="s">
        <v>190</v>
      </c>
      <c r="HZ160" s="319" t="s">
        <v>190</v>
      </c>
      <c r="IA160" s="319" t="s">
        <v>190</v>
      </c>
      <c r="IB160" s="319" t="s">
        <v>190</v>
      </c>
      <c r="IC160" s="319" t="s">
        <v>190</v>
      </c>
      <c r="ID160" s="319" t="s">
        <v>190</v>
      </c>
      <c r="IE160" s="319" t="s">
        <v>190</v>
      </c>
      <c r="IF160" s="319" t="s">
        <v>190</v>
      </c>
      <c r="IG160" s="319" t="s">
        <v>190</v>
      </c>
      <c r="IH160" s="319" t="s">
        <v>190</v>
      </c>
      <c r="II160" s="319" t="s">
        <v>190</v>
      </c>
      <c r="IJ160" s="319" t="s">
        <v>2940</v>
      </c>
      <c r="IK160" s="321">
        <v>40499</v>
      </c>
      <c r="IL160" s="321">
        <v>40499</v>
      </c>
      <c r="IM160" s="321">
        <v>40518</v>
      </c>
      <c r="IN160" s="319">
        <v>2</v>
      </c>
      <c r="IO160" s="319" t="s">
        <v>173</v>
      </c>
      <c r="IP160" s="319" t="s">
        <v>173</v>
      </c>
      <c r="IQ160" s="321" t="s">
        <v>173</v>
      </c>
      <c r="IR160" s="320" t="s">
        <v>173</v>
      </c>
      <c r="IS160" s="322" t="s">
        <v>173</v>
      </c>
      <c r="IT160" s="319" t="s">
        <v>173</v>
      </c>
    </row>
    <row r="161" spans="1:254" s="271" customFormat="1" x14ac:dyDescent="0.25">
      <c r="A161" s="318" t="str">
        <f>HYPERLINK("http://www.ofsted.gov.uk/inspection-reports/find-inspection-report/provider/ELS/114660 ","Ofsted School Webpage")</f>
        <v>Ofsted School Webpage</v>
      </c>
      <c r="B161" s="319">
        <v>114660</v>
      </c>
      <c r="C161" s="319">
        <v>8456007</v>
      </c>
      <c r="D161" s="319" t="s">
        <v>926</v>
      </c>
      <c r="E161" s="319" t="s">
        <v>168</v>
      </c>
      <c r="F161" s="319" t="s">
        <v>59</v>
      </c>
      <c r="G161" s="319" t="s">
        <v>63</v>
      </c>
      <c r="H161" s="319" t="s">
        <v>59</v>
      </c>
      <c r="I161" s="319" t="s">
        <v>59</v>
      </c>
      <c r="J161" s="319" t="s">
        <v>424</v>
      </c>
      <c r="K161" s="319" t="s">
        <v>514</v>
      </c>
      <c r="L161" s="319" t="s">
        <v>514</v>
      </c>
      <c r="M161" s="319" t="s">
        <v>676</v>
      </c>
      <c r="N161" s="319" t="s">
        <v>2937</v>
      </c>
      <c r="O161" s="319" t="s">
        <v>927</v>
      </c>
      <c r="P161" s="319">
        <v>6</v>
      </c>
      <c r="Q161" s="319" t="s">
        <v>429</v>
      </c>
      <c r="R161" s="320">
        <v>10056669</v>
      </c>
      <c r="S161" s="321">
        <v>43508</v>
      </c>
      <c r="T161" s="321">
        <v>43510</v>
      </c>
      <c r="U161" s="321">
        <v>43534</v>
      </c>
      <c r="V161" s="319" t="s">
        <v>425</v>
      </c>
      <c r="W161" s="319" t="s">
        <v>2767</v>
      </c>
      <c r="X161" s="319">
        <v>3</v>
      </c>
      <c r="Y161" s="319" t="s">
        <v>173</v>
      </c>
      <c r="Z161" s="319" t="s">
        <v>173</v>
      </c>
      <c r="AA161" s="319" t="s">
        <v>173</v>
      </c>
      <c r="AB161" s="319">
        <v>3</v>
      </c>
      <c r="AC161" s="319" t="s">
        <v>169</v>
      </c>
      <c r="AD161" s="319" t="s">
        <v>173</v>
      </c>
      <c r="AE161" s="319" t="s">
        <v>173</v>
      </c>
      <c r="AF161" s="319" t="s">
        <v>427</v>
      </c>
      <c r="AG161" s="319" t="s">
        <v>172</v>
      </c>
      <c r="AH161" s="319" t="s">
        <v>479</v>
      </c>
      <c r="AI161" s="319" t="s">
        <v>190</v>
      </c>
      <c r="AJ161" s="319" t="s">
        <v>190</v>
      </c>
      <c r="AK161" s="319" t="s">
        <v>190</v>
      </c>
      <c r="AL161" s="319" t="s">
        <v>479</v>
      </c>
      <c r="AM161" s="319" t="s">
        <v>479</v>
      </c>
      <c r="AN161" s="319" t="s">
        <v>190</v>
      </c>
      <c r="AO161" s="319" t="s">
        <v>479</v>
      </c>
      <c r="AP161" s="319" t="s">
        <v>191</v>
      </c>
      <c r="AQ161" s="319" t="s">
        <v>191</v>
      </c>
      <c r="AR161" s="319" t="s">
        <v>191</v>
      </c>
      <c r="AS161" s="319" t="s">
        <v>191</v>
      </c>
      <c r="AT161" s="319" t="s">
        <v>191</v>
      </c>
      <c r="AU161" s="319" t="s">
        <v>190</v>
      </c>
      <c r="AV161" s="319" t="s">
        <v>190</v>
      </c>
      <c r="AW161" s="319" t="s">
        <v>190</v>
      </c>
      <c r="AX161" s="319" t="s">
        <v>428</v>
      </c>
      <c r="AY161" s="319" t="s">
        <v>190</v>
      </c>
      <c r="AZ161" s="319" t="s">
        <v>190</v>
      </c>
      <c r="BA161" s="319" t="s">
        <v>190</v>
      </c>
      <c r="BB161" s="319" t="s">
        <v>190</v>
      </c>
      <c r="BC161" s="319" t="s">
        <v>190</v>
      </c>
      <c r="BD161" s="319" t="s">
        <v>190</v>
      </c>
      <c r="BE161" s="319" t="s">
        <v>190</v>
      </c>
      <c r="BF161" s="319" t="s">
        <v>190</v>
      </c>
      <c r="BG161" s="319" t="s">
        <v>190</v>
      </c>
      <c r="BH161" s="319" t="s">
        <v>190</v>
      </c>
      <c r="BI161" s="319" t="s">
        <v>190</v>
      </c>
      <c r="BJ161" s="319" t="s">
        <v>191</v>
      </c>
      <c r="BK161" s="319" t="s">
        <v>190</v>
      </c>
      <c r="BL161" s="319" t="s">
        <v>190</v>
      </c>
      <c r="BM161" s="319" t="s">
        <v>190</v>
      </c>
      <c r="BN161" s="319" t="s">
        <v>190</v>
      </c>
      <c r="BO161" s="319" t="s">
        <v>190</v>
      </c>
      <c r="BP161" s="319" t="s">
        <v>190</v>
      </c>
      <c r="BQ161" s="319" t="s">
        <v>191</v>
      </c>
      <c r="BR161" s="319" t="s">
        <v>190</v>
      </c>
      <c r="BS161" s="319" t="s">
        <v>190</v>
      </c>
      <c r="BT161" s="319" t="s">
        <v>190</v>
      </c>
      <c r="BU161" s="319" t="s">
        <v>191</v>
      </c>
      <c r="BV161" s="319" t="s">
        <v>190</v>
      </c>
      <c r="BW161" s="319" t="s">
        <v>190</v>
      </c>
      <c r="BX161" s="319" t="s">
        <v>190</v>
      </c>
      <c r="BY161" s="319" t="s">
        <v>190</v>
      </c>
      <c r="BZ161" s="319" t="s">
        <v>190</v>
      </c>
      <c r="CA161" s="319" t="s">
        <v>190</v>
      </c>
      <c r="CB161" s="319" t="s">
        <v>190</v>
      </c>
      <c r="CC161" s="319" t="s">
        <v>190</v>
      </c>
      <c r="CD161" s="319" t="s">
        <v>190</v>
      </c>
      <c r="CE161" s="319" t="s">
        <v>190</v>
      </c>
      <c r="CF161" s="319" t="s">
        <v>190</v>
      </c>
      <c r="CG161" s="319" t="s">
        <v>190</v>
      </c>
      <c r="CH161" s="319" t="s">
        <v>190</v>
      </c>
      <c r="CI161" s="319" t="s">
        <v>190</v>
      </c>
      <c r="CJ161" s="319" t="s">
        <v>190</v>
      </c>
      <c r="CK161" s="319" t="s">
        <v>190</v>
      </c>
      <c r="CL161" s="319" t="s">
        <v>190</v>
      </c>
      <c r="CM161" s="319" t="s">
        <v>190</v>
      </c>
      <c r="CN161" s="319" t="s">
        <v>190</v>
      </c>
      <c r="CO161" s="319" t="s">
        <v>428</v>
      </c>
      <c r="CP161" s="319" t="s">
        <v>428</v>
      </c>
      <c r="CQ161" s="319" t="s">
        <v>190</v>
      </c>
      <c r="CR161" s="319" t="s">
        <v>190</v>
      </c>
      <c r="CS161" s="319" t="s">
        <v>190</v>
      </c>
      <c r="CT161" s="319" t="s">
        <v>190</v>
      </c>
      <c r="CU161" s="319" t="s">
        <v>190</v>
      </c>
      <c r="CV161" s="319" t="s">
        <v>190</v>
      </c>
      <c r="CW161" s="319" t="s">
        <v>190</v>
      </c>
      <c r="CX161" s="319" t="s">
        <v>190</v>
      </c>
      <c r="CY161" s="319" t="s">
        <v>190</v>
      </c>
      <c r="CZ161" s="319" t="s">
        <v>190</v>
      </c>
      <c r="DA161" s="319" t="s">
        <v>190</v>
      </c>
      <c r="DB161" s="319" t="s">
        <v>190</v>
      </c>
      <c r="DC161" s="319" t="s">
        <v>190</v>
      </c>
      <c r="DD161" s="319" t="s">
        <v>190</v>
      </c>
      <c r="DE161" s="319" t="s">
        <v>190</v>
      </c>
      <c r="DF161" s="319" t="s">
        <v>190</v>
      </c>
      <c r="DG161" s="319" t="s">
        <v>190</v>
      </c>
      <c r="DH161" s="319" t="s">
        <v>190</v>
      </c>
      <c r="DI161" s="319" t="s">
        <v>190</v>
      </c>
      <c r="DJ161" s="319" t="s">
        <v>190</v>
      </c>
      <c r="DK161" s="319" t="s">
        <v>190</v>
      </c>
      <c r="DL161" s="319" t="s">
        <v>190</v>
      </c>
      <c r="DM161" s="319" t="s">
        <v>190</v>
      </c>
      <c r="DN161" s="319" t="s">
        <v>190</v>
      </c>
      <c r="DO161" s="319" t="s">
        <v>190</v>
      </c>
      <c r="DP161" s="319" t="s">
        <v>190</v>
      </c>
      <c r="DQ161" s="319" t="s">
        <v>190</v>
      </c>
      <c r="DR161" s="319" t="s">
        <v>190</v>
      </c>
      <c r="DS161" s="319" t="s">
        <v>190</v>
      </c>
      <c r="DT161" s="319" t="s">
        <v>190</v>
      </c>
      <c r="DU161" s="319" t="s">
        <v>190</v>
      </c>
      <c r="DV161" s="319" t="s">
        <v>173</v>
      </c>
      <c r="DW161" s="319" t="s">
        <v>190</v>
      </c>
      <c r="DX161" s="319" t="s">
        <v>190</v>
      </c>
      <c r="DY161" s="319" t="s">
        <v>190</v>
      </c>
      <c r="DZ161" s="319" t="s">
        <v>190</v>
      </c>
      <c r="EA161" s="319" t="s">
        <v>190</v>
      </c>
      <c r="EB161" s="319" t="s">
        <v>190</v>
      </c>
      <c r="EC161" s="319" t="s">
        <v>428</v>
      </c>
      <c r="ED161" s="319" t="s">
        <v>190</v>
      </c>
      <c r="EE161" s="319" t="s">
        <v>190</v>
      </c>
      <c r="EF161" s="319" t="s">
        <v>190</v>
      </c>
      <c r="EG161" s="319" t="s">
        <v>190</v>
      </c>
      <c r="EH161" s="319" t="s">
        <v>190</v>
      </c>
      <c r="EI161" s="319" t="s">
        <v>190</v>
      </c>
      <c r="EJ161" s="319" t="s">
        <v>190</v>
      </c>
      <c r="EK161" s="319" t="s">
        <v>190</v>
      </c>
      <c r="EL161" s="319" t="s">
        <v>190</v>
      </c>
      <c r="EM161" s="319" t="s">
        <v>190</v>
      </c>
      <c r="EN161" s="319" t="s">
        <v>190</v>
      </c>
      <c r="EO161" s="319" t="s">
        <v>190</v>
      </c>
      <c r="EP161" s="319" t="s">
        <v>190</v>
      </c>
      <c r="EQ161" s="319" t="s">
        <v>190</v>
      </c>
      <c r="ER161" s="319" t="s">
        <v>190</v>
      </c>
      <c r="ES161" s="319" t="s">
        <v>190</v>
      </c>
      <c r="ET161" s="319" t="s">
        <v>190</v>
      </c>
      <c r="EU161" s="319" t="s">
        <v>190</v>
      </c>
      <c r="EV161" s="319" t="s">
        <v>190</v>
      </c>
      <c r="EW161" s="319" t="s">
        <v>190</v>
      </c>
      <c r="EX161" s="319" t="s">
        <v>190</v>
      </c>
      <c r="EY161" s="319" t="s">
        <v>190</v>
      </c>
      <c r="EZ161" s="319" t="s">
        <v>190</v>
      </c>
      <c r="FA161" s="319" t="s">
        <v>190</v>
      </c>
      <c r="FB161" s="319" t="s">
        <v>190</v>
      </c>
      <c r="FC161" s="319" t="s">
        <v>190</v>
      </c>
      <c r="FD161" s="319" t="s">
        <v>190</v>
      </c>
      <c r="FE161" s="319" t="s">
        <v>190</v>
      </c>
      <c r="FF161" s="319" t="s">
        <v>190</v>
      </c>
      <c r="FG161" s="319" t="s">
        <v>190</v>
      </c>
      <c r="FH161" s="319" t="s">
        <v>190</v>
      </c>
      <c r="FI161" s="319" t="s">
        <v>190</v>
      </c>
      <c r="FJ161" s="319" t="s">
        <v>190</v>
      </c>
      <c r="FK161" s="319" t="s">
        <v>190</v>
      </c>
      <c r="FL161" s="319" t="s">
        <v>190</v>
      </c>
      <c r="FM161" s="319" t="s">
        <v>190</v>
      </c>
      <c r="FN161" s="319" t="s">
        <v>190</v>
      </c>
      <c r="FO161" s="319" t="s">
        <v>190</v>
      </c>
      <c r="FP161" s="319" t="s">
        <v>191</v>
      </c>
      <c r="FQ161" s="319" t="s">
        <v>190</v>
      </c>
      <c r="FR161" s="319" t="s">
        <v>191</v>
      </c>
      <c r="FS161" s="319" t="s">
        <v>428</v>
      </c>
      <c r="FT161" s="319" t="s">
        <v>190</v>
      </c>
      <c r="FU161" s="319" t="s">
        <v>190</v>
      </c>
      <c r="FV161" s="319" t="s">
        <v>190</v>
      </c>
      <c r="FW161" s="319" t="s">
        <v>190</v>
      </c>
      <c r="FX161" s="319" t="s">
        <v>190</v>
      </c>
      <c r="FY161" s="319" t="s">
        <v>190</v>
      </c>
      <c r="FZ161" s="319" t="s">
        <v>190</v>
      </c>
      <c r="GA161" s="319" t="s">
        <v>190</v>
      </c>
      <c r="GB161" s="319" t="s">
        <v>190</v>
      </c>
      <c r="GC161" s="319" t="s">
        <v>190</v>
      </c>
      <c r="GD161" s="319" t="s">
        <v>190</v>
      </c>
      <c r="GE161" s="319" t="s">
        <v>190</v>
      </c>
      <c r="GF161" s="319" t="s">
        <v>190</v>
      </c>
      <c r="GG161" s="319" t="s">
        <v>190</v>
      </c>
      <c r="GH161" s="319" t="s">
        <v>190</v>
      </c>
      <c r="GI161" s="319" t="s">
        <v>190</v>
      </c>
      <c r="GJ161" s="319" t="s">
        <v>190</v>
      </c>
      <c r="GK161" s="319" t="s">
        <v>428</v>
      </c>
      <c r="GL161" s="319" t="s">
        <v>191</v>
      </c>
      <c r="GM161" s="319" t="s">
        <v>190</v>
      </c>
      <c r="GN161" s="319" t="s">
        <v>191</v>
      </c>
      <c r="GO161" s="319" t="s">
        <v>190</v>
      </c>
      <c r="GP161" s="319" t="s">
        <v>190</v>
      </c>
      <c r="GQ161" s="319" t="s">
        <v>190</v>
      </c>
      <c r="GR161" s="319" t="s">
        <v>190</v>
      </c>
      <c r="GS161" s="319" t="s">
        <v>190</v>
      </c>
      <c r="GT161" s="319" t="s">
        <v>190</v>
      </c>
      <c r="GU161" s="319" t="s">
        <v>190</v>
      </c>
      <c r="GV161" s="319" t="s">
        <v>190</v>
      </c>
      <c r="GW161" s="319" t="s">
        <v>190</v>
      </c>
      <c r="GX161" s="319" t="s">
        <v>190</v>
      </c>
      <c r="GY161" s="319" t="s">
        <v>190</v>
      </c>
      <c r="GZ161" s="319" t="s">
        <v>428</v>
      </c>
      <c r="HA161" s="319" t="s">
        <v>190</v>
      </c>
      <c r="HB161" s="319" t="s">
        <v>190</v>
      </c>
      <c r="HC161" s="319" t="s">
        <v>190</v>
      </c>
      <c r="HD161" s="319" t="s">
        <v>191</v>
      </c>
      <c r="HE161" s="319" t="s">
        <v>190</v>
      </c>
      <c r="HF161" s="319" t="s">
        <v>190</v>
      </c>
      <c r="HG161" s="319" t="s">
        <v>191</v>
      </c>
      <c r="HH161" s="319" t="s">
        <v>190</v>
      </c>
      <c r="HI161" s="319" t="s">
        <v>190</v>
      </c>
      <c r="HJ161" s="319" t="s">
        <v>190</v>
      </c>
      <c r="HK161" s="319" t="s">
        <v>190</v>
      </c>
      <c r="HL161" s="319" t="s">
        <v>190</v>
      </c>
      <c r="HM161" s="319" t="s">
        <v>190</v>
      </c>
      <c r="HN161" s="319" t="s">
        <v>190</v>
      </c>
      <c r="HO161" s="319" t="s">
        <v>190</v>
      </c>
      <c r="HP161" s="319" t="s">
        <v>190</v>
      </c>
      <c r="HQ161" s="319" t="s">
        <v>190</v>
      </c>
      <c r="HR161" s="319" t="s">
        <v>190</v>
      </c>
      <c r="HS161" s="319" t="s">
        <v>190</v>
      </c>
      <c r="HT161" s="319" t="s">
        <v>190</v>
      </c>
      <c r="HU161" s="319" t="s">
        <v>190</v>
      </c>
      <c r="HV161" s="319" t="s">
        <v>190</v>
      </c>
      <c r="HW161" s="319" t="s">
        <v>190</v>
      </c>
      <c r="HX161" s="319" t="s">
        <v>190</v>
      </c>
      <c r="HY161" s="319" t="s">
        <v>190</v>
      </c>
      <c r="HZ161" s="319" t="s">
        <v>190</v>
      </c>
      <c r="IA161" s="319" t="s">
        <v>190</v>
      </c>
      <c r="IB161" s="319" t="s">
        <v>190</v>
      </c>
      <c r="IC161" s="319" t="s">
        <v>190</v>
      </c>
      <c r="ID161" s="319" t="s">
        <v>190</v>
      </c>
      <c r="IE161" s="319" t="s">
        <v>190</v>
      </c>
      <c r="IF161" s="319" t="s">
        <v>191</v>
      </c>
      <c r="IG161" s="319" t="s">
        <v>191</v>
      </c>
      <c r="IH161" s="319" t="s">
        <v>191</v>
      </c>
      <c r="II161" s="319" t="s">
        <v>190</v>
      </c>
      <c r="IJ161" s="319">
        <v>10008896</v>
      </c>
      <c r="IK161" s="321">
        <v>42395</v>
      </c>
      <c r="IL161" s="321">
        <v>42397</v>
      </c>
      <c r="IM161" s="321">
        <v>42425</v>
      </c>
      <c r="IN161" s="319">
        <v>2</v>
      </c>
      <c r="IO161" s="319" t="s">
        <v>173</v>
      </c>
      <c r="IP161" s="319" t="s">
        <v>173</v>
      </c>
      <c r="IQ161" s="321" t="s">
        <v>173</v>
      </c>
      <c r="IR161" s="320" t="s">
        <v>173</v>
      </c>
      <c r="IS161" s="322" t="s">
        <v>173</v>
      </c>
      <c r="IT161" s="319" t="s">
        <v>173</v>
      </c>
    </row>
    <row r="162" spans="1:254" s="271" customFormat="1" x14ac:dyDescent="0.25">
      <c r="A162" s="318" t="str">
        <f>HYPERLINK("http://www.ofsted.gov.uk/inspection-reports/find-inspection-report/provider/ELS/114661 ","Ofsted School Webpage")</f>
        <v>Ofsted School Webpage</v>
      </c>
      <c r="B162" s="319">
        <v>114661</v>
      </c>
      <c r="C162" s="319">
        <v>8466016</v>
      </c>
      <c r="D162" s="319" t="s">
        <v>1439</v>
      </c>
      <c r="E162" s="319" t="s">
        <v>167</v>
      </c>
      <c r="F162" s="319" t="s">
        <v>81</v>
      </c>
      <c r="G162" s="319" t="s">
        <v>81</v>
      </c>
      <c r="H162" s="319" t="s">
        <v>81</v>
      </c>
      <c r="I162" s="319" t="s">
        <v>78</v>
      </c>
      <c r="J162" s="319" t="s">
        <v>424</v>
      </c>
      <c r="K162" s="319" t="s">
        <v>514</v>
      </c>
      <c r="L162" s="319" t="s">
        <v>514</v>
      </c>
      <c r="M162" s="319" t="s">
        <v>828</v>
      </c>
      <c r="N162" s="319" t="s">
        <v>2941</v>
      </c>
      <c r="O162" s="319" t="s">
        <v>1440</v>
      </c>
      <c r="P162" s="319">
        <v>179</v>
      </c>
      <c r="Q162" s="319" t="s">
        <v>2766</v>
      </c>
      <c r="R162" s="320">
        <v>10094398</v>
      </c>
      <c r="S162" s="321">
        <v>43529</v>
      </c>
      <c r="T162" s="321">
        <v>43531</v>
      </c>
      <c r="U162" s="321">
        <v>43584</v>
      </c>
      <c r="V162" s="319" t="s">
        <v>425</v>
      </c>
      <c r="W162" s="319" t="s">
        <v>2767</v>
      </c>
      <c r="X162" s="319">
        <v>4</v>
      </c>
      <c r="Y162" s="319" t="s">
        <v>173</v>
      </c>
      <c r="Z162" s="319" t="s">
        <v>173</v>
      </c>
      <c r="AA162" s="319" t="s">
        <v>173</v>
      </c>
      <c r="AB162" s="319">
        <v>4</v>
      </c>
      <c r="AC162" s="319" t="s">
        <v>169</v>
      </c>
      <c r="AD162" s="319">
        <v>2</v>
      </c>
      <c r="AE162" s="319" t="s">
        <v>173</v>
      </c>
      <c r="AF162" s="319" t="s">
        <v>427</v>
      </c>
      <c r="AG162" s="319" t="s">
        <v>172</v>
      </c>
      <c r="AH162" s="319" t="s">
        <v>479</v>
      </c>
      <c r="AI162" s="319" t="s">
        <v>190</v>
      </c>
      <c r="AJ162" s="319" t="s">
        <v>479</v>
      </c>
      <c r="AK162" s="319" t="s">
        <v>190</v>
      </c>
      <c r="AL162" s="319" t="s">
        <v>190</v>
      </c>
      <c r="AM162" s="319" t="s">
        <v>190</v>
      </c>
      <c r="AN162" s="319" t="s">
        <v>190</v>
      </c>
      <c r="AO162" s="319" t="s">
        <v>479</v>
      </c>
      <c r="AP162" s="319" t="s">
        <v>191</v>
      </c>
      <c r="AQ162" s="319" t="s">
        <v>191</v>
      </c>
      <c r="AR162" s="319" t="s">
        <v>190</v>
      </c>
      <c r="AS162" s="319" t="s">
        <v>190</v>
      </c>
      <c r="AT162" s="319" t="s">
        <v>190</v>
      </c>
      <c r="AU162" s="319" t="s">
        <v>190</v>
      </c>
      <c r="AV162" s="319" t="s">
        <v>190</v>
      </c>
      <c r="AW162" s="319" t="s">
        <v>190</v>
      </c>
      <c r="AX162" s="319" t="s">
        <v>428</v>
      </c>
      <c r="AY162" s="319" t="s">
        <v>190</v>
      </c>
      <c r="AZ162" s="319" t="s">
        <v>190</v>
      </c>
      <c r="BA162" s="319" t="s">
        <v>190</v>
      </c>
      <c r="BB162" s="319" t="s">
        <v>190</v>
      </c>
      <c r="BC162" s="319" t="s">
        <v>190</v>
      </c>
      <c r="BD162" s="319" t="s">
        <v>190</v>
      </c>
      <c r="BE162" s="319" t="s">
        <v>190</v>
      </c>
      <c r="BF162" s="319" t="s">
        <v>190</v>
      </c>
      <c r="BG162" s="319" t="s">
        <v>428</v>
      </c>
      <c r="BH162" s="319" t="s">
        <v>191</v>
      </c>
      <c r="BI162" s="319" t="s">
        <v>190</v>
      </c>
      <c r="BJ162" s="319" t="s">
        <v>191</v>
      </c>
      <c r="BK162" s="319" t="s">
        <v>191</v>
      </c>
      <c r="BL162" s="319" t="s">
        <v>191</v>
      </c>
      <c r="BM162" s="319" t="s">
        <v>191</v>
      </c>
      <c r="BN162" s="319" t="s">
        <v>191</v>
      </c>
      <c r="BO162" s="319" t="s">
        <v>190</v>
      </c>
      <c r="BP162" s="319" t="s">
        <v>191</v>
      </c>
      <c r="BQ162" s="319" t="s">
        <v>191</v>
      </c>
      <c r="BR162" s="319" t="s">
        <v>191</v>
      </c>
      <c r="BS162" s="319" t="s">
        <v>190</v>
      </c>
      <c r="BT162" s="319" t="s">
        <v>190</v>
      </c>
      <c r="BU162" s="319" t="s">
        <v>190</v>
      </c>
      <c r="BV162" s="319" t="s">
        <v>190</v>
      </c>
      <c r="BW162" s="319" t="s">
        <v>190</v>
      </c>
      <c r="BX162" s="319" t="s">
        <v>190</v>
      </c>
      <c r="BY162" s="319" t="s">
        <v>190</v>
      </c>
      <c r="BZ162" s="319" t="s">
        <v>190</v>
      </c>
      <c r="CA162" s="319" t="s">
        <v>190</v>
      </c>
      <c r="CB162" s="319" t="s">
        <v>190</v>
      </c>
      <c r="CC162" s="319" t="s">
        <v>190</v>
      </c>
      <c r="CD162" s="319" t="s">
        <v>190</v>
      </c>
      <c r="CE162" s="319" t="s">
        <v>190</v>
      </c>
      <c r="CF162" s="319" t="s">
        <v>190</v>
      </c>
      <c r="CG162" s="319" t="s">
        <v>190</v>
      </c>
      <c r="CH162" s="319" t="s">
        <v>190</v>
      </c>
      <c r="CI162" s="319" t="s">
        <v>190</v>
      </c>
      <c r="CJ162" s="319" t="s">
        <v>190</v>
      </c>
      <c r="CK162" s="319" t="s">
        <v>190</v>
      </c>
      <c r="CL162" s="319" t="s">
        <v>190</v>
      </c>
      <c r="CM162" s="319" t="s">
        <v>190</v>
      </c>
      <c r="CN162" s="319" t="s">
        <v>428</v>
      </c>
      <c r="CO162" s="319" t="s">
        <v>428</v>
      </c>
      <c r="CP162" s="319" t="s">
        <v>428</v>
      </c>
      <c r="CQ162" s="319" t="s">
        <v>191</v>
      </c>
      <c r="CR162" s="319" t="s">
        <v>190</v>
      </c>
      <c r="CS162" s="319" t="s">
        <v>191</v>
      </c>
      <c r="CT162" s="319" t="s">
        <v>190</v>
      </c>
      <c r="CU162" s="319" t="s">
        <v>190</v>
      </c>
      <c r="CV162" s="319" t="s">
        <v>190</v>
      </c>
      <c r="CW162" s="319" t="s">
        <v>190</v>
      </c>
      <c r="CX162" s="319" t="s">
        <v>190</v>
      </c>
      <c r="CY162" s="319" t="s">
        <v>190</v>
      </c>
      <c r="CZ162" s="319" t="s">
        <v>190</v>
      </c>
      <c r="DA162" s="319" t="s">
        <v>190</v>
      </c>
      <c r="DB162" s="319" t="s">
        <v>190</v>
      </c>
      <c r="DC162" s="319" t="s">
        <v>190</v>
      </c>
      <c r="DD162" s="319" t="s">
        <v>190</v>
      </c>
      <c r="DE162" s="319" t="s">
        <v>190</v>
      </c>
      <c r="DF162" s="319" t="s">
        <v>190</v>
      </c>
      <c r="DG162" s="319" t="s">
        <v>190</v>
      </c>
      <c r="DH162" s="319" t="s">
        <v>190</v>
      </c>
      <c r="DI162" s="319" t="s">
        <v>190</v>
      </c>
      <c r="DJ162" s="319" t="s">
        <v>190</v>
      </c>
      <c r="DK162" s="319" t="s">
        <v>190</v>
      </c>
      <c r="DL162" s="319" t="s">
        <v>190</v>
      </c>
      <c r="DM162" s="319" t="s">
        <v>190</v>
      </c>
      <c r="DN162" s="319" t="s">
        <v>428</v>
      </c>
      <c r="DO162" s="319" t="s">
        <v>190</v>
      </c>
      <c r="DP162" s="319" t="s">
        <v>190</v>
      </c>
      <c r="DQ162" s="319" t="s">
        <v>190</v>
      </c>
      <c r="DR162" s="319" t="s">
        <v>190</v>
      </c>
      <c r="DS162" s="319" t="s">
        <v>190</v>
      </c>
      <c r="DT162" s="319" t="s">
        <v>190</v>
      </c>
      <c r="DU162" s="319" t="s">
        <v>190</v>
      </c>
      <c r="DV162" s="319" t="s">
        <v>173</v>
      </c>
      <c r="DW162" s="319" t="s">
        <v>190</v>
      </c>
      <c r="DX162" s="319" t="s">
        <v>190</v>
      </c>
      <c r="DY162" s="319" t="s">
        <v>190</v>
      </c>
      <c r="DZ162" s="319" t="s">
        <v>190</v>
      </c>
      <c r="EA162" s="319" t="s">
        <v>190</v>
      </c>
      <c r="EB162" s="319" t="s">
        <v>190</v>
      </c>
      <c r="EC162" s="319" t="s">
        <v>428</v>
      </c>
      <c r="ED162" s="319" t="s">
        <v>190</v>
      </c>
      <c r="EE162" s="319" t="s">
        <v>190</v>
      </c>
      <c r="EF162" s="319" t="s">
        <v>190</v>
      </c>
      <c r="EG162" s="319" t="s">
        <v>190</v>
      </c>
      <c r="EH162" s="319" t="s">
        <v>190</v>
      </c>
      <c r="EI162" s="319" t="s">
        <v>190</v>
      </c>
      <c r="EJ162" s="319" t="s">
        <v>190</v>
      </c>
      <c r="EK162" s="319" t="s">
        <v>190</v>
      </c>
      <c r="EL162" s="319" t="s">
        <v>190</v>
      </c>
      <c r="EM162" s="319" t="s">
        <v>190</v>
      </c>
      <c r="EN162" s="319" t="s">
        <v>190</v>
      </c>
      <c r="EO162" s="319" t="s">
        <v>190</v>
      </c>
      <c r="EP162" s="319" t="s">
        <v>190</v>
      </c>
      <c r="EQ162" s="319" t="s">
        <v>190</v>
      </c>
      <c r="ER162" s="319" t="s">
        <v>190</v>
      </c>
      <c r="ES162" s="319" t="s">
        <v>190</v>
      </c>
      <c r="ET162" s="319" t="s">
        <v>190</v>
      </c>
      <c r="EU162" s="319" t="s">
        <v>190</v>
      </c>
      <c r="EV162" s="319" t="s">
        <v>190</v>
      </c>
      <c r="EW162" s="319" t="s">
        <v>190</v>
      </c>
      <c r="EX162" s="319" t="s">
        <v>190</v>
      </c>
      <c r="EY162" s="319" t="s">
        <v>190</v>
      </c>
      <c r="EZ162" s="319" t="s">
        <v>190</v>
      </c>
      <c r="FA162" s="319" t="s">
        <v>190</v>
      </c>
      <c r="FB162" s="319" t="s">
        <v>190</v>
      </c>
      <c r="FC162" s="319" t="s">
        <v>190</v>
      </c>
      <c r="FD162" s="319" t="s">
        <v>190</v>
      </c>
      <c r="FE162" s="319" t="s">
        <v>190</v>
      </c>
      <c r="FF162" s="319" t="s">
        <v>190</v>
      </c>
      <c r="FG162" s="319" t="s">
        <v>190</v>
      </c>
      <c r="FH162" s="319" t="s">
        <v>190</v>
      </c>
      <c r="FI162" s="319" t="s">
        <v>190</v>
      </c>
      <c r="FJ162" s="319" t="s">
        <v>190</v>
      </c>
      <c r="FK162" s="319" t="s">
        <v>190</v>
      </c>
      <c r="FL162" s="319" t="s">
        <v>190</v>
      </c>
      <c r="FM162" s="319" t="s">
        <v>190</v>
      </c>
      <c r="FN162" s="319" t="s">
        <v>190</v>
      </c>
      <c r="FO162" s="319" t="s">
        <v>190</v>
      </c>
      <c r="FP162" s="319" t="s">
        <v>190</v>
      </c>
      <c r="FQ162" s="319" t="s">
        <v>190</v>
      </c>
      <c r="FR162" s="319" t="s">
        <v>190</v>
      </c>
      <c r="FS162" s="319" t="s">
        <v>428</v>
      </c>
      <c r="FT162" s="319" t="s">
        <v>190</v>
      </c>
      <c r="FU162" s="319" t="s">
        <v>190</v>
      </c>
      <c r="FV162" s="319" t="s">
        <v>190</v>
      </c>
      <c r="FW162" s="319" t="s">
        <v>190</v>
      </c>
      <c r="FX162" s="319" t="s">
        <v>190</v>
      </c>
      <c r="FY162" s="319" t="s">
        <v>190</v>
      </c>
      <c r="FZ162" s="319" t="s">
        <v>190</v>
      </c>
      <c r="GA162" s="319" t="s">
        <v>190</v>
      </c>
      <c r="GB162" s="319" t="s">
        <v>190</v>
      </c>
      <c r="GC162" s="319" t="s">
        <v>190</v>
      </c>
      <c r="GD162" s="319" t="s">
        <v>190</v>
      </c>
      <c r="GE162" s="319" t="s">
        <v>190</v>
      </c>
      <c r="GF162" s="319" t="s">
        <v>190</v>
      </c>
      <c r="GG162" s="319" t="s">
        <v>190</v>
      </c>
      <c r="GH162" s="319" t="s">
        <v>190</v>
      </c>
      <c r="GI162" s="319" t="s">
        <v>190</v>
      </c>
      <c r="GJ162" s="319" t="s">
        <v>190</v>
      </c>
      <c r="GK162" s="319" t="s">
        <v>428</v>
      </c>
      <c r="GL162" s="319" t="s">
        <v>190</v>
      </c>
      <c r="GM162" s="319" t="s">
        <v>190</v>
      </c>
      <c r="GN162" s="319" t="s">
        <v>190</v>
      </c>
      <c r="GO162" s="319" t="s">
        <v>190</v>
      </c>
      <c r="GP162" s="319" t="s">
        <v>190</v>
      </c>
      <c r="GQ162" s="319" t="s">
        <v>190</v>
      </c>
      <c r="GR162" s="319" t="s">
        <v>190</v>
      </c>
      <c r="GS162" s="319" t="s">
        <v>190</v>
      </c>
      <c r="GT162" s="319" t="s">
        <v>190</v>
      </c>
      <c r="GU162" s="319" t="s">
        <v>190</v>
      </c>
      <c r="GV162" s="319" t="s">
        <v>190</v>
      </c>
      <c r="GW162" s="319" t="s">
        <v>190</v>
      </c>
      <c r="GX162" s="319" t="s">
        <v>190</v>
      </c>
      <c r="GY162" s="319" t="s">
        <v>190</v>
      </c>
      <c r="GZ162" s="319" t="s">
        <v>428</v>
      </c>
      <c r="HA162" s="319" t="s">
        <v>190</v>
      </c>
      <c r="HB162" s="319" t="s">
        <v>190</v>
      </c>
      <c r="HC162" s="319" t="s">
        <v>190</v>
      </c>
      <c r="HD162" s="319" t="s">
        <v>190</v>
      </c>
      <c r="HE162" s="319" t="s">
        <v>190</v>
      </c>
      <c r="HF162" s="319" t="s">
        <v>190</v>
      </c>
      <c r="HG162" s="319" t="s">
        <v>190</v>
      </c>
      <c r="HH162" s="319" t="s">
        <v>190</v>
      </c>
      <c r="HI162" s="319" t="s">
        <v>190</v>
      </c>
      <c r="HJ162" s="319" t="s">
        <v>190</v>
      </c>
      <c r="HK162" s="319" t="s">
        <v>190</v>
      </c>
      <c r="HL162" s="319" t="s">
        <v>190</v>
      </c>
      <c r="HM162" s="319" t="s">
        <v>190</v>
      </c>
      <c r="HN162" s="319" t="s">
        <v>190</v>
      </c>
      <c r="HO162" s="319" t="s">
        <v>190</v>
      </c>
      <c r="HP162" s="319" t="s">
        <v>190</v>
      </c>
      <c r="HQ162" s="319" t="s">
        <v>190</v>
      </c>
      <c r="HR162" s="319" t="s">
        <v>190</v>
      </c>
      <c r="HS162" s="319" t="s">
        <v>190</v>
      </c>
      <c r="HT162" s="319" t="s">
        <v>190</v>
      </c>
      <c r="HU162" s="319" t="s">
        <v>190</v>
      </c>
      <c r="HV162" s="319" t="s">
        <v>190</v>
      </c>
      <c r="HW162" s="319" t="s">
        <v>190</v>
      </c>
      <c r="HX162" s="319" t="s">
        <v>190</v>
      </c>
      <c r="HY162" s="319" t="s">
        <v>190</v>
      </c>
      <c r="HZ162" s="319" t="s">
        <v>190</v>
      </c>
      <c r="IA162" s="319" t="s">
        <v>190</v>
      </c>
      <c r="IB162" s="319" t="s">
        <v>190</v>
      </c>
      <c r="IC162" s="319" t="s">
        <v>190</v>
      </c>
      <c r="ID162" s="319" t="s">
        <v>190</v>
      </c>
      <c r="IE162" s="319" t="s">
        <v>190</v>
      </c>
      <c r="IF162" s="319" t="s">
        <v>191</v>
      </c>
      <c r="IG162" s="319" t="s">
        <v>191</v>
      </c>
      <c r="IH162" s="319" t="s">
        <v>191</v>
      </c>
      <c r="II162" s="319" t="s">
        <v>190</v>
      </c>
      <c r="IJ162" s="319" t="s">
        <v>1441</v>
      </c>
      <c r="IK162" s="321">
        <v>39399</v>
      </c>
      <c r="IL162" s="321">
        <v>39400</v>
      </c>
      <c r="IM162" s="321">
        <v>39423</v>
      </c>
      <c r="IN162" s="319">
        <v>3</v>
      </c>
      <c r="IO162" s="319">
        <v>10122738</v>
      </c>
      <c r="IP162" s="319" t="s">
        <v>985</v>
      </c>
      <c r="IQ162" s="321">
        <v>43726</v>
      </c>
      <c r="IR162" s="320" t="s">
        <v>2771</v>
      </c>
      <c r="IS162" s="322">
        <v>43746</v>
      </c>
      <c r="IT162" s="319" t="s">
        <v>165</v>
      </c>
    </row>
    <row r="163" spans="1:254" s="271" customFormat="1" x14ac:dyDescent="0.25">
      <c r="A163" s="318" t="str">
        <f>HYPERLINK("http://www.ofsted.gov.uk/inspection-reports/find-inspection-report/provider/ELS/115418 ","Ofsted School Webpage")</f>
        <v>Ofsted School Webpage</v>
      </c>
      <c r="B163" s="319">
        <v>115418</v>
      </c>
      <c r="C163" s="319">
        <v>8816024</v>
      </c>
      <c r="D163" s="319" t="s">
        <v>1442</v>
      </c>
      <c r="E163" s="319" t="s">
        <v>167</v>
      </c>
      <c r="F163" s="319" t="s">
        <v>81</v>
      </c>
      <c r="G163" s="319" t="s">
        <v>81</v>
      </c>
      <c r="H163" s="319" t="s">
        <v>81</v>
      </c>
      <c r="I163" s="319" t="s">
        <v>78</v>
      </c>
      <c r="J163" s="319" t="s">
        <v>424</v>
      </c>
      <c r="K163" s="319" t="s">
        <v>451</v>
      </c>
      <c r="L163" s="319" t="s">
        <v>451</v>
      </c>
      <c r="M163" s="319" t="s">
        <v>679</v>
      </c>
      <c r="N163" s="319" t="s">
        <v>2942</v>
      </c>
      <c r="O163" s="319" t="s">
        <v>1443</v>
      </c>
      <c r="P163" s="319">
        <v>122</v>
      </c>
      <c r="Q163" s="319" t="s">
        <v>2766</v>
      </c>
      <c r="R163" s="320">
        <v>10093908</v>
      </c>
      <c r="S163" s="321">
        <v>43627</v>
      </c>
      <c r="T163" s="321">
        <v>43629</v>
      </c>
      <c r="U163" s="321">
        <v>43655</v>
      </c>
      <c r="V163" s="319" t="s">
        <v>425</v>
      </c>
      <c r="W163" s="319" t="s">
        <v>2767</v>
      </c>
      <c r="X163" s="319">
        <v>3</v>
      </c>
      <c r="Y163" s="319" t="s">
        <v>173</v>
      </c>
      <c r="Z163" s="319" t="s">
        <v>173</v>
      </c>
      <c r="AA163" s="319" t="s">
        <v>173</v>
      </c>
      <c r="AB163" s="319">
        <v>3</v>
      </c>
      <c r="AC163" s="319" t="s">
        <v>169</v>
      </c>
      <c r="AD163" s="319">
        <v>2</v>
      </c>
      <c r="AE163" s="319" t="s">
        <v>173</v>
      </c>
      <c r="AF163" s="319" t="s">
        <v>427</v>
      </c>
      <c r="AG163" s="319" t="s">
        <v>172</v>
      </c>
      <c r="AH163" s="319" t="s">
        <v>190</v>
      </c>
      <c r="AI163" s="319" t="s">
        <v>190</v>
      </c>
      <c r="AJ163" s="319" t="s">
        <v>190</v>
      </c>
      <c r="AK163" s="319" t="s">
        <v>190</v>
      </c>
      <c r="AL163" s="319" t="s">
        <v>190</v>
      </c>
      <c r="AM163" s="319" t="s">
        <v>190</v>
      </c>
      <c r="AN163" s="319" t="s">
        <v>190</v>
      </c>
      <c r="AO163" s="319" t="s">
        <v>479</v>
      </c>
      <c r="AP163" s="319" t="s">
        <v>190</v>
      </c>
      <c r="AQ163" s="319" t="s">
        <v>190</v>
      </c>
      <c r="AR163" s="319" t="s">
        <v>190</v>
      </c>
      <c r="AS163" s="319" t="s">
        <v>190</v>
      </c>
      <c r="AT163" s="319" t="s">
        <v>190</v>
      </c>
      <c r="AU163" s="319" t="s">
        <v>190</v>
      </c>
      <c r="AV163" s="319" t="s">
        <v>190</v>
      </c>
      <c r="AW163" s="319" t="s">
        <v>190</v>
      </c>
      <c r="AX163" s="319" t="s">
        <v>428</v>
      </c>
      <c r="AY163" s="319" t="s">
        <v>190</v>
      </c>
      <c r="AZ163" s="319" t="s">
        <v>190</v>
      </c>
      <c r="BA163" s="319" t="s">
        <v>190</v>
      </c>
      <c r="BB163" s="319" t="s">
        <v>428</v>
      </c>
      <c r="BC163" s="319" t="s">
        <v>428</v>
      </c>
      <c r="BD163" s="319" t="s">
        <v>428</v>
      </c>
      <c r="BE163" s="319" t="s">
        <v>428</v>
      </c>
      <c r="BF163" s="319" t="s">
        <v>190</v>
      </c>
      <c r="BG163" s="319" t="s">
        <v>190</v>
      </c>
      <c r="BH163" s="319" t="s">
        <v>190</v>
      </c>
      <c r="BI163" s="319" t="s">
        <v>190</v>
      </c>
      <c r="BJ163" s="319" t="s">
        <v>190</v>
      </c>
      <c r="BK163" s="319" t="s">
        <v>190</v>
      </c>
      <c r="BL163" s="319" t="s">
        <v>190</v>
      </c>
      <c r="BM163" s="319" t="s">
        <v>190</v>
      </c>
      <c r="BN163" s="319" t="s">
        <v>190</v>
      </c>
      <c r="BO163" s="319" t="s">
        <v>190</v>
      </c>
      <c r="BP163" s="319" t="s">
        <v>190</v>
      </c>
      <c r="BQ163" s="319" t="s">
        <v>190</v>
      </c>
      <c r="BR163" s="319" t="s">
        <v>190</v>
      </c>
      <c r="BS163" s="319" t="s">
        <v>190</v>
      </c>
      <c r="BT163" s="319" t="s">
        <v>190</v>
      </c>
      <c r="BU163" s="319" t="s">
        <v>190</v>
      </c>
      <c r="BV163" s="319" t="s">
        <v>190</v>
      </c>
      <c r="BW163" s="319" t="s">
        <v>190</v>
      </c>
      <c r="BX163" s="319" t="s">
        <v>190</v>
      </c>
      <c r="BY163" s="319" t="s">
        <v>190</v>
      </c>
      <c r="BZ163" s="319" t="s">
        <v>190</v>
      </c>
      <c r="CA163" s="319" t="s">
        <v>190</v>
      </c>
      <c r="CB163" s="319" t="s">
        <v>190</v>
      </c>
      <c r="CC163" s="319" t="s">
        <v>190</v>
      </c>
      <c r="CD163" s="319" t="s">
        <v>190</v>
      </c>
      <c r="CE163" s="319" t="s">
        <v>190</v>
      </c>
      <c r="CF163" s="319" t="s">
        <v>190</v>
      </c>
      <c r="CG163" s="319" t="s">
        <v>190</v>
      </c>
      <c r="CH163" s="319" t="s">
        <v>190</v>
      </c>
      <c r="CI163" s="319" t="s">
        <v>190</v>
      </c>
      <c r="CJ163" s="319" t="s">
        <v>190</v>
      </c>
      <c r="CK163" s="319" t="s">
        <v>190</v>
      </c>
      <c r="CL163" s="319" t="s">
        <v>190</v>
      </c>
      <c r="CM163" s="319" t="s">
        <v>190</v>
      </c>
      <c r="CN163" s="319" t="s">
        <v>428</v>
      </c>
      <c r="CO163" s="319" t="s">
        <v>428</v>
      </c>
      <c r="CP163" s="319" t="s">
        <v>428</v>
      </c>
      <c r="CQ163" s="319" t="s">
        <v>190</v>
      </c>
      <c r="CR163" s="319" t="s">
        <v>190</v>
      </c>
      <c r="CS163" s="319" t="s">
        <v>190</v>
      </c>
      <c r="CT163" s="319" t="s">
        <v>190</v>
      </c>
      <c r="CU163" s="319" t="s">
        <v>190</v>
      </c>
      <c r="CV163" s="319" t="s">
        <v>190</v>
      </c>
      <c r="CW163" s="319" t="s">
        <v>190</v>
      </c>
      <c r="CX163" s="319" t="s">
        <v>190</v>
      </c>
      <c r="CY163" s="319" t="s">
        <v>190</v>
      </c>
      <c r="CZ163" s="319" t="s">
        <v>190</v>
      </c>
      <c r="DA163" s="319" t="s">
        <v>190</v>
      </c>
      <c r="DB163" s="319" t="s">
        <v>190</v>
      </c>
      <c r="DC163" s="319" t="s">
        <v>190</v>
      </c>
      <c r="DD163" s="319" t="s">
        <v>190</v>
      </c>
      <c r="DE163" s="319" t="s">
        <v>190</v>
      </c>
      <c r="DF163" s="319" t="s">
        <v>190</v>
      </c>
      <c r="DG163" s="319" t="s">
        <v>190</v>
      </c>
      <c r="DH163" s="319" t="s">
        <v>190</v>
      </c>
      <c r="DI163" s="319" t="s">
        <v>190</v>
      </c>
      <c r="DJ163" s="319" t="s">
        <v>190</v>
      </c>
      <c r="DK163" s="319" t="s">
        <v>190</v>
      </c>
      <c r="DL163" s="319" t="s">
        <v>190</v>
      </c>
      <c r="DM163" s="319" t="s">
        <v>190</v>
      </c>
      <c r="DN163" s="319" t="s">
        <v>428</v>
      </c>
      <c r="DO163" s="319" t="s">
        <v>190</v>
      </c>
      <c r="DP163" s="319" t="s">
        <v>428</v>
      </c>
      <c r="DQ163" s="319" t="s">
        <v>428</v>
      </c>
      <c r="DR163" s="319" t="s">
        <v>428</v>
      </c>
      <c r="DS163" s="319" t="s">
        <v>428</v>
      </c>
      <c r="DT163" s="319" t="s">
        <v>428</v>
      </c>
      <c r="DU163" s="319" t="s">
        <v>428</v>
      </c>
      <c r="DV163" s="319" t="s">
        <v>173</v>
      </c>
      <c r="DW163" s="319" t="s">
        <v>428</v>
      </c>
      <c r="DX163" s="319" t="s">
        <v>428</v>
      </c>
      <c r="DY163" s="319" t="s">
        <v>428</v>
      </c>
      <c r="DZ163" s="319" t="s">
        <v>428</v>
      </c>
      <c r="EA163" s="319" t="s">
        <v>428</v>
      </c>
      <c r="EB163" s="319" t="s">
        <v>428</v>
      </c>
      <c r="EC163" s="319" t="s">
        <v>428</v>
      </c>
      <c r="ED163" s="319" t="s">
        <v>428</v>
      </c>
      <c r="EE163" s="319" t="s">
        <v>190</v>
      </c>
      <c r="EF163" s="319" t="s">
        <v>190</v>
      </c>
      <c r="EG163" s="319" t="s">
        <v>190</v>
      </c>
      <c r="EH163" s="319" t="s">
        <v>190</v>
      </c>
      <c r="EI163" s="319" t="s">
        <v>190</v>
      </c>
      <c r="EJ163" s="319" t="s">
        <v>190</v>
      </c>
      <c r="EK163" s="319" t="s">
        <v>190</v>
      </c>
      <c r="EL163" s="319" t="s">
        <v>190</v>
      </c>
      <c r="EM163" s="319" t="s">
        <v>190</v>
      </c>
      <c r="EN163" s="319" t="s">
        <v>190</v>
      </c>
      <c r="EO163" s="319" t="s">
        <v>190</v>
      </c>
      <c r="EP163" s="319" t="s">
        <v>190</v>
      </c>
      <c r="EQ163" s="319" t="s">
        <v>190</v>
      </c>
      <c r="ER163" s="319" t="s">
        <v>190</v>
      </c>
      <c r="ES163" s="319" t="s">
        <v>190</v>
      </c>
      <c r="ET163" s="319" t="s">
        <v>190</v>
      </c>
      <c r="EU163" s="319" t="s">
        <v>190</v>
      </c>
      <c r="EV163" s="319" t="s">
        <v>190</v>
      </c>
      <c r="EW163" s="319" t="s">
        <v>190</v>
      </c>
      <c r="EX163" s="319" t="s">
        <v>190</v>
      </c>
      <c r="EY163" s="319" t="s">
        <v>190</v>
      </c>
      <c r="EZ163" s="319" t="s">
        <v>190</v>
      </c>
      <c r="FA163" s="319" t="s">
        <v>190</v>
      </c>
      <c r="FB163" s="319" t="s">
        <v>428</v>
      </c>
      <c r="FC163" s="319" t="s">
        <v>428</v>
      </c>
      <c r="FD163" s="319" t="s">
        <v>428</v>
      </c>
      <c r="FE163" s="319" t="s">
        <v>428</v>
      </c>
      <c r="FF163" s="319" t="s">
        <v>428</v>
      </c>
      <c r="FG163" s="319" t="s">
        <v>428</v>
      </c>
      <c r="FH163" s="319" t="s">
        <v>190</v>
      </c>
      <c r="FI163" s="319" t="s">
        <v>190</v>
      </c>
      <c r="FJ163" s="319" t="s">
        <v>190</v>
      </c>
      <c r="FK163" s="319" t="s">
        <v>190</v>
      </c>
      <c r="FL163" s="319" t="s">
        <v>190</v>
      </c>
      <c r="FM163" s="319" t="s">
        <v>190</v>
      </c>
      <c r="FN163" s="319" t="s">
        <v>190</v>
      </c>
      <c r="FO163" s="319" t="s">
        <v>428</v>
      </c>
      <c r="FP163" s="319" t="s">
        <v>190</v>
      </c>
      <c r="FQ163" s="319" t="s">
        <v>190</v>
      </c>
      <c r="FR163" s="319" t="s">
        <v>190</v>
      </c>
      <c r="FS163" s="319" t="s">
        <v>428</v>
      </c>
      <c r="FT163" s="319" t="s">
        <v>190</v>
      </c>
      <c r="FU163" s="319" t="s">
        <v>190</v>
      </c>
      <c r="FV163" s="319" t="s">
        <v>190</v>
      </c>
      <c r="FW163" s="319" t="s">
        <v>190</v>
      </c>
      <c r="FX163" s="319" t="s">
        <v>190</v>
      </c>
      <c r="FY163" s="319" t="s">
        <v>190</v>
      </c>
      <c r="FZ163" s="319" t="s">
        <v>190</v>
      </c>
      <c r="GA163" s="319" t="s">
        <v>190</v>
      </c>
      <c r="GB163" s="319" t="s">
        <v>190</v>
      </c>
      <c r="GC163" s="319" t="s">
        <v>190</v>
      </c>
      <c r="GD163" s="319" t="s">
        <v>190</v>
      </c>
      <c r="GE163" s="319" t="s">
        <v>190</v>
      </c>
      <c r="GF163" s="319" t="s">
        <v>190</v>
      </c>
      <c r="GG163" s="319" t="s">
        <v>190</v>
      </c>
      <c r="GH163" s="319" t="s">
        <v>190</v>
      </c>
      <c r="GI163" s="319" t="s">
        <v>190</v>
      </c>
      <c r="GJ163" s="319" t="s">
        <v>190</v>
      </c>
      <c r="GK163" s="319" t="s">
        <v>428</v>
      </c>
      <c r="GL163" s="319" t="s">
        <v>190</v>
      </c>
      <c r="GM163" s="319" t="s">
        <v>190</v>
      </c>
      <c r="GN163" s="319" t="s">
        <v>190</v>
      </c>
      <c r="GO163" s="319" t="s">
        <v>190</v>
      </c>
      <c r="GP163" s="319" t="s">
        <v>190</v>
      </c>
      <c r="GQ163" s="319" t="s">
        <v>428</v>
      </c>
      <c r="GR163" s="319" t="s">
        <v>190</v>
      </c>
      <c r="GS163" s="319" t="s">
        <v>190</v>
      </c>
      <c r="GT163" s="319" t="s">
        <v>428</v>
      </c>
      <c r="GU163" s="319" t="s">
        <v>428</v>
      </c>
      <c r="GV163" s="319" t="s">
        <v>190</v>
      </c>
      <c r="GW163" s="319" t="s">
        <v>190</v>
      </c>
      <c r="GX163" s="319" t="s">
        <v>190</v>
      </c>
      <c r="GY163" s="319" t="s">
        <v>428</v>
      </c>
      <c r="GZ163" s="319" t="s">
        <v>428</v>
      </c>
      <c r="HA163" s="319" t="s">
        <v>190</v>
      </c>
      <c r="HB163" s="319" t="s">
        <v>428</v>
      </c>
      <c r="HC163" s="319" t="s">
        <v>190</v>
      </c>
      <c r="HD163" s="319" t="s">
        <v>190</v>
      </c>
      <c r="HE163" s="319" t="s">
        <v>190</v>
      </c>
      <c r="HF163" s="319" t="s">
        <v>190</v>
      </c>
      <c r="HG163" s="319" t="s">
        <v>190</v>
      </c>
      <c r="HH163" s="319" t="s">
        <v>190</v>
      </c>
      <c r="HI163" s="319" t="s">
        <v>428</v>
      </c>
      <c r="HJ163" s="319" t="s">
        <v>190</v>
      </c>
      <c r="HK163" s="319" t="s">
        <v>190</v>
      </c>
      <c r="HL163" s="319" t="s">
        <v>428</v>
      </c>
      <c r="HM163" s="319" t="s">
        <v>428</v>
      </c>
      <c r="HN163" s="319" t="s">
        <v>428</v>
      </c>
      <c r="HO163" s="319" t="s">
        <v>428</v>
      </c>
      <c r="HP163" s="319" t="s">
        <v>190</v>
      </c>
      <c r="HQ163" s="319" t="s">
        <v>190</v>
      </c>
      <c r="HR163" s="319" t="s">
        <v>190</v>
      </c>
      <c r="HS163" s="319" t="s">
        <v>190</v>
      </c>
      <c r="HT163" s="319" t="s">
        <v>190</v>
      </c>
      <c r="HU163" s="319" t="s">
        <v>190</v>
      </c>
      <c r="HV163" s="319" t="s">
        <v>190</v>
      </c>
      <c r="HW163" s="319" t="s">
        <v>190</v>
      </c>
      <c r="HX163" s="319" t="s">
        <v>190</v>
      </c>
      <c r="HY163" s="319" t="s">
        <v>190</v>
      </c>
      <c r="HZ163" s="319" t="s">
        <v>190</v>
      </c>
      <c r="IA163" s="319" t="s">
        <v>190</v>
      </c>
      <c r="IB163" s="319" t="s">
        <v>190</v>
      </c>
      <c r="IC163" s="319" t="s">
        <v>190</v>
      </c>
      <c r="ID163" s="319" t="s">
        <v>190</v>
      </c>
      <c r="IE163" s="319" t="s">
        <v>190</v>
      </c>
      <c r="IF163" s="319" t="s">
        <v>191</v>
      </c>
      <c r="IG163" s="319" t="s">
        <v>191</v>
      </c>
      <c r="IH163" s="319" t="s">
        <v>191</v>
      </c>
      <c r="II163" s="319" t="s">
        <v>190</v>
      </c>
      <c r="IJ163" s="319">
        <v>10008564</v>
      </c>
      <c r="IK163" s="321">
        <v>42535</v>
      </c>
      <c r="IL163" s="321">
        <v>42537</v>
      </c>
      <c r="IM163" s="321">
        <v>42625</v>
      </c>
      <c r="IN163" s="319">
        <v>2</v>
      </c>
      <c r="IO163" s="319" t="s">
        <v>173</v>
      </c>
      <c r="IP163" s="319" t="s">
        <v>173</v>
      </c>
      <c r="IQ163" s="321" t="s">
        <v>173</v>
      </c>
      <c r="IR163" s="320" t="s">
        <v>173</v>
      </c>
      <c r="IS163" s="322" t="s">
        <v>173</v>
      </c>
      <c r="IT163" s="319" t="s">
        <v>173</v>
      </c>
    </row>
    <row r="164" spans="1:254" s="271" customFormat="1" x14ac:dyDescent="0.25">
      <c r="A164" s="318" t="str">
        <f>HYPERLINK("http://www.ofsted.gov.uk/inspection-reports/find-inspection-report/provider/ELS/115425 ","Ofsted School Webpage")</f>
        <v>Ofsted School Webpage</v>
      </c>
      <c r="B164" s="319">
        <v>115425</v>
      </c>
      <c r="C164" s="319">
        <v>8816031</v>
      </c>
      <c r="D164" s="319" t="s">
        <v>1444</v>
      </c>
      <c r="E164" s="319" t="s">
        <v>168</v>
      </c>
      <c r="F164" s="319" t="s">
        <v>81</v>
      </c>
      <c r="G164" s="319" t="s">
        <v>81</v>
      </c>
      <c r="H164" s="319" t="s">
        <v>81</v>
      </c>
      <c r="I164" s="319" t="s">
        <v>78</v>
      </c>
      <c r="J164" s="319" t="s">
        <v>424</v>
      </c>
      <c r="K164" s="319" t="s">
        <v>451</v>
      </c>
      <c r="L164" s="319" t="s">
        <v>451</v>
      </c>
      <c r="M164" s="319" t="s">
        <v>679</v>
      </c>
      <c r="N164" s="319" t="s">
        <v>2943</v>
      </c>
      <c r="O164" s="319" t="s">
        <v>1445</v>
      </c>
      <c r="P164" s="319">
        <v>38</v>
      </c>
      <c r="Q164" s="319" t="s">
        <v>429</v>
      </c>
      <c r="R164" s="320">
        <v>10093909</v>
      </c>
      <c r="S164" s="321">
        <v>43641</v>
      </c>
      <c r="T164" s="321">
        <v>43643</v>
      </c>
      <c r="U164" s="321">
        <v>43669</v>
      </c>
      <c r="V164" s="319" t="s">
        <v>425</v>
      </c>
      <c r="W164" s="319" t="s">
        <v>2767</v>
      </c>
      <c r="X164" s="319">
        <v>2</v>
      </c>
      <c r="Y164" s="319" t="s">
        <v>173</v>
      </c>
      <c r="Z164" s="319" t="s">
        <v>173</v>
      </c>
      <c r="AA164" s="319" t="s">
        <v>173</v>
      </c>
      <c r="AB164" s="319">
        <v>2</v>
      </c>
      <c r="AC164" s="319" t="s">
        <v>169</v>
      </c>
      <c r="AD164" s="319" t="s">
        <v>173</v>
      </c>
      <c r="AE164" s="319" t="s">
        <v>173</v>
      </c>
      <c r="AF164" s="319" t="s">
        <v>427</v>
      </c>
      <c r="AG164" s="319" t="s">
        <v>171</v>
      </c>
      <c r="AH164" s="319" t="s">
        <v>190</v>
      </c>
      <c r="AI164" s="319" t="s">
        <v>190</v>
      </c>
      <c r="AJ164" s="319" t="s">
        <v>190</v>
      </c>
      <c r="AK164" s="319" t="s">
        <v>190</v>
      </c>
      <c r="AL164" s="319" t="s">
        <v>190</v>
      </c>
      <c r="AM164" s="319" t="s">
        <v>190</v>
      </c>
      <c r="AN164" s="319" t="s">
        <v>190</v>
      </c>
      <c r="AO164" s="319" t="s">
        <v>190</v>
      </c>
      <c r="AP164" s="319" t="s">
        <v>190</v>
      </c>
      <c r="AQ164" s="319" t="s">
        <v>190</v>
      </c>
      <c r="AR164" s="319" t="s">
        <v>190</v>
      </c>
      <c r="AS164" s="319" t="s">
        <v>190</v>
      </c>
      <c r="AT164" s="319" t="s">
        <v>190</v>
      </c>
      <c r="AU164" s="319" t="s">
        <v>190</v>
      </c>
      <c r="AV164" s="319" t="s">
        <v>190</v>
      </c>
      <c r="AW164" s="319" t="s">
        <v>190</v>
      </c>
      <c r="AX164" s="319" t="s">
        <v>428</v>
      </c>
      <c r="AY164" s="319" t="s">
        <v>190</v>
      </c>
      <c r="AZ164" s="319" t="s">
        <v>190</v>
      </c>
      <c r="BA164" s="319" t="s">
        <v>190</v>
      </c>
      <c r="BB164" s="319" t="s">
        <v>428</v>
      </c>
      <c r="BC164" s="319" t="s">
        <v>428</v>
      </c>
      <c r="BD164" s="319" t="s">
        <v>428</v>
      </c>
      <c r="BE164" s="319" t="s">
        <v>428</v>
      </c>
      <c r="BF164" s="319" t="s">
        <v>428</v>
      </c>
      <c r="BG164" s="319" t="s">
        <v>428</v>
      </c>
      <c r="BH164" s="319" t="s">
        <v>190</v>
      </c>
      <c r="BI164" s="319" t="s">
        <v>190</v>
      </c>
      <c r="BJ164" s="319" t="s">
        <v>190</v>
      </c>
      <c r="BK164" s="319" t="s">
        <v>190</v>
      </c>
      <c r="BL164" s="319" t="s">
        <v>190</v>
      </c>
      <c r="BM164" s="319" t="s">
        <v>190</v>
      </c>
      <c r="BN164" s="319" t="s">
        <v>190</v>
      </c>
      <c r="BO164" s="319" t="s">
        <v>190</v>
      </c>
      <c r="BP164" s="319" t="s">
        <v>190</v>
      </c>
      <c r="BQ164" s="319" t="s">
        <v>190</v>
      </c>
      <c r="BR164" s="319" t="s">
        <v>190</v>
      </c>
      <c r="BS164" s="319" t="s">
        <v>190</v>
      </c>
      <c r="BT164" s="319" t="s">
        <v>190</v>
      </c>
      <c r="BU164" s="319" t="s">
        <v>190</v>
      </c>
      <c r="BV164" s="319" t="s">
        <v>190</v>
      </c>
      <c r="BW164" s="319" t="s">
        <v>190</v>
      </c>
      <c r="BX164" s="319" t="s">
        <v>190</v>
      </c>
      <c r="BY164" s="319" t="s">
        <v>190</v>
      </c>
      <c r="BZ164" s="319" t="s">
        <v>190</v>
      </c>
      <c r="CA164" s="319" t="s">
        <v>190</v>
      </c>
      <c r="CB164" s="319" t="s">
        <v>190</v>
      </c>
      <c r="CC164" s="319" t="s">
        <v>190</v>
      </c>
      <c r="CD164" s="319" t="s">
        <v>190</v>
      </c>
      <c r="CE164" s="319" t="s">
        <v>190</v>
      </c>
      <c r="CF164" s="319" t="s">
        <v>190</v>
      </c>
      <c r="CG164" s="319" t="s">
        <v>190</v>
      </c>
      <c r="CH164" s="319" t="s">
        <v>190</v>
      </c>
      <c r="CI164" s="319" t="s">
        <v>190</v>
      </c>
      <c r="CJ164" s="319" t="s">
        <v>190</v>
      </c>
      <c r="CK164" s="319" t="s">
        <v>190</v>
      </c>
      <c r="CL164" s="319" t="s">
        <v>190</v>
      </c>
      <c r="CM164" s="319" t="s">
        <v>190</v>
      </c>
      <c r="CN164" s="319" t="s">
        <v>428</v>
      </c>
      <c r="CO164" s="319" t="s">
        <v>428</v>
      </c>
      <c r="CP164" s="319" t="s">
        <v>428</v>
      </c>
      <c r="CQ164" s="319" t="s">
        <v>190</v>
      </c>
      <c r="CR164" s="319" t="s">
        <v>190</v>
      </c>
      <c r="CS164" s="319" t="s">
        <v>190</v>
      </c>
      <c r="CT164" s="319" t="s">
        <v>190</v>
      </c>
      <c r="CU164" s="319" t="s">
        <v>190</v>
      </c>
      <c r="CV164" s="319" t="s">
        <v>190</v>
      </c>
      <c r="CW164" s="319" t="s">
        <v>190</v>
      </c>
      <c r="CX164" s="319" t="s">
        <v>190</v>
      </c>
      <c r="CY164" s="319" t="s">
        <v>190</v>
      </c>
      <c r="CZ164" s="319" t="s">
        <v>190</v>
      </c>
      <c r="DA164" s="319" t="s">
        <v>190</v>
      </c>
      <c r="DB164" s="319" t="s">
        <v>190</v>
      </c>
      <c r="DC164" s="319" t="s">
        <v>190</v>
      </c>
      <c r="DD164" s="319" t="s">
        <v>190</v>
      </c>
      <c r="DE164" s="319" t="s">
        <v>190</v>
      </c>
      <c r="DF164" s="319" t="s">
        <v>190</v>
      </c>
      <c r="DG164" s="319" t="s">
        <v>190</v>
      </c>
      <c r="DH164" s="319" t="s">
        <v>190</v>
      </c>
      <c r="DI164" s="319" t="s">
        <v>190</v>
      </c>
      <c r="DJ164" s="319" t="s">
        <v>190</v>
      </c>
      <c r="DK164" s="319" t="s">
        <v>190</v>
      </c>
      <c r="DL164" s="319" t="s">
        <v>190</v>
      </c>
      <c r="DM164" s="319" t="s">
        <v>190</v>
      </c>
      <c r="DN164" s="319" t="s">
        <v>428</v>
      </c>
      <c r="DO164" s="319" t="s">
        <v>190</v>
      </c>
      <c r="DP164" s="319" t="s">
        <v>190</v>
      </c>
      <c r="DQ164" s="319" t="s">
        <v>190</v>
      </c>
      <c r="DR164" s="319" t="s">
        <v>190</v>
      </c>
      <c r="DS164" s="319" t="s">
        <v>190</v>
      </c>
      <c r="DT164" s="319" t="s">
        <v>190</v>
      </c>
      <c r="DU164" s="319" t="s">
        <v>190</v>
      </c>
      <c r="DV164" s="319" t="s">
        <v>173</v>
      </c>
      <c r="DW164" s="319" t="s">
        <v>190</v>
      </c>
      <c r="DX164" s="319" t="s">
        <v>190</v>
      </c>
      <c r="DY164" s="319" t="s">
        <v>190</v>
      </c>
      <c r="DZ164" s="319" t="s">
        <v>190</v>
      </c>
      <c r="EA164" s="319" t="s">
        <v>190</v>
      </c>
      <c r="EB164" s="319" t="s">
        <v>190</v>
      </c>
      <c r="EC164" s="319" t="s">
        <v>428</v>
      </c>
      <c r="ED164" s="319" t="s">
        <v>190</v>
      </c>
      <c r="EE164" s="319" t="s">
        <v>190</v>
      </c>
      <c r="EF164" s="319" t="s">
        <v>190</v>
      </c>
      <c r="EG164" s="319" t="s">
        <v>190</v>
      </c>
      <c r="EH164" s="319" t="s">
        <v>190</v>
      </c>
      <c r="EI164" s="319" t="s">
        <v>190</v>
      </c>
      <c r="EJ164" s="319" t="s">
        <v>190</v>
      </c>
      <c r="EK164" s="319" t="s">
        <v>190</v>
      </c>
      <c r="EL164" s="319" t="s">
        <v>190</v>
      </c>
      <c r="EM164" s="319" t="s">
        <v>190</v>
      </c>
      <c r="EN164" s="319" t="s">
        <v>190</v>
      </c>
      <c r="EO164" s="319" t="s">
        <v>190</v>
      </c>
      <c r="EP164" s="319" t="s">
        <v>190</v>
      </c>
      <c r="EQ164" s="319" t="s">
        <v>190</v>
      </c>
      <c r="ER164" s="319" t="s">
        <v>190</v>
      </c>
      <c r="ES164" s="319" t="s">
        <v>190</v>
      </c>
      <c r="ET164" s="319" t="s">
        <v>190</v>
      </c>
      <c r="EU164" s="319" t="s">
        <v>190</v>
      </c>
      <c r="EV164" s="319" t="s">
        <v>190</v>
      </c>
      <c r="EW164" s="319" t="s">
        <v>190</v>
      </c>
      <c r="EX164" s="319" t="s">
        <v>190</v>
      </c>
      <c r="EY164" s="319" t="s">
        <v>190</v>
      </c>
      <c r="EZ164" s="319" t="s">
        <v>190</v>
      </c>
      <c r="FA164" s="319" t="s">
        <v>190</v>
      </c>
      <c r="FB164" s="319" t="s">
        <v>428</v>
      </c>
      <c r="FC164" s="319" t="s">
        <v>428</v>
      </c>
      <c r="FD164" s="319" t="s">
        <v>428</v>
      </c>
      <c r="FE164" s="319" t="s">
        <v>428</v>
      </c>
      <c r="FF164" s="319" t="s">
        <v>428</v>
      </c>
      <c r="FG164" s="319" t="s">
        <v>190</v>
      </c>
      <c r="FH164" s="319" t="s">
        <v>190</v>
      </c>
      <c r="FI164" s="319" t="s">
        <v>190</v>
      </c>
      <c r="FJ164" s="319" t="s">
        <v>190</v>
      </c>
      <c r="FK164" s="319" t="s">
        <v>190</v>
      </c>
      <c r="FL164" s="319" t="s">
        <v>190</v>
      </c>
      <c r="FM164" s="319" t="s">
        <v>190</v>
      </c>
      <c r="FN164" s="319" t="s">
        <v>190</v>
      </c>
      <c r="FO164" s="319" t="s">
        <v>190</v>
      </c>
      <c r="FP164" s="319" t="s">
        <v>190</v>
      </c>
      <c r="FQ164" s="319" t="s">
        <v>190</v>
      </c>
      <c r="FR164" s="319" t="s">
        <v>190</v>
      </c>
      <c r="FS164" s="319" t="s">
        <v>190</v>
      </c>
      <c r="FT164" s="319" t="s">
        <v>190</v>
      </c>
      <c r="FU164" s="319" t="s">
        <v>428</v>
      </c>
      <c r="FV164" s="319" t="s">
        <v>190</v>
      </c>
      <c r="FW164" s="319" t="s">
        <v>190</v>
      </c>
      <c r="FX164" s="319" t="s">
        <v>190</v>
      </c>
      <c r="FY164" s="319" t="s">
        <v>190</v>
      </c>
      <c r="FZ164" s="319" t="s">
        <v>190</v>
      </c>
      <c r="GA164" s="319" t="s">
        <v>190</v>
      </c>
      <c r="GB164" s="319" t="s">
        <v>190</v>
      </c>
      <c r="GC164" s="319" t="s">
        <v>190</v>
      </c>
      <c r="GD164" s="319" t="s">
        <v>190</v>
      </c>
      <c r="GE164" s="319" t="s">
        <v>190</v>
      </c>
      <c r="GF164" s="319" t="s">
        <v>190</v>
      </c>
      <c r="GG164" s="319" t="s">
        <v>190</v>
      </c>
      <c r="GH164" s="319" t="s">
        <v>190</v>
      </c>
      <c r="GI164" s="319" t="s">
        <v>190</v>
      </c>
      <c r="GJ164" s="319" t="s">
        <v>190</v>
      </c>
      <c r="GK164" s="319" t="s">
        <v>428</v>
      </c>
      <c r="GL164" s="319" t="s">
        <v>190</v>
      </c>
      <c r="GM164" s="319" t="s">
        <v>190</v>
      </c>
      <c r="GN164" s="319" t="s">
        <v>190</v>
      </c>
      <c r="GO164" s="319" t="s">
        <v>190</v>
      </c>
      <c r="GP164" s="319" t="s">
        <v>190</v>
      </c>
      <c r="GQ164" s="319" t="s">
        <v>190</v>
      </c>
      <c r="GR164" s="319" t="s">
        <v>190</v>
      </c>
      <c r="GS164" s="319" t="s">
        <v>190</v>
      </c>
      <c r="GT164" s="319" t="s">
        <v>190</v>
      </c>
      <c r="GU164" s="319" t="s">
        <v>190</v>
      </c>
      <c r="GV164" s="319" t="s">
        <v>190</v>
      </c>
      <c r="GW164" s="319" t="s">
        <v>190</v>
      </c>
      <c r="GX164" s="319" t="s">
        <v>190</v>
      </c>
      <c r="GY164" s="319" t="s">
        <v>190</v>
      </c>
      <c r="GZ164" s="319" t="s">
        <v>428</v>
      </c>
      <c r="HA164" s="319" t="s">
        <v>190</v>
      </c>
      <c r="HB164" s="319" t="s">
        <v>190</v>
      </c>
      <c r="HC164" s="319" t="s">
        <v>190</v>
      </c>
      <c r="HD164" s="319" t="s">
        <v>190</v>
      </c>
      <c r="HE164" s="319" t="s">
        <v>190</v>
      </c>
      <c r="HF164" s="319" t="s">
        <v>190</v>
      </c>
      <c r="HG164" s="319" t="s">
        <v>190</v>
      </c>
      <c r="HH164" s="319" t="s">
        <v>190</v>
      </c>
      <c r="HI164" s="319" t="s">
        <v>428</v>
      </c>
      <c r="HJ164" s="319" t="s">
        <v>190</v>
      </c>
      <c r="HK164" s="319" t="s">
        <v>190</v>
      </c>
      <c r="HL164" s="319" t="s">
        <v>190</v>
      </c>
      <c r="HM164" s="319" t="s">
        <v>428</v>
      </c>
      <c r="HN164" s="319" t="s">
        <v>428</v>
      </c>
      <c r="HO164" s="319" t="s">
        <v>428</v>
      </c>
      <c r="HP164" s="319" t="s">
        <v>190</v>
      </c>
      <c r="HQ164" s="319" t="s">
        <v>190</v>
      </c>
      <c r="HR164" s="319" t="s">
        <v>190</v>
      </c>
      <c r="HS164" s="319" t="s">
        <v>190</v>
      </c>
      <c r="HT164" s="319" t="s">
        <v>190</v>
      </c>
      <c r="HU164" s="319" t="s">
        <v>190</v>
      </c>
      <c r="HV164" s="319" t="s">
        <v>190</v>
      </c>
      <c r="HW164" s="319" t="s">
        <v>190</v>
      </c>
      <c r="HX164" s="319" t="s">
        <v>190</v>
      </c>
      <c r="HY164" s="319" t="s">
        <v>190</v>
      </c>
      <c r="HZ164" s="319" t="s">
        <v>190</v>
      </c>
      <c r="IA164" s="319" t="s">
        <v>190</v>
      </c>
      <c r="IB164" s="319" t="s">
        <v>190</v>
      </c>
      <c r="IC164" s="319" t="s">
        <v>190</v>
      </c>
      <c r="ID164" s="319" t="s">
        <v>190</v>
      </c>
      <c r="IE164" s="319" t="s">
        <v>190</v>
      </c>
      <c r="IF164" s="319" t="s">
        <v>190</v>
      </c>
      <c r="IG164" s="319" t="s">
        <v>190</v>
      </c>
      <c r="IH164" s="319" t="s">
        <v>190</v>
      </c>
      <c r="II164" s="319" t="s">
        <v>190</v>
      </c>
      <c r="IJ164" s="319">
        <v>10006009</v>
      </c>
      <c r="IK164" s="321">
        <v>42543</v>
      </c>
      <c r="IL164" s="321">
        <v>42545</v>
      </c>
      <c r="IM164" s="321">
        <v>42570</v>
      </c>
      <c r="IN164" s="319">
        <v>2</v>
      </c>
      <c r="IO164" s="319" t="s">
        <v>173</v>
      </c>
      <c r="IP164" s="319" t="s">
        <v>173</v>
      </c>
      <c r="IQ164" s="321" t="s">
        <v>173</v>
      </c>
      <c r="IR164" s="320" t="s">
        <v>173</v>
      </c>
      <c r="IS164" s="322" t="s">
        <v>173</v>
      </c>
      <c r="IT164" s="319" t="s">
        <v>173</v>
      </c>
    </row>
    <row r="165" spans="1:254" s="271" customFormat="1" x14ac:dyDescent="0.25">
      <c r="A165" s="318" t="str">
        <f>HYPERLINK("http://www.ofsted.gov.uk/inspection-reports/find-inspection-report/provider/ELS/115426 ","Ofsted School Webpage")</f>
        <v>Ofsted School Webpage</v>
      </c>
      <c r="B165" s="319">
        <v>115426</v>
      </c>
      <c r="C165" s="319">
        <v>8816032</v>
      </c>
      <c r="D165" s="319" t="s">
        <v>1446</v>
      </c>
      <c r="E165" s="319" t="s">
        <v>168</v>
      </c>
      <c r="F165" s="319" t="s">
        <v>81</v>
      </c>
      <c r="G165" s="319" t="s">
        <v>81</v>
      </c>
      <c r="H165" s="319" t="s">
        <v>81</v>
      </c>
      <c r="I165" s="319" t="s">
        <v>78</v>
      </c>
      <c r="J165" s="319" t="s">
        <v>424</v>
      </c>
      <c r="K165" s="319" t="s">
        <v>451</v>
      </c>
      <c r="L165" s="319" t="s">
        <v>451</v>
      </c>
      <c r="M165" s="319" t="s">
        <v>679</v>
      </c>
      <c r="N165" s="319" t="s">
        <v>2944</v>
      </c>
      <c r="O165" s="319" t="s">
        <v>1447</v>
      </c>
      <c r="P165" s="319">
        <v>48</v>
      </c>
      <c r="Q165" s="319" t="s">
        <v>2776</v>
      </c>
      <c r="R165" s="320">
        <v>10056555</v>
      </c>
      <c r="S165" s="321">
        <v>43508</v>
      </c>
      <c r="T165" s="321">
        <v>43510</v>
      </c>
      <c r="U165" s="321">
        <v>43558</v>
      </c>
      <c r="V165" s="319" t="s">
        <v>425</v>
      </c>
      <c r="W165" s="319" t="s">
        <v>2767</v>
      </c>
      <c r="X165" s="319">
        <v>4</v>
      </c>
      <c r="Y165" s="319" t="s">
        <v>173</v>
      </c>
      <c r="Z165" s="319" t="s">
        <v>173</v>
      </c>
      <c r="AA165" s="319" t="s">
        <v>173</v>
      </c>
      <c r="AB165" s="319">
        <v>4</v>
      </c>
      <c r="AC165" s="319" t="s">
        <v>169</v>
      </c>
      <c r="AD165" s="319" t="s">
        <v>173</v>
      </c>
      <c r="AE165" s="319">
        <v>3</v>
      </c>
      <c r="AF165" s="319" t="s">
        <v>427</v>
      </c>
      <c r="AG165" s="319" t="s">
        <v>172</v>
      </c>
      <c r="AH165" s="319" t="s">
        <v>479</v>
      </c>
      <c r="AI165" s="319" t="s">
        <v>190</v>
      </c>
      <c r="AJ165" s="319" t="s">
        <v>479</v>
      </c>
      <c r="AK165" s="319" t="s">
        <v>190</v>
      </c>
      <c r="AL165" s="319" t="s">
        <v>479</v>
      </c>
      <c r="AM165" s="319" t="s">
        <v>479</v>
      </c>
      <c r="AN165" s="319" t="s">
        <v>190</v>
      </c>
      <c r="AO165" s="319" t="s">
        <v>479</v>
      </c>
      <c r="AP165" s="319" t="s">
        <v>190</v>
      </c>
      <c r="AQ165" s="319" t="s">
        <v>190</v>
      </c>
      <c r="AR165" s="319" t="s">
        <v>190</v>
      </c>
      <c r="AS165" s="319" t="s">
        <v>190</v>
      </c>
      <c r="AT165" s="319" t="s">
        <v>190</v>
      </c>
      <c r="AU165" s="319" t="s">
        <v>190</v>
      </c>
      <c r="AV165" s="319" t="s">
        <v>190</v>
      </c>
      <c r="AW165" s="319" t="s">
        <v>190</v>
      </c>
      <c r="AX165" s="319" t="s">
        <v>428</v>
      </c>
      <c r="AY165" s="319" t="s">
        <v>190</v>
      </c>
      <c r="AZ165" s="319" t="s">
        <v>190</v>
      </c>
      <c r="BA165" s="319" t="s">
        <v>190</v>
      </c>
      <c r="BB165" s="319" t="s">
        <v>190</v>
      </c>
      <c r="BC165" s="319" t="s">
        <v>190</v>
      </c>
      <c r="BD165" s="319" t="s">
        <v>190</v>
      </c>
      <c r="BE165" s="319" t="s">
        <v>190</v>
      </c>
      <c r="BF165" s="319" t="s">
        <v>428</v>
      </c>
      <c r="BG165" s="319" t="s">
        <v>190</v>
      </c>
      <c r="BH165" s="319" t="s">
        <v>190</v>
      </c>
      <c r="BI165" s="319" t="s">
        <v>190</v>
      </c>
      <c r="BJ165" s="319" t="s">
        <v>191</v>
      </c>
      <c r="BK165" s="319" t="s">
        <v>191</v>
      </c>
      <c r="BL165" s="319" t="s">
        <v>191</v>
      </c>
      <c r="BM165" s="319" t="s">
        <v>191</v>
      </c>
      <c r="BN165" s="319" t="s">
        <v>191</v>
      </c>
      <c r="BO165" s="319" t="s">
        <v>191</v>
      </c>
      <c r="BP165" s="319" t="s">
        <v>191</v>
      </c>
      <c r="BQ165" s="319" t="s">
        <v>191</v>
      </c>
      <c r="BR165" s="319" t="s">
        <v>191</v>
      </c>
      <c r="BS165" s="319" t="s">
        <v>190</v>
      </c>
      <c r="BT165" s="319" t="s">
        <v>190</v>
      </c>
      <c r="BU165" s="319" t="s">
        <v>190</v>
      </c>
      <c r="BV165" s="319" t="s">
        <v>190</v>
      </c>
      <c r="BW165" s="319" t="s">
        <v>190</v>
      </c>
      <c r="BX165" s="319" t="s">
        <v>190</v>
      </c>
      <c r="BY165" s="319" t="s">
        <v>190</v>
      </c>
      <c r="BZ165" s="319" t="s">
        <v>190</v>
      </c>
      <c r="CA165" s="319" t="s">
        <v>190</v>
      </c>
      <c r="CB165" s="319" t="s">
        <v>190</v>
      </c>
      <c r="CC165" s="319" t="s">
        <v>190</v>
      </c>
      <c r="CD165" s="319" t="s">
        <v>190</v>
      </c>
      <c r="CE165" s="319" t="s">
        <v>190</v>
      </c>
      <c r="CF165" s="319" t="s">
        <v>190</v>
      </c>
      <c r="CG165" s="319" t="s">
        <v>190</v>
      </c>
      <c r="CH165" s="319" t="s">
        <v>190</v>
      </c>
      <c r="CI165" s="319" t="s">
        <v>190</v>
      </c>
      <c r="CJ165" s="319" t="s">
        <v>190</v>
      </c>
      <c r="CK165" s="319" t="s">
        <v>190</v>
      </c>
      <c r="CL165" s="319" t="s">
        <v>190</v>
      </c>
      <c r="CM165" s="319" t="s">
        <v>190</v>
      </c>
      <c r="CN165" s="319" t="s">
        <v>584</v>
      </c>
      <c r="CO165" s="319" t="s">
        <v>584</v>
      </c>
      <c r="CP165" s="319" t="s">
        <v>584</v>
      </c>
      <c r="CQ165" s="319" t="s">
        <v>191</v>
      </c>
      <c r="CR165" s="319" t="s">
        <v>190</v>
      </c>
      <c r="CS165" s="319" t="s">
        <v>191</v>
      </c>
      <c r="CT165" s="319" t="s">
        <v>190</v>
      </c>
      <c r="CU165" s="319" t="s">
        <v>190</v>
      </c>
      <c r="CV165" s="319" t="s">
        <v>190</v>
      </c>
      <c r="CW165" s="319" t="s">
        <v>190</v>
      </c>
      <c r="CX165" s="319" t="s">
        <v>190</v>
      </c>
      <c r="CY165" s="319" t="s">
        <v>190</v>
      </c>
      <c r="CZ165" s="319" t="s">
        <v>190</v>
      </c>
      <c r="DA165" s="319" t="s">
        <v>191</v>
      </c>
      <c r="DB165" s="319" t="s">
        <v>191</v>
      </c>
      <c r="DC165" s="319" t="s">
        <v>191</v>
      </c>
      <c r="DD165" s="319" t="s">
        <v>190</v>
      </c>
      <c r="DE165" s="319" t="s">
        <v>190</v>
      </c>
      <c r="DF165" s="319" t="s">
        <v>190</v>
      </c>
      <c r="DG165" s="319" t="s">
        <v>190</v>
      </c>
      <c r="DH165" s="319" t="s">
        <v>190</v>
      </c>
      <c r="DI165" s="319" t="s">
        <v>190</v>
      </c>
      <c r="DJ165" s="319" t="s">
        <v>190</v>
      </c>
      <c r="DK165" s="319" t="s">
        <v>190</v>
      </c>
      <c r="DL165" s="319" t="s">
        <v>190</v>
      </c>
      <c r="DM165" s="319" t="s">
        <v>190</v>
      </c>
      <c r="DN165" s="319" t="s">
        <v>584</v>
      </c>
      <c r="DO165" s="319" t="s">
        <v>190</v>
      </c>
      <c r="DP165" s="319" t="s">
        <v>190</v>
      </c>
      <c r="DQ165" s="319" t="s">
        <v>190</v>
      </c>
      <c r="DR165" s="319" t="s">
        <v>190</v>
      </c>
      <c r="DS165" s="319" t="s">
        <v>190</v>
      </c>
      <c r="DT165" s="319" t="s">
        <v>190</v>
      </c>
      <c r="DU165" s="319" t="s">
        <v>190</v>
      </c>
      <c r="DV165" s="319" t="s">
        <v>173</v>
      </c>
      <c r="DW165" s="319" t="s">
        <v>190</v>
      </c>
      <c r="DX165" s="319" t="s">
        <v>190</v>
      </c>
      <c r="DY165" s="319" t="s">
        <v>190</v>
      </c>
      <c r="DZ165" s="319" t="s">
        <v>190</v>
      </c>
      <c r="EA165" s="319" t="s">
        <v>190</v>
      </c>
      <c r="EB165" s="319" t="s">
        <v>190</v>
      </c>
      <c r="EC165" s="319" t="s">
        <v>584</v>
      </c>
      <c r="ED165" s="319" t="s">
        <v>190</v>
      </c>
      <c r="EE165" s="319" t="s">
        <v>190</v>
      </c>
      <c r="EF165" s="319" t="s">
        <v>190</v>
      </c>
      <c r="EG165" s="319" t="s">
        <v>190</v>
      </c>
      <c r="EH165" s="319" t="s">
        <v>190</v>
      </c>
      <c r="EI165" s="319" t="s">
        <v>190</v>
      </c>
      <c r="EJ165" s="319" t="s">
        <v>190</v>
      </c>
      <c r="EK165" s="319" t="s">
        <v>190</v>
      </c>
      <c r="EL165" s="319" t="s">
        <v>190</v>
      </c>
      <c r="EM165" s="319" t="s">
        <v>190</v>
      </c>
      <c r="EN165" s="319" t="s">
        <v>190</v>
      </c>
      <c r="EO165" s="319" t="s">
        <v>190</v>
      </c>
      <c r="EP165" s="319" t="s">
        <v>190</v>
      </c>
      <c r="EQ165" s="319" t="s">
        <v>190</v>
      </c>
      <c r="ER165" s="319" t="s">
        <v>190</v>
      </c>
      <c r="ES165" s="319" t="s">
        <v>190</v>
      </c>
      <c r="ET165" s="319" t="s">
        <v>190</v>
      </c>
      <c r="EU165" s="319" t="s">
        <v>190</v>
      </c>
      <c r="EV165" s="319" t="s">
        <v>190</v>
      </c>
      <c r="EW165" s="319" t="s">
        <v>190</v>
      </c>
      <c r="EX165" s="319" t="s">
        <v>190</v>
      </c>
      <c r="EY165" s="319" t="s">
        <v>190</v>
      </c>
      <c r="EZ165" s="319" t="s">
        <v>190</v>
      </c>
      <c r="FA165" s="319" t="s">
        <v>190</v>
      </c>
      <c r="FB165" s="319" t="s">
        <v>190</v>
      </c>
      <c r="FC165" s="319" t="s">
        <v>190</v>
      </c>
      <c r="FD165" s="319" t="s">
        <v>190</v>
      </c>
      <c r="FE165" s="319" t="s">
        <v>190</v>
      </c>
      <c r="FF165" s="319" t="s">
        <v>190</v>
      </c>
      <c r="FG165" s="319" t="s">
        <v>190</v>
      </c>
      <c r="FH165" s="319" t="s">
        <v>190</v>
      </c>
      <c r="FI165" s="319" t="s">
        <v>190</v>
      </c>
      <c r="FJ165" s="319" t="s">
        <v>190</v>
      </c>
      <c r="FK165" s="319" t="s">
        <v>190</v>
      </c>
      <c r="FL165" s="319" t="s">
        <v>190</v>
      </c>
      <c r="FM165" s="319" t="s">
        <v>190</v>
      </c>
      <c r="FN165" s="319" t="s">
        <v>190</v>
      </c>
      <c r="FO165" s="319" t="s">
        <v>190</v>
      </c>
      <c r="FP165" s="319" t="s">
        <v>190</v>
      </c>
      <c r="FQ165" s="319" t="s">
        <v>190</v>
      </c>
      <c r="FR165" s="319" t="s">
        <v>190</v>
      </c>
      <c r="FS165" s="319" t="s">
        <v>428</v>
      </c>
      <c r="FT165" s="319" t="s">
        <v>190</v>
      </c>
      <c r="FU165" s="319" t="s">
        <v>191</v>
      </c>
      <c r="FV165" s="319" t="s">
        <v>190</v>
      </c>
      <c r="FW165" s="319" t="s">
        <v>190</v>
      </c>
      <c r="FX165" s="319" t="s">
        <v>190</v>
      </c>
      <c r="FY165" s="319" t="s">
        <v>190</v>
      </c>
      <c r="FZ165" s="319" t="s">
        <v>191</v>
      </c>
      <c r="GA165" s="319" t="s">
        <v>190</v>
      </c>
      <c r="GB165" s="319" t="s">
        <v>190</v>
      </c>
      <c r="GC165" s="319" t="s">
        <v>191</v>
      </c>
      <c r="GD165" s="319" t="s">
        <v>190</v>
      </c>
      <c r="GE165" s="319" t="s">
        <v>190</v>
      </c>
      <c r="GF165" s="319" t="s">
        <v>190</v>
      </c>
      <c r="GG165" s="319" t="s">
        <v>190</v>
      </c>
      <c r="GH165" s="319" t="s">
        <v>190</v>
      </c>
      <c r="GI165" s="319" t="s">
        <v>190</v>
      </c>
      <c r="GJ165" s="319" t="s">
        <v>190</v>
      </c>
      <c r="GK165" s="319" t="s">
        <v>584</v>
      </c>
      <c r="GL165" s="319" t="s">
        <v>191</v>
      </c>
      <c r="GM165" s="319" t="s">
        <v>190</v>
      </c>
      <c r="GN165" s="319" t="s">
        <v>191</v>
      </c>
      <c r="GO165" s="319" t="s">
        <v>190</v>
      </c>
      <c r="GP165" s="319" t="s">
        <v>190</v>
      </c>
      <c r="GQ165" s="319" t="s">
        <v>190</v>
      </c>
      <c r="GR165" s="319" t="s">
        <v>190</v>
      </c>
      <c r="GS165" s="319" t="s">
        <v>190</v>
      </c>
      <c r="GT165" s="319" t="s">
        <v>191</v>
      </c>
      <c r="GU165" s="319" t="s">
        <v>191</v>
      </c>
      <c r="GV165" s="319" t="s">
        <v>190</v>
      </c>
      <c r="GW165" s="319" t="s">
        <v>190</v>
      </c>
      <c r="GX165" s="319" t="s">
        <v>190</v>
      </c>
      <c r="GY165" s="319" t="s">
        <v>190</v>
      </c>
      <c r="GZ165" s="319" t="s">
        <v>428</v>
      </c>
      <c r="HA165" s="319" t="s">
        <v>190</v>
      </c>
      <c r="HB165" s="319" t="s">
        <v>190</v>
      </c>
      <c r="HC165" s="319" t="s">
        <v>190</v>
      </c>
      <c r="HD165" s="319" t="s">
        <v>191</v>
      </c>
      <c r="HE165" s="319" t="s">
        <v>190</v>
      </c>
      <c r="HF165" s="319" t="s">
        <v>191</v>
      </c>
      <c r="HG165" s="319" t="s">
        <v>190</v>
      </c>
      <c r="HH165" s="319" t="s">
        <v>190</v>
      </c>
      <c r="HI165" s="319" t="s">
        <v>191</v>
      </c>
      <c r="HJ165" s="319" t="s">
        <v>191</v>
      </c>
      <c r="HK165" s="319" t="s">
        <v>190</v>
      </c>
      <c r="HL165" s="319" t="s">
        <v>190</v>
      </c>
      <c r="HM165" s="319" t="s">
        <v>190</v>
      </c>
      <c r="HN165" s="319" t="s">
        <v>190</v>
      </c>
      <c r="HO165" s="319" t="s">
        <v>190</v>
      </c>
      <c r="HP165" s="319" t="s">
        <v>190</v>
      </c>
      <c r="HQ165" s="319" t="s">
        <v>190</v>
      </c>
      <c r="HR165" s="319" t="s">
        <v>190</v>
      </c>
      <c r="HS165" s="319" t="s">
        <v>190</v>
      </c>
      <c r="HT165" s="319" t="s">
        <v>190</v>
      </c>
      <c r="HU165" s="319" t="s">
        <v>190</v>
      </c>
      <c r="HV165" s="319" t="s">
        <v>190</v>
      </c>
      <c r="HW165" s="319" t="s">
        <v>190</v>
      </c>
      <c r="HX165" s="319" t="s">
        <v>190</v>
      </c>
      <c r="HY165" s="319" t="s">
        <v>190</v>
      </c>
      <c r="HZ165" s="319" t="s">
        <v>190</v>
      </c>
      <c r="IA165" s="319" t="s">
        <v>190</v>
      </c>
      <c r="IB165" s="319" t="s">
        <v>190</v>
      </c>
      <c r="IC165" s="319" t="s">
        <v>190</v>
      </c>
      <c r="ID165" s="319" t="s">
        <v>190</v>
      </c>
      <c r="IE165" s="319" t="s">
        <v>190</v>
      </c>
      <c r="IF165" s="319" t="s">
        <v>191</v>
      </c>
      <c r="IG165" s="319" t="s">
        <v>191</v>
      </c>
      <c r="IH165" s="319" t="s">
        <v>191</v>
      </c>
      <c r="II165" s="319" t="s">
        <v>191</v>
      </c>
      <c r="IJ165" s="319">
        <v>10026061</v>
      </c>
      <c r="IK165" s="321">
        <v>42773</v>
      </c>
      <c r="IL165" s="321">
        <v>42775</v>
      </c>
      <c r="IM165" s="321">
        <v>42821</v>
      </c>
      <c r="IN165" s="319">
        <v>3</v>
      </c>
      <c r="IO165" s="319">
        <v>10123401</v>
      </c>
      <c r="IP165" s="319" t="s">
        <v>985</v>
      </c>
      <c r="IQ165" s="321">
        <v>43774</v>
      </c>
      <c r="IR165" s="320" t="s">
        <v>2771</v>
      </c>
      <c r="IS165" s="322">
        <v>43797</v>
      </c>
      <c r="IT165" s="319" t="s">
        <v>166</v>
      </c>
    </row>
    <row r="166" spans="1:254" s="271" customFormat="1" x14ac:dyDescent="0.25">
      <c r="A166" s="318" t="str">
        <f>HYPERLINK("http://www.ofsted.gov.uk/inspection-reports/find-inspection-report/provider/ELS/115436 ","Ofsted School Webpage")</f>
        <v>Ofsted School Webpage</v>
      </c>
      <c r="B166" s="319">
        <v>115436</v>
      </c>
      <c r="C166" s="319">
        <v>8816041</v>
      </c>
      <c r="D166" s="319" t="s">
        <v>1175</v>
      </c>
      <c r="E166" s="319" t="s">
        <v>167</v>
      </c>
      <c r="F166" s="319" t="s">
        <v>59</v>
      </c>
      <c r="G166" s="319" t="s">
        <v>59</v>
      </c>
      <c r="H166" s="319" t="s">
        <v>59</v>
      </c>
      <c r="I166" s="319" t="s">
        <v>59</v>
      </c>
      <c r="J166" s="319" t="s">
        <v>424</v>
      </c>
      <c r="K166" s="319" t="s">
        <v>451</v>
      </c>
      <c r="L166" s="319" t="s">
        <v>451</v>
      </c>
      <c r="M166" s="319" t="s">
        <v>679</v>
      </c>
      <c r="N166" s="319" t="s">
        <v>2945</v>
      </c>
      <c r="O166" s="319" t="s">
        <v>1176</v>
      </c>
      <c r="P166" s="319">
        <v>51</v>
      </c>
      <c r="Q166" s="319" t="s">
        <v>2766</v>
      </c>
      <c r="R166" s="320">
        <v>10040367</v>
      </c>
      <c r="S166" s="321">
        <v>43074</v>
      </c>
      <c r="T166" s="321">
        <v>43076</v>
      </c>
      <c r="U166" s="321">
        <v>43124</v>
      </c>
      <c r="V166" s="319" t="s">
        <v>425</v>
      </c>
      <c r="W166" s="319" t="s">
        <v>2767</v>
      </c>
      <c r="X166" s="319">
        <v>3</v>
      </c>
      <c r="Y166" s="319" t="s">
        <v>173</v>
      </c>
      <c r="Z166" s="319" t="s">
        <v>173</v>
      </c>
      <c r="AA166" s="319" t="s">
        <v>173</v>
      </c>
      <c r="AB166" s="319">
        <v>3</v>
      </c>
      <c r="AC166" s="319" t="s">
        <v>169</v>
      </c>
      <c r="AD166" s="319">
        <v>2</v>
      </c>
      <c r="AE166" s="319" t="s">
        <v>173</v>
      </c>
      <c r="AF166" s="319" t="s">
        <v>427</v>
      </c>
      <c r="AG166" s="319" t="s">
        <v>172</v>
      </c>
      <c r="AH166" s="319" t="s">
        <v>190</v>
      </c>
      <c r="AI166" s="319" t="s">
        <v>190</v>
      </c>
      <c r="AJ166" s="319" t="s">
        <v>479</v>
      </c>
      <c r="AK166" s="319" t="s">
        <v>190</v>
      </c>
      <c r="AL166" s="319" t="s">
        <v>479</v>
      </c>
      <c r="AM166" s="319" t="s">
        <v>190</v>
      </c>
      <c r="AN166" s="319" t="s">
        <v>190</v>
      </c>
      <c r="AO166" s="319" t="s">
        <v>479</v>
      </c>
      <c r="AP166" s="319" t="s">
        <v>190</v>
      </c>
      <c r="AQ166" s="319" t="s">
        <v>190</v>
      </c>
      <c r="AR166" s="319" t="s">
        <v>190</v>
      </c>
      <c r="AS166" s="319" t="s">
        <v>190</v>
      </c>
      <c r="AT166" s="319" t="s">
        <v>190</v>
      </c>
      <c r="AU166" s="319" t="s">
        <v>190</v>
      </c>
      <c r="AV166" s="319" t="s">
        <v>190</v>
      </c>
      <c r="AW166" s="319" t="s">
        <v>190</v>
      </c>
      <c r="AX166" s="319" t="s">
        <v>428</v>
      </c>
      <c r="AY166" s="319" t="s">
        <v>190</v>
      </c>
      <c r="AZ166" s="319" t="s">
        <v>190</v>
      </c>
      <c r="BA166" s="319" t="s">
        <v>190</v>
      </c>
      <c r="BB166" s="319" t="s">
        <v>190</v>
      </c>
      <c r="BC166" s="319" t="s">
        <v>190</v>
      </c>
      <c r="BD166" s="319" t="s">
        <v>190</v>
      </c>
      <c r="BE166" s="319" t="s">
        <v>190</v>
      </c>
      <c r="BF166" s="319" t="s">
        <v>190</v>
      </c>
      <c r="BG166" s="319" t="s">
        <v>428</v>
      </c>
      <c r="BH166" s="319" t="s">
        <v>190</v>
      </c>
      <c r="BI166" s="319" t="s">
        <v>190</v>
      </c>
      <c r="BJ166" s="319" t="s">
        <v>190</v>
      </c>
      <c r="BK166" s="319" t="s">
        <v>190</v>
      </c>
      <c r="BL166" s="319" t="s">
        <v>190</v>
      </c>
      <c r="BM166" s="319" t="s">
        <v>190</v>
      </c>
      <c r="BN166" s="319" t="s">
        <v>190</v>
      </c>
      <c r="BO166" s="319" t="s">
        <v>190</v>
      </c>
      <c r="BP166" s="319" t="s">
        <v>190</v>
      </c>
      <c r="BQ166" s="319" t="s">
        <v>190</v>
      </c>
      <c r="BR166" s="319" t="s">
        <v>190</v>
      </c>
      <c r="BS166" s="319" t="s">
        <v>190</v>
      </c>
      <c r="BT166" s="319" t="s">
        <v>190</v>
      </c>
      <c r="BU166" s="319" t="s">
        <v>190</v>
      </c>
      <c r="BV166" s="319" t="s">
        <v>190</v>
      </c>
      <c r="BW166" s="319" t="s">
        <v>190</v>
      </c>
      <c r="BX166" s="319" t="s">
        <v>190</v>
      </c>
      <c r="BY166" s="319" t="s">
        <v>190</v>
      </c>
      <c r="BZ166" s="319" t="s">
        <v>190</v>
      </c>
      <c r="CA166" s="319" t="s">
        <v>190</v>
      </c>
      <c r="CB166" s="319" t="s">
        <v>190</v>
      </c>
      <c r="CC166" s="319" t="s">
        <v>190</v>
      </c>
      <c r="CD166" s="319" t="s">
        <v>190</v>
      </c>
      <c r="CE166" s="319" t="s">
        <v>190</v>
      </c>
      <c r="CF166" s="319" t="s">
        <v>190</v>
      </c>
      <c r="CG166" s="319" t="s">
        <v>190</v>
      </c>
      <c r="CH166" s="319" t="s">
        <v>190</v>
      </c>
      <c r="CI166" s="319" t="s">
        <v>190</v>
      </c>
      <c r="CJ166" s="319" t="s">
        <v>190</v>
      </c>
      <c r="CK166" s="319" t="s">
        <v>190</v>
      </c>
      <c r="CL166" s="319" t="s">
        <v>190</v>
      </c>
      <c r="CM166" s="319" t="s">
        <v>190</v>
      </c>
      <c r="CN166" s="319" t="s">
        <v>428</v>
      </c>
      <c r="CO166" s="319" t="s">
        <v>428</v>
      </c>
      <c r="CP166" s="319" t="s">
        <v>428</v>
      </c>
      <c r="CQ166" s="319" t="s">
        <v>190</v>
      </c>
      <c r="CR166" s="319" t="s">
        <v>190</v>
      </c>
      <c r="CS166" s="319" t="s">
        <v>190</v>
      </c>
      <c r="CT166" s="319" t="s">
        <v>190</v>
      </c>
      <c r="CU166" s="319" t="s">
        <v>190</v>
      </c>
      <c r="CV166" s="319" t="s">
        <v>190</v>
      </c>
      <c r="CW166" s="319" t="s">
        <v>191</v>
      </c>
      <c r="CX166" s="319" t="s">
        <v>190</v>
      </c>
      <c r="CY166" s="319" t="s">
        <v>190</v>
      </c>
      <c r="CZ166" s="319" t="s">
        <v>190</v>
      </c>
      <c r="DA166" s="319" t="s">
        <v>190</v>
      </c>
      <c r="DB166" s="319" t="s">
        <v>190</v>
      </c>
      <c r="DC166" s="319" t="s">
        <v>190</v>
      </c>
      <c r="DD166" s="319" t="s">
        <v>190</v>
      </c>
      <c r="DE166" s="319" t="s">
        <v>190</v>
      </c>
      <c r="DF166" s="319" t="s">
        <v>190</v>
      </c>
      <c r="DG166" s="319" t="s">
        <v>190</v>
      </c>
      <c r="DH166" s="319" t="s">
        <v>190</v>
      </c>
      <c r="DI166" s="319" t="s">
        <v>190</v>
      </c>
      <c r="DJ166" s="319" t="s">
        <v>190</v>
      </c>
      <c r="DK166" s="319" t="s">
        <v>190</v>
      </c>
      <c r="DL166" s="319" t="s">
        <v>190</v>
      </c>
      <c r="DM166" s="319" t="s">
        <v>190</v>
      </c>
      <c r="DN166" s="319" t="s">
        <v>428</v>
      </c>
      <c r="DO166" s="319" t="s">
        <v>190</v>
      </c>
      <c r="DP166" s="319" t="s">
        <v>428</v>
      </c>
      <c r="DQ166" s="319" t="s">
        <v>428</v>
      </c>
      <c r="DR166" s="319" t="s">
        <v>428</v>
      </c>
      <c r="DS166" s="319" t="s">
        <v>428</v>
      </c>
      <c r="DT166" s="319" t="s">
        <v>428</v>
      </c>
      <c r="DU166" s="319" t="s">
        <v>428</v>
      </c>
      <c r="DV166" s="319" t="s">
        <v>173</v>
      </c>
      <c r="DW166" s="319" t="s">
        <v>428</v>
      </c>
      <c r="DX166" s="319" t="s">
        <v>428</v>
      </c>
      <c r="DY166" s="319" t="s">
        <v>428</v>
      </c>
      <c r="DZ166" s="319" t="s">
        <v>428</v>
      </c>
      <c r="EA166" s="319" t="s">
        <v>428</v>
      </c>
      <c r="EB166" s="319" t="s">
        <v>428</v>
      </c>
      <c r="EC166" s="319" t="s">
        <v>428</v>
      </c>
      <c r="ED166" s="319" t="s">
        <v>428</v>
      </c>
      <c r="EE166" s="319" t="s">
        <v>190</v>
      </c>
      <c r="EF166" s="319" t="s">
        <v>190</v>
      </c>
      <c r="EG166" s="319" t="s">
        <v>190</v>
      </c>
      <c r="EH166" s="319" t="s">
        <v>190</v>
      </c>
      <c r="EI166" s="319" t="s">
        <v>190</v>
      </c>
      <c r="EJ166" s="319" t="s">
        <v>190</v>
      </c>
      <c r="EK166" s="319" t="s">
        <v>190</v>
      </c>
      <c r="EL166" s="319" t="s">
        <v>190</v>
      </c>
      <c r="EM166" s="319" t="s">
        <v>190</v>
      </c>
      <c r="EN166" s="319" t="s">
        <v>190</v>
      </c>
      <c r="EO166" s="319" t="s">
        <v>190</v>
      </c>
      <c r="EP166" s="319" t="s">
        <v>190</v>
      </c>
      <c r="EQ166" s="319" t="s">
        <v>190</v>
      </c>
      <c r="ER166" s="319" t="s">
        <v>190</v>
      </c>
      <c r="ES166" s="319" t="s">
        <v>190</v>
      </c>
      <c r="ET166" s="319" t="s">
        <v>190</v>
      </c>
      <c r="EU166" s="319" t="s">
        <v>190</v>
      </c>
      <c r="EV166" s="319" t="s">
        <v>190</v>
      </c>
      <c r="EW166" s="319" t="s">
        <v>190</v>
      </c>
      <c r="EX166" s="319" t="s">
        <v>190</v>
      </c>
      <c r="EY166" s="319" t="s">
        <v>190</v>
      </c>
      <c r="EZ166" s="319" t="s">
        <v>190</v>
      </c>
      <c r="FA166" s="319" t="s">
        <v>190</v>
      </c>
      <c r="FB166" s="319" t="s">
        <v>428</v>
      </c>
      <c r="FC166" s="319" t="s">
        <v>428</v>
      </c>
      <c r="FD166" s="319" t="s">
        <v>428</v>
      </c>
      <c r="FE166" s="319" t="s">
        <v>428</v>
      </c>
      <c r="FF166" s="319" t="s">
        <v>428</v>
      </c>
      <c r="FG166" s="319" t="s">
        <v>428</v>
      </c>
      <c r="FH166" s="319" t="s">
        <v>190</v>
      </c>
      <c r="FI166" s="319" t="s">
        <v>190</v>
      </c>
      <c r="FJ166" s="319" t="s">
        <v>190</v>
      </c>
      <c r="FK166" s="319" t="s">
        <v>190</v>
      </c>
      <c r="FL166" s="319" t="s">
        <v>190</v>
      </c>
      <c r="FM166" s="319" t="s">
        <v>190</v>
      </c>
      <c r="FN166" s="319" t="s">
        <v>190</v>
      </c>
      <c r="FO166" s="319" t="s">
        <v>190</v>
      </c>
      <c r="FP166" s="319" t="s">
        <v>190</v>
      </c>
      <c r="FQ166" s="319" t="s">
        <v>190</v>
      </c>
      <c r="FR166" s="319" t="s">
        <v>190</v>
      </c>
      <c r="FS166" s="319" t="s">
        <v>428</v>
      </c>
      <c r="FT166" s="319" t="s">
        <v>190</v>
      </c>
      <c r="FU166" s="319" t="s">
        <v>191</v>
      </c>
      <c r="FV166" s="319" t="s">
        <v>190</v>
      </c>
      <c r="FW166" s="319" t="s">
        <v>190</v>
      </c>
      <c r="FX166" s="319" t="s">
        <v>190</v>
      </c>
      <c r="FY166" s="319" t="s">
        <v>190</v>
      </c>
      <c r="FZ166" s="319" t="s">
        <v>190</v>
      </c>
      <c r="GA166" s="319" t="s">
        <v>190</v>
      </c>
      <c r="GB166" s="319" t="s">
        <v>190</v>
      </c>
      <c r="GC166" s="319" t="s">
        <v>190</v>
      </c>
      <c r="GD166" s="319" t="s">
        <v>190</v>
      </c>
      <c r="GE166" s="319" t="s">
        <v>190</v>
      </c>
      <c r="GF166" s="319" t="s">
        <v>190</v>
      </c>
      <c r="GG166" s="319" t="s">
        <v>190</v>
      </c>
      <c r="GH166" s="319" t="s">
        <v>190</v>
      </c>
      <c r="GI166" s="319" t="s">
        <v>190</v>
      </c>
      <c r="GJ166" s="319" t="s">
        <v>190</v>
      </c>
      <c r="GK166" s="319" t="s">
        <v>428</v>
      </c>
      <c r="GL166" s="319" t="s">
        <v>190</v>
      </c>
      <c r="GM166" s="319" t="s">
        <v>190</v>
      </c>
      <c r="GN166" s="319" t="s">
        <v>190</v>
      </c>
      <c r="GO166" s="319" t="s">
        <v>190</v>
      </c>
      <c r="GP166" s="319" t="s">
        <v>190</v>
      </c>
      <c r="GQ166" s="319" t="s">
        <v>428</v>
      </c>
      <c r="GR166" s="319" t="s">
        <v>190</v>
      </c>
      <c r="GS166" s="319" t="s">
        <v>190</v>
      </c>
      <c r="GT166" s="319" t="s">
        <v>428</v>
      </c>
      <c r="GU166" s="319" t="s">
        <v>428</v>
      </c>
      <c r="GV166" s="319" t="s">
        <v>190</v>
      </c>
      <c r="GW166" s="319" t="s">
        <v>190</v>
      </c>
      <c r="GX166" s="319" t="s">
        <v>190</v>
      </c>
      <c r="GY166" s="319" t="s">
        <v>190</v>
      </c>
      <c r="GZ166" s="319" t="s">
        <v>428</v>
      </c>
      <c r="HA166" s="319" t="s">
        <v>190</v>
      </c>
      <c r="HB166" s="319" t="s">
        <v>190</v>
      </c>
      <c r="HC166" s="319" t="s">
        <v>190</v>
      </c>
      <c r="HD166" s="319" t="s">
        <v>190</v>
      </c>
      <c r="HE166" s="319" t="s">
        <v>190</v>
      </c>
      <c r="HF166" s="319" t="s">
        <v>190</v>
      </c>
      <c r="HG166" s="319" t="s">
        <v>190</v>
      </c>
      <c r="HH166" s="319" t="s">
        <v>190</v>
      </c>
      <c r="HI166" s="319" t="s">
        <v>190</v>
      </c>
      <c r="HJ166" s="319" t="s">
        <v>190</v>
      </c>
      <c r="HK166" s="319" t="s">
        <v>190</v>
      </c>
      <c r="HL166" s="319" t="s">
        <v>190</v>
      </c>
      <c r="HM166" s="319" t="s">
        <v>190</v>
      </c>
      <c r="HN166" s="319" t="s">
        <v>190</v>
      </c>
      <c r="HO166" s="319" t="s">
        <v>190</v>
      </c>
      <c r="HP166" s="319" t="s">
        <v>190</v>
      </c>
      <c r="HQ166" s="319" t="s">
        <v>190</v>
      </c>
      <c r="HR166" s="319" t="s">
        <v>190</v>
      </c>
      <c r="HS166" s="319" t="s">
        <v>190</v>
      </c>
      <c r="HT166" s="319" t="s">
        <v>190</v>
      </c>
      <c r="HU166" s="319" t="s">
        <v>190</v>
      </c>
      <c r="HV166" s="319" t="s">
        <v>190</v>
      </c>
      <c r="HW166" s="319" t="s">
        <v>190</v>
      </c>
      <c r="HX166" s="319" t="s">
        <v>190</v>
      </c>
      <c r="HY166" s="319" t="s">
        <v>190</v>
      </c>
      <c r="HZ166" s="319" t="s">
        <v>190</v>
      </c>
      <c r="IA166" s="319" t="s">
        <v>190</v>
      </c>
      <c r="IB166" s="319" t="s">
        <v>190</v>
      </c>
      <c r="IC166" s="319" t="s">
        <v>190</v>
      </c>
      <c r="ID166" s="319" t="s">
        <v>190</v>
      </c>
      <c r="IE166" s="319" t="s">
        <v>190</v>
      </c>
      <c r="IF166" s="319" t="s">
        <v>191</v>
      </c>
      <c r="IG166" s="319" t="s">
        <v>191</v>
      </c>
      <c r="IH166" s="319" t="s">
        <v>191</v>
      </c>
      <c r="II166" s="319" t="s">
        <v>191</v>
      </c>
      <c r="IJ166" s="319" t="s">
        <v>173</v>
      </c>
      <c r="IK166" s="319" t="s">
        <v>173</v>
      </c>
      <c r="IL166" s="319" t="s">
        <v>173</v>
      </c>
      <c r="IM166" s="319" t="s">
        <v>173</v>
      </c>
      <c r="IN166" s="319" t="s">
        <v>173</v>
      </c>
      <c r="IO166" s="319">
        <v>10128858</v>
      </c>
      <c r="IP166" s="319" t="s">
        <v>985</v>
      </c>
      <c r="IQ166" s="321">
        <v>43781</v>
      </c>
      <c r="IR166" s="320" t="s">
        <v>2771</v>
      </c>
      <c r="IS166" s="322">
        <v>43801</v>
      </c>
      <c r="IT166" s="319" t="s">
        <v>166</v>
      </c>
    </row>
    <row r="167" spans="1:254" s="271" customFormat="1" x14ac:dyDescent="0.25">
      <c r="A167" s="318" t="str">
        <f>HYPERLINK("http://www.ofsted.gov.uk/inspection-reports/find-inspection-report/provider/ELS/115437 ","Ofsted School Webpage")</f>
        <v>Ofsted School Webpage</v>
      </c>
      <c r="B167" s="319">
        <v>115437</v>
      </c>
      <c r="C167" s="319">
        <v>8816042</v>
      </c>
      <c r="D167" s="319" t="s">
        <v>1152</v>
      </c>
      <c r="E167" s="319" t="s">
        <v>167</v>
      </c>
      <c r="F167" s="319" t="s">
        <v>81</v>
      </c>
      <c r="G167" s="319" t="s">
        <v>76</v>
      </c>
      <c r="H167" s="319" t="s">
        <v>76</v>
      </c>
      <c r="I167" s="319" t="s">
        <v>491</v>
      </c>
      <c r="J167" s="319" t="s">
        <v>424</v>
      </c>
      <c r="K167" s="319" t="s">
        <v>451</v>
      </c>
      <c r="L167" s="319" t="s">
        <v>451</v>
      </c>
      <c r="M167" s="319" t="s">
        <v>679</v>
      </c>
      <c r="N167" s="319" t="s">
        <v>2943</v>
      </c>
      <c r="O167" s="319" t="s">
        <v>1153</v>
      </c>
      <c r="P167" s="319">
        <v>291</v>
      </c>
      <c r="Q167" s="319" t="s">
        <v>2776</v>
      </c>
      <c r="R167" s="320">
        <v>10033601</v>
      </c>
      <c r="S167" s="321">
        <v>43004</v>
      </c>
      <c r="T167" s="321">
        <v>43006</v>
      </c>
      <c r="U167" s="321">
        <v>43109</v>
      </c>
      <c r="V167" s="319" t="s">
        <v>425</v>
      </c>
      <c r="W167" s="319" t="s">
        <v>2767</v>
      </c>
      <c r="X167" s="319">
        <v>4</v>
      </c>
      <c r="Y167" s="319" t="s">
        <v>173</v>
      </c>
      <c r="Z167" s="319" t="s">
        <v>173</v>
      </c>
      <c r="AA167" s="319" t="s">
        <v>173</v>
      </c>
      <c r="AB167" s="319">
        <v>4</v>
      </c>
      <c r="AC167" s="319" t="s">
        <v>170</v>
      </c>
      <c r="AD167" s="319">
        <v>4</v>
      </c>
      <c r="AE167" s="319">
        <v>4</v>
      </c>
      <c r="AF167" s="319" t="s">
        <v>173</v>
      </c>
      <c r="AG167" s="319" t="s">
        <v>172</v>
      </c>
      <c r="AH167" s="319" t="s">
        <v>190</v>
      </c>
      <c r="AI167" s="319" t="s">
        <v>190</v>
      </c>
      <c r="AJ167" s="319" t="s">
        <v>479</v>
      </c>
      <c r="AK167" s="319" t="s">
        <v>479</v>
      </c>
      <c r="AL167" s="319" t="s">
        <v>479</v>
      </c>
      <c r="AM167" s="319" t="s">
        <v>479</v>
      </c>
      <c r="AN167" s="319" t="s">
        <v>479</v>
      </c>
      <c r="AO167" s="319" t="s">
        <v>479</v>
      </c>
      <c r="AP167" s="319" t="s">
        <v>190</v>
      </c>
      <c r="AQ167" s="319" t="s">
        <v>190</v>
      </c>
      <c r="AR167" s="319" t="s">
        <v>190</v>
      </c>
      <c r="AS167" s="319" t="s">
        <v>190</v>
      </c>
      <c r="AT167" s="319" t="s">
        <v>190</v>
      </c>
      <c r="AU167" s="319" t="s">
        <v>190</v>
      </c>
      <c r="AV167" s="319" t="s">
        <v>190</v>
      </c>
      <c r="AW167" s="319" t="s">
        <v>190</v>
      </c>
      <c r="AX167" s="319" t="s">
        <v>429</v>
      </c>
      <c r="AY167" s="319" t="s">
        <v>190</v>
      </c>
      <c r="AZ167" s="319" t="s">
        <v>190</v>
      </c>
      <c r="BA167" s="319" t="s">
        <v>190</v>
      </c>
      <c r="BB167" s="319" t="s">
        <v>190</v>
      </c>
      <c r="BC167" s="319" t="s">
        <v>190</v>
      </c>
      <c r="BD167" s="319" t="s">
        <v>190</v>
      </c>
      <c r="BE167" s="319" t="s">
        <v>190</v>
      </c>
      <c r="BF167" s="319" t="s">
        <v>190</v>
      </c>
      <c r="BG167" s="319" t="s">
        <v>190</v>
      </c>
      <c r="BH167" s="319" t="s">
        <v>190</v>
      </c>
      <c r="BI167" s="319" t="s">
        <v>190</v>
      </c>
      <c r="BJ167" s="319" t="s">
        <v>190</v>
      </c>
      <c r="BK167" s="319" t="s">
        <v>190</v>
      </c>
      <c r="BL167" s="319" t="s">
        <v>190</v>
      </c>
      <c r="BM167" s="319" t="s">
        <v>190</v>
      </c>
      <c r="BN167" s="319" t="s">
        <v>190</v>
      </c>
      <c r="BO167" s="319" t="s">
        <v>190</v>
      </c>
      <c r="BP167" s="319" t="s">
        <v>190</v>
      </c>
      <c r="BQ167" s="319" t="s">
        <v>190</v>
      </c>
      <c r="BR167" s="319" t="s">
        <v>190</v>
      </c>
      <c r="BS167" s="319" t="s">
        <v>190</v>
      </c>
      <c r="BT167" s="319" t="s">
        <v>190</v>
      </c>
      <c r="BU167" s="319" t="s">
        <v>190</v>
      </c>
      <c r="BV167" s="319" t="s">
        <v>190</v>
      </c>
      <c r="BW167" s="319" t="s">
        <v>190</v>
      </c>
      <c r="BX167" s="319" t="s">
        <v>190</v>
      </c>
      <c r="BY167" s="319" t="s">
        <v>190</v>
      </c>
      <c r="BZ167" s="319" t="s">
        <v>190</v>
      </c>
      <c r="CA167" s="319" t="s">
        <v>190</v>
      </c>
      <c r="CB167" s="319" t="s">
        <v>190</v>
      </c>
      <c r="CC167" s="319" t="s">
        <v>190</v>
      </c>
      <c r="CD167" s="319" t="s">
        <v>190</v>
      </c>
      <c r="CE167" s="319" t="s">
        <v>190</v>
      </c>
      <c r="CF167" s="319" t="s">
        <v>190</v>
      </c>
      <c r="CG167" s="319" t="s">
        <v>190</v>
      </c>
      <c r="CH167" s="319" t="s">
        <v>190</v>
      </c>
      <c r="CI167" s="319" t="s">
        <v>190</v>
      </c>
      <c r="CJ167" s="319" t="s">
        <v>190</v>
      </c>
      <c r="CK167" s="319" t="s">
        <v>191</v>
      </c>
      <c r="CL167" s="319" t="s">
        <v>191</v>
      </c>
      <c r="CM167" s="319" t="s">
        <v>191</v>
      </c>
      <c r="CN167" s="319" t="s">
        <v>429</v>
      </c>
      <c r="CO167" s="319" t="s">
        <v>429</v>
      </c>
      <c r="CP167" s="319" t="s">
        <v>429</v>
      </c>
      <c r="CQ167" s="319" t="s">
        <v>191</v>
      </c>
      <c r="CR167" s="319" t="s">
        <v>190</v>
      </c>
      <c r="CS167" s="319" t="s">
        <v>191</v>
      </c>
      <c r="CT167" s="319" t="s">
        <v>191</v>
      </c>
      <c r="CU167" s="319" t="s">
        <v>191</v>
      </c>
      <c r="CV167" s="319" t="s">
        <v>191</v>
      </c>
      <c r="CW167" s="319" t="s">
        <v>191</v>
      </c>
      <c r="CX167" s="319" t="s">
        <v>191</v>
      </c>
      <c r="CY167" s="319" t="s">
        <v>190</v>
      </c>
      <c r="CZ167" s="319" t="s">
        <v>191</v>
      </c>
      <c r="DA167" s="319" t="s">
        <v>191</v>
      </c>
      <c r="DB167" s="319" t="s">
        <v>191</v>
      </c>
      <c r="DC167" s="319" t="s">
        <v>191</v>
      </c>
      <c r="DD167" s="319" t="s">
        <v>191</v>
      </c>
      <c r="DE167" s="319" t="s">
        <v>191</v>
      </c>
      <c r="DF167" s="319" t="s">
        <v>191</v>
      </c>
      <c r="DG167" s="319" t="s">
        <v>191</v>
      </c>
      <c r="DH167" s="319" t="s">
        <v>191</v>
      </c>
      <c r="DI167" s="319" t="s">
        <v>191</v>
      </c>
      <c r="DJ167" s="319" t="s">
        <v>191</v>
      </c>
      <c r="DK167" s="319" t="s">
        <v>191</v>
      </c>
      <c r="DL167" s="319" t="s">
        <v>191</v>
      </c>
      <c r="DM167" s="319" t="s">
        <v>191</v>
      </c>
      <c r="DN167" s="319" t="s">
        <v>429</v>
      </c>
      <c r="DO167" s="319" t="s">
        <v>191</v>
      </c>
      <c r="DP167" s="319" t="s">
        <v>429</v>
      </c>
      <c r="DQ167" s="319" t="s">
        <v>429</v>
      </c>
      <c r="DR167" s="319" t="s">
        <v>429</v>
      </c>
      <c r="DS167" s="319" t="s">
        <v>429</v>
      </c>
      <c r="DT167" s="319" t="s">
        <v>429</v>
      </c>
      <c r="DU167" s="319" t="s">
        <v>429</v>
      </c>
      <c r="DV167" s="319" t="s">
        <v>173</v>
      </c>
      <c r="DW167" s="319" t="s">
        <v>429</v>
      </c>
      <c r="DX167" s="319" t="s">
        <v>429</v>
      </c>
      <c r="DY167" s="319" t="s">
        <v>429</v>
      </c>
      <c r="DZ167" s="319" t="s">
        <v>429</v>
      </c>
      <c r="EA167" s="319" t="s">
        <v>429</v>
      </c>
      <c r="EB167" s="319" t="s">
        <v>429</v>
      </c>
      <c r="EC167" s="319" t="s">
        <v>429</v>
      </c>
      <c r="ED167" s="319" t="s">
        <v>429</v>
      </c>
      <c r="EE167" s="319" t="s">
        <v>191</v>
      </c>
      <c r="EF167" s="319" t="s">
        <v>191</v>
      </c>
      <c r="EG167" s="319" t="s">
        <v>191</v>
      </c>
      <c r="EH167" s="319" t="s">
        <v>191</v>
      </c>
      <c r="EI167" s="319" t="s">
        <v>191</v>
      </c>
      <c r="EJ167" s="319" t="s">
        <v>191</v>
      </c>
      <c r="EK167" s="319" t="s">
        <v>191</v>
      </c>
      <c r="EL167" s="319" t="s">
        <v>191</v>
      </c>
      <c r="EM167" s="319" t="s">
        <v>191</v>
      </c>
      <c r="EN167" s="319" t="s">
        <v>191</v>
      </c>
      <c r="EO167" s="319" t="s">
        <v>191</v>
      </c>
      <c r="EP167" s="319" t="s">
        <v>191</v>
      </c>
      <c r="EQ167" s="319" t="s">
        <v>191</v>
      </c>
      <c r="ER167" s="319" t="s">
        <v>191</v>
      </c>
      <c r="ES167" s="319" t="s">
        <v>191</v>
      </c>
      <c r="ET167" s="319" t="s">
        <v>191</v>
      </c>
      <c r="EU167" s="319" t="s">
        <v>191</v>
      </c>
      <c r="EV167" s="319" t="s">
        <v>191</v>
      </c>
      <c r="EW167" s="319" t="s">
        <v>191</v>
      </c>
      <c r="EX167" s="319" t="s">
        <v>191</v>
      </c>
      <c r="EY167" s="319" t="s">
        <v>191</v>
      </c>
      <c r="EZ167" s="319" t="s">
        <v>191</v>
      </c>
      <c r="FA167" s="319" t="s">
        <v>191</v>
      </c>
      <c r="FB167" s="319" t="s">
        <v>429</v>
      </c>
      <c r="FC167" s="319" t="s">
        <v>429</v>
      </c>
      <c r="FD167" s="319" t="s">
        <v>429</v>
      </c>
      <c r="FE167" s="319" t="s">
        <v>429</v>
      </c>
      <c r="FF167" s="319" t="s">
        <v>429</v>
      </c>
      <c r="FG167" s="319" t="s">
        <v>429</v>
      </c>
      <c r="FH167" s="319" t="s">
        <v>191</v>
      </c>
      <c r="FI167" s="319" t="s">
        <v>191</v>
      </c>
      <c r="FJ167" s="319" t="s">
        <v>191</v>
      </c>
      <c r="FK167" s="319" t="s">
        <v>191</v>
      </c>
      <c r="FL167" s="319" t="s">
        <v>191</v>
      </c>
      <c r="FM167" s="319" t="s">
        <v>190</v>
      </c>
      <c r="FN167" s="319" t="s">
        <v>190</v>
      </c>
      <c r="FO167" s="319" t="s">
        <v>191</v>
      </c>
      <c r="FP167" s="319" t="s">
        <v>190</v>
      </c>
      <c r="FQ167" s="319" t="s">
        <v>190</v>
      </c>
      <c r="FR167" s="319" t="s">
        <v>190</v>
      </c>
      <c r="FS167" s="319" t="s">
        <v>429</v>
      </c>
      <c r="FT167" s="319" t="s">
        <v>190</v>
      </c>
      <c r="FU167" s="319" t="s">
        <v>191</v>
      </c>
      <c r="FV167" s="319" t="s">
        <v>190</v>
      </c>
      <c r="FW167" s="319" t="s">
        <v>190</v>
      </c>
      <c r="FX167" s="319" t="s">
        <v>190</v>
      </c>
      <c r="FY167" s="319" t="s">
        <v>190</v>
      </c>
      <c r="FZ167" s="319" t="s">
        <v>191</v>
      </c>
      <c r="GA167" s="319" t="s">
        <v>190</v>
      </c>
      <c r="GB167" s="319" t="s">
        <v>190</v>
      </c>
      <c r="GC167" s="319" t="s">
        <v>191</v>
      </c>
      <c r="GD167" s="319" t="s">
        <v>190</v>
      </c>
      <c r="GE167" s="319" t="s">
        <v>190</v>
      </c>
      <c r="GF167" s="319" t="s">
        <v>190</v>
      </c>
      <c r="GG167" s="319" t="s">
        <v>190</v>
      </c>
      <c r="GH167" s="319" t="s">
        <v>190</v>
      </c>
      <c r="GI167" s="319" t="s">
        <v>190</v>
      </c>
      <c r="GJ167" s="319" t="s">
        <v>190</v>
      </c>
      <c r="GK167" s="319" t="s">
        <v>429</v>
      </c>
      <c r="GL167" s="319" t="s">
        <v>191</v>
      </c>
      <c r="GM167" s="319" t="s">
        <v>191</v>
      </c>
      <c r="GN167" s="319" t="s">
        <v>191</v>
      </c>
      <c r="GO167" s="319" t="s">
        <v>191</v>
      </c>
      <c r="GP167" s="319" t="s">
        <v>190</v>
      </c>
      <c r="GQ167" s="319" t="s">
        <v>429</v>
      </c>
      <c r="GR167" s="319" t="s">
        <v>190</v>
      </c>
      <c r="GS167" s="319" t="s">
        <v>190</v>
      </c>
      <c r="GT167" s="319" t="s">
        <v>429</v>
      </c>
      <c r="GU167" s="319" t="s">
        <v>190</v>
      </c>
      <c r="GV167" s="319" t="s">
        <v>429</v>
      </c>
      <c r="GW167" s="319" t="s">
        <v>190</v>
      </c>
      <c r="GX167" s="319" t="s">
        <v>190</v>
      </c>
      <c r="GY167" s="319" t="s">
        <v>190</v>
      </c>
      <c r="GZ167" s="319" t="s">
        <v>429</v>
      </c>
      <c r="HA167" s="319" t="s">
        <v>190</v>
      </c>
      <c r="HB167" s="319" t="s">
        <v>429</v>
      </c>
      <c r="HC167" s="319" t="s">
        <v>190</v>
      </c>
      <c r="HD167" s="319" t="s">
        <v>191</v>
      </c>
      <c r="HE167" s="319" t="s">
        <v>191</v>
      </c>
      <c r="HF167" s="319" t="s">
        <v>191</v>
      </c>
      <c r="HG167" s="319" t="s">
        <v>190</v>
      </c>
      <c r="HH167" s="319" t="s">
        <v>191</v>
      </c>
      <c r="HI167" s="319" t="s">
        <v>190</v>
      </c>
      <c r="HJ167" s="319" t="s">
        <v>191</v>
      </c>
      <c r="HK167" s="319" t="s">
        <v>190</v>
      </c>
      <c r="HL167" s="319" t="s">
        <v>429</v>
      </c>
      <c r="HM167" s="319" t="s">
        <v>429</v>
      </c>
      <c r="HN167" s="319" t="s">
        <v>429</v>
      </c>
      <c r="HO167" s="319" t="s">
        <v>429</v>
      </c>
      <c r="HP167" s="319" t="s">
        <v>191</v>
      </c>
      <c r="HQ167" s="319" t="s">
        <v>190</v>
      </c>
      <c r="HR167" s="319" t="s">
        <v>190</v>
      </c>
      <c r="HS167" s="319" t="s">
        <v>190</v>
      </c>
      <c r="HT167" s="319" t="s">
        <v>190</v>
      </c>
      <c r="HU167" s="319" t="s">
        <v>190</v>
      </c>
      <c r="HV167" s="319" t="s">
        <v>190</v>
      </c>
      <c r="HW167" s="319" t="s">
        <v>190</v>
      </c>
      <c r="HX167" s="319" t="s">
        <v>190</v>
      </c>
      <c r="HY167" s="319" t="s">
        <v>191</v>
      </c>
      <c r="HZ167" s="319" t="s">
        <v>191</v>
      </c>
      <c r="IA167" s="319" t="s">
        <v>191</v>
      </c>
      <c r="IB167" s="319" t="s">
        <v>190</v>
      </c>
      <c r="IC167" s="319" t="s">
        <v>190</v>
      </c>
      <c r="ID167" s="319" t="s">
        <v>190</v>
      </c>
      <c r="IE167" s="319" t="s">
        <v>191</v>
      </c>
      <c r="IF167" s="319" t="s">
        <v>191</v>
      </c>
      <c r="IG167" s="319" t="s">
        <v>191</v>
      </c>
      <c r="IH167" s="319" t="s">
        <v>191</v>
      </c>
      <c r="II167" s="319" t="s">
        <v>191</v>
      </c>
      <c r="IJ167" s="319" t="s">
        <v>2946</v>
      </c>
      <c r="IK167" s="321">
        <v>40962</v>
      </c>
      <c r="IL167" s="321">
        <v>40963</v>
      </c>
      <c r="IM167" s="321">
        <v>40988</v>
      </c>
      <c r="IN167" s="319">
        <v>1</v>
      </c>
      <c r="IO167" s="319">
        <v>10113696</v>
      </c>
      <c r="IP167" s="319" t="s">
        <v>985</v>
      </c>
      <c r="IQ167" s="321">
        <v>43648</v>
      </c>
      <c r="IR167" s="320" t="s">
        <v>1223</v>
      </c>
      <c r="IS167" s="322">
        <v>43716</v>
      </c>
      <c r="IT167" s="319" t="s">
        <v>165</v>
      </c>
    </row>
    <row r="168" spans="1:254" s="271" customFormat="1" x14ac:dyDescent="0.25">
      <c r="A168" s="318" t="str">
        <f>HYPERLINK("http://www.ofsted.gov.uk/inspection-reports/find-inspection-report/provider/ELS/115793 ","Ofsted School Webpage")</f>
        <v>Ofsted School Webpage</v>
      </c>
      <c r="B168" s="319">
        <v>115793</v>
      </c>
      <c r="C168" s="319">
        <v>9166031</v>
      </c>
      <c r="D168" s="319" t="s">
        <v>1448</v>
      </c>
      <c r="E168" s="319" t="s">
        <v>167</v>
      </c>
      <c r="F168" s="319" t="s">
        <v>81</v>
      </c>
      <c r="G168" s="319" t="s">
        <v>81</v>
      </c>
      <c r="H168" s="319" t="s">
        <v>81</v>
      </c>
      <c r="I168" s="319" t="s">
        <v>78</v>
      </c>
      <c r="J168" s="319" t="s">
        <v>424</v>
      </c>
      <c r="K168" s="319" t="s">
        <v>422</v>
      </c>
      <c r="L168" s="319" t="s">
        <v>422</v>
      </c>
      <c r="M168" s="319" t="s">
        <v>846</v>
      </c>
      <c r="N168" s="319" t="s">
        <v>2947</v>
      </c>
      <c r="O168" s="319" t="s">
        <v>1449</v>
      </c>
      <c r="P168" s="319">
        <v>322</v>
      </c>
      <c r="Q168" s="319" t="s">
        <v>2776</v>
      </c>
      <c r="R168" s="320">
        <v>10094395</v>
      </c>
      <c r="S168" s="321">
        <v>43550</v>
      </c>
      <c r="T168" s="321">
        <v>43552</v>
      </c>
      <c r="U168" s="321">
        <v>43594</v>
      </c>
      <c r="V168" s="319" t="s">
        <v>425</v>
      </c>
      <c r="W168" s="319" t="s">
        <v>2767</v>
      </c>
      <c r="X168" s="319">
        <v>4</v>
      </c>
      <c r="Y168" s="319" t="s">
        <v>173</v>
      </c>
      <c r="Z168" s="319" t="s">
        <v>173</v>
      </c>
      <c r="AA168" s="319" t="s">
        <v>173</v>
      </c>
      <c r="AB168" s="319">
        <v>4</v>
      </c>
      <c r="AC168" s="319" t="s">
        <v>170</v>
      </c>
      <c r="AD168" s="319">
        <v>4</v>
      </c>
      <c r="AE168" s="319">
        <v>4</v>
      </c>
      <c r="AF168" s="319" t="s">
        <v>427</v>
      </c>
      <c r="AG168" s="319" t="s">
        <v>172</v>
      </c>
      <c r="AH168" s="319" t="s">
        <v>479</v>
      </c>
      <c r="AI168" s="319" t="s">
        <v>190</v>
      </c>
      <c r="AJ168" s="319" t="s">
        <v>479</v>
      </c>
      <c r="AK168" s="319" t="s">
        <v>479</v>
      </c>
      <c r="AL168" s="319" t="s">
        <v>190</v>
      </c>
      <c r="AM168" s="319" t="s">
        <v>190</v>
      </c>
      <c r="AN168" s="319" t="s">
        <v>190</v>
      </c>
      <c r="AO168" s="319" t="s">
        <v>479</v>
      </c>
      <c r="AP168" s="319" t="s">
        <v>191</v>
      </c>
      <c r="AQ168" s="319" t="s">
        <v>191</v>
      </c>
      <c r="AR168" s="319" t="s">
        <v>191</v>
      </c>
      <c r="AS168" s="319" t="s">
        <v>191</v>
      </c>
      <c r="AT168" s="319" t="s">
        <v>190</v>
      </c>
      <c r="AU168" s="319" t="s">
        <v>191</v>
      </c>
      <c r="AV168" s="319" t="s">
        <v>190</v>
      </c>
      <c r="AW168" s="319" t="s">
        <v>190</v>
      </c>
      <c r="AX168" s="319" t="s">
        <v>428</v>
      </c>
      <c r="AY168" s="319" t="s">
        <v>190</v>
      </c>
      <c r="AZ168" s="319" t="s">
        <v>190</v>
      </c>
      <c r="BA168" s="319" t="s">
        <v>190</v>
      </c>
      <c r="BB168" s="319" t="s">
        <v>191</v>
      </c>
      <c r="BC168" s="319" t="s">
        <v>190</v>
      </c>
      <c r="BD168" s="319" t="s">
        <v>191</v>
      </c>
      <c r="BE168" s="319" t="s">
        <v>191</v>
      </c>
      <c r="BF168" s="319" t="s">
        <v>191</v>
      </c>
      <c r="BG168" s="319" t="s">
        <v>190</v>
      </c>
      <c r="BH168" s="319" t="s">
        <v>190</v>
      </c>
      <c r="BI168" s="319" t="s">
        <v>190</v>
      </c>
      <c r="BJ168" s="319" t="s">
        <v>191</v>
      </c>
      <c r="BK168" s="319" t="s">
        <v>191</v>
      </c>
      <c r="BL168" s="319" t="s">
        <v>191</v>
      </c>
      <c r="BM168" s="319" t="s">
        <v>191</v>
      </c>
      <c r="BN168" s="319" t="s">
        <v>191</v>
      </c>
      <c r="BO168" s="319" t="s">
        <v>191</v>
      </c>
      <c r="BP168" s="319" t="s">
        <v>190</v>
      </c>
      <c r="BQ168" s="319" t="s">
        <v>191</v>
      </c>
      <c r="BR168" s="319" t="s">
        <v>190</v>
      </c>
      <c r="BS168" s="319" t="s">
        <v>190</v>
      </c>
      <c r="BT168" s="319" t="s">
        <v>190</v>
      </c>
      <c r="BU168" s="319" t="s">
        <v>191</v>
      </c>
      <c r="BV168" s="319" t="s">
        <v>190</v>
      </c>
      <c r="BW168" s="319" t="s">
        <v>190</v>
      </c>
      <c r="BX168" s="319" t="s">
        <v>190</v>
      </c>
      <c r="BY168" s="319" t="s">
        <v>190</v>
      </c>
      <c r="BZ168" s="319" t="s">
        <v>190</v>
      </c>
      <c r="CA168" s="319" t="s">
        <v>190</v>
      </c>
      <c r="CB168" s="319" t="s">
        <v>190</v>
      </c>
      <c r="CC168" s="319" t="s">
        <v>190</v>
      </c>
      <c r="CD168" s="319" t="s">
        <v>190</v>
      </c>
      <c r="CE168" s="319" t="s">
        <v>190</v>
      </c>
      <c r="CF168" s="319" t="s">
        <v>190</v>
      </c>
      <c r="CG168" s="319" t="s">
        <v>190</v>
      </c>
      <c r="CH168" s="319" t="s">
        <v>190</v>
      </c>
      <c r="CI168" s="319" t="s">
        <v>190</v>
      </c>
      <c r="CJ168" s="319" t="s">
        <v>190</v>
      </c>
      <c r="CK168" s="319" t="s">
        <v>191</v>
      </c>
      <c r="CL168" s="319" t="s">
        <v>191</v>
      </c>
      <c r="CM168" s="319" t="s">
        <v>191</v>
      </c>
      <c r="CN168" s="319" t="s">
        <v>428</v>
      </c>
      <c r="CO168" s="319" t="s">
        <v>428</v>
      </c>
      <c r="CP168" s="319" t="s">
        <v>428</v>
      </c>
      <c r="CQ168" s="319" t="s">
        <v>190</v>
      </c>
      <c r="CR168" s="319" t="s">
        <v>190</v>
      </c>
      <c r="CS168" s="319" t="s">
        <v>190</v>
      </c>
      <c r="CT168" s="319" t="s">
        <v>190</v>
      </c>
      <c r="CU168" s="319" t="s">
        <v>190</v>
      </c>
      <c r="CV168" s="319" t="s">
        <v>190</v>
      </c>
      <c r="CW168" s="319" t="s">
        <v>190</v>
      </c>
      <c r="CX168" s="319" t="s">
        <v>190</v>
      </c>
      <c r="CY168" s="319" t="s">
        <v>190</v>
      </c>
      <c r="CZ168" s="319" t="s">
        <v>190</v>
      </c>
      <c r="DA168" s="319" t="s">
        <v>190</v>
      </c>
      <c r="DB168" s="319" t="s">
        <v>190</v>
      </c>
      <c r="DC168" s="319" t="s">
        <v>190</v>
      </c>
      <c r="DD168" s="319" t="s">
        <v>191</v>
      </c>
      <c r="DE168" s="319" t="s">
        <v>190</v>
      </c>
      <c r="DF168" s="319" t="s">
        <v>190</v>
      </c>
      <c r="DG168" s="319" t="s">
        <v>191</v>
      </c>
      <c r="DH168" s="319" t="s">
        <v>190</v>
      </c>
      <c r="DI168" s="319" t="s">
        <v>190</v>
      </c>
      <c r="DJ168" s="319" t="s">
        <v>191</v>
      </c>
      <c r="DK168" s="319" t="s">
        <v>190</v>
      </c>
      <c r="DL168" s="319" t="s">
        <v>190</v>
      </c>
      <c r="DM168" s="319" t="s">
        <v>191</v>
      </c>
      <c r="DN168" s="319" t="s">
        <v>428</v>
      </c>
      <c r="DO168" s="319" t="s">
        <v>190</v>
      </c>
      <c r="DP168" s="319" t="s">
        <v>428</v>
      </c>
      <c r="DQ168" s="319" t="s">
        <v>428</v>
      </c>
      <c r="DR168" s="319" t="s">
        <v>428</v>
      </c>
      <c r="DS168" s="319" t="s">
        <v>428</v>
      </c>
      <c r="DT168" s="319" t="s">
        <v>428</v>
      </c>
      <c r="DU168" s="319" t="s">
        <v>428</v>
      </c>
      <c r="DV168" s="319" t="s">
        <v>173</v>
      </c>
      <c r="DW168" s="319" t="s">
        <v>428</v>
      </c>
      <c r="DX168" s="319" t="s">
        <v>428</v>
      </c>
      <c r="DY168" s="319" t="s">
        <v>428</v>
      </c>
      <c r="DZ168" s="319" t="s">
        <v>428</v>
      </c>
      <c r="EA168" s="319" t="s">
        <v>428</v>
      </c>
      <c r="EB168" s="319" t="s">
        <v>428</v>
      </c>
      <c r="EC168" s="319" t="s">
        <v>428</v>
      </c>
      <c r="ED168" s="319" t="s">
        <v>428</v>
      </c>
      <c r="EE168" s="319" t="s">
        <v>191</v>
      </c>
      <c r="EF168" s="319" t="s">
        <v>190</v>
      </c>
      <c r="EG168" s="319" t="s">
        <v>190</v>
      </c>
      <c r="EH168" s="319" t="s">
        <v>190</v>
      </c>
      <c r="EI168" s="319" t="s">
        <v>191</v>
      </c>
      <c r="EJ168" s="319" t="s">
        <v>190</v>
      </c>
      <c r="EK168" s="319" t="s">
        <v>191</v>
      </c>
      <c r="EL168" s="319" t="s">
        <v>191</v>
      </c>
      <c r="EM168" s="319" t="s">
        <v>191</v>
      </c>
      <c r="EN168" s="319" t="s">
        <v>190</v>
      </c>
      <c r="EO168" s="319" t="s">
        <v>190</v>
      </c>
      <c r="EP168" s="319" t="s">
        <v>191</v>
      </c>
      <c r="EQ168" s="319" t="s">
        <v>191</v>
      </c>
      <c r="ER168" s="319" t="s">
        <v>190</v>
      </c>
      <c r="ES168" s="319" t="s">
        <v>190</v>
      </c>
      <c r="ET168" s="319" t="s">
        <v>190</v>
      </c>
      <c r="EU168" s="319" t="s">
        <v>190</v>
      </c>
      <c r="EV168" s="319" t="s">
        <v>190</v>
      </c>
      <c r="EW168" s="319" t="s">
        <v>190</v>
      </c>
      <c r="EX168" s="319" t="s">
        <v>191</v>
      </c>
      <c r="EY168" s="319" t="s">
        <v>191</v>
      </c>
      <c r="EZ168" s="319" t="s">
        <v>190</v>
      </c>
      <c r="FA168" s="319" t="s">
        <v>428</v>
      </c>
      <c r="FB168" s="319" t="s">
        <v>428</v>
      </c>
      <c r="FC168" s="319" t="s">
        <v>428</v>
      </c>
      <c r="FD168" s="319" t="s">
        <v>428</v>
      </c>
      <c r="FE168" s="319" t="s">
        <v>428</v>
      </c>
      <c r="FF168" s="319" t="s">
        <v>428</v>
      </c>
      <c r="FG168" s="319" t="s">
        <v>428</v>
      </c>
      <c r="FH168" s="319" t="s">
        <v>191</v>
      </c>
      <c r="FI168" s="319" t="s">
        <v>428</v>
      </c>
      <c r="FJ168" s="319" t="s">
        <v>429</v>
      </c>
      <c r="FK168" s="319" t="s">
        <v>428</v>
      </c>
      <c r="FL168" s="319" t="s">
        <v>190</v>
      </c>
      <c r="FM168" s="319" t="s">
        <v>190</v>
      </c>
      <c r="FN168" s="319" t="s">
        <v>190</v>
      </c>
      <c r="FO168" s="319" t="s">
        <v>190</v>
      </c>
      <c r="FP168" s="319" t="s">
        <v>190</v>
      </c>
      <c r="FQ168" s="319" t="s">
        <v>190</v>
      </c>
      <c r="FR168" s="319" t="s">
        <v>190</v>
      </c>
      <c r="FS168" s="319" t="s">
        <v>428</v>
      </c>
      <c r="FT168" s="319" t="s">
        <v>190</v>
      </c>
      <c r="FU168" s="319" t="s">
        <v>190</v>
      </c>
      <c r="FV168" s="319" t="s">
        <v>190</v>
      </c>
      <c r="FW168" s="319" t="s">
        <v>190</v>
      </c>
      <c r="FX168" s="319" t="s">
        <v>190</v>
      </c>
      <c r="FY168" s="319" t="s">
        <v>190</v>
      </c>
      <c r="FZ168" s="319" t="s">
        <v>190</v>
      </c>
      <c r="GA168" s="319" t="s">
        <v>190</v>
      </c>
      <c r="GB168" s="319" t="s">
        <v>190</v>
      </c>
      <c r="GC168" s="319" t="s">
        <v>190</v>
      </c>
      <c r="GD168" s="319" t="s">
        <v>190</v>
      </c>
      <c r="GE168" s="319" t="s">
        <v>190</v>
      </c>
      <c r="GF168" s="319" t="s">
        <v>190</v>
      </c>
      <c r="GG168" s="319" t="s">
        <v>190</v>
      </c>
      <c r="GH168" s="319" t="s">
        <v>190</v>
      </c>
      <c r="GI168" s="319" t="s">
        <v>190</v>
      </c>
      <c r="GJ168" s="319" t="s">
        <v>190</v>
      </c>
      <c r="GK168" s="319" t="s">
        <v>428</v>
      </c>
      <c r="GL168" s="319" t="s">
        <v>190</v>
      </c>
      <c r="GM168" s="319" t="s">
        <v>190</v>
      </c>
      <c r="GN168" s="319" t="s">
        <v>190</v>
      </c>
      <c r="GO168" s="319" t="s">
        <v>190</v>
      </c>
      <c r="GP168" s="319" t="s">
        <v>190</v>
      </c>
      <c r="GQ168" s="319" t="s">
        <v>190</v>
      </c>
      <c r="GR168" s="319" t="s">
        <v>190</v>
      </c>
      <c r="GS168" s="319" t="s">
        <v>190</v>
      </c>
      <c r="GT168" s="319" t="s">
        <v>428</v>
      </c>
      <c r="GU168" s="319" t="s">
        <v>190</v>
      </c>
      <c r="GV168" s="319" t="s">
        <v>190</v>
      </c>
      <c r="GW168" s="319" t="s">
        <v>190</v>
      </c>
      <c r="GX168" s="319" t="s">
        <v>190</v>
      </c>
      <c r="GY168" s="319" t="s">
        <v>190</v>
      </c>
      <c r="GZ168" s="319" t="s">
        <v>428</v>
      </c>
      <c r="HA168" s="319" t="s">
        <v>190</v>
      </c>
      <c r="HB168" s="319" t="s">
        <v>428</v>
      </c>
      <c r="HC168" s="319" t="s">
        <v>190</v>
      </c>
      <c r="HD168" s="319" t="s">
        <v>190</v>
      </c>
      <c r="HE168" s="319" t="s">
        <v>190</v>
      </c>
      <c r="HF168" s="319" t="s">
        <v>190</v>
      </c>
      <c r="HG168" s="319" t="s">
        <v>190</v>
      </c>
      <c r="HH168" s="319" t="s">
        <v>190</v>
      </c>
      <c r="HI168" s="319" t="s">
        <v>190</v>
      </c>
      <c r="HJ168" s="319" t="s">
        <v>190</v>
      </c>
      <c r="HK168" s="319" t="s">
        <v>190</v>
      </c>
      <c r="HL168" s="319" t="s">
        <v>428</v>
      </c>
      <c r="HM168" s="319" t="s">
        <v>428</v>
      </c>
      <c r="HN168" s="319" t="s">
        <v>428</v>
      </c>
      <c r="HO168" s="319" t="s">
        <v>428</v>
      </c>
      <c r="HP168" s="319" t="s">
        <v>190</v>
      </c>
      <c r="HQ168" s="319" t="s">
        <v>190</v>
      </c>
      <c r="HR168" s="319" t="s">
        <v>190</v>
      </c>
      <c r="HS168" s="319" t="s">
        <v>190</v>
      </c>
      <c r="HT168" s="319" t="s">
        <v>190</v>
      </c>
      <c r="HU168" s="319" t="s">
        <v>190</v>
      </c>
      <c r="HV168" s="319" t="s">
        <v>190</v>
      </c>
      <c r="HW168" s="319" t="s">
        <v>190</v>
      </c>
      <c r="HX168" s="319" t="s">
        <v>190</v>
      </c>
      <c r="HY168" s="319" t="s">
        <v>190</v>
      </c>
      <c r="HZ168" s="319" t="s">
        <v>190</v>
      </c>
      <c r="IA168" s="319" t="s">
        <v>190</v>
      </c>
      <c r="IB168" s="319" t="s">
        <v>190</v>
      </c>
      <c r="IC168" s="319" t="s">
        <v>190</v>
      </c>
      <c r="ID168" s="319" t="s">
        <v>190</v>
      </c>
      <c r="IE168" s="319" t="s">
        <v>190</v>
      </c>
      <c r="IF168" s="319" t="s">
        <v>191</v>
      </c>
      <c r="IG168" s="319" t="s">
        <v>191</v>
      </c>
      <c r="IH168" s="319" t="s">
        <v>191</v>
      </c>
      <c r="II168" s="319" t="s">
        <v>191</v>
      </c>
      <c r="IJ168" s="319" t="s">
        <v>1450</v>
      </c>
      <c r="IK168" s="321">
        <v>39119</v>
      </c>
      <c r="IL168" s="321">
        <v>39120</v>
      </c>
      <c r="IM168" s="321">
        <v>39147</v>
      </c>
      <c r="IN168" s="319">
        <v>2</v>
      </c>
      <c r="IO168" s="319">
        <v>10115787</v>
      </c>
      <c r="IP168" s="319" t="s">
        <v>1061</v>
      </c>
      <c r="IQ168" s="321">
        <v>43747</v>
      </c>
      <c r="IR168" s="320" t="s">
        <v>2771</v>
      </c>
      <c r="IS168" s="322">
        <v>43776</v>
      </c>
      <c r="IT168" s="319" t="s">
        <v>166</v>
      </c>
    </row>
    <row r="169" spans="1:254" s="271" customFormat="1" x14ac:dyDescent="0.25">
      <c r="A169" s="318" t="str">
        <f>HYPERLINK("http://www.ofsted.gov.uk/inspection-reports/find-inspection-report/provider/ELS/115802 ","Ofsted School Webpage")</f>
        <v>Ofsted School Webpage</v>
      </c>
      <c r="B169" s="319">
        <v>115802</v>
      </c>
      <c r="C169" s="319">
        <v>9166040</v>
      </c>
      <c r="D169" s="319" t="s">
        <v>1451</v>
      </c>
      <c r="E169" s="319" t="s">
        <v>168</v>
      </c>
      <c r="F169" s="319" t="s">
        <v>81</v>
      </c>
      <c r="G169" s="319" t="s">
        <v>59</v>
      </c>
      <c r="H169" s="319" t="s">
        <v>59</v>
      </c>
      <c r="I169" s="319" t="s">
        <v>59</v>
      </c>
      <c r="J169" s="319" t="s">
        <v>424</v>
      </c>
      <c r="K169" s="319" t="s">
        <v>422</v>
      </c>
      <c r="L169" s="319" t="s">
        <v>422</v>
      </c>
      <c r="M169" s="319" t="s">
        <v>846</v>
      </c>
      <c r="N169" s="319" t="s">
        <v>2948</v>
      </c>
      <c r="O169" s="319" t="s">
        <v>1452</v>
      </c>
      <c r="P169" s="319">
        <v>53</v>
      </c>
      <c r="Q169" s="319" t="s">
        <v>429</v>
      </c>
      <c r="R169" s="320">
        <v>10035561</v>
      </c>
      <c r="S169" s="321">
        <v>43004</v>
      </c>
      <c r="T169" s="321">
        <v>43006</v>
      </c>
      <c r="U169" s="321">
        <v>43045</v>
      </c>
      <c r="V169" s="319" t="s">
        <v>554</v>
      </c>
      <c r="W169" s="319" t="s">
        <v>2767</v>
      </c>
      <c r="X169" s="319">
        <v>2</v>
      </c>
      <c r="Y169" s="319" t="s">
        <v>173</v>
      </c>
      <c r="Z169" s="319" t="s">
        <v>173</v>
      </c>
      <c r="AA169" s="319" t="s">
        <v>173</v>
      </c>
      <c r="AB169" s="319">
        <v>2</v>
      </c>
      <c r="AC169" s="319" t="s">
        <v>169</v>
      </c>
      <c r="AD169" s="319" t="s">
        <v>173</v>
      </c>
      <c r="AE169" s="319">
        <v>2</v>
      </c>
      <c r="AF169" s="319" t="s">
        <v>427</v>
      </c>
      <c r="AG169" s="319" t="s">
        <v>171</v>
      </c>
      <c r="AH169" s="319" t="s">
        <v>190</v>
      </c>
      <c r="AI169" s="319" t="s">
        <v>190</v>
      </c>
      <c r="AJ169" s="319" t="s">
        <v>190</v>
      </c>
      <c r="AK169" s="319" t="s">
        <v>190</v>
      </c>
      <c r="AL169" s="319" t="s">
        <v>190</v>
      </c>
      <c r="AM169" s="319" t="s">
        <v>190</v>
      </c>
      <c r="AN169" s="319" t="s">
        <v>190</v>
      </c>
      <c r="AO169" s="319" t="s">
        <v>190</v>
      </c>
      <c r="AP169" s="319" t="s">
        <v>190</v>
      </c>
      <c r="AQ169" s="319" t="s">
        <v>190</v>
      </c>
      <c r="AR169" s="319" t="s">
        <v>190</v>
      </c>
      <c r="AS169" s="319" t="s">
        <v>190</v>
      </c>
      <c r="AT169" s="319" t="s">
        <v>190</v>
      </c>
      <c r="AU169" s="319" t="s">
        <v>190</v>
      </c>
      <c r="AV169" s="319" t="s">
        <v>190</v>
      </c>
      <c r="AW169" s="319" t="s">
        <v>190</v>
      </c>
      <c r="AX169" s="319" t="s">
        <v>428</v>
      </c>
      <c r="AY169" s="319" t="s">
        <v>190</v>
      </c>
      <c r="AZ169" s="319" t="s">
        <v>190</v>
      </c>
      <c r="BA169" s="319" t="s">
        <v>190</v>
      </c>
      <c r="BB169" s="319" t="s">
        <v>190</v>
      </c>
      <c r="BC169" s="319" t="s">
        <v>190</v>
      </c>
      <c r="BD169" s="319" t="s">
        <v>190</v>
      </c>
      <c r="BE169" s="319" t="s">
        <v>190</v>
      </c>
      <c r="BF169" s="319" t="s">
        <v>428</v>
      </c>
      <c r="BG169" s="319" t="s">
        <v>190</v>
      </c>
      <c r="BH169" s="319" t="s">
        <v>190</v>
      </c>
      <c r="BI169" s="319" t="s">
        <v>190</v>
      </c>
      <c r="BJ169" s="319" t="s">
        <v>190</v>
      </c>
      <c r="BK169" s="319" t="s">
        <v>190</v>
      </c>
      <c r="BL169" s="319" t="s">
        <v>190</v>
      </c>
      <c r="BM169" s="319" t="s">
        <v>190</v>
      </c>
      <c r="BN169" s="319" t="s">
        <v>190</v>
      </c>
      <c r="BO169" s="319" t="s">
        <v>190</v>
      </c>
      <c r="BP169" s="319" t="s">
        <v>190</v>
      </c>
      <c r="BQ169" s="319" t="s">
        <v>190</v>
      </c>
      <c r="BR169" s="319" t="s">
        <v>190</v>
      </c>
      <c r="BS169" s="319" t="s">
        <v>190</v>
      </c>
      <c r="BT169" s="319" t="s">
        <v>190</v>
      </c>
      <c r="BU169" s="319" t="s">
        <v>190</v>
      </c>
      <c r="BV169" s="319" t="s">
        <v>190</v>
      </c>
      <c r="BW169" s="319" t="s">
        <v>190</v>
      </c>
      <c r="BX169" s="319" t="s">
        <v>190</v>
      </c>
      <c r="BY169" s="319" t="s">
        <v>190</v>
      </c>
      <c r="BZ169" s="319" t="s">
        <v>190</v>
      </c>
      <c r="CA169" s="319" t="s">
        <v>190</v>
      </c>
      <c r="CB169" s="319" t="s">
        <v>190</v>
      </c>
      <c r="CC169" s="319" t="s">
        <v>190</v>
      </c>
      <c r="CD169" s="319" t="s">
        <v>190</v>
      </c>
      <c r="CE169" s="319" t="s">
        <v>190</v>
      </c>
      <c r="CF169" s="319" t="s">
        <v>190</v>
      </c>
      <c r="CG169" s="319" t="s">
        <v>190</v>
      </c>
      <c r="CH169" s="319" t="s">
        <v>190</v>
      </c>
      <c r="CI169" s="319" t="s">
        <v>190</v>
      </c>
      <c r="CJ169" s="319" t="s">
        <v>190</v>
      </c>
      <c r="CK169" s="319" t="s">
        <v>190</v>
      </c>
      <c r="CL169" s="319" t="s">
        <v>190</v>
      </c>
      <c r="CM169" s="319" t="s">
        <v>190</v>
      </c>
      <c r="CN169" s="319" t="s">
        <v>428</v>
      </c>
      <c r="CO169" s="319" t="s">
        <v>428</v>
      </c>
      <c r="CP169" s="319" t="s">
        <v>428</v>
      </c>
      <c r="CQ169" s="319" t="s">
        <v>190</v>
      </c>
      <c r="CR169" s="319" t="s">
        <v>190</v>
      </c>
      <c r="CS169" s="319" t="s">
        <v>190</v>
      </c>
      <c r="CT169" s="319" t="s">
        <v>190</v>
      </c>
      <c r="CU169" s="319" t="s">
        <v>190</v>
      </c>
      <c r="CV169" s="319" t="s">
        <v>190</v>
      </c>
      <c r="CW169" s="319" t="s">
        <v>190</v>
      </c>
      <c r="CX169" s="319" t="s">
        <v>190</v>
      </c>
      <c r="CY169" s="319" t="s">
        <v>190</v>
      </c>
      <c r="CZ169" s="319" t="s">
        <v>190</v>
      </c>
      <c r="DA169" s="319" t="s">
        <v>190</v>
      </c>
      <c r="DB169" s="319" t="s">
        <v>190</v>
      </c>
      <c r="DC169" s="319" t="s">
        <v>190</v>
      </c>
      <c r="DD169" s="319" t="s">
        <v>190</v>
      </c>
      <c r="DE169" s="319" t="s">
        <v>190</v>
      </c>
      <c r="DF169" s="319" t="s">
        <v>190</v>
      </c>
      <c r="DG169" s="319" t="s">
        <v>190</v>
      </c>
      <c r="DH169" s="319" t="s">
        <v>190</v>
      </c>
      <c r="DI169" s="319" t="s">
        <v>190</v>
      </c>
      <c r="DJ169" s="319" t="s">
        <v>190</v>
      </c>
      <c r="DK169" s="319" t="s">
        <v>190</v>
      </c>
      <c r="DL169" s="319" t="s">
        <v>190</v>
      </c>
      <c r="DM169" s="319" t="s">
        <v>190</v>
      </c>
      <c r="DN169" s="319" t="s">
        <v>428</v>
      </c>
      <c r="DO169" s="319" t="s">
        <v>428</v>
      </c>
      <c r="DP169" s="319" t="s">
        <v>190</v>
      </c>
      <c r="DQ169" s="319" t="s">
        <v>190</v>
      </c>
      <c r="DR169" s="319" t="s">
        <v>190</v>
      </c>
      <c r="DS169" s="319" t="s">
        <v>190</v>
      </c>
      <c r="DT169" s="319" t="s">
        <v>190</v>
      </c>
      <c r="DU169" s="319" t="s">
        <v>190</v>
      </c>
      <c r="DV169" s="319" t="s">
        <v>173</v>
      </c>
      <c r="DW169" s="319" t="s">
        <v>190</v>
      </c>
      <c r="DX169" s="319" t="s">
        <v>428</v>
      </c>
      <c r="DY169" s="319" t="s">
        <v>428</v>
      </c>
      <c r="DZ169" s="319" t="s">
        <v>428</v>
      </c>
      <c r="EA169" s="319" t="s">
        <v>428</v>
      </c>
      <c r="EB169" s="319" t="s">
        <v>428</v>
      </c>
      <c r="EC169" s="319" t="s">
        <v>428</v>
      </c>
      <c r="ED169" s="319" t="s">
        <v>428</v>
      </c>
      <c r="EE169" s="319" t="s">
        <v>190</v>
      </c>
      <c r="EF169" s="319" t="s">
        <v>190</v>
      </c>
      <c r="EG169" s="319" t="s">
        <v>190</v>
      </c>
      <c r="EH169" s="319" t="s">
        <v>190</v>
      </c>
      <c r="EI169" s="319" t="s">
        <v>190</v>
      </c>
      <c r="EJ169" s="319" t="s">
        <v>190</v>
      </c>
      <c r="EK169" s="319" t="s">
        <v>190</v>
      </c>
      <c r="EL169" s="319" t="s">
        <v>190</v>
      </c>
      <c r="EM169" s="319" t="s">
        <v>190</v>
      </c>
      <c r="EN169" s="319" t="s">
        <v>190</v>
      </c>
      <c r="EO169" s="319" t="s">
        <v>190</v>
      </c>
      <c r="EP169" s="319" t="s">
        <v>190</v>
      </c>
      <c r="EQ169" s="319" t="s">
        <v>190</v>
      </c>
      <c r="ER169" s="319" t="s">
        <v>190</v>
      </c>
      <c r="ES169" s="319" t="s">
        <v>190</v>
      </c>
      <c r="ET169" s="319" t="s">
        <v>190</v>
      </c>
      <c r="EU169" s="319" t="s">
        <v>190</v>
      </c>
      <c r="EV169" s="319" t="s">
        <v>190</v>
      </c>
      <c r="EW169" s="319" t="s">
        <v>190</v>
      </c>
      <c r="EX169" s="319" t="s">
        <v>190</v>
      </c>
      <c r="EY169" s="319" t="s">
        <v>190</v>
      </c>
      <c r="EZ169" s="319" t="s">
        <v>190</v>
      </c>
      <c r="FA169" s="319" t="s">
        <v>190</v>
      </c>
      <c r="FB169" s="319" t="s">
        <v>428</v>
      </c>
      <c r="FC169" s="319" t="s">
        <v>428</v>
      </c>
      <c r="FD169" s="319" t="s">
        <v>428</v>
      </c>
      <c r="FE169" s="319" t="s">
        <v>428</v>
      </c>
      <c r="FF169" s="319" t="s">
        <v>428</v>
      </c>
      <c r="FG169" s="319" t="s">
        <v>428</v>
      </c>
      <c r="FH169" s="319" t="s">
        <v>428</v>
      </c>
      <c r="FI169" s="319" t="s">
        <v>190</v>
      </c>
      <c r="FJ169" s="319" t="s">
        <v>190</v>
      </c>
      <c r="FK169" s="319" t="s">
        <v>190</v>
      </c>
      <c r="FL169" s="319" t="s">
        <v>190</v>
      </c>
      <c r="FM169" s="319" t="s">
        <v>190</v>
      </c>
      <c r="FN169" s="319" t="s">
        <v>190</v>
      </c>
      <c r="FO169" s="319" t="s">
        <v>190</v>
      </c>
      <c r="FP169" s="319" t="s">
        <v>190</v>
      </c>
      <c r="FQ169" s="319" t="s">
        <v>190</v>
      </c>
      <c r="FR169" s="319" t="s">
        <v>190</v>
      </c>
      <c r="FS169" s="319" t="s">
        <v>190</v>
      </c>
      <c r="FT169" s="319" t="s">
        <v>190</v>
      </c>
      <c r="FU169" s="319" t="s">
        <v>190</v>
      </c>
      <c r="FV169" s="319" t="s">
        <v>190</v>
      </c>
      <c r="FW169" s="319" t="s">
        <v>190</v>
      </c>
      <c r="FX169" s="319" t="s">
        <v>190</v>
      </c>
      <c r="FY169" s="319" t="s">
        <v>190</v>
      </c>
      <c r="FZ169" s="319" t="s">
        <v>190</v>
      </c>
      <c r="GA169" s="319" t="s">
        <v>190</v>
      </c>
      <c r="GB169" s="319" t="s">
        <v>190</v>
      </c>
      <c r="GC169" s="319" t="s">
        <v>190</v>
      </c>
      <c r="GD169" s="319" t="s">
        <v>190</v>
      </c>
      <c r="GE169" s="319" t="s">
        <v>190</v>
      </c>
      <c r="GF169" s="319" t="s">
        <v>190</v>
      </c>
      <c r="GG169" s="319" t="s">
        <v>190</v>
      </c>
      <c r="GH169" s="319" t="s">
        <v>190</v>
      </c>
      <c r="GI169" s="319" t="s">
        <v>190</v>
      </c>
      <c r="GJ169" s="319" t="s">
        <v>190</v>
      </c>
      <c r="GK169" s="319" t="s">
        <v>190</v>
      </c>
      <c r="GL169" s="319" t="s">
        <v>190</v>
      </c>
      <c r="GM169" s="319" t="s">
        <v>190</v>
      </c>
      <c r="GN169" s="319" t="s">
        <v>190</v>
      </c>
      <c r="GO169" s="319" t="s">
        <v>190</v>
      </c>
      <c r="GP169" s="319" t="s">
        <v>190</v>
      </c>
      <c r="GQ169" s="319" t="s">
        <v>190</v>
      </c>
      <c r="GR169" s="319" t="s">
        <v>190</v>
      </c>
      <c r="GS169" s="319" t="s">
        <v>190</v>
      </c>
      <c r="GT169" s="319" t="s">
        <v>190</v>
      </c>
      <c r="GU169" s="319" t="s">
        <v>190</v>
      </c>
      <c r="GV169" s="319" t="s">
        <v>190</v>
      </c>
      <c r="GW169" s="319" t="s">
        <v>190</v>
      </c>
      <c r="GX169" s="319" t="s">
        <v>190</v>
      </c>
      <c r="GY169" s="319" t="s">
        <v>190</v>
      </c>
      <c r="GZ169" s="319" t="s">
        <v>190</v>
      </c>
      <c r="HA169" s="319" t="s">
        <v>190</v>
      </c>
      <c r="HB169" s="319" t="s">
        <v>190</v>
      </c>
      <c r="HC169" s="319" t="s">
        <v>190</v>
      </c>
      <c r="HD169" s="319" t="s">
        <v>190</v>
      </c>
      <c r="HE169" s="319" t="s">
        <v>190</v>
      </c>
      <c r="HF169" s="319" t="s">
        <v>190</v>
      </c>
      <c r="HG169" s="319" t="s">
        <v>190</v>
      </c>
      <c r="HH169" s="319" t="s">
        <v>190</v>
      </c>
      <c r="HI169" s="319" t="s">
        <v>190</v>
      </c>
      <c r="HJ169" s="319" t="s">
        <v>190</v>
      </c>
      <c r="HK169" s="319" t="s">
        <v>190</v>
      </c>
      <c r="HL169" s="319" t="s">
        <v>190</v>
      </c>
      <c r="HM169" s="319" t="s">
        <v>428</v>
      </c>
      <c r="HN169" s="319" t="s">
        <v>428</v>
      </c>
      <c r="HO169" s="319" t="s">
        <v>428</v>
      </c>
      <c r="HP169" s="319" t="s">
        <v>190</v>
      </c>
      <c r="HQ169" s="319" t="s">
        <v>190</v>
      </c>
      <c r="HR169" s="319" t="s">
        <v>190</v>
      </c>
      <c r="HS169" s="319" t="s">
        <v>190</v>
      </c>
      <c r="HT169" s="319" t="s">
        <v>190</v>
      </c>
      <c r="HU169" s="319" t="s">
        <v>190</v>
      </c>
      <c r="HV169" s="319" t="s">
        <v>190</v>
      </c>
      <c r="HW169" s="319" t="s">
        <v>190</v>
      </c>
      <c r="HX169" s="319" t="s">
        <v>190</v>
      </c>
      <c r="HY169" s="319" t="s">
        <v>190</v>
      </c>
      <c r="HZ169" s="319" t="s">
        <v>190</v>
      </c>
      <c r="IA169" s="319" t="s">
        <v>190</v>
      </c>
      <c r="IB169" s="319" t="s">
        <v>190</v>
      </c>
      <c r="IC169" s="319" t="s">
        <v>190</v>
      </c>
      <c r="ID169" s="319" t="s">
        <v>190</v>
      </c>
      <c r="IE169" s="319" t="s">
        <v>190</v>
      </c>
      <c r="IF169" s="319" t="s">
        <v>190</v>
      </c>
      <c r="IG169" s="319" t="s">
        <v>190</v>
      </c>
      <c r="IH169" s="319" t="s">
        <v>190</v>
      </c>
      <c r="II169" s="319" t="s">
        <v>190</v>
      </c>
      <c r="IJ169" s="319">
        <v>10007067</v>
      </c>
      <c r="IK169" s="321">
        <v>42291</v>
      </c>
      <c r="IL169" s="321">
        <v>42292</v>
      </c>
      <c r="IM169" s="321">
        <v>42408</v>
      </c>
      <c r="IN169" s="319">
        <v>4</v>
      </c>
      <c r="IO169" s="319" t="s">
        <v>173</v>
      </c>
      <c r="IP169" s="319" t="s">
        <v>173</v>
      </c>
      <c r="IQ169" s="319" t="s">
        <v>173</v>
      </c>
      <c r="IR169" s="320" t="s">
        <v>173</v>
      </c>
      <c r="IS169" s="320" t="s">
        <v>173</v>
      </c>
      <c r="IT169" s="319" t="s">
        <v>173</v>
      </c>
    </row>
    <row r="170" spans="1:254" s="271" customFormat="1" x14ac:dyDescent="0.25">
      <c r="A170" s="318" t="str">
        <f>HYPERLINK("http://www.ofsted.gov.uk/inspection-reports/find-inspection-report/provider/ELS/115808 ","Ofsted School Webpage")</f>
        <v>Ofsted School Webpage</v>
      </c>
      <c r="B170" s="319">
        <v>115808</v>
      </c>
      <c r="C170" s="319">
        <v>9166068</v>
      </c>
      <c r="D170" s="319" t="s">
        <v>845</v>
      </c>
      <c r="E170" s="319" t="s">
        <v>167</v>
      </c>
      <c r="F170" s="319" t="s">
        <v>81</v>
      </c>
      <c r="G170" s="319" t="s">
        <v>59</v>
      </c>
      <c r="H170" s="319" t="s">
        <v>59</v>
      </c>
      <c r="I170" s="319" t="s">
        <v>59</v>
      </c>
      <c r="J170" s="319" t="s">
        <v>424</v>
      </c>
      <c r="K170" s="319" t="s">
        <v>422</v>
      </c>
      <c r="L170" s="319" t="s">
        <v>422</v>
      </c>
      <c r="M170" s="319" t="s">
        <v>846</v>
      </c>
      <c r="N170" s="319" t="s">
        <v>2947</v>
      </c>
      <c r="O170" s="319" t="s">
        <v>847</v>
      </c>
      <c r="P170" s="319">
        <v>37</v>
      </c>
      <c r="Q170" s="319" t="s">
        <v>2776</v>
      </c>
      <c r="R170" s="320">
        <v>10056306</v>
      </c>
      <c r="S170" s="321">
        <v>43487</v>
      </c>
      <c r="T170" s="321">
        <v>43489</v>
      </c>
      <c r="U170" s="321">
        <v>43528</v>
      </c>
      <c r="V170" s="319" t="s">
        <v>425</v>
      </c>
      <c r="W170" s="319" t="s">
        <v>2767</v>
      </c>
      <c r="X170" s="319">
        <v>2</v>
      </c>
      <c r="Y170" s="319" t="s">
        <v>173</v>
      </c>
      <c r="Z170" s="319" t="s">
        <v>173</v>
      </c>
      <c r="AA170" s="319" t="s">
        <v>173</v>
      </c>
      <c r="AB170" s="319">
        <v>2</v>
      </c>
      <c r="AC170" s="319" t="s">
        <v>169</v>
      </c>
      <c r="AD170" s="319" t="s">
        <v>173</v>
      </c>
      <c r="AE170" s="319">
        <v>2</v>
      </c>
      <c r="AF170" s="319" t="s">
        <v>427</v>
      </c>
      <c r="AG170" s="319" t="s">
        <v>171</v>
      </c>
      <c r="AH170" s="319" t="s">
        <v>190</v>
      </c>
      <c r="AI170" s="319" t="s">
        <v>190</v>
      </c>
      <c r="AJ170" s="319" t="s">
        <v>190</v>
      </c>
      <c r="AK170" s="319" t="s">
        <v>190</v>
      </c>
      <c r="AL170" s="319" t="s">
        <v>190</v>
      </c>
      <c r="AM170" s="319" t="s">
        <v>190</v>
      </c>
      <c r="AN170" s="319" t="s">
        <v>190</v>
      </c>
      <c r="AO170" s="319" t="s">
        <v>190</v>
      </c>
      <c r="AP170" s="319" t="s">
        <v>190</v>
      </c>
      <c r="AQ170" s="319" t="s">
        <v>190</v>
      </c>
      <c r="AR170" s="319" t="s">
        <v>190</v>
      </c>
      <c r="AS170" s="319" t="s">
        <v>190</v>
      </c>
      <c r="AT170" s="319" t="s">
        <v>190</v>
      </c>
      <c r="AU170" s="319" t="s">
        <v>190</v>
      </c>
      <c r="AV170" s="319" t="s">
        <v>190</v>
      </c>
      <c r="AW170" s="319" t="s">
        <v>190</v>
      </c>
      <c r="AX170" s="319" t="s">
        <v>190</v>
      </c>
      <c r="AY170" s="319" t="s">
        <v>190</v>
      </c>
      <c r="AZ170" s="319" t="s">
        <v>190</v>
      </c>
      <c r="BA170" s="319" t="s">
        <v>190</v>
      </c>
      <c r="BB170" s="319" t="s">
        <v>190</v>
      </c>
      <c r="BC170" s="319" t="s">
        <v>190</v>
      </c>
      <c r="BD170" s="319" t="s">
        <v>190</v>
      </c>
      <c r="BE170" s="319" t="s">
        <v>190</v>
      </c>
      <c r="BF170" s="319" t="s">
        <v>190</v>
      </c>
      <c r="BG170" s="319" t="s">
        <v>190</v>
      </c>
      <c r="BH170" s="319" t="s">
        <v>190</v>
      </c>
      <c r="BI170" s="319" t="s">
        <v>190</v>
      </c>
      <c r="BJ170" s="319" t="s">
        <v>190</v>
      </c>
      <c r="BK170" s="319" t="s">
        <v>190</v>
      </c>
      <c r="BL170" s="319" t="s">
        <v>190</v>
      </c>
      <c r="BM170" s="319" t="s">
        <v>190</v>
      </c>
      <c r="BN170" s="319" t="s">
        <v>190</v>
      </c>
      <c r="BO170" s="319" t="s">
        <v>190</v>
      </c>
      <c r="BP170" s="319" t="s">
        <v>190</v>
      </c>
      <c r="BQ170" s="319" t="s">
        <v>190</v>
      </c>
      <c r="BR170" s="319" t="s">
        <v>190</v>
      </c>
      <c r="BS170" s="319" t="s">
        <v>190</v>
      </c>
      <c r="BT170" s="319" t="s">
        <v>190</v>
      </c>
      <c r="BU170" s="319" t="s">
        <v>190</v>
      </c>
      <c r="BV170" s="319" t="s">
        <v>190</v>
      </c>
      <c r="BW170" s="319" t="s">
        <v>190</v>
      </c>
      <c r="BX170" s="319" t="s">
        <v>190</v>
      </c>
      <c r="BY170" s="319" t="s">
        <v>190</v>
      </c>
      <c r="BZ170" s="319" t="s">
        <v>190</v>
      </c>
      <c r="CA170" s="319" t="s">
        <v>190</v>
      </c>
      <c r="CB170" s="319" t="s">
        <v>190</v>
      </c>
      <c r="CC170" s="319" t="s">
        <v>190</v>
      </c>
      <c r="CD170" s="319" t="s">
        <v>190</v>
      </c>
      <c r="CE170" s="319" t="s">
        <v>190</v>
      </c>
      <c r="CF170" s="319" t="s">
        <v>190</v>
      </c>
      <c r="CG170" s="319" t="s">
        <v>190</v>
      </c>
      <c r="CH170" s="319" t="s">
        <v>190</v>
      </c>
      <c r="CI170" s="319" t="s">
        <v>190</v>
      </c>
      <c r="CJ170" s="319" t="s">
        <v>190</v>
      </c>
      <c r="CK170" s="319" t="s">
        <v>190</v>
      </c>
      <c r="CL170" s="319" t="s">
        <v>190</v>
      </c>
      <c r="CM170" s="319" t="s">
        <v>190</v>
      </c>
      <c r="CN170" s="319" t="s">
        <v>428</v>
      </c>
      <c r="CO170" s="319" t="s">
        <v>428</v>
      </c>
      <c r="CP170" s="319" t="s">
        <v>428</v>
      </c>
      <c r="CQ170" s="319" t="s">
        <v>190</v>
      </c>
      <c r="CR170" s="319" t="s">
        <v>190</v>
      </c>
      <c r="CS170" s="319" t="s">
        <v>190</v>
      </c>
      <c r="CT170" s="319" t="s">
        <v>190</v>
      </c>
      <c r="CU170" s="319" t="s">
        <v>190</v>
      </c>
      <c r="CV170" s="319" t="s">
        <v>190</v>
      </c>
      <c r="CW170" s="319" t="s">
        <v>190</v>
      </c>
      <c r="CX170" s="319" t="s">
        <v>190</v>
      </c>
      <c r="CY170" s="319" t="s">
        <v>190</v>
      </c>
      <c r="CZ170" s="319" t="s">
        <v>190</v>
      </c>
      <c r="DA170" s="319" t="s">
        <v>190</v>
      </c>
      <c r="DB170" s="319" t="s">
        <v>190</v>
      </c>
      <c r="DC170" s="319" t="s">
        <v>190</v>
      </c>
      <c r="DD170" s="319" t="s">
        <v>190</v>
      </c>
      <c r="DE170" s="319" t="s">
        <v>190</v>
      </c>
      <c r="DF170" s="319" t="s">
        <v>190</v>
      </c>
      <c r="DG170" s="319" t="s">
        <v>190</v>
      </c>
      <c r="DH170" s="319" t="s">
        <v>190</v>
      </c>
      <c r="DI170" s="319" t="s">
        <v>190</v>
      </c>
      <c r="DJ170" s="319" t="s">
        <v>190</v>
      </c>
      <c r="DK170" s="319" t="s">
        <v>190</v>
      </c>
      <c r="DL170" s="319" t="s">
        <v>190</v>
      </c>
      <c r="DM170" s="319" t="s">
        <v>190</v>
      </c>
      <c r="DN170" s="319" t="s">
        <v>428</v>
      </c>
      <c r="DO170" s="319" t="s">
        <v>190</v>
      </c>
      <c r="DP170" s="319" t="s">
        <v>190</v>
      </c>
      <c r="DQ170" s="319" t="s">
        <v>190</v>
      </c>
      <c r="DR170" s="319" t="s">
        <v>190</v>
      </c>
      <c r="DS170" s="319" t="s">
        <v>190</v>
      </c>
      <c r="DT170" s="319" t="s">
        <v>190</v>
      </c>
      <c r="DU170" s="319" t="s">
        <v>190</v>
      </c>
      <c r="DV170" s="319" t="s">
        <v>173</v>
      </c>
      <c r="DW170" s="319" t="s">
        <v>190</v>
      </c>
      <c r="DX170" s="319" t="s">
        <v>190</v>
      </c>
      <c r="DY170" s="319" t="s">
        <v>190</v>
      </c>
      <c r="DZ170" s="319" t="s">
        <v>190</v>
      </c>
      <c r="EA170" s="319" t="s">
        <v>190</v>
      </c>
      <c r="EB170" s="319" t="s">
        <v>190</v>
      </c>
      <c r="EC170" s="319" t="s">
        <v>428</v>
      </c>
      <c r="ED170" s="319" t="s">
        <v>190</v>
      </c>
      <c r="EE170" s="319" t="s">
        <v>190</v>
      </c>
      <c r="EF170" s="319" t="s">
        <v>190</v>
      </c>
      <c r="EG170" s="319" t="s">
        <v>190</v>
      </c>
      <c r="EH170" s="319" t="s">
        <v>190</v>
      </c>
      <c r="EI170" s="319" t="s">
        <v>190</v>
      </c>
      <c r="EJ170" s="319" t="s">
        <v>190</v>
      </c>
      <c r="EK170" s="319" t="s">
        <v>190</v>
      </c>
      <c r="EL170" s="319" t="s">
        <v>190</v>
      </c>
      <c r="EM170" s="319" t="s">
        <v>190</v>
      </c>
      <c r="EN170" s="319" t="s">
        <v>190</v>
      </c>
      <c r="EO170" s="319" t="s">
        <v>190</v>
      </c>
      <c r="EP170" s="319" t="s">
        <v>190</v>
      </c>
      <c r="EQ170" s="319" t="s">
        <v>190</v>
      </c>
      <c r="ER170" s="319" t="s">
        <v>190</v>
      </c>
      <c r="ES170" s="319" t="s">
        <v>190</v>
      </c>
      <c r="ET170" s="319" t="s">
        <v>190</v>
      </c>
      <c r="EU170" s="319" t="s">
        <v>190</v>
      </c>
      <c r="EV170" s="319" t="s">
        <v>190</v>
      </c>
      <c r="EW170" s="319" t="s">
        <v>190</v>
      </c>
      <c r="EX170" s="319" t="s">
        <v>190</v>
      </c>
      <c r="EY170" s="319" t="s">
        <v>190</v>
      </c>
      <c r="EZ170" s="319" t="s">
        <v>190</v>
      </c>
      <c r="FA170" s="319" t="s">
        <v>190</v>
      </c>
      <c r="FB170" s="319" t="s">
        <v>190</v>
      </c>
      <c r="FC170" s="319" t="s">
        <v>190</v>
      </c>
      <c r="FD170" s="319" t="s">
        <v>190</v>
      </c>
      <c r="FE170" s="319" t="s">
        <v>190</v>
      </c>
      <c r="FF170" s="319" t="s">
        <v>190</v>
      </c>
      <c r="FG170" s="319" t="s">
        <v>190</v>
      </c>
      <c r="FH170" s="319" t="s">
        <v>190</v>
      </c>
      <c r="FI170" s="319" t="s">
        <v>190</v>
      </c>
      <c r="FJ170" s="319" t="s">
        <v>190</v>
      </c>
      <c r="FK170" s="319" t="s">
        <v>190</v>
      </c>
      <c r="FL170" s="319" t="s">
        <v>190</v>
      </c>
      <c r="FM170" s="319" t="s">
        <v>190</v>
      </c>
      <c r="FN170" s="319" t="s">
        <v>190</v>
      </c>
      <c r="FO170" s="319" t="s">
        <v>190</v>
      </c>
      <c r="FP170" s="319" t="s">
        <v>190</v>
      </c>
      <c r="FQ170" s="319" t="s">
        <v>190</v>
      </c>
      <c r="FR170" s="319" t="s">
        <v>190</v>
      </c>
      <c r="FS170" s="319" t="s">
        <v>190</v>
      </c>
      <c r="FT170" s="319" t="s">
        <v>190</v>
      </c>
      <c r="FU170" s="319" t="s">
        <v>190</v>
      </c>
      <c r="FV170" s="319" t="s">
        <v>190</v>
      </c>
      <c r="FW170" s="319" t="s">
        <v>190</v>
      </c>
      <c r="FX170" s="319" t="s">
        <v>190</v>
      </c>
      <c r="FY170" s="319" t="s">
        <v>190</v>
      </c>
      <c r="FZ170" s="319" t="s">
        <v>190</v>
      </c>
      <c r="GA170" s="319" t="s">
        <v>190</v>
      </c>
      <c r="GB170" s="319" t="s">
        <v>190</v>
      </c>
      <c r="GC170" s="319" t="s">
        <v>190</v>
      </c>
      <c r="GD170" s="319" t="s">
        <v>190</v>
      </c>
      <c r="GE170" s="319" t="s">
        <v>190</v>
      </c>
      <c r="GF170" s="319" t="s">
        <v>190</v>
      </c>
      <c r="GG170" s="319" t="s">
        <v>190</v>
      </c>
      <c r="GH170" s="319" t="s">
        <v>190</v>
      </c>
      <c r="GI170" s="319" t="s">
        <v>190</v>
      </c>
      <c r="GJ170" s="319" t="s">
        <v>190</v>
      </c>
      <c r="GK170" s="319" t="s">
        <v>428</v>
      </c>
      <c r="GL170" s="319" t="s">
        <v>190</v>
      </c>
      <c r="GM170" s="319" t="s">
        <v>190</v>
      </c>
      <c r="GN170" s="319" t="s">
        <v>190</v>
      </c>
      <c r="GO170" s="319" t="s">
        <v>190</v>
      </c>
      <c r="GP170" s="319" t="s">
        <v>190</v>
      </c>
      <c r="GQ170" s="319" t="s">
        <v>190</v>
      </c>
      <c r="GR170" s="319" t="s">
        <v>190</v>
      </c>
      <c r="GS170" s="319" t="s">
        <v>190</v>
      </c>
      <c r="GT170" s="319" t="s">
        <v>190</v>
      </c>
      <c r="GU170" s="319" t="s">
        <v>428</v>
      </c>
      <c r="GV170" s="319" t="s">
        <v>190</v>
      </c>
      <c r="GW170" s="319" t="s">
        <v>190</v>
      </c>
      <c r="GX170" s="319" t="s">
        <v>190</v>
      </c>
      <c r="GY170" s="319" t="s">
        <v>190</v>
      </c>
      <c r="GZ170" s="319" t="s">
        <v>428</v>
      </c>
      <c r="HA170" s="319" t="s">
        <v>190</v>
      </c>
      <c r="HB170" s="319" t="s">
        <v>428</v>
      </c>
      <c r="HC170" s="319" t="s">
        <v>190</v>
      </c>
      <c r="HD170" s="319" t="s">
        <v>190</v>
      </c>
      <c r="HE170" s="319" t="s">
        <v>190</v>
      </c>
      <c r="HF170" s="319" t="s">
        <v>190</v>
      </c>
      <c r="HG170" s="319" t="s">
        <v>190</v>
      </c>
      <c r="HH170" s="319" t="s">
        <v>190</v>
      </c>
      <c r="HI170" s="319" t="s">
        <v>428</v>
      </c>
      <c r="HJ170" s="319" t="s">
        <v>190</v>
      </c>
      <c r="HK170" s="319" t="s">
        <v>190</v>
      </c>
      <c r="HL170" s="319" t="s">
        <v>190</v>
      </c>
      <c r="HM170" s="319" t="s">
        <v>428</v>
      </c>
      <c r="HN170" s="319" t="s">
        <v>428</v>
      </c>
      <c r="HO170" s="319" t="s">
        <v>428</v>
      </c>
      <c r="HP170" s="319" t="s">
        <v>190</v>
      </c>
      <c r="HQ170" s="319" t="s">
        <v>190</v>
      </c>
      <c r="HR170" s="319" t="s">
        <v>190</v>
      </c>
      <c r="HS170" s="319" t="s">
        <v>190</v>
      </c>
      <c r="HT170" s="319" t="s">
        <v>190</v>
      </c>
      <c r="HU170" s="319" t="s">
        <v>190</v>
      </c>
      <c r="HV170" s="319" t="s">
        <v>190</v>
      </c>
      <c r="HW170" s="319" t="s">
        <v>190</v>
      </c>
      <c r="HX170" s="319" t="s">
        <v>190</v>
      </c>
      <c r="HY170" s="319" t="s">
        <v>190</v>
      </c>
      <c r="HZ170" s="319" t="s">
        <v>190</v>
      </c>
      <c r="IA170" s="319" t="s">
        <v>190</v>
      </c>
      <c r="IB170" s="319" t="s">
        <v>190</v>
      </c>
      <c r="IC170" s="319" t="s">
        <v>190</v>
      </c>
      <c r="ID170" s="319" t="s">
        <v>190</v>
      </c>
      <c r="IE170" s="319" t="s">
        <v>190</v>
      </c>
      <c r="IF170" s="319" t="s">
        <v>190</v>
      </c>
      <c r="IG170" s="319" t="s">
        <v>190</v>
      </c>
      <c r="IH170" s="319" t="s">
        <v>190</v>
      </c>
      <c r="II170" s="319" t="s">
        <v>190</v>
      </c>
      <c r="IJ170" s="319">
        <v>10012958</v>
      </c>
      <c r="IK170" s="321">
        <v>42542</v>
      </c>
      <c r="IL170" s="321">
        <v>42544</v>
      </c>
      <c r="IM170" s="321">
        <v>42632</v>
      </c>
      <c r="IN170" s="319">
        <v>2</v>
      </c>
      <c r="IO170" s="319" t="s">
        <v>173</v>
      </c>
      <c r="IP170" s="319" t="s">
        <v>173</v>
      </c>
      <c r="IQ170" s="319" t="s">
        <v>173</v>
      </c>
      <c r="IR170" s="320" t="s">
        <v>173</v>
      </c>
      <c r="IS170" s="320" t="s">
        <v>173</v>
      </c>
      <c r="IT170" s="319" t="s">
        <v>173</v>
      </c>
    </row>
    <row r="171" spans="1:254" s="271" customFormat="1" x14ac:dyDescent="0.25">
      <c r="A171" s="318" t="str">
        <f>HYPERLINK("http://www.ofsted.gov.uk/inspection-reports/find-inspection-report/provider/ELS/115809 ","Ofsted School Webpage")</f>
        <v>Ofsted School Webpage</v>
      </c>
      <c r="B171" s="319">
        <v>115809</v>
      </c>
      <c r="C171" s="319">
        <v>9166072</v>
      </c>
      <c r="D171" s="319" t="s">
        <v>1453</v>
      </c>
      <c r="E171" s="319" t="s">
        <v>168</v>
      </c>
      <c r="F171" s="319" t="s">
        <v>81</v>
      </c>
      <c r="G171" s="319" t="s">
        <v>81</v>
      </c>
      <c r="H171" s="319" t="s">
        <v>81</v>
      </c>
      <c r="I171" s="319" t="s">
        <v>78</v>
      </c>
      <c r="J171" s="319" t="s">
        <v>424</v>
      </c>
      <c r="K171" s="319" t="s">
        <v>422</v>
      </c>
      <c r="L171" s="319" t="s">
        <v>422</v>
      </c>
      <c r="M171" s="319" t="s">
        <v>846</v>
      </c>
      <c r="N171" s="319" t="s">
        <v>2949</v>
      </c>
      <c r="O171" s="319" t="s">
        <v>1454</v>
      </c>
      <c r="P171" s="319">
        <v>28</v>
      </c>
      <c r="Q171" s="319" t="s">
        <v>429</v>
      </c>
      <c r="R171" s="320">
        <v>10047180</v>
      </c>
      <c r="S171" s="321">
        <v>43291</v>
      </c>
      <c r="T171" s="321">
        <v>43293</v>
      </c>
      <c r="U171" s="321">
        <v>43353</v>
      </c>
      <c r="V171" s="319" t="s">
        <v>425</v>
      </c>
      <c r="W171" s="319" t="s">
        <v>2767</v>
      </c>
      <c r="X171" s="319">
        <v>2</v>
      </c>
      <c r="Y171" s="319" t="s">
        <v>173</v>
      </c>
      <c r="Z171" s="319" t="s">
        <v>173</v>
      </c>
      <c r="AA171" s="319" t="s">
        <v>173</v>
      </c>
      <c r="AB171" s="319">
        <v>2</v>
      </c>
      <c r="AC171" s="319" t="s">
        <v>169</v>
      </c>
      <c r="AD171" s="319" t="s">
        <v>173</v>
      </c>
      <c r="AE171" s="319" t="s">
        <v>173</v>
      </c>
      <c r="AF171" s="319" t="s">
        <v>427</v>
      </c>
      <c r="AG171" s="319" t="s">
        <v>171</v>
      </c>
      <c r="AH171" s="319" t="s">
        <v>190</v>
      </c>
      <c r="AI171" s="319" t="s">
        <v>190</v>
      </c>
      <c r="AJ171" s="319" t="s">
        <v>190</v>
      </c>
      <c r="AK171" s="319" t="s">
        <v>190</v>
      </c>
      <c r="AL171" s="319" t="s">
        <v>190</v>
      </c>
      <c r="AM171" s="319" t="s">
        <v>190</v>
      </c>
      <c r="AN171" s="319" t="s">
        <v>190</v>
      </c>
      <c r="AO171" s="319" t="s">
        <v>190</v>
      </c>
      <c r="AP171" s="319" t="s">
        <v>190</v>
      </c>
      <c r="AQ171" s="319" t="s">
        <v>190</v>
      </c>
      <c r="AR171" s="319" t="s">
        <v>190</v>
      </c>
      <c r="AS171" s="319" t="s">
        <v>190</v>
      </c>
      <c r="AT171" s="319" t="s">
        <v>190</v>
      </c>
      <c r="AU171" s="319" t="s">
        <v>190</v>
      </c>
      <c r="AV171" s="319" t="s">
        <v>190</v>
      </c>
      <c r="AW171" s="319" t="s">
        <v>190</v>
      </c>
      <c r="AX171" s="319" t="s">
        <v>190</v>
      </c>
      <c r="AY171" s="319" t="s">
        <v>190</v>
      </c>
      <c r="AZ171" s="319" t="s">
        <v>190</v>
      </c>
      <c r="BA171" s="319" t="s">
        <v>190</v>
      </c>
      <c r="BB171" s="319" t="s">
        <v>190</v>
      </c>
      <c r="BC171" s="319" t="s">
        <v>190</v>
      </c>
      <c r="BD171" s="319" t="s">
        <v>190</v>
      </c>
      <c r="BE171" s="319" t="s">
        <v>190</v>
      </c>
      <c r="BF171" s="319" t="s">
        <v>428</v>
      </c>
      <c r="BG171" s="319" t="s">
        <v>190</v>
      </c>
      <c r="BH171" s="319" t="s">
        <v>190</v>
      </c>
      <c r="BI171" s="319" t="s">
        <v>190</v>
      </c>
      <c r="BJ171" s="319" t="s">
        <v>190</v>
      </c>
      <c r="BK171" s="319" t="s">
        <v>190</v>
      </c>
      <c r="BL171" s="319" t="s">
        <v>190</v>
      </c>
      <c r="BM171" s="319" t="s">
        <v>190</v>
      </c>
      <c r="BN171" s="319" t="s">
        <v>190</v>
      </c>
      <c r="BO171" s="319" t="s">
        <v>190</v>
      </c>
      <c r="BP171" s="319" t="s">
        <v>190</v>
      </c>
      <c r="BQ171" s="319" t="s">
        <v>190</v>
      </c>
      <c r="BR171" s="319" t="s">
        <v>190</v>
      </c>
      <c r="BS171" s="319" t="s">
        <v>190</v>
      </c>
      <c r="BT171" s="319" t="s">
        <v>190</v>
      </c>
      <c r="BU171" s="319" t="s">
        <v>190</v>
      </c>
      <c r="BV171" s="319" t="s">
        <v>190</v>
      </c>
      <c r="BW171" s="319" t="s">
        <v>190</v>
      </c>
      <c r="BX171" s="319" t="s">
        <v>190</v>
      </c>
      <c r="BY171" s="319" t="s">
        <v>190</v>
      </c>
      <c r="BZ171" s="319" t="s">
        <v>190</v>
      </c>
      <c r="CA171" s="319" t="s">
        <v>190</v>
      </c>
      <c r="CB171" s="319" t="s">
        <v>190</v>
      </c>
      <c r="CC171" s="319" t="s">
        <v>190</v>
      </c>
      <c r="CD171" s="319" t="s">
        <v>190</v>
      </c>
      <c r="CE171" s="319" t="s">
        <v>190</v>
      </c>
      <c r="CF171" s="319" t="s">
        <v>190</v>
      </c>
      <c r="CG171" s="319" t="s">
        <v>190</v>
      </c>
      <c r="CH171" s="319" t="s">
        <v>190</v>
      </c>
      <c r="CI171" s="319" t="s">
        <v>190</v>
      </c>
      <c r="CJ171" s="319" t="s">
        <v>190</v>
      </c>
      <c r="CK171" s="319" t="s">
        <v>190</v>
      </c>
      <c r="CL171" s="319" t="s">
        <v>190</v>
      </c>
      <c r="CM171" s="319" t="s">
        <v>190</v>
      </c>
      <c r="CN171" s="319" t="s">
        <v>428</v>
      </c>
      <c r="CO171" s="319" t="s">
        <v>428</v>
      </c>
      <c r="CP171" s="319" t="s">
        <v>428</v>
      </c>
      <c r="CQ171" s="319" t="s">
        <v>190</v>
      </c>
      <c r="CR171" s="319" t="s">
        <v>190</v>
      </c>
      <c r="CS171" s="319" t="s">
        <v>190</v>
      </c>
      <c r="CT171" s="319" t="s">
        <v>190</v>
      </c>
      <c r="CU171" s="319" t="s">
        <v>190</v>
      </c>
      <c r="CV171" s="319" t="s">
        <v>190</v>
      </c>
      <c r="CW171" s="319" t="s">
        <v>190</v>
      </c>
      <c r="CX171" s="319" t="s">
        <v>190</v>
      </c>
      <c r="CY171" s="319" t="s">
        <v>190</v>
      </c>
      <c r="CZ171" s="319" t="s">
        <v>190</v>
      </c>
      <c r="DA171" s="319" t="s">
        <v>190</v>
      </c>
      <c r="DB171" s="319" t="s">
        <v>190</v>
      </c>
      <c r="DC171" s="319" t="s">
        <v>190</v>
      </c>
      <c r="DD171" s="319" t="s">
        <v>190</v>
      </c>
      <c r="DE171" s="319" t="s">
        <v>190</v>
      </c>
      <c r="DF171" s="319" t="s">
        <v>190</v>
      </c>
      <c r="DG171" s="319" t="s">
        <v>190</v>
      </c>
      <c r="DH171" s="319" t="s">
        <v>190</v>
      </c>
      <c r="DI171" s="319" t="s">
        <v>190</v>
      </c>
      <c r="DJ171" s="319" t="s">
        <v>190</v>
      </c>
      <c r="DK171" s="319" t="s">
        <v>190</v>
      </c>
      <c r="DL171" s="319" t="s">
        <v>190</v>
      </c>
      <c r="DM171" s="319" t="s">
        <v>190</v>
      </c>
      <c r="DN171" s="319" t="s">
        <v>428</v>
      </c>
      <c r="DO171" s="319" t="s">
        <v>190</v>
      </c>
      <c r="DP171" s="319" t="s">
        <v>190</v>
      </c>
      <c r="DQ171" s="319" t="s">
        <v>190</v>
      </c>
      <c r="DR171" s="319" t="s">
        <v>190</v>
      </c>
      <c r="DS171" s="319" t="s">
        <v>190</v>
      </c>
      <c r="DT171" s="319" t="s">
        <v>190</v>
      </c>
      <c r="DU171" s="319" t="s">
        <v>190</v>
      </c>
      <c r="DV171" s="319" t="s">
        <v>173</v>
      </c>
      <c r="DW171" s="319" t="s">
        <v>190</v>
      </c>
      <c r="DX171" s="319" t="s">
        <v>190</v>
      </c>
      <c r="DY171" s="319" t="s">
        <v>190</v>
      </c>
      <c r="DZ171" s="319" t="s">
        <v>190</v>
      </c>
      <c r="EA171" s="319" t="s">
        <v>190</v>
      </c>
      <c r="EB171" s="319" t="s">
        <v>190</v>
      </c>
      <c r="EC171" s="319" t="s">
        <v>190</v>
      </c>
      <c r="ED171" s="319" t="s">
        <v>190</v>
      </c>
      <c r="EE171" s="319" t="s">
        <v>190</v>
      </c>
      <c r="EF171" s="319" t="s">
        <v>190</v>
      </c>
      <c r="EG171" s="319" t="s">
        <v>190</v>
      </c>
      <c r="EH171" s="319" t="s">
        <v>190</v>
      </c>
      <c r="EI171" s="319" t="s">
        <v>190</v>
      </c>
      <c r="EJ171" s="319" t="s">
        <v>190</v>
      </c>
      <c r="EK171" s="319" t="s">
        <v>190</v>
      </c>
      <c r="EL171" s="319" t="s">
        <v>190</v>
      </c>
      <c r="EM171" s="319" t="s">
        <v>190</v>
      </c>
      <c r="EN171" s="319" t="s">
        <v>190</v>
      </c>
      <c r="EO171" s="319" t="s">
        <v>190</v>
      </c>
      <c r="EP171" s="319" t="s">
        <v>190</v>
      </c>
      <c r="EQ171" s="319" t="s">
        <v>190</v>
      </c>
      <c r="ER171" s="319" t="s">
        <v>190</v>
      </c>
      <c r="ES171" s="319" t="s">
        <v>190</v>
      </c>
      <c r="ET171" s="319" t="s">
        <v>190</v>
      </c>
      <c r="EU171" s="319" t="s">
        <v>190</v>
      </c>
      <c r="EV171" s="319" t="s">
        <v>190</v>
      </c>
      <c r="EW171" s="319" t="s">
        <v>190</v>
      </c>
      <c r="EX171" s="319" t="s">
        <v>190</v>
      </c>
      <c r="EY171" s="319" t="s">
        <v>190</v>
      </c>
      <c r="EZ171" s="319" t="s">
        <v>190</v>
      </c>
      <c r="FA171" s="319" t="s">
        <v>190</v>
      </c>
      <c r="FB171" s="319" t="s">
        <v>190</v>
      </c>
      <c r="FC171" s="319" t="s">
        <v>190</v>
      </c>
      <c r="FD171" s="319" t="s">
        <v>190</v>
      </c>
      <c r="FE171" s="319" t="s">
        <v>190</v>
      </c>
      <c r="FF171" s="319" t="s">
        <v>190</v>
      </c>
      <c r="FG171" s="319" t="s">
        <v>190</v>
      </c>
      <c r="FH171" s="319" t="s">
        <v>190</v>
      </c>
      <c r="FI171" s="319" t="s">
        <v>190</v>
      </c>
      <c r="FJ171" s="319" t="s">
        <v>190</v>
      </c>
      <c r="FK171" s="319" t="s">
        <v>190</v>
      </c>
      <c r="FL171" s="319" t="s">
        <v>190</v>
      </c>
      <c r="FM171" s="319" t="s">
        <v>190</v>
      </c>
      <c r="FN171" s="319" t="s">
        <v>190</v>
      </c>
      <c r="FO171" s="319" t="s">
        <v>190</v>
      </c>
      <c r="FP171" s="319" t="s">
        <v>190</v>
      </c>
      <c r="FQ171" s="319" t="s">
        <v>190</v>
      </c>
      <c r="FR171" s="319" t="s">
        <v>190</v>
      </c>
      <c r="FS171" s="319" t="s">
        <v>190</v>
      </c>
      <c r="FT171" s="319" t="s">
        <v>190</v>
      </c>
      <c r="FU171" s="319" t="s">
        <v>190</v>
      </c>
      <c r="FV171" s="319" t="s">
        <v>190</v>
      </c>
      <c r="FW171" s="319" t="s">
        <v>190</v>
      </c>
      <c r="FX171" s="319" t="s">
        <v>190</v>
      </c>
      <c r="FY171" s="319" t="s">
        <v>190</v>
      </c>
      <c r="FZ171" s="319" t="s">
        <v>190</v>
      </c>
      <c r="GA171" s="319" t="s">
        <v>190</v>
      </c>
      <c r="GB171" s="319" t="s">
        <v>190</v>
      </c>
      <c r="GC171" s="319" t="s">
        <v>190</v>
      </c>
      <c r="GD171" s="319" t="s">
        <v>190</v>
      </c>
      <c r="GE171" s="319" t="s">
        <v>190</v>
      </c>
      <c r="GF171" s="319" t="s">
        <v>190</v>
      </c>
      <c r="GG171" s="319" t="s">
        <v>190</v>
      </c>
      <c r="GH171" s="319" t="s">
        <v>190</v>
      </c>
      <c r="GI171" s="319" t="s">
        <v>190</v>
      </c>
      <c r="GJ171" s="319" t="s">
        <v>190</v>
      </c>
      <c r="GK171" s="319" t="s">
        <v>428</v>
      </c>
      <c r="GL171" s="319" t="s">
        <v>190</v>
      </c>
      <c r="GM171" s="319" t="s">
        <v>190</v>
      </c>
      <c r="GN171" s="319" t="s">
        <v>190</v>
      </c>
      <c r="GO171" s="319" t="s">
        <v>190</v>
      </c>
      <c r="GP171" s="319" t="s">
        <v>190</v>
      </c>
      <c r="GQ171" s="319" t="s">
        <v>428</v>
      </c>
      <c r="GR171" s="319" t="s">
        <v>190</v>
      </c>
      <c r="GS171" s="319" t="s">
        <v>190</v>
      </c>
      <c r="GT171" s="319" t="s">
        <v>190</v>
      </c>
      <c r="GU171" s="319" t="s">
        <v>190</v>
      </c>
      <c r="GV171" s="319" t="s">
        <v>190</v>
      </c>
      <c r="GW171" s="319" t="s">
        <v>190</v>
      </c>
      <c r="GX171" s="319" t="s">
        <v>190</v>
      </c>
      <c r="GY171" s="319" t="s">
        <v>190</v>
      </c>
      <c r="GZ171" s="319" t="s">
        <v>190</v>
      </c>
      <c r="HA171" s="319" t="s">
        <v>190</v>
      </c>
      <c r="HB171" s="319" t="s">
        <v>190</v>
      </c>
      <c r="HC171" s="319" t="s">
        <v>190</v>
      </c>
      <c r="HD171" s="319" t="s">
        <v>190</v>
      </c>
      <c r="HE171" s="319" t="s">
        <v>190</v>
      </c>
      <c r="HF171" s="319" t="s">
        <v>190</v>
      </c>
      <c r="HG171" s="319" t="s">
        <v>190</v>
      </c>
      <c r="HH171" s="319" t="s">
        <v>190</v>
      </c>
      <c r="HI171" s="319" t="s">
        <v>190</v>
      </c>
      <c r="HJ171" s="319" t="s">
        <v>190</v>
      </c>
      <c r="HK171" s="319" t="s">
        <v>190</v>
      </c>
      <c r="HL171" s="319" t="s">
        <v>428</v>
      </c>
      <c r="HM171" s="319" t="s">
        <v>428</v>
      </c>
      <c r="HN171" s="319" t="s">
        <v>428</v>
      </c>
      <c r="HO171" s="319" t="s">
        <v>428</v>
      </c>
      <c r="HP171" s="319" t="s">
        <v>190</v>
      </c>
      <c r="HQ171" s="319" t="s">
        <v>190</v>
      </c>
      <c r="HR171" s="319" t="s">
        <v>190</v>
      </c>
      <c r="HS171" s="319" t="s">
        <v>190</v>
      </c>
      <c r="HT171" s="319" t="s">
        <v>190</v>
      </c>
      <c r="HU171" s="319" t="s">
        <v>190</v>
      </c>
      <c r="HV171" s="319" t="s">
        <v>190</v>
      </c>
      <c r="HW171" s="319" t="s">
        <v>190</v>
      </c>
      <c r="HX171" s="319" t="s">
        <v>190</v>
      </c>
      <c r="HY171" s="319" t="s">
        <v>190</v>
      </c>
      <c r="HZ171" s="319" t="s">
        <v>190</v>
      </c>
      <c r="IA171" s="319" t="s">
        <v>190</v>
      </c>
      <c r="IB171" s="319" t="s">
        <v>190</v>
      </c>
      <c r="IC171" s="319" t="s">
        <v>190</v>
      </c>
      <c r="ID171" s="319" t="s">
        <v>190</v>
      </c>
      <c r="IE171" s="319" t="s">
        <v>190</v>
      </c>
      <c r="IF171" s="319" t="s">
        <v>190</v>
      </c>
      <c r="IG171" s="319" t="s">
        <v>190</v>
      </c>
      <c r="IH171" s="319" t="s">
        <v>190</v>
      </c>
      <c r="II171" s="319" t="s">
        <v>190</v>
      </c>
      <c r="IJ171" s="319" t="s">
        <v>2950</v>
      </c>
      <c r="IK171" s="321">
        <v>42157</v>
      </c>
      <c r="IL171" s="321">
        <v>42159</v>
      </c>
      <c r="IM171" s="321">
        <v>42194</v>
      </c>
      <c r="IN171" s="319">
        <v>2</v>
      </c>
      <c r="IO171" s="319" t="s">
        <v>173</v>
      </c>
      <c r="IP171" s="319" t="s">
        <v>173</v>
      </c>
      <c r="IQ171" s="321" t="s">
        <v>173</v>
      </c>
      <c r="IR171" s="320" t="s">
        <v>173</v>
      </c>
      <c r="IS171" s="322" t="s">
        <v>173</v>
      </c>
      <c r="IT171" s="319" t="s">
        <v>173</v>
      </c>
    </row>
    <row r="172" spans="1:254" s="271" customFormat="1" x14ac:dyDescent="0.25">
      <c r="A172" s="318" t="str">
        <f>HYPERLINK("http://www.ofsted.gov.uk/inspection-reports/find-inspection-report/provider/ELS/115810 ","Ofsted School Webpage")</f>
        <v>Ofsted School Webpage</v>
      </c>
      <c r="B172" s="319">
        <v>115810</v>
      </c>
      <c r="C172" s="319">
        <v>9166073</v>
      </c>
      <c r="D172" s="319" t="s">
        <v>1455</v>
      </c>
      <c r="E172" s="319" t="s">
        <v>167</v>
      </c>
      <c r="F172" s="319" t="s">
        <v>81</v>
      </c>
      <c r="G172" s="319" t="s">
        <v>72</v>
      </c>
      <c r="H172" s="319" t="s">
        <v>72</v>
      </c>
      <c r="I172" s="319" t="s">
        <v>72</v>
      </c>
      <c r="J172" s="319" t="s">
        <v>424</v>
      </c>
      <c r="K172" s="319" t="s">
        <v>422</v>
      </c>
      <c r="L172" s="319" t="s">
        <v>422</v>
      </c>
      <c r="M172" s="319" t="s">
        <v>846</v>
      </c>
      <c r="N172" s="319" t="s">
        <v>2951</v>
      </c>
      <c r="O172" s="319" t="s">
        <v>1456</v>
      </c>
      <c r="P172" s="319">
        <v>73</v>
      </c>
      <c r="Q172" s="319" t="s">
        <v>2766</v>
      </c>
      <c r="R172" s="320">
        <v>10090664</v>
      </c>
      <c r="S172" s="321">
        <v>43781</v>
      </c>
      <c r="T172" s="321">
        <v>43783</v>
      </c>
      <c r="U172" s="321">
        <v>43803</v>
      </c>
      <c r="V172" s="319" t="s">
        <v>425</v>
      </c>
      <c r="W172" s="319" t="s">
        <v>2767</v>
      </c>
      <c r="X172" s="319">
        <v>2</v>
      </c>
      <c r="Y172" s="319">
        <v>2</v>
      </c>
      <c r="Z172" s="319">
        <v>2</v>
      </c>
      <c r="AA172" s="319">
        <v>2</v>
      </c>
      <c r="AB172" s="319">
        <v>2</v>
      </c>
      <c r="AC172" s="319" t="s">
        <v>169</v>
      </c>
      <c r="AD172" s="319" t="s">
        <v>173</v>
      </c>
      <c r="AE172" s="319" t="s">
        <v>173</v>
      </c>
      <c r="AF172" s="319" t="s">
        <v>427</v>
      </c>
      <c r="AG172" s="319" t="s">
        <v>171</v>
      </c>
      <c r="AH172" s="319" t="s">
        <v>190</v>
      </c>
      <c r="AI172" s="319" t="s">
        <v>190</v>
      </c>
      <c r="AJ172" s="319" t="s">
        <v>190</v>
      </c>
      <c r="AK172" s="319" t="s">
        <v>190</v>
      </c>
      <c r="AL172" s="319" t="s">
        <v>190</v>
      </c>
      <c r="AM172" s="319" t="s">
        <v>190</v>
      </c>
      <c r="AN172" s="319" t="s">
        <v>190</v>
      </c>
      <c r="AO172" s="319" t="s">
        <v>190</v>
      </c>
      <c r="AP172" s="319" t="s">
        <v>190</v>
      </c>
      <c r="AQ172" s="319" t="s">
        <v>190</v>
      </c>
      <c r="AR172" s="319" t="s">
        <v>190</v>
      </c>
      <c r="AS172" s="319" t="s">
        <v>190</v>
      </c>
      <c r="AT172" s="319" t="s">
        <v>190</v>
      </c>
      <c r="AU172" s="319" t="s">
        <v>190</v>
      </c>
      <c r="AV172" s="319" t="s">
        <v>190</v>
      </c>
      <c r="AW172" s="319" t="s">
        <v>190</v>
      </c>
      <c r="AX172" s="319" t="s">
        <v>428</v>
      </c>
      <c r="AY172" s="319" t="s">
        <v>190</v>
      </c>
      <c r="AZ172" s="319" t="s">
        <v>190</v>
      </c>
      <c r="BA172" s="319" t="s">
        <v>190</v>
      </c>
      <c r="BB172" s="319" t="s">
        <v>190</v>
      </c>
      <c r="BC172" s="319" t="s">
        <v>190</v>
      </c>
      <c r="BD172" s="319" t="s">
        <v>190</v>
      </c>
      <c r="BE172" s="319" t="s">
        <v>190</v>
      </c>
      <c r="BF172" s="319" t="s">
        <v>428</v>
      </c>
      <c r="BG172" s="319" t="s">
        <v>428</v>
      </c>
      <c r="BH172" s="319" t="s">
        <v>190</v>
      </c>
      <c r="BI172" s="319" t="s">
        <v>190</v>
      </c>
      <c r="BJ172" s="319" t="s">
        <v>190</v>
      </c>
      <c r="BK172" s="319" t="s">
        <v>190</v>
      </c>
      <c r="BL172" s="319" t="s">
        <v>190</v>
      </c>
      <c r="BM172" s="319" t="s">
        <v>190</v>
      </c>
      <c r="BN172" s="319" t="s">
        <v>190</v>
      </c>
      <c r="BO172" s="319" t="s">
        <v>190</v>
      </c>
      <c r="BP172" s="319" t="s">
        <v>190</v>
      </c>
      <c r="BQ172" s="319" t="s">
        <v>190</v>
      </c>
      <c r="BR172" s="319" t="s">
        <v>190</v>
      </c>
      <c r="BS172" s="319" t="s">
        <v>190</v>
      </c>
      <c r="BT172" s="319" t="s">
        <v>190</v>
      </c>
      <c r="BU172" s="319" t="s">
        <v>190</v>
      </c>
      <c r="BV172" s="319" t="s">
        <v>190</v>
      </c>
      <c r="BW172" s="319" t="s">
        <v>190</v>
      </c>
      <c r="BX172" s="319" t="s">
        <v>190</v>
      </c>
      <c r="BY172" s="319" t="s">
        <v>190</v>
      </c>
      <c r="BZ172" s="319" t="s">
        <v>190</v>
      </c>
      <c r="CA172" s="319" t="s">
        <v>190</v>
      </c>
      <c r="CB172" s="319" t="s">
        <v>190</v>
      </c>
      <c r="CC172" s="319" t="s">
        <v>190</v>
      </c>
      <c r="CD172" s="319" t="s">
        <v>190</v>
      </c>
      <c r="CE172" s="319" t="s">
        <v>190</v>
      </c>
      <c r="CF172" s="319" t="s">
        <v>190</v>
      </c>
      <c r="CG172" s="319" t="s">
        <v>190</v>
      </c>
      <c r="CH172" s="319" t="s">
        <v>190</v>
      </c>
      <c r="CI172" s="319" t="s">
        <v>190</v>
      </c>
      <c r="CJ172" s="319" t="s">
        <v>190</v>
      </c>
      <c r="CK172" s="319" t="s">
        <v>190</v>
      </c>
      <c r="CL172" s="319" t="s">
        <v>190</v>
      </c>
      <c r="CM172" s="319" t="s">
        <v>190</v>
      </c>
      <c r="CN172" s="319" t="s">
        <v>428</v>
      </c>
      <c r="CO172" s="319" t="s">
        <v>428</v>
      </c>
      <c r="CP172" s="319" t="s">
        <v>428</v>
      </c>
      <c r="CQ172" s="319" t="s">
        <v>190</v>
      </c>
      <c r="CR172" s="319" t="s">
        <v>190</v>
      </c>
      <c r="CS172" s="319" t="s">
        <v>190</v>
      </c>
      <c r="CT172" s="319" t="s">
        <v>190</v>
      </c>
      <c r="CU172" s="319" t="s">
        <v>190</v>
      </c>
      <c r="CV172" s="319" t="s">
        <v>190</v>
      </c>
      <c r="CW172" s="319" t="s">
        <v>190</v>
      </c>
      <c r="CX172" s="319" t="s">
        <v>190</v>
      </c>
      <c r="CY172" s="319" t="s">
        <v>190</v>
      </c>
      <c r="CZ172" s="319" t="s">
        <v>190</v>
      </c>
      <c r="DA172" s="319" t="s">
        <v>190</v>
      </c>
      <c r="DB172" s="319" t="s">
        <v>190</v>
      </c>
      <c r="DC172" s="319" t="s">
        <v>190</v>
      </c>
      <c r="DD172" s="319" t="s">
        <v>190</v>
      </c>
      <c r="DE172" s="319" t="s">
        <v>190</v>
      </c>
      <c r="DF172" s="319" t="s">
        <v>190</v>
      </c>
      <c r="DG172" s="319" t="s">
        <v>190</v>
      </c>
      <c r="DH172" s="319" t="s">
        <v>190</v>
      </c>
      <c r="DI172" s="319" t="s">
        <v>190</v>
      </c>
      <c r="DJ172" s="319" t="s">
        <v>190</v>
      </c>
      <c r="DK172" s="319" t="s">
        <v>190</v>
      </c>
      <c r="DL172" s="319" t="s">
        <v>190</v>
      </c>
      <c r="DM172" s="319" t="s">
        <v>190</v>
      </c>
      <c r="DN172" s="319" t="s">
        <v>428</v>
      </c>
      <c r="DO172" s="319" t="s">
        <v>190</v>
      </c>
      <c r="DP172" s="319" t="s">
        <v>428</v>
      </c>
      <c r="DQ172" s="319" t="s">
        <v>428</v>
      </c>
      <c r="DR172" s="319" t="s">
        <v>428</v>
      </c>
      <c r="DS172" s="319" t="s">
        <v>428</v>
      </c>
      <c r="DT172" s="319" t="s">
        <v>428</v>
      </c>
      <c r="DU172" s="319" t="s">
        <v>428</v>
      </c>
      <c r="DV172" s="319" t="s">
        <v>428</v>
      </c>
      <c r="DW172" s="319" t="s">
        <v>428</v>
      </c>
      <c r="DX172" s="319" t="s">
        <v>428</v>
      </c>
      <c r="DY172" s="319" t="s">
        <v>428</v>
      </c>
      <c r="DZ172" s="319" t="s">
        <v>428</v>
      </c>
      <c r="EA172" s="319" t="s">
        <v>428</v>
      </c>
      <c r="EB172" s="319" t="s">
        <v>428</v>
      </c>
      <c r="EC172" s="319" t="s">
        <v>428</v>
      </c>
      <c r="ED172" s="319" t="s">
        <v>190</v>
      </c>
      <c r="EE172" s="319" t="s">
        <v>190</v>
      </c>
      <c r="EF172" s="319" t="s">
        <v>190</v>
      </c>
      <c r="EG172" s="319" t="s">
        <v>190</v>
      </c>
      <c r="EH172" s="319" t="s">
        <v>190</v>
      </c>
      <c r="EI172" s="319" t="s">
        <v>190</v>
      </c>
      <c r="EJ172" s="319" t="s">
        <v>190</v>
      </c>
      <c r="EK172" s="319" t="s">
        <v>190</v>
      </c>
      <c r="EL172" s="319" t="s">
        <v>190</v>
      </c>
      <c r="EM172" s="319" t="s">
        <v>190</v>
      </c>
      <c r="EN172" s="319" t="s">
        <v>190</v>
      </c>
      <c r="EO172" s="319" t="s">
        <v>190</v>
      </c>
      <c r="EP172" s="319" t="s">
        <v>190</v>
      </c>
      <c r="EQ172" s="319" t="s">
        <v>190</v>
      </c>
      <c r="ER172" s="319" t="s">
        <v>190</v>
      </c>
      <c r="ES172" s="319" t="s">
        <v>190</v>
      </c>
      <c r="ET172" s="319" t="s">
        <v>190</v>
      </c>
      <c r="EU172" s="319" t="s">
        <v>190</v>
      </c>
      <c r="EV172" s="319" t="s">
        <v>190</v>
      </c>
      <c r="EW172" s="319" t="s">
        <v>190</v>
      </c>
      <c r="EX172" s="319" t="s">
        <v>190</v>
      </c>
      <c r="EY172" s="319" t="s">
        <v>190</v>
      </c>
      <c r="EZ172" s="319" t="s">
        <v>190</v>
      </c>
      <c r="FA172" s="319" t="s">
        <v>190</v>
      </c>
      <c r="FB172" s="319" t="s">
        <v>428</v>
      </c>
      <c r="FC172" s="319" t="s">
        <v>428</v>
      </c>
      <c r="FD172" s="319" t="s">
        <v>428</v>
      </c>
      <c r="FE172" s="319" t="s">
        <v>428</v>
      </c>
      <c r="FF172" s="319" t="s">
        <v>428</v>
      </c>
      <c r="FG172" s="319" t="s">
        <v>428</v>
      </c>
      <c r="FH172" s="319" t="s">
        <v>190</v>
      </c>
      <c r="FI172" s="319" t="s">
        <v>190</v>
      </c>
      <c r="FJ172" s="319" t="s">
        <v>190</v>
      </c>
      <c r="FK172" s="319" t="s">
        <v>190</v>
      </c>
      <c r="FL172" s="319" t="s">
        <v>190</v>
      </c>
      <c r="FM172" s="319" t="s">
        <v>190</v>
      </c>
      <c r="FN172" s="319" t="s">
        <v>190</v>
      </c>
      <c r="FO172" s="319" t="s">
        <v>190</v>
      </c>
      <c r="FP172" s="319" t="s">
        <v>190</v>
      </c>
      <c r="FQ172" s="319" t="s">
        <v>190</v>
      </c>
      <c r="FR172" s="319" t="s">
        <v>190</v>
      </c>
      <c r="FS172" s="319" t="s">
        <v>428</v>
      </c>
      <c r="FT172" s="319" t="s">
        <v>190</v>
      </c>
      <c r="FU172" s="319" t="s">
        <v>190</v>
      </c>
      <c r="FV172" s="319" t="s">
        <v>190</v>
      </c>
      <c r="FW172" s="319" t="s">
        <v>190</v>
      </c>
      <c r="FX172" s="319" t="s">
        <v>190</v>
      </c>
      <c r="FY172" s="319" t="s">
        <v>190</v>
      </c>
      <c r="FZ172" s="319" t="s">
        <v>190</v>
      </c>
      <c r="GA172" s="319" t="s">
        <v>190</v>
      </c>
      <c r="GB172" s="319" t="s">
        <v>190</v>
      </c>
      <c r="GC172" s="319" t="s">
        <v>190</v>
      </c>
      <c r="GD172" s="319" t="s">
        <v>190</v>
      </c>
      <c r="GE172" s="319" t="s">
        <v>190</v>
      </c>
      <c r="GF172" s="319" t="s">
        <v>190</v>
      </c>
      <c r="GG172" s="319" t="s">
        <v>190</v>
      </c>
      <c r="GH172" s="319" t="s">
        <v>190</v>
      </c>
      <c r="GI172" s="319" t="s">
        <v>190</v>
      </c>
      <c r="GJ172" s="319" t="s">
        <v>190</v>
      </c>
      <c r="GK172" s="319" t="s">
        <v>428</v>
      </c>
      <c r="GL172" s="319" t="s">
        <v>190</v>
      </c>
      <c r="GM172" s="319" t="s">
        <v>190</v>
      </c>
      <c r="GN172" s="319" t="s">
        <v>190</v>
      </c>
      <c r="GO172" s="319" t="s">
        <v>190</v>
      </c>
      <c r="GP172" s="319" t="s">
        <v>190</v>
      </c>
      <c r="GQ172" s="319" t="s">
        <v>190</v>
      </c>
      <c r="GR172" s="319" t="s">
        <v>190</v>
      </c>
      <c r="GS172" s="319" t="s">
        <v>190</v>
      </c>
      <c r="GT172" s="319" t="s">
        <v>190</v>
      </c>
      <c r="GU172" s="319" t="s">
        <v>190</v>
      </c>
      <c r="GV172" s="319" t="s">
        <v>190</v>
      </c>
      <c r="GW172" s="319" t="s">
        <v>190</v>
      </c>
      <c r="GX172" s="319" t="s">
        <v>190</v>
      </c>
      <c r="GY172" s="319" t="s">
        <v>190</v>
      </c>
      <c r="GZ172" s="319" t="s">
        <v>428</v>
      </c>
      <c r="HA172" s="319" t="s">
        <v>190</v>
      </c>
      <c r="HB172" s="319" t="s">
        <v>190</v>
      </c>
      <c r="HC172" s="319" t="s">
        <v>190</v>
      </c>
      <c r="HD172" s="319" t="s">
        <v>190</v>
      </c>
      <c r="HE172" s="319" t="s">
        <v>190</v>
      </c>
      <c r="HF172" s="319" t="s">
        <v>190</v>
      </c>
      <c r="HG172" s="319" t="s">
        <v>190</v>
      </c>
      <c r="HH172" s="319" t="s">
        <v>190</v>
      </c>
      <c r="HI172" s="319" t="s">
        <v>190</v>
      </c>
      <c r="HJ172" s="319" t="s">
        <v>190</v>
      </c>
      <c r="HK172" s="319" t="s">
        <v>190</v>
      </c>
      <c r="HL172" s="319" t="s">
        <v>190</v>
      </c>
      <c r="HM172" s="319" t="s">
        <v>190</v>
      </c>
      <c r="HN172" s="319" t="s">
        <v>190</v>
      </c>
      <c r="HO172" s="319" t="s">
        <v>190</v>
      </c>
      <c r="HP172" s="319" t="s">
        <v>190</v>
      </c>
      <c r="HQ172" s="319" t="s">
        <v>190</v>
      </c>
      <c r="HR172" s="319" t="s">
        <v>190</v>
      </c>
      <c r="HS172" s="319" t="s">
        <v>190</v>
      </c>
      <c r="HT172" s="319" t="s">
        <v>190</v>
      </c>
      <c r="HU172" s="319" t="s">
        <v>190</v>
      </c>
      <c r="HV172" s="319" t="s">
        <v>190</v>
      </c>
      <c r="HW172" s="319" t="s">
        <v>190</v>
      </c>
      <c r="HX172" s="319" t="s">
        <v>190</v>
      </c>
      <c r="HY172" s="319" t="s">
        <v>190</v>
      </c>
      <c r="HZ172" s="319" t="s">
        <v>190</v>
      </c>
      <c r="IA172" s="319" t="s">
        <v>190</v>
      </c>
      <c r="IB172" s="319" t="s">
        <v>190</v>
      </c>
      <c r="IC172" s="319" t="s">
        <v>190</v>
      </c>
      <c r="ID172" s="319" t="s">
        <v>190</v>
      </c>
      <c r="IE172" s="319" t="s">
        <v>190</v>
      </c>
      <c r="IF172" s="319" t="s">
        <v>190</v>
      </c>
      <c r="IG172" s="319" t="s">
        <v>190</v>
      </c>
      <c r="IH172" s="319" t="s">
        <v>190</v>
      </c>
      <c r="II172" s="319" t="s">
        <v>190</v>
      </c>
      <c r="IJ172" s="319">
        <v>10033886</v>
      </c>
      <c r="IK172" s="321">
        <v>43053</v>
      </c>
      <c r="IL172" s="321">
        <v>43055</v>
      </c>
      <c r="IM172" s="321">
        <v>43109</v>
      </c>
      <c r="IN172" s="319">
        <v>3</v>
      </c>
      <c r="IO172" s="319" t="s">
        <v>173</v>
      </c>
      <c r="IP172" s="319" t="s">
        <v>173</v>
      </c>
      <c r="IQ172" s="321" t="s">
        <v>173</v>
      </c>
      <c r="IR172" s="320" t="s">
        <v>173</v>
      </c>
      <c r="IS172" s="322" t="s">
        <v>173</v>
      </c>
      <c r="IT172" s="319" t="s">
        <v>173</v>
      </c>
    </row>
    <row r="173" spans="1:254" s="271" customFormat="1" x14ac:dyDescent="0.25">
      <c r="A173" s="318" t="str">
        <f>HYPERLINK("http://www.ofsted.gov.uk/inspection-reports/find-inspection-report/provider/ELS/116564 ","Ofsted School Webpage")</f>
        <v>Ofsted School Webpage</v>
      </c>
      <c r="B173" s="319">
        <v>116564</v>
      </c>
      <c r="C173" s="319">
        <v>8506030</v>
      </c>
      <c r="D173" s="319" t="s">
        <v>1457</v>
      </c>
      <c r="E173" s="319" t="s">
        <v>168</v>
      </c>
      <c r="F173" s="319" t="s">
        <v>81</v>
      </c>
      <c r="G173" s="319" t="s">
        <v>81</v>
      </c>
      <c r="H173" s="319" t="s">
        <v>81</v>
      </c>
      <c r="I173" s="319" t="s">
        <v>78</v>
      </c>
      <c r="J173" s="319" t="s">
        <v>424</v>
      </c>
      <c r="K173" s="319" t="s">
        <v>514</v>
      </c>
      <c r="L173" s="319" t="s">
        <v>514</v>
      </c>
      <c r="M173" s="319" t="s">
        <v>515</v>
      </c>
      <c r="N173" s="319" t="s">
        <v>2952</v>
      </c>
      <c r="O173" s="319" t="s">
        <v>1458</v>
      </c>
      <c r="P173" s="319">
        <v>55</v>
      </c>
      <c r="Q173" s="319" t="s">
        <v>429</v>
      </c>
      <c r="R173" s="320">
        <v>10121148</v>
      </c>
      <c r="S173" s="321">
        <v>43774</v>
      </c>
      <c r="T173" s="321">
        <v>43776</v>
      </c>
      <c r="U173" s="321">
        <v>43811</v>
      </c>
      <c r="V173" s="319" t="s">
        <v>425</v>
      </c>
      <c r="W173" s="319" t="s">
        <v>2767</v>
      </c>
      <c r="X173" s="319">
        <v>2</v>
      </c>
      <c r="Y173" s="319">
        <v>2</v>
      </c>
      <c r="Z173" s="319">
        <v>2</v>
      </c>
      <c r="AA173" s="319">
        <v>2</v>
      </c>
      <c r="AB173" s="319">
        <v>2</v>
      </c>
      <c r="AC173" s="319" t="s">
        <v>169</v>
      </c>
      <c r="AD173" s="319" t="s">
        <v>173</v>
      </c>
      <c r="AE173" s="319">
        <v>2</v>
      </c>
      <c r="AF173" s="319" t="s">
        <v>427</v>
      </c>
      <c r="AG173" s="319" t="s">
        <v>171</v>
      </c>
      <c r="AH173" s="319" t="s">
        <v>190</v>
      </c>
      <c r="AI173" s="319" t="s">
        <v>190</v>
      </c>
      <c r="AJ173" s="319" t="s">
        <v>190</v>
      </c>
      <c r="AK173" s="319" t="s">
        <v>190</v>
      </c>
      <c r="AL173" s="319" t="s">
        <v>190</v>
      </c>
      <c r="AM173" s="319" t="s">
        <v>190</v>
      </c>
      <c r="AN173" s="319" t="s">
        <v>190</v>
      </c>
      <c r="AO173" s="319" t="s">
        <v>190</v>
      </c>
      <c r="AP173" s="319" t="s">
        <v>190</v>
      </c>
      <c r="AQ173" s="319" t="s">
        <v>190</v>
      </c>
      <c r="AR173" s="319" t="s">
        <v>190</v>
      </c>
      <c r="AS173" s="319" t="s">
        <v>190</v>
      </c>
      <c r="AT173" s="319" t="s">
        <v>190</v>
      </c>
      <c r="AU173" s="319" t="s">
        <v>190</v>
      </c>
      <c r="AV173" s="319" t="s">
        <v>190</v>
      </c>
      <c r="AW173" s="319" t="s">
        <v>190</v>
      </c>
      <c r="AX173" s="319" t="s">
        <v>190</v>
      </c>
      <c r="AY173" s="319" t="s">
        <v>190</v>
      </c>
      <c r="AZ173" s="319" t="s">
        <v>190</v>
      </c>
      <c r="BA173" s="319" t="s">
        <v>190</v>
      </c>
      <c r="BB173" s="319" t="s">
        <v>190</v>
      </c>
      <c r="BC173" s="319" t="s">
        <v>190</v>
      </c>
      <c r="BD173" s="319" t="s">
        <v>190</v>
      </c>
      <c r="BE173" s="319" t="s">
        <v>190</v>
      </c>
      <c r="BF173" s="319" t="s">
        <v>190</v>
      </c>
      <c r="BG173" s="319" t="s">
        <v>190</v>
      </c>
      <c r="BH173" s="319" t="s">
        <v>190</v>
      </c>
      <c r="BI173" s="319" t="s">
        <v>190</v>
      </c>
      <c r="BJ173" s="319" t="s">
        <v>190</v>
      </c>
      <c r="BK173" s="319" t="s">
        <v>190</v>
      </c>
      <c r="BL173" s="319" t="s">
        <v>190</v>
      </c>
      <c r="BM173" s="319" t="s">
        <v>190</v>
      </c>
      <c r="BN173" s="319" t="s">
        <v>190</v>
      </c>
      <c r="BO173" s="319" t="s">
        <v>190</v>
      </c>
      <c r="BP173" s="319" t="s">
        <v>190</v>
      </c>
      <c r="BQ173" s="319" t="s">
        <v>190</v>
      </c>
      <c r="BR173" s="319" t="s">
        <v>190</v>
      </c>
      <c r="BS173" s="319" t="s">
        <v>190</v>
      </c>
      <c r="BT173" s="319" t="s">
        <v>190</v>
      </c>
      <c r="BU173" s="319" t="s">
        <v>190</v>
      </c>
      <c r="BV173" s="319" t="s">
        <v>190</v>
      </c>
      <c r="BW173" s="319" t="s">
        <v>190</v>
      </c>
      <c r="BX173" s="319" t="s">
        <v>190</v>
      </c>
      <c r="BY173" s="319" t="s">
        <v>190</v>
      </c>
      <c r="BZ173" s="319" t="s">
        <v>190</v>
      </c>
      <c r="CA173" s="319" t="s">
        <v>190</v>
      </c>
      <c r="CB173" s="319" t="s">
        <v>190</v>
      </c>
      <c r="CC173" s="319" t="s">
        <v>190</v>
      </c>
      <c r="CD173" s="319" t="s">
        <v>190</v>
      </c>
      <c r="CE173" s="319" t="s">
        <v>190</v>
      </c>
      <c r="CF173" s="319" t="s">
        <v>190</v>
      </c>
      <c r="CG173" s="319" t="s">
        <v>190</v>
      </c>
      <c r="CH173" s="319" t="s">
        <v>190</v>
      </c>
      <c r="CI173" s="319" t="s">
        <v>190</v>
      </c>
      <c r="CJ173" s="319" t="s">
        <v>190</v>
      </c>
      <c r="CK173" s="319" t="s">
        <v>190</v>
      </c>
      <c r="CL173" s="319" t="s">
        <v>190</v>
      </c>
      <c r="CM173" s="319" t="s">
        <v>190</v>
      </c>
      <c r="CN173" s="319" t="s">
        <v>190</v>
      </c>
      <c r="CO173" s="319" t="s">
        <v>190</v>
      </c>
      <c r="CP173" s="319" t="s">
        <v>190</v>
      </c>
      <c r="CQ173" s="319" t="s">
        <v>190</v>
      </c>
      <c r="CR173" s="319" t="s">
        <v>190</v>
      </c>
      <c r="CS173" s="319" t="s">
        <v>190</v>
      </c>
      <c r="CT173" s="319" t="s">
        <v>190</v>
      </c>
      <c r="CU173" s="319" t="s">
        <v>190</v>
      </c>
      <c r="CV173" s="319" t="s">
        <v>190</v>
      </c>
      <c r="CW173" s="319" t="s">
        <v>190</v>
      </c>
      <c r="CX173" s="319" t="s">
        <v>190</v>
      </c>
      <c r="CY173" s="319" t="s">
        <v>190</v>
      </c>
      <c r="CZ173" s="319" t="s">
        <v>190</v>
      </c>
      <c r="DA173" s="319" t="s">
        <v>190</v>
      </c>
      <c r="DB173" s="319" t="s">
        <v>190</v>
      </c>
      <c r="DC173" s="319" t="s">
        <v>190</v>
      </c>
      <c r="DD173" s="319" t="s">
        <v>190</v>
      </c>
      <c r="DE173" s="319" t="s">
        <v>190</v>
      </c>
      <c r="DF173" s="319" t="s">
        <v>190</v>
      </c>
      <c r="DG173" s="319" t="s">
        <v>190</v>
      </c>
      <c r="DH173" s="319" t="s">
        <v>190</v>
      </c>
      <c r="DI173" s="319" t="s">
        <v>190</v>
      </c>
      <c r="DJ173" s="319" t="s">
        <v>190</v>
      </c>
      <c r="DK173" s="319" t="s">
        <v>190</v>
      </c>
      <c r="DL173" s="319" t="s">
        <v>190</v>
      </c>
      <c r="DM173" s="319" t="s">
        <v>190</v>
      </c>
      <c r="DN173" s="319" t="s">
        <v>428</v>
      </c>
      <c r="DO173" s="319" t="s">
        <v>190</v>
      </c>
      <c r="DP173" s="319" t="s">
        <v>428</v>
      </c>
      <c r="DQ173" s="319" t="s">
        <v>190</v>
      </c>
      <c r="DR173" s="319" t="s">
        <v>190</v>
      </c>
      <c r="DS173" s="319" t="s">
        <v>190</v>
      </c>
      <c r="DT173" s="319" t="s">
        <v>190</v>
      </c>
      <c r="DU173" s="319" t="s">
        <v>190</v>
      </c>
      <c r="DV173" s="319" t="s">
        <v>190</v>
      </c>
      <c r="DW173" s="319" t="s">
        <v>190</v>
      </c>
      <c r="DX173" s="319" t="s">
        <v>190</v>
      </c>
      <c r="DY173" s="319" t="s">
        <v>190</v>
      </c>
      <c r="DZ173" s="319" t="s">
        <v>190</v>
      </c>
      <c r="EA173" s="319" t="s">
        <v>190</v>
      </c>
      <c r="EB173" s="319" t="s">
        <v>190</v>
      </c>
      <c r="EC173" s="319" t="s">
        <v>190</v>
      </c>
      <c r="ED173" s="319" t="s">
        <v>190</v>
      </c>
      <c r="EE173" s="319" t="s">
        <v>190</v>
      </c>
      <c r="EF173" s="319" t="s">
        <v>190</v>
      </c>
      <c r="EG173" s="319" t="s">
        <v>190</v>
      </c>
      <c r="EH173" s="319" t="s">
        <v>190</v>
      </c>
      <c r="EI173" s="319" t="s">
        <v>190</v>
      </c>
      <c r="EJ173" s="319" t="s">
        <v>190</v>
      </c>
      <c r="EK173" s="319" t="s">
        <v>190</v>
      </c>
      <c r="EL173" s="319" t="s">
        <v>190</v>
      </c>
      <c r="EM173" s="319" t="s">
        <v>190</v>
      </c>
      <c r="EN173" s="319" t="s">
        <v>190</v>
      </c>
      <c r="EO173" s="319" t="s">
        <v>190</v>
      </c>
      <c r="EP173" s="319" t="s">
        <v>190</v>
      </c>
      <c r="EQ173" s="319" t="s">
        <v>190</v>
      </c>
      <c r="ER173" s="319" t="s">
        <v>190</v>
      </c>
      <c r="ES173" s="319" t="s">
        <v>190</v>
      </c>
      <c r="ET173" s="319" t="s">
        <v>190</v>
      </c>
      <c r="EU173" s="319" t="s">
        <v>190</v>
      </c>
      <c r="EV173" s="319" t="s">
        <v>190</v>
      </c>
      <c r="EW173" s="319" t="s">
        <v>190</v>
      </c>
      <c r="EX173" s="319" t="s">
        <v>190</v>
      </c>
      <c r="EY173" s="319" t="s">
        <v>190</v>
      </c>
      <c r="EZ173" s="319" t="s">
        <v>190</v>
      </c>
      <c r="FA173" s="319" t="s">
        <v>190</v>
      </c>
      <c r="FB173" s="319" t="s">
        <v>190</v>
      </c>
      <c r="FC173" s="319" t="s">
        <v>190</v>
      </c>
      <c r="FD173" s="319" t="s">
        <v>190</v>
      </c>
      <c r="FE173" s="319" t="s">
        <v>190</v>
      </c>
      <c r="FF173" s="319" t="s">
        <v>190</v>
      </c>
      <c r="FG173" s="319" t="s">
        <v>190</v>
      </c>
      <c r="FH173" s="319" t="s">
        <v>190</v>
      </c>
      <c r="FI173" s="319" t="s">
        <v>190</v>
      </c>
      <c r="FJ173" s="319" t="s">
        <v>190</v>
      </c>
      <c r="FK173" s="319" t="s">
        <v>190</v>
      </c>
      <c r="FL173" s="319" t="s">
        <v>190</v>
      </c>
      <c r="FM173" s="319" t="s">
        <v>190</v>
      </c>
      <c r="FN173" s="319" t="s">
        <v>190</v>
      </c>
      <c r="FO173" s="319" t="s">
        <v>190</v>
      </c>
      <c r="FP173" s="319" t="s">
        <v>190</v>
      </c>
      <c r="FQ173" s="319" t="s">
        <v>190</v>
      </c>
      <c r="FR173" s="319" t="s">
        <v>190</v>
      </c>
      <c r="FS173" s="319" t="s">
        <v>190</v>
      </c>
      <c r="FT173" s="319" t="s">
        <v>190</v>
      </c>
      <c r="FU173" s="319" t="s">
        <v>190</v>
      </c>
      <c r="FV173" s="319" t="s">
        <v>190</v>
      </c>
      <c r="FW173" s="319" t="s">
        <v>190</v>
      </c>
      <c r="FX173" s="319" t="s">
        <v>190</v>
      </c>
      <c r="FY173" s="319" t="s">
        <v>190</v>
      </c>
      <c r="FZ173" s="319" t="s">
        <v>190</v>
      </c>
      <c r="GA173" s="319" t="s">
        <v>190</v>
      </c>
      <c r="GB173" s="319" t="s">
        <v>190</v>
      </c>
      <c r="GC173" s="319" t="s">
        <v>190</v>
      </c>
      <c r="GD173" s="319" t="s">
        <v>190</v>
      </c>
      <c r="GE173" s="319" t="s">
        <v>190</v>
      </c>
      <c r="GF173" s="319" t="s">
        <v>190</v>
      </c>
      <c r="GG173" s="319" t="s">
        <v>190</v>
      </c>
      <c r="GH173" s="319" t="s">
        <v>190</v>
      </c>
      <c r="GI173" s="319" t="s">
        <v>190</v>
      </c>
      <c r="GJ173" s="319" t="s">
        <v>190</v>
      </c>
      <c r="GK173" s="319" t="s">
        <v>428</v>
      </c>
      <c r="GL173" s="319" t="s">
        <v>190</v>
      </c>
      <c r="GM173" s="319" t="s">
        <v>190</v>
      </c>
      <c r="GN173" s="319" t="s">
        <v>190</v>
      </c>
      <c r="GO173" s="319" t="s">
        <v>190</v>
      </c>
      <c r="GP173" s="319" t="s">
        <v>190</v>
      </c>
      <c r="GQ173" s="319" t="s">
        <v>190</v>
      </c>
      <c r="GR173" s="319" t="s">
        <v>190</v>
      </c>
      <c r="GS173" s="319" t="s">
        <v>190</v>
      </c>
      <c r="GT173" s="319" t="s">
        <v>190</v>
      </c>
      <c r="GU173" s="319" t="s">
        <v>190</v>
      </c>
      <c r="GV173" s="319" t="s">
        <v>190</v>
      </c>
      <c r="GW173" s="319" t="s">
        <v>190</v>
      </c>
      <c r="GX173" s="319" t="s">
        <v>190</v>
      </c>
      <c r="GY173" s="319" t="s">
        <v>190</v>
      </c>
      <c r="GZ173" s="319" t="s">
        <v>190</v>
      </c>
      <c r="HA173" s="319" t="s">
        <v>190</v>
      </c>
      <c r="HB173" s="319" t="s">
        <v>190</v>
      </c>
      <c r="HC173" s="319" t="s">
        <v>190</v>
      </c>
      <c r="HD173" s="319" t="s">
        <v>190</v>
      </c>
      <c r="HE173" s="319" t="s">
        <v>190</v>
      </c>
      <c r="HF173" s="319" t="s">
        <v>190</v>
      </c>
      <c r="HG173" s="319" t="s">
        <v>190</v>
      </c>
      <c r="HH173" s="319" t="s">
        <v>190</v>
      </c>
      <c r="HI173" s="319" t="s">
        <v>190</v>
      </c>
      <c r="HJ173" s="319" t="s">
        <v>190</v>
      </c>
      <c r="HK173" s="319" t="s">
        <v>190</v>
      </c>
      <c r="HL173" s="319" t="s">
        <v>428</v>
      </c>
      <c r="HM173" s="319" t="s">
        <v>428</v>
      </c>
      <c r="HN173" s="319" t="s">
        <v>428</v>
      </c>
      <c r="HO173" s="319" t="s">
        <v>428</v>
      </c>
      <c r="HP173" s="319" t="s">
        <v>190</v>
      </c>
      <c r="HQ173" s="319" t="s">
        <v>190</v>
      </c>
      <c r="HR173" s="319" t="s">
        <v>190</v>
      </c>
      <c r="HS173" s="319" t="s">
        <v>190</v>
      </c>
      <c r="HT173" s="319" t="s">
        <v>190</v>
      </c>
      <c r="HU173" s="319" t="s">
        <v>190</v>
      </c>
      <c r="HV173" s="319" t="s">
        <v>190</v>
      </c>
      <c r="HW173" s="319" t="s">
        <v>190</v>
      </c>
      <c r="HX173" s="319" t="s">
        <v>190</v>
      </c>
      <c r="HY173" s="319" t="s">
        <v>190</v>
      </c>
      <c r="HZ173" s="319" t="s">
        <v>190</v>
      </c>
      <c r="IA173" s="319" t="s">
        <v>190</v>
      </c>
      <c r="IB173" s="319" t="s">
        <v>190</v>
      </c>
      <c r="IC173" s="319" t="s">
        <v>190</v>
      </c>
      <c r="ID173" s="319" t="s">
        <v>190</v>
      </c>
      <c r="IE173" s="319" t="s">
        <v>190</v>
      </c>
      <c r="IF173" s="319" t="s">
        <v>190</v>
      </c>
      <c r="IG173" s="319" t="s">
        <v>190</v>
      </c>
      <c r="IH173" s="319" t="s">
        <v>190</v>
      </c>
      <c r="II173" s="319" t="s">
        <v>190</v>
      </c>
      <c r="IJ173" s="319">
        <v>10035876</v>
      </c>
      <c r="IK173" s="321">
        <v>43011</v>
      </c>
      <c r="IL173" s="321">
        <v>43013</v>
      </c>
      <c r="IM173" s="321">
        <v>43053</v>
      </c>
      <c r="IN173" s="319">
        <v>2</v>
      </c>
      <c r="IO173" s="319" t="s">
        <v>173</v>
      </c>
      <c r="IP173" s="319" t="s">
        <v>173</v>
      </c>
      <c r="IQ173" s="319" t="s">
        <v>173</v>
      </c>
      <c r="IR173" s="320" t="s">
        <v>173</v>
      </c>
      <c r="IS173" s="320" t="s">
        <v>173</v>
      </c>
      <c r="IT173" s="319" t="s">
        <v>173</v>
      </c>
    </row>
    <row r="174" spans="1:254" s="271" customFormat="1" x14ac:dyDescent="0.25">
      <c r="A174" s="318" t="str">
        <f>HYPERLINK("http://www.ofsted.gov.uk/inspection-reports/find-inspection-report/provider/ELS/116565 ","Ofsted School Webpage")</f>
        <v>Ofsted School Webpage</v>
      </c>
      <c r="B174" s="319">
        <v>116565</v>
      </c>
      <c r="C174" s="319">
        <v>8506031</v>
      </c>
      <c r="D174" s="319" t="s">
        <v>1459</v>
      </c>
      <c r="E174" s="319" t="s">
        <v>168</v>
      </c>
      <c r="F174" s="319" t="s">
        <v>81</v>
      </c>
      <c r="G174" s="319" t="s">
        <v>81</v>
      </c>
      <c r="H174" s="319" t="s">
        <v>81</v>
      </c>
      <c r="I174" s="319" t="s">
        <v>78</v>
      </c>
      <c r="J174" s="319" t="s">
        <v>424</v>
      </c>
      <c r="K174" s="319" t="s">
        <v>514</v>
      </c>
      <c r="L174" s="319" t="s">
        <v>514</v>
      </c>
      <c r="M174" s="319" t="s">
        <v>515</v>
      </c>
      <c r="N174" s="319" t="s">
        <v>2952</v>
      </c>
      <c r="O174" s="319" t="s">
        <v>1460</v>
      </c>
      <c r="P174" s="319">
        <v>29</v>
      </c>
      <c r="Q174" s="319" t="s">
        <v>2776</v>
      </c>
      <c r="R174" s="320">
        <v>10008897</v>
      </c>
      <c r="S174" s="321">
        <v>42906</v>
      </c>
      <c r="T174" s="321">
        <v>42908</v>
      </c>
      <c r="U174" s="321">
        <v>42947</v>
      </c>
      <c r="V174" s="319" t="s">
        <v>425</v>
      </c>
      <c r="W174" s="319" t="s">
        <v>2767</v>
      </c>
      <c r="X174" s="319">
        <v>1</v>
      </c>
      <c r="Y174" s="319" t="s">
        <v>173</v>
      </c>
      <c r="Z174" s="319" t="s">
        <v>173</v>
      </c>
      <c r="AA174" s="319" t="s">
        <v>173</v>
      </c>
      <c r="AB174" s="319">
        <v>1</v>
      </c>
      <c r="AC174" s="319" t="s">
        <v>169</v>
      </c>
      <c r="AD174" s="319" t="s">
        <v>173</v>
      </c>
      <c r="AE174" s="319">
        <v>1</v>
      </c>
      <c r="AF174" s="319" t="s">
        <v>173</v>
      </c>
      <c r="AG174" s="319" t="s">
        <v>171</v>
      </c>
      <c r="AH174" s="319" t="s">
        <v>190</v>
      </c>
      <c r="AI174" s="319" t="s">
        <v>190</v>
      </c>
      <c r="AJ174" s="319" t="s">
        <v>190</v>
      </c>
      <c r="AK174" s="319" t="s">
        <v>190</v>
      </c>
      <c r="AL174" s="319" t="s">
        <v>190</v>
      </c>
      <c r="AM174" s="319" t="s">
        <v>190</v>
      </c>
      <c r="AN174" s="319" t="s">
        <v>190</v>
      </c>
      <c r="AO174" s="319" t="s">
        <v>190</v>
      </c>
      <c r="AP174" s="319" t="s">
        <v>190</v>
      </c>
      <c r="AQ174" s="319" t="s">
        <v>190</v>
      </c>
      <c r="AR174" s="319" t="s">
        <v>190</v>
      </c>
      <c r="AS174" s="319" t="s">
        <v>190</v>
      </c>
      <c r="AT174" s="319" t="s">
        <v>190</v>
      </c>
      <c r="AU174" s="319" t="s">
        <v>190</v>
      </c>
      <c r="AV174" s="319" t="s">
        <v>190</v>
      </c>
      <c r="AW174" s="319" t="s">
        <v>190</v>
      </c>
      <c r="AX174" s="319" t="s">
        <v>429</v>
      </c>
      <c r="AY174" s="319" t="s">
        <v>190</v>
      </c>
      <c r="AZ174" s="319" t="s">
        <v>190</v>
      </c>
      <c r="BA174" s="319" t="s">
        <v>190</v>
      </c>
      <c r="BB174" s="319" t="s">
        <v>190</v>
      </c>
      <c r="BC174" s="319" t="s">
        <v>190</v>
      </c>
      <c r="BD174" s="319" t="s">
        <v>190</v>
      </c>
      <c r="BE174" s="319" t="s">
        <v>190</v>
      </c>
      <c r="BF174" s="319" t="s">
        <v>429</v>
      </c>
      <c r="BG174" s="319" t="s">
        <v>190</v>
      </c>
      <c r="BH174" s="319" t="s">
        <v>190</v>
      </c>
      <c r="BI174" s="319" t="s">
        <v>190</v>
      </c>
      <c r="BJ174" s="319" t="s">
        <v>190</v>
      </c>
      <c r="BK174" s="319" t="s">
        <v>190</v>
      </c>
      <c r="BL174" s="319" t="s">
        <v>190</v>
      </c>
      <c r="BM174" s="319" t="s">
        <v>190</v>
      </c>
      <c r="BN174" s="319" t="s">
        <v>190</v>
      </c>
      <c r="BO174" s="319" t="s">
        <v>190</v>
      </c>
      <c r="BP174" s="319" t="s">
        <v>190</v>
      </c>
      <c r="BQ174" s="319" t="s">
        <v>190</v>
      </c>
      <c r="BR174" s="319" t="s">
        <v>190</v>
      </c>
      <c r="BS174" s="319" t="s">
        <v>190</v>
      </c>
      <c r="BT174" s="319" t="s">
        <v>190</v>
      </c>
      <c r="BU174" s="319" t="s">
        <v>190</v>
      </c>
      <c r="BV174" s="319" t="s">
        <v>190</v>
      </c>
      <c r="BW174" s="319" t="s">
        <v>190</v>
      </c>
      <c r="BX174" s="319" t="s">
        <v>190</v>
      </c>
      <c r="BY174" s="319" t="s">
        <v>190</v>
      </c>
      <c r="BZ174" s="319" t="s">
        <v>190</v>
      </c>
      <c r="CA174" s="319" t="s">
        <v>190</v>
      </c>
      <c r="CB174" s="319" t="s">
        <v>190</v>
      </c>
      <c r="CC174" s="319" t="s">
        <v>190</v>
      </c>
      <c r="CD174" s="319" t="s">
        <v>190</v>
      </c>
      <c r="CE174" s="319" t="s">
        <v>190</v>
      </c>
      <c r="CF174" s="319" t="s">
        <v>190</v>
      </c>
      <c r="CG174" s="319" t="s">
        <v>190</v>
      </c>
      <c r="CH174" s="319" t="s">
        <v>190</v>
      </c>
      <c r="CI174" s="319" t="s">
        <v>190</v>
      </c>
      <c r="CJ174" s="319" t="s">
        <v>190</v>
      </c>
      <c r="CK174" s="319" t="s">
        <v>190</v>
      </c>
      <c r="CL174" s="319" t="s">
        <v>190</v>
      </c>
      <c r="CM174" s="319" t="s">
        <v>190</v>
      </c>
      <c r="CN174" s="319" t="s">
        <v>190</v>
      </c>
      <c r="CO174" s="319" t="s">
        <v>190</v>
      </c>
      <c r="CP174" s="319" t="s">
        <v>429</v>
      </c>
      <c r="CQ174" s="319" t="s">
        <v>190</v>
      </c>
      <c r="CR174" s="319" t="s">
        <v>190</v>
      </c>
      <c r="CS174" s="319" t="s">
        <v>190</v>
      </c>
      <c r="CT174" s="319" t="s">
        <v>190</v>
      </c>
      <c r="CU174" s="319" t="s">
        <v>190</v>
      </c>
      <c r="CV174" s="319" t="s">
        <v>190</v>
      </c>
      <c r="CW174" s="319" t="s">
        <v>190</v>
      </c>
      <c r="CX174" s="319" t="s">
        <v>190</v>
      </c>
      <c r="CY174" s="319" t="s">
        <v>190</v>
      </c>
      <c r="CZ174" s="319" t="s">
        <v>190</v>
      </c>
      <c r="DA174" s="319" t="s">
        <v>190</v>
      </c>
      <c r="DB174" s="319" t="s">
        <v>190</v>
      </c>
      <c r="DC174" s="319" t="s">
        <v>190</v>
      </c>
      <c r="DD174" s="319" t="s">
        <v>190</v>
      </c>
      <c r="DE174" s="319" t="s">
        <v>190</v>
      </c>
      <c r="DF174" s="319" t="s">
        <v>190</v>
      </c>
      <c r="DG174" s="319" t="s">
        <v>190</v>
      </c>
      <c r="DH174" s="319" t="s">
        <v>190</v>
      </c>
      <c r="DI174" s="319" t="s">
        <v>190</v>
      </c>
      <c r="DJ174" s="319" t="s">
        <v>190</v>
      </c>
      <c r="DK174" s="319" t="s">
        <v>190</v>
      </c>
      <c r="DL174" s="319" t="s">
        <v>190</v>
      </c>
      <c r="DM174" s="319" t="s">
        <v>190</v>
      </c>
      <c r="DN174" s="319" t="s">
        <v>429</v>
      </c>
      <c r="DO174" s="319" t="s">
        <v>190</v>
      </c>
      <c r="DP174" s="319" t="s">
        <v>190</v>
      </c>
      <c r="DQ174" s="319" t="s">
        <v>190</v>
      </c>
      <c r="DR174" s="319" t="s">
        <v>190</v>
      </c>
      <c r="DS174" s="319" t="s">
        <v>190</v>
      </c>
      <c r="DT174" s="319" t="s">
        <v>190</v>
      </c>
      <c r="DU174" s="319" t="s">
        <v>190</v>
      </c>
      <c r="DV174" s="319" t="s">
        <v>173</v>
      </c>
      <c r="DW174" s="319" t="s">
        <v>190</v>
      </c>
      <c r="DX174" s="319" t="s">
        <v>190</v>
      </c>
      <c r="DY174" s="319" t="s">
        <v>190</v>
      </c>
      <c r="DZ174" s="319" t="s">
        <v>190</v>
      </c>
      <c r="EA174" s="319" t="s">
        <v>190</v>
      </c>
      <c r="EB174" s="319" t="s">
        <v>190</v>
      </c>
      <c r="EC174" s="319" t="s">
        <v>429</v>
      </c>
      <c r="ED174" s="319" t="s">
        <v>429</v>
      </c>
      <c r="EE174" s="319" t="s">
        <v>190</v>
      </c>
      <c r="EF174" s="319" t="s">
        <v>190</v>
      </c>
      <c r="EG174" s="319" t="s">
        <v>190</v>
      </c>
      <c r="EH174" s="319" t="s">
        <v>190</v>
      </c>
      <c r="EI174" s="319" t="s">
        <v>190</v>
      </c>
      <c r="EJ174" s="319" t="s">
        <v>190</v>
      </c>
      <c r="EK174" s="319" t="s">
        <v>190</v>
      </c>
      <c r="EL174" s="319" t="s">
        <v>190</v>
      </c>
      <c r="EM174" s="319" t="s">
        <v>190</v>
      </c>
      <c r="EN174" s="319" t="s">
        <v>190</v>
      </c>
      <c r="EO174" s="319" t="s">
        <v>190</v>
      </c>
      <c r="EP174" s="319" t="s">
        <v>190</v>
      </c>
      <c r="EQ174" s="319" t="s">
        <v>190</v>
      </c>
      <c r="ER174" s="319" t="s">
        <v>190</v>
      </c>
      <c r="ES174" s="319" t="s">
        <v>190</v>
      </c>
      <c r="ET174" s="319" t="s">
        <v>190</v>
      </c>
      <c r="EU174" s="319" t="s">
        <v>190</v>
      </c>
      <c r="EV174" s="319" t="s">
        <v>190</v>
      </c>
      <c r="EW174" s="319" t="s">
        <v>190</v>
      </c>
      <c r="EX174" s="319" t="s">
        <v>190</v>
      </c>
      <c r="EY174" s="319" t="s">
        <v>190</v>
      </c>
      <c r="EZ174" s="319" t="s">
        <v>190</v>
      </c>
      <c r="FA174" s="319" t="s">
        <v>190</v>
      </c>
      <c r="FB174" s="319" t="s">
        <v>190</v>
      </c>
      <c r="FC174" s="319" t="s">
        <v>190</v>
      </c>
      <c r="FD174" s="319" t="s">
        <v>190</v>
      </c>
      <c r="FE174" s="319" t="s">
        <v>190</v>
      </c>
      <c r="FF174" s="319" t="s">
        <v>190</v>
      </c>
      <c r="FG174" s="319" t="s">
        <v>190</v>
      </c>
      <c r="FH174" s="319" t="s">
        <v>190</v>
      </c>
      <c r="FI174" s="319" t="s">
        <v>190</v>
      </c>
      <c r="FJ174" s="319" t="s">
        <v>190</v>
      </c>
      <c r="FK174" s="319" t="s">
        <v>190</v>
      </c>
      <c r="FL174" s="319" t="s">
        <v>190</v>
      </c>
      <c r="FM174" s="319" t="s">
        <v>190</v>
      </c>
      <c r="FN174" s="319" t="s">
        <v>190</v>
      </c>
      <c r="FO174" s="319" t="s">
        <v>190</v>
      </c>
      <c r="FP174" s="319" t="s">
        <v>190</v>
      </c>
      <c r="FQ174" s="319" t="s">
        <v>190</v>
      </c>
      <c r="FR174" s="319" t="s">
        <v>190</v>
      </c>
      <c r="FS174" s="319" t="s">
        <v>190</v>
      </c>
      <c r="FT174" s="319" t="s">
        <v>190</v>
      </c>
      <c r="FU174" s="319" t="s">
        <v>190</v>
      </c>
      <c r="FV174" s="319" t="s">
        <v>190</v>
      </c>
      <c r="FW174" s="319" t="s">
        <v>190</v>
      </c>
      <c r="FX174" s="319" t="s">
        <v>190</v>
      </c>
      <c r="FY174" s="319" t="s">
        <v>190</v>
      </c>
      <c r="FZ174" s="319" t="s">
        <v>190</v>
      </c>
      <c r="GA174" s="319" t="s">
        <v>190</v>
      </c>
      <c r="GB174" s="319" t="s">
        <v>190</v>
      </c>
      <c r="GC174" s="319" t="s">
        <v>190</v>
      </c>
      <c r="GD174" s="319" t="s">
        <v>190</v>
      </c>
      <c r="GE174" s="319" t="s">
        <v>190</v>
      </c>
      <c r="GF174" s="319" t="s">
        <v>190</v>
      </c>
      <c r="GG174" s="319" t="s">
        <v>190</v>
      </c>
      <c r="GH174" s="319" t="s">
        <v>190</v>
      </c>
      <c r="GI174" s="319" t="s">
        <v>190</v>
      </c>
      <c r="GJ174" s="319" t="s">
        <v>190</v>
      </c>
      <c r="GK174" s="319" t="s">
        <v>190</v>
      </c>
      <c r="GL174" s="319" t="s">
        <v>190</v>
      </c>
      <c r="GM174" s="319" t="s">
        <v>190</v>
      </c>
      <c r="GN174" s="319" t="s">
        <v>190</v>
      </c>
      <c r="GO174" s="319" t="s">
        <v>190</v>
      </c>
      <c r="GP174" s="319" t="s">
        <v>190</v>
      </c>
      <c r="GQ174" s="319" t="s">
        <v>190</v>
      </c>
      <c r="GR174" s="319" t="s">
        <v>190</v>
      </c>
      <c r="GS174" s="319" t="s">
        <v>190</v>
      </c>
      <c r="GT174" s="319" t="s">
        <v>190</v>
      </c>
      <c r="GU174" s="319" t="s">
        <v>190</v>
      </c>
      <c r="GV174" s="319" t="s">
        <v>190</v>
      </c>
      <c r="GW174" s="319" t="s">
        <v>190</v>
      </c>
      <c r="GX174" s="319" t="s">
        <v>190</v>
      </c>
      <c r="GY174" s="319" t="s">
        <v>190</v>
      </c>
      <c r="GZ174" s="319" t="s">
        <v>429</v>
      </c>
      <c r="HA174" s="319" t="s">
        <v>190</v>
      </c>
      <c r="HB174" s="319" t="s">
        <v>190</v>
      </c>
      <c r="HC174" s="319" t="s">
        <v>190</v>
      </c>
      <c r="HD174" s="319" t="s">
        <v>190</v>
      </c>
      <c r="HE174" s="319" t="s">
        <v>190</v>
      </c>
      <c r="HF174" s="319" t="s">
        <v>190</v>
      </c>
      <c r="HG174" s="319" t="s">
        <v>190</v>
      </c>
      <c r="HH174" s="319" t="s">
        <v>190</v>
      </c>
      <c r="HI174" s="319" t="s">
        <v>190</v>
      </c>
      <c r="HJ174" s="319" t="s">
        <v>190</v>
      </c>
      <c r="HK174" s="319" t="s">
        <v>429</v>
      </c>
      <c r="HL174" s="319" t="s">
        <v>429</v>
      </c>
      <c r="HM174" s="319" t="s">
        <v>429</v>
      </c>
      <c r="HN174" s="319" t="s">
        <v>429</v>
      </c>
      <c r="HO174" s="319" t="s">
        <v>429</v>
      </c>
      <c r="HP174" s="319" t="s">
        <v>190</v>
      </c>
      <c r="HQ174" s="319" t="s">
        <v>190</v>
      </c>
      <c r="HR174" s="319" t="s">
        <v>190</v>
      </c>
      <c r="HS174" s="319" t="s">
        <v>190</v>
      </c>
      <c r="HT174" s="319" t="s">
        <v>190</v>
      </c>
      <c r="HU174" s="319" t="s">
        <v>190</v>
      </c>
      <c r="HV174" s="319" t="s">
        <v>190</v>
      </c>
      <c r="HW174" s="319" t="s">
        <v>190</v>
      </c>
      <c r="HX174" s="319" t="s">
        <v>190</v>
      </c>
      <c r="HY174" s="319" t="s">
        <v>190</v>
      </c>
      <c r="HZ174" s="319" t="s">
        <v>190</v>
      </c>
      <c r="IA174" s="319" t="s">
        <v>190</v>
      </c>
      <c r="IB174" s="319" t="s">
        <v>190</v>
      </c>
      <c r="IC174" s="319" t="s">
        <v>190</v>
      </c>
      <c r="ID174" s="319" t="s">
        <v>190</v>
      </c>
      <c r="IE174" s="319" t="s">
        <v>190</v>
      </c>
      <c r="IF174" s="319" t="s">
        <v>190</v>
      </c>
      <c r="IG174" s="319" t="s">
        <v>190</v>
      </c>
      <c r="IH174" s="319" t="s">
        <v>190</v>
      </c>
      <c r="II174" s="319" t="s">
        <v>190</v>
      </c>
      <c r="IJ174" s="319" t="s">
        <v>2953</v>
      </c>
      <c r="IK174" s="321">
        <v>41094</v>
      </c>
      <c r="IL174" s="321">
        <v>41095</v>
      </c>
      <c r="IM174" s="321">
        <v>41159</v>
      </c>
      <c r="IN174" s="319">
        <v>2</v>
      </c>
      <c r="IO174" s="319" t="s">
        <v>173</v>
      </c>
      <c r="IP174" s="319" t="s">
        <v>173</v>
      </c>
      <c r="IQ174" s="319" t="s">
        <v>173</v>
      </c>
      <c r="IR174" s="320" t="s">
        <v>173</v>
      </c>
      <c r="IS174" s="320" t="s">
        <v>173</v>
      </c>
      <c r="IT174" s="319" t="s">
        <v>173</v>
      </c>
    </row>
    <row r="175" spans="1:254" s="271" customFormat="1" x14ac:dyDescent="0.25">
      <c r="A175" s="318" t="str">
        <f>HYPERLINK("http://www.ofsted.gov.uk/inspection-reports/find-inspection-report/provider/ELS/116567 ","Ofsted School Webpage")</f>
        <v>Ofsted School Webpage</v>
      </c>
      <c r="B175" s="319">
        <v>116567</v>
      </c>
      <c r="C175" s="319">
        <v>8526003</v>
      </c>
      <c r="D175" s="319" t="s">
        <v>1003</v>
      </c>
      <c r="E175" s="319" t="s">
        <v>167</v>
      </c>
      <c r="F175" s="319" t="s">
        <v>81</v>
      </c>
      <c r="G175" s="319" t="s">
        <v>67</v>
      </c>
      <c r="H175" s="319" t="s">
        <v>67</v>
      </c>
      <c r="I175" s="319" t="s">
        <v>59</v>
      </c>
      <c r="J175" s="319" t="s">
        <v>424</v>
      </c>
      <c r="K175" s="319" t="s">
        <v>514</v>
      </c>
      <c r="L175" s="319" t="s">
        <v>514</v>
      </c>
      <c r="M175" s="319" t="s">
        <v>1004</v>
      </c>
      <c r="N175" s="319" t="s">
        <v>2954</v>
      </c>
      <c r="O175" s="319" t="s">
        <v>1005</v>
      </c>
      <c r="P175" s="319">
        <v>248</v>
      </c>
      <c r="Q175" s="319" t="s">
        <v>2766</v>
      </c>
      <c r="R175" s="320">
        <v>10033944</v>
      </c>
      <c r="S175" s="321">
        <v>43172</v>
      </c>
      <c r="T175" s="321">
        <v>43174</v>
      </c>
      <c r="U175" s="321">
        <v>43209</v>
      </c>
      <c r="V175" s="319" t="s">
        <v>425</v>
      </c>
      <c r="W175" s="319" t="s">
        <v>2767</v>
      </c>
      <c r="X175" s="319">
        <v>3</v>
      </c>
      <c r="Y175" s="319" t="s">
        <v>173</v>
      </c>
      <c r="Z175" s="319" t="s">
        <v>173</v>
      </c>
      <c r="AA175" s="319" t="s">
        <v>173</v>
      </c>
      <c r="AB175" s="319">
        <v>3</v>
      </c>
      <c r="AC175" s="319" t="s">
        <v>169</v>
      </c>
      <c r="AD175" s="319">
        <v>3</v>
      </c>
      <c r="AE175" s="319" t="s">
        <v>173</v>
      </c>
      <c r="AF175" s="319" t="s">
        <v>427</v>
      </c>
      <c r="AG175" s="319" t="s">
        <v>172</v>
      </c>
      <c r="AH175" s="319" t="s">
        <v>190</v>
      </c>
      <c r="AI175" s="319" t="s">
        <v>190</v>
      </c>
      <c r="AJ175" s="319" t="s">
        <v>479</v>
      </c>
      <c r="AK175" s="319" t="s">
        <v>190</v>
      </c>
      <c r="AL175" s="319" t="s">
        <v>479</v>
      </c>
      <c r="AM175" s="319" t="s">
        <v>190</v>
      </c>
      <c r="AN175" s="319" t="s">
        <v>479</v>
      </c>
      <c r="AO175" s="319" t="s">
        <v>479</v>
      </c>
      <c r="AP175" s="319" t="s">
        <v>190</v>
      </c>
      <c r="AQ175" s="319" t="s">
        <v>190</v>
      </c>
      <c r="AR175" s="319" t="s">
        <v>190</v>
      </c>
      <c r="AS175" s="319" t="s">
        <v>190</v>
      </c>
      <c r="AT175" s="319" t="s">
        <v>190</v>
      </c>
      <c r="AU175" s="319" t="s">
        <v>190</v>
      </c>
      <c r="AV175" s="319" t="s">
        <v>190</v>
      </c>
      <c r="AW175" s="319" t="s">
        <v>190</v>
      </c>
      <c r="AX175" s="319" t="s">
        <v>428</v>
      </c>
      <c r="AY175" s="319" t="s">
        <v>190</v>
      </c>
      <c r="AZ175" s="319" t="s">
        <v>190</v>
      </c>
      <c r="BA175" s="319" t="s">
        <v>190</v>
      </c>
      <c r="BB175" s="319" t="s">
        <v>190</v>
      </c>
      <c r="BC175" s="319" t="s">
        <v>190</v>
      </c>
      <c r="BD175" s="319" t="s">
        <v>190</v>
      </c>
      <c r="BE175" s="319" t="s">
        <v>190</v>
      </c>
      <c r="BF175" s="319" t="s">
        <v>190</v>
      </c>
      <c r="BG175" s="319" t="s">
        <v>190</v>
      </c>
      <c r="BH175" s="319" t="s">
        <v>190</v>
      </c>
      <c r="BI175" s="319" t="s">
        <v>190</v>
      </c>
      <c r="BJ175" s="319" t="s">
        <v>190</v>
      </c>
      <c r="BK175" s="319" t="s">
        <v>190</v>
      </c>
      <c r="BL175" s="319" t="s">
        <v>190</v>
      </c>
      <c r="BM175" s="319" t="s">
        <v>190</v>
      </c>
      <c r="BN175" s="319" t="s">
        <v>190</v>
      </c>
      <c r="BO175" s="319" t="s">
        <v>190</v>
      </c>
      <c r="BP175" s="319" t="s">
        <v>190</v>
      </c>
      <c r="BQ175" s="319" t="s">
        <v>190</v>
      </c>
      <c r="BR175" s="319" t="s">
        <v>190</v>
      </c>
      <c r="BS175" s="319" t="s">
        <v>190</v>
      </c>
      <c r="BT175" s="319" t="s">
        <v>190</v>
      </c>
      <c r="BU175" s="319" t="s">
        <v>190</v>
      </c>
      <c r="BV175" s="319" t="s">
        <v>190</v>
      </c>
      <c r="BW175" s="319" t="s">
        <v>190</v>
      </c>
      <c r="BX175" s="319" t="s">
        <v>190</v>
      </c>
      <c r="BY175" s="319" t="s">
        <v>190</v>
      </c>
      <c r="BZ175" s="319" t="s">
        <v>190</v>
      </c>
      <c r="CA175" s="319" t="s">
        <v>190</v>
      </c>
      <c r="CB175" s="319" t="s">
        <v>190</v>
      </c>
      <c r="CC175" s="319" t="s">
        <v>190</v>
      </c>
      <c r="CD175" s="319" t="s">
        <v>190</v>
      </c>
      <c r="CE175" s="319" t="s">
        <v>190</v>
      </c>
      <c r="CF175" s="319" t="s">
        <v>190</v>
      </c>
      <c r="CG175" s="319" t="s">
        <v>190</v>
      </c>
      <c r="CH175" s="319" t="s">
        <v>190</v>
      </c>
      <c r="CI175" s="319" t="s">
        <v>190</v>
      </c>
      <c r="CJ175" s="319" t="s">
        <v>190</v>
      </c>
      <c r="CK175" s="319" t="s">
        <v>190</v>
      </c>
      <c r="CL175" s="319" t="s">
        <v>190</v>
      </c>
      <c r="CM175" s="319" t="s">
        <v>190</v>
      </c>
      <c r="CN175" s="319" t="s">
        <v>428</v>
      </c>
      <c r="CO175" s="319" t="s">
        <v>428</v>
      </c>
      <c r="CP175" s="319" t="s">
        <v>428</v>
      </c>
      <c r="CQ175" s="319" t="s">
        <v>190</v>
      </c>
      <c r="CR175" s="319" t="s">
        <v>190</v>
      </c>
      <c r="CS175" s="319" t="s">
        <v>190</v>
      </c>
      <c r="CT175" s="319" t="s">
        <v>190</v>
      </c>
      <c r="CU175" s="319" t="s">
        <v>190</v>
      </c>
      <c r="CV175" s="319" t="s">
        <v>191</v>
      </c>
      <c r="CW175" s="319" t="s">
        <v>191</v>
      </c>
      <c r="CX175" s="319" t="s">
        <v>190</v>
      </c>
      <c r="CY175" s="319" t="s">
        <v>190</v>
      </c>
      <c r="CZ175" s="319" t="s">
        <v>190</v>
      </c>
      <c r="DA175" s="319" t="s">
        <v>190</v>
      </c>
      <c r="DB175" s="319" t="s">
        <v>190</v>
      </c>
      <c r="DC175" s="319" t="s">
        <v>190</v>
      </c>
      <c r="DD175" s="319" t="s">
        <v>190</v>
      </c>
      <c r="DE175" s="319" t="s">
        <v>190</v>
      </c>
      <c r="DF175" s="319" t="s">
        <v>190</v>
      </c>
      <c r="DG175" s="319" t="s">
        <v>190</v>
      </c>
      <c r="DH175" s="319" t="s">
        <v>190</v>
      </c>
      <c r="DI175" s="319" t="s">
        <v>190</v>
      </c>
      <c r="DJ175" s="319" t="s">
        <v>190</v>
      </c>
      <c r="DK175" s="319" t="s">
        <v>190</v>
      </c>
      <c r="DL175" s="319" t="s">
        <v>190</v>
      </c>
      <c r="DM175" s="319" t="s">
        <v>190</v>
      </c>
      <c r="DN175" s="319" t="s">
        <v>428</v>
      </c>
      <c r="DO175" s="319" t="s">
        <v>190</v>
      </c>
      <c r="DP175" s="319" t="s">
        <v>190</v>
      </c>
      <c r="DQ175" s="319" t="s">
        <v>428</v>
      </c>
      <c r="DR175" s="319" t="s">
        <v>428</v>
      </c>
      <c r="DS175" s="319" t="s">
        <v>428</v>
      </c>
      <c r="DT175" s="319" t="s">
        <v>428</v>
      </c>
      <c r="DU175" s="319" t="s">
        <v>428</v>
      </c>
      <c r="DV175" s="319" t="s">
        <v>173</v>
      </c>
      <c r="DW175" s="319" t="s">
        <v>428</v>
      </c>
      <c r="DX175" s="319" t="s">
        <v>428</v>
      </c>
      <c r="DY175" s="319" t="s">
        <v>428</v>
      </c>
      <c r="DZ175" s="319" t="s">
        <v>428</v>
      </c>
      <c r="EA175" s="319" t="s">
        <v>428</v>
      </c>
      <c r="EB175" s="319" t="s">
        <v>428</v>
      </c>
      <c r="EC175" s="319" t="s">
        <v>428</v>
      </c>
      <c r="ED175" s="319" t="s">
        <v>428</v>
      </c>
      <c r="EE175" s="319" t="s">
        <v>190</v>
      </c>
      <c r="EF175" s="319" t="s">
        <v>190</v>
      </c>
      <c r="EG175" s="319" t="s">
        <v>190</v>
      </c>
      <c r="EH175" s="319" t="s">
        <v>190</v>
      </c>
      <c r="EI175" s="319" t="s">
        <v>190</v>
      </c>
      <c r="EJ175" s="319" t="s">
        <v>190</v>
      </c>
      <c r="EK175" s="319" t="s">
        <v>190</v>
      </c>
      <c r="EL175" s="319" t="s">
        <v>190</v>
      </c>
      <c r="EM175" s="319" t="s">
        <v>190</v>
      </c>
      <c r="EN175" s="319" t="s">
        <v>428</v>
      </c>
      <c r="EO175" s="319" t="s">
        <v>190</v>
      </c>
      <c r="EP175" s="319" t="s">
        <v>190</v>
      </c>
      <c r="EQ175" s="319" t="s">
        <v>190</v>
      </c>
      <c r="ER175" s="319" t="s">
        <v>190</v>
      </c>
      <c r="ES175" s="319" t="s">
        <v>190</v>
      </c>
      <c r="ET175" s="319" t="s">
        <v>190</v>
      </c>
      <c r="EU175" s="319" t="s">
        <v>190</v>
      </c>
      <c r="EV175" s="319" t="s">
        <v>190</v>
      </c>
      <c r="EW175" s="319" t="s">
        <v>190</v>
      </c>
      <c r="EX175" s="319" t="s">
        <v>190</v>
      </c>
      <c r="EY175" s="319" t="s">
        <v>190</v>
      </c>
      <c r="EZ175" s="319" t="s">
        <v>190</v>
      </c>
      <c r="FA175" s="319" t="s">
        <v>190</v>
      </c>
      <c r="FB175" s="319" t="s">
        <v>428</v>
      </c>
      <c r="FC175" s="319" t="s">
        <v>428</v>
      </c>
      <c r="FD175" s="319" t="s">
        <v>428</v>
      </c>
      <c r="FE175" s="319" t="s">
        <v>428</v>
      </c>
      <c r="FF175" s="319" t="s">
        <v>428</v>
      </c>
      <c r="FG175" s="319" t="s">
        <v>428</v>
      </c>
      <c r="FH175" s="319" t="s">
        <v>190</v>
      </c>
      <c r="FI175" s="319" t="s">
        <v>190</v>
      </c>
      <c r="FJ175" s="319" t="s">
        <v>190</v>
      </c>
      <c r="FK175" s="319" t="s">
        <v>190</v>
      </c>
      <c r="FL175" s="319" t="s">
        <v>190</v>
      </c>
      <c r="FM175" s="319" t="s">
        <v>190</v>
      </c>
      <c r="FN175" s="319" t="s">
        <v>190</v>
      </c>
      <c r="FO175" s="319" t="s">
        <v>190</v>
      </c>
      <c r="FP175" s="319" t="s">
        <v>191</v>
      </c>
      <c r="FQ175" s="319" t="s">
        <v>191</v>
      </c>
      <c r="FR175" s="319" t="s">
        <v>191</v>
      </c>
      <c r="FS175" s="319" t="s">
        <v>428</v>
      </c>
      <c r="FT175" s="319" t="s">
        <v>190</v>
      </c>
      <c r="FU175" s="319" t="s">
        <v>191</v>
      </c>
      <c r="FV175" s="319" t="s">
        <v>190</v>
      </c>
      <c r="FW175" s="319" t="s">
        <v>190</v>
      </c>
      <c r="FX175" s="319" t="s">
        <v>190</v>
      </c>
      <c r="FY175" s="319" t="s">
        <v>190</v>
      </c>
      <c r="FZ175" s="319" t="s">
        <v>190</v>
      </c>
      <c r="GA175" s="319" t="s">
        <v>190</v>
      </c>
      <c r="GB175" s="319" t="s">
        <v>190</v>
      </c>
      <c r="GC175" s="319" t="s">
        <v>190</v>
      </c>
      <c r="GD175" s="319" t="s">
        <v>190</v>
      </c>
      <c r="GE175" s="319" t="s">
        <v>190</v>
      </c>
      <c r="GF175" s="319" t="s">
        <v>190</v>
      </c>
      <c r="GG175" s="319" t="s">
        <v>190</v>
      </c>
      <c r="GH175" s="319" t="s">
        <v>190</v>
      </c>
      <c r="GI175" s="319" t="s">
        <v>190</v>
      </c>
      <c r="GJ175" s="319" t="s">
        <v>190</v>
      </c>
      <c r="GK175" s="319" t="s">
        <v>428</v>
      </c>
      <c r="GL175" s="319" t="s">
        <v>190</v>
      </c>
      <c r="GM175" s="319" t="s">
        <v>190</v>
      </c>
      <c r="GN175" s="319" t="s">
        <v>190</v>
      </c>
      <c r="GO175" s="319" t="s">
        <v>190</v>
      </c>
      <c r="GP175" s="319" t="s">
        <v>190</v>
      </c>
      <c r="GQ175" s="319" t="s">
        <v>190</v>
      </c>
      <c r="GR175" s="319" t="s">
        <v>190</v>
      </c>
      <c r="GS175" s="319" t="s">
        <v>190</v>
      </c>
      <c r="GT175" s="319" t="s">
        <v>190</v>
      </c>
      <c r="GU175" s="319" t="s">
        <v>190</v>
      </c>
      <c r="GV175" s="319" t="s">
        <v>190</v>
      </c>
      <c r="GW175" s="319" t="s">
        <v>190</v>
      </c>
      <c r="GX175" s="319" t="s">
        <v>190</v>
      </c>
      <c r="GY175" s="319" t="s">
        <v>190</v>
      </c>
      <c r="GZ175" s="319" t="s">
        <v>428</v>
      </c>
      <c r="HA175" s="319" t="s">
        <v>190</v>
      </c>
      <c r="HB175" s="319" t="s">
        <v>190</v>
      </c>
      <c r="HC175" s="319" t="s">
        <v>190</v>
      </c>
      <c r="HD175" s="319" t="s">
        <v>190</v>
      </c>
      <c r="HE175" s="319" t="s">
        <v>190</v>
      </c>
      <c r="HF175" s="319" t="s">
        <v>190</v>
      </c>
      <c r="HG175" s="319" t="s">
        <v>190</v>
      </c>
      <c r="HH175" s="319" t="s">
        <v>190</v>
      </c>
      <c r="HI175" s="319" t="s">
        <v>190</v>
      </c>
      <c r="HJ175" s="319" t="s">
        <v>190</v>
      </c>
      <c r="HK175" s="319" t="s">
        <v>190</v>
      </c>
      <c r="HL175" s="319" t="s">
        <v>190</v>
      </c>
      <c r="HM175" s="319" t="s">
        <v>428</v>
      </c>
      <c r="HN175" s="319" t="s">
        <v>428</v>
      </c>
      <c r="HO175" s="319" t="s">
        <v>428</v>
      </c>
      <c r="HP175" s="319" t="s">
        <v>191</v>
      </c>
      <c r="HQ175" s="319" t="s">
        <v>190</v>
      </c>
      <c r="HR175" s="319" t="s">
        <v>190</v>
      </c>
      <c r="HS175" s="319" t="s">
        <v>190</v>
      </c>
      <c r="HT175" s="319" t="s">
        <v>190</v>
      </c>
      <c r="HU175" s="319" t="s">
        <v>190</v>
      </c>
      <c r="HV175" s="319" t="s">
        <v>190</v>
      </c>
      <c r="HW175" s="319" t="s">
        <v>190</v>
      </c>
      <c r="HX175" s="319" t="s">
        <v>190</v>
      </c>
      <c r="HY175" s="319" t="s">
        <v>190</v>
      </c>
      <c r="HZ175" s="319" t="s">
        <v>190</v>
      </c>
      <c r="IA175" s="319" t="s">
        <v>191</v>
      </c>
      <c r="IB175" s="319" t="s">
        <v>191</v>
      </c>
      <c r="IC175" s="319" t="s">
        <v>191</v>
      </c>
      <c r="ID175" s="319" t="s">
        <v>191</v>
      </c>
      <c r="IE175" s="319" t="s">
        <v>190</v>
      </c>
      <c r="IF175" s="319" t="s">
        <v>191</v>
      </c>
      <c r="IG175" s="319" t="s">
        <v>191</v>
      </c>
      <c r="IH175" s="319" t="s">
        <v>191</v>
      </c>
      <c r="II175" s="319" t="s">
        <v>190</v>
      </c>
      <c r="IJ175" s="319" t="s">
        <v>2955</v>
      </c>
      <c r="IK175" s="321">
        <v>41331</v>
      </c>
      <c r="IL175" s="321">
        <v>41333</v>
      </c>
      <c r="IM175" s="321">
        <v>41354</v>
      </c>
      <c r="IN175" s="319">
        <v>2</v>
      </c>
      <c r="IO175" s="319">
        <v>10068080</v>
      </c>
      <c r="IP175" s="319" t="s">
        <v>985</v>
      </c>
      <c r="IQ175" s="321">
        <v>43354</v>
      </c>
      <c r="IR175" s="320" t="s">
        <v>1223</v>
      </c>
      <c r="IS175" s="322">
        <v>43375</v>
      </c>
      <c r="IT175" s="319" t="s">
        <v>165</v>
      </c>
    </row>
    <row r="176" spans="1:254" s="271" customFormat="1" x14ac:dyDescent="0.25">
      <c r="A176" s="318" t="str">
        <f>HYPERLINK("http://www.ofsted.gov.uk/inspection-reports/find-inspection-report/provider/ELS/116584 ","Ofsted School Webpage")</f>
        <v>Ofsted School Webpage</v>
      </c>
      <c r="B176" s="319">
        <v>116584</v>
      </c>
      <c r="C176" s="319">
        <v>8506032</v>
      </c>
      <c r="D176" s="319" t="s">
        <v>1461</v>
      </c>
      <c r="E176" s="319" t="s">
        <v>168</v>
      </c>
      <c r="F176" s="319" t="s">
        <v>81</v>
      </c>
      <c r="G176" s="319" t="s">
        <v>67</v>
      </c>
      <c r="H176" s="319" t="s">
        <v>67</v>
      </c>
      <c r="I176" s="319" t="s">
        <v>59</v>
      </c>
      <c r="J176" s="319" t="s">
        <v>424</v>
      </c>
      <c r="K176" s="319" t="s">
        <v>514</v>
      </c>
      <c r="L176" s="319" t="s">
        <v>514</v>
      </c>
      <c r="M176" s="319" t="s">
        <v>515</v>
      </c>
      <c r="N176" s="319" t="s">
        <v>2956</v>
      </c>
      <c r="O176" s="319" t="s">
        <v>1462</v>
      </c>
      <c r="P176" s="319">
        <v>43</v>
      </c>
      <c r="Q176" s="319" t="s">
        <v>429</v>
      </c>
      <c r="R176" s="320">
        <v>10044143</v>
      </c>
      <c r="S176" s="321">
        <v>43256</v>
      </c>
      <c r="T176" s="321">
        <v>43258</v>
      </c>
      <c r="U176" s="321">
        <v>43283</v>
      </c>
      <c r="V176" s="319" t="s">
        <v>425</v>
      </c>
      <c r="W176" s="319" t="s">
        <v>2767</v>
      </c>
      <c r="X176" s="319">
        <v>2</v>
      </c>
      <c r="Y176" s="319" t="s">
        <v>173</v>
      </c>
      <c r="Z176" s="319" t="s">
        <v>173</v>
      </c>
      <c r="AA176" s="319" t="s">
        <v>173</v>
      </c>
      <c r="AB176" s="319">
        <v>2</v>
      </c>
      <c r="AC176" s="319" t="s">
        <v>169</v>
      </c>
      <c r="AD176" s="319" t="s">
        <v>173</v>
      </c>
      <c r="AE176" s="319" t="s">
        <v>173</v>
      </c>
      <c r="AF176" s="319" t="s">
        <v>427</v>
      </c>
      <c r="AG176" s="319" t="s">
        <v>171</v>
      </c>
      <c r="AH176" s="319" t="s">
        <v>190</v>
      </c>
      <c r="AI176" s="319" t="s">
        <v>190</v>
      </c>
      <c r="AJ176" s="319" t="s">
        <v>190</v>
      </c>
      <c r="AK176" s="319" t="s">
        <v>190</v>
      </c>
      <c r="AL176" s="319" t="s">
        <v>190</v>
      </c>
      <c r="AM176" s="319" t="s">
        <v>190</v>
      </c>
      <c r="AN176" s="319" t="s">
        <v>190</v>
      </c>
      <c r="AO176" s="319" t="s">
        <v>190</v>
      </c>
      <c r="AP176" s="319" t="s">
        <v>190</v>
      </c>
      <c r="AQ176" s="319" t="s">
        <v>190</v>
      </c>
      <c r="AR176" s="319" t="s">
        <v>190</v>
      </c>
      <c r="AS176" s="319" t="s">
        <v>190</v>
      </c>
      <c r="AT176" s="319" t="s">
        <v>190</v>
      </c>
      <c r="AU176" s="319" t="s">
        <v>190</v>
      </c>
      <c r="AV176" s="319" t="s">
        <v>190</v>
      </c>
      <c r="AW176" s="319" t="s">
        <v>190</v>
      </c>
      <c r="AX176" s="319" t="s">
        <v>428</v>
      </c>
      <c r="AY176" s="319" t="s">
        <v>190</v>
      </c>
      <c r="AZ176" s="319" t="s">
        <v>190</v>
      </c>
      <c r="BA176" s="319" t="s">
        <v>190</v>
      </c>
      <c r="BB176" s="319" t="s">
        <v>190</v>
      </c>
      <c r="BC176" s="319" t="s">
        <v>190</v>
      </c>
      <c r="BD176" s="319" t="s">
        <v>190</v>
      </c>
      <c r="BE176" s="319" t="s">
        <v>190</v>
      </c>
      <c r="BF176" s="319" t="s">
        <v>428</v>
      </c>
      <c r="BG176" s="319" t="s">
        <v>190</v>
      </c>
      <c r="BH176" s="319" t="s">
        <v>190</v>
      </c>
      <c r="BI176" s="319" t="s">
        <v>190</v>
      </c>
      <c r="BJ176" s="319" t="s">
        <v>190</v>
      </c>
      <c r="BK176" s="319" t="s">
        <v>190</v>
      </c>
      <c r="BL176" s="319" t="s">
        <v>190</v>
      </c>
      <c r="BM176" s="319" t="s">
        <v>190</v>
      </c>
      <c r="BN176" s="319" t="s">
        <v>190</v>
      </c>
      <c r="BO176" s="319" t="s">
        <v>190</v>
      </c>
      <c r="BP176" s="319" t="s">
        <v>190</v>
      </c>
      <c r="BQ176" s="319" t="s">
        <v>190</v>
      </c>
      <c r="BR176" s="319" t="s">
        <v>190</v>
      </c>
      <c r="BS176" s="319" t="s">
        <v>190</v>
      </c>
      <c r="BT176" s="319" t="s">
        <v>190</v>
      </c>
      <c r="BU176" s="319" t="s">
        <v>190</v>
      </c>
      <c r="BV176" s="319" t="s">
        <v>190</v>
      </c>
      <c r="BW176" s="319" t="s">
        <v>190</v>
      </c>
      <c r="BX176" s="319" t="s">
        <v>190</v>
      </c>
      <c r="BY176" s="319" t="s">
        <v>190</v>
      </c>
      <c r="BZ176" s="319" t="s">
        <v>190</v>
      </c>
      <c r="CA176" s="319" t="s">
        <v>190</v>
      </c>
      <c r="CB176" s="319" t="s">
        <v>190</v>
      </c>
      <c r="CC176" s="319" t="s">
        <v>190</v>
      </c>
      <c r="CD176" s="319" t="s">
        <v>190</v>
      </c>
      <c r="CE176" s="319" t="s">
        <v>190</v>
      </c>
      <c r="CF176" s="319" t="s">
        <v>190</v>
      </c>
      <c r="CG176" s="319" t="s">
        <v>190</v>
      </c>
      <c r="CH176" s="319" t="s">
        <v>190</v>
      </c>
      <c r="CI176" s="319" t="s">
        <v>190</v>
      </c>
      <c r="CJ176" s="319" t="s">
        <v>190</v>
      </c>
      <c r="CK176" s="319" t="s">
        <v>190</v>
      </c>
      <c r="CL176" s="319" t="s">
        <v>190</v>
      </c>
      <c r="CM176" s="319" t="s">
        <v>190</v>
      </c>
      <c r="CN176" s="319" t="s">
        <v>428</v>
      </c>
      <c r="CO176" s="319" t="s">
        <v>428</v>
      </c>
      <c r="CP176" s="319" t="s">
        <v>428</v>
      </c>
      <c r="CQ176" s="319" t="s">
        <v>190</v>
      </c>
      <c r="CR176" s="319" t="s">
        <v>190</v>
      </c>
      <c r="CS176" s="319" t="s">
        <v>190</v>
      </c>
      <c r="CT176" s="319" t="s">
        <v>190</v>
      </c>
      <c r="CU176" s="319" t="s">
        <v>190</v>
      </c>
      <c r="CV176" s="319" t="s">
        <v>190</v>
      </c>
      <c r="CW176" s="319" t="s">
        <v>190</v>
      </c>
      <c r="CX176" s="319" t="s">
        <v>190</v>
      </c>
      <c r="CY176" s="319" t="s">
        <v>190</v>
      </c>
      <c r="CZ176" s="319" t="s">
        <v>190</v>
      </c>
      <c r="DA176" s="319" t="s">
        <v>190</v>
      </c>
      <c r="DB176" s="319" t="s">
        <v>190</v>
      </c>
      <c r="DC176" s="319" t="s">
        <v>190</v>
      </c>
      <c r="DD176" s="319" t="s">
        <v>190</v>
      </c>
      <c r="DE176" s="319" t="s">
        <v>190</v>
      </c>
      <c r="DF176" s="319" t="s">
        <v>190</v>
      </c>
      <c r="DG176" s="319" t="s">
        <v>190</v>
      </c>
      <c r="DH176" s="319" t="s">
        <v>190</v>
      </c>
      <c r="DI176" s="319" t="s">
        <v>190</v>
      </c>
      <c r="DJ176" s="319" t="s">
        <v>190</v>
      </c>
      <c r="DK176" s="319" t="s">
        <v>190</v>
      </c>
      <c r="DL176" s="319" t="s">
        <v>190</v>
      </c>
      <c r="DM176" s="319" t="s">
        <v>190</v>
      </c>
      <c r="DN176" s="319" t="s">
        <v>428</v>
      </c>
      <c r="DO176" s="319" t="s">
        <v>190</v>
      </c>
      <c r="DP176" s="319" t="s">
        <v>190</v>
      </c>
      <c r="DQ176" s="319" t="s">
        <v>190</v>
      </c>
      <c r="DR176" s="319" t="s">
        <v>190</v>
      </c>
      <c r="DS176" s="319" t="s">
        <v>190</v>
      </c>
      <c r="DT176" s="319" t="s">
        <v>190</v>
      </c>
      <c r="DU176" s="319" t="s">
        <v>190</v>
      </c>
      <c r="DV176" s="319" t="s">
        <v>173</v>
      </c>
      <c r="DW176" s="319" t="s">
        <v>190</v>
      </c>
      <c r="DX176" s="319" t="s">
        <v>190</v>
      </c>
      <c r="DY176" s="319" t="s">
        <v>190</v>
      </c>
      <c r="DZ176" s="319" t="s">
        <v>190</v>
      </c>
      <c r="EA176" s="319" t="s">
        <v>190</v>
      </c>
      <c r="EB176" s="319" t="s">
        <v>190</v>
      </c>
      <c r="EC176" s="319" t="s">
        <v>428</v>
      </c>
      <c r="ED176" s="319" t="s">
        <v>190</v>
      </c>
      <c r="EE176" s="319" t="s">
        <v>190</v>
      </c>
      <c r="EF176" s="319" t="s">
        <v>190</v>
      </c>
      <c r="EG176" s="319" t="s">
        <v>190</v>
      </c>
      <c r="EH176" s="319" t="s">
        <v>190</v>
      </c>
      <c r="EI176" s="319" t="s">
        <v>190</v>
      </c>
      <c r="EJ176" s="319" t="s">
        <v>190</v>
      </c>
      <c r="EK176" s="319" t="s">
        <v>190</v>
      </c>
      <c r="EL176" s="319" t="s">
        <v>190</v>
      </c>
      <c r="EM176" s="319" t="s">
        <v>190</v>
      </c>
      <c r="EN176" s="319" t="s">
        <v>190</v>
      </c>
      <c r="EO176" s="319" t="s">
        <v>190</v>
      </c>
      <c r="EP176" s="319" t="s">
        <v>190</v>
      </c>
      <c r="EQ176" s="319" t="s">
        <v>190</v>
      </c>
      <c r="ER176" s="319" t="s">
        <v>190</v>
      </c>
      <c r="ES176" s="319" t="s">
        <v>190</v>
      </c>
      <c r="ET176" s="319" t="s">
        <v>190</v>
      </c>
      <c r="EU176" s="319" t="s">
        <v>190</v>
      </c>
      <c r="EV176" s="319" t="s">
        <v>190</v>
      </c>
      <c r="EW176" s="319" t="s">
        <v>190</v>
      </c>
      <c r="EX176" s="319" t="s">
        <v>190</v>
      </c>
      <c r="EY176" s="319" t="s">
        <v>190</v>
      </c>
      <c r="EZ176" s="319" t="s">
        <v>190</v>
      </c>
      <c r="FA176" s="319" t="s">
        <v>190</v>
      </c>
      <c r="FB176" s="319" t="s">
        <v>190</v>
      </c>
      <c r="FC176" s="319" t="s">
        <v>190</v>
      </c>
      <c r="FD176" s="319" t="s">
        <v>190</v>
      </c>
      <c r="FE176" s="319" t="s">
        <v>190</v>
      </c>
      <c r="FF176" s="319" t="s">
        <v>190</v>
      </c>
      <c r="FG176" s="319" t="s">
        <v>190</v>
      </c>
      <c r="FH176" s="319" t="s">
        <v>190</v>
      </c>
      <c r="FI176" s="319" t="s">
        <v>190</v>
      </c>
      <c r="FJ176" s="319" t="s">
        <v>190</v>
      </c>
      <c r="FK176" s="319" t="s">
        <v>190</v>
      </c>
      <c r="FL176" s="319" t="s">
        <v>190</v>
      </c>
      <c r="FM176" s="319" t="s">
        <v>190</v>
      </c>
      <c r="FN176" s="319" t="s">
        <v>190</v>
      </c>
      <c r="FO176" s="319" t="s">
        <v>190</v>
      </c>
      <c r="FP176" s="319" t="s">
        <v>190</v>
      </c>
      <c r="FQ176" s="319" t="s">
        <v>190</v>
      </c>
      <c r="FR176" s="319" t="s">
        <v>190</v>
      </c>
      <c r="FS176" s="319" t="s">
        <v>428</v>
      </c>
      <c r="FT176" s="319" t="s">
        <v>190</v>
      </c>
      <c r="FU176" s="319" t="s">
        <v>190</v>
      </c>
      <c r="FV176" s="319" t="s">
        <v>190</v>
      </c>
      <c r="FW176" s="319" t="s">
        <v>190</v>
      </c>
      <c r="FX176" s="319" t="s">
        <v>190</v>
      </c>
      <c r="FY176" s="319" t="s">
        <v>190</v>
      </c>
      <c r="FZ176" s="319" t="s">
        <v>190</v>
      </c>
      <c r="GA176" s="319" t="s">
        <v>190</v>
      </c>
      <c r="GB176" s="319" t="s">
        <v>190</v>
      </c>
      <c r="GC176" s="319" t="s">
        <v>190</v>
      </c>
      <c r="GD176" s="319" t="s">
        <v>190</v>
      </c>
      <c r="GE176" s="319" t="s">
        <v>190</v>
      </c>
      <c r="GF176" s="319" t="s">
        <v>190</v>
      </c>
      <c r="GG176" s="319" t="s">
        <v>190</v>
      </c>
      <c r="GH176" s="319" t="s">
        <v>190</v>
      </c>
      <c r="GI176" s="319" t="s">
        <v>190</v>
      </c>
      <c r="GJ176" s="319" t="s">
        <v>190</v>
      </c>
      <c r="GK176" s="319" t="s">
        <v>428</v>
      </c>
      <c r="GL176" s="319" t="s">
        <v>190</v>
      </c>
      <c r="GM176" s="319" t="s">
        <v>190</v>
      </c>
      <c r="GN176" s="319" t="s">
        <v>190</v>
      </c>
      <c r="GO176" s="319" t="s">
        <v>190</v>
      </c>
      <c r="GP176" s="319" t="s">
        <v>190</v>
      </c>
      <c r="GQ176" s="319" t="s">
        <v>190</v>
      </c>
      <c r="GR176" s="319" t="s">
        <v>190</v>
      </c>
      <c r="GS176" s="319" t="s">
        <v>190</v>
      </c>
      <c r="GT176" s="319" t="s">
        <v>190</v>
      </c>
      <c r="GU176" s="319" t="s">
        <v>190</v>
      </c>
      <c r="GV176" s="319" t="s">
        <v>428</v>
      </c>
      <c r="GW176" s="319" t="s">
        <v>190</v>
      </c>
      <c r="GX176" s="319" t="s">
        <v>190</v>
      </c>
      <c r="GY176" s="319" t="s">
        <v>190</v>
      </c>
      <c r="GZ176" s="319" t="s">
        <v>428</v>
      </c>
      <c r="HA176" s="319" t="s">
        <v>190</v>
      </c>
      <c r="HB176" s="319" t="s">
        <v>190</v>
      </c>
      <c r="HC176" s="319" t="s">
        <v>190</v>
      </c>
      <c r="HD176" s="319" t="s">
        <v>190</v>
      </c>
      <c r="HE176" s="319" t="s">
        <v>190</v>
      </c>
      <c r="HF176" s="319" t="s">
        <v>190</v>
      </c>
      <c r="HG176" s="319" t="s">
        <v>190</v>
      </c>
      <c r="HH176" s="319" t="s">
        <v>190</v>
      </c>
      <c r="HI176" s="319" t="s">
        <v>190</v>
      </c>
      <c r="HJ176" s="319" t="s">
        <v>190</v>
      </c>
      <c r="HK176" s="319" t="s">
        <v>190</v>
      </c>
      <c r="HL176" s="319" t="s">
        <v>428</v>
      </c>
      <c r="HM176" s="319" t="s">
        <v>428</v>
      </c>
      <c r="HN176" s="319" t="s">
        <v>428</v>
      </c>
      <c r="HO176" s="319" t="s">
        <v>428</v>
      </c>
      <c r="HP176" s="319" t="s">
        <v>190</v>
      </c>
      <c r="HQ176" s="319" t="s">
        <v>190</v>
      </c>
      <c r="HR176" s="319" t="s">
        <v>190</v>
      </c>
      <c r="HS176" s="319" t="s">
        <v>190</v>
      </c>
      <c r="HT176" s="319" t="s">
        <v>190</v>
      </c>
      <c r="HU176" s="319" t="s">
        <v>190</v>
      </c>
      <c r="HV176" s="319" t="s">
        <v>190</v>
      </c>
      <c r="HW176" s="319" t="s">
        <v>190</v>
      </c>
      <c r="HX176" s="319" t="s">
        <v>190</v>
      </c>
      <c r="HY176" s="319" t="s">
        <v>190</v>
      </c>
      <c r="HZ176" s="319" t="s">
        <v>190</v>
      </c>
      <c r="IA176" s="319" t="s">
        <v>190</v>
      </c>
      <c r="IB176" s="319" t="s">
        <v>190</v>
      </c>
      <c r="IC176" s="319" t="s">
        <v>190</v>
      </c>
      <c r="ID176" s="319" t="s">
        <v>190</v>
      </c>
      <c r="IE176" s="319" t="s">
        <v>190</v>
      </c>
      <c r="IF176" s="319" t="s">
        <v>190</v>
      </c>
      <c r="IG176" s="319" t="s">
        <v>190</v>
      </c>
      <c r="IH176" s="319" t="s">
        <v>190</v>
      </c>
      <c r="II176" s="319" t="s">
        <v>190</v>
      </c>
      <c r="IJ176" s="319" t="s">
        <v>2957</v>
      </c>
      <c r="IK176" s="321">
        <v>42073</v>
      </c>
      <c r="IL176" s="321">
        <v>42075</v>
      </c>
      <c r="IM176" s="321">
        <v>42121</v>
      </c>
      <c r="IN176" s="319">
        <v>1</v>
      </c>
      <c r="IO176" s="319" t="s">
        <v>173</v>
      </c>
      <c r="IP176" s="319" t="s">
        <v>173</v>
      </c>
      <c r="IQ176" s="321" t="s">
        <v>173</v>
      </c>
      <c r="IR176" s="320" t="s">
        <v>173</v>
      </c>
      <c r="IS176" s="322" t="s">
        <v>173</v>
      </c>
      <c r="IT176" s="319" t="s">
        <v>173</v>
      </c>
    </row>
    <row r="177" spans="1:254" s="271" customFormat="1" x14ac:dyDescent="0.25">
      <c r="A177" s="318" t="str">
        <f>HYPERLINK("http://www.ofsted.gov.uk/inspection-reports/find-inspection-report/provider/ELS/116586 ","Ofsted School Webpage")</f>
        <v>Ofsted School Webpage</v>
      </c>
      <c r="B177" s="319">
        <v>116586</v>
      </c>
      <c r="C177" s="319">
        <v>8506017</v>
      </c>
      <c r="D177" s="319" t="s">
        <v>1463</v>
      </c>
      <c r="E177" s="319" t="s">
        <v>168</v>
      </c>
      <c r="F177" s="319" t="s">
        <v>81</v>
      </c>
      <c r="G177" s="319" t="s">
        <v>81</v>
      </c>
      <c r="H177" s="319" t="s">
        <v>81</v>
      </c>
      <c r="I177" s="319" t="s">
        <v>78</v>
      </c>
      <c r="J177" s="319" t="s">
        <v>424</v>
      </c>
      <c r="K177" s="319" t="s">
        <v>514</v>
      </c>
      <c r="L177" s="319" t="s">
        <v>514</v>
      </c>
      <c r="M177" s="319" t="s">
        <v>515</v>
      </c>
      <c r="N177" s="319" t="s">
        <v>2952</v>
      </c>
      <c r="O177" s="319" t="s">
        <v>1464</v>
      </c>
      <c r="P177" s="319">
        <v>75</v>
      </c>
      <c r="Q177" s="319" t="s">
        <v>429</v>
      </c>
      <c r="R177" s="320">
        <v>10034635</v>
      </c>
      <c r="S177" s="321">
        <v>42927</v>
      </c>
      <c r="T177" s="321">
        <v>42929</v>
      </c>
      <c r="U177" s="321">
        <v>43005</v>
      </c>
      <c r="V177" s="319" t="s">
        <v>425</v>
      </c>
      <c r="W177" s="319" t="s">
        <v>2767</v>
      </c>
      <c r="X177" s="319">
        <v>1</v>
      </c>
      <c r="Y177" s="319" t="s">
        <v>173</v>
      </c>
      <c r="Z177" s="319" t="s">
        <v>173</v>
      </c>
      <c r="AA177" s="319" t="s">
        <v>173</v>
      </c>
      <c r="AB177" s="319">
        <v>1</v>
      </c>
      <c r="AC177" s="319" t="s">
        <v>169</v>
      </c>
      <c r="AD177" s="319" t="s">
        <v>173</v>
      </c>
      <c r="AE177" s="319">
        <v>1</v>
      </c>
      <c r="AF177" s="319" t="s">
        <v>173</v>
      </c>
      <c r="AG177" s="319" t="s">
        <v>171</v>
      </c>
      <c r="AH177" s="319" t="s">
        <v>190</v>
      </c>
      <c r="AI177" s="319" t="s">
        <v>190</v>
      </c>
      <c r="AJ177" s="319" t="s">
        <v>190</v>
      </c>
      <c r="AK177" s="319" t="s">
        <v>190</v>
      </c>
      <c r="AL177" s="319" t="s">
        <v>190</v>
      </c>
      <c r="AM177" s="319" t="s">
        <v>190</v>
      </c>
      <c r="AN177" s="319" t="s">
        <v>190</v>
      </c>
      <c r="AO177" s="319" t="s">
        <v>190</v>
      </c>
      <c r="AP177" s="319" t="s">
        <v>190</v>
      </c>
      <c r="AQ177" s="319" t="s">
        <v>190</v>
      </c>
      <c r="AR177" s="319" t="s">
        <v>190</v>
      </c>
      <c r="AS177" s="319" t="s">
        <v>190</v>
      </c>
      <c r="AT177" s="319" t="s">
        <v>190</v>
      </c>
      <c r="AU177" s="319" t="s">
        <v>190</v>
      </c>
      <c r="AV177" s="319" t="s">
        <v>190</v>
      </c>
      <c r="AW177" s="319" t="s">
        <v>190</v>
      </c>
      <c r="AX177" s="319" t="s">
        <v>429</v>
      </c>
      <c r="AY177" s="319" t="s">
        <v>190</v>
      </c>
      <c r="AZ177" s="319" t="s">
        <v>190</v>
      </c>
      <c r="BA177" s="319" t="s">
        <v>190</v>
      </c>
      <c r="BB177" s="319" t="s">
        <v>190</v>
      </c>
      <c r="BC177" s="319" t="s">
        <v>190</v>
      </c>
      <c r="BD177" s="319" t="s">
        <v>190</v>
      </c>
      <c r="BE177" s="319" t="s">
        <v>190</v>
      </c>
      <c r="BF177" s="319" t="s">
        <v>429</v>
      </c>
      <c r="BG177" s="319" t="s">
        <v>190</v>
      </c>
      <c r="BH177" s="319" t="s">
        <v>190</v>
      </c>
      <c r="BI177" s="319" t="s">
        <v>190</v>
      </c>
      <c r="BJ177" s="319" t="s">
        <v>190</v>
      </c>
      <c r="BK177" s="319" t="s">
        <v>190</v>
      </c>
      <c r="BL177" s="319" t="s">
        <v>190</v>
      </c>
      <c r="BM177" s="319" t="s">
        <v>190</v>
      </c>
      <c r="BN177" s="319" t="s">
        <v>190</v>
      </c>
      <c r="BO177" s="319" t="s">
        <v>190</v>
      </c>
      <c r="BP177" s="319" t="s">
        <v>190</v>
      </c>
      <c r="BQ177" s="319" t="s">
        <v>190</v>
      </c>
      <c r="BR177" s="319" t="s">
        <v>190</v>
      </c>
      <c r="BS177" s="319" t="s">
        <v>190</v>
      </c>
      <c r="BT177" s="319" t="s">
        <v>190</v>
      </c>
      <c r="BU177" s="319" t="s">
        <v>190</v>
      </c>
      <c r="BV177" s="319" t="s">
        <v>190</v>
      </c>
      <c r="BW177" s="319" t="s">
        <v>190</v>
      </c>
      <c r="BX177" s="319" t="s">
        <v>190</v>
      </c>
      <c r="BY177" s="319" t="s">
        <v>190</v>
      </c>
      <c r="BZ177" s="319" t="s">
        <v>190</v>
      </c>
      <c r="CA177" s="319" t="s">
        <v>190</v>
      </c>
      <c r="CB177" s="319" t="s">
        <v>190</v>
      </c>
      <c r="CC177" s="319" t="s">
        <v>190</v>
      </c>
      <c r="CD177" s="319" t="s">
        <v>190</v>
      </c>
      <c r="CE177" s="319" t="s">
        <v>190</v>
      </c>
      <c r="CF177" s="319" t="s">
        <v>190</v>
      </c>
      <c r="CG177" s="319" t="s">
        <v>190</v>
      </c>
      <c r="CH177" s="319" t="s">
        <v>190</v>
      </c>
      <c r="CI177" s="319" t="s">
        <v>190</v>
      </c>
      <c r="CJ177" s="319" t="s">
        <v>190</v>
      </c>
      <c r="CK177" s="319" t="s">
        <v>190</v>
      </c>
      <c r="CL177" s="319" t="s">
        <v>190</v>
      </c>
      <c r="CM177" s="319" t="s">
        <v>190</v>
      </c>
      <c r="CN177" s="319" t="s">
        <v>190</v>
      </c>
      <c r="CO177" s="319" t="s">
        <v>429</v>
      </c>
      <c r="CP177" s="319" t="s">
        <v>429</v>
      </c>
      <c r="CQ177" s="319" t="s">
        <v>190</v>
      </c>
      <c r="CR177" s="319" t="s">
        <v>190</v>
      </c>
      <c r="CS177" s="319" t="s">
        <v>190</v>
      </c>
      <c r="CT177" s="319" t="s">
        <v>190</v>
      </c>
      <c r="CU177" s="319" t="s">
        <v>190</v>
      </c>
      <c r="CV177" s="319" t="s">
        <v>190</v>
      </c>
      <c r="CW177" s="319" t="s">
        <v>190</v>
      </c>
      <c r="CX177" s="319" t="s">
        <v>190</v>
      </c>
      <c r="CY177" s="319" t="s">
        <v>190</v>
      </c>
      <c r="CZ177" s="319" t="s">
        <v>190</v>
      </c>
      <c r="DA177" s="319" t="s">
        <v>190</v>
      </c>
      <c r="DB177" s="319" t="s">
        <v>190</v>
      </c>
      <c r="DC177" s="319" t="s">
        <v>190</v>
      </c>
      <c r="DD177" s="319" t="s">
        <v>190</v>
      </c>
      <c r="DE177" s="319" t="s">
        <v>190</v>
      </c>
      <c r="DF177" s="319" t="s">
        <v>190</v>
      </c>
      <c r="DG177" s="319" t="s">
        <v>190</v>
      </c>
      <c r="DH177" s="319" t="s">
        <v>190</v>
      </c>
      <c r="DI177" s="319" t="s">
        <v>190</v>
      </c>
      <c r="DJ177" s="319" t="s">
        <v>190</v>
      </c>
      <c r="DK177" s="319" t="s">
        <v>190</v>
      </c>
      <c r="DL177" s="319" t="s">
        <v>190</v>
      </c>
      <c r="DM177" s="319" t="s">
        <v>190</v>
      </c>
      <c r="DN177" s="319" t="s">
        <v>190</v>
      </c>
      <c r="DO177" s="319" t="s">
        <v>190</v>
      </c>
      <c r="DP177" s="319" t="s">
        <v>190</v>
      </c>
      <c r="DQ177" s="319" t="s">
        <v>190</v>
      </c>
      <c r="DR177" s="319" t="s">
        <v>190</v>
      </c>
      <c r="DS177" s="319" t="s">
        <v>190</v>
      </c>
      <c r="DT177" s="319" t="s">
        <v>190</v>
      </c>
      <c r="DU177" s="319" t="s">
        <v>190</v>
      </c>
      <c r="DV177" s="319" t="s">
        <v>173</v>
      </c>
      <c r="DW177" s="319" t="s">
        <v>190</v>
      </c>
      <c r="DX177" s="319" t="s">
        <v>190</v>
      </c>
      <c r="DY177" s="319" t="s">
        <v>190</v>
      </c>
      <c r="DZ177" s="319" t="s">
        <v>190</v>
      </c>
      <c r="EA177" s="319" t="s">
        <v>190</v>
      </c>
      <c r="EB177" s="319" t="s">
        <v>190</v>
      </c>
      <c r="EC177" s="319" t="s">
        <v>429</v>
      </c>
      <c r="ED177" s="319" t="s">
        <v>190</v>
      </c>
      <c r="EE177" s="319" t="s">
        <v>190</v>
      </c>
      <c r="EF177" s="319" t="s">
        <v>190</v>
      </c>
      <c r="EG177" s="319" t="s">
        <v>190</v>
      </c>
      <c r="EH177" s="319" t="s">
        <v>190</v>
      </c>
      <c r="EI177" s="319" t="s">
        <v>190</v>
      </c>
      <c r="EJ177" s="319" t="s">
        <v>190</v>
      </c>
      <c r="EK177" s="319" t="s">
        <v>190</v>
      </c>
      <c r="EL177" s="319" t="s">
        <v>190</v>
      </c>
      <c r="EM177" s="319" t="s">
        <v>190</v>
      </c>
      <c r="EN177" s="319" t="s">
        <v>190</v>
      </c>
      <c r="EO177" s="319" t="s">
        <v>190</v>
      </c>
      <c r="EP177" s="319" t="s">
        <v>190</v>
      </c>
      <c r="EQ177" s="319" t="s">
        <v>190</v>
      </c>
      <c r="ER177" s="319" t="s">
        <v>190</v>
      </c>
      <c r="ES177" s="319" t="s">
        <v>190</v>
      </c>
      <c r="ET177" s="319" t="s">
        <v>190</v>
      </c>
      <c r="EU177" s="319" t="s">
        <v>190</v>
      </c>
      <c r="EV177" s="319" t="s">
        <v>190</v>
      </c>
      <c r="EW177" s="319" t="s">
        <v>190</v>
      </c>
      <c r="EX177" s="319" t="s">
        <v>190</v>
      </c>
      <c r="EY177" s="319" t="s">
        <v>190</v>
      </c>
      <c r="EZ177" s="319" t="s">
        <v>190</v>
      </c>
      <c r="FA177" s="319" t="s">
        <v>190</v>
      </c>
      <c r="FB177" s="319" t="s">
        <v>190</v>
      </c>
      <c r="FC177" s="319" t="s">
        <v>190</v>
      </c>
      <c r="FD177" s="319" t="s">
        <v>190</v>
      </c>
      <c r="FE177" s="319" t="s">
        <v>190</v>
      </c>
      <c r="FF177" s="319" t="s">
        <v>190</v>
      </c>
      <c r="FG177" s="319" t="s">
        <v>190</v>
      </c>
      <c r="FH177" s="319" t="s">
        <v>190</v>
      </c>
      <c r="FI177" s="319" t="s">
        <v>190</v>
      </c>
      <c r="FJ177" s="319" t="s">
        <v>190</v>
      </c>
      <c r="FK177" s="319" t="s">
        <v>190</v>
      </c>
      <c r="FL177" s="319" t="s">
        <v>190</v>
      </c>
      <c r="FM177" s="319" t="s">
        <v>190</v>
      </c>
      <c r="FN177" s="319" t="s">
        <v>190</v>
      </c>
      <c r="FO177" s="319" t="s">
        <v>190</v>
      </c>
      <c r="FP177" s="319" t="s">
        <v>190</v>
      </c>
      <c r="FQ177" s="319" t="s">
        <v>190</v>
      </c>
      <c r="FR177" s="319" t="s">
        <v>190</v>
      </c>
      <c r="FS177" s="319" t="s">
        <v>429</v>
      </c>
      <c r="FT177" s="319" t="s">
        <v>190</v>
      </c>
      <c r="FU177" s="319" t="s">
        <v>190</v>
      </c>
      <c r="FV177" s="319" t="s">
        <v>190</v>
      </c>
      <c r="FW177" s="319" t="s">
        <v>190</v>
      </c>
      <c r="FX177" s="319" t="s">
        <v>190</v>
      </c>
      <c r="FY177" s="319" t="s">
        <v>190</v>
      </c>
      <c r="FZ177" s="319" t="s">
        <v>190</v>
      </c>
      <c r="GA177" s="319" t="s">
        <v>190</v>
      </c>
      <c r="GB177" s="319" t="s">
        <v>190</v>
      </c>
      <c r="GC177" s="319" t="s">
        <v>190</v>
      </c>
      <c r="GD177" s="319" t="s">
        <v>190</v>
      </c>
      <c r="GE177" s="319" t="s">
        <v>190</v>
      </c>
      <c r="GF177" s="319" t="s">
        <v>190</v>
      </c>
      <c r="GG177" s="319" t="s">
        <v>190</v>
      </c>
      <c r="GH177" s="319" t="s">
        <v>190</v>
      </c>
      <c r="GI177" s="319" t="s">
        <v>190</v>
      </c>
      <c r="GJ177" s="319" t="s">
        <v>190</v>
      </c>
      <c r="GK177" s="319" t="s">
        <v>429</v>
      </c>
      <c r="GL177" s="319" t="s">
        <v>190</v>
      </c>
      <c r="GM177" s="319" t="s">
        <v>190</v>
      </c>
      <c r="GN177" s="319" t="s">
        <v>190</v>
      </c>
      <c r="GO177" s="319" t="s">
        <v>190</v>
      </c>
      <c r="GP177" s="319" t="s">
        <v>190</v>
      </c>
      <c r="GQ177" s="319" t="s">
        <v>190</v>
      </c>
      <c r="GR177" s="319" t="s">
        <v>190</v>
      </c>
      <c r="GS177" s="319" t="s">
        <v>190</v>
      </c>
      <c r="GT177" s="319" t="s">
        <v>190</v>
      </c>
      <c r="GU177" s="319" t="s">
        <v>190</v>
      </c>
      <c r="GV177" s="319" t="s">
        <v>190</v>
      </c>
      <c r="GW177" s="319" t="s">
        <v>190</v>
      </c>
      <c r="GX177" s="319" t="s">
        <v>190</v>
      </c>
      <c r="GY177" s="319" t="s">
        <v>190</v>
      </c>
      <c r="GZ177" s="319" t="s">
        <v>429</v>
      </c>
      <c r="HA177" s="319" t="s">
        <v>190</v>
      </c>
      <c r="HB177" s="319" t="s">
        <v>190</v>
      </c>
      <c r="HC177" s="319" t="s">
        <v>190</v>
      </c>
      <c r="HD177" s="319" t="s">
        <v>190</v>
      </c>
      <c r="HE177" s="319" t="s">
        <v>190</v>
      </c>
      <c r="HF177" s="319" t="s">
        <v>190</v>
      </c>
      <c r="HG177" s="319" t="s">
        <v>190</v>
      </c>
      <c r="HH177" s="319" t="s">
        <v>190</v>
      </c>
      <c r="HI177" s="319" t="s">
        <v>190</v>
      </c>
      <c r="HJ177" s="319" t="s">
        <v>190</v>
      </c>
      <c r="HK177" s="319" t="s">
        <v>190</v>
      </c>
      <c r="HL177" s="319" t="s">
        <v>190</v>
      </c>
      <c r="HM177" s="319" t="s">
        <v>429</v>
      </c>
      <c r="HN177" s="319" t="s">
        <v>429</v>
      </c>
      <c r="HO177" s="319" t="s">
        <v>429</v>
      </c>
      <c r="HP177" s="319" t="s">
        <v>190</v>
      </c>
      <c r="HQ177" s="319" t="s">
        <v>190</v>
      </c>
      <c r="HR177" s="319" t="s">
        <v>190</v>
      </c>
      <c r="HS177" s="319" t="s">
        <v>190</v>
      </c>
      <c r="HT177" s="319" t="s">
        <v>190</v>
      </c>
      <c r="HU177" s="319" t="s">
        <v>190</v>
      </c>
      <c r="HV177" s="319" t="s">
        <v>190</v>
      </c>
      <c r="HW177" s="319" t="s">
        <v>190</v>
      </c>
      <c r="HX177" s="319" t="s">
        <v>190</v>
      </c>
      <c r="HY177" s="319" t="s">
        <v>190</v>
      </c>
      <c r="HZ177" s="319" t="s">
        <v>190</v>
      </c>
      <c r="IA177" s="319" t="s">
        <v>190</v>
      </c>
      <c r="IB177" s="319" t="s">
        <v>190</v>
      </c>
      <c r="IC177" s="319" t="s">
        <v>190</v>
      </c>
      <c r="ID177" s="319" t="s">
        <v>190</v>
      </c>
      <c r="IE177" s="319" t="s">
        <v>190</v>
      </c>
      <c r="IF177" s="319" t="s">
        <v>190</v>
      </c>
      <c r="IG177" s="319" t="s">
        <v>190</v>
      </c>
      <c r="IH177" s="319" t="s">
        <v>190</v>
      </c>
      <c r="II177" s="319" t="s">
        <v>190</v>
      </c>
      <c r="IJ177" s="319">
        <v>10006133</v>
      </c>
      <c r="IK177" s="321">
        <v>42291</v>
      </c>
      <c r="IL177" s="321">
        <v>42293</v>
      </c>
      <c r="IM177" s="321">
        <v>42387</v>
      </c>
      <c r="IN177" s="319">
        <v>1</v>
      </c>
      <c r="IO177" s="319" t="s">
        <v>173</v>
      </c>
      <c r="IP177" s="319" t="s">
        <v>173</v>
      </c>
      <c r="IQ177" s="321" t="s">
        <v>173</v>
      </c>
      <c r="IR177" s="320" t="s">
        <v>173</v>
      </c>
      <c r="IS177" s="322" t="s">
        <v>173</v>
      </c>
      <c r="IT177" s="319" t="s">
        <v>173</v>
      </c>
    </row>
    <row r="178" spans="1:254" s="271" customFormat="1" x14ac:dyDescent="0.25">
      <c r="A178" s="318" t="str">
        <f>HYPERLINK("http://www.ofsted.gov.uk/inspection-reports/find-inspection-report/provider/ELS/116588 ","Ofsted School Webpage")</f>
        <v>Ofsted School Webpage</v>
      </c>
      <c r="B178" s="319">
        <v>116588</v>
      </c>
      <c r="C178" s="319">
        <v>8506058</v>
      </c>
      <c r="D178" s="319" t="s">
        <v>1465</v>
      </c>
      <c r="E178" s="319" t="s">
        <v>168</v>
      </c>
      <c r="F178" s="319" t="s">
        <v>81</v>
      </c>
      <c r="G178" s="319" t="s">
        <v>81</v>
      </c>
      <c r="H178" s="319" t="s">
        <v>81</v>
      </c>
      <c r="I178" s="319" t="s">
        <v>78</v>
      </c>
      <c r="J178" s="319" t="s">
        <v>424</v>
      </c>
      <c r="K178" s="319" t="s">
        <v>514</v>
      </c>
      <c r="L178" s="319" t="s">
        <v>514</v>
      </c>
      <c r="M178" s="319" t="s">
        <v>515</v>
      </c>
      <c r="N178" s="319" t="s">
        <v>2958</v>
      </c>
      <c r="O178" s="319" t="s">
        <v>1466</v>
      </c>
      <c r="P178" s="319">
        <v>55</v>
      </c>
      <c r="Q178" s="319" t="s">
        <v>429</v>
      </c>
      <c r="R178" s="320">
        <v>10047029</v>
      </c>
      <c r="S178" s="321">
        <v>43256</v>
      </c>
      <c r="T178" s="321">
        <v>43258</v>
      </c>
      <c r="U178" s="321">
        <v>43285</v>
      </c>
      <c r="V178" s="319" t="s">
        <v>554</v>
      </c>
      <c r="W178" s="319" t="s">
        <v>2767</v>
      </c>
      <c r="X178" s="319">
        <v>3</v>
      </c>
      <c r="Y178" s="319" t="s">
        <v>173</v>
      </c>
      <c r="Z178" s="319" t="s">
        <v>173</v>
      </c>
      <c r="AA178" s="319" t="s">
        <v>173</v>
      </c>
      <c r="AB178" s="319">
        <v>3</v>
      </c>
      <c r="AC178" s="319" t="s">
        <v>169</v>
      </c>
      <c r="AD178" s="319" t="s">
        <v>173</v>
      </c>
      <c r="AE178" s="319">
        <v>2</v>
      </c>
      <c r="AF178" s="319" t="s">
        <v>427</v>
      </c>
      <c r="AG178" s="319" t="s">
        <v>172</v>
      </c>
      <c r="AH178" s="319" t="s">
        <v>190</v>
      </c>
      <c r="AI178" s="319" t="s">
        <v>190</v>
      </c>
      <c r="AJ178" s="319" t="s">
        <v>190</v>
      </c>
      <c r="AK178" s="319" t="s">
        <v>190</v>
      </c>
      <c r="AL178" s="319" t="s">
        <v>479</v>
      </c>
      <c r="AM178" s="319" t="s">
        <v>190</v>
      </c>
      <c r="AN178" s="319" t="s">
        <v>190</v>
      </c>
      <c r="AO178" s="319" t="s">
        <v>479</v>
      </c>
      <c r="AP178" s="319" t="s">
        <v>190</v>
      </c>
      <c r="AQ178" s="319" t="s">
        <v>190</v>
      </c>
      <c r="AR178" s="319" t="s">
        <v>190</v>
      </c>
      <c r="AS178" s="319" t="s">
        <v>190</v>
      </c>
      <c r="AT178" s="319" t="s">
        <v>190</v>
      </c>
      <c r="AU178" s="319" t="s">
        <v>190</v>
      </c>
      <c r="AV178" s="319" t="s">
        <v>190</v>
      </c>
      <c r="AW178" s="319" t="s">
        <v>190</v>
      </c>
      <c r="AX178" s="319" t="s">
        <v>428</v>
      </c>
      <c r="AY178" s="319" t="s">
        <v>190</v>
      </c>
      <c r="AZ178" s="319" t="s">
        <v>190</v>
      </c>
      <c r="BA178" s="319" t="s">
        <v>190</v>
      </c>
      <c r="BB178" s="319" t="s">
        <v>190</v>
      </c>
      <c r="BC178" s="319" t="s">
        <v>190</v>
      </c>
      <c r="BD178" s="319" t="s">
        <v>190</v>
      </c>
      <c r="BE178" s="319" t="s">
        <v>190</v>
      </c>
      <c r="BF178" s="319" t="s">
        <v>428</v>
      </c>
      <c r="BG178" s="319" t="s">
        <v>190</v>
      </c>
      <c r="BH178" s="319" t="s">
        <v>190</v>
      </c>
      <c r="BI178" s="319" t="s">
        <v>190</v>
      </c>
      <c r="BJ178" s="319" t="s">
        <v>190</v>
      </c>
      <c r="BK178" s="319" t="s">
        <v>190</v>
      </c>
      <c r="BL178" s="319" t="s">
        <v>190</v>
      </c>
      <c r="BM178" s="319" t="s">
        <v>190</v>
      </c>
      <c r="BN178" s="319" t="s">
        <v>190</v>
      </c>
      <c r="BO178" s="319" t="s">
        <v>190</v>
      </c>
      <c r="BP178" s="319" t="s">
        <v>190</v>
      </c>
      <c r="BQ178" s="319" t="s">
        <v>190</v>
      </c>
      <c r="BR178" s="319" t="s">
        <v>190</v>
      </c>
      <c r="BS178" s="319" t="s">
        <v>190</v>
      </c>
      <c r="BT178" s="319" t="s">
        <v>190</v>
      </c>
      <c r="BU178" s="319" t="s">
        <v>190</v>
      </c>
      <c r="BV178" s="319" t="s">
        <v>190</v>
      </c>
      <c r="BW178" s="319" t="s">
        <v>190</v>
      </c>
      <c r="BX178" s="319" t="s">
        <v>190</v>
      </c>
      <c r="BY178" s="319" t="s">
        <v>190</v>
      </c>
      <c r="BZ178" s="319" t="s">
        <v>190</v>
      </c>
      <c r="CA178" s="319" t="s">
        <v>190</v>
      </c>
      <c r="CB178" s="319" t="s">
        <v>190</v>
      </c>
      <c r="CC178" s="319" t="s">
        <v>190</v>
      </c>
      <c r="CD178" s="319" t="s">
        <v>190</v>
      </c>
      <c r="CE178" s="319" t="s">
        <v>190</v>
      </c>
      <c r="CF178" s="319" t="s">
        <v>190</v>
      </c>
      <c r="CG178" s="319" t="s">
        <v>190</v>
      </c>
      <c r="CH178" s="319" t="s">
        <v>190</v>
      </c>
      <c r="CI178" s="319" t="s">
        <v>190</v>
      </c>
      <c r="CJ178" s="319" t="s">
        <v>190</v>
      </c>
      <c r="CK178" s="319" t="s">
        <v>190</v>
      </c>
      <c r="CL178" s="319" t="s">
        <v>190</v>
      </c>
      <c r="CM178" s="319" t="s">
        <v>190</v>
      </c>
      <c r="CN178" s="319" t="s">
        <v>190</v>
      </c>
      <c r="CO178" s="319" t="s">
        <v>190</v>
      </c>
      <c r="CP178" s="319" t="s">
        <v>190</v>
      </c>
      <c r="CQ178" s="319" t="s">
        <v>190</v>
      </c>
      <c r="CR178" s="319" t="s">
        <v>190</v>
      </c>
      <c r="CS178" s="319" t="s">
        <v>190</v>
      </c>
      <c r="CT178" s="319" t="s">
        <v>190</v>
      </c>
      <c r="CU178" s="319" t="s">
        <v>190</v>
      </c>
      <c r="CV178" s="319" t="s">
        <v>190</v>
      </c>
      <c r="CW178" s="319" t="s">
        <v>190</v>
      </c>
      <c r="CX178" s="319" t="s">
        <v>190</v>
      </c>
      <c r="CY178" s="319" t="s">
        <v>190</v>
      </c>
      <c r="CZ178" s="319" t="s">
        <v>190</v>
      </c>
      <c r="DA178" s="319" t="s">
        <v>190</v>
      </c>
      <c r="DB178" s="319" t="s">
        <v>190</v>
      </c>
      <c r="DC178" s="319" t="s">
        <v>190</v>
      </c>
      <c r="DD178" s="319" t="s">
        <v>190</v>
      </c>
      <c r="DE178" s="319" t="s">
        <v>190</v>
      </c>
      <c r="DF178" s="319" t="s">
        <v>190</v>
      </c>
      <c r="DG178" s="319" t="s">
        <v>190</v>
      </c>
      <c r="DH178" s="319" t="s">
        <v>190</v>
      </c>
      <c r="DI178" s="319" t="s">
        <v>190</v>
      </c>
      <c r="DJ178" s="319" t="s">
        <v>190</v>
      </c>
      <c r="DK178" s="319" t="s">
        <v>190</v>
      </c>
      <c r="DL178" s="319" t="s">
        <v>190</v>
      </c>
      <c r="DM178" s="319" t="s">
        <v>190</v>
      </c>
      <c r="DN178" s="319" t="s">
        <v>190</v>
      </c>
      <c r="DO178" s="319" t="s">
        <v>190</v>
      </c>
      <c r="DP178" s="319" t="s">
        <v>190</v>
      </c>
      <c r="DQ178" s="319" t="s">
        <v>190</v>
      </c>
      <c r="DR178" s="319" t="s">
        <v>190</v>
      </c>
      <c r="DS178" s="319" t="s">
        <v>190</v>
      </c>
      <c r="DT178" s="319" t="s">
        <v>190</v>
      </c>
      <c r="DU178" s="319" t="s">
        <v>190</v>
      </c>
      <c r="DV178" s="319" t="s">
        <v>173</v>
      </c>
      <c r="DW178" s="319" t="s">
        <v>190</v>
      </c>
      <c r="DX178" s="319" t="s">
        <v>190</v>
      </c>
      <c r="DY178" s="319" t="s">
        <v>190</v>
      </c>
      <c r="DZ178" s="319" t="s">
        <v>190</v>
      </c>
      <c r="EA178" s="319" t="s">
        <v>190</v>
      </c>
      <c r="EB178" s="319" t="s">
        <v>190</v>
      </c>
      <c r="EC178" s="319" t="s">
        <v>190</v>
      </c>
      <c r="ED178" s="319" t="s">
        <v>190</v>
      </c>
      <c r="EE178" s="319" t="s">
        <v>190</v>
      </c>
      <c r="EF178" s="319" t="s">
        <v>190</v>
      </c>
      <c r="EG178" s="319" t="s">
        <v>190</v>
      </c>
      <c r="EH178" s="319" t="s">
        <v>190</v>
      </c>
      <c r="EI178" s="319" t="s">
        <v>190</v>
      </c>
      <c r="EJ178" s="319" t="s">
        <v>190</v>
      </c>
      <c r="EK178" s="319" t="s">
        <v>190</v>
      </c>
      <c r="EL178" s="319" t="s">
        <v>190</v>
      </c>
      <c r="EM178" s="319" t="s">
        <v>190</v>
      </c>
      <c r="EN178" s="319" t="s">
        <v>190</v>
      </c>
      <c r="EO178" s="319" t="s">
        <v>190</v>
      </c>
      <c r="EP178" s="319" t="s">
        <v>190</v>
      </c>
      <c r="EQ178" s="319" t="s">
        <v>190</v>
      </c>
      <c r="ER178" s="319" t="s">
        <v>190</v>
      </c>
      <c r="ES178" s="319" t="s">
        <v>190</v>
      </c>
      <c r="ET178" s="319" t="s">
        <v>190</v>
      </c>
      <c r="EU178" s="319" t="s">
        <v>190</v>
      </c>
      <c r="EV178" s="319" t="s">
        <v>190</v>
      </c>
      <c r="EW178" s="319" t="s">
        <v>190</v>
      </c>
      <c r="EX178" s="319" t="s">
        <v>190</v>
      </c>
      <c r="EY178" s="319" t="s">
        <v>190</v>
      </c>
      <c r="EZ178" s="319" t="s">
        <v>190</v>
      </c>
      <c r="FA178" s="319" t="s">
        <v>190</v>
      </c>
      <c r="FB178" s="319" t="s">
        <v>190</v>
      </c>
      <c r="FC178" s="319" t="s">
        <v>190</v>
      </c>
      <c r="FD178" s="319" t="s">
        <v>190</v>
      </c>
      <c r="FE178" s="319" t="s">
        <v>190</v>
      </c>
      <c r="FF178" s="319" t="s">
        <v>190</v>
      </c>
      <c r="FG178" s="319" t="s">
        <v>190</v>
      </c>
      <c r="FH178" s="319" t="s">
        <v>190</v>
      </c>
      <c r="FI178" s="319" t="s">
        <v>190</v>
      </c>
      <c r="FJ178" s="319" t="s">
        <v>190</v>
      </c>
      <c r="FK178" s="319" t="s">
        <v>190</v>
      </c>
      <c r="FL178" s="319" t="s">
        <v>190</v>
      </c>
      <c r="FM178" s="319" t="s">
        <v>190</v>
      </c>
      <c r="FN178" s="319" t="s">
        <v>190</v>
      </c>
      <c r="FO178" s="319" t="s">
        <v>190</v>
      </c>
      <c r="FP178" s="319" t="s">
        <v>190</v>
      </c>
      <c r="FQ178" s="319" t="s">
        <v>190</v>
      </c>
      <c r="FR178" s="319" t="s">
        <v>190</v>
      </c>
      <c r="FS178" s="319" t="s">
        <v>428</v>
      </c>
      <c r="FT178" s="319" t="s">
        <v>190</v>
      </c>
      <c r="FU178" s="319" t="s">
        <v>190</v>
      </c>
      <c r="FV178" s="319" t="s">
        <v>190</v>
      </c>
      <c r="FW178" s="319" t="s">
        <v>190</v>
      </c>
      <c r="FX178" s="319" t="s">
        <v>190</v>
      </c>
      <c r="FY178" s="319" t="s">
        <v>190</v>
      </c>
      <c r="FZ178" s="319" t="s">
        <v>190</v>
      </c>
      <c r="GA178" s="319" t="s">
        <v>190</v>
      </c>
      <c r="GB178" s="319" t="s">
        <v>190</v>
      </c>
      <c r="GC178" s="319" t="s">
        <v>190</v>
      </c>
      <c r="GD178" s="319" t="s">
        <v>190</v>
      </c>
      <c r="GE178" s="319" t="s">
        <v>190</v>
      </c>
      <c r="GF178" s="319" t="s">
        <v>190</v>
      </c>
      <c r="GG178" s="319" t="s">
        <v>190</v>
      </c>
      <c r="GH178" s="319" t="s">
        <v>190</v>
      </c>
      <c r="GI178" s="319" t="s">
        <v>190</v>
      </c>
      <c r="GJ178" s="319" t="s">
        <v>190</v>
      </c>
      <c r="GK178" s="319" t="s">
        <v>191</v>
      </c>
      <c r="GL178" s="319" t="s">
        <v>190</v>
      </c>
      <c r="GM178" s="319" t="s">
        <v>190</v>
      </c>
      <c r="GN178" s="319" t="s">
        <v>190</v>
      </c>
      <c r="GO178" s="319" t="s">
        <v>190</v>
      </c>
      <c r="GP178" s="319" t="s">
        <v>190</v>
      </c>
      <c r="GQ178" s="319" t="s">
        <v>190</v>
      </c>
      <c r="GR178" s="319" t="s">
        <v>190</v>
      </c>
      <c r="GS178" s="319" t="s">
        <v>190</v>
      </c>
      <c r="GT178" s="319" t="s">
        <v>190</v>
      </c>
      <c r="GU178" s="319" t="s">
        <v>190</v>
      </c>
      <c r="GV178" s="319" t="s">
        <v>190</v>
      </c>
      <c r="GW178" s="319" t="s">
        <v>190</v>
      </c>
      <c r="GX178" s="319" t="s">
        <v>190</v>
      </c>
      <c r="GY178" s="319" t="s">
        <v>190</v>
      </c>
      <c r="GZ178" s="319" t="s">
        <v>428</v>
      </c>
      <c r="HA178" s="319" t="s">
        <v>190</v>
      </c>
      <c r="HB178" s="319" t="s">
        <v>190</v>
      </c>
      <c r="HC178" s="319" t="s">
        <v>190</v>
      </c>
      <c r="HD178" s="319" t="s">
        <v>190</v>
      </c>
      <c r="HE178" s="319" t="s">
        <v>190</v>
      </c>
      <c r="HF178" s="319" t="s">
        <v>190</v>
      </c>
      <c r="HG178" s="319" t="s">
        <v>190</v>
      </c>
      <c r="HH178" s="319" t="s">
        <v>190</v>
      </c>
      <c r="HI178" s="319" t="s">
        <v>190</v>
      </c>
      <c r="HJ178" s="319" t="s">
        <v>190</v>
      </c>
      <c r="HK178" s="319" t="s">
        <v>190</v>
      </c>
      <c r="HL178" s="319" t="s">
        <v>190</v>
      </c>
      <c r="HM178" s="319" t="s">
        <v>190</v>
      </c>
      <c r="HN178" s="319" t="s">
        <v>190</v>
      </c>
      <c r="HO178" s="319" t="s">
        <v>190</v>
      </c>
      <c r="HP178" s="319" t="s">
        <v>190</v>
      </c>
      <c r="HQ178" s="319" t="s">
        <v>190</v>
      </c>
      <c r="HR178" s="319" t="s">
        <v>190</v>
      </c>
      <c r="HS178" s="319" t="s">
        <v>190</v>
      </c>
      <c r="HT178" s="319" t="s">
        <v>190</v>
      </c>
      <c r="HU178" s="319" t="s">
        <v>190</v>
      </c>
      <c r="HV178" s="319" t="s">
        <v>190</v>
      </c>
      <c r="HW178" s="319" t="s">
        <v>190</v>
      </c>
      <c r="HX178" s="319" t="s">
        <v>190</v>
      </c>
      <c r="HY178" s="319" t="s">
        <v>190</v>
      </c>
      <c r="HZ178" s="319" t="s">
        <v>190</v>
      </c>
      <c r="IA178" s="319" t="s">
        <v>190</v>
      </c>
      <c r="IB178" s="319" t="s">
        <v>190</v>
      </c>
      <c r="IC178" s="319" t="s">
        <v>190</v>
      </c>
      <c r="ID178" s="319" t="s">
        <v>190</v>
      </c>
      <c r="IE178" s="319" t="s">
        <v>190</v>
      </c>
      <c r="IF178" s="319" t="s">
        <v>191</v>
      </c>
      <c r="IG178" s="319" t="s">
        <v>191</v>
      </c>
      <c r="IH178" s="319" t="s">
        <v>191</v>
      </c>
      <c r="II178" s="319" t="s">
        <v>190</v>
      </c>
      <c r="IJ178" s="319">
        <v>10012946</v>
      </c>
      <c r="IK178" s="321">
        <v>42549</v>
      </c>
      <c r="IL178" s="321">
        <v>42551</v>
      </c>
      <c r="IM178" s="321">
        <v>42625</v>
      </c>
      <c r="IN178" s="319">
        <v>3</v>
      </c>
      <c r="IO178" s="319">
        <v>10103977</v>
      </c>
      <c r="IP178" s="319" t="s">
        <v>1061</v>
      </c>
      <c r="IQ178" s="321">
        <v>43656</v>
      </c>
      <c r="IR178" s="320" t="s">
        <v>1223</v>
      </c>
      <c r="IS178" s="322">
        <v>43718</v>
      </c>
      <c r="IT178" s="319" t="s">
        <v>166</v>
      </c>
    </row>
    <row r="179" spans="1:254" s="271" customFormat="1" x14ac:dyDescent="0.25">
      <c r="A179" s="318" t="str">
        <f>HYPERLINK("http://www.ofsted.gov.uk/inspection-reports/find-inspection-report/provider/ELS/116589 ","Ofsted School Webpage")</f>
        <v>Ofsted School Webpage</v>
      </c>
      <c r="B179" s="319">
        <v>116589</v>
      </c>
      <c r="C179" s="319">
        <v>8506005</v>
      </c>
      <c r="D179" s="319" t="s">
        <v>1467</v>
      </c>
      <c r="E179" s="319" t="s">
        <v>168</v>
      </c>
      <c r="F179" s="319" t="s">
        <v>81</v>
      </c>
      <c r="G179" s="319" t="s">
        <v>81</v>
      </c>
      <c r="H179" s="319" t="s">
        <v>81</v>
      </c>
      <c r="I179" s="319" t="s">
        <v>78</v>
      </c>
      <c r="J179" s="319" t="s">
        <v>424</v>
      </c>
      <c r="K179" s="319" t="s">
        <v>514</v>
      </c>
      <c r="L179" s="319" t="s">
        <v>514</v>
      </c>
      <c r="M179" s="319" t="s">
        <v>515</v>
      </c>
      <c r="N179" s="319" t="s">
        <v>2959</v>
      </c>
      <c r="O179" s="319" t="s">
        <v>1468</v>
      </c>
      <c r="P179" s="319">
        <v>25</v>
      </c>
      <c r="Q179" s="319" t="s">
        <v>429</v>
      </c>
      <c r="R179" s="320">
        <v>10047017</v>
      </c>
      <c r="S179" s="321">
        <v>43291</v>
      </c>
      <c r="T179" s="321">
        <v>43293</v>
      </c>
      <c r="U179" s="321">
        <v>43367</v>
      </c>
      <c r="V179" s="319" t="s">
        <v>425</v>
      </c>
      <c r="W179" s="319" t="s">
        <v>2767</v>
      </c>
      <c r="X179" s="319">
        <v>1</v>
      </c>
      <c r="Y179" s="319" t="s">
        <v>173</v>
      </c>
      <c r="Z179" s="319" t="s">
        <v>173</v>
      </c>
      <c r="AA179" s="319" t="s">
        <v>173</v>
      </c>
      <c r="AB179" s="319">
        <v>1</v>
      </c>
      <c r="AC179" s="319" t="s">
        <v>169</v>
      </c>
      <c r="AD179" s="319" t="s">
        <v>173</v>
      </c>
      <c r="AE179" s="319">
        <v>1</v>
      </c>
      <c r="AF179" s="319" t="s">
        <v>427</v>
      </c>
      <c r="AG179" s="319" t="s">
        <v>171</v>
      </c>
      <c r="AH179" s="319" t="s">
        <v>190</v>
      </c>
      <c r="AI179" s="319" t="s">
        <v>190</v>
      </c>
      <c r="AJ179" s="319" t="s">
        <v>190</v>
      </c>
      <c r="AK179" s="319" t="s">
        <v>190</v>
      </c>
      <c r="AL179" s="319" t="s">
        <v>190</v>
      </c>
      <c r="AM179" s="319" t="s">
        <v>190</v>
      </c>
      <c r="AN179" s="319" t="s">
        <v>190</v>
      </c>
      <c r="AO179" s="319" t="s">
        <v>190</v>
      </c>
      <c r="AP179" s="319" t="s">
        <v>190</v>
      </c>
      <c r="AQ179" s="319" t="s">
        <v>190</v>
      </c>
      <c r="AR179" s="319" t="s">
        <v>190</v>
      </c>
      <c r="AS179" s="319" t="s">
        <v>190</v>
      </c>
      <c r="AT179" s="319" t="s">
        <v>190</v>
      </c>
      <c r="AU179" s="319" t="s">
        <v>190</v>
      </c>
      <c r="AV179" s="319" t="s">
        <v>190</v>
      </c>
      <c r="AW179" s="319" t="s">
        <v>190</v>
      </c>
      <c r="AX179" s="319" t="s">
        <v>428</v>
      </c>
      <c r="AY179" s="319" t="s">
        <v>190</v>
      </c>
      <c r="AZ179" s="319" t="s">
        <v>190</v>
      </c>
      <c r="BA179" s="319" t="s">
        <v>190</v>
      </c>
      <c r="BB179" s="319" t="s">
        <v>190</v>
      </c>
      <c r="BC179" s="319" t="s">
        <v>190</v>
      </c>
      <c r="BD179" s="319" t="s">
        <v>190</v>
      </c>
      <c r="BE179" s="319" t="s">
        <v>190</v>
      </c>
      <c r="BF179" s="319" t="s">
        <v>428</v>
      </c>
      <c r="BG179" s="319" t="s">
        <v>190</v>
      </c>
      <c r="BH179" s="319" t="s">
        <v>190</v>
      </c>
      <c r="BI179" s="319" t="s">
        <v>190</v>
      </c>
      <c r="BJ179" s="319" t="s">
        <v>190</v>
      </c>
      <c r="BK179" s="319" t="s">
        <v>190</v>
      </c>
      <c r="BL179" s="319" t="s">
        <v>190</v>
      </c>
      <c r="BM179" s="319" t="s">
        <v>190</v>
      </c>
      <c r="BN179" s="319" t="s">
        <v>190</v>
      </c>
      <c r="BO179" s="319" t="s">
        <v>190</v>
      </c>
      <c r="BP179" s="319" t="s">
        <v>190</v>
      </c>
      <c r="BQ179" s="319" t="s">
        <v>190</v>
      </c>
      <c r="BR179" s="319" t="s">
        <v>190</v>
      </c>
      <c r="BS179" s="319" t="s">
        <v>190</v>
      </c>
      <c r="BT179" s="319" t="s">
        <v>190</v>
      </c>
      <c r="BU179" s="319" t="s">
        <v>190</v>
      </c>
      <c r="BV179" s="319" t="s">
        <v>190</v>
      </c>
      <c r="BW179" s="319" t="s">
        <v>190</v>
      </c>
      <c r="BX179" s="319" t="s">
        <v>190</v>
      </c>
      <c r="BY179" s="319" t="s">
        <v>190</v>
      </c>
      <c r="BZ179" s="319" t="s">
        <v>190</v>
      </c>
      <c r="CA179" s="319" t="s">
        <v>190</v>
      </c>
      <c r="CB179" s="319" t="s">
        <v>190</v>
      </c>
      <c r="CC179" s="319" t="s">
        <v>190</v>
      </c>
      <c r="CD179" s="319" t="s">
        <v>190</v>
      </c>
      <c r="CE179" s="319" t="s">
        <v>190</v>
      </c>
      <c r="CF179" s="319" t="s">
        <v>190</v>
      </c>
      <c r="CG179" s="319" t="s">
        <v>190</v>
      </c>
      <c r="CH179" s="319" t="s">
        <v>190</v>
      </c>
      <c r="CI179" s="319" t="s">
        <v>190</v>
      </c>
      <c r="CJ179" s="319" t="s">
        <v>190</v>
      </c>
      <c r="CK179" s="319" t="s">
        <v>190</v>
      </c>
      <c r="CL179" s="319" t="s">
        <v>190</v>
      </c>
      <c r="CM179" s="319" t="s">
        <v>190</v>
      </c>
      <c r="CN179" s="319" t="s">
        <v>190</v>
      </c>
      <c r="CO179" s="319" t="s">
        <v>190</v>
      </c>
      <c r="CP179" s="319" t="s">
        <v>190</v>
      </c>
      <c r="CQ179" s="319" t="s">
        <v>190</v>
      </c>
      <c r="CR179" s="319" t="s">
        <v>190</v>
      </c>
      <c r="CS179" s="319" t="s">
        <v>190</v>
      </c>
      <c r="CT179" s="319" t="s">
        <v>190</v>
      </c>
      <c r="CU179" s="319" t="s">
        <v>190</v>
      </c>
      <c r="CV179" s="319" t="s">
        <v>190</v>
      </c>
      <c r="CW179" s="319" t="s">
        <v>190</v>
      </c>
      <c r="CX179" s="319" t="s">
        <v>190</v>
      </c>
      <c r="CY179" s="319" t="s">
        <v>190</v>
      </c>
      <c r="CZ179" s="319" t="s">
        <v>190</v>
      </c>
      <c r="DA179" s="319" t="s">
        <v>190</v>
      </c>
      <c r="DB179" s="319" t="s">
        <v>190</v>
      </c>
      <c r="DC179" s="319" t="s">
        <v>190</v>
      </c>
      <c r="DD179" s="319" t="s">
        <v>190</v>
      </c>
      <c r="DE179" s="319" t="s">
        <v>190</v>
      </c>
      <c r="DF179" s="319" t="s">
        <v>190</v>
      </c>
      <c r="DG179" s="319" t="s">
        <v>190</v>
      </c>
      <c r="DH179" s="319" t="s">
        <v>190</v>
      </c>
      <c r="DI179" s="319" t="s">
        <v>190</v>
      </c>
      <c r="DJ179" s="319" t="s">
        <v>190</v>
      </c>
      <c r="DK179" s="319" t="s">
        <v>190</v>
      </c>
      <c r="DL179" s="319" t="s">
        <v>190</v>
      </c>
      <c r="DM179" s="319" t="s">
        <v>190</v>
      </c>
      <c r="DN179" s="319" t="s">
        <v>190</v>
      </c>
      <c r="DO179" s="319" t="s">
        <v>190</v>
      </c>
      <c r="DP179" s="319" t="s">
        <v>190</v>
      </c>
      <c r="DQ179" s="319" t="s">
        <v>190</v>
      </c>
      <c r="DR179" s="319" t="s">
        <v>190</v>
      </c>
      <c r="DS179" s="319" t="s">
        <v>190</v>
      </c>
      <c r="DT179" s="319" t="s">
        <v>190</v>
      </c>
      <c r="DU179" s="319" t="s">
        <v>190</v>
      </c>
      <c r="DV179" s="319" t="s">
        <v>173</v>
      </c>
      <c r="DW179" s="319" t="s">
        <v>190</v>
      </c>
      <c r="DX179" s="319" t="s">
        <v>190</v>
      </c>
      <c r="DY179" s="319" t="s">
        <v>190</v>
      </c>
      <c r="DZ179" s="319" t="s">
        <v>190</v>
      </c>
      <c r="EA179" s="319" t="s">
        <v>190</v>
      </c>
      <c r="EB179" s="319" t="s">
        <v>190</v>
      </c>
      <c r="EC179" s="319" t="s">
        <v>428</v>
      </c>
      <c r="ED179" s="319" t="s">
        <v>190</v>
      </c>
      <c r="EE179" s="319" t="s">
        <v>190</v>
      </c>
      <c r="EF179" s="319" t="s">
        <v>190</v>
      </c>
      <c r="EG179" s="319" t="s">
        <v>190</v>
      </c>
      <c r="EH179" s="319" t="s">
        <v>190</v>
      </c>
      <c r="EI179" s="319" t="s">
        <v>190</v>
      </c>
      <c r="EJ179" s="319" t="s">
        <v>190</v>
      </c>
      <c r="EK179" s="319" t="s">
        <v>190</v>
      </c>
      <c r="EL179" s="319" t="s">
        <v>190</v>
      </c>
      <c r="EM179" s="319" t="s">
        <v>190</v>
      </c>
      <c r="EN179" s="319" t="s">
        <v>190</v>
      </c>
      <c r="EO179" s="319" t="s">
        <v>190</v>
      </c>
      <c r="EP179" s="319" t="s">
        <v>190</v>
      </c>
      <c r="EQ179" s="319" t="s">
        <v>190</v>
      </c>
      <c r="ER179" s="319" t="s">
        <v>190</v>
      </c>
      <c r="ES179" s="319" t="s">
        <v>190</v>
      </c>
      <c r="ET179" s="319" t="s">
        <v>190</v>
      </c>
      <c r="EU179" s="319" t="s">
        <v>190</v>
      </c>
      <c r="EV179" s="319" t="s">
        <v>190</v>
      </c>
      <c r="EW179" s="319" t="s">
        <v>190</v>
      </c>
      <c r="EX179" s="319" t="s">
        <v>190</v>
      </c>
      <c r="EY179" s="319" t="s">
        <v>190</v>
      </c>
      <c r="EZ179" s="319" t="s">
        <v>190</v>
      </c>
      <c r="FA179" s="319" t="s">
        <v>190</v>
      </c>
      <c r="FB179" s="319" t="s">
        <v>190</v>
      </c>
      <c r="FC179" s="319" t="s">
        <v>190</v>
      </c>
      <c r="FD179" s="319" t="s">
        <v>190</v>
      </c>
      <c r="FE179" s="319" t="s">
        <v>190</v>
      </c>
      <c r="FF179" s="319" t="s">
        <v>190</v>
      </c>
      <c r="FG179" s="319" t="s">
        <v>190</v>
      </c>
      <c r="FH179" s="319" t="s">
        <v>190</v>
      </c>
      <c r="FI179" s="319" t="s">
        <v>190</v>
      </c>
      <c r="FJ179" s="319" t="s">
        <v>190</v>
      </c>
      <c r="FK179" s="319" t="s">
        <v>190</v>
      </c>
      <c r="FL179" s="319" t="s">
        <v>190</v>
      </c>
      <c r="FM179" s="319" t="s">
        <v>190</v>
      </c>
      <c r="FN179" s="319" t="s">
        <v>190</v>
      </c>
      <c r="FO179" s="319" t="s">
        <v>190</v>
      </c>
      <c r="FP179" s="319" t="s">
        <v>190</v>
      </c>
      <c r="FQ179" s="319" t="s">
        <v>190</v>
      </c>
      <c r="FR179" s="319" t="s">
        <v>190</v>
      </c>
      <c r="FS179" s="319" t="s">
        <v>190</v>
      </c>
      <c r="FT179" s="319" t="s">
        <v>190</v>
      </c>
      <c r="FU179" s="319" t="s">
        <v>190</v>
      </c>
      <c r="FV179" s="319" t="s">
        <v>190</v>
      </c>
      <c r="FW179" s="319" t="s">
        <v>190</v>
      </c>
      <c r="FX179" s="319" t="s">
        <v>190</v>
      </c>
      <c r="FY179" s="319" t="s">
        <v>190</v>
      </c>
      <c r="FZ179" s="319" t="s">
        <v>190</v>
      </c>
      <c r="GA179" s="319" t="s">
        <v>190</v>
      </c>
      <c r="GB179" s="319" t="s">
        <v>190</v>
      </c>
      <c r="GC179" s="319" t="s">
        <v>190</v>
      </c>
      <c r="GD179" s="319" t="s">
        <v>190</v>
      </c>
      <c r="GE179" s="319" t="s">
        <v>190</v>
      </c>
      <c r="GF179" s="319" t="s">
        <v>190</v>
      </c>
      <c r="GG179" s="319" t="s">
        <v>190</v>
      </c>
      <c r="GH179" s="319" t="s">
        <v>190</v>
      </c>
      <c r="GI179" s="319" t="s">
        <v>190</v>
      </c>
      <c r="GJ179" s="319" t="s">
        <v>190</v>
      </c>
      <c r="GK179" s="319" t="s">
        <v>428</v>
      </c>
      <c r="GL179" s="319" t="s">
        <v>190</v>
      </c>
      <c r="GM179" s="319" t="s">
        <v>190</v>
      </c>
      <c r="GN179" s="319" t="s">
        <v>190</v>
      </c>
      <c r="GO179" s="319" t="s">
        <v>190</v>
      </c>
      <c r="GP179" s="319" t="s">
        <v>190</v>
      </c>
      <c r="GQ179" s="319" t="s">
        <v>190</v>
      </c>
      <c r="GR179" s="319" t="s">
        <v>190</v>
      </c>
      <c r="GS179" s="319" t="s">
        <v>190</v>
      </c>
      <c r="GT179" s="319" t="s">
        <v>190</v>
      </c>
      <c r="GU179" s="319" t="s">
        <v>190</v>
      </c>
      <c r="GV179" s="319" t="s">
        <v>190</v>
      </c>
      <c r="GW179" s="319" t="s">
        <v>190</v>
      </c>
      <c r="GX179" s="319" t="s">
        <v>190</v>
      </c>
      <c r="GY179" s="319" t="s">
        <v>190</v>
      </c>
      <c r="GZ179" s="319" t="s">
        <v>190</v>
      </c>
      <c r="HA179" s="319" t="s">
        <v>190</v>
      </c>
      <c r="HB179" s="319" t="s">
        <v>190</v>
      </c>
      <c r="HC179" s="319" t="s">
        <v>190</v>
      </c>
      <c r="HD179" s="319" t="s">
        <v>190</v>
      </c>
      <c r="HE179" s="319" t="s">
        <v>190</v>
      </c>
      <c r="HF179" s="319" t="s">
        <v>190</v>
      </c>
      <c r="HG179" s="319" t="s">
        <v>190</v>
      </c>
      <c r="HH179" s="319" t="s">
        <v>190</v>
      </c>
      <c r="HI179" s="319" t="s">
        <v>190</v>
      </c>
      <c r="HJ179" s="319" t="s">
        <v>190</v>
      </c>
      <c r="HK179" s="319" t="s">
        <v>190</v>
      </c>
      <c r="HL179" s="319" t="s">
        <v>190</v>
      </c>
      <c r="HM179" s="319" t="s">
        <v>428</v>
      </c>
      <c r="HN179" s="319" t="s">
        <v>428</v>
      </c>
      <c r="HO179" s="319" t="s">
        <v>428</v>
      </c>
      <c r="HP179" s="319" t="s">
        <v>190</v>
      </c>
      <c r="HQ179" s="319" t="s">
        <v>190</v>
      </c>
      <c r="HR179" s="319" t="s">
        <v>190</v>
      </c>
      <c r="HS179" s="319" t="s">
        <v>190</v>
      </c>
      <c r="HT179" s="319" t="s">
        <v>190</v>
      </c>
      <c r="HU179" s="319" t="s">
        <v>190</v>
      </c>
      <c r="HV179" s="319" t="s">
        <v>190</v>
      </c>
      <c r="HW179" s="319" t="s">
        <v>190</v>
      </c>
      <c r="HX179" s="319" t="s">
        <v>190</v>
      </c>
      <c r="HY179" s="319" t="s">
        <v>190</v>
      </c>
      <c r="HZ179" s="319" t="s">
        <v>190</v>
      </c>
      <c r="IA179" s="319" t="s">
        <v>190</v>
      </c>
      <c r="IB179" s="319" t="s">
        <v>190</v>
      </c>
      <c r="IC179" s="319" t="s">
        <v>190</v>
      </c>
      <c r="ID179" s="319" t="s">
        <v>190</v>
      </c>
      <c r="IE179" s="319" t="s">
        <v>190</v>
      </c>
      <c r="IF179" s="319" t="s">
        <v>190</v>
      </c>
      <c r="IG179" s="319" t="s">
        <v>190</v>
      </c>
      <c r="IH179" s="319" t="s">
        <v>190</v>
      </c>
      <c r="II179" s="319" t="s">
        <v>190</v>
      </c>
      <c r="IJ179" s="319" t="s">
        <v>2960</v>
      </c>
      <c r="IK179" s="321">
        <v>42200</v>
      </c>
      <c r="IL179" s="321">
        <v>42202</v>
      </c>
      <c r="IM179" s="321">
        <v>42249</v>
      </c>
      <c r="IN179" s="319">
        <v>2</v>
      </c>
      <c r="IO179" s="319" t="s">
        <v>173</v>
      </c>
      <c r="IP179" s="319" t="s">
        <v>173</v>
      </c>
      <c r="IQ179" s="321" t="s">
        <v>173</v>
      </c>
      <c r="IR179" s="320" t="s">
        <v>173</v>
      </c>
      <c r="IS179" s="322" t="s">
        <v>173</v>
      </c>
      <c r="IT179" s="319" t="s">
        <v>173</v>
      </c>
    </row>
    <row r="180" spans="1:254" s="271" customFormat="1" x14ac:dyDescent="0.25">
      <c r="A180" s="318" t="str">
        <f>HYPERLINK("http://www.ofsted.gov.uk/inspection-reports/find-inspection-report/provider/ELS/116593 ","Ofsted School Webpage")</f>
        <v>Ofsted School Webpage</v>
      </c>
      <c r="B180" s="319">
        <v>116593</v>
      </c>
      <c r="C180" s="319">
        <v>8386033</v>
      </c>
      <c r="D180" s="319" t="s">
        <v>1469</v>
      </c>
      <c r="E180" s="319" t="s">
        <v>168</v>
      </c>
      <c r="F180" s="319" t="s">
        <v>81</v>
      </c>
      <c r="G180" s="319" t="s">
        <v>81</v>
      </c>
      <c r="H180" s="319" t="s">
        <v>81</v>
      </c>
      <c r="I180" s="319" t="s">
        <v>78</v>
      </c>
      <c r="J180" s="319" t="s">
        <v>424</v>
      </c>
      <c r="K180" s="319" t="s">
        <v>422</v>
      </c>
      <c r="L180" s="319" t="s">
        <v>422</v>
      </c>
      <c r="M180" s="319" t="s">
        <v>570</v>
      </c>
      <c r="N180" s="319" t="s">
        <v>2961</v>
      </c>
      <c r="O180" s="319" t="s">
        <v>1470</v>
      </c>
      <c r="P180" s="319">
        <v>27</v>
      </c>
      <c r="Q180" s="319" t="s">
        <v>2776</v>
      </c>
      <c r="R180" s="320">
        <v>10045468</v>
      </c>
      <c r="S180" s="321">
        <v>43165</v>
      </c>
      <c r="T180" s="321">
        <v>43167</v>
      </c>
      <c r="U180" s="321">
        <v>43202</v>
      </c>
      <c r="V180" s="319" t="s">
        <v>425</v>
      </c>
      <c r="W180" s="319" t="s">
        <v>2767</v>
      </c>
      <c r="X180" s="319">
        <v>3</v>
      </c>
      <c r="Y180" s="319" t="s">
        <v>173</v>
      </c>
      <c r="Z180" s="319" t="s">
        <v>173</v>
      </c>
      <c r="AA180" s="319" t="s">
        <v>173</v>
      </c>
      <c r="AB180" s="319">
        <v>2</v>
      </c>
      <c r="AC180" s="319" t="s">
        <v>169</v>
      </c>
      <c r="AD180" s="319" t="s">
        <v>173</v>
      </c>
      <c r="AE180" s="319">
        <v>3</v>
      </c>
      <c r="AF180" s="319" t="s">
        <v>427</v>
      </c>
      <c r="AG180" s="319" t="s">
        <v>171</v>
      </c>
      <c r="AH180" s="319" t="s">
        <v>190</v>
      </c>
      <c r="AI180" s="319" t="s">
        <v>190</v>
      </c>
      <c r="AJ180" s="319" t="s">
        <v>190</v>
      </c>
      <c r="AK180" s="319" t="s">
        <v>190</v>
      </c>
      <c r="AL180" s="319" t="s">
        <v>190</v>
      </c>
      <c r="AM180" s="319" t="s">
        <v>190</v>
      </c>
      <c r="AN180" s="319" t="s">
        <v>190</v>
      </c>
      <c r="AO180" s="319" t="s">
        <v>190</v>
      </c>
      <c r="AP180" s="319" t="s">
        <v>190</v>
      </c>
      <c r="AQ180" s="319" t="s">
        <v>190</v>
      </c>
      <c r="AR180" s="319" t="s">
        <v>190</v>
      </c>
      <c r="AS180" s="319" t="s">
        <v>190</v>
      </c>
      <c r="AT180" s="319" t="s">
        <v>190</v>
      </c>
      <c r="AU180" s="319" t="s">
        <v>190</v>
      </c>
      <c r="AV180" s="319" t="s">
        <v>190</v>
      </c>
      <c r="AW180" s="319" t="s">
        <v>190</v>
      </c>
      <c r="AX180" s="319" t="s">
        <v>190</v>
      </c>
      <c r="AY180" s="319" t="s">
        <v>190</v>
      </c>
      <c r="AZ180" s="319" t="s">
        <v>190</v>
      </c>
      <c r="BA180" s="319" t="s">
        <v>190</v>
      </c>
      <c r="BB180" s="319" t="s">
        <v>190</v>
      </c>
      <c r="BC180" s="319" t="s">
        <v>190</v>
      </c>
      <c r="BD180" s="319" t="s">
        <v>190</v>
      </c>
      <c r="BE180" s="319" t="s">
        <v>190</v>
      </c>
      <c r="BF180" s="319" t="s">
        <v>428</v>
      </c>
      <c r="BG180" s="319" t="s">
        <v>190</v>
      </c>
      <c r="BH180" s="319" t="s">
        <v>190</v>
      </c>
      <c r="BI180" s="319" t="s">
        <v>190</v>
      </c>
      <c r="BJ180" s="319" t="s">
        <v>190</v>
      </c>
      <c r="BK180" s="319" t="s">
        <v>190</v>
      </c>
      <c r="BL180" s="319" t="s">
        <v>190</v>
      </c>
      <c r="BM180" s="319" t="s">
        <v>190</v>
      </c>
      <c r="BN180" s="319" t="s">
        <v>190</v>
      </c>
      <c r="BO180" s="319" t="s">
        <v>190</v>
      </c>
      <c r="BP180" s="319" t="s">
        <v>190</v>
      </c>
      <c r="BQ180" s="319" t="s">
        <v>190</v>
      </c>
      <c r="BR180" s="319" t="s">
        <v>190</v>
      </c>
      <c r="BS180" s="319" t="s">
        <v>190</v>
      </c>
      <c r="BT180" s="319" t="s">
        <v>190</v>
      </c>
      <c r="BU180" s="319" t="s">
        <v>190</v>
      </c>
      <c r="BV180" s="319" t="s">
        <v>190</v>
      </c>
      <c r="BW180" s="319" t="s">
        <v>190</v>
      </c>
      <c r="BX180" s="319" t="s">
        <v>190</v>
      </c>
      <c r="BY180" s="319" t="s">
        <v>190</v>
      </c>
      <c r="BZ180" s="319" t="s">
        <v>190</v>
      </c>
      <c r="CA180" s="319" t="s">
        <v>190</v>
      </c>
      <c r="CB180" s="319" t="s">
        <v>190</v>
      </c>
      <c r="CC180" s="319" t="s">
        <v>190</v>
      </c>
      <c r="CD180" s="319" t="s">
        <v>190</v>
      </c>
      <c r="CE180" s="319" t="s">
        <v>190</v>
      </c>
      <c r="CF180" s="319" t="s">
        <v>190</v>
      </c>
      <c r="CG180" s="319" t="s">
        <v>190</v>
      </c>
      <c r="CH180" s="319" t="s">
        <v>190</v>
      </c>
      <c r="CI180" s="319" t="s">
        <v>190</v>
      </c>
      <c r="CJ180" s="319" t="s">
        <v>190</v>
      </c>
      <c r="CK180" s="319" t="s">
        <v>190</v>
      </c>
      <c r="CL180" s="319" t="s">
        <v>190</v>
      </c>
      <c r="CM180" s="319" t="s">
        <v>190</v>
      </c>
      <c r="CN180" s="319" t="s">
        <v>428</v>
      </c>
      <c r="CO180" s="319" t="s">
        <v>428</v>
      </c>
      <c r="CP180" s="319" t="s">
        <v>428</v>
      </c>
      <c r="CQ180" s="319" t="s">
        <v>190</v>
      </c>
      <c r="CR180" s="319" t="s">
        <v>190</v>
      </c>
      <c r="CS180" s="319" t="s">
        <v>190</v>
      </c>
      <c r="CT180" s="319" t="s">
        <v>190</v>
      </c>
      <c r="CU180" s="319" t="s">
        <v>190</v>
      </c>
      <c r="CV180" s="319" t="s">
        <v>190</v>
      </c>
      <c r="CW180" s="319" t="s">
        <v>190</v>
      </c>
      <c r="CX180" s="319" t="s">
        <v>190</v>
      </c>
      <c r="CY180" s="319" t="s">
        <v>190</v>
      </c>
      <c r="CZ180" s="319" t="s">
        <v>190</v>
      </c>
      <c r="DA180" s="319" t="s">
        <v>190</v>
      </c>
      <c r="DB180" s="319" t="s">
        <v>190</v>
      </c>
      <c r="DC180" s="319" t="s">
        <v>190</v>
      </c>
      <c r="DD180" s="319" t="s">
        <v>190</v>
      </c>
      <c r="DE180" s="319" t="s">
        <v>190</v>
      </c>
      <c r="DF180" s="319" t="s">
        <v>190</v>
      </c>
      <c r="DG180" s="319" t="s">
        <v>190</v>
      </c>
      <c r="DH180" s="319" t="s">
        <v>190</v>
      </c>
      <c r="DI180" s="319" t="s">
        <v>190</v>
      </c>
      <c r="DJ180" s="319" t="s">
        <v>190</v>
      </c>
      <c r="DK180" s="319" t="s">
        <v>190</v>
      </c>
      <c r="DL180" s="319" t="s">
        <v>190</v>
      </c>
      <c r="DM180" s="319" t="s">
        <v>190</v>
      </c>
      <c r="DN180" s="319" t="s">
        <v>428</v>
      </c>
      <c r="DO180" s="319" t="s">
        <v>190</v>
      </c>
      <c r="DP180" s="319" t="s">
        <v>190</v>
      </c>
      <c r="DQ180" s="319" t="s">
        <v>190</v>
      </c>
      <c r="DR180" s="319" t="s">
        <v>190</v>
      </c>
      <c r="DS180" s="319" t="s">
        <v>190</v>
      </c>
      <c r="DT180" s="319" t="s">
        <v>190</v>
      </c>
      <c r="DU180" s="319" t="s">
        <v>190</v>
      </c>
      <c r="DV180" s="319" t="s">
        <v>173</v>
      </c>
      <c r="DW180" s="319" t="s">
        <v>190</v>
      </c>
      <c r="DX180" s="319" t="s">
        <v>190</v>
      </c>
      <c r="DY180" s="319" t="s">
        <v>190</v>
      </c>
      <c r="DZ180" s="319" t="s">
        <v>190</v>
      </c>
      <c r="EA180" s="319" t="s">
        <v>190</v>
      </c>
      <c r="EB180" s="319" t="s">
        <v>190</v>
      </c>
      <c r="EC180" s="319" t="s">
        <v>428</v>
      </c>
      <c r="ED180" s="319" t="s">
        <v>190</v>
      </c>
      <c r="EE180" s="319" t="s">
        <v>190</v>
      </c>
      <c r="EF180" s="319" t="s">
        <v>190</v>
      </c>
      <c r="EG180" s="319" t="s">
        <v>190</v>
      </c>
      <c r="EH180" s="319" t="s">
        <v>190</v>
      </c>
      <c r="EI180" s="319" t="s">
        <v>190</v>
      </c>
      <c r="EJ180" s="319" t="s">
        <v>190</v>
      </c>
      <c r="EK180" s="319" t="s">
        <v>190</v>
      </c>
      <c r="EL180" s="319" t="s">
        <v>190</v>
      </c>
      <c r="EM180" s="319" t="s">
        <v>190</v>
      </c>
      <c r="EN180" s="319" t="s">
        <v>190</v>
      </c>
      <c r="EO180" s="319" t="s">
        <v>190</v>
      </c>
      <c r="EP180" s="319" t="s">
        <v>190</v>
      </c>
      <c r="EQ180" s="319" t="s">
        <v>190</v>
      </c>
      <c r="ER180" s="319" t="s">
        <v>190</v>
      </c>
      <c r="ES180" s="319" t="s">
        <v>190</v>
      </c>
      <c r="ET180" s="319" t="s">
        <v>190</v>
      </c>
      <c r="EU180" s="319" t="s">
        <v>190</v>
      </c>
      <c r="EV180" s="319" t="s">
        <v>190</v>
      </c>
      <c r="EW180" s="319" t="s">
        <v>190</v>
      </c>
      <c r="EX180" s="319" t="s">
        <v>190</v>
      </c>
      <c r="EY180" s="319" t="s">
        <v>190</v>
      </c>
      <c r="EZ180" s="319" t="s">
        <v>190</v>
      </c>
      <c r="FA180" s="319" t="s">
        <v>190</v>
      </c>
      <c r="FB180" s="319" t="s">
        <v>190</v>
      </c>
      <c r="FC180" s="319" t="s">
        <v>190</v>
      </c>
      <c r="FD180" s="319" t="s">
        <v>190</v>
      </c>
      <c r="FE180" s="319" t="s">
        <v>190</v>
      </c>
      <c r="FF180" s="319" t="s">
        <v>190</v>
      </c>
      <c r="FG180" s="319" t="s">
        <v>190</v>
      </c>
      <c r="FH180" s="319" t="s">
        <v>190</v>
      </c>
      <c r="FI180" s="319" t="s">
        <v>190</v>
      </c>
      <c r="FJ180" s="319" t="s">
        <v>190</v>
      </c>
      <c r="FK180" s="319" t="s">
        <v>190</v>
      </c>
      <c r="FL180" s="319" t="s">
        <v>190</v>
      </c>
      <c r="FM180" s="319" t="s">
        <v>190</v>
      </c>
      <c r="FN180" s="319" t="s">
        <v>190</v>
      </c>
      <c r="FO180" s="319" t="s">
        <v>190</v>
      </c>
      <c r="FP180" s="319" t="s">
        <v>190</v>
      </c>
      <c r="FQ180" s="319" t="s">
        <v>190</v>
      </c>
      <c r="FR180" s="319" t="s">
        <v>190</v>
      </c>
      <c r="FS180" s="319" t="s">
        <v>428</v>
      </c>
      <c r="FT180" s="319" t="s">
        <v>190</v>
      </c>
      <c r="FU180" s="319" t="s">
        <v>190</v>
      </c>
      <c r="FV180" s="319" t="s">
        <v>190</v>
      </c>
      <c r="FW180" s="319" t="s">
        <v>190</v>
      </c>
      <c r="FX180" s="319" t="s">
        <v>190</v>
      </c>
      <c r="FY180" s="319" t="s">
        <v>190</v>
      </c>
      <c r="FZ180" s="319" t="s">
        <v>190</v>
      </c>
      <c r="GA180" s="319" t="s">
        <v>190</v>
      </c>
      <c r="GB180" s="319" t="s">
        <v>190</v>
      </c>
      <c r="GC180" s="319" t="s">
        <v>190</v>
      </c>
      <c r="GD180" s="319" t="s">
        <v>190</v>
      </c>
      <c r="GE180" s="319" t="s">
        <v>190</v>
      </c>
      <c r="GF180" s="319" t="s">
        <v>190</v>
      </c>
      <c r="GG180" s="319" t="s">
        <v>190</v>
      </c>
      <c r="GH180" s="319" t="s">
        <v>190</v>
      </c>
      <c r="GI180" s="319" t="s">
        <v>190</v>
      </c>
      <c r="GJ180" s="319" t="s">
        <v>190</v>
      </c>
      <c r="GK180" s="319" t="s">
        <v>428</v>
      </c>
      <c r="GL180" s="319" t="s">
        <v>190</v>
      </c>
      <c r="GM180" s="319" t="s">
        <v>190</v>
      </c>
      <c r="GN180" s="319" t="s">
        <v>190</v>
      </c>
      <c r="GO180" s="319" t="s">
        <v>190</v>
      </c>
      <c r="GP180" s="319" t="s">
        <v>190</v>
      </c>
      <c r="GQ180" s="319" t="s">
        <v>428</v>
      </c>
      <c r="GR180" s="319" t="s">
        <v>190</v>
      </c>
      <c r="GS180" s="319" t="s">
        <v>190</v>
      </c>
      <c r="GT180" s="319" t="s">
        <v>190</v>
      </c>
      <c r="GU180" s="319" t="s">
        <v>190</v>
      </c>
      <c r="GV180" s="319" t="s">
        <v>190</v>
      </c>
      <c r="GW180" s="319" t="s">
        <v>190</v>
      </c>
      <c r="GX180" s="319" t="s">
        <v>190</v>
      </c>
      <c r="GY180" s="319" t="s">
        <v>190</v>
      </c>
      <c r="GZ180" s="319" t="s">
        <v>428</v>
      </c>
      <c r="HA180" s="319" t="s">
        <v>428</v>
      </c>
      <c r="HB180" s="319" t="s">
        <v>190</v>
      </c>
      <c r="HC180" s="319" t="s">
        <v>190</v>
      </c>
      <c r="HD180" s="319" t="s">
        <v>190</v>
      </c>
      <c r="HE180" s="319" t="s">
        <v>190</v>
      </c>
      <c r="HF180" s="319" t="s">
        <v>190</v>
      </c>
      <c r="HG180" s="319" t="s">
        <v>190</v>
      </c>
      <c r="HH180" s="319" t="s">
        <v>190</v>
      </c>
      <c r="HI180" s="319" t="s">
        <v>190</v>
      </c>
      <c r="HJ180" s="319" t="s">
        <v>190</v>
      </c>
      <c r="HK180" s="319" t="s">
        <v>190</v>
      </c>
      <c r="HL180" s="319" t="s">
        <v>428</v>
      </c>
      <c r="HM180" s="319" t="s">
        <v>428</v>
      </c>
      <c r="HN180" s="319" t="s">
        <v>428</v>
      </c>
      <c r="HO180" s="319" t="s">
        <v>428</v>
      </c>
      <c r="HP180" s="319" t="s">
        <v>190</v>
      </c>
      <c r="HQ180" s="319" t="s">
        <v>190</v>
      </c>
      <c r="HR180" s="319" t="s">
        <v>190</v>
      </c>
      <c r="HS180" s="319" t="s">
        <v>190</v>
      </c>
      <c r="HT180" s="319" t="s">
        <v>190</v>
      </c>
      <c r="HU180" s="319" t="s">
        <v>190</v>
      </c>
      <c r="HV180" s="319" t="s">
        <v>190</v>
      </c>
      <c r="HW180" s="319" t="s">
        <v>190</v>
      </c>
      <c r="HX180" s="319" t="s">
        <v>190</v>
      </c>
      <c r="HY180" s="319" t="s">
        <v>190</v>
      </c>
      <c r="HZ180" s="319" t="s">
        <v>190</v>
      </c>
      <c r="IA180" s="319" t="s">
        <v>190</v>
      </c>
      <c r="IB180" s="319" t="s">
        <v>190</v>
      </c>
      <c r="IC180" s="319" t="s">
        <v>190</v>
      </c>
      <c r="ID180" s="319" t="s">
        <v>190</v>
      </c>
      <c r="IE180" s="319" t="s">
        <v>190</v>
      </c>
      <c r="IF180" s="319" t="s">
        <v>190</v>
      </c>
      <c r="IG180" s="319" t="s">
        <v>190</v>
      </c>
      <c r="IH180" s="319" t="s">
        <v>190</v>
      </c>
      <c r="II180" s="319" t="s">
        <v>190</v>
      </c>
      <c r="IJ180" s="319">
        <v>10006038</v>
      </c>
      <c r="IK180" s="321">
        <v>42703</v>
      </c>
      <c r="IL180" s="321">
        <v>42705</v>
      </c>
      <c r="IM180" s="321">
        <v>42759</v>
      </c>
      <c r="IN180" s="319">
        <v>4</v>
      </c>
      <c r="IO180" s="319" t="s">
        <v>173</v>
      </c>
      <c r="IP180" s="319" t="s">
        <v>173</v>
      </c>
      <c r="IQ180" s="321" t="s">
        <v>173</v>
      </c>
      <c r="IR180" s="320" t="s">
        <v>173</v>
      </c>
      <c r="IS180" s="322" t="s">
        <v>173</v>
      </c>
      <c r="IT180" s="319" t="s">
        <v>173</v>
      </c>
    </row>
    <row r="181" spans="1:254" s="271" customFormat="1" x14ac:dyDescent="0.25">
      <c r="A181" s="318" t="str">
        <f>HYPERLINK("http://www.ofsted.gov.uk/inspection-reports/find-inspection-report/provider/ELS/116594 ","Ofsted School Webpage")</f>
        <v>Ofsted School Webpage</v>
      </c>
      <c r="B181" s="319">
        <v>116594</v>
      </c>
      <c r="C181" s="319">
        <v>8506062</v>
      </c>
      <c r="D181" s="319" t="s">
        <v>1059</v>
      </c>
      <c r="E181" s="319" t="s">
        <v>167</v>
      </c>
      <c r="F181" s="319" t="s">
        <v>67</v>
      </c>
      <c r="G181" s="319" t="s">
        <v>67</v>
      </c>
      <c r="H181" s="319" t="s">
        <v>67</v>
      </c>
      <c r="I181" s="319" t="s">
        <v>59</v>
      </c>
      <c r="J181" s="319" t="s">
        <v>424</v>
      </c>
      <c r="K181" s="319" t="s">
        <v>514</v>
      </c>
      <c r="L181" s="319" t="s">
        <v>514</v>
      </c>
      <c r="M181" s="319" t="s">
        <v>515</v>
      </c>
      <c r="N181" s="319" t="s">
        <v>2958</v>
      </c>
      <c r="O181" s="319" t="s">
        <v>1060</v>
      </c>
      <c r="P181" s="319">
        <v>81</v>
      </c>
      <c r="Q181" s="319" t="s">
        <v>2776</v>
      </c>
      <c r="R181" s="320">
        <v>10091636</v>
      </c>
      <c r="S181" s="321">
        <v>43599</v>
      </c>
      <c r="T181" s="321">
        <v>43601</v>
      </c>
      <c r="U181" s="321">
        <v>43628</v>
      </c>
      <c r="V181" s="319" t="s">
        <v>425</v>
      </c>
      <c r="W181" s="319" t="s">
        <v>2767</v>
      </c>
      <c r="X181" s="319">
        <v>2</v>
      </c>
      <c r="Y181" s="319" t="s">
        <v>173</v>
      </c>
      <c r="Z181" s="319" t="s">
        <v>173</v>
      </c>
      <c r="AA181" s="319" t="s">
        <v>173</v>
      </c>
      <c r="AB181" s="319">
        <v>2</v>
      </c>
      <c r="AC181" s="319" t="s">
        <v>169</v>
      </c>
      <c r="AD181" s="319" t="s">
        <v>173</v>
      </c>
      <c r="AE181" s="319" t="s">
        <v>173</v>
      </c>
      <c r="AF181" s="319" t="s">
        <v>427</v>
      </c>
      <c r="AG181" s="319" t="s">
        <v>171</v>
      </c>
      <c r="AH181" s="319" t="s">
        <v>190</v>
      </c>
      <c r="AI181" s="319" t="s">
        <v>190</v>
      </c>
      <c r="AJ181" s="319" t="s">
        <v>190</v>
      </c>
      <c r="AK181" s="319" t="s">
        <v>190</v>
      </c>
      <c r="AL181" s="319" t="s">
        <v>190</v>
      </c>
      <c r="AM181" s="319" t="s">
        <v>190</v>
      </c>
      <c r="AN181" s="319" t="s">
        <v>190</v>
      </c>
      <c r="AO181" s="319" t="s">
        <v>190</v>
      </c>
      <c r="AP181" s="319" t="s">
        <v>190</v>
      </c>
      <c r="AQ181" s="319" t="s">
        <v>190</v>
      </c>
      <c r="AR181" s="319" t="s">
        <v>190</v>
      </c>
      <c r="AS181" s="319" t="s">
        <v>190</v>
      </c>
      <c r="AT181" s="319" t="s">
        <v>190</v>
      </c>
      <c r="AU181" s="319" t="s">
        <v>190</v>
      </c>
      <c r="AV181" s="319" t="s">
        <v>190</v>
      </c>
      <c r="AW181" s="319" t="s">
        <v>190</v>
      </c>
      <c r="AX181" s="319" t="s">
        <v>428</v>
      </c>
      <c r="AY181" s="319" t="s">
        <v>190</v>
      </c>
      <c r="AZ181" s="319" t="s">
        <v>190</v>
      </c>
      <c r="BA181" s="319" t="s">
        <v>190</v>
      </c>
      <c r="BB181" s="319" t="s">
        <v>190</v>
      </c>
      <c r="BC181" s="319" t="s">
        <v>190</v>
      </c>
      <c r="BD181" s="319" t="s">
        <v>190</v>
      </c>
      <c r="BE181" s="319" t="s">
        <v>190</v>
      </c>
      <c r="BF181" s="319" t="s">
        <v>428</v>
      </c>
      <c r="BG181" s="319" t="s">
        <v>190</v>
      </c>
      <c r="BH181" s="319" t="s">
        <v>190</v>
      </c>
      <c r="BI181" s="319" t="s">
        <v>190</v>
      </c>
      <c r="BJ181" s="319" t="s">
        <v>190</v>
      </c>
      <c r="BK181" s="319" t="s">
        <v>190</v>
      </c>
      <c r="BL181" s="319" t="s">
        <v>190</v>
      </c>
      <c r="BM181" s="319" t="s">
        <v>190</v>
      </c>
      <c r="BN181" s="319" t="s">
        <v>190</v>
      </c>
      <c r="BO181" s="319" t="s">
        <v>190</v>
      </c>
      <c r="BP181" s="319" t="s">
        <v>190</v>
      </c>
      <c r="BQ181" s="319" t="s">
        <v>190</v>
      </c>
      <c r="BR181" s="319" t="s">
        <v>190</v>
      </c>
      <c r="BS181" s="319" t="s">
        <v>190</v>
      </c>
      <c r="BT181" s="319" t="s">
        <v>190</v>
      </c>
      <c r="BU181" s="319" t="s">
        <v>190</v>
      </c>
      <c r="BV181" s="319" t="s">
        <v>190</v>
      </c>
      <c r="BW181" s="319" t="s">
        <v>190</v>
      </c>
      <c r="BX181" s="319" t="s">
        <v>190</v>
      </c>
      <c r="BY181" s="319" t="s">
        <v>190</v>
      </c>
      <c r="BZ181" s="319" t="s">
        <v>190</v>
      </c>
      <c r="CA181" s="319" t="s">
        <v>190</v>
      </c>
      <c r="CB181" s="319" t="s">
        <v>190</v>
      </c>
      <c r="CC181" s="319" t="s">
        <v>190</v>
      </c>
      <c r="CD181" s="319" t="s">
        <v>190</v>
      </c>
      <c r="CE181" s="319" t="s">
        <v>190</v>
      </c>
      <c r="CF181" s="319" t="s">
        <v>190</v>
      </c>
      <c r="CG181" s="319" t="s">
        <v>190</v>
      </c>
      <c r="CH181" s="319" t="s">
        <v>190</v>
      </c>
      <c r="CI181" s="319" t="s">
        <v>190</v>
      </c>
      <c r="CJ181" s="319" t="s">
        <v>190</v>
      </c>
      <c r="CK181" s="319" t="s">
        <v>190</v>
      </c>
      <c r="CL181" s="319" t="s">
        <v>190</v>
      </c>
      <c r="CM181" s="319" t="s">
        <v>190</v>
      </c>
      <c r="CN181" s="319" t="s">
        <v>428</v>
      </c>
      <c r="CO181" s="319" t="s">
        <v>428</v>
      </c>
      <c r="CP181" s="319" t="s">
        <v>428</v>
      </c>
      <c r="CQ181" s="319" t="s">
        <v>190</v>
      </c>
      <c r="CR181" s="319" t="s">
        <v>190</v>
      </c>
      <c r="CS181" s="319" t="s">
        <v>190</v>
      </c>
      <c r="CT181" s="319" t="s">
        <v>190</v>
      </c>
      <c r="CU181" s="319" t="s">
        <v>190</v>
      </c>
      <c r="CV181" s="319" t="s">
        <v>190</v>
      </c>
      <c r="CW181" s="319" t="s">
        <v>190</v>
      </c>
      <c r="CX181" s="319" t="s">
        <v>190</v>
      </c>
      <c r="CY181" s="319" t="s">
        <v>190</v>
      </c>
      <c r="CZ181" s="319" t="s">
        <v>190</v>
      </c>
      <c r="DA181" s="319" t="s">
        <v>190</v>
      </c>
      <c r="DB181" s="319" t="s">
        <v>190</v>
      </c>
      <c r="DC181" s="319" t="s">
        <v>190</v>
      </c>
      <c r="DD181" s="319" t="s">
        <v>190</v>
      </c>
      <c r="DE181" s="319" t="s">
        <v>190</v>
      </c>
      <c r="DF181" s="319" t="s">
        <v>190</v>
      </c>
      <c r="DG181" s="319" t="s">
        <v>190</v>
      </c>
      <c r="DH181" s="319" t="s">
        <v>190</v>
      </c>
      <c r="DI181" s="319" t="s">
        <v>190</v>
      </c>
      <c r="DJ181" s="319" t="s">
        <v>190</v>
      </c>
      <c r="DK181" s="319" t="s">
        <v>190</v>
      </c>
      <c r="DL181" s="319" t="s">
        <v>190</v>
      </c>
      <c r="DM181" s="319" t="s">
        <v>190</v>
      </c>
      <c r="DN181" s="319" t="s">
        <v>428</v>
      </c>
      <c r="DO181" s="319" t="s">
        <v>190</v>
      </c>
      <c r="DP181" s="319" t="s">
        <v>428</v>
      </c>
      <c r="DQ181" s="319" t="s">
        <v>428</v>
      </c>
      <c r="DR181" s="319" t="s">
        <v>428</v>
      </c>
      <c r="DS181" s="319" t="s">
        <v>428</v>
      </c>
      <c r="DT181" s="319" t="s">
        <v>428</v>
      </c>
      <c r="DU181" s="319" t="s">
        <v>428</v>
      </c>
      <c r="DV181" s="319" t="s">
        <v>173</v>
      </c>
      <c r="DW181" s="319" t="s">
        <v>428</v>
      </c>
      <c r="DX181" s="319" t="s">
        <v>428</v>
      </c>
      <c r="DY181" s="319" t="s">
        <v>428</v>
      </c>
      <c r="DZ181" s="319" t="s">
        <v>428</v>
      </c>
      <c r="EA181" s="319" t="s">
        <v>428</v>
      </c>
      <c r="EB181" s="319" t="s">
        <v>428</v>
      </c>
      <c r="EC181" s="319" t="s">
        <v>428</v>
      </c>
      <c r="ED181" s="319" t="s">
        <v>428</v>
      </c>
      <c r="EE181" s="319" t="s">
        <v>190</v>
      </c>
      <c r="EF181" s="319" t="s">
        <v>190</v>
      </c>
      <c r="EG181" s="319" t="s">
        <v>190</v>
      </c>
      <c r="EH181" s="319" t="s">
        <v>190</v>
      </c>
      <c r="EI181" s="319" t="s">
        <v>190</v>
      </c>
      <c r="EJ181" s="319" t="s">
        <v>190</v>
      </c>
      <c r="EK181" s="319" t="s">
        <v>190</v>
      </c>
      <c r="EL181" s="319" t="s">
        <v>190</v>
      </c>
      <c r="EM181" s="319" t="s">
        <v>190</v>
      </c>
      <c r="EN181" s="319" t="s">
        <v>190</v>
      </c>
      <c r="EO181" s="319" t="s">
        <v>190</v>
      </c>
      <c r="EP181" s="319" t="s">
        <v>190</v>
      </c>
      <c r="EQ181" s="319" t="s">
        <v>190</v>
      </c>
      <c r="ER181" s="319" t="s">
        <v>190</v>
      </c>
      <c r="ES181" s="319" t="s">
        <v>190</v>
      </c>
      <c r="ET181" s="319" t="s">
        <v>190</v>
      </c>
      <c r="EU181" s="319" t="s">
        <v>190</v>
      </c>
      <c r="EV181" s="319" t="s">
        <v>190</v>
      </c>
      <c r="EW181" s="319" t="s">
        <v>190</v>
      </c>
      <c r="EX181" s="319" t="s">
        <v>190</v>
      </c>
      <c r="EY181" s="319" t="s">
        <v>190</v>
      </c>
      <c r="EZ181" s="319" t="s">
        <v>190</v>
      </c>
      <c r="FA181" s="319" t="s">
        <v>190</v>
      </c>
      <c r="FB181" s="319" t="s">
        <v>428</v>
      </c>
      <c r="FC181" s="319" t="s">
        <v>428</v>
      </c>
      <c r="FD181" s="319" t="s">
        <v>428</v>
      </c>
      <c r="FE181" s="319" t="s">
        <v>428</v>
      </c>
      <c r="FF181" s="319" t="s">
        <v>428</v>
      </c>
      <c r="FG181" s="319" t="s">
        <v>428</v>
      </c>
      <c r="FH181" s="319" t="s">
        <v>190</v>
      </c>
      <c r="FI181" s="319" t="s">
        <v>190</v>
      </c>
      <c r="FJ181" s="319" t="s">
        <v>190</v>
      </c>
      <c r="FK181" s="319" t="s">
        <v>190</v>
      </c>
      <c r="FL181" s="319" t="s">
        <v>190</v>
      </c>
      <c r="FM181" s="319" t="s">
        <v>190</v>
      </c>
      <c r="FN181" s="319" t="s">
        <v>190</v>
      </c>
      <c r="FO181" s="319" t="s">
        <v>190</v>
      </c>
      <c r="FP181" s="319" t="s">
        <v>190</v>
      </c>
      <c r="FQ181" s="319" t="s">
        <v>190</v>
      </c>
      <c r="FR181" s="319" t="s">
        <v>190</v>
      </c>
      <c r="FS181" s="319" t="s">
        <v>428</v>
      </c>
      <c r="FT181" s="319" t="s">
        <v>428</v>
      </c>
      <c r="FU181" s="319" t="s">
        <v>190</v>
      </c>
      <c r="FV181" s="319" t="s">
        <v>190</v>
      </c>
      <c r="FW181" s="319" t="s">
        <v>190</v>
      </c>
      <c r="FX181" s="319" t="s">
        <v>190</v>
      </c>
      <c r="FY181" s="319" t="s">
        <v>190</v>
      </c>
      <c r="FZ181" s="319" t="s">
        <v>190</v>
      </c>
      <c r="GA181" s="319" t="s">
        <v>190</v>
      </c>
      <c r="GB181" s="319" t="s">
        <v>190</v>
      </c>
      <c r="GC181" s="319" t="s">
        <v>190</v>
      </c>
      <c r="GD181" s="319" t="s">
        <v>190</v>
      </c>
      <c r="GE181" s="319" t="s">
        <v>190</v>
      </c>
      <c r="GF181" s="319" t="s">
        <v>190</v>
      </c>
      <c r="GG181" s="319" t="s">
        <v>190</v>
      </c>
      <c r="GH181" s="319" t="s">
        <v>190</v>
      </c>
      <c r="GI181" s="319" t="s">
        <v>190</v>
      </c>
      <c r="GJ181" s="319" t="s">
        <v>190</v>
      </c>
      <c r="GK181" s="319" t="s">
        <v>428</v>
      </c>
      <c r="GL181" s="319" t="s">
        <v>190</v>
      </c>
      <c r="GM181" s="319" t="s">
        <v>190</v>
      </c>
      <c r="GN181" s="319" t="s">
        <v>190</v>
      </c>
      <c r="GO181" s="319" t="s">
        <v>190</v>
      </c>
      <c r="GP181" s="319" t="s">
        <v>190</v>
      </c>
      <c r="GQ181" s="319" t="s">
        <v>190</v>
      </c>
      <c r="GR181" s="319" t="s">
        <v>190</v>
      </c>
      <c r="GS181" s="319" t="s">
        <v>190</v>
      </c>
      <c r="GT181" s="319" t="s">
        <v>428</v>
      </c>
      <c r="GU181" s="319" t="s">
        <v>428</v>
      </c>
      <c r="GV181" s="319" t="s">
        <v>190</v>
      </c>
      <c r="GW181" s="319" t="s">
        <v>190</v>
      </c>
      <c r="GX181" s="319" t="s">
        <v>190</v>
      </c>
      <c r="GY181" s="319" t="s">
        <v>190</v>
      </c>
      <c r="GZ181" s="319" t="s">
        <v>190</v>
      </c>
      <c r="HA181" s="319" t="s">
        <v>428</v>
      </c>
      <c r="HB181" s="319" t="s">
        <v>428</v>
      </c>
      <c r="HC181" s="319" t="s">
        <v>190</v>
      </c>
      <c r="HD181" s="319" t="s">
        <v>190</v>
      </c>
      <c r="HE181" s="319" t="s">
        <v>190</v>
      </c>
      <c r="HF181" s="319" t="s">
        <v>190</v>
      </c>
      <c r="HG181" s="319" t="s">
        <v>190</v>
      </c>
      <c r="HH181" s="319" t="s">
        <v>190</v>
      </c>
      <c r="HI181" s="319" t="s">
        <v>190</v>
      </c>
      <c r="HJ181" s="319" t="s">
        <v>190</v>
      </c>
      <c r="HK181" s="319" t="s">
        <v>190</v>
      </c>
      <c r="HL181" s="319" t="s">
        <v>190</v>
      </c>
      <c r="HM181" s="319" t="s">
        <v>428</v>
      </c>
      <c r="HN181" s="319" t="s">
        <v>428</v>
      </c>
      <c r="HO181" s="319" t="s">
        <v>428</v>
      </c>
      <c r="HP181" s="319" t="s">
        <v>190</v>
      </c>
      <c r="HQ181" s="319" t="s">
        <v>190</v>
      </c>
      <c r="HR181" s="319" t="s">
        <v>190</v>
      </c>
      <c r="HS181" s="319" t="s">
        <v>190</v>
      </c>
      <c r="HT181" s="319" t="s">
        <v>190</v>
      </c>
      <c r="HU181" s="319" t="s">
        <v>190</v>
      </c>
      <c r="HV181" s="319" t="s">
        <v>190</v>
      </c>
      <c r="HW181" s="319" t="s">
        <v>190</v>
      </c>
      <c r="HX181" s="319" t="s">
        <v>190</v>
      </c>
      <c r="HY181" s="319" t="s">
        <v>190</v>
      </c>
      <c r="HZ181" s="319" t="s">
        <v>190</v>
      </c>
      <c r="IA181" s="319" t="s">
        <v>190</v>
      </c>
      <c r="IB181" s="319" t="s">
        <v>190</v>
      </c>
      <c r="IC181" s="319" t="s">
        <v>190</v>
      </c>
      <c r="ID181" s="319" t="s">
        <v>190</v>
      </c>
      <c r="IE181" s="319" t="s">
        <v>190</v>
      </c>
      <c r="IF181" s="319" t="s">
        <v>190</v>
      </c>
      <c r="IG181" s="319" t="s">
        <v>190</v>
      </c>
      <c r="IH181" s="319" t="s">
        <v>190</v>
      </c>
      <c r="II181" s="319" t="s">
        <v>190</v>
      </c>
      <c r="IJ181" s="319">
        <v>10006334</v>
      </c>
      <c r="IK181" s="321">
        <v>43018</v>
      </c>
      <c r="IL181" s="321">
        <v>43020</v>
      </c>
      <c r="IM181" s="321">
        <v>43060</v>
      </c>
      <c r="IN181" s="319">
        <v>4</v>
      </c>
      <c r="IO181" s="319" t="s">
        <v>173</v>
      </c>
      <c r="IP181" s="319" t="s">
        <v>173</v>
      </c>
      <c r="IQ181" s="321" t="s">
        <v>173</v>
      </c>
      <c r="IR181" s="320" t="s">
        <v>173</v>
      </c>
      <c r="IS181" s="322" t="s">
        <v>173</v>
      </c>
      <c r="IT181" s="319" t="s">
        <v>173</v>
      </c>
    </row>
    <row r="182" spans="1:254" s="271" customFormat="1" x14ac:dyDescent="0.25">
      <c r="A182" s="318" t="str">
        <f>HYPERLINK("http://www.ofsted.gov.uk/inspection-reports/find-inspection-report/provider/ELS/117030 ","Ofsted School Webpage")</f>
        <v>Ofsted School Webpage</v>
      </c>
      <c r="B182" s="319">
        <v>117030</v>
      </c>
      <c r="C182" s="319">
        <v>8856021</v>
      </c>
      <c r="D182" s="319" t="s">
        <v>1471</v>
      </c>
      <c r="E182" s="319" t="s">
        <v>168</v>
      </c>
      <c r="F182" s="319" t="s">
        <v>81</v>
      </c>
      <c r="G182" s="319" t="s">
        <v>81</v>
      </c>
      <c r="H182" s="319" t="s">
        <v>81</v>
      </c>
      <c r="I182" s="319" t="s">
        <v>78</v>
      </c>
      <c r="J182" s="319" t="s">
        <v>424</v>
      </c>
      <c r="K182" s="319" t="s">
        <v>437</v>
      </c>
      <c r="L182" s="319" t="s">
        <v>437</v>
      </c>
      <c r="M182" s="319" t="s">
        <v>483</v>
      </c>
      <c r="N182" s="319" t="s">
        <v>2962</v>
      </c>
      <c r="O182" s="319" t="s">
        <v>1472</v>
      </c>
      <c r="P182" s="319">
        <v>45</v>
      </c>
      <c r="Q182" s="319" t="s">
        <v>2776</v>
      </c>
      <c r="R182" s="320">
        <v>10020929</v>
      </c>
      <c r="S182" s="321">
        <v>43046</v>
      </c>
      <c r="T182" s="321">
        <v>43048</v>
      </c>
      <c r="U182" s="321">
        <v>43123</v>
      </c>
      <c r="V182" s="319" t="s">
        <v>425</v>
      </c>
      <c r="W182" s="319" t="s">
        <v>2767</v>
      </c>
      <c r="X182" s="319">
        <v>2</v>
      </c>
      <c r="Y182" s="319" t="s">
        <v>173</v>
      </c>
      <c r="Z182" s="319" t="s">
        <v>173</v>
      </c>
      <c r="AA182" s="319" t="s">
        <v>173</v>
      </c>
      <c r="AB182" s="319">
        <v>2</v>
      </c>
      <c r="AC182" s="319" t="s">
        <v>169</v>
      </c>
      <c r="AD182" s="319" t="s">
        <v>173</v>
      </c>
      <c r="AE182" s="319">
        <v>2</v>
      </c>
      <c r="AF182" s="319" t="s">
        <v>173</v>
      </c>
      <c r="AG182" s="319" t="s">
        <v>171</v>
      </c>
      <c r="AH182" s="319" t="s">
        <v>190</v>
      </c>
      <c r="AI182" s="319" t="s">
        <v>190</v>
      </c>
      <c r="AJ182" s="319" t="s">
        <v>190</v>
      </c>
      <c r="AK182" s="319" t="s">
        <v>190</v>
      </c>
      <c r="AL182" s="319" t="s">
        <v>190</v>
      </c>
      <c r="AM182" s="319" t="s">
        <v>190</v>
      </c>
      <c r="AN182" s="319" t="s">
        <v>190</v>
      </c>
      <c r="AO182" s="319" t="s">
        <v>190</v>
      </c>
      <c r="AP182" s="319" t="s">
        <v>190</v>
      </c>
      <c r="AQ182" s="319" t="s">
        <v>190</v>
      </c>
      <c r="AR182" s="319" t="s">
        <v>190</v>
      </c>
      <c r="AS182" s="319" t="s">
        <v>190</v>
      </c>
      <c r="AT182" s="319" t="s">
        <v>190</v>
      </c>
      <c r="AU182" s="319" t="s">
        <v>190</v>
      </c>
      <c r="AV182" s="319" t="s">
        <v>190</v>
      </c>
      <c r="AW182" s="319" t="s">
        <v>190</v>
      </c>
      <c r="AX182" s="319" t="s">
        <v>429</v>
      </c>
      <c r="AY182" s="319" t="s">
        <v>190</v>
      </c>
      <c r="AZ182" s="319" t="s">
        <v>190</v>
      </c>
      <c r="BA182" s="319" t="s">
        <v>190</v>
      </c>
      <c r="BB182" s="319" t="s">
        <v>190</v>
      </c>
      <c r="BC182" s="319" t="s">
        <v>190</v>
      </c>
      <c r="BD182" s="319" t="s">
        <v>190</v>
      </c>
      <c r="BE182" s="319" t="s">
        <v>190</v>
      </c>
      <c r="BF182" s="319" t="s">
        <v>429</v>
      </c>
      <c r="BG182" s="319" t="s">
        <v>190</v>
      </c>
      <c r="BH182" s="319" t="s">
        <v>190</v>
      </c>
      <c r="BI182" s="319" t="s">
        <v>190</v>
      </c>
      <c r="BJ182" s="319" t="s">
        <v>190</v>
      </c>
      <c r="BK182" s="319" t="s">
        <v>190</v>
      </c>
      <c r="BL182" s="319" t="s">
        <v>190</v>
      </c>
      <c r="BM182" s="319" t="s">
        <v>190</v>
      </c>
      <c r="BN182" s="319" t="s">
        <v>190</v>
      </c>
      <c r="BO182" s="319" t="s">
        <v>190</v>
      </c>
      <c r="BP182" s="319" t="s">
        <v>190</v>
      </c>
      <c r="BQ182" s="319" t="s">
        <v>190</v>
      </c>
      <c r="BR182" s="319" t="s">
        <v>190</v>
      </c>
      <c r="BS182" s="319" t="s">
        <v>190</v>
      </c>
      <c r="BT182" s="319" t="s">
        <v>190</v>
      </c>
      <c r="BU182" s="319" t="s">
        <v>190</v>
      </c>
      <c r="BV182" s="319" t="s">
        <v>190</v>
      </c>
      <c r="BW182" s="319" t="s">
        <v>190</v>
      </c>
      <c r="BX182" s="319" t="s">
        <v>190</v>
      </c>
      <c r="BY182" s="319" t="s">
        <v>190</v>
      </c>
      <c r="BZ182" s="319" t="s">
        <v>190</v>
      </c>
      <c r="CA182" s="319" t="s">
        <v>190</v>
      </c>
      <c r="CB182" s="319" t="s">
        <v>190</v>
      </c>
      <c r="CC182" s="319" t="s">
        <v>190</v>
      </c>
      <c r="CD182" s="319" t="s">
        <v>190</v>
      </c>
      <c r="CE182" s="319" t="s">
        <v>190</v>
      </c>
      <c r="CF182" s="319" t="s">
        <v>190</v>
      </c>
      <c r="CG182" s="319" t="s">
        <v>190</v>
      </c>
      <c r="CH182" s="319" t="s">
        <v>190</v>
      </c>
      <c r="CI182" s="319" t="s">
        <v>190</v>
      </c>
      <c r="CJ182" s="319" t="s">
        <v>190</v>
      </c>
      <c r="CK182" s="319" t="s">
        <v>190</v>
      </c>
      <c r="CL182" s="319" t="s">
        <v>190</v>
      </c>
      <c r="CM182" s="319" t="s">
        <v>190</v>
      </c>
      <c r="CN182" s="319" t="s">
        <v>190</v>
      </c>
      <c r="CO182" s="319" t="s">
        <v>190</v>
      </c>
      <c r="CP182" s="319" t="s">
        <v>190</v>
      </c>
      <c r="CQ182" s="319" t="s">
        <v>190</v>
      </c>
      <c r="CR182" s="319" t="s">
        <v>190</v>
      </c>
      <c r="CS182" s="319" t="s">
        <v>190</v>
      </c>
      <c r="CT182" s="319" t="s">
        <v>190</v>
      </c>
      <c r="CU182" s="319" t="s">
        <v>190</v>
      </c>
      <c r="CV182" s="319" t="s">
        <v>190</v>
      </c>
      <c r="CW182" s="319" t="s">
        <v>190</v>
      </c>
      <c r="CX182" s="319" t="s">
        <v>190</v>
      </c>
      <c r="CY182" s="319" t="s">
        <v>190</v>
      </c>
      <c r="CZ182" s="319" t="s">
        <v>190</v>
      </c>
      <c r="DA182" s="319" t="s">
        <v>190</v>
      </c>
      <c r="DB182" s="319" t="s">
        <v>190</v>
      </c>
      <c r="DC182" s="319" t="s">
        <v>190</v>
      </c>
      <c r="DD182" s="319" t="s">
        <v>190</v>
      </c>
      <c r="DE182" s="319" t="s">
        <v>190</v>
      </c>
      <c r="DF182" s="319" t="s">
        <v>190</v>
      </c>
      <c r="DG182" s="319" t="s">
        <v>190</v>
      </c>
      <c r="DH182" s="319" t="s">
        <v>190</v>
      </c>
      <c r="DI182" s="319" t="s">
        <v>190</v>
      </c>
      <c r="DJ182" s="319" t="s">
        <v>190</v>
      </c>
      <c r="DK182" s="319" t="s">
        <v>190</v>
      </c>
      <c r="DL182" s="319" t="s">
        <v>190</v>
      </c>
      <c r="DM182" s="319" t="s">
        <v>190</v>
      </c>
      <c r="DN182" s="319" t="s">
        <v>429</v>
      </c>
      <c r="DO182" s="319" t="s">
        <v>190</v>
      </c>
      <c r="DP182" s="319" t="s">
        <v>190</v>
      </c>
      <c r="DQ182" s="319" t="s">
        <v>190</v>
      </c>
      <c r="DR182" s="319" t="s">
        <v>190</v>
      </c>
      <c r="DS182" s="319" t="s">
        <v>190</v>
      </c>
      <c r="DT182" s="319" t="s">
        <v>190</v>
      </c>
      <c r="DU182" s="319" t="s">
        <v>190</v>
      </c>
      <c r="DV182" s="319" t="s">
        <v>173</v>
      </c>
      <c r="DW182" s="319" t="s">
        <v>190</v>
      </c>
      <c r="DX182" s="319" t="s">
        <v>190</v>
      </c>
      <c r="DY182" s="319" t="s">
        <v>190</v>
      </c>
      <c r="DZ182" s="319" t="s">
        <v>190</v>
      </c>
      <c r="EA182" s="319" t="s">
        <v>190</v>
      </c>
      <c r="EB182" s="319" t="s">
        <v>190</v>
      </c>
      <c r="EC182" s="319" t="s">
        <v>429</v>
      </c>
      <c r="ED182" s="319" t="s">
        <v>190</v>
      </c>
      <c r="EE182" s="319" t="s">
        <v>190</v>
      </c>
      <c r="EF182" s="319" t="s">
        <v>190</v>
      </c>
      <c r="EG182" s="319" t="s">
        <v>190</v>
      </c>
      <c r="EH182" s="319" t="s">
        <v>190</v>
      </c>
      <c r="EI182" s="319" t="s">
        <v>190</v>
      </c>
      <c r="EJ182" s="319" t="s">
        <v>190</v>
      </c>
      <c r="EK182" s="319" t="s">
        <v>190</v>
      </c>
      <c r="EL182" s="319" t="s">
        <v>190</v>
      </c>
      <c r="EM182" s="319" t="s">
        <v>190</v>
      </c>
      <c r="EN182" s="319" t="s">
        <v>190</v>
      </c>
      <c r="EO182" s="319" t="s">
        <v>190</v>
      </c>
      <c r="EP182" s="319" t="s">
        <v>190</v>
      </c>
      <c r="EQ182" s="319" t="s">
        <v>190</v>
      </c>
      <c r="ER182" s="319" t="s">
        <v>190</v>
      </c>
      <c r="ES182" s="319" t="s">
        <v>190</v>
      </c>
      <c r="ET182" s="319" t="s">
        <v>190</v>
      </c>
      <c r="EU182" s="319" t="s">
        <v>190</v>
      </c>
      <c r="EV182" s="319" t="s">
        <v>190</v>
      </c>
      <c r="EW182" s="319" t="s">
        <v>190</v>
      </c>
      <c r="EX182" s="319" t="s">
        <v>190</v>
      </c>
      <c r="EY182" s="319" t="s">
        <v>190</v>
      </c>
      <c r="EZ182" s="319" t="s">
        <v>190</v>
      </c>
      <c r="FA182" s="319" t="s">
        <v>190</v>
      </c>
      <c r="FB182" s="319" t="s">
        <v>190</v>
      </c>
      <c r="FC182" s="319" t="s">
        <v>190</v>
      </c>
      <c r="FD182" s="319" t="s">
        <v>190</v>
      </c>
      <c r="FE182" s="319" t="s">
        <v>190</v>
      </c>
      <c r="FF182" s="319" t="s">
        <v>190</v>
      </c>
      <c r="FG182" s="319" t="s">
        <v>190</v>
      </c>
      <c r="FH182" s="319" t="s">
        <v>190</v>
      </c>
      <c r="FI182" s="319" t="s">
        <v>190</v>
      </c>
      <c r="FJ182" s="319" t="s">
        <v>190</v>
      </c>
      <c r="FK182" s="319" t="s">
        <v>190</v>
      </c>
      <c r="FL182" s="319" t="s">
        <v>190</v>
      </c>
      <c r="FM182" s="319" t="s">
        <v>190</v>
      </c>
      <c r="FN182" s="319" t="s">
        <v>190</v>
      </c>
      <c r="FO182" s="319" t="s">
        <v>190</v>
      </c>
      <c r="FP182" s="319" t="s">
        <v>190</v>
      </c>
      <c r="FQ182" s="319" t="s">
        <v>190</v>
      </c>
      <c r="FR182" s="319" t="s">
        <v>190</v>
      </c>
      <c r="FS182" s="319" t="s">
        <v>429</v>
      </c>
      <c r="FT182" s="319" t="s">
        <v>190</v>
      </c>
      <c r="FU182" s="319" t="s">
        <v>190</v>
      </c>
      <c r="FV182" s="319" t="s">
        <v>190</v>
      </c>
      <c r="FW182" s="319" t="s">
        <v>190</v>
      </c>
      <c r="FX182" s="319" t="s">
        <v>190</v>
      </c>
      <c r="FY182" s="319" t="s">
        <v>190</v>
      </c>
      <c r="FZ182" s="319" t="s">
        <v>190</v>
      </c>
      <c r="GA182" s="319" t="s">
        <v>190</v>
      </c>
      <c r="GB182" s="319" t="s">
        <v>190</v>
      </c>
      <c r="GC182" s="319" t="s">
        <v>190</v>
      </c>
      <c r="GD182" s="319" t="s">
        <v>190</v>
      </c>
      <c r="GE182" s="319" t="s">
        <v>190</v>
      </c>
      <c r="GF182" s="319" t="s">
        <v>190</v>
      </c>
      <c r="GG182" s="319" t="s">
        <v>190</v>
      </c>
      <c r="GH182" s="319" t="s">
        <v>190</v>
      </c>
      <c r="GI182" s="319" t="s">
        <v>190</v>
      </c>
      <c r="GJ182" s="319" t="s">
        <v>190</v>
      </c>
      <c r="GK182" s="319" t="s">
        <v>429</v>
      </c>
      <c r="GL182" s="319" t="s">
        <v>190</v>
      </c>
      <c r="GM182" s="319" t="s">
        <v>190</v>
      </c>
      <c r="GN182" s="319" t="s">
        <v>190</v>
      </c>
      <c r="GO182" s="319" t="s">
        <v>190</v>
      </c>
      <c r="GP182" s="319" t="s">
        <v>190</v>
      </c>
      <c r="GQ182" s="319" t="s">
        <v>190</v>
      </c>
      <c r="GR182" s="319" t="s">
        <v>190</v>
      </c>
      <c r="GS182" s="319" t="s">
        <v>190</v>
      </c>
      <c r="GT182" s="319" t="s">
        <v>190</v>
      </c>
      <c r="GU182" s="319" t="s">
        <v>190</v>
      </c>
      <c r="GV182" s="319" t="s">
        <v>190</v>
      </c>
      <c r="GW182" s="319" t="s">
        <v>190</v>
      </c>
      <c r="GX182" s="319" t="s">
        <v>190</v>
      </c>
      <c r="GY182" s="319" t="s">
        <v>190</v>
      </c>
      <c r="GZ182" s="319" t="s">
        <v>190</v>
      </c>
      <c r="HA182" s="319" t="s">
        <v>190</v>
      </c>
      <c r="HB182" s="319" t="s">
        <v>190</v>
      </c>
      <c r="HC182" s="319" t="s">
        <v>190</v>
      </c>
      <c r="HD182" s="319" t="s">
        <v>190</v>
      </c>
      <c r="HE182" s="319" t="s">
        <v>190</v>
      </c>
      <c r="HF182" s="319" t="s">
        <v>190</v>
      </c>
      <c r="HG182" s="319" t="s">
        <v>190</v>
      </c>
      <c r="HH182" s="319" t="s">
        <v>190</v>
      </c>
      <c r="HI182" s="319" t="s">
        <v>190</v>
      </c>
      <c r="HJ182" s="319" t="s">
        <v>190</v>
      </c>
      <c r="HK182" s="319" t="s">
        <v>190</v>
      </c>
      <c r="HL182" s="319" t="s">
        <v>190</v>
      </c>
      <c r="HM182" s="319" t="s">
        <v>190</v>
      </c>
      <c r="HN182" s="319" t="s">
        <v>190</v>
      </c>
      <c r="HO182" s="319" t="s">
        <v>190</v>
      </c>
      <c r="HP182" s="319" t="s">
        <v>190</v>
      </c>
      <c r="HQ182" s="319" t="s">
        <v>190</v>
      </c>
      <c r="HR182" s="319" t="s">
        <v>190</v>
      </c>
      <c r="HS182" s="319" t="s">
        <v>190</v>
      </c>
      <c r="HT182" s="319" t="s">
        <v>190</v>
      </c>
      <c r="HU182" s="319" t="s">
        <v>190</v>
      </c>
      <c r="HV182" s="319" t="s">
        <v>190</v>
      </c>
      <c r="HW182" s="319" t="s">
        <v>190</v>
      </c>
      <c r="HX182" s="319" t="s">
        <v>190</v>
      </c>
      <c r="HY182" s="319" t="s">
        <v>190</v>
      </c>
      <c r="HZ182" s="319" t="s">
        <v>190</v>
      </c>
      <c r="IA182" s="319" t="s">
        <v>190</v>
      </c>
      <c r="IB182" s="319" t="s">
        <v>190</v>
      </c>
      <c r="IC182" s="319" t="s">
        <v>190</v>
      </c>
      <c r="ID182" s="319" t="s">
        <v>190</v>
      </c>
      <c r="IE182" s="319" t="s">
        <v>190</v>
      </c>
      <c r="IF182" s="319" t="s">
        <v>190</v>
      </c>
      <c r="IG182" s="319" t="s">
        <v>190</v>
      </c>
      <c r="IH182" s="319" t="s">
        <v>190</v>
      </c>
      <c r="II182" s="319" t="s">
        <v>190</v>
      </c>
      <c r="IJ182" s="319" t="s">
        <v>2963</v>
      </c>
      <c r="IK182" s="321">
        <v>41309</v>
      </c>
      <c r="IL182" s="321">
        <v>41311</v>
      </c>
      <c r="IM182" s="321">
        <v>41333</v>
      </c>
      <c r="IN182" s="319">
        <v>2</v>
      </c>
      <c r="IO182" s="319" t="s">
        <v>173</v>
      </c>
      <c r="IP182" s="319" t="s">
        <v>173</v>
      </c>
      <c r="IQ182" s="321" t="s">
        <v>173</v>
      </c>
      <c r="IR182" s="320" t="s">
        <v>173</v>
      </c>
      <c r="IS182" s="322" t="s">
        <v>173</v>
      </c>
      <c r="IT182" s="319" t="s">
        <v>173</v>
      </c>
    </row>
    <row r="183" spans="1:254" s="271" customFormat="1" x14ac:dyDescent="0.25">
      <c r="A183" s="318" t="str">
        <f>HYPERLINK("http://www.ofsted.gov.uk/inspection-reports/find-inspection-report/provider/ELS/117033 ","Ofsted School Webpage")</f>
        <v>Ofsted School Webpage</v>
      </c>
      <c r="B183" s="319">
        <v>117033</v>
      </c>
      <c r="C183" s="319">
        <v>8856024</v>
      </c>
      <c r="D183" s="319" t="s">
        <v>482</v>
      </c>
      <c r="E183" s="319" t="s">
        <v>168</v>
      </c>
      <c r="F183" s="319" t="s">
        <v>81</v>
      </c>
      <c r="G183" s="319" t="s">
        <v>81</v>
      </c>
      <c r="H183" s="319" t="s">
        <v>81</v>
      </c>
      <c r="I183" s="319" t="s">
        <v>78</v>
      </c>
      <c r="J183" s="319" t="s">
        <v>424</v>
      </c>
      <c r="K183" s="319" t="s">
        <v>437</v>
      </c>
      <c r="L183" s="319" t="s">
        <v>437</v>
      </c>
      <c r="M183" s="319" t="s">
        <v>483</v>
      </c>
      <c r="N183" s="319" t="s">
        <v>2964</v>
      </c>
      <c r="O183" s="319" t="s">
        <v>484</v>
      </c>
      <c r="P183" s="319">
        <v>29</v>
      </c>
      <c r="Q183" s="319" t="s">
        <v>429</v>
      </c>
      <c r="R183" s="320">
        <v>10052716</v>
      </c>
      <c r="S183" s="321">
        <v>43368</v>
      </c>
      <c r="T183" s="321">
        <v>43370</v>
      </c>
      <c r="U183" s="321">
        <v>43395</v>
      </c>
      <c r="V183" s="319" t="s">
        <v>425</v>
      </c>
      <c r="W183" s="319" t="s">
        <v>2767</v>
      </c>
      <c r="X183" s="319">
        <v>3</v>
      </c>
      <c r="Y183" s="319" t="s">
        <v>173</v>
      </c>
      <c r="Z183" s="319" t="s">
        <v>173</v>
      </c>
      <c r="AA183" s="319" t="s">
        <v>173</v>
      </c>
      <c r="AB183" s="319">
        <v>2</v>
      </c>
      <c r="AC183" s="319" t="s">
        <v>169</v>
      </c>
      <c r="AD183" s="319" t="s">
        <v>173</v>
      </c>
      <c r="AE183" s="319" t="s">
        <v>173</v>
      </c>
      <c r="AF183" s="319" t="s">
        <v>427</v>
      </c>
      <c r="AG183" s="319" t="s">
        <v>171</v>
      </c>
      <c r="AH183" s="319" t="s">
        <v>190</v>
      </c>
      <c r="AI183" s="319" t="s">
        <v>190</v>
      </c>
      <c r="AJ183" s="319" t="s">
        <v>190</v>
      </c>
      <c r="AK183" s="319" t="s">
        <v>190</v>
      </c>
      <c r="AL183" s="319" t="s">
        <v>190</v>
      </c>
      <c r="AM183" s="319" t="s">
        <v>190</v>
      </c>
      <c r="AN183" s="319" t="s">
        <v>190</v>
      </c>
      <c r="AO183" s="319" t="s">
        <v>190</v>
      </c>
      <c r="AP183" s="319" t="s">
        <v>190</v>
      </c>
      <c r="AQ183" s="319" t="s">
        <v>190</v>
      </c>
      <c r="AR183" s="319" t="s">
        <v>190</v>
      </c>
      <c r="AS183" s="319" t="s">
        <v>190</v>
      </c>
      <c r="AT183" s="319" t="s">
        <v>190</v>
      </c>
      <c r="AU183" s="319" t="s">
        <v>190</v>
      </c>
      <c r="AV183" s="319" t="s">
        <v>190</v>
      </c>
      <c r="AW183" s="319" t="s">
        <v>190</v>
      </c>
      <c r="AX183" s="319" t="s">
        <v>428</v>
      </c>
      <c r="AY183" s="319" t="s">
        <v>190</v>
      </c>
      <c r="AZ183" s="319" t="s">
        <v>190</v>
      </c>
      <c r="BA183" s="319" t="s">
        <v>190</v>
      </c>
      <c r="BB183" s="319" t="s">
        <v>190</v>
      </c>
      <c r="BC183" s="319" t="s">
        <v>190</v>
      </c>
      <c r="BD183" s="319" t="s">
        <v>190</v>
      </c>
      <c r="BE183" s="319" t="s">
        <v>190</v>
      </c>
      <c r="BF183" s="319" t="s">
        <v>428</v>
      </c>
      <c r="BG183" s="319" t="s">
        <v>428</v>
      </c>
      <c r="BH183" s="319" t="s">
        <v>190</v>
      </c>
      <c r="BI183" s="319" t="s">
        <v>190</v>
      </c>
      <c r="BJ183" s="319" t="s">
        <v>190</v>
      </c>
      <c r="BK183" s="319" t="s">
        <v>190</v>
      </c>
      <c r="BL183" s="319" t="s">
        <v>190</v>
      </c>
      <c r="BM183" s="319" t="s">
        <v>190</v>
      </c>
      <c r="BN183" s="319" t="s">
        <v>190</v>
      </c>
      <c r="BO183" s="319" t="s">
        <v>190</v>
      </c>
      <c r="BP183" s="319" t="s">
        <v>190</v>
      </c>
      <c r="BQ183" s="319" t="s">
        <v>190</v>
      </c>
      <c r="BR183" s="319" t="s">
        <v>190</v>
      </c>
      <c r="BS183" s="319" t="s">
        <v>190</v>
      </c>
      <c r="BT183" s="319" t="s">
        <v>190</v>
      </c>
      <c r="BU183" s="319" t="s">
        <v>190</v>
      </c>
      <c r="BV183" s="319" t="s">
        <v>190</v>
      </c>
      <c r="BW183" s="319" t="s">
        <v>190</v>
      </c>
      <c r="BX183" s="319" t="s">
        <v>190</v>
      </c>
      <c r="BY183" s="319" t="s">
        <v>190</v>
      </c>
      <c r="BZ183" s="319" t="s">
        <v>190</v>
      </c>
      <c r="CA183" s="319" t="s">
        <v>190</v>
      </c>
      <c r="CB183" s="319" t="s">
        <v>190</v>
      </c>
      <c r="CC183" s="319" t="s">
        <v>190</v>
      </c>
      <c r="CD183" s="319" t="s">
        <v>190</v>
      </c>
      <c r="CE183" s="319" t="s">
        <v>190</v>
      </c>
      <c r="CF183" s="319" t="s">
        <v>190</v>
      </c>
      <c r="CG183" s="319" t="s">
        <v>190</v>
      </c>
      <c r="CH183" s="319" t="s">
        <v>190</v>
      </c>
      <c r="CI183" s="319" t="s">
        <v>190</v>
      </c>
      <c r="CJ183" s="319" t="s">
        <v>190</v>
      </c>
      <c r="CK183" s="319" t="s">
        <v>190</v>
      </c>
      <c r="CL183" s="319" t="s">
        <v>190</v>
      </c>
      <c r="CM183" s="319" t="s">
        <v>190</v>
      </c>
      <c r="CN183" s="319" t="s">
        <v>428</v>
      </c>
      <c r="CO183" s="319" t="s">
        <v>428</v>
      </c>
      <c r="CP183" s="319" t="s">
        <v>428</v>
      </c>
      <c r="CQ183" s="319" t="s">
        <v>190</v>
      </c>
      <c r="CR183" s="319" t="s">
        <v>190</v>
      </c>
      <c r="CS183" s="319" t="s">
        <v>190</v>
      </c>
      <c r="CT183" s="319" t="s">
        <v>190</v>
      </c>
      <c r="CU183" s="319" t="s">
        <v>190</v>
      </c>
      <c r="CV183" s="319" t="s">
        <v>190</v>
      </c>
      <c r="CW183" s="319" t="s">
        <v>190</v>
      </c>
      <c r="CX183" s="319" t="s">
        <v>190</v>
      </c>
      <c r="CY183" s="319" t="s">
        <v>190</v>
      </c>
      <c r="CZ183" s="319" t="s">
        <v>190</v>
      </c>
      <c r="DA183" s="319" t="s">
        <v>190</v>
      </c>
      <c r="DB183" s="319" t="s">
        <v>190</v>
      </c>
      <c r="DC183" s="319" t="s">
        <v>190</v>
      </c>
      <c r="DD183" s="319" t="s">
        <v>190</v>
      </c>
      <c r="DE183" s="319" t="s">
        <v>190</v>
      </c>
      <c r="DF183" s="319" t="s">
        <v>190</v>
      </c>
      <c r="DG183" s="319" t="s">
        <v>190</v>
      </c>
      <c r="DH183" s="319" t="s">
        <v>190</v>
      </c>
      <c r="DI183" s="319" t="s">
        <v>190</v>
      </c>
      <c r="DJ183" s="319" t="s">
        <v>190</v>
      </c>
      <c r="DK183" s="319" t="s">
        <v>190</v>
      </c>
      <c r="DL183" s="319" t="s">
        <v>190</v>
      </c>
      <c r="DM183" s="319" t="s">
        <v>190</v>
      </c>
      <c r="DN183" s="319" t="s">
        <v>428</v>
      </c>
      <c r="DO183" s="319" t="s">
        <v>190</v>
      </c>
      <c r="DP183" s="319" t="s">
        <v>190</v>
      </c>
      <c r="DQ183" s="319" t="s">
        <v>190</v>
      </c>
      <c r="DR183" s="319" t="s">
        <v>190</v>
      </c>
      <c r="DS183" s="319" t="s">
        <v>190</v>
      </c>
      <c r="DT183" s="319" t="s">
        <v>190</v>
      </c>
      <c r="DU183" s="319" t="s">
        <v>190</v>
      </c>
      <c r="DV183" s="319" t="s">
        <v>173</v>
      </c>
      <c r="DW183" s="319" t="s">
        <v>190</v>
      </c>
      <c r="DX183" s="319" t="s">
        <v>190</v>
      </c>
      <c r="DY183" s="319" t="s">
        <v>190</v>
      </c>
      <c r="DZ183" s="319" t="s">
        <v>190</v>
      </c>
      <c r="EA183" s="319" t="s">
        <v>190</v>
      </c>
      <c r="EB183" s="319" t="s">
        <v>190</v>
      </c>
      <c r="EC183" s="319" t="s">
        <v>428</v>
      </c>
      <c r="ED183" s="319" t="s">
        <v>190</v>
      </c>
      <c r="EE183" s="319" t="s">
        <v>190</v>
      </c>
      <c r="EF183" s="319" t="s">
        <v>190</v>
      </c>
      <c r="EG183" s="319" t="s">
        <v>190</v>
      </c>
      <c r="EH183" s="319" t="s">
        <v>190</v>
      </c>
      <c r="EI183" s="319" t="s">
        <v>190</v>
      </c>
      <c r="EJ183" s="319" t="s">
        <v>190</v>
      </c>
      <c r="EK183" s="319" t="s">
        <v>190</v>
      </c>
      <c r="EL183" s="319" t="s">
        <v>428</v>
      </c>
      <c r="EM183" s="319" t="s">
        <v>428</v>
      </c>
      <c r="EN183" s="319" t="s">
        <v>190</v>
      </c>
      <c r="EO183" s="319" t="s">
        <v>190</v>
      </c>
      <c r="EP183" s="319" t="s">
        <v>190</v>
      </c>
      <c r="EQ183" s="319" t="s">
        <v>190</v>
      </c>
      <c r="ER183" s="319" t="s">
        <v>190</v>
      </c>
      <c r="ES183" s="319" t="s">
        <v>190</v>
      </c>
      <c r="ET183" s="319" t="s">
        <v>190</v>
      </c>
      <c r="EU183" s="319" t="s">
        <v>190</v>
      </c>
      <c r="EV183" s="319" t="s">
        <v>190</v>
      </c>
      <c r="EW183" s="319" t="s">
        <v>190</v>
      </c>
      <c r="EX183" s="319" t="s">
        <v>190</v>
      </c>
      <c r="EY183" s="319" t="s">
        <v>190</v>
      </c>
      <c r="EZ183" s="319" t="s">
        <v>190</v>
      </c>
      <c r="FA183" s="319" t="s">
        <v>428</v>
      </c>
      <c r="FB183" s="319" t="s">
        <v>190</v>
      </c>
      <c r="FC183" s="319" t="s">
        <v>190</v>
      </c>
      <c r="FD183" s="319" t="s">
        <v>190</v>
      </c>
      <c r="FE183" s="319" t="s">
        <v>190</v>
      </c>
      <c r="FF183" s="319" t="s">
        <v>190</v>
      </c>
      <c r="FG183" s="319" t="s">
        <v>190</v>
      </c>
      <c r="FH183" s="319" t="s">
        <v>190</v>
      </c>
      <c r="FI183" s="319" t="s">
        <v>428</v>
      </c>
      <c r="FJ183" s="319" t="s">
        <v>173</v>
      </c>
      <c r="FK183" s="319" t="s">
        <v>173</v>
      </c>
      <c r="FL183" s="319" t="s">
        <v>190</v>
      </c>
      <c r="FM183" s="319" t="s">
        <v>190</v>
      </c>
      <c r="FN183" s="319" t="s">
        <v>190</v>
      </c>
      <c r="FO183" s="319" t="s">
        <v>190</v>
      </c>
      <c r="FP183" s="319" t="s">
        <v>190</v>
      </c>
      <c r="FQ183" s="319" t="s">
        <v>190</v>
      </c>
      <c r="FR183" s="319" t="s">
        <v>190</v>
      </c>
      <c r="FS183" s="319" t="s">
        <v>190</v>
      </c>
      <c r="FT183" s="319" t="s">
        <v>190</v>
      </c>
      <c r="FU183" s="319" t="s">
        <v>190</v>
      </c>
      <c r="FV183" s="319" t="s">
        <v>190</v>
      </c>
      <c r="FW183" s="319" t="s">
        <v>190</v>
      </c>
      <c r="FX183" s="319" t="s">
        <v>190</v>
      </c>
      <c r="FY183" s="319" t="s">
        <v>190</v>
      </c>
      <c r="FZ183" s="319" t="s">
        <v>173</v>
      </c>
      <c r="GA183" s="319" t="s">
        <v>190</v>
      </c>
      <c r="GB183" s="319" t="s">
        <v>190</v>
      </c>
      <c r="GC183" s="319" t="s">
        <v>190</v>
      </c>
      <c r="GD183" s="319" t="s">
        <v>190</v>
      </c>
      <c r="GE183" s="319" t="s">
        <v>190</v>
      </c>
      <c r="GF183" s="319" t="s">
        <v>190</v>
      </c>
      <c r="GG183" s="319" t="s">
        <v>190</v>
      </c>
      <c r="GH183" s="319" t="s">
        <v>190</v>
      </c>
      <c r="GI183" s="319" t="s">
        <v>190</v>
      </c>
      <c r="GJ183" s="319" t="s">
        <v>190</v>
      </c>
      <c r="GK183" s="319" t="s">
        <v>428</v>
      </c>
      <c r="GL183" s="319" t="s">
        <v>190</v>
      </c>
      <c r="GM183" s="319" t="s">
        <v>190</v>
      </c>
      <c r="GN183" s="319" t="s">
        <v>190</v>
      </c>
      <c r="GO183" s="319" t="s">
        <v>190</v>
      </c>
      <c r="GP183" s="319" t="s">
        <v>190</v>
      </c>
      <c r="GQ183" s="319" t="s">
        <v>428</v>
      </c>
      <c r="GR183" s="319" t="s">
        <v>190</v>
      </c>
      <c r="GS183" s="319" t="s">
        <v>190</v>
      </c>
      <c r="GT183" s="319" t="s">
        <v>190</v>
      </c>
      <c r="GU183" s="319" t="s">
        <v>190</v>
      </c>
      <c r="GV183" s="319" t="s">
        <v>190</v>
      </c>
      <c r="GW183" s="319" t="s">
        <v>190</v>
      </c>
      <c r="GX183" s="319" t="s">
        <v>190</v>
      </c>
      <c r="GY183" s="319" t="s">
        <v>190</v>
      </c>
      <c r="GZ183" s="319" t="s">
        <v>428</v>
      </c>
      <c r="HA183" s="319" t="s">
        <v>190</v>
      </c>
      <c r="HB183" s="319" t="s">
        <v>190</v>
      </c>
      <c r="HC183" s="319" t="s">
        <v>190</v>
      </c>
      <c r="HD183" s="319" t="s">
        <v>190</v>
      </c>
      <c r="HE183" s="319" t="s">
        <v>190</v>
      </c>
      <c r="HF183" s="319" t="s">
        <v>190</v>
      </c>
      <c r="HG183" s="319" t="s">
        <v>190</v>
      </c>
      <c r="HH183" s="319" t="s">
        <v>190</v>
      </c>
      <c r="HI183" s="319" t="s">
        <v>190</v>
      </c>
      <c r="HJ183" s="319" t="s">
        <v>190</v>
      </c>
      <c r="HK183" s="319" t="s">
        <v>190</v>
      </c>
      <c r="HL183" s="319" t="s">
        <v>428</v>
      </c>
      <c r="HM183" s="319" t="s">
        <v>428</v>
      </c>
      <c r="HN183" s="319" t="s">
        <v>428</v>
      </c>
      <c r="HO183" s="319" t="s">
        <v>428</v>
      </c>
      <c r="HP183" s="319" t="s">
        <v>190</v>
      </c>
      <c r="HQ183" s="319" t="s">
        <v>190</v>
      </c>
      <c r="HR183" s="319" t="s">
        <v>190</v>
      </c>
      <c r="HS183" s="319" t="s">
        <v>190</v>
      </c>
      <c r="HT183" s="319" t="s">
        <v>190</v>
      </c>
      <c r="HU183" s="319" t="s">
        <v>190</v>
      </c>
      <c r="HV183" s="319" t="s">
        <v>190</v>
      </c>
      <c r="HW183" s="319" t="s">
        <v>190</v>
      </c>
      <c r="HX183" s="319" t="s">
        <v>190</v>
      </c>
      <c r="HY183" s="319" t="s">
        <v>190</v>
      </c>
      <c r="HZ183" s="319" t="s">
        <v>190</v>
      </c>
      <c r="IA183" s="319" t="s">
        <v>190</v>
      </c>
      <c r="IB183" s="319" t="s">
        <v>190</v>
      </c>
      <c r="IC183" s="319" t="s">
        <v>190</v>
      </c>
      <c r="ID183" s="319" t="s">
        <v>190</v>
      </c>
      <c r="IE183" s="319" t="s">
        <v>190</v>
      </c>
      <c r="IF183" s="319" t="s">
        <v>190</v>
      </c>
      <c r="IG183" s="319" t="s">
        <v>190</v>
      </c>
      <c r="IH183" s="319" t="s">
        <v>190</v>
      </c>
      <c r="II183" s="319" t="s">
        <v>190</v>
      </c>
      <c r="IJ183" s="319">
        <v>10008859</v>
      </c>
      <c r="IK183" s="321">
        <v>42346</v>
      </c>
      <c r="IL183" s="321">
        <v>42348</v>
      </c>
      <c r="IM183" s="321">
        <v>42398</v>
      </c>
      <c r="IN183" s="319">
        <v>2</v>
      </c>
      <c r="IO183" s="319" t="s">
        <v>173</v>
      </c>
      <c r="IP183" s="319" t="s">
        <v>173</v>
      </c>
      <c r="IQ183" s="321" t="s">
        <v>173</v>
      </c>
      <c r="IR183" s="320" t="s">
        <v>173</v>
      </c>
      <c r="IS183" s="322" t="s">
        <v>173</v>
      </c>
      <c r="IT183" s="319" t="s">
        <v>173</v>
      </c>
    </row>
    <row r="184" spans="1:254" s="271" customFormat="1" x14ac:dyDescent="0.25">
      <c r="A184" s="318" t="str">
        <f>HYPERLINK("http://www.ofsted.gov.uk/inspection-reports/find-inspection-report/provider/ELS/117042 ","Ofsted School Webpage")</f>
        <v>Ofsted School Webpage</v>
      </c>
      <c r="B184" s="319">
        <v>117042</v>
      </c>
      <c r="C184" s="319">
        <v>8846006</v>
      </c>
      <c r="D184" s="319" t="s">
        <v>1473</v>
      </c>
      <c r="E184" s="319" t="s">
        <v>168</v>
      </c>
      <c r="F184" s="319" t="s">
        <v>81</v>
      </c>
      <c r="G184" s="319" t="s">
        <v>81</v>
      </c>
      <c r="H184" s="319" t="s">
        <v>81</v>
      </c>
      <c r="I184" s="319" t="s">
        <v>78</v>
      </c>
      <c r="J184" s="319" t="s">
        <v>424</v>
      </c>
      <c r="K184" s="319" t="s">
        <v>437</v>
      </c>
      <c r="L184" s="319" t="s">
        <v>437</v>
      </c>
      <c r="M184" s="319" t="s">
        <v>1100</v>
      </c>
      <c r="N184" s="319" t="s">
        <v>2965</v>
      </c>
      <c r="O184" s="319" t="s">
        <v>1474</v>
      </c>
      <c r="P184" s="319">
        <v>16</v>
      </c>
      <c r="Q184" s="319" t="s">
        <v>2776</v>
      </c>
      <c r="R184" s="320">
        <v>10038828</v>
      </c>
      <c r="S184" s="321">
        <v>43067</v>
      </c>
      <c r="T184" s="321">
        <v>43069</v>
      </c>
      <c r="U184" s="321">
        <v>43103</v>
      </c>
      <c r="V184" s="319" t="s">
        <v>425</v>
      </c>
      <c r="W184" s="319" t="s">
        <v>2767</v>
      </c>
      <c r="X184" s="319">
        <v>2</v>
      </c>
      <c r="Y184" s="319" t="s">
        <v>173</v>
      </c>
      <c r="Z184" s="319" t="s">
        <v>173</v>
      </c>
      <c r="AA184" s="319" t="s">
        <v>173</v>
      </c>
      <c r="AB184" s="319">
        <v>2</v>
      </c>
      <c r="AC184" s="319" t="s">
        <v>169</v>
      </c>
      <c r="AD184" s="319" t="s">
        <v>173</v>
      </c>
      <c r="AE184" s="319">
        <v>2</v>
      </c>
      <c r="AF184" s="319" t="s">
        <v>427</v>
      </c>
      <c r="AG184" s="319" t="s">
        <v>171</v>
      </c>
      <c r="AH184" s="319" t="s">
        <v>190</v>
      </c>
      <c r="AI184" s="319" t="s">
        <v>190</v>
      </c>
      <c r="AJ184" s="319" t="s">
        <v>190</v>
      </c>
      <c r="AK184" s="319" t="s">
        <v>190</v>
      </c>
      <c r="AL184" s="319" t="s">
        <v>190</v>
      </c>
      <c r="AM184" s="319" t="s">
        <v>190</v>
      </c>
      <c r="AN184" s="319" t="s">
        <v>190</v>
      </c>
      <c r="AO184" s="319" t="s">
        <v>190</v>
      </c>
      <c r="AP184" s="319" t="s">
        <v>190</v>
      </c>
      <c r="AQ184" s="319" t="s">
        <v>190</v>
      </c>
      <c r="AR184" s="319" t="s">
        <v>190</v>
      </c>
      <c r="AS184" s="319" t="s">
        <v>190</v>
      </c>
      <c r="AT184" s="319" t="s">
        <v>190</v>
      </c>
      <c r="AU184" s="319" t="s">
        <v>190</v>
      </c>
      <c r="AV184" s="319" t="s">
        <v>190</v>
      </c>
      <c r="AW184" s="319" t="s">
        <v>190</v>
      </c>
      <c r="AX184" s="319" t="s">
        <v>428</v>
      </c>
      <c r="AY184" s="319" t="s">
        <v>190</v>
      </c>
      <c r="AZ184" s="319" t="s">
        <v>190</v>
      </c>
      <c r="BA184" s="319" t="s">
        <v>190</v>
      </c>
      <c r="BB184" s="319" t="s">
        <v>190</v>
      </c>
      <c r="BC184" s="319" t="s">
        <v>190</v>
      </c>
      <c r="BD184" s="319" t="s">
        <v>190</v>
      </c>
      <c r="BE184" s="319" t="s">
        <v>190</v>
      </c>
      <c r="BF184" s="319" t="s">
        <v>190</v>
      </c>
      <c r="BG184" s="319" t="s">
        <v>190</v>
      </c>
      <c r="BH184" s="319" t="s">
        <v>190</v>
      </c>
      <c r="BI184" s="319" t="s">
        <v>190</v>
      </c>
      <c r="BJ184" s="319" t="s">
        <v>190</v>
      </c>
      <c r="BK184" s="319" t="s">
        <v>190</v>
      </c>
      <c r="BL184" s="319" t="s">
        <v>190</v>
      </c>
      <c r="BM184" s="319" t="s">
        <v>190</v>
      </c>
      <c r="BN184" s="319" t="s">
        <v>190</v>
      </c>
      <c r="BO184" s="319" t="s">
        <v>190</v>
      </c>
      <c r="BP184" s="319" t="s">
        <v>190</v>
      </c>
      <c r="BQ184" s="319" t="s">
        <v>190</v>
      </c>
      <c r="BR184" s="319" t="s">
        <v>190</v>
      </c>
      <c r="BS184" s="319" t="s">
        <v>190</v>
      </c>
      <c r="BT184" s="319" t="s">
        <v>190</v>
      </c>
      <c r="BU184" s="319" t="s">
        <v>190</v>
      </c>
      <c r="BV184" s="319" t="s">
        <v>190</v>
      </c>
      <c r="BW184" s="319" t="s">
        <v>190</v>
      </c>
      <c r="BX184" s="319" t="s">
        <v>190</v>
      </c>
      <c r="BY184" s="319" t="s">
        <v>190</v>
      </c>
      <c r="BZ184" s="319" t="s">
        <v>190</v>
      </c>
      <c r="CA184" s="319" t="s">
        <v>190</v>
      </c>
      <c r="CB184" s="319" t="s">
        <v>190</v>
      </c>
      <c r="CC184" s="319" t="s">
        <v>190</v>
      </c>
      <c r="CD184" s="319" t="s">
        <v>190</v>
      </c>
      <c r="CE184" s="319" t="s">
        <v>190</v>
      </c>
      <c r="CF184" s="319" t="s">
        <v>190</v>
      </c>
      <c r="CG184" s="319" t="s">
        <v>190</v>
      </c>
      <c r="CH184" s="319" t="s">
        <v>190</v>
      </c>
      <c r="CI184" s="319" t="s">
        <v>190</v>
      </c>
      <c r="CJ184" s="319" t="s">
        <v>190</v>
      </c>
      <c r="CK184" s="319" t="s">
        <v>190</v>
      </c>
      <c r="CL184" s="319" t="s">
        <v>190</v>
      </c>
      <c r="CM184" s="319" t="s">
        <v>190</v>
      </c>
      <c r="CN184" s="319" t="s">
        <v>190</v>
      </c>
      <c r="CO184" s="319" t="s">
        <v>190</v>
      </c>
      <c r="CP184" s="319" t="s">
        <v>428</v>
      </c>
      <c r="CQ184" s="319" t="s">
        <v>190</v>
      </c>
      <c r="CR184" s="319" t="s">
        <v>190</v>
      </c>
      <c r="CS184" s="319" t="s">
        <v>190</v>
      </c>
      <c r="CT184" s="319" t="s">
        <v>190</v>
      </c>
      <c r="CU184" s="319" t="s">
        <v>190</v>
      </c>
      <c r="CV184" s="319" t="s">
        <v>190</v>
      </c>
      <c r="CW184" s="319" t="s">
        <v>190</v>
      </c>
      <c r="CX184" s="319" t="s">
        <v>190</v>
      </c>
      <c r="CY184" s="319" t="s">
        <v>190</v>
      </c>
      <c r="CZ184" s="319" t="s">
        <v>190</v>
      </c>
      <c r="DA184" s="319" t="s">
        <v>190</v>
      </c>
      <c r="DB184" s="319" t="s">
        <v>190</v>
      </c>
      <c r="DC184" s="319" t="s">
        <v>190</v>
      </c>
      <c r="DD184" s="319" t="s">
        <v>190</v>
      </c>
      <c r="DE184" s="319" t="s">
        <v>190</v>
      </c>
      <c r="DF184" s="319" t="s">
        <v>190</v>
      </c>
      <c r="DG184" s="319" t="s">
        <v>190</v>
      </c>
      <c r="DH184" s="319" t="s">
        <v>190</v>
      </c>
      <c r="DI184" s="319" t="s">
        <v>190</v>
      </c>
      <c r="DJ184" s="319" t="s">
        <v>190</v>
      </c>
      <c r="DK184" s="319" t="s">
        <v>190</v>
      </c>
      <c r="DL184" s="319" t="s">
        <v>190</v>
      </c>
      <c r="DM184" s="319" t="s">
        <v>190</v>
      </c>
      <c r="DN184" s="319" t="s">
        <v>428</v>
      </c>
      <c r="DO184" s="319" t="s">
        <v>190</v>
      </c>
      <c r="DP184" s="319" t="s">
        <v>190</v>
      </c>
      <c r="DQ184" s="319" t="s">
        <v>190</v>
      </c>
      <c r="DR184" s="319" t="s">
        <v>190</v>
      </c>
      <c r="DS184" s="319" t="s">
        <v>190</v>
      </c>
      <c r="DT184" s="319" t="s">
        <v>190</v>
      </c>
      <c r="DU184" s="319" t="s">
        <v>190</v>
      </c>
      <c r="DV184" s="319" t="s">
        <v>173</v>
      </c>
      <c r="DW184" s="319" t="s">
        <v>190</v>
      </c>
      <c r="DX184" s="319" t="s">
        <v>190</v>
      </c>
      <c r="DY184" s="319" t="s">
        <v>190</v>
      </c>
      <c r="DZ184" s="319" t="s">
        <v>190</v>
      </c>
      <c r="EA184" s="319" t="s">
        <v>190</v>
      </c>
      <c r="EB184" s="319" t="s">
        <v>190</v>
      </c>
      <c r="EC184" s="319" t="s">
        <v>428</v>
      </c>
      <c r="ED184" s="319" t="s">
        <v>190</v>
      </c>
      <c r="EE184" s="319" t="s">
        <v>190</v>
      </c>
      <c r="EF184" s="319" t="s">
        <v>190</v>
      </c>
      <c r="EG184" s="319" t="s">
        <v>190</v>
      </c>
      <c r="EH184" s="319" t="s">
        <v>190</v>
      </c>
      <c r="EI184" s="319" t="s">
        <v>190</v>
      </c>
      <c r="EJ184" s="319" t="s">
        <v>190</v>
      </c>
      <c r="EK184" s="319" t="s">
        <v>190</v>
      </c>
      <c r="EL184" s="319" t="s">
        <v>190</v>
      </c>
      <c r="EM184" s="319" t="s">
        <v>190</v>
      </c>
      <c r="EN184" s="319" t="s">
        <v>190</v>
      </c>
      <c r="EO184" s="319" t="s">
        <v>190</v>
      </c>
      <c r="EP184" s="319" t="s">
        <v>190</v>
      </c>
      <c r="EQ184" s="319" t="s">
        <v>190</v>
      </c>
      <c r="ER184" s="319" t="s">
        <v>190</v>
      </c>
      <c r="ES184" s="319" t="s">
        <v>190</v>
      </c>
      <c r="ET184" s="319" t="s">
        <v>190</v>
      </c>
      <c r="EU184" s="319" t="s">
        <v>190</v>
      </c>
      <c r="EV184" s="319" t="s">
        <v>190</v>
      </c>
      <c r="EW184" s="319" t="s">
        <v>190</v>
      </c>
      <c r="EX184" s="319" t="s">
        <v>190</v>
      </c>
      <c r="EY184" s="319" t="s">
        <v>190</v>
      </c>
      <c r="EZ184" s="319" t="s">
        <v>190</v>
      </c>
      <c r="FA184" s="319" t="s">
        <v>190</v>
      </c>
      <c r="FB184" s="319" t="s">
        <v>190</v>
      </c>
      <c r="FC184" s="319" t="s">
        <v>173</v>
      </c>
      <c r="FD184" s="319" t="s">
        <v>190</v>
      </c>
      <c r="FE184" s="319" t="s">
        <v>190</v>
      </c>
      <c r="FF184" s="319" t="s">
        <v>190</v>
      </c>
      <c r="FG184" s="319" t="s">
        <v>190</v>
      </c>
      <c r="FH184" s="319" t="s">
        <v>190</v>
      </c>
      <c r="FI184" s="319" t="s">
        <v>190</v>
      </c>
      <c r="FJ184" s="319" t="s">
        <v>190</v>
      </c>
      <c r="FK184" s="319" t="s">
        <v>190</v>
      </c>
      <c r="FL184" s="319" t="s">
        <v>190</v>
      </c>
      <c r="FM184" s="319" t="s">
        <v>190</v>
      </c>
      <c r="FN184" s="319" t="s">
        <v>190</v>
      </c>
      <c r="FO184" s="319" t="s">
        <v>190</v>
      </c>
      <c r="FP184" s="319" t="s">
        <v>190</v>
      </c>
      <c r="FQ184" s="319" t="s">
        <v>190</v>
      </c>
      <c r="FR184" s="319" t="s">
        <v>190</v>
      </c>
      <c r="FS184" s="319" t="s">
        <v>190</v>
      </c>
      <c r="FT184" s="319" t="s">
        <v>190</v>
      </c>
      <c r="FU184" s="319" t="s">
        <v>190</v>
      </c>
      <c r="FV184" s="319" t="s">
        <v>190</v>
      </c>
      <c r="FW184" s="319" t="s">
        <v>190</v>
      </c>
      <c r="FX184" s="319" t="s">
        <v>190</v>
      </c>
      <c r="FY184" s="319" t="s">
        <v>190</v>
      </c>
      <c r="FZ184" s="319" t="s">
        <v>190</v>
      </c>
      <c r="GA184" s="319" t="s">
        <v>190</v>
      </c>
      <c r="GB184" s="319" t="s">
        <v>190</v>
      </c>
      <c r="GC184" s="319" t="s">
        <v>190</v>
      </c>
      <c r="GD184" s="319" t="s">
        <v>190</v>
      </c>
      <c r="GE184" s="319" t="s">
        <v>190</v>
      </c>
      <c r="GF184" s="319" t="s">
        <v>190</v>
      </c>
      <c r="GG184" s="319" t="s">
        <v>190</v>
      </c>
      <c r="GH184" s="319" t="s">
        <v>190</v>
      </c>
      <c r="GI184" s="319" t="s">
        <v>190</v>
      </c>
      <c r="GJ184" s="319" t="s">
        <v>190</v>
      </c>
      <c r="GK184" s="319" t="s">
        <v>428</v>
      </c>
      <c r="GL184" s="319" t="s">
        <v>190</v>
      </c>
      <c r="GM184" s="319" t="s">
        <v>190</v>
      </c>
      <c r="GN184" s="319" t="s">
        <v>190</v>
      </c>
      <c r="GO184" s="319" t="s">
        <v>190</v>
      </c>
      <c r="GP184" s="319" t="s">
        <v>190</v>
      </c>
      <c r="GQ184" s="319" t="s">
        <v>190</v>
      </c>
      <c r="GR184" s="319" t="s">
        <v>190</v>
      </c>
      <c r="GS184" s="319" t="s">
        <v>190</v>
      </c>
      <c r="GT184" s="319" t="s">
        <v>190</v>
      </c>
      <c r="GU184" s="319" t="s">
        <v>190</v>
      </c>
      <c r="GV184" s="319" t="s">
        <v>190</v>
      </c>
      <c r="GW184" s="319" t="s">
        <v>190</v>
      </c>
      <c r="GX184" s="319" t="s">
        <v>190</v>
      </c>
      <c r="GY184" s="319" t="s">
        <v>190</v>
      </c>
      <c r="GZ184" s="319" t="s">
        <v>190</v>
      </c>
      <c r="HA184" s="319" t="s">
        <v>190</v>
      </c>
      <c r="HB184" s="319" t="s">
        <v>428</v>
      </c>
      <c r="HC184" s="319" t="s">
        <v>190</v>
      </c>
      <c r="HD184" s="319" t="s">
        <v>190</v>
      </c>
      <c r="HE184" s="319" t="s">
        <v>190</v>
      </c>
      <c r="HF184" s="319" t="s">
        <v>190</v>
      </c>
      <c r="HG184" s="319" t="s">
        <v>190</v>
      </c>
      <c r="HH184" s="319" t="s">
        <v>190</v>
      </c>
      <c r="HI184" s="319" t="s">
        <v>190</v>
      </c>
      <c r="HJ184" s="319" t="s">
        <v>190</v>
      </c>
      <c r="HK184" s="319" t="s">
        <v>190</v>
      </c>
      <c r="HL184" s="319" t="s">
        <v>190</v>
      </c>
      <c r="HM184" s="319" t="s">
        <v>190</v>
      </c>
      <c r="HN184" s="319" t="s">
        <v>190</v>
      </c>
      <c r="HO184" s="319" t="s">
        <v>190</v>
      </c>
      <c r="HP184" s="319" t="s">
        <v>190</v>
      </c>
      <c r="HQ184" s="319" t="s">
        <v>190</v>
      </c>
      <c r="HR184" s="319" t="s">
        <v>190</v>
      </c>
      <c r="HS184" s="319" t="s">
        <v>190</v>
      </c>
      <c r="HT184" s="319" t="s">
        <v>190</v>
      </c>
      <c r="HU184" s="319" t="s">
        <v>190</v>
      </c>
      <c r="HV184" s="319" t="s">
        <v>190</v>
      </c>
      <c r="HW184" s="319" t="s">
        <v>190</v>
      </c>
      <c r="HX184" s="319" t="s">
        <v>190</v>
      </c>
      <c r="HY184" s="319" t="s">
        <v>190</v>
      </c>
      <c r="HZ184" s="319" t="s">
        <v>190</v>
      </c>
      <c r="IA184" s="319" t="s">
        <v>190</v>
      </c>
      <c r="IB184" s="319" t="s">
        <v>190</v>
      </c>
      <c r="IC184" s="319" t="s">
        <v>190</v>
      </c>
      <c r="ID184" s="319" t="s">
        <v>190</v>
      </c>
      <c r="IE184" s="319" t="s">
        <v>190</v>
      </c>
      <c r="IF184" s="319" t="s">
        <v>190</v>
      </c>
      <c r="IG184" s="319" t="s">
        <v>190</v>
      </c>
      <c r="IH184" s="319" t="s">
        <v>190</v>
      </c>
      <c r="II184" s="319" t="s">
        <v>190</v>
      </c>
      <c r="IJ184" s="319" t="s">
        <v>2966</v>
      </c>
      <c r="IK184" s="321">
        <v>41919</v>
      </c>
      <c r="IL184" s="321">
        <v>41921</v>
      </c>
      <c r="IM184" s="321">
        <v>41955</v>
      </c>
      <c r="IN184" s="319">
        <v>2</v>
      </c>
      <c r="IO184" s="319" t="s">
        <v>173</v>
      </c>
      <c r="IP184" s="319" t="s">
        <v>173</v>
      </c>
      <c r="IQ184" s="321" t="s">
        <v>173</v>
      </c>
      <c r="IR184" s="320" t="s">
        <v>173</v>
      </c>
      <c r="IS184" s="322" t="s">
        <v>173</v>
      </c>
      <c r="IT184" s="319" t="s">
        <v>173</v>
      </c>
    </row>
    <row r="185" spans="1:254" s="271" customFormat="1" x14ac:dyDescent="0.25">
      <c r="A185" s="318" t="str">
        <f>HYPERLINK("http://www.ofsted.gov.uk/inspection-reports/find-inspection-report/provider/ELS/117044 ","Ofsted School Webpage")</f>
        <v>Ofsted School Webpage</v>
      </c>
      <c r="B185" s="319">
        <v>117044</v>
      </c>
      <c r="C185" s="319">
        <v>8856031</v>
      </c>
      <c r="D185" s="319" t="s">
        <v>1142</v>
      </c>
      <c r="E185" s="319" t="s">
        <v>167</v>
      </c>
      <c r="F185" s="319" t="s">
        <v>81</v>
      </c>
      <c r="G185" s="319" t="s">
        <v>72</v>
      </c>
      <c r="H185" s="319" t="s">
        <v>72</v>
      </c>
      <c r="I185" s="319" t="s">
        <v>72</v>
      </c>
      <c r="J185" s="319" t="s">
        <v>424</v>
      </c>
      <c r="K185" s="319" t="s">
        <v>437</v>
      </c>
      <c r="L185" s="319" t="s">
        <v>437</v>
      </c>
      <c r="M185" s="319" t="s">
        <v>483</v>
      </c>
      <c r="N185" s="319" t="s">
        <v>2967</v>
      </c>
      <c r="O185" s="319" t="s">
        <v>1143</v>
      </c>
      <c r="P185" s="319">
        <v>204</v>
      </c>
      <c r="Q185" s="319" t="s">
        <v>2776</v>
      </c>
      <c r="R185" s="320">
        <v>10112490</v>
      </c>
      <c r="S185" s="321">
        <v>43746</v>
      </c>
      <c r="T185" s="321">
        <v>43748</v>
      </c>
      <c r="U185" s="321">
        <v>43802</v>
      </c>
      <c r="V185" s="319" t="s">
        <v>425</v>
      </c>
      <c r="W185" s="319" t="s">
        <v>2767</v>
      </c>
      <c r="X185" s="319">
        <v>3</v>
      </c>
      <c r="Y185" s="319">
        <v>3</v>
      </c>
      <c r="Z185" s="319">
        <v>2</v>
      </c>
      <c r="AA185" s="319">
        <v>2</v>
      </c>
      <c r="AB185" s="319">
        <v>3</v>
      </c>
      <c r="AC185" s="319" t="s">
        <v>169</v>
      </c>
      <c r="AD185" s="319" t="s">
        <v>173</v>
      </c>
      <c r="AE185" s="319">
        <v>3</v>
      </c>
      <c r="AF185" s="319" t="s">
        <v>427</v>
      </c>
      <c r="AG185" s="319" t="s">
        <v>171</v>
      </c>
      <c r="AH185" s="319" t="s">
        <v>190</v>
      </c>
      <c r="AI185" s="319" t="s">
        <v>190</v>
      </c>
      <c r="AJ185" s="319" t="s">
        <v>190</v>
      </c>
      <c r="AK185" s="319" t="s">
        <v>190</v>
      </c>
      <c r="AL185" s="319" t="s">
        <v>190</v>
      </c>
      <c r="AM185" s="319" t="s">
        <v>190</v>
      </c>
      <c r="AN185" s="319" t="s">
        <v>190</v>
      </c>
      <c r="AO185" s="319" t="s">
        <v>190</v>
      </c>
      <c r="AP185" s="319" t="s">
        <v>190</v>
      </c>
      <c r="AQ185" s="319" t="s">
        <v>190</v>
      </c>
      <c r="AR185" s="319" t="s">
        <v>190</v>
      </c>
      <c r="AS185" s="319" t="s">
        <v>190</v>
      </c>
      <c r="AT185" s="319" t="s">
        <v>190</v>
      </c>
      <c r="AU185" s="319" t="s">
        <v>190</v>
      </c>
      <c r="AV185" s="319" t="s">
        <v>190</v>
      </c>
      <c r="AW185" s="319" t="s">
        <v>190</v>
      </c>
      <c r="AX185" s="319" t="s">
        <v>190</v>
      </c>
      <c r="AY185" s="319" t="s">
        <v>190</v>
      </c>
      <c r="AZ185" s="319" t="s">
        <v>190</v>
      </c>
      <c r="BA185" s="319" t="s">
        <v>190</v>
      </c>
      <c r="BB185" s="319" t="s">
        <v>190</v>
      </c>
      <c r="BC185" s="319" t="s">
        <v>190</v>
      </c>
      <c r="BD185" s="319" t="s">
        <v>190</v>
      </c>
      <c r="BE185" s="319" t="s">
        <v>190</v>
      </c>
      <c r="BF185" s="319" t="s">
        <v>428</v>
      </c>
      <c r="BG185" s="319" t="s">
        <v>190</v>
      </c>
      <c r="BH185" s="319" t="s">
        <v>190</v>
      </c>
      <c r="BI185" s="319" t="s">
        <v>190</v>
      </c>
      <c r="BJ185" s="319" t="s">
        <v>190</v>
      </c>
      <c r="BK185" s="319" t="s">
        <v>190</v>
      </c>
      <c r="BL185" s="319" t="s">
        <v>190</v>
      </c>
      <c r="BM185" s="319" t="s">
        <v>190</v>
      </c>
      <c r="BN185" s="319" t="s">
        <v>190</v>
      </c>
      <c r="BO185" s="319" t="s">
        <v>190</v>
      </c>
      <c r="BP185" s="319" t="s">
        <v>190</v>
      </c>
      <c r="BQ185" s="319" t="s">
        <v>190</v>
      </c>
      <c r="BR185" s="319" t="s">
        <v>190</v>
      </c>
      <c r="BS185" s="319" t="s">
        <v>190</v>
      </c>
      <c r="BT185" s="319" t="s">
        <v>190</v>
      </c>
      <c r="BU185" s="319" t="s">
        <v>190</v>
      </c>
      <c r="BV185" s="319" t="s">
        <v>190</v>
      </c>
      <c r="BW185" s="319" t="s">
        <v>190</v>
      </c>
      <c r="BX185" s="319" t="s">
        <v>190</v>
      </c>
      <c r="BY185" s="319" t="s">
        <v>190</v>
      </c>
      <c r="BZ185" s="319" t="s">
        <v>190</v>
      </c>
      <c r="CA185" s="319" t="s">
        <v>190</v>
      </c>
      <c r="CB185" s="319" t="s">
        <v>190</v>
      </c>
      <c r="CC185" s="319" t="s">
        <v>190</v>
      </c>
      <c r="CD185" s="319" t="s">
        <v>190</v>
      </c>
      <c r="CE185" s="319" t="s">
        <v>190</v>
      </c>
      <c r="CF185" s="319" t="s">
        <v>190</v>
      </c>
      <c r="CG185" s="319" t="s">
        <v>190</v>
      </c>
      <c r="CH185" s="319" t="s">
        <v>190</v>
      </c>
      <c r="CI185" s="319" t="s">
        <v>190</v>
      </c>
      <c r="CJ185" s="319" t="s">
        <v>190</v>
      </c>
      <c r="CK185" s="319" t="s">
        <v>190</v>
      </c>
      <c r="CL185" s="319" t="s">
        <v>190</v>
      </c>
      <c r="CM185" s="319" t="s">
        <v>190</v>
      </c>
      <c r="CN185" s="319" t="s">
        <v>428</v>
      </c>
      <c r="CO185" s="319" t="s">
        <v>428</v>
      </c>
      <c r="CP185" s="319" t="s">
        <v>428</v>
      </c>
      <c r="CQ185" s="319" t="s">
        <v>190</v>
      </c>
      <c r="CR185" s="319" t="s">
        <v>190</v>
      </c>
      <c r="CS185" s="319" t="s">
        <v>190</v>
      </c>
      <c r="CT185" s="319" t="s">
        <v>190</v>
      </c>
      <c r="CU185" s="319" t="s">
        <v>190</v>
      </c>
      <c r="CV185" s="319" t="s">
        <v>190</v>
      </c>
      <c r="CW185" s="319" t="s">
        <v>190</v>
      </c>
      <c r="CX185" s="319" t="s">
        <v>190</v>
      </c>
      <c r="CY185" s="319" t="s">
        <v>190</v>
      </c>
      <c r="CZ185" s="319" t="s">
        <v>190</v>
      </c>
      <c r="DA185" s="319" t="s">
        <v>190</v>
      </c>
      <c r="DB185" s="319" t="s">
        <v>190</v>
      </c>
      <c r="DC185" s="319" t="s">
        <v>190</v>
      </c>
      <c r="DD185" s="319" t="s">
        <v>190</v>
      </c>
      <c r="DE185" s="319" t="s">
        <v>190</v>
      </c>
      <c r="DF185" s="319" t="s">
        <v>190</v>
      </c>
      <c r="DG185" s="319" t="s">
        <v>190</v>
      </c>
      <c r="DH185" s="319" t="s">
        <v>190</v>
      </c>
      <c r="DI185" s="319" t="s">
        <v>190</v>
      </c>
      <c r="DJ185" s="319" t="s">
        <v>190</v>
      </c>
      <c r="DK185" s="319" t="s">
        <v>190</v>
      </c>
      <c r="DL185" s="319" t="s">
        <v>190</v>
      </c>
      <c r="DM185" s="319" t="s">
        <v>190</v>
      </c>
      <c r="DN185" s="319" t="s">
        <v>190</v>
      </c>
      <c r="DO185" s="319" t="s">
        <v>190</v>
      </c>
      <c r="DP185" s="319" t="s">
        <v>428</v>
      </c>
      <c r="DQ185" s="319" t="s">
        <v>428</v>
      </c>
      <c r="DR185" s="319" t="s">
        <v>428</v>
      </c>
      <c r="DS185" s="319" t="s">
        <v>428</v>
      </c>
      <c r="DT185" s="319" t="s">
        <v>428</v>
      </c>
      <c r="DU185" s="319" t="s">
        <v>428</v>
      </c>
      <c r="DV185" s="319" t="s">
        <v>428</v>
      </c>
      <c r="DW185" s="319" t="s">
        <v>428</v>
      </c>
      <c r="DX185" s="319" t="s">
        <v>428</v>
      </c>
      <c r="DY185" s="319" t="s">
        <v>428</v>
      </c>
      <c r="DZ185" s="319" t="s">
        <v>428</v>
      </c>
      <c r="EA185" s="319" t="s">
        <v>428</v>
      </c>
      <c r="EB185" s="319" t="s">
        <v>428</v>
      </c>
      <c r="EC185" s="319" t="s">
        <v>428</v>
      </c>
      <c r="ED185" s="319" t="s">
        <v>428</v>
      </c>
      <c r="EE185" s="319" t="s">
        <v>190</v>
      </c>
      <c r="EF185" s="319" t="s">
        <v>190</v>
      </c>
      <c r="EG185" s="319" t="s">
        <v>190</v>
      </c>
      <c r="EH185" s="319" t="s">
        <v>190</v>
      </c>
      <c r="EI185" s="319" t="s">
        <v>190</v>
      </c>
      <c r="EJ185" s="319" t="s">
        <v>190</v>
      </c>
      <c r="EK185" s="319" t="s">
        <v>190</v>
      </c>
      <c r="EL185" s="319" t="s">
        <v>190</v>
      </c>
      <c r="EM185" s="319" t="s">
        <v>190</v>
      </c>
      <c r="EN185" s="319" t="s">
        <v>190</v>
      </c>
      <c r="EO185" s="319" t="s">
        <v>190</v>
      </c>
      <c r="EP185" s="319" t="s">
        <v>190</v>
      </c>
      <c r="EQ185" s="319" t="s">
        <v>190</v>
      </c>
      <c r="ER185" s="319" t="s">
        <v>190</v>
      </c>
      <c r="ES185" s="319" t="s">
        <v>190</v>
      </c>
      <c r="ET185" s="319" t="s">
        <v>190</v>
      </c>
      <c r="EU185" s="319" t="s">
        <v>190</v>
      </c>
      <c r="EV185" s="319" t="s">
        <v>190</v>
      </c>
      <c r="EW185" s="319" t="s">
        <v>190</v>
      </c>
      <c r="EX185" s="319" t="s">
        <v>190</v>
      </c>
      <c r="EY185" s="319" t="s">
        <v>190</v>
      </c>
      <c r="EZ185" s="319" t="s">
        <v>190</v>
      </c>
      <c r="FA185" s="319" t="s">
        <v>428</v>
      </c>
      <c r="FB185" s="319" t="s">
        <v>428</v>
      </c>
      <c r="FC185" s="319" t="s">
        <v>428</v>
      </c>
      <c r="FD185" s="319" t="s">
        <v>428</v>
      </c>
      <c r="FE185" s="319" t="s">
        <v>428</v>
      </c>
      <c r="FF185" s="319" t="s">
        <v>428</v>
      </c>
      <c r="FG185" s="319" t="s">
        <v>428</v>
      </c>
      <c r="FH185" s="319" t="s">
        <v>428</v>
      </c>
      <c r="FI185" s="319" t="s">
        <v>190</v>
      </c>
      <c r="FJ185" s="319" t="s">
        <v>190</v>
      </c>
      <c r="FK185" s="319" t="s">
        <v>190</v>
      </c>
      <c r="FL185" s="319" t="s">
        <v>190</v>
      </c>
      <c r="FM185" s="319" t="s">
        <v>190</v>
      </c>
      <c r="FN185" s="319" t="s">
        <v>428</v>
      </c>
      <c r="FO185" s="319" t="s">
        <v>190</v>
      </c>
      <c r="FP185" s="319" t="s">
        <v>190</v>
      </c>
      <c r="FQ185" s="319" t="s">
        <v>190</v>
      </c>
      <c r="FR185" s="319" t="s">
        <v>190</v>
      </c>
      <c r="FS185" s="319" t="s">
        <v>428</v>
      </c>
      <c r="FT185" s="319" t="s">
        <v>190</v>
      </c>
      <c r="FU185" s="319" t="s">
        <v>190</v>
      </c>
      <c r="FV185" s="319" t="s">
        <v>190</v>
      </c>
      <c r="FW185" s="319" t="s">
        <v>190</v>
      </c>
      <c r="FX185" s="319" t="s">
        <v>190</v>
      </c>
      <c r="FY185" s="319" t="s">
        <v>190</v>
      </c>
      <c r="FZ185" s="319" t="s">
        <v>190</v>
      </c>
      <c r="GA185" s="319" t="s">
        <v>190</v>
      </c>
      <c r="GB185" s="319" t="s">
        <v>190</v>
      </c>
      <c r="GC185" s="319" t="s">
        <v>190</v>
      </c>
      <c r="GD185" s="319" t="s">
        <v>190</v>
      </c>
      <c r="GE185" s="319" t="s">
        <v>190</v>
      </c>
      <c r="GF185" s="319" t="s">
        <v>190</v>
      </c>
      <c r="GG185" s="319" t="s">
        <v>190</v>
      </c>
      <c r="GH185" s="319" t="s">
        <v>190</v>
      </c>
      <c r="GI185" s="319" t="s">
        <v>190</v>
      </c>
      <c r="GJ185" s="319" t="s">
        <v>190</v>
      </c>
      <c r="GK185" s="319" t="s">
        <v>428</v>
      </c>
      <c r="GL185" s="319" t="s">
        <v>190</v>
      </c>
      <c r="GM185" s="319" t="s">
        <v>190</v>
      </c>
      <c r="GN185" s="319" t="s">
        <v>190</v>
      </c>
      <c r="GO185" s="319" t="s">
        <v>190</v>
      </c>
      <c r="GP185" s="319" t="s">
        <v>190</v>
      </c>
      <c r="GQ185" s="319" t="s">
        <v>190</v>
      </c>
      <c r="GR185" s="319" t="s">
        <v>190</v>
      </c>
      <c r="GS185" s="319" t="s">
        <v>190</v>
      </c>
      <c r="GT185" s="319" t="s">
        <v>428</v>
      </c>
      <c r="GU185" s="319" t="s">
        <v>428</v>
      </c>
      <c r="GV185" s="319" t="s">
        <v>190</v>
      </c>
      <c r="GW185" s="319" t="s">
        <v>190</v>
      </c>
      <c r="GX185" s="319" t="s">
        <v>190</v>
      </c>
      <c r="GY185" s="319" t="s">
        <v>190</v>
      </c>
      <c r="GZ185" s="319" t="s">
        <v>190</v>
      </c>
      <c r="HA185" s="319" t="s">
        <v>190</v>
      </c>
      <c r="HB185" s="319" t="s">
        <v>428</v>
      </c>
      <c r="HC185" s="319" t="s">
        <v>190</v>
      </c>
      <c r="HD185" s="319" t="s">
        <v>190</v>
      </c>
      <c r="HE185" s="319" t="s">
        <v>190</v>
      </c>
      <c r="HF185" s="319" t="s">
        <v>428</v>
      </c>
      <c r="HG185" s="319" t="s">
        <v>190</v>
      </c>
      <c r="HH185" s="319" t="s">
        <v>190</v>
      </c>
      <c r="HI185" s="319" t="s">
        <v>190</v>
      </c>
      <c r="HJ185" s="319" t="s">
        <v>190</v>
      </c>
      <c r="HK185" s="319" t="s">
        <v>428</v>
      </c>
      <c r="HL185" s="319" t="s">
        <v>428</v>
      </c>
      <c r="HM185" s="319" t="s">
        <v>428</v>
      </c>
      <c r="HN185" s="319" t="s">
        <v>428</v>
      </c>
      <c r="HO185" s="319" t="s">
        <v>428</v>
      </c>
      <c r="HP185" s="319" t="s">
        <v>190</v>
      </c>
      <c r="HQ185" s="319" t="s">
        <v>190</v>
      </c>
      <c r="HR185" s="319" t="s">
        <v>190</v>
      </c>
      <c r="HS185" s="319" t="s">
        <v>190</v>
      </c>
      <c r="HT185" s="319" t="s">
        <v>190</v>
      </c>
      <c r="HU185" s="319" t="s">
        <v>190</v>
      </c>
      <c r="HV185" s="319" t="s">
        <v>190</v>
      </c>
      <c r="HW185" s="319" t="s">
        <v>190</v>
      </c>
      <c r="HX185" s="319" t="s">
        <v>190</v>
      </c>
      <c r="HY185" s="319" t="s">
        <v>190</v>
      </c>
      <c r="HZ185" s="319" t="s">
        <v>190</v>
      </c>
      <c r="IA185" s="319" t="s">
        <v>190</v>
      </c>
      <c r="IB185" s="319" t="s">
        <v>190</v>
      </c>
      <c r="IC185" s="319" t="s">
        <v>190</v>
      </c>
      <c r="ID185" s="319" t="s">
        <v>190</v>
      </c>
      <c r="IE185" s="319" t="s">
        <v>190</v>
      </c>
      <c r="IF185" s="319" t="s">
        <v>190</v>
      </c>
      <c r="IG185" s="319" t="s">
        <v>190</v>
      </c>
      <c r="IH185" s="319" t="s">
        <v>190</v>
      </c>
      <c r="II185" s="319" t="s">
        <v>190</v>
      </c>
      <c r="IJ185" s="319">
        <v>10041363</v>
      </c>
      <c r="IK185" s="321">
        <v>43137</v>
      </c>
      <c r="IL185" s="321">
        <v>43139</v>
      </c>
      <c r="IM185" s="321">
        <v>43255</v>
      </c>
      <c r="IN185" s="319">
        <v>4</v>
      </c>
      <c r="IO185" s="319" t="s">
        <v>173</v>
      </c>
      <c r="IP185" s="319" t="s">
        <v>173</v>
      </c>
      <c r="IQ185" s="321" t="s">
        <v>173</v>
      </c>
      <c r="IR185" s="320" t="s">
        <v>173</v>
      </c>
      <c r="IS185" s="322" t="s">
        <v>173</v>
      </c>
      <c r="IT185" s="319" t="s">
        <v>173</v>
      </c>
    </row>
    <row r="186" spans="1:254" s="271" customFormat="1" x14ac:dyDescent="0.25">
      <c r="A186" s="318" t="str">
        <f>HYPERLINK("http://www.ofsted.gov.uk/inspection-reports/find-inspection-report/provider/ELS/117048 ","Ofsted School Webpage")</f>
        <v>Ofsted School Webpage</v>
      </c>
      <c r="B186" s="319">
        <v>117048</v>
      </c>
      <c r="C186" s="319">
        <v>8846010</v>
      </c>
      <c r="D186" s="319" t="s">
        <v>1475</v>
      </c>
      <c r="E186" s="319" t="s">
        <v>168</v>
      </c>
      <c r="F186" s="319" t="s">
        <v>81</v>
      </c>
      <c r="G186" s="319" t="s">
        <v>81</v>
      </c>
      <c r="H186" s="319" t="s">
        <v>81</v>
      </c>
      <c r="I186" s="319" t="s">
        <v>78</v>
      </c>
      <c r="J186" s="319" t="s">
        <v>424</v>
      </c>
      <c r="K186" s="319" t="s">
        <v>437</v>
      </c>
      <c r="L186" s="319" t="s">
        <v>437</v>
      </c>
      <c r="M186" s="319" t="s">
        <v>1100</v>
      </c>
      <c r="N186" s="319" t="s">
        <v>2965</v>
      </c>
      <c r="O186" s="319" t="s">
        <v>1476</v>
      </c>
      <c r="P186" s="319">
        <v>13</v>
      </c>
      <c r="Q186" s="319" t="s">
        <v>429</v>
      </c>
      <c r="R186" s="320">
        <v>10006074</v>
      </c>
      <c r="S186" s="321">
        <v>43144</v>
      </c>
      <c r="T186" s="321">
        <v>43146</v>
      </c>
      <c r="U186" s="321">
        <v>43186</v>
      </c>
      <c r="V186" s="319" t="s">
        <v>425</v>
      </c>
      <c r="W186" s="319" t="s">
        <v>2767</v>
      </c>
      <c r="X186" s="319">
        <v>1</v>
      </c>
      <c r="Y186" s="319" t="s">
        <v>173</v>
      </c>
      <c r="Z186" s="319" t="s">
        <v>173</v>
      </c>
      <c r="AA186" s="319" t="s">
        <v>173</v>
      </c>
      <c r="AB186" s="319">
        <v>1</v>
      </c>
      <c r="AC186" s="319" t="s">
        <v>169</v>
      </c>
      <c r="AD186" s="319" t="s">
        <v>173</v>
      </c>
      <c r="AE186" s="319" t="s">
        <v>173</v>
      </c>
      <c r="AF186" s="319" t="s">
        <v>427</v>
      </c>
      <c r="AG186" s="319" t="s">
        <v>171</v>
      </c>
      <c r="AH186" s="319" t="s">
        <v>190</v>
      </c>
      <c r="AI186" s="319" t="s">
        <v>190</v>
      </c>
      <c r="AJ186" s="319" t="s">
        <v>190</v>
      </c>
      <c r="AK186" s="319" t="s">
        <v>190</v>
      </c>
      <c r="AL186" s="319" t="s">
        <v>190</v>
      </c>
      <c r="AM186" s="319" t="s">
        <v>190</v>
      </c>
      <c r="AN186" s="319" t="s">
        <v>190</v>
      </c>
      <c r="AO186" s="319" t="s">
        <v>190</v>
      </c>
      <c r="AP186" s="319" t="s">
        <v>190</v>
      </c>
      <c r="AQ186" s="319" t="s">
        <v>190</v>
      </c>
      <c r="AR186" s="319" t="s">
        <v>190</v>
      </c>
      <c r="AS186" s="319" t="s">
        <v>190</v>
      </c>
      <c r="AT186" s="319" t="s">
        <v>190</v>
      </c>
      <c r="AU186" s="319" t="s">
        <v>190</v>
      </c>
      <c r="AV186" s="319" t="s">
        <v>190</v>
      </c>
      <c r="AW186" s="319" t="s">
        <v>190</v>
      </c>
      <c r="AX186" s="319" t="s">
        <v>428</v>
      </c>
      <c r="AY186" s="319" t="s">
        <v>190</v>
      </c>
      <c r="AZ186" s="319" t="s">
        <v>190</v>
      </c>
      <c r="BA186" s="319" t="s">
        <v>190</v>
      </c>
      <c r="BB186" s="319" t="s">
        <v>190</v>
      </c>
      <c r="BC186" s="319" t="s">
        <v>190</v>
      </c>
      <c r="BD186" s="319" t="s">
        <v>190</v>
      </c>
      <c r="BE186" s="319" t="s">
        <v>190</v>
      </c>
      <c r="BF186" s="319" t="s">
        <v>428</v>
      </c>
      <c r="BG186" s="319" t="s">
        <v>428</v>
      </c>
      <c r="BH186" s="319" t="s">
        <v>190</v>
      </c>
      <c r="BI186" s="319" t="s">
        <v>190</v>
      </c>
      <c r="BJ186" s="319" t="s">
        <v>190</v>
      </c>
      <c r="BK186" s="319" t="s">
        <v>190</v>
      </c>
      <c r="BL186" s="319" t="s">
        <v>190</v>
      </c>
      <c r="BM186" s="319" t="s">
        <v>190</v>
      </c>
      <c r="BN186" s="319" t="s">
        <v>190</v>
      </c>
      <c r="BO186" s="319" t="s">
        <v>190</v>
      </c>
      <c r="BP186" s="319" t="s">
        <v>190</v>
      </c>
      <c r="BQ186" s="319" t="s">
        <v>190</v>
      </c>
      <c r="BR186" s="319" t="s">
        <v>190</v>
      </c>
      <c r="BS186" s="319" t="s">
        <v>190</v>
      </c>
      <c r="BT186" s="319" t="s">
        <v>190</v>
      </c>
      <c r="BU186" s="319" t="s">
        <v>190</v>
      </c>
      <c r="BV186" s="319" t="s">
        <v>190</v>
      </c>
      <c r="BW186" s="319" t="s">
        <v>190</v>
      </c>
      <c r="BX186" s="319" t="s">
        <v>190</v>
      </c>
      <c r="BY186" s="319" t="s">
        <v>190</v>
      </c>
      <c r="BZ186" s="319" t="s">
        <v>190</v>
      </c>
      <c r="CA186" s="319" t="s">
        <v>190</v>
      </c>
      <c r="CB186" s="319" t="s">
        <v>190</v>
      </c>
      <c r="CC186" s="319" t="s">
        <v>190</v>
      </c>
      <c r="CD186" s="319" t="s">
        <v>190</v>
      </c>
      <c r="CE186" s="319" t="s">
        <v>190</v>
      </c>
      <c r="CF186" s="319" t="s">
        <v>190</v>
      </c>
      <c r="CG186" s="319" t="s">
        <v>190</v>
      </c>
      <c r="CH186" s="319" t="s">
        <v>190</v>
      </c>
      <c r="CI186" s="319" t="s">
        <v>190</v>
      </c>
      <c r="CJ186" s="319" t="s">
        <v>190</v>
      </c>
      <c r="CK186" s="319" t="s">
        <v>190</v>
      </c>
      <c r="CL186" s="319" t="s">
        <v>190</v>
      </c>
      <c r="CM186" s="319" t="s">
        <v>190</v>
      </c>
      <c r="CN186" s="319" t="s">
        <v>190</v>
      </c>
      <c r="CO186" s="319" t="s">
        <v>190</v>
      </c>
      <c r="CP186" s="319" t="s">
        <v>190</v>
      </c>
      <c r="CQ186" s="319" t="s">
        <v>190</v>
      </c>
      <c r="CR186" s="319" t="s">
        <v>190</v>
      </c>
      <c r="CS186" s="319" t="s">
        <v>190</v>
      </c>
      <c r="CT186" s="319" t="s">
        <v>190</v>
      </c>
      <c r="CU186" s="319" t="s">
        <v>190</v>
      </c>
      <c r="CV186" s="319" t="s">
        <v>190</v>
      </c>
      <c r="CW186" s="319" t="s">
        <v>190</v>
      </c>
      <c r="CX186" s="319" t="s">
        <v>190</v>
      </c>
      <c r="CY186" s="319" t="s">
        <v>190</v>
      </c>
      <c r="CZ186" s="319" t="s">
        <v>190</v>
      </c>
      <c r="DA186" s="319" t="s">
        <v>190</v>
      </c>
      <c r="DB186" s="319" t="s">
        <v>190</v>
      </c>
      <c r="DC186" s="319" t="s">
        <v>190</v>
      </c>
      <c r="DD186" s="319" t="s">
        <v>190</v>
      </c>
      <c r="DE186" s="319" t="s">
        <v>190</v>
      </c>
      <c r="DF186" s="319" t="s">
        <v>190</v>
      </c>
      <c r="DG186" s="319" t="s">
        <v>190</v>
      </c>
      <c r="DH186" s="319" t="s">
        <v>190</v>
      </c>
      <c r="DI186" s="319" t="s">
        <v>190</v>
      </c>
      <c r="DJ186" s="319" t="s">
        <v>190</v>
      </c>
      <c r="DK186" s="319" t="s">
        <v>190</v>
      </c>
      <c r="DL186" s="319" t="s">
        <v>190</v>
      </c>
      <c r="DM186" s="319" t="s">
        <v>190</v>
      </c>
      <c r="DN186" s="319" t="s">
        <v>190</v>
      </c>
      <c r="DO186" s="319" t="s">
        <v>190</v>
      </c>
      <c r="DP186" s="319" t="s">
        <v>190</v>
      </c>
      <c r="DQ186" s="319" t="s">
        <v>190</v>
      </c>
      <c r="DR186" s="319" t="s">
        <v>190</v>
      </c>
      <c r="DS186" s="319" t="s">
        <v>190</v>
      </c>
      <c r="DT186" s="319" t="s">
        <v>190</v>
      </c>
      <c r="DU186" s="319" t="s">
        <v>190</v>
      </c>
      <c r="DV186" s="319" t="s">
        <v>173</v>
      </c>
      <c r="DW186" s="319" t="s">
        <v>190</v>
      </c>
      <c r="DX186" s="319" t="s">
        <v>190</v>
      </c>
      <c r="DY186" s="319" t="s">
        <v>190</v>
      </c>
      <c r="DZ186" s="319" t="s">
        <v>190</v>
      </c>
      <c r="EA186" s="319" t="s">
        <v>190</v>
      </c>
      <c r="EB186" s="319" t="s">
        <v>190</v>
      </c>
      <c r="EC186" s="319" t="s">
        <v>428</v>
      </c>
      <c r="ED186" s="319" t="s">
        <v>190</v>
      </c>
      <c r="EE186" s="319" t="s">
        <v>190</v>
      </c>
      <c r="EF186" s="319" t="s">
        <v>190</v>
      </c>
      <c r="EG186" s="319" t="s">
        <v>190</v>
      </c>
      <c r="EH186" s="319" t="s">
        <v>190</v>
      </c>
      <c r="EI186" s="319" t="s">
        <v>190</v>
      </c>
      <c r="EJ186" s="319" t="s">
        <v>190</v>
      </c>
      <c r="EK186" s="319" t="s">
        <v>190</v>
      </c>
      <c r="EL186" s="319" t="s">
        <v>190</v>
      </c>
      <c r="EM186" s="319" t="s">
        <v>190</v>
      </c>
      <c r="EN186" s="319" t="s">
        <v>190</v>
      </c>
      <c r="EO186" s="319" t="s">
        <v>190</v>
      </c>
      <c r="EP186" s="319" t="s">
        <v>190</v>
      </c>
      <c r="EQ186" s="319" t="s">
        <v>190</v>
      </c>
      <c r="ER186" s="319" t="s">
        <v>190</v>
      </c>
      <c r="ES186" s="319" t="s">
        <v>190</v>
      </c>
      <c r="ET186" s="319" t="s">
        <v>190</v>
      </c>
      <c r="EU186" s="319" t="s">
        <v>190</v>
      </c>
      <c r="EV186" s="319" t="s">
        <v>190</v>
      </c>
      <c r="EW186" s="319" t="s">
        <v>190</v>
      </c>
      <c r="EX186" s="319" t="s">
        <v>190</v>
      </c>
      <c r="EY186" s="319" t="s">
        <v>190</v>
      </c>
      <c r="EZ186" s="319" t="s">
        <v>190</v>
      </c>
      <c r="FA186" s="319" t="s">
        <v>190</v>
      </c>
      <c r="FB186" s="319" t="s">
        <v>190</v>
      </c>
      <c r="FC186" s="319" t="s">
        <v>190</v>
      </c>
      <c r="FD186" s="319" t="s">
        <v>190</v>
      </c>
      <c r="FE186" s="319" t="s">
        <v>190</v>
      </c>
      <c r="FF186" s="319" t="s">
        <v>190</v>
      </c>
      <c r="FG186" s="319" t="s">
        <v>190</v>
      </c>
      <c r="FH186" s="319" t="s">
        <v>190</v>
      </c>
      <c r="FI186" s="319" t="s">
        <v>190</v>
      </c>
      <c r="FJ186" s="319" t="s">
        <v>190</v>
      </c>
      <c r="FK186" s="319" t="s">
        <v>190</v>
      </c>
      <c r="FL186" s="319" t="s">
        <v>190</v>
      </c>
      <c r="FM186" s="319" t="s">
        <v>190</v>
      </c>
      <c r="FN186" s="319" t="s">
        <v>190</v>
      </c>
      <c r="FO186" s="319" t="s">
        <v>190</v>
      </c>
      <c r="FP186" s="319" t="s">
        <v>190</v>
      </c>
      <c r="FQ186" s="319" t="s">
        <v>190</v>
      </c>
      <c r="FR186" s="319" t="s">
        <v>190</v>
      </c>
      <c r="FS186" s="319" t="s">
        <v>190</v>
      </c>
      <c r="FT186" s="319" t="s">
        <v>190</v>
      </c>
      <c r="FU186" s="319" t="s">
        <v>190</v>
      </c>
      <c r="FV186" s="319" t="s">
        <v>190</v>
      </c>
      <c r="FW186" s="319" t="s">
        <v>190</v>
      </c>
      <c r="FX186" s="319" t="s">
        <v>190</v>
      </c>
      <c r="FY186" s="319" t="s">
        <v>190</v>
      </c>
      <c r="FZ186" s="319" t="s">
        <v>190</v>
      </c>
      <c r="GA186" s="319" t="s">
        <v>190</v>
      </c>
      <c r="GB186" s="319" t="s">
        <v>190</v>
      </c>
      <c r="GC186" s="319" t="s">
        <v>190</v>
      </c>
      <c r="GD186" s="319" t="s">
        <v>190</v>
      </c>
      <c r="GE186" s="319" t="s">
        <v>190</v>
      </c>
      <c r="GF186" s="319" t="s">
        <v>190</v>
      </c>
      <c r="GG186" s="319" t="s">
        <v>190</v>
      </c>
      <c r="GH186" s="319" t="s">
        <v>190</v>
      </c>
      <c r="GI186" s="319" t="s">
        <v>190</v>
      </c>
      <c r="GJ186" s="319" t="s">
        <v>190</v>
      </c>
      <c r="GK186" s="319" t="s">
        <v>190</v>
      </c>
      <c r="GL186" s="319" t="s">
        <v>190</v>
      </c>
      <c r="GM186" s="319" t="s">
        <v>190</v>
      </c>
      <c r="GN186" s="319" t="s">
        <v>190</v>
      </c>
      <c r="GO186" s="319" t="s">
        <v>190</v>
      </c>
      <c r="GP186" s="319" t="s">
        <v>190</v>
      </c>
      <c r="GQ186" s="319" t="s">
        <v>190</v>
      </c>
      <c r="GR186" s="319" t="s">
        <v>190</v>
      </c>
      <c r="GS186" s="319" t="s">
        <v>190</v>
      </c>
      <c r="GT186" s="319" t="s">
        <v>190</v>
      </c>
      <c r="GU186" s="319" t="s">
        <v>190</v>
      </c>
      <c r="GV186" s="319" t="s">
        <v>190</v>
      </c>
      <c r="GW186" s="319" t="s">
        <v>190</v>
      </c>
      <c r="GX186" s="319" t="s">
        <v>190</v>
      </c>
      <c r="GY186" s="319" t="s">
        <v>190</v>
      </c>
      <c r="GZ186" s="319" t="s">
        <v>190</v>
      </c>
      <c r="HA186" s="319" t="s">
        <v>190</v>
      </c>
      <c r="HB186" s="319" t="s">
        <v>190</v>
      </c>
      <c r="HC186" s="319" t="s">
        <v>190</v>
      </c>
      <c r="HD186" s="319" t="s">
        <v>190</v>
      </c>
      <c r="HE186" s="319" t="s">
        <v>190</v>
      </c>
      <c r="HF186" s="319" t="s">
        <v>190</v>
      </c>
      <c r="HG186" s="319" t="s">
        <v>190</v>
      </c>
      <c r="HH186" s="319" t="s">
        <v>190</v>
      </c>
      <c r="HI186" s="319" t="s">
        <v>190</v>
      </c>
      <c r="HJ186" s="319" t="s">
        <v>190</v>
      </c>
      <c r="HK186" s="319" t="s">
        <v>190</v>
      </c>
      <c r="HL186" s="319" t="s">
        <v>428</v>
      </c>
      <c r="HM186" s="319" t="s">
        <v>428</v>
      </c>
      <c r="HN186" s="319" t="s">
        <v>428</v>
      </c>
      <c r="HO186" s="319" t="s">
        <v>428</v>
      </c>
      <c r="HP186" s="319" t="s">
        <v>190</v>
      </c>
      <c r="HQ186" s="319" t="s">
        <v>190</v>
      </c>
      <c r="HR186" s="319" t="s">
        <v>190</v>
      </c>
      <c r="HS186" s="319" t="s">
        <v>190</v>
      </c>
      <c r="HT186" s="319" t="s">
        <v>190</v>
      </c>
      <c r="HU186" s="319" t="s">
        <v>190</v>
      </c>
      <c r="HV186" s="319" t="s">
        <v>190</v>
      </c>
      <c r="HW186" s="319" t="s">
        <v>190</v>
      </c>
      <c r="HX186" s="319" t="s">
        <v>190</v>
      </c>
      <c r="HY186" s="319" t="s">
        <v>190</v>
      </c>
      <c r="HZ186" s="319" t="s">
        <v>190</v>
      </c>
      <c r="IA186" s="319" t="s">
        <v>190</v>
      </c>
      <c r="IB186" s="319" t="s">
        <v>190</v>
      </c>
      <c r="IC186" s="319" t="s">
        <v>190</v>
      </c>
      <c r="ID186" s="319" t="s">
        <v>190</v>
      </c>
      <c r="IE186" s="319" t="s">
        <v>190</v>
      </c>
      <c r="IF186" s="319" t="s">
        <v>190</v>
      </c>
      <c r="IG186" s="319" t="s">
        <v>190</v>
      </c>
      <c r="IH186" s="319" t="s">
        <v>190</v>
      </c>
      <c r="II186" s="319" t="s">
        <v>190</v>
      </c>
      <c r="IJ186" s="319" t="s">
        <v>2968</v>
      </c>
      <c r="IK186" s="321">
        <v>41235</v>
      </c>
      <c r="IL186" s="321">
        <v>41236</v>
      </c>
      <c r="IM186" s="321">
        <v>41255</v>
      </c>
      <c r="IN186" s="319">
        <v>2</v>
      </c>
      <c r="IO186" s="319" t="s">
        <v>173</v>
      </c>
      <c r="IP186" s="319" t="s">
        <v>173</v>
      </c>
      <c r="IQ186" s="321" t="s">
        <v>173</v>
      </c>
      <c r="IR186" s="320" t="s">
        <v>173</v>
      </c>
      <c r="IS186" s="322" t="s">
        <v>173</v>
      </c>
      <c r="IT186" s="319" t="s">
        <v>173</v>
      </c>
    </row>
    <row r="187" spans="1:254" s="271" customFormat="1" x14ac:dyDescent="0.25">
      <c r="A187" s="318" t="str">
        <f>HYPERLINK("http://www.ofsted.gov.uk/inspection-reports/find-inspection-report/provider/ELS/117615 ","Ofsted School Webpage")</f>
        <v>Ofsted School Webpage</v>
      </c>
      <c r="B187" s="319">
        <v>117615</v>
      </c>
      <c r="C187" s="319">
        <v>9196034</v>
      </c>
      <c r="D187" s="319" t="s">
        <v>1477</v>
      </c>
      <c r="E187" s="319" t="s">
        <v>167</v>
      </c>
      <c r="F187" s="319" t="s">
        <v>81</v>
      </c>
      <c r="G187" s="319" t="s">
        <v>81</v>
      </c>
      <c r="H187" s="319" t="s">
        <v>81</v>
      </c>
      <c r="I187" s="319" t="s">
        <v>78</v>
      </c>
      <c r="J187" s="319" t="s">
        <v>424</v>
      </c>
      <c r="K187" s="319" t="s">
        <v>451</v>
      </c>
      <c r="L187" s="319" t="s">
        <v>451</v>
      </c>
      <c r="M187" s="319" t="s">
        <v>489</v>
      </c>
      <c r="N187" s="319" t="s">
        <v>2969</v>
      </c>
      <c r="O187" s="319" t="s">
        <v>1478</v>
      </c>
      <c r="P187" s="319">
        <v>431</v>
      </c>
      <c r="Q187" s="319" t="s">
        <v>2766</v>
      </c>
      <c r="R187" s="320">
        <v>10113574</v>
      </c>
      <c r="S187" s="321">
        <v>43781</v>
      </c>
      <c r="T187" s="321">
        <v>43783</v>
      </c>
      <c r="U187" s="321">
        <v>43807</v>
      </c>
      <c r="V187" s="319" t="s">
        <v>425</v>
      </c>
      <c r="W187" s="319" t="s">
        <v>2767</v>
      </c>
      <c r="X187" s="319">
        <v>2</v>
      </c>
      <c r="Y187" s="319">
        <v>2</v>
      </c>
      <c r="Z187" s="319">
        <v>1</v>
      </c>
      <c r="AA187" s="319">
        <v>1</v>
      </c>
      <c r="AB187" s="319">
        <v>2</v>
      </c>
      <c r="AC187" s="319" t="s">
        <v>169</v>
      </c>
      <c r="AD187" s="319">
        <v>1</v>
      </c>
      <c r="AE187" s="319" t="s">
        <v>173</v>
      </c>
      <c r="AF187" s="319" t="s">
        <v>427</v>
      </c>
      <c r="AG187" s="319" t="s">
        <v>171</v>
      </c>
      <c r="AH187" s="319" t="s">
        <v>190</v>
      </c>
      <c r="AI187" s="319" t="s">
        <v>190</v>
      </c>
      <c r="AJ187" s="319" t="s">
        <v>190</v>
      </c>
      <c r="AK187" s="319" t="s">
        <v>190</v>
      </c>
      <c r="AL187" s="319" t="s">
        <v>190</v>
      </c>
      <c r="AM187" s="319" t="s">
        <v>190</v>
      </c>
      <c r="AN187" s="319" t="s">
        <v>190</v>
      </c>
      <c r="AO187" s="319" t="s">
        <v>190</v>
      </c>
      <c r="AP187" s="319" t="s">
        <v>190</v>
      </c>
      <c r="AQ187" s="319" t="s">
        <v>190</v>
      </c>
      <c r="AR187" s="319" t="s">
        <v>190</v>
      </c>
      <c r="AS187" s="319" t="s">
        <v>190</v>
      </c>
      <c r="AT187" s="319" t="s">
        <v>190</v>
      </c>
      <c r="AU187" s="319" t="s">
        <v>190</v>
      </c>
      <c r="AV187" s="319" t="s">
        <v>190</v>
      </c>
      <c r="AW187" s="319" t="s">
        <v>190</v>
      </c>
      <c r="AX187" s="319" t="s">
        <v>428</v>
      </c>
      <c r="AY187" s="319" t="s">
        <v>190</v>
      </c>
      <c r="AZ187" s="319" t="s">
        <v>190</v>
      </c>
      <c r="BA187" s="319" t="s">
        <v>190</v>
      </c>
      <c r="BB187" s="319" t="s">
        <v>428</v>
      </c>
      <c r="BC187" s="319" t="s">
        <v>428</v>
      </c>
      <c r="BD187" s="319" t="s">
        <v>428</v>
      </c>
      <c r="BE187" s="319" t="s">
        <v>428</v>
      </c>
      <c r="BF187" s="319" t="s">
        <v>190</v>
      </c>
      <c r="BG187" s="319" t="s">
        <v>428</v>
      </c>
      <c r="BH187" s="319" t="s">
        <v>190</v>
      </c>
      <c r="BI187" s="319" t="s">
        <v>190</v>
      </c>
      <c r="BJ187" s="319" t="s">
        <v>190</v>
      </c>
      <c r="BK187" s="319" t="s">
        <v>190</v>
      </c>
      <c r="BL187" s="319" t="s">
        <v>190</v>
      </c>
      <c r="BM187" s="319" t="s">
        <v>190</v>
      </c>
      <c r="BN187" s="319" t="s">
        <v>190</v>
      </c>
      <c r="BO187" s="319" t="s">
        <v>190</v>
      </c>
      <c r="BP187" s="319" t="s">
        <v>190</v>
      </c>
      <c r="BQ187" s="319" t="s">
        <v>190</v>
      </c>
      <c r="BR187" s="319" t="s">
        <v>190</v>
      </c>
      <c r="BS187" s="319" t="s">
        <v>190</v>
      </c>
      <c r="BT187" s="319" t="s">
        <v>190</v>
      </c>
      <c r="BU187" s="319" t="s">
        <v>190</v>
      </c>
      <c r="BV187" s="319" t="s">
        <v>190</v>
      </c>
      <c r="BW187" s="319" t="s">
        <v>190</v>
      </c>
      <c r="BX187" s="319" t="s">
        <v>190</v>
      </c>
      <c r="BY187" s="319" t="s">
        <v>190</v>
      </c>
      <c r="BZ187" s="319" t="s">
        <v>190</v>
      </c>
      <c r="CA187" s="319" t="s">
        <v>190</v>
      </c>
      <c r="CB187" s="319" t="s">
        <v>190</v>
      </c>
      <c r="CC187" s="319" t="s">
        <v>190</v>
      </c>
      <c r="CD187" s="319" t="s">
        <v>190</v>
      </c>
      <c r="CE187" s="319" t="s">
        <v>190</v>
      </c>
      <c r="CF187" s="319" t="s">
        <v>190</v>
      </c>
      <c r="CG187" s="319" t="s">
        <v>190</v>
      </c>
      <c r="CH187" s="319" t="s">
        <v>190</v>
      </c>
      <c r="CI187" s="319" t="s">
        <v>190</v>
      </c>
      <c r="CJ187" s="319" t="s">
        <v>190</v>
      </c>
      <c r="CK187" s="319" t="s">
        <v>190</v>
      </c>
      <c r="CL187" s="319" t="s">
        <v>190</v>
      </c>
      <c r="CM187" s="319" t="s">
        <v>190</v>
      </c>
      <c r="CN187" s="319" t="s">
        <v>428</v>
      </c>
      <c r="CO187" s="319" t="s">
        <v>428</v>
      </c>
      <c r="CP187" s="319" t="s">
        <v>428</v>
      </c>
      <c r="CQ187" s="319" t="s">
        <v>190</v>
      </c>
      <c r="CR187" s="319" t="s">
        <v>190</v>
      </c>
      <c r="CS187" s="319" t="s">
        <v>190</v>
      </c>
      <c r="CT187" s="319" t="s">
        <v>190</v>
      </c>
      <c r="CU187" s="319" t="s">
        <v>190</v>
      </c>
      <c r="CV187" s="319" t="s">
        <v>190</v>
      </c>
      <c r="CW187" s="319" t="s">
        <v>190</v>
      </c>
      <c r="CX187" s="319" t="s">
        <v>190</v>
      </c>
      <c r="CY187" s="319" t="s">
        <v>190</v>
      </c>
      <c r="CZ187" s="319" t="s">
        <v>190</v>
      </c>
      <c r="DA187" s="319" t="s">
        <v>190</v>
      </c>
      <c r="DB187" s="319" t="s">
        <v>190</v>
      </c>
      <c r="DC187" s="319" t="s">
        <v>190</v>
      </c>
      <c r="DD187" s="319" t="s">
        <v>190</v>
      </c>
      <c r="DE187" s="319" t="s">
        <v>190</v>
      </c>
      <c r="DF187" s="319" t="s">
        <v>190</v>
      </c>
      <c r="DG187" s="319" t="s">
        <v>190</v>
      </c>
      <c r="DH187" s="319" t="s">
        <v>190</v>
      </c>
      <c r="DI187" s="319" t="s">
        <v>190</v>
      </c>
      <c r="DJ187" s="319" t="s">
        <v>190</v>
      </c>
      <c r="DK187" s="319" t="s">
        <v>190</v>
      </c>
      <c r="DL187" s="319" t="s">
        <v>190</v>
      </c>
      <c r="DM187" s="319" t="s">
        <v>190</v>
      </c>
      <c r="DN187" s="319" t="s">
        <v>190</v>
      </c>
      <c r="DO187" s="319" t="s">
        <v>190</v>
      </c>
      <c r="DP187" s="319" t="s">
        <v>190</v>
      </c>
      <c r="DQ187" s="319" t="s">
        <v>190</v>
      </c>
      <c r="DR187" s="319" t="s">
        <v>190</v>
      </c>
      <c r="DS187" s="319" t="s">
        <v>190</v>
      </c>
      <c r="DT187" s="319" t="s">
        <v>190</v>
      </c>
      <c r="DU187" s="319" t="s">
        <v>190</v>
      </c>
      <c r="DV187" s="319" t="s">
        <v>190</v>
      </c>
      <c r="DW187" s="319" t="s">
        <v>190</v>
      </c>
      <c r="DX187" s="319" t="s">
        <v>190</v>
      </c>
      <c r="DY187" s="319" t="s">
        <v>190</v>
      </c>
      <c r="DZ187" s="319" t="s">
        <v>190</v>
      </c>
      <c r="EA187" s="319" t="s">
        <v>190</v>
      </c>
      <c r="EB187" s="319" t="s">
        <v>190</v>
      </c>
      <c r="EC187" s="319" t="s">
        <v>428</v>
      </c>
      <c r="ED187" s="319" t="s">
        <v>190</v>
      </c>
      <c r="EE187" s="319" t="s">
        <v>190</v>
      </c>
      <c r="EF187" s="319" t="s">
        <v>190</v>
      </c>
      <c r="EG187" s="319" t="s">
        <v>190</v>
      </c>
      <c r="EH187" s="319" t="s">
        <v>190</v>
      </c>
      <c r="EI187" s="319" t="s">
        <v>190</v>
      </c>
      <c r="EJ187" s="319" t="s">
        <v>190</v>
      </c>
      <c r="EK187" s="319" t="s">
        <v>190</v>
      </c>
      <c r="EL187" s="319" t="s">
        <v>190</v>
      </c>
      <c r="EM187" s="319" t="s">
        <v>190</v>
      </c>
      <c r="EN187" s="319" t="s">
        <v>190</v>
      </c>
      <c r="EO187" s="319" t="s">
        <v>190</v>
      </c>
      <c r="EP187" s="319" t="s">
        <v>190</v>
      </c>
      <c r="EQ187" s="319" t="s">
        <v>190</v>
      </c>
      <c r="ER187" s="319" t="s">
        <v>190</v>
      </c>
      <c r="ES187" s="319" t="s">
        <v>190</v>
      </c>
      <c r="ET187" s="319" t="s">
        <v>190</v>
      </c>
      <c r="EU187" s="319" t="s">
        <v>190</v>
      </c>
      <c r="EV187" s="319" t="s">
        <v>190</v>
      </c>
      <c r="EW187" s="319" t="s">
        <v>190</v>
      </c>
      <c r="EX187" s="319" t="s">
        <v>190</v>
      </c>
      <c r="EY187" s="319" t="s">
        <v>190</v>
      </c>
      <c r="EZ187" s="319" t="s">
        <v>190</v>
      </c>
      <c r="FA187" s="319" t="s">
        <v>190</v>
      </c>
      <c r="FB187" s="319" t="s">
        <v>190</v>
      </c>
      <c r="FC187" s="319" t="s">
        <v>190</v>
      </c>
      <c r="FD187" s="319" t="s">
        <v>190</v>
      </c>
      <c r="FE187" s="319" t="s">
        <v>190</v>
      </c>
      <c r="FF187" s="319" t="s">
        <v>190</v>
      </c>
      <c r="FG187" s="319" t="s">
        <v>190</v>
      </c>
      <c r="FH187" s="319" t="s">
        <v>190</v>
      </c>
      <c r="FI187" s="319" t="s">
        <v>190</v>
      </c>
      <c r="FJ187" s="319" t="s">
        <v>190</v>
      </c>
      <c r="FK187" s="319" t="s">
        <v>190</v>
      </c>
      <c r="FL187" s="319" t="s">
        <v>190</v>
      </c>
      <c r="FM187" s="319" t="s">
        <v>190</v>
      </c>
      <c r="FN187" s="319" t="s">
        <v>190</v>
      </c>
      <c r="FO187" s="319" t="s">
        <v>428</v>
      </c>
      <c r="FP187" s="319" t="s">
        <v>190</v>
      </c>
      <c r="FQ187" s="319" t="s">
        <v>190</v>
      </c>
      <c r="FR187" s="319" t="s">
        <v>190</v>
      </c>
      <c r="FS187" s="319" t="s">
        <v>428</v>
      </c>
      <c r="FT187" s="319" t="s">
        <v>190</v>
      </c>
      <c r="FU187" s="319" t="s">
        <v>190</v>
      </c>
      <c r="FV187" s="319" t="s">
        <v>190</v>
      </c>
      <c r="FW187" s="319" t="s">
        <v>190</v>
      </c>
      <c r="FX187" s="319" t="s">
        <v>190</v>
      </c>
      <c r="FY187" s="319" t="s">
        <v>190</v>
      </c>
      <c r="FZ187" s="319" t="s">
        <v>190</v>
      </c>
      <c r="GA187" s="319" t="s">
        <v>190</v>
      </c>
      <c r="GB187" s="319" t="s">
        <v>190</v>
      </c>
      <c r="GC187" s="319" t="s">
        <v>190</v>
      </c>
      <c r="GD187" s="319" t="s">
        <v>190</v>
      </c>
      <c r="GE187" s="319" t="s">
        <v>190</v>
      </c>
      <c r="GF187" s="319" t="s">
        <v>190</v>
      </c>
      <c r="GG187" s="319" t="s">
        <v>190</v>
      </c>
      <c r="GH187" s="319" t="s">
        <v>190</v>
      </c>
      <c r="GI187" s="319" t="s">
        <v>190</v>
      </c>
      <c r="GJ187" s="319" t="s">
        <v>190</v>
      </c>
      <c r="GK187" s="319" t="s">
        <v>428</v>
      </c>
      <c r="GL187" s="319" t="s">
        <v>190</v>
      </c>
      <c r="GM187" s="319" t="s">
        <v>190</v>
      </c>
      <c r="GN187" s="319" t="s">
        <v>190</v>
      </c>
      <c r="GO187" s="319" t="s">
        <v>190</v>
      </c>
      <c r="GP187" s="319" t="s">
        <v>190</v>
      </c>
      <c r="GQ187" s="319" t="s">
        <v>190</v>
      </c>
      <c r="GR187" s="319" t="s">
        <v>190</v>
      </c>
      <c r="GS187" s="319" t="s">
        <v>190</v>
      </c>
      <c r="GT187" s="319" t="s">
        <v>428</v>
      </c>
      <c r="GU187" s="319" t="s">
        <v>428</v>
      </c>
      <c r="GV187" s="319" t="s">
        <v>190</v>
      </c>
      <c r="GW187" s="319" t="s">
        <v>190</v>
      </c>
      <c r="GX187" s="319" t="s">
        <v>190</v>
      </c>
      <c r="GY187" s="319" t="s">
        <v>190</v>
      </c>
      <c r="GZ187" s="319" t="s">
        <v>428</v>
      </c>
      <c r="HA187" s="319" t="s">
        <v>190</v>
      </c>
      <c r="HB187" s="319" t="s">
        <v>190</v>
      </c>
      <c r="HC187" s="319" t="s">
        <v>190</v>
      </c>
      <c r="HD187" s="319" t="s">
        <v>190</v>
      </c>
      <c r="HE187" s="319" t="s">
        <v>190</v>
      </c>
      <c r="HF187" s="319" t="s">
        <v>190</v>
      </c>
      <c r="HG187" s="319" t="s">
        <v>190</v>
      </c>
      <c r="HH187" s="319" t="s">
        <v>190</v>
      </c>
      <c r="HI187" s="319" t="s">
        <v>190</v>
      </c>
      <c r="HJ187" s="319" t="s">
        <v>190</v>
      </c>
      <c r="HK187" s="319" t="s">
        <v>190</v>
      </c>
      <c r="HL187" s="319" t="s">
        <v>190</v>
      </c>
      <c r="HM187" s="319" t="s">
        <v>190</v>
      </c>
      <c r="HN187" s="319" t="s">
        <v>190</v>
      </c>
      <c r="HO187" s="319" t="s">
        <v>190</v>
      </c>
      <c r="HP187" s="319" t="s">
        <v>190</v>
      </c>
      <c r="HQ187" s="319" t="s">
        <v>190</v>
      </c>
      <c r="HR187" s="319" t="s">
        <v>190</v>
      </c>
      <c r="HS187" s="319" t="s">
        <v>190</v>
      </c>
      <c r="HT187" s="319" t="s">
        <v>190</v>
      </c>
      <c r="HU187" s="319" t="s">
        <v>190</v>
      </c>
      <c r="HV187" s="319" t="s">
        <v>190</v>
      </c>
      <c r="HW187" s="319" t="s">
        <v>190</v>
      </c>
      <c r="HX187" s="319" t="s">
        <v>190</v>
      </c>
      <c r="HY187" s="319" t="s">
        <v>190</v>
      </c>
      <c r="HZ187" s="319" t="s">
        <v>190</v>
      </c>
      <c r="IA187" s="319" t="s">
        <v>190</v>
      </c>
      <c r="IB187" s="319" t="s">
        <v>190</v>
      </c>
      <c r="IC187" s="319" t="s">
        <v>190</v>
      </c>
      <c r="ID187" s="319" t="s">
        <v>190</v>
      </c>
      <c r="IE187" s="319" t="s">
        <v>190</v>
      </c>
      <c r="IF187" s="319" t="s">
        <v>190</v>
      </c>
      <c r="IG187" s="319" t="s">
        <v>190</v>
      </c>
      <c r="IH187" s="319" t="s">
        <v>190</v>
      </c>
      <c r="II187" s="319" t="s">
        <v>190</v>
      </c>
      <c r="IJ187" s="319">
        <v>10012935</v>
      </c>
      <c r="IK187" s="321">
        <v>42640</v>
      </c>
      <c r="IL187" s="321">
        <v>42642</v>
      </c>
      <c r="IM187" s="321">
        <v>42681</v>
      </c>
      <c r="IN187" s="319">
        <v>2</v>
      </c>
      <c r="IO187" s="319" t="s">
        <v>173</v>
      </c>
      <c r="IP187" s="319" t="s">
        <v>173</v>
      </c>
      <c r="IQ187" s="321" t="s">
        <v>173</v>
      </c>
      <c r="IR187" s="320" t="s">
        <v>173</v>
      </c>
      <c r="IS187" s="322" t="s">
        <v>173</v>
      </c>
      <c r="IT187" s="319" t="s">
        <v>173</v>
      </c>
    </row>
    <row r="188" spans="1:254" s="271" customFormat="1" x14ac:dyDescent="0.25">
      <c r="A188" s="318" t="str">
        <f>HYPERLINK("http://www.ofsted.gov.uk/inspection-reports/find-inspection-report/provider/ELS/117646 ","Ofsted School Webpage")</f>
        <v>Ofsted School Webpage</v>
      </c>
      <c r="B188" s="319">
        <v>117646</v>
      </c>
      <c r="C188" s="319">
        <v>9196215</v>
      </c>
      <c r="D188" s="319" t="s">
        <v>1479</v>
      </c>
      <c r="E188" s="319" t="s">
        <v>168</v>
      </c>
      <c r="F188" s="319" t="s">
        <v>81</v>
      </c>
      <c r="G188" s="319" t="s">
        <v>81</v>
      </c>
      <c r="H188" s="319" t="s">
        <v>81</v>
      </c>
      <c r="I188" s="319" t="s">
        <v>78</v>
      </c>
      <c r="J188" s="319" t="s">
        <v>424</v>
      </c>
      <c r="K188" s="319" t="s">
        <v>451</v>
      </c>
      <c r="L188" s="319" t="s">
        <v>451</v>
      </c>
      <c r="M188" s="319" t="s">
        <v>489</v>
      </c>
      <c r="N188" s="319" t="s">
        <v>2970</v>
      </c>
      <c r="O188" s="319" t="s">
        <v>1480</v>
      </c>
      <c r="P188" s="319">
        <v>52</v>
      </c>
      <c r="Q188" s="319" t="s">
        <v>429</v>
      </c>
      <c r="R188" s="320">
        <v>10008866</v>
      </c>
      <c r="S188" s="321">
        <v>42759</v>
      </c>
      <c r="T188" s="321">
        <v>42761</v>
      </c>
      <c r="U188" s="321">
        <v>42814</v>
      </c>
      <c r="V188" s="319" t="s">
        <v>425</v>
      </c>
      <c r="W188" s="319" t="s">
        <v>2767</v>
      </c>
      <c r="X188" s="319">
        <v>1</v>
      </c>
      <c r="Y188" s="319" t="s">
        <v>173</v>
      </c>
      <c r="Z188" s="319" t="s">
        <v>173</v>
      </c>
      <c r="AA188" s="319" t="s">
        <v>173</v>
      </c>
      <c r="AB188" s="319">
        <v>1</v>
      </c>
      <c r="AC188" s="319" t="s">
        <v>169</v>
      </c>
      <c r="AD188" s="319" t="s">
        <v>173</v>
      </c>
      <c r="AE188" s="319">
        <v>1</v>
      </c>
      <c r="AF188" s="319" t="s">
        <v>173</v>
      </c>
      <c r="AG188" s="319" t="s">
        <v>171</v>
      </c>
      <c r="AH188" s="319" t="s">
        <v>190</v>
      </c>
      <c r="AI188" s="319" t="s">
        <v>190</v>
      </c>
      <c r="AJ188" s="319" t="s">
        <v>190</v>
      </c>
      <c r="AK188" s="319" t="s">
        <v>190</v>
      </c>
      <c r="AL188" s="319" t="s">
        <v>190</v>
      </c>
      <c r="AM188" s="319" t="s">
        <v>190</v>
      </c>
      <c r="AN188" s="319" t="s">
        <v>190</v>
      </c>
      <c r="AO188" s="319" t="s">
        <v>190</v>
      </c>
      <c r="AP188" s="319" t="s">
        <v>190</v>
      </c>
      <c r="AQ188" s="319" t="s">
        <v>190</v>
      </c>
      <c r="AR188" s="319" t="s">
        <v>190</v>
      </c>
      <c r="AS188" s="319" t="s">
        <v>190</v>
      </c>
      <c r="AT188" s="319" t="s">
        <v>190</v>
      </c>
      <c r="AU188" s="319" t="s">
        <v>190</v>
      </c>
      <c r="AV188" s="319" t="s">
        <v>190</v>
      </c>
      <c r="AW188" s="319" t="s">
        <v>190</v>
      </c>
      <c r="AX188" s="319" t="s">
        <v>429</v>
      </c>
      <c r="AY188" s="319" t="s">
        <v>190</v>
      </c>
      <c r="AZ188" s="319" t="s">
        <v>190</v>
      </c>
      <c r="BA188" s="319" t="s">
        <v>190</v>
      </c>
      <c r="BB188" s="319" t="s">
        <v>190</v>
      </c>
      <c r="BC188" s="319" t="s">
        <v>190</v>
      </c>
      <c r="BD188" s="319" t="s">
        <v>190</v>
      </c>
      <c r="BE188" s="319" t="s">
        <v>190</v>
      </c>
      <c r="BF188" s="319" t="s">
        <v>429</v>
      </c>
      <c r="BG188" s="319" t="s">
        <v>190</v>
      </c>
      <c r="BH188" s="319" t="s">
        <v>190</v>
      </c>
      <c r="BI188" s="319" t="s">
        <v>190</v>
      </c>
      <c r="BJ188" s="319" t="s">
        <v>190</v>
      </c>
      <c r="BK188" s="319" t="s">
        <v>190</v>
      </c>
      <c r="BL188" s="319" t="s">
        <v>190</v>
      </c>
      <c r="BM188" s="319" t="s">
        <v>190</v>
      </c>
      <c r="BN188" s="319" t="s">
        <v>190</v>
      </c>
      <c r="BO188" s="319" t="s">
        <v>190</v>
      </c>
      <c r="BP188" s="319" t="s">
        <v>190</v>
      </c>
      <c r="BQ188" s="319" t="s">
        <v>190</v>
      </c>
      <c r="BR188" s="319" t="s">
        <v>190</v>
      </c>
      <c r="BS188" s="319" t="s">
        <v>190</v>
      </c>
      <c r="BT188" s="319" t="s">
        <v>190</v>
      </c>
      <c r="BU188" s="319" t="s">
        <v>190</v>
      </c>
      <c r="BV188" s="319" t="s">
        <v>190</v>
      </c>
      <c r="BW188" s="319" t="s">
        <v>190</v>
      </c>
      <c r="BX188" s="319" t="s">
        <v>190</v>
      </c>
      <c r="BY188" s="319" t="s">
        <v>190</v>
      </c>
      <c r="BZ188" s="319" t="s">
        <v>190</v>
      </c>
      <c r="CA188" s="319" t="s">
        <v>190</v>
      </c>
      <c r="CB188" s="319" t="s">
        <v>190</v>
      </c>
      <c r="CC188" s="319" t="s">
        <v>190</v>
      </c>
      <c r="CD188" s="319" t="s">
        <v>190</v>
      </c>
      <c r="CE188" s="319" t="s">
        <v>190</v>
      </c>
      <c r="CF188" s="319" t="s">
        <v>190</v>
      </c>
      <c r="CG188" s="319" t="s">
        <v>190</v>
      </c>
      <c r="CH188" s="319" t="s">
        <v>190</v>
      </c>
      <c r="CI188" s="319" t="s">
        <v>190</v>
      </c>
      <c r="CJ188" s="319" t="s">
        <v>190</v>
      </c>
      <c r="CK188" s="319" t="s">
        <v>190</v>
      </c>
      <c r="CL188" s="319" t="s">
        <v>190</v>
      </c>
      <c r="CM188" s="319" t="s">
        <v>190</v>
      </c>
      <c r="CN188" s="319" t="s">
        <v>429</v>
      </c>
      <c r="CO188" s="319" t="s">
        <v>429</v>
      </c>
      <c r="CP188" s="319" t="s">
        <v>429</v>
      </c>
      <c r="CQ188" s="319" t="s">
        <v>190</v>
      </c>
      <c r="CR188" s="319" t="s">
        <v>190</v>
      </c>
      <c r="CS188" s="319" t="s">
        <v>190</v>
      </c>
      <c r="CT188" s="319" t="s">
        <v>190</v>
      </c>
      <c r="CU188" s="319" t="s">
        <v>190</v>
      </c>
      <c r="CV188" s="319" t="s">
        <v>190</v>
      </c>
      <c r="CW188" s="319" t="s">
        <v>190</v>
      </c>
      <c r="CX188" s="319" t="s">
        <v>190</v>
      </c>
      <c r="CY188" s="319" t="s">
        <v>190</v>
      </c>
      <c r="CZ188" s="319" t="s">
        <v>190</v>
      </c>
      <c r="DA188" s="319" t="s">
        <v>190</v>
      </c>
      <c r="DB188" s="319" t="s">
        <v>190</v>
      </c>
      <c r="DC188" s="319" t="s">
        <v>190</v>
      </c>
      <c r="DD188" s="319" t="s">
        <v>190</v>
      </c>
      <c r="DE188" s="319" t="s">
        <v>190</v>
      </c>
      <c r="DF188" s="319" t="s">
        <v>190</v>
      </c>
      <c r="DG188" s="319" t="s">
        <v>190</v>
      </c>
      <c r="DH188" s="319" t="s">
        <v>190</v>
      </c>
      <c r="DI188" s="319" t="s">
        <v>190</v>
      </c>
      <c r="DJ188" s="319" t="s">
        <v>190</v>
      </c>
      <c r="DK188" s="319" t="s">
        <v>190</v>
      </c>
      <c r="DL188" s="319" t="s">
        <v>190</v>
      </c>
      <c r="DM188" s="319" t="s">
        <v>190</v>
      </c>
      <c r="DN188" s="319" t="s">
        <v>190</v>
      </c>
      <c r="DO188" s="319" t="s">
        <v>190</v>
      </c>
      <c r="DP188" s="319" t="s">
        <v>190</v>
      </c>
      <c r="DQ188" s="319" t="s">
        <v>190</v>
      </c>
      <c r="DR188" s="319" t="s">
        <v>190</v>
      </c>
      <c r="DS188" s="319" t="s">
        <v>190</v>
      </c>
      <c r="DT188" s="319" t="s">
        <v>190</v>
      </c>
      <c r="DU188" s="319" t="s">
        <v>190</v>
      </c>
      <c r="DV188" s="319" t="s">
        <v>173</v>
      </c>
      <c r="DW188" s="319" t="s">
        <v>190</v>
      </c>
      <c r="DX188" s="319" t="s">
        <v>190</v>
      </c>
      <c r="DY188" s="319" t="s">
        <v>190</v>
      </c>
      <c r="DZ188" s="319" t="s">
        <v>190</v>
      </c>
      <c r="EA188" s="319" t="s">
        <v>190</v>
      </c>
      <c r="EB188" s="319" t="s">
        <v>190</v>
      </c>
      <c r="EC188" s="319" t="s">
        <v>190</v>
      </c>
      <c r="ED188" s="319" t="s">
        <v>190</v>
      </c>
      <c r="EE188" s="319" t="s">
        <v>190</v>
      </c>
      <c r="EF188" s="319" t="s">
        <v>190</v>
      </c>
      <c r="EG188" s="319" t="s">
        <v>190</v>
      </c>
      <c r="EH188" s="319" t="s">
        <v>190</v>
      </c>
      <c r="EI188" s="319" t="s">
        <v>190</v>
      </c>
      <c r="EJ188" s="319" t="s">
        <v>190</v>
      </c>
      <c r="EK188" s="319" t="s">
        <v>190</v>
      </c>
      <c r="EL188" s="319" t="s">
        <v>190</v>
      </c>
      <c r="EM188" s="319" t="s">
        <v>190</v>
      </c>
      <c r="EN188" s="319" t="s">
        <v>190</v>
      </c>
      <c r="EO188" s="319" t="s">
        <v>190</v>
      </c>
      <c r="EP188" s="319" t="s">
        <v>190</v>
      </c>
      <c r="EQ188" s="319" t="s">
        <v>190</v>
      </c>
      <c r="ER188" s="319" t="s">
        <v>190</v>
      </c>
      <c r="ES188" s="319" t="s">
        <v>190</v>
      </c>
      <c r="ET188" s="319" t="s">
        <v>190</v>
      </c>
      <c r="EU188" s="319" t="s">
        <v>190</v>
      </c>
      <c r="EV188" s="319" t="s">
        <v>190</v>
      </c>
      <c r="EW188" s="319" t="s">
        <v>190</v>
      </c>
      <c r="EX188" s="319" t="s">
        <v>190</v>
      </c>
      <c r="EY188" s="319" t="s">
        <v>190</v>
      </c>
      <c r="EZ188" s="319" t="s">
        <v>190</v>
      </c>
      <c r="FA188" s="319" t="s">
        <v>190</v>
      </c>
      <c r="FB188" s="319" t="s">
        <v>190</v>
      </c>
      <c r="FC188" s="319" t="s">
        <v>190</v>
      </c>
      <c r="FD188" s="319" t="s">
        <v>190</v>
      </c>
      <c r="FE188" s="319" t="s">
        <v>190</v>
      </c>
      <c r="FF188" s="319" t="s">
        <v>190</v>
      </c>
      <c r="FG188" s="319" t="s">
        <v>190</v>
      </c>
      <c r="FH188" s="319" t="s">
        <v>190</v>
      </c>
      <c r="FI188" s="319" t="s">
        <v>190</v>
      </c>
      <c r="FJ188" s="319" t="s">
        <v>190</v>
      </c>
      <c r="FK188" s="319" t="s">
        <v>190</v>
      </c>
      <c r="FL188" s="319" t="s">
        <v>190</v>
      </c>
      <c r="FM188" s="319" t="s">
        <v>190</v>
      </c>
      <c r="FN188" s="319" t="s">
        <v>190</v>
      </c>
      <c r="FO188" s="319" t="s">
        <v>190</v>
      </c>
      <c r="FP188" s="319" t="s">
        <v>190</v>
      </c>
      <c r="FQ188" s="319" t="s">
        <v>190</v>
      </c>
      <c r="FR188" s="319" t="s">
        <v>190</v>
      </c>
      <c r="FS188" s="319" t="s">
        <v>429</v>
      </c>
      <c r="FT188" s="319" t="s">
        <v>190</v>
      </c>
      <c r="FU188" s="319" t="s">
        <v>190</v>
      </c>
      <c r="FV188" s="319" t="s">
        <v>190</v>
      </c>
      <c r="FW188" s="319" t="s">
        <v>190</v>
      </c>
      <c r="FX188" s="319" t="s">
        <v>190</v>
      </c>
      <c r="FY188" s="319" t="s">
        <v>190</v>
      </c>
      <c r="FZ188" s="319" t="s">
        <v>190</v>
      </c>
      <c r="GA188" s="319" t="s">
        <v>190</v>
      </c>
      <c r="GB188" s="319" t="s">
        <v>190</v>
      </c>
      <c r="GC188" s="319" t="s">
        <v>190</v>
      </c>
      <c r="GD188" s="319" t="s">
        <v>190</v>
      </c>
      <c r="GE188" s="319" t="s">
        <v>190</v>
      </c>
      <c r="GF188" s="319" t="s">
        <v>190</v>
      </c>
      <c r="GG188" s="319" t="s">
        <v>190</v>
      </c>
      <c r="GH188" s="319" t="s">
        <v>190</v>
      </c>
      <c r="GI188" s="319" t="s">
        <v>190</v>
      </c>
      <c r="GJ188" s="319" t="s">
        <v>190</v>
      </c>
      <c r="GK188" s="319" t="s">
        <v>429</v>
      </c>
      <c r="GL188" s="319" t="s">
        <v>190</v>
      </c>
      <c r="GM188" s="319" t="s">
        <v>190</v>
      </c>
      <c r="GN188" s="319" t="s">
        <v>190</v>
      </c>
      <c r="GO188" s="319" t="s">
        <v>190</v>
      </c>
      <c r="GP188" s="319" t="s">
        <v>190</v>
      </c>
      <c r="GQ188" s="319" t="s">
        <v>190</v>
      </c>
      <c r="GR188" s="319" t="s">
        <v>190</v>
      </c>
      <c r="GS188" s="319" t="s">
        <v>190</v>
      </c>
      <c r="GT188" s="319" t="s">
        <v>190</v>
      </c>
      <c r="GU188" s="319" t="s">
        <v>190</v>
      </c>
      <c r="GV188" s="319" t="s">
        <v>429</v>
      </c>
      <c r="GW188" s="319" t="s">
        <v>190</v>
      </c>
      <c r="GX188" s="319" t="s">
        <v>190</v>
      </c>
      <c r="GY188" s="319" t="s">
        <v>190</v>
      </c>
      <c r="GZ188" s="319" t="s">
        <v>429</v>
      </c>
      <c r="HA188" s="319" t="s">
        <v>190</v>
      </c>
      <c r="HB188" s="319" t="s">
        <v>190</v>
      </c>
      <c r="HC188" s="319" t="s">
        <v>190</v>
      </c>
      <c r="HD188" s="319" t="s">
        <v>190</v>
      </c>
      <c r="HE188" s="319" t="s">
        <v>190</v>
      </c>
      <c r="HF188" s="319" t="s">
        <v>190</v>
      </c>
      <c r="HG188" s="319" t="s">
        <v>190</v>
      </c>
      <c r="HH188" s="319" t="s">
        <v>190</v>
      </c>
      <c r="HI188" s="319" t="s">
        <v>190</v>
      </c>
      <c r="HJ188" s="319" t="s">
        <v>190</v>
      </c>
      <c r="HK188" s="319" t="s">
        <v>190</v>
      </c>
      <c r="HL188" s="319" t="s">
        <v>429</v>
      </c>
      <c r="HM188" s="319" t="s">
        <v>429</v>
      </c>
      <c r="HN188" s="319" t="s">
        <v>429</v>
      </c>
      <c r="HO188" s="319" t="s">
        <v>429</v>
      </c>
      <c r="HP188" s="319" t="s">
        <v>190</v>
      </c>
      <c r="HQ188" s="319" t="s">
        <v>190</v>
      </c>
      <c r="HR188" s="319" t="s">
        <v>190</v>
      </c>
      <c r="HS188" s="319" t="s">
        <v>190</v>
      </c>
      <c r="HT188" s="319" t="s">
        <v>190</v>
      </c>
      <c r="HU188" s="319" t="s">
        <v>190</v>
      </c>
      <c r="HV188" s="319" t="s">
        <v>190</v>
      </c>
      <c r="HW188" s="319" t="s">
        <v>190</v>
      </c>
      <c r="HX188" s="319" t="s">
        <v>190</v>
      </c>
      <c r="HY188" s="319" t="s">
        <v>190</v>
      </c>
      <c r="HZ188" s="319" t="s">
        <v>190</v>
      </c>
      <c r="IA188" s="319" t="s">
        <v>190</v>
      </c>
      <c r="IB188" s="319" t="s">
        <v>190</v>
      </c>
      <c r="IC188" s="319" t="s">
        <v>190</v>
      </c>
      <c r="ID188" s="319" t="s">
        <v>190</v>
      </c>
      <c r="IE188" s="319" t="s">
        <v>190</v>
      </c>
      <c r="IF188" s="319" t="s">
        <v>190</v>
      </c>
      <c r="IG188" s="319" t="s">
        <v>190</v>
      </c>
      <c r="IH188" s="319" t="s">
        <v>190</v>
      </c>
      <c r="II188" s="319" t="s">
        <v>190</v>
      </c>
      <c r="IJ188" s="319" t="s">
        <v>2971</v>
      </c>
      <c r="IK188" s="321">
        <v>41339</v>
      </c>
      <c r="IL188" s="321">
        <v>41341</v>
      </c>
      <c r="IM188" s="321">
        <v>41376</v>
      </c>
      <c r="IN188" s="319">
        <v>1</v>
      </c>
      <c r="IO188" s="319" t="s">
        <v>173</v>
      </c>
      <c r="IP188" s="319" t="s">
        <v>173</v>
      </c>
      <c r="IQ188" s="321" t="s">
        <v>173</v>
      </c>
      <c r="IR188" s="320" t="s">
        <v>173</v>
      </c>
      <c r="IS188" s="322" t="s">
        <v>173</v>
      </c>
      <c r="IT188" s="319" t="s">
        <v>173</v>
      </c>
    </row>
    <row r="189" spans="1:254" s="271" customFormat="1" x14ac:dyDescent="0.25">
      <c r="A189" s="318" t="str">
        <f>HYPERLINK("http://www.ofsted.gov.uk/inspection-reports/find-inspection-report/provider/ELS/117654 ","Ofsted School Webpage")</f>
        <v>Ofsted School Webpage</v>
      </c>
      <c r="B189" s="319">
        <v>117654</v>
      </c>
      <c r="C189" s="319">
        <v>9196228</v>
      </c>
      <c r="D189" s="319" t="s">
        <v>488</v>
      </c>
      <c r="E189" s="319" t="s">
        <v>167</v>
      </c>
      <c r="F189" s="319" t="s">
        <v>74</v>
      </c>
      <c r="G189" s="319" t="s">
        <v>74</v>
      </c>
      <c r="H189" s="319" t="s">
        <v>74</v>
      </c>
      <c r="I189" s="319" t="s">
        <v>491</v>
      </c>
      <c r="J189" s="319" t="s">
        <v>424</v>
      </c>
      <c r="K189" s="319" t="s">
        <v>451</v>
      </c>
      <c r="L189" s="319" t="s">
        <v>451</v>
      </c>
      <c r="M189" s="319" t="s">
        <v>489</v>
      </c>
      <c r="N189" s="319" t="s">
        <v>2969</v>
      </c>
      <c r="O189" s="319" t="s">
        <v>490</v>
      </c>
      <c r="P189" s="319">
        <v>51</v>
      </c>
      <c r="Q189" s="319" t="s">
        <v>2766</v>
      </c>
      <c r="R189" s="320">
        <v>10054005</v>
      </c>
      <c r="S189" s="321">
        <v>43368</v>
      </c>
      <c r="T189" s="321">
        <v>43370</v>
      </c>
      <c r="U189" s="321">
        <v>43559</v>
      </c>
      <c r="V189" s="319" t="s">
        <v>425</v>
      </c>
      <c r="W189" s="319" t="s">
        <v>2767</v>
      </c>
      <c r="X189" s="319">
        <v>4</v>
      </c>
      <c r="Y189" s="319" t="s">
        <v>173</v>
      </c>
      <c r="Z189" s="319" t="s">
        <v>173</v>
      </c>
      <c r="AA189" s="319" t="s">
        <v>173</v>
      </c>
      <c r="AB189" s="319">
        <v>4</v>
      </c>
      <c r="AC189" s="319" t="s">
        <v>170</v>
      </c>
      <c r="AD189" s="319">
        <v>4</v>
      </c>
      <c r="AE189" s="319" t="s">
        <v>173</v>
      </c>
      <c r="AF189" s="319" t="s">
        <v>427</v>
      </c>
      <c r="AG189" s="319" t="s">
        <v>172</v>
      </c>
      <c r="AH189" s="319" t="s">
        <v>479</v>
      </c>
      <c r="AI189" s="319" t="s">
        <v>190</v>
      </c>
      <c r="AJ189" s="319" t="s">
        <v>479</v>
      </c>
      <c r="AK189" s="319" t="s">
        <v>190</v>
      </c>
      <c r="AL189" s="319" t="s">
        <v>190</v>
      </c>
      <c r="AM189" s="319" t="s">
        <v>190</v>
      </c>
      <c r="AN189" s="319" t="s">
        <v>190</v>
      </c>
      <c r="AO189" s="319" t="s">
        <v>479</v>
      </c>
      <c r="AP189" s="319" t="s">
        <v>191</v>
      </c>
      <c r="AQ189" s="319" t="s">
        <v>191</v>
      </c>
      <c r="AR189" s="319" t="s">
        <v>191</v>
      </c>
      <c r="AS189" s="319" t="s">
        <v>191</v>
      </c>
      <c r="AT189" s="319" t="s">
        <v>190</v>
      </c>
      <c r="AU189" s="319" t="s">
        <v>190</v>
      </c>
      <c r="AV189" s="319" t="s">
        <v>190</v>
      </c>
      <c r="AW189" s="319" t="s">
        <v>190</v>
      </c>
      <c r="AX189" s="319" t="s">
        <v>190</v>
      </c>
      <c r="AY189" s="319" t="s">
        <v>190</v>
      </c>
      <c r="AZ189" s="319" t="s">
        <v>190</v>
      </c>
      <c r="BA189" s="319" t="s">
        <v>190</v>
      </c>
      <c r="BB189" s="319" t="s">
        <v>428</v>
      </c>
      <c r="BC189" s="319" t="s">
        <v>428</v>
      </c>
      <c r="BD189" s="319" t="s">
        <v>428</v>
      </c>
      <c r="BE189" s="319" t="s">
        <v>428</v>
      </c>
      <c r="BF189" s="319" t="s">
        <v>428</v>
      </c>
      <c r="BG189" s="319" t="s">
        <v>428</v>
      </c>
      <c r="BH189" s="319" t="s">
        <v>190</v>
      </c>
      <c r="BI189" s="319" t="s">
        <v>190</v>
      </c>
      <c r="BJ189" s="319" t="s">
        <v>191</v>
      </c>
      <c r="BK189" s="319" t="s">
        <v>191</v>
      </c>
      <c r="BL189" s="319" t="s">
        <v>190</v>
      </c>
      <c r="BM189" s="319" t="s">
        <v>191</v>
      </c>
      <c r="BN189" s="319" t="s">
        <v>191</v>
      </c>
      <c r="BO189" s="319" t="s">
        <v>190</v>
      </c>
      <c r="BP189" s="319" t="s">
        <v>190</v>
      </c>
      <c r="BQ189" s="319" t="s">
        <v>191</v>
      </c>
      <c r="BR189" s="319" t="s">
        <v>190</v>
      </c>
      <c r="BS189" s="319" t="s">
        <v>190</v>
      </c>
      <c r="BT189" s="319" t="s">
        <v>190</v>
      </c>
      <c r="BU189" s="319" t="s">
        <v>190</v>
      </c>
      <c r="BV189" s="319" t="s">
        <v>190</v>
      </c>
      <c r="BW189" s="319" t="s">
        <v>190</v>
      </c>
      <c r="BX189" s="319" t="s">
        <v>190</v>
      </c>
      <c r="BY189" s="319" t="s">
        <v>190</v>
      </c>
      <c r="BZ189" s="319" t="s">
        <v>190</v>
      </c>
      <c r="CA189" s="319" t="s">
        <v>190</v>
      </c>
      <c r="CB189" s="319" t="s">
        <v>190</v>
      </c>
      <c r="CC189" s="319" t="s">
        <v>190</v>
      </c>
      <c r="CD189" s="319" t="s">
        <v>190</v>
      </c>
      <c r="CE189" s="319" t="s">
        <v>190</v>
      </c>
      <c r="CF189" s="319" t="s">
        <v>190</v>
      </c>
      <c r="CG189" s="319" t="s">
        <v>190</v>
      </c>
      <c r="CH189" s="319" t="s">
        <v>190</v>
      </c>
      <c r="CI189" s="319" t="s">
        <v>190</v>
      </c>
      <c r="CJ189" s="319" t="s">
        <v>190</v>
      </c>
      <c r="CK189" s="319" t="s">
        <v>191</v>
      </c>
      <c r="CL189" s="319" t="s">
        <v>191</v>
      </c>
      <c r="CM189" s="319" t="s">
        <v>191</v>
      </c>
      <c r="CN189" s="319" t="s">
        <v>428</v>
      </c>
      <c r="CO189" s="319" t="s">
        <v>428</v>
      </c>
      <c r="CP189" s="319" t="s">
        <v>428</v>
      </c>
      <c r="CQ189" s="319" t="s">
        <v>190</v>
      </c>
      <c r="CR189" s="319" t="s">
        <v>190</v>
      </c>
      <c r="CS189" s="319" t="s">
        <v>190</v>
      </c>
      <c r="CT189" s="319" t="s">
        <v>190</v>
      </c>
      <c r="CU189" s="319" t="s">
        <v>190</v>
      </c>
      <c r="CV189" s="319" t="s">
        <v>190</v>
      </c>
      <c r="CW189" s="319" t="s">
        <v>190</v>
      </c>
      <c r="CX189" s="319" t="s">
        <v>190</v>
      </c>
      <c r="CY189" s="319" t="s">
        <v>190</v>
      </c>
      <c r="CZ189" s="319" t="s">
        <v>190</v>
      </c>
      <c r="DA189" s="319" t="s">
        <v>190</v>
      </c>
      <c r="DB189" s="319" t="s">
        <v>190</v>
      </c>
      <c r="DC189" s="319" t="s">
        <v>190</v>
      </c>
      <c r="DD189" s="319" t="s">
        <v>190</v>
      </c>
      <c r="DE189" s="319" t="s">
        <v>190</v>
      </c>
      <c r="DF189" s="319" t="s">
        <v>190</v>
      </c>
      <c r="DG189" s="319" t="s">
        <v>190</v>
      </c>
      <c r="DH189" s="319" t="s">
        <v>190</v>
      </c>
      <c r="DI189" s="319" t="s">
        <v>190</v>
      </c>
      <c r="DJ189" s="319" t="s">
        <v>190</v>
      </c>
      <c r="DK189" s="319" t="s">
        <v>190</v>
      </c>
      <c r="DL189" s="319" t="s">
        <v>190</v>
      </c>
      <c r="DM189" s="319" t="s">
        <v>190</v>
      </c>
      <c r="DN189" s="319" t="s">
        <v>190</v>
      </c>
      <c r="DO189" s="319" t="s">
        <v>190</v>
      </c>
      <c r="DP189" s="319" t="s">
        <v>190</v>
      </c>
      <c r="DQ189" s="319" t="s">
        <v>190</v>
      </c>
      <c r="DR189" s="319" t="s">
        <v>190</v>
      </c>
      <c r="DS189" s="319" t="s">
        <v>190</v>
      </c>
      <c r="DT189" s="319" t="s">
        <v>190</v>
      </c>
      <c r="DU189" s="319" t="s">
        <v>190</v>
      </c>
      <c r="DV189" s="319" t="s">
        <v>173</v>
      </c>
      <c r="DW189" s="319" t="s">
        <v>190</v>
      </c>
      <c r="DX189" s="319" t="s">
        <v>190</v>
      </c>
      <c r="DY189" s="319" t="s">
        <v>190</v>
      </c>
      <c r="DZ189" s="319" t="s">
        <v>190</v>
      </c>
      <c r="EA189" s="319" t="s">
        <v>190</v>
      </c>
      <c r="EB189" s="319" t="s">
        <v>190</v>
      </c>
      <c r="EC189" s="319" t="s">
        <v>190</v>
      </c>
      <c r="ED189" s="319" t="s">
        <v>190</v>
      </c>
      <c r="EE189" s="319" t="s">
        <v>190</v>
      </c>
      <c r="EF189" s="319" t="s">
        <v>190</v>
      </c>
      <c r="EG189" s="319" t="s">
        <v>190</v>
      </c>
      <c r="EH189" s="319" t="s">
        <v>190</v>
      </c>
      <c r="EI189" s="319" t="s">
        <v>190</v>
      </c>
      <c r="EJ189" s="319" t="s">
        <v>190</v>
      </c>
      <c r="EK189" s="319" t="s">
        <v>190</v>
      </c>
      <c r="EL189" s="319" t="s">
        <v>190</v>
      </c>
      <c r="EM189" s="319" t="s">
        <v>190</v>
      </c>
      <c r="EN189" s="319" t="s">
        <v>190</v>
      </c>
      <c r="EO189" s="319" t="s">
        <v>190</v>
      </c>
      <c r="EP189" s="319" t="s">
        <v>190</v>
      </c>
      <c r="EQ189" s="319" t="s">
        <v>190</v>
      </c>
      <c r="ER189" s="319" t="s">
        <v>190</v>
      </c>
      <c r="ES189" s="319" t="s">
        <v>190</v>
      </c>
      <c r="ET189" s="319" t="s">
        <v>190</v>
      </c>
      <c r="EU189" s="319" t="s">
        <v>190</v>
      </c>
      <c r="EV189" s="319" t="s">
        <v>190</v>
      </c>
      <c r="EW189" s="319" t="s">
        <v>190</v>
      </c>
      <c r="EX189" s="319" t="s">
        <v>190</v>
      </c>
      <c r="EY189" s="319" t="s">
        <v>190</v>
      </c>
      <c r="EZ189" s="319" t="s">
        <v>190</v>
      </c>
      <c r="FA189" s="319" t="s">
        <v>190</v>
      </c>
      <c r="FB189" s="319" t="s">
        <v>190</v>
      </c>
      <c r="FC189" s="319" t="s">
        <v>190</v>
      </c>
      <c r="FD189" s="319" t="s">
        <v>190</v>
      </c>
      <c r="FE189" s="319" t="s">
        <v>190</v>
      </c>
      <c r="FF189" s="319" t="s">
        <v>190</v>
      </c>
      <c r="FG189" s="319" t="s">
        <v>190</v>
      </c>
      <c r="FH189" s="319" t="s">
        <v>190</v>
      </c>
      <c r="FI189" s="319" t="s">
        <v>190</v>
      </c>
      <c r="FJ189" s="319" t="s">
        <v>190</v>
      </c>
      <c r="FK189" s="319" t="s">
        <v>190</v>
      </c>
      <c r="FL189" s="319" t="s">
        <v>190</v>
      </c>
      <c r="FM189" s="319" t="s">
        <v>190</v>
      </c>
      <c r="FN189" s="319" t="s">
        <v>190</v>
      </c>
      <c r="FO189" s="319" t="s">
        <v>190</v>
      </c>
      <c r="FP189" s="319" t="s">
        <v>190</v>
      </c>
      <c r="FQ189" s="319" t="s">
        <v>190</v>
      </c>
      <c r="FR189" s="319" t="s">
        <v>190</v>
      </c>
      <c r="FS189" s="319" t="s">
        <v>190</v>
      </c>
      <c r="FT189" s="319" t="s">
        <v>190</v>
      </c>
      <c r="FU189" s="319" t="s">
        <v>190</v>
      </c>
      <c r="FV189" s="319" t="s">
        <v>190</v>
      </c>
      <c r="FW189" s="319" t="s">
        <v>190</v>
      </c>
      <c r="FX189" s="319" t="s">
        <v>190</v>
      </c>
      <c r="FY189" s="319" t="s">
        <v>190</v>
      </c>
      <c r="FZ189" s="319" t="s">
        <v>190</v>
      </c>
      <c r="GA189" s="319" t="s">
        <v>190</v>
      </c>
      <c r="GB189" s="319" t="s">
        <v>190</v>
      </c>
      <c r="GC189" s="319" t="s">
        <v>190</v>
      </c>
      <c r="GD189" s="319" t="s">
        <v>190</v>
      </c>
      <c r="GE189" s="319" t="s">
        <v>190</v>
      </c>
      <c r="GF189" s="319" t="s">
        <v>190</v>
      </c>
      <c r="GG189" s="319" t="s">
        <v>190</v>
      </c>
      <c r="GH189" s="319" t="s">
        <v>190</v>
      </c>
      <c r="GI189" s="319" t="s">
        <v>190</v>
      </c>
      <c r="GJ189" s="319" t="s">
        <v>190</v>
      </c>
      <c r="GK189" s="319" t="s">
        <v>428</v>
      </c>
      <c r="GL189" s="319" t="s">
        <v>190</v>
      </c>
      <c r="GM189" s="319" t="s">
        <v>190</v>
      </c>
      <c r="GN189" s="319" t="s">
        <v>190</v>
      </c>
      <c r="GO189" s="319" t="s">
        <v>190</v>
      </c>
      <c r="GP189" s="319" t="s">
        <v>190</v>
      </c>
      <c r="GQ189" s="319" t="s">
        <v>190</v>
      </c>
      <c r="GR189" s="319" t="s">
        <v>190</v>
      </c>
      <c r="GS189" s="319" t="s">
        <v>190</v>
      </c>
      <c r="GT189" s="319" t="s">
        <v>190</v>
      </c>
      <c r="GU189" s="319" t="s">
        <v>190</v>
      </c>
      <c r="GV189" s="319" t="s">
        <v>190</v>
      </c>
      <c r="GW189" s="319" t="s">
        <v>190</v>
      </c>
      <c r="GX189" s="319" t="s">
        <v>190</v>
      </c>
      <c r="GY189" s="319" t="s">
        <v>190</v>
      </c>
      <c r="GZ189" s="319" t="s">
        <v>428</v>
      </c>
      <c r="HA189" s="319" t="s">
        <v>190</v>
      </c>
      <c r="HB189" s="319" t="s">
        <v>190</v>
      </c>
      <c r="HC189" s="319" t="s">
        <v>190</v>
      </c>
      <c r="HD189" s="319" t="s">
        <v>190</v>
      </c>
      <c r="HE189" s="319" t="s">
        <v>190</v>
      </c>
      <c r="HF189" s="319" t="s">
        <v>190</v>
      </c>
      <c r="HG189" s="319" t="s">
        <v>190</v>
      </c>
      <c r="HH189" s="319" t="s">
        <v>190</v>
      </c>
      <c r="HI189" s="319" t="s">
        <v>190</v>
      </c>
      <c r="HJ189" s="319" t="s">
        <v>190</v>
      </c>
      <c r="HK189" s="319" t="s">
        <v>190</v>
      </c>
      <c r="HL189" s="319" t="s">
        <v>190</v>
      </c>
      <c r="HM189" s="319" t="s">
        <v>190</v>
      </c>
      <c r="HN189" s="319" t="s">
        <v>190</v>
      </c>
      <c r="HO189" s="319" t="s">
        <v>190</v>
      </c>
      <c r="HP189" s="319" t="s">
        <v>190</v>
      </c>
      <c r="HQ189" s="319" t="s">
        <v>190</v>
      </c>
      <c r="HR189" s="319" t="s">
        <v>190</v>
      </c>
      <c r="HS189" s="319" t="s">
        <v>190</v>
      </c>
      <c r="HT189" s="319" t="s">
        <v>190</v>
      </c>
      <c r="HU189" s="319" t="s">
        <v>190</v>
      </c>
      <c r="HV189" s="319" t="s">
        <v>190</v>
      </c>
      <c r="HW189" s="319" t="s">
        <v>190</v>
      </c>
      <c r="HX189" s="319" t="s">
        <v>190</v>
      </c>
      <c r="HY189" s="319" t="s">
        <v>190</v>
      </c>
      <c r="HZ189" s="319" t="s">
        <v>190</v>
      </c>
      <c r="IA189" s="319" t="s">
        <v>190</v>
      </c>
      <c r="IB189" s="319" t="s">
        <v>190</v>
      </c>
      <c r="IC189" s="319" t="s">
        <v>190</v>
      </c>
      <c r="ID189" s="319" t="s">
        <v>190</v>
      </c>
      <c r="IE189" s="319" t="s">
        <v>190</v>
      </c>
      <c r="IF189" s="319" t="s">
        <v>191</v>
      </c>
      <c r="IG189" s="319" t="s">
        <v>191</v>
      </c>
      <c r="IH189" s="319" t="s">
        <v>191</v>
      </c>
      <c r="II189" s="319" t="s">
        <v>191</v>
      </c>
      <c r="IJ189" s="319">
        <v>10020392</v>
      </c>
      <c r="IK189" s="321">
        <v>42626</v>
      </c>
      <c r="IL189" s="321">
        <v>42628</v>
      </c>
      <c r="IM189" s="321">
        <v>42655</v>
      </c>
      <c r="IN189" s="319">
        <v>3</v>
      </c>
      <c r="IO189" s="319">
        <v>10114764</v>
      </c>
      <c r="IP189" s="319" t="s">
        <v>985</v>
      </c>
      <c r="IQ189" s="321">
        <v>43727</v>
      </c>
      <c r="IR189" s="320" t="s">
        <v>2771</v>
      </c>
      <c r="IS189" s="322">
        <v>43780</v>
      </c>
      <c r="IT189" s="319" t="s">
        <v>166</v>
      </c>
    </row>
    <row r="190" spans="1:254" s="271" customFormat="1" x14ac:dyDescent="0.25">
      <c r="A190" s="318" t="str">
        <f>HYPERLINK("http://www.ofsted.gov.uk/inspection-reports/find-inspection-report/provider/ELS/117660 ","Ofsted School Webpage")</f>
        <v>Ofsted School Webpage</v>
      </c>
      <c r="B190" s="319">
        <v>117660</v>
      </c>
      <c r="C190" s="319">
        <v>9196234</v>
      </c>
      <c r="D190" s="319" t="s">
        <v>1481</v>
      </c>
      <c r="E190" s="319" t="s">
        <v>167</v>
      </c>
      <c r="F190" s="319" t="s">
        <v>81</v>
      </c>
      <c r="G190" s="319" t="s">
        <v>81</v>
      </c>
      <c r="H190" s="319" t="s">
        <v>81</v>
      </c>
      <c r="I190" s="319" t="s">
        <v>78</v>
      </c>
      <c r="J190" s="319" t="s">
        <v>424</v>
      </c>
      <c r="K190" s="319" t="s">
        <v>451</v>
      </c>
      <c r="L190" s="319" t="s">
        <v>451</v>
      </c>
      <c r="M190" s="319" t="s">
        <v>489</v>
      </c>
      <c r="N190" s="319" t="s">
        <v>2972</v>
      </c>
      <c r="O190" s="319" t="s">
        <v>1482</v>
      </c>
      <c r="P190" s="319">
        <v>71</v>
      </c>
      <c r="Q190" s="319" t="s">
        <v>2766</v>
      </c>
      <c r="R190" s="320">
        <v>10012937</v>
      </c>
      <c r="S190" s="321">
        <v>42710</v>
      </c>
      <c r="T190" s="321">
        <v>42712</v>
      </c>
      <c r="U190" s="321">
        <v>42760</v>
      </c>
      <c r="V190" s="319" t="s">
        <v>425</v>
      </c>
      <c r="W190" s="319" t="s">
        <v>2767</v>
      </c>
      <c r="X190" s="319">
        <v>2</v>
      </c>
      <c r="Y190" s="319" t="s">
        <v>173</v>
      </c>
      <c r="Z190" s="319" t="s">
        <v>173</v>
      </c>
      <c r="AA190" s="319" t="s">
        <v>173</v>
      </c>
      <c r="AB190" s="319">
        <v>2</v>
      </c>
      <c r="AC190" s="319" t="s">
        <v>169</v>
      </c>
      <c r="AD190" s="319">
        <v>2</v>
      </c>
      <c r="AE190" s="319" t="s">
        <v>173</v>
      </c>
      <c r="AF190" s="319" t="s">
        <v>173</v>
      </c>
      <c r="AG190" s="319" t="s">
        <v>171</v>
      </c>
      <c r="AH190" s="319" t="s">
        <v>190</v>
      </c>
      <c r="AI190" s="319" t="s">
        <v>190</v>
      </c>
      <c r="AJ190" s="319" t="s">
        <v>190</v>
      </c>
      <c r="AK190" s="319" t="s">
        <v>190</v>
      </c>
      <c r="AL190" s="319" t="s">
        <v>190</v>
      </c>
      <c r="AM190" s="319" t="s">
        <v>190</v>
      </c>
      <c r="AN190" s="319" t="s">
        <v>190</v>
      </c>
      <c r="AO190" s="319" t="s">
        <v>190</v>
      </c>
      <c r="AP190" s="319" t="s">
        <v>190</v>
      </c>
      <c r="AQ190" s="319" t="s">
        <v>190</v>
      </c>
      <c r="AR190" s="319" t="s">
        <v>190</v>
      </c>
      <c r="AS190" s="319" t="s">
        <v>190</v>
      </c>
      <c r="AT190" s="319" t="s">
        <v>190</v>
      </c>
      <c r="AU190" s="319" t="s">
        <v>190</v>
      </c>
      <c r="AV190" s="319" t="s">
        <v>190</v>
      </c>
      <c r="AW190" s="319" t="s">
        <v>190</v>
      </c>
      <c r="AX190" s="319" t="s">
        <v>429</v>
      </c>
      <c r="AY190" s="319" t="s">
        <v>190</v>
      </c>
      <c r="AZ190" s="319" t="s">
        <v>190</v>
      </c>
      <c r="BA190" s="319" t="s">
        <v>190</v>
      </c>
      <c r="BB190" s="319" t="s">
        <v>429</v>
      </c>
      <c r="BC190" s="319" t="s">
        <v>429</v>
      </c>
      <c r="BD190" s="319" t="s">
        <v>429</v>
      </c>
      <c r="BE190" s="319" t="s">
        <v>429</v>
      </c>
      <c r="BF190" s="319" t="s">
        <v>190</v>
      </c>
      <c r="BG190" s="319" t="s">
        <v>429</v>
      </c>
      <c r="BH190" s="319" t="s">
        <v>190</v>
      </c>
      <c r="BI190" s="319" t="s">
        <v>190</v>
      </c>
      <c r="BJ190" s="319" t="s">
        <v>190</v>
      </c>
      <c r="BK190" s="319" t="s">
        <v>190</v>
      </c>
      <c r="BL190" s="319" t="s">
        <v>190</v>
      </c>
      <c r="BM190" s="319" t="s">
        <v>190</v>
      </c>
      <c r="BN190" s="319" t="s">
        <v>190</v>
      </c>
      <c r="BO190" s="319" t="s">
        <v>190</v>
      </c>
      <c r="BP190" s="319" t="s">
        <v>190</v>
      </c>
      <c r="BQ190" s="319" t="s">
        <v>190</v>
      </c>
      <c r="BR190" s="319" t="s">
        <v>190</v>
      </c>
      <c r="BS190" s="319" t="s">
        <v>190</v>
      </c>
      <c r="BT190" s="319" t="s">
        <v>190</v>
      </c>
      <c r="BU190" s="319" t="s">
        <v>190</v>
      </c>
      <c r="BV190" s="319" t="s">
        <v>190</v>
      </c>
      <c r="BW190" s="319" t="s">
        <v>190</v>
      </c>
      <c r="BX190" s="319" t="s">
        <v>190</v>
      </c>
      <c r="BY190" s="319" t="s">
        <v>190</v>
      </c>
      <c r="BZ190" s="319" t="s">
        <v>190</v>
      </c>
      <c r="CA190" s="319" t="s">
        <v>190</v>
      </c>
      <c r="CB190" s="319" t="s">
        <v>190</v>
      </c>
      <c r="CC190" s="319" t="s">
        <v>190</v>
      </c>
      <c r="CD190" s="319" t="s">
        <v>190</v>
      </c>
      <c r="CE190" s="319" t="s">
        <v>190</v>
      </c>
      <c r="CF190" s="319" t="s">
        <v>190</v>
      </c>
      <c r="CG190" s="319" t="s">
        <v>190</v>
      </c>
      <c r="CH190" s="319" t="s">
        <v>190</v>
      </c>
      <c r="CI190" s="319" t="s">
        <v>190</v>
      </c>
      <c r="CJ190" s="319" t="s">
        <v>190</v>
      </c>
      <c r="CK190" s="319" t="s">
        <v>190</v>
      </c>
      <c r="CL190" s="319" t="s">
        <v>190</v>
      </c>
      <c r="CM190" s="319" t="s">
        <v>190</v>
      </c>
      <c r="CN190" s="319" t="s">
        <v>429</v>
      </c>
      <c r="CO190" s="319" t="s">
        <v>429</v>
      </c>
      <c r="CP190" s="319" t="s">
        <v>429</v>
      </c>
      <c r="CQ190" s="319" t="s">
        <v>190</v>
      </c>
      <c r="CR190" s="319" t="s">
        <v>190</v>
      </c>
      <c r="CS190" s="319" t="s">
        <v>190</v>
      </c>
      <c r="CT190" s="319" t="s">
        <v>190</v>
      </c>
      <c r="CU190" s="319" t="s">
        <v>190</v>
      </c>
      <c r="CV190" s="319" t="s">
        <v>190</v>
      </c>
      <c r="CW190" s="319" t="s">
        <v>190</v>
      </c>
      <c r="CX190" s="319" t="s">
        <v>190</v>
      </c>
      <c r="CY190" s="319" t="s">
        <v>190</v>
      </c>
      <c r="CZ190" s="319" t="s">
        <v>190</v>
      </c>
      <c r="DA190" s="319" t="s">
        <v>190</v>
      </c>
      <c r="DB190" s="319" t="s">
        <v>190</v>
      </c>
      <c r="DC190" s="319" t="s">
        <v>190</v>
      </c>
      <c r="DD190" s="319" t="s">
        <v>190</v>
      </c>
      <c r="DE190" s="319" t="s">
        <v>190</v>
      </c>
      <c r="DF190" s="319" t="s">
        <v>190</v>
      </c>
      <c r="DG190" s="319" t="s">
        <v>190</v>
      </c>
      <c r="DH190" s="319" t="s">
        <v>190</v>
      </c>
      <c r="DI190" s="319" t="s">
        <v>190</v>
      </c>
      <c r="DJ190" s="319" t="s">
        <v>190</v>
      </c>
      <c r="DK190" s="319" t="s">
        <v>190</v>
      </c>
      <c r="DL190" s="319" t="s">
        <v>190</v>
      </c>
      <c r="DM190" s="319" t="s">
        <v>190</v>
      </c>
      <c r="DN190" s="319" t="s">
        <v>429</v>
      </c>
      <c r="DO190" s="319" t="s">
        <v>190</v>
      </c>
      <c r="DP190" s="319" t="s">
        <v>429</v>
      </c>
      <c r="DQ190" s="319" t="s">
        <v>429</v>
      </c>
      <c r="DR190" s="319" t="s">
        <v>429</v>
      </c>
      <c r="DS190" s="319" t="s">
        <v>429</v>
      </c>
      <c r="DT190" s="319" t="s">
        <v>429</v>
      </c>
      <c r="DU190" s="319" t="s">
        <v>429</v>
      </c>
      <c r="DV190" s="319" t="s">
        <v>173</v>
      </c>
      <c r="DW190" s="319" t="s">
        <v>429</v>
      </c>
      <c r="DX190" s="319" t="s">
        <v>429</v>
      </c>
      <c r="DY190" s="319" t="s">
        <v>429</v>
      </c>
      <c r="DZ190" s="319" t="s">
        <v>429</v>
      </c>
      <c r="EA190" s="319" t="s">
        <v>429</v>
      </c>
      <c r="EB190" s="319" t="s">
        <v>429</v>
      </c>
      <c r="EC190" s="319" t="s">
        <v>429</v>
      </c>
      <c r="ED190" s="319" t="s">
        <v>429</v>
      </c>
      <c r="EE190" s="319" t="s">
        <v>190</v>
      </c>
      <c r="EF190" s="319" t="s">
        <v>190</v>
      </c>
      <c r="EG190" s="319" t="s">
        <v>190</v>
      </c>
      <c r="EH190" s="319" t="s">
        <v>190</v>
      </c>
      <c r="EI190" s="319" t="s">
        <v>190</v>
      </c>
      <c r="EJ190" s="319" t="s">
        <v>190</v>
      </c>
      <c r="EK190" s="319" t="s">
        <v>190</v>
      </c>
      <c r="EL190" s="319" t="s">
        <v>429</v>
      </c>
      <c r="EM190" s="319" t="s">
        <v>429</v>
      </c>
      <c r="EN190" s="319" t="s">
        <v>190</v>
      </c>
      <c r="EO190" s="319" t="s">
        <v>190</v>
      </c>
      <c r="EP190" s="319" t="s">
        <v>190</v>
      </c>
      <c r="EQ190" s="319" t="s">
        <v>190</v>
      </c>
      <c r="ER190" s="319" t="s">
        <v>190</v>
      </c>
      <c r="ES190" s="319" t="s">
        <v>190</v>
      </c>
      <c r="ET190" s="319" t="s">
        <v>190</v>
      </c>
      <c r="EU190" s="319" t="s">
        <v>190</v>
      </c>
      <c r="EV190" s="319" t="s">
        <v>190</v>
      </c>
      <c r="EW190" s="319" t="s">
        <v>190</v>
      </c>
      <c r="EX190" s="319" t="s">
        <v>190</v>
      </c>
      <c r="EY190" s="319" t="s">
        <v>190</v>
      </c>
      <c r="EZ190" s="319" t="s">
        <v>190</v>
      </c>
      <c r="FA190" s="319" t="s">
        <v>190</v>
      </c>
      <c r="FB190" s="319" t="s">
        <v>429</v>
      </c>
      <c r="FC190" s="319" t="s">
        <v>429</v>
      </c>
      <c r="FD190" s="319" t="s">
        <v>429</v>
      </c>
      <c r="FE190" s="319" t="s">
        <v>429</v>
      </c>
      <c r="FF190" s="319" t="s">
        <v>429</v>
      </c>
      <c r="FG190" s="319" t="s">
        <v>429</v>
      </c>
      <c r="FH190" s="319" t="s">
        <v>429</v>
      </c>
      <c r="FI190" s="319" t="s">
        <v>190</v>
      </c>
      <c r="FJ190" s="319" t="s">
        <v>190</v>
      </c>
      <c r="FK190" s="319" t="s">
        <v>190</v>
      </c>
      <c r="FL190" s="319" t="s">
        <v>190</v>
      </c>
      <c r="FM190" s="319" t="s">
        <v>190</v>
      </c>
      <c r="FN190" s="319" t="s">
        <v>190</v>
      </c>
      <c r="FO190" s="319" t="s">
        <v>429</v>
      </c>
      <c r="FP190" s="319" t="s">
        <v>190</v>
      </c>
      <c r="FQ190" s="319" t="s">
        <v>190</v>
      </c>
      <c r="FR190" s="319" t="s">
        <v>190</v>
      </c>
      <c r="FS190" s="319" t="s">
        <v>429</v>
      </c>
      <c r="FT190" s="319" t="s">
        <v>190</v>
      </c>
      <c r="FU190" s="319" t="s">
        <v>190</v>
      </c>
      <c r="FV190" s="319" t="s">
        <v>190</v>
      </c>
      <c r="FW190" s="319" t="s">
        <v>190</v>
      </c>
      <c r="FX190" s="319" t="s">
        <v>190</v>
      </c>
      <c r="FY190" s="319" t="s">
        <v>190</v>
      </c>
      <c r="FZ190" s="319" t="s">
        <v>190</v>
      </c>
      <c r="GA190" s="319" t="s">
        <v>190</v>
      </c>
      <c r="GB190" s="319" t="s">
        <v>190</v>
      </c>
      <c r="GC190" s="319" t="s">
        <v>190</v>
      </c>
      <c r="GD190" s="319" t="s">
        <v>190</v>
      </c>
      <c r="GE190" s="319" t="s">
        <v>190</v>
      </c>
      <c r="GF190" s="319" t="s">
        <v>190</v>
      </c>
      <c r="GG190" s="319" t="s">
        <v>190</v>
      </c>
      <c r="GH190" s="319" t="s">
        <v>190</v>
      </c>
      <c r="GI190" s="319" t="s">
        <v>190</v>
      </c>
      <c r="GJ190" s="319" t="s">
        <v>190</v>
      </c>
      <c r="GK190" s="319" t="s">
        <v>429</v>
      </c>
      <c r="GL190" s="319" t="s">
        <v>190</v>
      </c>
      <c r="GM190" s="319" t="s">
        <v>190</v>
      </c>
      <c r="GN190" s="319" t="s">
        <v>190</v>
      </c>
      <c r="GO190" s="319" t="s">
        <v>190</v>
      </c>
      <c r="GP190" s="319" t="s">
        <v>190</v>
      </c>
      <c r="GQ190" s="319" t="s">
        <v>429</v>
      </c>
      <c r="GR190" s="319" t="s">
        <v>190</v>
      </c>
      <c r="GS190" s="319" t="s">
        <v>190</v>
      </c>
      <c r="GT190" s="319" t="s">
        <v>429</v>
      </c>
      <c r="GU190" s="319" t="s">
        <v>429</v>
      </c>
      <c r="GV190" s="319" t="s">
        <v>190</v>
      </c>
      <c r="GW190" s="319" t="s">
        <v>190</v>
      </c>
      <c r="GX190" s="319" t="s">
        <v>190</v>
      </c>
      <c r="GY190" s="319" t="s">
        <v>190</v>
      </c>
      <c r="GZ190" s="319" t="s">
        <v>429</v>
      </c>
      <c r="HA190" s="319" t="s">
        <v>190</v>
      </c>
      <c r="HB190" s="319" t="s">
        <v>429</v>
      </c>
      <c r="HC190" s="319" t="s">
        <v>190</v>
      </c>
      <c r="HD190" s="319" t="s">
        <v>190</v>
      </c>
      <c r="HE190" s="319" t="s">
        <v>190</v>
      </c>
      <c r="HF190" s="319" t="s">
        <v>190</v>
      </c>
      <c r="HG190" s="319" t="s">
        <v>190</v>
      </c>
      <c r="HH190" s="319" t="s">
        <v>190</v>
      </c>
      <c r="HI190" s="319" t="s">
        <v>190</v>
      </c>
      <c r="HJ190" s="319" t="s">
        <v>190</v>
      </c>
      <c r="HK190" s="319" t="s">
        <v>429</v>
      </c>
      <c r="HL190" s="319" t="s">
        <v>190</v>
      </c>
      <c r="HM190" s="319" t="s">
        <v>429</v>
      </c>
      <c r="HN190" s="319" t="s">
        <v>429</v>
      </c>
      <c r="HO190" s="319" t="s">
        <v>429</v>
      </c>
      <c r="HP190" s="319" t="s">
        <v>190</v>
      </c>
      <c r="HQ190" s="319" t="s">
        <v>190</v>
      </c>
      <c r="HR190" s="319" t="s">
        <v>190</v>
      </c>
      <c r="HS190" s="319" t="s">
        <v>190</v>
      </c>
      <c r="HT190" s="319" t="s">
        <v>190</v>
      </c>
      <c r="HU190" s="319" t="s">
        <v>190</v>
      </c>
      <c r="HV190" s="319" t="s">
        <v>190</v>
      </c>
      <c r="HW190" s="319" t="s">
        <v>190</v>
      </c>
      <c r="HX190" s="319" t="s">
        <v>190</v>
      </c>
      <c r="HY190" s="319" t="s">
        <v>190</v>
      </c>
      <c r="HZ190" s="319" t="s">
        <v>190</v>
      </c>
      <c r="IA190" s="319" t="s">
        <v>190</v>
      </c>
      <c r="IB190" s="319" t="s">
        <v>190</v>
      </c>
      <c r="IC190" s="319" t="s">
        <v>190</v>
      </c>
      <c r="ID190" s="319" t="s">
        <v>190</v>
      </c>
      <c r="IE190" s="319" t="s">
        <v>190</v>
      </c>
      <c r="IF190" s="319" t="s">
        <v>190</v>
      </c>
      <c r="IG190" s="319" t="s">
        <v>190</v>
      </c>
      <c r="IH190" s="319" t="s">
        <v>190</v>
      </c>
      <c r="II190" s="319" t="s">
        <v>190</v>
      </c>
      <c r="IJ190" s="319" t="s">
        <v>2973</v>
      </c>
      <c r="IK190" s="321">
        <v>40680</v>
      </c>
      <c r="IL190" s="321">
        <v>40681</v>
      </c>
      <c r="IM190" s="321">
        <v>40709</v>
      </c>
      <c r="IN190" s="319">
        <v>2</v>
      </c>
      <c r="IO190" s="319" t="s">
        <v>173</v>
      </c>
      <c r="IP190" s="319" t="s">
        <v>173</v>
      </c>
      <c r="IQ190" s="321" t="s">
        <v>173</v>
      </c>
      <c r="IR190" s="320" t="s">
        <v>173</v>
      </c>
      <c r="IS190" s="322" t="s">
        <v>173</v>
      </c>
      <c r="IT190" s="319" t="s">
        <v>173</v>
      </c>
    </row>
    <row r="191" spans="1:254" s="271" customFormat="1" x14ac:dyDescent="0.25">
      <c r="A191" s="318" t="str">
        <f>HYPERLINK("http://www.ofsted.gov.uk/inspection-reports/find-inspection-report/provider/ELS/117662 ","Ofsted School Webpage")</f>
        <v>Ofsted School Webpage</v>
      </c>
      <c r="B191" s="319">
        <v>117662</v>
      </c>
      <c r="C191" s="319">
        <v>9196236</v>
      </c>
      <c r="D191" s="319" t="s">
        <v>1483</v>
      </c>
      <c r="E191" s="319" t="s">
        <v>167</v>
      </c>
      <c r="F191" s="319" t="s">
        <v>81</v>
      </c>
      <c r="G191" s="319" t="s">
        <v>80</v>
      </c>
      <c r="H191" s="319" t="s">
        <v>80</v>
      </c>
      <c r="I191" s="319" t="s">
        <v>78</v>
      </c>
      <c r="J191" s="319" t="s">
        <v>424</v>
      </c>
      <c r="K191" s="319" t="s">
        <v>451</v>
      </c>
      <c r="L191" s="319" t="s">
        <v>451</v>
      </c>
      <c r="M191" s="319" t="s">
        <v>489</v>
      </c>
      <c r="N191" s="319" t="s">
        <v>2969</v>
      </c>
      <c r="O191" s="319" t="s">
        <v>1484</v>
      </c>
      <c r="P191" s="319">
        <v>228</v>
      </c>
      <c r="Q191" s="319" t="s">
        <v>2766</v>
      </c>
      <c r="R191" s="320">
        <v>10093912</v>
      </c>
      <c r="S191" s="321">
        <v>43634</v>
      </c>
      <c r="T191" s="321">
        <v>43636</v>
      </c>
      <c r="U191" s="321">
        <v>43698</v>
      </c>
      <c r="V191" s="319" t="s">
        <v>425</v>
      </c>
      <c r="W191" s="319" t="s">
        <v>2767</v>
      </c>
      <c r="X191" s="319">
        <v>2</v>
      </c>
      <c r="Y191" s="319" t="s">
        <v>173</v>
      </c>
      <c r="Z191" s="319" t="s">
        <v>173</v>
      </c>
      <c r="AA191" s="319" t="s">
        <v>173</v>
      </c>
      <c r="AB191" s="319">
        <v>2</v>
      </c>
      <c r="AC191" s="319" t="s">
        <v>169</v>
      </c>
      <c r="AD191" s="319">
        <v>2</v>
      </c>
      <c r="AE191" s="319" t="s">
        <v>173</v>
      </c>
      <c r="AF191" s="319" t="s">
        <v>427</v>
      </c>
      <c r="AG191" s="319" t="s">
        <v>171</v>
      </c>
      <c r="AH191" s="319" t="s">
        <v>190</v>
      </c>
      <c r="AI191" s="319" t="s">
        <v>190</v>
      </c>
      <c r="AJ191" s="319" t="s">
        <v>190</v>
      </c>
      <c r="AK191" s="319" t="s">
        <v>190</v>
      </c>
      <c r="AL191" s="319" t="s">
        <v>190</v>
      </c>
      <c r="AM191" s="319" t="s">
        <v>190</v>
      </c>
      <c r="AN191" s="319" t="s">
        <v>190</v>
      </c>
      <c r="AO191" s="319" t="s">
        <v>190</v>
      </c>
      <c r="AP191" s="319" t="s">
        <v>190</v>
      </c>
      <c r="AQ191" s="319" t="s">
        <v>190</v>
      </c>
      <c r="AR191" s="319" t="s">
        <v>190</v>
      </c>
      <c r="AS191" s="319" t="s">
        <v>190</v>
      </c>
      <c r="AT191" s="319" t="s">
        <v>190</v>
      </c>
      <c r="AU191" s="319" t="s">
        <v>190</v>
      </c>
      <c r="AV191" s="319" t="s">
        <v>190</v>
      </c>
      <c r="AW191" s="319" t="s">
        <v>190</v>
      </c>
      <c r="AX191" s="319" t="s">
        <v>428</v>
      </c>
      <c r="AY191" s="319" t="s">
        <v>190</v>
      </c>
      <c r="AZ191" s="319" t="s">
        <v>190</v>
      </c>
      <c r="BA191" s="319" t="s">
        <v>190</v>
      </c>
      <c r="BB191" s="319" t="s">
        <v>428</v>
      </c>
      <c r="BC191" s="319" t="s">
        <v>428</v>
      </c>
      <c r="BD191" s="319" t="s">
        <v>428</v>
      </c>
      <c r="BE191" s="319" t="s">
        <v>428</v>
      </c>
      <c r="BF191" s="319" t="s">
        <v>190</v>
      </c>
      <c r="BG191" s="319" t="s">
        <v>428</v>
      </c>
      <c r="BH191" s="319" t="s">
        <v>190</v>
      </c>
      <c r="BI191" s="319" t="s">
        <v>190</v>
      </c>
      <c r="BJ191" s="319" t="s">
        <v>190</v>
      </c>
      <c r="BK191" s="319" t="s">
        <v>190</v>
      </c>
      <c r="BL191" s="319" t="s">
        <v>190</v>
      </c>
      <c r="BM191" s="319" t="s">
        <v>190</v>
      </c>
      <c r="BN191" s="319" t="s">
        <v>190</v>
      </c>
      <c r="BO191" s="319" t="s">
        <v>190</v>
      </c>
      <c r="BP191" s="319" t="s">
        <v>190</v>
      </c>
      <c r="BQ191" s="319" t="s">
        <v>190</v>
      </c>
      <c r="BR191" s="319" t="s">
        <v>190</v>
      </c>
      <c r="BS191" s="319" t="s">
        <v>190</v>
      </c>
      <c r="BT191" s="319" t="s">
        <v>190</v>
      </c>
      <c r="BU191" s="319" t="s">
        <v>190</v>
      </c>
      <c r="BV191" s="319" t="s">
        <v>190</v>
      </c>
      <c r="BW191" s="319" t="s">
        <v>190</v>
      </c>
      <c r="BX191" s="319" t="s">
        <v>190</v>
      </c>
      <c r="BY191" s="319" t="s">
        <v>190</v>
      </c>
      <c r="BZ191" s="319" t="s">
        <v>190</v>
      </c>
      <c r="CA191" s="319" t="s">
        <v>190</v>
      </c>
      <c r="CB191" s="319" t="s">
        <v>190</v>
      </c>
      <c r="CC191" s="319" t="s">
        <v>190</v>
      </c>
      <c r="CD191" s="319" t="s">
        <v>190</v>
      </c>
      <c r="CE191" s="319" t="s">
        <v>190</v>
      </c>
      <c r="CF191" s="319" t="s">
        <v>190</v>
      </c>
      <c r="CG191" s="319" t="s">
        <v>190</v>
      </c>
      <c r="CH191" s="319" t="s">
        <v>190</v>
      </c>
      <c r="CI191" s="319" t="s">
        <v>190</v>
      </c>
      <c r="CJ191" s="319" t="s">
        <v>190</v>
      </c>
      <c r="CK191" s="319" t="s">
        <v>190</v>
      </c>
      <c r="CL191" s="319" t="s">
        <v>190</v>
      </c>
      <c r="CM191" s="319" t="s">
        <v>190</v>
      </c>
      <c r="CN191" s="319" t="s">
        <v>428</v>
      </c>
      <c r="CO191" s="319" t="s">
        <v>428</v>
      </c>
      <c r="CP191" s="319" t="s">
        <v>428</v>
      </c>
      <c r="CQ191" s="319" t="s">
        <v>190</v>
      </c>
      <c r="CR191" s="319" t="s">
        <v>190</v>
      </c>
      <c r="CS191" s="319" t="s">
        <v>190</v>
      </c>
      <c r="CT191" s="319" t="s">
        <v>190</v>
      </c>
      <c r="CU191" s="319" t="s">
        <v>190</v>
      </c>
      <c r="CV191" s="319" t="s">
        <v>190</v>
      </c>
      <c r="CW191" s="319" t="s">
        <v>190</v>
      </c>
      <c r="CX191" s="319" t="s">
        <v>190</v>
      </c>
      <c r="CY191" s="319" t="s">
        <v>190</v>
      </c>
      <c r="CZ191" s="319" t="s">
        <v>190</v>
      </c>
      <c r="DA191" s="319" t="s">
        <v>190</v>
      </c>
      <c r="DB191" s="319" t="s">
        <v>190</v>
      </c>
      <c r="DC191" s="319" t="s">
        <v>190</v>
      </c>
      <c r="DD191" s="319" t="s">
        <v>190</v>
      </c>
      <c r="DE191" s="319" t="s">
        <v>190</v>
      </c>
      <c r="DF191" s="319" t="s">
        <v>190</v>
      </c>
      <c r="DG191" s="319" t="s">
        <v>190</v>
      </c>
      <c r="DH191" s="319" t="s">
        <v>190</v>
      </c>
      <c r="DI191" s="319" t="s">
        <v>190</v>
      </c>
      <c r="DJ191" s="319" t="s">
        <v>190</v>
      </c>
      <c r="DK191" s="319" t="s">
        <v>190</v>
      </c>
      <c r="DL191" s="319" t="s">
        <v>190</v>
      </c>
      <c r="DM191" s="319" t="s">
        <v>190</v>
      </c>
      <c r="DN191" s="319" t="s">
        <v>428</v>
      </c>
      <c r="DO191" s="319" t="s">
        <v>190</v>
      </c>
      <c r="DP191" s="319" t="s">
        <v>190</v>
      </c>
      <c r="DQ191" s="319" t="s">
        <v>190</v>
      </c>
      <c r="DR191" s="319" t="s">
        <v>190</v>
      </c>
      <c r="DS191" s="319" t="s">
        <v>190</v>
      </c>
      <c r="DT191" s="319" t="s">
        <v>190</v>
      </c>
      <c r="DU191" s="319" t="s">
        <v>190</v>
      </c>
      <c r="DV191" s="319" t="s">
        <v>173</v>
      </c>
      <c r="DW191" s="319" t="s">
        <v>190</v>
      </c>
      <c r="DX191" s="319" t="s">
        <v>190</v>
      </c>
      <c r="DY191" s="319" t="s">
        <v>190</v>
      </c>
      <c r="DZ191" s="319" t="s">
        <v>190</v>
      </c>
      <c r="EA191" s="319" t="s">
        <v>190</v>
      </c>
      <c r="EB191" s="319" t="s">
        <v>190</v>
      </c>
      <c r="EC191" s="319" t="s">
        <v>428</v>
      </c>
      <c r="ED191" s="319" t="s">
        <v>428</v>
      </c>
      <c r="EE191" s="319" t="s">
        <v>190</v>
      </c>
      <c r="EF191" s="319" t="s">
        <v>190</v>
      </c>
      <c r="EG191" s="319" t="s">
        <v>190</v>
      </c>
      <c r="EH191" s="319" t="s">
        <v>190</v>
      </c>
      <c r="EI191" s="319" t="s">
        <v>428</v>
      </c>
      <c r="EJ191" s="319" t="s">
        <v>428</v>
      </c>
      <c r="EK191" s="319" t="s">
        <v>428</v>
      </c>
      <c r="EL191" s="319" t="s">
        <v>428</v>
      </c>
      <c r="EM191" s="319" t="s">
        <v>428</v>
      </c>
      <c r="EN191" s="319" t="s">
        <v>190</v>
      </c>
      <c r="EO191" s="319" t="s">
        <v>190</v>
      </c>
      <c r="EP191" s="319" t="s">
        <v>190</v>
      </c>
      <c r="EQ191" s="319" t="s">
        <v>190</v>
      </c>
      <c r="ER191" s="319" t="s">
        <v>190</v>
      </c>
      <c r="ES191" s="319" t="s">
        <v>190</v>
      </c>
      <c r="ET191" s="319" t="s">
        <v>190</v>
      </c>
      <c r="EU191" s="319" t="s">
        <v>190</v>
      </c>
      <c r="EV191" s="319" t="s">
        <v>190</v>
      </c>
      <c r="EW191" s="319" t="s">
        <v>190</v>
      </c>
      <c r="EX191" s="319" t="s">
        <v>190</v>
      </c>
      <c r="EY191" s="319" t="s">
        <v>190</v>
      </c>
      <c r="EZ191" s="319" t="s">
        <v>190</v>
      </c>
      <c r="FA191" s="319" t="s">
        <v>190</v>
      </c>
      <c r="FB191" s="319" t="s">
        <v>190</v>
      </c>
      <c r="FC191" s="319" t="s">
        <v>190</v>
      </c>
      <c r="FD191" s="319" t="s">
        <v>190</v>
      </c>
      <c r="FE191" s="319" t="s">
        <v>190</v>
      </c>
      <c r="FF191" s="319" t="s">
        <v>190</v>
      </c>
      <c r="FG191" s="319" t="s">
        <v>190</v>
      </c>
      <c r="FH191" s="319" t="s">
        <v>190</v>
      </c>
      <c r="FI191" s="319" t="s">
        <v>190</v>
      </c>
      <c r="FJ191" s="319" t="s">
        <v>190</v>
      </c>
      <c r="FK191" s="319" t="s">
        <v>190</v>
      </c>
      <c r="FL191" s="319" t="s">
        <v>190</v>
      </c>
      <c r="FM191" s="319" t="s">
        <v>190</v>
      </c>
      <c r="FN191" s="319" t="s">
        <v>190</v>
      </c>
      <c r="FO191" s="319" t="s">
        <v>428</v>
      </c>
      <c r="FP191" s="319" t="s">
        <v>190</v>
      </c>
      <c r="FQ191" s="319" t="s">
        <v>190</v>
      </c>
      <c r="FR191" s="319" t="s">
        <v>190</v>
      </c>
      <c r="FS191" s="319" t="s">
        <v>428</v>
      </c>
      <c r="FT191" s="319" t="s">
        <v>428</v>
      </c>
      <c r="FU191" s="319" t="s">
        <v>190</v>
      </c>
      <c r="FV191" s="319" t="s">
        <v>190</v>
      </c>
      <c r="FW191" s="319" t="s">
        <v>190</v>
      </c>
      <c r="FX191" s="319" t="s">
        <v>190</v>
      </c>
      <c r="FY191" s="319" t="s">
        <v>190</v>
      </c>
      <c r="FZ191" s="319" t="s">
        <v>190</v>
      </c>
      <c r="GA191" s="319" t="s">
        <v>190</v>
      </c>
      <c r="GB191" s="319" t="s">
        <v>190</v>
      </c>
      <c r="GC191" s="319" t="s">
        <v>190</v>
      </c>
      <c r="GD191" s="319" t="s">
        <v>190</v>
      </c>
      <c r="GE191" s="319" t="s">
        <v>190</v>
      </c>
      <c r="GF191" s="319" t="s">
        <v>190</v>
      </c>
      <c r="GG191" s="319" t="s">
        <v>190</v>
      </c>
      <c r="GH191" s="319" t="s">
        <v>190</v>
      </c>
      <c r="GI191" s="319" t="s">
        <v>190</v>
      </c>
      <c r="GJ191" s="319" t="s">
        <v>190</v>
      </c>
      <c r="GK191" s="319" t="s">
        <v>428</v>
      </c>
      <c r="GL191" s="319" t="s">
        <v>190</v>
      </c>
      <c r="GM191" s="319" t="s">
        <v>190</v>
      </c>
      <c r="GN191" s="319" t="s">
        <v>190</v>
      </c>
      <c r="GO191" s="319" t="s">
        <v>190</v>
      </c>
      <c r="GP191" s="319" t="s">
        <v>190</v>
      </c>
      <c r="GQ191" s="319" t="s">
        <v>190</v>
      </c>
      <c r="GR191" s="319" t="s">
        <v>190</v>
      </c>
      <c r="GS191" s="319" t="s">
        <v>190</v>
      </c>
      <c r="GT191" s="319" t="s">
        <v>428</v>
      </c>
      <c r="GU191" s="319" t="s">
        <v>428</v>
      </c>
      <c r="GV191" s="319" t="s">
        <v>190</v>
      </c>
      <c r="GW191" s="319" t="s">
        <v>190</v>
      </c>
      <c r="GX191" s="319" t="s">
        <v>190</v>
      </c>
      <c r="GY191" s="319" t="s">
        <v>190</v>
      </c>
      <c r="GZ191" s="319" t="s">
        <v>190</v>
      </c>
      <c r="HA191" s="319" t="s">
        <v>428</v>
      </c>
      <c r="HB191" s="319" t="s">
        <v>428</v>
      </c>
      <c r="HC191" s="319" t="s">
        <v>190</v>
      </c>
      <c r="HD191" s="319" t="s">
        <v>190</v>
      </c>
      <c r="HE191" s="319" t="s">
        <v>190</v>
      </c>
      <c r="HF191" s="319" t="s">
        <v>190</v>
      </c>
      <c r="HG191" s="319" t="s">
        <v>190</v>
      </c>
      <c r="HH191" s="319" t="s">
        <v>190</v>
      </c>
      <c r="HI191" s="319" t="s">
        <v>190</v>
      </c>
      <c r="HJ191" s="319" t="s">
        <v>190</v>
      </c>
      <c r="HK191" s="319" t="s">
        <v>190</v>
      </c>
      <c r="HL191" s="319" t="s">
        <v>190</v>
      </c>
      <c r="HM191" s="319" t="s">
        <v>428</v>
      </c>
      <c r="HN191" s="319" t="s">
        <v>428</v>
      </c>
      <c r="HO191" s="319" t="s">
        <v>428</v>
      </c>
      <c r="HP191" s="319" t="s">
        <v>190</v>
      </c>
      <c r="HQ191" s="319" t="s">
        <v>190</v>
      </c>
      <c r="HR191" s="319" t="s">
        <v>190</v>
      </c>
      <c r="HS191" s="319" t="s">
        <v>190</v>
      </c>
      <c r="HT191" s="319" t="s">
        <v>190</v>
      </c>
      <c r="HU191" s="319" t="s">
        <v>190</v>
      </c>
      <c r="HV191" s="319" t="s">
        <v>190</v>
      </c>
      <c r="HW191" s="319" t="s">
        <v>190</v>
      </c>
      <c r="HX191" s="319" t="s">
        <v>190</v>
      </c>
      <c r="HY191" s="319" t="s">
        <v>190</v>
      </c>
      <c r="HZ191" s="319" t="s">
        <v>190</v>
      </c>
      <c r="IA191" s="319" t="s">
        <v>190</v>
      </c>
      <c r="IB191" s="319" t="s">
        <v>190</v>
      </c>
      <c r="IC191" s="319" t="s">
        <v>428</v>
      </c>
      <c r="ID191" s="319" t="s">
        <v>428</v>
      </c>
      <c r="IE191" s="319" t="s">
        <v>428</v>
      </c>
      <c r="IF191" s="319" t="s">
        <v>190</v>
      </c>
      <c r="IG191" s="319" t="s">
        <v>190</v>
      </c>
      <c r="IH191" s="319" t="s">
        <v>190</v>
      </c>
      <c r="II191" s="319" t="s">
        <v>190</v>
      </c>
      <c r="IJ191" s="319">
        <v>10038902</v>
      </c>
      <c r="IK191" s="321">
        <v>43074</v>
      </c>
      <c r="IL191" s="321">
        <v>43076</v>
      </c>
      <c r="IM191" s="321">
        <v>43129</v>
      </c>
      <c r="IN191" s="319">
        <v>4</v>
      </c>
      <c r="IO191" s="319" t="s">
        <v>173</v>
      </c>
      <c r="IP191" s="319" t="s">
        <v>173</v>
      </c>
      <c r="IQ191" s="321" t="s">
        <v>173</v>
      </c>
      <c r="IR191" s="320" t="s">
        <v>173</v>
      </c>
      <c r="IS191" s="322" t="s">
        <v>173</v>
      </c>
      <c r="IT191" s="319" t="s">
        <v>173</v>
      </c>
    </row>
    <row r="192" spans="1:254" s="271" customFormat="1" x14ac:dyDescent="0.25">
      <c r="A192" s="318" t="str">
        <f>HYPERLINK("http://www.ofsted.gov.uk/inspection-reports/find-inspection-report/provider/ELS/118123 ","Ofsted School Webpage")</f>
        <v>Ofsted School Webpage</v>
      </c>
      <c r="B192" s="319">
        <v>118123</v>
      </c>
      <c r="C192" s="319">
        <v>8106000</v>
      </c>
      <c r="D192" s="319" t="s">
        <v>848</v>
      </c>
      <c r="E192" s="319" t="s">
        <v>167</v>
      </c>
      <c r="F192" s="319" t="s">
        <v>81</v>
      </c>
      <c r="G192" s="319" t="s">
        <v>81</v>
      </c>
      <c r="H192" s="319" t="s">
        <v>81</v>
      </c>
      <c r="I192" s="319" t="s">
        <v>78</v>
      </c>
      <c r="J192" s="319" t="s">
        <v>424</v>
      </c>
      <c r="K192" s="319" t="s">
        <v>458</v>
      </c>
      <c r="L192" s="319" t="s">
        <v>459</v>
      </c>
      <c r="M192" s="319" t="s">
        <v>794</v>
      </c>
      <c r="N192" s="319" t="s">
        <v>2974</v>
      </c>
      <c r="O192" s="319" t="s">
        <v>849</v>
      </c>
      <c r="P192" s="319">
        <v>139</v>
      </c>
      <c r="Q192" s="319" t="s">
        <v>2766</v>
      </c>
      <c r="R192" s="320">
        <v>10061242</v>
      </c>
      <c r="S192" s="321">
        <v>43487</v>
      </c>
      <c r="T192" s="321">
        <v>43489</v>
      </c>
      <c r="U192" s="321">
        <v>43509</v>
      </c>
      <c r="V192" s="319" t="s">
        <v>425</v>
      </c>
      <c r="W192" s="319" t="s">
        <v>2767</v>
      </c>
      <c r="X192" s="319">
        <v>2</v>
      </c>
      <c r="Y192" s="319" t="s">
        <v>173</v>
      </c>
      <c r="Z192" s="319" t="s">
        <v>173</v>
      </c>
      <c r="AA192" s="319" t="s">
        <v>173</v>
      </c>
      <c r="AB192" s="319">
        <v>2</v>
      </c>
      <c r="AC192" s="319" t="s">
        <v>169</v>
      </c>
      <c r="AD192" s="319">
        <v>2</v>
      </c>
      <c r="AE192" s="319" t="s">
        <v>173</v>
      </c>
      <c r="AF192" s="319" t="s">
        <v>427</v>
      </c>
      <c r="AG192" s="319" t="s">
        <v>171</v>
      </c>
      <c r="AH192" s="319" t="s">
        <v>190</v>
      </c>
      <c r="AI192" s="319" t="s">
        <v>190</v>
      </c>
      <c r="AJ192" s="319" t="s">
        <v>190</v>
      </c>
      <c r="AK192" s="319" t="s">
        <v>190</v>
      </c>
      <c r="AL192" s="319" t="s">
        <v>190</v>
      </c>
      <c r="AM192" s="319" t="s">
        <v>190</v>
      </c>
      <c r="AN192" s="319" t="s">
        <v>190</v>
      </c>
      <c r="AO192" s="319" t="s">
        <v>190</v>
      </c>
      <c r="AP192" s="319" t="s">
        <v>190</v>
      </c>
      <c r="AQ192" s="319" t="s">
        <v>190</v>
      </c>
      <c r="AR192" s="319" t="s">
        <v>190</v>
      </c>
      <c r="AS192" s="319" t="s">
        <v>190</v>
      </c>
      <c r="AT192" s="319" t="s">
        <v>190</v>
      </c>
      <c r="AU192" s="319" t="s">
        <v>190</v>
      </c>
      <c r="AV192" s="319" t="s">
        <v>190</v>
      </c>
      <c r="AW192" s="319" t="s">
        <v>190</v>
      </c>
      <c r="AX192" s="319" t="s">
        <v>428</v>
      </c>
      <c r="AY192" s="319" t="s">
        <v>190</v>
      </c>
      <c r="AZ192" s="319" t="s">
        <v>190</v>
      </c>
      <c r="BA192" s="319" t="s">
        <v>190</v>
      </c>
      <c r="BB192" s="319" t="s">
        <v>428</v>
      </c>
      <c r="BC192" s="319" t="s">
        <v>428</v>
      </c>
      <c r="BD192" s="319" t="s">
        <v>428</v>
      </c>
      <c r="BE192" s="319" t="s">
        <v>428</v>
      </c>
      <c r="BF192" s="319" t="s">
        <v>190</v>
      </c>
      <c r="BG192" s="319" t="s">
        <v>428</v>
      </c>
      <c r="BH192" s="319" t="s">
        <v>190</v>
      </c>
      <c r="BI192" s="319" t="s">
        <v>190</v>
      </c>
      <c r="BJ192" s="319" t="s">
        <v>190</v>
      </c>
      <c r="BK192" s="319" t="s">
        <v>190</v>
      </c>
      <c r="BL192" s="319" t="s">
        <v>190</v>
      </c>
      <c r="BM192" s="319" t="s">
        <v>190</v>
      </c>
      <c r="BN192" s="319" t="s">
        <v>190</v>
      </c>
      <c r="BO192" s="319" t="s">
        <v>190</v>
      </c>
      <c r="BP192" s="319" t="s">
        <v>190</v>
      </c>
      <c r="BQ192" s="319" t="s">
        <v>190</v>
      </c>
      <c r="BR192" s="319" t="s">
        <v>190</v>
      </c>
      <c r="BS192" s="319" t="s">
        <v>190</v>
      </c>
      <c r="BT192" s="319" t="s">
        <v>190</v>
      </c>
      <c r="BU192" s="319" t="s">
        <v>190</v>
      </c>
      <c r="BV192" s="319" t="s">
        <v>190</v>
      </c>
      <c r="BW192" s="319" t="s">
        <v>190</v>
      </c>
      <c r="BX192" s="319" t="s">
        <v>190</v>
      </c>
      <c r="BY192" s="319" t="s">
        <v>190</v>
      </c>
      <c r="BZ192" s="319" t="s">
        <v>190</v>
      </c>
      <c r="CA192" s="319" t="s">
        <v>190</v>
      </c>
      <c r="CB192" s="319" t="s">
        <v>190</v>
      </c>
      <c r="CC192" s="319" t="s">
        <v>190</v>
      </c>
      <c r="CD192" s="319" t="s">
        <v>190</v>
      </c>
      <c r="CE192" s="319" t="s">
        <v>190</v>
      </c>
      <c r="CF192" s="319" t="s">
        <v>190</v>
      </c>
      <c r="CG192" s="319" t="s">
        <v>190</v>
      </c>
      <c r="CH192" s="319" t="s">
        <v>190</v>
      </c>
      <c r="CI192" s="319" t="s">
        <v>190</v>
      </c>
      <c r="CJ192" s="319" t="s">
        <v>190</v>
      </c>
      <c r="CK192" s="319" t="s">
        <v>190</v>
      </c>
      <c r="CL192" s="319" t="s">
        <v>190</v>
      </c>
      <c r="CM192" s="319" t="s">
        <v>190</v>
      </c>
      <c r="CN192" s="319" t="s">
        <v>428</v>
      </c>
      <c r="CO192" s="319" t="s">
        <v>428</v>
      </c>
      <c r="CP192" s="319" t="s">
        <v>428</v>
      </c>
      <c r="CQ192" s="319" t="s">
        <v>190</v>
      </c>
      <c r="CR192" s="319" t="s">
        <v>190</v>
      </c>
      <c r="CS192" s="319" t="s">
        <v>190</v>
      </c>
      <c r="CT192" s="319" t="s">
        <v>190</v>
      </c>
      <c r="CU192" s="319" t="s">
        <v>190</v>
      </c>
      <c r="CV192" s="319" t="s">
        <v>190</v>
      </c>
      <c r="CW192" s="319" t="s">
        <v>190</v>
      </c>
      <c r="CX192" s="319" t="s">
        <v>190</v>
      </c>
      <c r="CY192" s="319" t="s">
        <v>190</v>
      </c>
      <c r="CZ192" s="319" t="s">
        <v>190</v>
      </c>
      <c r="DA192" s="319" t="s">
        <v>190</v>
      </c>
      <c r="DB192" s="319" t="s">
        <v>190</v>
      </c>
      <c r="DC192" s="319" t="s">
        <v>190</v>
      </c>
      <c r="DD192" s="319" t="s">
        <v>190</v>
      </c>
      <c r="DE192" s="319" t="s">
        <v>190</v>
      </c>
      <c r="DF192" s="319" t="s">
        <v>190</v>
      </c>
      <c r="DG192" s="319" t="s">
        <v>190</v>
      </c>
      <c r="DH192" s="319" t="s">
        <v>190</v>
      </c>
      <c r="DI192" s="319" t="s">
        <v>190</v>
      </c>
      <c r="DJ192" s="319" t="s">
        <v>190</v>
      </c>
      <c r="DK192" s="319" t="s">
        <v>190</v>
      </c>
      <c r="DL192" s="319" t="s">
        <v>190</v>
      </c>
      <c r="DM192" s="319" t="s">
        <v>190</v>
      </c>
      <c r="DN192" s="319" t="s">
        <v>428</v>
      </c>
      <c r="DO192" s="319" t="s">
        <v>190</v>
      </c>
      <c r="DP192" s="319" t="s">
        <v>190</v>
      </c>
      <c r="DQ192" s="319" t="s">
        <v>190</v>
      </c>
      <c r="DR192" s="319" t="s">
        <v>190</v>
      </c>
      <c r="DS192" s="319" t="s">
        <v>190</v>
      </c>
      <c r="DT192" s="319" t="s">
        <v>190</v>
      </c>
      <c r="DU192" s="319" t="s">
        <v>190</v>
      </c>
      <c r="DV192" s="319" t="s">
        <v>173</v>
      </c>
      <c r="DW192" s="319" t="s">
        <v>190</v>
      </c>
      <c r="DX192" s="319" t="s">
        <v>190</v>
      </c>
      <c r="DY192" s="319" t="s">
        <v>190</v>
      </c>
      <c r="DZ192" s="319" t="s">
        <v>190</v>
      </c>
      <c r="EA192" s="319" t="s">
        <v>190</v>
      </c>
      <c r="EB192" s="319" t="s">
        <v>190</v>
      </c>
      <c r="EC192" s="319" t="s">
        <v>428</v>
      </c>
      <c r="ED192" s="319" t="s">
        <v>190</v>
      </c>
      <c r="EE192" s="319" t="s">
        <v>428</v>
      </c>
      <c r="EF192" s="319" t="s">
        <v>428</v>
      </c>
      <c r="EG192" s="319" t="s">
        <v>428</v>
      </c>
      <c r="EH192" s="319" t="s">
        <v>428</v>
      </c>
      <c r="EI192" s="319" t="s">
        <v>428</v>
      </c>
      <c r="EJ192" s="319" t="s">
        <v>428</v>
      </c>
      <c r="EK192" s="319" t="s">
        <v>428</v>
      </c>
      <c r="EL192" s="319" t="s">
        <v>428</v>
      </c>
      <c r="EM192" s="319" t="s">
        <v>428</v>
      </c>
      <c r="EN192" s="319" t="s">
        <v>190</v>
      </c>
      <c r="EO192" s="319" t="s">
        <v>190</v>
      </c>
      <c r="EP192" s="319" t="s">
        <v>190</v>
      </c>
      <c r="EQ192" s="319" t="s">
        <v>190</v>
      </c>
      <c r="ER192" s="319" t="s">
        <v>190</v>
      </c>
      <c r="ES192" s="319" t="s">
        <v>190</v>
      </c>
      <c r="ET192" s="319" t="s">
        <v>190</v>
      </c>
      <c r="EU192" s="319" t="s">
        <v>190</v>
      </c>
      <c r="EV192" s="319" t="s">
        <v>190</v>
      </c>
      <c r="EW192" s="319" t="s">
        <v>190</v>
      </c>
      <c r="EX192" s="319" t="s">
        <v>190</v>
      </c>
      <c r="EY192" s="319" t="s">
        <v>190</v>
      </c>
      <c r="EZ192" s="319" t="s">
        <v>190</v>
      </c>
      <c r="FA192" s="319" t="s">
        <v>190</v>
      </c>
      <c r="FB192" s="319" t="s">
        <v>190</v>
      </c>
      <c r="FC192" s="319" t="s">
        <v>190</v>
      </c>
      <c r="FD192" s="319" t="s">
        <v>190</v>
      </c>
      <c r="FE192" s="319" t="s">
        <v>190</v>
      </c>
      <c r="FF192" s="319" t="s">
        <v>190</v>
      </c>
      <c r="FG192" s="319" t="s">
        <v>190</v>
      </c>
      <c r="FH192" s="319" t="s">
        <v>190</v>
      </c>
      <c r="FI192" s="319" t="s">
        <v>190</v>
      </c>
      <c r="FJ192" s="319" t="s">
        <v>190</v>
      </c>
      <c r="FK192" s="319" t="s">
        <v>190</v>
      </c>
      <c r="FL192" s="319" t="s">
        <v>190</v>
      </c>
      <c r="FM192" s="319" t="s">
        <v>190</v>
      </c>
      <c r="FN192" s="319" t="s">
        <v>190</v>
      </c>
      <c r="FO192" s="319" t="s">
        <v>190</v>
      </c>
      <c r="FP192" s="319" t="s">
        <v>190</v>
      </c>
      <c r="FQ192" s="319" t="s">
        <v>190</v>
      </c>
      <c r="FR192" s="319" t="s">
        <v>190</v>
      </c>
      <c r="FS192" s="319" t="s">
        <v>428</v>
      </c>
      <c r="FT192" s="319" t="s">
        <v>190</v>
      </c>
      <c r="FU192" s="319" t="s">
        <v>190</v>
      </c>
      <c r="FV192" s="319" t="s">
        <v>190</v>
      </c>
      <c r="FW192" s="319" t="s">
        <v>190</v>
      </c>
      <c r="FX192" s="319" t="s">
        <v>190</v>
      </c>
      <c r="FY192" s="319" t="s">
        <v>190</v>
      </c>
      <c r="FZ192" s="319" t="s">
        <v>190</v>
      </c>
      <c r="GA192" s="319" t="s">
        <v>190</v>
      </c>
      <c r="GB192" s="319" t="s">
        <v>190</v>
      </c>
      <c r="GC192" s="319" t="s">
        <v>190</v>
      </c>
      <c r="GD192" s="319" t="s">
        <v>190</v>
      </c>
      <c r="GE192" s="319" t="s">
        <v>190</v>
      </c>
      <c r="GF192" s="319" t="s">
        <v>190</v>
      </c>
      <c r="GG192" s="319" t="s">
        <v>190</v>
      </c>
      <c r="GH192" s="319" t="s">
        <v>190</v>
      </c>
      <c r="GI192" s="319" t="s">
        <v>190</v>
      </c>
      <c r="GJ192" s="319" t="s">
        <v>190</v>
      </c>
      <c r="GK192" s="319" t="s">
        <v>428</v>
      </c>
      <c r="GL192" s="319" t="s">
        <v>190</v>
      </c>
      <c r="GM192" s="319" t="s">
        <v>190</v>
      </c>
      <c r="GN192" s="319" t="s">
        <v>190</v>
      </c>
      <c r="GO192" s="319" t="s">
        <v>190</v>
      </c>
      <c r="GP192" s="319" t="s">
        <v>190</v>
      </c>
      <c r="GQ192" s="319" t="s">
        <v>190</v>
      </c>
      <c r="GR192" s="319" t="s">
        <v>190</v>
      </c>
      <c r="GS192" s="319" t="s">
        <v>190</v>
      </c>
      <c r="GT192" s="319" t="s">
        <v>428</v>
      </c>
      <c r="GU192" s="319" t="s">
        <v>428</v>
      </c>
      <c r="GV192" s="319" t="s">
        <v>190</v>
      </c>
      <c r="GW192" s="319" t="s">
        <v>190</v>
      </c>
      <c r="GX192" s="319" t="s">
        <v>190</v>
      </c>
      <c r="GY192" s="319" t="s">
        <v>190</v>
      </c>
      <c r="GZ192" s="319" t="s">
        <v>190</v>
      </c>
      <c r="HA192" s="319" t="s">
        <v>428</v>
      </c>
      <c r="HB192" s="319" t="s">
        <v>428</v>
      </c>
      <c r="HC192" s="319" t="s">
        <v>190</v>
      </c>
      <c r="HD192" s="319" t="s">
        <v>190</v>
      </c>
      <c r="HE192" s="319" t="s">
        <v>190</v>
      </c>
      <c r="HF192" s="319" t="s">
        <v>190</v>
      </c>
      <c r="HG192" s="319" t="s">
        <v>190</v>
      </c>
      <c r="HH192" s="319" t="s">
        <v>190</v>
      </c>
      <c r="HI192" s="319" t="s">
        <v>190</v>
      </c>
      <c r="HJ192" s="319" t="s">
        <v>190</v>
      </c>
      <c r="HK192" s="319" t="s">
        <v>190</v>
      </c>
      <c r="HL192" s="319" t="s">
        <v>190</v>
      </c>
      <c r="HM192" s="319" t="s">
        <v>190</v>
      </c>
      <c r="HN192" s="319" t="s">
        <v>190</v>
      </c>
      <c r="HO192" s="319" t="s">
        <v>190</v>
      </c>
      <c r="HP192" s="319" t="s">
        <v>190</v>
      </c>
      <c r="HQ192" s="319" t="s">
        <v>190</v>
      </c>
      <c r="HR192" s="319" t="s">
        <v>190</v>
      </c>
      <c r="HS192" s="319" t="s">
        <v>190</v>
      </c>
      <c r="HT192" s="319" t="s">
        <v>190</v>
      </c>
      <c r="HU192" s="319" t="s">
        <v>190</v>
      </c>
      <c r="HV192" s="319" t="s">
        <v>190</v>
      </c>
      <c r="HW192" s="319" t="s">
        <v>190</v>
      </c>
      <c r="HX192" s="319" t="s">
        <v>190</v>
      </c>
      <c r="HY192" s="319" t="s">
        <v>190</v>
      </c>
      <c r="HZ192" s="319" t="s">
        <v>190</v>
      </c>
      <c r="IA192" s="319" t="s">
        <v>190</v>
      </c>
      <c r="IB192" s="319" t="s">
        <v>190</v>
      </c>
      <c r="IC192" s="319" t="s">
        <v>190</v>
      </c>
      <c r="ID192" s="319" t="s">
        <v>190</v>
      </c>
      <c r="IE192" s="319" t="s">
        <v>190</v>
      </c>
      <c r="IF192" s="319" t="s">
        <v>190</v>
      </c>
      <c r="IG192" s="319" t="s">
        <v>190</v>
      </c>
      <c r="IH192" s="319" t="s">
        <v>190</v>
      </c>
      <c r="II192" s="319" t="s">
        <v>190</v>
      </c>
      <c r="IJ192" s="319">
        <v>10040141</v>
      </c>
      <c r="IK192" s="321">
        <v>43025</v>
      </c>
      <c r="IL192" s="321">
        <v>43027</v>
      </c>
      <c r="IM192" s="321">
        <v>43066</v>
      </c>
      <c r="IN192" s="319">
        <v>3</v>
      </c>
      <c r="IO192" s="319" t="s">
        <v>173</v>
      </c>
      <c r="IP192" s="319" t="s">
        <v>173</v>
      </c>
      <c r="IQ192" s="321" t="s">
        <v>173</v>
      </c>
      <c r="IR192" s="320" t="s">
        <v>173</v>
      </c>
      <c r="IS192" s="322" t="s">
        <v>173</v>
      </c>
      <c r="IT192" s="319" t="s">
        <v>173</v>
      </c>
    </row>
    <row r="193" spans="1:254" s="271" customFormat="1" x14ac:dyDescent="0.25">
      <c r="A193" s="318" t="str">
        <f>HYPERLINK("http://www.ofsted.gov.uk/inspection-reports/find-inspection-report/provider/ELS/118127 ","Ofsted School Webpage")</f>
        <v>Ofsted School Webpage</v>
      </c>
      <c r="B193" s="319">
        <v>118127</v>
      </c>
      <c r="C193" s="319">
        <v>8116001</v>
      </c>
      <c r="D193" s="319" t="s">
        <v>856</v>
      </c>
      <c r="E193" s="319" t="s">
        <v>167</v>
      </c>
      <c r="F193" s="319" t="s">
        <v>81</v>
      </c>
      <c r="G193" s="319" t="s">
        <v>81</v>
      </c>
      <c r="H193" s="319" t="s">
        <v>81</v>
      </c>
      <c r="I193" s="319" t="s">
        <v>78</v>
      </c>
      <c r="J193" s="319" t="s">
        <v>424</v>
      </c>
      <c r="K193" s="319" t="s">
        <v>458</v>
      </c>
      <c r="L193" s="319" t="s">
        <v>459</v>
      </c>
      <c r="M193" s="319" t="s">
        <v>857</v>
      </c>
      <c r="N193" s="319" t="s">
        <v>2975</v>
      </c>
      <c r="O193" s="319" t="s">
        <v>858</v>
      </c>
      <c r="P193" s="319">
        <v>128</v>
      </c>
      <c r="Q193" s="319" t="s">
        <v>2766</v>
      </c>
      <c r="R193" s="320">
        <v>10061243</v>
      </c>
      <c r="S193" s="321">
        <v>43487</v>
      </c>
      <c r="T193" s="321">
        <v>43489</v>
      </c>
      <c r="U193" s="321">
        <v>43541</v>
      </c>
      <c r="V193" s="319" t="s">
        <v>425</v>
      </c>
      <c r="W193" s="319" t="s">
        <v>2767</v>
      </c>
      <c r="X193" s="319">
        <v>4</v>
      </c>
      <c r="Y193" s="319" t="s">
        <v>173</v>
      </c>
      <c r="Z193" s="319" t="s">
        <v>173</v>
      </c>
      <c r="AA193" s="319" t="s">
        <v>173</v>
      </c>
      <c r="AB193" s="319">
        <v>4</v>
      </c>
      <c r="AC193" s="319" t="s">
        <v>170</v>
      </c>
      <c r="AD193" s="319">
        <v>4</v>
      </c>
      <c r="AE193" s="319" t="s">
        <v>173</v>
      </c>
      <c r="AF193" s="319" t="s">
        <v>427</v>
      </c>
      <c r="AG193" s="319" t="s">
        <v>172</v>
      </c>
      <c r="AH193" s="319" t="s">
        <v>190</v>
      </c>
      <c r="AI193" s="319" t="s">
        <v>190</v>
      </c>
      <c r="AJ193" s="319" t="s">
        <v>479</v>
      </c>
      <c r="AK193" s="319" t="s">
        <v>479</v>
      </c>
      <c r="AL193" s="319" t="s">
        <v>479</v>
      </c>
      <c r="AM193" s="319" t="s">
        <v>190</v>
      </c>
      <c r="AN193" s="319" t="s">
        <v>190</v>
      </c>
      <c r="AO193" s="319" t="s">
        <v>479</v>
      </c>
      <c r="AP193" s="319" t="s">
        <v>190</v>
      </c>
      <c r="AQ193" s="319" t="s">
        <v>190</v>
      </c>
      <c r="AR193" s="319" t="s">
        <v>190</v>
      </c>
      <c r="AS193" s="319" t="s">
        <v>190</v>
      </c>
      <c r="AT193" s="319" t="s">
        <v>190</v>
      </c>
      <c r="AU193" s="319" t="s">
        <v>190</v>
      </c>
      <c r="AV193" s="319" t="s">
        <v>190</v>
      </c>
      <c r="AW193" s="319" t="s">
        <v>190</v>
      </c>
      <c r="AX193" s="319" t="s">
        <v>428</v>
      </c>
      <c r="AY193" s="319" t="s">
        <v>190</v>
      </c>
      <c r="AZ193" s="319" t="s">
        <v>190</v>
      </c>
      <c r="BA193" s="319" t="s">
        <v>190</v>
      </c>
      <c r="BB193" s="319" t="s">
        <v>428</v>
      </c>
      <c r="BC193" s="319" t="s">
        <v>428</v>
      </c>
      <c r="BD193" s="319" t="s">
        <v>428</v>
      </c>
      <c r="BE193" s="319" t="s">
        <v>428</v>
      </c>
      <c r="BF193" s="319" t="s">
        <v>190</v>
      </c>
      <c r="BG193" s="319" t="s">
        <v>428</v>
      </c>
      <c r="BH193" s="319" t="s">
        <v>190</v>
      </c>
      <c r="BI193" s="319" t="s">
        <v>190</v>
      </c>
      <c r="BJ193" s="319" t="s">
        <v>190</v>
      </c>
      <c r="BK193" s="319" t="s">
        <v>190</v>
      </c>
      <c r="BL193" s="319" t="s">
        <v>190</v>
      </c>
      <c r="BM193" s="319" t="s">
        <v>190</v>
      </c>
      <c r="BN193" s="319" t="s">
        <v>190</v>
      </c>
      <c r="BO193" s="319" t="s">
        <v>190</v>
      </c>
      <c r="BP193" s="319" t="s">
        <v>190</v>
      </c>
      <c r="BQ193" s="319" t="s">
        <v>190</v>
      </c>
      <c r="BR193" s="319" t="s">
        <v>190</v>
      </c>
      <c r="BS193" s="319" t="s">
        <v>190</v>
      </c>
      <c r="BT193" s="319" t="s">
        <v>190</v>
      </c>
      <c r="BU193" s="319" t="s">
        <v>190</v>
      </c>
      <c r="BV193" s="319" t="s">
        <v>190</v>
      </c>
      <c r="BW193" s="319" t="s">
        <v>190</v>
      </c>
      <c r="BX193" s="319" t="s">
        <v>190</v>
      </c>
      <c r="BY193" s="319" t="s">
        <v>190</v>
      </c>
      <c r="BZ193" s="319" t="s">
        <v>190</v>
      </c>
      <c r="CA193" s="319" t="s">
        <v>190</v>
      </c>
      <c r="CB193" s="319" t="s">
        <v>190</v>
      </c>
      <c r="CC193" s="319" t="s">
        <v>190</v>
      </c>
      <c r="CD193" s="319" t="s">
        <v>190</v>
      </c>
      <c r="CE193" s="319" t="s">
        <v>190</v>
      </c>
      <c r="CF193" s="319" t="s">
        <v>190</v>
      </c>
      <c r="CG193" s="319" t="s">
        <v>190</v>
      </c>
      <c r="CH193" s="319" t="s">
        <v>190</v>
      </c>
      <c r="CI193" s="319" t="s">
        <v>190</v>
      </c>
      <c r="CJ193" s="319" t="s">
        <v>190</v>
      </c>
      <c r="CK193" s="319" t="s">
        <v>191</v>
      </c>
      <c r="CL193" s="319" t="s">
        <v>191</v>
      </c>
      <c r="CM193" s="319" t="s">
        <v>191</v>
      </c>
      <c r="CN193" s="319" t="s">
        <v>428</v>
      </c>
      <c r="CO193" s="319" t="s">
        <v>428</v>
      </c>
      <c r="CP193" s="319" t="s">
        <v>428</v>
      </c>
      <c r="CQ193" s="319" t="s">
        <v>190</v>
      </c>
      <c r="CR193" s="319" t="s">
        <v>190</v>
      </c>
      <c r="CS193" s="319" t="s">
        <v>190</v>
      </c>
      <c r="CT193" s="319" t="s">
        <v>190</v>
      </c>
      <c r="CU193" s="319" t="s">
        <v>190</v>
      </c>
      <c r="CV193" s="319" t="s">
        <v>190</v>
      </c>
      <c r="CW193" s="319" t="s">
        <v>190</v>
      </c>
      <c r="CX193" s="319" t="s">
        <v>190</v>
      </c>
      <c r="CY193" s="319" t="s">
        <v>190</v>
      </c>
      <c r="CZ193" s="319" t="s">
        <v>191</v>
      </c>
      <c r="DA193" s="319" t="s">
        <v>191</v>
      </c>
      <c r="DB193" s="319" t="s">
        <v>190</v>
      </c>
      <c r="DC193" s="319" t="s">
        <v>191</v>
      </c>
      <c r="DD193" s="319" t="s">
        <v>191</v>
      </c>
      <c r="DE193" s="319" t="s">
        <v>190</v>
      </c>
      <c r="DF193" s="319" t="s">
        <v>190</v>
      </c>
      <c r="DG193" s="319" t="s">
        <v>191</v>
      </c>
      <c r="DH193" s="319" t="s">
        <v>190</v>
      </c>
      <c r="DI193" s="319" t="s">
        <v>191</v>
      </c>
      <c r="DJ193" s="319" t="s">
        <v>190</v>
      </c>
      <c r="DK193" s="319" t="s">
        <v>190</v>
      </c>
      <c r="DL193" s="319" t="s">
        <v>190</v>
      </c>
      <c r="DM193" s="319" t="s">
        <v>190</v>
      </c>
      <c r="DN193" s="319" t="s">
        <v>428</v>
      </c>
      <c r="DO193" s="319" t="s">
        <v>191</v>
      </c>
      <c r="DP193" s="319" t="s">
        <v>428</v>
      </c>
      <c r="DQ193" s="319" t="s">
        <v>428</v>
      </c>
      <c r="DR193" s="319" t="s">
        <v>428</v>
      </c>
      <c r="DS193" s="319" t="s">
        <v>428</v>
      </c>
      <c r="DT193" s="319" t="s">
        <v>428</v>
      </c>
      <c r="DU193" s="319" t="s">
        <v>428</v>
      </c>
      <c r="DV193" s="319" t="s">
        <v>173</v>
      </c>
      <c r="DW193" s="319" t="s">
        <v>428</v>
      </c>
      <c r="DX193" s="319" t="s">
        <v>428</v>
      </c>
      <c r="DY193" s="319" t="s">
        <v>428</v>
      </c>
      <c r="DZ193" s="319" t="s">
        <v>428</v>
      </c>
      <c r="EA193" s="319" t="s">
        <v>428</v>
      </c>
      <c r="EB193" s="319" t="s">
        <v>428</v>
      </c>
      <c r="EC193" s="319" t="s">
        <v>428</v>
      </c>
      <c r="ED193" s="319" t="s">
        <v>190</v>
      </c>
      <c r="EE193" s="319" t="s">
        <v>190</v>
      </c>
      <c r="EF193" s="319" t="s">
        <v>190</v>
      </c>
      <c r="EG193" s="319" t="s">
        <v>190</v>
      </c>
      <c r="EH193" s="319" t="s">
        <v>190</v>
      </c>
      <c r="EI193" s="319" t="s">
        <v>190</v>
      </c>
      <c r="EJ193" s="319" t="s">
        <v>190</v>
      </c>
      <c r="EK193" s="319" t="s">
        <v>190</v>
      </c>
      <c r="EL193" s="319" t="s">
        <v>428</v>
      </c>
      <c r="EM193" s="319" t="s">
        <v>190</v>
      </c>
      <c r="EN193" s="319" t="s">
        <v>191</v>
      </c>
      <c r="EO193" s="319" t="s">
        <v>190</v>
      </c>
      <c r="EP193" s="319" t="s">
        <v>191</v>
      </c>
      <c r="EQ193" s="319" t="s">
        <v>191</v>
      </c>
      <c r="ER193" s="319" t="s">
        <v>190</v>
      </c>
      <c r="ES193" s="319" t="s">
        <v>190</v>
      </c>
      <c r="ET193" s="319" t="s">
        <v>190</v>
      </c>
      <c r="EU193" s="319" t="s">
        <v>191</v>
      </c>
      <c r="EV193" s="319" t="s">
        <v>190</v>
      </c>
      <c r="EW193" s="319" t="s">
        <v>190</v>
      </c>
      <c r="EX193" s="319" t="s">
        <v>190</v>
      </c>
      <c r="EY193" s="319" t="s">
        <v>428</v>
      </c>
      <c r="EZ193" s="319" t="s">
        <v>190</v>
      </c>
      <c r="FA193" s="319" t="s">
        <v>191</v>
      </c>
      <c r="FB193" s="319" t="s">
        <v>428</v>
      </c>
      <c r="FC193" s="319" t="s">
        <v>428</v>
      </c>
      <c r="FD193" s="319" t="s">
        <v>428</v>
      </c>
      <c r="FE193" s="319" t="s">
        <v>428</v>
      </c>
      <c r="FF193" s="319" t="s">
        <v>428</v>
      </c>
      <c r="FG193" s="319" t="s">
        <v>428</v>
      </c>
      <c r="FH193" s="319" t="s">
        <v>190</v>
      </c>
      <c r="FI193" s="319" t="s">
        <v>190</v>
      </c>
      <c r="FJ193" s="319" t="s">
        <v>190</v>
      </c>
      <c r="FK193" s="319" t="s">
        <v>190</v>
      </c>
      <c r="FL193" s="319" t="s">
        <v>190</v>
      </c>
      <c r="FM193" s="319" t="s">
        <v>190</v>
      </c>
      <c r="FN193" s="319" t="s">
        <v>190</v>
      </c>
      <c r="FO193" s="319" t="s">
        <v>428</v>
      </c>
      <c r="FP193" s="319" t="s">
        <v>190</v>
      </c>
      <c r="FQ193" s="319" t="s">
        <v>190</v>
      </c>
      <c r="FR193" s="319" t="s">
        <v>190</v>
      </c>
      <c r="FS193" s="319" t="s">
        <v>190</v>
      </c>
      <c r="FT193" s="319" t="s">
        <v>190</v>
      </c>
      <c r="FU193" s="319" t="s">
        <v>191</v>
      </c>
      <c r="FV193" s="319" t="s">
        <v>190</v>
      </c>
      <c r="FW193" s="319" t="s">
        <v>190</v>
      </c>
      <c r="FX193" s="319" t="s">
        <v>190</v>
      </c>
      <c r="FY193" s="319" t="s">
        <v>190</v>
      </c>
      <c r="FZ193" s="319" t="s">
        <v>190</v>
      </c>
      <c r="GA193" s="319" t="s">
        <v>190</v>
      </c>
      <c r="GB193" s="319" t="s">
        <v>190</v>
      </c>
      <c r="GC193" s="319" t="s">
        <v>190</v>
      </c>
      <c r="GD193" s="319" t="s">
        <v>190</v>
      </c>
      <c r="GE193" s="319" t="s">
        <v>190</v>
      </c>
      <c r="GF193" s="319" t="s">
        <v>190</v>
      </c>
      <c r="GG193" s="319" t="s">
        <v>190</v>
      </c>
      <c r="GH193" s="319" t="s">
        <v>190</v>
      </c>
      <c r="GI193" s="319" t="s">
        <v>190</v>
      </c>
      <c r="GJ193" s="319" t="s">
        <v>190</v>
      </c>
      <c r="GK193" s="319" t="s">
        <v>428</v>
      </c>
      <c r="GL193" s="319" t="s">
        <v>190</v>
      </c>
      <c r="GM193" s="319" t="s">
        <v>190</v>
      </c>
      <c r="GN193" s="319" t="s">
        <v>190</v>
      </c>
      <c r="GO193" s="319" t="s">
        <v>190</v>
      </c>
      <c r="GP193" s="319" t="s">
        <v>190</v>
      </c>
      <c r="GQ193" s="319" t="s">
        <v>190</v>
      </c>
      <c r="GR193" s="319" t="s">
        <v>190</v>
      </c>
      <c r="GS193" s="319" t="s">
        <v>190</v>
      </c>
      <c r="GT193" s="319" t="s">
        <v>190</v>
      </c>
      <c r="GU193" s="319" t="s">
        <v>190</v>
      </c>
      <c r="GV193" s="319" t="s">
        <v>190</v>
      </c>
      <c r="GW193" s="319" t="s">
        <v>190</v>
      </c>
      <c r="GX193" s="319" t="s">
        <v>190</v>
      </c>
      <c r="GY193" s="319" t="s">
        <v>190</v>
      </c>
      <c r="GZ193" s="319" t="s">
        <v>190</v>
      </c>
      <c r="HA193" s="319" t="s">
        <v>428</v>
      </c>
      <c r="HB193" s="319" t="s">
        <v>428</v>
      </c>
      <c r="HC193" s="319" t="s">
        <v>190</v>
      </c>
      <c r="HD193" s="319" t="s">
        <v>190</v>
      </c>
      <c r="HE193" s="319" t="s">
        <v>190</v>
      </c>
      <c r="HF193" s="319" t="s">
        <v>190</v>
      </c>
      <c r="HG193" s="319" t="s">
        <v>190</v>
      </c>
      <c r="HH193" s="319" t="s">
        <v>190</v>
      </c>
      <c r="HI193" s="319" t="s">
        <v>190</v>
      </c>
      <c r="HJ193" s="319" t="s">
        <v>190</v>
      </c>
      <c r="HK193" s="319" t="s">
        <v>190</v>
      </c>
      <c r="HL193" s="319" t="s">
        <v>428</v>
      </c>
      <c r="HM193" s="319" t="s">
        <v>428</v>
      </c>
      <c r="HN193" s="319" t="s">
        <v>428</v>
      </c>
      <c r="HO193" s="319" t="s">
        <v>428</v>
      </c>
      <c r="HP193" s="319" t="s">
        <v>190</v>
      </c>
      <c r="HQ193" s="319" t="s">
        <v>190</v>
      </c>
      <c r="HR193" s="319" t="s">
        <v>190</v>
      </c>
      <c r="HS193" s="319" t="s">
        <v>190</v>
      </c>
      <c r="HT193" s="319" t="s">
        <v>190</v>
      </c>
      <c r="HU193" s="319" t="s">
        <v>190</v>
      </c>
      <c r="HV193" s="319" t="s">
        <v>190</v>
      </c>
      <c r="HW193" s="319" t="s">
        <v>190</v>
      </c>
      <c r="HX193" s="319" t="s">
        <v>190</v>
      </c>
      <c r="HY193" s="319" t="s">
        <v>190</v>
      </c>
      <c r="HZ193" s="319" t="s">
        <v>190</v>
      </c>
      <c r="IA193" s="319" t="s">
        <v>190</v>
      </c>
      <c r="IB193" s="319" t="s">
        <v>190</v>
      </c>
      <c r="IC193" s="319" t="s">
        <v>190</v>
      </c>
      <c r="ID193" s="319" t="s">
        <v>190</v>
      </c>
      <c r="IE193" s="319" t="s">
        <v>190</v>
      </c>
      <c r="IF193" s="319" t="s">
        <v>191</v>
      </c>
      <c r="IG193" s="319" t="s">
        <v>191</v>
      </c>
      <c r="IH193" s="319" t="s">
        <v>191</v>
      </c>
      <c r="II193" s="319" t="s">
        <v>191</v>
      </c>
      <c r="IJ193" s="319">
        <v>10008557</v>
      </c>
      <c r="IK193" s="321">
        <v>42549</v>
      </c>
      <c r="IL193" s="321">
        <v>42551</v>
      </c>
      <c r="IM193" s="321">
        <v>42626</v>
      </c>
      <c r="IN193" s="319">
        <v>1</v>
      </c>
      <c r="IO193" s="319" t="s">
        <v>173</v>
      </c>
      <c r="IP193" s="319" t="s">
        <v>173</v>
      </c>
      <c r="IQ193" s="321" t="s">
        <v>173</v>
      </c>
      <c r="IR193" s="320" t="s">
        <v>173</v>
      </c>
      <c r="IS193" s="322" t="s">
        <v>173</v>
      </c>
      <c r="IT193" s="319" t="s">
        <v>173</v>
      </c>
    </row>
    <row r="194" spans="1:254" s="271" customFormat="1" x14ac:dyDescent="0.25">
      <c r="A194" s="318" t="str">
        <f>HYPERLINK("http://www.ofsted.gov.uk/inspection-reports/find-inspection-report/provider/ELS/118225 ","Ofsted School Webpage")</f>
        <v>Ofsted School Webpage</v>
      </c>
      <c r="B194" s="319">
        <v>118225</v>
      </c>
      <c r="C194" s="319">
        <v>9216041</v>
      </c>
      <c r="D194" s="319" t="s">
        <v>1485</v>
      </c>
      <c r="E194" s="319" t="s">
        <v>167</v>
      </c>
      <c r="F194" s="319" t="s">
        <v>81</v>
      </c>
      <c r="G194" s="319" t="s">
        <v>59</v>
      </c>
      <c r="H194" s="319" t="s">
        <v>59</v>
      </c>
      <c r="I194" s="319" t="s">
        <v>59</v>
      </c>
      <c r="J194" s="319" t="s">
        <v>424</v>
      </c>
      <c r="K194" s="319" t="s">
        <v>514</v>
      </c>
      <c r="L194" s="319" t="s">
        <v>514</v>
      </c>
      <c r="M194" s="319" t="s">
        <v>1486</v>
      </c>
      <c r="N194" s="319" t="s">
        <v>1486</v>
      </c>
      <c r="O194" s="319" t="s">
        <v>1487</v>
      </c>
      <c r="P194" s="319">
        <v>149</v>
      </c>
      <c r="Q194" s="319" t="s">
        <v>2776</v>
      </c>
      <c r="R194" s="320">
        <v>10020826</v>
      </c>
      <c r="S194" s="321">
        <v>43242</v>
      </c>
      <c r="T194" s="321">
        <v>43244</v>
      </c>
      <c r="U194" s="321">
        <v>43270</v>
      </c>
      <c r="V194" s="319" t="s">
        <v>425</v>
      </c>
      <c r="W194" s="319" t="s">
        <v>2767</v>
      </c>
      <c r="X194" s="319">
        <v>2</v>
      </c>
      <c r="Y194" s="319" t="s">
        <v>173</v>
      </c>
      <c r="Z194" s="319" t="s">
        <v>173</v>
      </c>
      <c r="AA194" s="319" t="s">
        <v>173</v>
      </c>
      <c r="AB194" s="319">
        <v>2</v>
      </c>
      <c r="AC194" s="319" t="s">
        <v>169</v>
      </c>
      <c r="AD194" s="319">
        <v>1</v>
      </c>
      <c r="AE194" s="319" t="s">
        <v>173</v>
      </c>
      <c r="AF194" s="319" t="s">
        <v>427</v>
      </c>
      <c r="AG194" s="319" t="s">
        <v>171</v>
      </c>
      <c r="AH194" s="319" t="s">
        <v>190</v>
      </c>
      <c r="AI194" s="319" t="s">
        <v>190</v>
      </c>
      <c r="AJ194" s="319" t="s">
        <v>190</v>
      </c>
      <c r="AK194" s="319" t="s">
        <v>190</v>
      </c>
      <c r="AL194" s="319" t="s">
        <v>190</v>
      </c>
      <c r="AM194" s="319" t="s">
        <v>190</v>
      </c>
      <c r="AN194" s="319" t="s">
        <v>190</v>
      </c>
      <c r="AO194" s="319" t="s">
        <v>190</v>
      </c>
      <c r="AP194" s="319" t="s">
        <v>190</v>
      </c>
      <c r="AQ194" s="319" t="s">
        <v>190</v>
      </c>
      <c r="AR194" s="319" t="s">
        <v>190</v>
      </c>
      <c r="AS194" s="319" t="s">
        <v>190</v>
      </c>
      <c r="AT194" s="319" t="s">
        <v>190</v>
      </c>
      <c r="AU194" s="319" t="s">
        <v>190</v>
      </c>
      <c r="AV194" s="319" t="s">
        <v>190</v>
      </c>
      <c r="AW194" s="319" t="s">
        <v>190</v>
      </c>
      <c r="AX194" s="319" t="s">
        <v>428</v>
      </c>
      <c r="AY194" s="319" t="s">
        <v>190</v>
      </c>
      <c r="AZ194" s="319" t="s">
        <v>190</v>
      </c>
      <c r="BA194" s="319" t="s">
        <v>190</v>
      </c>
      <c r="BB194" s="319" t="s">
        <v>190</v>
      </c>
      <c r="BC194" s="319" t="s">
        <v>190</v>
      </c>
      <c r="BD194" s="319" t="s">
        <v>190</v>
      </c>
      <c r="BE194" s="319" t="s">
        <v>190</v>
      </c>
      <c r="BF194" s="319" t="s">
        <v>190</v>
      </c>
      <c r="BG194" s="319" t="s">
        <v>190</v>
      </c>
      <c r="BH194" s="319" t="s">
        <v>190</v>
      </c>
      <c r="BI194" s="319" t="s">
        <v>190</v>
      </c>
      <c r="BJ194" s="319" t="s">
        <v>190</v>
      </c>
      <c r="BK194" s="319" t="s">
        <v>190</v>
      </c>
      <c r="BL194" s="319" t="s">
        <v>190</v>
      </c>
      <c r="BM194" s="319" t="s">
        <v>190</v>
      </c>
      <c r="BN194" s="319" t="s">
        <v>190</v>
      </c>
      <c r="BO194" s="319" t="s">
        <v>190</v>
      </c>
      <c r="BP194" s="319" t="s">
        <v>190</v>
      </c>
      <c r="BQ194" s="319" t="s">
        <v>190</v>
      </c>
      <c r="BR194" s="319" t="s">
        <v>190</v>
      </c>
      <c r="BS194" s="319" t="s">
        <v>190</v>
      </c>
      <c r="BT194" s="319" t="s">
        <v>190</v>
      </c>
      <c r="BU194" s="319" t="s">
        <v>190</v>
      </c>
      <c r="BV194" s="319" t="s">
        <v>190</v>
      </c>
      <c r="BW194" s="319" t="s">
        <v>190</v>
      </c>
      <c r="BX194" s="319" t="s">
        <v>190</v>
      </c>
      <c r="BY194" s="319" t="s">
        <v>190</v>
      </c>
      <c r="BZ194" s="319" t="s">
        <v>190</v>
      </c>
      <c r="CA194" s="319" t="s">
        <v>190</v>
      </c>
      <c r="CB194" s="319" t="s">
        <v>190</v>
      </c>
      <c r="CC194" s="319" t="s">
        <v>190</v>
      </c>
      <c r="CD194" s="319" t="s">
        <v>190</v>
      </c>
      <c r="CE194" s="319" t="s">
        <v>190</v>
      </c>
      <c r="CF194" s="319" t="s">
        <v>190</v>
      </c>
      <c r="CG194" s="319" t="s">
        <v>190</v>
      </c>
      <c r="CH194" s="319" t="s">
        <v>190</v>
      </c>
      <c r="CI194" s="319" t="s">
        <v>190</v>
      </c>
      <c r="CJ194" s="319" t="s">
        <v>190</v>
      </c>
      <c r="CK194" s="319" t="s">
        <v>190</v>
      </c>
      <c r="CL194" s="319" t="s">
        <v>190</v>
      </c>
      <c r="CM194" s="319" t="s">
        <v>190</v>
      </c>
      <c r="CN194" s="319" t="s">
        <v>428</v>
      </c>
      <c r="CO194" s="319" t="s">
        <v>428</v>
      </c>
      <c r="CP194" s="319" t="s">
        <v>428</v>
      </c>
      <c r="CQ194" s="319" t="s">
        <v>190</v>
      </c>
      <c r="CR194" s="319" t="s">
        <v>190</v>
      </c>
      <c r="CS194" s="319" t="s">
        <v>190</v>
      </c>
      <c r="CT194" s="319" t="s">
        <v>190</v>
      </c>
      <c r="CU194" s="319" t="s">
        <v>190</v>
      </c>
      <c r="CV194" s="319" t="s">
        <v>190</v>
      </c>
      <c r="CW194" s="319" t="s">
        <v>190</v>
      </c>
      <c r="CX194" s="319" t="s">
        <v>190</v>
      </c>
      <c r="CY194" s="319" t="s">
        <v>190</v>
      </c>
      <c r="CZ194" s="319" t="s">
        <v>190</v>
      </c>
      <c r="DA194" s="319" t="s">
        <v>190</v>
      </c>
      <c r="DB194" s="319" t="s">
        <v>190</v>
      </c>
      <c r="DC194" s="319" t="s">
        <v>190</v>
      </c>
      <c r="DD194" s="319" t="s">
        <v>190</v>
      </c>
      <c r="DE194" s="319" t="s">
        <v>190</v>
      </c>
      <c r="DF194" s="319" t="s">
        <v>190</v>
      </c>
      <c r="DG194" s="319" t="s">
        <v>190</v>
      </c>
      <c r="DH194" s="319" t="s">
        <v>190</v>
      </c>
      <c r="DI194" s="319" t="s">
        <v>190</v>
      </c>
      <c r="DJ194" s="319" t="s">
        <v>190</v>
      </c>
      <c r="DK194" s="319" t="s">
        <v>190</v>
      </c>
      <c r="DL194" s="319" t="s">
        <v>190</v>
      </c>
      <c r="DM194" s="319" t="s">
        <v>190</v>
      </c>
      <c r="DN194" s="319" t="s">
        <v>190</v>
      </c>
      <c r="DO194" s="319" t="s">
        <v>190</v>
      </c>
      <c r="DP194" s="319" t="s">
        <v>190</v>
      </c>
      <c r="DQ194" s="319" t="s">
        <v>190</v>
      </c>
      <c r="DR194" s="319" t="s">
        <v>190</v>
      </c>
      <c r="DS194" s="319" t="s">
        <v>190</v>
      </c>
      <c r="DT194" s="319" t="s">
        <v>190</v>
      </c>
      <c r="DU194" s="319" t="s">
        <v>190</v>
      </c>
      <c r="DV194" s="319" t="s">
        <v>173</v>
      </c>
      <c r="DW194" s="319" t="s">
        <v>190</v>
      </c>
      <c r="DX194" s="319" t="s">
        <v>190</v>
      </c>
      <c r="DY194" s="319" t="s">
        <v>190</v>
      </c>
      <c r="DZ194" s="319" t="s">
        <v>190</v>
      </c>
      <c r="EA194" s="319" t="s">
        <v>190</v>
      </c>
      <c r="EB194" s="319" t="s">
        <v>190</v>
      </c>
      <c r="EC194" s="319" t="s">
        <v>428</v>
      </c>
      <c r="ED194" s="319" t="s">
        <v>190</v>
      </c>
      <c r="EE194" s="319" t="s">
        <v>190</v>
      </c>
      <c r="EF194" s="319" t="s">
        <v>190</v>
      </c>
      <c r="EG194" s="319" t="s">
        <v>190</v>
      </c>
      <c r="EH194" s="319" t="s">
        <v>190</v>
      </c>
      <c r="EI194" s="319" t="s">
        <v>190</v>
      </c>
      <c r="EJ194" s="319" t="s">
        <v>190</v>
      </c>
      <c r="EK194" s="319" t="s">
        <v>190</v>
      </c>
      <c r="EL194" s="319" t="s">
        <v>190</v>
      </c>
      <c r="EM194" s="319" t="s">
        <v>190</v>
      </c>
      <c r="EN194" s="319" t="s">
        <v>190</v>
      </c>
      <c r="EO194" s="319" t="s">
        <v>190</v>
      </c>
      <c r="EP194" s="319" t="s">
        <v>190</v>
      </c>
      <c r="EQ194" s="319" t="s">
        <v>190</v>
      </c>
      <c r="ER194" s="319" t="s">
        <v>190</v>
      </c>
      <c r="ES194" s="319" t="s">
        <v>190</v>
      </c>
      <c r="ET194" s="319" t="s">
        <v>190</v>
      </c>
      <c r="EU194" s="319" t="s">
        <v>190</v>
      </c>
      <c r="EV194" s="319" t="s">
        <v>190</v>
      </c>
      <c r="EW194" s="319" t="s">
        <v>190</v>
      </c>
      <c r="EX194" s="319" t="s">
        <v>190</v>
      </c>
      <c r="EY194" s="319" t="s">
        <v>190</v>
      </c>
      <c r="EZ194" s="319" t="s">
        <v>190</v>
      </c>
      <c r="FA194" s="319" t="s">
        <v>190</v>
      </c>
      <c r="FB194" s="319" t="s">
        <v>190</v>
      </c>
      <c r="FC194" s="319" t="s">
        <v>190</v>
      </c>
      <c r="FD194" s="319" t="s">
        <v>190</v>
      </c>
      <c r="FE194" s="319" t="s">
        <v>190</v>
      </c>
      <c r="FF194" s="319" t="s">
        <v>190</v>
      </c>
      <c r="FG194" s="319" t="s">
        <v>190</v>
      </c>
      <c r="FH194" s="319" t="s">
        <v>190</v>
      </c>
      <c r="FI194" s="319" t="s">
        <v>190</v>
      </c>
      <c r="FJ194" s="319" t="s">
        <v>190</v>
      </c>
      <c r="FK194" s="319" t="s">
        <v>190</v>
      </c>
      <c r="FL194" s="319" t="s">
        <v>190</v>
      </c>
      <c r="FM194" s="319" t="s">
        <v>190</v>
      </c>
      <c r="FN194" s="319" t="s">
        <v>190</v>
      </c>
      <c r="FO194" s="319" t="s">
        <v>190</v>
      </c>
      <c r="FP194" s="319" t="s">
        <v>190</v>
      </c>
      <c r="FQ194" s="319" t="s">
        <v>190</v>
      </c>
      <c r="FR194" s="319" t="s">
        <v>190</v>
      </c>
      <c r="FS194" s="319" t="s">
        <v>428</v>
      </c>
      <c r="FT194" s="319" t="s">
        <v>190</v>
      </c>
      <c r="FU194" s="319" t="s">
        <v>190</v>
      </c>
      <c r="FV194" s="319" t="s">
        <v>190</v>
      </c>
      <c r="FW194" s="319" t="s">
        <v>190</v>
      </c>
      <c r="FX194" s="319" t="s">
        <v>190</v>
      </c>
      <c r="FY194" s="319" t="s">
        <v>190</v>
      </c>
      <c r="FZ194" s="319" t="s">
        <v>190</v>
      </c>
      <c r="GA194" s="319" t="s">
        <v>190</v>
      </c>
      <c r="GB194" s="319" t="s">
        <v>190</v>
      </c>
      <c r="GC194" s="319" t="s">
        <v>190</v>
      </c>
      <c r="GD194" s="319" t="s">
        <v>190</v>
      </c>
      <c r="GE194" s="319" t="s">
        <v>190</v>
      </c>
      <c r="GF194" s="319" t="s">
        <v>190</v>
      </c>
      <c r="GG194" s="319" t="s">
        <v>190</v>
      </c>
      <c r="GH194" s="319" t="s">
        <v>190</v>
      </c>
      <c r="GI194" s="319" t="s">
        <v>190</v>
      </c>
      <c r="GJ194" s="319" t="s">
        <v>190</v>
      </c>
      <c r="GK194" s="319" t="s">
        <v>428</v>
      </c>
      <c r="GL194" s="319" t="s">
        <v>190</v>
      </c>
      <c r="GM194" s="319" t="s">
        <v>190</v>
      </c>
      <c r="GN194" s="319" t="s">
        <v>190</v>
      </c>
      <c r="GO194" s="319" t="s">
        <v>190</v>
      </c>
      <c r="GP194" s="319" t="s">
        <v>190</v>
      </c>
      <c r="GQ194" s="319" t="s">
        <v>428</v>
      </c>
      <c r="GR194" s="319" t="s">
        <v>190</v>
      </c>
      <c r="GS194" s="319" t="s">
        <v>190</v>
      </c>
      <c r="GT194" s="319" t="s">
        <v>190</v>
      </c>
      <c r="GU194" s="319" t="s">
        <v>190</v>
      </c>
      <c r="GV194" s="319" t="s">
        <v>190</v>
      </c>
      <c r="GW194" s="319" t="s">
        <v>190</v>
      </c>
      <c r="GX194" s="319" t="s">
        <v>190</v>
      </c>
      <c r="GY194" s="319" t="s">
        <v>190</v>
      </c>
      <c r="GZ194" s="319" t="s">
        <v>190</v>
      </c>
      <c r="HA194" s="319" t="s">
        <v>428</v>
      </c>
      <c r="HB194" s="319" t="s">
        <v>428</v>
      </c>
      <c r="HC194" s="319" t="s">
        <v>190</v>
      </c>
      <c r="HD194" s="319" t="s">
        <v>190</v>
      </c>
      <c r="HE194" s="319" t="s">
        <v>190</v>
      </c>
      <c r="HF194" s="319" t="s">
        <v>190</v>
      </c>
      <c r="HG194" s="319" t="s">
        <v>190</v>
      </c>
      <c r="HH194" s="319" t="s">
        <v>190</v>
      </c>
      <c r="HI194" s="319" t="s">
        <v>190</v>
      </c>
      <c r="HJ194" s="319" t="s">
        <v>190</v>
      </c>
      <c r="HK194" s="319" t="s">
        <v>190</v>
      </c>
      <c r="HL194" s="319" t="s">
        <v>190</v>
      </c>
      <c r="HM194" s="319" t="s">
        <v>190</v>
      </c>
      <c r="HN194" s="319" t="s">
        <v>190</v>
      </c>
      <c r="HO194" s="319" t="s">
        <v>190</v>
      </c>
      <c r="HP194" s="319" t="s">
        <v>190</v>
      </c>
      <c r="HQ194" s="319" t="s">
        <v>190</v>
      </c>
      <c r="HR194" s="319" t="s">
        <v>190</v>
      </c>
      <c r="HS194" s="319" t="s">
        <v>190</v>
      </c>
      <c r="HT194" s="319" t="s">
        <v>190</v>
      </c>
      <c r="HU194" s="319" t="s">
        <v>190</v>
      </c>
      <c r="HV194" s="319" t="s">
        <v>190</v>
      </c>
      <c r="HW194" s="319" t="s">
        <v>190</v>
      </c>
      <c r="HX194" s="319" t="s">
        <v>190</v>
      </c>
      <c r="HY194" s="319" t="s">
        <v>190</v>
      </c>
      <c r="HZ194" s="319" t="s">
        <v>190</v>
      </c>
      <c r="IA194" s="319" t="s">
        <v>190</v>
      </c>
      <c r="IB194" s="319" t="s">
        <v>190</v>
      </c>
      <c r="IC194" s="319" t="s">
        <v>190</v>
      </c>
      <c r="ID194" s="319" t="s">
        <v>190</v>
      </c>
      <c r="IE194" s="319" t="s">
        <v>190</v>
      </c>
      <c r="IF194" s="319" t="s">
        <v>190</v>
      </c>
      <c r="IG194" s="319" t="s">
        <v>190</v>
      </c>
      <c r="IH194" s="319" t="s">
        <v>190</v>
      </c>
      <c r="II194" s="319" t="s">
        <v>190</v>
      </c>
      <c r="IJ194" s="319" t="s">
        <v>2976</v>
      </c>
      <c r="IK194" s="321">
        <v>41247</v>
      </c>
      <c r="IL194" s="321">
        <v>41248</v>
      </c>
      <c r="IM194" s="321">
        <v>41264</v>
      </c>
      <c r="IN194" s="319">
        <v>2</v>
      </c>
      <c r="IO194" s="319" t="s">
        <v>173</v>
      </c>
      <c r="IP194" s="319" t="s">
        <v>173</v>
      </c>
      <c r="IQ194" s="321" t="s">
        <v>173</v>
      </c>
      <c r="IR194" s="320" t="s">
        <v>173</v>
      </c>
      <c r="IS194" s="322" t="s">
        <v>173</v>
      </c>
      <c r="IT194" s="319" t="s">
        <v>173</v>
      </c>
    </row>
    <row r="195" spans="1:254" s="271" customFormat="1" x14ac:dyDescent="0.25">
      <c r="A195" s="318" t="str">
        <f>HYPERLINK("http://www.ofsted.gov.uk/inspection-reports/find-inspection-report/provider/ELS/118972 ","Ofsted School Webpage")</f>
        <v>Ofsted School Webpage</v>
      </c>
      <c r="B195" s="319">
        <v>118972</v>
      </c>
      <c r="C195" s="319">
        <v>8866030</v>
      </c>
      <c r="D195" s="319" t="s">
        <v>1488</v>
      </c>
      <c r="E195" s="319" t="s">
        <v>167</v>
      </c>
      <c r="F195" s="319" t="s">
        <v>81</v>
      </c>
      <c r="G195" s="319" t="s">
        <v>81</v>
      </c>
      <c r="H195" s="319" t="s">
        <v>81</v>
      </c>
      <c r="I195" s="319" t="s">
        <v>78</v>
      </c>
      <c r="J195" s="319" t="s">
        <v>424</v>
      </c>
      <c r="K195" s="319" t="s">
        <v>514</v>
      </c>
      <c r="L195" s="319" t="s">
        <v>514</v>
      </c>
      <c r="M195" s="319" t="s">
        <v>614</v>
      </c>
      <c r="N195" s="319" t="s">
        <v>2977</v>
      </c>
      <c r="O195" s="319" t="s">
        <v>1489</v>
      </c>
      <c r="P195" s="319">
        <v>113</v>
      </c>
      <c r="Q195" s="319" t="s">
        <v>2766</v>
      </c>
      <c r="R195" s="320">
        <v>10047024</v>
      </c>
      <c r="S195" s="321">
        <v>43256</v>
      </c>
      <c r="T195" s="321">
        <v>43258</v>
      </c>
      <c r="U195" s="321">
        <v>43278</v>
      </c>
      <c r="V195" s="319" t="s">
        <v>425</v>
      </c>
      <c r="W195" s="319" t="s">
        <v>2767</v>
      </c>
      <c r="X195" s="319">
        <v>2</v>
      </c>
      <c r="Y195" s="319" t="s">
        <v>173</v>
      </c>
      <c r="Z195" s="319" t="s">
        <v>173</v>
      </c>
      <c r="AA195" s="319" t="s">
        <v>173</v>
      </c>
      <c r="AB195" s="319">
        <v>2</v>
      </c>
      <c r="AC195" s="319" t="s">
        <v>169</v>
      </c>
      <c r="AD195" s="319">
        <v>2</v>
      </c>
      <c r="AE195" s="319" t="s">
        <v>173</v>
      </c>
      <c r="AF195" s="319" t="s">
        <v>427</v>
      </c>
      <c r="AG195" s="319" t="s">
        <v>171</v>
      </c>
      <c r="AH195" s="319" t="s">
        <v>190</v>
      </c>
      <c r="AI195" s="319" t="s">
        <v>190</v>
      </c>
      <c r="AJ195" s="319" t="s">
        <v>190</v>
      </c>
      <c r="AK195" s="319" t="s">
        <v>190</v>
      </c>
      <c r="AL195" s="319" t="s">
        <v>190</v>
      </c>
      <c r="AM195" s="319" t="s">
        <v>190</v>
      </c>
      <c r="AN195" s="319" t="s">
        <v>190</v>
      </c>
      <c r="AO195" s="319" t="s">
        <v>190</v>
      </c>
      <c r="AP195" s="319" t="s">
        <v>190</v>
      </c>
      <c r="AQ195" s="319" t="s">
        <v>190</v>
      </c>
      <c r="AR195" s="319" t="s">
        <v>190</v>
      </c>
      <c r="AS195" s="319" t="s">
        <v>190</v>
      </c>
      <c r="AT195" s="319" t="s">
        <v>190</v>
      </c>
      <c r="AU195" s="319" t="s">
        <v>190</v>
      </c>
      <c r="AV195" s="319" t="s">
        <v>190</v>
      </c>
      <c r="AW195" s="319" t="s">
        <v>190</v>
      </c>
      <c r="AX195" s="319" t="s">
        <v>428</v>
      </c>
      <c r="AY195" s="319" t="s">
        <v>190</v>
      </c>
      <c r="AZ195" s="319" t="s">
        <v>190</v>
      </c>
      <c r="BA195" s="319" t="s">
        <v>190</v>
      </c>
      <c r="BB195" s="319" t="s">
        <v>428</v>
      </c>
      <c r="BC195" s="319" t="s">
        <v>428</v>
      </c>
      <c r="BD195" s="319" t="s">
        <v>428</v>
      </c>
      <c r="BE195" s="319" t="s">
        <v>428</v>
      </c>
      <c r="BF195" s="319" t="s">
        <v>190</v>
      </c>
      <c r="BG195" s="319" t="s">
        <v>428</v>
      </c>
      <c r="BH195" s="319" t="s">
        <v>190</v>
      </c>
      <c r="BI195" s="319" t="s">
        <v>190</v>
      </c>
      <c r="BJ195" s="319" t="s">
        <v>190</v>
      </c>
      <c r="BK195" s="319" t="s">
        <v>190</v>
      </c>
      <c r="BL195" s="319" t="s">
        <v>190</v>
      </c>
      <c r="BM195" s="319" t="s">
        <v>190</v>
      </c>
      <c r="BN195" s="319" t="s">
        <v>190</v>
      </c>
      <c r="BO195" s="319" t="s">
        <v>190</v>
      </c>
      <c r="BP195" s="319" t="s">
        <v>190</v>
      </c>
      <c r="BQ195" s="319" t="s">
        <v>190</v>
      </c>
      <c r="BR195" s="319" t="s">
        <v>190</v>
      </c>
      <c r="BS195" s="319" t="s">
        <v>190</v>
      </c>
      <c r="BT195" s="319" t="s">
        <v>190</v>
      </c>
      <c r="BU195" s="319" t="s">
        <v>190</v>
      </c>
      <c r="BV195" s="319" t="s">
        <v>190</v>
      </c>
      <c r="BW195" s="319" t="s">
        <v>190</v>
      </c>
      <c r="BX195" s="319" t="s">
        <v>190</v>
      </c>
      <c r="BY195" s="319" t="s">
        <v>190</v>
      </c>
      <c r="BZ195" s="319" t="s">
        <v>190</v>
      </c>
      <c r="CA195" s="319" t="s">
        <v>190</v>
      </c>
      <c r="CB195" s="319" t="s">
        <v>190</v>
      </c>
      <c r="CC195" s="319" t="s">
        <v>190</v>
      </c>
      <c r="CD195" s="319" t="s">
        <v>190</v>
      </c>
      <c r="CE195" s="319" t="s">
        <v>190</v>
      </c>
      <c r="CF195" s="319" t="s">
        <v>190</v>
      </c>
      <c r="CG195" s="319" t="s">
        <v>190</v>
      </c>
      <c r="CH195" s="319" t="s">
        <v>190</v>
      </c>
      <c r="CI195" s="319" t="s">
        <v>190</v>
      </c>
      <c r="CJ195" s="319" t="s">
        <v>190</v>
      </c>
      <c r="CK195" s="319" t="s">
        <v>190</v>
      </c>
      <c r="CL195" s="319" t="s">
        <v>190</v>
      </c>
      <c r="CM195" s="319" t="s">
        <v>190</v>
      </c>
      <c r="CN195" s="319" t="s">
        <v>428</v>
      </c>
      <c r="CO195" s="319" t="s">
        <v>428</v>
      </c>
      <c r="CP195" s="319" t="s">
        <v>428</v>
      </c>
      <c r="CQ195" s="319" t="s">
        <v>190</v>
      </c>
      <c r="CR195" s="319" t="s">
        <v>190</v>
      </c>
      <c r="CS195" s="319" t="s">
        <v>190</v>
      </c>
      <c r="CT195" s="319" t="s">
        <v>190</v>
      </c>
      <c r="CU195" s="319" t="s">
        <v>190</v>
      </c>
      <c r="CV195" s="319" t="s">
        <v>190</v>
      </c>
      <c r="CW195" s="319" t="s">
        <v>190</v>
      </c>
      <c r="CX195" s="319" t="s">
        <v>190</v>
      </c>
      <c r="CY195" s="319" t="s">
        <v>190</v>
      </c>
      <c r="CZ195" s="319" t="s">
        <v>190</v>
      </c>
      <c r="DA195" s="319" t="s">
        <v>190</v>
      </c>
      <c r="DB195" s="319" t="s">
        <v>190</v>
      </c>
      <c r="DC195" s="319" t="s">
        <v>190</v>
      </c>
      <c r="DD195" s="319" t="s">
        <v>190</v>
      </c>
      <c r="DE195" s="319" t="s">
        <v>190</v>
      </c>
      <c r="DF195" s="319" t="s">
        <v>190</v>
      </c>
      <c r="DG195" s="319" t="s">
        <v>190</v>
      </c>
      <c r="DH195" s="319" t="s">
        <v>190</v>
      </c>
      <c r="DI195" s="319" t="s">
        <v>190</v>
      </c>
      <c r="DJ195" s="319" t="s">
        <v>190</v>
      </c>
      <c r="DK195" s="319" t="s">
        <v>190</v>
      </c>
      <c r="DL195" s="319" t="s">
        <v>190</v>
      </c>
      <c r="DM195" s="319" t="s">
        <v>190</v>
      </c>
      <c r="DN195" s="319" t="s">
        <v>190</v>
      </c>
      <c r="DO195" s="319" t="s">
        <v>190</v>
      </c>
      <c r="DP195" s="319" t="s">
        <v>190</v>
      </c>
      <c r="DQ195" s="319" t="s">
        <v>190</v>
      </c>
      <c r="DR195" s="319" t="s">
        <v>190</v>
      </c>
      <c r="DS195" s="319" t="s">
        <v>190</v>
      </c>
      <c r="DT195" s="319" t="s">
        <v>190</v>
      </c>
      <c r="DU195" s="319" t="s">
        <v>190</v>
      </c>
      <c r="DV195" s="319" t="s">
        <v>173</v>
      </c>
      <c r="DW195" s="319" t="s">
        <v>190</v>
      </c>
      <c r="DX195" s="319" t="s">
        <v>190</v>
      </c>
      <c r="DY195" s="319" t="s">
        <v>190</v>
      </c>
      <c r="DZ195" s="319" t="s">
        <v>190</v>
      </c>
      <c r="EA195" s="319" t="s">
        <v>190</v>
      </c>
      <c r="EB195" s="319" t="s">
        <v>190</v>
      </c>
      <c r="EC195" s="319" t="s">
        <v>428</v>
      </c>
      <c r="ED195" s="319" t="s">
        <v>190</v>
      </c>
      <c r="EE195" s="319" t="s">
        <v>190</v>
      </c>
      <c r="EF195" s="319" t="s">
        <v>190</v>
      </c>
      <c r="EG195" s="319" t="s">
        <v>190</v>
      </c>
      <c r="EH195" s="319" t="s">
        <v>190</v>
      </c>
      <c r="EI195" s="319" t="s">
        <v>190</v>
      </c>
      <c r="EJ195" s="319" t="s">
        <v>190</v>
      </c>
      <c r="EK195" s="319" t="s">
        <v>190</v>
      </c>
      <c r="EL195" s="319" t="s">
        <v>190</v>
      </c>
      <c r="EM195" s="319" t="s">
        <v>190</v>
      </c>
      <c r="EN195" s="319" t="s">
        <v>190</v>
      </c>
      <c r="EO195" s="319" t="s">
        <v>190</v>
      </c>
      <c r="EP195" s="319" t="s">
        <v>190</v>
      </c>
      <c r="EQ195" s="319" t="s">
        <v>190</v>
      </c>
      <c r="ER195" s="319" t="s">
        <v>190</v>
      </c>
      <c r="ES195" s="319" t="s">
        <v>190</v>
      </c>
      <c r="ET195" s="319" t="s">
        <v>190</v>
      </c>
      <c r="EU195" s="319" t="s">
        <v>190</v>
      </c>
      <c r="EV195" s="319" t="s">
        <v>190</v>
      </c>
      <c r="EW195" s="319" t="s">
        <v>190</v>
      </c>
      <c r="EX195" s="319" t="s">
        <v>190</v>
      </c>
      <c r="EY195" s="319" t="s">
        <v>190</v>
      </c>
      <c r="EZ195" s="319" t="s">
        <v>190</v>
      </c>
      <c r="FA195" s="319" t="s">
        <v>190</v>
      </c>
      <c r="FB195" s="319" t="s">
        <v>190</v>
      </c>
      <c r="FC195" s="319" t="s">
        <v>190</v>
      </c>
      <c r="FD195" s="319" t="s">
        <v>190</v>
      </c>
      <c r="FE195" s="319" t="s">
        <v>190</v>
      </c>
      <c r="FF195" s="319" t="s">
        <v>190</v>
      </c>
      <c r="FG195" s="319" t="s">
        <v>190</v>
      </c>
      <c r="FH195" s="319" t="s">
        <v>190</v>
      </c>
      <c r="FI195" s="319" t="s">
        <v>190</v>
      </c>
      <c r="FJ195" s="319" t="s">
        <v>190</v>
      </c>
      <c r="FK195" s="319" t="s">
        <v>190</v>
      </c>
      <c r="FL195" s="319" t="s">
        <v>190</v>
      </c>
      <c r="FM195" s="319" t="s">
        <v>190</v>
      </c>
      <c r="FN195" s="319" t="s">
        <v>190</v>
      </c>
      <c r="FO195" s="319" t="s">
        <v>428</v>
      </c>
      <c r="FP195" s="319" t="s">
        <v>190</v>
      </c>
      <c r="FQ195" s="319" t="s">
        <v>190</v>
      </c>
      <c r="FR195" s="319" t="s">
        <v>190</v>
      </c>
      <c r="FS195" s="319" t="s">
        <v>428</v>
      </c>
      <c r="FT195" s="319" t="s">
        <v>190</v>
      </c>
      <c r="FU195" s="319" t="s">
        <v>190</v>
      </c>
      <c r="FV195" s="319" t="s">
        <v>190</v>
      </c>
      <c r="FW195" s="319" t="s">
        <v>190</v>
      </c>
      <c r="FX195" s="319" t="s">
        <v>190</v>
      </c>
      <c r="FY195" s="319" t="s">
        <v>190</v>
      </c>
      <c r="FZ195" s="319" t="s">
        <v>190</v>
      </c>
      <c r="GA195" s="319" t="s">
        <v>190</v>
      </c>
      <c r="GB195" s="319" t="s">
        <v>190</v>
      </c>
      <c r="GC195" s="319" t="s">
        <v>190</v>
      </c>
      <c r="GD195" s="319" t="s">
        <v>190</v>
      </c>
      <c r="GE195" s="319" t="s">
        <v>190</v>
      </c>
      <c r="GF195" s="319" t="s">
        <v>190</v>
      </c>
      <c r="GG195" s="319" t="s">
        <v>190</v>
      </c>
      <c r="GH195" s="319" t="s">
        <v>190</v>
      </c>
      <c r="GI195" s="319" t="s">
        <v>190</v>
      </c>
      <c r="GJ195" s="319" t="s">
        <v>190</v>
      </c>
      <c r="GK195" s="319" t="s">
        <v>428</v>
      </c>
      <c r="GL195" s="319" t="s">
        <v>190</v>
      </c>
      <c r="GM195" s="319" t="s">
        <v>190</v>
      </c>
      <c r="GN195" s="319" t="s">
        <v>190</v>
      </c>
      <c r="GO195" s="319" t="s">
        <v>190</v>
      </c>
      <c r="GP195" s="319" t="s">
        <v>190</v>
      </c>
      <c r="GQ195" s="319" t="s">
        <v>428</v>
      </c>
      <c r="GR195" s="319" t="s">
        <v>190</v>
      </c>
      <c r="GS195" s="319" t="s">
        <v>190</v>
      </c>
      <c r="GT195" s="319" t="s">
        <v>428</v>
      </c>
      <c r="GU195" s="319" t="s">
        <v>428</v>
      </c>
      <c r="GV195" s="319" t="s">
        <v>190</v>
      </c>
      <c r="GW195" s="319" t="s">
        <v>190</v>
      </c>
      <c r="GX195" s="319" t="s">
        <v>190</v>
      </c>
      <c r="GY195" s="319" t="s">
        <v>190</v>
      </c>
      <c r="GZ195" s="319" t="s">
        <v>190</v>
      </c>
      <c r="HA195" s="319" t="s">
        <v>428</v>
      </c>
      <c r="HB195" s="319" t="s">
        <v>190</v>
      </c>
      <c r="HC195" s="319" t="s">
        <v>190</v>
      </c>
      <c r="HD195" s="319" t="s">
        <v>190</v>
      </c>
      <c r="HE195" s="319" t="s">
        <v>190</v>
      </c>
      <c r="HF195" s="319" t="s">
        <v>190</v>
      </c>
      <c r="HG195" s="319" t="s">
        <v>190</v>
      </c>
      <c r="HH195" s="319" t="s">
        <v>190</v>
      </c>
      <c r="HI195" s="319" t="s">
        <v>190</v>
      </c>
      <c r="HJ195" s="319" t="s">
        <v>190</v>
      </c>
      <c r="HK195" s="319" t="s">
        <v>428</v>
      </c>
      <c r="HL195" s="319" t="s">
        <v>428</v>
      </c>
      <c r="HM195" s="319" t="s">
        <v>428</v>
      </c>
      <c r="HN195" s="319" t="s">
        <v>428</v>
      </c>
      <c r="HO195" s="319" t="s">
        <v>428</v>
      </c>
      <c r="HP195" s="319" t="s">
        <v>190</v>
      </c>
      <c r="HQ195" s="319" t="s">
        <v>190</v>
      </c>
      <c r="HR195" s="319" t="s">
        <v>190</v>
      </c>
      <c r="HS195" s="319" t="s">
        <v>190</v>
      </c>
      <c r="HT195" s="319" t="s">
        <v>190</v>
      </c>
      <c r="HU195" s="319" t="s">
        <v>190</v>
      </c>
      <c r="HV195" s="319" t="s">
        <v>190</v>
      </c>
      <c r="HW195" s="319" t="s">
        <v>190</v>
      </c>
      <c r="HX195" s="319" t="s">
        <v>190</v>
      </c>
      <c r="HY195" s="319" t="s">
        <v>190</v>
      </c>
      <c r="HZ195" s="319" t="s">
        <v>190</v>
      </c>
      <c r="IA195" s="319" t="s">
        <v>190</v>
      </c>
      <c r="IB195" s="319" t="s">
        <v>190</v>
      </c>
      <c r="IC195" s="319" t="s">
        <v>190</v>
      </c>
      <c r="ID195" s="319" t="s">
        <v>190</v>
      </c>
      <c r="IE195" s="319" t="s">
        <v>190</v>
      </c>
      <c r="IF195" s="319" t="s">
        <v>190</v>
      </c>
      <c r="IG195" s="319" t="s">
        <v>190</v>
      </c>
      <c r="IH195" s="319" t="s">
        <v>190</v>
      </c>
      <c r="II195" s="319" t="s">
        <v>190</v>
      </c>
      <c r="IJ195" s="319">
        <v>10008565</v>
      </c>
      <c r="IK195" s="321">
        <v>42480</v>
      </c>
      <c r="IL195" s="321">
        <v>42482</v>
      </c>
      <c r="IM195" s="321">
        <v>42530</v>
      </c>
      <c r="IN195" s="319">
        <v>4</v>
      </c>
      <c r="IO195" s="319" t="s">
        <v>173</v>
      </c>
      <c r="IP195" s="319" t="s">
        <v>173</v>
      </c>
      <c r="IQ195" s="321" t="s">
        <v>173</v>
      </c>
      <c r="IR195" s="320" t="s">
        <v>173</v>
      </c>
      <c r="IS195" s="322" t="s">
        <v>173</v>
      </c>
      <c r="IT195" s="319" t="s">
        <v>173</v>
      </c>
    </row>
    <row r="196" spans="1:254" s="271" customFormat="1" x14ac:dyDescent="0.25">
      <c r="A196" s="318" t="str">
        <f>HYPERLINK("http://www.ofsted.gov.uk/inspection-reports/find-inspection-report/provider/ELS/118977 ","Ofsted School Webpage")</f>
        <v>Ofsted School Webpage</v>
      </c>
      <c r="B196" s="319">
        <v>118977</v>
      </c>
      <c r="C196" s="319">
        <v>8866035</v>
      </c>
      <c r="D196" s="319" t="s">
        <v>1490</v>
      </c>
      <c r="E196" s="319" t="s">
        <v>167</v>
      </c>
      <c r="F196" s="319" t="s">
        <v>81</v>
      </c>
      <c r="G196" s="319" t="s">
        <v>59</v>
      </c>
      <c r="H196" s="319" t="s">
        <v>59</v>
      </c>
      <c r="I196" s="319" t="s">
        <v>59</v>
      </c>
      <c r="J196" s="319" t="s">
        <v>424</v>
      </c>
      <c r="K196" s="319" t="s">
        <v>514</v>
      </c>
      <c r="L196" s="319" t="s">
        <v>514</v>
      </c>
      <c r="M196" s="319" t="s">
        <v>614</v>
      </c>
      <c r="N196" s="319" t="s">
        <v>2978</v>
      </c>
      <c r="O196" s="319" t="s">
        <v>1491</v>
      </c>
      <c r="P196" s="319">
        <v>62</v>
      </c>
      <c r="Q196" s="319" t="s">
        <v>2766</v>
      </c>
      <c r="R196" s="320">
        <v>10033945</v>
      </c>
      <c r="S196" s="321">
        <v>43277</v>
      </c>
      <c r="T196" s="321">
        <v>43279</v>
      </c>
      <c r="U196" s="321">
        <v>43353</v>
      </c>
      <c r="V196" s="319" t="s">
        <v>425</v>
      </c>
      <c r="W196" s="319" t="s">
        <v>2767</v>
      </c>
      <c r="X196" s="319">
        <v>4</v>
      </c>
      <c r="Y196" s="319" t="s">
        <v>173</v>
      </c>
      <c r="Z196" s="319" t="s">
        <v>173</v>
      </c>
      <c r="AA196" s="319" t="s">
        <v>173</v>
      </c>
      <c r="AB196" s="319">
        <v>4</v>
      </c>
      <c r="AC196" s="319" t="s">
        <v>170</v>
      </c>
      <c r="AD196" s="319">
        <v>4</v>
      </c>
      <c r="AE196" s="319" t="s">
        <v>173</v>
      </c>
      <c r="AF196" s="319" t="s">
        <v>427</v>
      </c>
      <c r="AG196" s="319" t="s">
        <v>172</v>
      </c>
      <c r="AH196" s="319" t="s">
        <v>190</v>
      </c>
      <c r="AI196" s="319" t="s">
        <v>190</v>
      </c>
      <c r="AJ196" s="319" t="s">
        <v>479</v>
      </c>
      <c r="AK196" s="319" t="s">
        <v>479</v>
      </c>
      <c r="AL196" s="319" t="s">
        <v>479</v>
      </c>
      <c r="AM196" s="319" t="s">
        <v>190</v>
      </c>
      <c r="AN196" s="319" t="s">
        <v>190</v>
      </c>
      <c r="AO196" s="319" t="s">
        <v>479</v>
      </c>
      <c r="AP196" s="319" t="s">
        <v>190</v>
      </c>
      <c r="AQ196" s="319" t="s">
        <v>190</v>
      </c>
      <c r="AR196" s="319" t="s">
        <v>190</v>
      </c>
      <c r="AS196" s="319" t="s">
        <v>190</v>
      </c>
      <c r="AT196" s="319" t="s">
        <v>190</v>
      </c>
      <c r="AU196" s="319" t="s">
        <v>190</v>
      </c>
      <c r="AV196" s="319" t="s">
        <v>190</v>
      </c>
      <c r="AW196" s="319" t="s">
        <v>190</v>
      </c>
      <c r="AX196" s="319" t="s">
        <v>428</v>
      </c>
      <c r="AY196" s="319" t="s">
        <v>190</v>
      </c>
      <c r="AZ196" s="319" t="s">
        <v>190</v>
      </c>
      <c r="BA196" s="319" t="s">
        <v>190</v>
      </c>
      <c r="BB196" s="319" t="s">
        <v>428</v>
      </c>
      <c r="BC196" s="319" t="s">
        <v>428</v>
      </c>
      <c r="BD196" s="319" t="s">
        <v>428</v>
      </c>
      <c r="BE196" s="319" t="s">
        <v>428</v>
      </c>
      <c r="BF196" s="319" t="s">
        <v>190</v>
      </c>
      <c r="BG196" s="319" t="s">
        <v>428</v>
      </c>
      <c r="BH196" s="319" t="s">
        <v>190</v>
      </c>
      <c r="BI196" s="319" t="s">
        <v>190</v>
      </c>
      <c r="BJ196" s="319" t="s">
        <v>190</v>
      </c>
      <c r="BK196" s="319" t="s">
        <v>190</v>
      </c>
      <c r="BL196" s="319" t="s">
        <v>190</v>
      </c>
      <c r="BM196" s="319" t="s">
        <v>190</v>
      </c>
      <c r="BN196" s="319" t="s">
        <v>190</v>
      </c>
      <c r="BO196" s="319" t="s">
        <v>190</v>
      </c>
      <c r="BP196" s="319" t="s">
        <v>190</v>
      </c>
      <c r="BQ196" s="319" t="s">
        <v>190</v>
      </c>
      <c r="BR196" s="319" t="s">
        <v>190</v>
      </c>
      <c r="BS196" s="319" t="s">
        <v>190</v>
      </c>
      <c r="BT196" s="319" t="s">
        <v>190</v>
      </c>
      <c r="BU196" s="319" t="s">
        <v>190</v>
      </c>
      <c r="BV196" s="319" t="s">
        <v>190</v>
      </c>
      <c r="BW196" s="319" t="s">
        <v>190</v>
      </c>
      <c r="BX196" s="319" t="s">
        <v>190</v>
      </c>
      <c r="BY196" s="319" t="s">
        <v>190</v>
      </c>
      <c r="BZ196" s="319" t="s">
        <v>190</v>
      </c>
      <c r="CA196" s="319" t="s">
        <v>190</v>
      </c>
      <c r="CB196" s="319" t="s">
        <v>190</v>
      </c>
      <c r="CC196" s="319" t="s">
        <v>190</v>
      </c>
      <c r="CD196" s="319" t="s">
        <v>190</v>
      </c>
      <c r="CE196" s="319" t="s">
        <v>190</v>
      </c>
      <c r="CF196" s="319" t="s">
        <v>190</v>
      </c>
      <c r="CG196" s="319" t="s">
        <v>190</v>
      </c>
      <c r="CH196" s="319" t="s">
        <v>190</v>
      </c>
      <c r="CI196" s="319" t="s">
        <v>190</v>
      </c>
      <c r="CJ196" s="319" t="s">
        <v>190</v>
      </c>
      <c r="CK196" s="319" t="s">
        <v>191</v>
      </c>
      <c r="CL196" s="319" t="s">
        <v>191</v>
      </c>
      <c r="CM196" s="319" t="s">
        <v>191</v>
      </c>
      <c r="CN196" s="319" t="s">
        <v>428</v>
      </c>
      <c r="CO196" s="319" t="s">
        <v>428</v>
      </c>
      <c r="CP196" s="319" t="s">
        <v>428</v>
      </c>
      <c r="CQ196" s="319" t="s">
        <v>190</v>
      </c>
      <c r="CR196" s="319" t="s">
        <v>190</v>
      </c>
      <c r="CS196" s="319" t="s">
        <v>190</v>
      </c>
      <c r="CT196" s="319" t="s">
        <v>190</v>
      </c>
      <c r="CU196" s="319" t="s">
        <v>190</v>
      </c>
      <c r="CV196" s="319" t="s">
        <v>191</v>
      </c>
      <c r="CW196" s="319" t="s">
        <v>191</v>
      </c>
      <c r="CX196" s="319" t="s">
        <v>190</v>
      </c>
      <c r="CY196" s="319" t="s">
        <v>190</v>
      </c>
      <c r="CZ196" s="319" t="s">
        <v>190</v>
      </c>
      <c r="DA196" s="319" t="s">
        <v>191</v>
      </c>
      <c r="DB196" s="319" t="s">
        <v>191</v>
      </c>
      <c r="DC196" s="319" t="s">
        <v>191</v>
      </c>
      <c r="DD196" s="319" t="s">
        <v>191</v>
      </c>
      <c r="DE196" s="319" t="s">
        <v>190</v>
      </c>
      <c r="DF196" s="319" t="s">
        <v>191</v>
      </c>
      <c r="DG196" s="319" t="s">
        <v>190</v>
      </c>
      <c r="DH196" s="319" t="s">
        <v>190</v>
      </c>
      <c r="DI196" s="319" t="s">
        <v>190</v>
      </c>
      <c r="DJ196" s="319" t="s">
        <v>190</v>
      </c>
      <c r="DK196" s="319" t="s">
        <v>190</v>
      </c>
      <c r="DL196" s="319" t="s">
        <v>190</v>
      </c>
      <c r="DM196" s="319" t="s">
        <v>428</v>
      </c>
      <c r="DN196" s="319" t="s">
        <v>428</v>
      </c>
      <c r="DO196" s="319" t="s">
        <v>191</v>
      </c>
      <c r="DP196" s="319" t="s">
        <v>428</v>
      </c>
      <c r="DQ196" s="319" t="s">
        <v>428</v>
      </c>
      <c r="DR196" s="319" t="s">
        <v>428</v>
      </c>
      <c r="DS196" s="319" t="s">
        <v>428</v>
      </c>
      <c r="DT196" s="319" t="s">
        <v>428</v>
      </c>
      <c r="DU196" s="319" t="s">
        <v>428</v>
      </c>
      <c r="DV196" s="319" t="s">
        <v>173</v>
      </c>
      <c r="DW196" s="319" t="s">
        <v>428</v>
      </c>
      <c r="DX196" s="319" t="s">
        <v>428</v>
      </c>
      <c r="DY196" s="319" t="s">
        <v>428</v>
      </c>
      <c r="DZ196" s="319" t="s">
        <v>428</v>
      </c>
      <c r="EA196" s="319" t="s">
        <v>428</v>
      </c>
      <c r="EB196" s="319" t="s">
        <v>428</v>
      </c>
      <c r="EC196" s="319" t="s">
        <v>428</v>
      </c>
      <c r="ED196" s="319" t="s">
        <v>428</v>
      </c>
      <c r="EE196" s="319" t="s">
        <v>428</v>
      </c>
      <c r="EF196" s="319" t="s">
        <v>428</v>
      </c>
      <c r="EG196" s="319" t="s">
        <v>428</v>
      </c>
      <c r="EH196" s="319" t="s">
        <v>428</v>
      </c>
      <c r="EI196" s="319" t="s">
        <v>428</v>
      </c>
      <c r="EJ196" s="319" t="s">
        <v>428</v>
      </c>
      <c r="EK196" s="319" t="s">
        <v>428</v>
      </c>
      <c r="EL196" s="319" t="s">
        <v>428</v>
      </c>
      <c r="EM196" s="319" t="s">
        <v>428</v>
      </c>
      <c r="EN196" s="319" t="s">
        <v>191</v>
      </c>
      <c r="EO196" s="319" t="s">
        <v>190</v>
      </c>
      <c r="EP196" s="319" t="s">
        <v>191</v>
      </c>
      <c r="EQ196" s="319" t="s">
        <v>191</v>
      </c>
      <c r="ER196" s="319" t="s">
        <v>190</v>
      </c>
      <c r="ES196" s="319" t="s">
        <v>191</v>
      </c>
      <c r="ET196" s="319" t="s">
        <v>191</v>
      </c>
      <c r="EU196" s="319" t="s">
        <v>190</v>
      </c>
      <c r="EV196" s="319" t="s">
        <v>190</v>
      </c>
      <c r="EW196" s="319" t="s">
        <v>190</v>
      </c>
      <c r="EX196" s="319" t="s">
        <v>190</v>
      </c>
      <c r="EY196" s="319" t="s">
        <v>190</v>
      </c>
      <c r="EZ196" s="319" t="s">
        <v>191</v>
      </c>
      <c r="FA196" s="319" t="s">
        <v>190</v>
      </c>
      <c r="FB196" s="319" t="s">
        <v>428</v>
      </c>
      <c r="FC196" s="319" t="s">
        <v>428</v>
      </c>
      <c r="FD196" s="319" t="s">
        <v>428</v>
      </c>
      <c r="FE196" s="319" t="s">
        <v>428</v>
      </c>
      <c r="FF196" s="319" t="s">
        <v>428</v>
      </c>
      <c r="FG196" s="319" t="s">
        <v>428</v>
      </c>
      <c r="FH196" s="319" t="s">
        <v>428</v>
      </c>
      <c r="FI196" s="319" t="s">
        <v>428</v>
      </c>
      <c r="FJ196" s="319" t="s">
        <v>429</v>
      </c>
      <c r="FK196" s="319" t="s">
        <v>428</v>
      </c>
      <c r="FL196" s="319" t="s">
        <v>190</v>
      </c>
      <c r="FM196" s="319" t="s">
        <v>190</v>
      </c>
      <c r="FN196" s="319" t="s">
        <v>190</v>
      </c>
      <c r="FO196" s="319" t="s">
        <v>190</v>
      </c>
      <c r="FP196" s="319" t="s">
        <v>190</v>
      </c>
      <c r="FQ196" s="319" t="s">
        <v>190</v>
      </c>
      <c r="FR196" s="319" t="s">
        <v>190</v>
      </c>
      <c r="FS196" s="319" t="s">
        <v>428</v>
      </c>
      <c r="FT196" s="319" t="s">
        <v>190</v>
      </c>
      <c r="FU196" s="319" t="s">
        <v>191</v>
      </c>
      <c r="FV196" s="319" t="s">
        <v>190</v>
      </c>
      <c r="FW196" s="319" t="s">
        <v>190</v>
      </c>
      <c r="FX196" s="319" t="s">
        <v>190</v>
      </c>
      <c r="FY196" s="319" t="s">
        <v>190</v>
      </c>
      <c r="FZ196" s="319" t="s">
        <v>190</v>
      </c>
      <c r="GA196" s="319" t="s">
        <v>190</v>
      </c>
      <c r="GB196" s="319" t="s">
        <v>190</v>
      </c>
      <c r="GC196" s="319" t="s">
        <v>190</v>
      </c>
      <c r="GD196" s="319" t="s">
        <v>190</v>
      </c>
      <c r="GE196" s="319" t="s">
        <v>190</v>
      </c>
      <c r="GF196" s="319" t="s">
        <v>190</v>
      </c>
      <c r="GG196" s="319" t="s">
        <v>190</v>
      </c>
      <c r="GH196" s="319" t="s">
        <v>190</v>
      </c>
      <c r="GI196" s="319" t="s">
        <v>190</v>
      </c>
      <c r="GJ196" s="319" t="s">
        <v>190</v>
      </c>
      <c r="GK196" s="319" t="s">
        <v>428</v>
      </c>
      <c r="GL196" s="319" t="s">
        <v>190</v>
      </c>
      <c r="GM196" s="319" t="s">
        <v>190</v>
      </c>
      <c r="GN196" s="319" t="s">
        <v>190</v>
      </c>
      <c r="GO196" s="319" t="s">
        <v>190</v>
      </c>
      <c r="GP196" s="319" t="s">
        <v>190</v>
      </c>
      <c r="GQ196" s="319" t="s">
        <v>428</v>
      </c>
      <c r="GR196" s="319" t="s">
        <v>190</v>
      </c>
      <c r="GS196" s="319" t="s">
        <v>190</v>
      </c>
      <c r="GT196" s="319" t="s">
        <v>428</v>
      </c>
      <c r="GU196" s="319" t="s">
        <v>428</v>
      </c>
      <c r="GV196" s="319" t="s">
        <v>190</v>
      </c>
      <c r="GW196" s="319" t="s">
        <v>190</v>
      </c>
      <c r="GX196" s="319" t="s">
        <v>190</v>
      </c>
      <c r="GY196" s="319" t="s">
        <v>190</v>
      </c>
      <c r="GZ196" s="319" t="s">
        <v>190</v>
      </c>
      <c r="HA196" s="319" t="s">
        <v>428</v>
      </c>
      <c r="HB196" s="319" t="s">
        <v>428</v>
      </c>
      <c r="HC196" s="319" t="s">
        <v>190</v>
      </c>
      <c r="HD196" s="319" t="s">
        <v>190</v>
      </c>
      <c r="HE196" s="319" t="s">
        <v>190</v>
      </c>
      <c r="HF196" s="319" t="s">
        <v>428</v>
      </c>
      <c r="HG196" s="319" t="s">
        <v>428</v>
      </c>
      <c r="HH196" s="319" t="s">
        <v>190</v>
      </c>
      <c r="HI196" s="319" t="s">
        <v>190</v>
      </c>
      <c r="HJ196" s="319" t="s">
        <v>190</v>
      </c>
      <c r="HK196" s="319" t="s">
        <v>190</v>
      </c>
      <c r="HL196" s="319" t="s">
        <v>428</v>
      </c>
      <c r="HM196" s="319" t="s">
        <v>428</v>
      </c>
      <c r="HN196" s="319" t="s">
        <v>428</v>
      </c>
      <c r="HO196" s="319" t="s">
        <v>428</v>
      </c>
      <c r="HP196" s="319" t="s">
        <v>190</v>
      </c>
      <c r="HQ196" s="319" t="s">
        <v>190</v>
      </c>
      <c r="HR196" s="319" t="s">
        <v>190</v>
      </c>
      <c r="HS196" s="319" t="s">
        <v>190</v>
      </c>
      <c r="HT196" s="319" t="s">
        <v>190</v>
      </c>
      <c r="HU196" s="319" t="s">
        <v>190</v>
      </c>
      <c r="HV196" s="319" t="s">
        <v>190</v>
      </c>
      <c r="HW196" s="319" t="s">
        <v>190</v>
      </c>
      <c r="HX196" s="319" t="s">
        <v>190</v>
      </c>
      <c r="HY196" s="319" t="s">
        <v>190</v>
      </c>
      <c r="HZ196" s="319" t="s">
        <v>190</v>
      </c>
      <c r="IA196" s="319" t="s">
        <v>190</v>
      </c>
      <c r="IB196" s="319" t="s">
        <v>190</v>
      </c>
      <c r="IC196" s="319" t="s">
        <v>190</v>
      </c>
      <c r="ID196" s="319" t="s">
        <v>190</v>
      </c>
      <c r="IE196" s="319" t="s">
        <v>190</v>
      </c>
      <c r="IF196" s="319" t="s">
        <v>191</v>
      </c>
      <c r="IG196" s="319" t="s">
        <v>191</v>
      </c>
      <c r="IH196" s="319" t="s">
        <v>191</v>
      </c>
      <c r="II196" s="319" t="s">
        <v>191</v>
      </c>
      <c r="IJ196" s="319" t="s">
        <v>2979</v>
      </c>
      <c r="IK196" s="321">
        <v>41717</v>
      </c>
      <c r="IL196" s="321">
        <v>41719</v>
      </c>
      <c r="IM196" s="321">
        <v>41754</v>
      </c>
      <c r="IN196" s="319">
        <v>2</v>
      </c>
      <c r="IO196" s="319">
        <v>10113395</v>
      </c>
      <c r="IP196" s="319" t="s">
        <v>985</v>
      </c>
      <c r="IQ196" s="321">
        <v>43719</v>
      </c>
      <c r="IR196" s="320" t="s">
        <v>2771</v>
      </c>
      <c r="IS196" s="322">
        <v>43731</v>
      </c>
      <c r="IT196" s="319" t="s">
        <v>165</v>
      </c>
    </row>
    <row r="197" spans="1:254" s="271" customFormat="1" x14ac:dyDescent="0.25">
      <c r="A197" s="318" t="str">
        <f>HYPERLINK("http://www.ofsted.gov.uk/inspection-reports/find-inspection-report/provider/ELS/118979 ","Ofsted School Webpage")</f>
        <v>Ofsted School Webpage</v>
      </c>
      <c r="B197" s="319">
        <v>118979</v>
      </c>
      <c r="C197" s="319">
        <v>8876001</v>
      </c>
      <c r="D197" s="319" t="s">
        <v>1492</v>
      </c>
      <c r="E197" s="319" t="s">
        <v>167</v>
      </c>
      <c r="F197" s="319" t="s">
        <v>81</v>
      </c>
      <c r="G197" s="319" t="s">
        <v>81</v>
      </c>
      <c r="H197" s="319" t="s">
        <v>81</v>
      </c>
      <c r="I197" s="319" t="s">
        <v>78</v>
      </c>
      <c r="J197" s="319" t="s">
        <v>424</v>
      </c>
      <c r="K197" s="319" t="s">
        <v>514</v>
      </c>
      <c r="L197" s="319" t="s">
        <v>514</v>
      </c>
      <c r="M197" s="319" t="s">
        <v>704</v>
      </c>
      <c r="N197" s="319" t="s">
        <v>2980</v>
      </c>
      <c r="O197" s="319" t="s">
        <v>1493</v>
      </c>
      <c r="P197" s="319">
        <v>121</v>
      </c>
      <c r="Q197" s="319" t="s">
        <v>2766</v>
      </c>
      <c r="R197" s="320">
        <v>10047025</v>
      </c>
      <c r="S197" s="321">
        <v>43270</v>
      </c>
      <c r="T197" s="321">
        <v>43272</v>
      </c>
      <c r="U197" s="321">
        <v>43347</v>
      </c>
      <c r="V197" s="319" t="s">
        <v>425</v>
      </c>
      <c r="W197" s="319" t="s">
        <v>2767</v>
      </c>
      <c r="X197" s="319">
        <v>2</v>
      </c>
      <c r="Y197" s="319" t="s">
        <v>173</v>
      </c>
      <c r="Z197" s="319" t="s">
        <v>173</v>
      </c>
      <c r="AA197" s="319" t="s">
        <v>173</v>
      </c>
      <c r="AB197" s="319">
        <v>2</v>
      </c>
      <c r="AC197" s="319" t="s">
        <v>169</v>
      </c>
      <c r="AD197" s="319">
        <v>2</v>
      </c>
      <c r="AE197" s="319" t="s">
        <v>173</v>
      </c>
      <c r="AF197" s="319" t="s">
        <v>427</v>
      </c>
      <c r="AG197" s="319" t="s">
        <v>171</v>
      </c>
      <c r="AH197" s="319" t="s">
        <v>190</v>
      </c>
      <c r="AI197" s="319" t="s">
        <v>190</v>
      </c>
      <c r="AJ197" s="319" t="s">
        <v>190</v>
      </c>
      <c r="AK197" s="319" t="s">
        <v>190</v>
      </c>
      <c r="AL197" s="319" t="s">
        <v>190</v>
      </c>
      <c r="AM197" s="319" t="s">
        <v>190</v>
      </c>
      <c r="AN197" s="319" t="s">
        <v>190</v>
      </c>
      <c r="AO197" s="319" t="s">
        <v>190</v>
      </c>
      <c r="AP197" s="319" t="s">
        <v>190</v>
      </c>
      <c r="AQ197" s="319" t="s">
        <v>190</v>
      </c>
      <c r="AR197" s="319" t="s">
        <v>190</v>
      </c>
      <c r="AS197" s="319" t="s">
        <v>190</v>
      </c>
      <c r="AT197" s="319" t="s">
        <v>190</v>
      </c>
      <c r="AU197" s="319" t="s">
        <v>190</v>
      </c>
      <c r="AV197" s="319" t="s">
        <v>190</v>
      </c>
      <c r="AW197" s="319" t="s">
        <v>190</v>
      </c>
      <c r="AX197" s="319" t="s">
        <v>428</v>
      </c>
      <c r="AY197" s="319" t="s">
        <v>190</v>
      </c>
      <c r="AZ197" s="319" t="s">
        <v>190</v>
      </c>
      <c r="BA197" s="319" t="s">
        <v>190</v>
      </c>
      <c r="BB197" s="319" t="s">
        <v>428</v>
      </c>
      <c r="BC197" s="319" t="s">
        <v>428</v>
      </c>
      <c r="BD197" s="319" t="s">
        <v>428</v>
      </c>
      <c r="BE197" s="319" t="s">
        <v>428</v>
      </c>
      <c r="BF197" s="319" t="s">
        <v>190</v>
      </c>
      <c r="BG197" s="319" t="s">
        <v>428</v>
      </c>
      <c r="BH197" s="319" t="s">
        <v>190</v>
      </c>
      <c r="BI197" s="319" t="s">
        <v>190</v>
      </c>
      <c r="BJ197" s="319" t="s">
        <v>190</v>
      </c>
      <c r="BK197" s="319" t="s">
        <v>190</v>
      </c>
      <c r="BL197" s="319" t="s">
        <v>190</v>
      </c>
      <c r="BM197" s="319" t="s">
        <v>190</v>
      </c>
      <c r="BN197" s="319" t="s">
        <v>190</v>
      </c>
      <c r="BO197" s="319" t="s">
        <v>190</v>
      </c>
      <c r="BP197" s="319" t="s">
        <v>190</v>
      </c>
      <c r="BQ197" s="319" t="s">
        <v>190</v>
      </c>
      <c r="BR197" s="319" t="s">
        <v>190</v>
      </c>
      <c r="BS197" s="319" t="s">
        <v>190</v>
      </c>
      <c r="BT197" s="319" t="s">
        <v>190</v>
      </c>
      <c r="BU197" s="319" t="s">
        <v>190</v>
      </c>
      <c r="BV197" s="319" t="s">
        <v>190</v>
      </c>
      <c r="BW197" s="319" t="s">
        <v>190</v>
      </c>
      <c r="BX197" s="319" t="s">
        <v>190</v>
      </c>
      <c r="BY197" s="319" t="s">
        <v>190</v>
      </c>
      <c r="BZ197" s="319" t="s">
        <v>190</v>
      </c>
      <c r="CA197" s="319" t="s">
        <v>190</v>
      </c>
      <c r="CB197" s="319" t="s">
        <v>190</v>
      </c>
      <c r="CC197" s="319" t="s">
        <v>190</v>
      </c>
      <c r="CD197" s="319" t="s">
        <v>190</v>
      </c>
      <c r="CE197" s="319" t="s">
        <v>190</v>
      </c>
      <c r="CF197" s="319" t="s">
        <v>190</v>
      </c>
      <c r="CG197" s="319" t="s">
        <v>190</v>
      </c>
      <c r="CH197" s="319" t="s">
        <v>190</v>
      </c>
      <c r="CI197" s="319" t="s">
        <v>190</v>
      </c>
      <c r="CJ197" s="319" t="s">
        <v>190</v>
      </c>
      <c r="CK197" s="319" t="s">
        <v>190</v>
      </c>
      <c r="CL197" s="319" t="s">
        <v>190</v>
      </c>
      <c r="CM197" s="319" t="s">
        <v>190</v>
      </c>
      <c r="CN197" s="319" t="s">
        <v>428</v>
      </c>
      <c r="CO197" s="319" t="s">
        <v>428</v>
      </c>
      <c r="CP197" s="319" t="s">
        <v>428</v>
      </c>
      <c r="CQ197" s="319" t="s">
        <v>190</v>
      </c>
      <c r="CR197" s="319" t="s">
        <v>190</v>
      </c>
      <c r="CS197" s="319" t="s">
        <v>190</v>
      </c>
      <c r="CT197" s="319" t="s">
        <v>190</v>
      </c>
      <c r="CU197" s="319" t="s">
        <v>190</v>
      </c>
      <c r="CV197" s="319" t="s">
        <v>190</v>
      </c>
      <c r="CW197" s="319" t="s">
        <v>190</v>
      </c>
      <c r="CX197" s="319" t="s">
        <v>190</v>
      </c>
      <c r="CY197" s="319" t="s">
        <v>190</v>
      </c>
      <c r="CZ197" s="319" t="s">
        <v>190</v>
      </c>
      <c r="DA197" s="319" t="s">
        <v>190</v>
      </c>
      <c r="DB197" s="319" t="s">
        <v>190</v>
      </c>
      <c r="DC197" s="319" t="s">
        <v>190</v>
      </c>
      <c r="DD197" s="319" t="s">
        <v>190</v>
      </c>
      <c r="DE197" s="319" t="s">
        <v>190</v>
      </c>
      <c r="DF197" s="319" t="s">
        <v>190</v>
      </c>
      <c r="DG197" s="319" t="s">
        <v>190</v>
      </c>
      <c r="DH197" s="319" t="s">
        <v>190</v>
      </c>
      <c r="DI197" s="319" t="s">
        <v>190</v>
      </c>
      <c r="DJ197" s="319" t="s">
        <v>190</v>
      </c>
      <c r="DK197" s="319" t="s">
        <v>190</v>
      </c>
      <c r="DL197" s="319" t="s">
        <v>190</v>
      </c>
      <c r="DM197" s="319" t="s">
        <v>190</v>
      </c>
      <c r="DN197" s="319" t="s">
        <v>190</v>
      </c>
      <c r="DO197" s="319" t="s">
        <v>190</v>
      </c>
      <c r="DP197" s="319" t="s">
        <v>190</v>
      </c>
      <c r="DQ197" s="319" t="s">
        <v>190</v>
      </c>
      <c r="DR197" s="319" t="s">
        <v>190</v>
      </c>
      <c r="DS197" s="319" t="s">
        <v>190</v>
      </c>
      <c r="DT197" s="319" t="s">
        <v>190</v>
      </c>
      <c r="DU197" s="319" t="s">
        <v>190</v>
      </c>
      <c r="DV197" s="319" t="s">
        <v>173</v>
      </c>
      <c r="DW197" s="319" t="s">
        <v>190</v>
      </c>
      <c r="DX197" s="319" t="s">
        <v>190</v>
      </c>
      <c r="DY197" s="319" t="s">
        <v>190</v>
      </c>
      <c r="DZ197" s="319" t="s">
        <v>190</v>
      </c>
      <c r="EA197" s="319" t="s">
        <v>190</v>
      </c>
      <c r="EB197" s="319" t="s">
        <v>190</v>
      </c>
      <c r="EC197" s="319" t="s">
        <v>190</v>
      </c>
      <c r="ED197" s="319" t="s">
        <v>190</v>
      </c>
      <c r="EE197" s="319" t="s">
        <v>190</v>
      </c>
      <c r="EF197" s="319" t="s">
        <v>190</v>
      </c>
      <c r="EG197" s="319" t="s">
        <v>190</v>
      </c>
      <c r="EH197" s="319" t="s">
        <v>190</v>
      </c>
      <c r="EI197" s="319" t="s">
        <v>190</v>
      </c>
      <c r="EJ197" s="319" t="s">
        <v>190</v>
      </c>
      <c r="EK197" s="319" t="s">
        <v>190</v>
      </c>
      <c r="EL197" s="319" t="s">
        <v>190</v>
      </c>
      <c r="EM197" s="319" t="s">
        <v>190</v>
      </c>
      <c r="EN197" s="319" t="s">
        <v>190</v>
      </c>
      <c r="EO197" s="319" t="s">
        <v>190</v>
      </c>
      <c r="EP197" s="319" t="s">
        <v>190</v>
      </c>
      <c r="EQ197" s="319" t="s">
        <v>190</v>
      </c>
      <c r="ER197" s="319" t="s">
        <v>190</v>
      </c>
      <c r="ES197" s="319" t="s">
        <v>190</v>
      </c>
      <c r="ET197" s="319" t="s">
        <v>190</v>
      </c>
      <c r="EU197" s="319" t="s">
        <v>190</v>
      </c>
      <c r="EV197" s="319" t="s">
        <v>190</v>
      </c>
      <c r="EW197" s="319" t="s">
        <v>190</v>
      </c>
      <c r="EX197" s="319" t="s">
        <v>190</v>
      </c>
      <c r="EY197" s="319" t="s">
        <v>190</v>
      </c>
      <c r="EZ197" s="319" t="s">
        <v>190</v>
      </c>
      <c r="FA197" s="319" t="s">
        <v>190</v>
      </c>
      <c r="FB197" s="319" t="s">
        <v>190</v>
      </c>
      <c r="FC197" s="319" t="s">
        <v>190</v>
      </c>
      <c r="FD197" s="319" t="s">
        <v>190</v>
      </c>
      <c r="FE197" s="319" t="s">
        <v>190</v>
      </c>
      <c r="FF197" s="319" t="s">
        <v>190</v>
      </c>
      <c r="FG197" s="319" t="s">
        <v>190</v>
      </c>
      <c r="FH197" s="319" t="s">
        <v>190</v>
      </c>
      <c r="FI197" s="319" t="s">
        <v>190</v>
      </c>
      <c r="FJ197" s="319" t="s">
        <v>190</v>
      </c>
      <c r="FK197" s="319" t="s">
        <v>190</v>
      </c>
      <c r="FL197" s="319" t="s">
        <v>190</v>
      </c>
      <c r="FM197" s="319" t="s">
        <v>190</v>
      </c>
      <c r="FN197" s="319" t="s">
        <v>190</v>
      </c>
      <c r="FO197" s="319" t="s">
        <v>428</v>
      </c>
      <c r="FP197" s="319" t="s">
        <v>190</v>
      </c>
      <c r="FQ197" s="319" t="s">
        <v>190</v>
      </c>
      <c r="FR197" s="319" t="s">
        <v>190</v>
      </c>
      <c r="FS197" s="319" t="s">
        <v>428</v>
      </c>
      <c r="FT197" s="319" t="s">
        <v>190</v>
      </c>
      <c r="FU197" s="319" t="s">
        <v>190</v>
      </c>
      <c r="FV197" s="319" t="s">
        <v>190</v>
      </c>
      <c r="FW197" s="319" t="s">
        <v>190</v>
      </c>
      <c r="FX197" s="319" t="s">
        <v>190</v>
      </c>
      <c r="FY197" s="319" t="s">
        <v>190</v>
      </c>
      <c r="FZ197" s="319" t="s">
        <v>190</v>
      </c>
      <c r="GA197" s="319" t="s">
        <v>190</v>
      </c>
      <c r="GB197" s="319" t="s">
        <v>190</v>
      </c>
      <c r="GC197" s="319" t="s">
        <v>190</v>
      </c>
      <c r="GD197" s="319" t="s">
        <v>190</v>
      </c>
      <c r="GE197" s="319" t="s">
        <v>190</v>
      </c>
      <c r="GF197" s="319" t="s">
        <v>190</v>
      </c>
      <c r="GG197" s="319" t="s">
        <v>190</v>
      </c>
      <c r="GH197" s="319" t="s">
        <v>190</v>
      </c>
      <c r="GI197" s="319" t="s">
        <v>190</v>
      </c>
      <c r="GJ197" s="319" t="s">
        <v>190</v>
      </c>
      <c r="GK197" s="319" t="s">
        <v>428</v>
      </c>
      <c r="GL197" s="319" t="s">
        <v>190</v>
      </c>
      <c r="GM197" s="319" t="s">
        <v>190</v>
      </c>
      <c r="GN197" s="319" t="s">
        <v>190</v>
      </c>
      <c r="GO197" s="319" t="s">
        <v>190</v>
      </c>
      <c r="GP197" s="319" t="s">
        <v>190</v>
      </c>
      <c r="GQ197" s="319" t="s">
        <v>190</v>
      </c>
      <c r="GR197" s="319" t="s">
        <v>190</v>
      </c>
      <c r="GS197" s="319" t="s">
        <v>190</v>
      </c>
      <c r="GT197" s="319" t="s">
        <v>428</v>
      </c>
      <c r="GU197" s="319" t="s">
        <v>428</v>
      </c>
      <c r="GV197" s="319" t="s">
        <v>190</v>
      </c>
      <c r="GW197" s="319" t="s">
        <v>190</v>
      </c>
      <c r="GX197" s="319" t="s">
        <v>190</v>
      </c>
      <c r="GY197" s="319" t="s">
        <v>190</v>
      </c>
      <c r="GZ197" s="319" t="s">
        <v>190</v>
      </c>
      <c r="HA197" s="319" t="s">
        <v>190</v>
      </c>
      <c r="HB197" s="319" t="s">
        <v>190</v>
      </c>
      <c r="HC197" s="319" t="s">
        <v>190</v>
      </c>
      <c r="HD197" s="319" t="s">
        <v>190</v>
      </c>
      <c r="HE197" s="319" t="s">
        <v>190</v>
      </c>
      <c r="HF197" s="319" t="s">
        <v>190</v>
      </c>
      <c r="HG197" s="319" t="s">
        <v>190</v>
      </c>
      <c r="HH197" s="319" t="s">
        <v>190</v>
      </c>
      <c r="HI197" s="319" t="s">
        <v>190</v>
      </c>
      <c r="HJ197" s="319" t="s">
        <v>190</v>
      </c>
      <c r="HK197" s="319" t="s">
        <v>190</v>
      </c>
      <c r="HL197" s="319" t="s">
        <v>190</v>
      </c>
      <c r="HM197" s="319" t="s">
        <v>190</v>
      </c>
      <c r="HN197" s="319" t="s">
        <v>190</v>
      </c>
      <c r="HO197" s="319" t="s">
        <v>190</v>
      </c>
      <c r="HP197" s="319" t="s">
        <v>190</v>
      </c>
      <c r="HQ197" s="319" t="s">
        <v>190</v>
      </c>
      <c r="HR197" s="319" t="s">
        <v>190</v>
      </c>
      <c r="HS197" s="319" t="s">
        <v>190</v>
      </c>
      <c r="HT197" s="319" t="s">
        <v>190</v>
      </c>
      <c r="HU197" s="319" t="s">
        <v>190</v>
      </c>
      <c r="HV197" s="319" t="s">
        <v>190</v>
      </c>
      <c r="HW197" s="319" t="s">
        <v>190</v>
      </c>
      <c r="HX197" s="319" t="s">
        <v>190</v>
      </c>
      <c r="HY197" s="319" t="s">
        <v>190</v>
      </c>
      <c r="HZ197" s="319" t="s">
        <v>190</v>
      </c>
      <c r="IA197" s="319" t="s">
        <v>190</v>
      </c>
      <c r="IB197" s="319" t="s">
        <v>190</v>
      </c>
      <c r="IC197" s="319" t="s">
        <v>190</v>
      </c>
      <c r="ID197" s="319" t="s">
        <v>190</v>
      </c>
      <c r="IE197" s="319" t="s">
        <v>190</v>
      </c>
      <c r="IF197" s="319" t="s">
        <v>190</v>
      </c>
      <c r="IG197" s="319" t="s">
        <v>190</v>
      </c>
      <c r="IH197" s="319" t="s">
        <v>190</v>
      </c>
      <c r="II197" s="319" t="s">
        <v>190</v>
      </c>
      <c r="IJ197" s="319">
        <v>10008568</v>
      </c>
      <c r="IK197" s="321">
        <v>42494</v>
      </c>
      <c r="IL197" s="321">
        <v>42496</v>
      </c>
      <c r="IM197" s="321">
        <v>42524</v>
      </c>
      <c r="IN197" s="319">
        <v>4</v>
      </c>
      <c r="IO197" s="319" t="s">
        <v>173</v>
      </c>
      <c r="IP197" s="319" t="s">
        <v>173</v>
      </c>
      <c r="IQ197" s="321" t="s">
        <v>173</v>
      </c>
      <c r="IR197" s="320" t="s">
        <v>173</v>
      </c>
      <c r="IS197" s="322" t="s">
        <v>173</v>
      </c>
      <c r="IT197" s="319" t="s">
        <v>173</v>
      </c>
    </row>
    <row r="198" spans="1:254" s="271" customFormat="1" x14ac:dyDescent="0.25">
      <c r="A198" s="318" t="str">
        <f>HYPERLINK("http://www.ofsted.gov.uk/inspection-reports/find-inspection-report/provider/ELS/118993 ","Ofsted School Webpage")</f>
        <v>Ofsted School Webpage</v>
      </c>
      <c r="B198" s="319">
        <v>118993</v>
      </c>
      <c r="C198" s="319">
        <v>8866046</v>
      </c>
      <c r="D198" s="319" t="s">
        <v>893</v>
      </c>
      <c r="E198" s="319" t="s">
        <v>168</v>
      </c>
      <c r="F198" s="319" t="s">
        <v>81</v>
      </c>
      <c r="G198" s="319" t="s">
        <v>81</v>
      </c>
      <c r="H198" s="319" t="s">
        <v>81</v>
      </c>
      <c r="I198" s="319" t="s">
        <v>78</v>
      </c>
      <c r="J198" s="319" t="s">
        <v>424</v>
      </c>
      <c r="K198" s="319" t="s">
        <v>514</v>
      </c>
      <c r="L198" s="319" t="s">
        <v>514</v>
      </c>
      <c r="M198" s="319" t="s">
        <v>614</v>
      </c>
      <c r="N198" s="319" t="s">
        <v>2981</v>
      </c>
      <c r="O198" s="319" t="s">
        <v>894</v>
      </c>
      <c r="P198" s="319">
        <v>81</v>
      </c>
      <c r="Q198" s="319" t="s">
        <v>2776</v>
      </c>
      <c r="R198" s="320">
        <v>10080988</v>
      </c>
      <c r="S198" s="321">
        <v>43494</v>
      </c>
      <c r="T198" s="321">
        <v>43496</v>
      </c>
      <c r="U198" s="321">
        <v>43535</v>
      </c>
      <c r="V198" s="319" t="s">
        <v>554</v>
      </c>
      <c r="W198" s="319" t="s">
        <v>2767</v>
      </c>
      <c r="X198" s="319">
        <v>4</v>
      </c>
      <c r="Y198" s="319" t="s">
        <v>173</v>
      </c>
      <c r="Z198" s="319" t="s">
        <v>173</v>
      </c>
      <c r="AA198" s="319" t="s">
        <v>173</v>
      </c>
      <c r="AB198" s="319">
        <v>4</v>
      </c>
      <c r="AC198" s="319" t="s">
        <v>170</v>
      </c>
      <c r="AD198" s="319" t="s">
        <v>173</v>
      </c>
      <c r="AE198" s="319">
        <v>4</v>
      </c>
      <c r="AF198" s="319" t="s">
        <v>427</v>
      </c>
      <c r="AG198" s="319" t="s">
        <v>172</v>
      </c>
      <c r="AH198" s="319" t="s">
        <v>190</v>
      </c>
      <c r="AI198" s="319" t="s">
        <v>190</v>
      </c>
      <c r="AJ198" s="319" t="s">
        <v>479</v>
      </c>
      <c r="AK198" s="319" t="s">
        <v>190</v>
      </c>
      <c r="AL198" s="319" t="s">
        <v>479</v>
      </c>
      <c r="AM198" s="319" t="s">
        <v>190</v>
      </c>
      <c r="AN198" s="319" t="s">
        <v>190</v>
      </c>
      <c r="AO198" s="319" t="s">
        <v>479</v>
      </c>
      <c r="AP198" s="319" t="s">
        <v>190</v>
      </c>
      <c r="AQ198" s="319" t="s">
        <v>190</v>
      </c>
      <c r="AR198" s="319" t="s">
        <v>190</v>
      </c>
      <c r="AS198" s="319" t="s">
        <v>190</v>
      </c>
      <c r="AT198" s="319" t="s">
        <v>190</v>
      </c>
      <c r="AU198" s="319" t="s">
        <v>190</v>
      </c>
      <c r="AV198" s="319" t="s">
        <v>190</v>
      </c>
      <c r="AW198" s="319" t="s">
        <v>190</v>
      </c>
      <c r="AX198" s="319" t="s">
        <v>428</v>
      </c>
      <c r="AY198" s="319" t="s">
        <v>190</v>
      </c>
      <c r="AZ198" s="319" t="s">
        <v>190</v>
      </c>
      <c r="BA198" s="319" t="s">
        <v>190</v>
      </c>
      <c r="BB198" s="319" t="s">
        <v>190</v>
      </c>
      <c r="BC198" s="319" t="s">
        <v>190</v>
      </c>
      <c r="BD198" s="319" t="s">
        <v>190</v>
      </c>
      <c r="BE198" s="319" t="s">
        <v>190</v>
      </c>
      <c r="BF198" s="319" t="s">
        <v>428</v>
      </c>
      <c r="BG198" s="319" t="s">
        <v>190</v>
      </c>
      <c r="BH198" s="319" t="s">
        <v>190</v>
      </c>
      <c r="BI198" s="319" t="s">
        <v>190</v>
      </c>
      <c r="BJ198" s="319" t="s">
        <v>190</v>
      </c>
      <c r="BK198" s="319" t="s">
        <v>190</v>
      </c>
      <c r="BL198" s="319" t="s">
        <v>190</v>
      </c>
      <c r="BM198" s="319" t="s">
        <v>190</v>
      </c>
      <c r="BN198" s="319" t="s">
        <v>190</v>
      </c>
      <c r="BO198" s="319" t="s">
        <v>190</v>
      </c>
      <c r="BP198" s="319" t="s">
        <v>190</v>
      </c>
      <c r="BQ198" s="319" t="s">
        <v>190</v>
      </c>
      <c r="BR198" s="319" t="s">
        <v>190</v>
      </c>
      <c r="BS198" s="319" t="s">
        <v>190</v>
      </c>
      <c r="BT198" s="319" t="s">
        <v>190</v>
      </c>
      <c r="BU198" s="319" t="s">
        <v>190</v>
      </c>
      <c r="BV198" s="319" t="s">
        <v>190</v>
      </c>
      <c r="BW198" s="319" t="s">
        <v>190</v>
      </c>
      <c r="BX198" s="319" t="s">
        <v>190</v>
      </c>
      <c r="BY198" s="319" t="s">
        <v>190</v>
      </c>
      <c r="BZ198" s="319" t="s">
        <v>190</v>
      </c>
      <c r="CA198" s="319" t="s">
        <v>190</v>
      </c>
      <c r="CB198" s="319" t="s">
        <v>190</v>
      </c>
      <c r="CC198" s="319" t="s">
        <v>190</v>
      </c>
      <c r="CD198" s="319" t="s">
        <v>190</v>
      </c>
      <c r="CE198" s="319" t="s">
        <v>190</v>
      </c>
      <c r="CF198" s="319" t="s">
        <v>190</v>
      </c>
      <c r="CG198" s="319" t="s">
        <v>190</v>
      </c>
      <c r="CH198" s="319" t="s">
        <v>190</v>
      </c>
      <c r="CI198" s="319" t="s">
        <v>190</v>
      </c>
      <c r="CJ198" s="319" t="s">
        <v>190</v>
      </c>
      <c r="CK198" s="319" t="s">
        <v>191</v>
      </c>
      <c r="CL198" s="319" t="s">
        <v>191</v>
      </c>
      <c r="CM198" s="319" t="s">
        <v>191</v>
      </c>
      <c r="CN198" s="319" t="s">
        <v>191</v>
      </c>
      <c r="CO198" s="319" t="s">
        <v>191</v>
      </c>
      <c r="CP198" s="319" t="s">
        <v>191</v>
      </c>
      <c r="CQ198" s="319" t="s">
        <v>190</v>
      </c>
      <c r="CR198" s="319" t="s">
        <v>190</v>
      </c>
      <c r="CS198" s="319" t="s">
        <v>190</v>
      </c>
      <c r="CT198" s="319" t="s">
        <v>190</v>
      </c>
      <c r="CU198" s="319" t="s">
        <v>190</v>
      </c>
      <c r="CV198" s="319" t="s">
        <v>190</v>
      </c>
      <c r="CW198" s="319" t="s">
        <v>190</v>
      </c>
      <c r="CX198" s="319" t="s">
        <v>190</v>
      </c>
      <c r="CY198" s="319" t="s">
        <v>190</v>
      </c>
      <c r="CZ198" s="319" t="s">
        <v>191</v>
      </c>
      <c r="DA198" s="319" t="s">
        <v>190</v>
      </c>
      <c r="DB198" s="319" t="s">
        <v>190</v>
      </c>
      <c r="DC198" s="319" t="s">
        <v>190</v>
      </c>
      <c r="DD198" s="319" t="s">
        <v>190</v>
      </c>
      <c r="DE198" s="319" t="s">
        <v>190</v>
      </c>
      <c r="DF198" s="319" t="s">
        <v>190</v>
      </c>
      <c r="DG198" s="319" t="s">
        <v>190</v>
      </c>
      <c r="DH198" s="319" t="s">
        <v>190</v>
      </c>
      <c r="DI198" s="319" t="s">
        <v>190</v>
      </c>
      <c r="DJ198" s="319" t="s">
        <v>190</v>
      </c>
      <c r="DK198" s="319" t="s">
        <v>190</v>
      </c>
      <c r="DL198" s="319" t="s">
        <v>190</v>
      </c>
      <c r="DM198" s="319" t="s">
        <v>190</v>
      </c>
      <c r="DN198" s="319" t="s">
        <v>190</v>
      </c>
      <c r="DO198" s="319" t="s">
        <v>190</v>
      </c>
      <c r="DP198" s="319" t="s">
        <v>190</v>
      </c>
      <c r="DQ198" s="319" t="s">
        <v>190</v>
      </c>
      <c r="DR198" s="319" t="s">
        <v>190</v>
      </c>
      <c r="DS198" s="319" t="s">
        <v>190</v>
      </c>
      <c r="DT198" s="319" t="s">
        <v>190</v>
      </c>
      <c r="DU198" s="319" t="s">
        <v>190</v>
      </c>
      <c r="DV198" s="319" t="s">
        <v>173</v>
      </c>
      <c r="DW198" s="319" t="s">
        <v>190</v>
      </c>
      <c r="DX198" s="319" t="s">
        <v>190</v>
      </c>
      <c r="DY198" s="319" t="s">
        <v>190</v>
      </c>
      <c r="DZ198" s="319" t="s">
        <v>190</v>
      </c>
      <c r="EA198" s="319" t="s">
        <v>190</v>
      </c>
      <c r="EB198" s="319" t="s">
        <v>190</v>
      </c>
      <c r="EC198" s="319" t="s">
        <v>190</v>
      </c>
      <c r="ED198" s="319" t="s">
        <v>190</v>
      </c>
      <c r="EE198" s="319" t="s">
        <v>190</v>
      </c>
      <c r="EF198" s="319" t="s">
        <v>190</v>
      </c>
      <c r="EG198" s="319" t="s">
        <v>190</v>
      </c>
      <c r="EH198" s="319" t="s">
        <v>190</v>
      </c>
      <c r="EI198" s="319" t="s">
        <v>190</v>
      </c>
      <c r="EJ198" s="319" t="s">
        <v>190</v>
      </c>
      <c r="EK198" s="319" t="s">
        <v>190</v>
      </c>
      <c r="EL198" s="319" t="s">
        <v>190</v>
      </c>
      <c r="EM198" s="319" t="s">
        <v>190</v>
      </c>
      <c r="EN198" s="319" t="s">
        <v>190</v>
      </c>
      <c r="EO198" s="319" t="s">
        <v>190</v>
      </c>
      <c r="EP198" s="319" t="s">
        <v>190</v>
      </c>
      <c r="EQ198" s="319" t="s">
        <v>190</v>
      </c>
      <c r="ER198" s="319" t="s">
        <v>190</v>
      </c>
      <c r="ES198" s="319" t="s">
        <v>190</v>
      </c>
      <c r="ET198" s="319" t="s">
        <v>190</v>
      </c>
      <c r="EU198" s="319" t="s">
        <v>190</v>
      </c>
      <c r="EV198" s="319" t="s">
        <v>190</v>
      </c>
      <c r="EW198" s="319" t="s">
        <v>190</v>
      </c>
      <c r="EX198" s="319" t="s">
        <v>190</v>
      </c>
      <c r="EY198" s="319" t="s">
        <v>190</v>
      </c>
      <c r="EZ198" s="319" t="s">
        <v>190</v>
      </c>
      <c r="FA198" s="319" t="s">
        <v>190</v>
      </c>
      <c r="FB198" s="319" t="s">
        <v>190</v>
      </c>
      <c r="FC198" s="319" t="s">
        <v>190</v>
      </c>
      <c r="FD198" s="319" t="s">
        <v>190</v>
      </c>
      <c r="FE198" s="319" t="s">
        <v>190</v>
      </c>
      <c r="FF198" s="319" t="s">
        <v>190</v>
      </c>
      <c r="FG198" s="319" t="s">
        <v>190</v>
      </c>
      <c r="FH198" s="319" t="s">
        <v>190</v>
      </c>
      <c r="FI198" s="319" t="s">
        <v>190</v>
      </c>
      <c r="FJ198" s="319" t="s">
        <v>190</v>
      </c>
      <c r="FK198" s="319" t="s">
        <v>190</v>
      </c>
      <c r="FL198" s="319" t="s">
        <v>190</v>
      </c>
      <c r="FM198" s="319" t="s">
        <v>190</v>
      </c>
      <c r="FN198" s="319" t="s">
        <v>190</v>
      </c>
      <c r="FO198" s="319" t="s">
        <v>190</v>
      </c>
      <c r="FP198" s="319" t="s">
        <v>190</v>
      </c>
      <c r="FQ198" s="319" t="s">
        <v>190</v>
      </c>
      <c r="FR198" s="319" t="s">
        <v>190</v>
      </c>
      <c r="FS198" s="319" t="s">
        <v>428</v>
      </c>
      <c r="FT198" s="319" t="s">
        <v>190</v>
      </c>
      <c r="FU198" s="319" t="s">
        <v>190</v>
      </c>
      <c r="FV198" s="319" t="s">
        <v>190</v>
      </c>
      <c r="FW198" s="319" t="s">
        <v>190</v>
      </c>
      <c r="FX198" s="319" t="s">
        <v>190</v>
      </c>
      <c r="FY198" s="319" t="s">
        <v>190</v>
      </c>
      <c r="FZ198" s="319" t="s">
        <v>190</v>
      </c>
      <c r="GA198" s="319" t="s">
        <v>190</v>
      </c>
      <c r="GB198" s="319" t="s">
        <v>190</v>
      </c>
      <c r="GC198" s="319" t="s">
        <v>190</v>
      </c>
      <c r="GD198" s="319" t="s">
        <v>190</v>
      </c>
      <c r="GE198" s="319" t="s">
        <v>190</v>
      </c>
      <c r="GF198" s="319" t="s">
        <v>190</v>
      </c>
      <c r="GG198" s="319" t="s">
        <v>190</v>
      </c>
      <c r="GH198" s="319" t="s">
        <v>190</v>
      </c>
      <c r="GI198" s="319" t="s">
        <v>190</v>
      </c>
      <c r="GJ198" s="319" t="s">
        <v>190</v>
      </c>
      <c r="GK198" s="319" t="s">
        <v>191</v>
      </c>
      <c r="GL198" s="319" t="s">
        <v>190</v>
      </c>
      <c r="GM198" s="319" t="s">
        <v>190</v>
      </c>
      <c r="GN198" s="319" t="s">
        <v>190</v>
      </c>
      <c r="GO198" s="319" t="s">
        <v>190</v>
      </c>
      <c r="GP198" s="319" t="s">
        <v>190</v>
      </c>
      <c r="GQ198" s="319" t="s">
        <v>190</v>
      </c>
      <c r="GR198" s="319" t="s">
        <v>190</v>
      </c>
      <c r="GS198" s="319" t="s">
        <v>190</v>
      </c>
      <c r="GT198" s="319" t="s">
        <v>190</v>
      </c>
      <c r="GU198" s="319" t="s">
        <v>190</v>
      </c>
      <c r="GV198" s="319" t="s">
        <v>190</v>
      </c>
      <c r="GW198" s="319" t="s">
        <v>190</v>
      </c>
      <c r="GX198" s="319" t="s">
        <v>190</v>
      </c>
      <c r="GY198" s="319" t="s">
        <v>190</v>
      </c>
      <c r="GZ198" s="319" t="s">
        <v>428</v>
      </c>
      <c r="HA198" s="319" t="s">
        <v>190</v>
      </c>
      <c r="HB198" s="319" t="s">
        <v>428</v>
      </c>
      <c r="HC198" s="319" t="s">
        <v>190</v>
      </c>
      <c r="HD198" s="319" t="s">
        <v>190</v>
      </c>
      <c r="HE198" s="319" t="s">
        <v>190</v>
      </c>
      <c r="HF198" s="319" t="s">
        <v>190</v>
      </c>
      <c r="HG198" s="319" t="s">
        <v>190</v>
      </c>
      <c r="HH198" s="319" t="s">
        <v>190</v>
      </c>
      <c r="HI198" s="319" t="s">
        <v>190</v>
      </c>
      <c r="HJ198" s="319" t="s">
        <v>190</v>
      </c>
      <c r="HK198" s="319" t="s">
        <v>428</v>
      </c>
      <c r="HL198" s="319" t="s">
        <v>428</v>
      </c>
      <c r="HM198" s="319" t="s">
        <v>428</v>
      </c>
      <c r="HN198" s="319" t="s">
        <v>428</v>
      </c>
      <c r="HO198" s="319" t="s">
        <v>428</v>
      </c>
      <c r="HP198" s="319" t="s">
        <v>190</v>
      </c>
      <c r="HQ198" s="319" t="s">
        <v>190</v>
      </c>
      <c r="HR198" s="319" t="s">
        <v>190</v>
      </c>
      <c r="HS198" s="319" t="s">
        <v>190</v>
      </c>
      <c r="HT198" s="319" t="s">
        <v>190</v>
      </c>
      <c r="HU198" s="319" t="s">
        <v>190</v>
      </c>
      <c r="HV198" s="319" t="s">
        <v>190</v>
      </c>
      <c r="HW198" s="319" t="s">
        <v>190</v>
      </c>
      <c r="HX198" s="319" t="s">
        <v>190</v>
      </c>
      <c r="HY198" s="319" t="s">
        <v>190</v>
      </c>
      <c r="HZ198" s="319" t="s">
        <v>190</v>
      </c>
      <c r="IA198" s="319" t="s">
        <v>190</v>
      </c>
      <c r="IB198" s="319" t="s">
        <v>190</v>
      </c>
      <c r="IC198" s="319" t="s">
        <v>190</v>
      </c>
      <c r="ID198" s="319" t="s">
        <v>190</v>
      </c>
      <c r="IE198" s="319" t="s">
        <v>190</v>
      </c>
      <c r="IF198" s="319" t="s">
        <v>191</v>
      </c>
      <c r="IG198" s="319" t="s">
        <v>191</v>
      </c>
      <c r="IH198" s="319" t="s">
        <v>191</v>
      </c>
      <c r="II198" s="319" t="s">
        <v>191</v>
      </c>
      <c r="IJ198" s="319">
        <v>10008936</v>
      </c>
      <c r="IK198" s="321">
        <v>42696</v>
      </c>
      <c r="IL198" s="321">
        <v>42698</v>
      </c>
      <c r="IM198" s="321">
        <v>42746</v>
      </c>
      <c r="IN198" s="319">
        <v>1</v>
      </c>
      <c r="IO198" s="319">
        <v>10118755</v>
      </c>
      <c r="IP198" s="319" t="s">
        <v>985</v>
      </c>
      <c r="IQ198" s="321">
        <v>43747</v>
      </c>
      <c r="IR198" s="320" t="s">
        <v>2771</v>
      </c>
      <c r="IS198" s="322">
        <v>43780</v>
      </c>
      <c r="IT198" s="319" t="s">
        <v>165</v>
      </c>
    </row>
    <row r="199" spans="1:254" s="271" customFormat="1" x14ac:dyDescent="0.25">
      <c r="A199" s="318" t="str">
        <f>HYPERLINK("http://www.ofsted.gov.uk/inspection-reports/find-inspection-report/provider/ELS/118995 ","Ofsted School Webpage")</f>
        <v>Ofsted School Webpage</v>
      </c>
      <c r="B199" s="319">
        <v>118995</v>
      </c>
      <c r="C199" s="319">
        <v>8866047</v>
      </c>
      <c r="D199" s="319" t="s">
        <v>1494</v>
      </c>
      <c r="E199" s="319" t="s">
        <v>168</v>
      </c>
      <c r="F199" s="319" t="s">
        <v>81</v>
      </c>
      <c r="G199" s="319" t="s">
        <v>81</v>
      </c>
      <c r="H199" s="319" t="s">
        <v>81</v>
      </c>
      <c r="I199" s="319" t="s">
        <v>78</v>
      </c>
      <c r="J199" s="319" t="s">
        <v>424</v>
      </c>
      <c r="K199" s="319" t="s">
        <v>514</v>
      </c>
      <c r="L199" s="319" t="s">
        <v>514</v>
      </c>
      <c r="M199" s="319" t="s">
        <v>614</v>
      </c>
      <c r="N199" s="319" t="s">
        <v>2982</v>
      </c>
      <c r="O199" s="319" t="s">
        <v>1495</v>
      </c>
      <c r="P199" s="319">
        <v>95</v>
      </c>
      <c r="Q199" s="319" t="s">
        <v>429</v>
      </c>
      <c r="R199" s="320">
        <v>10006043</v>
      </c>
      <c r="S199" s="321">
        <v>42766</v>
      </c>
      <c r="T199" s="321">
        <v>42768</v>
      </c>
      <c r="U199" s="321">
        <v>42800</v>
      </c>
      <c r="V199" s="319" t="s">
        <v>554</v>
      </c>
      <c r="W199" s="319" t="s">
        <v>2767</v>
      </c>
      <c r="X199" s="319">
        <v>2</v>
      </c>
      <c r="Y199" s="319" t="s">
        <v>173</v>
      </c>
      <c r="Z199" s="319" t="s">
        <v>173</v>
      </c>
      <c r="AA199" s="319" t="s">
        <v>173</v>
      </c>
      <c r="AB199" s="319">
        <v>2</v>
      </c>
      <c r="AC199" s="319" t="s">
        <v>169</v>
      </c>
      <c r="AD199" s="319" t="s">
        <v>173</v>
      </c>
      <c r="AE199" s="319">
        <v>2</v>
      </c>
      <c r="AF199" s="319" t="s">
        <v>173</v>
      </c>
      <c r="AG199" s="319" t="s">
        <v>171</v>
      </c>
      <c r="AH199" s="319" t="s">
        <v>190</v>
      </c>
      <c r="AI199" s="319" t="s">
        <v>190</v>
      </c>
      <c r="AJ199" s="319" t="s">
        <v>190</v>
      </c>
      <c r="AK199" s="319" t="s">
        <v>190</v>
      </c>
      <c r="AL199" s="319" t="s">
        <v>190</v>
      </c>
      <c r="AM199" s="319" t="s">
        <v>190</v>
      </c>
      <c r="AN199" s="319" t="s">
        <v>190</v>
      </c>
      <c r="AO199" s="319" t="s">
        <v>190</v>
      </c>
      <c r="AP199" s="319" t="s">
        <v>190</v>
      </c>
      <c r="AQ199" s="319" t="s">
        <v>190</v>
      </c>
      <c r="AR199" s="319" t="s">
        <v>190</v>
      </c>
      <c r="AS199" s="319" t="s">
        <v>190</v>
      </c>
      <c r="AT199" s="319" t="s">
        <v>190</v>
      </c>
      <c r="AU199" s="319" t="s">
        <v>190</v>
      </c>
      <c r="AV199" s="319" t="s">
        <v>190</v>
      </c>
      <c r="AW199" s="319" t="s">
        <v>190</v>
      </c>
      <c r="AX199" s="319" t="s">
        <v>429</v>
      </c>
      <c r="AY199" s="319" t="s">
        <v>190</v>
      </c>
      <c r="AZ199" s="319" t="s">
        <v>190</v>
      </c>
      <c r="BA199" s="319" t="s">
        <v>190</v>
      </c>
      <c r="BB199" s="319" t="s">
        <v>190</v>
      </c>
      <c r="BC199" s="319" t="s">
        <v>190</v>
      </c>
      <c r="BD199" s="319" t="s">
        <v>190</v>
      </c>
      <c r="BE199" s="319" t="s">
        <v>190</v>
      </c>
      <c r="BF199" s="319" t="s">
        <v>429</v>
      </c>
      <c r="BG199" s="319" t="s">
        <v>190</v>
      </c>
      <c r="BH199" s="319" t="s">
        <v>190</v>
      </c>
      <c r="BI199" s="319" t="s">
        <v>190</v>
      </c>
      <c r="BJ199" s="319" t="s">
        <v>190</v>
      </c>
      <c r="BK199" s="319" t="s">
        <v>190</v>
      </c>
      <c r="BL199" s="319" t="s">
        <v>190</v>
      </c>
      <c r="BM199" s="319" t="s">
        <v>190</v>
      </c>
      <c r="BN199" s="319" t="s">
        <v>190</v>
      </c>
      <c r="BO199" s="319" t="s">
        <v>190</v>
      </c>
      <c r="BP199" s="319" t="s">
        <v>190</v>
      </c>
      <c r="BQ199" s="319" t="s">
        <v>190</v>
      </c>
      <c r="BR199" s="319" t="s">
        <v>190</v>
      </c>
      <c r="BS199" s="319" t="s">
        <v>190</v>
      </c>
      <c r="BT199" s="319" t="s">
        <v>190</v>
      </c>
      <c r="BU199" s="319" t="s">
        <v>190</v>
      </c>
      <c r="BV199" s="319" t="s">
        <v>190</v>
      </c>
      <c r="BW199" s="319" t="s">
        <v>190</v>
      </c>
      <c r="BX199" s="319" t="s">
        <v>190</v>
      </c>
      <c r="BY199" s="319" t="s">
        <v>190</v>
      </c>
      <c r="BZ199" s="319" t="s">
        <v>190</v>
      </c>
      <c r="CA199" s="319" t="s">
        <v>190</v>
      </c>
      <c r="CB199" s="319" t="s">
        <v>190</v>
      </c>
      <c r="CC199" s="319" t="s">
        <v>190</v>
      </c>
      <c r="CD199" s="319" t="s">
        <v>190</v>
      </c>
      <c r="CE199" s="319" t="s">
        <v>190</v>
      </c>
      <c r="CF199" s="319" t="s">
        <v>190</v>
      </c>
      <c r="CG199" s="319" t="s">
        <v>190</v>
      </c>
      <c r="CH199" s="319" t="s">
        <v>190</v>
      </c>
      <c r="CI199" s="319" t="s">
        <v>190</v>
      </c>
      <c r="CJ199" s="319" t="s">
        <v>190</v>
      </c>
      <c r="CK199" s="319" t="s">
        <v>190</v>
      </c>
      <c r="CL199" s="319" t="s">
        <v>190</v>
      </c>
      <c r="CM199" s="319" t="s">
        <v>190</v>
      </c>
      <c r="CN199" s="319" t="s">
        <v>190</v>
      </c>
      <c r="CO199" s="319" t="s">
        <v>190</v>
      </c>
      <c r="CP199" s="319" t="s">
        <v>190</v>
      </c>
      <c r="CQ199" s="319" t="s">
        <v>190</v>
      </c>
      <c r="CR199" s="319" t="s">
        <v>190</v>
      </c>
      <c r="CS199" s="319" t="s">
        <v>190</v>
      </c>
      <c r="CT199" s="319" t="s">
        <v>190</v>
      </c>
      <c r="CU199" s="319" t="s">
        <v>190</v>
      </c>
      <c r="CV199" s="319" t="s">
        <v>190</v>
      </c>
      <c r="CW199" s="319" t="s">
        <v>190</v>
      </c>
      <c r="CX199" s="319" t="s">
        <v>190</v>
      </c>
      <c r="CY199" s="319" t="s">
        <v>190</v>
      </c>
      <c r="CZ199" s="319" t="s">
        <v>190</v>
      </c>
      <c r="DA199" s="319" t="s">
        <v>190</v>
      </c>
      <c r="DB199" s="319" t="s">
        <v>190</v>
      </c>
      <c r="DC199" s="319" t="s">
        <v>190</v>
      </c>
      <c r="DD199" s="319" t="s">
        <v>190</v>
      </c>
      <c r="DE199" s="319" t="s">
        <v>190</v>
      </c>
      <c r="DF199" s="319" t="s">
        <v>190</v>
      </c>
      <c r="DG199" s="319" t="s">
        <v>190</v>
      </c>
      <c r="DH199" s="319" t="s">
        <v>190</v>
      </c>
      <c r="DI199" s="319" t="s">
        <v>190</v>
      </c>
      <c r="DJ199" s="319" t="s">
        <v>190</v>
      </c>
      <c r="DK199" s="319" t="s">
        <v>190</v>
      </c>
      <c r="DL199" s="319" t="s">
        <v>190</v>
      </c>
      <c r="DM199" s="319" t="s">
        <v>190</v>
      </c>
      <c r="DN199" s="319" t="s">
        <v>190</v>
      </c>
      <c r="DO199" s="319" t="s">
        <v>190</v>
      </c>
      <c r="DP199" s="319" t="s">
        <v>190</v>
      </c>
      <c r="DQ199" s="319" t="s">
        <v>190</v>
      </c>
      <c r="DR199" s="319" t="s">
        <v>190</v>
      </c>
      <c r="DS199" s="319" t="s">
        <v>190</v>
      </c>
      <c r="DT199" s="319" t="s">
        <v>190</v>
      </c>
      <c r="DU199" s="319" t="s">
        <v>190</v>
      </c>
      <c r="DV199" s="319" t="s">
        <v>173</v>
      </c>
      <c r="DW199" s="319" t="s">
        <v>190</v>
      </c>
      <c r="DX199" s="319" t="s">
        <v>190</v>
      </c>
      <c r="DY199" s="319" t="s">
        <v>190</v>
      </c>
      <c r="DZ199" s="319" t="s">
        <v>190</v>
      </c>
      <c r="EA199" s="319" t="s">
        <v>190</v>
      </c>
      <c r="EB199" s="319" t="s">
        <v>190</v>
      </c>
      <c r="EC199" s="319" t="s">
        <v>190</v>
      </c>
      <c r="ED199" s="319" t="s">
        <v>190</v>
      </c>
      <c r="EE199" s="319" t="s">
        <v>190</v>
      </c>
      <c r="EF199" s="319" t="s">
        <v>190</v>
      </c>
      <c r="EG199" s="319" t="s">
        <v>190</v>
      </c>
      <c r="EH199" s="319" t="s">
        <v>190</v>
      </c>
      <c r="EI199" s="319" t="s">
        <v>190</v>
      </c>
      <c r="EJ199" s="319" t="s">
        <v>190</v>
      </c>
      <c r="EK199" s="319" t="s">
        <v>190</v>
      </c>
      <c r="EL199" s="319" t="s">
        <v>429</v>
      </c>
      <c r="EM199" s="319" t="s">
        <v>190</v>
      </c>
      <c r="EN199" s="319" t="s">
        <v>190</v>
      </c>
      <c r="EO199" s="319" t="s">
        <v>190</v>
      </c>
      <c r="EP199" s="319" t="s">
        <v>190</v>
      </c>
      <c r="EQ199" s="319" t="s">
        <v>190</v>
      </c>
      <c r="ER199" s="319" t="s">
        <v>190</v>
      </c>
      <c r="ES199" s="319" t="s">
        <v>190</v>
      </c>
      <c r="ET199" s="319" t="s">
        <v>190</v>
      </c>
      <c r="EU199" s="319" t="s">
        <v>190</v>
      </c>
      <c r="EV199" s="319" t="s">
        <v>190</v>
      </c>
      <c r="EW199" s="319" t="s">
        <v>190</v>
      </c>
      <c r="EX199" s="319" t="s">
        <v>190</v>
      </c>
      <c r="EY199" s="319" t="s">
        <v>190</v>
      </c>
      <c r="EZ199" s="319" t="s">
        <v>190</v>
      </c>
      <c r="FA199" s="319" t="s">
        <v>190</v>
      </c>
      <c r="FB199" s="319" t="s">
        <v>190</v>
      </c>
      <c r="FC199" s="319" t="s">
        <v>190</v>
      </c>
      <c r="FD199" s="319" t="s">
        <v>190</v>
      </c>
      <c r="FE199" s="319" t="s">
        <v>190</v>
      </c>
      <c r="FF199" s="319" t="s">
        <v>190</v>
      </c>
      <c r="FG199" s="319" t="s">
        <v>190</v>
      </c>
      <c r="FH199" s="319" t="s">
        <v>190</v>
      </c>
      <c r="FI199" s="319" t="s">
        <v>190</v>
      </c>
      <c r="FJ199" s="319" t="s">
        <v>190</v>
      </c>
      <c r="FK199" s="319" t="s">
        <v>190</v>
      </c>
      <c r="FL199" s="319" t="s">
        <v>190</v>
      </c>
      <c r="FM199" s="319" t="s">
        <v>190</v>
      </c>
      <c r="FN199" s="319" t="s">
        <v>190</v>
      </c>
      <c r="FO199" s="319" t="s">
        <v>190</v>
      </c>
      <c r="FP199" s="319" t="s">
        <v>190</v>
      </c>
      <c r="FQ199" s="319" t="s">
        <v>190</v>
      </c>
      <c r="FR199" s="319" t="s">
        <v>190</v>
      </c>
      <c r="FS199" s="319" t="s">
        <v>190</v>
      </c>
      <c r="FT199" s="319" t="s">
        <v>190</v>
      </c>
      <c r="FU199" s="319" t="s">
        <v>190</v>
      </c>
      <c r="FV199" s="319" t="s">
        <v>190</v>
      </c>
      <c r="FW199" s="319" t="s">
        <v>190</v>
      </c>
      <c r="FX199" s="319" t="s">
        <v>190</v>
      </c>
      <c r="FY199" s="319" t="s">
        <v>190</v>
      </c>
      <c r="FZ199" s="319" t="s">
        <v>190</v>
      </c>
      <c r="GA199" s="319" t="s">
        <v>190</v>
      </c>
      <c r="GB199" s="319" t="s">
        <v>190</v>
      </c>
      <c r="GC199" s="319" t="s">
        <v>190</v>
      </c>
      <c r="GD199" s="319" t="s">
        <v>190</v>
      </c>
      <c r="GE199" s="319" t="s">
        <v>190</v>
      </c>
      <c r="GF199" s="319" t="s">
        <v>190</v>
      </c>
      <c r="GG199" s="319" t="s">
        <v>190</v>
      </c>
      <c r="GH199" s="319" t="s">
        <v>190</v>
      </c>
      <c r="GI199" s="319" t="s">
        <v>190</v>
      </c>
      <c r="GJ199" s="319" t="s">
        <v>190</v>
      </c>
      <c r="GK199" s="319" t="s">
        <v>190</v>
      </c>
      <c r="GL199" s="319" t="s">
        <v>190</v>
      </c>
      <c r="GM199" s="319" t="s">
        <v>190</v>
      </c>
      <c r="GN199" s="319" t="s">
        <v>190</v>
      </c>
      <c r="GO199" s="319" t="s">
        <v>190</v>
      </c>
      <c r="GP199" s="319" t="s">
        <v>190</v>
      </c>
      <c r="GQ199" s="319" t="s">
        <v>190</v>
      </c>
      <c r="GR199" s="319" t="s">
        <v>190</v>
      </c>
      <c r="GS199" s="319" t="s">
        <v>190</v>
      </c>
      <c r="GT199" s="319" t="s">
        <v>190</v>
      </c>
      <c r="GU199" s="319" t="s">
        <v>190</v>
      </c>
      <c r="GV199" s="319" t="s">
        <v>190</v>
      </c>
      <c r="GW199" s="319" t="s">
        <v>190</v>
      </c>
      <c r="GX199" s="319" t="s">
        <v>190</v>
      </c>
      <c r="GY199" s="319" t="s">
        <v>190</v>
      </c>
      <c r="GZ199" s="319" t="s">
        <v>190</v>
      </c>
      <c r="HA199" s="319" t="s">
        <v>190</v>
      </c>
      <c r="HB199" s="319" t="s">
        <v>429</v>
      </c>
      <c r="HC199" s="319" t="s">
        <v>190</v>
      </c>
      <c r="HD199" s="319" t="s">
        <v>190</v>
      </c>
      <c r="HE199" s="319" t="s">
        <v>190</v>
      </c>
      <c r="HF199" s="319" t="s">
        <v>190</v>
      </c>
      <c r="HG199" s="319" t="s">
        <v>190</v>
      </c>
      <c r="HH199" s="319" t="s">
        <v>190</v>
      </c>
      <c r="HI199" s="319" t="s">
        <v>190</v>
      </c>
      <c r="HJ199" s="319" t="s">
        <v>190</v>
      </c>
      <c r="HK199" s="319" t="s">
        <v>190</v>
      </c>
      <c r="HL199" s="319" t="s">
        <v>429</v>
      </c>
      <c r="HM199" s="319" t="s">
        <v>429</v>
      </c>
      <c r="HN199" s="319" t="s">
        <v>429</v>
      </c>
      <c r="HO199" s="319" t="s">
        <v>429</v>
      </c>
      <c r="HP199" s="319" t="s">
        <v>190</v>
      </c>
      <c r="HQ199" s="319" t="s">
        <v>190</v>
      </c>
      <c r="HR199" s="319" t="s">
        <v>190</v>
      </c>
      <c r="HS199" s="319" t="s">
        <v>190</v>
      </c>
      <c r="HT199" s="319" t="s">
        <v>190</v>
      </c>
      <c r="HU199" s="319" t="s">
        <v>190</v>
      </c>
      <c r="HV199" s="319" t="s">
        <v>190</v>
      </c>
      <c r="HW199" s="319" t="s">
        <v>190</v>
      </c>
      <c r="HX199" s="319" t="s">
        <v>190</v>
      </c>
      <c r="HY199" s="319" t="s">
        <v>190</v>
      </c>
      <c r="HZ199" s="319" t="s">
        <v>190</v>
      </c>
      <c r="IA199" s="319" t="s">
        <v>190</v>
      </c>
      <c r="IB199" s="319" t="s">
        <v>190</v>
      </c>
      <c r="IC199" s="319" t="s">
        <v>190</v>
      </c>
      <c r="ID199" s="319" t="s">
        <v>190</v>
      </c>
      <c r="IE199" s="319" t="s">
        <v>190</v>
      </c>
      <c r="IF199" s="319" t="s">
        <v>190</v>
      </c>
      <c r="IG199" s="319" t="s">
        <v>190</v>
      </c>
      <c r="IH199" s="319" t="s">
        <v>190</v>
      </c>
      <c r="II199" s="319" t="s">
        <v>190</v>
      </c>
      <c r="IJ199" s="319" t="s">
        <v>2983</v>
      </c>
      <c r="IK199" s="321">
        <v>41226</v>
      </c>
      <c r="IL199" s="321">
        <v>41227</v>
      </c>
      <c r="IM199" s="321">
        <v>41248</v>
      </c>
      <c r="IN199" s="319">
        <v>2</v>
      </c>
      <c r="IO199" s="319" t="s">
        <v>173</v>
      </c>
      <c r="IP199" s="319" t="s">
        <v>173</v>
      </c>
      <c r="IQ199" s="319" t="s">
        <v>173</v>
      </c>
      <c r="IR199" s="320" t="s">
        <v>173</v>
      </c>
      <c r="IS199" s="320" t="s">
        <v>173</v>
      </c>
      <c r="IT199" s="319" t="s">
        <v>173</v>
      </c>
    </row>
    <row r="200" spans="1:254" s="271" customFormat="1" x14ac:dyDescent="0.25">
      <c r="A200" s="318" t="str">
        <f>HYPERLINK("http://www.ofsted.gov.uk/inspection-reports/find-inspection-report/provider/ELS/119005 ","Ofsted School Webpage")</f>
        <v>Ofsted School Webpage</v>
      </c>
      <c r="B200" s="319">
        <v>119005</v>
      </c>
      <c r="C200" s="319">
        <v>8866057</v>
      </c>
      <c r="D200" s="319" t="s">
        <v>1496</v>
      </c>
      <c r="E200" s="319" t="s">
        <v>167</v>
      </c>
      <c r="F200" s="319" t="s">
        <v>81</v>
      </c>
      <c r="G200" s="319" t="s">
        <v>59</v>
      </c>
      <c r="H200" s="319" t="s">
        <v>59</v>
      </c>
      <c r="I200" s="319" t="s">
        <v>59</v>
      </c>
      <c r="J200" s="319" t="s">
        <v>424</v>
      </c>
      <c r="K200" s="319" t="s">
        <v>514</v>
      </c>
      <c r="L200" s="319" t="s">
        <v>514</v>
      </c>
      <c r="M200" s="319" t="s">
        <v>614</v>
      </c>
      <c r="N200" s="319" t="s">
        <v>2984</v>
      </c>
      <c r="O200" s="319" t="s">
        <v>1497</v>
      </c>
      <c r="P200" s="319">
        <v>63</v>
      </c>
      <c r="Q200" s="319" t="s">
        <v>2766</v>
      </c>
      <c r="R200" s="320">
        <v>10020908</v>
      </c>
      <c r="S200" s="321">
        <v>43046</v>
      </c>
      <c r="T200" s="321">
        <v>43048</v>
      </c>
      <c r="U200" s="321">
        <v>43069</v>
      </c>
      <c r="V200" s="319" t="s">
        <v>425</v>
      </c>
      <c r="W200" s="319" t="s">
        <v>2767</v>
      </c>
      <c r="X200" s="319">
        <v>3</v>
      </c>
      <c r="Y200" s="319" t="s">
        <v>173</v>
      </c>
      <c r="Z200" s="319" t="s">
        <v>173</v>
      </c>
      <c r="AA200" s="319" t="s">
        <v>173</v>
      </c>
      <c r="AB200" s="319">
        <v>3</v>
      </c>
      <c r="AC200" s="319" t="s">
        <v>169</v>
      </c>
      <c r="AD200" s="319">
        <v>3</v>
      </c>
      <c r="AE200" s="319" t="s">
        <v>173</v>
      </c>
      <c r="AF200" s="319" t="s">
        <v>173</v>
      </c>
      <c r="AG200" s="319" t="s">
        <v>171</v>
      </c>
      <c r="AH200" s="319" t="s">
        <v>190</v>
      </c>
      <c r="AI200" s="319" t="s">
        <v>190</v>
      </c>
      <c r="AJ200" s="319" t="s">
        <v>190</v>
      </c>
      <c r="AK200" s="319" t="s">
        <v>190</v>
      </c>
      <c r="AL200" s="319" t="s">
        <v>190</v>
      </c>
      <c r="AM200" s="319" t="s">
        <v>190</v>
      </c>
      <c r="AN200" s="319" t="s">
        <v>190</v>
      </c>
      <c r="AO200" s="319" t="s">
        <v>190</v>
      </c>
      <c r="AP200" s="319" t="s">
        <v>190</v>
      </c>
      <c r="AQ200" s="319" t="s">
        <v>190</v>
      </c>
      <c r="AR200" s="319" t="s">
        <v>190</v>
      </c>
      <c r="AS200" s="319" t="s">
        <v>190</v>
      </c>
      <c r="AT200" s="319" t="s">
        <v>190</v>
      </c>
      <c r="AU200" s="319" t="s">
        <v>190</v>
      </c>
      <c r="AV200" s="319" t="s">
        <v>190</v>
      </c>
      <c r="AW200" s="319" t="s">
        <v>190</v>
      </c>
      <c r="AX200" s="319" t="s">
        <v>429</v>
      </c>
      <c r="AY200" s="319" t="s">
        <v>190</v>
      </c>
      <c r="AZ200" s="319" t="s">
        <v>190</v>
      </c>
      <c r="BA200" s="319" t="s">
        <v>190</v>
      </c>
      <c r="BB200" s="319" t="s">
        <v>429</v>
      </c>
      <c r="BC200" s="319" t="s">
        <v>429</v>
      </c>
      <c r="BD200" s="319" t="s">
        <v>429</v>
      </c>
      <c r="BE200" s="319" t="s">
        <v>429</v>
      </c>
      <c r="BF200" s="319" t="s">
        <v>190</v>
      </c>
      <c r="BG200" s="319" t="s">
        <v>429</v>
      </c>
      <c r="BH200" s="319" t="s">
        <v>190</v>
      </c>
      <c r="BI200" s="319" t="s">
        <v>190</v>
      </c>
      <c r="BJ200" s="319" t="s">
        <v>190</v>
      </c>
      <c r="BK200" s="319" t="s">
        <v>190</v>
      </c>
      <c r="BL200" s="319" t="s">
        <v>190</v>
      </c>
      <c r="BM200" s="319" t="s">
        <v>190</v>
      </c>
      <c r="BN200" s="319" t="s">
        <v>190</v>
      </c>
      <c r="BO200" s="319" t="s">
        <v>190</v>
      </c>
      <c r="BP200" s="319" t="s">
        <v>190</v>
      </c>
      <c r="BQ200" s="319" t="s">
        <v>190</v>
      </c>
      <c r="BR200" s="319" t="s">
        <v>190</v>
      </c>
      <c r="BS200" s="319" t="s">
        <v>190</v>
      </c>
      <c r="BT200" s="319" t="s">
        <v>190</v>
      </c>
      <c r="BU200" s="319" t="s">
        <v>190</v>
      </c>
      <c r="BV200" s="319" t="s">
        <v>190</v>
      </c>
      <c r="BW200" s="319" t="s">
        <v>190</v>
      </c>
      <c r="BX200" s="319" t="s">
        <v>190</v>
      </c>
      <c r="BY200" s="319" t="s">
        <v>190</v>
      </c>
      <c r="BZ200" s="319" t="s">
        <v>190</v>
      </c>
      <c r="CA200" s="319" t="s">
        <v>190</v>
      </c>
      <c r="CB200" s="319" t="s">
        <v>190</v>
      </c>
      <c r="CC200" s="319" t="s">
        <v>190</v>
      </c>
      <c r="CD200" s="319" t="s">
        <v>190</v>
      </c>
      <c r="CE200" s="319" t="s">
        <v>190</v>
      </c>
      <c r="CF200" s="319" t="s">
        <v>190</v>
      </c>
      <c r="CG200" s="319" t="s">
        <v>190</v>
      </c>
      <c r="CH200" s="319" t="s">
        <v>190</v>
      </c>
      <c r="CI200" s="319" t="s">
        <v>190</v>
      </c>
      <c r="CJ200" s="319" t="s">
        <v>190</v>
      </c>
      <c r="CK200" s="319" t="s">
        <v>190</v>
      </c>
      <c r="CL200" s="319" t="s">
        <v>190</v>
      </c>
      <c r="CM200" s="319" t="s">
        <v>190</v>
      </c>
      <c r="CN200" s="319" t="s">
        <v>429</v>
      </c>
      <c r="CO200" s="319" t="s">
        <v>429</v>
      </c>
      <c r="CP200" s="319" t="s">
        <v>429</v>
      </c>
      <c r="CQ200" s="319" t="s">
        <v>190</v>
      </c>
      <c r="CR200" s="319" t="s">
        <v>190</v>
      </c>
      <c r="CS200" s="319" t="s">
        <v>190</v>
      </c>
      <c r="CT200" s="319" t="s">
        <v>190</v>
      </c>
      <c r="CU200" s="319" t="s">
        <v>190</v>
      </c>
      <c r="CV200" s="319" t="s">
        <v>190</v>
      </c>
      <c r="CW200" s="319" t="s">
        <v>190</v>
      </c>
      <c r="CX200" s="319" t="s">
        <v>190</v>
      </c>
      <c r="CY200" s="319" t="s">
        <v>190</v>
      </c>
      <c r="CZ200" s="319" t="s">
        <v>190</v>
      </c>
      <c r="DA200" s="319" t="s">
        <v>190</v>
      </c>
      <c r="DB200" s="319" t="s">
        <v>190</v>
      </c>
      <c r="DC200" s="319" t="s">
        <v>190</v>
      </c>
      <c r="DD200" s="319" t="s">
        <v>190</v>
      </c>
      <c r="DE200" s="319" t="s">
        <v>190</v>
      </c>
      <c r="DF200" s="319" t="s">
        <v>190</v>
      </c>
      <c r="DG200" s="319" t="s">
        <v>190</v>
      </c>
      <c r="DH200" s="319" t="s">
        <v>190</v>
      </c>
      <c r="DI200" s="319" t="s">
        <v>190</v>
      </c>
      <c r="DJ200" s="319" t="s">
        <v>190</v>
      </c>
      <c r="DK200" s="319" t="s">
        <v>190</v>
      </c>
      <c r="DL200" s="319" t="s">
        <v>190</v>
      </c>
      <c r="DM200" s="319" t="s">
        <v>190</v>
      </c>
      <c r="DN200" s="319" t="s">
        <v>429</v>
      </c>
      <c r="DO200" s="319" t="s">
        <v>190</v>
      </c>
      <c r="DP200" s="319" t="s">
        <v>429</v>
      </c>
      <c r="DQ200" s="319" t="s">
        <v>429</v>
      </c>
      <c r="DR200" s="319" t="s">
        <v>429</v>
      </c>
      <c r="DS200" s="319" t="s">
        <v>429</v>
      </c>
      <c r="DT200" s="319" t="s">
        <v>429</v>
      </c>
      <c r="DU200" s="319" t="s">
        <v>429</v>
      </c>
      <c r="DV200" s="319" t="s">
        <v>173</v>
      </c>
      <c r="DW200" s="319" t="s">
        <v>429</v>
      </c>
      <c r="DX200" s="319" t="s">
        <v>429</v>
      </c>
      <c r="DY200" s="319" t="s">
        <v>429</v>
      </c>
      <c r="DZ200" s="319" t="s">
        <v>429</v>
      </c>
      <c r="EA200" s="319" t="s">
        <v>429</v>
      </c>
      <c r="EB200" s="319" t="s">
        <v>429</v>
      </c>
      <c r="EC200" s="319" t="s">
        <v>429</v>
      </c>
      <c r="ED200" s="319" t="s">
        <v>429</v>
      </c>
      <c r="EE200" s="319" t="s">
        <v>190</v>
      </c>
      <c r="EF200" s="319" t="s">
        <v>190</v>
      </c>
      <c r="EG200" s="319" t="s">
        <v>190</v>
      </c>
      <c r="EH200" s="319" t="s">
        <v>190</v>
      </c>
      <c r="EI200" s="319" t="s">
        <v>190</v>
      </c>
      <c r="EJ200" s="319" t="s">
        <v>190</v>
      </c>
      <c r="EK200" s="319" t="s">
        <v>190</v>
      </c>
      <c r="EL200" s="319" t="s">
        <v>190</v>
      </c>
      <c r="EM200" s="319" t="s">
        <v>190</v>
      </c>
      <c r="EN200" s="319" t="s">
        <v>190</v>
      </c>
      <c r="EO200" s="319" t="s">
        <v>190</v>
      </c>
      <c r="EP200" s="319" t="s">
        <v>190</v>
      </c>
      <c r="EQ200" s="319" t="s">
        <v>190</v>
      </c>
      <c r="ER200" s="319" t="s">
        <v>190</v>
      </c>
      <c r="ES200" s="319" t="s">
        <v>190</v>
      </c>
      <c r="ET200" s="319" t="s">
        <v>190</v>
      </c>
      <c r="EU200" s="319" t="s">
        <v>190</v>
      </c>
      <c r="EV200" s="319" t="s">
        <v>190</v>
      </c>
      <c r="EW200" s="319" t="s">
        <v>190</v>
      </c>
      <c r="EX200" s="319" t="s">
        <v>190</v>
      </c>
      <c r="EY200" s="319" t="s">
        <v>190</v>
      </c>
      <c r="EZ200" s="319" t="s">
        <v>190</v>
      </c>
      <c r="FA200" s="319" t="s">
        <v>190</v>
      </c>
      <c r="FB200" s="319" t="s">
        <v>429</v>
      </c>
      <c r="FC200" s="319" t="s">
        <v>429</v>
      </c>
      <c r="FD200" s="319" t="s">
        <v>429</v>
      </c>
      <c r="FE200" s="319" t="s">
        <v>429</v>
      </c>
      <c r="FF200" s="319" t="s">
        <v>429</v>
      </c>
      <c r="FG200" s="319" t="s">
        <v>429</v>
      </c>
      <c r="FH200" s="319" t="s">
        <v>190</v>
      </c>
      <c r="FI200" s="319" t="s">
        <v>190</v>
      </c>
      <c r="FJ200" s="319" t="s">
        <v>190</v>
      </c>
      <c r="FK200" s="319" t="s">
        <v>190</v>
      </c>
      <c r="FL200" s="319" t="s">
        <v>190</v>
      </c>
      <c r="FM200" s="319" t="s">
        <v>190</v>
      </c>
      <c r="FN200" s="319" t="s">
        <v>190</v>
      </c>
      <c r="FO200" s="319" t="s">
        <v>429</v>
      </c>
      <c r="FP200" s="319" t="s">
        <v>190</v>
      </c>
      <c r="FQ200" s="319" t="s">
        <v>190</v>
      </c>
      <c r="FR200" s="319" t="s">
        <v>190</v>
      </c>
      <c r="FS200" s="319" t="s">
        <v>190</v>
      </c>
      <c r="FT200" s="319" t="s">
        <v>190</v>
      </c>
      <c r="FU200" s="319" t="s">
        <v>190</v>
      </c>
      <c r="FV200" s="319" t="s">
        <v>190</v>
      </c>
      <c r="FW200" s="319" t="s">
        <v>190</v>
      </c>
      <c r="FX200" s="319" t="s">
        <v>190</v>
      </c>
      <c r="FY200" s="319" t="s">
        <v>190</v>
      </c>
      <c r="FZ200" s="319" t="s">
        <v>190</v>
      </c>
      <c r="GA200" s="319" t="s">
        <v>190</v>
      </c>
      <c r="GB200" s="319" t="s">
        <v>190</v>
      </c>
      <c r="GC200" s="319" t="s">
        <v>190</v>
      </c>
      <c r="GD200" s="319" t="s">
        <v>190</v>
      </c>
      <c r="GE200" s="319" t="s">
        <v>190</v>
      </c>
      <c r="GF200" s="319" t="s">
        <v>190</v>
      </c>
      <c r="GG200" s="319" t="s">
        <v>190</v>
      </c>
      <c r="GH200" s="319" t="s">
        <v>190</v>
      </c>
      <c r="GI200" s="319" t="s">
        <v>190</v>
      </c>
      <c r="GJ200" s="319" t="s">
        <v>190</v>
      </c>
      <c r="GK200" s="319" t="s">
        <v>429</v>
      </c>
      <c r="GL200" s="319" t="s">
        <v>190</v>
      </c>
      <c r="GM200" s="319" t="s">
        <v>190</v>
      </c>
      <c r="GN200" s="319" t="s">
        <v>190</v>
      </c>
      <c r="GO200" s="319" t="s">
        <v>190</v>
      </c>
      <c r="GP200" s="319" t="s">
        <v>190</v>
      </c>
      <c r="GQ200" s="319" t="s">
        <v>429</v>
      </c>
      <c r="GR200" s="319" t="s">
        <v>190</v>
      </c>
      <c r="GS200" s="319" t="s">
        <v>190</v>
      </c>
      <c r="GT200" s="319" t="s">
        <v>429</v>
      </c>
      <c r="GU200" s="319" t="s">
        <v>429</v>
      </c>
      <c r="GV200" s="319" t="s">
        <v>190</v>
      </c>
      <c r="GW200" s="319" t="s">
        <v>190</v>
      </c>
      <c r="GX200" s="319" t="s">
        <v>190</v>
      </c>
      <c r="GY200" s="319" t="s">
        <v>190</v>
      </c>
      <c r="GZ200" s="319" t="s">
        <v>190</v>
      </c>
      <c r="HA200" s="319" t="s">
        <v>429</v>
      </c>
      <c r="HB200" s="319" t="s">
        <v>429</v>
      </c>
      <c r="HC200" s="319" t="s">
        <v>190</v>
      </c>
      <c r="HD200" s="319" t="s">
        <v>190</v>
      </c>
      <c r="HE200" s="319" t="s">
        <v>190</v>
      </c>
      <c r="HF200" s="319" t="s">
        <v>190</v>
      </c>
      <c r="HG200" s="319" t="s">
        <v>190</v>
      </c>
      <c r="HH200" s="319" t="s">
        <v>190</v>
      </c>
      <c r="HI200" s="319" t="s">
        <v>190</v>
      </c>
      <c r="HJ200" s="319" t="s">
        <v>190</v>
      </c>
      <c r="HK200" s="319" t="s">
        <v>190</v>
      </c>
      <c r="HL200" s="319" t="s">
        <v>429</v>
      </c>
      <c r="HM200" s="319" t="s">
        <v>429</v>
      </c>
      <c r="HN200" s="319" t="s">
        <v>429</v>
      </c>
      <c r="HO200" s="319" t="s">
        <v>429</v>
      </c>
      <c r="HP200" s="319" t="s">
        <v>190</v>
      </c>
      <c r="HQ200" s="319" t="s">
        <v>190</v>
      </c>
      <c r="HR200" s="319" t="s">
        <v>190</v>
      </c>
      <c r="HS200" s="319" t="s">
        <v>190</v>
      </c>
      <c r="HT200" s="319" t="s">
        <v>190</v>
      </c>
      <c r="HU200" s="319" t="s">
        <v>190</v>
      </c>
      <c r="HV200" s="319" t="s">
        <v>190</v>
      </c>
      <c r="HW200" s="319" t="s">
        <v>190</v>
      </c>
      <c r="HX200" s="319" t="s">
        <v>190</v>
      </c>
      <c r="HY200" s="319" t="s">
        <v>190</v>
      </c>
      <c r="HZ200" s="319" t="s">
        <v>190</v>
      </c>
      <c r="IA200" s="319" t="s">
        <v>190</v>
      </c>
      <c r="IB200" s="319" t="s">
        <v>190</v>
      </c>
      <c r="IC200" s="319" t="s">
        <v>190</v>
      </c>
      <c r="ID200" s="319" t="s">
        <v>190</v>
      </c>
      <c r="IE200" s="319" t="s">
        <v>190</v>
      </c>
      <c r="IF200" s="319" t="s">
        <v>190</v>
      </c>
      <c r="IG200" s="319" t="s">
        <v>190</v>
      </c>
      <c r="IH200" s="319" t="s">
        <v>190</v>
      </c>
      <c r="II200" s="319" t="s">
        <v>190</v>
      </c>
      <c r="IJ200" s="319" t="s">
        <v>2985</v>
      </c>
      <c r="IK200" s="321">
        <v>41226</v>
      </c>
      <c r="IL200" s="321">
        <v>41227</v>
      </c>
      <c r="IM200" s="321">
        <v>41248</v>
      </c>
      <c r="IN200" s="319">
        <v>2</v>
      </c>
      <c r="IO200" s="319" t="s">
        <v>173</v>
      </c>
      <c r="IP200" s="319" t="s">
        <v>173</v>
      </c>
      <c r="IQ200" s="321" t="s">
        <v>173</v>
      </c>
      <c r="IR200" s="320" t="s">
        <v>173</v>
      </c>
      <c r="IS200" s="322" t="s">
        <v>173</v>
      </c>
      <c r="IT200" s="319" t="s">
        <v>173</v>
      </c>
    </row>
    <row r="201" spans="1:254" s="271" customFormat="1" x14ac:dyDescent="0.25">
      <c r="A201" s="318" t="str">
        <f>HYPERLINK("http://www.ofsted.gov.uk/inspection-reports/find-inspection-report/provider/ELS/119009 ","Ofsted School Webpage")</f>
        <v>Ofsted School Webpage</v>
      </c>
      <c r="B201" s="319">
        <v>119009</v>
      </c>
      <c r="C201" s="319">
        <v>8866060</v>
      </c>
      <c r="D201" s="319" t="s">
        <v>1498</v>
      </c>
      <c r="E201" s="319" t="s">
        <v>168</v>
      </c>
      <c r="F201" s="319" t="s">
        <v>81</v>
      </c>
      <c r="G201" s="319" t="s">
        <v>81</v>
      </c>
      <c r="H201" s="319" t="s">
        <v>81</v>
      </c>
      <c r="I201" s="319" t="s">
        <v>78</v>
      </c>
      <c r="J201" s="319" t="s">
        <v>424</v>
      </c>
      <c r="K201" s="319" t="s">
        <v>514</v>
      </c>
      <c r="L201" s="319" t="s">
        <v>514</v>
      </c>
      <c r="M201" s="319" t="s">
        <v>614</v>
      </c>
      <c r="N201" s="319" t="s">
        <v>2986</v>
      </c>
      <c r="O201" s="319" t="s">
        <v>1499</v>
      </c>
      <c r="P201" s="319">
        <v>86</v>
      </c>
      <c r="Q201" s="319" t="s">
        <v>2776</v>
      </c>
      <c r="R201" s="320">
        <v>10026656</v>
      </c>
      <c r="S201" s="321">
        <v>42787</v>
      </c>
      <c r="T201" s="321">
        <v>42789</v>
      </c>
      <c r="U201" s="321">
        <v>42808</v>
      </c>
      <c r="V201" s="319" t="s">
        <v>425</v>
      </c>
      <c r="W201" s="319" t="s">
        <v>2767</v>
      </c>
      <c r="X201" s="319">
        <v>2</v>
      </c>
      <c r="Y201" s="319" t="s">
        <v>173</v>
      </c>
      <c r="Z201" s="319" t="s">
        <v>173</v>
      </c>
      <c r="AA201" s="319" t="s">
        <v>173</v>
      </c>
      <c r="AB201" s="319">
        <v>1</v>
      </c>
      <c r="AC201" s="319" t="s">
        <v>169</v>
      </c>
      <c r="AD201" s="319" t="s">
        <v>173</v>
      </c>
      <c r="AE201" s="319">
        <v>2</v>
      </c>
      <c r="AF201" s="319" t="s">
        <v>173</v>
      </c>
      <c r="AG201" s="319" t="s">
        <v>171</v>
      </c>
      <c r="AH201" s="319" t="s">
        <v>190</v>
      </c>
      <c r="AI201" s="319" t="s">
        <v>190</v>
      </c>
      <c r="AJ201" s="319" t="s">
        <v>190</v>
      </c>
      <c r="AK201" s="319" t="s">
        <v>190</v>
      </c>
      <c r="AL201" s="319" t="s">
        <v>190</v>
      </c>
      <c r="AM201" s="319" t="s">
        <v>190</v>
      </c>
      <c r="AN201" s="319" t="s">
        <v>190</v>
      </c>
      <c r="AO201" s="319" t="s">
        <v>190</v>
      </c>
      <c r="AP201" s="319" t="s">
        <v>190</v>
      </c>
      <c r="AQ201" s="319" t="s">
        <v>190</v>
      </c>
      <c r="AR201" s="319" t="s">
        <v>190</v>
      </c>
      <c r="AS201" s="319" t="s">
        <v>190</v>
      </c>
      <c r="AT201" s="319" t="s">
        <v>190</v>
      </c>
      <c r="AU201" s="319" t="s">
        <v>190</v>
      </c>
      <c r="AV201" s="319" t="s">
        <v>190</v>
      </c>
      <c r="AW201" s="319" t="s">
        <v>190</v>
      </c>
      <c r="AX201" s="319" t="s">
        <v>429</v>
      </c>
      <c r="AY201" s="319" t="s">
        <v>190</v>
      </c>
      <c r="AZ201" s="319" t="s">
        <v>190</v>
      </c>
      <c r="BA201" s="319" t="s">
        <v>190</v>
      </c>
      <c r="BB201" s="319" t="s">
        <v>190</v>
      </c>
      <c r="BC201" s="319" t="s">
        <v>190</v>
      </c>
      <c r="BD201" s="319" t="s">
        <v>190</v>
      </c>
      <c r="BE201" s="319" t="s">
        <v>190</v>
      </c>
      <c r="BF201" s="319" t="s">
        <v>429</v>
      </c>
      <c r="BG201" s="319" t="s">
        <v>429</v>
      </c>
      <c r="BH201" s="319" t="s">
        <v>190</v>
      </c>
      <c r="BI201" s="319" t="s">
        <v>190</v>
      </c>
      <c r="BJ201" s="319" t="s">
        <v>190</v>
      </c>
      <c r="BK201" s="319" t="s">
        <v>190</v>
      </c>
      <c r="BL201" s="319" t="s">
        <v>190</v>
      </c>
      <c r="BM201" s="319" t="s">
        <v>190</v>
      </c>
      <c r="BN201" s="319" t="s">
        <v>190</v>
      </c>
      <c r="BO201" s="319" t="s">
        <v>190</v>
      </c>
      <c r="BP201" s="319" t="s">
        <v>190</v>
      </c>
      <c r="BQ201" s="319" t="s">
        <v>190</v>
      </c>
      <c r="BR201" s="319" t="s">
        <v>190</v>
      </c>
      <c r="BS201" s="319" t="s">
        <v>190</v>
      </c>
      <c r="BT201" s="319" t="s">
        <v>190</v>
      </c>
      <c r="BU201" s="319" t="s">
        <v>190</v>
      </c>
      <c r="BV201" s="319" t="s">
        <v>190</v>
      </c>
      <c r="BW201" s="319" t="s">
        <v>190</v>
      </c>
      <c r="BX201" s="319" t="s">
        <v>190</v>
      </c>
      <c r="BY201" s="319" t="s">
        <v>190</v>
      </c>
      <c r="BZ201" s="319" t="s">
        <v>190</v>
      </c>
      <c r="CA201" s="319" t="s">
        <v>190</v>
      </c>
      <c r="CB201" s="319" t="s">
        <v>190</v>
      </c>
      <c r="CC201" s="319" t="s">
        <v>190</v>
      </c>
      <c r="CD201" s="319" t="s">
        <v>190</v>
      </c>
      <c r="CE201" s="319" t="s">
        <v>190</v>
      </c>
      <c r="CF201" s="319" t="s">
        <v>190</v>
      </c>
      <c r="CG201" s="319" t="s">
        <v>190</v>
      </c>
      <c r="CH201" s="319" t="s">
        <v>190</v>
      </c>
      <c r="CI201" s="319" t="s">
        <v>190</v>
      </c>
      <c r="CJ201" s="319" t="s">
        <v>190</v>
      </c>
      <c r="CK201" s="319" t="s">
        <v>190</v>
      </c>
      <c r="CL201" s="319" t="s">
        <v>190</v>
      </c>
      <c r="CM201" s="319" t="s">
        <v>190</v>
      </c>
      <c r="CN201" s="319" t="s">
        <v>429</v>
      </c>
      <c r="CO201" s="319" t="s">
        <v>429</v>
      </c>
      <c r="CP201" s="319" t="s">
        <v>429</v>
      </c>
      <c r="CQ201" s="319" t="s">
        <v>190</v>
      </c>
      <c r="CR201" s="319" t="s">
        <v>190</v>
      </c>
      <c r="CS201" s="319" t="s">
        <v>190</v>
      </c>
      <c r="CT201" s="319" t="s">
        <v>190</v>
      </c>
      <c r="CU201" s="319" t="s">
        <v>190</v>
      </c>
      <c r="CV201" s="319" t="s">
        <v>190</v>
      </c>
      <c r="CW201" s="319" t="s">
        <v>190</v>
      </c>
      <c r="CX201" s="319" t="s">
        <v>190</v>
      </c>
      <c r="CY201" s="319" t="s">
        <v>190</v>
      </c>
      <c r="CZ201" s="319" t="s">
        <v>190</v>
      </c>
      <c r="DA201" s="319" t="s">
        <v>190</v>
      </c>
      <c r="DB201" s="319" t="s">
        <v>190</v>
      </c>
      <c r="DC201" s="319" t="s">
        <v>190</v>
      </c>
      <c r="DD201" s="319" t="s">
        <v>190</v>
      </c>
      <c r="DE201" s="319" t="s">
        <v>190</v>
      </c>
      <c r="DF201" s="319" t="s">
        <v>190</v>
      </c>
      <c r="DG201" s="319" t="s">
        <v>190</v>
      </c>
      <c r="DH201" s="319" t="s">
        <v>190</v>
      </c>
      <c r="DI201" s="319" t="s">
        <v>190</v>
      </c>
      <c r="DJ201" s="319" t="s">
        <v>190</v>
      </c>
      <c r="DK201" s="319" t="s">
        <v>190</v>
      </c>
      <c r="DL201" s="319" t="s">
        <v>190</v>
      </c>
      <c r="DM201" s="319" t="s">
        <v>190</v>
      </c>
      <c r="DN201" s="319" t="s">
        <v>429</v>
      </c>
      <c r="DO201" s="319" t="s">
        <v>190</v>
      </c>
      <c r="DP201" s="319" t="s">
        <v>190</v>
      </c>
      <c r="DQ201" s="319" t="s">
        <v>190</v>
      </c>
      <c r="DR201" s="319" t="s">
        <v>190</v>
      </c>
      <c r="DS201" s="319" t="s">
        <v>190</v>
      </c>
      <c r="DT201" s="319" t="s">
        <v>190</v>
      </c>
      <c r="DU201" s="319" t="s">
        <v>190</v>
      </c>
      <c r="DV201" s="319" t="s">
        <v>173</v>
      </c>
      <c r="DW201" s="319" t="s">
        <v>190</v>
      </c>
      <c r="DX201" s="319" t="s">
        <v>190</v>
      </c>
      <c r="DY201" s="319" t="s">
        <v>190</v>
      </c>
      <c r="DZ201" s="319" t="s">
        <v>190</v>
      </c>
      <c r="EA201" s="319" t="s">
        <v>190</v>
      </c>
      <c r="EB201" s="319" t="s">
        <v>190</v>
      </c>
      <c r="EC201" s="319" t="s">
        <v>429</v>
      </c>
      <c r="ED201" s="319" t="s">
        <v>190</v>
      </c>
      <c r="EE201" s="319" t="s">
        <v>190</v>
      </c>
      <c r="EF201" s="319" t="s">
        <v>190</v>
      </c>
      <c r="EG201" s="319" t="s">
        <v>190</v>
      </c>
      <c r="EH201" s="319" t="s">
        <v>190</v>
      </c>
      <c r="EI201" s="319" t="s">
        <v>190</v>
      </c>
      <c r="EJ201" s="319" t="s">
        <v>190</v>
      </c>
      <c r="EK201" s="319" t="s">
        <v>190</v>
      </c>
      <c r="EL201" s="319" t="s">
        <v>190</v>
      </c>
      <c r="EM201" s="319" t="s">
        <v>190</v>
      </c>
      <c r="EN201" s="319" t="s">
        <v>190</v>
      </c>
      <c r="EO201" s="319" t="s">
        <v>190</v>
      </c>
      <c r="EP201" s="319" t="s">
        <v>190</v>
      </c>
      <c r="EQ201" s="319" t="s">
        <v>190</v>
      </c>
      <c r="ER201" s="319" t="s">
        <v>190</v>
      </c>
      <c r="ES201" s="319" t="s">
        <v>190</v>
      </c>
      <c r="ET201" s="319" t="s">
        <v>190</v>
      </c>
      <c r="EU201" s="319" t="s">
        <v>190</v>
      </c>
      <c r="EV201" s="319" t="s">
        <v>190</v>
      </c>
      <c r="EW201" s="319" t="s">
        <v>190</v>
      </c>
      <c r="EX201" s="319" t="s">
        <v>190</v>
      </c>
      <c r="EY201" s="319" t="s">
        <v>190</v>
      </c>
      <c r="EZ201" s="319" t="s">
        <v>190</v>
      </c>
      <c r="FA201" s="319" t="s">
        <v>190</v>
      </c>
      <c r="FB201" s="319" t="s">
        <v>190</v>
      </c>
      <c r="FC201" s="319" t="s">
        <v>190</v>
      </c>
      <c r="FD201" s="319" t="s">
        <v>190</v>
      </c>
      <c r="FE201" s="319" t="s">
        <v>190</v>
      </c>
      <c r="FF201" s="319" t="s">
        <v>429</v>
      </c>
      <c r="FG201" s="319" t="s">
        <v>190</v>
      </c>
      <c r="FH201" s="319" t="s">
        <v>190</v>
      </c>
      <c r="FI201" s="319" t="s">
        <v>190</v>
      </c>
      <c r="FJ201" s="319" t="s">
        <v>190</v>
      </c>
      <c r="FK201" s="319" t="s">
        <v>190</v>
      </c>
      <c r="FL201" s="319" t="s">
        <v>190</v>
      </c>
      <c r="FM201" s="319" t="s">
        <v>190</v>
      </c>
      <c r="FN201" s="319" t="s">
        <v>190</v>
      </c>
      <c r="FO201" s="319" t="s">
        <v>190</v>
      </c>
      <c r="FP201" s="319" t="s">
        <v>190</v>
      </c>
      <c r="FQ201" s="319" t="s">
        <v>190</v>
      </c>
      <c r="FR201" s="319" t="s">
        <v>190</v>
      </c>
      <c r="FS201" s="319" t="s">
        <v>429</v>
      </c>
      <c r="FT201" s="319" t="s">
        <v>190</v>
      </c>
      <c r="FU201" s="319" t="s">
        <v>190</v>
      </c>
      <c r="FV201" s="319" t="s">
        <v>190</v>
      </c>
      <c r="FW201" s="319" t="s">
        <v>190</v>
      </c>
      <c r="FX201" s="319" t="s">
        <v>190</v>
      </c>
      <c r="FY201" s="319" t="s">
        <v>190</v>
      </c>
      <c r="FZ201" s="319" t="s">
        <v>190</v>
      </c>
      <c r="GA201" s="319" t="s">
        <v>190</v>
      </c>
      <c r="GB201" s="319" t="s">
        <v>190</v>
      </c>
      <c r="GC201" s="319" t="s">
        <v>190</v>
      </c>
      <c r="GD201" s="319" t="s">
        <v>190</v>
      </c>
      <c r="GE201" s="319" t="s">
        <v>190</v>
      </c>
      <c r="GF201" s="319" t="s">
        <v>190</v>
      </c>
      <c r="GG201" s="319" t="s">
        <v>190</v>
      </c>
      <c r="GH201" s="319" t="s">
        <v>190</v>
      </c>
      <c r="GI201" s="319" t="s">
        <v>190</v>
      </c>
      <c r="GJ201" s="319" t="s">
        <v>190</v>
      </c>
      <c r="GK201" s="319" t="s">
        <v>429</v>
      </c>
      <c r="GL201" s="319" t="s">
        <v>190</v>
      </c>
      <c r="GM201" s="319" t="s">
        <v>190</v>
      </c>
      <c r="GN201" s="319" t="s">
        <v>190</v>
      </c>
      <c r="GO201" s="319" t="s">
        <v>190</v>
      </c>
      <c r="GP201" s="319" t="s">
        <v>190</v>
      </c>
      <c r="GQ201" s="319" t="s">
        <v>190</v>
      </c>
      <c r="GR201" s="319" t="s">
        <v>190</v>
      </c>
      <c r="GS201" s="319" t="s">
        <v>190</v>
      </c>
      <c r="GT201" s="319" t="s">
        <v>190</v>
      </c>
      <c r="GU201" s="319" t="s">
        <v>190</v>
      </c>
      <c r="GV201" s="319" t="s">
        <v>190</v>
      </c>
      <c r="GW201" s="319" t="s">
        <v>190</v>
      </c>
      <c r="GX201" s="319" t="s">
        <v>190</v>
      </c>
      <c r="GY201" s="319" t="s">
        <v>190</v>
      </c>
      <c r="GZ201" s="319" t="s">
        <v>429</v>
      </c>
      <c r="HA201" s="319" t="s">
        <v>190</v>
      </c>
      <c r="HB201" s="319" t="s">
        <v>190</v>
      </c>
      <c r="HC201" s="319" t="s">
        <v>190</v>
      </c>
      <c r="HD201" s="319" t="s">
        <v>190</v>
      </c>
      <c r="HE201" s="319" t="s">
        <v>190</v>
      </c>
      <c r="HF201" s="319" t="s">
        <v>190</v>
      </c>
      <c r="HG201" s="319" t="s">
        <v>190</v>
      </c>
      <c r="HH201" s="319" t="s">
        <v>190</v>
      </c>
      <c r="HI201" s="319" t="s">
        <v>190</v>
      </c>
      <c r="HJ201" s="319" t="s">
        <v>190</v>
      </c>
      <c r="HK201" s="319" t="s">
        <v>190</v>
      </c>
      <c r="HL201" s="319" t="s">
        <v>190</v>
      </c>
      <c r="HM201" s="319" t="s">
        <v>429</v>
      </c>
      <c r="HN201" s="319" t="s">
        <v>429</v>
      </c>
      <c r="HO201" s="319" t="s">
        <v>429</v>
      </c>
      <c r="HP201" s="319" t="s">
        <v>190</v>
      </c>
      <c r="HQ201" s="319" t="s">
        <v>190</v>
      </c>
      <c r="HR201" s="319" t="s">
        <v>190</v>
      </c>
      <c r="HS201" s="319" t="s">
        <v>190</v>
      </c>
      <c r="HT201" s="319" t="s">
        <v>190</v>
      </c>
      <c r="HU201" s="319" t="s">
        <v>190</v>
      </c>
      <c r="HV201" s="319" t="s">
        <v>190</v>
      </c>
      <c r="HW201" s="319" t="s">
        <v>190</v>
      </c>
      <c r="HX201" s="319" t="s">
        <v>190</v>
      </c>
      <c r="HY201" s="319" t="s">
        <v>190</v>
      </c>
      <c r="HZ201" s="319" t="s">
        <v>190</v>
      </c>
      <c r="IA201" s="319" t="s">
        <v>190</v>
      </c>
      <c r="IB201" s="319" t="s">
        <v>190</v>
      </c>
      <c r="IC201" s="319" t="s">
        <v>190</v>
      </c>
      <c r="ID201" s="319" t="s">
        <v>190</v>
      </c>
      <c r="IE201" s="319" t="s">
        <v>190</v>
      </c>
      <c r="IF201" s="319" t="s">
        <v>190</v>
      </c>
      <c r="IG201" s="319" t="s">
        <v>190</v>
      </c>
      <c r="IH201" s="319" t="s">
        <v>190</v>
      </c>
      <c r="II201" s="319" t="s">
        <v>190</v>
      </c>
      <c r="IJ201" s="319" t="s">
        <v>2987</v>
      </c>
      <c r="IK201" s="321">
        <v>42115</v>
      </c>
      <c r="IL201" s="321">
        <v>42117</v>
      </c>
      <c r="IM201" s="321">
        <v>42150</v>
      </c>
      <c r="IN201" s="319">
        <v>2</v>
      </c>
      <c r="IO201" s="319" t="s">
        <v>173</v>
      </c>
      <c r="IP201" s="319" t="s">
        <v>173</v>
      </c>
      <c r="IQ201" s="321" t="s">
        <v>173</v>
      </c>
      <c r="IR201" s="320" t="s">
        <v>173</v>
      </c>
      <c r="IS201" s="322" t="s">
        <v>173</v>
      </c>
      <c r="IT201" s="319" t="s">
        <v>173</v>
      </c>
    </row>
    <row r="202" spans="1:254" s="271" customFormat="1" x14ac:dyDescent="0.25">
      <c r="A202" s="318" t="str">
        <f>HYPERLINK("http://www.ofsted.gov.uk/inspection-reports/find-inspection-report/provider/ELS/119013 ","Ofsted School Webpage")</f>
        <v>Ofsted School Webpage</v>
      </c>
      <c r="B202" s="319">
        <v>119013</v>
      </c>
      <c r="C202" s="319">
        <v>8866063</v>
      </c>
      <c r="D202" s="319" t="s">
        <v>1500</v>
      </c>
      <c r="E202" s="319" t="s">
        <v>168</v>
      </c>
      <c r="F202" s="319" t="s">
        <v>81</v>
      </c>
      <c r="G202" s="319" t="s">
        <v>81</v>
      </c>
      <c r="H202" s="319" t="s">
        <v>81</v>
      </c>
      <c r="I202" s="319" t="s">
        <v>78</v>
      </c>
      <c r="J202" s="319" t="s">
        <v>424</v>
      </c>
      <c r="K202" s="319" t="s">
        <v>514</v>
      </c>
      <c r="L202" s="319" t="s">
        <v>514</v>
      </c>
      <c r="M202" s="319" t="s">
        <v>614</v>
      </c>
      <c r="N202" s="319" t="s">
        <v>2982</v>
      </c>
      <c r="O202" s="319" t="s">
        <v>1501</v>
      </c>
      <c r="P202" s="319">
        <v>28</v>
      </c>
      <c r="Q202" s="319" t="s">
        <v>429</v>
      </c>
      <c r="R202" s="320">
        <v>10006325</v>
      </c>
      <c r="S202" s="321">
        <v>43256</v>
      </c>
      <c r="T202" s="321">
        <v>43258</v>
      </c>
      <c r="U202" s="321">
        <v>43279</v>
      </c>
      <c r="V202" s="319" t="s">
        <v>425</v>
      </c>
      <c r="W202" s="319" t="s">
        <v>2767</v>
      </c>
      <c r="X202" s="319">
        <v>3</v>
      </c>
      <c r="Y202" s="319" t="s">
        <v>173</v>
      </c>
      <c r="Z202" s="319" t="s">
        <v>173</v>
      </c>
      <c r="AA202" s="319" t="s">
        <v>173</v>
      </c>
      <c r="AB202" s="319">
        <v>3</v>
      </c>
      <c r="AC202" s="319" t="s">
        <v>169</v>
      </c>
      <c r="AD202" s="319" t="s">
        <v>173</v>
      </c>
      <c r="AE202" s="319" t="s">
        <v>173</v>
      </c>
      <c r="AF202" s="319" t="s">
        <v>427</v>
      </c>
      <c r="AG202" s="319" t="s">
        <v>171</v>
      </c>
      <c r="AH202" s="319" t="s">
        <v>190</v>
      </c>
      <c r="AI202" s="319" t="s">
        <v>190</v>
      </c>
      <c r="AJ202" s="319" t="s">
        <v>190</v>
      </c>
      <c r="AK202" s="319" t="s">
        <v>190</v>
      </c>
      <c r="AL202" s="319" t="s">
        <v>190</v>
      </c>
      <c r="AM202" s="319" t="s">
        <v>190</v>
      </c>
      <c r="AN202" s="319" t="s">
        <v>190</v>
      </c>
      <c r="AO202" s="319" t="s">
        <v>190</v>
      </c>
      <c r="AP202" s="319" t="s">
        <v>190</v>
      </c>
      <c r="AQ202" s="319" t="s">
        <v>190</v>
      </c>
      <c r="AR202" s="319" t="s">
        <v>190</v>
      </c>
      <c r="AS202" s="319" t="s">
        <v>190</v>
      </c>
      <c r="AT202" s="319" t="s">
        <v>190</v>
      </c>
      <c r="AU202" s="319" t="s">
        <v>190</v>
      </c>
      <c r="AV202" s="319" t="s">
        <v>190</v>
      </c>
      <c r="AW202" s="319" t="s">
        <v>190</v>
      </c>
      <c r="AX202" s="319" t="s">
        <v>428</v>
      </c>
      <c r="AY202" s="319" t="s">
        <v>190</v>
      </c>
      <c r="AZ202" s="319" t="s">
        <v>190</v>
      </c>
      <c r="BA202" s="319" t="s">
        <v>190</v>
      </c>
      <c r="BB202" s="319" t="s">
        <v>190</v>
      </c>
      <c r="BC202" s="319" t="s">
        <v>190</v>
      </c>
      <c r="BD202" s="319" t="s">
        <v>190</v>
      </c>
      <c r="BE202" s="319" t="s">
        <v>190</v>
      </c>
      <c r="BF202" s="319" t="s">
        <v>428</v>
      </c>
      <c r="BG202" s="319" t="s">
        <v>190</v>
      </c>
      <c r="BH202" s="319" t="s">
        <v>190</v>
      </c>
      <c r="BI202" s="319" t="s">
        <v>190</v>
      </c>
      <c r="BJ202" s="319" t="s">
        <v>190</v>
      </c>
      <c r="BK202" s="319" t="s">
        <v>190</v>
      </c>
      <c r="BL202" s="319" t="s">
        <v>190</v>
      </c>
      <c r="BM202" s="319" t="s">
        <v>190</v>
      </c>
      <c r="BN202" s="319" t="s">
        <v>190</v>
      </c>
      <c r="BO202" s="319" t="s">
        <v>190</v>
      </c>
      <c r="BP202" s="319" t="s">
        <v>190</v>
      </c>
      <c r="BQ202" s="319" t="s">
        <v>190</v>
      </c>
      <c r="BR202" s="319" t="s">
        <v>190</v>
      </c>
      <c r="BS202" s="319" t="s">
        <v>190</v>
      </c>
      <c r="BT202" s="319" t="s">
        <v>190</v>
      </c>
      <c r="BU202" s="319" t="s">
        <v>190</v>
      </c>
      <c r="BV202" s="319" t="s">
        <v>190</v>
      </c>
      <c r="BW202" s="319" t="s">
        <v>190</v>
      </c>
      <c r="BX202" s="319" t="s">
        <v>190</v>
      </c>
      <c r="BY202" s="319" t="s">
        <v>190</v>
      </c>
      <c r="BZ202" s="319" t="s">
        <v>190</v>
      </c>
      <c r="CA202" s="319" t="s">
        <v>190</v>
      </c>
      <c r="CB202" s="319" t="s">
        <v>190</v>
      </c>
      <c r="CC202" s="319" t="s">
        <v>190</v>
      </c>
      <c r="CD202" s="319" t="s">
        <v>190</v>
      </c>
      <c r="CE202" s="319" t="s">
        <v>190</v>
      </c>
      <c r="CF202" s="319" t="s">
        <v>190</v>
      </c>
      <c r="CG202" s="319" t="s">
        <v>190</v>
      </c>
      <c r="CH202" s="319" t="s">
        <v>190</v>
      </c>
      <c r="CI202" s="319" t="s">
        <v>190</v>
      </c>
      <c r="CJ202" s="319" t="s">
        <v>190</v>
      </c>
      <c r="CK202" s="319" t="s">
        <v>190</v>
      </c>
      <c r="CL202" s="319" t="s">
        <v>190</v>
      </c>
      <c r="CM202" s="319" t="s">
        <v>190</v>
      </c>
      <c r="CN202" s="319" t="s">
        <v>190</v>
      </c>
      <c r="CO202" s="319" t="s">
        <v>190</v>
      </c>
      <c r="CP202" s="319" t="s">
        <v>428</v>
      </c>
      <c r="CQ202" s="319" t="s">
        <v>190</v>
      </c>
      <c r="CR202" s="319" t="s">
        <v>190</v>
      </c>
      <c r="CS202" s="319" t="s">
        <v>190</v>
      </c>
      <c r="CT202" s="319" t="s">
        <v>190</v>
      </c>
      <c r="CU202" s="319" t="s">
        <v>190</v>
      </c>
      <c r="CV202" s="319" t="s">
        <v>190</v>
      </c>
      <c r="CW202" s="319" t="s">
        <v>190</v>
      </c>
      <c r="CX202" s="319" t="s">
        <v>190</v>
      </c>
      <c r="CY202" s="319" t="s">
        <v>190</v>
      </c>
      <c r="CZ202" s="319" t="s">
        <v>190</v>
      </c>
      <c r="DA202" s="319" t="s">
        <v>190</v>
      </c>
      <c r="DB202" s="319" t="s">
        <v>190</v>
      </c>
      <c r="DC202" s="319" t="s">
        <v>190</v>
      </c>
      <c r="DD202" s="319" t="s">
        <v>190</v>
      </c>
      <c r="DE202" s="319" t="s">
        <v>190</v>
      </c>
      <c r="DF202" s="319" t="s">
        <v>190</v>
      </c>
      <c r="DG202" s="319" t="s">
        <v>190</v>
      </c>
      <c r="DH202" s="319" t="s">
        <v>190</v>
      </c>
      <c r="DI202" s="319" t="s">
        <v>190</v>
      </c>
      <c r="DJ202" s="319" t="s">
        <v>190</v>
      </c>
      <c r="DK202" s="319" t="s">
        <v>190</v>
      </c>
      <c r="DL202" s="319" t="s">
        <v>190</v>
      </c>
      <c r="DM202" s="319" t="s">
        <v>190</v>
      </c>
      <c r="DN202" s="319" t="s">
        <v>428</v>
      </c>
      <c r="DO202" s="319" t="s">
        <v>190</v>
      </c>
      <c r="DP202" s="319" t="s">
        <v>190</v>
      </c>
      <c r="DQ202" s="319" t="s">
        <v>190</v>
      </c>
      <c r="DR202" s="319" t="s">
        <v>190</v>
      </c>
      <c r="DS202" s="319" t="s">
        <v>190</v>
      </c>
      <c r="DT202" s="319" t="s">
        <v>173</v>
      </c>
      <c r="DU202" s="319" t="s">
        <v>190</v>
      </c>
      <c r="DV202" s="319" t="s">
        <v>173</v>
      </c>
      <c r="DW202" s="319" t="s">
        <v>190</v>
      </c>
      <c r="DX202" s="319" t="s">
        <v>190</v>
      </c>
      <c r="DY202" s="319" t="s">
        <v>190</v>
      </c>
      <c r="DZ202" s="319" t="s">
        <v>190</v>
      </c>
      <c r="EA202" s="319" t="s">
        <v>190</v>
      </c>
      <c r="EB202" s="319" t="s">
        <v>190</v>
      </c>
      <c r="EC202" s="319" t="s">
        <v>428</v>
      </c>
      <c r="ED202" s="319" t="s">
        <v>190</v>
      </c>
      <c r="EE202" s="319" t="s">
        <v>190</v>
      </c>
      <c r="EF202" s="319" t="s">
        <v>190</v>
      </c>
      <c r="EG202" s="319" t="s">
        <v>190</v>
      </c>
      <c r="EH202" s="319" t="s">
        <v>190</v>
      </c>
      <c r="EI202" s="319" t="s">
        <v>190</v>
      </c>
      <c r="EJ202" s="319" t="s">
        <v>190</v>
      </c>
      <c r="EK202" s="319" t="s">
        <v>190</v>
      </c>
      <c r="EL202" s="319" t="s">
        <v>190</v>
      </c>
      <c r="EM202" s="319" t="s">
        <v>190</v>
      </c>
      <c r="EN202" s="319" t="s">
        <v>190</v>
      </c>
      <c r="EO202" s="319" t="s">
        <v>190</v>
      </c>
      <c r="EP202" s="319" t="s">
        <v>190</v>
      </c>
      <c r="EQ202" s="319" t="s">
        <v>190</v>
      </c>
      <c r="ER202" s="319" t="s">
        <v>190</v>
      </c>
      <c r="ES202" s="319" t="s">
        <v>190</v>
      </c>
      <c r="ET202" s="319" t="s">
        <v>190</v>
      </c>
      <c r="EU202" s="319" t="s">
        <v>190</v>
      </c>
      <c r="EV202" s="319" t="s">
        <v>190</v>
      </c>
      <c r="EW202" s="319" t="s">
        <v>190</v>
      </c>
      <c r="EX202" s="319" t="s">
        <v>190</v>
      </c>
      <c r="EY202" s="319" t="s">
        <v>190</v>
      </c>
      <c r="EZ202" s="319" t="s">
        <v>190</v>
      </c>
      <c r="FA202" s="319" t="s">
        <v>190</v>
      </c>
      <c r="FB202" s="319" t="s">
        <v>190</v>
      </c>
      <c r="FC202" s="319" t="s">
        <v>190</v>
      </c>
      <c r="FD202" s="319" t="s">
        <v>190</v>
      </c>
      <c r="FE202" s="319" t="s">
        <v>190</v>
      </c>
      <c r="FF202" s="319" t="s">
        <v>190</v>
      </c>
      <c r="FG202" s="319" t="s">
        <v>190</v>
      </c>
      <c r="FH202" s="319" t="s">
        <v>190</v>
      </c>
      <c r="FI202" s="319" t="s">
        <v>190</v>
      </c>
      <c r="FJ202" s="319" t="s">
        <v>190</v>
      </c>
      <c r="FK202" s="319" t="s">
        <v>190</v>
      </c>
      <c r="FL202" s="319" t="s">
        <v>190</v>
      </c>
      <c r="FM202" s="319" t="s">
        <v>190</v>
      </c>
      <c r="FN202" s="319" t="s">
        <v>190</v>
      </c>
      <c r="FO202" s="319" t="s">
        <v>190</v>
      </c>
      <c r="FP202" s="319" t="s">
        <v>190</v>
      </c>
      <c r="FQ202" s="319" t="s">
        <v>190</v>
      </c>
      <c r="FR202" s="319" t="s">
        <v>190</v>
      </c>
      <c r="FS202" s="319" t="s">
        <v>190</v>
      </c>
      <c r="FT202" s="319" t="s">
        <v>190</v>
      </c>
      <c r="FU202" s="319" t="s">
        <v>190</v>
      </c>
      <c r="FV202" s="319" t="s">
        <v>190</v>
      </c>
      <c r="FW202" s="319" t="s">
        <v>190</v>
      </c>
      <c r="FX202" s="319" t="s">
        <v>190</v>
      </c>
      <c r="FY202" s="319" t="s">
        <v>190</v>
      </c>
      <c r="FZ202" s="319" t="s">
        <v>190</v>
      </c>
      <c r="GA202" s="319" t="s">
        <v>190</v>
      </c>
      <c r="GB202" s="319" t="s">
        <v>190</v>
      </c>
      <c r="GC202" s="319" t="s">
        <v>190</v>
      </c>
      <c r="GD202" s="319" t="s">
        <v>190</v>
      </c>
      <c r="GE202" s="319" t="s">
        <v>190</v>
      </c>
      <c r="GF202" s="319" t="s">
        <v>190</v>
      </c>
      <c r="GG202" s="319" t="s">
        <v>190</v>
      </c>
      <c r="GH202" s="319" t="s">
        <v>190</v>
      </c>
      <c r="GI202" s="319" t="s">
        <v>190</v>
      </c>
      <c r="GJ202" s="319" t="s">
        <v>190</v>
      </c>
      <c r="GK202" s="319" t="s">
        <v>428</v>
      </c>
      <c r="GL202" s="319" t="s">
        <v>190</v>
      </c>
      <c r="GM202" s="319" t="s">
        <v>190</v>
      </c>
      <c r="GN202" s="319" t="s">
        <v>190</v>
      </c>
      <c r="GO202" s="319" t="s">
        <v>190</v>
      </c>
      <c r="GP202" s="319" t="s">
        <v>190</v>
      </c>
      <c r="GQ202" s="319" t="s">
        <v>190</v>
      </c>
      <c r="GR202" s="319" t="s">
        <v>190</v>
      </c>
      <c r="GS202" s="319" t="s">
        <v>190</v>
      </c>
      <c r="GT202" s="319" t="s">
        <v>190</v>
      </c>
      <c r="GU202" s="319" t="s">
        <v>190</v>
      </c>
      <c r="GV202" s="319" t="s">
        <v>190</v>
      </c>
      <c r="GW202" s="319" t="s">
        <v>190</v>
      </c>
      <c r="GX202" s="319" t="s">
        <v>190</v>
      </c>
      <c r="GY202" s="319" t="s">
        <v>190</v>
      </c>
      <c r="GZ202" s="319" t="s">
        <v>190</v>
      </c>
      <c r="HA202" s="319" t="s">
        <v>428</v>
      </c>
      <c r="HB202" s="319" t="s">
        <v>190</v>
      </c>
      <c r="HC202" s="319" t="s">
        <v>190</v>
      </c>
      <c r="HD202" s="319" t="s">
        <v>190</v>
      </c>
      <c r="HE202" s="319" t="s">
        <v>190</v>
      </c>
      <c r="HF202" s="319" t="s">
        <v>190</v>
      </c>
      <c r="HG202" s="319" t="s">
        <v>190</v>
      </c>
      <c r="HH202" s="319" t="s">
        <v>190</v>
      </c>
      <c r="HI202" s="319" t="s">
        <v>190</v>
      </c>
      <c r="HJ202" s="319" t="s">
        <v>190</v>
      </c>
      <c r="HK202" s="319" t="s">
        <v>190</v>
      </c>
      <c r="HL202" s="319" t="s">
        <v>190</v>
      </c>
      <c r="HM202" s="319" t="s">
        <v>190</v>
      </c>
      <c r="HN202" s="319" t="s">
        <v>190</v>
      </c>
      <c r="HO202" s="319" t="s">
        <v>190</v>
      </c>
      <c r="HP202" s="319" t="s">
        <v>190</v>
      </c>
      <c r="HQ202" s="319" t="s">
        <v>190</v>
      </c>
      <c r="HR202" s="319" t="s">
        <v>190</v>
      </c>
      <c r="HS202" s="319" t="s">
        <v>190</v>
      </c>
      <c r="HT202" s="319" t="s">
        <v>190</v>
      </c>
      <c r="HU202" s="319" t="s">
        <v>190</v>
      </c>
      <c r="HV202" s="319" t="s">
        <v>190</v>
      </c>
      <c r="HW202" s="319" t="s">
        <v>190</v>
      </c>
      <c r="HX202" s="319" t="s">
        <v>190</v>
      </c>
      <c r="HY202" s="319" t="s">
        <v>190</v>
      </c>
      <c r="HZ202" s="319" t="s">
        <v>190</v>
      </c>
      <c r="IA202" s="319" t="s">
        <v>190</v>
      </c>
      <c r="IB202" s="319" t="s">
        <v>190</v>
      </c>
      <c r="IC202" s="319" t="s">
        <v>190</v>
      </c>
      <c r="ID202" s="319" t="s">
        <v>190</v>
      </c>
      <c r="IE202" s="319" t="s">
        <v>190</v>
      </c>
      <c r="IF202" s="319" t="s">
        <v>190</v>
      </c>
      <c r="IG202" s="319" t="s">
        <v>190</v>
      </c>
      <c r="IH202" s="319" t="s">
        <v>190</v>
      </c>
      <c r="II202" s="319" t="s">
        <v>190</v>
      </c>
      <c r="IJ202" s="319" t="s">
        <v>2988</v>
      </c>
      <c r="IK202" s="321">
        <v>41044</v>
      </c>
      <c r="IL202" s="321">
        <v>41045</v>
      </c>
      <c r="IM202" s="321">
        <v>41066</v>
      </c>
      <c r="IN202" s="319">
        <v>2</v>
      </c>
      <c r="IO202" s="319" t="s">
        <v>173</v>
      </c>
      <c r="IP202" s="319" t="s">
        <v>173</v>
      </c>
      <c r="IQ202" s="321" t="s">
        <v>173</v>
      </c>
      <c r="IR202" s="320" t="s">
        <v>173</v>
      </c>
      <c r="IS202" s="322" t="s">
        <v>173</v>
      </c>
      <c r="IT202" s="319" t="s">
        <v>173</v>
      </c>
    </row>
    <row r="203" spans="1:254" s="271" customFormat="1" x14ac:dyDescent="0.25">
      <c r="A203" s="318" t="str">
        <f>HYPERLINK("http://www.ofsted.gov.uk/inspection-reports/find-inspection-report/provider/ELS/119015 ","Ofsted School Webpage")</f>
        <v>Ofsted School Webpage</v>
      </c>
      <c r="B203" s="319">
        <v>119015</v>
      </c>
      <c r="C203" s="319">
        <v>8866065</v>
      </c>
      <c r="D203" s="319" t="s">
        <v>815</v>
      </c>
      <c r="E203" s="319" t="s">
        <v>168</v>
      </c>
      <c r="F203" s="319" t="s">
        <v>81</v>
      </c>
      <c r="G203" s="319" t="s">
        <v>81</v>
      </c>
      <c r="H203" s="319" t="s">
        <v>81</v>
      </c>
      <c r="I203" s="319" t="s">
        <v>78</v>
      </c>
      <c r="J203" s="319" t="s">
        <v>424</v>
      </c>
      <c r="K203" s="319" t="s">
        <v>514</v>
      </c>
      <c r="L203" s="319" t="s">
        <v>514</v>
      </c>
      <c r="M203" s="319" t="s">
        <v>614</v>
      </c>
      <c r="N203" s="319" t="s">
        <v>2984</v>
      </c>
      <c r="O203" s="319" t="s">
        <v>816</v>
      </c>
      <c r="P203" s="319">
        <v>33</v>
      </c>
      <c r="Q203" s="319" t="s">
        <v>429</v>
      </c>
      <c r="R203" s="320">
        <v>10056670</v>
      </c>
      <c r="S203" s="321">
        <v>43480</v>
      </c>
      <c r="T203" s="321">
        <v>43482</v>
      </c>
      <c r="U203" s="321">
        <v>43499</v>
      </c>
      <c r="V203" s="319" t="s">
        <v>425</v>
      </c>
      <c r="W203" s="319" t="s">
        <v>2767</v>
      </c>
      <c r="X203" s="319">
        <v>2</v>
      </c>
      <c r="Y203" s="319" t="s">
        <v>173</v>
      </c>
      <c r="Z203" s="319" t="s">
        <v>173</v>
      </c>
      <c r="AA203" s="319" t="s">
        <v>173</v>
      </c>
      <c r="AB203" s="319">
        <v>2</v>
      </c>
      <c r="AC203" s="319" t="s">
        <v>169</v>
      </c>
      <c r="AD203" s="319" t="s">
        <v>173</v>
      </c>
      <c r="AE203" s="319" t="s">
        <v>173</v>
      </c>
      <c r="AF203" s="319" t="s">
        <v>447</v>
      </c>
      <c r="AG203" s="319" t="s">
        <v>171</v>
      </c>
      <c r="AH203" s="319" t="s">
        <v>190</v>
      </c>
      <c r="AI203" s="319" t="s">
        <v>190</v>
      </c>
      <c r="AJ203" s="319" t="s">
        <v>190</v>
      </c>
      <c r="AK203" s="319" t="s">
        <v>190</v>
      </c>
      <c r="AL203" s="319" t="s">
        <v>190</v>
      </c>
      <c r="AM203" s="319" t="s">
        <v>190</v>
      </c>
      <c r="AN203" s="319" t="s">
        <v>190</v>
      </c>
      <c r="AO203" s="319" t="s">
        <v>190</v>
      </c>
      <c r="AP203" s="319" t="s">
        <v>190</v>
      </c>
      <c r="AQ203" s="319" t="s">
        <v>190</v>
      </c>
      <c r="AR203" s="319" t="s">
        <v>190</v>
      </c>
      <c r="AS203" s="319" t="s">
        <v>190</v>
      </c>
      <c r="AT203" s="319" t="s">
        <v>190</v>
      </c>
      <c r="AU203" s="319" t="s">
        <v>190</v>
      </c>
      <c r="AV203" s="319" t="s">
        <v>190</v>
      </c>
      <c r="AW203" s="319" t="s">
        <v>190</v>
      </c>
      <c r="AX203" s="319" t="s">
        <v>428</v>
      </c>
      <c r="AY203" s="319" t="s">
        <v>190</v>
      </c>
      <c r="AZ203" s="319" t="s">
        <v>190</v>
      </c>
      <c r="BA203" s="319" t="s">
        <v>190</v>
      </c>
      <c r="BB203" s="319" t="s">
        <v>190</v>
      </c>
      <c r="BC203" s="319" t="s">
        <v>190</v>
      </c>
      <c r="BD203" s="319" t="s">
        <v>190</v>
      </c>
      <c r="BE203" s="319" t="s">
        <v>190</v>
      </c>
      <c r="BF203" s="319" t="s">
        <v>428</v>
      </c>
      <c r="BG203" s="319" t="s">
        <v>190</v>
      </c>
      <c r="BH203" s="319" t="s">
        <v>190</v>
      </c>
      <c r="BI203" s="319" t="s">
        <v>190</v>
      </c>
      <c r="BJ203" s="319" t="s">
        <v>190</v>
      </c>
      <c r="BK203" s="319" t="s">
        <v>190</v>
      </c>
      <c r="BL203" s="319" t="s">
        <v>190</v>
      </c>
      <c r="BM203" s="319" t="s">
        <v>190</v>
      </c>
      <c r="BN203" s="319" t="s">
        <v>190</v>
      </c>
      <c r="BO203" s="319" t="s">
        <v>190</v>
      </c>
      <c r="BP203" s="319" t="s">
        <v>190</v>
      </c>
      <c r="BQ203" s="319" t="s">
        <v>190</v>
      </c>
      <c r="BR203" s="319" t="s">
        <v>190</v>
      </c>
      <c r="BS203" s="319" t="s">
        <v>190</v>
      </c>
      <c r="BT203" s="319" t="s">
        <v>190</v>
      </c>
      <c r="BU203" s="319" t="s">
        <v>190</v>
      </c>
      <c r="BV203" s="319" t="s">
        <v>190</v>
      </c>
      <c r="BW203" s="319" t="s">
        <v>190</v>
      </c>
      <c r="BX203" s="319" t="s">
        <v>190</v>
      </c>
      <c r="BY203" s="319" t="s">
        <v>190</v>
      </c>
      <c r="BZ203" s="319" t="s">
        <v>190</v>
      </c>
      <c r="CA203" s="319" t="s">
        <v>190</v>
      </c>
      <c r="CB203" s="319" t="s">
        <v>190</v>
      </c>
      <c r="CC203" s="319" t="s">
        <v>190</v>
      </c>
      <c r="CD203" s="319" t="s">
        <v>190</v>
      </c>
      <c r="CE203" s="319" t="s">
        <v>190</v>
      </c>
      <c r="CF203" s="319" t="s">
        <v>190</v>
      </c>
      <c r="CG203" s="319" t="s">
        <v>190</v>
      </c>
      <c r="CH203" s="319" t="s">
        <v>190</v>
      </c>
      <c r="CI203" s="319" t="s">
        <v>190</v>
      </c>
      <c r="CJ203" s="319" t="s">
        <v>190</v>
      </c>
      <c r="CK203" s="319" t="s">
        <v>190</v>
      </c>
      <c r="CL203" s="319" t="s">
        <v>190</v>
      </c>
      <c r="CM203" s="319" t="s">
        <v>190</v>
      </c>
      <c r="CN203" s="319" t="s">
        <v>190</v>
      </c>
      <c r="CO203" s="319" t="s">
        <v>190</v>
      </c>
      <c r="CP203" s="319" t="s">
        <v>428</v>
      </c>
      <c r="CQ203" s="319" t="s">
        <v>190</v>
      </c>
      <c r="CR203" s="319" t="s">
        <v>190</v>
      </c>
      <c r="CS203" s="319" t="s">
        <v>190</v>
      </c>
      <c r="CT203" s="319" t="s">
        <v>190</v>
      </c>
      <c r="CU203" s="319" t="s">
        <v>190</v>
      </c>
      <c r="CV203" s="319" t="s">
        <v>190</v>
      </c>
      <c r="CW203" s="319" t="s">
        <v>190</v>
      </c>
      <c r="CX203" s="319" t="s">
        <v>190</v>
      </c>
      <c r="CY203" s="319" t="s">
        <v>190</v>
      </c>
      <c r="CZ203" s="319" t="s">
        <v>190</v>
      </c>
      <c r="DA203" s="319" t="s">
        <v>190</v>
      </c>
      <c r="DB203" s="319" t="s">
        <v>190</v>
      </c>
      <c r="DC203" s="319" t="s">
        <v>190</v>
      </c>
      <c r="DD203" s="319" t="s">
        <v>190</v>
      </c>
      <c r="DE203" s="319" t="s">
        <v>190</v>
      </c>
      <c r="DF203" s="319" t="s">
        <v>190</v>
      </c>
      <c r="DG203" s="319" t="s">
        <v>190</v>
      </c>
      <c r="DH203" s="319" t="s">
        <v>190</v>
      </c>
      <c r="DI203" s="319" t="s">
        <v>190</v>
      </c>
      <c r="DJ203" s="319" t="s">
        <v>190</v>
      </c>
      <c r="DK203" s="319" t="s">
        <v>190</v>
      </c>
      <c r="DL203" s="319" t="s">
        <v>190</v>
      </c>
      <c r="DM203" s="319" t="s">
        <v>190</v>
      </c>
      <c r="DN203" s="319" t="s">
        <v>190</v>
      </c>
      <c r="DO203" s="319" t="s">
        <v>190</v>
      </c>
      <c r="DP203" s="319" t="s">
        <v>190</v>
      </c>
      <c r="DQ203" s="319" t="s">
        <v>190</v>
      </c>
      <c r="DR203" s="319" t="s">
        <v>190</v>
      </c>
      <c r="DS203" s="319" t="s">
        <v>190</v>
      </c>
      <c r="DT203" s="319" t="s">
        <v>190</v>
      </c>
      <c r="DU203" s="319" t="s">
        <v>190</v>
      </c>
      <c r="DV203" s="319" t="s">
        <v>173</v>
      </c>
      <c r="DW203" s="319" t="s">
        <v>190</v>
      </c>
      <c r="DX203" s="319" t="s">
        <v>190</v>
      </c>
      <c r="DY203" s="319" t="s">
        <v>190</v>
      </c>
      <c r="DZ203" s="319" t="s">
        <v>190</v>
      </c>
      <c r="EA203" s="319" t="s">
        <v>190</v>
      </c>
      <c r="EB203" s="319" t="s">
        <v>190</v>
      </c>
      <c r="EC203" s="319" t="s">
        <v>428</v>
      </c>
      <c r="ED203" s="319" t="s">
        <v>190</v>
      </c>
      <c r="EE203" s="319" t="s">
        <v>190</v>
      </c>
      <c r="EF203" s="319" t="s">
        <v>190</v>
      </c>
      <c r="EG203" s="319" t="s">
        <v>190</v>
      </c>
      <c r="EH203" s="319" t="s">
        <v>190</v>
      </c>
      <c r="EI203" s="319" t="s">
        <v>190</v>
      </c>
      <c r="EJ203" s="319" t="s">
        <v>190</v>
      </c>
      <c r="EK203" s="319" t="s">
        <v>190</v>
      </c>
      <c r="EL203" s="319" t="s">
        <v>190</v>
      </c>
      <c r="EM203" s="319" t="s">
        <v>190</v>
      </c>
      <c r="EN203" s="319" t="s">
        <v>190</v>
      </c>
      <c r="EO203" s="319" t="s">
        <v>190</v>
      </c>
      <c r="EP203" s="319" t="s">
        <v>190</v>
      </c>
      <c r="EQ203" s="319" t="s">
        <v>190</v>
      </c>
      <c r="ER203" s="319" t="s">
        <v>190</v>
      </c>
      <c r="ES203" s="319" t="s">
        <v>190</v>
      </c>
      <c r="ET203" s="319" t="s">
        <v>190</v>
      </c>
      <c r="EU203" s="319" t="s">
        <v>190</v>
      </c>
      <c r="EV203" s="319" t="s">
        <v>190</v>
      </c>
      <c r="EW203" s="319" t="s">
        <v>190</v>
      </c>
      <c r="EX203" s="319" t="s">
        <v>190</v>
      </c>
      <c r="EY203" s="319" t="s">
        <v>190</v>
      </c>
      <c r="EZ203" s="319" t="s">
        <v>190</v>
      </c>
      <c r="FA203" s="319" t="s">
        <v>190</v>
      </c>
      <c r="FB203" s="319" t="s">
        <v>190</v>
      </c>
      <c r="FC203" s="319" t="s">
        <v>190</v>
      </c>
      <c r="FD203" s="319" t="s">
        <v>190</v>
      </c>
      <c r="FE203" s="319" t="s">
        <v>190</v>
      </c>
      <c r="FF203" s="319" t="s">
        <v>190</v>
      </c>
      <c r="FG203" s="319" t="s">
        <v>190</v>
      </c>
      <c r="FH203" s="319" t="s">
        <v>190</v>
      </c>
      <c r="FI203" s="319" t="s">
        <v>190</v>
      </c>
      <c r="FJ203" s="319" t="s">
        <v>190</v>
      </c>
      <c r="FK203" s="319" t="s">
        <v>190</v>
      </c>
      <c r="FL203" s="319" t="s">
        <v>190</v>
      </c>
      <c r="FM203" s="319" t="s">
        <v>190</v>
      </c>
      <c r="FN203" s="319" t="s">
        <v>190</v>
      </c>
      <c r="FO203" s="319" t="s">
        <v>190</v>
      </c>
      <c r="FP203" s="319" t="s">
        <v>190</v>
      </c>
      <c r="FQ203" s="319" t="s">
        <v>190</v>
      </c>
      <c r="FR203" s="319" t="s">
        <v>190</v>
      </c>
      <c r="FS203" s="319" t="s">
        <v>428</v>
      </c>
      <c r="FT203" s="319" t="s">
        <v>190</v>
      </c>
      <c r="FU203" s="319" t="s">
        <v>190</v>
      </c>
      <c r="FV203" s="319" t="s">
        <v>190</v>
      </c>
      <c r="FW203" s="319" t="s">
        <v>190</v>
      </c>
      <c r="FX203" s="319" t="s">
        <v>190</v>
      </c>
      <c r="FY203" s="319" t="s">
        <v>190</v>
      </c>
      <c r="FZ203" s="319" t="s">
        <v>190</v>
      </c>
      <c r="GA203" s="319" t="s">
        <v>190</v>
      </c>
      <c r="GB203" s="319" t="s">
        <v>190</v>
      </c>
      <c r="GC203" s="319" t="s">
        <v>190</v>
      </c>
      <c r="GD203" s="319" t="s">
        <v>190</v>
      </c>
      <c r="GE203" s="319" t="s">
        <v>190</v>
      </c>
      <c r="GF203" s="319" t="s">
        <v>190</v>
      </c>
      <c r="GG203" s="319" t="s">
        <v>190</v>
      </c>
      <c r="GH203" s="319" t="s">
        <v>190</v>
      </c>
      <c r="GI203" s="319" t="s">
        <v>190</v>
      </c>
      <c r="GJ203" s="319" t="s">
        <v>190</v>
      </c>
      <c r="GK203" s="319" t="s">
        <v>428</v>
      </c>
      <c r="GL203" s="319" t="s">
        <v>190</v>
      </c>
      <c r="GM203" s="319" t="s">
        <v>190</v>
      </c>
      <c r="GN203" s="319" t="s">
        <v>190</v>
      </c>
      <c r="GO203" s="319" t="s">
        <v>190</v>
      </c>
      <c r="GP203" s="319" t="s">
        <v>190</v>
      </c>
      <c r="GQ203" s="319" t="s">
        <v>190</v>
      </c>
      <c r="GR203" s="319" t="s">
        <v>190</v>
      </c>
      <c r="GS203" s="319" t="s">
        <v>190</v>
      </c>
      <c r="GT203" s="319" t="s">
        <v>190</v>
      </c>
      <c r="GU203" s="319" t="s">
        <v>190</v>
      </c>
      <c r="GV203" s="319" t="s">
        <v>190</v>
      </c>
      <c r="GW203" s="319" t="s">
        <v>190</v>
      </c>
      <c r="GX203" s="319" t="s">
        <v>190</v>
      </c>
      <c r="GY203" s="319" t="s">
        <v>190</v>
      </c>
      <c r="GZ203" s="319" t="s">
        <v>190</v>
      </c>
      <c r="HA203" s="319" t="s">
        <v>190</v>
      </c>
      <c r="HB203" s="319" t="s">
        <v>190</v>
      </c>
      <c r="HC203" s="319" t="s">
        <v>190</v>
      </c>
      <c r="HD203" s="319" t="s">
        <v>190</v>
      </c>
      <c r="HE203" s="319" t="s">
        <v>190</v>
      </c>
      <c r="HF203" s="319" t="s">
        <v>190</v>
      </c>
      <c r="HG203" s="319" t="s">
        <v>190</v>
      </c>
      <c r="HH203" s="319" t="s">
        <v>190</v>
      </c>
      <c r="HI203" s="319" t="s">
        <v>190</v>
      </c>
      <c r="HJ203" s="319" t="s">
        <v>190</v>
      </c>
      <c r="HK203" s="319" t="s">
        <v>190</v>
      </c>
      <c r="HL203" s="319" t="s">
        <v>190</v>
      </c>
      <c r="HM203" s="319" t="s">
        <v>190</v>
      </c>
      <c r="HN203" s="319" t="s">
        <v>190</v>
      </c>
      <c r="HO203" s="319" t="s">
        <v>190</v>
      </c>
      <c r="HP203" s="319" t="s">
        <v>190</v>
      </c>
      <c r="HQ203" s="319" t="s">
        <v>190</v>
      </c>
      <c r="HR203" s="319" t="s">
        <v>190</v>
      </c>
      <c r="HS203" s="319" t="s">
        <v>190</v>
      </c>
      <c r="HT203" s="319" t="s">
        <v>190</v>
      </c>
      <c r="HU203" s="319" t="s">
        <v>190</v>
      </c>
      <c r="HV203" s="319" t="s">
        <v>190</v>
      </c>
      <c r="HW203" s="319" t="s">
        <v>190</v>
      </c>
      <c r="HX203" s="319" t="s">
        <v>190</v>
      </c>
      <c r="HY203" s="319" t="s">
        <v>190</v>
      </c>
      <c r="HZ203" s="319" t="s">
        <v>190</v>
      </c>
      <c r="IA203" s="319" t="s">
        <v>190</v>
      </c>
      <c r="IB203" s="319" t="s">
        <v>190</v>
      </c>
      <c r="IC203" s="319" t="s">
        <v>190</v>
      </c>
      <c r="ID203" s="319" t="s">
        <v>190</v>
      </c>
      <c r="IE203" s="319" t="s">
        <v>190</v>
      </c>
      <c r="IF203" s="319" t="s">
        <v>190</v>
      </c>
      <c r="IG203" s="319" t="s">
        <v>190</v>
      </c>
      <c r="IH203" s="319" t="s">
        <v>190</v>
      </c>
      <c r="II203" s="319" t="s">
        <v>190</v>
      </c>
      <c r="IJ203" s="319">
        <v>10008864</v>
      </c>
      <c r="IK203" s="321">
        <v>42913</v>
      </c>
      <c r="IL203" s="321">
        <v>42915</v>
      </c>
      <c r="IM203" s="321">
        <v>42997</v>
      </c>
      <c r="IN203" s="319">
        <v>4</v>
      </c>
      <c r="IO203" s="319" t="s">
        <v>173</v>
      </c>
      <c r="IP203" s="319" t="s">
        <v>173</v>
      </c>
      <c r="IQ203" s="319" t="s">
        <v>173</v>
      </c>
      <c r="IR203" s="320" t="s">
        <v>173</v>
      </c>
      <c r="IS203" s="320" t="s">
        <v>173</v>
      </c>
      <c r="IT203" s="319" t="s">
        <v>173</v>
      </c>
    </row>
    <row r="204" spans="1:254" s="271" customFormat="1" x14ac:dyDescent="0.25">
      <c r="A204" s="318" t="str">
        <f>HYPERLINK("http://www.ofsted.gov.uk/inspection-reports/find-inspection-report/provider/ELS/119021 ","Ofsted School Webpage")</f>
        <v>Ofsted School Webpage</v>
      </c>
      <c r="B204" s="319">
        <v>119021</v>
      </c>
      <c r="C204" s="319">
        <v>8866070</v>
      </c>
      <c r="D204" s="319" t="s">
        <v>1502</v>
      </c>
      <c r="E204" s="319" t="s">
        <v>168</v>
      </c>
      <c r="F204" s="319" t="s">
        <v>81</v>
      </c>
      <c r="G204" s="319" t="s">
        <v>81</v>
      </c>
      <c r="H204" s="319" t="s">
        <v>81</v>
      </c>
      <c r="I204" s="319" t="s">
        <v>78</v>
      </c>
      <c r="J204" s="319" t="s">
        <v>424</v>
      </c>
      <c r="K204" s="319" t="s">
        <v>514</v>
      </c>
      <c r="L204" s="319" t="s">
        <v>514</v>
      </c>
      <c r="M204" s="319" t="s">
        <v>614</v>
      </c>
      <c r="N204" s="319" t="s">
        <v>2982</v>
      </c>
      <c r="O204" s="319" t="s">
        <v>1503</v>
      </c>
      <c r="P204" s="319">
        <v>30</v>
      </c>
      <c r="Q204" s="319" t="s">
        <v>2776</v>
      </c>
      <c r="R204" s="320">
        <v>10008524</v>
      </c>
      <c r="S204" s="321">
        <v>42661</v>
      </c>
      <c r="T204" s="321">
        <v>42663</v>
      </c>
      <c r="U204" s="321">
        <v>42688</v>
      </c>
      <c r="V204" s="319" t="s">
        <v>425</v>
      </c>
      <c r="W204" s="319" t="s">
        <v>2767</v>
      </c>
      <c r="X204" s="319">
        <v>2</v>
      </c>
      <c r="Y204" s="319" t="s">
        <v>173</v>
      </c>
      <c r="Z204" s="319" t="s">
        <v>173</v>
      </c>
      <c r="AA204" s="319" t="s">
        <v>173</v>
      </c>
      <c r="AB204" s="319">
        <v>2</v>
      </c>
      <c r="AC204" s="319" t="s">
        <v>169</v>
      </c>
      <c r="AD204" s="319" t="s">
        <v>173</v>
      </c>
      <c r="AE204" s="319">
        <v>2</v>
      </c>
      <c r="AF204" s="319" t="s">
        <v>173</v>
      </c>
      <c r="AG204" s="319" t="s">
        <v>171</v>
      </c>
      <c r="AH204" s="319" t="s">
        <v>190</v>
      </c>
      <c r="AI204" s="319" t="s">
        <v>190</v>
      </c>
      <c r="AJ204" s="319" t="s">
        <v>190</v>
      </c>
      <c r="AK204" s="319" t="s">
        <v>190</v>
      </c>
      <c r="AL204" s="319" t="s">
        <v>190</v>
      </c>
      <c r="AM204" s="319" t="s">
        <v>190</v>
      </c>
      <c r="AN204" s="319" t="s">
        <v>190</v>
      </c>
      <c r="AO204" s="319" t="s">
        <v>190</v>
      </c>
      <c r="AP204" s="319" t="s">
        <v>190</v>
      </c>
      <c r="AQ204" s="319" t="s">
        <v>190</v>
      </c>
      <c r="AR204" s="319" t="s">
        <v>190</v>
      </c>
      <c r="AS204" s="319" t="s">
        <v>190</v>
      </c>
      <c r="AT204" s="319" t="s">
        <v>190</v>
      </c>
      <c r="AU204" s="319" t="s">
        <v>190</v>
      </c>
      <c r="AV204" s="319" t="s">
        <v>190</v>
      </c>
      <c r="AW204" s="319" t="s">
        <v>190</v>
      </c>
      <c r="AX204" s="319" t="s">
        <v>429</v>
      </c>
      <c r="AY204" s="319" t="s">
        <v>190</v>
      </c>
      <c r="AZ204" s="319" t="s">
        <v>190</v>
      </c>
      <c r="BA204" s="319" t="s">
        <v>190</v>
      </c>
      <c r="BB204" s="319" t="s">
        <v>190</v>
      </c>
      <c r="BC204" s="319" t="s">
        <v>190</v>
      </c>
      <c r="BD204" s="319" t="s">
        <v>190</v>
      </c>
      <c r="BE204" s="319" t="s">
        <v>190</v>
      </c>
      <c r="BF204" s="319" t="s">
        <v>429</v>
      </c>
      <c r="BG204" s="319" t="s">
        <v>190</v>
      </c>
      <c r="BH204" s="319" t="s">
        <v>190</v>
      </c>
      <c r="BI204" s="319" t="s">
        <v>190</v>
      </c>
      <c r="BJ204" s="319" t="s">
        <v>190</v>
      </c>
      <c r="BK204" s="319" t="s">
        <v>190</v>
      </c>
      <c r="BL204" s="319" t="s">
        <v>190</v>
      </c>
      <c r="BM204" s="319" t="s">
        <v>190</v>
      </c>
      <c r="BN204" s="319" t="s">
        <v>190</v>
      </c>
      <c r="BO204" s="319" t="s">
        <v>190</v>
      </c>
      <c r="BP204" s="319" t="s">
        <v>190</v>
      </c>
      <c r="BQ204" s="319" t="s">
        <v>190</v>
      </c>
      <c r="BR204" s="319" t="s">
        <v>190</v>
      </c>
      <c r="BS204" s="319" t="s">
        <v>190</v>
      </c>
      <c r="BT204" s="319" t="s">
        <v>190</v>
      </c>
      <c r="BU204" s="319" t="s">
        <v>190</v>
      </c>
      <c r="BV204" s="319" t="s">
        <v>190</v>
      </c>
      <c r="BW204" s="319" t="s">
        <v>190</v>
      </c>
      <c r="BX204" s="319" t="s">
        <v>190</v>
      </c>
      <c r="BY204" s="319" t="s">
        <v>190</v>
      </c>
      <c r="BZ204" s="319" t="s">
        <v>190</v>
      </c>
      <c r="CA204" s="319" t="s">
        <v>190</v>
      </c>
      <c r="CB204" s="319" t="s">
        <v>190</v>
      </c>
      <c r="CC204" s="319" t="s">
        <v>190</v>
      </c>
      <c r="CD204" s="319" t="s">
        <v>190</v>
      </c>
      <c r="CE204" s="319" t="s">
        <v>190</v>
      </c>
      <c r="CF204" s="319" t="s">
        <v>190</v>
      </c>
      <c r="CG204" s="319" t="s">
        <v>190</v>
      </c>
      <c r="CH204" s="319" t="s">
        <v>190</v>
      </c>
      <c r="CI204" s="319" t="s">
        <v>190</v>
      </c>
      <c r="CJ204" s="319" t="s">
        <v>190</v>
      </c>
      <c r="CK204" s="319" t="s">
        <v>190</v>
      </c>
      <c r="CL204" s="319" t="s">
        <v>190</v>
      </c>
      <c r="CM204" s="319" t="s">
        <v>190</v>
      </c>
      <c r="CN204" s="319" t="s">
        <v>429</v>
      </c>
      <c r="CO204" s="319" t="s">
        <v>429</v>
      </c>
      <c r="CP204" s="319" t="s">
        <v>429</v>
      </c>
      <c r="CQ204" s="319" t="s">
        <v>190</v>
      </c>
      <c r="CR204" s="319" t="s">
        <v>190</v>
      </c>
      <c r="CS204" s="319" t="s">
        <v>190</v>
      </c>
      <c r="CT204" s="319" t="s">
        <v>190</v>
      </c>
      <c r="CU204" s="319" t="s">
        <v>190</v>
      </c>
      <c r="CV204" s="319" t="s">
        <v>190</v>
      </c>
      <c r="CW204" s="319" t="s">
        <v>190</v>
      </c>
      <c r="CX204" s="319" t="s">
        <v>190</v>
      </c>
      <c r="CY204" s="319" t="s">
        <v>190</v>
      </c>
      <c r="CZ204" s="319" t="s">
        <v>190</v>
      </c>
      <c r="DA204" s="319" t="s">
        <v>190</v>
      </c>
      <c r="DB204" s="319" t="s">
        <v>190</v>
      </c>
      <c r="DC204" s="319" t="s">
        <v>190</v>
      </c>
      <c r="DD204" s="319" t="s">
        <v>190</v>
      </c>
      <c r="DE204" s="319" t="s">
        <v>190</v>
      </c>
      <c r="DF204" s="319" t="s">
        <v>190</v>
      </c>
      <c r="DG204" s="319" t="s">
        <v>190</v>
      </c>
      <c r="DH204" s="319" t="s">
        <v>190</v>
      </c>
      <c r="DI204" s="319" t="s">
        <v>190</v>
      </c>
      <c r="DJ204" s="319" t="s">
        <v>190</v>
      </c>
      <c r="DK204" s="319" t="s">
        <v>190</v>
      </c>
      <c r="DL204" s="319" t="s">
        <v>190</v>
      </c>
      <c r="DM204" s="319" t="s">
        <v>190</v>
      </c>
      <c r="DN204" s="319" t="s">
        <v>190</v>
      </c>
      <c r="DO204" s="319" t="s">
        <v>190</v>
      </c>
      <c r="DP204" s="319" t="s">
        <v>190</v>
      </c>
      <c r="DQ204" s="319" t="s">
        <v>190</v>
      </c>
      <c r="DR204" s="319" t="s">
        <v>190</v>
      </c>
      <c r="DS204" s="319" t="s">
        <v>190</v>
      </c>
      <c r="DT204" s="319" t="s">
        <v>190</v>
      </c>
      <c r="DU204" s="319" t="s">
        <v>190</v>
      </c>
      <c r="DV204" s="319" t="s">
        <v>173</v>
      </c>
      <c r="DW204" s="319" t="s">
        <v>190</v>
      </c>
      <c r="DX204" s="319" t="s">
        <v>190</v>
      </c>
      <c r="DY204" s="319" t="s">
        <v>190</v>
      </c>
      <c r="DZ204" s="319" t="s">
        <v>190</v>
      </c>
      <c r="EA204" s="319" t="s">
        <v>190</v>
      </c>
      <c r="EB204" s="319" t="s">
        <v>190</v>
      </c>
      <c r="EC204" s="319" t="s">
        <v>190</v>
      </c>
      <c r="ED204" s="319" t="s">
        <v>190</v>
      </c>
      <c r="EE204" s="319" t="s">
        <v>190</v>
      </c>
      <c r="EF204" s="319" t="s">
        <v>190</v>
      </c>
      <c r="EG204" s="319" t="s">
        <v>190</v>
      </c>
      <c r="EH204" s="319" t="s">
        <v>190</v>
      </c>
      <c r="EI204" s="319" t="s">
        <v>190</v>
      </c>
      <c r="EJ204" s="319" t="s">
        <v>190</v>
      </c>
      <c r="EK204" s="319" t="s">
        <v>190</v>
      </c>
      <c r="EL204" s="319" t="s">
        <v>190</v>
      </c>
      <c r="EM204" s="319" t="s">
        <v>190</v>
      </c>
      <c r="EN204" s="319" t="s">
        <v>190</v>
      </c>
      <c r="EO204" s="319" t="s">
        <v>190</v>
      </c>
      <c r="EP204" s="319" t="s">
        <v>190</v>
      </c>
      <c r="EQ204" s="319" t="s">
        <v>190</v>
      </c>
      <c r="ER204" s="319" t="s">
        <v>190</v>
      </c>
      <c r="ES204" s="319" t="s">
        <v>190</v>
      </c>
      <c r="ET204" s="319" t="s">
        <v>190</v>
      </c>
      <c r="EU204" s="319" t="s">
        <v>190</v>
      </c>
      <c r="EV204" s="319" t="s">
        <v>190</v>
      </c>
      <c r="EW204" s="319" t="s">
        <v>190</v>
      </c>
      <c r="EX204" s="319" t="s">
        <v>190</v>
      </c>
      <c r="EY204" s="319" t="s">
        <v>190</v>
      </c>
      <c r="EZ204" s="319" t="s">
        <v>190</v>
      </c>
      <c r="FA204" s="319" t="s">
        <v>190</v>
      </c>
      <c r="FB204" s="319" t="s">
        <v>190</v>
      </c>
      <c r="FC204" s="319" t="s">
        <v>190</v>
      </c>
      <c r="FD204" s="319" t="s">
        <v>190</v>
      </c>
      <c r="FE204" s="319" t="s">
        <v>190</v>
      </c>
      <c r="FF204" s="319" t="s">
        <v>190</v>
      </c>
      <c r="FG204" s="319" t="s">
        <v>190</v>
      </c>
      <c r="FH204" s="319" t="s">
        <v>190</v>
      </c>
      <c r="FI204" s="319" t="s">
        <v>190</v>
      </c>
      <c r="FJ204" s="319" t="s">
        <v>190</v>
      </c>
      <c r="FK204" s="319" t="s">
        <v>190</v>
      </c>
      <c r="FL204" s="319" t="s">
        <v>190</v>
      </c>
      <c r="FM204" s="319" t="s">
        <v>190</v>
      </c>
      <c r="FN204" s="319" t="s">
        <v>190</v>
      </c>
      <c r="FO204" s="319" t="s">
        <v>190</v>
      </c>
      <c r="FP204" s="319" t="s">
        <v>190</v>
      </c>
      <c r="FQ204" s="319" t="s">
        <v>190</v>
      </c>
      <c r="FR204" s="319" t="s">
        <v>190</v>
      </c>
      <c r="FS204" s="319" t="s">
        <v>190</v>
      </c>
      <c r="FT204" s="319" t="s">
        <v>190</v>
      </c>
      <c r="FU204" s="319" t="s">
        <v>190</v>
      </c>
      <c r="FV204" s="319" t="s">
        <v>190</v>
      </c>
      <c r="FW204" s="319" t="s">
        <v>190</v>
      </c>
      <c r="FX204" s="319" t="s">
        <v>190</v>
      </c>
      <c r="FY204" s="319" t="s">
        <v>190</v>
      </c>
      <c r="FZ204" s="319" t="s">
        <v>190</v>
      </c>
      <c r="GA204" s="319" t="s">
        <v>190</v>
      </c>
      <c r="GB204" s="319" t="s">
        <v>190</v>
      </c>
      <c r="GC204" s="319" t="s">
        <v>190</v>
      </c>
      <c r="GD204" s="319" t="s">
        <v>190</v>
      </c>
      <c r="GE204" s="319" t="s">
        <v>190</v>
      </c>
      <c r="GF204" s="319" t="s">
        <v>190</v>
      </c>
      <c r="GG204" s="319" t="s">
        <v>190</v>
      </c>
      <c r="GH204" s="319" t="s">
        <v>190</v>
      </c>
      <c r="GI204" s="319" t="s">
        <v>190</v>
      </c>
      <c r="GJ204" s="319" t="s">
        <v>190</v>
      </c>
      <c r="GK204" s="319" t="s">
        <v>190</v>
      </c>
      <c r="GL204" s="319" t="s">
        <v>190</v>
      </c>
      <c r="GM204" s="319" t="s">
        <v>190</v>
      </c>
      <c r="GN204" s="319" t="s">
        <v>190</v>
      </c>
      <c r="GO204" s="319" t="s">
        <v>190</v>
      </c>
      <c r="GP204" s="319" t="s">
        <v>190</v>
      </c>
      <c r="GQ204" s="319" t="s">
        <v>190</v>
      </c>
      <c r="GR204" s="319" t="s">
        <v>190</v>
      </c>
      <c r="GS204" s="319" t="s">
        <v>190</v>
      </c>
      <c r="GT204" s="319" t="s">
        <v>190</v>
      </c>
      <c r="GU204" s="319" t="s">
        <v>190</v>
      </c>
      <c r="GV204" s="319" t="s">
        <v>190</v>
      </c>
      <c r="GW204" s="319" t="s">
        <v>190</v>
      </c>
      <c r="GX204" s="319" t="s">
        <v>190</v>
      </c>
      <c r="GY204" s="319" t="s">
        <v>190</v>
      </c>
      <c r="GZ204" s="319" t="s">
        <v>190</v>
      </c>
      <c r="HA204" s="319" t="s">
        <v>190</v>
      </c>
      <c r="HB204" s="319" t="s">
        <v>190</v>
      </c>
      <c r="HC204" s="319" t="s">
        <v>190</v>
      </c>
      <c r="HD204" s="319" t="s">
        <v>190</v>
      </c>
      <c r="HE204" s="319" t="s">
        <v>190</v>
      </c>
      <c r="HF204" s="319" t="s">
        <v>190</v>
      </c>
      <c r="HG204" s="319" t="s">
        <v>190</v>
      </c>
      <c r="HH204" s="319" t="s">
        <v>190</v>
      </c>
      <c r="HI204" s="319" t="s">
        <v>190</v>
      </c>
      <c r="HJ204" s="319" t="s">
        <v>190</v>
      </c>
      <c r="HK204" s="319" t="s">
        <v>190</v>
      </c>
      <c r="HL204" s="319" t="s">
        <v>190</v>
      </c>
      <c r="HM204" s="319" t="s">
        <v>190</v>
      </c>
      <c r="HN204" s="319" t="s">
        <v>190</v>
      </c>
      <c r="HO204" s="319" t="s">
        <v>190</v>
      </c>
      <c r="HP204" s="319" t="s">
        <v>190</v>
      </c>
      <c r="HQ204" s="319" t="s">
        <v>190</v>
      </c>
      <c r="HR204" s="319" t="s">
        <v>190</v>
      </c>
      <c r="HS204" s="319" t="s">
        <v>190</v>
      </c>
      <c r="HT204" s="319" t="s">
        <v>190</v>
      </c>
      <c r="HU204" s="319" t="s">
        <v>190</v>
      </c>
      <c r="HV204" s="319" t="s">
        <v>190</v>
      </c>
      <c r="HW204" s="319" t="s">
        <v>190</v>
      </c>
      <c r="HX204" s="319" t="s">
        <v>190</v>
      </c>
      <c r="HY204" s="319" t="s">
        <v>190</v>
      </c>
      <c r="HZ204" s="319" t="s">
        <v>190</v>
      </c>
      <c r="IA204" s="319" t="s">
        <v>190</v>
      </c>
      <c r="IB204" s="319" t="s">
        <v>190</v>
      </c>
      <c r="IC204" s="319" t="s">
        <v>190</v>
      </c>
      <c r="ID204" s="319" t="s">
        <v>190</v>
      </c>
      <c r="IE204" s="319" t="s">
        <v>190</v>
      </c>
      <c r="IF204" s="319" t="s">
        <v>190</v>
      </c>
      <c r="IG204" s="319" t="s">
        <v>190</v>
      </c>
      <c r="IH204" s="319" t="s">
        <v>190</v>
      </c>
      <c r="II204" s="319" t="s">
        <v>190</v>
      </c>
      <c r="IJ204" s="319" t="s">
        <v>2989</v>
      </c>
      <c r="IK204" s="321">
        <v>41254</v>
      </c>
      <c r="IL204" s="321">
        <v>41255</v>
      </c>
      <c r="IM204" s="321">
        <v>41290</v>
      </c>
      <c r="IN204" s="319">
        <v>2</v>
      </c>
      <c r="IO204" s="319" t="s">
        <v>173</v>
      </c>
      <c r="IP204" s="319" t="s">
        <v>173</v>
      </c>
      <c r="IQ204" s="319" t="s">
        <v>173</v>
      </c>
      <c r="IR204" s="320" t="s">
        <v>173</v>
      </c>
      <c r="IS204" s="320" t="s">
        <v>173</v>
      </c>
      <c r="IT204" s="319" t="s">
        <v>173</v>
      </c>
    </row>
    <row r="205" spans="1:254" s="271" customFormat="1" x14ac:dyDescent="0.25">
      <c r="A205" s="318" t="str">
        <f>HYPERLINK("http://www.ofsted.gov.uk/inspection-reports/find-inspection-report/provider/ELS/119819 ","Ofsted School Webpage")</f>
        <v>Ofsted School Webpage</v>
      </c>
      <c r="B205" s="319">
        <v>119819</v>
      </c>
      <c r="C205" s="319">
        <v>8886001</v>
      </c>
      <c r="D205" s="319" t="s">
        <v>694</v>
      </c>
      <c r="E205" s="319" t="s">
        <v>167</v>
      </c>
      <c r="F205" s="319" t="s">
        <v>81</v>
      </c>
      <c r="G205" s="319" t="s">
        <v>81</v>
      </c>
      <c r="H205" s="319" t="s">
        <v>81</v>
      </c>
      <c r="I205" s="319" t="s">
        <v>78</v>
      </c>
      <c r="J205" s="319" t="s">
        <v>424</v>
      </c>
      <c r="K205" s="319" t="s">
        <v>431</v>
      </c>
      <c r="L205" s="319" t="s">
        <v>431</v>
      </c>
      <c r="M205" s="319" t="s">
        <v>469</v>
      </c>
      <c r="N205" s="319" t="s">
        <v>2990</v>
      </c>
      <c r="O205" s="319" t="s">
        <v>695</v>
      </c>
      <c r="P205" s="319">
        <v>74</v>
      </c>
      <c r="Q205" s="319" t="s">
        <v>2776</v>
      </c>
      <c r="R205" s="320">
        <v>10053723</v>
      </c>
      <c r="S205" s="321">
        <v>43424</v>
      </c>
      <c r="T205" s="321">
        <v>43426</v>
      </c>
      <c r="U205" s="321">
        <v>43447</v>
      </c>
      <c r="V205" s="319" t="s">
        <v>425</v>
      </c>
      <c r="W205" s="319" t="s">
        <v>2767</v>
      </c>
      <c r="X205" s="319">
        <v>2</v>
      </c>
      <c r="Y205" s="319" t="s">
        <v>173</v>
      </c>
      <c r="Z205" s="319" t="s">
        <v>173</v>
      </c>
      <c r="AA205" s="319" t="s">
        <v>173</v>
      </c>
      <c r="AB205" s="319">
        <v>2</v>
      </c>
      <c r="AC205" s="319" t="s">
        <v>169</v>
      </c>
      <c r="AD205" s="319">
        <v>2</v>
      </c>
      <c r="AE205" s="319">
        <v>2</v>
      </c>
      <c r="AF205" s="319" t="s">
        <v>427</v>
      </c>
      <c r="AG205" s="319" t="s">
        <v>171</v>
      </c>
      <c r="AH205" s="319" t="s">
        <v>190</v>
      </c>
      <c r="AI205" s="319" t="s">
        <v>190</v>
      </c>
      <c r="AJ205" s="319" t="s">
        <v>190</v>
      </c>
      <c r="AK205" s="319" t="s">
        <v>190</v>
      </c>
      <c r="AL205" s="319" t="s">
        <v>190</v>
      </c>
      <c r="AM205" s="319" t="s">
        <v>190</v>
      </c>
      <c r="AN205" s="319" t="s">
        <v>190</v>
      </c>
      <c r="AO205" s="319" t="s">
        <v>190</v>
      </c>
      <c r="AP205" s="319" t="s">
        <v>190</v>
      </c>
      <c r="AQ205" s="319" t="s">
        <v>190</v>
      </c>
      <c r="AR205" s="319" t="s">
        <v>190</v>
      </c>
      <c r="AS205" s="319" t="s">
        <v>190</v>
      </c>
      <c r="AT205" s="319" t="s">
        <v>190</v>
      </c>
      <c r="AU205" s="319" t="s">
        <v>190</v>
      </c>
      <c r="AV205" s="319" t="s">
        <v>190</v>
      </c>
      <c r="AW205" s="319" t="s">
        <v>190</v>
      </c>
      <c r="AX205" s="319" t="s">
        <v>190</v>
      </c>
      <c r="AY205" s="319" t="s">
        <v>190</v>
      </c>
      <c r="AZ205" s="319" t="s">
        <v>190</v>
      </c>
      <c r="BA205" s="319" t="s">
        <v>190</v>
      </c>
      <c r="BB205" s="319" t="s">
        <v>190</v>
      </c>
      <c r="BC205" s="319" t="s">
        <v>190</v>
      </c>
      <c r="BD205" s="319" t="s">
        <v>190</v>
      </c>
      <c r="BE205" s="319" t="s">
        <v>190</v>
      </c>
      <c r="BF205" s="319" t="s">
        <v>190</v>
      </c>
      <c r="BG205" s="319" t="s">
        <v>190</v>
      </c>
      <c r="BH205" s="319" t="s">
        <v>190</v>
      </c>
      <c r="BI205" s="319" t="s">
        <v>190</v>
      </c>
      <c r="BJ205" s="319" t="s">
        <v>190</v>
      </c>
      <c r="BK205" s="319" t="s">
        <v>190</v>
      </c>
      <c r="BL205" s="319" t="s">
        <v>190</v>
      </c>
      <c r="BM205" s="319" t="s">
        <v>190</v>
      </c>
      <c r="BN205" s="319" t="s">
        <v>190</v>
      </c>
      <c r="BO205" s="319" t="s">
        <v>190</v>
      </c>
      <c r="BP205" s="319" t="s">
        <v>190</v>
      </c>
      <c r="BQ205" s="319" t="s">
        <v>190</v>
      </c>
      <c r="BR205" s="319" t="s">
        <v>190</v>
      </c>
      <c r="BS205" s="319" t="s">
        <v>190</v>
      </c>
      <c r="BT205" s="319" t="s">
        <v>190</v>
      </c>
      <c r="BU205" s="319" t="s">
        <v>190</v>
      </c>
      <c r="BV205" s="319" t="s">
        <v>190</v>
      </c>
      <c r="BW205" s="319" t="s">
        <v>190</v>
      </c>
      <c r="BX205" s="319" t="s">
        <v>190</v>
      </c>
      <c r="BY205" s="319" t="s">
        <v>190</v>
      </c>
      <c r="BZ205" s="319" t="s">
        <v>190</v>
      </c>
      <c r="CA205" s="319" t="s">
        <v>190</v>
      </c>
      <c r="CB205" s="319" t="s">
        <v>190</v>
      </c>
      <c r="CC205" s="319" t="s">
        <v>190</v>
      </c>
      <c r="CD205" s="319" t="s">
        <v>190</v>
      </c>
      <c r="CE205" s="319" t="s">
        <v>190</v>
      </c>
      <c r="CF205" s="319" t="s">
        <v>190</v>
      </c>
      <c r="CG205" s="319" t="s">
        <v>190</v>
      </c>
      <c r="CH205" s="319" t="s">
        <v>190</v>
      </c>
      <c r="CI205" s="319" t="s">
        <v>190</v>
      </c>
      <c r="CJ205" s="319" t="s">
        <v>190</v>
      </c>
      <c r="CK205" s="319" t="s">
        <v>190</v>
      </c>
      <c r="CL205" s="319" t="s">
        <v>190</v>
      </c>
      <c r="CM205" s="319" t="s">
        <v>190</v>
      </c>
      <c r="CN205" s="319" t="s">
        <v>190</v>
      </c>
      <c r="CO205" s="319" t="s">
        <v>190</v>
      </c>
      <c r="CP205" s="319" t="s">
        <v>190</v>
      </c>
      <c r="CQ205" s="319" t="s">
        <v>190</v>
      </c>
      <c r="CR205" s="319" t="s">
        <v>190</v>
      </c>
      <c r="CS205" s="319" t="s">
        <v>190</v>
      </c>
      <c r="CT205" s="319" t="s">
        <v>190</v>
      </c>
      <c r="CU205" s="319" t="s">
        <v>190</v>
      </c>
      <c r="CV205" s="319" t="s">
        <v>190</v>
      </c>
      <c r="CW205" s="319" t="s">
        <v>190</v>
      </c>
      <c r="CX205" s="319" t="s">
        <v>190</v>
      </c>
      <c r="CY205" s="319" t="s">
        <v>190</v>
      </c>
      <c r="CZ205" s="319" t="s">
        <v>190</v>
      </c>
      <c r="DA205" s="319" t="s">
        <v>190</v>
      </c>
      <c r="DB205" s="319" t="s">
        <v>190</v>
      </c>
      <c r="DC205" s="319" t="s">
        <v>190</v>
      </c>
      <c r="DD205" s="319" t="s">
        <v>190</v>
      </c>
      <c r="DE205" s="319" t="s">
        <v>190</v>
      </c>
      <c r="DF205" s="319" t="s">
        <v>190</v>
      </c>
      <c r="DG205" s="319" t="s">
        <v>190</v>
      </c>
      <c r="DH205" s="319" t="s">
        <v>190</v>
      </c>
      <c r="DI205" s="319" t="s">
        <v>190</v>
      </c>
      <c r="DJ205" s="319" t="s">
        <v>190</v>
      </c>
      <c r="DK205" s="319" t="s">
        <v>190</v>
      </c>
      <c r="DL205" s="319" t="s">
        <v>190</v>
      </c>
      <c r="DM205" s="319" t="s">
        <v>428</v>
      </c>
      <c r="DN205" s="319" t="s">
        <v>428</v>
      </c>
      <c r="DO205" s="319" t="s">
        <v>190</v>
      </c>
      <c r="DP205" s="319" t="s">
        <v>428</v>
      </c>
      <c r="DQ205" s="319" t="s">
        <v>428</v>
      </c>
      <c r="DR205" s="319" t="s">
        <v>428</v>
      </c>
      <c r="DS205" s="319" t="s">
        <v>428</v>
      </c>
      <c r="DT205" s="319" t="s">
        <v>428</v>
      </c>
      <c r="DU205" s="319" t="s">
        <v>428</v>
      </c>
      <c r="DV205" s="319" t="s">
        <v>173</v>
      </c>
      <c r="DW205" s="319" t="s">
        <v>428</v>
      </c>
      <c r="DX205" s="319" t="s">
        <v>428</v>
      </c>
      <c r="DY205" s="319" t="s">
        <v>428</v>
      </c>
      <c r="DZ205" s="319" t="s">
        <v>428</v>
      </c>
      <c r="EA205" s="319" t="s">
        <v>428</v>
      </c>
      <c r="EB205" s="319" t="s">
        <v>428</v>
      </c>
      <c r="EC205" s="319" t="s">
        <v>428</v>
      </c>
      <c r="ED205" s="319" t="s">
        <v>428</v>
      </c>
      <c r="EE205" s="319" t="s">
        <v>190</v>
      </c>
      <c r="EF205" s="319" t="s">
        <v>190</v>
      </c>
      <c r="EG205" s="319" t="s">
        <v>190</v>
      </c>
      <c r="EH205" s="319" t="s">
        <v>190</v>
      </c>
      <c r="EI205" s="319" t="s">
        <v>190</v>
      </c>
      <c r="EJ205" s="319" t="s">
        <v>190</v>
      </c>
      <c r="EK205" s="319" t="s">
        <v>190</v>
      </c>
      <c r="EL205" s="319" t="s">
        <v>190</v>
      </c>
      <c r="EM205" s="319" t="s">
        <v>190</v>
      </c>
      <c r="EN205" s="319" t="s">
        <v>428</v>
      </c>
      <c r="EO205" s="319" t="s">
        <v>190</v>
      </c>
      <c r="EP205" s="319" t="s">
        <v>190</v>
      </c>
      <c r="EQ205" s="319" t="s">
        <v>190</v>
      </c>
      <c r="ER205" s="319" t="s">
        <v>190</v>
      </c>
      <c r="ES205" s="319" t="s">
        <v>190</v>
      </c>
      <c r="ET205" s="319" t="s">
        <v>190</v>
      </c>
      <c r="EU205" s="319" t="s">
        <v>190</v>
      </c>
      <c r="EV205" s="319" t="s">
        <v>190</v>
      </c>
      <c r="EW205" s="319" t="s">
        <v>190</v>
      </c>
      <c r="EX205" s="319" t="s">
        <v>190</v>
      </c>
      <c r="EY205" s="319" t="s">
        <v>190</v>
      </c>
      <c r="EZ205" s="319" t="s">
        <v>190</v>
      </c>
      <c r="FA205" s="319" t="s">
        <v>190</v>
      </c>
      <c r="FB205" s="319" t="s">
        <v>428</v>
      </c>
      <c r="FC205" s="319" t="s">
        <v>428</v>
      </c>
      <c r="FD205" s="319" t="s">
        <v>428</v>
      </c>
      <c r="FE205" s="319" t="s">
        <v>428</v>
      </c>
      <c r="FF205" s="319" t="s">
        <v>428</v>
      </c>
      <c r="FG205" s="319" t="s">
        <v>428</v>
      </c>
      <c r="FH205" s="319" t="s">
        <v>428</v>
      </c>
      <c r="FI205" s="319" t="s">
        <v>190</v>
      </c>
      <c r="FJ205" s="319" t="s">
        <v>190</v>
      </c>
      <c r="FK205" s="319" t="s">
        <v>190</v>
      </c>
      <c r="FL205" s="319" t="s">
        <v>190</v>
      </c>
      <c r="FM205" s="319" t="s">
        <v>190</v>
      </c>
      <c r="FN205" s="319" t="s">
        <v>190</v>
      </c>
      <c r="FO205" s="319" t="s">
        <v>190</v>
      </c>
      <c r="FP205" s="319" t="s">
        <v>190</v>
      </c>
      <c r="FQ205" s="319" t="s">
        <v>190</v>
      </c>
      <c r="FR205" s="319" t="s">
        <v>190</v>
      </c>
      <c r="FS205" s="319" t="s">
        <v>428</v>
      </c>
      <c r="FT205" s="319" t="s">
        <v>190</v>
      </c>
      <c r="FU205" s="319" t="s">
        <v>190</v>
      </c>
      <c r="FV205" s="319" t="s">
        <v>190</v>
      </c>
      <c r="FW205" s="319" t="s">
        <v>190</v>
      </c>
      <c r="FX205" s="319" t="s">
        <v>190</v>
      </c>
      <c r="FY205" s="319" t="s">
        <v>190</v>
      </c>
      <c r="FZ205" s="319" t="s">
        <v>190</v>
      </c>
      <c r="GA205" s="319" t="s">
        <v>190</v>
      </c>
      <c r="GB205" s="319" t="s">
        <v>190</v>
      </c>
      <c r="GC205" s="319" t="s">
        <v>190</v>
      </c>
      <c r="GD205" s="319" t="s">
        <v>190</v>
      </c>
      <c r="GE205" s="319" t="s">
        <v>190</v>
      </c>
      <c r="GF205" s="319" t="s">
        <v>190</v>
      </c>
      <c r="GG205" s="319" t="s">
        <v>190</v>
      </c>
      <c r="GH205" s="319" t="s">
        <v>190</v>
      </c>
      <c r="GI205" s="319" t="s">
        <v>190</v>
      </c>
      <c r="GJ205" s="319" t="s">
        <v>190</v>
      </c>
      <c r="GK205" s="319" t="s">
        <v>428</v>
      </c>
      <c r="GL205" s="319" t="s">
        <v>190</v>
      </c>
      <c r="GM205" s="319" t="s">
        <v>190</v>
      </c>
      <c r="GN205" s="319" t="s">
        <v>190</v>
      </c>
      <c r="GO205" s="319" t="s">
        <v>190</v>
      </c>
      <c r="GP205" s="319" t="s">
        <v>190</v>
      </c>
      <c r="GQ205" s="319" t="s">
        <v>428</v>
      </c>
      <c r="GR205" s="319" t="s">
        <v>190</v>
      </c>
      <c r="GS205" s="319" t="s">
        <v>190</v>
      </c>
      <c r="GT205" s="319" t="s">
        <v>190</v>
      </c>
      <c r="GU205" s="319" t="s">
        <v>190</v>
      </c>
      <c r="GV205" s="319" t="s">
        <v>190</v>
      </c>
      <c r="GW205" s="319" t="s">
        <v>190</v>
      </c>
      <c r="GX205" s="319" t="s">
        <v>190</v>
      </c>
      <c r="GY205" s="319" t="s">
        <v>190</v>
      </c>
      <c r="GZ205" s="319" t="s">
        <v>428</v>
      </c>
      <c r="HA205" s="319" t="s">
        <v>190</v>
      </c>
      <c r="HB205" s="319" t="s">
        <v>428</v>
      </c>
      <c r="HC205" s="319" t="s">
        <v>190</v>
      </c>
      <c r="HD205" s="319" t="s">
        <v>190</v>
      </c>
      <c r="HE205" s="319" t="s">
        <v>190</v>
      </c>
      <c r="HF205" s="319" t="s">
        <v>190</v>
      </c>
      <c r="HG205" s="319" t="s">
        <v>190</v>
      </c>
      <c r="HH205" s="319" t="s">
        <v>190</v>
      </c>
      <c r="HI205" s="319" t="s">
        <v>190</v>
      </c>
      <c r="HJ205" s="319" t="s">
        <v>190</v>
      </c>
      <c r="HK205" s="319" t="s">
        <v>190</v>
      </c>
      <c r="HL205" s="319" t="s">
        <v>428</v>
      </c>
      <c r="HM205" s="319" t="s">
        <v>428</v>
      </c>
      <c r="HN205" s="319" t="s">
        <v>428</v>
      </c>
      <c r="HO205" s="319" t="s">
        <v>428</v>
      </c>
      <c r="HP205" s="319" t="s">
        <v>190</v>
      </c>
      <c r="HQ205" s="319" t="s">
        <v>190</v>
      </c>
      <c r="HR205" s="319" t="s">
        <v>190</v>
      </c>
      <c r="HS205" s="319" t="s">
        <v>190</v>
      </c>
      <c r="HT205" s="319" t="s">
        <v>190</v>
      </c>
      <c r="HU205" s="319" t="s">
        <v>190</v>
      </c>
      <c r="HV205" s="319" t="s">
        <v>190</v>
      </c>
      <c r="HW205" s="319" t="s">
        <v>190</v>
      </c>
      <c r="HX205" s="319" t="s">
        <v>190</v>
      </c>
      <c r="HY205" s="319" t="s">
        <v>190</v>
      </c>
      <c r="HZ205" s="319" t="s">
        <v>190</v>
      </c>
      <c r="IA205" s="319" t="s">
        <v>190</v>
      </c>
      <c r="IB205" s="319" t="s">
        <v>190</v>
      </c>
      <c r="IC205" s="319" t="s">
        <v>190</v>
      </c>
      <c r="ID205" s="319" t="s">
        <v>190</v>
      </c>
      <c r="IE205" s="319" t="s">
        <v>190</v>
      </c>
      <c r="IF205" s="319" t="s">
        <v>190</v>
      </c>
      <c r="IG205" s="319" t="s">
        <v>190</v>
      </c>
      <c r="IH205" s="319" t="s">
        <v>190</v>
      </c>
      <c r="II205" s="319" t="s">
        <v>190</v>
      </c>
      <c r="IJ205" s="319">
        <v>10012962</v>
      </c>
      <c r="IK205" s="321">
        <v>42647</v>
      </c>
      <c r="IL205" s="321">
        <v>42649</v>
      </c>
      <c r="IM205" s="321">
        <v>42685</v>
      </c>
      <c r="IN205" s="319">
        <v>3</v>
      </c>
      <c r="IO205" s="319" t="s">
        <v>173</v>
      </c>
      <c r="IP205" s="319" t="s">
        <v>173</v>
      </c>
      <c r="IQ205" s="321" t="s">
        <v>173</v>
      </c>
      <c r="IR205" s="320" t="s">
        <v>173</v>
      </c>
      <c r="IS205" s="322" t="s">
        <v>173</v>
      </c>
      <c r="IT205" s="319" t="s">
        <v>173</v>
      </c>
    </row>
    <row r="206" spans="1:254" s="271" customFormat="1" x14ac:dyDescent="0.25">
      <c r="A206" s="318" t="str">
        <f>HYPERLINK("http://www.ofsted.gov.uk/inspection-reports/find-inspection-report/provider/ELS/119845 ","Ofsted School Webpage")</f>
        <v>Ofsted School Webpage</v>
      </c>
      <c r="B206" s="319">
        <v>119845</v>
      </c>
      <c r="C206" s="319">
        <v>8886020</v>
      </c>
      <c r="D206" s="319" t="s">
        <v>1504</v>
      </c>
      <c r="E206" s="319" t="s">
        <v>168</v>
      </c>
      <c r="F206" s="319" t="s">
        <v>81</v>
      </c>
      <c r="G206" s="319" t="s">
        <v>81</v>
      </c>
      <c r="H206" s="319" t="s">
        <v>81</v>
      </c>
      <c r="I206" s="319" t="s">
        <v>78</v>
      </c>
      <c r="J206" s="319" t="s">
        <v>424</v>
      </c>
      <c r="K206" s="319" t="s">
        <v>431</v>
      </c>
      <c r="L206" s="319" t="s">
        <v>431</v>
      </c>
      <c r="M206" s="319" t="s">
        <v>469</v>
      </c>
      <c r="N206" s="319" t="s">
        <v>2991</v>
      </c>
      <c r="O206" s="319" t="s">
        <v>1505</v>
      </c>
      <c r="P206" s="319">
        <v>72</v>
      </c>
      <c r="Q206" s="319" t="s">
        <v>429</v>
      </c>
      <c r="R206" s="320">
        <v>10038838</v>
      </c>
      <c r="S206" s="321">
        <v>43018</v>
      </c>
      <c r="T206" s="321">
        <v>43020</v>
      </c>
      <c r="U206" s="321">
        <v>43068</v>
      </c>
      <c r="V206" s="319" t="s">
        <v>554</v>
      </c>
      <c r="W206" s="319" t="s">
        <v>2767</v>
      </c>
      <c r="X206" s="319">
        <v>1</v>
      </c>
      <c r="Y206" s="319" t="s">
        <v>173</v>
      </c>
      <c r="Z206" s="319" t="s">
        <v>173</v>
      </c>
      <c r="AA206" s="319" t="s">
        <v>173</v>
      </c>
      <c r="AB206" s="319">
        <v>1</v>
      </c>
      <c r="AC206" s="319" t="s">
        <v>169</v>
      </c>
      <c r="AD206" s="319" t="s">
        <v>173</v>
      </c>
      <c r="AE206" s="319">
        <v>1</v>
      </c>
      <c r="AF206" s="319" t="s">
        <v>427</v>
      </c>
      <c r="AG206" s="319" t="s">
        <v>171</v>
      </c>
      <c r="AH206" s="319" t="s">
        <v>190</v>
      </c>
      <c r="AI206" s="319" t="s">
        <v>190</v>
      </c>
      <c r="AJ206" s="319" t="s">
        <v>190</v>
      </c>
      <c r="AK206" s="319" t="s">
        <v>190</v>
      </c>
      <c r="AL206" s="319" t="s">
        <v>190</v>
      </c>
      <c r="AM206" s="319" t="s">
        <v>190</v>
      </c>
      <c r="AN206" s="319" t="s">
        <v>190</v>
      </c>
      <c r="AO206" s="319" t="s">
        <v>190</v>
      </c>
      <c r="AP206" s="319" t="s">
        <v>190</v>
      </c>
      <c r="AQ206" s="319" t="s">
        <v>190</v>
      </c>
      <c r="AR206" s="319" t="s">
        <v>190</v>
      </c>
      <c r="AS206" s="319" t="s">
        <v>190</v>
      </c>
      <c r="AT206" s="319" t="s">
        <v>190</v>
      </c>
      <c r="AU206" s="319" t="s">
        <v>190</v>
      </c>
      <c r="AV206" s="319" t="s">
        <v>190</v>
      </c>
      <c r="AW206" s="319" t="s">
        <v>190</v>
      </c>
      <c r="AX206" s="319" t="s">
        <v>190</v>
      </c>
      <c r="AY206" s="319" t="s">
        <v>190</v>
      </c>
      <c r="AZ206" s="319" t="s">
        <v>190</v>
      </c>
      <c r="BA206" s="319" t="s">
        <v>190</v>
      </c>
      <c r="BB206" s="319" t="s">
        <v>190</v>
      </c>
      <c r="BC206" s="319" t="s">
        <v>190</v>
      </c>
      <c r="BD206" s="319" t="s">
        <v>190</v>
      </c>
      <c r="BE206" s="319" t="s">
        <v>190</v>
      </c>
      <c r="BF206" s="319" t="s">
        <v>190</v>
      </c>
      <c r="BG206" s="319" t="s">
        <v>190</v>
      </c>
      <c r="BH206" s="319" t="s">
        <v>190</v>
      </c>
      <c r="BI206" s="319" t="s">
        <v>190</v>
      </c>
      <c r="BJ206" s="319" t="s">
        <v>190</v>
      </c>
      <c r="BK206" s="319" t="s">
        <v>190</v>
      </c>
      <c r="BL206" s="319" t="s">
        <v>190</v>
      </c>
      <c r="BM206" s="319" t="s">
        <v>190</v>
      </c>
      <c r="BN206" s="319" t="s">
        <v>190</v>
      </c>
      <c r="BO206" s="319" t="s">
        <v>190</v>
      </c>
      <c r="BP206" s="319" t="s">
        <v>190</v>
      </c>
      <c r="BQ206" s="319" t="s">
        <v>190</v>
      </c>
      <c r="BR206" s="319" t="s">
        <v>190</v>
      </c>
      <c r="BS206" s="319" t="s">
        <v>190</v>
      </c>
      <c r="BT206" s="319" t="s">
        <v>190</v>
      </c>
      <c r="BU206" s="319" t="s">
        <v>190</v>
      </c>
      <c r="BV206" s="319" t="s">
        <v>190</v>
      </c>
      <c r="BW206" s="319" t="s">
        <v>190</v>
      </c>
      <c r="BX206" s="319" t="s">
        <v>190</v>
      </c>
      <c r="BY206" s="319" t="s">
        <v>190</v>
      </c>
      <c r="BZ206" s="319" t="s">
        <v>190</v>
      </c>
      <c r="CA206" s="319" t="s">
        <v>190</v>
      </c>
      <c r="CB206" s="319" t="s">
        <v>190</v>
      </c>
      <c r="CC206" s="319" t="s">
        <v>190</v>
      </c>
      <c r="CD206" s="319" t="s">
        <v>190</v>
      </c>
      <c r="CE206" s="319" t="s">
        <v>190</v>
      </c>
      <c r="CF206" s="319" t="s">
        <v>190</v>
      </c>
      <c r="CG206" s="319" t="s">
        <v>190</v>
      </c>
      <c r="CH206" s="319" t="s">
        <v>190</v>
      </c>
      <c r="CI206" s="319" t="s">
        <v>190</v>
      </c>
      <c r="CJ206" s="319" t="s">
        <v>190</v>
      </c>
      <c r="CK206" s="319" t="s">
        <v>190</v>
      </c>
      <c r="CL206" s="319" t="s">
        <v>190</v>
      </c>
      <c r="CM206" s="319" t="s">
        <v>190</v>
      </c>
      <c r="CN206" s="319" t="s">
        <v>190</v>
      </c>
      <c r="CO206" s="319" t="s">
        <v>190</v>
      </c>
      <c r="CP206" s="319" t="s">
        <v>190</v>
      </c>
      <c r="CQ206" s="319" t="s">
        <v>190</v>
      </c>
      <c r="CR206" s="319" t="s">
        <v>190</v>
      </c>
      <c r="CS206" s="319" t="s">
        <v>190</v>
      </c>
      <c r="CT206" s="319" t="s">
        <v>190</v>
      </c>
      <c r="CU206" s="319" t="s">
        <v>190</v>
      </c>
      <c r="CV206" s="319" t="s">
        <v>190</v>
      </c>
      <c r="CW206" s="319" t="s">
        <v>190</v>
      </c>
      <c r="CX206" s="319" t="s">
        <v>190</v>
      </c>
      <c r="CY206" s="319" t="s">
        <v>190</v>
      </c>
      <c r="CZ206" s="319" t="s">
        <v>190</v>
      </c>
      <c r="DA206" s="319" t="s">
        <v>190</v>
      </c>
      <c r="DB206" s="319" t="s">
        <v>190</v>
      </c>
      <c r="DC206" s="319" t="s">
        <v>190</v>
      </c>
      <c r="DD206" s="319" t="s">
        <v>190</v>
      </c>
      <c r="DE206" s="319" t="s">
        <v>190</v>
      </c>
      <c r="DF206" s="319" t="s">
        <v>190</v>
      </c>
      <c r="DG206" s="319" t="s">
        <v>190</v>
      </c>
      <c r="DH206" s="319" t="s">
        <v>190</v>
      </c>
      <c r="DI206" s="319" t="s">
        <v>190</v>
      </c>
      <c r="DJ206" s="319" t="s">
        <v>190</v>
      </c>
      <c r="DK206" s="319" t="s">
        <v>190</v>
      </c>
      <c r="DL206" s="319" t="s">
        <v>190</v>
      </c>
      <c r="DM206" s="319" t="s">
        <v>190</v>
      </c>
      <c r="DN206" s="319" t="s">
        <v>190</v>
      </c>
      <c r="DO206" s="319" t="s">
        <v>190</v>
      </c>
      <c r="DP206" s="319" t="s">
        <v>190</v>
      </c>
      <c r="DQ206" s="319" t="s">
        <v>190</v>
      </c>
      <c r="DR206" s="319" t="s">
        <v>190</v>
      </c>
      <c r="DS206" s="319" t="s">
        <v>190</v>
      </c>
      <c r="DT206" s="319" t="s">
        <v>190</v>
      </c>
      <c r="DU206" s="319" t="s">
        <v>190</v>
      </c>
      <c r="DV206" s="319" t="s">
        <v>173</v>
      </c>
      <c r="DW206" s="319" t="s">
        <v>190</v>
      </c>
      <c r="DX206" s="319" t="s">
        <v>190</v>
      </c>
      <c r="DY206" s="319" t="s">
        <v>190</v>
      </c>
      <c r="DZ206" s="319" t="s">
        <v>190</v>
      </c>
      <c r="EA206" s="319" t="s">
        <v>190</v>
      </c>
      <c r="EB206" s="319" t="s">
        <v>190</v>
      </c>
      <c r="EC206" s="319" t="s">
        <v>190</v>
      </c>
      <c r="ED206" s="319" t="s">
        <v>190</v>
      </c>
      <c r="EE206" s="319" t="s">
        <v>190</v>
      </c>
      <c r="EF206" s="319" t="s">
        <v>190</v>
      </c>
      <c r="EG206" s="319" t="s">
        <v>190</v>
      </c>
      <c r="EH206" s="319" t="s">
        <v>190</v>
      </c>
      <c r="EI206" s="319" t="s">
        <v>190</v>
      </c>
      <c r="EJ206" s="319" t="s">
        <v>190</v>
      </c>
      <c r="EK206" s="319" t="s">
        <v>190</v>
      </c>
      <c r="EL206" s="319" t="s">
        <v>190</v>
      </c>
      <c r="EM206" s="319" t="s">
        <v>190</v>
      </c>
      <c r="EN206" s="319" t="s">
        <v>190</v>
      </c>
      <c r="EO206" s="319" t="s">
        <v>190</v>
      </c>
      <c r="EP206" s="319" t="s">
        <v>190</v>
      </c>
      <c r="EQ206" s="319" t="s">
        <v>190</v>
      </c>
      <c r="ER206" s="319" t="s">
        <v>190</v>
      </c>
      <c r="ES206" s="319" t="s">
        <v>190</v>
      </c>
      <c r="ET206" s="319" t="s">
        <v>190</v>
      </c>
      <c r="EU206" s="319" t="s">
        <v>190</v>
      </c>
      <c r="EV206" s="319" t="s">
        <v>190</v>
      </c>
      <c r="EW206" s="319" t="s">
        <v>190</v>
      </c>
      <c r="EX206" s="319" t="s">
        <v>190</v>
      </c>
      <c r="EY206" s="319" t="s">
        <v>190</v>
      </c>
      <c r="EZ206" s="319" t="s">
        <v>190</v>
      </c>
      <c r="FA206" s="319" t="s">
        <v>190</v>
      </c>
      <c r="FB206" s="319" t="s">
        <v>190</v>
      </c>
      <c r="FC206" s="319" t="s">
        <v>190</v>
      </c>
      <c r="FD206" s="319" t="s">
        <v>190</v>
      </c>
      <c r="FE206" s="319" t="s">
        <v>190</v>
      </c>
      <c r="FF206" s="319" t="s">
        <v>190</v>
      </c>
      <c r="FG206" s="319" t="s">
        <v>190</v>
      </c>
      <c r="FH206" s="319" t="s">
        <v>190</v>
      </c>
      <c r="FI206" s="319" t="s">
        <v>190</v>
      </c>
      <c r="FJ206" s="319" t="s">
        <v>190</v>
      </c>
      <c r="FK206" s="319" t="s">
        <v>190</v>
      </c>
      <c r="FL206" s="319" t="s">
        <v>190</v>
      </c>
      <c r="FM206" s="319" t="s">
        <v>190</v>
      </c>
      <c r="FN206" s="319" t="s">
        <v>190</v>
      </c>
      <c r="FO206" s="319" t="s">
        <v>190</v>
      </c>
      <c r="FP206" s="319" t="s">
        <v>190</v>
      </c>
      <c r="FQ206" s="319" t="s">
        <v>190</v>
      </c>
      <c r="FR206" s="319" t="s">
        <v>190</v>
      </c>
      <c r="FS206" s="319" t="s">
        <v>190</v>
      </c>
      <c r="FT206" s="319" t="s">
        <v>190</v>
      </c>
      <c r="FU206" s="319" t="s">
        <v>190</v>
      </c>
      <c r="FV206" s="319" t="s">
        <v>190</v>
      </c>
      <c r="FW206" s="319" t="s">
        <v>190</v>
      </c>
      <c r="FX206" s="319" t="s">
        <v>190</v>
      </c>
      <c r="FY206" s="319" t="s">
        <v>190</v>
      </c>
      <c r="FZ206" s="319" t="s">
        <v>190</v>
      </c>
      <c r="GA206" s="319" t="s">
        <v>190</v>
      </c>
      <c r="GB206" s="319" t="s">
        <v>190</v>
      </c>
      <c r="GC206" s="319" t="s">
        <v>190</v>
      </c>
      <c r="GD206" s="319" t="s">
        <v>190</v>
      </c>
      <c r="GE206" s="319" t="s">
        <v>190</v>
      </c>
      <c r="GF206" s="319" t="s">
        <v>190</v>
      </c>
      <c r="GG206" s="319" t="s">
        <v>190</v>
      </c>
      <c r="GH206" s="319" t="s">
        <v>190</v>
      </c>
      <c r="GI206" s="319" t="s">
        <v>190</v>
      </c>
      <c r="GJ206" s="319" t="s">
        <v>190</v>
      </c>
      <c r="GK206" s="319" t="s">
        <v>190</v>
      </c>
      <c r="GL206" s="319" t="s">
        <v>190</v>
      </c>
      <c r="GM206" s="319" t="s">
        <v>190</v>
      </c>
      <c r="GN206" s="319" t="s">
        <v>190</v>
      </c>
      <c r="GO206" s="319" t="s">
        <v>190</v>
      </c>
      <c r="GP206" s="319" t="s">
        <v>190</v>
      </c>
      <c r="GQ206" s="319" t="s">
        <v>190</v>
      </c>
      <c r="GR206" s="319" t="s">
        <v>190</v>
      </c>
      <c r="GS206" s="319" t="s">
        <v>190</v>
      </c>
      <c r="GT206" s="319" t="s">
        <v>190</v>
      </c>
      <c r="GU206" s="319" t="s">
        <v>190</v>
      </c>
      <c r="GV206" s="319" t="s">
        <v>190</v>
      </c>
      <c r="GW206" s="319" t="s">
        <v>190</v>
      </c>
      <c r="GX206" s="319" t="s">
        <v>190</v>
      </c>
      <c r="GY206" s="319" t="s">
        <v>190</v>
      </c>
      <c r="GZ206" s="319" t="s">
        <v>190</v>
      </c>
      <c r="HA206" s="319" t="s">
        <v>190</v>
      </c>
      <c r="HB206" s="319" t="s">
        <v>190</v>
      </c>
      <c r="HC206" s="319" t="s">
        <v>190</v>
      </c>
      <c r="HD206" s="319" t="s">
        <v>190</v>
      </c>
      <c r="HE206" s="319" t="s">
        <v>190</v>
      </c>
      <c r="HF206" s="319" t="s">
        <v>190</v>
      </c>
      <c r="HG206" s="319" t="s">
        <v>190</v>
      </c>
      <c r="HH206" s="319" t="s">
        <v>190</v>
      </c>
      <c r="HI206" s="319" t="s">
        <v>190</v>
      </c>
      <c r="HJ206" s="319" t="s">
        <v>190</v>
      </c>
      <c r="HK206" s="319" t="s">
        <v>190</v>
      </c>
      <c r="HL206" s="319" t="s">
        <v>190</v>
      </c>
      <c r="HM206" s="319" t="s">
        <v>190</v>
      </c>
      <c r="HN206" s="319" t="s">
        <v>190</v>
      </c>
      <c r="HO206" s="319" t="s">
        <v>190</v>
      </c>
      <c r="HP206" s="319" t="s">
        <v>190</v>
      </c>
      <c r="HQ206" s="319" t="s">
        <v>190</v>
      </c>
      <c r="HR206" s="319" t="s">
        <v>190</v>
      </c>
      <c r="HS206" s="319" t="s">
        <v>190</v>
      </c>
      <c r="HT206" s="319" t="s">
        <v>190</v>
      </c>
      <c r="HU206" s="319" t="s">
        <v>190</v>
      </c>
      <c r="HV206" s="319" t="s">
        <v>190</v>
      </c>
      <c r="HW206" s="319" t="s">
        <v>190</v>
      </c>
      <c r="HX206" s="319" t="s">
        <v>190</v>
      </c>
      <c r="HY206" s="319" t="s">
        <v>190</v>
      </c>
      <c r="HZ206" s="319" t="s">
        <v>190</v>
      </c>
      <c r="IA206" s="319" t="s">
        <v>190</v>
      </c>
      <c r="IB206" s="319" t="s">
        <v>190</v>
      </c>
      <c r="IC206" s="319" t="s">
        <v>190</v>
      </c>
      <c r="ID206" s="319" t="s">
        <v>190</v>
      </c>
      <c r="IE206" s="319" t="s">
        <v>190</v>
      </c>
      <c r="IF206" s="319" t="s">
        <v>190</v>
      </c>
      <c r="IG206" s="319" t="s">
        <v>190</v>
      </c>
      <c r="IH206" s="319" t="s">
        <v>190</v>
      </c>
      <c r="II206" s="319" t="s">
        <v>190</v>
      </c>
      <c r="IJ206" s="319" t="s">
        <v>2992</v>
      </c>
      <c r="IK206" s="321">
        <v>41912</v>
      </c>
      <c r="IL206" s="321">
        <v>41914</v>
      </c>
      <c r="IM206" s="321">
        <v>41963</v>
      </c>
      <c r="IN206" s="319">
        <v>2</v>
      </c>
      <c r="IO206" s="319" t="s">
        <v>173</v>
      </c>
      <c r="IP206" s="319" t="s">
        <v>173</v>
      </c>
      <c r="IQ206" s="319" t="s">
        <v>173</v>
      </c>
      <c r="IR206" s="320" t="s">
        <v>173</v>
      </c>
      <c r="IS206" s="320" t="s">
        <v>173</v>
      </c>
      <c r="IT206" s="319" t="s">
        <v>173</v>
      </c>
    </row>
    <row r="207" spans="1:254" s="271" customFormat="1" x14ac:dyDescent="0.25">
      <c r="A207" s="318" t="str">
        <f>HYPERLINK("http://www.ofsted.gov.uk/inspection-reports/find-inspection-report/provider/ELS/119848 ","Ofsted School Webpage")</f>
        <v>Ofsted School Webpage</v>
      </c>
      <c r="B207" s="319">
        <v>119848</v>
      </c>
      <c r="C207" s="319">
        <v>8896003</v>
      </c>
      <c r="D207" s="319" t="s">
        <v>1110</v>
      </c>
      <c r="E207" s="319" t="s">
        <v>167</v>
      </c>
      <c r="F207" s="319" t="s">
        <v>81</v>
      </c>
      <c r="G207" s="319" t="s">
        <v>72</v>
      </c>
      <c r="H207" s="319" t="s">
        <v>72</v>
      </c>
      <c r="I207" s="319" t="s">
        <v>72</v>
      </c>
      <c r="J207" s="319" t="s">
        <v>424</v>
      </c>
      <c r="K207" s="319" t="s">
        <v>431</v>
      </c>
      <c r="L207" s="319" t="s">
        <v>431</v>
      </c>
      <c r="M207" s="319" t="s">
        <v>541</v>
      </c>
      <c r="N207" s="319" t="s">
        <v>2993</v>
      </c>
      <c r="O207" s="319" t="s">
        <v>1111</v>
      </c>
      <c r="P207" s="319">
        <v>128</v>
      </c>
      <c r="Q207" s="319" t="s">
        <v>2766</v>
      </c>
      <c r="R207" s="320">
        <v>10067884</v>
      </c>
      <c r="S207" s="321">
        <v>43536</v>
      </c>
      <c r="T207" s="321">
        <v>43538</v>
      </c>
      <c r="U207" s="321">
        <v>43564</v>
      </c>
      <c r="V207" s="319" t="s">
        <v>425</v>
      </c>
      <c r="W207" s="319" t="s">
        <v>2767</v>
      </c>
      <c r="X207" s="319">
        <v>2</v>
      </c>
      <c r="Y207" s="319" t="s">
        <v>173</v>
      </c>
      <c r="Z207" s="319" t="s">
        <v>173</v>
      </c>
      <c r="AA207" s="319" t="s">
        <v>173</v>
      </c>
      <c r="AB207" s="319">
        <v>2</v>
      </c>
      <c r="AC207" s="319" t="s">
        <v>169</v>
      </c>
      <c r="AD207" s="319">
        <v>2</v>
      </c>
      <c r="AE207" s="319" t="s">
        <v>173</v>
      </c>
      <c r="AF207" s="319" t="s">
        <v>427</v>
      </c>
      <c r="AG207" s="319" t="s">
        <v>171</v>
      </c>
      <c r="AH207" s="319" t="s">
        <v>190</v>
      </c>
      <c r="AI207" s="319" t="s">
        <v>190</v>
      </c>
      <c r="AJ207" s="319" t="s">
        <v>190</v>
      </c>
      <c r="AK207" s="319" t="s">
        <v>190</v>
      </c>
      <c r="AL207" s="319" t="s">
        <v>190</v>
      </c>
      <c r="AM207" s="319" t="s">
        <v>190</v>
      </c>
      <c r="AN207" s="319" t="s">
        <v>190</v>
      </c>
      <c r="AO207" s="319" t="s">
        <v>190</v>
      </c>
      <c r="AP207" s="319" t="s">
        <v>190</v>
      </c>
      <c r="AQ207" s="319" t="s">
        <v>190</v>
      </c>
      <c r="AR207" s="319" t="s">
        <v>190</v>
      </c>
      <c r="AS207" s="319" t="s">
        <v>190</v>
      </c>
      <c r="AT207" s="319" t="s">
        <v>190</v>
      </c>
      <c r="AU207" s="319" t="s">
        <v>190</v>
      </c>
      <c r="AV207" s="319" t="s">
        <v>190</v>
      </c>
      <c r="AW207" s="319" t="s">
        <v>190</v>
      </c>
      <c r="AX207" s="319" t="s">
        <v>428</v>
      </c>
      <c r="AY207" s="319" t="s">
        <v>190</v>
      </c>
      <c r="AZ207" s="319" t="s">
        <v>190</v>
      </c>
      <c r="BA207" s="319" t="s">
        <v>190</v>
      </c>
      <c r="BB207" s="319" t="s">
        <v>428</v>
      </c>
      <c r="BC207" s="319" t="s">
        <v>428</v>
      </c>
      <c r="BD207" s="319" t="s">
        <v>428</v>
      </c>
      <c r="BE207" s="319" t="s">
        <v>428</v>
      </c>
      <c r="BF207" s="319" t="s">
        <v>190</v>
      </c>
      <c r="BG207" s="319" t="s">
        <v>190</v>
      </c>
      <c r="BH207" s="319" t="s">
        <v>190</v>
      </c>
      <c r="BI207" s="319" t="s">
        <v>190</v>
      </c>
      <c r="BJ207" s="319" t="s">
        <v>190</v>
      </c>
      <c r="BK207" s="319" t="s">
        <v>190</v>
      </c>
      <c r="BL207" s="319" t="s">
        <v>190</v>
      </c>
      <c r="BM207" s="319" t="s">
        <v>190</v>
      </c>
      <c r="BN207" s="319" t="s">
        <v>190</v>
      </c>
      <c r="BO207" s="319" t="s">
        <v>190</v>
      </c>
      <c r="BP207" s="319" t="s">
        <v>190</v>
      </c>
      <c r="BQ207" s="319" t="s">
        <v>190</v>
      </c>
      <c r="BR207" s="319" t="s">
        <v>190</v>
      </c>
      <c r="BS207" s="319" t="s">
        <v>190</v>
      </c>
      <c r="BT207" s="319" t="s">
        <v>190</v>
      </c>
      <c r="BU207" s="319" t="s">
        <v>190</v>
      </c>
      <c r="BV207" s="319" t="s">
        <v>190</v>
      </c>
      <c r="BW207" s="319" t="s">
        <v>190</v>
      </c>
      <c r="BX207" s="319" t="s">
        <v>190</v>
      </c>
      <c r="BY207" s="319" t="s">
        <v>190</v>
      </c>
      <c r="BZ207" s="319" t="s">
        <v>190</v>
      </c>
      <c r="CA207" s="319" t="s">
        <v>190</v>
      </c>
      <c r="CB207" s="319" t="s">
        <v>190</v>
      </c>
      <c r="CC207" s="319" t="s">
        <v>190</v>
      </c>
      <c r="CD207" s="319" t="s">
        <v>190</v>
      </c>
      <c r="CE207" s="319" t="s">
        <v>190</v>
      </c>
      <c r="CF207" s="319" t="s">
        <v>190</v>
      </c>
      <c r="CG207" s="319" t="s">
        <v>190</v>
      </c>
      <c r="CH207" s="319" t="s">
        <v>190</v>
      </c>
      <c r="CI207" s="319" t="s">
        <v>190</v>
      </c>
      <c r="CJ207" s="319" t="s">
        <v>190</v>
      </c>
      <c r="CK207" s="319" t="s">
        <v>190</v>
      </c>
      <c r="CL207" s="319" t="s">
        <v>190</v>
      </c>
      <c r="CM207" s="319" t="s">
        <v>190</v>
      </c>
      <c r="CN207" s="319" t="s">
        <v>428</v>
      </c>
      <c r="CO207" s="319" t="s">
        <v>428</v>
      </c>
      <c r="CP207" s="319" t="s">
        <v>428</v>
      </c>
      <c r="CQ207" s="319" t="s">
        <v>190</v>
      </c>
      <c r="CR207" s="319" t="s">
        <v>190</v>
      </c>
      <c r="CS207" s="319" t="s">
        <v>190</v>
      </c>
      <c r="CT207" s="319" t="s">
        <v>190</v>
      </c>
      <c r="CU207" s="319" t="s">
        <v>190</v>
      </c>
      <c r="CV207" s="319" t="s">
        <v>190</v>
      </c>
      <c r="CW207" s="319" t="s">
        <v>190</v>
      </c>
      <c r="CX207" s="319" t="s">
        <v>190</v>
      </c>
      <c r="CY207" s="319" t="s">
        <v>190</v>
      </c>
      <c r="CZ207" s="319" t="s">
        <v>190</v>
      </c>
      <c r="DA207" s="319" t="s">
        <v>190</v>
      </c>
      <c r="DB207" s="319" t="s">
        <v>190</v>
      </c>
      <c r="DC207" s="319" t="s">
        <v>190</v>
      </c>
      <c r="DD207" s="319" t="s">
        <v>190</v>
      </c>
      <c r="DE207" s="319" t="s">
        <v>190</v>
      </c>
      <c r="DF207" s="319" t="s">
        <v>190</v>
      </c>
      <c r="DG207" s="319" t="s">
        <v>190</v>
      </c>
      <c r="DH207" s="319" t="s">
        <v>190</v>
      </c>
      <c r="DI207" s="319" t="s">
        <v>190</v>
      </c>
      <c r="DJ207" s="319" t="s">
        <v>190</v>
      </c>
      <c r="DK207" s="319" t="s">
        <v>190</v>
      </c>
      <c r="DL207" s="319" t="s">
        <v>190</v>
      </c>
      <c r="DM207" s="319" t="s">
        <v>190</v>
      </c>
      <c r="DN207" s="319" t="s">
        <v>190</v>
      </c>
      <c r="DO207" s="319" t="s">
        <v>190</v>
      </c>
      <c r="DP207" s="319" t="s">
        <v>190</v>
      </c>
      <c r="DQ207" s="319" t="s">
        <v>428</v>
      </c>
      <c r="DR207" s="319" t="s">
        <v>428</v>
      </c>
      <c r="DS207" s="319" t="s">
        <v>428</v>
      </c>
      <c r="DT207" s="319" t="s">
        <v>428</v>
      </c>
      <c r="DU207" s="319" t="s">
        <v>428</v>
      </c>
      <c r="DV207" s="319" t="s">
        <v>173</v>
      </c>
      <c r="DW207" s="319" t="s">
        <v>428</v>
      </c>
      <c r="DX207" s="319" t="s">
        <v>428</v>
      </c>
      <c r="DY207" s="319" t="s">
        <v>428</v>
      </c>
      <c r="DZ207" s="319" t="s">
        <v>428</v>
      </c>
      <c r="EA207" s="319" t="s">
        <v>428</v>
      </c>
      <c r="EB207" s="319" t="s">
        <v>428</v>
      </c>
      <c r="EC207" s="319" t="s">
        <v>428</v>
      </c>
      <c r="ED207" s="319" t="s">
        <v>428</v>
      </c>
      <c r="EE207" s="319" t="s">
        <v>190</v>
      </c>
      <c r="EF207" s="319" t="s">
        <v>190</v>
      </c>
      <c r="EG207" s="319" t="s">
        <v>190</v>
      </c>
      <c r="EH207" s="319" t="s">
        <v>190</v>
      </c>
      <c r="EI207" s="319" t="s">
        <v>190</v>
      </c>
      <c r="EJ207" s="319" t="s">
        <v>190</v>
      </c>
      <c r="EK207" s="319" t="s">
        <v>190</v>
      </c>
      <c r="EL207" s="319" t="s">
        <v>190</v>
      </c>
      <c r="EM207" s="319" t="s">
        <v>190</v>
      </c>
      <c r="EN207" s="319" t="s">
        <v>190</v>
      </c>
      <c r="EO207" s="319" t="s">
        <v>190</v>
      </c>
      <c r="EP207" s="319" t="s">
        <v>190</v>
      </c>
      <c r="EQ207" s="319" t="s">
        <v>190</v>
      </c>
      <c r="ER207" s="319" t="s">
        <v>190</v>
      </c>
      <c r="ES207" s="319" t="s">
        <v>190</v>
      </c>
      <c r="ET207" s="319" t="s">
        <v>190</v>
      </c>
      <c r="EU207" s="319" t="s">
        <v>190</v>
      </c>
      <c r="EV207" s="319" t="s">
        <v>190</v>
      </c>
      <c r="EW207" s="319" t="s">
        <v>190</v>
      </c>
      <c r="EX207" s="319" t="s">
        <v>190</v>
      </c>
      <c r="EY207" s="319" t="s">
        <v>190</v>
      </c>
      <c r="EZ207" s="319" t="s">
        <v>190</v>
      </c>
      <c r="FA207" s="319" t="s">
        <v>190</v>
      </c>
      <c r="FB207" s="319" t="s">
        <v>428</v>
      </c>
      <c r="FC207" s="319" t="s">
        <v>428</v>
      </c>
      <c r="FD207" s="319" t="s">
        <v>428</v>
      </c>
      <c r="FE207" s="319" t="s">
        <v>428</v>
      </c>
      <c r="FF207" s="319" t="s">
        <v>428</v>
      </c>
      <c r="FG207" s="319" t="s">
        <v>428</v>
      </c>
      <c r="FH207" s="319" t="s">
        <v>428</v>
      </c>
      <c r="FI207" s="319" t="s">
        <v>428</v>
      </c>
      <c r="FJ207" s="319" t="s">
        <v>429</v>
      </c>
      <c r="FK207" s="319" t="s">
        <v>428</v>
      </c>
      <c r="FL207" s="319" t="s">
        <v>190</v>
      </c>
      <c r="FM207" s="319" t="s">
        <v>190</v>
      </c>
      <c r="FN207" s="319" t="s">
        <v>190</v>
      </c>
      <c r="FO207" s="319" t="s">
        <v>428</v>
      </c>
      <c r="FP207" s="319" t="s">
        <v>190</v>
      </c>
      <c r="FQ207" s="319" t="s">
        <v>190</v>
      </c>
      <c r="FR207" s="319" t="s">
        <v>190</v>
      </c>
      <c r="FS207" s="319" t="s">
        <v>190</v>
      </c>
      <c r="FT207" s="319" t="s">
        <v>190</v>
      </c>
      <c r="FU207" s="319" t="s">
        <v>190</v>
      </c>
      <c r="FV207" s="319" t="s">
        <v>190</v>
      </c>
      <c r="FW207" s="319" t="s">
        <v>190</v>
      </c>
      <c r="FX207" s="319" t="s">
        <v>190</v>
      </c>
      <c r="FY207" s="319" t="s">
        <v>190</v>
      </c>
      <c r="FZ207" s="319" t="s">
        <v>190</v>
      </c>
      <c r="GA207" s="319" t="s">
        <v>190</v>
      </c>
      <c r="GB207" s="319" t="s">
        <v>190</v>
      </c>
      <c r="GC207" s="319" t="s">
        <v>190</v>
      </c>
      <c r="GD207" s="319" t="s">
        <v>190</v>
      </c>
      <c r="GE207" s="319" t="s">
        <v>190</v>
      </c>
      <c r="GF207" s="319" t="s">
        <v>190</v>
      </c>
      <c r="GG207" s="319" t="s">
        <v>190</v>
      </c>
      <c r="GH207" s="319" t="s">
        <v>190</v>
      </c>
      <c r="GI207" s="319" t="s">
        <v>190</v>
      </c>
      <c r="GJ207" s="319" t="s">
        <v>190</v>
      </c>
      <c r="GK207" s="319" t="s">
        <v>428</v>
      </c>
      <c r="GL207" s="319" t="s">
        <v>190</v>
      </c>
      <c r="GM207" s="319" t="s">
        <v>190</v>
      </c>
      <c r="GN207" s="319" t="s">
        <v>190</v>
      </c>
      <c r="GO207" s="319" t="s">
        <v>190</v>
      </c>
      <c r="GP207" s="319" t="s">
        <v>190</v>
      </c>
      <c r="GQ207" s="319" t="s">
        <v>190</v>
      </c>
      <c r="GR207" s="319" t="s">
        <v>190</v>
      </c>
      <c r="GS207" s="319" t="s">
        <v>190</v>
      </c>
      <c r="GT207" s="319" t="s">
        <v>428</v>
      </c>
      <c r="GU207" s="319" t="s">
        <v>428</v>
      </c>
      <c r="GV207" s="319" t="s">
        <v>190</v>
      </c>
      <c r="GW207" s="319" t="s">
        <v>190</v>
      </c>
      <c r="GX207" s="319" t="s">
        <v>190</v>
      </c>
      <c r="GY207" s="319" t="s">
        <v>190</v>
      </c>
      <c r="GZ207" s="319" t="s">
        <v>190</v>
      </c>
      <c r="HA207" s="319" t="s">
        <v>190</v>
      </c>
      <c r="HB207" s="319" t="s">
        <v>190</v>
      </c>
      <c r="HC207" s="319" t="s">
        <v>190</v>
      </c>
      <c r="HD207" s="319" t="s">
        <v>190</v>
      </c>
      <c r="HE207" s="319" t="s">
        <v>190</v>
      </c>
      <c r="HF207" s="319" t="s">
        <v>190</v>
      </c>
      <c r="HG207" s="319" t="s">
        <v>190</v>
      </c>
      <c r="HH207" s="319" t="s">
        <v>190</v>
      </c>
      <c r="HI207" s="319" t="s">
        <v>190</v>
      </c>
      <c r="HJ207" s="319" t="s">
        <v>190</v>
      </c>
      <c r="HK207" s="319" t="s">
        <v>190</v>
      </c>
      <c r="HL207" s="319" t="s">
        <v>190</v>
      </c>
      <c r="HM207" s="319" t="s">
        <v>190</v>
      </c>
      <c r="HN207" s="319" t="s">
        <v>190</v>
      </c>
      <c r="HO207" s="319" t="s">
        <v>190</v>
      </c>
      <c r="HP207" s="319" t="s">
        <v>190</v>
      </c>
      <c r="HQ207" s="319" t="s">
        <v>190</v>
      </c>
      <c r="HR207" s="319" t="s">
        <v>190</v>
      </c>
      <c r="HS207" s="319" t="s">
        <v>190</v>
      </c>
      <c r="HT207" s="319" t="s">
        <v>190</v>
      </c>
      <c r="HU207" s="319" t="s">
        <v>190</v>
      </c>
      <c r="HV207" s="319" t="s">
        <v>190</v>
      </c>
      <c r="HW207" s="319" t="s">
        <v>190</v>
      </c>
      <c r="HX207" s="319" t="s">
        <v>190</v>
      </c>
      <c r="HY207" s="319" t="s">
        <v>190</v>
      </c>
      <c r="HZ207" s="319" t="s">
        <v>190</v>
      </c>
      <c r="IA207" s="319" t="s">
        <v>190</v>
      </c>
      <c r="IB207" s="319" t="s">
        <v>190</v>
      </c>
      <c r="IC207" s="319" t="s">
        <v>190</v>
      </c>
      <c r="ID207" s="319" t="s">
        <v>190</v>
      </c>
      <c r="IE207" s="319" t="s">
        <v>190</v>
      </c>
      <c r="IF207" s="319" t="s">
        <v>190</v>
      </c>
      <c r="IG207" s="319" t="s">
        <v>190</v>
      </c>
      <c r="IH207" s="319" t="s">
        <v>190</v>
      </c>
      <c r="II207" s="319" t="s">
        <v>190</v>
      </c>
      <c r="IJ207" s="319">
        <v>10026006</v>
      </c>
      <c r="IK207" s="321">
        <v>42815</v>
      </c>
      <c r="IL207" s="321">
        <v>42817</v>
      </c>
      <c r="IM207" s="321">
        <v>42859</v>
      </c>
      <c r="IN207" s="319">
        <v>3</v>
      </c>
      <c r="IO207" s="319" t="s">
        <v>173</v>
      </c>
      <c r="IP207" s="319" t="s">
        <v>173</v>
      </c>
      <c r="IQ207" s="321" t="s">
        <v>173</v>
      </c>
      <c r="IR207" s="320" t="s">
        <v>173</v>
      </c>
      <c r="IS207" s="322" t="s">
        <v>173</v>
      </c>
      <c r="IT207" s="319" t="s">
        <v>173</v>
      </c>
    </row>
    <row r="208" spans="1:254" s="271" customFormat="1" x14ac:dyDescent="0.25">
      <c r="A208" s="318" t="str">
        <f>HYPERLINK("http://www.ofsted.gov.uk/inspection-reports/find-inspection-report/provider/ELS/119849 ","Ofsted School Webpage")</f>
        <v>Ofsted School Webpage</v>
      </c>
      <c r="B208" s="319">
        <v>119849</v>
      </c>
      <c r="C208" s="319">
        <v>8886022</v>
      </c>
      <c r="D208" s="319" t="s">
        <v>1506</v>
      </c>
      <c r="E208" s="319" t="s">
        <v>168</v>
      </c>
      <c r="F208" s="319" t="s">
        <v>81</v>
      </c>
      <c r="G208" s="319" t="s">
        <v>81</v>
      </c>
      <c r="H208" s="319" t="s">
        <v>81</v>
      </c>
      <c r="I208" s="319" t="s">
        <v>78</v>
      </c>
      <c r="J208" s="319" t="s">
        <v>424</v>
      </c>
      <c r="K208" s="319" t="s">
        <v>431</v>
      </c>
      <c r="L208" s="319" t="s">
        <v>431</v>
      </c>
      <c r="M208" s="319" t="s">
        <v>469</v>
      </c>
      <c r="N208" s="319" t="s">
        <v>2994</v>
      </c>
      <c r="O208" s="319" t="s">
        <v>1507</v>
      </c>
      <c r="P208" s="319">
        <v>55</v>
      </c>
      <c r="Q208" s="319" t="s">
        <v>2776</v>
      </c>
      <c r="R208" s="320">
        <v>10038839</v>
      </c>
      <c r="S208" s="321">
        <v>43123</v>
      </c>
      <c r="T208" s="321">
        <v>43125</v>
      </c>
      <c r="U208" s="321">
        <v>43157</v>
      </c>
      <c r="V208" s="319" t="s">
        <v>425</v>
      </c>
      <c r="W208" s="319" t="s">
        <v>2767</v>
      </c>
      <c r="X208" s="319">
        <v>2</v>
      </c>
      <c r="Y208" s="319" t="s">
        <v>173</v>
      </c>
      <c r="Z208" s="319" t="s">
        <v>173</v>
      </c>
      <c r="AA208" s="319" t="s">
        <v>173</v>
      </c>
      <c r="AB208" s="319">
        <v>2</v>
      </c>
      <c r="AC208" s="319" t="s">
        <v>169</v>
      </c>
      <c r="AD208" s="319" t="s">
        <v>173</v>
      </c>
      <c r="AE208" s="319">
        <v>2</v>
      </c>
      <c r="AF208" s="319" t="s">
        <v>427</v>
      </c>
      <c r="AG208" s="319" t="s">
        <v>171</v>
      </c>
      <c r="AH208" s="319" t="s">
        <v>190</v>
      </c>
      <c r="AI208" s="319" t="s">
        <v>190</v>
      </c>
      <c r="AJ208" s="319" t="s">
        <v>190</v>
      </c>
      <c r="AK208" s="319" t="s">
        <v>190</v>
      </c>
      <c r="AL208" s="319" t="s">
        <v>190</v>
      </c>
      <c r="AM208" s="319" t="s">
        <v>190</v>
      </c>
      <c r="AN208" s="319" t="s">
        <v>190</v>
      </c>
      <c r="AO208" s="319" t="s">
        <v>190</v>
      </c>
      <c r="AP208" s="319" t="s">
        <v>190</v>
      </c>
      <c r="AQ208" s="319" t="s">
        <v>190</v>
      </c>
      <c r="AR208" s="319" t="s">
        <v>190</v>
      </c>
      <c r="AS208" s="319" t="s">
        <v>190</v>
      </c>
      <c r="AT208" s="319" t="s">
        <v>190</v>
      </c>
      <c r="AU208" s="319" t="s">
        <v>190</v>
      </c>
      <c r="AV208" s="319" t="s">
        <v>190</v>
      </c>
      <c r="AW208" s="319" t="s">
        <v>190</v>
      </c>
      <c r="AX208" s="319" t="s">
        <v>428</v>
      </c>
      <c r="AY208" s="319" t="s">
        <v>190</v>
      </c>
      <c r="AZ208" s="319" t="s">
        <v>190</v>
      </c>
      <c r="BA208" s="319" t="s">
        <v>190</v>
      </c>
      <c r="BB208" s="319" t="s">
        <v>190</v>
      </c>
      <c r="BC208" s="319" t="s">
        <v>190</v>
      </c>
      <c r="BD208" s="319" t="s">
        <v>190</v>
      </c>
      <c r="BE208" s="319" t="s">
        <v>190</v>
      </c>
      <c r="BF208" s="319" t="s">
        <v>190</v>
      </c>
      <c r="BG208" s="319" t="s">
        <v>190</v>
      </c>
      <c r="BH208" s="319" t="s">
        <v>190</v>
      </c>
      <c r="BI208" s="319" t="s">
        <v>190</v>
      </c>
      <c r="BJ208" s="319" t="s">
        <v>190</v>
      </c>
      <c r="BK208" s="319" t="s">
        <v>190</v>
      </c>
      <c r="BL208" s="319" t="s">
        <v>190</v>
      </c>
      <c r="BM208" s="319" t="s">
        <v>190</v>
      </c>
      <c r="BN208" s="319" t="s">
        <v>190</v>
      </c>
      <c r="BO208" s="319" t="s">
        <v>190</v>
      </c>
      <c r="BP208" s="319" t="s">
        <v>190</v>
      </c>
      <c r="BQ208" s="319" t="s">
        <v>190</v>
      </c>
      <c r="BR208" s="319" t="s">
        <v>190</v>
      </c>
      <c r="BS208" s="319" t="s">
        <v>190</v>
      </c>
      <c r="BT208" s="319" t="s">
        <v>190</v>
      </c>
      <c r="BU208" s="319" t="s">
        <v>190</v>
      </c>
      <c r="BV208" s="319" t="s">
        <v>190</v>
      </c>
      <c r="BW208" s="319" t="s">
        <v>190</v>
      </c>
      <c r="BX208" s="319" t="s">
        <v>190</v>
      </c>
      <c r="BY208" s="319" t="s">
        <v>190</v>
      </c>
      <c r="BZ208" s="319" t="s">
        <v>190</v>
      </c>
      <c r="CA208" s="319" t="s">
        <v>190</v>
      </c>
      <c r="CB208" s="319" t="s">
        <v>190</v>
      </c>
      <c r="CC208" s="319" t="s">
        <v>190</v>
      </c>
      <c r="CD208" s="319" t="s">
        <v>190</v>
      </c>
      <c r="CE208" s="319" t="s">
        <v>190</v>
      </c>
      <c r="CF208" s="319" t="s">
        <v>190</v>
      </c>
      <c r="CG208" s="319" t="s">
        <v>190</v>
      </c>
      <c r="CH208" s="319" t="s">
        <v>190</v>
      </c>
      <c r="CI208" s="319" t="s">
        <v>190</v>
      </c>
      <c r="CJ208" s="319" t="s">
        <v>190</v>
      </c>
      <c r="CK208" s="319" t="s">
        <v>190</v>
      </c>
      <c r="CL208" s="319" t="s">
        <v>190</v>
      </c>
      <c r="CM208" s="319" t="s">
        <v>190</v>
      </c>
      <c r="CN208" s="319" t="s">
        <v>428</v>
      </c>
      <c r="CO208" s="319" t="s">
        <v>428</v>
      </c>
      <c r="CP208" s="319" t="s">
        <v>428</v>
      </c>
      <c r="CQ208" s="319" t="s">
        <v>190</v>
      </c>
      <c r="CR208" s="319" t="s">
        <v>190</v>
      </c>
      <c r="CS208" s="319" t="s">
        <v>190</v>
      </c>
      <c r="CT208" s="319" t="s">
        <v>190</v>
      </c>
      <c r="CU208" s="319" t="s">
        <v>190</v>
      </c>
      <c r="CV208" s="319" t="s">
        <v>190</v>
      </c>
      <c r="CW208" s="319" t="s">
        <v>190</v>
      </c>
      <c r="CX208" s="319" t="s">
        <v>190</v>
      </c>
      <c r="CY208" s="319" t="s">
        <v>190</v>
      </c>
      <c r="CZ208" s="319" t="s">
        <v>190</v>
      </c>
      <c r="DA208" s="319" t="s">
        <v>190</v>
      </c>
      <c r="DB208" s="319" t="s">
        <v>190</v>
      </c>
      <c r="DC208" s="319" t="s">
        <v>190</v>
      </c>
      <c r="DD208" s="319" t="s">
        <v>190</v>
      </c>
      <c r="DE208" s="319" t="s">
        <v>190</v>
      </c>
      <c r="DF208" s="319" t="s">
        <v>190</v>
      </c>
      <c r="DG208" s="319" t="s">
        <v>190</v>
      </c>
      <c r="DH208" s="319" t="s">
        <v>190</v>
      </c>
      <c r="DI208" s="319" t="s">
        <v>190</v>
      </c>
      <c r="DJ208" s="319" t="s">
        <v>190</v>
      </c>
      <c r="DK208" s="319" t="s">
        <v>190</v>
      </c>
      <c r="DL208" s="319" t="s">
        <v>190</v>
      </c>
      <c r="DM208" s="319" t="s">
        <v>190</v>
      </c>
      <c r="DN208" s="319" t="s">
        <v>428</v>
      </c>
      <c r="DO208" s="319" t="s">
        <v>190</v>
      </c>
      <c r="DP208" s="319" t="s">
        <v>190</v>
      </c>
      <c r="DQ208" s="319" t="s">
        <v>190</v>
      </c>
      <c r="DR208" s="319" t="s">
        <v>190</v>
      </c>
      <c r="DS208" s="319" t="s">
        <v>190</v>
      </c>
      <c r="DT208" s="319" t="s">
        <v>190</v>
      </c>
      <c r="DU208" s="319" t="s">
        <v>190</v>
      </c>
      <c r="DV208" s="319" t="s">
        <v>173</v>
      </c>
      <c r="DW208" s="319" t="s">
        <v>190</v>
      </c>
      <c r="DX208" s="319" t="s">
        <v>190</v>
      </c>
      <c r="DY208" s="319" t="s">
        <v>190</v>
      </c>
      <c r="DZ208" s="319" t="s">
        <v>190</v>
      </c>
      <c r="EA208" s="319" t="s">
        <v>190</v>
      </c>
      <c r="EB208" s="319" t="s">
        <v>190</v>
      </c>
      <c r="EC208" s="319" t="s">
        <v>428</v>
      </c>
      <c r="ED208" s="319" t="s">
        <v>190</v>
      </c>
      <c r="EE208" s="319" t="s">
        <v>190</v>
      </c>
      <c r="EF208" s="319" t="s">
        <v>190</v>
      </c>
      <c r="EG208" s="319" t="s">
        <v>190</v>
      </c>
      <c r="EH208" s="319" t="s">
        <v>190</v>
      </c>
      <c r="EI208" s="319" t="s">
        <v>190</v>
      </c>
      <c r="EJ208" s="319" t="s">
        <v>190</v>
      </c>
      <c r="EK208" s="319" t="s">
        <v>190</v>
      </c>
      <c r="EL208" s="319" t="s">
        <v>190</v>
      </c>
      <c r="EM208" s="319" t="s">
        <v>190</v>
      </c>
      <c r="EN208" s="319" t="s">
        <v>190</v>
      </c>
      <c r="EO208" s="319" t="s">
        <v>190</v>
      </c>
      <c r="EP208" s="319" t="s">
        <v>190</v>
      </c>
      <c r="EQ208" s="319" t="s">
        <v>190</v>
      </c>
      <c r="ER208" s="319" t="s">
        <v>190</v>
      </c>
      <c r="ES208" s="319" t="s">
        <v>190</v>
      </c>
      <c r="ET208" s="319" t="s">
        <v>190</v>
      </c>
      <c r="EU208" s="319" t="s">
        <v>190</v>
      </c>
      <c r="EV208" s="319" t="s">
        <v>190</v>
      </c>
      <c r="EW208" s="319" t="s">
        <v>190</v>
      </c>
      <c r="EX208" s="319" t="s">
        <v>190</v>
      </c>
      <c r="EY208" s="319" t="s">
        <v>190</v>
      </c>
      <c r="EZ208" s="319" t="s">
        <v>190</v>
      </c>
      <c r="FA208" s="319" t="s">
        <v>190</v>
      </c>
      <c r="FB208" s="319" t="s">
        <v>190</v>
      </c>
      <c r="FC208" s="319" t="s">
        <v>190</v>
      </c>
      <c r="FD208" s="319" t="s">
        <v>190</v>
      </c>
      <c r="FE208" s="319" t="s">
        <v>190</v>
      </c>
      <c r="FF208" s="319" t="s">
        <v>190</v>
      </c>
      <c r="FG208" s="319" t="s">
        <v>190</v>
      </c>
      <c r="FH208" s="319" t="s">
        <v>190</v>
      </c>
      <c r="FI208" s="319" t="s">
        <v>190</v>
      </c>
      <c r="FJ208" s="319" t="s">
        <v>190</v>
      </c>
      <c r="FK208" s="319" t="s">
        <v>190</v>
      </c>
      <c r="FL208" s="319" t="s">
        <v>190</v>
      </c>
      <c r="FM208" s="319" t="s">
        <v>190</v>
      </c>
      <c r="FN208" s="319" t="s">
        <v>190</v>
      </c>
      <c r="FO208" s="319" t="s">
        <v>190</v>
      </c>
      <c r="FP208" s="319" t="s">
        <v>190</v>
      </c>
      <c r="FQ208" s="319" t="s">
        <v>190</v>
      </c>
      <c r="FR208" s="319" t="s">
        <v>190</v>
      </c>
      <c r="FS208" s="319" t="s">
        <v>428</v>
      </c>
      <c r="FT208" s="319" t="s">
        <v>190</v>
      </c>
      <c r="FU208" s="319" t="s">
        <v>190</v>
      </c>
      <c r="FV208" s="319" t="s">
        <v>190</v>
      </c>
      <c r="FW208" s="319" t="s">
        <v>190</v>
      </c>
      <c r="FX208" s="319" t="s">
        <v>190</v>
      </c>
      <c r="FY208" s="319" t="s">
        <v>190</v>
      </c>
      <c r="FZ208" s="319" t="s">
        <v>190</v>
      </c>
      <c r="GA208" s="319" t="s">
        <v>190</v>
      </c>
      <c r="GB208" s="319" t="s">
        <v>190</v>
      </c>
      <c r="GC208" s="319" t="s">
        <v>190</v>
      </c>
      <c r="GD208" s="319" t="s">
        <v>190</v>
      </c>
      <c r="GE208" s="319" t="s">
        <v>190</v>
      </c>
      <c r="GF208" s="319" t="s">
        <v>190</v>
      </c>
      <c r="GG208" s="319" t="s">
        <v>190</v>
      </c>
      <c r="GH208" s="319" t="s">
        <v>190</v>
      </c>
      <c r="GI208" s="319" t="s">
        <v>190</v>
      </c>
      <c r="GJ208" s="319" t="s">
        <v>190</v>
      </c>
      <c r="GK208" s="319" t="s">
        <v>428</v>
      </c>
      <c r="GL208" s="319" t="s">
        <v>190</v>
      </c>
      <c r="GM208" s="319" t="s">
        <v>190</v>
      </c>
      <c r="GN208" s="319" t="s">
        <v>190</v>
      </c>
      <c r="GO208" s="319" t="s">
        <v>190</v>
      </c>
      <c r="GP208" s="319" t="s">
        <v>190</v>
      </c>
      <c r="GQ208" s="319" t="s">
        <v>190</v>
      </c>
      <c r="GR208" s="319" t="s">
        <v>190</v>
      </c>
      <c r="GS208" s="319" t="s">
        <v>190</v>
      </c>
      <c r="GT208" s="319" t="s">
        <v>190</v>
      </c>
      <c r="GU208" s="319" t="s">
        <v>190</v>
      </c>
      <c r="GV208" s="319" t="s">
        <v>190</v>
      </c>
      <c r="GW208" s="319" t="s">
        <v>190</v>
      </c>
      <c r="GX208" s="319" t="s">
        <v>190</v>
      </c>
      <c r="GY208" s="319" t="s">
        <v>190</v>
      </c>
      <c r="GZ208" s="319" t="s">
        <v>190</v>
      </c>
      <c r="HA208" s="319" t="s">
        <v>190</v>
      </c>
      <c r="HB208" s="319" t="s">
        <v>190</v>
      </c>
      <c r="HC208" s="319" t="s">
        <v>190</v>
      </c>
      <c r="HD208" s="319" t="s">
        <v>190</v>
      </c>
      <c r="HE208" s="319" t="s">
        <v>190</v>
      </c>
      <c r="HF208" s="319" t="s">
        <v>190</v>
      </c>
      <c r="HG208" s="319" t="s">
        <v>190</v>
      </c>
      <c r="HH208" s="319" t="s">
        <v>190</v>
      </c>
      <c r="HI208" s="319" t="s">
        <v>190</v>
      </c>
      <c r="HJ208" s="319" t="s">
        <v>190</v>
      </c>
      <c r="HK208" s="319" t="s">
        <v>190</v>
      </c>
      <c r="HL208" s="319" t="s">
        <v>190</v>
      </c>
      <c r="HM208" s="319" t="s">
        <v>190</v>
      </c>
      <c r="HN208" s="319" t="s">
        <v>190</v>
      </c>
      <c r="HO208" s="319" t="s">
        <v>190</v>
      </c>
      <c r="HP208" s="319" t="s">
        <v>190</v>
      </c>
      <c r="HQ208" s="319" t="s">
        <v>190</v>
      </c>
      <c r="HR208" s="319" t="s">
        <v>190</v>
      </c>
      <c r="HS208" s="319" t="s">
        <v>190</v>
      </c>
      <c r="HT208" s="319" t="s">
        <v>190</v>
      </c>
      <c r="HU208" s="319" t="s">
        <v>190</v>
      </c>
      <c r="HV208" s="319" t="s">
        <v>190</v>
      </c>
      <c r="HW208" s="319" t="s">
        <v>190</v>
      </c>
      <c r="HX208" s="319" t="s">
        <v>190</v>
      </c>
      <c r="HY208" s="319" t="s">
        <v>190</v>
      </c>
      <c r="HZ208" s="319" t="s">
        <v>190</v>
      </c>
      <c r="IA208" s="319" t="s">
        <v>190</v>
      </c>
      <c r="IB208" s="319" t="s">
        <v>190</v>
      </c>
      <c r="IC208" s="319" t="s">
        <v>190</v>
      </c>
      <c r="ID208" s="319" t="s">
        <v>190</v>
      </c>
      <c r="IE208" s="319" t="s">
        <v>190</v>
      </c>
      <c r="IF208" s="319" t="s">
        <v>190</v>
      </c>
      <c r="IG208" s="319" t="s">
        <v>190</v>
      </c>
      <c r="IH208" s="319" t="s">
        <v>190</v>
      </c>
      <c r="II208" s="319" t="s">
        <v>190</v>
      </c>
      <c r="IJ208" s="319" t="s">
        <v>2995</v>
      </c>
      <c r="IK208" s="321">
        <v>41933</v>
      </c>
      <c r="IL208" s="321">
        <v>41935</v>
      </c>
      <c r="IM208" s="321">
        <v>41970</v>
      </c>
      <c r="IN208" s="319">
        <v>2</v>
      </c>
      <c r="IO208" s="319" t="s">
        <v>173</v>
      </c>
      <c r="IP208" s="319" t="s">
        <v>173</v>
      </c>
      <c r="IQ208" s="321" t="s">
        <v>173</v>
      </c>
      <c r="IR208" s="320" t="s">
        <v>173</v>
      </c>
      <c r="IS208" s="322" t="s">
        <v>173</v>
      </c>
      <c r="IT208" s="319" t="s">
        <v>173</v>
      </c>
    </row>
    <row r="209" spans="1:254" s="271" customFormat="1" x14ac:dyDescent="0.25">
      <c r="A209" s="318" t="str">
        <f>HYPERLINK("http://www.ofsted.gov.uk/inspection-reports/find-inspection-report/provider/ELS/119853 ","Ofsted School Webpage")</f>
        <v>Ofsted School Webpage</v>
      </c>
      <c r="B209" s="319">
        <v>119853</v>
      </c>
      <c r="C209" s="319">
        <v>8886026</v>
      </c>
      <c r="D209" s="319" t="s">
        <v>1508</v>
      </c>
      <c r="E209" s="319" t="s">
        <v>168</v>
      </c>
      <c r="F209" s="319" t="s">
        <v>81</v>
      </c>
      <c r="G209" s="319" t="s">
        <v>81</v>
      </c>
      <c r="H209" s="319" t="s">
        <v>81</v>
      </c>
      <c r="I209" s="319" t="s">
        <v>78</v>
      </c>
      <c r="J209" s="319" t="s">
        <v>424</v>
      </c>
      <c r="K209" s="319" t="s">
        <v>431</v>
      </c>
      <c r="L209" s="319" t="s">
        <v>431</v>
      </c>
      <c r="M209" s="319" t="s">
        <v>469</v>
      </c>
      <c r="N209" s="319" t="s">
        <v>2996</v>
      </c>
      <c r="O209" s="319" t="s">
        <v>1509</v>
      </c>
      <c r="P209" s="319">
        <v>48</v>
      </c>
      <c r="Q209" s="319" t="s">
        <v>429</v>
      </c>
      <c r="R209" s="320">
        <v>10112063</v>
      </c>
      <c r="S209" s="321">
        <v>43781</v>
      </c>
      <c r="T209" s="321">
        <v>43783</v>
      </c>
      <c r="U209" s="321">
        <v>43802</v>
      </c>
      <c r="V209" s="319" t="s">
        <v>425</v>
      </c>
      <c r="W209" s="319" t="s">
        <v>2767</v>
      </c>
      <c r="X209" s="319">
        <v>2</v>
      </c>
      <c r="Y209" s="319">
        <v>2</v>
      </c>
      <c r="Z209" s="319">
        <v>2</v>
      </c>
      <c r="AA209" s="319">
        <v>2</v>
      </c>
      <c r="AB209" s="319">
        <v>2</v>
      </c>
      <c r="AC209" s="319" t="s">
        <v>169</v>
      </c>
      <c r="AD209" s="319" t="s">
        <v>173</v>
      </c>
      <c r="AE209" s="319" t="s">
        <v>173</v>
      </c>
      <c r="AF209" s="319" t="s">
        <v>427</v>
      </c>
      <c r="AG209" s="319" t="s">
        <v>171</v>
      </c>
      <c r="AH209" s="319" t="s">
        <v>190</v>
      </c>
      <c r="AI209" s="319" t="s">
        <v>190</v>
      </c>
      <c r="AJ209" s="319" t="s">
        <v>190</v>
      </c>
      <c r="AK209" s="319" t="s">
        <v>190</v>
      </c>
      <c r="AL209" s="319" t="s">
        <v>190</v>
      </c>
      <c r="AM209" s="319" t="s">
        <v>190</v>
      </c>
      <c r="AN209" s="319" t="s">
        <v>190</v>
      </c>
      <c r="AO209" s="319" t="s">
        <v>190</v>
      </c>
      <c r="AP209" s="319" t="s">
        <v>190</v>
      </c>
      <c r="AQ209" s="319" t="s">
        <v>190</v>
      </c>
      <c r="AR209" s="319" t="s">
        <v>190</v>
      </c>
      <c r="AS209" s="319" t="s">
        <v>190</v>
      </c>
      <c r="AT209" s="319" t="s">
        <v>190</v>
      </c>
      <c r="AU209" s="319" t="s">
        <v>190</v>
      </c>
      <c r="AV209" s="319" t="s">
        <v>190</v>
      </c>
      <c r="AW209" s="319" t="s">
        <v>190</v>
      </c>
      <c r="AX209" s="319" t="s">
        <v>428</v>
      </c>
      <c r="AY209" s="319" t="s">
        <v>190</v>
      </c>
      <c r="AZ209" s="319" t="s">
        <v>190</v>
      </c>
      <c r="BA209" s="319" t="s">
        <v>190</v>
      </c>
      <c r="BB209" s="319" t="s">
        <v>190</v>
      </c>
      <c r="BC209" s="319" t="s">
        <v>190</v>
      </c>
      <c r="BD209" s="319" t="s">
        <v>190</v>
      </c>
      <c r="BE209" s="319" t="s">
        <v>190</v>
      </c>
      <c r="BF209" s="319" t="s">
        <v>428</v>
      </c>
      <c r="BG209" s="319" t="s">
        <v>190</v>
      </c>
      <c r="BH209" s="319" t="s">
        <v>190</v>
      </c>
      <c r="BI209" s="319" t="s">
        <v>190</v>
      </c>
      <c r="BJ209" s="319" t="s">
        <v>190</v>
      </c>
      <c r="BK209" s="319" t="s">
        <v>190</v>
      </c>
      <c r="BL209" s="319" t="s">
        <v>190</v>
      </c>
      <c r="BM209" s="319" t="s">
        <v>190</v>
      </c>
      <c r="BN209" s="319" t="s">
        <v>190</v>
      </c>
      <c r="BO209" s="319" t="s">
        <v>190</v>
      </c>
      <c r="BP209" s="319" t="s">
        <v>190</v>
      </c>
      <c r="BQ209" s="319" t="s">
        <v>190</v>
      </c>
      <c r="BR209" s="319" t="s">
        <v>190</v>
      </c>
      <c r="BS209" s="319" t="s">
        <v>190</v>
      </c>
      <c r="BT209" s="319" t="s">
        <v>190</v>
      </c>
      <c r="BU209" s="319" t="s">
        <v>190</v>
      </c>
      <c r="BV209" s="319" t="s">
        <v>190</v>
      </c>
      <c r="BW209" s="319" t="s">
        <v>190</v>
      </c>
      <c r="BX209" s="319" t="s">
        <v>190</v>
      </c>
      <c r="BY209" s="319" t="s">
        <v>190</v>
      </c>
      <c r="BZ209" s="319" t="s">
        <v>190</v>
      </c>
      <c r="CA209" s="319" t="s">
        <v>190</v>
      </c>
      <c r="CB209" s="319" t="s">
        <v>190</v>
      </c>
      <c r="CC209" s="319" t="s">
        <v>190</v>
      </c>
      <c r="CD209" s="319" t="s">
        <v>190</v>
      </c>
      <c r="CE209" s="319" t="s">
        <v>190</v>
      </c>
      <c r="CF209" s="319" t="s">
        <v>190</v>
      </c>
      <c r="CG209" s="319" t="s">
        <v>190</v>
      </c>
      <c r="CH209" s="319" t="s">
        <v>190</v>
      </c>
      <c r="CI209" s="319" t="s">
        <v>190</v>
      </c>
      <c r="CJ209" s="319" t="s">
        <v>190</v>
      </c>
      <c r="CK209" s="319" t="s">
        <v>190</v>
      </c>
      <c r="CL209" s="319" t="s">
        <v>190</v>
      </c>
      <c r="CM209" s="319" t="s">
        <v>190</v>
      </c>
      <c r="CN209" s="319" t="s">
        <v>190</v>
      </c>
      <c r="CO209" s="319" t="s">
        <v>428</v>
      </c>
      <c r="CP209" s="319" t="s">
        <v>428</v>
      </c>
      <c r="CQ209" s="319" t="s">
        <v>190</v>
      </c>
      <c r="CR209" s="319" t="s">
        <v>190</v>
      </c>
      <c r="CS209" s="319" t="s">
        <v>190</v>
      </c>
      <c r="CT209" s="319" t="s">
        <v>190</v>
      </c>
      <c r="CU209" s="319" t="s">
        <v>190</v>
      </c>
      <c r="CV209" s="319" t="s">
        <v>190</v>
      </c>
      <c r="CW209" s="319" t="s">
        <v>190</v>
      </c>
      <c r="CX209" s="319" t="s">
        <v>190</v>
      </c>
      <c r="CY209" s="319" t="s">
        <v>190</v>
      </c>
      <c r="CZ209" s="319" t="s">
        <v>190</v>
      </c>
      <c r="DA209" s="319" t="s">
        <v>190</v>
      </c>
      <c r="DB209" s="319" t="s">
        <v>190</v>
      </c>
      <c r="DC209" s="319" t="s">
        <v>190</v>
      </c>
      <c r="DD209" s="319" t="s">
        <v>190</v>
      </c>
      <c r="DE209" s="319" t="s">
        <v>190</v>
      </c>
      <c r="DF209" s="319" t="s">
        <v>190</v>
      </c>
      <c r="DG209" s="319" t="s">
        <v>190</v>
      </c>
      <c r="DH209" s="319" t="s">
        <v>190</v>
      </c>
      <c r="DI209" s="319" t="s">
        <v>190</v>
      </c>
      <c r="DJ209" s="319" t="s">
        <v>190</v>
      </c>
      <c r="DK209" s="319" t="s">
        <v>190</v>
      </c>
      <c r="DL209" s="319" t="s">
        <v>190</v>
      </c>
      <c r="DM209" s="319" t="s">
        <v>190</v>
      </c>
      <c r="DN209" s="319" t="s">
        <v>428</v>
      </c>
      <c r="DO209" s="319" t="s">
        <v>190</v>
      </c>
      <c r="DP209" s="319" t="s">
        <v>190</v>
      </c>
      <c r="DQ209" s="319" t="s">
        <v>190</v>
      </c>
      <c r="DR209" s="319" t="s">
        <v>190</v>
      </c>
      <c r="DS209" s="319" t="s">
        <v>190</v>
      </c>
      <c r="DT209" s="319" t="s">
        <v>190</v>
      </c>
      <c r="DU209" s="319" t="s">
        <v>190</v>
      </c>
      <c r="DV209" s="319" t="s">
        <v>190</v>
      </c>
      <c r="DW209" s="319" t="s">
        <v>190</v>
      </c>
      <c r="DX209" s="319" t="s">
        <v>190</v>
      </c>
      <c r="DY209" s="319" t="s">
        <v>190</v>
      </c>
      <c r="DZ209" s="319" t="s">
        <v>190</v>
      </c>
      <c r="EA209" s="319" t="s">
        <v>190</v>
      </c>
      <c r="EB209" s="319" t="s">
        <v>190</v>
      </c>
      <c r="EC209" s="319" t="s">
        <v>428</v>
      </c>
      <c r="ED209" s="319" t="s">
        <v>190</v>
      </c>
      <c r="EE209" s="319" t="s">
        <v>190</v>
      </c>
      <c r="EF209" s="319" t="s">
        <v>190</v>
      </c>
      <c r="EG209" s="319" t="s">
        <v>190</v>
      </c>
      <c r="EH209" s="319" t="s">
        <v>190</v>
      </c>
      <c r="EI209" s="319" t="s">
        <v>190</v>
      </c>
      <c r="EJ209" s="319" t="s">
        <v>190</v>
      </c>
      <c r="EK209" s="319" t="s">
        <v>190</v>
      </c>
      <c r="EL209" s="319" t="s">
        <v>190</v>
      </c>
      <c r="EM209" s="319" t="s">
        <v>190</v>
      </c>
      <c r="EN209" s="319" t="s">
        <v>190</v>
      </c>
      <c r="EO209" s="319" t="s">
        <v>190</v>
      </c>
      <c r="EP209" s="319" t="s">
        <v>190</v>
      </c>
      <c r="EQ209" s="319" t="s">
        <v>190</v>
      </c>
      <c r="ER209" s="319" t="s">
        <v>190</v>
      </c>
      <c r="ES209" s="319" t="s">
        <v>190</v>
      </c>
      <c r="ET209" s="319" t="s">
        <v>190</v>
      </c>
      <c r="EU209" s="319" t="s">
        <v>190</v>
      </c>
      <c r="EV209" s="319" t="s">
        <v>173</v>
      </c>
      <c r="EW209" s="319" t="s">
        <v>190</v>
      </c>
      <c r="EX209" s="319" t="s">
        <v>190</v>
      </c>
      <c r="EY209" s="319" t="s">
        <v>190</v>
      </c>
      <c r="EZ209" s="319" t="s">
        <v>190</v>
      </c>
      <c r="FA209" s="319" t="s">
        <v>190</v>
      </c>
      <c r="FB209" s="319" t="s">
        <v>190</v>
      </c>
      <c r="FC209" s="319" t="s">
        <v>190</v>
      </c>
      <c r="FD209" s="319" t="s">
        <v>190</v>
      </c>
      <c r="FE209" s="319" t="s">
        <v>190</v>
      </c>
      <c r="FF209" s="319" t="s">
        <v>190</v>
      </c>
      <c r="FG209" s="319" t="s">
        <v>190</v>
      </c>
      <c r="FH209" s="319" t="s">
        <v>190</v>
      </c>
      <c r="FI209" s="319" t="s">
        <v>428</v>
      </c>
      <c r="FJ209" s="319" t="s">
        <v>190</v>
      </c>
      <c r="FK209" s="319" t="s">
        <v>190</v>
      </c>
      <c r="FL209" s="319" t="s">
        <v>190</v>
      </c>
      <c r="FM209" s="319" t="s">
        <v>190</v>
      </c>
      <c r="FN209" s="319" t="s">
        <v>190</v>
      </c>
      <c r="FO209" s="319" t="s">
        <v>428</v>
      </c>
      <c r="FP209" s="319" t="s">
        <v>190</v>
      </c>
      <c r="FQ209" s="319" t="s">
        <v>190</v>
      </c>
      <c r="FR209" s="319" t="s">
        <v>190</v>
      </c>
      <c r="FS209" s="319" t="s">
        <v>428</v>
      </c>
      <c r="FT209" s="319" t="s">
        <v>428</v>
      </c>
      <c r="FU209" s="319" t="s">
        <v>190</v>
      </c>
      <c r="FV209" s="319" t="s">
        <v>190</v>
      </c>
      <c r="FW209" s="319" t="s">
        <v>190</v>
      </c>
      <c r="FX209" s="319" t="s">
        <v>190</v>
      </c>
      <c r="FY209" s="319" t="s">
        <v>190</v>
      </c>
      <c r="FZ209" s="319" t="s">
        <v>190</v>
      </c>
      <c r="GA209" s="319" t="s">
        <v>190</v>
      </c>
      <c r="GB209" s="319" t="s">
        <v>190</v>
      </c>
      <c r="GC209" s="319" t="s">
        <v>190</v>
      </c>
      <c r="GD209" s="319" t="s">
        <v>190</v>
      </c>
      <c r="GE209" s="319" t="s">
        <v>190</v>
      </c>
      <c r="GF209" s="319" t="s">
        <v>190</v>
      </c>
      <c r="GG209" s="319" t="s">
        <v>190</v>
      </c>
      <c r="GH209" s="319" t="s">
        <v>190</v>
      </c>
      <c r="GI209" s="319" t="s">
        <v>190</v>
      </c>
      <c r="GJ209" s="319" t="s">
        <v>190</v>
      </c>
      <c r="GK209" s="319" t="s">
        <v>428</v>
      </c>
      <c r="GL209" s="319" t="s">
        <v>190</v>
      </c>
      <c r="GM209" s="319" t="s">
        <v>190</v>
      </c>
      <c r="GN209" s="319" t="s">
        <v>190</v>
      </c>
      <c r="GO209" s="319" t="s">
        <v>190</v>
      </c>
      <c r="GP209" s="319" t="s">
        <v>190</v>
      </c>
      <c r="GQ209" s="319" t="s">
        <v>190</v>
      </c>
      <c r="GR209" s="319" t="s">
        <v>190</v>
      </c>
      <c r="GS209" s="319" t="s">
        <v>190</v>
      </c>
      <c r="GT209" s="319" t="s">
        <v>190</v>
      </c>
      <c r="GU209" s="319" t="s">
        <v>190</v>
      </c>
      <c r="GV209" s="319" t="s">
        <v>190</v>
      </c>
      <c r="GW209" s="319" t="s">
        <v>190</v>
      </c>
      <c r="GX209" s="319" t="s">
        <v>190</v>
      </c>
      <c r="GY209" s="319" t="s">
        <v>190</v>
      </c>
      <c r="GZ209" s="319" t="s">
        <v>190</v>
      </c>
      <c r="HA209" s="319" t="s">
        <v>190</v>
      </c>
      <c r="HB209" s="319" t="s">
        <v>190</v>
      </c>
      <c r="HC209" s="319" t="s">
        <v>190</v>
      </c>
      <c r="HD209" s="319" t="s">
        <v>190</v>
      </c>
      <c r="HE209" s="319" t="s">
        <v>190</v>
      </c>
      <c r="HF209" s="319" t="s">
        <v>190</v>
      </c>
      <c r="HG209" s="319" t="s">
        <v>190</v>
      </c>
      <c r="HH209" s="319" t="s">
        <v>190</v>
      </c>
      <c r="HI209" s="319" t="s">
        <v>190</v>
      </c>
      <c r="HJ209" s="319" t="s">
        <v>190</v>
      </c>
      <c r="HK209" s="319" t="s">
        <v>190</v>
      </c>
      <c r="HL209" s="319" t="s">
        <v>190</v>
      </c>
      <c r="HM209" s="319" t="s">
        <v>190</v>
      </c>
      <c r="HN209" s="319" t="s">
        <v>190</v>
      </c>
      <c r="HO209" s="319" t="s">
        <v>190</v>
      </c>
      <c r="HP209" s="319" t="s">
        <v>190</v>
      </c>
      <c r="HQ209" s="319" t="s">
        <v>190</v>
      </c>
      <c r="HR209" s="319" t="s">
        <v>190</v>
      </c>
      <c r="HS209" s="319" t="s">
        <v>190</v>
      </c>
      <c r="HT209" s="319" t="s">
        <v>190</v>
      </c>
      <c r="HU209" s="319" t="s">
        <v>190</v>
      </c>
      <c r="HV209" s="319" t="s">
        <v>190</v>
      </c>
      <c r="HW209" s="319" t="s">
        <v>190</v>
      </c>
      <c r="HX209" s="319" t="s">
        <v>190</v>
      </c>
      <c r="HY209" s="319" t="s">
        <v>190</v>
      </c>
      <c r="HZ209" s="319" t="s">
        <v>190</v>
      </c>
      <c r="IA209" s="319" t="s">
        <v>190</v>
      </c>
      <c r="IB209" s="319" t="s">
        <v>190</v>
      </c>
      <c r="IC209" s="319" t="s">
        <v>190</v>
      </c>
      <c r="ID209" s="319" t="s">
        <v>190</v>
      </c>
      <c r="IE209" s="319" t="s">
        <v>190</v>
      </c>
      <c r="IF209" s="319" t="s">
        <v>190</v>
      </c>
      <c r="IG209" s="319" t="s">
        <v>190</v>
      </c>
      <c r="IH209" s="319" t="s">
        <v>190</v>
      </c>
      <c r="II209" s="319" t="s">
        <v>190</v>
      </c>
      <c r="IJ209" s="319">
        <v>10043370</v>
      </c>
      <c r="IK209" s="321">
        <v>43221</v>
      </c>
      <c r="IL209" s="321">
        <v>43223</v>
      </c>
      <c r="IM209" s="321">
        <v>43266</v>
      </c>
      <c r="IN209" s="319">
        <v>3</v>
      </c>
      <c r="IO209" s="319" t="s">
        <v>173</v>
      </c>
      <c r="IP209" s="319" t="s">
        <v>173</v>
      </c>
      <c r="IQ209" s="321" t="s">
        <v>173</v>
      </c>
      <c r="IR209" s="320" t="s">
        <v>173</v>
      </c>
      <c r="IS209" s="322" t="s">
        <v>173</v>
      </c>
      <c r="IT209" s="319" t="s">
        <v>173</v>
      </c>
    </row>
    <row r="210" spans="1:254" s="271" customFormat="1" x14ac:dyDescent="0.25">
      <c r="A210" s="318" t="str">
        <f>HYPERLINK("http://www.ofsted.gov.uk/inspection-reports/find-inspection-report/provider/ELS/119856 ","Ofsted School Webpage")</f>
        <v>Ofsted School Webpage</v>
      </c>
      <c r="B210" s="319">
        <v>119856</v>
      </c>
      <c r="C210" s="319">
        <v>8896004</v>
      </c>
      <c r="D210" s="319" t="s">
        <v>540</v>
      </c>
      <c r="E210" s="319" t="s">
        <v>167</v>
      </c>
      <c r="F210" s="319" t="s">
        <v>71</v>
      </c>
      <c r="G210" s="319" t="s">
        <v>72</v>
      </c>
      <c r="H210" s="319" t="s">
        <v>71</v>
      </c>
      <c r="I210" s="319" t="s">
        <v>72</v>
      </c>
      <c r="J210" s="319" t="s">
        <v>424</v>
      </c>
      <c r="K210" s="319" t="s">
        <v>431</v>
      </c>
      <c r="L210" s="319" t="s">
        <v>431</v>
      </c>
      <c r="M210" s="319" t="s">
        <v>541</v>
      </c>
      <c r="N210" s="319" t="s">
        <v>2993</v>
      </c>
      <c r="O210" s="319" t="s">
        <v>542</v>
      </c>
      <c r="P210" s="319">
        <v>53</v>
      </c>
      <c r="Q210" s="319" t="s">
        <v>2766</v>
      </c>
      <c r="R210" s="320">
        <v>10053724</v>
      </c>
      <c r="S210" s="321">
        <v>43382</v>
      </c>
      <c r="T210" s="321">
        <v>43384</v>
      </c>
      <c r="U210" s="321">
        <v>43408</v>
      </c>
      <c r="V210" s="319" t="s">
        <v>425</v>
      </c>
      <c r="W210" s="319" t="s">
        <v>2767</v>
      </c>
      <c r="X210" s="319">
        <v>3</v>
      </c>
      <c r="Y210" s="319" t="s">
        <v>173</v>
      </c>
      <c r="Z210" s="319" t="s">
        <v>173</v>
      </c>
      <c r="AA210" s="319" t="s">
        <v>173</v>
      </c>
      <c r="AB210" s="319">
        <v>2</v>
      </c>
      <c r="AC210" s="319" t="s">
        <v>169</v>
      </c>
      <c r="AD210" s="319" t="s">
        <v>173</v>
      </c>
      <c r="AE210" s="319" t="s">
        <v>173</v>
      </c>
      <c r="AF210" s="319" t="s">
        <v>427</v>
      </c>
      <c r="AG210" s="319" t="s">
        <v>171</v>
      </c>
      <c r="AH210" s="319" t="s">
        <v>190</v>
      </c>
      <c r="AI210" s="319" t="s">
        <v>190</v>
      </c>
      <c r="AJ210" s="319" t="s">
        <v>190</v>
      </c>
      <c r="AK210" s="319" t="s">
        <v>190</v>
      </c>
      <c r="AL210" s="319" t="s">
        <v>190</v>
      </c>
      <c r="AM210" s="319" t="s">
        <v>190</v>
      </c>
      <c r="AN210" s="319" t="s">
        <v>190</v>
      </c>
      <c r="AO210" s="319" t="s">
        <v>190</v>
      </c>
      <c r="AP210" s="319" t="s">
        <v>190</v>
      </c>
      <c r="AQ210" s="319" t="s">
        <v>190</v>
      </c>
      <c r="AR210" s="319" t="s">
        <v>190</v>
      </c>
      <c r="AS210" s="319" t="s">
        <v>190</v>
      </c>
      <c r="AT210" s="319" t="s">
        <v>190</v>
      </c>
      <c r="AU210" s="319" t="s">
        <v>190</v>
      </c>
      <c r="AV210" s="319" t="s">
        <v>190</v>
      </c>
      <c r="AW210" s="319" t="s">
        <v>190</v>
      </c>
      <c r="AX210" s="319" t="s">
        <v>428</v>
      </c>
      <c r="AY210" s="319" t="s">
        <v>190</v>
      </c>
      <c r="AZ210" s="319" t="s">
        <v>190</v>
      </c>
      <c r="BA210" s="319" t="s">
        <v>190</v>
      </c>
      <c r="BB210" s="319" t="s">
        <v>190</v>
      </c>
      <c r="BC210" s="319" t="s">
        <v>190</v>
      </c>
      <c r="BD210" s="319" t="s">
        <v>190</v>
      </c>
      <c r="BE210" s="319" t="s">
        <v>190</v>
      </c>
      <c r="BF210" s="319" t="s">
        <v>428</v>
      </c>
      <c r="BG210" s="319" t="s">
        <v>428</v>
      </c>
      <c r="BH210" s="319" t="s">
        <v>190</v>
      </c>
      <c r="BI210" s="319" t="s">
        <v>190</v>
      </c>
      <c r="BJ210" s="319" t="s">
        <v>190</v>
      </c>
      <c r="BK210" s="319" t="s">
        <v>190</v>
      </c>
      <c r="BL210" s="319" t="s">
        <v>190</v>
      </c>
      <c r="BM210" s="319" t="s">
        <v>190</v>
      </c>
      <c r="BN210" s="319" t="s">
        <v>190</v>
      </c>
      <c r="BO210" s="319" t="s">
        <v>190</v>
      </c>
      <c r="BP210" s="319" t="s">
        <v>190</v>
      </c>
      <c r="BQ210" s="319" t="s">
        <v>190</v>
      </c>
      <c r="BR210" s="319" t="s">
        <v>190</v>
      </c>
      <c r="BS210" s="319" t="s">
        <v>190</v>
      </c>
      <c r="BT210" s="319" t="s">
        <v>190</v>
      </c>
      <c r="BU210" s="319" t="s">
        <v>190</v>
      </c>
      <c r="BV210" s="319" t="s">
        <v>190</v>
      </c>
      <c r="BW210" s="319" t="s">
        <v>190</v>
      </c>
      <c r="BX210" s="319" t="s">
        <v>190</v>
      </c>
      <c r="BY210" s="319" t="s">
        <v>190</v>
      </c>
      <c r="BZ210" s="319" t="s">
        <v>190</v>
      </c>
      <c r="CA210" s="319" t="s">
        <v>190</v>
      </c>
      <c r="CB210" s="319" t="s">
        <v>190</v>
      </c>
      <c r="CC210" s="319" t="s">
        <v>190</v>
      </c>
      <c r="CD210" s="319" t="s">
        <v>190</v>
      </c>
      <c r="CE210" s="319" t="s">
        <v>190</v>
      </c>
      <c r="CF210" s="319" t="s">
        <v>190</v>
      </c>
      <c r="CG210" s="319" t="s">
        <v>190</v>
      </c>
      <c r="CH210" s="319" t="s">
        <v>190</v>
      </c>
      <c r="CI210" s="319" t="s">
        <v>190</v>
      </c>
      <c r="CJ210" s="319" t="s">
        <v>190</v>
      </c>
      <c r="CK210" s="319" t="s">
        <v>190</v>
      </c>
      <c r="CL210" s="319" t="s">
        <v>190</v>
      </c>
      <c r="CM210" s="319" t="s">
        <v>190</v>
      </c>
      <c r="CN210" s="319" t="s">
        <v>428</v>
      </c>
      <c r="CO210" s="319" t="s">
        <v>428</v>
      </c>
      <c r="CP210" s="319" t="s">
        <v>428</v>
      </c>
      <c r="CQ210" s="319" t="s">
        <v>190</v>
      </c>
      <c r="CR210" s="319" t="s">
        <v>190</v>
      </c>
      <c r="CS210" s="319" t="s">
        <v>190</v>
      </c>
      <c r="CT210" s="319" t="s">
        <v>190</v>
      </c>
      <c r="CU210" s="319" t="s">
        <v>190</v>
      </c>
      <c r="CV210" s="319" t="s">
        <v>190</v>
      </c>
      <c r="CW210" s="319" t="s">
        <v>190</v>
      </c>
      <c r="CX210" s="319" t="s">
        <v>190</v>
      </c>
      <c r="CY210" s="319" t="s">
        <v>190</v>
      </c>
      <c r="CZ210" s="319" t="s">
        <v>190</v>
      </c>
      <c r="DA210" s="319" t="s">
        <v>190</v>
      </c>
      <c r="DB210" s="319" t="s">
        <v>190</v>
      </c>
      <c r="DC210" s="319" t="s">
        <v>190</v>
      </c>
      <c r="DD210" s="319" t="s">
        <v>190</v>
      </c>
      <c r="DE210" s="319" t="s">
        <v>190</v>
      </c>
      <c r="DF210" s="319" t="s">
        <v>190</v>
      </c>
      <c r="DG210" s="319" t="s">
        <v>190</v>
      </c>
      <c r="DH210" s="319" t="s">
        <v>190</v>
      </c>
      <c r="DI210" s="319" t="s">
        <v>190</v>
      </c>
      <c r="DJ210" s="319" t="s">
        <v>190</v>
      </c>
      <c r="DK210" s="319" t="s">
        <v>190</v>
      </c>
      <c r="DL210" s="319" t="s">
        <v>190</v>
      </c>
      <c r="DM210" s="319" t="s">
        <v>428</v>
      </c>
      <c r="DN210" s="319" t="s">
        <v>428</v>
      </c>
      <c r="DO210" s="319" t="s">
        <v>190</v>
      </c>
      <c r="DP210" s="319" t="s">
        <v>428</v>
      </c>
      <c r="DQ210" s="319" t="s">
        <v>428</v>
      </c>
      <c r="DR210" s="319" t="s">
        <v>428</v>
      </c>
      <c r="DS210" s="319" t="s">
        <v>428</v>
      </c>
      <c r="DT210" s="319" t="s">
        <v>428</v>
      </c>
      <c r="DU210" s="319" t="s">
        <v>428</v>
      </c>
      <c r="DV210" s="319" t="s">
        <v>173</v>
      </c>
      <c r="DW210" s="319" t="s">
        <v>428</v>
      </c>
      <c r="DX210" s="319" t="s">
        <v>428</v>
      </c>
      <c r="DY210" s="319" t="s">
        <v>428</v>
      </c>
      <c r="DZ210" s="319" t="s">
        <v>428</v>
      </c>
      <c r="EA210" s="319" t="s">
        <v>428</v>
      </c>
      <c r="EB210" s="319" t="s">
        <v>428</v>
      </c>
      <c r="EC210" s="319" t="s">
        <v>428</v>
      </c>
      <c r="ED210" s="319" t="s">
        <v>190</v>
      </c>
      <c r="EE210" s="319" t="s">
        <v>190</v>
      </c>
      <c r="EF210" s="319" t="s">
        <v>190</v>
      </c>
      <c r="EG210" s="319" t="s">
        <v>190</v>
      </c>
      <c r="EH210" s="319" t="s">
        <v>190</v>
      </c>
      <c r="EI210" s="319" t="s">
        <v>190</v>
      </c>
      <c r="EJ210" s="319" t="s">
        <v>190</v>
      </c>
      <c r="EK210" s="319" t="s">
        <v>190</v>
      </c>
      <c r="EL210" s="319" t="s">
        <v>190</v>
      </c>
      <c r="EM210" s="319" t="s">
        <v>190</v>
      </c>
      <c r="EN210" s="319" t="s">
        <v>190</v>
      </c>
      <c r="EO210" s="319" t="s">
        <v>190</v>
      </c>
      <c r="EP210" s="319" t="s">
        <v>190</v>
      </c>
      <c r="EQ210" s="319" t="s">
        <v>190</v>
      </c>
      <c r="ER210" s="319" t="s">
        <v>190</v>
      </c>
      <c r="ES210" s="319" t="s">
        <v>190</v>
      </c>
      <c r="ET210" s="319" t="s">
        <v>190</v>
      </c>
      <c r="EU210" s="319" t="s">
        <v>190</v>
      </c>
      <c r="EV210" s="319" t="s">
        <v>190</v>
      </c>
      <c r="EW210" s="319" t="s">
        <v>190</v>
      </c>
      <c r="EX210" s="319" t="s">
        <v>190</v>
      </c>
      <c r="EY210" s="319" t="s">
        <v>190</v>
      </c>
      <c r="EZ210" s="319" t="s">
        <v>190</v>
      </c>
      <c r="FA210" s="319" t="s">
        <v>428</v>
      </c>
      <c r="FB210" s="319" t="s">
        <v>428</v>
      </c>
      <c r="FC210" s="319" t="s">
        <v>428</v>
      </c>
      <c r="FD210" s="319" t="s">
        <v>428</v>
      </c>
      <c r="FE210" s="319" t="s">
        <v>428</v>
      </c>
      <c r="FF210" s="319" t="s">
        <v>428</v>
      </c>
      <c r="FG210" s="319" t="s">
        <v>428</v>
      </c>
      <c r="FH210" s="319" t="s">
        <v>190</v>
      </c>
      <c r="FI210" s="319" t="s">
        <v>190</v>
      </c>
      <c r="FJ210" s="319" t="s">
        <v>190</v>
      </c>
      <c r="FK210" s="319" t="s">
        <v>190</v>
      </c>
      <c r="FL210" s="319" t="s">
        <v>190</v>
      </c>
      <c r="FM210" s="319" t="s">
        <v>190</v>
      </c>
      <c r="FN210" s="319" t="s">
        <v>190</v>
      </c>
      <c r="FO210" s="319" t="s">
        <v>190</v>
      </c>
      <c r="FP210" s="319" t="s">
        <v>190</v>
      </c>
      <c r="FQ210" s="319" t="s">
        <v>190</v>
      </c>
      <c r="FR210" s="319" t="s">
        <v>190</v>
      </c>
      <c r="FS210" s="319" t="s">
        <v>428</v>
      </c>
      <c r="FT210" s="319" t="s">
        <v>190</v>
      </c>
      <c r="FU210" s="319" t="s">
        <v>190</v>
      </c>
      <c r="FV210" s="319" t="s">
        <v>190</v>
      </c>
      <c r="FW210" s="319" t="s">
        <v>190</v>
      </c>
      <c r="FX210" s="319" t="s">
        <v>190</v>
      </c>
      <c r="FY210" s="319" t="s">
        <v>190</v>
      </c>
      <c r="FZ210" s="319" t="s">
        <v>190</v>
      </c>
      <c r="GA210" s="319" t="s">
        <v>190</v>
      </c>
      <c r="GB210" s="319" t="s">
        <v>190</v>
      </c>
      <c r="GC210" s="319" t="s">
        <v>190</v>
      </c>
      <c r="GD210" s="319" t="s">
        <v>190</v>
      </c>
      <c r="GE210" s="319" t="s">
        <v>190</v>
      </c>
      <c r="GF210" s="319" t="s">
        <v>190</v>
      </c>
      <c r="GG210" s="319" t="s">
        <v>190</v>
      </c>
      <c r="GH210" s="319" t="s">
        <v>190</v>
      </c>
      <c r="GI210" s="319" t="s">
        <v>190</v>
      </c>
      <c r="GJ210" s="319" t="s">
        <v>190</v>
      </c>
      <c r="GK210" s="319" t="s">
        <v>428</v>
      </c>
      <c r="GL210" s="319" t="s">
        <v>190</v>
      </c>
      <c r="GM210" s="319" t="s">
        <v>190</v>
      </c>
      <c r="GN210" s="319" t="s">
        <v>190</v>
      </c>
      <c r="GO210" s="319" t="s">
        <v>190</v>
      </c>
      <c r="GP210" s="319" t="s">
        <v>190</v>
      </c>
      <c r="GQ210" s="319" t="s">
        <v>190</v>
      </c>
      <c r="GR210" s="319" t="s">
        <v>190</v>
      </c>
      <c r="GS210" s="319" t="s">
        <v>190</v>
      </c>
      <c r="GT210" s="319" t="s">
        <v>190</v>
      </c>
      <c r="GU210" s="319" t="s">
        <v>190</v>
      </c>
      <c r="GV210" s="319" t="s">
        <v>190</v>
      </c>
      <c r="GW210" s="319" t="s">
        <v>190</v>
      </c>
      <c r="GX210" s="319" t="s">
        <v>190</v>
      </c>
      <c r="GY210" s="319" t="s">
        <v>190</v>
      </c>
      <c r="GZ210" s="319" t="s">
        <v>190</v>
      </c>
      <c r="HA210" s="319" t="s">
        <v>190</v>
      </c>
      <c r="HB210" s="319" t="s">
        <v>190</v>
      </c>
      <c r="HC210" s="319" t="s">
        <v>190</v>
      </c>
      <c r="HD210" s="319" t="s">
        <v>190</v>
      </c>
      <c r="HE210" s="319" t="s">
        <v>190</v>
      </c>
      <c r="HF210" s="319" t="s">
        <v>428</v>
      </c>
      <c r="HG210" s="319" t="s">
        <v>190</v>
      </c>
      <c r="HH210" s="319" t="s">
        <v>190</v>
      </c>
      <c r="HI210" s="319" t="s">
        <v>190</v>
      </c>
      <c r="HJ210" s="319" t="s">
        <v>190</v>
      </c>
      <c r="HK210" s="319" t="s">
        <v>190</v>
      </c>
      <c r="HL210" s="319" t="s">
        <v>190</v>
      </c>
      <c r="HM210" s="319" t="s">
        <v>428</v>
      </c>
      <c r="HN210" s="319" t="s">
        <v>428</v>
      </c>
      <c r="HO210" s="319" t="s">
        <v>428</v>
      </c>
      <c r="HP210" s="319" t="s">
        <v>190</v>
      </c>
      <c r="HQ210" s="319" t="s">
        <v>190</v>
      </c>
      <c r="HR210" s="319" t="s">
        <v>190</v>
      </c>
      <c r="HS210" s="319" t="s">
        <v>190</v>
      </c>
      <c r="HT210" s="319" t="s">
        <v>190</v>
      </c>
      <c r="HU210" s="319" t="s">
        <v>190</v>
      </c>
      <c r="HV210" s="319" t="s">
        <v>190</v>
      </c>
      <c r="HW210" s="319" t="s">
        <v>190</v>
      </c>
      <c r="HX210" s="319" t="s">
        <v>190</v>
      </c>
      <c r="HY210" s="319" t="s">
        <v>190</v>
      </c>
      <c r="HZ210" s="319" t="s">
        <v>190</v>
      </c>
      <c r="IA210" s="319" t="s">
        <v>190</v>
      </c>
      <c r="IB210" s="319" t="s">
        <v>190</v>
      </c>
      <c r="IC210" s="319" t="s">
        <v>190</v>
      </c>
      <c r="ID210" s="319" t="s">
        <v>190</v>
      </c>
      <c r="IE210" s="319" t="s">
        <v>190</v>
      </c>
      <c r="IF210" s="319" t="s">
        <v>190</v>
      </c>
      <c r="IG210" s="319" t="s">
        <v>190</v>
      </c>
      <c r="IH210" s="319" t="s">
        <v>190</v>
      </c>
      <c r="II210" s="319" t="s">
        <v>190</v>
      </c>
      <c r="IJ210" s="319">
        <v>10020804</v>
      </c>
      <c r="IK210" s="321">
        <v>42690</v>
      </c>
      <c r="IL210" s="321">
        <v>42692</v>
      </c>
      <c r="IM210" s="321">
        <v>42773</v>
      </c>
      <c r="IN210" s="319">
        <v>4</v>
      </c>
      <c r="IO210" s="319" t="s">
        <v>173</v>
      </c>
      <c r="IP210" s="319" t="s">
        <v>173</v>
      </c>
      <c r="IQ210" s="321" t="s">
        <v>173</v>
      </c>
      <c r="IR210" s="320" t="s">
        <v>173</v>
      </c>
      <c r="IS210" s="322" t="s">
        <v>173</v>
      </c>
      <c r="IT210" s="319" t="s">
        <v>173</v>
      </c>
    </row>
    <row r="211" spans="1:254" s="271" customFormat="1" x14ac:dyDescent="0.25">
      <c r="A211" s="318" t="str">
        <f>HYPERLINK("http://www.ofsted.gov.uk/inspection-reports/find-inspection-report/provider/ELS/120329 ","Ofsted School Webpage")</f>
        <v>Ofsted School Webpage</v>
      </c>
      <c r="B211" s="319">
        <v>120329</v>
      </c>
      <c r="C211" s="319">
        <v>8566003</v>
      </c>
      <c r="D211" s="319" t="s">
        <v>1510</v>
      </c>
      <c r="E211" s="319" t="s">
        <v>167</v>
      </c>
      <c r="F211" s="319" t="s">
        <v>81</v>
      </c>
      <c r="G211" s="319" t="s">
        <v>81</v>
      </c>
      <c r="H211" s="319" t="s">
        <v>81</v>
      </c>
      <c r="I211" s="319" t="s">
        <v>78</v>
      </c>
      <c r="J211" s="319" t="s">
        <v>424</v>
      </c>
      <c r="K211" s="319" t="s">
        <v>506</v>
      </c>
      <c r="L211" s="319" t="s">
        <v>506</v>
      </c>
      <c r="M211" s="319" t="s">
        <v>521</v>
      </c>
      <c r="N211" s="319" t="s">
        <v>2997</v>
      </c>
      <c r="O211" s="319" t="s">
        <v>1511</v>
      </c>
      <c r="P211" s="319">
        <v>87</v>
      </c>
      <c r="Q211" s="319" t="s">
        <v>2766</v>
      </c>
      <c r="R211" s="320">
        <v>10048631</v>
      </c>
      <c r="S211" s="321">
        <v>43229</v>
      </c>
      <c r="T211" s="321">
        <v>43231</v>
      </c>
      <c r="U211" s="321">
        <v>43262</v>
      </c>
      <c r="V211" s="319" t="s">
        <v>425</v>
      </c>
      <c r="W211" s="319" t="s">
        <v>2767</v>
      </c>
      <c r="X211" s="319">
        <v>3</v>
      </c>
      <c r="Y211" s="319" t="s">
        <v>173</v>
      </c>
      <c r="Z211" s="319" t="s">
        <v>173</v>
      </c>
      <c r="AA211" s="319" t="s">
        <v>173</v>
      </c>
      <c r="AB211" s="319">
        <v>3</v>
      </c>
      <c r="AC211" s="319" t="s">
        <v>169</v>
      </c>
      <c r="AD211" s="319">
        <v>2</v>
      </c>
      <c r="AE211" s="319" t="s">
        <v>173</v>
      </c>
      <c r="AF211" s="319" t="s">
        <v>427</v>
      </c>
      <c r="AG211" s="319" t="s">
        <v>172</v>
      </c>
      <c r="AH211" s="319" t="s">
        <v>479</v>
      </c>
      <c r="AI211" s="319" t="s">
        <v>190</v>
      </c>
      <c r="AJ211" s="319" t="s">
        <v>190</v>
      </c>
      <c r="AK211" s="319" t="s">
        <v>190</v>
      </c>
      <c r="AL211" s="319" t="s">
        <v>190</v>
      </c>
      <c r="AM211" s="319" t="s">
        <v>190</v>
      </c>
      <c r="AN211" s="319" t="s">
        <v>190</v>
      </c>
      <c r="AO211" s="319" t="s">
        <v>190</v>
      </c>
      <c r="AP211" s="319" t="s">
        <v>191</v>
      </c>
      <c r="AQ211" s="319" t="s">
        <v>191</v>
      </c>
      <c r="AR211" s="319" t="s">
        <v>191</v>
      </c>
      <c r="AS211" s="319" t="s">
        <v>190</v>
      </c>
      <c r="AT211" s="319" t="s">
        <v>190</v>
      </c>
      <c r="AU211" s="319" t="s">
        <v>190</v>
      </c>
      <c r="AV211" s="319" t="s">
        <v>190</v>
      </c>
      <c r="AW211" s="319" t="s">
        <v>190</v>
      </c>
      <c r="AX211" s="319" t="s">
        <v>428</v>
      </c>
      <c r="AY211" s="319" t="s">
        <v>190</v>
      </c>
      <c r="AZ211" s="319" t="s">
        <v>190</v>
      </c>
      <c r="BA211" s="319" t="s">
        <v>190</v>
      </c>
      <c r="BB211" s="319" t="s">
        <v>428</v>
      </c>
      <c r="BC211" s="319" t="s">
        <v>428</v>
      </c>
      <c r="BD211" s="319" t="s">
        <v>428</v>
      </c>
      <c r="BE211" s="319" t="s">
        <v>428</v>
      </c>
      <c r="BF211" s="319" t="s">
        <v>190</v>
      </c>
      <c r="BG211" s="319" t="s">
        <v>428</v>
      </c>
      <c r="BH211" s="319" t="s">
        <v>190</v>
      </c>
      <c r="BI211" s="319" t="s">
        <v>190</v>
      </c>
      <c r="BJ211" s="319" t="s">
        <v>190</v>
      </c>
      <c r="BK211" s="319" t="s">
        <v>190</v>
      </c>
      <c r="BL211" s="319" t="s">
        <v>190</v>
      </c>
      <c r="BM211" s="319" t="s">
        <v>190</v>
      </c>
      <c r="BN211" s="319" t="s">
        <v>190</v>
      </c>
      <c r="BO211" s="319" t="s">
        <v>190</v>
      </c>
      <c r="BP211" s="319" t="s">
        <v>190</v>
      </c>
      <c r="BQ211" s="319" t="s">
        <v>190</v>
      </c>
      <c r="BR211" s="319" t="s">
        <v>190</v>
      </c>
      <c r="BS211" s="319" t="s">
        <v>190</v>
      </c>
      <c r="BT211" s="319" t="s">
        <v>190</v>
      </c>
      <c r="BU211" s="319" t="s">
        <v>190</v>
      </c>
      <c r="BV211" s="319" t="s">
        <v>190</v>
      </c>
      <c r="BW211" s="319" t="s">
        <v>190</v>
      </c>
      <c r="BX211" s="319" t="s">
        <v>190</v>
      </c>
      <c r="BY211" s="319" t="s">
        <v>190</v>
      </c>
      <c r="BZ211" s="319" t="s">
        <v>190</v>
      </c>
      <c r="CA211" s="319" t="s">
        <v>190</v>
      </c>
      <c r="CB211" s="319" t="s">
        <v>190</v>
      </c>
      <c r="CC211" s="319" t="s">
        <v>190</v>
      </c>
      <c r="CD211" s="319" t="s">
        <v>190</v>
      </c>
      <c r="CE211" s="319" t="s">
        <v>190</v>
      </c>
      <c r="CF211" s="319" t="s">
        <v>190</v>
      </c>
      <c r="CG211" s="319" t="s">
        <v>190</v>
      </c>
      <c r="CH211" s="319" t="s">
        <v>190</v>
      </c>
      <c r="CI211" s="319" t="s">
        <v>190</v>
      </c>
      <c r="CJ211" s="319" t="s">
        <v>190</v>
      </c>
      <c r="CK211" s="319" t="s">
        <v>190</v>
      </c>
      <c r="CL211" s="319" t="s">
        <v>190</v>
      </c>
      <c r="CM211" s="319" t="s">
        <v>190</v>
      </c>
      <c r="CN211" s="319" t="s">
        <v>428</v>
      </c>
      <c r="CO211" s="319" t="s">
        <v>428</v>
      </c>
      <c r="CP211" s="319" t="s">
        <v>428</v>
      </c>
      <c r="CQ211" s="319" t="s">
        <v>190</v>
      </c>
      <c r="CR211" s="319" t="s">
        <v>190</v>
      </c>
      <c r="CS211" s="319" t="s">
        <v>190</v>
      </c>
      <c r="CT211" s="319" t="s">
        <v>190</v>
      </c>
      <c r="CU211" s="319" t="s">
        <v>190</v>
      </c>
      <c r="CV211" s="319" t="s">
        <v>190</v>
      </c>
      <c r="CW211" s="319" t="s">
        <v>190</v>
      </c>
      <c r="CX211" s="319" t="s">
        <v>190</v>
      </c>
      <c r="CY211" s="319" t="s">
        <v>190</v>
      </c>
      <c r="CZ211" s="319" t="s">
        <v>190</v>
      </c>
      <c r="DA211" s="319" t="s">
        <v>190</v>
      </c>
      <c r="DB211" s="319" t="s">
        <v>190</v>
      </c>
      <c r="DC211" s="319" t="s">
        <v>190</v>
      </c>
      <c r="DD211" s="319" t="s">
        <v>190</v>
      </c>
      <c r="DE211" s="319" t="s">
        <v>190</v>
      </c>
      <c r="DF211" s="319" t="s">
        <v>190</v>
      </c>
      <c r="DG211" s="319" t="s">
        <v>190</v>
      </c>
      <c r="DH211" s="319" t="s">
        <v>190</v>
      </c>
      <c r="DI211" s="319" t="s">
        <v>190</v>
      </c>
      <c r="DJ211" s="319" t="s">
        <v>190</v>
      </c>
      <c r="DK211" s="319" t="s">
        <v>190</v>
      </c>
      <c r="DL211" s="319" t="s">
        <v>190</v>
      </c>
      <c r="DM211" s="319" t="s">
        <v>428</v>
      </c>
      <c r="DN211" s="319" t="s">
        <v>428</v>
      </c>
      <c r="DO211" s="319" t="s">
        <v>190</v>
      </c>
      <c r="DP211" s="319" t="s">
        <v>428</v>
      </c>
      <c r="DQ211" s="319" t="s">
        <v>428</v>
      </c>
      <c r="DR211" s="319" t="s">
        <v>428</v>
      </c>
      <c r="DS211" s="319" t="s">
        <v>428</v>
      </c>
      <c r="DT211" s="319" t="s">
        <v>428</v>
      </c>
      <c r="DU211" s="319" t="s">
        <v>428</v>
      </c>
      <c r="DV211" s="319" t="s">
        <v>173</v>
      </c>
      <c r="DW211" s="319" t="s">
        <v>428</v>
      </c>
      <c r="DX211" s="319" t="s">
        <v>428</v>
      </c>
      <c r="DY211" s="319" t="s">
        <v>428</v>
      </c>
      <c r="DZ211" s="319" t="s">
        <v>428</v>
      </c>
      <c r="EA211" s="319" t="s">
        <v>428</v>
      </c>
      <c r="EB211" s="319" t="s">
        <v>428</v>
      </c>
      <c r="EC211" s="319" t="s">
        <v>428</v>
      </c>
      <c r="ED211" s="319" t="s">
        <v>428</v>
      </c>
      <c r="EE211" s="319" t="s">
        <v>428</v>
      </c>
      <c r="EF211" s="319" t="s">
        <v>428</v>
      </c>
      <c r="EG211" s="319" t="s">
        <v>428</v>
      </c>
      <c r="EH211" s="319" t="s">
        <v>428</v>
      </c>
      <c r="EI211" s="319" t="s">
        <v>428</v>
      </c>
      <c r="EJ211" s="319" t="s">
        <v>428</v>
      </c>
      <c r="EK211" s="319" t="s">
        <v>428</v>
      </c>
      <c r="EL211" s="319" t="s">
        <v>428</v>
      </c>
      <c r="EM211" s="319" t="s">
        <v>428</v>
      </c>
      <c r="EN211" s="319" t="s">
        <v>190</v>
      </c>
      <c r="EO211" s="319" t="s">
        <v>190</v>
      </c>
      <c r="EP211" s="319" t="s">
        <v>190</v>
      </c>
      <c r="EQ211" s="319" t="s">
        <v>190</v>
      </c>
      <c r="ER211" s="319" t="s">
        <v>190</v>
      </c>
      <c r="ES211" s="319" t="s">
        <v>190</v>
      </c>
      <c r="ET211" s="319" t="s">
        <v>190</v>
      </c>
      <c r="EU211" s="319" t="s">
        <v>190</v>
      </c>
      <c r="EV211" s="319" t="s">
        <v>190</v>
      </c>
      <c r="EW211" s="319" t="s">
        <v>190</v>
      </c>
      <c r="EX211" s="319" t="s">
        <v>190</v>
      </c>
      <c r="EY211" s="319" t="s">
        <v>190</v>
      </c>
      <c r="EZ211" s="319" t="s">
        <v>190</v>
      </c>
      <c r="FA211" s="319" t="s">
        <v>428</v>
      </c>
      <c r="FB211" s="319" t="s">
        <v>428</v>
      </c>
      <c r="FC211" s="319" t="s">
        <v>428</v>
      </c>
      <c r="FD211" s="319" t="s">
        <v>428</v>
      </c>
      <c r="FE211" s="319" t="s">
        <v>428</v>
      </c>
      <c r="FF211" s="319" t="s">
        <v>428</v>
      </c>
      <c r="FG211" s="319" t="s">
        <v>428</v>
      </c>
      <c r="FH211" s="319" t="s">
        <v>428</v>
      </c>
      <c r="FI211" s="319" t="s">
        <v>428</v>
      </c>
      <c r="FJ211" s="319" t="s">
        <v>429</v>
      </c>
      <c r="FK211" s="319" t="s">
        <v>428</v>
      </c>
      <c r="FL211" s="319" t="s">
        <v>190</v>
      </c>
      <c r="FM211" s="319" t="s">
        <v>190</v>
      </c>
      <c r="FN211" s="319" t="s">
        <v>190</v>
      </c>
      <c r="FO211" s="319" t="s">
        <v>190</v>
      </c>
      <c r="FP211" s="319" t="s">
        <v>190</v>
      </c>
      <c r="FQ211" s="319" t="s">
        <v>190</v>
      </c>
      <c r="FR211" s="319" t="s">
        <v>190</v>
      </c>
      <c r="FS211" s="319" t="s">
        <v>428</v>
      </c>
      <c r="FT211" s="319" t="s">
        <v>428</v>
      </c>
      <c r="FU211" s="319" t="s">
        <v>190</v>
      </c>
      <c r="FV211" s="319" t="s">
        <v>190</v>
      </c>
      <c r="FW211" s="319" t="s">
        <v>190</v>
      </c>
      <c r="FX211" s="319" t="s">
        <v>190</v>
      </c>
      <c r="FY211" s="319" t="s">
        <v>190</v>
      </c>
      <c r="FZ211" s="319" t="s">
        <v>190</v>
      </c>
      <c r="GA211" s="319" t="s">
        <v>190</v>
      </c>
      <c r="GB211" s="319" t="s">
        <v>190</v>
      </c>
      <c r="GC211" s="319" t="s">
        <v>190</v>
      </c>
      <c r="GD211" s="319" t="s">
        <v>190</v>
      </c>
      <c r="GE211" s="319" t="s">
        <v>190</v>
      </c>
      <c r="GF211" s="319" t="s">
        <v>190</v>
      </c>
      <c r="GG211" s="319" t="s">
        <v>190</v>
      </c>
      <c r="GH211" s="319" t="s">
        <v>190</v>
      </c>
      <c r="GI211" s="319" t="s">
        <v>190</v>
      </c>
      <c r="GJ211" s="319" t="s">
        <v>190</v>
      </c>
      <c r="GK211" s="319" t="s">
        <v>428</v>
      </c>
      <c r="GL211" s="319" t="s">
        <v>190</v>
      </c>
      <c r="GM211" s="319" t="s">
        <v>190</v>
      </c>
      <c r="GN211" s="319" t="s">
        <v>191</v>
      </c>
      <c r="GO211" s="319" t="s">
        <v>190</v>
      </c>
      <c r="GP211" s="319" t="s">
        <v>190</v>
      </c>
      <c r="GQ211" s="319" t="s">
        <v>428</v>
      </c>
      <c r="GR211" s="319" t="s">
        <v>190</v>
      </c>
      <c r="GS211" s="319" t="s">
        <v>190</v>
      </c>
      <c r="GT211" s="319" t="s">
        <v>428</v>
      </c>
      <c r="GU211" s="319" t="s">
        <v>428</v>
      </c>
      <c r="GV211" s="319" t="s">
        <v>428</v>
      </c>
      <c r="GW211" s="319" t="s">
        <v>190</v>
      </c>
      <c r="GX211" s="319" t="s">
        <v>190</v>
      </c>
      <c r="GY211" s="319" t="s">
        <v>190</v>
      </c>
      <c r="GZ211" s="319" t="s">
        <v>190</v>
      </c>
      <c r="HA211" s="319" t="s">
        <v>428</v>
      </c>
      <c r="HB211" s="319" t="s">
        <v>428</v>
      </c>
      <c r="HC211" s="319" t="s">
        <v>190</v>
      </c>
      <c r="HD211" s="319" t="s">
        <v>190</v>
      </c>
      <c r="HE211" s="319" t="s">
        <v>190</v>
      </c>
      <c r="HF211" s="319" t="s">
        <v>190</v>
      </c>
      <c r="HG211" s="319" t="s">
        <v>190</v>
      </c>
      <c r="HH211" s="319" t="s">
        <v>190</v>
      </c>
      <c r="HI211" s="319" t="s">
        <v>191</v>
      </c>
      <c r="HJ211" s="319" t="s">
        <v>190</v>
      </c>
      <c r="HK211" s="319" t="s">
        <v>190</v>
      </c>
      <c r="HL211" s="319" t="s">
        <v>428</v>
      </c>
      <c r="HM211" s="319" t="s">
        <v>428</v>
      </c>
      <c r="HN211" s="319" t="s">
        <v>428</v>
      </c>
      <c r="HO211" s="319" t="s">
        <v>428</v>
      </c>
      <c r="HP211" s="319" t="s">
        <v>190</v>
      </c>
      <c r="HQ211" s="319" t="s">
        <v>190</v>
      </c>
      <c r="HR211" s="319" t="s">
        <v>190</v>
      </c>
      <c r="HS211" s="319" t="s">
        <v>190</v>
      </c>
      <c r="HT211" s="319" t="s">
        <v>190</v>
      </c>
      <c r="HU211" s="319" t="s">
        <v>190</v>
      </c>
      <c r="HV211" s="319" t="s">
        <v>190</v>
      </c>
      <c r="HW211" s="319" t="s">
        <v>190</v>
      </c>
      <c r="HX211" s="319" t="s">
        <v>190</v>
      </c>
      <c r="HY211" s="319" t="s">
        <v>190</v>
      </c>
      <c r="HZ211" s="319" t="s">
        <v>190</v>
      </c>
      <c r="IA211" s="319" t="s">
        <v>190</v>
      </c>
      <c r="IB211" s="319" t="s">
        <v>190</v>
      </c>
      <c r="IC211" s="319" t="s">
        <v>190</v>
      </c>
      <c r="ID211" s="319" t="s">
        <v>190</v>
      </c>
      <c r="IE211" s="319" t="s">
        <v>190</v>
      </c>
      <c r="IF211" s="319" t="s">
        <v>190</v>
      </c>
      <c r="IG211" s="319" t="s">
        <v>190</v>
      </c>
      <c r="IH211" s="319" t="s">
        <v>190</v>
      </c>
      <c r="II211" s="319" t="s">
        <v>190</v>
      </c>
      <c r="IJ211" s="319" t="s">
        <v>2998</v>
      </c>
      <c r="IK211" s="321">
        <v>42123</v>
      </c>
      <c r="IL211" s="321">
        <v>42125</v>
      </c>
      <c r="IM211" s="321">
        <v>42158</v>
      </c>
      <c r="IN211" s="319">
        <v>2</v>
      </c>
      <c r="IO211" s="319">
        <v>10115442</v>
      </c>
      <c r="IP211" s="319" t="s">
        <v>985</v>
      </c>
      <c r="IQ211" s="321">
        <v>43733</v>
      </c>
      <c r="IR211" s="320" t="s">
        <v>2771</v>
      </c>
      <c r="IS211" s="322">
        <v>43754</v>
      </c>
      <c r="IT211" s="319" t="s">
        <v>165</v>
      </c>
    </row>
    <row r="212" spans="1:254" s="271" customFormat="1" x14ac:dyDescent="0.25">
      <c r="A212" s="318" t="str">
        <f>HYPERLINK("http://www.ofsted.gov.uk/inspection-reports/find-inspection-report/provider/ELS/120330 ","Ofsted School Webpage")</f>
        <v>Ofsted School Webpage</v>
      </c>
      <c r="B212" s="319">
        <v>120330</v>
      </c>
      <c r="C212" s="319">
        <v>8556010</v>
      </c>
      <c r="D212" s="319" t="s">
        <v>1512</v>
      </c>
      <c r="E212" s="319" t="s">
        <v>168</v>
      </c>
      <c r="F212" s="319" t="s">
        <v>81</v>
      </c>
      <c r="G212" s="319" t="s">
        <v>81</v>
      </c>
      <c r="H212" s="319" t="s">
        <v>81</v>
      </c>
      <c r="I212" s="319" t="s">
        <v>78</v>
      </c>
      <c r="J212" s="319" t="s">
        <v>424</v>
      </c>
      <c r="K212" s="319" t="s">
        <v>506</v>
      </c>
      <c r="L212" s="319" t="s">
        <v>506</v>
      </c>
      <c r="M212" s="319" t="s">
        <v>862</v>
      </c>
      <c r="N212" s="319" t="s">
        <v>2999</v>
      </c>
      <c r="O212" s="319" t="s">
        <v>1513</v>
      </c>
      <c r="P212" s="319">
        <v>70</v>
      </c>
      <c r="Q212" s="319" t="s">
        <v>429</v>
      </c>
      <c r="R212" s="320">
        <v>10039179</v>
      </c>
      <c r="S212" s="321">
        <v>43165</v>
      </c>
      <c r="T212" s="321">
        <v>43167</v>
      </c>
      <c r="U212" s="321">
        <v>43202</v>
      </c>
      <c r="V212" s="319" t="s">
        <v>425</v>
      </c>
      <c r="W212" s="319" t="s">
        <v>2767</v>
      </c>
      <c r="X212" s="319">
        <v>2</v>
      </c>
      <c r="Y212" s="319" t="s">
        <v>173</v>
      </c>
      <c r="Z212" s="319" t="s">
        <v>173</v>
      </c>
      <c r="AA212" s="319" t="s">
        <v>173</v>
      </c>
      <c r="AB212" s="319">
        <v>1</v>
      </c>
      <c r="AC212" s="319" t="s">
        <v>169</v>
      </c>
      <c r="AD212" s="319" t="s">
        <v>173</v>
      </c>
      <c r="AE212" s="319" t="s">
        <v>173</v>
      </c>
      <c r="AF212" s="319" t="s">
        <v>427</v>
      </c>
      <c r="AG212" s="319" t="s">
        <v>171</v>
      </c>
      <c r="AH212" s="319" t="s">
        <v>190</v>
      </c>
      <c r="AI212" s="319" t="s">
        <v>190</v>
      </c>
      <c r="AJ212" s="319" t="s">
        <v>190</v>
      </c>
      <c r="AK212" s="319" t="s">
        <v>190</v>
      </c>
      <c r="AL212" s="319" t="s">
        <v>190</v>
      </c>
      <c r="AM212" s="319" t="s">
        <v>190</v>
      </c>
      <c r="AN212" s="319" t="s">
        <v>190</v>
      </c>
      <c r="AO212" s="319" t="s">
        <v>190</v>
      </c>
      <c r="AP212" s="319" t="s">
        <v>190</v>
      </c>
      <c r="AQ212" s="319" t="s">
        <v>190</v>
      </c>
      <c r="AR212" s="319" t="s">
        <v>190</v>
      </c>
      <c r="AS212" s="319" t="s">
        <v>190</v>
      </c>
      <c r="AT212" s="319" t="s">
        <v>190</v>
      </c>
      <c r="AU212" s="319" t="s">
        <v>190</v>
      </c>
      <c r="AV212" s="319" t="s">
        <v>190</v>
      </c>
      <c r="AW212" s="319" t="s">
        <v>190</v>
      </c>
      <c r="AX212" s="319" t="s">
        <v>428</v>
      </c>
      <c r="AY212" s="319" t="s">
        <v>190</v>
      </c>
      <c r="AZ212" s="319" t="s">
        <v>190</v>
      </c>
      <c r="BA212" s="319" t="s">
        <v>190</v>
      </c>
      <c r="BB212" s="319" t="s">
        <v>190</v>
      </c>
      <c r="BC212" s="319" t="s">
        <v>190</v>
      </c>
      <c r="BD212" s="319" t="s">
        <v>190</v>
      </c>
      <c r="BE212" s="319" t="s">
        <v>190</v>
      </c>
      <c r="BF212" s="319" t="s">
        <v>428</v>
      </c>
      <c r="BG212" s="319" t="s">
        <v>428</v>
      </c>
      <c r="BH212" s="319" t="s">
        <v>190</v>
      </c>
      <c r="BI212" s="319" t="s">
        <v>190</v>
      </c>
      <c r="BJ212" s="319" t="s">
        <v>190</v>
      </c>
      <c r="BK212" s="319" t="s">
        <v>190</v>
      </c>
      <c r="BL212" s="319" t="s">
        <v>190</v>
      </c>
      <c r="BM212" s="319" t="s">
        <v>190</v>
      </c>
      <c r="BN212" s="319" t="s">
        <v>190</v>
      </c>
      <c r="BO212" s="319" t="s">
        <v>190</v>
      </c>
      <c r="BP212" s="319" t="s">
        <v>190</v>
      </c>
      <c r="BQ212" s="319" t="s">
        <v>190</v>
      </c>
      <c r="BR212" s="319" t="s">
        <v>190</v>
      </c>
      <c r="BS212" s="319" t="s">
        <v>190</v>
      </c>
      <c r="BT212" s="319" t="s">
        <v>190</v>
      </c>
      <c r="BU212" s="319" t="s">
        <v>190</v>
      </c>
      <c r="BV212" s="319" t="s">
        <v>190</v>
      </c>
      <c r="BW212" s="319" t="s">
        <v>190</v>
      </c>
      <c r="BX212" s="319" t="s">
        <v>190</v>
      </c>
      <c r="BY212" s="319" t="s">
        <v>190</v>
      </c>
      <c r="BZ212" s="319" t="s">
        <v>190</v>
      </c>
      <c r="CA212" s="319" t="s">
        <v>190</v>
      </c>
      <c r="CB212" s="319" t="s">
        <v>190</v>
      </c>
      <c r="CC212" s="319" t="s">
        <v>190</v>
      </c>
      <c r="CD212" s="319" t="s">
        <v>190</v>
      </c>
      <c r="CE212" s="319" t="s">
        <v>190</v>
      </c>
      <c r="CF212" s="319" t="s">
        <v>190</v>
      </c>
      <c r="CG212" s="319" t="s">
        <v>190</v>
      </c>
      <c r="CH212" s="319" t="s">
        <v>190</v>
      </c>
      <c r="CI212" s="319" t="s">
        <v>190</v>
      </c>
      <c r="CJ212" s="319" t="s">
        <v>190</v>
      </c>
      <c r="CK212" s="319" t="s">
        <v>190</v>
      </c>
      <c r="CL212" s="319" t="s">
        <v>190</v>
      </c>
      <c r="CM212" s="319" t="s">
        <v>190</v>
      </c>
      <c r="CN212" s="319" t="s">
        <v>428</v>
      </c>
      <c r="CO212" s="319" t="s">
        <v>428</v>
      </c>
      <c r="CP212" s="319" t="s">
        <v>428</v>
      </c>
      <c r="CQ212" s="319" t="s">
        <v>190</v>
      </c>
      <c r="CR212" s="319" t="s">
        <v>190</v>
      </c>
      <c r="CS212" s="319" t="s">
        <v>190</v>
      </c>
      <c r="CT212" s="319" t="s">
        <v>190</v>
      </c>
      <c r="CU212" s="319" t="s">
        <v>190</v>
      </c>
      <c r="CV212" s="319" t="s">
        <v>190</v>
      </c>
      <c r="CW212" s="319" t="s">
        <v>190</v>
      </c>
      <c r="CX212" s="319" t="s">
        <v>190</v>
      </c>
      <c r="CY212" s="319" t="s">
        <v>190</v>
      </c>
      <c r="CZ212" s="319" t="s">
        <v>190</v>
      </c>
      <c r="DA212" s="319" t="s">
        <v>190</v>
      </c>
      <c r="DB212" s="319" t="s">
        <v>190</v>
      </c>
      <c r="DC212" s="319" t="s">
        <v>190</v>
      </c>
      <c r="DD212" s="319" t="s">
        <v>190</v>
      </c>
      <c r="DE212" s="319" t="s">
        <v>190</v>
      </c>
      <c r="DF212" s="319" t="s">
        <v>190</v>
      </c>
      <c r="DG212" s="319" t="s">
        <v>190</v>
      </c>
      <c r="DH212" s="319" t="s">
        <v>190</v>
      </c>
      <c r="DI212" s="319" t="s">
        <v>190</v>
      </c>
      <c r="DJ212" s="319" t="s">
        <v>190</v>
      </c>
      <c r="DK212" s="319" t="s">
        <v>190</v>
      </c>
      <c r="DL212" s="319" t="s">
        <v>190</v>
      </c>
      <c r="DM212" s="319" t="s">
        <v>190</v>
      </c>
      <c r="DN212" s="319" t="s">
        <v>428</v>
      </c>
      <c r="DO212" s="319" t="s">
        <v>190</v>
      </c>
      <c r="DP212" s="319" t="s">
        <v>190</v>
      </c>
      <c r="DQ212" s="319" t="s">
        <v>190</v>
      </c>
      <c r="DR212" s="319" t="s">
        <v>190</v>
      </c>
      <c r="DS212" s="319" t="s">
        <v>190</v>
      </c>
      <c r="DT212" s="319" t="s">
        <v>190</v>
      </c>
      <c r="DU212" s="319" t="s">
        <v>190</v>
      </c>
      <c r="DV212" s="319" t="s">
        <v>173</v>
      </c>
      <c r="DW212" s="319" t="s">
        <v>190</v>
      </c>
      <c r="DX212" s="319" t="s">
        <v>190</v>
      </c>
      <c r="DY212" s="319" t="s">
        <v>190</v>
      </c>
      <c r="DZ212" s="319" t="s">
        <v>190</v>
      </c>
      <c r="EA212" s="319" t="s">
        <v>190</v>
      </c>
      <c r="EB212" s="319" t="s">
        <v>190</v>
      </c>
      <c r="EC212" s="319" t="s">
        <v>428</v>
      </c>
      <c r="ED212" s="319" t="s">
        <v>190</v>
      </c>
      <c r="EE212" s="319" t="s">
        <v>190</v>
      </c>
      <c r="EF212" s="319" t="s">
        <v>190</v>
      </c>
      <c r="EG212" s="319" t="s">
        <v>190</v>
      </c>
      <c r="EH212" s="319" t="s">
        <v>190</v>
      </c>
      <c r="EI212" s="319" t="s">
        <v>190</v>
      </c>
      <c r="EJ212" s="319" t="s">
        <v>190</v>
      </c>
      <c r="EK212" s="319" t="s">
        <v>190</v>
      </c>
      <c r="EL212" s="319" t="s">
        <v>190</v>
      </c>
      <c r="EM212" s="319" t="s">
        <v>190</v>
      </c>
      <c r="EN212" s="319" t="s">
        <v>190</v>
      </c>
      <c r="EO212" s="319" t="s">
        <v>190</v>
      </c>
      <c r="EP212" s="319" t="s">
        <v>190</v>
      </c>
      <c r="EQ212" s="319" t="s">
        <v>190</v>
      </c>
      <c r="ER212" s="319" t="s">
        <v>190</v>
      </c>
      <c r="ES212" s="319" t="s">
        <v>190</v>
      </c>
      <c r="ET212" s="319" t="s">
        <v>190</v>
      </c>
      <c r="EU212" s="319" t="s">
        <v>190</v>
      </c>
      <c r="EV212" s="319" t="s">
        <v>190</v>
      </c>
      <c r="EW212" s="319" t="s">
        <v>190</v>
      </c>
      <c r="EX212" s="319" t="s">
        <v>190</v>
      </c>
      <c r="EY212" s="319" t="s">
        <v>190</v>
      </c>
      <c r="EZ212" s="319" t="s">
        <v>190</v>
      </c>
      <c r="FA212" s="319" t="s">
        <v>190</v>
      </c>
      <c r="FB212" s="319" t="s">
        <v>190</v>
      </c>
      <c r="FC212" s="319" t="s">
        <v>190</v>
      </c>
      <c r="FD212" s="319" t="s">
        <v>190</v>
      </c>
      <c r="FE212" s="319" t="s">
        <v>190</v>
      </c>
      <c r="FF212" s="319" t="s">
        <v>190</v>
      </c>
      <c r="FG212" s="319" t="s">
        <v>190</v>
      </c>
      <c r="FH212" s="319" t="s">
        <v>190</v>
      </c>
      <c r="FI212" s="319" t="s">
        <v>190</v>
      </c>
      <c r="FJ212" s="319" t="s">
        <v>190</v>
      </c>
      <c r="FK212" s="319" t="s">
        <v>190</v>
      </c>
      <c r="FL212" s="319" t="s">
        <v>190</v>
      </c>
      <c r="FM212" s="319" t="s">
        <v>190</v>
      </c>
      <c r="FN212" s="319" t="s">
        <v>190</v>
      </c>
      <c r="FO212" s="319" t="s">
        <v>190</v>
      </c>
      <c r="FP212" s="319" t="s">
        <v>190</v>
      </c>
      <c r="FQ212" s="319" t="s">
        <v>190</v>
      </c>
      <c r="FR212" s="319" t="s">
        <v>190</v>
      </c>
      <c r="FS212" s="319" t="s">
        <v>428</v>
      </c>
      <c r="FT212" s="319" t="s">
        <v>190</v>
      </c>
      <c r="FU212" s="319" t="s">
        <v>190</v>
      </c>
      <c r="FV212" s="319" t="s">
        <v>190</v>
      </c>
      <c r="FW212" s="319" t="s">
        <v>190</v>
      </c>
      <c r="FX212" s="319" t="s">
        <v>190</v>
      </c>
      <c r="FY212" s="319" t="s">
        <v>190</v>
      </c>
      <c r="FZ212" s="319" t="s">
        <v>190</v>
      </c>
      <c r="GA212" s="319" t="s">
        <v>190</v>
      </c>
      <c r="GB212" s="319" t="s">
        <v>190</v>
      </c>
      <c r="GC212" s="319" t="s">
        <v>190</v>
      </c>
      <c r="GD212" s="319" t="s">
        <v>190</v>
      </c>
      <c r="GE212" s="319" t="s">
        <v>190</v>
      </c>
      <c r="GF212" s="319" t="s">
        <v>190</v>
      </c>
      <c r="GG212" s="319" t="s">
        <v>190</v>
      </c>
      <c r="GH212" s="319" t="s">
        <v>190</v>
      </c>
      <c r="GI212" s="319" t="s">
        <v>190</v>
      </c>
      <c r="GJ212" s="319" t="s">
        <v>190</v>
      </c>
      <c r="GK212" s="319" t="s">
        <v>428</v>
      </c>
      <c r="GL212" s="319" t="s">
        <v>190</v>
      </c>
      <c r="GM212" s="319" t="s">
        <v>190</v>
      </c>
      <c r="GN212" s="319" t="s">
        <v>190</v>
      </c>
      <c r="GO212" s="319" t="s">
        <v>190</v>
      </c>
      <c r="GP212" s="319" t="s">
        <v>190</v>
      </c>
      <c r="GQ212" s="319" t="s">
        <v>428</v>
      </c>
      <c r="GR212" s="319" t="s">
        <v>190</v>
      </c>
      <c r="GS212" s="319" t="s">
        <v>190</v>
      </c>
      <c r="GT212" s="319" t="s">
        <v>190</v>
      </c>
      <c r="GU212" s="319" t="s">
        <v>190</v>
      </c>
      <c r="GV212" s="319" t="s">
        <v>190</v>
      </c>
      <c r="GW212" s="319" t="s">
        <v>190</v>
      </c>
      <c r="GX212" s="319" t="s">
        <v>190</v>
      </c>
      <c r="GY212" s="319" t="s">
        <v>190</v>
      </c>
      <c r="GZ212" s="319" t="s">
        <v>428</v>
      </c>
      <c r="HA212" s="319" t="s">
        <v>190</v>
      </c>
      <c r="HB212" s="319" t="s">
        <v>190</v>
      </c>
      <c r="HC212" s="319" t="s">
        <v>190</v>
      </c>
      <c r="HD212" s="319" t="s">
        <v>190</v>
      </c>
      <c r="HE212" s="319" t="s">
        <v>190</v>
      </c>
      <c r="HF212" s="319" t="s">
        <v>190</v>
      </c>
      <c r="HG212" s="319" t="s">
        <v>190</v>
      </c>
      <c r="HH212" s="319" t="s">
        <v>190</v>
      </c>
      <c r="HI212" s="319" t="s">
        <v>190</v>
      </c>
      <c r="HJ212" s="319" t="s">
        <v>190</v>
      </c>
      <c r="HK212" s="319" t="s">
        <v>190</v>
      </c>
      <c r="HL212" s="319" t="s">
        <v>428</v>
      </c>
      <c r="HM212" s="319" t="s">
        <v>428</v>
      </c>
      <c r="HN212" s="319" t="s">
        <v>428</v>
      </c>
      <c r="HO212" s="319" t="s">
        <v>428</v>
      </c>
      <c r="HP212" s="319" t="s">
        <v>190</v>
      </c>
      <c r="HQ212" s="319" t="s">
        <v>190</v>
      </c>
      <c r="HR212" s="319" t="s">
        <v>190</v>
      </c>
      <c r="HS212" s="319" t="s">
        <v>190</v>
      </c>
      <c r="HT212" s="319" t="s">
        <v>190</v>
      </c>
      <c r="HU212" s="319" t="s">
        <v>190</v>
      </c>
      <c r="HV212" s="319" t="s">
        <v>190</v>
      </c>
      <c r="HW212" s="319" t="s">
        <v>190</v>
      </c>
      <c r="HX212" s="319" t="s">
        <v>190</v>
      </c>
      <c r="HY212" s="319" t="s">
        <v>190</v>
      </c>
      <c r="HZ212" s="319" t="s">
        <v>190</v>
      </c>
      <c r="IA212" s="319" t="s">
        <v>190</v>
      </c>
      <c r="IB212" s="319" t="s">
        <v>190</v>
      </c>
      <c r="IC212" s="319" t="s">
        <v>190</v>
      </c>
      <c r="ID212" s="319" t="s">
        <v>190</v>
      </c>
      <c r="IE212" s="319" t="s">
        <v>190</v>
      </c>
      <c r="IF212" s="319" t="s">
        <v>190</v>
      </c>
      <c r="IG212" s="319" t="s">
        <v>190</v>
      </c>
      <c r="IH212" s="319" t="s">
        <v>190</v>
      </c>
      <c r="II212" s="319" t="s">
        <v>190</v>
      </c>
      <c r="IJ212" s="319">
        <v>10007699</v>
      </c>
      <c r="IK212" s="321">
        <v>42352</v>
      </c>
      <c r="IL212" s="321">
        <v>42354</v>
      </c>
      <c r="IM212" s="321">
        <v>42391</v>
      </c>
      <c r="IN212" s="319">
        <v>3</v>
      </c>
      <c r="IO212" s="319" t="s">
        <v>173</v>
      </c>
      <c r="IP212" s="319" t="s">
        <v>173</v>
      </c>
      <c r="IQ212" s="321" t="s">
        <v>173</v>
      </c>
      <c r="IR212" s="320" t="s">
        <v>173</v>
      </c>
      <c r="IS212" s="322" t="s">
        <v>173</v>
      </c>
      <c r="IT212" s="319" t="s">
        <v>173</v>
      </c>
    </row>
    <row r="213" spans="1:254" s="271" customFormat="1" x14ac:dyDescent="0.25">
      <c r="A213" s="318" t="str">
        <f>HYPERLINK("http://www.ofsted.gov.uk/inspection-reports/find-inspection-report/provider/ELS/120331 ","Ofsted School Webpage")</f>
        <v>Ofsted School Webpage</v>
      </c>
      <c r="B213" s="319">
        <v>120331</v>
      </c>
      <c r="C213" s="319">
        <v>8556006</v>
      </c>
      <c r="D213" s="319" t="s">
        <v>1514</v>
      </c>
      <c r="E213" s="319" t="s">
        <v>167</v>
      </c>
      <c r="F213" s="319" t="s">
        <v>81</v>
      </c>
      <c r="G213" s="319" t="s">
        <v>81</v>
      </c>
      <c r="H213" s="319" t="s">
        <v>81</v>
      </c>
      <c r="I213" s="319" t="s">
        <v>78</v>
      </c>
      <c r="J213" s="319" t="s">
        <v>424</v>
      </c>
      <c r="K213" s="319" t="s">
        <v>506</v>
      </c>
      <c r="L213" s="319" t="s">
        <v>506</v>
      </c>
      <c r="M213" s="319" t="s">
        <v>862</v>
      </c>
      <c r="N213" s="319" t="s">
        <v>3000</v>
      </c>
      <c r="O213" s="319" t="s">
        <v>1515</v>
      </c>
      <c r="P213" s="319">
        <v>412</v>
      </c>
      <c r="Q213" s="319" t="s">
        <v>2776</v>
      </c>
      <c r="R213" s="320">
        <v>10026046</v>
      </c>
      <c r="S213" s="321">
        <v>42892</v>
      </c>
      <c r="T213" s="321">
        <v>42894</v>
      </c>
      <c r="U213" s="321">
        <v>42989</v>
      </c>
      <c r="V213" s="319" t="s">
        <v>425</v>
      </c>
      <c r="W213" s="319" t="s">
        <v>2767</v>
      </c>
      <c r="X213" s="319">
        <v>1</v>
      </c>
      <c r="Y213" s="319" t="s">
        <v>173</v>
      </c>
      <c r="Z213" s="319" t="s">
        <v>173</v>
      </c>
      <c r="AA213" s="319" t="s">
        <v>173</v>
      </c>
      <c r="AB213" s="319">
        <v>1</v>
      </c>
      <c r="AC213" s="319" t="s">
        <v>169</v>
      </c>
      <c r="AD213" s="319" t="s">
        <v>173</v>
      </c>
      <c r="AE213" s="319">
        <v>1</v>
      </c>
      <c r="AF213" s="319" t="s">
        <v>173</v>
      </c>
      <c r="AG213" s="319" t="s">
        <v>171</v>
      </c>
      <c r="AH213" s="319" t="s">
        <v>190</v>
      </c>
      <c r="AI213" s="319" t="s">
        <v>190</v>
      </c>
      <c r="AJ213" s="319" t="s">
        <v>190</v>
      </c>
      <c r="AK213" s="319" t="s">
        <v>190</v>
      </c>
      <c r="AL213" s="319" t="s">
        <v>190</v>
      </c>
      <c r="AM213" s="319" t="s">
        <v>190</v>
      </c>
      <c r="AN213" s="319" t="s">
        <v>190</v>
      </c>
      <c r="AO213" s="319" t="s">
        <v>190</v>
      </c>
      <c r="AP213" s="319" t="s">
        <v>190</v>
      </c>
      <c r="AQ213" s="319" t="s">
        <v>190</v>
      </c>
      <c r="AR213" s="319" t="s">
        <v>190</v>
      </c>
      <c r="AS213" s="319" t="s">
        <v>190</v>
      </c>
      <c r="AT213" s="319" t="s">
        <v>190</v>
      </c>
      <c r="AU213" s="319" t="s">
        <v>190</v>
      </c>
      <c r="AV213" s="319" t="s">
        <v>190</v>
      </c>
      <c r="AW213" s="319" t="s">
        <v>190</v>
      </c>
      <c r="AX213" s="319" t="s">
        <v>429</v>
      </c>
      <c r="AY213" s="319" t="s">
        <v>190</v>
      </c>
      <c r="AZ213" s="319" t="s">
        <v>190</v>
      </c>
      <c r="BA213" s="319" t="s">
        <v>190</v>
      </c>
      <c r="BB213" s="319" t="s">
        <v>190</v>
      </c>
      <c r="BC213" s="319" t="s">
        <v>190</v>
      </c>
      <c r="BD213" s="319" t="s">
        <v>190</v>
      </c>
      <c r="BE213" s="319" t="s">
        <v>190</v>
      </c>
      <c r="BF213" s="319" t="s">
        <v>429</v>
      </c>
      <c r="BG213" s="319" t="s">
        <v>190</v>
      </c>
      <c r="BH213" s="319" t="s">
        <v>190</v>
      </c>
      <c r="BI213" s="319" t="s">
        <v>190</v>
      </c>
      <c r="BJ213" s="319" t="s">
        <v>190</v>
      </c>
      <c r="BK213" s="319" t="s">
        <v>190</v>
      </c>
      <c r="BL213" s="319" t="s">
        <v>190</v>
      </c>
      <c r="BM213" s="319" t="s">
        <v>190</v>
      </c>
      <c r="BN213" s="319" t="s">
        <v>190</v>
      </c>
      <c r="BO213" s="319" t="s">
        <v>190</v>
      </c>
      <c r="BP213" s="319" t="s">
        <v>190</v>
      </c>
      <c r="BQ213" s="319" t="s">
        <v>190</v>
      </c>
      <c r="BR213" s="319" t="s">
        <v>190</v>
      </c>
      <c r="BS213" s="319" t="s">
        <v>190</v>
      </c>
      <c r="BT213" s="319" t="s">
        <v>190</v>
      </c>
      <c r="BU213" s="319" t="s">
        <v>190</v>
      </c>
      <c r="BV213" s="319" t="s">
        <v>190</v>
      </c>
      <c r="BW213" s="319" t="s">
        <v>190</v>
      </c>
      <c r="BX213" s="319" t="s">
        <v>190</v>
      </c>
      <c r="BY213" s="319" t="s">
        <v>190</v>
      </c>
      <c r="BZ213" s="319" t="s">
        <v>190</v>
      </c>
      <c r="CA213" s="319" t="s">
        <v>190</v>
      </c>
      <c r="CB213" s="319" t="s">
        <v>190</v>
      </c>
      <c r="CC213" s="319" t="s">
        <v>190</v>
      </c>
      <c r="CD213" s="319" t="s">
        <v>190</v>
      </c>
      <c r="CE213" s="319" t="s">
        <v>190</v>
      </c>
      <c r="CF213" s="319" t="s">
        <v>190</v>
      </c>
      <c r="CG213" s="319" t="s">
        <v>190</v>
      </c>
      <c r="CH213" s="319" t="s">
        <v>190</v>
      </c>
      <c r="CI213" s="319" t="s">
        <v>190</v>
      </c>
      <c r="CJ213" s="319" t="s">
        <v>190</v>
      </c>
      <c r="CK213" s="319" t="s">
        <v>190</v>
      </c>
      <c r="CL213" s="319" t="s">
        <v>190</v>
      </c>
      <c r="CM213" s="319" t="s">
        <v>190</v>
      </c>
      <c r="CN213" s="319" t="s">
        <v>429</v>
      </c>
      <c r="CO213" s="319" t="s">
        <v>429</v>
      </c>
      <c r="CP213" s="319" t="s">
        <v>429</v>
      </c>
      <c r="CQ213" s="319" t="s">
        <v>190</v>
      </c>
      <c r="CR213" s="319" t="s">
        <v>190</v>
      </c>
      <c r="CS213" s="319" t="s">
        <v>190</v>
      </c>
      <c r="CT213" s="319" t="s">
        <v>190</v>
      </c>
      <c r="CU213" s="319" t="s">
        <v>190</v>
      </c>
      <c r="CV213" s="319" t="s">
        <v>190</v>
      </c>
      <c r="CW213" s="319" t="s">
        <v>190</v>
      </c>
      <c r="CX213" s="319" t="s">
        <v>190</v>
      </c>
      <c r="CY213" s="319" t="s">
        <v>190</v>
      </c>
      <c r="CZ213" s="319" t="s">
        <v>190</v>
      </c>
      <c r="DA213" s="319" t="s">
        <v>190</v>
      </c>
      <c r="DB213" s="319" t="s">
        <v>190</v>
      </c>
      <c r="DC213" s="319" t="s">
        <v>190</v>
      </c>
      <c r="DD213" s="319" t="s">
        <v>190</v>
      </c>
      <c r="DE213" s="319" t="s">
        <v>190</v>
      </c>
      <c r="DF213" s="319" t="s">
        <v>190</v>
      </c>
      <c r="DG213" s="319" t="s">
        <v>190</v>
      </c>
      <c r="DH213" s="319" t="s">
        <v>190</v>
      </c>
      <c r="DI213" s="319" t="s">
        <v>190</v>
      </c>
      <c r="DJ213" s="319" t="s">
        <v>190</v>
      </c>
      <c r="DK213" s="319" t="s">
        <v>190</v>
      </c>
      <c r="DL213" s="319" t="s">
        <v>190</v>
      </c>
      <c r="DM213" s="319" t="s">
        <v>190</v>
      </c>
      <c r="DN213" s="319" t="s">
        <v>429</v>
      </c>
      <c r="DO213" s="319" t="s">
        <v>190</v>
      </c>
      <c r="DP213" s="319" t="s">
        <v>429</v>
      </c>
      <c r="DQ213" s="319" t="s">
        <v>429</v>
      </c>
      <c r="DR213" s="319" t="s">
        <v>429</v>
      </c>
      <c r="DS213" s="319" t="s">
        <v>429</v>
      </c>
      <c r="DT213" s="319" t="s">
        <v>429</v>
      </c>
      <c r="DU213" s="319" t="s">
        <v>429</v>
      </c>
      <c r="DV213" s="319" t="s">
        <v>173</v>
      </c>
      <c r="DW213" s="319" t="s">
        <v>429</v>
      </c>
      <c r="DX213" s="319" t="s">
        <v>429</v>
      </c>
      <c r="DY213" s="319" t="s">
        <v>429</v>
      </c>
      <c r="DZ213" s="319" t="s">
        <v>429</v>
      </c>
      <c r="EA213" s="319" t="s">
        <v>429</v>
      </c>
      <c r="EB213" s="319" t="s">
        <v>429</v>
      </c>
      <c r="EC213" s="319" t="s">
        <v>429</v>
      </c>
      <c r="ED213" s="319" t="s">
        <v>429</v>
      </c>
      <c r="EE213" s="319" t="s">
        <v>190</v>
      </c>
      <c r="EF213" s="319" t="s">
        <v>190</v>
      </c>
      <c r="EG213" s="319" t="s">
        <v>190</v>
      </c>
      <c r="EH213" s="319" t="s">
        <v>190</v>
      </c>
      <c r="EI213" s="319" t="s">
        <v>190</v>
      </c>
      <c r="EJ213" s="319" t="s">
        <v>190</v>
      </c>
      <c r="EK213" s="319" t="s">
        <v>190</v>
      </c>
      <c r="EL213" s="319" t="s">
        <v>190</v>
      </c>
      <c r="EM213" s="319" t="s">
        <v>429</v>
      </c>
      <c r="EN213" s="319" t="s">
        <v>190</v>
      </c>
      <c r="EO213" s="319" t="s">
        <v>190</v>
      </c>
      <c r="EP213" s="319" t="s">
        <v>190</v>
      </c>
      <c r="EQ213" s="319" t="s">
        <v>190</v>
      </c>
      <c r="ER213" s="319" t="s">
        <v>190</v>
      </c>
      <c r="ES213" s="319" t="s">
        <v>190</v>
      </c>
      <c r="ET213" s="319" t="s">
        <v>190</v>
      </c>
      <c r="EU213" s="319" t="s">
        <v>190</v>
      </c>
      <c r="EV213" s="319" t="s">
        <v>190</v>
      </c>
      <c r="EW213" s="319" t="s">
        <v>190</v>
      </c>
      <c r="EX213" s="319" t="s">
        <v>190</v>
      </c>
      <c r="EY213" s="319" t="s">
        <v>190</v>
      </c>
      <c r="EZ213" s="319" t="s">
        <v>190</v>
      </c>
      <c r="FA213" s="319" t="s">
        <v>190</v>
      </c>
      <c r="FB213" s="319" t="s">
        <v>429</v>
      </c>
      <c r="FC213" s="319" t="s">
        <v>429</v>
      </c>
      <c r="FD213" s="319" t="s">
        <v>429</v>
      </c>
      <c r="FE213" s="319" t="s">
        <v>429</v>
      </c>
      <c r="FF213" s="319" t="s">
        <v>429</v>
      </c>
      <c r="FG213" s="319" t="s">
        <v>429</v>
      </c>
      <c r="FH213" s="319" t="s">
        <v>429</v>
      </c>
      <c r="FI213" s="319" t="s">
        <v>190</v>
      </c>
      <c r="FJ213" s="319" t="s">
        <v>190</v>
      </c>
      <c r="FK213" s="319" t="s">
        <v>190</v>
      </c>
      <c r="FL213" s="319" t="s">
        <v>190</v>
      </c>
      <c r="FM213" s="319" t="s">
        <v>190</v>
      </c>
      <c r="FN213" s="319" t="s">
        <v>190</v>
      </c>
      <c r="FO213" s="319" t="s">
        <v>190</v>
      </c>
      <c r="FP213" s="319" t="s">
        <v>190</v>
      </c>
      <c r="FQ213" s="319" t="s">
        <v>190</v>
      </c>
      <c r="FR213" s="319" t="s">
        <v>190</v>
      </c>
      <c r="FS213" s="319" t="s">
        <v>429</v>
      </c>
      <c r="FT213" s="319" t="s">
        <v>190</v>
      </c>
      <c r="FU213" s="319" t="s">
        <v>190</v>
      </c>
      <c r="FV213" s="319" t="s">
        <v>190</v>
      </c>
      <c r="FW213" s="319" t="s">
        <v>190</v>
      </c>
      <c r="FX213" s="319" t="s">
        <v>190</v>
      </c>
      <c r="FY213" s="319" t="s">
        <v>190</v>
      </c>
      <c r="FZ213" s="319" t="s">
        <v>190</v>
      </c>
      <c r="GA213" s="319" t="s">
        <v>190</v>
      </c>
      <c r="GB213" s="319" t="s">
        <v>190</v>
      </c>
      <c r="GC213" s="319" t="s">
        <v>190</v>
      </c>
      <c r="GD213" s="319" t="s">
        <v>190</v>
      </c>
      <c r="GE213" s="319" t="s">
        <v>190</v>
      </c>
      <c r="GF213" s="319" t="s">
        <v>190</v>
      </c>
      <c r="GG213" s="319" t="s">
        <v>190</v>
      </c>
      <c r="GH213" s="319" t="s">
        <v>190</v>
      </c>
      <c r="GI213" s="319" t="s">
        <v>190</v>
      </c>
      <c r="GJ213" s="319" t="s">
        <v>190</v>
      </c>
      <c r="GK213" s="319" t="s">
        <v>429</v>
      </c>
      <c r="GL213" s="319" t="s">
        <v>190</v>
      </c>
      <c r="GM213" s="319" t="s">
        <v>190</v>
      </c>
      <c r="GN213" s="319" t="s">
        <v>190</v>
      </c>
      <c r="GO213" s="319" t="s">
        <v>190</v>
      </c>
      <c r="GP213" s="319" t="s">
        <v>190</v>
      </c>
      <c r="GQ213" s="319" t="s">
        <v>429</v>
      </c>
      <c r="GR213" s="319" t="s">
        <v>190</v>
      </c>
      <c r="GS213" s="319" t="s">
        <v>190</v>
      </c>
      <c r="GT213" s="319" t="s">
        <v>429</v>
      </c>
      <c r="GU213" s="319" t="s">
        <v>429</v>
      </c>
      <c r="GV213" s="319" t="s">
        <v>429</v>
      </c>
      <c r="GW213" s="319" t="s">
        <v>190</v>
      </c>
      <c r="GX213" s="319" t="s">
        <v>190</v>
      </c>
      <c r="GY213" s="319" t="s">
        <v>190</v>
      </c>
      <c r="GZ213" s="319" t="s">
        <v>429</v>
      </c>
      <c r="HA213" s="319" t="s">
        <v>190</v>
      </c>
      <c r="HB213" s="319" t="s">
        <v>429</v>
      </c>
      <c r="HC213" s="319" t="s">
        <v>190</v>
      </c>
      <c r="HD213" s="319" t="s">
        <v>190</v>
      </c>
      <c r="HE213" s="319" t="s">
        <v>190</v>
      </c>
      <c r="HF213" s="319" t="s">
        <v>190</v>
      </c>
      <c r="HG213" s="319" t="s">
        <v>190</v>
      </c>
      <c r="HH213" s="319" t="s">
        <v>190</v>
      </c>
      <c r="HI213" s="319" t="s">
        <v>190</v>
      </c>
      <c r="HJ213" s="319" t="s">
        <v>190</v>
      </c>
      <c r="HK213" s="319" t="s">
        <v>190</v>
      </c>
      <c r="HL213" s="319" t="s">
        <v>429</v>
      </c>
      <c r="HM213" s="319" t="s">
        <v>429</v>
      </c>
      <c r="HN213" s="319" t="s">
        <v>429</v>
      </c>
      <c r="HO213" s="319" t="s">
        <v>429</v>
      </c>
      <c r="HP213" s="319" t="s">
        <v>190</v>
      </c>
      <c r="HQ213" s="319" t="s">
        <v>190</v>
      </c>
      <c r="HR213" s="319" t="s">
        <v>190</v>
      </c>
      <c r="HS213" s="319" t="s">
        <v>190</v>
      </c>
      <c r="HT213" s="319" t="s">
        <v>190</v>
      </c>
      <c r="HU213" s="319" t="s">
        <v>190</v>
      </c>
      <c r="HV213" s="319" t="s">
        <v>190</v>
      </c>
      <c r="HW213" s="319" t="s">
        <v>190</v>
      </c>
      <c r="HX213" s="319" t="s">
        <v>190</v>
      </c>
      <c r="HY213" s="319" t="s">
        <v>190</v>
      </c>
      <c r="HZ213" s="319" t="s">
        <v>190</v>
      </c>
      <c r="IA213" s="319" t="s">
        <v>190</v>
      </c>
      <c r="IB213" s="319" t="s">
        <v>190</v>
      </c>
      <c r="IC213" s="319" t="s">
        <v>190</v>
      </c>
      <c r="ID213" s="319" t="s">
        <v>190</v>
      </c>
      <c r="IE213" s="319" t="s">
        <v>190</v>
      </c>
      <c r="IF213" s="319" t="s">
        <v>190</v>
      </c>
      <c r="IG213" s="319" t="s">
        <v>190</v>
      </c>
      <c r="IH213" s="319" t="s">
        <v>190</v>
      </c>
      <c r="II213" s="319" t="s">
        <v>190</v>
      </c>
      <c r="IJ213" s="319" t="s">
        <v>3001</v>
      </c>
      <c r="IK213" s="321">
        <v>41324</v>
      </c>
      <c r="IL213" s="321">
        <v>41326</v>
      </c>
      <c r="IM213" s="321">
        <v>41346</v>
      </c>
      <c r="IN213" s="319">
        <v>2</v>
      </c>
      <c r="IO213" s="319" t="s">
        <v>173</v>
      </c>
      <c r="IP213" s="319" t="s">
        <v>173</v>
      </c>
      <c r="IQ213" s="321" t="s">
        <v>173</v>
      </c>
      <c r="IR213" s="320" t="s">
        <v>173</v>
      </c>
      <c r="IS213" s="322" t="s">
        <v>173</v>
      </c>
      <c r="IT213" s="319" t="s">
        <v>173</v>
      </c>
    </row>
    <row r="214" spans="1:254" s="271" customFormat="1" x14ac:dyDescent="0.25">
      <c r="A214" s="318" t="str">
        <f>HYPERLINK("http://www.ofsted.gov.uk/inspection-reports/find-inspection-report/provider/ELS/120335 ","Ofsted School Webpage")</f>
        <v>Ofsted School Webpage</v>
      </c>
      <c r="B214" s="319">
        <v>120335</v>
      </c>
      <c r="C214" s="319">
        <v>8566007</v>
      </c>
      <c r="D214" s="319" t="s">
        <v>1516</v>
      </c>
      <c r="E214" s="319" t="s">
        <v>167</v>
      </c>
      <c r="F214" s="319" t="s">
        <v>71</v>
      </c>
      <c r="G214" s="319" t="s">
        <v>72</v>
      </c>
      <c r="H214" s="319" t="s">
        <v>71</v>
      </c>
      <c r="I214" s="319" t="s">
        <v>72</v>
      </c>
      <c r="J214" s="319" t="s">
        <v>424</v>
      </c>
      <c r="K214" s="319" t="s">
        <v>506</v>
      </c>
      <c r="L214" s="319" t="s">
        <v>506</v>
      </c>
      <c r="M214" s="319" t="s">
        <v>521</v>
      </c>
      <c r="N214" s="319" t="s">
        <v>2997</v>
      </c>
      <c r="O214" s="319" t="s">
        <v>1517</v>
      </c>
      <c r="P214" s="319">
        <v>260</v>
      </c>
      <c r="Q214" s="319" t="s">
        <v>2766</v>
      </c>
      <c r="R214" s="320">
        <v>10039180</v>
      </c>
      <c r="S214" s="321">
        <v>43060</v>
      </c>
      <c r="T214" s="321">
        <v>43062</v>
      </c>
      <c r="U214" s="321">
        <v>43081</v>
      </c>
      <c r="V214" s="319" t="s">
        <v>425</v>
      </c>
      <c r="W214" s="319" t="s">
        <v>2767</v>
      </c>
      <c r="X214" s="319">
        <v>2</v>
      </c>
      <c r="Y214" s="319" t="s">
        <v>173</v>
      </c>
      <c r="Z214" s="319" t="s">
        <v>173</v>
      </c>
      <c r="AA214" s="319" t="s">
        <v>173</v>
      </c>
      <c r="AB214" s="319">
        <v>2</v>
      </c>
      <c r="AC214" s="319" t="s">
        <v>169</v>
      </c>
      <c r="AD214" s="319">
        <v>2</v>
      </c>
      <c r="AE214" s="319" t="s">
        <v>173</v>
      </c>
      <c r="AF214" s="319" t="s">
        <v>427</v>
      </c>
      <c r="AG214" s="319" t="s">
        <v>171</v>
      </c>
      <c r="AH214" s="319" t="s">
        <v>190</v>
      </c>
      <c r="AI214" s="319" t="s">
        <v>190</v>
      </c>
      <c r="AJ214" s="319" t="s">
        <v>190</v>
      </c>
      <c r="AK214" s="319" t="s">
        <v>190</v>
      </c>
      <c r="AL214" s="319" t="s">
        <v>190</v>
      </c>
      <c r="AM214" s="319" t="s">
        <v>190</v>
      </c>
      <c r="AN214" s="319" t="s">
        <v>190</v>
      </c>
      <c r="AO214" s="319" t="s">
        <v>190</v>
      </c>
      <c r="AP214" s="319" t="s">
        <v>190</v>
      </c>
      <c r="AQ214" s="319" t="s">
        <v>190</v>
      </c>
      <c r="AR214" s="319" t="s">
        <v>190</v>
      </c>
      <c r="AS214" s="319" t="s">
        <v>190</v>
      </c>
      <c r="AT214" s="319" t="s">
        <v>190</v>
      </c>
      <c r="AU214" s="319" t="s">
        <v>190</v>
      </c>
      <c r="AV214" s="319" t="s">
        <v>190</v>
      </c>
      <c r="AW214" s="319" t="s">
        <v>190</v>
      </c>
      <c r="AX214" s="319" t="s">
        <v>428</v>
      </c>
      <c r="AY214" s="319" t="s">
        <v>190</v>
      </c>
      <c r="AZ214" s="319" t="s">
        <v>190</v>
      </c>
      <c r="BA214" s="319" t="s">
        <v>190</v>
      </c>
      <c r="BB214" s="319" t="s">
        <v>428</v>
      </c>
      <c r="BC214" s="319" t="s">
        <v>428</v>
      </c>
      <c r="BD214" s="319" t="s">
        <v>428</v>
      </c>
      <c r="BE214" s="319" t="s">
        <v>428</v>
      </c>
      <c r="BF214" s="319" t="s">
        <v>190</v>
      </c>
      <c r="BG214" s="319" t="s">
        <v>428</v>
      </c>
      <c r="BH214" s="319" t="s">
        <v>190</v>
      </c>
      <c r="BI214" s="319" t="s">
        <v>190</v>
      </c>
      <c r="BJ214" s="319" t="s">
        <v>190</v>
      </c>
      <c r="BK214" s="319" t="s">
        <v>190</v>
      </c>
      <c r="BL214" s="319" t="s">
        <v>190</v>
      </c>
      <c r="BM214" s="319" t="s">
        <v>190</v>
      </c>
      <c r="BN214" s="319" t="s">
        <v>190</v>
      </c>
      <c r="BO214" s="319" t="s">
        <v>190</v>
      </c>
      <c r="BP214" s="319" t="s">
        <v>190</v>
      </c>
      <c r="BQ214" s="319" t="s">
        <v>190</v>
      </c>
      <c r="BR214" s="319" t="s">
        <v>190</v>
      </c>
      <c r="BS214" s="319" t="s">
        <v>190</v>
      </c>
      <c r="BT214" s="319" t="s">
        <v>190</v>
      </c>
      <c r="BU214" s="319" t="s">
        <v>190</v>
      </c>
      <c r="BV214" s="319" t="s">
        <v>190</v>
      </c>
      <c r="BW214" s="319" t="s">
        <v>190</v>
      </c>
      <c r="BX214" s="319" t="s">
        <v>190</v>
      </c>
      <c r="BY214" s="319" t="s">
        <v>190</v>
      </c>
      <c r="BZ214" s="319" t="s">
        <v>190</v>
      </c>
      <c r="CA214" s="319" t="s">
        <v>190</v>
      </c>
      <c r="CB214" s="319" t="s">
        <v>190</v>
      </c>
      <c r="CC214" s="319" t="s">
        <v>190</v>
      </c>
      <c r="CD214" s="319" t="s">
        <v>190</v>
      </c>
      <c r="CE214" s="319" t="s">
        <v>190</v>
      </c>
      <c r="CF214" s="319" t="s">
        <v>190</v>
      </c>
      <c r="CG214" s="319" t="s">
        <v>190</v>
      </c>
      <c r="CH214" s="319" t="s">
        <v>190</v>
      </c>
      <c r="CI214" s="319" t="s">
        <v>190</v>
      </c>
      <c r="CJ214" s="319" t="s">
        <v>190</v>
      </c>
      <c r="CK214" s="319" t="s">
        <v>190</v>
      </c>
      <c r="CL214" s="319" t="s">
        <v>190</v>
      </c>
      <c r="CM214" s="319" t="s">
        <v>190</v>
      </c>
      <c r="CN214" s="319" t="s">
        <v>428</v>
      </c>
      <c r="CO214" s="319" t="s">
        <v>428</v>
      </c>
      <c r="CP214" s="319" t="s">
        <v>428</v>
      </c>
      <c r="CQ214" s="319" t="s">
        <v>190</v>
      </c>
      <c r="CR214" s="319" t="s">
        <v>190</v>
      </c>
      <c r="CS214" s="319" t="s">
        <v>190</v>
      </c>
      <c r="CT214" s="319" t="s">
        <v>190</v>
      </c>
      <c r="CU214" s="319" t="s">
        <v>190</v>
      </c>
      <c r="CV214" s="319" t="s">
        <v>190</v>
      </c>
      <c r="CW214" s="319" t="s">
        <v>190</v>
      </c>
      <c r="CX214" s="319" t="s">
        <v>190</v>
      </c>
      <c r="CY214" s="319" t="s">
        <v>190</v>
      </c>
      <c r="CZ214" s="319" t="s">
        <v>190</v>
      </c>
      <c r="DA214" s="319" t="s">
        <v>190</v>
      </c>
      <c r="DB214" s="319" t="s">
        <v>190</v>
      </c>
      <c r="DC214" s="319" t="s">
        <v>190</v>
      </c>
      <c r="DD214" s="319" t="s">
        <v>190</v>
      </c>
      <c r="DE214" s="319" t="s">
        <v>190</v>
      </c>
      <c r="DF214" s="319" t="s">
        <v>190</v>
      </c>
      <c r="DG214" s="319" t="s">
        <v>190</v>
      </c>
      <c r="DH214" s="319" t="s">
        <v>190</v>
      </c>
      <c r="DI214" s="319" t="s">
        <v>190</v>
      </c>
      <c r="DJ214" s="319" t="s">
        <v>190</v>
      </c>
      <c r="DK214" s="319" t="s">
        <v>190</v>
      </c>
      <c r="DL214" s="319" t="s">
        <v>190</v>
      </c>
      <c r="DM214" s="319" t="s">
        <v>190</v>
      </c>
      <c r="DN214" s="319" t="s">
        <v>428</v>
      </c>
      <c r="DO214" s="319" t="s">
        <v>190</v>
      </c>
      <c r="DP214" s="319" t="s">
        <v>428</v>
      </c>
      <c r="DQ214" s="319" t="s">
        <v>428</v>
      </c>
      <c r="DR214" s="319" t="s">
        <v>428</v>
      </c>
      <c r="DS214" s="319" t="s">
        <v>428</v>
      </c>
      <c r="DT214" s="319" t="s">
        <v>428</v>
      </c>
      <c r="DU214" s="319" t="s">
        <v>428</v>
      </c>
      <c r="DV214" s="319" t="s">
        <v>173</v>
      </c>
      <c r="DW214" s="319" t="s">
        <v>428</v>
      </c>
      <c r="DX214" s="319" t="s">
        <v>428</v>
      </c>
      <c r="DY214" s="319" t="s">
        <v>428</v>
      </c>
      <c r="DZ214" s="319" t="s">
        <v>428</v>
      </c>
      <c r="EA214" s="319" t="s">
        <v>428</v>
      </c>
      <c r="EB214" s="319" t="s">
        <v>428</v>
      </c>
      <c r="EC214" s="319" t="s">
        <v>428</v>
      </c>
      <c r="ED214" s="319" t="s">
        <v>428</v>
      </c>
      <c r="EE214" s="319" t="s">
        <v>190</v>
      </c>
      <c r="EF214" s="319" t="s">
        <v>190</v>
      </c>
      <c r="EG214" s="319" t="s">
        <v>190</v>
      </c>
      <c r="EH214" s="319" t="s">
        <v>190</v>
      </c>
      <c r="EI214" s="319" t="s">
        <v>190</v>
      </c>
      <c r="EJ214" s="319" t="s">
        <v>190</v>
      </c>
      <c r="EK214" s="319" t="s">
        <v>190</v>
      </c>
      <c r="EL214" s="319" t="s">
        <v>190</v>
      </c>
      <c r="EM214" s="319" t="s">
        <v>190</v>
      </c>
      <c r="EN214" s="319" t="s">
        <v>190</v>
      </c>
      <c r="EO214" s="319" t="s">
        <v>190</v>
      </c>
      <c r="EP214" s="319" t="s">
        <v>190</v>
      </c>
      <c r="EQ214" s="319" t="s">
        <v>190</v>
      </c>
      <c r="ER214" s="319" t="s">
        <v>190</v>
      </c>
      <c r="ES214" s="319" t="s">
        <v>190</v>
      </c>
      <c r="ET214" s="319" t="s">
        <v>190</v>
      </c>
      <c r="EU214" s="319" t="s">
        <v>190</v>
      </c>
      <c r="EV214" s="319" t="s">
        <v>190</v>
      </c>
      <c r="EW214" s="319" t="s">
        <v>190</v>
      </c>
      <c r="EX214" s="319" t="s">
        <v>190</v>
      </c>
      <c r="EY214" s="319" t="s">
        <v>190</v>
      </c>
      <c r="EZ214" s="319" t="s">
        <v>190</v>
      </c>
      <c r="FA214" s="319" t="s">
        <v>190</v>
      </c>
      <c r="FB214" s="319" t="s">
        <v>428</v>
      </c>
      <c r="FC214" s="319" t="s">
        <v>428</v>
      </c>
      <c r="FD214" s="319" t="s">
        <v>428</v>
      </c>
      <c r="FE214" s="319" t="s">
        <v>428</v>
      </c>
      <c r="FF214" s="319" t="s">
        <v>428</v>
      </c>
      <c r="FG214" s="319" t="s">
        <v>428</v>
      </c>
      <c r="FH214" s="319" t="s">
        <v>190</v>
      </c>
      <c r="FI214" s="319" t="s">
        <v>190</v>
      </c>
      <c r="FJ214" s="319" t="s">
        <v>190</v>
      </c>
      <c r="FK214" s="319" t="s">
        <v>190</v>
      </c>
      <c r="FL214" s="319" t="s">
        <v>190</v>
      </c>
      <c r="FM214" s="319" t="s">
        <v>190</v>
      </c>
      <c r="FN214" s="319" t="s">
        <v>190</v>
      </c>
      <c r="FO214" s="319" t="s">
        <v>190</v>
      </c>
      <c r="FP214" s="319" t="s">
        <v>190</v>
      </c>
      <c r="FQ214" s="319" t="s">
        <v>190</v>
      </c>
      <c r="FR214" s="319" t="s">
        <v>190</v>
      </c>
      <c r="FS214" s="319" t="s">
        <v>190</v>
      </c>
      <c r="FT214" s="319" t="s">
        <v>190</v>
      </c>
      <c r="FU214" s="319" t="s">
        <v>190</v>
      </c>
      <c r="FV214" s="319" t="s">
        <v>190</v>
      </c>
      <c r="FW214" s="319" t="s">
        <v>190</v>
      </c>
      <c r="FX214" s="319" t="s">
        <v>190</v>
      </c>
      <c r="FY214" s="319" t="s">
        <v>190</v>
      </c>
      <c r="FZ214" s="319" t="s">
        <v>190</v>
      </c>
      <c r="GA214" s="319" t="s">
        <v>190</v>
      </c>
      <c r="GB214" s="319" t="s">
        <v>190</v>
      </c>
      <c r="GC214" s="319" t="s">
        <v>190</v>
      </c>
      <c r="GD214" s="319" t="s">
        <v>190</v>
      </c>
      <c r="GE214" s="319" t="s">
        <v>190</v>
      </c>
      <c r="GF214" s="319" t="s">
        <v>190</v>
      </c>
      <c r="GG214" s="319" t="s">
        <v>190</v>
      </c>
      <c r="GH214" s="319" t="s">
        <v>190</v>
      </c>
      <c r="GI214" s="319" t="s">
        <v>190</v>
      </c>
      <c r="GJ214" s="319" t="s">
        <v>190</v>
      </c>
      <c r="GK214" s="319" t="s">
        <v>428</v>
      </c>
      <c r="GL214" s="319" t="s">
        <v>190</v>
      </c>
      <c r="GM214" s="319" t="s">
        <v>190</v>
      </c>
      <c r="GN214" s="319" t="s">
        <v>190</v>
      </c>
      <c r="GO214" s="319" t="s">
        <v>190</v>
      </c>
      <c r="GP214" s="319" t="s">
        <v>190</v>
      </c>
      <c r="GQ214" s="319" t="s">
        <v>428</v>
      </c>
      <c r="GR214" s="319" t="s">
        <v>190</v>
      </c>
      <c r="GS214" s="319" t="s">
        <v>190</v>
      </c>
      <c r="GT214" s="319" t="s">
        <v>428</v>
      </c>
      <c r="GU214" s="319" t="s">
        <v>428</v>
      </c>
      <c r="GV214" s="319" t="s">
        <v>190</v>
      </c>
      <c r="GW214" s="319" t="s">
        <v>190</v>
      </c>
      <c r="GX214" s="319" t="s">
        <v>190</v>
      </c>
      <c r="GY214" s="319" t="s">
        <v>190</v>
      </c>
      <c r="GZ214" s="319" t="s">
        <v>190</v>
      </c>
      <c r="HA214" s="319" t="s">
        <v>190</v>
      </c>
      <c r="HB214" s="319" t="s">
        <v>190</v>
      </c>
      <c r="HC214" s="319" t="s">
        <v>190</v>
      </c>
      <c r="HD214" s="319" t="s">
        <v>190</v>
      </c>
      <c r="HE214" s="319" t="s">
        <v>190</v>
      </c>
      <c r="HF214" s="319" t="s">
        <v>190</v>
      </c>
      <c r="HG214" s="319" t="s">
        <v>190</v>
      </c>
      <c r="HH214" s="319" t="s">
        <v>190</v>
      </c>
      <c r="HI214" s="319" t="s">
        <v>190</v>
      </c>
      <c r="HJ214" s="319" t="s">
        <v>190</v>
      </c>
      <c r="HK214" s="319" t="s">
        <v>428</v>
      </c>
      <c r="HL214" s="319" t="s">
        <v>428</v>
      </c>
      <c r="HM214" s="319" t="s">
        <v>428</v>
      </c>
      <c r="HN214" s="319" t="s">
        <v>428</v>
      </c>
      <c r="HO214" s="319" t="s">
        <v>428</v>
      </c>
      <c r="HP214" s="319" t="s">
        <v>190</v>
      </c>
      <c r="HQ214" s="319" t="s">
        <v>190</v>
      </c>
      <c r="HR214" s="319" t="s">
        <v>190</v>
      </c>
      <c r="HS214" s="319" t="s">
        <v>190</v>
      </c>
      <c r="HT214" s="319" t="s">
        <v>190</v>
      </c>
      <c r="HU214" s="319" t="s">
        <v>190</v>
      </c>
      <c r="HV214" s="319" t="s">
        <v>190</v>
      </c>
      <c r="HW214" s="319" t="s">
        <v>190</v>
      </c>
      <c r="HX214" s="319" t="s">
        <v>190</v>
      </c>
      <c r="HY214" s="319" t="s">
        <v>190</v>
      </c>
      <c r="HZ214" s="319" t="s">
        <v>190</v>
      </c>
      <c r="IA214" s="319" t="s">
        <v>190</v>
      </c>
      <c r="IB214" s="319" t="s">
        <v>190</v>
      </c>
      <c r="IC214" s="319" t="s">
        <v>190</v>
      </c>
      <c r="ID214" s="319" t="s">
        <v>190</v>
      </c>
      <c r="IE214" s="319" t="s">
        <v>190</v>
      </c>
      <c r="IF214" s="319" t="s">
        <v>190</v>
      </c>
      <c r="IG214" s="319" t="s">
        <v>190</v>
      </c>
      <c r="IH214" s="319" t="s">
        <v>190</v>
      </c>
      <c r="II214" s="319" t="s">
        <v>190</v>
      </c>
      <c r="IJ214" s="319">
        <v>10007693</v>
      </c>
      <c r="IK214" s="321">
        <v>42284</v>
      </c>
      <c r="IL214" s="321">
        <v>42286</v>
      </c>
      <c r="IM214" s="321">
        <v>42327</v>
      </c>
      <c r="IN214" s="319">
        <v>4</v>
      </c>
      <c r="IO214" s="319" t="s">
        <v>173</v>
      </c>
      <c r="IP214" s="319" t="s">
        <v>173</v>
      </c>
      <c r="IQ214" s="321" t="s">
        <v>173</v>
      </c>
      <c r="IR214" s="320" t="s">
        <v>173</v>
      </c>
      <c r="IS214" s="322" t="s">
        <v>173</v>
      </c>
      <c r="IT214" s="319" t="s">
        <v>173</v>
      </c>
    </row>
    <row r="215" spans="1:254" s="271" customFormat="1" x14ac:dyDescent="0.25">
      <c r="A215" s="318" t="str">
        <f>HYPERLINK("http://www.ofsted.gov.uk/inspection-reports/find-inspection-report/provider/ELS/120336 ","Ofsted School Webpage")</f>
        <v>Ofsted School Webpage</v>
      </c>
      <c r="B215" s="319">
        <v>120336</v>
      </c>
      <c r="C215" s="319">
        <v>8556014</v>
      </c>
      <c r="D215" s="319" t="s">
        <v>1518</v>
      </c>
      <c r="E215" s="319" t="s">
        <v>167</v>
      </c>
      <c r="F215" s="319" t="s">
        <v>81</v>
      </c>
      <c r="G215" s="319" t="s">
        <v>81</v>
      </c>
      <c r="H215" s="319" t="s">
        <v>81</v>
      </c>
      <c r="I215" s="319" t="s">
        <v>78</v>
      </c>
      <c r="J215" s="319" t="s">
        <v>424</v>
      </c>
      <c r="K215" s="319" t="s">
        <v>506</v>
      </c>
      <c r="L215" s="319" t="s">
        <v>506</v>
      </c>
      <c r="M215" s="319" t="s">
        <v>862</v>
      </c>
      <c r="N215" s="319" t="s">
        <v>3000</v>
      </c>
      <c r="O215" s="319" t="s">
        <v>1519</v>
      </c>
      <c r="P215" s="319">
        <v>126</v>
      </c>
      <c r="Q215" s="319" t="s">
        <v>2766</v>
      </c>
      <c r="R215" s="320">
        <v>10033525</v>
      </c>
      <c r="S215" s="321">
        <v>43284</v>
      </c>
      <c r="T215" s="321">
        <v>43286</v>
      </c>
      <c r="U215" s="321">
        <v>43357</v>
      </c>
      <c r="V215" s="319" t="s">
        <v>425</v>
      </c>
      <c r="W215" s="319" t="s">
        <v>2767</v>
      </c>
      <c r="X215" s="319">
        <v>1</v>
      </c>
      <c r="Y215" s="319" t="s">
        <v>173</v>
      </c>
      <c r="Z215" s="319" t="s">
        <v>173</v>
      </c>
      <c r="AA215" s="319" t="s">
        <v>173</v>
      </c>
      <c r="AB215" s="319">
        <v>1</v>
      </c>
      <c r="AC215" s="319" t="s">
        <v>169</v>
      </c>
      <c r="AD215" s="319">
        <v>1</v>
      </c>
      <c r="AE215" s="319" t="s">
        <v>173</v>
      </c>
      <c r="AF215" s="319" t="s">
        <v>427</v>
      </c>
      <c r="AG215" s="319" t="s">
        <v>171</v>
      </c>
      <c r="AH215" s="319" t="s">
        <v>190</v>
      </c>
      <c r="AI215" s="319" t="s">
        <v>190</v>
      </c>
      <c r="AJ215" s="319" t="s">
        <v>190</v>
      </c>
      <c r="AK215" s="319" t="s">
        <v>190</v>
      </c>
      <c r="AL215" s="319" t="s">
        <v>190</v>
      </c>
      <c r="AM215" s="319" t="s">
        <v>190</v>
      </c>
      <c r="AN215" s="319" t="s">
        <v>190</v>
      </c>
      <c r="AO215" s="319" t="s">
        <v>190</v>
      </c>
      <c r="AP215" s="319" t="s">
        <v>190</v>
      </c>
      <c r="AQ215" s="319" t="s">
        <v>190</v>
      </c>
      <c r="AR215" s="319" t="s">
        <v>190</v>
      </c>
      <c r="AS215" s="319" t="s">
        <v>190</v>
      </c>
      <c r="AT215" s="319" t="s">
        <v>190</v>
      </c>
      <c r="AU215" s="319" t="s">
        <v>190</v>
      </c>
      <c r="AV215" s="319" t="s">
        <v>190</v>
      </c>
      <c r="AW215" s="319" t="s">
        <v>190</v>
      </c>
      <c r="AX215" s="319" t="s">
        <v>190</v>
      </c>
      <c r="AY215" s="319" t="s">
        <v>190</v>
      </c>
      <c r="AZ215" s="319" t="s">
        <v>190</v>
      </c>
      <c r="BA215" s="319" t="s">
        <v>190</v>
      </c>
      <c r="BB215" s="319" t="s">
        <v>428</v>
      </c>
      <c r="BC215" s="319" t="s">
        <v>428</v>
      </c>
      <c r="BD215" s="319" t="s">
        <v>428</v>
      </c>
      <c r="BE215" s="319" t="s">
        <v>428</v>
      </c>
      <c r="BF215" s="319" t="s">
        <v>428</v>
      </c>
      <c r="BG215" s="319" t="s">
        <v>428</v>
      </c>
      <c r="BH215" s="319" t="s">
        <v>190</v>
      </c>
      <c r="BI215" s="319" t="s">
        <v>190</v>
      </c>
      <c r="BJ215" s="319" t="s">
        <v>190</v>
      </c>
      <c r="BK215" s="319" t="s">
        <v>190</v>
      </c>
      <c r="BL215" s="319" t="s">
        <v>190</v>
      </c>
      <c r="BM215" s="319" t="s">
        <v>190</v>
      </c>
      <c r="BN215" s="319" t="s">
        <v>190</v>
      </c>
      <c r="BO215" s="319" t="s">
        <v>190</v>
      </c>
      <c r="BP215" s="319" t="s">
        <v>190</v>
      </c>
      <c r="BQ215" s="319" t="s">
        <v>190</v>
      </c>
      <c r="BR215" s="319" t="s">
        <v>190</v>
      </c>
      <c r="BS215" s="319" t="s">
        <v>190</v>
      </c>
      <c r="BT215" s="319" t="s">
        <v>190</v>
      </c>
      <c r="BU215" s="319" t="s">
        <v>190</v>
      </c>
      <c r="BV215" s="319" t="s">
        <v>190</v>
      </c>
      <c r="BW215" s="319" t="s">
        <v>190</v>
      </c>
      <c r="BX215" s="319" t="s">
        <v>190</v>
      </c>
      <c r="BY215" s="319" t="s">
        <v>190</v>
      </c>
      <c r="BZ215" s="319" t="s">
        <v>190</v>
      </c>
      <c r="CA215" s="319" t="s">
        <v>190</v>
      </c>
      <c r="CB215" s="319" t="s">
        <v>190</v>
      </c>
      <c r="CC215" s="319" t="s">
        <v>190</v>
      </c>
      <c r="CD215" s="319" t="s">
        <v>190</v>
      </c>
      <c r="CE215" s="319" t="s">
        <v>190</v>
      </c>
      <c r="CF215" s="319" t="s">
        <v>190</v>
      </c>
      <c r="CG215" s="319" t="s">
        <v>190</v>
      </c>
      <c r="CH215" s="319" t="s">
        <v>190</v>
      </c>
      <c r="CI215" s="319" t="s">
        <v>190</v>
      </c>
      <c r="CJ215" s="319" t="s">
        <v>190</v>
      </c>
      <c r="CK215" s="319" t="s">
        <v>190</v>
      </c>
      <c r="CL215" s="319" t="s">
        <v>190</v>
      </c>
      <c r="CM215" s="319" t="s">
        <v>190</v>
      </c>
      <c r="CN215" s="319" t="s">
        <v>428</v>
      </c>
      <c r="CO215" s="319" t="s">
        <v>428</v>
      </c>
      <c r="CP215" s="319" t="s">
        <v>428</v>
      </c>
      <c r="CQ215" s="319" t="s">
        <v>190</v>
      </c>
      <c r="CR215" s="319" t="s">
        <v>190</v>
      </c>
      <c r="CS215" s="319" t="s">
        <v>190</v>
      </c>
      <c r="CT215" s="319" t="s">
        <v>190</v>
      </c>
      <c r="CU215" s="319" t="s">
        <v>190</v>
      </c>
      <c r="CV215" s="319" t="s">
        <v>190</v>
      </c>
      <c r="CW215" s="319" t="s">
        <v>190</v>
      </c>
      <c r="CX215" s="319" t="s">
        <v>190</v>
      </c>
      <c r="CY215" s="319" t="s">
        <v>190</v>
      </c>
      <c r="CZ215" s="319" t="s">
        <v>190</v>
      </c>
      <c r="DA215" s="319" t="s">
        <v>190</v>
      </c>
      <c r="DB215" s="319" t="s">
        <v>190</v>
      </c>
      <c r="DC215" s="319" t="s">
        <v>190</v>
      </c>
      <c r="DD215" s="319" t="s">
        <v>190</v>
      </c>
      <c r="DE215" s="319" t="s">
        <v>190</v>
      </c>
      <c r="DF215" s="319" t="s">
        <v>190</v>
      </c>
      <c r="DG215" s="319" t="s">
        <v>190</v>
      </c>
      <c r="DH215" s="319" t="s">
        <v>190</v>
      </c>
      <c r="DI215" s="319" t="s">
        <v>190</v>
      </c>
      <c r="DJ215" s="319" t="s">
        <v>190</v>
      </c>
      <c r="DK215" s="319" t="s">
        <v>190</v>
      </c>
      <c r="DL215" s="319" t="s">
        <v>190</v>
      </c>
      <c r="DM215" s="319" t="s">
        <v>190</v>
      </c>
      <c r="DN215" s="319" t="s">
        <v>428</v>
      </c>
      <c r="DO215" s="319" t="s">
        <v>190</v>
      </c>
      <c r="DP215" s="319" t="s">
        <v>428</v>
      </c>
      <c r="DQ215" s="319" t="s">
        <v>428</v>
      </c>
      <c r="DR215" s="319" t="s">
        <v>428</v>
      </c>
      <c r="DS215" s="319" t="s">
        <v>428</v>
      </c>
      <c r="DT215" s="319" t="s">
        <v>428</v>
      </c>
      <c r="DU215" s="319" t="s">
        <v>428</v>
      </c>
      <c r="DV215" s="319" t="s">
        <v>173</v>
      </c>
      <c r="DW215" s="319" t="s">
        <v>428</v>
      </c>
      <c r="DX215" s="319" t="s">
        <v>428</v>
      </c>
      <c r="DY215" s="319" t="s">
        <v>428</v>
      </c>
      <c r="DZ215" s="319" t="s">
        <v>428</v>
      </c>
      <c r="EA215" s="319" t="s">
        <v>428</v>
      </c>
      <c r="EB215" s="319" t="s">
        <v>428</v>
      </c>
      <c r="EC215" s="319" t="s">
        <v>428</v>
      </c>
      <c r="ED215" s="319" t="s">
        <v>428</v>
      </c>
      <c r="EE215" s="319" t="s">
        <v>190</v>
      </c>
      <c r="EF215" s="319" t="s">
        <v>190</v>
      </c>
      <c r="EG215" s="319" t="s">
        <v>190</v>
      </c>
      <c r="EH215" s="319" t="s">
        <v>190</v>
      </c>
      <c r="EI215" s="319" t="s">
        <v>190</v>
      </c>
      <c r="EJ215" s="319" t="s">
        <v>190</v>
      </c>
      <c r="EK215" s="319" t="s">
        <v>190</v>
      </c>
      <c r="EL215" s="319" t="s">
        <v>190</v>
      </c>
      <c r="EM215" s="319" t="s">
        <v>190</v>
      </c>
      <c r="EN215" s="319" t="s">
        <v>190</v>
      </c>
      <c r="EO215" s="319" t="s">
        <v>190</v>
      </c>
      <c r="EP215" s="319" t="s">
        <v>190</v>
      </c>
      <c r="EQ215" s="319" t="s">
        <v>190</v>
      </c>
      <c r="ER215" s="319" t="s">
        <v>190</v>
      </c>
      <c r="ES215" s="319" t="s">
        <v>190</v>
      </c>
      <c r="ET215" s="319" t="s">
        <v>190</v>
      </c>
      <c r="EU215" s="319" t="s">
        <v>190</v>
      </c>
      <c r="EV215" s="319" t="s">
        <v>190</v>
      </c>
      <c r="EW215" s="319" t="s">
        <v>190</v>
      </c>
      <c r="EX215" s="319" t="s">
        <v>190</v>
      </c>
      <c r="EY215" s="319" t="s">
        <v>190</v>
      </c>
      <c r="EZ215" s="319" t="s">
        <v>190</v>
      </c>
      <c r="FA215" s="319" t="s">
        <v>190</v>
      </c>
      <c r="FB215" s="319" t="s">
        <v>428</v>
      </c>
      <c r="FC215" s="319" t="s">
        <v>428</v>
      </c>
      <c r="FD215" s="319" t="s">
        <v>428</v>
      </c>
      <c r="FE215" s="319" t="s">
        <v>428</v>
      </c>
      <c r="FF215" s="319" t="s">
        <v>428</v>
      </c>
      <c r="FG215" s="319" t="s">
        <v>428</v>
      </c>
      <c r="FH215" s="319" t="s">
        <v>190</v>
      </c>
      <c r="FI215" s="319" t="s">
        <v>190</v>
      </c>
      <c r="FJ215" s="319" t="s">
        <v>190</v>
      </c>
      <c r="FK215" s="319" t="s">
        <v>190</v>
      </c>
      <c r="FL215" s="319" t="s">
        <v>190</v>
      </c>
      <c r="FM215" s="319" t="s">
        <v>190</v>
      </c>
      <c r="FN215" s="319" t="s">
        <v>190</v>
      </c>
      <c r="FO215" s="319" t="s">
        <v>190</v>
      </c>
      <c r="FP215" s="319" t="s">
        <v>190</v>
      </c>
      <c r="FQ215" s="319" t="s">
        <v>190</v>
      </c>
      <c r="FR215" s="319" t="s">
        <v>190</v>
      </c>
      <c r="FS215" s="319" t="s">
        <v>190</v>
      </c>
      <c r="FT215" s="319" t="s">
        <v>190</v>
      </c>
      <c r="FU215" s="319" t="s">
        <v>190</v>
      </c>
      <c r="FV215" s="319" t="s">
        <v>190</v>
      </c>
      <c r="FW215" s="319" t="s">
        <v>190</v>
      </c>
      <c r="FX215" s="319" t="s">
        <v>190</v>
      </c>
      <c r="FY215" s="319" t="s">
        <v>190</v>
      </c>
      <c r="FZ215" s="319" t="s">
        <v>190</v>
      </c>
      <c r="GA215" s="319" t="s">
        <v>190</v>
      </c>
      <c r="GB215" s="319" t="s">
        <v>190</v>
      </c>
      <c r="GC215" s="319" t="s">
        <v>190</v>
      </c>
      <c r="GD215" s="319" t="s">
        <v>190</v>
      </c>
      <c r="GE215" s="319" t="s">
        <v>190</v>
      </c>
      <c r="GF215" s="319" t="s">
        <v>190</v>
      </c>
      <c r="GG215" s="319" t="s">
        <v>190</v>
      </c>
      <c r="GH215" s="319" t="s">
        <v>190</v>
      </c>
      <c r="GI215" s="319" t="s">
        <v>190</v>
      </c>
      <c r="GJ215" s="319" t="s">
        <v>190</v>
      </c>
      <c r="GK215" s="319" t="s">
        <v>428</v>
      </c>
      <c r="GL215" s="319" t="s">
        <v>190</v>
      </c>
      <c r="GM215" s="319" t="s">
        <v>190</v>
      </c>
      <c r="GN215" s="319" t="s">
        <v>190</v>
      </c>
      <c r="GO215" s="319" t="s">
        <v>190</v>
      </c>
      <c r="GP215" s="319" t="s">
        <v>190</v>
      </c>
      <c r="GQ215" s="319" t="s">
        <v>190</v>
      </c>
      <c r="GR215" s="319" t="s">
        <v>190</v>
      </c>
      <c r="GS215" s="319" t="s">
        <v>190</v>
      </c>
      <c r="GT215" s="319" t="s">
        <v>190</v>
      </c>
      <c r="GU215" s="319" t="s">
        <v>190</v>
      </c>
      <c r="GV215" s="319" t="s">
        <v>190</v>
      </c>
      <c r="GW215" s="319" t="s">
        <v>190</v>
      </c>
      <c r="GX215" s="319" t="s">
        <v>190</v>
      </c>
      <c r="GY215" s="319" t="s">
        <v>190</v>
      </c>
      <c r="GZ215" s="319" t="s">
        <v>190</v>
      </c>
      <c r="HA215" s="319" t="s">
        <v>190</v>
      </c>
      <c r="HB215" s="319" t="s">
        <v>190</v>
      </c>
      <c r="HC215" s="319" t="s">
        <v>190</v>
      </c>
      <c r="HD215" s="319" t="s">
        <v>190</v>
      </c>
      <c r="HE215" s="319" t="s">
        <v>190</v>
      </c>
      <c r="HF215" s="319" t="s">
        <v>190</v>
      </c>
      <c r="HG215" s="319" t="s">
        <v>190</v>
      </c>
      <c r="HH215" s="319" t="s">
        <v>190</v>
      </c>
      <c r="HI215" s="319" t="s">
        <v>190</v>
      </c>
      <c r="HJ215" s="319" t="s">
        <v>190</v>
      </c>
      <c r="HK215" s="319" t="s">
        <v>190</v>
      </c>
      <c r="HL215" s="319" t="s">
        <v>190</v>
      </c>
      <c r="HM215" s="319" t="s">
        <v>190</v>
      </c>
      <c r="HN215" s="319" t="s">
        <v>190</v>
      </c>
      <c r="HO215" s="319" t="s">
        <v>190</v>
      </c>
      <c r="HP215" s="319" t="s">
        <v>190</v>
      </c>
      <c r="HQ215" s="319" t="s">
        <v>190</v>
      </c>
      <c r="HR215" s="319" t="s">
        <v>190</v>
      </c>
      <c r="HS215" s="319" t="s">
        <v>190</v>
      </c>
      <c r="HT215" s="319" t="s">
        <v>190</v>
      </c>
      <c r="HU215" s="319" t="s">
        <v>190</v>
      </c>
      <c r="HV215" s="319" t="s">
        <v>190</v>
      </c>
      <c r="HW215" s="319" t="s">
        <v>190</v>
      </c>
      <c r="HX215" s="319" t="s">
        <v>190</v>
      </c>
      <c r="HY215" s="319" t="s">
        <v>190</v>
      </c>
      <c r="HZ215" s="319" t="s">
        <v>190</v>
      </c>
      <c r="IA215" s="319" t="s">
        <v>190</v>
      </c>
      <c r="IB215" s="319" t="s">
        <v>190</v>
      </c>
      <c r="IC215" s="319" t="s">
        <v>190</v>
      </c>
      <c r="ID215" s="319" t="s">
        <v>190</v>
      </c>
      <c r="IE215" s="319" t="s">
        <v>190</v>
      </c>
      <c r="IF215" s="319" t="s">
        <v>190</v>
      </c>
      <c r="IG215" s="319" t="s">
        <v>190</v>
      </c>
      <c r="IH215" s="319" t="s">
        <v>190</v>
      </c>
      <c r="II215" s="319" t="s">
        <v>190</v>
      </c>
      <c r="IJ215" s="319" t="s">
        <v>3002</v>
      </c>
      <c r="IK215" s="321">
        <v>41814</v>
      </c>
      <c r="IL215" s="321">
        <v>41816</v>
      </c>
      <c r="IM215" s="321">
        <v>41848</v>
      </c>
      <c r="IN215" s="319">
        <v>1</v>
      </c>
      <c r="IO215" s="319" t="s">
        <v>173</v>
      </c>
      <c r="IP215" s="319" t="s">
        <v>173</v>
      </c>
      <c r="IQ215" s="321" t="s">
        <v>173</v>
      </c>
      <c r="IR215" s="320" t="s">
        <v>173</v>
      </c>
      <c r="IS215" s="322" t="s">
        <v>173</v>
      </c>
      <c r="IT215" s="319" t="s">
        <v>173</v>
      </c>
    </row>
    <row r="216" spans="1:254" s="271" customFormat="1" x14ac:dyDescent="0.25">
      <c r="A216" s="318" t="str">
        <f>HYPERLINK("http://www.ofsted.gov.uk/inspection-reports/find-inspection-report/provider/ELS/120345 ","Ofsted School Webpage")</f>
        <v>Ofsted School Webpage</v>
      </c>
      <c r="B216" s="319">
        <v>120345</v>
      </c>
      <c r="C216" s="319">
        <v>8566004</v>
      </c>
      <c r="D216" s="319" t="s">
        <v>1083</v>
      </c>
      <c r="E216" s="319" t="s">
        <v>167</v>
      </c>
      <c r="F216" s="319" t="s">
        <v>81</v>
      </c>
      <c r="G216" s="319" t="s">
        <v>72</v>
      </c>
      <c r="H216" s="319" t="s">
        <v>72</v>
      </c>
      <c r="I216" s="319" t="s">
        <v>72</v>
      </c>
      <c r="J216" s="319" t="s">
        <v>424</v>
      </c>
      <c r="K216" s="319" t="s">
        <v>506</v>
      </c>
      <c r="L216" s="319" t="s">
        <v>506</v>
      </c>
      <c r="M216" s="319" t="s">
        <v>521</v>
      </c>
      <c r="N216" s="319" t="s">
        <v>3003</v>
      </c>
      <c r="O216" s="319" t="s">
        <v>1084</v>
      </c>
      <c r="P216" s="319">
        <v>135</v>
      </c>
      <c r="Q216" s="319" t="s">
        <v>2776</v>
      </c>
      <c r="R216" s="320">
        <v>10116630</v>
      </c>
      <c r="S216" s="321">
        <v>43767</v>
      </c>
      <c r="T216" s="321">
        <v>43769</v>
      </c>
      <c r="U216" s="321">
        <v>43804</v>
      </c>
      <c r="V216" s="319" t="s">
        <v>425</v>
      </c>
      <c r="W216" s="319" t="s">
        <v>2767</v>
      </c>
      <c r="X216" s="319">
        <v>2</v>
      </c>
      <c r="Y216" s="319">
        <v>2</v>
      </c>
      <c r="Z216" s="319">
        <v>2</v>
      </c>
      <c r="AA216" s="319">
        <v>2</v>
      </c>
      <c r="AB216" s="319">
        <v>2</v>
      </c>
      <c r="AC216" s="319" t="s">
        <v>169</v>
      </c>
      <c r="AD216" s="319" t="s">
        <v>173</v>
      </c>
      <c r="AE216" s="319">
        <v>2</v>
      </c>
      <c r="AF216" s="319" t="s">
        <v>427</v>
      </c>
      <c r="AG216" s="319" t="s">
        <v>171</v>
      </c>
      <c r="AH216" s="319" t="s">
        <v>190</v>
      </c>
      <c r="AI216" s="319" t="s">
        <v>190</v>
      </c>
      <c r="AJ216" s="319" t="s">
        <v>190</v>
      </c>
      <c r="AK216" s="319" t="s">
        <v>190</v>
      </c>
      <c r="AL216" s="319" t="s">
        <v>190</v>
      </c>
      <c r="AM216" s="319" t="s">
        <v>190</v>
      </c>
      <c r="AN216" s="319" t="s">
        <v>190</v>
      </c>
      <c r="AO216" s="319" t="s">
        <v>190</v>
      </c>
      <c r="AP216" s="319" t="s">
        <v>190</v>
      </c>
      <c r="AQ216" s="319" t="s">
        <v>190</v>
      </c>
      <c r="AR216" s="319" t="s">
        <v>190</v>
      </c>
      <c r="AS216" s="319" t="s">
        <v>190</v>
      </c>
      <c r="AT216" s="319" t="s">
        <v>190</v>
      </c>
      <c r="AU216" s="319" t="s">
        <v>190</v>
      </c>
      <c r="AV216" s="319" t="s">
        <v>190</v>
      </c>
      <c r="AW216" s="319" t="s">
        <v>190</v>
      </c>
      <c r="AX216" s="319" t="s">
        <v>428</v>
      </c>
      <c r="AY216" s="319" t="s">
        <v>190</v>
      </c>
      <c r="AZ216" s="319" t="s">
        <v>190</v>
      </c>
      <c r="BA216" s="319" t="s">
        <v>190</v>
      </c>
      <c r="BB216" s="319" t="s">
        <v>190</v>
      </c>
      <c r="BC216" s="319" t="s">
        <v>190</v>
      </c>
      <c r="BD216" s="319" t="s">
        <v>190</v>
      </c>
      <c r="BE216" s="319" t="s">
        <v>190</v>
      </c>
      <c r="BF216" s="319" t="s">
        <v>428</v>
      </c>
      <c r="BG216" s="319" t="s">
        <v>190</v>
      </c>
      <c r="BH216" s="319" t="s">
        <v>190</v>
      </c>
      <c r="BI216" s="319" t="s">
        <v>190</v>
      </c>
      <c r="BJ216" s="319" t="s">
        <v>190</v>
      </c>
      <c r="BK216" s="319" t="s">
        <v>190</v>
      </c>
      <c r="BL216" s="319" t="s">
        <v>190</v>
      </c>
      <c r="BM216" s="319" t="s">
        <v>190</v>
      </c>
      <c r="BN216" s="319" t="s">
        <v>190</v>
      </c>
      <c r="BO216" s="319" t="s">
        <v>190</v>
      </c>
      <c r="BP216" s="319" t="s">
        <v>190</v>
      </c>
      <c r="BQ216" s="319" t="s">
        <v>190</v>
      </c>
      <c r="BR216" s="319" t="s">
        <v>190</v>
      </c>
      <c r="BS216" s="319" t="s">
        <v>190</v>
      </c>
      <c r="BT216" s="319" t="s">
        <v>190</v>
      </c>
      <c r="BU216" s="319" t="s">
        <v>190</v>
      </c>
      <c r="BV216" s="319" t="s">
        <v>190</v>
      </c>
      <c r="BW216" s="319" t="s">
        <v>190</v>
      </c>
      <c r="BX216" s="319" t="s">
        <v>190</v>
      </c>
      <c r="BY216" s="319" t="s">
        <v>190</v>
      </c>
      <c r="BZ216" s="319" t="s">
        <v>190</v>
      </c>
      <c r="CA216" s="319" t="s">
        <v>190</v>
      </c>
      <c r="CB216" s="319" t="s">
        <v>190</v>
      </c>
      <c r="CC216" s="319" t="s">
        <v>190</v>
      </c>
      <c r="CD216" s="319" t="s">
        <v>190</v>
      </c>
      <c r="CE216" s="319" t="s">
        <v>190</v>
      </c>
      <c r="CF216" s="319" t="s">
        <v>190</v>
      </c>
      <c r="CG216" s="319" t="s">
        <v>190</v>
      </c>
      <c r="CH216" s="319" t="s">
        <v>190</v>
      </c>
      <c r="CI216" s="319" t="s">
        <v>190</v>
      </c>
      <c r="CJ216" s="319" t="s">
        <v>190</v>
      </c>
      <c r="CK216" s="319" t="s">
        <v>190</v>
      </c>
      <c r="CL216" s="319" t="s">
        <v>190</v>
      </c>
      <c r="CM216" s="319" t="s">
        <v>190</v>
      </c>
      <c r="CN216" s="319" t="s">
        <v>428</v>
      </c>
      <c r="CO216" s="319" t="s">
        <v>428</v>
      </c>
      <c r="CP216" s="319" t="s">
        <v>428</v>
      </c>
      <c r="CQ216" s="319" t="s">
        <v>190</v>
      </c>
      <c r="CR216" s="319" t="s">
        <v>190</v>
      </c>
      <c r="CS216" s="319" t="s">
        <v>190</v>
      </c>
      <c r="CT216" s="319" t="s">
        <v>190</v>
      </c>
      <c r="CU216" s="319" t="s">
        <v>190</v>
      </c>
      <c r="CV216" s="319" t="s">
        <v>190</v>
      </c>
      <c r="CW216" s="319" t="s">
        <v>190</v>
      </c>
      <c r="CX216" s="319" t="s">
        <v>190</v>
      </c>
      <c r="CY216" s="319" t="s">
        <v>190</v>
      </c>
      <c r="CZ216" s="319" t="s">
        <v>190</v>
      </c>
      <c r="DA216" s="319" t="s">
        <v>190</v>
      </c>
      <c r="DB216" s="319" t="s">
        <v>190</v>
      </c>
      <c r="DC216" s="319" t="s">
        <v>190</v>
      </c>
      <c r="DD216" s="319" t="s">
        <v>190</v>
      </c>
      <c r="DE216" s="319" t="s">
        <v>190</v>
      </c>
      <c r="DF216" s="319" t="s">
        <v>190</v>
      </c>
      <c r="DG216" s="319" t="s">
        <v>190</v>
      </c>
      <c r="DH216" s="319" t="s">
        <v>190</v>
      </c>
      <c r="DI216" s="319" t="s">
        <v>190</v>
      </c>
      <c r="DJ216" s="319" t="s">
        <v>190</v>
      </c>
      <c r="DK216" s="319" t="s">
        <v>190</v>
      </c>
      <c r="DL216" s="319" t="s">
        <v>190</v>
      </c>
      <c r="DM216" s="319" t="s">
        <v>190</v>
      </c>
      <c r="DN216" s="319" t="s">
        <v>191</v>
      </c>
      <c r="DO216" s="319" t="s">
        <v>190</v>
      </c>
      <c r="DP216" s="319" t="s">
        <v>428</v>
      </c>
      <c r="DQ216" s="319" t="s">
        <v>428</v>
      </c>
      <c r="DR216" s="319" t="s">
        <v>428</v>
      </c>
      <c r="DS216" s="319" t="s">
        <v>428</v>
      </c>
      <c r="DT216" s="319" t="s">
        <v>428</v>
      </c>
      <c r="DU216" s="319" t="s">
        <v>428</v>
      </c>
      <c r="DV216" s="319" t="s">
        <v>428</v>
      </c>
      <c r="DW216" s="319" t="s">
        <v>428</v>
      </c>
      <c r="DX216" s="319" t="s">
        <v>428</v>
      </c>
      <c r="DY216" s="319" t="s">
        <v>428</v>
      </c>
      <c r="DZ216" s="319" t="s">
        <v>428</v>
      </c>
      <c r="EA216" s="319" t="s">
        <v>428</v>
      </c>
      <c r="EB216" s="319" t="s">
        <v>428</v>
      </c>
      <c r="EC216" s="319" t="s">
        <v>428</v>
      </c>
      <c r="ED216" s="319" t="s">
        <v>428</v>
      </c>
      <c r="EE216" s="319" t="s">
        <v>190</v>
      </c>
      <c r="EF216" s="319" t="s">
        <v>190</v>
      </c>
      <c r="EG216" s="319" t="s">
        <v>190</v>
      </c>
      <c r="EH216" s="319" t="s">
        <v>190</v>
      </c>
      <c r="EI216" s="319" t="s">
        <v>190</v>
      </c>
      <c r="EJ216" s="319" t="s">
        <v>190</v>
      </c>
      <c r="EK216" s="319" t="s">
        <v>190</v>
      </c>
      <c r="EL216" s="319" t="s">
        <v>190</v>
      </c>
      <c r="EM216" s="319" t="s">
        <v>190</v>
      </c>
      <c r="EN216" s="319" t="s">
        <v>190</v>
      </c>
      <c r="EO216" s="319" t="s">
        <v>190</v>
      </c>
      <c r="EP216" s="319" t="s">
        <v>190</v>
      </c>
      <c r="EQ216" s="319" t="s">
        <v>190</v>
      </c>
      <c r="ER216" s="319" t="s">
        <v>190</v>
      </c>
      <c r="ES216" s="319" t="s">
        <v>190</v>
      </c>
      <c r="ET216" s="319" t="s">
        <v>190</v>
      </c>
      <c r="EU216" s="319" t="s">
        <v>190</v>
      </c>
      <c r="EV216" s="319" t="s">
        <v>190</v>
      </c>
      <c r="EW216" s="319" t="s">
        <v>190</v>
      </c>
      <c r="EX216" s="319" t="s">
        <v>190</v>
      </c>
      <c r="EY216" s="319" t="s">
        <v>190</v>
      </c>
      <c r="EZ216" s="319" t="s">
        <v>190</v>
      </c>
      <c r="FA216" s="319" t="s">
        <v>190</v>
      </c>
      <c r="FB216" s="319" t="s">
        <v>428</v>
      </c>
      <c r="FC216" s="319" t="s">
        <v>428</v>
      </c>
      <c r="FD216" s="319" t="s">
        <v>428</v>
      </c>
      <c r="FE216" s="319" t="s">
        <v>428</v>
      </c>
      <c r="FF216" s="319" t="s">
        <v>428</v>
      </c>
      <c r="FG216" s="319" t="s">
        <v>428</v>
      </c>
      <c r="FH216" s="319" t="s">
        <v>190</v>
      </c>
      <c r="FI216" s="319" t="s">
        <v>428</v>
      </c>
      <c r="FJ216" s="319" t="s">
        <v>429</v>
      </c>
      <c r="FK216" s="319" t="s">
        <v>428</v>
      </c>
      <c r="FL216" s="319" t="s">
        <v>190</v>
      </c>
      <c r="FM216" s="319" t="s">
        <v>190</v>
      </c>
      <c r="FN216" s="319" t="s">
        <v>428</v>
      </c>
      <c r="FO216" s="319" t="s">
        <v>190</v>
      </c>
      <c r="FP216" s="319" t="s">
        <v>190</v>
      </c>
      <c r="FQ216" s="319" t="s">
        <v>190</v>
      </c>
      <c r="FR216" s="319" t="s">
        <v>190</v>
      </c>
      <c r="FS216" s="319" t="s">
        <v>428</v>
      </c>
      <c r="FT216" s="319" t="s">
        <v>428</v>
      </c>
      <c r="FU216" s="319" t="s">
        <v>190</v>
      </c>
      <c r="FV216" s="319" t="s">
        <v>190</v>
      </c>
      <c r="FW216" s="319" t="s">
        <v>190</v>
      </c>
      <c r="FX216" s="319" t="s">
        <v>190</v>
      </c>
      <c r="FY216" s="319" t="s">
        <v>190</v>
      </c>
      <c r="FZ216" s="319" t="s">
        <v>190</v>
      </c>
      <c r="GA216" s="319" t="s">
        <v>190</v>
      </c>
      <c r="GB216" s="319" t="s">
        <v>190</v>
      </c>
      <c r="GC216" s="319" t="s">
        <v>190</v>
      </c>
      <c r="GD216" s="319" t="s">
        <v>190</v>
      </c>
      <c r="GE216" s="319" t="s">
        <v>190</v>
      </c>
      <c r="GF216" s="319" t="s">
        <v>190</v>
      </c>
      <c r="GG216" s="319" t="s">
        <v>190</v>
      </c>
      <c r="GH216" s="319" t="s">
        <v>190</v>
      </c>
      <c r="GI216" s="319" t="s">
        <v>190</v>
      </c>
      <c r="GJ216" s="319" t="s">
        <v>190</v>
      </c>
      <c r="GK216" s="319" t="s">
        <v>428</v>
      </c>
      <c r="GL216" s="319" t="s">
        <v>190</v>
      </c>
      <c r="GM216" s="319" t="s">
        <v>190</v>
      </c>
      <c r="GN216" s="319" t="s">
        <v>190</v>
      </c>
      <c r="GO216" s="319" t="s">
        <v>190</v>
      </c>
      <c r="GP216" s="319" t="s">
        <v>190</v>
      </c>
      <c r="GQ216" s="319" t="s">
        <v>190</v>
      </c>
      <c r="GR216" s="319" t="s">
        <v>190</v>
      </c>
      <c r="GS216" s="319" t="s">
        <v>190</v>
      </c>
      <c r="GT216" s="319" t="s">
        <v>428</v>
      </c>
      <c r="GU216" s="319" t="s">
        <v>428</v>
      </c>
      <c r="GV216" s="319" t="s">
        <v>190</v>
      </c>
      <c r="GW216" s="319" t="s">
        <v>190</v>
      </c>
      <c r="GX216" s="319" t="s">
        <v>190</v>
      </c>
      <c r="GY216" s="319" t="s">
        <v>190</v>
      </c>
      <c r="GZ216" s="319" t="s">
        <v>428</v>
      </c>
      <c r="HA216" s="319" t="s">
        <v>190</v>
      </c>
      <c r="HB216" s="319" t="s">
        <v>190</v>
      </c>
      <c r="HC216" s="319" t="s">
        <v>190</v>
      </c>
      <c r="HD216" s="319" t="s">
        <v>190</v>
      </c>
      <c r="HE216" s="319" t="s">
        <v>190</v>
      </c>
      <c r="HF216" s="319" t="s">
        <v>428</v>
      </c>
      <c r="HG216" s="319" t="s">
        <v>190</v>
      </c>
      <c r="HH216" s="319" t="s">
        <v>190</v>
      </c>
      <c r="HI216" s="319" t="s">
        <v>190</v>
      </c>
      <c r="HJ216" s="319" t="s">
        <v>190</v>
      </c>
      <c r="HK216" s="319" t="s">
        <v>190</v>
      </c>
      <c r="HL216" s="319" t="s">
        <v>190</v>
      </c>
      <c r="HM216" s="319" t="s">
        <v>428</v>
      </c>
      <c r="HN216" s="319" t="s">
        <v>428</v>
      </c>
      <c r="HO216" s="319" t="s">
        <v>428</v>
      </c>
      <c r="HP216" s="319" t="s">
        <v>190</v>
      </c>
      <c r="HQ216" s="319" t="s">
        <v>190</v>
      </c>
      <c r="HR216" s="319" t="s">
        <v>190</v>
      </c>
      <c r="HS216" s="319" t="s">
        <v>190</v>
      </c>
      <c r="HT216" s="319" t="s">
        <v>190</v>
      </c>
      <c r="HU216" s="319" t="s">
        <v>190</v>
      </c>
      <c r="HV216" s="319" t="s">
        <v>190</v>
      </c>
      <c r="HW216" s="319" t="s">
        <v>190</v>
      </c>
      <c r="HX216" s="319" t="s">
        <v>190</v>
      </c>
      <c r="HY216" s="319" t="s">
        <v>190</v>
      </c>
      <c r="HZ216" s="319" t="s">
        <v>190</v>
      </c>
      <c r="IA216" s="319" t="s">
        <v>190</v>
      </c>
      <c r="IB216" s="319" t="s">
        <v>190</v>
      </c>
      <c r="IC216" s="319" t="s">
        <v>190</v>
      </c>
      <c r="ID216" s="319" t="s">
        <v>190</v>
      </c>
      <c r="IE216" s="319" t="s">
        <v>190</v>
      </c>
      <c r="IF216" s="319" t="s">
        <v>190</v>
      </c>
      <c r="IG216" s="319" t="s">
        <v>190</v>
      </c>
      <c r="IH216" s="319" t="s">
        <v>190</v>
      </c>
      <c r="II216" s="319" t="s">
        <v>190</v>
      </c>
      <c r="IJ216" s="319">
        <v>10039181</v>
      </c>
      <c r="IK216" s="321">
        <v>43130</v>
      </c>
      <c r="IL216" s="321">
        <v>43132</v>
      </c>
      <c r="IM216" s="321">
        <v>43165</v>
      </c>
      <c r="IN216" s="319">
        <v>3</v>
      </c>
      <c r="IO216" s="319" t="s">
        <v>173</v>
      </c>
      <c r="IP216" s="319" t="s">
        <v>173</v>
      </c>
      <c r="IQ216" s="321" t="s">
        <v>173</v>
      </c>
      <c r="IR216" s="320" t="s">
        <v>173</v>
      </c>
      <c r="IS216" s="322" t="s">
        <v>173</v>
      </c>
      <c r="IT216" s="319" t="s">
        <v>173</v>
      </c>
    </row>
    <row r="217" spans="1:254" s="271" customFormat="1" x14ac:dyDescent="0.25">
      <c r="A217" s="318" t="str">
        <f>HYPERLINK("http://www.ofsted.gov.uk/inspection-reports/find-inspection-report/provider/ELS/120728 ","Ofsted School Webpage")</f>
        <v>Ofsted School Webpage</v>
      </c>
      <c r="B217" s="319">
        <v>120728</v>
      </c>
      <c r="C217" s="319">
        <v>9256016</v>
      </c>
      <c r="D217" s="319" t="s">
        <v>887</v>
      </c>
      <c r="E217" s="319" t="s">
        <v>167</v>
      </c>
      <c r="F217" s="319" t="s">
        <v>81</v>
      </c>
      <c r="G217" s="319" t="s">
        <v>81</v>
      </c>
      <c r="H217" s="319" t="s">
        <v>81</v>
      </c>
      <c r="I217" s="319" t="s">
        <v>78</v>
      </c>
      <c r="J217" s="319" t="s">
        <v>424</v>
      </c>
      <c r="K217" s="319" t="s">
        <v>506</v>
      </c>
      <c r="L217" s="319" t="s">
        <v>506</v>
      </c>
      <c r="M217" s="319" t="s">
        <v>833</v>
      </c>
      <c r="N217" s="319" t="s">
        <v>3004</v>
      </c>
      <c r="O217" s="319" t="s">
        <v>888</v>
      </c>
      <c r="P217" s="319">
        <v>29</v>
      </c>
      <c r="Q217" s="319" t="s">
        <v>2766</v>
      </c>
      <c r="R217" s="320">
        <v>10078683</v>
      </c>
      <c r="S217" s="321">
        <v>43494</v>
      </c>
      <c r="T217" s="321">
        <v>43496</v>
      </c>
      <c r="U217" s="321">
        <v>43538</v>
      </c>
      <c r="V217" s="319" t="s">
        <v>425</v>
      </c>
      <c r="W217" s="319" t="s">
        <v>2767</v>
      </c>
      <c r="X217" s="319">
        <v>2</v>
      </c>
      <c r="Y217" s="319" t="s">
        <v>173</v>
      </c>
      <c r="Z217" s="319" t="s">
        <v>173</v>
      </c>
      <c r="AA217" s="319" t="s">
        <v>173</v>
      </c>
      <c r="AB217" s="319">
        <v>2</v>
      </c>
      <c r="AC217" s="319" t="s">
        <v>169</v>
      </c>
      <c r="AD217" s="319">
        <v>2</v>
      </c>
      <c r="AE217" s="319" t="s">
        <v>173</v>
      </c>
      <c r="AF217" s="319" t="s">
        <v>427</v>
      </c>
      <c r="AG217" s="319" t="s">
        <v>171</v>
      </c>
      <c r="AH217" s="319" t="s">
        <v>190</v>
      </c>
      <c r="AI217" s="319" t="s">
        <v>190</v>
      </c>
      <c r="AJ217" s="319" t="s">
        <v>190</v>
      </c>
      <c r="AK217" s="319" t="s">
        <v>190</v>
      </c>
      <c r="AL217" s="319" t="s">
        <v>190</v>
      </c>
      <c r="AM217" s="319" t="s">
        <v>190</v>
      </c>
      <c r="AN217" s="319" t="s">
        <v>190</v>
      </c>
      <c r="AO217" s="319" t="s">
        <v>190</v>
      </c>
      <c r="AP217" s="319" t="s">
        <v>190</v>
      </c>
      <c r="AQ217" s="319" t="s">
        <v>190</v>
      </c>
      <c r="AR217" s="319" t="s">
        <v>190</v>
      </c>
      <c r="AS217" s="319" t="s">
        <v>190</v>
      </c>
      <c r="AT217" s="319" t="s">
        <v>190</v>
      </c>
      <c r="AU217" s="319" t="s">
        <v>190</v>
      </c>
      <c r="AV217" s="319" t="s">
        <v>190</v>
      </c>
      <c r="AW217" s="319" t="s">
        <v>190</v>
      </c>
      <c r="AX217" s="319" t="s">
        <v>428</v>
      </c>
      <c r="AY217" s="319" t="s">
        <v>190</v>
      </c>
      <c r="AZ217" s="319" t="s">
        <v>190</v>
      </c>
      <c r="BA217" s="319" t="s">
        <v>190</v>
      </c>
      <c r="BB217" s="319" t="s">
        <v>428</v>
      </c>
      <c r="BC217" s="319" t="s">
        <v>428</v>
      </c>
      <c r="BD217" s="319" t="s">
        <v>428</v>
      </c>
      <c r="BE217" s="319" t="s">
        <v>428</v>
      </c>
      <c r="BF217" s="319" t="s">
        <v>190</v>
      </c>
      <c r="BG217" s="319" t="s">
        <v>428</v>
      </c>
      <c r="BH217" s="319" t="s">
        <v>190</v>
      </c>
      <c r="BI217" s="319" t="s">
        <v>190</v>
      </c>
      <c r="BJ217" s="319" t="s">
        <v>190</v>
      </c>
      <c r="BK217" s="319" t="s">
        <v>190</v>
      </c>
      <c r="BL217" s="319" t="s">
        <v>190</v>
      </c>
      <c r="BM217" s="319" t="s">
        <v>190</v>
      </c>
      <c r="BN217" s="319" t="s">
        <v>190</v>
      </c>
      <c r="BO217" s="319" t="s">
        <v>190</v>
      </c>
      <c r="BP217" s="319" t="s">
        <v>190</v>
      </c>
      <c r="BQ217" s="319" t="s">
        <v>190</v>
      </c>
      <c r="BR217" s="319" t="s">
        <v>190</v>
      </c>
      <c r="BS217" s="319" t="s">
        <v>190</v>
      </c>
      <c r="BT217" s="319" t="s">
        <v>190</v>
      </c>
      <c r="BU217" s="319" t="s">
        <v>190</v>
      </c>
      <c r="BV217" s="319" t="s">
        <v>190</v>
      </c>
      <c r="BW217" s="319" t="s">
        <v>190</v>
      </c>
      <c r="BX217" s="319" t="s">
        <v>190</v>
      </c>
      <c r="BY217" s="319" t="s">
        <v>190</v>
      </c>
      <c r="BZ217" s="319" t="s">
        <v>190</v>
      </c>
      <c r="CA217" s="319" t="s">
        <v>190</v>
      </c>
      <c r="CB217" s="319" t="s">
        <v>190</v>
      </c>
      <c r="CC217" s="319" t="s">
        <v>190</v>
      </c>
      <c r="CD217" s="319" t="s">
        <v>190</v>
      </c>
      <c r="CE217" s="319" t="s">
        <v>190</v>
      </c>
      <c r="CF217" s="319" t="s">
        <v>190</v>
      </c>
      <c r="CG217" s="319" t="s">
        <v>190</v>
      </c>
      <c r="CH217" s="319" t="s">
        <v>190</v>
      </c>
      <c r="CI217" s="319" t="s">
        <v>190</v>
      </c>
      <c r="CJ217" s="319" t="s">
        <v>190</v>
      </c>
      <c r="CK217" s="319" t="s">
        <v>190</v>
      </c>
      <c r="CL217" s="319" t="s">
        <v>190</v>
      </c>
      <c r="CM217" s="319" t="s">
        <v>190</v>
      </c>
      <c r="CN217" s="319" t="s">
        <v>428</v>
      </c>
      <c r="CO217" s="319" t="s">
        <v>428</v>
      </c>
      <c r="CP217" s="319" t="s">
        <v>428</v>
      </c>
      <c r="CQ217" s="319" t="s">
        <v>190</v>
      </c>
      <c r="CR217" s="319" t="s">
        <v>190</v>
      </c>
      <c r="CS217" s="319" t="s">
        <v>190</v>
      </c>
      <c r="CT217" s="319" t="s">
        <v>190</v>
      </c>
      <c r="CU217" s="319" t="s">
        <v>190</v>
      </c>
      <c r="CV217" s="319" t="s">
        <v>190</v>
      </c>
      <c r="CW217" s="319" t="s">
        <v>190</v>
      </c>
      <c r="CX217" s="319" t="s">
        <v>190</v>
      </c>
      <c r="CY217" s="319" t="s">
        <v>190</v>
      </c>
      <c r="CZ217" s="319" t="s">
        <v>190</v>
      </c>
      <c r="DA217" s="319" t="s">
        <v>190</v>
      </c>
      <c r="DB217" s="319" t="s">
        <v>190</v>
      </c>
      <c r="DC217" s="319" t="s">
        <v>190</v>
      </c>
      <c r="DD217" s="319" t="s">
        <v>190</v>
      </c>
      <c r="DE217" s="319" t="s">
        <v>190</v>
      </c>
      <c r="DF217" s="319" t="s">
        <v>190</v>
      </c>
      <c r="DG217" s="319" t="s">
        <v>190</v>
      </c>
      <c r="DH217" s="319" t="s">
        <v>190</v>
      </c>
      <c r="DI217" s="319" t="s">
        <v>190</v>
      </c>
      <c r="DJ217" s="319" t="s">
        <v>190</v>
      </c>
      <c r="DK217" s="319" t="s">
        <v>190</v>
      </c>
      <c r="DL217" s="319" t="s">
        <v>190</v>
      </c>
      <c r="DM217" s="319" t="s">
        <v>190</v>
      </c>
      <c r="DN217" s="319" t="s">
        <v>428</v>
      </c>
      <c r="DO217" s="319" t="s">
        <v>190</v>
      </c>
      <c r="DP217" s="319" t="s">
        <v>190</v>
      </c>
      <c r="DQ217" s="319" t="s">
        <v>190</v>
      </c>
      <c r="DR217" s="319" t="s">
        <v>190</v>
      </c>
      <c r="DS217" s="319" t="s">
        <v>190</v>
      </c>
      <c r="DT217" s="319" t="s">
        <v>190</v>
      </c>
      <c r="DU217" s="319" t="s">
        <v>190</v>
      </c>
      <c r="DV217" s="319" t="s">
        <v>173</v>
      </c>
      <c r="DW217" s="319" t="s">
        <v>190</v>
      </c>
      <c r="DX217" s="319" t="s">
        <v>190</v>
      </c>
      <c r="DY217" s="319" t="s">
        <v>190</v>
      </c>
      <c r="DZ217" s="319" t="s">
        <v>190</v>
      </c>
      <c r="EA217" s="319" t="s">
        <v>190</v>
      </c>
      <c r="EB217" s="319" t="s">
        <v>190</v>
      </c>
      <c r="EC217" s="319" t="s">
        <v>428</v>
      </c>
      <c r="ED217" s="319" t="s">
        <v>190</v>
      </c>
      <c r="EE217" s="319" t="s">
        <v>190</v>
      </c>
      <c r="EF217" s="319" t="s">
        <v>190</v>
      </c>
      <c r="EG217" s="319" t="s">
        <v>190</v>
      </c>
      <c r="EH217" s="319" t="s">
        <v>190</v>
      </c>
      <c r="EI217" s="319" t="s">
        <v>190</v>
      </c>
      <c r="EJ217" s="319" t="s">
        <v>190</v>
      </c>
      <c r="EK217" s="319" t="s">
        <v>190</v>
      </c>
      <c r="EL217" s="319" t="s">
        <v>190</v>
      </c>
      <c r="EM217" s="319" t="s">
        <v>190</v>
      </c>
      <c r="EN217" s="319" t="s">
        <v>190</v>
      </c>
      <c r="EO217" s="319" t="s">
        <v>190</v>
      </c>
      <c r="EP217" s="319" t="s">
        <v>190</v>
      </c>
      <c r="EQ217" s="319" t="s">
        <v>190</v>
      </c>
      <c r="ER217" s="319" t="s">
        <v>190</v>
      </c>
      <c r="ES217" s="319" t="s">
        <v>190</v>
      </c>
      <c r="ET217" s="319" t="s">
        <v>190</v>
      </c>
      <c r="EU217" s="319" t="s">
        <v>190</v>
      </c>
      <c r="EV217" s="319" t="s">
        <v>190</v>
      </c>
      <c r="EW217" s="319" t="s">
        <v>190</v>
      </c>
      <c r="EX217" s="319" t="s">
        <v>190</v>
      </c>
      <c r="EY217" s="319" t="s">
        <v>190</v>
      </c>
      <c r="EZ217" s="319" t="s">
        <v>190</v>
      </c>
      <c r="FA217" s="319" t="s">
        <v>190</v>
      </c>
      <c r="FB217" s="319" t="s">
        <v>190</v>
      </c>
      <c r="FC217" s="319" t="s">
        <v>190</v>
      </c>
      <c r="FD217" s="319" t="s">
        <v>190</v>
      </c>
      <c r="FE217" s="319" t="s">
        <v>190</v>
      </c>
      <c r="FF217" s="319" t="s">
        <v>428</v>
      </c>
      <c r="FG217" s="319" t="s">
        <v>190</v>
      </c>
      <c r="FH217" s="319" t="s">
        <v>190</v>
      </c>
      <c r="FI217" s="319" t="s">
        <v>428</v>
      </c>
      <c r="FJ217" s="319" t="s">
        <v>429</v>
      </c>
      <c r="FK217" s="319" t="s">
        <v>428</v>
      </c>
      <c r="FL217" s="319" t="s">
        <v>190</v>
      </c>
      <c r="FM217" s="319" t="s">
        <v>190</v>
      </c>
      <c r="FN217" s="319" t="s">
        <v>190</v>
      </c>
      <c r="FO217" s="319" t="s">
        <v>428</v>
      </c>
      <c r="FP217" s="319" t="s">
        <v>190</v>
      </c>
      <c r="FQ217" s="319" t="s">
        <v>190</v>
      </c>
      <c r="FR217" s="319" t="s">
        <v>190</v>
      </c>
      <c r="FS217" s="319" t="s">
        <v>428</v>
      </c>
      <c r="FT217" s="319" t="s">
        <v>190</v>
      </c>
      <c r="FU217" s="319" t="s">
        <v>190</v>
      </c>
      <c r="FV217" s="319" t="s">
        <v>190</v>
      </c>
      <c r="FW217" s="319" t="s">
        <v>190</v>
      </c>
      <c r="FX217" s="319" t="s">
        <v>190</v>
      </c>
      <c r="FY217" s="319" t="s">
        <v>190</v>
      </c>
      <c r="FZ217" s="319" t="s">
        <v>190</v>
      </c>
      <c r="GA217" s="319" t="s">
        <v>190</v>
      </c>
      <c r="GB217" s="319" t="s">
        <v>190</v>
      </c>
      <c r="GC217" s="319" t="s">
        <v>190</v>
      </c>
      <c r="GD217" s="319" t="s">
        <v>190</v>
      </c>
      <c r="GE217" s="319" t="s">
        <v>190</v>
      </c>
      <c r="GF217" s="319" t="s">
        <v>190</v>
      </c>
      <c r="GG217" s="319" t="s">
        <v>190</v>
      </c>
      <c r="GH217" s="319" t="s">
        <v>190</v>
      </c>
      <c r="GI217" s="319" t="s">
        <v>190</v>
      </c>
      <c r="GJ217" s="319" t="s">
        <v>190</v>
      </c>
      <c r="GK217" s="319" t="s">
        <v>428</v>
      </c>
      <c r="GL217" s="319" t="s">
        <v>190</v>
      </c>
      <c r="GM217" s="319" t="s">
        <v>190</v>
      </c>
      <c r="GN217" s="319" t="s">
        <v>190</v>
      </c>
      <c r="GO217" s="319" t="s">
        <v>190</v>
      </c>
      <c r="GP217" s="319" t="s">
        <v>190</v>
      </c>
      <c r="GQ217" s="319" t="s">
        <v>428</v>
      </c>
      <c r="GR217" s="319" t="s">
        <v>190</v>
      </c>
      <c r="GS217" s="319" t="s">
        <v>190</v>
      </c>
      <c r="GT217" s="319" t="s">
        <v>428</v>
      </c>
      <c r="GU217" s="319" t="s">
        <v>428</v>
      </c>
      <c r="GV217" s="319" t="s">
        <v>428</v>
      </c>
      <c r="GW217" s="319" t="s">
        <v>190</v>
      </c>
      <c r="GX217" s="319" t="s">
        <v>190</v>
      </c>
      <c r="GY217" s="319" t="s">
        <v>190</v>
      </c>
      <c r="GZ217" s="319" t="s">
        <v>428</v>
      </c>
      <c r="HA217" s="319" t="s">
        <v>190</v>
      </c>
      <c r="HB217" s="319" t="s">
        <v>190</v>
      </c>
      <c r="HC217" s="319" t="s">
        <v>190</v>
      </c>
      <c r="HD217" s="319" t="s">
        <v>190</v>
      </c>
      <c r="HE217" s="319" t="s">
        <v>190</v>
      </c>
      <c r="HF217" s="319" t="s">
        <v>190</v>
      </c>
      <c r="HG217" s="319" t="s">
        <v>190</v>
      </c>
      <c r="HH217" s="319" t="s">
        <v>190</v>
      </c>
      <c r="HI217" s="319" t="s">
        <v>190</v>
      </c>
      <c r="HJ217" s="319" t="s">
        <v>190</v>
      </c>
      <c r="HK217" s="319" t="s">
        <v>190</v>
      </c>
      <c r="HL217" s="319" t="s">
        <v>428</v>
      </c>
      <c r="HM217" s="319" t="s">
        <v>428</v>
      </c>
      <c r="HN217" s="319" t="s">
        <v>428</v>
      </c>
      <c r="HO217" s="319" t="s">
        <v>428</v>
      </c>
      <c r="HP217" s="319" t="s">
        <v>190</v>
      </c>
      <c r="HQ217" s="319" t="s">
        <v>190</v>
      </c>
      <c r="HR217" s="319" t="s">
        <v>190</v>
      </c>
      <c r="HS217" s="319" t="s">
        <v>190</v>
      </c>
      <c r="HT217" s="319" t="s">
        <v>190</v>
      </c>
      <c r="HU217" s="319" t="s">
        <v>190</v>
      </c>
      <c r="HV217" s="319" t="s">
        <v>190</v>
      </c>
      <c r="HW217" s="319" t="s">
        <v>190</v>
      </c>
      <c r="HX217" s="319" t="s">
        <v>190</v>
      </c>
      <c r="HY217" s="319" t="s">
        <v>190</v>
      </c>
      <c r="HZ217" s="319" t="s">
        <v>190</v>
      </c>
      <c r="IA217" s="319" t="s">
        <v>190</v>
      </c>
      <c r="IB217" s="319" t="s">
        <v>190</v>
      </c>
      <c r="IC217" s="319" t="s">
        <v>190</v>
      </c>
      <c r="ID217" s="319" t="s">
        <v>190</v>
      </c>
      <c r="IE217" s="319" t="s">
        <v>190</v>
      </c>
      <c r="IF217" s="319" t="s">
        <v>190</v>
      </c>
      <c r="IG217" s="319" t="s">
        <v>190</v>
      </c>
      <c r="IH217" s="319" t="s">
        <v>190</v>
      </c>
      <c r="II217" s="319" t="s">
        <v>190</v>
      </c>
      <c r="IJ217" s="319">
        <v>10008570</v>
      </c>
      <c r="IK217" s="321">
        <v>42402</v>
      </c>
      <c r="IL217" s="321">
        <v>42404</v>
      </c>
      <c r="IM217" s="321">
        <v>42436</v>
      </c>
      <c r="IN217" s="319">
        <v>2</v>
      </c>
      <c r="IO217" s="319" t="s">
        <v>173</v>
      </c>
      <c r="IP217" s="319" t="s">
        <v>173</v>
      </c>
      <c r="IQ217" s="321" t="s">
        <v>173</v>
      </c>
      <c r="IR217" s="320" t="s">
        <v>173</v>
      </c>
      <c r="IS217" s="322" t="s">
        <v>173</v>
      </c>
      <c r="IT217" s="319" t="s">
        <v>173</v>
      </c>
    </row>
    <row r="218" spans="1:254" s="271" customFormat="1" x14ac:dyDescent="0.25">
      <c r="A218" s="318" t="str">
        <f>HYPERLINK("http://www.ofsted.gov.uk/inspection-reports/find-inspection-report/provider/ELS/120739 ","Ofsted School Webpage")</f>
        <v>Ofsted School Webpage</v>
      </c>
      <c r="B218" s="319">
        <v>120739</v>
      </c>
      <c r="C218" s="319">
        <v>9256033</v>
      </c>
      <c r="D218" s="319" t="s">
        <v>1520</v>
      </c>
      <c r="E218" s="319" t="s">
        <v>167</v>
      </c>
      <c r="F218" s="319" t="s">
        <v>81</v>
      </c>
      <c r="G218" s="319" t="s">
        <v>81</v>
      </c>
      <c r="H218" s="319" t="s">
        <v>81</v>
      </c>
      <c r="I218" s="319" t="s">
        <v>78</v>
      </c>
      <c r="J218" s="319" t="s">
        <v>424</v>
      </c>
      <c r="K218" s="319" t="s">
        <v>506</v>
      </c>
      <c r="L218" s="319" t="s">
        <v>506</v>
      </c>
      <c r="M218" s="319" t="s">
        <v>833</v>
      </c>
      <c r="N218" s="319" t="s">
        <v>3005</v>
      </c>
      <c r="O218" s="319" t="s">
        <v>1521</v>
      </c>
      <c r="P218" s="319">
        <v>84</v>
      </c>
      <c r="Q218" s="319" t="s">
        <v>2766</v>
      </c>
      <c r="R218" s="320">
        <v>10094046</v>
      </c>
      <c r="S218" s="321">
        <v>43627</v>
      </c>
      <c r="T218" s="321">
        <v>43629</v>
      </c>
      <c r="U218" s="321">
        <v>43647</v>
      </c>
      <c r="V218" s="319" t="s">
        <v>425</v>
      </c>
      <c r="W218" s="319" t="s">
        <v>2767</v>
      </c>
      <c r="X218" s="319">
        <v>3</v>
      </c>
      <c r="Y218" s="319" t="s">
        <v>173</v>
      </c>
      <c r="Z218" s="319" t="s">
        <v>173</v>
      </c>
      <c r="AA218" s="319" t="s">
        <v>173</v>
      </c>
      <c r="AB218" s="319">
        <v>3</v>
      </c>
      <c r="AC218" s="319" t="s">
        <v>169</v>
      </c>
      <c r="AD218" s="319">
        <v>3</v>
      </c>
      <c r="AE218" s="319" t="s">
        <v>173</v>
      </c>
      <c r="AF218" s="319" t="s">
        <v>427</v>
      </c>
      <c r="AG218" s="319" t="s">
        <v>171</v>
      </c>
      <c r="AH218" s="319" t="s">
        <v>190</v>
      </c>
      <c r="AI218" s="319" t="s">
        <v>190</v>
      </c>
      <c r="AJ218" s="319" t="s">
        <v>190</v>
      </c>
      <c r="AK218" s="319" t="s">
        <v>190</v>
      </c>
      <c r="AL218" s="319" t="s">
        <v>190</v>
      </c>
      <c r="AM218" s="319" t="s">
        <v>190</v>
      </c>
      <c r="AN218" s="319" t="s">
        <v>190</v>
      </c>
      <c r="AO218" s="319" t="s">
        <v>190</v>
      </c>
      <c r="AP218" s="319" t="s">
        <v>190</v>
      </c>
      <c r="AQ218" s="319" t="s">
        <v>190</v>
      </c>
      <c r="AR218" s="319" t="s">
        <v>190</v>
      </c>
      <c r="AS218" s="319" t="s">
        <v>190</v>
      </c>
      <c r="AT218" s="319" t="s">
        <v>190</v>
      </c>
      <c r="AU218" s="319" t="s">
        <v>190</v>
      </c>
      <c r="AV218" s="319" t="s">
        <v>190</v>
      </c>
      <c r="AW218" s="319" t="s">
        <v>190</v>
      </c>
      <c r="AX218" s="319" t="s">
        <v>428</v>
      </c>
      <c r="AY218" s="319" t="s">
        <v>190</v>
      </c>
      <c r="AZ218" s="319" t="s">
        <v>190</v>
      </c>
      <c r="BA218" s="319" t="s">
        <v>190</v>
      </c>
      <c r="BB218" s="319" t="s">
        <v>428</v>
      </c>
      <c r="BC218" s="319" t="s">
        <v>428</v>
      </c>
      <c r="BD218" s="319" t="s">
        <v>428</v>
      </c>
      <c r="BE218" s="319" t="s">
        <v>428</v>
      </c>
      <c r="BF218" s="319" t="s">
        <v>190</v>
      </c>
      <c r="BG218" s="319" t="s">
        <v>428</v>
      </c>
      <c r="BH218" s="319" t="s">
        <v>190</v>
      </c>
      <c r="BI218" s="319" t="s">
        <v>190</v>
      </c>
      <c r="BJ218" s="319" t="s">
        <v>190</v>
      </c>
      <c r="BK218" s="319" t="s">
        <v>190</v>
      </c>
      <c r="BL218" s="319" t="s">
        <v>190</v>
      </c>
      <c r="BM218" s="319" t="s">
        <v>190</v>
      </c>
      <c r="BN218" s="319" t="s">
        <v>190</v>
      </c>
      <c r="BO218" s="319" t="s">
        <v>190</v>
      </c>
      <c r="BP218" s="319" t="s">
        <v>190</v>
      </c>
      <c r="BQ218" s="319" t="s">
        <v>190</v>
      </c>
      <c r="BR218" s="319" t="s">
        <v>190</v>
      </c>
      <c r="BS218" s="319" t="s">
        <v>190</v>
      </c>
      <c r="BT218" s="319" t="s">
        <v>190</v>
      </c>
      <c r="BU218" s="319" t="s">
        <v>190</v>
      </c>
      <c r="BV218" s="319" t="s">
        <v>190</v>
      </c>
      <c r="BW218" s="319" t="s">
        <v>190</v>
      </c>
      <c r="BX218" s="319" t="s">
        <v>190</v>
      </c>
      <c r="BY218" s="319" t="s">
        <v>190</v>
      </c>
      <c r="BZ218" s="319" t="s">
        <v>190</v>
      </c>
      <c r="CA218" s="319" t="s">
        <v>190</v>
      </c>
      <c r="CB218" s="319" t="s">
        <v>190</v>
      </c>
      <c r="CC218" s="319" t="s">
        <v>190</v>
      </c>
      <c r="CD218" s="319" t="s">
        <v>190</v>
      </c>
      <c r="CE218" s="319" t="s">
        <v>190</v>
      </c>
      <c r="CF218" s="319" t="s">
        <v>190</v>
      </c>
      <c r="CG218" s="319" t="s">
        <v>190</v>
      </c>
      <c r="CH218" s="319" t="s">
        <v>190</v>
      </c>
      <c r="CI218" s="319" t="s">
        <v>190</v>
      </c>
      <c r="CJ218" s="319" t="s">
        <v>190</v>
      </c>
      <c r="CK218" s="319" t="s">
        <v>190</v>
      </c>
      <c r="CL218" s="319" t="s">
        <v>190</v>
      </c>
      <c r="CM218" s="319" t="s">
        <v>428</v>
      </c>
      <c r="CN218" s="319" t="s">
        <v>428</v>
      </c>
      <c r="CO218" s="319" t="s">
        <v>428</v>
      </c>
      <c r="CP218" s="319" t="s">
        <v>428</v>
      </c>
      <c r="CQ218" s="319" t="s">
        <v>190</v>
      </c>
      <c r="CR218" s="319" t="s">
        <v>190</v>
      </c>
      <c r="CS218" s="319" t="s">
        <v>190</v>
      </c>
      <c r="CT218" s="319" t="s">
        <v>190</v>
      </c>
      <c r="CU218" s="319" t="s">
        <v>190</v>
      </c>
      <c r="CV218" s="319" t="s">
        <v>190</v>
      </c>
      <c r="CW218" s="319" t="s">
        <v>190</v>
      </c>
      <c r="CX218" s="319" t="s">
        <v>190</v>
      </c>
      <c r="CY218" s="319" t="s">
        <v>190</v>
      </c>
      <c r="CZ218" s="319" t="s">
        <v>190</v>
      </c>
      <c r="DA218" s="319" t="s">
        <v>190</v>
      </c>
      <c r="DB218" s="319" t="s">
        <v>190</v>
      </c>
      <c r="DC218" s="319" t="s">
        <v>190</v>
      </c>
      <c r="DD218" s="319" t="s">
        <v>190</v>
      </c>
      <c r="DE218" s="319" t="s">
        <v>190</v>
      </c>
      <c r="DF218" s="319" t="s">
        <v>190</v>
      </c>
      <c r="DG218" s="319" t="s">
        <v>190</v>
      </c>
      <c r="DH218" s="319" t="s">
        <v>190</v>
      </c>
      <c r="DI218" s="319" t="s">
        <v>190</v>
      </c>
      <c r="DJ218" s="319" t="s">
        <v>190</v>
      </c>
      <c r="DK218" s="319" t="s">
        <v>190</v>
      </c>
      <c r="DL218" s="319" t="s">
        <v>190</v>
      </c>
      <c r="DM218" s="319" t="s">
        <v>428</v>
      </c>
      <c r="DN218" s="319" t="s">
        <v>428</v>
      </c>
      <c r="DO218" s="319" t="s">
        <v>190</v>
      </c>
      <c r="DP218" s="319" t="s">
        <v>428</v>
      </c>
      <c r="DQ218" s="319" t="s">
        <v>428</v>
      </c>
      <c r="DR218" s="319" t="s">
        <v>428</v>
      </c>
      <c r="DS218" s="319" t="s">
        <v>428</v>
      </c>
      <c r="DT218" s="319" t="s">
        <v>428</v>
      </c>
      <c r="DU218" s="319" t="s">
        <v>428</v>
      </c>
      <c r="DV218" s="319" t="s">
        <v>173</v>
      </c>
      <c r="DW218" s="319" t="s">
        <v>428</v>
      </c>
      <c r="DX218" s="319" t="s">
        <v>428</v>
      </c>
      <c r="DY218" s="319" t="s">
        <v>428</v>
      </c>
      <c r="DZ218" s="319" t="s">
        <v>428</v>
      </c>
      <c r="EA218" s="319" t="s">
        <v>428</v>
      </c>
      <c r="EB218" s="319" t="s">
        <v>428</v>
      </c>
      <c r="EC218" s="319" t="s">
        <v>428</v>
      </c>
      <c r="ED218" s="319" t="s">
        <v>428</v>
      </c>
      <c r="EE218" s="319" t="s">
        <v>190</v>
      </c>
      <c r="EF218" s="319" t="s">
        <v>190</v>
      </c>
      <c r="EG218" s="319" t="s">
        <v>190</v>
      </c>
      <c r="EH218" s="319" t="s">
        <v>190</v>
      </c>
      <c r="EI218" s="319" t="s">
        <v>190</v>
      </c>
      <c r="EJ218" s="319" t="s">
        <v>190</v>
      </c>
      <c r="EK218" s="319" t="s">
        <v>190</v>
      </c>
      <c r="EL218" s="319" t="s">
        <v>428</v>
      </c>
      <c r="EM218" s="319" t="s">
        <v>190</v>
      </c>
      <c r="EN218" s="319" t="s">
        <v>190</v>
      </c>
      <c r="EO218" s="319" t="s">
        <v>190</v>
      </c>
      <c r="EP218" s="319" t="s">
        <v>190</v>
      </c>
      <c r="EQ218" s="319" t="s">
        <v>190</v>
      </c>
      <c r="ER218" s="319" t="s">
        <v>190</v>
      </c>
      <c r="ES218" s="319" t="s">
        <v>190</v>
      </c>
      <c r="ET218" s="319" t="s">
        <v>190</v>
      </c>
      <c r="EU218" s="319" t="s">
        <v>190</v>
      </c>
      <c r="EV218" s="319" t="s">
        <v>190</v>
      </c>
      <c r="EW218" s="319" t="s">
        <v>190</v>
      </c>
      <c r="EX218" s="319" t="s">
        <v>190</v>
      </c>
      <c r="EY218" s="319" t="s">
        <v>190</v>
      </c>
      <c r="EZ218" s="319" t="s">
        <v>190</v>
      </c>
      <c r="FA218" s="319" t="s">
        <v>190</v>
      </c>
      <c r="FB218" s="319" t="s">
        <v>428</v>
      </c>
      <c r="FC218" s="319" t="s">
        <v>428</v>
      </c>
      <c r="FD218" s="319" t="s">
        <v>428</v>
      </c>
      <c r="FE218" s="319" t="s">
        <v>428</v>
      </c>
      <c r="FF218" s="319" t="s">
        <v>428</v>
      </c>
      <c r="FG218" s="319" t="s">
        <v>428</v>
      </c>
      <c r="FH218" s="319" t="s">
        <v>428</v>
      </c>
      <c r="FI218" s="319" t="s">
        <v>190</v>
      </c>
      <c r="FJ218" s="319" t="s">
        <v>190</v>
      </c>
      <c r="FK218" s="319" t="s">
        <v>190</v>
      </c>
      <c r="FL218" s="319" t="s">
        <v>190</v>
      </c>
      <c r="FM218" s="319" t="s">
        <v>190</v>
      </c>
      <c r="FN218" s="319" t="s">
        <v>190</v>
      </c>
      <c r="FO218" s="319" t="s">
        <v>428</v>
      </c>
      <c r="FP218" s="319" t="s">
        <v>190</v>
      </c>
      <c r="FQ218" s="319" t="s">
        <v>190</v>
      </c>
      <c r="FR218" s="319" t="s">
        <v>190</v>
      </c>
      <c r="FS218" s="319" t="s">
        <v>428</v>
      </c>
      <c r="FT218" s="319" t="s">
        <v>190</v>
      </c>
      <c r="FU218" s="319" t="s">
        <v>190</v>
      </c>
      <c r="FV218" s="319" t="s">
        <v>190</v>
      </c>
      <c r="FW218" s="319" t="s">
        <v>190</v>
      </c>
      <c r="FX218" s="319" t="s">
        <v>190</v>
      </c>
      <c r="FY218" s="319" t="s">
        <v>190</v>
      </c>
      <c r="FZ218" s="319" t="s">
        <v>190</v>
      </c>
      <c r="GA218" s="319" t="s">
        <v>190</v>
      </c>
      <c r="GB218" s="319" t="s">
        <v>190</v>
      </c>
      <c r="GC218" s="319" t="s">
        <v>190</v>
      </c>
      <c r="GD218" s="319" t="s">
        <v>190</v>
      </c>
      <c r="GE218" s="319" t="s">
        <v>190</v>
      </c>
      <c r="GF218" s="319" t="s">
        <v>190</v>
      </c>
      <c r="GG218" s="319" t="s">
        <v>190</v>
      </c>
      <c r="GH218" s="319" t="s">
        <v>190</v>
      </c>
      <c r="GI218" s="319" t="s">
        <v>190</v>
      </c>
      <c r="GJ218" s="319" t="s">
        <v>190</v>
      </c>
      <c r="GK218" s="319" t="s">
        <v>428</v>
      </c>
      <c r="GL218" s="319" t="s">
        <v>190</v>
      </c>
      <c r="GM218" s="319" t="s">
        <v>190</v>
      </c>
      <c r="GN218" s="319" t="s">
        <v>190</v>
      </c>
      <c r="GO218" s="319" t="s">
        <v>190</v>
      </c>
      <c r="GP218" s="319" t="s">
        <v>190</v>
      </c>
      <c r="GQ218" s="319" t="s">
        <v>428</v>
      </c>
      <c r="GR218" s="319" t="s">
        <v>190</v>
      </c>
      <c r="GS218" s="319" t="s">
        <v>190</v>
      </c>
      <c r="GT218" s="319" t="s">
        <v>428</v>
      </c>
      <c r="GU218" s="319" t="s">
        <v>428</v>
      </c>
      <c r="GV218" s="319" t="s">
        <v>190</v>
      </c>
      <c r="GW218" s="319" t="s">
        <v>190</v>
      </c>
      <c r="GX218" s="319" t="s">
        <v>190</v>
      </c>
      <c r="GY218" s="319" t="s">
        <v>190</v>
      </c>
      <c r="GZ218" s="319" t="s">
        <v>190</v>
      </c>
      <c r="HA218" s="319" t="s">
        <v>428</v>
      </c>
      <c r="HB218" s="319" t="s">
        <v>428</v>
      </c>
      <c r="HC218" s="319" t="s">
        <v>190</v>
      </c>
      <c r="HD218" s="319" t="s">
        <v>190</v>
      </c>
      <c r="HE218" s="319" t="s">
        <v>190</v>
      </c>
      <c r="HF218" s="319" t="s">
        <v>190</v>
      </c>
      <c r="HG218" s="319" t="s">
        <v>190</v>
      </c>
      <c r="HH218" s="319" t="s">
        <v>190</v>
      </c>
      <c r="HI218" s="319" t="s">
        <v>190</v>
      </c>
      <c r="HJ218" s="319" t="s">
        <v>190</v>
      </c>
      <c r="HK218" s="319" t="s">
        <v>190</v>
      </c>
      <c r="HL218" s="319" t="s">
        <v>428</v>
      </c>
      <c r="HM218" s="319" t="s">
        <v>428</v>
      </c>
      <c r="HN218" s="319" t="s">
        <v>428</v>
      </c>
      <c r="HO218" s="319" t="s">
        <v>428</v>
      </c>
      <c r="HP218" s="319" t="s">
        <v>190</v>
      </c>
      <c r="HQ218" s="319" t="s">
        <v>190</v>
      </c>
      <c r="HR218" s="319" t="s">
        <v>190</v>
      </c>
      <c r="HS218" s="319" t="s">
        <v>190</v>
      </c>
      <c r="HT218" s="319" t="s">
        <v>190</v>
      </c>
      <c r="HU218" s="319" t="s">
        <v>190</v>
      </c>
      <c r="HV218" s="319" t="s">
        <v>190</v>
      </c>
      <c r="HW218" s="319" t="s">
        <v>190</v>
      </c>
      <c r="HX218" s="319" t="s">
        <v>190</v>
      </c>
      <c r="HY218" s="319" t="s">
        <v>190</v>
      </c>
      <c r="HZ218" s="319" t="s">
        <v>190</v>
      </c>
      <c r="IA218" s="319" t="s">
        <v>190</v>
      </c>
      <c r="IB218" s="319" t="s">
        <v>190</v>
      </c>
      <c r="IC218" s="319" t="s">
        <v>190</v>
      </c>
      <c r="ID218" s="319" t="s">
        <v>190</v>
      </c>
      <c r="IE218" s="319" t="s">
        <v>190</v>
      </c>
      <c r="IF218" s="319" t="s">
        <v>190</v>
      </c>
      <c r="IG218" s="319" t="s">
        <v>190</v>
      </c>
      <c r="IH218" s="319" t="s">
        <v>190</v>
      </c>
      <c r="II218" s="319" t="s">
        <v>190</v>
      </c>
      <c r="IJ218" s="319">
        <v>10033526</v>
      </c>
      <c r="IK218" s="321">
        <v>43046</v>
      </c>
      <c r="IL218" s="321">
        <v>43048</v>
      </c>
      <c r="IM218" s="321">
        <v>43136</v>
      </c>
      <c r="IN218" s="319">
        <v>4</v>
      </c>
      <c r="IO218" s="319" t="s">
        <v>173</v>
      </c>
      <c r="IP218" s="319" t="s">
        <v>173</v>
      </c>
      <c r="IQ218" s="319" t="s">
        <v>173</v>
      </c>
      <c r="IR218" s="320" t="s">
        <v>173</v>
      </c>
      <c r="IS218" s="320" t="s">
        <v>173</v>
      </c>
      <c r="IT218" s="319" t="s">
        <v>173</v>
      </c>
    </row>
    <row r="219" spans="1:254" s="271" customFormat="1" x14ac:dyDescent="0.25">
      <c r="A219" s="318" t="str">
        <f>HYPERLINK("http://www.ofsted.gov.uk/inspection-reports/find-inspection-report/provider/ELS/120740 ","Ofsted School Webpage")</f>
        <v>Ofsted School Webpage</v>
      </c>
      <c r="B219" s="319">
        <v>120740</v>
      </c>
      <c r="C219" s="319">
        <v>9256034</v>
      </c>
      <c r="D219" s="319" t="s">
        <v>698</v>
      </c>
      <c r="E219" s="319" t="s">
        <v>168</v>
      </c>
      <c r="F219" s="319" t="s">
        <v>81</v>
      </c>
      <c r="G219" s="319" t="s">
        <v>81</v>
      </c>
      <c r="H219" s="319" t="s">
        <v>81</v>
      </c>
      <c r="I219" s="319" t="s">
        <v>78</v>
      </c>
      <c r="J219" s="319" t="s">
        <v>424</v>
      </c>
      <c r="K219" s="319" t="s">
        <v>506</v>
      </c>
      <c r="L219" s="319" t="s">
        <v>506</v>
      </c>
      <c r="M219" s="319" t="s">
        <v>833</v>
      </c>
      <c r="N219" s="319" t="s">
        <v>3006</v>
      </c>
      <c r="O219" s="319" t="s">
        <v>1522</v>
      </c>
      <c r="P219" s="319">
        <v>61</v>
      </c>
      <c r="Q219" s="319" t="s">
        <v>2776</v>
      </c>
      <c r="R219" s="320">
        <v>10092889</v>
      </c>
      <c r="S219" s="321">
        <v>43641</v>
      </c>
      <c r="T219" s="321">
        <v>43643</v>
      </c>
      <c r="U219" s="321">
        <v>43664</v>
      </c>
      <c r="V219" s="319" t="s">
        <v>425</v>
      </c>
      <c r="W219" s="319" t="s">
        <v>2767</v>
      </c>
      <c r="X219" s="319">
        <v>2</v>
      </c>
      <c r="Y219" s="319" t="s">
        <v>173</v>
      </c>
      <c r="Z219" s="319" t="s">
        <v>173</v>
      </c>
      <c r="AA219" s="319" t="s">
        <v>173</v>
      </c>
      <c r="AB219" s="319">
        <v>2</v>
      </c>
      <c r="AC219" s="319" t="s">
        <v>169</v>
      </c>
      <c r="AD219" s="319" t="s">
        <v>173</v>
      </c>
      <c r="AE219" s="319">
        <v>2</v>
      </c>
      <c r="AF219" s="319" t="s">
        <v>427</v>
      </c>
      <c r="AG219" s="319" t="s">
        <v>171</v>
      </c>
      <c r="AH219" s="319" t="s">
        <v>190</v>
      </c>
      <c r="AI219" s="319" t="s">
        <v>190</v>
      </c>
      <c r="AJ219" s="319" t="s">
        <v>190</v>
      </c>
      <c r="AK219" s="319" t="s">
        <v>190</v>
      </c>
      <c r="AL219" s="319" t="s">
        <v>190</v>
      </c>
      <c r="AM219" s="319" t="s">
        <v>190</v>
      </c>
      <c r="AN219" s="319" t="s">
        <v>190</v>
      </c>
      <c r="AO219" s="319" t="s">
        <v>190</v>
      </c>
      <c r="AP219" s="319" t="s">
        <v>190</v>
      </c>
      <c r="AQ219" s="319" t="s">
        <v>190</v>
      </c>
      <c r="AR219" s="319" t="s">
        <v>190</v>
      </c>
      <c r="AS219" s="319" t="s">
        <v>190</v>
      </c>
      <c r="AT219" s="319" t="s">
        <v>190</v>
      </c>
      <c r="AU219" s="319" t="s">
        <v>190</v>
      </c>
      <c r="AV219" s="319" t="s">
        <v>190</v>
      </c>
      <c r="AW219" s="319" t="s">
        <v>190</v>
      </c>
      <c r="AX219" s="319" t="s">
        <v>428</v>
      </c>
      <c r="AY219" s="319" t="s">
        <v>190</v>
      </c>
      <c r="AZ219" s="319" t="s">
        <v>190</v>
      </c>
      <c r="BA219" s="319" t="s">
        <v>190</v>
      </c>
      <c r="BB219" s="319" t="s">
        <v>190</v>
      </c>
      <c r="BC219" s="319" t="s">
        <v>190</v>
      </c>
      <c r="BD219" s="319" t="s">
        <v>190</v>
      </c>
      <c r="BE219" s="319" t="s">
        <v>190</v>
      </c>
      <c r="BF219" s="319" t="s">
        <v>428</v>
      </c>
      <c r="BG219" s="319" t="s">
        <v>190</v>
      </c>
      <c r="BH219" s="319" t="s">
        <v>190</v>
      </c>
      <c r="BI219" s="319" t="s">
        <v>190</v>
      </c>
      <c r="BJ219" s="319" t="s">
        <v>190</v>
      </c>
      <c r="BK219" s="319" t="s">
        <v>190</v>
      </c>
      <c r="BL219" s="319" t="s">
        <v>190</v>
      </c>
      <c r="BM219" s="319" t="s">
        <v>190</v>
      </c>
      <c r="BN219" s="319" t="s">
        <v>190</v>
      </c>
      <c r="BO219" s="319" t="s">
        <v>190</v>
      </c>
      <c r="BP219" s="319" t="s">
        <v>190</v>
      </c>
      <c r="BQ219" s="319" t="s">
        <v>190</v>
      </c>
      <c r="BR219" s="319" t="s">
        <v>190</v>
      </c>
      <c r="BS219" s="319" t="s">
        <v>190</v>
      </c>
      <c r="BT219" s="319" t="s">
        <v>190</v>
      </c>
      <c r="BU219" s="319" t="s">
        <v>190</v>
      </c>
      <c r="BV219" s="319" t="s">
        <v>190</v>
      </c>
      <c r="BW219" s="319" t="s">
        <v>190</v>
      </c>
      <c r="BX219" s="319" t="s">
        <v>190</v>
      </c>
      <c r="BY219" s="319" t="s">
        <v>190</v>
      </c>
      <c r="BZ219" s="319" t="s">
        <v>190</v>
      </c>
      <c r="CA219" s="319" t="s">
        <v>190</v>
      </c>
      <c r="CB219" s="319" t="s">
        <v>190</v>
      </c>
      <c r="CC219" s="319" t="s">
        <v>190</v>
      </c>
      <c r="CD219" s="319" t="s">
        <v>190</v>
      </c>
      <c r="CE219" s="319" t="s">
        <v>190</v>
      </c>
      <c r="CF219" s="319" t="s">
        <v>190</v>
      </c>
      <c r="CG219" s="319" t="s">
        <v>190</v>
      </c>
      <c r="CH219" s="319" t="s">
        <v>190</v>
      </c>
      <c r="CI219" s="319" t="s">
        <v>190</v>
      </c>
      <c r="CJ219" s="319" t="s">
        <v>190</v>
      </c>
      <c r="CK219" s="319" t="s">
        <v>190</v>
      </c>
      <c r="CL219" s="319" t="s">
        <v>190</v>
      </c>
      <c r="CM219" s="319" t="s">
        <v>190</v>
      </c>
      <c r="CN219" s="319" t="s">
        <v>428</v>
      </c>
      <c r="CO219" s="319" t="s">
        <v>428</v>
      </c>
      <c r="CP219" s="319" t="s">
        <v>428</v>
      </c>
      <c r="CQ219" s="319" t="s">
        <v>190</v>
      </c>
      <c r="CR219" s="319" t="s">
        <v>190</v>
      </c>
      <c r="CS219" s="319" t="s">
        <v>190</v>
      </c>
      <c r="CT219" s="319" t="s">
        <v>190</v>
      </c>
      <c r="CU219" s="319" t="s">
        <v>190</v>
      </c>
      <c r="CV219" s="319" t="s">
        <v>190</v>
      </c>
      <c r="CW219" s="319" t="s">
        <v>190</v>
      </c>
      <c r="CX219" s="319" t="s">
        <v>190</v>
      </c>
      <c r="CY219" s="319" t="s">
        <v>190</v>
      </c>
      <c r="CZ219" s="319" t="s">
        <v>190</v>
      </c>
      <c r="DA219" s="319" t="s">
        <v>190</v>
      </c>
      <c r="DB219" s="319" t="s">
        <v>190</v>
      </c>
      <c r="DC219" s="319" t="s">
        <v>190</v>
      </c>
      <c r="DD219" s="319" t="s">
        <v>190</v>
      </c>
      <c r="DE219" s="319" t="s">
        <v>190</v>
      </c>
      <c r="DF219" s="319" t="s">
        <v>190</v>
      </c>
      <c r="DG219" s="319" t="s">
        <v>190</v>
      </c>
      <c r="DH219" s="319" t="s">
        <v>190</v>
      </c>
      <c r="DI219" s="319" t="s">
        <v>190</v>
      </c>
      <c r="DJ219" s="319" t="s">
        <v>190</v>
      </c>
      <c r="DK219" s="319" t="s">
        <v>190</v>
      </c>
      <c r="DL219" s="319" t="s">
        <v>190</v>
      </c>
      <c r="DM219" s="319" t="s">
        <v>190</v>
      </c>
      <c r="DN219" s="319" t="s">
        <v>190</v>
      </c>
      <c r="DO219" s="319" t="s">
        <v>190</v>
      </c>
      <c r="DP219" s="319" t="s">
        <v>428</v>
      </c>
      <c r="DQ219" s="319" t="s">
        <v>428</v>
      </c>
      <c r="DR219" s="319" t="s">
        <v>428</v>
      </c>
      <c r="DS219" s="319" t="s">
        <v>428</v>
      </c>
      <c r="DT219" s="319" t="s">
        <v>428</v>
      </c>
      <c r="DU219" s="319" t="s">
        <v>428</v>
      </c>
      <c r="DV219" s="319" t="s">
        <v>173</v>
      </c>
      <c r="DW219" s="319" t="s">
        <v>428</v>
      </c>
      <c r="DX219" s="319" t="s">
        <v>428</v>
      </c>
      <c r="DY219" s="319" t="s">
        <v>428</v>
      </c>
      <c r="DZ219" s="319" t="s">
        <v>428</v>
      </c>
      <c r="EA219" s="319" t="s">
        <v>428</v>
      </c>
      <c r="EB219" s="319" t="s">
        <v>428</v>
      </c>
      <c r="EC219" s="319" t="s">
        <v>428</v>
      </c>
      <c r="ED219" s="319" t="s">
        <v>428</v>
      </c>
      <c r="EE219" s="319" t="s">
        <v>190</v>
      </c>
      <c r="EF219" s="319" t="s">
        <v>190</v>
      </c>
      <c r="EG219" s="319" t="s">
        <v>190</v>
      </c>
      <c r="EH219" s="319" t="s">
        <v>190</v>
      </c>
      <c r="EI219" s="319" t="s">
        <v>190</v>
      </c>
      <c r="EJ219" s="319" t="s">
        <v>190</v>
      </c>
      <c r="EK219" s="319" t="s">
        <v>190</v>
      </c>
      <c r="EL219" s="319" t="s">
        <v>190</v>
      </c>
      <c r="EM219" s="319" t="s">
        <v>190</v>
      </c>
      <c r="EN219" s="319" t="s">
        <v>190</v>
      </c>
      <c r="EO219" s="319" t="s">
        <v>190</v>
      </c>
      <c r="EP219" s="319" t="s">
        <v>190</v>
      </c>
      <c r="EQ219" s="319" t="s">
        <v>190</v>
      </c>
      <c r="ER219" s="319" t="s">
        <v>190</v>
      </c>
      <c r="ES219" s="319" t="s">
        <v>190</v>
      </c>
      <c r="ET219" s="319" t="s">
        <v>190</v>
      </c>
      <c r="EU219" s="319" t="s">
        <v>190</v>
      </c>
      <c r="EV219" s="319" t="s">
        <v>190</v>
      </c>
      <c r="EW219" s="319" t="s">
        <v>190</v>
      </c>
      <c r="EX219" s="319" t="s">
        <v>190</v>
      </c>
      <c r="EY219" s="319" t="s">
        <v>190</v>
      </c>
      <c r="EZ219" s="319" t="s">
        <v>190</v>
      </c>
      <c r="FA219" s="319" t="s">
        <v>190</v>
      </c>
      <c r="FB219" s="319" t="s">
        <v>428</v>
      </c>
      <c r="FC219" s="319" t="s">
        <v>428</v>
      </c>
      <c r="FD219" s="319" t="s">
        <v>428</v>
      </c>
      <c r="FE219" s="319" t="s">
        <v>428</v>
      </c>
      <c r="FF219" s="319" t="s">
        <v>428</v>
      </c>
      <c r="FG219" s="319" t="s">
        <v>428</v>
      </c>
      <c r="FH219" s="319" t="s">
        <v>190</v>
      </c>
      <c r="FI219" s="319" t="s">
        <v>190</v>
      </c>
      <c r="FJ219" s="319" t="s">
        <v>190</v>
      </c>
      <c r="FK219" s="319" t="s">
        <v>190</v>
      </c>
      <c r="FL219" s="319" t="s">
        <v>190</v>
      </c>
      <c r="FM219" s="319" t="s">
        <v>190</v>
      </c>
      <c r="FN219" s="319" t="s">
        <v>190</v>
      </c>
      <c r="FO219" s="319" t="s">
        <v>190</v>
      </c>
      <c r="FP219" s="319" t="s">
        <v>190</v>
      </c>
      <c r="FQ219" s="319" t="s">
        <v>190</v>
      </c>
      <c r="FR219" s="319" t="s">
        <v>190</v>
      </c>
      <c r="FS219" s="319" t="s">
        <v>428</v>
      </c>
      <c r="FT219" s="319" t="s">
        <v>190</v>
      </c>
      <c r="FU219" s="319" t="s">
        <v>190</v>
      </c>
      <c r="FV219" s="319" t="s">
        <v>190</v>
      </c>
      <c r="FW219" s="319" t="s">
        <v>190</v>
      </c>
      <c r="FX219" s="319" t="s">
        <v>190</v>
      </c>
      <c r="FY219" s="319" t="s">
        <v>190</v>
      </c>
      <c r="FZ219" s="319" t="s">
        <v>190</v>
      </c>
      <c r="GA219" s="319" t="s">
        <v>190</v>
      </c>
      <c r="GB219" s="319" t="s">
        <v>190</v>
      </c>
      <c r="GC219" s="319" t="s">
        <v>190</v>
      </c>
      <c r="GD219" s="319" t="s">
        <v>190</v>
      </c>
      <c r="GE219" s="319" t="s">
        <v>190</v>
      </c>
      <c r="GF219" s="319" t="s">
        <v>190</v>
      </c>
      <c r="GG219" s="319" t="s">
        <v>190</v>
      </c>
      <c r="GH219" s="319" t="s">
        <v>190</v>
      </c>
      <c r="GI219" s="319" t="s">
        <v>190</v>
      </c>
      <c r="GJ219" s="319" t="s">
        <v>190</v>
      </c>
      <c r="GK219" s="319" t="s">
        <v>428</v>
      </c>
      <c r="GL219" s="319" t="s">
        <v>190</v>
      </c>
      <c r="GM219" s="319" t="s">
        <v>190</v>
      </c>
      <c r="GN219" s="319" t="s">
        <v>190</v>
      </c>
      <c r="GO219" s="319" t="s">
        <v>190</v>
      </c>
      <c r="GP219" s="319" t="s">
        <v>190</v>
      </c>
      <c r="GQ219" s="319" t="s">
        <v>190</v>
      </c>
      <c r="GR219" s="319" t="s">
        <v>190</v>
      </c>
      <c r="GS219" s="319" t="s">
        <v>190</v>
      </c>
      <c r="GT219" s="319" t="s">
        <v>190</v>
      </c>
      <c r="GU219" s="319" t="s">
        <v>190</v>
      </c>
      <c r="GV219" s="319" t="s">
        <v>190</v>
      </c>
      <c r="GW219" s="319" t="s">
        <v>190</v>
      </c>
      <c r="GX219" s="319" t="s">
        <v>190</v>
      </c>
      <c r="GY219" s="319" t="s">
        <v>190</v>
      </c>
      <c r="GZ219" s="319" t="s">
        <v>428</v>
      </c>
      <c r="HA219" s="319" t="s">
        <v>190</v>
      </c>
      <c r="HB219" s="319" t="s">
        <v>190</v>
      </c>
      <c r="HC219" s="319" t="s">
        <v>190</v>
      </c>
      <c r="HD219" s="319" t="s">
        <v>190</v>
      </c>
      <c r="HE219" s="319" t="s">
        <v>190</v>
      </c>
      <c r="HF219" s="319" t="s">
        <v>190</v>
      </c>
      <c r="HG219" s="319" t="s">
        <v>190</v>
      </c>
      <c r="HH219" s="319" t="s">
        <v>190</v>
      </c>
      <c r="HI219" s="319" t="s">
        <v>190</v>
      </c>
      <c r="HJ219" s="319" t="s">
        <v>190</v>
      </c>
      <c r="HK219" s="319" t="s">
        <v>190</v>
      </c>
      <c r="HL219" s="319" t="s">
        <v>428</v>
      </c>
      <c r="HM219" s="319" t="s">
        <v>428</v>
      </c>
      <c r="HN219" s="319" t="s">
        <v>428</v>
      </c>
      <c r="HO219" s="319" t="s">
        <v>428</v>
      </c>
      <c r="HP219" s="319" t="s">
        <v>190</v>
      </c>
      <c r="HQ219" s="319" t="s">
        <v>190</v>
      </c>
      <c r="HR219" s="319" t="s">
        <v>190</v>
      </c>
      <c r="HS219" s="319" t="s">
        <v>190</v>
      </c>
      <c r="HT219" s="319" t="s">
        <v>190</v>
      </c>
      <c r="HU219" s="319" t="s">
        <v>190</v>
      </c>
      <c r="HV219" s="319" t="s">
        <v>190</v>
      </c>
      <c r="HW219" s="319" t="s">
        <v>190</v>
      </c>
      <c r="HX219" s="319" t="s">
        <v>190</v>
      </c>
      <c r="HY219" s="319" t="s">
        <v>190</v>
      </c>
      <c r="HZ219" s="319" t="s">
        <v>190</v>
      </c>
      <c r="IA219" s="319" t="s">
        <v>190</v>
      </c>
      <c r="IB219" s="319" t="s">
        <v>190</v>
      </c>
      <c r="IC219" s="319" t="s">
        <v>190</v>
      </c>
      <c r="ID219" s="319" t="s">
        <v>190</v>
      </c>
      <c r="IE219" s="319" t="s">
        <v>190</v>
      </c>
      <c r="IF219" s="319" t="s">
        <v>190</v>
      </c>
      <c r="IG219" s="319" t="s">
        <v>190</v>
      </c>
      <c r="IH219" s="319" t="s">
        <v>190</v>
      </c>
      <c r="II219" s="319" t="s">
        <v>190</v>
      </c>
      <c r="IJ219" s="319">
        <v>10006047</v>
      </c>
      <c r="IK219" s="321">
        <v>42536</v>
      </c>
      <c r="IL219" s="321">
        <v>42538</v>
      </c>
      <c r="IM219" s="321">
        <v>42626</v>
      </c>
      <c r="IN219" s="319">
        <v>1</v>
      </c>
      <c r="IO219" s="319" t="s">
        <v>173</v>
      </c>
      <c r="IP219" s="319" t="s">
        <v>173</v>
      </c>
      <c r="IQ219" s="321" t="s">
        <v>173</v>
      </c>
      <c r="IR219" s="320" t="s">
        <v>173</v>
      </c>
      <c r="IS219" s="322" t="s">
        <v>173</v>
      </c>
      <c r="IT219" s="319" t="s">
        <v>173</v>
      </c>
    </row>
    <row r="220" spans="1:254" s="271" customFormat="1" x14ac:dyDescent="0.25">
      <c r="A220" s="318" t="str">
        <f>HYPERLINK("http://www.ofsted.gov.uk/inspection-reports/find-inspection-report/provider/ELS/120743 ","Ofsted School Webpage")</f>
        <v>Ofsted School Webpage</v>
      </c>
      <c r="B220" s="319">
        <v>120743</v>
      </c>
      <c r="C220" s="319">
        <v>9256038</v>
      </c>
      <c r="D220" s="319" t="s">
        <v>1523</v>
      </c>
      <c r="E220" s="319" t="s">
        <v>167</v>
      </c>
      <c r="F220" s="319" t="s">
        <v>81</v>
      </c>
      <c r="G220" s="319" t="s">
        <v>59</v>
      </c>
      <c r="H220" s="319" t="s">
        <v>59</v>
      </c>
      <c r="I220" s="319" t="s">
        <v>59</v>
      </c>
      <c r="J220" s="319" t="s">
        <v>424</v>
      </c>
      <c r="K220" s="319" t="s">
        <v>506</v>
      </c>
      <c r="L220" s="319" t="s">
        <v>506</v>
      </c>
      <c r="M220" s="319" t="s">
        <v>833</v>
      </c>
      <c r="N220" s="319" t="s">
        <v>3007</v>
      </c>
      <c r="O220" s="319" t="s">
        <v>1524</v>
      </c>
      <c r="P220" s="319">
        <v>90</v>
      </c>
      <c r="Q220" s="319" t="s">
        <v>2766</v>
      </c>
      <c r="R220" s="320">
        <v>10078663</v>
      </c>
      <c r="S220" s="321">
        <v>43543</v>
      </c>
      <c r="T220" s="321">
        <v>43545</v>
      </c>
      <c r="U220" s="321">
        <v>43586</v>
      </c>
      <c r="V220" s="319" t="s">
        <v>425</v>
      </c>
      <c r="W220" s="319" t="s">
        <v>2767</v>
      </c>
      <c r="X220" s="319">
        <v>2</v>
      </c>
      <c r="Y220" s="319" t="s">
        <v>173</v>
      </c>
      <c r="Z220" s="319" t="s">
        <v>173</v>
      </c>
      <c r="AA220" s="319" t="s">
        <v>173</v>
      </c>
      <c r="AB220" s="319">
        <v>2</v>
      </c>
      <c r="AC220" s="319" t="s">
        <v>169</v>
      </c>
      <c r="AD220" s="319">
        <v>2</v>
      </c>
      <c r="AE220" s="319" t="s">
        <v>173</v>
      </c>
      <c r="AF220" s="319" t="s">
        <v>427</v>
      </c>
      <c r="AG220" s="319" t="s">
        <v>171</v>
      </c>
      <c r="AH220" s="319" t="s">
        <v>190</v>
      </c>
      <c r="AI220" s="319" t="s">
        <v>190</v>
      </c>
      <c r="AJ220" s="319" t="s">
        <v>190</v>
      </c>
      <c r="AK220" s="319" t="s">
        <v>190</v>
      </c>
      <c r="AL220" s="319" t="s">
        <v>190</v>
      </c>
      <c r="AM220" s="319" t="s">
        <v>190</v>
      </c>
      <c r="AN220" s="319" t="s">
        <v>190</v>
      </c>
      <c r="AO220" s="319" t="s">
        <v>190</v>
      </c>
      <c r="AP220" s="319" t="s">
        <v>190</v>
      </c>
      <c r="AQ220" s="319" t="s">
        <v>190</v>
      </c>
      <c r="AR220" s="319" t="s">
        <v>190</v>
      </c>
      <c r="AS220" s="319" t="s">
        <v>190</v>
      </c>
      <c r="AT220" s="319" t="s">
        <v>190</v>
      </c>
      <c r="AU220" s="319" t="s">
        <v>190</v>
      </c>
      <c r="AV220" s="319" t="s">
        <v>190</v>
      </c>
      <c r="AW220" s="319" t="s">
        <v>190</v>
      </c>
      <c r="AX220" s="319" t="s">
        <v>428</v>
      </c>
      <c r="AY220" s="319" t="s">
        <v>190</v>
      </c>
      <c r="AZ220" s="319" t="s">
        <v>190</v>
      </c>
      <c r="BA220" s="319" t="s">
        <v>190</v>
      </c>
      <c r="BB220" s="319" t="s">
        <v>428</v>
      </c>
      <c r="BC220" s="319" t="s">
        <v>428</v>
      </c>
      <c r="BD220" s="319" t="s">
        <v>428</v>
      </c>
      <c r="BE220" s="319" t="s">
        <v>428</v>
      </c>
      <c r="BF220" s="319" t="s">
        <v>190</v>
      </c>
      <c r="BG220" s="319" t="s">
        <v>428</v>
      </c>
      <c r="BH220" s="319" t="s">
        <v>190</v>
      </c>
      <c r="BI220" s="319" t="s">
        <v>190</v>
      </c>
      <c r="BJ220" s="319" t="s">
        <v>190</v>
      </c>
      <c r="BK220" s="319" t="s">
        <v>190</v>
      </c>
      <c r="BL220" s="319" t="s">
        <v>190</v>
      </c>
      <c r="BM220" s="319" t="s">
        <v>190</v>
      </c>
      <c r="BN220" s="319" t="s">
        <v>190</v>
      </c>
      <c r="BO220" s="319" t="s">
        <v>190</v>
      </c>
      <c r="BP220" s="319" t="s">
        <v>190</v>
      </c>
      <c r="BQ220" s="319" t="s">
        <v>190</v>
      </c>
      <c r="BR220" s="319" t="s">
        <v>190</v>
      </c>
      <c r="BS220" s="319" t="s">
        <v>190</v>
      </c>
      <c r="BT220" s="319" t="s">
        <v>190</v>
      </c>
      <c r="BU220" s="319" t="s">
        <v>190</v>
      </c>
      <c r="BV220" s="319" t="s">
        <v>190</v>
      </c>
      <c r="BW220" s="319" t="s">
        <v>190</v>
      </c>
      <c r="BX220" s="319" t="s">
        <v>190</v>
      </c>
      <c r="BY220" s="319" t="s">
        <v>190</v>
      </c>
      <c r="BZ220" s="319" t="s">
        <v>190</v>
      </c>
      <c r="CA220" s="319" t="s">
        <v>190</v>
      </c>
      <c r="CB220" s="319" t="s">
        <v>190</v>
      </c>
      <c r="CC220" s="319" t="s">
        <v>190</v>
      </c>
      <c r="CD220" s="319" t="s">
        <v>190</v>
      </c>
      <c r="CE220" s="319" t="s">
        <v>190</v>
      </c>
      <c r="CF220" s="319" t="s">
        <v>190</v>
      </c>
      <c r="CG220" s="319" t="s">
        <v>190</v>
      </c>
      <c r="CH220" s="319" t="s">
        <v>190</v>
      </c>
      <c r="CI220" s="319" t="s">
        <v>190</v>
      </c>
      <c r="CJ220" s="319" t="s">
        <v>190</v>
      </c>
      <c r="CK220" s="319" t="s">
        <v>190</v>
      </c>
      <c r="CL220" s="319" t="s">
        <v>190</v>
      </c>
      <c r="CM220" s="319" t="s">
        <v>190</v>
      </c>
      <c r="CN220" s="319" t="s">
        <v>428</v>
      </c>
      <c r="CO220" s="319" t="s">
        <v>428</v>
      </c>
      <c r="CP220" s="319" t="s">
        <v>428</v>
      </c>
      <c r="CQ220" s="319" t="s">
        <v>190</v>
      </c>
      <c r="CR220" s="319" t="s">
        <v>190</v>
      </c>
      <c r="CS220" s="319" t="s">
        <v>190</v>
      </c>
      <c r="CT220" s="319" t="s">
        <v>190</v>
      </c>
      <c r="CU220" s="319" t="s">
        <v>190</v>
      </c>
      <c r="CV220" s="319" t="s">
        <v>190</v>
      </c>
      <c r="CW220" s="319" t="s">
        <v>190</v>
      </c>
      <c r="CX220" s="319" t="s">
        <v>190</v>
      </c>
      <c r="CY220" s="319" t="s">
        <v>190</v>
      </c>
      <c r="CZ220" s="319" t="s">
        <v>190</v>
      </c>
      <c r="DA220" s="319" t="s">
        <v>190</v>
      </c>
      <c r="DB220" s="319" t="s">
        <v>190</v>
      </c>
      <c r="DC220" s="319" t="s">
        <v>190</v>
      </c>
      <c r="DD220" s="319" t="s">
        <v>190</v>
      </c>
      <c r="DE220" s="319" t="s">
        <v>190</v>
      </c>
      <c r="DF220" s="319" t="s">
        <v>190</v>
      </c>
      <c r="DG220" s="319" t="s">
        <v>190</v>
      </c>
      <c r="DH220" s="319" t="s">
        <v>190</v>
      </c>
      <c r="DI220" s="319" t="s">
        <v>190</v>
      </c>
      <c r="DJ220" s="319" t="s">
        <v>190</v>
      </c>
      <c r="DK220" s="319" t="s">
        <v>190</v>
      </c>
      <c r="DL220" s="319" t="s">
        <v>190</v>
      </c>
      <c r="DM220" s="319" t="s">
        <v>190</v>
      </c>
      <c r="DN220" s="319" t="s">
        <v>428</v>
      </c>
      <c r="DO220" s="319" t="s">
        <v>190</v>
      </c>
      <c r="DP220" s="319" t="s">
        <v>428</v>
      </c>
      <c r="DQ220" s="319" t="s">
        <v>428</v>
      </c>
      <c r="DR220" s="319" t="s">
        <v>428</v>
      </c>
      <c r="DS220" s="319" t="s">
        <v>428</v>
      </c>
      <c r="DT220" s="319" t="s">
        <v>428</v>
      </c>
      <c r="DU220" s="319" t="s">
        <v>428</v>
      </c>
      <c r="DV220" s="319" t="s">
        <v>173</v>
      </c>
      <c r="DW220" s="319" t="s">
        <v>428</v>
      </c>
      <c r="DX220" s="319" t="s">
        <v>428</v>
      </c>
      <c r="DY220" s="319" t="s">
        <v>428</v>
      </c>
      <c r="DZ220" s="319" t="s">
        <v>428</v>
      </c>
      <c r="EA220" s="319" t="s">
        <v>428</v>
      </c>
      <c r="EB220" s="319" t="s">
        <v>428</v>
      </c>
      <c r="EC220" s="319" t="s">
        <v>428</v>
      </c>
      <c r="ED220" s="319" t="s">
        <v>428</v>
      </c>
      <c r="EE220" s="319" t="s">
        <v>190</v>
      </c>
      <c r="EF220" s="319" t="s">
        <v>190</v>
      </c>
      <c r="EG220" s="319" t="s">
        <v>190</v>
      </c>
      <c r="EH220" s="319" t="s">
        <v>190</v>
      </c>
      <c r="EI220" s="319" t="s">
        <v>190</v>
      </c>
      <c r="EJ220" s="319" t="s">
        <v>190</v>
      </c>
      <c r="EK220" s="319" t="s">
        <v>190</v>
      </c>
      <c r="EL220" s="319" t="s">
        <v>190</v>
      </c>
      <c r="EM220" s="319" t="s">
        <v>190</v>
      </c>
      <c r="EN220" s="319" t="s">
        <v>190</v>
      </c>
      <c r="EO220" s="319" t="s">
        <v>190</v>
      </c>
      <c r="EP220" s="319" t="s">
        <v>190</v>
      </c>
      <c r="EQ220" s="319" t="s">
        <v>190</v>
      </c>
      <c r="ER220" s="319" t="s">
        <v>190</v>
      </c>
      <c r="ES220" s="319" t="s">
        <v>190</v>
      </c>
      <c r="ET220" s="319" t="s">
        <v>190</v>
      </c>
      <c r="EU220" s="319" t="s">
        <v>190</v>
      </c>
      <c r="EV220" s="319" t="s">
        <v>190</v>
      </c>
      <c r="EW220" s="319" t="s">
        <v>190</v>
      </c>
      <c r="EX220" s="319" t="s">
        <v>190</v>
      </c>
      <c r="EY220" s="319" t="s">
        <v>190</v>
      </c>
      <c r="EZ220" s="319" t="s">
        <v>190</v>
      </c>
      <c r="FA220" s="319" t="s">
        <v>190</v>
      </c>
      <c r="FB220" s="319" t="s">
        <v>190</v>
      </c>
      <c r="FC220" s="319" t="s">
        <v>190</v>
      </c>
      <c r="FD220" s="319" t="s">
        <v>190</v>
      </c>
      <c r="FE220" s="319" t="s">
        <v>190</v>
      </c>
      <c r="FF220" s="319" t="s">
        <v>428</v>
      </c>
      <c r="FG220" s="319" t="s">
        <v>428</v>
      </c>
      <c r="FH220" s="319" t="s">
        <v>428</v>
      </c>
      <c r="FI220" s="319" t="s">
        <v>190</v>
      </c>
      <c r="FJ220" s="319" t="s">
        <v>190</v>
      </c>
      <c r="FK220" s="319" t="s">
        <v>190</v>
      </c>
      <c r="FL220" s="319" t="s">
        <v>190</v>
      </c>
      <c r="FM220" s="319" t="s">
        <v>190</v>
      </c>
      <c r="FN220" s="319" t="s">
        <v>190</v>
      </c>
      <c r="FO220" s="319" t="s">
        <v>428</v>
      </c>
      <c r="FP220" s="319" t="s">
        <v>190</v>
      </c>
      <c r="FQ220" s="319" t="s">
        <v>190</v>
      </c>
      <c r="FR220" s="319" t="s">
        <v>190</v>
      </c>
      <c r="FS220" s="319" t="s">
        <v>428</v>
      </c>
      <c r="FT220" s="319" t="s">
        <v>190</v>
      </c>
      <c r="FU220" s="319" t="s">
        <v>190</v>
      </c>
      <c r="FV220" s="319" t="s">
        <v>190</v>
      </c>
      <c r="FW220" s="319" t="s">
        <v>190</v>
      </c>
      <c r="FX220" s="319" t="s">
        <v>190</v>
      </c>
      <c r="FY220" s="319" t="s">
        <v>190</v>
      </c>
      <c r="FZ220" s="319" t="s">
        <v>190</v>
      </c>
      <c r="GA220" s="319" t="s">
        <v>190</v>
      </c>
      <c r="GB220" s="319" t="s">
        <v>190</v>
      </c>
      <c r="GC220" s="319" t="s">
        <v>190</v>
      </c>
      <c r="GD220" s="319" t="s">
        <v>190</v>
      </c>
      <c r="GE220" s="319" t="s">
        <v>190</v>
      </c>
      <c r="GF220" s="319" t="s">
        <v>190</v>
      </c>
      <c r="GG220" s="319" t="s">
        <v>190</v>
      </c>
      <c r="GH220" s="319" t="s">
        <v>190</v>
      </c>
      <c r="GI220" s="319" t="s">
        <v>190</v>
      </c>
      <c r="GJ220" s="319" t="s">
        <v>190</v>
      </c>
      <c r="GK220" s="319" t="s">
        <v>428</v>
      </c>
      <c r="GL220" s="319" t="s">
        <v>190</v>
      </c>
      <c r="GM220" s="319" t="s">
        <v>190</v>
      </c>
      <c r="GN220" s="319" t="s">
        <v>190</v>
      </c>
      <c r="GO220" s="319" t="s">
        <v>190</v>
      </c>
      <c r="GP220" s="319" t="s">
        <v>190</v>
      </c>
      <c r="GQ220" s="319" t="s">
        <v>428</v>
      </c>
      <c r="GR220" s="319" t="s">
        <v>190</v>
      </c>
      <c r="GS220" s="319" t="s">
        <v>190</v>
      </c>
      <c r="GT220" s="319" t="s">
        <v>428</v>
      </c>
      <c r="GU220" s="319" t="s">
        <v>190</v>
      </c>
      <c r="GV220" s="319" t="s">
        <v>190</v>
      </c>
      <c r="GW220" s="319" t="s">
        <v>190</v>
      </c>
      <c r="GX220" s="319" t="s">
        <v>190</v>
      </c>
      <c r="GY220" s="319" t="s">
        <v>190</v>
      </c>
      <c r="GZ220" s="319" t="s">
        <v>190</v>
      </c>
      <c r="HA220" s="319" t="s">
        <v>428</v>
      </c>
      <c r="HB220" s="319" t="s">
        <v>428</v>
      </c>
      <c r="HC220" s="319" t="s">
        <v>190</v>
      </c>
      <c r="HD220" s="319" t="s">
        <v>190</v>
      </c>
      <c r="HE220" s="319" t="s">
        <v>190</v>
      </c>
      <c r="HF220" s="319" t="s">
        <v>190</v>
      </c>
      <c r="HG220" s="319" t="s">
        <v>190</v>
      </c>
      <c r="HH220" s="319" t="s">
        <v>190</v>
      </c>
      <c r="HI220" s="319" t="s">
        <v>190</v>
      </c>
      <c r="HJ220" s="319" t="s">
        <v>190</v>
      </c>
      <c r="HK220" s="319" t="s">
        <v>190</v>
      </c>
      <c r="HL220" s="319" t="s">
        <v>428</v>
      </c>
      <c r="HM220" s="319" t="s">
        <v>428</v>
      </c>
      <c r="HN220" s="319" t="s">
        <v>428</v>
      </c>
      <c r="HO220" s="319" t="s">
        <v>428</v>
      </c>
      <c r="HP220" s="319" t="s">
        <v>190</v>
      </c>
      <c r="HQ220" s="319" t="s">
        <v>190</v>
      </c>
      <c r="HR220" s="319" t="s">
        <v>190</v>
      </c>
      <c r="HS220" s="319" t="s">
        <v>190</v>
      </c>
      <c r="HT220" s="319" t="s">
        <v>190</v>
      </c>
      <c r="HU220" s="319" t="s">
        <v>190</v>
      </c>
      <c r="HV220" s="319" t="s">
        <v>190</v>
      </c>
      <c r="HW220" s="319" t="s">
        <v>190</v>
      </c>
      <c r="HX220" s="319" t="s">
        <v>190</v>
      </c>
      <c r="HY220" s="319" t="s">
        <v>190</v>
      </c>
      <c r="HZ220" s="319" t="s">
        <v>190</v>
      </c>
      <c r="IA220" s="319" t="s">
        <v>190</v>
      </c>
      <c r="IB220" s="319" t="s">
        <v>190</v>
      </c>
      <c r="IC220" s="319" t="s">
        <v>190</v>
      </c>
      <c r="ID220" s="319" t="s">
        <v>190</v>
      </c>
      <c r="IE220" s="319" t="s">
        <v>190</v>
      </c>
      <c r="IF220" s="319" t="s">
        <v>190</v>
      </c>
      <c r="IG220" s="319" t="s">
        <v>190</v>
      </c>
      <c r="IH220" s="319" t="s">
        <v>190</v>
      </c>
      <c r="II220" s="319" t="s">
        <v>190</v>
      </c>
      <c r="IJ220" s="319">
        <v>10012974</v>
      </c>
      <c r="IK220" s="321">
        <v>42529</v>
      </c>
      <c r="IL220" s="321">
        <v>42531</v>
      </c>
      <c r="IM220" s="321">
        <v>42566</v>
      </c>
      <c r="IN220" s="319">
        <v>2</v>
      </c>
      <c r="IO220" s="319" t="s">
        <v>173</v>
      </c>
      <c r="IP220" s="319" t="s">
        <v>173</v>
      </c>
      <c r="IQ220" s="321" t="s">
        <v>173</v>
      </c>
      <c r="IR220" s="320" t="s">
        <v>173</v>
      </c>
      <c r="IS220" s="322" t="s">
        <v>173</v>
      </c>
      <c r="IT220" s="319" t="s">
        <v>173</v>
      </c>
    </row>
    <row r="221" spans="1:254" s="271" customFormat="1" x14ac:dyDescent="0.25">
      <c r="A221" s="318" t="str">
        <f>HYPERLINK("http://www.ofsted.gov.uk/inspection-reports/find-inspection-report/provider/ELS/121246 ","Ofsted School Webpage")</f>
        <v>Ofsted School Webpage</v>
      </c>
      <c r="B221" s="319">
        <v>121246</v>
      </c>
      <c r="C221" s="319">
        <v>9266133</v>
      </c>
      <c r="D221" s="319" t="s">
        <v>869</v>
      </c>
      <c r="E221" s="319" t="s">
        <v>168</v>
      </c>
      <c r="F221" s="319" t="s">
        <v>81</v>
      </c>
      <c r="G221" s="319" t="s">
        <v>81</v>
      </c>
      <c r="H221" s="319" t="s">
        <v>81</v>
      </c>
      <c r="I221" s="319" t="s">
        <v>78</v>
      </c>
      <c r="J221" s="319" t="s">
        <v>424</v>
      </c>
      <c r="K221" s="319" t="s">
        <v>451</v>
      </c>
      <c r="L221" s="319" t="s">
        <v>451</v>
      </c>
      <c r="M221" s="319" t="s">
        <v>463</v>
      </c>
      <c r="N221" s="319" t="s">
        <v>3008</v>
      </c>
      <c r="O221" s="319" t="s">
        <v>870</v>
      </c>
      <c r="P221" s="319">
        <v>63</v>
      </c>
      <c r="Q221" s="319" t="s">
        <v>2776</v>
      </c>
      <c r="R221" s="320">
        <v>10056557</v>
      </c>
      <c r="S221" s="321">
        <v>43494</v>
      </c>
      <c r="T221" s="321">
        <v>43496</v>
      </c>
      <c r="U221" s="321">
        <v>43523</v>
      </c>
      <c r="V221" s="319" t="s">
        <v>425</v>
      </c>
      <c r="W221" s="319" t="s">
        <v>2767</v>
      </c>
      <c r="X221" s="319">
        <v>2</v>
      </c>
      <c r="Y221" s="319" t="s">
        <v>173</v>
      </c>
      <c r="Z221" s="319" t="s">
        <v>173</v>
      </c>
      <c r="AA221" s="319" t="s">
        <v>173</v>
      </c>
      <c r="AB221" s="319">
        <v>2</v>
      </c>
      <c r="AC221" s="319" t="s">
        <v>169</v>
      </c>
      <c r="AD221" s="319" t="s">
        <v>173</v>
      </c>
      <c r="AE221" s="319" t="s">
        <v>173</v>
      </c>
      <c r="AF221" s="319" t="s">
        <v>427</v>
      </c>
      <c r="AG221" s="319" t="s">
        <v>171</v>
      </c>
      <c r="AH221" s="319" t="s">
        <v>190</v>
      </c>
      <c r="AI221" s="319" t="s">
        <v>190</v>
      </c>
      <c r="AJ221" s="319" t="s">
        <v>190</v>
      </c>
      <c r="AK221" s="319" t="s">
        <v>190</v>
      </c>
      <c r="AL221" s="319" t="s">
        <v>190</v>
      </c>
      <c r="AM221" s="319" t="s">
        <v>190</v>
      </c>
      <c r="AN221" s="319" t="s">
        <v>190</v>
      </c>
      <c r="AO221" s="319" t="s">
        <v>190</v>
      </c>
      <c r="AP221" s="319" t="s">
        <v>190</v>
      </c>
      <c r="AQ221" s="319" t="s">
        <v>190</v>
      </c>
      <c r="AR221" s="319" t="s">
        <v>190</v>
      </c>
      <c r="AS221" s="319" t="s">
        <v>190</v>
      </c>
      <c r="AT221" s="319" t="s">
        <v>190</v>
      </c>
      <c r="AU221" s="319" t="s">
        <v>190</v>
      </c>
      <c r="AV221" s="319" t="s">
        <v>190</v>
      </c>
      <c r="AW221" s="319" t="s">
        <v>190</v>
      </c>
      <c r="AX221" s="319" t="s">
        <v>428</v>
      </c>
      <c r="AY221" s="319" t="s">
        <v>190</v>
      </c>
      <c r="AZ221" s="319" t="s">
        <v>190</v>
      </c>
      <c r="BA221" s="319" t="s">
        <v>190</v>
      </c>
      <c r="BB221" s="319" t="s">
        <v>190</v>
      </c>
      <c r="BC221" s="319" t="s">
        <v>190</v>
      </c>
      <c r="BD221" s="319" t="s">
        <v>190</v>
      </c>
      <c r="BE221" s="319" t="s">
        <v>190</v>
      </c>
      <c r="BF221" s="319" t="s">
        <v>428</v>
      </c>
      <c r="BG221" s="319" t="s">
        <v>428</v>
      </c>
      <c r="BH221" s="319" t="s">
        <v>190</v>
      </c>
      <c r="BI221" s="319" t="s">
        <v>190</v>
      </c>
      <c r="BJ221" s="319" t="s">
        <v>190</v>
      </c>
      <c r="BK221" s="319" t="s">
        <v>190</v>
      </c>
      <c r="BL221" s="319" t="s">
        <v>190</v>
      </c>
      <c r="BM221" s="319" t="s">
        <v>190</v>
      </c>
      <c r="BN221" s="319" t="s">
        <v>190</v>
      </c>
      <c r="BO221" s="319" t="s">
        <v>190</v>
      </c>
      <c r="BP221" s="319" t="s">
        <v>190</v>
      </c>
      <c r="BQ221" s="319" t="s">
        <v>190</v>
      </c>
      <c r="BR221" s="319" t="s">
        <v>190</v>
      </c>
      <c r="BS221" s="319" t="s">
        <v>190</v>
      </c>
      <c r="BT221" s="319" t="s">
        <v>190</v>
      </c>
      <c r="BU221" s="319" t="s">
        <v>190</v>
      </c>
      <c r="BV221" s="319" t="s">
        <v>190</v>
      </c>
      <c r="BW221" s="319" t="s">
        <v>190</v>
      </c>
      <c r="BX221" s="319" t="s">
        <v>190</v>
      </c>
      <c r="BY221" s="319" t="s">
        <v>190</v>
      </c>
      <c r="BZ221" s="319" t="s">
        <v>190</v>
      </c>
      <c r="CA221" s="319" t="s">
        <v>190</v>
      </c>
      <c r="CB221" s="319" t="s">
        <v>190</v>
      </c>
      <c r="CC221" s="319" t="s">
        <v>190</v>
      </c>
      <c r="CD221" s="319" t="s">
        <v>190</v>
      </c>
      <c r="CE221" s="319" t="s">
        <v>190</v>
      </c>
      <c r="CF221" s="319" t="s">
        <v>190</v>
      </c>
      <c r="CG221" s="319" t="s">
        <v>190</v>
      </c>
      <c r="CH221" s="319" t="s">
        <v>190</v>
      </c>
      <c r="CI221" s="319" t="s">
        <v>190</v>
      </c>
      <c r="CJ221" s="319" t="s">
        <v>190</v>
      </c>
      <c r="CK221" s="319" t="s">
        <v>190</v>
      </c>
      <c r="CL221" s="319" t="s">
        <v>190</v>
      </c>
      <c r="CM221" s="319" t="s">
        <v>190</v>
      </c>
      <c r="CN221" s="319" t="s">
        <v>428</v>
      </c>
      <c r="CO221" s="319" t="s">
        <v>428</v>
      </c>
      <c r="CP221" s="319" t="s">
        <v>428</v>
      </c>
      <c r="CQ221" s="319" t="s">
        <v>190</v>
      </c>
      <c r="CR221" s="319" t="s">
        <v>190</v>
      </c>
      <c r="CS221" s="319" t="s">
        <v>190</v>
      </c>
      <c r="CT221" s="319" t="s">
        <v>190</v>
      </c>
      <c r="CU221" s="319" t="s">
        <v>190</v>
      </c>
      <c r="CV221" s="319" t="s">
        <v>190</v>
      </c>
      <c r="CW221" s="319" t="s">
        <v>190</v>
      </c>
      <c r="CX221" s="319" t="s">
        <v>190</v>
      </c>
      <c r="CY221" s="319" t="s">
        <v>190</v>
      </c>
      <c r="CZ221" s="319" t="s">
        <v>190</v>
      </c>
      <c r="DA221" s="319" t="s">
        <v>190</v>
      </c>
      <c r="DB221" s="319" t="s">
        <v>190</v>
      </c>
      <c r="DC221" s="319" t="s">
        <v>190</v>
      </c>
      <c r="DD221" s="319" t="s">
        <v>190</v>
      </c>
      <c r="DE221" s="319" t="s">
        <v>190</v>
      </c>
      <c r="DF221" s="319" t="s">
        <v>190</v>
      </c>
      <c r="DG221" s="319" t="s">
        <v>190</v>
      </c>
      <c r="DH221" s="319" t="s">
        <v>190</v>
      </c>
      <c r="DI221" s="319" t="s">
        <v>190</v>
      </c>
      <c r="DJ221" s="319" t="s">
        <v>190</v>
      </c>
      <c r="DK221" s="319" t="s">
        <v>190</v>
      </c>
      <c r="DL221" s="319" t="s">
        <v>190</v>
      </c>
      <c r="DM221" s="319" t="s">
        <v>190</v>
      </c>
      <c r="DN221" s="319" t="s">
        <v>428</v>
      </c>
      <c r="DO221" s="319" t="s">
        <v>190</v>
      </c>
      <c r="DP221" s="319" t="s">
        <v>190</v>
      </c>
      <c r="DQ221" s="319" t="s">
        <v>190</v>
      </c>
      <c r="DR221" s="319" t="s">
        <v>190</v>
      </c>
      <c r="DS221" s="319" t="s">
        <v>190</v>
      </c>
      <c r="DT221" s="319" t="s">
        <v>190</v>
      </c>
      <c r="DU221" s="319" t="s">
        <v>190</v>
      </c>
      <c r="DV221" s="319" t="s">
        <v>173</v>
      </c>
      <c r="DW221" s="319" t="s">
        <v>190</v>
      </c>
      <c r="DX221" s="319" t="s">
        <v>190</v>
      </c>
      <c r="DY221" s="319" t="s">
        <v>190</v>
      </c>
      <c r="DZ221" s="319" t="s">
        <v>190</v>
      </c>
      <c r="EA221" s="319" t="s">
        <v>190</v>
      </c>
      <c r="EB221" s="319" t="s">
        <v>190</v>
      </c>
      <c r="EC221" s="319" t="s">
        <v>428</v>
      </c>
      <c r="ED221" s="319" t="s">
        <v>190</v>
      </c>
      <c r="EE221" s="319" t="s">
        <v>190</v>
      </c>
      <c r="EF221" s="319" t="s">
        <v>190</v>
      </c>
      <c r="EG221" s="319" t="s">
        <v>190</v>
      </c>
      <c r="EH221" s="319" t="s">
        <v>190</v>
      </c>
      <c r="EI221" s="319" t="s">
        <v>190</v>
      </c>
      <c r="EJ221" s="319" t="s">
        <v>190</v>
      </c>
      <c r="EK221" s="319" t="s">
        <v>190</v>
      </c>
      <c r="EL221" s="319" t="s">
        <v>190</v>
      </c>
      <c r="EM221" s="319" t="s">
        <v>190</v>
      </c>
      <c r="EN221" s="319" t="s">
        <v>190</v>
      </c>
      <c r="EO221" s="319" t="s">
        <v>190</v>
      </c>
      <c r="EP221" s="319" t="s">
        <v>190</v>
      </c>
      <c r="EQ221" s="319" t="s">
        <v>190</v>
      </c>
      <c r="ER221" s="319" t="s">
        <v>190</v>
      </c>
      <c r="ES221" s="319" t="s">
        <v>190</v>
      </c>
      <c r="ET221" s="319" t="s">
        <v>190</v>
      </c>
      <c r="EU221" s="319" t="s">
        <v>190</v>
      </c>
      <c r="EV221" s="319" t="s">
        <v>190</v>
      </c>
      <c r="EW221" s="319" t="s">
        <v>190</v>
      </c>
      <c r="EX221" s="319" t="s">
        <v>190</v>
      </c>
      <c r="EY221" s="319" t="s">
        <v>190</v>
      </c>
      <c r="EZ221" s="319" t="s">
        <v>190</v>
      </c>
      <c r="FA221" s="319" t="s">
        <v>190</v>
      </c>
      <c r="FB221" s="319" t="s">
        <v>190</v>
      </c>
      <c r="FC221" s="319" t="s">
        <v>190</v>
      </c>
      <c r="FD221" s="319" t="s">
        <v>190</v>
      </c>
      <c r="FE221" s="319" t="s">
        <v>190</v>
      </c>
      <c r="FF221" s="319" t="s">
        <v>190</v>
      </c>
      <c r="FG221" s="319" t="s">
        <v>190</v>
      </c>
      <c r="FH221" s="319" t="s">
        <v>190</v>
      </c>
      <c r="FI221" s="319" t="s">
        <v>190</v>
      </c>
      <c r="FJ221" s="319" t="s">
        <v>190</v>
      </c>
      <c r="FK221" s="319" t="s">
        <v>190</v>
      </c>
      <c r="FL221" s="319" t="s">
        <v>190</v>
      </c>
      <c r="FM221" s="319" t="s">
        <v>190</v>
      </c>
      <c r="FN221" s="319" t="s">
        <v>190</v>
      </c>
      <c r="FO221" s="319" t="s">
        <v>190</v>
      </c>
      <c r="FP221" s="319" t="s">
        <v>190</v>
      </c>
      <c r="FQ221" s="319" t="s">
        <v>190</v>
      </c>
      <c r="FR221" s="319" t="s">
        <v>190</v>
      </c>
      <c r="FS221" s="319" t="s">
        <v>428</v>
      </c>
      <c r="FT221" s="319" t="s">
        <v>190</v>
      </c>
      <c r="FU221" s="319" t="s">
        <v>190</v>
      </c>
      <c r="FV221" s="319" t="s">
        <v>190</v>
      </c>
      <c r="FW221" s="319" t="s">
        <v>190</v>
      </c>
      <c r="FX221" s="319" t="s">
        <v>190</v>
      </c>
      <c r="FY221" s="319" t="s">
        <v>190</v>
      </c>
      <c r="FZ221" s="319" t="s">
        <v>190</v>
      </c>
      <c r="GA221" s="319" t="s">
        <v>190</v>
      </c>
      <c r="GB221" s="319" t="s">
        <v>190</v>
      </c>
      <c r="GC221" s="319" t="s">
        <v>190</v>
      </c>
      <c r="GD221" s="319" t="s">
        <v>190</v>
      </c>
      <c r="GE221" s="319" t="s">
        <v>190</v>
      </c>
      <c r="GF221" s="319" t="s">
        <v>190</v>
      </c>
      <c r="GG221" s="319" t="s">
        <v>190</v>
      </c>
      <c r="GH221" s="319" t="s">
        <v>190</v>
      </c>
      <c r="GI221" s="319" t="s">
        <v>190</v>
      </c>
      <c r="GJ221" s="319" t="s">
        <v>190</v>
      </c>
      <c r="GK221" s="319" t="s">
        <v>428</v>
      </c>
      <c r="GL221" s="319" t="s">
        <v>190</v>
      </c>
      <c r="GM221" s="319" t="s">
        <v>190</v>
      </c>
      <c r="GN221" s="319" t="s">
        <v>190</v>
      </c>
      <c r="GO221" s="319" t="s">
        <v>190</v>
      </c>
      <c r="GP221" s="319" t="s">
        <v>190</v>
      </c>
      <c r="GQ221" s="319" t="s">
        <v>428</v>
      </c>
      <c r="GR221" s="319" t="s">
        <v>190</v>
      </c>
      <c r="GS221" s="319" t="s">
        <v>190</v>
      </c>
      <c r="GT221" s="319" t="s">
        <v>190</v>
      </c>
      <c r="GU221" s="319" t="s">
        <v>190</v>
      </c>
      <c r="GV221" s="319" t="s">
        <v>190</v>
      </c>
      <c r="GW221" s="319" t="s">
        <v>190</v>
      </c>
      <c r="GX221" s="319" t="s">
        <v>190</v>
      </c>
      <c r="GY221" s="319" t="s">
        <v>190</v>
      </c>
      <c r="GZ221" s="319" t="s">
        <v>190</v>
      </c>
      <c r="HA221" s="319" t="s">
        <v>190</v>
      </c>
      <c r="HB221" s="319" t="s">
        <v>190</v>
      </c>
      <c r="HC221" s="319" t="s">
        <v>190</v>
      </c>
      <c r="HD221" s="319" t="s">
        <v>190</v>
      </c>
      <c r="HE221" s="319" t="s">
        <v>190</v>
      </c>
      <c r="HF221" s="319" t="s">
        <v>190</v>
      </c>
      <c r="HG221" s="319" t="s">
        <v>190</v>
      </c>
      <c r="HH221" s="319" t="s">
        <v>190</v>
      </c>
      <c r="HI221" s="319" t="s">
        <v>190</v>
      </c>
      <c r="HJ221" s="319" t="s">
        <v>190</v>
      </c>
      <c r="HK221" s="319" t="s">
        <v>190</v>
      </c>
      <c r="HL221" s="319" t="s">
        <v>428</v>
      </c>
      <c r="HM221" s="319" t="s">
        <v>428</v>
      </c>
      <c r="HN221" s="319" t="s">
        <v>428</v>
      </c>
      <c r="HO221" s="319" t="s">
        <v>428</v>
      </c>
      <c r="HP221" s="319" t="s">
        <v>190</v>
      </c>
      <c r="HQ221" s="319" t="s">
        <v>190</v>
      </c>
      <c r="HR221" s="319" t="s">
        <v>190</v>
      </c>
      <c r="HS221" s="319" t="s">
        <v>190</v>
      </c>
      <c r="HT221" s="319" t="s">
        <v>190</v>
      </c>
      <c r="HU221" s="319" t="s">
        <v>190</v>
      </c>
      <c r="HV221" s="319" t="s">
        <v>190</v>
      </c>
      <c r="HW221" s="319" t="s">
        <v>190</v>
      </c>
      <c r="HX221" s="319" t="s">
        <v>190</v>
      </c>
      <c r="HY221" s="319" t="s">
        <v>190</v>
      </c>
      <c r="HZ221" s="319" t="s">
        <v>190</v>
      </c>
      <c r="IA221" s="319" t="s">
        <v>190</v>
      </c>
      <c r="IB221" s="319" t="s">
        <v>190</v>
      </c>
      <c r="IC221" s="319" t="s">
        <v>190</v>
      </c>
      <c r="ID221" s="319" t="s">
        <v>190</v>
      </c>
      <c r="IE221" s="319" t="s">
        <v>190</v>
      </c>
      <c r="IF221" s="319" t="s">
        <v>190</v>
      </c>
      <c r="IG221" s="319" t="s">
        <v>190</v>
      </c>
      <c r="IH221" s="319" t="s">
        <v>190</v>
      </c>
      <c r="II221" s="319" t="s">
        <v>190</v>
      </c>
      <c r="IJ221" s="319">
        <v>10006048</v>
      </c>
      <c r="IK221" s="321">
        <v>42514</v>
      </c>
      <c r="IL221" s="321">
        <v>42516</v>
      </c>
      <c r="IM221" s="321">
        <v>42550</v>
      </c>
      <c r="IN221" s="319">
        <v>2</v>
      </c>
      <c r="IO221" s="319" t="s">
        <v>173</v>
      </c>
      <c r="IP221" s="319" t="s">
        <v>173</v>
      </c>
      <c r="IQ221" s="319" t="s">
        <v>173</v>
      </c>
      <c r="IR221" s="320" t="s">
        <v>173</v>
      </c>
      <c r="IS221" s="320" t="s">
        <v>173</v>
      </c>
      <c r="IT221" s="319" t="s">
        <v>173</v>
      </c>
    </row>
    <row r="222" spans="1:254" s="271" customFormat="1" x14ac:dyDescent="0.25">
      <c r="A222" s="318" t="str">
        <f>HYPERLINK("http://www.ofsted.gov.uk/inspection-reports/find-inspection-report/provider/ELS/121250 ","Ofsted School Webpage")</f>
        <v>Ofsted School Webpage</v>
      </c>
      <c r="B222" s="319">
        <v>121250</v>
      </c>
      <c r="C222" s="319">
        <v>9266140</v>
      </c>
      <c r="D222" s="319" t="s">
        <v>495</v>
      </c>
      <c r="E222" s="319" t="s">
        <v>167</v>
      </c>
      <c r="F222" s="319" t="s">
        <v>81</v>
      </c>
      <c r="G222" s="319" t="s">
        <v>59</v>
      </c>
      <c r="H222" s="319" t="s">
        <v>59</v>
      </c>
      <c r="I222" s="319" t="s">
        <v>59</v>
      </c>
      <c r="J222" s="319" t="s">
        <v>424</v>
      </c>
      <c r="K222" s="319" t="s">
        <v>451</v>
      </c>
      <c r="L222" s="319" t="s">
        <v>451</v>
      </c>
      <c r="M222" s="319" t="s">
        <v>463</v>
      </c>
      <c r="N222" s="319" t="s">
        <v>3009</v>
      </c>
      <c r="O222" s="319" t="s">
        <v>496</v>
      </c>
      <c r="P222" s="319">
        <v>56</v>
      </c>
      <c r="Q222" s="319" t="s">
        <v>2766</v>
      </c>
      <c r="R222" s="320">
        <v>10054007</v>
      </c>
      <c r="S222" s="321">
        <v>43368</v>
      </c>
      <c r="T222" s="321">
        <v>43370</v>
      </c>
      <c r="U222" s="321">
        <v>43416</v>
      </c>
      <c r="V222" s="319" t="s">
        <v>425</v>
      </c>
      <c r="W222" s="319" t="s">
        <v>2767</v>
      </c>
      <c r="X222" s="319">
        <v>4</v>
      </c>
      <c r="Y222" s="319" t="s">
        <v>173</v>
      </c>
      <c r="Z222" s="319" t="s">
        <v>173</v>
      </c>
      <c r="AA222" s="319" t="s">
        <v>173</v>
      </c>
      <c r="AB222" s="319">
        <v>4</v>
      </c>
      <c r="AC222" s="319" t="s">
        <v>170</v>
      </c>
      <c r="AD222" s="319" t="s">
        <v>173</v>
      </c>
      <c r="AE222" s="319" t="s">
        <v>173</v>
      </c>
      <c r="AF222" s="319" t="s">
        <v>427</v>
      </c>
      <c r="AG222" s="319" t="s">
        <v>172</v>
      </c>
      <c r="AH222" s="319" t="s">
        <v>479</v>
      </c>
      <c r="AI222" s="319" t="s">
        <v>190</v>
      </c>
      <c r="AJ222" s="319" t="s">
        <v>479</v>
      </c>
      <c r="AK222" s="319" t="s">
        <v>190</v>
      </c>
      <c r="AL222" s="319" t="s">
        <v>190</v>
      </c>
      <c r="AM222" s="319" t="s">
        <v>190</v>
      </c>
      <c r="AN222" s="319" t="s">
        <v>190</v>
      </c>
      <c r="AO222" s="319" t="s">
        <v>479</v>
      </c>
      <c r="AP222" s="319" t="s">
        <v>191</v>
      </c>
      <c r="AQ222" s="319" t="s">
        <v>191</v>
      </c>
      <c r="AR222" s="319" t="s">
        <v>191</v>
      </c>
      <c r="AS222" s="319" t="s">
        <v>191</v>
      </c>
      <c r="AT222" s="319" t="s">
        <v>190</v>
      </c>
      <c r="AU222" s="319" t="s">
        <v>190</v>
      </c>
      <c r="AV222" s="319" t="s">
        <v>190</v>
      </c>
      <c r="AW222" s="319" t="s">
        <v>190</v>
      </c>
      <c r="AX222" s="319" t="s">
        <v>428</v>
      </c>
      <c r="AY222" s="319" t="s">
        <v>190</v>
      </c>
      <c r="AZ222" s="319" t="s">
        <v>190</v>
      </c>
      <c r="BA222" s="319" t="s">
        <v>190</v>
      </c>
      <c r="BB222" s="319" t="s">
        <v>190</v>
      </c>
      <c r="BC222" s="319" t="s">
        <v>190</v>
      </c>
      <c r="BD222" s="319" t="s">
        <v>190</v>
      </c>
      <c r="BE222" s="319" t="s">
        <v>190</v>
      </c>
      <c r="BF222" s="319" t="s">
        <v>428</v>
      </c>
      <c r="BG222" s="319" t="s">
        <v>190</v>
      </c>
      <c r="BH222" s="319" t="s">
        <v>190</v>
      </c>
      <c r="BI222" s="319" t="s">
        <v>190</v>
      </c>
      <c r="BJ222" s="319" t="s">
        <v>191</v>
      </c>
      <c r="BK222" s="319" t="s">
        <v>191</v>
      </c>
      <c r="BL222" s="319" t="s">
        <v>190</v>
      </c>
      <c r="BM222" s="319" t="s">
        <v>191</v>
      </c>
      <c r="BN222" s="319" t="s">
        <v>191</v>
      </c>
      <c r="BO222" s="319" t="s">
        <v>191</v>
      </c>
      <c r="BP222" s="319" t="s">
        <v>190</v>
      </c>
      <c r="BQ222" s="319" t="s">
        <v>191</v>
      </c>
      <c r="BR222" s="319" t="s">
        <v>190</v>
      </c>
      <c r="BS222" s="319" t="s">
        <v>190</v>
      </c>
      <c r="BT222" s="319" t="s">
        <v>190</v>
      </c>
      <c r="BU222" s="319" t="s">
        <v>190</v>
      </c>
      <c r="BV222" s="319" t="s">
        <v>190</v>
      </c>
      <c r="BW222" s="319" t="s">
        <v>190</v>
      </c>
      <c r="BX222" s="319" t="s">
        <v>190</v>
      </c>
      <c r="BY222" s="319" t="s">
        <v>190</v>
      </c>
      <c r="BZ222" s="319" t="s">
        <v>190</v>
      </c>
      <c r="CA222" s="319" t="s">
        <v>190</v>
      </c>
      <c r="CB222" s="319" t="s">
        <v>190</v>
      </c>
      <c r="CC222" s="319" t="s">
        <v>190</v>
      </c>
      <c r="CD222" s="319" t="s">
        <v>190</v>
      </c>
      <c r="CE222" s="319" t="s">
        <v>190</v>
      </c>
      <c r="CF222" s="319" t="s">
        <v>190</v>
      </c>
      <c r="CG222" s="319" t="s">
        <v>190</v>
      </c>
      <c r="CH222" s="319" t="s">
        <v>190</v>
      </c>
      <c r="CI222" s="319" t="s">
        <v>190</v>
      </c>
      <c r="CJ222" s="319" t="s">
        <v>190</v>
      </c>
      <c r="CK222" s="319" t="s">
        <v>191</v>
      </c>
      <c r="CL222" s="319" t="s">
        <v>191</v>
      </c>
      <c r="CM222" s="319" t="s">
        <v>191</v>
      </c>
      <c r="CN222" s="319" t="s">
        <v>428</v>
      </c>
      <c r="CO222" s="319" t="s">
        <v>428</v>
      </c>
      <c r="CP222" s="319" t="s">
        <v>428</v>
      </c>
      <c r="CQ222" s="319" t="s">
        <v>190</v>
      </c>
      <c r="CR222" s="319" t="s">
        <v>190</v>
      </c>
      <c r="CS222" s="319" t="s">
        <v>190</v>
      </c>
      <c r="CT222" s="319" t="s">
        <v>190</v>
      </c>
      <c r="CU222" s="319" t="s">
        <v>190</v>
      </c>
      <c r="CV222" s="319" t="s">
        <v>190</v>
      </c>
      <c r="CW222" s="319" t="s">
        <v>190</v>
      </c>
      <c r="CX222" s="319" t="s">
        <v>190</v>
      </c>
      <c r="CY222" s="319" t="s">
        <v>190</v>
      </c>
      <c r="CZ222" s="319" t="s">
        <v>190</v>
      </c>
      <c r="DA222" s="319" t="s">
        <v>190</v>
      </c>
      <c r="DB222" s="319" t="s">
        <v>190</v>
      </c>
      <c r="DC222" s="319" t="s">
        <v>190</v>
      </c>
      <c r="DD222" s="319" t="s">
        <v>190</v>
      </c>
      <c r="DE222" s="319" t="s">
        <v>190</v>
      </c>
      <c r="DF222" s="319" t="s">
        <v>190</v>
      </c>
      <c r="DG222" s="319" t="s">
        <v>190</v>
      </c>
      <c r="DH222" s="319" t="s">
        <v>190</v>
      </c>
      <c r="DI222" s="319" t="s">
        <v>190</v>
      </c>
      <c r="DJ222" s="319" t="s">
        <v>190</v>
      </c>
      <c r="DK222" s="319" t="s">
        <v>190</v>
      </c>
      <c r="DL222" s="319" t="s">
        <v>190</v>
      </c>
      <c r="DM222" s="319" t="s">
        <v>190</v>
      </c>
      <c r="DN222" s="319" t="s">
        <v>428</v>
      </c>
      <c r="DO222" s="319" t="s">
        <v>190</v>
      </c>
      <c r="DP222" s="319" t="s">
        <v>428</v>
      </c>
      <c r="DQ222" s="319" t="s">
        <v>428</v>
      </c>
      <c r="DR222" s="319" t="s">
        <v>428</v>
      </c>
      <c r="DS222" s="319" t="s">
        <v>428</v>
      </c>
      <c r="DT222" s="319" t="s">
        <v>428</v>
      </c>
      <c r="DU222" s="319" t="s">
        <v>428</v>
      </c>
      <c r="DV222" s="319" t="s">
        <v>173</v>
      </c>
      <c r="DW222" s="319" t="s">
        <v>428</v>
      </c>
      <c r="DX222" s="319" t="s">
        <v>428</v>
      </c>
      <c r="DY222" s="319" t="s">
        <v>428</v>
      </c>
      <c r="DZ222" s="319" t="s">
        <v>428</v>
      </c>
      <c r="EA222" s="319" t="s">
        <v>428</v>
      </c>
      <c r="EB222" s="319" t="s">
        <v>428</v>
      </c>
      <c r="EC222" s="319" t="s">
        <v>428</v>
      </c>
      <c r="ED222" s="319" t="s">
        <v>428</v>
      </c>
      <c r="EE222" s="319" t="s">
        <v>428</v>
      </c>
      <c r="EF222" s="319" t="s">
        <v>428</v>
      </c>
      <c r="EG222" s="319" t="s">
        <v>428</v>
      </c>
      <c r="EH222" s="319" t="s">
        <v>428</v>
      </c>
      <c r="EI222" s="319" t="s">
        <v>428</v>
      </c>
      <c r="EJ222" s="319" t="s">
        <v>428</v>
      </c>
      <c r="EK222" s="319" t="s">
        <v>428</v>
      </c>
      <c r="EL222" s="319" t="s">
        <v>428</v>
      </c>
      <c r="EM222" s="319" t="s">
        <v>428</v>
      </c>
      <c r="EN222" s="319" t="s">
        <v>190</v>
      </c>
      <c r="EO222" s="319" t="s">
        <v>190</v>
      </c>
      <c r="EP222" s="319" t="s">
        <v>190</v>
      </c>
      <c r="EQ222" s="319" t="s">
        <v>190</v>
      </c>
      <c r="ER222" s="319" t="s">
        <v>190</v>
      </c>
      <c r="ES222" s="319" t="s">
        <v>190</v>
      </c>
      <c r="ET222" s="319" t="s">
        <v>190</v>
      </c>
      <c r="EU222" s="319" t="s">
        <v>190</v>
      </c>
      <c r="EV222" s="319" t="s">
        <v>190</v>
      </c>
      <c r="EW222" s="319" t="s">
        <v>190</v>
      </c>
      <c r="EX222" s="319" t="s">
        <v>190</v>
      </c>
      <c r="EY222" s="319" t="s">
        <v>190</v>
      </c>
      <c r="EZ222" s="319" t="s">
        <v>190</v>
      </c>
      <c r="FA222" s="319" t="s">
        <v>190</v>
      </c>
      <c r="FB222" s="319" t="s">
        <v>428</v>
      </c>
      <c r="FC222" s="319" t="s">
        <v>428</v>
      </c>
      <c r="FD222" s="319" t="s">
        <v>428</v>
      </c>
      <c r="FE222" s="319" t="s">
        <v>428</v>
      </c>
      <c r="FF222" s="319" t="s">
        <v>428</v>
      </c>
      <c r="FG222" s="319" t="s">
        <v>428</v>
      </c>
      <c r="FH222" s="319" t="s">
        <v>428</v>
      </c>
      <c r="FI222" s="319" t="s">
        <v>428</v>
      </c>
      <c r="FJ222" s="319" t="s">
        <v>429</v>
      </c>
      <c r="FK222" s="319" t="s">
        <v>428</v>
      </c>
      <c r="FL222" s="319" t="s">
        <v>190</v>
      </c>
      <c r="FM222" s="319" t="s">
        <v>190</v>
      </c>
      <c r="FN222" s="319" t="s">
        <v>190</v>
      </c>
      <c r="FO222" s="319" t="s">
        <v>190</v>
      </c>
      <c r="FP222" s="319" t="s">
        <v>190</v>
      </c>
      <c r="FQ222" s="319" t="s">
        <v>190</v>
      </c>
      <c r="FR222" s="319" t="s">
        <v>190</v>
      </c>
      <c r="FS222" s="319" t="s">
        <v>428</v>
      </c>
      <c r="FT222" s="319" t="s">
        <v>190</v>
      </c>
      <c r="FU222" s="319" t="s">
        <v>190</v>
      </c>
      <c r="FV222" s="319" t="s">
        <v>190</v>
      </c>
      <c r="FW222" s="319" t="s">
        <v>190</v>
      </c>
      <c r="FX222" s="319" t="s">
        <v>190</v>
      </c>
      <c r="FY222" s="319" t="s">
        <v>190</v>
      </c>
      <c r="FZ222" s="319" t="s">
        <v>190</v>
      </c>
      <c r="GA222" s="319" t="s">
        <v>190</v>
      </c>
      <c r="GB222" s="319" t="s">
        <v>190</v>
      </c>
      <c r="GC222" s="319" t="s">
        <v>190</v>
      </c>
      <c r="GD222" s="319" t="s">
        <v>190</v>
      </c>
      <c r="GE222" s="319" t="s">
        <v>190</v>
      </c>
      <c r="GF222" s="319" t="s">
        <v>190</v>
      </c>
      <c r="GG222" s="319" t="s">
        <v>190</v>
      </c>
      <c r="GH222" s="319" t="s">
        <v>190</v>
      </c>
      <c r="GI222" s="319" t="s">
        <v>190</v>
      </c>
      <c r="GJ222" s="319" t="s">
        <v>190</v>
      </c>
      <c r="GK222" s="319" t="s">
        <v>428</v>
      </c>
      <c r="GL222" s="319" t="s">
        <v>190</v>
      </c>
      <c r="GM222" s="319" t="s">
        <v>190</v>
      </c>
      <c r="GN222" s="319" t="s">
        <v>190</v>
      </c>
      <c r="GO222" s="319" t="s">
        <v>190</v>
      </c>
      <c r="GP222" s="319" t="s">
        <v>190</v>
      </c>
      <c r="GQ222" s="319" t="s">
        <v>428</v>
      </c>
      <c r="GR222" s="319" t="s">
        <v>190</v>
      </c>
      <c r="GS222" s="319" t="s">
        <v>190</v>
      </c>
      <c r="GT222" s="319" t="s">
        <v>190</v>
      </c>
      <c r="GU222" s="319" t="s">
        <v>190</v>
      </c>
      <c r="GV222" s="319" t="s">
        <v>190</v>
      </c>
      <c r="GW222" s="319" t="s">
        <v>190</v>
      </c>
      <c r="GX222" s="319" t="s">
        <v>190</v>
      </c>
      <c r="GY222" s="319" t="s">
        <v>190</v>
      </c>
      <c r="GZ222" s="319" t="s">
        <v>190</v>
      </c>
      <c r="HA222" s="319" t="s">
        <v>428</v>
      </c>
      <c r="HB222" s="319" t="s">
        <v>190</v>
      </c>
      <c r="HC222" s="319" t="s">
        <v>190</v>
      </c>
      <c r="HD222" s="319" t="s">
        <v>190</v>
      </c>
      <c r="HE222" s="319" t="s">
        <v>190</v>
      </c>
      <c r="HF222" s="319" t="s">
        <v>190</v>
      </c>
      <c r="HG222" s="319" t="s">
        <v>190</v>
      </c>
      <c r="HH222" s="319" t="s">
        <v>190</v>
      </c>
      <c r="HI222" s="319" t="s">
        <v>190</v>
      </c>
      <c r="HJ222" s="319" t="s">
        <v>190</v>
      </c>
      <c r="HK222" s="319" t="s">
        <v>190</v>
      </c>
      <c r="HL222" s="319" t="s">
        <v>428</v>
      </c>
      <c r="HM222" s="319" t="s">
        <v>428</v>
      </c>
      <c r="HN222" s="319" t="s">
        <v>428</v>
      </c>
      <c r="HO222" s="319" t="s">
        <v>428</v>
      </c>
      <c r="HP222" s="319" t="s">
        <v>190</v>
      </c>
      <c r="HQ222" s="319" t="s">
        <v>190</v>
      </c>
      <c r="HR222" s="319" t="s">
        <v>190</v>
      </c>
      <c r="HS222" s="319" t="s">
        <v>190</v>
      </c>
      <c r="HT222" s="319" t="s">
        <v>190</v>
      </c>
      <c r="HU222" s="319" t="s">
        <v>190</v>
      </c>
      <c r="HV222" s="319" t="s">
        <v>190</v>
      </c>
      <c r="HW222" s="319" t="s">
        <v>190</v>
      </c>
      <c r="HX222" s="319" t="s">
        <v>190</v>
      </c>
      <c r="HY222" s="319" t="s">
        <v>190</v>
      </c>
      <c r="HZ222" s="319" t="s">
        <v>190</v>
      </c>
      <c r="IA222" s="319" t="s">
        <v>190</v>
      </c>
      <c r="IB222" s="319" t="s">
        <v>190</v>
      </c>
      <c r="IC222" s="319" t="s">
        <v>190</v>
      </c>
      <c r="ID222" s="319" t="s">
        <v>190</v>
      </c>
      <c r="IE222" s="319" t="s">
        <v>190</v>
      </c>
      <c r="IF222" s="319" t="s">
        <v>191</v>
      </c>
      <c r="IG222" s="319" t="s">
        <v>191</v>
      </c>
      <c r="IH222" s="319" t="s">
        <v>191</v>
      </c>
      <c r="II222" s="319" t="s">
        <v>191</v>
      </c>
      <c r="IJ222" s="319">
        <v>10008571</v>
      </c>
      <c r="IK222" s="321">
        <v>42696</v>
      </c>
      <c r="IL222" s="321">
        <v>42698</v>
      </c>
      <c r="IM222" s="321">
        <v>42747</v>
      </c>
      <c r="IN222" s="319">
        <v>4</v>
      </c>
      <c r="IO222" s="319">
        <v>10095072</v>
      </c>
      <c r="IP222" s="319" t="s">
        <v>985</v>
      </c>
      <c r="IQ222" s="321">
        <v>43543</v>
      </c>
      <c r="IR222" s="320" t="s">
        <v>1223</v>
      </c>
      <c r="IS222" s="322">
        <v>43592</v>
      </c>
      <c r="IT222" s="319" t="s">
        <v>165</v>
      </c>
    </row>
    <row r="223" spans="1:254" s="271" customFormat="1" x14ac:dyDescent="0.25">
      <c r="A223" s="318" t="str">
        <f>HYPERLINK("http://www.ofsted.gov.uk/inspection-reports/find-inspection-report/provider/ELS/121251 ","Ofsted School Webpage")</f>
        <v>Ofsted School Webpage</v>
      </c>
      <c r="B223" s="319">
        <v>121251</v>
      </c>
      <c r="C223" s="319">
        <v>9266143</v>
      </c>
      <c r="D223" s="319" t="s">
        <v>462</v>
      </c>
      <c r="E223" s="319" t="s">
        <v>167</v>
      </c>
      <c r="F223" s="319" t="s">
        <v>81</v>
      </c>
      <c r="G223" s="319" t="s">
        <v>81</v>
      </c>
      <c r="H223" s="319" t="s">
        <v>81</v>
      </c>
      <c r="I223" s="319" t="s">
        <v>78</v>
      </c>
      <c r="J223" s="319" t="s">
        <v>424</v>
      </c>
      <c r="K223" s="319" t="s">
        <v>451</v>
      </c>
      <c r="L223" s="319" t="s">
        <v>451</v>
      </c>
      <c r="M223" s="319" t="s">
        <v>463</v>
      </c>
      <c r="N223" s="319" t="s">
        <v>3008</v>
      </c>
      <c r="O223" s="319" t="s">
        <v>464</v>
      </c>
      <c r="P223" s="319">
        <v>133</v>
      </c>
      <c r="Q223" s="319" t="s">
        <v>2766</v>
      </c>
      <c r="R223" s="320">
        <v>10055828</v>
      </c>
      <c r="S223" s="321">
        <v>43361</v>
      </c>
      <c r="T223" s="321">
        <v>43363</v>
      </c>
      <c r="U223" s="321">
        <v>43390</v>
      </c>
      <c r="V223" s="319" t="s">
        <v>425</v>
      </c>
      <c r="W223" s="319" t="s">
        <v>2767</v>
      </c>
      <c r="X223" s="319">
        <v>2</v>
      </c>
      <c r="Y223" s="319" t="s">
        <v>173</v>
      </c>
      <c r="Z223" s="319" t="s">
        <v>173</v>
      </c>
      <c r="AA223" s="319" t="s">
        <v>173</v>
      </c>
      <c r="AB223" s="319">
        <v>2</v>
      </c>
      <c r="AC223" s="319" t="s">
        <v>169</v>
      </c>
      <c r="AD223" s="319">
        <v>2</v>
      </c>
      <c r="AE223" s="319" t="s">
        <v>173</v>
      </c>
      <c r="AF223" s="319" t="s">
        <v>447</v>
      </c>
      <c r="AG223" s="319" t="s">
        <v>171</v>
      </c>
      <c r="AH223" s="319" t="s">
        <v>190</v>
      </c>
      <c r="AI223" s="319" t="s">
        <v>190</v>
      </c>
      <c r="AJ223" s="319" t="s">
        <v>190</v>
      </c>
      <c r="AK223" s="319" t="s">
        <v>190</v>
      </c>
      <c r="AL223" s="319" t="s">
        <v>190</v>
      </c>
      <c r="AM223" s="319" t="s">
        <v>190</v>
      </c>
      <c r="AN223" s="319" t="s">
        <v>190</v>
      </c>
      <c r="AO223" s="319" t="s">
        <v>190</v>
      </c>
      <c r="AP223" s="319" t="s">
        <v>190</v>
      </c>
      <c r="AQ223" s="319" t="s">
        <v>190</v>
      </c>
      <c r="AR223" s="319" t="s">
        <v>190</v>
      </c>
      <c r="AS223" s="319" t="s">
        <v>190</v>
      </c>
      <c r="AT223" s="319" t="s">
        <v>190</v>
      </c>
      <c r="AU223" s="319" t="s">
        <v>190</v>
      </c>
      <c r="AV223" s="319" t="s">
        <v>190</v>
      </c>
      <c r="AW223" s="319" t="s">
        <v>190</v>
      </c>
      <c r="AX223" s="319" t="s">
        <v>428</v>
      </c>
      <c r="AY223" s="319" t="s">
        <v>190</v>
      </c>
      <c r="AZ223" s="319" t="s">
        <v>190</v>
      </c>
      <c r="BA223" s="319" t="s">
        <v>190</v>
      </c>
      <c r="BB223" s="319" t="s">
        <v>428</v>
      </c>
      <c r="BC223" s="319" t="s">
        <v>428</v>
      </c>
      <c r="BD223" s="319" t="s">
        <v>428</v>
      </c>
      <c r="BE223" s="319" t="s">
        <v>428</v>
      </c>
      <c r="BF223" s="319" t="s">
        <v>428</v>
      </c>
      <c r="BG223" s="319" t="s">
        <v>428</v>
      </c>
      <c r="BH223" s="319" t="s">
        <v>190</v>
      </c>
      <c r="BI223" s="319" t="s">
        <v>190</v>
      </c>
      <c r="BJ223" s="319" t="s">
        <v>190</v>
      </c>
      <c r="BK223" s="319" t="s">
        <v>190</v>
      </c>
      <c r="BL223" s="319" t="s">
        <v>190</v>
      </c>
      <c r="BM223" s="319" t="s">
        <v>190</v>
      </c>
      <c r="BN223" s="319" t="s">
        <v>190</v>
      </c>
      <c r="BO223" s="319" t="s">
        <v>190</v>
      </c>
      <c r="BP223" s="319" t="s">
        <v>190</v>
      </c>
      <c r="BQ223" s="319" t="s">
        <v>190</v>
      </c>
      <c r="BR223" s="319" t="s">
        <v>190</v>
      </c>
      <c r="BS223" s="319" t="s">
        <v>190</v>
      </c>
      <c r="BT223" s="319" t="s">
        <v>190</v>
      </c>
      <c r="BU223" s="319" t="s">
        <v>190</v>
      </c>
      <c r="BV223" s="319" t="s">
        <v>190</v>
      </c>
      <c r="BW223" s="319" t="s">
        <v>190</v>
      </c>
      <c r="BX223" s="319" t="s">
        <v>190</v>
      </c>
      <c r="BY223" s="319" t="s">
        <v>190</v>
      </c>
      <c r="BZ223" s="319" t="s">
        <v>190</v>
      </c>
      <c r="CA223" s="319" t="s">
        <v>190</v>
      </c>
      <c r="CB223" s="319" t="s">
        <v>190</v>
      </c>
      <c r="CC223" s="319" t="s">
        <v>190</v>
      </c>
      <c r="CD223" s="319" t="s">
        <v>190</v>
      </c>
      <c r="CE223" s="319" t="s">
        <v>190</v>
      </c>
      <c r="CF223" s="319" t="s">
        <v>190</v>
      </c>
      <c r="CG223" s="319" t="s">
        <v>190</v>
      </c>
      <c r="CH223" s="319" t="s">
        <v>190</v>
      </c>
      <c r="CI223" s="319" t="s">
        <v>190</v>
      </c>
      <c r="CJ223" s="319" t="s">
        <v>190</v>
      </c>
      <c r="CK223" s="319" t="s">
        <v>190</v>
      </c>
      <c r="CL223" s="319" t="s">
        <v>190</v>
      </c>
      <c r="CM223" s="319" t="s">
        <v>190</v>
      </c>
      <c r="CN223" s="319" t="s">
        <v>428</v>
      </c>
      <c r="CO223" s="319" t="s">
        <v>428</v>
      </c>
      <c r="CP223" s="319" t="s">
        <v>428</v>
      </c>
      <c r="CQ223" s="319" t="s">
        <v>190</v>
      </c>
      <c r="CR223" s="319" t="s">
        <v>190</v>
      </c>
      <c r="CS223" s="319" t="s">
        <v>190</v>
      </c>
      <c r="CT223" s="319" t="s">
        <v>190</v>
      </c>
      <c r="CU223" s="319" t="s">
        <v>190</v>
      </c>
      <c r="CV223" s="319" t="s">
        <v>190</v>
      </c>
      <c r="CW223" s="319" t="s">
        <v>190</v>
      </c>
      <c r="CX223" s="319" t="s">
        <v>190</v>
      </c>
      <c r="CY223" s="319" t="s">
        <v>190</v>
      </c>
      <c r="CZ223" s="319" t="s">
        <v>190</v>
      </c>
      <c r="DA223" s="319" t="s">
        <v>190</v>
      </c>
      <c r="DB223" s="319" t="s">
        <v>190</v>
      </c>
      <c r="DC223" s="319" t="s">
        <v>190</v>
      </c>
      <c r="DD223" s="319" t="s">
        <v>190</v>
      </c>
      <c r="DE223" s="319" t="s">
        <v>190</v>
      </c>
      <c r="DF223" s="319" t="s">
        <v>190</v>
      </c>
      <c r="DG223" s="319" t="s">
        <v>190</v>
      </c>
      <c r="DH223" s="319" t="s">
        <v>190</v>
      </c>
      <c r="DI223" s="319" t="s">
        <v>190</v>
      </c>
      <c r="DJ223" s="319" t="s">
        <v>190</v>
      </c>
      <c r="DK223" s="319" t="s">
        <v>190</v>
      </c>
      <c r="DL223" s="319" t="s">
        <v>190</v>
      </c>
      <c r="DM223" s="319" t="s">
        <v>190</v>
      </c>
      <c r="DN223" s="319" t="s">
        <v>428</v>
      </c>
      <c r="DO223" s="319" t="s">
        <v>190</v>
      </c>
      <c r="DP223" s="319" t="s">
        <v>428</v>
      </c>
      <c r="DQ223" s="319" t="s">
        <v>428</v>
      </c>
      <c r="DR223" s="319" t="s">
        <v>428</v>
      </c>
      <c r="DS223" s="319" t="s">
        <v>428</v>
      </c>
      <c r="DT223" s="319" t="s">
        <v>428</v>
      </c>
      <c r="DU223" s="319" t="s">
        <v>428</v>
      </c>
      <c r="DV223" s="319" t="s">
        <v>173</v>
      </c>
      <c r="DW223" s="319" t="s">
        <v>428</v>
      </c>
      <c r="DX223" s="319" t="s">
        <v>428</v>
      </c>
      <c r="DY223" s="319" t="s">
        <v>428</v>
      </c>
      <c r="DZ223" s="319" t="s">
        <v>428</v>
      </c>
      <c r="EA223" s="319" t="s">
        <v>428</v>
      </c>
      <c r="EB223" s="319" t="s">
        <v>428</v>
      </c>
      <c r="EC223" s="319" t="s">
        <v>428</v>
      </c>
      <c r="ED223" s="319" t="s">
        <v>428</v>
      </c>
      <c r="EE223" s="319" t="s">
        <v>190</v>
      </c>
      <c r="EF223" s="319" t="s">
        <v>190</v>
      </c>
      <c r="EG223" s="319" t="s">
        <v>190</v>
      </c>
      <c r="EH223" s="319" t="s">
        <v>190</v>
      </c>
      <c r="EI223" s="319" t="s">
        <v>190</v>
      </c>
      <c r="EJ223" s="319" t="s">
        <v>190</v>
      </c>
      <c r="EK223" s="319" t="s">
        <v>190</v>
      </c>
      <c r="EL223" s="319" t="s">
        <v>190</v>
      </c>
      <c r="EM223" s="319" t="s">
        <v>190</v>
      </c>
      <c r="EN223" s="319" t="s">
        <v>190</v>
      </c>
      <c r="EO223" s="319" t="s">
        <v>190</v>
      </c>
      <c r="EP223" s="319" t="s">
        <v>190</v>
      </c>
      <c r="EQ223" s="319" t="s">
        <v>190</v>
      </c>
      <c r="ER223" s="319" t="s">
        <v>190</v>
      </c>
      <c r="ES223" s="319" t="s">
        <v>190</v>
      </c>
      <c r="ET223" s="319" t="s">
        <v>190</v>
      </c>
      <c r="EU223" s="319" t="s">
        <v>190</v>
      </c>
      <c r="EV223" s="319" t="s">
        <v>190</v>
      </c>
      <c r="EW223" s="319" t="s">
        <v>190</v>
      </c>
      <c r="EX223" s="319" t="s">
        <v>190</v>
      </c>
      <c r="EY223" s="319" t="s">
        <v>190</v>
      </c>
      <c r="EZ223" s="319" t="s">
        <v>190</v>
      </c>
      <c r="FA223" s="319" t="s">
        <v>190</v>
      </c>
      <c r="FB223" s="319" t="s">
        <v>428</v>
      </c>
      <c r="FC223" s="319" t="s">
        <v>428</v>
      </c>
      <c r="FD223" s="319" t="s">
        <v>428</v>
      </c>
      <c r="FE223" s="319" t="s">
        <v>428</v>
      </c>
      <c r="FF223" s="319" t="s">
        <v>428</v>
      </c>
      <c r="FG223" s="319" t="s">
        <v>428</v>
      </c>
      <c r="FH223" s="319" t="s">
        <v>190</v>
      </c>
      <c r="FI223" s="319" t="s">
        <v>190</v>
      </c>
      <c r="FJ223" s="319" t="s">
        <v>190</v>
      </c>
      <c r="FK223" s="319" t="s">
        <v>190</v>
      </c>
      <c r="FL223" s="319" t="s">
        <v>190</v>
      </c>
      <c r="FM223" s="319" t="s">
        <v>190</v>
      </c>
      <c r="FN223" s="319" t="s">
        <v>190</v>
      </c>
      <c r="FO223" s="319" t="s">
        <v>428</v>
      </c>
      <c r="FP223" s="319" t="s">
        <v>190</v>
      </c>
      <c r="FQ223" s="319" t="s">
        <v>190</v>
      </c>
      <c r="FR223" s="319" t="s">
        <v>190</v>
      </c>
      <c r="FS223" s="319" t="s">
        <v>428</v>
      </c>
      <c r="FT223" s="319" t="s">
        <v>190</v>
      </c>
      <c r="FU223" s="319" t="s">
        <v>190</v>
      </c>
      <c r="FV223" s="319" t="s">
        <v>190</v>
      </c>
      <c r="FW223" s="319" t="s">
        <v>190</v>
      </c>
      <c r="FX223" s="319" t="s">
        <v>190</v>
      </c>
      <c r="FY223" s="319" t="s">
        <v>190</v>
      </c>
      <c r="FZ223" s="319" t="s">
        <v>190</v>
      </c>
      <c r="GA223" s="319" t="s">
        <v>190</v>
      </c>
      <c r="GB223" s="319" t="s">
        <v>190</v>
      </c>
      <c r="GC223" s="319" t="s">
        <v>190</v>
      </c>
      <c r="GD223" s="319" t="s">
        <v>190</v>
      </c>
      <c r="GE223" s="319" t="s">
        <v>190</v>
      </c>
      <c r="GF223" s="319" t="s">
        <v>190</v>
      </c>
      <c r="GG223" s="319" t="s">
        <v>190</v>
      </c>
      <c r="GH223" s="319" t="s">
        <v>190</v>
      </c>
      <c r="GI223" s="319" t="s">
        <v>190</v>
      </c>
      <c r="GJ223" s="319" t="s">
        <v>190</v>
      </c>
      <c r="GK223" s="319" t="s">
        <v>428</v>
      </c>
      <c r="GL223" s="319" t="s">
        <v>190</v>
      </c>
      <c r="GM223" s="319" t="s">
        <v>190</v>
      </c>
      <c r="GN223" s="319" t="s">
        <v>190</v>
      </c>
      <c r="GO223" s="319" t="s">
        <v>190</v>
      </c>
      <c r="GP223" s="319" t="s">
        <v>190</v>
      </c>
      <c r="GQ223" s="319" t="s">
        <v>428</v>
      </c>
      <c r="GR223" s="319" t="s">
        <v>190</v>
      </c>
      <c r="GS223" s="319" t="s">
        <v>190</v>
      </c>
      <c r="GT223" s="319" t="s">
        <v>190</v>
      </c>
      <c r="GU223" s="319" t="s">
        <v>190</v>
      </c>
      <c r="GV223" s="319" t="s">
        <v>190</v>
      </c>
      <c r="GW223" s="319" t="s">
        <v>190</v>
      </c>
      <c r="GX223" s="319" t="s">
        <v>190</v>
      </c>
      <c r="GY223" s="319" t="s">
        <v>190</v>
      </c>
      <c r="GZ223" s="319" t="s">
        <v>190</v>
      </c>
      <c r="HA223" s="319" t="s">
        <v>428</v>
      </c>
      <c r="HB223" s="319" t="s">
        <v>428</v>
      </c>
      <c r="HC223" s="319" t="s">
        <v>190</v>
      </c>
      <c r="HD223" s="319" t="s">
        <v>190</v>
      </c>
      <c r="HE223" s="319" t="s">
        <v>190</v>
      </c>
      <c r="HF223" s="319" t="s">
        <v>190</v>
      </c>
      <c r="HG223" s="319" t="s">
        <v>190</v>
      </c>
      <c r="HH223" s="319" t="s">
        <v>190</v>
      </c>
      <c r="HI223" s="319" t="s">
        <v>190</v>
      </c>
      <c r="HJ223" s="319" t="s">
        <v>190</v>
      </c>
      <c r="HK223" s="319" t="s">
        <v>190</v>
      </c>
      <c r="HL223" s="319" t="s">
        <v>190</v>
      </c>
      <c r="HM223" s="319" t="s">
        <v>190</v>
      </c>
      <c r="HN223" s="319" t="s">
        <v>190</v>
      </c>
      <c r="HO223" s="319" t="s">
        <v>190</v>
      </c>
      <c r="HP223" s="319" t="s">
        <v>190</v>
      </c>
      <c r="HQ223" s="319" t="s">
        <v>190</v>
      </c>
      <c r="HR223" s="319" t="s">
        <v>190</v>
      </c>
      <c r="HS223" s="319" t="s">
        <v>190</v>
      </c>
      <c r="HT223" s="319" t="s">
        <v>190</v>
      </c>
      <c r="HU223" s="319" t="s">
        <v>190</v>
      </c>
      <c r="HV223" s="319" t="s">
        <v>190</v>
      </c>
      <c r="HW223" s="319" t="s">
        <v>190</v>
      </c>
      <c r="HX223" s="319" t="s">
        <v>190</v>
      </c>
      <c r="HY223" s="319" t="s">
        <v>190</v>
      </c>
      <c r="HZ223" s="319" t="s">
        <v>190</v>
      </c>
      <c r="IA223" s="319" t="s">
        <v>190</v>
      </c>
      <c r="IB223" s="319" t="s">
        <v>190</v>
      </c>
      <c r="IC223" s="319" t="s">
        <v>190</v>
      </c>
      <c r="ID223" s="319" t="s">
        <v>190</v>
      </c>
      <c r="IE223" s="319" t="s">
        <v>190</v>
      </c>
      <c r="IF223" s="319" t="s">
        <v>190</v>
      </c>
      <c r="IG223" s="319" t="s">
        <v>190</v>
      </c>
      <c r="IH223" s="319" t="s">
        <v>190</v>
      </c>
      <c r="II223" s="319" t="s">
        <v>190</v>
      </c>
      <c r="IJ223" s="319">
        <v>10038903</v>
      </c>
      <c r="IK223" s="321">
        <v>43067</v>
      </c>
      <c r="IL223" s="321">
        <v>43069</v>
      </c>
      <c r="IM223" s="321">
        <v>43256</v>
      </c>
      <c r="IN223" s="319">
        <v>4</v>
      </c>
      <c r="IO223" s="319" t="s">
        <v>173</v>
      </c>
      <c r="IP223" s="319" t="s">
        <v>173</v>
      </c>
      <c r="IQ223" s="321" t="s">
        <v>173</v>
      </c>
      <c r="IR223" s="320" t="s">
        <v>173</v>
      </c>
      <c r="IS223" s="322" t="s">
        <v>173</v>
      </c>
      <c r="IT223" s="319" t="s">
        <v>173</v>
      </c>
    </row>
    <row r="224" spans="1:254" s="271" customFormat="1" x14ac:dyDescent="0.25">
      <c r="A224" s="318" t="str">
        <f>HYPERLINK("http://www.ofsted.gov.uk/inspection-reports/find-inspection-report/provider/ELS/121252 ","Ofsted School Webpage")</f>
        <v>Ofsted School Webpage</v>
      </c>
      <c r="B224" s="319">
        <v>121252</v>
      </c>
      <c r="C224" s="319">
        <v>9266145</v>
      </c>
      <c r="D224" s="319" t="s">
        <v>471</v>
      </c>
      <c r="E224" s="319" t="s">
        <v>168</v>
      </c>
      <c r="F224" s="319" t="s">
        <v>65</v>
      </c>
      <c r="G224" s="319" t="s">
        <v>65</v>
      </c>
      <c r="H224" s="319" t="s">
        <v>65</v>
      </c>
      <c r="I224" s="319" t="s">
        <v>59</v>
      </c>
      <c r="J224" s="319" t="s">
        <v>424</v>
      </c>
      <c r="K224" s="319" t="s">
        <v>451</v>
      </c>
      <c r="L224" s="319" t="s">
        <v>451</v>
      </c>
      <c r="M224" s="319" t="s">
        <v>463</v>
      </c>
      <c r="N224" s="319" t="s">
        <v>3009</v>
      </c>
      <c r="O224" s="319" t="s">
        <v>472</v>
      </c>
      <c r="P224" s="319">
        <v>40</v>
      </c>
      <c r="Q224" s="319" t="s">
        <v>429</v>
      </c>
      <c r="R224" s="320">
        <v>10054008</v>
      </c>
      <c r="S224" s="321">
        <v>43368</v>
      </c>
      <c r="T224" s="321">
        <v>43370</v>
      </c>
      <c r="U224" s="321">
        <v>43411</v>
      </c>
      <c r="V224" s="319" t="s">
        <v>425</v>
      </c>
      <c r="W224" s="319" t="s">
        <v>2767</v>
      </c>
      <c r="X224" s="319">
        <v>2</v>
      </c>
      <c r="Y224" s="319" t="s">
        <v>173</v>
      </c>
      <c r="Z224" s="319" t="s">
        <v>173</v>
      </c>
      <c r="AA224" s="319" t="s">
        <v>173</v>
      </c>
      <c r="AB224" s="319">
        <v>2</v>
      </c>
      <c r="AC224" s="319" t="s">
        <v>169</v>
      </c>
      <c r="AD224" s="319" t="s">
        <v>173</v>
      </c>
      <c r="AE224" s="319" t="s">
        <v>173</v>
      </c>
      <c r="AF224" s="319" t="s">
        <v>427</v>
      </c>
      <c r="AG224" s="319" t="s">
        <v>171</v>
      </c>
      <c r="AH224" s="319" t="s">
        <v>190</v>
      </c>
      <c r="AI224" s="319" t="s">
        <v>190</v>
      </c>
      <c r="AJ224" s="319" t="s">
        <v>190</v>
      </c>
      <c r="AK224" s="319" t="s">
        <v>190</v>
      </c>
      <c r="AL224" s="319" t="s">
        <v>190</v>
      </c>
      <c r="AM224" s="319" t="s">
        <v>190</v>
      </c>
      <c r="AN224" s="319" t="s">
        <v>190</v>
      </c>
      <c r="AO224" s="319" t="s">
        <v>190</v>
      </c>
      <c r="AP224" s="319" t="s">
        <v>190</v>
      </c>
      <c r="AQ224" s="319" t="s">
        <v>190</v>
      </c>
      <c r="AR224" s="319" t="s">
        <v>190</v>
      </c>
      <c r="AS224" s="319" t="s">
        <v>190</v>
      </c>
      <c r="AT224" s="319" t="s">
        <v>190</v>
      </c>
      <c r="AU224" s="319" t="s">
        <v>190</v>
      </c>
      <c r="AV224" s="319" t="s">
        <v>190</v>
      </c>
      <c r="AW224" s="319" t="s">
        <v>190</v>
      </c>
      <c r="AX224" s="319" t="s">
        <v>428</v>
      </c>
      <c r="AY224" s="319" t="s">
        <v>190</v>
      </c>
      <c r="AZ224" s="319" t="s">
        <v>190</v>
      </c>
      <c r="BA224" s="319" t="s">
        <v>190</v>
      </c>
      <c r="BB224" s="319" t="s">
        <v>190</v>
      </c>
      <c r="BC224" s="319" t="s">
        <v>190</v>
      </c>
      <c r="BD224" s="319" t="s">
        <v>190</v>
      </c>
      <c r="BE224" s="319" t="s">
        <v>190</v>
      </c>
      <c r="BF224" s="319" t="s">
        <v>428</v>
      </c>
      <c r="BG224" s="319" t="s">
        <v>190</v>
      </c>
      <c r="BH224" s="319" t="s">
        <v>190</v>
      </c>
      <c r="BI224" s="319" t="s">
        <v>190</v>
      </c>
      <c r="BJ224" s="319" t="s">
        <v>190</v>
      </c>
      <c r="BK224" s="319" t="s">
        <v>190</v>
      </c>
      <c r="BL224" s="319" t="s">
        <v>190</v>
      </c>
      <c r="BM224" s="319" t="s">
        <v>190</v>
      </c>
      <c r="BN224" s="319" t="s">
        <v>190</v>
      </c>
      <c r="BO224" s="319" t="s">
        <v>190</v>
      </c>
      <c r="BP224" s="319" t="s">
        <v>190</v>
      </c>
      <c r="BQ224" s="319" t="s">
        <v>190</v>
      </c>
      <c r="BR224" s="319" t="s">
        <v>190</v>
      </c>
      <c r="BS224" s="319" t="s">
        <v>190</v>
      </c>
      <c r="BT224" s="319" t="s">
        <v>190</v>
      </c>
      <c r="BU224" s="319" t="s">
        <v>190</v>
      </c>
      <c r="BV224" s="319" t="s">
        <v>190</v>
      </c>
      <c r="BW224" s="319" t="s">
        <v>190</v>
      </c>
      <c r="BX224" s="319" t="s">
        <v>190</v>
      </c>
      <c r="BY224" s="319" t="s">
        <v>190</v>
      </c>
      <c r="BZ224" s="319" t="s">
        <v>190</v>
      </c>
      <c r="CA224" s="319" t="s">
        <v>190</v>
      </c>
      <c r="CB224" s="319" t="s">
        <v>190</v>
      </c>
      <c r="CC224" s="319" t="s">
        <v>190</v>
      </c>
      <c r="CD224" s="319" t="s">
        <v>190</v>
      </c>
      <c r="CE224" s="319" t="s">
        <v>190</v>
      </c>
      <c r="CF224" s="319" t="s">
        <v>190</v>
      </c>
      <c r="CG224" s="319" t="s">
        <v>190</v>
      </c>
      <c r="CH224" s="319" t="s">
        <v>190</v>
      </c>
      <c r="CI224" s="319" t="s">
        <v>190</v>
      </c>
      <c r="CJ224" s="319" t="s">
        <v>190</v>
      </c>
      <c r="CK224" s="319" t="s">
        <v>190</v>
      </c>
      <c r="CL224" s="319" t="s">
        <v>190</v>
      </c>
      <c r="CM224" s="319" t="s">
        <v>190</v>
      </c>
      <c r="CN224" s="319" t="s">
        <v>428</v>
      </c>
      <c r="CO224" s="319" t="s">
        <v>428</v>
      </c>
      <c r="CP224" s="319" t="s">
        <v>428</v>
      </c>
      <c r="CQ224" s="319" t="s">
        <v>190</v>
      </c>
      <c r="CR224" s="319" t="s">
        <v>190</v>
      </c>
      <c r="CS224" s="319" t="s">
        <v>190</v>
      </c>
      <c r="CT224" s="319" t="s">
        <v>190</v>
      </c>
      <c r="CU224" s="319" t="s">
        <v>190</v>
      </c>
      <c r="CV224" s="319" t="s">
        <v>190</v>
      </c>
      <c r="CW224" s="319" t="s">
        <v>190</v>
      </c>
      <c r="CX224" s="319" t="s">
        <v>190</v>
      </c>
      <c r="CY224" s="319" t="s">
        <v>190</v>
      </c>
      <c r="CZ224" s="319" t="s">
        <v>190</v>
      </c>
      <c r="DA224" s="319" t="s">
        <v>190</v>
      </c>
      <c r="DB224" s="319" t="s">
        <v>190</v>
      </c>
      <c r="DC224" s="319" t="s">
        <v>190</v>
      </c>
      <c r="DD224" s="319" t="s">
        <v>190</v>
      </c>
      <c r="DE224" s="319" t="s">
        <v>190</v>
      </c>
      <c r="DF224" s="319" t="s">
        <v>190</v>
      </c>
      <c r="DG224" s="319" t="s">
        <v>190</v>
      </c>
      <c r="DH224" s="319" t="s">
        <v>190</v>
      </c>
      <c r="DI224" s="319" t="s">
        <v>190</v>
      </c>
      <c r="DJ224" s="319" t="s">
        <v>190</v>
      </c>
      <c r="DK224" s="319" t="s">
        <v>190</v>
      </c>
      <c r="DL224" s="319" t="s">
        <v>190</v>
      </c>
      <c r="DM224" s="319" t="s">
        <v>190</v>
      </c>
      <c r="DN224" s="319" t="s">
        <v>428</v>
      </c>
      <c r="DO224" s="319" t="s">
        <v>190</v>
      </c>
      <c r="DP224" s="319" t="s">
        <v>190</v>
      </c>
      <c r="DQ224" s="319" t="s">
        <v>190</v>
      </c>
      <c r="DR224" s="319" t="s">
        <v>190</v>
      </c>
      <c r="DS224" s="319" t="s">
        <v>190</v>
      </c>
      <c r="DT224" s="319" t="s">
        <v>190</v>
      </c>
      <c r="DU224" s="319" t="s">
        <v>190</v>
      </c>
      <c r="DV224" s="319" t="s">
        <v>173</v>
      </c>
      <c r="DW224" s="319" t="s">
        <v>190</v>
      </c>
      <c r="DX224" s="319" t="s">
        <v>190</v>
      </c>
      <c r="DY224" s="319" t="s">
        <v>190</v>
      </c>
      <c r="DZ224" s="319" t="s">
        <v>190</v>
      </c>
      <c r="EA224" s="319" t="s">
        <v>190</v>
      </c>
      <c r="EB224" s="319" t="s">
        <v>190</v>
      </c>
      <c r="EC224" s="319" t="s">
        <v>428</v>
      </c>
      <c r="ED224" s="319" t="s">
        <v>190</v>
      </c>
      <c r="EE224" s="319" t="s">
        <v>190</v>
      </c>
      <c r="EF224" s="319" t="s">
        <v>190</v>
      </c>
      <c r="EG224" s="319" t="s">
        <v>190</v>
      </c>
      <c r="EH224" s="319" t="s">
        <v>190</v>
      </c>
      <c r="EI224" s="319" t="s">
        <v>190</v>
      </c>
      <c r="EJ224" s="319" t="s">
        <v>190</v>
      </c>
      <c r="EK224" s="319" t="s">
        <v>190</v>
      </c>
      <c r="EL224" s="319" t="s">
        <v>190</v>
      </c>
      <c r="EM224" s="319" t="s">
        <v>190</v>
      </c>
      <c r="EN224" s="319" t="s">
        <v>190</v>
      </c>
      <c r="EO224" s="319" t="s">
        <v>190</v>
      </c>
      <c r="EP224" s="319" t="s">
        <v>190</v>
      </c>
      <c r="EQ224" s="319" t="s">
        <v>190</v>
      </c>
      <c r="ER224" s="319" t="s">
        <v>190</v>
      </c>
      <c r="ES224" s="319" t="s">
        <v>190</v>
      </c>
      <c r="ET224" s="319" t="s">
        <v>190</v>
      </c>
      <c r="EU224" s="319" t="s">
        <v>190</v>
      </c>
      <c r="EV224" s="319" t="s">
        <v>190</v>
      </c>
      <c r="EW224" s="319" t="s">
        <v>190</v>
      </c>
      <c r="EX224" s="319" t="s">
        <v>190</v>
      </c>
      <c r="EY224" s="319" t="s">
        <v>190</v>
      </c>
      <c r="EZ224" s="319" t="s">
        <v>190</v>
      </c>
      <c r="FA224" s="319" t="s">
        <v>190</v>
      </c>
      <c r="FB224" s="319" t="s">
        <v>190</v>
      </c>
      <c r="FC224" s="319" t="s">
        <v>190</v>
      </c>
      <c r="FD224" s="319" t="s">
        <v>190</v>
      </c>
      <c r="FE224" s="319" t="s">
        <v>190</v>
      </c>
      <c r="FF224" s="319" t="s">
        <v>190</v>
      </c>
      <c r="FG224" s="319" t="s">
        <v>190</v>
      </c>
      <c r="FH224" s="319" t="s">
        <v>190</v>
      </c>
      <c r="FI224" s="319" t="s">
        <v>190</v>
      </c>
      <c r="FJ224" s="319" t="s">
        <v>190</v>
      </c>
      <c r="FK224" s="319" t="s">
        <v>190</v>
      </c>
      <c r="FL224" s="319" t="s">
        <v>190</v>
      </c>
      <c r="FM224" s="319" t="s">
        <v>190</v>
      </c>
      <c r="FN224" s="319" t="s">
        <v>190</v>
      </c>
      <c r="FO224" s="319" t="s">
        <v>190</v>
      </c>
      <c r="FP224" s="319" t="s">
        <v>190</v>
      </c>
      <c r="FQ224" s="319" t="s">
        <v>190</v>
      </c>
      <c r="FR224" s="319" t="s">
        <v>190</v>
      </c>
      <c r="FS224" s="319" t="s">
        <v>190</v>
      </c>
      <c r="FT224" s="319" t="s">
        <v>190</v>
      </c>
      <c r="FU224" s="319" t="s">
        <v>190</v>
      </c>
      <c r="FV224" s="319" t="s">
        <v>190</v>
      </c>
      <c r="FW224" s="319" t="s">
        <v>190</v>
      </c>
      <c r="FX224" s="319" t="s">
        <v>190</v>
      </c>
      <c r="FY224" s="319" t="s">
        <v>190</v>
      </c>
      <c r="FZ224" s="319" t="s">
        <v>190</v>
      </c>
      <c r="GA224" s="319" t="s">
        <v>190</v>
      </c>
      <c r="GB224" s="319" t="s">
        <v>190</v>
      </c>
      <c r="GC224" s="319" t="s">
        <v>190</v>
      </c>
      <c r="GD224" s="319" t="s">
        <v>190</v>
      </c>
      <c r="GE224" s="319" t="s">
        <v>190</v>
      </c>
      <c r="GF224" s="319" t="s">
        <v>190</v>
      </c>
      <c r="GG224" s="319" t="s">
        <v>190</v>
      </c>
      <c r="GH224" s="319" t="s">
        <v>190</v>
      </c>
      <c r="GI224" s="319" t="s">
        <v>190</v>
      </c>
      <c r="GJ224" s="319" t="s">
        <v>190</v>
      </c>
      <c r="GK224" s="319" t="s">
        <v>428</v>
      </c>
      <c r="GL224" s="319" t="s">
        <v>190</v>
      </c>
      <c r="GM224" s="319" t="s">
        <v>190</v>
      </c>
      <c r="GN224" s="319" t="s">
        <v>190</v>
      </c>
      <c r="GO224" s="319" t="s">
        <v>190</v>
      </c>
      <c r="GP224" s="319" t="s">
        <v>190</v>
      </c>
      <c r="GQ224" s="319" t="s">
        <v>428</v>
      </c>
      <c r="GR224" s="319" t="s">
        <v>190</v>
      </c>
      <c r="GS224" s="319" t="s">
        <v>190</v>
      </c>
      <c r="GT224" s="319" t="s">
        <v>190</v>
      </c>
      <c r="GU224" s="319" t="s">
        <v>190</v>
      </c>
      <c r="GV224" s="319" t="s">
        <v>190</v>
      </c>
      <c r="GW224" s="319" t="s">
        <v>190</v>
      </c>
      <c r="GX224" s="319" t="s">
        <v>190</v>
      </c>
      <c r="GY224" s="319" t="s">
        <v>190</v>
      </c>
      <c r="GZ224" s="319" t="s">
        <v>428</v>
      </c>
      <c r="HA224" s="319" t="s">
        <v>190</v>
      </c>
      <c r="HB224" s="319" t="s">
        <v>190</v>
      </c>
      <c r="HC224" s="319" t="s">
        <v>190</v>
      </c>
      <c r="HD224" s="319" t="s">
        <v>190</v>
      </c>
      <c r="HE224" s="319" t="s">
        <v>190</v>
      </c>
      <c r="HF224" s="319" t="s">
        <v>190</v>
      </c>
      <c r="HG224" s="319" t="s">
        <v>190</v>
      </c>
      <c r="HH224" s="319" t="s">
        <v>190</v>
      </c>
      <c r="HI224" s="319" t="s">
        <v>190</v>
      </c>
      <c r="HJ224" s="319" t="s">
        <v>190</v>
      </c>
      <c r="HK224" s="319" t="s">
        <v>190</v>
      </c>
      <c r="HL224" s="319" t="s">
        <v>190</v>
      </c>
      <c r="HM224" s="319" t="s">
        <v>190</v>
      </c>
      <c r="HN224" s="319" t="s">
        <v>190</v>
      </c>
      <c r="HO224" s="319" t="s">
        <v>190</v>
      </c>
      <c r="HP224" s="319" t="s">
        <v>190</v>
      </c>
      <c r="HQ224" s="319" t="s">
        <v>190</v>
      </c>
      <c r="HR224" s="319" t="s">
        <v>190</v>
      </c>
      <c r="HS224" s="319" t="s">
        <v>190</v>
      </c>
      <c r="HT224" s="319" t="s">
        <v>190</v>
      </c>
      <c r="HU224" s="319" t="s">
        <v>190</v>
      </c>
      <c r="HV224" s="319" t="s">
        <v>190</v>
      </c>
      <c r="HW224" s="319" t="s">
        <v>190</v>
      </c>
      <c r="HX224" s="319" t="s">
        <v>190</v>
      </c>
      <c r="HY224" s="319" t="s">
        <v>190</v>
      </c>
      <c r="HZ224" s="319" t="s">
        <v>190</v>
      </c>
      <c r="IA224" s="319" t="s">
        <v>190</v>
      </c>
      <c r="IB224" s="319" t="s">
        <v>190</v>
      </c>
      <c r="IC224" s="319" t="s">
        <v>190</v>
      </c>
      <c r="ID224" s="319" t="s">
        <v>190</v>
      </c>
      <c r="IE224" s="319" t="s">
        <v>190</v>
      </c>
      <c r="IF224" s="319" t="s">
        <v>190</v>
      </c>
      <c r="IG224" s="319" t="s">
        <v>190</v>
      </c>
      <c r="IH224" s="319" t="s">
        <v>190</v>
      </c>
      <c r="II224" s="319" t="s">
        <v>190</v>
      </c>
      <c r="IJ224" s="319">
        <v>10006010</v>
      </c>
      <c r="IK224" s="321">
        <v>42318</v>
      </c>
      <c r="IL224" s="321">
        <v>42320</v>
      </c>
      <c r="IM224" s="321">
        <v>42353</v>
      </c>
      <c r="IN224" s="319">
        <v>2</v>
      </c>
      <c r="IO224" s="319" t="s">
        <v>173</v>
      </c>
      <c r="IP224" s="319" t="s">
        <v>173</v>
      </c>
      <c r="IQ224" s="319" t="s">
        <v>173</v>
      </c>
      <c r="IR224" s="320" t="s">
        <v>173</v>
      </c>
      <c r="IS224" s="320" t="s">
        <v>173</v>
      </c>
      <c r="IT224" s="319" t="s">
        <v>173</v>
      </c>
    </row>
    <row r="225" spans="1:254" s="271" customFormat="1" x14ac:dyDescent="0.25">
      <c r="A225" s="318" t="str">
        <f>HYPERLINK("http://www.ofsted.gov.uk/inspection-reports/find-inspection-report/provider/ELS/121753 ","Ofsted School Webpage")</f>
        <v>Ofsted School Webpage</v>
      </c>
      <c r="B225" s="319">
        <v>121753</v>
      </c>
      <c r="C225" s="319">
        <v>8156023</v>
      </c>
      <c r="D225" s="319" t="s">
        <v>753</v>
      </c>
      <c r="E225" s="319" t="s">
        <v>167</v>
      </c>
      <c r="F225" s="319" t="s">
        <v>81</v>
      </c>
      <c r="G225" s="319" t="s">
        <v>81</v>
      </c>
      <c r="H225" s="319" t="s">
        <v>81</v>
      </c>
      <c r="I225" s="319" t="s">
        <v>78</v>
      </c>
      <c r="J225" s="319" t="s">
        <v>424</v>
      </c>
      <c r="K225" s="319" t="s">
        <v>458</v>
      </c>
      <c r="L225" s="319" t="s">
        <v>459</v>
      </c>
      <c r="M225" s="319" t="s">
        <v>754</v>
      </c>
      <c r="N225" s="319" t="s">
        <v>3010</v>
      </c>
      <c r="O225" s="319" t="s">
        <v>755</v>
      </c>
      <c r="P225" s="319">
        <v>12</v>
      </c>
      <c r="Q225" s="319" t="s">
        <v>2766</v>
      </c>
      <c r="R225" s="320">
        <v>10085373</v>
      </c>
      <c r="S225" s="321">
        <v>43438</v>
      </c>
      <c r="T225" s="321">
        <v>43440</v>
      </c>
      <c r="U225" s="321">
        <v>43495</v>
      </c>
      <c r="V225" s="319" t="s">
        <v>425</v>
      </c>
      <c r="W225" s="319" t="s">
        <v>2767</v>
      </c>
      <c r="X225" s="319">
        <v>3</v>
      </c>
      <c r="Y225" s="319" t="s">
        <v>173</v>
      </c>
      <c r="Z225" s="319" t="s">
        <v>173</v>
      </c>
      <c r="AA225" s="319" t="s">
        <v>173</v>
      </c>
      <c r="AB225" s="319">
        <v>3</v>
      </c>
      <c r="AC225" s="319" t="s">
        <v>169</v>
      </c>
      <c r="AD225" s="319">
        <v>3</v>
      </c>
      <c r="AE225" s="319" t="s">
        <v>173</v>
      </c>
      <c r="AF225" s="319" t="s">
        <v>427</v>
      </c>
      <c r="AG225" s="319" t="s">
        <v>172</v>
      </c>
      <c r="AH225" s="319" t="s">
        <v>190</v>
      </c>
      <c r="AI225" s="319" t="s">
        <v>190</v>
      </c>
      <c r="AJ225" s="319" t="s">
        <v>479</v>
      </c>
      <c r="AK225" s="319" t="s">
        <v>190</v>
      </c>
      <c r="AL225" s="319" t="s">
        <v>190</v>
      </c>
      <c r="AM225" s="319" t="s">
        <v>190</v>
      </c>
      <c r="AN225" s="319" t="s">
        <v>190</v>
      </c>
      <c r="AO225" s="319" t="s">
        <v>479</v>
      </c>
      <c r="AP225" s="319" t="s">
        <v>190</v>
      </c>
      <c r="AQ225" s="319" t="s">
        <v>190</v>
      </c>
      <c r="AR225" s="319" t="s">
        <v>190</v>
      </c>
      <c r="AS225" s="319" t="s">
        <v>190</v>
      </c>
      <c r="AT225" s="319" t="s">
        <v>190</v>
      </c>
      <c r="AU225" s="319" t="s">
        <v>190</v>
      </c>
      <c r="AV225" s="319" t="s">
        <v>190</v>
      </c>
      <c r="AW225" s="319" t="s">
        <v>190</v>
      </c>
      <c r="AX225" s="319" t="s">
        <v>428</v>
      </c>
      <c r="AY225" s="319" t="s">
        <v>190</v>
      </c>
      <c r="AZ225" s="319" t="s">
        <v>190</v>
      </c>
      <c r="BA225" s="319" t="s">
        <v>190</v>
      </c>
      <c r="BB225" s="319" t="s">
        <v>428</v>
      </c>
      <c r="BC225" s="319" t="s">
        <v>428</v>
      </c>
      <c r="BD225" s="319" t="s">
        <v>428</v>
      </c>
      <c r="BE225" s="319" t="s">
        <v>190</v>
      </c>
      <c r="BF225" s="319" t="s">
        <v>190</v>
      </c>
      <c r="BG225" s="319" t="s">
        <v>428</v>
      </c>
      <c r="BH225" s="319" t="s">
        <v>190</v>
      </c>
      <c r="BI225" s="319" t="s">
        <v>190</v>
      </c>
      <c r="BJ225" s="319" t="s">
        <v>190</v>
      </c>
      <c r="BK225" s="319" t="s">
        <v>190</v>
      </c>
      <c r="BL225" s="319" t="s">
        <v>190</v>
      </c>
      <c r="BM225" s="319" t="s">
        <v>190</v>
      </c>
      <c r="BN225" s="319" t="s">
        <v>190</v>
      </c>
      <c r="BO225" s="319" t="s">
        <v>190</v>
      </c>
      <c r="BP225" s="319" t="s">
        <v>190</v>
      </c>
      <c r="BQ225" s="319" t="s">
        <v>190</v>
      </c>
      <c r="BR225" s="319" t="s">
        <v>190</v>
      </c>
      <c r="BS225" s="319" t="s">
        <v>190</v>
      </c>
      <c r="BT225" s="319" t="s">
        <v>190</v>
      </c>
      <c r="BU225" s="319" t="s">
        <v>190</v>
      </c>
      <c r="BV225" s="319" t="s">
        <v>190</v>
      </c>
      <c r="BW225" s="319" t="s">
        <v>190</v>
      </c>
      <c r="BX225" s="319" t="s">
        <v>190</v>
      </c>
      <c r="BY225" s="319" t="s">
        <v>190</v>
      </c>
      <c r="BZ225" s="319" t="s">
        <v>190</v>
      </c>
      <c r="CA225" s="319" t="s">
        <v>190</v>
      </c>
      <c r="CB225" s="319" t="s">
        <v>190</v>
      </c>
      <c r="CC225" s="319" t="s">
        <v>190</v>
      </c>
      <c r="CD225" s="319" t="s">
        <v>190</v>
      </c>
      <c r="CE225" s="319" t="s">
        <v>190</v>
      </c>
      <c r="CF225" s="319" t="s">
        <v>190</v>
      </c>
      <c r="CG225" s="319" t="s">
        <v>190</v>
      </c>
      <c r="CH225" s="319" t="s">
        <v>190</v>
      </c>
      <c r="CI225" s="319" t="s">
        <v>190</v>
      </c>
      <c r="CJ225" s="319" t="s">
        <v>190</v>
      </c>
      <c r="CK225" s="319" t="s">
        <v>190</v>
      </c>
      <c r="CL225" s="319" t="s">
        <v>190</v>
      </c>
      <c r="CM225" s="319" t="s">
        <v>190</v>
      </c>
      <c r="CN225" s="319" t="s">
        <v>428</v>
      </c>
      <c r="CO225" s="319" t="s">
        <v>428</v>
      </c>
      <c r="CP225" s="319" t="s">
        <v>428</v>
      </c>
      <c r="CQ225" s="319" t="s">
        <v>190</v>
      </c>
      <c r="CR225" s="319" t="s">
        <v>190</v>
      </c>
      <c r="CS225" s="319" t="s">
        <v>190</v>
      </c>
      <c r="CT225" s="319" t="s">
        <v>190</v>
      </c>
      <c r="CU225" s="319" t="s">
        <v>190</v>
      </c>
      <c r="CV225" s="319" t="s">
        <v>190</v>
      </c>
      <c r="CW225" s="319" t="s">
        <v>190</v>
      </c>
      <c r="CX225" s="319" t="s">
        <v>190</v>
      </c>
      <c r="CY225" s="319" t="s">
        <v>190</v>
      </c>
      <c r="CZ225" s="319" t="s">
        <v>191</v>
      </c>
      <c r="DA225" s="319" t="s">
        <v>191</v>
      </c>
      <c r="DB225" s="319" t="s">
        <v>191</v>
      </c>
      <c r="DC225" s="319" t="s">
        <v>190</v>
      </c>
      <c r="DD225" s="319" t="s">
        <v>190</v>
      </c>
      <c r="DE225" s="319" t="s">
        <v>190</v>
      </c>
      <c r="DF225" s="319" t="s">
        <v>190</v>
      </c>
      <c r="DG225" s="319" t="s">
        <v>190</v>
      </c>
      <c r="DH225" s="319" t="s">
        <v>190</v>
      </c>
      <c r="DI225" s="319" t="s">
        <v>190</v>
      </c>
      <c r="DJ225" s="319" t="s">
        <v>190</v>
      </c>
      <c r="DK225" s="319" t="s">
        <v>190</v>
      </c>
      <c r="DL225" s="319" t="s">
        <v>190</v>
      </c>
      <c r="DM225" s="319" t="s">
        <v>190</v>
      </c>
      <c r="DN225" s="319" t="s">
        <v>428</v>
      </c>
      <c r="DO225" s="319" t="s">
        <v>190</v>
      </c>
      <c r="DP225" s="319" t="s">
        <v>428</v>
      </c>
      <c r="DQ225" s="319" t="s">
        <v>428</v>
      </c>
      <c r="DR225" s="319" t="s">
        <v>428</v>
      </c>
      <c r="DS225" s="319" t="s">
        <v>428</v>
      </c>
      <c r="DT225" s="319" t="s">
        <v>428</v>
      </c>
      <c r="DU225" s="319" t="s">
        <v>428</v>
      </c>
      <c r="DV225" s="319" t="s">
        <v>173</v>
      </c>
      <c r="DW225" s="319" t="s">
        <v>428</v>
      </c>
      <c r="DX225" s="319" t="s">
        <v>428</v>
      </c>
      <c r="DY225" s="319" t="s">
        <v>428</v>
      </c>
      <c r="DZ225" s="319" t="s">
        <v>428</v>
      </c>
      <c r="EA225" s="319" t="s">
        <v>428</v>
      </c>
      <c r="EB225" s="319" t="s">
        <v>428</v>
      </c>
      <c r="EC225" s="319" t="s">
        <v>428</v>
      </c>
      <c r="ED225" s="319" t="s">
        <v>428</v>
      </c>
      <c r="EE225" s="319" t="s">
        <v>190</v>
      </c>
      <c r="EF225" s="319" t="s">
        <v>190</v>
      </c>
      <c r="EG225" s="319" t="s">
        <v>190</v>
      </c>
      <c r="EH225" s="319" t="s">
        <v>190</v>
      </c>
      <c r="EI225" s="319" t="s">
        <v>190</v>
      </c>
      <c r="EJ225" s="319" t="s">
        <v>190</v>
      </c>
      <c r="EK225" s="319" t="s">
        <v>190</v>
      </c>
      <c r="EL225" s="319" t="s">
        <v>190</v>
      </c>
      <c r="EM225" s="319" t="s">
        <v>190</v>
      </c>
      <c r="EN225" s="319" t="s">
        <v>190</v>
      </c>
      <c r="EO225" s="319" t="s">
        <v>190</v>
      </c>
      <c r="EP225" s="319" t="s">
        <v>190</v>
      </c>
      <c r="EQ225" s="319" t="s">
        <v>190</v>
      </c>
      <c r="ER225" s="319" t="s">
        <v>190</v>
      </c>
      <c r="ES225" s="319" t="s">
        <v>190</v>
      </c>
      <c r="ET225" s="319" t="s">
        <v>190</v>
      </c>
      <c r="EU225" s="319" t="s">
        <v>190</v>
      </c>
      <c r="EV225" s="319" t="s">
        <v>190</v>
      </c>
      <c r="EW225" s="319" t="s">
        <v>190</v>
      </c>
      <c r="EX225" s="319" t="s">
        <v>190</v>
      </c>
      <c r="EY225" s="319" t="s">
        <v>190</v>
      </c>
      <c r="EZ225" s="319" t="s">
        <v>190</v>
      </c>
      <c r="FA225" s="319" t="s">
        <v>190</v>
      </c>
      <c r="FB225" s="319" t="s">
        <v>428</v>
      </c>
      <c r="FC225" s="319" t="s">
        <v>428</v>
      </c>
      <c r="FD225" s="319" t="s">
        <v>428</v>
      </c>
      <c r="FE225" s="319" t="s">
        <v>428</v>
      </c>
      <c r="FF225" s="319" t="s">
        <v>428</v>
      </c>
      <c r="FG225" s="319" t="s">
        <v>428</v>
      </c>
      <c r="FH225" s="319" t="s">
        <v>190</v>
      </c>
      <c r="FI225" s="319" t="s">
        <v>190</v>
      </c>
      <c r="FJ225" s="319" t="s">
        <v>190</v>
      </c>
      <c r="FK225" s="319" t="s">
        <v>190</v>
      </c>
      <c r="FL225" s="319" t="s">
        <v>190</v>
      </c>
      <c r="FM225" s="319" t="s">
        <v>190</v>
      </c>
      <c r="FN225" s="319" t="s">
        <v>190</v>
      </c>
      <c r="FO225" s="319" t="s">
        <v>190</v>
      </c>
      <c r="FP225" s="319" t="s">
        <v>190</v>
      </c>
      <c r="FQ225" s="319" t="s">
        <v>190</v>
      </c>
      <c r="FR225" s="319" t="s">
        <v>190</v>
      </c>
      <c r="FS225" s="319" t="s">
        <v>428</v>
      </c>
      <c r="FT225" s="319" t="s">
        <v>190</v>
      </c>
      <c r="FU225" s="319" t="s">
        <v>190</v>
      </c>
      <c r="FV225" s="319" t="s">
        <v>190</v>
      </c>
      <c r="FW225" s="319" t="s">
        <v>190</v>
      </c>
      <c r="FX225" s="319" t="s">
        <v>190</v>
      </c>
      <c r="FY225" s="319" t="s">
        <v>190</v>
      </c>
      <c r="FZ225" s="319" t="s">
        <v>190</v>
      </c>
      <c r="GA225" s="319" t="s">
        <v>190</v>
      </c>
      <c r="GB225" s="319" t="s">
        <v>190</v>
      </c>
      <c r="GC225" s="319" t="s">
        <v>190</v>
      </c>
      <c r="GD225" s="319" t="s">
        <v>190</v>
      </c>
      <c r="GE225" s="319" t="s">
        <v>190</v>
      </c>
      <c r="GF225" s="319" t="s">
        <v>190</v>
      </c>
      <c r="GG225" s="319" t="s">
        <v>190</v>
      </c>
      <c r="GH225" s="319" t="s">
        <v>190</v>
      </c>
      <c r="GI225" s="319" t="s">
        <v>190</v>
      </c>
      <c r="GJ225" s="319" t="s">
        <v>190</v>
      </c>
      <c r="GK225" s="319" t="s">
        <v>428</v>
      </c>
      <c r="GL225" s="319" t="s">
        <v>190</v>
      </c>
      <c r="GM225" s="319" t="s">
        <v>190</v>
      </c>
      <c r="GN225" s="319" t="s">
        <v>190</v>
      </c>
      <c r="GO225" s="319" t="s">
        <v>190</v>
      </c>
      <c r="GP225" s="319" t="s">
        <v>190</v>
      </c>
      <c r="GQ225" s="319" t="s">
        <v>190</v>
      </c>
      <c r="GR225" s="319" t="s">
        <v>190</v>
      </c>
      <c r="GS225" s="319" t="s">
        <v>190</v>
      </c>
      <c r="GT225" s="319" t="s">
        <v>190</v>
      </c>
      <c r="GU225" s="319" t="s">
        <v>190</v>
      </c>
      <c r="GV225" s="319" t="s">
        <v>190</v>
      </c>
      <c r="GW225" s="319" t="s">
        <v>190</v>
      </c>
      <c r="GX225" s="319" t="s">
        <v>190</v>
      </c>
      <c r="GY225" s="319" t="s">
        <v>190</v>
      </c>
      <c r="GZ225" s="319" t="s">
        <v>190</v>
      </c>
      <c r="HA225" s="319" t="s">
        <v>190</v>
      </c>
      <c r="HB225" s="319" t="s">
        <v>190</v>
      </c>
      <c r="HC225" s="319" t="s">
        <v>190</v>
      </c>
      <c r="HD225" s="319" t="s">
        <v>190</v>
      </c>
      <c r="HE225" s="319" t="s">
        <v>190</v>
      </c>
      <c r="HF225" s="319" t="s">
        <v>190</v>
      </c>
      <c r="HG225" s="319" t="s">
        <v>190</v>
      </c>
      <c r="HH225" s="319" t="s">
        <v>190</v>
      </c>
      <c r="HI225" s="319" t="s">
        <v>190</v>
      </c>
      <c r="HJ225" s="319" t="s">
        <v>190</v>
      </c>
      <c r="HK225" s="319" t="s">
        <v>190</v>
      </c>
      <c r="HL225" s="319" t="s">
        <v>190</v>
      </c>
      <c r="HM225" s="319" t="s">
        <v>190</v>
      </c>
      <c r="HN225" s="319" t="s">
        <v>190</v>
      </c>
      <c r="HO225" s="319" t="s">
        <v>190</v>
      </c>
      <c r="HP225" s="319" t="s">
        <v>190</v>
      </c>
      <c r="HQ225" s="319" t="s">
        <v>190</v>
      </c>
      <c r="HR225" s="319" t="s">
        <v>190</v>
      </c>
      <c r="HS225" s="319" t="s">
        <v>190</v>
      </c>
      <c r="HT225" s="319" t="s">
        <v>190</v>
      </c>
      <c r="HU225" s="319" t="s">
        <v>190</v>
      </c>
      <c r="HV225" s="319" t="s">
        <v>190</v>
      </c>
      <c r="HW225" s="319" t="s">
        <v>190</v>
      </c>
      <c r="HX225" s="319" t="s">
        <v>190</v>
      </c>
      <c r="HY225" s="319" t="s">
        <v>190</v>
      </c>
      <c r="HZ225" s="319" t="s">
        <v>190</v>
      </c>
      <c r="IA225" s="319" t="s">
        <v>190</v>
      </c>
      <c r="IB225" s="319" t="s">
        <v>190</v>
      </c>
      <c r="IC225" s="319" t="s">
        <v>190</v>
      </c>
      <c r="ID225" s="319" t="s">
        <v>190</v>
      </c>
      <c r="IE225" s="319" t="s">
        <v>190</v>
      </c>
      <c r="IF225" s="319" t="s">
        <v>191</v>
      </c>
      <c r="IG225" s="319" t="s">
        <v>191</v>
      </c>
      <c r="IH225" s="319" t="s">
        <v>191</v>
      </c>
      <c r="II225" s="319" t="s">
        <v>191</v>
      </c>
      <c r="IJ225" s="319" t="s">
        <v>3011</v>
      </c>
      <c r="IK225" s="321">
        <v>39118</v>
      </c>
      <c r="IL225" s="321">
        <v>39119</v>
      </c>
      <c r="IM225" s="321">
        <v>39147</v>
      </c>
      <c r="IN225" s="319">
        <v>3</v>
      </c>
      <c r="IO225" s="319" t="s">
        <v>173</v>
      </c>
      <c r="IP225" s="319" t="s">
        <v>173</v>
      </c>
      <c r="IQ225" s="321" t="s">
        <v>173</v>
      </c>
      <c r="IR225" s="320" t="s">
        <v>173</v>
      </c>
      <c r="IS225" s="322" t="s">
        <v>173</v>
      </c>
      <c r="IT225" s="319" t="s">
        <v>173</v>
      </c>
    </row>
    <row r="226" spans="1:254" s="271" customFormat="1" x14ac:dyDescent="0.25">
      <c r="A226" s="318" t="str">
        <f>HYPERLINK("http://www.ofsted.gov.uk/inspection-reports/find-inspection-report/provider/ELS/121759 ","Ofsted School Webpage")</f>
        <v>Ofsted School Webpage</v>
      </c>
      <c r="B226" s="319">
        <v>121759</v>
      </c>
      <c r="C226" s="319">
        <v>8166008</v>
      </c>
      <c r="D226" s="319" t="s">
        <v>1525</v>
      </c>
      <c r="E226" s="319" t="s">
        <v>167</v>
      </c>
      <c r="F226" s="319" t="s">
        <v>81</v>
      </c>
      <c r="G226" s="319" t="s">
        <v>81</v>
      </c>
      <c r="H226" s="319" t="s">
        <v>81</v>
      </c>
      <c r="I226" s="319" t="s">
        <v>78</v>
      </c>
      <c r="J226" s="319" t="s">
        <v>424</v>
      </c>
      <c r="K226" s="319" t="s">
        <v>458</v>
      </c>
      <c r="L226" s="319" t="s">
        <v>459</v>
      </c>
      <c r="M226" s="319" t="s">
        <v>1526</v>
      </c>
      <c r="N226" s="319" t="s">
        <v>3012</v>
      </c>
      <c r="O226" s="319" t="s">
        <v>1527</v>
      </c>
      <c r="P226" s="319">
        <v>223</v>
      </c>
      <c r="Q226" s="319" t="s">
        <v>2766</v>
      </c>
      <c r="R226" s="320">
        <v>10094071</v>
      </c>
      <c r="S226" s="321">
        <v>43585</v>
      </c>
      <c r="T226" s="321">
        <v>43587</v>
      </c>
      <c r="U226" s="321">
        <v>43697</v>
      </c>
      <c r="V226" s="319" t="s">
        <v>425</v>
      </c>
      <c r="W226" s="319" t="s">
        <v>2767</v>
      </c>
      <c r="X226" s="319">
        <v>4</v>
      </c>
      <c r="Y226" s="319" t="s">
        <v>173</v>
      </c>
      <c r="Z226" s="319" t="s">
        <v>173</v>
      </c>
      <c r="AA226" s="319" t="s">
        <v>173</v>
      </c>
      <c r="AB226" s="319">
        <v>4</v>
      </c>
      <c r="AC226" s="319" t="s">
        <v>169</v>
      </c>
      <c r="AD226" s="319">
        <v>3</v>
      </c>
      <c r="AE226" s="319" t="s">
        <v>173</v>
      </c>
      <c r="AF226" s="319" t="s">
        <v>447</v>
      </c>
      <c r="AG226" s="319" t="s">
        <v>172</v>
      </c>
      <c r="AH226" s="319" t="s">
        <v>479</v>
      </c>
      <c r="AI226" s="319" t="s">
        <v>190</v>
      </c>
      <c r="AJ226" s="319" t="s">
        <v>190</v>
      </c>
      <c r="AK226" s="319" t="s">
        <v>190</v>
      </c>
      <c r="AL226" s="319" t="s">
        <v>479</v>
      </c>
      <c r="AM226" s="319" t="s">
        <v>190</v>
      </c>
      <c r="AN226" s="319" t="s">
        <v>190</v>
      </c>
      <c r="AO226" s="319" t="s">
        <v>479</v>
      </c>
      <c r="AP226" s="319" t="s">
        <v>191</v>
      </c>
      <c r="AQ226" s="319" t="s">
        <v>191</v>
      </c>
      <c r="AR226" s="319" t="s">
        <v>191</v>
      </c>
      <c r="AS226" s="319" t="s">
        <v>191</v>
      </c>
      <c r="AT226" s="319" t="s">
        <v>190</v>
      </c>
      <c r="AU226" s="319" t="s">
        <v>191</v>
      </c>
      <c r="AV226" s="319" t="s">
        <v>190</v>
      </c>
      <c r="AW226" s="319" t="s">
        <v>190</v>
      </c>
      <c r="AX226" s="319" t="s">
        <v>190</v>
      </c>
      <c r="AY226" s="319" t="s">
        <v>190</v>
      </c>
      <c r="AZ226" s="319" t="s">
        <v>190</v>
      </c>
      <c r="BA226" s="319" t="s">
        <v>190</v>
      </c>
      <c r="BB226" s="319" t="s">
        <v>191</v>
      </c>
      <c r="BC226" s="319" t="s">
        <v>191</v>
      </c>
      <c r="BD226" s="319" t="s">
        <v>191</v>
      </c>
      <c r="BE226" s="319" t="s">
        <v>191</v>
      </c>
      <c r="BF226" s="319" t="s">
        <v>190</v>
      </c>
      <c r="BG226" s="319" t="s">
        <v>190</v>
      </c>
      <c r="BH226" s="319" t="s">
        <v>190</v>
      </c>
      <c r="BI226" s="319" t="s">
        <v>190</v>
      </c>
      <c r="BJ226" s="319" t="s">
        <v>191</v>
      </c>
      <c r="BK226" s="319" t="s">
        <v>191</v>
      </c>
      <c r="BL226" s="319" t="s">
        <v>190</v>
      </c>
      <c r="BM226" s="319" t="s">
        <v>191</v>
      </c>
      <c r="BN226" s="319" t="s">
        <v>191</v>
      </c>
      <c r="BO226" s="319" t="s">
        <v>190</v>
      </c>
      <c r="BP226" s="319" t="s">
        <v>190</v>
      </c>
      <c r="BQ226" s="319" t="s">
        <v>191</v>
      </c>
      <c r="BR226" s="319" t="s">
        <v>190</v>
      </c>
      <c r="BS226" s="319" t="s">
        <v>190</v>
      </c>
      <c r="BT226" s="319" t="s">
        <v>190</v>
      </c>
      <c r="BU226" s="319" t="s">
        <v>191</v>
      </c>
      <c r="BV226" s="319" t="s">
        <v>190</v>
      </c>
      <c r="BW226" s="319" t="s">
        <v>190</v>
      </c>
      <c r="BX226" s="319" t="s">
        <v>190</v>
      </c>
      <c r="BY226" s="319" t="s">
        <v>190</v>
      </c>
      <c r="BZ226" s="319" t="s">
        <v>190</v>
      </c>
      <c r="CA226" s="319" t="s">
        <v>190</v>
      </c>
      <c r="CB226" s="319" t="s">
        <v>190</v>
      </c>
      <c r="CC226" s="319" t="s">
        <v>190</v>
      </c>
      <c r="CD226" s="319" t="s">
        <v>190</v>
      </c>
      <c r="CE226" s="319" t="s">
        <v>190</v>
      </c>
      <c r="CF226" s="319" t="s">
        <v>190</v>
      </c>
      <c r="CG226" s="319" t="s">
        <v>190</v>
      </c>
      <c r="CH226" s="319" t="s">
        <v>190</v>
      </c>
      <c r="CI226" s="319" t="s">
        <v>190</v>
      </c>
      <c r="CJ226" s="319" t="s">
        <v>190</v>
      </c>
      <c r="CK226" s="319" t="s">
        <v>190</v>
      </c>
      <c r="CL226" s="319" t="s">
        <v>190</v>
      </c>
      <c r="CM226" s="319" t="s">
        <v>190</v>
      </c>
      <c r="CN226" s="319" t="s">
        <v>428</v>
      </c>
      <c r="CO226" s="319" t="s">
        <v>428</v>
      </c>
      <c r="CP226" s="319" t="s">
        <v>428</v>
      </c>
      <c r="CQ226" s="319" t="s">
        <v>190</v>
      </c>
      <c r="CR226" s="319" t="s">
        <v>190</v>
      </c>
      <c r="CS226" s="319" t="s">
        <v>190</v>
      </c>
      <c r="CT226" s="319" t="s">
        <v>190</v>
      </c>
      <c r="CU226" s="319" t="s">
        <v>190</v>
      </c>
      <c r="CV226" s="319" t="s">
        <v>190</v>
      </c>
      <c r="CW226" s="319" t="s">
        <v>190</v>
      </c>
      <c r="CX226" s="319" t="s">
        <v>190</v>
      </c>
      <c r="CY226" s="319" t="s">
        <v>190</v>
      </c>
      <c r="CZ226" s="319" t="s">
        <v>190</v>
      </c>
      <c r="DA226" s="319" t="s">
        <v>190</v>
      </c>
      <c r="DB226" s="319" t="s">
        <v>190</v>
      </c>
      <c r="DC226" s="319" t="s">
        <v>190</v>
      </c>
      <c r="DD226" s="319" t="s">
        <v>190</v>
      </c>
      <c r="DE226" s="319" t="s">
        <v>190</v>
      </c>
      <c r="DF226" s="319" t="s">
        <v>190</v>
      </c>
      <c r="DG226" s="319" t="s">
        <v>190</v>
      </c>
      <c r="DH226" s="319" t="s">
        <v>190</v>
      </c>
      <c r="DI226" s="319" t="s">
        <v>190</v>
      </c>
      <c r="DJ226" s="319" t="s">
        <v>190</v>
      </c>
      <c r="DK226" s="319" t="s">
        <v>190</v>
      </c>
      <c r="DL226" s="319" t="s">
        <v>190</v>
      </c>
      <c r="DM226" s="319" t="s">
        <v>190</v>
      </c>
      <c r="DN226" s="319" t="s">
        <v>190</v>
      </c>
      <c r="DO226" s="319" t="s">
        <v>190</v>
      </c>
      <c r="DP226" s="319" t="s">
        <v>428</v>
      </c>
      <c r="DQ226" s="319" t="s">
        <v>428</v>
      </c>
      <c r="DR226" s="319" t="s">
        <v>428</v>
      </c>
      <c r="DS226" s="319" t="s">
        <v>428</v>
      </c>
      <c r="DT226" s="319" t="s">
        <v>428</v>
      </c>
      <c r="DU226" s="319" t="s">
        <v>428</v>
      </c>
      <c r="DV226" s="319" t="s">
        <v>173</v>
      </c>
      <c r="DW226" s="319" t="s">
        <v>428</v>
      </c>
      <c r="DX226" s="319" t="s">
        <v>428</v>
      </c>
      <c r="DY226" s="319" t="s">
        <v>428</v>
      </c>
      <c r="DZ226" s="319" t="s">
        <v>428</v>
      </c>
      <c r="EA226" s="319" t="s">
        <v>190</v>
      </c>
      <c r="EB226" s="319" t="s">
        <v>428</v>
      </c>
      <c r="EC226" s="319" t="s">
        <v>428</v>
      </c>
      <c r="ED226" s="319" t="s">
        <v>428</v>
      </c>
      <c r="EE226" s="319" t="s">
        <v>190</v>
      </c>
      <c r="EF226" s="319" t="s">
        <v>190</v>
      </c>
      <c r="EG226" s="319" t="s">
        <v>190</v>
      </c>
      <c r="EH226" s="319" t="s">
        <v>190</v>
      </c>
      <c r="EI226" s="319" t="s">
        <v>190</v>
      </c>
      <c r="EJ226" s="319" t="s">
        <v>190</v>
      </c>
      <c r="EK226" s="319" t="s">
        <v>190</v>
      </c>
      <c r="EL226" s="319" t="s">
        <v>190</v>
      </c>
      <c r="EM226" s="319" t="s">
        <v>190</v>
      </c>
      <c r="EN226" s="319" t="s">
        <v>190</v>
      </c>
      <c r="EO226" s="319" t="s">
        <v>190</v>
      </c>
      <c r="EP226" s="319" t="s">
        <v>190</v>
      </c>
      <c r="EQ226" s="319" t="s">
        <v>190</v>
      </c>
      <c r="ER226" s="319" t="s">
        <v>190</v>
      </c>
      <c r="ES226" s="319" t="s">
        <v>190</v>
      </c>
      <c r="ET226" s="319" t="s">
        <v>190</v>
      </c>
      <c r="EU226" s="319" t="s">
        <v>190</v>
      </c>
      <c r="EV226" s="319" t="s">
        <v>190</v>
      </c>
      <c r="EW226" s="319" t="s">
        <v>190</v>
      </c>
      <c r="EX226" s="319" t="s">
        <v>190</v>
      </c>
      <c r="EY226" s="319" t="s">
        <v>190</v>
      </c>
      <c r="EZ226" s="319" t="s">
        <v>190</v>
      </c>
      <c r="FA226" s="319" t="s">
        <v>190</v>
      </c>
      <c r="FB226" s="319" t="s">
        <v>428</v>
      </c>
      <c r="FC226" s="319" t="s">
        <v>428</v>
      </c>
      <c r="FD226" s="319" t="s">
        <v>428</v>
      </c>
      <c r="FE226" s="319" t="s">
        <v>428</v>
      </c>
      <c r="FF226" s="319" t="s">
        <v>428</v>
      </c>
      <c r="FG226" s="319" t="s">
        <v>428</v>
      </c>
      <c r="FH226" s="319" t="s">
        <v>190</v>
      </c>
      <c r="FI226" s="319" t="s">
        <v>190</v>
      </c>
      <c r="FJ226" s="319" t="s">
        <v>190</v>
      </c>
      <c r="FK226" s="319" t="s">
        <v>190</v>
      </c>
      <c r="FL226" s="319" t="s">
        <v>190</v>
      </c>
      <c r="FM226" s="319" t="s">
        <v>190</v>
      </c>
      <c r="FN226" s="319" t="s">
        <v>190</v>
      </c>
      <c r="FO226" s="319" t="s">
        <v>191</v>
      </c>
      <c r="FP226" s="319" t="s">
        <v>191</v>
      </c>
      <c r="FQ226" s="319" t="s">
        <v>191</v>
      </c>
      <c r="FR226" s="319" t="s">
        <v>191</v>
      </c>
      <c r="FS226" s="319" t="s">
        <v>428</v>
      </c>
      <c r="FT226" s="319" t="s">
        <v>190</v>
      </c>
      <c r="FU226" s="319" t="s">
        <v>190</v>
      </c>
      <c r="FV226" s="319" t="s">
        <v>190</v>
      </c>
      <c r="FW226" s="319" t="s">
        <v>190</v>
      </c>
      <c r="FX226" s="319" t="s">
        <v>190</v>
      </c>
      <c r="FY226" s="319" t="s">
        <v>190</v>
      </c>
      <c r="FZ226" s="319" t="s">
        <v>190</v>
      </c>
      <c r="GA226" s="319" t="s">
        <v>190</v>
      </c>
      <c r="GB226" s="319" t="s">
        <v>190</v>
      </c>
      <c r="GC226" s="319" t="s">
        <v>190</v>
      </c>
      <c r="GD226" s="319" t="s">
        <v>190</v>
      </c>
      <c r="GE226" s="319" t="s">
        <v>190</v>
      </c>
      <c r="GF226" s="319" t="s">
        <v>190</v>
      </c>
      <c r="GG226" s="319" t="s">
        <v>190</v>
      </c>
      <c r="GH226" s="319" t="s">
        <v>190</v>
      </c>
      <c r="GI226" s="319" t="s">
        <v>190</v>
      </c>
      <c r="GJ226" s="319" t="s">
        <v>190</v>
      </c>
      <c r="GK226" s="319" t="s">
        <v>190</v>
      </c>
      <c r="GL226" s="319" t="s">
        <v>190</v>
      </c>
      <c r="GM226" s="319" t="s">
        <v>190</v>
      </c>
      <c r="GN226" s="319" t="s">
        <v>190</v>
      </c>
      <c r="GO226" s="319" t="s">
        <v>190</v>
      </c>
      <c r="GP226" s="319" t="s">
        <v>190</v>
      </c>
      <c r="GQ226" s="319" t="s">
        <v>190</v>
      </c>
      <c r="GR226" s="319" t="s">
        <v>191</v>
      </c>
      <c r="GS226" s="319" t="s">
        <v>190</v>
      </c>
      <c r="GT226" s="319" t="s">
        <v>190</v>
      </c>
      <c r="GU226" s="319" t="s">
        <v>190</v>
      </c>
      <c r="GV226" s="319" t="s">
        <v>190</v>
      </c>
      <c r="GW226" s="319" t="s">
        <v>190</v>
      </c>
      <c r="GX226" s="319" t="s">
        <v>190</v>
      </c>
      <c r="GY226" s="319" t="s">
        <v>190</v>
      </c>
      <c r="GZ226" s="319" t="s">
        <v>190</v>
      </c>
      <c r="HA226" s="319" t="s">
        <v>190</v>
      </c>
      <c r="HB226" s="319" t="s">
        <v>190</v>
      </c>
      <c r="HC226" s="319" t="s">
        <v>190</v>
      </c>
      <c r="HD226" s="319" t="s">
        <v>190</v>
      </c>
      <c r="HE226" s="319" t="s">
        <v>190</v>
      </c>
      <c r="HF226" s="319" t="s">
        <v>190</v>
      </c>
      <c r="HG226" s="319" t="s">
        <v>190</v>
      </c>
      <c r="HH226" s="319" t="s">
        <v>190</v>
      </c>
      <c r="HI226" s="319" t="s">
        <v>428</v>
      </c>
      <c r="HJ226" s="319" t="s">
        <v>190</v>
      </c>
      <c r="HK226" s="319" t="s">
        <v>190</v>
      </c>
      <c r="HL226" s="319" t="s">
        <v>190</v>
      </c>
      <c r="HM226" s="319" t="s">
        <v>190</v>
      </c>
      <c r="HN226" s="319" t="s">
        <v>190</v>
      </c>
      <c r="HO226" s="319" t="s">
        <v>190</v>
      </c>
      <c r="HP226" s="319" t="s">
        <v>190</v>
      </c>
      <c r="HQ226" s="319" t="s">
        <v>190</v>
      </c>
      <c r="HR226" s="319" t="s">
        <v>190</v>
      </c>
      <c r="HS226" s="319" t="s">
        <v>190</v>
      </c>
      <c r="HT226" s="319" t="s">
        <v>190</v>
      </c>
      <c r="HU226" s="319" t="s">
        <v>190</v>
      </c>
      <c r="HV226" s="319" t="s">
        <v>190</v>
      </c>
      <c r="HW226" s="319" t="s">
        <v>190</v>
      </c>
      <c r="HX226" s="319" t="s">
        <v>190</v>
      </c>
      <c r="HY226" s="319" t="s">
        <v>190</v>
      </c>
      <c r="HZ226" s="319" t="s">
        <v>190</v>
      </c>
      <c r="IA226" s="319" t="s">
        <v>190</v>
      </c>
      <c r="IB226" s="319" t="s">
        <v>190</v>
      </c>
      <c r="IC226" s="319" t="s">
        <v>190</v>
      </c>
      <c r="ID226" s="319" t="s">
        <v>190</v>
      </c>
      <c r="IE226" s="319" t="s">
        <v>190</v>
      </c>
      <c r="IF226" s="319" t="s">
        <v>191</v>
      </c>
      <c r="IG226" s="319" t="s">
        <v>191</v>
      </c>
      <c r="IH226" s="319" t="s">
        <v>191</v>
      </c>
      <c r="II226" s="319" t="s">
        <v>190</v>
      </c>
      <c r="IJ226" s="319" t="s">
        <v>1528</v>
      </c>
      <c r="IK226" s="321">
        <v>39252</v>
      </c>
      <c r="IL226" s="321">
        <v>39253</v>
      </c>
      <c r="IM226" s="321">
        <v>39275</v>
      </c>
      <c r="IN226" s="319">
        <v>2</v>
      </c>
      <c r="IO226" s="319" t="s">
        <v>173</v>
      </c>
      <c r="IP226" s="319" t="s">
        <v>173</v>
      </c>
      <c r="IQ226" s="321" t="s">
        <v>173</v>
      </c>
      <c r="IR226" s="320" t="s">
        <v>173</v>
      </c>
      <c r="IS226" s="322" t="s">
        <v>173</v>
      </c>
      <c r="IT226" s="319" t="s">
        <v>173</v>
      </c>
    </row>
    <row r="227" spans="1:254" s="271" customFormat="1" x14ac:dyDescent="0.25">
      <c r="A227" s="318" t="str">
        <f>HYPERLINK("http://www.ofsted.gov.uk/inspection-reports/find-inspection-report/provider/ELS/121763 ","Ofsted School Webpage")</f>
        <v>Ofsted School Webpage</v>
      </c>
      <c r="B227" s="319">
        <v>121763</v>
      </c>
      <c r="C227" s="319">
        <v>8156032</v>
      </c>
      <c r="D227" s="319" t="s">
        <v>1529</v>
      </c>
      <c r="E227" s="319" t="s">
        <v>167</v>
      </c>
      <c r="F227" s="319" t="s">
        <v>81</v>
      </c>
      <c r="G227" s="319" t="s">
        <v>59</v>
      </c>
      <c r="H227" s="319" t="s">
        <v>59</v>
      </c>
      <c r="I227" s="319" t="s">
        <v>59</v>
      </c>
      <c r="J227" s="319" t="s">
        <v>424</v>
      </c>
      <c r="K227" s="319" t="s">
        <v>458</v>
      </c>
      <c r="L227" s="319" t="s">
        <v>459</v>
      </c>
      <c r="M227" s="319" t="s">
        <v>754</v>
      </c>
      <c r="N227" s="319" t="s">
        <v>2916</v>
      </c>
      <c r="O227" s="319" t="s">
        <v>1530</v>
      </c>
      <c r="P227" s="319">
        <v>48</v>
      </c>
      <c r="Q227" s="319" t="s">
        <v>2766</v>
      </c>
      <c r="R227" s="320">
        <v>10033914</v>
      </c>
      <c r="S227" s="321">
        <v>42892</v>
      </c>
      <c r="T227" s="321">
        <v>42894</v>
      </c>
      <c r="U227" s="321">
        <v>42920</v>
      </c>
      <c r="V227" s="319" t="s">
        <v>425</v>
      </c>
      <c r="W227" s="319" t="s">
        <v>2767</v>
      </c>
      <c r="X227" s="319">
        <v>1</v>
      </c>
      <c r="Y227" s="319" t="s">
        <v>173</v>
      </c>
      <c r="Z227" s="319" t="s">
        <v>173</v>
      </c>
      <c r="AA227" s="319" t="s">
        <v>173</v>
      </c>
      <c r="AB227" s="319">
        <v>1</v>
      </c>
      <c r="AC227" s="319" t="s">
        <v>169</v>
      </c>
      <c r="AD227" s="319">
        <v>1</v>
      </c>
      <c r="AE227" s="319" t="s">
        <v>173</v>
      </c>
      <c r="AF227" s="319" t="s">
        <v>173</v>
      </c>
      <c r="AG227" s="319" t="s">
        <v>171</v>
      </c>
      <c r="AH227" s="319" t="s">
        <v>190</v>
      </c>
      <c r="AI227" s="319" t="s">
        <v>190</v>
      </c>
      <c r="AJ227" s="319" t="s">
        <v>190</v>
      </c>
      <c r="AK227" s="319" t="s">
        <v>190</v>
      </c>
      <c r="AL227" s="319" t="s">
        <v>190</v>
      </c>
      <c r="AM227" s="319" t="s">
        <v>190</v>
      </c>
      <c r="AN227" s="319" t="s">
        <v>190</v>
      </c>
      <c r="AO227" s="319" t="s">
        <v>190</v>
      </c>
      <c r="AP227" s="319" t="s">
        <v>190</v>
      </c>
      <c r="AQ227" s="319" t="s">
        <v>190</v>
      </c>
      <c r="AR227" s="319" t="s">
        <v>190</v>
      </c>
      <c r="AS227" s="319" t="s">
        <v>190</v>
      </c>
      <c r="AT227" s="319" t="s">
        <v>190</v>
      </c>
      <c r="AU227" s="319" t="s">
        <v>190</v>
      </c>
      <c r="AV227" s="319" t="s">
        <v>190</v>
      </c>
      <c r="AW227" s="319" t="s">
        <v>190</v>
      </c>
      <c r="AX227" s="319" t="s">
        <v>429</v>
      </c>
      <c r="AY227" s="319" t="s">
        <v>190</v>
      </c>
      <c r="AZ227" s="319" t="s">
        <v>190</v>
      </c>
      <c r="BA227" s="319" t="s">
        <v>190</v>
      </c>
      <c r="BB227" s="319" t="s">
        <v>429</v>
      </c>
      <c r="BC227" s="319" t="s">
        <v>429</v>
      </c>
      <c r="BD227" s="319" t="s">
        <v>429</v>
      </c>
      <c r="BE227" s="319" t="s">
        <v>429</v>
      </c>
      <c r="BF227" s="319" t="s">
        <v>190</v>
      </c>
      <c r="BG227" s="319" t="s">
        <v>429</v>
      </c>
      <c r="BH227" s="319" t="s">
        <v>190</v>
      </c>
      <c r="BI227" s="319" t="s">
        <v>190</v>
      </c>
      <c r="BJ227" s="319" t="s">
        <v>190</v>
      </c>
      <c r="BK227" s="319" t="s">
        <v>190</v>
      </c>
      <c r="BL227" s="319" t="s">
        <v>190</v>
      </c>
      <c r="BM227" s="319" t="s">
        <v>190</v>
      </c>
      <c r="BN227" s="319" t="s">
        <v>190</v>
      </c>
      <c r="BO227" s="319" t="s">
        <v>190</v>
      </c>
      <c r="BP227" s="319" t="s">
        <v>190</v>
      </c>
      <c r="BQ227" s="319" t="s">
        <v>190</v>
      </c>
      <c r="BR227" s="319" t="s">
        <v>190</v>
      </c>
      <c r="BS227" s="319" t="s">
        <v>190</v>
      </c>
      <c r="BT227" s="319" t="s">
        <v>190</v>
      </c>
      <c r="BU227" s="319" t="s">
        <v>190</v>
      </c>
      <c r="BV227" s="319" t="s">
        <v>190</v>
      </c>
      <c r="BW227" s="319" t="s">
        <v>190</v>
      </c>
      <c r="BX227" s="319" t="s">
        <v>190</v>
      </c>
      <c r="BY227" s="319" t="s">
        <v>190</v>
      </c>
      <c r="BZ227" s="319" t="s">
        <v>190</v>
      </c>
      <c r="CA227" s="319" t="s">
        <v>190</v>
      </c>
      <c r="CB227" s="319" t="s">
        <v>190</v>
      </c>
      <c r="CC227" s="319" t="s">
        <v>190</v>
      </c>
      <c r="CD227" s="319" t="s">
        <v>190</v>
      </c>
      <c r="CE227" s="319" t="s">
        <v>190</v>
      </c>
      <c r="CF227" s="319" t="s">
        <v>190</v>
      </c>
      <c r="CG227" s="319" t="s">
        <v>190</v>
      </c>
      <c r="CH227" s="319" t="s">
        <v>190</v>
      </c>
      <c r="CI227" s="319" t="s">
        <v>190</v>
      </c>
      <c r="CJ227" s="319" t="s">
        <v>190</v>
      </c>
      <c r="CK227" s="319" t="s">
        <v>190</v>
      </c>
      <c r="CL227" s="319" t="s">
        <v>190</v>
      </c>
      <c r="CM227" s="319" t="s">
        <v>190</v>
      </c>
      <c r="CN227" s="319" t="s">
        <v>429</v>
      </c>
      <c r="CO227" s="319" t="s">
        <v>429</v>
      </c>
      <c r="CP227" s="319" t="s">
        <v>429</v>
      </c>
      <c r="CQ227" s="319" t="s">
        <v>190</v>
      </c>
      <c r="CR227" s="319" t="s">
        <v>190</v>
      </c>
      <c r="CS227" s="319" t="s">
        <v>190</v>
      </c>
      <c r="CT227" s="319" t="s">
        <v>190</v>
      </c>
      <c r="CU227" s="319" t="s">
        <v>190</v>
      </c>
      <c r="CV227" s="319" t="s">
        <v>190</v>
      </c>
      <c r="CW227" s="319" t="s">
        <v>190</v>
      </c>
      <c r="CX227" s="319" t="s">
        <v>190</v>
      </c>
      <c r="CY227" s="319" t="s">
        <v>190</v>
      </c>
      <c r="CZ227" s="319" t="s">
        <v>190</v>
      </c>
      <c r="DA227" s="319" t="s">
        <v>190</v>
      </c>
      <c r="DB227" s="319" t="s">
        <v>190</v>
      </c>
      <c r="DC227" s="319" t="s">
        <v>190</v>
      </c>
      <c r="DD227" s="319" t="s">
        <v>190</v>
      </c>
      <c r="DE227" s="319" t="s">
        <v>190</v>
      </c>
      <c r="DF227" s="319" t="s">
        <v>190</v>
      </c>
      <c r="DG227" s="319" t="s">
        <v>190</v>
      </c>
      <c r="DH227" s="319" t="s">
        <v>190</v>
      </c>
      <c r="DI227" s="319" t="s">
        <v>190</v>
      </c>
      <c r="DJ227" s="319" t="s">
        <v>190</v>
      </c>
      <c r="DK227" s="319" t="s">
        <v>190</v>
      </c>
      <c r="DL227" s="319" t="s">
        <v>190</v>
      </c>
      <c r="DM227" s="319" t="s">
        <v>190</v>
      </c>
      <c r="DN227" s="319" t="s">
        <v>190</v>
      </c>
      <c r="DO227" s="319" t="s">
        <v>190</v>
      </c>
      <c r="DP227" s="319" t="s">
        <v>190</v>
      </c>
      <c r="DQ227" s="319" t="s">
        <v>190</v>
      </c>
      <c r="DR227" s="319" t="s">
        <v>190</v>
      </c>
      <c r="DS227" s="319" t="s">
        <v>190</v>
      </c>
      <c r="DT227" s="319" t="s">
        <v>190</v>
      </c>
      <c r="DU227" s="319" t="s">
        <v>190</v>
      </c>
      <c r="DV227" s="319" t="s">
        <v>173</v>
      </c>
      <c r="DW227" s="319" t="s">
        <v>190</v>
      </c>
      <c r="DX227" s="319" t="s">
        <v>190</v>
      </c>
      <c r="DY227" s="319" t="s">
        <v>190</v>
      </c>
      <c r="DZ227" s="319" t="s">
        <v>190</v>
      </c>
      <c r="EA227" s="319" t="s">
        <v>190</v>
      </c>
      <c r="EB227" s="319" t="s">
        <v>190</v>
      </c>
      <c r="EC227" s="319" t="s">
        <v>429</v>
      </c>
      <c r="ED227" s="319" t="s">
        <v>190</v>
      </c>
      <c r="EE227" s="319" t="s">
        <v>190</v>
      </c>
      <c r="EF227" s="319" t="s">
        <v>190</v>
      </c>
      <c r="EG227" s="319" t="s">
        <v>190</v>
      </c>
      <c r="EH227" s="319" t="s">
        <v>190</v>
      </c>
      <c r="EI227" s="319" t="s">
        <v>190</v>
      </c>
      <c r="EJ227" s="319" t="s">
        <v>190</v>
      </c>
      <c r="EK227" s="319" t="s">
        <v>190</v>
      </c>
      <c r="EL227" s="319" t="s">
        <v>190</v>
      </c>
      <c r="EM227" s="319" t="s">
        <v>190</v>
      </c>
      <c r="EN227" s="319" t="s">
        <v>190</v>
      </c>
      <c r="EO227" s="319" t="s">
        <v>190</v>
      </c>
      <c r="EP227" s="319" t="s">
        <v>190</v>
      </c>
      <c r="EQ227" s="319" t="s">
        <v>190</v>
      </c>
      <c r="ER227" s="319" t="s">
        <v>190</v>
      </c>
      <c r="ES227" s="319" t="s">
        <v>190</v>
      </c>
      <c r="ET227" s="319" t="s">
        <v>190</v>
      </c>
      <c r="EU227" s="319" t="s">
        <v>190</v>
      </c>
      <c r="EV227" s="319" t="s">
        <v>190</v>
      </c>
      <c r="EW227" s="319" t="s">
        <v>190</v>
      </c>
      <c r="EX227" s="319" t="s">
        <v>190</v>
      </c>
      <c r="EY227" s="319" t="s">
        <v>190</v>
      </c>
      <c r="EZ227" s="319" t="s">
        <v>190</v>
      </c>
      <c r="FA227" s="319" t="s">
        <v>190</v>
      </c>
      <c r="FB227" s="319" t="s">
        <v>190</v>
      </c>
      <c r="FC227" s="319" t="s">
        <v>190</v>
      </c>
      <c r="FD227" s="319" t="s">
        <v>190</v>
      </c>
      <c r="FE227" s="319" t="s">
        <v>190</v>
      </c>
      <c r="FF227" s="319" t="s">
        <v>190</v>
      </c>
      <c r="FG227" s="319" t="s">
        <v>190</v>
      </c>
      <c r="FH227" s="319" t="s">
        <v>190</v>
      </c>
      <c r="FI227" s="319" t="s">
        <v>190</v>
      </c>
      <c r="FJ227" s="319" t="s">
        <v>190</v>
      </c>
      <c r="FK227" s="319" t="s">
        <v>190</v>
      </c>
      <c r="FL227" s="319" t="s">
        <v>190</v>
      </c>
      <c r="FM227" s="319" t="s">
        <v>190</v>
      </c>
      <c r="FN227" s="319" t="s">
        <v>190</v>
      </c>
      <c r="FO227" s="319" t="s">
        <v>429</v>
      </c>
      <c r="FP227" s="319" t="s">
        <v>190</v>
      </c>
      <c r="FQ227" s="319" t="s">
        <v>190</v>
      </c>
      <c r="FR227" s="319" t="s">
        <v>190</v>
      </c>
      <c r="FS227" s="319" t="s">
        <v>429</v>
      </c>
      <c r="FT227" s="319" t="s">
        <v>190</v>
      </c>
      <c r="FU227" s="319" t="s">
        <v>190</v>
      </c>
      <c r="FV227" s="319" t="s">
        <v>190</v>
      </c>
      <c r="FW227" s="319" t="s">
        <v>190</v>
      </c>
      <c r="FX227" s="319" t="s">
        <v>190</v>
      </c>
      <c r="FY227" s="319" t="s">
        <v>190</v>
      </c>
      <c r="FZ227" s="319" t="s">
        <v>190</v>
      </c>
      <c r="GA227" s="319" t="s">
        <v>190</v>
      </c>
      <c r="GB227" s="319" t="s">
        <v>190</v>
      </c>
      <c r="GC227" s="319" t="s">
        <v>190</v>
      </c>
      <c r="GD227" s="319" t="s">
        <v>190</v>
      </c>
      <c r="GE227" s="319" t="s">
        <v>190</v>
      </c>
      <c r="GF227" s="319" t="s">
        <v>190</v>
      </c>
      <c r="GG227" s="319" t="s">
        <v>190</v>
      </c>
      <c r="GH227" s="319" t="s">
        <v>190</v>
      </c>
      <c r="GI227" s="319" t="s">
        <v>190</v>
      </c>
      <c r="GJ227" s="319" t="s">
        <v>190</v>
      </c>
      <c r="GK227" s="319" t="s">
        <v>429</v>
      </c>
      <c r="GL227" s="319" t="s">
        <v>190</v>
      </c>
      <c r="GM227" s="319" t="s">
        <v>190</v>
      </c>
      <c r="GN227" s="319" t="s">
        <v>190</v>
      </c>
      <c r="GO227" s="319" t="s">
        <v>190</v>
      </c>
      <c r="GP227" s="319" t="s">
        <v>190</v>
      </c>
      <c r="GQ227" s="319" t="s">
        <v>429</v>
      </c>
      <c r="GR227" s="319" t="s">
        <v>190</v>
      </c>
      <c r="GS227" s="319" t="s">
        <v>190</v>
      </c>
      <c r="GT227" s="319" t="s">
        <v>429</v>
      </c>
      <c r="GU227" s="319" t="s">
        <v>429</v>
      </c>
      <c r="GV227" s="319" t="s">
        <v>190</v>
      </c>
      <c r="GW227" s="319" t="s">
        <v>190</v>
      </c>
      <c r="GX227" s="319" t="s">
        <v>190</v>
      </c>
      <c r="GY227" s="319" t="s">
        <v>190</v>
      </c>
      <c r="GZ227" s="319" t="s">
        <v>190</v>
      </c>
      <c r="HA227" s="319" t="s">
        <v>429</v>
      </c>
      <c r="HB227" s="319" t="s">
        <v>429</v>
      </c>
      <c r="HC227" s="319" t="s">
        <v>190</v>
      </c>
      <c r="HD227" s="319" t="s">
        <v>190</v>
      </c>
      <c r="HE227" s="319" t="s">
        <v>190</v>
      </c>
      <c r="HF227" s="319" t="s">
        <v>429</v>
      </c>
      <c r="HG227" s="319" t="s">
        <v>190</v>
      </c>
      <c r="HH227" s="319" t="s">
        <v>190</v>
      </c>
      <c r="HI227" s="319" t="s">
        <v>190</v>
      </c>
      <c r="HJ227" s="319" t="s">
        <v>190</v>
      </c>
      <c r="HK227" s="319" t="s">
        <v>190</v>
      </c>
      <c r="HL227" s="319" t="s">
        <v>190</v>
      </c>
      <c r="HM227" s="319" t="s">
        <v>429</v>
      </c>
      <c r="HN227" s="319" t="s">
        <v>429</v>
      </c>
      <c r="HO227" s="319" t="s">
        <v>429</v>
      </c>
      <c r="HP227" s="319" t="s">
        <v>190</v>
      </c>
      <c r="HQ227" s="319" t="s">
        <v>190</v>
      </c>
      <c r="HR227" s="319" t="s">
        <v>190</v>
      </c>
      <c r="HS227" s="319" t="s">
        <v>190</v>
      </c>
      <c r="HT227" s="319" t="s">
        <v>190</v>
      </c>
      <c r="HU227" s="319" t="s">
        <v>190</v>
      </c>
      <c r="HV227" s="319" t="s">
        <v>190</v>
      </c>
      <c r="HW227" s="319" t="s">
        <v>190</v>
      </c>
      <c r="HX227" s="319" t="s">
        <v>190</v>
      </c>
      <c r="HY227" s="319" t="s">
        <v>190</v>
      </c>
      <c r="HZ227" s="319" t="s">
        <v>190</v>
      </c>
      <c r="IA227" s="319" t="s">
        <v>190</v>
      </c>
      <c r="IB227" s="319" t="s">
        <v>190</v>
      </c>
      <c r="IC227" s="319" t="s">
        <v>190</v>
      </c>
      <c r="ID227" s="319" t="s">
        <v>190</v>
      </c>
      <c r="IE227" s="319" t="s">
        <v>190</v>
      </c>
      <c r="IF227" s="319" t="s">
        <v>190</v>
      </c>
      <c r="IG227" s="319" t="s">
        <v>190</v>
      </c>
      <c r="IH227" s="319" t="s">
        <v>190</v>
      </c>
      <c r="II227" s="319" t="s">
        <v>190</v>
      </c>
      <c r="IJ227" s="319" t="s">
        <v>3013</v>
      </c>
      <c r="IK227" s="321">
        <v>41793</v>
      </c>
      <c r="IL227" s="321">
        <v>41795</v>
      </c>
      <c r="IM227" s="321">
        <v>41817</v>
      </c>
      <c r="IN227" s="319">
        <v>2</v>
      </c>
      <c r="IO227" s="319" t="s">
        <v>173</v>
      </c>
      <c r="IP227" s="319" t="s">
        <v>173</v>
      </c>
      <c r="IQ227" s="319" t="s">
        <v>173</v>
      </c>
      <c r="IR227" s="320" t="s">
        <v>173</v>
      </c>
      <c r="IS227" s="320" t="s">
        <v>173</v>
      </c>
      <c r="IT227" s="319" t="s">
        <v>173</v>
      </c>
    </row>
    <row r="228" spans="1:254" s="271" customFormat="1" x14ac:dyDescent="0.25">
      <c r="A228" s="318" t="str">
        <f>HYPERLINK("http://www.ofsted.gov.uk/inspection-reports/find-inspection-report/provider/ELS/122136 ","Ofsted School Webpage")</f>
        <v>Ofsted School Webpage</v>
      </c>
      <c r="B228" s="319">
        <v>122136</v>
      </c>
      <c r="C228" s="319">
        <v>9286039</v>
      </c>
      <c r="D228" s="319" t="s">
        <v>1188</v>
      </c>
      <c r="E228" s="319" t="s">
        <v>168</v>
      </c>
      <c r="F228" s="319" t="s">
        <v>81</v>
      </c>
      <c r="G228" s="319" t="s">
        <v>81</v>
      </c>
      <c r="H228" s="319" t="s">
        <v>81</v>
      </c>
      <c r="I228" s="319" t="s">
        <v>78</v>
      </c>
      <c r="J228" s="319" t="s">
        <v>424</v>
      </c>
      <c r="K228" s="319" t="s">
        <v>506</v>
      </c>
      <c r="L228" s="319" t="s">
        <v>506</v>
      </c>
      <c r="M228" s="319" t="s">
        <v>1136</v>
      </c>
      <c r="N228" s="319" t="s">
        <v>3014</v>
      </c>
      <c r="O228" s="319" t="s">
        <v>1189</v>
      </c>
      <c r="P228" s="319">
        <v>40</v>
      </c>
      <c r="Q228" s="319" t="s">
        <v>429</v>
      </c>
      <c r="R228" s="320">
        <v>10051883</v>
      </c>
      <c r="S228" s="321">
        <v>43172</v>
      </c>
      <c r="T228" s="321">
        <v>43174</v>
      </c>
      <c r="U228" s="321">
        <v>43297</v>
      </c>
      <c r="V228" s="319" t="s">
        <v>425</v>
      </c>
      <c r="W228" s="319" t="s">
        <v>2767</v>
      </c>
      <c r="X228" s="319">
        <v>4</v>
      </c>
      <c r="Y228" s="319" t="s">
        <v>173</v>
      </c>
      <c r="Z228" s="319" t="s">
        <v>173</v>
      </c>
      <c r="AA228" s="319" t="s">
        <v>173</v>
      </c>
      <c r="AB228" s="319">
        <v>4</v>
      </c>
      <c r="AC228" s="319" t="s">
        <v>170</v>
      </c>
      <c r="AD228" s="319" t="s">
        <v>173</v>
      </c>
      <c r="AE228" s="319">
        <v>4</v>
      </c>
      <c r="AF228" s="319" t="s">
        <v>427</v>
      </c>
      <c r="AG228" s="319" t="s">
        <v>172</v>
      </c>
      <c r="AH228" s="319" t="s">
        <v>479</v>
      </c>
      <c r="AI228" s="319" t="s">
        <v>479</v>
      </c>
      <c r="AJ228" s="319" t="s">
        <v>479</v>
      </c>
      <c r="AK228" s="319" t="s">
        <v>190</v>
      </c>
      <c r="AL228" s="319" t="s">
        <v>479</v>
      </c>
      <c r="AM228" s="319" t="s">
        <v>190</v>
      </c>
      <c r="AN228" s="319" t="s">
        <v>190</v>
      </c>
      <c r="AO228" s="319" t="s">
        <v>479</v>
      </c>
      <c r="AP228" s="319" t="s">
        <v>191</v>
      </c>
      <c r="AQ228" s="319" t="s">
        <v>190</v>
      </c>
      <c r="AR228" s="319" t="s">
        <v>190</v>
      </c>
      <c r="AS228" s="319" t="s">
        <v>190</v>
      </c>
      <c r="AT228" s="319" t="s">
        <v>190</v>
      </c>
      <c r="AU228" s="319" t="s">
        <v>190</v>
      </c>
      <c r="AV228" s="319" t="s">
        <v>190</v>
      </c>
      <c r="AW228" s="319" t="s">
        <v>190</v>
      </c>
      <c r="AX228" s="319" t="s">
        <v>428</v>
      </c>
      <c r="AY228" s="319" t="s">
        <v>190</v>
      </c>
      <c r="AZ228" s="319" t="s">
        <v>190</v>
      </c>
      <c r="BA228" s="319" t="s">
        <v>190</v>
      </c>
      <c r="BB228" s="319" t="s">
        <v>191</v>
      </c>
      <c r="BC228" s="319" t="s">
        <v>191</v>
      </c>
      <c r="BD228" s="319" t="s">
        <v>191</v>
      </c>
      <c r="BE228" s="319" t="s">
        <v>191</v>
      </c>
      <c r="BF228" s="319" t="s">
        <v>428</v>
      </c>
      <c r="BG228" s="319" t="s">
        <v>190</v>
      </c>
      <c r="BH228" s="319" t="s">
        <v>190</v>
      </c>
      <c r="BI228" s="319" t="s">
        <v>190</v>
      </c>
      <c r="BJ228" s="319" t="s">
        <v>191</v>
      </c>
      <c r="BK228" s="319" t="s">
        <v>191</v>
      </c>
      <c r="BL228" s="319" t="s">
        <v>190</v>
      </c>
      <c r="BM228" s="319" t="s">
        <v>190</v>
      </c>
      <c r="BN228" s="319" t="s">
        <v>190</v>
      </c>
      <c r="BO228" s="319" t="s">
        <v>190</v>
      </c>
      <c r="BP228" s="319" t="s">
        <v>190</v>
      </c>
      <c r="BQ228" s="319" t="s">
        <v>191</v>
      </c>
      <c r="BR228" s="319" t="s">
        <v>191</v>
      </c>
      <c r="BS228" s="319" t="s">
        <v>190</v>
      </c>
      <c r="BT228" s="319" t="s">
        <v>190</v>
      </c>
      <c r="BU228" s="319" t="s">
        <v>190</v>
      </c>
      <c r="BV228" s="319" t="s">
        <v>191</v>
      </c>
      <c r="BW228" s="319" t="s">
        <v>190</v>
      </c>
      <c r="BX228" s="319" t="s">
        <v>190</v>
      </c>
      <c r="BY228" s="319" t="s">
        <v>190</v>
      </c>
      <c r="BZ228" s="319" t="s">
        <v>190</v>
      </c>
      <c r="CA228" s="319" t="s">
        <v>191</v>
      </c>
      <c r="CB228" s="319" t="s">
        <v>190</v>
      </c>
      <c r="CC228" s="319" t="s">
        <v>190</v>
      </c>
      <c r="CD228" s="319" t="s">
        <v>190</v>
      </c>
      <c r="CE228" s="319" t="s">
        <v>190</v>
      </c>
      <c r="CF228" s="319" t="s">
        <v>190</v>
      </c>
      <c r="CG228" s="319" t="s">
        <v>190</v>
      </c>
      <c r="CH228" s="319" t="s">
        <v>190</v>
      </c>
      <c r="CI228" s="319" t="s">
        <v>190</v>
      </c>
      <c r="CJ228" s="319" t="s">
        <v>190</v>
      </c>
      <c r="CK228" s="319" t="s">
        <v>191</v>
      </c>
      <c r="CL228" s="319" t="s">
        <v>191</v>
      </c>
      <c r="CM228" s="319" t="s">
        <v>191</v>
      </c>
      <c r="CN228" s="319" t="s">
        <v>191</v>
      </c>
      <c r="CO228" s="319" t="s">
        <v>191</v>
      </c>
      <c r="CP228" s="319" t="s">
        <v>191</v>
      </c>
      <c r="CQ228" s="319" t="s">
        <v>191</v>
      </c>
      <c r="CR228" s="319" t="s">
        <v>191</v>
      </c>
      <c r="CS228" s="319" t="s">
        <v>191</v>
      </c>
      <c r="CT228" s="319" t="s">
        <v>190</v>
      </c>
      <c r="CU228" s="319" t="s">
        <v>190</v>
      </c>
      <c r="CV228" s="319" t="s">
        <v>191</v>
      </c>
      <c r="CW228" s="319" t="s">
        <v>191</v>
      </c>
      <c r="CX228" s="319" t="s">
        <v>191</v>
      </c>
      <c r="CY228" s="319" t="s">
        <v>190</v>
      </c>
      <c r="CZ228" s="319" t="s">
        <v>190</v>
      </c>
      <c r="DA228" s="319" t="s">
        <v>191</v>
      </c>
      <c r="DB228" s="319" t="s">
        <v>191</v>
      </c>
      <c r="DC228" s="319" t="s">
        <v>191</v>
      </c>
      <c r="DD228" s="319" t="s">
        <v>190</v>
      </c>
      <c r="DE228" s="319" t="s">
        <v>190</v>
      </c>
      <c r="DF228" s="319" t="s">
        <v>190</v>
      </c>
      <c r="DG228" s="319" t="s">
        <v>190</v>
      </c>
      <c r="DH228" s="319" t="s">
        <v>190</v>
      </c>
      <c r="DI228" s="319" t="s">
        <v>190</v>
      </c>
      <c r="DJ228" s="319" t="s">
        <v>190</v>
      </c>
      <c r="DK228" s="319" t="s">
        <v>190</v>
      </c>
      <c r="DL228" s="319" t="s">
        <v>190</v>
      </c>
      <c r="DM228" s="319" t="s">
        <v>190</v>
      </c>
      <c r="DN228" s="319" t="s">
        <v>190</v>
      </c>
      <c r="DO228" s="319" t="s">
        <v>190</v>
      </c>
      <c r="DP228" s="319" t="s">
        <v>190</v>
      </c>
      <c r="DQ228" s="319" t="s">
        <v>190</v>
      </c>
      <c r="DR228" s="319" t="s">
        <v>190</v>
      </c>
      <c r="DS228" s="319" t="s">
        <v>190</v>
      </c>
      <c r="DT228" s="319" t="s">
        <v>190</v>
      </c>
      <c r="DU228" s="319" t="s">
        <v>190</v>
      </c>
      <c r="DV228" s="319" t="s">
        <v>173</v>
      </c>
      <c r="DW228" s="319" t="s">
        <v>190</v>
      </c>
      <c r="DX228" s="319" t="s">
        <v>190</v>
      </c>
      <c r="DY228" s="319" t="s">
        <v>190</v>
      </c>
      <c r="DZ228" s="319" t="s">
        <v>190</v>
      </c>
      <c r="EA228" s="319" t="s">
        <v>190</v>
      </c>
      <c r="EB228" s="319" t="s">
        <v>190</v>
      </c>
      <c r="EC228" s="319" t="s">
        <v>190</v>
      </c>
      <c r="ED228" s="319" t="s">
        <v>190</v>
      </c>
      <c r="EE228" s="319" t="s">
        <v>190</v>
      </c>
      <c r="EF228" s="319" t="s">
        <v>190</v>
      </c>
      <c r="EG228" s="319" t="s">
        <v>190</v>
      </c>
      <c r="EH228" s="319" t="s">
        <v>190</v>
      </c>
      <c r="EI228" s="319" t="s">
        <v>190</v>
      </c>
      <c r="EJ228" s="319" t="s">
        <v>190</v>
      </c>
      <c r="EK228" s="319" t="s">
        <v>190</v>
      </c>
      <c r="EL228" s="319" t="s">
        <v>190</v>
      </c>
      <c r="EM228" s="319" t="s">
        <v>190</v>
      </c>
      <c r="EN228" s="319" t="s">
        <v>190</v>
      </c>
      <c r="EO228" s="319" t="s">
        <v>190</v>
      </c>
      <c r="EP228" s="319" t="s">
        <v>190</v>
      </c>
      <c r="EQ228" s="319" t="s">
        <v>190</v>
      </c>
      <c r="ER228" s="319" t="s">
        <v>190</v>
      </c>
      <c r="ES228" s="319" t="s">
        <v>190</v>
      </c>
      <c r="ET228" s="319" t="s">
        <v>190</v>
      </c>
      <c r="EU228" s="319" t="s">
        <v>190</v>
      </c>
      <c r="EV228" s="319" t="s">
        <v>190</v>
      </c>
      <c r="EW228" s="319" t="s">
        <v>190</v>
      </c>
      <c r="EX228" s="319" t="s">
        <v>190</v>
      </c>
      <c r="EY228" s="319" t="s">
        <v>190</v>
      </c>
      <c r="EZ228" s="319" t="s">
        <v>190</v>
      </c>
      <c r="FA228" s="319" t="s">
        <v>190</v>
      </c>
      <c r="FB228" s="319" t="s">
        <v>190</v>
      </c>
      <c r="FC228" s="319" t="s">
        <v>190</v>
      </c>
      <c r="FD228" s="319" t="s">
        <v>190</v>
      </c>
      <c r="FE228" s="319" t="s">
        <v>190</v>
      </c>
      <c r="FF228" s="319" t="s">
        <v>190</v>
      </c>
      <c r="FG228" s="319" t="s">
        <v>190</v>
      </c>
      <c r="FH228" s="319" t="s">
        <v>190</v>
      </c>
      <c r="FI228" s="319" t="s">
        <v>190</v>
      </c>
      <c r="FJ228" s="319" t="s">
        <v>190</v>
      </c>
      <c r="FK228" s="319" t="s">
        <v>190</v>
      </c>
      <c r="FL228" s="319" t="s">
        <v>190</v>
      </c>
      <c r="FM228" s="319" t="s">
        <v>190</v>
      </c>
      <c r="FN228" s="319" t="s">
        <v>190</v>
      </c>
      <c r="FO228" s="319" t="s">
        <v>190</v>
      </c>
      <c r="FP228" s="319" t="s">
        <v>190</v>
      </c>
      <c r="FQ228" s="319" t="s">
        <v>190</v>
      </c>
      <c r="FR228" s="319" t="s">
        <v>190</v>
      </c>
      <c r="FS228" s="319" t="s">
        <v>428</v>
      </c>
      <c r="FT228" s="319" t="s">
        <v>190</v>
      </c>
      <c r="FU228" s="319" t="s">
        <v>191</v>
      </c>
      <c r="FV228" s="319" t="s">
        <v>190</v>
      </c>
      <c r="FW228" s="319" t="s">
        <v>190</v>
      </c>
      <c r="FX228" s="319" t="s">
        <v>190</v>
      </c>
      <c r="FY228" s="319" t="s">
        <v>190</v>
      </c>
      <c r="FZ228" s="319" t="s">
        <v>190</v>
      </c>
      <c r="GA228" s="319" t="s">
        <v>190</v>
      </c>
      <c r="GB228" s="319" t="s">
        <v>190</v>
      </c>
      <c r="GC228" s="319" t="s">
        <v>190</v>
      </c>
      <c r="GD228" s="319" t="s">
        <v>190</v>
      </c>
      <c r="GE228" s="319" t="s">
        <v>190</v>
      </c>
      <c r="GF228" s="319" t="s">
        <v>190</v>
      </c>
      <c r="GG228" s="319" t="s">
        <v>190</v>
      </c>
      <c r="GH228" s="319" t="s">
        <v>190</v>
      </c>
      <c r="GI228" s="319" t="s">
        <v>190</v>
      </c>
      <c r="GJ228" s="319" t="s">
        <v>190</v>
      </c>
      <c r="GK228" s="319" t="s">
        <v>190</v>
      </c>
      <c r="GL228" s="319" t="s">
        <v>190</v>
      </c>
      <c r="GM228" s="319" t="s">
        <v>190</v>
      </c>
      <c r="GN228" s="319" t="s">
        <v>190</v>
      </c>
      <c r="GO228" s="319" t="s">
        <v>190</v>
      </c>
      <c r="GP228" s="319" t="s">
        <v>190</v>
      </c>
      <c r="GQ228" s="319" t="s">
        <v>428</v>
      </c>
      <c r="GR228" s="319" t="s">
        <v>190</v>
      </c>
      <c r="GS228" s="319" t="s">
        <v>190</v>
      </c>
      <c r="GT228" s="319" t="s">
        <v>190</v>
      </c>
      <c r="GU228" s="319" t="s">
        <v>190</v>
      </c>
      <c r="GV228" s="319" t="s">
        <v>190</v>
      </c>
      <c r="GW228" s="319" t="s">
        <v>190</v>
      </c>
      <c r="GX228" s="319" t="s">
        <v>190</v>
      </c>
      <c r="GY228" s="319" t="s">
        <v>190</v>
      </c>
      <c r="GZ228" s="319" t="s">
        <v>190</v>
      </c>
      <c r="HA228" s="319" t="s">
        <v>190</v>
      </c>
      <c r="HB228" s="319" t="s">
        <v>190</v>
      </c>
      <c r="HC228" s="319" t="s">
        <v>190</v>
      </c>
      <c r="HD228" s="319" t="s">
        <v>190</v>
      </c>
      <c r="HE228" s="319" t="s">
        <v>190</v>
      </c>
      <c r="HF228" s="319" t="s">
        <v>190</v>
      </c>
      <c r="HG228" s="319" t="s">
        <v>190</v>
      </c>
      <c r="HH228" s="319" t="s">
        <v>190</v>
      </c>
      <c r="HI228" s="319" t="s">
        <v>190</v>
      </c>
      <c r="HJ228" s="319" t="s">
        <v>190</v>
      </c>
      <c r="HK228" s="319" t="s">
        <v>190</v>
      </c>
      <c r="HL228" s="319" t="s">
        <v>190</v>
      </c>
      <c r="HM228" s="319" t="s">
        <v>428</v>
      </c>
      <c r="HN228" s="319" t="s">
        <v>428</v>
      </c>
      <c r="HO228" s="319" t="s">
        <v>428</v>
      </c>
      <c r="HP228" s="319" t="s">
        <v>190</v>
      </c>
      <c r="HQ228" s="319" t="s">
        <v>190</v>
      </c>
      <c r="HR228" s="319" t="s">
        <v>190</v>
      </c>
      <c r="HS228" s="319" t="s">
        <v>190</v>
      </c>
      <c r="HT228" s="319" t="s">
        <v>190</v>
      </c>
      <c r="HU228" s="319" t="s">
        <v>190</v>
      </c>
      <c r="HV228" s="319" t="s">
        <v>190</v>
      </c>
      <c r="HW228" s="319" t="s">
        <v>190</v>
      </c>
      <c r="HX228" s="319" t="s">
        <v>190</v>
      </c>
      <c r="HY228" s="319" t="s">
        <v>190</v>
      </c>
      <c r="HZ228" s="319" t="s">
        <v>190</v>
      </c>
      <c r="IA228" s="319" t="s">
        <v>190</v>
      </c>
      <c r="IB228" s="319" t="s">
        <v>190</v>
      </c>
      <c r="IC228" s="319" t="s">
        <v>190</v>
      </c>
      <c r="ID228" s="319" t="s">
        <v>190</v>
      </c>
      <c r="IE228" s="319" t="s">
        <v>190</v>
      </c>
      <c r="IF228" s="319" t="s">
        <v>191</v>
      </c>
      <c r="IG228" s="319" t="s">
        <v>191</v>
      </c>
      <c r="IH228" s="319" t="s">
        <v>191</v>
      </c>
      <c r="II228" s="319" t="s">
        <v>191</v>
      </c>
      <c r="IJ228" s="319">
        <v>10008939</v>
      </c>
      <c r="IK228" s="321">
        <v>42402</v>
      </c>
      <c r="IL228" s="321">
        <v>42404</v>
      </c>
      <c r="IM228" s="321">
        <v>42479</v>
      </c>
      <c r="IN228" s="319">
        <v>2</v>
      </c>
      <c r="IO228" s="319">
        <v>10089324</v>
      </c>
      <c r="IP228" s="319" t="s">
        <v>1061</v>
      </c>
      <c r="IQ228" s="321">
        <v>43502</v>
      </c>
      <c r="IR228" s="320" t="s">
        <v>1223</v>
      </c>
      <c r="IS228" s="322">
        <v>43535</v>
      </c>
      <c r="IT228" s="319" t="s">
        <v>166</v>
      </c>
    </row>
    <row r="229" spans="1:254" s="271" customFormat="1" x14ac:dyDescent="0.25">
      <c r="A229" s="318" t="str">
        <f>HYPERLINK("http://www.ofsted.gov.uk/inspection-reports/find-inspection-report/provider/ELS/122143 ","Ofsted School Webpage")</f>
        <v>Ofsted School Webpage</v>
      </c>
      <c r="B229" s="319">
        <v>122143</v>
      </c>
      <c r="C229" s="319">
        <v>9286056</v>
      </c>
      <c r="D229" s="319" t="s">
        <v>1135</v>
      </c>
      <c r="E229" s="319" t="s">
        <v>167</v>
      </c>
      <c r="F229" s="319" t="s">
        <v>81</v>
      </c>
      <c r="G229" s="319" t="s">
        <v>59</v>
      </c>
      <c r="H229" s="319" t="s">
        <v>59</v>
      </c>
      <c r="I229" s="319" t="s">
        <v>59</v>
      </c>
      <c r="J229" s="319" t="s">
        <v>424</v>
      </c>
      <c r="K229" s="319" t="s">
        <v>506</v>
      </c>
      <c r="L229" s="319" t="s">
        <v>506</v>
      </c>
      <c r="M229" s="319" t="s">
        <v>1136</v>
      </c>
      <c r="N229" s="319" t="s">
        <v>3015</v>
      </c>
      <c r="O229" s="319" t="s">
        <v>1137</v>
      </c>
      <c r="P229" s="319">
        <v>81</v>
      </c>
      <c r="Q229" s="319" t="s">
        <v>2766</v>
      </c>
      <c r="R229" s="320" t="s">
        <v>1531</v>
      </c>
      <c r="S229" s="321">
        <v>39714</v>
      </c>
      <c r="T229" s="321">
        <v>39715</v>
      </c>
      <c r="U229" s="321">
        <v>39737</v>
      </c>
      <c r="V229" s="319" t="s">
        <v>425</v>
      </c>
      <c r="W229" s="319" t="s">
        <v>2767</v>
      </c>
      <c r="X229" s="319">
        <v>3</v>
      </c>
      <c r="Y229" s="319" t="s">
        <v>173</v>
      </c>
      <c r="Z229" s="319" t="s">
        <v>173</v>
      </c>
      <c r="AA229" s="319" t="s">
        <v>173</v>
      </c>
      <c r="AB229" s="319" t="s">
        <v>173</v>
      </c>
      <c r="AC229" s="319" t="s">
        <v>173</v>
      </c>
      <c r="AD229" s="319">
        <v>4</v>
      </c>
      <c r="AE229" s="319" t="s">
        <v>173</v>
      </c>
      <c r="AF229" s="319" t="s">
        <v>173</v>
      </c>
      <c r="AG229" s="319" t="s">
        <v>173</v>
      </c>
      <c r="AH229" s="319" t="s">
        <v>173</v>
      </c>
      <c r="AI229" s="319" t="s">
        <v>173</v>
      </c>
      <c r="AJ229" s="319" t="s">
        <v>173</v>
      </c>
      <c r="AK229" s="319" t="s">
        <v>173</v>
      </c>
      <c r="AL229" s="319" t="s">
        <v>173</v>
      </c>
      <c r="AM229" s="319" t="s">
        <v>173</v>
      </c>
      <c r="AN229" s="319" t="s">
        <v>173</v>
      </c>
      <c r="AO229" s="319" t="s">
        <v>173</v>
      </c>
      <c r="AP229" s="319" t="s">
        <v>173</v>
      </c>
      <c r="AQ229" s="319" t="s">
        <v>173</v>
      </c>
      <c r="AR229" s="319" t="s">
        <v>173</v>
      </c>
      <c r="AS229" s="319" t="s">
        <v>173</v>
      </c>
      <c r="AT229" s="319" t="s">
        <v>173</v>
      </c>
      <c r="AU229" s="319" t="s">
        <v>173</v>
      </c>
      <c r="AV229" s="319" t="s">
        <v>173</v>
      </c>
      <c r="AW229" s="319" t="s">
        <v>173</v>
      </c>
      <c r="AX229" s="319" t="s">
        <v>173</v>
      </c>
      <c r="AY229" s="319" t="s">
        <v>173</v>
      </c>
      <c r="AZ229" s="319" t="s">
        <v>173</v>
      </c>
      <c r="BA229" s="319" t="s">
        <v>173</v>
      </c>
      <c r="BB229" s="319" t="s">
        <v>173</v>
      </c>
      <c r="BC229" s="319" t="s">
        <v>173</v>
      </c>
      <c r="BD229" s="319" t="s">
        <v>173</v>
      </c>
      <c r="BE229" s="319" t="s">
        <v>173</v>
      </c>
      <c r="BF229" s="319" t="s">
        <v>173</v>
      </c>
      <c r="BG229" s="319" t="s">
        <v>173</v>
      </c>
      <c r="BH229" s="319" t="s">
        <v>173</v>
      </c>
      <c r="BI229" s="319" t="s">
        <v>173</v>
      </c>
      <c r="BJ229" s="319" t="s">
        <v>173</v>
      </c>
      <c r="BK229" s="319" t="s">
        <v>173</v>
      </c>
      <c r="BL229" s="319" t="s">
        <v>173</v>
      </c>
      <c r="BM229" s="319" t="s">
        <v>173</v>
      </c>
      <c r="BN229" s="319" t="s">
        <v>173</v>
      </c>
      <c r="BO229" s="319" t="s">
        <v>173</v>
      </c>
      <c r="BP229" s="319" t="s">
        <v>173</v>
      </c>
      <c r="BQ229" s="319" t="s">
        <v>173</v>
      </c>
      <c r="BR229" s="319" t="s">
        <v>173</v>
      </c>
      <c r="BS229" s="319" t="s">
        <v>173</v>
      </c>
      <c r="BT229" s="319" t="s">
        <v>173</v>
      </c>
      <c r="BU229" s="319" t="s">
        <v>173</v>
      </c>
      <c r="BV229" s="319" t="s">
        <v>173</v>
      </c>
      <c r="BW229" s="319" t="s">
        <v>173</v>
      </c>
      <c r="BX229" s="319" t="s">
        <v>173</v>
      </c>
      <c r="BY229" s="319" t="s">
        <v>173</v>
      </c>
      <c r="BZ229" s="319" t="s">
        <v>173</v>
      </c>
      <c r="CA229" s="319" t="s">
        <v>173</v>
      </c>
      <c r="CB229" s="319" t="s">
        <v>173</v>
      </c>
      <c r="CC229" s="319" t="s">
        <v>173</v>
      </c>
      <c r="CD229" s="319" t="s">
        <v>173</v>
      </c>
      <c r="CE229" s="319" t="s">
        <v>173</v>
      </c>
      <c r="CF229" s="319" t="s">
        <v>173</v>
      </c>
      <c r="CG229" s="319" t="s">
        <v>173</v>
      </c>
      <c r="CH229" s="319" t="s">
        <v>173</v>
      </c>
      <c r="CI229" s="319" t="s">
        <v>173</v>
      </c>
      <c r="CJ229" s="319" t="s">
        <v>173</v>
      </c>
      <c r="CK229" s="319" t="s">
        <v>173</v>
      </c>
      <c r="CL229" s="319" t="s">
        <v>173</v>
      </c>
      <c r="CM229" s="319" t="s">
        <v>173</v>
      </c>
      <c r="CN229" s="319" t="s">
        <v>173</v>
      </c>
      <c r="CO229" s="319" t="s">
        <v>173</v>
      </c>
      <c r="CP229" s="319" t="s">
        <v>173</v>
      </c>
      <c r="CQ229" s="319" t="s">
        <v>173</v>
      </c>
      <c r="CR229" s="319" t="s">
        <v>173</v>
      </c>
      <c r="CS229" s="319" t="s">
        <v>173</v>
      </c>
      <c r="CT229" s="319" t="s">
        <v>173</v>
      </c>
      <c r="CU229" s="319" t="s">
        <v>173</v>
      </c>
      <c r="CV229" s="319" t="s">
        <v>173</v>
      </c>
      <c r="CW229" s="319" t="s">
        <v>173</v>
      </c>
      <c r="CX229" s="319" t="s">
        <v>173</v>
      </c>
      <c r="CY229" s="319" t="s">
        <v>173</v>
      </c>
      <c r="CZ229" s="319" t="s">
        <v>173</v>
      </c>
      <c r="DA229" s="319" t="s">
        <v>173</v>
      </c>
      <c r="DB229" s="319" t="s">
        <v>173</v>
      </c>
      <c r="DC229" s="319" t="s">
        <v>173</v>
      </c>
      <c r="DD229" s="319" t="s">
        <v>173</v>
      </c>
      <c r="DE229" s="319" t="s">
        <v>173</v>
      </c>
      <c r="DF229" s="319" t="s">
        <v>173</v>
      </c>
      <c r="DG229" s="319" t="s">
        <v>173</v>
      </c>
      <c r="DH229" s="319" t="s">
        <v>173</v>
      </c>
      <c r="DI229" s="319" t="s">
        <v>173</v>
      </c>
      <c r="DJ229" s="319" t="s">
        <v>173</v>
      </c>
      <c r="DK229" s="319" t="s">
        <v>173</v>
      </c>
      <c r="DL229" s="319" t="s">
        <v>173</v>
      </c>
      <c r="DM229" s="319" t="s">
        <v>173</v>
      </c>
      <c r="DN229" s="319" t="s">
        <v>173</v>
      </c>
      <c r="DO229" s="319" t="s">
        <v>173</v>
      </c>
      <c r="DP229" s="319" t="s">
        <v>173</v>
      </c>
      <c r="DQ229" s="319" t="s">
        <v>173</v>
      </c>
      <c r="DR229" s="319" t="s">
        <v>173</v>
      </c>
      <c r="DS229" s="319" t="s">
        <v>173</v>
      </c>
      <c r="DT229" s="319" t="s">
        <v>173</v>
      </c>
      <c r="DU229" s="319" t="s">
        <v>173</v>
      </c>
      <c r="DV229" s="319" t="s">
        <v>173</v>
      </c>
      <c r="DW229" s="319" t="s">
        <v>173</v>
      </c>
      <c r="DX229" s="319" t="s">
        <v>173</v>
      </c>
      <c r="DY229" s="319" t="s">
        <v>173</v>
      </c>
      <c r="DZ229" s="319" t="s">
        <v>173</v>
      </c>
      <c r="EA229" s="319" t="s">
        <v>173</v>
      </c>
      <c r="EB229" s="319" t="s">
        <v>173</v>
      </c>
      <c r="EC229" s="319" t="s">
        <v>173</v>
      </c>
      <c r="ED229" s="319" t="s">
        <v>173</v>
      </c>
      <c r="EE229" s="319" t="s">
        <v>173</v>
      </c>
      <c r="EF229" s="319" t="s">
        <v>173</v>
      </c>
      <c r="EG229" s="319" t="s">
        <v>173</v>
      </c>
      <c r="EH229" s="319" t="s">
        <v>173</v>
      </c>
      <c r="EI229" s="319" t="s">
        <v>173</v>
      </c>
      <c r="EJ229" s="319" t="s">
        <v>173</v>
      </c>
      <c r="EK229" s="319" t="s">
        <v>173</v>
      </c>
      <c r="EL229" s="319" t="s">
        <v>173</v>
      </c>
      <c r="EM229" s="319" t="s">
        <v>173</v>
      </c>
      <c r="EN229" s="319" t="s">
        <v>173</v>
      </c>
      <c r="EO229" s="319" t="s">
        <v>173</v>
      </c>
      <c r="EP229" s="319" t="s">
        <v>173</v>
      </c>
      <c r="EQ229" s="319" t="s">
        <v>173</v>
      </c>
      <c r="ER229" s="319" t="s">
        <v>173</v>
      </c>
      <c r="ES229" s="319" t="s">
        <v>173</v>
      </c>
      <c r="ET229" s="319" t="s">
        <v>173</v>
      </c>
      <c r="EU229" s="319" t="s">
        <v>173</v>
      </c>
      <c r="EV229" s="319" t="s">
        <v>173</v>
      </c>
      <c r="EW229" s="319" t="s">
        <v>173</v>
      </c>
      <c r="EX229" s="319" t="s">
        <v>173</v>
      </c>
      <c r="EY229" s="319" t="s">
        <v>173</v>
      </c>
      <c r="EZ229" s="319" t="s">
        <v>173</v>
      </c>
      <c r="FA229" s="319" t="s">
        <v>173</v>
      </c>
      <c r="FB229" s="319" t="s">
        <v>173</v>
      </c>
      <c r="FC229" s="319" t="s">
        <v>173</v>
      </c>
      <c r="FD229" s="319" t="s">
        <v>173</v>
      </c>
      <c r="FE229" s="319" t="s">
        <v>173</v>
      </c>
      <c r="FF229" s="319" t="s">
        <v>173</v>
      </c>
      <c r="FG229" s="319" t="s">
        <v>173</v>
      </c>
      <c r="FH229" s="319" t="s">
        <v>173</v>
      </c>
      <c r="FI229" s="319" t="s">
        <v>173</v>
      </c>
      <c r="FJ229" s="319" t="s">
        <v>173</v>
      </c>
      <c r="FK229" s="319" t="s">
        <v>173</v>
      </c>
      <c r="FL229" s="319" t="s">
        <v>173</v>
      </c>
      <c r="FM229" s="319" t="s">
        <v>173</v>
      </c>
      <c r="FN229" s="319" t="s">
        <v>173</v>
      </c>
      <c r="FO229" s="319" t="s">
        <v>173</v>
      </c>
      <c r="FP229" s="319" t="s">
        <v>173</v>
      </c>
      <c r="FQ229" s="319" t="s">
        <v>173</v>
      </c>
      <c r="FR229" s="319" t="s">
        <v>173</v>
      </c>
      <c r="FS229" s="319" t="s">
        <v>173</v>
      </c>
      <c r="FT229" s="319" t="s">
        <v>173</v>
      </c>
      <c r="FU229" s="319" t="s">
        <v>173</v>
      </c>
      <c r="FV229" s="319" t="s">
        <v>173</v>
      </c>
      <c r="FW229" s="319" t="s">
        <v>173</v>
      </c>
      <c r="FX229" s="319" t="s">
        <v>173</v>
      </c>
      <c r="FY229" s="319" t="s">
        <v>173</v>
      </c>
      <c r="FZ229" s="319" t="s">
        <v>173</v>
      </c>
      <c r="GA229" s="319" t="s">
        <v>173</v>
      </c>
      <c r="GB229" s="319" t="s">
        <v>173</v>
      </c>
      <c r="GC229" s="319" t="s">
        <v>173</v>
      </c>
      <c r="GD229" s="319" t="s">
        <v>173</v>
      </c>
      <c r="GE229" s="319" t="s">
        <v>173</v>
      </c>
      <c r="GF229" s="319" t="s">
        <v>173</v>
      </c>
      <c r="GG229" s="319" t="s">
        <v>173</v>
      </c>
      <c r="GH229" s="319" t="s">
        <v>173</v>
      </c>
      <c r="GI229" s="319" t="s">
        <v>173</v>
      </c>
      <c r="GJ229" s="319" t="s">
        <v>173</v>
      </c>
      <c r="GK229" s="319" t="s">
        <v>173</v>
      </c>
      <c r="GL229" s="319" t="s">
        <v>173</v>
      </c>
      <c r="GM229" s="319" t="s">
        <v>173</v>
      </c>
      <c r="GN229" s="319" t="s">
        <v>173</v>
      </c>
      <c r="GO229" s="319" t="s">
        <v>173</v>
      </c>
      <c r="GP229" s="319" t="s">
        <v>173</v>
      </c>
      <c r="GQ229" s="319" t="s">
        <v>173</v>
      </c>
      <c r="GR229" s="319" t="s">
        <v>173</v>
      </c>
      <c r="GS229" s="319" t="s">
        <v>173</v>
      </c>
      <c r="GT229" s="319" t="s">
        <v>173</v>
      </c>
      <c r="GU229" s="319" t="s">
        <v>173</v>
      </c>
      <c r="GV229" s="319" t="s">
        <v>173</v>
      </c>
      <c r="GW229" s="319" t="s">
        <v>173</v>
      </c>
      <c r="GX229" s="319" t="s">
        <v>173</v>
      </c>
      <c r="GY229" s="319" t="s">
        <v>173</v>
      </c>
      <c r="GZ229" s="319" t="s">
        <v>173</v>
      </c>
      <c r="HA229" s="319" t="s">
        <v>173</v>
      </c>
      <c r="HB229" s="319" t="s">
        <v>173</v>
      </c>
      <c r="HC229" s="319" t="s">
        <v>173</v>
      </c>
      <c r="HD229" s="319" t="s">
        <v>173</v>
      </c>
      <c r="HE229" s="319" t="s">
        <v>173</v>
      </c>
      <c r="HF229" s="319" t="s">
        <v>173</v>
      </c>
      <c r="HG229" s="319" t="s">
        <v>173</v>
      </c>
      <c r="HH229" s="319" t="s">
        <v>173</v>
      </c>
      <c r="HI229" s="319" t="s">
        <v>173</v>
      </c>
      <c r="HJ229" s="319" t="s">
        <v>173</v>
      </c>
      <c r="HK229" s="319" t="s">
        <v>173</v>
      </c>
      <c r="HL229" s="319" t="s">
        <v>173</v>
      </c>
      <c r="HM229" s="319" t="s">
        <v>173</v>
      </c>
      <c r="HN229" s="319" t="s">
        <v>173</v>
      </c>
      <c r="HO229" s="319" t="s">
        <v>173</v>
      </c>
      <c r="HP229" s="319" t="s">
        <v>173</v>
      </c>
      <c r="HQ229" s="319" t="s">
        <v>173</v>
      </c>
      <c r="HR229" s="319" t="s">
        <v>173</v>
      </c>
      <c r="HS229" s="319" t="s">
        <v>173</v>
      </c>
      <c r="HT229" s="319" t="s">
        <v>173</v>
      </c>
      <c r="HU229" s="319" t="s">
        <v>173</v>
      </c>
      <c r="HV229" s="319" t="s">
        <v>173</v>
      </c>
      <c r="HW229" s="319" t="s">
        <v>173</v>
      </c>
      <c r="HX229" s="319" t="s">
        <v>173</v>
      </c>
      <c r="HY229" s="319" t="s">
        <v>173</v>
      </c>
      <c r="HZ229" s="319" t="s">
        <v>173</v>
      </c>
      <c r="IA229" s="319" t="s">
        <v>173</v>
      </c>
      <c r="IB229" s="319" t="s">
        <v>173</v>
      </c>
      <c r="IC229" s="319" t="s">
        <v>173</v>
      </c>
      <c r="ID229" s="319" t="s">
        <v>173</v>
      </c>
      <c r="IE229" s="319" t="s">
        <v>173</v>
      </c>
      <c r="IF229" s="319" t="s">
        <v>173</v>
      </c>
      <c r="IG229" s="319" t="s">
        <v>173</v>
      </c>
      <c r="IH229" s="319" t="s">
        <v>173</v>
      </c>
      <c r="II229" s="319" t="s">
        <v>173</v>
      </c>
      <c r="IJ229" s="319" t="s">
        <v>173</v>
      </c>
      <c r="IK229" s="319" t="s">
        <v>173</v>
      </c>
      <c r="IL229" s="319" t="s">
        <v>173</v>
      </c>
      <c r="IM229" s="319" t="s">
        <v>173</v>
      </c>
      <c r="IN229" s="319" t="s">
        <v>173</v>
      </c>
      <c r="IO229" s="319">
        <v>10085182</v>
      </c>
      <c r="IP229" s="319" t="s">
        <v>985</v>
      </c>
      <c r="IQ229" s="321">
        <v>43474</v>
      </c>
      <c r="IR229" s="320" t="s">
        <v>1223</v>
      </c>
      <c r="IS229" s="322">
        <v>43503</v>
      </c>
      <c r="IT229" s="319" t="s">
        <v>165</v>
      </c>
    </row>
    <row r="230" spans="1:254" s="271" customFormat="1" x14ac:dyDescent="0.25">
      <c r="A230" s="318" t="str">
        <f>HYPERLINK("http://www.ofsted.gov.uk/inspection-reports/find-inspection-report/provider/ELS/122926 ","Ofsted School Webpage")</f>
        <v>Ofsted School Webpage</v>
      </c>
      <c r="B230" s="319">
        <v>122926</v>
      </c>
      <c r="C230" s="319">
        <v>8916008</v>
      </c>
      <c r="D230" s="319" t="s">
        <v>1532</v>
      </c>
      <c r="E230" s="319" t="s">
        <v>167</v>
      </c>
      <c r="F230" s="319" t="s">
        <v>81</v>
      </c>
      <c r="G230" s="319" t="s">
        <v>81</v>
      </c>
      <c r="H230" s="319" t="s">
        <v>81</v>
      </c>
      <c r="I230" s="319" t="s">
        <v>78</v>
      </c>
      <c r="J230" s="319" t="s">
        <v>424</v>
      </c>
      <c r="K230" s="319" t="s">
        <v>506</v>
      </c>
      <c r="L230" s="319" t="s">
        <v>506</v>
      </c>
      <c r="M230" s="319" t="s">
        <v>760</v>
      </c>
      <c r="N230" s="319" t="s">
        <v>3016</v>
      </c>
      <c r="O230" s="319" t="s">
        <v>1533</v>
      </c>
      <c r="P230" s="319">
        <v>31</v>
      </c>
      <c r="Q230" s="319" t="s">
        <v>2766</v>
      </c>
      <c r="R230" s="320">
        <v>10094047</v>
      </c>
      <c r="S230" s="321">
        <v>43655</v>
      </c>
      <c r="T230" s="321">
        <v>43657</v>
      </c>
      <c r="U230" s="321">
        <v>43719</v>
      </c>
      <c r="V230" s="319" t="s">
        <v>425</v>
      </c>
      <c r="W230" s="319" t="s">
        <v>2767</v>
      </c>
      <c r="X230" s="319">
        <v>2</v>
      </c>
      <c r="Y230" s="319" t="s">
        <v>173</v>
      </c>
      <c r="Z230" s="319" t="s">
        <v>173</v>
      </c>
      <c r="AA230" s="319" t="s">
        <v>173</v>
      </c>
      <c r="AB230" s="319">
        <v>2</v>
      </c>
      <c r="AC230" s="319" t="s">
        <v>169</v>
      </c>
      <c r="AD230" s="319">
        <v>2</v>
      </c>
      <c r="AE230" s="319" t="s">
        <v>173</v>
      </c>
      <c r="AF230" s="319" t="s">
        <v>427</v>
      </c>
      <c r="AG230" s="319" t="s">
        <v>171</v>
      </c>
      <c r="AH230" s="319" t="s">
        <v>190</v>
      </c>
      <c r="AI230" s="319" t="s">
        <v>190</v>
      </c>
      <c r="AJ230" s="319" t="s">
        <v>190</v>
      </c>
      <c r="AK230" s="319" t="s">
        <v>190</v>
      </c>
      <c r="AL230" s="319" t="s">
        <v>190</v>
      </c>
      <c r="AM230" s="319" t="s">
        <v>190</v>
      </c>
      <c r="AN230" s="319" t="s">
        <v>190</v>
      </c>
      <c r="AO230" s="319" t="s">
        <v>190</v>
      </c>
      <c r="AP230" s="319" t="s">
        <v>190</v>
      </c>
      <c r="AQ230" s="319" t="s">
        <v>190</v>
      </c>
      <c r="AR230" s="319" t="s">
        <v>190</v>
      </c>
      <c r="AS230" s="319" t="s">
        <v>190</v>
      </c>
      <c r="AT230" s="319" t="s">
        <v>190</v>
      </c>
      <c r="AU230" s="319" t="s">
        <v>190</v>
      </c>
      <c r="AV230" s="319" t="s">
        <v>190</v>
      </c>
      <c r="AW230" s="319" t="s">
        <v>190</v>
      </c>
      <c r="AX230" s="319" t="s">
        <v>428</v>
      </c>
      <c r="AY230" s="319" t="s">
        <v>190</v>
      </c>
      <c r="AZ230" s="319" t="s">
        <v>190</v>
      </c>
      <c r="BA230" s="319" t="s">
        <v>190</v>
      </c>
      <c r="BB230" s="319" t="s">
        <v>428</v>
      </c>
      <c r="BC230" s="319" t="s">
        <v>428</v>
      </c>
      <c r="BD230" s="319" t="s">
        <v>428</v>
      </c>
      <c r="BE230" s="319" t="s">
        <v>428</v>
      </c>
      <c r="BF230" s="319" t="s">
        <v>190</v>
      </c>
      <c r="BG230" s="319" t="s">
        <v>428</v>
      </c>
      <c r="BH230" s="319" t="s">
        <v>190</v>
      </c>
      <c r="BI230" s="319" t="s">
        <v>190</v>
      </c>
      <c r="BJ230" s="319" t="s">
        <v>190</v>
      </c>
      <c r="BK230" s="319" t="s">
        <v>190</v>
      </c>
      <c r="BL230" s="319" t="s">
        <v>190</v>
      </c>
      <c r="BM230" s="319" t="s">
        <v>190</v>
      </c>
      <c r="BN230" s="319" t="s">
        <v>190</v>
      </c>
      <c r="BO230" s="319" t="s">
        <v>190</v>
      </c>
      <c r="BP230" s="319" t="s">
        <v>190</v>
      </c>
      <c r="BQ230" s="319" t="s">
        <v>190</v>
      </c>
      <c r="BR230" s="319" t="s">
        <v>190</v>
      </c>
      <c r="BS230" s="319" t="s">
        <v>190</v>
      </c>
      <c r="BT230" s="319" t="s">
        <v>190</v>
      </c>
      <c r="BU230" s="319" t="s">
        <v>190</v>
      </c>
      <c r="BV230" s="319" t="s">
        <v>190</v>
      </c>
      <c r="BW230" s="319" t="s">
        <v>190</v>
      </c>
      <c r="BX230" s="319" t="s">
        <v>190</v>
      </c>
      <c r="BY230" s="319" t="s">
        <v>190</v>
      </c>
      <c r="BZ230" s="319" t="s">
        <v>190</v>
      </c>
      <c r="CA230" s="319" t="s">
        <v>190</v>
      </c>
      <c r="CB230" s="319" t="s">
        <v>190</v>
      </c>
      <c r="CC230" s="319" t="s">
        <v>190</v>
      </c>
      <c r="CD230" s="319" t="s">
        <v>190</v>
      </c>
      <c r="CE230" s="319" t="s">
        <v>190</v>
      </c>
      <c r="CF230" s="319" t="s">
        <v>190</v>
      </c>
      <c r="CG230" s="319" t="s">
        <v>190</v>
      </c>
      <c r="CH230" s="319" t="s">
        <v>190</v>
      </c>
      <c r="CI230" s="319" t="s">
        <v>190</v>
      </c>
      <c r="CJ230" s="319" t="s">
        <v>190</v>
      </c>
      <c r="CK230" s="319" t="s">
        <v>190</v>
      </c>
      <c r="CL230" s="319" t="s">
        <v>190</v>
      </c>
      <c r="CM230" s="319" t="s">
        <v>190</v>
      </c>
      <c r="CN230" s="319" t="s">
        <v>428</v>
      </c>
      <c r="CO230" s="319" t="s">
        <v>428</v>
      </c>
      <c r="CP230" s="319" t="s">
        <v>428</v>
      </c>
      <c r="CQ230" s="319" t="s">
        <v>190</v>
      </c>
      <c r="CR230" s="319" t="s">
        <v>190</v>
      </c>
      <c r="CS230" s="319" t="s">
        <v>190</v>
      </c>
      <c r="CT230" s="319" t="s">
        <v>190</v>
      </c>
      <c r="CU230" s="319" t="s">
        <v>190</v>
      </c>
      <c r="CV230" s="319" t="s">
        <v>190</v>
      </c>
      <c r="CW230" s="319" t="s">
        <v>190</v>
      </c>
      <c r="CX230" s="319" t="s">
        <v>190</v>
      </c>
      <c r="CY230" s="319" t="s">
        <v>190</v>
      </c>
      <c r="CZ230" s="319" t="s">
        <v>190</v>
      </c>
      <c r="DA230" s="319" t="s">
        <v>190</v>
      </c>
      <c r="DB230" s="319" t="s">
        <v>190</v>
      </c>
      <c r="DC230" s="319" t="s">
        <v>190</v>
      </c>
      <c r="DD230" s="319" t="s">
        <v>190</v>
      </c>
      <c r="DE230" s="319" t="s">
        <v>190</v>
      </c>
      <c r="DF230" s="319" t="s">
        <v>190</v>
      </c>
      <c r="DG230" s="319" t="s">
        <v>190</v>
      </c>
      <c r="DH230" s="319" t="s">
        <v>190</v>
      </c>
      <c r="DI230" s="319" t="s">
        <v>190</v>
      </c>
      <c r="DJ230" s="319" t="s">
        <v>190</v>
      </c>
      <c r="DK230" s="319" t="s">
        <v>190</v>
      </c>
      <c r="DL230" s="319" t="s">
        <v>190</v>
      </c>
      <c r="DM230" s="319" t="s">
        <v>428</v>
      </c>
      <c r="DN230" s="319" t="s">
        <v>428</v>
      </c>
      <c r="DO230" s="319" t="s">
        <v>190</v>
      </c>
      <c r="DP230" s="319" t="s">
        <v>428</v>
      </c>
      <c r="DQ230" s="319" t="s">
        <v>428</v>
      </c>
      <c r="DR230" s="319" t="s">
        <v>428</v>
      </c>
      <c r="DS230" s="319" t="s">
        <v>428</v>
      </c>
      <c r="DT230" s="319" t="s">
        <v>428</v>
      </c>
      <c r="DU230" s="319" t="s">
        <v>428</v>
      </c>
      <c r="DV230" s="319" t="s">
        <v>173</v>
      </c>
      <c r="DW230" s="319" t="s">
        <v>428</v>
      </c>
      <c r="DX230" s="319" t="s">
        <v>428</v>
      </c>
      <c r="DY230" s="319" t="s">
        <v>428</v>
      </c>
      <c r="DZ230" s="319" t="s">
        <v>428</v>
      </c>
      <c r="EA230" s="319" t="s">
        <v>428</v>
      </c>
      <c r="EB230" s="319" t="s">
        <v>428</v>
      </c>
      <c r="EC230" s="319" t="s">
        <v>428</v>
      </c>
      <c r="ED230" s="319" t="s">
        <v>428</v>
      </c>
      <c r="EE230" s="319" t="s">
        <v>190</v>
      </c>
      <c r="EF230" s="319" t="s">
        <v>190</v>
      </c>
      <c r="EG230" s="319" t="s">
        <v>190</v>
      </c>
      <c r="EH230" s="319" t="s">
        <v>190</v>
      </c>
      <c r="EI230" s="319" t="s">
        <v>190</v>
      </c>
      <c r="EJ230" s="319" t="s">
        <v>190</v>
      </c>
      <c r="EK230" s="319" t="s">
        <v>190</v>
      </c>
      <c r="EL230" s="319" t="s">
        <v>190</v>
      </c>
      <c r="EM230" s="319" t="s">
        <v>190</v>
      </c>
      <c r="EN230" s="319" t="s">
        <v>190</v>
      </c>
      <c r="EO230" s="319" t="s">
        <v>190</v>
      </c>
      <c r="EP230" s="319" t="s">
        <v>190</v>
      </c>
      <c r="EQ230" s="319" t="s">
        <v>190</v>
      </c>
      <c r="ER230" s="319" t="s">
        <v>190</v>
      </c>
      <c r="ES230" s="319" t="s">
        <v>190</v>
      </c>
      <c r="ET230" s="319" t="s">
        <v>190</v>
      </c>
      <c r="EU230" s="319" t="s">
        <v>190</v>
      </c>
      <c r="EV230" s="319" t="s">
        <v>190</v>
      </c>
      <c r="EW230" s="319" t="s">
        <v>190</v>
      </c>
      <c r="EX230" s="319" t="s">
        <v>190</v>
      </c>
      <c r="EY230" s="319" t="s">
        <v>190</v>
      </c>
      <c r="EZ230" s="319" t="s">
        <v>190</v>
      </c>
      <c r="FA230" s="319" t="s">
        <v>190</v>
      </c>
      <c r="FB230" s="319" t="s">
        <v>428</v>
      </c>
      <c r="FC230" s="319" t="s">
        <v>428</v>
      </c>
      <c r="FD230" s="319" t="s">
        <v>428</v>
      </c>
      <c r="FE230" s="319" t="s">
        <v>428</v>
      </c>
      <c r="FF230" s="319" t="s">
        <v>428</v>
      </c>
      <c r="FG230" s="319" t="s">
        <v>428</v>
      </c>
      <c r="FH230" s="319" t="s">
        <v>190</v>
      </c>
      <c r="FI230" s="319" t="s">
        <v>190</v>
      </c>
      <c r="FJ230" s="319" t="s">
        <v>190</v>
      </c>
      <c r="FK230" s="319" t="s">
        <v>190</v>
      </c>
      <c r="FL230" s="319" t="s">
        <v>190</v>
      </c>
      <c r="FM230" s="319" t="s">
        <v>190</v>
      </c>
      <c r="FN230" s="319" t="s">
        <v>190</v>
      </c>
      <c r="FO230" s="319" t="s">
        <v>190</v>
      </c>
      <c r="FP230" s="319" t="s">
        <v>190</v>
      </c>
      <c r="FQ230" s="319" t="s">
        <v>190</v>
      </c>
      <c r="FR230" s="319" t="s">
        <v>190</v>
      </c>
      <c r="FS230" s="319" t="s">
        <v>428</v>
      </c>
      <c r="FT230" s="319" t="s">
        <v>190</v>
      </c>
      <c r="FU230" s="319" t="s">
        <v>190</v>
      </c>
      <c r="FV230" s="319" t="s">
        <v>190</v>
      </c>
      <c r="FW230" s="319" t="s">
        <v>190</v>
      </c>
      <c r="FX230" s="319" t="s">
        <v>190</v>
      </c>
      <c r="FY230" s="319" t="s">
        <v>190</v>
      </c>
      <c r="FZ230" s="319" t="s">
        <v>190</v>
      </c>
      <c r="GA230" s="319" t="s">
        <v>190</v>
      </c>
      <c r="GB230" s="319" t="s">
        <v>190</v>
      </c>
      <c r="GC230" s="319" t="s">
        <v>190</v>
      </c>
      <c r="GD230" s="319" t="s">
        <v>190</v>
      </c>
      <c r="GE230" s="319" t="s">
        <v>190</v>
      </c>
      <c r="GF230" s="319" t="s">
        <v>190</v>
      </c>
      <c r="GG230" s="319" t="s">
        <v>190</v>
      </c>
      <c r="GH230" s="319" t="s">
        <v>190</v>
      </c>
      <c r="GI230" s="319" t="s">
        <v>190</v>
      </c>
      <c r="GJ230" s="319" t="s">
        <v>190</v>
      </c>
      <c r="GK230" s="319" t="s">
        <v>428</v>
      </c>
      <c r="GL230" s="319" t="s">
        <v>190</v>
      </c>
      <c r="GM230" s="319" t="s">
        <v>190</v>
      </c>
      <c r="GN230" s="319" t="s">
        <v>190</v>
      </c>
      <c r="GO230" s="319" t="s">
        <v>190</v>
      </c>
      <c r="GP230" s="319" t="s">
        <v>190</v>
      </c>
      <c r="GQ230" s="319" t="s">
        <v>428</v>
      </c>
      <c r="GR230" s="319" t="s">
        <v>190</v>
      </c>
      <c r="GS230" s="319" t="s">
        <v>190</v>
      </c>
      <c r="GT230" s="319" t="s">
        <v>428</v>
      </c>
      <c r="GU230" s="319" t="s">
        <v>428</v>
      </c>
      <c r="GV230" s="319" t="s">
        <v>190</v>
      </c>
      <c r="GW230" s="319" t="s">
        <v>190</v>
      </c>
      <c r="GX230" s="319" t="s">
        <v>190</v>
      </c>
      <c r="GY230" s="319" t="s">
        <v>190</v>
      </c>
      <c r="GZ230" s="319" t="s">
        <v>190</v>
      </c>
      <c r="HA230" s="319" t="s">
        <v>428</v>
      </c>
      <c r="HB230" s="319" t="s">
        <v>428</v>
      </c>
      <c r="HC230" s="319" t="s">
        <v>190</v>
      </c>
      <c r="HD230" s="319" t="s">
        <v>190</v>
      </c>
      <c r="HE230" s="319" t="s">
        <v>190</v>
      </c>
      <c r="HF230" s="319" t="s">
        <v>428</v>
      </c>
      <c r="HG230" s="319" t="s">
        <v>190</v>
      </c>
      <c r="HH230" s="319" t="s">
        <v>190</v>
      </c>
      <c r="HI230" s="319" t="s">
        <v>190</v>
      </c>
      <c r="HJ230" s="319" t="s">
        <v>190</v>
      </c>
      <c r="HK230" s="319" t="s">
        <v>190</v>
      </c>
      <c r="HL230" s="319" t="s">
        <v>428</v>
      </c>
      <c r="HM230" s="319" t="s">
        <v>428</v>
      </c>
      <c r="HN230" s="319" t="s">
        <v>428</v>
      </c>
      <c r="HO230" s="319" t="s">
        <v>428</v>
      </c>
      <c r="HP230" s="319" t="s">
        <v>190</v>
      </c>
      <c r="HQ230" s="319" t="s">
        <v>190</v>
      </c>
      <c r="HR230" s="319" t="s">
        <v>190</v>
      </c>
      <c r="HS230" s="319" t="s">
        <v>190</v>
      </c>
      <c r="HT230" s="319" t="s">
        <v>190</v>
      </c>
      <c r="HU230" s="319" t="s">
        <v>190</v>
      </c>
      <c r="HV230" s="319" t="s">
        <v>190</v>
      </c>
      <c r="HW230" s="319" t="s">
        <v>190</v>
      </c>
      <c r="HX230" s="319" t="s">
        <v>190</v>
      </c>
      <c r="HY230" s="319" t="s">
        <v>190</v>
      </c>
      <c r="HZ230" s="319" t="s">
        <v>190</v>
      </c>
      <c r="IA230" s="319" t="s">
        <v>190</v>
      </c>
      <c r="IB230" s="319" t="s">
        <v>190</v>
      </c>
      <c r="IC230" s="319" t="s">
        <v>190</v>
      </c>
      <c r="ID230" s="319" t="s">
        <v>190</v>
      </c>
      <c r="IE230" s="319" t="s">
        <v>190</v>
      </c>
      <c r="IF230" s="319" t="s">
        <v>190</v>
      </c>
      <c r="IG230" s="319" t="s">
        <v>190</v>
      </c>
      <c r="IH230" s="319" t="s">
        <v>190</v>
      </c>
      <c r="II230" s="319" t="s">
        <v>190</v>
      </c>
      <c r="IJ230" s="319">
        <v>10033528</v>
      </c>
      <c r="IK230" s="321">
        <v>43004</v>
      </c>
      <c r="IL230" s="321">
        <v>43006</v>
      </c>
      <c r="IM230" s="321">
        <v>43027</v>
      </c>
      <c r="IN230" s="319">
        <v>3</v>
      </c>
      <c r="IO230" s="319" t="s">
        <v>173</v>
      </c>
      <c r="IP230" s="319" t="s">
        <v>173</v>
      </c>
      <c r="IQ230" s="321" t="s">
        <v>173</v>
      </c>
      <c r="IR230" s="320" t="s">
        <v>173</v>
      </c>
      <c r="IS230" s="322" t="s">
        <v>173</v>
      </c>
      <c r="IT230" s="319" t="s">
        <v>173</v>
      </c>
    </row>
    <row r="231" spans="1:254" s="271" customFormat="1" x14ac:dyDescent="0.25">
      <c r="A231" s="318" t="str">
        <f>HYPERLINK("http://www.ofsted.gov.uk/inspection-reports/find-inspection-report/provider/ELS/122933 ","Ofsted School Webpage")</f>
        <v>Ofsted School Webpage</v>
      </c>
      <c r="B231" s="319">
        <v>122933</v>
      </c>
      <c r="C231" s="319">
        <v>8916015</v>
      </c>
      <c r="D231" s="319" t="s">
        <v>1534</v>
      </c>
      <c r="E231" s="319" t="s">
        <v>167</v>
      </c>
      <c r="F231" s="319" t="s">
        <v>81</v>
      </c>
      <c r="G231" s="319" t="s">
        <v>81</v>
      </c>
      <c r="H231" s="319" t="s">
        <v>81</v>
      </c>
      <c r="I231" s="319" t="s">
        <v>78</v>
      </c>
      <c r="J231" s="319" t="s">
        <v>424</v>
      </c>
      <c r="K231" s="319" t="s">
        <v>506</v>
      </c>
      <c r="L231" s="319" t="s">
        <v>506</v>
      </c>
      <c r="M231" s="319" t="s">
        <v>760</v>
      </c>
      <c r="N231" s="319" t="s">
        <v>3017</v>
      </c>
      <c r="O231" s="319" t="s">
        <v>1535</v>
      </c>
      <c r="P231" s="319">
        <v>135</v>
      </c>
      <c r="Q231" s="319" t="s">
        <v>2766</v>
      </c>
      <c r="R231" s="320">
        <v>10033529</v>
      </c>
      <c r="S231" s="321">
        <v>43046</v>
      </c>
      <c r="T231" s="321">
        <v>43048</v>
      </c>
      <c r="U231" s="321">
        <v>43080</v>
      </c>
      <c r="V231" s="319" t="s">
        <v>425</v>
      </c>
      <c r="W231" s="319" t="s">
        <v>2767</v>
      </c>
      <c r="X231" s="319">
        <v>2</v>
      </c>
      <c r="Y231" s="319" t="s">
        <v>173</v>
      </c>
      <c r="Z231" s="319" t="s">
        <v>173</v>
      </c>
      <c r="AA231" s="319" t="s">
        <v>173</v>
      </c>
      <c r="AB231" s="319">
        <v>2</v>
      </c>
      <c r="AC231" s="319" t="s">
        <v>169</v>
      </c>
      <c r="AD231" s="319">
        <v>2</v>
      </c>
      <c r="AE231" s="319" t="s">
        <v>173</v>
      </c>
      <c r="AF231" s="319" t="s">
        <v>173</v>
      </c>
      <c r="AG231" s="319" t="s">
        <v>171</v>
      </c>
      <c r="AH231" s="319" t="s">
        <v>190</v>
      </c>
      <c r="AI231" s="319" t="s">
        <v>190</v>
      </c>
      <c r="AJ231" s="319" t="s">
        <v>190</v>
      </c>
      <c r="AK231" s="319" t="s">
        <v>190</v>
      </c>
      <c r="AL231" s="319" t="s">
        <v>190</v>
      </c>
      <c r="AM231" s="319" t="s">
        <v>190</v>
      </c>
      <c r="AN231" s="319" t="s">
        <v>190</v>
      </c>
      <c r="AO231" s="319" t="s">
        <v>190</v>
      </c>
      <c r="AP231" s="319" t="s">
        <v>190</v>
      </c>
      <c r="AQ231" s="319" t="s">
        <v>190</v>
      </c>
      <c r="AR231" s="319" t="s">
        <v>190</v>
      </c>
      <c r="AS231" s="319" t="s">
        <v>190</v>
      </c>
      <c r="AT231" s="319" t="s">
        <v>190</v>
      </c>
      <c r="AU231" s="319" t="s">
        <v>190</v>
      </c>
      <c r="AV231" s="319" t="s">
        <v>190</v>
      </c>
      <c r="AW231" s="319" t="s">
        <v>190</v>
      </c>
      <c r="AX231" s="319" t="s">
        <v>429</v>
      </c>
      <c r="AY231" s="319" t="s">
        <v>190</v>
      </c>
      <c r="AZ231" s="319" t="s">
        <v>190</v>
      </c>
      <c r="BA231" s="319" t="s">
        <v>190</v>
      </c>
      <c r="BB231" s="319" t="s">
        <v>190</v>
      </c>
      <c r="BC231" s="319" t="s">
        <v>190</v>
      </c>
      <c r="BD231" s="319" t="s">
        <v>190</v>
      </c>
      <c r="BE231" s="319" t="s">
        <v>190</v>
      </c>
      <c r="BF231" s="319" t="s">
        <v>190</v>
      </c>
      <c r="BG231" s="319" t="s">
        <v>429</v>
      </c>
      <c r="BH231" s="319" t="s">
        <v>190</v>
      </c>
      <c r="BI231" s="319" t="s">
        <v>190</v>
      </c>
      <c r="BJ231" s="319" t="s">
        <v>190</v>
      </c>
      <c r="BK231" s="319" t="s">
        <v>190</v>
      </c>
      <c r="BL231" s="319" t="s">
        <v>190</v>
      </c>
      <c r="BM231" s="319" t="s">
        <v>190</v>
      </c>
      <c r="BN231" s="319" t="s">
        <v>190</v>
      </c>
      <c r="BO231" s="319" t="s">
        <v>190</v>
      </c>
      <c r="BP231" s="319" t="s">
        <v>190</v>
      </c>
      <c r="BQ231" s="319" t="s">
        <v>190</v>
      </c>
      <c r="BR231" s="319" t="s">
        <v>190</v>
      </c>
      <c r="BS231" s="319" t="s">
        <v>190</v>
      </c>
      <c r="BT231" s="319" t="s">
        <v>190</v>
      </c>
      <c r="BU231" s="319" t="s">
        <v>190</v>
      </c>
      <c r="BV231" s="319" t="s">
        <v>190</v>
      </c>
      <c r="BW231" s="319" t="s">
        <v>190</v>
      </c>
      <c r="BX231" s="319" t="s">
        <v>190</v>
      </c>
      <c r="BY231" s="319" t="s">
        <v>190</v>
      </c>
      <c r="BZ231" s="319" t="s">
        <v>190</v>
      </c>
      <c r="CA231" s="319" t="s">
        <v>190</v>
      </c>
      <c r="CB231" s="319" t="s">
        <v>190</v>
      </c>
      <c r="CC231" s="319" t="s">
        <v>190</v>
      </c>
      <c r="CD231" s="319" t="s">
        <v>190</v>
      </c>
      <c r="CE231" s="319" t="s">
        <v>190</v>
      </c>
      <c r="CF231" s="319" t="s">
        <v>190</v>
      </c>
      <c r="CG231" s="319" t="s">
        <v>190</v>
      </c>
      <c r="CH231" s="319" t="s">
        <v>190</v>
      </c>
      <c r="CI231" s="319" t="s">
        <v>190</v>
      </c>
      <c r="CJ231" s="319" t="s">
        <v>190</v>
      </c>
      <c r="CK231" s="319" t="s">
        <v>190</v>
      </c>
      <c r="CL231" s="319" t="s">
        <v>190</v>
      </c>
      <c r="CM231" s="319" t="s">
        <v>190</v>
      </c>
      <c r="CN231" s="319" t="s">
        <v>429</v>
      </c>
      <c r="CO231" s="319" t="s">
        <v>429</v>
      </c>
      <c r="CP231" s="319" t="s">
        <v>429</v>
      </c>
      <c r="CQ231" s="319" t="s">
        <v>190</v>
      </c>
      <c r="CR231" s="319" t="s">
        <v>190</v>
      </c>
      <c r="CS231" s="319" t="s">
        <v>190</v>
      </c>
      <c r="CT231" s="319" t="s">
        <v>190</v>
      </c>
      <c r="CU231" s="319" t="s">
        <v>190</v>
      </c>
      <c r="CV231" s="319" t="s">
        <v>190</v>
      </c>
      <c r="CW231" s="319" t="s">
        <v>190</v>
      </c>
      <c r="CX231" s="319" t="s">
        <v>190</v>
      </c>
      <c r="CY231" s="319" t="s">
        <v>190</v>
      </c>
      <c r="CZ231" s="319" t="s">
        <v>190</v>
      </c>
      <c r="DA231" s="319" t="s">
        <v>190</v>
      </c>
      <c r="DB231" s="319" t="s">
        <v>190</v>
      </c>
      <c r="DC231" s="319" t="s">
        <v>190</v>
      </c>
      <c r="DD231" s="319" t="s">
        <v>190</v>
      </c>
      <c r="DE231" s="319" t="s">
        <v>190</v>
      </c>
      <c r="DF231" s="319" t="s">
        <v>190</v>
      </c>
      <c r="DG231" s="319" t="s">
        <v>190</v>
      </c>
      <c r="DH231" s="319" t="s">
        <v>190</v>
      </c>
      <c r="DI231" s="319" t="s">
        <v>190</v>
      </c>
      <c r="DJ231" s="319" t="s">
        <v>190</v>
      </c>
      <c r="DK231" s="319" t="s">
        <v>190</v>
      </c>
      <c r="DL231" s="319" t="s">
        <v>190</v>
      </c>
      <c r="DM231" s="319" t="s">
        <v>190</v>
      </c>
      <c r="DN231" s="319" t="s">
        <v>429</v>
      </c>
      <c r="DO231" s="319" t="s">
        <v>190</v>
      </c>
      <c r="DP231" s="319" t="s">
        <v>429</v>
      </c>
      <c r="DQ231" s="319" t="s">
        <v>429</v>
      </c>
      <c r="DR231" s="319" t="s">
        <v>429</v>
      </c>
      <c r="DS231" s="319" t="s">
        <v>429</v>
      </c>
      <c r="DT231" s="319" t="s">
        <v>429</v>
      </c>
      <c r="DU231" s="319" t="s">
        <v>429</v>
      </c>
      <c r="DV231" s="319" t="s">
        <v>173</v>
      </c>
      <c r="DW231" s="319" t="s">
        <v>429</v>
      </c>
      <c r="DX231" s="319" t="s">
        <v>429</v>
      </c>
      <c r="DY231" s="319" t="s">
        <v>429</v>
      </c>
      <c r="DZ231" s="319" t="s">
        <v>429</v>
      </c>
      <c r="EA231" s="319" t="s">
        <v>429</v>
      </c>
      <c r="EB231" s="319" t="s">
        <v>429</v>
      </c>
      <c r="EC231" s="319" t="s">
        <v>429</v>
      </c>
      <c r="ED231" s="319" t="s">
        <v>190</v>
      </c>
      <c r="EE231" s="319" t="s">
        <v>429</v>
      </c>
      <c r="EF231" s="319" t="s">
        <v>429</v>
      </c>
      <c r="EG231" s="319" t="s">
        <v>429</v>
      </c>
      <c r="EH231" s="319" t="s">
        <v>429</v>
      </c>
      <c r="EI231" s="319" t="s">
        <v>429</v>
      </c>
      <c r="EJ231" s="319" t="s">
        <v>429</v>
      </c>
      <c r="EK231" s="319" t="s">
        <v>429</v>
      </c>
      <c r="EL231" s="319" t="s">
        <v>429</v>
      </c>
      <c r="EM231" s="319" t="s">
        <v>190</v>
      </c>
      <c r="EN231" s="319" t="s">
        <v>190</v>
      </c>
      <c r="EO231" s="319" t="s">
        <v>190</v>
      </c>
      <c r="EP231" s="319" t="s">
        <v>190</v>
      </c>
      <c r="EQ231" s="319" t="s">
        <v>190</v>
      </c>
      <c r="ER231" s="319" t="s">
        <v>190</v>
      </c>
      <c r="ES231" s="319" t="s">
        <v>190</v>
      </c>
      <c r="ET231" s="319" t="s">
        <v>190</v>
      </c>
      <c r="EU231" s="319" t="s">
        <v>190</v>
      </c>
      <c r="EV231" s="319" t="s">
        <v>190</v>
      </c>
      <c r="EW231" s="319" t="s">
        <v>190</v>
      </c>
      <c r="EX231" s="319" t="s">
        <v>190</v>
      </c>
      <c r="EY231" s="319" t="s">
        <v>190</v>
      </c>
      <c r="EZ231" s="319" t="s">
        <v>190</v>
      </c>
      <c r="FA231" s="319" t="s">
        <v>190</v>
      </c>
      <c r="FB231" s="319" t="s">
        <v>429</v>
      </c>
      <c r="FC231" s="319" t="s">
        <v>429</v>
      </c>
      <c r="FD231" s="319" t="s">
        <v>429</v>
      </c>
      <c r="FE231" s="319" t="s">
        <v>429</v>
      </c>
      <c r="FF231" s="319" t="s">
        <v>429</v>
      </c>
      <c r="FG231" s="319" t="s">
        <v>429</v>
      </c>
      <c r="FH231" s="319" t="s">
        <v>429</v>
      </c>
      <c r="FI231" s="319" t="s">
        <v>429</v>
      </c>
      <c r="FJ231" s="319" t="s">
        <v>429</v>
      </c>
      <c r="FK231" s="319" t="s">
        <v>429</v>
      </c>
      <c r="FL231" s="319" t="s">
        <v>190</v>
      </c>
      <c r="FM231" s="319" t="s">
        <v>190</v>
      </c>
      <c r="FN231" s="319" t="s">
        <v>190</v>
      </c>
      <c r="FO231" s="319" t="s">
        <v>190</v>
      </c>
      <c r="FP231" s="319" t="s">
        <v>190</v>
      </c>
      <c r="FQ231" s="319" t="s">
        <v>190</v>
      </c>
      <c r="FR231" s="319" t="s">
        <v>190</v>
      </c>
      <c r="FS231" s="319" t="s">
        <v>429</v>
      </c>
      <c r="FT231" s="319" t="s">
        <v>190</v>
      </c>
      <c r="FU231" s="319" t="s">
        <v>190</v>
      </c>
      <c r="FV231" s="319" t="s">
        <v>190</v>
      </c>
      <c r="FW231" s="319" t="s">
        <v>190</v>
      </c>
      <c r="FX231" s="319" t="s">
        <v>190</v>
      </c>
      <c r="FY231" s="319" t="s">
        <v>190</v>
      </c>
      <c r="FZ231" s="319" t="s">
        <v>190</v>
      </c>
      <c r="GA231" s="319" t="s">
        <v>190</v>
      </c>
      <c r="GB231" s="319" t="s">
        <v>190</v>
      </c>
      <c r="GC231" s="319" t="s">
        <v>190</v>
      </c>
      <c r="GD231" s="319" t="s">
        <v>190</v>
      </c>
      <c r="GE231" s="319" t="s">
        <v>190</v>
      </c>
      <c r="GF231" s="319" t="s">
        <v>190</v>
      </c>
      <c r="GG231" s="319" t="s">
        <v>190</v>
      </c>
      <c r="GH231" s="319" t="s">
        <v>190</v>
      </c>
      <c r="GI231" s="319" t="s">
        <v>190</v>
      </c>
      <c r="GJ231" s="319" t="s">
        <v>190</v>
      </c>
      <c r="GK231" s="319" t="s">
        <v>429</v>
      </c>
      <c r="GL231" s="319" t="s">
        <v>190</v>
      </c>
      <c r="GM231" s="319" t="s">
        <v>190</v>
      </c>
      <c r="GN231" s="319" t="s">
        <v>190</v>
      </c>
      <c r="GO231" s="319" t="s">
        <v>190</v>
      </c>
      <c r="GP231" s="319" t="s">
        <v>190</v>
      </c>
      <c r="GQ231" s="319" t="s">
        <v>429</v>
      </c>
      <c r="GR231" s="319" t="s">
        <v>190</v>
      </c>
      <c r="GS231" s="319" t="s">
        <v>190</v>
      </c>
      <c r="GT231" s="319" t="s">
        <v>190</v>
      </c>
      <c r="GU231" s="319" t="s">
        <v>429</v>
      </c>
      <c r="GV231" s="319" t="s">
        <v>429</v>
      </c>
      <c r="GW231" s="319" t="s">
        <v>190</v>
      </c>
      <c r="GX231" s="319" t="s">
        <v>190</v>
      </c>
      <c r="GY231" s="319" t="s">
        <v>190</v>
      </c>
      <c r="GZ231" s="319" t="s">
        <v>190</v>
      </c>
      <c r="HA231" s="319" t="s">
        <v>429</v>
      </c>
      <c r="HB231" s="319" t="s">
        <v>429</v>
      </c>
      <c r="HC231" s="319" t="s">
        <v>190</v>
      </c>
      <c r="HD231" s="319" t="s">
        <v>190</v>
      </c>
      <c r="HE231" s="319" t="s">
        <v>190</v>
      </c>
      <c r="HF231" s="319" t="s">
        <v>190</v>
      </c>
      <c r="HG231" s="319" t="s">
        <v>190</v>
      </c>
      <c r="HH231" s="319" t="s">
        <v>190</v>
      </c>
      <c r="HI231" s="319" t="s">
        <v>190</v>
      </c>
      <c r="HJ231" s="319" t="s">
        <v>190</v>
      </c>
      <c r="HK231" s="319" t="s">
        <v>190</v>
      </c>
      <c r="HL231" s="319" t="s">
        <v>429</v>
      </c>
      <c r="HM231" s="319" t="s">
        <v>429</v>
      </c>
      <c r="HN231" s="319" t="s">
        <v>429</v>
      </c>
      <c r="HO231" s="319" t="s">
        <v>429</v>
      </c>
      <c r="HP231" s="319" t="s">
        <v>190</v>
      </c>
      <c r="HQ231" s="319" t="s">
        <v>190</v>
      </c>
      <c r="HR231" s="319" t="s">
        <v>190</v>
      </c>
      <c r="HS231" s="319" t="s">
        <v>190</v>
      </c>
      <c r="HT231" s="319" t="s">
        <v>190</v>
      </c>
      <c r="HU231" s="319" t="s">
        <v>190</v>
      </c>
      <c r="HV231" s="319" t="s">
        <v>190</v>
      </c>
      <c r="HW231" s="319" t="s">
        <v>190</v>
      </c>
      <c r="HX231" s="319" t="s">
        <v>190</v>
      </c>
      <c r="HY231" s="319" t="s">
        <v>190</v>
      </c>
      <c r="HZ231" s="319" t="s">
        <v>190</v>
      </c>
      <c r="IA231" s="319" t="s">
        <v>190</v>
      </c>
      <c r="IB231" s="319" t="s">
        <v>190</v>
      </c>
      <c r="IC231" s="319" t="s">
        <v>190</v>
      </c>
      <c r="ID231" s="319" t="s">
        <v>190</v>
      </c>
      <c r="IE231" s="319" t="s">
        <v>190</v>
      </c>
      <c r="IF231" s="319" t="s">
        <v>190</v>
      </c>
      <c r="IG231" s="319" t="s">
        <v>190</v>
      </c>
      <c r="IH231" s="319" t="s">
        <v>190</v>
      </c>
      <c r="II231" s="319" t="s">
        <v>190</v>
      </c>
      <c r="IJ231" s="319" t="s">
        <v>3018</v>
      </c>
      <c r="IK231" s="321">
        <v>41828</v>
      </c>
      <c r="IL231" s="321">
        <v>41830</v>
      </c>
      <c r="IM231" s="321">
        <v>41893</v>
      </c>
      <c r="IN231" s="319">
        <v>2</v>
      </c>
      <c r="IO231" s="319" t="s">
        <v>173</v>
      </c>
      <c r="IP231" s="319" t="s">
        <v>173</v>
      </c>
      <c r="IQ231" s="319" t="s">
        <v>173</v>
      </c>
      <c r="IR231" s="320" t="s">
        <v>173</v>
      </c>
      <c r="IS231" s="320" t="s">
        <v>173</v>
      </c>
      <c r="IT231" s="319" t="s">
        <v>173</v>
      </c>
    </row>
    <row r="232" spans="1:254" s="271" customFormat="1" x14ac:dyDescent="0.25">
      <c r="A232" s="318" t="str">
        <f>HYPERLINK("http://www.ofsted.gov.uk/inspection-reports/find-inspection-report/provider/ELS/122941 ","Ofsted School Webpage")</f>
        <v>Ofsted School Webpage</v>
      </c>
      <c r="B232" s="319">
        <v>122941</v>
      </c>
      <c r="C232" s="319">
        <v>8926010</v>
      </c>
      <c r="D232" s="319" t="s">
        <v>739</v>
      </c>
      <c r="E232" s="319" t="s">
        <v>167</v>
      </c>
      <c r="F232" s="319" t="s">
        <v>81</v>
      </c>
      <c r="G232" s="319" t="s">
        <v>81</v>
      </c>
      <c r="H232" s="319" t="s">
        <v>81</v>
      </c>
      <c r="I232" s="319" t="s">
        <v>78</v>
      </c>
      <c r="J232" s="319" t="s">
        <v>424</v>
      </c>
      <c r="K232" s="319" t="s">
        <v>506</v>
      </c>
      <c r="L232" s="319" t="s">
        <v>506</v>
      </c>
      <c r="M232" s="319" t="s">
        <v>673</v>
      </c>
      <c r="N232" s="319" t="s">
        <v>3019</v>
      </c>
      <c r="O232" s="319" t="s">
        <v>740</v>
      </c>
      <c r="P232" s="319">
        <v>73</v>
      </c>
      <c r="Q232" s="319" t="s">
        <v>2766</v>
      </c>
      <c r="R232" s="320">
        <v>10085193</v>
      </c>
      <c r="S232" s="321">
        <v>43438</v>
      </c>
      <c r="T232" s="321">
        <v>43440</v>
      </c>
      <c r="U232" s="321">
        <v>43487</v>
      </c>
      <c r="V232" s="319" t="s">
        <v>425</v>
      </c>
      <c r="W232" s="319" t="s">
        <v>2767</v>
      </c>
      <c r="X232" s="319">
        <v>3</v>
      </c>
      <c r="Y232" s="319" t="s">
        <v>173</v>
      </c>
      <c r="Z232" s="319" t="s">
        <v>173</v>
      </c>
      <c r="AA232" s="319" t="s">
        <v>173</v>
      </c>
      <c r="AB232" s="319">
        <v>3</v>
      </c>
      <c r="AC232" s="319" t="s">
        <v>169</v>
      </c>
      <c r="AD232" s="319">
        <v>3</v>
      </c>
      <c r="AE232" s="319" t="s">
        <v>173</v>
      </c>
      <c r="AF232" s="319" t="s">
        <v>427</v>
      </c>
      <c r="AG232" s="319" t="s">
        <v>172</v>
      </c>
      <c r="AH232" s="319" t="s">
        <v>479</v>
      </c>
      <c r="AI232" s="319" t="s">
        <v>190</v>
      </c>
      <c r="AJ232" s="319" t="s">
        <v>190</v>
      </c>
      <c r="AK232" s="319" t="s">
        <v>190</v>
      </c>
      <c r="AL232" s="319" t="s">
        <v>190</v>
      </c>
      <c r="AM232" s="319" t="s">
        <v>190</v>
      </c>
      <c r="AN232" s="319" t="s">
        <v>190</v>
      </c>
      <c r="AO232" s="319" t="s">
        <v>479</v>
      </c>
      <c r="AP232" s="319" t="s">
        <v>190</v>
      </c>
      <c r="AQ232" s="319" t="s">
        <v>190</v>
      </c>
      <c r="AR232" s="319" t="s">
        <v>190</v>
      </c>
      <c r="AS232" s="319" t="s">
        <v>190</v>
      </c>
      <c r="AT232" s="319" t="s">
        <v>190</v>
      </c>
      <c r="AU232" s="319" t="s">
        <v>190</v>
      </c>
      <c r="AV232" s="319" t="s">
        <v>190</v>
      </c>
      <c r="AW232" s="319" t="s">
        <v>190</v>
      </c>
      <c r="AX232" s="319" t="s">
        <v>190</v>
      </c>
      <c r="AY232" s="319" t="s">
        <v>190</v>
      </c>
      <c r="AZ232" s="319" t="s">
        <v>190</v>
      </c>
      <c r="BA232" s="319" t="s">
        <v>190</v>
      </c>
      <c r="BB232" s="319" t="s">
        <v>428</v>
      </c>
      <c r="BC232" s="319" t="s">
        <v>428</v>
      </c>
      <c r="BD232" s="319" t="s">
        <v>428</v>
      </c>
      <c r="BE232" s="319" t="s">
        <v>428</v>
      </c>
      <c r="BF232" s="319" t="s">
        <v>428</v>
      </c>
      <c r="BG232" s="319" t="s">
        <v>428</v>
      </c>
      <c r="BH232" s="319" t="s">
        <v>190</v>
      </c>
      <c r="BI232" s="319" t="s">
        <v>190</v>
      </c>
      <c r="BJ232" s="319" t="s">
        <v>191</v>
      </c>
      <c r="BK232" s="319" t="s">
        <v>191</v>
      </c>
      <c r="BL232" s="319" t="s">
        <v>190</v>
      </c>
      <c r="BM232" s="319" t="s">
        <v>191</v>
      </c>
      <c r="BN232" s="319" t="s">
        <v>191</v>
      </c>
      <c r="BO232" s="319" t="s">
        <v>191</v>
      </c>
      <c r="BP232" s="319" t="s">
        <v>190</v>
      </c>
      <c r="BQ232" s="319" t="s">
        <v>191</v>
      </c>
      <c r="BR232" s="319" t="s">
        <v>190</v>
      </c>
      <c r="BS232" s="319" t="s">
        <v>190</v>
      </c>
      <c r="BT232" s="319" t="s">
        <v>190</v>
      </c>
      <c r="BU232" s="319" t="s">
        <v>191</v>
      </c>
      <c r="BV232" s="319" t="s">
        <v>190</v>
      </c>
      <c r="BW232" s="319" t="s">
        <v>190</v>
      </c>
      <c r="BX232" s="319" t="s">
        <v>190</v>
      </c>
      <c r="BY232" s="319" t="s">
        <v>190</v>
      </c>
      <c r="BZ232" s="319" t="s">
        <v>190</v>
      </c>
      <c r="CA232" s="319" t="s">
        <v>190</v>
      </c>
      <c r="CB232" s="319" t="s">
        <v>190</v>
      </c>
      <c r="CC232" s="319" t="s">
        <v>190</v>
      </c>
      <c r="CD232" s="319" t="s">
        <v>190</v>
      </c>
      <c r="CE232" s="319" t="s">
        <v>190</v>
      </c>
      <c r="CF232" s="319" t="s">
        <v>190</v>
      </c>
      <c r="CG232" s="319" t="s">
        <v>190</v>
      </c>
      <c r="CH232" s="319" t="s">
        <v>190</v>
      </c>
      <c r="CI232" s="319" t="s">
        <v>190</v>
      </c>
      <c r="CJ232" s="319" t="s">
        <v>190</v>
      </c>
      <c r="CK232" s="319" t="s">
        <v>190</v>
      </c>
      <c r="CL232" s="319" t="s">
        <v>190</v>
      </c>
      <c r="CM232" s="319" t="s">
        <v>190</v>
      </c>
      <c r="CN232" s="319" t="s">
        <v>428</v>
      </c>
      <c r="CO232" s="319" t="s">
        <v>428</v>
      </c>
      <c r="CP232" s="319" t="s">
        <v>428</v>
      </c>
      <c r="CQ232" s="319" t="s">
        <v>190</v>
      </c>
      <c r="CR232" s="319" t="s">
        <v>190</v>
      </c>
      <c r="CS232" s="319" t="s">
        <v>190</v>
      </c>
      <c r="CT232" s="319" t="s">
        <v>190</v>
      </c>
      <c r="CU232" s="319" t="s">
        <v>190</v>
      </c>
      <c r="CV232" s="319" t="s">
        <v>190</v>
      </c>
      <c r="CW232" s="319" t="s">
        <v>190</v>
      </c>
      <c r="CX232" s="319" t="s">
        <v>190</v>
      </c>
      <c r="CY232" s="319" t="s">
        <v>190</v>
      </c>
      <c r="CZ232" s="319" t="s">
        <v>190</v>
      </c>
      <c r="DA232" s="319" t="s">
        <v>190</v>
      </c>
      <c r="DB232" s="319" t="s">
        <v>190</v>
      </c>
      <c r="DC232" s="319" t="s">
        <v>190</v>
      </c>
      <c r="DD232" s="319" t="s">
        <v>190</v>
      </c>
      <c r="DE232" s="319" t="s">
        <v>190</v>
      </c>
      <c r="DF232" s="319" t="s">
        <v>190</v>
      </c>
      <c r="DG232" s="319" t="s">
        <v>190</v>
      </c>
      <c r="DH232" s="319" t="s">
        <v>190</v>
      </c>
      <c r="DI232" s="319" t="s">
        <v>190</v>
      </c>
      <c r="DJ232" s="319" t="s">
        <v>190</v>
      </c>
      <c r="DK232" s="319" t="s">
        <v>190</v>
      </c>
      <c r="DL232" s="319" t="s">
        <v>190</v>
      </c>
      <c r="DM232" s="319" t="s">
        <v>190</v>
      </c>
      <c r="DN232" s="319" t="s">
        <v>428</v>
      </c>
      <c r="DO232" s="319" t="s">
        <v>190</v>
      </c>
      <c r="DP232" s="319" t="s">
        <v>190</v>
      </c>
      <c r="DQ232" s="319" t="s">
        <v>190</v>
      </c>
      <c r="DR232" s="319" t="s">
        <v>190</v>
      </c>
      <c r="DS232" s="319" t="s">
        <v>190</v>
      </c>
      <c r="DT232" s="319" t="s">
        <v>190</v>
      </c>
      <c r="DU232" s="319" t="s">
        <v>190</v>
      </c>
      <c r="DV232" s="319" t="s">
        <v>173</v>
      </c>
      <c r="DW232" s="319" t="s">
        <v>190</v>
      </c>
      <c r="DX232" s="319" t="s">
        <v>190</v>
      </c>
      <c r="DY232" s="319" t="s">
        <v>190</v>
      </c>
      <c r="DZ232" s="319" t="s">
        <v>190</v>
      </c>
      <c r="EA232" s="319" t="s">
        <v>190</v>
      </c>
      <c r="EB232" s="319" t="s">
        <v>190</v>
      </c>
      <c r="EC232" s="319" t="s">
        <v>190</v>
      </c>
      <c r="ED232" s="319" t="s">
        <v>190</v>
      </c>
      <c r="EE232" s="319" t="s">
        <v>190</v>
      </c>
      <c r="EF232" s="319" t="s">
        <v>190</v>
      </c>
      <c r="EG232" s="319" t="s">
        <v>190</v>
      </c>
      <c r="EH232" s="319" t="s">
        <v>190</v>
      </c>
      <c r="EI232" s="319" t="s">
        <v>190</v>
      </c>
      <c r="EJ232" s="319" t="s">
        <v>190</v>
      </c>
      <c r="EK232" s="319" t="s">
        <v>190</v>
      </c>
      <c r="EL232" s="319" t="s">
        <v>190</v>
      </c>
      <c r="EM232" s="319" t="s">
        <v>190</v>
      </c>
      <c r="EN232" s="319" t="s">
        <v>190</v>
      </c>
      <c r="EO232" s="319" t="s">
        <v>190</v>
      </c>
      <c r="EP232" s="319" t="s">
        <v>190</v>
      </c>
      <c r="EQ232" s="319" t="s">
        <v>190</v>
      </c>
      <c r="ER232" s="319" t="s">
        <v>190</v>
      </c>
      <c r="ES232" s="319" t="s">
        <v>190</v>
      </c>
      <c r="ET232" s="319" t="s">
        <v>190</v>
      </c>
      <c r="EU232" s="319" t="s">
        <v>190</v>
      </c>
      <c r="EV232" s="319" t="s">
        <v>190</v>
      </c>
      <c r="EW232" s="319" t="s">
        <v>190</v>
      </c>
      <c r="EX232" s="319" t="s">
        <v>190</v>
      </c>
      <c r="EY232" s="319" t="s">
        <v>190</v>
      </c>
      <c r="EZ232" s="319" t="s">
        <v>190</v>
      </c>
      <c r="FA232" s="319" t="s">
        <v>190</v>
      </c>
      <c r="FB232" s="319" t="s">
        <v>190</v>
      </c>
      <c r="FC232" s="319" t="s">
        <v>190</v>
      </c>
      <c r="FD232" s="319" t="s">
        <v>190</v>
      </c>
      <c r="FE232" s="319" t="s">
        <v>190</v>
      </c>
      <c r="FF232" s="319" t="s">
        <v>190</v>
      </c>
      <c r="FG232" s="319" t="s">
        <v>190</v>
      </c>
      <c r="FH232" s="319" t="s">
        <v>190</v>
      </c>
      <c r="FI232" s="319" t="s">
        <v>190</v>
      </c>
      <c r="FJ232" s="319" t="s">
        <v>190</v>
      </c>
      <c r="FK232" s="319" t="s">
        <v>190</v>
      </c>
      <c r="FL232" s="319" t="s">
        <v>190</v>
      </c>
      <c r="FM232" s="319" t="s">
        <v>190</v>
      </c>
      <c r="FN232" s="319" t="s">
        <v>190</v>
      </c>
      <c r="FO232" s="319" t="s">
        <v>190</v>
      </c>
      <c r="FP232" s="319" t="s">
        <v>190</v>
      </c>
      <c r="FQ232" s="319" t="s">
        <v>190</v>
      </c>
      <c r="FR232" s="319" t="s">
        <v>190</v>
      </c>
      <c r="FS232" s="319" t="s">
        <v>428</v>
      </c>
      <c r="FT232" s="319" t="s">
        <v>190</v>
      </c>
      <c r="FU232" s="319" t="s">
        <v>190</v>
      </c>
      <c r="FV232" s="319" t="s">
        <v>190</v>
      </c>
      <c r="FW232" s="319" t="s">
        <v>190</v>
      </c>
      <c r="FX232" s="319" t="s">
        <v>190</v>
      </c>
      <c r="FY232" s="319" t="s">
        <v>190</v>
      </c>
      <c r="FZ232" s="319" t="s">
        <v>190</v>
      </c>
      <c r="GA232" s="319" t="s">
        <v>190</v>
      </c>
      <c r="GB232" s="319" t="s">
        <v>190</v>
      </c>
      <c r="GC232" s="319" t="s">
        <v>190</v>
      </c>
      <c r="GD232" s="319" t="s">
        <v>190</v>
      </c>
      <c r="GE232" s="319" t="s">
        <v>190</v>
      </c>
      <c r="GF232" s="319" t="s">
        <v>190</v>
      </c>
      <c r="GG232" s="319" t="s">
        <v>190</v>
      </c>
      <c r="GH232" s="319" t="s">
        <v>190</v>
      </c>
      <c r="GI232" s="319" t="s">
        <v>190</v>
      </c>
      <c r="GJ232" s="319" t="s">
        <v>190</v>
      </c>
      <c r="GK232" s="319" t="s">
        <v>428</v>
      </c>
      <c r="GL232" s="319" t="s">
        <v>190</v>
      </c>
      <c r="GM232" s="319" t="s">
        <v>190</v>
      </c>
      <c r="GN232" s="319" t="s">
        <v>190</v>
      </c>
      <c r="GO232" s="319" t="s">
        <v>190</v>
      </c>
      <c r="GP232" s="319" t="s">
        <v>190</v>
      </c>
      <c r="GQ232" s="319" t="s">
        <v>190</v>
      </c>
      <c r="GR232" s="319" t="s">
        <v>190</v>
      </c>
      <c r="GS232" s="319" t="s">
        <v>190</v>
      </c>
      <c r="GT232" s="319" t="s">
        <v>190</v>
      </c>
      <c r="GU232" s="319" t="s">
        <v>190</v>
      </c>
      <c r="GV232" s="319" t="s">
        <v>190</v>
      </c>
      <c r="GW232" s="319" t="s">
        <v>190</v>
      </c>
      <c r="GX232" s="319" t="s">
        <v>190</v>
      </c>
      <c r="GY232" s="319" t="s">
        <v>190</v>
      </c>
      <c r="GZ232" s="319" t="s">
        <v>190</v>
      </c>
      <c r="HA232" s="319" t="s">
        <v>190</v>
      </c>
      <c r="HB232" s="319" t="s">
        <v>190</v>
      </c>
      <c r="HC232" s="319" t="s">
        <v>190</v>
      </c>
      <c r="HD232" s="319" t="s">
        <v>190</v>
      </c>
      <c r="HE232" s="319" t="s">
        <v>190</v>
      </c>
      <c r="HF232" s="319" t="s">
        <v>190</v>
      </c>
      <c r="HG232" s="319" t="s">
        <v>190</v>
      </c>
      <c r="HH232" s="319" t="s">
        <v>190</v>
      </c>
      <c r="HI232" s="319" t="s">
        <v>191</v>
      </c>
      <c r="HJ232" s="319" t="s">
        <v>190</v>
      </c>
      <c r="HK232" s="319" t="s">
        <v>190</v>
      </c>
      <c r="HL232" s="319" t="s">
        <v>190</v>
      </c>
      <c r="HM232" s="319" t="s">
        <v>190</v>
      </c>
      <c r="HN232" s="319" t="s">
        <v>190</v>
      </c>
      <c r="HO232" s="319" t="s">
        <v>190</v>
      </c>
      <c r="HP232" s="319" t="s">
        <v>190</v>
      </c>
      <c r="HQ232" s="319" t="s">
        <v>190</v>
      </c>
      <c r="HR232" s="319" t="s">
        <v>190</v>
      </c>
      <c r="HS232" s="319" t="s">
        <v>190</v>
      </c>
      <c r="HT232" s="319" t="s">
        <v>190</v>
      </c>
      <c r="HU232" s="319" t="s">
        <v>190</v>
      </c>
      <c r="HV232" s="319" t="s">
        <v>190</v>
      </c>
      <c r="HW232" s="319" t="s">
        <v>190</v>
      </c>
      <c r="HX232" s="319" t="s">
        <v>190</v>
      </c>
      <c r="HY232" s="319" t="s">
        <v>190</v>
      </c>
      <c r="HZ232" s="319" t="s">
        <v>190</v>
      </c>
      <c r="IA232" s="319" t="s">
        <v>190</v>
      </c>
      <c r="IB232" s="319" t="s">
        <v>190</v>
      </c>
      <c r="IC232" s="319" t="s">
        <v>190</v>
      </c>
      <c r="ID232" s="319" t="s">
        <v>190</v>
      </c>
      <c r="IE232" s="319" t="s">
        <v>190</v>
      </c>
      <c r="IF232" s="319" t="s">
        <v>191</v>
      </c>
      <c r="IG232" s="319" t="s">
        <v>191</v>
      </c>
      <c r="IH232" s="319" t="s">
        <v>191</v>
      </c>
      <c r="II232" s="319" t="s">
        <v>190</v>
      </c>
      <c r="IJ232" s="319" t="s">
        <v>3020</v>
      </c>
      <c r="IK232" s="321">
        <v>39211</v>
      </c>
      <c r="IL232" s="321">
        <v>39212</v>
      </c>
      <c r="IM232" s="321">
        <v>39234</v>
      </c>
      <c r="IN232" s="319">
        <v>2</v>
      </c>
      <c r="IO232" s="319">
        <v>10107411</v>
      </c>
      <c r="IP232" s="319" t="s">
        <v>985</v>
      </c>
      <c r="IQ232" s="321">
        <v>43649</v>
      </c>
      <c r="IR232" s="320" t="s">
        <v>1223</v>
      </c>
      <c r="IS232" s="322">
        <v>43730</v>
      </c>
      <c r="IT232" s="319" t="s">
        <v>165</v>
      </c>
    </row>
    <row r="233" spans="1:254" s="271" customFormat="1" x14ac:dyDescent="0.25">
      <c r="A233" s="318" t="str">
        <f>HYPERLINK("http://www.ofsted.gov.uk/inspection-reports/find-inspection-report/provider/ELS/123326 ","Ofsted School Webpage")</f>
        <v>Ofsted School Webpage</v>
      </c>
      <c r="B233" s="319">
        <v>123326</v>
      </c>
      <c r="C233" s="319">
        <v>9316115</v>
      </c>
      <c r="D233" s="319" t="s">
        <v>1536</v>
      </c>
      <c r="E233" s="319" t="s">
        <v>168</v>
      </c>
      <c r="F233" s="319" t="s">
        <v>81</v>
      </c>
      <c r="G233" s="319" t="s">
        <v>81</v>
      </c>
      <c r="H233" s="319" t="s">
        <v>81</v>
      </c>
      <c r="I233" s="319" t="s">
        <v>78</v>
      </c>
      <c r="J233" s="319" t="s">
        <v>424</v>
      </c>
      <c r="K233" s="319" t="s">
        <v>514</v>
      </c>
      <c r="L233" s="319" t="s">
        <v>514</v>
      </c>
      <c r="M233" s="319" t="s">
        <v>1016</v>
      </c>
      <c r="N233" s="319" t="s">
        <v>3021</v>
      </c>
      <c r="O233" s="319" t="s">
        <v>1537</v>
      </c>
      <c r="P233" s="319">
        <v>26</v>
      </c>
      <c r="Q233" s="319" t="s">
        <v>429</v>
      </c>
      <c r="R233" s="320">
        <v>10039157</v>
      </c>
      <c r="S233" s="321">
        <v>43151</v>
      </c>
      <c r="T233" s="321">
        <v>43153</v>
      </c>
      <c r="U233" s="321">
        <v>43206</v>
      </c>
      <c r="V233" s="319" t="s">
        <v>425</v>
      </c>
      <c r="W233" s="319" t="s">
        <v>2767</v>
      </c>
      <c r="X233" s="319">
        <v>1</v>
      </c>
      <c r="Y233" s="319" t="s">
        <v>173</v>
      </c>
      <c r="Z233" s="319" t="s">
        <v>173</v>
      </c>
      <c r="AA233" s="319" t="s">
        <v>173</v>
      </c>
      <c r="AB233" s="319">
        <v>1</v>
      </c>
      <c r="AC233" s="319" t="s">
        <v>169</v>
      </c>
      <c r="AD233" s="319" t="s">
        <v>173</v>
      </c>
      <c r="AE233" s="319">
        <v>0</v>
      </c>
      <c r="AF233" s="319" t="s">
        <v>427</v>
      </c>
      <c r="AG233" s="319" t="s">
        <v>171</v>
      </c>
      <c r="AH233" s="319" t="s">
        <v>190</v>
      </c>
      <c r="AI233" s="319" t="s">
        <v>190</v>
      </c>
      <c r="AJ233" s="319" t="s">
        <v>190</v>
      </c>
      <c r="AK233" s="319" t="s">
        <v>190</v>
      </c>
      <c r="AL233" s="319" t="s">
        <v>190</v>
      </c>
      <c r="AM233" s="319" t="s">
        <v>190</v>
      </c>
      <c r="AN233" s="319" t="s">
        <v>190</v>
      </c>
      <c r="AO233" s="319" t="s">
        <v>190</v>
      </c>
      <c r="AP233" s="319" t="s">
        <v>190</v>
      </c>
      <c r="AQ233" s="319" t="s">
        <v>190</v>
      </c>
      <c r="AR233" s="319" t="s">
        <v>190</v>
      </c>
      <c r="AS233" s="319" t="s">
        <v>190</v>
      </c>
      <c r="AT233" s="319" t="s">
        <v>190</v>
      </c>
      <c r="AU233" s="319" t="s">
        <v>190</v>
      </c>
      <c r="AV233" s="319" t="s">
        <v>190</v>
      </c>
      <c r="AW233" s="319" t="s">
        <v>190</v>
      </c>
      <c r="AX233" s="319" t="s">
        <v>428</v>
      </c>
      <c r="AY233" s="319" t="s">
        <v>190</v>
      </c>
      <c r="AZ233" s="319" t="s">
        <v>190</v>
      </c>
      <c r="BA233" s="319" t="s">
        <v>190</v>
      </c>
      <c r="BB233" s="319" t="s">
        <v>190</v>
      </c>
      <c r="BC233" s="319" t="s">
        <v>190</v>
      </c>
      <c r="BD233" s="319" t="s">
        <v>190</v>
      </c>
      <c r="BE233" s="319" t="s">
        <v>190</v>
      </c>
      <c r="BF233" s="319" t="s">
        <v>428</v>
      </c>
      <c r="BG233" s="319" t="s">
        <v>190</v>
      </c>
      <c r="BH233" s="319" t="s">
        <v>190</v>
      </c>
      <c r="BI233" s="319" t="s">
        <v>190</v>
      </c>
      <c r="BJ233" s="319" t="s">
        <v>190</v>
      </c>
      <c r="BK233" s="319" t="s">
        <v>190</v>
      </c>
      <c r="BL233" s="319" t="s">
        <v>190</v>
      </c>
      <c r="BM233" s="319" t="s">
        <v>190</v>
      </c>
      <c r="BN233" s="319" t="s">
        <v>190</v>
      </c>
      <c r="BO233" s="319" t="s">
        <v>190</v>
      </c>
      <c r="BP233" s="319" t="s">
        <v>190</v>
      </c>
      <c r="BQ233" s="319" t="s">
        <v>190</v>
      </c>
      <c r="BR233" s="319" t="s">
        <v>190</v>
      </c>
      <c r="BS233" s="319" t="s">
        <v>190</v>
      </c>
      <c r="BT233" s="319" t="s">
        <v>190</v>
      </c>
      <c r="BU233" s="319" t="s">
        <v>190</v>
      </c>
      <c r="BV233" s="319" t="s">
        <v>190</v>
      </c>
      <c r="BW233" s="319" t="s">
        <v>190</v>
      </c>
      <c r="BX233" s="319" t="s">
        <v>190</v>
      </c>
      <c r="BY233" s="319" t="s">
        <v>190</v>
      </c>
      <c r="BZ233" s="319" t="s">
        <v>190</v>
      </c>
      <c r="CA233" s="319" t="s">
        <v>190</v>
      </c>
      <c r="CB233" s="319" t="s">
        <v>190</v>
      </c>
      <c r="CC233" s="319" t="s">
        <v>190</v>
      </c>
      <c r="CD233" s="319" t="s">
        <v>190</v>
      </c>
      <c r="CE233" s="319" t="s">
        <v>190</v>
      </c>
      <c r="CF233" s="319" t="s">
        <v>190</v>
      </c>
      <c r="CG233" s="319" t="s">
        <v>190</v>
      </c>
      <c r="CH233" s="319" t="s">
        <v>190</v>
      </c>
      <c r="CI233" s="319" t="s">
        <v>190</v>
      </c>
      <c r="CJ233" s="319" t="s">
        <v>190</v>
      </c>
      <c r="CK233" s="319" t="s">
        <v>190</v>
      </c>
      <c r="CL233" s="319" t="s">
        <v>190</v>
      </c>
      <c r="CM233" s="319" t="s">
        <v>190</v>
      </c>
      <c r="CN233" s="319" t="s">
        <v>428</v>
      </c>
      <c r="CO233" s="319" t="s">
        <v>428</v>
      </c>
      <c r="CP233" s="319" t="s">
        <v>428</v>
      </c>
      <c r="CQ233" s="319" t="s">
        <v>190</v>
      </c>
      <c r="CR233" s="319" t="s">
        <v>190</v>
      </c>
      <c r="CS233" s="319" t="s">
        <v>190</v>
      </c>
      <c r="CT233" s="319" t="s">
        <v>190</v>
      </c>
      <c r="CU233" s="319" t="s">
        <v>190</v>
      </c>
      <c r="CV233" s="319" t="s">
        <v>190</v>
      </c>
      <c r="CW233" s="319" t="s">
        <v>190</v>
      </c>
      <c r="CX233" s="319" t="s">
        <v>190</v>
      </c>
      <c r="CY233" s="319" t="s">
        <v>190</v>
      </c>
      <c r="CZ233" s="319" t="s">
        <v>190</v>
      </c>
      <c r="DA233" s="319" t="s">
        <v>190</v>
      </c>
      <c r="DB233" s="319" t="s">
        <v>190</v>
      </c>
      <c r="DC233" s="319" t="s">
        <v>190</v>
      </c>
      <c r="DD233" s="319" t="s">
        <v>190</v>
      </c>
      <c r="DE233" s="319" t="s">
        <v>190</v>
      </c>
      <c r="DF233" s="319" t="s">
        <v>190</v>
      </c>
      <c r="DG233" s="319" t="s">
        <v>190</v>
      </c>
      <c r="DH233" s="319" t="s">
        <v>190</v>
      </c>
      <c r="DI233" s="319" t="s">
        <v>190</v>
      </c>
      <c r="DJ233" s="319" t="s">
        <v>190</v>
      </c>
      <c r="DK233" s="319" t="s">
        <v>190</v>
      </c>
      <c r="DL233" s="319" t="s">
        <v>190</v>
      </c>
      <c r="DM233" s="319" t="s">
        <v>190</v>
      </c>
      <c r="DN233" s="319" t="s">
        <v>428</v>
      </c>
      <c r="DO233" s="319" t="s">
        <v>190</v>
      </c>
      <c r="DP233" s="319" t="s">
        <v>190</v>
      </c>
      <c r="DQ233" s="319" t="s">
        <v>190</v>
      </c>
      <c r="DR233" s="319" t="s">
        <v>190</v>
      </c>
      <c r="DS233" s="319" t="s">
        <v>190</v>
      </c>
      <c r="DT233" s="319" t="s">
        <v>190</v>
      </c>
      <c r="DU233" s="319" t="s">
        <v>190</v>
      </c>
      <c r="DV233" s="319" t="s">
        <v>173</v>
      </c>
      <c r="DW233" s="319" t="s">
        <v>190</v>
      </c>
      <c r="DX233" s="319" t="s">
        <v>190</v>
      </c>
      <c r="DY233" s="319" t="s">
        <v>190</v>
      </c>
      <c r="DZ233" s="319" t="s">
        <v>190</v>
      </c>
      <c r="EA233" s="319" t="s">
        <v>190</v>
      </c>
      <c r="EB233" s="319" t="s">
        <v>190</v>
      </c>
      <c r="EC233" s="319" t="s">
        <v>428</v>
      </c>
      <c r="ED233" s="319" t="s">
        <v>190</v>
      </c>
      <c r="EE233" s="319" t="s">
        <v>190</v>
      </c>
      <c r="EF233" s="319" t="s">
        <v>190</v>
      </c>
      <c r="EG233" s="319" t="s">
        <v>190</v>
      </c>
      <c r="EH233" s="319" t="s">
        <v>190</v>
      </c>
      <c r="EI233" s="319" t="s">
        <v>190</v>
      </c>
      <c r="EJ233" s="319" t="s">
        <v>190</v>
      </c>
      <c r="EK233" s="319" t="s">
        <v>190</v>
      </c>
      <c r="EL233" s="319" t="s">
        <v>190</v>
      </c>
      <c r="EM233" s="319" t="s">
        <v>190</v>
      </c>
      <c r="EN233" s="319" t="s">
        <v>190</v>
      </c>
      <c r="EO233" s="319" t="s">
        <v>190</v>
      </c>
      <c r="EP233" s="319" t="s">
        <v>190</v>
      </c>
      <c r="EQ233" s="319" t="s">
        <v>190</v>
      </c>
      <c r="ER233" s="319" t="s">
        <v>190</v>
      </c>
      <c r="ES233" s="319" t="s">
        <v>190</v>
      </c>
      <c r="ET233" s="319" t="s">
        <v>190</v>
      </c>
      <c r="EU233" s="319" t="s">
        <v>190</v>
      </c>
      <c r="EV233" s="319" t="s">
        <v>190</v>
      </c>
      <c r="EW233" s="319" t="s">
        <v>190</v>
      </c>
      <c r="EX233" s="319" t="s">
        <v>190</v>
      </c>
      <c r="EY233" s="319" t="s">
        <v>190</v>
      </c>
      <c r="EZ233" s="319" t="s">
        <v>190</v>
      </c>
      <c r="FA233" s="319" t="s">
        <v>190</v>
      </c>
      <c r="FB233" s="319" t="s">
        <v>190</v>
      </c>
      <c r="FC233" s="319" t="s">
        <v>190</v>
      </c>
      <c r="FD233" s="319" t="s">
        <v>190</v>
      </c>
      <c r="FE233" s="319" t="s">
        <v>190</v>
      </c>
      <c r="FF233" s="319" t="s">
        <v>190</v>
      </c>
      <c r="FG233" s="319" t="s">
        <v>190</v>
      </c>
      <c r="FH233" s="319" t="s">
        <v>190</v>
      </c>
      <c r="FI233" s="319" t="s">
        <v>190</v>
      </c>
      <c r="FJ233" s="319" t="s">
        <v>190</v>
      </c>
      <c r="FK233" s="319" t="s">
        <v>190</v>
      </c>
      <c r="FL233" s="319" t="s">
        <v>190</v>
      </c>
      <c r="FM233" s="319" t="s">
        <v>190</v>
      </c>
      <c r="FN233" s="319" t="s">
        <v>190</v>
      </c>
      <c r="FO233" s="319" t="s">
        <v>190</v>
      </c>
      <c r="FP233" s="319" t="s">
        <v>190</v>
      </c>
      <c r="FQ233" s="319" t="s">
        <v>190</v>
      </c>
      <c r="FR233" s="319" t="s">
        <v>190</v>
      </c>
      <c r="FS233" s="319" t="s">
        <v>428</v>
      </c>
      <c r="FT233" s="319" t="s">
        <v>190</v>
      </c>
      <c r="FU233" s="319" t="s">
        <v>190</v>
      </c>
      <c r="FV233" s="319" t="s">
        <v>190</v>
      </c>
      <c r="FW233" s="319" t="s">
        <v>190</v>
      </c>
      <c r="FX233" s="319" t="s">
        <v>190</v>
      </c>
      <c r="FY233" s="319" t="s">
        <v>190</v>
      </c>
      <c r="FZ233" s="319" t="s">
        <v>190</v>
      </c>
      <c r="GA233" s="319" t="s">
        <v>190</v>
      </c>
      <c r="GB233" s="319" t="s">
        <v>190</v>
      </c>
      <c r="GC233" s="319" t="s">
        <v>190</v>
      </c>
      <c r="GD233" s="319" t="s">
        <v>190</v>
      </c>
      <c r="GE233" s="319" t="s">
        <v>190</v>
      </c>
      <c r="GF233" s="319" t="s">
        <v>190</v>
      </c>
      <c r="GG233" s="319" t="s">
        <v>190</v>
      </c>
      <c r="GH233" s="319" t="s">
        <v>190</v>
      </c>
      <c r="GI233" s="319" t="s">
        <v>190</v>
      </c>
      <c r="GJ233" s="319" t="s">
        <v>190</v>
      </c>
      <c r="GK233" s="319" t="s">
        <v>428</v>
      </c>
      <c r="GL233" s="319" t="s">
        <v>190</v>
      </c>
      <c r="GM233" s="319" t="s">
        <v>190</v>
      </c>
      <c r="GN233" s="319" t="s">
        <v>190</v>
      </c>
      <c r="GO233" s="319" t="s">
        <v>190</v>
      </c>
      <c r="GP233" s="319" t="s">
        <v>190</v>
      </c>
      <c r="GQ233" s="319" t="s">
        <v>190</v>
      </c>
      <c r="GR233" s="319" t="s">
        <v>190</v>
      </c>
      <c r="GS233" s="319" t="s">
        <v>190</v>
      </c>
      <c r="GT233" s="319" t="s">
        <v>190</v>
      </c>
      <c r="GU233" s="319" t="s">
        <v>190</v>
      </c>
      <c r="GV233" s="319" t="s">
        <v>190</v>
      </c>
      <c r="GW233" s="319" t="s">
        <v>190</v>
      </c>
      <c r="GX233" s="319" t="s">
        <v>190</v>
      </c>
      <c r="GY233" s="319" t="s">
        <v>190</v>
      </c>
      <c r="GZ233" s="319" t="s">
        <v>428</v>
      </c>
      <c r="HA233" s="319" t="s">
        <v>190</v>
      </c>
      <c r="HB233" s="319" t="s">
        <v>190</v>
      </c>
      <c r="HC233" s="319" t="s">
        <v>190</v>
      </c>
      <c r="HD233" s="319" t="s">
        <v>190</v>
      </c>
      <c r="HE233" s="319" t="s">
        <v>190</v>
      </c>
      <c r="HF233" s="319" t="s">
        <v>190</v>
      </c>
      <c r="HG233" s="319" t="s">
        <v>190</v>
      </c>
      <c r="HH233" s="319" t="s">
        <v>190</v>
      </c>
      <c r="HI233" s="319" t="s">
        <v>190</v>
      </c>
      <c r="HJ233" s="319" t="s">
        <v>190</v>
      </c>
      <c r="HK233" s="319" t="s">
        <v>190</v>
      </c>
      <c r="HL233" s="319" t="s">
        <v>190</v>
      </c>
      <c r="HM233" s="319" t="s">
        <v>190</v>
      </c>
      <c r="HN233" s="319" t="s">
        <v>190</v>
      </c>
      <c r="HO233" s="319" t="s">
        <v>190</v>
      </c>
      <c r="HP233" s="319" t="s">
        <v>190</v>
      </c>
      <c r="HQ233" s="319" t="s">
        <v>190</v>
      </c>
      <c r="HR233" s="319" t="s">
        <v>190</v>
      </c>
      <c r="HS233" s="319" t="s">
        <v>190</v>
      </c>
      <c r="HT233" s="319" t="s">
        <v>190</v>
      </c>
      <c r="HU233" s="319" t="s">
        <v>190</v>
      </c>
      <c r="HV233" s="319" t="s">
        <v>190</v>
      </c>
      <c r="HW233" s="319" t="s">
        <v>190</v>
      </c>
      <c r="HX233" s="319" t="s">
        <v>190</v>
      </c>
      <c r="HY233" s="319" t="s">
        <v>190</v>
      </c>
      <c r="HZ233" s="319" t="s">
        <v>190</v>
      </c>
      <c r="IA233" s="319" t="s">
        <v>190</v>
      </c>
      <c r="IB233" s="319" t="s">
        <v>190</v>
      </c>
      <c r="IC233" s="319" t="s">
        <v>190</v>
      </c>
      <c r="ID233" s="319" t="s">
        <v>190</v>
      </c>
      <c r="IE233" s="319" t="s">
        <v>190</v>
      </c>
      <c r="IF233" s="319" t="s">
        <v>190</v>
      </c>
      <c r="IG233" s="319" t="s">
        <v>190</v>
      </c>
      <c r="IH233" s="319" t="s">
        <v>190</v>
      </c>
      <c r="II233" s="319" t="s">
        <v>190</v>
      </c>
      <c r="IJ233" s="319" t="s">
        <v>3022</v>
      </c>
      <c r="IK233" s="321">
        <v>41933</v>
      </c>
      <c r="IL233" s="321">
        <v>41935</v>
      </c>
      <c r="IM233" s="321">
        <v>41967</v>
      </c>
      <c r="IN233" s="319">
        <v>2</v>
      </c>
      <c r="IO233" s="319" t="s">
        <v>173</v>
      </c>
      <c r="IP233" s="319" t="s">
        <v>173</v>
      </c>
      <c r="IQ233" s="319" t="s">
        <v>173</v>
      </c>
      <c r="IR233" s="320" t="s">
        <v>173</v>
      </c>
      <c r="IS233" s="320" t="s">
        <v>173</v>
      </c>
      <c r="IT233" s="319" t="s">
        <v>173</v>
      </c>
    </row>
    <row r="234" spans="1:254" s="271" customFormat="1" x14ac:dyDescent="0.25">
      <c r="A234" s="318" t="str">
        <f>HYPERLINK("http://www.ofsted.gov.uk/inspection-reports/find-inspection-report/provider/ELS/123615 ","Ofsted School Webpage")</f>
        <v>Ofsted School Webpage</v>
      </c>
      <c r="B234" s="319">
        <v>123615</v>
      </c>
      <c r="C234" s="319">
        <v>8936013</v>
      </c>
      <c r="D234" s="319" t="s">
        <v>1538</v>
      </c>
      <c r="E234" s="319" t="s">
        <v>167</v>
      </c>
      <c r="F234" s="319" t="s">
        <v>81</v>
      </c>
      <c r="G234" s="319" t="s">
        <v>81</v>
      </c>
      <c r="H234" s="319" t="s">
        <v>81</v>
      </c>
      <c r="I234" s="319" t="s">
        <v>78</v>
      </c>
      <c r="J234" s="319" t="s">
        <v>424</v>
      </c>
      <c r="K234" s="319" t="s">
        <v>437</v>
      </c>
      <c r="L234" s="319" t="s">
        <v>437</v>
      </c>
      <c r="M234" s="319" t="s">
        <v>587</v>
      </c>
      <c r="N234" s="319" t="s">
        <v>3023</v>
      </c>
      <c r="O234" s="319" t="s">
        <v>1539</v>
      </c>
      <c r="P234" s="319">
        <v>103</v>
      </c>
      <c r="Q234" s="319" t="s">
        <v>2766</v>
      </c>
      <c r="R234" s="320">
        <v>10033562</v>
      </c>
      <c r="S234" s="321">
        <v>42871</v>
      </c>
      <c r="T234" s="321">
        <v>42873</v>
      </c>
      <c r="U234" s="321">
        <v>42906</v>
      </c>
      <c r="V234" s="319" t="s">
        <v>425</v>
      </c>
      <c r="W234" s="319" t="s">
        <v>2767</v>
      </c>
      <c r="X234" s="319">
        <v>2</v>
      </c>
      <c r="Y234" s="319" t="s">
        <v>173</v>
      </c>
      <c r="Z234" s="319" t="s">
        <v>173</v>
      </c>
      <c r="AA234" s="319" t="s">
        <v>173</v>
      </c>
      <c r="AB234" s="319">
        <v>2</v>
      </c>
      <c r="AC234" s="319" t="s">
        <v>169</v>
      </c>
      <c r="AD234" s="319">
        <v>2</v>
      </c>
      <c r="AE234" s="319" t="s">
        <v>173</v>
      </c>
      <c r="AF234" s="319" t="s">
        <v>173</v>
      </c>
      <c r="AG234" s="319" t="s">
        <v>171</v>
      </c>
      <c r="AH234" s="319" t="s">
        <v>190</v>
      </c>
      <c r="AI234" s="319" t="s">
        <v>190</v>
      </c>
      <c r="AJ234" s="319" t="s">
        <v>190</v>
      </c>
      <c r="AK234" s="319" t="s">
        <v>190</v>
      </c>
      <c r="AL234" s="319" t="s">
        <v>190</v>
      </c>
      <c r="AM234" s="319" t="s">
        <v>190</v>
      </c>
      <c r="AN234" s="319" t="s">
        <v>190</v>
      </c>
      <c r="AO234" s="319" t="s">
        <v>190</v>
      </c>
      <c r="AP234" s="319" t="s">
        <v>190</v>
      </c>
      <c r="AQ234" s="319" t="s">
        <v>190</v>
      </c>
      <c r="AR234" s="319" t="s">
        <v>190</v>
      </c>
      <c r="AS234" s="319" t="s">
        <v>190</v>
      </c>
      <c r="AT234" s="319" t="s">
        <v>190</v>
      </c>
      <c r="AU234" s="319" t="s">
        <v>190</v>
      </c>
      <c r="AV234" s="319" t="s">
        <v>190</v>
      </c>
      <c r="AW234" s="319" t="s">
        <v>190</v>
      </c>
      <c r="AX234" s="319" t="s">
        <v>429</v>
      </c>
      <c r="AY234" s="319" t="s">
        <v>190</v>
      </c>
      <c r="AZ234" s="319" t="s">
        <v>190</v>
      </c>
      <c r="BA234" s="319" t="s">
        <v>190</v>
      </c>
      <c r="BB234" s="319" t="s">
        <v>429</v>
      </c>
      <c r="BC234" s="319" t="s">
        <v>429</v>
      </c>
      <c r="BD234" s="319" t="s">
        <v>429</v>
      </c>
      <c r="BE234" s="319" t="s">
        <v>429</v>
      </c>
      <c r="BF234" s="319" t="s">
        <v>190</v>
      </c>
      <c r="BG234" s="319" t="s">
        <v>190</v>
      </c>
      <c r="BH234" s="319" t="s">
        <v>190</v>
      </c>
      <c r="BI234" s="319" t="s">
        <v>190</v>
      </c>
      <c r="BJ234" s="319" t="s">
        <v>190</v>
      </c>
      <c r="BK234" s="319" t="s">
        <v>190</v>
      </c>
      <c r="BL234" s="319" t="s">
        <v>190</v>
      </c>
      <c r="BM234" s="319" t="s">
        <v>190</v>
      </c>
      <c r="BN234" s="319" t="s">
        <v>190</v>
      </c>
      <c r="BO234" s="319" t="s">
        <v>190</v>
      </c>
      <c r="BP234" s="319" t="s">
        <v>190</v>
      </c>
      <c r="BQ234" s="319" t="s">
        <v>190</v>
      </c>
      <c r="BR234" s="319" t="s">
        <v>190</v>
      </c>
      <c r="BS234" s="319" t="s">
        <v>190</v>
      </c>
      <c r="BT234" s="319" t="s">
        <v>190</v>
      </c>
      <c r="BU234" s="319" t="s">
        <v>190</v>
      </c>
      <c r="BV234" s="319" t="s">
        <v>190</v>
      </c>
      <c r="BW234" s="319" t="s">
        <v>190</v>
      </c>
      <c r="BX234" s="319" t="s">
        <v>190</v>
      </c>
      <c r="BY234" s="319" t="s">
        <v>190</v>
      </c>
      <c r="BZ234" s="319" t="s">
        <v>190</v>
      </c>
      <c r="CA234" s="319" t="s">
        <v>190</v>
      </c>
      <c r="CB234" s="319" t="s">
        <v>190</v>
      </c>
      <c r="CC234" s="319" t="s">
        <v>190</v>
      </c>
      <c r="CD234" s="319" t="s">
        <v>190</v>
      </c>
      <c r="CE234" s="319" t="s">
        <v>190</v>
      </c>
      <c r="CF234" s="319" t="s">
        <v>190</v>
      </c>
      <c r="CG234" s="319" t="s">
        <v>190</v>
      </c>
      <c r="CH234" s="319" t="s">
        <v>190</v>
      </c>
      <c r="CI234" s="319" t="s">
        <v>190</v>
      </c>
      <c r="CJ234" s="319" t="s">
        <v>190</v>
      </c>
      <c r="CK234" s="319" t="s">
        <v>190</v>
      </c>
      <c r="CL234" s="319" t="s">
        <v>190</v>
      </c>
      <c r="CM234" s="319" t="s">
        <v>190</v>
      </c>
      <c r="CN234" s="319" t="s">
        <v>190</v>
      </c>
      <c r="CO234" s="319" t="s">
        <v>190</v>
      </c>
      <c r="CP234" s="319" t="s">
        <v>429</v>
      </c>
      <c r="CQ234" s="319" t="s">
        <v>190</v>
      </c>
      <c r="CR234" s="319" t="s">
        <v>190</v>
      </c>
      <c r="CS234" s="319" t="s">
        <v>190</v>
      </c>
      <c r="CT234" s="319" t="s">
        <v>190</v>
      </c>
      <c r="CU234" s="319" t="s">
        <v>190</v>
      </c>
      <c r="CV234" s="319" t="s">
        <v>190</v>
      </c>
      <c r="CW234" s="319" t="s">
        <v>190</v>
      </c>
      <c r="CX234" s="319" t="s">
        <v>190</v>
      </c>
      <c r="CY234" s="319" t="s">
        <v>190</v>
      </c>
      <c r="CZ234" s="319" t="s">
        <v>190</v>
      </c>
      <c r="DA234" s="319" t="s">
        <v>190</v>
      </c>
      <c r="DB234" s="319" t="s">
        <v>190</v>
      </c>
      <c r="DC234" s="319" t="s">
        <v>190</v>
      </c>
      <c r="DD234" s="319" t="s">
        <v>190</v>
      </c>
      <c r="DE234" s="319" t="s">
        <v>190</v>
      </c>
      <c r="DF234" s="319" t="s">
        <v>190</v>
      </c>
      <c r="DG234" s="319" t="s">
        <v>190</v>
      </c>
      <c r="DH234" s="319" t="s">
        <v>190</v>
      </c>
      <c r="DI234" s="319" t="s">
        <v>190</v>
      </c>
      <c r="DJ234" s="319" t="s">
        <v>190</v>
      </c>
      <c r="DK234" s="319" t="s">
        <v>190</v>
      </c>
      <c r="DL234" s="319" t="s">
        <v>190</v>
      </c>
      <c r="DM234" s="319" t="s">
        <v>190</v>
      </c>
      <c r="DN234" s="319" t="s">
        <v>429</v>
      </c>
      <c r="DO234" s="319" t="s">
        <v>429</v>
      </c>
      <c r="DP234" s="319" t="s">
        <v>190</v>
      </c>
      <c r="DQ234" s="319" t="s">
        <v>190</v>
      </c>
      <c r="DR234" s="319" t="s">
        <v>190</v>
      </c>
      <c r="DS234" s="319" t="s">
        <v>190</v>
      </c>
      <c r="DT234" s="319" t="s">
        <v>190</v>
      </c>
      <c r="DU234" s="319" t="s">
        <v>190</v>
      </c>
      <c r="DV234" s="319" t="s">
        <v>173</v>
      </c>
      <c r="DW234" s="319" t="s">
        <v>190</v>
      </c>
      <c r="DX234" s="319" t="s">
        <v>190</v>
      </c>
      <c r="DY234" s="319" t="s">
        <v>190</v>
      </c>
      <c r="DZ234" s="319" t="s">
        <v>190</v>
      </c>
      <c r="EA234" s="319" t="s">
        <v>190</v>
      </c>
      <c r="EB234" s="319" t="s">
        <v>190</v>
      </c>
      <c r="EC234" s="319" t="s">
        <v>190</v>
      </c>
      <c r="ED234" s="319" t="s">
        <v>190</v>
      </c>
      <c r="EE234" s="319" t="s">
        <v>190</v>
      </c>
      <c r="EF234" s="319" t="s">
        <v>190</v>
      </c>
      <c r="EG234" s="319" t="s">
        <v>190</v>
      </c>
      <c r="EH234" s="319" t="s">
        <v>190</v>
      </c>
      <c r="EI234" s="319" t="s">
        <v>190</v>
      </c>
      <c r="EJ234" s="319" t="s">
        <v>190</v>
      </c>
      <c r="EK234" s="319" t="s">
        <v>190</v>
      </c>
      <c r="EL234" s="319" t="s">
        <v>190</v>
      </c>
      <c r="EM234" s="319" t="s">
        <v>190</v>
      </c>
      <c r="EN234" s="319" t="s">
        <v>429</v>
      </c>
      <c r="EO234" s="319" t="s">
        <v>190</v>
      </c>
      <c r="EP234" s="319" t="s">
        <v>190</v>
      </c>
      <c r="EQ234" s="319" t="s">
        <v>190</v>
      </c>
      <c r="ER234" s="319" t="s">
        <v>190</v>
      </c>
      <c r="ES234" s="319" t="s">
        <v>190</v>
      </c>
      <c r="ET234" s="319" t="s">
        <v>190</v>
      </c>
      <c r="EU234" s="319" t="s">
        <v>190</v>
      </c>
      <c r="EV234" s="319" t="s">
        <v>190</v>
      </c>
      <c r="EW234" s="319" t="s">
        <v>190</v>
      </c>
      <c r="EX234" s="319" t="s">
        <v>190</v>
      </c>
      <c r="EY234" s="319" t="s">
        <v>190</v>
      </c>
      <c r="EZ234" s="319" t="s">
        <v>190</v>
      </c>
      <c r="FA234" s="319" t="s">
        <v>190</v>
      </c>
      <c r="FB234" s="319" t="s">
        <v>190</v>
      </c>
      <c r="FC234" s="319" t="s">
        <v>190</v>
      </c>
      <c r="FD234" s="319" t="s">
        <v>190</v>
      </c>
      <c r="FE234" s="319" t="s">
        <v>190</v>
      </c>
      <c r="FF234" s="319" t="s">
        <v>190</v>
      </c>
      <c r="FG234" s="319" t="s">
        <v>190</v>
      </c>
      <c r="FH234" s="319" t="s">
        <v>190</v>
      </c>
      <c r="FI234" s="319" t="s">
        <v>190</v>
      </c>
      <c r="FJ234" s="319" t="s">
        <v>190</v>
      </c>
      <c r="FK234" s="319" t="s">
        <v>190</v>
      </c>
      <c r="FL234" s="319" t="s">
        <v>190</v>
      </c>
      <c r="FM234" s="319" t="s">
        <v>190</v>
      </c>
      <c r="FN234" s="319" t="s">
        <v>190</v>
      </c>
      <c r="FO234" s="319" t="s">
        <v>429</v>
      </c>
      <c r="FP234" s="319" t="s">
        <v>190</v>
      </c>
      <c r="FQ234" s="319" t="s">
        <v>190</v>
      </c>
      <c r="FR234" s="319" t="s">
        <v>190</v>
      </c>
      <c r="FS234" s="319" t="s">
        <v>429</v>
      </c>
      <c r="FT234" s="319" t="s">
        <v>190</v>
      </c>
      <c r="FU234" s="319" t="s">
        <v>190</v>
      </c>
      <c r="FV234" s="319" t="s">
        <v>190</v>
      </c>
      <c r="FW234" s="319" t="s">
        <v>190</v>
      </c>
      <c r="FX234" s="319" t="s">
        <v>190</v>
      </c>
      <c r="FY234" s="319" t="s">
        <v>190</v>
      </c>
      <c r="FZ234" s="319" t="s">
        <v>190</v>
      </c>
      <c r="GA234" s="319" t="s">
        <v>190</v>
      </c>
      <c r="GB234" s="319" t="s">
        <v>190</v>
      </c>
      <c r="GC234" s="319" t="s">
        <v>190</v>
      </c>
      <c r="GD234" s="319" t="s">
        <v>190</v>
      </c>
      <c r="GE234" s="319" t="s">
        <v>190</v>
      </c>
      <c r="GF234" s="319" t="s">
        <v>190</v>
      </c>
      <c r="GG234" s="319" t="s">
        <v>190</v>
      </c>
      <c r="GH234" s="319" t="s">
        <v>190</v>
      </c>
      <c r="GI234" s="319" t="s">
        <v>190</v>
      </c>
      <c r="GJ234" s="319" t="s">
        <v>190</v>
      </c>
      <c r="GK234" s="319" t="s">
        <v>429</v>
      </c>
      <c r="GL234" s="319" t="s">
        <v>190</v>
      </c>
      <c r="GM234" s="319" t="s">
        <v>190</v>
      </c>
      <c r="GN234" s="319" t="s">
        <v>190</v>
      </c>
      <c r="GO234" s="319" t="s">
        <v>190</v>
      </c>
      <c r="GP234" s="319" t="s">
        <v>190</v>
      </c>
      <c r="GQ234" s="319" t="s">
        <v>190</v>
      </c>
      <c r="GR234" s="319" t="s">
        <v>190</v>
      </c>
      <c r="GS234" s="319" t="s">
        <v>190</v>
      </c>
      <c r="GT234" s="319" t="s">
        <v>429</v>
      </c>
      <c r="GU234" s="319" t="s">
        <v>429</v>
      </c>
      <c r="GV234" s="319" t="s">
        <v>190</v>
      </c>
      <c r="GW234" s="319" t="s">
        <v>190</v>
      </c>
      <c r="GX234" s="319" t="s">
        <v>190</v>
      </c>
      <c r="GY234" s="319" t="s">
        <v>190</v>
      </c>
      <c r="GZ234" s="319" t="s">
        <v>190</v>
      </c>
      <c r="HA234" s="319" t="s">
        <v>190</v>
      </c>
      <c r="HB234" s="319" t="s">
        <v>190</v>
      </c>
      <c r="HC234" s="319" t="s">
        <v>190</v>
      </c>
      <c r="HD234" s="319" t="s">
        <v>190</v>
      </c>
      <c r="HE234" s="319" t="s">
        <v>190</v>
      </c>
      <c r="HF234" s="319" t="s">
        <v>190</v>
      </c>
      <c r="HG234" s="319" t="s">
        <v>190</v>
      </c>
      <c r="HH234" s="319" t="s">
        <v>190</v>
      </c>
      <c r="HI234" s="319" t="s">
        <v>190</v>
      </c>
      <c r="HJ234" s="319" t="s">
        <v>190</v>
      </c>
      <c r="HK234" s="319" t="s">
        <v>190</v>
      </c>
      <c r="HL234" s="319" t="s">
        <v>190</v>
      </c>
      <c r="HM234" s="319" t="s">
        <v>190</v>
      </c>
      <c r="HN234" s="319" t="s">
        <v>190</v>
      </c>
      <c r="HO234" s="319" t="s">
        <v>190</v>
      </c>
      <c r="HP234" s="319" t="s">
        <v>190</v>
      </c>
      <c r="HQ234" s="319" t="s">
        <v>190</v>
      </c>
      <c r="HR234" s="319" t="s">
        <v>190</v>
      </c>
      <c r="HS234" s="319" t="s">
        <v>190</v>
      </c>
      <c r="HT234" s="319" t="s">
        <v>190</v>
      </c>
      <c r="HU234" s="319" t="s">
        <v>190</v>
      </c>
      <c r="HV234" s="319" t="s">
        <v>190</v>
      </c>
      <c r="HW234" s="319" t="s">
        <v>190</v>
      </c>
      <c r="HX234" s="319" t="s">
        <v>190</v>
      </c>
      <c r="HY234" s="319" t="s">
        <v>190</v>
      </c>
      <c r="HZ234" s="319" t="s">
        <v>190</v>
      </c>
      <c r="IA234" s="319" t="s">
        <v>190</v>
      </c>
      <c r="IB234" s="319" t="s">
        <v>190</v>
      </c>
      <c r="IC234" s="319" t="s">
        <v>190</v>
      </c>
      <c r="ID234" s="319" t="s">
        <v>190</v>
      </c>
      <c r="IE234" s="319" t="s">
        <v>190</v>
      </c>
      <c r="IF234" s="319" t="s">
        <v>190</v>
      </c>
      <c r="IG234" s="319" t="s">
        <v>190</v>
      </c>
      <c r="IH234" s="319" t="s">
        <v>190</v>
      </c>
      <c r="II234" s="319" t="s">
        <v>190</v>
      </c>
      <c r="IJ234" s="319" t="s">
        <v>3024</v>
      </c>
      <c r="IK234" s="321">
        <v>41822</v>
      </c>
      <c r="IL234" s="321">
        <v>41824</v>
      </c>
      <c r="IM234" s="321">
        <v>41897</v>
      </c>
      <c r="IN234" s="319">
        <v>2</v>
      </c>
      <c r="IO234" s="319" t="s">
        <v>173</v>
      </c>
      <c r="IP234" s="319" t="s">
        <v>173</v>
      </c>
      <c r="IQ234" s="319" t="s">
        <v>173</v>
      </c>
      <c r="IR234" s="320" t="s">
        <v>173</v>
      </c>
      <c r="IS234" s="320" t="s">
        <v>173</v>
      </c>
      <c r="IT234" s="319" t="s">
        <v>173</v>
      </c>
    </row>
    <row r="235" spans="1:254" s="271" customFormat="1" x14ac:dyDescent="0.25">
      <c r="A235" s="318" t="str">
        <f>HYPERLINK("http://www.ofsted.gov.uk/inspection-reports/find-inspection-report/provider/ELS/123619 ","Ofsted School Webpage")</f>
        <v>Ofsted School Webpage</v>
      </c>
      <c r="B235" s="319">
        <v>123619</v>
      </c>
      <c r="C235" s="319">
        <v>8936017</v>
      </c>
      <c r="D235" s="319" t="s">
        <v>3025</v>
      </c>
      <c r="E235" s="319" t="s">
        <v>168</v>
      </c>
      <c r="F235" s="319" t="s">
        <v>81</v>
      </c>
      <c r="G235" s="319" t="s">
        <v>81</v>
      </c>
      <c r="H235" s="319" t="s">
        <v>81</v>
      </c>
      <c r="I235" s="319" t="s">
        <v>78</v>
      </c>
      <c r="J235" s="319" t="s">
        <v>424</v>
      </c>
      <c r="K235" s="319" t="s">
        <v>437</v>
      </c>
      <c r="L235" s="319" t="s">
        <v>437</v>
      </c>
      <c r="M235" s="319" t="s">
        <v>587</v>
      </c>
      <c r="N235" s="319" t="s">
        <v>3026</v>
      </c>
      <c r="O235" s="319" t="s">
        <v>1014</v>
      </c>
      <c r="P235" s="319">
        <v>31</v>
      </c>
      <c r="Q235" s="319" t="s">
        <v>2776</v>
      </c>
      <c r="R235" s="320">
        <v>10102791</v>
      </c>
      <c r="S235" s="321">
        <v>43599</v>
      </c>
      <c r="T235" s="321">
        <v>43601</v>
      </c>
      <c r="U235" s="321">
        <v>43639</v>
      </c>
      <c r="V235" s="319" t="s">
        <v>425</v>
      </c>
      <c r="W235" s="319" t="s">
        <v>2767</v>
      </c>
      <c r="X235" s="319">
        <v>3</v>
      </c>
      <c r="Y235" s="319" t="s">
        <v>173</v>
      </c>
      <c r="Z235" s="319" t="s">
        <v>173</v>
      </c>
      <c r="AA235" s="319" t="s">
        <v>173</v>
      </c>
      <c r="AB235" s="319">
        <v>3</v>
      </c>
      <c r="AC235" s="319" t="s">
        <v>169</v>
      </c>
      <c r="AD235" s="319" t="s">
        <v>173</v>
      </c>
      <c r="AE235" s="319" t="s">
        <v>173</v>
      </c>
      <c r="AF235" s="319" t="s">
        <v>427</v>
      </c>
      <c r="AG235" s="319" t="s">
        <v>171</v>
      </c>
      <c r="AH235" s="319" t="s">
        <v>190</v>
      </c>
      <c r="AI235" s="319" t="s">
        <v>190</v>
      </c>
      <c r="AJ235" s="319" t="s">
        <v>190</v>
      </c>
      <c r="AK235" s="319" t="s">
        <v>190</v>
      </c>
      <c r="AL235" s="319" t="s">
        <v>190</v>
      </c>
      <c r="AM235" s="319" t="s">
        <v>190</v>
      </c>
      <c r="AN235" s="319" t="s">
        <v>190</v>
      </c>
      <c r="AO235" s="319" t="s">
        <v>190</v>
      </c>
      <c r="AP235" s="319" t="s">
        <v>190</v>
      </c>
      <c r="AQ235" s="319" t="s">
        <v>190</v>
      </c>
      <c r="AR235" s="319" t="s">
        <v>190</v>
      </c>
      <c r="AS235" s="319" t="s">
        <v>190</v>
      </c>
      <c r="AT235" s="319" t="s">
        <v>190</v>
      </c>
      <c r="AU235" s="319" t="s">
        <v>190</v>
      </c>
      <c r="AV235" s="319" t="s">
        <v>190</v>
      </c>
      <c r="AW235" s="319" t="s">
        <v>190</v>
      </c>
      <c r="AX235" s="319" t="s">
        <v>428</v>
      </c>
      <c r="AY235" s="319" t="s">
        <v>190</v>
      </c>
      <c r="AZ235" s="319" t="s">
        <v>190</v>
      </c>
      <c r="BA235" s="319" t="s">
        <v>190</v>
      </c>
      <c r="BB235" s="319" t="s">
        <v>190</v>
      </c>
      <c r="BC235" s="319" t="s">
        <v>190</v>
      </c>
      <c r="BD235" s="319" t="s">
        <v>190</v>
      </c>
      <c r="BE235" s="319" t="s">
        <v>190</v>
      </c>
      <c r="BF235" s="319" t="s">
        <v>428</v>
      </c>
      <c r="BG235" s="319" t="s">
        <v>428</v>
      </c>
      <c r="BH235" s="319" t="s">
        <v>190</v>
      </c>
      <c r="BI235" s="319" t="s">
        <v>190</v>
      </c>
      <c r="BJ235" s="319" t="s">
        <v>190</v>
      </c>
      <c r="BK235" s="319" t="s">
        <v>190</v>
      </c>
      <c r="BL235" s="319" t="s">
        <v>190</v>
      </c>
      <c r="BM235" s="319" t="s">
        <v>190</v>
      </c>
      <c r="BN235" s="319" t="s">
        <v>190</v>
      </c>
      <c r="BO235" s="319" t="s">
        <v>190</v>
      </c>
      <c r="BP235" s="319" t="s">
        <v>190</v>
      </c>
      <c r="BQ235" s="319" t="s">
        <v>190</v>
      </c>
      <c r="BR235" s="319" t="s">
        <v>190</v>
      </c>
      <c r="BS235" s="319" t="s">
        <v>190</v>
      </c>
      <c r="BT235" s="319" t="s">
        <v>190</v>
      </c>
      <c r="BU235" s="319" t="s">
        <v>190</v>
      </c>
      <c r="BV235" s="319" t="s">
        <v>190</v>
      </c>
      <c r="BW235" s="319" t="s">
        <v>190</v>
      </c>
      <c r="BX235" s="319" t="s">
        <v>190</v>
      </c>
      <c r="BY235" s="319" t="s">
        <v>190</v>
      </c>
      <c r="BZ235" s="319" t="s">
        <v>190</v>
      </c>
      <c r="CA235" s="319" t="s">
        <v>190</v>
      </c>
      <c r="CB235" s="319" t="s">
        <v>190</v>
      </c>
      <c r="CC235" s="319" t="s">
        <v>190</v>
      </c>
      <c r="CD235" s="319" t="s">
        <v>190</v>
      </c>
      <c r="CE235" s="319" t="s">
        <v>190</v>
      </c>
      <c r="CF235" s="319" t="s">
        <v>190</v>
      </c>
      <c r="CG235" s="319" t="s">
        <v>190</v>
      </c>
      <c r="CH235" s="319" t="s">
        <v>190</v>
      </c>
      <c r="CI235" s="319" t="s">
        <v>190</v>
      </c>
      <c r="CJ235" s="319" t="s">
        <v>190</v>
      </c>
      <c r="CK235" s="319" t="s">
        <v>190</v>
      </c>
      <c r="CL235" s="319" t="s">
        <v>190</v>
      </c>
      <c r="CM235" s="319" t="s">
        <v>190</v>
      </c>
      <c r="CN235" s="319" t="s">
        <v>428</v>
      </c>
      <c r="CO235" s="319" t="s">
        <v>428</v>
      </c>
      <c r="CP235" s="319" t="s">
        <v>428</v>
      </c>
      <c r="CQ235" s="319" t="s">
        <v>190</v>
      </c>
      <c r="CR235" s="319" t="s">
        <v>190</v>
      </c>
      <c r="CS235" s="319" t="s">
        <v>190</v>
      </c>
      <c r="CT235" s="319" t="s">
        <v>190</v>
      </c>
      <c r="CU235" s="319" t="s">
        <v>190</v>
      </c>
      <c r="CV235" s="319" t="s">
        <v>190</v>
      </c>
      <c r="CW235" s="319" t="s">
        <v>190</v>
      </c>
      <c r="CX235" s="319" t="s">
        <v>190</v>
      </c>
      <c r="CY235" s="319" t="s">
        <v>190</v>
      </c>
      <c r="CZ235" s="319" t="s">
        <v>190</v>
      </c>
      <c r="DA235" s="319" t="s">
        <v>190</v>
      </c>
      <c r="DB235" s="319" t="s">
        <v>190</v>
      </c>
      <c r="DC235" s="319" t="s">
        <v>190</v>
      </c>
      <c r="DD235" s="319" t="s">
        <v>190</v>
      </c>
      <c r="DE235" s="319" t="s">
        <v>190</v>
      </c>
      <c r="DF235" s="319" t="s">
        <v>190</v>
      </c>
      <c r="DG235" s="319" t="s">
        <v>190</v>
      </c>
      <c r="DH235" s="319" t="s">
        <v>190</v>
      </c>
      <c r="DI235" s="319" t="s">
        <v>190</v>
      </c>
      <c r="DJ235" s="319" t="s">
        <v>190</v>
      </c>
      <c r="DK235" s="319" t="s">
        <v>190</v>
      </c>
      <c r="DL235" s="319" t="s">
        <v>190</v>
      </c>
      <c r="DM235" s="319" t="s">
        <v>190</v>
      </c>
      <c r="DN235" s="319" t="s">
        <v>428</v>
      </c>
      <c r="DO235" s="319" t="s">
        <v>190</v>
      </c>
      <c r="DP235" s="319" t="s">
        <v>428</v>
      </c>
      <c r="DQ235" s="319" t="s">
        <v>428</v>
      </c>
      <c r="DR235" s="319" t="s">
        <v>428</v>
      </c>
      <c r="DS235" s="319" t="s">
        <v>428</v>
      </c>
      <c r="DT235" s="319" t="s">
        <v>428</v>
      </c>
      <c r="DU235" s="319" t="s">
        <v>428</v>
      </c>
      <c r="DV235" s="319" t="s">
        <v>173</v>
      </c>
      <c r="DW235" s="319" t="s">
        <v>428</v>
      </c>
      <c r="DX235" s="319" t="s">
        <v>428</v>
      </c>
      <c r="DY235" s="319" t="s">
        <v>428</v>
      </c>
      <c r="DZ235" s="319" t="s">
        <v>428</v>
      </c>
      <c r="EA235" s="319" t="s">
        <v>428</v>
      </c>
      <c r="EB235" s="319" t="s">
        <v>428</v>
      </c>
      <c r="EC235" s="319" t="s">
        <v>428</v>
      </c>
      <c r="ED235" s="319" t="s">
        <v>428</v>
      </c>
      <c r="EE235" s="319" t="s">
        <v>190</v>
      </c>
      <c r="EF235" s="319" t="s">
        <v>190</v>
      </c>
      <c r="EG235" s="319" t="s">
        <v>190</v>
      </c>
      <c r="EH235" s="319" t="s">
        <v>190</v>
      </c>
      <c r="EI235" s="319" t="s">
        <v>190</v>
      </c>
      <c r="EJ235" s="319" t="s">
        <v>190</v>
      </c>
      <c r="EK235" s="319" t="s">
        <v>190</v>
      </c>
      <c r="EL235" s="319" t="s">
        <v>190</v>
      </c>
      <c r="EM235" s="319" t="s">
        <v>190</v>
      </c>
      <c r="EN235" s="319" t="s">
        <v>190</v>
      </c>
      <c r="EO235" s="319" t="s">
        <v>190</v>
      </c>
      <c r="EP235" s="319" t="s">
        <v>190</v>
      </c>
      <c r="EQ235" s="319" t="s">
        <v>190</v>
      </c>
      <c r="ER235" s="319" t="s">
        <v>190</v>
      </c>
      <c r="ES235" s="319" t="s">
        <v>190</v>
      </c>
      <c r="ET235" s="319" t="s">
        <v>190</v>
      </c>
      <c r="EU235" s="319" t="s">
        <v>190</v>
      </c>
      <c r="EV235" s="319" t="s">
        <v>190</v>
      </c>
      <c r="EW235" s="319" t="s">
        <v>190</v>
      </c>
      <c r="EX235" s="319" t="s">
        <v>190</v>
      </c>
      <c r="EY235" s="319" t="s">
        <v>190</v>
      </c>
      <c r="EZ235" s="319" t="s">
        <v>190</v>
      </c>
      <c r="FA235" s="319" t="s">
        <v>190</v>
      </c>
      <c r="FB235" s="319" t="s">
        <v>428</v>
      </c>
      <c r="FC235" s="319" t="s">
        <v>428</v>
      </c>
      <c r="FD235" s="319" t="s">
        <v>428</v>
      </c>
      <c r="FE235" s="319" t="s">
        <v>428</v>
      </c>
      <c r="FF235" s="319" t="s">
        <v>428</v>
      </c>
      <c r="FG235" s="319" t="s">
        <v>428</v>
      </c>
      <c r="FH235" s="319" t="s">
        <v>190</v>
      </c>
      <c r="FI235" s="319" t="s">
        <v>190</v>
      </c>
      <c r="FJ235" s="319" t="s">
        <v>190</v>
      </c>
      <c r="FK235" s="319" t="s">
        <v>190</v>
      </c>
      <c r="FL235" s="319" t="s">
        <v>190</v>
      </c>
      <c r="FM235" s="319" t="s">
        <v>190</v>
      </c>
      <c r="FN235" s="319" t="s">
        <v>190</v>
      </c>
      <c r="FO235" s="319" t="s">
        <v>190</v>
      </c>
      <c r="FP235" s="319" t="s">
        <v>190</v>
      </c>
      <c r="FQ235" s="319" t="s">
        <v>190</v>
      </c>
      <c r="FR235" s="319" t="s">
        <v>190</v>
      </c>
      <c r="FS235" s="319" t="s">
        <v>428</v>
      </c>
      <c r="FT235" s="319" t="s">
        <v>190</v>
      </c>
      <c r="FU235" s="319" t="s">
        <v>190</v>
      </c>
      <c r="FV235" s="319" t="s">
        <v>190</v>
      </c>
      <c r="FW235" s="319" t="s">
        <v>190</v>
      </c>
      <c r="FX235" s="319" t="s">
        <v>190</v>
      </c>
      <c r="FY235" s="319" t="s">
        <v>190</v>
      </c>
      <c r="FZ235" s="319" t="s">
        <v>190</v>
      </c>
      <c r="GA235" s="319" t="s">
        <v>190</v>
      </c>
      <c r="GB235" s="319" t="s">
        <v>190</v>
      </c>
      <c r="GC235" s="319" t="s">
        <v>190</v>
      </c>
      <c r="GD235" s="319" t="s">
        <v>190</v>
      </c>
      <c r="GE235" s="319" t="s">
        <v>190</v>
      </c>
      <c r="GF235" s="319" t="s">
        <v>190</v>
      </c>
      <c r="GG235" s="319" t="s">
        <v>190</v>
      </c>
      <c r="GH235" s="319" t="s">
        <v>190</v>
      </c>
      <c r="GI235" s="319" t="s">
        <v>190</v>
      </c>
      <c r="GJ235" s="319" t="s">
        <v>190</v>
      </c>
      <c r="GK235" s="319" t="s">
        <v>190</v>
      </c>
      <c r="GL235" s="319" t="s">
        <v>190</v>
      </c>
      <c r="GM235" s="319" t="s">
        <v>190</v>
      </c>
      <c r="GN235" s="319" t="s">
        <v>190</v>
      </c>
      <c r="GO235" s="319" t="s">
        <v>190</v>
      </c>
      <c r="GP235" s="319" t="s">
        <v>190</v>
      </c>
      <c r="GQ235" s="319" t="s">
        <v>190</v>
      </c>
      <c r="GR235" s="319" t="s">
        <v>190</v>
      </c>
      <c r="GS235" s="319" t="s">
        <v>190</v>
      </c>
      <c r="GT235" s="319" t="s">
        <v>190</v>
      </c>
      <c r="GU235" s="319" t="s">
        <v>190</v>
      </c>
      <c r="GV235" s="319" t="s">
        <v>190</v>
      </c>
      <c r="GW235" s="319" t="s">
        <v>190</v>
      </c>
      <c r="GX235" s="319" t="s">
        <v>190</v>
      </c>
      <c r="GY235" s="319" t="s">
        <v>190</v>
      </c>
      <c r="GZ235" s="319" t="s">
        <v>190</v>
      </c>
      <c r="HA235" s="319" t="s">
        <v>190</v>
      </c>
      <c r="HB235" s="319" t="s">
        <v>190</v>
      </c>
      <c r="HC235" s="319" t="s">
        <v>190</v>
      </c>
      <c r="HD235" s="319" t="s">
        <v>190</v>
      </c>
      <c r="HE235" s="319" t="s">
        <v>190</v>
      </c>
      <c r="HF235" s="319" t="s">
        <v>190</v>
      </c>
      <c r="HG235" s="319" t="s">
        <v>190</v>
      </c>
      <c r="HH235" s="319" t="s">
        <v>190</v>
      </c>
      <c r="HI235" s="319" t="s">
        <v>190</v>
      </c>
      <c r="HJ235" s="319" t="s">
        <v>190</v>
      </c>
      <c r="HK235" s="319" t="s">
        <v>190</v>
      </c>
      <c r="HL235" s="319" t="s">
        <v>190</v>
      </c>
      <c r="HM235" s="319" t="s">
        <v>190</v>
      </c>
      <c r="HN235" s="319" t="s">
        <v>190</v>
      </c>
      <c r="HO235" s="319" t="s">
        <v>190</v>
      </c>
      <c r="HP235" s="319" t="s">
        <v>190</v>
      </c>
      <c r="HQ235" s="319" t="s">
        <v>190</v>
      </c>
      <c r="HR235" s="319" t="s">
        <v>190</v>
      </c>
      <c r="HS235" s="319" t="s">
        <v>190</v>
      </c>
      <c r="HT235" s="319" t="s">
        <v>190</v>
      </c>
      <c r="HU235" s="319" t="s">
        <v>190</v>
      </c>
      <c r="HV235" s="319" t="s">
        <v>190</v>
      </c>
      <c r="HW235" s="319" t="s">
        <v>190</v>
      </c>
      <c r="HX235" s="319" t="s">
        <v>190</v>
      </c>
      <c r="HY235" s="319" t="s">
        <v>190</v>
      </c>
      <c r="HZ235" s="319" t="s">
        <v>190</v>
      </c>
      <c r="IA235" s="319" t="s">
        <v>190</v>
      </c>
      <c r="IB235" s="319" t="s">
        <v>190</v>
      </c>
      <c r="IC235" s="319" t="s">
        <v>190</v>
      </c>
      <c r="ID235" s="319" t="s">
        <v>190</v>
      </c>
      <c r="IE235" s="319" t="s">
        <v>190</v>
      </c>
      <c r="IF235" s="319" t="s">
        <v>190</v>
      </c>
      <c r="IG235" s="319" t="s">
        <v>190</v>
      </c>
      <c r="IH235" s="319" t="s">
        <v>190</v>
      </c>
      <c r="II235" s="319" t="s">
        <v>190</v>
      </c>
      <c r="IJ235" s="319">
        <v>10033564</v>
      </c>
      <c r="IK235" s="321">
        <v>42864</v>
      </c>
      <c r="IL235" s="321">
        <v>42866</v>
      </c>
      <c r="IM235" s="321">
        <v>42907</v>
      </c>
      <c r="IN235" s="319">
        <v>2</v>
      </c>
      <c r="IO235" s="319" t="s">
        <v>173</v>
      </c>
      <c r="IP235" s="319" t="s">
        <v>173</v>
      </c>
      <c r="IQ235" s="321" t="s">
        <v>173</v>
      </c>
      <c r="IR235" s="320" t="s">
        <v>173</v>
      </c>
      <c r="IS235" s="322" t="s">
        <v>173</v>
      </c>
      <c r="IT235" s="319" t="s">
        <v>173</v>
      </c>
    </row>
    <row r="236" spans="1:254" s="271" customFormat="1" x14ac:dyDescent="0.25">
      <c r="A236" s="318" t="str">
        <f>HYPERLINK("http://www.ofsted.gov.uk/inspection-reports/find-inspection-report/provider/ELS/123621 ","Ofsted School Webpage")</f>
        <v>Ofsted School Webpage</v>
      </c>
      <c r="B236" s="319">
        <v>123621</v>
      </c>
      <c r="C236" s="319">
        <v>8946003</v>
      </c>
      <c r="D236" s="319" t="s">
        <v>454</v>
      </c>
      <c r="E236" s="319" t="s">
        <v>168</v>
      </c>
      <c r="F236" s="319" t="s">
        <v>81</v>
      </c>
      <c r="G236" s="319" t="s">
        <v>81</v>
      </c>
      <c r="H236" s="319" t="s">
        <v>81</v>
      </c>
      <c r="I236" s="319" t="s">
        <v>78</v>
      </c>
      <c r="J236" s="319" t="s">
        <v>424</v>
      </c>
      <c r="K236" s="319" t="s">
        <v>437</v>
      </c>
      <c r="L236" s="319" t="s">
        <v>437</v>
      </c>
      <c r="M236" s="319" t="s">
        <v>455</v>
      </c>
      <c r="N236" s="319" t="s">
        <v>3027</v>
      </c>
      <c r="O236" s="319" t="s">
        <v>456</v>
      </c>
      <c r="P236" s="319">
        <v>19</v>
      </c>
      <c r="Q236" s="319" t="s">
        <v>2776</v>
      </c>
      <c r="R236" s="320">
        <v>10105911</v>
      </c>
      <c r="S236" s="321">
        <v>43655</v>
      </c>
      <c r="T236" s="321">
        <v>43657</v>
      </c>
      <c r="U236" s="321">
        <v>43675</v>
      </c>
      <c r="V236" s="319" t="s">
        <v>425</v>
      </c>
      <c r="W236" s="319" t="s">
        <v>2767</v>
      </c>
      <c r="X236" s="319">
        <v>2</v>
      </c>
      <c r="Y236" s="319" t="s">
        <v>173</v>
      </c>
      <c r="Z236" s="319" t="s">
        <v>173</v>
      </c>
      <c r="AA236" s="319" t="s">
        <v>173</v>
      </c>
      <c r="AB236" s="319">
        <v>2</v>
      </c>
      <c r="AC236" s="319" t="s">
        <v>169</v>
      </c>
      <c r="AD236" s="319" t="s">
        <v>173</v>
      </c>
      <c r="AE236" s="319">
        <v>2</v>
      </c>
      <c r="AF236" s="319" t="s">
        <v>427</v>
      </c>
      <c r="AG236" s="319" t="s">
        <v>171</v>
      </c>
      <c r="AH236" s="319" t="s">
        <v>190</v>
      </c>
      <c r="AI236" s="319" t="s">
        <v>190</v>
      </c>
      <c r="AJ236" s="319" t="s">
        <v>190</v>
      </c>
      <c r="AK236" s="319" t="s">
        <v>190</v>
      </c>
      <c r="AL236" s="319" t="s">
        <v>190</v>
      </c>
      <c r="AM236" s="319" t="s">
        <v>190</v>
      </c>
      <c r="AN236" s="319" t="s">
        <v>190</v>
      </c>
      <c r="AO236" s="319" t="s">
        <v>190</v>
      </c>
      <c r="AP236" s="319" t="s">
        <v>190</v>
      </c>
      <c r="AQ236" s="319" t="s">
        <v>190</v>
      </c>
      <c r="AR236" s="319" t="s">
        <v>190</v>
      </c>
      <c r="AS236" s="319" t="s">
        <v>190</v>
      </c>
      <c r="AT236" s="319" t="s">
        <v>190</v>
      </c>
      <c r="AU236" s="319" t="s">
        <v>190</v>
      </c>
      <c r="AV236" s="319" t="s">
        <v>190</v>
      </c>
      <c r="AW236" s="319" t="s">
        <v>190</v>
      </c>
      <c r="AX236" s="319" t="s">
        <v>190</v>
      </c>
      <c r="AY236" s="319" t="s">
        <v>190</v>
      </c>
      <c r="AZ236" s="319" t="s">
        <v>190</v>
      </c>
      <c r="BA236" s="319" t="s">
        <v>190</v>
      </c>
      <c r="BB236" s="319" t="s">
        <v>190</v>
      </c>
      <c r="BC236" s="319" t="s">
        <v>190</v>
      </c>
      <c r="BD236" s="319" t="s">
        <v>190</v>
      </c>
      <c r="BE236" s="319" t="s">
        <v>190</v>
      </c>
      <c r="BF236" s="319" t="s">
        <v>428</v>
      </c>
      <c r="BG236" s="319" t="s">
        <v>190</v>
      </c>
      <c r="BH236" s="319" t="s">
        <v>190</v>
      </c>
      <c r="BI236" s="319" t="s">
        <v>190</v>
      </c>
      <c r="BJ236" s="319" t="s">
        <v>190</v>
      </c>
      <c r="BK236" s="319" t="s">
        <v>190</v>
      </c>
      <c r="BL236" s="319" t="s">
        <v>190</v>
      </c>
      <c r="BM236" s="319" t="s">
        <v>190</v>
      </c>
      <c r="BN236" s="319" t="s">
        <v>190</v>
      </c>
      <c r="BO236" s="319" t="s">
        <v>190</v>
      </c>
      <c r="BP236" s="319" t="s">
        <v>190</v>
      </c>
      <c r="BQ236" s="319" t="s">
        <v>190</v>
      </c>
      <c r="BR236" s="319" t="s">
        <v>190</v>
      </c>
      <c r="BS236" s="319" t="s">
        <v>190</v>
      </c>
      <c r="BT236" s="319" t="s">
        <v>190</v>
      </c>
      <c r="BU236" s="319" t="s">
        <v>190</v>
      </c>
      <c r="BV236" s="319" t="s">
        <v>190</v>
      </c>
      <c r="BW236" s="319" t="s">
        <v>190</v>
      </c>
      <c r="BX236" s="319" t="s">
        <v>190</v>
      </c>
      <c r="BY236" s="319" t="s">
        <v>190</v>
      </c>
      <c r="BZ236" s="319" t="s">
        <v>190</v>
      </c>
      <c r="CA236" s="319" t="s">
        <v>190</v>
      </c>
      <c r="CB236" s="319" t="s">
        <v>190</v>
      </c>
      <c r="CC236" s="319" t="s">
        <v>190</v>
      </c>
      <c r="CD236" s="319" t="s">
        <v>190</v>
      </c>
      <c r="CE236" s="319" t="s">
        <v>190</v>
      </c>
      <c r="CF236" s="319" t="s">
        <v>190</v>
      </c>
      <c r="CG236" s="319" t="s">
        <v>190</v>
      </c>
      <c r="CH236" s="319" t="s">
        <v>190</v>
      </c>
      <c r="CI236" s="319" t="s">
        <v>190</v>
      </c>
      <c r="CJ236" s="319" t="s">
        <v>190</v>
      </c>
      <c r="CK236" s="319" t="s">
        <v>190</v>
      </c>
      <c r="CL236" s="319" t="s">
        <v>190</v>
      </c>
      <c r="CM236" s="319" t="s">
        <v>190</v>
      </c>
      <c r="CN236" s="319" t="s">
        <v>428</v>
      </c>
      <c r="CO236" s="319" t="s">
        <v>428</v>
      </c>
      <c r="CP236" s="319" t="s">
        <v>428</v>
      </c>
      <c r="CQ236" s="319" t="s">
        <v>190</v>
      </c>
      <c r="CR236" s="319" t="s">
        <v>190</v>
      </c>
      <c r="CS236" s="319" t="s">
        <v>190</v>
      </c>
      <c r="CT236" s="319" t="s">
        <v>190</v>
      </c>
      <c r="CU236" s="319" t="s">
        <v>190</v>
      </c>
      <c r="CV236" s="319" t="s">
        <v>190</v>
      </c>
      <c r="CW236" s="319" t="s">
        <v>190</v>
      </c>
      <c r="CX236" s="319" t="s">
        <v>190</v>
      </c>
      <c r="CY236" s="319" t="s">
        <v>190</v>
      </c>
      <c r="CZ236" s="319" t="s">
        <v>190</v>
      </c>
      <c r="DA236" s="319" t="s">
        <v>190</v>
      </c>
      <c r="DB236" s="319" t="s">
        <v>190</v>
      </c>
      <c r="DC236" s="319" t="s">
        <v>190</v>
      </c>
      <c r="DD236" s="319" t="s">
        <v>190</v>
      </c>
      <c r="DE236" s="319" t="s">
        <v>190</v>
      </c>
      <c r="DF236" s="319" t="s">
        <v>190</v>
      </c>
      <c r="DG236" s="319" t="s">
        <v>190</v>
      </c>
      <c r="DH236" s="319" t="s">
        <v>190</v>
      </c>
      <c r="DI236" s="319" t="s">
        <v>190</v>
      </c>
      <c r="DJ236" s="319" t="s">
        <v>190</v>
      </c>
      <c r="DK236" s="319" t="s">
        <v>190</v>
      </c>
      <c r="DL236" s="319" t="s">
        <v>190</v>
      </c>
      <c r="DM236" s="319" t="s">
        <v>190</v>
      </c>
      <c r="DN236" s="319" t="s">
        <v>428</v>
      </c>
      <c r="DO236" s="319" t="s">
        <v>190</v>
      </c>
      <c r="DP236" s="319" t="s">
        <v>190</v>
      </c>
      <c r="DQ236" s="319" t="s">
        <v>190</v>
      </c>
      <c r="DR236" s="319" t="s">
        <v>190</v>
      </c>
      <c r="DS236" s="319" t="s">
        <v>190</v>
      </c>
      <c r="DT236" s="319" t="s">
        <v>190</v>
      </c>
      <c r="DU236" s="319" t="s">
        <v>190</v>
      </c>
      <c r="DV236" s="319" t="s">
        <v>173</v>
      </c>
      <c r="DW236" s="319" t="s">
        <v>190</v>
      </c>
      <c r="DX236" s="319" t="s">
        <v>190</v>
      </c>
      <c r="DY236" s="319" t="s">
        <v>190</v>
      </c>
      <c r="DZ236" s="319" t="s">
        <v>190</v>
      </c>
      <c r="EA236" s="319" t="s">
        <v>190</v>
      </c>
      <c r="EB236" s="319" t="s">
        <v>190</v>
      </c>
      <c r="EC236" s="319" t="s">
        <v>428</v>
      </c>
      <c r="ED236" s="319" t="s">
        <v>190</v>
      </c>
      <c r="EE236" s="319" t="s">
        <v>190</v>
      </c>
      <c r="EF236" s="319" t="s">
        <v>190</v>
      </c>
      <c r="EG236" s="319" t="s">
        <v>190</v>
      </c>
      <c r="EH236" s="319" t="s">
        <v>190</v>
      </c>
      <c r="EI236" s="319" t="s">
        <v>190</v>
      </c>
      <c r="EJ236" s="319" t="s">
        <v>190</v>
      </c>
      <c r="EK236" s="319" t="s">
        <v>190</v>
      </c>
      <c r="EL236" s="319" t="s">
        <v>190</v>
      </c>
      <c r="EM236" s="319" t="s">
        <v>190</v>
      </c>
      <c r="EN236" s="319" t="s">
        <v>190</v>
      </c>
      <c r="EO236" s="319" t="s">
        <v>190</v>
      </c>
      <c r="EP236" s="319" t="s">
        <v>190</v>
      </c>
      <c r="EQ236" s="319" t="s">
        <v>190</v>
      </c>
      <c r="ER236" s="319" t="s">
        <v>190</v>
      </c>
      <c r="ES236" s="319" t="s">
        <v>190</v>
      </c>
      <c r="ET236" s="319" t="s">
        <v>190</v>
      </c>
      <c r="EU236" s="319" t="s">
        <v>190</v>
      </c>
      <c r="EV236" s="319" t="s">
        <v>190</v>
      </c>
      <c r="EW236" s="319" t="s">
        <v>190</v>
      </c>
      <c r="EX236" s="319" t="s">
        <v>190</v>
      </c>
      <c r="EY236" s="319" t="s">
        <v>190</v>
      </c>
      <c r="EZ236" s="319" t="s">
        <v>190</v>
      </c>
      <c r="FA236" s="319" t="s">
        <v>190</v>
      </c>
      <c r="FB236" s="319" t="s">
        <v>190</v>
      </c>
      <c r="FC236" s="319" t="s">
        <v>190</v>
      </c>
      <c r="FD236" s="319" t="s">
        <v>190</v>
      </c>
      <c r="FE236" s="319" t="s">
        <v>190</v>
      </c>
      <c r="FF236" s="319" t="s">
        <v>190</v>
      </c>
      <c r="FG236" s="319" t="s">
        <v>190</v>
      </c>
      <c r="FH236" s="319" t="s">
        <v>190</v>
      </c>
      <c r="FI236" s="319" t="s">
        <v>190</v>
      </c>
      <c r="FJ236" s="319" t="s">
        <v>190</v>
      </c>
      <c r="FK236" s="319" t="s">
        <v>190</v>
      </c>
      <c r="FL236" s="319" t="s">
        <v>190</v>
      </c>
      <c r="FM236" s="319" t="s">
        <v>190</v>
      </c>
      <c r="FN236" s="319" t="s">
        <v>190</v>
      </c>
      <c r="FO236" s="319" t="s">
        <v>190</v>
      </c>
      <c r="FP236" s="319" t="s">
        <v>190</v>
      </c>
      <c r="FQ236" s="319" t="s">
        <v>190</v>
      </c>
      <c r="FR236" s="319" t="s">
        <v>190</v>
      </c>
      <c r="FS236" s="319" t="s">
        <v>190</v>
      </c>
      <c r="FT236" s="319" t="s">
        <v>190</v>
      </c>
      <c r="FU236" s="319" t="s">
        <v>190</v>
      </c>
      <c r="FV236" s="319" t="s">
        <v>190</v>
      </c>
      <c r="FW236" s="319" t="s">
        <v>190</v>
      </c>
      <c r="FX236" s="319" t="s">
        <v>190</v>
      </c>
      <c r="FY236" s="319" t="s">
        <v>190</v>
      </c>
      <c r="FZ236" s="319" t="s">
        <v>190</v>
      </c>
      <c r="GA236" s="319" t="s">
        <v>190</v>
      </c>
      <c r="GB236" s="319" t="s">
        <v>190</v>
      </c>
      <c r="GC236" s="319" t="s">
        <v>190</v>
      </c>
      <c r="GD236" s="319" t="s">
        <v>190</v>
      </c>
      <c r="GE236" s="319" t="s">
        <v>190</v>
      </c>
      <c r="GF236" s="319" t="s">
        <v>190</v>
      </c>
      <c r="GG236" s="319" t="s">
        <v>190</v>
      </c>
      <c r="GH236" s="319" t="s">
        <v>190</v>
      </c>
      <c r="GI236" s="319" t="s">
        <v>190</v>
      </c>
      <c r="GJ236" s="319" t="s">
        <v>190</v>
      </c>
      <c r="GK236" s="319" t="s">
        <v>428</v>
      </c>
      <c r="GL236" s="319" t="s">
        <v>190</v>
      </c>
      <c r="GM236" s="319" t="s">
        <v>190</v>
      </c>
      <c r="GN236" s="319" t="s">
        <v>190</v>
      </c>
      <c r="GO236" s="319" t="s">
        <v>190</v>
      </c>
      <c r="GP236" s="319" t="s">
        <v>190</v>
      </c>
      <c r="GQ236" s="319" t="s">
        <v>190</v>
      </c>
      <c r="GR236" s="319" t="s">
        <v>190</v>
      </c>
      <c r="GS236" s="319" t="s">
        <v>190</v>
      </c>
      <c r="GT236" s="319" t="s">
        <v>190</v>
      </c>
      <c r="GU236" s="319" t="s">
        <v>190</v>
      </c>
      <c r="GV236" s="319" t="s">
        <v>190</v>
      </c>
      <c r="GW236" s="319" t="s">
        <v>190</v>
      </c>
      <c r="GX236" s="319" t="s">
        <v>190</v>
      </c>
      <c r="GY236" s="319" t="s">
        <v>190</v>
      </c>
      <c r="GZ236" s="319" t="s">
        <v>190</v>
      </c>
      <c r="HA236" s="319" t="s">
        <v>428</v>
      </c>
      <c r="HB236" s="319" t="s">
        <v>190</v>
      </c>
      <c r="HC236" s="319" t="s">
        <v>190</v>
      </c>
      <c r="HD236" s="319" t="s">
        <v>190</v>
      </c>
      <c r="HE236" s="319" t="s">
        <v>190</v>
      </c>
      <c r="HF236" s="319" t="s">
        <v>190</v>
      </c>
      <c r="HG236" s="319" t="s">
        <v>190</v>
      </c>
      <c r="HH236" s="319" t="s">
        <v>190</v>
      </c>
      <c r="HI236" s="319" t="s">
        <v>190</v>
      </c>
      <c r="HJ236" s="319" t="s">
        <v>190</v>
      </c>
      <c r="HK236" s="319" t="s">
        <v>190</v>
      </c>
      <c r="HL236" s="319" t="s">
        <v>190</v>
      </c>
      <c r="HM236" s="319" t="s">
        <v>190</v>
      </c>
      <c r="HN236" s="319" t="s">
        <v>190</v>
      </c>
      <c r="HO236" s="319" t="s">
        <v>190</v>
      </c>
      <c r="HP236" s="319" t="s">
        <v>190</v>
      </c>
      <c r="HQ236" s="319" t="s">
        <v>190</v>
      </c>
      <c r="HR236" s="319" t="s">
        <v>190</v>
      </c>
      <c r="HS236" s="319" t="s">
        <v>190</v>
      </c>
      <c r="HT236" s="319" t="s">
        <v>190</v>
      </c>
      <c r="HU236" s="319" t="s">
        <v>190</v>
      </c>
      <c r="HV236" s="319" t="s">
        <v>190</v>
      </c>
      <c r="HW236" s="319" t="s">
        <v>190</v>
      </c>
      <c r="HX236" s="319" t="s">
        <v>190</v>
      </c>
      <c r="HY236" s="319" t="s">
        <v>190</v>
      </c>
      <c r="HZ236" s="319" t="s">
        <v>190</v>
      </c>
      <c r="IA236" s="319" t="s">
        <v>190</v>
      </c>
      <c r="IB236" s="319" t="s">
        <v>190</v>
      </c>
      <c r="IC236" s="319" t="s">
        <v>190</v>
      </c>
      <c r="ID236" s="319" t="s">
        <v>190</v>
      </c>
      <c r="IE236" s="319" t="s">
        <v>190</v>
      </c>
      <c r="IF236" s="319" t="s">
        <v>190</v>
      </c>
      <c r="IG236" s="319" t="s">
        <v>190</v>
      </c>
      <c r="IH236" s="319" t="s">
        <v>190</v>
      </c>
      <c r="II236" s="319" t="s">
        <v>190</v>
      </c>
      <c r="IJ236" s="319">
        <v>10052717</v>
      </c>
      <c r="IK236" s="321">
        <v>43361</v>
      </c>
      <c r="IL236" s="321">
        <v>43363</v>
      </c>
      <c r="IM236" s="321">
        <v>43383</v>
      </c>
      <c r="IN236" s="319">
        <v>3</v>
      </c>
      <c r="IO236" s="319" t="s">
        <v>173</v>
      </c>
      <c r="IP236" s="319" t="s">
        <v>173</v>
      </c>
      <c r="IQ236" s="321" t="s">
        <v>173</v>
      </c>
      <c r="IR236" s="320" t="s">
        <v>173</v>
      </c>
      <c r="IS236" s="322" t="s">
        <v>173</v>
      </c>
      <c r="IT236" s="319" t="s">
        <v>173</v>
      </c>
    </row>
    <row r="237" spans="1:254" s="271" customFormat="1" x14ac:dyDescent="0.25">
      <c r="A237" s="318" t="str">
        <f>HYPERLINK("http://www.ofsted.gov.uk/inspection-reports/find-inspection-report/provider/ELS/123920 ","Ofsted School Webpage")</f>
        <v>Ofsted School Webpage</v>
      </c>
      <c r="B237" s="319">
        <v>123920</v>
      </c>
      <c r="C237" s="319">
        <v>9336089</v>
      </c>
      <c r="D237" s="319" t="s">
        <v>1540</v>
      </c>
      <c r="E237" s="319" t="s">
        <v>168</v>
      </c>
      <c r="F237" s="319" t="s">
        <v>81</v>
      </c>
      <c r="G237" s="319" t="s">
        <v>81</v>
      </c>
      <c r="H237" s="319" t="s">
        <v>81</v>
      </c>
      <c r="I237" s="319" t="s">
        <v>78</v>
      </c>
      <c r="J237" s="319" t="s">
        <v>424</v>
      </c>
      <c r="K237" s="319" t="s">
        <v>422</v>
      </c>
      <c r="L237" s="319" t="s">
        <v>422</v>
      </c>
      <c r="M237" s="319" t="s">
        <v>466</v>
      </c>
      <c r="N237" s="319" t="s">
        <v>3028</v>
      </c>
      <c r="O237" s="319" t="s">
        <v>1541</v>
      </c>
      <c r="P237" s="319">
        <v>48</v>
      </c>
      <c r="Q237" s="319" t="s">
        <v>429</v>
      </c>
      <c r="R237" s="320">
        <v>10008941</v>
      </c>
      <c r="S237" s="321">
        <v>42815</v>
      </c>
      <c r="T237" s="321">
        <v>42817</v>
      </c>
      <c r="U237" s="321">
        <v>42859</v>
      </c>
      <c r="V237" s="319" t="s">
        <v>554</v>
      </c>
      <c r="W237" s="319" t="s">
        <v>2767</v>
      </c>
      <c r="X237" s="319">
        <v>2</v>
      </c>
      <c r="Y237" s="319" t="s">
        <v>173</v>
      </c>
      <c r="Z237" s="319" t="s">
        <v>173</v>
      </c>
      <c r="AA237" s="319" t="s">
        <v>173</v>
      </c>
      <c r="AB237" s="319">
        <v>2</v>
      </c>
      <c r="AC237" s="319" t="s">
        <v>169</v>
      </c>
      <c r="AD237" s="319" t="s">
        <v>173</v>
      </c>
      <c r="AE237" s="319" t="s">
        <v>173</v>
      </c>
      <c r="AF237" s="319" t="s">
        <v>173</v>
      </c>
      <c r="AG237" s="319" t="s">
        <v>171</v>
      </c>
      <c r="AH237" s="319" t="s">
        <v>190</v>
      </c>
      <c r="AI237" s="319" t="s">
        <v>190</v>
      </c>
      <c r="AJ237" s="319" t="s">
        <v>190</v>
      </c>
      <c r="AK237" s="319" t="s">
        <v>190</v>
      </c>
      <c r="AL237" s="319" t="s">
        <v>190</v>
      </c>
      <c r="AM237" s="319" t="s">
        <v>190</v>
      </c>
      <c r="AN237" s="319" t="s">
        <v>190</v>
      </c>
      <c r="AO237" s="319" t="s">
        <v>190</v>
      </c>
      <c r="AP237" s="319" t="s">
        <v>190</v>
      </c>
      <c r="AQ237" s="319" t="s">
        <v>190</v>
      </c>
      <c r="AR237" s="319" t="s">
        <v>190</v>
      </c>
      <c r="AS237" s="319" t="s">
        <v>190</v>
      </c>
      <c r="AT237" s="319" t="s">
        <v>190</v>
      </c>
      <c r="AU237" s="319" t="s">
        <v>190</v>
      </c>
      <c r="AV237" s="319" t="s">
        <v>190</v>
      </c>
      <c r="AW237" s="319" t="s">
        <v>190</v>
      </c>
      <c r="AX237" s="319" t="s">
        <v>190</v>
      </c>
      <c r="AY237" s="319" t="s">
        <v>190</v>
      </c>
      <c r="AZ237" s="319" t="s">
        <v>190</v>
      </c>
      <c r="BA237" s="319" t="s">
        <v>190</v>
      </c>
      <c r="BB237" s="319" t="s">
        <v>190</v>
      </c>
      <c r="BC237" s="319" t="s">
        <v>190</v>
      </c>
      <c r="BD237" s="319" t="s">
        <v>190</v>
      </c>
      <c r="BE237" s="319" t="s">
        <v>190</v>
      </c>
      <c r="BF237" s="319" t="s">
        <v>429</v>
      </c>
      <c r="BG237" s="319" t="s">
        <v>190</v>
      </c>
      <c r="BH237" s="319" t="s">
        <v>190</v>
      </c>
      <c r="BI237" s="319" t="s">
        <v>190</v>
      </c>
      <c r="BJ237" s="319" t="s">
        <v>190</v>
      </c>
      <c r="BK237" s="319" t="s">
        <v>190</v>
      </c>
      <c r="BL237" s="319" t="s">
        <v>190</v>
      </c>
      <c r="BM237" s="319" t="s">
        <v>190</v>
      </c>
      <c r="BN237" s="319" t="s">
        <v>190</v>
      </c>
      <c r="BO237" s="319" t="s">
        <v>190</v>
      </c>
      <c r="BP237" s="319" t="s">
        <v>190</v>
      </c>
      <c r="BQ237" s="319" t="s">
        <v>190</v>
      </c>
      <c r="BR237" s="319" t="s">
        <v>190</v>
      </c>
      <c r="BS237" s="319" t="s">
        <v>190</v>
      </c>
      <c r="BT237" s="319" t="s">
        <v>190</v>
      </c>
      <c r="BU237" s="319" t="s">
        <v>190</v>
      </c>
      <c r="BV237" s="319" t="s">
        <v>190</v>
      </c>
      <c r="BW237" s="319" t="s">
        <v>190</v>
      </c>
      <c r="BX237" s="319" t="s">
        <v>190</v>
      </c>
      <c r="BY237" s="319" t="s">
        <v>190</v>
      </c>
      <c r="BZ237" s="319" t="s">
        <v>190</v>
      </c>
      <c r="CA237" s="319" t="s">
        <v>190</v>
      </c>
      <c r="CB237" s="319" t="s">
        <v>190</v>
      </c>
      <c r="CC237" s="319" t="s">
        <v>190</v>
      </c>
      <c r="CD237" s="319" t="s">
        <v>190</v>
      </c>
      <c r="CE237" s="319" t="s">
        <v>190</v>
      </c>
      <c r="CF237" s="319" t="s">
        <v>190</v>
      </c>
      <c r="CG237" s="319" t="s">
        <v>190</v>
      </c>
      <c r="CH237" s="319" t="s">
        <v>190</v>
      </c>
      <c r="CI237" s="319" t="s">
        <v>190</v>
      </c>
      <c r="CJ237" s="319" t="s">
        <v>190</v>
      </c>
      <c r="CK237" s="319" t="s">
        <v>190</v>
      </c>
      <c r="CL237" s="319" t="s">
        <v>190</v>
      </c>
      <c r="CM237" s="319" t="s">
        <v>190</v>
      </c>
      <c r="CN237" s="319" t="s">
        <v>190</v>
      </c>
      <c r="CO237" s="319" t="s">
        <v>190</v>
      </c>
      <c r="CP237" s="319" t="s">
        <v>190</v>
      </c>
      <c r="CQ237" s="319" t="s">
        <v>190</v>
      </c>
      <c r="CR237" s="319" t="s">
        <v>190</v>
      </c>
      <c r="CS237" s="319" t="s">
        <v>190</v>
      </c>
      <c r="CT237" s="319" t="s">
        <v>190</v>
      </c>
      <c r="CU237" s="319" t="s">
        <v>190</v>
      </c>
      <c r="CV237" s="319" t="s">
        <v>190</v>
      </c>
      <c r="CW237" s="319" t="s">
        <v>190</v>
      </c>
      <c r="CX237" s="319" t="s">
        <v>190</v>
      </c>
      <c r="CY237" s="319" t="s">
        <v>190</v>
      </c>
      <c r="CZ237" s="319" t="s">
        <v>190</v>
      </c>
      <c r="DA237" s="319" t="s">
        <v>190</v>
      </c>
      <c r="DB237" s="319" t="s">
        <v>190</v>
      </c>
      <c r="DC237" s="319" t="s">
        <v>190</v>
      </c>
      <c r="DD237" s="319" t="s">
        <v>190</v>
      </c>
      <c r="DE237" s="319" t="s">
        <v>190</v>
      </c>
      <c r="DF237" s="319" t="s">
        <v>190</v>
      </c>
      <c r="DG237" s="319" t="s">
        <v>190</v>
      </c>
      <c r="DH237" s="319" t="s">
        <v>190</v>
      </c>
      <c r="DI237" s="319" t="s">
        <v>190</v>
      </c>
      <c r="DJ237" s="319" t="s">
        <v>190</v>
      </c>
      <c r="DK237" s="319" t="s">
        <v>190</v>
      </c>
      <c r="DL237" s="319" t="s">
        <v>190</v>
      </c>
      <c r="DM237" s="319" t="s">
        <v>190</v>
      </c>
      <c r="DN237" s="319" t="s">
        <v>190</v>
      </c>
      <c r="DO237" s="319" t="s">
        <v>190</v>
      </c>
      <c r="DP237" s="319" t="s">
        <v>190</v>
      </c>
      <c r="DQ237" s="319" t="s">
        <v>190</v>
      </c>
      <c r="DR237" s="319" t="s">
        <v>190</v>
      </c>
      <c r="DS237" s="319" t="s">
        <v>190</v>
      </c>
      <c r="DT237" s="319" t="s">
        <v>190</v>
      </c>
      <c r="DU237" s="319" t="s">
        <v>190</v>
      </c>
      <c r="DV237" s="319" t="s">
        <v>173</v>
      </c>
      <c r="DW237" s="319" t="s">
        <v>190</v>
      </c>
      <c r="DX237" s="319" t="s">
        <v>190</v>
      </c>
      <c r="DY237" s="319" t="s">
        <v>190</v>
      </c>
      <c r="DZ237" s="319" t="s">
        <v>190</v>
      </c>
      <c r="EA237" s="319" t="s">
        <v>190</v>
      </c>
      <c r="EB237" s="319" t="s">
        <v>190</v>
      </c>
      <c r="EC237" s="319" t="s">
        <v>190</v>
      </c>
      <c r="ED237" s="319" t="s">
        <v>190</v>
      </c>
      <c r="EE237" s="319" t="s">
        <v>190</v>
      </c>
      <c r="EF237" s="319" t="s">
        <v>190</v>
      </c>
      <c r="EG237" s="319" t="s">
        <v>190</v>
      </c>
      <c r="EH237" s="319" t="s">
        <v>190</v>
      </c>
      <c r="EI237" s="319" t="s">
        <v>190</v>
      </c>
      <c r="EJ237" s="319" t="s">
        <v>190</v>
      </c>
      <c r="EK237" s="319" t="s">
        <v>190</v>
      </c>
      <c r="EL237" s="319" t="s">
        <v>190</v>
      </c>
      <c r="EM237" s="319" t="s">
        <v>190</v>
      </c>
      <c r="EN237" s="319" t="s">
        <v>190</v>
      </c>
      <c r="EO237" s="319" t="s">
        <v>190</v>
      </c>
      <c r="EP237" s="319" t="s">
        <v>190</v>
      </c>
      <c r="EQ237" s="319" t="s">
        <v>190</v>
      </c>
      <c r="ER237" s="319" t="s">
        <v>190</v>
      </c>
      <c r="ES237" s="319" t="s">
        <v>190</v>
      </c>
      <c r="ET237" s="319" t="s">
        <v>190</v>
      </c>
      <c r="EU237" s="319" t="s">
        <v>190</v>
      </c>
      <c r="EV237" s="319" t="s">
        <v>190</v>
      </c>
      <c r="EW237" s="319" t="s">
        <v>190</v>
      </c>
      <c r="EX237" s="319" t="s">
        <v>190</v>
      </c>
      <c r="EY237" s="319" t="s">
        <v>190</v>
      </c>
      <c r="EZ237" s="319" t="s">
        <v>190</v>
      </c>
      <c r="FA237" s="319" t="s">
        <v>190</v>
      </c>
      <c r="FB237" s="319" t="s">
        <v>190</v>
      </c>
      <c r="FC237" s="319" t="s">
        <v>190</v>
      </c>
      <c r="FD237" s="319" t="s">
        <v>190</v>
      </c>
      <c r="FE237" s="319" t="s">
        <v>190</v>
      </c>
      <c r="FF237" s="319" t="s">
        <v>190</v>
      </c>
      <c r="FG237" s="319" t="s">
        <v>190</v>
      </c>
      <c r="FH237" s="319" t="s">
        <v>190</v>
      </c>
      <c r="FI237" s="319" t="s">
        <v>190</v>
      </c>
      <c r="FJ237" s="319" t="s">
        <v>190</v>
      </c>
      <c r="FK237" s="319" t="s">
        <v>190</v>
      </c>
      <c r="FL237" s="319" t="s">
        <v>190</v>
      </c>
      <c r="FM237" s="319" t="s">
        <v>190</v>
      </c>
      <c r="FN237" s="319" t="s">
        <v>429</v>
      </c>
      <c r="FO237" s="319" t="s">
        <v>190</v>
      </c>
      <c r="FP237" s="319" t="s">
        <v>190</v>
      </c>
      <c r="FQ237" s="319" t="s">
        <v>190</v>
      </c>
      <c r="FR237" s="319" t="s">
        <v>190</v>
      </c>
      <c r="FS237" s="319" t="s">
        <v>429</v>
      </c>
      <c r="FT237" s="319" t="s">
        <v>190</v>
      </c>
      <c r="FU237" s="319" t="s">
        <v>190</v>
      </c>
      <c r="FV237" s="319" t="s">
        <v>190</v>
      </c>
      <c r="FW237" s="319" t="s">
        <v>190</v>
      </c>
      <c r="FX237" s="319" t="s">
        <v>190</v>
      </c>
      <c r="FY237" s="319" t="s">
        <v>190</v>
      </c>
      <c r="FZ237" s="319" t="s">
        <v>190</v>
      </c>
      <c r="GA237" s="319" t="s">
        <v>190</v>
      </c>
      <c r="GB237" s="319" t="s">
        <v>190</v>
      </c>
      <c r="GC237" s="319" t="s">
        <v>190</v>
      </c>
      <c r="GD237" s="319" t="s">
        <v>190</v>
      </c>
      <c r="GE237" s="319" t="s">
        <v>190</v>
      </c>
      <c r="GF237" s="319" t="s">
        <v>190</v>
      </c>
      <c r="GG237" s="319" t="s">
        <v>190</v>
      </c>
      <c r="GH237" s="319" t="s">
        <v>190</v>
      </c>
      <c r="GI237" s="319" t="s">
        <v>190</v>
      </c>
      <c r="GJ237" s="319" t="s">
        <v>190</v>
      </c>
      <c r="GK237" s="319" t="s">
        <v>190</v>
      </c>
      <c r="GL237" s="319" t="s">
        <v>190</v>
      </c>
      <c r="GM237" s="319" t="s">
        <v>190</v>
      </c>
      <c r="GN237" s="319" t="s">
        <v>190</v>
      </c>
      <c r="GO237" s="319" t="s">
        <v>190</v>
      </c>
      <c r="GP237" s="319" t="s">
        <v>190</v>
      </c>
      <c r="GQ237" s="319" t="s">
        <v>190</v>
      </c>
      <c r="GR237" s="319" t="s">
        <v>190</v>
      </c>
      <c r="GS237" s="319" t="s">
        <v>190</v>
      </c>
      <c r="GT237" s="319" t="s">
        <v>190</v>
      </c>
      <c r="GU237" s="319" t="s">
        <v>190</v>
      </c>
      <c r="GV237" s="319" t="s">
        <v>190</v>
      </c>
      <c r="GW237" s="319" t="s">
        <v>190</v>
      </c>
      <c r="GX237" s="319" t="s">
        <v>190</v>
      </c>
      <c r="GY237" s="319" t="s">
        <v>190</v>
      </c>
      <c r="GZ237" s="319" t="s">
        <v>190</v>
      </c>
      <c r="HA237" s="319" t="s">
        <v>190</v>
      </c>
      <c r="HB237" s="319" t="s">
        <v>190</v>
      </c>
      <c r="HC237" s="319" t="s">
        <v>190</v>
      </c>
      <c r="HD237" s="319" t="s">
        <v>190</v>
      </c>
      <c r="HE237" s="319" t="s">
        <v>190</v>
      </c>
      <c r="HF237" s="319" t="s">
        <v>190</v>
      </c>
      <c r="HG237" s="319" t="s">
        <v>190</v>
      </c>
      <c r="HH237" s="319" t="s">
        <v>190</v>
      </c>
      <c r="HI237" s="319" t="s">
        <v>190</v>
      </c>
      <c r="HJ237" s="319" t="s">
        <v>190</v>
      </c>
      <c r="HK237" s="319" t="s">
        <v>190</v>
      </c>
      <c r="HL237" s="319" t="s">
        <v>190</v>
      </c>
      <c r="HM237" s="319" t="s">
        <v>190</v>
      </c>
      <c r="HN237" s="319" t="s">
        <v>190</v>
      </c>
      <c r="HO237" s="319" t="s">
        <v>190</v>
      </c>
      <c r="HP237" s="319" t="s">
        <v>190</v>
      </c>
      <c r="HQ237" s="319" t="s">
        <v>190</v>
      </c>
      <c r="HR237" s="319" t="s">
        <v>190</v>
      </c>
      <c r="HS237" s="319" t="s">
        <v>190</v>
      </c>
      <c r="HT237" s="319" t="s">
        <v>190</v>
      </c>
      <c r="HU237" s="319" t="s">
        <v>190</v>
      </c>
      <c r="HV237" s="319" t="s">
        <v>190</v>
      </c>
      <c r="HW237" s="319" t="s">
        <v>190</v>
      </c>
      <c r="HX237" s="319" t="s">
        <v>190</v>
      </c>
      <c r="HY237" s="319" t="s">
        <v>190</v>
      </c>
      <c r="HZ237" s="319" t="s">
        <v>190</v>
      </c>
      <c r="IA237" s="319" t="s">
        <v>190</v>
      </c>
      <c r="IB237" s="319" t="s">
        <v>190</v>
      </c>
      <c r="IC237" s="319" t="s">
        <v>190</v>
      </c>
      <c r="ID237" s="319" t="s">
        <v>190</v>
      </c>
      <c r="IE237" s="319" t="s">
        <v>190</v>
      </c>
      <c r="IF237" s="319" t="s">
        <v>190</v>
      </c>
      <c r="IG237" s="319" t="s">
        <v>190</v>
      </c>
      <c r="IH237" s="319" t="s">
        <v>190</v>
      </c>
      <c r="II237" s="319" t="s">
        <v>190</v>
      </c>
      <c r="IJ237" s="319" t="s">
        <v>3029</v>
      </c>
      <c r="IK237" s="321">
        <v>41086</v>
      </c>
      <c r="IL237" s="321">
        <v>41087</v>
      </c>
      <c r="IM237" s="321">
        <v>41107</v>
      </c>
      <c r="IN237" s="319">
        <v>2</v>
      </c>
      <c r="IO237" s="319" t="s">
        <v>173</v>
      </c>
      <c r="IP237" s="319" t="s">
        <v>173</v>
      </c>
      <c r="IQ237" s="321" t="s">
        <v>173</v>
      </c>
      <c r="IR237" s="320" t="s">
        <v>173</v>
      </c>
      <c r="IS237" s="322" t="s">
        <v>173</v>
      </c>
      <c r="IT237" s="319" t="s">
        <v>173</v>
      </c>
    </row>
    <row r="238" spans="1:254" s="271" customFormat="1" x14ac:dyDescent="0.25">
      <c r="A238" s="318" t="str">
        <f>HYPERLINK("http://www.ofsted.gov.uk/inspection-reports/find-inspection-report/provider/ELS/123933 ","Ofsted School Webpage")</f>
        <v>Ofsted School Webpage</v>
      </c>
      <c r="B238" s="319">
        <v>123933</v>
      </c>
      <c r="C238" s="319">
        <v>9336185</v>
      </c>
      <c r="D238" s="319" t="s">
        <v>830</v>
      </c>
      <c r="E238" s="319" t="s">
        <v>168</v>
      </c>
      <c r="F238" s="319" t="s">
        <v>81</v>
      </c>
      <c r="G238" s="319" t="s">
        <v>81</v>
      </c>
      <c r="H238" s="319" t="s">
        <v>81</v>
      </c>
      <c r="I238" s="319" t="s">
        <v>78</v>
      </c>
      <c r="J238" s="319" t="s">
        <v>424</v>
      </c>
      <c r="K238" s="319" t="s">
        <v>422</v>
      </c>
      <c r="L238" s="319" t="s">
        <v>422</v>
      </c>
      <c r="M238" s="319" t="s">
        <v>466</v>
      </c>
      <c r="N238" s="319" t="s">
        <v>3030</v>
      </c>
      <c r="O238" s="319" t="s">
        <v>831</v>
      </c>
      <c r="P238" s="319">
        <v>38</v>
      </c>
      <c r="Q238" s="319" t="s">
        <v>429</v>
      </c>
      <c r="R238" s="320">
        <v>10056309</v>
      </c>
      <c r="S238" s="321">
        <v>43480</v>
      </c>
      <c r="T238" s="321">
        <v>43482</v>
      </c>
      <c r="U238" s="321">
        <v>43521</v>
      </c>
      <c r="V238" s="319" t="s">
        <v>425</v>
      </c>
      <c r="W238" s="319" t="s">
        <v>2767</v>
      </c>
      <c r="X238" s="319">
        <v>2</v>
      </c>
      <c r="Y238" s="319" t="s">
        <v>173</v>
      </c>
      <c r="Z238" s="319" t="s">
        <v>173</v>
      </c>
      <c r="AA238" s="319" t="s">
        <v>173</v>
      </c>
      <c r="AB238" s="319">
        <v>2</v>
      </c>
      <c r="AC238" s="319" t="s">
        <v>169</v>
      </c>
      <c r="AD238" s="319" t="s">
        <v>173</v>
      </c>
      <c r="AE238" s="319">
        <v>2</v>
      </c>
      <c r="AF238" s="319" t="s">
        <v>427</v>
      </c>
      <c r="AG238" s="319" t="s">
        <v>171</v>
      </c>
      <c r="AH238" s="319" t="s">
        <v>190</v>
      </c>
      <c r="AI238" s="319" t="s">
        <v>190</v>
      </c>
      <c r="AJ238" s="319" t="s">
        <v>190</v>
      </c>
      <c r="AK238" s="319" t="s">
        <v>190</v>
      </c>
      <c r="AL238" s="319" t="s">
        <v>190</v>
      </c>
      <c r="AM238" s="319" t="s">
        <v>190</v>
      </c>
      <c r="AN238" s="319" t="s">
        <v>190</v>
      </c>
      <c r="AO238" s="319" t="s">
        <v>190</v>
      </c>
      <c r="AP238" s="319" t="s">
        <v>190</v>
      </c>
      <c r="AQ238" s="319" t="s">
        <v>190</v>
      </c>
      <c r="AR238" s="319" t="s">
        <v>190</v>
      </c>
      <c r="AS238" s="319" t="s">
        <v>190</v>
      </c>
      <c r="AT238" s="319" t="s">
        <v>190</v>
      </c>
      <c r="AU238" s="319" t="s">
        <v>190</v>
      </c>
      <c r="AV238" s="319" t="s">
        <v>190</v>
      </c>
      <c r="AW238" s="319" t="s">
        <v>190</v>
      </c>
      <c r="AX238" s="319" t="s">
        <v>428</v>
      </c>
      <c r="AY238" s="319" t="s">
        <v>190</v>
      </c>
      <c r="AZ238" s="319" t="s">
        <v>190</v>
      </c>
      <c r="BA238" s="319" t="s">
        <v>190</v>
      </c>
      <c r="BB238" s="319" t="s">
        <v>190</v>
      </c>
      <c r="BC238" s="319" t="s">
        <v>190</v>
      </c>
      <c r="BD238" s="319" t="s">
        <v>190</v>
      </c>
      <c r="BE238" s="319" t="s">
        <v>190</v>
      </c>
      <c r="BF238" s="319" t="s">
        <v>190</v>
      </c>
      <c r="BG238" s="319" t="s">
        <v>190</v>
      </c>
      <c r="BH238" s="319" t="s">
        <v>190</v>
      </c>
      <c r="BI238" s="319" t="s">
        <v>190</v>
      </c>
      <c r="BJ238" s="319" t="s">
        <v>190</v>
      </c>
      <c r="BK238" s="319" t="s">
        <v>190</v>
      </c>
      <c r="BL238" s="319" t="s">
        <v>190</v>
      </c>
      <c r="BM238" s="319" t="s">
        <v>190</v>
      </c>
      <c r="BN238" s="319" t="s">
        <v>190</v>
      </c>
      <c r="BO238" s="319" t="s">
        <v>190</v>
      </c>
      <c r="BP238" s="319" t="s">
        <v>190</v>
      </c>
      <c r="BQ238" s="319" t="s">
        <v>190</v>
      </c>
      <c r="BR238" s="319" t="s">
        <v>190</v>
      </c>
      <c r="BS238" s="319" t="s">
        <v>190</v>
      </c>
      <c r="BT238" s="319" t="s">
        <v>190</v>
      </c>
      <c r="BU238" s="319" t="s">
        <v>190</v>
      </c>
      <c r="BV238" s="319" t="s">
        <v>190</v>
      </c>
      <c r="BW238" s="319" t="s">
        <v>190</v>
      </c>
      <c r="BX238" s="319" t="s">
        <v>190</v>
      </c>
      <c r="BY238" s="319" t="s">
        <v>190</v>
      </c>
      <c r="BZ238" s="319" t="s">
        <v>190</v>
      </c>
      <c r="CA238" s="319" t="s">
        <v>190</v>
      </c>
      <c r="CB238" s="319" t="s">
        <v>190</v>
      </c>
      <c r="CC238" s="319" t="s">
        <v>190</v>
      </c>
      <c r="CD238" s="319" t="s">
        <v>190</v>
      </c>
      <c r="CE238" s="319" t="s">
        <v>190</v>
      </c>
      <c r="CF238" s="319" t="s">
        <v>190</v>
      </c>
      <c r="CG238" s="319" t="s">
        <v>190</v>
      </c>
      <c r="CH238" s="319" t="s">
        <v>190</v>
      </c>
      <c r="CI238" s="319" t="s">
        <v>190</v>
      </c>
      <c r="CJ238" s="319" t="s">
        <v>190</v>
      </c>
      <c r="CK238" s="319" t="s">
        <v>190</v>
      </c>
      <c r="CL238" s="319" t="s">
        <v>190</v>
      </c>
      <c r="CM238" s="319" t="s">
        <v>190</v>
      </c>
      <c r="CN238" s="319" t="s">
        <v>190</v>
      </c>
      <c r="CO238" s="319" t="s">
        <v>190</v>
      </c>
      <c r="CP238" s="319" t="s">
        <v>190</v>
      </c>
      <c r="CQ238" s="319" t="s">
        <v>190</v>
      </c>
      <c r="CR238" s="319" t="s">
        <v>190</v>
      </c>
      <c r="CS238" s="319" t="s">
        <v>190</v>
      </c>
      <c r="CT238" s="319" t="s">
        <v>190</v>
      </c>
      <c r="CU238" s="319" t="s">
        <v>190</v>
      </c>
      <c r="CV238" s="319" t="s">
        <v>190</v>
      </c>
      <c r="CW238" s="319" t="s">
        <v>190</v>
      </c>
      <c r="CX238" s="319" t="s">
        <v>190</v>
      </c>
      <c r="CY238" s="319" t="s">
        <v>190</v>
      </c>
      <c r="CZ238" s="319" t="s">
        <v>190</v>
      </c>
      <c r="DA238" s="319" t="s">
        <v>190</v>
      </c>
      <c r="DB238" s="319" t="s">
        <v>190</v>
      </c>
      <c r="DC238" s="319" t="s">
        <v>190</v>
      </c>
      <c r="DD238" s="319" t="s">
        <v>190</v>
      </c>
      <c r="DE238" s="319" t="s">
        <v>190</v>
      </c>
      <c r="DF238" s="319" t="s">
        <v>190</v>
      </c>
      <c r="DG238" s="319" t="s">
        <v>190</v>
      </c>
      <c r="DH238" s="319" t="s">
        <v>190</v>
      </c>
      <c r="DI238" s="319" t="s">
        <v>190</v>
      </c>
      <c r="DJ238" s="319" t="s">
        <v>190</v>
      </c>
      <c r="DK238" s="319" t="s">
        <v>190</v>
      </c>
      <c r="DL238" s="319" t="s">
        <v>190</v>
      </c>
      <c r="DM238" s="319" t="s">
        <v>190</v>
      </c>
      <c r="DN238" s="319" t="s">
        <v>190</v>
      </c>
      <c r="DO238" s="319" t="s">
        <v>190</v>
      </c>
      <c r="DP238" s="319" t="s">
        <v>190</v>
      </c>
      <c r="DQ238" s="319" t="s">
        <v>190</v>
      </c>
      <c r="DR238" s="319" t="s">
        <v>190</v>
      </c>
      <c r="DS238" s="319" t="s">
        <v>190</v>
      </c>
      <c r="DT238" s="319" t="s">
        <v>190</v>
      </c>
      <c r="DU238" s="319" t="s">
        <v>190</v>
      </c>
      <c r="DV238" s="319" t="s">
        <v>173</v>
      </c>
      <c r="DW238" s="319" t="s">
        <v>190</v>
      </c>
      <c r="DX238" s="319" t="s">
        <v>190</v>
      </c>
      <c r="DY238" s="319" t="s">
        <v>190</v>
      </c>
      <c r="DZ238" s="319" t="s">
        <v>190</v>
      </c>
      <c r="EA238" s="319" t="s">
        <v>190</v>
      </c>
      <c r="EB238" s="319" t="s">
        <v>190</v>
      </c>
      <c r="EC238" s="319" t="s">
        <v>428</v>
      </c>
      <c r="ED238" s="319" t="s">
        <v>190</v>
      </c>
      <c r="EE238" s="319" t="s">
        <v>190</v>
      </c>
      <c r="EF238" s="319" t="s">
        <v>190</v>
      </c>
      <c r="EG238" s="319" t="s">
        <v>190</v>
      </c>
      <c r="EH238" s="319" t="s">
        <v>190</v>
      </c>
      <c r="EI238" s="319" t="s">
        <v>190</v>
      </c>
      <c r="EJ238" s="319" t="s">
        <v>190</v>
      </c>
      <c r="EK238" s="319" t="s">
        <v>190</v>
      </c>
      <c r="EL238" s="319" t="s">
        <v>190</v>
      </c>
      <c r="EM238" s="319" t="s">
        <v>190</v>
      </c>
      <c r="EN238" s="319" t="s">
        <v>190</v>
      </c>
      <c r="EO238" s="319" t="s">
        <v>190</v>
      </c>
      <c r="EP238" s="319" t="s">
        <v>190</v>
      </c>
      <c r="EQ238" s="319" t="s">
        <v>190</v>
      </c>
      <c r="ER238" s="319" t="s">
        <v>190</v>
      </c>
      <c r="ES238" s="319" t="s">
        <v>190</v>
      </c>
      <c r="ET238" s="319" t="s">
        <v>190</v>
      </c>
      <c r="EU238" s="319" t="s">
        <v>190</v>
      </c>
      <c r="EV238" s="319" t="s">
        <v>190</v>
      </c>
      <c r="EW238" s="319" t="s">
        <v>190</v>
      </c>
      <c r="EX238" s="319" t="s">
        <v>190</v>
      </c>
      <c r="EY238" s="319" t="s">
        <v>190</v>
      </c>
      <c r="EZ238" s="319" t="s">
        <v>190</v>
      </c>
      <c r="FA238" s="319" t="s">
        <v>190</v>
      </c>
      <c r="FB238" s="319" t="s">
        <v>190</v>
      </c>
      <c r="FC238" s="319" t="s">
        <v>190</v>
      </c>
      <c r="FD238" s="319" t="s">
        <v>190</v>
      </c>
      <c r="FE238" s="319" t="s">
        <v>190</v>
      </c>
      <c r="FF238" s="319" t="s">
        <v>190</v>
      </c>
      <c r="FG238" s="319" t="s">
        <v>190</v>
      </c>
      <c r="FH238" s="319" t="s">
        <v>190</v>
      </c>
      <c r="FI238" s="319" t="s">
        <v>190</v>
      </c>
      <c r="FJ238" s="319" t="s">
        <v>190</v>
      </c>
      <c r="FK238" s="319" t="s">
        <v>190</v>
      </c>
      <c r="FL238" s="319" t="s">
        <v>190</v>
      </c>
      <c r="FM238" s="319" t="s">
        <v>190</v>
      </c>
      <c r="FN238" s="319" t="s">
        <v>190</v>
      </c>
      <c r="FO238" s="319" t="s">
        <v>190</v>
      </c>
      <c r="FP238" s="319" t="s">
        <v>190</v>
      </c>
      <c r="FQ238" s="319" t="s">
        <v>190</v>
      </c>
      <c r="FR238" s="319" t="s">
        <v>190</v>
      </c>
      <c r="FS238" s="319" t="s">
        <v>190</v>
      </c>
      <c r="FT238" s="319" t="s">
        <v>190</v>
      </c>
      <c r="FU238" s="319" t="s">
        <v>190</v>
      </c>
      <c r="FV238" s="319" t="s">
        <v>190</v>
      </c>
      <c r="FW238" s="319" t="s">
        <v>190</v>
      </c>
      <c r="FX238" s="319" t="s">
        <v>190</v>
      </c>
      <c r="FY238" s="319" t="s">
        <v>190</v>
      </c>
      <c r="FZ238" s="319" t="s">
        <v>190</v>
      </c>
      <c r="GA238" s="319" t="s">
        <v>190</v>
      </c>
      <c r="GB238" s="319" t="s">
        <v>190</v>
      </c>
      <c r="GC238" s="319" t="s">
        <v>190</v>
      </c>
      <c r="GD238" s="319" t="s">
        <v>190</v>
      </c>
      <c r="GE238" s="319" t="s">
        <v>190</v>
      </c>
      <c r="GF238" s="319" t="s">
        <v>190</v>
      </c>
      <c r="GG238" s="319" t="s">
        <v>190</v>
      </c>
      <c r="GH238" s="319" t="s">
        <v>190</v>
      </c>
      <c r="GI238" s="319" t="s">
        <v>190</v>
      </c>
      <c r="GJ238" s="319" t="s">
        <v>190</v>
      </c>
      <c r="GK238" s="319" t="s">
        <v>428</v>
      </c>
      <c r="GL238" s="319" t="s">
        <v>190</v>
      </c>
      <c r="GM238" s="319" t="s">
        <v>190</v>
      </c>
      <c r="GN238" s="319" t="s">
        <v>190</v>
      </c>
      <c r="GO238" s="319" t="s">
        <v>190</v>
      </c>
      <c r="GP238" s="319" t="s">
        <v>190</v>
      </c>
      <c r="GQ238" s="319" t="s">
        <v>190</v>
      </c>
      <c r="GR238" s="319" t="s">
        <v>190</v>
      </c>
      <c r="GS238" s="319" t="s">
        <v>190</v>
      </c>
      <c r="GT238" s="319" t="s">
        <v>190</v>
      </c>
      <c r="GU238" s="319" t="s">
        <v>190</v>
      </c>
      <c r="GV238" s="319" t="s">
        <v>190</v>
      </c>
      <c r="GW238" s="319" t="s">
        <v>190</v>
      </c>
      <c r="GX238" s="319" t="s">
        <v>190</v>
      </c>
      <c r="GY238" s="319" t="s">
        <v>190</v>
      </c>
      <c r="GZ238" s="319" t="s">
        <v>190</v>
      </c>
      <c r="HA238" s="319" t="s">
        <v>190</v>
      </c>
      <c r="HB238" s="319" t="s">
        <v>190</v>
      </c>
      <c r="HC238" s="319" t="s">
        <v>190</v>
      </c>
      <c r="HD238" s="319" t="s">
        <v>190</v>
      </c>
      <c r="HE238" s="319" t="s">
        <v>190</v>
      </c>
      <c r="HF238" s="319" t="s">
        <v>190</v>
      </c>
      <c r="HG238" s="319" t="s">
        <v>190</v>
      </c>
      <c r="HH238" s="319" t="s">
        <v>190</v>
      </c>
      <c r="HI238" s="319" t="s">
        <v>190</v>
      </c>
      <c r="HJ238" s="319" t="s">
        <v>190</v>
      </c>
      <c r="HK238" s="319" t="s">
        <v>190</v>
      </c>
      <c r="HL238" s="319" t="s">
        <v>190</v>
      </c>
      <c r="HM238" s="319" t="s">
        <v>190</v>
      </c>
      <c r="HN238" s="319" t="s">
        <v>190</v>
      </c>
      <c r="HO238" s="319" t="s">
        <v>190</v>
      </c>
      <c r="HP238" s="319" t="s">
        <v>190</v>
      </c>
      <c r="HQ238" s="319" t="s">
        <v>190</v>
      </c>
      <c r="HR238" s="319" t="s">
        <v>190</v>
      </c>
      <c r="HS238" s="319" t="s">
        <v>190</v>
      </c>
      <c r="HT238" s="319" t="s">
        <v>190</v>
      </c>
      <c r="HU238" s="319" t="s">
        <v>190</v>
      </c>
      <c r="HV238" s="319" t="s">
        <v>190</v>
      </c>
      <c r="HW238" s="319" t="s">
        <v>190</v>
      </c>
      <c r="HX238" s="319" t="s">
        <v>190</v>
      </c>
      <c r="HY238" s="319" t="s">
        <v>190</v>
      </c>
      <c r="HZ238" s="319" t="s">
        <v>190</v>
      </c>
      <c r="IA238" s="319" t="s">
        <v>190</v>
      </c>
      <c r="IB238" s="319" t="s">
        <v>190</v>
      </c>
      <c r="IC238" s="319" t="s">
        <v>190</v>
      </c>
      <c r="ID238" s="319" t="s">
        <v>190</v>
      </c>
      <c r="IE238" s="319" t="s">
        <v>190</v>
      </c>
      <c r="IF238" s="319" t="s">
        <v>190</v>
      </c>
      <c r="IG238" s="319" t="s">
        <v>190</v>
      </c>
      <c r="IH238" s="319" t="s">
        <v>190</v>
      </c>
      <c r="II238" s="319" t="s">
        <v>190</v>
      </c>
      <c r="IJ238" s="319">
        <v>10025565</v>
      </c>
      <c r="IK238" s="321">
        <v>42752</v>
      </c>
      <c r="IL238" s="321">
        <v>42754</v>
      </c>
      <c r="IM238" s="321">
        <v>42849</v>
      </c>
      <c r="IN238" s="319">
        <v>4</v>
      </c>
      <c r="IO238" s="319" t="s">
        <v>173</v>
      </c>
      <c r="IP238" s="319" t="s">
        <v>173</v>
      </c>
      <c r="IQ238" s="319" t="s">
        <v>173</v>
      </c>
      <c r="IR238" s="320" t="s">
        <v>173</v>
      </c>
      <c r="IS238" s="320" t="s">
        <v>173</v>
      </c>
      <c r="IT238" s="319" t="s">
        <v>173</v>
      </c>
    </row>
    <row r="239" spans="1:254" s="271" customFormat="1" x14ac:dyDescent="0.25">
      <c r="A239" s="318" t="str">
        <f>HYPERLINK("http://www.ofsted.gov.uk/inspection-reports/find-inspection-report/provider/ELS/124488 ","Ofsted School Webpage")</f>
        <v>Ofsted School Webpage</v>
      </c>
      <c r="B239" s="319">
        <v>124488</v>
      </c>
      <c r="C239" s="319">
        <v>8606022</v>
      </c>
      <c r="D239" s="319" t="s">
        <v>1542</v>
      </c>
      <c r="E239" s="319" t="s">
        <v>168</v>
      </c>
      <c r="F239" s="319" t="s">
        <v>81</v>
      </c>
      <c r="G239" s="319" t="s">
        <v>81</v>
      </c>
      <c r="H239" s="319" t="s">
        <v>81</v>
      </c>
      <c r="I239" s="319" t="s">
        <v>78</v>
      </c>
      <c r="J239" s="319" t="s">
        <v>424</v>
      </c>
      <c r="K239" s="319" t="s">
        <v>437</v>
      </c>
      <c r="L239" s="319" t="s">
        <v>437</v>
      </c>
      <c r="M239" s="319" t="s">
        <v>577</v>
      </c>
      <c r="N239" s="319" t="s">
        <v>3031</v>
      </c>
      <c r="O239" s="319" t="s">
        <v>1543</v>
      </c>
      <c r="P239" s="319">
        <v>98</v>
      </c>
      <c r="Q239" s="319" t="s">
        <v>429</v>
      </c>
      <c r="R239" s="320">
        <v>10026104</v>
      </c>
      <c r="S239" s="321">
        <v>43039</v>
      </c>
      <c r="T239" s="321">
        <v>43041</v>
      </c>
      <c r="U239" s="321">
        <v>43063</v>
      </c>
      <c r="V239" s="319" t="s">
        <v>425</v>
      </c>
      <c r="W239" s="319" t="s">
        <v>2767</v>
      </c>
      <c r="X239" s="319">
        <v>1</v>
      </c>
      <c r="Y239" s="319" t="s">
        <v>173</v>
      </c>
      <c r="Z239" s="319" t="s">
        <v>173</v>
      </c>
      <c r="AA239" s="319" t="s">
        <v>173</v>
      </c>
      <c r="AB239" s="319">
        <v>1</v>
      </c>
      <c r="AC239" s="319" t="s">
        <v>169</v>
      </c>
      <c r="AD239" s="319" t="s">
        <v>173</v>
      </c>
      <c r="AE239" s="319" t="s">
        <v>173</v>
      </c>
      <c r="AF239" s="319" t="s">
        <v>427</v>
      </c>
      <c r="AG239" s="319" t="s">
        <v>171</v>
      </c>
      <c r="AH239" s="319" t="s">
        <v>190</v>
      </c>
      <c r="AI239" s="319" t="s">
        <v>190</v>
      </c>
      <c r="AJ239" s="319" t="s">
        <v>190</v>
      </c>
      <c r="AK239" s="319" t="s">
        <v>190</v>
      </c>
      <c r="AL239" s="319" t="s">
        <v>190</v>
      </c>
      <c r="AM239" s="319" t="s">
        <v>190</v>
      </c>
      <c r="AN239" s="319" t="s">
        <v>190</v>
      </c>
      <c r="AO239" s="319" t="s">
        <v>190</v>
      </c>
      <c r="AP239" s="319" t="s">
        <v>190</v>
      </c>
      <c r="AQ239" s="319" t="s">
        <v>190</v>
      </c>
      <c r="AR239" s="319" t="s">
        <v>190</v>
      </c>
      <c r="AS239" s="319" t="s">
        <v>190</v>
      </c>
      <c r="AT239" s="319" t="s">
        <v>190</v>
      </c>
      <c r="AU239" s="319" t="s">
        <v>190</v>
      </c>
      <c r="AV239" s="319" t="s">
        <v>190</v>
      </c>
      <c r="AW239" s="319" t="s">
        <v>190</v>
      </c>
      <c r="AX239" s="319" t="s">
        <v>428</v>
      </c>
      <c r="AY239" s="319" t="s">
        <v>190</v>
      </c>
      <c r="AZ239" s="319" t="s">
        <v>190</v>
      </c>
      <c r="BA239" s="319" t="s">
        <v>190</v>
      </c>
      <c r="BB239" s="319" t="s">
        <v>190</v>
      </c>
      <c r="BC239" s="319" t="s">
        <v>190</v>
      </c>
      <c r="BD239" s="319" t="s">
        <v>190</v>
      </c>
      <c r="BE239" s="319" t="s">
        <v>190</v>
      </c>
      <c r="BF239" s="319" t="s">
        <v>428</v>
      </c>
      <c r="BG239" s="319" t="s">
        <v>190</v>
      </c>
      <c r="BH239" s="319" t="s">
        <v>190</v>
      </c>
      <c r="BI239" s="319" t="s">
        <v>190</v>
      </c>
      <c r="BJ239" s="319" t="s">
        <v>190</v>
      </c>
      <c r="BK239" s="319" t="s">
        <v>190</v>
      </c>
      <c r="BL239" s="319" t="s">
        <v>190</v>
      </c>
      <c r="BM239" s="319" t="s">
        <v>190</v>
      </c>
      <c r="BN239" s="319" t="s">
        <v>190</v>
      </c>
      <c r="BO239" s="319" t="s">
        <v>190</v>
      </c>
      <c r="BP239" s="319" t="s">
        <v>190</v>
      </c>
      <c r="BQ239" s="319" t="s">
        <v>190</v>
      </c>
      <c r="BR239" s="319" t="s">
        <v>190</v>
      </c>
      <c r="BS239" s="319" t="s">
        <v>190</v>
      </c>
      <c r="BT239" s="319" t="s">
        <v>190</v>
      </c>
      <c r="BU239" s="319" t="s">
        <v>190</v>
      </c>
      <c r="BV239" s="319" t="s">
        <v>190</v>
      </c>
      <c r="BW239" s="319" t="s">
        <v>190</v>
      </c>
      <c r="BX239" s="319" t="s">
        <v>190</v>
      </c>
      <c r="BY239" s="319" t="s">
        <v>190</v>
      </c>
      <c r="BZ239" s="319" t="s">
        <v>190</v>
      </c>
      <c r="CA239" s="319" t="s">
        <v>190</v>
      </c>
      <c r="CB239" s="319" t="s">
        <v>190</v>
      </c>
      <c r="CC239" s="319" t="s">
        <v>190</v>
      </c>
      <c r="CD239" s="319" t="s">
        <v>190</v>
      </c>
      <c r="CE239" s="319" t="s">
        <v>190</v>
      </c>
      <c r="CF239" s="319" t="s">
        <v>190</v>
      </c>
      <c r="CG239" s="319" t="s">
        <v>190</v>
      </c>
      <c r="CH239" s="319" t="s">
        <v>190</v>
      </c>
      <c r="CI239" s="319" t="s">
        <v>190</v>
      </c>
      <c r="CJ239" s="319" t="s">
        <v>190</v>
      </c>
      <c r="CK239" s="319" t="s">
        <v>190</v>
      </c>
      <c r="CL239" s="319" t="s">
        <v>190</v>
      </c>
      <c r="CM239" s="319" t="s">
        <v>190</v>
      </c>
      <c r="CN239" s="319" t="s">
        <v>428</v>
      </c>
      <c r="CO239" s="319" t="s">
        <v>428</v>
      </c>
      <c r="CP239" s="319" t="s">
        <v>428</v>
      </c>
      <c r="CQ239" s="319" t="s">
        <v>190</v>
      </c>
      <c r="CR239" s="319" t="s">
        <v>190</v>
      </c>
      <c r="CS239" s="319" t="s">
        <v>190</v>
      </c>
      <c r="CT239" s="319" t="s">
        <v>190</v>
      </c>
      <c r="CU239" s="319" t="s">
        <v>190</v>
      </c>
      <c r="CV239" s="319" t="s">
        <v>190</v>
      </c>
      <c r="CW239" s="319" t="s">
        <v>190</v>
      </c>
      <c r="CX239" s="319" t="s">
        <v>190</v>
      </c>
      <c r="CY239" s="319" t="s">
        <v>190</v>
      </c>
      <c r="CZ239" s="319" t="s">
        <v>190</v>
      </c>
      <c r="DA239" s="319" t="s">
        <v>190</v>
      </c>
      <c r="DB239" s="319" t="s">
        <v>190</v>
      </c>
      <c r="DC239" s="319" t="s">
        <v>190</v>
      </c>
      <c r="DD239" s="319" t="s">
        <v>190</v>
      </c>
      <c r="DE239" s="319" t="s">
        <v>190</v>
      </c>
      <c r="DF239" s="319" t="s">
        <v>190</v>
      </c>
      <c r="DG239" s="319" t="s">
        <v>190</v>
      </c>
      <c r="DH239" s="319" t="s">
        <v>190</v>
      </c>
      <c r="DI239" s="319" t="s">
        <v>190</v>
      </c>
      <c r="DJ239" s="319" t="s">
        <v>190</v>
      </c>
      <c r="DK239" s="319" t="s">
        <v>190</v>
      </c>
      <c r="DL239" s="319" t="s">
        <v>190</v>
      </c>
      <c r="DM239" s="319" t="s">
        <v>190</v>
      </c>
      <c r="DN239" s="319" t="s">
        <v>190</v>
      </c>
      <c r="DO239" s="319" t="s">
        <v>190</v>
      </c>
      <c r="DP239" s="319" t="s">
        <v>428</v>
      </c>
      <c r="DQ239" s="319" t="s">
        <v>428</v>
      </c>
      <c r="DR239" s="319" t="s">
        <v>428</v>
      </c>
      <c r="DS239" s="319" t="s">
        <v>428</v>
      </c>
      <c r="DT239" s="319" t="s">
        <v>428</v>
      </c>
      <c r="DU239" s="319" t="s">
        <v>428</v>
      </c>
      <c r="DV239" s="319" t="s">
        <v>173</v>
      </c>
      <c r="DW239" s="319" t="s">
        <v>428</v>
      </c>
      <c r="DX239" s="319" t="s">
        <v>428</v>
      </c>
      <c r="DY239" s="319" t="s">
        <v>428</v>
      </c>
      <c r="DZ239" s="319" t="s">
        <v>428</v>
      </c>
      <c r="EA239" s="319" t="s">
        <v>428</v>
      </c>
      <c r="EB239" s="319" t="s">
        <v>428</v>
      </c>
      <c r="EC239" s="319" t="s">
        <v>428</v>
      </c>
      <c r="ED239" s="319" t="s">
        <v>428</v>
      </c>
      <c r="EE239" s="319" t="s">
        <v>190</v>
      </c>
      <c r="EF239" s="319" t="s">
        <v>190</v>
      </c>
      <c r="EG239" s="319" t="s">
        <v>190</v>
      </c>
      <c r="EH239" s="319" t="s">
        <v>190</v>
      </c>
      <c r="EI239" s="319" t="s">
        <v>190</v>
      </c>
      <c r="EJ239" s="319" t="s">
        <v>190</v>
      </c>
      <c r="EK239" s="319" t="s">
        <v>190</v>
      </c>
      <c r="EL239" s="319" t="s">
        <v>190</v>
      </c>
      <c r="EM239" s="319" t="s">
        <v>190</v>
      </c>
      <c r="EN239" s="319" t="s">
        <v>190</v>
      </c>
      <c r="EO239" s="319" t="s">
        <v>190</v>
      </c>
      <c r="EP239" s="319" t="s">
        <v>190</v>
      </c>
      <c r="EQ239" s="319" t="s">
        <v>190</v>
      </c>
      <c r="ER239" s="319" t="s">
        <v>190</v>
      </c>
      <c r="ES239" s="319" t="s">
        <v>190</v>
      </c>
      <c r="ET239" s="319" t="s">
        <v>190</v>
      </c>
      <c r="EU239" s="319" t="s">
        <v>190</v>
      </c>
      <c r="EV239" s="319" t="s">
        <v>190</v>
      </c>
      <c r="EW239" s="319" t="s">
        <v>190</v>
      </c>
      <c r="EX239" s="319" t="s">
        <v>190</v>
      </c>
      <c r="EY239" s="319" t="s">
        <v>190</v>
      </c>
      <c r="EZ239" s="319" t="s">
        <v>190</v>
      </c>
      <c r="FA239" s="319" t="s">
        <v>190</v>
      </c>
      <c r="FB239" s="319" t="s">
        <v>190</v>
      </c>
      <c r="FC239" s="319" t="s">
        <v>190</v>
      </c>
      <c r="FD239" s="319" t="s">
        <v>190</v>
      </c>
      <c r="FE239" s="319" t="s">
        <v>190</v>
      </c>
      <c r="FF239" s="319" t="s">
        <v>190</v>
      </c>
      <c r="FG239" s="319" t="s">
        <v>190</v>
      </c>
      <c r="FH239" s="319" t="s">
        <v>190</v>
      </c>
      <c r="FI239" s="319" t="s">
        <v>190</v>
      </c>
      <c r="FJ239" s="319" t="s">
        <v>190</v>
      </c>
      <c r="FK239" s="319" t="s">
        <v>190</v>
      </c>
      <c r="FL239" s="319" t="s">
        <v>190</v>
      </c>
      <c r="FM239" s="319" t="s">
        <v>190</v>
      </c>
      <c r="FN239" s="319" t="s">
        <v>190</v>
      </c>
      <c r="FO239" s="319" t="s">
        <v>190</v>
      </c>
      <c r="FP239" s="319" t="s">
        <v>190</v>
      </c>
      <c r="FQ239" s="319" t="s">
        <v>190</v>
      </c>
      <c r="FR239" s="319" t="s">
        <v>190</v>
      </c>
      <c r="FS239" s="319" t="s">
        <v>190</v>
      </c>
      <c r="FT239" s="319" t="s">
        <v>190</v>
      </c>
      <c r="FU239" s="319" t="s">
        <v>190</v>
      </c>
      <c r="FV239" s="319" t="s">
        <v>190</v>
      </c>
      <c r="FW239" s="319" t="s">
        <v>190</v>
      </c>
      <c r="FX239" s="319" t="s">
        <v>190</v>
      </c>
      <c r="FY239" s="319" t="s">
        <v>190</v>
      </c>
      <c r="FZ239" s="319" t="s">
        <v>190</v>
      </c>
      <c r="GA239" s="319" t="s">
        <v>190</v>
      </c>
      <c r="GB239" s="319" t="s">
        <v>190</v>
      </c>
      <c r="GC239" s="319" t="s">
        <v>190</v>
      </c>
      <c r="GD239" s="319" t="s">
        <v>190</v>
      </c>
      <c r="GE239" s="319" t="s">
        <v>190</v>
      </c>
      <c r="GF239" s="319" t="s">
        <v>190</v>
      </c>
      <c r="GG239" s="319" t="s">
        <v>190</v>
      </c>
      <c r="GH239" s="319" t="s">
        <v>190</v>
      </c>
      <c r="GI239" s="319" t="s">
        <v>190</v>
      </c>
      <c r="GJ239" s="319" t="s">
        <v>190</v>
      </c>
      <c r="GK239" s="319" t="s">
        <v>428</v>
      </c>
      <c r="GL239" s="319" t="s">
        <v>190</v>
      </c>
      <c r="GM239" s="319" t="s">
        <v>190</v>
      </c>
      <c r="GN239" s="319" t="s">
        <v>190</v>
      </c>
      <c r="GO239" s="319" t="s">
        <v>190</v>
      </c>
      <c r="GP239" s="319" t="s">
        <v>190</v>
      </c>
      <c r="GQ239" s="319" t="s">
        <v>428</v>
      </c>
      <c r="GR239" s="319" t="s">
        <v>190</v>
      </c>
      <c r="GS239" s="319" t="s">
        <v>190</v>
      </c>
      <c r="GT239" s="319" t="s">
        <v>190</v>
      </c>
      <c r="GU239" s="319" t="s">
        <v>190</v>
      </c>
      <c r="GV239" s="319" t="s">
        <v>190</v>
      </c>
      <c r="GW239" s="319" t="s">
        <v>190</v>
      </c>
      <c r="GX239" s="319" t="s">
        <v>190</v>
      </c>
      <c r="GY239" s="319" t="s">
        <v>190</v>
      </c>
      <c r="GZ239" s="319" t="s">
        <v>428</v>
      </c>
      <c r="HA239" s="319" t="s">
        <v>190</v>
      </c>
      <c r="HB239" s="319" t="s">
        <v>428</v>
      </c>
      <c r="HC239" s="319" t="s">
        <v>190</v>
      </c>
      <c r="HD239" s="319" t="s">
        <v>190</v>
      </c>
      <c r="HE239" s="319" t="s">
        <v>190</v>
      </c>
      <c r="HF239" s="319" t="s">
        <v>190</v>
      </c>
      <c r="HG239" s="319" t="s">
        <v>190</v>
      </c>
      <c r="HH239" s="319" t="s">
        <v>190</v>
      </c>
      <c r="HI239" s="319" t="s">
        <v>190</v>
      </c>
      <c r="HJ239" s="319" t="s">
        <v>190</v>
      </c>
      <c r="HK239" s="319" t="s">
        <v>190</v>
      </c>
      <c r="HL239" s="319" t="s">
        <v>428</v>
      </c>
      <c r="HM239" s="319" t="s">
        <v>428</v>
      </c>
      <c r="HN239" s="319" t="s">
        <v>428</v>
      </c>
      <c r="HO239" s="319" t="s">
        <v>428</v>
      </c>
      <c r="HP239" s="319" t="s">
        <v>190</v>
      </c>
      <c r="HQ239" s="319" t="s">
        <v>190</v>
      </c>
      <c r="HR239" s="319" t="s">
        <v>190</v>
      </c>
      <c r="HS239" s="319" t="s">
        <v>190</v>
      </c>
      <c r="HT239" s="319" t="s">
        <v>190</v>
      </c>
      <c r="HU239" s="319" t="s">
        <v>190</v>
      </c>
      <c r="HV239" s="319" t="s">
        <v>190</v>
      </c>
      <c r="HW239" s="319" t="s">
        <v>190</v>
      </c>
      <c r="HX239" s="319" t="s">
        <v>190</v>
      </c>
      <c r="HY239" s="319" t="s">
        <v>190</v>
      </c>
      <c r="HZ239" s="319" t="s">
        <v>190</v>
      </c>
      <c r="IA239" s="319" t="s">
        <v>190</v>
      </c>
      <c r="IB239" s="319" t="s">
        <v>190</v>
      </c>
      <c r="IC239" s="319" t="s">
        <v>190</v>
      </c>
      <c r="ID239" s="319" t="s">
        <v>190</v>
      </c>
      <c r="IE239" s="319" t="s">
        <v>190</v>
      </c>
      <c r="IF239" s="319" t="s">
        <v>190</v>
      </c>
      <c r="IG239" s="319" t="s">
        <v>190</v>
      </c>
      <c r="IH239" s="319" t="s">
        <v>190</v>
      </c>
      <c r="II239" s="319" t="s">
        <v>190</v>
      </c>
      <c r="IJ239" s="319" t="s">
        <v>3032</v>
      </c>
      <c r="IK239" s="321">
        <v>42073</v>
      </c>
      <c r="IL239" s="321">
        <v>42075</v>
      </c>
      <c r="IM239" s="321">
        <v>42130</v>
      </c>
      <c r="IN239" s="319">
        <v>2</v>
      </c>
      <c r="IO239" s="319" t="s">
        <v>173</v>
      </c>
      <c r="IP239" s="319" t="s">
        <v>173</v>
      </c>
      <c r="IQ239" s="321" t="s">
        <v>173</v>
      </c>
      <c r="IR239" s="320" t="s">
        <v>173</v>
      </c>
      <c r="IS239" s="322" t="s">
        <v>173</v>
      </c>
      <c r="IT239" s="319" t="s">
        <v>173</v>
      </c>
    </row>
    <row r="240" spans="1:254" s="271" customFormat="1" x14ac:dyDescent="0.25">
      <c r="A240" s="318" t="str">
        <f>HYPERLINK("http://www.ofsted.gov.uk/inspection-reports/find-inspection-report/provider/ELS/124495 ","Ofsted School Webpage")</f>
        <v>Ofsted School Webpage</v>
      </c>
      <c r="B240" s="319">
        <v>124495</v>
      </c>
      <c r="C240" s="319">
        <v>8606017</v>
      </c>
      <c r="D240" s="319" t="s">
        <v>1544</v>
      </c>
      <c r="E240" s="319" t="s">
        <v>168</v>
      </c>
      <c r="F240" s="319" t="s">
        <v>81</v>
      </c>
      <c r="G240" s="319" t="s">
        <v>81</v>
      </c>
      <c r="H240" s="319" t="s">
        <v>81</v>
      </c>
      <c r="I240" s="319" t="s">
        <v>78</v>
      </c>
      <c r="J240" s="319" t="s">
        <v>424</v>
      </c>
      <c r="K240" s="319" t="s">
        <v>437</v>
      </c>
      <c r="L240" s="319" t="s">
        <v>437</v>
      </c>
      <c r="M240" s="319" t="s">
        <v>577</v>
      </c>
      <c r="N240" s="319" t="s">
        <v>3033</v>
      </c>
      <c r="O240" s="319" t="s">
        <v>1545</v>
      </c>
      <c r="P240" s="319">
        <v>46</v>
      </c>
      <c r="Q240" s="319" t="s">
        <v>429</v>
      </c>
      <c r="R240" s="320">
        <v>10012892</v>
      </c>
      <c r="S240" s="321">
        <v>43284</v>
      </c>
      <c r="T240" s="321">
        <v>43286</v>
      </c>
      <c r="U240" s="321">
        <v>43350</v>
      </c>
      <c r="V240" s="319" t="s">
        <v>425</v>
      </c>
      <c r="W240" s="319" t="s">
        <v>2767</v>
      </c>
      <c r="X240" s="319">
        <v>1</v>
      </c>
      <c r="Y240" s="319" t="s">
        <v>173</v>
      </c>
      <c r="Z240" s="319" t="s">
        <v>173</v>
      </c>
      <c r="AA240" s="319" t="s">
        <v>173</v>
      </c>
      <c r="AB240" s="319">
        <v>1</v>
      </c>
      <c r="AC240" s="319" t="s">
        <v>169</v>
      </c>
      <c r="AD240" s="319" t="s">
        <v>173</v>
      </c>
      <c r="AE240" s="319" t="s">
        <v>173</v>
      </c>
      <c r="AF240" s="319" t="s">
        <v>173</v>
      </c>
      <c r="AG240" s="319" t="s">
        <v>171</v>
      </c>
      <c r="AH240" s="319" t="s">
        <v>190</v>
      </c>
      <c r="AI240" s="319" t="s">
        <v>190</v>
      </c>
      <c r="AJ240" s="319" t="s">
        <v>190</v>
      </c>
      <c r="AK240" s="319" t="s">
        <v>190</v>
      </c>
      <c r="AL240" s="319" t="s">
        <v>190</v>
      </c>
      <c r="AM240" s="319" t="s">
        <v>190</v>
      </c>
      <c r="AN240" s="319" t="s">
        <v>190</v>
      </c>
      <c r="AO240" s="319" t="s">
        <v>190</v>
      </c>
      <c r="AP240" s="319" t="s">
        <v>190</v>
      </c>
      <c r="AQ240" s="319" t="s">
        <v>190</v>
      </c>
      <c r="AR240" s="319" t="s">
        <v>190</v>
      </c>
      <c r="AS240" s="319" t="s">
        <v>190</v>
      </c>
      <c r="AT240" s="319" t="s">
        <v>190</v>
      </c>
      <c r="AU240" s="319" t="s">
        <v>190</v>
      </c>
      <c r="AV240" s="319" t="s">
        <v>190</v>
      </c>
      <c r="AW240" s="319" t="s">
        <v>190</v>
      </c>
      <c r="AX240" s="319" t="s">
        <v>429</v>
      </c>
      <c r="AY240" s="319" t="s">
        <v>190</v>
      </c>
      <c r="AZ240" s="319" t="s">
        <v>190</v>
      </c>
      <c r="BA240" s="319" t="s">
        <v>190</v>
      </c>
      <c r="BB240" s="319" t="s">
        <v>190</v>
      </c>
      <c r="BC240" s="319" t="s">
        <v>190</v>
      </c>
      <c r="BD240" s="319" t="s">
        <v>190</v>
      </c>
      <c r="BE240" s="319" t="s">
        <v>190</v>
      </c>
      <c r="BF240" s="319" t="s">
        <v>429</v>
      </c>
      <c r="BG240" s="319" t="s">
        <v>429</v>
      </c>
      <c r="BH240" s="319" t="s">
        <v>190</v>
      </c>
      <c r="BI240" s="319" t="s">
        <v>190</v>
      </c>
      <c r="BJ240" s="319" t="s">
        <v>190</v>
      </c>
      <c r="BK240" s="319" t="s">
        <v>190</v>
      </c>
      <c r="BL240" s="319" t="s">
        <v>190</v>
      </c>
      <c r="BM240" s="319" t="s">
        <v>190</v>
      </c>
      <c r="BN240" s="319" t="s">
        <v>190</v>
      </c>
      <c r="BO240" s="319" t="s">
        <v>190</v>
      </c>
      <c r="BP240" s="319" t="s">
        <v>190</v>
      </c>
      <c r="BQ240" s="319" t="s">
        <v>190</v>
      </c>
      <c r="BR240" s="319" t="s">
        <v>190</v>
      </c>
      <c r="BS240" s="319" t="s">
        <v>190</v>
      </c>
      <c r="BT240" s="319" t="s">
        <v>190</v>
      </c>
      <c r="BU240" s="319" t="s">
        <v>190</v>
      </c>
      <c r="BV240" s="319" t="s">
        <v>190</v>
      </c>
      <c r="BW240" s="319" t="s">
        <v>190</v>
      </c>
      <c r="BX240" s="319" t="s">
        <v>190</v>
      </c>
      <c r="BY240" s="319" t="s">
        <v>190</v>
      </c>
      <c r="BZ240" s="319" t="s">
        <v>190</v>
      </c>
      <c r="CA240" s="319" t="s">
        <v>190</v>
      </c>
      <c r="CB240" s="319" t="s">
        <v>190</v>
      </c>
      <c r="CC240" s="319" t="s">
        <v>190</v>
      </c>
      <c r="CD240" s="319" t="s">
        <v>190</v>
      </c>
      <c r="CE240" s="319" t="s">
        <v>190</v>
      </c>
      <c r="CF240" s="319" t="s">
        <v>190</v>
      </c>
      <c r="CG240" s="319" t="s">
        <v>190</v>
      </c>
      <c r="CH240" s="319" t="s">
        <v>190</v>
      </c>
      <c r="CI240" s="319" t="s">
        <v>190</v>
      </c>
      <c r="CJ240" s="319" t="s">
        <v>190</v>
      </c>
      <c r="CK240" s="319" t="s">
        <v>190</v>
      </c>
      <c r="CL240" s="319" t="s">
        <v>190</v>
      </c>
      <c r="CM240" s="319" t="s">
        <v>190</v>
      </c>
      <c r="CN240" s="319" t="s">
        <v>190</v>
      </c>
      <c r="CO240" s="319" t="s">
        <v>429</v>
      </c>
      <c r="CP240" s="319" t="s">
        <v>429</v>
      </c>
      <c r="CQ240" s="319" t="s">
        <v>190</v>
      </c>
      <c r="CR240" s="319" t="s">
        <v>190</v>
      </c>
      <c r="CS240" s="319" t="s">
        <v>190</v>
      </c>
      <c r="CT240" s="319" t="s">
        <v>190</v>
      </c>
      <c r="CU240" s="319" t="s">
        <v>190</v>
      </c>
      <c r="CV240" s="319" t="s">
        <v>190</v>
      </c>
      <c r="CW240" s="319" t="s">
        <v>190</v>
      </c>
      <c r="CX240" s="319" t="s">
        <v>190</v>
      </c>
      <c r="CY240" s="319" t="s">
        <v>190</v>
      </c>
      <c r="CZ240" s="319" t="s">
        <v>190</v>
      </c>
      <c r="DA240" s="319" t="s">
        <v>190</v>
      </c>
      <c r="DB240" s="319" t="s">
        <v>190</v>
      </c>
      <c r="DC240" s="319" t="s">
        <v>190</v>
      </c>
      <c r="DD240" s="319" t="s">
        <v>190</v>
      </c>
      <c r="DE240" s="319" t="s">
        <v>190</v>
      </c>
      <c r="DF240" s="319" t="s">
        <v>190</v>
      </c>
      <c r="DG240" s="319" t="s">
        <v>190</v>
      </c>
      <c r="DH240" s="319" t="s">
        <v>190</v>
      </c>
      <c r="DI240" s="319" t="s">
        <v>190</v>
      </c>
      <c r="DJ240" s="319" t="s">
        <v>190</v>
      </c>
      <c r="DK240" s="319" t="s">
        <v>190</v>
      </c>
      <c r="DL240" s="319" t="s">
        <v>190</v>
      </c>
      <c r="DM240" s="319" t="s">
        <v>190</v>
      </c>
      <c r="DN240" s="319" t="s">
        <v>429</v>
      </c>
      <c r="DO240" s="319" t="s">
        <v>190</v>
      </c>
      <c r="DP240" s="319" t="s">
        <v>190</v>
      </c>
      <c r="DQ240" s="319" t="s">
        <v>190</v>
      </c>
      <c r="DR240" s="319" t="s">
        <v>190</v>
      </c>
      <c r="DS240" s="319" t="s">
        <v>190</v>
      </c>
      <c r="DT240" s="319" t="s">
        <v>190</v>
      </c>
      <c r="DU240" s="319" t="s">
        <v>190</v>
      </c>
      <c r="DV240" s="319" t="s">
        <v>173</v>
      </c>
      <c r="DW240" s="319" t="s">
        <v>190</v>
      </c>
      <c r="DX240" s="319" t="s">
        <v>190</v>
      </c>
      <c r="DY240" s="319" t="s">
        <v>190</v>
      </c>
      <c r="DZ240" s="319" t="s">
        <v>190</v>
      </c>
      <c r="EA240" s="319" t="s">
        <v>190</v>
      </c>
      <c r="EB240" s="319" t="s">
        <v>190</v>
      </c>
      <c r="EC240" s="319" t="s">
        <v>429</v>
      </c>
      <c r="ED240" s="319" t="s">
        <v>190</v>
      </c>
      <c r="EE240" s="319" t="s">
        <v>190</v>
      </c>
      <c r="EF240" s="319" t="s">
        <v>190</v>
      </c>
      <c r="EG240" s="319" t="s">
        <v>190</v>
      </c>
      <c r="EH240" s="319" t="s">
        <v>190</v>
      </c>
      <c r="EI240" s="319" t="s">
        <v>190</v>
      </c>
      <c r="EJ240" s="319" t="s">
        <v>190</v>
      </c>
      <c r="EK240" s="319" t="s">
        <v>190</v>
      </c>
      <c r="EL240" s="319" t="s">
        <v>190</v>
      </c>
      <c r="EM240" s="319" t="s">
        <v>190</v>
      </c>
      <c r="EN240" s="319" t="s">
        <v>190</v>
      </c>
      <c r="EO240" s="319" t="s">
        <v>190</v>
      </c>
      <c r="EP240" s="319" t="s">
        <v>190</v>
      </c>
      <c r="EQ240" s="319" t="s">
        <v>190</v>
      </c>
      <c r="ER240" s="319" t="s">
        <v>190</v>
      </c>
      <c r="ES240" s="319" t="s">
        <v>190</v>
      </c>
      <c r="ET240" s="319" t="s">
        <v>190</v>
      </c>
      <c r="EU240" s="319" t="s">
        <v>190</v>
      </c>
      <c r="EV240" s="319" t="s">
        <v>190</v>
      </c>
      <c r="EW240" s="319" t="s">
        <v>190</v>
      </c>
      <c r="EX240" s="319" t="s">
        <v>190</v>
      </c>
      <c r="EY240" s="319" t="s">
        <v>190</v>
      </c>
      <c r="EZ240" s="319" t="s">
        <v>190</v>
      </c>
      <c r="FA240" s="319" t="s">
        <v>190</v>
      </c>
      <c r="FB240" s="319" t="s">
        <v>190</v>
      </c>
      <c r="FC240" s="319" t="s">
        <v>190</v>
      </c>
      <c r="FD240" s="319" t="s">
        <v>190</v>
      </c>
      <c r="FE240" s="319" t="s">
        <v>190</v>
      </c>
      <c r="FF240" s="319" t="s">
        <v>190</v>
      </c>
      <c r="FG240" s="319" t="s">
        <v>190</v>
      </c>
      <c r="FH240" s="319" t="s">
        <v>190</v>
      </c>
      <c r="FI240" s="319" t="s">
        <v>190</v>
      </c>
      <c r="FJ240" s="319" t="s">
        <v>190</v>
      </c>
      <c r="FK240" s="319" t="s">
        <v>190</v>
      </c>
      <c r="FL240" s="319" t="s">
        <v>190</v>
      </c>
      <c r="FM240" s="319" t="s">
        <v>190</v>
      </c>
      <c r="FN240" s="319" t="s">
        <v>190</v>
      </c>
      <c r="FO240" s="319" t="s">
        <v>190</v>
      </c>
      <c r="FP240" s="319" t="s">
        <v>190</v>
      </c>
      <c r="FQ240" s="319" t="s">
        <v>190</v>
      </c>
      <c r="FR240" s="319" t="s">
        <v>190</v>
      </c>
      <c r="FS240" s="319" t="s">
        <v>429</v>
      </c>
      <c r="FT240" s="319" t="s">
        <v>190</v>
      </c>
      <c r="FU240" s="319" t="s">
        <v>190</v>
      </c>
      <c r="FV240" s="319" t="s">
        <v>190</v>
      </c>
      <c r="FW240" s="319" t="s">
        <v>190</v>
      </c>
      <c r="FX240" s="319" t="s">
        <v>190</v>
      </c>
      <c r="FY240" s="319" t="s">
        <v>190</v>
      </c>
      <c r="FZ240" s="319" t="s">
        <v>190</v>
      </c>
      <c r="GA240" s="319" t="s">
        <v>190</v>
      </c>
      <c r="GB240" s="319" t="s">
        <v>190</v>
      </c>
      <c r="GC240" s="319" t="s">
        <v>190</v>
      </c>
      <c r="GD240" s="319" t="s">
        <v>190</v>
      </c>
      <c r="GE240" s="319" t="s">
        <v>190</v>
      </c>
      <c r="GF240" s="319" t="s">
        <v>190</v>
      </c>
      <c r="GG240" s="319" t="s">
        <v>190</v>
      </c>
      <c r="GH240" s="319" t="s">
        <v>190</v>
      </c>
      <c r="GI240" s="319" t="s">
        <v>190</v>
      </c>
      <c r="GJ240" s="319" t="s">
        <v>190</v>
      </c>
      <c r="GK240" s="319" t="s">
        <v>429</v>
      </c>
      <c r="GL240" s="319" t="s">
        <v>190</v>
      </c>
      <c r="GM240" s="319" t="s">
        <v>190</v>
      </c>
      <c r="GN240" s="319" t="s">
        <v>190</v>
      </c>
      <c r="GO240" s="319" t="s">
        <v>190</v>
      </c>
      <c r="GP240" s="319" t="s">
        <v>190</v>
      </c>
      <c r="GQ240" s="319" t="s">
        <v>190</v>
      </c>
      <c r="GR240" s="319" t="s">
        <v>190</v>
      </c>
      <c r="GS240" s="319" t="s">
        <v>190</v>
      </c>
      <c r="GT240" s="319" t="s">
        <v>190</v>
      </c>
      <c r="GU240" s="319" t="s">
        <v>190</v>
      </c>
      <c r="GV240" s="319" t="s">
        <v>190</v>
      </c>
      <c r="GW240" s="319" t="s">
        <v>190</v>
      </c>
      <c r="GX240" s="319" t="s">
        <v>190</v>
      </c>
      <c r="GY240" s="319" t="s">
        <v>190</v>
      </c>
      <c r="GZ240" s="319" t="s">
        <v>190</v>
      </c>
      <c r="HA240" s="319" t="s">
        <v>190</v>
      </c>
      <c r="HB240" s="319" t="s">
        <v>429</v>
      </c>
      <c r="HC240" s="319" t="s">
        <v>190</v>
      </c>
      <c r="HD240" s="319" t="s">
        <v>190</v>
      </c>
      <c r="HE240" s="319" t="s">
        <v>190</v>
      </c>
      <c r="HF240" s="319" t="s">
        <v>190</v>
      </c>
      <c r="HG240" s="319" t="s">
        <v>190</v>
      </c>
      <c r="HH240" s="319" t="s">
        <v>190</v>
      </c>
      <c r="HI240" s="319" t="s">
        <v>190</v>
      </c>
      <c r="HJ240" s="319" t="s">
        <v>190</v>
      </c>
      <c r="HK240" s="319" t="s">
        <v>190</v>
      </c>
      <c r="HL240" s="319" t="s">
        <v>190</v>
      </c>
      <c r="HM240" s="319" t="s">
        <v>429</v>
      </c>
      <c r="HN240" s="319" t="s">
        <v>429</v>
      </c>
      <c r="HO240" s="319" t="s">
        <v>429</v>
      </c>
      <c r="HP240" s="319" t="s">
        <v>190</v>
      </c>
      <c r="HQ240" s="319" t="s">
        <v>190</v>
      </c>
      <c r="HR240" s="319" t="s">
        <v>190</v>
      </c>
      <c r="HS240" s="319" t="s">
        <v>190</v>
      </c>
      <c r="HT240" s="319" t="s">
        <v>190</v>
      </c>
      <c r="HU240" s="319" t="s">
        <v>190</v>
      </c>
      <c r="HV240" s="319" t="s">
        <v>190</v>
      </c>
      <c r="HW240" s="319" t="s">
        <v>190</v>
      </c>
      <c r="HX240" s="319" t="s">
        <v>190</v>
      </c>
      <c r="HY240" s="319" t="s">
        <v>190</v>
      </c>
      <c r="HZ240" s="319" t="s">
        <v>190</v>
      </c>
      <c r="IA240" s="319" t="s">
        <v>190</v>
      </c>
      <c r="IB240" s="319" t="s">
        <v>190</v>
      </c>
      <c r="IC240" s="319" t="s">
        <v>190</v>
      </c>
      <c r="ID240" s="319" t="s">
        <v>190</v>
      </c>
      <c r="IE240" s="319" t="s">
        <v>190</v>
      </c>
      <c r="IF240" s="319" t="s">
        <v>190</v>
      </c>
      <c r="IG240" s="319" t="s">
        <v>190</v>
      </c>
      <c r="IH240" s="319" t="s">
        <v>190</v>
      </c>
      <c r="II240" s="319" t="s">
        <v>190</v>
      </c>
      <c r="IJ240" s="319" t="s">
        <v>3034</v>
      </c>
      <c r="IK240" s="321">
        <v>41555</v>
      </c>
      <c r="IL240" s="321">
        <v>41557</v>
      </c>
      <c r="IM240" s="321">
        <v>41599</v>
      </c>
      <c r="IN240" s="319">
        <v>1</v>
      </c>
      <c r="IO240" s="319" t="s">
        <v>173</v>
      </c>
      <c r="IP240" s="319" t="s">
        <v>173</v>
      </c>
      <c r="IQ240" s="321" t="s">
        <v>173</v>
      </c>
      <c r="IR240" s="320" t="s">
        <v>173</v>
      </c>
      <c r="IS240" s="322" t="s">
        <v>173</v>
      </c>
      <c r="IT240" s="319" t="s">
        <v>173</v>
      </c>
    </row>
    <row r="241" spans="1:254" s="271" customFormat="1" x14ac:dyDescent="0.25">
      <c r="A241" s="318" t="str">
        <f>HYPERLINK("http://www.ofsted.gov.uk/inspection-reports/find-inspection-report/provider/ELS/124879 ","Ofsted School Webpage")</f>
        <v>Ofsted School Webpage</v>
      </c>
      <c r="B241" s="319">
        <v>124879</v>
      </c>
      <c r="C241" s="319">
        <v>9356036</v>
      </c>
      <c r="D241" s="319" t="s">
        <v>1546</v>
      </c>
      <c r="E241" s="319" t="s">
        <v>168</v>
      </c>
      <c r="F241" s="319" t="s">
        <v>81</v>
      </c>
      <c r="G241" s="319" t="s">
        <v>81</v>
      </c>
      <c r="H241" s="319" t="s">
        <v>81</v>
      </c>
      <c r="I241" s="319" t="s">
        <v>78</v>
      </c>
      <c r="J241" s="319" t="s">
        <v>424</v>
      </c>
      <c r="K241" s="319" t="s">
        <v>451</v>
      </c>
      <c r="L241" s="319" t="s">
        <v>451</v>
      </c>
      <c r="M241" s="319" t="s">
        <v>839</v>
      </c>
      <c r="N241" s="319" t="s">
        <v>3035</v>
      </c>
      <c r="O241" s="319" t="s">
        <v>1547</v>
      </c>
      <c r="P241" s="319">
        <v>72</v>
      </c>
      <c r="Q241" s="319" t="s">
        <v>429</v>
      </c>
      <c r="R241" s="320">
        <v>10006050</v>
      </c>
      <c r="S241" s="321">
        <v>42752</v>
      </c>
      <c r="T241" s="321">
        <v>42754</v>
      </c>
      <c r="U241" s="321">
        <v>42782</v>
      </c>
      <c r="V241" s="319" t="s">
        <v>554</v>
      </c>
      <c r="W241" s="319" t="s">
        <v>2767</v>
      </c>
      <c r="X241" s="319">
        <v>2</v>
      </c>
      <c r="Y241" s="319" t="s">
        <v>173</v>
      </c>
      <c r="Z241" s="319" t="s">
        <v>173</v>
      </c>
      <c r="AA241" s="319" t="s">
        <v>173</v>
      </c>
      <c r="AB241" s="319">
        <v>2</v>
      </c>
      <c r="AC241" s="319" t="s">
        <v>169</v>
      </c>
      <c r="AD241" s="319" t="s">
        <v>173</v>
      </c>
      <c r="AE241" s="319" t="s">
        <v>173</v>
      </c>
      <c r="AF241" s="319" t="s">
        <v>173</v>
      </c>
      <c r="AG241" s="319" t="s">
        <v>171</v>
      </c>
      <c r="AH241" s="319" t="s">
        <v>190</v>
      </c>
      <c r="AI241" s="319" t="s">
        <v>190</v>
      </c>
      <c r="AJ241" s="319" t="s">
        <v>190</v>
      </c>
      <c r="AK241" s="319" t="s">
        <v>190</v>
      </c>
      <c r="AL241" s="319" t="s">
        <v>190</v>
      </c>
      <c r="AM241" s="319" t="s">
        <v>190</v>
      </c>
      <c r="AN241" s="319" t="s">
        <v>190</v>
      </c>
      <c r="AO241" s="319" t="s">
        <v>190</v>
      </c>
      <c r="AP241" s="319" t="s">
        <v>190</v>
      </c>
      <c r="AQ241" s="319" t="s">
        <v>190</v>
      </c>
      <c r="AR241" s="319" t="s">
        <v>190</v>
      </c>
      <c r="AS241" s="319" t="s">
        <v>190</v>
      </c>
      <c r="AT241" s="319" t="s">
        <v>190</v>
      </c>
      <c r="AU241" s="319" t="s">
        <v>190</v>
      </c>
      <c r="AV241" s="319" t="s">
        <v>190</v>
      </c>
      <c r="AW241" s="319" t="s">
        <v>190</v>
      </c>
      <c r="AX241" s="319" t="s">
        <v>429</v>
      </c>
      <c r="AY241" s="319" t="s">
        <v>190</v>
      </c>
      <c r="AZ241" s="319" t="s">
        <v>190</v>
      </c>
      <c r="BA241" s="319" t="s">
        <v>190</v>
      </c>
      <c r="BB241" s="319" t="s">
        <v>190</v>
      </c>
      <c r="BC241" s="319" t="s">
        <v>190</v>
      </c>
      <c r="BD241" s="319" t="s">
        <v>190</v>
      </c>
      <c r="BE241" s="319" t="s">
        <v>190</v>
      </c>
      <c r="BF241" s="319" t="s">
        <v>429</v>
      </c>
      <c r="BG241" s="319" t="s">
        <v>429</v>
      </c>
      <c r="BH241" s="319" t="s">
        <v>190</v>
      </c>
      <c r="BI241" s="319" t="s">
        <v>190</v>
      </c>
      <c r="BJ241" s="319" t="s">
        <v>190</v>
      </c>
      <c r="BK241" s="319" t="s">
        <v>190</v>
      </c>
      <c r="BL241" s="319" t="s">
        <v>190</v>
      </c>
      <c r="BM241" s="319" t="s">
        <v>190</v>
      </c>
      <c r="BN241" s="319" t="s">
        <v>190</v>
      </c>
      <c r="BO241" s="319" t="s">
        <v>190</v>
      </c>
      <c r="BP241" s="319" t="s">
        <v>190</v>
      </c>
      <c r="BQ241" s="319" t="s">
        <v>190</v>
      </c>
      <c r="BR241" s="319" t="s">
        <v>190</v>
      </c>
      <c r="BS241" s="319" t="s">
        <v>190</v>
      </c>
      <c r="BT241" s="319" t="s">
        <v>190</v>
      </c>
      <c r="BU241" s="319" t="s">
        <v>190</v>
      </c>
      <c r="BV241" s="319" t="s">
        <v>190</v>
      </c>
      <c r="BW241" s="319" t="s">
        <v>190</v>
      </c>
      <c r="BX241" s="319" t="s">
        <v>190</v>
      </c>
      <c r="BY241" s="319" t="s">
        <v>190</v>
      </c>
      <c r="BZ241" s="319" t="s">
        <v>190</v>
      </c>
      <c r="CA241" s="319" t="s">
        <v>190</v>
      </c>
      <c r="CB241" s="319" t="s">
        <v>190</v>
      </c>
      <c r="CC241" s="319" t="s">
        <v>190</v>
      </c>
      <c r="CD241" s="319" t="s">
        <v>190</v>
      </c>
      <c r="CE241" s="319" t="s">
        <v>190</v>
      </c>
      <c r="CF241" s="319" t="s">
        <v>190</v>
      </c>
      <c r="CG241" s="319" t="s">
        <v>190</v>
      </c>
      <c r="CH241" s="319" t="s">
        <v>190</v>
      </c>
      <c r="CI241" s="319" t="s">
        <v>190</v>
      </c>
      <c r="CJ241" s="319" t="s">
        <v>190</v>
      </c>
      <c r="CK241" s="319" t="s">
        <v>190</v>
      </c>
      <c r="CL241" s="319" t="s">
        <v>190</v>
      </c>
      <c r="CM241" s="319" t="s">
        <v>190</v>
      </c>
      <c r="CN241" s="319" t="s">
        <v>190</v>
      </c>
      <c r="CO241" s="319" t="s">
        <v>190</v>
      </c>
      <c r="CP241" s="319" t="s">
        <v>190</v>
      </c>
      <c r="CQ241" s="319" t="s">
        <v>190</v>
      </c>
      <c r="CR241" s="319" t="s">
        <v>190</v>
      </c>
      <c r="CS241" s="319" t="s">
        <v>190</v>
      </c>
      <c r="CT241" s="319" t="s">
        <v>190</v>
      </c>
      <c r="CU241" s="319" t="s">
        <v>190</v>
      </c>
      <c r="CV241" s="319" t="s">
        <v>190</v>
      </c>
      <c r="CW241" s="319" t="s">
        <v>190</v>
      </c>
      <c r="CX241" s="319" t="s">
        <v>190</v>
      </c>
      <c r="CY241" s="319" t="s">
        <v>190</v>
      </c>
      <c r="CZ241" s="319" t="s">
        <v>190</v>
      </c>
      <c r="DA241" s="319" t="s">
        <v>190</v>
      </c>
      <c r="DB241" s="319" t="s">
        <v>190</v>
      </c>
      <c r="DC241" s="319" t="s">
        <v>190</v>
      </c>
      <c r="DD241" s="319" t="s">
        <v>190</v>
      </c>
      <c r="DE241" s="319" t="s">
        <v>190</v>
      </c>
      <c r="DF241" s="319" t="s">
        <v>190</v>
      </c>
      <c r="DG241" s="319" t="s">
        <v>190</v>
      </c>
      <c r="DH241" s="319" t="s">
        <v>190</v>
      </c>
      <c r="DI241" s="319" t="s">
        <v>190</v>
      </c>
      <c r="DJ241" s="319" t="s">
        <v>190</v>
      </c>
      <c r="DK241" s="319" t="s">
        <v>190</v>
      </c>
      <c r="DL241" s="319" t="s">
        <v>190</v>
      </c>
      <c r="DM241" s="319" t="s">
        <v>190</v>
      </c>
      <c r="DN241" s="319" t="s">
        <v>190</v>
      </c>
      <c r="DO241" s="319" t="s">
        <v>190</v>
      </c>
      <c r="DP241" s="319" t="s">
        <v>190</v>
      </c>
      <c r="DQ241" s="319" t="s">
        <v>190</v>
      </c>
      <c r="DR241" s="319" t="s">
        <v>190</v>
      </c>
      <c r="DS241" s="319" t="s">
        <v>190</v>
      </c>
      <c r="DT241" s="319" t="s">
        <v>190</v>
      </c>
      <c r="DU241" s="319" t="s">
        <v>190</v>
      </c>
      <c r="DV241" s="319" t="s">
        <v>173</v>
      </c>
      <c r="DW241" s="319" t="s">
        <v>190</v>
      </c>
      <c r="DX241" s="319" t="s">
        <v>190</v>
      </c>
      <c r="DY241" s="319" t="s">
        <v>190</v>
      </c>
      <c r="DZ241" s="319" t="s">
        <v>190</v>
      </c>
      <c r="EA241" s="319" t="s">
        <v>190</v>
      </c>
      <c r="EB241" s="319" t="s">
        <v>190</v>
      </c>
      <c r="EC241" s="319" t="s">
        <v>429</v>
      </c>
      <c r="ED241" s="319" t="s">
        <v>190</v>
      </c>
      <c r="EE241" s="319" t="s">
        <v>190</v>
      </c>
      <c r="EF241" s="319" t="s">
        <v>190</v>
      </c>
      <c r="EG241" s="319" t="s">
        <v>190</v>
      </c>
      <c r="EH241" s="319" t="s">
        <v>190</v>
      </c>
      <c r="EI241" s="319" t="s">
        <v>190</v>
      </c>
      <c r="EJ241" s="319" t="s">
        <v>190</v>
      </c>
      <c r="EK241" s="319" t="s">
        <v>190</v>
      </c>
      <c r="EL241" s="319" t="s">
        <v>190</v>
      </c>
      <c r="EM241" s="319" t="s">
        <v>190</v>
      </c>
      <c r="EN241" s="319" t="s">
        <v>190</v>
      </c>
      <c r="EO241" s="319" t="s">
        <v>190</v>
      </c>
      <c r="EP241" s="319" t="s">
        <v>190</v>
      </c>
      <c r="EQ241" s="319" t="s">
        <v>190</v>
      </c>
      <c r="ER241" s="319" t="s">
        <v>190</v>
      </c>
      <c r="ES241" s="319" t="s">
        <v>190</v>
      </c>
      <c r="ET241" s="319" t="s">
        <v>190</v>
      </c>
      <c r="EU241" s="319" t="s">
        <v>190</v>
      </c>
      <c r="EV241" s="319" t="s">
        <v>190</v>
      </c>
      <c r="EW241" s="319" t="s">
        <v>190</v>
      </c>
      <c r="EX241" s="319" t="s">
        <v>190</v>
      </c>
      <c r="EY241" s="319" t="s">
        <v>190</v>
      </c>
      <c r="EZ241" s="319" t="s">
        <v>190</v>
      </c>
      <c r="FA241" s="319" t="s">
        <v>190</v>
      </c>
      <c r="FB241" s="319" t="s">
        <v>190</v>
      </c>
      <c r="FC241" s="319" t="s">
        <v>190</v>
      </c>
      <c r="FD241" s="319" t="s">
        <v>190</v>
      </c>
      <c r="FE241" s="319" t="s">
        <v>190</v>
      </c>
      <c r="FF241" s="319" t="s">
        <v>190</v>
      </c>
      <c r="FG241" s="319" t="s">
        <v>190</v>
      </c>
      <c r="FH241" s="319" t="s">
        <v>190</v>
      </c>
      <c r="FI241" s="319" t="s">
        <v>190</v>
      </c>
      <c r="FJ241" s="319" t="s">
        <v>190</v>
      </c>
      <c r="FK241" s="319" t="s">
        <v>190</v>
      </c>
      <c r="FL241" s="319" t="s">
        <v>190</v>
      </c>
      <c r="FM241" s="319" t="s">
        <v>190</v>
      </c>
      <c r="FN241" s="319" t="s">
        <v>429</v>
      </c>
      <c r="FO241" s="319" t="s">
        <v>190</v>
      </c>
      <c r="FP241" s="319" t="s">
        <v>190</v>
      </c>
      <c r="FQ241" s="319" t="s">
        <v>190</v>
      </c>
      <c r="FR241" s="319" t="s">
        <v>190</v>
      </c>
      <c r="FS241" s="319" t="s">
        <v>429</v>
      </c>
      <c r="FT241" s="319" t="s">
        <v>190</v>
      </c>
      <c r="FU241" s="319" t="s">
        <v>190</v>
      </c>
      <c r="FV241" s="319" t="s">
        <v>190</v>
      </c>
      <c r="FW241" s="319" t="s">
        <v>190</v>
      </c>
      <c r="FX241" s="319" t="s">
        <v>190</v>
      </c>
      <c r="FY241" s="319" t="s">
        <v>190</v>
      </c>
      <c r="FZ241" s="319" t="s">
        <v>190</v>
      </c>
      <c r="GA241" s="319" t="s">
        <v>190</v>
      </c>
      <c r="GB241" s="319" t="s">
        <v>190</v>
      </c>
      <c r="GC241" s="319" t="s">
        <v>190</v>
      </c>
      <c r="GD241" s="319" t="s">
        <v>190</v>
      </c>
      <c r="GE241" s="319" t="s">
        <v>190</v>
      </c>
      <c r="GF241" s="319" t="s">
        <v>190</v>
      </c>
      <c r="GG241" s="319" t="s">
        <v>190</v>
      </c>
      <c r="GH241" s="319" t="s">
        <v>190</v>
      </c>
      <c r="GI241" s="319" t="s">
        <v>190</v>
      </c>
      <c r="GJ241" s="319" t="s">
        <v>190</v>
      </c>
      <c r="GK241" s="319" t="s">
        <v>190</v>
      </c>
      <c r="GL241" s="319" t="s">
        <v>190</v>
      </c>
      <c r="GM241" s="319" t="s">
        <v>190</v>
      </c>
      <c r="GN241" s="319" t="s">
        <v>190</v>
      </c>
      <c r="GO241" s="319" t="s">
        <v>190</v>
      </c>
      <c r="GP241" s="319" t="s">
        <v>190</v>
      </c>
      <c r="GQ241" s="319" t="s">
        <v>190</v>
      </c>
      <c r="GR241" s="319" t="s">
        <v>190</v>
      </c>
      <c r="GS241" s="319" t="s">
        <v>190</v>
      </c>
      <c r="GT241" s="319" t="s">
        <v>190</v>
      </c>
      <c r="GU241" s="319" t="s">
        <v>190</v>
      </c>
      <c r="GV241" s="319" t="s">
        <v>190</v>
      </c>
      <c r="GW241" s="319" t="s">
        <v>190</v>
      </c>
      <c r="GX241" s="319" t="s">
        <v>190</v>
      </c>
      <c r="GY241" s="319" t="s">
        <v>190</v>
      </c>
      <c r="GZ241" s="319" t="s">
        <v>429</v>
      </c>
      <c r="HA241" s="319" t="s">
        <v>190</v>
      </c>
      <c r="HB241" s="319" t="s">
        <v>190</v>
      </c>
      <c r="HC241" s="319" t="s">
        <v>190</v>
      </c>
      <c r="HD241" s="319" t="s">
        <v>190</v>
      </c>
      <c r="HE241" s="319" t="s">
        <v>190</v>
      </c>
      <c r="HF241" s="319" t="s">
        <v>190</v>
      </c>
      <c r="HG241" s="319" t="s">
        <v>190</v>
      </c>
      <c r="HH241" s="319" t="s">
        <v>190</v>
      </c>
      <c r="HI241" s="319" t="s">
        <v>190</v>
      </c>
      <c r="HJ241" s="319" t="s">
        <v>190</v>
      </c>
      <c r="HK241" s="319" t="s">
        <v>190</v>
      </c>
      <c r="HL241" s="319" t="s">
        <v>190</v>
      </c>
      <c r="HM241" s="319" t="s">
        <v>429</v>
      </c>
      <c r="HN241" s="319" t="s">
        <v>429</v>
      </c>
      <c r="HO241" s="319" t="s">
        <v>429</v>
      </c>
      <c r="HP241" s="319" t="s">
        <v>190</v>
      </c>
      <c r="HQ241" s="319" t="s">
        <v>190</v>
      </c>
      <c r="HR241" s="319" t="s">
        <v>190</v>
      </c>
      <c r="HS241" s="319" t="s">
        <v>190</v>
      </c>
      <c r="HT241" s="319" t="s">
        <v>190</v>
      </c>
      <c r="HU241" s="319" t="s">
        <v>190</v>
      </c>
      <c r="HV241" s="319" t="s">
        <v>190</v>
      </c>
      <c r="HW241" s="319" t="s">
        <v>190</v>
      </c>
      <c r="HX241" s="319" t="s">
        <v>190</v>
      </c>
      <c r="HY241" s="319" t="s">
        <v>190</v>
      </c>
      <c r="HZ241" s="319" t="s">
        <v>190</v>
      </c>
      <c r="IA241" s="319" t="s">
        <v>190</v>
      </c>
      <c r="IB241" s="319" t="s">
        <v>190</v>
      </c>
      <c r="IC241" s="319" t="s">
        <v>190</v>
      </c>
      <c r="ID241" s="319" t="s">
        <v>190</v>
      </c>
      <c r="IE241" s="319" t="s">
        <v>190</v>
      </c>
      <c r="IF241" s="319" t="s">
        <v>190</v>
      </c>
      <c r="IG241" s="319" t="s">
        <v>190</v>
      </c>
      <c r="IH241" s="319" t="s">
        <v>190</v>
      </c>
      <c r="II241" s="319" t="s">
        <v>190</v>
      </c>
      <c r="IJ241" s="319" t="s">
        <v>3036</v>
      </c>
      <c r="IK241" s="321">
        <v>41234</v>
      </c>
      <c r="IL241" s="321">
        <v>41235</v>
      </c>
      <c r="IM241" s="321">
        <v>41260</v>
      </c>
      <c r="IN241" s="319">
        <v>2</v>
      </c>
      <c r="IO241" s="319" t="s">
        <v>173</v>
      </c>
      <c r="IP241" s="319" t="s">
        <v>173</v>
      </c>
      <c r="IQ241" s="319" t="s">
        <v>173</v>
      </c>
      <c r="IR241" s="320" t="s">
        <v>173</v>
      </c>
      <c r="IS241" s="320" t="s">
        <v>173</v>
      </c>
      <c r="IT241" s="319" t="s">
        <v>173</v>
      </c>
    </row>
    <row r="242" spans="1:254" s="271" customFormat="1" x14ac:dyDescent="0.25">
      <c r="A242" s="318" t="str">
        <f>HYPERLINK("http://www.ofsted.gov.uk/inspection-reports/find-inspection-report/provider/ELS/124890 ","Ofsted School Webpage")</f>
        <v>Ofsted School Webpage</v>
      </c>
      <c r="B242" s="319">
        <v>124890</v>
      </c>
      <c r="C242" s="319">
        <v>9356058</v>
      </c>
      <c r="D242" s="319" t="s">
        <v>1548</v>
      </c>
      <c r="E242" s="319" t="s">
        <v>168</v>
      </c>
      <c r="F242" s="319" t="s">
        <v>81</v>
      </c>
      <c r="G242" s="319" t="s">
        <v>63</v>
      </c>
      <c r="H242" s="319" t="s">
        <v>63</v>
      </c>
      <c r="I242" s="319" t="s">
        <v>59</v>
      </c>
      <c r="J242" s="319" t="s">
        <v>424</v>
      </c>
      <c r="K242" s="319" t="s">
        <v>451</v>
      </c>
      <c r="L242" s="319" t="s">
        <v>451</v>
      </c>
      <c r="M242" s="319" t="s">
        <v>839</v>
      </c>
      <c r="N242" s="319" t="s">
        <v>3037</v>
      </c>
      <c r="O242" s="319" t="s">
        <v>1549</v>
      </c>
      <c r="P242" s="319">
        <v>48</v>
      </c>
      <c r="Q242" s="319" t="s">
        <v>429</v>
      </c>
      <c r="R242" s="320">
        <v>10043519</v>
      </c>
      <c r="S242" s="321">
        <v>43130</v>
      </c>
      <c r="T242" s="321">
        <v>43132</v>
      </c>
      <c r="U242" s="321">
        <v>43164</v>
      </c>
      <c r="V242" s="319" t="s">
        <v>425</v>
      </c>
      <c r="W242" s="319" t="s">
        <v>2767</v>
      </c>
      <c r="X242" s="319">
        <v>2</v>
      </c>
      <c r="Y242" s="319" t="s">
        <v>173</v>
      </c>
      <c r="Z242" s="319" t="s">
        <v>173</v>
      </c>
      <c r="AA242" s="319" t="s">
        <v>173</v>
      </c>
      <c r="AB242" s="319">
        <v>2</v>
      </c>
      <c r="AC242" s="319" t="s">
        <v>169</v>
      </c>
      <c r="AD242" s="319" t="s">
        <v>173</v>
      </c>
      <c r="AE242" s="319">
        <v>2</v>
      </c>
      <c r="AF242" s="319" t="s">
        <v>427</v>
      </c>
      <c r="AG242" s="319" t="s">
        <v>171</v>
      </c>
      <c r="AH242" s="319" t="s">
        <v>190</v>
      </c>
      <c r="AI242" s="319" t="s">
        <v>190</v>
      </c>
      <c r="AJ242" s="319" t="s">
        <v>190</v>
      </c>
      <c r="AK242" s="319" t="s">
        <v>190</v>
      </c>
      <c r="AL242" s="319" t="s">
        <v>190</v>
      </c>
      <c r="AM242" s="319" t="s">
        <v>190</v>
      </c>
      <c r="AN242" s="319" t="s">
        <v>190</v>
      </c>
      <c r="AO242" s="319" t="s">
        <v>190</v>
      </c>
      <c r="AP242" s="319" t="s">
        <v>190</v>
      </c>
      <c r="AQ242" s="319" t="s">
        <v>190</v>
      </c>
      <c r="AR242" s="319" t="s">
        <v>190</v>
      </c>
      <c r="AS242" s="319" t="s">
        <v>190</v>
      </c>
      <c r="AT242" s="319" t="s">
        <v>190</v>
      </c>
      <c r="AU242" s="319" t="s">
        <v>190</v>
      </c>
      <c r="AV242" s="319" t="s">
        <v>190</v>
      </c>
      <c r="AW242" s="319" t="s">
        <v>190</v>
      </c>
      <c r="AX242" s="319" t="s">
        <v>428</v>
      </c>
      <c r="AY242" s="319" t="s">
        <v>190</v>
      </c>
      <c r="AZ242" s="319" t="s">
        <v>190</v>
      </c>
      <c r="BA242" s="319" t="s">
        <v>190</v>
      </c>
      <c r="BB242" s="319" t="s">
        <v>190</v>
      </c>
      <c r="BC242" s="319" t="s">
        <v>190</v>
      </c>
      <c r="BD242" s="319" t="s">
        <v>190</v>
      </c>
      <c r="BE242" s="319" t="s">
        <v>190</v>
      </c>
      <c r="BF242" s="319" t="s">
        <v>428</v>
      </c>
      <c r="BG242" s="319" t="s">
        <v>190</v>
      </c>
      <c r="BH242" s="319" t="s">
        <v>190</v>
      </c>
      <c r="BI242" s="319" t="s">
        <v>190</v>
      </c>
      <c r="BJ242" s="319" t="s">
        <v>190</v>
      </c>
      <c r="BK242" s="319" t="s">
        <v>190</v>
      </c>
      <c r="BL242" s="319" t="s">
        <v>190</v>
      </c>
      <c r="BM242" s="319" t="s">
        <v>190</v>
      </c>
      <c r="BN242" s="319" t="s">
        <v>190</v>
      </c>
      <c r="BO242" s="319" t="s">
        <v>190</v>
      </c>
      <c r="BP242" s="319" t="s">
        <v>190</v>
      </c>
      <c r="BQ242" s="319" t="s">
        <v>190</v>
      </c>
      <c r="BR242" s="319" t="s">
        <v>190</v>
      </c>
      <c r="BS242" s="319" t="s">
        <v>190</v>
      </c>
      <c r="BT242" s="319" t="s">
        <v>190</v>
      </c>
      <c r="BU242" s="319" t="s">
        <v>190</v>
      </c>
      <c r="BV242" s="319" t="s">
        <v>190</v>
      </c>
      <c r="BW242" s="319" t="s">
        <v>190</v>
      </c>
      <c r="BX242" s="319" t="s">
        <v>190</v>
      </c>
      <c r="BY242" s="319" t="s">
        <v>190</v>
      </c>
      <c r="BZ242" s="319" t="s">
        <v>190</v>
      </c>
      <c r="CA242" s="319" t="s">
        <v>190</v>
      </c>
      <c r="CB242" s="319" t="s">
        <v>190</v>
      </c>
      <c r="CC242" s="319" t="s">
        <v>190</v>
      </c>
      <c r="CD242" s="319" t="s">
        <v>190</v>
      </c>
      <c r="CE242" s="319" t="s">
        <v>190</v>
      </c>
      <c r="CF242" s="319" t="s">
        <v>190</v>
      </c>
      <c r="CG242" s="319" t="s">
        <v>190</v>
      </c>
      <c r="CH242" s="319" t="s">
        <v>190</v>
      </c>
      <c r="CI242" s="319" t="s">
        <v>190</v>
      </c>
      <c r="CJ242" s="319" t="s">
        <v>190</v>
      </c>
      <c r="CK242" s="319" t="s">
        <v>190</v>
      </c>
      <c r="CL242" s="319" t="s">
        <v>190</v>
      </c>
      <c r="CM242" s="319" t="s">
        <v>190</v>
      </c>
      <c r="CN242" s="319" t="s">
        <v>428</v>
      </c>
      <c r="CO242" s="319" t="s">
        <v>428</v>
      </c>
      <c r="CP242" s="319" t="s">
        <v>428</v>
      </c>
      <c r="CQ242" s="319" t="s">
        <v>190</v>
      </c>
      <c r="CR242" s="319" t="s">
        <v>190</v>
      </c>
      <c r="CS242" s="319" t="s">
        <v>190</v>
      </c>
      <c r="CT242" s="319" t="s">
        <v>190</v>
      </c>
      <c r="CU242" s="319" t="s">
        <v>190</v>
      </c>
      <c r="CV242" s="319" t="s">
        <v>190</v>
      </c>
      <c r="CW242" s="319" t="s">
        <v>190</v>
      </c>
      <c r="CX242" s="319" t="s">
        <v>190</v>
      </c>
      <c r="CY242" s="319" t="s">
        <v>190</v>
      </c>
      <c r="CZ242" s="319" t="s">
        <v>190</v>
      </c>
      <c r="DA242" s="319" t="s">
        <v>190</v>
      </c>
      <c r="DB242" s="319" t="s">
        <v>190</v>
      </c>
      <c r="DC242" s="319" t="s">
        <v>190</v>
      </c>
      <c r="DD242" s="319" t="s">
        <v>190</v>
      </c>
      <c r="DE242" s="319" t="s">
        <v>190</v>
      </c>
      <c r="DF242" s="319" t="s">
        <v>190</v>
      </c>
      <c r="DG242" s="319" t="s">
        <v>190</v>
      </c>
      <c r="DH242" s="319" t="s">
        <v>190</v>
      </c>
      <c r="DI242" s="319" t="s">
        <v>190</v>
      </c>
      <c r="DJ242" s="319" t="s">
        <v>190</v>
      </c>
      <c r="DK242" s="319" t="s">
        <v>190</v>
      </c>
      <c r="DL242" s="319" t="s">
        <v>190</v>
      </c>
      <c r="DM242" s="319" t="s">
        <v>190</v>
      </c>
      <c r="DN242" s="319" t="s">
        <v>190</v>
      </c>
      <c r="DO242" s="319" t="s">
        <v>190</v>
      </c>
      <c r="DP242" s="319" t="s">
        <v>190</v>
      </c>
      <c r="DQ242" s="319" t="s">
        <v>190</v>
      </c>
      <c r="DR242" s="319" t="s">
        <v>190</v>
      </c>
      <c r="DS242" s="319" t="s">
        <v>190</v>
      </c>
      <c r="DT242" s="319" t="s">
        <v>190</v>
      </c>
      <c r="DU242" s="319" t="s">
        <v>190</v>
      </c>
      <c r="DV242" s="319" t="s">
        <v>173</v>
      </c>
      <c r="DW242" s="319" t="s">
        <v>190</v>
      </c>
      <c r="DX242" s="319" t="s">
        <v>190</v>
      </c>
      <c r="DY242" s="319" t="s">
        <v>190</v>
      </c>
      <c r="DZ242" s="319" t="s">
        <v>190</v>
      </c>
      <c r="EA242" s="319" t="s">
        <v>190</v>
      </c>
      <c r="EB242" s="319" t="s">
        <v>190</v>
      </c>
      <c r="EC242" s="319" t="s">
        <v>428</v>
      </c>
      <c r="ED242" s="319" t="s">
        <v>190</v>
      </c>
      <c r="EE242" s="319" t="s">
        <v>190</v>
      </c>
      <c r="EF242" s="319" t="s">
        <v>190</v>
      </c>
      <c r="EG242" s="319" t="s">
        <v>190</v>
      </c>
      <c r="EH242" s="319" t="s">
        <v>190</v>
      </c>
      <c r="EI242" s="319" t="s">
        <v>190</v>
      </c>
      <c r="EJ242" s="319" t="s">
        <v>190</v>
      </c>
      <c r="EK242" s="319" t="s">
        <v>190</v>
      </c>
      <c r="EL242" s="319" t="s">
        <v>190</v>
      </c>
      <c r="EM242" s="319" t="s">
        <v>190</v>
      </c>
      <c r="EN242" s="319" t="s">
        <v>190</v>
      </c>
      <c r="EO242" s="319" t="s">
        <v>190</v>
      </c>
      <c r="EP242" s="319" t="s">
        <v>190</v>
      </c>
      <c r="EQ242" s="319" t="s">
        <v>190</v>
      </c>
      <c r="ER242" s="319" t="s">
        <v>190</v>
      </c>
      <c r="ES242" s="319" t="s">
        <v>190</v>
      </c>
      <c r="ET242" s="319" t="s">
        <v>190</v>
      </c>
      <c r="EU242" s="319" t="s">
        <v>190</v>
      </c>
      <c r="EV242" s="319" t="s">
        <v>190</v>
      </c>
      <c r="EW242" s="319" t="s">
        <v>190</v>
      </c>
      <c r="EX242" s="319" t="s">
        <v>190</v>
      </c>
      <c r="EY242" s="319" t="s">
        <v>190</v>
      </c>
      <c r="EZ242" s="319" t="s">
        <v>190</v>
      </c>
      <c r="FA242" s="319" t="s">
        <v>190</v>
      </c>
      <c r="FB242" s="319" t="s">
        <v>190</v>
      </c>
      <c r="FC242" s="319" t="s">
        <v>190</v>
      </c>
      <c r="FD242" s="319" t="s">
        <v>190</v>
      </c>
      <c r="FE242" s="319" t="s">
        <v>190</v>
      </c>
      <c r="FF242" s="319" t="s">
        <v>190</v>
      </c>
      <c r="FG242" s="319" t="s">
        <v>190</v>
      </c>
      <c r="FH242" s="319" t="s">
        <v>190</v>
      </c>
      <c r="FI242" s="319" t="s">
        <v>190</v>
      </c>
      <c r="FJ242" s="319" t="s">
        <v>190</v>
      </c>
      <c r="FK242" s="319" t="s">
        <v>190</v>
      </c>
      <c r="FL242" s="319" t="s">
        <v>190</v>
      </c>
      <c r="FM242" s="319" t="s">
        <v>190</v>
      </c>
      <c r="FN242" s="319" t="s">
        <v>190</v>
      </c>
      <c r="FO242" s="319" t="s">
        <v>190</v>
      </c>
      <c r="FP242" s="319" t="s">
        <v>190</v>
      </c>
      <c r="FQ242" s="319" t="s">
        <v>190</v>
      </c>
      <c r="FR242" s="319" t="s">
        <v>190</v>
      </c>
      <c r="FS242" s="319" t="s">
        <v>428</v>
      </c>
      <c r="FT242" s="319" t="s">
        <v>190</v>
      </c>
      <c r="FU242" s="319" t="s">
        <v>190</v>
      </c>
      <c r="FV242" s="319" t="s">
        <v>190</v>
      </c>
      <c r="FW242" s="319" t="s">
        <v>190</v>
      </c>
      <c r="FX242" s="319" t="s">
        <v>190</v>
      </c>
      <c r="FY242" s="319" t="s">
        <v>190</v>
      </c>
      <c r="FZ242" s="319" t="s">
        <v>190</v>
      </c>
      <c r="GA242" s="319" t="s">
        <v>190</v>
      </c>
      <c r="GB242" s="319" t="s">
        <v>190</v>
      </c>
      <c r="GC242" s="319" t="s">
        <v>190</v>
      </c>
      <c r="GD242" s="319" t="s">
        <v>190</v>
      </c>
      <c r="GE242" s="319" t="s">
        <v>190</v>
      </c>
      <c r="GF242" s="319" t="s">
        <v>190</v>
      </c>
      <c r="GG242" s="319" t="s">
        <v>190</v>
      </c>
      <c r="GH242" s="319" t="s">
        <v>190</v>
      </c>
      <c r="GI242" s="319" t="s">
        <v>190</v>
      </c>
      <c r="GJ242" s="319" t="s">
        <v>190</v>
      </c>
      <c r="GK242" s="319" t="s">
        <v>428</v>
      </c>
      <c r="GL242" s="319" t="s">
        <v>190</v>
      </c>
      <c r="GM242" s="319" t="s">
        <v>190</v>
      </c>
      <c r="GN242" s="319" t="s">
        <v>190</v>
      </c>
      <c r="GO242" s="319" t="s">
        <v>190</v>
      </c>
      <c r="GP242" s="319" t="s">
        <v>190</v>
      </c>
      <c r="GQ242" s="319" t="s">
        <v>190</v>
      </c>
      <c r="GR242" s="319" t="s">
        <v>190</v>
      </c>
      <c r="GS242" s="319" t="s">
        <v>190</v>
      </c>
      <c r="GT242" s="319" t="s">
        <v>190</v>
      </c>
      <c r="GU242" s="319" t="s">
        <v>190</v>
      </c>
      <c r="GV242" s="319" t="s">
        <v>190</v>
      </c>
      <c r="GW242" s="319" t="s">
        <v>190</v>
      </c>
      <c r="GX242" s="319" t="s">
        <v>190</v>
      </c>
      <c r="GY242" s="319" t="s">
        <v>190</v>
      </c>
      <c r="GZ242" s="319" t="s">
        <v>428</v>
      </c>
      <c r="HA242" s="319" t="s">
        <v>190</v>
      </c>
      <c r="HB242" s="319" t="s">
        <v>190</v>
      </c>
      <c r="HC242" s="319" t="s">
        <v>190</v>
      </c>
      <c r="HD242" s="319" t="s">
        <v>190</v>
      </c>
      <c r="HE242" s="319" t="s">
        <v>190</v>
      </c>
      <c r="HF242" s="319" t="s">
        <v>190</v>
      </c>
      <c r="HG242" s="319" t="s">
        <v>190</v>
      </c>
      <c r="HH242" s="319" t="s">
        <v>190</v>
      </c>
      <c r="HI242" s="319" t="s">
        <v>190</v>
      </c>
      <c r="HJ242" s="319" t="s">
        <v>190</v>
      </c>
      <c r="HK242" s="319" t="s">
        <v>190</v>
      </c>
      <c r="HL242" s="319" t="s">
        <v>190</v>
      </c>
      <c r="HM242" s="319" t="s">
        <v>190</v>
      </c>
      <c r="HN242" s="319" t="s">
        <v>190</v>
      </c>
      <c r="HO242" s="319" t="s">
        <v>190</v>
      </c>
      <c r="HP242" s="319" t="s">
        <v>190</v>
      </c>
      <c r="HQ242" s="319" t="s">
        <v>190</v>
      </c>
      <c r="HR242" s="319" t="s">
        <v>190</v>
      </c>
      <c r="HS242" s="319" t="s">
        <v>190</v>
      </c>
      <c r="HT242" s="319" t="s">
        <v>190</v>
      </c>
      <c r="HU242" s="319" t="s">
        <v>190</v>
      </c>
      <c r="HV242" s="319" t="s">
        <v>190</v>
      </c>
      <c r="HW242" s="319" t="s">
        <v>190</v>
      </c>
      <c r="HX242" s="319" t="s">
        <v>190</v>
      </c>
      <c r="HY242" s="319" t="s">
        <v>190</v>
      </c>
      <c r="HZ242" s="319" t="s">
        <v>190</v>
      </c>
      <c r="IA242" s="319" t="s">
        <v>190</v>
      </c>
      <c r="IB242" s="319" t="s">
        <v>190</v>
      </c>
      <c r="IC242" s="319" t="s">
        <v>190</v>
      </c>
      <c r="ID242" s="319" t="s">
        <v>190</v>
      </c>
      <c r="IE242" s="319" t="s">
        <v>190</v>
      </c>
      <c r="IF242" s="319" t="s">
        <v>190</v>
      </c>
      <c r="IG242" s="319" t="s">
        <v>190</v>
      </c>
      <c r="IH242" s="319" t="s">
        <v>190</v>
      </c>
      <c r="II242" s="319" t="s">
        <v>190</v>
      </c>
      <c r="IJ242" s="319">
        <v>10006332</v>
      </c>
      <c r="IK242" s="321">
        <v>42409</v>
      </c>
      <c r="IL242" s="321">
        <v>42411</v>
      </c>
      <c r="IM242" s="321">
        <v>42544</v>
      </c>
      <c r="IN242" s="319">
        <v>4</v>
      </c>
      <c r="IO242" s="319" t="s">
        <v>173</v>
      </c>
      <c r="IP242" s="319" t="s">
        <v>173</v>
      </c>
      <c r="IQ242" s="321" t="s">
        <v>173</v>
      </c>
      <c r="IR242" s="320" t="s">
        <v>173</v>
      </c>
      <c r="IS242" s="322" t="s">
        <v>173</v>
      </c>
      <c r="IT242" s="319" t="s">
        <v>173</v>
      </c>
    </row>
    <row r="243" spans="1:254" s="271" customFormat="1" x14ac:dyDescent="0.25">
      <c r="A243" s="318" t="str">
        <f>HYPERLINK("http://www.ofsted.gov.uk/inspection-reports/find-inspection-report/provider/ELS/124899 ","Ofsted School Webpage")</f>
        <v>Ofsted School Webpage</v>
      </c>
      <c r="B243" s="319">
        <v>124899</v>
      </c>
      <c r="C243" s="319">
        <v>9356076</v>
      </c>
      <c r="D243" s="319" t="s">
        <v>1080</v>
      </c>
      <c r="E243" s="319" t="s">
        <v>167</v>
      </c>
      <c r="F243" s="319" t="s">
        <v>81</v>
      </c>
      <c r="G243" s="319" t="s">
        <v>62</v>
      </c>
      <c r="H243" s="319" t="s">
        <v>62</v>
      </c>
      <c r="I243" s="319" t="s">
        <v>59</v>
      </c>
      <c r="J243" s="319" t="s">
        <v>424</v>
      </c>
      <c r="K243" s="319" t="s">
        <v>451</v>
      </c>
      <c r="L243" s="319" t="s">
        <v>451</v>
      </c>
      <c r="M243" s="319" t="s">
        <v>839</v>
      </c>
      <c r="N243" s="319" t="s">
        <v>3035</v>
      </c>
      <c r="O243" s="319" t="s">
        <v>3038</v>
      </c>
      <c r="P243" s="319">
        <v>18</v>
      </c>
      <c r="Q243" s="319" t="s">
        <v>2776</v>
      </c>
      <c r="R243" s="320">
        <v>10093913</v>
      </c>
      <c r="S243" s="321">
        <v>43599</v>
      </c>
      <c r="T243" s="321">
        <v>43601</v>
      </c>
      <c r="U243" s="321">
        <v>43626</v>
      </c>
      <c r="V243" s="319" t="s">
        <v>425</v>
      </c>
      <c r="W243" s="319" t="s">
        <v>2767</v>
      </c>
      <c r="X243" s="319">
        <v>2</v>
      </c>
      <c r="Y243" s="319" t="s">
        <v>173</v>
      </c>
      <c r="Z243" s="319" t="s">
        <v>173</v>
      </c>
      <c r="AA243" s="319" t="s">
        <v>173</v>
      </c>
      <c r="AB243" s="319">
        <v>2</v>
      </c>
      <c r="AC243" s="319" t="s">
        <v>169</v>
      </c>
      <c r="AD243" s="319" t="s">
        <v>173</v>
      </c>
      <c r="AE243" s="319">
        <v>2</v>
      </c>
      <c r="AF243" s="319" t="s">
        <v>427</v>
      </c>
      <c r="AG243" s="319" t="s">
        <v>171</v>
      </c>
      <c r="AH243" s="319" t="s">
        <v>190</v>
      </c>
      <c r="AI243" s="319" t="s">
        <v>190</v>
      </c>
      <c r="AJ243" s="319" t="s">
        <v>190</v>
      </c>
      <c r="AK243" s="319" t="s">
        <v>190</v>
      </c>
      <c r="AL243" s="319" t="s">
        <v>190</v>
      </c>
      <c r="AM243" s="319" t="s">
        <v>190</v>
      </c>
      <c r="AN243" s="319" t="s">
        <v>190</v>
      </c>
      <c r="AO243" s="319" t="s">
        <v>190</v>
      </c>
      <c r="AP243" s="319" t="s">
        <v>190</v>
      </c>
      <c r="AQ243" s="319" t="s">
        <v>190</v>
      </c>
      <c r="AR243" s="319" t="s">
        <v>190</v>
      </c>
      <c r="AS243" s="319" t="s">
        <v>190</v>
      </c>
      <c r="AT243" s="319" t="s">
        <v>190</v>
      </c>
      <c r="AU243" s="319" t="s">
        <v>190</v>
      </c>
      <c r="AV243" s="319" t="s">
        <v>190</v>
      </c>
      <c r="AW243" s="319" t="s">
        <v>190</v>
      </c>
      <c r="AX243" s="319" t="s">
        <v>428</v>
      </c>
      <c r="AY243" s="319" t="s">
        <v>190</v>
      </c>
      <c r="AZ243" s="319" t="s">
        <v>190</v>
      </c>
      <c r="BA243" s="319" t="s">
        <v>190</v>
      </c>
      <c r="BB243" s="319" t="s">
        <v>190</v>
      </c>
      <c r="BC243" s="319" t="s">
        <v>190</v>
      </c>
      <c r="BD243" s="319" t="s">
        <v>190</v>
      </c>
      <c r="BE243" s="319" t="s">
        <v>190</v>
      </c>
      <c r="BF243" s="319" t="s">
        <v>428</v>
      </c>
      <c r="BG243" s="319" t="s">
        <v>190</v>
      </c>
      <c r="BH243" s="319" t="s">
        <v>190</v>
      </c>
      <c r="BI243" s="319" t="s">
        <v>190</v>
      </c>
      <c r="BJ243" s="319" t="s">
        <v>190</v>
      </c>
      <c r="BK243" s="319" t="s">
        <v>190</v>
      </c>
      <c r="BL243" s="319" t="s">
        <v>190</v>
      </c>
      <c r="BM243" s="319" t="s">
        <v>190</v>
      </c>
      <c r="BN243" s="319" t="s">
        <v>190</v>
      </c>
      <c r="BO243" s="319" t="s">
        <v>190</v>
      </c>
      <c r="BP243" s="319" t="s">
        <v>190</v>
      </c>
      <c r="BQ243" s="319" t="s">
        <v>190</v>
      </c>
      <c r="BR243" s="319" t="s">
        <v>190</v>
      </c>
      <c r="BS243" s="319" t="s">
        <v>190</v>
      </c>
      <c r="BT243" s="319" t="s">
        <v>190</v>
      </c>
      <c r="BU243" s="319" t="s">
        <v>190</v>
      </c>
      <c r="BV243" s="319" t="s">
        <v>190</v>
      </c>
      <c r="BW243" s="319" t="s">
        <v>190</v>
      </c>
      <c r="BX243" s="319" t="s">
        <v>190</v>
      </c>
      <c r="BY243" s="319" t="s">
        <v>190</v>
      </c>
      <c r="BZ243" s="319" t="s">
        <v>190</v>
      </c>
      <c r="CA243" s="319" t="s">
        <v>190</v>
      </c>
      <c r="CB243" s="319" t="s">
        <v>190</v>
      </c>
      <c r="CC243" s="319" t="s">
        <v>190</v>
      </c>
      <c r="CD243" s="319" t="s">
        <v>190</v>
      </c>
      <c r="CE243" s="319" t="s">
        <v>190</v>
      </c>
      <c r="CF243" s="319" t="s">
        <v>190</v>
      </c>
      <c r="CG243" s="319" t="s">
        <v>190</v>
      </c>
      <c r="CH243" s="319" t="s">
        <v>190</v>
      </c>
      <c r="CI243" s="319" t="s">
        <v>190</v>
      </c>
      <c r="CJ243" s="319" t="s">
        <v>190</v>
      </c>
      <c r="CK243" s="319" t="s">
        <v>190</v>
      </c>
      <c r="CL243" s="319" t="s">
        <v>190</v>
      </c>
      <c r="CM243" s="319" t="s">
        <v>190</v>
      </c>
      <c r="CN243" s="319" t="s">
        <v>190</v>
      </c>
      <c r="CO243" s="319" t="s">
        <v>190</v>
      </c>
      <c r="CP243" s="319" t="s">
        <v>190</v>
      </c>
      <c r="CQ243" s="319" t="s">
        <v>190</v>
      </c>
      <c r="CR243" s="319" t="s">
        <v>190</v>
      </c>
      <c r="CS243" s="319" t="s">
        <v>190</v>
      </c>
      <c r="CT243" s="319" t="s">
        <v>190</v>
      </c>
      <c r="CU243" s="319" t="s">
        <v>190</v>
      </c>
      <c r="CV243" s="319" t="s">
        <v>190</v>
      </c>
      <c r="CW243" s="319" t="s">
        <v>190</v>
      </c>
      <c r="CX243" s="319" t="s">
        <v>190</v>
      </c>
      <c r="CY243" s="319" t="s">
        <v>190</v>
      </c>
      <c r="CZ243" s="319" t="s">
        <v>190</v>
      </c>
      <c r="DA243" s="319" t="s">
        <v>190</v>
      </c>
      <c r="DB243" s="319" t="s">
        <v>190</v>
      </c>
      <c r="DC243" s="319" t="s">
        <v>190</v>
      </c>
      <c r="DD243" s="319" t="s">
        <v>190</v>
      </c>
      <c r="DE243" s="319" t="s">
        <v>190</v>
      </c>
      <c r="DF243" s="319" t="s">
        <v>190</v>
      </c>
      <c r="DG243" s="319" t="s">
        <v>190</v>
      </c>
      <c r="DH243" s="319" t="s">
        <v>190</v>
      </c>
      <c r="DI243" s="319" t="s">
        <v>190</v>
      </c>
      <c r="DJ243" s="319" t="s">
        <v>190</v>
      </c>
      <c r="DK243" s="319" t="s">
        <v>190</v>
      </c>
      <c r="DL243" s="319" t="s">
        <v>190</v>
      </c>
      <c r="DM243" s="319" t="s">
        <v>190</v>
      </c>
      <c r="DN243" s="319" t="s">
        <v>190</v>
      </c>
      <c r="DO243" s="319" t="s">
        <v>190</v>
      </c>
      <c r="DP243" s="319" t="s">
        <v>428</v>
      </c>
      <c r="DQ243" s="319" t="s">
        <v>428</v>
      </c>
      <c r="DR243" s="319" t="s">
        <v>428</v>
      </c>
      <c r="DS243" s="319" t="s">
        <v>428</v>
      </c>
      <c r="DT243" s="319" t="s">
        <v>428</v>
      </c>
      <c r="DU243" s="319" t="s">
        <v>428</v>
      </c>
      <c r="DV243" s="319" t="s">
        <v>173</v>
      </c>
      <c r="DW243" s="319" t="s">
        <v>428</v>
      </c>
      <c r="DX243" s="319" t="s">
        <v>428</v>
      </c>
      <c r="DY243" s="319" t="s">
        <v>428</v>
      </c>
      <c r="DZ243" s="319" t="s">
        <v>428</v>
      </c>
      <c r="EA243" s="319" t="s">
        <v>428</v>
      </c>
      <c r="EB243" s="319" t="s">
        <v>428</v>
      </c>
      <c r="EC243" s="319" t="s">
        <v>428</v>
      </c>
      <c r="ED243" s="319" t="s">
        <v>428</v>
      </c>
      <c r="EE243" s="319" t="s">
        <v>428</v>
      </c>
      <c r="EF243" s="319" t="s">
        <v>428</v>
      </c>
      <c r="EG243" s="319" t="s">
        <v>428</v>
      </c>
      <c r="EH243" s="319" t="s">
        <v>428</v>
      </c>
      <c r="EI243" s="319" t="s">
        <v>428</v>
      </c>
      <c r="EJ243" s="319" t="s">
        <v>428</v>
      </c>
      <c r="EK243" s="319" t="s">
        <v>428</v>
      </c>
      <c r="EL243" s="319" t="s">
        <v>428</v>
      </c>
      <c r="EM243" s="319" t="s">
        <v>428</v>
      </c>
      <c r="EN243" s="319" t="s">
        <v>190</v>
      </c>
      <c r="EO243" s="319" t="s">
        <v>190</v>
      </c>
      <c r="EP243" s="319" t="s">
        <v>190</v>
      </c>
      <c r="EQ243" s="319" t="s">
        <v>190</v>
      </c>
      <c r="ER243" s="319" t="s">
        <v>190</v>
      </c>
      <c r="ES243" s="319" t="s">
        <v>190</v>
      </c>
      <c r="ET243" s="319" t="s">
        <v>190</v>
      </c>
      <c r="EU243" s="319" t="s">
        <v>190</v>
      </c>
      <c r="EV243" s="319" t="s">
        <v>190</v>
      </c>
      <c r="EW243" s="319" t="s">
        <v>190</v>
      </c>
      <c r="EX243" s="319" t="s">
        <v>190</v>
      </c>
      <c r="EY243" s="319" t="s">
        <v>190</v>
      </c>
      <c r="EZ243" s="319" t="s">
        <v>190</v>
      </c>
      <c r="FA243" s="319" t="s">
        <v>190</v>
      </c>
      <c r="FB243" s="319" t="s">
        <v>190</v>
      </c>
      <c r="FC243" s="319" t="s">
        <v>190</v>
      </c>
      <c r="FD243" s="319" t="s">
        <v>190</v>
      </c>
      <c r="FE243" s="319" t="s">
        <v>190</v>
      </c>
      <c r="FF243" s="319" t="s">
        <v>190</v>
      </c>
      <c r="FG243" s="319" t="s">
        <v>190</v>
      </c>
      <c r="FH243" s="319" t="s">
        <v>428</v>
      </c>
      <c r="FI243" s="319" t="s">
        <v>428</v>
      </c>
      <c r="FJ243" s="319" t="s">
        <v>429</v>
      </c>
      <c r="FK243" s="319" t="s">
        <v>428</v>
      </c>
      <c r="FL243" s="319" t="s">
        <v>190</v>
      </c>
      <c r="FM243" s="319" t="s">
        <v>190</v>
      </c>
      <c r="FN243" s="319" t="s">
        <v>190</v>
      </c>
      <c r="FO243" s="319" t="s">
        <v>190</v>
      </c>
      <c r="FP243" s="319" t="s">
        <v>190</v>
      </c>
      <c r="FQ243" s="319" t="s">
        <v>190</v>
      </c>
      <c r="FR243" s="319" t="s">
        <v>190</v>
      </c>
      <c r="FS243" s="319" t="s">
        <v>428</v>
      </c>
      <c r="FT243" s="319" t="s">
        <v>190</v>
      </c>
      <c r="FU243" s="319" t="s">
        <v>190</v>
      </c>
      <c r="FV243" s="319" t="s">
        <v>190</v>
      </c>
      <c r="FW243" s="319" t="s">
        <v>190</v>
      </c>
      <c r="FX243" s="319" t="s">
        <v>190</v>
      </c>
      <c r="FY243" s="319" t="s">
        <v>190</v>
      </c>
      <c r="FZ243" s="319" t="s">
        <v>190</v>
      </c>
      <c r="GA243" s="319" t="s">
        <v>190</v>
      </c>
      <c r="GB243" s="319" t="s">
        <v>190</v>
      </c>
      <c r="GC243" s="319" t="s">
        <v>190</v>
      </c>
      <c r="GD243" s="319" t="s">
        <v>190</v>
      </c>
      <c r="GE243" s="319" t="s">
        <v>190</v>
      </c>
      <c r="GF243" s="319" t="s">
        <v>190</v>
      </c>
      <c r="GG243" s="319" t="s">
        <v>190</v>
      </c>
      <c r="GH243" s="319" t="s">
        <v>190</v>
      </c>
      <c r="GI243" s="319" t="s">
        <v>190</v>
      </c>
      <c r="GJ243" s="319" t="s">
        <v>190</v>
      </c>
      <c r="GK243" s="319" t="s">
        <v>190</v>
      </c>
      <c r="GL243" s="319" t="s">
        <v>190</v>
      </c>
      <c r="GM243" s="319" t="s">
        <v>190</v>
      </c>
      <c r="GN243" s="319" t="s">
        <v>190</v>
      </c>
      <c r="GO243" s="319" t="s">
        <v>190</v>
      </c>
      <c r="GP243" s="319" t="s">
        <v>190</v>
      </c>
      <c r="GQ243" s="319" t="s">
        <v>190</v>
      </c>
      <c r="GR243" s="319" t="s">
        <v>190</v>
      </c>
      <c r="GS243" s="319" t="s">
        <v>190</v>
      </c>
      <c r="GT243" s="319" t="s">
        <v>428</v>
      </c>
      <c r="GU243" s="319" t="s">
        <v>428</v>
      </c>
      <c r="GV243" s="319" t="s">
        <v>190</v>
      </c>
      <c r="GW243" s="319" t="s">
        <v>190</v>
      </c>
      <c r="GX243" s="319" t="s">
        <v>190</v>
      </c>
      <c r="GY243" s="319" t="s">
        <v>190</v>
      </c>
      <c r="GZ243" s="319" t="s">
        <v>190</v>
      </c>
      <c r="HA243" s="319" t="s">
        <v>428</v>
      </c>
      <c r="HB243" s="319" t="s">
        <v>428</v>
      </c>
      <c r="HC243" s="319" t="s">
        <v>190</v>
      </c>
      <c r="HD243" s="319" t="s">
        <v>190</v>
      </c>
      <c r="HE243" s="319" t="s">
        <v>190</v>
      </c>
      <c r="HF243" s="319" t="s">
        <v>190</v>
      </c>
      <c r="HG243" s="319" t="s">
        <v>190</v>
      </c>
      <c r="HH243" s="319" t="s">
        <v>190</v>
      </c>
      <c r="HI243" s="319" t="s">
        <v>190</v>
      </c>
      <c r="HJ243" s="319" t="s">
        <v>190</v>
      </c>
      <c r="HK243" s="319" t="s">
        <v>190</v>
      </c>
      <c r="HL243" s="319" t="s">
        <v>190</v>
      </c>
      <c r="HM243" s="319" t="s">
        <v>428</v>
      </c>
      <c r="HN243" s="319" t="s">
        <v>190</v>
      </c>
      <c r="HO243" s="319" t="s">
        <v>428</v>
      </c>
      <c r="HP243" s="319" t="s">
        <v>190</v>
      </c>
      <c r="HQ243" s="319" t="s">
        <v>190</v>
      </c>
      <c r="HR243" s="319" t="s">
        <v>190</v>
      </c>
      <c r="HS243" s="319" t="s">
        <v>190</v>
      </c>
      <c r="HT243" s="319" t="s">
        <v>190</v>
      </c>
      <c r="HU243" s="319" t="s">
        <v>190</v>
      </c>
      <c r="HV243" s="319" t="s">
        <v>190</v>
      </c>
      <c r="HW243" s="319" t="s">
        <v>190</v>
      </c>
      <c r="HX243" s="319" t="s">
        <v>190</v>
      </c>
      <c r="HY243" s="319" t="s">
        <v>190</v>
      </c>
      <c r="HZ243" s="319" t="s">
        <v>190</v>
      </c>
      <c r="IA243" s="319" t="s">
        <v>190</v>
      </c>
      <c r="IB243" s="319" t="s">
        <v>190</v>
      </c>
      <c r="IC243" s="319" t="s">
        <v>190</v>
      </c>
      <c r="ID243" s="319" t="s">
        <v>190</v>
      </c>
      <c r="IE243" s="319" t="s">
        <v>190</v>
      </c>
      <c r="IF243" s="319" t="s">
        <v>190</v>
      </c>
      <c r="IG243" s="319" t="s">
        <v>190</v>
      </c>
      <c r="IH243" s="319" t="s">
        <v>190</v>
      </c>
      <c r="II243" s="319" t="s">
        <v>190</v>
      </c>
      <c r="IJ243" s="319">
        <v>10026063</v>
      </c>
      <c r="IK243" s="321">
        <v>43011</v>
      </c>
      <c r="IL243" s="321">
        <v>43013</v>
      </c>
      <c r="IM243" s="321">
        <v>43052</v>
      </c>
      <c r="IN243" s="319">
        <v>3</v>
      </c>
      <c r="IO243" s="319" t="s">
        <v>173</v>
      </c>
      <c r="IP243" s="319" t="s">
        <v>173</v>
      </c>
      <c r="IQ243" s="319" t="s">
        <v>173</v>
      </c>
      <c r="IR243" s="320" t="s">
        <v>173</v>
      </c>
      <c r="IS243" s="320" t="s">
        <v>173</v>
      </c>
      <c r="IT243" s="319" t="s">
        <v>173</v>
      </c>
    </row>
    <row r="244" spans="1:254" s="271" customFormat="1" x14ac:dyDescent="0.25">
      <c r="A244" s="318" t="str">
        <f>HYPERLINK("http://www.ofsted.gov.uk/inspection-reports/find-inspection-report/provider/ELS/125385 ","Ofsted School Webpage")</f>
        <v>Ofsted School Webpage</v>
      </c>
      <c r="B244" s="319">
        <v>125385</v>
      </c>
      <c r="C244" s="319">
        <v>9366251</v>
      </c>
      <c r="D244" s="319" t="s">
        <v>2704</v>
      </c>
      <c r="E244" s="319" t="s">
        <v>167</v>
      </c>
      <c r="F244" s="319" t="s">
        <v>81</v>
      </c>
      <c r="G244" s="319" t="s">
        <v>62</v>
      </c>
      <c r="H244" s="319" t="s">
        <v>62</v>
      </c>
      <c r="I244" s="319" t="s">
        <v>59</v>
      </c>
      <c r="J244" s="319" t="s">
        <v>424</v>
      </c>
      <c r="K244" s="319" t="s">
        <v>514</v>
      </c>
      <c r="L244" s="319" t="s">
        <v>514</v>
      </c>
      <c r="M244" s="319" t="s">
        <v>699</v>
      </c>
      <c r="N244" s="319" t="s">
        <v>3039</v>
      </c>
      <c r="O244" s="319" t="s">
        <v>2705</v>
      </c>
      <c r="P244" s="319">
        <v>109</v>
      </c>
      <c r="Q244" s="319" t="s">
        <v>2766</v>
      </c>
      <c r="R244" s="320" t="s">
        <v>3040</v>
      </c>
      <c r="S244" s="321">
        <v>39875</v>
      </c>
      <c r="T244" s="321">
        <v>39876</v>
      </c>
      <c r="U244" s="321">
        <v>39902</v>
      </c>
      <c r="V244" s="319" t="s">
        <v>425</v>
      </c>
      <c r="W244" s="319" t="s">
        <v>2767</v>
      </c>
      <c r="X244" s="319">
        <v>2</v>
      </c>
      <c r="Y244" s="319" t="s">
        <v>173</v>
      </c>
      <c r="Z244" s="319" t="s">
        <v>173</v>
      </c>
      <c r="AA244" s="319" t="s">
        <v>173</v>
      </c>
      <c r="AB244" s="319" t="s">
        <v>173</v>
      </c>
      <c r="AC244" s="319" t="s">
        <v>173</v>
      </c>
      <c r="AD244" s="319">
        <v>3</v>
      </c>
      <c r="AE244" s="319" t="s">
        <v>173</v>
      </c>
      <c r="AF244" s="319" t="s">
        <v>173</v>
      </c>
      <c r="AG244" s="319" t="s">
        <v>173</v>
      </c>
      <c r="AH244" s="319" t="s">
        <v>173</v>
      </c>
      <c r="AI244" s="319" t="s">
        <v>173</v>
      </c>
      <c r="AJ244" s="319" t="s">
        <v>173</v>
      </c>
      <c r="AK244" s="319" t="s">
        <v>173</v>
      </c>
      <c r="AL244" s="319" t="s">
        <v>173</v>
      </c>
      <c r="AM244" s="319" t="s">
        <v>173</v>
      </c>
      <c r="AN244" s="319" t="s">
        <v>173</v>
      </c>
      <c r="AO244" s="319" t="s">
        <v>173</v>
      </c>
      <c r="AP244" s="319" t="s">
        <v>173</v>
      </c>
      <c r="AQ244" s="319" t="s">
        <v>173</v>
      </c>
      <c r="AR244" s="319" t="s">
        <v>173</v>
      </c>
      <c r="AS244" s="319" t="s">
        <v>173</v>
      </c>
      <c r="AT244" s="319" t="s">
        <v>173</v>
      </c>
      <c r="AU244" s="319" t="s">
        <v>173</v>
      </c>
      <c r="AV244" s="319" t="s">
        <v>173</v>
      </c>
      <c r="AW244" s="319" t="s">
        <v>173</v>
      </c>
      <c r="AX244" s="319" t="s">
        <v>173</v>
      </c>
      <c r="AY244" s="319" t="s">
        <v>173</v>
      </c>
      <c r="AZ244" s="319" t="s">
        <v>173</v>
      </c>
      <c r="BA244" s="319" t="s">
        <v>173</v>
      </c>
      <c r="BB244" s="319" t="s">
        <v>173</v>
      </c>
      <c r="BC244" s="319" t="s">
        <v>173</v>
      </c>
      <c r="BD244" s="319" t="s">
        <v>173</v>
      </c>
      <c r="BE244" s="319" t="s">
        <v>173</v>
      </c>
      <c r="BF244" s="319" t="s">
        <v>173</v>
      </c>
      <c r="BG244" s="319" t="s">
        <v>173</v>
      </c>
      <c r="BH244" s="319" t="s">
        <v>173</v>
      </c>
      <c r="BI244" s="319" t="s">
        <v>173</v>
      </c>
      <c r="BJ244" s="319" t="s">
        <v>173</v>
      </c>
      <c r="BK244" s="319" t="s">
        <v>173</v>
      </c>
      <c r="BL244" s="319" t="s">
        <v>173</v>
      </c>
      <c r="BM244" s="319" t="s">
        <v>173</v>
      </c>
      <c r="BN244" s="319" t="s">
        <v>173</v>
      </c>
      <c r="BO244" s="319" t="s">
        <v>173</v>
      </c>
      <c r="BP244" s="319" t="s">
        <v>173</v>
      </c>
      <c r="BQ244" s="319" t="s">
        <v>173</v>
      </c>
      <c r="BR244" s="319" t="s">
        <v>173</v>
      </c>
      <c r="BS244" s="319" t="s">
        <v>173</v>
      </c>
      <c r="BT244" s="319" t="s">
        <v>173</v>
      </c>
      <c r="BU244" s="319" t="s">
        <v>173</v>
      </c>
      <c r="BV244" s="319" t="s">
        <v>173</v>
      </c>
      <c r="BW244" s="319" t="s">
        <v>173</v>
      </c>
      <c r="BX244" s="319" t="s">
        <v>173</v>
      </c>
      <c r="BY244" s="319" t="s">
        <v>173</v>
      </c>
      <c r="BZ244" s="319" t="s">
        <v>173</v>
      </c>
      <c r="CA244" s="319" t="s">
        <v>173</v>
      </c>
      <c r="CB244" s="319" t="s">
        <v>173</v>
      </c>
      <c r="CC244" s="319" t="s">
        <v>173</v>
      </c>
      <c r="CD244" s="319" t="s">
        <v>173</v>
      </c>
      <c r="CE244" s="319" t="s">
        <v>173</v>
      </c>
      <c r="CF244" s="319" t="s">
        <v>173</v>
      </c>
      <c r="CG244" s="319" t="s">
        <v>173</v>
      </c>
      <c r="CH244" s="319" t="s">
        <v>173</v>
      </c>
      <c r="CI244" s="319" t="s">
        <v>173</v>
      </c>
      <c r="CJ244" s="319" t="s">
        <v>173</v>
      </c>
      <c r="CK244" s="319" t="s">
        <v>173</v>
      </c>
      <c r="CL244" s="319" t="s">
        <v>173</v>
      </c>
      <c r="CM244" s="319" t="s">
        <v>173</v>
      </c>
      <c r="CN244" s="319" t="s">
        <v>173</v>
      </c>
      <c r="CO244" s="319" t="s">
        <v>173</v>
      </c>
      <c r="CP244" s="319" t="s">
        <v>173</v>
      </c>
      <c r="CQ244" s="319" t="s">
        <v>173</v>
      </c>
      <c r="CR244" s="319" t="s">
        <v>173</v>
      </c>
      <c r="CS244" s="319" t="s">
        <v>173</v>
      </c>
      <c r="CT244" s="319" t="s">
        <v>173</v>
      </c>
      <c r="CU244" s="319" t="s">
        <v>173</v>
      </c>
      <c r="CV244" s="319" t="s">
        <v>173</v>
      </c>
      <c r="CW244" s="319" t="s">
        <v>173</v>
      </c>
      <c r="CX244" s="319" t="s">
        <v>173</v>
      </c>
      <c r="CY244" s="319" t="s">
        <v>173</v>
      </c>
      <c r="CZ244" s="319" t="s">
        <v>173</v>
      </c>
      <c r="DA244" s="319" t="s">
        <v>173</v>
      </c>
      <c r="DB244" s="319" t="s">
        <v>173</v>
      </c>
      <c r="DC244" s="319" t="s">
        <v>173</v>
      </c>
      <c r="DD244" s="319" t="s">
        <v>173</v>
      </c>
      <c r="DE244" s="319" t="s">
        <v>173</v>
      </c>
      <c r="DF244" s="319" t="s">
        <v>173</v>
      </c>
      <c r="DG244" s="319" t="s">
        <v>173</v>
      </c>
      <c r="DH244" s="319" t="s">
        <v>173</v>
      </c>
      <c r="DI244" s="319" t="s">
        <v>173</v>
      </c>
      <c r="DJ244" s="319" t="s">
        <v>173</v>
      </c>
      <c r="DK244" s="319" t="s">
        <v>173</v>
      </c>
      <c r="DL244" s="319" t="s">
        <v>173</v>
      </c>
      <c r="DM244" s="319" t="s">
        <v>173</v>
      </c>
      <c r="DN244" s="319" t="s">
        <v>173</v>
      </c>
      <c r="DO244" s="319" t="s">
        <v>173</v>
      </c>
      <c r="DP244" s="319" t="s">
        <v>173</v>
      </c>
      <c r="DQ244" s="319" t="s">
        <v>173</v>
      </c>
      <c r="DR244" s="319" t="s">
        <v>173</v>
      </c>
      <c r="DS244" s="319" t="s">
        <v>173</v>
      </c>
      <c r="DT244" s="319" t="s">
        <v>173</v>
      </c>
      <c r="DU244" s="319" t="s">
        <v>173</v>
      </c>
      <c r="DV244" s="319" t="s">
        <v>173</v>
      </c>
      <c r="DW244" s="319" t="s">
        <v>173</v>
      </c>
      <c r="DX244" s="319" t="s">
        <v>173</v>
      </c>
      <c r="DY244" s="319" t="s">
        <v>173</v>
      </c>
      <c r="DZ244" s="319" t="s">
        <v>173</v>
      </c>
      <c r="EA244" s="319" t="s">
        <v>173</v>
      </c>
      <c r="EB244" s="319" t="s">
        <v>173</v>
      </c>
      <c r="EC244" s="319" t="s">
        <v>173</v>
      </c>
      <c r="ED244" s="319" t="s">
        <v>173</v>
      </c>
      <c r="EE244" s="319" t="s">
        <v>173</v>
      </c>
      <c r="EF244" s="319" t="s">
        <v>173</v>
      </c>
      <c r="EG244" s="319" t="s">
        <v>173</v>
      </c>
      <c r="EH244" s="319" t="s">
        <v>173</v>
      </c>
      <c r="EI244" s="319" t="s">
        <v>173</v>
      </c>
      <c r="EJ244" s="319" t="s">
        <v>173</v>
      </c>
      <c r="EK244" s="319" t="s">
        <v>173</v>
      </c>
      <c r="EL244" s="319" t="s">
        <v>173</v>
      </c>
      <c r="EM244" s="319" t="s">
        <v>173</v>
      </c>
      <c r="EN244" s="319" t="s">
        <v>173</v>
      </c>
      <c r="EO244" s="319" t="s">
        <v>173</v>
      </c>
      <c r="EP244" s="319" t="s">
        <v>173</v>
      </c>
      <c r="EQ244" s="319" t="s">
        <v>173</v>
      </c>
      <c r="ER244" s="319" t="s">
        <v>173</v>
      </c>
      <c r="ES244" s="319" t="s">
        <v>173</v>
      </c>
      <c r="ET244" s="319" t="s">
        <v>173</v>
      </c>
      <c r="EU244" s="319" t="s">
        <v>173</v>
      </c>
      <c r="EV244" s="319" t="s">
        <v>173</v>
      </c>
      <c r="EW244" s="319" t="s">
        <v>173</v>
      </c>
      <c r="EX244" s="319" t="s">
        <v>173</v>
      </c>
      <c r="EY244" s="319" t="s">
        <v>173</v>
      </c>
      <c r="EZ244" s="319" t="s">
        <v>173</v>
      </c>
      <c r="FA244" s="319" t="s">
        <v>173</v>
      </c>
      <c r="FB244" s="319" t="s">
        <v>173</v>
      </c>
      <c r="FC244" s="319" t="s">
        <v>173</v>
      </c>
      <c r="FD244" s="319" t="s">
        <v>173</v>
      </c>
      <c r="FE244" s="319" t="s">
        <v>173</v>
      </c>
      <c r="FF244" s="319" t="s">
        <v>173</v>
      </c>
      <c r="FG244" s="319" t="s">
        <v>173</v>
      </c>
      <c r="FH244" s="319" t="s">
        <v>173</v>
      </c>
      <c r="FI244" s="319" t="s">
        <v>173</v>
      </c>
      <c r="FJ244" s="319" t="s">
        <v>173</v>
      </c>
      <c r="FK244" s="319" t="s">
        <v>173</v>
      </c>
      <c r="FL244" s="319" t="s">
        <v>173</v>
      </c>
      <c r="FM244" s="319" t="s">
        <v>173</v>
      </c>
      <c r="FN244" s="319" t="s">
        <v>173</v>
      </c>
      <c r="FO244" s="319" t="s">
        <v>173</v>
      </c>
      <c r="FP244" s="319" t="s">
        <v>173</v>
      </c>
      <c r="FQ244" s="319" t="s">
        <v>173</v>
      </c>
      <c r="FR244" s="319" t="s">
        <v>173</v>
      </c>
      <c r="FS244" s="319" t="s">
        <v>173</v>
      </c>
      <c r="FT244" s="319" t="s">
        <v>173</v>
      </c>
      <c r="FU244" s="319" t="s">
        <v>173</v>
      </c>
      <c r="FV244" s="319" t="s">
        <v>173</v>
      </c>
      <c r="FW244" s="319" t="s">
        <v>173</v>
      </c>
      <c r="FX244" s="319" t="s">
        <v>173</v>
      </c>
      <c r="FY244" s="319" t="s">
        <v>173</v>
      </c>
      <c r="FZ244" s="319" t="s">
        <v>173</v>
      </c>
      <c r="GA244" s="319" t="s">
        <v>173</v>
      </c>
      <c r="GB244" s="319" t="s">
        <v>173</v>
      </c>
      <c r="GC244" s="319" t="s">
        <v>173</v>
      </c>
      <c r="GD244" s="319" t="s">
        <v>173</v>
      </c>
      <c r="GE244" s="319" t="s">
        <v>173</v>
      </c>
      <c r="GF244" s="319" t="s">
        <v>173</v>
      </c>
      <c r="GG244" s="319" t="s">
        <v>173</v>
      </c>
      <c r="GH244" s="319" t="s">
        <v>173</v>
      </c>
      <c r="GI244" s="319" t="s">
        <v>173</v>
      </c>
      <c r="GJ244" s="319" t="s">
        <v>173</v>
      </c>
      <c r="GK244" s="319" t="s">
        <v>173</v>
      </c>
      <c r="GL244" s="319" t="s">
        <v>173</v>
      </c>
      <c r="GM244" s="319" t="s">
        <v>173</v>
      </c>
      <c r="GN244" s="319" t="s">
        <v>173</v>
      </c>
      <c r="GO244" s="319" t="s">
        <v>173</v>
      </c>
      <c r="GP244" s="319" t="s">
        <v>173</v>
      </c>
      <c r="GQ244" s="319" t="s">
        <v>173</v>
      </c>
      <c r="GR244" s="319" t="s">
        <v>173</v>
      </c>
      <c r="GS244" s="319" t="s">
        <v>173</v>
      </c>
      <c r="GT244" s="319" t="s">
        <v>173</v>
      </c>
      <c r="GU244" s="319" t="s">
        <v>173</v>
      </c>
      <c r="GV244" s="319" t="s">
        <v>173</v>
      </c>
      <c r="GW244" s="319" t="s">
        <v>173</v>
      </c>
      <c r="GX244" s="319" t="s">
        <v>173</v>
      </c>
      <c r="GY244" s="319" t="s">
        <v>173</v>
      </c>
      <c r="GZ244" s="319" t="s">
        <v>173</v>
      </c>
      <c r="HA244" s="319" t="s">
        <v>173</v>
      </c>
      <c r="HB244" s="319" t="s">
        <v>173</v>
      </c>
      <c r="HC244" s="319" t="s">
        <v>173</v>
      </c>
      <c r="HD244" s="319" t="s">
        <v>173</v>
      </c>
      <c r="HE244" s="319" t="s">
        <v>173</v>
      </c>
      <c r="HF244" s="319" t="s">
        <v>173</v>
      </c>
      <c r="HG244" s="319" t="s">
        <v>173</v>
      </c>
      <c r="HH244" s="319" t="s">
        <v>173</v>
      </c>
      <c r="HI244" s="319" t="s">
        <v>173</v>
      </c>
      <c r="HJ244" s="319" t="s">
        <v>173</v>
      </c>
      <c r="HK244" s="319" t="s">
        <v>173</v>
      </c>
      <c r="HL244" s="319" t="s">
        <v>173</v>
      </c>
      <c r="HM244" s="319" t="s">
        <v>173</v>
      </c>
      <c r="HN244" s="319" t="s">
        <v>173</v>
      </c>
      <c r="HO244" s="319" t="s">
        <v>173</v>
      </c>
      <c r="HP244" s="319" t="s">
        <v>173</v>
      </c>
      <c r="HQ244" s="319" t="s">
        <v>173</v>
      </c>
      <c r="HR244" s="319" t="s">
        <v>173</v>
      </c>
      <c r="HS244" s="319" t="s">
        <v>173</v>
      </c>
      <c r="HT244" s="319" t="s">
        <v>173</v>
      </c>
      <c r="HU244" s="319" t="s">
        <v>173</v>
      </c>
      <c r="HV244" s="319" t="s">
        <v>173</v>
      </c>
      <c r="HW244" s="319" t="s">
        <v>173</v>
      </c>
      <c r="HX244" s="319" t="s">
        <v>173</v>
      </c>
      <c r="HY244" s="319" t="s">
        <v>173</v>
      </c>
      <c r="HZ244" s="319" t="s">
        <v>173</v>
      </c>
      <c r="IA244" s="319" t="s">
        <v>173</v>
      </c>
      <c r="IB244" s="319" t="s">
        <v>173</v>
      </c>
      <c r="IC244" s="319" t="s">
        <v>173</v>
      </c>
      <c r="ID244" s="319" t="s">
        <v>173</v>
      </c>
      <c r="IE244" s="319" t="s">
        <v>173</v>
      </c>
      <c r="IF244" s="319" t="s">
        <v>173</v>
      </c>
      <c r="IG244" s="319" t="s">
        <v>173</v>
      </c>
      <c r="IH244" s="319" t="s">
        <v>173</v>
      </c>
      <c r="II244" s="319" t="s">
        <v>173</v>
      </c>
      <c r="IJ244" s="319" t="s">
        <v>173</v>
      </c>
      <c r="IK244" s="319" t="s">
        <v>173</v>
      </c>
      <c r="IL244" s="319" t="s">
        <v>173</v>
      </c>
      <c r="IM244" s="319" t="s">
        <v>173</v>
      </c>
      <c r="IN244" s="319" t="s">
        <v>173</v>
      </c>
      <c r="IO244" s="319" t="s">
        <v>173</v>
      </c>
      <c r="IP244" s="319" t="s">
        <v>173</v>
      </c>
      <c r="IQ244" s="321" t="s">
        <v>173</v>
      </c>
      <c r="IR244" s="320" t="s">
        <v>173</v>
      </c>
      <c r="IS244" s="322" t="s">
        <v>173</v>
      </c>
      <c r="IT244" s="319" t="s">
        <v>173</v>
      </c>
    </row>
    <row r="245" spans="1:254" s="271" customFormat="1" x14ac:dyDescent="0.25">
      <c r="A245" s="318" t="str">
        <f>HYPERLINK("http://www.ofsted.gov.uk/inspection-reports/find-inspection-report/provider/ELS/125403 ","Ofsted School Webpage")</f>
        <v>Ofsted School Webpage</v>
      </c>
      <c r="B245" s="319">
        <v>125403</v>
      </c>
      <c r="C245" s="319">
        <v>9366420</v>
      </c>
      <c r="D245" s="319" t="s">
        <v>975</v>
      </c>
      <c r="E245" s="319" t="s">
        <v>168</v>
      </c>
      <c r="F245" s="319" t="s">
        <v>60</v>
      </c>
      <c r="G245" s="319" t="s">
        <v>67</v>
      </c>
      <c r="H245" s="319" t="s">
        <v>60</v>
      </c>
      <c r="I245" s="319" t="s">
        <v>59</v>
      </c>
      <c r="J245" s="319" t="s">
        <v>424</v>
      </c>
      <c r="K245" s="319" t="s">
        <v>514</v>
      </c>
      <c r="L245" s="319" t="s">
        <v>514</v>
      </c>
      <c r="M245" s="319" t="s">
        <v>699</v>
      </c>
      <c r="N245" s="319" t="s">
        <v>3041</v>
      </c>
      <c r="O245" s="319" t="s">
        <v>976</v>
      </c>
      <c r="P245" s="319">
        <v>466</v>
      </c>
      <c r="Q245" s="319" t="s">
        <v>2776</v>
      </c>
      <c r="R245" s="320">
        <v>10056671</v>
      </c>
      <c r="S245" s="321">
        <v>43529</v>
      </c>
      <c r="T245" s="321">
        <v>43531</v>
      </c>
      <c r="U245" s="321">
        <v>43549</v>
      </c>
      <c r="V245" s="319" t="s">
        <v>554</v>
      </c>
      <c r="W245" s="319" t="s">
        <v>2767</v>
      </c>
      <c r="X245" s="319">
        <v>1</v>
      </c>
      <c r="Y245" s="319" t="s">
        <v>173</v>
      </c>
      <c r="Z245" s="319" t="s">
        <v>173</v>
      </c>
      <c r="AA245" s="319" t="s">
        <v>173</v>
      </c>
      <c r="AB245" s="319">
        <v>1</v>
      </c>
      <c r="AC245" s="319" t="s">
        <v>169</v>
      </c>
      <c r="AD245" s="319" t="s">
        <v>173</v>
      </c>
      <c r="AE245" s="319">
        <v>1</v>
      </c>
      <c r="AF245" s="319" t="s">
        <v>427</v>
      </c>
      <c r="AG245" s="319" t="s">
        <v>171</v>
      </c>
      <c r="AH245" s="319" t="s">
        <v>190</v>
      </c>
      <c r="AI245" s="319" t="s">
        <v>190</v>
      </c>
      <c r="AJ245" s="319" t="s">
        <v>190</v>
      </c>
      <c r="AK245" s="319" t="s">
        <v>190</v>
      </c>
      <c r="AL245" s="319" t="s">
        <v>190</v>
      </c>
      <c r="AM245" s="319" t="s">
        <v>190</v>
      </c>
      <c r="AN245" s="319" t="s">
        <v>190</v>
      </c>
      <c r="AO245" s="319" t="s">
        <v>190</v>
      </c>
      <c r="AP245" s="319" t="s">
        <v>190</v>
      </c>
      <c r="AQ245" s="319" t="s">
        <v>190</v>
      </c>
      <c r="AR245" s="319" t="s">
        <v>190</v>
      </c>
      <c r="AS245" s="319" t="s">
        <v>190</v>
      </c>
      <c r="AT245" s="319" t="s">
        <v>190</v>
      </c>
      <c r="AU245" s="319" t="s">
        <v>190</v>
      </c>
      <c r="AV245" s="319" t="s">
        <v>428</v>
      </c>
      <c r="AW245" s="319" t="s">
        <v>190</v>
      </c>
      <c r="AX245" s="319" t="s">
        <v>428</v>
      </c>
      <c r="AY245" s="319" t="s">
        <v>190</v>
      </c>
      <c r="AZ245" s="319" t="s">
        <v>190</v>
      </c>
      <c r="BA245" s="319" t="s">
        <v>190</v>
      </c>
      <c r="BB245" s="319" t="s">
        <v>190</v>
      </c>
      <c r="BC245" s="319" t="s">
        <v>190</v>
      </c>
      <c r="BD245" s="319" t="s">
        <v>190</v>
      </c>
      <c r="BE245" s="319" t="s">
        <v>190</v>
      </c>
      <c r="BF245" s="319" t="s">
        <v>428</v>
      </c>
      <c r="BG245" s="319" t="s">
        <v>190</v>
      </c>
      <c r="BH245" s="319" t="s">
        <v>190</v>
      </c>
      <c r="BI245" s="319" t="s">
        <v>190</v>
      </c>
      <c r="BJ245" s="319" t="s">
        <v>190</v>
      </c>
      <c r="BK245" s="319" t="s">
        <v>190</v>
      </c>
      <c r="BL245" s="319" t="s">
        <v>190</v>
      </c>
      <c r="BM245" s="319" t="s">
        <v>190</v>
      </c>
      <c r="BN245" s="319" t="s">
        <v>190</v>
      </c>
      <c r="BO245" s="319" t="s">
        <v>190</v>
      </c>
      <c r="BP245" s="319" t="s">
        <v>190</v>
      </c>
      <c r="BQ245" s="319" t="s">
        <v>190</v>
      </c>
      <c r="BR245" s="319" t="s">
        <v>190</v>
      </c>
      <c r="BS245" s="319" t="s">
        <v>190</v>
      </c>
      <c r="BT245" s="319" t="s">
        <v>190</v>
      </c>
      <c r="BU245" s="319" t="s">
        <v>190</v>
      </c>
      <c r="BV245" s="319" t="s">
        <v>190</v>
      </c>
      <c r="BW245" s="319" t="s">
        <v>190</v>
      </c>
      <c r="BX245" s="319" t="s">
        <v>190</v>
      </c>
      <c r="BY245" s="319" t="s">
        <v>190</v>
      </c>
      <c r="BZ245" s="319" t="s">
        <v>190</v>
      </c>
      <c r="CA245" s="319" t="s">
        <v>190</v>
      </c>
      <c r="CB245" s="319" t="s">
        <v>190</v>
      </c>
      <c r="CC245" s="319" t="s">
        <v>190</v>
      </c>
      <c r="CD245" s="319" t="s">
        <v>190</v>
      </c>
      <c r="CE245" s="319" t="s">
        <v>190</v>
      </c>
      <c r="CF245" s="319" t="s">
        <v>190</v>
      </c>
      <c r="CG245" s="319" t="s">
        <v>190</v>
      </c>
      <c r="CH245" s="319" t="s">
        <v>190</v>
      </c>
      <c r="CI245" s="319" t="s">
        <v>190</v>
      </c>
      <c r="CJ245" s="319" t="s">
        <v>190</v>
      </c>
      <c r="CK245" s="319" t="s">
        <v>190</v>
      </c>
      <c r="CL245" s="319" t="s">
        <v>190</v>
      </c>
      <c r="CM245" s="319" t="s">
        <v>190</v>
      </c>
      <c r="CN245" s="319" t="s">
        <v>190</v>
      </c>
      <c r="CO245" s="319" t="s">
        <v>190</v>
      </c>
      <c r="CP245" s="319" t="s">
        <v>190</v>
      </c>
      <c r="CQ245" s="319" t="s">
        <v>190</v>
      </c>
      <c r="CR245" s="319" t="s">
        <v>190</v>
      </c>
      <c r="CS245" s="319" t="s">
        <v>190</v>
      </c>
      <c r="CT245" s="319" t="s">
        <v>190</v>
      </c>
      <c r="CU245" s="319" t="s">
        <v>190</v>
      </c>
      <c r="CV245" s="319" t="s">
        <v>190</v>
      </c>
      <c r="CW245" s="319" t="s">
        <v>190</v>
      </c>
      <c r="CX245" s="319" t="s">
        <v>190</v>
      </c>
      <c r="CY245" s="319" t="s">
        <v>190</v>
      </c>
      <c r="CZ245" s="319" t="s">
        <v>190</v>
      </c>
      <c r="DA245" s="319" t="s">
        <v>190</v>
      </c>
      <c r="DB245" s="319" t="s">
        <v>190</v>
      </c>
      <c r="DC245" s="319" t="s">
        <v>190</v>
      </c>
      <c r="DD245" s="319" t="s">
        <v>190</v>
      </c>
      <c r="DE245" s="319" t="s">
        <v>190</v>
      </c>
      <c r="DF245" s="319" t="s">
        <v>190</v>
      </c>
      <c r="DG245" s="319" t="s">
        <v>190</v>
      </c>
      <c r="DH245" s="319" t="s">
        <v>190</v>
      </c>
      <c r="DI245" s="319" t="s">
        <v>190</v>
      </c>
      <c r="DJ245" s="319" t="s">
        <v>190</v>
      </c>
      <c r="DK245" s="319" t="s">
        <v>190</v>
      </c>
      <c r="DL245" s="319" t="s">
        <v>190</v>
      </c>
      <c r="DM245" s="319" t="s">
        <v>190</v>
      </c>
      <c r="DN245" s="319" t="s">
        <v>190</v>
      </c>
      <c r="DO245" s="319" t="s">
        <v>190</v>
      </c>
      <c r="DP245" s="319" t="s">
        <v>190</v>
      </c>
      <c r="DQ245" s="319" t="s">
        <v>190</v>
      </c>
      <c r="DR245" s="319" t="s">
        <v>190</v>
      </c>
      <c r="DS245" s="319" t="s">
        <v>190</v>
      </c>
      <c r="DT245" s="319" t="s">
        <v>190</v>
      </c>
      <c r="DU245" s="319" t="s">
        <v>190</v>
      </c>
      <c r="DV245" s="319" t="s">
        <v>173</v>
      </c>
      <c r="DW245" s="319" t="s">
        <v>190</v>
      </c>
      <c r="DX245" s="319" t="s">
        <v>190</v>
      </c>
      <c r="DY245" s="319" t="s">
        <v>190</v>
      </c>
      <c r="DZ245" s="319" t="s">
        <v>190</v>
      </c>
      <c r="EA245" s="319" t="s">
        <v>190</v>
      </c>
      <c r="EB245" s="319" t="s">
        <v>190</v>
      </c>
      <c r="EC245" s="319" t="s">
        <v>190</v>
      </c>
      <c r="ED245" s="319" t="s">
        <v>190</v>
      </c>
      <c r="EE245" s="319" t="s">
        <v>190</v>
      </c>
      <c r="EF245" s="319" t="s">
        <v>190</v>
      </c>
      <c r="EG245" s="319" t="s">
        <v>190</v>
      </c>
      <c r="EH245" s="319" t="s">
        <v>190</v>
      </c>
      <c r="EI245" s="319" t="s">
        <v>190</v>
      </c>
      <c r="EJ245" s="319" t="s">
        <v>190</v>
      </c>
      <c r="EK245" s="319" t="s">
        <v>190</v>
      </c>
      <c r="EL245" s="319" t="s">
        <v>190</v>
      </c>
      <c r="EM245" s="319" t="s">
        <v>190</v>
      </c>
      <c r="EN245" s="319" t="s">
        <v>190</v>
      </c>
      <c r="EO245" s="319" t="s">
        <v>190</v>
      </c>
      <c r="EP245" s="319" t="s">
        <v>190</v>
      </c>
      <c r="EQ245" s="319" t="s">
        <v>190</v>
      </c>
      <c r="ER245" s="319" t="s">
        <v>190</v>
      </c>
      <c r="ES245" s="319" t="s">
        <v>190</v>
      </c>
      <c r="ET245" s="319" t="s">
        <v>190</v>
      </c>
      <c r="EU245" s="319" t="s">
        <v>190</v>
      </c>
      <c r="EV245" s="319" t="s">
        <v>190</v>
      </c>
      <c r="EW245" s="319" t="s">
        <v>190</v>
      </c>
      <c r="EX245" s="319" t="s">
        <v>190</v>
      </c>
      <c r="EY245" s="319" t="s">
        <v>190</v>
      </c>
      <c r="EZ245" s="319" t="s">
        <v>190</v>
      </c>
      <c r="FA245" s="319" t="s">
        <v>190</v>
      </c>
      <c r="FB245" s="319" t="s">
        <v>190</v>
      </c>
      <c r="FC245" s="319" t="s">
        <v>190</v>
      </c>
      <c r="FD245" s="319" t="s">
        <v>190</v>
      </c>
      <c r="FE245" s="319" t="s">
        <v>190</v>
      </c>
      <c r="FF245" s="319" t="s">
        <v>190</v>
      </c>
      <c r="FG245" s="319" t="s">
        <v>190</v>
      </c>
      <c r="FH245" s="319" t="s">
        <v>190</v>
      </c>
      <c r="FI245" s="319" t="s">
        <v>190</v>
      </c>
      <c r="FJ245" s="319" t="s">
        <v>190</v>
      </c>
      <c r="FK245" s="319" t="s">
        <v>190</v>
      </c>
      <c r="FL245" s="319" t="s">
        <v>190</v>
      </c>
      <c r="FM245" s="319" t="s">
        <v>190</v>
      </c>
      <c r="FN245" s="319" t="s">
        <v>190</v>
      </c>
      <c r="FO245" s="319" t="s">
        <v>190</v>
      </c>
      <c r="FP245" s="319" t="s">
        <v>190</v>
      </c>
      <c r="FQ245" s="319" t="s">
        <v>190</v>
      </c>
      <c r="FR245" s="319" t="s">
        <v>190</v>
      </c>
      <c r="FS245" s="319" t="s">
        <v>428</v>
      </c>
      <c r="FT245" s="319" t="s">
        <v>190</v>
      </c>
      <c r="FU245" s="319" t="s">
        <v>190</v>
      </c>
      <c r="FV245" s="319" t="s">
        <v>190</v>
      </c>
      <c r="FW245" s="319" t="s">
        <v>190</v>
      </c>
      <c r="FX245" s="319" t="s">
        <v>190</v>
      </c>
      <c r="FY245" s="319" t="s">
        <v>190</v>
      </c>
      <c r="FZ245" s="319" t="s">
        <v>190</v>
      </c>
      <c r="GA245" s="319" t="s">
        <v>190</v>
      </c>
      <c r="GB245" s="319" t="s">
        <v>190</v>
      </c>
      <c r="GC245" s="319" t="s">
        <v>190</v>
      </c>
      <c r="GD245" s="319" t="s">
        <v>190</v>
      </c>
      <c r="GE245" s="319" t="s">
        <v>190</v>
      </c>
      <c r="GF245" s="319" t="s">
        <v>190</v>
      </c>
      <c r="GG245" s="319" t="s">
        <v>190</v>
      </c>
      <c r="GH245" s="319" t="s">
        <v>190</v>
      </c>
      <c r="GI245" s="319" t="s">
        <v>190</v>
      </c>
      <c r="GJ245" s="319" t="s">
        <v>190</v>
      </c>
      <c r="GK245" s="319" t="s">
        <v>190</v>
      </c>
      <c r="GL245" s="319" t="s">
        <v>190</v>
      </c>
      <c r="GM245" s="319" t="s">
        <v>190</v>
      </c>
      <c r="GN245" s="319" t="s">
        <v>190</v>
      </c>
      <c r="GO245" s="319" t="s">
        <v>190</v>
      </c>
      <c r="GP245" s="319" t="s">
        <v>190</v>
      </c>
      <c r="GQ245" s="319" t="s">
        <v>190</v>
      </c>
      <c r="GR245" s="319" t="s">
        <v>190</v>
      </c>
      <c r="GS245" s="319" t="s">
        <v>190</v>
      </c>
      <c r="GT245" s="319" t="s">
        <v>190</v>
      </c>
      <c r="GU245" s="319" t="s">
        <v>190</v>
      </c>
      <c r="GV245" s="319" t="s">
        <v>190</v>
      </c>
      <c r="GW245" s="319" t="s">
        <v>190</v>
      </c>
      <c r="GX245" s="319" t="s">
        <v>190</v>
      </c>
      <c r="GY245" s="319" t="s">
        <v>190</v>
      </c>
      <c r="GZ245" s="319" t="s">
        <v>428</v>
      </c>
      <c r="HA245" s="319" t="s">
        <v>190</v>
      </c>
      <c r="HB245" s="319" t="s">
        <v>190</v>
      </c>
      <c r="HC245" s="319" t="s">
        <v>190</v>
      </c>
      <c r="HD245" s="319" t="s">
        <v>190</v>
      </c>
      <c r="HE245" s="319" t="s">
        <v>190</v>
      </c>
      <c r="HF245" s="319" t="s">
        <v>190</v>
      </c>
      <c r="HG245" s="319" t="s">
        <v>190</v>
      </c>
      <c r="HH245" s="319" t="s">
        <v>190</v>
      </c>
      <c r="HI245" s="319" t="s">
        <v>190</v>
      </c>
      <c r="HJ245" s="319" t="s">
        <v>190</v>
      </c>
      <c r="HK245" s="319" t="s">
        <v>190</v>
      </c>
      <c r="HL245" s="319" t="s">
        <v>190</v>
      </c>
      <c r="HM245" s="319" t="s">
        <v>190</v>
      </c>
      <c r="HN245" s="319" t="s">
        <v>190</v>
      </c>
      <c r="HO245" s="319" t="s">
        <v>190</v>
      </c>
      <c r="HP245" s="319" t="s">
        <v>190</v>
      </c>
      <c r="HQ245" s="319" t="s">
        <v>190</v>
      </c>
      <c r="HR245" s="319" t="s">
        <v>190</v>
      </c>
      <c r="HS245" s="319" t="s">
        <v>190</v>
      </c>
      <c r="HT245" s="319" t="s">
        <v>190</v>
      </c>
      <c r="HU245" s="319" t="s">
        <v>190</v>
      </c>
      <c r="HV245" s="319" t="s">
        <v>190</v>
      </c>
      <c r="HW245" s="319" t="s">
        <v>190</v>
      </c>
      <c r="HX245" s="319" t="s">
        <v>190</v>
      </c>
      <c r="HY245" s="319" t="s">
        <v>190</v>
      </c>
      <c r="HZ245" s="319" t="s">
        <v>190</v>
      </c>
      <c r="IA245" s="319" t="s">
        <v>190</v>
      </c>
      <c r="IB245" s="319" t="s">
        <v>190</v>
      </c>
      <c r="IC245" s="319" t="s">
        <v>190</v>
      </c>
      <c r="ID245" s="319" t="s">
        <v>190</v>
      </c>
      <c r="IE245" s="319" t="s">
        <v>190</v>
      </c>
      <c r="IF245" s="319" t="s">
        <v>190</v>
      </c>
      <c r="IG245" s="319" t="s">
        <v>190</v>
      </c>
      <c r="IH245" s="319" t="s">
        <v>190</v>
      </c>
      <c r="II245" s="319" t="s">
        <v>190</v>
      </c>
      <c r="IJ245" s="319">
        <v>10008882</v>
      </c>
      <c r="IK245" s="321">
        <v>42437</v>
      </c>
      <c r="IL245" s="321">
        <v>42439</v>
      </c>
      <c r="IM245" s="321">
        <v>42486</v>
      </c>
      <c r="IN245" s="319">
        <v>1</v>
      </c>
      <c r="IO245" s="319" t="s">
        <v>173</v>
      </c>
      <c r="IP245" s="319" t="s">
        <v>173</v>
      </c>
      <c r="IQ245" s="321" t="s">
        <v>173</v>
      </c>
      <c r="IR245" s="320" t="s">
        <v>173</v>
      </c>
      <c r="IS245" s="322" t="s">
        <v>173</v>
      </c>
      <c r="IT245" s="319" t="s">
        <v>173</v>
      </c>
    </row>
    <row r="246" spans="1:254" s="271" customFormat="1" x14ac:dyDescent="0.25">
      <c r="A246" s="318" t="str">
        <f>HYPERLINK("http://www.ofsted.gov.uk/inspection-reports/find-inspection-report/provider/ELS/125434 ","Ofsted School Webpage")</f>
        <v>Ofsted School Webpage</v>
      </c>
      <c r="B246" s="323">
        <v>125434</v>
      </c>
      <c r="C246" s="323">
        <v>9366551</v>
      </c>
      <c r="D246" s="323" t="s">
        <v>3042</v>
      </c>
      <c r="E246" s="323" t="s">
        <v>168</v>
      </c>
      <c r="F246" s="323" t="s">
        <v>81</v>
      </c>
      <c r="G246" s="323" t="s">
        <v>62</v>
      </c>
      <c r="H246" s="323" t="s">
        <v>62</v>
      </c>
      <c r="I246" s="323" t="s">
        <v>59</v>
      </c>
      <c r="J246" s="323" t="s">
        <v>424</v>
      </c>
      <c r="K246" s="323" t="s">
        <v>514</v>
      </c>
      <c r="L246" s="323" t="s">
        <v>514</v>
      </c>
      <c r="M246" s="323" t="s">
        <v>699</v>
      </c>
      <c r="N246" s="323" t="s">
        <v>3039</v>
      </c>
      <c r="O246" s="323" t="s">
        <v>3043</v>
      </c>
      <c r="P246" s="323">
        <v>44</v>
      </c>
      <c r="Q246" s="323" t="s">
        <v>429</v>
      </c>
      <c r="R246" s="324" t="s">
        <v>3044</v>
      </c>
      <c r="S246" s="325">
        <v>38845</v>
      </c>
      <c r="T246" s="325">
        <v>38849</v>
      </c>
      <c r="U246" s="325">
        <v>38874</v>
      </c>
      <c r="V246" s="323" t="s">
        <v>425</v>
      </c>
      <c r="W246" s="323" t="s">
        <v>2767</v>
      </c>
      <c r="X246" s="323" t="s">
        <v>173</v>
      </c>
      <c r="Y246" s="323" t="s">
        <v>173</v>
      </c>
      <c r="Z246" s="323" t="s">
        <v>173</v>
      </c>
      <c r="AA246" s="323" t="s">
        <v>173</v>
      </c>
      <c r="AB246" s="323" t="s">
        <v>173</v>
      </c>
      <c r="AC246" s="323" t="s">
        <v>173</v>
      </c>
      <c r="AD246" s="323" t="s">
        <v>173</v>
      </c>
      <c r="AE246" s="323" t="s">
        <v>173</v>
      </c>
      <c r="AF246" s="323" t="s">
        <v>173</v>
      </c>
      <c r="AG246" s="323" t="s">
        <v>173</v>
      </c>
      <c r="AH246" s="323" t="s">
        <v>173</v>
      </c>
      <c r="AI246" s="323" t="s">
        <v>173</v>
      </c>
      <c r="AJ246" s="323" t="s">
        <v>173</v>
      </c>
      <c r="AK246" s="323" t="s">
        <v>173</v>
      </c>
      <c r="AL246" s="323" t="s">
        <v>173</v>
      </c>
      <c r="AM246" s="323" t="s">
        <v>173</v>
      </c>
      <c r="AN246" s="323" t="s">
        <v>173</v>
      </c>
      <c r="AO246" s="323" t="s">
        <v>173</v>
      </c>
      <c r="AP246" s="323" t="s">
        <v>173</v>
      </c>
      <c r="AQ246" s="323" t="s">
        <v>173</v>
      </c>
      <c r="AR246" s="323" t="s">
        <v>173</v>
      </c>
      <c r="AS246" s="323" t="s">
        <v>173</v>
      </c>
      <c r="AT246" s="323" t="s">
        <v>173</v>
      </c>
      <c r="AU246" s="323" t="s">
        <v>173</v>
      </c>
      <c r="AV246" s="323" t="s">
        <v>173</v>
      </c>
      <c r="AW246" s="323" t="s">
        <v>173</v>
      </c>
      <c r="AX246" s="323" t="s">
        <v>173</v>
      </c>
      <c r="AY246" s="323" t="s">
        <v>173</v>
      </c>
      <c r="AZ246" s="323" t="s">
        <v>173</v>
      </c>
      <c r="BA246" s="323" t="s">
        <v>173</v>
      </c>
      <c r="BB246" s="323" t="s">
        <v>173</v>
      </c>
      <c r="BC246" s="323" t="s">
        <v>173</v>
      </c>
      <c r="BD246" s="323" t="s">
        <v>173</v>
      </c>
      <c r="BE246" s="323" t="s">
        <v>173</v>
      </c>
      <c r="BF246" s="323" t="s">
        <v>173</v>
      </c>
      <c r="BG246" s="323" t="s">
        <v>173</v>
      </c>
      <c r="BH246" s="323" t="s">
        <v>173</v>
      </c>
      <c r="BI246" s="323" t="s">
        <v>173</v>
      </c>
      <c r="BJ246" s="323" t="s">
        <v>173</v>
      </c>
      <c r="BK246" s="323" t="s">
        <v>173</v>
      </c>
      <c r="BL246" s="323" t="s">
        <v>173</v>
      </c>
      <c r="BM246" s="323" t="s">
        <v>173</v>
      </c>
      <c r="BN246" s="323" t="s">
        <v>173</v>
      </c>
      <c r="BO246" s="323" t="s">
        <v>173</v>
      </c>
      <c r="BP246" s="323" t="s">
        <v>173</v>
      </c>
      <c r="BQ246" s="323" t="s">
        <v>173</v>
      </c>
      <c r="BR246" s="323" t="s">
        <v>173</v>
      </c>
      <c r="BS246" s="323" t="s">
        <v>173</v>
      </c>
      <c r="BT246" s="323" t="s">
        <v>173</v>
      </c>
      <c r="BU246" s="323" t="s">
        <v>173</v>
      </c>
      <c r="BV246" s="323" t="s">
        <v>173</v>
      </c>
      <c r="BW246" s="323" t="s">
        <v>173</v>
      </c>
      <c r="BX246" s="323" t="s">
        <v>173</v>
      </c>
      <c r="BY246" s="323" t="s">
        <v>173</v>
      </c>
      <c r="BZ246" s="323" t="s">
        <v>173</v>
      </c>
      <c r="CA246" s="323" t="s">
        <v>173</v>
      </c>
      <c r="CB246" s="323" t="s">
        <v>173</v>
      </c>
      <c r="CC246" s="323" t="s">
        <v>173</v>
      </c>
      <c r="CD246" s="323" t="s">
        <v>173</v>
      </c>
      <c r="CE246" s="323" t="s">
        <v>173</v>
      </c>
      <c r="CF246" s="323" t="s">
        <v>173</v>
      </c>
      <c r="CG246" s="323" t="s">
        <v>173</v>
      </c>
      <c r="CH246" s="323" t="s">
        <v>173</v>
      </c>
      <c r="CI246" s="323" t="s">
        <v>173</v>
      </c>
      <c r="CJ246" s="323" t="s">
        <v>173</v>
      </c>
      <c r="CK246" s="323" t="s">
        <v>173</v>
      </c>
      <c r="CL246" s="323" t="s">
        <v>173</v>
      </c>
      <c r="CM246" s="323" t="s">
        <v>173</v>
      </c>
      <c r="CN246" s="323" t="s">
        <v>173</v>
      </c>
      <c r="CO246" s="323" t="s">
        <v>173</v>
      </c>
      <c r="CP246" s="323" t="s">
        <v>173</v>
      </c>
      <c r="CQ246" s="323" t="s">
        <v>173</v>
      </c>
      <c r="CR246" s="323" t="s">
        <v>173</v>
      </c>
      <c r="CS246" s="323" t="s">
        <v>173</v>
      </c>
      <c r="CT246" s="323" t="s">
        <v>173</v>
      </c>
      <c r="CU246" s="323" t="s">
        <v>173</v>
      </c>
      <c r="CV246" s="323" t="s">
        <v>173</v>
      </c>
      <c r="CW246" s="323" t="s">
        <v>173</v>
      </c>
      <c r="CX246" s="323" t="s">
        <v>173</v>
      </c>
      <c r="CY246" s="323" t="s">
        <v>173</v>
      </c>
      <c r="CZ246" s="323" t="s">
        <v>173</v>
      </c>
      <c r="DA246" s="323" t="s">
        <v>173</v>
      </c>
      <c r="DB246" s="323" t="s">
        <v>173</v>
      </c>
      <c r="DC246" s="323" t="s">
        <v>173</v>
      </c>
      <c r="DD246" s="323" t="s">
        <v>173</v>
      </c>
      <c r="DE246" s="323" t="s">
        <v>173</v>
      </c>
      <c r="DF246" s="323" t="s">
        <v>173</v>
      </c>
      <c r="DG246" s="323" t="s">
        <v>173</v>
      </c>
      <c r="DH246" s="323" t="s">
        <v>173</v>
      </c>
      <c r="DI246" s="323" t="s">
        <v>173</v>
      </c>
      <c r="DJ246" s="323" t="s">
        <v>173</v>
      </c>
      <c r="DK246" s="323" t="s">
        <v>173</v>
      </c>
      <c r="DL246" s="323" t="s">
        <v>173</v>
      </c>
      <c r="DM246" s="323" t="s">
        <v>173</v>
      </c>
      <c r="DN246" s="323" t="s">
        <v>173</v>
      </c>
      <c r="DO246" s="323" t="s">
        <v>173</v>
      </c>
      <c r="DP246" s="323" t="s">
        <v>173</v>
      </c>
      <c r="DQ246" s="323" t="s">
        <v>173</v>
      </c>
      <c r="DR246" s="323" t="s">
        <v>173</v>
      </c>
      <c r="DS246" s="323" t="s">
        <v>173</v>
      </c>
      <c r="DT246" s="323" t="s">
        <v>173</v>
      </c>
      <c r="DU246" s="323" t="s">
        <v>173</v>
      </c>
      <c r="DV246" s="323" t="s">
        <v>173</v>
      </c>
      <c r="DW246" s="323" t="s">
        <v>173</v>
      </c>
      <c r="DX246" s="323" t="s">
        <v>173</v>
      </c>
      <c r="DY246" s="323" t="s">
        <v>173</v>
      </c>
      <c r="DZ246" s="323" t="s">
        <v>173</v>
      </c>
      <c r="EA246" s="323" t="s">
        <v>173</v>
      </c>
      <c r="EB246" s="323" t="s">
        <v>173</v>
      </c>
      <c r="EC246" s="323" t="s">
        <v>173</v>
      </c>
      <c r="ED246" s="323" t="s">
        <v>173</v>
      </c>
      <c r="EE246" s="323" t="s">
        <v>173</v>
      </c>
      <c r="EF246" s="323" t="s">
        <v>173</v>
      </c>
      <c r="EG246" s="323" t="s">
        <v>173</v>
      </c>
      <c r="EH246" s="323" t="s">
        <v>173</v>
      </c>
      <c r="EI246" s="323" t="s">
        <v>173</v>
      </c>
      <c r="EJ246" s="323" t="s">
        <v>173</v>
      </c>
      <c r="EK246" s="323" t="s">
        <v>173</v>
      </c>
      <c r="EL246" s="323" t="s">
        <v>173</v>
      </c>
      <c r="EM246" s="323" t="s">
        <v>173</v>
      </c>
      <c r="EN246" s="323" t="s">
        <v>173</v>
      </c>
      <c r="EO246" s="323" t="s">
        <v>173</v>
      </c>
      <c r="EP246" s="323" t="s">
        <v>173</v>
      </c>
      <c r="EQ246" s="323" t="s">
        <v>173</v>
      </c>
      <c r="ER246" s="323" t="s">
        <v>173</v>
      </c>
      <c r="ES246" s="323" t="s">
        <v>173</v>
      </c>
      <c r="ET246" s="323" t="s">
        <v>173</v>
      </c>
      <c r="EU246" s="323" t="s">
        <v>173</v>
      </c>
      <c r="EV246" s="323" t="s">
        <v>173</v>
      </c>
      <c r="EW246" s="323" t="s">
        <v>173</v>
      </c>
      <c r="EX246" s="323" t="s">
        <v>173</v>
      </c>
      <c r="EY246" s="323" t="s">
        <v>173</v>
      </c>
      <c r="EZ246" s="323" t="s">
        <v>173</v>
      </c>
      <c r="FA246" s="323" t="s">
        <v>173</v>
      </c>
      <c r="FB246" s="323" t="s">
        <v>173</v>
      </c>
      <c r="FC246" s="323" t="s">
        <v>173</v>
      </c>
      <c r="FD246" s="323" t="s">
        <v>173</v>
      </c>
      <c r="FE246" s="323" t="s">
        <v>173</v>
      </c>
      <c r="FF246" s="323" t="s">
        <v>173</v>
      </c>
      <c r="FG246" s="323" t="s">
        <v>173</v>
      </c>
      <c r="FH246" s="323" t="s">
        <v>173</v>
      </c>
      <c r="FI246" s="323" t="s">
        <v>173</v>
      </c>
      <c r="FJ246" s="323" t="s">
        <v>173</v>
      </c>
      <c r="FK246" s="323" t="s">
        <v>173</v>
      </c>
      <c r="FL246" s="323" t="s">
        <v>173</v>
      </c>
      <c r="FM246" s="323" t="s">
        <v>173</v>
      </c>
      <c r="FN246" s="323" t="s">
        <v>173</v>
      </c>
      <c r="FO246" s="323" t="s">
        <v>173</v>
      </c>
      <c r="FP246" s="323" t="s">
        <v>173</v>
      </c>
      <c r="FQ246" s="323" t="s">
        <v>173</v>
      </c>
      <c r="FR246" s="323" t="s">
        <v>173</v>
      </c>
      <c r="FS246" s="323" t="s">
        <v>173</v>
      </c>
      <c r="FT246" s="323" t="s">
        <v>173</v>
      </c>
      <c r="FU246" s="323" t="s">
        <v>173</v>
      </c>
      <c r="FV246" s="323" t="s">
        <v>173</v>
      </c>
      <c r="FW246" s="323" t="s">
        <v>173</v>
      </c>
      <c r="FX246" s="323" t="s">
        <v>173</v>
      </c>
      <c r="FY246" s="323" t="s">
        <v>173</v>
      </c>
      <c r="FZ246" s="323" t="s">
        <v>173</v>
      </c>
      <c r="GA246" s="323" t="s">
        <v>173</v>
      </c>
      <c r="GB246" s="323" t="s">
        <v>173</v>
      </c>
      <c r="GC246" s="323" t="s">
        <v>173</v>
      </c>
      <c r="GD246" s="323" t="s">
        <v>173</v>
      </c>
      <c r="GE246" s="323" t="s">
        <v>173</v>
      </c>
      <c r="GF246" s="323" t="s">
        <v>173</v>
      </c>
      <c r="GG246" s="323" t="s">
        <v>173</v>
      </c>
      <c r="GH246" s="323" t="s">
        <v>173</v>
      </c>
      <c r="GI246" s="323" t="s">
        <v>173</v>
      </c>
      <c r="GJ246" s="323" t="s">
        <v>173</v>
      </c>
      <c r="GK246" s="323" t="s">
        <v>173</v>
      </c>
      <c r="GL246" s="323" t="s">
        <v>173</v>
      </c>
      <c r="GM246" s="323" t="s">
        <v>173</v>
      </c>
      <c r="GN246" s="323" t="s">
        <v>173</v>
      </c>
      <c r="GO246" s="323" t="s">
        <v>173</v>
      </c>
      <c r="GP246" s="323" t="s">
        <v>173</v>
      </c>
      <c r="GQ246" s="323" t="s">
        <v>173</v>
      </c>
      <c r="GR246" s="323" t="s">
        <v>173</v>
      </c>
      <c r="GS246" s="323" t="s">
        <v>173</v>
      </c>
      <c r="GT246" s="323" t="s">
        <v>173</v>
      </c>
      <c r="GU246" s="323" t="s">
        <v>173</v>
      </c>
      <c r="GV246" s="323" t="s">
        <v>173</v>
      </c>
      <c r="GW246" s="323" t="s">
        <v>173</v>
      </c>
      <c r="GX246" s="323" t="s">
        <v>173</v>
      </c>
      <c r="GY246" s="323" t="s">
        <v>173</v>
      </c>
      <c r="GZ246" s="323" t="s">
        <v>173</v>
      </c>
      <c r="HA246" s="323" t="s">
        <v>173</v>
      </c>
      <c r="HB246" s="323" t="s">
        <v>173</v>
      </c>
      <c r="HC246" s="323" t="s">
        <v>173</v>
      </c>
      <c r="HD246" s="323" t="s">
        <v>173</v>
      </c>
      <c r="HE246" s="323" t="s">
        <v>173</v>
      </c>
      <c r="HF246" s="323" t="s">
        <v>173</v>
      </c>
      <c r="HG246" s="323" t="s">
        <v>173</v>
      </c>
      <c r="HH246" s="323" t="s">
        <v>173</v>
      </c>
      <c r="HI246" s="323" t="s">
        <v>173</v>
      </c>
      <c r="HJ246" s="323" t="s">
        <v>173</v>
      </c>
      <c r="HK246" s="323" t="s">
        <v>173</v>
      </c>
      <c r="HL246" s="323" t="s">
        <v>173</v>
      </c>
      <c r="HM246" s="323" t="s">
        <v>173</v>
      </c>
      <c r="HN246" s="323" t="s">
        <v>173</v>
      </c>
      <c r="HO246" s="323" t="s">
        <v>173</v>
      </c>
      <c r="HP246" s="323" t="s">
        <v>173</v>
      </c>
      <c r="HQ246" s="323" t="s">
        <v>173</v>
      </c>
      <c r="HR246" s="323" t="s">
        <v>173</v>
      </c>
      <c r="HS246" s="323" t="s">
        <v>173</v>
      </c>
      <c r="HT246" s="323" t="s">
        <v>173</v>
      </c>
      <c r="HU246" s="323" t="s">
        <v>173</v>
      </c>
      <c r="HV246" s="323" t="s">
        <v>173</v>
      </c>
      <c r="HW246" s="323" t="s">
        <v>173</v>
      </c>
      <c r="HX246" s="323" t="s">
        <v>173</v>
      </c>
      <c r="HY246" s="323" t="s">
        <v>173</v>
      </c>
      <c r="HZ246" s="323" t="s">
        <v>173</v>
      </c>
      <c r="IA246" s="323" t="s">
        <v>173</v>
      </c>
      <c r="IB246" s="323" t="s">
        <v>173</v>
      </c>
      <c r="IC246" s="323" t="s">
        <v>173</v>
      </c>
      <c r="ID246" s="323" t="s">
        <v>173</v>
      </c>
      <c r="IE246" s="323" t="s">
        <v>173</v>
      </c>
      <c r="IF246" s="323" t="s">
        <v>173</v>
      </c>
      <c r="IG246" s="323" t="s">
        <v>173</v>
      </c>
      <c r="IH246" s="323" t="s">
        <v>173</v>
      </c>
      <c r="II246" s="323" t="s">
        <v>173</v>
      </c>
      <c r="IJ246" s="323" t="s">
        <v>173</v>
      </c>
      <c r="IK246" s="323" t="s">
        <v>173</v>
      </c>
      <c r="IL246" s="323" t="s">
        <v>173</v>
      </c>
      <c r="IM246" s="323" t="s">
        <v>173</v>
      </c>
      <c r="IN246" s="323" t="s">
        <v>173</v>
      </c>
      <c r="IO246" s="323" t="s">
        <v>173</v>
      </c>
      <c r="IP246" s="323" t="s">
        <v>173</v>
      </c>
      <c r="IQ246" s="325" t="s">
        <v>173</v>
      </c>
      <c r="IR246" s="324" t="s">
        <v>173</v>
      </c>
      <c r="IS246" s="326" t="s">
        <v>173</v>
      </c>
      <c r="IT246" s="323" t="s">
        <v>173</v>
      </c>
    </row>
    <row r="247" spans="1:254" s="271" customFormat="1" x14ac:dyDescent="0.25">
      <c r="A247" s="318" t="str">
        <f>HYPERLINK("http://www.ofsted.gov.uk/inspection-reports/find-inspection-report/provider/ELS/125436 ","Ofsted School Webpage")</f>
        <v>Ofsted School Webpage</v>
      </c>
      <c r="B247" s="319">
        <v>125436</v>
      </c>
      <c r="C247" s="319">
        <v>9366554</v>
      </c>
      <c r="D247" s="319" t="s">
        <v>1550</v>
      </c>
      <c r="E247" s="319" t="s">
        <v>168</v>
      </c>
      <c r="F247" s="319" t="s">
        <v>81</v>
      </c>
      <c r="G247" s="319" t="s">
        <v>59</v>
      </c>
      <c r="H247" s="319" t="s">
        <v>59</v>
      </c>
      <c r="I247" s="319" t="s">
        <v>59</v>
      </c>
      <c r="J247" s="319" t="s">
        <v>424</v>
      </c>
      <c r="K247" s="319" t="s">
        <v>514</v>
      </c>
      <c r="L247" s="319" t="s">
        <v>514</v>
      </c>
      <c r="M247" s="319" t="s">
        <v>699</v>
      </c>
      <c r="N247" s="319" t="s">
        <v>3045</v>
      </c>
      <c r="O247" s="319" t="s">
        <v>1551</v>
      </c>
      <c r="P247" s="319">
        <v>61</v>
      </c>
      <c r="Q247" s="319" t="s">
        <v>429</v>
      </c>
      <c r="R247" s="320">
        <v>10039158</v>
      </c>
      <c r="S247" s="321">
        <v>43046</v>
      </c>
      <c r="T247" s="321">
        <v>43048</v>
      </c>
      <c r="U247" s="321">
        <v>43070</v>
      </c>
      <c r="V247" s="319" t="s">
        <v>425</v>
      </c>
      <c r="W247" s="319" t="s">
        <v>2767</v>
      </c>
      <c r="X247" s="319">
        <v>2</v>
      </c>
      <c r="Y247" s="319" t="s">
        <v>173</v>
      </c>
      <c r="Z247" s="319" t="s">
        <v>173</v>
      </c>
      <c r="AA247" s="319" t="s">
        <v>173</v>
      </c>
      <c r="AB247" s="319">
        <v>2</v>
      </c>
      <c r="AC247" s="319" t="s">
        <v>169</v>
      </c>
      <c r="AD247" s="319" t="s">
        <v>173</v>
      </c>
      <c r="AE247" s="319" t="s">
        <v>173</v>
      </c>
      <c r="AF247" s="319" t="s">
        <v>427</v>
      </c>
      <c r="AG247" s="319" t="s">
        <v>171</v>
      </c>
      <c r="AH247" s="319" t="s">
        <v>190</v>
      </c>
      <c r="AI247" s="319" t="s">
        <v>190</v>
      </c>
      <c r="AJ247" s="319" t="s">
        <v>190</v>
      </c>
      <c r="AK247" s="319" t="s">
        <v>190</v>
      </c>
      <c r="AL247" s="319" t="s">
        <v>190</v>
      </c>
      <c r="AM247" s="319" t="s">
        <v>190</v>
      </c>
      <c r="AN247" s="319" t="s">
        <v>190</v>
      </c>
      <c r="AO247" s="319" t="s">
        <v>190</v>
      </c>
      <c r="AP247" s="319" t="s">
        <v>190</v>
      </c>
      <c r="AQ247" s="319" t="s">
        <v>190</v>
      </c>
      <c r="AR247" s="319" t="s">
        <v>190</v>
      </c>
      <c r="AS247" s="319" t="s">
        <v>190</v>
      </c>
      <c r="AT247" s="319" t="s">
        <v>190</v>
      </c>
      <c r="AU247" s="319" t="s">
        <v>190</v>
      </c>
      <c r="AV247" s="319" t="s">
        <v>190</v>
      </c>
      <c r="AW247" s="319" t="s">
        <v>190</v>
      </c>
      <c r="AX247" s="319" t="s">
        <v>190</v>
      </c>
      <c r="AY247" s="319" t="s">
        <v>190</v>
      </c>
      <c r="AZ247" s="319" t="s">
        <v>190</v>
      </c>
      <c r="BA247" s="319" t="s">
        <v>190</v>
      </c>
      <c r="BB247" s="319" t="s">
        <v>190</v>
      </c>
      <c r="BC247" s="319" t="s">
        <v>190</v>
      </c>
      <c r="BD247" s="319" t="s">
        <v>190</v>
      </c>
      <c r="BE247" s="319" t="s">
        <v>190</v>
      </c>
      <c r="BF247" s="319" t="s">
        <v>428</v>
      </c>
      <c r="BG247" s="319" t="s">
        <v>190</v>
      </c>
      <c r="BH247" s="319" t="s">
        <v>190</v>
      </c>
      <c r="BI247" s="319" t="s">
        <v>190</v>
      </c>
      <c r="BJ247" s="319" t="s">
        <v>190</v>
      </c>
      <c r="BK247" s="319" t="s">
        <v>190</v>
      </c>
      <c r="BL247" s="319" t="s">
        <v>190</v>
      </c>
      <c r="BM247" s="319" t="s">
        <v>190</v>
      </c>
      <c r="BN247" s="319" t="s">
        <v>190</v>
      </c>
      <c r="BO247" s="319" t="s">
        <v>190</v>
      </c>
      <c r="BP247" s="319" t="s">
        <v>190</v>
      </c>
      <c r="BQ247" s="319" t="s">
        <v>190</v>
      </c>
      <c r="BR247" s="319" t="s">
        <v>190</v>
      </c>
      <c r="BS247" s="319" t="s">
        <v>190</v>
      </c>
      <c r="BT247" s="319" t="s">
        <v>190</v>
      </c>
      <c r="BU247" s="319" t="s">
        <v>190</v>
      </c>
      <c r="BV247" s="319" t="s">
        <v>190</v>
      </c>
      <c r="BW247" s="319" t="s">
        <v>190</v>
      </c>
      <c r="BX247" s="319" t="s">
        <v>190</v>
      </c>
      <c r="BY247" s="319" t="s">
        <v>190</v>
      </c>
      <c r="BZ247" s="319" t="s">
        <v>190</v>
      </c>
      <c r="CA247" s="319" t="s">
        <v>190</v>
      </c>
      <c r="CB247" s="319" t="s">
        <v>190</v>
      </c>
      <c r="CC247" s="319" t="s">
        <v>190</v>
      </c>
      <c r="CD247" s="319" t="s">
        <v>190</v>
      </c>
      <c r="CE247" s="319" t="s">
        <v>190</v>
      </c>
      <c r="CF247" s="319" t="s">
        <v>190</v>
      </c>
      <c r="CG247" s="319" t="s">
        <v>190</v>
      </c>
      <c r="CH247" s="319" t="s">
        <v>190</v>
      </c>
      <c r="CI247" s="319" t="s">
        <v>190</v>
      </c>
      <c r="CJ247" s="319" t="s">
        <v>190</v>
      </c>
      <c r="CK247" s="319" t="s">
        <v>190</v>
      </c>
      <c r="CL247" s="319" t="s">
        <v>190</v>
      </c>
      <c r="CM247" s="319" t="s">
        <v>190</v>
      </c>
      <c r="CN247" s="319" t="s">
        <v>190</v>
      </c>
      <c r="CO247" s="319" t="s">
        <v>190</v>
      </c>
      <c r="CP247" s="319" t="s">
        <v>190</v>
      </c>
      <c r="CQ247" s="319" t="s">
        <v>190</v>
      </c>
      <c r="CR247" s="319" t="s">
        <v>190</v>
      </c>
      <c r="CS247" s="319" t="s">
        <v>190</v>
      </c>
      <c r="CT247" s="319" t="s">
        <v>190</v>
      </c>
      <c r="CU247" s="319" t="s">
        <v>190</v>
      </c>
      <c r="CV247" s="319" t="s">
        <v>190</v>
      </c>
      <c r="CW247" s="319" t="s">
        <v>190</v>
      </c>
      <c r="CX247" s="319" t="s">
        <v>190</v>
      </c>
      <c r="CY247" s="319" t="s">
        <v>190</v>
      </c>
      <c r="CZ247" s="319" t="s">
        <v>190</v>
      </c>
      <c r="DA247" s="319" t="s">
        <v>190</v>
      </c>
      <c r="DB247" s="319" t="s">
        <v>190</v>
      </c>
      <c r="DC247" s="319" t="s">
        <v>190</v>
      </c>
      <c r="DD247" s="319" t="s">
        <v>190</v>
      </c>
      <c r="DE247" s="319" t="s">
        <v>190</v>
      </c>
      <c r="DF247" s="319" t="s">
        <v>190</v>
      </c>
      <c r="DG247" s="319" t="s">
        <v>190</v>
      </c>
      <c r="DH247" s="319" t="s">
        <v>190</v>
      </c>
      <c r="DI247" s="319" t="s">
        <v>190</v>
      </c>
      <c r="DJ247" s="319" t="s">
        <v>190</v>
      </c>
      <c r="DK247" s="319" t="s">
        <v>190</v>
      </c>
      <c r="DL247" s="319" t="s">
        <v>190</v>
      </c>
      <c r="DM247" s="319" t="s">
        <v>190</v>
      </c>
      <c r="DN247" s="319" t="s">
        <v>190</v>
      </c>
      <c r="DO247" s="319" t="s">
        <v>190</v>
      </c>
      <c r="DP247" s="319" t="s">
        <v>190</v>
      </c>
      <c r="DQ247" s="319" t="s">
        <v>428</v>
      </c>
      <c r="DR247" s="319" t="s">
        <v>428</v>
      </c>
      <c r="DS247" s="319" t="s">
        <v>428</v>
      </c>
      <c r="DT247" s="319" t="s">
        <v>428</v>
      </c>
      <c r="DU247" s="319" t="s">
        <v>428</v>
      </c>
      <c r="DV247" s="319" t="s">
        <v>173</v>
      </c>
      <c r="DW247" s="319" t="s">
        <v>428</v>
      </c>
      <c r="DX247" s="319" t="s">
        <v>428</v>
      </c>
      <c r="DY247" s="319" t="s">
        <v>428</v>
      </c>
      <c r="DZ247" s="319" t="s">
        <v>428</v>
      </c>
      <c r="EA247" s="319" t="s">
        <v>428</v>
      </c>
      <c r="EB247" s="319" t="s">
        <v>428</v>
      </c>
      <c r="EC247" s="319" t="s">
        <v>428</v>
      </c>
      <c r="ED247" s="319" t="s">
        <v>428</v>
      </c>
      <c r="EE247" s="319" t="s">
        <v>190</v>
      </c>
      <c r="EF247" s="319" t="s">
        <v>190</v>
      </c>
      <c r="EG247" s="319" t="s">
        <v>190</v>
      </c>
      <c r="EH247" s="319" t="s">
        <v>190</v>
      </c>
      <c r="EI247" s="319" t="s">
        <v>190</v>
      </c>
      <c r="EJ247" s="319" t="s">
        <v>190</v>
      </c>
      <c r="EK247" s="319" t="s">
        <v>190</v>
      </c>
      <c r="EL247" s="319" t="s">
        <v>428</v>
      </c>
      <c r="EM247" s="319" t="s">
        <v>190</v>
      </c>
      <c r="EN247" s="319" t="s">
        <v>190</v>
      </c>
      <c r="EO247" s="319" t="s">
        <v>190</v>
      </c>
      <c r="EP247" s="319" t="s">
        <v>190</v>
      </c>
      <c r="EQ247" s="319" t="s">
        <v>190</v>
      </c>
      <c r="ER247" s="319" t="s">
        <v>190</v>
      </c>
      <c r="ES247" s="319" t="s">
        <v>190</v>
      </c>
      <c r="ET247" s="319" t="s">
        <v>190</v>
      </c>
      <c r="EU247" s="319" t="s">
        <v>190</v>
      </c>
      <c r="EV247" s="319" t="s">
        <v>190</v>
      </c>
      <c r="EW247" s="319" t="s">
        <v>190</v>
      </c>
      <c r="EX247" s="319" t="s">
        <v>190</v>
      </c>
      <c r="EY247" s="319" t="s">
        <v>190</v>
      </c>
      <c r="EZ247" s="319" t="s">
        <v>190</v>
      </c>
      <c r="FA247" s="319" t="s">
        <v>190</v>
      </c>
      <c r="FB247" s="319" t="s">
        <v>190</v>
      </c>
      <c r="FC247" s="319" t="s">
        <v>190</v>
      </c>
      <c r="FD247" s="319" t="s">
        <v>190</v>
      </c>
      <c r="FE247" s="319" t="s">
        <v>190</v>
      </c>
      <c r="FF247" s="319" t="s">
        <v>190</v>
      </c>
      <c r="FG247" s="319" t="s">
        <v>190</v>
      </c>
      <c r="FH247" s="319" t="s">
        <v>190</v>
      </c>
      <c r="FI247" s="319" t="s">
        <v>190</v>
      </c>
      <c r="FJ247" s="319" t="s">
        <v>190</v>
      </c>
      <c r="FK247" s="319" t="s">
        <v>190</v>
      </c>
      <c r="FL247" s="319" t="s">
        <v>190</v>
      </c>
      <c r="FM247" s="319" t="s">
        <v>190</v>
      </c>
      <c r="FN247" s="319" t="s">
        <v>190</v>
      </c>
      <c r="FO247" s="319" t="s">
        <v>190</v>
      </c>
      <c r="FP247" s="319" t="s">
        <v>190</v>
      </c>
      <c r="FQ247" s="319" t="s">
        <v>190</v>
      </c>
      <c r="FR247" s="319" t="s">
        <v>190</v>
      </c>
      <c r="FS247" s="319" t="s">
        <v>428</v>
      </c>
      <c r="FT247" s="319" t="s">
        <v>190</v>
      </c>
      <c r="FU247" s="319" t="s">
        <v>190</v>
      </c>
      <c r="FV247" s="319" t="s">
        <v>190</v>
      </c>
      <c r="FW247" s="319" t="s">
        <v>190</v>
      </c>
      <c r="FX247" s="319" t="s">
        <v>190</v>
      </c>
      <c r="FY247" s="319" t="s">
        <v>190</v>
      </c>
      <c r="FZ247" s="319" t="s">
        <v>190</v>
      </c>
      <c r="GA247" s="319" t="s">
        <v>190</v>
      </c>
      <c r="GB247" s="319" t="s">
        <v>190</v>
      </c>
      <c r="GC247" s="319" t="s">
        <v>190</v>
      </c>
      <c r="GD247" s="319" t="s">
        <v>190</v>
      </c>
      <c r="GE247" s="319" t="s">
        <v>190</v>
      </c>
      <c r="GF247" s="319" t="s">
        <v>190</v>
      </c>
      <c r="GG247" s="319" t="s">
        <v>190</v>
      </c>
      <c r="GH247" s="319" t="s">
        <v>190</v>
      </c>
      <c r="GI247" s="319" t="s">
        <v>190</v>
      </c>
      <c r="GJ247" s="319" t="s">
        <v>173</v>
      </c>
      <c r="GK247" s="319" t="s">
        <v>190</v>
      </c>
      <c r="GL247" s="319" t="s">
        <v>190</v>
      </c>
      <c r="GM247" s="319" t="s">
        <v>190</v>
      </c>
      <c r="GN247" s="319" t="s">
        <v>190</v>
      </c>
      <c r="GO247" s="319" t="s">
        <v>190</v>
      </c>
      <c r="GP247" s="319" t="s">
        <v>190</v>
      </c>
      <c r="GQ247" s="319" t="s">
        <v>190</v>
      </c>
      <c r="GR247" s="319" t="s">
        <v>190</v>
      </c>
      <c r="GS247" s="319" t="s">
        <v>190</v>
      </c>
      <c r="GT247" s="319" t="s">
        <v>190</v>
      </c>
      <c r="GU247" s="319" t="s">
        <v>190</v>
      </c>
      <c r="GV247" s="319" t="s">
        <v>190</v>
      </c>
      <c r="GW247" s="319" t="s">
        <v>190</v>
      </c>
      <c r="GX247" s="319" t="s">
        <v>190</v>
      </c>
      <c r="GY247" s="319" t="s">
        <v>190</v>
      </c>
      <c r="GZ247" s="319" t="s">
        <v>428</v>
      </c>
      <c r="HA247" s="319" t="s">
        <v>190</v>
      </c>
      <c r="HB247" s="319" t="s">
        <v>190</v>
      </c>
      <c r="HC247" s="319" t="s">
        <v>190</v>
      </c>
      <c r="HD247" s="319" t="s">
        <v>190</v>
      </c>
      <c r="HE247" s="319" t="s">
        <v>190</v>
      </c>
      <c r="HF247" s="319" t="s">
        <v>190</v>
      </c>
      <c r="HG247" s="319" t="s">
        <v>190</v>
      </c>
      <c r="HH247" s="319" t="s">
        <v>190</v>
      </c>
      <c r="HI247" s="319" t="s">
        <v>190</v>
      </c>
      <c r="HJ247" s="319" t="s">
        <v>190</v>
      </c>
      <c r="HK247" s="319" t="s">
        <v>190</v>
      </c>
      <c r="HL247" s="319" t="s">
        <v>190</v>
      </c>
      <c r="HM247" s="319" t="s">
        <v>428</v>
      </c>
      <c r="HN247" s="319" t="s">
        <v>428</v>
      </c>
      <c r="HO247" s="319" t="s">
        <v>428</v>
      </c>
      <c r="HP247" s="319" t="s">
        <v>190</v>
      </c>
      <c r="HQ247" s="319" t="s">
        <v>190</v>
      </c>
      <c r="HR247" s="319" t="s">
        <v>190</v>
      </c>
      <c r="HS247" s="319" t="s">
        <v>190</v>
      </c>
      <c r="HT247" s="319" t="s">
        <v>190</v>
      </c>
      <c r="HU247" s="319" t="s">
        <v>190</v>
      </c>
      <c r="HV247" s="319" t="s">
        <v>190</v>
      </c>
      <c r="HW247" s="319" t="s">
        <v>190</v>
      </c>
      <c r="HX247" s="319" t="s">
        <v>190</v>
      </c>
      <c r="HY247" s="319" t="s">
        <v>190</v>
      </c>
      <c r="HZ247" s="319" t="s">
        <v>190</v>
      </c>
      <c r="IA247" s="319" t="s">
        <v>190</v>
      </c>
      <c r="IB247" s="319" t="s">
        <v>190</v>
      </c>
      <c r="IC247" s="319" t="s">
        <v>190</v>
      </c>
      <c r="ID247" s="319" t="s">
        <v>190</v>
      </c>
      <c r="IE247" s="319" t="s">
        <v>190</v>
      </c>
      <c r="IF247" s="319" t="s">
        <v>190</v>
      </c>
      <c r="IG247" s="319" t="s">
        <v>190</v>
      </c>
      <c r="IH247" s="319" t="s">
        <v>190</v>
      </c>
      <c r="II247" s="319" t="s">
        <v>190</v>
      </c>
      <c r="IJ247" s="319" t="s">
        <v>3046</v>
      </c>
      <c r="IK247" s="321">
        <v>41947</v>
      </c>
      <c r="IL247" s="321">
        <v>41949</v>
      </c>
      <c r="IM247" s="321">
        <v>42063</v>
      </c>
      <c r="IN247" s="319">
        <v>3</v>
      </c>
      <c r="IO247" s="319" t="s">
        <v>173</v>
      </c>
      <c r="IP247" s="319" t="s">
        <v>173</v>
      </c>
      <c r="IQ247" s="321" t="s">
        <v>173</v>
      </c>
      <c r="IR247" s="320" t="s">
        <v>173</v>
      </c>
      <c r="IS247" s="322" t="s">
        <v>173</v>
      </c>
      <c r="IT247" s="319" t="s">
        <v>173</v>
      </c>
    </row>
    <row r="248" spans="1:254" s="271" customFormat="1" x14ac:dyDescent="0.25">
      <c r="A248" s="318" t="str">
        <f>HYPERLINK("http://www.ofsted.gov.uk/inspection-reports/find-inspection-report/provider/ELS/125790 ","Ofsted School Webpage")</f>
        <v>Ofsted School Webpage</v>
      </c>
      <c r="B248" s="319">
        <v>125790</v>
      </c>
      <c r="C248" s="319">
        <v>9376092</v>
      </c>
      <c r="D248" s="319" t="s">
        <v>1552</v>
      </c>
      <c r="E248" s="319" t="s">
        <v>168</v>
      </c>
      <c r="F248" s="319" t="s">
        <v>81</v>
      </c>
      <c r="G248" s="319" t="s">
        <v>81</v>
      </c>
      <c r="H248" s="319" t="s">
        <v>81</v>
      </c>
      <c r="I248" s="319" t="s">
        <v>78</v>
      </c>
      <c r="J248" s="319" t="s">
        <v>424</v>
      </c>
      <c r="K248" s="319" t="s">
        <v>437</v>
      </c>
      <c r="L248" s="319" t="s">
        <v>437</v>
      </c>
      <c r="M248" s="319" t="s">
        <v>438</v>
      </c>
      <c r="N248" s="319" t="s">
        <v>3047</v>
      </c>
      <c r="O248" s="319" t="s">
        <v>3048</v>
      </c>
      <c r="P248" s="319">
        <v>43</v>
      </c>
      <c r="Q248" s="319" t="s">
        <v>429</v>
      </c>
      <c r="R248" s="320">
        <v>10047127</v>
      </c>
      <c r="S248" s="321">
        <v>43235</v>
      </c>
      <c r="T248" s="321">
        <v>43237</v>
      </c>
      <c r="U248" s="321">
        <v>43269</v>
      </c>
      <c r="V248" s="319" t="s">
        <v>425</v>
      </c>
      <c r="W248" s="319" t="s">
        <v>2767</v>
      </c>
      <c r="X248" s="319">
        <v>2</v>
      </c>
      <c r="Y248" s="319" t="s">
        <v>173</v>
      </c>
      <c r="Z248" s="319" t="s">
        <v>173</v>
      </c>
      <c r="AA248" s="319" t="s">
        <v>173</v>
      </c>
      <c r="AB248" s="319">
        <v>2</v>
      </c>
      <c r="AC248" s="319" t="s">
        <v>169</v>
      </c>
      <c r="AD248" s="319" t="s">
        <v>173</v>
      </c>
      <c r="AE248" s="319" t="s">
        <v>173</v>
      </c>
      <c r="AF248" s="319" t="s">
        <v>427</v>
      </c>
      <c r="AG248" s="319" t="s">
        <v>171</v>
      </c>
      <c r="AH248" s="319" t="s">
        <v>190</v>
      </c>
      <c r="AI248" s="319" t="s">
        <v>190</v>
      </c>
      <c r="AJ248" s="319" t="s">
        <v>190</v>
      </c>
      <c r="AK248" s="319" t="s">
        <v>190</v>
      </c>
      <c r="AL248" s="319" t="s">
        <v>190</v>
      </c>
      <c r="AM248" s="319" t="s">
        <v>190</v>
      </c>
      <c r="AN248" s="319" t="s">
        <v>190</v>
      </c>
      <c r="AO248" s="319" t="s">
        <v>190</v>
      </c>
      <c r="AP248" s="319" t="s">
        <v>190</v>
      </c>
      <c r="AQ248" s="319" t="s">
        <v>190</v>
      </c>
      <c r="AR248" s="319" t="s">
        <v>190</v>
      </c>
      <c r="AS248" s="319" t="s">
        <v>190</v>
      </c>
      <c r="AT248" s="319" t="s">
        <v>190</v>
      </c>
      <c r="AU248" s="319" t="s">
        <v>190</v>
      </c>
      <c r="AV248" s="319" t="s">
        <v>190</v>
      </c>
      <c r="AW248" s="319" t="s">
        <v>190</v>
      </c>
      <c r="AX248" s="319" t="s">
        <v>428</v>
      </c>
      <c r="AY248" s="319" t="s">
        <v>190</v>
      </c>
      <c r="AZ248" s="319" t="s">
        <v>190</v>
      </c>
      <c r="BA248" s="319" t="s">
        <v>190</v>
      </c>
      <c r="BB248" s="319" t="s">
        <v>190</v>
      </c>
      <c r="BC248" s="319" t="s">
        <v>190</v>
      </c>
      <c r="BD248" s="319" t="s">
        <v>190</v>
      </c>
      <c r="BE248" s="319" t="s">
        <v>190</v>
      </c>
      <c r="BF248" s="319" t="s">
        <v>428</v>
      </c>
      <c r="BG248" s="319" t="s">
        <v>428</v>
      </c>
      <c r="BH248" s="319" t="s">
        <v>190</v>
      </c>
      <c r="BI248" s="319" t="s">
        <v>190</v>
      </c>
      <c r="BJ248" s="319" t="s">
        <v>190</v>
      </c>
      <c r="BK248" s="319" t="s">
        <v>190</v>
      </c>
      <c r="BL248" s="319" t="s">
        <v>190</v>
      </c>
      <c r="BM248" s="319" t="s">
        <v>190</v>
      </c>
      <c r="BN248" s="319" t="s">
        <v>190</v>
      </c>
      <c r="BO248" s="319" t="s">
        <v>190</v>
      </c>
      <c r="BP248" s="319" t="s">
        <v>190</v>
      </c>
      <c r="BQ248" s="319" t="s">
        <v>190</v>
      </c>
      <c r="BR248" s="319" t="s">
        <v>190</v>
      </c>
      <c r="BS248" s="319" t="s">
        <v>190</v>
      </c>
      <c r="BT248" s="319" t="s">
        <v>190</v>
      </c>
      <c r="BU248" s="319" t="s">
        <v>190</v>
      </c>
      <c r="BV248" s="319" t="s">
        <v>190</v>
      </c>
      <c r="BW248" s="319" t="s">
        <v>190</v>
      </c>
      <c r="BX248" s="319" t="s">
        <v>190</v>
      </c>
      <c r="BY248" s="319" t="s">
        <v>190</v>
      </c>
      <c r="BZ248" s="319" t="s">
        <v>190</v>
      </c>
      <c r="CA248" s="319" t="s">
        <v>190</v>
      </c>
      <c r="CB248" s="319" t="s">
        <v>190</v>
      </c>
      <c r="CC248" s="319" t="s">
        <v>190</v>
      </c>
      <c r="CD248" s="319" t="s">
        <v>190</v>
      </c>
      <c r="CE248" s="319" t="s">
        <v>190</v>
      </c>
      <c r="CF248" s="319" t="s">
        <v>190</v>
      </c>
      <c r="CG248" s="319" t="s">
        <v>190</v>
      </c>
      <c r="CH248" s="319" t="s">
        <v>190</v>
      </c>
      <c r="CI248" s="319" t="s">
        <v>190</v>
      </c>
      <c r="CJ248" s="319" t="s">
        <v>190</v>
      </c>
      <c r="CK248" s="319" t="s">
        <v>190</v>
      </c>
      <c r="CL248" s="319" t="s">
        <v>190</v>
      </c>
      <c r="CM248" s="319" t="s">
        <v>190</v>
      </c>
      <c r="CN248" s="319" t="s">
        <v>428</v>
      </c>
      <c r="CO248" s="319" t="s">
        <v>428</v>
      </c>
      <c r="CP248" s="319" t="s">
        <v>428</v>
      </c>
      <c r="CQ248" s="319" t="s">
        <v>190</v>
      </c>
      <c r="CR248" s="319" t="s">
        <v>190</v>
      </c>
      <c r="CS248" s="319" t="s">
        <v>190</v>
      </c>
      <c r="CT248" s="319" t="s">
        <v>190</v>
      </c>
      <c r="CU248" s="319" t="s">
        <v>190</v>
      </c>
      <c r="CV248" s="319" t="s">
        <v>190</v>
      </c>
      <c r="CW248" s="319" t="s">
        <v>190</v>
      </c>
      <c r="CX248" s="319" t="s">
        <v>190</v>
      </c>
      <c r="CY248" s="319" t="s">
        <v>190</v>
      </c>
      <c r="CZ248" s="319" t="s">
        <v>190</v>
      </c>
      <c r="DA248" s="319" t="s">
        <v>190</v>
      </c>
      <c r="DB248" s="319" t="s">
        <v>190</v>
      </c>
      <c r="DC248" s="319" t="s">
        <v>190</v>
      </c>
      <c r="DD248" s="319" t="s">
        <v>190</v>
      </c>
      <c r="DE248" s="319" t="s">
        <v>190</v>
      </c>
      <c r="DF248" s="319" t="s">
        <v>190</v>
      </c>
      <c r="DG248" s="319" t="s">
        <v>190</v>
      </c>
      <c r="DH248" s="319" t="s">
        <v>190</v>
      </c>
      <c r="DI248" s="319" t="s">
        <v>190</v>
      </c>
      <c r="DJ248" s="319" t="s">
        <v>190</v>
      </c>
      <c r="DK248" s="319" t="s">
        <v>190</v>
      </c>
      <c r="DL248" s="319" t="s">
        <v>190</v>
      </c>
      <c r="DM248" s="319" t="s">
        <v>190</v>
      </c>
      <c r="DN248" s="319" t="s">
        <v>190</v>
      </c>
      <c r="DO248" s="319" t="s">
        <v>190</v>
      </c>
      <c r="DP248" s="319" t="s">
        <v>190</v>
      </c>
      <c r="DQ248" s="319" t="s">
        <v>190</v>
      </c>
      <c r="DR248" s="319" t="s">
        <v>190</v>
      </c>
      <c r="DS248" s="319" t="s">
        <v>190</v>
      </c>
      <c r="DT248" s="319" t="s">
        <v>190</v>
      </c>
      <c r="DU248" s="319" t="s">
        <v>190</v>
      </c>
      <c r="DV248" s="319" t="s">
        <v>173</v>
      </c>
      <c r="DW248" s="319" t="s">
        <v>190</v>
      </c>
      <c r="DX248" s="319" t="s">
        <v>190</v>
      </c>
      <c r="DY248" s="319" t="s">
        <v>190</v>
      </c>
      <c r="DZ248" s="319" t="s">
        <v>190</v>
      </c>
      <c r="EA248" s="319" t="s">
        <v>190</v>
      </c>
      <c r="EB248" s="319" t="s">
        <v>190</v>
      </c>
      <c r="EC248" s="319" t="s">
        <v>190</v>
      </c>
      <c r="ED248" s="319" t="s">
        <v>190</v>
      </c>
      <c r="EE248" s="319" t="s">
        <v>190</v>
      </c>
      <c r="EF248" s="319" t="s">
        <v>190</v>
      </c>
      <c r="EG248" s="319" t="s">
        <v>190</v>
      </c>
      <c r="EH248" s="319" t="s">
        <v>190</v>
      </c>
      <c r="EI248" s="319" t="s">
        <v>190</v>
      </c>
      <c r="EJ248" s="319" t="s">
        <v>190</v>
      </c>
      <c r="EK248" s="319" t="s">
        <v>190</v>
      </c>
      <c r="EL248" s="319" t="s">
        <v>190</v>
      </c>
      <c r="EM248" s="319" t="s">
        <v>190</v>
      </c>
      <c r="EN248" s="319" t="s">
        <v>190</v>
      </c>
      <c r="EO248" s="319" t="s">
        <v>190</v>
      </c>
      <c r="EP248" s="319" t="s">
        <v>190</v>
      </c>
      <c r="EQ248" s="319" t="s">
        <v>190</v>
      </c>
      <c r="ER248" s="319" t="s">
        <v>190</v>
      </c>
      <c r="ES248" s="319" t="s">
        <v>190</v>
      </c>
      <c r="ET248" s="319" t="s">
        <v>190</v>
      </c>
      <c r="EU248" s="319" t="s">
        <v>190</v>
      </c>
      <c r="EV248" s="319" t="s">
        <v>190</v>
      </c>
      <c r="EW248" s="319" t="s">
        <v>190</v>
      </c>
      <c r="EX248" s="319" t="s">
        <v>190</v>
      </c>
      <c r="EY248" s="319" t="s">
        <v>190</v>
      </c>
      <c r="EZ248" s="319" t="s">
        <v>190</v>
      </c>
      <c r="FA248" s="319" t="s">
        <v>190</v>
      </c>
      <c r="FB248" s="319" t="s">
        <v>190</v>
      </c>
      <c r="FC248" s="319" t="s">
        <v>190</v>
      </c>
      <c r="FD248" s="319" t="s">
        <v>190</v>
      </c>
      <c r="FE248" s="319" t="s">
        <v>190</v>
      </c>
      <c r="FF248" s="319" t="s">
        <v>190</v>
      </c>
      <c r="FG248" s="319" t="s">
        <v>190</v>
      </c>
      <c r="FH248" s="319" t="s">
        <v>190</v>
      </c>
      <c r="FI248" s="319" t="s">
        <v>190</v>
      </c>
      <c r="FJ248" s="319" t="s">
        <v>190</v>
      </c>
      <c r="FK248" s="319" t="s">
        <v>190</v>
      </c>
      <c r="FL248" s="319" t="s">
        <v>190</v>
      </c>
      <c r="FM248" s="319" t="s">
        <v>190</v>
      </c>
      <c r="FN248" s="319" t="s">
        <v>190</v>
      </c>
      <c r="FO248" s="319" t="s">
        <v>190</v>
      </c>
      <c r="FP248" s="319" t="s">
        <v>190</v>
      </c>
      <c r="FQ248" s="319" t="s">
        <v>190</v>
      </c>
      <c r="FR248" s="319" t="s">
        <v>190</v>
      </c>
      <c r="FS248" s="319" t="s">
        <v>428</v>
      </c>
      <c r="FT248" s="319" t="s">
        <v>190</v>
      </c>
      <c r="FU248" s="319" t="s">
        <v>190</v>
      </c>
      <c r="FV248" s="319" t="s">
        <v>190</v>
      </c>
      <c r="FW248" s="319" t="s">
        <v>190</v>
      </c>
      <c r="FX248" s="319" t="s">
        <v>190</v>
      </c>
      <c r="FY248" s="319" t="s">
        <v>190</v>
      </c>
      <c r="FZ248" s="319" t="s">
        <v>190</v>
      </c>
      <c r="GA248" s="319" t="s">
        <v>190</v>
      </c>
      <c r="GB248" s="319" t="s">
        <v>190</v>
      </c>
      <c r="GC248" s="319" t="s">
        <v>190</v>
      </c>
      <c r="GD248" s="319" t="s">
        <v>190</v>
      </c>
      <c r="GE248" s="319" t="s">
        <v>190</v>
      </c>
      <c r="GF248" s="319" t="s">
        <v>190</v>
      </c>
      <c r="GG248" s="319" t="s">
        <v>190</v>
      </c>
      <c r="GH248" s="319" t="s">
        <v>190</v>
      </c>
      <c r="GI248" s="319" t="s">
        <v>190</v>
      </c>
      <c r="GJ248" s="319" t="s">
        <v>190</v>
      </c>
      <c r="GK248" s="319" t="s">
        <v>190</v>
      </c>
      <c r="GL248" s="319" t="s">
        <v>190</v>
      </c>
      <c r="GM248" s="319" t="s">
        <v>190</v>
      </c>
      <c r="GN248" s="319" t="s">
        <v>190</v>
      </c>
      <c r="GO248" s="319" t="s">
        <v>190</v>
      </c>
      <c r="GP248" s="319" t="s">
        <v>190</v>
      </c>
      <c r="GQ248" s="319" t="s">
        <v>190</v>
      </c>
      <c r="GR248" s="319" t="s">
        <v>190</v>
      </c>
      <c r="GS248" s="319" t="s">
        <v>190</v>
      </c>
      <c r="GT248" s="319" t="s">
        <v>190</v>
      </c>
      <c r="GU248" s="319" t="s">
        <v>190</v>
      </c>
      <c r="GV248" s="319" t="s">
        <v>190</v>
      </c>
      <c r="GW248" s="319" t="s">
        <v>190</v>
      </c>
      <c r="GX248" s="319" t="s">
        <v>190</v>
      </c>
      <c r="GY248" s="319" t="s">
        <v>190</v>
      </c>
      <c r="GZ248" s="319" t="s">
        <v>190</v>
      </c>
      <c r="HA248" s="319" t="s">
        <v>190</v>
      </c>
      <c r="HB248" s="319" t="s">
        <v>190</v>
      </c>
      <c r="HC248" s="319" t="s">
        <v>190</v>
      </c>
      <c r="HD248" s="319" t="s">
        <v>190</v>
      </c>
      <c r="HE248" s="319" t="s">
        <v>190</v>
      </c>
      <c r="HF248" s="319" t="s">
        <v>190</v>
      </c>
      <c r="HG248" s="319" t="s">
        <v>190</v>
      </c>
      <c r="HH248" s="319" t="s">
        <v>190</v>
      </c>
      <c r="HI248" s="319" t="s">
        <v>190</v>
      </c>
      <c r="HJ248" s="319" t="s">
        <v>190</v>
      </c>
      <c r="HK248" s="319" t="s">
        <v>190</v>
      </c>
      <c r="HL248" s="319" t="s">
        <v>190</v>
      </c>
      <c r="HM248" s="319" t="s">
        <v>428</v>
      </c>
      <c r="HN248" s="319" t="s">
        <v>428</v>
      </c>
      <c r="HO248" s="319" t="s">
        <v>428</v>
      </c>
      <c r="HP248" s="319" t="s">
        <v>190</v>
      </c>
      <c r="HQ248" s="319" t="s">
        <v>190</v>
      </c>
      <c r="HR248" s="319" t="s">
        <v>190</v>
      </c>
      <c r="HS248" s="319" t="s">
        <v>190</v>
      </c>
      <c r="HT248" s="319" t="s">
        <v>190</v>
      </c>
      <c r="HU248" s="319" t="s">
        <v>190</v>
      </c>
      <c r="HV248" s="319" t="s">
        <v>190</v>
      </c>
      <c r="HW248" s="319" t="s">
        <v>190</v>
      </c>
      <c r="HX248" s="319" t="s">
        <v>190</v>
      </c>
      <c r="HY248" s="319" t="s">
        <v>190</v>
      </c>
      <c r="HZ248" s="319" t="s">
        <v>190</v>
      </c>
      <c r="IA248" s="319" t="s">
        <v>190</v>
      </c>
      <c r="IB248" s="319" t="s">
        <v>190</v>
      </c>
      <c r="IC248" s="319" t="s">
        <v>190</v>
      </c>
      <c r="ID248" s="319" t="s">
        <v>190</v>
      </c>
      <c r="IE248" s="319" t="s">
        <v>190</v>
      </c>
      <c r="IF248" s="319" t="s">
        <v>190</v>
      </c>
      <c r="IG248" s="319" t="s">
        <v>190</v>
      </c>
      <c r="IH248" s="319" t="s">
        <v>190</v>
      </c>
      <c r="II248" s="319" t="s">
        <v>190</v>
      </c>
      <c r="IJ248" s="319" t="s">
        <v>3049</v>
      </c>
      <c r="IK248" s="321">
        <v>42144</v>
      </c>
      <c r="IL248" s="321">
        <v>42146</v>
      </c>
      <c r="IM248" s="321">
        <v>42165</v>
      </c>
      <c r="IN248" s="319">
        <v>2</v>
      </c>
      <c r="IO248" s="319" t="s">
        <v>173</v>
      </c>
      <c r="IP248" s="319" t="s">
        <v>173</v>
      </c>
      <c r="IQ248" s="321" t="s">
        <v>173</v>
      </c>
      <c r="IR248" s="320" t="s">
        <v>173</v>
      </c>
      <c r="IS248" s="322" t="s">
        <v>173</v>
      </c>
      <c r="IT248" s="319" t="s">
        <v>173</v>
      </c>
    </row>
    <row r="249" spans="1:254" s="271" customFormat="1" x14ac:dyDescent="0.25">
      <c r="A249" s="318" t="str">
        <f>HYPERLINK("http://www.ofsted.gov.uk/inspection-reports/find-inspection-report/provider/ELS/125814 ","Ofsted School Webpage")</f>
        <v>Ofsted School Webpage</v>
      </c>
      <c r="B249" s="319">
        <v>125814</v>
      </c>
      <c r="C249" s="319">
        <v>8956000</v>
      </c>
      <c r="D249" s="319" t="s">
        <v>1553</v>
      </c>
      <c r="E249" s="319" t="s">
        <v>168</v>
      </c>
      <c r="F249" s="319" t="s">
        <v>81</v>
      </c>
      <c r="G249" s="319" t="s">
        <v>81</v>
      </c>
      <c r="H249" s="319" t="s">
        <v>81</v>
      </c>
      <c r="I249" s="319" t="s">
        <v>78</v>
      </c>
      <c r="J249" s="319" t="s">
        <v>424</v>
      </c>
      <c r="K249" s="319" t="s">
        <v>431</v>
      </c>
      <c r="L249" s="319" t="s">
        <v>431</v>
      </c>
      <c r="M249" s="319" t="s">
        <v>880</v>
      </c>
      <c r="N249" s="319" t="s">
        <v>3050</v>
      </c>
      <c r="O249" s="319" t="s">
        <v>1554</v>
      </c>
      <c r="P249" s="319">
        <v>3</v>
      </c>
      <c r="Q249" s="319" t="s">
        <v>429</v>
      </c>
      <c r="R249" s="320">
        <v>10092573</v>
      </c>
      <c r="S249" s="321">
        <v>43634</v>
      </c>
      <c r="T249" s="321">
        <v>43636</v>
      </c>
      <c r="U249" s="321">
        <v>43656</v>
      </c>
      <c r="V249" s="319" t="s">
        <v>425</v>
      </c>
      <c r="W249" s="319" t="s">
        <v>2767</v>
      </c>
      <c r="X249" s="319">
        <v>1</v>
      </c>
      <c r="Y249" s="319" t="s">
        <v>173</v>
      </c>
      <c r="Z249" s="319" t="s">
        <v>173</v>
      </c>
      <c r="AA249" s="319" t="s">
        <v>173</v>
      </c>
      <c r="AB249" s="319">
        <v>1</v>
      </c>
      <c r="AC249" s="319" t="s">
        <v>169</v>
      </c>
      <c r="AD249" s="319" t="s">
        <v>173</v>
      </c>
      <c r="AE249" s="319" t="s">
        <v>173</v>
      </c>
      <c r="AF249" s="319" t="s">
        <v>427</v>
      </c>
      <c r="AG249" s="319" t="s">
        <v>171</v>
      </c>
      <c r="AH249" s="319" t="s">
        <v>190</v>
      </c>
      <c r="AI249" s="319" t="s">
        <v>190</v>
      </c>
      <c r="AJ249" s="319" t="s">
        <v>190</v>
      </c>
      <c r="AK249" s="319" t="s">
        <v>190</v>
      </c>
      <c r="AL249" s="319" t="s">
        <v>190</v>
      </c>
      <c r="AM249" s="319" t="s">
        <v>190</v>
      </c>
      <c r="AN249" s="319" t="s">
        <v>190</v>
      </c>
      <c r="AO249" s="319" t="s">
        <v>190</v>
      </c>
      <c r="AP249" s="319" t="s">
        <v>190</v>
      </c>
      <c r="AQ249" s="319" t="s">
        <v>190</v>
      </c>
      <c r="AR249" s="319" t="s">
        <v>190</v>
      </c>
      <c r="AS249" s="319" t="s">
        <v>190</v>
      </c>
      <c r="AT249" s="319" t="s">
        <v>190</v>
      </c>
      <c r="AU249" s="319" t="s">
        <v>190</v>
      </c>
      <c r="AV249" s="319" t="s">
        <v>190</v>
      </c>
      <c r="AW249" s="319" t="s">
        <v>190</v>
      </c>
      <c r="AX249" s="319" t="s">
        <v>428</v>
      </c>
      <c r="AY249" s="319" t="s">
        <v>190</v>
      </c>
      <c r="AZ249" s="319" t="s">
        <v>190</v>
      </c>
      <c r="BA249" s="319" t="s">
        <v>190</v>
      </c>
      <c r="BB249" s="319" t="s">
        <v>190</v>
      </c>
      <c r="BC249" s="319" t="s">
        <v>190</v>
      </c>
      <c r="BD249" s="319" t="s">
        <v>190</v>
      </c>
      <c r="BE249" s="319" t="s">
        <v>190</v>
      </c>
      <c r="BF249" s="319" t="s">
        <v>428</v>
      </c>
      <c r="BG249" s="319" t="s">
        <v>190</v>
      </c>
      <c r="BH249" s="319" t="s">
        <v>190</v>
      </c>
      <c r="BI249" s="319" t="s">
        <v>190</v>
      </c>
      <c r="BJ249" s="319" t="s">
        <v>190</v>
      </c>
      <c r="BK249" s="319" t="s">
        <v>190</v>
      </c>
      <c r="BL249" s="319" t="s">
        <v>190</v>
      </c>
      <c r="BM249" s="319" t="s">
        <v>190</v>
      </c>
      <c r="BN249" s="319" t="s">
        <v>190</v>
      </c>
      <c r="BO249" s="319" t="s">
        <v>190</v>
      </c>
      <c r="BP249" s="319" t="s">
        <v>190</v>
      </c>
      <c r="BQ249" s="319" t="s">
        <v>190</v>
      </c>
      <c r="BR249" s="319" t="s">
        <v>190</v>
      </c>
      <c r="BS249" s="319" t="s">
        <v>190</v>
      </c>
      <c r="BT249" s="319" t="s">
        <v>190</v>
      </c>
      <c r="BU249" s="319" t="s">
        <v>190</v>
      </c>
      <c r="BV249" s="319" t="s">
        <v>190</v>
      </c>
      <c r="BW249" s="319" t="s">
        <v>190</v>
      </c>
      <c r="BX249" s="319" t="s">
        <v>190</v>
      </c>
      <c r="BY249" s="319" t="s">
        <v>190</v>
      </c>
      <c r="BZ249" s="319" t="s">
        <v>190</v>
      </c>
      <c r="CA249" s="319" t="s">
        <v>190</v>
      </c>
      <c r="CB249" s="319" t="s">
        <v>190</v>
      </c>
      <c r="CC249" s="319" t="s">
        <v>190</v>
      </c>
      <c r="CD249" s="319" t="s">
        <v>190</v>
      </c>
      <c r="CE249" s="319" t="s">
        <v>190</v>
      </c>
      <c r="CF249" s="319" t="s">
        <v>190</v>
      </c>
      <c r="CG249" s="319" t="s">
        <v>190</v>
      </c>
      <c r="CH249" s="319" t="s">
        <v>190</v>
      </c>
      <c r="CI249" s="319" t="s">
        <v>190</v>
      </c>
      <c r="CJ249" s="319" t="s">
        <v>190</v>
      </c>
      <c r="CK249" s="319" t="s">
        <v>190</v>
      </c>
      <c r="CL249" s="319" t="s">
        <v>190</v>
      </c>
      <c r="CM249" s="319" t="s">
        <v>190</v>
      </c>
      <c r="CN249" s="319" t="s">
        <v>190</v>
      </c>
      <c r="CO249" s="319" t="s">
        <v>428</v>
      </c>
      <c r="CP249" s="319" t="s">
        <v>190</v>
      </c>
      <c r="CQ249" s="319" t="s">
        <v>190</v>
      </c>
      <c r="CR249" s="319" t="s">
        <v>190</v>
      </c>
      <c r="CS249" s="319" t="s">
        <v>190</v>
      </c>
      <c r="CT249" s="319" t="s">
        <v>190</v>
      </c>
      <c r="CU249" s="319" t="s">
        <v>190</v>
      </c>
      <c r="CV249" s="319" t="s">
        <v>190</v>
      </c>
      <c r="CW249" s="319" t="s">
        <v>190</v>
      </c>
      <c r="CX249" s="319" t="s">
        <v>190</v>
      </c>
      <c r="CY249" s="319" t="s">
        <v>190</v>
      </c>
      <c r="CZ249" s="319" t="s">
        <v>190</v>
      </c>
      <c r="DA249" s="319" t="s">
        <v>190</v>
      </c>
      <c r="DB249" s="319" t="s">
        <v>190</v>
      </c>
      <c r="DC249" s="319" t="s">
        <v>190</v>
      </c>
      <c r="DD249" s="319" t="s">
        <v>190</v>
      </c>
      <c r="DE249" s="319" t="s">
        <v>190</v>
      </c>
      <c r="DF249" s="319" t="s">
        <v>190</v>
      </c>
      <c r="DG249" s="319" t="s">
        <v>190</v>
      </c>
      <c r="DH249" s="319" t="s">
        <v>190</v>
      </c>
      <c r="DI249" s="319" t="s">
        <v>190</v>
      </c>
      <c r="DJ249" s="319" t="s">
        <v>190</v>
      </c>
      <c r="DK249" s="319" t="s">
        <v>190</v>
      </c>
      <c r="DL249" s="319" t="s">
        <v>190</v>
      </c>
      <c r="DM249" s="319" t="s">
        <v>190</v>
      </c>
      <c r="DN249" s="319" t="s">
        <v>428</v>
      </c>
      <c r="DO249" s="319" t="s">
        <v>190</v>
      </c>
      <c r="DP249" s="319" t="s">
        <v>190</v>
      </c>
      <c r="DQ249" s="319" t="s">
        <v>190</v>
      </c>
      <c r="DR249" s="319" t="s">
        <v>190</v>
      </c>
      <c r="DS249" s="319" t="s">
        <v>190</v>
      </c>
      <c r="DT249" s="319" t="s">
        <v>190</v>
      </c>
      <c r="DU249" s="319" t="s">
        <v>190</v>
      </c>
      <c r="DV249" s="319" t="s">
        <v>173</v>
      </c>
      <c r="DW249" s="319" t="s">
        <v>190</v>
      </c>
      <c r="DX249" s="319" t="s">
        <v>190</v>
      </c>
      <c r="DY249" s="319" t="s">
        <v>190</v>
      </c>
      <c r="DZ249" s="319" t="s">
        <v>190</v>
      </c>
      <c r="EA249" s="319" t="s">
        <v>190</v>
      </c>
      <c r="EB249" s="319" t="s">
        <v>190</v>
      </c>
      <c r="EC249" s="319" t="s">
        <v>428</v>
      </c>
      <c r="ED249" s="319" t="s">
        <v>190</v>
      </c>
      <c r="EE249" s="319" t="s">
        <v>190</v>
      </c>
      <c r="EF249" s="319" t="s">
        <v>190</v>
      </c>
      <c r="EG249" s="319" t="s">
        <v>190</v>
      </c>
      <c r="EH249" s="319" t="s">
        <v>190</v>
      </c>
      <c r="EI249" s="319" t="s">
        <v>190</v>
      </c>
      <c r="EJ249" s="319" t="s">
        <v>190</v>
      </c>
      <c r="EK249" s="319" t="s">
        <v>190</v>
      </c>
      <c r="EL249" s="319" t="s">
        <v>190</v>
      </c>
      <c r="EM249" s="319" t="s">
        <v>190</v>
      </c>
      <c r="EN249" s="319" t="s">
        <v>190</v>
      </c>
      <c r="EO249" s="319" t="s">
        <v>190</v>
      </c>
      <c r="EP249" s="319" t="s">
        <v>190</v>
      </c>
      <c r="EQ249" s="319" t="s">
        <v>190</v>
      </c>
      <c r="ER249" s="319" t="s">
        <v>190</v>
      </c>
      <c r="ES249" s="319" t="s">
        <v>190</v>
      </c>
      <c r="ET249" s="319" t="s">
        <v>190</v>
      </c>
      <c r="EU249" s="319" t="s">
        <v>190</v>
      </c>
      <c r="EV249" s="319" t="s">
        <v>190</v>
      </c>
      <c r="EW249" s="319" t="s">
        <v>190</v>
      </c>
      <c r="EX249" s="319" t="s">
        <v>190</v>
      </c>
      <c r="EY249" s="319" t="s">
        <v>190</v>
      </c>
      <c r="EZ249" s="319" t="s">
        <v>190</v>
      </c>
      <c r="FA249" s="319" t="s">
        <v>190</v>
      </c>
      <c r="FB249" s="319" t="s">
        <v>190</v>
      </c>
      <c r="FC249" s="319" t="s">
        <v>190</v>
      </c>
      <c r="FD249" s="319" t="s">
        <v>190</v>
      </c>
      <c r="FE249" s="319" t="s">
        <v>190</v>
      </c>
      <c r="FF249" s="319" t="s">
        <v>190</v>
      </c>
      <c r="FG249" s="319" t="s">
        <v>190</v>
      </c>
      <c r="FH249" s="319" t="s">
        <v>190</v>
      </c>
      <c r="FI249" s="319" t="s">
        <v>190</v>
      </c>
      <c r="FJ249" s="319" t="s">
        <v>190</v>
      </c>
      <c r="FK249" s="319" t="s">
        <v>190</v>
      </c>
      <c r="FL249" s="319" t="s">
        <v>190</v>
      </c>
      <c r="FM249" s="319" t="s">
        <v>190</v>
      </c>
      <c r="FN249" s="319" t="s">
        <v>190</v>
      </c>
      <c r="FO249" s="319" t="s">
        <v>190</v>
      </c>
      <c r="FP249" s="319" t="s">
        <v>190</v>
      </c>
      <c r="FQ249" s="319" t="s">
        <v>190</v>
      </c>
      <c r="FR249" s="319" t="s">
        <v>190</v>
      </c>
      <c r="FS249" s="319" t="s">
        <v>190</v>
      </c>
      <c r="FT249" s="319" t="s">
        <v>190</v>
      </c>
      <c r="FU249" s="319" t="s">
        <v>190</v>
      </c>
      <c r="FV249" s="319" t="s">
        <v>190</v>
      </c>
      <c r="FW249" s="319" t="s">
        <v>190</v>
      </c>
      <c r="FX249" s="319" t="s">
        <v>190</v>
      </c>
      <c r="FY249" s="319" t="s">
        <v>190</v>
      </c>
      <c r="FZ249" s="319" t="s">
        <v>190</v>
      </c>
      <c r="GA249" s="319" t="s">
        <v>190</v>
      </c>
      <c r="GB249" s="319" t="s">
        <v>190</v>
      </c>
      <c r="GC249" s="319" t="s">
        <v>190</v>
      </c>
      <c r="GD249" s="319" t="s">
        <v>190</v>
      </c>
      <c r="GE249" s="319" t="s">
        <v>190</v>
      </c>
      <c r="GF249" s="319" t="s">
        <v>190</v>
      </c>
      <c r="GG249" s="319" t="s">
        <v>190</v>
      </c>
      <c r="GH249" s="319" t="s">
        <v>190</v>
      </c>
      <c r="GI249" s="319" t="s">
        <v>190</v>
      </c>
      <c r="GJ249" s="319" t="s">
        <v>190</v>
      </c>
      <c r="GK249" s="319" t="s">
        <v>428</v>
      </c>
      <c r="GL249" s="319" t="s">
        <v>190</v>
      </c>
      <c r="GM249" s="319" t="s">
        <v>190</v>
      </c>
      <c r="GN249" s="319" t="s">
        <v>190</v>
      </c>
      <c r="GO249" s="319" t="s">
        <v>190</v>
      </c>
      <c r="GP249" s="319" t="s">
        <v>190</v>
      </c>
      <c r="GQ249" s="319" t="s">
        <v>428</v>
      </c>
      <c r="GR249" s="319" t="s">
        <v>190</v>
      </c>
      <c r="GS249" s="319" t="s">
        <v>190</v>
      </c>
      <c r="GT249" s="319" t="s">
        <v>190</v>
      </c>
      <c r="GU249" s="319" t="s">
        <v>190</v>
      </c>
      <c r="GV249" s="319" t="s">
        <v>190</v>
      </c>
      <c r="GW249" s="319" t="s">
        <v>190</v>
      </c>
      <c r="GX249" s="319" t="s">
        <v>190</v>
      </c>
      <c r="GY249" s="319" t="s">
        <v>190</v>
      </c>
      <c r="GZ249" s="319" t="s">
        <v>190</v>
      </c>
      <c r="HA249" s="319" t="s">
        <v>428</v>
      </c>
      <c r="HB249" s="319" t="s">
        <v>428</v>
      </c>
      <c r="HC249" s="319" t="s">
        <v>190</v>
      </c>
      <c r="HD249" s="319" t="s">
        <v>190</v>
      </c>
      <c r="HE249" s="319" t="s">
        <v>190</v>
      </c>
      <c r="HF249" s="319" t="s">
        <v>190</v>
      </c>
      <c r="HG249" s="319" t="s">
        <v>190</v>
      </c>
      <c r="HH249" s="319" t="s">
        <v>190</v>
      </c>
      <c r="HI249" s="319" t="s">
        <v>190</v>
      </c>
      <c r="HJ249" s="319" t="s">
        <v>190</v>
      </c>
      <c r="HK249" s="319" t="s">
        <v>190</v>
      </c>
      <c r="HL249" s="319" t="s">
        <v>428</v>
      </c>
      <c r="HM249" s="319" t="s">
        <v>428</v>
      </c>
      <c r="HN249" s="319" t="s">
        <v>428</v>
      </c>
      <c r="HO249" s="319" t="s">
        <v>428</v>
      </c>
      <c r="HP249" s="319" t="s">
        <v>190</v>
      </c>
      <c r="HQ249" s="319" t="s">
        <v>190</v>
      </c>
      <c r="HR249" s="319" t="s">
        <v>190</v>
      </c>
      <c r="HS249" s="319" t="s">
        <v>190</v>
      </c>
      <c r="HT249" s="319" t="s">
        <v>190</v>
      </c>
      <c r="HU249" s="319" t="s">
        <v>190</v>
      </c>
      <c r="HV249" s="319" t="s">
        <v>190</v>
      </c>
      <c r="HW249" s="319" t="s">
        <v>190</v>
      </c>
      <c r="HX249" s="319" t="s">
        <v>190</v>
      </c>
      <c r="HY249" s="319" t="s">
        <v>190</v>
      </c>
      <c r="HZ249" s="319" t="s">
        <v>190</v>
      </c>
      <c r="IA249" s="319" t="s">
        <v>190</v>
      </c>
      <c r="IB249" s="319" t="s">
        <v>190</v>
      </c>
      <c r="IC249" s="319" t="s">
        <v>190</v>
      </c>
      <c r="ID249" s="319" t="s">
        <v>190</v>
      </c>
      <c r="IE249" s="319" t="s">
        <v>190</v>
      </c>
      <c r="IF249" s="319" t="s">
        <v>190</v>
      </c>
      <c r="IG249" s="319" t="s">
        <v>190</v>
      </c>
      <c r="IH249" s="319" t="s">
        <v>190</v>
      </c>
      <c r="II249" s="319" t="s">
        <v>190</v>
      </c>
      <c r="IJ249" s="319">
        <v>10006079</v>
      </c>
      <c r="IK249" s="321">
        <v>42633</v>
      </c>
      <c r="IL249" s="321">
        <v>42635</v>
      </c>
      <c r="IM249" s="321">
        <v>42663</v>
      </c>
      <c r="IN249" s="319">
        <v>1</v>
      </c>
      <c r="IO249" s="319" t="s">
        <v>173</v>
      </c>
      <c r="IP249" s="319" t="s">
        <v>173</v>
      </c>
      <c r="IQ249" s="321" t="s">
        <v>173</v>
      </c>
      <c r="IR249" s="320" t="s">
        <v>173</v>
      </c>
      <c r="IS249" s="322" t="s">
        <v>173</v>
      </c>
      <c r="IT249" s="319" t="s">
        <v>173</v>
      </c>
    </row>
    <row r="250" spans="1:254" s="271" customFormat="1" x14ac:dyDescent="0.25">
      <c r="A250" s="318" t="str">
        <f>HYPERLINK("http://www.ofsted.gov.uk/inspection-reports/find-inspection-report/provider/ELS/126132 ","Ofsted School Webpage")</f>
        <v>Ofsted School Webpage</v>
      </c>
      <c r="B250" s="319">
        <v>126132</v>
      </c>
      <c r="C250" s="319">
        <v>9386188</v>
      </c>
      <c r="D250" s="319" t="s">
        <v>1555</v>
      </c>
      <c r="E250" s="319" t="s">
        <v>167</v>
      </c>
      <c r="F250" s="319" t="s">
        <v>58</v>
      </c>
      <c r="G250" s="319" t="s">
        <v>62</v>
      </c>
      <c r="H250" s="319" t="s">
        <v>58</v>
      </c>
      <c r="I250" s="319" t="s">
        <v>59</v>
      </c>
      <c r="J250" s="319" t="s">
        <v>424</v>
      </c>
      <c r="K250" s="319" t="s">
        <v>514</v>
      </c>
      <c r="L250" s="319" t="s">
        <v>514</v>
      </c>
      <c r="M250" s="319" t="s">
        <v>737</v>
      </c>
      <c r="N250" s="319" t="s">
        <v>3051</v>
      </c>
      <c r="O250" s="319" t="s">
        <v>1556</v>
      </c>
      <c r="P250" s="319">
        <v>164</v>
      </c>
      <c r="Q250" s="319" t="s">
        <v>2776</v>
      </c>
      <c r="R250" s="320">
        <v>10033960</v>
      </c>
      <c r="S250" s="321">
        <v>43277</v>
      </c>
      <c r="T250" s="321">
        <v>43279</v>
      </c>
      <c r="U250" s="321">
        <v>43357</v>
      </c>
      <c r="V250" s="319" t="s">
        <v>425</v>
      </c>
      <c r="W250" s="319" t="s">
        <v>2767</v>
      </c>
      <c r="X250" s="319">
        <v>2</v>
      </c>
      <c r="Y250" s="319" t="s">
        <v>173</v>
      </c>
      <c r="Z250" s="319" t="s">
        <v>173</v>
      </c>
      <c r="AA250" s="319" t="s">
        <v>173</v>
      </c>
      <c r="AB250" s="319">
        <v>2</v>
      </c>
      <c r="AC250" s="319" t="s">
        <v>169</v>
      </c>
      <c r="AD250" s="319" t="s">
        <v>173</v>
      </c>
      <c r="AE250" s="319" t="s">
        <v>173</v>
      </c>
      <c r="AF250" s="319" t="s">
        <v>427</v>
      </c>
      <c r="AG250" s="319" t="s">
        <v>171</v>
      </c>
      <c r="AH250" s="319" t="s">
        <v>190</v>
      </c>
      <c r="AI250" s="319" t="s">
        <v>190</v>
      </c>
      <c r="AJ250" s="319" t="s">
        <v>190</v>
      </c>
      <c r="AK250" s="319" t="s">
        <v>190</v>
      </c>
      <c r="AL250" s="319" t="s">
        <v>190</v>
      </c>
      <c r="AM250" s="319" t="s">
        <v>190</v>
      </c>
      <c r="AN250" s="319" t="s">
        <v>190</v>
      </c>
      <c r="AO250" s="319" t="s">
        <v>190</v>
      </c>
      <c r="AP250" s="319" t="s">
        <v>190</v>
      </c>
      <c r="AQ250" s="319" t="s">
        <v>190</v>
      </c>
      <c r="AR250" s="319" t="s">
        <v>190</v>
      </c>
      <c r="AS250" s="319" t="s">
        <v>190</v>
      </c>
      <c r="AT250" s="319" t="s">
        <v>190</v>
      </c>
      <c r="AU250" s="319" t="s">
        <v>190</v>
      </c>
      <c r="AV250" s="319" t="s">
        <v>190</v>
      </c>
      <c r="AW250" s="319" t="s">
        <v>190</v>
      </c>
      <c r="AX250" s="319" t="s">
        <v>190</v>
      </c>
      <c r="AY250" s="319" t="s">
        <v>190</v>
      </c>
      <c r="AZ250" s="319" t="s">
        <v>190</v>
      </c>
      <c r="BA250" s="319" t="s">
        <v>190</v>
      </c>
      <c r="BB250" s="319" t="s">
        <v>190</v>
      </c>
      <c r="BC250" s="319" t="s">
        <v>190</v>
      </c>
      <c r="BD250" s="319" t="s">
        <v>190</v>
      </c>
      <c r="BE250" s="319" t="s">
        <v>190</v>
      </c>
      <c r="BF250" s="319" t="s">
        <v>190</v>
      </c>
      <c r="BG250" s="319" t="s">
        <v>190</v>
      </c>
      <c r="BH250" s="319" t="s">
        <v>190</v>
      </c>
      <c r="BI250" s="319" t="s">
        <v>190</v>
      </c>
      <c r="BJ250" s="319" t="s">
        <v>190</v>
      </c>
      <c r="BK250" s="319" t="s">
        <v>190</v>
      </c>
      <c r="BL250" s="319" t="s">
        <v>190</v>
      </c>
      <c r="BM250" s="319" t="s">
        <v>190</v>
      </c>
      <c r="BN250" s="319" t="s">
        <v>190</v>
      </c>
      <c r="BO250" s="319" t="s">
        <v>190</v>
      </c>
      <c r="BP250" s="319" t="s">
        <v>190</v>
      </c>
      <c r="BQ250" s="319" t="s">
        <v>190</v>
      </c>
      <c r="BR250" s="319" t="s">
        <v>190</v>
      </c>
      <c r="BS250" s="319" t="s">
        <v>190</v>
      </c>
      <c r="BT250" s="319" t="s">
        <v>190</v>
      </c>
      <c r="BU250" s="319" t="s">
        <v>190</v>
      </c>
      <c r="BV250" s="319" t="s">
        <v>190</v>
      </c>
      <c r="BW250" s="319" t="s">
        <v>190</v>
      </c>
      <c r="BX250" s="319" t="s">
        <v>190</v>
      </c>
      <c r="BY250" s="319" t="s">
        <v>190</v>
      </c>
      <c r="BZ250" s="319" t="s">
        <v>190</v>
      </c>
      <c r="CA250" s="319" t="s">
        <v>190</v>
      </c>
      <c r="CB250" s="319" t="s">
        <v>190</v>
      </c>
      <c r="CC250" s="319" t="s">
        <v>190</v>
      </c>
      <c r="CD250" s="319" t="s">
        <v>190</v>
      </c>
      <c r="CE250" s="319" t="s">
        <v>190</v>
      </c>
      <c r="CF250" s="319" t="s">
        <v>190</v>
      </c>
      <c r="CG250" s="319" t="s">
        <v>190</v>
      </c>
      <c r="CH250" s="319" t="s">
        <v>190</v>
      </c>
      <c r="CI250" s="319" t="s">
        <v>190</v>
      </c>
      <c r="CJ250" s="319" t="s">
        <v>190</v>
      </c>
      <c r="CK250" s="319" t="s">
        <v>190</v>
      </c>
      <c r="CL250" s="319" t="s">
        <v>190</v>
      </c>
      <c r="CM250" s="319" t="s">
        <v>190</v>
      </c>
      <c r="CN250" s="319" t="s">
        <v>190</v>
      </c>
      <c r="CO250" s="319" t="s">
        <v>190</v>
      </c>
      <c r="CP250" s="319" t="s">
        <v>190</v>
      </c>
      <c r="CQ250" s="319" t="s">
        <v>190</v>
      </c>
      <c r="CR250" s="319" t="s">
        <v>190</v>
      </c>
      <c r="CS250" s="319" t="s">
        <v>190</v>
      </c>
      <c r="CT250" s="319" t="s">
        <v>190</v>
      </c>
      <c r="CU250" s="319" t="s">
        <v>190</v>
      </c>
      <c r="CV250" s="319" t="s">
        <v>190</v>
      </c>
      <c r="CW250" s="319" t="s">
        <v>190</v>
      </c>
      <c r="CX250" s="319" t="s">
        <v>190</v>
      </c>
      <c r="CY250" s="319" t="s">
        <v>190</v>
      </c>
      <c r="CZ250" s="319" t="s">
        <v>190</v>
      </c>
      <c r="DA250" s="319" t="s">
        <v>190</v>
      </c>
      <c r="DB250" s="319" t="s">
        <v>190</v>
      </c>
      <c r="DC250" s="319" t="s">
        <v>190</v>
      </c>
      <c r="DD250" s="319" t="s">
        <v>190</v>
      </c>
      <c r="DE250" s="319" t="s">
        <v>190</v>
      </c>
      <c r="DF250" s="319" t="s">
        <v>190</v>
      </c>
      <c r="DG250" s="319" t="s">
        <v>190</v>
      </c>
      <c r="DH250" s="319" t="s">
        <v>190</v>
      </c>
      <c r="DI250" s="319" t="s">
        <v>190</v>
      </c>
      <c r="DJ250" s="319" t="s">
        <v>190</v>
      </c>
      <c r="DK250" s="319" t="s">
        <v>190</v>
      </c>
      <c r="DL250" s="319" t="s">
        <v>190</v>
      </c>
      <c r="DM250" s="319" t="s">
        <v>190</v>
      </c>
      <c r="DN250" s="319" t="s">
        <v>190</v>
      </c>
      <c r="DO250" s="319" t="s">
        <v>190</v>
      </c>
      <c r="DP250" s="319" t="s">
        <v>190</v>
      </c>
      <c r="DQ250" s="319" t="s">
        <v>190</v>
      </c>
      <c r="DR250" s="319" t="s">
        <v>190</v>
      </c>
      <c r="DS250" s="319" t="s">
        <v>190</v>
      </c>
      <c r="DT250" s="319" t="s">
        <v>190</v>
      </c>
      <c r="DU250" s="319" t="s">
        <v>190</v>
      </c>
      <c r="DV250" s="319" t="s">
        <v>173</v>
      </c>
      <c r="DW250" s="319" t="s">
        <v>190</v>
      </c>
      <c r="DX250" s="319" t="s">
        <v>190</v>
      </c>
      <c r="DY250" s="319" t="s">
        <v>190</v>
      </c>
      <c r="DZ250" s="319" t="s">
        <v>190</v>
      </c>
      <c r="EA250" s="319" t="s">
        <v>190</v>
      </c>
      <c r="EB250" s="319" t="s">
        <v>190</v>
      </c>
      <c r="EC250" s="319" t="s">
        <v>190</v>
      </c>
      <c r="ED250" s="319" t="s">
        <v>190</v>
      </c>
      <c r="EE250" s="319" t="s">
        <v>190</v>
      </c>
      <c r="EF250" s="319" t="s">
        <v>190</v>
      </c>
      <c r="EG250" s="319" t="s">
        <v>190</v>
      </c>
      <c r="EH250" s="319" t="s">
        <v>190</v>
      </c>
      <c r="EI250" s="319" t="s">
        <v>190</v>
      </c>
      <c r="EJ250" s="319" t="s">
        <v>190</v>
      </c>
      <c r="EK250" s="319" t="s">
        <v>190</v>
      </c>
      <c r="EL250" s="319" t="s">
        <v>190</v>
      </c>
      <c r="EM250" s="319" t="s">
        <v>190</v>
      </c>
      <c r="EN250" s="319" t="s">
        <v>190</v>
      </c>
      <c r="EO250" s="319" t="s">
        <v>190</v>
      </c>
      <c r="EP250" s="319" t="s">
        <v>190</v>
      </c>
      <c r="EQ250" s="319" t="s">
        <v>190</v>
      </c>
      <c r="ER250" s="319" t="s">
        <v>190</v>
      </c>
      <c r="ES250" s="319" t="s">
        <v>190</v>
      </c>
      <c r="ET250" s="319" t="s">
        <v>190</v>
      </c>
      <c r="EU250" s="319" t="s">
        <v>190</v>
      </c>
      <c r="EV250" s="319" t="s">
        <v>190</v>
      </c>
      <c r="EW250" s="319" t="s">
        <v>190</v>
      </c>
      <c r="EX250" s="319" t="s">
        <v>190</v>
      </c>
      <c r="EY250" s="319" t="s">
        <v>190</v>
      </c>
      <c r="EZ250" s="319" t="s">
        <v>190</v>
      </c>
      <c r="FA250" s="319" t="s">
        <v>190</v>
      </c>
      <c r="FB250" s="319" t="s">
        <v>190</v>
      </c>
      <c r="FC250" s="319" t="s">
        <v>190</v>
      </c>
      <c r="FD250" s="319" t="s">
        <v>190</v>
      </c>
      <c r="FE250" s="319" t="s">
        <v>190</v>
      </c>
      <c r="FF250" s="319" t="s">
        <v>190</v>
      </c>
      <c r="FG250" s="319" t="s">
        <v>190</v>
      </c>
      <c r="FH250" s="319" t="s">
        <v>190</v>
      </c>
      <c r="FI250" s="319" t="s">
        <v>190</v>
      </c>
      <c r="FJ250" s="319" t="s">
        <v>190</v>
      </c>
      <c r="FK250" s="319" t="s">
        <v>190</v>
      </c>
      <c r="FL250" s="319" t="s">
        <v>190</v>
      </c>
      <c r="FM250" s="319" t="s">
        <v>190</v>
      </c>
      <c r="FN250" s="319" t="s">
        <v>190</v>
      </c>
      <c r="FO250" s="319" t="s">
        <v>190</v>
      </c>
      <c r="FP250" s="319" t="s">
        <v>190</v>
      </c>
      <c r="FQ250" s="319" t="s">
        <v>190</v>
      </c>
      <c r="FR250" s="319" t="s">
        <v>190</v>
      </c>
      <c r="FS250" s="319" t="s">
        <v>190</v>
      </c>
      <c r="FT250" s="319" t="s">
        <v>190</v>
      </c>
      <c r="FU250" s="319" t="s">
        <v>190</v>
      </c>
      <c r="FV250" s="319" t="s">
        <v>190</v>
      </c>
      <c r="FW250" s="319" t="s">
        <v>190</v>
      </c>
      <c r="FX250" s="319" t="s">
        <v>190</v>
      </c>
      <c r="FY250" s="319" t="s">
        <v>190</v>
      </c>
      <c r="FZ250" s="319" t="s">
        <v>190</v>
      </c>
      <c r="GA250" s="319" t="s">
        <v>190</v>
      </c>
      <c r="GB250" s="319" t="s">
        <v>190</v>
      </c>
      <c r="GC250" s="319" t="s">
        <v>190</v>
      </c>
      <c r="GD250" s="319" t="s">
        <v>190</v>
      </c>
      <c r="GE250" s="319" t="s">
        <v>190</v>
      </c>
      <c r="GF250" s="319" t="s">
        <v>190</v>
      </c>
      <c r="GG250" s="319" t="s">
        <v>190</v>
      </c>
      <c r="GH250" s="319" t="s">
        <v>190</v>
      </c>
      <c r="GI250" s="319" t="s">
        <v>190</v>
      </c>
      <c r="GJ250" s="319" t="s">
        <v>190</v>
      </c>
      <c r="GK250" s="319" t="s">
        <v>190</v>
      </c>
      <c r="GL250" s="319" t="s">
        <v>190</v>
      </c>
      <c r="GM250" s="319" t="s">
        <v>190</v>
      </c>
      <c r="GN250" s="319" t="s">
        <v>190</v>
      </c>
      <c r="GO250" s="319" t="s">
        <v>190</v>
      </c>
      <c r="GP250" s="319" t="s">
        <v>190</v>
      </c>
      <c r="GQ250" s="319" t="s">
        <v>190</v>
      </c>
      <c r="GR250" s="319" t="s">
        <v>190</v>
      </c>
      <c r="GS250" s="319" t="s">
        <v>190</v>
      </c>
      <c r="GT250" s="319" t="s">
        <v>190</v>
      </c>
      <c r="GU250" s="319" t="s">
        <v>190</v>
      </c>
      <c r="GV250" s="319" t="s">
        <v>190</v>
      </c>
      <c r="GW250" s="319" t="s">
        <v>190</v>
      </c>
      <c r="GX250" s="319" t="s">
        <v>190</v>
      </c>
      <c r="GY250" s="319" t="s">
        <v>190</v>
      </c>
      <c r="GZ250" s="319" t="s">
        <v>190</v>
      </c>
      <c r="HA250" s="319" t="s">
        <v>190</v>
      </c>
      <c r="HB250" s="319" t="s">
        <v>190</v>
      </c>
      <c r="HC250" s="319" t="s">
        <v>190</v>
      </c>
      <c r="HD250" s="319" t="s">
        <v>190</v>
      </c>
      <c r="HE250" s="319" t="s">
        <v>190</v>
      </c>
      <c r="HF250" s="319" t="s">
        <v>190</v>
      </c>
      <c r="HG250" s="319" t="s">
        <v>190</v>
      </c>
      <c r="HH250" s="319" t="s">
        <v>190</v>
      </c>
      <c r="HI250" s="319" t="s">
        <v>190</v>
      </c>
      <c r="HJ250" s="319" t="s">
        <v>190</v>
      </c>
      <c r="HK250" s="319" t="s">
        <v>190</v>
      </c>
      <c r="HL250" s="319" t="s">
        <v>190</v>
      </c>
      <c r="HM250" s="319" t="s">
        <v>190</v>
      </c>
      <c r="HN250" s="319" t="s">
        <v>190</v>
      </c>
      <c r="HO250" s="319" t="s">
        <v>190</v>
      </c>
      <c r="HP250" s="319" t="s">
        <v>190</v>
      </c>
      <c r="HQ250" s="319" t="s">
        <v>190</v>
      </c>
      <c r="HR250" s="319" t="s">
        <v>190</v>
      </c>
      <c r="HS250" s="319" t="s">
        <v>190</v>
      </c>
      <c r="HT250" s="319" t="s">
        <v>190</v>
      </c>
      <c r="HU250" s="319" t="s">
        <v>190</v>
      </c>
      <c r="HV250" s="319" t="s">
        <v>190</v>
      </c>
      <c r="HW250" s="319" t="s">
        <v>190</v>
      </c>
      <c r="HX250" s="319" t="s">
        <v>190</v>
      </c>
      <c r="HY250" s="319" t="s">
        <v>190</v>
      </c>
      <c r="HZ250" s="319" t="s">
        <v>190</v>
      </c>
      <c r="IA250" s="319" t="s">
        <v>190</v>
      </c>
      <c r="IB250" s="319" t="s">
        <v>190</v>
      </c>
      <c r="IC250" s="319" t="s">
        <v>190</v>
      </c>
      <c r="ID250" s="319" t="s">
        <v>190</v>
      </c>
      <c r="IE250" s="319" t="s">
        <v>190</v>
      </c>
      <c r="IF250" s="319" t="s">
        <v>190</v>
      </c>
      <c r="IG250" s="319" t="s">
        <v>190</v>
      </c>
      <c r="IH250" s="319" t="s">
        <v>190</v>
      </c>
      <c r="II250" s="319" t="s">
        <v>190</v>
      </c>
      <c r="IJ250" s="319" t="s">
        <v>3052</v>
      </c>
      <c r="IK250" s="321">
        <v>41766</v>
      </c>
      <c r="IL250" s="321">
        <v>41768</v>
      </c>
      <c r="IM250" s="321">
        <v>41786</v>
      </c>
      <c r="IN250" s="319">
        <v>2</v>
      </c>
      <c r="IO250" s="319" t="s">
        <v>173</v>
      </c>
      <c r="IP250" s="319" t="s">
        <v>173</v>
      </c>
      <c r="IQ250" s="321" t="s">
        <v>173</v>
      </c>
      <c r="IR250" s="320" t="s">
        <v>173</v>
      </c>
      <c r="IS250" s="322" t="s">
        <v>173</v>
      </c>
      <c r="IT250" s="319" t="s">
        <v>173</v>
      </c>
    </row>
    <row r="251" spans="1:254" s="271" customFormat="1" x14ac:dyDescent="0.25">
      <c r="A251" s="318" t="str">
        <f>HYPERLINK("http://www.ofsted.gov.uk/inspection-reports/find-inspection-report/provider/ELS/126139 ","Ofsted School Webpage")</f>
        <v>Ofsted School Webpage</v>
      </c>
      <c r="B251" s="319">
        <v>126139</v>
      </c>
      <c r="C251" s="319">
        <v>9386217</v>
      </c>
      <c r="D251" s="319" t="s">
        <v>736</v>
      </c>
      <c r="E251" s="319" t="s">
        <v>168</v>
      </c>
      <c r="F251" s="319" t="s">
        <v>81</v>
      </c>
      <c r="G251" s="319" t="s">
        <v>81</v>
      </c>
      <c r="H251" s="319" t="s">
        <v>81</v>
      </c>
      <c r="I251" s="319" t="s">
        <v>78</v>
      </c>
      <c r="J251" s="319" t="s">
        <v>424</v>
      </c>
      <c r="K251" s="319" t="s">
        <v>514</v>
      </c>
      <c r="L251" s="319" t="s">
        <v>514</v>
      </c>
      <c r="M251" s="319" t="s">
        <v>737</v>
      </c>
      <c r="N251" s="319" t="s">
        <v>3053</v>
      </c>
      <c r="O251" s="319" t="s">
        <v>738</v>
      </c>
      <c r="P251" s="319">
        <v>50</v>
      </c>
      <c r="Q251" s="319" t="s">
        <v>429</v>
      </c>
      <c r="R251" s="320">
        <v>10054076</v>
      </c>
      <c r="S251" s="321">
        <v>43437</v>
      </c>
      <c r="T251" s="321">
        <v>43439</v>
      </c>
      <c r="U251" s="321">
        <v>43478</v>
      </c>
      <c r="V251" s="319" t="s">
        <v>554</v>
      </c>
      <c r="W251" s="319" t="s">
        <v>2767</v>
      </c>
      <c r="X251" s="319">
        <v>3</v>
      </c>
      <c r="Y251" s="319" t="s">
        <v>173</v>
      </c>
      <c r="Z251" s="319" t="s">
        <v>173</v>
      </c>
      <c r="AA251" s="319" t="s">
        <v>173</v>
      </c>
      <c r="AB251" s="319">
        <v>3</v>
      </c>
      <c r="AC251" s="319" t="s">
        <v>169</v>
      </c>
      <c r="AD251" s="319" t="s">
        <v>173</v>
      </c>
      <c r="AE251" s="319">
        <v>2</v>
      </c>
      <c r="AF251" s="319" t="s">
        <v>427</v>
      </c>
      <c r="AG251" s="319" t="s">
        <v>172</v>
      </c>
      <c r="AH251" s="319" t="s">
        <v>190</v>
      </c>
      <c r="AI251" s="319" t="s">
        <v>190</v>
      </c>
      <c r="AJ251" s="319" t="s">
        <v>190</v>
      </c>
      <c r="AK251" s="319" t="s">
        <v>479</v>
      </c>
      <c r="AL251" s="319" t="s">
        <v>190</v>
      </c>
      <c r="AM251" s="319" t="s">
        <v>190</v>
      </c>
      <c r="AN251" s="319" t="s">
        <v>190</v>
      </c>
      <c r="AO251" s="319" t="s">
        <v>479</v>
      </c>
      <c r="AP251" s="319" t="s">
        <v>190</v>
      </c>
      <c r="AQ251" s="319" t="s">
        <v>190</v>
      </c>
      <c r="AR251" s="319" t="s">
        <v>190</v>
      </c>
      <c r="AS251" s="319" t="s">
        <v>190</v>
      </c>
      <c r="AT251" s="319" t="s">
        <v>190</v>
      </c>
      <c r="AU251" s="319" t="s">
        <v>190</v>
      </c>
      <c r="AV251" s="319" t="s">
        <v>190</v>
      </c>
      <c r="AW251" s="319" t="s">
        <v>190</v>
      </c>
      <c r="AX251" s="319" t="s">
        <v>190</v>
      </c>
      <c r="AY251" s="319" t="s">
        <v>190</v>
      </c>
      <c r="AZ251" s="319" t="s">
        <v>190</v>
      </c>
      <c r="BA251" s="319" t="s">
        <v>190</v>
      </c>
      <c r="BB251" s="319" t="s">
        <v>190</v>
      </c>
      <c r="BC251" s="319" t="s">
        <v>190</v>
      </c>
      <c r="BD251" s="319" t="s">
        <v>190</v>
      </c>
      <c r="BE251" s="319" t="s">
        <v>190</v>
      </c>
      <c r="BF251" s="319" t="s">
        <v>428</v>
      </c>
      <c r="BG251" s="319" t="s">
        <v>190</v>
      </c>
      <c r="BH251" s="319" t="s">
        <v>190</v>
      </c>
      <c r="BI251" s="319" t="s">
        <v>190</v>
      </c>
      <c r="BJ251" s="319" t="s">
        <v>190</v>
      </c>
      <c r="BK251" s="319" t="s">
        <v>190</v>
      </c>
      <c r="BL251" s="319" t="s">
        <v>190</v>
      </c>
      <c r="BM251" s="319" t="s">
        <v>190</v>
      </c>
      <c r="BN251" s="319" t="s">
        <v>190</v>
      </c>
      <c r="BO251" s="319" t="s">
        <v>190</v>
      </c>
      <c r="BP251" s="319" t="s">
        <v>190</v>
      </c>
      <c r="BQ251" s="319" t="s">
        <v>190</v>
      </c>
      <c r="BR251" s="319" t="s">
        <v>190</v>
      </c>
      <c r="BS251" s="319" t="s">
        <v>190</v>
      </c>
      <c r="BT251" s="319" t="s">
        <v>190</v>
      </c>
      <c r="BU251" s="319" t="s">
        <v>190</v>
      </c>
      <c r="BV251" s="319" t="s">
        <v>190</v>
      </c>
      <c r="BW251" s="319" t="s">
        <v>190</v>
      </c>
      <c r="BX251" s="319" t="s">
        <v>190</v>
      </c>
      <c r="BY251" s="319" t="s">
        <v>190</v>
      </c>
      <c r="BZ251" s="319" t="s">
        <v>190</v>
      </c>
      <c r="CA251" s="319" t="s">
        <v>190</v>
      </c>
      <c r="CB251" s="319" t="s">
        <v>190</v>
      </c>
      <c r="CC251" s="319" t="s">
        <v>190</v>
      </c>
      <c r="CD251" s="319" t="s">
        <v>190</v>
      </c>
      <c r="CE251" s="319" t="s">
        <v>190</v>
      </c>
      <c r="CF251" s="319" t="s">
        <v>190</v>
      </c>
      <c r="CG251" s="319" t="s">
        <v>190</v>
      </c>
      <c r="CH251" s="319" t="s">
        <v>190</v>
      </c>
      <c r="CI251" s="319" t="s">
        <v>190</v>
      </c>
      <c r="CJ251" s="319" t="s">
        <v>190</v>
      </c>
      <c r="CK251" s="319" t="s">
        <v>190</v>
      </c>
      <c r="CL251" s="319" t="s">
        <v>190</v>
      </c>
      <c r="CM251" s="319" t="s">
        <v>190</v>
      </c>
      <c r="CN251" s="319" t="s">
        <v>190</v>
      </c>
      <c r="CO251" s="319" t="s">
        <v>190</v>
      </c>
      <c r="CP251" s="319" t="s">
        <v>190</v>
      </c>
      <c r="CQ251" s="319" t="s">
        <v>190</v>
      </c>
      <c r="CR251" s="319" t="s">
        <v>190</v>
      </c>
      <c r="CS251" s="319" t="s">
        <v>190</v>
      </c>
      <c r="CT251" s="319" t="s">
        <v>190</v>
      </c>
      <c r="CU251" s="319" t="s">
        <v>190</v>
      </c>
      <c r="CV251" s="319" t="s">
        <v>190</v>
      </c>
      <c r="CW251" s="319" t="s">
        <v>190</v>
      </c>
      <c r="CX251" s="319" t="s">
        <v>190</v>
      </c>
      <c r="CY251" s="319" t="s">
        <v>190</v>
      </c>
      <c r="CZ251" s="319" t="s">
        <v>190</v>
      </c>
      <c r="DA251" s="319" t="s">
        <v>190</v>
      </c>
      <c r="DB251" s="319" t="s">
        <v>190</v>
      </c>
      <c r="DC251" s="319" t="s">
        <v>190</v>
      </c>
      <c r="DD251" s="319" t="s">
        <v>191</v>
      </c>
      <c r="DE251" s="319" t="s">
        <v>190</v>
      </c>
      <c r="DF251" s="319" t="s">
        <v>190</v>
      </c>
      <c r="DG251" s="319" t="s">
        <v>191</v>
      </c>
      <c r="DH251" s="319" t="s">
        <v>190</v>
      </c>
      <c r="DI251" s="319" t="s">
        <v>191</v>
      </c>
      <c r="DJ251" s="319" t="s">
        <v>190</v>
      </c>
      <c r="DK251" s="319" t="s">
        <v>190</v>
      </c>
      <c r="DL251" s="319" t="s">
        <v>190</v>
      </c>
      <c r="DM251" s="319" t="s">
        <v>190</v>
      </c>
      <c r="DN251" s="319" t="s">
        <v>190</v>
      </c>
      <c r="DO251" s="319" t="s">
        <v>190</v>
      </c>
      <c r="DP251" s="319" t="s">
        <v>190</v>
      </c>
      <c r="DQ251" s="319" t="s">
        <v>190</v>
      </c>
      <c r="DR251" s="319" t="s">
        <v>190</v>
      </c>
      <c r="DS251" s="319" t="s">
        <v>190</v>
      </c>
      <c r="DT251" s="319" t="s">
        <v>190</v>
      </c>
      <c r="DU251" s="319" t="s">
        <v>190</v>
      </c>
      <c r="DV251" s="319" t="s">
        <v>173</v>
      </c>
      <c r="DW251" s="319" t="s">
        <v>190</v>
      </c>
      <c r="DX251" s="319" t="s">
        <v>190</v>
      </c>
      <c r="DY251" s="319" t="s">
        <v>190</v>
      </c>
      <c r="DZ251" s="319" t="s">
        <v>190</v>
      </c>
      <c r="EA251" s="319" t="s">
        <v>190</v>
      </c>
      <c r="EB251" s="319" t="s">
        <v>190</v>
      </c>
      <c r="EC251" s="319" t="s">
        <v>190</v>
      </c>
      <c r="ED251" s="319" t="s">
        <v>190</v>
      </c>
      <c r="EE251" s="319" t="s">
        <v>190</v>
      </c>
      <c r="EF251" s="319" t="s">
        <v>190</v>
      </c>
      <c r="EG251" s="319" t="s">
        <v>190</v>
      </c>
      <c r="EH251" s="319" t="s">
        <v>190</v>
      </c>
      <c r="EI251" s="319" t="s">
        <v>190</v>
      </c>
      <c r="EJ251" s="319" t="s">
        <v>190</v>
      </c>
      <c r="EK251" s="319" t="s">
        <v>190</v>
      </c>
      <c r="EL251" s="319" t="s">
        <v>190</v>
      </c>
      <c r="EM251" s="319" t="s">
        <v>190</v>
      </c>
      <c r="EN251" s="319" t="s">
        <v>190</v>
      </c>
      <c r="EO251" s="319" t="s">
        <v>190</v>
      </c>
      <c r="EP251" s="319" t="s">
        <v>190</v>
      </c>
      <c r="EQ251" s="319" t="s">
        <v>190</v>
      </c>
      <c r="ER251" s="319" t="s">
        <v>190</v>
      </c>
      <c r="ES251" s="319" t="s">
        <v>190</v>
      </c>
      <c r="ET251" s="319" t="s">
        <v>190</v>
      </c>
      <c r="EU251" s="319" t="s">
        <v>190</v>
      </c>
      <c r="EV251" s="319" t="s">
        <v>190</v>
      </c>
      <c r="EW251" s="319" t="s">
        <v>190</v>
      </c>
      <c r="EX251" s="319" t="s">
        <v>190</v>
      </c>
      <c r="EY251" s="319" t="s">
        <v>190</v>
      </c>
      <c r="EZ251" s="319" t="s">
        <v>190</v>
      </c>
      <c r="FA251" s="319" t="s">
        <v>190</v>
      </c>
      <c r="FB251" s="319" t="s">
        <v>190</v>
      </c>
      <c r="FC251" s="319" t="s">
        <v>190</v>
      </c>
      <c r="FD251" s="319" t="s">
        <v>190</v>
      </c>
      <c r="FE251" s="319" t="s">
        <v>190</v>
      </c>
      <c r="FF251" s="319" t="s">
        <v>190</v>
      </c>
      <c r="FG251" s="319" t="s">
        <v>190</v>
      </c>
      <c r="FH251" s="319" t="s">
        <v>190</v>
      </c>
      <c r="FI251" s="319" t="s">
        <v>190</v>
      </c>
      <c r="FJ251" s="319" t="s">
        <v>190</v>
      </c>
      <c r="FK251" s="319" t="s">
        <v>190</v>
      </c>
      <c r="FL251" s="319" t="s">
        <v>190</v>
      </c>
      <c r="FM251" s="319" t="s">
        <v>190</v>
      </c>
      <c r="FN251" s="319" t="s">
        <v>190</v>
      </c>
      <c r="FO251" s="319" t="s">
        <v>190</v>
      </c>
      <c r="FP251" s="319" t="s">
        <v>190</v>
      </c>
      <c r="FQ251" s="319" t="s">
        <v>190</v>
      </c>
      <c r="FR251" s="319" t="s">
        <v>190</v>
      </c>
      <c r="FS251" s="319" t="s">
        <v>190</v>
      </c>
      <c r="FT251" s="319" t="s">
        <v>190</v>
      </c>
      <c r="FU251" s="319" t="s">
        <v>190</v>
      </c>
      <c r="FV251" s="319" t="s">
        <v>190</v>
      </c>
      <c r="FW251" s="319" t="s">
        <v>190</v>
      </c>
      <c r="FX251" s="319" t="s">
        <v>190</v>
      </c>
      <c r="FY251" s="319" t="s">
        <v>190</v>
      </c>
      <c r="FZ251" s="319" t="s">
        <v>190</v>
      </c>
      <c r="GA251" s="319" t="s">
        <v>190</v>
      </c>
      <c r="GB251" s="319" t="s">
        <v>190</v>
      </c>
      <c r="GC251" s="319" t="s">
        <v>190</v>
      </c>
      <c r="GD251" s="319" t="s">
        <v>190</v>
      </c>
      <c r="GE251" s="319" t="s">
        <v>190</v>
      </c>
      <c r="GF251" s="319" t="s">
        <v>190</v>
      </c>
      <c r="GG251" s="319" t="s">
        <v>190</v>
      </c>
      <c r="GH251" s="319" t="s">
        <v>190</v>
      </c>
      <c r="GI251" s="319" t="s">
        <v>190</v>
      </c>
      <c r="GJ251" s="319" t="s">
        <v>190</v>
      </c>
      <c r="GK251" s="319" t="s">
        <v>190</v>
      </c>
      <c r="GL251" s="319" t="s">
        <v>190</v>
      </c>
      <c r="GM251" s="319" t="s">
        <v>190</v>
      </c>
      <c r="GN251" s="319" t="s">
        <v>190</v>
      </c>
      <c r="GO251" s="319" t="s">
        <v>190</v>
      </c>
      <c r="GP251" s="319" t="s">
        <v>190</v>
      </c>
      <c r="GQ251" s="319" t="s">
        <v>190</v>
      </c>
      <c r="GR251" s="319" t="s">
        <v>190</v>
      </c>
      <c r="GS251" s="319" t="s">
        <v>190</v>
      </c>
      <c r="GT251" s="319" t="s">
        <v>190</v>
      </c>
      <c r="GU251" s="319" t="s">
        <v>190</v>
      </c>
      <c r="GV251" s="319" t="s">
        <v>190</v>
      </c>
      <c r="GW251" s="319" t="s">
        <v>190</v>
      </c>
      <c r="GX251" s="319" t="s">
        <v>190</v>
      </c>
      <c r="GY251" s="319" t="s">
        <v>190</v>
      </c>
      <c r="GZ251" s="319" t="s">
        <v>428</v>
      </c>
      <c r="HA251" s="319" t="s">
        <v>190</v>
      </c>
      <c r="HB251" s="319" t="s">
        <v>190</v>
      </c>
      <c r="HC251" s="319" t="s">
        <v>190</v>
      </c>
      <c r="HD251" s="319" t="s">
        <v>190</v>
      </c>
      <c r="HE251" s="319" t="s">
        <v>190</v>
      </c>
      <c r="HF251" s="319" t="s">
        <v>190</v>
      </c>
      <c r="HG251" s="319" t="s">
        <v>190</v>
      </c>
      <c r="HH251" s="319" t="s">
        <v>190</v>
      </c>
      <c r="HI251" s="319" t="s">
        <v>190</v>
      </c>
      <c r="HJ251" s="319" t="s">
        <v>190</v>
      </c>
      <c r="HK251" s="319" t="s">
        <v>190</v>
      </c>
      <c r="HL251" s="319" t="s">
        <v>428</v>
      </c>
      <c r="HM251" s="319" t="s">
        <v>428</v>
      </c>
      <c r="HN251" s="319" t="s">
        <v>428</v>
      </c>
      <c r="HO251" s="319" t="s">
        <v>428</v>
      </c>
      <c r="HP251" s="319" t="s">
        <v>190</v>
      </c>
      <c r="HQ251" s="319" t="s">
        <v>190</v>
      </c>
      <c r="HR251" s="319" t="s">
        <v>190</v>
      </c>
      <c r="HS251" s="319" t="s">
        <v>190</v>
      </c>
      <c r="HT251" s="319" t="s">
        <v>190</v>
      </c>
      <c r="HU251" s="319" t="s">
        <v>190</v>
      </c>
      <c r="HV251" s="319" t="s">
        <v>190</v>
      </c>
      <c r="HW251" s="319" t="s">
        <v>190</v>
      </c>
      <c r="HX251" s="319" t="s">
        <v>190</v>
      </c>
      <c r="HY251" s="319" t="s">
        <v>190</v>
      </c>
      <c r="HZ251" s="319" t="s">
        <v>190</v>
      </c>
      <c r="IA251" s="319" t="s">
        <v>190</v>
      </c>
      <c r="IB251" s="319" t="s">
        <v>190</v>
      </c>
      <c r="IC251" s="319" t="s">
        <v>190</v>
      </c>
      <c r="ID251" s="319" t="s">
        <v>190</v>
      </c>
      <c r="IE251" s="319" t="s">
        <v>190</v>
      </c>
      <c r="IF251" s="319" t="s">
        <v>191</v>
      </c>
      <c r="IG251" s="319" t="s">
        <v>191</v>
      </c>
      <c r="IH251" s="319" t="s">
        <v>191</v>
      </c>
      <c r="II251" s="319" t="s">
        <v>190</v>
      </c>
      <c r="IJ251" s="319">
        <v>10006011</v>
      </c>
      <c r="IK251" s="321">
        <v>42311</v>
      </c>
      <c r="IL251" s="321">
        <v>42313</v>
      </c>
      <c r="IM251" s="321">
        <v>42339</v>
      </c>
      <c r="IN251" s="319">
        <v>1</v>
      </c>
      <c r="IO251" s="319" t="s">
        <v>173</v>
      </c>
      <c r="IP251" s="319" t="s">
        <v>173</v>
      </c>
      <c r="IQ251" s="321" t="s">
        <v>173</v>
      </c>
      <c r="IR251" s="320" t="s">
        <v>173</v>
      </c>
      <c r="IS251" s="322" t="s">
        <v>173</v>
      </c>
      <c r="IT251" s="319" t="s">
        <v>173</v>
      </c>
    </row>
    <row r="252" spans="1:254" s="271" customFormat="1" x14ac:dyDescent="0.25">
      <c r="A252" s="318" t="str">
        <f>HYPERLINK("http://www.ofsted.gov.uk/inspection-reports/find-inspection-report/provider/ELS/126141 ","Ofsted School Webpage")</f>
        <v>Ofsted School Webpage</v>
      </c>
      <c r="B252" s="319">
        <v>126141</v>
      </c>
      <c r="C252" s="319">
        <v>9386219</v>
      </c>
      <c r="D252" s="319" t="s">
        <v>1557</v>
      </c>
      <c r="E252" s="319" t="s">
        <v>168</v>
      </c>
      <c r="F252" s="319" t="s">
        <v>81</v>
      </c>
      <c r="G252" s="319" t="s">
        <v>59</v>
      </c>
      <c r="H252" s="319" t="s">
        <v>59</v>
      </c>
      <c r="I252" s="319" t="s">
        <v>59</v>
      </c>
      <c r="J252" s="319" t="s">
        <v>424</v>
      </c>
      <c r="K252" s="319" t="s">
        <v>514</v>
      </c>
      <c r="L252" s="319" t="s">
        <v>514</v>
      </c>
      <c r="M252" s="319" t="s">
        <v>737</v>
      </c>
      <c r="N252" s="319" t="s">
        <v>3053</v>
      </c>
      <c r="O252" s="319" t="s">
        <v>1558</v>
      </c>
      <c r="P252" s="319">
        <v>39</v>
      </c>
      <c r="Q252" s="319" t="s">
        <v>2776</v>
      </c>
      <c r="R252" s="320">
        <v>10091641</v>
      </c>
      <c r="S252" s="321">
        <v>43606</v>
      </c>
      <c r="T252" s="321">
        <v>43608</v>
      </c>
      <c r="U252" s="321">
        <v>43633</v>
      </c>
      <c r="V252" s="319" t="s">
        <v>425</v>
      </c>
      <c r="W252" s="319" t="s">
        <v>2767</v>
      </c>
      <c r="X252" s="319">
        <v>2</v>
      </c>
      <c r="Y252" s="319" t="s">
        <v>173</v>
      </c>
      <c r="Z252" s="319" t="s">
        <v>173</v>
      </c>
      <c r="AA252" s="319" t="s">
        <v>173</v>
      </c>
      <c r="AB252" s="319">
        <v>2</v>
      </c>
      <c r="AC252" s="319" t="s">
        <v>169</v>
      </c>
      <c r="AD252" s="319" t="s">
        <v>173</v>
      </c>
      <c r="AE252" s="319">
        <v>1</v>
      </c>
      <c r="AF252" s="319" t="s">
        <v>427</v>
      </c>
      <c r="AG252" s="319" t="s">
        <v>171</v>
      </c>
      <c r="AH252" s="319" t="s">
        <v>190</v>
      </c>
      <c r="AI252" s="319" t="s">
        <v>190</v>
      </c>
      <c r="AJ252" s="319" t="s">
        <v>190</v>
      </c>
      <c r="AK252" s="319" t="s">
        <v>190</v>
      </c>
      <c r="AL252" s="319" t="s">
        <v>190</v>
      </c>
      <c r="AM252" s="319" t="s">
        <v>190</v>
      </c>
      <c r="AN252" s="319" t="s">
        <v>190</v>
      </c>
      <c r="AO252" s="319" t="s">
        <v>190</v>
      </c>
      <c r="AP252" s="319" t="s">
        <v>190</v>
      </c>
      <c r="AQ252" s="319" t="s">
        <v>190</v>
      </c>
      <c r="AR252" s="319" t="s">
        <v>190</v>
      </c>
      <c r="AS252" s="319" t="s">
        <v>190</v>
      </c>
      <c r="AT252" s="319" t="s">
        <v>190</v>
      </c>
      <c r="AU252" s="319" t="s">
        <v>190</v>
      </c>
      <c r="AV252" s="319" t="s">
        <v>190</v>
      </c>
      <c r="AW252" s="319" t="s">
        <v>190</v>
      </c>
      <c r="AX252" s="319" t="s">
        <v>428</v>
      </c>
      <c r="AY252" s="319" t="s">
        <v>190</v>
      </c>
      <c r="AZ252" s="319" t="s">
        <v>190</v>
      </c>
      <c r="BA252" s="319" t="s">
        <v>190</v>
      </c>
      <c r="BB252" s="319" t="s">
        <v>190</v>
      </c>
      <c r="BC252" s="319" t="s">
        <v>190</v>
      </c>
      <c r="BD252" s="319" t="s">
        <v>190</v>
      </c>
      <c r="BE252" s="319" t="s">
        <v>190</v>
      </c>
      <c r="BF252" s="319" t="s">
        <v>428</v>
      </c>
      <c r="BG252" s="319" t="s">
        <v>190</v>
      </c>
      <c r="BH252" s="319" t="s">
        <v>190</v>
      </c>
      <c r="BI252" s="319" t="s">
        <v>190</v>
      </c>
      <c r="BJ252" s="319" t="s">
        <v>190</v>
      </c>
      <c r="BK252" s="319" t="s">
        <v>190</v>
      </c>
      <c r="BL252" s="319" t="s">
        <v>190</v>
      </c>
      <c r="BM252" s="319" t="s">
        <v>190</v>
      </c>
      <c r="BN252" s="319" t="s">
        <v>190</v>
      </c>
      <c r="BO252" s="319" t="s">
        <v>190</v>
      </c>
      <c r="BP252" s="319" t="s">
        <v>190</v>
      </c>
      <c r="BQ252" s="319" t="s">
        <v>190</v>
      </c>
      <c r="BR252" s="319" t="s">
        <v>190</v>
      </c>
      <c r="BS252" s="319" t="s">
        <v>190</v>
      </c>
      <c r="BT252" s="319" t="s">
        <v>190</v>
      </c>
      <c r="BU252" s="319" t="s">
        <v>190</v>
      </c>
      <c r="BV252" s="319" t="s">
        <v>190</v>
      </c>
      <c r="BW252" s="319" t="s">
        <v>190</v>
      </c>
      <c r="BX252" s="319" t="s">
        <v>190</v>
      </c>
      <c r="BY252" s="319" t="s">
        <v>190</v>
      </c>
      <c r="BZ252" s="319" t="s">
        <v>190</v>
      </c>
      <c r="CA252" s="319" t="s">
        <v>190</v>
      </c>
      <c r="CB252" s="319" t="s">
        <v>190</v>
      </c>
      <c r="CC252" s="319" t="s">
        <v>190</v>
      </c>
      <c r="CD252" s="319" t="s">
        <v>190</v>
      </c>
      <c r="CE252" s="319" t="s">
        <v>190</v>
      </c>
      <c r="CF252" s="319" t="s">
        <v>190</v>
      </c>
      <c r="CG252" s="319" t="s">
        <v>190</v>
      </c>
      <c r="CH252" s="319" t="s">
        <v>190</v>
      </c>
      <c r="CI252" s="319" t="s">
        <v>190</v>
      </c>
      <c r="CJ252" s="319" t="s">
        <v>190</v>
      </c>
      <c r="CK252" s="319" t="s">
        <v>190</v>
      </c>
      <c r="CL252" s="319" t="s">
        <v>190</v>
      </c>
      <c r="CM252" s="319" t="s">
        <v>190</v>
      </c>
      <c r="CN252" s="319" t="s">
        <v>190</v>
      </c>
      <c r="CO252" s="319" t="s">
        <v>428</v>
      </c>
      <c r="CP252" s="319" t="s">
        <v>428</v>
      </c>
      <c r="CQ252" s="319" t="s">
        <v>190</v>
      </c>
      <c r="CR252" s="319" t="s">
        <v>190</v>
      </c>
      <c r="CS252" s="319" t="s">
        <v>190</v>
      </c>
      <c r="CT252" s="319" t="s">
        <v>190</v>
      </c>
      <c r="CU252" s="319" t="s">
        <v>190</v>
      </c>
      <c r="CV252" s="319" t="s">
        <v>190</v>
      </c>
      <c r="CW252" s="319" t="s">
        <v>190</v>
      </c>
      <c r="CX252" s="319" t="s">
        <v>190</v>
      </c>
      <c r="CY252" s="319" t="s">
        <v>190</v>
      </c>
      <c r="CZ252" s="319" t="s">
        <v>190</v>
      </c>
      <c r="DA252" s="319" t="s">
        <v>190</v>
      </c>
      <c r="DB252" s="319" t="s">
        <v>190</v>
      </c>
      <c r="DC252" s="319" t="s">
        <v>190</v>
      </c>
      <c r="DD252" s="319" t="s">
        <v>190</v>
      </c>
      <c r="DE252" s="319" t="s">
        <v>190</v>
      </c>
      <c r="DF252" s="319" t="s">
        <v>190</v>
      </c>
      <c r="DG252" s="319" t="s">
        <v>190</v>
      </c>
      <c r="DH252" s="319" t="s">
        <v>190</v>
      </c>
      <c r="DI252" s="319" t="s">
        <v>190</v>
      </c>
      <c r="DJ252" s="319" t="s">
        <v>190</v>
      </c>
      <c r="DK252" s="319" t="s">
        <v>190</v>
      </c>
      <c r="DL252" s="319" t="s">
        <v>190</v>
      </c>
      <c r="DM252" s="319" t="s">
        <v>190</v>
      </c>
      <c r="DN252" s="319" t="s">
        <v>428</v>
      </c>
      <c r="DO252" s="319" t="s">
        <v>190</v>
      </c>
      <c r="DP252" s="319" t="s">
        <v>190</v>
      </c>
      <c r="DQ252" s="319" t="s">
        <v>190</v>
      </c>
      <c r="DR252" s="319" t="s">
        <v>190</v>
      </c>
      <c r="DS252" s="319" t="s">
        <v>190</v>
      </c>
      <c r="DT252" s="319" t="s">
        <v>190</v>
      </c>
      <c r="DU252" s="319" t="s">
        <v>190</v>
      </c>
      <c r="DV252" s="319" t="s">
        <v>173</v>
      </c>
      <c r="DW252" s="319" t="s">
        <v>190</v>
      </c>
      <c r="DX252" s="319" t="s">
        <v>190</v>
      </c>
      <c r="DY252" s="319" t="s">
        <v>190</v>
      </c>
      <c r="DZ252" s="319" t="s">
        <v>190</v>
      </c>
      <c r="EA252" s="319" t="s">
        <v>190</v>
      </c>
      <c r="EB252" s="319" t="s">
        <v>190</v>
      </c>
      <c r="EC252" s="319" t="s">
        <v>428</v>
      </c>
      <c r="ED252" s="319" t="s">
        <v>190</v>
      </c>
      <c r="EE252" s="319" t="s">
        <v>190</v>
      </c>
      <c r="EF252" s="319" t="s">
        <v>190</v>
      </c>
      <c r="EG252" s="319" t="s">
        <v>190</v>
      </c>
      <c r="EH252" s="319" t="s">
        <v>190</v>
      </c>
      <c r="EI252" s="319" t="s">
        <v>190</v>
      </c>
      <c r="EJ252" s="319" t="s">
        <v>190</v>
      </c>
      <c r="EK252" s="319" t="s">
        <v>190</v>
      </c>
      <c r="EL252" s="319" t="s">
        <v>190</v>
      </c>
      <c r="EM252" s="319" t="s">
        <v>190</v>
      </c>
      <c r="EN252" s="319" t="s">
        <v>190</v>
      </c>
      <c r="EO252" s="319" t="s">
        <v>190</v>
      </c>
      <c r="EP252" s="319" t="s">
        <v>190</v>
      </c>
      <c r="EQ252" s="319" t="s">
        <v>190</v>
      </c>
      <c r="ER252" s="319" t="s">
        <v>190</v>
      </c>
      <c r="ES252" s="319" t="s">
        <v>190</v>
      </c>
      <c r="ET252" s="319" t="s">
        <v>190</v>
      </c>
      <c r="EU252" s="319" t="s">
        <v>190</v>
      </c>
      <c r="EV252" s="319" t="s">
        <v>190</v>
      </c>
      <c r="EW252" s="319" t="s">
        <v>190</v>
      </c>
      <c r="EX252" s="319" t="s">
        <v>190</v>
      </c>
      <c r="EY252" s="319" t="s">
        <v>190</v>
      </c>
      <c r="EZ252" s="319" t="s">
        <v>190</v>
      </c>
      <c r="FA252" s="319" t="s">
        <v>190</v>
      </c>
      <c r="FB252" s="319" t="s">
        <v>190</v>
      </c>
      <c r="FC252" s="319" t="s">
        <v>190</v>
      </c>
      <c r="FD252" s="319" t="s">
        <v>190</v>
      </c>
      <c r="FE252" s="319" t="s">
        <v>190</v>
      </c>
      <c r="FF252" s="319" t="s">
        <v>190</v>
      </c>
      <c r="FG252" s="319" t="s">
        <v>190</v>
      </c>
      <c r="FH252" s="319" t="s">
        <v>190</v>
      </c>
      <c r="FI252" s="319" t="s">
        <v>190</v>
      </c>
      <c r="FJ252" s="319" t="s">
        <v>190</v>
      </c>
      <c r="FK252" s="319" t="s">
        <v>190</v>
      </c>
      <c r="FL252" s="319" t="s">
        <v>190</v>
      </c>
      <c r="FM252" s="319" t="s">
        <v>190</v>
      </c>
      <c r="FN252" s="319" t="s">
        <v>190</v>
      </c>
      <c r="FO252" s="319" t="s">
        <v>190</v>
      </c>
      <c r="FP252" s="319" t="s">
        <v>190</v>
      </c>
      <c r="FQ252" s="319" t="s">
        <v>190</v>
      </c>
      <c r="FR252" s="319" t="s">
        <v>190</v>
      </c>
      <c r="FS252" s="319" t="s">
        <v>190</v>
      </c>
      <c r="FT252" s="319" t="s">
        <v>190</v>
      </c>
      <c r="FU252" s="319" t="s">
        <v>190</v>
      </c>
      <c r="FV252" s="319" t="s">
        <v>190</v>
      </c>
      <c r="FW252" s="319" t="s">
        <v>190</v>
      </c>
      <c r="FX252" s="319" t="s">
        <v>190</v>
      </c>
      <c r="FY252" s="319" t="s">
        <v>190</v>
      </c>
      <c r="FZ252" s="319" t="s">
        <v>190</v>
      </c>
      <c r="GA252" s="319" t="s">
        <v>190</v>
      </c>
      <c r="GB252" s="319" t="s">
        <v>190</v>
      </c>
      <c r="GC252" s="319" t="s">
        <v>190</v>
      </c>
      <c r="GD252" s="319" t="s">
        <v>190</v>
      </c>
      <c r="GE252" s="319" t="s">
        <v>190</v>
      </c>
      <c r="GF252" s="319" t="s">
        <v>190</v>
      </c>
      <c r="GG252" s="319" t="s">
        <v>190</v>
      </c>
      <c r="GH252" s="319" t="s">
        <v>190</v>
      </c>
      <c r="GI252" s="319" t="s">
        <v>190</v>
      </c>
      <c r="GJ252" s="319" t="s">
        <v>190</v>
      </c>
      <c r="GK252" s="319" t="s">
        <v>428</v>
      </c>
      <c r="GL252" s="319" t="s">
        <v>190</v>
      </c>
      <c r="GM252" s="319" t="s">
        <v>190</v>
      </c>
      <c r="GN252" s="319" t="s">
        <v>190</v>
      </c>
      <c r="GO252" s="319" t="s">
        <v>190</v>
      </c>
      <c r="GP252" s="319" t="s">
        <v>190</v>
      </c>
      <c r="GQ252" s="319" t="s">
        <v>190</v>
      </c>
      <c r="GR252" s="319" t="s">
        <v>190</v>
      </c>
      <c r="GS252" s="319" t="s">
        <v>190</v>
      </c>
      <c r="GT252" s="319" t="s">
        <v>190</v>
      </c>
      <c r="GU252" s="319" t="s">
        <v>190</v>
      </c>
      <c r="GV252" s="319" t="s">
        <v>190</v>
      </c>
      <c r="GW252" s="319" t="s">
        <v>190</v>
      </c>
      <c r="GX252" s="319" t="s">
        <v>190</v>
      </c>
      <c r="GY252" s="319" t="s">
        <v>190</v>
      </c>
      <c r="GZ252" s="319" t="s">
        <v>190</v>
      </c>
      <c r="HA252" s="319" t="s">
        <v>428</v>
      </c>
      <c r="HB252" s="319" t="s">
        <v>428</v>
      </c>
      <c r="HC252" s="319" t="s">
        <v>190</v>
      </c>
      <c r="HD252" s="319" t="s">
        <v>190</v>
      </c>
      <c r="HE252" s="319" t="s">
        <v>190</v>
      </c>
      <c r="HF252" s="319" t="s">
        <v>190</v>
      </c>
      <c r="HG252" s="319" t="s">
        <v>190</v>
      </c>
      <c r="HH252" s="319" t="s">
        <v>190</v>
      </c>
      <c r="HI252" s="319" t="s">
        <v>190</v>
      </c>
      <c r="HJ252" s="319" t="s">
        <v>190</v>
      </c>
      <c r="HK252" s="319" t="s">
        <v>190</v>
      </c>
      <c r="HL252" s="319" t="s">
        <v>190</v>
      </c>
      <c r="HM252" s="319" t="s">
        <v>190</v>
      </c>
      <c r="HN252" s="319" t="s">
        <v>190</v>
      </c>
      <c r="HO252" s="319" t="s">
        <v>428</v>
      </c>
      <c r="HP252" s="319" t="s">
        <v>190</v>
      </c>
      <c r="HQ252" s="319" t="s">
        <v>190</v>
      </c>
      <c r="HR252" s="319" t="s">
        <v>190</v>
      </c>
      <c r="HS252" s="319" t="s">
        <v>190</v>
      </c>
      <c r="HT252" s="319" t="s">
        <v>190</v>
      </c>
      <c r="HU252" s="319" t="s">
        <v>190</v>
      </c>
      <c r="HV252" s="319" t="s">
        <v>190</v>
      </c>
      <c r="HW252" s="319" t="s">
        <v>190</v>
      </c>
      <c r="HX252" s="319" t="s">
        <v>190</v>
      </c>
      <c r="HY252" s="319" t="s">
        <v>190</v>
      </c>
      <c r="HZ252" s="319" t="s">
        <v>190</v>
      </c>
      <c r="IA252" s="319" t="s">
        <v>190</v>
      </c>
      <c r="IB252" s="319" t="s">
        <v>190</v>
      </c>
      <c r="IC252" s="319" t="s">
        <v>190</v>
      </c>
      <c r="ID252" s="319" t="s">
        <v>190</v>
      </c>
      <c r="IE252" s="319" t="s">
        <v>190</v>
      </c>
      <c r="IF252" s="319" t="s">
        <v>190</v>
      </c>
      <c r="IG252" s="319" t="s">
        <v>190</v>
      </c>
      <c r="IH252" s="319" t="s">
        <v>190</v>
      </c>
      <c r="II252" s="319" t="s">
        <v>190</v>
      </c>
      <c r="IJ252" s="319">
        <v>10039159</v>
      </c>
      <c r="IK252" s="321">
        <v>42997</v>
      </c>
      <c r="IL252" s="321">
        <v>42999</v>
      </c>
      <c r="IM252" s="321">
        <v>43025</v>
      </c>
      <c r="IN252" s="319">
        <v>3</v>
      </c>
      <c r="IO252" s="319" t="s">
        <v>173</v>
      </c>
      <c r="IP252" s="319" t="s">
        <v>173</v>
      </c>
      <c r="IQ252" s="319" t="s">
        <v>173</v>
      </c>
      <c r="IR252" s="320" t="s">
        <v>173</v>
      </c>
      <c r="IS252" s="320" t="s">
        <v>173</v>
      </c>
      <c r="IT252" s="319" t="s">
        <v>173</v>
      </c>
    </row>
    <row r="253" spans="1:254" s="271" customFormat="1" x14ac:dyDescent="0.25">
      <c r="A253" s="318" t="str">
        <f>HYPERLINK("http://www.ofsted.gov.uk/inspection-reports/find-inspection-report/provider/ELS/126149 ","Ofsted School Webpage")</f>
        <v>Ofsted School Webpage</v>
      </c>
      <c r="B253" s="319">
        <v>126149</v>
      </c>
      <c r="C253" s="319">
        <v>9386249</v>
      </c>
      <c r="D253" s="319" t="s">
        <v>1559</v>
      </c>
      <c r="E253" s="319" t="s">
        <v>168</v>
      </c>
      <c r="F253" s="319" t="s">
        <v>81</v>
      </c>
      <c r="G253" s="319" t="s">
        <v>81</v>
      </c>
      <c r="H253" s="319" t="s">
        <v>81</v>
      </c>
      <c r="I253" s="319" t="s">
        <v>78</v>
      </c>
      <c r="J253" s="319" t="s">
        <v>424</v>
      </c>
      <c r="K253" s="319" t="s">
        <v>514</v>
      </c>
      <c r="L253" s="319" t="s">
        <v>514</v>
      </c>
      <c r="M253" s="319" t="s">
        <v>737</v>
      </c>
      <c r="N253" s="319" t="s">
        <v>3053</v>
      </c>
      <c r="O253" s="319" t="s">
        <v>1560</v>
      </c>
      <c r="P253" s="319">
        <v>10</v>
      </c>
      <c r="Q253" s="319" t="s">
        <v>429</v>
      </c>
      <c r="R253" s="320">
        <v>10056673</v>
      </c>
      <c r="S253" s="321">
        <v>43543</v>
      </c>
      <c r="T253" s="321">
        <v>43545</v>
      </c>
      <c r="U253" s="321">
        <v>43580</v>
      </c>
      <c r="V253" s="319" t="s">
        <v>425</v>
      </c>
      <c r="W253" s="319" t="s">
        <v>2767</v>
      </c>
      <c r="X253" s="319">
        <v>3</v>
      </c>
      <c r="Y253" s="319" t="s">
        <v>173</v>
      </c>
      <c r="Z253" s="319" t="s">
        <v>173</v>
      </c>
      <c r="AA253" s="319" t="s">
        <v>173</v>
      </c>
      <c r="AB253" s="319">
        <v>3</v>
      </c>
      <c r="AC253" s="319" t="s">
        <v>169</v>
      </c>
      <c r="AD253" s="319" t="s">
        <v>173</v>
      </c>
      <c r="AE253" s="319" t="s">
        <v>173</v>
      </c>
      <c r="AF253" s="319" t="s">
        <v>427</v>
      </c>
      <c r="AG253" s="319" t="s">
        <v>171</v>
      </c>
      <c r="AH253" s="319" t="s">
        <v>190</v>
      </c>
      <c r="AI253" s="319" t="s">
        <v>190</v>
      </c>
      <c r="AJ253" s="319" t="s">
        <v>190</v>
      </c>
      <c r="AK253" s="319" t="s">
        <v>190</v>
      </c>
      <c r="AL253" s="319" t="s">
        <v>190</v>
      </c>
      <c r="AM253" s="319" t="s">
        <v>190</v>
      </c>
      <c r="AN253" s="319" t="s">
        <v>190</v>
      </c>
      <c r="AO253" s="319" t="s">
        <v>190</v>
      </c>
      <c r="AP253" s="319" t="s">
        <v>190</v>
      </c>
      <c r="AQ253" s="319" t="s">
        <v>190</v>
      </c>
      <c r="AR253" s="319" t="s">
        <v>190</v>
      </c>
      <c r="AS253" s="319" t="s">
        <v>190</v>
      </c>
      <c r="AT253" s="319" t="s">
        <v>190</v>
      </c>
      <c r="AU253" s="319" t="s">
        <v>190</v>
      </c>
      <c r="AV253" s="319" t="s">
        <v>190</v>
      </c>
      <c r="AW253" s="319" t="s">
        <v>190</v>
      </c>
      <c r="AX253" s="319" t="s">
        <v>428</v>
      </c>
      <c r="AY253" s="319" t="s">
        <v>190</v>
      </c>
      <c r="AZ253" s="319" t="s">
        <v>190</v>
      </c>
      <c r="BA253" s="319" t="s">
        <v>190</v>
      </c>
      <c r="BB253" s="319" t="s">
        <v>190</v>
      </c>
      <c r="BC253" s="319" t="s">
        <v>190</v>
      </c>
      <c r="BD253" s="319" t="s">
        <v>190</v>
      </c>
      <c r="BE253" s="319" t="s">
        <v>190</v>
      </c>
      <c r="BF253" s="319" t="s">
        <v>428</v>
      </c>
      <c r="BG253" s="319" t="s">
        <v>190</v>
      </c>
      <c r="BH253" s="319" t="s">
        <v>190</v>
      </c>
      <c r="BI253" s="319" t="s">
        <v>190</v>
      </c>
      <c r="BJ253" s="319" t="s">
        <v>190</v>
      </c>
      <c r="BK253" s="319" t="s">
        <v>190</v>
      </c>
      <c r="BL253" s="319" t="s">
        <v>190</v>
      </c>
      <c r="BM253" s="319" t="s">
        <v>190</v>
      </c>
      <c r="BN253" s="319" t="s">
        <v>190</v>
      </c>
      <c r="BO253" s="319" t="s">
        <v>190</v>
      </c>
      <c r="BP253" s="319" t="s">
        <v>190</v>
      </c>
      <c r="BQ253" s="319" t="s">
        <v>190</v>
      </c>
      <c r="BR253" s="319" t="s">
        <v>190</v>
      </c>
      <c r="BS253" s="319" t="s">
        <v>190</v>
      </c>
      <c r="BT253" s="319" t="s">
        <v>190</v>
      </c>
      <c r="BU253" s="319" t="s">
        <v>190</v>
      </c>
      <c r="BV253" s="319" t="s">
        <v>190</v>
      </c>
      <c r="BW253" s="319" t="s">
        <v>190</v>
      </c>
      <c r="BX253" s="319" t="s">
        <v>190</v>
      </c>
      <c r="BY253" s="319" t="s">
        <v>190</v>
      </c>
      <c r="BZ253" s="319" t="s">
        <v>190</v>
      </c>
      <c r="CA253" s="319" t="s">
        <v>190</v>
      </c>
      <c r="CB253" s="319" t="s">
        <v>190</v>
      </c>
      <c r="CC253" s="319" t="s">
        <v>190</v>
      </c>
      <c r="CD253" s="319" t="s">
        <v>190</v>
      </c>
      <c r="CE253" s="319" t="s">
        <v>190</v>
      </c>
      <c r="CF253" s="319" t="s">
        <v>190</v>
      </c>
      <c r="CG253" s="319" t="s">
        <v>190</v>
      </c>
      <c r="CH253" s="319" t="s">
        <v>190</v>
      </c>
      <c r="CI253" s="319" t="s">
        <v>190</v>
      </c>
      <c r="CJ253" s="319" t="s">
        <v>190</v>
      </c>
      <c r="CK253" s="319" t="s">
        <v>190</v>
      </c>
      <c r="CL253" s="319" t="s">
        <v>190</v>
      </c>
      <c r="CM253" s="319" t="s">
        <v>190</v>
      </c>
      <c r="CN253" s="319" t="s">
        <v>428</v>
      </c>
      <c r="CO253" s="319" t="s">
        <v>428</v>
      </c>
      <c r="CP253" s="319" t="s">
        <v>428</v>
      </c>
      <c r="CQ253" s="319" t="s">
        <v>190</v>
      </c>
      <c r="CR253" s="319" t="s">
        <v>190</v>
      </c>
      <c r="CS253" s="319" t="s">
        <v>190</v>
      </c>
      <c r="CT253" s="319" t="s">
        <v>190</v>
      </c>
      <c r="CU253" s="319" t="s">
        <v>190</v>
      </c>
      <c r="CV253" s="319" t="s">
        <v>190</v>
      </c>
      <c r="CW253" s="319" t="s">
        <v>190</v>
      </c>
      <c r="CX253" s="319" t="s">
        <v>190</v>
      </c>
      <c r="CY253" s="319" t="s">
        <v>190</v>
      </c>
      <c r="CZ253" s="319" t="s">
        <v>190</v>
      </c>
      <c r="DA253" s="319" t="s">
        <v>190</v>
      </c>
      <c r="DB253" s="319" t="s">
        <v>190</v>
      </c>
      <c r="DC253" s="319" t="s">
        <v>190</v>
      </c>
      <c r="DD253" s="319" t="s">
        <v>190</v>
      </c>
      <c r="DE253" s="319" t="s">
        <v>190</v>
      </c>
      <c r="DF253" s="319" t="s">
        <v>190</v>
      </c>
      <c r="DG253" s="319" t="s">
        <v>190</v>
      </c>
      <c r="DH253" s="319" t="s">
        <v>190</v>
      </c>
      <c r="DI253" s="319" t="s">
        <v>190</v>
      </c>
      <c r="DJ253" s="319" t="s">
        <v>190</v>
      </c>
      <c r="DK253" s="319" t="s">
        <v>190</v>
      </c>
      <c r="DL253" s="319" t="s">
        <v>190</v>
      </c>
      <c r="DM253" s="319" t="s">
        <v>190</v>
      </c>
      <c r="DN253" s="319" t="s">
        <v>190</v>
      </c>
      <c r="DO253" s="319" t="s">
        <v>190</v>
      </c>
      <c r="DP253" s="319" t="s">
        <v>190</v>
      </c>
      <c r="DQ253" s="319" t="s">
        <v>190</v>
      </c>
      <c r="DR253" s="319" t="s">
        <v>190</v>
      </c>
      <c r="DS253" s="319" t="s">
        <v>190</v>
      </c>
      <c r="DT253" s="319" t="s">
        <v>190</v>
      </c>
      <c r="DU253" s="319" t="s">
        <v>190</v>
      </c>
      <c r="DV253" s="319" t="s">
        <v>173</v>
      </c>
      <c r="DW253" s="319" t="s">
        <v>190</v>
      </c>
      <c r="DX253" s="319" t="s">
        <v>190</v>
      </c>
      <c r="DY253" s="319" t="s">
        <v>190</v>
      </c>
      <c r="DZ253" s="319" t="s">
        <v>190</v>
      </c>
      <c r="EA253" s="319" t="s">
        <v>190</v>
      </c>
      <c r="EB253" s="319" t="s">
        <v>190</v>
      </c>
      <c r="EC253" s="319" t="s">
        <v>190</v>
      </c>
      <c r="ED253" s="319" t="s">
        <v>190</v>
      </c>
      <c r="EE253" s="319" t="s">
        <v>190</v>
      </c>
      <c r="EF253" s="319" t="s">
        <v>190</v>
      </c>
      <c r="EG253" s="319" t="s">
        <v>190</v>
      </c>
      <c r="EH253" s="319" t="s">
        <v>190</v>
      </c>
      <c r="EI253" s="319" t="s">
        <v>190</v>
      </c>
      <c r="EJ253" s="319" t="s">
        <v>190</v>
      </c>
      <c r="EK253" s="319" t="s">
        <v>190</v>
      </c>
      <c r="EL253" s="319" t="s">
        <v>190</v>
      </c>
      <c r="EM253" s="319" t="s">
        <v>190</v>
      </c>
      <c r="EN253" s="319" t="s">
        <v>190</v>
      </c>
      <c r="EO253" s="319" t="s">
        <v>190</v>
      </c>
      <c r="EP253" s="319" t="s">
        <v>190</v>
      </c>
      <c r="EQ253" s="319" t="s">
        <v>190</v>
      </c>
      <c r="ER253" s="319" t="s">
        <v>190</v>
      </c>
      <c r="ES253" s="319" t="s">
        <v>190</v>
      </c>
      <c r="ET253" s="319" t="s">
        <v>190</v>
      </c>
      <c r="EU253" s="319" t="s">
        <v>190</v>
      </c>
      <c r="EV253" s="319" t="s">
        <v>190</v>
      </c>
      <c r="EW253" s="319" t="s">
        <v>190</v>
      </c>
      <c r="EX253" s="319" t="s">
        <v>190</v>
      </c>
      <c r="EY253" s="319" t="s">
        <v>190</v>
      </c>
      <c r="EZ253" s="319" t="s">
        <v>190</v>
      </c>
      <c r="FA253" s="319" t="s">
        <v>190</v>
      </c>
      <c r="FB253" s="319" t="s">
        <v>190</v>
      </c>
      <c r="FC253" s="319" t="s">
        <v>190</v>
      </c>
      <c r="FD253" s="319" t="s">
        <v>190</v>
      </c>
      <c r="FE253" s="319" t="s">
        <v>190</v>
      </c>
      <c r="FF253" s="319" t="s">
        <v>190</v>
      </c>
      <c r="FG253" s="319" t="s">
        <v>190</v>
      </c>
      <c r="FH253" s="319" t="s">
        <v>190</v>
      </c>
      <c r="FI253" s="319" t="s">
        <v>190</v>
      </c>
      <c r="FJ253" s="319" t="s">
        <v>190</v>
      </c>
      <c r="FK253" s="319" t="s">
        <v>190</v>
      </c>
      <c r="FL253" s="319" t="s">
        <v>190</v>
      </c>
      <c r="FM253" s="319" t="s">
        <v>190</v>
      </c>
      <c r="FN253" s="319" t="s">
        <v>190</v>
      </c>
      <c r="FO253" s="319" t="s">
        <v>190</v>
      </c>
      <c r="FP253" s="319" t="s">
        <v>190</v>
      </c>
      <c r="FQ253" s="319" t="s">
        <v>190</v>
      </c>
      <c r="FR253" s="319" t="s">
        <v>190</v>
      </c>
      <c r="FS253" s="319" t="s">
        <v>428</v>
      </c>
      <c r="FT253" s="319" t="s">
        <v>190</v>
      </c>
      <c r="FU253" s="319" t="s">
        <v>190</v>
      </c>
      <c r="FV253" s="319" t="s">
        <v>190</v>
      </c>
      <c r="FW253" s="319" t="s">
        <v>190</v>
      </c>
      <c r="FX253" s="319" t="s">
        <v>190</v>
      </c>
      <c r="FY253" s="319" t="s">
        <v>190</v>
      </c>
      <c r="FZ253" s="319" t="s">
        <v>190</v>
      </c>
      <c r="GA253" s="319" t="s">
        <v>190</v>
      </c>
      <c r="GB253" s="319" t="s">
        <v>190</v>
      </c>
      <c r="GC253" s="319" t="s">
        <v>190</v>
      </c>
      <c r="GD253" s="319" t="s">
        <v>190</v>
      </c>
      <c r="GE253" s="319" t="s">
        <v>190</v>
      </c>
      <c r="GF253" s="319" t="s">
        <v>190</v>
      </c>
      <c r="GG253" s="319" t="s">
        <v>190</v>
      </c>
      <c r="GH253" s="319" t="s">
        <v>190</v>
      </c>
      <c r="GI253" s="319" t="s">
        <v>190</v>
      </c>
      <c r="GJ253" s="319" t="s">
        <v>190</v>
      </c>
      <c r="GK253" s="319" t="s">
        <v>428</v>
      </c>
      <c r="GL253" s="319" t="s">
        <v>190</v>
      </c>
      <c r="GM253" s="319" t="s">
        <v>190</v>
      </c>
      <c r="GN253" s="319" t="s">
        <v>190</v>
      </c>
      <c r="GO253" s="319" t="s">
        <v>190</v>
      </c>
      <c r="GP253" s="319" t="s">
        <v>190</v>
      </c>
      <c r="GQ253" s="319" t="s">
        <v>428</v>
      </c>
      <c r="GR253" s="319" t="s">
        <v>190</v>
      </c>
      <c r="GS253" s="319" t="s">
        <v>190</v>
      </c>
      <c r="GT253" s="319" t="s">
        <v>190</v>
      </c>
      <c r="GU253" s="319" t="s">
        <v>190</v>
      </c>
      <c r="GV253" s="319" t="s">
        <v>190</v>
      </c>
      <c r="GW253" s="319" t="s">
        <v>190</v>
      </c>
      <c r="GX253" s="319" t="s">
        <v>190</v>
      </c>
      <c r="GY253" s="319" t="s">
        <v>190</v>
      </c>
      <c r="GZ253" s="319" t="s">
        <v>190</v>
      </c>
      <c r="HA253" s="319" t="s">
        <v>190</v>
      </c>
      <c r="HB253" s="319" t="s">
        <v>190</v>
      </c>
      <c r="HC253" s="319" t="s">
        <v>190</v>
      </c>
      <c r="HD253" s="319" t="s">
        <v>190</v>
      </c>
      <c r="HE253" s="319" t="s">
        <v>190</v>
      </c>
      <c r="HF253" s="319" t="s">
        <v>190</v>
      </c>
      <c r="HG253" s="319" t="s">
        <v>190</v>
      </c>
      <c r="HH253" s="319" t="s">
        <v>190</v>
      </c>
      <c r="HI253" s="319" t="s">
        <v>190</v>
      </c>
      <c r="HJ253" s="319" t="s">
        <v>190</v>
      </c>
      <c r="HK253" s="319" t="s">
        <v>190</v>
      </c>
      <c r="HL253" s="319" t="s">
        <v>190</v>
      </c>
      <c r="HM253" s="319" t="s">
        <v>190</v>
      </c>
      <c r="HN253" s="319" t="s">
        <v>190</v>
      </c>
      <c r="HO253" s="319" t="s">
        <v>190</v>
      </c>
      <c r="HP253" s="319" t="s">
        <v>190</v>
      </c>
      <c r="HQ253" s="319" t="s">
        <v>190</v>
      </c>
      <c r="HR253" s="319" t="s">
        <v>190</v>
      </c>
      <c r="HS253" s="319" t="s">
        <v>190</v>
      </c>
      <c r="HT253" s="319" t="s">
        <v>190</v>
      </c>
      <c r="HU253" s="319" t="s">
        <v>190</v>
      </c>
      <c r="HV253" s="319" t="s">
        <v>190</v>
      </c>
      <c r="HW253" s="319" t="s">
        <v>190</v>
      </c>
      <c r="HX253" s="319" t="s">
        <v>190</v>
      </c>
      <c r="HY253" s="319" t="s">
        <v>190</v>
      </c>
      <c r="HZ253" s="319" t="s">
        <v>190</v>
      </c>
      <c r="IA253" s="319" t="s">
        <v>190</v>
      </c>
      <c r="IB253" s="319" t="s">
        <v>190</v>
      </c>
      <c r="IC253" s="319" t="s">
        <v>190</v>
      </c>
      <c r="ID253" s="319" t="s">
        <v>190</v>
      </c>
      <c r="IE253" s="319" t="s">
        <v>190</v>
      </c>
      <c r="IF253" s="319" t="s">
        <v>190</v>
      </c>
      <c r="IG253" s="319" t="s">
        <v>190</v>
      </c>
      <c r="IH253" s="319" t="s">
        <v>190</v>
      </c>
      <c r="II253" s="319" t="s">
        <v>190</v>
      </c>
      <c r="IJ253" s="319">
        <v>10025979</v>
      </c>
      <c r="IK253" s="321">
        <v>42913</v>
      </c>
      <c r="IL253" s="321">
        <v>42915</v>
      </c>
      <c r="IM253" s="321">
        <v>42990</v>
      </c>
      <c r="IN253" s="319">
        <v>4</v>
      </c>
      <c r="IO253" s="319" t="s">
        <v>173</v>
      </c>
      <c r="IP253" s="319" t="s">
        <v>173</v>
      </c>
      <c r="IQ253" s="321" t="s">
        <v>173</v>
      </c>
      <c r="IR253" s="320" t="s">
        <v>173</v>
      </c>
      <c r="IS253" s="322" t="s">
        <v>173</v>
      </c>
      <c r="IT253" s="319" t="s">
        <v>173</v>
      </c>
    </row>
    <row r="254" spans="1:254" s="271" customFormat="1" x14ac:dyDescent="0.25">
      <c r="A254" s="318" t="str">
        <f>HYPERLINK("http://www.ofsted.gov.uk/inspection-reports/find-inspection-report/provider/ELS/126523 ","Ofsted School Webpage")</f>
        <v>Ofsted School Webpage</v>
      </c>
      <c r="B254" s="319">
        <v>126523</v>
      </c>
      <c r="C254" s="319">
        <v>8656005</v>
      </c>
      <c r="D254" s="319" t="s">
        <v>1561</v>
      </c>
      <c r="E254" s="319" t="s">
        <v>167</v>
      </c>
      <c r="F254" s="319" t="s">
        <v>81</v>
      </c>
      <c r="G254" s="319" t="s">
        <v>59</v>
      </c>
      <c r="H254" s="319" t="s">
        <v>59</v>
      </c>
      <c r="I254" s="319" t="s">
        <v>59</v>
      </c>
      <c r="J254" s="319" t="s">
        <v>424</v>
      </c>
      <c r="K254" s="319" t="s">
        <v>422</v>
      </c>
      <c r="L254" s="319" t="s">
        <v>422</v>
      </c>
      <c r="M254" s="319" t="s">
        <v>702</v>
      </c>
      <c r="N254" s="319" t="s">
        <v>3054</v>
      </c>
      <c r="O254" s="319" t="s">
        <v>1562</v>
      </c>
      <c r="P254" s="319">
        <v>100</v>
      </c>
      <c r="Q254" s="319" t="s">
        <v>2766</v>
      </c>
      <c r="R254" s="320">
        <v>10047181</v>
      </c>
      <c r="S254" s="321">
        <v>43277</v>
      </c>
      <c r="T254" s="321">
        <v>43279</v>
      </c>
      <c r="U254" s="321">
        <v>43300</v>
      </c>
      <c r="V254" s="319" t="s">
        <v>425</v>
      </c>
      <c r="W254" s="319" t="s">
        <v>2767</v>
      </c>
      <c r="X254" s="319">
        <v>2</v>
      </c>
      <c r="Y254" s="319" t="s">
        <v>173</v>
      </c>
      <c r="Z254" s="319" t="s">
        <v>173</v>
      </c>
      <c r="AA254" s="319" t="s">
        <v>173</v>
      </c>
      <c r="AB254" s="319">
        <v>2</v>
      </c>
      <c r="AC254" s="319" t="s">
        <v>169</v>
      </c>
      <c r="AD254" s="319">
        <v>2</v>
      </c>
      <c r="AE254" s="319" t="s">
        <v>173</v>
      </c>
      <c r="AF254" s="319" t="s">
        <v>427</v>
      </c>
      <c r="AG254" s="319" t="s">
        <v>171</v>
      </c>
      <c r="AH254" s="319" t="s">
        <v>190</v>
      </c>
      <c r="AI254" s="319" t="s">
        <v>190</v>
      </c>
      <c r="AJ254" s="319" t="s">
        <v>190</v>
      </c>
      <c r="AK254" s="319" t="s">
        <v>190</v>
      </c>
      <c r="AL254" s="319" t="s">
        <v>190</v>
      </c>
      <c r="AM254" s="319" t="s">
        <v>190</v>
      </c>
      <c r="AN254" s="319" t="s">
        <v>190</v>
      </c>
      <c r="AO254" s="319" t="s">
        <v>190</v>
      </c>
      <c r="AP254" s="319" t="s">
        <v>190</v>
      </c>
      <c r="AQ254" s="319" t="s">
        <v>190</v>
      </c>
      <c r="AR254" s="319" t="s">
        <v>190</v>
      </c>
      <c r="AS254" s="319" t="s">
        <v>190</v>
      </c>
      <c r="AT254" s="319" t="s">
        <v>190</v>
      </c>
      <c r="AU254" s="319" t="s">
        <v>190</v>
      </c>
      <c r="AV254" s="319" t="s">
        <v>190</v>
      </c>
      <c r="AW254" s="319" t="s">
        <v>190</v>
      </c>
      <c r="AX254" s="319" t="s">
        <v>428</v>
      </c>
      <c r="AY254" s="319" t="s">
        <v>190</v>
      </c>
      <c r="AZ254" s="319" t="s">
        <v>190</v>
      </c>
      <c r="BA254" s="319" t="s">
        <v>190</v>
      </c>
      <c r="BB254" s="319" t="s">
        <v>428</v>
      </c>
      <c r="BC254" s="319" t="s">
        <v>428</v>
      </c>
      <c r="BD254" s="319" t="s">
        <v>428</v>
      </c>
      <c r="BE254" s="319" t="s">
        <v>428</v>
      </c>
      <c r="BF254" s="319" t="s">
        <v>190</v>
      </c>
      <c r="BG254" s="319" t="s">
        <v>190</v>
      </c>
      <c r="BH254" s="319" t="s">
        <v>190</v>
      </c>
      <c r="BI254" s="319" t="s">
        <v>190</v>
      </c>
      <c r="BJ254" s="319" t="s">
        <v>190</v>
      </c>
      <c r="BK254" s="319" t="s">
        <v>190</v>
      </c>
      <c r="BL254" s="319" t="s">
        <v>190</v>
      </c>
      <c r="BM254" s="319" t="s">
        <v>190</v>
      </c>
      <c r="BN254" s="319" t="s">
        <v>190</v>
      </c>
      <c r="BO254" s="319" t="s">
        <v>190</v>
      </c>
      <c r="BP254" s="319" t="s">
        <v>190</v>
      </c>
      <c r="BQ254" s="319" t="s">
        <v>190</v>
      </c>
      <c r="BR254" s="319" t="s">
        <v>190</v>
      </c>
      <c r="BS254" s="319" t="s">
        <v>190</v>
      </c>
      <c r="BT254" s="319" t="s">
        <v>190</v>
      </c>
      <c r="BU254" s="319" t="s">
        <v>190</v>
      </c>
      <c r="BV254" s="319" t="s">
        <v>190</v>
      </c>
      <c r="BW254" s="319" t="s">
        <v>190</v>
      </c>
      <c r="BX254" s="319" t="s">
        <v>190</v>
      </c>
      <c r="BY254" s="319" t="s">
        <v>190</v>
      </c>
      <c r="BZ254" s="319" t="s">
        <v>190</v>
      </c>
      <c r="CA254" s="319" t="s">
        <v>190</v>
      </c>
      <c r="CB254" s="319" t="s">
        <v>190</v>
      </c>
      <c r="CC254" s="319" t="s">
        <v>190</v>
      </c>
      <c r="CD254" s="319" t="s">
        <v>190</v>
      </c>
      <c r="CE254" s="319" t="s">
        <v>190</v>
      </c>
      <c r="CF254" s="319" t="s">
        <v>190</v>
      </c>
      <c r="CG254" s="319" t="s">
        <v>190</v>
      </c>
      <c r="CH254" s="319" t="s">
        <v>190</v>
      </c>
      <c r="CI254" s="319" t="s">
        <v>190</v>
      </c>
      <c r="CJ254" s="319" t="s">
        <v>190</v>
      </c>
      <c r="CK254" s="319" t="s">
        <v>190</v>
      </c>
      <c r="CL254" s="319" t="s">
        <v>190</v>
      </c>
      <c r="CM254" s="319" t="s">
        <v>190</v>
      </c>
      <c r="CN254" s="319" t="s">
        <v>428</v>
      </c>
      <c r="CO254" s="319" t="s">
        <v>428</v>
      </c>
      <c r="CP254" s="319" t="s">
        <v>428</v>
      </c>
      <c r="CQ254" s="319" t="s">
        <v>190</v>
      </c>
      <c r="CR254" s="319" t="s">
        <v>190</v>
      </c>
      <c r="CS254" s="319" t="s">
        <v>190</v>
      </c>
      <c r="CT254" s="319" t="s">
        <v>190</v>
      </c>
      <c r="CU254" s="319" t="s">
        <v>190</v>
      </c>
      <c r="CV254" s="319" t="s">
        <v>190</v>
      </c>
      <c r="CW254" s="319" t="s">
        <v>190</v>
      </c>
      <c r="CX254" s="319" t="s">
        <v>190</v>
      </c>
      <c r="CY254" s="319" t="s">
        <v>190</v>
      </c>
      <c r="CZ254" s="319" t="s">
        <v>190</v>
      </c>
      <c r="DA254" s="319" t="s">
        <v>190</v>
      </c>
      <c r="DB254" s="319" t="s">
        <v>190</v>
      </c>
      <c r="DC254" s="319" t="s">
        <v>190</v>
      </c>
      <c r="DD254" s="319" t="s">
        <v>190</v>
      </c>
      <c r="DE254" s="319" t="s">
        <v>190</v>
      </c>
      <c r="DF254" s="319" t="s">
        <v>190</v>
      </c>
      <c r="DG254" s="319" t="s">
        <v>190</v>
      </c>
      <c r="DH254" s="319" t="s">
        <v>190</v>
      </c>
      <c r="DI254" s="319" t="s">
        <v>190</v>
      </c>
      <c r="DJ254" s="319" t="s">
        <v>190</v>
      </c>
      <c r="DK254" s="319" t="s">
        <v>190</v>
      </c>
      <c r="DL254" s="319" t="s">
        <v>190</v>
      </c>
      <c r="DM254" s="319" t="s">
        <v>190</v>
      </c>
      <c r="DN254" s="319" t="s">
        <v>190</v>
      </c>
      <c r="DO254" s="319" t="s">
        <v>190</v>
      </c>
      <c r="DP254" s="319" t="s">
        <v>428</v>
      </c>
      <c r="DQ254" s="319" t="s">
        <v>428</v>
      </c>
      <c r="DR254" s="319" t="s">
        <v>428</v>
      </c>
      <c r="DS254" s="319" t="s">
        <v>428</v>
      </c>
      <c r="DT254" s="319" t="s">
        <v>428</v>
      </c>
      <c r="DU254" s="319" t="s">
        <v>428</v>
      </c>
      <c r="DV254" s="319" t="s">
        <v>173</v>
      </c>
      <c r="DW254" s="319" t="s">
        <v>428</v>
      </c>
      <c r="DX254" s="319" t="s">
        <v>428</v>
      </c>
      <c r="DY254" s="319" t="s">
        <v>428</v>
      </c>
      <c r="DZ254" s="319" t="s">
        <v>428</v>
      </c>
      <c r="EA254" s="319" t="s">
        <v>428</v>
      </c>
      <c r="EB254" s="319" t="s">
        <v>428</v>
      </c>
      <c r="EC254" s="319" t="s">
        <v>428</v>
      </c>
      <c r="ED254" s="319" t="s">
        <v>428</v>
      </c>
      <c r="EE254" s="319" t="s">
        <v>428</v>
      </c>
      <c r="EF254" s="319" t="s">
        <v>428</v>
      </c>
      <c r="EG254" s="319" t="s">
        <v>428</v>
      </c>
      <c r="EH254" s="319" t="s">
        <v>428</v>
      </c>
      <c r="EI254" s="319" t="s">
        <v>428</v>
      </c>
      <c r="EJ254" s="319" t="s">
        <v>428</v>
      </c>
      <c r="EK254" s="319" t="s">
        <v>428</v>
      </c>
      <c r="EL254" s="319" t="s">
        <v>428</v>
      </c>
      <c r="EM254" s="319" t="s">
        <v>428</v>
      </c>
      <c r="EN254" s="319" t="s">
        <v>190</v>
      </c>
      <c r="EO254" s="319" t="s">
        <v>190</v>
      </c>
      <c r="EP254" s="319" t="s">
        <v>190</v>
      </c>
      <c r="EQ254" s="319" t="s">
        <v>190</v>
      </c>
      <c r="ER254" s="319" t="s">
        <v>190</v>
      </c>
      <c r="ES254" s="319" t="s">
        <v>190</v>
      </c>
      <c r="ET254" s="319" t="s">
        <v>190</v>
      </c>
      <c r="EU254" s="319" t="s">
        <v>190</v>
      </c>
      <c r="EV254" s="319" t="s">
        <v>190</v>
      </c>
      <c r="EW254" s="319" t="s">
        <v>190</v>
      </c>
      <c r="EX254" s="319" t="s">
        <v>190</v>
      </c>
      <c r="EY254" s="319" t="s">
        <v>190</v>
      </c>
      <c r="EZ254" s="319" t="s">
        <v>190</v>
      </c>
      <c r="FA254" s="319" t="s">
        <v>428</v>
      </c>
      <c r="FB254" s="319" t="s">
        <v>428</v>
      </c>
      <c r="FC254" s="319" t="s">
        <v>428</v>
      </c>
      <c r="FD254" s="319" t="s">
        <v>428</v>
      </c>
      <c r="FE254" s="319" t="s">
        <v>428</v>
      </c>
      <c r="FF254" s="319" t="s">
        <v>428</v>
      </c>
      <c r="FG254" s="319" t="s">
        <v>428</v>
      </c>
      <c r="FH254" s="319" t="s">
        <v>428</v>
      </c>
      <c r="FI254" s="319" t="s">
        <v>428</v>
      </c>
      <c r="FJ254" s="319" t="s">
        <v>429</v>
      </c>
      <c r="FK254" s="319" t="s">
        <v>428</v>
      </c>
      <c r="FL254" s="319" t="s">
        <v>190</v>
      </c>
      <c r="FM254" s="319" t="s">
        <v>190</v>
      </c>
      <c r="FN254" s="319" t="s">
        <v>190</v>
      </c>
      <c r="FO254" s="319" t="s">
        <v>190</v>
      </c>
      <c r="FP254" s="319" t="s">
        <v>190</v>
      </c>
      <c r="FQ254" s="319" t="s">
        <v>190</v>
      </c>
      <c r="FR254" s="319" t="s">
        <v>190</v>
      </c>
      <c r="FS254" s="319" t="s">
        <v>428</v>
      </c>
      <c r="FT254" s="319" t="s">
        <v>190</v>
      </c>
      <c r="FU254" s="319" t="s">
        <v>190</v>
      </c>
      <c r="FV254" s="319" t="s">
        <v>190</v>
      </c>
      <c r="FW254" s="319" t="s">
        <v>190</v>
      </c>
      <c r="FX254" s="319" t="s">
        <v>190</v>
      </c>
      <c r="FY254" s="319" t="s">
        <v>190</v>
      </c>
      <c r="FZ254" s="319" t="s">
        <v>190</v>
      </c>
      <c r="GA254" s="319" t="s">
        <v>190</v>
      </c>
      <c r="GB254" s="319" t="s">
        <v>190</v>
      </c>
      <c r="GC254" s="319" t="s">
        <v>190</v>
      </c>
      <c r="GD254" s="319" t="s">
        <v>190</v>
      </c>
      <c r="GE254" s="319" t="s">
        <v>190</v>
      </c>
      <c r="GF254" s="319" t="s">
        <v>190</v>
      </c>
      <c r="GG254" s="319" t="s">
        <v>190</v>
      </c>
      <c r="GH254" s="319" t="s">
        <v>190</v>
      </c>
      <c r="GI254" s="319" t="s">
        <v>190</v>
      </c>
      <c r="GJ254" s="319" t="s">
        <v>190</v>
      </c>
      <c r="GK254" s="319" t="s">
        <v>428</v>
      </c>
      <c r="GL254" s="319" t="s">
        <v>190</v>
      </c>
      <c r="GM254" s="319" t="s">
        <v>190</v>
      </c>
      <c r="GN254" s="319" t="s">
        <v>190</v>
      </c>
      <c r="GO254" s="319" t="s">
        <v>190</v>
      </c>
      <c r="GP254" s="319" t="s">
        <v>190</v>
      </c>
      <c r="GQ254" s="319" t="s">
        <v>428</v>
      </c>
      <c r="GR254" s="319" t="s">
        <v>190</v>
      </c>
      <c r="GS254" s="319" t="s">
        <v>190</v>
      </c>
      <c r="GT254" s="319" t="s">
        <v>190</v>
      </c>
      <c r="GU254" s="319" t="s">
        <v>190</v>
      </c>
      <c r="GV254" s="319" t="s">
        <v>190</v>
      </c>
      <c r="GW254" s="319" t="s">
        <v>190</v>
      </c>
      <c r="GX254" s="319" t="s">
        <v>190</v>
      </c>
      <c r="GY254" s="319" t="s">
        <v>190</v>
      </c>
      <c r="GZ254" s="319" t="s">
        <v>190</v>
      </c>
      <c r="HA254" s="319" t="s">
        <v>428</v>
      </c>
      <c r="HB254" s="319" t="s">
        <v>428</v>
      </c>
      <c r="HC254" s="319" t="s">
        <v>190</v>
      </c>
      <c r="HD254" s="319" t="s">
        <v>190</v>
      </c>
      <c r="HE254" s="319" t="s">
        <v>190</v>
      </c>
      <c r="HF254" s="319" t="s">
        <v>190</v>
      </c>
      <c r="HG254" s="319" t="s">
        <v>190</v>
      </c>
      <c r="HH254" s="319" t="s">
        <v>190</v>
      </c>
      <c r="HI254" s="319" t="s">
        <v>190</v>
      </c>
      <c r="HJ254" s="319" t="s">
        <v>190</v>
      </c>
      <c r="HK254" s="319" t="s">
        <v>190</v>
      </c>
      <c r="HL254" s="319" t="s">
        <v>428</v>
      </c>
      <c r="HM254" s="319" t="s">
        <v>428</v>
      </c>
      <c r="HN254" s="319" t="s">
        <v>428</v>
      </c>
      <c r="HO254" s="319" t="s">
        <v>428</v>
      </c>
      <c r="HP254" s="319" t="s">
        <v>190</v>
      </c>
      <c r="HQ254" s="319" t="s">
        <v>190</v>
      </c>
      <c r="HR254" s="319" t="s">
        <v>190</v>
      </c>
      <c r="HS254" s="319" t="s">
        <v>190</v>
      </c>
      <c r="HT254" s="319" t="s">
        <v>190</v>
      </c>
      <c r="HU254" s="319" t="s">
        <v>190</v>
      </c>
      <c r="HV254" s="319" t="s">
        <v>190</v>
      </c>
      <c r="HW254" s="319" t="s">
        <v>190</v>
      </c>
      <c r="HX254" s="319" t="s">
        <v>190</v>
      </c>
      <c r="HY254" s="319" t="s">
        <v>190</v>
      </c>
      <c r="HZ254" s="319" t="s">
        <v>190</v>
      </c>
      <c r="IA254" s="319" t="s">
        <v>190</v>
      </c>
      <c r="IB254" s="319" t="s">
        <v>190</v>
      </c>
      <c r="IC254" s="319" t="s">
        <v>190</v>
      </c>
      <c r="ID254" s="319" t="s">
        <v>190</v>
      </c>
      <c r="IE254" s="319" t="s">
        <v>190</v>
      </c>
      <c r="IF254" s="319" t="s">
        <v>190</v>
      </c>
      <c r="IG254" s="319" t="s">
        <v>190</v>
      </c>
      <c r="IH254" s="319" t="s">
        <v>190</v>
      </c>
      <c r="II254" s="319" t="s">
        <v>190</v>
      </c>
      <c r="IJ254" s="319" t="s">
        <v>3055</v>
      </c>
      <c r="IK254" s="321">
        <v>42172</v>
      </c>
      <c r="IL254" s="321">
        <v>42174</v>
      </c>
      <c r="IM254" s="321">
        <v>42255</v>
      </c>
      <c r="IN254" s="319">
        <v>2</v>
      </c>
      <c r="IO254" s="319" t="s">
        <v>173</v>
      </c>
      <c r="IP254" s="319" t="s">
        <v>173</v>
      </c>
      <c r="IQ254" s="321" t="s">
        <v>173</v>
      </c>
      <c r="IR254" s="320" t="s">
        <v>173</v>
      </c>
      <c r="IS254" s="322" t="s">
        <v>173</v>
      </c>
      <c r="IT254" s="319" t="s">
        <v>173</v>
      </c>
    </row>
    <row r="255" spans="1:254" s="271" customFormat="1" x14ac:dyDescent="0.25">
      <c r="A255" s="318" t="str">
        <f>HYPERLINK("http://www.ofsted.gov.uk/inspection-reports/find-inspection-report/provider/ELS/126542 ","Ofsted School Webpage")</f>
        <v>Ofsted School Webpage</v>
      </c>
      <c r="B255" s="319">
        <v>126542</v>
      </c>
      <c r="C255" s="319">
        <v>8656024</v>
      </c>
      <c r="D255" s="319" t="s">
        <v>701</v>
      </c>
      <c r="E255" s="319" t="s">
        <v>168</v>
      </c>
      <c r="F255" s="319" t="s">
        <v>81</v>
      </c>
      <c r="G255" s="319" t="s">
        <v>81</v>
      </c>
      <c r="H255" s="319" t="s">
        <v>81</v>
      </c>
      <c r="I255" s="319" t="s">
        <v>78</v>
      </c>
      <c r="J255" s="319" t="s">
        <v>424</v>
      </c>
      <c r="K255" s="319" t="s">
        <v>422</v>
      </c>
      <c r="L255" s="319" t="s">
        <v>422</v>
      </c>
      <c r="M255" s="319" t="s">
        <v>702</v>
      </c>
      <c r="N255" s="319" t="s">
        <v>3056</v>
      </c>
      <c r="O255" s="319" t="s">
        <v>703</v>
      </c>
      <c r="P255" s="319">
        <v>47</v>
      </c>
      <c r="Q255" s="319" t="s">
        <v>429</v>
      </c>
      <c r="R255" s="320">
        <v>10053773</v>
      </c>
      <c r="S255" s="321">
        <v>43431</v>
      </c>
      <c r="T255" s="321">
        <v>43433</v>
      </c>
      <c r="U255" s="321">
        <v>43485</v>
      </c>
      <c r="V255" s="319" t="s">
        <v>425</v>
      </c>
      <c r="W255" s="319" t="s">
        <v>2767</v>
      </c>
      <c r="X255" s="319">
        <v>1</v>
      </c>
      <c r="Y255" s="319" t="s">
        <v>173</v>
      </c>
      <c r="Z255" s="319" t="s">
        <v>173</v>
      </c>
      <c r="AA255" s="319" t="s">
        <v>173</v>
      </c>
      <c r="AB255" s="319">
        <v>1</v>
      </c>
      <c r="AC255" s="319" t="s">
        <v>169</v>
      </c>
      <c r="AD255" s="319" t="s">
        <v>173</v>
      </c>
      <c r="AE255" s="319" t="s">
        <v>173</v>
      </c>
      <c r="AF255" s="319" t="s">
        <v>427</v>
      </c>
      <c r="AG255" s="319" t="s">
        <v>171</v>
      </c>
      <c r="AH255" s="319" t="s">
        <v>190</v>
      </c>
      <c r="AI255" s="319" t="s">
        <v>190</v>
      </c>
      <c r="AJ255" s="319" t="s">
        <v>190</v>
      </c>
      <c r="AK255" s="319" t="s">
        <v>190</v>
      </c>
      <c r="AL255" s="319" t="s">
        <v>190</v>
      </c>
      <c r="AM255" s="319" t="s">
        <v>190</v>
      </c>
      <c r="AN255" s="319" t="s">
        <v>190</v>
      </c>
      <c r="AO255" s="319" t="s">
        <v>190</v>
      </c>
      <c r="AP255" s="319" t="s">
        <v>190</v>
      </c>
      <c r="AQ255" s="319" t="s">
        <v>190</v>
      </c>
      <c r="AR255" s="319" t="s">
        <v>190</v>
      </c>
      <c r="AS255" s="319" t="s">
        <v>190</v>
      </c>
      <c r="AT255" s="319" t="s">
        <v>190</v>
      </c>
      <c r="AU255" s="319" t="s">
        <v>190</v>
      </c>
      <c r="AV255" s="319" t="s">
        <v>190</v>
      </c>
      <c r="AW255" s="319" t="s">
        <v>190</v>
      </c>
      <c r="AX255" s="319" t="s">
        <v>190</v>
      </c>
      <c r="AY255" s="319" t="s">
        <v>190</v>
      </c>
      <c r="AZ255" s="319" t="s">
        <v>190</v>
      </c>
      <c r="BA255" s="319" t="s">
        <v>190</v>
      </c>
      <c r="BB255" s="319" t="s">
        <v>190</v>
      </c>
      <c r="BC255" s="319" t="s">
        <v>190</v>
      </c>
      <c r="BD255" s="319" t="s">
        <v>190</v>
      </c>
      <c r="BE255" s="319" t="s">
        <v>190</v>
      </c>
      <c r="BF255" s="319" t="s">
        <v>190</v>
      </c>
      <c r="BG255" s="319" t="s">
        <v>190</v>
      </c>
      <c r="BH255" s="319" t="s">
        <v>190</v>
      </c>
      <c r="BI255" s="319" t="s">
        <v>190</v>
      </c>
      <c r="BJ255" s="319" t="s">
        <v>190</v>
      </c>
      <c r="BK255" s="319" t="s">
        <v>190</v>
      </c>
      <c r="BL255" s="319" t="s">
        <v>190</v>
      </c>
      <c r="BM255" s="319" t="s">
        <v>190</v>
      </c>
      <c r="BN255" s="319" t="s">
        <v>190</v>
      </c>
      <c r="BO255" s="319" t="s">
        <v>190</v>
      </c>
      <c r="BP255" s="319" t="s">
        <v>190</v>
      </c>
      <c r="BQ255" s="319" t="s">
        <v>190</v>
      </c>
      <c r="BR255" s="319" t="s">
        <v>190</v>
      </c>
      <c r="BS255" s="319" t="s">
        <v>190</v>
      </c>
      <c r="BT255" s="319" t="s">
        <v>190</v>
      </c>
      <c r="BU255" s="319" t="s">
        <v>190</v>
      </c>
      <c r="BV255" s="319" t="s">
        <v>190</v>
      </c>
      <c r="BW255" s="319" t="s">
        <v>190</v>
      </c>
      <c r="BX255" s="319" t="s">
        <v>190</v>
      </c>
      <c r="BY255" s="319" t="s">
        <v>190</v>
      </c>
      <c r="BZ255" s="319" t="s">
        <v>190</v>
      </c>
      <c r="CA255" s="319" t="s">
        <v>190</v>
      </c>
      <c r="CB255" s="319" t="s">
        <v>190</v>
      </c>
      <c r="CC255" s="319" t="s">
        <v>190</v>
      </c>
      <c r="CD255" s="319" t="s">
        <v>190</v>
      </c>
      <c r="CE255" s="319" t="s">
        <v>190</v>
      </c>
      <c r="CF255" s="319" t="s">
        <v>190</v>
      </c>
      <c r="CG255" s="319" t="s">
        <v>190</v>
      </c>
      <c r="CH255" s="319" t="s">
        <v>190</v>
      </c>
      <c r="CI255" s="319" t="s">
        <v>190</v>
      </c>
      <c r="CJ255" s="319" t="s">
        <v>190</v>
      </c>
      <c r="CK255" s="319" t="s">
        <v>190</v>
      </c>
      <c r="CL255" s="319" t="s">
        <v>190</v>
      </c>
      <c r="CM255" s="319" t="s">
        <v>190</v>
      </c>
      <c r="CN255" s="319" t="s">
        <v>428</v>
      </c>
      <c r="CO255" s="319" t="s">
        <v>428</v>
      </c>
      <c r="CP255" s="319" t="s">
        <v>428</v>
      </c>
      <c r="CQ255" s="319" t="s">
        <v>190</v>
      </c>
      <c r="CR255" s="319" t="s">
        <v>190</v>
      </c>
      <c r="CS255" s="319" t="s">
        <v>190</v>
      </c>
      <c r="CT255" s="319" t="s">
        <v>190</v>
      </c>
      <c r="CU255" s="319" t="s">
        <v>190</v>
      </c>
      <c r="CV255" s="319" t="s">
        <v>190</v>
      </c>
      <c r="CW255" s="319" t="s">
        <v>190</v>
      </c>
      <c r="CX255" s="319" t="s">
        <v>190</v>
      </c>
      <c r="CY255" s="319" t="s">
        <v>190</v>
      </c>
      <c r="CZ255" s="319" t="s">
        <v>190</v>
      </c>
      <c r="DA255" s="319" t="s">
        <v>190</v>
      </c>
      <c r="DB255" s="319" t="s">
        <v>190</v>
      </c>
      <c r="DC255" s="319" t="s">
        <v>190</v>
      </c>
      <c r="DD255" s="319" t="s">
        <v>190</v>
      </c>
      <c r="DE255" s="319" t="s">
        <v>190</v>
      </c>
      <c r="DF255" s="319" t="s">
        <v>190</v>
      </c>
      <c r="DG255" s="319" t="s">
        <v>190</v>
      </c>
      <c r="DH255" s="319" t="s">
        <v>190</v>
      </c>
      <c r="DI255" s="319" t="s">
        <v>190</v>
      </c>
      <c r="DJ255" s="319" t="s">
        <v>190</v>
      </c>
      <c r="DK255" s="319" t="s">
        <v>190</v>
      </c>
      <c r="DL255" s="319" t="s">
        <v>190</v>
      </c>
      <c r="DM255" s="319" t="s">
        <v>190</v>
      </c>
      <c r="DN255" s="319" t="s">
        <v>428</v>
      </c>
      <c r="DO255" s="319" t="s">
        <v>190</v>
      </c>
      <c r="DP255" s="319" t="s">
        <v>190</v>
      </c>
      <c r="DQ255" s="319" t="s">
        <v>190</v>
      </c>
      <c r="DR255" s="319" t="s">
        <v>190</v>
      </c>
      <c r="DS255" s="319" t="s">
        <v>190</v>
      </c>
      <c r="DT255" s="319" t="s">
        <v>190</v>
      </c>
      <c r="DU255" s="319" t="s">
        <v>190</v>
      </c>
      <c r="DV255" s="319" t="s">
        <v>173</v>
      </c>
      <c r="DW255" s="319" t="s">
        <v>190</v>
      </c>
      <c r="DX255" s="319" t="s">
        <v>190</v>
      </c>
      <c r="DY255" s="319" t="s">
        <v>190</v>
      </c>
      <c r="DZ255" s="319" t="s">
        <v>190</v>
      </c>
      <c r="EA255" s="319" t="s">
        <v>190</v>
      </c>
      <c r="EB255" s="319" t="s">
        <v>190</v>
      </c>
      <c r="EC255" s="319" t="s">
        <v>428</v>
      </c>
      <c r="ED255" s="319" t="s">
        <v>190</v>
      </c>
      <c r="EE255" s="319" t="s">
        <v>190</v>
      </c>
      <c r="EF255" s="319" t="s">
        <v>190</v>
      </c>
      <c r="EG255" s="319" t="s">
        <v>190</v>
      </c>
      <c r="EH255" s="319" t="s">
        <v>190</v>
      </c>
      <c r="EI255" s="319" t="s">
        <v>190</v>
      </c>
      <c r="EJ255" s="319" t="s">
        <v>190</v>
      </c>
      <c r="EK255" s="319" t="s">
        <v>190</v>
      </c>
      <c r="EL255" s="319" t="s">
        <v>190</v>
      </c>
      <c r="EM255" s="319" t="s">
        <v>190</v>
      </c>
      <c r="EN255" s="319" t="s">
        <v>190</v>
      </c>
      <c r="EO255" s="319" t="s">
        <v>190</v>
      </c>
      <c r="EP255" s="319" t="s">
        <v>190</v>
      </c>
      <c r="EQ255" s="319" t="s">
        <v>190</v>
      </c>
      <c r="ER255" s="319" t="s">
        <v>190</v>
      </c>
      <c r="ES255" s="319" t="s">
        <v>190</v>
      </c>
      <c r="ET255" s="319" t="s">
        <v>190</v>
      </c>
      <c r="EU255" s="319" t="s">
        <v>190</v>
      </c>
      <c r="EV255" s="319" t="s">
        <v>190</v>
      </c>
      <c r="EW255" s="319" t="s">
        <v>190</v>
      </c>
      <c r="EX255" s="319" t="s">
        <v>190</v>
      </c>
      <c r="EY255" s="319" t="s">
        <v>190</v>
      </c>
      <c r="EZ255" s="319" t="s">
        <v>190</v>
      </c>
      <c r="FA255" s="319" t="s">
        <v>190</v>
      </c>
      <c r="FB255" s="319" t="s">
        <v>190</v>
      </c>
      <c r="FC255" s="319" t="s">
        <v>190</v>
      </c>
      <c r="FD255" s="319" t="s">
        <v>190</v>
      </c>
      <c r="FE255" s="319" t="s">
        <v>190</v>
      </c>
      <c r="FF255" s="319" t="s">
        <v>190</v>
      </c>
      <c r="FG255" s="319" t="s">
        <v>190</v>
      </c>
      <c r="FH255" s="319" t="s">
        <v>190</v>
      </c>
      <c r="FI255" s="319" t="s">
        <v>190</v>
      </c>
      <c r="FJ255" s="319" t="s">
        <v>190</v>
      </c>
      <c r="FK255" s="319" t="s">
        <v>190</v>
      </c>
      <c r="FL255" s="319" t="s">
        <v>190</v>
      </c>
      <c r="FM255" s="319" t="s">
        <v>190</v>
      </c>
      <c r="FN255" s="319" t="s">
        <v>190</v>
      </c>
      <c r="FO255" s="319" t="s">
        <v>190</v>
      </c>
      <c r="FP255" s="319" t="s">
        <v>190</v>
      </c>
      <c r="FQ255" s="319" t="s">
        <v>190</v>
      </c>
      <c r="FR255" s="319" t="s">
        <v>190</v>
      </c>
      <c r="FS255" s="319" t="s">
        <v>190</v>
      </c>
      <c r="FT255" s="319" t="s">
        <v>190</v>
      </c>
      <c r="FU255" s="319" t="s">
        <v>190</v>
      </c>
      <c r="FV255" s="319" t="s">
        <v>190</v>
      </c>
      <c r="FW255" s="319" t="s">
        <v>190</v>
      </c>
      <c r="FX255" s="319" t="s">
        <v>190</v>
      </c>
      <c r="FY255" s="319" t="s">
        <v>190</v>
      </c>
      <c r="FZ255" s="319" t="s">
        <v>190</v>
      </c>
      <c r="GA255" s="319" t="s">
        <v>190</v>
      </c>
      <c r="GB255" s="319" t="s">
        <v>190</v>
      </c>
      <c r="GC255" s="319" t="s">
        <v>190</v>
      </c>
      <c r="GD255" s="319" t="s">
        <v>190</v>
      </c>
      <c r="GE255" s="319" t="s">
        <v>190</v>
      </c>
      <c r="GF255" s="319" t="s">
        <v>190</v>
      </c>
      <c r="GG255" s="319" t="s">
        <v>190</v>
      </c>
      <c r="GH255" s="319" t="s">
        <v>190</v>
      </c>
      <c r="GI255" s="319" t="s">
        <v>190</v>
      </c>
      <c r="GJ255" s="319" t="s">
        <v>190</v>
      </c>
      <c r="GK255" s="319" t="s">
        <v>428</v>
      </c>
      <c r="GL255" s="319" t="s">
        <v>190</v>
      </c>
      <c r="GM255" s="319" t="s">
        <v>190</v>
      </c>
      <c r="GN255" s="319" t="s">
        <v>190</v>
      </c>
      <c r="GO255" s="319" t="s">
        <v>190</v>
      </c>
      <c r="GP255" s="319" t="s">
        <v>190</v>
      </c>
      <c r="GQ255" s="319" t="s">
        <v>190</v>
      </c>
      <c r="GR255" s="319" t="s">
        <v>190</v>
      </c>
      <c r="GS255" s="319" t="s">
        <v>190</v>
      </c>
      <c r="GT255" s="319" t="s">
        <v>190</v>
      </c>
      <c r="GU255" s="319" t="s">
        <v>190</v>
      </c>
      <c r="GV255" s="319" t="s">
        <v>190</v>
      </c>
      <c r="GW255" s="319" t="s">
        <v>190</v>
      </c>
      <c r="GX255" s="319" t="s">
        <v>190</v>
      </c>
      <c r="GY255" s="319" t="s">
        <v>190</v>
      </c>
      <c r="GZ255" s="319" t="s">
        <v>190</v>
      </c>
      <c r="HA255" s="319" t="s">
        <v>190</v>
      </c>
      <c r="HB255" s="319" t="s">
        <v>190</v>
      </c>
      <c r="HC255" s="319" t="s">
        <v>190</v>
      </c>
      <c r="HD255" s="319" t="s">
        <v>190</v>
      </c>
      <c r="HE255" s="319" t="s">
        <v>190</v>
      </c>
      <c r="HF255" s="319" t="s">
        <v>190</v>
      </c>
      <c r="HG255" s="319" t="s">
        <v>190</v>
      </c>
      <c r="HH255" s="319" t="s">
        <v>190</v>
      </c>
      <c r="HI255" s="319" t="s">
        <v>190</v>
      </c>
      <c r="HJ255" s="319" t="s">
        <v>190</v>
      </c>
      <c r="HK255" s="319" t="s">
        <v>190</v>
      </c>
      <c r="HL255" s="319" t="s">
        <v>190</v>
      </c>
      <c r="HM255" s="319" t="s">
        <v>190</v>
      </c>
      <c r="HN255" s="319" t="s">
        <v>190</v>
      </c>
      <c r="HO255" s="319" t="s">
        <v>190</v>
      </c>
      <c r="HP255" s="319" t="s">
        <v>190</v>
      </c>
      <c r="HQ255" s="319" t="s">
        <v>190</v>
      </c>
      <c r="HR255" s="319" t="s">
        <v>190</v>
      </c>
      <c r="HS255" s="319" t="s">
        <v>190</v>
      </c>
      <c r="HT255" s="319" t="s">
        <v>190</v>
      </c>
      <c r="HU255" s="319" t="s">
        <v>190</v>
      </c>
      <c r="HV255" s="319" t="s">
        <v>190</v>
      </c>
      <c r="HW255" s="319" t="s">
        <v>190</v>
      </c>
      <c r="HX255" s="319" t="s">
        <v>190</v>
      </c>
      <c r="HY255" s="319" t="s">
        <v>190</v>
      </c>
      <c r="HZ255" s="319" t="s">
        <v>190</v>
      </c>
      <c r="IA255" s="319" t="s">
        <v>190</v>
      </c>
      <c r="IB255" s="319" t="s">
        <v>190</v>
      </c>
      <c r="IC255" s="319" t="s">
        <v>190</v>
      </c>
      <c r="ID255" s="319" t="s">
        <v>190</v>
      </c>
      <c r="IE255" s="319" t="s">
        <v>190</v>
      </c>
      <c r="IF255" s="319" t="s">
        <v>190</v>
      </c>
      <c r="IG255" s="319" t="s">
        <v>190</v>
      </c>
      <c r="IH255" s="319" t="s">
        <v>190</v>
      </c>
      <c r="II255" s="319" t="s">
        <v>190</v>
      </c>
      <c r="IJ255" s="319">
        <v>10006321</v>
      </c>
      <c r="IK255" s="321">
        <v>42311</v>
      </c>
      <c r="IL255" s="321">
        <v>42313</v>
      </c>
      <c r="IM255" s="321">
        <v>42355</v>
      </c>
      <c r="IN255" s="319">
        <v>1</v>
      </c>
      <c r="IO255" s="319" t="s">
        <v>173</v>
      </c>
      <c r="IP255" s="319" t="s">
        <v>173</v>
      </c>
      <c r="IQ255" s="321" t="s">
        <v>173</v>
      </c>
      <c r="IR255" s="320" t="s">
        <v>173</v>
      </c>
      <c r="IS255" s="322" t="s">
        <v>173</v>
      </c>
      <c r="IT255" s="319" t="s">
        <v>173</v>
      </c>
    </row>
    <row r="256" spans="1:254" s="271" customFormat="1" x14ac:dyDescent="0.25">
      <c r="A256" s="318" t="str">
        <f>HYPERLINK("http://www.ofsted.gov.uk/inspection-reports/find-inspection-report/provider/ELS/127003 ","Ofsted School Webpage")</f>
        <v>Ofsted School Webpage</v>
      </c>
      <c r="B256" s="319">
        <v>127003</v>
      </c>
      <c r="C256" s="319">
        <v>9356083</v>
      </c>
      <c r="D256" s="319" t="s">
        <v>3057</v>
      </c>
      <c r="E256" s="319" t="s">
        <v>168</v>
      </c>
      <c r="F256" s="319" t="s">
        <v>81</v>
      </c>
      <c r="G256" s="319" t="s">
        <v>81</v>
      </c>
      <c r="H256" s="319" t="s">
        <v>81</v>
      </c>
      <c r="I256" s="319" t="s">
        <v>78</v>
      </c>
      <c r="J256" s="319" t="s">
        <v>424</v>
      </c>
      <c r="K256" s="319" t="s">
        <v>451</v>
      </c>
      <c r="L256" s="319" t="s">
        <v>451</v>
      </c>
      <c r="M256" s="319" t="s">
        <v>839</v>
      </c>
      <c r="N256" s="319" t="s">
        <v>3058</v>
      </c>
      <c r="O256" s="319" t="s">
        <v>852</v>
      </c>
      <c r="P256" s="319">
        <v>28</v>
      </c>
      <c r="Q256" s="319" t="s">
        <v>2776</v>
      </c>
      <c r="R256" s="320">
        <v>10056558</v>
      </c>
      <c r="S256" s="321">
        <v>43487</v>
      </c>
      <c r="T256" s="321">
        <v>43489</v>
      </c>
      <c r="U256" s="321">
        <v>43521</v>
      </c>
      <c r="V256" s="319" t="s">
        <v>425</v>
      </c>
      <c r="W256" s="319" t="s">
        <v>2767</v>
      </c>
      <c r="X256" s="319">
        <v>2</v>
      </c>
      <c r="Y256" s="319" t="s">
        <v>173</v>
      </c>
      <c r="Z256" s="319" t="s">
        <v>173</v>
      </c>
      <c r="AA256" s="319" t="s">
        <v>173</v>
      </c>
      <c r="AB256" s="319">
        <v>2</v>
      </c>
      <c r="AC256" s="319" t="s">
        <v>169</v>
      </c>
      <c r="AD256" s="319" t="s">
        <v>173</v>
      </c>
      <c r="AE256" s="319" t="s">
        <v>173</v>
      </c>
      <c r="AF256" s="319" t="s">
        <v>427</v>
      </c>
      <c r="AG256" s="319" t="s">
        <v>171</v>
      </c>
      <c r="AH256" s="319" t="s">
        <v>190</v>
      </c>
      <c r="AI256" s="319" t="s">
        <v>190</v>
      </c>
      <c r="AJ256" s="319" t="s">
        <v>190</v>
      </c>
      <c r="AK256" s="319" t="s">
        <v>190</v>
      </c>
      <c r="AL256" s="319" t="s">
        <v>190</v>
      </c>
      <c r="AM256" s="319" t="s">
        <v>190</v>
      </c>
      <c r="AN256" s="319" t="s">
        <v>190</v>
      </c>
      <c r="AO256" s="319" t="s">
        <v>190</v>
      </c>
      <c r="AP256" s="319" t="s">
        <v>190</v>
      </c>
      <c r="AQ256" s="319" t="s">
        <v>190</v>
      </c>
      <c r="AR256" s="319" t="s">
        <v>190</v>
      </c>
      <c r="AS256" s="319" t="s">
        <v>190</v>
      </c>
      <c r="AT256" s="319" t="s">
        <v>190</v>
      </c>
      <c r="AU256" s="319" t="s">
        <v>190</v>
      </c>
      <c r="AV256" s="319" t="s">
        <v>190</v>
      </c>
      <c r="AW256" s="319" t="s">
        <v>190</v>
      </c>
      <c r="AX256" s="319" t="s">
        <v>428</v>
      </c>
      <c r="AY256" s="319" t="s">
        <v>190</v>
      </c>
      <c r="AZ256" s="319" t="s">
        <v>190</v>
      </c>
      <c r="BA256" s="319" t="s">
        <v>190</v>
      </c>
      <c r="BB256" s="319" t="s">
        <v>190</v>
      </c>
      <c r="BC256" s="319" t="s">
        <v>190</v>
      </c>
      <c r="BD256" s="319" t="s">
        <v>190</v>
      </c>
      <c r="BE256" s="319" t="s">
        <v>190</v>
      </c>
      <c r="BF256" s="319" t="s">
        <v>428</v>
      </c>
      <c r="BG256" s="319" t="s">
        <v>428</v>
      </c>
      <c r="BH256" s="319" t="s">
        <v>190</v>
      </c>
      <c r="BI256" s="319" t="s">
        <v>190</v>
      </c>
      <c r="BJ256" s="319" t="s">
        <v>190</v>
      </c>
      <c r="BK256" s="319" t="s">
        <v>190</v>
      </c>
      <c r="BL256" s="319" t="s">
        <v>190</v>
      </c>
      <c r="BM256" s="319" t="s">
        <v>190</v>
      </c>
      <c r="BN256" s="319" t="s">
        <v>190</v>
      </c>
      <c r="BO256" s="319" t="s">
        <v>190</v>
      </c>
      <c r="BP256" s="319" t="s">
        <v>190</v>
      </c>
      <c r="BQ256" s="319" t="s">
        <v>190</v>
      </c>
      <c r="BR256" s="319" t="s">
        <v>190</v>
      </c>
      <c r="BS256" s="319" t="s">
        <v>190</v>
      </c>
      <c r="BT256" s="319" t="s">
        <v>190</v>
      </c>
      <c r="BU256" s="319" t="s">
        <v>190</v>
      </c>
      <c r="BV256" s="319" t="s">
        <v>190</v>
      </c>
      <c r="BW256" s="319" t="s">
        <v>190</v>
      </c>
      <c r="BX256" s="319" t="s">
        <v>190</v>
      </c>
      <c r="BY256" s="319" t="s">
        <v>190</v>
      </c>
      <c r="BZ256" s="319" t="s">
        <v>190</v>
      </c>
      <c r="CA256" s="319" t="s">
        <v>190</v>
      </c>
      <c r="CB256" s="319" t="s">
        <v>190</v>
      </c>
      <c r="CC256" s="319" t="s">
        <v>190</v>
      </c>
      <c r="CD256" s="319" t="s">
        <v>190</v>
      </c>
      <c r="CE256" s="319" t="s">
        <v>190</v>
      </c>
      <c r="CF256" s="319" t="s">
        <v>190</v>
      </c>
      <c r="CG256" s="319" t="s">
        <v>190</v>
      </c>
      <c r="CH256" s="319" t="s">
        <v>190</v>
      </c>
      <c r="CI256" s="319" t="s">
        <v>190</v>
      </c>
      <c r="CJ256" s="319" t="s">
        <v>190</v>
      </c>
      <c r="CK256" s="319" t="s">
        <v>190</v>
      </c>
      <c r="CL256" s="319" t="s">
        <v>190</v>
      </c>
      <c r="CM256" s="319" t="s">
        <v>190</v>
      </c>
      <c r="CN256" s="319" t="s">
        <v>428</v>
      </c>
      <c r="CO256" s="319" t="s">
        <v>428</v>
      </c>
      <c r="CP256" s="319" t="s">
        <v>428</v>
      </c>
      <c r="CQ256" s="319" t="s">
        <v>190</v>
      </c>
      <c r="CR256" s="319" t="s">
        <v>190</v>
      </c>
      <c r="CS256" s="319" t="s">
        <v>190</v>
      </c>
      <c r="CT256" s="319" t="s">
        <v>190</v>
      </c>
      <c r="CU256" s="319" t="s">
        <v>190</v>
      </c>
      <c r="CV256" s="319" t="s">
        <v>190</v>
      </c>
      <c r="CW256" s="319" t="s">
        <v>190</v>
      </c>
      <c r="CX256" s="319" t="s">
        <v>190</v>
      </c>
      <c r="CY256" s="319" t="s">
        <v>190</v>
      </c>
      <c r="CZ256" s="319" t="s">
        <v>190</v>
      </c>
      <c r="DA256" s="319" t="s">
        <v>190</v>
      </c>
      <c r="DB256" s="319" t="s">
        <v>190</v>
      </c>
      <c r="DC256" s="319" t="s">
        <v>190</v>
      </c>
      <c r="DD256" s="319" t="s">
        <v>190</v>
      </c>
      <c r="DE256" s="319" t="s">
        <v>190</v>
      </c>
      <c r="DF256" s="319" t="s">
        <v>190</v>
      </c>
      <c r="DG256" s="319" t="s">
        <v>190</v>
      </c>
      <c r="DH256" s="319" t="s">
        <v>190</v>
      </c>
      <c r="DI256" s="319" t="s">
        <v>190</v>
      </c>
      <c r="DJ256" s="319" t="s">
        <v>190</v>
      </c>
      <c r="DK256" s="319" t="s">
        <v>190</v>
      </c>
      <c r="DL256" s="319" t="s">
        <v>190</v>
      </c>
      <c r="DM256" s="319" t="s">
        <v>190</v>
      </c>
      <c r="DN256" s="319" t="s">
        <v>428</v>
      </c>
      <c r="DO256" s="319" t="s">
        <v>190</v>
      </c>
      <c r="DP256" s="319" t="s">
        <v>428</v>
      </c>
      <c r="DQ256" s="319" t="s">
        <v>428</v>
      </c>
      <c r="DR256" s="319" t="s">
        <v>428</v>
      </c>
      <c r="DS256" s="319" t="s">
        <v>428</v>
      </c>
      <c r="DT256" s="319" t="s">
        <v>428</v>
      </c>
      <c r="DU256" s="319" t="s">
        <v>428</v>
      </c>
      <c r="DV256" s="319" t="s">
        <v>173</v>
      </c>
      <c r="DW256" s="319" t="s">
        <v>428</v>
      </c>
      <c r="DX256" s="319" t="s">
        <v>428</v>
      </c>
      <c r="DY256" s="319" t="s">
        <v>428</v>
      </c>
      <c r="DZ256" s="319" t="s">
        <v>428</v>
      </c>
      <c r="EA256" s="319" t="s">
        <v>428</v>
      </c>
      <c r="EB256" s="319" t="s">
        <v>428</v>
      </c>
      <c r="EC256" s="319" t="s">
        <v>428</v>
      </c>
      <c r="ED256" s="319" t="s">
        <v>428</v>
      </c>
      <c r="EE256" s="319" t="s">
        <v>190</v>
      </c>
      <c r="EF256" s="319" t="s">
        <v>190</v>
      </c>
      <c r="EG256" s="319" t="s">
        <v>190</v>
      </c>
      <c r="EH256" s="319" t="s">
        <v>190</v>
      </c>
      <c r="EI256" s="319" t="s">
        <v>190</v>
      </c>
      <c r="EJ256" s="319" t="s">
        <v>190</v>
      </c>
      <c r="EK256" s="319" t="s">
        <v>190</v>
      </c>
      <c r="EL256" s="319" t="s">
        <v>190</v>
      </c>
      <c r="EM256" s="319" t="s">
        <v>190</v>
      </c>
      <c r="EN256" s="319" t="s">
        <v>190</v>
      </c>
      <c r="EO256" s="319" t="s">
        <v>190</v>
      </c>
      <c r="EP256" s="319" t="s">
        <v>190</v>
      </c>
      <c r="EQ256" s="319" t="s">
        <v>190</v>
      </c>
      <c r="ER256" s="319" t="s">
        <v>190</v>
      </c>
      <c r="ES256" s="319" t="s">
        <v>190</v>
      </c>
      <c r="ET256" s="319" t="s">
        <v>190</v>
      </c>
      <c r="EU256" s="319" t="s">
        <v>190</v>
      </c>
      <c r="EV256" s="319" t="s">
        <v>190</v>
      </c>
      <c r="EW256" s="319" t="s">
        <v>190</v>
      </c>
      <c r="EX256" s="319" t="s">
        <v>190</v>
      </c>
      <c r="EY256" s="319" t="s">
        <v>190</v>
      </c>
      <c r="EZ256" s="319" t="s">
        <v>190</v>
      </c>
      <c r="FA256" s="319" t="s">
        <v>190</v>
      </c>
      <c r="FB256" s="319" t="s">
        <v>428</v>
      </c>
      <c r="FC256" s="319" t="s">
        <v>428</v>
      </c>
      <c r="FD256" s="319" t="s">
        <v>428</v>
      </c>
      <c r="FE256" s="319" t="s">
        <v>428</v>
      </c>
      <c r="FF256" s="319" t="s">
        <v>428</v>
      </c>
      <c r="FG256" s="319" t="s">
        <v>428</v>
      </c>
      <c r="FH256" s="319" t="s">
        <v>190</v>
      </c>
      <c r="FI256" s="319" t="s">
        <v>190</v>
      </c>
      <c r="FJ256" s="319" t="s">
        <v>190</v>
      </c>
      <c r="FK256" s="319" t="s">
        <v>190</v>
      </c>
      <c r="FL256" s="319" t="s">
        <v>190</v>
      </c>
      <c r="FM256" s="319" t="s">
        <v>190</v>
      </c>
      <c r="FN256" s="319" t="s">
        <v>190</v>
      </c>
      <c r="FO256" s="319" t="s">
        <v>190</v>
      </c>
      <c r="FP256" s="319" t="s">
        <v>190</v>
      </c>
      <c r="FQ256" s="319" t="s">
        <v>190</v>
      </c>
      <c r="FR256" s="319" t="s">
        <v>190</v>
      </c>
      <c r="FS256" s="319" t="s">
        <v>428</v>
      </c>
      <c r="FT256" s="319" t="s">
        <v>190</v>
      </c>
      <c r="FU256" s="319" t="s">
        <v>190</v>
      </c>
      <c r="FV256" s="319" t="s">
        <v>190</v>
      </c>
      <c r="FW256" s="319" t="s">
        <v>190</v>
      </c>
      <c r="FX256" s="319" t="s">
        <v>190</v>
      </c>
      <c r="FY256" s="319" t="s">
        <v>190</v>
      </c>
      <c r="FZ256" s="319" t="s">
        <v>190</v>
      </c>
      <c r="GA256" s="319" t="s">
        <v>190</v>
      </c>
      <c r="GB256" s="319" t="s">
        <v>190</v>
      </c>
      <c r="GC256" s="319" t="s">
        <v>190</v>
      </c>
      <c r="GD256" s="319" t="s">
        <v>190</v>
      </c>
      <c r="GE256" s="319" t="s">
        <v>190</v>
      </c>
      <c r="GF256" s="319" t="s">
        <v>190</v>
      </c>
      <c r="GG256" s="319" t="s">
        <v>190</v>
      </c>
      <c r="GH256" s="319" t="s">
        <v>190</v>
      </c>
      <c r="GI256" s="319" t="s">
        <v>190</v>
      </c>
      <c r="GJ256" s="319" t="s">
        <v>190</v>
      </c>
      <c r="GK256" s="319" t="s">
        <v>428</v>
      </c>
      <c r="GL256" s="319" t="s">
        <v>190</v>
      </c>
      <c r="GM256" s="319" t="s">
        <v>190</v>
      </c>
      <c r="GN256" s="319" t="s">
        <v>190</v>
      </c>
      <c r="GO256" s="319" t="s">
        <v>190</v>
      </c>
      <c r="GP256" s="319" t="s">
        <v>190</v>
      </c>
      <c r="GQ256" s="319" t="s">
        <v>428</v>
      </c>
      <c r="GR256" s="319" t="s">
        <v>190</v>
      </c>
      <c r="GS256" s="319" t="s">
        <v>190</v>
      </c>
      <c r="GT256" s="319" t="s">
        <v>190</v>
      </c>
      <c r="GU256" s="319" t="s">
        <v>190</v>
      </c>
      <c r="GV256" s="319" t="s">
        <v>190</v>
      </c>
      <c r="GW256" s="319" t="s">
        <v>190</v>
      </c>
      <c r="GX256" s="319" t="s">
        <v>190</v>
      </c>
      <c r="GY256" s="319" t="s">
        <v>190</v>
      </c>
      <c r="GZ256" s="319" t="s">
        <v>428</v>
      </c>
      <c r="HA256" s="319" t="s">
        <v>190</v>
      </c>
      <c r="HB256" s="319" t="s">
        <v>190</v>
      </c>
      <c r="HC256" s="319" t="s">
        <v>190</v>
      </c>
      <c r="HD256" s="319" t="s">
        <v>190</v>
      </c>
      <c r="HE256" s="319" t="s">
        <v>190</v>
      </c>
      <c r="HF256" s="319" t="s">
        <v>190</v>
      </c>
      <c r="HG256" s="319" t="s">
        <v>190</v>
      </c>
      <c r="HH256" s="319" t="s">
        <v>190</v>
      </c>
      <c r="HI256" s="319" t="s">
        <v>190</v>
      </c>
      <c r="HJ256" s="319" t="s">
        <v>190</v>
      </c>
      <c r="HK256" s="319" t="s">
        <v>190</v>
      </c>
      <c r="HL256" s="319" t="s">
        <v>428</v>
      </c>
      <c r="HM256" s="319" t="s">
        <v>428</v>
      </c>
      <c r="HN256" s="319" t="s">
        <v>428</v>
      </c>
      <c r="HO256" s="319" t="s">
        <v>428</v>
      </c>
      <c r="HP256" s="319" t="s">
        <v>190</v>
      </c>
      <c r="HQ256" s="319" t="s">
        <v>190</v>
      </c>
      <c r="HR256" s="319" t="s">
        <v>190</v>
      </c>
      <c r="HS256" s="319" t="s">
        <v>190</v>
      </c>
      <c r="HT256" s="319" t="s">
        <v>190</v>
      </c>
      <c r="HU256" s="319" t="s">
        <v>190</v>
      </c>
      <c r="HV256" s="319" t="s">
        <v>190</v>
      </c>
      <c r="HW256" s="319" t="s">
        <v>190</v>
      </c>
      <c r="HX256" s="319" t="s">
        <v>190</v>
      </c>
      <c r="HY256" s="319" t="s">
        <v>190</v>
      </c>
      <c r="HZ256" s="319" t="s">
        <v>190</v>
      </c>
      <c r="IA256" s="319" t="s">
        <v>190</v>
      </c>
      <c r="IB256" s="319" t="s">
        <v>190</v>
      </c>
      <c r="IC256" s="319" t="s">
        <v>190</v>
      </c>
      <c r="ID256" s="319" t="s">
        <v>190</v>
      </c>
      <c r="IE256" s="319" t="s">
        <v>190</v>
      </c>
      <c r="IF256" s="319" t="s">
        <v>190</v>
      </c>
      <c r="IG256" s="319" t="s">
        <v>190</v>
      </c>
      <c r="IH256" s="319" t="s">
        <v>190</v>
      </c>
      <c r="II256" s="319" t="s">
        <v>190</v>
      </c>
      <c r="IJ256" s="319">
        <v>10006012</v>
      </c>
      <c r="IK256" s="321">
        <v>42801</v>
      </c>
      <c r="IL256" s="321">
        <v>42803</v>
      </c>
      <c r="IM256" s="321">
        <v>42835</v>
      </c>
      <c r="IN256" s="319">
        <v>3</v>
      </c>
      <c r="IO256" s="319" t="s">
        <v>173</v>
      </c>
      <c r="IP256" s="319" t="s">
        <v>173</v>
      </c>
      <c r="IQ256" s="319" t="s">
        <v>173</v>
      </c>
      <c r="IR256" s="320" t="s">
        <v>173</v>
      </c>
      <c r="IS256" s="320" t="s">
        <v>173</v>
      </c>
      <c r="IT256" s="319" t="s">
        <v>173</v>
      </c>
    </row>
    <row r="257" spans="1:254" s="271" customFormat="1" x14ac:dyDescent="0.25">
      <c r="A257" s="318" t="str">
        <f>HYPERLINK("http://www.ofsted.gov.uk/inspection-reports/find-inspection-report/provider/ELS/128078 ","Ofsted School Webpage")</f>
        <v>Ofsted School Webpage</v>
      </c>
      <c r="B257" s="319">
        <v>128078</v>
      </c>
      <c r="C257" s="319">
        <v>8556021</v>
      </c>
      <c r="D257" s="319" t="s">
        <v>861</v>
      </c>
      <c r="E257" s="319" t="s">
        <v>168</v>
      </c>
      <c r="F257" s="319" t="s">
        <v>81</v>
      </c>
      <c r="G257" s="319" t="s">
        <v>81</v>
      </c>
      <c r="H257" s="319" t="s">
        <v>81</v>
      </c>
      <c r="I257" s="319" t="s">
        <v>78</v>
      </c>
      <c r="J257" s="319" t="s">
        <v>424</v>
      </c>
      <c r="K257" s="319" t="s">
        <v>506</v>
      </c>
      <c r="L257" s="319" t="s">
        <v>506</v>
      </c>
      <c r="M257" s="319" t="s">
        <v>862</v>
      </c>
      <c r="N257" s="319" t="s">
        <v>3059</v>
      </c>
      <c r="O257" s="319" t="s">
        <v>863</v>
      </c>
      <c r="P257" s="319">
        <v>18</v>
      </c>
      <c r="Q257" s="319" t="s">
        <v>429</v>
      </c>
      <c r="R257" s="320">
        <v>10078675</v>
      </c>
      <c r="S257" s="321">
        <v>43487</v>
      </c>
      <c r="T257" s="321">
        <v>43489</v>
      </c>
      <c r="U257" s="321">
        <v>43538</v>
      </c>
      <c r="V257" s="319" t="s">
        <v>425</v>
      </c>
      <c r="W257" s="319" t="s">
        <v>2767</v>
      </c>
      <c r="X257" s="319">
        <v>4</v>
      </c>
      <c r="Y257" s="319" t="s">
        <v>173</v>
      </c>
      <c r="Z257" s="319" t="s">
        <v>173</v>
      </c>
      <c r="AA257" s="319" t="s">
        <v>173</v>
      </c>
      <c r="AB257" s="319">
        <v>4</v>
      </c>
      <c r="AC257" s="319" t="s">
        <v>170</v>
      </c>
      <c r="AD257" s="319" t="s">
        <v>173</v>
      </c>
      <c r="AE257" s="319" t="s">
        <v>173</v>
      </c>
      <c r="AF257" s="319" t="s">
        <v>447</v>
      </c>
      <c r="AG257" s="319" t="s">
        <v>172</v>
      </c>
      <c r="AH257" s="319" t="s">
        <v>190</v>
      </c>
      <c r="AI257" s="319" t="s">
        <v>190</v>
      </c>
      <c r="AJ257" s="319" t="s">
        <v>479</v>
      </c>
      <c r="AK257" s="319" t="s">
        <v>190</v>
      </c>
      <c r="AL257" s="319" t="s">
        <v>479</v>
      </c>
      <c r="AM257" s="319" t="s">
        <v>479</v>
      </c>
      <c r="AN257" s="319" t="s">
        <v>190</v>
      </c>
      <c r="AO257" s="319" t="s">
        <v>479</v>
      </c>
      <c r="AP257" s="319" t="s">
        <v>190</v>
      </c>
      <c r="AQ257" s="319" t="s">
        <v>190</v>
      </c>
      <c r="AR257" s="319" t="s">
        <v>190</v>
      </c>
      <c r="AS257" s="319" t="s">
        <v>190</v>
      </c>
      <c r="AT257" s="319" t="s">
        <v>190</v>
      </c>
      <c r="AU257" s="319" t="s">
        <v>190</v>
      </c>
      <c r="AV257" s="319" t="s">
        <v>190</v>
      </c>
      <c r="AW257" s="319" t="s">
        <v>190</v>
      </c>
      <c r="AX257" s="319" t="s">
        <v>428</v>
      </c>
      <c r="AY257" s="319" t="s">
        <v>190</v>
      </c>
      <c r="AZ257" s="319" t="s">
        <v>190</v>
      </c>
      <c r="BA257" s="319" t="s">
        <v>190</v>
      </c>
      <c r="BB257" s="319" t="s">
        <v>190</v>
      </c>
      <c r="BC257" s="319" t="s">
        <v>190</v>
      </c>
      <c r="BD257" s="319" t="s">
        <v>190</v>
      </c>
      <c r="BE257" s="319" t="s">
        <v>190</v>
      </c>
      <c r="BF257" s="319" t="s">
        <v>428</v>
      </c>
      <c r="BG257" s="319" t="s">
        <v>428</v>
      </c>
      <c r="BH257" s="319" t="s">
        <v>190</v>
      </c>
      <c r="BI257" s="319" t="s">
        <v>190</v>
      </c>
      <c r="BJ257" s="319" t="s">
        <v>190</v>
      </c>
      <c r="BK257" s="319" t="s">
        <v>190</v>
      </c>
      <c r="BL257" s="319" t="s">
        <v>190</v>
      </c>
      <c r="BM257" s="319" t="s">
        <v>190</v>
      </c>
      <c r="BN257" s="319" t="s">
        <v>190</v>
      </c>
      <c r="BO257" s="319" t="s">
        <v>190</v>
      </c>
      <c r="BP257" s="319" t="s">
        <v>190</v>
      </c>
      <c r="BQ257" s="319" t="s">
        <v>190</v>
      </c>
      <c r="BR257" s="319" t="s">
        <v>190</v>
      </c>
      <c r="BS257" s="319" t="s">
        <v>190</v>
      </c>
      <c r="BT257" s="319" t="s">
        <v>190</v>
      </c>
      <c r="BU257" s="319" t="s">
        <v>190</v>
      </c>
      <c r="BV257" s="319" t="s">
        <v>190</v>
      </c>
      <c r="BW257" s="319" t="s">
        <v>190</v>
      </c>
      <c r="BX257" s="319" t="s">
        <v>190</v>
      </c>
      <c r="BY257" s="319" t="s">
        <v>190</v>
      </c>
      <c r="BZ257" s="319" t="s">
        <v>190</v>
      </c>
      <c r="CA257" s="319" t="s">
        <v>190</v>
      </c>
      <c r="CB257" s="319" t="s">
        <v>190</v>
      </c>
      <c r="CC257" s="319" t="s">
        <v>190</v>
      </c>
      <c r="CD257" s="319" t="s">
        <v>190</v>
      </c>
      <c r="CE257" s="319" t="s">
        <v>190</v>
      </c>
      <c r="CF257" s="319" t="s">
        <v>190</v>
      </c>
      <c r="CG257" s="319" t="s">
        <v>190</v>
      </c>
      <c r="CH257" s="319" t="s">
        <v>190</v>
      </c>
      <c r="CI257" s="319" t="s">
        <v>190</v>
      </c>
      <c r="CJ257" s="319" t="s">
        <v>190</v>
      </c>
      <c r="CK257" s="319" t="s">
        <v>191</v>
      </c>
      <c r="CL257" s="319" t="s">
        <v>191</v>
      </c>
      <c r="CM257" s="319" t="s">
        <v>191</v>
      </c>
      <c r="CN257" s="319" t="s">
        <v>428</v>
      </c>
      <c r="CO257" s="319" t="s">
        <v>428</v>
      </c>
      <c r="CP257" s="319" t="s">
        <v>428</v>
      </c>
      <c r="CQ257" s="319" t="s">
        <v>190</v>
      </c>
      <c r="CR257" s="319" t="s">
        <v>190</v>
      </c>
      <c r="CS257" s="319" t="s">
        <v>190</v>
      </c>
      <c r="CT257" s="319" t="s">
        <v>190</v>
      </c>
      <c r="CU257" s="319" t="s">
        <v>190</v>
      </c>
      <c r="CV257" s="319" t="s">
        <v>190</v>
      </c>
      <c r="CW257" s="319" t="s">
        <v>190</v>
      </c>
      <c r="CX257" s="319" t="s">
        <v>190</v>
      </c>
      <c r="CY257" s="319" t="s">
        <v>190</v>
      </c>
      <c r="CZ257" s="319" t="s">
        <v>190</v>
      </c>
      <c r="DA257" s="319" t="s">
        <v>191</v>
      </c>
      <c r="DB257" s="319" t="s">
        <v>191</v>
      </c>
      <c r="DC257" s="319" t="s">
        <v>191</v>
      </c>
      <c r="DD257" s="319" t="s">
        <v>190</v>
      </c>
      <c r="DE257" s="319" t="s">
        <v>190</v>
      </c>
      <c r="DF257" s="319" t="s">
        <v>190</v>
      </c>
      <c r="DG257" s="319" t="s">
        <v>190</v>
      </c>
      <c r="DH257" s="319" t="s">
        <v>190</v>
      </c>
      <c r="DI257" s="319" t="s">
        <v>190</v>
      </c>
      <c r="DJ257" s="319" t="s">
        <v>190</v>
      </c>
      <c r="DK257" s="319" t="s">
        <v>190</v>
      </c>
      <c r="DL257" s="319" t="s">
        <v>190</v>
      </c>
      <c r="DM257" s="319" t="s">
        <v>190</v>
      </c>
      <c r="DN257" s="319" t="s">
        <v>428</v>
      </c>
      <c r="DO257" s="319" t="s">
        <v>190</v>
      </c>
      <c r="DP257" s="319" t="s">
        <v>190</v>
      </c>
      <c r="DQ257" s="319" t="s">
        <v>190</v>
      </c>
      <c r="DR257" s="319" t="s">
        <v>190</v>
      </c>
      <c r="DS257" s="319" t="s">
        <v>190</v>
      </c>
      <c r="DT257" s="319" t="s">
        <v>190</v>
      </c>
      <c r="DU257" s="319" t="s">
        <v>190</v>
      </c>
      <c r="DV257" s="319" t="s">
        <v>173</v>
      </c>
      <c r="DW257" s="319" t="s">
        <v>190</v>
      </c>
      <c r="DX257" s="319" t="s">
        <v>190</v>
      </c>
      <c r="DY257" s="319" t="s">
        <v>190</v>
      </c>
      <c r="DZ257" s="319" t="s">
        <v>190</v>
      </c>
      <c r="EA257" s="319" t="s">
        <v>190</v>
      </c>
      <c r="EB257" s="319" t="s">
        <v>190</v>
      </c>
      <c r="EC257" s="319" t="s">
        <v>428</v>
      </c>
      <c r="ED257" s="319" t="s">
        <v>190</v>
      </c>
      <c r="EE257" s="319" t="s">
        <v>428</v>
      </c>
      <c r="EF257" s="319" t="s">
        <v>428</v>
      </c>
      <c r="EG257" s="319" t="s">
        <v>428</v>
      </c>
      <c r="EH257" s="319" t="s">
        <v>428</v>
      </c>
      <c r="EI257" s="319" t="s">
        <v>428</v>
      </c>
      <c r="EJ257" s="319" t="s">
        <v>428</v>
      </c>
      <c r="EK257" s="319" t="s">
        <v>428</v>
      </c>
      <c r="EL257" s="319" t="s">
        <v>428</v>
      </c>
      <c r="EM257" s="319" t="s">
        <v>428</v>
      </c>
      <c r="EN257" s="319" t="s">
        <v>190</v>
      </c>
      <c r="EO257" s="319" t="s">
        <v>190</v>
      </c>
      <c r="EP257" s="319" t="s">
        <v>190</v>
      </c>
      <c r="EQ257" s="319" t="s">
        <v>190</v>
      </c>
      <c r="ER257" s="319" t="s">
        <v>190</v>
      </c>
      <c r="ES257" s="319" t="s">
        <v>190</v>
      </c>
      <c r="ET257" s="319" t="s">
        <v>190</v>
      </c>
      <c r="EU257" s="319" t="s">
        <v>190</v>
      </c>
      <c r="EV257" s="319" t="s">
        <v>190</v>
      </c>
      <c r="EW257" s="319" t="s">
        <v>190</v>
      </c>
      <c r="EX257" s="319" t="s">
        <v>190</v>
      </c>
      <c r="EY257" s="319" t="s">
        <v>190</v>
      </c>
      <c r="EZ257" s="319" t="s">
        <v>190</v>
      </c>
      <c r="FA257" s="319" t="s">
        <v>190</v>
      </c>
      <c r="FB257" s="319" t="s">
        <v>190</v>
      </c>
      <c r="FC257" s="319" t="s">
        <v>190</v>
      </c>
      <c r="FD257" s="319" t="s">
        <v>190</v>
      </c>
      <c r="FE257" s="319" t="s">
        <v>190</v>
      </c>
      <c r="FF257" s="319" t="s">
        <v>428</v>
      </c>
      <c r="FG257" s="319" t="s">
        <v>190</v>
      </c>
      <c r="FH257" s="319" t="s">
        <v>428</v>
      </c>
      <c r="FI257" s="319" t="s">
        <v>428</v>
      </c>
      <c r="FJ257" s="319" t="s">
        <v>429</v>
      </c>
      <c r="FK257" s="319" t="s">
        <v>428</v>
      </c>
      <c r="FL257" s="319" t="s">
        <v>191</v>
      </c>
      <c r="FM257" s="319" t="s">
        <v>190</v>
      </c>
      <c r="FN257" s="319" t="s">
        <v>190</v>
      </c>
      <c r="FO257" s="319" t="s">
        <v>191</v>
      </c>
      <c r="FP257" s="319" t="s">
        <v>191</v>
      </c>
      <c r="FQ257" s="319" t="s">
        <v>191</v>
      </c>
      <c r="FR257" s="319" t="s">
        <v>191</v>
      </c>
      <c r="FS257" s="319" t="s">
        <v>428</v>
      </c>
      <c r="FT257" s="319" t="s">
        <v>191</v>
      </c>
      <c r="FU257" s="319" t="s">
        <v>190</v>
      </c>
      <c r="FV257" s="319" t="s">
        <v>190</v>
      </c>
      <c r="FW257" s="319" t="s">
        <v>190</v>
      </c>
      <c r="FX257" s="319" t="s">
        <v>190</v>
      </c>
      <c r="FY257" s="319" t="s">
        <v>190</v>
      </c>
      <c r="FZ257" s="319" t="s">
        <v>190</v>
      </c>
      <c r="GA257" s="319" t="s">
        <v>190</v>
      </c>
      <c r="GB257" s="319" t="s">
        <v>190</v>
      </c>
      <c r="GC257" s="319" t="s">
        <v>190</v>
      </c>
      <c r="GD257" s="319" t="s">
        <v>190</v>
      </c>
      <c r="GE257" s="319" t="s">
        <v>190</v>
      </c>
      <c r="GF257" s="319" t="s">
        <v>190</v>
      </c>
      <c r="GG257" s="319" t="s">
        <v>190</v>
      </c>
      <c r="GH257" s="319" t="s">
        <v>190</v>
      </c>
      <c r="GI257" s="319" t="s">
        <v>190</v>
      </c>
      <c r="GJ257" s="319" t="s">
        <v>190</v>
      </c>
      <c r="GK257" s="319" t="s">
        <v>428</v>
      </c>
      <c r="GL257" s="319" t="s">
        <v>191</v>
      </c>
      <c r="GM257" s="319" t="s">
        <v>190</v>
      </c>
      <c r="GN257" s="319" t="s">
        <v>190</v>
      </c>
      <c r="GO257" s="319" t="s">
        <v>190</v>
      </c>
      <c r="GP257" s="319" t="s">
        <v>190</v>
      </c>
      <c r="GQ257" s="319" t="s">
        <v>428</v>
      </c>
      <c r="GR257" s="319" t="s">
        <v>190</v>
      </c>
      <c r="GS257" s="319" t="s">
        <v>190</v>
      </c>
      <c r="GT257" s="319" t="s">
        <v>191</v>
      </c>
      <c r="GU257" s="319" t="s">
        <v>190</v>
      </c>
      <c r="GV257" s="319" t="s">
        <v>428</v>
      </c>
      <c r="GW257" s="319" t="s">
        <v>190</v>
      </c>
      <c r="GX257" s="319" t="s">
        <v>190</v>
      </c>
      <c r="GY257" s="319" t="s">
        <v>190</v>
      </c>
      <c r="GZ257" s="319" t="s">
        <v>190</v>
      </c>
      <c r="HA257" s="319" t="s">
        <v>428</v>
      </c>
      <c r="HB257" s="319" t="s">
        <v>190</v>
      </c>
      <c r="HC257" s="319" t="s">
        <v>190</v>
      </c>
      <c r="HD257" s="319" t="s">
        <v>190</v>
      </c>
      <c r="HE257" s="319" t="s">
        <v>190</v>
      </c>
      <c r="HF257" s="319" t="s">
        <v>190</v>
      </c>
      <c r="HG257" s="319" t="s">
        <v>190</v>
      </c>
      <c r="HH257" s="319" t="s">
        <v>190</v>
      </c>
      <c r="HI257" s="319" t="s">
        <v>190</v>
      </c>
      <c r="HJ257" s="319" t="s">
        <v>190</v>
      </c>
      <c r="HK257" s="319" t="s">
        <v>190</v>
      </c>
      <c r="HL257" s="319" t="s">
        <v>428</v>
      </c>
      <c r="HM257" s="319" t="s">
        <v>428</v>
      </c>
      <c r="HN257" s="319" t="s">
        <v>428</v>
      </c>
      <c r="HO257" s="319" t="s">
        <v>428</v>
      </c>
      <c r="HP257" s="319" t="s">
        <v>190</v>
      </c>
      <c r="HQ257" s="319" t="s">
        <v>190</v>
      </c>
      <c r="HR257" s="319" t="s">
        <v>190</v>
      </c>
      <c r="HS257" s="319" t="s">
        <v>190</v>
      </c>
      <c r="HT257" s="319" t="s">
        <v>190</v>
      </c>
      <c r="HU257" s="319" t="s">
        <v>190</v>
      </c>
      <c r="HV257" s="319" t="s">
        <v>190</v>
      </c>
      <c r="HW257" s="319" t="s">
        <v>190</v>
      </c>
      <c r="HX257" s="319" t="s">
        <v>190</v>
      </c>
      <c r="HY257" s="319" t="s">
        <v>190</v>
      </c>
      <c r="HZ257" s="319" t="s">
        <v>190</v>
      </c>
      <c r="IA257" s="319" t="s">
        <v>190</v>
      </c>
      <c r="IB257" s="319" t="s">
        <v>190</v>
      </c>
      <c r="IC257" s="319" t="s">
        <v>190</v>
      </c>
      <c r="ID257" s="319" t="s">
        <v>190</v>
      </c>
      <c r="IE257" s="319" t="s">
        <v>190</v>
      </c>
      <c r="IF257" s="319" t="s">
        <v>191</v>
      </c>
      <c r="IG257" s="319" t="s">
        <v>191</v>
      </c>
      <c r="IH257" s="319" t="s">
        <v>191</v>
      </c>
      <c r="II257" s="319" t="s">
        <v>191</v>
      </c>
      <c r="IJ257" s="319">
        <v>10008523</v>
      </c>
      <c r="IK257" s="321">
        <v>42430</v>
      </c>
      <c r="IL257" s="321">
        <v>42432</v>
      </c>
      <c r="IM257" s="321">
        <v>42472</v>
      </c>
      <c r="IN257" s="319">
        <v>2</v>
      </c>
      <c r="IO257" s="319" t="s">
        <v>173</v>
      </c>
      <c r="IP257" s="319" t="s">
        <v>173</v>
      </c>
      <c r="IQ257" s="321" t="s">
        <v>173</v>
      </c>
      <c r="IR257" s="320" t="s">
        <v>173</v>
      </c>
      <c r="IS257" s="322" t="s">
        <v>173</v>
      </c>
      <c r="IT257" s="319" t="s">
        <v>173</v>
      </c>
    </row>
    <row r="258" spans="1:254" s="271" customFormat="1" x14ac:dyDescent="0.25">
      <c r="A258" s="318" t="str">
        <f>HYPERLINK("http://www.ofsted.gov.uk/inspection-reports/find-inspection-report/provider/ELS/129252 ","Ofsted School Webpage")</f>
        <v>Ofsted School Webpage</v>
      </c>
      <c r="B258" s="319">
        <v>129252</v>
      </c>
      <c r="C258" s="319">
        <v>9086095</v>
      </c>
      <c r="D258" s="319" t="s">
        <v>1563</v>
      </c>
      <c r="E258" s="319" t="s">
        <v>168</v>
      </c>
      <c r="F258" s="319" t="s">
        <v>81</v>
      </c>
      <c r="G258" s="319" t="s">
        <v>81</v>
      </c>
      <c r="H258" s="319" t="s">
        <v>81</v>
      </c>
      <c r="I258" s="319" t="s">
        <v>78</v>
      </c>
      <c r="J258" s="319" t="s">
        <v>424</v>
      </c>
      <c r="K258" s="319" t="s">
        <v>422</v>
      </c>
      <c r="L258" s="319" t="s">
        <v>422</v>
      </c>
      <c r="M258" s="319" t="s">
        <v>1204</v>
      </c>
      <c r="N258" s="319" t="s">
        <v>3060</v>
      </c>
      <c r="O258" s="319" t="s">
        <v>1564</v>
      </c>
      <c r="P258" s="319">
        <v>9</v>
      </c>
      <c r="Q258" s="319" t="s">
        <v>2776</v>
      </c>
      <c r="R258" s="320">
        <v>10107532</v>
      </c>
      <c r="S258" s="321">
        <v>43781</v>
      </c>
      <c r="T258" s="321">
        <v>43783</v>
      </c>
      <c r="U258" s="321">
        <v>43815</v>
      </c>
      <c r="V258" s="319" t="s">
        <v>425</v>
      </c>
      <c r="W258" s="319" t="s">
        <v>2767</v>
      </c>
      <c r="X258" s="319">
        <v>2</v>
      </c>
      <c r="Y258" s="319">
        <v>2</v>
      </c>
      <c r="Z258" s="319">
        <v>1</v>
      </c>
      <c r="AA258" s="319">
        <v>1</v>
      </c>
      <c r="AB258" s="319">
        <v>1</v>
      </c>
      <c r="AC258" s="319" t="s">
        <v>169</v>
      </c>
      <c r="AD258" s="319" t="s">
        <v>173</v>
      </c>
      <c r="AE258" s="319">
        <v>2</v>
      </c>
      <c r="AF258" s="319" t="s">
        <v>427</v>
      </c>
      <c r="AG258" s="319" t="s">
        <v>171</v>
      </c>
      <c r="AH258" s="319" t="s">
        <v>190</v>
      </c>
      <c r="AI258" s="319" t="s">
        <v>190</v>
      </c>
      <c r="AJ258" s="319" t="s">
        <v>190</v>
      </c>
      <c r="AK258" s="319" t="s">
        <v>190</v>
      </c>
      <c r="AL258" s="319" t="s">
        <v>190</v>
      </c>
      <c r="AM258" s="319" t="s">
        <v>190</v>
      </c>
      <c r="AN258" s="319" t="s">
        <v>190</v>
      </c>
      <c r="AO258" s="319" t="s">
        <v>190</v>
      </c>
      <c r="AP258" s="319" t="s">
        <v>190</v>
      </c>
      <c r="AQ258" s="319" t="s">
        <v>190</v>
      </c>
      <c r="AR258" s="319" t="s">
        <v>190</v>
      </c>
      <c r="AS258" s="319" t="s">
        <v>190</v>
      </c>
      <c r="AT258" s="319" t="s">
        <v>190</v>
      </c>
      <c r="AU258" s="319" t="s">
        <v>190</v>
      </c>
      <c r="AV258" s="319" t="s">
        <v>190</v>
      </c>
      <c r="AW258" s="319" t="s">
        <v>190</v>
      </c>
      <c r="AX258" s="319" t="s">
        <v>428</v>
      </c>
      <c r="AY258" s="319" t="s">
        <v>190</v>
      </c>
      <c r="AZ258" s="319" t="s">
        <v>190</v>
      </c>
      <c r="BA258" s="319" t="s">
        <v>190</v>
      </c>
      <c r="BB258" s="319" t="s">
        <v>190</v>
      </c>
      <c r="BC258" s="319" t="s">
        <v>190</v>
      </c>
      <c r="BD258" s="319" t="s">
        <v>190</v>
      </c>
      <c r="BE258" s="319" t="s">
        <v>190</v>
      </c>
      <c r="BF258" s="319" t="s">
        <v>428</v>
      </c>
      <c r="BG258" s="319" t="s">
        <v>190</v>
      </c>
      <c r="BH258" s="319" t="s">
        <v>190</v>
      </c>
      <c r="BI258" s="319" t="s">
        <v>190</v>
      </c>
      <c r="BJ258" s="319" t="s">
        <v>190</v>
      </c>
      <c r="BK258" s="319" t="s">
        <v>190</v>
      </c>
      <c r="BL258" s="319" t="s">
        <v>190</v>
      </c>
      <c r="BM258" s="319" t="s">
        <v>190</v>
      </c>
      <c r="BN258" s="319" t="s">
        <v>190</v>
      </c>
      <c r="BO258" s="319" t="s">
        <v>190</v>
      </c>
      <c r="BP258" s="319" t="s">
        <v>190</v>
      </c>
      <c r="BQ258" s="319" t="s">
        <v>190</v>
      </c>
      <c r="BR258" s="319" t="s">
        <v>190</v>
      </c>
      <c r="BS258" s="319" t="s">
        <v>190</v>
      </c>
      <c r="BT258" s="319" t="s">
        <v>190</v>
      </c>
      <c r="BU258" s="319" t="s">
        <v>190</v>
      </c>
      <c r="BV258" s="319" t="s">
        <v>190</v>
      </c>
      <c r="BW258" s="319" t="s">
        <v>190</v>
      </c>
      <c r="BX258" s="319" t="s">
        <v>190</v>
      </c>
      <c r="BY258" s="319" t="s">
        <v>190</v>
      </c>
      <c r="BZ258" s="319" t="s">
        <v>190</v>
      </c>
      <c r="CA258" s="319" t="s">
        <v>190</v>
      </c>
      <c r="CB258" s="319" t="s">
        <v>190</v>
      </c>
      <c r="CC258" s="319" t="s">
        <v>190</v>
      </c>
      <c r="CD258" s="319" t="s">
        <v>190</v>
      </c>
      <c r="CE258" s="319" t="s">
        <v>190</v>
      </c>
      <c r="CF258" s="319" t="s">
        <v>190</v>
      </c>
      <c r="CG258" s="319" t="s">
        <v>190</v>
      </c>
      <c r="CH258" s="319" t="s">
        <v>190</v>
      </c>
      <c r="CI258" s="319" t="s">
        <v>190</v>
      </c>
      <c r="CJ258" s="319" t="s">
        <v>190</v>
      </c>
      <c r="CK258" s="319" t="s">
        <v>190</v>
      </c>
      <c r="CL258" s="319" t="s">
        <v>190</v>
      </c>
      <c r="CM258" s="319" t="s">
        <v>190</v>
      </c>
      <c r="CN258" s="319" t="s">
        <v>428</v>
      </c>
      <c r="CO258" s="319" t="s">
        <v>428</v>
      </c>
      <c r="CP258" s="319" t="s">
        <v>428</v>
      </c>
      <c r="CQ258" s="319" t="s">
        <v>190</v>
      </c>
      <c r="CR258" s="319" t="s">
        <v>190</v>
      </c>
      <c r="CS258" s="319" t="s">
        <v>190</v>
      </c>
      <c r="CT258" s="319" t="s">
        <v>190</v>
      </c>
      <c r="CU258" s="319" t="s">
        <v>190</v>
      </c>
      <c r="CV258" s="319" t="s">
        <v>190</v>
      </c>
      <c r="CW258" s="319" t="s">
        <v>190</v>
      </c>
      <c r="CX258" s="319" t="s">
        <v>190</v>
      </c>
      <c r="CY258" s="319" t="s">
        <v>190</v>
      </c>
      <c r="CZ258" s="319" t="s">
        <v>190</v>
      </c>
      <c r="DA258" s="319" t="s">
        <v>190</v>
      </c>
      <c r="DB258" s="319" t="s">
        <v>190</v>
      </c>
      <c r="DC258" s="319" t="s">
        <v>190</v>
      </c>
      <c r="DD258" s="319" t="s">
        <v>190</v>
      </c>
      <c r="DE258" s="319" t="s">
        <v>190</v>
      </c>
      <c r="DF258" s="319" t="s">
        <v>190</v>
      </c>
      <c r="DG258" s="319" t="s">
        <v>190</v>
      </c>
      <c r="DH258" s="319" t="s">
        <v>190</v>
      </c>
      <c r="DI258" s="319" t="s">
        <v>190</v>
      </c>
      <c r="DJ258" s="319" t="s">
        <v>190</v>
      </c>
      <c r="DK258" s="319" t="s">
        <v>190</v>
      </c>
      <c r="DL258" s="319" t="s">
        <v>190</v>
      </c>
      <c r="DM258" s="319" t="s">
        <v>190</v>
      </c>
      <c r="DN258" s="319" t="s">
        <v>428</v>
      </c>
      <c r="DO258" s="319" t="s">
        <v>190</v>
      </c>
      <c r="DP258" s="319" t="s">
        <v>190</v>
      </c>
      <c r="DQ258" s="319" t="s">
        <v>190</v>
      </c>
      <c r="DR258" s="319" t="s">
        <v>190</v>
      </c>
      <c r="DS258" s="319" t="s">
        <v>190</v>
      </c>
      <c r="DT258" s="319" t="s">
        <v>190</v>
      </c>
      <c r="DU258" s="319" t="s">
        <v>190</v>
      </c>
      <c r="DV258" s="319" t="s">
        <v>190</v>
      </c>
      <c r="DW258" s="319" t="s">
        <v>190</v>
      </c>
      <c r="DX258" s="319" t="s">
        <v>190</v>
      </c>
      <c r="DY258" s="319" t="s">
        <v>190</v>
      </c>
      <c r="DZ258" s="319" t="s">
        <v>190</v>
      </c>
      <c r="EA258" s="319" t="s">
        <v>190</v>
      </c>
      <c r="EB258" s="319" t="s">
        <v>190</v>
      </c>
      <c r="EC258" s="319" t="s">
        <v>428</v>
      </c>
      <c r="ED258" s="319" t="s">
        <v>190</v>
      </c>
      <c r="EE258" s="319" t="s">
        <v>428</v>
      </c>
      <c r="EF258" s="319" t="s">
        <v>428</v>
      </c>
      <c r="EG258" s="319" t="s">
        <v>428</v>
      </c>
      <c r="EH258" s="319" t="s">
        <v>428</v>
      </c>
      <c r="EI258" s="319" t="s">
        <v>428</v>
      </c>
      <c r="EJ258" s="319" t="s">
        <v>428</v>
      </c>
      <c r="EK258" s="319" t="s">
        <v>428</v>
      </c>
      <c r="EL258" s="319" t="s">
        <v>428</v>
      </c>
      <c r="EM258" s="319" t="s">
        <v>428</v>
      </c>
      <c r="EN258" s="319" t="s">
        <v>190</v>
      </c>
      <c r="EO258" s="319" t="s">
        <v>190</v>
      </c>
      <c r="EP258" s="319" t="s">
        <v>190</v>
      </c>
      <c r="EQ258" s="319" t="s">
        <v>190</v>
      </c>
      <c r="ER258" s="319" t="s">
        <v>190</v>
      </c>
      <c r="ES258" s="319" t="s">
        <v>190</v>
      </c>
      <c r="ET258" s="319" t="s">
        <v>190</v>
      </c>
      <c r="EU258" s="319" t="s">
        <v>190</v>
      </c>
      <c r="EV258" s="319" t="s">
        <v>190</v>
      </c>
      <c r="EW258" s="319" t="s">
        <v>190</v>
      </c>
      <c r="EX258" s="319" t="s">
        <v>190</v>
      </c>
      <c r="EY258" s="319" t="s">
        <v>190</v>
      </c>
      <c r="EZ258" s="319" t="s">
        <v>190</v>
      </c>
      <c r="FA258" s="319" t="s">
        <v>428</v>
      </c>
      <c r="FB258" s="319" t="s">
        <v>190</v>
      </c>
      <c r="FC258" s="319" t="s">
        <v>190</v>
      </c>
      <c r="FD258" s="319" t="s">
        <v>190</v>
      </c>
      <c r="FE258" s="319" t="s">
        <v>190</v>
      </c>
      <c r="FF258" s="319" t="s">
        <v>428</v>
      </c>
      <c r="FG258" s="319" t="s">
        <v>190</v>
      </c>
      <c r="FH258" s="319" t="s">
        <v>190</v>
      </c>
      <c r="FI258" s="319" t="s">
        <v>190</v>
      </c>
      <c r="FJ258" s="319" t="s">
        <v>190</v>
      </c>
      <c r="FK258" s="319" t="s">
        <v>190</v>
      </c>
      <c r="FL258" s="319" t="s">
        <v>190</v>
      </c>
      <c r="FM258" s="319" t="s">
        <v>190</v>
      </c>
      <c r="FN258" s="319" t="s">
        <v>190</v>
      </c>
      <c r="FO258" s="319" t="s">
        <v>190</v>
      </c>
      <c r="FP258" s="319" t="s">
        <v>190</v>
      </c>
      <c r="FQ258" s="319" t="s">
        <v>190</v>
      </c>
      <c r="FR258" s="319" t="s">
        <v>190</v>
      </c>
      <c r="FS258" s="319" t="s">
        <v>428</v>
      </c>
      <c r="FT258" s="319" t="s">
        <v>190</v>
      </c>
      <c r="FU258" s="319" t="s">
        <v>190</v>
      </c>
      <c r="FV258" s="319" t="s">
        <v>190</v>
      </c>
      <c r="FW258" s="319" t="s">
        <v>190</v>
      </c>
      <c r="FX258" s="319" t="s">
        <v>190</v>
      </c>
      <c r="FY258" s="319" t="s">
        <v>190</v>
      </c>
      <c r="FZ258" s="319" t="s">
        <v>190</v>
      </c>
      <c r="GA258" s="319" t="s">
        <v>190</v>
      </c>
      <c r="GB258" s="319" t="s">
        <v>190</v>
      </c>
      <c r="GC258" s="319" t="s">
        <v>190</v>
      </c>
      <c r="GD258" s="319" t="s">
        <v>190</v>
      </c>
      <c r="GE258" s="319" t="s">
        <v>190</v>
      </c>
      <c r="GF258" s="319" t="s">
        <v>190</v>
      </c>
      <c r="GG258" s="319" t="s">
        <v>190</v>
      </c>
      <c r="GH258" s="319" t="s">
        <v>190</v>
      </c>
      <c r="GI258" s="319" t="s">
        <v>190</v>
      </c>
      <c r="GJ258" s="319" t="s">
        <v>190</v>
      </c>
      <c r="GK258" s="319" t="s">
        <v>428</v>
      </c>
      <c r="GL258" s="319" t="s">
        <v>190</v>
      </c>
      <c r="GM258" s="319" t="s">
        <v>190</v>
      </c>
      <c r="GN258" s="319" t="s">
        <v>190</v>
      </c>
      <c r="GO258" s="319" t="s">
        <v>190</v>
      </c>
      <c r="GP258" s="319" t="s">
        <v>190</v>
      </c>
      <c r="GQ258" s="319" t="s">
        <v>428</v>
      </c>
      <c r="GR258" s="319" t="s">
        <v>190</v>
      </c>
      <c r="GS258" s="319" t="s">
        <v>190</v>
      </c>
      <c r="GT258" s="319" t="s">
        <v>190</v>
      </c>
      <c r="GU258" s="319" t="s">
        <v>190</v>
      </c>
      <c r="GV258" s="319" t="s">
        <v>428</v>
      </c>
      <c r="GW258" s="319" t="s">
        <v>190</v>
      </c>
      <c r="GX258" s="319" t="s">
        <v>190</v>
      </c>
      <c r="GY258" s="319" t="s">
        <v>190</v>
      </c>
      <c r="GZ258" s="319" t="s">
        <v>190</v>
      </c>
      <c r="HA258" s="319" t="s">
        <v>428</v>
      </c>
      <c r="HB258" s="319" t="s">
        <v>428</v>
      </c>
      <c r="HC258" s="319" t="s">
        <v>190</v>
      </c>
      <c r="HD258" s="319" t="s">
        <v>190</v>
      </c>
      <c r="HE258" s="319" t="s">
        <v>190</v>
      </c>
      <c r="HF258" s="319" t="s">
        <v>190</v>
      </c>
      <c r="HG258" s="319" t="s">
        <v>190</v>
      </c>
      <c r="HH258" s="319" t="s">
        <v>190</v>
      </c>
      <c r="HI258" s="319" t="s">
        <v>190</v>
      </c>
      <c r="HJ258" s="319" t="s">
        <v>190</v>
      </c>
      <c r="HK258" s="319" t="s">
        <v>190</v>
      </c>
      <c r="HL258" s="319" t="s">
        <v>428</v>
      </c>
      <c r="HM258" s="319" t="s">
        <v>428</v>
      </c>
      <c r="HN258" s="319" t="s">
        <v>428</v>
      </c>
      <c r="HO258" s="319" t="s">
        <v>428</v>
      </c>
      <c r="HP258" s="319" t="s">
        <v>190</v>
      </c>
      <c r="HQ258" s="319" t="s">
        <v>190</v>
      </c>
      <c r="HR258" s="319" t="s">
        <v>190</v>
      </c>
      <c r="HS258" s="319" t="s">
        <v>190</v>
      </c>
      <c r="HT258" s="319" t="s">
        <v>190</v>
      </c>
      <c r="HU258" s="319" t="s">
        <v>190</v>
      </c>
      <c r="HV258" s="319" t="s">
        <v>190</v>
      </c>
      <c r="HW258" s="319" t="s">
        <v>190</v>
      </c>
      <c r="HX258" s="319" t="s">
        <v>190</v>
      </c>
      <c r="HY258" s="319" t="s">
        <v>190</v>
      </c>
      <c r="HZ258" s="319" t="s">
        <v>190</v>
      </c>
      <c r="IA258" s="319" t="s">
        <v>190</v>
      </c>
      <c r="IB258" s="319" t="s">
        <v>190</v>
      </c>
      <c r="IC258" s="319" t="s">
        <v>190</v>
      </c>
      <c r="ID258" s="319" t="s">
        <v>190</v>
      </c>
      <c r="IE258" s="319" t="s">
        <v>190</v>
      </c>
      <c r="IF258" s="319" t="s">
        <v>190</v>
      </c>
      <c r="IG258" s="319" t="s">
        <v>190</v>
      </c>
      <c r="IH258" s="319" t="s">
        <v>190</v>
      </c>
      <c r="II258" s="319" t="s">
        <v>190</v>
      </c>
      <c r="IJ258" s="319">
        <v>10012928</v>
      </c>
      <c r="IK258" s="321">
        <v>42787</v>
      </c>
      <c r="IL258" s="321">
        <v>42789</v>
      </c>
      <c r="IM258" s="321">
        <v>42822</v>
      </c>
      <c r="IN258" s="319">
        <v>2</v>
      </c>
      <c r="IO258" s="319" t="s">
        <v>173</v>
      </c>
      <c r="IP258" s="319" t="s">
        <v>173</v>
      </c>
      <c r="IQ258" s="319" t="s">
        <v>173</v>
      </c>
      <c r="IR258" s="320" t="s">
        <v>173</v>
      </c>
      <c r="IS258" s="320" t="s">
        <v>173</v>
      </c>
      <c r="IT258" s="319" t="s">
        <v>173</v>
      </c>
    </row>
    <row r="259" spans="1:254" s="271" customFormat="1" x14ac:dyDescent="0.25">
      <c r="A259" s="318" t="str">
        <f>HYPERLINK("http://www.ofsted.gov.uk/inspection-reports/find-inspection-report/provider/ELS/129511 ","Ofsted School Webpage")</f>
        <v>Ofsted School Webpage</v>
      </c>
      <c r="B259" s="319">
        <v>129511</v>
      </c>
      <c r="C259" s="319">
        <v>9266154</v>
      </c>
      <c r="D259" s="319" t="s">
        <v>1565</v>
      </c>
      <c r="E259" s="319" t="s">
        <v>167</v>
      </c>
      <c r="F259" s="319" t="s">
        <v>81</v>
      </c>
      <c r="G259" s="319" t="s">
        <v>81</v>
      </c>
      <c r="H259" s="319" t="s">
        <v>81</v>
      </c>
      <c r="I259" s="319" t="s">
        <v>78</v>
      </c>
      <c r="J259" s="319" t="s">
        <v>424</v>
      </c>
      <c r="K259" s="319" t="s">
        <v>451</v>
      </c>
      <c r="L259" s="319" t="s">
        <v>451</v>
      </c>
      <c r="M259" s="319" t="s">
        <v>463</v>
      </c>
      <c r="N259" s="319" t="s">
        <v>3061</v>
      </c>
      <c r="O259" s="319" t="s">
        <v>1566</v>
      </c>
      <c r="P259" s="319">
        <v>96</v>
      </c>
      <c r="Q259" s="319" t="s">
        <v>2776</v>
      </c>
      <c r="R259" s="320">
        <v>10094405</v>
      </c>
      <c r="S259" s="321">
        <v>43599</v>
      </c>
      <c r="T259" s="321">
        <v>43601</v>
      </c>
      <c r="U259" s="321">
        <v>43628</v>
      </c>
      <c r="V259" s="319" t="s">
        <v>425</v>
      </c>
      <c r="W259" s="319" t="s">
        <v>2767</v>
      </c>
      <c r="X259" s="319">
        <v>2</v>
      </c>
      <c r="Y259" s="319" t="s">
        <v>173</v>
      </c>
      <c r="Z259" s="319" t="s">
        <v>173</v>
      </c>
      <c r="AA259" s="319" t="s">
        <v>173</v>
      </c>
      <c r="AB259" s="319">
        <v>2</v>
      </c>
      <c r="AC259" s="319" t="s">
        <v>169</v>
      </c>
      <c r="AD259" s="319">
        <v>2</v>
      </c>
      <c r="AE259" s="319">
        <v>2</v>
      </c>
      <c r="AF259" s="319" t="s">
        <v>427</v>
      </c>
      <c r="AG259" s="319" t="s">
        <v>171</v>
      </c>
      <c r="AH259" s="319" t="s">
        <v>190</v>
      </c>
      <c r="AI259" s="319" t="s">
        <v>190</v>
      </c>
      <c r="AJ259" s="319" t="s">
        <v>190</v>
      </c>
      <c r="AK259" s="319" t="s">
        <v>190</v>
      </c>
      <c r="AL259" s="319" t="s">
        <v>190</v>
      </c>
      <c r="AM259" s="319" t="s">
        <v>190</v>
      </c>
      <c r="AN259" s="319" t="s">
        <v>190</v>
      </c>
      <c r="AO259" s="319" t="s">
        <v>190</v>
      </c>
      <c r="AP259" s="319" t="s">
        <v>190</v>
      </c>
      <c r="AQ259" s="319" t="s">
        <v>190</v>
      </c>
      <c r="AR259" s="319" t="s">
        <v>190</v>
      </c>
      <c r="AS259" s="319" t="s">
        <v>190</v>
      </c>
      <c r="AT259" s="319" t="s">
        <v>190</v>
      </c>
      <c r="AU259" s="319" t="s">
        <v>190</v>
      </c>
      <c r="AV259" s="319" t="s">
        <v>190</v>
      </c>
      <c r="AW259" s="319" t="s">
        <v>190</v>
      </c>
      <c r="AX259" s="319" t="s">
        <v>428</v>
      </c>
      <c r="AY259" s="319" t="s">
        <v>190</v>
      </c>
      <c r="AZ259" s="319" t="s">
        <v>190</v>
      </c>
      <c r="BA259" s="319" t="s">
        <v>190</v>
      </c>
      <c r="BB259" s="319" t="s">
        <v>190</v>
      </c>
      <c r="BC259" s="319" t="s">
        <v>190</v>
      </c>
      <c r="BD259" s="319" t="s">
        <v>190</v>
      </c>
      <c r="BE259" s="319" t="s">
        <v>190</v>
      </c>
      <c r="BF259" s="319" t="s">
        <v>190</v>
      </c>
      <c r="BG259" s="319" t="s">
        <v>190</v>
      </c>
      <c r="BH259" s="319" t="s">
        <v>190</v>
      </c>
      <c r="BI259" s="319" t="s">
        <v>190</v>
      </c>
      <c r="BJ259" s="319" t="s">
        <v>190</v>
      </c>
      <c r="BK259" s="319" t="s">
        <v>190</v>
      </c>
      <c r="BL259" s="319" t="s">
        <v>190</v>
      </c>
      <c r="BM259" s="319" t="s">
        <v>190</v>
      </c>
      <c r="BN259" s="319" t="s">
        <v>190</v>
      </c>
      <c r="BO259" s="319" t="s">
        <v>190</v>
      </c>
      <c r="BP259" s="319" t="s">
        <v>190</v>
      </c>
      <c r="BQ259" s="319" t="s">
        <v>190</v>
      </c>
      <c r="BR259" s="319" t="s">
        <v>190</v>
      </c>
      <c r="BS259" s="319" t="s">
        <v>190</v>
      </c>
      <c r="BT259" s="319" t="s">
        <v>190</v>
      </c>
      <c r="BU259" s="319" t="s">
        <v>190</v>
      </c>
      <c r="BV259" s="319" t="s">
        <v>190</v>
      </c>
      <c r="BW259" s="319" t="s">
        <v>190</v>
      </c>
      <c r="BX259" s="319" t="s">
        <v>190</v>
      </c>
      <c r="BY259" s="319" t="s">
        <v>190</v>
      </c>
      <c r="BZ259" s="319" t="s">
        <v>190</v>
      </c>
      <c r="CA259" s="319" t="s">
        <v>190</v>
      </c>
      <c r="CB259" s="319" t="s">
        <v>190</v>
      </c>
      <c r="CC259" s="319" t="s">
        <v>190</v>
      </c>
      <c r="CD259" s="319" t="s">
        <v>190</v>
      </c>
      <c r="CE259" s="319" t="s">
        <v>190</v>
      </c>
      <c r="CF259" s="319" t="s">
        <v>190</v>
      </c>
      <c r="CG259" s="319" t="s">
        <v>190</v>
      </c>
      <c r="CH259" s="319" t="s">
        <v>190</v>
      </c>
      <c r="CI259" s="319" t="s">
        <v>190</v>
      </c>
      <c r="CJ259" s="319" t="s">
        <v>190</v>
      </c>
      <c r="CK259" s="319" t="s">
        <v>190</v>
      </c>
      <c r="CL259" s="319" t="s">
        <v>190</v>
      </c>
      <c r="CM259" s="319" t="s">
        <v>190</v>
      </c>
      <c r="CN259" s="319" t="s">
        <v>428</v>
      </c>
      <c r="CO259" s="319" t="s">
        <v>428</v>
      </c>
      <c r="CP259" s="319" t="s">
        <v>428</v>
      </c>
      <c r="CQ259" s="319" t="s">
        <v>190</v>
      </c>
      <c r="CR259" s="319" t="s">
        <v>190</v>
      </c>
      <c r="CS259" s="319" t="s">
        <v>190</v>
      </c>
      <c r="CT259" s="319" t="s">
        <v>190</v>
      </c>
      <c r="CU259" s="319" t="s">
        <v>190</v>
      </c>
      <c r="CV259" s="319" t="s">
        <v>190</v>
      </c>
      <c r="CW259" s="319" t="s">
        <v>190</v>
      </c>
      <c r="CX259" s="319" t="s">
        <v>190</v>
      </c>
      <c r="CY259" s="319" t="s">
        <v>190</v>
      </c>
      <c r="CZ259" s="319" t="s">
        <v>190</v>
      </c>
      <c r="DA259" s="319" t="s">
        <v>190</v>
      </c>
      <c r="DB259" s="319" t="s">
        <v>190</v>
      </c>
      <c r="DC259" s="319" t="s">
        <v>190</v>
      </c>
      <c r="DD259" s="319" t="s">
        <v>190</v>
      </c>
      <c r="DE259" s="319" t="s">
        <v>190</v>
      </c>
      <c r="DF259" s="319" t="s">
        <v>190</v>
      </c>
      <c r="DG259" s="319" t="s">
        <v>190</v>
      </c>
      <c r="DH259" s="319" t="s">
        <v>190</v>
      </c>
      <c r="DI259" s="319" t="s">
        <v>190</v>
      </c>
      <c r="DJ259" s="319" t="s">
        <v>190</v>
      </c>
      <c r="DK259" s="319" t="s">
        <v>190</v>
      </c>
      <c r="DL259" s="319" t="s">
        <v>190</v>
      </c>
      <c r="DM259" s="319" t="s">
        <v>190</v>
      </c>
      <c r="DN259" s="319" t="s">
        <v>428</v>
      </c>
      <c r="DO259" s="319" t="s">
        <v>190</v>
      </c>
      <c r="DP259" s="319" t="s">
        <v>428</v>
      </c>
      <c r="DQ259" s="319" t="s">
        <v>428</v>
      </c>
      <c r="DR259" s="319" t="s">
        <v>428</v>
      </c>
      <c r="DS259" s="319" t="s">
        <v>428</v>
      </c>
      <c r="DT259" s="319" t="s">
        <v>428</v>
      </c>
      <c r="DU259" s="319" t="s">
        <v>428</v>
      </c>
      <c r="DV259" s="319" t="s">
        <v>173</v>
      </c>
      <c r="DW259" s="319" t="s">
        <v>428</v>
      </c>
      <c r="DX259" s="319" t="s">
        <v>428</v>
      </c>
      <c r="DY259" s="319" t="s">
        <v>428</v>
      </c>
      <c r="DZ259" s="319" t="s">
        <v>428</v>
      </c>
      <c r="EA259" s="319" t="s">
        <v>428</v>
      </c>
      <c r="EB259" s="319" t="s">
        <v>428</v>
      </c>
      <c r="EC259" s="319" t="s">
        <v>428</v>
      </c>
      <c r="ED259" s="319" t="s">
        <v>428</v>
      </c>
      <c r="EE259" s="319" t="s">
        <v>190</v>
      </c>
      <c r="EF259" s="319" t="s">
        <v>190</v>
      </c>
      <c r="EG259" s="319" t="s">
        <v>190</v>
      </c>
      <c r="EH259" s="319" t="s">
        <v>190</v>
      </c>
      <c r="EI259" s="319" t="s">
        <v>190</v>
      </c>
      <c r="EJ259" s="319" t="s">
        <v>190</v>
      </c>
      <c r="EK259" s="319" t="s">
        <v>190</v>
      </c>
      <c r="EL259" s="319" t="s">
        <v>190</v>
      </c>
      <c r="EM259" s="319" t="s">
        <v>190</v>
      </c>
      <c r="EN259" s="319" t="s">
        <v>190</v>
      </c>
      <c r="EO259" s="319" t="s">
        <v>190</v>
      </c>
      <c r="EP259" s="319" t="s">
        <v>190</v>
      </c>
      <c r="EQ259" s="319" t="s">
        <v>190</v>
      </c>
      <c r="ER259" s="319" t="s">
        <v>190</v>
      </c>
      <c r="ES259" s="319" t="s">
        <v>190</v>
      </c>
      <c r="ET259" s="319" t="s">
        <v>190</v>
      </c>
      <c r="EU259" s="319" t="s">
        <v>190</v>
      </c>
      <c r="EV259" s="319" t="s">
        <v>190</v>
      </c>
      <c r="EW259" s="319" t="s">
        <v>190</v>
      </c>
      <c r="EX259" s="319" t="s">
        <v>190</v>
      </c>
      <c r="EY259" s="319" t="s">
        <v>190</v>
      </c>
      <c r="EZ259" s="319" t="s">
        <v>190</v>
      </c>
      <c r="FA259" s="319" t="s">
        <v>190</v>
      </c>
      <c r="FB259" s="319" t="s">
        <v>428</v>
      </c>
      <c r="FC259" s="319" t="s">
        <v>428</v>
      </c>
      <c r="FD259" s="319" t="s">
        <v>428</v>
      </c>
      <c r="FE259" s="319" t="s">
        <v>428</v>
      </c>
      <c r="FF259" s="319" t="s">
        <v>428</v>
      </c>
      <c r="FG259" s="319" t="s">
        <v>428</v>
      </c>
      <c r="FH259" s="319" t="s">
        <v>190</v>
      </c>
      <c r="FI259" s="319" t="s">
        <v>190</v>
      </c>
      <c r="FJ259" s="319" t="s">
        <v>190</v>
      </c>
      <c r="FK259" s="319" t="s">
        <v>190</v>
      </c>
      <c r="FL259" s="319" t="s">
        <v>190</v>
      </c>
      <c r="FM259" s="319" t="s">
        <v>190</v>
      </c>
      <c r="FN259" s="319" t="s">
        <v>190</v>
      </c>
      <c r="FO259" s="319" t="s">
        <v>190</v>
      </c>
      <c r="FP259" s="319" t="s">
        <v>190</v>
      </c>
      <c r="FQ259" s="319" t="s">
        <v>190</v>
      </c>
      <c r="FR259" s="319" t="s">
        <v>190</v>
      </c>
      <c r="FS259" s="319" t="s">
        <v>428</v>
      </c>
      <c r="FT259" s="319" t="s">
        <v>190</v>
      </c>
      <c r="FU259" s="319" t="s">
        <v>190</v>
      </c>
      <c r="FV259" s="319" t="s">
        <v>190</v>
      </c>
      <c r="FW259" s="319" t="s">
        <v>190</v>
      </c>
      <c r="FX259" s="319" t="s">
        <v>190</v>
      </c>
      <c r="FY259" s="319" t="s">
        <v>190</v>
      </c>
      <c r="FZ259" s="319" t="s">
        <v>190</v>
      </c>
      <c r="GA259" s="319" t="s">
        <v>190</v>
      </c>
      <c r="GB259" s="319" t="s">
        <v>190</v>
      </c>
      <c r="GC259" s="319" t="s">
        <v>190</v>
      </c>
      <c r="GD259" s="319" t="s">
        <v>190</v>
      </c>
      <c r="GE259" s="319" t="s">
        <v>190</v>
      </c>
      <c r="GF259" s="319" t="s">
        <v>190</v>
      </c>
      <c r="GG259" s="319" t="s">
        <v>190</v>
      </c>
      <c r="GH259" s="319" t="s">
        <v>190</v>
      </c>
      <c r="GI259" s="319" t="s">
        <v>190</v>
      </c>
      <c r="GJ259" s="319" t="s">
        <v>190</v>
      </c>
      <c r="GK259" s="319" t="s">
        <v>428</v>
      </c>
      <c r="GL259" s="319" t="s">
        <v>190</v>
      </c>
      <c r="GM259" s="319" t="s">
        <v>190</v>
      </c>
      <c r="GN259" s="319" t="s">
        <v>190</v>
      </c>
      <c r="GO259" s="319" t="s">
        <v>190</v>
      </c>
      <c r="GP259" s="319" t="s">
        <v>190</v>
      </c>
      <c r="GQ259" s="319" t="s">
        <v>428</v>
      </c>
      <c r="GR259" s="319" t="s">
        <v>190</v>
      </c>
      <c r="GS259" s="319" t="s">
        <v>190</v>
      </c>
      <c r="GT259" s="319" t="s">
        <v>190</v>
      </c>
      <c r="GU259" s="319" t="s">
        <v>190</v>
      </c>
      <c r="GV259" s="319" t="s">
        <v>190</v>
      </c>
      <c r="GW259" s="319" t="s">
        <v>190</v>
      </c>
      <c r="GX259" s="319" t="s">
        <v>190</v>
      </c>
      <c r="GY259" s="319" t="s">
        <v>190</v>
      </c>
      <c r="GZ259" s="319" t="s">
        <v>428</v>
      </c>
      <c r="HA259" s="319" t="s">
        <v>190</v>
      </c>
      <c r="HB259" s="319" t="s">
        <v>190</v>
      </c>
      <c r="HC259" s="319" t="s">
        <v>190</v>
      </c>
      <c r="HD259" s="319" t="s">
        <v>190</v>
      </c>
      <c r="HE259" s="319" t="s">
        <v>190</v>
      </c>
      <c r="HF259" s="319" t="s">
        <v>190</v>
      </c>
      <c r="HG259" s="319" t="s">
        <v>190</v>
      </c>
      <c r="HH259" s="319" t="s">
        <v>190</v>
      </c>
      <c r="HI259" s="319" t="s">
        <v>190</v>
      </c>
      <c r="HJ259" s="319" t="s">
        <v>190</v>
      </c>
      <c r="HK259" s="319" t="s">
        <v>190</v>
      </c>
      <c r="HL259" s="319" t="s">
        <v>190</v>
      </c>
      <c r="HM259" s="319" t="s">
        <v>190</v>
      </c>
      <c r="HN259" s="319" t="s">
        <v>190</v>
      </c>
      <c r="HO259" s="319" t="s">
        <v>190</v>
      </c>
      <c r="HP259" s="319" t="s">
        <v>190</v>
      </c>
      <c r="HQ259" s="319" t="s">
        <v>190</v>
      </c>
      <c r="HR259" s="319" t="s">
        <v>190</v>
      </c>
      <c r="HS259" s="319" t="s">
        <v>190</v>
      </c>
      <c r="HT259" s="319" t="s">
        <v>190</v>
      </c>
      <c r="HU259" s="319" t="s">
        <v>190</v>
      </c>
      <c r="HV259" s="319" t="s">
        <v>190</v>
      </c>
      <c r="HW259" s="319" t="s">
        <v>190</v>
      </c>
      <c r="HX259" s="319" t="s">
        <v>190</v>
      </c>
      <c r="HY259" s="319" t="s">
        <v>190</v>
      </c>
      <c r="HZ259" s="319" t="s">
        <v>190</v>
      </c>
      <c r="IA259" s="319" t="s">
        <v>190</v>
      </c>
      <c r="IB259" s="319" t="s">
        <v>190</v>
      </c>
      <c r="IC259" s="319" t="s">
        <v>190</v>
      </c>
      <c r="ID259" s="319" t="s">
        <v>190</v>
      </c>
      <c r="IE259" s="319" t="s">
        <v>190</v>
      </c>
      <c r="IF259" s="319" t="s">
        <v>190</v>
      </c>
      <c r="IG259" s="319" t="s">
        <v>190</v>
      </c>
      <c r="IH259" s="319" t="s">
        <v>190</v>
      </c>
      <c r="II259" s="319" t="s">
        <v>190</v>
      </c>
      <c r="IJ259" s="319" t="s">
        <v>173</v>
      </c>
      <c r="IK259" s="319" t="s">
        <v>173</v>
      </c>
      <c r="IL259" s="319" t="s">
        <v>173</v>
      </c>
      <c r="IM259" s="319" t="s">
        <v>173</v>
      </c>
      <c r="IN259" s="319" t="s">
        <v>173</v>
      </c>
      <c r="IO259" s="319" t="s">
        <v>173</v>
      </c>
      <c r="IP259" s="319" t="s">
        <v>173</v>
      </c>
      <c r="IQ259" s="321" t="s">
        <v>173</v>
      </c>
      <c r="IR259" s="320" t="s">
        <v>173</v>
      </c>
      <c r="IS259" s="322" t="s">
        <v>173</v>
      </c>
      <c r="IT259" s="319" t="s">
        <v>173</v>
      </c>
    </row>
    <row r="260" spans="1:254" s="271" customFormat="1" x14ac:dyDescent="0.25">
      <c r="A260" s="318" t="str">
        <f>HYPERLINK("http://www.ofsted.gov.uk/inspection-reports/find-inspection-report/provider/ELS/129571 ","Ofsted School Webpage")</f>
        <v>Ofsted School Webpage</v>
      </c>
      <c r="B260" s="319">
        <v>129571</v>
      </c>
      <c r="C260" s="319">
        <v>8886089</v>
      </c>
      <c r="D260" s="319" t="s">
        <v>480</v>
      </c>
      <c r="E260" s="319" t="s">
        <v>168</v>
      </c>
      <c r="F260" s="319" t="s">
        <v>81</v>
      </c>
      <c r="G260" s="319" t="s">
        <v>81</v>
      </c>
      <c r="H260" s="319" t="s">
        <v>81</v>
      </c>
      <c r="I260" s="319" t="s">
        <v>78</v>
      </c>
      <c r="J260" s="319" t="s">
        <v>424</v>
      </c>
      <c r="K260" s="319" t="s">
        <v>431</v>
      </c>
      <c r="L260" s="319" t="s">
        <v>431</v>
      </c>
      <c r="M260" s="319" t="s">
        <v>469</v>
      </c>
      <c r="N260" s="319" t="s">
        <v>3062</v>
      </c>
      <c r="O260" s="319" t="s">
        <v>481</v>
      </c>
      <c r="P260" s="319">
        <v>9</v>
      </c>
      <c r="Q260" s="319" t="s">
        <v>429</v>
      </c>
      <c r="R260" s="320">
        <v>10053725</v>
      </c>
      <c r="S260" s="321">
        <v>43368</v>
      </c>
      <c r="T260" s="321">
        <v>43370</v>
      </c>
      <c r="U260" s="321">
        <v>43391</v>
      </c>
      <c r="V260" s="319" t="s">
        <v>425</v>
      </c>
      <c r="W260" s="319" t="s">
        <v>2767</v>
      </c>
      <c r="X260" s="319">
        <v>2</v>
      </c>
      <c r="Y260" s="319" t="s">
        <v>173</v>
      </c>
      <c r="Z260" s="319" t="s">
        <v>173</v>
      </c>
      <c r="AA260" s="319" t="s">
        <v>173</v>
      </c>
      <c r="AB260" s="319">
        <v>2</v>
      </c>
      <c r="AC260" s="319" t="s">
        <v>169</v>
      </c>
      <c r="AD260" s="319" t="s">
        <v>173</v>
      </c>
      <c r="AE260" s="319" t="s">
        <v>173</v>
      </c>
      <c r="AF260" s="319" t="s">
        <v>427</v>
      </c>
      <c r="AG260" s="319" t="s">
        <v>171</v>
      </c>
      <c r="AH260" s="319" t="s">
        <v>190</v>
      </c>
      <c r="AI260" s="319" t="s">
        <v>190</v>
      </c>
      <c r="AJ260" s="319" t="s">
        <v>190</v>
      </c>
      <c r="AK260" s="319" t="s">
        <v>190</v>
      </c>
      <c r="AL260" s="319" t="s">
        <v>190</v>
      </c>
      <c r="AM260" s="319" t="s">
        <v>190</v>
      </c>
      <c r="AN260" s="319" t="s">
        <v>190</v>
      </c>
      <c r="AO260" s="319" t="s">
        <v>190</v>
      </c>
      <c r="AP260" s="319" t="s">
        <v>190</v>
      </c>
      <c r="AQ260" s="319" t="s">
        <v>190</v>
      </c>
      <c r="AR260" s="319" t="s">
        <v>190</v>
      </c>
      <c r="AS260" s="319" t="s">
        <v>190</v>
      </c>
      <c r="AT260" s="319" t="s">
        <v>190</v>
      </c>
      <c r="AU260" s="319" t="s">
        <v>190</v>
      </c>
      <c r="AV260" s="319" t="s">
        <v>190</v>
      </c>
      <c r="AW260" s="319" t="s">
        <v>190</v>
      </c>
      <c r="AX260" s="319" t="s">
        <v>428</v>
      </c>
      <c r="AY260" s="319" t="s">
        <v>190</v>
      </c>
      <c r="AZ260" s="319" t="s">
        <v>190</v>
      </c>
      <c r="BA260" s="319" t="s">
        <v>190</v>
      </c>
      <c r="BB260" s="319" t="s">
        <v>190</v>
      </c>
      <c r="BC260" s="319" t="s">
        <v>190</v>
      </c>
      <c r="BD260" s="319" t="s">
        <v>190</v>
      </c>
      <c r="BE260" s="319" t="s">
        <v>190</v>
      </c>
      <c r="BF260" s="319" t="s">
        <v>428</v>
      </c>
      <c r="BG260" s="319" t="s">
        <v>428</v>
      </c>
      <c r="BH260" s="319" t="s">
        <v>190</v>
      </c>
      <c r="BI260" s="319" t="s">
        <v>190</v>
      </c>
      <c r="BJ260" s="319" t="s">
        <v>190</v>
      </c>
      <c r="BK260" s="319" t="s">
        <v>190</v>
      </c>
      <c r="BL260" s="319" t="s">
        <v>190</v>
      </c>
      <c r="BM260" s="319" t="s">
        <v>190</v>
      </c>
      <c r="BN260" s="319" t="s">
        <v>190</v>
      </c>
      <c r="BO260" s="319" t="s">
        <v>190</v>
      </c>
      <c r="BP260" s="319" t="s">
        <v>190</v>
      </c>
      <c r="BQ260" s="319" t="s">
        <v>190</v>
      </c>
      <c r="BR260" s="319" t="s">
        <v>190</v>
      </c>
      <c r="BS260" s="319" t="s">
        <v>190</v>
      </c>
      <c r="BT260" s="319" t="s">
        <v>190</v>
      </c>
      <c r="BU260" s="319" t="s">
        <v>190</v>
      </c>
      <c r="BV260" s="319" t="s">
        <v>190</v>
      </c>
      <c r="BW260" s="319" t="s">
        <v>190</v>
      </c>
      <c r="BX260" s="319" t="s">
        <v>190</v>
      </c>
      <c r="BY260" s="319" t="s">
        <v>190</v>
      </c>
      <c r="BZ260" s="319" t="s">
        <v>190</v>
      </c>
      <c r="CA260" s="319" t="s">
        <v>190</v>
      </c>
      <c r="CB260" s="319" t="s">
        <v>190</v>
      </c>
      <c r="CC260" s="319" t="s">
        <v>190</v>
      </c>
      <c r="CD260" s="319" t="s">
        <v>190</v>
      </c>
      <c r="CE260" s="319" t="s">
        <v>190</v>
      </c>
      <c r="CF260" s="319" t="s">
        <v>190</v>
      </c>
      <c r="CG260" s="319" t="s">
        <v>190</v>
      </c>
      <c r="CH260" s="319" t="s">
        <v>190</v>
      </c>
      <c r="CI260" s="319" t="s">
        <v>190</v>
      </c>
      <c r="CJ260" s="319" t="s">
        <v>190</v>
      </c>
      <c r="CK260" s="319" t="s">
        <v>190</v>
      </c>
      <c r="CL260" s="319" t="s">
        <v>190</v>
      </c>
      <c r="CM260" s="319" t="s">
        <v>190</v>
      </c>
      <c r="CN260" s="319" t="s">
        <v>428</v>
      </c>
      <c r="CO260" s="319" t="s">
        <v>428</v>
      </c>
      <c r="CP260" s="319" t="s">
        <v>428</v>
      </c>
      <c r="CQ260" s="319" t="s">
        <v>190</v>
      </c>
      <c r="CR260" s="319" t="s">
        <v>190</v>
      </c>
      <c r="CS260" s="319" t="s">
        <v>190</v>
      </c>
      <c r="CT260" s="319" t="s">
        <v>190</v>
      </c>
      <c r="CU260" s="319" t="s">
        <v>190</v>
      </c>
      <c r="CV260" s="319" t="s">
        <v>190</v>
      </c>
      <c r="CW260" s="319" t="s">
        <v>190</v>
      </c>
      <c r="CX260" s="319" t="s">
        <v>190</v>
      </c>
      <c r="CY260" s="319" t="s">
        <v>190</v>
      </c>
      <c r="CZ260" s="319" t="s">
        <v>190</v>
      </c>
      <c r="DA260" s="319" t="s">
        <v>190</v>
      </c>
      <c r="DB260" s="319" t="s">
        <v>190</v>
      </c>
      <c r="DC260" s="319" t="s">
        <v>190</v>
      </c>
      <c r="DD260" s="319" t="s">
        <v>190</v>
      </c>
      <c r="DE260" s="319" t="s">
        <v>190</v>
      </c>
      <c r="DF260" s="319" t="s">
        <v>190</v>
      </c>
      <c r="DG260" s="319" t="s">
        <v>190</v>
      </c>
      <c r="DH260" s="319" t="s">
        <v>190</v>
      </c>
      <c r="DI260" s="319" t="s">
        <v>190</v>
      </c>
      <c r="DJ260" s="319" t="s">
        <v>190</v>
      </c>
      <c r="DK260" s="319" t="s">
        <v>190</v>
      </c>
      <c r="DL260" s="319" t="s">
        <v>190</v>
      </c>
      <c r="DM260" s="319" t="s">
        <v>190</v>
      </c>
      <c r="DN260" s="319" t="s">
        <v>428</v>
      </c>
      <c r="DO260" s="319" t="s">
        <v>190</v>
      </c>
      <c r="DP260" s="319" t="s">
        <v>190</v>
      </c>
      <c r="DQ260" s="319" t="s">
        <v>190</v>
      </c>
      <c r="DR260" s="319" t="s">
        <v>190</v>
      </c>
      <c r="DS260" s="319" t="s">
        <v>190</v>
      </c>
      <c r="DT260" s="319" t="s">
        <v>190</v>
      </c>
      <c r="DU260" s="319" t="s">
        <v>190</v>
      </c>
      <c r="DV260" s="319" t="s">
        <v>173</v>
      </c>
      <c r="DW260" s="319" t="s">
        <v>190</v>
      </c>
      <c r="DX260" s="319" t="s">
        <v>190</v>
      </c>
      <c r="DY260" s="319" t="s">
        <v>190</v>
      </c>
      <c r="DZ260" s="319" t="s">
        <v>190</v>
      </c>
      <c r="EA260" s="319" t="s">
        <v>190</v>
      </c>
      <c r="EB260" s="319" t="s">
        <v>190</v>
      </c>
      <c r="EC260" s="319" t="s">
        <v>428</v>
      </c>
      <c r="ED260" s="319" t="s">
        <v>190</v>
      </c>
      <c r="EE260" s="319" t="s">
        <v>190</v>
      </c>
      <c r="EF260" s="319" t="s">
        <v>190</v>
      </c>
      <c r="EG260" s="319" t="s">
        <v>190</v>
      </c>
      <c r="EH260" s="319" t="s">
        <v>190</v>
      </c>
      <c r="EI260" s="319" t="s">
        <v>190</v>
      </c>
      <c r="EJ260" s="319" t="s">
        <v>190</v>
      </c>
      <c r="EK260" s="319" t="s">
        <v>190</v>
      </c>
      <c r="EL260" s="319" t="s">
        <v>190</v>
      </c>
      <c r="EM260" s="319" t="s">
        <v>190</v>
      </c>
      <c r="EN260" s="319" t="s">
        <v>190</v>
      </c>
      <c r="EO260" s="319" t="s">
        <v>190</v>
      </c>
      <c r="EP260" s="319" t="s">
        <v>190</v>
      </c>
      <c r="EQ260" s="319" t="s">
        <v>190</v>
      </c>
      <c r="ER260" s="319" t="s">
        <v>190</v>
      </c>
      <c r="ES260" s="319" t="s">
        <v>190</v>
      </c>
      <c r="ET260" s="319" t="s">
        <v>190</v>
      </c>
      <c r="EU260" s="319" t="s">
        <v>190</v>
      </c>
      <c r="EV260" s="319" t="s">
        <v>190</v>
      </c>
      <c r="EW260" s="319" t="s">
        <v>190</v>
      </c>
      <c r="EX260" s="319" t="s">
        <v>190</v>
      </c>
      <c r="EY260" s="319" t="s">
        <v>190</v>
      </c>
      <c r="EZ260" s="319" t="s">
        <v>190</v>
      </c>
      <c r="FA260" s="319" t="s">
        <v>190</v>
      </c>
      <c r="FB260" s="319" t="s">
        <v>190</v>
      </c>
      <c r="FC260" s="319" t="s">
        <v>190</v>
      </c>
      <c r="FD260" s="319" t="s">
        <v>190</v>
      </c>
      <c r="FE260" s="319" t="s">
        <v>190</v>
      </c>
      <c r="FF260" s="319" t="s">
        <v>190</v>
      </c>
      <c r="FG260" s="319" t="s">
        <v>190</v>
      </c>
      <c r="FH260" s="319" t="s">
        <v>190</v>
      </c>
      <c r="FI260" s="319" t="s">
        <v>190</v>
      </c>
      <c r="FJ260" s="319" t="s">
        <v>190</v>
      </c>
      <c r="FK260" s="319" t="s">
        <v>190</v>
      </c>
      <c r="FL260" s="319" t="s">
        <v>190</v>
      </c>
      <c r="FM260" s="319" t="s">
        <v>190</v>
      </c>
      <c r="FN260" s="319" t="s">
        <v>190</v>
      </c>
      <c r="FO260" s="319" t="s">
        <v>190</v>
      </c>
      <c r="FP260" s="319" t="s">
        <v>190</v>
      </c>
      <c r="FQ260" s="319" t="s">
        <v>190</v>
      </c>
      <c r="FR260" s="319" t="s">
        <v>190</v>
      </c>
      <c r="FS260" s="319" t="s">
        <v>190</v>
      </c>
      <c r="FT260" s="319" t="s">
        <v>190</v>
      </c>
      <c r="FU260" s="319" t="s">
        <v>190</v>
      </c>
      <c r="FV260" s="319" t="s">
        <v>190</v>
      </c>
      <c r="FW260" s="319" t="s">
        <v>190</v>
      </c>
      <c r="FX260" s="319" t="s">
        <v>190</v>
      </c>
      <c r="FY260" s="319" t="s">
        <v>190</v>
      </c>
      <c r="FZ260" s="319" t="s">
        <v>190</v>
      </c>
      <c r="GA260" s="319" t="s">
        <v>190</v>
      </c>
      <c r="GB260" s="319" t="s">
        <v>190</v>
      </c>
      <c r="GC260" s="319" t="s">
        <v>190</v>
      </c>
      <c r="GD260" s="319" t="s">
        <v>190</v>
      </c>
      <c r="GE260" s="319" t="s">
        <v>190</v>
      </c>
      <c r="GF260" s="319" t="s">
        <v>190</v>
      </c>
      <c r="GG260" s="319" t="s">
        <v>190</v>
      </c>
      <c r="GH260" s="319" t="s">
        <v>190</v>
      </c>
      <c r="GI260" s="319" t="s">
        <v>190</v>
      </c>
      <c r="GJ260" s="319" t="s">
        <v>190</v>
      </c>
      <c r="GK260" s="319" t="s">
        <v>428</v>
      </c>
      <c r="GL260" s="319" t="s">
        <v>190</v>
      </c>
      <c r="GM260" s="319" t="s">
        <v>190</v>
      </c>
      <c r="GN260" s="319" t="s">
        <v>190</v>
      </c>
      <c r="GO260" s="319" t="s">
        <v>190</v>
      </c>
      <c r="GP260" s="319" t="s">
        <v>190</v>
      </c>
      <c r="GQ260" s="319" t="s">
        <v>190</v>
      </c>
      <c r="GR260" s="319" t="s">
        <v>190</v>
      </c>
      <c r="GS260" s="319" t="s">
        <v>190</v>
      </c>
      <c r="GT260" s="319" t="s">
        <v>190</v>
      </c>
      <c r="GU260" s="319" t="s">
        <v>190</v>
      </c>
      <c r="GV260" s="319" t="s">
        <v>190</v>
      </c>
      <c r="GW260" s="319" t="s">
        <v>190</v>
      </c>
      <c r="GX260" s="319" t="s">
        <v>190</v>
      </c>
      <c r="GY260" s="319" t="s">
        <v>190</v>
      </c>
      <c r="GZ260" s="319" t="s">
        <v>190</v>
      </c>
      <c r="HA260" s="319" t="s">
        <v>190</v>
      </c>
      <c r="HB260" s="319" t="s">
        <v>190</v>
      </c>
      <c r="HC260" s="319" t="s">
        <v>190</v>
      </c>
      <c r="HD260" s="319" t="s">
        <v>190</v>
      </c>
      <c r="HE260" s="319" t="s">
        <v>190</v>
      </c>
      <c r="HF260" s="319" t="s">
        <v>190</v>
      </c>
      <c r="HG260" s="319" t="s">
        <v>190</v>
      </c>
      <c r="HH260" s="319" t="s">
        <v>190</v>
      </c>
      <c r="HI260" s="319" t="s">
        <v>190</v>
      </c>
      <c r="HJ260" s="319" t="s">
        <v>190</v>
      </c>
      <c r="HK260" s="319" t="s">
        <v>190</v>
      </c>
      <c r="HL260" s="319" t="s">
        <v>190</v>
      </c>
      <c r="HM260" s="319" t="s">
        <v>190</v>
      </c>
      <c r="HN260" s="319" t="s">
        <v>190</v>
      </c>
      <c r="HO260" s="319" t="s">
        <v>190</v>
      </c>
      <c r="HP260" s="319" t="s">
        <v>190</v>
      </c>
      <c r="HQ260" s="319" t="s">
        <v>190</v>
      </c>
      <c r="HR260" s="319" t="s">
        <v>190</v>
      </c>
      <c r="HS260" s="319" t="s">
        <v>190</v>
      </c>
      <c r="HT260" s="319" t="s">
        <v>190</v>
      </c>
      <c r="HU260" s="319" t="s">
        <v>190</v>
      </c>
      <c r="HV260" s="319" t="s">
        <v>190</v>
      </c>
      <c r="HW260" s="319" t="s">
        <v>190</v>
      </c>
      <c r="HX260" s="319" t="s">
        <v>190</v>
      </c>
      <c r="HY260" s="319" t="s">
        <v>190</v>
      </c>
      <c r="HZ260" s="319" t="s">
        <v>190</v>
      </c>
      <c r="IA260" s="319" t="s">
        <v>190</v>
      </c>
      <c r="IB260" s="319" t="s">
        <v>190</v>
      </c>
      <c r="IC260" s="319" t="s">
        <v>190</v>
      </c>
      <c r="ID260" s="319" t="s">
        <v>190</v>
      </c>
      <c r="IE260" s="319" t="s">
        <v>190</v>
      </c>
      <c r="IF260" s="319" t="s">
        <v>190</v>
      </c>
      <c r="IG260" s="319" t="s">
        <v>190</v>
      </c>
      <c r="IH260" s="319" t="s">
        <v>190</v>
      </c>
      <c r="II260" s="319" t="s">
        <v>190</v>
      </c>
      <c r="IJ260" s="319">
        <v>10006076</v>
      </c>
      <c r="IK260" s="321">
        <v>42661</v>
      </c>
      <c r="IL260" s="321">
        <v>42663</v>
      </c>
      <c r="IM260" s="321">
        <v>42705</v>
      </c>
      <c r="IN260" s="319">
        <v>3</v>
      </c>
      <c r="IO260" s="319" t="s">
        <v>173</v>
      </c>
      <c r="IP260" s="319" t="s">
        <v>173</v>
      </c>
      <c r="IQ260" s="319" t="s">
        <v>173</v>
      </c>
      <c r="IR260" s="320" t="s">
        <v>173</v>
      </c>
      <c r="IS260" s="320" t="s">
        <v>173</v>
      </c>
      <c r="IT260" s="319" t="s">
        <v>173</v>
      </c>
    </row>
    <row r="261" spans="1:254" s="271" customFormat="1" x14ac:dyDescent="0.25">
      <c r="A261" s="318" t="str">
        <f>HYPERLINK("http://www.ofsted.gov.uk/inspection-reports/find-inspection-report/provider/ELS/130239 ","Ofsted School Webpage")</f>
        <v>Ofsted School Webpage</v>
      </c>
      <c r="B261" s="319">
        <v>130239</v>
      </c>
      <c r="C261" s="319">
        <v>2056402</v>
      </c>
      <c r="D261" s="319" t="s">
        <v>1567</v>
      </c>
      <c r="E261" s="319" t="s">
        <v>167</v>
      </c>
      <c r="F261" s="319" t="s">
        <v>81</v>
      </c>
      <c r="G261" s="319" t="s">
        <v>59</v>
      </c>
      <c r="H261" s="319" t="s">
        <v>59</v>
      </c>
      <c r="I261" s="319" t="s">
        <v>59</v>
      </c>
      <c r="J261" s="319" t="s">
        <v>424</v>
      </c>
      <c r="K261" s="319" t="s">
        <v>441</v>
      </c>
      <c r="L261" s="319" t="s">
        <v>441</v>
      </c>
      <c r="M261" s="319" t="s">
        <v>768</v>
      </c>
      <c r="N261" s="319" t="s">
        <v>2786</v>
      </c>
      <c r="O261" s="319" t="s">
        <v>1568</v>
      </c>
      <c r="P261" s="319">
        <v>439</v>
      </c>
      <c r="Q261" s="319" t="s">
        <v>2766</v>
      </c>
      <c r="R261" s="320">
        <v>10038159</v>
      </c>
      <c r="S261" s="321">
        <v>43165</v>
      </c>
      <c r="T261" s="321">
        <v>43167</v>
      </c>
      <c r="U261" s="321">
        <v>43220</v>
      </c>
      <c r="V261" s="319" t="s">
        <v>425</v>
      </c>
      <c r="W261" s="319" t="s">
        <v>2767</v>
      </c>
      <c r="X261" s="319">
        <v>1</v>
      </c>
      <c r="Y261" s="319" t="s">
        <v>173</v>
      </c>
      <c r="Z261" s="319" t="s">
        <v>173</v>
      </c>
      <c r="AA261" s="319" t="s">
        <v>173</v>
      </c>
      <c r="AB261" s="319">
        <v>1</v>
      </c>
      <c r="AC261" s="319" t="s">
        <v>169</v>
      </c>
      <c r="AD261" s="319">
        <v>1</v>
      </c>
      <c r="AE261" s="319" t="s">
        <v>173</v>
      </c>
      <c r="AF261" s="319" t="s">
        <v>427</v>
      </c>
      <c r="AG261" s="319" t="s">
        <v>171</v>
      </c>
      <c r="AH261" s="319" t="s">
        <v>190</v>
      </c>
      <c r="AI261" s="319" t="s">
        <v>190</v>
      </c>
      <c r="AJ261" s="319" t="s">
        <v>190</v>
      </c>
      <c r="AK261" s="319" t="s">
        <v>190</v>
      </c>
      <c r="AL261" s="319" t="s">
        <v>190</v>
      </c>
      <c r="AM261" s="319" t="s">
        <v>190</v>
      </c>
      <c r="AN261" s="319" t="s">
        <v>190</v>
      </c>
      <c r="AO261" s="319" t="s">
        <v>190</v>
      </c>
      <c r="AP261" s="319" t="s">
        <v>190</v>
      </c>
      <c r="AQ261" s="319" t="s">
        <v>190</v>
      </c>
      <c r="AR261" s="319" t="s">
        <v>190</v>
      </c>
      <c r="AS261" s="319" t="s">
        <v>190</v>
      </c>
      <c r="AT261" s="319" t="s">
        <v>190</v>
      </c>
      <c r="AU261" s="319" t="s">
        <v>190</v>
      </c>
      <c r="AV261" s="319" t="s">
        <v>190</v>
      </c>
      <c r="AW261" s="319" t="s">
        <v>190</v>
      </c>
      <c r="AX261" s="319" t="s">
        <v>428</v>
      </c>
      <c r="AY261" s="319" t="s">
        <v>190</v>
      </c>
      <c r="AZ261" s="319" t="s">
        <v>190</v>
      </c>
      <c r="BA261" s="319" t="s">
        <v>190</v>
      </c>
      <c r="BB261" s="319" t="s">
        <v>428</v>
      </c>
      <c r="BC261" s="319" t="s">
        <v>428</v>
      </c>
      <c r="BD261" s="319" t="s">
        <v>428</v>
      </c>
      <c r="BE261" s="319" t="s">
        <v>428</v>
      </c>
      <c r="BF261" s="319" t="s">
        <v>190</v>
      </c>
      <c r="BG261" s="319" t="s">
        <v>428</v>
      </c>
      <c r="BH261" s="319" t="s">
        <v>190</v>
      </c>
      <c r="BI261" s="319" t="s">
        <v>190</v>
      </c>
      <c r="BJ261" s="319" t="s">
        <v>190</v>
      </c>
      <c r="BK261" s="319" t="s">
        <v>190</v>
      </c>
      <c r="BL261" s="319" t="s">
        <v>190</v>
      </c>
      <c r="BM261" s="319" t="s">
        <v>190</v>
      </c>
      <c r="BN261" s="319" t="s">
        <v>190</v>
      </c>
      <c r="BO261" s="319" t="s">
        <v>190</v>
      </c>
      <c r="BP261" s="319" t="s">
        <v>190</v>
      </c>
      <c r="BQ261" s="319" t="s">
        <v>190</v>
      </c>
      <c r="BR261" s="319" t="s">
        <v>190</v>
      </c>
      <c r="BS261" s="319" t="s">
        <v>190</v>
      </c>
      <c r="BT261" s="319" t="s">
        <v>190</v>
      </c>
      <c r="BU261" s="319" t="s">
        <v>190</v>
      </c>
      <c r="BV261" s="319" t="s">
        <v>190</v>
      </c>
      <c r="BW261" s="319" t="s">
        <v>190</v>
      </c>
      <c r="BX261" s="319" t="s">
        <v>190</v>
      </c>
      <c r="BY261" s="319" t="s">
        <v>190</v>
      </c>
      <c r="BZ261" s="319" t="s">
        <v>190</v>
      </c>
      <c r="CA261" s="319" t="s">
        <v>190</v>
      </c>
      <c r="CB261" s="319" t="s">
        <v>190</v>
      </c>
      <c r="CC261" s="319" t="s">
        <v>190</v>
      </c>
      <c r="CD261" s="319" t="s">
        <v>190</v>
      </c>
      <c r="CE261" s="319" t="s">
        <v>190</v>
      </c>
      <c r="CF261" s="319" t="s">
        <v>190</v>
      </c>
      <c r="CG261" s="319" t="s">
        <v>190</v>
      </c>
      <c r="CH261" s="319" t="s">
        <v>190</v>
      </c>
      <c r="CI261" s="319" t="s">
        <v>190</v>
      </c>
      <c r="CJ261" s="319" t="s">
        <v>190</v>
      </c>
      <c r="CK261" s="319" t="s">
        <v>190</v>
      </c>
      <c r="CL261" s="319" t="s">
        <v>190</v>
      </c>
      <c r="CM261" s="319" t="s">
        <v>190</v>
      </c>
      <c r="CN261" s="319" t="s">
        <v>428</v>
      </c>
      <c r="CO261" s="319" t="s">
        <v>428</v>
      </c>
      <c r="CP261" s="319" t="s">
        <v>428</v>
      </c>
      <c r="CQ261" s="319" t="s">
        <v>190</v>
      </c>
      <c r="CR261" s="319" t="s">
        <v>190</v>
      </c>
      <c r="CS261" s="319" t="s">
        <v>190</v>
      </c>
      <c r="CT261" s="319" t="s">
        <v>190</v>
      </c>
      <c r="CU261" s="319" t="s">
        <v>190</v>
      </c>
      <c r="CV261" s="319" t="s">
        <v>190</v>
      </c>
      <c r="CW261" s="319" t="s">
        <v>190</v>
      </c>
      <c r="CX261" s="319" t="s">
        <v>190</v>
      </c>
      <c r="CY261" s="319" t="s">
        <v>190</v>
      </c>
      <c r="CZ261" s="319" t="s">
        <v>190</v>
      </c>
      <c r="DA261" s="319" t="s">
        <v>190</v>
      </c>
      <c r="DB261" s="319" t="s">
        <v>190</v>
      </c>
      <c r="DC261" s="319" t="s">
        <v>190</v>
      </c>
      <c r="DD261" s="319" t="s">
        <v>190</v>
      </c>
      <c r="DE261" s="319" t="s">
        <v>190</v>
      </c>
      <c r="DF261" s="319" t="s">
        <v>190</v>
      </c>
      <c r="DG261" s="319" t="s">
        <v>190</v>
      </c>
      <c r="DH261" s="319" t="s">
        <v>190</v>
      </c>
      <c r="DI261" s="319" t="s">
        <v>190</v>
      </c>
      <c r="DJ261" s="319" t="s">
        <v>190</v>
      </c>
      <c r="DK261" s="319" t="s">
        <v>190</v>
      </c>
      <c r="DL261" s="319" t="s">
        <v>190</v>
      </c>
      <c r="DM261" s="319" t="s">
        <v>190</v>
      </c>
      <c r="DN261" s="319" t="s">
        <v>428</v>
      </c>
      <c r="DO261" s="319" t="s">
        <v>190</v>
      </c>
      <c r="DP261" s="319" t="s">
        <v>190</v>
      </c>
      <c r="DQ261" s="319" t="s">
        <v>190</v>
      </c>
      <c r="DR261" s="319" t="s">
        <v>190</v>
      </c>
      <c r="DS261" s="319" t="s">
        <v>190</v>
      </c>
      <c r="DT261" s="319" t="s">
        <v>190</v>
      </c>
      <c r="DU261" s="319" t="s">
        <v>190</v>
      </c>
      <c r="DV261" s="319" t="s">
        <v>173</v>
      </c>
      <c r="DW261" s="319" t="s">
        <v>190</v>
      </c>
      <c r="DX261" s="319" t="s">
        <v>190</v>
      </c>
      <c r="DY261" s="319" t="s">
        <v>190</v>
      </c>
      <c r="DZ261" s="319" t="s">
        <v>190</v>
      </c>
      <c r="EA261" s="319" t="s">
        <v>190</v>
      </c>
      <c r="EB261" s="319" t="s">
        <v>190</v>
      </c>
      <c r="EC261" s="319" t="s">
        <v>428</v>
      </c>
      <c r="ED261" s="319" t="s">
        <v>190</v>
      </c>
      <c r="EE261" s="319" t="s">
        <v>190</v>
      </c>
      <c r="EF261" s="319" t="s">
        <v>190</v>
      </c>
      <c r="EG261" s="319" t="s">
        <v>190</v>
      </c>
      <c r="EH261" s="319" t="s">
        <v>190</v>
      </c>
      <c r="EI261" s="319" t="s">
        <v>190</v>
      </c>
      <c r="EJ261" s="319" t="s">
        <v>190</v>
      </c>
      <c r="EK261" s="319" t="s">
        <v>190</v>
      </c>
      <c r="EL261" s="319" t="s">
        <v>190</v>
      </c>
      <c r="EM261" s="319" t="s">
        <v>190</v>
      </c>
      <c r="EN261" s="319" t="s">
        <v>190</v>
      </c>
      <c r="EO261" s="319" t="s">
        <v>190</v>
      </c>
      <c r="EP261" s="319" t="s">
        <v>190</v>
      </c>
      <c r="EQ261" s="319" t="s">
        <v>190</v>
      </c>
      <c r="ER261" s="319" t="s">
        <v>190</v>
      </c>
      <c r="ES261" s="319" t="s">
        <v>190</v>
      </c>
      <c r="ET261" s="319" t="s">
        <v>190</v>
      </c>
      <c r="EU261" s="319" t="s">
        <v>190</v>
      </c>
      <c r="EV261" s="319" t="s">
        <v>190</v>
      </c>
      <c r="EW261" s="319" t="s">
        <v>190</v>
      </c>
      <c r="EX261" s="319" t="s">
        <v>190</v>
      </c>
      <c r="EY261" s="319" t="s">
        <v>190</v>
      </c>
      <c r="EZ261" s="319" t="s">
        <v>190</v>
      </c>
      <c r="FA261" s="319" t="s">
        <v>190</v>
      </c>
      <c r="FB261" s="319" t="s">
        <v>190</v>
      </c>
      <c r="FC261" s="319" t="s">
        <v>190</v>
      </c>
      <c r="FD261" s="319" t="s">
        <v>190</v>
      </c>
      <c r="FE261" s="319" t="s">
        <v>190</v>
      </c>
      <c r="FF261" s="319" t="s">
        <v>190</v>
      </c>
      <c r="FG261" s="319" t="s">
        <v>190</v>
      </c>
      <c r="FH261" s="319" t="s">
        <v>190</v>
      </c>
      <c r="FI261" s="319" t="s">
        <v>190</v>
      </c>
      <c r="FJ261" s="319" t="s">
        <v>190</v>
      </c>
      <c r="FK261" s="319" t="s">
        <v>190</v>
      </c>
      <c r="FL261" s="319" t="s">
        <v>190</v>
      </c>
      <c r="FM261" s="319" t="s">
        <v>190</v>
      </c>
      <c r="FN261" s="319" t="s">
        <v>190</v>
      </c>
      <c r="FO261" s="319" t="s">
        <v>428</v>
      </c>
      <c r="FP261" s="319" t="s">
        <v>190</v>
      </c>
      <c r="FQ261" s="319" t="s">
        <v>190</v>
      </c>
      <c r="FR261" s="319" t="s">
        <v>190</v>
      </c>
      <c r="FS261" s="319" t="s">
        <v>190</v>
      </c>
      <c r="FT261" s="319" t="s">
        <v>190</v>
      </c>
      <c r="FU261" s="319" t="s">
        <v>190</v>
      </c>
      <c r="FV261" s="319" t="s">
        <v>190</v>
      </c>
      <c r="FW261" s="319" t="s">
        <v>190</v>
      </c>
      <c r="FX261" s="319" t="s">
        <v>190</v>
      </c>
      <c r="FY261" s="319" t="s">
        <v>190</v>
      </c>
      <c r="FZ261" s="319" t="s">
        <v>190</v>
      </c>
      <c r="GA261" s="319" t="s">
        <v>190</v>
      </c>
      <c r="GB261" s="319" t="s">
        <v>190</v>
      </c>
      <c r="GC261" s="319" t="s">
        <v>190</v>
      </c>
      <c r="GD261" s="319" t="s">
        <v>190</v>
      </c>
      <c r="GE261" s="319" t="s">
        <v>190</v>
      </c>
      <c r="GF261" s="319" t="s">
        <v>190</v>
      </c>
      <c r="GG261" s="319" t="s">
        <v>190</v>
      </c>
      <c r="GH261" s="319" t="s">
        <v>190</v>
      </c>
      <c r="GI261" s="319" t="s">
        <v>190</v>
      </c>
      <c r="GJ261" s="319" t="s">
        <v>190</v>
      </c>
      <c r="GK261" s="319" t="s">
        <v>428</v>
      </c>
      <c r="GL261" s="319" t="s">
        <v>190</v>
      </c>
      <c r="GM261" s="319" t="s">
        <v>190</v>
      </c>
      <c r="GN261" s="319" t="s">
        <v>190</v>
      </c>
      <c r="GO261" s="319" t="s">
        <v>190</v>
      </c>
      <c r="GP261" s="319" t="s">
        <v>190</v>
      </c>
      <c r="GQ261" s="319" t="s">
        <v>190</v>
      </c>
      <c r="GR261" s="319" t="s">
        <v>190</v>
      </c>
      <c r="GS261" s="319" t="s">
        <v>190</v>
      </c>
      <c r="GT261" s="319" t="s">
        <v>428</v>
      </c>
      <c r="GU261" s="319" t="s">
        <v>428</v>
      </c>
      <c r="GV261" s="319" t="s">
        <v>190</v>
      </c>
      <c r="GW261" s="319" t="s">
        <v>190</v>
      </c>
      <c r="GX261" s="319" t="s">
        <v>190</v>
      </c>
      <c r="GY261" s="319" t="s">
        <v>190</v>
      </c>
      <c r="GZ261" s="319" t="s">
        <v>190</v>
      </c>
      <c r="HA261" s="319" t="s">
        <v>428</v>
      </c>
      <c r="HB261" s="319" t="s">
        <v>428</v>
      </c>
      <c r="HC261" s="319" t="s">
        <v>190</v>
      </c>
      <c r="HD261" s="319" t="s">
        <v>190</v>
      </c>
      <c r="HE261" s="319" t="s">
        <v>190</v>
      </c>
      <c r="HF261" s="319" t="s">
        <v>190</v>
      </c>
      <c r="HG261" s="319" t="s">
        <v>190</v>
      </c>
      <c r="HH261" s="319" t="s">
        <v>190</v>
      </c>
      <c r="HI261" s="319" t="s">
        <v>190</v>
      </c>
      <c r="HJ261" s="319" t="s">
        <v>190</v>
      </c>
      <c r="HK261" s="319" t="s">
        <v>190</v>
      </c>
      <c r="HL261" s="319" t="s">
        <v>428</v>
      </c>
      <c r="HM261" s="319" t="s">
        <v>428</v>
      </c>
      <c r="HN261" s="319" t="s">
        <v>428</v>
      </c>
      <c r="HO261" s="319" t="s">
        <v>428</v>
      </c>
      <c r="HP261" s="319" t="s">
        <v>190</v>
      </c>
      <c r="HQ261" s="319" t="s">
        <v>190</v>
      </c>
      <c r="HR261" s="319" t="s">
        <v>190</v>
      </c>
      <c r="HS261" s="319" t="s">
        <v>190</v>
      </c>
      <c r="HT261" s="319" t="s">
        <v>190</v>
      </c>
      <c r="HU261" s="319" t="s">
        <v>190</v>
      </c>
      <c r="HV261" s="319" t="s">
        <v>190</v>
      </c>
      <c r="HW261" s="319" t="s">
        <v>190</v>
      </c>
      <c r="HX261" s="319" t="s">
        <v>190</v>
      </c>
      <c r="HY261" s="319" t="s">
        <v>190</v>
      </c>
      <c r="HZ261" s="319" t="s">
        <v>190</v>
      </c>
      <c r="IA261" s="319" t="s">
        <v>190</v>
      </c>
      <c r="IB261" s="319" t="s">
        <v>190</v>
      </c>
      <c r="IC261" s="319" t="s">
        <v>190</v>
      </c>
      <c r="ID261" s="319" t="s">
        <v>190</v>
      </c>
      <c r="IE261" s="319" t="s">
        <v>190</v>
      </c>
      <c r="IF261" s="319" t="s">
        <v>190</v>
      </c>
      <c r="IG261" s="319" t="s">
        <v>190</v>
      </c>
      <c r="IH261" s="319" t="s">
        <v>190</v>
      </c>
      <c r="II261" s="319" t="s">
        <v>190</v>
      </c>
      <c r="IJ261" s="319" t="s">
        <v>3063</v>
      </c>
      <c r="IK261" s="321">
        <v>41969</v>
      </c>
      <c r="IL261" s="321">
        <v>41971</v>
      </c>
      <c r="IM261" s="321">
        <v>41992</v>
      </c>
      <c r="IN261" s="319">
        <v>1</v>
      </c>
      <c r="IO261" s="319" t="s">
        <v>173</v>
      </c>
      <c r="IP261" s="319" t="s">
        <v>173</v>
      </c>
      <c r="IQ261" s="319" t="s">
        <v>173</v>
      </c>
      <c r="IR261" s="320" t="s">
        <v>173</v>
      </c>
      <c r="IS261" s="320" t="s">
        <v>173</v>
      </c>
      <c r="IT261" s="319" t="s">
        <v>173</v>
      </c>
    </row>
    <row r="262" spans="1:254" s="271" customFormat="1" x14ac:dyDescent="0.25">
      <c r="A262" s="318" t="str">
        <f>HYPERLINK("http://www.ofsted.gov.uk/inspection-reports/find-inspection-report/provider/ELS/130244 ","Ofsted School Webpage")</f>
        <v>Ofsted School Webpage</v>
      </c>
      <c r="B262" s="319">
        <v>130244</v>
      </c>
      <c r="C262" s="319">
        <v>3306113</v>
      </c>
      <c r="D262" s="319" t="s">
        <v>1569</v>
      </c>
      <c r="E262" s="319" t="s">
        <v>167</v>
      </c>
      <c r="F262" s="319" t="s">
        <v>71</v>
      </c>
      <c r="G262" s="319" t="s">
        <v>72</v>
      </c>
      <c r="H262" s="319" t="s">
        <v>71</v>
      </c>
      <c r="I262" s="319" t="s">
        <v>72</v>
      </c>
      <c r="J262" s="319" t="s">
        <v>424</v>
      </c>
      <c r="K262" s="319" t="s">
        <v>437</v>
      </c>
      <c r="L262" s="319" t="s">
        <v>437</v>
      </c>
      <c r="M262" s="319" t="s">
        <v>813</v>
      </c>
      <c r="N262" s="319" t="s">
        <v>2853</v>
      </c>
      <c r="O262" s="319" t="s">
        <v>1570</v>
      </c>
      <c r="P262" s="319">
        <v>149</v>
      </c>
      <c r="Q262" s="319" t="s">
        <v>2766</v>
      </c>
      <c r="R262" s="320">
        <v>10038829</v>
      </c>
      <c r="S262" s="321">
        <v>43060</v>
      </c>
      <c r="T262" s="321">
        <v>43062</v>
      </c>
      <c r="U262" s="321">
        <v>43090</v>
      </c>
      <c r="V262" s="319" t="s">
        <v>425</v>
      </c>
      <c r="W262" s="319" t="s">
        <v>2767</v>
      </c>
      <c r="X262" s="319">
        <v>2</v>
      </c>
      <c r="Y262" s="319" t="s">
        <v>173</v>
      </c>
      <c r="Z262" s="319" t="s">
        <v>173</v>
      </c>
      <c r="AA262" s="319" t="s">
        <v>173</v>
      </c>
      <c r="AB262" s="319">
        <v>2</v>
      </c>
      <c r="AC262" s="319" t="s">
        <v>169</v>
      </c>
      <c r="AD262" s="319">
        <v>2</v>
      </c>
      <c r="AE262" s="319" t="s">
        <v>173</v>
      </c>
      <c r="AF262" s="319" t="s">
        <v>427</v>
      </c>
      <c r="AG262" s="319" t="s">
        <v>171</v>
      </c>
      <c r="AH262" s="319" t="s">
        <v>190</v>
      </c>
      <c r="AI262" s="319" t="s">
        <v>190</v>
      </c>
      <c r="AJ262" s="319" t="s">
        <v>190</v>
      </c>
      <c r="AK262" s="319" t="s">
        <v>190</v>
      </c>
      <c r="AL262" s="319" t="s">
        <v>190</v>
      </c>
      <c r="AM262" s="319" t="s">
        <v>190</v>
      </c>
      <c r="AN262" s="319" t="s">
        <v>190</v>
      </c>
      <c r="AO262" s="319" t="s">
        <v>190</v>
      </c>
      <c r="AP262" s="319" t="s">
        <v>190</v>
      </c>
      <c r="AQ262" s="319" t="s">
        <v>190</v>
      </c>
      <c r="AR262" s="319" t="s">
        <v>190</v>
      </c>
      <c r="AS262" s="319" t="s">
        <v>190</v>
      </c>
      <c r="AT262" s="319" t="s">
        <v>190</v>
      </c>
      <c r="AU262" s="319" t="s">
        <v>190</v>
      </c>
      <c r="AV262" s="319" t="s">
        <v>190</v>
      </c>
      <c r="AW262" s="319" t="s">
        <v>190</v>
      </c>
      <c r="AX262" s="319" t="s">
        <v>428</v>
      </c>
      <c r="AY262" s="319" t="s">
        <v>190</v>
      </c>
      <c r="AZ262" s="319" t="s">
        <v>190</v>
      </c>
      <c r="BA262" s="319" t="s">
        <v>190</v>
      </c>
      <c r="BB262" s="319" t="s">
        <v>428</v>
      </c>
      <c r="BC262" s="319" t="s">
        <v>428</v>
      </c>
      <c r="BD262" s="319" t="s">
        <v>428</v>
      </c>
      <c r="BE262" s="319" t="s">
        <v>428</v>
      </c>
      <c r="BF262" s="319" t="s">
        <v>190</v>
      </c>
      <c r="BG262" s="319" t="s">
        <v>190</v>
      </c>
      <c r="BH262" s="319" t="s">
        <v>190</v>
      </c>
      <c r="BI262" s="319" t="s">
        <v>190</v>
      </c>
      <c r="BJ262" s="319" t="s">
        <v>190</v>
      </c>
      <c r="BK262" s="319" t="s">
        <v>190</v>
      </c>
      <c r="BL262" s="319" t="s">
        <v>190</v>
      </c>
      <c r="BM262" s="319" t="s">
        <v>190</v>
      </c>
      <c r="BN262" s="319" t="s">
        <v>190</v>
      </c>
      <c r="BO262" s="319" t="s">
        <v>190</v>
      </c>
      <c r="BP262" s="319" t="s">
        <v>190</v>
      </c>
      <c r="BQ262" s="319" t="s">
        <v>190</v>
      </c>
      <c r="BR262" s="319" t="s">
        <v>190</v>
      </c>
      <c r="BS262" s="319" t="s">
        <v>190</v>
      </c>
      <c r="BT262" s="319" t="s">
        <v>190</v>
      </c>
      <c r="BU262" s="319" t="s">
        <v>190</v>
      </c>
      <c r="BV262" s="319" t="s">
        <v>190</v>
      </c>
      <c r="BW262" s="319" t="s">
        <v>190</v>
      </c>
      <c r="BX262" s="319" t="s">
        <v>190</v>
      </c>
      <c r="BY262" s="319" t="s">
        <v>190</v>
      </c>
      <c r="BZ262" s="319" t="s">
        <v>190</v>
      </c>
      <c r="CA262" s="319" t="s">
        <v>190</v>
      </c>
      <c r="CB262" s="319" t="s">
        <v>190</v>
      </c>
      <c r="CC262" s="319" t="s">
        <v>190</v>
      </c>
      <c r="CD262" s="319" t="s">
        <v>190</v>
      </c>
      <c r="CE262" s="319" t="s">
        <v>190</v>
      </c>
      <c r="CF262" s="319" t="s">
        <v>190</v>
      </c>
      <c r="CG262" s="319" t="s">
        <v>190</v>
      </c>
      <c r="CH262" s="319" t="s">
        <v>190</v>
      </c>
      <c r="CI262" s="319" t="s">
        <v>190</v>
      </c>
      <c r="CJ262" s="319" t="s">
        <v>190</v>
      </c>
      <c r="CK262" s="319" t="s">
        <v>190</v>
      </c>
      <c r="CL262" s="319" t="s">
        <v>190</v>
      </c>
      <c r="CM262" s="319" t="s">
        <v>190</v>
      </c>
      <c r="CN262" s="319" t="s">
        <v>428</v>
      </c>
      <c r="CO262" s="319" t="s">
        <v>428</v>
      </c>
      <c r="CP262" s="319" t="s">
        <v>428</v>
      </c>
      <c r="CQ262" s="319" t="s">
        <v>190</v>
      </c>
      <c r="CR262" s="319" t="s">
        <v>190</v>
      </c>
      <c r="CS262" s="319" t="s">
        <v>190</v>
      </c>
      <c r="CT262" s="319" t="s">
        <v>190</v>
      </c>
      <c r="CU262" s="319" t="s">
        <v>190</v>
      </c>
      <c r="CV262" s="319" t="s">
        <v>190</v>
      </c>
      <c r="CW262" s="319" t="s">
        <v>190</v>
      </c>
      <c r="CX262" s="319" t="s">
        <v>190</v>
      </c>
      <c r="CY262" s="319" t="s">
        <v>190</v>
      </c>
      <c r="CZ262" s="319" t="s">
        <v>190</v>
      </c>
      <c r="DA262" s="319" t="s">
        <v>190</v>
      </c>
      <c r="DB262" s="319" t="s">
        <v>190</v>
      </c>
      <c r="DC262" s="319" t="s">
        <v>190</v>
      </c>
      <c r="DD262" s="319" t="s">
        <v>190</v>
      </c>
      <c r="DE262" s="319" t="s">
        <v>190</v>
      </c>
      <c r="DF262" s="319" t="s">
        <v>190</v>
      </c>
      <c r="DG262" s="319" t="s">
        <v>190</v>
      </c>
      <c r="DH262" s="319" t="s">
        <v>190</v>
      </c>
      <c r="DI262" s="319" t="s">
        <v>190</v>
      </c>
      <c r="DJ262" s="319" t="s">
        <v>190</v>
      </c>
      <c r="DK262" s="319" t="s">
        <v>190</v>
      </c>
      <c r="DL262" s="319" t="s">
        <v>190</v>
      </c>
      <c r="DM262" s="319" t="s">
        <v>190</v>
      </c>
      <c r="DN262" s="319" t="s">
        <v>190</v>
      </c>
      <c r="DO262" s="319" t="s">
        <v>190</v>
      </c>
      <c r="DP262" s="319" t="s">
        <v>190</v>
      </c>
      <c r="DQ262" s="319" t="s">
        <v>190</v>
      </c>
      <c r="DR262" s="319" t="s">
        <v>190</v>
      </c>
      <c r="DS262" s="319" t="s">
        <v>190</v>
      </c>
      <c r="DT262" s="319" t="s">
        <v>190</v>
      </c>
      <c r="DU262" s="319" t="s">
        <v>190</v>
      </c>
      <c r="DV262" s="319" t="s">
        <v>173</v>
      </c>
      <c r="DW262" s="319" t="s">
        <v>190</v>
      </c>
      <c r="DX262" s="319" t="s">
        <v>190</v>
      </c>
      <c r="DY262" s="319" t="s">
        <v>190</v>
      </c>
      <c r="DZ262" s="319" t="s">
        <v>190</v>
      </c>
      <c r="EA262" s="319" t="s">
        <v>190</v>
      </c>
      <c r="EB262" s="319" t="s">
        <v>190</v>
      </c>
      <c r="EC262" s="319" t="s">
        <v>190</v>
      </c>
      <c r="ED262" s="319" t="s">
        <v>190</v>
      </c>
      <c r="EE262" s="319" t="s">
        <v>190</v>
      </c>
      <c r="EF262" s="319" t="s">
        <v>190</v>
      </c>
      <c r="EG262" s="319" t="s">
        <v>190</v>
      </c>
      <c r="EH262" s="319" t="s">
        <v>190</v>
      </c>
      <c r="EI262" s="319" t="s">
        <v>190</v>
      </c>
      <c r="EJ262" s="319" t="s">
        <v>190</v>
      </c>
      <c r="EK262" s="319" t="s">
        <v>190</v>
      </c>
      <c r="EL262" s="319" t="s">
        <v>190</v>
      </c>
      <c r="EM262" s="319" t="s">
        <v>190</v>
      </c>
      <c r="EN262" s="319" t="s">
        <v>190</v>
      </c>
      <c r="EO262" s="319" t="s">
        <v>190</v>
      </c>
      <c r="EP262" s="319" t="s">
        <v>190</v>
      </c>
      <c r="EQ262" s="319" t="s">
        <v>190</v>
      </c>
      <c r="ER262" s="319" t="s">
        <v>190</v>
      </c>
      <c r="ES262" s="319" t="s">
        <v>190</v>
      </c>
      <c r="ET262" s="319" t="s">
        <v>190</v>
      </c>
      <c r="EU262" s="319" t="s">
        <v>190</v>
      </c>
      <c r="EV262" s="319" t="s">
        <v>190</v>
      </c>
      <c r="EW262" s="319" t="s">
        <v>190</v>
      </c>
      <c r="EX262" s="319" t="s">
        <v>190</v>
      </c>
      <c r="EY262" s="319" t="s">
        <v>190</v>
      </c>
      <c r="EZ262" s="319" t="s">
        <v>190</v>
      </c>
      <c r="FA262" s="319" t="s">
        <v>190</v>
      </c>
      <c r="FB262" s="319" t="s">
        <v>190</v>
      </c>
      <c r="FC262" s="319" t="s">
        <v>190</v>
      </c>
      <c r="FD262" s="319" t="s">
        <v>190</v>
      </c>
      <c r="FE262" s="319" t="s">
        <v>190</v>
      </c>
      <c r="FF262" s="319" t="s">
        <v>190</v>
      </c>
      <c r="FG262" s="319" t="s">
        <v>190</v>
      </c>
      <c r="FH262" s="319" t="s">
        <v>190</v>
      </c>
      <c r="FI262" s="319" t="s">
        <v>190</v>
      </c>
      <c r="FJ262" s="319" t="s">
        <v>190</v>
      </c>
      <c r="FK262" s="319" t="s">
        <v>190</v>
      </c>
      <c r="FL262" s="319" t="s">
        <v>190</v>
      </c>
      <c r="FM262" s="319" t="s">
        <v>190</v>
      </c>
      <c r="FN262" s="319" t="s">
        <v>190</v>
      </c>
      <c r="FO262" s="319" t="s">
        <v>190</v>
      </c>
      <c r="FP262" s="319" t="s">
        <v>190</v>
      </c>
      <c r="FQ262" s="319" t="s">
        <v>190</v>
      </c>
      <c r="FR262" s="319" t="s">
        <v>190</v>
      </c>
      <c r="FS262" s="319" t="s">
        <v>428</v>
      </c>
      <c r="FT262" s="319" t="s">
        <v>190</v>
      </c>
      <c r="FU262" s="319" t="s">
        <v>190</v>
      </c>
      <c r="FV262" s="319" t="s">
        <v>190</v>
      </c>
      <c r="FW262" s="319" t="s">
        <v>190</v>
      </c>
      <c r="FX262" s="319" t="s">
        <v>190</v>
      </c>
      <c r="FY262" s="319" t="s">
        <v>190</v>
      </c>
      <c r="FZ262" s="319" t="s">
        <v>190</v>
      </c>
      <c r="GA262" s="319" t="s">
        <v>190</v>
      </c>
      <c r="GB262" s="319" t="s">
        <v>190</v>
      </c>
      <c r="GC262" s="319" t="s">
        <v>190</v>
      </c>
      <c r="GD262" s="319" t="s">
        <v>190</v>
      </c>
      <c r="GE262" s="319" t="s">
        <v>190</v>
      </c>
      <c r="GF262" s="319" t="s">
        <v>190</v>
      </c>
      <c r="GG262" s="319" t="s">
        <v>190</v>
      </c>
      <c r="GH262" s="319" t="s">
        <v>190</v>
      </c>
      <c r="GI262" s="319" t="s">
        <v>190</v>
      </c>
      <c r="GJ262" s="319" t="s">
        <v>190</v>
      </c>
      <c r="GK262" s="319" t="s">
        <v>428</v>
      </c>
      <c r="GL262" s="319" t="s">
        <v>190</v>
      </c>
      <c r="GM262" s="319" t="s">
        <v>190</v>
      </c>
      <c r="GN262" s="319" t="s">
        <v>190</v>
      </c>
      <c r="GO262" s="319" t="s">
        <v>190</v>
      </c>
      <c r="GP262" s="319" t="s">
        <v>190</v>
      </c>
      <c r="GQ262" s="319" t="s">
        <v>428</v>
      </c>
      <c r="GR262" s="319" t="s">
        <v>190</v>
      </c>
      <c r="GS262" s="319" t="s">
        <v>190</v>
      </c>
      <c r="GT262" s="319" t="s">
        <v>428</v>
      </c>
      <c r="GU262" s="319" t="s">
        <v>190</v>
      </c>
      <c r="GV262" s="319" t="s">
        <v>190</v>
      </c>
      <c r="GW262" s="319" t="s">
        <v>190</v>
      </c>
      <c r="GX262" s="319" t="s">
        <v>190</v>
      </c>
      <c r="GY262" s="319" t="s">
        <v>190</v>
      </c>
      <c r="GZ262" s="319" t="s">
        <v>428</v>
      </c>
      <c r="HA262" s="319" t="s">
        <v>190</v>
      </c>
      <c r="HB262" s="319" t="s">
        <v>190</v>
      </c>
      <c r="HC262" s="319" t="s">
        <v>190</v>
      </c>
      <c r="HD262" s="319" t="s">
        <v>190</v>
      </c>
      <c r="HE262" s="319" t="s">
        <v>190</v>
      </c>
      <c r="HF262" s="319" t="s">
        <v>190</v>
      </c>
      <c r="HG262" s="319" t="s">
        <v>190</v>
      </c>
      <c r="HH262" s="319" t="s">
        <v>190</v>
      </c>
      <c r="HI262" s="319" t="s">
        <v>190</v>
      </c>
      <c r="HJ262" s="319" t="s">
        <v>190</v>
      </c>
      <c r="HK262" s="319" t="s">
        <v>190</v>
      </c>
      <c r="HL262" s="319" t="s">
        <v>428</v>
      </c>
      <c r="HM262" s="319" t="s">
        <v>428</v>
      </c>
      <c r="HN262" s="319" t="s">
        <v>428</v>
      </c>
      <c r="HO262" s="319" t="s">
        <v>428</v>
      </c>
      <c r="HP262" s="319" t="s">
        <v>190</v>
      </c>
      <c r="HQ262" s="319" t="s">
        <v>190</v>
      </c>
      <c r="HR262" s="319" t="s">
        <v>190</v>
      </c>
      <c r="HS262" s="319" t="s">
        <v>190</v>
      </c>
      <c r="HT262" s="319" t="s">
        <v>190</v>
      </c>
      <c r="HU262" s="319" t="s">
        <v>190</v>
      </c>
      <c r="HV262" s="319" t="s">
        <v>190</v>
      </c>
      <c r="HW262" s="319" t="s">
        <v>190</v>
      </c>
      <c r="HX262" s="319" t="s">
        <v>190</v>
      </c>
      <c r="HY262" s="319" t="s">
        <v>190</v>
      </c>
      <c r="HZ262" s="319" t="s">
        <v>190</v>
      </c>
      <c r="IA262" s="319" t="s">
        <v>190</v>
      </c>
      <c r="IB262" s="319" t="s">
        <v>190</v>
      </c>
      <c r="IC262" s="319" t="s">
        <v>190</v>
      </c>
      <c r="ID262" s="319" t="s">
        <v>190</v>
      </c>
      <c r="IE262" s="319" t="s">
        <v>190</v>
      </c>
      <c r="IF262" s="319" t="s">
        <v>190</v>
      </c>
      <c r="IG262" s="319" t="s">
        <v>190</v>
      </c>
      <c r="IH262" s="319" t="s">
        <v>190</v>
      </c>
      <c r="II262" s="319" t="s">
        <v>190</v>
      </c>
      <c r="IJ262" s="319">
        <v>10007532</v>
      </c>
      <c r="IK262" s="321">
        <v>42276</v>
      </c>
      <c r="IL262" s="321">
        <v>42278</v>
      </c>
      <c r="IM262" s="321">
        <v>42328</v>
      </c>
      <c r="IN262" s="319">
        <v>4</v>
      </c>
      <c r="IO262" s="319" t="s">
        <v>173</v>
      </c>
      <c r="IP262" s="319" t="s">
        <v>173</v>
      </c>
      <c r="IQ262" s="321" t="s">
        <v>173</v>
      </c>
      <c r="IR262" s="320" t="s">
        <v>173</v>
      </c>
      <c r="IS262" s="322" t="s">
        <v>173</v>
      </c>
      <c r="IT262" s="319" t="s">
        <v>173</v>
      </c>
    </row>
    <row r="263" spans="1:254" s="271" customFormat="1" x14ac:dyDescent="0.25">
      <c r="A263" s="318" t="str">
        <f>HYPERLINK("http://www.ofsted.gov.uk/inspection-reports/find-inspection-report/provider/ELS/130245 ","Ofsted School Webpage")</f>
        <v>Ofsted School Webpage</v>
      </c>
      <c r="B263" s="319">
        <v>130245</v>
      </c>
      <c r="C263" s="319">
        <v>3806119</v>
      </c>
      <c r="D263" s="319" t="s">
        <v>1074</v>
      </c>
      <c r="E263" s="319" t="s">
        <v>167</v>
      </c>
      <c r="F263" s="319" t="s">
        <v>71</v>
      </c>
      <c r="G263" s="319" t="s">
        <v>72</v>
      </c>
      <c r="H263" s="319" t="s">
        <v>71</v>
      </c>
      <c r="I263" s="319" t="s">
        <v>72</v>
      </c>
      <c r="J263" s="319" t="s">
        <v>424</v>
      </c>
      <c r="K263" s="319" t="s">
        <v>458</v>
      </c>
      <c r="L263" s="319" t="s">
        <v>459</v>
      </c>
      <c r="M263" s="319" t="s">
        <v>595</v>
      </c>
      <c r="N263" s="319" t="s">
        <v>3064</v>
      </c>
      <c r="O263" s="319" t="s">
        <v>596</v>
      </c>
      <c r="P263" s="319">
        <v>73</v>
      </c>
      <c r="Q263" s="319" t="s">
        <v>2776</v>
      </c>
      <c r="R263" s="320">
        <v>10061247</v>
      </c>
      <c r="S263" s="321">
        <v>43550</v>
      </c>
      <c r="T263" s="321">
        <v>43552</v>
      </c>
      <c r="U263" s="321">
        <v>43579</v>
      </c>
      <c r="V263" s="319" t="s">
        <v>425</v>
      </c>
      <c r="W263" s="319" t="s">
        <v>2767</v>
      </c>
      <c r="X263" s="319">
        <v>3</v>
      </c>
      <c r="Y263" s="319" t="s">
        <v>173</v>
      </c>
      <c r="Z263" s="319" t="s">
        <v>173</v>
      </c>
      <c r="AA263" s="319" t="s">
        <v>173</v>
      </c>
      <c r="AB263" s="319">
        <v>3</v>
      </c>
      <c r="AC263" s="319" t="s">
        <v>169</v>
      </c>
      <c r="AD263" s="319" t="s">
        <v>173</v>
      </c>
      <c r="AE263" s="319" t="s">
        <v>173</v>
      </c>
      <c r="AF263" s="319" t="s">
        <v>427</v>
      </c>
      <c r="AG263" s="319" t="s">
        <v>171</v>
      </c>
      <c r="AH263" s="319" t="s">
        <v>190</v>
      </c>
      <c r="AI263" s="319" t="s">
        <v>190</v>
      </c>
      <c r="AJ263" s="319" t="s">
        <v>190</v>
      </c>
      <c r="AK263" s="319" t="s">
        <v>190</v>
      </c>
      <c r="AL263" s="319" t="s">
        <v>190</v>
      </c>
      <c r="AM263" s="319" t="s">
        <v>190</v>
      </c>
      <c r="AN263" s="319" t="s">
        <v>190</v>
      </c>
      <c r="AO263" s="319" t="s">
        <v>190</v>
      </c>
      <c r="AP263" s="319" t="s">
        <v>190</v>
      </c>
      <c r="AQ263" s="319" t="s">
        <v>190</v>
      </c>
      <c r="AR263" s="319" t="s">
        <v>190</v>
      </c>
      <c r="AS263" s="319" t="s">
        <v>190</v>
      </c>
      <c r="AT263" s="319" t="s">
        <v>190</v>
      </c>
      <c r="AU263" s="319" t="s">
        <v>190</v>
      </c>
      <c r="AV263" s="319" t="s">
        <v>190</v>
      </c>
      <c r="AW263" s="319" t="s">
        <v>190</v>
      </c>
      <c r="AX263" s="319" t="s">
        <v>428</v>
      </c>
      <c r="AY263" s="319" t="s">
        <v>190</v>
      </c>
      <c r="AZ263" s="319" t="s">
        <v>190</v>
      </c>
      <c r="BA263" s="319" t="s">
        <v>190</v>
      </c>
      <c r="BB263" s="319" t="s">
        <v>190</v>
      </c>
      <c r="BC263" s="319" t="s">
        <v>190</v>
      </c>
      <c r="BD263" s="319" t="s">
        <v>190</v>
      </c>
      <c r="BE263" s="319" t="s">
        <v>190</v>
      </c>
      <c r="BF263" s="319" t="s">
        <v>428</v>
      </c>
      <c r="BG263" s="319" t="s">
        <v>428</v>
      </c>
      <c r="BH263" s="319" t="s">
        <v>190</v>
      </c>
      <c r="BI263" s="319" t="s">
        <v>190</v>
      </c>
      <c r="BJ263" s="319" t="s">
        <v>190</v>
      </c>
      <c r="BK263" s="319" t="s">
        <v>190</v>
      </c>
      <c r="BL263" s="319" t="s">
        <v>190</v>
      </c>
      <c r="BM263" s="319" t="s">
        <v>190</v>
      </c>
      <c r="BN263" s="319" t="s">
        <v>190</v>
      </c>
      <c r="BO263" s="319" t="s">
        <v>190</v>
      </c>
      <c r="BP263" s="319" t="s">
        <v>190</v>
      </c>
      <c r="BQ263" s="319" t="s">
        <v>190</v>
      </c>
      <c r="BR263" s="319" t="s">
        <v>190</v>
      </c>
      <c r="BS263" s="319" t="s">
        <v>190</v>
      </c>
      <c r="BT263" s="319" t="s">
        <v>190</v>
      </c>
      <c r="BU263" s="319" t="s">
        <v>190</v>
      </c>
      <c r="BV263" s="319" t="s">
        <v>190</v>
      </c>
      <c r="BW263" s="319" t="s">
        <v>190</v>
      </c>
      <c r="BX263" s="319" t="s">
        <v>190</v>
      </c>
      <c r="BY263" s="319" t="s">
        <v>190</v>
      </c>
      <c r="BZ263" s="319" t="s">
        <v>190</v>
      </c>
      <c r="CA263" s="319" t="s">
        <v>190</v>
      </c>
      <c r="CB263" s="319" t="s">
        <v>190</v>
      </c>
      <c r="CC263" s="319" t="s">
        <v>190</v>
      </c>
      <c r="CD263" s="319" t="s">
        <v>190</v>
      </c>
      <c r="CE263" s="319" t="s">
        <v>190</v>
      </c>
      <c r="CF263" s="319" t="s">
        <v>190</v>
      </c>
      <c r="CG263" s="319" t="s">
        <v>190</v>
      </c>
      <c r="CH263" s="319" t="s">
        <v>190</v>
      </c>
      <c r="CI263" s="319" t="s">
        <v>190</v>
      </c>
      <c r="CJ263" s="319" t="s">
        <v>190</v>
      </c>
      <c r="CK263" s="319" t="s">
        <v>190</v>
      </c>
      <c r="CL263" s="319" t="s">
        <v>190</v>
      </c>
      <c r="CM263" s="319" t="s">
        <v>190</v>
      </c>
      <c r="CN263" s="319" t="s">
        <v>428</v>
      </c>
      <c r="CO263" s="319" t="s">
        <v>428</v>
      </c>
      <c r="CP263" s="319" t="s">
        <v>428</v>
      </c>
      <c r="CQ263" s="319" t="s">
        <v>190</v>
      </c>
      <c r="CR263" s="319" t="s">
        <v>190</v>
      </c>
      <c r="CS263" s="319" t="s">
        <v>190</v>
      </c>
      <c r="CT263" s="319" t="s">
        <v>190</v>
      </c>
      <c r="CU263" s="319" t="s">
        <v>190</v>
      </c>
      <c r="CV263" s="319" t="s">
        <v>190</v>
      </c>
      <c r="CW263" s="319" t="s">
        <v>190</v>
      </c>
      <c r="CX263" s="319" t="s">
        <v>190</v>
      </c>
      <c r="CY263" s="319" t="s">
        <v>190</v>
      </c>
      <c r="CZ263" s="319" t="s">
        <v>190</v>
      </c>
      <c r="DA263" s="319" t="s">
        <v>190</v>
      </c>
      <c r="DB263" s="319" t="s">
        <v>190</v>
      </c>
      <c r="DC263" s="319" t="s">
        <v>190</v>
      </c>
      <c r="DD263" s="319" t="s">
        <v>190</v>
      </c>
      <c r="DE263" s="319" t="s">
        <v>190</v>
      </c>
      <c r="DF263" s="319" t="s">
        <v>190</v>
      </c>
      <c r="DG263" s="319" t="s">
        <v>190</v>
      </c>
      <c r="DH263" s="319" t="s">
        <v>190</v>
      </c>
      <c r="DI263" s="319" t="s">
        <v>190</v>
      </c>
      <c r="DJ263" s="319" t="s">
        <v>190</v>
      </c>
      <c r="DK263" s="319" t="s">
        <v>190</v>
      </c>
      <c r="DL263" s="319" t="s">
        <v>190</v>
      </c>
      <c r="DM263" s="319" t="s">
        <v>428</v>
      </c>
      <c r="DN263" s="319" t="s">
        <v>428</v>
      </c>
      <c r="DO263" s="319" t="s">
        <v>190</v>
      </c>
      <c r="DP263" s="319" t="s">
        <v>428</v>
      </c>
      <c r="DQ263" s="319" t="s">
        <v>428</v>
      </c>
      <c r="DR263" s="319" t="s">
        <v>428</v>
      </c>
      <c r="DS263" s="319" t="s">
        <v>428</v>
      </c>
      <c r="DT263" s="319" t="s">
        <v>428</v>
      </c>
      <c r="DU263" s="319" t="s">
        <v>428</v>
      </c>
      <c r="DV263" s="319" t="s">
        <v>173</v>
      </c>
      <c r="DW263" s="319" t="s">
        <v>428</v>
      </c>
      <c r="DX263" s="319" t="s">
        <v>428</v>
      </c>
      <c r="DY263" s="319" t="s">
        <v>428</v>
      </c>
      <c r="DZ263" s="319" t="s">
        <v>428</v>
      </c>
      <c r="EA263" s="319" t="s">
        <v>428</v>
      </c>
      <c r="EB263" s="319" t="s">
        <v>428</v>
      </c>
      <c r="EC263" s="319" t="s">
        <v>428</v>
      </c>
      <c r="ED263" s="319" t="s">
        <v>428</v>
      </c>
      <c r="EE263" s="319" t="s">
        <v>428</v>
      </c>
      <c r="EF263" s="319" t="s">
        <v>428</v>
      </c>
      <c r="EG263" s="319" t="s">
        <v>428</v>
      </c>
      <c r="EH263" s="319" t="s">
        <v>428</v>
      </c>
      <c r="EI263" s="319" t="s">
        <v>428</v>
      </c>
      <c r="EJ263" s="319" t="s">
        <v>428</v>
      </c>
      <c r="EK263" s="319" t="s">
        <v>428</v>
      </c>
      <c r="EL263" s="319" t="s">
        <v>428</v>
      </c>
      <c r="EM263" s="319" t="s">
        <v>428</v>
      </c>
      <c r="EN263" s="319" t="s">
        <v>190</v>
      </c>
      <c r="EO263" s="319" t="s">
        <v>190</v>
      </c>
      <c r="EP263" s="319" t="s">
        <v>190</v>
      </c>
      <c r="EQ263" s="319" t="s">
        <v>190</v>
      </c>
      <c r="ER263" s="319" t="s">
        <v>190</v>
      </c>
      <c r="ES263" s="319" t="s">
        <v>190</v>
      </c>
      <c r="ET263" s="319" t="s">
        <v>190</v>
      </c>
      <c r="EU263" s="319" t="s">
        <v>190</v>
      </c>
      <c r="EV263" s="319" t="s">
        <v>190</v>
      </c>
      <c r="EW263" s="319" t="s">
        <v>190</v>
      </c>
      <c r="EX263" s="319" t="s">
        <v>190</v>
      </c>
      <c r="EY263" s="319" t="s">
        <v>190</v>
      </c>
      <c r="EZ263" s="319" t="s">
        <v>190</v>
      </c>
      <c r="FA263" s="319" t="s">
        <v>428</v>
      </c>
      <c r="FB263" s="319" t="s">
        <v>428</v>
      </c>
      <c r="FC263" s="319" t="s">
        <v>428</v>
      </c>
      <c r="FD263" s="319" t="s">
        <v>428</v>
      </c>
      <c r="FE263" s="319" t="s">
        <v>428</v>
      </c>
      <c r="FF263" s="319" t="s">
        <v>428</v>
      </c>
      <c r="FG263" s="319" t="s">
        <v>428</v>
      </c>
      <c r="FH263" s="319" t="s">
        <v>428</v>
      </c>
      <c r="FI263" s="319" t="s">
        <v>428</v>
      </c>
      <c r="FJ263" s="319" t="s">
        <v>429</v>
      </c>
      <c r="FK263" s="319" t="s">
        <v>428</v>
      </c>
      <c r="FL263" s="319" t="s">
        <v>190</v>
      </c>
      <c r="FM263" s="319" t="s">
        <v>190</v>
      </c>
      <c r="FN263" s="319" t="s">
        <v>428</v>
      </c>
      <c r="FO263" s="319" t="s">
        <v>190</v>
      </c>
      <c r="FP263" s="319" t="s">
        <v>190</v>
      </c>
      <c r="FQ263" s="319" t="s">
        <v>190</v>
      </c>
      <c r="FR263" s="319" t="s">
        <v>190</v>
      </c>
      <c r="FS263" s="319" t="s">
        <v>428</v>
      </c>
      <c r="FT263" s="319" t="s">
        <v>190</v>
      </c>
      <c r="FU263" s="319" t="s">
        <v>190</v>
      </c>
      <c r="FV263" s="319" t="s">
        <v>190</v>
      </c>
      <c r="FW263" s="319" t="s">
        <v>190</v>
      </c>
      <c r="FX263" s="319" t="s">
        <v>190</v>
      </c>
      <c r="FY263" s="319" t="s">
        <v>190</v>
      </c>
      <c r="FZ263" s="319" t="s">
        <v>190</v>
      </c>
      <c r="GA263" s="319" t="s">
        <v>190</v>
      </c>
      <c r="GB263" s="319" t="s">
        <v>190</v>
      </c>
      <c r="GC263" s="319" t="s">
        <v>190</v>
      </c>
      <c r="GD263" s="319" t="s">
        <v>190</v>
      </c>
      <c r="GE263" s="319" t="s">
        <v>190</v>
      </c>
      <c r="GF263" s="319" t="s">
        <v>190</v>
      </c>
      <c r="GG263" s="319" t="s">
        <v>190</v>
      </c>
      <c r="GH263" s="319" t="s">
        <v>190</v>
      </c>
      <c r="GI263" s="319" t="s">
        <v>190</v>
      </c>
      <c r="GJ263" s="319" t="s">
        <v>190</v>
      </c>
      <c r="GK263" s="319" t="s">
        <v>428</v>
      </c>
      <c r="GL263" s="319" t="s">
        <v>190</v>
      </c>
      <c r="GM263" s="319" t="s">
        <v>190</v>
      </c>
      <c r="GN263" s="319" t="s">
        <v>190</v>
      </c>
      <c r="GO263" s="319" t="s">
        <v>190</v>
      </c>
      <c r="GP263" s="319" t="s">
        <v>190</v>
      </c>
      <c r="GQ263" s="319" t="s">
        <v>428</v>
      </c>
      <c r="GR263" s="319" t="s">
        <v>190</v>
      </c>
      <c r="GS263" s="319" t="s">
        <v>190</v>
      </c>
      <c r="GT263" s="319" t="s">
        <v>428</v>
      </c>
      <c r="GU263" s="319" t="s">
        <v>428</v>
      </c>
      <c r="GV263" s="319" t="s">
        <v>190</v>
      </c>
      <c r="GW263" s="319" t="s">
        <v>190</v>
      </c>
      <c r="GX263" s="319" t="s">
        <v>190</v>
      </c>
      <c r="GY263" s="319" t="s">
        <v>190</v>
      </c>
      <c r="GZ263" s="319" t="s">
        <v>190</v>
      </c>
      <c r="HA263" s="319" t="s">
        <v>428</v>
      </c>
      <c r="HB263" s="319" t="s">
        <v>428</v>
      </c>
      <c r="HC263" s="319" t="s">
        <v>190</v>
      </c>
      <c r="HD263" s="319" t="s">
        <v>190</v>
      </c>
      <c r="HE263" s="319" t="s">
        <v>190</v>
      </c>
      <c r="HF263" s="319" t="s">
        <v>428</v>
      </c>
      <c r="HG263" s="319" t="s">
        <v>190</v>
      </c>
      <c r="HH263" s="319" t="s">
        <v>190</v>
      </c>
      <c r="HI263" s="319" t="s">
        <v>190</v>
      </c>
      <c r="HJ263" s="319" t="s">
        <v>190</v>
      </c>
      <c r="HK263" s="319" t="s">
        <v>190</v>
      </c>
      <c r="HL263" s="319" t="s">
        <v>428</v>
      </c>
      <c r="HM263" s="319" t="s">
        <v>428</v>
      </c>
      <c r="HN263" s="319" t="s">
        <v>428</v>
      </c>
      <c r="HO263" s="319" t="s">
        <v>428</v>
      </c>
      <c r="HP263" s="319" t="s">
        <v>190</v>
      </c>
      <c r="HQ263" s="319" t="s">
        <v>190</v>
      </c>
      <c r="HR263" s="319" t="s">
        <v>190</v>
      </c>
      <c r="HS263" s="319" t="s">
        <v>190</v>
      </c>
      <c r="HT263" s="319" t="s">
        <v>190</v>
      </c>
      <c r="HU263" s="319" t="s">
        <v>190</v>
      </c>
      <c r="HV263" s="319" t="s">
        <v>190</v>
      </c>
      <c r="HW263" s="319" t="s">
        <v>190</v>
      </c>
      <c r="HX263" s="319" t="s">
        <v>190</v>
      </c>
      <c r="HY263" s="319" t="s">
        <v>190</v>
      </c>
      <c r="HZ263" s="319" t="s">
        <v>190</v>
      </c>
      <c r="IA263" s="319" t="s">
        <v>190</v>
      </c>
      <c r="IB263" s="319" t="s">
        <v>190</v>
      </c>
      <c r="IC263" s="319" t="s">
        <v>190</v>
      </c>
      <c r="ID263" s="319" t="s">
        <v>190</v>
      </c>
      <c r="IE263" s="319" t="s">
        <v>190</v>
      </c>
      <c r="IF263" s="319" t="s">
        <v>190</v>
      </c>
      <c r="IG263" s="319" t="s">
        <v>190</v>
      </c>
      <c r="IH263" s="319" t="s">
        <v>190</v>
      </c>
      <c r="II263" s="319" t="s">
        <v>190</v>
      </c>
      <c r="IJ263" s="319">
        <v>10033915</v>
      </c>
      <c r="IK263" s="321">
        <v>42927</v>
      </c>
      <c r="IL263" s="321">
        <v>42929</v>
      </c>
      <c r="IM263" s="321">
        <v>43039</v>
      </c>
      <c r="IN263" s="319">
        <v>4</v>
      </c>
      <c r="IO263" s="319" t="s">
        <v>173</v>
      </c>
      <c r="IP263" s="319" t="s">
        <v>173</v>
      </c>
      <c r="IQ263" s="321" t="s">
        <v>173</v>
      </c>
      <c r="IR263" s="320" t="s">
        <v>173</v>
      </c>
      <c r="IS263" s="322" t="s">
        <v>173</v>
      </c>
      <c r="IT263" s="319" t="s">
        <v>173</v>
      </c>
    </row>
    <row r="264" spans="1:254" s="271" customFormat="1" x14ac:dyDescent="0.25">
      <c r="A264" s="318" t="str">
        <f>HYPERLINK("http://www.ofsted.gov.uk/inspection-reports/find-inspection-report/provider/ELS/130274 ","Ofsted School Webpage")</f>
        <v>Ofsted School Webpage</v>
      </c>
      <c r="B264" s="319">
        <v>130274</v>
      </c>
      <c r="C264" s="319">
        <v>3836119</v>
      </c>
      <c r="D264" s="319" t="s">
        <v>802</v>
      </c>
      <c r="E264" s="319" t="s">
        <v>167</v>
      </c>
      <c r="F264" s="319" t="s">
        <v>81</v>
      </c>
      <c r="G264" s="319" t="s">
        <v>72</v>
      </c>
      <c r="H264" s="319" t="s">
        <v>72</v>
      </c>
      <c r="I264" s="319" t="s">
        <v>72</v>
      </c>
      <c r="J264" s="319" t="s">
        <v>424</v>
      </c>
      <c r="K264" s="319" t="s">
        <v>458</v>
      </c>
      <c r="L264" s="319" t="s">
        <v>459</v>
      </c>
      <c r="M264" s="319" t="s">
        <v>622</v>
      </c>
      <c r="N264" s="319" t="s">
        <v>2888</v>
      </c>
      <c r="O264" s="319" t="s">
        <v>803</v>
      </c>
      <c r="P264" s="319">
        <v>53</v>
      </c>
      <c r="Q264" s="319" t="s">
        <v>2766</v>
      </c>
      <c r="R264" s="320">
        <v>10061248</v>
      </c>
      <c r="S264" s="321">
        <v>43473</v>
      </c>
      <c r="T264" s="321">
        <v>43475</v>
      </c>
      <c r="U264" s="321">
        <v>43521</v>
      </c>
      <c r="V264" s="319" t="s">
        <v>425</v>
      </c>
      <c r="W264" s="319" t="s">
        <v>2767</v>
      </c>
      <c r="X264" s="319">
        <v>4</v>
      </c>
      <c r="Y264" s="319" t="s">
        <v>173</v>
      </c>
      <c r="Z264" s="319" t="s">
        <v>173</v>
      </c>
      <c r="AA264" s="319" t="s">
        <v>173</v>
      </c>
      <c r="AB264" s="319">
        <v>4</v>
      </c>
      <c r="AC264" s="319" t="s">
        <v>170</v>
      </c>
      <c r="AD264" s="319" t="s">
        <v>173</v>
      </c>
      <c r="AE264" s="319" t="s">
        <v>173</v>
      </c>
      <c r="AF264" s="319" t="s">
        <v>427</v>
      </c>
      <c r="AG264" s="319" t="s">
        <v>172</v>
      </c>
      <c r="AH264" s="319" t="s">
        <v>479</v>
      </c>
      <c r="AI264" s="319" t="s">
        <v>190</v>
      </c>
      <c r="AJ264" s="319" t="s">
        <v>479</v>
      </c>
      <c r="AK264" s="319" t="s">
        <v>479</v>
      </c>
      <c r="AL264" s="319" t="s">
        <v>190</v>
      </c>
      <c r="AM264" s="319" t="s">
        <v>479</v>
      </c>
      <c r="AN264" s="319" t="s">
        <v>190</v>
      </c>
      <c r="AO264" s="319" t="s">
        <v>479</v>
      </c>
      <c r="AP264" s="319" t="s">
        <v>191</v>
      </c>
      <c r="AQ264" s="319" t="s">
        <v>190</v>
      </c>
      <c r="AR264" s="319" t="s">
        <v>190</v>
      </c>
      <c r="AS264" s="319" t="s">
        <v>191</v>
      </c>
      <c r="AT264" s="319" t="s">
        <v>190</v>
      </c>
      <c r="AU264" s="319" t="s">
        <v>191</v>
      </c>
      <c r="AV264" s="319" t="s">
        <v>190</v>
      </c>
      <c r="AW264" s="319" t="s">
        <v>190</v>
      </c>
      <c r="AX264" s="319" t="s">
        <v>428</v>
      </c>
      <c r="AY264" s="319" t="s">
        <v>191</v>
      </c>
      <c r="AZ264" s="319" t="s">
        <v>191</v>
      </c>
      <c r="BA264" s="319" t="s">
        <v>191</v>
      </c>
      <c r="BB264" s="319" t="s">
        <v>191</v>
      </c>
      <c r="BC264" s="319" t="s">
        <v>191</v>
      </c>
      <c r="BD264" s="319" t="s">
        <v>191</v>
      </c>
      <c r="BE264" s="319" t="s">
        <v>191</v>
      </c>
      <c r="BF264" s="319" t="s">
        <v>428</v>
      </c>
      <c r="BG264" s="319" t="s">
        <v>428</v>
      </c>
      <c r="BH264" s="319" t="s">
        <v>190</v>
      </c>
      <c r="BI264" s="319" t="s">
        <v>190</v>
      </c>
      <c r="BJ264" s="319" t="s">
        <v>191</v>
      </c>
      <c r="BK264" s="319" t="s">
        <v>191</v>
      </c>
      <c r="BL264" s="319" t="s">
        <v>190</v>
      </c>
      <c r="BM264" s="319" t="s">
        <v>191</v>
      </c>
      <c r="BN264" s="319" t="s">
        <v>191</v>
      </c>
      <c r="BO264" s="319" t="s">
        <v>190</v>
      </c>
      <c r="BP264" s="319" t="s">
        <v>191</v>
      </c>
      <c r="BQ264" s="319" t="s">
        <v>191</v>
      </c>
      <c r="BR264" s="319" t="s">
        <v>190</v>
      </c>
      <c r="BS264" s="319" t="s">
        <v>190</v>
      </c>
      <c r="BT264" s="319" t="s">
        <v>190</v>
      </c>
      <c r="BU264" s="319" t="s">
        <v>191</v>
      </c>
      <c r="BV264" s="319" t="s">
        <v>190</v>
      </c>
      <c r="BW264" s="319" t="s">
        <v>190</v>
      </c>
      <c r="BX264" s="319" t="s">
        <v>190</v>
      </c>
      <c r="BY264" s="319" t="s">
        <v>190</v>
      </c>
      <c r="BZ264" s="319" t="s">
        <v>190</v>
      </c>
      <c r="CA264" s="319" t="s">
        <v>190</v>
      </c>
      <c r="CB264" s="319" t="s">
        <v>190</v>
      </c>
      <c r="CC264" s="319" t="s">
        <v>190</v>
      </c>
      <c r="CD264" s="319" t="s">
        <v>190</v>
      </c>
      <c r="CE264" s="319" t="s">
        <v>190</v>
      </c>
      <c r="CF264" s="319" t="s">
        <v>190</v>
      </c>
      <c r="CG264" s="319" t="s">
        <v>190</v>
      </c>
      <c r="CH264" s="319" t="s">
        <v>190</v>
      </c>
      <c r="CI264" s="319" t="s">
        <v>190</v>
      </c>
      <c r="CJ264" s="319" t="s">
        <v>190</v>
      </c>
      <c r="CK264" s="319" t="s">
        <v>191</v>
      </c>
      <c r="CL264" s="319" t="s">
        <v>191</v>
      </c>
      <c r="CM264" s="319" t="s">
        <v>191</v>
      </c>
      <c r="CN264" s="319" t="s">
        <v>428</v>
      </c>
      <c r="CO264" s="319" t="s">
        <v>428</v>
      </c>
      <c r="CP264" s="319" t="s">
        <v>428</v>
      </c>
      <c r="CQ264" s="319" t="s">
        <v>190</v>
      </c>
      <c r="CR264" s="319" t="s">
        <v>190</v>
      </c>
      <c r="CS264" s="319" t="s">
        <v>190</v>
      </c>
      <c r="CT264" s="319" t="s">
        <v>190</v>
      </c>
      <c r="CU264" s="319" t="s">
        <v>190</v>
      </c>
      <c r="CV264" s="319" t="s">
        <v>190</v>
      </c>
      <c r="CW264" s="319" t="s">
        <v>190</v>
      </c>
      <c r="CX264" s="319" t="s">
        <v>190</v>
      </c>
      <c r="CY264" s="319" t="s">
        <v>190</v>
      </c>
      <c r="CZ264" s="319" t="s">
        <v>190</v>
      </c>
      <c r="DA264" s="319" t="s">
        <v>191</v>
      </c>
      <c r="DB264" s="319" t="s">
        <v>191</v>
      </c>
      <c r="DC264" s="319" t="s">
        <v>190</v>
      </c>
      <c r="DD264" s="319" t="s">
        <v>191</v>
      </c>
      <c r="DE264" s="319" t="s">
        <v>190</v>
      </c>
      <c r="DF264" s="319" t="s">
        <v>191</v>
      </c>
      <c r="DG264" s="319" t="s">
        <v>190</v>
      </c>
      <c r="DH264" s="319" t="s">
        <v>190</v>
      </c>
      <c r="DI264" s="319" t="s">
        <v>190</v>
      </c>
      <c r="DJ264" s="319" t="s">
        <v>190</v>
      </c>
      <c r="DK264" s="319" t="s">
        <v>190</v>
      </c>
      <c r="DL264" s="319" t="s">
        <v>190</v>
      </c>
      <c r="DM264" s="319" t="s">
        <v>191</v>
      </c>
      <c r="DN264" s="319" t="s">
        <v>428</v>
      </c>
      <c r="DO264" s="319" t="s">
        <v>191</v>
      </c>
      <c r="DP264" s="319" t="s">
        <v>428</v>
      </c>
      <c r="DQ264" s="319" t="s">
        <v>428</v>
      </c>
      <c r="DR264" s="319" t="s">
        <v>428</v>
      </c>
      <c r="DS264" s="319" t="s">
        <v>428</v>
      </c>
      <c r="DT264" s="319" t="s">
        <v>428</v>
      </c>
      <c r="DU264" s="319" t="s">
        <v>428</v>
      </c>
      <c r="DV264" s="319" t="s">
        <v>173</v>
      </c>
      <c r="DW264" s="319" t="s">
        <v>428</v>
      </c>
      <c r="DX264" s="319" t="s">
        <v>428</v>
      </c>
      <c r="DY264" s="319" t="s">
        <v>428</v>
      </c>
      <c r="DZ264" s="319" t="s">
        <v>428</v>
      </c>
      <c r="EA264" s="319" t="s">
        <v>428</v>
      </c>
      <c r="EB264" s="319" t="s">
        <v>428</v>
      </c>
      <c r="EC264" s="319" t="s">
        <v>428</v>
      </c>
      <c r="ED264" s="319" t="s">
        <v>428</v>
      </c>
      <c r="EE264" s="319" t="s">
        <v>190</v>
      </c>
      <c r="EF264" s="319" t="s">
        <v>190</v>
      </c>
      <c r="EG264" s="319" t="s">
        <v>190</v>
      </c>
      <c r="EH264" s="319" t="s">
        <v>190</v>
      </c>
      <c r="EI264" s="319" t="s">
        <v>190</v>
      </c>
      <c r="EJ264" s="319" t="s">
        <v>190</v>
      </c>
      <c r="EK264" s="319" t="s">
        <v>190</v>
      </c>
      <c r="EL264" s="319" t="s">
        <v>190</v>
      </c>
      <c r="EM264" s="319" t="s">
        <v>190</v>
      </c>
      <c r="EN264" s="319" t="s">
        <v>190</v>
      </c>
      <c r="EO264" s="319" t="s">
        <v>190</v>
      </c>
      <c r="EP264" s="319" t="s">
        <v>191</v>
      </c>
      <c r="EQ264" s="319" t="s">
        <v>190</v>
      </c>
      <c r="ER264" s="319" t="s">
        <v>190</v>
      </c>
      <c r="ES264" s="319" t="s">
        <v>190</v>
      </c>
      <c r="ET264" s="319" t="s">
        <v>191</v>
      </c>
      <c r="EU264" s="319" t="s">
        <v>190</v>
      </c>
      <c r="EV264" s="319" t="s">
        <v>190</v>
      </c>
      <c r="EW264" s="319" t="s">
        <v>190</v>
      </c>
      <c r="EX264" s="319" t="s">
        <v>190</v>
      </c>
      <c r="EY264" s="319" t="s">
        <v>191</v>
      </c>
      <c r="EZ264" s="319" t="s">
        <v>190</v>
      </c>
      <c r="FA264" s="319" t="s">
        <v>428</v>
      </c>
      <c r="FB264" s="319" t="s">
        <v>428</v>
      </c>
      <c r="FC264" s="319" t="s">
        <v>428</v>
      </c>
      <c r="FD264" s="319" t="s">
        <v>428</v>
      </c>
      <c r="FE264" s="319" t="s">
        <v>428</v>
      </c>
      <c r="FF264" s="319" t="s">
        <v>428</v>
      </c>
      <c r="FG264" s="319" t="s">
        <v>428</v>
      </c>
      <c r="FH264" s="319" t="s">
        <v>190</v>
      </c>
      <c r="FI264" s="319" t="s">
        <v>190</v>
      </c>
      <c r="FJ264" s="319" t="s">
        <v>190</v>
      </c>
      <c r="FK264" s="319" t="s">
        <v>190</v>
      </c>
      <c r="FL264" s="319" t="s">
        <v>190</v>
      </c>
      <c r="FM264" s="319" t="s">
        <v>190</v>
      </c>
      <c r="FN264" s="319" t="s">
        <v>428</v>
      </c>
      <c r="FO264" s="319" t="s">
        <v>190</v>
      </c>
      <c r="FP264" s="319" t="s">
        <v>190</v>
      </c>
      <c r="FQ264" s="319" t="s">
        <v>190</v>
      </c>
      <c r="FR264" s="319" t="s">
        <v>190</v>
      </c>
      <c r="FS264" s="319" t="s">
        <v>428</v>
      </c>
      <c r="FT264" s="319" t="s">
        <v>190</v>
      </c>
      <c r="FU264" s="319" t="s">
        <v>190</v>
      </c>
      <c r="FV264" s="319" t="s">
        <v>190</v>
      </c>
      <c r="FW264" s="319" t="s">
        <v>190</v>
      </c>
      <c r="FX264" s="319" t="s">
        <v>190</v>
      </c>
      <c r="FY264" s="319" t="s">
        <v>190</v>
      </c>
      <c r="FZ264" s="319" t="s">
        <v>190</v>
      </c>
      <c r="GA264" s="319" t="s">
        <v>190</v>
      </c>
      <c r="GB264" s="319" t="s">
        <v>190</v>
      </c>
      <c r="GC264" s="319" t="s">
        <v>190</v>
      </c>
      <c r="GD264" s="319" t="s">
        <v>190</v>
      </c>
      <c r="GE264" s="319" t="s">
        <v>190</v>
      </c>
      <c r="GF264" s="319" t="s">
        <v>190</v>
      </c>
      <c r="GG264" s="319" t="s">
        <v>190</v>
      </c>
      <c r="GH264" s="319" t="s">
        <v>190</v>
      </c>
      <c r="GI264" s="319" t="s">
        <v>190</v>
      </c>
      <c r="GJ264" s="319" t="s">
        <v>190</v>
      </c>
      <c r="GK264" s="319" t="s">
        <v>428</v>
      </c>
      <c r="GL264" s="319" t="s">
        <v>191</v>
      </c>
      <c r="GM264" s="319" t="s">
        <v>190</v>
      </c>
      <c r="GN264" s="319" t="s">
        <v>191</v>
      </c>
      <c r="GO264" s="319" t="s">
        <v>190</v>
      </c>
      <c r="GP264" s="319" t="s">
        <v>190</v>
      </c>
      <c r="GQ264" s="319" t="s">
        <v>428</v>
      </c>
      <c r="GR264" s="319" t="s">
        <v>190</v>
      </c>
      <c r="GS264" s="319" t="s">
        <v>190</v>
      </c>
      <c r="GT264" s="319" t="s">
        <v>428</v>
      </c>
      <c r="GU264" s="319" t="s">
        <v>428</v>
      </c>
      <c r="GV264" s="319" t="s">
        <v>190</v>
      </c>
      <c r="GW264" s="319" t="s">
        <v>190</v>
      </c>
      <c r="GX264" s="319" t="s">
        <v>190</v>
      </c>
      <c r="GY264" s="319" t="s">
        <v>190</v>
      </c>
      <c r="GZ264" s="319" t="s">
        <v>428</v>
      </c>
      <c r="HA264" s="319" t="s">
        <v>190</v>
      </c>
      <c r="HB264" s="319" t="s">
        <v>190</v>
      </c>
      <c r="HC264" s="319" t="s">
        <v>190</v>
      </c>
      <c r="HD264" s="319" t="s">
        <v>191</v>
      </c>
      <c r="HE264" s="319" t="s">
        <v>190</v>
      </c>
      <c r="HF264" s="319" t="s">
        <v>191</v>
      </c>
      <c r="HG264" s="319" t="s">
        <v>190</v>
      </c>
      <c r="HH264" s="319" t="s">
        <v>190</v>
      </c>
      <c r="HI264" s="319" t="s">
        <v>191</v>
      </c>
      <c r="HJ264" s="319" t="s">
        <v>190</v>
      </c>
      <c r="HK264" s="319" t="s">
        <v>190</v>
      </c>
      <c r="HL264" s="319" t="s">
        <v>428</v>
      </c>
      <c r="HM264" s="319" t="s">
        <v>428</v>
      </c>
      <c r="HN264" s="319" t="s">
        <v>428</v>
      </c>
      <c r="HO264" s="319" t="s">
        <v>428</v>
      </c>
      <c r="HP264" s="319" t="s">
        <v>190</v>
      </c>
      <c r="HQ264" s="319" t="s">
        <v>190</v>
      </c>
      <c r="HR264" s="319" t="s">
        <v>190</v>
      </c>
      <c r="HS264" s="319" t="s">
        <v>190</v>
      </c>
      <c r="HT264" s="319" t="s">
        <v>190</v>
      </c>
      <c r="HU264" s="319" t="s">
        <v>190</v>
      </c>
      <c r="HV264" s="319" t="s">
        <v>190</v>
      </c>
      <c r="HW264" s="319" t="s">
        <v>190</v>
      </c>
      <c r="HX264" s="319" t="s">
        <v>190</v>
      </c>
      <c r="HY264" s="319" t="s">
        <v>190</v>
      </c>
      <c r="HZ264" s="319" t="s">
        <v>190</v>
      </c>
      <c r="IA264" s="319" t="s">
        <v>190</v>
      </c>
      <c r="IB264" s="319" t="s">
        <v>190</v>
      </c>
      <c r="IC264" s="319" t="s">
        <v>190</v>
      </c>
      <c r="ID264" s="319" t="s">
        <v>190</v>
      </c>
      <c r="IE264" s="319" t="s">
        <v>190</v>
      </c>
      <c r="IF264" s="319" t="s">
        <v>191</v>
      </c>
      <c r="IG264" s="319" t="s">
        <v>191</v>
      </c>
      <c r="IH264" s="319" t="s">
        <v>191</v>
      </c>
      <c r="II264" s="319" t="s">
        <v>191</v>
      </c>
      <c r="IJ264" s="319">
        <v>10025951</v>
      </c>
      <c r="IK264" s="321">
        <v>42815</v>
      </c>
      <c r="IL264" s="321">
        <v>42817</v>
      </c>
      <c r="IM264" s="321">
        <v>42864</v>
      </c>
      <c r="IN264" s="319">
        <v>4</v>
      </c>
      <c r="IO264" s="319">
        <v>10109115</v>
      </c>
      <c r="IP264" s="319" t="s">
        <v>985</v>
      </c>
      <c r="IQ264" s="321">
        <v>43648</v>
      </c>
      <c r="IR264" s="320" t="s">
        <v>1223</v>
      </c>
      <c r="IS264" s="322">
        <v>43738</v>
      </c>
      <c r="IT264" s="319" t="s">
        <v>166</v>
      </c>
    </row>
    <row r="265" spans="1:254" s="271" customFormat="1" x14ac:dyDescent="0.25">
      <c r="A265" s="318" t="str">
        <f>HYPERLINK("http://www.ofsted.gov.uk/inspection-reports/find-inspection-report/provider/ELS/130283 ","Ofsted School Webpage")</f>
        <v>Ofsted School Webpage</v>
      </c>
      <c r="B265" s="319">
        <v>130283</v>
      </c>
      <c r="C265" s="319">
        <v>9256041</v>
      </c>
      <c r="D265" s="319" t="s">
        <v>1571</v>
      </c>
      <c r="E265" s="319" t="s">
        <v>167</v>
      </c>
      <c r="F265" s="319" t="s">
        <v>81</v>
      </c>
      <c r="G265" s="319" t="s">
        <v>62</v>
      </c>
      <c r="H265" s="319" t="s">
        <v>62</v>
      </c>
      <c r="I265" s="319" t="s">
        <v>59</v>
      </c>
      <c r="J265" s="319" t="s">
        <v>424</v>
      </c>
      <c r="K265" s="319" t="s">
        <v>506</v>
      </c>
      <c r="L265" s="319" t="s">
        <v>506</v>
      </c>
      <c r="M265" s="319" t="s">
        <v>833</v>
      </c>
      <c r="N265" s="319" t="s">
        <v>3005</v>
      </c>
      <c r="O265" s="319" t="s">
        <v>1572</v>
      </c>
      <c r="P265" s="319">
        <v>58</v>
      </c>
      <c r="Q265" s="319" t="s">
        <v>2766</v>
      </c>
      <c r="R265" s="320">
        <v>10048632</v>
      </c>
      <c r="S265" s="321">
        <v>43235</v>
      </c>
      <c r="T265" s="321">
        <v>43237</v>
      </c>
      <c r="U265" s="321">
        <v>43265</v>
      </c>
      <c r="V265" s="319" t="s">
        <v>425</v>
      </c>
      <c r="W265" s="319" t="s">
        <v>2767</v>
      </c>
      <c r="X265" s="319">
        <v>2</v>
      </c>
      <c r="Y265" s="319" t="s">
        <v>173</v>
      </c>
      <c r="Z265" s="319" t="s">
        <v>173</v>
      </c>
      <c r="AA265" s="319" t="s">
        <v>173</v>
      </c>
      <c r="AB265" s="319">
        <v>2</v>
      </c>
      <c r="AC265" s="319" t="s">
        <v>169</v>
      </c>
      <c r="AD265" s="319">
        <v>1</v>
      </c>
      <c r="AE265" s="319" t="s">
        <v>173</v>
      </c>
      <c r="AF265" s="319" t="s">
        <v>427</v>
      </c>
      <c r="AG265" s="319" t="s">
        <v>171</v>
      </c>
      <c r="AH265" s="319" t="s">
        <v>190</v>
      </c>
      <c r="AI265" s="319" t="s">
        <v>190</v>
      </c>
      <c r="AJ265" s="319" t="s">
        <v>190</v>
      </c>
      <c r="AK265" s="319" t="s">
        <v>190</v>
      </c>
      <c r="AL265" s="319" t="s">
        <v>190</v>
      </c>
      <c r="AM265" s="319" t="s">
        <v>190</v>
      </c>
      <c r="AN265" s="319" t="s">
        <v>190</v>
      </c>
      <c r="AO265" s="319" t="s">
        <v>190</v>
      </c>
      <c r="AP265" s="319" t="s">
        <v>190</v>
      </c>
      <c r="AQ265" s="319" t="s">
        <v>190</v>
      </c>
      <c r="AR265" s="319" t="s">
        <v>190</v>
      </c>
      <c r="AS265" s="319" t="s">
        <v>190</v>
      </c>
      <c r="AT265" s="319" t="s">
        <v>190</v>
      </c>
      <c r="AU265" s="319" t="s">
        <v>190</v>
      </c>
      <c r="AV265" s="319" t="s">
        <v>190</v>
      </c>
      <c r="AW265" s="319" t="s">
        <v>190</v>
      </c>
      <c r="AX265" s="319" t="s">
        <v>428</v>
      </c>
      <c r="AY265" s="319" t="s">
        <v>190</v>
      </c>
      <c r="AZ265" s="319" t="s">
        <v>190</v>
      </c>
      <c r="BA265" s="319" t="s">
        <v>190</v>
      </c>
      <c r="BB265" s="319" t="s">
        <v>428</v>
      </c>
      <c r="BC265" s="319" t="s">
        <v>428</v>
      </c>
      <c r="BD265" s="319" t="s">
        <v>428</v>
      </c>
      <c r="BE265" s="319" t="s">
        <v>428</v>
      </c>
      <c r="BF265" s="319" t="s">
        <v>190</v>
      </c>
      <c r="BG265" s="319" t="s">
        <v>428</v>
      </c>
      <c r="BH265" s="319" t="s">
        <v>190</v>
      </c>
      <c r="BI265" s="319" t="s">
        <v>190</v>
      </c>
      <c r="BJ265" s="319" t="s">
        <v>190</v>
      </c>
      <c r="BK265" s="319" t="s">
        <v>190</v>
      </c>
      <c r="BL265" s="319" t="s">
        <v>190</v>
      </c>
      <c r="BM265" s="319" t="s">
        <v>190</v>
      </c>
      <c r="BN265" s="319" t="s">
        <v>190</v>
      </c>
      <c r="BO265" s="319" t="s">
        <v>190</v>
      </c>
      <c r="BP265" s="319" t="s">
        <v>190</v>
      </c>
      <c r="BQ265" s="319" t="s">
        <v>190</v>
      </c>
      <c r="BR265" s="319" t="s">
        <v>190</v>
      </c>
      <c r="BS265" s="319" t="s">
        <v>190</v>
      </c>
      <c r="BT265" s="319" t="s">
        <v>190</v>
      </c>
      <c r="BU265" s="319" t="s">
        <v>190</v>
      </c>
      <c r="BV265" s="319" t="s">
        <v>190</v>
      </c>
      <c r="BW265" s="319" t="s">
        <v>190</v>
      </c>
      <c r="BX265" s="319" t="s">
        <v>190</v>
      </c>
      <c r="BY265" s="319" t="s">
        <v>190</v>
      </c>
      <c r="BZ265" s="319" t="s">
        <v>190</v>
      </c>
      <c r="CA265" s="319" t="s">
        <v>190</v>
      </c>
      <c r="CB265" s="319" t="s">
        <v>190</v>
      </c>
      <c r="CC265" s="319" t="s">
        <v>190</v>
      </c>
      <c r="CD265" s="319" t="s">
        <v>190</v>
      </c>
      <c r="CE265" s="319" t="s">
        <v>190</v>
      </c>
      <c r="CF265" s="319" t="s">
        <v>190</v>
      </c>
      <c r="CG265" s="319" t="s">
        <v>190</v>
      </c>
      <c r="CH265" s="319" t="s">
        <v>190</v>
      </c>
      <c r="CI265" s="319" t="s">
        <v>190</v>
      </c>
      <c r="CJ265" s="319" t="s">
        <v>190</v>
      </c>
      <c r="CK265" s="319" t="s">
        <v>190</v>
      </c>
      <c r="CL265" s="319" t="s">
        <v>190</v>
      </c>
      <c r="CM265" s="319" t="s">
        <v>190</v>
      </c>
      <c r="CN265" s="319" t="s">
        <v>428</v>
      </c>
      <c r="CO265" s="319" t="s">
        <v>428</v>
      </c>
      <c r="CP265" s="319" t="s">
        <v>428</v>
      </c>
      <c r="CQ265" s="319" t="s">
        <v>190</v>
      </c>
      <c r="CR265" s="319" t="s">
        <v>190</v>
      </c>
      <c r="CS265" s="319" t="s">
        <v>190</v>
      </c>
      <c r="CT265" s="319" t="s">
        <v>190</v>
      </c>
      <c r="CU265" s="319" t="s">
        <v>190</v>
      </c>
      <c r="CV265" s="319" t="s">
        <v>190</v>
      </c>
      <c r="CW265" s="319" t="s">
        <v>190</v>
      </c>
      <c r="CX265" s="319" t="s">
        <v>190</v>
      </c>
      <c r="CY265" s="319" t="s">
        <v>190</v>
      </c>
      <c r="CZ265" s="319" t="s">
        <v>190</v>
      </c>
      <c r="DA265" s="319" t="s">
        <v>190</v>
      </c>
      <c r="DB265" s="319" t="s">
        <v>190</v>
      </c>
      <c r="DC265" s="319" t="s">
        <v>190</v>
      </c>
      <c r="DD265" s="319" t="s">
        <v>190</v>
      </c>
      <c r="DE265" s="319" t="s">
        <v>190</v>
      </c>
      <c r="DF265" s="319" t="s">
        <v>190</v>
      </c>
      <c r="DG265" s="319" t="s">
        <v>190</v>
      </c>
      <c r="DH265" s="319" t="s">
        <v>190</v>
      </c>
      <c r="DI265" s="319" t="s">
        <v>190</v>
      </c>
      <c r="DJ265" s="319" t="s">
        <v>190</v>
      </c>
      <c r="DK265" s="319" t="s">
        <v>190</v>
      </c>
      <c r="DL265" s="319" t="s">
        <v>190</v>
      </c>
      <c r="DM265" s="319" t="s">
        <v>190</v>
      </c>
      <c r="DN265" s="319" t="s">
        <v>428</v>
      </c>
      <c r="DO265" s="319" t="s">
        <v>190</v>
      </c>
      <c r="DP265" s="319" t="s">
        <v>428</v>
      </c>
      <c r="DQ265" s="319" t="s">
        <v>428</v>
      </c>
      <c r="DR265" s="319" t="s">
        <v>428</v>
      </c>
      <c r="DS265" s="319" t="s">
        <v>428</v>
      </c>
      <c r="DT265" s="319" t="s">
        <v>428</v>
      </c>
      <c r="DU265" s="319" t="s">
        <v>428</v>
      </c>
      <c r="DV265" s="319" t="s">
        <v>173</v>
      </c>
      <c r="DW265" s="319" t="s">
        <v>428</v>
      </c>
      <c r="DX265" s="319" t="s">
        <v>428</v>
      </c>
      <c r="DY265" s="319" t="s">
        <v>428</v>
      </c>
      <c r="DZ265" s="319" t="s">
        <v>428</v>
      </c>
      <c r="EA265" s="319" t="s">
        <v>428</v>
      </c>
      <c r="EB265" s="319" t="s">
        <v>428</v>
      </c>
      <c r="EC265" s="319" t="s">
        <v>428</v>
      </c>
      <c r="ED265" s="319" t="s">
        <v>428</v>
      </c>
      <c r="EE265" s="319" t="s">
        <v>190</v>
      </c>
      <c r="EF265" s="319" t="s">
        <v>190</v>
      </c>
      <c r="EG265" s="319" t="s">
        <v>190</v>
      </c>
      <c r="EH265" s="319" t="s">
        <v>190</v>
      </c>
      <c r="EI265" s="319" t="s">
        <v>190</v>
      </c>
      <c r="EJ265" s="319" t="s">
        <v>190</v>
      </c>
      <c r="EK265" s="319" t="s">
        <v>190</v>
      </c>
      <c r="EL265" s="319" t="s">
        <v>190</v>
      </c>
      <c r="EM265" s="319" t="s">
        <v>190</v>
      </c>
      <c r="EN265" s="319" t="s">
        <v>190</v>
      </c>
      <c r="EO265" s="319" t="s">
        <v>190</v>
      </c>
      <c r="EP265" s="319" t="s">
        <v>190</v>
      </c>
      <c r="EQ265" s="319" t="s">
        <v>190</v>
      </c>
      <c r="ER265" s="319" t="s">
        <v>190</v>
      </c>
      <c r="ES265" s="319" t="s">
        <v>190</v>
      </c>
      <c r="ET265" s="319" t="s">
        <v>190</v>
      </c>
      <c r="EU265" s="319" t="s">
        <v>190</v>
      </c>
      <c r="EV265" s="319" t="s">
        <v>190</v>
      </c>
      <c r="EW265" s="319" t="s">
        <v>190</v>
      </c>
      <c r="EX265" s="319" t="s">
        <v>190</v>
      </c>
      <c r="EY265" s="319" t="s">
        <v>190</v>
      </c>
      <c r="EZ265" s="319" t="s">
        <v>190</v>
      </c>
      <c r="FA265" s="319" t="s">
        <v>190</v>
      </c>
      <c r="FB265" s="319" t="s">
        <v>190</v>
      </c>
      <c r="FC265" s="319" t="s">
        <v>190</v>
      </c>
      <c r="FD265" s="319" t="s">
        <v>190</v>
      </c>
      <c r="FE265" s="319" t="s">
        <v>190</v>
      </c>
      <c r="FF265" s="319" t="s">
        <v>190</v>
      </c>
      <c r="FG265" s="319" t="s">
        <v>190</v>
      </c>
      <c r="FH265" s="319" t="s">
        <v>190</v>
      </c>
      <c r="FI265" s="319" t="s">
        <v>428</v>
      </c>
      <c r="FJ265" s="319" t="s">
        <v>429</v>
      </c>
      <c r="FK265" s="319" t="s">
        <v>428</v>
      </c>
      <c r="FL265" s="319" t="s">
        <v>190</v>
      </c>
      <c r="FM265" s="319" t="s">
        <v>190</v>
      </c>
      <c r="FN265" s="319" t="s">
        <v>190</v>
      </c>
      <c r="FO265" s="319" t="s">
        <v>428</v>
      </c>
      <c r="FP265" s="319" t="s">
        <v>190</v>
      </c>
      <c r="FQ265" s="319" t="s">
        <v>190</v>
      </c>
      <c r="FR265" s="319" t="s">
        <v>190</v>
      </c>
      <c r="FS265" s="319" t="s">
        <v>190</v>
      </c>
      <c r="FT265" s="319" t="s">
        <v>190</v>
      </c>
      <c r="FU265" s="319" t="s">
        <v>190</v>
      </c>
      <c r="FV265" s="319" t="s">
        <v>190</v>
      </c>
      <c r="FW265" s="319" t="s">
        <v>190</v>
      </c>
      <c r="FX265" s="319" t="s">
        <v>190</v>
      </c>
      <c r="FY265" s="319" t="s">
        <v>190</v>
      </c>
      <c r="FZ265" s="319" t="s">
        <v>190</v>
      </c>
      <c r="GA265" s="319" t="s">
        <v>190</v>
      </c>
      <c r="GB265" s="319" t="s">
        <v>190</v>
      </c>
      <c r="GC265" s="319" t="s">
        <v>190</v>
      </c>
      <c r="GD265" s="319" t="s">
        <v>190</v>
      </c>
      <c r="GE265" s="319" t="s">
        <v>190</v>
      </c>
      <c r="GF265" s="319" t="s">
        <v>190</v>
      </c>
      <c r="GG265" s="319" t="s">
        <v>190</v>
      </c>
      <c r="GH265" s="319" t="s">
        <v>190</v>
      </c>
      <c r="GI265" s="319" t="s">
        <v>190</v>
      </c>
      <c r="GJ265" s="319" t="s">
        <v>190</v>
      </c>
      <c r="GK265" s="319" t="s">
        <v>190</v>
      </c>
      <c r="GL265" s="319" t="s">
        <v>190</v>
      </c>
      <c r="GM265" s="319" t="s">
        <v>190</v>
      </c>
      <c r="GN265" s="319" t="s">
        <v>190</v>
      </c>
      <c r="GO265" s="319" t="s">
        <v>190</v>
      </c>
      <c r="GP265" s="319" t="s">
        <v>190</v>
      </c>
      <c r="GQ265" s="319" t="s">
        <v>190</v>
      </c>
      <c r="GR265" s="319" t="s">
        <v>190</v>
      </c>
      <c r="GS265" s="319" t="s">
        <v>190</v>
      </c>
      <c r="GT265" s="319" t="s">
        <v>428</v>
      </c>
      <c r="GU265" s="319" t="s">
        <v>428</v>
      </c>
      <c r="GV265" s="319" t="s">
        <v>428</v>
      </c>
      <c r="GW265" s="319" t="s">
        <v>190</v>
      </c>
      <c r="GX265" s="319" t="s">
        <v>190</v>
      </c>
      <c r="GY265" s="319" t="s">
        <v>190</v>
      </c>
      <c r="GZ265" s="319" t="s">
        <v>190</v>
      </c>
      <c r="HA265" s="319" t="s">
        <v>428</v>
      </c>
      <c r="HB265" s="319" t="s">
        <v>428</v>
      </c>
      <c r="HC265" s="319" t="s">
        <v>190</v>
      </c>
      <c r="HD265" s="319" t="s">
        <v>190</v>
      </c>
      <c r="HE265" s="319" t="s">
        <v>190</v>
      </c>
      <c r="HF265" s="319" t="s">
        <v>190</v>
      </c>
      <c r="HG265" s="319" t="s">
        <v>190</v>
      </c>
      <c r="HH265" s="319" t="s">
        <v>190</v>
      </c>
      <c r="HI265" s="319" t="s">
        <v>190</v>
      </c>
      <c r="HJ265" s="319" t="s">
        <v>190</v>
      </c>
      <c r="HK265" s="319" t="s">
        <v>190</v>
      </c>
      <c r="HL265" s="319" t="s">
        <v>190</v>
      </c>
      <c r="HM265" s="319" t="s">
        <v>428</v>
      </c>
      <c r="HN265" s="319" t="s">
        <v>428</v>
      </c>
      <c r="HO265" s="319" t="s">
        <v>428</v>
      </c>
      <c r="HP265" s="319" t="s">
        <v>190</v>
      </c>
      <c r="HQ265" s="319" t="s">
        <v>190</v>
      </c>
      <c r="HR265" s="319" t="s">
        <v>190</v>
      </c>
      <c r="HS265" s="319" t="s">
        <v>190</v>
      </c>
      <c r="HT265" s="319" t="s">
        <v>190</v>
      </c>
      <c r="HU265" s="319" t="s">
        <v>190</v>
      </c>
      <c r="HV265" s="319" t="s">
        <v>190</v>
      </c>
      <c r="HW265" s="319" t="s">
        <v>190</v>
      </c>
      <c r="HX265" s="319" t="s">
        <v>190</v>
      </c>
      <c r="HY265" s="319" t="s">
        <v>190</v>
      </c>
      <c r="HZ265" s="319" t="s">
        <v>190</v>
      </c>
      <c r="IA265" s="319" t="s">
        <v>190</v>
      </c>
      <c r="IB265" s="319" t="s">
        <v>190</v>
      </c>
      <c r="IC265" s="319" t="s">
        <v>190</v>
      </c>
      <c r="ID265" s="319" t="s">
        <v>190</v>
      </c>
      <c r="IE265" s="319" t="s">
        <v>190</v>
      </c>
      <c r="IF265" s="319" t="s">
        <v>190</v>
      </c>
      <c r="IG265" s="319" t="s">
        <v>190</v>
      </c>
      <c r="IH265" s="319" t="s">
        <v>190</v>
      </c>
      <c r="II265" s="319" t="s">
        <v>190</v>
      </c>
      <c r="IJ265" s="319" t="s">
        <v>3065</v>
      </c>
      <c r="IK265" s="321">
        <v>42179</v>
      </c>
      <c r="IL265" s="321">
        <v>42181</v>
      </c>
      <c r="IM265" s="321">
        <v>42200</v>
      </c>
      <c r="IN265" s="319">
        <v>1</v>
      </c>
      <c r="IO265" s="319" t="s">
        <v>173</v>
      </c>
      <c r="IP265" s="319" t="s">
        <v>173</v>
      </c>
      <c r="IQ265" s="319" t="s">
        <v>173</v>
      </c>
      <c r="IR265" s="320" t="s">
        <v>173</v>
      </c>
      <c r="IS265" s="320" t="s">
        <v>173</v>
      </c>
      <c r="IT265" s="319" t="s">
        <v>173</v>
      </c>
    </row>
    <row r="266" spans="1:254" s="271" customFormat="1" x14ac:dyDescent="0.25">
      <c r="A266" s="318" t="str">
        <f>HYPERLINK("http://www.ofsted.gov.uk/inspection-reports/find-inspection-report/provider/ELS/130285 ","Ofsted School Webpage")</f>
        <v>Ofsted School Webpage</v>
      </c>
      <c r="B266" s="319">
        <v>130285</v>
      </c>
      <c r="C266" s="319">
        <v>3506017</v>
      </c>
      <c r="D266" s="319" t="s">
        <v>1030</v>
      </c>
      <c r="E266" s="319" t="s">
        <v>167</v>
      </c>
      <c r="F266" s="319" t="s">
        <v>81</v>
      </c>
      <c r="G266" s="319" t="s">
        <v>72</v>
      </c>
      <c r="H266" s="319" t="s">
        <v>72</v>
      </c>
      <c r="I266" s="319" t="s">
        <v>72</v>
      </c>
      <c r="J266" s="319" t="s">
        <v>424</v>
      </c>
      <c r="K266" s="319" t="s">
        <v>431</v>
      </c>
      <c r="L266" s="319" t="s">
        <v>431</v>
      </c>
      <c r="M266" s="319" t="s">
        <v>1031</v>
      </c>
      <c r="N266" s="319" t="s">
        <v>2866</v>
      </c>
      <c r="O266" s="319" t="s">
        <v>1032</v>
      </c>
      <c r="P266" s="319">
        <v>248</v>
      </c>
      <c r="Q266" s="319" t="s">
        <v>2776</v>
      </c>
      <c r="R266" s="320">
        <v>10107113</v>
      </c>
      <c r="S266" s="321">
        <v>43641</v>
      </c>
      <c r="T266" s="321">
        <v>43643</v>
      </c>
      <c r="U266" s="321">
        <v>43724</v>
      </c>
      <c r="V266" s="319" t="s">
        <v>554</v>
      </c>
      <c r="W266" s="319" t="s">
        <v>2767</v>
      </c>
      <c r="X266" s="319">
        <v>4</v>
      </c>
      <c r="Y266" s="319" t="s">
        <v>173</v>
      </c>
      <c r="Z266" s="319" t="s">
        <v>173</v>
      </c>
      <c r="AA266" s="319" t="s">
        <v>173</v>
      </c>
      <c r="AB266" s="319">
        <v>4</v>
      </c>
      <c r="AC266" s="319" t="s">
        <v>170</v>
      </c>
      <c r="AD266" s="319" t="s">
        <v>173</v>
      </c>
      <c r="AE266" s="319">
        <v>4</v>
      </c>
      <c r="AF266" s="319" t="s">
        <v>427</v>
      </c>
      <c r="AG266" s="319" t="s">
        <v>172</v>
      </c>
      <c r="AH266" s="319" t="s">
        <v>190</v>
      </c>
      <c r="AI266" s="319" t="s">
        <v>190</v>
      </c>
      <c r="AJ266" s="319" t="s">
        <v>479</v>
      </c>
      <c r="AK266" s="319" t="s">
        <v>479</v>
      </c>
      <c r="AL266" s="319" t="s">
        <v>479</v>
      </c>
      <c r="AM266" s="319" t="s">
        <v>190</v>
      </c>
      <c r="AN266" s="319" t="s">
        <v>479</v>
      </c>
      <c r="AO266" s="319" t="s">
        <v>479</v>
      </c>
      <c r="AP266" s="319" t="s">
        <v>190</v>
      </c>
      <c r="AQ266" s="319" t="s">
        <v>190</v>
      </c>
      <c r="AR266" s="319" t="s">
        <v>190</v>
      </c>
      <c r="AS266" s="319" t="s">
        <v>190</v>
      </c>
      <c r="AT266" s="319" t="s">
        <v>190</v>
      </c>
      <c r="AU266" s="319" t="s">
        <v>190</v>
      </c>
      <c r="AV266" s="319" t="s">
        <v>190</v>
      </c>
      <c r="AW266" s="319" t="s">
        <v>190</v>
      </c>
      <c r="AX266" s="319" t="s">
        <v>428</v>
      </c>
      <c r="AY266" s="319" t="s">
        <v>190</v>
      </c>
      <c r="AZ266" s="319" t="s">
        <v>190</v>
      </c>
      <c r="BA266" s="319" t="s">
        <v>190</v>
      </c>
      <c r="BB266" s="319" t="s">
        <v>190</v>
      </c>
      <c r="BC266" s="319" t="s">
        <v>190</v>
      </c>
      <c r="BD266" s="319" t="s">
        <v>190</v>
      </c>
      <c r="BE266" s="319" t="s">
        <v>190</v>
      </c>
      <c r="BF266" s="319" t="s">
        <v>428</v>
      </c>
      <c r="BG266" s="319" t="s">
        <v>190</v>
      </c>
      <c r="BH266" s="319" t="s">
        <v>190</v>
      </c>
      <c r="BI266" s="319" t="s">
        <v>190</v>
      </c>
      <c r="BJ266" s="319" t="s">
        <v>190</v>
      </c>
      <c r="BK266" s="319" t="s">
        <v>190</v>
      </c>
      <c r="BL266" s="319" t="s">
        <v>190</v>
      </c>
      <c r="BM266" s="319" t="s">
        <v>190</v>
      </c>
      <c r="BN266" s="319" t="s">
        <v>190</v>
      </c>
      <c r="BO266" s="319" t="s">
        <v>190</v>
      </c>
      <c r="BP266" s="319" t="s">
        <v>190</v>
      </c>
      <c r="BQ266" s="319" t="s">
        <v>190</v>
      </c>
      <c r="BR266" s="319" t="s">
        <v>190</v>
      </c>
      <c r="BS266" s="319" t="s">
        <v>190</v>
      </c>
      <c r="BT266" s="319" t="s">
        <v>190</v>
      </c>
      <c r="BU266" s="319" t="s">
        <v>190</v>
      </c>
      <c r="BV266" s="319" t="s">
        <v>190</v>
      </c>
      <c r="BW266" s="319" t="s">
        <v>190</v>
      </c>
      <c r="BX266" s="319" t="s">
        <v>190</v>
      </c>
      <c r="BY266" s="319" t="s">
        <v>190</v>
      </c>
      <c r="BZ266" s="319" t="s">
        <v>190</v>
      </c>
      <c r="CA266" s="319" t="s">
        <v>190</v>
      </c>
      <c r="CB266" s="319" t="s">
        <v>190</v>
      </c>
      <c r="CC266" s="319" t="s">
        <v>190</v>
      </c>
      <c r="CD266" s="319" t="s">
        <v>190</v>
      </c>
      <c r="CE266" s="319" t="s">
        <v>190</v>
      </c>
      <c r="CF266" s="319" t="s">
        <v>190</v>
      </c>
      <c r="CG266" s="319" t="s">
        <v>190</v>
      </c>
      <c r="CH266" s="319" t="s">
        <v>190</v>
      </c>
      <c r="CI266" s="319" t="s">
        <v>190</v>
      </c>
      <c r="CJ266" s="319" t="s">
        <v>190</v>
      </c>
      <c r="CK266" s="319" t="s">
        <v>191</v>
      </c>
      <c r="CL266" s="319" t="s">
        <v>191</v>
      </c>
      <c r="CM266" s="319" t="s">
        <v>191</v>
      </c>
      <c r="CN266" s="319" t="s">
        <v>191</v>
      </c>
      <c r="CO266" s="319" t="s">
        <v>191</v>
      </c>
      <c r="CP266" s="319" t="s">
        <v>191</v>
      </c>
      <c r="CQ266" s="319" t="s">
        <v>190</v>
      </c>
      <c r="CR266" s="319" t="s">
        <v>190</v>
      </c>
      <c r="CS266" s="319" t="s">
        <v>190</v>
      </c>
      <c r="CT266" s="319" t="s">
        <v>190</v>
      </c>
      <c r="CU266" s="319" t="s">
        <v>190</v>
      </c>
      <c r="CV266" s="319" t="s">
        <v>191</v>
      </c>
      <c r="CW266" s="319" t="s">
        <v>191</v>
      </c>
      <c r="CX266" s="319" t="s">
        <v>190</v>
      </c>
      <c r="CY266" s="319" t="s">
        <v>190</v>
      </c>
      <c r="CZ266" s="319" t="s">
        <v>190</v>
      </c>
      <c r="DA266" s="319" t="s">
        <v>190</v>
      </c>
      <c r="DB266" s="319" t="s">
        <v>190</v>
      </c>
      <c r="DC266" s="319" t="s">
        <v>190</v>
      </c>
      <c r="DD266" s="319" t="s">
        <v>191</v>
      </c>
      <c r="DE266" s="319" t="s">
        <v>191</v>
      </c>
      <c r="DF266" s="319" t="s">
        <v>191</v>
      </c>
      <c r="DG266" s="319" t="s">
        <v>191</v>
      </c>
      <c r="DH266" s="319" t="s">
        <v>191</v>
      </c>
      <c r="DI266" s="319" t="s">
        <v>191</v>
      </c>
      <c r="DJ266" s="319" t="s">
        <v>191</v>
      </c>
      <c r="DK266" s="319" t="s">
        <v>190</v>
      </c>
      <c r="DL266" s="319" t="s">
        <v>191</v>
      </c>
      <c r="DM266" s="319" t="s">
        <v>191</v>
      </c>
      <c r="DN266" s="319" t="s">
        <v>191</v>
      </c>
      <c r="DO266" s="319" t="s">
        <v>191</v>
      </c>
      <c r="DP266" s="319" t="s">
        <v>428</v>
      </c>
      <c r="DQ266" s="319" t="s">
        <v>428</v>
      </c>
      <c r="DR266" s="319" t="s">
        <v>428</v>
      </c>
      <c r="DS266" s="319" t="s">
        <v>428</v>
      </c>
      <c r="DT266" s="319" t="s">
        <v>428</v>
      </c>
      <c r="DU266" s="319" t="s">
        <v>428</v>
      </c>
      <c r="DV266" s="319" t="s">
        <v>173</v>
      </c>
      <c r="DW266" s="319" t="s">
        <v>428</v>
      </c>
      <c r="DX266" s="319" t="s">
        <v>428</v>
      </c>
      <c r="DY266" s="319" t="s">
        <v>428</v>
      </c>
      <c r="DZ266" s="319" t="s">
        <v>428</v>
      </c>
      <c r="EA266" s="319" t="s">
        <v>428</v>
      </c>
      <c r="EB266" s="319" t="s">
        <v>428</v>
      </c>
      <c r="EC266" s="319" t="s">
        <v>428</v>
      </c>
      <c r="ED266" s="319" t="s">
        <v>428</v>
      </c>
      <c r="EE266" s="319" t="s">
        <v>191</v>
      </c>
      <c r="EF266" s="319" t="s">
        <v>191</v>
      </c>
      <c r="EG266" s="319" t="s">
        <v>190</v>
      </c>
      <c r="EH266" s="319" t="s">
        <v>191</v>
      </c>
      <c r="EI266" s="319" t="s">
        <v>190</v>
      </c>
      <c r="EJ266" s="319" t="s">
        <v>190</v>
      </c>
      <c r="EK266" s="319" t="s">
        <v>190</v>
      </c>
      <c r="EL266" s="319" t="s">
        <v>190</v>
      </c>
      <c r="EM266" s="319" t="s">
        <v>190</v>
      </c>
      <c r="EN266" s="319" t="s">
        <v>191</v>
      </c>
      <c r="EO266" s="319" t="s">
        <v>190</v>
      </c>
      <c r="EP266" s="319" t="s">
        <v>191</v>
      </c>
      <c r="EQ266" s="319" t="s">
        <v>191</v>
      </c>
      <c r="ER266" s="319" t="s">
        <v>191</v>
      </c>
      <c r="ES266" s="319" t="s">
        <v>191</v>
      </c>
      <c r="ET266" s="319" t="s">
        <v>191</v>
      </c>
      <c r="EU266" s="319" t="s">
        <v>190</v>
      </c>
      <c r="EV266" s="319" t="s">
        <v>191</v>
      </c>
      <c r="EW266" s="319" t="s">
        <v>191</v>
      </c>
      <c r="EX266" s="319" t="s">
        <v>191</v>
      </c>
      <c r="EY266" s="319" t="s">
        <v>191</v>
      </c>
      <c r="EZ266" s="319" t="s">
        <v>191</v>
      </c>
      <c r="FA266" s="319" t="s">
        <v>191</v>
      </c>
      <c r="FB266" s="319" t="s">
        <v>428</v>
      </c>
      <c r="FC266" s="319" t="s">
        <v>428</v>
      </c>
      <c r="FD266" s="319" t="s">
        <v>428</v>
      </c>
      <c r="FE266" s="319" t="s">
        <v>428</v>
      </c>
      <c r="FF266" s="319" t="s">
        <v>428</v>
      </c>
      <c r="FG266" s="319" t="s">
        <v>428</v>
      </c>
      <c r="FH266" s="319" t="s">
        <v>428</v>
      </c>
      <c r="FI266" s="319" t="s">
        <v>191</v>
      </c>
      <c r="FJ266" s="319" t="s">
        <v>191</v>
      </c>
      <c r="FK266" s="319" t="s">
        <v>190</v>
      </c>
      <c r="FL266" s="319" t="s">
        <v>190</v>
      </c>
      <c r="FM266" s="319" t="s">
        <v>190</v>
      </c>
      <c r="FN266" s="319" t="s">
        <v>190</v>
      </c>
      <c r="FO266" s="319" t="s">
        <v>190</v>
      </c>
      <c r="FP266" s="319" t="s">
        <v>190</v>
      </c>
      <c r="FQ266" s="319" t="s">
        <v>190</v>
      </c>
      <c r="FR266" s="319" t="s">
        <v>190</v>
      </c>
      <c r="FS266" s="319" t="s">
        <v>428</v>
      </c>
      <c r="FT266" s="319" t="s">
        <v>190</v>
      </c>
      <c r="FU266" s="319" t="s">
        <v>191</v>
      </c>
      <c r="FV266" s="319" t="s">
        <v>190</v>
      </c>
      <c r="FW266" s="319" t="s">
        <v>190</v>
      </c>
      <c r="FX266" s="319" t="s">
        <v>190</v>
      </c>
      <c r="FY266" s="319" t="s">
        <v>190</v>
      </c>
      <c r="FZ266" s="319" t="s">
        <v>191</v>
      </c>
      <c r="GA266" s="319" t="s">
        <v>191</v>
      </c>
      <c r="GB266" s="319" t="s">
        <v>190</v>
      </c>
      <c r="GC266" s="319" t="s">
        <v>190</v>
      </c>
      <c r="GD266" s="319" t="s">
        <v>190</v>
      </c>
      <c r="GE266" s="319" t="s">
        <v>191</v>
      </c>
      <c r="GF266" s="319" t="s">
        <v>190</v>
      </c>
      <c r="GG266" s="319" t="s">
        <v>191</v>
      </c>
      <c r="GH266" s="319" t="s">
        <v>190</v>
      </c>
      <c r="GI266" s="319" t="s">
        <v>190</v>
      </c>
      <c r="GJ266" s="319" t="s">
        <v>190</v>
      </c>
      <c r="GK266" s="319" t="s">
        <v>191</v>
      </c>
      <c r="GL266" s="319" t="s">
        <v>190</v>
      </c>
      <c r="GM266" s="319" t="s">
        <v>190</v>
      </c>
      <c r="GN266" s="319" t="s">
        <v>190</v>
      </c>
      <c r="GO266" s="319" t="s">
        <v>190</v>
      </c>
      <c r="GP266" s="319" t="s">
        <v>190</v>
      </c>
      <c r="GQ266" s="319" t="s">
        <v>190</v>
      </c>
      <c r="GR266" s="319" t="s">
        <v>190</v>
      </c>
      <c r="GS266" s="319" t="s">
        <v>190</v>
      </c>
      <c r="GT266" s="319" t="s">
        <v>428</v>
      </c>
      <c r="GU266" s="319" t="s">
        <v>428</v>
      </c>
      <c r="GV266" s="319" t="s">
        <v>428</v>
      </c>
      <c r="GW266" s="319" t="s">
        <v>190</v>
      </c>
      <c r="GX266" s="319" t="s">
        <v>190</v>
      </c>
      <c r="GY266" s="319" t="s">
        <v>190</v>
      </c>
      <c r="GZ266" s="319" t="s">
        <v>428</v>
      </c>
      <c r="HA266" s="319" t="s">
        <v>190</v>
      </c>
      <c r="HB266" s="319" t="s">
        <v>428</v>
      </c>
      <c r="HC266" s="319" t="s">
        <v>190</v>
      </c>
      <c r="HD266" s="319" t="s">
        <v>190</v>
      </c>
      <c r="HE266" s="319" t="s">
        <v>190</v>
      </c>
      <c r="HF266" s="319" t="s">
        <v>190</v>
      </c>
      <c r="HG266" s="319" t="s">
        <v>190</v>
      </c>
      <c r="HH266" s="319" t="s">
        <v>190</v>
      </c>
      <c r="HI266" s="319" t="s">
        <v>190</v>
      </c>
      <c r="HJ266" s="319" t="s">
        <v>191</v>
      </c>
      <c r="HK266" s="319" t="s">
        <v>190</v>
      </c>
      <c r="HL266" s="319" t="s">
        <v>428</v>
      </c>
      <c r="HM266" s="319" t="s">
        <v>428</v>
      </c>
      <c r="HN266" s="319" t="s">
        <v>428</v>
      </c>
      <c r="HO266" s="319" t="s">
        <v>428</v>
      </c>
      <c r="HP266" s="319" t="s">
        <v>191</v>
      </c>
      <c r="HQ266" s="319" t="s">
        <v>190</v>
      </c>
      <c r="HR266" s="319" t="s">
        <v>190</v>
      </c>
      <c r="HS266" s="319" t="s">
        <v>190</v>
      </c>
      <c r="HT266" s="319" t="s">
        <v>190</v>
      </c>
      <c r="HU266" s="319" t="s">
        <v>190</v>
      </c>
      <c r="HV266" s="319" t="s">
        <v>190</v>
      </c>
      <c r="HW266" s="319" t="s">
        <v>191</v>
      </c>
      <c r="HX266" s="319" t="s">
        <v>190</v>
      </c>
      <c r="HY266" s="319" t="s">
        <v>190</v>
      </c>
      <c r="HZ266" s="319" t="s">
        <v>190</v>
      </c>
      <c r="IA266" s="319" t="s">
        <v>190</v>
      </c>
      <c r="IB266" s="319" t="s">
        <v>190</v>
      </c>
      <c r="IC266" s="319" t="s">
        <v>190</v>
      </c>
      <c r="ID266" s="319" t="s">
        <v>190</v>
      </c>
      <c r="IE266" s="319" t="s">
        <v>190</v>
      </c>
      <c r="IF266" s="319" t="s">
        <v>191</v>
      </c>
      <c r="IG266" s="319" t="s">
        <v>191</v>
      </c>
      <c r="IH266" s="319" t="s">
        <v>191</v>
      </c>
      <c r="II266" s="319" t="s">
        <v>191</v>
      </c>
      <c r="IJ266" s="319">
        <v>10043780</v>
      </c>
      <c r="IK266" s="321">
        <v>43207</v>
      </c>
      <c r="IL266" s="321">
        <v>43209</v>
      </c>
      <c r="IM266" s="321">
        <v>43266</v>
      </c>
      <c r="IN266" s="319">
        <v>3</v>
      </c>
      <c r="IO266" s="319" t="s">
        <v>173</v>
      </c>
      <c r="IP266" s="319" t="s">
        <v>173</v>
      </c>
      <c r="IQ266" s="319" t="s">
        <v>173</v>
      </c>
      <c r="IR266" s="320" t="s">
        <v>173</v>
      </c>
      <c r="IS266" s="320" t="s">
        <v>173</v>
      </c>
      <c r="IT266" s="319" t="s">
        <v>173</v>
      </c>
    </row>
    <row r="267" spans="1:254" s="271" customFormat="1" x14ac:dyDescent="0.25">
      <c r="A267" s="318" t="str">
        <f>HYPERLINK("http://www.ofsted.gov.uk/inspection-reports/find-inspection-report/provider/ELS/130286 ","Ofsted School Webpage")</f>
        <v>Ofsted School Webpage</v>
      </c>
      <c r="B267" s="319">
        <v>130286</v>
      </c>
      <c r="C267" s="319">
        <v>3526050</v>
      </c>
      <c r="D267" s="319" t="s">
        <v>3066</v>
      </c>
      <c r="E267" s="319" t="s">
        <v>167</v>
      </c>
      <c r="F267" s="319" t="s">
        <v>81</v>
      </c>
      <c r="G267" s="319" t="s">
        <v>81</v>
      </c>
      <c r="H267" s="319" t="s">
        <v>81</v>
      </c>
      <c r="I267" s="319" t="s">
        <v>78</v>
      </c>
      <c r="J267" s="319" t="s">
        <v>424</v>
      </c>
      <c r="K267" s="319" t="s">
        <v>431</v>
      </c>
      <c r="L267" s="319" t="s">
        <v>431</v>
      </c>
      <c r="M267" s="319" t="s">
        <v>660</v>
      </c>
      <c r="N267" s="319" t="s">
        <v>2874</v>
      </c>
      <c r="O267" s="319" t="s">
        <v>855</v>
      </c>
      <c r="P267" s="319">
        <v>291</v>
      </c>
      <c r="Q267" s="319" t="s">
        <v>2766</v>
      </c>
      <c r="R267" s="320">
        <v>10067885</v>
      </c>
      <c r="S267" s="321">
        <v>43487</v>
      </c>
      <c r="T267" s="321">
        <v>43489</v>
      </c>
      <c r="U267" s="321">
        <v>43550</v>
      </c>
      <c r="V267" s="319" t="s">
        <v>425</v>
      </c>
      <c r="W267" s="319" t="s">
        <v>2767</v>
      </c>
      <c r="X267" s="319">
        <v>3</v>
      </c>
      <c r="Y267" s="319" t="s">
        <v>173</v>
      </c>
      <c r="Z267" s="319" t="s">
        <v>173</v>
      </c>
      <c r="AA267" s="319" t="s">
        <v>173</v>
      </c>
      <c r="AB267" s="319">
        <v>3</v>
      </c>
      <c r="AC267" s="319" t="s">
        <v>169</v>
      </c>
      <c r="AD267" s="319">
        <v>3</v>
      </c>
      <c r="AE267" s="319" t="s">
        <v>173</v>
      </c>
      <c r="AF267" s="319" t="s">
        <v>447</v>
      </c>
      <c r="AG267" s="319" t="s">
        <v>172</v>
      </c>
      <c r="AH267" s="319" t="s">
        <v>190</v>
      </c>
      <c r="AI267" s="319" t="s">
        <v>479</v>
      </c>
      <c r="AJ267" s="319" t="s">
        <v>190</v>
      </c>
      <c r="AK267" s="319" t="s">
        <v>190</v>
      </c>
      <c r="AL267" s="319" t="s">
        <v>190</v>
      </c>
      <c r="AM267" s="319" t="s">
        <v>190</v>
      </c>
      <c r="AN267" s="319" t="s">
        <v>190</v>
      </c>
      <c r="AO267" s="319" t="s">
        <v>479</v>
      </c>
      <c r="AP267" s="319" t="s">
        <v>190</v>
      </c>
      <c r="AQ267" s="319" t="s">
        <v>190</v>
      </c>
      <c r="AR267" s="319" t="s">
        <v>190</v>
      </c>
      <c r="AS267" s="319" t="s">
        <v>190</v>
      </c>
      <c r="AT267" s="319" t="s">
        <v>190</v>
      </c>
      <c r="AU267" s="319" t="s">
        <v>191</v>
      </c>
      <c r="AV267" s="319" t="s">
        <v>190</v>
      </c>
      <c r="AW267" s="319" t="s">
        <v>190</v>
      </c>
      <c r="AX267" s="319" t="s">
        <v>190</v>
      </c>
      <c r="AY267" s="319" t="s">
        <v>191</v>
      </c>
      <c r="AZ267" s="319" t="s">
        <v>190</v>
      </c>
      <c r="BA267" s="319" t="s">
        <v>191</v>
      </c>
      <c r="BB267" s="319" t="s">
        <v>428</v>
      </c>
      <c r="BC267" s="319" t="s">
        <v>428</v>
      </c>
      <c r="BD267" s="319" t="s">
        <v>428</v>
      </c>
      <c r="BE267" s="319" t="s">
        <v>428</v>
      </c>
      <c r="BF267" s="319" t="s">
        <v>190</v>
      </c>
      <c r="BG267" s="319" t="s">
        <v>428</v>
      </c>
      <c r="BH267" s="319" t="s">
        <v>190</v>
      </c>
      <c r="BI267" s="319" t="s">
        <v>190</v>
      </c>
      <c r="BJ267" s="319" t="s">
        <v>190</v>
      </c>
      <c r="BK267" s="319" t="s">
        <v>190</v>
      </c>
      <c r="BL267" s="319" t="s">
        <v>190</v>
      </c>
      <c r="BM267" s="319" t="s">
        <v>190</v>
      </c>
      <c r="BN267" s="319" t="s">
        <v>190</v>
      </c>
      <c r="BO267" s="319" t="s">
        <v>190</v>
      </c>
      <c r="BP267" s="319" t="s">
        <v>190</v>
      </c>
      <c r="BQ267" s="319" t="s">
        <v>190</v>
      </c>
      <c r="BR267" s="319" t="s">
        <v>190</v>
      </c>
      <c r="BS267" s="319" t="s">
        <v>190</v>
      </c>
      <c r="BT267" s="319" t="s">
        <v>190</v>
      </c>
      <c r="BU267" s="319" t="s">
        <v>190</v>
      </c>
      <c r="BV267" s="319" t="s">
        <v>191</v>
      </c>
      <c r="BW267" s="319" t="s">
        <v>190</v>
      </c>
      <c r="BX267" s="319" t="s">
        <v>190</v>
      </c>
      <c r="BY267" s="319" t="s">
        <v>190</v>
      </c>
      <c r="BZ267" s="319" t="s">
        <v>190</v>
      </c>
      <c r="CA267" s="319" t="s">
        <v>190</v>
      </c>
      <c r="CB267" s="319" t="s">
        <v>190</v>
      </c>
      <c r="CC267" s="319" t="s">
        <v>190</v>
      </c>
      <c r="CD267" s="319" t="s">
        <v>191</v>
      </c>
      <c r="CE267" s="319" t="s">
        <v>190</v>
      </c>
      <c r="CF267" s="319" t="s">
        <v>190</v>
      </c>
      <c r="CG267" s="319" t="s">
        <v>190</v>
      </c>
      <c r="CH267" s="319" t="s">
        <v>190</v>
      </c>
      <c r="CI267" s="319" t="s">
        <v>190</v>
      </c>
      <c r="CJ267" s="319" t="s">
        <v>190</v>
      </c>
      <c r="CK267" s="319" t="s">
        <v>190</v>
      </c>
      <c r="CL267" s="319" t="s">
        <v>190</v>
      </c>
      <c r="CM267" s="319" t="s">
        <v>190</v>
      </c>
      <c r="CN267" s="319" t="s">
        <v>428</v>
      </c>
      <c r="CO267" s="319" t="s">
        <v>428</v>
      </c>
      <c r="CP267" s="319" t="s">
        <v>428</v>
      </c>
      <c r="CQ267" s="319" t="s">
        <v>190</v>
      </c>
      <c r="CR267" s="319" t="s">
        <v>190</v>
      </c>
      <c r="CS267" s="319" t="s">
        <v>190</v>
      </c>
      <c r="CT267" s="319" t="s">
        <v>190</v>
      </c>
      <c r="CU267" s="319" t="s">
        <v>190</v>
      </c>
      <c r="CV267" s="319" t="s">
        <v>190</v>
      </c>
      <c r="CW267" s="319" t="s">
        <v>190</v>
      </c>
      <c r="CX267" s="319" t="s">
        <v>190</v>
      </c>
      <c r="CY267" s="319" t="s">
        <v>190</v>
      </c>
      <c r="CZ267" s="319" t="s">
        <v>190</v>
      </c>
      <c r="DA267" s="319" t="s">
        <v>190</v>
      </c>
      <c r="DB267" s="319" t="s">
        <v>190</v>
      </c>
      <c r="DC267" s="319" t="s">
        <v>190</v>
      </c>
      <c r="DD267" s="319" t="s">
        <v>190</v>
      </c>
      <c r="DE267" s="319" t="s">
        <v>190</v>
      </c>
      <c r="DF267" s="319" t="s">
        <v>190</v>
      </c>
      <c r="DG267" s="319" t="s">
        <v>190</v>
      </c>
      <c r="DH267" s="319" t="s">
        <v>190</v>
      </c>
      <c r="DI267" s="319" t="s">
        <v>190</v>
      </c>
      <c r="DJ267" s="319" t="s">
        <v>190</v>
      </c>
      <c r="DK267" s="319" t="s">
        <v>190</v>
      </c>
      <c r="DL267" s="319" t="s">
        <v>190</v>
      </c>
      <c r="DM267" s="319" t="s">
        <v>190</v>
      </c>
      <c r="DN267" s="319" t="s">
        <v>428</v>
      </c>
      <c r="DO267" s="319" t="s">
        <v>190</v>
      </c>
      <c r="DP267" s="319" t="s">
        <v>190</v>
      </c>
      <c r="DQ267" s="319" t="s">
        <v>190</v>
      </c>
      <c r="DR267" s="319" t="s">
        <v>190</v>
      </c>
      <c r="DS267" s="319" t="s">
        <v>190</v>
      </c>
      <c r="DT267" s="319" t="s">
        <v>190</v>
      </c>
      <c r="DU267" s="319" t="s">
        <v>190</v>
      </c>
      <c r="DV267" s="319" t="s">
        <v>173</v>
      </c>
      <c r="DW267" s="319" t="s">
        <v>190</v>
      </c>
      <c r="DX267" s="319" t="s">
        <v>190</v>
      </c>
      <c r="DY267" s="319" t="s">
        <v>190</v>
      </c>
      <c r="DZ267" s="319" t="s">
        <v>190</v>
      </c>
      <c r="EA267" s="319" t="s">
        <v>190</v>
      </c>
      <c r="EB267" s="319" t="s">
        <v>190</v>
      </c>
      <c r="EC267" s="319" t="s">
        <v>428</v>
      </c>
      <c r="ED267" s="319" t="s">
        <v>190</v>
      </c>
      <c r="EE267" s="319" t="s">
        <v>190</v>
      </c>
      <c r="EF267" s="319" t="s">
        <v>190</v>
      </c>
      <c r="EG267" s="319" t="s">
        <v>190</v>
      </c>
      <c r="EH267" s="319" t="s">
        <v>190</v>
      </c>
      <c r="EI267" s="319" t="s">
        <v>190</v>
      </c>
      <c r="EJ267" s="319" t="s">
        <v>190</v>
      </c>
      <c r="EK267" s="319" t="s">
        <v>190</v>
      </c>
      <c r="EL267" s="319" t="s">
        <v>190</v>
      </c>
      <c r="EM267" s="319" t="s">
        <v>190</v>
      </c>
      <c r="EN267" s="319" t="s">
        <v>190</v>
      </c>
      <c r="EO267" s="319" t="s">
        <v>190</v>
      </c>
      <c r="EP267" s="319" t="s">
        <v>190</v>
      </c>
      <c r="EQ267" s="319" t="s">
        <v>190</v>
      </c>
      <c r="ER267" s="319" t="s">
        <v>190</v>
      </c>
      <c r="ES267" s="319" t="s">
        <v>190</v>
      </c>
      <c r="ET267" s="319" t="s">
        <v>190</v>
      </c>
      <c r="EU267" s="319" t="s">
        <v>190</v>
      </c>
      <c r="EV267" s="319" t="s">
        <v>190</v>
      </c>
      <c r="EW267" s="319" t="s">
        <v>190</v>
      </c>
      <c r="EX267" s="319" t="s">
        <v>190</v>
      </c>
      <c r="EY267" s="319" t="s">
        <v>190</v>
      </c>
      <c r="EZ267" s="319" t="s">
        <v>190</v>
      </c>
      <c r="FA267" s="319" t="s">
        <v>190</v>
      </c>
      <c r="FB267" s="319" t="s">
        <v>190</v>
      </c>
      <c r="FC267" s="319" t="s">
        <v>190</v>
      </c>
      <c r="FD267" s="319" t="s">
        <v>190</v>
      </c>
      <c r="FE267" s="319" t="s">
        <v>190</v>
      </c>
      <c r="FF267" s="319" t="s">
        <v>190</v>
      </c>
      <c r="FG267" s="319" t="s">
        <v>190</v>
      </c>
      <c r="FH267" s="319" t="s">
        <v>190</v>
      </c>
      <c r="FI267" s="319" t="s">
        <v>190</v>
      </c>
      <c r="FJ267" s="319" t="s">
        <v>190</v>
      </c>
      <c r="FK267" s="319" t="s">
        <v>190</v>
      </c>
      <c r="FL267" s="319" t="s">
        <v>190</v>
      </c>
      <c r="FM267" s="319" t="s">
        <v>190</v>
      </c>
      <c r="FN267" s="319" t="s">
        <v>428</v>
      </c>
      <c r="FO267" s="319" t="s">
        <v>428</v>
      </c>
      <c r="FP267" s="319" t="s">
        <v>190</v>
      </c>
      <c r="FQ267" s="319" t="s">
        <v>190</v>
      </c>
      <c r="FR267" s="319" t="s">
        <v>190</v>
      </c>
      <c r="FS267" s="319" t="s">
        <v>428</v>
      </c>
      <c r="FT267" s="319" t="s">
        <v>190</v>
      </c>
      <c r="FU267" s="319" t="s">
        <v>190</v>
      </c>
      <c r="FV267" s="319" t="s">
        <v>190</v>
      </c>
      <c r="FW267" s="319" t="s">
        <v>190</v>
      </c>
      <c r="FX267" s="319" t="s">
        <v>190</v>
      </c>
      <c r="FY267" s="319" t="s">
        <v>190</v>
      </c>
      <c r="FZ267" s="319" t="s">
        <v>190</v>
      </c>
      <c r="GA267" s="319" t="s">
        <v>190</v>
      </c>
      <c r="GB267" s="319" t="s">
        <v>190</v>
      </c>
      <c r="GC267" s="319" t="s">
        <v>190</v>
      </c>
      <c r="GD267" s="319" t="s">
        <v>190</v>
      </c>
      <c r="GE267" s="319" t="s">
        <v>190</v>
      </c>
      <c r="GF267" s="319" t="s">
        <v>190</v>
      </c>
      <c r="GG267" s="319" t="s">
        <v>190</v>
      </c>
      <c r="GH267" s="319" t="s">
        <v>190</v>
      </c>
      <c r="GI267" s="319" t="s">
        <v>190</v>
      </c>
      <c r="GJ267" s="319" t="s">
        <v>190</v>
      </c>
      <c r="GK267" s="319" t="s">
        <v>428</v>
      </c>
      <c r="GL267" s="319" t="s">
        <v>190</v>
      </c>
      <c r="GM267" s="319" t="s">
        <v>190</v>
      </c>
      <c r="GN267" s="319" t="s">
        <v>190</v>
      </c>
      <c r="GO267" s="319" t="s">
        <v>190</v>
      </c>
      <c r="GP267" s="319" t="s">
        <v>190</v>
      </c>
      <c r="GQ267" s="319" t="s">
        <v>428</v>
      </c>
      <c r="GR267" s="319" t="s">
        <v>190</v>
      </c>
      <c r="GS267" s="319" t="s">
        <v>190</v>
      </c>
      <c r="GT267" s="319" t="s">
        <v>428</v>
      </c>
      <c r="GU267" s="319" t="s">
        <v>428</v>
      </c>
      <c r="GV267" s="319" t="s">
        <v>190</v>
      </c>
      <c r="GW267" s="319" t="s">
        <v>190</v>
      </c>
      <c r="GX267" s="319" t="s">
        <v>190</v>
      </c>
      <c r="GY267" s="319" t="s">
        <v>190</v>
      </c>
      <c r="GZ267" s="319" t="s">
        <v>190</v>
      </c>
      <c r="HA267" s="319" t="s">
        <v>428</v>
      </c>
      <c r="HB267" s="319" t="s">
        <v>428</v>
      </c>
      <c r="HC267" s="319" t="s">
        <v>190</v>
      </c>
      <c r="HD267" s="319" t="s">
        <v>190</v>
      </c>
      <c r="HE267" s="319" t="s">
        <v>190</v>
      </c>
      <c r="HF267" s="319" t="s">
        <v>190</v>
      </c>
      <c r="HG267" s="319" t="s">
        <v>190</v>
      </c>
      <c r="HH267" s="319" t="s">
        <v>190</v>
      </c>
      <c r="HI267" s="319" t="s">
        <v>190</v>
      </c>
      <c r="HJ267" s="319" t="s">
        <v>190</v>
      </c>
      <c r="HK267" s="319" t="s">
        <v>190</v>
      </c>
      <c r="HL267" s="319" t="s">
        <v>190</v>
      </c>
      <c r="HM267" s="319" t="s">
        <v>190</v>
      </c>
      <c r="HN267" s="319" t="s">
        <v>190</v>
      </c>
      <c r="HO267" s="319" t="s">
        <v>190</v>
      </c>
      <c r="HP267" s="319" t="s">
        <v>190</v>
      </c>
      <c r="HQ267" s="319" t="s">
        <v>190</v>
      </c>
      <c r="HR267" s="319" t="s">
        <v>190</v>
      </c>
      <c r="HS267" s="319" t="s">
        <v>190</v>
      </c>
      <c r="HT267" s="319" t="s">
        <v>190</v>
      </c>
      <c r="HU267" s="319" t="s">
        <v>190</v>
      </c>
      <c r="HV267" s="319" t="s">
        <v>190</v>
      </c>
      <c r="HW267" s="319" t="s">
        <v>190</v>
      </c>
      <c r="HX267" s="319" t="s">
        <v>190</v>
      </c>
      <c r="HY267" s="319" t="s">
        <v>190</v>
      </c>
      <c r="HZ267" s="319" t="s">
        <v>190</v>
      </c>
      <c r="IA267" s="319" t="s">
        <v>190</v>
      </c>
      <c r="IB267" s="319" t="s">
        <v>190</v>
      </c>
      <c r="IC267" s="319" t="s">
        <v>190</v>
      </c>
      <c r="ID267" s="319" t="s">
        <v>190</v>
      </c>
      <c r="IE267" s="319" t="s">
        <v>190</v>
      </c>
      <c r="IF267" s="319" t="s">
        <v>191</v>
      </c>
      <c r="IG267" s="319" t="s">
        <v>191</v>
      </c>
      <c r="IH267" s="319" t="s">
        <v>191</v>
      </c>
      <c r="II267" s="319" t="s">
        <v>190</v>
      </c>
      <c r="IJ267" s="319">
        <v>10026805</v>
      </c>
      <c r="IK267" s="321">
        <v>42815</v>
      </c>
      <c r="IL267" s="321">
        <v>42817</v>
      </c>
      <c r="IM267" s="321">
        <v>42871</v>
      </c>
      <c r="IN267" s="319">
        <v>4</v>
      </c>
      <c r="IO267" s="319" t="s">
        <v>173</v>
      </c>
      <c r="IP267" s="319" t="s">
        <v>173</v>
      </c>
      <c r="IQ267" s="319" t="s">
        <v>173</v>
      </c>
      <c r="IR267" s="320" t="s">
        <v>173</v>
      </c>
      <c r="IS267" s="320" t="s">
        <v>173</v>
      </c>
      <c r="IT267" s="319" t="s">
        <v>173</v>
      </c>
    </row>
    <row r="268" spans="1:254" s="271" customFormat="1" x14ac:dyDescent="0.25">
      <c r="A268" s="318" t="str">
        <f>HYPERLINK("http://www.ofsted.gov.uk/inspection-reports/find-inspection-report/provider/ELS/130287 ","Ofsted School Webpage")</f>
        <v>Ofsted School Webpage</v>
      </c>
      <c r="B268" s="319">
        <v>130287</v>
      </c>
      <c r="C268" s="319">
        <v>3556031</v>
      </c>
      <c r="D268" s="319" t="s">
        <v>1573</v>
      </c>
      <c r="E268" s="319" t="s">
        <v>167</v>
      </c>
      <c r="F268" s="319" t="s">
        <v>81</v>
      </c>
      <c r="G268" s="319" t="s">
        <v>69</v>
      </c>
      <c r="H268" s="319" t="s">
        <v>69</v>
      </c>
      <c r="I268" s="319" t="s">
        <v>69</v>
      </c>
      <c r="J268" s="319" t="s">
        <v>424</v>
      </c>
      <c r="K268" s="319" t="s">
        <v>431</v>
      </c>
      <c r="L268" s="319" t="s">
        <v>431</v>
      </c>
      <c r="M268" s="319" t="s">
        <v>533</v>
      </c>
      <c r="N268" s="319" t="s">
        <v>2874</v>
      </c>
      <c r="O268" s="319" t="s">
        <v>1574</v>
      </c>
      <c r="P268" s="319">
        <v>60</v>
      </c>
      <c r="Q268" s="319" t="s">
        <v>2766</v>
      </c>
      <c r="R268" s="320">
        <v>10034024</v>
      </c>
      <c r="S268" s="321">
        <v>43291</v>
      </c>
      <c r="T268" s="321">
        <v>43293</v>
      </c>
      <c r="U268" s="321">
        <v>43418</v>
      </c>
      <c r="V268" s="319" t="s">
        <v>425</v>
      </c>
      <c r="W268" s="319" t="s">
        <v>2767</v>
      </c>
      <c r="X268" s="319">
        <v>4</v>
      </c>
      <c r="Y268" s="319" t="s">
        <v>173</v>
      </c>
      <c r="Z268" s="319" t="s">
        <v>173</v>
      </c>
      <c r="AA268" s="319" t="s">
        <v>173</v>
      </c>
      <c r="AB268" s="319">
        <v>4</v>
      </c>
      <c r="AC268" s="319" t="s">
        <v>170</v>
      </c>
      <c r="AD268" s="319" t="s">
        <v>173</v>
      </c>
      <c r="AE268" s="319" t="s">
        <v>173</v>
      </c>
      <c r="AF268" s="319" t="s">
        <v>447</v>
      </c>
      <c r="AG268" s="319" t="s">
        <v>172</v>
      </c>
      <c r="AH268" s="319" t="s">
        <v>479</v>
      </c>
      <c r="AI268" s="319" t="s">
        <v>479</v>
      </c>
      <c r="AJ268" s="319" t="s">
        <v>479</v>
      </c>
      <c r="AK268" s="319" t="s">
        <v>479</v>
      </c>
      <c r="AL268" s="319" t="s">
        <v>479</v>
      </c>
      <c r="AM268" s="319" t="s">
        <v>479</v>
      </c>
      <c r="AN268" s="319" t="s">
        <v>190</v>
      </c>
      <c r="AO268" s="319" t="s">
        <v>479</v>
      </c>
      <c r="AP268" s="319" t="s">
        <v>191</v>
      </c>
      <c r="AQ268" s="319" t="s">
        <v>191</v>
      </c>
      <c r="AR268" s="319" t="s">
        <v>191</v>
      </c>
      <c r="AS268" s="319" t="s">
        <v>191</v>
      </c>
      <c r="AT268" s="319" t="s">
        <v>191</v>
      </c>
      <c r="AU268" s="319" t="s">
        <v>191</v>
      </c>
      <c r="AV268" s="319" t="s">
        <v>191</v>
      </c>
      <c r="AW268" s="319" t="s">
        <v>191</v>
      </c>
      <c r="AX268" s="319" t="s">
        <v>191</v>
      </c>
      <c r="AY268" s="319" t="s">
        <v>191</v>
      </c>
      <c r="AZ268" s="319" t="s">
        <v>191</v>
      </c>
      <c r="BA268" s="319" t="s">
        <v>191</v>
      </c>
      <c r="BB268" s="319" t="s">
        <v>191</v>
      </c>
      <c r="BC268" s="319" t="s">
        <v>191</v>
      </c>
      <c r="BD268" s="319" t="s">
        <v>191</v>
      </c>
      <c r="BE268" s="319" t="s">
        <v>191</v>
      </c>
      <c r="BF268" s="319" t="s">
        <v>428</v>
      </c>
      <c r="BG268" s="319" t="s">
        <v>428</v>
      </c>
      <c r="BH268" s="319" t="s">
        <v>191</v>
      </c>
      <c r="BI268" s="319" t="s">
        <v>191</v>
      </c>
      <c r="BJ268" s="319" t="s">
        <v>191</v>
      </c>
      <c r="BK268" s="319" t="s">
        <v>191</v>
      </c>
      <c r="BL268" s="319" t="s">
        <v>191</v>
      </c>
      <c r="BM268" s="319" t="s">
        <v>191</v>
      </c>
      <c r="BN268" s="319" t="s">
        <v>191</v>
      </c>
      <c r="BO268" s="319" t="s">
        <v>191</v>
      </c>
      <c r="BP268" s="319" t="s">
        <v>191</v>
      </c>
      <c r="BQ268" s="319" t="s">
        <v>191</v>
      </c>
      <c r="BR268" s="319" t="s">
        <v>191</v>
      </c>
      <c r="BS268" s="319" t="s">
        <v>191</v>
      </c>
      <c r="BT268" s="319" t="s">
        <v>191</v>
      </c>
      <c r="BU268" s="319" t="s">
        <v>190</v>
      </c>
      <c r="BV268" s="319" t="s">
        <v>191</v>
      </c>
      <c r="BW268" s="319" t="s">
        <v>191</v>
      </c>
      <c r="BX268" s="319" t="s">
        <v>191</v>
      </c>
      <c r="BY268" s="319" t="s">
        <v>191</v>
      </c>
      <c r="BZ268" s="319" t="s">
        <v>191</v>
      </c>
      <c r="CA268" s="319" t="s">
        <v>191</v>
      </c>
      <c r="CB268" s="319" t="s">
        <v>191</v>
      </c>
      <c r="CC268" s="319" t="s">
        <v>191</v>
      </c>
      <c r="CD268" s="319" t="s">
        <v>191</v>
      </c>
      <c r="CE268" s="319" t="s">
        <v>191</v>
      </c>
      <c r="CF268" s="319" t="s">
        <v>191</v>
      </c>
      <c r="CG268" s="319" t="s">
        <v>191</v>
      </c>
      <c r="CH268" s="319" t="s">
        <v>191</v>
      </c>
      <c r="CI268" s="319" t="s">
        <v>191</v>
      </c>
      <c r="CJ268" s="319" t="s">
        <v>191</v>
      </c>
      <c r="CK268" s="319" t="s">
        <v>191</v>
      </c>
      <c r="CL268" s="319" t="s">
        <v>191</v>
      </c>
      <c r="CM268" s="319" t="s">
        <v>190</v>
      </c>
      <c r="CN268" s="319" t="s">
        <v>428</v>
      </c>
      <c r="CO268" s="319" t="s">
        <v>428</v>
      </c>
      <c r="CP268" s="319" t="s">
        <v>428</v>
      </c>
      <c r="CQ268" s="319" t="s">
        <v>191</v>
      </c>
      <c r="CR268" s="319" t="s">
        <v>190</v>
      </c>
      <c r="CS268" s="319" t="s">
        <v>191</v>
      </c>
      <c r="CT268" s="319" t="s">
        <v>190</v>
      </c>
      <c r="CU268" s="319" t="s">
        <v>191</v>
      </c>
      <c r="CV268" s="319" t="s">
        <v>190</v>
      </c>
      <c r="CW268" s="319" t="s">
        <v>190</v>
      </c>
      <c r="CX268" s="319" t="s">
        <v>191</v>
      </c>
      <c r="CY268" s="319" t="s">
        <v>190</v>
      </c>
      <c r="CZ268" s="319" t="s">
        <v>190</v>
      </c>
      <c r="DA268" s="319" t="s">
        <v>190</v>
      </c>
      <c r="DB268" s="319" t="s">
        <v>190</v>
      </c>
      <c r="DC268" s="319" t="s">
        <v>190</v>
      </c>
      <c r="DD268" s="319" t="s">
        <v>190</v>
      </c>
      <c r="DE268" s="319" t="s">
        <v>190</v>
      </c>
      <c r="DF268" s="319" t="s">
        <v>191</v>
      </c>
      <c r="DG268" s="319" t="s">
        <v>190</v>
      </c>
      <c r="DH268" s="319" t="s">
        <v>190</v>
      </c>
      <c r="DI268" s="319" t="s">
        <v>190</v>
      </c>
      <c r="DJ268" s="319" t="s">
        <v>190</v>
      </c>
      <c r="DK268" s="319" t="s">
        <v>190</v>
      </c>
      <c r="DL268" s="319" t="s">
        <v>190</v>
      </c>
      <c r="DM268" s="319" t="s">
        <v>428</v>
      </c>
      <c r="DN268" s="319" t="s">
        <v>428</v>
      </c>
      <c r="DO268" s="319" t="s">
        <v>428</v>
      </c>
      <c r="DP268" s="319" t="s">
        <v>428</v>
      </c>
      <c r="DQ268" s="319" t="s">
        <v>428</v>
      </c>
      <c r="DR268" s="319" t="s">
        <v>428</v>
      </c>
      <c r="DS268" s="319" t="s">
        <v>428</v>
      </c>
      <c r="DT268" s="319" t="s">
        <v>428</v>
      </c>
      <c r="DU268" s="319" t="s">
        <v>428</v>
      </c>
      <c r="DV268" s="319" t="s">
        <v>173</v>
      </c>
      <c r="DW268" s="319" t="s">
        <v>428</v>
      </c>
      <c r="DX268" s="319" t="s">
        <v>428</v>
      </c>
      <c r="DY268" s="319" t="s">
        <v>428</v>
      </c>
      <c r="DZ268" s="319" t="s">
        <v>428</v>
      </c>
      <c r="EA268" s="319" t="s">
        <v>428</v>
      </c>
      <c r="EB268" s="319" t="s">
        <v>428</v>
      </c>
      <c r="EC268" s="319" t="s">
        <v>428</v>
      </c>
      <c r="ED268" s="319" t="s">
        <v>428</v>
      </c>
      <c r="EE268" s="319" t="s">
        <v>191</v>
      </c>
      <c r="EF268" s="319" t="s">
        <v>191</v>
      </c>
      <c r="EG268" s="319" t="s">
        <v>191</v>
      </c>
      <c r="EH268" s="319" t="s">
        <v>191</v>
      </c>
      <c r="EI268" s="319" t="s">
        <v>191</v>
      </c>
      <c r="EJ268" s="319" t="s">
        <v>191</v>
      </c>
      <c r="EK268" s="319" t="s">
        <v>191</v>
      </c>
      <c r="EL268" s="319" t="s">
        <v>191</v>
      </c>
      <c r="EM268" s="319" t="s">
        <v>190</v>
      </c>
      <c r="EN268" s="319" t="s">
        <v>191</v>
      </c>
      <c r="EO268" s="319" t="s">
        <v>190</v>
      </c>
      <c r="EP268" s="319" t="s">
        <v>191</v>
      </c>
      <c r="EQ268" s="319" t="s">
        <v>191</v>
      </c>
      <c r="ER268" s="319" t="s">
        <v>190</v>
      </c>
      <c r="ES268" s="319" t="s">
        <v>190</v>
      </c>
      <c r="ET268" s="319" t="s">
        <v>191</v>
      </c>
      <c r="EU268" s="319" t="s">
        <v>190</v>
      </c>
      <c r="EV268" s="319" t="s">
        <v>190</v>
      </c>
      <c r="EW268" s="319" t="s">
        <v>190</v>
      </c>
      <c r="EX268" s="319" t="s">
        <v>190</v>
      </c>
      <c r="EY268" s="319" t="s">
        <v>190</v>
      </c>
      <c r="EZ268" s="319" t="s">
        <v>190</v>
      </c>
      <c r="FA268" s="319" t="s">
        <v>190</v>
      </c>
      <c r="FB268" s="319" t="s">
        <v>428</v>
      </c>
      <c r="FC268" s="319" t="s">
        <v>428</v>
      </c>
      <c r="FD268" s="319" t="s">
        <v>428</v>
      </c>
      <c r="FE268" s="319" t="s">
        <v>428</v>
      </c>
      <c r="FF268" s="319" t="s">
        <v>428</v>
      </c>
      <c r="FG268" s="319" t="s">
        <v>428</v>
      </c>
      <c r="FH268" s="319" t="s">
        <v>428</v>
      </c>
      <c r="FI268" s="319" t="s">
        <v>428</v>
      </c>
      <c r="FJ268" s="319" t="s">
        <v>429</v>
      </c>
      <c r="FK268" s="319" t="s">
        <v>428</v>
      </c>
      <c r="FL268" s="319" t="s">
        <v>190</v>
      </c>
      <c r="FM268" s="319" t="s">
        <v>190</v>
      </c>
      <c r="FN268" s="319" t="s">
        <v>428</v>
      </c>
      <c r="FO268" s="319" t="s">
        <v>191</v>
      </c>
      <c r="FP268" s="319" t="s">
        <v>191</v>
      </c>
      <c r="FQ268" s="319" t="s">
        <v>190</v>
      </c>
      <c r="FR268" s="319" t="s">
        <v>191</v>
      </c>
      <c r="FS268" s="319" t="s">
        <v>428</v>
      </c>
      <c r="FT268" s="319" t="s">
        <v>190</v>
      </c>
      <c r="FU268" s="319" t="s">
        <v>190</v>
      </c>
      <c r="FV268" s="319" t="s">
        <v>190</v>
      </c>
      <c r="FW268" s="319" t="s">
        <v>190</v>
      </c>
      <c r="FX268" s="319" t="s">
        <v>190</v>
      </c>
      <c r="FY268" s="319" t="s">
        <v>190</v>
      </c>
      <c r="FZ268" s="319" t="s">
        <v>190</v>
      </c>
      <c r="GA268" s="319" t="s">
        <v>190</v>
      </c>
      <c r="GB268" s="319" t="s">
        <v>190</v>
      </c>
      <c r="GC268" s="319" t="s">
        <v>190</v>
      </c>
      <c r="GD268" s="319" t="s">
        <v>190</v>
      </c>
      <c r="GE268" s="319" t="s">
        <v>190</v>
      </c>
      <c r="GF268" s="319" t="s">
        <v>190</v>
      </c>
      <c r="GG268" s="319" t="s">
        <v>190</v>
      </c>
      <c r="GH268" s="319" t="s">
        <v>191</v>
      </c>
      <c r="GI268" s="319" t="s">
        <v>191</v>
      </c>
      <c r="GJ268" s="319" t="s">
        <v>191</v>
      </c>
      <c r="GK268" s="319" t="s">
        <v>428</v>
      </c>
      <c r="GL268" s="319" t="s">
        <v>191</v>
      </c>
      <c r="GM268" s="319" t="s">
        <v>190</v>
      </c>
      <c r="GN268" s="319" t="s">
        <v>190</v>
      </c>
      <c r="GO268" s="319" t="s">
        <v>190</v>
      </c>
      <c r="GP268" s="319" t="s">
        <v>190</v>
      </c>
      <c r="GQ268" s="319" t="s">
        <v>428</v>
      </c>
      <c r="GR268" s="319" t="s">
        <v>190</v>
      </c>
      <c r="GS268" s="319" t="s">
        <v>191</v>
      </c>
      <c r="GT268" s="319" t="s">
        <v>428</v>
      </c>
      <c r="GU268" s="319" t="s">
        <v>428</v>
      </c>
      <c r="GV268" s="319" t="s">
        <v>428</v>
      </c>
      <c r="GW268" s="319" t="s">
        <v>190</v>
      </c>
      <c r="GX268" s="319" t="s">
        <v>190</v>
      </c>
      <c r="GY268" s="319" t="s">
        <v>190</v>
      </c>
      <c r="GZ268" s="319" t="s">
        <v>428</v>
      </c>
      <c r="HA268" s="319" t="s">
        <v>190</v>
      </c>
      <c r="HB268" s="319" t="s">
        <v>190</v>
      </c>
      <c r="HC268" s="319" t="s">
        <v>190</v>
      </c>
      <c r="HD268" s="319" t="s">
        <v>190</v>
      </c>
      <c r="HE268" s="319" t="s">
        <v>190</v>
      </c>
      <c r="HF268" s="319" t="s">
        <v>191</v>
      </c>
      <c r="HG268" s="319" t="s">
        <v>190</v>
      </c>
      <c r="HH268" s="319" t="s">
        <v>190</v>
      </c>
      <c r="HI268" s="319" t="s">
        <v>191</v>
      </c>
      <c r="HJ268" s="319" t="s">
        <v>191</v>
      </c>
      <c r="HK268" s="319" t="s">
        <v>190</v>
      </c>
      <c r="HL268" s="319" t="s">
        <v>428</v>
      </c>
      <c r="HM268" s="319" t="s">
        <v>428</v>
      </c>
      <c r="HN268" s="319" t="s">
        <v>428</v>
      </c>
      <c r="HO268" s="319" t="s">
        <v>428</v>
      </c>
      <c r="HP268" s="319" t="s">
        <v>190</v>
      </c>
      <c r="HQ268" s="319" t="s">
        <v>190</v>
      </c>
      <c r="HR268" s="319" t="s">
        <v>190</v>
      </c>
      <c r="HS268" s="319" t="s">
        <v>190</v>
      </c>
      <c r="HT268" s="319" t="s">
        <v>190</v>
      </c>
      <c r="HU268" s="319" t="s">
        <v>190</v>
      </c>
      <c r="HV268" s="319" t="s">
        <v>190</v>
      </c>
      <c r="HW268" s="319" t="s">
        <v>190</v>
      </c>
      <c r="HX268" s="319" t="s">
        <v>190</v>
      </c>
      <c r="HY268" s="319" t="s">
        <v>190</v>
      </c>
      <c r="HZ268" s="319" t="s">
        <v>190</v>
      </c>
      <c r="IA268" s="319" t="s">
        <v>190</v>
      </c>
      <c r="IB268" s="319" t="s">
        <v>190</v>
      </c>
      <c r="IC268" s="319" t="s">
        <v>190</v>
      </c>
      <c r="ID268" s="319" t="s">
        <v>190</v>
      </c>
      <c r="IE268" s="319" t="s">
        <v>190</v>
      </c>
      <c r="IF268" s="319" t="s">
        <v>191</v>
      </c>
      <c r="IG268" s="319" t="s">
        <v>191</v>
      </c>
      <c r="IH268" s="319" t="s">
        <v>191</v>
      </c>
      <c r="II268" s="319" t="s">
        <v>191</v>
      </c>
      <c r="IJ268" s="319" t="s">
        <v>3067</v>
      </c>
      <c r="IK268" s="321">
        <v>41723</v>
      </c>
      <c r="IL268" s="321">
        <v>41725</v>
      </c>
      <c r="IM268" s="321">
        <v>41766</v>
      </c>
      <c r="IN268" s="319">
        <v>2</v>
      </c>
      <c r="IO268" s="319">
        <v>10095170</v>
      </c>
      <c r="IP268" s="319" t="s">
        <v>985</v>
      </c>
      <c r="IQ268" s="321">
        <v>43530</v>
      </c>
      <c r="IR268" s="320" t="s">
        <v>1223</v>
      </c>
      <c r="IS268" s="322">
        <v>43598</v>
      </c>
      <c r="IT268" s="319" t="s">
        <v>166</v>
      </c>
    </row>
    <row r="269" spans="1:254" s="271" customFormat="1" x14ac:dyDescent="0.25">
      <c r="A269" s="318" t="str">
        <f>HYPERLINK("http://www.ofsted.gov.uk/inspection-reports/find-inspection-report/provider/ELS/130318 ","Ofsted School Webpage")</f>
        <v>Ofsted School Webpage</v>
      </c>
      <c r="B269" s="319">
        <v>130318</v>
      </c>
      <c r="C269" s="319">
        <v>3526040</v>
      </c>
      <c r="D269" s="319" t="s">
        <v>1575</v>
      </c>
      <c r="E269" s="319" t="s">
        <v>167</v>
      </c>
      <c r="F269" s="319" t="s">
        <v>71</v>
      </c>
      <c r="G269" s="319" t="s">
        <v>72</v>
      </c>
      <c r="H269" s="319" t="s">
        <v>71</v>
      </c>
      <c r="I269" s="319" t="s">
        <v>72</v>
      </c>
      <c r="J269" s="319" t="s">
        <v>424</v>
      </c>
      <c r="K269" s="319" t="s">
        <v>431</v>
      </c>
      <c r="L269" s="319" t="s">
        <v>431</v>
      </c>
      <c r="M269" s="319" t="s">
        <v>660</v>
      </c>
      <c r="N269" s="319" t="s">
        <v>2871</v>
      </c>
      <c r="O269" s="319" t="s">
        <v>1576</v>
      </c>
      <c r="P269" s="319">
        <v>214</v>
      </c>
      <c r="Q269" s="319" t="s">
        <v>2766</v>
      </c>
      <c r="R269" s="320">
        <v>10043371</v>
      </c>
      <c r="S269" s="321">
        <v>43530</v>
      </c>
      <c r="T269" s="321">
        <v>43532</v>
      </c>
      <c r="U269" s="321">
        <v>43558</v>
      </c>
      <c r="V269" s="319" t="s">
        <v>425</v>
      </c>
      <c r="W269" s="319" t="s">
        <v>2767</v>
      </c>
      <c r="X269" s="319">
        <v>1</v>
      </c>
      <c r="Y269" s="319" t="s">
        <v>173</v>
      </c>
      <c r="Z269" s="319" t="s">
        <v>173</v>
      </c>
      <c r="AA269" s="319" t="s">
        <v>173</v>
      </c>
      <c r="AB269" s="319">
        <v>1</v>
      </c>
      <c r="AC269" s="319" t="s">
        <v>169</v>
      </c>
      <c r="AD269" s="319" t="s">
        <v>173</v>
      </c>
      <c r="AE269" s="319" t="s">
        <v>173</v>
      </c>
      <c r="AF269" s="319" t="s">
        <v>427</v>
      </c>
      <c r="AG269" s="319" t="s">
        <v>171</v>
      </c>
      <c r="AH269" s="319" t="s">
        <v>190</v>
      </c>
      <c r="AI269" s="319" t="s">
        <v>190</v>
      </c>
      <c r="AJ269" s="319" t="s">
        <v>190</v>
      </c>
      <c r="AK269" s="319" t="s">
        <v>190</v>
      </c>
      <c r="AL269" s="319" t="s">
        <v>190</v>
      </c>
      <c r="AM269" s="319" t="s">
        <v>190</v>
      </c>
      <c r="AN269" s="319" t="s">
        <v>190</v>
      </c>
      <c r="AO269" s="319" t="s">
        <v>190</v>
      </c>
      <c r="AP269" s="319" t="s">
        <v>190</v>
      </c>
      <c r="AQ269" s="319" t="s">
        <v>190</v>
      </c>
      <c r="AR269" s="319" t="s">
        <v>190</v>
      </c>
      <c r="AS269" s="319" t="s">
        <v>190</v>
      </c>
      <c r="AT269" s="319" t="s">
        <v>190</v>
      </c>
      <c r="AU269" s="319" t="s">
        <v>190</v>
      </c>
      <c r="AV269" s="319" t="s">
        <v>190</v>
      </c>
      <c r="AW269" s="319" t="s">
        <v>190</v>
      </c>
      <c r="AX269" s="319" t="s">
        <v>190</v>
      </c>
      <c r="AY269" s="319" t="s">
        <v>190</v>
      </c>
      <c r="AZ269" s="319" t="s">
        <v>190</v>
      </c>
      <c r="BA269" s="319" t="s">
        <v>190</v>
      </c>
      <c r="BB269" s="319" t="s">
        <v>190</v>
      </c>
      <c r="BC269" s="319" t="s">
        <v>190</v>
      </c>
      <c r="BD269" s="319" t="s">
        <v>190</v>
      </c>
      <c r="BE269" s="319" t="s">
        <v>190</v>
      </c>
      <c r="BF269" s="319" t="s">
        <v>428</v>
      </c>
      <c r="BG269" s="319" t="s">
        <v>428</v>
      </c>
      <c r="BH269" s="319" t="s">
        <v>190</v>
      </c>
      <c r="BI269" s="319" t="s">
        <v>190</v>
      </c>
      <c r="BJ269" s="319" t="s">
        <v>190</v>
      </c>
      <c r="BK269" s="319" t="s">
        <v>190</v>
      </c>
      <c r="BL269" s="319" t="s">
        <v>190</v>
      </c>
      <c r="BM269" s="319" t="s">
        <v>190</v>
      </c>
      <c r="BN269" s="319" t="s">
        <v>190</v>
      </c>
      <c r="BO269" s="319" t="s">
        <v>190</v>
      </c>
      <c r="BP269" s="319" t="s">
        <v>190</v>
      </c>
      <c r="BQ269" s="319" t="s">
        <v>190</v>
      </c>
      <c r="BR269" s="319" t="s">
        <v>190</v>
      </c>
      <c r="BS269" s="319" t="s">
        <v>190</v>
      </c>
      <c r="BT269" s="319" t="s">
        <v>190</v>
      </c>
      <c r="BU269" s="319" t="s">
        <v>190</v>
      </c>
      <c r="BV269" s="319" t="s">
        <v>190</v>
      </c>
      <c r="BW269" s="319" t="s">
        <v>190</v>
      </c>
      <c r="BX269" s="319" t="s">
        <v>190</v>
      </c>
      <c r="BY269" s="319" t="s">
        <v>190</v>
      </c>
      <c r="BZ269" s="319" t="s">
        <v>190</v>
      </c>
      <c r="CA269" s="319" t="s">
        <v>190</v>
      </c>
      <c r="CB269" s="319" t="s">
        <v>190</v>
      </c>
      <c r="CC269" s="319" t="s">
        <v>190</v>
      </c>
      <c r="CD269" s="319" t="s">
        <v>190</v>
      </c>
      <c r="CE269" s="319" t="s">
        <v>190</v>
      </c>
      <c r="CF269" s="319" t="s">
        <v>190</v>
      </c>
      <c r="CG269" s="319" t="s">
        <v>190</v>
      </c>
      <c r="CH269" s="319" t="s">
        <v>190</v>
      </c>
      <c r="CI269" s="319" t="s">
        <v>190</v>
      </c>
      <c r="CJ269" s="319" t="s">
        <v>190</v>
      </c>
      <c r="CK269" s="319" t="s">
        <v>190</v>
      </c>
      <c r="CL269" s="319" t="s">
        <v>190</v>
      </c>
      <c r="CM269" s="319" t="s">
        <v>190</v>
      </c>
      <c r="CN269" s="319" t="s">
        <v>428</v>
      </c>
      <c r="CO269" s="319" t="s">
        <v>428</v>
      </c>
      <c r="CP269" s="319" t="s">
        <v>428</v>
      </c>
      <c r="CQ269" s="319" t="s">
        <v>190</v>
      </c>
      <c r="CR269" s="319" t="s">
        <v>190</v>
      </c>
      <c r="CS269" s="319" t="s">
        <v>190</v>
      </c>
      <c r="CT269" s="319" t="s">
        <v>190</v>
      </c>
      <c r="CU269" s="319" t="s">
        <v>190</v>
      </c>
      <c r="CV269" s="319" t="s">
        <v>190</v>
      </c>
      <c r="CW269" s="319" t="s">
        <v>190</v>
      </c>
      <c r="CX269" s="319" t="s">
        <v>190</v>
      </c>
      <c r="CY269" s="319" t="s">
        <v>190</v>
      </c>
      <c r="CZ269" s="319" t="s">
        <v>190</v>
      </c>
      <c r="DA269" s="319" t="s">
        <v>190</v>
      </c>
      <c r="DB269" s="319" t="s">
        <v>190</v>
      </c>
      <c r="DC269" s="319" t="s">
        <v>190</v>
      </c>
      <c r="DD269" s="319" t="s">
        <v>190</v>
      </c>
      <c r="DE269" s="319" t="s">
        <v>190</v>
      </c>
      <c r="DF269" s="319" t="s">
        <v>190</v>
      </c>
      <c r="DG269" s="319" t="s">
        <v>190</v>
      </c>
      <c r="DH269" s="319" t="s">
        <v>190</v>
      </c>
      <c r="DI269" s="319" t="s">
        <v>190</v>
      </c>
      <c r="DJ269" s="319" t="s">
        <v>190</v>
      </c>
      <c r="DK269" s="319" t="s">
        <v>190</v>
      </c>
      <c r="DL269" s="319" t="s">
        <v>190</v>
      </c>
      <c r="DM269" s="319" t="s">
        <v>190</v>
      </c>
      <c r="DN269" s="319" t="s">
        <v>428</v>
      </c>
      <c r="DO269" s="319" t="s">
        <v>190</v>
      </c>
      <c r="DP269" s="319" t="s">
        <v>190</v>
      </c>
      <c r="DQ269" s="319" t="s">
        <v>190</v>
      </c>
      <c r="DR269" s="319" t="s">
        <v>190</v>
      </c>
      <c r="DS269" s="319" t="s">
        <v>190</v>
      </c>
      <c r="DT269" s="319" t="s">
        <v>190</v>
      </c>
      <c r="DU269" s="319" t="s">
        <v>190</v>
      </c>
      <c r="DV269" s="319" t="s">
        <v>173</v>
      </c>
      <c r="DW269" s="319" t="s">
        <v>190</v>
      </c>
      <c r="DX269" s="319" t="s">
        <v>190</v>
      </c>
      <c r="DY269" s="319" t="s">
        <v>190</v>
      </c>
      <c r="DZ269" s="319" t="s">
        <v>190</v>
      </c>
      <c r="EA269" s="319" t="s">
        <v>190</v>
      </c>
      <c r="EB269" s="319" t="s">
        <v>190</v>
      </c>
      <c r="EC269" s="319" t="s">
        <v>428</v>
      </c>
      <c r="ED269" s="319" t="s">
        <v>190</v>
      </c>
      <c r="EE269" s="319" t="s">
        <v>190</v>
      </c>
      <c r="EF269" s="319" t="s">
        <v>190</v>
      </c>
      <c r="EG269" s="319" t="s">
        <v>190</v>
      </c>
      <c r="EH269" s="319" t="s">
        <v>190</v>
      </c>
      <c r="EI269" s="319" t="s">
        <v>190</v>
      </c>
      <c r="EJ269" s="319" t="s">
        <v>190</v>
      </c>
      <c r="EK269" s="319" t="s">
        <v>190</v>
      </c>
      <c r="EL269" s="319" t="s">
        <v>190</v>
      </c>
      <c r="EM269" s="319" t="s">
        <v>190</v>
      </c>
      <c r="EN269" s="319" t="s">
        <v>190</v>
      </c>
      <c r="EO269" s="319" t="s">
        <v>190</v>
      </c>
      <c r="EP269" s="319" t="s">
        <v>190</v>
      </c>
      <c r="EQ269" s="319" t="s">
        <v>190</v>
      </c>
      <c r="ER269" s="319" t="s">
        <v>190</v>
      </c>
      <c r="ES269" s="319" t="s">
        <v>190</v>
      </c>
      <c r="ET269" s="319" t="s">
        <v>190</v>
      </c>
      <c r="EU269" s="319" t="s">
        <v>190</v>
      </c>
      <c r="EV269" s="319" t="s">
        <v>190</v>
      </c>
      <c r="EW269" s="319" t="s">
        <v>190</v>
      </c>
      <c r="EX269" s="319" t="s">
        <v>190</v>
      </c>
      <c r="EY269" s="319" t="s">
        <v>190</v>
      </c>
      <c r="EZ269" s="319" t="s">
        <v>190</v>
      </c>
      <c r="FA269" s="319" t="s">
        <v>190</v>
      </c>
      <c r="FB269" s="319" t="s">
        <v>190</v>
      </c>
      <c r="FC269" s="319" t="s">
        <v>190</v>
      </c>
      <c r="FD269" s="319" t="s">
        <v>190</v>
      </c>
      <c r="FE269" s="319" t="s">
        <v>190</v>
      </c>
      <c r="FF269" s="319" t="s">
        <v>190</v>
      </c>
      <c r="FG269" s="319" t="s">
        <v>190</v>
      </c>
      <c r="FH269" s="319" t="s">
        <v>428</v>
      </c>
      <c r="FI269" s="319" t="s">
        <v>190</v>
      </c>
      <c r="FJ269" s="319" t="s">
        <v>190</v>
      </c>
      <c r="FK269" s="319" t="s">
        <v>190</v>
      </c>
      <c r="FL269" s="319" t="s">
        <v>190</v>
      </c>
      <c r="FM269" s="319" t="s">
        <v>190</v>
      </c>
      <c r="FN269" s="319" t="s">
        <v>428</v>
      </c>
      <c r="FO269" s="319" t="s">
        <v>190</v>
      </c>
      <c r="FP269" s="319" t="s">
        <v>190</v>
      </c>
      <c r="FQ269" s="319" t="s">
        <v>190</v>
      </c>
      <c r="FR269" s="319" t="s">
        <v>190</v>
      </c>
      <c r="FS269" s="319" t="s">
        <v>428</v>
      </c>
      <c r="FT269" s="319" t="s">
        <v>190</v>
      </c>
      <c r="FU269" s="319" t="s">
        <v>190</v>
      </c>
      <c r="FV269" s="319" t="s">
        <v>190</v>
      </c>
      <c r="FW269" s="319" t="s">
        <v>190</v>
      </c>
      <c r="FX269" s="319" t="s">
        <v>190</v>
      </c>
      <c r="FY269" s="319" t="s">
        <v>190</v>
      </c>
      <c r="FZ269" s="319" t="s">
        <v>190</v>
      </c>
      <c r="GA269" s="319" t="s">
        <v>190</v>
      </c>
      <c r="GB269" s="319" t="s">
        <v>190</v>
      </c>
      <c r="GC269" s="319" t="s">
        <v>190</v>
      </c>
      <c r="GD269" s="319" t="s">
        <v>190</v>
      </c>
      <c r="GE269" s="319" t="s">
        <v>190</v>
      </c>
      <c r="GF269" s="319" t="s">
        <v>190</v>
      </c>
      <c r="GG269" s="319" t="s">
        <v>190</v>
      </c>
      <c r="GH269" s="319" t="s">
        <v>190</v>
      </c>
      <c r="GI269" s="319" t="s">
        <v>190</v>
      </c>
      <c r="GJ269" s="319" t="s">
        <v>190</v>
      </c>
      <c r="GK269" s="319" t="s">
        <v>190</v>
      </c>
      <c r="GL269" s="319" t="s">
        <v>190</v>
      </c>
      <c r="GM269" s="319" t="s">
        <v>190</v>
      </c>
      <c r="GN269" s="319" t="s">
        <v>190</v>
      </c>
      <c r="GO269" s="319" t="s">
        <v>190</v>
      </c>
      <c r="GP269" s="319" t="s">
        <v>190</v>
      </c>
      <c r="GQ269" s="319" t="s">
        <v>428</v>
      </c>
      <c r="GR269" s="319" t="s">
        <v>190</v>
      </c>
      <c r="GS269" s="319" t="s">
        <v>190</v>
      </c>
      <c r="GT269" s="319" t="s">
        <v>428</v>
      </c>
      <c r="GU269" s="319" t="s">
        <v>428</v>
      </c>
      <c r="GV269" s="319" t="s">
        <v>190</v>
      </c>
      <c r="GW269" s="319" t="s">
        <v>190</v>
      </c>
      <c r="GX269" s="319" t="s">
        <v>190</v>
      </c>
      <c r="GY269" s="319" t="s">
        <v>190</v>
      </c>
      <c r="GZ269" s="319" t="s">
        <v>428</v>
      </c>
      <c r="HA269" s="319" t="s">
        <v>190</v>
      </c>
      <c r="HB269" s="319" t="s">
        <v>190</v>
      </c>
      <c r="HC269" s="319" t="s">
        <v>190</v>
      </c>
      <c r="HD269" s="319" t="s">
        <v>190</v>
      </c>
      <c r="HE269" s="319" t="s">
        <v>190</v>
      </c>
      <c r="HF269" s="319" t="s">
        <v>190</v>
      </c>
      <c r="HG269" s="319" t="s">
        <v>190</v>
      </c>
      <c r="HH269" s="319" t="s">
        <v>190</v>
      </c>
      <c r="HI269" s="319" t="s">
        <v>190</v>
      </c>
      <c r="HJ269" s="319" t="s">
        <v>190</v>
      </c>
      <c r="HK269" s="319" t="s">
        <v>190</v>
      </c>
      <c r="HL269" s="319" t="s">
        <v>428</v>
      </c>
      <c r="HM269" s="319" t="s">
        <v>428</v>
      </c>
      <c r="HN269" s="319" t="s">
        <v>428</v>
      </c>
      <c r="HO269" s="319" t="s">
        <v>428</v>
      </c>
      <c r="HP269" s="319" t="s">
        <v>190</v>
      </c>
      <c r="HQ269" s="319" t="s">
        <v>190</v>
      </c>
      <c r="HR269" s="319" t="s">
        <v>190</v>
      </c>
      <c r="HS269" s="319" t="s">
        <v>190</v>
      </c>
      <c r="HT269" s="319" t="s">
        <v>190</v>
      </c>
      <c r="HU269" s="319" t="s">
        <v>190</v>
      </c>
      <c r="HV269" s="319" t="s">
        <v>190</v>
      </c>
      <c r="HW269" s="319" t="s">
        <v>190</v>
      </c>
      <c r="HX269" s="319" t="s">
        <v>190</v>
      </c>
      <c r="HY269" s="319" t="s">
        <v>190</v>
      </c>
      <c r="HZ269" s="319" t="s">
        <v>190</v>
      </c>
      <c r="IA269" s="319" t="s">
        <v>190</v>
      </c>
      <c r="IB269" s="319" t="s">
        <v>190</v>
      </c>
      <c r="IC269" s="319" t="s">
        <v>190</v>
      </c>
      <c r="ID269" s="319" t="s">
        <v>190</v>
      </c>
      <c r="IE269" s="319" t="s">
        <v>190</v>
      </c>
      <c r="IF269" s="319" t="s">
        <v>190</v>
      </c>
      <c r="IG269" s="319" t="s">
        <v>190</v>
      </c>
      <c r="IH269" s="319" t="s">
        <v>190</v>
      </c>
      <c r="II269" s="319" t="s">
        <v>190</v>
      </c>
      <c r="IJ269" s="319">
        <v>10007534</v>
      </c>
      <c r="IK269" s="321">
        <v>42276</v>
      </c>
      <c r="IL269" s="321">
        <v>42278</v>
      </c>
      <c r="IM269" s="321">
        <v>42318</v>
      </c>
      <c r="IN269" s="319">
        <v>1</v>
      </c>
      <c r="IO269" s="319" t="s">
        <v>173</v>
      </c>
      <c r="IP269" s="319" t="s">
        <v>173</v>
      </c>
      <c r="IQ269" s="319" t="s">
        <v>173</v>
      </c>
      <c r="IR269" s="320" t="s">
        <v>173</v>
      </c>
      <c r="IS269" s="320" t="s">
        <v>173</v>
      </c>
      <c r="IT269" s="319" t="s">
        <v>173</v>
      </c>
    </row>
    <row r="270" spans="1:254" s="271" customFormat="1" x14ac:dyDescent="0.25">
      <c r="A270" s="318" t="str">
        <f>HYPERLINK("http://www.ofsted.gov.uk/inspection-reports/find-inspection-report/provider/ELS/130321 ","Ofsted School Webpage")</f>
        <v>Ofsted School Webpage</v>
      </c>
      <c r="B270" s="319">
        <v>130321</v>
      </c>
      <c r="C270" s="319">
        <v>8656027</v>
      </c>
      <c r="D270" s="319" t="s">
        <v>1577</v>
      </c>
      <c r="E270" s="319" t="s">
        <v>167</v>
      </c>
      <c r="F270" s="319" t="s">
        <v>81</v>
      </c>
      <c r="G270" s="319" t="s">
        <v>59</v>
      </c>
      <c r="H270" s="319" t="s">
        <v>59</v>
      </c>
      <c r="I270" s="319" t="s">
        <v>59</v>
      </c>
      <c r="J270" s="319" t="s">
        <v>424</v>
      </c>
      <c r="K270" s="319" t="s">
        <v>422</v>
      </c>
      <c r="L270" s="319" t="s">
        <v>422</v>
      </c>
      <c r="M270" s="319" t="s">
        <v>702</v>
      </c>
      <c r="N270" s="319" t="s">
        <v>3056</v>
      </c>
      <c r="O270" s="319" t="s">
        <v>1578</v>
      </c>
      <c r="P270" s="319">
        <v>69</v>
      </c>
      <c r="Q270" s="319" t="s">
        <v>2766</v>
      </c>
      <c r="R270" s="320">
        <v>10033888</v>
      </c>
      <c r="S270" s="321">
        <v>42990</v>
      </c>
      <c r="T270" s="321">
        <v>42992</v>
      </c>
      <c r="U270" s="321">
        <v>43027</v>
      </c>
      <c r="V270" s="319" t="s">
        <v>425</v>
      </c>
      <c r="W270" s="319" t="s">
        <v>2767</v>
      </c>
      <c r="X270" s="319">
        <v>2</v>
      </c>
      <c r="Y270" s="319" t="s">
        <v>173</v>
      </c>
      <c r="Z270" s="319" t="s">
        <v>173</v>
      </c>
      <c r="AA270" s="319" t="s">
        <v>173</v>
      </c>
      <c r="AB270" s="319">
        <v>2</v>
      </c>
      <c r="AC270" s="319" t="s">
        <v>169</v>
      </c>
      <c r="AD270" s="319">
        <v>2</v>
      </c>
      <c r="AE270" s="319" t="s">
        <v>173</v>
      </c>
      <c r="AF270" s="319" t="s">
        <v>173</v>
      </c>
      <c r="AG270" s="319" t="s">
        <v>171</v>
      </c>
      <c r="AH270" s="319" t="s">
        <v>190</v>
      </c>
      <c r="AI270" s="319" t="s">
        <v>190</v>
      </c>
      <c r="AJ270" s="319" t="s">
        <v>190</v>
      </c>
      <c r="AK270" s="319" t="s">
        <v>190</v>
      </c>
      <c r="AL270" s="319" t="s">
        <v>190</v>
      </c>
      <c r="AM270" s="319" t="s">
        <v>190</v>
      </c>
      <c r="AN270" s="319" t="s">
        <v>190</v>
      </c>
      <c r="AO270" s="319" t="s">
        <v>190</v>
      </c>
      <c r="AP270" s="319" t="s">
        <v>190</v>
      </c>
      <c r="AQ270" s="319" t="s">
        <v>190</v>
      </c>
      <c r="AR270" s="319" t="s">
        <v>190</v>
      </c>
      <c r="AS270" s="319" t="s">
        <v>190</v>
      </c>
      <c r="AT270" s="319" t="s">
        <v>190</v>
      </c>
      <c r="AU270" s="319" t="s">
        <v>190</v>
      </c>
      <c r="AV270" s="319" t="s">
        <v>190</v>
      </c>
      <c r="AW270" s="319" t="s">
        <v>190</v>
      </c>
      <c r="AX270" s="319" t="s">
        <v>429</v>
      </c>
      <c r="AY270" s="319" t="s">
        <v>190</v>
      </c>
      <c r="AZ270" s="319" t="s">
        <v>190</v>
      </c>
      <c r="BA270" s="319" t="s">
        <v>190</v>
      </c>
      <c r="BB270" s="319" t="s">
        <v>429</v>
      </c>
      <c r="BC270" s="319" t="s">
        <v>429</v>
      </c>
      <c r="BD270" s="319" t="s">
        <v>429</v>
      </c>
      <c r="BE270" s="319" t="s">
        <v>429</v>
      </c>
      <c r="BF270" s="319" t="s">
        <v>190</v>
      </c>
      <c r="BG270" s="319" t="s">
        <v>429</v>
      </c>
      <c r="BH270" s="319" t="s">
        <v>190</v>
      </c>
      <c r="BI270" s="319" t="s">
        <v>190</v>
      </c>
      <c r="BJ270" s="319" t="s">
        <v>190</v>
      </c>
      <c r="BK270" s="319" t="s">
        <v>190</v>
      </c>
      <c r="BL270" s="319" t="s">
        <v>190</v>
      </c>
      <c r="BM270" s="319" t="s">
        <v>190</v>
      </c>
      <c r="BN270" s="319" t="s">
        <v>190</v>
      </c>
      <c r="BO270" s="319" t="s">
        <v>190</v>
      </c>
      <c r="BP270" s="319" t="s">
        <v>190</v>
      </c>
      <c r="BQ270" s="319" t="s">
        <v>190</v>
      </c>
      <c r="BR270" s="319" t="s">
        <v>190</v>
      </c>
      <c r="BS270" s="319" t="s">
        <v>190</v>
      </c>
      <c r="BT270" s="319" t="s">
        <v>190</v>
      </c>
      <c r="BU270" s="319" t="s">
        <v>190</v>
      </c>
      <c r="BV270" s="319" t="s">
        <v>190</v>
      </c>
      <c r="BW270" s="319" t="s">
        <v>190</v>
      </c>
      <c r="BX270" s="319" t="s">
        <v>190</v>
      </c>
      <c r="BY270" s="319" t="s">
        <v>190</v>
      </c>
      <c r="BZ270" s="319" t="s">
        <v>190</v>
      </c>
      <c r="CA270" s="319" t="s">
        <v>190</v>
      </c>
      <c r="CB270" s="319" t="s">
        <v>190</v>
      </c>
      <c r="CC270" s="319" t="s">
        <v>190</v>
      </c>
      <c r="CD270" s="319" t="s">
        <v>190</v>
      </c>
      <c r="CE270" s="319" t="s">
        <v>190</v>
      </c>
      <c r="CF270" s="319" t="s">
        <v>190</v>
      </c>
      <c r="CG270" s="319" t="s">
        <v>190</v>
      </c>
      <c r="CH270" s="319" t="s">
        <v>190</v>
      </c>
      <c r="CI270" s="319" t="s">
        <v>190</v>
      </c>
      <c r="CJ270" s="319" t="s">
        <v>190</v>
      </c>
      <c r="CK270" s="319" t="s">
        <v>190</v>
      </c>
      <c r="CL270" s="319" t="s">
        <v>190</v>
      </c>
      <c r="CM270" s="319" t="s">
        <v>190</v>
      </c>
      <c r="CN270" s="319" t="s">
        <v>429</v>
      </c>
      <c r="CO270" s="319" t="s">
        <v>429</v>
      </c>
      <c r="CP270" s="319" t="s">
        <v>429</v>
      </c>
      <c r="CQ270" s="319" t="s">
        <v>190</v>
      </c>
      <c r="CR270" s="319" t="s">
        <v>190</v>
      </c>
      <c r="CS270" s="319" t="s">
        <v>190</v>
      </c>
      <c r="CT270" s="319" t="s">
        <v>190</v>
      </c>
      <c r="CU270" s="319" t="s">
        <v>190</v>
      </c>
      <c r="CV270" s="319" t="s">
        <v>190</v>
      </c>
      <c r="CW270" s="319" t="s">
        <v>190</v>
      </c>
      <c r="CX270" s="319" t="s">
        <v>190</v>
      </c>
      <c r="CY270" s="319" t="s">
        <v>190</v>
      </c>
      <c r="CZ270" s="319" t="s">
        <v>190</v>
      </c>
      <c r="DA270" s="319" t="s">
        <v>190</v>
      </c>
      <c r="DB270" s="319" t="s">
        <v>190</v>
      </c>
      <c r="DC270" s="319" t="s">
        <v>190</v>
      </c>
      <c r="DD270" s="319" t="s">
        <v>190</v>
      </c>
      <c r="DE270" s="319" t="s">
        <v>190</v>
      </c>
      <c r="DF270" s="319" t="s">
        <v>190</v>
      </c>
      <c r="DG270" s="319" t="s">
        <v>190</v>
      </c>
      <c r="DH270" s="319" t="s">
        <v>190</v>
      </c>
      <c r="DI270" s="319" t="s">
        <v>190</v>
      </c>
      <c r="DJ270" s="319" t="s">
        <v>190</v>
      </c>
      <c r="DK270" s="319" t="s">
        <v>190</v>
      </c>
      <c r="DL270" s="319" t="s">
        <v>190</v>
      </c>
      <c r="DM270" s="319" t="s">
        <v>190</v>
      </c>
      <c r="DN270" s="319" t="s">
        <v>429</v>
      </c>
      <c r="DO270" s="319" t="s">
        <v>190</v>
      </c>
      <c r="DP270" s="319" t="s">
        <v>190</v>
      </c>
      <c r="DQ270" s="319" t="s">
        <v>190</v>
      </c>
      <c r="DR270" s="319" t="s">
        <v>190</v>
      </c>
      <c r="DS270" s="319" t="s">
        <v>190</v>
      </c>
      <c r="DT270" s="319" t="s">
        <v>190</v>
      </c>
      <c r="DU270" s="319" t="s">
        <v>190</v>
      </c>
      <c r="DV270" s="319" t="s">
        <v>173</v>
      </c>
      <c r="DW270" s="319" t="s">
        <v>190</v>
      </c>
      <c r="DX270" s="319" t="s">
        <v>190</v>
      </c>
      <c r="DY270" s="319" t="s">
        <v>190</v>
      </c>
      <c r="DZ270" s="319" t="s">
        <v>190</v>
      </c>
      <c r="EA270" s="319" t="s">
        <v>190</v>
      </c>
      <c r="EB270" s="319" t="s">
        <v>190</v>
      </c>
      <c r="EC270" s="319" t="s">
        <v>429</v>
      </c>
      <c r="ED270" s="319" t="s">
        <v>190</v>
      </c>
      <c r="EE270" s="319" t="s">
        <v>190</v>
      </c>
      <c r="EF270" s="319" t="s">
        <v>190</v>
      </c>
      <c r="EG270" s="319" t="s">
        <v>190</v>
      </c>
      <c r="EH270" s="319" t="s">
        <v>190</v>
      </c>
      <c r="EI270" s="319" t="s">
        <v>190</v>
      </c>
      <c r="EJ270" s="319" t="s">
        <v>190</v>
      </c>
      <c r="EK270" s="319" t="s">
        <v>190</v>
      </c>
      <c r="EL270" s="319" t="s">
        <v>190</v>
      </c>
      <c r="EM270" s="319" t="s">
        <v>429</v>
      </c>
      <c r="EN270" s="319" t="s">
        <v>190</v>
      </c>
      <c r="EO270" s="319" t="s">
        <v>190</v>
      </c>
      <c r="EP270" s="319" t="s">
        <v>190</v>
      </c>
      <c r="EQ270" s="319" t="s">
        <v>190</v>
      </c>
      <c r="ER270" s="319" t="s">
        <v>190</v>
      </c>
      <c r="ES270" s="319" t="s">
        <v>190</v>
      </c>
      <c r="ET270" s="319" t="s">
        <v>190</v>
      </c>
      <c r="EU270" s="319" t="s">
        <v>190</v>
      </c>
      <c r="EV270" s="319" t="s">
        <v>190</v>
      </c>
      <c r="EW270" s="319" t="s">
        <v>190</v>
      </c>
      <c r="EX270" s="319" t="s">
        <v>190</v>
      </c>
      <c r="EY270" s="319" t="s">
        <v>190</v>
      </c>
      <c r="EZ270" s="319" t="s">
        <v>190</v>
      </c>
      <c r="FA270" s="319" t="s">
        <v>429</v>
      </c>
      <c r="FB270" s="319" t="s">
        <v>429</v>
      </c>
      <c r="FC270" s="319" t="s">
        <v>429</v>
      </c>
      <c r="FD270" s="319" t="s">
        <v>429</v>
      </c>
      <c r="FE270" s="319" t="s">
        <v>429</v>
      </c>
      <c r="FF270" s="319" t="s">
        <v>429</v>
      </c>
      <c r="FG270" s="319" t="s">
        <v>429</v>
      </c>
      <c r="FH270" s="319" t="s">
        <v>190</v>
      </c>
      <c r="FI270" s="319" t="s">
        <v>429</v>
      </c>
      <c r="FJ270" s="319" t="s">
        <v>429</v>
      </c>
      <c r="FK270" s="319" t="s">
        <v>429</v>
      </c>
      <c r="FL270" s="319" t="s">
        <v>190</v>
      </c>
      <c r="FM270" s="319" t="s">
        <v>190</v>
      </c>
      <c r="FN270" s="319" t="s">
        <v>190</v>
      </c>
      <c r="FO270" s="319" t="s">
        <v>190</v>
      </c>
      <c r="FP270" s="319" t="s">
        <v>190</v>
      </c>
      <c r="FQ270" s="319" t="s">
        <v>190</v>
      </c>
      <c r="FR270" s="319" t="s">
        <v>190</v>
      </c>
      <c r="FS270" s="319" t="s">
        <v>429</v>
      </c>
      <c r="FT270" s="319" t="s">
        <v>190</v>
      </c>
      <c r="FU270" s="319" t="s">
        <v>190</v>
      </c>
      <c r="FV270" s="319" t="s">
        <v>190</v>
      </c>
      <c r="FW270" s="319" t="s">
        <v>190</v>
      </c>
      <c r="FX270" s="319" t="s">
        <v>190</v>
      </c>
      <c r="FY270" s="319" t="s">
        <v>190</v>
      </c>
      <c r="FZ270" s="319" t="s">
        <v>190</v>
      </c>
      <c r="GA270" s="319" t="s">
        <v>190</v>
      </c>
      <c r="GB270" s="319" t="s">
        <v>190</v>
      </c>
      <c r="GC270" s="319" t="s">
        <v>190</v>
      </c>
      <c r="GD270" s="319" t="s">
        <v>190</v>
      </c>
      <c r="GE270" s="319" t="s">
        <v>190</v>
      </c>
      <c r="GF270" s="319" t="s">
        <v>190</v>
      </c>
      <c r="GG270" s="319" t="s">
        <v>190</v>
      </c>
      <c r="GH270" s="319" t="s">
        <v>190</v>
      </c>
      <c r="GI270" s="319" t="s">
        <v>190</v>
      </c>
      <c r="GJ270" s="319" t="s">
        <v>190</v>
      </c>
      <c r="GK270" s="319" t="s">
        <v>429</v>
      </c>
      <c r="GL270" s="319" t="s">
        <v>190</v>
      </c>
      <c r="GM270" s="319" t="s">
        <v>190</v>
      </c>
      <c r="GN270" s="319" t="s">
        <v>190</v>
      </c>
      <c r="GO270" s="319" t="s">
        <v>190</v>
      </c>
      <c r="GP270" s="319" t="s">
        <v>190</v>
      </c>
      <c r="GQ270" s="319" t="s">
        <v>429</v>
      </c>
      <c r="GR270" s="319" t="s">
        <v>190</v>
      </c>
      <c r="GS270" s="319" t="s">
        <v>190</v>
      </c>
      <c r="GT270" s="319" t="s">
        <v>190</v>
      </c>
      <c r="GU270" s="319" t="s">
        <v>190</v>
      </c>
      <c r="GV270" s="319" t="s">
        <v>190</v>
      </c>
      <c r="GW270" s="319" t="s">
        <v>190</v>
      </c>
      <c r="GX270" s="319" t="s">
        <v>190</v>
      </c>
      <c r="GY270" s="319" t="s">
        <v>190</v>
      </c>
      <c r="GZ270" s="319" t="s">
        <v>190</v>
      </c>
      <c r="HA270" s="319" t="s">
        <v>190</v>
      </c>
      <c r="HB270" s="319" t="s">
        <v>429</v>
      </c>
      <c r="HC270" s="319" t="s">
        <v>190</v>
      </c>
      <c r="HD270" s="319" t="s">
        <v>190</v>
      </c>
      <c r="HE270" s="319" t="s">
        <v>190</v>
      </c>
      <c r="HF270" s="319" t="s">
        <v>190</v>
      </c>
      <c r="HG270" s="319" t="s">
        <v>190</v>
      </c>
      <c r="HH270" s="319" t="s">
        <v>190</v>
      </c>
      <c r="HI270" s="319" t="s">
        <v>190</v>
      </c>
      <c r="HJ270" s="319" t="s">
        <v>190</v>
      </c>
      <c r="HK270" s="319" t="s">
        <v>190</v>
      </c>
      <c r="HL270" s="319" t="s">
        <v>190</v>
      </c>
      <c r="HM270" s="319" t="s">
        <v>429</v>
      </c>
      <c r="HN270" s="319" t="s">
        <v>429</v>
      </c>
      <c r="HO270" s="319" t="s">
        <v>429</v>
      </c>
      <c r="HP270" s="319" t="s">
        <v>190</v>
      </c>
      <c r="HQ270" s="319" t="s">
        <v>190</v>
      </c>
      <c r="HR270" s="319" t="s">
        <v>190</v>
      </c>
      <c r="HS270" s="319" t="s">
        <v>190</v>
      </c>
      <c r="HT270" s="319" t="s">
        <v>190</v>
      </c>
      <c r="HU270" s="319" t="s">
        <v>190</v>
      </c>
      <c r="HV270" s="319" t="s">
        <v>190</v>
      </c>
      <c r="HW270" s="319" t="s">
        <v>190</v>
      </c>
      <c r="HX270" s="319" t="s">
        <v>190</v>
      </c>
      <c r="HY270" s="319" t="s">
        <v>190</v>
      </c>
      <c r="HZ270" s="319" t="s">
        <v>190</v>
      </c>
      <c r="IA270" s="319" t="s">
        <v>190</v>
      </c>
      <c r="IB270" s="319" t="s">
        <v>190</v>
      </c>
      <c r="IC270" s="319" t="s">
        <v>190</v>
      </c>
      <c r="ID270" s="319" t="s">
        <v>190</v>
      </c>
      <c r="IE270" s="319" t="s">
        <v>190</v>
      </c>
      <c r="IF270" s="319" t="s">
        <v>190</v>
      </c>
      <c r="IG270" s="319" t="s">
        <v>190</v>
      </c>
      <c r="IH270" s="319" t="s">
        <v>190</v>
      </c>
      <c r="II270" s="319" t="s">
        <v>190</v>
      </c>
      <c r="IJ270" s="319" t="s">
        <v>3068</v>
      </c>
      <c r="IK270" s="321">
        <v>41702</v>
      </c>
      <c r="IL270" s="321">
        <v>41704</v>
      </c>
      <c r="IM270" s="321">
        <v>41724</v>
      </c>
      <c r="IN270" s="319">
        <v>1</v>
      </c>
      <c r="IO270" s="319" t="s">
        <v>173</v>
      </c>
      <c r="IP270" s="319" t="s">
        <v>173</v>
      </c>
      <c r="IQ270" s="321" t="s">
        <v>173</v>
      </c>
      <c r="IR270" s="320" t="s">
        <v>173</v>
      </c>
      <c r="IS270" s="322" t="s">
        <v>173</v>
      </c>
      <c r="IT270" s="319" t="s">
        <v>173</v>
      </c>
    </row>
    <row r="271" spans="1:254" s="271" customFormat="1" x14ac:dyDescent="0.25">
      <c r="A271" s="318" t="str">
        <f>HYPERLINK("http://www.ofsted.gov.uk/inspection-reports/find-inspection-report/provider/ELS/130323 ","Ofsted School Webpage")</f>
        <v>Ofsted School Webpage</v>
      </c>
      <c r="B271" s="319">
        <v>130323</v>
      </c>
      <c r="C271" s="319">
        <v>3356009</v>
      </c>
      <c r="D271" s="319" t="s">
        <v>1579</v>
      </c>
      <c r="E271" s="319" t="s">
        <v>167</v>
      </c>
      <c r="F271" s="319" t="s">
        <v>61</v>
      </c>
      <c r="G271" s="319" t="s">
        <v>59</v>
      </c>
      <c r="H271" s="319" t="s">
        <v>61</v>
      </c>
      <c r="I271" s="319" t="s">
        <v>59</v>
      </c>
      <c r="J271" s="319" t="s">
        <v>424</v>
      </c>
      <c r="K271" s="319" t="s">
        <v>437</v>
      </c>
      <c r="L271" s="319" t="s">
        <v>437</v>
      </c>
      <c r="M271" s="319" t="s">
        <v>1580</v>
      </c>
      <c r="N271" s="319" t="s">
        <v>3069</v>
      </c>
      <c r="O271" s="319" t="s">
        <v>1581</v>
      </c>
      <c r="P271" s="319">
        <v>95</v>
      </c>
      <c r="Q271" s="319" t="s">
        <v>2766</v>
      </c>
      <c r="R271" s="320">
        <v>10047128</v>
      </c>
      <c r="S271" s="321">
        <v>43242</v>
      </c>
      <c r="T271" s="321">
        <v>43244</v>
      </c>
      <c r="U271" s="321">
        <v>43266</v>
      </c>
      <c r="V271" s="319" t="s">
        <v>425</v>
      </c>
      <c r="W271" s="319" t="s">
        <v>2767</v>
      </c>
      <c r="X271" s="319">
        <v>3</v>
      </c>
      <c r="Y271" s="319" t="s">
        <v>173</v>
      </c>
      <c r="Z271" s="319" t="s">
        <v>173</v>
      </c>
      <c r="AA271" s="319" t="s">
        <v>173</v>
      </c>
      <c r="AB271" s="319">
        <v>3</v>
      </c>
      <c r="AC271" s="319" t="s">
        <v>169</v>
      </c>
      <c r="AD271" s="319">
        <v>3</v>
      </c>
      <c r="AE271" s="319" t="s">
        <v>173</v>
      </c>
      <c r="AF271" s="319" t="s">
        <v>427</v>
      </c>
      <c r="AG271" s="319" t="s">
        <v>172</v>
      </c>
      <c r="AH271" s="319" t="s">
        <v>479</v>
      </c>
      <c r="AI271" s="319" t="s">
        <v>190</v>
      </c>
      <c r="AJ271" s="319" t="s">
        <v>190</v>
      </c>
      <c r="AK271" s="319" t="s">
        <v>190</v>
      </c>
      <c r="AL271" s="319" t="s">
        <v>190</v>
      </c>
      <c r="AM271" s="319" t="s">
        <v>190</v>
      </c>
      <c r="AN271" s="319" t="s">
        <v>190</v>
      </c>
      <c r="AO271" s="319" t="s">
        <v>479</v>
      </c>
      <c r="AP271" s="319" t="s">
        <v>190</v>
      </c>
      <c r="AQ271" s="319" t="s">
        <v>190</v>
      </c>
      <c r="AR271" s="319" t="s">
        <v>190</v>
      </c>
      <c r="AS271" s="319" t="s">
        <v>190</v>
      </c>
      <c r="AT271" s="319" t="s">
        <v>190</v>
      </c>
      <c r="AU271" s="319" t="s">
        <v>190</v>
      </c>
      <c r="AV271" s="319" t="s">
        <v>190</v>
      </c>
      <c r="AW271" s="319" t="s">
        <v>190</v>
      </c>
      <c r="AX271" s="319" t="s">
        <v>428</v>
      </c>
      <c r="AY271" s="319" t="s">
        <v>190</v>
      </c>
      <c r="AZ271" s="319" t="s">
        <v>190</v>
      </c>
      <c r="BA271" s="319" t="s">
        <v>190</v>
      </c>
      <c r="BB271" s="319" t="s">
        <v>190</v>
      </c>
      <c r="BC271" s="319" t="s">
        <v>190</v>
      </c>
      <c r="BD271" s="319" t="s">
        <v>190</v>
      </c>
      <c r="BE271" s="319" t="s">
        <v>190</v>
      </c>
      <c r="BF271" s="319" t="s">
        <v>190</v>
      </c>
      <c r="BG271" s="319" t="s">
        <v>428</v>
      </c>
      <c r="BH271" s="319" t="s">
        <v>190</v>
      </c>
      <c r="BI271" s="319" t="s">
        <v>190</v>
      </c>
      <c r="BJ271" s="319" t="s">
        <v>191</v>
      </c>
      <c r="BK271" s="319" t="s">
        <v>191</v>
      </c>
      <c r="BL271" s="319" t="s">
        <v>190</v>
      </c>
      <c r="BM271" s="319" t="s">
        <v>191</v>
      </c>
      <c r="BN271" s="319" t="s">
        <v>191</v>
      </c>
      <c r="BO271" s="319" t="s">
        <v>190</v>
      </c>
      <c r="BP271" s="319" t="s">
        <v>190</v>
      </c>
      <c r="BQ271" s="319" t="s">
        <v>191</v>
      </c>
      <c r="BR271" s="319" t="s">
        <v>190</v>
      </c>
      <c r="BS271" s="319" t="s">
        <v>190</v>
      </c>
      <c r="BT271" s="319" t="s">
        <v>190</v>
      </c>
      <c r="BU271" s="319" t="s">
        <v>190</v>
      </c>
      <c r="BV271" s="319" t="s">
        <v>190</v>
      </c>
      <c r="BW271" s="319" t="s">
        <v>190</v>
      </c>
      <c r="BX271" s="319" t="s">
        <v>190</v>
      </c>
      <c r="BY271" s="319" t="s">
        <v>190</v>
      </c>
      <c r="BZ271" s="319" t="s">
        <v>190</v>
      </c>
      <c r="CA271" s="319" t="s">
        <v>190</v>
      </c>
      <c r="CB271" s="319" t="s">
        <v>190</v>
      </c>
      <c r="CC271" s="319" t="s">
        <v>190</v>
      </c>
      <c r="CD271" s="319" t="s">
        <v>190</v>
      </c>
      <c r="CE271" s="319" t="s">
        <v>190</v>
      </c>
      <c r="CF271" s="319" t="s">
        <v>190</v>
      </c>
      <c r="CG271" s="319" t="s">
        <v>190</v>
      </c>
      <c r="CH271" s="319" t="s">
        <v>190</v>
      </c>
      <c r="CI271" s="319" t="s">
        <v>190</v>
      </c>
      <c r="CJ271" s="319" t="s">
        <v>190</v>
      </c>
      <c r="CK271" s="319" t="s">
        <v>190</v>
      </c>
      <c r="CL271" s="319" t="s">
        <v>190</v>
      </c>
      <c r="CM271" s="319" t="s">
        <v>190</v>
      </c>
      <c r="CN271" s="319" t="s">
        <v>428</v>
      </c>
      <c r="CO271" s="319" t="s">
        <v>428</v>
      </c>
      <c r="CP271" s="319" t="s">
        <v>428</v>
      </c>
      <c r="CQ271" s="319" t="s">
        <v>190</v>
      </c>
      <c r="CR271" s="319" t="s">
        <v>190</v>
      </c>
      <c r="CS271" s="319" t="s">
        <v>190</v>
      </c>
      <c r="CT271" s="319" t="s">
        <v>190</v>
      </c>
      <c r="CU271" s="319" t="s">
        <v>190</v>
      </c>
      <c r="CV271" s="319" t="s">
        <v>190</v>
      </c>
      <c r="CW271" s="319" t="s">
        <v>190</v>
      </c>
      <c r="CX271" s="319" t="s">
        <v>190</v>
      </c>
      <c r="CY271" s="319" t="s">
        <v>190</v>
      </c>
      <c r="CZ271" s="319" t="s">
        <v>190</v>
      </c>
      <c r="DA271" s="319" t="s">
        <v>190</v>
      </c>
      <c r="DB271" s="319" t="s">
        <v>190</v>
      </c>
      <c r="DC271" s="319" t="s">
        <v>190</v>
      </c>
      <c r="DD271" s="319" t="s">
        <v>190</v>
      </c>
      <c r="DE271" s="319" t="s">
        <v>190</v>
      </c>
      <c r="DF271" s="319" t="s">
        <v>190</v>
      </c>
      <c r="DG271" s="319" t="s">
        <v>190</v>
      </c>
      <c r="DH271" s="319" t="s">
        <v>190</v>
      </c>
      <c r="DI271" s="319" t="s">
        <v>190</v>
      </c>
      <c r="DJ271" s="319" t="s">
        <v>190</v>
      </c>
      <c r="DK271" s="319" t="s">
        <v>190</v>
      </c>
      <c r="DL271" s="319" t="s">
        <v>190</v>
      </c>
      <c r="DM271" s="319" t="s">
        <v>190</v>
      </c>
      <c r="DN271" s="319" t="s">
        <v>428</v>
      </c>
      <c r="DO271" s="319" t="s">
        <v>190</v>
      </c>
      <c r="DP271" s="319" t="s">
        <v>428</v>
      </c>
      <c r="DQ271" s="319" t="s">
        <v>428</v>
      </c>
      <c r="DR271" s="319" t="s">
        <v>428</v>
      </c>
      <c r="DS271" s="319" t="s">
        <v>428</v>
      </c>
      <c r="DT271" s="319" t="s">
        <v>428</v>
      </c>
      <c r="DU271" s="319" t="s">
        <v>428</v>
      </c>
      <c r="DV271" s="319" t="s">
        <v>173</v>
      </c>
      <c r="DW271" s="319" t="s">
        <v>428</v>
      </c>
      <c r="DX271" s="319" t="s">
        <v>428</v>
      </c>
      <c r="DY271" s="319" t="s">
        <v>428</v>
      </c>
      <c r="DZ271" s="319" t="s">
        <v>428</v>
      </c>
      <c r="EA271" s="319" t="s">
        <v>428</v>
      </c>
      <c r="EB271" s="319" t="s">
        <v>428</v>
      </c>
      <c r="EC271" s="319" t="s">
        <v>428</v>
      </c>
      <c r="ED271" s="319" t="s">
        <v>428</v>
      </c>
      <c r="EE271" s="319" t="s">
        <v>190</v>
      </c>
      <c r="EF271" s="319" t="s">
        <v>190</v>
      </c>
      <c r="EG271" s="319" t="s">
        <v>190</v>
      </c>
      <c r="EH271" s="319" t="s">
        <v>190</v>
      </c>
      <c r="EI271" s="319" t="s">
        <v>190</v>
      </c>
      <c r="EJ271" s="319" t="s">
        <v>190</v>
      </c>
      <c r="EK271" s="319" t="s">
        <v>190</v>
      </c>
      <c r="EL271" s="319" t="s">
        <v>190</v>
      </c>
      <c r="EM271" s="319" t="s">
        <v>190</v>
      </c>
      <c r="EN271" s="319" t="s">
        <v>190</v>
      </c>
      <c r="EO271" s="319" t="s">
        <v>190</v>
      </c>
      <c r="EP271" s="319" t="s">
        <v>190</v>
      </c>
      <c r="EQ271" s="319" t="s">
        <v>190</v>
      </c>
      <c r="ER271" s="319" t="s">
        <v>190</v>
      </c>
      <c r="ES271" s="319" t="s">
        <v>190</v>
      </c>
      <c r="ET271" s="319" t="s">
        <v>190</v>
      </c>
      <c r="EU271" s="319" t="s">
        <v>190</v>
      </c>
      <c r="EV271" s="319" t="s">
        <v>190</v>
      </c>
      <c r="EW271" s="319" t="s">
        <v>190</v>
      </c>
      <c r="EX271" s="319" t="s">
        <v>190</v>
      </c>
      <c r="EY271" s="319" t="s">
        <v>190</v>
      </c>
      <c r="EZ271" s="319" t="s">
        <v>190</v>
      </c>
      <c r="FA271" s="319" t="s">
        <v>190</v>
      </c>
      <c r="FB271" s="319" t="s">
        <v>428</v>
      </c>
      <c r="FC271" s="319" t="s">
        <v>428</v>
      </c>
      <c r="FD271" s="319" t="s">
        <v>428</v>
      </c>
      <c r="FE271" s="319" t="s">
        <v>428</v>
      </c>
      <c r="FF271" s="319" t="s">
        <v>190</v>
      </c>
      <c r="FG271" s="319" t="s">
        <v>428</v>
      </c>
      <c r="FH271" s="319" t="s">
        <v>190</v>
      </c>
      <c r="FI271" s="319" t="s">
        <v>190</v>
      </c>
      <c r="FJ271" s="319" t="s">
        <v>190</v>
      </c>
      <c r="FK271" s="319" t="s">
        <v>190</v>
      </c>
      <c r="FL271" s="319" t="s">
        <v>190</v>
      </c>
      <c r="FM271" s="319" t="s">
        <v>190</v>
      </c>
      <c r="FN271" s="319" t="s">
        <v>190</v>
      </c>
      <c r="FO271" s="319" t="s">
        <v>191</v>
      </c>
      <c r="FP271" s="319" t="s">
        <v>190</v>
      </c>
      <c r="FQ271" s="319" t="s">
        <v>190</v>
      </c>
      <c r="FR271" s="319" t="s">
        <v>190</v>
      </c>
      <c r="FS271" s="319" t="s">
        <v>428</v>
      </c>
      <c r="FT271" s="319" t="s">
        <v>190</v>
      </c>
      <c r="FU271" s="319" t="s">
        <v>190</v>
      </c>
      <c r="FV271" s="319" t="s">
        <v>190</v>
      </c>
      <c r="FW271" s="319" t="s">
        <v>190</v>
      </c>
      <c r="FX271" s="319" t="s">
        <v>190</v>
      </c>
      <c r="FY271" s="319" t="s">
        <v>190</v>
      </c>
      <c r="FZ271" s="319" t="s">
        <v>190</v>
      </c>
      <c r="GA271" s="319" t="s">
        <v>190</v>
      </c>
      <c r="GB271" s="319" t="s">
        <v>190</v>
      </c>
      <c r="GC271" s="319" t="s">
        <v>190</v>
      </c>
      <c r="GD271" s="319" t="s">
        <v>190</v>
      </c>
      <c r="GE271" s="319" t="s">
        <v>190</v>
      </c>
      <c r="GF271" s="319" t="s">
        <v>190</v>
      </c>
      <c r="GG271" s="319" t="s">
        <v>190</v>
      </c>
      <c r="GH271" s="319" t="s">
        <v>190</v>
      </c>
      <c r="GI271" s="319" t="s">
        <v>190</v>
      </c>
      <c r="GJ271" s="319" t="s">
        <v>190</v>
      </c>
      <c r="GK271" s="319" t="s">
        <v>428</v>
      </c>
      <c r="GL271" s="319" t="s">
        <v>190</v>
      </c>
      <c r="GM271" s="319" t="s">
        <v>190</v>
      </c>
      <c r="GN271" s="319" t="s">
        <v>190</v>
      </c>
      <c r="GO271" s="319" t="s">
        <v>190</v>
      </c>
      <c r="GP271" s="319" t="s">
        <v>190</v>
      </c>
      <c r="GQ271" s="319" t="s">
        <v>428</v>
      </c>
      <c r="GR271" s="319" t="s">
        <v>190</v>
      </c>
      <c r="GS271" s="319" t="s">
        <v>190</v>
      </c>
      <c r="GT271" s="319" t="s">
        <v>428</v>
      </c>
      <c r="GU271" s="319" t="s">
        <v>428</v>
      </c>
      <c r="GV271" s="319" t="s">
        <v>190</v>
      </c>
      <c r="GW271" s="319" t="s">
        <v>190</v>
      </c>
      <c r="GX271" s="319" t="s">
        <v>190</v>
      </c>
      <c r="GY271" s="319" t="s">
        <v>190</v>
      </c>
      <c r="GZ271" s="319" t="s">
        <v>428</v>
      </c>
      <c r="HA271" s="319" t="s">
        <v>190</v>
      </c>
      <c r="HB271" s="319" t="s">
        <v>190</v>
      </c>
      <c r="HC271" s="319" t="s">
        <v>190</v>
      </c>
      <c r="HD271" s="319" t="s">
        <v>190</v>
      </c>
      <c r="HE271" s="319" t="s">
        <v>190</v>
      </c>
      <c r="HF271" s="319" t="s">
        <v>190</v>
      </c>
      <c r="HG271" s="319" t="s">
        <v>190</v>
      </c>
      <c r="HH271" s="319" t="s">
        <v>190</v>
      </c>
      <c r="HI271" s="319" t="s">
        <v>190</v>
      </c>
      <c r="HJ271" s="319" t="s">
        <v>190</v>
      </c>
      <c r="HK271" s="319" t="s">
        <v>190</v>
      </c>
      <c r="HL271" s="319" t="s">
        <v>428</v>
      </c>
      <c r="HM271" s="319" t="s">
        <v>428</v>
      </c>
      <c r="HN271" s="319" t="s">
        <v>428</v>
      </c>
      <c r="HO271" s="319" t="s">
        <v>428</v>
      </c>
      <c r="HP271" s="319" t="s">
        <v>190</v>
      </c>
      <c r="HQ271" s="319" t="s">
        <v>190</v>
      </c>
      <c r="HR271" s="319" t="s">
        <v>190</v>
      </c>
      <c r="HS271" s="319" t="s">
        <v>190</v>
      </c>
      <c r="HT271" s="319" t="s">
        <v>190</v>
      </c>
      <c r="HU271" s="319" t="s">
        <v>190</v>
      </c>
      <c r="HV271" s="319" t="s">
        <v>190</v>
      </c>
      <c r="HW271" s="319" t="s">
        <v>190</v>
      </c>
      <c r="HX271" s="319" t="s">
        <v>190</v>
      </c>
      <c r="HY271" s="319" t="s">
        <v>190</v>
      </c>
      <c r="HZ271" s="319" t="s">
        <v>190</v>
      </c>
      <c r="IA271" s="319" t="s">
        <v>190</v>
      </c>
      <c r="IB271" s="319" t="s">
        <v>190</v>
      </c>
      <c r="IC271" s="319" t="s">
        <v>190</v>
      </c>
      <c r="ID271" s="319" t="s">
        <v>190</v>
      </c>
      <c r="IE271" s="319" t="s">
        <v>190</v>
      </c>
      <c r="IF271" s="319" t="s">
        <v>191</v>
      </c>
      <c r="IG271" s="319" t="s">
        <v>191</v>
      </c>
      <c r="IH271" s="319" t="s">
        <v>191</v>
      </c>
      <c r="II271" s="319" t="s">
        <v>190</v>
      </c>
      <c r="IJ271" s="319">
        <v>10012980</v>
      </c>
      <c r="IK271" s="321">
        <v>42562</v>
      </c>
      <c r="IL271" s="321">
        <v>42564</v>
      </c>
      <c r="IM271" s="321">
        <v>42629</v>
      </c>
      <c r="IN271" s="319">
        <v>3</v>
      </c>
      <c r="IO271" s="319" t="s">
        <v>173</v>
      </c>
      <c r="IP271" s="319" t="s">
        <v>173</v>
      </c>
      <c r="IQ271" s="321" t="s">
        <v>173</v>
      </c>
      <c r="IR271" s="320" t="s">
        <v>173</v>
      </c>
      <c r="IS271" s="322" t="s">
        <v>173</v>
      </c>
      <c r="IT271" s="319" t="s">
        <v>173</v>
      </c>
    </row>
    <row r="272" spans="1:254" s="271" customFormat="1" x14ac:dyDescent="0.25">
      <c r="A272" s="318" t="str">
        <f>HYPERLINK("http://www.ofsted.gov.uk/inspection-reports/find-inspection-report/provider/ELS/130331 ","Ofsted School Webpage")</f>
        <v>Ofsted School Webpage</v>
      </c>
      <c r="B272" s="319">
        <v>130331</v>
      </c>
      <c r="C272" s="319">
        <v>8216001</v>
      </c>
      <c r="D272" s="319" t="s">
        <v>1582</v>
      </c>
      <c r="E272" s="319" t="s">
        <v>167</v>
      </c>
      <c r="F272" s="319" t="s">
        <v>81</v>
      </c>
      <c r="G272" s="319" t="s">
        <v>72</v>
      </c>
      <c r="H272" s="319" t="s">
        <v>72</v>
      </c>
      <c r="I272" s="319" t="s">
        <v>72</v>
      </c>
      <c r="J272" s="319" t="s">
        <v>424</v>
      </c>
      <c r="K272" s="319" t="s">
        <v>451</v>
      </c>
      <c r="L272" s="319" t="s">
        <v>451</v>
      </c>
      <c r="M272" s="319" t="s">
        <v>452</v>
      </c>
      <c r="N272" s="319" t="s">
        <v>3070</v>
      </c>
      <c r="O272" s="319" t="s">
        <v>1087</v>
      </c>
      <c r="P272" s="319">
        <v>44</v>
      </c>
      <c r="Q272" s="319" t="s">
        <v>2766</v>
      </c>
      <c r="R272" s="320">
        <v>10043844</v>
      </c>
      <c r="S272" s="321">
        <v>43116</v>
      </c>
      <c r="T272" s="321">
        <v>43118</v>
      </c>
      <c r="U272" s="321">
        <v>43171</v>
      </c>
      <c r="V272" s="319" t="s">
        <v>425</v>
      </c>
      <c r="W272" s="319" t="s">
        <v>2767</v>
      </c>
      <c r="X272" s="319">
        <v>4</v>
      </c>
      <c r="Y272" s="319" t="s">
        <v>173</v>
      </c>
      <c r="Z272" s="319" t="s">
        <v>173</v>
      </c>
      <c r="AA272" s="319" t="s">
        <v>173</v>
      </c>
      <c r="AB272" s="319">
        <v>4</v>
      </c>
      <c r="AC272" s="319" t="s">
        <v>170</v>
      </c>
      <c r="AD272" s="319" t="s">
        <v>173</v>
      </c>
      <c r="AE272" s="319" t="s">
        <v>173</v>
      </c>
      <c r="AF272" s="319" t="s">
        <v>427</v>
      </c>
      <c r="AG272" s="319" t="s">
        <v>172</v>
      </c>
      <c r="AH272" s="319" t="s">
        <v>479</v>
      </c>
      <c r="AI272" s="319" t="s">
        <v>479</v>
      </c>
      <c r="AJ272" s="319" t="s">
        <v>479</v>
      </c>
      <c r="AK272" s="319" t="s">
        <v>479</v>
      </c>
      <c r="AL272" s="319" t="s">
        <v>479</v>
      </c>
      <c r="AM272" s="319" t="s">
        <v>479</v>
      </c>
      <c r="AN272" s="319" t="s">
        <v>190</v>
      </c>
      <c r="AO272" s="319" t="s">
        <v>479</v>
      </c>
      <c r="AP272" s="319" t="s">
        <v>191</v>
      </c>
      <c r="AQ272" s="319" t="s">
        <v>191</v>
      </c>
      <c r="AR272" s="319" t="s">
        <v>191</v>
      </c>
      <c r="AS272" s="319" t="s">
        <v>191</v>
      </c>
      <c r="AT272" s="319" t="s">
        <v>190</v>
      </c>
      <c r="AU272" s="319" t="s">
        <v>190</v>
      </c>
      <c r="AV272" s="319" t="s">
        <v>190</v>
      </c>
      <c r="AW272" s="319" t="s">
        <v>190</v>
      </c>
      <c r="AX272" s="319" t="s">
        <v>428</v>
      </c>
      <c r="AY272" s="319" t="s">
        <v>190</v>
      </c>
      <c r="AZ272" s="319" t="s">
        <v>190</v>
      </c>
      <c r="BA272" s="319" t="s">
        <v>190</v>
      </c>
      <c r="BB272" s="319" t="s">
        <v>190</v>
      </c>
      <c r="BC272" s="319" t="s">
        <v>190</v>
      </c>
      <c r="BD272" s="319" t="s">
        <v>190</v>
      </c>
      <c r="BE272" s="319" t="s">
        <v>190</v>
      </c>
      <c r="BF272" s="319" t="s">
        <v>428</v>
      </c>
      <c r="BG272" s="319" t="s">
        <v>428</v>
      </c>
      <c r="BH272" s="319" t="s">
        <v>190</v>
      </c>
      <c r="BI272" s="319" t="s">
        <v>190</v>
      </c>
      <c r="BJ272" s="319" t="s">
        <v>191</v>
      </c>
      <c r="BK272" s="319" t="s">
        <v>191</v>
      </c>
      <c r="BL272" s="319" t="s">
        <v>190</v>
      </c>
      <c r="BM272" s="319" t="s">
        <v>191</v>
      </c>
      <c r="BN272" s="319" t="s">
        <v>191</v>
      </c>
      <c r="BO272" s="319" t="s">
        <v>190</v>
      </c>
      <c r="BP272" s="319" t="s">
        <v>191</v>
      </c>
      <c r="BQ272" s="319" t="s">
        <v>191</v>
      </c>
      <c r="BR272" s="319" t="s">
        <v>190</v>
      </c>
      <c r="BS272" s="319" t="s">
        <v>190</v>
      </c>
      <c r="BT272" s="319" t="s">
        <v>191</v>
      </c>
      <c r="BU272" s="319" t="s">
        <v>190</v>
      </c>
      <c r="BV272" s="319" t="s">
        <v>191</v>
      </c>
      <c r="BW272" s="319" t="s">
        <v>191</v>
      </c>
      <c r="BX272" s="319" t="s">
        <v>190</v>
      </c>
      <c r="BY272" s="319" t="s">
        <v>190</v>
      </c>
      <c r="BZ272" s="319" t="s">
        <v>190</v>
      </c>
      <c r="CA272" s="319" t="s">
        <v>190</v>
      </c>
      <c r="CB272" s="319" t="s">
        <v>190</v>
      </c>
      <c r="CC272" s="319" t="s">
        <v>190</v>
      </c>
      <c r="CD272" s="319" t="s">
        <v>190</v>
      </c>
      <c r="CE272" s="319" t="s">
        <v>190</v>
      </c>
      <c r="CF272" s="319" t="s">
        <v>190</v>
      </c>
      <c r="CG272" s="319" t="s">
        <v>190</v>
      </c>
      <c r="CH272" s="319" t="s">
        <v>190</v>
      </c>
      <c r="CI272" s="319" t="s">
        <v>190</v>
      </c>
      <c r="CJ272" s="319" t="s">
        <v>190</v>
      </c>
      <c r="CK272" s="319" t="s">
        <v>191</v>
      </c>
      <c r="CL272" s="319" t="s">
        <v>191</v>
      </c>
      <c r="CM272" s="319" t="s">
        <v>190</v>
      </c>
      <c r="CN272" s="319" t="s">
        <v>428</v>
      </c>
      <c r="CO272" s="319" t="s">
        <v>428</v>
      </c>
      <c r="CP272" s="319" t="s">
        <v>428</v>
      </c>
      <c r="CQ272" s="319" t="s">
        <v>190</v>
      </c>
      <c r="CR272" s="319" t="s">
        <v>190</v>
      </c>
      <c r="CS272" s="319" t="s">
        <v>190</v>
      </c>
      <c r="CT272" s="319" t="s">
        <v>190</v>
      </c>
      <c r="CU272" s="319" t="s">
        <v>190</v>
      </c>
      <c r="CV272" s="319" t="s">
        <v>191</v>
      </c>
      <c r="CW272" s="319" t="s">
        <v>191</v>
      </c>
      <c r="CX272" s="319" t="s">
        <v>190</v>
      </c>
      <c r="CY272" s="319" t="s">
        <v>190</v>
      </c>
      <c r="CZ272" s="319" t="s">
        <v>191</v>
      </c>
      <c r="DA272" s="319" t="s">
        <v>191</v>
      </c>
      <c r="DB272" s="319" t="s">
        <v>191</v>
      </c>
      <c r="DC272" s="319" t="s">
        <v>191</v>
      </c>
      <c r="DD272" s="319" t="s">
        <v>191</v>
      </c>
      <c r="DE272" s="319" t="s">
        <v>191</v>
      </c>
      <c r="DF272" s="319" t="s">
        <v>191</v>
      </c>
      <c r="DG272" s="319" t="s">
        <v>190</v>
      </c>
      <c r="DH272" s="319" t="s">
        <v>190</v>
      </c>
      <c r="DI272" s="319" t="s">
        <v>190</v>
      </c>
      <c r="DJ272" s="319" t="s">
        <v>190</v>
      </c>
      <c r="DK272" s="319" t="s">
        <v>190</v>
      </c>
      <c r="DL272" s="319" t="s">
        <v>191</v>
      </c>
      <c r="DM272" s="319" t="s">
        <v>190</v>
      </c>
      <c r="DN272" s="319" t="s">
        <v>428</v>
      </c>
      <c r="DO272" s="319" t="s">
        <v>190</v>
      </c>
      <c r="DP272" s="319" t="s">
        <v>428</v>
      </c>
      <c r="DQ272" s="319" t="s">
        <v>428</v>
      </c>
      <c r="DR272" s="319" t="s">
        <v>428</v>
      </c>
      <c r="DS272" s="319" t="s">
        <v>428</v>
      </c>
      <c r="DT272" s="319" t="s">
        <v>428</v>
      </c>
      <c r="DU272" s="319" t="s">
        <v>428</v>
      </c>
      <c r="DV272" s="319" t="s">
        <v>173</v>
      </c>
      <c r="DW272" s="319" t="s">
        <v>428</v>
      </c>
      <c r="DX272" s="319" t="s">
        <v>428</v>
      </c>
      <c r="DY272" s="319" t="s">
        <v>428</v>
      </c>
      <c r="DZ272" s="319" t="s">
        <v>428</v>
      </c>
      <c r="EA272" s="319" t="s">
        <v>428</v>
      </c>
      <c r="EB272" s="319" t="s">
        <v>428</v>
      </c>
      <c r="EC272" s="319" t="s">
        <v>428</v>
      </c>
      <c r="ED272" s="319" t="s">
        <v>428</v>
      </c>
      <c r="EE272" s="319" t="s">
        <v>190</v>
      </c>
      <c r="EF272" s="319" t="s">
        <v>190</v>
      </c>
      <c r="EG272" s="319" t="s">
        <v>190</v>
      </c>
      <c r="EH272" s="319" t="s">
        <v>190</v>
      </c>
      <c r="EI272" s="319" t="s">
        <v>190</v>
      </c>
      <c r="EJ272" s="319" t="s">
        <v>190</v>
      </c>
      <c r="EK272" s="319" t="s">
        <v>190</v>
      </c>
      <c r="EL272" s="319" t="s">
        <v>428</v>
      </c>
      <c r="EM272" s="319" t="s">
        <v>190</v>
      </c>
      <c r="EN272" s="319" t="s">
        <v>191</v>
      </c>
      <c r="EO272" s="319" t="s">
        <v>190</v>
      </c>
      <c r="EP272" s="319" t="s">
        <v>191</v>
      </c>
      <c r="EQ272" s="319" t="s">
        <v>191</v>
      </c>
      <c r="ER272" s="319" t="s">
        <v>190</v>
      </c>
      <c r="ES272" s="319" t="s">
        <v>191</v>
      </c>
      <c r="ET272" s="319" t="s">
        <v>191</v>
      </c>
      <c r="EU272" s="319" t="s">
        <v>190</v>
      </c>
      <c r="EV272" s="319" t="s">
        <v>190</v>
      </c>
      <c r="EW272" s="319" t="s">
        <v>190</v>
      </c>
      <c r="EX272" s="319" t="s">
        <v>190</v>
      </c>
      <c r="EY272" s="319" t="s">
        <v>190</v>
      </c>
      <c r="EZ272" s="319" t="s">
        <v>191</v>
      </c>
      <c r="FA272" s="319" t="s">
        <v>190</v>
      </c>
      <c r="FB272" s="319" t="s">
        <v>428</v>
      </c>
      <c r="FC272" s="319" t="s">
        <v>428</v>
      </c>
      <c r="FD272" s="319" t="s">
        <v>428</v>
      </c>
      <c r="FE272" s="319" t="s">
        <v>428</v>
      </c>
      <c r="FF272" s="319" t="s">
        <v>428</v>
      </c>
      <c r="FG272" s="319" t="s">
        <v>428</v>
      </c>
      <c r="FH272" s="319" t="s">
        <v>190</v>
      </c>
      <c r="FI272" s="319" t="s">
        <v>190</v>
      </c>
      <c r="FJ272" s="319" t="s">
        <v>190</v>
      </c>
      <c r="FK272" s="319" t="s">
        <v>190</v>
      </c>
      <c r="FL272" s="319" t="s">
        <v>190</v>
      </c>
      <c r="FM272" s="319" t="s">
        <v>190</v>
      </c>
      <c r="FN272" s="319" t="s">
        <v>190</v>
      </c>
      <c r="FO272" s="319" t="s">
        <v>190</v>
      </c>
      <c r="FP272" s="319" t="s">
        <v>190</v>
      </c>
      <c r="FQ272" s="319" t="s">
        <v>190</v>
      </c>
      <c r="FR272" s="319" t="s">
        <v>190</v>
      </c>
      <c r="FS272" s="319" t="s">
        <v>428</v>
      </c>
      <c r="FT272" s="319" t="s">
        <v>190</v>
      </c>
      <c r="FU272" s="319" t="s">
        <v>191</v>
      </c>
      <c r="FV272" s="319" t="s">
        <v>190</v>
      </c>
      <c r="FW272" s="319" t="s">
        <v>190</v>
      </c>
      <c r="FX272" s="319" t="s">
        <v>190</v>
      </c>
      <c r="FY272" s="319" t="s">
        <v>190</v>
      </c>
      <c r="FZ272" s="319" t="s">
        <v>190</v>
      </c>
      <c r="GA272" s="319" t="s">
        <v>190</v>
      </c>
      <c r="GB272" s="319" t="s">
        <v>190</v>
      </c>
      <c r="GC272" s="319" t="s">
        <v>190</v>
      </c>
      <c r="GD272" s="319" t="s">
        <v>190</v>
      </c>
      <c r="GE272" s="319" t="s">
        <v>190</v>
      </c>
      <c r="GF272" s="319" t="s">
        <v>190</v>
      </c>
      <c r="GG272" s="319" t="s">
        <v>190</v>
      </c>
      <c r="GH272" s="319" t="s">
        <v>191</v>
      </c>
      <c r="GI272" s="319" t="s">
        <v>191</v>
      </c>
      <c r="GJ272" s="319" t="s">
        <v>191</v>
      </c>
      <c r="GK272" s="319" t="s">
        <v>428</v>
      </c>
      <c r="GL272" s="319" t="s">
        <v>191</v>
      </c>
      <c r="GM272" s="319" t="s">
        <v>191</v>
      </c>
      <c r="GN272" s="319" t="s">
        <v>191</v>
      </c>
      <c r="GO272" s="319" t="s">
        <v>190</v>
      </c>
      <c r="GP272" s="319" t="s">
        <v>190</v>
      </c>
      <c r="GQ272" s="319" t="s">
        <v>428</v>
      </c>
      <c r="GR272" s="319" t="s">
        <v>190</v>
      </c>
      <c r="GS272" s="319" t="s">
        <v>190</v>
      </c>
      <c r="GT272" s="319" t="s">
        <v>428</v>
      </c>
      <c r="GU272" s="319" t="s">
        <v>428</v>
      </c>
      <c r="GV272" s="319" t="s">
        <v>428</v>
      </c>
      <c r="GW272" s="319" t="s">
        <v>191</v>
      </c>
      <c r="GX272" s="319" t="s">
        <v>191</v>
      </c>
      <c r="GY272" s="319" t="s">
        <v>190</v>
      </c>
      <c r="GZ272" s="319" t="s">
        <v>190</v>
      </c>
      <c r="HA272" s="319" t="s">
        <v>190</v>
      </c>
      <c r="HB272" s="319" t="s">
        <v>190</v>
      </c>
      <c r="HC272" s="319" t="s">
        <v>190</v>
      </c>
      <c r="HD272" s="319" t="s">
        <v>191</v>
      </c>
      <c r="HE272" s="319" t="s">
        <v>190</v>
      </c>
      <c r="HF272" s="319" t="s">
        <v>428</v>
      </c>
      <c r="HG272" s="319" t="s">
        <v>190</v>
      </c>
      <c r="HH272" s="319" t="s">
        <v>190</v>
      </c>
      <c r="HI272" s="319" t="s">
        <v>191</v>
      </c>
      <c r="HJ272" s="319" t="s">
        <v>190</v>
      </c>
      <c r="HK272" s="319" t="s">
        <v>190</v>
      </c>
      <c r="HL272" s="319" t="s">
        <v>428</v>
      </c>
      <c r="HM272" s="319" t="s">
        <v>428</v>
      </c>
      <c r="HN272" s="319" t="s">
        <v>428</v>
      </c>
      <c r="HO272" s="319" t="s">
        <v>428</v>
      </c>
      <c r="HP272" s="319" t="s">
        <v>190</v>
      </c>
      <c r="HQ272" s="319" t="s">
        <v>190</v>
      </c>
      <c r="HR272" s="319" t="s">
        <v>190</v>
      </c>
      <c r="HS272" s="319" t="s">
        <v>190</v>
      </c>
      <c r="HT272" s="319" t="s">
        <v>190</v>
      </c>
      <c r="HU272" s="319" t="s">
        <v>190</v>
      </c>
      <c r="HV272" s="319" t="s">
        <v>190</v>
      </c>
      <c r="HW272" s="319" t="s">
        <v>190</v>
      </c>
      <c r="HX272" s="319" t="s">
        <v>190</v>
      </c>
      <c r="HY272" s="319" t="s">
        <v>190</v>
      </c>
      <c r="HZ272" s="319" t="s">
        <v>190</v>
      </c>
      <c r="IA272" s="319" t="s">
        <v>190</v>
      </c>
      <c r="IB272" s="319" t="s">
        <v>190</v>
      </c>
      <c r="IC272" s="319" t="s">
        <v>190</v>
      </c>
      <c r="ID272" s="319" t="s">
        <v>190</v>
      </c>
      <c r="IE272" s="319" t="s">
        <v>190</v>
      </c>
      <c r="IF272" s="319" t="s">
        <v>191</v>
      </c>
      <c r="IG272" s="319" t="s">
        <v>191</v>
      </c>
      <c r="IH272" s="319" t="s">
        <v>191</v>
      </c>
      <c r="II272" s="319" t="s">
        <v>191</v>
      </c>
      <c r="IJ272" s="319">
        <v>10018158</v>
      </c>
      <c r="IK272" s="321">
        <v>42472</v>
      </c>
      <c r="IL272" s="321">
        <v>42474</v>
      </c>
      <c r="IM272" s="321">
        <v>42501</v>
      </c>
      <c r="IN272" s="319">
        <v>4</v>
      </c>
      <c r="IO272" s="319">
        <v>10113726</v>
      </c>
      <c r="IP272" s="319" t="s">
        <v>985</v>
      </c>
      <c r="IQ272" s="321">
        <v>43720</v>
      </c>
      <c r="IR272" s="320" t="s">
        <v>2771</v>
      </c>
      <c r="IS272" s="322">
        <v>43774</v>
      </c>
      <c r="IT272" s="319" t="s">
        <v>166</v>
      </c>
    </row>
    <row r="273" spans="1:254" s="271" customFormat="1" x14ac:dyDescent="0.25">
      <c r="A273" s="318" t="str">
        <f>HYPERLINK("http://www.ofsted.gov.uk/inspection-reports/find-inspection-report/provider/ELS/130367 ","Ofsted School Webpage")</f>
        <v>Ofsted School Webpage</v>
      </c>
      <c r="B273" s="319">
        <v>130367</v>
      </c>
      <c r="C273" s="319">
        <v>9096048</v>
      </c>
      <c r="D273" s="319" t="s">
        <v>1583</v>
      </c>
      <c r="E273" s="319" t="s">
        <v>168</v>
      </c>
      <c r="F273" s="319" t="s">
        <v>81</v>
      </c>
      <c r="G273" s="319" t="s">
        <v>81</v>
      </c>
      <c r="H273" s="319" t="s">
        <v>81</v>
      </c>
      <c r="I273" s="319" t="s">
        <v>78</v>
      </c>
      <c r="J273" s="319" t="s">
        <v>424</v>
      </c>
      <c r="K273" s="319" t="s">
        <v>431</v>
      </c>
      <c r="L273" s="319" t="s">
        <v>431</v>
      </c>
      <c r="M273" s="319" t="s">
        <v>585</v>
      </c>
      <c r="N273" s="319" t="s">
        <v>2915</v>
      </c>
      <c r="O273" s="319" t="s">
        <v>1584</v>
      </c>
      <c r="P273" s="319">
        <v>15</v>
      </c>
      <c r="Q273" s="319" t="s">
        <v>429</v>
      </c>
      <c r="R273" s="320">
        <v>10033386</v>
      </c>
      <c r="S273" s="321">
        <v>42801</v>
      </c>
      <c r="T273" s="321">
        <v>42803</v>
      </c>
      <c r="U273" s="321">
        <v>42828</v>
      </c>
      <c r="V273" s="319" t="s">
        <v>425</v>
      </c>
      <c r="W273" s="319" t="s">
        <v>2767</v>
      </c>
      <c r="X273" s="319">
        <v>2</v>
      </c>
      <c r="Y273" s="319" t="s">
        <v>173</v>
      </c>
      <c r="Z273" s="319" t="s">
        <v>173</v>
      </c>
      <c r="AA273" s="319" t="s">
        <v>173</v>
      </c>
      <c r="AB273" s="319">
        <v>2</v>
      </c>
      <c r="AC273" s="319" t="s">
        <v>169</v>
      </c>
      <c r="AD273" s="319" t="s">
        <v>173</v>
      </c>
      <c r="AE273" s="319" t="s">
        <v>173</v>
      </c>
      <c r="AF273" s="319" t="s">
        <v>173</v>
      </c>
      <c r="AG273" s="319" t="s">
        <v>171</v>
      </c>
      <c r="AH273" s="319" t="s">
        <v>190</v>
      </c>
      <c r="AI273" s="319" t="s">
        <v>190</v>
      </c>
      <c r="AJ273" s="319" t="s">
        <v>190</v>
      </c>
      <c r="AK273" s="319" t="s">
        <v>190</v>
      </c>
      <c r="AL273" s="319" t="s">
        <v>190</v>
      </c>
      <c r="AM273" s="319" t="s">
        <v>190</v>
      </c>
      <c r="AN273" s="319" t="s">
        <v>190</v>
      </c>
      <c r="AO273" s="319" t="s">
        <v>190</v>
      </c>
      <c r="AP273" s="319" t="s">
        <v>190</v>
      </c>
      <c r="AQ273" s="319" t="s">
        <v>190</v>
      </c>
      <c r="AR273" s="319" t="s">
        <v>190</v>
      </c>
      <c r="AS273" s="319" t="s">
        <v>190</v>
      </c>
      <c r="AT273" s="319" t="s">
        <v>190</v>
      </c>
      <c r="AU273" s="319" t="s">
        <v>190</v>
      </c>
      <c r="AV273" s="319" t="s">
        <v>190</v>
      </c>
      <c r="AW273" s="319" t="s">
        <v>190</v>
      </c>
      <c r="AX273" s="319" t="s">
        <v>429</v>
      </c>
      <c r="AY273" s="319" t="s">
        <v>190</v>
      </c>
      <c r="AZ273" s="319" t="s">
        <v>190</v>
      </c>
      <c r="BA273" s="319" t="s">
        <v>190</v>
      </c>
      <c r="BB273" s="319" t="s">
        <v>429</v>
      </c>
      <c r="BC273" s="319" t="s">
        <v>429</v>
      </c>
      <c r="BD273" s="319" t="s">
        <v>429</v>
      </c>
      <c r="BE273" s="319" t="s">
        <v>429</v>
      </c>
      <c r="BF273" s="319" t="s">
        <v>429</v>
      </c>
      <c r="BG273" s="319" t="s">
        <v>429</v>
      </c>
      <c r="BH273" s="319" t="s">
        <v>190</v>
      </c>
      <c r="BI273" s="319" t="s">
        <v>190</v>
      </c>
      <c r="BJ273" s="319" t="s">
        <v>190</v>
      </c>
      <c r="BK273" s="319" t="s">
        <v>190</v>
      </c>
      <c r="BL273" s="319" t="s">
        <v>190</v>
      </c>
      <c r="BM273" s="319" t="s">
        <v>190</v>
      </c>
      <c r="BN273" s="319" t="s">
        <v>190</v>
      </c>
      <c r="BO273" s="319" t="s">
        <v>190</v>
      </c>
      <c r="BP273" s="319" t="s">
        <v>190</v>
      </c>
      <c r="BQ273" s="319" t="s">
        <v>190</v>
      </c>
      <c r="BR273" s="319" t="s">
        <v>190</v>
      </c>
      <c r="BS273" s="319" t="s">
        <v>190</v>
      </c>
      <c r="BT273" s="319" t="s">
        <v>190</v>
      </c>
      <c r="BU273" s="319" t="s">
        <v>190</v>
      </c>
      <c r="BV273" s="319" t="s">
        <v>190</v>
      </c>
      <c r="BW273" s="319" t="s">
        <v>190</v>
      </c>
      <c r="BX273" s="319" t="s">
        <v>190</v>
      </c>
      <c r="BY273" s="319" t="s">
        <v>190</v>
      </c>
      <c r="BZ273" s="319" t="s">
        <v>190</v>
      </c>
      <c r="CA273" s="319" t="s">
        <v>190</v>
      </c>
      <c r="CB273" s="319" t="s">
        <v>190</v>
      </c>
      <c r="CC273" s="319" t="s">
        <v>190</v>
      </c>
      <c r="CD273" s="319" t="s">
        <v>190</v>
      </c>
      <c r="CE273" s="319" t="s">
        <v>190</v>
      </c>
      <c r="CF273" s="319" t="s">
        <v>190</v>
      </c>
      <c r="CG273" s="319" t="s">
        <v>190</v>
      </c>
      <c r="CH273" s="319" t="s">
        <v>190</v>
      </c>
      <c r="CI273" s="319" t="s">
        <v>190</v>
      </c>
      <c r="CJ273" s="319" t="s">
        <v>190</v>
      </c>
      <c r="CK273" s="319" t="s">
        <v>190</v>
      </c>
      <c r="CL273" s="319" t="s">
        <v>190</v>
      </c>
      <c r="CM273" s="319" t="s">
        <v>190</v>
      </c>
      <c r="CN273" s="319" t="s">
        <v>190</v>
      </c>
      <c r="CO273" s="319" t="s">
        <v>190</v>
      </c>
      <c r="CP273" s="319" t="s">
        <v>429</v>
      </c>
      <c r="CQ273" s="319" t="s">
        <v>190</v>
      </c>
      <c r="CR273" s="319" t="s">
        <v>190</v>
      </c>
      <c r="CS273" s="319" t="s">
        <v>190</v>
      </c>
      <c r="CT273" s="319" t="s">
        <v>190</v>
      </c>
      <c r="CU273" s="319" t="s">
        <v>190</v>
      </c>
      <c r="CV273" s="319" t="s">
        <v>190</v>
      </c>
      <c r="CW273" s="319" t="s">
        <v>190</v>
      </c>
      <c r="CX273" s="319" t="s">
        <v>190</v>
      </c>
      <c r="CY273" s="319" t="s">
        <v>190</v>
      </c>
      <c r="CZ273" s="319" t="s">
        <v>190</v>
      </c>
      <c r="DA273" s="319" t="s">
        <v>190</v>
      </c>
      <c r="DB273" s="319" t="s">
        <v>190</v>
      </c>
      <c r="DC273" s="319" t="s">
        <v>190</v>
      </c>
      <c r="DD273" s="319" t="s">
        <v>190</v>
      </c>
      <c r="DE273" s="319" t="s">
        <v>190</v>
      </c>
      <c r="DF273" s="319" t="s">
        <v>190</v>
      </c>
      <c r="DG273" s="319" t="s">
        <v>190</v>
      </c>
      <c r="DH273" s="319" t="s">
        <v>190</v>
      </c>
      <c r="DI273" s="319" t="s">
        <v>190</v>
      </c>
      <c r="DJ273" s="319" t="s">
        <v>190</v>
      </c>
      <c r="DK273" s="319" t="s">
        <v>190</v>
      </c>
      <c r="DL273" s="319" t="s">
        <v>190</v>
      </c>
      <c r="DM273" s="319" t="s">
        <v>190</v>
      </c>
      <c r="DN273" s="319" t="s">
        <v>429</v>
      </c>
      <c r="DO273" s="319" t="s">
        <v>190</v>
      </c>
      <c r="DP273" s="319" t="s">
        <v>429</v>
      </c>
      <c r="DQ273" s="319" t="s">
        <v>429</v>
      </c>
      <c r="DR273" s="319" t="s">
        <v>429</v>
      </c>
      <c r="DS273" s="319" t="s">
        <v>429</v>
      </c>
      <c r="DT273" s="319" t="s">
        <v>429</v>
      </c>
      <c r="DU273" s="319" t="s">
        <v>429</v>
      </c>
      <c r="DV273" s="319" t="s">
        <v>173</v>
      </c>
      <c r="DW273" s="319" t="s">
        <v>429</v>
      </c>
      <c r="DX273" s="319" t="s">
        <v>429</v>
      </c>
      <c r="DY273" s="319" t="s">
        <v>429</v>
      </c>
      <c r="DZ273" s="319" t="s">
        <v>429</v>
      </c>
      <c r="EA273" s="319" t="s">
        <v>429</v>
      </c>
      <c r="EB273" s="319" t="s">
        <v>429</v>
      </c>
      <c r="EC273" s="319" t="s">
        <v>429</v>
      </c>
      <c r="ED273" s="319" t="s">
        <v>190</v>
      </c>
      <c r="EE273" s="319" t="s">
        <v>190</v>
      </c>
      <c r="EF273" s="319" t="s">
        <v>190</v>
      </c>
      <c r="EG273" s="319" t="s">
        <v>190</v>
      </c>
      <c r="EH273" s="319" t="s">
        <v>190</v>
      </c>
      <c r="EI273" s="319" t="s">
        <v>190</v>
      </c>
      <c r="EJ273" s="319" t="s">
        <v>190</v>
      </c>
      <c r="EK273" s="319" t="s">
        <v>190</v>
      </c>
      <c r="EL273" s="319" t="s">
        <v>190</v>
      </c>
      <c r="EM273" s="319" t="s">
        <v>190</v>
      </c>
      <c r="EN273" s="319" t="s">
        <v>190</v>
      </c>
      <c r="EO273" s="319" t="s">
        <v>190</v>
      </c>
      <c r="EP273" s="319" t="s">
        <v>190</v>
      </c>
      <c r="EQ273" s="319" t="s">
        <v>190</v>
      </c>
      <c r="ER273" s="319" t="s">
        <v>190</v>
      </c>
      <c r="ES273" s="319" t="s">
        <v>190</v>
      </c>
      <c r="ET273" s="319" t="s">
        <v>190</v>
      </c>
      <c r="EU273" s="319" t="s">
        <v>190</v>
      </c>
      <c r="EV273" s="319" t="s">
        <v>190</v>
      </c>
      <c r="EW273" s="319" t="s">
        <v>190</v>
      </c>
      <c r="EX273" s="319" t="s">
        <v>190</v>
      </c>
      <c r="EY273" s="319" t="s">
        <v>190</v>
      </c>
      <c r="EZ273" s="319" t="s">
        <v>190</v>
      </c>
      <c r="FA273" s="319" t="s">
        <v>190</v>
      </c>
      <c r="FB273" s="319" t="s">
        <v>429</v>
      </c>
      <c r="FC273" s="319" t="s">
        <v>429</v>
      </c>
      <c r="FD273" s="319" t="s">
        <v>429</v>
      </c>
      <c r="FE273" s="319" t="s">
        <v>429</v>
      </c>
      <c r="FF273" s="319" t="s">
        <v>429</v>
      </c>
      <c r="FG273" s="319" t="s">
        <v>429</v>
      </c>
      <c r="FH273" s="319" t="s">
        <v>190</v>
      </c>
      <c r="FI273" s="319" t="s">
        <v>190</v>
      </c>
      <c r="FJ273" s="319" t="s">
        <v>190</v>
      </c>
      <c r="FK273" s="319" t="s">
        <v>190</v>
      </c>
      <c r="FL273" s="319" t="s">
        <v>190</v>
      </c>
      <c r="FM273" s="319" t="s">
        <v>190</v>
      </c>
      <c r="FN273" s="319" t="s">
        <v>190</v>
      </c>
      <c r="FO273" s="319" t="s">
        <v>190</v>
      </c>
      <c r="FP273" s="319" t="s">
        <v>190</v>
      </c>
      <c r="FQ273" s="319" t="s">
        <v>190</v>
      </c>
      <c r="FR273" s="319" t="s">
        <v>190</v>
      </c>
      <c r="FS273" s="319" t="s">
        <v>429</v>
      </c>
      <c r="FT273" s="319" t="s">
        <v>190</v>
      </c>
      <c r="FU273" s="319" t="s">
        <v>190</v>
      </c>
      <c r="FV273" s="319" t="s">
        <v>190</v>
      </c>
      <c r="FW273" s="319" t="s">
        <v>190</v>
      </c>
      <c r="FX273" s="319" t="s">
        <v>190</v>
      </c>
      <c r="FY273" s="319" t="s">
        <v>190</v>
      </c>
      <c r="FZ273" s="319" t="s">
        <v>190</v>
      </c>
      <c r="GA273" s="319" t="s">
        <v>190</v>
      </c>
      <c r="GB273" s="319" t="s">
        <v>190</v>
      </c>
      <c r="GC273" s="319" t="s">
        <v>190</v>
      </c>
      <c r="GD273" s="319" t="s">
        <v>190</v>
      </c>
      <c r="GE273" s="319" t="s">
        <v>190</v>
      </c>
      <c r="GF273" s="319" t="s">
        <v>190</v>
      </c>
      <c r="GG273" s="319" t="s">
        <v>190</v>
      </c>
      <c r="GH273" s="319" t="s">
        <v>190</v>
      </c>
      <c r="GI273" s="319" t="s">
        <v>190</v>
      </c>
      <c r="GJ273" s="319" t="s">
        <v>190</v>
      </c>
      <c r="GK273" s="319" t="s">
        <v>429</v>
      </c>
      <c r="GL273" s="319" t="s">
        <v>190</v>
      </c>
      <c r="GM273" s="319" t="s">
        <v>190</v>
      </c>
      <c r="GN273" s="319" t="s">
        <v>190</v>
      </c>
      <c r="GO273" s="319" t="s">
        <v>190</v>
      </c>
      <c r="GP273" s="319" t="s">
        <v>190</v>
      </c>
      <c r="GQ273" s="319" t="s">
        <v>190</v>
      </c>
      <c r="GR273" s="319" t="s">
        <v>190</v>
      </c>
      <c r="GS273" s="319" t="s">
        <v>190</v>
      </c>
      <c r="GT273" s="319" t="s">
        <v>190</v>
      </c>
      <c r="GU273" s="319" t="s">
        <v>190</v>
      </c>
      <c r="GV273" s="319" t="s">
        <v>190</v>
      </c>
      <c r="GW273" s="319" t="s">
        <v>190</v>
      </c>
      <c r="GX273" s="319" t="s">
        <v>190</v>
      </c>
      <c r="GY273" s="319" t="s">
        <v>190</v>
      </c>
      <c r="GZ273" s="319" t="s">
        <v>429</v>
      </c>
      <c r="HA273" s="319" t="s">
        <v>190</v>
      </c>
      <c r="HB273" s="319" t="s">
        <v>190</v>
      </c>
      <c r="HC273" s="319" t="s">
        <v>190</v>
      </c>
      <c r="HD273" s="319" t="s">
        <v>190</v>
      </c>
      <c r="HE273" s="319" t="s">
        <v>190</v>
      </c>
      <c r="HF273" s="319" t="s">
        <v>190</v>
      </c>
      <c r="HG273" s="319" t="s">
        <v>190</v>
      </c>
      <c r="HH273" s="319" t="s">
        <v>190</v>
      </c>
      <c r="HI273" s="319" t="s">
        <v>190</v>
      </c>
      <c r="HJ273" s="319" t="s">
        <v>190</v>
      </c>
      <c r="HK273" s="319" t="s">
        <v>190</v>
      </c>
      <c r="HL273" s="319" t="s">
        <v>190</v>
      </c>
      <c r="HM273" s="319" t="s">
        <v>429</v>
      </c>
      <c r="HN273" s="319" t="s">
        <v>429</v>
      </c>
      <c r="HO273" s="319" t="s">
        <v>429</v>
      </c>
      <c r="HP273" s="319" t="s">
        <v>190</v>
      </c>
      <c r="HQ273" s="319" t="s">
        <v>190</v>
      </c>
      <c r="HR273" s="319" t="s">
        <v>190</v>
      </c>
      <c r="HS273" s="319" t="s">
        <v>190</v>
      </c>
      <c r="HT273" s="319" t="s">
        <v>190</v>
      </c>
      <c r="HU273" s="319" t="s">
        <v>190</v>
      </c>
      <c r="HV273" s="319" t="s">
        <v>190</v>
      </c>
      <c r="HW273" s="319" t="s">
        <v>190</v>
      </c>
      <c r="HX273" s="319" t="s">
        <v>190</v>
      </c>
      <c r="HY273" s="319" t="s">
        <v>190</v>
      </c>
      <c r="HZ273" s="319" t="s">
        <v>190</v>
      </c>
      <c r="IA273" s="319" t="s">
        <v>190</v>
      </c>
      <c r="IB273" s="319" t="s">
        <v>190</v>
      </c>
      <c r="IC273" s="319" t="s">
        <v>190</v>
      </c>
      <c r="ID273" s="319" t="s">
        <v>190</v>
      </c>
      <c r="IE273" s="319" t="s">
        <v>190</v>
      </c>
      <c r="IF273" s="319" t="s">
        <v>190</v>
      </c>
      <c r="IG273" s="319" t="s">
        <v>190</v>
      </c>
      <c r="IH273" s="319" t="s">
        <v>190</v>
      </c>
      <c r="II273" s="319" t="s">
        <v>190</v>
      </c>
      <c r="IJ273" s="319" t="s">
        <v>3071</v>
      </c>
      <c r="IK273" s="321">
        <v>41919</v>
      </c>
      <c r="IL273" s="321">
        <v>41921</v>
      </c>
      <c r="IM273" s="321">
        <v>41957</v>
      </c>
      <c r="IN273" s="319">
        <v>2</v>
      </c>
      <c r="IO273" s="319" t="s">
        <v>173</v>
      </c>
      <c r="IP273" s="319" t="s">
        <v>173</v>
      </c>
      <c r="IQ273" s="321" t="s">
        <v>173</v>
      </c>
      <c r="IR273" s="320" t="s">
        <v>173</v>
      </c>
      <c r="IS273" s="322" t="s">
        <v>173</v>
      </c>
      <c r="IT273" s="319" t="s">
        <v>173</v>
      </c>
    </row>
    <row r="274" spans="1:254" s="271" customFormat="1" x14ac:dyDescent="0.25">
      <c r="A274" s="318" t="str">
        <f>HYPERLINK("http://www.ofsted.gov.uk/inspection-reports/find-inspection-report/provider/ELS/130391 ","Ofsted School Webpage")</f>
        <v>Ofsted School Webpage</v>
      </c>
      <c r="B274" s="319">
        <v>130391</v>
      </c>
      <c r="C274" s="319">
        <v>8016130</v>
      </c>
      <c r="D274" s="319" t="s">
        <v>497</v>
      </c>
      <c r="E274" s="319" t="s">
        <v>167</v>
      </c>
      <c r="F274" s="319" t="s">
        <v>71</v>
      </c>
      <c r="G274" s="319" t="s">
        <v>72</v>
      </c>
      <c r="H274" s="319" t="s">
        <v>71</v>
      </c>
      <c r="I274" s="319" t="s">
        <v>72</v>
      </c>
      <c r="J274" s="319" t="s">
        <v>424</v>
      </c>
      <c r="K274" s="319" t="s">
        <v>422</v>
      </c>
      <c r="L274" s="319" t="s">
        <v>422</v>
      </c>
      <c r="M274" s="319" t="s">
        <v>498</v>
      </c>
      <c r="N274" s="319" t="s">
        <v>2897</v>
      </c>
      <c r="O274" s="319" t="s">
        <v>499</v>
      </c>
      <c r="P274" s="319">
        <v>216</v>
      </c>
      <c r="Q274" s="319" t="s">
        <v>2766</v>
      </c>
      <c r="R274" s="320">
        <v>10055843</v>
      </c>
      <c r="S274" s="321">
        <v>43368</v>
      </c>
      <c r="T274" s="321">
        <v>43370</v>
      </c>
      <c r="U274" s="321">
        <v>43397</v>
      </c>
      <c r="V274" s="319" t="s">
        <v>425</v>
      </c>
      <c r="W274" s="319" t="s">
        <v>2767</v>
      </c>
      <c r="X274" s="319">
        <v>3</v>
      </c>
      <c r="Y274" s="319" t="s">
        <v>173</v>
      </c>
      <c r="Z274" s="319" t="s">
        <v>173</v>
      </c>
      <c r="AA274" s="319" t="s">
        <v>173</v>
      </c>
      <c r="AB274" s="319">
        <v>3</v>
      </c>
      <c r="AC274" s="319" t="s">
        <v>169</v>
      </c>
      <c r="AD274" s="319">
        <v>3</v>
      </c>
      <c r="AE274" s="319" t="s">
        <v>173</v>
      </c>
      <c r="AF274" s="319" t="s">
        <v>427</v>
      </c>
      <c r="AG274" s="319" t="s">
        <v>171</v>
      </c>
      <c r="AH274" s="319" t="s">
        <v>190</v>
      </c>
      <c r="AI274" s="319" t="s">
        <v>190</v>
      </c>
      <c r="AJ274" s="319" t="s">
        <v>190</v>
      </c>
      <c r="AK274" s="319" t="s">
        <v>190</v>
      </c>
      <c r="AL274" s="319" t="s">
        <v>190</v>
      </c>
      <c r="AM274" s="319" t="s">
        <v>190</v>
      </c>
      <c r="AN274" s="319" t="s">
        <v>190</v>
      </c>
      <c r="AO274" s="319" t="s">
        <v>190</v>
      </c>
      <c r="AP274" s="319" t="s">
        <v>190</v>
      </c>
      <c r="AQ274" s="319" t="s">
        <v>190</v>
      </c>
      <c r="AR274" s="319" t="s">
        <v>190</v>
      </c>
      <c r="AS274" s="319" t="s">
        <v>190</v>
      </c>
      <c r="AT274" s="319" t="s">
        <v>190</v>
      </c>
      <c r="AU274" s="319" t="s">
        <v>190</v>
      </c>
      <c r="AV274" s="319" t="s">
        <v>190</v>
      </c>
      <c r="AW274" s="319" t="s">
        <v>190</v>
      </c>
      <c r="AX274" s="319" t="s">
        <v>190</v>
      </c>
      <c r="AY274" s="319" t="s">
        <v>190</v>
      </c>
      <c r="AZ274" s="319" t="s">
        <v>190</v>
      </c>
      <c r="BA274" s="319" t="s">
        <v>190</v>
      </c>
      <c r="BB274" s="319" t="s">
        <v>190</v>
      </c>
      <c r="BC274" s="319" t="s">
        <v>190</v>
      </c>
      <c r="BD274" s="319" t="s">
        <v>190</v>
      </c>
      <c r="BE274" s="319" t="s">
        <v>190</v>
      </c>
      <c r="BF274" s="319" t="s">
        <v>190</v>
      </c>
      <c r="BG274" s="319" t="s">
        <v>428</v>
      </c>
      <c r="BH274" s="319" t="s">
        <v>190</v>
      </c>
      <c r="BI274" s="319" t="s">
        <v>190</v>
      </c>
      <c r="BJ274" s="319" t="s">
        <v>190</v>
      </c>
      <c r="BK274" s="319" t="s">
        <v>190</v>
      </c>
      <c r="BL274" s="319" t="s">
        <v>190</v>
      </c>
      <c r="BM274" s="319" t="s">
        <v>190</v>
      </c>
      <c r="BN274" s="319" t="s">
        <v>190</v>
      </c>
      <c r="BO274" s="319" t="s">
        <v>190</v>
      </c>
      <c r="BP274" s="319" t="s">
        <v>190</v>
      </c>
      <c r="BQ274" s="319" t="s">
        <v>190</v>
      </c>
      <c r="BR274" s="319" t="s">
        <v>190</v>
      </c>
      <c r="BS274" s="319" t="s">
        <v>190</v>
      </c>
      <c r="BT274" s="319" t="s">
        <v>190</v>
      </c>
      <c r="BU274" s="319" t="s">
        <v>190</v>
      </c>
      <c r="BV274" s="319" t="s">
        <v>190</v>
      </c>
      <c r="BW274" s="319" t="s">
        <v>190</v>
      </c>
      <c r="BX274" s="319" t="s">
        <v>190</v>
      </c>
      <c r="BY274" s="319" t="s">
        <v>190</v>
      </c>
      <c r="BZ274" s="319" t="s">
        <v>190</v>
      </c>
      <c r="CA274" s="319" t="s">
        <v>190</v>
      </c>
      <c r="CB274" s="319" t="s">
        <v>190</v>
      </c>
      <c r="CC274" s="319" t="s">
        <v>190</v>
      </c>
      <c r="CD274" s="319" t="s">
        <v>190</v>
      </c>
      <c r="CE274" s="319" t="s">
        <v>190</v>
      </c>
      <c r="CF274" s="319" t="s">
        <v>190</v>
      </c>
      <c r="CG274" s="319" t="s">
        <v>190</v>
      </c>
      <c r="CH274" s="319" t="s">
        <v>190</v>
      </c>
      <c r="CI274" s="319" t="s">
        <v>190</v>
      </c>
      <c r="CJ274" s="319" t="s">
        <v>190</v>
      </c>
      <c r="CK274" s="319" t="s">
        <v>190</v>
      </c>
      <c r="CL274" s="319" t="s">
        <v>190</v>
      </c>
      <c r="CM274" s="319" t="s">
        <v>190</v>
      </c>
      <c r="CN274" s="319" t="s">
        <v>428</v>
      </c>
      <c r="CO274" s="319" t="s">
        <v>428</v>
      </c>
      <c r="CP274" s="319" t="s">
        <v>428</v>
      </c>
      <c r="CQ274" s="319" t="s">
        <v>190</v>
      </c>
      <c r="CR274" s="319" t="s">
        <v>190</v>
      </c>
      <c r="CS274" s="319" t="s">
        <v>190</v>
      </c>
      <c r="CT274" s="319" t="s">
        <v>190</v>
      </c>
      <c r="CU274" s="319" t="s">
        <v>190</v>
      </c>
      <c r="CV274" s="319" t="s">
        <v>190</v>
      </c>
      <c r="CW274" s="319" t="s">
        <v>190</v>
      </c>
      <c r="CX274" s="319" t="s">
        <v>190</v>
      </c>
      <c r="CY274" s="319" t="s">
        <v>190</v>
      </c>
      <c r="CZ274" s="319" t="s">
        <v>190</v>
      </c>
      <c r="DA274" s="319" t="s">
        <v>190</v>
      </c>
      <c r="DB274" s="319" t="s">
        <v>190</v>
      </c>
      <c r="DC274" s="319" t="s">
        <v>190</v>
      </c>
      <c r="DD274" s="319" t="s">
        <v>190</v>
      </c>
      <c r="DE274" s="319" t="s">
        <v>190</v>
      </c>
      <c r="DF274" s="319" t="s">
        <v>190</v>
      </c>
      <c r="DG274" s="319" t="s">
        <v>190</v>
      </c>
      <c r="DH274" s="319" t="s">
        <v>190</v>
      </c>
      <c r="DI274" s="319" t="s">
        <v>190</v>
      </c>
      <c r="DJ274" s="319" t="s">
        <v>190</v>
      </c>
      <c r="DK274" s="319" t="s">
        <v>190</v>
      </c>
      <c r="DL274" s="319" t="s">
        <v>190</v>
      </c>
      <c r="DM274" s="319" t="s">
        <v>190</v>
      </c>
      <c r="DN274" s="319" t="s">
        <v>190</v>
      </c>
      <c r="DO274" s="319" t="s">
        <v>190</v>
      </c>
      <c r="DP274" s="319" t="s">
        <v>190</v>
      </c>
      <c r="DQ274" s="319" t="s">
        <v>190</v>
      </c>
      <c r="DR274" s="319" t="s">
        <v>190</v>
      </c>
      <c r="DS274" s="319" t="s">
        <v>190</v>
      </c>
      <c r="DT274" s="319" t="s">
        <v>190</v>
      </c>
      <c r="DU274" s="319" t="s">
        <v>190</v>
      </c>
      <c r="DV274" s="319" t="s">
        <v>173</v>
      </c>
      <c r="DW274" s="319" t="s">
        <v>190</v>
      </c>
      <c r="DX274" s="319" t="s">
        <v>190</v>
      </c>
      <c r="DY274" s="319" t="s">
        <v>190</v>
      </c>
      <c r="DZ274" s="319" t="s">
        <v>190</v>
      </c>
      <c r="EA274" s="319" t="s">
        <v>190</v>
      </c>
      <c r="EB274" s="319" t="s">
        <v>190</v>
      </c>
      <c r="EC274" s="319" t="s">
        <v>428</v>
      </c>
      <c r="ED274" s="319" t="s">
        <v>190</v>
      </c>
      <c r="EE274" s="319" t="s">
        <v>190</v>
      </c>
      <c r="EF274" s="319" t="s">
        <v>190</v>
      </c>
      <c r="EG274" s="319" t="s">
        <v>190</v>
      </c>
      <c r="EH274" s="319" t="s">
        <v>190</v>
      </c>
      <c r="EI274" s="319" t="s">
        <v>190</v>
      </c>
      <c r="EJ274" s="319" t="s">
        <v>190</v>
      </c>
      <c r="EK274" s="319" t="s">
        <v>190</v>
      </c>
      <c r="EL274" s="319" t="s">
        <v>190</v>
      </c>
      <c r="EM274" s="319" t="s">
        <v>190</v>
      </c>
      <c r="EN274" s="319" t="s">
        <v>190</v>
      </c>
      <c r="EO274" s="319" t="s">
        <v>190</v>
      </c>
      <c r="EP274" s="319" t="s">
        <v>190</v>
      </c>
      <c r="EQ274" s="319" t="s">
        <v>190</v>
      </c>
      <c r="ER274" s="319" t="s">
        <v>190</v>
      </c>
      <c r="ES274" s="319" t="s">
        <v>190</v>
      </c>
      <c r="ET274" s="319" t="s">
        <v>190</v>
      </c>
      <c r="EU274" s="319" t="s">
        <v>190</v>
      </c>
      <c r="EV274" s="319" t="s">
        <v>190</v>
      </c>
      <c r="EW274" s="319" t="s">
        <v>190</v>
      </c>
      <c r="EX274" s="319" t="s">
        <v>190</v>
      </c>
      <c r="EY274" s="319" t="s">
        <v>190</v>
      </c>
      <c r="EZ274" s="319" t="s">
        <v>190</v>
      </c>
      <c r="FA274" s="319" t="s">
        <v>428</v>
      </c>
      <c r="FB274" s="319" t="s">
        <v>190</v>
      </c>
      <c r="FC274" s="319" t="s">
        <v>190</v>
      </c>
      <c r="FD274" s="319" t="s">
        <v>190</v>
      </c>
      <c r="FE274" s="319" t="s">
        <v>190</v>
      </c>
      <c r="FF274" s="319" t="s">
        <v>190</v>
      </c>
      <c r="FG274" s="319" t="s">
        <v>190</v>
      </c>
      <c r="FH274" s="319" t="s">
        <v>190</v>
      </c>
      <c r="FI274" s="319" t="s">
        <v>190</v>
      </c>
      <c r="FJ274" s="319" t="s">
        <v>190</v>
      </c>
      <c r="FK274" s="319" t="s">
        <v>190</v>
      </c>
      <c r="FL274" s="319" t="s">
        <v>190</v>
      </c>
      <c r="FM274" s="319" t="s">
        <v>190</v>
      </c>
      <c r="FN274" s="319" t="s">
        <v>190</v>
      </c>
      <c r="FO274" s="319" t="s">
        <v>190</v>
      </c>
      <c r="FP274" s="319" t="s">
        <v>190</v>
      </c>
      <c r="FQ274" s="319" t="s">
        <v>190</v>
      </c>
      <c r="FR274" s="319" t="s">
        <v>190</v>
      </c>
      <c r="FS274" s="319" t="s">
        <v>428</v>
      </c>
      <c r="FT274" s="319" t="s">
        <v>190</v>
      </c>
      <c r="FU274" s="319" t="s">
        <v>190</v>
      </c>
      <c r="FV274" s="319" t="s">
        <v>190</v>
      </c>
      <c r="FW274" s="319" t="s">
        <v>190</v>
      </c>
      <c r="FX274" s="319" t="s">
        <v>190</v>
      </c>
      <c r="FY274" s="319" t="s">
        <v>190</v>
      </c>
      <c r="FZ274" s="319" t="s">
        <v>190</v>
      </c>
      <c r="GA274" s="319" t="s">
        <v>190</v>
      </c>
      <c r="GB274" s="319" t="s">
        <v>190</v>
      </c>
      <c r="GC274" s="319" t="s">
        <v>190</v>
      </c>
      <c r="GD274" s="319" t="s">
        <v>190</v>
      </c>
      <c r="GE274" s="319" t="s">
        <v>190</v>
      </c>
      <c r="GF274" s="319" t="s">
        <v>190</v>
      </c>
      <c r="GG274" s="319" t="s">
        <v>190</v>
      </c>
      <c r="GH274" s="319" t="s">
        <v>190</v>
      </c>
      <c r="GI274" s="319" t="s">
        <v>190</v>
      </c>
      <c r="GJ274" s="319" t="s">
        <v>190</v>
      </c>
      <c r="GK274" s="319" t="s">
        <v>428</v>
      </c>
      <c r="GL274" s="319" t="s">
        <v>190</v>
      </c>
      <c r="GM274" s="319" t="s">
        <v>190</v>
      </c>
      <c r="GN274" s="319" t="s">
        <v>190</v>
      </c>
      <c r="GO274" s="319" t="s">
        <v>190</v>
      </c>
      <c r="GP274" s="319" t="s">
        <v>190</v>
      </c>
      <c r="GQ274" s="319" t="s">
        <v>428</v>
      </c>
      <c r="GR274" s="319" t="s">
        <v>190</v>
      </c>
      <c r="GS274" s="319" t="s">
        <v>190</v>
      </c>
      <c r="GT274" s="319" t="s">
        <v>428</v>
      </c>
      <c r="GU274" s="319" t="s">
        <v>190</v>
      </c>
      <c r="GV274" s="319" t="s">
        <v>190</v>
      </c>
      <c r="GW274" s="319" t="s">
        <v>190</v>
      </c>
      <c r="GX274" s="319" t="s">
        <v>190</v>
      </c>
      <c r="GY274" s="319" t="s">
        <v>190</v>
      </c>
      <c r="GZ274" s="319" t="s">
        <v>428</v>
      </c>
      <c r="HA274" s="319" t="s">
        <v>190</v>
      </c>
      <c r="HB274" s="319" t="s">
        <v>190</v>
      </c>
      <c r="HC274" s="319" t="s">
        <v>190</v>
      </c>
      <c r="HD274" s="319" t="s">
        <v>190</v>
      </c>
      <c r="HE274" s="319" t="s">
        <v>190</v>
      </c>
      <c r="HF274" s="319" t="s">
        <v>190</v>
      </c>
      <c r="HG274" s="319" t="s">
        <v>190</v>
      </c>
      <c r="HH274" s="319" t="s">
        <v>190</v>
      </c>
      <c r="HI274" s="319" t="s">
        <v>190</v>
      </c>
      <c r="HJ274" s="319" t="s">
        <v>190</v>
      </c>
      <c r="HK274" s="319" t="s">
        <v>190</v>
      </c>
      <c r="HL274" s="319" t="s">
        <v>428</v>
      </c>
      <c r="HM274" s="319" t="s">
        <v>428</v>
      </c>
      <c r="HN274" s="319" t="s">
        <v>428</v>
      </c>
      <c r="HO274" s="319" t="s">
        <v>428</v>
      </c>
      <c r="HP274" s="319" t="s">
        <v>190</v>
      </c>
      <c r="HQ274" s="319" t="s">
        <v>190</v>
      </c>
      <c r="HR274" s="319" t="s">
        <v>190</v>
      </c>
      <c r="HS274" s="319" t="s">
        <v>190</v>
      </c>
      <c r="HT274" s="319" t="s">
        <v>190</v>
      </c>
      <c r="HU274" s="319" t="s">
        <v>190</v>
      </c>
      <c r="HV274" s="319" t="s">
        <v>190</v>
      </c>
      <c r="HW274" s="319" t="s">
        <v>190</v>
      </c>
      <c r="HX274" s="319" t="s">
        <v>190</v>
      </c>
      <c r="HY274" s="319" t="s">
        <v>190</v>
      </c>
      <c r="HZ274" s="319" t="s">
        <v>190</v>
      </c>
      <c r="IA274" s="319" t="s">
        <v>190</v>
      </c>
      <c r="IB274" s="319" t="s">
        <v>190</v>
      </c>
      <c r="IC274" s="319" t="s">
        <v>190</v>
      </c>
      <c r="ID274" s="319" t="s">
        <v>190</v>
      </c>
      <c r="IE274" s="319" t="s">
        <v>190</v>
      </c>
      <c r="IF274" s="319" t="s">
        <v>190</v>
      </c>
      <c r="IG274" s="319" t="s">
        <v>190</v>
      </c>
      <c r="IH274" s="319" t="s">
        <v>190</v>
      </c>
      <c r="II274" s="319" t="s">
        <v>190</v>
      </c>
      <c r="IJ274" s="319">
        <v>10039498</v>
      </c>
      <c r="IK274" s="321">
        <v>43004</v>
      </c>
      <c r="IL274" s="321">
        <v>43006</v>
      </c>
      <c r="IM274" s="321">
        <v>43045</v>
      </c>
      <c r="IN274" s="319">
        <v>4</v>
      </c>
      <c r="IO274" s="319" t="s">
        <v>173</v>
      </c>
      <c r="IP274" s="319" t="s">
        <v>173</v>
      </c>
      <c r="IQ274" s="321" t="s">
        <v>173</v>
      </c>
      <c r="IR274" s="320" t="s">
        <v>173</v>
      </c>
      <c r="IS274" s="322" t="s">
        <v>173</v>
      </c>
      <c r="IT274" s="319" t="s">
        <v>173</v>
      </c>
    </row>
    <row r="275" spans="1:254" s="271" customFormat="1" x14ac:dyDescent="0.25">
      <c r="A275" s="318" t="str">
        <f>HYPERLINK("http://www.ofsted.gov.uk/inspection-reports/find-inspection-report/provider/ELS/130398 ","Ofsted School Webpage")</f>
        <v>Ofsted School Webpage</v>
      </c>
      <c r="B275" s="319">
        <v>130398</v>
      </c>
      <c r="C275" s="319">
        <v>2126398</v>
      </c>
      <c r="D275" s="319" t="s">
        <v>1585</v>
      </c>
      <c r="E275" s="319" t="s">
        <v>167</v>
      </c>
      <c r="F275" s="319" t="s">
        <v>81</v>
      </c>
      <c r="G275" s="319" t="s">
        <v>81</v>
      </c>
      <c r="H275" s="319" t="s">
        <v>81</v>
      </c>
      <c r="I275" s="319" t="s">
        <v>78</v>
      </c>
      <c r="J275" s="319" t="s">
        <v>424</v>
      </c>
      <c r="K275" s="319" t="s">
        <v>441</v>
      </c>
      <c r="L275" s="319" t="s">
        <v>441</v>
      </c>
      <c r="M275" s="319" t="s">
        <v>745</v>
      </c>
      <c r="N275" s="319" t="s">
        <v>2793</v>
      </c>
      <c r="O275" s="319" t="s">
        <v>1586</v>
      </c>
      <c r="P275" s="319">
        <v>652</v>
      </c>
      <c r="Q275" s="319" t="s">
        <v>2766</v>
      </c>
      <c r="R275" s="320">
        <v>10026281</v>
      </c>
      <c r="S275" s="321">
        <v>43123</v>
      </c>
      <c r="T275" s="321">
        <v>43125</v>
      </c>
      <c r="U275" s="321">
        <v>43158</v>
      </c>
      <c r="V275" s="319" t="s">
        <v>425</v>
      </c>
      <c r="W275" s="319" t="s">
        <v>2767</v>
      </c>
      <c r="X275" s="319">
        <v>1</v>
      </c>
      <c r="Y275" s="319" t="s">
        <v>173</v>
      </c>
      <c r="Z275" s="319" t="s">
        <v>173</v>
      </c>
      <c r="AA275" s="319" t="s">
        <v>173</v>
      </c>
      <c r="AB275" s="319">
        <v>1</v>
      </c>
      <c r="AC275" s="319" t="s">
        <v>169</v>
      </c>
      <c r="AD275" s="319">
        <v>1</v>
      </c>
      <c r="AE275" s="319" t="s">
        <v>173</v>
      </c>
      <c r="AF275" s="319" t="s">
        <v>427</v>
      </c>
      <c r="AG275" s="319" t="s">
        <v>171</v>
      </c>
      <c r="AH275" s="319" t="s">
        <v>190</v>
      </c>
      <c r="AI275" s="319" t="s">
        <v>190</v>
      </c>
      <c r="AJ275" s="319" t="s">
        <v>190</v>
      </c>
      <c r="AK275" s="319" t="s">
        <v>190</v>
      </c>
      <c r="AL275" s="319" t="s">
        <v>190</v>
      </c>
      <c r="AM275" s="319" t="s">
        <v>190</v>
      </c>
      <c r="AN275" s="319" t="s">
        <v>190</v>
      </c>
      <c r="AO275" s="319" t="s">
        <v>190</v>
      </c>
      <c r="AP275" s="319" t="s">
        <v>190</v>
      </c>
      <c r="AQ275" s="319" t="s">
        <v>190</v>
      </c>
      <c r="AR275" s="319" t="s">
        <v>190</v>
      </c>
      <c r="AS275" s="319" t="s">
        <v>190</v>
      </c>
      <c r="AT275" s="319" t="s">
        <v>190</v>
      </c>
      <c r="AU275" s="319" t="s">
        <v>190</v>
      </c>
      <c r="AV275" s="319" t="s">
        <v>190</v>
      </c>
      <c r="AW275" s="319" t="s">
        <v>190</v>
      </c>
      <c r="AX275" s="319" t="s">
        <v>428</v>
      </c>
      <c r="AY275" s="319" t="s">
        <v>190</v>
      </c>
      <c r="AZ275" s="319" t="s">
        <v>190</v>
      </c>
      <c r="BA275" s="319" t="s">
        <v>190</v>
      </c>
      <c r="BB275" s="319" t="s">
        <v>190</v>
      </c>
      <c r="BC275" s="319" t="s">
        <v>190</v>
      </c>
      <c r="BD275" s="319" t="s">
        <v>190</v>
      </c>
      <c r="BE275" s="319" t="s">
        <v>190</v>
      </c>
      <c r="BF275" s="319" t="s">
        <v>190</v>
      </c>
      <c r="BG275" s="319" t="s">
        <v>428</v>
      </c>
      <c r="BH275" s="319" t="s">
        <v>190</v>
      </c>
      <c r="BI275" s="319" t="s">
        <v>190</v>
      </c>
      <c r="BJ275" s="319" t="s">
        <v>190</v>
      </c>
      <c r="BK275" s="319" t="s">
        <v>190</v>
      </c>
      <c r="BL275" s="319" t="s">
        <v>190</v>
      </c>
      <c r="BM275" s="319" t="s">
        <v>190</v>
      </c>
      <c r="BN275" s="319" t="s">
        <v>190</v>
      </c>
      <c r="BO275" s="319" t="s">
        <v>190</v>
      </c>
      <c r="BP275" s="319" t="s">
        <v>190</v>
      </c>
      <c r="BQ275" s="319" t="s">
        <v>190</v>
      </c>
      <c r="BR275" s="319" t="s">
        <v>190</v>
      </c>
      <c r="BS275" s="319" t="s">
        <v>190</v>
      </c>
      <c r="BT275" s="319" t="s">
        <v>190</v>
      </c>
      <c r="BU275" s="319" t="s">
        <v>190</v>
      </c>
      <c r="BV275" s="319" t="s">
        <v>190</v>
      </c>
      <c r="BW275" s="319" t="s">
        <v>190</v>
      </c>
      <c r="BX275" s="319" t="s">
        <v>190</v>
      </c>
      <c r="BY275" s="319" t="s">
        <v>190</v>
      </c>
      <c r="BZ275" s="319" t="s">
        <v>190</v>
      </c>
      <c r="CA275" s="319" t="s">
        <v>190</v>
      </c>
      <c r="CB275" s="319" t="s">
        <v>190</v>
      </c>
      <c r="CC275" s="319" t="s">
        <v>190</v>
      </c>
      <c r="CD275" s="319" t="s">
        <v>190</v>
      </c>
      <c r="CE275" s="319" t="s">
        <v>190</v>
      </c>
      <c r="CF275" s="319" t="s">
        <v>190</v>
      </c>
      <c r="CG275" s="319" t="s">
        <v>190</v>
      </c>
      <c r="CH275" s="319" t="s">
        <v>190</v>
      </c>
      <c r="CI275" s="319" t="s">
        <v>190</v>
      </c>
      <c r="CJ275" s="319" t="s">
        <v>190</v>
      </c>
      <c r="CK275" s="319" t="s">
        <v>190</v>
      </c>
      <c r="CL275" s="319" t="s">
        <v>190</v>
      </c>
      <c r="CM275" s="319" t="s">
        <v>190</v>
      </c>
      <c r="CN275" s="319" t="s">
        <v>428</v>
      </c>
      <c r="CO275" s="319" t="s">
        <v>428</v>
      </c>
      <c r="CP275" s="319" t="s">
        <v>428</v>
      </c>
      <c r="CQ275" s="319" t="s">
        <v>190</v>
      </c>
      <c r="CR275" s="319" t="s">
        <v>190</v>
      </c>
      <c r="CS275" s="319" t="s">
        <v>190</v>
      </c>
      <c r="CT275" s="319" t="s">
        <v>190</v>
      </c>
      <c r="CU275" s="319" t="s">
        <v>190</v>
      </c>
      <c r="CV275" s="319" t="s">
        <v>190</v>
      </c>
      <c r="CW275" s="319" t="s">
        <v>190</v>
      </c>
      <c r="CX275" s="319" t="s">
        <v>190</v>
      </c>
      <c r="CY275" s="319" t="s">
        <v>190</v>
      </c>
      <c r="CZ275" s="319" t="s">
        <v>190</v>
      </c>
      <c r="DA275" s="319" t="s">
        <v>190</v>
      </c>
      <c r="DB275" s="319" t="s">
        <v>190</v>
      </c>
      <c r="DC275" s="319" t="s">
        <v>190</v>
      </c>
      <c r="DD275" s="319" t="s">
        <v>190</v>
      </c>
      <c r="DE275" s="319" t="s">
        <v>190</v>
      </c>
      <c r="DF275" s="319" t="s">
        <v>190</v>
      </c>
      <c r="DG275" s="319" t="s">
        <v>190</v>
      </c>
      <c r="DH275" s="319" t="s">
        <v>190</v>
      </c>
      <c r="DI275" s="319" t="s">
        <v>190</v>
      </c>
      <c r="DJ275" s="319" t="s">
        <v>190</v>
      </c>
      <c r="DK275" s="319" t="s">
        <v>190</v>
      </c>
      <c r="DL275" s="319" t="s">
        <v>190</v>
      </c>
      <c r="DM275" s="319" t="s">
        <v>190</v>
      </c>
      <c r="DN275" s="319" t="s">
        <v>428</v>
      </c>
      <c r="DO275" s="319" t="s">
        <v>190</v>
      </c>
      <c r="DP275" s="319" t="s">
        <v>428</v>
      </c>
      <c r="DQ275" s="319" t="s">
        <v>428</v>
      </c>
      <c r="DR275" s="319" t="s">
        <v>428</v>
      </c>
      <c r="DS275" s="319" t="s">
        <v>428</v>
      </c>
      <c r="DT275" s="319" t="s">
        <v>428</v>
      </c>
      <c r="DU275" s="319" t="s">
        <v>428</v>
      </c>
      <c r="DV275" s="319" t="s">
        <v>173</v>
      </c>
      <c r="DW275" s="319" t="s">
        <v>428</v>
      </c>
      <c r="DX275" s="319" t="s">
        <v>428</v>
      </c>
      <c r="DY275" s="319" t="s">
        <v>428</v>
      </c>
      <c r="DZ275" s="319" t="s">
        <v>428</v>
      </c>
      <c r="EA275" s="319" t="s">
        <v>428</v>
      </c>
      <c r="EB275" s="319" t="s">
        <v>428</v>
      </c>
      <c r="EC275" s="319" t="s">
        <v>428</v>
      </c>
      <c r="ED275" s="319" t="s">
        <v>428</v>
      </c>
      <c r="EE275" s="319" t="s">
        <v>190</v>
      </c>
      <c r="EF275" s="319" t="s">
        <v>190</v>
      </c>
      <c r="EG275" s="319" t="s">
        <v>190</v>
      </c>
      <c r="EH275" s="319" t="s">
        <v>190</v>
      </c>
      <c r="EI275" s="319" t="s">
        <v>190</v>
      </c>
      <c r="EJ275" s="319" t="s">
        <v>190</v>
      </c>
      <c r="EK275" s="319" t="s">
        <v>190</v>
      </c>
      <c r="EL275" s="319" t="s">
        <v>190</v>
      </c>
      <c r="EM275" s="319" t="s">
        <v>190</v>
      </c>
      <c r="EN275" s="319" t="s">
        <v>190</v>
      </c>
      <c r="EO275" s="319" t="s">
        <v>190</v>
      </c>
      <c r="EP275" s="319" t="s">
        <v>190</v>
      </c>
      <c r="EQ275" s="319" t="s">
        <v>190</v>
      </c>
      <c r="ER275" s="319" t="s">
        <v>190</v>
      </c>
      <c r="ES275" s="319" t="s">
        <v>190</v>
      </c>
      <c r="ET275" s="319" t="s">
        <v>190</v>
      </c>
      <c r="EU275" s="319" t="s">
        <v>190</v>
      </c>
      <c r="EV275" s="319" t="s">
        <v>190</v>
      </c>
      <c r="EW275" s="319" t="s">
        <v>190</v>
      </c>
      <c r="EX275" s="319" t="s">
        <v>190</v>
      </c>
      <c r="EY275" s="319" t="s">
        <v>190</v>
      </c>
      <c r="EZ275" s="319" t="s">
        <v>190</v>
      </c>
      <c r="FA275" s="319" t="s">
        <v>190</v>
      </c>
      <c r="FB275" s="319" t="s">
        <v>428</v>
      </c>
      <c r="FC275" s="319" t="s">
        <v>190</v>
      </c>
      <c r="FD275" s="319" t="s">
        <v>190</v>
      </c>
      <c r="FE275" s="319" t="s">
        <v>190</v>
      </c>
      <c r="FF275" s="319" t="s">
        <v>190</v>
      </c>
      <c r="FG275" s="319" t="s">
        <v>190</v>
      </c>
      <c r="FH275" s="319" t="s">
        <v>190</v>
      </c>
      <c r="FI275" s="319" t="s">
        <v>190</v>
      </c>
      <c r="FJ275" s="319" t="s">
        <v>190</v>
      </c>
      <c r="FK275" s="319" t="s">
        <v>190</v>
      </c>
      <c r="FL275" s="319" t="s">
        <v>190</v>
      </c>
      <c r="FM275" s="319" t="s">
        <v>190</v>
      </c>
      <c r="FN275" s="319" t="s">
        <v>190</v>
      </c>
      <c r="FO275" s="319" t="s">
        <v>190</v>
      </c>
      <c r="FP275" s="319" t="s">
        <v>190</v>
      </c>
      <c r="FQ275" s="319" t="s">
        <v>190</v>
      </c>
      <c r="FR275" s="319" t="s">
        <v>190</v>
      </c>
      <c r="FS275" s="319" t="s">
        <v>428</v>
      </c>
      <c r="FT275" s="319" t="s">
        <v>190</v>
      </c>
      <c r="FU275" s="319" t="s">
        <v>190</v>
      </c>
      <c r="FV275" s="319" t="s">
        <v>190</v>
      </c>
      <c r="FW275" s="319" t="s">
        <v>190</v>
      </c>
      <c r="FX275" s="319" t="s">
        <v>190</v>
      </c>
      <c r="FY275" s="319" t="s">
        <v>190</v>
      </c>
      <c r="FZ275" s="319" t="s">
        <v>190</v>
      </c>
      <c r="GA275" s="319" t="s">
        <v>190</v>
      </c>
      <c r="GB275" s="319" t="s">
        <v>190</v>
      </c>
      <c r="GC275" s="319" t="s">
        <v>190</v>
      </c>
      <c r="GD275" s="319" t="s">
        <v>190</v>
      </c>
      <c r="GE275" s="319" t="s">
        <v>190</v>
      </c>
      <c r="GF275" s="319" t="s">
        <v>190</v>
      </c>
      <c r="GG275" s="319" t="s">
        <v>190</v>
      </c>
      <c r="GH275" s="319" t="s">
        <v>190</v>
      </c>
      <c r="GI275" s="319" t="s">
        <v>190</v>
      </c>
      <c r="GJ275" s="319" t="s">
        <v>190</v>
      </c>
      <c r="GK275" s="319" t="s">
        <v>428</v>
      </c>
      <c r="GL275" s="319" t="s">
        <v>190</v>
      </c>
      <c r="GM275" s="319" t="s">
        <v>190</v>
      </c>
      <c r="GN275" s="319" t="s">
        <v>190</v>
      </c>
      <c r="GO275" s="319" t="s">
        <v>190</v>
      </c>
      <c r="GP275" s="319" t="s">
        <v>190</v>
      </c>
      <c r="GQ275" s="319" t="s">
        <v>428</v>
      </c>
      <c r="GR275" s="319" t="s">
        <v>190</v>
      </c>
      <c r="GS275" s="319" t="s">
        <v>190</v>
      </c>
      <c r="GT275" s="319" t="s">
        <v>190</v>
      </c>
      <c r="GU275" s="319" t="s">
        <v>190</v>
      </c>
      <c r="GV275" s="319" t="s">
        <v>190</v>
      </c>
      <c r="GW275" s="319" t="s">
        <v>190</v>
      </c>
      <c r="GX275" s="319" t="s">
        <v>190</v>
      </c>
      <c r="GY275" s="319" t="s">
        <v>190</v>
      </c>
      <c r="GZ275" s="319" t="s">
        <v>190</v>
      </c>
      <c r="HA275" s="319" t="s">
        <v>190</v>
      </c>
      <c r="HB275" s="319" t="s">
        <v>190</v>
      </c>
      <c r="HC275" s="319" t="s">
        <v>190</v>
      </c>
      <c r="HD275" s="319" t="s">
        <v>190</v>
      </c>
      <c r="HE275" s="319" t="s">
        <v>190</v>
      </c>
      <c r="HF275" s="319" t="s">
        <v>190</v>
      </c>
      <c r="HG275" s="319" t="s">
        <v>190</v>
      </c>
      <c r="HH275" s="319" t="s">
        <v>190</v>
      </c>
      <c r="HI275" s="319" t="s">
        <v>190</v>
      </c>
      <c r="HJ275" s="319" t="s">
        <v>190</v>
      </c>
      <c r="HK275" s="319" t="s">
        <v>190</v>
      </c>
      <c r="HL275" s="319" t="s">
        <v>190</v>
      </c>
      <c r="HM275" s="319" t="s">
        <v>190</v>
      </c>
      <c r="HN275" s="319" t="s">
        <v>190</v>
      </c>
      <c r="HO275" s="319" t="s">
        <v>190</v>
      </c>
      <c r="HP275" s="319" t="s">
        <v>190</v>
      </c>
      <c r="HQ275" s="319" t="s">
        <v>190</v>
      </c>
      <c r="HR275" s="319" t="s">
        <v>190</v>
      </c>
      <c r="HS275" s="319" t="s">
        <v>190</v>
      </c>
      <c r="HT275" s="319" t="s">
        <v>190</v>
      </c>
      <c r="HU275" s="319" t="s">
        <v>190</v>
      </c>
      <c r="HV275" s="319" t="s">
        <v>190</v>
      </c>
      <c r="HW275" s="319" t="s">
        <v>190</v>
      </c>
      <c r="HX275" s="319" t="s">
        <v>190</v>
      </c>
      <c r="HY275" s="319" t="s">
        <v>190</v>
      </c>
      <c r="HZ275" s="319" t="s">
        <v>190</v>
      </c>
      <c r="IA275" s="319" t="s">
        <v>190</v>
      </c>
      <c r="IB275" s="319" t="s">
        <v>190</v>
      </c>
      <c r="IC275" s="319" t="s">
        <v>190</v>
      </c>
      <c r="ID275" s="319" t="s">
        <v>190</v>
      </c>
      <c r="IE275" s="319" t="s">
        <v>190</v>
      </c>
      <c r="IF275" s="319" t="s">
        <v>190</v>
      </c>
      <c r="IG275" s="319" t="s">
        <v>190</v>
      </c>
      <c r="IH275" s="319" t="s">
        <v>190</v>
      </c>
      <c r="II275" s="319" t="s">
        <v>190</v>
      </c>
      <c r="IJ275" s="319" t="s">
        <v>3072</v>
      </c>
      <c r="IK275" s="321">
        <v>40625</v>
      </c>
      <c r="IL275" s="321">
        <v>40626</v>
      </c>
      <c r="IM275" s="321">
        <v>40673</v>
      </c>
      <c r="IN275" s="319">
        <v>1</v>
      </c>
      <c r="IO275" s="319" t="s">
        <v>173</v>
      </c>
      <c r="IP275" s="319" t="s">
        <v>173</v>
      </c>
      <c r="IQ275" s="321" t="s">
        <v>173</v>
      </c>
      <c r="IR275" s="320" t="s">
        <v>173</v>
      </c>
      <c r="IS275" s="322" t="s">
        <v>173</v>
      </c>
      <c r="IT275" s="319" t="s">
        <v>173</v>
      </c>
    </row>
    <row r="276" spans="1:254" s="271" customFormat="1" x14ac:dyDescent="0.25">
      <c r="A276" s="318" t="str">
        <f>HYPERLINK("http://www.ofsted.gov.uk/inspection-reports/find-inspection-report/provider/ELS/130399 ","Ofsted School Webpage")</f>
        <v>Ofsted School Webpage</v>
      </c>
      <c r="B276" s="319">
        <v>130399</v>
      </c>
      <c r="C276" s="319">
        <v>3576001</v>
      </c>
      <c r="D276" s="319" t="s">
        <v>971</v>
      </c>
      <c r="E276" s="319" t="s">
        <v>167</v>
      </c>
      <c r="F276" s="319" t="s">
        <v>81</v>
      </c>
      <c r="G276" s="319" t="s">
        <v>81</v>
      </c>
      <c r="H276" s="319" t="s">
        <v>81</v>
      </c>
      <c r="I276" s="319" t="s">
        <v>78</v>
      </c>
      <c r="J276" s="319" t="s">
        <v>424</v>
      </c>
      <c r="K276" s="319" t="s">
        <v>431</v>
      </c>
      <c r="L276" s="319" t="s">
        <v>431</v>
      </c>
      <c r="M276" s="319" t="s">
        <v>742</v>
      </c>
      <c r="N276" s="319" t="s">
        <v>3073</v>
      </c>
      <c r="O276" s="319" t="s">
        <v>972</v>
      </c>
      <c r="P276" s="319">
        <v>13</v>
      </c>
      <c r="Q276" s="319" t="s">
        <v>2766</v>
      </c>
      <c r="R276" s="320">
        <v>10067886</v>
      </c>
      <c r="S276" s="321">
        <v>43529</v>
      </c>
      <c r="T276" s="321">
        <v>43531</v>
      </c>
      <c r="U276" s="321">
        <v>43549</v>
      </c>
      <c r="V276" s="319" t="s">
        <v>425</v>
      </c>
      <c r="W276" s="319" t="s">
        <v>2767</v>
      </c>
      <c r="X276" s="319">
        <v>2</v>
      </c>
      <c r="Y276" s="319" t="s">
        <v>173</v>
      </c>
      <c r="Z276" s="319" t="s">
        <v>173</v>
      </c>
      <c r="AA276" s="319" t="s">
        <v>173</v>
      </c>
      <c r="AB276" s="319">
        <v>2</v>
      </c>
      <c r="AC276" s="319" t="s">
        <v>169</v>
      </c>
      <c r="AD276" s="319" t="s">
        <v>173</v>
      </c>
      <c r="AE276" s="319" t="s">
        <v>173</v>
      </c>
      <c r="AF276" s="319" t="s">
        <v>427</v>
      </c>
      <c r="AG276" s="319" t="s">
        <v>171</v>
      </c>
      <c r="AH276" s="319" t="s">
        <v>190</v>
      </c>
      <c r="AI276" s="319" t="s">
        <v>190</v>
      </c>
      <c r="AJ276" s="319" t="s">
        <v>190</v>
      </c>
      <c r="AK276" s="319" t="s">
        <v>190</v>
      </c>
      <c r="AL276" s="319" t="s">
        <v>190</v>
      </c>
      <c r="AM276" s="319" t="s">
        <v>190</v>
      </c>
      <c r="AN276" s="319" t="s">
        <v>190</v>
      </c>
      <c r="AO276" s="319" t="s">
        <v>190</v>
      </c>
      <c r="AP276" s="319" t="s">
        <v>190</v>
      </c>
      <c r="AQ276" s="319" t="s">
        <v>190</v>
      </c>
      <c r="AR276" s="319" t="s">
        <v>190</v>
      </c>
      <c r="AS276" s="319" t="s">
        <v>190</v>
      </c>
      <c r="AT276" s="319" t="s">
        <v>190</v>
      </c>
      <c r="AU276" s="319" t="s">
        <v>190</v>
      </c>
      <c r="AV276" s="319" t="s">
        <v>190</v>
      </c>
      <c r="AW276" s="319" t="s">
        <v>190</v>
      </c>
      <c r="AX276" s="319" t="s">
        <v>428</v>
      </c>
      <c r="AY276" s="319" t="s">
        <v>190</v>
      </c>
      <c r="AZ276" s="319" t="s">
        <v>190</v>
      </c>
      <c r="BA276" s="319" t="s">
        <v>190</v>
      </c>
      <c r="BB276" s="319" t="s">
        <v>428</v>
      </c>
      <c r="BC276" s="319" t="s">
        <v>428</v>
      </c>
      <c r="BD276" s="319" t="s">
        <v>428</v>
      </c>
      <c r="BE276" s="319" t="s">
        <v>428</v>
      </c>
      <c r="BF276" s="319" t="s">
        <v>428</v>
      </c>
      <c r="BG276" s="319" t="s">
        <v>428</v>
      </c>
      <c r="BH276" s="319" t="s">
        <v>190</v>
      </c>
      <c r="BI276" s="319" t="s">
        <v>190</v>
      </c>
      <c r="BJ276" s="319" t="s">
        <v>190</v>
      </c>
      <c r="BK276" s="319" t="s">
        <v>190</v>
      </c>
      <c r="BL276" s="319" t="s">
        <v>190</v>
      </c>
      <c r="BM276" s="319" t="s">
        <v>190</v>
      </c>
      <c r="BN276" s="319" t="s">
        <v>190</v>
      </c>
      <c r="BO276" s="319" t="s">
        <v>190</v>
      </c>
      <c r="BP276" s="319" t="s">
        <v>190</v>
      </c>
      <c r="BQ276" s="319" t="s">
        <v>190</v>
      </c>
      <c r="BR276" s="319" t="s">
        <v>190</v>
      </c>
      <c r="BS276" s="319" t="s">
        <v>190</v>
      </c>
      <c r="BT276" s="319" t="s">
        <v>190</v>
      </c>
      <c r="BU276" s="319" t="s">
        <v>190</v>
      </c>
      <c r="BV276" s="319" t="s">
        <v>190</v>
      </c>
      <c r="BW276" s="319" t="s">
        <v>190</v>
      </c>
      <c r="BX276" s="319" t="s">
        <v>190</v>
      </c>
      <c r="BY276" s="319" t="s">
        <v>190</v>
      </c>
      <c r="BZ276" s="319" t="s">
        <v>190</v>
      </c>
      <c r="CA276" s="319" t="s">
        <v>190</v>
      </c>
      <c r="CB276" s="319" t="s">
        <v>190</v>
      </c>
      <c r="CC276" s="319" t="s">
        <v>190</v>
      </c>
      <c r="CD276" s="319" t="s">
        <v>190</v>
      </c>
      <c r="CE276" s="319" t="s">
        <v>190</v>
      </c>
      <c r="CF276" s="319" t="s">
        <v>190</v>
      </c>
      <c r="CG276" s="319" t="s">
        <v>190</v>
      </c>
      <c r="CH276" s="319" t="s">
        <v>190</v>
      </c>
      <c r="CI276" s="319" t="s">
        <v>190</v>
      </c>
      <c r="CJ276" s="319" t="s">
        <v>190</v>
      </c>
      <c r="CK276" s="319" t="s">
        <v>190</v>
      </c>
      <c r="CL276" s="319" t="s">
        <v>190</v>
      </c>
      <c r="CM276" s="319" t="s">
        <v>190</v>
      </c>
      <c r="CN276" s="319" t="s">
        <v>190</v>
      </c>
      <c r="CO276" s="319" t="s">
        <v>428</v>
      </c>
      <c r="CP276" s="319" t="s">
        <v>428</v>
      </c>
      <c r="CQ276" s="319" t="s">
        <v>190</v>
      </c>
      <c r="CR276" s="319" t="s">
        <v>190</v>
      </c>
      <c r="CS276" s="319" t="s">
        <v>190</v>
      </c>
      <c r="CT276" s="319" t="s">
        <v>190</v>
      </c>
      <c r="CU276" s="319" t="s">
        <v>190</v>
      </c>
      <c r="CV276" s="319" t="s">
        <v>190</v>
      </c>
      <c r="CW276" s="319" t="s">
        <v>190</v>
      </c>
      <c r="CX276" s="319" t="s">
        <v>190</v>
      </c>
      <c r="CY276" s="319" t="s">
        <v>190</v>
      </c>
      <c r="CZ276" s="319" t="s">
        <v>190</v>
      </c>
      <c r="DA276" s="319" t="s">
        <v>190</v>
      </c>
      <c r="DB276" s="319" t="s">
        <v>190</v>
      </c>
      <c r="DC276" s="319" t="s">
        <v>190</v>
      </c>
      <c r="DD276" s="319" t="s">
        <v>190</v>
      </c>
      <c r="DE276" s="319" t="s">
        <v>190</v>
      </c>
      <c r="DF276" s="319" t="s">
        <v>190</v>
      </c>
      <c r="DG276" s="319" t="s">
        <v>190</v>
      </c>
      <c r="DH276" s="319" t="s">
        <v>190</v>
      </c>
      <c r="DI276" s="319" t="s">
        <v>190</v>
      </c>
      <c r="DJ276" s="319" t="s">
        <v>190</v>
      </c>
      <c r="DK276" s="319" t="s">
        <v>190</v>
      </c>
      <c r="DL276" s="319" t="s">
        <v>190</v>
      </c>
      <c r="DM276" s="319" t="s">
        <v>190</v>
      </c>
      <c r="DN276" s="319" t="s">
        <v>428</v>
      </c>
      <c r="DO276" s="319" t="s">
        <v>190</v>
      </c>
      <c r="DP276" s="319" t="s">
        <v>190</v>
      </c>
      <c r="DQ276" s="319" t="s">
        <v>190</v>
      </c>
      <c r="DR276" s="319" t="s">
        <v>190</v>
      </c>
      <c r="DS276" s="319" t="s">
        <v>190</v>
      </c>
      <c r="DT276" s="319" t="s">
        <v>190</v>
      </c>
      <c r="DU276" s="319" t="s">
        <v>190</v>
      </c>
      <c r="DV276" s="319" t="s">
        <v>173</v>
      </c>
      <c r="DW276" s="319" t="s">
        <v>190</v>
      </c>
      <c r="DX276" s="319" t="s">
        <v>190</v>
      </c>
      <c r="DY276" s="319" t="s">
        <v>190</v>
      </c>
      <c r="DZ276" s="319" t="s">
        <v>190</v>
      </c>
      <c r="EA276" s="319" t="s">
        <v>190</v>
      </c>
      <c r="EB276" s="319" t="s">
        <v>190</v>
      </c>
      <c r="EC276" s="319" t="s">
        <v>428</v>
      </c>
      <c r="ED276" s="319" t="s">
        <v>190</v>
      </c>
      <c r="EE276" s="319" t="s">
        <v>190</v>
      </c>
      <c r="EF276" s="319" t="s">
        <v>190</v>
      </c>
      <c r="EG276" s="319" t="s">
        <v>190</v>
      </c>
      <c r="EH276" s="319" t="s">
        <v>190</v>
      </c>
      <c r="EI276" s="319" t="s">
        <v>190</v>
      </c>
      <c r="EJ276" s="319" t="s">
        <v>190</v>
      </c>
      <c r="EK276" s="319" t="s">
        <v>190</v>
      </c>
      <c r="EL276" s="319" t="s">
        <v>190</v>
      </c>
      <c r="EM276" s="319" t="s">
        <v>190</v>
      </c>
      <c r="EN276" s="319" t="s">
        <v>190</v>
      </c>
      <c r="EO276" s="319" t="s">
        <v>190</v>
      </c>
      <c r="EP276" s="319" t="s">
        <v>190</v>
      </c>
      <c r="EQ276" s="319" t="s">
        <v>190</v>
      </c>
      <c r="ER276" s="319" t="s">
        <v>190</v>
      </c>
      <c r="ES276" s="319" t="s">
        <v>190</v>
      </c>
      <c r="ET276" s="319" t="s">
        <v>190</v>
      </c>
      <c r="EU276" s="319" t="s">
        <v>190</v>
      </c>
      <c r="EV276" s="319" t="s">
        <v>190</v>
      </c>
      <c r="EW276" s="319" t="s">
        <v>190</v>
      </c>
      <c r="EX276" s="319" t="s">
        <v>190</v>
      </c>
      <c r="EY276" s="319" t="s">
        <v>190</v>
      </c>
      <c r="EZ276" s="319" t="s">
        <v>190</v>
      </c>
      <c r="FA276" s="319" t="s">
        <v>190</v>
      </c>
      <c r="FB276" s="319" t="s">
        <v>190</v>
      </c>
      <c r="FC276" s="319" t="s">
        <v>190</v>
      </c>
      <c r="FD276" s="319" t="s">
        <v>190</v>
      </c>
      <c r="FE276" s="319" t="s">
        <v>190</v>
      </c>
      <c r="FF276" s="319" t="s">
        <v>190</v>
      </c>
      <c r="FG276" s="319" t="s">
        <v>190</v>
      </c>
      <c r="FH276" s="319" t="s">
        <v>190</v>
      </c>
      <c r="FI276" s="319" t="s">
        <v>190</v>
      </c>
      <c r="FJ276" s="319" t="s">
        <v>190</v>
      </c>
      <c r="FK276" s="319" t="s">
        <v>190</v>
      </c>
      <c r="FL276" s="319" t="s">
        <v>190</v>
      </c>
      <c r="FM276" s="319" t="s">
        <v>190</v>
      </c>
      <c r="FN276" s="319" t="s">
        <v>190</v>
      </c>
      <c r="FO276" s="319" t="s">
        <v>190</v>
      </c>
      <c r="FP276" s="319" t="s">
        <v>190</v>
      </c>
      <c r="FQ276" s="319" t="s">
        <v>190</v>
      </c>
      <c r="FR276" s="319" t="s">
        <v>190</v>
      </c>
      <c r="FS276" s="319" t="s">
        <v>428</v>
      </c>
      <c r="FT276" s="319" t="s">
        <v>190</v>
      </c>
      <c r="FU276" s="319" t="s">
        <v>190</v>
      </c>
      <c r="FV276" s="319" t="s">
        <v>190</v>
      </c>
      <c r="FW276" s="319" t="s">
        <v>190</v>
      </c>
      <c r="FX276" s="319" t="s">
        <v>190</v>
      </c>
      <c r="FY276" s="319" t="s">
        <v>190</v>
      </c>
      <c r="FZ276" s="319" t="s">
        <v>190</v>
      </c>
      <c r="GA276" s="319" t="s">
        <v>190</v>
      </c>
      <c r="GB276" s="319" t="s">
        <v>190</v>
      </c>
      <c r="GC276" s="319" t="s">
        <v>190</v>
      </c>
      <c r="GD276" s="319" t="s">
        <v>190</v>
      </c>
      <c r="GE276" s="319" t="s">
        <v>190</v>
      </c>
      <c r="GF276" s="319" t="s">
        <v>190</v>
      </c>
      <c r="GG276" s="319" t="s">
        <v>190</v>
      </c>
      <c r="GH276" s="319" t="s">
        <v>190</v>
      </c>
      <c r="GI276" s="319" t="s">
        <v>190</v>
      </c>
      <c r="GJ276" s="319" t="s">
        <v>190</v>
      </c>
      <c r="GK276" s="319" t="s">
        <v>428</v>
      </c>
      <c r="GL276" s="319" t="s">
        <v>190</v>
      </c>
      <c r="GM276" s="319" t="s">
        <v>190</v>
      </c>
      <c r="GN276" s="319" t="s">
        <v>190</v>
      </c>
      <c r="GO276" s="319" t="s">
        <v>190</v>
      </c>
      <c r="GP276" s="319" t="s">
        <v>190</v>
      </c>
      <c r="GQ276" s="319" t="s">
        <v>190</v>
      </c>
      <c r="GR276" s="319" t="s">
        <v>190</v>
      </c>
      <c r="GS276" s="319" t="s">
        <v>190</v>
      </c>
      <c r="GT276" s="319" t="s">
        <v>428</v>
      </c>
      <c r="GU276" s="319" t="s">
        <v>428</v>
      </c>
      <c r="GV276" s="319" t="s">
        <v>190</v>
      </c>
      <c r="GW276" s="319" t="s">
        <v>190</v>
      </c>
      <c r="GX276" s="319" t="s">
        <v>190</v>
      </c>
      <c r="GY276" s="319" t="s">
        <v>190</v>
      </c>
      <c r="GZ276" s="319" t="s">
        <v>190</v>
      </c>
      <c r="HA276" s="319" t="s">
        <v>190</v>
      </c>
      <c r="HB276" s="319" t="s">
        <v>190</v>
      </c>
      <c r="HC276" s="319" t="s">
        <v>190</v>
      </c>
      <c r="HD276" s="319" t="s">
        <v>190</v>
      </c>
      <c r="HE276" s="319" t="s">
        <v>190</v>
      </c>
      <c r="HF276" s="319" t="s">
        <v>190</v>
      </c>
      <c r="HG276" s="319" t="s">
        <v>190</v>
      </c>
      <c r="HH276" s="319" t="s">
        <v>190</v>
      </c>
      <c r="HI276" s="319" t="s">
        <v>190</v>
      </c>
      <c r="HJ276" s="319" t="s">
        <v>190</v>
      </c>
      <c r="HK276" s="319" t="s">
        <v>190</v>
      </c>
      <c r="HL276" s="319" t="s">
        <v>190</v>
      </c>
      <c r="HM276" s="319" t="s">
        <v>190</v>
      </c>
      <c r="HN276" s="319" t="s">
        <v>190</v>
      </c>
      <c r="HO276" s="319" t="s">
        <v>190</v>
      </c>
      <c r="HP276" s="319" t="s">
        <v>190</v>
      </c>
      <c r="HQ276" s="319" t="s">
        <v>190</v>
      </c>
      <c r="HR276" s="319" t="s">
        <v>190</v>
      </c>
      <c r="HS276" s="319" t="s">
        <v>190</v>
      </c>
      <c r="HT276" s="319" t="s">
        <v>190</v>
      </c>
      <c r="HU276" s="319" t="s">
        <v>190</v>
      </c>
      <c r="HV276" s="319" t="s">
        <v>190</v>
      </c>
      <c r="HW276" s="319" t="s">
        <v>190</v>
      </c>
      <c r="HX276" s="319" t="s">
        <v>190</v>
      </c>
      <c r="HY276" s="319" t="s">
        <v>190</v>
      </c>
      <c r="HZ276" s="319" t="s">
        <v>190</v>
      </c>
      <c r="IA276" s="319" t="s">
        <v>190</v>
      </c>
      <c r="IB276" s="319" t="s">
        <v>190</v>
      </c>
      <c r="IC276" s="319" t="s">
        <v>190</v>
      </c>
      <c r="ID276" s="319" t="s">
        <v>190</v>
      </c>
      <c r="IE276" s="319" t="s">
        <v>190</v>
      </c>
      <c r="IF276" s="319" t="s">
        <v>190</v>
      </c>
      <c r="IG276" s="319" t="s">
        <v>190</v>
      </c>
      <c r="IH276" s="319" t="s">
        <v>190</v>
      </c>
      <c r="II276" s="319" t="s">
        <v>190</v>
      </c>
      <c r="IJ276" s="319">
        <v>10008552</v>
      </c>
      <c r="IK276" s="321">
        <v>42381</v>
      </c>
      <c r="IL276" s="321">
        <v>42383</v>
      </c>
      <c r="IM276" s="321">
        <v>42430</v>
      </c>
      <c r="IN276" s="319">
        <v>2</v>
      </c>
      <c r="IO276" s="319" t="s">
        <v>173</v>
      </c>
      <c r="IP276" s="319" t="s">
        <v>173</v>
      </c>
      <c r="IQ276" s="321" t="s">
        <v>173</v>
      </c>
      <c r="IR276" s="320" t="s">
        <v>173</v>
      </c>
      <c r="IS276" s="322" t="s">
        <v>173</v>
      </c>
      <c r="IT276" s="319" t="s">
        <v>173</v>
      </c>
    </row>
    <row r="277" spans="1:254" s="271" customFormat="1" x14ac:dyDescent="0.25">
      <c r="A277" s="318" t="str">
        <f>HYPERLINK("http://www.ofsted.gov.uk/inspection-reports/find-inspection-report/provider/ELS/130826 ","Ofsted School Webpage")</f>
        <v>Ofsted School Webpage</v>
      </c>
      <c r="B277" s="319">
        <v>130826</v>
      </c>
      <c r="C277" s="319">
        <v>3026081</v>
      </c>
      <c r="D277" s="319" t="s">
        <v>1587</v>
      </c>
      <c r="E277" s="319" t="s">
        <v>167</v>
      </c>
      <c r="F277" s="319" t="s">
        <v>81</v>
      </c>
      <c r="G277" s="319" t="s">
        <v>69</v>
      </c>
      <c r="H277" s="319" t="s">
        <v>69</v>
      </c>
      <c r="I277" s="319" t="s">
        <v>69</v>
      </c>
      <c r="J277" s="319" t="s">
        <v>424</v>
      </c>
      <c r="K277" s="319" t="s">
        <v>441</v>
      </c>
      <c r="L277" s="319" t="s">
        <v>441</v>
      </c>
      <c r="M277" s="319" t="s">
        <v>544</v>
      </c>
      <c r="N277" s="319" t="s">
        <v>2818</v>
      </c>
      <c r="O277" s="319" t="s">
        <v>1588</v>
      </c>
      <c r="P277" s="319">
        <v>240</v>
      </c>
      <c r="Q277" s="319" t="s">
        <v>2766</v>
      </c>
      <c r="R277" s="320">
        <v>10035788</v>
      </c>
      <c r="S277" s="321">
        <v>43130</v>
      </c>
      <c r="T277" s="321">
        <v>43132</v>
      </c>
      <c r="U277" s="321">
        <v>43164</v>
      </c>
      <c r="V277" s="319" t="s">
        <v>425</v>
      </c>
      <c r="W277" s="319" t="s">
        <v>2767</v>
      </c>
      <c r="X277" s="319">
        <v>3</v>
      </c>
      <c r="Y277" s="319" t="s">
        <v>173</v>
      </c>
      <c r="Z277" s="319" t="s">
        <v>173</v>
      </c>
      <c r="AA277" s="319" t="s">
        <v>173</v>
      </c>
      <c r="AB277" s="319">
        <v>3</v>
      </c>
      <c r="AC277" s="319" t="s">
        <v>169</v>
      </c>
      <c r="AD277" s="319">
        <v>3</v>
      </c>
      <c r="AE277" s="319" t="s">
        <v>173</v>
      </c>
      <c r="AF277" s="319" t="s">
        <v>427</v>
      </c>
      <c r="AG277" s="319" t="s">
        <v>171</v>
      </c>
      <c r="AH277" s="319" t="s">
        <v>190</v>
      </c>
      <c r="AI277" s="319" t="s">
        <v>190</v>
      </c>
      <c r="AJ277" s="319" t="s">
        <v>190</v>
      </c>
      <c r="AK277" s="319" t="s">
        <v>190</v>
      </c>
      <c r="AL277" s="319" t="s">
        <v>190</v>
      </c>
      <c r="AM277" s="319" t="s">
        <v>190</v>
      </c>
      <c r="AN277" s="319" t="s">
        <v>190</v>
      </c>
      <c r="AO277" s="319" t="s">
        <v>190</v>
      </c>
      <c r="AP277" s="319" t="s">
        <v>190</v>
      </c>
      <c r="AQ277" s="319" t="s">
        <v>190</v>
      </c>
      <c r="AR277" s="319" t="s">
        <v>190</v>
      </c>
      <c r="AS277" s="319" t="s">
        <v>190</v>
      </c>
      <c r="AT277" s="319" t="s">
        <v>190</v>
      </c>
      <c r="AU277" s="319" t="s">
        <v>190</v>
      </c>
      <c r="AV277" s="319" t="s">
        <v>190</v>
      </c>
      <c r="AW277" s="319" t="s">
        <v>190</v>
      </c>
      <c r="AX277" s="319" t="s">
        <v>428</v>
      </c>
      <c r="AY277" s="319" t="s">
        <v>190</v>
      </c>
      <c r="AZ277" s="319" t="s">
        <v>190</v>
      </c>
      <c r="BA277" s="319" t="s">
        <v>190</v>
      </c>
      <c r="BB277" s="319" t="s">
        <v>428</v>
      </c>
      <c r="BC277" s="319" t="s">
        <v>428</v>
      </c>
      <c r="BD277" s="319" t="s">
        <v>428</v>
      </c>
      <c r="BE277" s="319" t="s">
        <v>428</v>
      </c>
      <c r="BF277" s="319" t="s">
        <v>190</v>
      </c>
      <c r="BG277" s="319" t="s">
        <v>428</v>
      </c>
      <c r="BH277" s="319" t="s">
        <v>190</v>
      </c>
      <c r="BI277" s="319" t="s">
        <v>190</v>
      </c>
      <c r="BJ277" s="319" t="s">
        <v>190</v>
      </c>
      <c r="BK277" s="319" t="s">
        <v>190</v>
      </c>
      <c r="BL277" s="319" t="s">
        <v>190</v>
      </c>
      <c r="BM277" s="319" t="s">
        <v>190</v>
      </c>
      <c r="BN277" s="319" t="s">
        <v>190</v>
      </c>
      <c r="BO277" s="319" t="s">
        <v>190</v>
      </c>
      <c r="BP277" s="319" t="s">
        <v>190</v>
      </c>
      <c r="BQ277" s="319" t="s">
        <v>190</v>
      </c>
      <c r="BR277" s="319" t="s">
        <v>190</v>
      </c>
      <c r="BS277" s="319" t="s">
        <v>190</v>
      </c>
      <c r="BT277" s="319" t="s">
        <v>190</v>
      </c>
      <c r="BU277" s="319" t="s">
        <v>190</v>
      </c>
      <c r="BV277" s="319" t="s">
        <v>190</v>
      </c>
      <c r="BW277" s="319" t="s">
        <v>190</v>
      </c>
      <c r="BX277" s="319" t="s">
        <v>190</v>
      </c>
      <c r="BY277" s="319" t="s">
        <v>190</v>
      </c>
      <c r="BZ277" s="319" t="s">
        <v>190</v>
      </c>
      <c r="CA277" s="319" t="s">
        <v>190</v>
      </c>
      <c r="CB277" s="319" t="s">
        <v>190</v>
      </c>
      <c r="CC277" s="319" t="s">
        <v>190</v>
      </c>
      <c r="CD277" s="319" t="s">
        <v>190</v>
      </c>
      <c r="CE277" s="319" t="s">
        <v>190</v>
      </c>
      <c r="CF277" s="319" t="s">
        <v>190</v>
      </c>
      <c r="CG277" s="319" t="s">
        <v>190</v>
      </c>
      <c r="CH277" s="319" t="s">
        <v>190</v>
      </c>
      <c r="CI277" s="319" t="s">
        <v>190</v>
      </c>
      <c r="CJ277" s="319" t="s">
        <v>190</v>
      </c>
      <c r="CK277" s="319" t="s">
        <v>190</v>
      </c>
      <c r="CL277" s="319" t="s">
        <v>190</v>
      </c>
      <c r="CM277" s="319" t="s">
        <v>190</v>
      </c>
      <c r="CN277" s="319" t="s">
        <v>428</v>
      </c>
      <c r="CO277" s="319" t="s">
        <v>428</v>
      </c>
      <c r="CP277" s="319" t="s">
        <v>428</v>
      </c>
      <c r="CQ277" s="319" t="s">
        <v>190</v>
      </c>
      <c r="CR277" s="319" t="s">
        <v>190</v>
      </c>
      <c r="CS277" s="319" t="s">
        <v>190</v>
      </c>
      <c r="CT277" s="319" t="s">
        <v>190</v>
      </c>
      <c r="CU277" s="319" t="s">
        <v>190</v>
      </c>
      <c r="CV277" s="319" t="s">
        <v>190</v>
      </c>
      <c r="CW277" s="319" t="s">
        <v>190</v>
      </c>
      <c r="CX277" s="319" t="s">
        <v>190</v>
      </c>
      <c r="CY277" s="319" t="s">
        <v>190</v>
      </c>
      <c r="CZ277" s="319" t="s">
        <v>190</v>
      </c>
      <c r="DA277" s="319" t="s">
        <v>190</v>
      </c>
      <c r="DB277" s="319" t="s">
        <v>190</v>
      </c>
      <c r="DC277" s="319" t="s">
        <v>190</v>
      </c>
      <c r="DD277" s="319" t="s">
        <v>190</v>
      </c>
      <c r="DE277" s="319" t="s">
        <v>190</v>
      </c>
      <c r="DF277" s="319" t="s">
        <v>190</v>
      </c>
      <c r="DG277" s="319" t="s">
        <v>190</v>
      </c>
      <c r="DH277" s="319" t="s">
        <v>190</v>
      </c>
      <c r="DI277" s="319" t="s">
        <v>190</v>
      </c>
      <c r="DJ277" s="319" t="s">
        <v>190</v>
      </c>
      <c r="DK277" s="319" t="s">
        <v>190</v>
      </c>
      <c r="DL277" s="319" t="s">
        <v>190</v>
      </c>
      <c r="DM277" s="319" t="s">
        <v>190</v>
      </c>
      <c r="DN277" s="319" t="s">
        <v>428</v>
      </c>
      <c r="DO277" s="319" t="s">
        <v>190</v>
      </c>
      <c r="DP277" s="319" t="s">
        <v>428</v>
      </c>
      <c r="DQ277" s="319" t="s">
        <v>428</v>
      </c>
      <c r="DR277" s="319" t="s">
        <v>428</v>
      </c>
      <c r="DS277" s="319" t="s">
        <v>428</v>
      </c>
      <c r="DT277" s="319" t="s">
        <v>428</v>
      </c>
      <c r="DU277" s="319" t="s">
        <v>428</v>
      </c>
      <c r="DV277" s="319" t="s">
        <v>173</v>
      </c>
      <c r="DW277" s="319" t="s">
        <v>428</v>
      </c>
      <c r="DX277" s="319" t="s">
        <v>428</v>
      </c>
      <c r="DY277" s="319" t="s">
        <v>428</v>
      </c>
      <c r="DZ277" s="319" t="s">
        <v>428</v>
      </c>
      <c r="EA277" s="319" t="s">
        <v>428</v>
      </c>
      <c r="EB277" s="319" t="s">
        <v>428</v>
      </c>
      <c r="EC277" s="319" t="s">
        <v>428</v>
      </c>
      <c r="ED277" s="319" t="s">
        <v>190</v>
      </c>
      <c r="EE277" s="319" t="s">
        <v>190</v>
      </c>
      <c r="EF277" s="319" t="s">
        <v>190</v>
      </c>
      <c r="EG277" s="319" t="s">
        <v>190</v>
      </c>
      <c r="EH277" s="319" t="s">
        <v>190</v>
      </c>
      <c r="EI277" s="319" t="s">
        <v>190</v>
      </c>
      <c r="EJ277" s="319" t="s">
        <v>190</v>
      </c>
      <c r="EK277" s="319" t="s">
        <v>190</v>
      </c>
      <c r="EL277" s="319" t="s">
        <v>190</v>
      </c>
      <c r="EM277" s="319" t="s">
        <v>190</v>
      </c>
      <c r="EN277" s="319" t="s">
        <v>190</v>
      </c>
      <c r="EO277" s="319" t="s">
        <v>190</v>
      </c>
      <c r="EP277" s="319" t="s">
        <v>190</v>
      </c>
      <c r="EQ277" s="319" t="s">
        <v>190</v>
      </c>
      <c r="ER277" s="319" t="s">
        <v>190</v>
      </c>
      <c r="ES277" s="319" t="s">
        <v>190</v>
      </c>
      <c r="ET277" s="319" t="s">
        <v>190</v>
      </c>
      <c r="EU277" s="319" t="s">
        <v>190</v>
      </c>
      <c r="EV277" s="319" t="s">
        <v>190</v>
      </c>
      <c r="EW277" s="319" t="s">
        <v>190</v>
      </c>
      <c r="EX277" s="319" t="s">
        <v>190</v>
      </c>
      <c r="EY277" s="319" t="s">
        <v>190</v>
      </c>
      <c r="EZ277" s="319" t="s">
        <v>190</v>
      </c>
      <c r="FA277" s="319" t="s">
        <v>190</v>
      </c>
      <c r="FB277" s="319" t="s">
        <v>428</v>
      </c>
      <c r="FC277" s="319" t="s">
        <v>428</v>
      </c>
      <c r="FD277" s="319" t="s">
        <v>428</v>
      </c>
      <c r="FE277" s="319" t="s">
        <v>428</v>
      </c>
      <c r="FF277" s="319" t="s">
        <v>428</v>
      </c>
      <c r="FG277" s="319" t="s">
        <v>428</v>
      </c>
      <c r="FH277" s="319" t="s">
        <v>190</v>
      </c>
      <c r="FI277" s="319" t="s">
        <v>190</v>
      </c>
      <c r="FJ277" s="319" t="s">
        <v>190</v>
      </c>
      <c r="FK277" s="319" t="s">
        <v>190</v>
      </c>
      <c r="FL277" s="319" t="s">
        <v>190</v>
      </c>
      <c r="FM277" s="319" t="s">
        <v>190</v>
      </c>
      <c r="FN277" s="319" t="s">
        <v>190</v>
      </c>
      <c r="FO277" s="319" t="s">
        <v>428</v>
      </c>
      <c r="FP277" s="319" t="s">
        <v>190</v>
      </c>
      <c r="FQ277" s="319" t="s">
        <v>190</v>
      </c>
      <c r="FR277" s="319" t="s">
        <v>190</v>
      </c>
      <c r="FS277" s="319" t="s">
        <v>428</v>
      </c>
      <c r="FT277" s="319" t="s">
        <v>190</v>
      </c>
      <c r="FU277" s="319" t="s">
        <v>190</v>
      </c>
      <c r="FV277" s="319" t="s">
        <v>190</v>
      </c>
      <c r="FW277" s="319" t="s">
        <v>190</v>
      </c>
      <c r="FX277" s="319" t="s">
        <v>190</v>
      </c>
      <c r="FY277" s="319" t="s">
        <v>190</v>
      </c>
      <c r="FZ277" s="319" t="s">
        <v>190</v>
      </c>
      <c r="GA277" s="319" t="s">
        <v>190</v>
      </c>
      <c r="GB277" s="319" t="s">
        <v>190</v>
      </c>
      <c r="GC277" s="319" t="s">
        <v>190</v>
      </c>
      <c r="GD277" s="319" t="s">
        <v>190</v>
      </c>
      <c r="GE277" s="319" t="s">
        <v>190</v>
      </c>
      <c r="GF277" s="319" t="s">
        <v>190</v>
      </c>
      <c r="GG277" s="319" t="s">
        <v>190</v>
      </c>
      <c r="GH277" s="319" t="s">
        <v>190</v>
      </c>
      <c r="GI277" s="319" t="s">
        <v>190</v>
      </c>
      <c r="GJ277" s="319" t="s">
        <v>190</v>
      </c>
      <c r="GK277" s="319" t="s">
        <v>428</v>
      </c>
      <c r="GL277" s="319" t="s">
        <v>190</v>
      </c>
      <c r="GM277" s="319" t="s">
        <v>190</v>
      </c>
      <c r="GN277" s="319" t="s">
        <v>190</v>
      </c>
      <c r="GO277" s="319" t="s">
        <v>190</v>
      </c>
      <c r="GP277" s="319" t="s">
        <v>190</v>
      </c>
      <c r="GQ277" s="319" t="s">
        <v>190</v>
      </c>
      <c r="GR277" s="319" t="s">
        <v>190</v>
      </c>
      <c r="GS277" s="319" t="s">
        <v>190</v>
      </c>
      <c r="GT277" s="319" t="s">
        <v>190</v>
      </c>
      <c r="GU277" s="319" t="s">
        <v>190</v>
      </c>
      <c r="GV277" s="319" t="s">
        <v>190</v>
      </c>
      <c r="GW277" s="319" t="s">
        <v>190</v>
      </c>
      <c r="GX277" s="319" t="s">
        <v>190</v>
      </c>
      <c r="GY277" s="319" t="s">
        <v>190</v>
      </c>
      <c r="GZ277" s="319" t="s">
        <v>190</v>
      </c>
      <c r="HA277" s="319" t="s">
        <v>190</v>
      </c>
      <c r="HB277" s="319" t="s">
        <v>190</v>
      </c>
      <c r="HC277" s="319" t="s">
        <v>190</v>
      </c>
      <c r="HD277" s="319" t="s">
        <v>190</v>
      </c>
      <c r="HE277" s="319" t="s">
        <v>190</v>
      </c>
      <c r="HF277" s="319" t="s">
        <v>190</v>
      </c>
      <c r="HG277" s="319" t="s">
        <v>190</v>
      </c>
      <c r="HH277" s="319" t="s">
        <v>190</v>
      </c>
      <c r="HI277" s="319" t="s">
        <v>190</v>
      </c>
      <c r="HJ277" s="319" t="s">
        <v>190</v>
      </c>
      <c r="HK277" s="319" t="s">
        <v>190</v>
      </c>
      <c r="HL277" s="319" t="s">
        <v>428</v>
      </c>
      <c r="HM277" s="319" t="s">
        <v>428</v>
      </c>
      <c r="HN277" s="319" t="s">
        <v>428</v>
      </c>
      <c r="HO277" s="319" t="s">
        <v>428</v>
      </c>
      <c r="HP277" s="319" t="s">
        <v>190</v>
      </c>
      <c r="HQ277" s="319" t="s">
        <v>190</v>
      </c>
      <c r="HR277" s="319" t="s">
        <v>190</v>
      </c>
      <c r="HS277" s="319" t="s">
        <v>190</v>
      </c>
      <c r="HT277" s="319" t="s">
        <v>190</v>
      </c>
      <c r="HU277" s="319" t="s">
        <v>190</v>
      </c>
      <c r="HV277" s="319" t="s">
        <v>190</v>
      </c>
      <c r="HW277" s="319" t="s">
        <v>190</v>
      </c>
      <c r="HX277" s="319" t="s">
        <v>190</v>
      </c>
      <c r="HY277" s="319" t="s">
        <v>190</v>
      </c>
      <c r="HZ277" s="319" t="s">
        <v>190</v>
      </c>
      <c r="IA277" s="319" t="s">
        <v>190</v>
      </c>
      <c r="IB277" s="319" t="s">
        <v>190</v>
      </c>
      <c r="IC277" s="319" t="s">
        <v>190</v>
      </c>
      <c r="ID277" s="319" t="s">
        <v>190</v>
      </c>
      <c r="IE277" s="319" t="s">
        <v>190</v>
      </c>
      <c r="IF277" s="319" t="s">
        <v>190</v>
      </c>
      <c r="IG277" s="319" t="s">
        <v>190</v>
      </c>
      <c r="IH277" s="319" t="s">
        <v>190</v>
      </c>
      <c r="II277" s="319" t="s">
        <v>190</v>
      </c>
      <c r="IJ277" s="319" t="s">
        <v>3074</v>
      </c>
      <c r="IK277" s="321">
        <v>41800</v>
      </c>
      <c r="IL277" s="321">
        <v>41802</v>
      </c>
      <c r="IM277" s="321">
        <v>41831</v>
      </c>
      <c r="IN277" s="319">
        <v>2</v>
      </c>
      <c r="IO277" s="319" t="s">
        <v>173</v>
      </c>
      <c r="IP277" s="319" t="s">
        <v>173</v>
      </c>
      <c r="IQ277" s="321" t="s">
        <v>173</v>
      </c>
      <c r="IR277" s="320" t="s">
        <v>173</v>
      </c>
      <c r="IS277" s="322" t="s">
        <v>173</v>
      </c>
      <c r="IT277" s="319" t="s">
        <v>173</v>
      </c>
    </row>
    <row r="278" spans="1:254" s="271" customFormat="1" x14ac:dyDescent="0.25">
      <c r="A278" s="318" t="str">
        <f>HYPERLINK("http://www.ofsted.gov.uk/inspection-reports/find-inspection-report/provider/ELS/130854 ","Ofsted School Webpage")</f>
        <v>Ofsted School Webpage</v>
      </c>
      <c r="B278" s="319">
        <v>130854</v>
      </c>
      <c r="C278" s="319">
        <v>9356084</v>
      </c>
      <c r="D278" s="319" t="s">
        <v>1589</v>
      </c>
      <c r="E278" s="319" t="s">
        <v>168</v>
      </c>
      <c r="F278" s="319" t="s">
        <v>81</v>
      </c>
      <c r="G278" s="319" t="s">
        <v>81</v>
      </c>
      <c r="H278" s="319" t="s">
        <v>81</v>
      </c>
      <c r="I278" s="319" t="s">
        <v>78</v>
      </c>
      <c r="J278" s="319" t="s">
        <v>424</v>
      </c>
      <c r="K278" s="319" t="s">
        <v>451</v>
      </c>
      <c r="L278" s="319" t="s">
        <v>451</v>
      </c>
      <c r="M278" s="319" t="s">
        <v>839</v>
      </c>
      <c r="N278" s="319" t="s">
        <v>3037</v>
      </c>
      <c r="O278" s="319" t="s">
        <v>1590</v>
      </c>
      <c r="P278" s="319">
        <v>5</v>
      </c>
      <c r="Q278" s="319" t="s">
        <v>429</v>
      </c>
      <c r="R278" s="320">
        <v>10056559</v>
      </c>
      <c r="S278" s="321">
        <v>43641</v>
      </c>
      <c r="T278" s="321">
        <v>43643</v>
      </c>
      <c r="U278" s="321">
        <v>43670</v>
      </c>
      <c r="V278" s="319" t="s">
        <v>425</v>
      </c>
      <c r="W278" s="319" t="s">
        <v>2767</v>
      </c>
      <c r="X278" s="319">
        <v>3</v>
      </c>
      <c r="Y278" s="319" t="s">
        <v>173</v>
      </c>
      <c r="Z278" s="319" t="s">
        <v>173</v>
      </c>
      <c r="AA278" s="319" t="s">
        <v>173</v>
      </c>
      <c r="AB278" s="319">
        <v>3</v>
      </c>
      <c r="AC278" s="319" t="s">
        <v>169</v>
      </c>
      <c r="AD278" s="319" t="s">
        <v>173</v>
      </c>
      <c r="AE278" s="319" t="s">
        <v>173</v>
      </c>
      <c r="AF278" s="319" t="s">
        <v>427</v>
      </c>
      <c r="AG278" s="319" t="s">
        <v>172</v>
      </c>
      <c r="AH278" s="319" t="s">
        <v>479</v>
      </c>
      <c r="AI278" s="319" t="s">
        <v>479</v>
      </c>
      <c r="AJ278" s="319" t="s">
        <v>479</v>
      </c>
      <c r="AK278" s="319" t="s">
        <v>190</v>
      </c>
      <c r="AL278" s="319" t="s">
        <v>190</v>
      </c>
      <c r="AM278" s="319" t="s">
        <v>479</v>
      </c>
      <c r="AN278" s="319" t="s">
        <v>479</v>
      </c>
      <c r="AO278" s="319" t="s">
        <v>479</v>
      </c>
      <c r="AP278" s="319" t="s">
        <v>191</v>
      </c>
      <c r="AQ278" s="319" t="s">
        <v>191</v>
      </c>
      <c r="AR278" s="319" t="s">
        <v>190</v>
      </c>
      <c r="AS278" s="319" t="s">
        <v>190</v>
      </c>
      <c r="AT278" s="319" t="s">
        <v>190</v>
      </c>
      <c r="AU278" s="319" t="s">
        <v>190</v>
      </c>
      <c r="AV278" s="319" t="s">
        <v>190</v>
      </c>
      <c r="AW278" s="319" t="s">
        <v>190</v>
      </c>
      <c r="AX278" s="319" t="s">
        <v>428</v>
      </c>
      <c r="AY278" s="319" t="s">
        <v>191</v>
      </c>
      <c r="AZ278" s="319" t="s">
        <v>190</v>
      </c>
      <c r="BA278" s="319" t="s">
        <v>191</v>
      </c>
      <c r="BB278" s="319" t="s">
        <v>190</v>
      </c>
      <c r="BC278" s="319" t="s">
        <v>190</v>
      </c>
      <c r="BD278" s="319" t="s">
        <v>190</v>
      </c>
      <c r="BE278" s="319" t="s">
        <v>190</v>
      </c>
      <c r="BF278" s="319" t="s">
        <v>428</v>
      </c>
      <c r="BG278" s="319" t="s">
        <v>428</v>
      </c>
      <c r="BH278" s="319" t="s">
        <v>190</v>
      </c>
      <c r="BI278" s="319" t="s">
        <v>190</v>
      </c>
      <c r="BJ278" s="319" t="s">
        <v>190</v>
      </c>
      <c r="BK278" s="319" t="s">
        <v>190</v>
      </c>
      <c r="BL278" s="319" t="s">
        <v>190</v>
      </c>
      <c r="BM278" s="319" t="s">
        <v>190</v>
      </c>
      <c r="BN278" s="319" t="s">
        <v>190</v>
      </c>
      <c r="BO278" s="319" t="s">
        <v>190</v>
      </c>
      <c r="BP278" s="319" t="s">
        <v>190</v>
      </c>
      <c r="BQ278" s="319" t="s">
        <v>190</v>
      </c>
      <c r="BR278" s="319" t="s">
        <v>190</v>
      </c>
      <c r="BS278" s="319" t="s">
        <v>190</v>
      </c>
      <c r="BT278" s="319" t="s">
        <v>190</v>
      </c>
      <c r="BU278" s="319" t="s">
        <v>190</v>
      </c>
      <c r="BV278" s="319" t="s">
        <v>191</v>
      </c>
      <c r="BW278" s="319" t="s">
        <v>190</v>
      </c>
      <c r="BX278" s="319" t="s">
        <v>191</v>
      </c>
      <c r="BY278" s="319" t="s">
        <v>190</v>
      </c>
      <c r="BZ278" s="319" t="s">
        <v>190</v>
      </c>
      <c r="CA278" s="319" t="s">
        <v>190</v>
      </c>
      <c r="CB278" s="319" t="s">
        <v>190</v>
      </c>
      <c r="CC278" s="319" t="s">
        <v>190</v>
      </c>
      <c r="CD278" s="319" t="s">
        <v>191</v>
      </c>
      <c r="CE278" s="319" t="s">
        <v>190</v>
      </c>
      <c r="CF278" s="319" t="s">
        <v>190</v>
      </c>
      <c r="CG278" s="319" t="s">
        <v>190</v>
      </c>
      <c r="CH278" s="319" t="s">
        <v>190</v>
      </c>
      <c r="CI278" s="319" t="s">
        <v>190</v>
      </c>
      <c r="CJ278" s="319" t="s">
        <v>190</v>
      </c>
      <c r="CK278" s="319" t="s">
        <v>190</v>
      </c>
      <c r="CL278" s="319" t="s">
        <v>190</v>
      </c>
      <c r="CM278" s="319" t="s">
        <v>190</v>
      </c>
      <c r="CN278" s="319" t="s">
        <v>428</v>
      </c>
      <c r="CO278" s="319" t="s">
        <v>428</v>
      </c>
      <c r="CP278" s="319" t="s">
        <v>428</v>
      </c>
      <c r="CQ278" s="319" t="s">
        <v>190</v>
      </c>
      <c r="CR278" s="319" t="s">
        <v>190</v>
      </c>
      <c r="CS278" s="319" t="s">
        <v>190</v>
      </c>
      <c r="CT278" s="319" t="s">
        <v>190</v>
      </c>
      <c r="CU278" s="319" t="s">
        <v>190</v>
      </c>
      <c r="CV278" s="319" t="s">
        <v>190</v>
      </c>
      <c r="CW278" s="319" t="s">
        <v>190</v>
      </c>
      <c r="CX278" s="319" t="s">
        <v>190</v>
      </c>
      <c r="CY278" s="319" t="s">
        <v>190</v>
      </c>
      <c r="CZ278" s="319" t="s">
        <v>190</v>
      </c>
      <c r="DA278" s="319" t="s">
        <v>191</v>
      </c>
      <c r="DB278" s="319" t="s">
        <v>191</v>
      </c>
      <c r="DC278" s="319" t="s">
        <v>191</v>
      </c>
      <c r="DD278" s="319" t="s">
        <v>190</v>
      </c>
      <c r="DE278" s="319" t="s">
        <v>190</v>
      </c>
      <c r="DF278" s="319" t="s">
        <v>190</v>
      </c>
      <c r="DG278" s="319" t="s">
        <v>190</v>
      </c>
      <c r="DH278" s="319" t="s">
        <v>190</v>
      </c>
      <c r="DI278" s="319" t="s">
        <v>190</v>
      </c>
      <c r="DJ278" s="319" t="s">
        <v>190</v>
      </c>
      <c r="DK278" s="319" t="s">
        <v>190</v>
      </c>
      <c r="DL278" s="319" t="s">
        <v>190</v>
      </c>
      <c r="DM278" s="319" t="s">
        <v>190</v>
      </c>
      <c r="DN278" s="319" t="s">
        <v>428</v>
      </c>
      <c r="DO278" s="319" t="s">
        <v>190</v>
      </c>
      <c r="DP278" s="319" t="s">
        <v>428</v>
      </c>
      <c r="DQ278" s="319" t="s">
        <v>428</v>
      </c>
      <c r="DR278" s="319" t="s">
        <v>428</v>
      </c>
      <c r="DS278" s="319" t="s">
        <v>428</v>
      </c>
      <c r="DT278" s="319" t="s">
        <v>428</v>
      </c>
      <c r="DU278" s="319" t="s">
        <v>428</v>
      </c>
      <c r="DV278" s="319" t="s">
        <v>173</v>
      </c>
      <c r="DW278" s="319" t="s">
        <v>428</v>
      </c>
      <c r="DX278" s="319" t="s">
        <v>428</v>
      </c>
      <c r="DY278" s="319" t="s">
        <v>428</v>
      </c>
      <c r="DZ278" s="319" t="s">
        <v>428</v>
      </c>
      <c r="EA278" s="319" t="s">
        <v>428</v>
      </c>
      <c r="EB278" s="319" t="s">
        <v>428</v>
      </c>
      <c r="EC278" s="319" t="s">
        <v>428</v>
      </c>
      <c r="ED278" s="319" t="s">
        <v>428</v>
      </c>
      <c r="EE278" s="319" t="s">
        <v>190</v>
      </c>
      <c r="EF278" s="319" t="s">
        <v>190</v>
      </c>
      <c r="EG278" s="319" t="s">
        <v>190</v>
      </c>
      <c r="EH278" s="319" t="s">
        <v>190</v>
      </c>
      <c r="EI278" s="319" t="s">
        <v>190</v>
      </c>
      <c r="EJ278" s="319" t="s">
        <v>190</v>
      </c>
      <c r="EK278" s="319" t="s">
        <v>190</v>
      </c>
      <c r="EL278" s="319" t="s">
        <v>190</v>
      </c>
      <c r="EM278" s="319" t="s">
        <v>190</v>
      </c>
      <c r="EN278" s="319" t="s">
        <v>190</v>
      </c>
      <c r="EO278" s="319" t="s">
        <v>190</v>
      </c>
      <c r="EP278" s="319" t="s">
        <v>190</v>
      </c>
      <c r="EQ278" s="319" t="s">
        <v>190</v>
      </c>
      <c r="ER278" s="319" t="s">
        <v>190</v>
      </c>
      <c r="ES278" s="319" t="s">
        <v>190</v>
      </c>
      <c r="ET278" s="319" t="s">
        <v>190</v>
      </c>
      <c r="EU278" s="319" t="s">
        <v>190</v>
      </c>
      <c r="EV278" s="319" t="s">
        <v>190</v>
      </c>
      <c r="EW278" s="319" t="s">
        <v>190</v>
      </c>
      <c r="EX278" s="319" t="s">
        <v>190</v>
      </c>
      <c r="EY278" s="319" t="s">
        <v>190</v>
      </c>
      <c r="EZ278" s="319" t="s">
        <v>190</v>
      </c>
      <c r="FA278" s="319" t="s">
        <v>190</v>
      </c>
      <c r="FB278" s="319" t="s">
        <v>428</v>
      </c>
      <c r="FC278" s="319" t="s">
        <v>428</v>
      </c>
      <c r="FD278" s="319" t="s">
        <v>428</v>
      </c>
      <c r="FE278" s="319" t="s">
        <v>428</v>
      </c>
      <c r="FF278" s="319" t="s">
        <v>428</v>
      </c>
      <c r="FG278" s="319" t="s">
        <v>428</v>
      </c>
      <c r="FH278" s="319" t="s">
        <v>190</v>
      </c>
      <c r="FI278" s="319" t="s">
        <v>190</v>
      </c>
      <c r="FJ278" s="319" t="s">
        <v>190</v>
      </c>
      <c r="FK278" s="319" t="s">
        <v>190</v>
      </c>
      <c r="FL278" s="319" t="s">
        <v>190</v>
      </c>
      <c r="FM278" s="319" t="s">
        <v>190</v>
      </c>
      <c r="FN278" s="319" t="s">
        <v>190</v>
      </c>
      <c r="FO278" s="319" t="s">
        <v>190</v>
      </c>
      <c r="FP278" s="319" t="s">
        <v>190</v>
      </c>
      <c r="FQ278" s="319" t="s">
        <v>190</v>
      </c>
      <c r="FR278" s="319" t="s">
        <v>190</v>
      </c>
      <c r="FS278" s="319" t="s">
        <v>428</v>
      </c>
      <c r="FT278" s="319" t="s">
        <v>190</v>
      </c>
      <c r="FU278" s="319" t="s">
        <v>190</v>
      </c>
      <c r="FV278" s="319" t="s">
        <v>190</v>
      </c>
      <c r="FW278" s="319" t="s">
        <v>190</v>
      </c>
      <c r="FX278" s="319" t="s">
        <v>190</v>
      </c>
      <c r="FY278" s="319" t="s">
        <v>190</v>
      </c>
      <c r="FZ278" s="319" t="s">
        <v>190</v>
      </c>
      <c r="GA278" s="319" t="s">
        <v>190</v>
      </c>
      <c r="GB278" s="319" t="s">
        <v>190</v>
      </c>
      <c r="GC278" s="319" t="s">
        <v>190</v>
      </c>
      <c r="GD278" s="319" t="s">
        <v>190</v>
      </c>
      <c r="GE278" s="319" t="s">
        <v>190</v>
      </c>
      <c r="GF278" s="319" t="s">
        <v>190</v>
      </c>
      <c r="GG278" s="319" t="s">
        <v>190</v>
      </c>
      <c r="GH278" s="319" t="s">
        <v>190</v>
      </c>
      <c r="GI278" s="319" t="s">
        <v>190</v>
      </c>
      <c r="GJ278" s="319" t="s">
        <v>190</v>
      </c>
      <c r="GK278" s="319" t="s">
        <v>428</v>
      </c>
      <c r="GL278" s="319" t="s">
        <v>191</v>
      </c>
      <c r="GM278" s="319" t="s">
        <v>190</v>
      </c>
      <c r="GN278" s="319" t="s">
        <v>191</v>
      </c>
      <c r="GO278" s="319" t="s">
        <v>190</v>
      </c>
      <c r="GP278" s="319" t="s">
        <v>190</v>
      </c>
      <c r="GQ278" s="319" t="s">
        <v>190</v>
      </c>
      <c r="GR278" s="319" t="s">
        <v>190</v>
      </c>
      <c r="GS278" s="319" t="s">
        <v>190</v>
      </c>
      <c r="GT278" s="319" t="s">
        <v>190</v>
      </c>
      <c r="GU278" s="319" t="s">
        <v>191</v>
      </c>
      <c r="GV278" s="319" t="s">
        <v>190</v>
      </c>
      <c r="GW278" s="319" t="s">
        <v>190</v>
      </c>
      <c r="GX278" s="319" t="s">
        <v>190</v>
      </c>
      <c r="GY278" s="319" t="s">
        <v>190</v>
      </c>
      <c r="GZ278" s="319" t="s">
        <v>428</v>
      </c>
      <c r="HA278" s="319" t="s">
        <v>190</v>
      </c>
      <c r="HB278" s="319" t="s">
        <v>190</v>
      </c>
      <c r="HC278" s="319" t="s">
        <v>190</v>
      </c>
      <c r="HD278" s="319" t="s">
        <v>191</v>
      </c>
      <c r="HE278" s="319" t="s">
        <v>190</v>
      </c>
      <c r="HF278" s="319" t="s">
        <v>190</v>
      </c>
      <c r="HG278" s="319" t="s">
        <v>190</v>
      </c>
      <c r="HH278" s="319" t="s">
        <v>190</v>
      </c>
      <c r="HI278" s="319" t="s">
        <v>190</v>
      </c>
      <c r="HJ278" s="319" t="s">
        <v>191</v>
      </c>
      <c r="HK278" s="319" t="s">
        <v>190</v>
      </c>
      <c r="HL278" s="319" t="s">
        <v>428</v>
      </c>
      <c r="HM278" s="319" t="s">
        <v>428</v>
      </c>
      <c r="HN278" s="319" t="s">
        <v>428</v>
      </c>
      <c r="HO278" s="319" t="s">
        <v>428</v>
      </c>
      <c r="HP278" s="319" t="s">
        <v>191</v>
      </c>
      <c r="HQ278" s="319" t="s">
        <v>190</v>
      </c>
      <c r="HR278" s="319" t="s">
        <v>190</v>
      </c>
      <c r="HS278" s="319" t="s">
        <v>190</v>
      </c>
      <c r="HT278" s="319" t="s">
        <v>190</v>
      </c>
      <c r="HU278" s="319" t="s">
        <v>190</v>
      </c>
      <c r="HV278" s="319" t="s">
        <v>190</v>
      </c>
      <c r="HW278" s="319" t="s">
        <v>190</v>
      </c>
      <c r="HX278" s="319" t="s">
        <v>190</v>
      </c>
      <c r="HY278" s="319" t="s">
        <v>190</v>
      </c>
      <c r="HZ278" s="319" t="s">
        <v>190</v>
      </c>
      <c r="IA278" s="319" t="s">
        <v>190</v>
      </c>
      <c r="IB278" s="319" t="s">
        <v>191</v>
      </c>
      <c r="IC278" s="319" t="s">
        <v>191</v>
      </c>
      <c r="ID278" s="319" t="s">
        <v>191</v>
      </c>
      <c r="IE278" s="319" t="s">
        <v>190</v>
      </c>
      <c r="IF278" s="319" t="s">
        <v>191</v>
      </c>
      <c r="IG278" s="319" t="s">
        <v>191</v>
      </c>
      <c r="IH278" s="319" t="s">
        <v>191</v>
      </c>
      <c r="II278" s="319" t="s">
        <v>190</v>
      </c>
      <c r="IJ278" s="319">
        <v>10008942</v>
      </c>
      <c r="IK278" s="321">
        <v>42920</v>
      </c>
      <c r="IL278" s="321">
        <v>42922</v>
      </c>
      <c r="IM278" s="321">
        <v>42969</v>
      </c>
      <c r="IN278" s="319">
        <v>3</v>
      </c>
      <c r="IO278" s="319" t="s">
        <v>173</v>
      </c>
      <c r="IP278" s="319" t="s">
        <v>173</v>
      </c>
      <c r="IQ278" s="321" t="s">
        <v>173</v>
      </c>
      <c r="IR278" s="320" t="s">
        <v>173</v>
      </c>
      <c r="IS278" s="322" t="s">
        <v>173</v>
      </c>
      <c r="IT278" s="319" t="s">
        <v>173</v>
      </c>
    </row>
    <row r="279" spans="1:254" s="271" customFormat="1" x14ac:dyDescent="0.25">
      <c r="A279" s="318" t="str">
        <f>HYPERLINK("http://www.ofsted.gov.uk/inspection-reports/find-inspection-report/provider/ELS/130855 ","Ofsted School Webpage")</f>
        <v>Ofsted School Webpage</v>
      </c>
      <c r="B279" s="319">
        <v>130855</v>
      </c>
      <c r="C279" s="319">
        <v>9356085</v>
      </c>
      <c r="D279" s="319" t="s">
        <v>910</v>
      </c>
      <c r="E279" s="319" t="s">
        <v>168</v>
      </c>
      <c r="F279" s="319" t="s">
        <v>81</v>
      </c>
      <c r="G279" s="319" t="s">
        <v>81</v>
      </c>
      <c r="H279" s="319" t="s">
        <v>81</v>
      </c>
      <c r="I279" s="319" t="s">
        <v>78</v>
      </c>
      <c r="J279" s="319" t="s">
        <v>424</v>
      </c>
      <c r="K279" s="319" t="s">
        <v>451</v>
      </c>
      <c r="L279" s="319" t="s">
        <v>451</v>
      </c>
      <c r="M279" s="319" t="s">
        <v>839</v>
      </c>
      <c r="N279" s="319" t="s">
        <v>3037</v>
      </c>
      <c r="O279" s="319" t="s">
        <v>911</v>
      </c>
      <c r="P279" s="319">
        <v>6</v>
      </c>
      <c r="Q279" s="319" t="s">
        <v>429</v>
      </c>
      <c r="R279" s="320">
        <v>10056560</v>
      </c>
      <c r="S279" s="321">
        <v>43501</v>
      </c>
      <c r="T279" s="321">
        <v>43503</v>
      </c>
      <c r="U279" s="321">
        <v>43538</v>
      </c>
      <c r="V279" s="319" t="s">
        <v>425</v>
      </c>
      <c r="W279" s="319" t="s">
        <v>2767</v>
      </c>
      <c r="X279" s="319">
        <v>2</v>
      </c>
      <c r="Y279" s="319" t="s">
        <v>173</v>
      </c>
      <c r="Z279" s="319" t="s">
        <v>173</v>
      </c>
      <c r="AA279" s="319" t="s">
        <v>173</v>
      </c>
      <c r="AB279" s="319">
        <v>2</v>
      </c>
      <c r="AC279" s="319" t="s">
        <v>169</v>
      </c>
      <c r="AD279" s="319" t="s">
        <v>173</v>
      </c>
      <c r="AE279" s="319" t="s">
        <v>173</v>
      </c>
      <c r="AF279" s="319" t="s">
        <v>427</v>
      </c>
      <c r="AG279" s="319" t="s">
        <v>171</v>
      </c>
      <c r="AH279" s="319" t="s">
        <v>190</v>
      </c>
      <c r="AI279" s="319" t="s">
        <v>190</v>
      </c>
      <c r="AJ279" s="319" t="s">
        <v>190</v>
      </c>
      <c r="AK279" s="319" t="s">
        <v>190</v>
      </c>
      <c r="AL279" s="319" t="s">
        <v>190</v>
      </c>
      <c r="AM279" s="319" t="s">
        <v>190</v>
      </c>
      <c r="AN279" s="319" t="s">
        <v>190</v>
      </c>
      <c r="AO279" s="319" t="s">
        <v>190</v>
      </c>
      <c r="AP279" s="319" t="s">
        <v>190</v>
      </c>
      <c r="AQ279" s="319" t="s">
        <v>190</v>
      </c>
      <c r="AR279" s="319" t="s">
        <v>190</v>
      </c>
      <c r="AS279" s="319" t="s">
        <v>190</v>
      </c>
      <c r="AT279" s="319" t="s">
        <v>190</v>
      </c>
      <c r="AU279" s="319" t="s">
        <v>190</v>
      </c>
      <c r="AV279" s="319" t="s">
        <v>190</v>
      </c>
      <c r="AW279" s="319" t="s">
        <v>190</v>
      </c>
      <c r="AX279" s="319" t="s">
        <v>428</v>
      </c>
      <c r="AY279" s="319" t="s">
        <v>190</v>
      </c>
      <c r="AZ279" s="319" t="s">
        <v>190</v>
      </c>
      <c r="BA279" s="319" t="s">
        <v>190</v>
      </c>
      <c r="BB279" s="319" t="s">
        <v>190</v>
      </c>
      <c r="BC279" s="319" t="s">
        <v>190</v>
      </c>
      <c r="BD279" s="319" t="s">
        <v>190</v>
      </c>
      <c r="BE279" s="319" t="s">
        <v>190</v>
      </c>
      <c r="BF279" s="319" t="s">
        <v>428</v>
      </c>
      <c r="BG279" s="319" t="s">
        <v>428</v>
      </c>
      <c r="BH279" s="319" t="s">
        <v>190</v>
      </c>
      <c r="BI279" s="319" t="s">
        <v>190</v>
      </c>
      <c r="BJ279" s="319" t="s">
        <v>190</v>
      </c>
      <c r="BK279" s="319" t="s">
        <v>190</v>
      </c>
      <c r="BL279" s="319" t="s">
        <v>190</v>
      </c>
      <c r="BM279" s="319" t="s">
        <v>190</v>
      </c>
      <c r="BN279" s="319" t="s">
        <v>190</v>
      </c>
      <c r="BO279" s="319" t="s">
        <v>190</v>
      </c>
      <c r="BP279" s="319" t="s">
        <v>190</v>
      </c>
      <c r="BQ279" s="319" t="s">
        <v>190</v>
      </c>
      <c r="BR279" s="319" t="s">
        <v>190</v>
      </c>
      <c r="BS279" s="319" t="s">
        <v>190</v>
      </c>
      <c r="BT279" s="319" t="s">
        <v>190</v>
      </c>
      <c r="BU279" s="319" t="s">
        <v>190</v>
      </c>
      <c r="BV279" s="319" t="s">
        <v>190</v>
      </c>
      <c r="BW279" s="319" t="s">
        <v>190</v>
      </c>
      <c r="BX279" s="319" t="s">
        <v>190</v>
      </c>
      <c r="BY279" s="319" t="s">
        <v>190</v>
      </c>
      <c r="BZ279" s="319" t="s">
        <v>190</v>
      </c>
      <c r="CA279" s="319" t="s">
        <v>190</v>
      </c>
      <c r="CB279" s="319" t="s">
        <v>190</v>
      </c>
      <c r="CC279" s="319" t="s">
        <v>190</v>
      </c>
      <c r="CD279" s="319" t="s">
        <v>190</v>
      </c>
      <c r="CE279" s="319" t="s">
        <v>190</v>
      </c>
      <c r="CF279" s="319" t="s">
        <v>190</v>
      </c>
      <c r="CG279" s="319" t="s">
        <v>190</v>
      </c>
      <c r="CH279" s="319" t="s">
        <v>190</v>
      </c>
      <c r="CI279" s="319" t="s">
        <v>190</v>
      </c>
      <c r="CJ279" s="319" t="s">
        <v>190</v>
      </c>
      <c r="CK279" s="319" t="s">
        <v>190</v>
      </c>
      <c r="CL279" s="319" t="s">
        <v>190</v>
      </c>
      <c r="CM279" s="319" t="s">
        <v>190</v>
      </c>
      <c r="CN279" s="319" t="s">
        <v>428</v>
      </c>
      <c r="CO279" s="319" t="s">
        <v>428</v>
      </c>
      <c r="CP279" s="319" t="s">
        <v>428</v>
      </c>
      <c r="CQ279" s="319" t="s">
        <v>190</v>
      </c>
      <c r="CR279" s="319" t="s">
        <v>190</v>
      </c>
      <c r="CS279" s="319" t="s">
        <v>190</v>
      </c>
      <c r="CT279" s="319" t="s">
        <v>190</v>
      </c>
      <c r="CU279" s="319" t="s">
        <v>190</v>
      </c>
      <c r="CV279" s="319" t="s">
        <v>190</v>
      </c>
      <c r="CW279" s="319" t="s">
        <v>190</v>
      </c>
      <c r="CX279" s="319" t="s">
        <v>190</v>
      </c>
      <c r="CY279" s="319" t="s">
        <v>190</v>
      </c>
      <c r="CZ279" s="319" t="s">
        <v>190</v>
      </c>
      <c r="DA279" s="319" t="s">
        <v>190</v>
      </c>
      <c r="DB279" s="319" t="s">
        <v>190</v>
      </c>
      <c r="DC279" s="319" t="s">
        <v>190</v>
      </c>
      <c r="DD279" s="319" t="s">
        <v>190</v>
      </c>
      <c r="DE279" s="319" t="s">
        <v>190</v>
      </c>
      <c r="DF279" s="319" t="s">
        <v>190</v>
      </c>
      <c r="DG279" s="319" t="s">
        <v>190</v>
      </c>
      <c r="DH279" s="319" t="s">
        <v>190</v>
      </c>
      <c r="DI279" s="319" t="s">
        <v>190</v>
      </c>
      <c r="DJ279" s="319" t="s">
        <v>190</v>
      </c>
      <c r="DK279" s="319" t="s">
        <v>190</v>
      </c>
      <c r="DL279" s="319" t="s">
        <v>190</v>
      </c>
      <c r="DM279" s="319" t="s">
        <v>190</v>
      </c>
      <c r="DN279" s="319" t="s">
        <v>428</v>
      </c>
      <c r="DO279" s="319" t="s">
        <v>190</v>
      </c>
      <c r="DP279" s="319" t="s">
        <v>190</v>
      </c>
      <c r="DQ279" s="319" t="s">
        <v>190</v>
      </c>
      <c r="DR279" s="319" t="s">
        <v>190</v>
      </c>
      <c r="DS279" s="319" t="s">
        <v>190</v>
      </c>
      <c r="DT279" s="319" t="s">
        <v>190</v>
      </c>
      <c r="DU279" s="319" t="s">
        <v>190</v>
      </c>
      <c r="DV279" s="319" t="s">
        <v>173</v>
      </c>
      <c r="DW279" s="319" t="s">
        <v>190</v>
      </c>
      <c r="DX279" s="319" t="s">
        <v>190</v>
      </c>
      <c r="DY279" s="319" t="s">
        <v>190</v>
      </c>
      <c r="DZ279" s="319" t="s">
        <v>190</v>
      </c>
      <c r="EA279" s="319" t="s">
        <v>190</v>
      </c>
      <c r="EB279" s="319" t="s">
        <v>190</v>
      </c>
      <c r="EC279" s="319" t="s">
        <v>428</v>
      </c>
      <c r="ED279" s="319" t="s">
        <v>190</v>
      </c>
      <c r="EE279" s="319" t="s">
        <v>190</v>
      </c>
      <c r="EF279" s="319" t="s">
        <v>190</v>
      </c>
      <c r="EG279" s="319" t="s">
        <v>190</v>
      </c>
      <c r="EH279" s="319" t="s">
        <v>190</v>
      </c>
      <c r="EI279" s="319" t="s">
        <v>190</v>
      </c>
      <c r="EJ279" s="319" t="s">
        <v>190</v>
      </c>
      <c r="EK279" s="319" t="s">
        <v>190</v>
      </c>
      <c r="EL279" s="319" t="s">
        <v>190</v>
      </c>
      <c r="EM279" s="319" t="s">
        <v>190</v>
      </c>
      <c r="EN279" s="319" t="s">
        <v>190</v>
      </c>
      <c r="EO279" s="319" t="s">
        <v>190</v>
      </c>
      <c r="EP279" s="319" t="s">
        <v>190</v>
      </c>
      <c r="EQ279" s="319" t="s">
        <v>190</v>
      </c>
      <c r="ER279" s="319" t="s">
        <v>190</v>
      </c>
      <c r="ES279" s="319" t="s">
        <v>190</v>
      </c>
      <c r="ET279" s="319" t="s">
        <v>190</v>
      </c>
      <c r="EU279" s="319" t="s">
        <v>190</v>
      </c>
      <c r="EV279" s="319" t="s">
        <v>190</v>
      </c>
      <c r="EW279" s="319" t="s">
        <v>190</v>
      </c>
      <c r="EX279" s="319" t="s">
        <v>190</v>
      </c>
      <c r="EY279" s="319" t="s">
        <v>190</v>
      </c>
      <c r="EZ279" s="319" t="s">
        <v>190</v>
      </c>
      <c r="FA279" s="319" t="s">
        <v>190</v>
      </c>
      <c r="FB279" s="319" t="s">
        <v>190</v>
      </c>
      <c r="FC279" s="319" t="s">
        <v>190</v>
      </c>
      <c r="FD279" s="319" t="s">
        <v>190</v>
      </c>
      <c r="FE279" s="319" t="s">
        <v>190</v>
      </c>
      <c r="FF279" s="319" t="s">
        <v>190</v>
      </c>
      <c r="FG279" s="319" t="s">
        <v>190</v>
      </c>
      <c r="FH279" s="319" t="s">
        <v>190</v>
      </c>
      <c r="FI279" s="319" t="s">
        <v>190</v>
      </c>
      <c r="FJ279" s="319" t="s">
        <v>190</v>
      </c>
      <c r="FK279" s="319" t="s">
        <v>190</v>
      </c>
      <c r="FL279" s="319" t="s">
        <v>190</v>
      </c>
      <c r="FM279" s="319" t="s">
        <v>190</v>
      </c>
      <c r="FN279" s="319" t="s">
        <v>190</v>
      </c>
      <c r="FO279" s="319" t="s">
        <v>190</v>
      </c>
      <c r="FP279" s="319" t="s">
        <v>190</v>
      </c>
      <c r="FQ279" s="319" t="s">
        <v>190</v>
      </c>
      <c r="FR279" s="319" t="s">
        <v>190</v>
      </c>
      <c r="FS279" s="319" t="s">
        <v>190</v>
      </c>
      <c r="FT279" s="319" t="s">
        <v>190</v>
      </c>
      <c r="FU279" s="319" t="s">
        <v>190</v>
      </c>
      <c r="FV279" s="319" t="s">
        <v>190</v>
      </c>
      <c r="FW279" s="319" t="s">
        <v>190</v>
      </c>
      <c r="FX279" s="319" t="s">
        <v>190</v>
      </c>
      <c r="FY279" s="319" t="s">
        <v>190</v>
      </c>
      <c r="FZ279" s="319" t="s">
        <v>190</v>
      </c>
      <c r="GA279" s="319" t="s">
        <v>190</v>
      </c>
      <c r="GB279" s="319" t="s">
        <v>190</v>
      </c>
      <c r="GC279" s="319" t="s">
        <v>190</v>
      </c>
      <c r="GD279" s="319" t="s">
        <v>190</v>
      </c>
      <c r="GE279" s="319" t="s">
        <v>190</v>
      </c>
      <c r="GF279" s="319" t="s">
        <v>190</v>
      </c>
      <c r="GG279" s="319" t="s">
        <v>190</v>
      </c>
      <c r="GH279" s="319" t="s">
        <v>190</v>
      </c>
      <c r="GI279" s="319" t="s">
        <v>190</v>
      </c>
      <c r="GJ279" s="319" t="s">
        <v>190</v>
      </c>
      <c r="GK279" s="319" t="s">
        <v>190</v>
      </c>
      <c r="GL279" s="319" t="s">
        <v>190</v>
      </c>
      <c r="GM279" s="319" t="s">
        <v>190</v>
      </c>
      <c r="GN279" s="319" t="s">
        <v>190</v>
      </c>
      <c r="GO279" s="319" t="s">
        <v>190</v>
      </c>
      <c r="GP279" s="319" t="s">
        <v>190</v>
      </c>
      <c r="GQ279" s="319" t="s">
        <v>190</v>
      </c>
      <c r="GR279" s="319" t="s">
        <v>190</v>
      </c>
      <c r="GS279" s="319" t="s">
        <v>190</v>
      </c>
      <c r="GT279" s="319" t="s">
        <v>190</v>
      </c>
      <c r="GU279" s="319" t="s">
        <v>190</v>
      </c>
      <c r="GV279" s="319" t="s">
        <v>190</v>
      </c>
      <c r="GW279" s="319" t="s">
        <v>190</v>
      </c>
      <c r="GX279" s="319" t="s">
        <v>428</v>
      </c>
      <c r="GY279" s="319" t="s">
        <v>190</v>
      </c>
      <c r="GZ279" s="319" t="s">
        <v>428</v>
      </c>
      <c r="HA279" s="319" t="s">
        <v>190</v>
      </c>
      <c r="HB279" s="319" t="s">
        <v>428</v>
      </c>
      <c r="HC279" s="319" t="s">
        <v>190</v>
      </c>
      <c r="HD279" s="319" t="s">
        <v>190</v>
      </c>
      <c r="HE279" s="319" t="s">
        <v>190</v>
      </c>
      <c r="HF279" s="319" t="s">
        <v>190</v>
      </c>
      <c r="HG279" s="319" t="s">
        <v>190</v>
      </c>
      <c r="HH279" s="319" t="s">
        <v>190</v>
      </c>
      <c r="HI279" s="319" t="s">
        <v>190</v>
      </c>
      <c r="HJ279" s="319" t="s">
        <v>190</v>
      </c>
      <c r="HK279" s="319" t="s">
        <v>190</v>
      </c>
      <c r="HL279" s="319" t="s">
        <v>190</v>
      </c>
      <c r="HM279" s="319" t="s">
        <v>428</v>
      </c>
      <c r="HN279" s="319" t="s">
        <v>428</v>
      </c>
      <c r="HO279" s="319" t="s">
        <v>428</v>
      </c>
      <c r="HP279" s="319" t="s">
        <v>190</v>
      </c>
      <c r="HQ279" s="319" t="s">
        <v>190</v>
      </c>
      <c r="HR279" s="319" t="s">
        <v>190</v>
      </c>
      <c r="HS279" s="319" t="s">
        <v>190</v>
      </c>
      <c r="HT279" s="319" t="s">
        <v>190</v>
      </c>
      <c r="HU279" s="319" t="s">
        <v>190</v>
      </c>
      <c r="HV279" s="319" t="s">
        <v>190</v>
      </c>
      <c r="HW279" s="319" t="s">
        <v>190</v>
      </c>
      <c r="HX279" s="319" t="s">
        <v>190</v>
      </c>
      <c r="HY279" s="319" t="s">
        <v>190</v>
      </c>
      <c r="HZ279" s="319" t="s">
        <v>190</v>
      </c>
      <c r="IA279" s="319" t="s">
        <v>190</v>
      </c>
      <c r="IB279" s="319" t="s">
        <v>190</v>
      </c>
      <c r="IC279" s="319" t="s">
        <v>190</v>
      </c>
      <c r="ID279" s="319" t="s">
        <v>190</v>
      </c>
      <c r="IE279" s="319" t="s">
        <v>190</v>
      </c>
      <c r="IF279" s="319" t="s">
        <v>190</v>
      </c>
      <c r="IG279" s="319" t="s">
        <v>190</v>
      </c>
      <c r="IH279" s="319" t="s">
        <v>190</v>
      </c>
      <c r="II279" s="319" t="s">
        <v>190</v>
      </c>
      <c r="IJ279" s="319">
        <v>10006121</v>
      </c>
      <c r="IK279" s="321">
        <v>42773</v>
      </c>
      <c r="IL279" s="321">
        <v>42775</v>
      </c>
      <c r="IM279" s="321">
        <v>42830</v>
      </c>
      <c r="IN279" s="319">
        <v>4</v>
      </c>
      <c r="IO279" s="319" t="s">
        <v>173</v>
      </c>
      <c r="IP279" s="319" t="s">
        <v>173</v>
      </c>
      <c r="IQ279" s="321" t="s">
        <v>173</v>
      </c>
      <c r="IR279" s="320" t="s">
        <v>173</v>
      </c>
      <c r="IS279" s="322" t="s">
        <v>173</v>
      </c>
      <c r="IT279" s="319" t="s">
        <v>173</v>
      </c>
    </row>
    <row r="280" spans="1:254" s="271" customFormat="1" x14ac:dyDescent="0.25">
      <c r="A280" s="318" t="str">
        <f>HYPERLINK("http://www.ofsted.gov.uk/inspection-reports/find-inspection-report/provider/ELS/130857 ","Ofsted School Webpage")</f>
        <v>Ofsted School Webpage</v>
      </c>
      <c r="B280" s="319">
        <v>130857</v>
      </c>
      <c r="C280" s="319">
        <v>3806066</v>
      </c>
      <c r="D280" s="319" t="s">
        <v>1591</v>
      </c>
      <c r="E280" s="319" t="s">
        <v>167</v>
      </c>
      <c r="F280" s="319" t="s">
        <v>72</v>
      </c>
      <c r="G280" s="319" t="s">
        <v>72</v>
      </c>
      <c r="H280" s="319" t="s">
        <v>72</v>
      </c>
      <c r="I280" s="319" t="s">
        <v>72</v>
      </c>
      <c r="J280" s="319" t="s">
        <v>424</v>
      </c>
      <c r="K280" s="319" t="s">
        <v>458</v>
      </c>
      <c r="L280" s="319" t="s">
        <v>459</v>
      </c>
      <c r="M280" s="319" t="s">
        <v>595</v>
      </c>
      <c r="N280" s="319" t="s">
        <v>3064</v>
      </c>
      <c r="O280" s="319" t="s">
        <v>1592</v>
      </c>
      <c r="P280" s="319">
        <v>133</v>
      </c>
      <c r="Q280" s="319" t="s">
        <v>2766</v>
      </c>
      <c r="R280" s="320">
        <v>10061251</v>
      </c>
      <c r="S280" s="321">
        <v>43529</v>
      </c>
      <c r="T280" s="321">
        <v>43531</v>
      </c>
      <c r="U280" s="321">
        <v>43555</v>
      </c>
      <c r="V280" s="319" t="s">
        <v>425</v>
      </c>
      <c r="W280" s="319" t="s">
        <v>2767</v>
      </c>
      <c r="X280" s="319">
        <v>1</v>
      </c>
      <c r="Y280" s="319" t="s">
        <v>173</v>
      </c>
      <c r="Z280" s="319" t="s">
        <v>173</v>
      </c>
      <c r="AA280" s="319" t="s">
        <v>173</v>
      </c>
      <c r="AB280" s="319">
        <v>1</v>
      </c>
      <c r="AC280" s="319" t="s">
        <v>169</v>
      </c>
      <c r="AD280" s="319">
        <v>1</v>
      </c>
      <c r="AE280" s="319" t="s">
        <v>173</v>
      </c>
      <c r="AF280" s="319" t="s">
        <v>427</v>
      </c>
      <c r="AG280" s="319" t="s">
        <v>171</v>
      </c>
      <c r="AH280" s="319" t="s">
        <v>190</v>
      </c>
      <c r="AI280" s="319" t="s">
        <v>190</v>
      </c>
      <c r="AJ280" s="319" t="s">
        <v>190</v>
      </c>
      <c r="AK280" s="319" t="s">
        <v>190</v>
      </c>
      <c r="AL280" s="319" t="s">
        <v>190</v>
      </c>
      <c r="AM280" s="319" t="s">
        <v>190</v>
      </c>
      <c r="AN280" s="319" t="s">
        <v>190</v>
      </c>
      <c r="AO280" s="319" t="s">
        <v>190</v>
      </c>
      <c r="AP280" s="319" t="s">
        <v>190</v>
      </c>
      <c r="AQ280" s="319" t="s">
        <v>190</v>
      </c>
      <c r="AR280" s="319" t="s">
        <v>190</v>
      </c>
      <c r="AS280" s="319" t="s">
        <v>190</v>
      </c>
      <c r="AT280" s="319" t="s">
        <v>190</v>
      </c>
      <c r="AU280" s="319" t="s">
        <v>190</v>
      </c>
      <c r="AV280" s="319" t="s">
        <v>190</v>
      </c>
      <c r="AW280" s="319" t="s">
        <v>190</v>
      </c>
      <c r="AX280" s="319" t="s">
        <v>428</v>
      </c>
      <c r="AY280" s="319" t="s">
        <v>190</v>
      </c>
      <c r="AZ280" s="319" t="s">
        <v>190</v>
      </c>
      <c r="BA280" s="319" t="s">
        <v>190</v>
      </c>
      <c r="BB280" s="319" t="s">
        <v>428</v>
      </c>
      <c r="BC280" s="319" t="s">
        <v>428</v>
      </c>
      <c r="BD280" s="319" t="s">
        <v>428</v>
      </c>
      <c r="BE280" s="319" t="s">
        <v>428</v>
      </c>
      <c r="BF280" s="319" t="s">
        <v>428</v>
      </c>
      <c r="BG280" s="319" t="s">
        <v>428</v>
      </c>
      <c r="BH280" s="319" t="s">
        <v>190</v>
      </c>
      <c r="BI280" s="319" t="s">
        <v>190</v>
      </c>
      <c r="BJ280" s="319" t="s">
        <v>190</v>
      </c>
      <c r="BK280" s="319" t="s">
        <v>190</v>
      </c>
      <c r="BL280" s="319" t="s">
        <v>190</v>
      </c>
      <c r="BM280" s="319" t="s">
        <v>190</v>
      </c>
      <c r="BN280" s="319" t="s">
        <v>190</v>
      </c>
      <c r="BO280" s="319" t="s">
        <v>190</v>
      </c>
      <c r="BP280" s="319" t="s">
        <v>190</v>
      </c>
      <c r="BQ280" s="319" t="s">
        <v>190</v>
      </c>
      <c r="BR280" s="319" t="s">
        <v>190</v>
      </c>
      <c r="BS280" s="319" t="s">
        <v>190</v>
      </c>
      <c r="BT280" s="319" t="s">
        <v>190</v>
      </c>
      <c r="BU280" s="319" t="s">
        <v>190</v>
      </c>
      <c r="BV280" s="319" t="s">
        <v>190</v>
      </c>
      <c r="BW280" s="319" t="s">
        <v>190</v>
      </c>
      <c r="BX280" s="319" t="s">
        <v>190</v>
      </c>
      <c r="BY280" s="319" t="s">
        <v>190</v>
      </c>
      <c r="BZ280" s="319" t="s">
        <v>190</v>
      </c>
      <c r="CA280" s="319" t="s">
        <v>190</v>
      </c>
      <c r="CB280" s="319" t="s">
        <v>190</v>
      </c>
      <c r="CC280" s="319" t="s">
        <v>190</v>
      </c>
      <c r="CD280" s="319" t="s">
        <v>190</v>
      </c>
      <c r="CE280" s="319" t="s">
        <v>190</v>
      </c>
      <c r="CF280" s="319" t="s">
        <v>190</v>
      </c>
      <c r="CG280" s="319" t="s">
        <v>190</v>
      </c>
      <c r="CH280" s="319" t="s">
        <v>190</v>
      </c>
      <c r="CI280" s="319" t="s">
        <v>190</v>
      </c>
      <c r="CJ280" s="319" t="s">
        <v>190</v>
      </c>
      <c r="CK280" s="319" t="s">
        <v>190</v>
      </c>
      <c r="CL280" s="319" t="s">
        <v>190</v>
      </c>
      <c r="CM280" s="319" t="s">
        <v>190</v>
      </c>
      <c r="CN280" s="319" t="s">
        <v>428</v>
      </c>
      <c r="CO280" s="319" t="s">
        <v>428</v>
      </c>
      <c r="CP280" s="319" t="s">
        <v>428</v>
      </c>
      <c r="CQ280" s="319" t="s">
        <v>190</v>
      </c>
      <c r="CR280" s="319" t="s">
        <v>190</v>
      </c>
      <c r="CS280" s="319" t="s">
        <v>190</v>
      </c>
      <c r="CT280" s="319" t="s">
        <v>190</v>
      </c>
      <c r="CU280" s="319" t="s">
        <v>190</v>
      </c>
      <c r="CV280" s="319" t="s">
        <v>190</v>
      </c>
      <c r="CW280" s="319" t="s">
        <v>190</v>
      </c>
      <c r="CX280" s="319" t="s">
        <v>190</v>
      </c>
      <c r="CY280" s="319" t="s">
        <v>190</v>
      </c>
      <c r="CZ280" s="319" t="s">
        <v>190</v>
      </c>
      <c r="DA280" s="319" t="s">
        <v>190</v>
      </c>
      <c r="DB280" s="319" t="s">
        <v>190</v>
      </c>
      <c r="DC280" s="319" t="s">
        <v>190</v>
      </c>
      <c r="DD280" s="319" t="s">
        <v>190</v>
      </c>
      <c r="DE280" s="319" t="s">
        <v>190</v>
      </c>
      <c r="DF280" s="319" t="s">
        <v>190</v>
      </c>
      <c r="DG280" s="319" t="s">
        <v>190</v>
      </c>
      <c r="DH280" s="319" t="s">
        <v>190</v>
      </c>
      <c r="DI280" s="319" t="s">
        <v>190</v>
      </c>
      <c r="DJ280" s="319" t="s">
        <v>190</v>
      </c>
      <c r="DK280" s="319" t="s">
        <v>190</v>
      </c>
      <c r="DL280" s="319" t="s">
        <v>190</v>
      </c>
      <c r="DM280" s="319" t="s">
        <v>428</v>
      </c>
      <c r="DN280" s="319" t="s">
        <v>428</v>
      </c>
      <c r="DO280" s="319" t="s">
        <v>190</v>
      </c>
      <c r="DP280" s="319" t="s">
        <v>428</v>
      </c>
      <c r="DQ280" s="319" t="s">
        <v>428</v>
      </c>
      <c r="DR280" s="319" t="s">
        <v>428</v>
      </c>
      <c r="DS280" s="319" t="s">
        <v>428</v>
      </c>
      <c r="DT280" s="319" t="s">
        <v>428</v>
      </c>
      <c r="DU280" s="319" t="s">
        <v>428</v>
      </c>
      <c r="DV280" s="319" t="s">
        <v>173</v>
      </c>
      <c r="DW280" s="319" t="s">
        <v>428</v>
      </c>
      <c r="DX280" s="319" t="s">
        <v>428</v>
      </c>
      <c r="DY280" s="319" t="s">
        <v>428</v>
      </c>
      <c r="DZ280" s="319" t="s">
        <v>428</v>
      </c>
      <c r="EA280" s="319" t="s">
        <v>428</v>
      </c>
      <c r="EB280" s="319" t="s">
        <v>428</v>
      </c>
      <c r="EC280" s="319" t="s">
        <v>428</v>
      </c>
      <c r="ED280" s="319" t="s">
        <v>428</v>
      </c>
      <c r="EE280" s="319" t="s">
        <v>190</v>
      </c>
      <c r="EF280" s="319" t="s">
        <v>190</v>
      </c>
      <c r="EG280" s="319" t="s">
        <v>190</v>
      </c>
      <c r="EH280" s="319" t="s">
        <v>190</v>
      </c>
      <c r="EI280" s="319" t="s">
        <v>190</v>
      </c>
      <c r="EJ280" s="319" t="s">
        <v>190</v>
      </c>
      <c r="EK280" s="319" t="s">
        <v>190</v>
      </c>
      <c r="EL280" s="319" t="s">
        <v>428</v>
      </c>
      <c r="EM280" s="319" t="s">
        <v>428</v>
      </c>
      <c r="EN280" s="319" t="s">
        <v>190</v>
      </c>
      <c r="EO280" s="319" t="s">
        <v>190</v>
      </c>
      <c r="EP280" s="319" t="s">
        <v>190</v>
      </c>
      <c r="EQ280" s="319" t="s">
        <v>190</v>
      </c>
      <c r="ER280" s="319" t="s">
        <v>190</v>
      </c>
      <c r="ES280" s="319" t="s">
        <v>190</v>
      </c>
      <c r="ET280" s="319" t="s">
        <v>190</v>
      </c>
      <c r="EU280" s="319" t="s">
        <v>190</v>
      </c>
      <c r="EV280" s="319" t="s">
        <v>190</v>
      </c>
      <c r="EW280" s="319" t="s">
        <v>190</v>
      </c>
      <c r="EX280" s="319" t="s">
        <v>190</v>
      </c>
      <c r="EY280" s="319" t="s">
        <v>190</v>
      </c>
      <c r="EZ280" s="319" t="s">
        <v>190</v>
      </c>
      <c r="FA280" s="319" t="s">
        <v>190</v>
      </c>
      <c r="FB280" s="319" t="s">
        <v>428</v>
      </c>
      <c r="FC280" s="319" t="s">
        <v>428</v>
      </c>
      <c r="FD280" s="319" t="s">
        <v>428</v>
      </c>
      <c r="FE280" s="319" t="s">
        <v>428</v>
      </c>
      <c r="FF280" s="319" t="s">
        <v>428</v>
      </c>
      <c r="FG280" s="319" t="s">
        <v>428</v>
      </c>
      <c r="FH280" s="319" t="s">
        <v>190</v>
      </c>
      <c r="FI280" s="319" t="s">
        <v>190</v>
      </c>
      <c r="FJ280" s="319" t="s">
        <v>190</v>
      </c>
      <c r="FK280" s="319" t="s">
        <v>190</v>
      </c>
      <c r="FL280" s="319" t="s">
        <v>190</v>
      </c>
      <c r="FM280" s="319" t="s">
        <v>190</v>
      </c>
      <c r="FN280" s="319" t="s">
        <v>190</v>
      </c>
      <c r="FO280" s="319" t="s">
        <v>428</v>
      </c>
      <c r="FP280" s="319" t="s">
        <v>190</v>
      </c>
      <c r="FQ280" s="319" t="s">
        <v>190</v>
      </c>
      <c r="FR280" s="319" t="s">
        <v>190</v>
      </c>
      <c r="FS280" s="319" t="s">
        <v>428</v>
      </c>
      <c r="FT280" s="319" t="s">
        <v>190</v>
      </c>
      <c r="FU280" s="319" t="s">
        <v>190</v>
      </c>
      <c r="FV280" s="319" t="s">
        <v>190</v>
      </c>
      <c r="FW280" s="319" t="s">
        <v>190</v>
      </c>
      <c r="FX280" s="319" t="s">
        <v>190</v>
      </c>
      <c r="FY280" s="319" t="s">
        <v>190</v>
      </c>
      <c r="FZ280" s="319" t="s">
        <v>190</v>
      </c>
      <c r="GA280" s="319" t="s">
        <v>190</v>
      </c>
      <c r="GB280" s="319" t="s">
        <v>190</v>
      </c>
      <c r="GC280" s="319" t="s">
        <v>190</v>
      </c>
      <c r="GD280" s="319" t="s">
        <v>190</v>
      </c>
      <c r="GE280" s="319" t="s">
        <v>190</v>
      </c>
      <c r="GF280" s="319" t="s">
        <v>190</v>
      </c>
      <c r="GG280" s="319" t="s">
        <v>190</v>
      </c>
      <c r="GH280" s="319" t="s">
        <v>190</v>
      </c>
      <c r="GI280" s="319" t="s">
        <v>190</v>
      </c>
      <c r="GJ280" s="319" t="s">
        <v>190</v>
      </c>
      <c r="GK280" s="319" t="s">
        <v>428</v>
      </c>
      <c r="GL280" s="319" t="s">
        <v>190</v>
      </c>
      <c r="GM280" s="319" t="s">
        <v>190</v>
      </c>
      <c r="GN280" s="319" t="s">
        <v>190</v>
      </c>
      <c r="GO280" s="319" t="s">
        <v>190</v>
      </c>
      <c r="GP280" s="319" t="s">
        <v>190</v>
      </c>
      <c r="GQ280" s="319" t="s">
        <v>428</v>
      </c>
      <c r="GR280" s="319" t="s">
        <v>190</v>
      </c>
      <c r="GS280" s="319" t="s">
        <v>190</v>
      </c>
      <c r="GT280" s="319" t="s">
        <v>428</v>
      </c>
      <c r="GU280" s="319" t="s">
        <v>428</v>
      </c>
      <c r="GV280" s="319" t="s">
        <v>190</v>
      </c>
      <c r="GW280" s="319" t="s">
        <v>190</v>
      </c>
      <c r="GX280" s="319" t="s">
        <v>190</v>
      </c>
      <c r="GY280" s="319" t="s">
        <v>190</v>
      </c>
      <c r="GZ280" s="319" t="s">
        <v>428</v>
      </c>
      <c r="HA280" s="319" t="s">
        <v>190</v>
      </c>
      <c r="HB280" s="319" t="s">
        <v>428</v>
      </c>
      <c r="HC280" s="319" t="s">
        <v>190</v>
      </c>
      <c r="HD280" s="319" t="s">
        <v>190</v>
      </c>
      <c r="HE280" s="319" t="s">
        <v>190</v>
      </c>
      <c r="HF280" s="319" t="s">
        <v>428</v>
      </c>
      <c r="HG280" s="319" t="s">
        <v>190</v>
      </c>
      <c r="HH280" s="319" t="s">
        <v>190</v>
      </c>
      <c r="HI280" s="319" t="s">
        <v>190</v>
      </c>
      <c r="HJ280" s="319" t="s">
        <v>190</v>
      </c>
      <c r="HK280" s="319" t="s">
        <v>190</v>
      </c>
      <c r="HL280" s="319" t="s">
        <v>428</v>
      </c>
      <c r="HM280" s="319" t="s">
        <v>428</v>
      </c>
      <c r="HN280" s="319" t="s">
        <v>428</v>
      </c>
      <c r="HO280" s="319" t="s">
        <v>428</v>
      </c>
      <c r="HP280" s="319" t="s">
        <v>190</v>
      </c>
      <c r="HQ280" s="319" t="s">
        <v>190</v>
      </c>
      <c r="HR280" s="319" t="s">
        <v>190</v>
      </c>
      <c r="HS280" s="319" t="s">
        <v>190</v>
      </c>
      <c r="HT280" s="319" t="s">
        <v>190</v>
      </c>
      <c r="HU280" s="319" t="s">
        <v>190</v>
      </c>
      <c r="HV280" s="319" t="s">
        <v>190</v>
      </c>
      <c r="HW280" s="319" t="s">
        <v>190</v>
      </c>
      <c r="HX280" s="319" t="s">
        <v>190</v>
      </c>
      <c r="HY280" s="319" t="s">
        <v>190</v>
      </c>
      <c r="HZ280" s="319" t="s">
        <v>190</v>
      </c>
      <c r="IA280" s="319" t="s">
        <v>190</v>
      </c>
      <c r="IB280" s="319" t="s">
        <v>190</v>
      </c>
      <c r="IC280" s="319" t="s">
        <v>190</v>
      </c>
      <c r="ID280" s="319" t="s">
        <v>190</v>
      </c>
      <c r="IE280" s="319" t="s">
        <v>190</v>
      </c>
      <c r="IF280" s="319" t="s">
        <v>190</v>
      </c>
      <c r="IG280" s="319" t="s">
        <v>190</v>
      </c>
      <c r="IH280" s="319" t="s">
        <v>190</v>
      </c>
      <c r="II280" s="319" t="s">
        <v>190</v>
      </c>
      <c r="IJ280" s="319">
        <v>10007706</v>
      </c>
      <c r="IK280" s="321">
        <v>42437</v>
      </c>
      <c r="IL280" s="321">
        <v>42439</v>
      </c>
      <c r="IM280" s="321">
        <v>42466</v>
      </c>
      <c r="IN280" s="319">
        <v>2</v>
      </c>
      <c r="IO280" s="319" t="s">
        <v>173</v>
      </c>
      <c r="IP280" s="319" t="s">
        <v>173</v>
      </c>
      <c r="IQ280" s="321" t="s">
        <v>173</v>
      </c>
      <c r="IR280" s="320" t="s">
        <v>173</v>
      </c>
      <c r="IS280" s="322" t="s">
        <v>173</v>
      </c>
      <c r="IT280" s="319" t="s">
        <v>173</v>
      </c>
    </row>
    <row r="281" spans="1:254" s="271" customFormat="1" x14ac:dyDescent="0.25">
      <c r="A281" s="318" t="str">
        <f>HYPERLINK("http://www.ofsted.gov.uk/inspection-reports/find-inspection-report/provider/ELS/130902 ","Ofsted School Webpage")</f>
        <v>Ofsted School Webpage</v>
      </c>
      <c r="B281" s="319">
        <v>130902</v>
      </c>
      <c r="C281" s="319">
        <v>8906096</v>
      </c>
      <c r="D281" s="319" t="s">
        <v>3075</v>
      </c>
      <c r="E281" s="319" t="s">
        <v>168</v>
      </c>
      <c r="F281" s="319" t="s">
        <v>81</v>
      </c>
      <c r="G281" s="319" t="s">
        <v>81</v>
      </c>
      <c r="H281" s="319" t="s">
        <v>81</v>
      </c>
      <c r="I281" s="319" t="s">
        <v>78</v>
      </c>
      <c r="J281" s="319" t="s">
        <v>424</v>
      </c>
      <c r="K281" s="319" t="s">
        <v>431</v>
      </c>
      <c r="L281" s="319" t="s">
        <v>431</v>
      </c>
      <c r="M281" s="319" t="s">
        <v>2722</v>
      </c>
      <c r="N281" s="319" t="s">
        <v>3076</v>
      </c>
      <c r="O281" s="319" t="s">
        <v>836</v>
      </c>
      <c r="P281" s="319">
        <v>6</v>
      </c>
      <c r="Q281" s="319" t="s">
        <v>429</v>
      </c>
      <c r="R281" s="320">
        <v>10092574</v>
      </c>
      <c r="S281" s="321">
        <v>43662</v>
      </c>
      <c r="T281" s="321">
        <v>43664</v>
      </c>
      <c r="U281" s="321">
        <v>43719</v>
      </c>
      <c r="V281" s="319" t="s">
        <v>425</v>
      </c>
      <c r="W281" s="319" t="s">
        <v>2767</v>
      </c>
      <c r="X281" s="319">
        <v>1</v>
      </c>
      <c r="Y281" s="319" t="s">
        <v>173</v>
      </c>
      <c r="Z281" s="319" t="s">
        <v>173</v>
      </c>
      <c r="AA281" s="319" t="s">
        <v>173</v>
      </c>
      <c r="AB281" s="319">
        <v>1</v>
      </c>
      <c r="AC281" s="319" t="s">
        <v>169</v>
      </c>
      <c r="AD281" s="319" t="s">
        <v>173</v>
      </c>
      <c r="AE281" s="319" t="s">
        <v>173</v>
      </c>
      <c r="AF281" s="319" t="s">
        <v>427</v>
      </c>
      <c r="AG281" s="319" t="s">
        <v>171</v>
      </c>
      <c r="AH281" s="319" t="s">
        <v>190</v>
      </c>
      <c r="AI281" s="319" t="s">
        <v>190</v>
      </c>
      <c r="AJ281" s="319" t="s">
        <v>190</v>
      </c>
      <c r="AK281" s="319" t="s">
        <v>190</v>
      </c>
      <c r="AL281" s="319" t="s">
        <v>190</v>
      </c>
      <c r="AM281" s="319" t="s">
        <v>190</v>
      </c>
      <c r="AN281" s="319" t="s">
        <v>190</v>
      </c>
      <c r="AO281" s="319" t="s">
        <v>190</v>
      </c>
      <c r="AP281" s="319" t="s">
        <v>190</v>
      </c>
      <c r="AQ281" s="319" t="s">
        <v>190</v>
      </c>
      <c r="AR281" s="319" t="s">
        <v>190</v>
      </c>
      <c r="AS281" s="319" t="s">
        <v>190</v>
      </c>
      <c r="AT281" s="319" t="s">
        <v>190</v>
      </c>
      <c r="AU281" s="319" t="s">
        <v>190</v>
      </c>
      <c r="AV281" s="319" t="s">
        <v>190</v>
      </c>
      <c r="AW281" s="319" t="s">
        <v>190</v>
      </c>
      <c r="AX281" s="319" t="s">
        <v>428</v>
      </c>
      <c r="AY281" s="319" t="s">
        <v>190</v>
      </c>
      <c r="AZ281" s="319" t="s">
        <v>190</v>
      </c>
      <c r="BA281" s="319" t="s">
        <v>190</v>
      </c>
      <c r="BB281" s="319" t="s">
        <v>190</v>
      </c>
      <c r="BC281" s="319" t="s">
        <v>190</v>
      </c>
      <c r="BD281" s="319" t="s">
        <v>190</v>
      </c>
      <c r="BE281" s="319" t="s">
        <v>190</v>
      </c>
      <c r="BF281" s="319" t="s">
        <v>428</v>
      </c>
      <c r="BG281" s="319" t="s">
        <v>428</v>
      </c>
      <c r="BH281" s="319" t="s">
        <v>190</v>
      </c>
      <c r="BI281" s="319" t="s">
        <v>190</v>
      </c>
      <c r="BJ281" s="319" t="s">
        <v>190</v>
      </c>
      <c r="BK281" s="319" t="s">
        <v>190</v>
      </c>
      <c r="BL281" s="319" t="s">
        <v>190</v>
      </c>
      <c r="BM281" s="319" t="s">
        <v>190</v>
      </c>
      <c r="BN281" s="319" t="s">
        <v>190</v>
      </c>
      <c r="BO281" s="319" t="s">
        <v>190</v>
      </c>
      <c r="BP281" s="319" t="s">
        <v>190</v>
      </c>
      <c r="BQ281" s="319" t="s">
        <v>190</v>
      </c>
      <c r="BR281" s="319" t="s">
        <v>190</v>
      </c>
      <c r="BS281" s="319" t="s">
        <v>190</v>
      </c>
      <c r="BT281" s="319" t="s">
        <v>190</v>
      </c>
      <c r="BU281" s="319" t="s">
        <v>190</v>
      </c>
      <c r="BV281" s="319" t="s">
        <v>190</v>
      </c>
      <c r="BW281" s="319" t="s">
        <v>190</v>
      </c>
      <c r="BX281" s="319" t="s">
        <v>190</v>
      </c>
      <c r="BY281" s="319" t="s">
        <v>190</v>
      </c>
      <c r="BZ281" s="319" t="s">
        <v>190</v>
      </c>
      <c r="CA281" s="319" t="s">
        <v>190</v>
      </c>
      <c r="CB281" s="319" t="s">
        <v>190</v>
      </c>
      <c r="CC281" s="319" t="s">
        <v>190</v>
      </c>
      <c r="CD281" s="319" t="s">
        <v>190</v>
      </c>
      <c r="CE281" s="319" t="s">
        <v>190</v>
      </c>
      <c r="CF281" s="319" t="s">
        <v>190</v>
      </c>
      <c r="CG281" s="319" t="s">
        <v>190</v>
      </c>
      <c r="CH281" s="319" t="s">
        <v>190</v>
      </c>
      <c r="CI281" s="319" t="s">
        <v>190</v>
      </c>
      <c r="CJ281" s="319" t="s">
        <v>190</v>
      </c>
      <c r="CK281" s="319" t="s">
        <v>190</v>
      </c>
      <c r="CL281" s="319" t="s">
        <v>190</v>
      </c>
      <c r="CM281" s="319" t="s">
        <v>190</v>
      </c>
      <c r="CN281" s="319" t="s">
        <v>190</v>
      </c>
      <c r="CO281" s="319" t="s">
        <v>428</v>
      </c>
      <c r="CP281" s="319" t="s">
        <v>428</v>
      </c>
      <c r="CQ281" s="319" t="s">
        <v>190</v>
      </c>
      <c r="CR281" s="319" t="s">
        <v>190</v>
      </c>
      <c r="CS281" s="319" t="s">
        <v>190</v>
      </c>
      <c r="CT281" s="319" t="s">
        <v>190</v>
      </c>
      <c r="CU281" s="319" t="s">
        <v>190</v>
      </c>
      <c r="CV281" s="319" t="s">
        <v>190</v>
      </c>
      <c r="CW281" s="319" t="s">
        <v>190</v>
      </c>
      <c r="CX281" s="319" t="s">
        <v>190</v>
      </c>
      <c r="CY281" s="319" t="s">
        <v>190</v>
      </c>
      <c r="CZ281" s="319" t="s">
        <v>190</v>
      </c>
      <c r="DA281" s="319" t="s">
        <v>190</v>
      </c>
      <c r="DB281" s="319" t="s">
        <v>190</v>
      </c>
      <c r="DC281" s="319" t="s">
        <v>190</v>
      </c>
      <c r="DD281" s="319" t="s">
        <v>190</v>
      </c>
      <c r="DE281" s="319" t="s">
        <v>190</v>
      </c>
      <c r="DF281" s="319" t="s">
        <v>190</v>
      </c>
      <c r="DG281" s="319" t="s">
        <v>190</v>
      </c>
      <c r="DH281" s="319" t="s">
        <v>190</v>
      </c>
      <c r="DI281" s="319" t="s">
        <v>190</v>
      </c>
      <c r="DJ281" s="319" t="s">
        <v>190</v>
      </c>
      <c r="DK281" s="319" t="s">
        <v>190</v>
      </c>
      <c r="DL281" s="319" t="s">
        <v>190</v>
      </c>
      <c r="DM281" s="319" t="s">
        <v>190</v>
      </c>
      <c r="DN281" s="319" t="s">
        <v>428</v>
      </c>
      <c r="DO281" s="319" t="s">
        <v>190</v>
      </c>
      <c r="DP281" s="319" t="s">
        <v>190</v>
      </c>
      <c r="DQ281" s="319" t="s">
        <v>190</v>
      </c>
      <c r="DR281" s="319" t="s">
        <v>190</v>
      </c>
      <c r="DS281" s="319" t="s">
        <v>190</v>
      </c>
      <c r="DT281" s="319" t="s">
        <v>190</v>
      </c>
      <c r="DU281" s="319" t="s">
        <v>190</v>
      </c>
      <c r="DV281" s="319" t="s">
        <v>173</v>
      </c>
      <c r="DW281" s="319" t="s">
        <v>190</v>
      </c>
      <c r="DX281" s="319" t="s">
        <v>190</v>
      </c>
      <c r="DY281" s="319" t="s">
        <v>190</v>
      </c>
      <c r="DZ281" s="319" t="s">
        <v>190</v>
      </c>
      <c r="EA281" s="319" t="s">
        <v>190</v>
      </c>
      <c r="EB281" s="319" t="s">
        <v>190</v>
      </c>
      <c r="EC281" s="319" t="s">
        <v>428</v>
      </c>
      <c r="ED281" s="319" t="s">
        <v>190</v>
      </c>
      <c r="EE281" s="319" t="s">
        <v>190</v>
      </c>
      <c r="EF281" s="319" t="s">
        <v>190</v>
      </c>
      <c r="EG281" s="319" t="s">
        <v>190</v>
      </c>
      <c r="EH281" s="319" t="s">
        <v>190</v>
      </c>
      <c r="EI281" s="319" t="s">
        <v>190</v>
      </c>
      <c r="EJ281" s="319" t="s">
        <v>190</v>
      </c>
      <c r="EK281" s="319" t="s">
        <v>190</v>
      </c>
      <c r="EL281" s="319" t="s">
        <v>190</v>
      </c>
      <c r="EM281" s="319" t="s">
        <v>190</v>
      </c>
      <c r="EN281" s="319" t="s">
        <v>190</v>
      </c>
      <c r="EO281" s="319" t="s">
        <v>190</v>
      </c>
      <c r="EP281" s="319" t="s">
        <v>190</v>
      </c>
      <c r="EQ281" s="319" t="s">
        <v>190</v>
      </c>
      <c r="ER281" s="319" t="s">
        <v>190</v>
      </c>
      <c r="ES281" s="319" t="s">
        <v>190</v>
      </c>
      <c r="ET281" s="319" t="s">
        <v>190</v>
      </c>
      <c r="EU281" s="319" t="s">
        <v>190</v>
      </c>
      <c r="EV281" s="319" t="s">
        <v>190</v>
      </c>
      <c r="EW281" s="319" t="s">
        <v>190</v>
      </c>
      <c r="EX281" s="319" t="s">
        <v>190</v>
      </c>
      <c r="EY281" s="319" t="s">
        <v>190</v>
      </c>
      <c r="EZ281" s="319" t="s">
        <v>190</v>
      </c>
      <c r="FA281" s="319" t="s">
        <v>190</v>
      </c>
      <c r="FB281" s="319" t="s">
        <v>190</v>
      </c>
      <c r="FC281" s="319" t="s">
        <v>190</v>
      </c>
      <c r="FD281" s="319" t="s">
        <v>190</v>
      </c>
      <c r="FE281" s="319" t="s">
        <v>190</v>
      </c>
      <c r="FF281" s="319" t="s">
        <v>190</v>
      </c>
      <c r="FG281" s="319" t="s">
        <v>190</v>
      </c>
      <c r="FH281" s="319" t="s">
        <v>190</v>
      </c>
      <c r="FI281" s="319" t="s">
        <v>190</v>
      </c>
      <c r="FJ281" s="319" t="s">
        <v>190</v>
      </c>
      <c r="FK281" s="319" t="s">
        <v>190</v>
      </c>
      <c r="FL281" s="319" t="s">
        <v>190</v>
      </c>
      <c r="FM281" s="319" t="s">
        <v>190</v>
      </c>
      <c r="FN281" s="319" t="s">
        <v>428</v>
      </c>
      <c r="FO281" s="319" t="s">
        <v>190</v>
      </c>
      <c r="FP281" s="319" t="s">
        <v>190</v>
      </c>
      <c r="FQ281" s="319" t="s">
        <v>190</v>
      </c>
      <c r="FR281" s="319" t="s">
        <v>190</v>
      </c>
      <c r="FS281" s="319" t="s">
        <v>428</v>
      </c>
      <c r="FT281" s="319" t="s">
        <v>190</v>
      </c>
      <c r="FU281" s="319" t="s">
        <v>190</v>
      </c>
      <c r="FV281" s="319" t="s">
        <v>190</v>
      </c>
      <c r="FW281" s="319" t="s">
        <v>190</v>
      </c>
      <c r="FX281" s="319" t="s">
        <v>190</v>
      </c>
      <c r="FY281" s="319" t="s">
        <v>190</v>
      </c>
      <c r="FZ281" s="319" t="s">
        <v>190</v>
      </c>
      <c r="GA281" s="319" t="s">
        <v>190</v>
      </c>
      <c r="GB281" s="319" t="s">
        <v>190</v>
      </c>
      <c r="GC281" s="319" t="s">
        <v>190</v>
      </c>
      <c r="GD281" s="319" t="s">
        <v>190</v>
      </c>
      <c r="GE281" s="319" t="s">
        <v>190</v>
      </c>
      <c r="GF281" s="319" t="s">
        <v>190</v>
      </c>
      <c r="GG281" s="319" t="s">
        <v>190</v>
      </c>
      <c r="GH281" s="319" t="s">
        <v>190</v>
      </c>
      <c r="GI281" s="319" t="s">
        <v>190</v>
      </c>
      <c r="GJ281" s="319" t="s">
        <v>190</v>
      </c>
      <c r="GK281" s="319" t="s">
        <v>428</v>
      </c>
      <c r="GL281" s="319" t="s">
        <v>428</v>
      </c>
      <c r="GM281" s="319" t="s">
        <v>428</v>
      </c>
      <c r="GN281" s="319" t="s">
        <v>428</v>
      </c>
      <c r="GO281" s="319" t="s">
        <v>428</v>
      </c>
      <c r="GP281" s="319" t="s">
        <v>428</v>
      </c>
      <c r="GQ281" s="319" t="s">
        <v>428</v>
      </c>
      <c r="GR281" s="319" t="s">
        <v>428</v>
      </c>
      <c r="GS281" s="319" t="s">
        <v>428</v>
      </c>
      <c r="GT281" s="319" t="s">
        <v>428</v>
      </c>
      <c r="GU281" s="319" t="s">
        <v>428</v>
      </c>
      <c r="GV281" s="319" t="s">
        <v>428</v>
      </c>
      <c r="GW281" s="319" t="s">
        <v>428</v>
      </c>
      <c r="GX281" s="319" t="s">
        <v>428</v>
      </c>
      <c r="GY281" s="319" t="s">
        <v>428</v>
      </c>
      <c r="GZ281" s="319" t="s">
        <v>428</v>
      </c>
      <c r="HA281" s="319" t="s">
        <v>428</v>
      </c>
      <c r="HB281" s="319" t="s">
        <v>428</v>
      </c>
      <c r="HC281" s="319" t="s">
        <v>428</v>
      </c>
      <c r="HD281" s="319" t="s">
        <v>428</v>
      </c>
      <c r="HE281" s="319" t="s">
        <v>428</v>
      </c>
      <c r="HF281" s="319" t="s">
        <v>428</v>
      </c>
      <c r="HG281" s="319" t="s">
        <v>428</v>
      </c>
      <c r="HH281" s="319" t="s">
        <v>428</v>
      </c>
      <c r="HI281" s="319" t="s">
        <v>428</v>
      </c>
      <c r="HJ281" s="319" t="s">
        <v>428</v>
      </c>
      <c r="HK281" s="319" t="s">
        <v>428</v>
      </c>
      <c r="HL281" s="319" t="s">
        <v>428</v>
      </c>
      <c r="HM281" s="319" t="s">
        <v>428</v>
      </c>
      <c r="HN281" s="319" t="s">
        <v>428</v>
      </c>
      <c r="HO281" s="319" t="s">
        <v>428</v>
      </c>
      <c r="HP281" s="319" t="s">
        <v>190</v>
      </c>
      <c r="HQ281" s="319" t="s">
        <v>190</v>
      </c>
      <c r="HR281" s="319" t="s">
        <v>190</v>
      </c>
      <c r="HS281" s="319" t="s">
        <v>190</v>
      </c>
      <c r="HT281" s="319" t="s">
        <v>190</v>
      </c>
      <c r="HU281" s="319" t="s">
        <v>190</v>
      </c>
      <c r="HV281" s="319" t="s">
        <v>190</v>
      </c>
      <c r="HW281" s="319" t="s">
        <v>190</v>
      </c>
      <c r="HX281" s="319" t="s">
        <v>190</v>
      </c>
      <c r="HY281" s="319" t="s">
        <v>190</v>
      </c>
      <c r="HZ281" s="319" t="s">
        <v>190</v>
      </c>
      <c r="IA281" s="319" t="s">
        <v>190</v>
      </c>
      <c r="IB281" s="319" t="s">
        <v>190</v>
      </c>
      <c r="IC281" s="319" t="s">
        <v>190</v>
      </c>
      <c r="ID281" s="319" t="s">
        <v>190</v>
      </c>
      <c r="IE281" s="319" t="s">
        <v>190</v>
      </c>
      <c r="IF281" s="319" t="s">
        <v>190</v>
      </c>
      <c r="IG281" s="319" t="s">
        <v>190</v>
      </c>
      <c r="IH281" s="319" t="s">
        <v>190</v>
      </c>
      <c r="II281" s="319" t="s">
        <v>190</v>
      </c>
      <c r="IJ281" s="319">
        <v>10006077</v>
      </c>
      <c r="IK281" s="321">
        <v>42661</v>
      </c>
      <c r="IL281" s="321">
        <v>42663</v>
      </c>
      <c r="IM281" s="321">
        <v>42696</v>
      </c>
      <c r="IN281" s="319">
        <v>2</v>
      </c>
      <c r="IO281" s="319" t="s">
        <v>173</v>
      </c>
      <c r="IP281" s="319" t="s">
        <v>173</v>
      </c>
      <c r="IQ281" s="321" t="s">
        <v>173</v>
      </c>
      <c r="IR281" s="320" t="s">
        <v>173</v>
      </c>
      <c r="IS281" s="322" t="s">
        <v>173</v>
      </c>
      <c r="IT281" s="319" t="s">
        <v>173</v>
      </c>
    </row>
    <row r="282" spans="1:254" s="271" customFormat="1" x14ac:dyDescent="0.25">
      <c r="A282" s="318" t="str">
        <f>HYPERLINK("http://www.ofsted.gov.uk/inspection-reports/find-inspection-report/provider/ELS/130913 ","Ofsted School Webpage")</f>
        <v>Ofsted School Webpage</v>
      </c>
      <c r="B282" s="319">
        <v>130913</v>
      </c>
      <c r="C282" s="319">
        <v>3576056</v>
      </c>
      <c r="D282" s="319" t="s">
        <v>835</v>
      </c>
      <c r="E282" s="319" t="s">
        <v>168</v>
      </c>
      <c r="F282" s="319" t="s">
        <v>81</v>
      </c>
      <c r="G282" s="319" t="s">
        <v>81</v>
      </c>
      <c r="H282" s="319" t="s">
        <v>81</v>
      </c>
      <c r="I282" s="319" t="s">
        <v>78</v>
      </c>
      <c r="J282" s="319" t="s">
        <v>424</v>
      </c>
      <c r="K282" s="319" t="s">
        <v>431</v>
      </c>
      <c r="L282" s="319" t="s">
        <v>431</v>
      </c>
      <c r="M282" s="319" t="s">
        <v>742</v>
      </c>
      <c r="N282" s="319" t="s">
        <v>3076</v>
      </c>
      <c r="O282" s="319" t="s">
        <v>836</v>
      </c>
      <c r="P282" s="319">
        <v>4</v>
      </c>
      <c r="Q282" s="319" t="s">
        <v>429</v>
      </c>
      <c r="R282" s="320">
        <v>10067887</v>
      </c>
      <c r="S282" s="321">
        <v>43480</v>
      </c>
      <c r="T282" s="321">
        <v>43482</v>
      </c>
      <c r="U282" s="321">
        <v>43502</v>
      </c>
      <c r="V282" s="319" t="s">
        <v>425</v>
      </c>
      <c r="W282" s="319" t="s">
        <v>2767</v>
      </c>
      <c r="X282" s="319">
        <v>2</v>
      </c>
      <c r="Y282" s="319" t="s">
        <v>173</v>
      </c>
      <c r="Z282" s="319" t="s">
        <v>173</v>
      </c>
      <c r="AA282" s="319" t="s">
        <v>173</v>
      </c>
      <c r="AB282" s="319">
        <v>2</v>
      </c>
      <c r="AC282" s="319" t="s">
        <v>169</v>
      </c>
      <c r="AD282" s="319" t="s">
        <v>173</v>
      </c>
      <c r="AE282" s="319" t="s">
        <v>173</v>
      </c>
      <c r="AF282" s="319" t="s">
        <v>427</v>
      </c>
      <c r="AG282" s="319" t="s">
        <v>171</v>
      </c>
      <c r="AH282" s="319" t="s">
        <v>190</v>
      </c>
      <c r="AI282" s="319" t="s">
        <v>190</v>
      </c>
      <c r="AJ282" s="319" t="s">
        <v>190</v>
      </c>
      <c r="AK282" s="319" t="s">
        <v>190</v>
      </c>
      <c r="AL282" s="319" t="s">
        <v>190</v>
      </c>
      <c r="AM282" s="319" t="s">
        <v>190</v>
      </c>
      <c r="AN282" s="319" t="s">
        <v>190</v>
      </c>
      <c r="AO282" s="319" t="s">
        <v>190</v>
      </c>
      <c r="AP282" s="319" t="s">
        <v>190</v>
      </c>
      <c r="AQ282" s="319" t="s">
        <v>190</v>
      </c>
      <c r="AR282" s="319" t="s">
        <v>190</v>
      </c>
      <c r="AS282" s="319" t="s">
        <v>190</v>
      </c>
      <c r="AT282" s="319" t="s">
        <v>190</v>
      </c>
      <c r="AU282" s="319" t="s">
        <v>190</v>
      </c>
      <c r="AV282" s="319" t="s">
        <v>190</v>
      </c>
      <c r="AW282" s="319" t="s">
        <v>190</v>
      </c>
      <c r="AX282" s="319" t="s">
        <v>428</v>
      </c>
      <c r="AY282" s="319" t="s">
        <v>190</v>
      </c>
      <c r="AZ282" s="319" t="s">
        <v>190</v>
      </c>
      <c r="BA282" s="319" t="s">
        <v>190</v>
      </c>
      <c r="BB282" s="319" t="s">
        <v>190</v>
      </c>
      <c r="BC282" s="319" t="s">
        <v>190</v>
      </c>
      <c r="BD282" s="319" t="s">
        <v>190</v>
      </c>
      <c r="BE282" s="319" t="s">
        <v>190</v>
      </c>
      <c r="BF282" s="319" t="s">
        <v>428</v>
      </c>
      <c r="BG282" s="319" t="s">
        <v>428</v>
      </c>
      <c r="BH282" s="319" t="s">
        <v>190</v>
      </c>
      <c r="BI282" s="319" t="s">
        <v>190</v>
      </c>
      <c r="BJ282" s="319" t="s">
        <v>190</v>
      </c>
      <c r="BK282" s="319" t="s">
        <v>190</v>
      </c>
      <c r="BL282" s="319" t="s">
        <v>190</v>
      </c>
      <c r="BM282" s="319" t="s">
        <v>190</v>
      </c>
      <c r="BN282" s="319" t="s">
        <v>190</v>
      </c>
      <c r="BO282" s="319" t="s">
        <v>190</v>
      </c>
      <c r="BP282" s="319" t="s">
        <v>190</v>
      </c>
      <c r="BQ282" s="319" t="s">
        <v>190</v>
      </c>
      <c r="BR282" s="319" t="s">
        <v>190</v>
      </c>
      <c r="BS282" s="319" t="s">
        <v>190</v>
      </c>
      <c r="BT282" s="319" t="s">
        <v>190</v>
      </c>
      <c r="BU282" s="319" t="s">
        <v>190</v>
      </c>
      <c r="BV282" s="319" t="s">
        <v>190</v>
      </c>
      <c r="BW282" s="319" t="s">
        <v>190</v>
      </c>
      <c r="BX282" s="319" t="s">
        <v>190</v>
      </c>
      <c r="BY282" s="319" t="s">
        <v>190</v>
      </c>
      <c r="BZ282" s="319" t="s">
        <v>190</v>
      </c>
      <c r="CA282" s="319" t="s">
        <v>190</v>
      </c>
      <c r="CB282" s="319" t="s">
        <v>190</v>
      </c>
      <c r="CC282" s="319" t="s">
        <v>190</v>
      </c>
      <c r="CD282" s="319" t="s">
        <v>190</v>
      </c>
      <c r="CE282" s="319" t="s">
        <v>190</v>
      </c>
      <c r="CF282" s="319" t="s">
        <v>190</v>
      </c>
      <c r="CG282" s="319" t="s">
        <v>190</v>
      </c>
      <c r="CH282" s="319" t="s">
        <v>190</v>
      </c>
      <c r="CI282" s="319" t="s">
        <v>190</v>
      </c>
      <c r="CJ282" s="319" t="s">
        <v>190</v>
      </c>
      <c r="CK282" s="319" t="s">
        <v>190</v>
      </c>
      <c r="CL282" s="319" t="s">
        <v>190</v>
      </c>
      <c r="CM282" s="319" t="s">
        <v>190</v>
      </c>
      <c r="CN282" s="319" t="s">
        <v>190</v>
      </c>
      <c r="CO282" s="319" t="s">
        <v>428</v>
      </c>
      <c r="CP282" s="319" t="s">
        <v>428</v>
      </c>
      <c r="CQ282" s="319" t="s">
        <v>190</v>
      </c>
      <c r="CR282" s="319" t="s">
        <v>190</v>
      </c>
      <c r="CS282" s="319" t="s">
        <v>190</v>
      </c>
      <c r="CT282" s="319" t="s">
        <v>190</v>
      </c>
      <c r="CU282" s="319" t="s">
        <v>190</v>
      </c>
      <c r="CV282" s="319" t="s">
        <v>190</v>
      </c>
      <c r="CW282" s="319" t="s">
        <v>190</v>
      </c>
      <c r="CX282" s="319" t="s">
        <v>190</v>
      </c>
      <c r="CY282" s="319" t="s">
        <v>190</v>
      </c>
      <c r="CZ282" s="319" t="s">
        <v>190</v>
      </c>
      <c r="DA282" s="319" t="s">
        <v>190</v>
      </c>
      <c r="DB282" s="319" t="s">
        <v>190</v>
      </c>
      <c r="DC282" s="319" t="s">
        <v>190</v>
      </c>
      <c r="DD282" s="319" t="s">
        <v>190</v>
      </c>
      <c r="DE282" s="319" t="s">
        <v>190</v>
      </c>
      <c r="DF282" s="319" t="s">
        <v>190</v>
      </c>
      <c r="DG282" s="319" t="s">
        <v>190</v>
      </c>
      <c r="DH282" s="319" t="s">
        <v>190</v>
      </c>
      <c r="DI282" s="319" t="s">
        <v>190</v>
      </c>
      <c r="DJ282" s="319" t="s">
        <v>190</v>
      </c>
      <c r="DK282" s="319" t="s">
        <v>190</v>
      </c>
      <c r="DL282" s="319" t="s">
        <v>190</v>
      </c>
      <c r="DM282" s="319" t="s">
        <v>190</v>
      </c>
      <c r="DN282" s="319" t="s">
        <v>190</v>
      </c>
      <c r="DO282" s="319" t="s">
        <v>190</v>
      </c>
      <c r="DP282" s="319" t="s">
        <v>190</v>
      </c>
      <c r="DQ282" s="319" t="s">
        <v>190</v>
      </c>
      <c r="DR282" s="319" t="s">
        <v>190</v>
      </c>
      <c r="DS282" s="319" t="s">
        <v>190</v>
      </c>
      <c r="DT282" s="319" t="s">
        <v>190</v>
      </c>
      <c r="DU282" s="319" t="s">
        <v>190</v>
      </c>
      <c r="DV282" s="319" t="s">
        <v>173</v>
      </c>
      <c r="DW282" s="319" t="s">
        <v>190</v>
      </c>
      <c r="DX282" s="319" t="s">
        <v>190</v>
      </c>
      <c r="DY282" s="319" t="s">
        <v>190</v>
      </c>
      <c r="DZ282" s="319" t="s">
        <v>190</v>
      </c>
      <c r="EA282" s="319" t="s">
        <v>190</v>
      </c>
      <c r="EB282" s="319" t="s">
        <v>190</v>
      </c>
      <c r="EC282" s="319" t="s">
        <v>190</v>
      </c>
      <c r="ED282" s="319" t="s">
        <v>190</v>
      </c>
      <c r="EE282" s="319" t="s">
        <v>190</v>
      </c>
      <c r="EF282" s="319" t="s">
        <v>190</v>
      </c>
      <c r="EG282" s="319" t="s">
        <v>190</v>
      </c>
      <c r="EH282" s="319" t="s">
        <v>190</v>
      </c>
      <c r="EI282" s="319" t="s">
        <v>190</v>
      </c>
      <c r="EJ282" s="319" t="s">
        <v>190</v>
      </c>
      <c r="EK282" s="319" t="s">
        <v>190</v>
      </c>
      <c r="EL282" s="319" t="s">
        <v>190</v>
      </c>
      <c r="EM282" s="319" t="s">
        <v>190</v>
      </c>
      <c r="EN282" s="319" t="s">
        <v>190</v>
      </c>
      <c r="EO282" s="319" t="s">
        <v>190</v>
      </c>
      <c r="EP282" s="319" t="s">
        <v>190</v>
      </c>
      <c r="EQ282" s="319" t="s">
        <v>190</v>
      </c>
      <c r="ER282" s="319" t="s">
        <v>190</v>
      </c>
      <c r="ES282" s="319" t="s">
        <v>190</v>
      </c>
      <c r="ET282" s="319" t="s">
        <v>190</v>
      </c>
      <c r="EU282" s="319" t="s">
        <v>190</v>
      </c>
      <c r="EV282" s="319" t="s">
        <v>190</v>
      </c>
      <c r="EW282" s="319" t="s">
        <v>190</v>
      </c>
      <c r="EX282" s="319" t="s">
        <v>190</v>
      </c>
      <c r="EY282" s="319" t="s">
        <v>190</v>
      </c>
      <c r="EZ282" s="319" t="s">
        <v>190</v>
      </c>
      <c r="FA282" s="319" t="s">
        <v>190</v>
      </c>
      <c r="FB282" s="319" t="s">
        <v>190</v>
      </c>
      <c r="FC282" s="319" t="s">
        <v>190</v>
      </c>
      <c r="FD282" s="319" t="s">
        <v>190</v>
      </c>
      <c r="FE282" s="319" t="s">
        <v>190</v>
      </c>
      <c r="FF282" s="319" t="s">
        <v>190</v>
      </c>
      <c r="FG282" s="319" t="s">
        <v>190</v>
      </c>
      <c r="FH282" s="319" t="s">
        <v>190</v>
      </c>
      <c r="FI282" s="319" t="s">
        <v>190</v>
      </c>
      <c r="FJ282" s="319" t="s">
        <v>190</v>
      </c>
      <c r="FK282" s="319" t="s">
        <v>190</v>
      </c>
      <c r="FL282" s="319" t="s">
        <v>190</v>
      </c>
      <c r="FM282" s="319" t="s">
        <v>190</v>
      </c>
      <c r="FN282" s="319" t="s">
        <v>428</v>
      </c>
      <c r="FO282" s="319" t="s">
        <v>190</v>
      </c>
      <c r="FP282" s="319" t="s">
        <v>190</v>
      </c>
      <c r="FQ282" s="319" t="s">
        <v>190</v>
      </c>
      <c r="FR282" s="319" t="s">
        <v>190</v>
      </c>
      <c r="FS282" s="319" t="s">
        <v>428</v>
      </c>
      <c r="FT282" s="319" t="s">
        <v>190</v>
      </c>
      <c r="FU282" s="319" t="s">
        <v>190</v>
      </c>
      <c r="FV282" s="319" t="s">
        <v>190</v>
      </c>
      <c r="FW282" s="319" t="s">
        <v>190</v>
      </c>
      <c r="FX282" s="319" t="s">
        <v>190</v>
      </c>
      <c r="FY282" s="319" t="s">
        <v>190</v>
      </c>
      <c r="FZ282" s="319" t="s">
        <v>190</v>
      </c>
      <c r="GA282" s="319" t="s">
        <v>190</v>
      </c>
      <c r="GB282" s="319" t="s">
        <v>190</v>
      </c>
      <c r="GC282" s="319" t="s">
        <v>190</v>
      </c>
      <c r="GD282" s="319" t="s">
        <v>190</v>
      </c>
      <c r="GE282" s="319" t="s">
        <v>190</v>
      </c>
      <c r="GF282" s="319" t="s">
        <v>190</v>
      </c>
      <c r="GG282" s="319" t="s">
        <v>190</v>
      </c>
      <c r="GH282" s="319" t="s">
        <v>190</v>
      </c>
      <c r="GI282" s="319" t="s">
        <v>190</v>
      </c>
      <c r="GJ282" s="319" t="s">
        <v>190</v>
      </c>
      <c r="GK282" s="319" t="s">
        <v>428</v>
      </c>
      <c r="GL282" s="319" t="s">
        <v>190</v>
      </c>
      <c r="GM282" s="319" t="s">
        <v>190</v>
      </c>
      <c r="GN282" s="319" t="s">
        <v>190</v>
      </c>
      <c r="GO282" s="319" t="s">
        <v>428</v>
      </c>
      <c r="GP282" s="319" t="s">
        <v>428</v>
      </c>
      <c r="GQ282" s="319" t="s">
        <v>428</v>
      </c>
      <c r="GR282" s="319" t="s">
        <v>190</v>
      </c>
      <c r="GS282" s="319" t="s">
        <v>190</v>
      </c>
      <c r="GT282" s="319" t="s">
        <v>190</v>
      </c>
      <c r="GU282" s="319" t="s">
        <v>190</v>
      </c>
      <c r="GV282" s="319" t="s">
        <v>190</v>
      </c>
      <c r="GW282" s="319" t="s">
        <v>190</v>
      </c>
      <c r="GX282" s="319" t="s">
        <v>190</v>
      </c>
      <c r="GY282" s="319" t="s">
        <v>190</v>
      </c>
      <c r="GZ282" s="319" t="s">
        <v>190</v>
      </c>
      <c r="HA282" s="319" t="s">
        <v>190</v>
      </c>
      <c r="HB282" s="319" t="s">
        <v>190</v>
      </c>
      <c r="HC282" s="319" t="s">
        <v>190</v>
      </c>
      <c r="HD282" s="319" t="s">
        <v>190</v>
      </c>
      <c r="HE282" s="319" t="s">
        <v>190</v>
      </c>
      <c r="HF282" s="319" t="s">
        <v>190</v>
      </c>
      <c r="HG282" s="319" t="s">
        <v>190</v>
      </c>
      <c r="HH282" s="319" t="s">
        <v>190</v>
      </c>
      <c r="HI282" s="319" t="s">
        <v>190</v>
      </c>
      <c r="HJ282" s="319" t="s">
        <v>190</v>
      </c>
      <c r="HK282" s="319" t="s">
        <v>190</v>
      </c>
      <c r="HL282" s="319" t="s">
        <v>190</v>
      </c>
      <c r="HM282" s="319" t="s">
        <v>190</v>
      </c>
      <c r="HN282" s="319" t="s">
        <v>190</v>
      </c>
      <c r="HO282" s="319" t="s">
        <v>190</v>
      </c>
      <c r="HP282" s="319" t="s">
        <v>190</v>
      </c>
      <c r="HQ282" s="319" t="s">
        <v>190</v>
      </c>
      <c r="HR282" s="319" t="s">
        <v>190</v>
      </c>
      <c r="HS282" s="319" t="s">
        <v>190</v>
      </c>
      <c r="HT282" s="319" t="s">
        <v>190</v>
      </c>
      <c r="HU282" s="319" t="s">
        <v>190</v>
      </c>
      <c r="HV282" s="319" t="s">
        <v>190</v>
      </c>
      <c r="HW282" s="319" t="s">
        <v>190</v>
      </c>
      <c r="HX282" s="319" t="s">
        <v>190</v>
      </c>
      <c r="HY282" s="319" t="s">
        <v>190</v>
      </c>
      <c r="HZ282" s="319" t="s">
        <v>190</v>
      </c>
      <c r="IA282" s="319" t="s">
        <v>190</v>
      </c>
      <c r="IB282" s="319" t="s">
        <v>190</v>
      </c>
      <c r="IC282" s="319" t="s">
        <v>190</v>
      </c>
      <c r="ID282" s="319" t="s">
        <v>190</v>
      </c>
      <c r="IE282" s="319" t="s">
        <v>190</v>
      </c>
      <c r="IF282" s="319" t="s">
        <v>190</v>
      </c>
      <c r="IG282" s="319" t="s">
        <v>190</v>
      </c>
      <c r="IH282" s="319" t="s">
        <v>190</v>
      </c>
      <c r="II282" s="319" t="s">
        <v>190</v>
      </c>
      <c r="IJ282" s="319">
        <v>10008892</v>
      </c>
      <c r="IK282" s="321">
        <v>42661</v>
      </c>
      <c r="IL282" s="321">
        <v>42662</v>
      </c>
      <c r="IM282" s="321">
        <v>42702</v>
      </c>
      <c r="IN282" s="319">
        <v>2</v>
      </c>
      <c r="IO282" s="319" t="s">
        <v>173</v>
      </c>
      <c r="IP282" s="319" t="s">
        <v>173</v>
      </c>
      <c r="IQ282" s="321" t="s">
        <v>173</v>
      </c>
      <c r="IR282" s="320" t="s">
        <v>173</v>
      </c>
      <c r="IS282" s="322" t="s">
        <v>173</v>
      </c>
      <c r="IT282" s="319" t="s">
        <v>173</v>
      </c>
    </row>
    <row r="283" spans="1:254" s="271" customFormat="1" x14ac:dyDescent="0.25">
      <c r="A283" s="318" t="str">
        <f>HYPERLINK("http://www.ofsted.gov.uk/inspection-reports/find-inspection-report/provider/ELS/130979 ","Ofsted School Webpage")</f>
        <v>Ofsted School Webpage</v>
      </c>
      <c r="B283" s="319">
        <v>130979</v>
      </c>
      <c r="C283" s="319">
        <v>8866110</v>
      </c>
      <c r="D283" s="319" t="s">
        <v>1594</v>
      </c>
      <c r="E283" s="319" t="s">
        <v>168</v>
      </c>
      <c r="F283" s="319" t="s">
        <v>81</v>
      </c>
      <c r="G283" s="319" t="s">
        <v>81</v>
      </c>
      <c r="H283" s="319" t="s">
        <v>81</v>
      </c>
      <c r="I283" s="319" t="s">
        <v>78</v>
      </c>
      <c r="J283" s="319" t="s">
        <v>424</v>
      </c>
      <c r="K283" s="319" t="s">
        <v>514</v>
      </c>
      <c r="L283" s="319" t="s">
        <v>514</v>
      </c>
      <c r="M283" s="319" t="s">
        <v>614</v>
      </c>
      <c r="N283" s="319" t="s">
        <v>3077</v>
      </c>
      <c r="O283" s="319" t="s">
        <v>1595</v>
      </c>
      <c r="P283" s="319">
        <v>16</v>
      </c>
      <c r="Q283" s="319" t="s">
        <v>2776</v>
      </c>
      <c r="R283" s="320">
        <v>10006114</v>
      </c>
      <c r="S283" s="321">
        <v>42654</v>
      </c>
      <c r="T283" s="321">
        <v>42656</v>
      </c>
      <c r="U283" s="321">
        <v>42689</v>
      </c>
      <c r="V283" s="319" t="s">
        <v>425</v>
      </c>
      <c r="W283" s="319" t="s">
        <v>2767</v>
      </c>
      <c r="X283" s="319">
        <v>2</v>
      </c>
      <c r="Y283" s="319" t="s">
        <v>173</v>
      </c>
      <c r="Z283" s="319" t="s">
        <v>173</v>
      </c>
      <c r="AA283" s="319" t="s">
        <v>173</v>
      </c>
      <c r="AB283" s="319">
        <v>2</v>
      </c>
      <c r="AC283" s="319" t="s">
        <v>169</v>
      </c>
      <c r="AD283" s="319" t="s">
        <v>173</v>
      </c>
      <c r="AE283" s="319" t="s">
        <v>173</v>
      </c>
      <c r="AF283" s="319" t="s">
        <v>173</v>
      </c>
      <c r="AG283" s="319" t="s">
        <v>171</v>
      </c>
      <c r="AH283" s="319" t="s">
        <v>190</v>
      </c>
      <c r="AI283" s="319" t="s">
        <v>190</v>
      </c>
      <c r="AJ283" s="319" t="s">
        <v>190</v>
      </c>
      <c r="AK283" s="319" t="s">
        <v>190</v>
      </c>
      <c r="AL283" s="319" t="s">
        <v>190</v>
      </c>
      <c r="AM283" s="319" t="s">
        <v>190</v>
      </c>
      <c r="AN283" s="319" t="s">
        <v>190</v>
      </c>
      <c r="AO283" s="319" t="s">
        <v>190</v>
      </c>
      <c r="AP283" s="319" t="s">
        <v>190</v>
      </c>
      <c r="AQ283" s="319" t="s">
        <v>190</v>
      </c>
      <c r="AR283" s="319" t="s">
        <v>190</v>
      </c>
      <c r="AS283" s="319" t="s">
        <v>190</v>
      </c>
      <c r="AT283" s="319" t="s">
        <v>190</v>
      </c>
      <c r="AU283" s="319" t="s">
        <v>190</v>
      </c>
      <c r="AV283" s="319" t="s">
        <v>190</v>
      </c>
      <c r="AW283" s="319" t="s">
        <v>190</v>
      </c>
      <c r="AX283" s="319" t="s">
        <v>429</v>
      </c>
      <c r="AY283" s="319" t="s">
        <v>190</v>
      </c>
      <c r="AZ283" s="319" t="s">
        <v>190</v>
      </c>
      <c r="BA283" s="319" t="s">
        <v>190</v>
      </c>
      <c r="BB283" s="319" t="s">
        <v>190</v>
      </c>
      <c r="BC283" s="319" t="s">
        <v>190</v>
      </c>
      <c r="BD283" s="319" t="s">
        <v>190</v>
      </c>
      <c r="BE283" s="319" t="s">
        <v>190</v>
      </c>
      <c r="BF283" s="319" t="s">
        <v>429</v>
      </c>
      <c r="BG283" s="319" t="s">
        <v>190</v>
      </c>
      <c r="BH283" s="319" t="s">
        <v>190</v>
      </c>
      <c r="BI283" s="319" t="s">
        <v>190</v>
      </c>
      <c r="BJ283" s="319" t="s">
        <v>190</v>
      </c>
      <c r="BK283" s="319" t="s">
        <v>190</v>
      </c>
      <c r="BL283" s="319" t="s">
        <v>190</v>
      </c>
      <c r="BM283" s="319" t="s">
        <v>190</v>
      </c>
      <c r="BN283" s="319" t="s">
        <v>190</v>
      </c>
      <c r="BO283" s="319" t="s">
        <v>190</v>
      </c>
      <c r="BP283" s="319" t="s">
        <v>190</v>
      </c>
      <c r="BQ283" s="319" t="s">
        <v>190</v>
      </c>
      <c r="BR283" s="319" t="s">
        <v>190</v>
      </c>
      <c r="BS283" s="319" t="s">
        <v>190</v>
      </c>
      <c r="BT283" s="319" t="s">
        <v>190</v>
      </c>
      <c r="BU283" s="319" t="s">
        <v>190</v>
      </c>
      <c r="BV283" s="319" t="s">
        <v>190</v>
      </c>
      <c r="BW283" s="319" t="s">
        <v>190</v>
      </c>
      <c r="BX283" s="319" t="s">
        <v>190</v>
      </c>
      <c r="BY283" s="319" t="s">
        <v>190</v>
      </c>
      <c r="BZ283" s="319" t="s">
        <v>190</v>
      </c>
      <c r="CA283" s="319" t="s">
        <v>190</v>
      </c>
      <c r="CB283" s="319" t="s">
        <v>190</v>
      </c>
      <c r="CC283" s="319" t="s">
        <v>190</v>
      </c>
      <c r="CD283" s="319" t="s">
        <v>190</v>
      </c>
      <c r="CE283" s="319" t="s">
        <v>190</v>
      </c>
      <c r="CF283" s="319" t="s">
        <v>190</v>
      </c>
      <c r="CG283" s="319" t="s">
        <v>190</v>
      </c>
      <c r="CH283" s="319" t="s">
        <v>190</v>
      </c>
      <c r="CI283" s="319" t="s">
        <v>190</v>
      </c>
      <c r="CJ283" s="319" t="s">
        <v>190</v>
      </c>
      <c r="CK283" s="319" t="s">
        <v>190</v>
      </c>
      <c r="CL283" s="319" t="s">
        <v>190</v>
      </c>
      <c r="CM283" s="319" t="s">
        <v>190</v>
      </c>
      <c r="CN283" s="319" t="s">
        <v>429</v>
      </c>
      <c r="CO283" s="319" t="s">
        <v>429</v>
      </c>
      <c r="CP283" s="319" t="s">
        <v>429</v>
      </c>
      <c r="CQ283" s="319" t="s">
        <v>190</v>
      </c>
      <c r="CR283" s="319" t="s">
        <v>190</v>
      </c>
      <c r="CS283" s="319" t="s">
        <v>190</v>
      </c>
      <c r="CT283" s="319" t="s">
        <v>190</v>
      </c>
      <c r="CU283" s="319" t="s">
        <v>190</v>
      </c>
      <c r="CV283" s="319" t="s">
        <v>190</v>
      </c>
      <c r="CW283" s="319" t="s">
        <v>190</v>
      </c>
      <c r="CX283" s="319" t="s">
        <v>190</v>
      </c>
      <c r="CY283" s="319" t="s">
        <v>190</v>
      </c>
      <c r="CZ283" s="319" t="s">
        <v>190</v>
      </c>
      <c r="DA283" s="319" t="s">
        <v>190</v>
      </c>
      <c r="DB283" s="319" t="s">
        <v>190</v>
      </c>
      <c r="DC283" s="319" t="s">
        <v>190</v>
      </c>
      <c r="DD283" s="319" t="s">
        <v>190</v>
      </c>
      <c r="DE283" s="319" t="s">
        <v>190</v>
      </c>
      <c r="DF283" s="319" t="s">
        <v>190</v>
      </c>
      <c r="DG283" s="319" t="s">
        <v>190</v>
      </c>
      <c r="DH283" s="319" t="s">
        <v>190</v>
      </c>
      <c r="DI283" s="319" t="s">
        <v>190</v>
      </c>
      <c r="DJ283" s="319" t="s">
        <v>190</v>
      </c>
      <c r="DK283" s="319" t="s">
        <v>190</v>
      </c>
      <c r="DL283" s="319" t="s">
        <v>190</v>
      </c>
      <c r="DM283" s="319" t="s">
        <v>190</v>
      </c>
      <c r="DN283" s="319" t="s">
        <v>429</v>
      </c>
      <c r="DO283" s="319" t="s">
        <v>190</v>
      </c>
      <c r="DP283" s="319" t="s">
        <v>429</v>
      </c>
      <c r="DQ283" s="319" t="s">
        <v>429</v>
      </c>
      <c r="DR283" s="319" t="s">
        <v>429</v>
      </c>
      <c r="DS283" s="319" t="s">
        <v>429</v>
      </c>
      <c r="DT283" s="319" t="s">
        <v>429</v>
      </c>
      <c r="DU283" s="319" t="s">
        <v>429</v>
      </c>
      <c r="DV283" s="319" t="s">
        <v>173</v>
      </c>
      <c r="DW283" s="319" t="s">
        <v>429</v>
      </c>
      <c r="DX283" s="319" t="s">
        <v>429</v>
      </c>
      <c r="DY283" s="319" t="s">
        <v>429</v>
      </c>
      <c r="DZ283" s="319" t="s">
        <v>429</v>
      </c>
      <c r="EA283" s="319" t="s">
        <v>429</v>
      </c>
      <c r="EB283" s="319" t="s">
        <v>429</v>
      </c>
      <c r="EC283" s="319" t="s">
        <v>429</v>
      </c>
      <c r="ED283" s="319" t="s">
        <v>429</v>
      </c>
      <c r="EE283" s="319" t="s">
        <v>190</v>
      </c>
      <c r="EF283" s="319" t="s">
        <v>190</v>
      </c>
      <c r="EG283" s="319" t="s">
        <v>190</v>
      </c>
      <c r="EH283" s="319" t="s">
        <v>190</v>
      </c>
      <c r="EI283" s="319" t="s">
        <v>190</v>
      </c>
      <c r="EJ283" s="319" t="s">
        <v>190</v>
      </c>
      <c r="EK283" s="319" t="s">
        <v>190</v>
      </c>
      <c r="EL283" s="319" t="s">
        <v>429</v>
      </c>
      <c r="EM283" s="319" t="s">
        <v>190</v>
      </c>
      <c r="EN283" s="319" t="s">
        <v>190</v>
      </c>
      <c r="EO283" s="319" t="s">
        <v>190</v>
      </c>
      <c r="EP283" s="319" t="s">
        <v>190</v>
      </c>
      <c r="EQ283" s="319" t="s">
        <v>190</v>
      </c>
      <c r="ER283" s="319" t="s">
        <v>190</v>
      </c>
      <c r="ES283" s="319" t="s">
        <v>190</v>
      </c>
      <c r="ET283" s="319" t="s">
        <v>190</v>
      </c>
      <c r="EU283" s="319" t="s">
        <v>190</v>
      </c>
      <c r="EV283" s="319" t="s">
        <v>190</v>
      </c>
      <c r="EW283" s="319" t="s">
        <v>190</v>
      </c>
      <c r="EX283" s="319" t="s">
        <v>190</v>
      </c>
      <c r="EY283" s="319" t="s">
        <v>190</v>
      </c>
      <c r="EZ283" s="319" t="s">
        <v>190</v>
      </c>
      <c r="FA283" s="319" t="s">
        <v>190</v>
      </c>
      <c r="FB283" s="319" t="s">
        <v>429</v>
      </c>
      <c r="FC283" s="319" t="s">
        <v>429</v>
      </c>
      <c r="FD283" s="319" t="s">
        <v>429</v>
      </c>
      <c r="FE283" s="319" t="s">
        <v>429</v>
      </c>
      <c r="FF283" s="319" t="s">
        <v>429</v>
      </c>
      <c r="FG283" s="319" t="s">
        <v>429</v>
      </c>
      <c r="FH283" s="319" t="s">
        <v>190</v>
      </c>
      <c r="FI283" s="319" t="s">
        <v>429</v>
      </c>
      <c r="FJ283" s="319" t="s">
        <v>190</v>
      </c>
      <c r="FK283" s="319" t="s">
        <v>190</v>
      </c>
      <c r="FL283" s="319" t="s">
        <v>190</v>
      </c>
      <c r="FM283" s="319" t="s">
        <v>190</v>
      </c>
      <c r="FN283" s="319" t="s">
        <v>190</v>
      </c>
      <c r="FO283" s="319" t="s">
        <v>190</v>
      </c>
      <c r="FP283" s="319" t="s">
        <v>190</v>
      </c>
      <c r="FQ283" s="319" t="s">
        <v>190</v>
      </c>
      <c r="FR283" s="319" t="s">
        <v>190</v>
      </c>
      <c r="FS283" s="319" t="s">
        <v>190</v>
      </c>
      <c r="FT283" s="319" t="s">
        <v>190</v>
      </c>
      <c r="FU283" s="319" t="s">
        <v>190</v>
      </c>
      <c r="FV283" s="319" t="s">
        <v>190</v>
      </c>
      <c r="FW283" s="319" t="s">
        <v>190</v>
      </c>
      <c r="FX283" s="319" t="s">
        <v>190</v>
      </c>
      <c r="FY283" s="319" t="s">
        <v>190</v>
      </c>
      <c r="FZ283" s="319" t="s">
        <v>190</v>
      </c>
      <c r="GA283" s="319" t="s">
        <v>190</v>
      </c>
      <c r="GB283" s="319" t="s">
        <v>190</v>
      </c>
      <c r="GC283" s="319" t="s">
        <v>190</v>
      </c>
      <c r="GD283" s="319" t="s">
        <v>190</v>
      </c>
      <c r="GE283" s="319" t="s">
        <v>190</v>
      </c>
      <c r="GF283" s="319" t="s">
        <v>190</v>
      </c>
      <c r="GG283" s="319" t="s">
        <v>190</v>
      </c>
      <c r="GH283" s="319" t="s">
        <v>190</v>
      </c>
      <c r="GI283" s="319" t="s">
        <v>190</v>
      </c>
      <c r="GJ283" s="319" t="s">
        <v>190</v>
      </c>
      <c r="GK283" s="319" t="s">
        <v>429</v>
      </c>
      <c r="GL283" s="319" t="s">
        <v>190</v>
      </c>
      <c r="GM283" s="319" t="s">
        <v>190</v>
      </c>
      <c r="GN283" s="319" t="s">
        <v>190</v>
      </c>
      <c r="GO283" s="319" t="s">
        <v>190</v>
      </c>
      <c r="GP283" s="319" t="s">
        <v>190</v>
      </c>
      <c r="GQ283" s="319" t="s">
        <v>190</v>
      </c>
      <c r="GR283" s="319" t="s">
        <v>190</v>
      </c>
      <c r="GS283" s="319" t="s">
        <v>190</v>
      </c>
      <c r="GT283" s="319" t="s">
        <v>190</v>
      </c>
      <c r="GU283" s="319" t="s">
        <v>190</v>
      </c>
      <c r="GV283" s="319" t="s">
        <v>190</v>
      </c>
      <c r="GW283" s="319" t="s">
        <v>190</v>
      </c>
      <c r="GX283" s="319" t="s">
        <v>190</v>
      </c>
      <c r="GY283" s="319" t="s">
        <v>190</v>
      </c>
      <c r="GZ283" s="319" t="s">
        <v>190</v>
      </c>
      <c r="HA283" s="319" t="s">
        <v>190</v>
      </c>
      <c r="HB283" s="319" t="s">
        <v>190</v>
      </c>
      <c r="HC283" s="319" t="s">
        <v>190</v>
      </c>
      <c r="HD283" s="319" t="s">
        <v>190</v>
      </c>
      <c r="HE283" s="319" t="s">
        <v>190</v>
      </c>
      <c r="HF283" s="319" t="s">
        <v>190</v>
      </c>
      <c r="HG283" s="319" t="s">
        <v>190</v>
      </c>
      <c r="HH283" s="319" t="s">
        <v>190</v>
      </c>
      <c r="HI283" s="319" t="s">
        <v>190</v>
      </c>
      <c r="HJ283" s="319" t="s">
        <v>190</v>
      </c>
      <c r="HK283" s="319" t="s">
        <v>190</v>
      </c>
      <c r="HL283" s="319" t="s">
        <v>190</v>
      </c>
      <c r="HM283" s="319" t="s">
        <v>190</v>
      </c>
      <c r="HN283" s="319" t="s">
        <v>190</v>
      </c>
      <c r="HO283" s="319" t="s">
        <v>190</v>
      </c>
      <c r="HP283" s="319" t="s">
        <v>190</v>
      </c>
      <c r="HQ283" s="319" t="s">
        <v>190</v>
      </c>
      <c r="HR283" s="319" t="s">
        <v>190</v>
      </c>
      <c r="HS283" s="319" t="s">
        <v>190</v>
      </c>
      <c r="HT283" s="319" t="s">
        <v>190</v>
      </c>
      <c r="HU283" s="319" t="s">
        <v>190</v>
      </c>
      <c r="HV283" s="319" t="s">
        <v>190</v>
      </c>
      <c r="HW283" s="319" t="s">
        <v>190</v>
      </c>
      <c r="HX283" s="319" t="s">
        <v>190</v>
      </c>
      <c r="HY283" s="319" t="s">
        <v>190</v>
      </c>
      <c r="HZ283" s="319" t="s">
        <v>190</v>
      </c>
      <c r="IA283" s="319" t="s">
        <v>190</v>
      </c>
      <c r="IB283" s="319" t="s">
        <v>190</v>
      </c>
      <c r="IC283" s="319" t="s">
        <v>190</v>
      </c>
      <c r="ID283" s="319" t="s">
        <v>190</v>
      </c>
      <c r="IE283" s="319" t="s">
        <v>190</v>
      </c>
      <c r="IF283" s="319" t="s">
        <v>190</v>
      </c>
      <c r="IG283" s="319" t="s">
        <v>190</v>
      </c>
      <c r="IH283" s="319" t="s">
        <v>190</v>
      </c>
      <c r="II283" s="319" t="s">
        <v>190</v>
      </c>
      <c r="IJ283" s="319" t="s">
        <v>3078</v>
      </c>
      <c r="IK283" s="321">
        <v>41185</v>
      </c>
      <c r="IL283" s="321">
        <v>41186</v>
      </c>
      <c r="IM283" s="321">
        <v>41207</v>
      </c>
      <c r="IN283" s="319">
        <v>3</v>
      </c>
      <c r="IO283" s="319" t="s">
        <v>173</v>
      </c>
      <c r="IP283" s="319" t="s">
        <v>173</v>
      </c>
      <c r="IQ283" s="319" t="s">
        <v>173</v>
      </c>
      <c r="IR283" s="320" t="s">
        <v>173</v>
      </c>
      <c r="IS283" s="320" t="s">
        <v>173</v>
      </c>
      <c r="IT283" s="319" t="s">
        <v>173</v>
      </c>
    </row>
    <row r="284" spans="1:254" s="271" customFormat="1" x14ac:dyDescent="0.25">
      <c r="A284" s="318" t="str">
        <f>HYPERLINK("http://www.ofsted.gov.uk/inspection-reports/find-inspection-report/provider/ELS/131004 ","Ofsted School Webpage")</f>
        <v>Ofsted School Webpage</v>
      </c>
      <c r="B284" s="319">
        <v>131004</v>
      </c>
      <c r="C284" s="319">
        <v>8606029</v>
      </c>
      <c r="D284" s="319" t="s">
        <v>576</v>
      </c>
      <c r="E284" s="319" t="s">
        <v>168</v>
      </c>
      <c r="F284" s="319" t="s">
        <v>81</v>
      </c>
      <c r="G284" s="319" t="s">
        <v>81</v>
      </c>
      <c r="H284" s="319" t="s">
        <v>81</v>
      </c>
      <c r="I284" s="319" t="s">
        <v>78</v>
      </c>
      <c r="J284" s="319" t="s">
        <v>424</v>
      </c>
      <c r="K284" s="319" t="s">
        <v>437</v>
      </c>
      <c r="L284" s="319" t="s">
        <v>437</v>
      </c>
      <c r="M284" s="319" t="s">
        <v>577</v>
      </c>
      <c r="N284" s="319" t="s">
        <v>3031</v>
      </c>
      <c r="O284" s="319" t="s">
        <v>578</v>
      </c>
      <c r="P284" s="319">
        <v>8</v>
      </c>
      <c r="Q284" s="319" t="s">
        <v>429</v>
      </c>
      <c r="R284" s="320">
        <v>10041364</v>
      </c>
      <c r="S284" s="321">
        <v>43389</v>
      </c>
      <c r="T284" s="321">
        <v>43391</v>
      </c>
      <c r="U284" s="321">
        <v>43420</v>
      </c>
      <c r="V284" s="319" t="s">
        <v>425</v>
      </c>
      <c r="W284" s="319" t="s">
        <v>2767</v>
      </c>
      <c r="X284" s="319">
        <v>1</v>
      </c>
      <c r="Y284" s="319" t="s">
        <v>173</v>
      </c>
      <c r="Z284" s="319" t="s">
        <v>173</v>
      </c>
      <c r="AA284" s="319" t="s">
        <v>173</v>
      </c>
      <c r="AB284" s="319">
        <v>1</v>
      </c>
      <c r="AC284" s="319" t="s">
        <v>169</v>
      </c>
      <c r="AD284" s="319" t="s">
        <v>173</v>
      </c>
      <c r="AE284" s="319">
        <v>1</v>
      </c>
      <c r="AF284" s="319" t="s">
        <v>427</v>
      </c>
      <c r="AG284" s="319" t="s">
        <v>171</v>
      </c>
      <c r="AH284" s="319" t="s">
        <v>190</v>
      </c>
      <c r="AI284" s="319" t="s">
        <v>190</v>
      </c>
      <c r="AJ284" s="319" t="s">
        <v>190</v>
      </c>
      <c r="AK284" s="319" t="s">
        <v>190</v>
      </c>
      <c r="AL284" s="319" t="s">
        <v>190</v>
      </c>
      <c r="AM284" s="319" t="s">
        <v>190</v>
      </c>
      <c r="AN284" s="319" t="s">
        <v>190</v>
      </c>
      <c r="AO284" s="319" t="s">
        <v>190</v>
      </c>
      <c r="AP284" s="319" t="s">
        <v>190</v>
      </c>
      <c r="AQ284" s="319" t="s">
        <v>190</v>
      </c>
      <c r="AR284" s="319" t="s">
        <v>190</v>
      </c>
      <c r="AS284" s="319" t="s">
        <v>190</v>
      </c>
      <c r="AT284" s="319" t="s">
        <v>190</v>
      </c>
      <c r="AU284" s="319" t="s">
        <v>190</v>
      </c>
      <c r="AV284" s="319" t="s">
        <v>190</v>
      </c>
      <c r="AW284" s="319" t="s">
        <v>190</v>
      </c>
      <c r="AX284" s="319" t="s">
        <v>428</v>
      </c>
      <c r="AY284" s="319" t="s">
        <v>190</v>
      </c>
      <c r="AZ284" s="319" t="s">
        <v>190</v>
      </c>
      <c r="BA284" s="319" t="s">
        <v>190</v>
      </c>
      <c r="BB284" s="319" t="s">
        <v>190</v>
      </c>
      <c r="BC284" s="319" t="s">
        <v>190</v>
      </c>
      <c r="BD284" s="319" t="s">
        <v>190</v>
      </c>
      <c r="BE284" s="319" t="s">
        <v>190</v>
      </c>
      <c r="BF284" s="319" t="s">
        <v>428</v>
      </c>
      <c r="BG284" s="319" t="s">
        <v>190</v>
      </c>
      <c r="BH284" s="319" t="s">
        <v>190</v>
      </c>
      <c r="BI284" s="319" t="s">
        <v>190</v>
      </c>
      <c r="BJ284" s="319" t="s">
        <v>190</v>
      </c>
      <c r="BK284" s="319" t="s">
        <v>190</v>
      </c>
      <c r="BL284" s="319" t="s">
        <v>190</v>
      </c>
      <c r="BM284" s="319" t="s">
        <v>190</v>
      </c>
      <c r="BN284" s="319" t="s">
        <v>190</v>
      </c>
      <c r="BO284" s="319" t="s">
        <v>190</v>
      </c>
      <c r="BP284" s="319" t="s">
        <v>190</v>
      </c>
      <c r="BQ284" s="319" t="s">
        <v>190</v>
      </c>
      <c r="BR284" s="319" t="s">
        <v>190</v>
      </c>
      <c r="BS284" s="319" t="s">
        <v>190</v>
      </c>
      <c r="BT284" s="319" t="s">
        <v>190</v>
      </c>
      <c r="BU284" s="319" t="s">
        <v>190</v>
      </c>
      <c r="BV284" s="319" t="s">
        <v>190</v>
      </c>
      <c r="BW284" s="319" t="s">
        <v>190</v>
      </c>
      <c r="BX284" s="319" t="s">
        <v>190</v>
      </c>
      <c r="BY284" s="319" t="s">
        <v>190</v>
      </c>
      <c r="BZ284" s="319" t="s">
        <v>190</v>
      </c>
      <c r="CA284" s="319" t="s">
        <v>190</v>
      </c>
      <c r="CB284" s="319" t="s">
        <v>190</v>
      </c>
      <c r="CC284" s="319" t="s">
        <v>190</v>
      </c>
      <c r="CD284" s="319" t="s">
        <v>190</v>
      </c>
      <c r="CE284" s="319" t="s">
        <v>190</v>
      </c>
      <c r="CF284" s="319" t="s">
        <v>190</v>
      </c>
      <c r="CG284" s="319" t="s">
        <v>190</v>
      </c>
      <c r="CH284" s="319" t="s">
        <v>190</v>
      </c>
      <c r="CI284" s="319" t="s">
        <v>190</v>
      </c>
      <c r="CJ284" s="319" t="s">
        <v>190</v>
      </c>
      <c r="CK284" s="319" t="s">
        <v>190</v>
      </c>
      <c r="CL284" s="319" t="s">
        <v>190</v>
      </c>
      <c r="CM284" s="319" t="s">
        <v>190</v>
      </c>
      <c r="CN284" s="319" t="s">
        <v>428</v>
      </c>
      <c r="CO284" s="319" t="s">
        <v>428</v>
      </c>
      <c r="CP284" s="319" t="s">
        <v>428</v>
      </c>
      <c r="CQ284" s="319" t="s">
        <v>190</v>
      </c>
      <c r="CR284" s="319" t="s">
        <v>190</v>
      </c>
      <c r="CS284" s="319" t="s">
        <v>190</v>
      </c>
      <c r="CT284" s="319" t="s">
        <v>190</v>
      </c>
      <c r="CU284" s="319" t="s">
        <v>190</v>
      </c>
      <c r="CV284" s="319" t="s">
        <v>190</v>
      </c>
      <c r="CW284" s="319" t="s">
        <v>190</v>
      </c>
      <c r="CX284" s="319" t="s">
        <v>190</v>
      </c>
      <c r="CY284" s="319" t="s">
        <v>190</v>
      </c>
      <c r="CZ284" s="319" t="s">
        <v>190</v>
      </c>
      <c r="DA284" s="319" t="s">
        <v>190</v>
      </c>
      <c r="DB284" s="319" t="s">
        <v>190</v>
      </c>
      <c r="DC284" s="319" t="s">
        <v>190</v>
      </c>
      <c r="DD284" s="319" t="s">
        <v>190</v>
      </c>
      <c r="DE284" s="319" t="s">
        <v>190</v>
      </c>
      <c r="DF284" s="319" t="s">
        <v>190</v>
      </c>
      <c r="DG284" s="319" t="s">
        <v>190</v>
      </c>
      <c r="DH284" s="319" t="s">
        <v>190</v>
      </c>
      <c r="DI284" s="319" t="s">
        <v>190</v>
      </c>
      <c r="DJ284" s="319" t="s">
        <v>190</v>
      </c>
      <c r="DK284" s="319" t="s">
        <v>190</v>
      </c>
      <c r="DL284" s="319" t="s">
        <v>190</v>
      </c>
      <c r="DM284" s="319" t="s">
        <v>190</v>
      </c>
      <c r="DN284" s="319" t="s">
        <v>428</v>
      </c>
      <c r="DO284" s="319" t="s">
        <v>190</v>
      </c>
      <c r="DP284" s="319" t="s">
        <v>428</v>
      </c>
      <c r="DQ284" s="319" t="s">
        <v>428</v>
      </c>
      <c r="DR284" s="319" t="s">
        <v>428</v>
      </c>
      <c r="DS284" s="319" t="s">
        <v>428</v>
      </c>
      <c r="DT284" s="319" t="s">
        <v>428</v>
      </c>
      <c r="DU284" s="319" t="s">
        <v>428</v>
      </c>
      <c r="DV284" s="319" t="s">
        <v>173</v>
      </c>
      <c r="DW284" s="319" t="s">
        <v>428</v>
      </c>
      <c r="DX284" s="319" t="s">
        <v>428</v>
      </c>
      <c r="DY284" s="319" t="s">
        <v>428</v>
      </c>
      <c r="DZ284" s="319" t="s">
        <v>428</v>
      </c>
      <c r="EA284" s="319" t="s">
        <v>428</v>
      </c>
      <c r="EB284" s="319" t="s">
        <v>428</v>
      </c>
      <c r="EC284" s="319" t="s">
        <v>428</v>
      </c>
      <c r="ED284" s="319" t="s">
        <v>428</v>
      </c>
      <c r="EE284" s="319" t="s">
        <v>190</v>
      </c>
      <c r="EF284" s="319" t="s">
        <v>190</v>
      </c>
      <c r="EG284" s="319" t="s">
        <v>190</v>
      </c>
      <c r="EH284" s="319" t="s">
        <v>190</v>
      </c>
      <c r="EI284" s="319" t="s">
        <v>190</v>
      </c>
      <c r="EJ284" s="319" t="s">
        <v>190</v>
      </c>
      <c r="EK284" s="319" t="s">
        <v>190</v>
      </c>
      <c r="EL284" s="319" t="s">
        <v>190</v>
      </c>
      <c r="EM284" s="319" t="s">
        <v>190</v>
      </c>
      <c r="EN284" s="319" t="s">
        <v>190</v>
      </c>
      <c r="EO284" s="319" t="s">
        <v>190</v>
      </c>
      <c r="EP284" s="319" t="s">
        <v>190</v>
      </c>
      <c r="EQ284" s="319" t="s">
        <v>190</v>
      </c>
      <c r="ER284" s="319" t="s">
        <v>190</v>
      </c>
      <c r="ES284" s="319" t="s">
        <v>190</v>
      </c>
      <c r="ET284" s="319" t="s">
        <v>190</v>
      </c>
      <c r="EU284" s="319" t="s">
        <v>190</v>
      </c>
      <c r="EV284" s="319" t="s">
        <v>190</v>
      </c>
      <c r="EW284" s="319" t="s">
        <v>190</v>
      </c>
      <c r="EX284" s="319" t="s">
        <v>190</v>
      </c>
      <c r="EY284" s="319" t="s">
        <v>190</v>
      </c>
      <c r="EZ284" s="319" t="s">
        <v>190</v>
      </c>
      <c r="FA284" s="319" t="s">
        <v>428</v>
      </c>
      <c r="FB284" s="319" t="s">
        <v>428</v>
      </c>
      <c r="FC284" s="319" t="s">
        <v>428</v>
      </c>
      <c r="FD284" s="319" t="s">
        <v>428</v>
      </c>
      <c r="FE284" s="319" t="s">
        <v>428</v>
      </c>
      <c r="FF284" s="319" t="s">
        <v>428</v>
      </c>
      <c r="FG284" s="319" t="s">
        <v>428</v>
      </c>
      <c r="FH284" s="319" t="s">
        <v>190</v>
      </c>
      <c r="FI284" s="319" t="s">
        <v>428</v>
      </c>
      <c r="FJ284" s="319" t="s">
        <v>429</v>
      </c>
      <c r="FK284" s="319" t="s">
        <v>428</v>
      </c>
      <c r="FL284" s="319" t="s">
        <v>190</v>
      </c>
      <c r="FM284" s="319" t="s">
        <v>190</v>
      </c>
      <c r="FN284" s="319" t="s">
        <v>190</v>
      </c>
      <c r="FO284" s="319" t="s">
        <v>190</v>
      </c>
      <c r="FP284" s="319" t="s">
        <v>190</v>
      </c>
      <c r="FQ284" s="319" t="s">
        <v>190</v>
      </c>
      <c r="FR284" s="319" t="s">
        <v>190</v>
      </c>
      <c r="FS284" s="319" t="s">
        <v>428</v>
      </c>
      <c r="FT284" s="319" t="s">
        <v>190</v>
      </c>
      <c r="FU284" s="319" t="s">
        <v>190</v>
      </c>
      <c r="FV284" s="319" t="s">
        <v>190</v>
      </c>
      <c r="FW284" s="319" t="s">
        <v>190</v>
      </c>
      <c r="FX284" s="319" t="s">
        <v>190</v>
      </c>
      <c r="FY284" s="319" t="s">
        <v>190</v>
      </c>
      <c r="FZ284" s="319" t="s">
        <v>190</v>
      </c>
      <c r="GA284" s="319" t="s">
        <v>190</v>
      </c>
      <c r="GB284" s="319" t="s">
        <v>190</v>
      </c>
      <c r="GC284" s="319" t="s">
        <v>190</v>
      </c>
      <c r="GD284" s="319" t="s">
        <v>190</v>
      </c>
      <c r="GE284" s="319" t="s">
        <v>190</v>
      </c>
      <c r="GF284" s="319" t="s">
        <v>190</v>
      </c>
      <c r="GG284" s="319" t="s">
        <v>190</v>
      </c>
      <c r="GH284" s="319" t="s">
        <v>190</v>
      </c>
      <c r="GI284" s="319" t="s">
        <v>190</v>
      </c>
      <c r="GJ284" s="319" t="s">
        <v>190</v>
      </c>
      <c r="GK284" s="319" t="s">
        <v>428</v>
      </c>
      <c r="GL284" s="319" t="s">
        <v>190</v>
      </c>
      <c r="GM284" s="319" t="s">
        <v>190</v>
      </c>
      <c r="GN284" s="319" t="s">
        <v>190</v>
      </c>
      <c r="GO284" s="319" t="s">
        <v>190</v>
      </c>
      <c r="GP284" s="319" t="s">
        <v>190</v>
      </c>
      <c r="GQ284" s="319" t="s">
        <v>428</v>
      </c>
      <c r="GR284" s="319" t="s">
        <v>190</v>
      </c>
      <c r="GS284" s="319" t="s">
        <v>190</v>
      </c>
      <c r="GT284" s="319" t="s">
        <v>190</v>
      </c>
      <c r="GU284" s="319" t="s">
        <v>190</v>
      </c>
      <c r="GV284" s="319" t="s">
        <v>190</v>
      </c>
      <c r="GW284" s="319" t="s">
        <v>190</v>
      </c>
      <c r="GX284" s="319" t="s">
        <v>190</v>
      </c>
      <c r="GY284" s="319" t="s">
        <v>190</v>
      </c>
      <c r="GZ284" s="319" t="s">
        <v>428</v>
      </c>
      <c r="HA284" s="319" t="s">
        <v>190</v>
      </c>
      <c r="HB284" s="319" t="s">
        <v>190</v>
      </c>
      <c r="HC284" s="319" t="s">
        <v>190</v>
      </c>
      <c r="HD284" s="319" t="s">
        <v>190</v>
      </c>
      <c r="HE284" s="319" t="s">
        <v>190</v>
      </c>
      <c r="HF284" s="319" t="s">
        <v>190</v>
      </c>
      <c r="HG284" s="319" t="s">
        <v>190</v>
      </c>
      <c r="HH284" s="319" t="s">
        <v>190</v>
      </c>
      <c r="HI284" s="319" t="s">
        <v>190</v>
      </c>
      <c r="HJ284" s="319" t="s">
        <v>190</v>
      </c>
      <c r="HK284" s="319" t="s">
        <v>190</v>
      </c>
      <c r="HL284" s="319" t="s">
        <v>428</v>
      </c>
      <c r="HM284" s="319" t="s">
        <v>428</v>
      </c>
      <c r="HN284" s="319" t="s">
        <v>428</v>
      </c>
      <c r="HO284" s="319" t="s">
        <v>428</v>
      </c>
      <c r="HP284" s="319" t="s">
        <v>190</v>
      </c>
      <c r="HQ284" s="319" t="s">
        <v>190</v>
      </c>
      <c r="HR284" s="319" t="s">
        <v>190</v>
      </c>
      <c r="HS284" s="319" t="s">
        <v>190</v>
      </c>
      <c r="HT284" s="319" t="s">
        <v>190</v>
      </c>
      <c r="HU284" s="319" t="s">
        <v>190</v>
      </c>
      <c r="HV284" s="319" t="s">
        <v>190</v>
      </c>
      <c r="HW284" s="319" t="s">
        <v>190</v>
      </c>
      <c r="HX284" s="319" t="s">
        <v>190</v>
      </c>
      <c r="HY284" s="319" t="s">
        <v>190</v>
      </c>
      <c r="HZ284" s="319" t="s">
        <v>190</v>
      </c>
      <c r="IA284" s="319" t="s">
        <v>190</v>
      </c>
      <c r="IB284" s="319" t="s">
        <v>190</v>
      </c>
      <c r="IC284" s="319" t="s">
        <v>190</v>
      </c>
      <c r="ID284" s="319" t="s">
        <v>190</v>
      </c>
      <c r="IE284" s="319" t="s">
        <v>190</v>
      </c>
      <c r="IF284" s="319" t="s">
        <v>190</v>
      </c>
      <c r="IG284" s="319" t="s">
        <v>190</v>
      </c>
      <c r="IH284" s="319" t="s">
        <v>190</v>
      </c>
      <c r="II284" s="319" t="s">
        <v>190</v>
      </c>
      <c r="IJ284" s="319">
        <v>10008887</v>
      </c>
      <c r="IK284" s="321">
        <v>42395</v>
      </c>
      <c r="IL284" s="321">
        <v>42397</v>
      </c>
      <c r="IM284" s="321">
        <v>42440</v>
      </c>
      <c r="IN284" s="319">
        <v>3</v>
      </c>
      <c r="IO284" s="319" t="s">
        <v>173</v>
      </c>
      <c r="IP284" s="319" t="s">
        <v>173</v>
      </c>
      <c r="IQ284" s="321" t="s">
        <v>173</v>
      </c>
      <c r="IR284" s="320" t="s">
        <v>173</v>
      </c>
      <c r="IS284" s="322" t="s">
        <v>173</v>
      </c>
      <c r="IT284" s="319" t="s">
        <v>173</v>
      </c>
    </row>
    <row r="285" spans="1:254" s="271" customFormat="1" x14ac:dyDescent="0.25">
      <c r="A285" s="318" t="str">
        <f>HYPERLINK("http://www.ofsted.gov.uk/inspection-reports/find-inspection-report/provider/ELS/131015 ","Ofsted School Webpage")</f>
        <v>Ofsted School Webpage</v>
      </c>
      <c r="B285" s="319">
        <v>131015</v>
      </c>
      <c r="C285" s="319">
        <v>3526053</v>
      </c>
      <c r="D285" s="319" t="s">
        <v>1596</v>
      </c>
      <c r="E285" s="319" t="s">
        <v>167</v>
      </c>
      <c r="F285" s="319" t="s">
        <v>70</v>
      </c>
      <c r="G285" s="319" t="s">
        <v>69</v>
      </c>
      <c r="H285" s="319" t="s">
        <v>70</v>
      </c>
      <c r="I285" s="319" t="s">
        <v>69</v>
      </c>
      <c r="J285" s="319" t="s">
        <v>424</v>
      </c>
      <c r="K285" s="319" t="s">
        <v>431</v>
      </c>
      <c r="L285" s="319" t="s">
        <v>431</v>
      </c>
      <c r="M285" s="319" t="s">
        <v>660</v>
      </c>
      <c r="N285" s="319" t="s">
        <v>2874</v>
      </c>
      <c r="O285" s="319" t="s">
        <v>1597</v>
      </c>
      <c r="P285" s="319">
        <v>198</v>
      </c>
      <c r="Q285" s="319" t="s">
        <v>2776</v>
      </c>
      <c r="R285" s="320">
        <v>10034025</v>
      </c>
      <c r="S285" s="321">
        <v>42990</v>
      </c>
      <c r="T285" s="321">
        <v>42992</v>
      </c>
      <c r="U285" s="321">
        <v>43032</v>
      </c>
      <c r="V285" s="319" t="s">
        <v>425</v>
      </c>
      <c r="W285" s="319" t="s">
        <v>2767</v>
      </c>
      <c r="X285" s="319">
        <v>2</v>
      </c>
      <c r="Y285" s="319" t="s">
        <v>173</v>
      </c>
      <c r="Z285" s="319" t="s">
        <v>173</v>
      </c>
      <c r="AA285" s="319" t="s">
        <v>173</v>
      </c>
      <c r="AB285" s="319">
        <v>2</v>
      </c>
      <c r="AC285" s="319" t="s">
        <v>169</v>
      </c>
      <c r="AD285" s="319" t="s">
        <v>173</v>
      </c>
      <c r="AE285" s="319" t="s">
        <v>173</v>
      </c>
      <c r="AF285" s="319" t="s">
        <v>173</v>
      </c>
      <c r="AG285" s="319" t="s">
        <v>171</v>
      </c>
      <c r="AH285" s="319" t="s">
        <v>190</v>
      </c>
      <c r="AI285" s="319" t="s">
        <v>190</v>
      </c>
      <c r="AJ285" s="319" t="s">
        <v>190</v>
      </c>
      <c r="AK285" s="319" t="s">
        <v>190</v>
      </c>
      <c r="AL285" s="319" t="s">
        <v>190</v>
      </c>
      <c r="AM285" s="319" t="s">
        <v>190</v>
      </c>
      <c r="AN285" s="319" t="s">
        <v>190</v>
      </c>
      <c r="AO285" s="319" t="s">
        <v>190</v>
      </c>
      <c r="AP285" s="319" t="s">
        <v>190</v>
      </c>
      <c r="AQ285" s="319" t="s">
        <v>190</v>
      </c>
      <c r="AR285" s="319" t="s">
        <v>190</v>
      </c>
      <c r="AS285" s="319" t="s">
        <v>190</v>
      </c>
      <c r="AT285" s="319" t="s">
        <v>190</v>
      </c>
      <c r="AU285" s="319" t="s">
        <v>190</v>
      </c>
      <c r="AV285" s="319" t="s">
        <v>190</v>
      </c>
      <c r="AW285" s="319" t="s">
        <v>190</v>
      </c>
      <c r="AX285" s="319" t="s">
        <v>429</v>
      </c>
      <c r="AY285" s="319" t="s">
        <v>190</v>
      </c>
      <c r="AZ285" s="319" t="s">
        <v>190</v>
      </c>
      <c r="BA285" s="319" t="s">
        <v>190</v>
      </c>
      <c r="BB285" s="319" t="s">
        <v>190</v>
      </c>
      <c r="BC285" s="319" t="s">
        <v>190</v>
      </c>
      <c r="BD285" s="319" t="s">
        <v>190</v>
      </c>
      <c r="BE285" s="319" t="s">
        <v>190</v>
      </c>
      <c r="BF285" s="319" t="s">
        <v>429</v>
      </c>
      <c r="BG285" s="319" t="s">
        <v>429</v>
      </c>
      <c r="BH285" s="319" t="s">
        <v>190</v>
      </c>
      <c r="BI285" s="319" t="s">
        <v>190</v>
      </c>
      <c r="BJ285" s="319" t="s">
        <v>190</v>
      </c>
      <c r="BK285" s="319" t="s">
        <v>190</v>
      </c>
      <c r="BL285" s="319" t="s">
        <v>190</v>
      </c>
      <c r="BM285" s="319" t="s">
        <v>190</v>
      </c>
      <c r="BN285" s="319" t="s">
        <v>190</v>
      </c>
      <c r="BO285" s="319" t="s">
        <v>190</v>
      </c>
      <c r="BP285" s="319" t="s">
        <v>190</v>
      </c>
      <c r="BQ285" s="319" t="s">
        <v>190</v>
      </c>
      <c r="BR285" s="319" t="s">
        <v>190</v>
      </c>
      <c r="BS285" s="319" t="s">
        <v>190</v>
      </c>
      <c r="BT285" s="319" t="s">
        <v>190</v>
      </c>
      <c r="BU285" s="319" t="s">
        <v>190</v>
      </c>
      <c r="BV285" s="319" t="s">
        <v>190</v>
      </c>
      <c r="BW285" s="319" t="s">
        <v>190</v>
      </c>
      <c r="BX285" s="319" t="s">
        <v>190</v>
      </c>
      <c r="BY285" s="319" t="s">
        <v>190</v>
      </c>
      <c r="BZ285" s="319" t="s">
        <v>190</v>
      </c>
      <c r="CA285" s="319" t="s">
        <v>190</v>
      </c>
      <c r="CB285" s="319" t="s">
        <v>190</v>
      </c>
      <c r="CC285" s="319" t="s">
        <v>190</v>
      </c>
      <c r="CD285" s="319" t="s">
        <v>190</v>
      </c>
      <c r="CE285" s="319" t="s">
        <v>190</v>
      </c>
      <c r="CF285" s="319" t="s">
        <v>190</v>
      </c>
      <c r="CG285" s="319" t="s">
        <v>190</v>
      </c>
      <c r="CH285" s="319" t="s">
        <v>190</v>
      </c>
      <c r="CI285" s="319" t="s">
        <v>190</v>
      </c>
      <c r="CJ285" s="319" t="s">
        <v>190</v>
      </c>
      <c r="CK285" s="319" t="s">
        <v>190</v>
      </c>
      <c r="CL285" s="319" t="s">
        <v>190</v>
      </c>
      <c r="CM285" s="319" t="s">
        <v>190</v>
      </c>
      <c r="CN285" s="319" t="s">
        <v>429</v>
      </c>
      <c r="CO285" s="319" t="s">
        <v>429</v>
      </c>
      <c r="CP285" s="319" t="s">
        <v>429</v>
      </c>
      <c r="CQ285" s="319" t="s">
        <v>190</v>
      </c>
      <c r="CR285" s="319" t="s">
        <v>190</v>
      </c>
      <c r="CS285" s="319" t="s">
        <v>190</v>
      </c>
      <c r="CT285" s="319" t="s">
        <v>190</v>
      </c>
      <c r="CU285" s="319" t="s">
        <v>190</v>
      </c>
      <c r="CV285" s="319" t="s">
        <v>190</v>
      </c>
      <c r="CW285" s="319" t="s">
        <v>190</v>
      </c>
      <c r="CX285" s="319" t="s">
        <v>190</v>
      </c>
      <c r="CY285" s="319" t="s">
        <v>190</v>
      </c>
      <c r="CZ285" s="319" t="s">
        <v>190</v>
      </c>
      <c r="DA285" s="319" t="s">
        <v>190</v>
      </c>
      <c r="DB285" s="319" t="s">
        <v>190</v>
      </c>
      <c r="DC285" s="319" t="s">
        <v>190</v>
      </c>
      <c r="DD285" s="319" t="s">
        <v>190</v>
      </c>
      <c r="DE285" s="319" t="s">
        <v>190</v>
      </c>
      <c r="DF285" s="319" t="s">
        <v>190</v>
      </c>
      <c r="DG285" s="319" t="s">
        <v>190</v>
      </c>
      <c r="DH285" s="319" t="s">
        <v>190</v>
      </c>
      <c r="DI285" s="319" t="s">
        <v>190</v>
      </c>
      <c r="DJ285" s="319" t="s">
        <v>190</v>
      </c>
      <c r="DK285" s="319" t="s">
        <v>190</v>
      </c>
      <c r="DL285" s="319" t="s">
        <v>190</v>
      </c>
      <c r="DM285" s="319" t="s">
        <v>190</v>
      </c>
      <c r="DN285" s="319" t="s">
        <v>429</v>
      </c>
      <c r="DO285" s="319" t="s">
        <v>190</v>
      </c>
      <c r="DP285" s="319" t="s">
        <v>429</v>
      </c>
      <c r="DQ285" s="319" t="s">
        <v>429</v>
      </c>
      <c r="DR285" s="319" t="s">
        <v>429</v>
      </c>
      <c r="DS285" s="319" t="s">
        <v>429</v>
      </c>
      <c r="DT285" s="319" t="s">
        <v>429</v>
      </c>
      <c r="DU285" s="319" t="s">
        <v>429</v>
      </c>
      <c r="DV285" s="319" t="s">
        <v>173</v>
      </c>
      <c r="DW285" s="319" t="s">
        <v>429</v>
      </c>
      <c r="DX285" s="319" t="s">
        <v>429</v>
      </c>
      <c r="DY285" s="319" t="s">
        <v>429</v>
      </c>
      <c r="DZ285" s="319" t="s">
        <v>429</v>
      </c>
      <c r="EA285" s="319" t="s">
        <v>429</v>
      </c>
      <c r="EB285" s="319" t="s">
        <v>429</v>
      </c>
      <c r="EC285" s="319" t="s">
        <v>429</v>
      </c>
      <c r="ED285" s="319" t="s">
        <v>429</v>
      </c>
      <c r="EE285" s="319" t="s">
        <v>190</v>
      </c>
      <c r="EF285" s="319" t="s">
        <v>190</v>
      </c>
      <c r="EG285" s="319" t="s">
        <v>190</v>
      </c>
      <c r="EH285" s="319" t="s">
        <v>190</v>
      </c>
      <c r="EI285" s="319" t="s">
        <v>190</v>
      </c>
      <c r="EJ285" s="319" t="s">
        <v>190</v>
      </c>
      <c r="EK285" s="319" t="s">
        <v>190</v>
      </c>
      <c r="EL285" s="319" t="s">
        <v>190</v>
      </c>
      <c r="EM285" s="319" t="s">
        <v>190</v>
      </c>
      <c r="EN285" s="319" t="s">
        <v>190</v>
      </c>
      <c r="EO285" s="319" t="s">
        <v>190</v>
      </c>
      <c r="EP285" s="319" t="s">
        <v>190</v>
      </c>
      <c r="EQ285" s="319" t="s">
        <v>190</v>
      </c>
      <c r="ER285" s="319" t="s">
        <v>190</v>
      </c>
      <c r="ES285" s="319" t="s">
        <v>190</v>
      </c>
      <c r="ET285" s="319" t="s">
        <v>190</v>
      </c>
      <c r="EU285" s="319" t="s">
        <v>190</v>
      </c>
      <c r="EV285" s="319" t="s">
        <v>190</v>
      </c>
      <c r="EW285" s="319" t="s">
        <v>190</v>
      </c>
      <c r="EX285" s="319" t="s">
        <v>190</v>
      </c>
      <c r="EY285" s="319" t="s">
        <v>190</v>
      </c>
      <c r="EZ285" s="319" t="s">
        <v>190</v>
      </c>
      <c r="FA285" s="319" t="s">
        <v>190</v>
      </c>
      <c r="FB285" s="319" t="s">
        <v>190</v>
      </c>
      <c r="FC285" s="319" t="s">
        <v>190</v>
      </c>
      <c r="FD285" s="319" t="s">
        <v>190</v>
      </c>
      <c r="FE285" s="319" t="s">
        <v>190</v>
      </c>
      <c r="FF285" s="319" t="s">
        <v>190</v>
      </c>
      <c r="FG285" s="319" t="s">
        <v>190</v>
      </c>
      <c r="FH285" s="319" t="s">
        <v>190</v>
      </c>
      <c r="FI285" s="319" t="s">
        <v>190</v>
      </c>
      <c r="FJ285" s="319" t="s">
        <v>190</v>
      </c>
      <c r="FK285" s="319" t="s">
        <v>190</v>
      </c>
      <c r="FL285" s="319" t="s">
        <v>190</v>
      </c>
      <c r="FM285" s="319" t="s">
        <v>190</v>
      </c>
      <c r="FN285" s="319" t="s">
        <v>190</v>
      </c>
      <c r="FO285" s="319" t="s">
        <v>190</v>
      </c>
      <c r="FP285" s="319" t="s">
        <v>190</v>
      </c>
      <c r="FQ285" s="319" t="s">
        <v>190</v>
      </c>
      <c r="FR285" s="319" t="s">
        <v>190</v>
      </c>
      <c r="FS285" s="319" t="s">
        <v>429</v>
      </c>
      <c r="FT285" s="319" t="s">
        <v>190</v>
      </c>
      <c r="FU285" s="319" t="s">
        <v>190</v>
      </c>
      <c r="FV285" s="319" t="s">
        <v>190</v>
      </c>
      <c r="FW285" s="319" t="s">
        <v>190</v>
      </c>
      <c r="FX285" s="319" t="s">
        <v>190</v>
      </c>
      <c r="FY285" s="319" t="s">
        <v>190</v>
      </c>
      <c r="FZ285" s="319" t="s">
        <v>190</v>
      </c>
      <c r="GA285" s="319" t="s">
        <v>190</v>
      </c>
      <c r="GB285" s="319" t="s">
        <v>190</v>
      </c>
      <c r="GC285" s="319" t="s">
        <v>190</v>
      </c>
      <c r="GD285" s="319" t="s">
        <v>190</v>
      </c>
      <c r="GE285" s="319" t="s">
        <v>190</v>
      </c>
      <c r="GF285" s="319" t="s">
        <v>190</v>
      </c>
      <c r="GG285" s="319" t="s">
        <v>190</v>
      </c>
      <c r="GH285" s="319" t="s">
        <v>190</v>
      </c>
      <c r="GI285" s="319" t="s">
        <v>190</v>
      </c>
      <c r="GJ285" s="319" t="s">
        <v>190</v>
      </c>
      <c r="GK285" s="319" t="s">
        <v>429</v>
      </c>
      <c r="GL285" s="319" t="s">
        <v>190</v>
      </c>
      <c r="GM285" s="319" t="s">
        <v>190</v>
      </c>
      <c r="GN285" s="319" t="s">
        <v>190</v>
      </c>
      <c r="GO285" s="319" t="s">
        <v>190</v>
      </c>
      <c r="GP285" s="319" t="s">
        <v>190</v>
      </c>
      <c r="GQ285" s="319" t="s">
        <v>429</v>
      </c>
      <c r="GR285" s="319" t="s">
        <v>190</v>
      </c>
      <c r="GS285" s="319" t="s">
        <v>190</v>
      </c>
      <c r="GT285" s="319" t="s">
        <v>429</v>
      </c>
      <c r="GU285" s="319" t="s">
        <v>190</v>
      </c>
      <c r="GV285" s="319" t="s">
        <v>190</v>
      </c>
      <c r="GW285" s="319" t="s">
        <v>190</v>
      </c>
      <c r="GX285" s="319" t="s">
        <v>190</v>
      </c>
      <c r="GY285" s="319" t="s">
        <v>190</v>
      </c>
      <c r="GZ285" s="319" t="s">
        <v>190</v>
      </c>
      <c r="HA285" s="319" t="s">
        <v>190</v>
      </c>
      <c r="HB285" s="319" t="s">
        <v>190</v>
      </c>
      <c r="HC285" s="319" t="s">
        <v>190</v>
      </c>
      <c r="HD285" s="319" t="s">
        <v>190</v>
      </c>
      <c r="HE285" s="319" t="s">
        <v>190</v>
      </c>
      <c r="HF285" s="319" t="s">
        <v>190</v>
      </c>
      <c r="HG285" s="319" t="s">
        <v>190</v>
      </c>
      <c r="HH285" s="319" t="s">
        <v>190</v>
      </c>
      <c r="HI285" s="319" t="s">
        <v>190</v>
      </c>
      <c r="HJ285" s="319" t="s">
        <v>190</v>
      </c>
      <c r="HK285" s="319" t="s">
        <v>190</v>
      </c>
      <c r="HL285" s="319" t="s">
        <v>429</v>
      </c>
      <c r="HM285" s="319" t="s">
        <v>429</v>
      </c>
      <c r="HN285" s="319" t="s">
        <v>429</v>
      </c>
      <c r="HO285" s="319" t="s">
        <v>429</v>
      </c>
      <c r="HP285" s="319" t="s">
        <v>190</v>
      </c>
      <c r="HQ285" s="319" t="s">
        <v>190</v>
      </c>
      <c r="HR285" s="319" t="s">
        <v>190</v>
      </c>
      <c r="HS285" s="319" t="s">
        <v>190</v>
      </c>
      <c r="HT285" s="319" t="s">
        <v>190</v>
      </c>
      <c r="HU285" s="319" t="s">
        <v>190</v>
      </c>
      <c r="HV285" s="319" t="s">
        <v>190</v>
      </c>
      <c r="HW285" s="319" t="s">
        <v>190</v>
      </c>
      <c r="HX285" s="319" t="s">
        <v>190</v>
      </c>
      <c r="HY285" s="319" t="s">
        <v>190</v>
      </c>
      <c r="HZ285" s="319" t="s">
        <v>190</v>
      </c>
      <c r="IA285" s="319" t="s">
        <v>190</v>
      </c>
      <c r="IB285" s="319" t="s">
        <v>190</v>
      </c>
      <c r="IC285" s="319" t="s">
        <v>190</v>
      </c>
      <c r="ID285" s="319" t="s">
        <v>190</v>
      </c>
      <c r="IE285" s="319" t="s">
        <v>190</v>
      </c>
      <c r="IF285" s="319" t="s">
        <v>190</v>
      </c>
      <c r="IG285" s="319" t="s">
        <v>190</v>
      </c>
      <c r="IH285" s="319" t="s">
        <v>190</v>
      </c>
      <c r="II285" s="319" t="s">
        <v>190</v>
      </c>
      <c r="IJ285" s="319" t="s">
        <v>3079</v>
      </c>
      <c r="IK285" s="321">
        <v>41814</v>
      </c>
      <c r="IL285" s="321">
        <v>41816</v>
      </c>
      <c r="IM285" s="321">
        <v>41871</v>
      </c>
      <c r="IN285" s="319">
        <v>3</v>
      </c>
      <c r="IO285" s="319" t="s">
        <v>173</v>
      </c>
      <c r="IP285" s="319" t="s">
        <v>173</v>
      </c>
      <c r="IQ285" s="321" t="s">
        <v>173</v>
      </c>
      <c r="IR285" s="320" t="s">
        <v>173</v>
      </c>
      <c r="IS285" s="322" t="s">
        <v>173</v>
      </c>
      <c r="IT285" s="319" t="s">
        <v>173</v>
      </c>
    </row>
    <row r="286" spans="1:254" s="271" customFormat="1" x14ac:dyDescent="0.25">
      <c r="A286" s="318" t="str">
        <f>HYPERLINK("http://www.ofsted.gov.uk/inspection-reports/find-inspection-report/provider/ELS/131016 ","Ofsted School Webpage")</f>
        <v>Ofsted School Webpage</v>
      </c>
      <c r="B286" s="319">
        <v>131016</v>
      </c>
      <c r="C286" s="319">
        <v>9336195</v>
      </c>
      <c r="D286" s="319" t="s">
        <v>776</v>
      </c>
      <c r="E286" s="319" t="s">
        <v>168</v>
      </c>
      <c r="F286" s="319" t="s">
        <v>81</v>
      </c>
      <c r="G286" s="319" t="s">
        <v>81</v>
      </c>
      <c r="H286" s="319" t="s">
        <v>81</v>
      </c>
      <c r="I286" s="319" t="s">
        <v>78</v>
      </c>
      <c r="J286" s="319" t="s">
        <v>424</v>
      </c>
      <c r="K286" s="319" t="s">
        <v>422</v>
      </c>
      <c r="L286" s="319" t="s">
        <v>422</v>
      </c>
      <c r="M286" s="319" t="s">
        <v>466</v>
      </c>
      <c r="N286" s="319" t="s">
        <v>3028</v>
      </c>
      <c r="O286" s="319" t="s">
        <v>777</v>
      </c>
      <c r="P286" s="319">
        <v>37</v>
      </c>
      <c r="Q286" s="319" t="s">
        <v>2776</v>
      </c>
      <c r="R286" s="320">
        <v>10053774</v>
      </c>
      <c r="S286" s="321">
        <v>43445</v>
      </c>
      <c r="T286" s="321">
        <v>43447</v>
      </c>
      <c r="U286" s="321">
        <v>43488</v>
      </c>
      <c r="V286" s="319" t="s">
        <v>554</v>
      </c>
      <c r="W286" s="319" t="s">
        <v>2767</v>
      </c>
      <c r="X286" s="319">
        <v>2</v>
      </c>
      <c r="Y286" s="319" t="s">
        <v>173</v>
      </c>
      <c r="Z286" s="319" t="s">
        <v>173</v>
      </c>
      <c r="AA286" s="319" t="s">
        <v>173</v>
      </c>
      <c r="AB286" s="319">
        <v>2</v>
      </c>
      <c r="AC286" s="319" t="s">
        <v>169</v>
      </c>
      <c r="AD286" s="319" t="s">
        <v>173</v>
      </c>
      <c r="AE286" s="319">
        <v>2</v>
      </c>
      <c r="AF286" s="319" t="s">
        <v>427</v>
      </c>
      <c r="AG286" s="319" t="s">
        <v>171</v>
      </c>
      <c r="AH286" s="319" t="s">
        <v>190</v>
      </c>
      <c r="AI286" s="319" t="s">
        <v>190</v>
      </c>
      <c r="AJ286" s="319" t="s">
        <v>190</v>
      </c>
      <c r="AK286" s="319" t="s">
        <v>190</v>
      </c>
      <c r="AL286" s="319" t="s">
        <v>190</v>
      </c>
      <c r="AM286" s="319" t="s">
        <v>190</v>
      </c>
      <c r="AN286" s="319" t="s">
        <v>190</v>
      </c>
      <c r="AO286" s="319" t="s">
        <v>190</v>
      </c>
      <c r="AP286" s="319" t="s">
        <v>190</v>
      </c>
      <c r="AQ286" s="319" t="s">
        <v>190</v>
      </c>
      <c r="AR286" s="319" t="s">
        <v>190</v>
      </c>
      <c r="AS286" s="319" t="s">
        <v>190</v>
      </c>
      <c r="AT286" s="319" t="s">
        <v>190</v>
      </c>
      <c r="AU286" s="319" t="s">
        <v>190</v>
      </c>
      <c r="AV286" s="319" t="s">
        <v>190</v>
      </c>
      <c r="AW286" s="319" t="s">
        <v>190</v>
      </c>
      <c r="AX286" s="319" t="s">
        <v>190</v>
      </c>
      <c r="AY286" s="319" t="s">
        <v>190</v>
      </c>
      <c r="AZ286" s="319" t="s">
        <v>190</v>
      </c>
      <c r="BA286" s="319" t="s">
        <v>190</v>
      </c>
      <c r="BB286" s="319" t="s">
        <v>190</v>
      </c>
      <c r="BC286" s="319" t="s">
        <v>190</v>
      </c>
      <c r="BD286" s="319" t="s">
        <v>190</v>
      </c>
      <c r="BE286" s="319" t="s">
        <v>190</v>
      </c>
      <c r="BF286" s="319" t="s">
        <v>428</v>
      </c>
      <c r="BG286" s="319" t="s">
        <v>190</v>
      </c>
      <c r="BH286" s="319" t="s">
        <v>190</v>
      </c>
      <c r="BI286" s="319" t="s">
        <v>190</v>
      </c>
      <c r="BJ286" s="319" t="s">
        <v>190</v>
      </c>
      <c r="BK286" s="319" t="s">
        <v>190</v>
      </c>
      <c r="BL286" s="319" t="s">
        <v>190</v>
      </c>
      <c r="BM286" s="319" t="s">
        <v>190</v>
      </c>
      <c r="BN286" s="319" t="s">
        <v>190</v>
      </c>
      <c r="BO286" s="319" t="s">
        <v>190</v>
      </c>
      <c r="BP286" s="319" t="s">
        <v>190</v>
      </c>
      <c r="BQ286" s="319" t="s">
        <v>190</v>
      </c>
      <c r="BR286" s="319" t="s">
        <v>190</v>
      </c>
      <c r="BS286" s="319" t="s">
        <v>190</v>
      </c>
      <c r="BT286" s="319" t="s">
        <v>190</v>
      </c>
      <c r="BU286" s="319" t="s">
        <v>190</v>
      </c>
      <c r="BV286" s="319" t="s">
        <v>190</v>
      </c>
      <c r="BW286" s="319" t="s">
        <v>190</v>
      </c>
      <c r="BX286" s="319" t="s">
        <v>190</v>
      </c>
      <c r="BY286" s="319" t="s">
        <v>190</v>
      </c>
      <c r="BZ286" s="319" t="s">
        <v>190</v>
      </c>
      <c r="CA286" s="319" t="s">
        <v>190</v>
      </c>
      <c r="CB286" s="319" t="s">
        <v>190</v>
      </c>
      <c r="CC286" s="319" t="s">
        <v>190</v>
      </c>
      <c r="CD286" s="319" t="s">
        <v>190</v>
      </c>
      <c r="CE286" s="319" t="s">
        <v>190</v>
      </c>
      <c r="CF286" s="319" t="s">
        <v>190</v>
      </c>
      <c r="CG286" s="319" t="s">
        <v>190</v>
      </c>
      <c r="CH286" s="319" t="s">
        <v>190</v>
      </c>
      <c r="CI286" s="319" t="s">
        <v>190</v>
      </c>
      <c r="CJ286" s="319" t="s">
        <v>190</v>
      </c>
      <c r="CK286" s="319" t="s">
        <v>190</v>
      </c>
      <c r="CL286" s="319" t="s">
        <v>190</v>
      </c>
      <c r="CM286" s="319" t="s">
        <v>190</v>
      </c>
      <c r="CN286" s="319" t="s">
        <v>190</v>
      </c>
      <c r="CO286" s="319" t="s">
        <v>190</v>
      </c>
      <c r="CP286" s="319" t="s">
        <v>190</v>
      </c>
      <c r="CQ286" s="319" t="s">
        <v>190</v>
      </c>
      <c r="CR286" s="319" t="s">
        <v>190</v>
      </c>
      <c r="CS286" s="319" t="s">
        <v>190</v>
      </c>
      <c r="CT286" s="319" t="s">
        <v>190</v>
      </c>
      <c r="CU286" s="319" t="s">
        <v>190</v>
      </c>
      <c r="CV286" s="319" t="s">
        <v>190</v>
      </c>
      <c r="CW286" s="319" t="s">
        <v>190</v>
      </c>
      <c r="CX286" s="319" t="s">
        <v>190</v>
      </c>
      <c r="CY286" s="319" t="s">
        <v>190</v>
      </c>
      <c r="CZ286" s="319" t="s">
        <v>190</v>
      </c>
      <c r="DA286" s="319" t="s">
        <v>190</v>
      </c>
      <c r="DB286" s="319" t="s">
        <v>190</v>
      </c>
      <c r="DC286" s="319" t="s">
        <v>190</v>
      </c>
      <c r="DD286" s="319" t="s">
        <v>190</v>
      </c>
      <c r="DE286" s="319" t="s">
        <v>190</v>
      </c>
      <c r="DF286" s="319" t="s">
        <v>190</v>
      </c>
      <c r="DG286" s="319" t="s">
        <v>190</v>
      </c>
      <c r="DH286" s="319" t="s">
        <v>190</v>
      </c>
      <c r="DI286" s="319" t="s">
        <v>190</v>
      </c>
      <c r="DJ286" s="319" t="s">
        <v>190</v>
      </c>
      <c r="DK286" s="319" t="s">
        <v>190</v>
      </c>
      <c r="DL286" s="319" t="s">
        <v>190</v>
      </c>
      <c r="DM286" s="319" t="s">
        <v>190</v>
      </c>
      <c r="DN286" s="319" t="s">
        <v>190</v>
      </c>
      <c r="DO286" s="319" t="s">
        <v>190</v>
      </c>
      <c r="DP286" s="319" t="s">
        <v>428</v>
      </c>
      <c r="DQ286" s="319" t="s">
        <v>428</v>
      </c>
      <c r="DR286" s="319" t="s">
        <v>428</v>
      </c>
      <c r="DS286" s="319" t="s">
        <v>428</v>
      </c>
      <c r="DT286" s="319" t="s">
        <v>428</v>
      </c>
      <c r="DU286" s="319" t="s">
        <v>428</v>
      </c>
      <c r="DV286" s="319" t="s">
        <v>173</v>
      </c>
      <c r="DW286" s="319" t="s">
        <v>428</v>
      </c>
      <c r="DX286" s="319" t="s">
        <v>428</v>
      </c>
      <c r="DY286" s="319" t="s">
        <v>428</v>
      </c>
      <c r="DZ286" s="319" t="s">
        <v>428</v>
      </c>
      <c r="EA286" s="319" t="s">
        <v>428</v>
      </c>
      <c r="EB286" s="319" t="s">
        <v>428</v>
      </c>
      <c r="EC286" s="319" t="s">
        <v>428</v>
      </c>
      <c r="ED286" s="319" t="s">
        <v>428</v>
      </c>
      <c r="EE286" s="319" t="s">
        <v>190</v>
      </c>
      <c r="EF286" s="319" t="s">
        <v>190</v>
      </c>
      <c r="EG286" s="319" t="s">
        <v>190</v>
      </c>
      <c r="EH286" s="319" t="s">
        <v>190</v>
      </c>
      <c r="EI286" s="319" t="s">
        <v>190</v>
      </c>
      <c r="EJ286" s="319" t="s">
        <v>190</v>
      </c>
      <c r="EK286" s="319" t="s">
        <v>190</v>
      </c>
      <c r="EL286" s="319" t="s">
        <v>190</v>
      </c>
      <c r="EM286" s="319" t="s">
        <v>190</v>
      </c>
      <c r="EN286" s="319" t="s">
        <v>190</v>
      </c>
      <c r="EO286" s="319" t="s">
        <v>190</v>
      </c>
      <c r="EP286" s="319" t="s">
        <v>190</v>
      </c>
      <c r="EQ286" s="319" t="s">
        <v>190</v>
      </c>
      <c r="ER286" s="319" t="s">
        <v>190</v>
      </c>
      <c r="ES286" s="319" t="s">
        <v>190</v>
      </c>
      <c r="ET286" s="319" t="s">
        <v>190</v>
      </c>
      <c r="EU286" s="319" t="s">
        <v>190</v>
      </c>
      <c r="EV286" s="319" t="s">
        <v>190</v>
      </c>
      <c r="EW286" s="319" t="s">
        <v>190</v>
      </c>
      <c r="EX286" s="319" t="s">
        <v>190</v>
      </c>
      <c r="EY286" s="319" t="s">
        <v>190</v>
      </c>
      <c r="EZ286" s="319" t="s">
        <v>190</v>
      </c>
      <c r="FA286" s="319" t="s">
        <v>190</v>
      </c>
      <c r="FB286" s="319" t="s">
        <v>428</v>
      </c>
      <c r="FC286" s="319" t="s">
        <v>428</v>
      </c>
      <c r="FD286" s="319" t="s">
        <v>428</v>
      </c>
      <c r="FE286" s="319" t="s">
        <v>428</v>
      </c>
      <c r="FF286" s="319" t="s">
        <v>428</v>
      </c>
      <c r="FG286" s="319" t="s">
        <v>428</v>
      </c>
      <c r="FH286" s="319" t="s">
        <v>190</v>
      </c>
      <c r="FI286" s="319" t="s">
        <v>190</v>
      </c>
      <c r="FJ286" s="319" t="s">
        <v>190</v>
      </c>
      <c r="FK286" s="319" t="s">
        <v>190</v>
      </c>
      <c r="FL286" s="319" t="s">
        <v>190</v>
      </c>
      <c r="FM286" s="319" t="s">
        <v>190</v>
      </c>
      <c r="FN286" s="319" t="s">
        <v>190</v>
      </c>
      <c r="FO286" s="319" t="s">
        <v>190</v>
      </c>
      <c r="FP286" s="319" t="s">
        <v>190</v>
      </c>
      <c r="FQ286" s="319" t="s">
        <v>190</v>
      </c>
      <c r="FR286" s="319" t="s">
        <v>190</v>
      </c>
      <c r="FS286" s="319" t="s">
        <v>190</v>
      </c>
      <c r="FT286" s="319" t="s">
        <v>190</v>
      </c>
      <c r="FU286" s="319" t="s">
        <v>190</v>
      </c>
      <c r="FV286" s="319" t="s">
        <v>190</v>
      </c>
      <c r="FW286" s="319" t="s">
        <v>190</v>
      </c>
      <c r="FX286" s="319" t="s">
        <v>190</v>
      </c>
      <c r="FY286" s="319" t="s">
        <v>190</v>
      </c>
      <c r="FZ286" s="319" t="s">
        <v>190</v>
      </c>
      <c r="GA286" s="319" t="s">
        <v>190</v>
      </c>
      <c r="GB286" s="319" t="s">
        <v>190</v>
      </c>
      <c r="GC286" s="319" t="s">
        <v>190</v>
      </c>
      <c r="GD286" s="319" t="s">
        <v>190</v>
      </c>
      <c r="GE286" s="319" t="s">
        <v>190</v>
      </c>
      <c r="GF286" s="319" t="s">
        <v>190</v>
      </c>
      <c r="GG286" s="319" t="s">
        <v>190</v>
      </c>
      <c r="GH286" s="319" t="s">
        <v>190</v>
      </c>
      <c r="GI286" s="319" t="s">
        <v>190</v>
      </c>
      <c r="GJ286" s="319" t="s">
        <v>190</v>
      </c>
      <c r="GK286" s="319" t="s">
        <v>190</v>
      </c>
      <c r="GL286" s="319" t="s">
        <v>190</v>
      </c>
      <c r="GM286" s="319" t="s">
        <v>190</v>
      </c>
      <c r="GN286" s="319" t="s">
        <v>190</v>
      </c>
      <c r="GO286" s="319" t="s">
        <v>190</v>
      </c>
      <c r="GP286" s="319" t="s">
        <v>190</v>
      </c>
      <c r="GQ286" s="319" t="s">
        <v>190</v>
      </c>
      <c r="GR286" s="319" t="s">
        <v>190</v>
      </c>
      <c r="GS286" s="319" t="s">
        <v>190</v>
      </c>
      <c r="GT286" s="319" t="s">
        <v>190</v>
      </c>
      <c r="GU286" s="319" t="s">
        <v>190</v>
      </c>
      <c r="GV286" s="319" t="s">
        <v>428</v>
      </c>
      <c r="GW286" s="319" t="s">
        <v>190</v>
      </c>
      <c r="GX286" s="319" t="s">
        <v>190</v>
      </c>
      <c r="GY286" s="319" t="s">
        <v>190</v>
      </c>
      <c r="GZ286" s="319" t="s">
        <v>428</v>
      </c>
      <c r="HA286" s="319" t="s">
        <v>190</v>
      </c>
      <c r="HB286" s="319" t="s">
        <v>190</v>
      </c>
      <c r="HC286" s="319" t="s">
        <v>190</v>
      </c>
      <c r="HD286" s="319" t="s">
        <v>190</v>
      </c>
      <c r="HE286" s="319" t="s">
        <v>190</v>
      </c>
      <c r="HF286" s="319" t="s">
        <v>190</v>
      </c>
      <c r="HG286" s="319" t="s">
        <v>190</v>
      </c>
      <c r="HH286" s="319" t="s">
        <v>190</v>
      </c>
      <c r="HI286" s="319" t="s">
        <v>190</v>
      </c>
      <c r="HJ286" s="319" t="s">
        <v>190</v>
      </c>
      <c r="HK286" s="319" t="s">
        <v>190</v>
      </c>
      <c r="HL286" s="319" t="s">
        <v>428</v>
      </c>
      <c r="HM286" s="319" t="s">
        <v>428</v>
      </c>
      <c r="HN286" s="319" t="s">
        <v>428</v>
      </c>
      <c r="HO286" s="319" t="s">
        <v>428</v>
      </c>
      <c r="HP286" s="319" t="s">
        <v>190</v>
      </c>
      <c r="HQ286" s="319" t="s">
        <v>190</v>
      </c>
      <c r="HR286" s="319" t="s">
        <v>190</v>
      </c>
      <c r="HS286" s="319" t="s">
        <v>190</v>
      </c>
      <c r="HT286" s="319" t="s">
        <v>190</v>
      </c>
      <c r="HU286" s="319" t="s">
        <v>190</v>
      </c>
      <c r="HV286" s="319" t="s">
        <v>190</v>
      </c>
      <c r="HW286" s="319" t="s">
        <v>190</v>
      </c>
      <c r="HX286" s="319" t="s">
        <v>190</v>
      </c>
      <c r="HY286" s="319" t="s">
        <v>190</v>
      </c>
      <c r="HZ286" s="319" t="s">
        <v>190</v>
      </c>
      <c r="IA286" s="319" t="s">
        <v>190</v>
      </c>
      <c r="IB286" s="319" t="s">
        <v>190</v>
      </c>
      <c r="IC286" s="319" t="s">
        <v>190</v>
      </c>
      <c r="ID286" s="319" t="s">
        <v>190</v>
      </c>
      <c r="IE286" s="319" t="s">
        <v>190</v>
      </c>
      <c r="IF286" s="319" t="s">
        <v>190</v>
      </c>
      <c r="IG286" s="319" t="s">
        <v>190</v>
      </c>
      <c r="IH286" s="319" t="s">
        <v>190</v>
      </c>
      <c r="II286" s="319" t="s">
        <v>190</v>
      </c>
      <c r="IJ286" s="319">
        <v>10006135</v>
      </c>
      <c r="IK286" s="321">
        <v>42332</v>
      </c>
      <c r="IL286" s="321">
        <v>42334</v>
      </c>
      <c r="IM286" s="321">
        <v>42404</v>
      </c>
      <c r="IN286" s="319">
        <v>2</v>
      </c>
      <c r="IO286" s="319" t="s">
        <v>173</v>
      </c>
      <c r="IP286" s="319" t="s">
        <v>173</v>
      </c>
      <c r="IQ286" s="321" t="s">
        <v>173</v>
      </c>
      <c r="IR286" s="320" t="s">
        <v>173</v>
      </c>
      <c r="IS286" s="322" t="s">
        <v>173</v>
      </c>
      <c r="IT286" s="319" t="s">
        <v>173</v>
      </c>
    </row>
    <row r="287" spans="1:254" s="271" customFormat="1" x14ac:dyDescent="0.25">
      <c r="A287" s="318" t="str">
        <f>HYPERLINK("http://www.ofsted.gov.uk/inspection-reports/find-inspection-report/provider/ELS/131018 ","Ofsted School Webpage")</f>
        <v>Ofsted School Webpage</v>
      </c>
      <c r="B287" s="319">
        <v>131018</v>
      </c>
      <c r="C287" s="319">
        <v>8576004</v>
      </c>
      <c r="D287" s="319" t="s">
        <v>995</v>
      </c>
      <c r="E287" s="319" t="s">
        <v>168</v>
      </c>
      <c r="F287" s="319" t="s">
        <v>81</v>
      </c>
      <c r="G287" s="319" t="s">
        <v>81</v>
      </c>
      <c r="H287" s="319" t="s">
        <v>81</v>
      </c>
      <c r="I287" s="319" t="s">
        <v>78</v>
      </c>
      <c r="J287" s="319" t="s">
        <v>424</v>
      </c>
      <c r="K287" s="319" t="s">
        <v>506</v>
      </c>
      <c r="L287" s="319" t="s">
        <v>506</v>
      </c>
      <c r="M287" s="319" t="s">
        <v>987</v>
      </c>
      <c r="N287" s="319" t="s">
        <v>2999</v>
      </c>
      <c r="O287" s="319" t="s">
        <v>996</v>
      </c>
      <c r="P287" s="319">
        <v>16</v>
      </c>
      <c r="Q287" s="319" t="s">
        <v>2776</v>
      </c>
      <c r="R287" s="320">
        <v>10078679</v>
      </c>
      <c r="S287" s="321">
        <v>43648</v>
      </c>
      <c r="T287" s="321">
        <v>43650</v>
      </c>
      <c r="U287" s="321">
        <v>43718</v>
      </c>
      <c r="V287" s="319" t="s">
        <v>425</v>
      </c>
      <c r="W287" s="319" t="s">
        <v>2767</v>
      </c>
      <c r="X287" s="319">
        <v>2</v>
      </c>
      <c r="Y287" s="319" t="s">
        <v>173</v>
      </c>
      <c r="Z287" s="319" t="s">
        <v>173</v>
      </c>
      <c r="AA287" s="319" t="s">
        <v>173</v>
      </c>
      <c r="AB287" s="319">
        <v>2</v>
      </c>
      <c r="AC287" s="319" t="s">
        <v>169</v>
      </c>
      <c r="AD287" s="319" t="s">
        <v>173</v>
      </c>
      <c r="AE287" s="319" t="s">
        <v>173</v>
      </c>
      <c r="AF287" s="319" t="s">
        <v>427</v>
      </c>
      <c r="AG287" s="319" t="s">
        <v>171</v>
      </c>
      <c r="AH287" s="319" t="s">
        <v>190</v>
      </c>
      <c r="AI287" s="319" t="s">
        <v>190</v>
      </c>
      <c r="AJ287" s="319" t="s">
        <v>190</v>
      </c>
      <c r="AK287" s="319" t="s">
        <v>190</v>
      </c>
      <c r="AL287" s="319" t="s">
        <v>190</v>
      </c>
      <c r="AM287" s="319" t="s">
        <v>190</v>
      </c>
      <c r="AN287" s="319" t="s">
        <v>190</v>
      </c>
      <c r="AO287" s="319" t="s">
        <v>190</v>
      </c>
      <c r="AP287" s="319" t="s">
        <v>190</v>
      </c>
      <c r="AQ287" s="319" t="s">
        <v>190</v>
      </c>
      <c r="AR287" s="319" t="s">
        <v>190</v>
      </c>
      <c r="AS287" s="319" t="s">
        <v>190</v>
      </c>
      <c r="AT287" s="319" t="s">
        <v>190</v>
      </c>
      <c r="AU287" s="319" t="s">
        <v>190</v>
      </c>
      <c r="AV287" s="319" t="s">
        <v>190</v>
      </c>
      <c r="AW287" s="319" t="s">
        <v>190</v>
      </c>
      <c r="AX287" s="319" t="s">
        <v>428</v>
      </c>
      <c r="AY287" s="319" t="s">
        <v>190</v>
      </c>
      <c r="AZ287" s="319" t="s">
        <v>190</v>
      </c>
      <c r="BA287" s="319" t="s">
        <v>190</v>
      </c>
      <c r="BB287" s="319" t="s">
        <v>190</v>
      </c>
      <c r="BC287" s="319" t="s">
        <v>190</v>
      </c>
      <c r="BD287" s="319" t="s">
        <v>190</v>
      </c>
      <c r="BE287" s="319" t="s">
        <v>190</v>
      </c>
      <c r="BF287" s="319" t="s">
        <v>428</v>
      </c>
      <c r="BG287" s="319" t="s">
        <v>190</v>
      </c>
      <c r="BH287" s="319" t="s">
        <v>190</v>
      </c>
      <c r="BI287" s="319" t="s">
        <v>190</v>
      </c>
      <c r="BJ287" s="319" t="s">
        <v>190</v>
      </c>
      <c r="BK287" s="319" t="s">
        <v>190</v>
      </c>
      <c r="BL287" s="319" t="s">
        <v>190</v>
      </c>
      <c r="BM287" s="319" t="s">
        <v>190</v>
      </c>
      <c r="BN287" s="319" t="s">
        <v>190</v>
      </c>
      <c r="BO287" s="319" t="s">
        <v>190</v>
      </c>
      <c r="BP287" s="319" t="s">
        <v>190</v>
      </c>
      <c r="BQ287" s="319" t="s">
        <v>190</v>
      </c>
      <c r="BR287" s="319" t="s">
        <v>190</v>
      </c>
      <c r="BS287" s="319" t="s">
        <v>190</v>
      </c>
      <c r="BT287" s="319" t="s">
        <v>190</v>
      </c>
      <c r="BU287" s="319" t="s">
        <v>190</v>
      </c>
      <c r="BV287" s="319" t="s">
        <v>190</v>
      </c>
      <c r="BW287" s="319" t="s">
        <v>190</v>
      </c>
      <c r="BX287" s="319" t="s">
        <v>190</v>
      </c>
      <c r="BY287" s="319" t="s">
        <v>190</v>
      </c>
      <c r="BZ287" s="319" t="s">
        <v>190</v>
      </c>
      <c r="CA287" s="319" t="s">
        <v>190</v>
      </c>
      <c r="CB287" s="319" t="s">
        <v>190</v>
      </c>
      <c r="CC287" s="319" t="s">
        <v>190</v>
      </c>
      <c r="CD287" s="319" t="s">
        <v>190</v>
      </c>
      <c r="CE287" s="319" t="s">
        <v>190</v>
      </c>
      <c r="CF287" s="319" t="s">
        <v>190</v>
      </c>
      <c r="CG287" s="319" t="s">
        <v>190</v>
      </c>
      <c r="CH287" s="319" t="s">
        <v>190</v>
      </c>
      <c r="CI287" s="319" t="s">
        <v>190</v>
      </c>
      <c r="CJ287" s="319" t="s">
        <v>190</v>
      </c>
      <c r="CK287" s="319" t="s">
        <v>190</v>
      </c>
      <c r="CL287" s="319" t="s">
        <v>190</v>
      </c>
      <c r="CM287" s="319" t="s">
        <v>190</v>
      </c>
      <c r="CN287" s="319" t="s">
        <v>428</v>
      </c>
      <c r="CO287" s="319" t="s">
        <v>428</v>
      </c>
      <c r="CP287" s="319" t="s">
        <v>428</v>
      </c>
      <c r="CQ287" s="319" t="s">
        <v>190</v>
      </c>
      <c r="CR287" s="319" t="s">
        <v>190</v>
      </c>
      <c r="CS287" s="319" t="s">
        <v>190</v>
      </c>
      <c r="CT287" s="319" t="s">
        <v>190</v>
      </c>
      <c r="CU287" s="319" t="s">
        <v>190</v>
      </c>
      <c r="CV287" s="319" t="s">
        <v>190</v>
      </c>
      <c r="CW287" s="319" t="s">
        <v>190</v>
      </c>
      <c r="CX287" s="319" t="s">
        <v>190</v>
      </c>
      <c r="CY287" s="319" t="s">
        <v>190</v>
      </c>
      <c r="CZ287" s="319" t="s">
        <v>190</v>
      </c>
      <c r="DA287" s="319" t="s">
        <v>190</v>
      </c>
      <c r="DB287" s="319" t="s">
        <v>190</v>
      </c>
      <c r="DC287" s="319" t="s">
        <v>190</v>
      </c>
      <c r="DD287" s="319" t="s">
        <v>190</v>
      </c>
      <c r="DE287" s="319" t="s">
        <v>190</v>
      </c>
      <c r="DF287" s="319" t="s">
        <v>190</v>
      </c>
      <c r="DG287" s="319" t="s">
        <v>190</v>
      </c>
      <c r="DH287" s="319" t="s">
        <v>190</v>
      </c>
      <c r="DI287" s="319" t="s">
        <v>190</v>
      </c>
      <c r="DJ287" s="319" t="s">
        <v>190</v>
      </c>
      <c r="DK287" s="319" t="s">
        <v>190</v>
      </c>
      <c r="DL287" s="319" t="s">
        <v>190</v>
      </c>
      <c r="DM287" s="319" t="s">
        <v>190</v>
      </c>
      <c r="DN287" s="319" t="s">
        <v>428</v>
      </c>
      <c r="DO287" s="319" t="s">
        <v>190</v>
      </c>
      <c r="DP287" s="319" t="s">
        <v>190</v>
      </c>
      <c r="DQ287" s="319" t="s">
        <v>190</v>
      </c>
      <c r="DR287" s="319" t="s">
        <v>190</v>
      </c>
      <c r="DS287" s="319" t="s">
        <v>190</v>
      </c>
      <c r="DT287" s="319" t="s">
        <v>190</v>
      </c>
      <c r="DU287" s="319" t="s">
        <v>190</v>
      </c>
      <c r="DV287" s="319" t="s">
        <v>173</v>
      </c>
      <c r="DW287" s="319" t="s">
        <v>190</v>
      </c>
      <c r="DX287" s="319" t="s">
        <v>190</v>
      </c>
      <c r="DY287" s="319" t="s">
        <v>190</v>
      </c>
      <c r="DZ287" s="319" t="s">
        <v>190</v>
      </c>
      <c r="EA287" s="319" t="s">
        <v>190</v>
      </c>
      <c r="EB287" s="319" t="s">
        <v>190</v>
      </c>
      <c r="EC287" s="319" t="s">
        <v>428</v>
      </c>
      <c r="ED287" s="319" t="s">
        <v>190</v>
      </c>
      <c r="EE287" s="319" t="s">
        <v>190</v>
      </c>
      <c r="EF287" s="319" t="s">
        <v>190</v>
      </c>
      <c r="EG287" s="319" t="s">
        <v>190</v>
      </c>
      <c r="EH287" s="319" t="s">
        <v>190</v>
      </c>
      <c r="EI287" s="319" t="s">
        <v>190</v>
      </c>
      <c r="EJ287" s="319" t="s">
        <v>190</v>
      </c>
      <c r="EK287" s="319" t="s">
        <v>190</v>
      </c>
      <c r="EL287" s="319" t="s">
        <v>190</v>
      </c>
      <c r="EM287" s="319" t="s">
        <v>190</v>
      </c>
      <c r="EN287" s="319" t="s">
        <v>190</v>
      </c>
      <c r="EO287" s="319" t="s">
        <v>190</v>
      </c>
      <c r="EP287" s="319" t="s">
        <v>190</v>
      </c>
      <c r="EQ287" s="319" t="s">
        <v>190</v>
      </c>
      <c r="ER287" s="319" t="s">
        <v>190</v>
      </c>
      <c r="ES287" s="319" t="s">
        <v>190</v>
      </c>
      <c r="ET287" s="319" t="s">
        <v>190</v>
      </c>
      <c r="EU287" s="319" t="s">
        <v>190</v>
      </c>
      <c r="EV287" s="319" t="s">
        <v>190</v>
      </c>
      <c r="EW287" s="319" t="s">
        <v>190</v>
      </c>
      <c r="EX287" s="319" t="s">
        <v>190</v>
      </c>
      <c r="EY287" s="319" t="s">
        <v>190</v>
      </c>
      <c r="EZ287" s="319" t="s">
        <v>190</v>
      </c>
      <c r="FA287" s="319" t="s">
        <v>428</v>
      </c>
      <c r="FB287" s="319" t="s">
        <v>190</v>
      </c>
      <c r="FC287" s="319" t="s">
        <v>190</v>
      </c>
      <c r="FD287" s="319" t="s">
        <v>190</v>
      </c>
      <c r="FE287" s="319" t="s">
        <v>190</v>
      </c>
      <c r="FF287" s="319" t="s">
        <v>190</v>
      </c>
      <c r="FG287" s="319" t="s">
        <v>190</v>
      </c>
      <c r="FH287" s="319" t="s">
        <v>190</v>
      </c>
      <c r="FI287" s="319" t="s">
        <v>428</v>
      </c>
      <c r="FJ287" s="319" t="s">
        <v>429</v>
      </c>
      <c r="FK287" s="319" t="s">
        <v>428</v>
      </c>
      <c r="FL287" s="319" t="s">
        <v>190</v>
      </c>
      <c r="FM287" s="319" t="s">
        <v>190</v>
      </c>
      <c r="FN287" s="319" t="s">
        <v>190</v>
      </c>
      <c r="FO287" s="319" t="s">
        <v>190</v>
      </c>
      <c r="FP287" s="319" t="s">
        <v>190</v>
      </c>
      <c r="FQ287" s="319" t="s">
        <v>190</v>
      </c>
      <c r="FR287" s="319" t="s">
        <v>190</v>
      </c>
      <c r="FS287" s="319" t="s">
        <v>428</v>
      </c>
      <c r="FT287" s="319" t="s">
        <v>190</v>
      </c>
      <c r="FU287" s="319" t="s">
        <v>190</v>
      </c>
      <c r="FV287" s="319" t="s">
        <v>190</v>
      </c>
      <c r="FW287" s="319" t="s">
        <v>190</v>
      </c>
      <c r="FX287" s="319" t="s">
        <v>190</v>
      </c>
      <c r="FY287" s="319" t="s">
        <v>190</v>
      </c>
      <c r="FZ287" s="319" t="s">
        <v>190</v>
      </c>
      <c r="GA287" s="319" t="s">
        <v>190</v>
      </c>
      <c r="GB287" s="319" t="s">
        <v>190</v>
      </c>
      <c r="GC287" s="319" t="s">
        <v>190</v>
      </c>
      <c r="GD287" s="319" t="s">
        <v>190</v>
      </c>
      <c r="GE287" s="319" t="s">
        <v>190</v>
      </c>
      <c r="GF287" s="319" t="s">
        <v>190</v>
      </c>
      <c r="GG287" s="319" t="s">
        <v>190</v>
      </c>
      <c r="GH287" s="319" t="s">
        <v>190</v>
      </c>
      <c r="GI287" s="319" t="s">
        <v>190</v>
      </c>
      <c r="GJ287" s="319" t="s">
        <v>190</v>
      </c>
      <c r="GK287" s="319" t="s">
        <v>428</v>
      </c>
      <c r="GL287" s="319" t="s">
        <v>190</v>
      </c>
      <c r="GM287" s="319" t="s">
        <v>190</v>
      </c>
      <c r="GN287" s="319" t="s">
        <v>190</v>
      </c>
      <c r="GO287" s="319" t="s">
        <v>190</v>
      </c>
      <c r="GP287" s="319" t="s">
        <v>190</v>
      </c>
      <c r="GQ287" s="319" t="s">
        <v>428</v>
      </c>
      <c r="GR287" s="319" t="s">
        <v>190</v>
      </c>
      <c r="GS287" s="319" t="s">
        <v>190</v>
      </c>
      <c r="GT287" s="319" t="s">
        <v>190</v>
      </c>
      <c r="GU287" s="319" t="s">
        <v>190</v>
      </c>
      <c r="GV287" s="319" t="s">
        <v>190</v>
      </c>
      <c r="GW287" s="319" t="s">
        <v>190</v>
      </c>
      <c r="GX287" s="319" t="s">
        <v>190</v>
      </c>
      <c r="GY287" s="319" t="s">
        <v>190</v>
      </c>
      <c r="GZ287" s="319" t="s">
        <v>428</v>
      </c>
      <c r="HA287" s="319" t="s">
        <v>190</v>
      </c>
      <c r="HB287" s="319" t="s">
        <v>190</v>
      </c>
      <c r="HC287" s="319" t="s">
        <v>190</v>
      </c>
      <c r="HD287" s="319" t="s">
        <v>190</v>
      </c>
      <c r="HE287" s="319" t="s">
        <v>190</v>
      </c>
      <c r="HF287" s="319" t="s">
        <v>190</v>
      </c>
      <c r="HG287" s="319" t="s">
        <v>190</v>
      </c>
      <c r="HH287" s="319" t="s">
        <v>190</v>
      </c>
      <c r="HI287" s="319" t="s">
        <v>190</v>
      </c>
      <c r="HJ287" s="319" t="s">
        <v>190</v>
      </c>
      <c r="HK287" s="319" t="s">
        <v>190</v>
      </c>
      <c r="HL287" s="319" t="s">
        <v>428</v>
      </c>
      <c r="HM287" s="319" t="s">
        <v>428</v>
      </c>
      <c r="HN287" s="319" t="s">
        <v>428</v>
      </c>
      <c r="HO287" s="319" t="s">
        <v>428</v>
      </c>
      <c r="HP287" s="319" t="s">
        <v>190</v>
      </c>
      <c r="HQ287" s="319" t="s">
        <v>190</v>
      </c>
      <c r="HR287" s="319" t="s">
        <v>190</v>
      </c>
      <c r="HS287" s="319" t="s">
        <v>190</v>
      </c>
      <c r="HT287" s="319" t="s">
        <v>190</v>
      </c>
      <c r="HU287" s="319" t="s">
        <v>190</v>
      </c>
      <c r="HV287" s="319" t="s">
        <v>190</v>
      </c>
      <c r="HW287" s="319" t="s">
        <v>190</v>
      </c>
      <c r="HX287" s="319" t="s">
        <v>190</v>
      </c>
      <c r="HY287" s="319" t="s">
        <v>190</v>
      </c>
      <c r="HZ287" s="319" t="s">
        <v>190</v>
      </c>
      <c r="IA287" s="319" t="s">
        <v>190</v>
      </c>
      <c r="IB287" s="319" t="s">
        <v>190</v>
      </c>
      <c r="IC287" s="319" t="s">
        <v>190</v>
      </c>
      <c r="ID287" s="319" t="s">
        <v>190</v>
      </c>
      <c r="IE287" s="319" t="s">
        <v>190</v>
      </c>
      <c r="IF287" s="319" t="s">
        <v>190</v>
      </c>
      <c r="IG287" s="319" t="s">
        <v>190</v>
      </c>
      <c r="IH287" s="319" t="s">
        <v>190</v>
      </c>
      <c r="II287" s="319" t="s">
        <v>190</v>
      </c>
      <c r="IJ287" s="319">
        <v>10008935</v>
      </c>
      <c r="IK287" s="321">
        <v>42423</v>
      </c>
      <c r="IL287" s="321">
        <v>42425</v>
      </c>
      <c r="IM287" s="321">
        <v>42474</v>
      </c>
      <c r="IN287" s="319">
        <v>1</v>
      </c>
      <c r="IO287" s="319" t="s">
        <v>173</v>
      </c>
      <c r="IP287" s="319" t="s">
        <v>173</v>
      </c>
      <c r="IQ287" s="321" t="s">
        <v>173</v>
      </c>
      <c r="IR287" s="320" t="s">
        <v>173</v>
      </c>
      <c r="IS287" s="322" t="s">
        <v>173</v>
      </c>
      <c r="IT287" s="319" t="s">
        <v>173</v>
      </c>
    </row>
    <row r="288" spans="1:254" s="271" customFormat="1" x14ac:dyDescent="0.25">
      <c r="A288" s="318" t="str">
        <f>HYPERLINK("http://www.ofsted.gov.uk/inspection-reports/find-inspection-report/provider/ELS/131025 ","Ofsted School Webpage")</f>
        <v>Ofsted School Webpage</v>
      </c>
      <c r="B288" s="319">
        <v>131025</v>
      </c>
      <c r="C288" s="319">
        <v>8886029</v>
      </c>
      <c r="D288" s="319" t="s">
        <v>1598</v>
      </c>
      <c r="E288" s="319" t="s">
        <v>168</v>
      </c>
      <c r="F288" s="319" t="s">
        <v>81</v>
      </c>
      <c r="G288" s="319" t="s">
        <v>81</v>
      </c>
      <c r="H288" s="319" t="s">
        <v>81</v>
      </c>
      <c r="I288" s="319" t="s">
        <v>78</v>
      </c>
      <c r="J288" s="319" t="s">
        <v>424</v>
      </c>
      <c r="K288" s="319" t="s">
        <v>431</v>
      </c>
      <c r="L288" s="319" t="s">
        <v>431</v>
      </c>
      <c r="M288" s="319" t="s">
        <v>469</v>
      </c>
      <c r="N288" s="319" t="s">
        <v>2991</v>
      </c>
      <c r="O288" s="319" t="s">
        <v>1599</v>
      </c>
      <c r="P288" s="319">
        <v>97</v>
      </c>
      <c r="Q288" s="319" t="s">
        <v>2776</v>
      </c>
      <c r="R288" s="320">
        <v>10043372</v>
      </c>
      <c r="S288" s="321">
        <v>43130</v>
      </c>
      <c r="T288" s="321">
        <v>43132</v>
      </c>
      <c r="U288" s="321">
        <v>43158</v>
      </c>
      <c r="V288" s="319" t="s">
        <v>425</v>
      </c>
      <c r="W288" s="319" t="s">
        <v>2767</v>
      </c>
      <c r="X288" s="319">
        <v>2</v>
      </c>
      <c r="Y288" s="319" t="s">
        <v>173</v>
      </c>
      <c r="Z288" s="319" t="s">
        <v>173</v>
      </c>
      <c r="AA288" s="319" t="s">
        <v>173</v>
      </c>
      <c r="AB288" s="319">
        <v>2</v>
      </c>
      <c r="AC288" s="319" t="s">
        <v>169</v>
      </c>
      <c r="AD288" s="319" t="s">
        <v>173</v>
      </c>
      <c r="AE288" s="319" t="s">
        <v>173</v>
      </c>
      <c r="AF288" s="319" t="s">
        <v>427</v>
      </c>
      <c r="AG288" s="319" t="s">
        <v>171</v>
      </c>
      <c r="AH288" s="319" t="s">
        <v>190</v>
      </c>
      <c r="AI288" s="319" t="s">
        <v>190</v>
      </c>
      <c r="AJ288" s="319" t="s">
        <v>190</v>
      </c>
      <c r="AK288" s="319" t="s">
        <v>190</v>
      </c>
      <c r="AL288" s="319" t="s">
        <v>190</v>
      </c>
      <c r="AM288" s="319" t="s">
        <v>190</v>
      </c>
      <c r="AN288" s="319" t="s">
        <v>190</v>
      </c>
      <c r="AO288" s="319" t="s">
        <v>190</v>
      </c>
      <c r="AP288" s="319" t="s">
        <v>190</v>
      </c>
      <c r="AQ288" s="319" t="s">
        <v>190</v>
      </c>
      <c r="AR288" s="319" t="s">
        <v>190</v>
      </c>
      <c r="AS288" s="319" t="s">
        <v>190</v>
      </c>
      <c r="AT288" s="319" t="s">
        <v>190</v>
      </c>
      <c r="AU288" s="319" t="s">
        <v>190</v>
      </c>
      <c r="AV288" s="319" t="s">
        <v>190</v>
      </c>
      <c r="AW288" s="319" t="s">
        <v>190</v>
      </c>
      <c r="AX288" s="319" t="s">
        <v>190</v>
      </c>
      <c r="AY288" s="319" t="s">
        <v>190</v>
      </c>
      <c r="AZ288" s="319" t="s">
        <v>190</v>
      </c>
      <c r="BA288" s="319" t="s">
        <v>190</v>
      </c>
      <c r="BB288" s="319" t="s">
        <v>190</v>
      </c>
      <c r="BC288" s="319" t="s">
        <v>190</v>
      </c>
      <c r="BD288" s="319" t="s">
        <v>190</v>
      </c>
      <c r="BE288" s="319" t="s">
        <v>190</v>
      </c>
      <c r="BF288" s="319" t="s">
        <v>428</v>
      </c>
      <c r="BG288" s="319" t="s">
        <v>428</v>
      </c>
      <c r="BH288" s="319" t="s">
        <v>190</v>
      </c>
      <c r="BI288" s="319" t="s">
        <v>190</v>
      </c>
      <c r="BJ288" s="319" t="s">
        <v>190</v>
      </c>
      <c r="BK288" s="319" t="s">
        <v>190</v>
      </c>
      <c r="BL288" s="319" t="s">
        <v>190</v>
      </c>
      <c r="BM288" s="319" t="s">
        <v>190</v>
      </c>
      <c r="BN288" s="319" t="s">
        <v>190</v>
      </c>
      <c r="BO288" s="319" t="s">
        <v>190</v>
      </c>
      <c r="BP288" s="319" t="s">
        <v>190</v>
      </c>
      <c r="BQ288" s="319" t="s">
        <v>190</v>
      </c>
      <c r="BR288" s="319" t="s">
        <v>190</v>
      </c>
      <c r="BS288" s="319" t="s">
        <v>190</v>
      </c>
      <c r="BT288" s="319" t="s">
        <v>190</v>
      </c>
      <c r="BU288" s="319" t="s">
        <v>190</v>
      </c>
      <c r="BV288" s="319" t="s">
        <v>190</v>
      </c>
      <c r="BW288" s="319" t="s">
        <v>190</v>
      </c>
      <c r="BX288" s="319" t="s">
        <v>190</v>
      </c>
      <c r="BY288" s="319" t="s">
        <v>190</v>
      </c>
      <c r="BZ288" s="319" t="s">
        <v>190</v>
      </c>
      <c r="CA288" s="319" t="s">
        <v>190</v>
      </c>
      <c r="CB288" s="319" t="s">
        <v>190</v>
      </c>
      <c r="CC288" s="319" t="s">
        <v>190</v>
      </c>
      <c r="CD288" s="319" t="s">
        <v>190</v>
      </c>
      <c r="CE288" s="319" t="s">
        <v>190</v>
      </c>
      <c r="CF288" s="319" t="s">
        <v>190</v>
      </c>
      <c r="CG288" s="319" t="s">
        <v>190</v>
      </c>
      <c r="CH288" s="319" t="s">
        <v>190</v>
      </c>
      <c r="CI288" s="319" t="s">
        <v>190</v>
      </c>
      <c r="CJ288" s="319" t="s">
        <v>190</v>
      </c>
      <c r="CK288" s="319" t="s">
        <v>190</v>
      </c>
      <c r="CL288" s="319" t="s">
        <v>190</v>
      </c>
      <c r="CM288" s="319" t="s">
        <v>190</v>
      </c>
      <c r="CN288" s="319" t="s">
        <v>428</v>
      </c>
      <c r="CO288" s="319" t="s">
        <v>428</v>
      </c>
      <c r="CP288" s="319" t="s">
        <v>428</v>
      </c>
      <c r="CQ288" s="319" t="s">
        <v>190</v>
      </c>
      <c r="CR288" s="319" t="s">
        <v>190</v>
      </c>
      <c r="CS288" s="319" t="s">
        <v>190</v>
      </c>
      <c r="CT288" s="319" t="s">
        <v>190</v>
      </c>
      <c r="CU288" s="319" t="s">
        <v>190</v>
      </c>
      <c r="CV288" s="319" t="s">
        <v>190</v>
      </c>
      <c r="CW288" s="319" t="s">
        <v>190</v>
      </c>
      <c r="CX288" s="319" t="s">
        <v>190</v>
      </c>
      <c r="CY288" s="319" t="s">
        <v>190</v>
      </c>
      <c r="CZ288" s="319" t="s">
        <v>190</v>
      </c>
      <c r="DA288" s="319" t="s">
        <v>190</v>
      </c>
      <c r="DB288" s="319" t="s">
        <v>190</v>
      </c>
      <c r="DC288" s="319" t="s">
        <v>190</v>
      </c>
      <c r="DD288" s="319" t="s">
        <v>190</v>
      </c>
      <c r="DE288" s="319" t="s">
        <v>190</v>
      </c>
      <c r="DF288" s="319" t="s">
        <v>190</v>
      </c>
      <c r="DG288" s="319" t="s">
        <v>190</v>
      </c>
      <c r="DH288" s="319" t="s">
        <v>190</v>
      </c>
      <c r="DI288" s="319" t="s">
        <v>190</v>
      </c>
      <c r="DJ288" s="319" t="s">
        <v>190</v>
      </c>
      <c r="DK288" s="319" t="s">
        <v>190</v>
      </c>
      <c r="DL288" s="319" t="s">
        <v>190</v>
      </c>
      <c r="DM288" s="319" t="s">
        <v>190</v>
      </c>
      <c r="DN288" s="319" t="s">
        <v>190</v>
      </c>
      <c r="DO288" s="319" t="s">
        <v>190</v>
      </c>
      <c r="DP288" s="319" t="s">
        <v>190</v>
      </c>
      <c r="DQ288" s="319" t="s">
        <v>190</v>
      </c>
      <c r="DR288" s="319" t="s">
        <v>190</v>
      </c>
      <c r="DS288" s="319" t="s">
        <v>190</v>
      </c>
      <c r="DT288" s="319" t="s">
        <v>190</v>
      </c>
      <c r="DU288" s="319" t="s">
        <v>190</v>
      </c>
      <c r="DV288" s="319" t="s">
        <v>173</v>
      </c>
      <c r="DW288" s="319" t="s">
        <v>190</v>
      </c>
      <c r="DX288" s="319" t="s">
        <v>190</v>
      </c>
      <c r="DY288" s="319" t="s">
        <v>190</v>
      </c>
      <c r="DZ288" s="319" t="s">
        <v>190</v>
      </c>
      <c r="EA288" s="319" t="s">
        <v>190</v>
      </c>
      <c r="EB288" s="319" t="s">
        <v>190</v>
      </c>
      <c r="EC288" s="319" t="s">
        <v>428</v>
      </c>
      <c r="ED288" s="319" t="s">
        <v>190</v>
      </c>
      <c r="EE288" s="319" t="s">
        <v>190</v>
      </c>
      <c r="EF288" s="319" t="s">
        <v>190</v>
      </c>
      <c r="EG288" s="319" t="s">
        <v>190</v>
      </c>
      <c r="EH288" s="319" t="s">
        <v>190</v>
      </c>
      <c r="EI288" s="319" t="s">
        <v>190</v>
      </c>
      <c r="EJ288" s="319" t="s">
        <v>190</v>
      </c>
      <c r="EK288" s="319" t="s">
        <v>190</v>
      </c>
      <c r="EL288" s="319" t="s">
        <v>190</v>
      </c>
      <c r="EM288" s="319" t="s">
        <v>190</v>
      </c>
      <c r="EN288" s="319" t="s">
        <v>190</v>
      </c>
      <c r="EO288" s="319" t="s">
        <v>190</v>
      </c>
      <c r="EP288" s="319" t="s">
        <v>190</v>
      </c>
      <c r="EQ288" s="319" t="s">
        <v>190</v>
      </c>
      <c r="ER288" s="319" t="s">
        <v>190</v>
      </c>
      <c r="ES288" s="319" t="s">
        <v>190</v>
      </c>
      <c r="ET288" s="319" t="s">
        <v>190</v>
      </c>
      <c r="EU288" s="319" t="s">
        <v>190</v>
      </c>
      <c r="EV288" s="319" t="s">
        <v>190</v>
      </c>
      <c r="EW288" s="319" t="s">
        <v>190</v>
      </c>
      <c r="EX288" s="319" t="s">
        <v>190</v>
      </c>
      <c r="EY288" s="319" t="s">
        <v>190</v>
      </c>
      <c r="EZ288" s="319" t="s">
        <v>190</v>
      </c>
      <c r="FA288" s="319" t="s">
        <v>190</v>
      </c>
      <c r="FB288" s="319" t="s">
        <v>190</v>
      </c>
      <c r="FC288" s="319" t="s">
        <v>190</v>
      </c>
      <c r="FD288" s="319" t="s">
        <v>190</v>
      </c>
      <c r="FE288" s="319" t="s">
        <v>190</v>
      </c>
      <c r="FF288" s="319" t="s">
        <v>190</v>
      </c>
      <c r="FG288" s="319" t="s">
        <v>190</v>
      </c>
      <c r="FH288" s="319" t="s">
        <v>190</v>
      </c>
      <c r="FI288" s="319" t="s">
        <v>190</v>
      </c>
      <c r="FJ288" s="319" t="s">
        <v>190</v>
      </c>
      <c r="FK288" s="319" t="s">
        <v>190</v>
      </c>
      <c r="FL288" s="319" t="s">
        <v>190</v>
      </c>
      <c r="FM288" s="319" t="s">
        <v>190</v>
      </c>
      <c r="FN288" s="319" t="s">
        <v>428</v>
      </c>
      <c r="FO288" s="319" t="s">
        <v>190</v>
      </c>
      <c r="FP288" s="319" t="s">
        <v>190</v>
      </c>
      <c r="FQ288" s="319" t="s">
        <v>190</v>
      </c>
      <c r="FR288" s="319" t="s">
        <v>190</v>
      </c>
      <c r="FS288" s="319" t="s">
        <v>190</v>
      </c>
      <c r="FT288" s="319" t="s">
        <v>190</v>
      </c>
      <c r="FU288" s="319" t="s">
        <v>190</v>
      </c>
      <c r="FV288" s="319" t="s">
        <v>190</v>
      </c>
      <c r="FW288" s="319" t="s">
        <v>190</v>
      </c>
      <c r="FX288" s="319" t="s">
        <v>190</v>
      </c>
      <c r="FY288" s="319" t="s">
        <v>190</v>
      </c>
      <c r="FZ288" s="319" t="s">
        <v>190</v>
      </c>
      <c r="GA288" s="319" t="s">
        <v>190</v>
      </c>
      <c r="GB288" s="319" t="s">
        <v>190</v>
      </c>
      <c r="GC288" s="319" t="s">
        <v>190</v>
      </c>
      <c r="GD288" s="319" t="s">
        <v>190</v>
      </c>
      <c r="GE288" s="319" t="s">
        <v>190</v>
      </c>
      <c r="GF288" s="319" t="s">
        <v>190</v>
      </c>
      <c r="GG288" s="319" t="s">
        <v>190</v>
      </c>
      <c r="GH288" s="319" t="s">
        <v>190</v>
      </c>
      <c r="GI288" s="319" t="s">
        <v>190</v>
      </c>
      <c r="GJ288" s="319" t="s">
        <v>190</v>
      </c>
      <c r="GK288" s="319" t="s">
        <v>190</v>
      </c>
      <c r="GL288" s="319" t="s">
        <v>190</v>
      </c>
      <c r="GM288" s="319" t="s">
        <v>190</v>
      </c>
      <c r="GN288" s="319" t="s">
        <v>190</v>
      </c>
      <c r="GO288" s="319" t="s">
        <v>190</v>
      </c>
      <c r="GP288" s="319" t="s">
        <v>190</v>
      </c>
      <c r="GQ288" s="319" t="s">
        <v>190</v>
      </c>
      <c r="GR288" s="319" t="s">
        <v>190</v>
      </c>
      <c r="GS288" s="319" t="s">
        <v>190</v>
      </c>
      <c r="GT288" s="319" t="s">
        <v>190</v>
      </c>
      <c r="GU288" s="319" t="s">
        <v>190</v>
      </c>
      <c r="GV288" s="319" t="s">
        <v>190</v>
      </c>
      <c r="GW288" s="319" t="s">
        <v>190</v>
      </c>
      <c r="GX288" s="319" t="s">
        <v>190</v>
      </c>
      <c r="GY288" s="319" t="s">
        <v>190</v>
      </c>
      <c r="GZ288" s="319" t="s">
        <v>190</v>
      </c>
      <c r="HA288" s="319" t="s">
        <v>190</v>
      </c>
      <c r="HB288" s="319" t="s">
        <v>190</v>
      </c>
      <c r="HC288" s="319" t="s">
        <v>190</v>
      </c>
      <c r="HD288" s="319" t="s">
        <v>190</v>
      </c>
      <c r="HE288" s="319" t="s">
        <v>190</v>
      </c>
      <c r="HF288" s="319" t="s">
        <v>190</v>
      </c>
      <c r="HG288" s="319" t="s">
        <v>190</v>
      </c>
      <c r="HH288" s="319" t="s">
        <v>190</v>
      </c>
      <c r="HI288" s="319" t="s">
        <v>190</v>
      </c>
      <c r="HJ288" s="319" t="s">
        <v>190</v>
      </c>
      <c r="HK288" s="319" t="s">
        <v>190</v>
      </c>
      <c r="HL288" s="319" t="s">
        <v>190</v>
      </c>
      <c r="HM288" s="319" t="s">
        <v>190</v>
      </c>
      <c r="HN288" s="319" t="s">
        <v>190</v>
      </c>
      <c r="HO288" s="319" t="s">
        <v>190</v>
      </c>
      <c r="HP288" s="319" t="s">
        <v>190</v>
      </c>
      <c r="HQ288" s="319" t="s">
        <v>190</v>
      </c>
      <c r="HR288" s="319" t="s">
        <v>190</v>
      </c>
      <c r="HS288" s="319" t="s">
        <v>190</v>
      </c>
      <c r="HT288" s="319" t="s">
        <v>190</v>
      </c>
      <c r="HU288" s="319" t="s">
        <v>190</v>
      </c>
      <c r="HV288" s="319" t="s">
        <v>190</v>
      </c>
      <c r="HW288" s="319" t="s">
        <v>190</v>
      </c>
      <c r="HX288" s="319" t="s">
        <v>190</v>
      </c>
      <c r="HY288" s="319" t="s">
        <v>190</v>
      </c>
      <c r="HZ288" s="319" t="s">
        <v>190</v>
      </c>
      <c r="IA288" s="319" t="s">
        <v>190</v>
      </c>
      <c r="IB288" s="319" t="s">
        <v>190</v>
      </c>
      <c r="IC288" s="319" t="s">
        <v>190</v>
      </c>
      <c r="ID288" s="319" t="s">
        <v>190</v>
      </c>
      <c r="IE288" s="319" t="s">
        <v>190</v>
      </c>
      <c r="IF288" s="319" t="s">
        <v>190</v>
      </c>
      <c r="IG288" s="319" t="s">
        <v>190</v>
      </c>
      <c r="IH288" s="319" t="s">
        <v>190</v>
      </c>
      <c r="II288" s="319" t="s">
        <v>190</v>
      </c>
      <c r="IJ288" s="319" t="s">
        <v>3080</v>
      </c>
      <c r="IK288" s="321">
        <v>42185</v>
      </c>
      <c r="IL288" s="321">
        <v>42187</v>
      </c>
      <c r="IM288" s="321">
        <v>42228</v>
      </c>
      <c r="IN288" s="319">
        <v>1</v>
      </c>
      <c r="IO288" s="319" t="s">
        <v>173</v>
      </c>
      <c r="IP288" s="319" t="s">
        <v>173</v>
      </c>
      <c r="IQ288" s="319" t="s">
        <v>173</v>
      </c>
      <c r="IR288" s="320" t="s">
        <v>173</v>
      </c>
      <c r="IS288" s="320" t="s">
        <v>173</v>
      </c>
      <c r="IT288" s="319" t="s">
        <v>173</v>
      </c>
    </row>
    <row r="289" spans="1:254" s="271" customFormat="1" x14ac:dyDescent="0.25">
      <c r="A289" s="318" t="str">
        <f>HYPERLINK("http://www.ofsted.gov.uk/inspection-reports/find-inspection-report/provider/ELS/131026 ","Ofsted School Webpage")</f>
        <v>Ofsted School Webpage</v>
      </c>
      <c r="B289" s="319">
        <v>131026</v>
      </c>
      <c r="C289" s="319">
        <v>3026104</v>
      </c>
      <c r="D289" s="319" t="s">
        <v>1600</v>
      </c>
      <c r="E289" s="319" t="s">
        <v>167</v>
      </c>
      <c r="F289" s="319" t="s">
        <v>81</v>
      </c>
      <c r="G289" s="319" t="s">
        <v>69</v>
      </c>
      <c r="H289" s="319" t="s">
        <v>69</v>
      </c>
      <c r="I289" s="319" t="s">
        <v>69</v>
      </c>
      <c r="J289" s="319" t="s">
        <v>424</v>
      </c>
      <c r="K289" s="319" t="s">
        <v>441</v>
      </c>
      <c r="L289" s="319" t="s">
        <v>441</v>
      </c>
      <c r="M289" s="319" t="s">
        <v>544</v>
      </c>
      <c r="N289" s="319" t="s">
        <v>2818</v>
      </c>
      <c r="O289" s="319" t="s">
        <v>1601</v>
      </c>
      <c r="P289" s="319">
        <v>281</v>
      </c>
      <c r="Q289" s="319" t="s">
        <v>2766</v>
      </c>
      <c r="R289" s="320">
        <v>10092466</v>
      </c>
      <c r="S289" s="321">
        <v>43634</v>
      </c>
      <c r="T289" s="321">
        <v>43636</v>
      </c>
      <c r="U289" s="321">
        <v>43661</v>
      </c>
      <c r="V289" s="319" t="s">
        <v>425</v>
      </c>
      <c r="W289" s="319" t="s">
        <v>2767</v>
      </c>
      <c r="X289" s="319">
        <v>3</v>
      </c>
      <c r="Y289" s="319" t="s">
        <v>173</v>
      </c>
      <c r="Z289" s="319" t="s">
        <v>173</v>
      </c>
      <c r="AA289" s="319" t="s">
        <v>173</v>
      </c>
      <c r="AB289" s="319">
        <v>2</v>
      </c>
      <c r="AC289" s="319" t="s">
        <v>169</v>
      </c>
      <c r="AD289" s="319">
        <v>2</v>
      </c>
      <c r="AE289" s="319" t="s">
        <v>173</v>
      </c>
      <c r="AF289" s="319" t="s">
        <v>427</v>
      </c>
      <c r="AG289" s="319" t="s">
        <v>171</v>
      </c>
      <c r="AH289" s="319" t="s">
        <v>190</v>
      </c>
      <c r="AI289" s="319" t="s">
        <v>190</v>
      </c>
      <c r="AJ289" s="319" t="s">
        <v>190</v>
      </c>
      <c r="AK289" s="319" t="s">
        <v>190</v>
      </c>
      <c r="AL289" s="319" t="s">
        <v>190</v>
      </c>
      <c r="AM289" s="319" t="s">
        <v>190</v>
      </c>
      <c r="AN289" s="319" t="s">
        <v>190</v>
      </c>
      <c r="AO289" s="319" t="s">
        <v>190</v>
      </c>
      <c r="AP289" s="319" t="s">
        <v>190</v>
      </c>
      <c r="AQ289" s="319" t="s">
        <v>190</v>
      </c>
      <c r="AR289" s="319" t="s">
        <v>190</v>
      </c>
      <c r="AS289" s="319" t="s">
        <v>190</v>
      </c>
      <c r="AT289" s="319" t="s">
        <v>190</v>
      </c>
      <c r="AU289" s="319" t="s">
        <v>190</v>
      </c>
      <c r="AV289" s="319" t="s">
        <v>190</v>
      </c>
      <c r="AW289" s="319" t="s">
        <v>190</v>
      </c>
      <c r="AX289" s="319" t="s">
        <v>428</v>
      </c>
      <c r="AY289" s="319" t="s">
        <v>190</v>
      </c>
      <c r="AZ289" s="319" t="s">
        <v>190</v>
      </c>
      <c r="BA289" s="319" t="s">
        <v>190</v>
      </c>
      <c r="BB289" s="319" t="s">
        <v>428</v>
      </c>
      <c r="BC289" s="319" t="s">
        <v>428</v>
      </c>
      <c r="BD289" s="319" t="s">
        <v>428</v>
      </c>
      <c r="BE289" s="319" t="s">
        <v>428</v>
      </c>
      <c r="BF289" s="319" t="s">
        <v>190</v>
      </c>
      <c r="BG289" s="319" t="s">
        <v>428</v>
      </c>
      <c r="BH289" s="319" t="s">
        <v>190</v>
      </c>
      <c r="BI289" s="319" t="s">
        <v>190</v>
      </c>
      <c r="BJ289" s="319" t="s">
        <v>190</v>
      </c>
      <c r="BK289" s="319" t="s">
        <v>190</v>
      </c>
      <c r="BL289" s="319" t="s">
        <v>190</v>
      </c>
      <c r="BM289" s="319" t="s">
        <v>190</v>
      </c>
      <c r="BN289" s="319" t="s">
        <v>190</v>
      </c>
      <c r="BO289" s="319" t="s">
        <v>190</v>
      </c>
      <c r="BP289" s="319" t="s">
        <v>190</v>
      </c>
      <c r="BQ289" s="319" t="s">
        <v>190</v>
      </c>
      <c r="BR289" s="319" t="s">
        <v>190</v>
      </c>
      <c r="BS289" s="319" t="s">
        <v>190</v>
      </c>
      <c r="BT289" s="319" t="s">
        <v>190</v>
      </c>
      <c r="BU289" s="319" t="s">
        <v>190</v>
      </c>
      <c r="BV289" s="319" t="s">
        <v>190</v>
      </c>
      <c r="BW289" s="319" t="s">
        <v>190</v>
      </c>
      <c r="BX289" s="319" t="s">
        <v>190</v>
      </c>
      <c r="BY289" s="319" t="s">
        <v>190</v>
      </c>
      <c r="BZ289" s="319" t="s">
        <v>190</v>
      </c>
      <c r="CA289" s="319" t="s">
        <v>190</v>
      </c>
      <c r="CB289" s="319" t="s">
        <v>190</v>
      </c>
      <c r="CC289" s="319" t="s">
        <v>190</v>
      </c>
      <c r="CD289" s="319" t="s">
        <v>190</v>
      </c>
      <c r="CE289" s="319" t="s">
        <v>190</v>
      </c>
      <c r="CF289" s="319" t="s">
        <v>190</v>
      </c>
      <c r="CG289" s="319" t="s">
        <v>190</v>
      </c>
      <c r="CH289" s="319" t="s">
        <v>190</v>
      </c>
      <c r="CI289" s="319" t="s">
        <v>190</v>
      </c>
      <c r="CJ289" s="319" t="s">
        <v>190</v>
      </c>
      <c r="CK289" s="319" t="s">
        <v>190</v>
      </c>
      <c r="CL289" s="319" t="s">
        <v>190</v>
      </c>
      <c r="CM289" s="319" t="s">
        <v>190</v>
      </c>
      <c r="CN289" s="319" t="s">
        <v>190</v>
      </c>
      <c r="CO289" s="319" t="s">
        <v>428</v>
      </c>
      <c r="CP289" s="319" t="s">
        <v>428</v>
      </c>
      <c r="CQ289" s="319" t="s">
        <v>190</v>
      </c>
      <c r="CR289" s="319" t="s">
        <v>190</v>
      </c>
      <c r="CS289" s="319" t="s">
        <v>190</v>
      </c>
      <c r="CT289" s="319" t="s">
        <v>190</v>
      </c>
      <c r="CU289" s="319" t="s">
        <v>190</v>
      </c>
      <c r="CV289" s="319" t="s">
        <v>190</v>
      </c>
      <c r="CW289" s="319" t="s">
        <v>190</v>
      </c>
      <c r="CX289" s="319" t="s">
        <v>190</v>
      </c>
      <c r="CY289" s="319" t="s">
        <v>190</v>
      </c>
      <c r="CZ289" s="319" t="s">
        <v>190</v>
      </c>
      <c r="DA289" s="319" t="s">
        <v>190</v>
      </c>
      <c r="DB289" s="319" t="s">
        <v>190</v>
      </c>
      <c r="DC289" s="319" t="s">
        <v>190</v>
      </c>
      <c r="DD289" s="319" t="s">
        <v>190</v>
      </c>
      <c r="DE289" s="319" t="s">
        <v>190</v>
      </c>
      <c r="DF289" s="319" t="s">
        <v>190</v>
      </c>
      <c r="DG289" s="319" t="s">
        <v>190</v>
      </c>
      <c r="DH289" s="319" t="s">
        <v>190</v>
      </c>
      <c r="DI289" s="319" t="s">
        <v>190</v>
      </c>
      <c r="DJ289" s="319" t="s">
        <v>190</v>
      </c>
      <c r="DK289" s="319" t="s">
        <v>190</v>
      </c>
      <c r="DL289" s="319" t="s">
        <v>190</v>
      </c>
      <c r="DM289" s="319" t="s">
        <v>190</v>
      </c>
      <c r="DN289" s="319" t="s">
        <v>428</v>
      </c>
      <c r="DO289" s="319" t="s">
        <v>190</v>
      </c>
      <c r="DP289" s="319" t="s">
        <v>190</v>
      </c>
      <c r="DQ289" s="319" t="s">
        <v>190</v>
      </c>
      <c r="DR289" s="319" t="s">
        <v>190</v>
      </c>
      <c r="DS289" s="319" t="s">
        <v>190</v>
      </c>
      <c r="DT289" s="319" t="s">
        <v>190</v>
      </c>
      <c r="DU289" s="319" t="s">
        <v>190</v>
      </c>
      <c r="DV289" s="319" t="s">
        <v>173</v>
      </c>
      <c r="DW289" s="319" t="s">
        <v>190</v>
      </c>
      <c r="DX289" s="319" t="s">
        <v>190</v>
      </c>
      <c r="DY289" s="319" t="s">
        <v>190</v>
      </c>
      <c r="DZ289" s="319" t="s">
        <v>190</v>
      </c>
      <c r="EA289" s="319" t="s">
        <v>190</v>
      </c>
      <c r="EB289" s="319" t="s">
        <v>190</v>
      </c>
      <c r="EC289" s="319" t="s">
        <v>428</v>
      </c>
      <c r="ED289" s="319" t="s">
        <v>190</v>
      </c>
      <c r="EE289" s="319" t="s">
        <v>190</v>
      </c>
      <c r="EF289" s="319" t="s">
        <v>190</v>
      </c>
      <c r="EG289" s="319" t="s">
        <v>190</v>
      </c>
      <c r="EH289" s="319" t="s">
        <v>190</v>
      </c>
      <c r="EI289" s="319" t="s">
        <v>190</v>
      </c>
      <c r="EJ289" s="319" t="s">
        <v>190</v>
      </c>
      <c r="EK289" s="319" t="s">
        <v>190</v>
      </c>
      <c r="EL289" s="319" t="s">
        <v>190</v>
      </c>
      <c r="EM289" s="319" t="s">
        <v>190</v>
      </c>
      <c r="EN289" s="319" t="s">
        <v>190</v>
      </c>
      <c r="EO289" s="319" t="s">
        <v>190</v>
      </c>
      <c r="EP289" s="319" t="s">
        <v>190</v>
      </c>
      <c r="EQ289" s="319" t="s">
        <v>190</v>
      </c>
      <c r="ER289" s="319" t="s">
        <v>190</v>
      </c>
      <c r="ES289" s="319" t="s">
        <v>190</v>
      </c>
      <c r="ET289" s="319" t="s">
        <v>190</v>
      </c>
      <c r="EU289" s="319" t="s">
        <v>190</v>
      </c>
      <c r="EV289" s="319" t="s">
        <v>190</v>
      </c>
      <c r="EW289" s="319" t="s">
        <v>190</v>
      </c>
      <c r="EX289" s="319" t="s">
        <v>190</v>
      </c>
      <c r="EY289" s="319" t="s">
        <v>190</v>
      </c>
      <c r="EZ289" s="319" t="s">
        <v>190</v>
      </c>
      <c r="FA289" s="319" t="s">
        <v>190</v>
      </c>
      <c r="FB289" s="319" t="s">
        <v>190</v>
      </c>
      <c r="FC289" s="319" t="s">
        <v>190</v>
      </c>
      <c r="FD289" s="319" t="s">
        <v>190</v>
      </c>
      <c r="FE289" s="319" t="s">
        <v>190</v>
      </c>
      <c r="FF289" s="319" t="s">
        <v>190</v>
      </c>
      <c r="FG289" s="319" t="s">
        <v>190</v>
      </c>
      <c r="FH289" s="319" t="s">
        <v>190</v>
      </c>
      <c r="FI289" s="319" t="s">
        <v>190</v>
      </c>
      <c r="FJ289" s="319" t="s">
        <v>190</v>
      </c>
      <c r="FK289" s="319" t="s">
        <v>190</v>
      </c>
      <c r="FL289" s="319" t="s">
        <v>190</v>
      </c>
      <c r="FM289" s="319" t="s">
        <v>190</v>
      </c>
      <c r="FN289" s="319" t="s">
        <v>190</v>
      </c>
      <c r="FO289" s="319" t="s">
        <v>428</v>
      </c>
      <c r="FP289" s="319" t="s">
        <v>190</v>
      </c>
      <c r="FQ289" s="319" t="s">
        <v>190</v>
      </c>
      <c r="FR289" s="319" t="s">
        <v>190</v>
      </c>
      <c r="FS289" s="319" t="s">
        <v>190</v>
      </c>
      <c r="FT289" s="319" t="s">
        <v>190</v>
      </c>
      <c r="FU289" s="319" t="s">
        <v>190</v>
      </c>
      <c r="FV289" s="319" t="s">
        <v>190</v>
      </c>
      <c r="FW289" s="319" t="s">
        <v>190</v>
      </c>
      <c r="FX289" s="319" t="s">
        <v>190</v>
      </c>
      <c r="FY289" s="319" t="s">
        <v>190</v>
      </c>
      <c r="FZ289" s="319" t="s">
        <v>190</v>
      </c>
      <c r="GA289" s="319" t="s">
        <v>190</v>
      </c>
      <c r="GB289" s="319" t="s">
        <v>190</v>
      </c>
      <c r="GC289" s="319" t="s">
        <v>190</v>
      </c>
      <c r="GD289" s="319" t="s">
        <v>190</v>
      </c>
      <c r="GE289" s="319" t="s">
        <v>190</v>
      </c>
      <c r="GF289" s="319" t="s">
        <v>190</v>
      </c>
      <c r="GG289" s="319" t="s">
        <v>190</v>
      </c>
      <c r="GH289" s="319" t="s">
        <v>190</v>
      </c>
      <c r="GI289" s="319" t="s">
        <v>190</v>
      </c>
      <c r="GJ289" s="319" t="s">
        <v>190</v>
      </c>
      <c r="GK289" s="319" t="s">
        <v>428</v>
      </c>
      <c r="GL289" s="319" t="s">
        <v>190</v>
      </c>
      <c r="GM289" s="319" t="s">
        <v>190</v>
      </c>
      <c r="GN289" s="319" t="s">
        <v>190</v>
      </c>
      <c r="GO289" s="319" t="s">
        <v>190</v>
      </c>
      <c r="GP289" s="319" t="s">
        <v>190</v>
      </c>
      <c r="GQ289" s="319" t="s">
        <v>190</v>
      </c>
      <c r="GR289" s="319" t="s">
        <v>190</v>
      </c>
      <c r="GS289" s="319" t="s">
        <v>190</v>
      </c>
      <c r="GT289" s="319" t="s">
        <v>190</v>
      </c>
      <c r="GU289" s="319" t="s">
        <v>190</v>
      </c>
      <c r="GV289" s="319" t="s">
        <v>190</v>
      </c>
      <c r="GW289" s="319" t="s">
        <v>190</v>
      </c>
      <c r="GX289" s="319" t="s">
        <v>190</v>
      </c>
      <c r="GY289" s="319" t="s">
        <v>190</v>
      </c>
      <c r="GZ289" s="319" t="s">
        <v>190</v>
      </c>
      <c r="HA289" s="319" t="s">
        <v>428</v>
      </c>
      <c r="HB289" s="319" t="s">
        <v>190</v>
      </c>
      <c r="HC289" s="319" t="s">
        <v>190</v>
      </c>
      <c r="HD289" s="319" t="s">
        <v>190</v>
      </c>
      <c r="HE289" s="319" t="s">
        <v>190</v>
      </c>
      <c r="HF289" s="319" t="s">
        <v>190</v>
      </c>
      <c r="HG289" s="319" t="s">
        <v>190</v>
      </c>
      <c r="HH289" s="319" t="s">
        <v>190</v>
      </c>
      <c r="HI289" s="319" t="s">
        <v>190</v>
      </c>
      <c r="HJ289" s="319" t="s">
        <v>190</v>
      </c>
      <c r="HK289" s="319" t="s">
        <v>190</v>
      </c>
      <c r="HL289" s="319" t="s">
        <v>190</v>
      </c>
      <c r="HM289" s="319" t="s">
        <v>190</v>
      </c>
      <c r="HN289" s="319" t="s">
        <v>190</v>
      </c>
      <c r="HO289" s="319" t="s">
        <v>190</v>
      </c>
      <c r="HP289" s="319" t="s">
        <v>190</v>
      </c>
      <c r="HQ289" s="319" t="s">
        <v>190</v>
      </c>
      <c r="HR289" s="319" t="s">
        <v>190</v>
      </c>
      <c r="HS289" s="319" t="s">
        <v>190</v>
      </c>
      <c r="HT289" s="319" t="s">
        <v>190</v>
      </c>
      <c r="HU289" s="319" t="s">
        <v>190</v>
      </c>
      <c r="HV289" s="319" t="s">
        <v>190</v>
      </c>
      <c r="HW289" s="319" t="s">
        <v>190</v>
      </c>
      <c r="HX289" s="319" t="s">
        <v>190</v>
      </c>
      <c r="HY289" s="319" t="s">
        <v>190</v>
      </c>
      <c r="HZ289" s="319" t="s">
        <v>190</v>
      </c>
      <c r="IA289" s="319" t="s">
        <v>190</v>
      </c>
      <c r="IB289" s="319" t="s">
        <v>190</v>
      </c>
      <c r="IC289" s="319" t="s">
        <v>190</v>
      </c>
      <c r="ID289" s="319" t="s">
        <v>190</v>
      </c>
      <c r="IE289" s="319" t="s">
        <v>190</v>
      </c>
      <c r="IF289" s="319" t="s">
        <v>190</v>
      </c>
      <c r="IG289" s="319" t="s">
        <v>190</v>
      </c>
      <c r="IH289" s="319" t="s">
        <v>190</v>
      </c>
      <c r="II289" s="319" t="s">
        <v>190</v>
      </c>
      <c r="IJ289" s="319">
        <v>10008541</v>
      </c>
      <c r="IK289" s="321">
        <v>43004</v>
      </c>
      <c r="IL289" s="321">
        <v>43006</v>
      </c>
      <c r="IM289" s="321">
        <v>43046</v>
      </c>
      <c r="IN289" s="319">
        <v>3</v>
      </c>
      <c r="IO289" s="319" t="s">
        <v>173</v>
      </c>
      <c r="IP289" s="319" t="s">
        <v>173</v>
      </c>
      <c r="IQ289" s="321" t="s">
        <v>173</v>
      </c>
      <c r="IR289" s="320" t="s">
        <v>173</v>
      </c>
      <c r="IS289" s="322" t="s">
        <v>173</v>
      </c>
      <c r="IT289" s="319" t="s">
        <v>173</v>
      </c>
    </row>
    <row r="290" spans="1:254" s="271" customFormat="1" x14ac:dyDescent="0.25">
      <c r="A290" s="318" t="str">
        <f>HYPERLINK("http://www.ofsted.gov.uk/inspection-reports/find-inspection-report/provider/ELS/131031 ","Ofsted School Webpage")</f>
        <v>Ofsted School Webpage</v>
      </c>
      <c r="B290" s="319">
        <v>131031</v>
      </c>
      <c r="C290" s="319">
        <v>3166068</v>
      </c>
      <c r="D290" s="319" t="s">
        <v>1046</v>
      </c>
      <c r="E290" s="319" t="s">
        <v>167</v>
      </c>
      <c r="F290" s="319" t="s">
        <v>81</v>
      </c>
      <c r="G290" s="319" t="s">
        <v>59</v>
      </c>
      <c r="H290" s="319" t="s">
        <v>59</v>
      </c>
      <c r="I290" s="319" t="s">
        <v>59</v>
      </c>
      <c r="J290" s="319" t="s">
        <v>424</v>
      </c>
      <c r="K290" s="319" t="s">
        <v>441</v>
      </c>
      <c r="L290" s="319" t="s">
        <v>441</v>
      </c>
      <c r="M290" s="319" t="s">
        <v>709</v>
      </c>
      <c r="N290" s="319" t="s">
        <v>3081</v>
      </c>
      <c r="O290" s="319" t="s">
        <v>1047</v>
      </c>
      <c r="P290" s="319">
        <v>16</v>
      </c>
      <c r="Q290" s="319" t="s">
        <v>2766</v>
      </c>
      <c r="R290" s="320">
        <v>10026282</v>
      </c>
      <c r="S290" s="321">
        <v>43117</v>
      </c>
      <c r="T290" s="321">
        <v>43119</v>
      </c>
      <c r="U290" s="321">
        <v>43178</v>
      </c>
      <c r="V290" s="319" t="s">
        <v>425</v>
      </c>
      <c r="W290" s="319" t="s">
        <v>2767</v>
      </c>
      <c r="X290" s="319">
        <v>4</v>
      </c>
      <c r="Y290" s="319" t="s">
        <v>173</v>
      </c>
      <c r="Z290" s="319" t="s">
        <v>173</v>
      </c>
      <c r="AA290" s="319" t="s">
        <v>173</v>
      </c>
      <c r="AB290" s="319">
        <v>4</v>
      </c>
      <c r="AC290" s="319" t="s">
        <v>170</v>
      </c>
      <c r="AD290" s="319" t="s">
        <v>173</v>
      </c>
      <c r="AE290" s="319" t="s">
        <v>173</v>
      </c>
      <c r="AF290" s="319" t="s">
        <v>447</v>
      </c>
      <c r="AG290" s="319" t="s">
        <v>172</v>
      </c>
      <c r="AH290" s="319" t="s">
        <v>479</v>
      </c>
      <c r="AI290" s="319" t="s">
        <v>479</v>
      </c>
      <c r="AJ290" s="319" t="s">
        <v>479</v>
      </c>
      <c r="AK290" s="319" t="s">
        <v>479</v>
      </c>
      <c r="AL290" s="319" t="s">
        <v>479</v>
      </c>
      <c r="AM290" s="319" t="s">
        <v>479</v>
      </c>
      <c r="AN290" s="319" t="s">
        <v>479</v>
      </c>
      <c r="AO290" s="319" t="s">
        <v>479</v>
      </c>
      <c r="AP290" s="319" t="s">
        <v>191</v>
      </c>
      <c r="AQ290" s="319" t="s">
        <v>191</v>
      </c>
      <c r="AR290" s="319" t="s">
        <v>191</v>
      </c>
      <c r="AS290" s="319" t="s">
        <v>191</v>
      </c>
      <c r="AT290" s="319" t="s">
        <v>190</v>
      </c>
      <c r="AU290" s="319" t="s">
        <v>191</v>
      </c>
      <c r="AV290" s="319" t="s">
        <v>190</v>
      </c>
      <c r="AW290" s="319" t="s">
        <v>190</v>
      </c>
      <c r="AX290" s="319" t="s">
        <v>428</v>
      </c>
      <c r="AY290" s="319" t="s">
        <v>190</v>
      </c>
      <c r="AZ290" s="319" t="s">
        <v>190</v>
      </c>
      <c r="BA290" s="319" t="s">
        <v>190</v>
      </c>
      <c r="BB290" s="319" t="s">
        <v>191</v>
      </c>
      <c r="BC290" s="319" t="s">
        <v>191</v>
      </c>
      <c r="BD290" s="319" t="s">
        <v>191</v>
      </c>
      <c r="BE290" s="319" t="s">
        <v>191</v>
      </c>
      <c r="BF290" s="319" t="s">
        <v>428</v>
      </c>
      <c r="BG290" s="319" t="s">
        <v>428</v>
      </c>
      <c r="BH290" s="319" t="s">
        <v>191</v>
      </c>
      <c r="BI290" s="319" t="s">
        <v>190</v>
      </c>
      <c r="BJ290" s="319" t="s">
        <v>191</v>
      </c>
      <c r="BK290" s="319" t="s">
        <v>191</v>
      </c>
      <c r="BL290" s="319" t="s">
        <v>190</v>
      </c>
      <c r="BM290" s="319" t="s">
        <v>191</v>
      </c>
      <c r="BN290" s="319" t="s">
        <v>191</v>
      </c>
      <c r="BO290" s="319" t="s">
        <v>191</v>
      </c>
      <c r="BP290" s="319" t="s">
        <v>191</v>
      </c>
      <c r="BQ290" s="319" t="s">
        <v>191</v>
      </c>
      <c r="BR290" s="319" t="s">
        <v>190</v>
      </c>
      <c r="BS290" s="319" t="s">
        <v>190</v>
      </c>
      <c r="BT290" s="319" t="s">
        <v>190</v>
      </c>
      <c r="BU290" s="319" t="s">
        <v>190</v>
      </c>
      <c r="BV290" s="319" t="s">
        <v>191</v>
      </c>
      <c r="BW290" s="319" t="s">
        <v>190</v>
      </c>
      <c r="BX290" s="319" t="s">
        <v>191</v>
      </c>
      <c r="BY290" s="319" t="s">
        <v>190</v>
      </c>
      <c r="BZ290" s="319" t="s">
        <v>190</v>
      </c>
      <c r="CA290" s="319" t="s">
        <v>190</v>
      </c>
      <c r="CB290" s="319" t="s">
        <v>190</v>
      </c>
      <c r="CC290" s="319" t="s">
        <v>191</v>
      </c>
      <c r="CD290" s="319" t="s">
        <v>190</v>
      </c>
      <c r="CE290" s="319" t="s">
        <v>190</v>
      </c>
      <c r="CF290" s="319" t="s">
        <v>190</v>
      </c>
      <c r="CG290" s="319" t="s">
        <v>190</v>
      </c>
      <c r="CH290" s="319" t="s">
        <v>190</v>
      </c>
      <c r="CI290" s="319" t="s">
        <v>190</v>
      </c>
      <c r="CJ290" s="319" t="s">
        <v>190</v>
      </c>
      <c r="CK290" s="319" t="s">
        <v>191</v>
      </c>
      <c r="CL290" s="319" t="s">
        <v>191</v>
      </c>
      <c r="CM290" s="319" t="s">
        <v>191</v>
      </c>
      <c r="CN290" s="319" t="s">
        <v>428</v>
      </c>
      <c r="CO290" s="319" t="s">
        <v>428</v>
      </c>
      <c r="CP290" s="319" t="s">
        <v>428</v>
      </c>
      <c r="CQ290" s="319" t="s">
        <v>190</v>
      </c>
      <c r="CR290" s="319" t="s">
        <v>190</v>
      </c>
      <c r="CS290" s="319" t="s">
        <v>190</v>
      </c>
      <c r="CT290" s="319" t="s">
        <v>190</v>
      </c>
      <c r="CU290" s="319" t="s">
        <v>190</v>
      </c>
      <c r="CV290" s="319" t="s">
        <v>191</v>
      </c>
      <c r="CW290" s="319" t="s">
        <v>190</v>
      </c>
      <c r="CX290" s="319" t="s">
        <v>190</v>
      </c>
      <c r="CY290" s="319" t="s">
        <v>191</v>
      </c>
      <c r="CZ290" s="319" t="s">
        <v>191</v>
      </c>
      <c r="DA290" s="319" t="s">
        <v>191</v>
      </c>
      <c r="DB290" s="319" t="s">
        <v>191</v>
      </c>
      <c r="DC290" s="319" t="s">
        <v>191</v>
      </c>
      <c r="DD290" s="319" t="s">
        <v>191</v>
      </c>
      <c r="DE290" s="319" t="s">
        <v>190</v>
      </c>
      <c r="DF290" s="319" t="s">
        <v>191</v>
      </c>
      <c r="DG290" s="319" t="s">
        <v>191</v>
      </c>
      <c r="DH290" s="319" t="s">
        <v>191</v>
      </c>
      <c r="DI290" s="319" t="s">
        <v>191</v>
      </c>
      <c r="DJ290" s="319" t="s">
        <v>190</v>
      </c>
      <c r="DK290" s="319" t="s">
        <v>191</v>
      </c>
      <c r="DL290" s="319" t="s">
        <v>190</v>
      </c>
      <c r="DM290" s="319" t="s">
        <v>190</v>
      </c>
      <c r="DN290" s="319" t="s">
        <v>428</v>
      </c>
      <c r="DO290" s="319" t="s">
        <v>190</v>
      </c>
      <c r="DP290" s="319" t="s">
        <v>190</v>
      </c>
      <c r="DQ290" s="319" t="s">
        <v>428</v>
      </c>
      <c r="DR290" s="319" t="s">
        <v>428</v>
      </c>
      <c r="DS290" s="319" t="s">
        <v>428</v>
      </c>
      <c r="DT290" s="319" t="s">
        <v>428</v>
      </c>
      <c r="DU290" s="319" t="s">
        <v>428</v>
      </c>
      <c r="DV290" s="319" t="s">
        <v>173</v>
      </c>
      <c r="DW290" s="319" t="s">
        <v>428</v>
      </c>
      <c r="DX290" s="319" t="s">
        <v>428</v>
      </c>
      <c r="DY290" s="319" t="s">
        <v>428</v>
      </c>
      <c r="DZ290" s="319" t="s">
        <v>428</v>
      </c>
      <c r="EA290" s="319" t="s">
        <v>428</v>
      </c>
      <c r="EB290" s="319" t="s">
        <v>428</v>
      </c>
      <c r="EC290" s="319" t="s">
        <v>428</v>
      </c>
      <c r="ED290" s="319" t="s">
        <v>428</v>
      </c>
      <c r="EE290" s="319" t="s">
        <v>190</v>
      </c>
      <c r="EF290" s="319" t="s">
        <v>190</v>
      </c>
      <c r="EG290" s="319" t="s">
        <v>190</v>
      </c>
      <c r="EH290" s="319" t="s">
        <v>190</v>
      </c>
      <c r="EI290" s="319" t="s">
        <v>190</v>
      </c>
      <c r="EJ290" s="319" t="s">
        <v>190</v>
      </c>
      <c r="EK290" s="319" t="s">
        <v>190</v>
      </c>
      <c r="EL290" s="319" t="s">
        <v>190</v>
      </c>
      <c r="EM290" s="319" t="s">
        <v>190</v>
      </c>
      <c r="EN290" s="319" t="s">
        <v>190</v>
      </c>
      <c r="EO290" s="319" t="s">
        <v>190</v>
      </c>
      <c r="EP290" s="319" t="s">
        <v>190</v>
      </c>
      <c r="EQ290" s="319" t="s">
        <v>190</v>
      </c>
      <c r="ER290" s="319" t="s">
        <v>190</v>
      </c>
      <c r="ES290" s="319" t="s">
        <v>190</v>
      </c>
      <c r="ET290" s="319" t="s">
        <v>584</v>
      </c>
      <c r="EU290" s="319" t="s">
        <v>190</v>
      </c>
      <c r="EV290" s="319" t="s">
        <v>190</v>
      </c>
      <c r="EW290" s="319" t="s">
        <v>190</v>
      </c>
      <c r="EX290" s="319" t="s">
        <v>190</v>
      </c>
      <c r="EY290" s="319" t="s">
        <v>190</v>
      </c>
      <c r="EZ290" s="319" t="s">
        <v>190</v>
      </c>
      <c r="FA290" s="319" t="s">
        <v>190</v>
      </c>
      <c r="FB290" s="319" t="s">
        <v>428</v>
      </c>
      <c r="FC290" s="319" t="s">
        <v>428</v>
      </c>
      <c r="FD290" s="319" t="s">
        <v>428</v>
      </c>
      <c r="FE290" s="319" t="s">
        <v>428</v>
      </c>
      <c r="FF290" s="319" t="s">
        <v>428</v>
      </c>
      <c r="FG290" s="319" t="s">
        <v>428</v>
      </c>
      <c r="FH290" s="319" t="s">
        <v>190</v>
      </c>
      <c r="FI290" s="319" t="s">
        <v>190</v>
      </c>
      <c r="FJ290" s="319" t="s">
        <v>190</v>
      </c>
      <c r="FK290" s="319" t="s">
        <v>190</v>
      </c>
      <c r="FL290" s="319" t="s">
        <v>191</v>
      </c>
      <c r="FM290" s="319" t="s">
        <v>190</v>
      </c>
      <c r="FN290" s="319" t="s">
        <v>190</v>
      </c>
      <c r="FO290" s="319" t="s">
        <v>191</v>
      </c>
      <c r="FP290" s="319" t="s">
        <v>191</v>
      </c>
      <c r="FQ290" s="319" t="s">
        <v>191</v>
      </c>
      <c r="FR290" s="319" t="s">
        <v>191</v>
      </c>
      <c r="FS290" s="319" t="s">
        <v>428</v>
      </c>
      <c r="FT290" s="319" t="s">
        <v>191</v>
      </c>
      <c r="FU290" s="319" t="s">
        <v>191</v>
      </c>
      <c r="FV290" s="319" t="s">
        <v>190</v>
      </c>
      <c r="FW290" s="319" t="s">
        <v>190</v>
      </c>
      <c r="FX290" s="319" t="s">
        <v>190</v>
      </c>
      <c r="FY290" s="319" t="s">
        <v>190</v>
      </c>
      <c r="FZ290" s="319" t="s">
        <v>191</v>
      </c>
      <c r="GA290" s="319" t="s">
        <v>190</v>
      </c>
      <c r="GB290" s="319" t="s">
        <v>190</v>
      </c>
      <c r="GC290" s="319" t="s">
        <v>191</v>
      </c>
      <c r="GD290" s="319" t="s">
        <v>190</v>
      </c>
      <c r="GE290" s="319" t="s">
        <v>190</v>
      </c>
      <c r="GF290" s="319" t="s">
        <v>190</v>
      </c>
      <c r="GG290" s="319" t="s">
        <v>190</v>
      </c>
      <c r="GH290" s="319" t="s">
        <v>191</v>
      </c>
      <c r="GI290" s="319" t="s">
        <v>190</v>
      </c>
      <c r="GJ290" s="319" t="s">
        <v>191</v>
      </c>
      <c r="GK290" s="319" t="s">
        <v>428</v>
      </c>
      <c r="GL290" s="319" t="s">
        <v>191</v>
      </c>
      <c r="GM290" s="319" t="s">
        <v>191</v>
      </c>
      <c r="GN290" s="319" t="s">
        <v>191</v>
      </c>
      <c r="GO290" s="319" t="s">
        <v>191</v>
      </c>
      <c r="GP290" s="319" t="s">
        <v>190</v>
      </c>
      <c r="GQ290" s="319" t="s">
        <v>190</v>
      </c>
      <c r="GR290" s="319" t="s">
        <v>190</v>
      </c>
      <c r="GS290" s="319" t="s">
        <v>190</v>
      </c>
      <c r="GT290" s="319" t="s">
        <v>428</v>
      </c>
      <c r="GU290" s="319" t="s">
        <v>428</v>
      </c>
      <c r="GV290" s="319" t="s">
        <v>428</v>
      </c>
      <c r="GW290" s="319" t="s">
        <v>191</v>
      </c>
      <c r="GX290" s="319" t="s">
        <v>190</v>
      </c>
      <c r="GY290" s="319" t="s">
        <v>191</v>
      </c>
      <c r="GZ290" s="319" t="s">
        <v>191</v>
      </c>
      <c r="HA290" s="319" t="s">
        <v>428</v>
      </c>
      <c r="HB290" s="319" t="s">
        <v>428</v>
      </c>
      <c r="HC290" s="319" t="s">
        <v>190</v>
      </c>
      <c r="HD290" s="319" t="s">
        <v>191</v>
      </c>
      <c r="HE290" s="319" t="s">
        <v>190</v>
      </c>
      <c r="HF290" s="319" t="s">
        <v>191</v>
      </c>
      <c r="HG290" s="319" t="s">
        <v>191</v>
      </c>
      <c r="HH290" s="319" t="s">
        <v>191</v>
      </c>
      <c r="HI290" s="319" t="s">
        <v>191</v>
      </c>
      <c r="HJ290" s="319" t="s">
        <v>191</v>
      </c>
      <c r="HK290" s="319" t="s">
        <v>428</v>
      </c>
      <c r="HL290" s="319" t="s">
        <v>428</v>
      </c>
      <c r="HM290" s="319" t="s">
        <v>428</v>
      </c>
      <c r="HN290" s="319" t="s">
        <v>428</v>
      </c>
      <c r="HO290" s="319" t="s">
        <v>428</v>
      </c>
      <c r="HP290" s="319" t="s">
        <v>191</v>
      </c>
      <c r="HQ290" s="319" t="s">
        <v>190</v>
      </c>
      <c r="HR290" s="319" t="s">
        <v>191</v>
      </c>
      <c r="HS290" s="319" t="s">
        <v>190</v>
      </c>
      <c r="HT290" s="319" t="s">
        <v>190</v>
      </c>
      <c r="HU290" s="319" t="s">
        <v>190</v>
      </c>
      <c r="HV290" s="319" t="s">
        <v>190</v>
      </c>
      <c r="HW290" s="319" t="s">
        <v>190</v>
      </c>
      <c r="HX290" s="319" t="s">
        <v>190</v>
      </c>
      <c r="HY290" s="319" t="s">
        <v>190</v>
      </c>
      <c r="HZ290" s="319" t="s">
        <v>190</v>
      </c>
      <c r="IA290" s="319" t="s">
        <v>190</v>
      </c>
      <c r="IB290" s="319" t="s">
        <v>428</v>
      </c>
      <c r="IC290" s="319" t="s">
        <v>428</v>
      </c>
      <c r="ID290" s="319" t="s">
        <v>428</v>
      </c>
      <c r="IE290" s="319" t="s">
        <v>428</v>
      </c>
      <c r="IF290" s="319" t="s">
        <v>191</v>
      </c>
      <c r="IG290" s="319" t="s">
        <v>191</v>
      </c>
      <c r="IH290" s="319" t="s">
        <v>191</v>
      </c>
      <c r="II290" s="319" t="s">
        <v>191</v>
      </c>
      <c r="IJ290" s="319" t="s">
        <v>3082</v>
      </c>
      <c r="IK290" s="321">
        <v>41310</v>
      </c>
      <c r="IL290" s="321">
        <v>41312</v>
      </c>
      <c r="IM290" s="321">
        <v>41338</v>
      </c>
      <c r="IN290" s="319">
        <v>2</v>
      </c>
      <c r="IO290" s="319">
        <v>10112748</v>
      </c>
      <c r="IP290" s="319" t="s">
        <v>985</v>
      </c>
      <c r="IQ290" s="321">
        <v>43656</v>
      </c>
      <c r="IR290" s="320" t="s">
        <v>1223</v>
      </c>
      <c r="IS290" s="322">
        <v>43730</v>
      </c>
      <c r="IT290" s="319" t="s">
        <v>166</v>
      </c>
    </row>
    <row r="291" spans="1:254" s="271" customFormat="1" x14ac:dyDescent="0.25">
      <c r="A291" s="318" t="str">
        <f>HYPERLINK("http://www.ofsted.gov.uk/inspection-reports/find-inspection-report/provider/ELS/131033 ","Ofsted School Webpage")</f>
        <v>Ofsted School Webpage</v>
      </c>
      <c r="B291" s="319">
        <v>131033</v>
      </c>
      <c r="C291" s="319">
        <v>8936097</v>
      </c>
      <c r="D291" s="319" t="s">
        <v>861</v>
      </c>
      <c r="E291" s="319" t="s">
        <v>168</v>
      </c>
      <c r="F291" s="319" t="s">
        <v>81</v>
      </c>
      <c r="G291" s="319" t="s">
        <v>81</v>
      </c>
      <c r="H291" s="319" t="s">
        <v>81</v>
      </c>
      <c r="I291" s="319" t="s">
        <v>78</v>
      </c>
      <c r="J291" s="319" t="s">
        <v>424</v>
      </c>
      <c r="K291" s="319" t="s">
        <v>437</v>
      </c>
      <c r="L291" s="319" t="s">
        <v>437</v>
      </c>
      <c r="M291" s="319" t="s">
        <v>587</v>
      </c>
      <c r="N291" s="319" t="s">
        <v>2784</v>
      </c>
      <c r="O291" s="319" t="s">
        <v>539</v>
      </c>
      <c r="P291" s="319">
        <v>11</v>
      </c>
      <c r="Q291" s="319" t="s">
        <v>429</v>
      </c>
      <c r="R291" s="320">
        <v>10047129</v>
      </c>
      <c r="S291" s="321">
        <v>43256</v>
      </c>
      <c r="T291" s="321">
        <v>43258</v>
      </c>
      <c r="U291" s="321">
        <v>43304</v>
      </c>
      <c r="V291" s="319" t="s">
        <v>425</v>
      </c>
      <c r="W291" s="319" t="s">
        <v>2767</v>
      </c>
      <c r="X291" s="319">
        <v>3</v>
      </c>
      <c r="Y291" s="319" t="s">
        <v>173</v>
      </c>
      <c r="Z291" s="319" t="s">
        <v>173</v>
      </c>
      <c r="AA291" s="319" t="s">
        <v>173</v>
      </c>
      <c r="AB291" s="319">
        <v>3</v>
      </c>
      <c r="AC291" s="319" t="s">
        <v>169</v>
      </c>
      <c r="AD291" s="319" t="s">
        <v>173</v>
      </c>
      <c r="AE291" s="319" t="s">
        <v>173</v>
      </c>
      <c r="AF291" s="319" t="s">
        <v>427</v>
      </c>
      <c r="AG291" s="319" t="s">
        <v>172</v>
      </c>
      <c r="AH291" s="319" t="s">
        <v>190</v>
      </c>
      <c r="AI291" s="319" t="s">
        <v>190</v>
      </c>
      <c r="AJ291" s="319" t="s">
        <v>190</v>
      </c>
      <c r="AK291" s="319" t="s">
        <v>190</v>
      </c>
      <c r="AL291" s="319" t="s">
        <v>190</v>
      </c>
      <c r="AM291" s="319" t="s">
        <v>190</v>
      </c>
      <c r="AN291" s="319" t="s">
        <v>190</v>
      </c>
      <c r="AO291" s="319" t="s">
        <v>479</v>
      </c>
      <c r="AP291" s="319" t="s">
        <v>190</v>
      </c>
      <c r="AQ291" s="319" t="s">
        <v>190</v>
      </c>
      <c r="AR291" s="319" t="s">
        <v>190</v>
      </c>
      <c r="AS291" s="319" t="s">
        <v>190</v>
      </c>
      <c r="AT291" s="319" t="s">
        <v>190</v>
      </c>
      <c r="AU291" s="319" t="s">
        <v>190</v>
      </c>
      <c r="AV291" s="319" t="s">
        <v>190</v>
      </c>
      <c r="AW291" s="319" t="s">
        <v>190</v>
      </c>
      <c r="AX291" s="319" t="s">
        <v>428</v>
      </c>
      <c r="AY291" s="319" t="s">
        <v>190</v>
      </c>
      <c r="AZ291" s="319" t="s">
        <v>190</v>
      </c>
      <c r="BA291" s="319" t="s">
        <v>190</v>
      </c>
      <c r="BB291" s="319" t="s">
        <v>190</v>
      </c>
      <c r="BC291" s="319" t="s">
        <v>190</v>
      </c>
      <c r="BD291" s="319" t="s">
        <v>190</v>
      </c>
      <c r="BE291" s="319" t="s">
        <v>190</v>
      </c>
      <c r="BF291" s="319" t="s">
        <v>428</v>
      </c>
      <c r="BG291" s="319" t="s">
        <v>428</v>
      </c>
      <c r="BH291" s="319" t="s">
        <v>190</v>
      </c>
      <c r="BI291" s="319" t="s">
        <v>190</v>
      </c>
      <c r="BJ291" s="319" t="s">
        <v>190</v>
      </c>
      <c r="BK291" s="319" t="s">
        <v>191</v>
      </c>
      <c r="BL291" s="319" t="s">
        <v>190</v>
      </c>
      <c r="BM291" s="319" t="s">
        <v>190</v>
      </c>
      <c r="BN291" s="319" t="s">
        <v>190</v>
      </c>
      <c r="BO291" s="319" t="s">
        <v>190</v>
      </c>
      <c r="BP291" s="319" t="s">
        <v>190</v>
      </c>
      <c r="BQ291" s="319" t="s">
        <v>190</v>
      </c>
      <c r="BR291" s="319" t="s">
        <v>190</v>
      </c>
      <c r="BS291" s="319" t="s">
        <v>190</v>
      </c>
      <c r="BT291" s="319" t="s">
        <v>190</v>
      </c>
      <c r="BU291" s="319" t="s">
        <v>190</v>
      </c>
      <c r="BV291" s="319" t="s">
        <v>190</v>
      </c>
      <c r="BW291" s="319" t="s">
        <v>190</v>
      </c>
      <c r="BX291" s="319" t="s">
        <v>190</v>
      </c>
      <c r="BY291" s="319" t="s">
        <v>190</v>
      </c>
      <c r="BZ291" s="319" t="s">
        <v>190</v>
      </c>
      <c r="CA291" s="319" t="s">
        <v>190</v>
      </c>
      <c r="CB291" s="319" t="s">
        <v>190</v>
      </c>
      <c r="CC291" s="319" t="s">
        <v>190</v>
      </c>
      <c r="CD291" s="319" t="s">
        <v>190</v>
      </c>
      <c r="CE291" s="319" t="s">
        <v>190</v>
      </c>
      <c r="CF291" s="319" t="s">
        <v>190</v>
      </c>
      <c r="CG291" s="319" t="s">
        <v>190</v>
      </c>
      <c r="CH291" s="319" t="s">
        <v>190</v>
      </c>
      <c r="CI291" s="319" t="s">
        <v>190</v>
      </c>
      <c r="CJ291" s="319" t="s">
        <v>190</v>
      </c>
      <c r="CK291" s="319" t="s">
        <v>190</v>
      </c>
      <c r="CL291" s="319" t="s">
        <v>190</v>
      </c>
      <c r="CM291" s="319" t="s">
        <v>190</v>
      </c>
      <c r="CN291" s="319" t="s">
        <v>428</v>
      </c>
      <c r="CO291" s="319" t="s">
        <v>428</v>
      </c>
      <c r="CP291" s="319" t="s">
        <v>428</v>
      </c>
      <c r="CQ291" s="319" t="s">
        <v>190</v>
      </c>
      <c r="CR291" s="319" t="s">
        <v>190</v>
      </c>
      <c r="CS291" s="319" t="s">
        <v>190</v>
      </c>
      <c r="CT291" s="319" t="s">
        <v>190</v>
      </c>
      <c r="CU291" s="319" t="s">
        <v>190</v>
      </c>
      <c r="CV291" s="319" t="s">
        <v>190</v>
      </c>
      <c r="CW291" s="319" t="s">
        <v>190</v>
      </c>
      <c r="CX291" s="319" t="s">
        <v>190</v>
      </c>
      <c r="CY291" s="319" t="s">
        <v>190</v>
      </c>
      <c r="CZ291" s="319" t="s">
        <v>190</v>
      </c>
      <c r="DA291" s="319" t="s">
        <v>190</v>
      </c>
      <c r="DB291" s="319" t="s">
        <v>190</v>
      </c>
      <c r="DC291" s="319" t="s">
        <v>190</v>
      </c>
      <c r="DD291" s="319" t="s">
        <v>190</v>
      </c>
      <c r="DE291" s="319" t="s">
        <v>190</v>
      </c>
      <c r="DF291" s="319" t="s">
        <v>190</v>
      </c>
      <c r="DG291" s="319" t="s">
        <v>190</v>
      </c>
      <c r="DH291" s="319" t="s">
        <v>190</v>
      </c>
      <c r="DI291" s="319" t="s">
        <v>190</v>
      </c>
      <c r="DJ291" s="319" t="s">
        <v>190</v>
      </c>
      <c r="DK291" s="319" t="s">
        <v>190</v>
      </c>
      <c r="DL291" s="319" t="s">
        <v>190</v>
      </c>
      <c r="DM291" s="319" t="s">
        <v>190</v>
      </c>
      <c r="DN291" s="319" t="s">
        <v>428</v>
      </c>
      <c r="DO291" s="319" t="s">
        <v>190</v>
      </c>
      <c r="DP291" s="319" t="s">
        <v>428</v>
      </c>
      <c r="DQ291" s="319" t="s">
        <v>428</v>
      </c>
      <c r="DR291" s="319" t="s">
        <v>428</v>
      </c>
      <c r="DS291" s="319" t="s">
        <v>428</v>
      </c>
      <c r="DT291" s="319" t="s">
        <v>428</v>
      </c>
      <c r="DU291" s="319" t="s">
        <v>428</v>
      </c>
      <c r="DV291" s="319" t="s">
        <v>173</v>
      </c>
      <c r="DW291" s="319" t="s">
        <v>428</v>
      </c>
      <c r="DX291" s="319" t="s">
        <v>428</v>
      </c>
      <c r="DY291" s="319" t="s">
        <v>428</v>
      </c>
      <c r="DZ291" s="319" t="s">
        <v>428</v>
      </c>
      <c r="EA291" s="319" t="s">
        <v>428</v>
      </c>
      <c r="EB291" s="319" t="s">
        <v>428</v>
      </c>
      <c r="EC291" s="319" t="s">
        <v>428</v>
      </c>
      <c r="ED291" s="319" t="s">
        <v>428</v>
      </c>
      <c r="EE291" s="319" t="s">
        <v>190</v>
      </c>
      <c r="EF291" s="319" t="s">
        <v>190</v>
      </c>
      <c r="EG291" s="319" t="s">
        <v>190</v>
      </c>
      <c r="EH291" s="319" t="s">
        <v>190</v>
      </c>
      <c r="EI291" s="319" t="s">
        <v>190</v>
      </c>
      <c r="EJ291" s="319" t="s">
        <v>190</v>
      </c>
      <c r="EK291" s="319" t="s">
        <v>190</v>
      </c>
      <c r="EL291" s="319" t="s">
        <v>190</v>
      </c>
      <c r="EM291" s="319" t="s">
        <v>190</v>
      </c>
      <c r="EN291" s="319" t="s">
        <v>190</v>
      </c>
      <c r="EO291" s="319" t="s">
        <v>190</v>
      </c>
      <c r="EP291" s="319" t="s">
        <v>190</v>
      </c>
      <c r="EQ291" s="319" t="s">
        <v>190</v>
      </c>
      <c r="ER291" s="319" t="s">
        <v>190</v>
      </c>
      <c r="ES291" s="319" t="s">
        <v>190</v>
      </c>
      <c r="ET291" s="319" t="s">
        <v>190</v>
      </c>
      <c r="EU291" s="319" t="s">
        <v>190</v>
      </c>
      <c r="EV291" s="319" t="s">
        <v>190</v>
      </c>
      <c r="EW291" s="319" t="s">
        <v>190</v>
      </c>
      <c r="EX291" s="319" t="s">
        <v>190</v>
      </c>
      <c r="EY291" s="319" t="s">
        <v>190</v>
      </c>
      <c r="EZ291" s="319" t="s">
        <v>190</v>
      </c>
      <c r="FA291" s="319" t="s">
        <v>190</v>
      </c>
      <c r="FB291" s="319" t="s">
        <v>428</v>
      </c>
      <c r="FC291" s="319" t="s">
        <v>428</v>
      </c>
      <c r="FD291" s="319" t="s">
        <v>428</v>
      </c>
      <c r="FE291" s="319" t="s">
        <v>428</v>
      </c>
      <c r="FF291" s="319" t="s">
        <v>428</v>
      </c>
      <c r="FG291" s="319" t="s">
        <v>428</v>
      </c>
      <c r="FH291" s="319" t="s">
        <v>190</v>
      </c>
      <c r="FI291" s="319" t="s">
        <v>428</v>
      </c>
      <c r="FJ291" s="319" t="s">
        <v>190</v>
      </c>
      <c r="FK291" s="319" t="s">
        <v>190</v>
      </c>
      <c r="FL291" s="319" t="s">
        <v>190</v>
      </c>
      <c r="FM291" s="319" t="s">
        <v>190</v>
      </c>
      <c r="FN291" s="319" t="s">
        <v>190</v>
      </c>
      <c r="FO291" s="319" t="s">
        <v>190</v>
      </c>
      <c r="FP291" s="319" t="s">
        <v>190</v>
      </c>
      <c r="FQ291" s="319" t="s">
        <v>190</v>
      </c>
      <c r="FR291" s="319" t="s">
        <v>190</v>
      </c>
      <c r="FS291" s="319" t="s">
        <v>190</v>
      </c>
      <c r="FT291" s="319" t="s">
        <v>190</v>
      </c>
      <c r="FU291" s="319" t="s">
        <v>190</v>
      </c>
      <c r="FV291" s="319" t="s">
        <v>190</v>
      </c>
      <c r="FW291" s="319" t="s">
        <v>190</v>
      </c>
      <c r="FX291" s="319" t="s">
        <v>190</v>
      </c>
      <c r="FY291" s="319" t="s">
        <v>190</v>
      </c>
      <c r="FZ291" s="319" t="s">
        <v>190</v>
      </c>
      <c r="GA291" s="319" t="s">
        <v>190</v>
      </c>
      <c r="GB291" s="319" t="s">
        <v>190</v>
      </c>
      <c r="GC291" s="319" t="s">
        <v>190</v>
      </c>
      <c r="GD291" s="319" t="s">
        <v>190</v>
      </c>
      <c r="GE291" s="319" t="s">
        <v>190</v>
      </c>
      <c r="GF291" s="319" t="s">
        <v>190</v>
      </c>
      <c r="GG291" s="319" t="s">
        <v>190</v>
      </c>
      <c r="GH291" s="319" t="s">
        <v>190</v>
      </c>
      <c r="GI291" s="319" t="s">
        <v>190</v>
      </c>
      <c r="GJ291" s="319" t="s">
        <v>190</v>
      </c>
      <c r="GK291" s="319" t="s">
        <v>428</v>
      </c>
      <c r="GL291" s="319" t="s">
        <v>190</v>
      </c>
      <c r="GM291" s="319" t="s">
        <v>190</v>
      </c>
      <c r="GN291" s="319" t="s">
        <v>190</v>
      </c>
      <c r="GO291" s="319" t="s">
        <v>190</v>
      </c>
      <c r="GP291" s="319" t="s">
        <v>190</v>
      </c>
      <c r="GQ291" s="319" t="s">
        <v>428</v>
      </c>
      <c r="GR291" s="319" t="s">
        <v>190</v>
      </c>
      <c r="GS291" s="319" t="s">
        <v>190</v>
      </c>
      <c r="GT291" s="319" t="s">
        <v>190</v>
      </c>
      <c r="GU291" s="319" t="s">
        <v>190</v>
      </c>
      <c r="GV291" s="319" t="s">
        <v>190</v>
      </c>
      <c r="GW291" s="319" t="s">
        <v>190</v>
      </c>
      <c r="GX291" s="319" t="s">
        <v>190</v>
      </c>
      <c r="GY291" s="319" t="s">
        <v>190</v>
      </c>
      <c r="GZ291" s="319" t="s">
        <v>190</v>
      </c>
      <c r="HA291" s="319" t="s">
        <v>190</v>
      </c>
      <c r="HB291" s="319" t="s">
        <v>428</v>
      </c>
      <c r="HC291" s="319" t="s">
        <v>190</v>
      </c>
      <c r="HD291" s="319" t="s">
        <v>190</v>
      </c>
      <c r="HE291" s="319" t="s">
        <v>190</v>
      </c>
      <c r="HF291" s="319" t="s">
        <v>190</v>
      </c>
      <c r="HG291" s="319" t="s">
        <v>190</v>
      </c>
      <c r="HH291" s="319" t="s">
        <v>190</v>
      </c>
      <c r="HI291" s="319" t="s">
        <v>190</v>
      </c>
      <c r="HJ291" s="319" t="s">
        <v>190</v>
      </c>
      <c r="HK291" s="319" t="s">
        <v>190</v>
      </c>
      <c r="HL291" s="319" t="s">
        <v>428</v>
      </c>
      <c r="HM291" s="319" t="s">
        <v>428</v>
      </c>
      <c r="HN291" s="319" t="s">
        <v>428</v>
      </c>
      <c r="HO291" s="319" t="s">
        <v>428</v>
      </c>
      <c r="HP291" s="319" t="s">
        <v>190</v>
      </c>
      <c r="HQ291" s="319" t="s">
        <v>190</v>
      </c>
      <c r="HR291" s="319" t="s">
        <v>190</v>
      </c>
      <c r="HS291" s="319" t="s">
        <v>190</v>
      </c>
      <c r="HT291" s="319" t="s">
        <v>190</v>
      </c>
      <c r="HU291" s="319" t="s">
        <v>190</v>
      </c>
      <c r="HV291" s="319" t="s">
        <v>190</v>
      </c>
      <c r="HW291" s="319" t="s">
        <v>190</v>
      </c>
      <c r="HX291" s="319" t="s">
        <v>190</v>
      </c>
      <c r="HY291" s="319" t="s">
        <v>190</v>
      </c>
      <c r="HZ291" s="319" t="s">
        <v>190</v>
      </c>
      <c r="IA291" s="319" t="s">
        <v>190</v>
      </c>
      <c r="IB291" s="319" t="s">
        <v>190</v>
      </c>
      <c r="IC291" s="319" t="s">
        <v>190</v>
      </c>
      <c r="ID291" s="319" t="s">
        <v>190</v>
      </c>
      <c r="IE291" s="319" t="s">
        <v>190</v>
      </c>
      <c r="IF291" s="319" t="s">
        <v>191</v>
      </c>
      <c r="IG291" s="319" t="s">
        <v>191</v>
      </c>
      <c r="IH291" s="319" t="s">
        <v>191</v>
      </c>
      <c r="II291" s="319" t="s">
        <v>190</v>
      </c>
      <c r="IJ291" s="319" t="s">
        <v>3083</v>
      </c>
      <c r="IK291" s="321">
        <v>42137</v>
      </c>
      <c r="IL291" s="321">
        <v>42139</v>
      </c>
      <c r="IM291" s="321">
        <v>42167</v>
      </c>
      <c r="IN291" s="319">
        <v>2</v>
      </c>
      <c r="IO291" s="319">
        <v>10113236</v>
      </c>
      <c r="IP291" s="319" t="s">
        <v>985</v>
      </c>
      <c r="IQ291" s="321">
        <v>43747</v>
      </c>
      <c r="IR291" s="320" t="s">
        <v>2771</v>
      </c>
      <c r="IS291" s="322">
        <v>43780</v>
      </c>
      <c r="IT291" s="319" t="s">
        <v>165</v>
      </c>
    </row>
    <row r="292" spans="1:254" s="271" customFormat="1" x14ac:dyDescent="0.25">
      <c r="A292" s="318" t="str">
        <f>HYPERLINK("http://www.ofsted.gov.uk/inspection-reports/find-inspection-report/provider/ELS/131059 ","Ofsted School Webpage")</f>
        <v>Ofsted School Webpage</v>
      </c>
      <c r="B292" s="319">
        <v>131059</v>
      </c>
      <c r="C292" s="319">
        <v>3046076</v>
      </c>
      <c r="D292" s="319" t="s">
        <v>1602</v>
      </c>
      <c r="E292" s="319" t="s">
        <v>167</v>
      </c>
      <c r="F292" s="319" t="s">
        <v>71</v>
      </c>
      <c r="G292" s="319" t="s">
        <v>72</v>
      </c>
      <c r="H292" s="319" t="s">
        <v>71</v>
      </c>
      <c r="I292" s="319" t="s">
        <v>72</v>
      </c>
      <c r="J292" s="319" t="s">
        <v>424</v>
      </c>
      <c r="K292" s="319" t="s">
        <v>441</v>
      </c>
      <c r="L292" s="319" t="s">
        <v>441</v>
      </c>
      <c r="M292" s="319" t="s">
        <v>477</v>
      </c>
      <c r="N292" s="319" t="s">
        <v>2765</v>
      </c>
      <c r="O292" s="319" t="s">
        <v>1603</v>
      </c>
      <c r="P292" s="319">
        <v>120</v>
      </c>
      <c r="Q292" s="319" t="s">
        <v>2766</v>
      </c>
      <c r="R292" s="320">
        <v>10020772</v>
      </c>
      <c r="S292" s="321">
        <v>43165</v>
      </c>
      <c r="T292" s="321">
        <v>43167</v>
      </c>
      <c r="U292" s="321">
        <v>43213</v>
      </c>
      <c r="V292" s="319" t="s">
        <v>425</v>
      </c>
      <c r="W292" s="319" t="s">
        <v>2767</v>
      </c>
      <c r="X292" s="319">
        <v>1</v>
      </c>
      <c r="Y292" s="319" t="s">
        <v>173</v>
      </c>
      <c r="Z292" s="319" t="s">
        <v>173</v>
      </c>
      <c r="AA292" s="319" t="s">
        <v>173</v>
      </c>
      <c r="AB292" s="319">
        <v>1</v>
      </c>
      <c r="AC292" s="319" t="s">
        <v>169</v>
      </c>
      <c r="AD292" s="319" t="s">
        <v>173</v>
      </c>
      <c r="AE292" s="319" t="s">
        <v>173</v>
      </c>
      <c r="AF292" s="319" t="s">
        <v>427</v>
      </c>
      <c r="AG292" s="319" t="s">
        <v>171</v>
      </c>
      <c r="AH292" s="319" t="s">
        <v>190</v>
      </c>
      <c r="AI292" s="319" t="s">
        <v>190</v>
      </c>
      <c r="AJ292" s="319" t="s">
        <v>190</v>
      </c>
      <c r="AK292" s="319" t="s">
        <v>190</v>
      </c>
      <c r="AL292" s="319" t="s">
        <v>190</v>
      </c>
      <c r="AM292" s="319" t="s">
        <v>190</v>
      </c>
      <c r="AN292" s="319" t="s">
        <v>190</v>
      </c>
      <c r="AO292" s="319" t="s">
        <v>190</v>
      </c>
      <c r="AP292" s="319" t="s">
        <v>190</v>
      </c>
      <c r="AQ292" s="319" t="s">
        <v>190</v>
      </c>
      <c r="AR292" s="319" t="s">
        <v>190</v>
      </c>
      <c r="AS292" s="319" t="s">
        <v>190</v>
      </c>
      <c r="AT292" s="319" t="s">
        <v>190</v>
      </c>
      <c r="AU292" s="319" t="s">
        <v>190</v>
      </c>
      <c r="AV292" s="319" t="s">
        <v>190</v>
      </c>
      <c r="AW292" s="319" t="s">
        <v>190</v>
      </c>
      <c r="AX292" s="319" t="s">
        <v>428</v>
      </c>
      <c r="AY292" s="319" t="s">
        <v>190</v>
      </c>
      <c r="AZ292" s="319" t="s">
        <v>190</v>
      </c>
      <c r="BA292" s="319" t="s">
        <v>190</v>
      </c>
      <c r="BB292" s="319" t="s">
        <v>190</v>
      </c>
      <c r="BC292" s="319" t="s">
        <v>190</v>
      </c>
      <c r="BD292" s="319" t="s">
        <v>190</v>
      </c>
      <c r="BE292" s="319" t="s">
        <v>190</v>
      </c>
      <c r="BF292" s="319" t="s">
        <v>428</v>
      </c>
      <c r="BG292" s="319" t="s">
        <v>428</v>
      </c>
      <c r="BH292" s="319" t="s">
        <v>190</v>
      </c>
      <c r="BI292" s="319" t="s">
        <v>190</v>
      </c>
      <c r="BJ292" s="319" t="s">
        <v>190</v>
      </c>
      <c r="BK292" s="319" t="s">
        <v>190</v>
      </c>
      <c r="BL292" s="319" t="s">
        <v>190</v>
      </c>
      <c r="BM292" s="319" t="s">
        <v>190</v>
      </c>
      <c r="BN292" s="319" t="s">
        <v>190</v>
      </c>
      <c r="BO292" s="319" t="s">
        <v>190</v>
      </c>
      <c r="BP292" s="319" t="s">
        <v>190</v>
      </c>
      <c r="BQ292" s="319" t="s">
        <v>190</v>
      </c>
      <c r="BR292" s="319" t="s">
        <v>190</v>
      </c>
      <c r="BS292" s="319" t="s">
        <v>190</v>
      </c>
      <c r="BT292" s="319" t="s">
        <v>190</v>
      </c>
      <c r="BU292" s="319" t="s">
        <v>190</v>
      </c>
      <c r="BV292" s="319" t="s">
        <v>190</v>
      </c>
      <c r="BW292" s="319" t="s">
        <v>190</v>
      </c>
      <c r="BX292" s="319" t="s">
        <v>190</v>
      </c>
      <c r="BY292" s="319" t="s">
        <v>190</v>
      </c>
      <c r="BZ292" s="319" t="s">
        <v>190</v>
      </c>
      <c r="CA292" s="319" t="s">
        <v>190</v>
      </c>
      <c r="CB292" s="319" t="s">
        <v>190</v>
      </c>
      <c r="CC292" s="319" t="s">
        <v>190</v>
      </c>
      <c r="CD292" s="319" t="s">
        <v>190</v>
      </c>
      <c r="CE292" s="319" t="s">
        <v>190</v>
      </c>
      <c r="CF292" s="319" t="s">
        <v>190</v>
      </c>
      <c r="CG292" s="319" t="s">
        <v>190</v>
      </c>
      <c r="CH292" s="319" t="s">
        <v>190</v>
      </c>
      <c r="CI292" s="319" t="s">
        <v>190</v>
      </c>
      <c r="CJ292" s="319" t="s">
        <v>190</v>
      </c>
      <c r="CK292" s="319" t="s">
        <v>190</v>
      </c>
      <c r="CL292" s="319" t="s">
        <v>190</v>
      </c>
      <c r="CM292" s="319" t="s">
        <v>190</v>
      </c>
      <c r="CN292" s="319" t="s">
        <v>428</v>
      </c>
      <c r="CO292" s="319" t="s">
        <v>428</v>
      </c>
      <c r="CP292" s="319" t="s">
        <v>428</v>
      </c>
      <c r="CQ292" s="319" t="s">
        <v>190</v>
      </c>
      <c r="CR292" s="319" t="s">
        <v>190</v>
      </c>
      <c r="CS292" s="319" t="s">
        <v>190</v>
      </c>
      <c r="CT292" s="319" t="s">
        <v>190</v>
      </c>
      <c r="CU292" s="319" t="s">
        <v>190</v>
      </c>
      <c r="CV292" s="319" t="s">
        <v>190</v>
      </c>
      <c r="CW292" s="319" t="s">
        <v>190</v>
      </c>
      <c r="CX292" s="319" t="s">
        <v>190</v>
      </c>
      <c r="CY292" s="319" t="s">
        <v>190</v>
      </c>
      <c r="CZ292" s="319" t="s">
        <v>190</v>
      </c>
      <c r="DA292" s="319" t="s">
        <v>190</v>
      </c>
      <c r="DB292" s="319" t="s">
        <v>190</v>
      </c>
      <c r="DC292" s="319" t="s">
        <v>190</v>
      </c>
      <c r="DD292" s="319" t="s">
        <v>190</v>
      </c>
      <c r="DE292" s="319" t="s">
        <v>190</v>
      </c>
      <c r="DF292" s="319" t="s">
        <v>190</v>
      </c>
      <c r="DG292" s="319" t="s">
        <v>190</v>
      </c>
      <c r="DH292" s="319" t="s">
        <v>190</v>
      </c>
      <c r="DI292" s="319" t="s">
        <v>190</v>
      </c>
      <c r="DJ292" s="319" t="s">
        <v>190</v>
      </c>
      <c r="DK292" s="319" t="s">
        <v>190</v>
      </c>
      <c r="DL292" s="319" t="s">
        <v>190</v>
      </c>
      <c r="DM292" s="319" t="s">
        <v>428</v>
      </c>
      <c r="DN292" s="319" t="s">
        <v>428</v>
      </c>
      <c r="DO292" s="319" t="s">
        <v>190</v>
      </c>
      <c r="DP292" s="319" t="s">
        <v>428</v>
      </c>
      <c r="DQ292" s="319" t="s">
        <v>428</v>
      </c>
      <c r="DR292" s="319" t="s">
        <v>428</v>
      </c>
      <c r="DS292" s="319" t="s">
        <v>428</v>
      </c>
      <c r="DT292" s="319" t="s">
        <v>428</v>
      </c>
      <c r="DU292" s="319" t="s">
        <v>428</v>
      </c>
      <c r="DV292" s="319" t="s">
        <v>173</v>
      </c>
      <c r="DW292" s="319" t="s">
        <v>428</v>
      </c>
      <c r="DX292" s="319" t="s">
        <v>428</v>
      </c>
      <c r="DY292" s="319" t="s">
        <v>428</v>
      </c>
      <c r="DZ292" s="319" t="s">
        <v>428</v>
      </c>
      <c r="EA292" s="319" t="s">
        <v>428</v>
      </c>
      <c r="EB292" s="319" t="s">
        <v>428</v>
      </c>
      <c r="EC292" s="319" t="s">
        <v>428</v>
      </c>
      <c r="ED292" s="319" t="s">
        <v>428</v>
      </c>
      <c r="EE292" s="319" t="s">
        <v>428</v>
      </c>
      <c r="EF292" s="319" t="s">
        <v>428</v>
      </c>
      <c r="EG292" s="319" t="s">
        <v>428</v>
      </c>
      <c r="EH292" s="319" t="s">
        <v>428</v>
      </c>
      <c r="EI292" s="319" t="s">
        <v>428</v>
      </c>
      <c r="EJ292" s="319" t="s">
        <v>428</v>
      </c>
      <c r="EK292" s="319" t="s">
        <v>428</v>
      </c>
      <c r="EL292" s="319" t="s">
        <v>428</v>
      </c>
      <c r="EM292" s="319" t="s">
        <v>190</v>
      </c>
      <c r="EN292" s="319" t="s">
        <v>190</v>
      </c>
      <c r="EO292" s="319" t="s">
        <v>190</v>
      </c>
      <c r="EP292" s="319" t="s">
        <v>190</v>
      </c>
      <c r="EQ292" s="319" t="s">
        <v>190</v>
      </c>
      <c r="ER292" s="319" t="s">
        <v>190</v>
      </c>
      <c r="ES292" s="319" t="s">
        <v>190</v>
      </c>
      <c r="ET292" s="319" t="s">
        <v>190</v>
      </c>
      <c r="EU292" s="319" t="s">
        <v>190</v>
      </c>
      <c r="EV292" s="319" t="s">
        <v>190</v>
      </c>
      <c r="EW292" s="319" t="s">
        <v>190</v>
      </c>
      <c r="EX292" s="319" t="s">
        <v>190</v>
      </c>
      <c r="EY292" s="319" t="s">
        <v>190</v>
      </c>
      <c r="EZ292" s="319" t="s">
        <v>190</v>
      </c>
      <c r="FA292" s="319" t="s">
        <v>190</v>
      </c>
      <c r="FB292" s="319" t="s">
        <v>428</v>
      </c>
      <c r="FC292" s="319" t="s">
        <v>428</v>
      </c>
      <c r="FD292" s="319" t="s">
        <v>428</v>
      </c>
      <c r="FE292" s="319" t="s">
        <v>428</v>
      </c>
      <c r="FF292" s="319" t="s">
        <v>428</v>
      </c>
      <c r="FG292" s="319" t="s">
        <v>428</v>
      </c>
      <c r="FH292" s="319" t="s">
        <v>190</v>
      </c>
      <c r="FI292" s="319" t="s">
        <v>190</v>
      </c>
      <c r="FJ292" s="319" t="s">
        <v>190</v>
      </c>
      <c r="FK292" s="319" t="s">
        <v>190</v>
      </c>
      <c r="FL292" s="319" t="s">
        <v>190</v>
      </c>
      <c r="FM292" s="319" t="s">
        <v>190</v>
      </c>
      <c r="FN292" s="319" t="s">
        <v>428</v>
      </c>
      <c r="FO292" s="319" t="s">
        <v>190</v>
      </c>
      <c r="FP292" s="319" t="s">
        <v>190</v>
      </c>
      <c r="FQ292" s="319" t="s">
        <v>190</v>
      </c>
      <c r="FR292" s="319" t="s">
        <v>190</v>
      </c>
      <c r="FS292" s="319" t="s">
        <v>428</v>
      </c>
      <c r="FT292" s="319" t="s">
        <v>428</v>
      </c>
      <c r="FU292" s="319" t="s">
        <v>190</v>
      </c>
      <c r="FV292" s="319" t="s">
        <v>190</v>
      </c>
      <c r="FW292" s="319" t="s">
        <v>190</v>
      </c>
      <c r="FX292" s="319" t="s">
        <v>190</v>
      </c>
      <c r="FY292" s="319" t="s">
        <v>190</v>
      </c>
      <c r="FZ292" s="319" t="s">
        <v>190</v>
      </c>
      <c r="GA292" s="319" t="s">
        <v>190</v>
      </c>
      <c r="GB292" s="319" t="s">
        <v>190</v>
      </c>
      <c r="GC292" s="319" t="s">
        <v>190</v>
      </c>
      <c r="GD292" s="319" t="s">
        <v>190</v>
      </c>
      <c r="GE292" s="319" t="s">
        <v>190</v>
      </c>
      <c r="GF292" s="319" t="s">
        <v>190</v>
      </c>
      <c r="GG292" s="319" t="s">
        <v>190</v>
      </c>
      <c r="GH292" s="319" t="s">
        <v>190</v>
      </c>
      <c r="GI292" s="319" t="s">
        <v>190</v>
      </c>
      <c r="GJ292" s="319" t="s">
        <v>190</v>
      </c>
      <c r="GK292" s="319" t="s">
        <v>428</v>
      </c>
      <c r="GL292" s="319" t="s">
        <v>190</v>
      </c>
      <c r="GM292" s="319" t="s">
        <v>190</v>
      </c>
      <c r="GN292" s="319" t="s">
        <v>190</v>
      </c>
      <c r="GO292" s="319" t="s">
        <v>190</v>
      </c>
      <c r="GP292" s="319" t="s">
        <v>190</v>
      </c>
      <c r="GQ292" s="319" t="s">
        <v>428</v>
      </c>
      <c r="GR292" s="319" t="s">
        <v>190</v>
      </c>
      <c r="GS292" s="319" t="s">
        <v>190</v>
      </c>
      <c r="GT292" s="319" t="s">
        <v>428</v>
      </c>
      <c r="GU292" s="319" t="s">
        <v>428</v>
      </c>
      <c r="GV292" s="319" t="s">
        <v>190</v>
      </c>
      <c r="GW292" s="319" t="s">
        <v>190</v>
      </c>
      <c r="GX292" s="319" t="s">
        <v>190</v>
      </c>
      <c r="GY292" s="319" t="s">
        <v>190</v>
      </c>
      <c r="GZ292" s="319" t="s">
        <v>428</v>
      </c>
      <c r="HA292" s="319" t="s">
        <v>190</v>
      </c>
      <c r="HB292" s="319" t="s">
        <v>428</v>
      </c>
      <c r="HC292" s="319" t="s">
        <v>190</v>
      </c>
      <c r="HD292" s="319" t="s">
        <v>190</v>
      </c>
      <c r="HE292" s="319" t="s">
        <v>190</v>
      </c>
      <c r="HF292" s="319" t="s">
        <v>428</v>
      </c>
      <c r="HG292" s="319" t="s">
        <v>190</v>
      </c>
      <c r="HH292" s="319" t="s">
        <v>190</v>
      </c>
      <c r="HI292" s="319" t="s">
        <v>190</v>
      </c>
      <c r="HJ292" s="319" t="s">
        <v>190</v>
      </c>
      <c r="HK292" s="319" t="s">
        <v>190</v>
      </c>
      <c r="HL292" s="319" t="s">
        <v>428</v>
      </c>
      <c r="HM292" s="319" t="s">
        <v>428</v>
      </c>
      <c r="HN292" s="319" t="s">
        <v>428</v>
      </c>
      <c r="HO292" s="319" t="s">
        <v>428</v>
      </c>
      <c r="HP292" s="319" t="s">
        <v>190</v>
      </c>
      <c r="HQ292" s="319" t="s">
        <v>190</v>
      </c>
      <c r="HR292" s="319" t="s">
        <v>190</v>
      </c>
      <c r="HS292" s="319" t="s">
        <v>190</v>
      </c>
      <c r="HT292" s="319" t="s">
        <v>190</v>
      </c>
      <c r="HU292" s="319" t="s">
        <v>190</v>
      </c>
      <c r="HV292" s="319" t="s">
        <v>190</v>
      </c>
      <c r="HW292" s="319" t="s">
        <v>190</v>
      </c>
      <c r="HX292" s="319" t="s">
        <v>190</v>
      </c>
      <c r="HY292" s="319" t="s">
        <v>190</v>
      </c>
      <c r="HZ292" s="319" t="s">
        <v>190</v>
      </c>
      <c r="IA292" s="319" t="s">
        <v>190</v>
      </c>
      <c r="IB292" s="319" t="s">
        <v>190</v>
      </c>
      <c r="IC292" s="319" t="s">
        <v>190</v>
      </c>
      <c r="ID292" s="319" t="s">
        <v>190</v>
      </c>
      <c r="IE292" s="319" t="s">
        <v>190</v>
      </c>
      <c r="IF292" s="319" t="s">
        <v>190</v>
      </c>
      <c r="IG292" s="319" t="s">
        <v>190</v>
      </c>
      <c r="IH292" s="319" t="s">
        <v>190</v>
      </c>
      <c r="II292" s="319" t="s">
        <v>190</v>
      </c>
      <c r="IJ292" s="319" t="s">
        <v>3084</v>
      </c>
      <c r="IK292" s="321">
        <v>41248</v>
      </c>
      <c r="IL292" s="321">
        <v>41249</v>
      </c>
      <c r="IM292" s="321">
        <v>41281</v>
      </c>
      <c r="IN292" s="319">
        <v>2</v>
      </c>
      <c r="IO292" s="319" t="s">
        <v>173</v>
      </c>
      <c r="IP292" s="319" t="s">
        <v>173</v>
      </c>
      <c r="IQ292" s="321" t="s">
        <v>173</v>
      </c>
      <c r="IR292" s="320" t="s">
        <v>173</v>
      </c>
      <c r="IS292" s="322" t="s">
        <v>173</v>
      </c>
      <c r="IT292" s="319" t="s">
        <v>173</v>
      </c>
    </row>
    <row r="293" spans="1:254" s="271" customFormat="1" x14ac:dyDescent="0.25">
      <c r="A293" s="318" t="str">
        <f>HYPERLINK("http://www.ofsted.gov.uk/inspection-reports/find-inspection-report/provider/ELS/131064 ","Ofsted School Webpage")</f>
        <v>Ofsted School Webpage</v>
      </c>
      <c r="B293" s="319">
        <v>131064</v>
      </c>
      <c r="C293" s="319">
        <v>9316125</v>
      </c>
      <c r="D293" s="319" t="s">
        <v>1604</v>
      </c>
      <c r="E293" s="319" t="s">
        <v>168</v>
      </c>
      <c r="F293" s="319" t="s">
        <v>81</v>
      </c>
      <c r="G293" s="319" t="s">
        <v>81</v>
      </c>
      <c r="H293" s="319" t="s">
        <v>81</v>
      </c>
      <c r="I293" s="319" t="s">
        <v>78</v>
      </c>
      <c r="J293" s="319" t="s">
        <v>424</v>
      </c>
      <c r="K293" s="319" t="s">
        <v>514</v>
      </c>
      <c r="L293" s="319" t="s">
        <v>514</v>
      </c>
      <c r="M293" s="319" t="s">
        <v>1016</v>
      </c>
      <c r="N293" s="319" t="s">
        <v>3085</v>
      </c>
      <c r="O293" s="319" t="s">
        <v>1605</v>
      </c>
      <c r="P293" s="319">
        <v>36</v>
      </c>
      <c r="Q293" s="319" t="s">
        <v>429</v>
      </c>
      <c r="R293" s="320">
        <v>10103861</v>
      </c>
      <c r="S293" s="321">
        <v>43781</v>
      </c>
      <c r="T293" s="321">
        <v>43783</v>
      </c>
      <c r="U293" s="321">
        <v>43801</v>
      </c>
      <c r="V293" s="319" t="s">
        <v>425</v>
      </c>
      <c r="W293" s="319" t="s">
        <v>2767</v>
      </c>
      <c r="X293" s="319">
        <v>1</v>
      </c>
      <c r="Y293" s="319">
        <v>1</v>
      </c>
      <c r="Z293" s="319">
        <v>1</v>
      </c>
      <c r="AA293" s="319">
        <v>1</v>
      </c>
      <c r="AB293" s="319">
        <v>1</v>
      </c>
      <c r="AC293" s="319" t="s">
        <v>169</v>
      </c>
      <c r="AD293" s="319" t="s">
        <v>173</v>
      </c>
      <c r="AE293" s="319" t="s">
        <v>173</v>
      </c>
      <c r="AF293" s="319" t="s">
        <v>427</v>
      </c>
      <c r="AG293" s="319" t="s">
        <v>171</v>
      </c>
      <c r="AH293" s="319" t="s">
        <v>190</v>
      </c>
      <c r="AI293" s="319" t="s">
        <v>190</v>
      </c>
      <c r="AJ293" s="319" t="s">
        <v>190</v>
      </c>
      <c r="AK293" s="319" t="s">
        <v>190</v>
      </c>
      <c r="AL293" s="319" t="s">
        <v>190</v>
      </c>
      <c r="AM293" s="319" t="s">
        <v>190</v>
      </c>
      <c r="AN293" s="319" t="s">
        <v>190</v>
      </c>
      <c r="AO293" s="319" t="s">
        <v>190</v>
      </c>
      <c r="AP293" s="319" t="s">
        <v>190</v>
      </c>
      <c r="AQ293" s="319" t="s">
        <v>190</v>
      </c>
      <c r="AR293" s="319" t="s">
        <v>190</v>
      </c>
      <c r="AS293" s="319" t="s">
        <v>190</v>
      </c>
      <c r="AT293" s="319" t="s">
        <v>190</v>
      </c>
      <c r="AU293" s="319" t="s">
        <v>190</v>
      </c>
      <c r="AV293" s="319" t="s">
        <v>190</v>
      </c>
      <c r="AW293" s="319" t="s">
        <v>190</v>
      </c>
      <c r="AX293" s="319" t="s">
        <v>428</v>
      </c>
      <c r="AY293" s="319" t="s">
        <v>190</v>
      </c>
      <c r="AZ293" s="319" t="s">
        <v>190</v>
      </c>
      <c r="BA293" s="319" t="s">
        <v>190</v>
      </c>
      <c r="BB293" s="319" t="s">
        <v>428</v>
      </c>
      <c r="BC293" s="319" t="s">
        <v>428</v>
      </c>
      <c r="BD293" s="319" t="s">
        <v>428</v>
      </c>
      <c r="BE293" s="319" t="s">
        <v>428</v>
      </c>
      <c r="BF293" s="319" t="s">
        <v>428</v>
      </c>
      <c r="BG293" s="319" t="s">
        <v>190</v>
      </c>
      <c r="BH293" s="319" t="s">
        <v>190</v>
      </c>
      <c r="BI293" s="319" t="s">
        <v>190</v>
      </c>
      <c r="BJ293" s="319" t="s">
        <v>190</v>
      </c>
      <c r="BK293" s="319" t="s">
        <v>190</v>
      </c>
      <c r="BL293" s="319" t="s">
        <v>190</v>
      </c>
      <c r="BM293" s="319" t="s">
        <v>190</v>
      </c>
      <c r="BN293" s="319" t="s">
        <v>190</v>
      </c>
      <c r="BO293" s="319" t="s">
        <v>190</v>
      </c>
      <c r="BP293" s="319" t="s">
        <v>190</v>
      </c>
      <c r="BQ293" s="319" t="s">
        <v>190</v>
      </c>
      <c r="BR293" s="319" t="s">
        <v>190</v>
      </c>
      <c r="BS293" s="319" t="s">
        <v>190</v>
      </c>
      <c r="BT293" s="319" t="s">
        <v>190</v>
      </c>
      <c r="BU293" s="319" t="s">
        <v>190</v>
      </c>
      <c r="BV293" s="319" t="s">
        <v>190</v>
      </c>
      <c r="BW293" s="319" t="s">
        <v>190</v>
      </c>
      <c r="BX293" s="319" t="s">
        <v>190</v>
      </c>
      <c r="BY293" s="319" t="s">
        <v>190</v>
      </c>
      <c r="BZ293" s="319" t="s">
        <v>190</v>
      </c>
      <c r="CA293" s="319" t="s">
        <v>190</v>
      </c>
      <c r="CB293" s="319" t="s">
        <v>190</v>
      </c>
      <c r="CC293" s="319" t="s">
        <v>190</v>
      </c>
      <c r="CD293" s="319" t="s">
        <v>190</v>
      </c>
      <c r="CE293" s="319" t="s">
        <v>190</v>
      </c>
      <c r="CF293" s="319" t="s">
        <v>190</v>
      </c>
      <c r="CG293" s="319" t="s">
        <v>190</v>
      </c>
      <c r="CH293" s="319" t="s">
        <v>190</v>
      </c>
      <c r="CI293" s="319" t="s">
        <v>190</v>
      </c>
      <c r="CJ293" s="319" t="s">
        <v>190</v>
      </c>
      <c r="CK293" s="319" t="s">
        <v>190</v>
      </c>
      <c r="CL293" s="319" t="s">
        <v>190</v>
      </c>
      <c r="CM293" s="319" t="s">
        <v>190</v>
      </c>
      <c r="CN293" s="319" t="s">
        <v>428</v>
      </c>
      <c r="CO293" s="319" t="s">
        <v>428</v>
      </c>
      <c r="CP293" s="319" t="s">
        <v>428</v>
      </c>
      <c r="CQ293" s="319" t="s">
        <v>190</v>
      </c>
      <c r="CR293" s="319" t="s">
        <v>190</v>
      </c>
      <c r="CS293" s="319" t="s">
        <v>190</v>
      </c>
      <c r="CT293" s="319" t="s">
        <v>190</v>
      </c>
      <c r="CU293" s="319" t="s">
        <v>190</v>
      </c>
      <c r="CV293" s="319" t="s">
        <v>190</v>
      </c>
      <c r="CW293" s="319" t="s">
        <v>190</v>
      </c>
      <c r="CX293" s="319" t="s">
        <v>190</v>
      </c>
      <c r="CY293" s="319" t="s">
        <v>190</v>
      </c>
      <c r="CZ293" s="319" t="s">
        <v>190</v>
      </c>
      <c r="DA293" s="319" t="s">
        <v>190</v>
      </c>
      <c r="DB293" s="319" t="s">
        <v>190</v>
      </c>
      <c r="DC293" s="319" t="s">
        <v>190</v>
      </c>
      <c r="DD293" s="319" t="s">
        <v>190</v>
      </c>
      <c r="DE293" s="319" t="s">
        <v>190</v>
      </c>
      <c r="DF293" s="319" t="s">
        <v>190</v>
      </c>
      <c r="DG293" s="319" t="s">
        <v>190</v>
      </c>
      <c r="DH293" s="319" t="s">
        <v>190</v>
      </c>
      <c r="DI293" s="319" t="s">
        <v>190</v>
      </c>
      <c r="DJ293" s="319" t="s">
        <v>190</v>
      </c>
      <c r="DK293" s="319" t="s">
        <v>190</v>
      </c>
      <c r="DL293" s="319" t="s">
        <v>190</v>
      </c>
      <c r="DM293" s="319" t="s">
        <v>190</v>
      </c>
      <c r="DN293" s="319" t="s">
        <v>428</v>
      </c>
      <c r="DO293" s="319" t="s">
        <v>190</v>
      </c>
      <c r="DP293" s="319" t="s">
        <v>190</v>
      </c>
      <c r="DQ293" s="319" t="s">
        <v>190</v>
      </c>
      <c r="DR293" s="319" t="s">
        <v>190</v>
      </c>
      <c r="DS293" s="319" t="s">
        <v>190</v>
      </c>
      <c r="DT293" s="319" t="s">
        <v>190</v>
      </c>
      <c r="DU293" s="319" t="s">
        <v>190</v>
      </c>
      <c r="DV293" s="319" t="s">
        <v>190</v>
      </c>
      <c r="DW293" s="319" t="s">
        <v>190</v>
      </c>
      <c r="DX293" s="319" t="s">
        <v>190</v>
      </c>
      <c r="DY293" s="319" t="s">
        <v>190</v>
      </c>
      <c r="DZ293" s="319" t="s">
        <v>190</v>
      </c>
      <c r="EA293" s="319" t="s">
        <v>190</v>
      </c>
      <c r="EB293" s="319" t="s">
        <v>190</v>
      </c>
      <c r="EC293" s="319" t="s">
        <v>428</v>
      </c>
      <c r="ED293" s="319" t="s">
        <v>428</v>
      </c>
      <c r="EE293" s="319" t="s">
        <v>190</v>
      </c>
      <c r="EF293" s="319" t="s">
        <v>190</v>
      </c>
      <c r="EG293" s="319" t="s">
        <v>190</v>
      </c>
      <c r="EH293" s="319" t="s">
        <v>190</v>
      </c>
      <c r="EI293" s="319" t="s">
        <v>190</v>
      </c>
      <c r="EJ293" s="319" t="s">
        <v>190</v>
      </c>
      <c r="EK293" s="319" t="s">
        <v>190</v>
      </c>
      <c r="EL293" s="319" t="s">
        <v>190</v>
      </c>
      <c r="EM293" s="319" t="s">
        <v>190</v>
      </c>
      <c r="EN293" s="319" t="s">
        <v>190</v>
      </c>
      <c r="EO293" s="319" t="s">
        <v>190</v>
      </c>
      <c r="EP293" s="319" t="s">
        <v>190</v>
      </c>
      <c r="EQ293" s="319" t="s">
        <v>190</v>
      </c>
      <c r="ER293" s="319" t="s">
        <v>190</v>
      </c>
      <c r="ES293" s="319" t="s">
        <v>190</v>
      </c>
      <c r="ET293" s="319" t="s">
        <v>190</v>
      </c>
      <c r="EU293" s="319" t="s">
        <v>190</v>
      </c>
      <c r="EV293" s="319" t="s">
        <v>190</v>
      </c>
      <c r="EW293" s="319" t="s">
        <v>190</v>
      </c>
      <c r="EX293" s="319" t="s">
        <v>190</v>
      </c>
      <c r="EY293" s="319" t="s">
        <v>190</v>
      </c>
      <c r="EZ293" s="319" t="s">
        <v>190</v>
      </c>
      <c r="FA293" s="319" t="s">
        <v>190</v>
      </c>
      <c r="FB293" s="319" t="s">
        <v>190</v>
      </c>
      <c r="FC293" s="319" t="s">
        <v>190</v>
      </c>
      <c r="FD293" s="319" t="s">
        <v>190</v>
      </c>
      <c r="FE293" s="319" t="s">
        <v>190</v>
      </c>
      <c r="FF293" s="319" t="s">
        <v>190</v>
      </c>
      <c r="FG293" s="319" t="s">
        <v>190</v>
      </c>
      <c r="FH293" s="319" t="s">
        <v>190</v>
      </c>
      <c r="FI293" s="319" t="s">
        <v>190</v>
      </c>
      <c r="FJ293" s="319" t="s">
        <v>190</v>
      </c>
      <c r="FK293" s="319" t="s">
        <v>190</v>
      </c>
      <c r="FL293" s="319" t="s">
        <v>190</v>
      </c>
      <c r="FM293" s="319" t="s">
        <v>190</v>
      </c>
      <c r="FN293" s="319" t="s">
        <v>190</v>
      </c>
      <c r="FO293" s="319" t="s">
        <v>428</v>
      </c>
      <c r="FP293" s="319" t="s">
        <v>190</v>
      </c>
      <c r="FQ293" s="319" t="s">
        <v>190</v>
      </c>
      <c r="FR293" s="319" t="s">
        <v>190</v>
      </c>
      <c r="FS293" s="319" t="s">
        <v>428</v>
      </c>
      <c r="FT293" s="319" t="s">
        <v>190</v>
      </c>
      <c r="FU293" s="319" t="s">
        <v>190</v>
      </c>
      <c r="FV293" s="319" t="s">
        <v>190</v>
      </c>
      <c r="FW293" s="319" t="s">
        <v>190</v>
      </c>
      <c r="FX293" s="319" t="s">
        <v>190</v>
      </c>
      <c r="FY293" s="319" t="s">
        <v>190</v>
      </c>
      <c r="FZ293" s="319" t="s">
        <v>190</v>
      </c>
      <c r="GA293" s="319" t="s">
        <v>190</v>
      </c>
      <c r="GB293" s="319" t="s">
        <v>190</v>
      </c>
      <c r="GC293" s="319" t="s">
        <v>190</v>
      </c>
      <c r="GD293" s="319" t="s">
        <v>190</v>
      </c>
      <c r="GE293" s="319" t="s">
        <v>190</v>
      </c>
      <c r="GF293" s="319" t="s">
        <v>190</v>
      </c>
      <c r="GG293" s="319" t="s">
        <v>190</v>
      </c>
      <c r="GH293" s="319" t="s">
        <v>190</v>
      </c>
      <c r="GI293" s="319" t="s">
        <v>190</v>
      </c>
      <c r="GJ293" s="319" t="s">
        <v>190</v>
      </c>
      <c r="GK293" s="319" t="s">
        <v>428</v>
      </c>
      <c r="GL293" s="319" t="s">
        <v>190</v>
      </c>
      <c r="GM293" s="319" t="s">
        <v>190</v>
      </c>
      <c r="GN293" s="319" t="s">
        <v>190</v>
      </c>
      <c r="GO293" s="319" t="s">
        <v>190</v>
      </c>
      <c r="GP293" s="319" t="s">
        <v>190</v>
      </c>
      <c r="GQ293" s="319" t="s">
        <v>428</v>
      </c>
      <c r="GR293" s="319" t="s">
        <v>190</v>
      </c>
      <c r="GS293" s="319" t="s">
        <v>190</v>
      </c>
      <c r="GT293" s="319" t="s">
        <v>190</v>
      </c>
      <c r="GU293" s="319" t="s">
        <v>190</v>
      </c>
      <c r="GV293" s="319" t="s">
        <v>190</v>
      </c>
      <c r="GW293" s="319" t="s">
        <v>190</v>
      </c>
      <c r="GX293" s="319" t="s">
        <v>190</v>
      </c>
      <c r="GY293" s="319" t="s">
        <v>190</v>
      </c>
      <c r="GZ293" s="319" t="s">
        <v>428</v>
      </c>
      <c r="HA293" s="319" t="s">
        <v>190</v>
      </c>
      <c r="HB293" s="319" t="s">
        <v>428</v>
      </c>
      <c r="HC293" s="319" t="s">
        <v>190</v>
      </c>
      <c r="HD293" s="319" t="s">
        <v>190</v>
      </c>
      <c r="HE293" s="319" t="s">
        <v>190</v>
      </c>
      <c r="HF293" s="319" t="s">
        <v>190</v>
      </c>
      <c r="HG293" s="319" t="s">
        <v>190</v>
      </c>
      <c r="HH293" s="319" t="s">
        <v>190</v>
      </c>
      <c r="HI293" s="319" t="s">
        <v>428</v>
      </c>
      <c r="HJ293" s="319" t="s">
        <v>190</v>
      </c>
      <c r="HK293" s="319" t="s">
        <v>190</v>
      </c>
      <c r="HL293" s="319" t="s">
        <v>428</v>
      </c>
      <c r="HM293" s="319" t="s">
        <v>428</v>
      </c>
      <c r="HN293" s="319" t="s">
        <v>428</v>
      </c>
      <c r="HO293" s="319" t="s">
        <v>428</v>
      </c>
      <c r="HP293" s="319" t="s">
        <v>190</v>
      </c>
      <c r="HQ293" s="319" t="s">
        <v>190</v>
      </c>
      <c r="HR293" s="319" t="s">
        <v>190</v>
      </c>
      <c r="HS293" s="319" t="s">
        <v>190</v>
      </c>
      <c r="HT293" s="319" t="s">
        <v>190</v>
      </c>
      <c r="HU293" s="319" t="s">
        <v>190</v>
      </c>
      <c r="HV293" s="319" t="s">
        <v>190</v>
      </c>
      <c r="HW293" s="319" t="s">
        <v>190</v>
      </c>
      <c r="HX293" s="319" t="s">
        <v>190</v>
      </c>
      <c r="HY293" s="319" t="s">
        <v>190</v>
      </c>
      <c r="HZ293" s="319" t="s">
        <v>190</v>
      </c>
      <c r="IA293" s="319" t="s">
        <v>190</v>
      </c>
      <c r="IB293" s="319" t="s">
        <v>190</v>
      </c>
      <c r="IC293" s="319" t="s">
        <v>190</v>
      </c>
      <c r="ID293" s="319" t="s">
        <v>190</v>
      </c>
      <c r="IE293" s="319" t="s">
        <v>190</v>
      </c>
      <c r="IF293" s="319" t="s">
        <v>190</v>
      </c>
      <c r="IG293" s="319" t="s">
        <v>190</v>
      </c>
      <c r="IH293" s="319" t="s">
        <v>190</v>
      </c>
      <c r="II293" s="319" t="s">
        <v>190</v>
      </c>
      <c r="IJ293" s="319">
        <v>10008615</v>
      </c>
      <c r="IK293" s="321">
        <v>42648</v>
      </c>
      <c r="IL293" s="321">
        <v>42650</v>
      </c>
      <c r="IM293" s="321">
        <v>42682</v>
      </c>
      <c r="IN293" s="319">
        <v>2</v>
      </c>
      <c r="IO293" s="319" t="s">
        <v>173</v>
      </c>
      <c r="IP293" s="319" t="s">
        <v>173</v>
      </c>
      <c r="IQ293" s="321" t="s">
        <v>173</v>
      </c>
      <c r="IR293" s="320" t="s">
        <v>173</v>
      </c>
      <c r="IS293" s="322" t="s">
        <v>173</v>
      </c>
      <c r="IT293" s="319" t="s">
        <v>173</v>
      </c>
    </row>
    <row r="294" spans="1:254" s="271" customFormat="1" x14ac:dyDescent="0.25">
      <c r="A294" s="318" t="str">
        <f>HYPERLINK("http://www.ofsted.gov.uk/inspection-reports/find-inspection-report/provider/ELS/131119 ","Ofsted School Webpage")</f>
        <v>Ofsted School Webpage</v>
      </c>
      <c r="B294" s="319">
        <v>131119</v>
      </c>
      <c r="C294" s="319">
        <v>8926012</v>
      </c>
      <c r="D294" s="319" t="s">
        <v>747</v>
      </c>
      <c r="E294" s="319" t="s">
        <v>167</v>
      </c>
      <c r="F294" s="319" t="s">
        <v>81</v>
      </c>
      <c r="G294" s="319" t="s">
        <v>72</v>
      </c>
      <c r="H294" s="319" t="s">
        <v>72</v>
      </c>
      <c r="I294" s="319" t="s">
        <v>72</v>
      </c>
      <c r="J294" s="319" t="s">
        <v>424</v>
      </c>
      <c r="K294" s="319" t="s">
        <v>506</v>
      </c>
      <c r="L294" s="319" t="s">
        <v>506</v>
      </c>
      <c r="M294" s="319" t="s">
        <v>673</v>
      </c>
      <c r="N294" s="319" t="s">
        <v>3019</v>
      </c>
      <c r="O294" s="319" t="s">
        <v>748</v>
      </c>
      <c r="P294" s="319">
        <v>177</v>
      </c>
      <c r="Q294" s="319" t="s">
        <v>2776</v>
      </c>
      <c r="R294" s="320">
        <v>10081294</v>
      </c>
      <c r="S294" s="321">
        <v>43438</v>
      </c>
      <c r="T294" s="321">
        <v>43440</v>
      </c>
      <c r="U294" s="321">
        <v>43494</v>
      </c>
      <c r="V294" s="319" t="s">
        <v>425</v>
      </c>
      <c r="W294" s="319" t="s">
        <v>2767</v>
      </c>
      <c r="X294" s="319">
        <v>4</v>
      </c>
      <c r="Y294" s="319" t="s">
        <v>173</v>
      </c>
      <c r="Z294" s="319" t="s">
        <v>173</v>
      </c>
      <c r="AA294" s="319" t="s">
        <v>173</v>
      </c>
      <c r="AB294" s="319">
        <v>4</v>
      </c>
      <c r="AC294" s="319" t="s">
        <v>170</v>
      </c>
      <c r="AD294" s="319" t="s">
        <v>173</v>
      </c>
      <c r="AE294" s="319">
        <v>4</v>
      </c>
      <c r="AF294" s="319" t="s">
        <v>427</v>
      </c>
      <c r="AG294" s="319" t="s">
        <v>172</v>
      </c>
      <c r="AH294" s="319" t="s">
        <v>479</v>
      </c>
      <c r="AI294" s="319" t="s">
        <v>479</v>
      </c>
      <c r="AJ294" s="319" t="s">
        <v>479</v>
      </c>
      <c r="AK294" s="319" t="s">
        <v>190</v>
      </c>
      <c r="AL294" s="319" t="s">
        <v>479</v>
      </c>
      <c r="AM294" s="319" t="s">
        <v>190</v>
      </c>
      <c r="AN294" s="319" t="s">
        <v>190</v>
      </c>
      <c r="AO294" s="319" t="s">
        <v>479</v>
      </c>
      <c r="AP294" s="319" t="s">
        <v>191</v>
      </c>
      <c r="AQ294" s="319" t="s">
        <v>191</v>
      </c>
      <c r="AR294" s="319" t="s">
        <v>190</v>
      </c>
      <c r="AS294" s="319" t="s">
        <v>190</v>
      </c>
      <c r="AT294" s="319" t="s">
        <v>190</v>
      </c>
      <c r="AU294" s="319" t="s">
        <v>191</v>
      </c>
      <c r="AV294" s="319" t="s">
        <v>191</v>
      </c>
      <c r="AW294" s="319" t="s">
        <v>190</v>
      </c>
      <c r="AX294" s="319" t="s">
        <v>428</v>
      </c>
      <c r="AY294" s="319" t="s">
        <v>191</v>
      </c>
      <c r="AZ294" s="319" t="s">
        <v>191</v>
      </c>
      <c r="BA294" s="319" t="s">
        <v>191</v>
      </c>
      <c r="BB294" s="319" t="s">
        <v>190</v>
      </c>
      <c r="BC294" s="319" t="s">
        <v>190</v>
      </c>
      <c r="BD294" s="319" t="s">
        <v>190</v>
      </c>
      <c r="BE294" s="319" t="s">
        <v>190</v>
      </c>
      <c r="BF294" s="319" t="s">
        <v>428</v>
      </c>
      <c r="BG294" s="319" t="s">
        <v>190</v>
      </c>
      <c r="BH294" s="319" t="s">
        <v>190</v>
      </c>
      <c r="BI294" s="319" t="s">
        <v>191</v>
      </c>
      <c r="BJ294" s="319" t="s">
        <v>190</v>
      </c>
      <c r="BK294" s="319" t="s">
        <v>190</v>
      </c>
      <c r="BL294" s="319" t="s">
        <v>190</v>
      </c>
      <c r="BM294" s="319" t="s">
        <v>190</v>
      </c>
      <c r="BN294" s="319" t="s">
        <v>190</v>
      </c>
      <c r="BO294" s="319" t="s">
        <v>190</v>
      </c>
      <c r="BP294" s="319" t="s">
        <v>190</v>
      </c>
      <c r="BQ294" s="319" t="s">
        <v>190</v>
      </c>
      <c r="BR294" s="319" t="s">
        <v>190</v>
      </c>
      <c r="BS294" s="319" t="s">
        <v>190</v>
      </c>
      <c r="BT294" s="319" t="s">
        <v>190</v>
      </c>
      <c r="BU294" s="319" t="s">
        <v>190</v>
      </c>
      <c r="BV294" s="319" t="s">
        <v>191</v>
      </c>
      <c r="BW294" s="319" t="s">
        <v>191</v>
      </c>
      <c r="BX294" s="319" t="s">
        <v>191</v>
      </c>
      <c r="BY294" s="319" t="s">
        <v>190</v>
      </c>
      <c r="BZ294" s="319" t="s">
        <v>190</v>
      </c>
      <c r="CA294" s="319" t="s">
        <v>191</v>
      </c>
      <c r="CB294" s="319" t="s">
        <v>191</v>
      </c>
      <c r="CC294" s="319" t="s">
        <v>191</v>
      </c>
      <c r="CD294" s="319" t="s">
        <v>191</v>
      </c>
      <c r="CE294" s="319" t="s">
        <v>190</v>
      </c>
      <c r="CF294" s="319" t="s">
        <v>190</v>
      </c>
      <c r="CG294" s="319" t="s">
        <v>190</v>
      </c>
      <c r="CH294" s="319" t="s">
        <v>190</v>
      </c>
      <c r="CI294" s="319" t="s">
        <v>190</v>
      </c>
      <c r="CJ294" s="319" t="s">
        <v>190</v>
      </c>
      <c r="CK294" s="319" t="s">
        <v>191</v>
      </c>
      <c r="CL294" s="319" t="s">
        <v>191</v>
      </c>
      <c r="CM294" s="319" t="s">
        <v>191</v>
      </c>
      <c r="CN294" s="319" t="s">
        <v>584</v>
      </c>
      <c r="CO294" s="319" t="s">
        <v>584</v>
      </c>
      <c r="CP294" s="319" t="s">
        <v>584</v>
      </c>
      <c r="CQ294" s="319" t="s">
        <v>191</v>
      </c>
      <c r="CR294" s="319" t="s">
        <v>190</v>
      </c>
      <c r="CS294" s="319" t="s">
        <v>191</v>
      </c>
      <c r="CT294" s="319" t="s">
        <v>191</v>
      </c>
      <c r="CU294" s="319" t="s">
        <v>190</v>
      </c>
      <c r="CV294" s="319" t="s">
        <v>191</v>
      </c>
      <c r="CW294" s="319" t="s">
        <v>190</v>
      </c>
      <c r="CX294" s="319" t="s">
        <v>191</v>
      </c>
      <c r="CY294" s="319" t="s">
        <v>190</v>
      </c>
      <c r="CZ294" s="319" t="s">
        <v>191</v>
      </c>
      <c r="DA294" s="319" t="s">
        <v>191</v>
      </c>
      <c r="DB294" s="319" t="s">
        <v>191</v>
      </c>
      <c r="DC294" s="319" t="s">
        <v>191</v>
      </c>
      <c r="DD294" s="319" t="s">
        <v>190</v>
      </c>
      <c r="DE294" s="319" t="s">
        <v>190</v>
      </c>
      <c r="DF294" s="319" t="s">
        <v>190</v>
      </c>
      <c r="DG294" s="319" t="s">
        <v>190</v>
      </c>
      <c r="DH294" s="319" t="s">
        <v>190</v>
      </c>
      <c r="DI294" s="319" t="s">
        <v>190</v>
      </c>
      <c r="DJ294" s="319" t="s">
        <v>190</v>
      </c>
      <c r="DK294" s="319" t="s">
        <v>190</v>
      </c>
      <c r="DL294" s="319" t="s">
        <v>190</v>
      </c>
      <c r="DM294" s="319" t="s">
        <v>190</v>
      </c>
      <c r="DN294" s="319" t="s">
        <v>190</v>
      </c>
      <c r="DO294" s="319" t="s">
        <v>190</v>
      </c>
      <c r="DP294" s="319" t="s">
        <v>428</v>
      </c>
      <c r="DQ294" s="319" t="s">
        <v>428</v>
      </c>
      <c r="DR294" s="319" t="s">
        <v>428</v>
      </c>
      <c r="DS294" s="319" t="s">
        <v>428</v>
      </c>
      <c r="DT294" s="319" t="s">
        <v>428</v>
      </c>
      <c r="DU294" s="319" t="s">
        <v>428</v>
      </c>
      <c r="DV294" s="319" t="s">
        <v>173</v>
      </c>
      <c r="DW294" s="319" t="s">
        <v>428</v>
      </c>
      <c r="DX294" s="319" t="s">
        <v>428</v>
      </c>
      <c r="DY294" s="319" t="s">
        <v>428</v>
      </c>
      <c r="DZ294" s="319" t="s">
        <v>428</v>
      </c>
      <c r="EA294" s="319" t="s">
        <v>428</v>
      </c>
      <c r="EB294" s="319" t="s">
        <v>428</v>
      </c>
      <c r="EC294" s="319" t="s">
        <v>428</v>
      </c>
      <c r="ED294" s="319" t="s">
        <v>428</v>
      </c>
      <c r="EE294" s="319" t="s">
        <v>190</v>
      </c>
      <c r="EF294" s="319" t="s">
        <v>190</v>
      </c>
      <c r="EG294" s="319" t="s">
        <v>190</v>
      </c>
      <c r="EH294" s="319" t="s">
        <v>190</v>
      </c>
      <c r="EI294" s="319" t="s">
        <v>190</v>
      </c>
      <c r="EJ294" s="319" t="s">
        <v>190</v>
      </c>
      <c r="EK294" s="319" t="s">
        <v>190</v>
      </c>
      <c r="EL294" s="319" t="s">
        <v>190</v>
      </c>
      <c r="EM294" s="319" t="s">
        <v>190</v>
      </c>
      <c r="EN294" s="319" t="s">
        <v>190</v>
      </c>
      <c r="EO294" s="319" t="s">
        <v>190</v>
      </c>
      <c r="EP294" s="319" t="s">
        <v>190</v>
      </c>
      <c r="EQ294" s="319" t="s">
        <v>190</v>
      </c>
      <c r="ER294" s="319" t="s">
        <v>190</v>
      </c>
      <c r="ES294" s="319" t="s">
        <v>190</v>
      </c>
      <c r="ET294" s="319" t="s">
        <v>190</v>
      </c>
      <c r="EU294" s="319" t="s">
        <v>190</v>
      </c>
      <c r="EV294" s="319" t="s">
        <v>190</v>
      </c>
      <c r="EW294" s="319" t="s">
        <v>190</v>
      </c>
      <c r="EX294" s="319" t="s">
        <v>190</v>
      </c>
      <c r="EY294" s="319" t="s">
        <v>190</v>
      </c>
      <c r="EZ294" s="319" t="s">
        <v>190</v>
      </c>
      <c r="FA294" s="319" t="s">
        <v>190</v>
      </c>
      <c r="FB294" s="319" t="s">
        <v>428</v>
      </c>
      <c r="FC294" s="319" t="s">
        <v>428</v>
      </c>
      <c r="FD294" s="319" t="s">
        <v>428</v>
      </c>
      <c r="FE294" s="319" t="s">
        <v>428</v>
      </c>
      <c r="FF294" s="319" t="s">
        <v>428</v>
      </c>
      <c r="FG294" s="319" t="s">
        <v>428</v>
      </c>
      <c r="FH294" s="319" t="s">
        <v>190</v>
      </c>
      <c r="FI294" s="319" t="s">
        <v>190</v>
      </c>
      <c r="FJ294" s="319" t="s">
        <v>190</v>
      </c>
      <c r="FK294" s="319" t="s">
        <v>190</v>
      </c>
      <c r="FL294" s="319" t="s">
        <v>191</v>
      </c>
      <c r="FM294" s="319" t="s">
        <v>191</v>
      </c>
      <c r="FN294" s="319" t="s">
        <v>190</v>
      </c>
      <c r="FO294" s="319" t="s">
        <v>190</v>
      </c>
      <c r="FP294" s="319" t="s">
        <v>191</v>
      </c>
      <c r="FQ294" s="319" t="s">
        <v>190</v>
      </c>
      <c r="FR294" s="319" t="s">
        <v>191</v>
      </c>
      <c r="FS294" s="319" t="s">
        <v>428</v>
      </c>
      <c r="FT294" s="319" t="s">
        <v>190</v>
      </c>
      <c r="FU294" s="319" t="s">
        <v>191</v>
      </c>
      <c r="FV294" s="319" t="s">
        <v>190</v>
      </c>
      <c r="FW294" s="319" t="s">
        <v>190</v>
      </c>
      <c r="FX294" s="319" t="s">
        <v>190</v>
      </c>
      <c r="FY294" s="319" t="s">
        <v>190</v>
      </c>
      <c r="FZ294" s="319" t="s">
        <v>190</v>
      </c>
      <c r="GA294" s="319" t="s">
        <v>190</v>
      </c>
      <c r="GB294" s="319" t="s">
        <v>191</v>
      </c>
      <c r="GC294" s="319" t="s">
        <v>190</v>
      </c>
      <c r="GD294" s="319" t="s">
        <v>190</v>
      </c>
      <c r="GE294" s="319" t="s">
        <v>190</v>
      </c>
      <c r="GF294" s="319" t="s">
        <v>190</v>
      </c>
      <c r="GG294" s="319" t="s">
        <v>190</v>
      </c>
      <c r="GH294" s="319" t="s">
        <v>190</v>
      </c>
      <c r="GI294" s="319" t="s">
        <v>190</v>
      </c>
      <c r="GJ294" s="319" t="s">
        <v>190</v>
      </c>
      <c r="GK294" s="319" t="s">
        <v>584</v>
      </c>
      <c r="GL294" s="319" t="s">
        <v>190</v>
      </c>
      <c r="GM294" s="319" t="s">
        <v>190</v>
      </c>
      <c r="GN294" s="319" t="s">
        <v>190</v>
      </c>
      <c r="GO294" s="319" t="s">
        <v>190</v>
      </c>
      <c r="GP294" s="319" t="s">
        <v>190</v>
      </c>
      <c r="GQ294" s="319" t="s">
        <v>190</v>
      </c>
      <c r="GR294" s="319" t="s">
        <v>190</v>
      </c>
      <c r="GS294" s="319" t="s">
        <v>190</v>
      </c>
      <c r="GT294" s="319" t="s">
        <v>428</v>
      </c>
      <c r="GU294" s="319" t="s">
        <v>428</v>
      </c>
      <c r="GV294" s="319" t="s">
        <v>428</v>
      </c>
      <c r="GW294" s="319" t="s">
        <v>190</v>
      </c>
      <c r="GX294" s="319" t="s">
        <v>190</v>
      </c>
      <c r="GY294" s="319" t="s">
        <v>190</v>
      </c>
      <c r="GZ294" s="319" t="s">
        <v>428</v>
      </c>
      <c r="HA294" s="319" t="s">
        <v>190</v>
      </c>
      <c r="HB294" s="319" t="s">
        <v>190</v>
      </c>
      <c r="HC294" s="319" t="s">
        <v>190</v>
      </c>
      <c r="HD294" s="319" t="s">
        <v>190</v>
      </c>
      <c r="HE294" s="319" t="s">
        <v>190</v>
      </c>
      <c r="HF294" s="319" t="s">
        <v>190</v>
      </c>
      <c r="HG294" s="319" t="s">
        <v>190</v>
      </c>
      <c r="HH294" s="319" t="s">
        <v>190</v>
      </c>
      <c r="HI294" s="319" t="s">
        <v>190</v>
      </c>
      <c r="HJ294" s="319" t="s">
        <v>190</v>
      </c>
      <c r="HK294" s="319" t="s">
        <v>190</v>
      </c>
      <c r="HL294" s="319" t="s">
        <v>428</v>
      </c>
      <c r="HM294" s="319" t="s">
        <v>428</v>
      </c>
      <c r="HN294" s="319" t="s">
        <v>428</v>
      </c>
      <c r="HO294" s="319" t="s">
        <v>428</v>
      </c>
      <c r="HP294" s="319" t="s">
        <v>190</v>
      </c>
      <c r="HQ294" s="319" t="s">
        <v>190</v>
      </c>
      <c r="HR294" s="319" t="s">
        <v>190</v>
      </c>
      <c r="HS294" s="319" t="s">
        <v>190</v>
      </c>
      <c r="HT294" s="319" t="s">
        <v>190</v>
      </c>
      <c r="HU294" s="319" t="s">
        <v>190</v>
      </c>
      <c r="HV294" s="319" t="s">
        <v>190</v>
      </c>
      <c r="HW294" s="319" t="s">
        <v>190</v>
      </c>
      <c r="HX294" s="319" t="s">
        <v>190</v>
      </c>
      <c r="HY294" s="319" t="s">
        <v>190</v>
      </c>
      <c r="HZ294" s="319" t="s">
        <v>190</v>
      </c>
      <c r="IA294" s="319" t="s">
        <v>190</v>
      </c>
      <c r="IB294" s="319" t="s">
        <v>190</v>
      </c>
      <c r="IC294" s="319" t="s">
        <v>190</v>
      </c>
      <c r="ID294" s="319" t="s">
        <v>190</v>
      </c>
      <c r="IE294" s="319" t="s">
        <v>190</v>
      </c>
      <c r="IF294" s="319" t="s">
        <v>191</v>
      </c>
      <c r="IG294" s="319" t="s">
        <v>191</v>
      </c>
      <c r="IH294" s="319" t="s">
        <v>191</v>
      </c>
      <c r="II294" s="319" t="s">
        <v>191</v>
      </c>
      <c r="IJ294" s="319">
        <v>10039183</v>
      </c>
      <c r="IK294" s="321">
        <v>42997</v>
      </c>
      <c r="IL294" s="321">
        <v>42999</v>
      </c>
      <c r="IM294" s="321">
        <v>43019</v>
      </c>
      <c r="IN294" s="319">
        <v>2</v>
      </c>
      <c r="IO294" s="319">
        <v>10108891</v>
      </c>
      <c r="IP294" s="319" t="s">
        <v>985</v>
      </c>
      <c r="IQ294" s="321">
        <v>43635</v>
      </c>
      <c r="IR294" s="320" t="s">
        <v>1223</v>
      </c>
      <c r="IS294" s="322">
        <v>43704</v>
      </c>
      <c r="IT294" s="319" t="s">
        <v>166</v>
      </c>
    </row>
    <row r="295" spans="1:254" s="271" customFormat="1" x14ac:dyDescent="0.25">
      <c r="A295" s="318" t="str">
        <f>HYPERLINK("http://www.ofsted.gov.uk/inspection-reports/find-inspection-report/provider/ELS/131121 ","Ofsted School Webpage")</f>
        <v>Ofsted School Webpage</v>
      </c>
      <c r="B295" s="319">
        <v>131121</v>
      </c>
      <c r="C295" s="319">
        <v>3026106</v>
      </c>
      <c r="D295" s="319" t="s">
        <v>1606</v>
      </c>
      <c r="E295" s="319" t="s">
        <v>167</v>
      </c>
      <c r="F295" s="319" t="s">
        <v>70</v>
      </c>
      <c r="G295" s="319" t="s">
        <v>69</v>
      </c>
      <c r="H295" s="319" t="s">
        <v>70</v>
      </c>
      <c r="I295" s="319" t="s">
        <v>69</v>
      </c>
      <c r="J295" s="319" t="s">
        <v>424</v>
      </c>
      <c r="K295" s="319" t="s">
        <v>441</v>
      </c>
      <c r="L295" s="319" t="s">
        <v>441</v>
      </c>
      <c r="M295" s="319" t="s">
        <v>544</v>
      </c>
      <c r="N295" s="319" t="s">
        <v>2818</v>
      </c>
      <c r="O295" s="319" t="s">
        <v>2753</v>
      </c>
      <c r="P295" s="319">
        <v>252</v>
      </c>
      <c r="Q295" s="319" t="s">
        <v>2766</v>
      </c>
      <c r="R295" s="320">
        <v>10026283</v>
      </c>
      <c r="S295" s="321">
        <v>43039</v>
      </c>
      <c r="T295" s="321">
        <v>43041</v>
      </c>
      <c r="U295" s="321">
        <v>43109</v>
      </c>
      <c r="V295" s="319" t="s">
        <v>425</v>
      </c>
      <c r="W295" s="319" t="s">
        <v>2767</v>
      </c>
      <c r="X295" s="319">
        <v>4</v>
      </c>
      <c r="Y295" s="319" t="s">
        <v>173</v>
      </c>
      <c r="Z295" s="319" t="s">
        <v>173</v>
      </c>
      <c r="AA295" s="319" t="s">
        <v>173</v>
      </c>
      <c r="AB295" s="319">
        <v>4</v>
      </c>
      <c r="AC295" s="319" t="s">
        <v>169</v>
      </c>
      <c r="AD295" s="319">
        <v>2</v>
      </c>
      <c r="AE295" s="319" t="s">
        <v>173</v>
      </c>
      <c r="AF295" s="319" t="s">
        <v>427</v>
      </c>
      <c r="AG295" s="319" t="s">
        <v>172</v>
      </c>
      <c r="AH295" s="319" t="s">
        <v>479</v>
      </c>
      <c r="AI295" s="319" t="s">
        <v>479</v>
      </c>
      <c r="AJ295" s="319" t="s">
        <v>190</v>
      </c>
      <c r="AK295" s="319" t="s">
        <v>190</v>
      </c>
      <c r="AL295" s="319" t="s">
        <v>190</v>
      </c>
      <c r="AM295" s="319" t="s">
        <v>190</v>
      </c>
      <c r="AN295" s="319" t="s">
        <v>190</v>
      </c>
      <c r="AO295" s="319" t="s">
        <v>479</v>
      </c>
      <c r="AP295" s="319" t="s">
        <v>191</v>
      </c>
      <c r="AQ295" s="319" t="s">
        <v>191</v>
      </c>
      <c r="AR295" s="319" t="s">
        <v>190</v>
      </c>
      <c r="AS295" s="319" t="s">
        <v>190</v>
      </c>
      <c r="AT295" s="319" t="s">
        <v>190</v>
      </c>
      <c r="AU295" s="319" t="s">
        <v>191</v>
      </c>
      <c r="AV295" s="319" t="s">
        <v>191</v>
      </c>
      <c r="AW295" s="319" t="s">
        <v>190</v>
      </c>
      <c r="AX295" s="319" t="s">
        <v>190</v>
      </c>
      <c r="AY295" s="319" t="s">
        <v>191</v>
      </c>
      <c r="AZ295" s="319" t="s">
        <v>190</v>
      </c>
      <c r="BA295" s="319" t="s">
        <v>191</v>
      </c>
      <c r="BB295" s="319" t="s">
        <v>190</v>
      </c>
      <c r="BC295" s="319" t="s">
        <v>190</v>
      </c>
      <c r="BD295" s="319" t="s">
        <v>190</v>
      </c>
      <c r="BE295" s="319" t="s">
        <v>190</v>
      </c>
      <c r="BF295" s="319" t="s">
        <v>190</v>
      </c>
      <c r="BG295" s="319" t="s">
        <v>428</v>
      </c>
      <c r="BH295" s="319" t="s">
        <v>190</v>
      </c>
      <c r="BI295" s="319" t="s">
        <v>190</v>
      </c>
      <c r="BJ295" s="319" t="s">
        <v>190</v>
      </c>
      <c r="BK295" s="319" t="s">
        <v>190</v>
      </c>
      <c r="BL295" s="319" t="s">
        <v>190</v>
      </c>
      <c r="BM295" s="319" t="s">
        <v>190</v>
      </c>
      <c r="BN295" s="319" t="s">
        <v>190</v>
      </c>
      <c r="BO295" s="319" t="s">
        <v>190</v>
      </c>
      <c r="BP295" s="319" t="s">
        <v>190</v>
      </c>
      <c r="BQ295" s="319" t="s">
        <v>190</v>
      </c>
      <c r="BR295" s="319" t="s">
        <v>190</v>
      </c>
      <c r="BS295" s="319" t="s">
        <v>190</v>
      </c>
      <c r="BT295" s="319" t="s">
        <v>190</v>
      </c>
      <c r="BU295" s="319" t="s">
        <v>190</v>
      </c>
      <c r="BV295" s="319" t="s">
        <v>191</v>
      </c>
      <c r="BW295" s="319" t="s">
        <v>190</v>
      </c>
      <c r="BX295" s="319" t="s">
        <v>191</v>
      </c>
      <c r="BY295" s="319" t="s">
        <v>190</v>
      </c>
      <c r="BZ295" s="319" t="s">
        <v>190</v>
      </c>
      <c r="CA295" s="319" t="s">
        <v>190</v>
      </c>
      <c r="CB295" s="319" t="s">
        <v>190</v>
      </c>
      <c r="CC295" s="319" t="s">
        <v>190</v>
      </c>
      <c r="CD295" s="319" t="s">
        <v>191</v>
      </c>
      <c r="CE295" s="319" t="s">
        <v>190</v>
      </c>
      <c r="CF295" s="319" t="s">
        <v>190</v>
      </c>
      <c r="CG295" s="319" t="s">
        <v>190</v>
      </c>
      <c r="CH295" s="319" t="s">
        <v>190</v>
      </c>
      <c r="CI295" s="319" t="s">
        <v>190</v>
      </c>
      <c r="CJ295" s="319" t="s">
        <v>190</v>
      </c>
      <c r="CK295" s="319" t="s">
        <v>190</v>
      </c>
      <c r="CL295" s="319" t="s">
        <v>190</v>
      </c>
      <c r="CM295" s="319" t="s">
        <v>190</v>
      </c>
      <c r="CN295" s="319" t="s">
        <v>428</v>
      </c>
      <c r="CO295" s="319" t="s">
        <v>428</v>
      </c>
      <c r="CP295" s="319" t="s">
        <v>428</v>
      </c>
      <c r="CQ295" s="319" t="s">
        <v>190</v>
      </c>
      <c r="CR295" s="319" t="s">
        <v>190</v>
      </c>
      <c r="CS295" s="319" t="s">
        <v>190</v>
      </c>
      <c r="CT295" s="319" t="s">
        <v>190</v>
      </c>
      <c r="CU295" s="319" t="s">
        <v>190</v>
      </c>
      <c r="CV295" s="319" t="s">
        <v>190</v>
      </c>
      <c r="CW295" s="319" t="s">
        <v>190</v>
      </c>
      <c r="CX295" s="319" t="s">
        <v>190</v>
      </c>
      <c r="CY295" s="319" t="s">
        <v>190</v>
      </c>
      <c r="CZ295" s="319" t="s">
        <v>190</v>
      </c>
      <c r="DA295" s="319" t="s">
        <v>190</v>
      </c>
      <c r="DB295" s="319" t="s">
        <v>190</v>
      </c>
      <c r="DC295" s="319" t="s">
        <v>190</v>
      </c>
      <c r="DD295" s="319" t="s">
        <v>190</v>
      </c>
      <c r="DE295" s="319" t="s">
        <v>190</v>
      </c>
      <c r="DF295" s="319" t="s">
        <v>190</v>
      </c>
      <c r="DG295" s="319" t="s">
        <v>190</v>
      </c>
      <c r="DH295" s="319" t="s">
        <v>190</v>
      </c>
      <c r="DI295" s="319" t="s">
        <v>190</v>
      </c>
      <c r="DJ295" s="319" t="s">
        <v>190</v>
      </c>
      <c r="DK295" s="319" t="s">
        <v>190</v>
      </c>
      <c r="DL295" s="319" t="s">
        <v>190</v>
      </c>
      <c r="DM295" s="319" t="s">
        <v>190</v>
      </c>
      <c r="DN295" s="319" t="s">
        <v>428</v>
      </c>
      <c r="DO295" s="319" t="s">
        <v>190</v>
      </c>
      <c r="DP295" s="319" t="s">
        <v>190</v>
      </c>
      <c r="DQ295" s="319" t="s">
        <v>190</v>
      </c>
      <c r="DR295" s="319" t="s">
        <v>190</v>
      </c>
      <c r="DS295" s="319" t="s">
        <v>190</v>
      </c>
      <c r="DT295" s="319" t="s">
        <v>190</v>
      </c>
      <c r="DU295" s="319" t="s">
        <v>190</v>
      </c>
      <c r="DV295" s="319" t="s">
        <v>173</v>
      </c>
      <c r="DW295" s="319" t="s">
        <v>190</v>
      </c>
      <c r="DX295" s="319" t="s">
        <v>190</v>
      </c>
      <c r="DY295" s="319" t="s">
        <v>190</v>
      </c>
      <c r="DZ295" s="319" t="s">
        <v>190</v>
      </c>
      <c r="EA295" s="319" t="s">
        <v>190</v>
      </c>
      <c r="EB295" s="319" t="s">
        <v>190</v>
      </c>
      <c r="EC295" s="319" t="s">
        <v>428</v>
      </c>
      <c r="ED295" s="319" t="s">
        <v>190</v>
      </c>
      <c r="EE295" s="319" t="s">
        <v>190</v>
      </c>
      <c r="EF295" s="319" t="s">
        <v>190</v>
      </c>
      <c r="EG295" s="319" t="s">
        <v>190</v>
      </c>
      <c r="EH295" s="319" t="s">
        <v>190</v>
      </c>
      <c r="EI295" s="319" t="s">
        <v>190</v>
      </c>
      <c r="EJ295" s="319" t="s">
        <v>190</v>
      </c>
      <c r="EK295" s="319" t="s">
        <v>190</v>
      </c>
      <c r="EL295" s="319" t="s">
        <v>190</v>
      </c>
      <c r="EM295" s="319" t="s">
        <v>190</v>
      </c>
      <c r="EN295" s="319" t="s">
        <v>190</v>
      </c>
      <c r="EO295" s="319" t="s">
        <v>190</v>
      </c>
      <c r="EP295" s="319" t="s">
        <v>190</v>
      </c>
      <c r="EQ295" s="319" t="s">
        <v>190</v>
      </c>
      <c r="ER295" s="319" t="s">
        <v>190</v>
      </c>
      <c r="ES295" s="319" t="s">
        <v>190</v>
      </c>
      <c r="ET295" s="319" t="s">
        <v>190</v>
      </c>
      <c r="EU295" s="319" t="s">
        <v>190</v>
      </c>
      <c r="EV295" s="319" t="s">
        <v>190</v>
      </c>
      <c r="EW295" s="319" t="s">
        <v>190</v>
      </c>
      <c r="EX295" s="319" t="s">
        <v>190</v>
      </c>
      <c r="EY295" s="319" t="s">
        <v>190</v>
      </c>
      <c r="EZ295" s="319" t="s">
        <v>190</v>
      </c>
      <c r="FA295" s="319" t="s">
        <v>190</v>
      </c>
      <c r="FB295" s="319" t="s">
        <v>190</v>
      </c>
      <c r="FC295" s="319" t="s">
        <v>190</v>
      </c>
      <c r="FD295" s="319" t="s">
        <v>190</v>
      </c>
      <c r="FE295" s="319" t="s">
        <v>190</v>
      </c>
      <c r="FF295" s="319" t="s">
        <v>190</v>
      </c>
      <c r="FG295" s="319" t="s">
        <v>190</v>
      </c>
      <c r="FH295" s="319" t="s">
        <v>190</v>
      </c>
      <c r="FI295" s="319" t="s">
        <v>190</v>
      </c>
      <c r="FJ295" s="319" t="s">
        <v>190</v>
      </c>
      <c r="FK295" s="319" t="s">
        <v>190</v>
      </c>
      <c r="FL295" s="319" t="s">
        <v>190</v>
      </c>
      <c r="FM295" s="319" t="s">
        <v>190</v>
      </c>
      <c r="FN295" s="319" t="s">
        <v>190</v>
      </c>
      <c r="FO295" s="319" t="s">
        <v>190</v>
      </c>
      <c r="FP295" s="319" t="s">
        <v>190</v>
      </c>
      <c r="FQ295" s="319" t="s">
        <v>190</v>
      </c>
      <c r="FR295" s="319" t="s">
        <v>190</v>
      </c>
      <c r="FS295" s="319" t="s">
        <v>428</v>
      </c>
      <c r="FT295" s="319" t="s">
        <v>190</v>
      </c>
      <c r="FU295" s="319" t="s">
        <v>190</v>
      </c>
      <c r="FV295" s="319" t="s">
        <v>190</v>
      </c>
      <c r="FW295" s="319" t="s">
        <v>190</v>
      </c>
      <c r="FX295" s="319" t="s">
        <v>190</v>
      </c>
      <c r="FY295" s="319" t="s">
        <v>190</v>
      </c>
      <c r="FZ295" s="319" t="s">
        <v>190</v>
      </c>
      <c r="GA295" s="319" t="s">
        <v>190</v>
      </c>
      <c r="GB295" s="319" t="s">
        <v>190</v>
      </c>
      <c r="GC295" s="319" t="s">
        <v>190</v>
      </c>
      <c r="GD295" s="319" t="s">
        <v>190</v>
      </c>
      <c r="GE295" s="319" t="s">
        <v>190</v>
      </c>
      <c r="GF295" s="319" t="s">
        <v>190</v>
      </c>
      <c r="GG295" s="319" t="s">
        <v>190</v>
      </c>
      <c r="GH295" s="319" t="s">
        <v>190</v>
      </c>
      <c r="GI295" s="319" t="s">
        <v>190</v>
      </c>
      <c r="GJ295" s="319" t="s">
        <v>190</v>
      </c>
      <c r="GK295" s="319" t="s">
        <v>428</v>
      </c>
      <c r="GL295" s="319" t="s">
        <v>190</v>
      </c>
      <c r="GM295" s="319" t="s">
        <v>190</v>
      </c>
      <c r="GN295" s="319" t="s">
        <v>190</v>
      </c>
      <c r="GO295" s="319" t="s">
        <v>190</v>
      </c>
      <c r="GP295" s="319" t="s">
        <v>190</v>
      </c>
      <c r="GQ295" s="319" t="s">
        <v>428</v>
      </c>
      <c r="GR295" s="319" t="s">
        <v>190</v>
      </c>
      <c r="GS295" s="319" t="s">
        <v>190</v>
      </c>
      <c r="GT295" s="319" t="s">
        <v>190</v>
      </c>
      <c r="GU295" s="319" t="s">
        <v>190</v>
      </c>
      <c r="GV295" s="319" t="s">
        <v>190</v>
      </c>
      <c r="GW295" s="319" t="s">
        <v>190</v>
      </c>
      <c r="GX295" s="319" t="s">
        <v>190</v>
      </c>
      <c r="GY295" s="319" t="s">
        <v>190</v>
      </c>
      <c r="GZ295" s="319" t="s">
        <v>190</v>
      </c>
      <c r="HA295" s="319" t="s">
        <v>190</v>
      </c>
      <c r="HB295" s="319" t="s">
        <v>190</v>
      </c>
      <c r="HC295" s="319" t="s">
        <v>190</v>
      </c>
      <c r="HD295" s="319" t="s">
        <v>190</v>
      </c>
      <c r="HE295" s="319" t="s">
        <v>190</v>
      </c>
      <c r="HF295" s="319" t="s">
        <v>190</v>
      </c>
      <c r="HG295" s="319" t="s">
        <v>190</v>
      </c>
      <c r="HH295" s="319" t="s">
        <v>190</v>
      </c>
      <c r="HI295" s="319" t="s">
        <v>190</v>
      </c>
      <c r="HJ295" s="319" t="s">
        <v>190</v>
      </c>
      <c r="HK295" s="319" t="s">
        <v>190</v>
      </c>
      <c r="HL295" s="319" t="s">
        <v>428</v>
      </c>
      <c r="HM295" s="319" t="s">
        <v>428</v>
      </c>
      <c r="HN295" s="319" t="s">
        <v>428</v>
      </c>
      <c r="HO295" s="319" t="s">
        <v>428</v>
      </c>
      <c r="HP295" s="319" t="s">
        <v>190</v>
      </c>
      <c r="HQ295" s="319" t="s">
        <v>190</v>
      </c>
      <c r="HR295" s="319" t="s">
        <v>190</v>
      </c>
      <c r="HS295" s="319" t="s">
        <v>190</v>
      </c>
      <c r="HT295" s="319" t="s">
        <v>190</v>
      </c>
      <c r="HU295" s="319" t="s">
        <v>190</v>
      </c>
      <c r="HV295" s="319" t="s">
        <v>190</v>
      </c>
      <c r="HW295" s="319" t="s">
        <v>190</v>
      </c>
      <c r="HX295" s="319" t="s">
        <v>190</v>
      </c>
      <c r="HY295" s="319" t="s">
        <v>190</v>
      </c>
      <c r="HZ295" s="319" t="s">
        <v>190</v>
      </c>
      <c r="IA295" s="319" t="s">
        <v>190</v>
      </c>
      <c r="IB295" s="319" t="s">
        <v>190</v>
      </c>
      <c r="IC295" s="319" t="s">
        <v>190</v>
      </c>
      <c r="ID295" s="319" t="s">
        <v>190</v>
      </c>
      <c r="IE295" s="319" t="s">
        <v>190</v>
      </c>
      <c r="IF295" s="319" t="s">
        <v>191</v>
      </c>
      <c r="IG295" s="319" t="s">
        <v>191</v>
      </c>
      <c r="IH295" s="319" t="s">
        <v>191</v>
      </c>
      <c r="II295" s="319" t="s">
        <v>190</v>
      </c>
      <c r="IJ295" s="319" t="s">
        <v>3086</v>
      </c>
      <c r="IK295" s="321">
        <v>42031</v>
      </c>
      <c r="IL295" s="321">
        <v>42033</v>
      </c>
      <c r="IM295" s="321">
        <v>42080</v>
      </c>
      <c r="IN295" s="319">
        <v>4</v>
      </c>
      <c r="IO295" s="319" t="s">
        <v>173</v>
      </c>
      <c r="IP295" s="319" t="s">
        <v>173</v>
      </c>
      <c r="IQ295" s="321" t="s">
        <v>173</v>
      </c>
      <c r="IR295" s="320" t="s">
        <v>173</v>
      </c>
      <c r="IS295" s="322" t="s">
        <v>173</v>
      </c>
      <c r="IT295" s="319" t="s">
        <v>173</v>
      </c>
    </row>
    <row r="296" spans="1:254" s="271" customFormat="1" x14ac:dyDescent="0.25">
      <c r="A296" s="318" t="str">
        <f>HYPERLINK("http://www.ofsted.gov.uk/inspection-reports/find-inspection-report/provider/ELS/131122 ","Ofsted School Webpage")</f>
        <v>Ofsted School Webpage</v>
      </c>
      <c r="B296" s="319">
        <v>131122</v>
      </c>
      <c r="C296" s="319">
        <v>3736028</v>
      </c>
      <c r="D296" s="319" t="s">
        <v>877</v>
      </c>
      <c r="E296" s="319" t="s">
        <v>167</v>
      </c>
      <c r="F296" s="319" t="s">
        <v>72</v>
      </c>
      <c r="G296" s="319" t="s">
        <v>71</v>
      </c>
      <c r="H296" s="319" t="s">
        <v>72</v>
      </c>
      <c r="I296" s="319" t="s">
        <v>72</v>
      </c>
      <c r="J296" s="319" t="s">
        <v>424</v>
      </c>
      <c r="K296" s="319" t="s">
        <v>458</v>
      </c>
      <c r="L296" s="319" t="s">
        <v>459</v>
      </c>
      <c r="M296" s="319" t="s">
        <v>486</v>
      </c>
      <c r="N296" s="319" t="s">
        <v>3087</v>
      </c>
      <c r="O296" s="319" t="s">
        <v>878</v>
      </c>
      <c r="P296" s="319">
        <v>49</v>
      </c>
      <c r="Q296" s="319" t="s">
        <v>2776</v>
      </c>
      <c r="R296" s="320">
        <v>10061252</v>
      </c>
      <c r="S296" s="321">
        <v>43494</v>
      </c>
      <c r="T296" s="321">
        <v>43496</v>
      </c>
      <c r="U296" s="321">
        <v>43544</v>
      </c>
      <c r="V296" s="319" t="s">
        <v>425</v>
      </c>
      <c r="W296" s="319" t="s">
        <v>2767</v>
      </c>
      <c r="X296" s="319">
        <v>4</v>
      </c>
      <c r="Y296" s="319" t="s">
        <v>173</v>
      </c>
      <c r="Z296" s="319" t="s">
        <v>173</v>
      </c>
      <c r="AA296" s="319" t="s">
        <v>173</v>
      </c>
      <c r="AB296" s="319">
        <v>4</v>
      </c>
      <c r="AC296" s="319" t="s">
        <v>170</v>
      </c>
      <c r="AD296" s="319" t="s">
        <v>173</v>
      </c>
      <c r="AE296" s="319" t="s">
        <v>173</v>
      </c>
      <c r="AF296" s="319" t="s">
        <v>427</v>
      </c>
      <c r="AG296" s="319" t="s">
        <v>172</v>
      </c>
      <c r="AH296" s="319" t="s">
        <v>190</v>
      </c>
      <c r="AI296" s="319" t="s">
        <v>190</v>
      </c>
      <c r="AJ296" s="319" t="s">
        <v>479</v>
      </c>
      <c r="AK296" s="319" t="s">
        <v>479</v>
      </c>
      <c r="AL296" s="319" t="s">
        <v>190</v>
      </c>
      <c r="AM296" s="319" t="s">
        <v>190</v>
      </c>
      <c r="AN296" s="319" t="s">
        <v>190</v>
      </c>
      <c r="AO296" s="319" t="s">
        <v>479</v>
      </c>
      <c r="AP296" s="319" t="s">
        <v>190</v>
      </c>
      <c r="AQ296" s="319" t="s">
        <v>190</v>
      </c>
      <c r="AR296" s="319" t="s">
        <v>190</v>
      </c>
      <c r="AS296" s="319" t="s">
        <v>190</v>
      </c>
      <c r="AT296" s="319" t="s">
        <v>190</v>
      </c>
      <c r="AU296" s="319" t="s">
        <v>190</v>
      </c>
      <c r="AV296" s="319" t="s">
        <v>190</v>
      </c>
      <c r="AW296" s="319" t="s">
        <v>190</v>
      </c>
      <c r="AX296" s="319" t="s">
        <v>428</v>
      </c>
      <c r="AY296" s="319" t="s">
        <v>190</v>
      </c>
      <c r="AZ296" s="319" t="s">
        <v>190</v>
      </c>
      <c r="BA296" s="319" t="s">
        <v>190</v>
      </c>
      <c r="BB296" s="319" t="s">
        <v>190</v>
      </c>
      <c r="BC296" s="319" t="s">
        <v>190</v>
      </c>
      <c r="BD296" s="319" t="s">
        <v>190</v>
      </c>
      <c r="BE296" s="319" t="s">
        <v>190</v>
      </c>
      <c r="BF296" s="319" t="s">
        <v>428</v>
      </c>
      <c r="BG296" s="319" t="s">
        <v>428</v>
      </c>
      <c r="BH296" s="319" t="s">
        <v>190</v>
      </c>
      <c r="BI296" s="319" t="s">
        <v>190</v>
      </c>
      <c r="BJ296" s="319" t="s">
        <v>190</v>
      </c>
      <c r="BK296" s="319" t="s">
        <v>190</v>
      </c>
      <c r="BL296" s="319" t="s">
        <v>190</v>
      </c>
      <c r="BM296" s="319" t="s">
        <v>190</v>
      </c>
      <c r="BN296" s="319" t="s">
        <v>190</v>
      </c>
      <c r="BO296" s="319" t="s">
        <v>190</v>
      </c>
      <c r="BP296" s="319" t="s">
        <v>190</v>
      </c>
      <c r="BQ296" s="319" t="s">
        <v>190</v>
      </c>
      <c r="BR296" s="319" t="s">
        <v>190</v>
      </c>
      <c r="BS296" s="319" t="s">
        <v>190</v>
      </c>
      <c r="BT296" s="319" t="s">
        <v>190</v>
      </c>
      <c r="BU296" s="319" t="s">
        <v>190</v>
      </c>
      <c r="BV296" s="319" t="s">
        <v>190</v>
      </c>
      <c r="BW296" s="319" t="s">
        <v>190</v>
      </c>
      <c r="BX296" s="319" t="s">
        <v>190</v>
      </c>
      <c r="BY296" s="319" t="s">
        <v>190</v>
      </c>
      <c r="BZ296" s="319" t="s">
        <v>190</v>
      </c>
      <c r="CA296" s="319" t="s">
        <v>190</v>
      </c>
      <c r="CB296" s="319" t="s">
        <v>190</v>
      </c>
      <c r="CC296" s="319" t="s">
        <v>190</v>
      </c>
      <c r="CD296" s="319" t="s">
        <v>190</v>
      </c>
      <c r="CE296" s="319" t="s">
        <v>190</v>
      </c>
      <c r="CF296" s="319" t="s">
        <v>190</v>
      </c>
      <c r="CG296" s="319" t="s">
        <v>190</v>
      </c>
      <c r="CH296" s="319" t="s">
        <v>190</v>
      </c>
      <c r="CI296" s="319" t="s">
        <v>190</v>
      </c>
      <c r="CJ296" s="319" t="s">
        <v>190</v>
      </c>
      <c r="CK296" s="319" t="s">
        <v>191</v>
      </c>
      <c r="CL296" s="319" t="s">
        <v>191</v>
      </c>
      <c r="CM296" s="319" t="s">
        <v>191</v>
      </c>
      <c r="CN296" s="319" t="s">
        <v>428</v>
      </c>
      <c r="CO296" s="319" t="s">
        <v>428</v>
      </c>
      <c r="CP296" s="319" t="s">
        <v>428</v>
      </c>
      <c r="CQ296" s="319" t="s">
        <v>190</v>
      </c>
      <c r="CR296" s="319" t="s">
        <v>190</v>
      </c>
      <c r="CS296" s="319" t="s">
        <v>190</v>
      </c>
      <c r="CT296" s="319" t="s">
        <v>190</v>
      </c>
      <c r="CU296" s="319" t="s">
        <v>190</v>
      </c>
      <c r="CV296" s="319" t="s">
        <v>190</v>
      </c>
      <c r="CW296" s="319" t="s">
        <v>190</v>
      </c>
      <c r="CX296" s="319" t="s">
        <v>190</v>
      </c>
      <c r="CY296" s="319" t="s">
        <v>190</v>
      </c>
      <c r="CZ296" s="319" t="s">
        <v>191</v>
      </c>
      <c r="DA296" s="319" t="s">
        <v>191</v>
      </c>
      <c r="DB296" s="319" t="s">
        <v>191</v>
      </c>
      <c r="DC296" s="319" t="s">
        <v>190</v>
      </c>
      <c r="DD296" s="319" t="s">
        <v>191</v>
      </c>
      <c r="DE296" s="319" t="s">
        <v>190</v>
      </c>
      <c r="DF296" s="319" t="s">
        <v>190</v>
      </c>
      <c r="DG296" s="319" t="s">
        <v>191</v>
      </c>
      <c r="DH296" s="319" t="s">
        <v>190</v>
      </c>
      <c r="DI296" s="319" t="s">
        <v>191</v>
      </c>
      <c r="DJ296" s="319" t="s">
        <v>190</v>
      </c>
      <c r="DK296" s="319" t="s">
        <v>191</v>
      </c>
      <c r="DL296" s="319" t="s">
        <v>190</v>
      </c>
      <c r="DM296" s="319" t="s">
        <v>191</v>
      </c>
      <c r="DN296" s="319" t="s">
        <v>428</v>
      </c>
      <c r="DO296" s="319" t="s">
        <v>191</v>
      </c>
      <c r="DP296" s="319" t="s">
        <v>428</v>
      </c>
      <c r="DQ296" s="319" t="s">
        <v>428</v>
      </c>
      <c r="DR296" s="319" t="s">
        <v>428</v>
      </c>
      <c r="DS296" s="319" t="s">
        <v>428</v>
      </c>
      <c r="DT296" s="319" t="s">
        <v>428</v>
      </c>
      <c r="DU296" s="319" t="s">
        <v>428</v>
      </c>
      <c r="DV296" s="319" t="s">
        <v>173</v>
      </c>
      <c r="DW296" s="319" t="s">
        <v>428</v>
      </c>
      <c r="DX296" s="319" t="s">
        <v>428</v>
      </c>
      <c r="DY296" s="319" t="s">
        <v>428</v>
      </c>
      <c r="DZ296" s="319" t="s">
        <v>428</v>
      </c>
      <c r="EA296" s="319" t="s">
        <v>428</v>
      </c>
      <c r="EB296" s="319" t="s">
        <v>428</v>
      </c>
      <c r="EC296" s="319" t="s">
        <v>428</v>
      </c>
      <c r="ED296" s="319" t="s">
        <v>428</v>
      </c>
      <c r="EE296" s="319" t="s">
        <v>190</v>
      </c>
      <c r="EF296" s="319" t="s">
        <v>190</v>
      </c>
      <c r="EG296" s="319" t="s">
        <v>190</v>
      </c>
      <c r="EH296" s="319" t="s">
        <v>190</v>
      </c>
      <c r="EI296" s="319" t="s">
        <v>190</v>
      </c>
      <c r="EJ296" s="319" t="s">
        <v>190</v>
      </c>
      <c r="EK296" s="319" t="s">
        <v>190</v>
      </c>
      <c r="EL296" s="319" t="s">
        <v>428</v>
      </c>
      <c r="EM296" s="319" t="s">
        <v>428</v>
      </c>
      <c r="EN296" s="319" t="s">
        <v>190</v>
      </c>
      <c r="EO296" s="319" t="s">
        <v>190</v>
      </c>
      <c r="EP296" s="319" t="s">
        <v>191</v>
      </c>
      <c r="EQ296" s="319" t="s">
        <v>191</v>
      </c>
      <c r="ER296" s="319" t="s">
        <v>190</v>
      </c>
      <c r="ES296" s="319" t="s">
        <v>190</v>
      </c>
      <c r="ET296" s="319" t="s">
        <v>190</v>
      </c>
      <c r="EU296" s="319" t="s">
        <v>191</v>
      </c>
      <c r="EV296" s="319" t="s">
        <v>190</v>
      </c>
      <c r="EW296" s="319" t="s">
        <v>190</v>
      </c>
      <c r="EX296" s="319" t="s">
        <v>190</v>
      </c>
      <c r="EY296" s="319" t="s">
        <v>191</v>
      </c>
      <c r="EZ296" s="319" t="s">
        <v>190</v>
      </c>
      <c r="FA296" s="319" t="s">
        <v>190</v>
      </c>
      <c r="FB296" s="319" t="s">
        <v>428</v>
      </c>
      <c r="FC296" s="319" t="s">
        <v>428</v>
      </c>
      <c r="FD296" s="319" t="s">
        <v>428</v>
      </c>
      <c r="FE296" s="319" t="s">
        <v>428</v>
      </c>
      <c r="FF296" s="319" t="s">
        <v>428</v>
      </c>
      <c r="FG296" s="319" t="s">
        <v>428</v>
      </c>
      <c r="FH296" s="319" t="s">
        <v>190</v>
      </c>
      <c r="FI296" s="319" t="s">
        <v>190</v>
      </c>
      <c r="FJ296" s="319" t="s">
        <v>190</v>
      </c>
      <c r="FK296" s="319" t="s">
        <v>190</v>
      </c>
      <c r="FL296" s="319" t="s">
        <v>190</v>
      </c>
      <c r="FM296" s="319" t="s">
        <v>190</v>
      </c>
      <c r="FN296" s="319" t="s">
        <v>190</v>
      </c>
      <c r="FO296" s="319" t="s">
        <v>190</v>
      </c>
      <c r="FP296" s="319" t="s">
        <v>190</v>
      </c>
      <c r="FQ296" s="319" t="s">
        <v>190</v>
      </c>
      <c r="FR296" s="319" t="s">
        <v>190</v>
      </c>
      <c r="FS296" s="319" t="s">
        <v>428</v>
      </c>
      <c r="FT296" s="319" t="s">
        <v>190</v>
      </c>
      <c r="FU296" s="319" t="s">
        <v>190</v>
      </c>
      <c r="FV296" s="319" t="s">
        <v>190</v>
      </c>
      <c r="FW296" s="319" t="s">
        <v>190</v>
      </c>
      <c r="FX296" s="319" t="s">
        <v>190</v>
      </c>
      <c r="FY296" s="319" t="s">
        <v>190</v>
      </c>
      <c r="FZ296" s="319" t="s">
        <v>190</v>
      </c>
      <c r="GA296" s="319" t="s">
        <v>190</v>
      </c>
      <c r="GB296" s="319" t="s">
        <v>190</v>
      </c>
      <c r="GC296" s="319" t="s">
        <v>190</v>
      </c>
      <c r="GD296" s="319" t="s">
        <v>190</v>
      </c>
      <c r="GE296" s="319" t="s">
        <v>190</v>
      </c>
      <c r="GF296" s="319" t="s">
        <v>190</v>
      </c>
      <c r="GG296" s="319" t="s">
        <v>190</v>
      </c>
      <c r="GH296" s="319" t="s">
        <v>190</v>
      </c>
      <c r="GI296" s="319" t="s">
        <v>190</v>
      </c>
      <c r="GJ296" s="319" t="s">
        <v>190</v>
      </c>
      <c r="GK296" s="319" t="s">
        <v>428</v>
      </c>
      <c r="GL296" s="319" t="s">
        <v>190</v>
      </c>
      <c r="GM296" s="319" t="s">
        <v>190</v>
      </c>
      <c r="GN296" s="319" t="s">
        <v>190</v>
      </c>
      <c r="GO296" s="319" t="s">
        <v>190</v>
      </c>
      <c r="GP296" s="319" t="s">
        <v>190</v>
      </c>
      <c r="GQ296" s="319" t="s">
        <v>190</v>
      </c>
      <c r="GR296" s="319" t="s">
        <v>190</v>
      </c>
      <c r="GS296" s="319" t="s">
        <v>190</v>
      </c>
      <c r="GT296" s="319" t="s">
        <v>428</v>
      </c>
      <c r="GU296" s="319" t="s">
        <v>428</v>
      </c>
      <c r="GV296" s="319" t="s">
        <v>190</v>
      </c>
      <c r="GW296" s="319" t="s">
        <v>190</v>
      </c>
      <c r="GX296" s="319" t="s">
        <v>190</v>
      </c>
      <c r="GY296" s="319" t="s">
        <v>190</v>
      </c>
      <c r="GZ296" s="319" t="s">
        <v>190</v>
      </c>
      <c r="HA296" s="319" t="s">
        <v>428</v>
      </c>
      <c r="HB296" s="319" t="s">
        <v>190</v>
      </c>
      <c r="HC296" s="319" t="s">
        <v>190</v>
      </c>
      <c r="HD296" s="319" t="s">
        <v>190</v>
      </c>
      <c r="HE296" s="319" t="s">
        <v>190</v>
      </c>
      <c r="HF296" s="319" t="s">
        <v>190</v>
      </c>
      <c r="HG296" s="319" t="s">
        <v>190</v>
      </c>
      <c r="HH296" s="319" t="s">
        <v>190</v>
      </c>
      <c r="HI296" s="319" t="s">
        <v>190</v>
      </c>
      <c r="HJ296" s="319" t="s">
        <v>190</v>
      </c>
      <c r="HK296" s="319" t="s">
        <v>190</v>
      </c>
      <c r="HL296" s="319" t="s">
        <v>190</v>
      </c>
      <c r="HM296" s="319" t="s">
        <v>428</v>
      </c>
      <c r="HN296" s="319" t="s">
        <v>428</v>
      </c>
      <c r="HO296" s="319" t="s">
        <v>428</v>
      </c>
      <c r="HP296" s="319" t="s">
        <v>190</v>
      </c>
      <c r="HQ296" s="319" t="s">
        <v>190</v>
      </c>
      <c r="HR296" s="319" t="s">
        <v>190</v>
      </c>
      <c r="HS296" s="319" t="s">
        <v>190</v>
      </c>
      <c r="HT296" s="319" t="s">
        <v>190</v>
      </c>
      <c r="HU296" s="319" t="s">
        <v>190</v>
      </c>
      <c r="HV296" s="319" t="s">
        <v>190</v>
      </c>
      <c r="HW296" s="319" t="s">
        <v>190</v>
      </c>
      <c r="HX296" s="319" t="s">
        <v>190</v>
      </c>
      <c r="HY296" s="319" t="s">
        <v>190</v>
      </c>
      <c r="HZ296" s="319" t="s">
        <v>190</v>
      </c>
      <c r="IA296" s="319" t="s">
        <v>190</v>
      </c>
      <c r="IB296" s="319" t="s">
        <v>190</v>
      </c>
      <c r="IC296" s="319" t="s">
        <v>190</v>
      </c>
      <c r="ID296" s="319" t="s">
        <v>190</v>
      </c>
      <c r="IE296" s="319" t="s">
        <v>190</v>
      </c>
      <c r="IF296" s="319" t="s">
        <v>191</v>
      </c>
      <c r="IG296" s="319" t="s">
        <v>191</v>
      </c>
      <c r="IH296" s="319" t="s">
        <v>191</v>
      </c>
      <c r="II296" s="319" t="s">
        <v>191</v>
      </c>
      <c r="IJ296" s="319">
        <v>10033916</v>
      </c>
      <c r="IK296" s="321">
        <v>42913</v>
      </c>
      <c r="IL296" s="321">
        <v>42915</v>
      </c>
      <c r="IM296" s="321">
        <v>42940</v>
      </c>
      <c r="IN296" s="319">
        <v>3</v>
      </c>
      <c r="IO296" s="319">
        <v>10115700</v>
      </c>
      <c r="IP296" s="319" t="s">
        <v>985</v>
      </c>
      <c r="IQ296" s="321">
        <v>43725</v>
      </c>
      <c r="IR296" s="320" t="s">
        <v>2771</v>
      </c>
      <c r="IS296" s="322">
        <v>43775</v>
      </c>
      <c r="IT296" s="319" t="s">
        <v>165</v>
      </c>
    </row>
    <row r="297" spans="1:254" s="271" customFormat="1" x14ac:dyDescent="0.25">
      <c r="A297" s="318" t="str">
        <f>HYPERLINK("http://www.ofsted.gov.uk/inspection-reports/find-inspection-report/provider/ELS/131127 ","Ofsted School Webpage")</f>
        <v>Ofsted School Webpage</v>
      </c>
      <c r="B297" s="319">
        <v>131127</v>
      </c>
      <c r="C297" s="319">
        <v>8466020</v>
      </c>
      <c r="D297" s="319" t="s">
        <v>922</v>
      </c>
      <c r="E297" s="319" t="s">
        <v>167</v>
      </c>
      <c r="F297" s="319" t="s">
        <v>81</v>
      </c>
      <c r="G297" s="319" t="s">
        <v>81</v>
      </c>
      <c r="H297" s="319" t="s">
        <v>81</v>
      </c>
      <c r="I297" s="319" t="s">
        <v>78</v>
      </c>
      <c r="J297" s="319" t="s">
        <v>424</v>
      </c>
      <c r="K297" s="319" t="s">
        <v>514</v>
      </c>
      <c r="L297" s="319" t="s">
        <v>514</v>
      </c>
      <c r="M297" s="319" t="s">
        <v>828</v>
      </c>
      <c r="N297" s="319" t="s">
        <v>3088</v>
      </c>
      <c r="O297" s="319" t="s">
        <v>923</v>
      </c>
      <c r="P297" s="319">
        <v>39</v>
      </c>
      <c r="Q297" s="319" t="s">
        <v>2766</v>
      </c>
      <c r="R297" s="320">
        <v>10056674</v>
      </c>
      <c r="S297" s="321">
        <v>43502</v>
      </c>
      <c r="T297" s="321">
        <v>43504</v>
      </c>
      <c r="U297" s="321">
        <v>43528</v>
      </c>
      <c r="V297" s="319" t="s">
        <v>425</v>
      </c>
      <c r="W297" s="319" t="s">
        <v>2767</v>
      </c>
      <c r="X297" s="319">
        <v>2</v>
      </c>
      <c r="Y297" s="319" t="s">
        <v>173</v>
      </c>
      <c r="Z297" s="319" t="s">
        <v>173</v>
      </c>
      <c r="AA297" s="319" t="s">
        <v>173</v>
      </c>
      <c r="AB297" s="319">
        <v>2</v>
      </c>
      <c r="AC297" s="319" t="s">
        <v>169</v>
      </c>
      <c r="AD297" s="319" t="s">
        <v>173</v>
      </c>
      <c r="AE297" s="319" t="s">
        <v>173</v>
      </c>
      <c r="AF297" s="319" t="s">
        <v>427</v>
      </c>
      <c r="AG297" s="319" t="s">
        <v>171</v>
      </c>
      <c r="AH297" s="319" t="s">
        <v>190</v>
      </c>
      <c r="AI297" s="319" t="s">
        <v>190</v>
      </c>
      <c r="AJ297" s="319" t="s">
        <v>190</v>
      </c>
      <c r="AK297" s="319" t="s">
        <v>190</v>
      </c>
      <c r="AL297" s="319" t="s">
        <v>190</v>
      </c>
      <c r="AM297" s="319" t="s">
        <v>190</v>
      </c>
      <c r="AN297" s="319" t="s">
        <v>190</v>
      </c>
      <c r="AO297" s="319" t="s">
        <v>190</v>
      </c>
      <c r="AP297" s="319" t="s">
        <v>190</v>
      </c>
      <c r="AQ297" s="319" t="s">
        <v>190</v>
      </c>
      <c r="AR297" s="319" t="s">
        <v>190</v>
      </c>
      <c r="AS297" s="319" t="s">
        <v>190</v>
      </c>
      <c r="AT297" s="319" t="s">
        <v>190</v>
      </c>
      <c r="AU297" s="319" t="s">
        <v>190</v>
      </c>
      <c r="AV297" s="319" t="s">
        <v>190</v>
      </c>
      <c r="AW297" s="319" t="s">
        <v>190</v>
      </c>
      <c r="AX297" s="319" t="s">
        <v>428</v>
      </c>
      <c r="AY297" s="319" t="s">
        <v>190</v>
      </c>
      <c r="AZ297" s="319" t="s">
        <v>190</v>
      </c>
      <c r="BA297" s="319" t="s">
        <v>190</v>
      </c>
      <c r="BB297" s="319" t="s">
        <v>190</v>
      </c>
      <c r="BC297" s="319" t="s">
        <v>190</v>
      </c>
      <c r="BD297" s="319" t="s">
        <v>190</v>
      </c>
      <c r="BE297" s="319" t="s">
        <v>190</v>
      </c>
      <c r="BF297" s="319" t="s">
        <v>428</v>
      </c>
      <c r="BG297" s="319" t="s">
        <v>428</v>
      </c>
      <c r="BH297" s="319" t="s">
        <v>190</v>
      </c>
      <c r="BI297" s="319" t="s">
        <v>190</v>
      </c>
      <c r="BJ297" s="319" t="s">
        <v>190</v>
      </c>
      <c r="BK297" s="319" t="s">
        <v>190</v>
      </c>
      <c r="BL297" s="319" t="s">
        <v>190</v>
      </c>
      <c r="BM297" s="319" t="s">
        <v>190</v>
      </c>
      <c r="BN297" s="319" t="s">
        <v>190</v>
      </c>
      <c r="BO297" s="319" t="s">
        <v>190</v>
      </c>
      <c r="BP297" s="319" t="s">
        <v>190</v>
      </c>
      <c r="BQ297" s="319" t="s">
        <v>190</v>
      </c>
      <c r="BR297" s="319" t="s">
        <v>190</v>
      </c>
      <c r="BS297" s="319" t="s">
        <v>190</v>
      </c>
      <c r="BT297" s="319" t="s">
        <v>190</v>
      </c>
      <c r="BU297" s="319" t="s">
        <v>190</v>
      </c>
      <c r="BV297" s="319" t="s">
        <v>190</v>
      </c>
      <c r="BW297" s="319" t="s">
        <v>190</v>
      </c>
      <c r="BX297" s="319" t="s">
        <v>190</v>
      </c>
      <c r="BY297" s="319" t="s">
        <v>190</v>
      </c>
      <c r="BZ297" s="319" t="s">
        <v>190</v>
      </c>
      <c r="CA297" s="319" t="s">
        <v>190</v>
      </c>
      <c r="CB297" s="319" t="s">
        <v>190</v>
      </c>
      <c r="CC297" s="319" t="s">
        <v>190</v>
      </c>
      <c r="CD297" s="319" t="s">
        <v>190</v>
      </c>
      <c r="CE297" s="319" t="s">
        <v>190</v>
      </c>
      <c r="CF297" s="319" t="s">
        <v>190</v>
      </c>
      <c r="CG297" s="319" t="s">
        <v>190</v>
      </c>
      <c r="CH297" s="319" t="s">
        <v>190</v>
      </c>
      <c r="CI297" s="319" t="s">
        <v>190</v>
      </c>
      <c r="CJ297" s="319" t="s">
        <v>190</v>
      </c>
      <c r="CK297" s="319" t="s">
        <v>190</v>
      </c>
      <c r="CL297" s="319" t="s">
        <v>190</v>
      </c>
      <c r="CM297" s="319" t="s">
        <v>190</v>
      </c>
      <c r="CN297" s="319" t="s">
        <v>428</v>
      </c>
      <c r="CO297" s="319" t="s">
        <v>428</v>
      </c>
      <c r="CP297" s="319" t="s">
        <v>428</v>
      </c>
      <c r="CQ297" s="319" t="s">
        <v>190</v>
      </c>
      <c r="CR297" s="319" t="s">
        <v>190</v>
      </c>
      <c r="CS297" s="319" t="s">
        <v>190</v>
      </c>
      <c r="CT297" s="319" t="s">
        <v>190</v>
      </c>
      <c r="CU297" s="319" t="s">
        <v>190</v>
      </c>
      <c r="CV297" s="319" t="s">
        <v>190</v>
      </c>
      <c r="CW297" s="319" t="s">
        <v>190</v>
      </c>
      <c r="CX297" s="319" t="s">
        <v>190</v>
      </c>
      <c r="CY297" s="319" t="s">
        <v>190</v>
      </c>
      <c r="CZ297" s="319" t="s">
        <v>190</v>
      </c>
      <c r="DA297" s="319" t="s">
        <v>190</v>
      </c>
      <c r="DB297" s="319" t="s">
        <v>190</v>
      </c>
      <c r="DC297" s="319" t="s">
        <v>190</v>
      </c>
      <c r="DD297" s="319" t="s">
        <v>190</v>
      </c>
      <c r="DE297" s="319" t="s">
        <v>190</v>
      </c>
      <c r="DF297" s="319" t="s">
        <v>190</v>
      </c>
      <c r="DG297" s="319" t="s">
        <v>190</v>
      </c>
      <c r="DH297" s="319" t="s">
        <v>190</v>
      </c>
      <c r="DI297" s="319" t="s">
        <v>190</v>
      </c>
      <c r="DJ297" s="319" t="s">
        <v>190</v>
      </c>
      <c r="DK297" s="319" t="s">
        <v>190</v>
      </c>
      <c r="DL297" s="319" t="s">
        <v>190</v>
      </c>
      <c r="DM297" s="319" t="s">
        <v>190</v>
      </c>
      <c r="DN297" s="319" t="s">
        <v>428</v>
      </c>
      <c r="DO297" s="319" t="s">
        <v>190</v>
      </c>
      <c r="DP297" s="319" t="s">
        <v>190</v>
      </c>
      <c r="DQ297" s="319" t="s">
        <v>190</v>
      </c>
      <c r="DR297" s="319" t="s">
        <v>190</v>
      </c>
      <c r="DS297" s="319" t="s">
        <v>190</v>
      </c>
      <c r="DT297" s="319" t="s">
        <v>190</v>
      </c>
      <c r="DU297" s="319" t="s">
        <v>190</v>
      </c>
      <c r="DV297" s="319" t="s">
        <v>173</v>
      </c>
      <c r="DW297" s="319" t="s">
        <v>190</v>
      </c>
      <c r="DX297" s="319" t="s">
        <v>190</v>
      </c>
      <c r="DY297" s="319" t="s">
        <v>190</v>
      </c>
      <c r="DZ297" s="319" t="s">
        <v>190</v>
      </c>
      <c r="EA297" s="319" t="s">
        <v>190</v>
      </c>
      <c r="EB297" s="319" t="s">
        <v>190</v>
      </c>
      <c r="EC297" s="319" t="s">
        <v>428</v>
      </c>
      <c r="ED297" s="319" t="s">
        <v>428</v>
      </c>
      <c r="EE297" s="319" t="s">
        <v>190</v>
      </c>
      <c r="EF297" s="319" t="s">
        <v>190</v>
      </c>
      <c r="EG297" s="319" t="s">
        <v>190</v>
      </c>
      <c r="EH297" s="319" t="s">
        <v>190</v>
      </c>
      <c r="EI297" s="319" t="s">
        <v>190</v>
      </c>
      <c r="EJ297" s="319" t="s">
        <v>190</v>
      </c>
      <c r="EK297" s="319" t="s">
        <v>190</v>
      </c>
      <c r="EL297" s="319" t="s">
        <v>190</v>
      </c>
      <c r="EM297" s="319" t="s">
        <v>190</v>
      </c>
      <c r="EN297" s="319" t="s">
        <v>190</v>
      </c>
      <c r="EO297" s="319" t="s">
        <v>190</v>
      </c>
      <c r="EP297" s="319" t="s">
        <v>190</v>
      </c>
      <c r="EQ297" s="319" t="s">
        <v>190</v>
      </c>
      <c r="ER297" s="319" t="s">
        <v>190</v>
      </c>
      <c r="ES297" s="319" t="s">
        <v>190</v>
      </c>
      <c r="ET297" s="319" t="s">
        <v>190</v>
      </c>
      <c r="EU297" s="319" t="s">
        <v>190</v>
      </c>
      <c r="EV297" s="319" t="s">
        <v>190</v>
      </c>
      <c r="EW297" s="319" t="s">
        <v>190</v>
      </c>
      <c r="EX297" s="319" t="s">
        <v>190</v>
      </c>
      <c r="EY297" s="319" t="s">
        <v>190</v>
      </c>
      <c r="EZ297" s="319" t="s">
        <v>190</v>
      </c>
      <c r="FA297" s="319" t="s">
        <v>190</v>
      </c>
      <c r="FB297" s="319" t="s">
        <v>190</v>
      </c>
      <c r="FC297" s="319" t="s">
        <v>190</v>
      </c>
      <c r="FD297" s="319" t="s">
        <v>190</v>
      </c>
      <c r="FE297" s="319" t="s">
        <v>190</v>
      </c>
      <c r="FF297" s="319" t="s">
        <v>190</v>
      </c>
      <c r="FG297" s="319" t="s">
        <v>190</v>
      </c>
      <c r="FH297" s="319" t="s">
        <v>428</v>
      </c>
      <c r="FI297" s="319" t="s">
        <v>428</v>
      </c>
      <c r="FJ297" s="319" t="s">
        <v>429</v>
      </c>
      <c r="FK297" s="319" t="s">
        <v>428</v>
      </c>
      <c r="FL297" s="319" t="s">
        <v>190</v>
      </c>
      <c r="FM297" s="319" t="s">
        <v>190</v>
      </c>
      <c r="FN297" s="319" t="s">
        <v>190</v>
      </c>
      <c r="FO297" s="319" t="s">
        <v>190</v>
      </c>
      <c r="FP297" s="319" t="s">
        <v>190</v>
      </c>
      <c r="FQ297" s="319" t="s">
        <v>190</v>
      </c>
      <c r="FR297" s="319" t="s">
        <v>190</v>
      </c>
      <c r="FS297" s="319" t="s">
        <v>190</v>
      </c>
      <c r="FT297" s="319" t="s">
        <v>190</v>
      </c>
      <c r="FU297" s="319" t="s">
        <v>190</v>
      </c>
      <c r="FV297" s="319" t="s">
        <v>190</v>
      </c>
      <c r="FW297" s="319" t="s">
        <v>190</v>
      </c>
      <c r="FX297" s="319" t="s">
        <v>190</v>
      </c>
      <c r="FY297" s="319" t="s">
        <v>190</v>
      </c>
      <c r="FZ297" s="319" t="s">
        <v>190</v>
      </c>
      <c r="GA297" s="319" t="s">
        <v>190</v>
      </c>
      <c r="GB297" s="319" t="s">
        <v>190</v>
      </c>
      <c r="GC297" s="319" t="s">
        <v>190</v>
      </c>
      <c r="GD297" s="319" t="s">
        <v>190</v>
      </c>
      <c r="GE297" s="319" t="s">
        <v>190</v>
      </c>
      <c r="GF297" s="319" t="s">
        <v>190</v>
      </c>
      <c r="GG297" s="319" t="s">
        <v>190</v>
      </c>
      <c r="GH297" s="319" t="s">
        <v>190</v>
      </c>
      <c r="GI297" s="319" t="s">
        <v>190</v>
      </c>
      <c r="GJ297" s="319" t="s">
        <v>190</v>
      </c>
      <c r="GK297" s="319" t="s">
        <v>428</v>
      </c>
      <c r="GL297" s="319" t="s">
        <v>190</v>
      </c>
      <c r="GM297" s="319" t="s">
        <v>190</v>
      </c>
      <c r="GN297" s="319" t="s">
        <v>190</v>
      </c>
      <c r="GO297" s="319" t="s">
        <v>190</v>
      </c>
      <c r="GP297" s="319" t="s">
        <v>190</v>
      </c>
      <c r="GQ297" s="319" t="s">
        <v>428</v>
      </c>
      <c r="GR297" s="319" t="s">
        <v>190</v>
      </c>
      <c r="GS297" s="319" t="s">
        <v>190</v>
      </c>
      <c r="GT297" s="319" t="s">
        <v>190</v>
      </c>
      <c r="GU297" s="319" t="s">
        <v>190</v>
      </c>
      <c r="GV297" s="319" t="s">
        <v>190</v>
      </c>
      <c r="GW297" s="319" t="s">
        <v>190</v>
      </c>
      <c r="GX297" s="319" t="s">
        <v>190</v>
      </c>
      <c r="GY297" s="319" t="s">
        <v>190</v>
      </c>
      <c r="GZ297" s="319" t="s">
        <v>190</v>
      </c>
      <c r="HA297" s="319" t="s">
        <v>190</v>
      </c>
      <c r="HB297" s="319" t="s">
        <v>428</v>
      </c>
      <c r="HC297" s="319" t="s">
        <v>190</v>
      </c>
      <c r="HD297" s="319" t="s">
        <v>190</v>
      </c>
      <c r="HE297" s="319" t="s">
        <v>190</v>
      </c>
      <c r="HF297" s="319" t="s">
        <v>190</v>
      </c>
      <c r="HG297" s="319" t="s">
        <v>190</v>
      </c>
      <c r="HH297" s="319" t="s">
        <v>190</v>
      </c>
      <c r="HI297" s="319" t="s">
        <v>190</v>
      </c>
      <c r="HJ297" s="319" t="s">
        <v>190</v>
      </c>
      <c r="HK297" s="319" t="s">
        <v>190</v>
      </c>
      <c r="HL297" s="319" t="s">
        <v>190</v>
      </c>
      <c r="HM297" s="319" t="s">
        <v>428</v>
      </c>
      <c r="HN297" s="319" t="s">
        <v>428</v>
      </c>
      <c r="HO297" s="319" t="s">
        <v>428</v>
      </c>
      <c r="HP297" s="319" t="s">
        <v>190</v>
      </c>
      <c r="HQ297" s="319" t="s">
        <v>190</v>
      </c>
      <c r="HR297" s="319" t="s">
        <v>190</v>
      </c>
      <c r="HS297" s="319" t="s">
        <v>190</v>
      </c>
      <c r="HT297" s="319" t="s">
        <v>190</v>
      </c>
      <c r="HU297" s="319" t="s">
        <v>190</v>
      </c>
      <c r="HV297" s="319" t="s">
        <v>190</v>
      </c>
      <c r="HW297" s="319" t="s">
        <v>190</v>
      </c>
      <c r="HX297" s="319" t="s">
        <v>190</v>
      </c>
      <c r="HY297" s="319" t="s">
        <v>190</v>
      </c>
      <c r="HZ297" s="319" t="s">
        <v>190</v>
      </c>
      <c r="IA297" s="319" t="s">
        <v>190</v>
      </c>
      <c r="IB297" s="319" t="s">
        <v>190</v>
      </c>
      <c r="IC297" s="319" t="s">
        <v>190</v>
      </c>
      <c r="ID297" s="319" t="s">
        <v>190</v>
      </c>
      <c r="IE297" s="319" t="s">
        <v>190</v>
      </c>
      <c r="IF297" s="319" t="s">
        <v>190</v>
      </c>
      <c r="IG297" s="319" t="s">
        <v>190</v>
      </c>
      <c r="IH297" s="319" t="s">
        <v>190</v>
      </c>
      <c r="II297" s="319" t="s">
        <v>190</v>
      </c>
      <c r="IJ297" s="319">
        <v>10025980</v>
      </c>
      <c r="IK297" s="321">
        <v>42914</v>
      </c>
      <c r="IL297" s="321">
        <v>42916</v>
      </c>
      <c r="IM297" s="321">
        <v>42990</v>
      </c>
      <c r="IN297" s="319">
        <v>3</v>
      </c>
      <c r="IO297" s="319" t="s">
        <v>173</v>
      </c>
      <c r="IP297" s="319" t="s">
        <v>173</v>
      </c>
      <c r="IQ297" s="321" t="s">
        <v>173</v>
      </c>
      <c r="IR297" s="320" t="s">
        <v>173</v>
      </c>
      <c r="IS297" s="322" t="s">
        <v>173</v>
      </c>
      <c r="IT297" s="319" t="s">
        <v>173</v>
      </c>
    </row>
    <row r="298" spans="1:254" s="271" customFormat="1" x14ac:dyDescent="0.25">
      <c r="A298" s="318" t="str">
        <f>HYPERLINK("http://www.ofsted.gov.uk/inspection-reports/find-inspection-report/provider/ELS/131128 ","Ofsted School Webpage")</f>
        <v>Ofsted School Webpage</v>
      </c>
      <c r="B298" s="319">
        <v>131128</v>
      </c>
      <c r="C298" s="319">
        <v>3026107</v>
      </c>
      <c r="D298" s="319" t="s">
        <v>1607</v>
      </c>
      <c r="E298" s="319" t="s">
        <v>167</v>
      </c>
      <c r="F298" s="319" t="s">
        <v>81</v>
      </c>
      <c r="G298" s="319" t="s">
        <v>81</v>
      </c>
      <c r="H298" s="319" t="s">
        <v>81</v>
      </c>
      <c r="I298" s="319" t="s">
        <v>78</v>
      </c>
      <c r="J298" s="319" t="s">
        <v>424</v>
      </c>
      <c r="K298" s="319" t="s">
        <v>441</v>
      </c>
      <c r="L298" s="319" t="s">
        <v>441</v>
      </c>
      <c r="M298" s="319" t="s">
        <v>544</v>
      </c>
      <c r="N298" s="319" t="s">
        <v>2816</v>
      </c>
      <c r="O298" s="319" t="s">
        <v>1608</v>
      </c>
      <c r="P298" s="319">
        <v>115</v>
      </c>
      <c r="Q298" s="319" t="s">
        <v>2766</v>
      </c>
      <c r="R298" s="320">
        <v>10092475</v>
      </c>
      <c r="S298" s="321">
        <v>43655</v>
      </c>
      <c r="T298" s="321">
        <v>43657</v>
      </c>
      <c r="U298" s="321">
        <v>43747</v>
      </c>
      <c r="V298" s="319" t="s">
        <v>425</v>
      </c>
      <c r="W298" s="319" t="s">
        <v>2767</v>
      </c>
      <c r="X298" s="319">
        <v>2</v>
      </c>
      <c r="Y298" s="319" t="s">
        <v>173</v>
      </c>
      <c r="Z298" s="319" t="s">
        <v>173</v>
      </c>
      <c r="AA298" s="319" t="s">
        <v>173</v>
      </c>
      <c r="AB298" s="319">
        <v>2</v>
      </c>
      <c r="AC298" s="319" t="s">
        <v>169</v>
      </c>
      <c r="AD298" s="319">
        <v>2</v>
      </c>
      <c r="AE298" s="319" t="s">
        <v>173</v>
      </c>
      <c r="AF298" s="319" t="s">
        <v>427</v>
      </c>
      <c r="AG298" s="319" t="s">
        <v>171</v>
      </c>
      <c r="AH298" s="319" t="s">
        <v>190</v>
      </c>
      <c r="AI298" s="319" t="s">
        <v>190</v>
      </c>
      <c r="AJ298" s="319" t="s">
        <v>190</v>
      </c>
      <c r="AK298" s="319" t="s">
        <v>190</v>
      </c>
      <c r="AL298" s="319" t="s">
        <v>190</v>
      </c>
      <c r="AM298" s="319" t="s">
        <v>190</v>
      </c>
      <c r="AN298" s="319" t="s">
        <v>190</v>
      </c>
      <c r="AO298" s="319" t="s">
        <v>190</v>
      </c>
      <c r="AP298" s="319" t="s">
        <v>190</v>
      </c>
      <c r="AQ298" s="319" t="s">
        <v>190</v>
      </c>
      <c r="AR298" s="319" t="s">
        <v>190</v>
      </c>
      <c r="AS298" s="319" t="s">
        <v>190</v>
      </c>
      <c r="AT298" s="319" t="s">
        <v>190</v>
      </c>
      <c r="AU298" s="319" t="s">
        <v>190</v>
      </c>
      <c r="AV298" s="319" t="s">
        <v>190</v>
      </c>
      <c r="AW298" s="319" t="s">
        <v>190</v>
      </c>
      <c r="AX298" s="319" t="s">
        <v>190</v>
      </c>
      <c r="AY298" s="319" t="s">
        <v>190</v>
      </c>
      <c r="AZ298" s="319" t="s">
        <v>190</v>
      </c>
      <c r="BA298" s="319" t="s">
        <v>190</v>
      </c>
      <c r="BB298" s="319" t="s">
        <v>428</v>
      </c>
      <c r="BC298" s="319" t="s">
        <v>428</v>
      </c>
      <c r="BD298" s="319" t="s">
        <v>428</v>
      </c>
      <c r="BE298" s="319" t="s">
        <v>428</v>
      </c>
      <c r="BF298" s="319" t="s">
        <v>190</v>
      </c>
      <c r="BG298" s="319" t="s">
        <v>428</v>
      </c>
      <c r="BH298" s="319" t="s">
        <v>190</v>
      </c>
      <c r="BI298" s="319" t="s">
        <v>190</v>
      </c>
      <c r="BJ298" s="319" t="s">
        <v>190</v>
      </c>
      <c r="BK298" s="319" t="s">
        <v>190</v>
      </c>
      <c r="BL298" s="319" t="s">
        <v>190</v>
      </c>
      <c r="BM298" s="319" t="s">
        <v>190</v>
      </c>
      <c r="BN298" s="319" t="s">
        <v>190</v>
      </c>
      <c r="BO298" s="319" t="s">
        <v>190</v>
      </c>
      <c r="BP298" s="319" t="s">
        <v>190</v>
      </c>
      <c r="BQ298" s="319" t="s">
        <v>190</v>
      </c>
      <c r="BR298" s="319" t="s">
        <v>190</v>
      </c>
      <c r="BS298" s="319" t="s">
        <v>190</v>
      </c>
      <c r="BT298" s="319" t="s">
        <v>190</v>
      </c>
      <c r="BU298" s="319" t="s">
        <v>190</v>
      </c>
      <c r="BV298" s="319" t="s">
        <v>190</v>
      </c>
      <c r="BW298" s="319" t="s">
        <v>190</v>
      </c>
      <c r="BX298" s="319" t="s">
        <v>190</v>
      </c>
      <c r="BY298" s="319" t="s">
        <v>190</v>
      </c>
      <c r="BZ298" s="319" t="s">
        <v>190</v>
      </c>
      <c r="CA298" s="319" t="s">
        <v>190</v>
      </c>
      <c r="CB298" s="319" t="s">
        <v>190</v>
      </c>
      <c r="CC298" s="319" t="s">
        <v>190</v>
      </c>
      <c r="CD298" s="319" t="s">
        <v>190</v>
      </c>
      <c r="CE298" s="319" t="s">
        <v>190</v>
      </c>
      <c r="CF298" s="319" t="s">
        <v>190</v>
      </c>
      <c r="CG298" s="319" t="s">
        <v>190</v>
      </c>
      <c r="CH298" s="319" t="s">
        <v>190</v>
      </c>
      <c r="CI298" s="319" t="s">
        <v>190</v>
      </c>
      <c r="CJ298" s="319" t="s">
        <v>190</v>
      </c>
      <c r="CK298" s="319" t="s">
        <v>190</v>
      </c>
      <c r="CL298" s="319" t="s">
        <v>190</v>
      </c>
      <c r="CM298" s="319" t="s">
        <v>190</v>
      </c>
      <c r="CN298" s="319" t="s">
        <v>428</v>
      </c>
      <c r="CO298" s="319" t="s">
        <v>428</v>
      </c>
      <c r="CP298" s="319" t="s">
        <v>428</v>
      </c>
      <c r="CQ298" s="319" t="s">
        <v>190</v>
      </c>
      <c r="CR298" s="319" t="s">
        <v>190</v>
      </c>
      <c r="CS298" s="319" t="s">
        <v>190</v>
      </c>
      <c r="CT298" s="319" t="s">
        <v>190</v>
      </c>
      <c r="CU298" s="319" t="s">
        <v>190</v>
      </c>
      <c r="CV298" s="319" t="s">
        <v>190</v>
      </c>
      <c r="CW298" s="319" t="s">
        <v>190</v>
      </c>
      <c r="CX298" s="319" t="s">
        <v>190</v>
      </c>
      <c r="CY298" s="319" t="s">
        <v>190</v>
      </c>
      <c r="CZ298" s="319" t="s">
        <v>190</v>
      </c>
      <c r="DA298" s="319" t="s">
        <v>190</v>
      </c>
      <c r="DB298" s="319" t="s">
        <v>190</v>
      </c>
      <c r="DC298" s="319" t="s">
        <v>190</v>
      </c>
      <c r="DD298" s="319" t="s">
        <v>190</v>
      </c>
      <c r="DE298" s="319" t="s">
        <v>190</v>
      </c>
      <c r="DF298" s="319" t="s">
        <v>190</v>
      </c>
      <c r="DG298" s="319" t="s">
        <v>190</v>
      </c>
      <c r="DH298" s="319" t="s">
        <v>190</v>
      </c>
      <c r="DI298" s="319" t="s">
        <v>190</v>
      </c>
      <c r="DJ298" s="319" t="s">
        <v>190</v>
      </c>
      <c r="DK298" s="319" t="s">
        <v>190</v>
      </c>
      <c r="DL298" s="319" t="s">
        <v>190</v>
      </c>
      <c r="DM298" s="319" t="s">
        <v>190</v>
      </c>
      <c r="DN298" s="319" t="s">
        <v>428</v>
      </c>
      <c r="DO298" s="319" t="s">
        <v>190</v>
      </c>
      <c r="DP298" s="319" t="s">
        <v>190</v>
      </c>
      <c r="DQ298" s="319" t="s">
        <v>190</v>
      </c>
      <c r="DR298" s="319" t="s">
        <v>190</v>
      </c>
      <c r="DS298" s="319" t="s">
        <v>190</v>
      </c>
      <c r="DT298" s="319" t="s">
        <v>190</v>
      </c>
      <c r="DU298" s="319" t="s">
        <v>190</v>
      </c>
      <c r="DV298" s="319" t="s">
        <v>173</v>
      </c>
      <c r="DW298" s="319" t="s">
        <v>190</v>
      </c>
      <c r="DX298" s="319" t="s">
        <v>190</v>
      </c>
      <c r="DY298" s="319" t="s">
        <v>190</v>
      </c>
      <c r="DZ298" s="319" t="s">
        <v>190</v>
      </c>
      <c r="EA298" s="319" t="s">
        <v>190</v>
      </c>
      <c r="EB298" s="319" t="s">
        <v>190</v>
      </c>
      <c r="EC298" s="319" t="s">
        <v>428</v>
      </c>
      <c r="ED298" s="319" t="s">
        <v>190</v>
      </c>
      <c r="EE298" s="319" t="s">
        <v>190</v>
      </c>
      <c r="EF298" s="319" t="s">
        <v>190</v>
      </c>
      <c r="EG298" s="319" t="s">
        <v>190</v>
      </c>
      <c r="EH298" s="319" t="s">
        <v>190</v>
      </c>
      <c r="EI298" s="319" t="s">
        <v>190</v>
      </c>
      <c r="EJ298" s="319" t="s">
        <v>190</v>
      </c>
      <c r="EK298" s="319" t="s">
        <v>190</v>
      </c>
      <c r="EL298" s="319" t="s">
        <v>190</v>
      </c>
      <c r="EM298" s="319" t="s">
        <v>190</v>
      </c>
      <c r="EN298" s="319" t="s">
        <v>190</v>
      </c>
      <c r="EO298" s="319" t="s">
        <v>190</v>
      </c>
      <c r="EP298" s="319" t="s">
        <v>190</v>
      </c>
      <c r="EQ298" s="319" t="s">
        <v>190</v>
      </c>
      <c r="ER298" s="319" t="s">
        <v>190</v>
      </c>
      <c r="ES298" s="319" t="s">
        <v>190</v>
      </c>
      <c r="ET298" s="319" t="s">
        <v>190</v>
      </c>
      <c r="EU298" s="319" t="s">
        <v>190</v>
      </c>
      <c r="EV298" s="319" t="s">
        <v>190</v>
      </c>
      <c r="EW298" s="319" t="s">
        <v>190</v>
      </c>
      <c r="EX298" s="319" t="s">
        <v>190</v>
      </c>
      <c r="EY298" s="319" t="s">
        <v>190</v>
      </c>
      <c r="EZ298" s="319" t="s">
        <v>190</v>
      </c>
      <c r="FA298" s="319" t="s">
        <v>190</v>
      </c>
      <c r="FB298" s="319" t="s">
        <v>190</v>
      </c>
      <c r="FC298" s="319" t="s">
        <v>190</v>
      </c>
      <c r="FD298" s="319" t="s">
        <v>190</v>
      </c>
      <c r="FE298" s="319" t="s">
        <v>190</v>
      </c>
      <c r="FF298" s="319" t="s">
        <v>190</v>
      </c>
      <c r="FG298" s="319" t="s">
        <v>190</v>
      </c>
      <c r="FH298" s="319" t="s">
        <v>190</v>
      </c>
      <c r="FI298" s="319" t="s">
        <v>190</v>
      </c>
      <c r="FJ298" s="319" t="s">
        <v>190</v>
      </c>
      <c r="FK298" s="319" t="s">
        <v>190</v>
      </c>
      <c r="FL298" s="319" t="s">
        <v>190</v>
      </c>
      <c r="FM298" s="319" t="s">
        <v>190</v>
      </c>
      <c r="FN298" s="319" t="s">
        <v>428</v>
      </c>
      <c r="FO298" s="319" t="s">
        <v>428</v>
      </c>
      <c r="FP298" s="319" t="s">
        <v>190</v>
      </c>
      <c r="FQ298" s="319" t="s">
        <v>190</v>
      </c>
      <c r="FR298" s="319" t="s">
        <v>190</v>
      </c>
      <c r="FS298" s="319" t="s">
        <v>428</v>
      </c>
      <c r="FT298" s="319" t="s">
        <v>190</v>
      </c>
      <c r="FU298" s="319" t="s">
        <v>190</v>
      </c>
      <c r="FV298" s="319" t="s">
        <v>190</v>
      </c>
      <c r="FW298" s="319" t="s">
        <v>190</v>
      </c>
      <c r="FX298" s="319" t="s">
        <v>190</v>
      </c>
      <c r="FY298" s="319" t="s">
        <v>190</v>
      </c>
      <c r="FZ298" s="319" t="s">
        <v>190</v>
      </c>
      <c r="GA298" s="319" t="s">
        <v>190</v>
      </c>
      <c r="GB298" s="319" t="s">
        <v>190</v>
      </c>
      <c r="GC298" s="319" t="s">
        <v>190</v>
      </c>
      <c r="GD298" s="319" t="s">
        <v>190</v>
      </c>
      <c r="GE298" s="319" t="s">
        <v>190</v>
      </c>
      <c r="GF298" s="319" t="s">
        <v>190</v>
      </c>
      <c r="GG298" s="319" t="s">
        <v>190</v>
      </c>
      <c r="GH298" s="319" t="s">
        <v>190</v>
      </c>
      <c r="GI298" s="319" t="s">
        <v>190</v>
      </c>
      <c r="GJ298" s="319" t="s">
        <v>190</v>
      </c>
      <c r="GK298" s="319" t="s">
        <v>428</v>
      </c>
      <c r="GL298" s="319" t="s">
        <v>190</v>
      </c>
      <c r="GM298" s="319" t="s">
        <v>190</v>
      </c>
      <c r="GN298" s="319" t="s">
        <v>190</v>
      </c>
      <c r="GO298" s="319" t="s">
        <v>190</v>
      </c>
      <c r="GP298" s="319" t="s">
        <v>190</v>
      </c>
      <c r="GQ298" s="319" t="s">
        <v>190</v>
      </c>
      <c r="GR298" s="319" t="s">
        <v>190</v>
      </c>
      <c r="GS298" s="319" t="s">
        <v>190</v>
      </c>
      <c r="GT298" s="319" t="s">
        <v>428</v>
      </c>
      <c r="GU298" s="319" t="s">
        <v>428</v>
      </c>
      <c r="GV298" s="319" t="s">
        <v>190</v>
      </c>
      <c r="GW298" s="319" t="s">
        <v>190</v>
      </c>
      <c r="GX298" s="319" t="s">
        <v>190</v>
      </c>
      <c r="GY298" s="319" t="s">
        <v>190</v>
      </c>
      <c r="GZ298" s="319" t="s">
        <v>190</v>
      </c>
      <c r="HA298" s="319" t="s">
        <v>428</v>
      </c>
      <c r="HB298" s="319" t="s">
        <v>428</v>
      </c>
      <c r="HC298" s="319" t="s">
        <v>190</v>
      </c>
      <c r="HD298" s="319" t="s">
        <v>190</v>
      </c>
      <c r="HE298" s="319" t="s">
        <v>190</v>
      </c>
      <c r="HF298" s="319" t="s">
        <v>190</v>
      </c>
      <c r="HG298" s="319" t="s">
        <v>190</v>
      </c>
      <c r="HH298" s="319" t="s">
        <v>190</v>
      </c>
      <c r="HI298" s="319" t="s">
        <v>428</v>
      </c>
      <c r="HJ298" s="319" t="s">
        <v>190</v>
      </c>
      <c r="HK298" s="319" t="s">
        <v>190</v>
      </c>
      <c r="HL298" s="319" t="s">
        <v>428</v>
      </c>
      <c r="HM298" s="319" t="s">
        <v>428</v>
      </c>
      <c r="HN298" s="319" t="s">
        <v>428</v>
      </c>
      <c r="HO298" s="319" t="s">
        <v>428</v>
      </c>
      <c r="HP298" s="319" t="s">
        <v>190</v>
      </c>
      <c r="HQ298" s="319" t="s">
        <v>190</v>
      </c>
      <c r="HR298" s="319" t="s">
        <v>190</v>
      </c>
      <c r="HS298" s="319" t="s">
        <v>190</v>
      </c>
      <c r="HT298" s="319" t="s">
        <v>190</v>
      </c>
      <c r="HU298" s="319" t="s">
        <v>190</v>
      </c>
      <c r="HV298" s="319" t="s">
        <v>190</v>
      </c>
      <c r="HW298" s="319" t="s">
        <v>190</v>
      </c>
      <c r="HX298" s="319" t="s">
        <v>190</v>
      </c>
      <c r="HY298" s="319" t="s">
        <v>190</v>
      </c>
      <c r="HZ298" s="319" t="s">
        <v>190</v>
      </c>
      <c r="IA298" s="319" t="s">
        <v>190</v>
      </c>
      <c r="IB298" s="319" t="s">
        <v>190</v>
      </c>
      <c r="IC298" s="319" t="s">
        <v>190</v>
      </c>
      <c r="ID298" s="319" t="s">
        <v>190</v>
      </c>
      <c r="IE298" s="319" t="s">
        <v>190</v>
      </c>
      <c r="IF298" s="319" t="s">
        <v>190</v>
      </c>
      <c r="IG298" s="319" t="s">
        <v>190</v>
      </c>
      <c r="IH298" s="319" t="s">
        <v>190</v>
      </c>
      <c r="II298" s="319" t="s">
        <v>190</v>
      </c>
      <c r="IJ298" s="319">
        <v>10035789</v>
      </c>
      <c r="IK298" s="321">
        <v>43011</v>
      </c>
      <c r="IL298" s="321">
        <v>43013</v>
      </c>
      <c r="IM298" s="321">
        <v>43082</v>
      </c>
      <c r="IN298" s="319">
        <v>3</v>
      </c>
      <c r="IO298" s="319" t="s">
        <v>173</v>
      </c>
      <c r="IP298" s="319" t="s">
        <v>173</v>
      </c>
      <c r="IQ298" s="319" t="s">
        <v>173</v>
      </c>
      <c r="IR298" s="320" t="s">
        <v>173</v>
      </c>
      <c r="IS298" s="320" t="s">
        <v>173</v>
      </c>
      <c r="IT298" s="319" t="s">
        <v>173</v>
      </c>
    </row>
    <row r="299" spans="1:254" s="271" customFormat="1" x14ac:dyDescent="0.25">
      <c r="A299" s="318" t="str">
        <f>HYPERLINK("http://www.ofsted.gov.uk/inspection-reports/find-inspection-report/provider/ELS/131131 ","Ofsted School Webpage")</f>
        <v>Ofsted School Webpage</v>
      </c>
      <c r="B299" s="319">
        <v>131131</v>
      </c>
      <c r="C299" s="319">
        <v>3826019</v>
      </c>
      <c r="D299" s="319" t="s">
        <v>1609</v>
      </c>
      <c r="E299" s="319" t="s">
        <v>167</v>
      </c>
      <c r="F299" s="319" t="s">
        <v>81</v>
      </c>
      <c r="G299" s="319" t="s">
        <v>72</v>
      </c>
      <c r="H299" s="319" t="s">
        <v>72</v>
      </c>
      <c r="I299" s="319" t="s">
        <v>72</v>
      </c>
      <c r="J299" s="319" t="s">
        <v>424</v>
      </c>
      <c r="K299" s="319" t="s">
        <v>458</v>
      </c>
      <c r="L299" s="319" t="s">
        <v>459</v>
      </c>
      <c r="M299" s="319" t="s">
        <v>682</v>
      </c>
      <c r="N299" s="319" t="s">
        <v>2886</v>
      </c>
      <c r="O299" s="319" t="s">
        <v>1610</v>
      </c>
      <c r="P299" s="319">
        <v>129</v>
      </c>
      <c r="Q299" s="319" t="s">
        <v>2766</v>
      </c>
      <c r="R299" s="320">
        <v>10043654</v>
      </c>
      <c r="S299" s="321">
        <v>43270</v>
      </c>
      <c r="T299" s="321">
        <v>43272</v>
      </c>
      <c r="U299" s="321">
        <v>43355</v>
      </c>
      <c r="V299" s="319" t="s">
        <v>425</v>
      </c>
      <c r="W299" s="319" t="s">
        <v>2767</v>
      </c>
      <c r="X299" s="319">
        <v>3</v>
      </c>
      <c r="Y299" s="319" t="s">
        <v>173</v>
      </c>
      <c r="Z299" s="319" t="s">
        <v>173</v>
      </c>
      <c r="AA299" s="319" t="s">
        <v>173</v>
      </c>
      <c r="AB299" s="319">
        <v>3</v>
      </c>
      <c r="AC299" s="319" t="s">
        <v>169</v>
      </c>
      <c r="AD299" s="319">
        <v>2</v>
      </c>
      <c r="AE299" s="319" t="s">
        <v>173</v>
      </c>
      <c r="AF299" s="319" t="s">
        <v>447</v>
      </c>
      <c r="AG299" s="319" t="s">
        <v>172</v>
      </c>
      <c r="AH299" s="319" t="s">
        <v>479</v>
      </c>
      <c r="AI299" s="319" t="s">
        <v>190</v>
      </c>
      <c r="AJ299" s="319" t="s">
        <v>190</v>
      </c>
      <c r="AK299" s="319" t="s">
        <v>190</v>
      </c>
      <c r="AL299" s="319" t="s">
        <v>190</v>
      </c>
      <c r="AM299" s="319" t="s">
        <v>190</v>
      </c>
      <c r="AN299" s="319" t="s">
        <v>190</v>
      </c>
      <c r="AO299" s="319" t="s">
        <v>479</v>
      </c>
      <c r="AP299" s="319" t="s">
        <v>190</v>
      </c>
      <c r="AQ299" s="319" t="s">
        <v>190</v>
      </c>
      <c r="AR299" s="319" t="s">
        <v>190</v>
      </c>
      <c r="AS299" s="319" t="s">
        <v>190</v>
      </c>
      <c r="AT299" s="319" t="s">
        <v>190</v>
      </c>
      <c r="AU299" s="319" t="s">
        <v>190</v>
      </c>
      <c r="AV299" s="319" t="s">
        <v>190</v>
      </c>
      <c r="AW299" s="319" t="s">
        <v>190</v>
      </c>
      <c r="AX299" s="319" t="s">
        <v>190</v>
      </c>
      <c r="AY299" s="319" t="s">
        <v>190</v>
      </c>
      <c r="AZ299" s="319" t="s">
        <v>190</v>
      </c>
      <c r="BA299" s="319" t="s">
        <v>190</v>
      </c>
      <c r="BB299" s="319" t="s">
        <v>190</v>
      </c>
      <c r="BC299" s="319" t="s">
        <v>190</v>
      </c>
      <c r="BD299" s="319" t="s">
        <v>190</v>
      </c>
      <c r="BE299" s="319" t="s">
        <v>190</v>
      </c>
      <c r="BF299" s="319" t="s">
        <v>190</v>
      </c>
      <c r="BG299" s="319" t="s">
        <v>190</v>
      </c>
      <c r="BH299" s="319" t="s">
        <v>190</v>
      </c>
      <c r="BI299" s="319" t="s">
        <v>190</v>
      </c>
      <c r="BJ299" s="319" t="s">
        <v>191</v>
      </c>
      <c r="BK299" s="319" t="s">
        <v>191</v>
      </c>
      <c r="BL299" s="319" t="s">
        <v>191</v>
      </c>
      <c r="BM299" s="319" t="s">
        <v>191</v>
      </c>
      <c r="BN299" s="319" t="s">
        <v>191</v>
      </c>
      <c r="BO299" s="319" t="s">
        <v>191</v>
      </c>
      <c r="BP299" s="319" t="s">
        <v>190</v>
      </c>
      <c r="BQ299" s="319" t="s">
        <v>191</v>
      </c>
      <c r="BR299" s="319" t="s">
        <v>190</v>
      </c>
      <c r="BS299" s="319" t="s">
        <v>190</v>
      </c>
      <c r="BT299" s="319" t="s">
        <v>190</v>
      </c>
      <c r="BU299" s="319" t="s">
        <v>190</v>
      </c>
      <c r="BV299" s="319" t="s">
        <v>190</v>
      </c>
      <c r="BW299" s="319" t="s">
        <v>190</v>
      </c>
      <c r="BX299" s="319" t="s">
        <v>190</v>
      </c>
      <c r="BY299" s="319" t="s">
        <v>190</v>
      </c>
      <c r="BZ299" s="319" t="s">
        <v>190</v>
      </c>
      <c r="CA299" s="319" t="s">
        <v>190</v>
      </c>
      <c r="CB299" s="319" t="s">
        <v>190</v>
      </c>
      <c r="CC299" s="319" t="s">
        <v>190</v>
      </c>
      <c r="CD299" s="319" t="s">
        <v>190</v>
      </c>
      <c r="CE299" s="319" t="s">
        <v>190</v>
      </c>
      <c r="CF299" s="319" t="s">
        <v>190</v>
      </c>
      <c r="CG299" s="319" t="s">
        <v>190</v>
      </c>
      <c r="CH299" s="319" t="s">
        <v>190</v>
      </c>
      <c r="CI299" s="319" t="s">
        <v>190</v>
      </c>
      <c r="CJ299" s="319" t="s">
        <v>190</v>
      </c>
      <c r="CK299" s="319" t="s">
        <v>190</v>
      </c>
      <c r="CL299" s="319" t="s">
        <v>190</v>
      </c>
      <c r="CM299" s="319" t="s">
        <v>190</v>
      </c>
      <c r="CN299" s="319" t="s">
        <v>190</v>
      </c>
      <c r="CO299" s="319" t="s">
        <v>428</v>
      </c>
      <c r="CP299" s="319" t="s">
        <v>428</v>
      </c>
      <c r="CQ299" s="319" t="s">
        <v>190</v>
      </c>
      <c r="CR299" s="319" t="s">
        <v>190</v>
      </c>
      <c r="CS299" s="319" t="s">
        <v>190</v>
      </c>
      <c r="CT299" s="319" t="s">
        <v>190</v>
      </c>
      <c r="CU299" s="319" t="s">
        <v>190</v>
      </c>
      <c r="CV299" s="319" t="s">
        <v>190</v>
      </c>
      <c r="CW299" s="319" t="s">
        <v>190</v>
      </c>
      <c r="CX299" s="319" t="s">
        <v>190</v>
      </c>
      <c r="CY299" s="319" t="s">
        <v>190</v>
      </c>
      <c r="CZ299" s="319" t="s">
        <v>190</v>
      </c>
      <c r="DA299" s="319" t="s">
        <v>190</v>
      </c>
      <c r="DB299" s="319" t="s">
        <v>190</v>
      </c>
      <c r="DC299" s="319" t="s">
        <v>190</v>
      </c>
      <c r="DD299" s="319" t="s">
        <v>190</v>
      </c>
      <c r="DE299" s="319" t="s">
        <v>190</v>
      </c>
      <c r="DF299" s="319" t="s">
        <v>190</v>
      </c>
      <c r="DG299" s="319" t="s">
        <v>190</v>
      </c>
      <c r="DH299" s="319" t="s">
        <v>190</v>
      </c>
      <c r="DI299" s="319" t="s">
        <v>190</v>
      </c>
      <c r="DJ299" s="319" t="s">
        <v>190</v>
      </c>
      <c r="DK299" s="319" t="s">
        <v>190</v>
      </c>
      <c r="DL299" s="319" t="s">
        <v>190</v>
      </c>
      <c r="DM299" s="319" t="s">
        <v>190</v>
      </c>
      <c r="DN299" s="319" t="s">
        <v>428</v>
      </c>
      <c r="DO299" s="319" t="s">
        <v>190</v>
      </c>
      <c r="DP299" s="319" t="s">
        <v>428</v>
      </c>
      <c r="DQ299" s="319" t="s">
        <v>428</v>
      </c>
      <c r="DR299" s="319" t="s">
        <v>428</v>
      </c>
      <c r="DS299" s="319" t="s">
        <v>428</v>
      </c>
      <c r="DT299" s="319" t="s">
        <v>428</v>
      </c>
      <c r="DU299" s="319" t="s">
        <v>428</v>
      </c>
      <c r="DV299" s="319" t="s">
        <v>173</v>
      </c>
      <c r="DW299" s="319" t="s">
        <v>428</v>
      </c>
      <c r="DX299" s="319" t="s">
        <v>428</v>
      </c>
      <c r="DY299" s="319" t="s">
        <v>428</v>
      </c>
      <c r="DZ299" s="319" t="s">
        <v>428</v>
      </c>
      <c r="EA299" s="319" t="s">
        <v>428</v>
      </c>
      <c r="EB299" s="319" t="s">
        <v>428</v>
      </c>
      <c r="EC299" s="319" t="s">
        <v>428</v>
      </c>
      <c r="ED299" s="319" t="s">
        <v>428</v>
      </c>
      <c r="EE299" s="319" t="s">
        <v>190</v>
      </c>
      <c r="EF299" s="319" t="s">
        <v>190</v>
      </c>
      <c r="EG299" s="319" t="s">
        <v>190</v>
      </c>
      <c r="EH299" s="319" t="s">
        <v>190</v>
      </c>
      <c r="EI299" s="319" t="s">
        <v>190</v>
      </c>
      <c r="EJ299" s="319" t="s">
        <v>190</v>
      </c>
      <c r="EK299" s="319" t="s">
        <v>190</v>
      </c>
      <c r="EL299" s="319" t="s">
        <v>190</v>
      </c>
      <c r="EM299" s="319" t="s">
        <v>190</v>
      </c>
      <c r="EN299" s="319" t="s">
        <v>190</v>
      </c>
      <c r="EO299" s="319" t="s">
        <v>190</v>
      </c>
      <c r="EP299" s="319" t="s">
        <v>190</v>
      </c>
      <c r="EQ299" s="319" t="s">
        <v>190</v>
      </c>
      <c r="ER299" s="319" t="s">
        <v>190</v>
      </c>
      <c r="ES299" s="319" t="s">
        <v>190</v>
      </c>
      <c r="ET299" s="319" t="s">
        <v>190</v>
      </c>
      <c r="EU299" s="319" t="s">
        <v>190</v>
      </c>
      <c r="EV299" s="319" t="s">
        <v>190</v>
      </c>
      <c r="EW299" s="319" t="s">
        <v>190</v>
      </c>
      <c r="EX299" s="319" t="s">
        <v>190</v>
      </c>
      <c r="EY299" s="319" t="s">
        <v>190</v>
      </c>
      <c r="EZ299" s="319" t="s">
        <v>190</v>
      </c>
      <c r="FA299" s="319" t="s">
        <v>190</v>
      </c>
      <c r="FB299" s="319" t="s">
        <v>428</v>
      </c>
      <c r="FC299" s="319" t="s">
        <v>428</v>
      </c>
      <c r="FD299" s="319" t="s">
        <v>428</v>
      </c>
      <c r="FE299" s="319" t="s">
        <v>428</v>
      </c>
      <c r="FF299" s="319" t="s">
        <v>428</v>
      </c>
      <c r="FG299" s="319" t="s">
        <v>428</v>
      </c>
      <c r="FH299" s="319" t="s">
        <v>190</v>
      </c>
      <c r="FI299" s="319" t="s">
        <v>190</v>
      </c>
      <c r="FJ299" s="319" t="s">
        <v>190</v>
      </c>
      <c r="FK299" s="319" t="s">
        <v>190</v>
      </c>
      <c r="FL299" s="319" t="s">
        <v>190</v>
      </c>
      <c r="FM299" s="319" t="s">
        <v>190</v>
      </c>
      <c r="FN299" s="319" t="s">
        <v>190</v>
      </c>
      <c r="FO299" s="319" t="s">
        <v>428</v>
      </c>
      <c r="FP299" s="319" t="s">
        <v>190</v>
      </c>
      <c r="FQ299" s="319" t="s">
        <v>190</v>
      </c>
      <c r="FR299" s="319" t="s">
        <v>190</v>
      </c>
      <c r="FS299" s="319" t="s">
        <v>190</v>
      </c>
      <c r="FT299" s="319" t="s">
        <v>190</v>
      </c>
      <c r="FU299" s="319" t="s">
        <v>190</v>
      </c>
      <c r="FV299" s="319" t="s">
        <v>190</v>
      </c>
      <c r="FW299" s="319" t="s">
        <v>190</v>
      </c>
      <c r="FX299" s="319" t="s">
        <v>190</v>
      </c>
      <c r="FY299" s="319" t="s">
        <v>190</v>
      </c>
      <c r="FZ299" s="319" t="s">
        <v>190</v>
      </c>
      <c r="GA299" s="319" t="s">
        <v>190</v>
      </c>
      <c r="GB299" s="319" t="s">
        <v>190</v>
      </c>
      <c r="GC299" s="319" t="s">
        <v>190</v>
      </c>
      <c r="GD299" s="319" t="s">
        <v>190</v>
      </c>
      <c r="GE299" s="319" t="s">
        <v>190</v>
      </c>
      <c r="GF299" s="319" t="s">
        <v>190</v>
      </c>
      <c r="GG299" s="319" t="s">
        <v>190</v>
      </c>
      <c r="GH299" s="319" t="s">
        <v>190</v>
      </c>
      <c r="GI299" s="319" t="s">
        <v>190</v>
      </c>
      <c r="GJ299" s="319" t="s">
        <v>190</v>
      </c>
      <c r="GK299" s="319" t="s">
        <v>428</v>
      </c>
      <c r="GL299" s="319" t="s">
        <v>190</v>
      </c>
      <c r="GM299" s="319" t="s">
        <v>190</v>
      </c>
      <c r="GN299" s="319" t="s">
        <v>190</v>
      </c>
      <c r="GO299" s="319" t="s">
        <v>190</v>
      </c>
      <c r="GP299" s="319" t="s">
        <v>190</v>
      </c>
      <c r="GQ299" s="319" t="s">
        <v>190</v>
      </c>
      <c r="GR299" s="319" t="s">
        <v>190</v>
      </c>
      <c r="GS299" s="319" t="s">
        <v>190</v>
      </c>
      <c r="GT299" s="319" t="s">
        <v>190</v>
      </c>
      <c r="GU299" s="319" t="s">
        <v>190</v>
      </c>
      <c r="GV299" s="319" t="s">
        <v>190</v>
      </c>
      <c r="GW299" s="319" t="s">
        <v>190</v>
      </c>
      <c r="GX299" s="319" t="s">
        <v>190</v>
      </c>
      <c r="GY299" s="319" t="s">
        <v>190</v>
      </c>
      <c r="GZ299" s="319" t="s">
        <v>190</v>
      </c>
      <c r="HA299" s="319" t="s">
        <v>190</v>
      </c>
      <c r="HB299" s="319" t="s">
        <v>190</v>
      </c>
      <c r="HC299" s="319" t="s">
        <v>190</v>
      </c>
      <c r="HD299" s="319" t="s">
        <v>190</v>
      </c>
      <c r="HE299" s="319" t="s">
        <v>190</v>
      </c>
      <c r="HF299" s="319" t="s">
        <v>190</v>
      </c>
      <c r="HG299" s="319" t="s">
        <v>190</v>
      </c>
      <c r="HH299" s="319" t="s">
        <v>190</v>
      </c>
      <c r="HI299" s="319" t="s">
        <v>190</v>
      </c>
      <c r="HJ299" s="319" t="s">
        <v>190</v>
      </c>
      <c r="HK299" s="319" t="s">
        <v>190</v>
      </c>
      <c r="HL299" s="319" t="s">
        <v>190</v>
      </c>
      <c r="HM299" s="319" t="s">
        <v>428</v>
      </c>
      <c r="HN299" s="319" t="s">
        <v>191</v>
      </c>
      <c r="HO299" s="319" t="s">
        <v>191</v>
      </c>
      <c r="HP299" s="319" t="s">
        <v>190</v>
      </c>
      <c r="HQ299" s="319" t="s">
        <v>190</v>
      </c>
      <c r="HR299" s="319" t="s">
        <v>190</v>
      </c>
      <c r="HS299" s="319" t="s">
        <v>190</v>
      </c>
      <c r="HT299" s="319" t="s">
        <v>190</v>
      </c>
      <c r="HU299" s="319" t="s">
        <v>190</v>
      </c>
      <c r="HV299" s="319" t="s">
        <v>190</v>
      </c>
      <c r="HW299" s="319" t="s">
        <v>190</v>
      </c>
      <c r="HX299" s="319" t="s">
        <v>190</v>
      </c>
      <c r="HY299" s="319" t="s">
        <v>190</v>
      </c>
      <c r="HZ299" s="319" t="s">
        <v>190</v>
      </c>
      <c r="IA299" s="319" t="s">
        <v>190</v>
      </c>
      <c r="IB299" s="319" t="s">
        <v>190</v>
      </c>
      <c r="IC299" s="319" t="s">
        <v>190</v>
      </c>
      <c r="ID299" s="319" t="s">
        <v>190</v>
      </c>
      <c r="IE299" s="319" t="s">
        <v>190</v>
      </c>
      <c r="IF299" s="319" t="s">
        <v>191</v>
      </c>
      <c r="IG299" s="319" t="s">
        <v>191</v>
      </c>
      <c r="IH299" s="319" t="s">
        <v>191</v>
      </c>
      <c r="II299" s="319" t="s">
        <v>191</v>
      </c>
      <c r="IJ299" s="319">
        <v>10007685</v>
      </c>
      <c r="IK299" s="321">
        <v>42388</v>
      </c>
      <c r="IL299" s="321">
        <v>42390</v>
      </c>
      <c r="IM299" s="321">
        <v>42410</v>
      </c>
      <c r="IN299" s="319">
        <v>3</v>
      </c>
      <c r="IO299" s="319">
        <v>10093880</v>
      </c>
      <c r="IP299" s="319" t="s">
        <v>985</v>
      </c>
      <c r="IQ299" s="321">
        <v>43550</v>
      </c>
      <c r="IR299" s="320" t="s">
        <v>1223</v>
      </c>
      <c r="IS299" s="322">
        <v>43604</v>
      </c>
      <c r="IT299" s="319" t="s">
        <v>165</v>
      </c>
    </row>
    <row r="300" spans="1:254" s="271" customFormat="1" x14ac:dyDescent="0.25">
      <c r="A300" s="318" t="str">
        <f>HYPERLINK("http://www.ofsted.gov.uk/inspection-reports/find-inspection-report/provider/ELS/131136 ","Ofsted School Webpage")</f>
        <v>Ofsted School Webpage</v>
      </c>
      <c r="B300" s="319">
        <v>131136</v>
      </c>
      <c r="C300" s="319">
        <v>3846120</v>
      </c>
      <c r="D300" s="319" t="s">
        <v>810</v>
      </c>
      <c r="E300" s="319" t="s">
        <v>168</v>
      </c>
      <c r="F300" s="319" t="s">
        <v>81</v>
      </c>
      <c r="G300" s="319" t="s">
        <v>81</v>
      </c>
      <c r="H300" s="319" t="s">
        <v>81</v>
      </c>
      <c r="I300" s="319" t="s">
        <v>78</v>
      </c>
      <c r="J300" s="319" t="s">
        <v>424</v>
      </c>
      <c r="K300" s="319" t="s">
        <v>458</v>
      </c>
      <c r="L300" s="319" t="s">
        <v>459</v>
      </c>
      <c r="M300" s="319" t="s">
        <v>460</v>
      </c>
      <c r="N300" s="319" t="s">
        <v>460</v>
      </c>
      <c r="O300" s="319" t="s">
        <v>811</v>
      </c>
      <c r="P300" s="319">
        <v>36</v>
      </c>
      <c r="Q300" s="319" t="s">
        <v>429</v>
      </c>
      <c r="R300" s="320">
        <v>10061253</v>
      </c>
      <c r="S300" s="321">
        <v>43480</v>
      </c>
      <c r="T300" s="321">
        <v>43482</v>
      </c>
      <c r="U300" s="321">
        <v>43503</v>
      </c>
      <c r="V300" s="319" t="s">
        <v>425</v>
      </c>
      <c r="W300" s="319" t="s">
        <v>2767</v>
      </c>
      <c r="X300" s="319">
        <v>2</v>
      </c>
      <c r="Y300" s="319" t="s">
        <v>173</v>
      </c>
      <c r="Z300" s="319" t="s">
        <v>173</v>
      </c>
      <c r="AA300" s="319" t="s">
        <v>173</v>
      </c>
      <c r="AB300" s="319">
        <v>2</v>
      </c>
      <c r="AC300" s="319" t="s">
        <v>169</v>
      </c>
      <c r="AD300" s="319" t="s">
        <v>173</v>
      </c>
      <c r="AE300" s="319" t="s">
        <v>173</v>
      </c>
      <c r="AF300" s="319" t="s">
        <v>427</v>
      </c>
      <c r="AG300" s="319" t="s">
        <v>171</v>
      </c>
      <c r="AH300" s="319" t="s">
        <v>190</v>
      </c>
      <c r="AI300" s="319" t="s">
        <v>190</v>
      </c>
      <c r="AJ300" s="319" t="s">
        <v>190</v>
      </c>
      <c r="AK300" s="319" t="s">
        <v>190</v>
      </c>
      <c r="AL300" s="319" t="s">
        <v>190</v>
      </c>
      <c r="AM300" s="319" t="s">
        <v>190</v>
      </c>
      <c r="AN300" s="319" t="s">
        <v>190</v>
      </c>
      <c r="AO300" s="319" t="s">
        <v>190</v>
      </c>
      <c r="AP300" s="319" t="s">
        <v>190</v>
      </c>
      <c r="AQ300" s="319" t="s">
        <v>190</v>
      </c>
      <c r="AR300" s="319" t="s">
        <v>190</v>
      </c>
      <c r="AS300" s="319" t="s">
        <v>190</v>
      </c>
      <c r="AT300" s="319" t="s">
        <v>190</v>
      </c>
      <c r="AU300" s="319" t="s">
        <v>190</v>
      </c>
      <c r="AV300" s="319" t="s">
        <v>190</v>
      </c>
      <c r="AW300" s="319" t="s">
        <v>190</v>
      </c>
      <c r="AX300" s="319" t="s">
        <v>428</v>
      </c>
      <c r="AY300" s="319" t="s">
        <v>190</v>
      </c>
      <c r="AZ300" s="319" t="s">
        <v>190</v>
      </c>
      <c r="BA300" s="319" t="s">
        <v>190</v>
      </c>
      <c r="BB300" s="319" t="s">
        <v>190</v>
      </c>
      <c r="BC300" s="319" t="s">
        <v>190</v>
      </c>
      <c r="BD300" s="319" t="s">
        <v>190</v>
      </c>
      <c r="BE300" s="319" t="s">
        <v>190</v>
      </c>
      <c r="BF300" s="319" t="s">
        <v>428</v>
      </c>
      <c r="BG300" s="319" t="s">
        <v>190</v>
      </c>
      <c r="BH300" s="319" t="s">
        <v>190</v>
      </c>
      <c r="BI300" s="319" t="s">
        <v>190</v>
      </c>
      <c r="BJ300" s="319" t="s">
        <v>190</v>
      </c>
      <c r="BK300" s="319" t="s">
        <v>190</v>
      </c>
      <c r="BL300" s="319" t="s">
        <v>190</v>
      </c>
      <c r="BM300" s="319" t="s">
        <v>190</v>
      </c>
      <c r="BN300" s="319" t="s">
        <v>190</v>
      </c>
      <c r="BO300" s="319" t="s">
        <v>190</v>
      </c>
      <c r="BP300" s="319" t="s">
        <v>190</v>
      </c>
      <c r="BQ300" s="319" t="s">
        <v>190</v>
      </c>
      <c r="BR300" s="319" t="s">
        <v>190</v>
      </c>
      <c r="BS300" s="319" t="s">
        <v>190</v>
      </c>
      <c r="BT300" s="319" t="s">
        <v>190</v>
      </c>
      <c r="BU300" s="319" t="s">
        <v>190</v>
      </c>
      <c r="BV300" s="319" t="s">
        <v>190</v>
      </c>
      <c r="BW300" s="319" t="s">
        <v>190</v>
      </c>
      <c r="BX300" s="319" t="s">
        <v>190</v>
      </c>
      <c r="BY300" s="319" t="s">
        <v>190</v>
      </c>
      <c r="BZ300" s="319" t="s">
        <v>190</v>
      </c>
      <c r="CA300" s="319" t="s">
        <v>190</v>
      </c>
      <c r="CB300" s="319" t="s">
        <v>190</v>
      </c>
      <c r="CC300" s="319" t="s">
        <v>190</v>
      </c>
      <c r="CD300" s="319" t="s">
        <v>190</v>
      </c>
      <c r="CE300" s="319" t="s">
        <v>190</v>
      </c>
      <c r="CF300" s="319" t="s">
        <v>190</v>
      </c>
      <c r="CG300" s="319" t="s">
        <v>190</v>
      </c>
      <c r="CH300" s="319" t="s">
        <v>190</v>
      </c>
      <c r="CI300" s="319" t="s">
        <v>190</v>
      </c>
      <c r="CJ300" s="319" t="s">
        <v>190</v>
      </c>
      <c r="CK300" s="319" t="s">
        <v>190</v>
      </c>
      <c r="CL300" s="319" t="s">
        <v>190</v>
      </c>
      <c r="CM300" s="319" t="s">
        <v>190</v>
      </c>
      <c r="CN300" s="319" t="s">
        <v>428</v>
      </c>
      <c r="CO300" s="319" t="s">
        <v>428</v>
      </c>
      <c r="CP300" s="319" t="s">
        <v>428</v>
      </c>
      <c r="CQ300" s="319" t="s">
        <v>190</v>
      </c>
      <c r="CR300" s="319" t="s">
        <v>190</v>
      </c>
      <c r="CS300" s="319" t="s">
        <v>190</v>
      </c>
      <c r="CT300" s="319" t="s">
        <v>190</v>
      </c>
      <c r="CU300" s="319" t="s">
        <v>190</v>
      </c>
      <c r="CV300" s="319" t="s">
        <v>190</v>
      </c>
      <c r="CW300" s="319" t="s">
        <v>190</v>
      </c>
      <c r="CX300" s="319" t="s">
        <v>190</v>
      </c>
      <c r="CY300" s="319" t="s">
        <v>190</v>
      </c>
      <c r="CZ300" s="319" t="s">
        <v>190</v>
      </c>
      <c r="DA300" s="319" t="s">
        <v>190</v>
      </c>
      <c r="DB300" s="319" t="s">
        <v>190</v>
      </c>
      <c r="DC300" s="319" t="s">
        <v>190</v>
      </c>
      <c r="DD300" s="319" t="s">
        <v>190</v>
      </c>
      <c r="DE300" s="319" t="s">
        <v>190</v>
      </c>
      <c r="DF300" s="319" t="s">
        <v>190</v>
      </c>
      <c r="DG300" s="319" t="s">
        <v>190</v>
      </c>
      <c r="DH300" s="319" t="s">
        <v>190</v>
      </c>
      <c r="DI300" s="319" t="s">
        <v>190</v>
      </c>
      <c r="DJ300" s="319" t="s">
        <v>190</v>
      </c>
      <c r="DK300" s="319" t="s">
        <v>190</v>
      </c>
      <c r="DL300" s="319" t="s">
        <v>190</v>
      </c>
      <c r="DM300" s="319" t="s">
        <v>190</v>
      </c>
      <c r="DN300" s="319" t="s">
        <v>428</v>
      </c>
      <c r="DO300" s="319" t="s">
        <v>190</v>
      </c>
      <c r="DP300" s="319" t="s">
        <v>190</v>
      </c>
      <c r="DQ300" s="319" t="s">
        <v>190</v>
      </c>
      <c r="DR300" s="319" t="s">
        <v>190</v>
      </c>
      <c r="DS300" s="319" t="s">
        <v>190</v>
      </c>
      <c r="DT300" s="319" t="s">
        <v>190</v>
      </c>
      <c r="DU300" s="319" t="s">
        <v>190</v>
      </c>
      <c r="DV300" s="319" t="s">
        <v>173</v>
      </c>
      <c r="DW300" s="319" t="s">
        <v>190</v>
      </c>
      <c r="DX300" s="319" t="s">
        <v>190</v>
      </c>
      <c r="DY300" s="319" t="s">
        <v>190</v>
      </c>
      <c r="DZ300" s="319" t="s">
        <v>190</v>
      </c>
      <c r="EA300" s="319" t="s">
        <v>190</v>
      </c>
      <c r="EB300" s="319" t="s">
        <v>190</v>
      </c>
      <c r="EC300" s="319" t="s">
        <v>428</v>
      </c>
      <c r="ED300" s="319" t="s">
        <v>428</v>
      </c>
      <c r="EE300" s="319" t="s">
        <v>190</v>
      </c>
      <c r="EF300" s="319" t="s">
        <v>190</v>
      </c>
      <c r="EG300" s="319" t="s">
        <v>190</v>
      </c>
      <c r="EH300" s="319" t="s">
        <v>190</v>
      </c>
      <c r="EI300" s="319" t="s">
        <v>190</v>
      </c>
      <c r="EJ300" s="319" t="s">
        <v>190</v>
      </c>
      <c r="EK300" s="319" t="s">
        <v>190</v>
      </c>
      <c r="EL300" s="319" t="s">
        <v>190</v>
      </c>
      <c r="EM300" s="319" t="s">
        <v>190</v>
      </c>
      <c r="EN300" s="319" t="s">
        <v>190</v>
      </c>
      <c r="EO300" s="319" t="s">
        <v>190</v>
      </c>
      <c r="EP300" s="319" t="s">
        <v>190</v>
      </c>
      <c r="EQ300" s="319" t="s">
        <v>190</v>
      </c>
      <c r="ER300" s="319" t="s">
        <v>190</v>
      </c>
      <c r="ES300" s="319" t="s">
        <v>190</v>
      </c>
      <c r="ET300" s="319" t="s">
        <v>190</v>
      </c>
      <c r="EU300" s="319" t="s">
        <v>190</v>
      </c>
      <c r="EV300" s="319" t="s">
        <v>190</v>
      </c>
      <c r="EW300" s="319" t="s">
        <v>190</v>
      </c>
      <c r="EX300" s="319" t="s">
        <v>190</v>
      </c>
      <c r="EY300" s="319" t="s">
        <v>190</v>
      </c>
      <c r="EZ300" s="319" t="s">
        <v>190</v>
      </c>
      <c r="FA300" s="319" t="s">
        <v>190</v>
      </c>
      <c r="FB300" s="319" t="s">
        <v>190</v>
      </c>
      <c r="FC300" s="319" t="s">
        <v>190</v>
      </c>
      <c r="FD300" s="319" t="s">
        <v>190</v>
      </c>
      <c r="FE300" s="319" t="s">
        <v>190</v>
      </c>
      <c r="FF300" s="319" t="s">
        <v>190</v>
      </c>
      <c r="FG300" s="319" t="s">
        <v>190</v>
      </c>
      <c r="FH300" s="319" t="s">
        <v>190</v>
      </c>
      <c r="FI300" s="319" t="s">
        <v>190</v>
      </c>
      <c r="FJ300" s="319" t="s">
        <v>190</v>
      </c>
      <c r="FK300" s="319" t="s">
        <v>190</v>
      </c>
      <c r="FL300" s="319" t="s">
        <v>190</v>
      </c>
      <c r="FM300" s="319" t="s">
        <v>190</v>
      </c>
      <c r="FN300" s="319" t="s">
        <v>190</v>
      </c>
      <c r="FO300" s="319" t="s">
        <v>428</v>
      </c>
      <c r="FP300" s="319" t="s">
        <v>190</v>
      </c>
      <c r="FQ300" s="319" t="s">
        <v>190</v>
      </c>
      <c r="FR300" s="319" t="s">
        <v>190</v>
      </c>
      <c r="FS300" s="319" t="s">
        <v>428</v>
      </c>
      <c r="FT300" s="319" t="s">
        <v>190</v>
      </c>
      <c r="FU300" s="319" t="s">
        <v>190</v>
      </c>
      <c r="FV300" s="319" t="s">
        <v>190</v>
      </c>
      <c r="FW300" s="319" t="s">
        <v>190</v>
      </c>
      <c r="FX300" s="319" t="s">
        <v>190</v>
      </c>
      <c r="FY300" s="319" t="s">
        <v>190</v>
      </c>
      <c r="FZ300" s="319" t="s">
        <v>190</v>
      </c>
      <c r="GA300" s="319" t="s">
        <v>190</v>
      </c>
      <c r="GB300" s="319" t="s">
        <v>190</v>
      </c>
      <c r="GC300" s="319" t="s">
        <v>190</v>
      </c>
      <c r="GD300" s="319" t="s">
        <v>190</v>
      </c>
      <c r="GE300" s="319" t="s">
        <v>428</v>
      </c>
      <c r="GF300" s="319" t="s">
        <v>428</v>
      </c>
      <c r="GG300" s="319" t="s">
        <v>428</v>
      </c>
      <c r="GH300" s="319" t="s">
        <v>190</v>
      </c>
      <c r="GI300" s="319" t="s">
        <v>190</v>
      </c>
      <c r="GJ300" s="319" t="s">
        <v>190</v>
      </c>
      <c r="GK300" s="319" t="s">
        <v>428</v>
      </c>
      <c r="GL300" s="319" t="s">
        <v>190</v>
      </c>
      <c r="GM300" s="319" t="s">
        <v>190</v>
      </c>
      <c r="GN300" s="319" t="s">
        <v>190</v>
      </c>
      <c r="GO300" s="319" t="s">
        <v>190</v>
      </c>
      <c r="GP300" s="319" t="s">
        <v>190</v>
      </c>
      <c r="GQ300" s="319" t="s">
        <v>428</v>
      </c>
      <c r="GR300" s="319" t="s">
        <v>190</v>
      </c>
      <c r="GS300" s="319" t="s">
        <v>190</v>
      </c>
      <c r="GT300" s="319" t="s">
        <v>190</v>
      </c>
      <c r="GU300" s="319" t="s">
        <v>190</v>
      </c>
      <c r="GV300" s="319" t="s">
        <v>428</v>
      </c>
      <c r="GW300" s="319" t="s">
        <v>190</v>
      </c>
      <c r="GX300" s="319" t="s">
        <v>190</v>
      </c>
      <c r="GY300" s="319" t="s">
        <v>190</v>
      </c>
      <c r="GZ300" s="319" t="s">
        <v>190</v>
      </c>
      <c r="HA300" s="319" t="s">
        <v>428</v>
      </c>
      <c r="HB300" s="319" t="s">
        <v>190</v>
      </c>
      <c r="HC300" s="319" t="s">
        <v>190</v>
      </c>
      <c r="HD300" s="319" t="s">
        <v>190</v>
      </c>
      <c r="HE300" s="319" t="s">
        <v>190</v>
      </c>
      <c r="HF300" s="319" t="s">
        <v>190</v>
      </c>
      <c r="HG300" s="319" t="s">
        <v>190</v>
      </c>
      <c r="HH300" s="319" t="s">
        <v>190</v>
      </c>
      <c r="HI300" s="319" t="s">
        <v>190</v>
      </c>
      <c r="HJ300" s="319" t="s">
        <v>190</v>
      </c>
      <c r="HK300" s="319" t="s">
        <v>190</v>
      </c>
      <c r="HL300" s="319" t="s">
        <v>428</v>
      </c>
      <c r="HM300" s="319" t="s">
        <v>428</v>
      </c>
      <c r="HN300" s="319" t="s">
        <v>428</v>
      </c>
      <c r="HO300" s="319" t="s">
        <v>428</v>
      </c>
      <c r="HP300" s="319" t="s">
        <v>190</v>
      </c>
      <c r="HQ300" s="319" t="s">
        <v>190</v>
      </c>
      <c r="HR300" s="319" t="s">
        <v>190</v>
      </c>
      <c r="HS300" s="319" t="s">
        <v>190</v>
      </c>
      <c r="HT300" s="319" t="s">
        <v>190</v>
      </c>
      <c r="HU300" s="319" t="s">
        <v>190</v>
      </c>
      <c r="HV300" s="319" t="s">
        <v>190</v>
      </c>
      <c r="HW300" s="319" t="s">
        <v>190</v>
      </c>
      <c r="HX300" s="319" t="s">
        <v>190</v>
      </c>
      <c r="HY300" s="319" t="s">
        <v>190</v>
      </c>
      <c r="HZ300" s="319" t="s">
        <v>190</v>
      </c>
      <c r="IA300" s="319" t="s">
        <v>190</v>
      </c>
      <c r="IB300" s="319" t="s">
        <v>190</v>
      </c>
      <c r="IC300" s="319" t="s">
        <v>190</v>
      </c>
      <c r="ID300" s="319" t="s">
        <v>190</v>
      </c>
      <c r="IE300" s="319" t="s">
        <v>190</v>
      </c>
      <c r="IF300" s="319" t="s">
        <v>190</v>
      </c>
      <c r="IG300" s="319" t="s">
        <v>190</v>
      </c>
      <c r="IH300" s="319" t="s">
        <v>190</v>
      </c>
      <c r="II300" s="319" t="s">
        <v>190</v>
      </c>
      <c r="IJ300" s="319">
        <v>10006063</v>
      </c>
      <c r="IK300" s="321">
        <v>42437</v>
      </c>
      <c r="IL300" s="321">
        <v>42439</v>
      </c>
      <c r="IM300" s="321">
        <v>42471</v>
      </c>
      <c r="IN300" s="319">
        <v>2</v>
      </c>
      <c r="IO300" s="319" t="s">
        <v>173</v>
      </c>
      <c r="IP300" s="319" t="s">
        <v>173</v>
      </c>
      <c r="IQ300" s="321" t="s">
        <v>173</v>
      </c>
      <c r="IR300" s="320" t="s">
        <v>173</v>
      </c>
      <c r="IS300" s="322" t="s">
        <v>173</v>
      </c>
      <c r="IT300" s="319" t="s">
        <v>173</v>
      </c>
    </row>
    <row r="301" spans="1:254" s="271" customFormat="1" x14ac:dyDescent="0.25">
      <c r="A301" s="318" t="str">
        <f>HYPERLINK("http://www.ofsted.gov.uk/inspection-reports/find-inspection-report/provider/ELS/131138 ","Ofsted School Webpage")</f>
        <v>Ofsted School Webpage</v>
      </c>
      <c r="B301" s="319">
        <v>131138</v>
      </c>
      <c r="C301" s="319">
        <v>8886030</v>
      </c>
      <c r="D301" s="319" t="s">
        <v>1611</v>
      </c>
      <c r="E301" s="319" t="s">
        <v>168</v>
      </c>
      <c r="F301" s="319" t="s">
        <v>81</v>
      </c>
      <c r="G301" s="319" t="s">
        <v>81</v>
      </c>
      <c r="H301" s="319" t="s">
        <v>81</v>
      </c>
      <c r="I301" s="319" t="s">
        <v>78</v>
      </c>
      <c r="J301" s="319" t="s">
        <v>424</v>
      </c>
      <c r="K301" s="319" t="s">
        <v>431</v>
      </c>
      <c r="L301" s="319" t="s">
        <v>431</v>
      </c>
      <c r="M301" s="319" t="s">
        <v>469</v>
      </c>
      <c r="N301" s="319" t="s">
        <v>2996</v>
      </c>
      <c r="O301" s="319" t="s">
        <v>1612</v>
      </c>
      <c r="P301" s="319">
        <v>12</v>
      </c>
      <c r="Q301" s="319" t="s">
        <v>2776</v>
      </c>
      <c r="R301" s="320">
        <v>10012964</v>
      </c>
      <c r="S301" s="321">
        <v>42850</v>
      </c>
      <c r="T301" s="321">
        <v>42852</v>
      </c>
      <c r="U301" s="321">
        <v>42873</v>
      </c>
      <c r="V301" s="319" t="s">
        <v>425</v>
      </c>
      <c r="W301" s="319" t="s">
        <v>2767</v>
      </c>
      <c r="X301" s="319">
        <v>2</v>
      </c>
      <c r="Y301" s="319" t="s">
        <v>173</v>
      </c>
      <c r="Z301" s="319" t="s">
        <v>173</v>
      </c>
      <c r="AA301" s="319" t="s">
        <v>173</v>
      </c>
      <c r="AB301" s="319">
        <v>1</v>
      </c>
      <c r="AC301" s="319" t="s">
        <v>169</v>
      </c>
      <c r="AD301" s="319" t="s">
        <v>173</v>
      </c>
      <c r="AE301" s="319">
        <v>2</v>
      </c>
      <c r="AF301" s="319" t="s">
        <v>173</v>
      </c>
      <c r="AG301" s="319" t="s">
        <v>171</v>
      </c>
      <c r="AH301" s="319" t="s">
        <v>190</v>
      </c>
      <c r="AI301" s="319" t="s">
        <v>190</v>
      </c>
      <c r="AJ301" s="319" t="s">
        <v>190</v>
      </c>
      <c r="AK301" s="319" t="s">
        <v>190</v>
      </c>
      <c r="AL301" s="319" t="s">
        <v>190</v>
      </c>
      <c r="AM301" s="319" t="s">
        <v>190</v>
      </c>
      <c r="AN301" s="319" t="s">
        <v>190</v>
      </c>
      <c r="AO301" s="319" t="s">
        <v>190</v>
      </c>
      <c r="AP301" s="319" t="s">
        <v>190</v>
      </c>
      <c r="AQ301" s="319" t="s">
        <v>190</v>
      </c>
      <c r="AR301" s="319" t="s">
        <v>190</v>
      </c>
      <c r="AS301" s="319" t="s">
        <v>190</v>
      </c>
      <c r="AT301" s="319" t="s">
        <v>190</v>
      </c>
      <c r="AU301" s="319" t="s">
        <v>190</v>
      </c>
      <c r="AV301" s="319" t="s">
        <v>190</v>
      </c>
      <c r="AW301" s="319" t="s">
        <v>190</v>
      </c>
      <c r="AX301" s="319" t="s">
        <v>190</v>
      </c>
      <c r="AY301" s="319" t="s">
        <v>190</v>
      </c>
      <c r="AZ301" s="319" t="s">
        <v>190</v>
      </c>
      <c r="BA301" s="319" t="s">
        <v>190</v>
      </c>
      <c r="BB301" s="319" t="s">
        <v>190</v>
      </c>
      <c r="BC301" s="319" t="s">
        <v>190</v>
      </c>
      <c r="BD301" s="319" t="s">
        <v>190</v>
      </c>
      <c r="BE301" s="319" t="s">
        <v>190</v>
      </c>
      <c r="BF301" s="319" t="s">
        <v>190</v>
      </c>
      <c r="BG301" s="319" t="s">
        <v>190</v>
      </c>
      <c r="BH301" s="319" t="s">
        <v>190</v>
      </c>
      <c r="BI301" s="319" t="s">
        <v>190</v>
      </c>
      <c r="BJ301" s="319" t="s">
        <v>190</v>
      </c>
      <c r="BK301" s="319" t="s">
        <v>190</v>
      </c>
      <c r="BL301" s="319" t="s">
        <v>190</v>
      </c>
      <c r="BM301" s="319" t="s">
        <v>190</v>
      </c>
      <c r="BN301" s="319" t="s">
        <v>190</v>
      </c>
      <c r="BO301" s="319" t="s">
        <v>190</v>
      </c>
      <c r="BP301" s="319" t="s">
        <v>190</v>
      </c>
      <c r="BQ301" s="319" t="s">
        <v>190</v>
      </c>
      <c r="BR301" s="319" t="s">
        <v>190</v>
      </c>
      <c r="BS301" s="319" t="s">
        <v>190</v>
      </c>
      <c r="BT301" s="319" t="s">
        <v>190</v>
      </c>
      <c r="BU301" s="319" t="s">
        <v>190</v>
      </c>
      <c r="BV301" s="319" t="s">
        <v>190</v>
      </c>
      <c r="BW301" s="319" t="s">
        <v>190</v>
      </c>
      <c r="BX301" s="319" t="s">
        <v>190</v>
      </c>
      <c r="BY301" s="319" t="s">
        <v>190</v>
      </c>
      <c r="BZ301" s="319" t="s">
        <v>190</v>
      </c>
      <c r="CA301" s="319" t="s">
        <v>190</v>
      </c>
      <c r="CB301" s="319" t="s">
        <v>190</v>
      </c>
      <c r="CC301" s="319" t="s">
        <v>190</v>
      </c>
      <c r="CD301" s="319" t="s">
        <v>190</v>
      </c>
      <c r="CE301" s="319" t="s">
        <v>190</v>
      </c>
      <c r="CF301" s="319" t="s">
        <v>190</v>
      </c>
      <c r="CG301" s="319" t="s">
        <v>190</v>
      </c>
      <c r="CH301" s="319" t="s">
        <v>190</v>
      </c>
      <c r="CI301" s="319" t="s">
        <v>190</v>
      </c>
      <c r="CJ301" s="319" t="s">
        <v>190</v>
      </c>
      <c r="CK301" s="319" t="s">
        <v>190</v>
      </c>
      <c r="CL301" s="319" t="s">
        <v>190</v>
      </c>
      <c r="CM301" s="319" t="s">
        <v>190</v>
      </c>
      <c r="CN301" s="319" t="s">
        <v>190</v>
      </c>
      <c r="CO301" s="319" t="s">
        <v>429</v>
      </c>
      <c r="CP301" s="319" t="s">
        <v>429</v>
      </c>
      <c r="CQ301" s="319" t="s">
        <v>190</v>
      </c>
      <c r="CR301" s="319" t="s">
        <v>190</v>
      </c>
      <c r="CS301" s="319" t="s">
        <v>190</v>
      </c>
      <c r="CT301" s="319" t="s">
        <v>190</v>
      </c>
      <c r="CU301" s="319" t="s">
        <v>190</v>
      </c>
      <c r="CV301" s="319" t="s">
        <v>190</v>
      </c>
      <c r="CW301" s="319" t="s">
        <v>190</v>
      </c>
      <c r="CX301" s="319" t="s">
        <v>190</v>
      </c>
      <c r="CY301" s="319" t="s">
        <v>190</v>
      </c>
      <c r="CZ301" s="319" t="s">
        <v>190</v>
      </c>
      <c r="DA301" s="319" t="s">
        <v>190</v>
      </c>
      <c r="DB301" s="319" t="s">
        <v>190</v>
      </c>
      <c r="DC301" s="319" t="s">
        <v>190</v>
      </c>
      <c r="DD301" s="319" t="s">
        <v>190</v>
      </c>
      <c r="DE301" s="319" t="s">
        <v>190</v>
      </c>
      <c r="DF301" s="319" t="s">
        <v>190</v>
      </c>
      <c r="DG301" s="319" t="s">
        <v>190</v>
      </c>
      <c r="DH301" s="319" t="s">
        <v>190</v>
      </c>
      <c r="DI301" s="319" t="s">
        <v>190</v>
      </c>
      <c r="DJ301" s="319" t="s">
        <v>190</v>
      </c>
      <c r="DK301" s="319" t="s">
        <v>190</v>
      </c>
      <c r="DL301" s="319" t="s">
        <v>190</v>
      </c>
      <c r="DM301" s="319" t="s">
        <v>190</v>
      </c>
      <c r="DN301" s="319" t="s">
        <v>429</v>
      </c>
      <c r="DO301" s="319" t="s">
        <v>429</v>
      </c>
      <c r="DP301" s="319" t="s">
        <v>190</v>
      </c>
      <c r="DQ301" s="319" t="s">
        <v>190</v>
      </c>
      <c r="DR301" s="319" t="s">
        <v>190</v>
      </c>
      <c r="DS301" s="319" t="s">
        <v>190</v>
      </c>
      <c r="DT301" s="319" t="s">
        <v>190</v>
      </c>
      <c r="DU301" s="319" t="s">
        <v>190</v>
      </c>
      <c r="DV301" s="319" t="s">
        <v>173</v>
      </c>
      <c r="DW301" s="319" t="s">
        <v>190</v>
      </c>
      <c r="DX301" s="319" t="s">
        <v>190</v>
      </c>
      <c r="DY301" s="319" t="s">
        <v>190</v>
      </c>
      <c r="DZ301" s="319" t="s">
        <v>190</v>
      </c>
      <c r="EA301" s="319" t="s">
        <v>190</v>
      </c>
      <c r="EB301" s="319" t="s">
        <v>190</v>
      </c>
      <c r="EC301" s="319" t="s">
        <v>429</v>
      </c>
      <c r="ED301" s="319" t="s">
        <v>429</v>
      </c>
      <c r="EE301" s="319" t="s">
        <v>190</v>
      </c>
      <c r="EF301" s="319" t="s">
        <v>190</v>
      </c>
      <c r="EG301" s="319" t="s">
        <v>190</v>
      </c>
      <c r="EH301" s="319" t="s">
        <v>190</v>
      </c>
      <c r="EI301" s="319" t="s">
        <v>190</v>
      </c>
      <c r="EJ301" s="319" t="s">
        <v>190</v>
      </c>
      <c r="EK301" s="319" t="s">
        <v>190</v>
      </c>
      <c r="EL301" s="319" t="s">
        <v>190</v>
      </c>
      <c r="EM301" s="319" t="s">
        <v>190</v>
      </c>
      <c r="EN301" s="319" t="s">
        <v>190</v>
      </c>
      <c r="EO301" s="319" t="s">
        <v>190</v>
      </c>
      <c r="EP301" s="319" t="s">
        <v>190</v>
      </c>
      <c r="EQ301" s="319" t="s">
        <v>190</v>
      </c>
      <c r="ER301" s="319" t="s">
        <v>190</v>
      </c>
      <c r="ES301" s="319" t="s">
        <v>190</v>
      </c>
      <c r="ET301" s="319" t="s">
        <v>190</v>
      </c>
      <c r="EU301" s="319" t="s">
        <v>190</v>
      </c>
      <c r="EV301" s="319" t="s">
        <v>190</v>
      </c>
      <c r="EW301" s="319" t="s">
        <v>190</v>
      </c>
      <c r="EX301" s="319" t="s">
        <v>190</v>
      </c>
      <c r="EY301" s="319" t="s">
        <v>190</v>
      </c>
      <c r="EZ301" s="319" t="s">
        <v>190</v>
      </c>
      <c r="FA301" s="319" t="s">
        <v>190</v>
      </c>
      <c r="FB301" s="319" t="s">
        <v>190</v>
      </c>
      <c r="FC301" s="319" t="s">
        <v>190</v>
      </c>
      <c r="FD301" s="319" t="s">
        <v>190</v>
      </c>
      <c r="FE301" s="319" t="s">
        <v>190</v>
      </c>
      <c r="FF301" s="319" t="s">
        <v>190</v>
      </c>
      <c r="FG301" s="319" t="s">
        <v>190</v>
      </c>
      <c r="FH301" s="319" t="s">
        <v>190</v>
      </c>
      <c r="FI301" s="319" t="s">
        <v>190</v>
      </c>
      <c r="FJ301" s="319" t="s">
        <v>190</v>
      </c>
      <c r="FK301" s="319" t="s">
        <v>190</v>
      </c>
      <c r="FL301" s="319" t="s">
        <v>190</v>
      </c>
      <c r="FM301" s="319" t="s">
        <v>190</v>
      </c>
      <c r="FN301" s="319" t="s">
        <v>190</v>
      </c>
      <c r="FO301" s="319" t="s">
        <v>190</v>
      </c>
      <c r="FP301" s="319" t="s">
        <v>190</v>
      </c>
      <c r="FQ301" s="319" t="s">
        <v>190</v>
      </c>
      <c r="FR301" s="319" t="s">
        <v>190</v>
      </c>
      <c r="FS301" s="319" t="s">
        <v>190</v>
      </c>
      <c r="FT301" s="319" t="s">
        <v>190</v>
      </c>
      <c r="FU301" s="319" t="s">
        <v>190</v>
      </c>
      <c r="FV301" s="319" t="s">
        <v>190</v>
      </c>
      <c r="FW301" s="319" t="s">
        <v>190</v>
      </c>
      <c r="FX301" s="319" t="s">
        <v>190</v>
      </c>
      <c r="FY301" s="319" t="s">
        <v>190</v>
      </c>
      <c r="FZ301" s="319" t="s">
        <v>190</v>
      </c>
      <c r="GA301" s="319" t="s">
        <v>190</v>
      </c>
      <c r="GB301" s="319" t="s">
        <v>190</v>
      </c>
      <c r="GC301" s="319" t="s">
        <v>190</v>
      </c>
      <c r="GD301" s="319" t="s">
        <v>190</v>
      </c>
      <c r="GE301" s="319" t="s">
        <v>190</v>
      </c>
      <c r="GF301" s="319" t="s">
        <v>190</v>
      </c>
      <c r="GG301" s="319" t="s">
        <v>190</v>
      </c>
      <c r="GH301" s="319" t="s">
        <v>190</v>
      </c>
      <c r="GI301" s="319" t="s">
        <v>190</v>
      </c>
      <c r="GJ301" s="319" t="s">
        <v>190</v>
      </c>
      <c r="GK301" s="319" t="s">
        <v>429</v>
      </c>
      <c r="GL301" s="319" t="s">
        <v>190</v>
      </c>
      <c r="GM301" s="319" t="s">
        <v>190</v>
      </c>
      <c r="GN301" s="319" t="s">
        <v>190</v>
      </c>
      <c r="GO301" s="319" t="s">
        <v>190</v>
      </c>
      <c r="GP301" s="319" t="s">
        <v>190</v>
      </c>
      <c r="GQ301" s="319" t="s">
        <v>429</v>
      </c>
      <c r="GR301" s="319" t="s">
        <v>190</v>
      </c>
      <c r="GS301" s="319" t="s">
        <v>190</v>
      </c>
      <c r="GT301" s="319" t="s">
        <v>190</v>
      </c>
      <c r="GU301" s="319" t="s">
        <v>190</v>
      </c>
      <c r="GV301" s="319" t="s">
        <v>190</v>
      </c>
      <c r="GW301" s="319" t="s">
        <v>190</v>
      </c>
      <c r="GX301" s="319" t="s">
        <v>190</v>
      </c>
      <c r="GY301" s="319" t="s">
        <v>190</v>
      </c>
      <c r="GZ301" s="319" t="s">
        <v>190</v>
      </c>
      <c r="HA301" s="319" t="s">
        <v>190</v>
      </c>
      <c r="HB301" s="319" t="s">
        <v>190</v>
      </c>
      <c r="HC301" s="319" t="s">
        <v>190</v>
      </c>
      <c r="HD301" s="319" t="s">
        <v>190</v>
      </c>
      <c r="HE301" s="319" t="s">
        <v>190</v>
      </c>
      <c r="HF301" s="319" t="s">
        <v>190</v>
      </c>
      <c r="HG301" s="319" t="s">
        <v>190</v>
      </c>
      <c r="HH301" s="319" t="s">
        <v>190</v>
      </c>
      <c r="HI301" s="319" t="s">
        <v>190</v>
      </c>
      <c r="HJ301" s="319" t="s">
        <v>190</v>
      </c>
      <c r="HK301" s="319" t="s">
        <v>190</v>
      </c>
      <c r="HL301" s="319" t="s">
        <v>190</v>
      </c>
      <c r="HM301" s="319" t="s">
        <v>190</v>
      </c>
      <c r="HN301" s="319" t="s">
        <v>190</v>
      </c>
      <c r="HO301" s="319" t="s">
        <v>190</v>
      </c>
      <c r="HP301" s="319" t="s">
        <v>190</v>
      </c>
      <c r="HQ301" s="319" t="s">
        <v>190</v>
      </c>
      <c r="HR301" s="319" t="s">
        <v>190</v>
      </c>
      <c r="HS301" s="319" t="s">
        <v>190</v>
      </c>
      <c r="HT301" s="319" t="s">
        <v>190</v>
      </c>
      <c r="HU301" s="319" t="s">
        <v>190</v>
      </c>
      <c r="HV301" s="319" t="s">
        <v>190</v>
      </c>
      <c r="HW301" s="319" t="s">
        <v>190</v>
      </c>
      <c r="HX301" s="319" t="s">
        <v>190</v>
      </c>
      <c r="HY301" s="319" t="s">
        <v>190</v>
      </c>
      <c r="HZ301" s="319" t="s">
        <v>190</v>
      </c>
      <c r="IA301" s="319" t="s">
        <v>190</v>
      </c>
      <c r="IB301" s="319" t="s">
        <v>190</v>
      </c>
      <c r="IC301" s="319" t="s">
        <v>190</v>
      </c>
      <c r="ID301" s="319" t="s">
        <v>190</v>
      </c>
      <c r="IE301" s="319" t="s">
        <v>190</v>
      </c>
      <c r="IF301" s="319" t="s">
        <v>190</v>
      </c>
      <c r="IG301" s="319" t="s">
        <v>190</v>
      </c>
      <c r="IH301" s="319" t="s">
        <v>190</v>
      </c>
      <c r="II301" s="319" t="s">
        <v>190</v>
      </c>
      <c r="IJ301" s="319" t="s">
        <v>3089</v>
      </c>
      <c r="IK301" s="321">
        <v>41395</v>
      </c>
      <c r="IL301" s="321">
        <v>41396</v>
      </c>
      <c r="IM301" s="321">
        <v>41418</v>
      </c>
      <c r="IN301" s="319">
        <v>1</v>
      </c>
      <c r="IO301" s="319" t="s">
        <v>173</v>
      </c>
      <c r="IP301" s="319" t="s">
        <v>173</v>
      </c>
      <c r="IQ301" s="321" t="s">
        <v>173</v>
      </c>
      <c r="IR301" s="320" t="s">
        <v>173</v>
      </c>
      <c r="IS301" s="322" t="s">
        <v>173</v>
      </c>
      <c r="IT301" s="319" t="s">
        <v>173</v>
      </c>
    </row>
    <row r="302" spans="1:254" s="271" customFormat="1" x14ac:dyDescent="0.25">
      <c r="A302" s="318" t="str">
        <f>HYPERLINK("http://www.ofsted.gov.uk/inspection-reports/find-inspection-report/provider/ELS/131139 ","Ofsted School Webpage")</f>
        <v>Ofsted School Webpage</v>
      </c>
      <c r="B302" s="319">
        <v>131139</v>
      </c>
      <c r="C302" s="319">
        <v>9386255</v>
      </c>
      <c r="D302" s="319" t="s">
        <v>1613</v>
      </c>
      <c r="E302" s="319" t="s">
        <v>168</v>
      </c>
      <c r="F302" s="319" t="s">
        <v>81</v>
      </c>
      <c r="G302" s="319" t="s">
        <v>81</v>
      </c>
      <c r="H302" s="319" t="s">
        <v>81</v>
      </c>
      <c r="I302" s="319" t="s">
        <v>78</v>
      </c>
      <c r="J302" s="319" t="s">
        <v>424</v>
      </c>
      <c r="K302" s="319" t="s">
        <v>514</v>
      </c>
      <c r="L302" s="319" t="s">
        <v>514</v>
      </c>
      <c r="M302" s="319" t="s">
        <v>737</v>
      </c>
      <c r="N302" s="319" t="s">
        <v>3051</v>
      </c>
      <c r="O302" s="319" t="s">
        <v>1614</v>
      </c>
      <c r="P302" s="319">
        <v>6</v>
      </c>
      <c r="Q302" s="319" t="s">
        <v>429</v>
      </c>
      <c r="R302" s="320">
        <v>10006053</v>
      </c>
      <c r="S302" s="321">
        <v>42752</v>
      </c>
      <c r="T302" s="321">
        <v>42754</v>
      </c>
      <c r="U302" s="321">
        <v>42775</v>
      </c>
      <c r="V302" s="319" t="s">
        <v>425</v>
      </c>
      <c r="W302" s="319" t="s">
        <v>2767</v>
      </c>
      <c r="X302" s="319">
        <v>2</v>
      </c>
      <c r="Y302" s="319" t="s">
        <v>173</v>
      </c>
      <c r="Z302" s="319" t="s">
        <v>173</v>
      </c>
      <c r="AA302" s="319" t="s">
        <v>173</v>
      </c>
      <c r="AB302" s="319">
        <v>2</v>
      </c>
      <c r="AC302" s="319" t="s">
        <v>169</v>
      </c>
      <c r="AD302" s="319" t="s">
        <v>173</v>
      </c>
      <c r="AE302" s="319" t="s">
        <v>173</v>
      </c>
      <c r="AF302" s="319" t="s">
        <v>173</v>
      </c>
      <c r="AG302" s="319" t="s">
        <v>171</v>
      </c>
      <c r="AH302" s="319" t="s">
        <v>190</v>
      </c>
      <c r="AI302" s="319" t="s">
        <v>190</v>
      </c>
      <c r="AJ302" s="319" t="s">
        <v>190</v>
      </c>
      <c r="AK302" s="319" t="s">
        <v>190</v>
      </c>
      <c r="AL302" s="319" t="s">
        <v>190</v>
      </c>
      <c r="AM302" s="319" t="s">
        <v>190</v>
      </c>
      <c r="AN302" s="319" t="s">
        <v>190</v>
      </c>
      <c r="AO302" s="319" t="s">
        <v>190</v>
      </c>
      <c r="AP302" s="319" t="s">
        <v>190</v>
      </c>
      <c r="AQ302" s="319" t="s">
        <v>190</v>
      </c>
      <c r="AR302" s="319" t="s">
        <v>190</v>
      </c>
      <c r="AS302" s="319" t="s">
        <v>190</v>
      </c>
      <c r="AT302" s="319" t="s">
        <v>190</v>
      </c>
      <c r="AU302" s="319" t="s">
        <v>190</v>
      </c>
      <c r="AV302" s="319" t="s">
        <v>190</v>
      </c>
      <c r="AW302" s="319" t="s">
        <v>190</v>
      </c>
      <c r="AX302" s="319" t="s">
        <v>190</v>
      </c>
      <c r="AY302" s="319" t="s">
        <v>190</v>
      </c>
      <c r="AZ302" s="319" t="s">
        <v>190</v>
      </c>
      <c r="BA302" s="319" t="s">
        <v>190</v>
      </c>
      <c r="BB302" s="319" t="s">
        <v>190</v>
      </c>
      <c r="BC302" s="319" t="s">
        <v>190</v>
      </c>
      <c r="BD302" s="319" t="s">
        <v>190</v>
      </c>
      <c r="BE302" s="319" t="s">
        <v>190</v>
      </c>
      <c r="BF302" s="319" t="s">
        <v>429</v>
      </c>
      <c r="BG302" s="319" t="s">
        <v>429</v>
      </c>
      <c r="BH302" s="319" t="s">
        <v>190</v>
      </c>
      <c r="BI302" s="319" t="s">
        <v>190</v>
      </c>
      <c r="BJ302" s="319" t="s">
        <v>190</v>
      </c>
      <c r="BK302" s="319" t="s">
        <v>190</v>
      </c>
      <c r="BL302" s="319" t="s">
        <v>190</v>
      </c>
      <c r="BM302" s="319" t="s">
        <v>190</v>
      </c>
      <c r="BN302" s="319" t="s">
        <v>190</v>
      </c>
      <c r="BO302" s="319" t="s">
        <v>190</v>
      </c>
      <c r="BP302" s="319" t="s">
        <v>190</v>
      </c>
      <c r="BQ302" s="319" t="s">
        <v>190</v>
      </c>
      <c r="BR302" s="319" t="s">
        <v>190</v>
      </c>
      <c r="BS302" s="319" t="s">
        <v>190</v>
      </c>
      <c r="BT302" s="319" t="s">
        <v>190</v>
      </c>
      <c r="BU302" s="319" t="s">
        <v>190</v>
      </c>
      <c r="BV302" s="319" t="s">
        <v>190</v>
      </c>
      <c r="BW302" s="319" t="s">
        <v>190</v>
      </c>
      <c r="BX302" s="319" t="s">
        <v>190</v>
      </c>
      <c r="BY302" s="319" t="s">
        <v>190</v>
      </c>
      <c r="BZ302" s="319" t="s">
        <v>190</v>
      </c>
      <c r="CA302" s="319" t="s">
        <v>190</v>
      </c>
      <c r="CB302" s="319" t="s">
        <v>190</v>
      </c>
      <c r="CC302" s="319" t="s">
        <v>190</v>
      </c>
      <c r="CD302" s="319" t="s">
        <v>190</v>
      </c>
      <c r="CE302" s="319" t="s">
        <v>190</v>
      </c>
      <c r="CF302" s="319" t="s">
        <v>190</v>
      </c>
      <c r="CG302" s="319" t="s">
        <v>190</v>
      </c>
      <c r="CH302" s="319" t="s">
        <v>190</v>
      </c>
      <c r="CI302" s="319" t="s">
        <v>190</v>
      </c>
      <c r="CJ302" s="319" t="s">
        <v>190</v>
      </c>
      <c r="CK302" s="319" t="s">
        <v>190</v>
      </c>
      <c r="CL302" s="319" t="s">
        <v>190</v>
      </c>
      <c r="CM302" s="319" t="s">
        <v>190</v>
      </c>
      <c r="CN302" s="319" t="s">
        <v>190</v>
      </c>
      <c r="CO302" s="319" t="s">
        <v>190</v>
      </c>
      <c r="CP302" s="319" t="s">
        <v>190</v>
      </c>
      <c r="CQ302" s="319" t="s">
        <v>190</v>
      </c>
      <c r="CR302" s="319" t="s">
        <v>190</v>
      </c>
      <c r="CS302" s="319" t="s">
        <v>190</v>
      </c>
      <c r="CT302" s="319" t="s">
        <v>190</v>
      </c>
      <c r="CU302" s="319" t="s">
        <v>190</v>
      </c>
      <c r="CV302" s="319" t="s">
        <v>190</v>
      </c>
      <c r="CW302" s="319" t="s">
        <v>190</v>
      </c>
      <c r="CX302" s="319" t="s">
        <v>190</v>
      </c>
      <c r="CY302" s="319" t="s">
        <v>190</v>
      </c>
      <c r="CZ302" s="319" t="s">
        <v>190</v>
      </c>
      <c r="DA302" s="319" t="s">
        <v>190</v>
      </c>
      <c r="DB302" s="319" t="s">
        <v>190</v>
      </c>
      <c r="DC302" s="319" t="s">
        <v>190</v>
      </c>
      <c r="DD302" s="319" t="s">
        <v>190</v>
      </c>
      <c r="DE302" s="319" t="s">
        <v>190</v>
      </c>
      <c r="DF302" s="319" t="s">
        <v>190</v>
      </c>
      <c r="DG302" s="319" t="s">
        <v>190</v>
      </c>
      <c r="DH302" s="319" t="s">
        <v>190</v>
      </c>
      <c r="DI302" s="319" t="s">
        <v>190</v>
      </c>
      <c r="DJ302" s="319" t="s">
        <v>190</v>
      </c>
      <c r="DK302" s="319" t="s">
        <v>190</v>
      </c>
      <c r="DL302" s="319" t="s">
        <v>190</v>
      </c>
      <c r="DM302" s="319" t="s">
        <v>190</v>
      </c>
      <c r="DN302" s="319" t="s">
        <v>190</v>
      </c>
      <c r="DO302" s="319" t="s">
        <v>190</v>
      </c>
      <c r="DP302" s="319" t="s">
        <v>190</v>
      </c>
      <c r="DQ302" s="319" t="s">
        <v>190</v>
      </c>
      <c r="DR302" s="319" t="s">
        <v>190</v>
      </c>
      <c r="DS302" s="319" t="s">
        <v>190</v>
      </c>
      <c r="DT302" s="319" t="s">
        <v>190</v>
      </c>
      <c r="DU302" s="319" t="s">
        <v>190</v>
      </c>
      <c r="DV302" s="319" t="s">
        <v>173</v>
      </c>
      <c r="DW302" s="319" t="s">
        <v>190</v>
      </c>
      <c r="DX302" s="319" t="s">
        <v>190</v>
      </c>
      <c r="DY302" s="319" t="s">
        <v>190</v>
      </c>
      <c r="DZ302" s="319" t="s">
        <v>190</v>
      </c>
      <c r="EA302" s="319" t="s">
        <v>190</v>
      </c>
      <c r="EB302" s="319" t="s">
        <v>190</v>
      </c>
      <c r="EC302" s="319" t="s">
        <v>190</v>
      </c>
      <c r="ED302" s="319" t="s">
        <v>190</v>
      </c>
      <c r="EE302" s="319" t="s">
        <v>190</v>
      </c>
      <c r="EF302" s="319" t="s">
        <v>190</v>
      </c>
      <c r="EG302" s="319" t="s">
        <v>190</v>
      </c>
      <c r="EH302" s="319" t="s">
        <v>190</v>
      </c>
      <c r="EI302" s="319" t="s">
        <v>190</v>
      </c>
      <c r="EJ302" s="319" t="s">
        <v>190</v>
      </c>
      <c r="EK302" s="319" t="s">
        <v>190</v>
      </c>
      <c r="EL302" s="319" t="s">
        <v>190</v>
      </c>
      <c r="EM302" s="319" t="s">
        <v>190</v>
      </c>
      <c r="EN302" s="319" t="s">
        <v>190</v>
      </c>
      <c r="EO302" s="319" t="s">
        <v>190</v>
      </c>
      <c r="EP302" s="319" t="s">
        <v>190</v>
      </c>
      <c r="EQ302" s="319" t="s">
        <v>190</v>
      </c>
      <c r="ER302" s="319" t="s">
        <v>190</v>
      </c>
      <c r="ES302" s="319" t="s">
        <v>190</v>
      </c>
      <c r="ET302" s="319" t="s">
        <v>190</v>
      </c>
      <c r="EU302" s="319" t="s">
        <v>190</v>
      </c>
      <c r="EV302" s="319" t="s">
        <v>190</v>
      </c>
      <c r="EW302" s="319" t="s">
        <v>190</v>
      </c>
      <c r="EX302" s="319" t="s">
        <v>190</v>
      </c>
      <c r="EY302" s="319" t="s">
        <v>190</v>
      </c>
      <c r="EZ302" s="319" t="s">
        <v>190</v>
      </c>
      <c r="FA302" s="319" t="s">
        <v>190</v>
      </c>
      <c r="FB302" s="319" t="s">
        <v>190</v>
      </c>
      <c r="FC302" s="319" t="s">
        <v>190</v>
      </c>
      <c r="FD302" s="319" t="s">
        <v>190</v>
      </c>
      <c r="FE302" s="319" t="s">
        <v>190</v>
      </c>
      <c r="FF302" s="319" t="s">
        <v>190</v>
      </c>
      <c r="FG302" s="319" t="s">
        <v>190</v>
      </c>
      <c r="FH302" s="319" t="s">
        <v>190</v>
      </c>
      <c r="FI302" s="319" t="s">
        <v>190</v>
      </c>
      <c r="FJ302" s="319" t="s">
        <v>190</v>
      </c>
      <c r="FK302" s="319" t="s">
        <v>190</v>
      </c>
      <c r="FL302" s="319" t="s">
        <v>190</v>
      </c>
      <c r="FM302" s="319" t="s">
        <v>190</v>
      </c>
      <c r="FN302" s="319" t="s">
        <v>190</v>
      </c>
      <c r="FO302" s="319" t="s">
        <v>190</v>
      </c>
      <c r="FP302" s="319" t="s">
        <v>190</v>
      </c>
      <c r="FQ302" s="319" t="s">
        <v>190</v>
      </c>
      <c r="FR302" s="319" t="s">
        <v>190</v>
      </c>
      <c r="FS302" s="319" t="s">
        <v>429</v>
      </c>
      <c r="FT302" s="319" t="s">
        <v>190</v>
      </c>
      <c r="FU302" s="319" t="s">
        <v>190</v>
      </c>
      <c r="FV302" s="319" t="s">
        <v>190</v>
      </c>
      <c r="FW302" s="319" t="s">
        <v>190</v>
      </c>
      <c r="FX302" s="319" t="s">
        <v>190</v>
      </c>
      <c r="FY302" s="319" t="s">
        <v>190</v>
      </c>
      <c r="FZ302" s="319" t="s">
        <v>190</v>
      </c>
      <c r="GA302" s="319" t="s">
        <v>190</v>
      </c>
      <c r="GB302" s="319" t="s">
        <v>190</v>
      </c>
      <c r="GC302" s="319" t="s">
        <v>190</v>
      </c>
      <c r="GD302" s="319" t="s">
        <v>190</v>
      </c>
      <c r="GE302" s="319" t="s">
        <v>190</v>
      </c>
      <c r="GF302" s="319" t="s">
        <v>190</v>
      </c>
      <c r="GG302" s="319" t="s">
        <v>190</v>
      </c>
      <c r="GH302" s="319" t="s">
        <v>190</v>
      </c>
      <c r="GI302" s="319" t="s">
        <v>190</v>
      </c>
      <c r="GJ302" s="319" t="s">
        <v>190</v>
      </c>
      <c r="GK302" s="319" t="s">
        <v>190</v>
      </c>
      <c r="GL302" s="319" t="s">
        <v>190</v>
      </c>
      <c r="GM302" s="319" t="s">
        <v>190</v>
      </c>
      <c r="GN302" s="319" t="s">
        <v>190</v>
      </c>
      <c r="GO302" s="319" t="s">
        <v>190</v>
      </c>
      <c r="GP302" s="319" t="s">
        <v>190</v>
      </c>
      <c r="GQ302" s="319" t="s">
        <v>190</v>
      </c>
      <c r="GR302" s="319" t="s">
        <v>190</v>
      </c>
      <c r="GS302" s="319" t="s">
        <v>190</v>
      </c>
      <c r="GT302" s="319" t="s">
        <v>190</v>
      </c>
      <c r="GU302" s="319" t="s">
        <v>190</v>
      </c>
      <c r="GV302" s="319" t="s">
        <v>190</v>
      </c>
      <c r="GW302" s="319" t="s">
        <v>190</v>
      </c>
      <c r="GX302" s="319" t="s">
        <v>190</v>
      </c>
      <c r="GY302" s="319" t="s">
        <v>190</v>
      </c>
      <c r="GZ302" s="319" t="s">
        <v>429</v>
      </c>
      <c r="HA302" s="319" t="s">
        <v>190</v>
      </c>
      <c r="HB302" s="319" t="s">
        <v>190</v>
      </c>
      <c r="HC302" s="319" t="s">
        <v>190</v>
      </c>
      <c r="HD302" s="319" t="s">
        <v>190</v>
      </c>
      <c r="HE302" s="319" t="s">
        <v>190</v>
      </c>
      <c r="HF302" s="319" t="s">
        <v>190</v>
      </c>
      <c r="HG302" s="319" t="s">
        <v>190</v>
      </c>
      <c r="HH302" s="319" t="s">
        <v>190</v>
      </c>
      <c r="HI302" s="319" t="s">
        <v>190</v>
      </c>
      <c r="HJ302" s="319" t="s">
        <v>190</v>
      </c>
      <c r="HK302" s="319" t="s">
        <v>190</v>
      </c>
      <c r="HL302" s="319" t="s">
        <v>190</v>
      </c>
      <c r="HM302" s="319" t="s">
        <v>429</v>
      </c>
      <c r="HN302" s="319" t="s">
        <v>429</v>
      </c>
      <c r="HO302" s="319" t="s">
        <v>429</v>
      </c>
      <c r="HP302" s="319" t="s">
        <v>190</v>
      </c>
      <c r="HQ302" s="319" t="s">
        <v>190</v>
      </c>
      <c r="HR302" s="319" t="s">
        <v>190</v>
      </c>
      <c r="HS302" s="319" t="s">
        <v>190</v>
      </c>
      <c r="HT302" s="319" t="s">
        <v>190</v>
      </c>
      <c r="HU302" s="319" t="s">
        <v>190</v>
      </c>
      <c r="HV302" s="319" t="s">
        <v>190</v>
      </c>
      <c r="HW302" s="319" t="s">
        <v>190</v>
      </c>
      <c r="HX302" s="319" t="s">
        <v>190</v>
      </c>
      <c r="HY302" s="319" t="s">
        <v>190</v>
      </c>
      <c r="HZ302" s="319" t="s">
        <v>190</v>
      </c>
      <c r="IA302" s="319" t="s">
        <v>190</v>
      </c>
      <c r="IB302" s="319" t="s">
        <v>190</v>
      </c>
      <c r="IC302" s="319" t="s">
        <v>190</v>
      </c>
      <c r="ID302" s="319" t="s">
        <v>190</v>
      </c>
      <c r="IE302" s="319" t="s">
        <v>190</v>
      </c>
      <c r="IF302" s="319" t="s">
        <v>190</v>
      </c>
      <c r="IG302" s="319" t="s">
        <v>190</v>
      </c>
      <c r="IH302" s="319" t="s">
        <v>190</v>
      </c>
      <c r="II302" s="319" t="s">
        <v>190</v>
      </c>
      <c r="IJ302" s="319" t="s">
        <v>3090</v>
      </c>
      <c r="IK302" s="321">
        <v>41241</v>
      </c>
      <c r="IL302" s="321">
        <v>41242</v>
      </c>
      <c r="IM302" s="321">
        <v>41263</v>
      </c>
      <c r="IN302" s="319">
        <v>2</v>
      </c>
      <c r="IO302" s="319" t="s">
        <v>173</v>
      </c>
      <c r="IP302" s="319" t="s">
        <v>173</v>
      </c>
      <c r="IQ302" s="321" t="s">
        <v>173</v>
      </c>
      <c r="IR302" s="320" t="s">
        <v>173</v>
      </c>
      <c r="IS302" s="322" t="s">
        <v>173</v>
      </c>
      <c r="IT302" s="319" t="s">
        <v>173</v>
      </c>
    </row>
    <row r="303" spans="1:254" s="271" customFormat="1" x14ac:dyDescent="0.25">
      <c r="A303" s="318" t="str">
        <f>HYPERLINK("http://www.ofsted.gov.uk/inspection-reports/find-inspection-report/provider/ELS/131158 ","Ofsted School Webpage")</f>
        <v>Ofsted School Webpage</v>
      </c>
      <c r="B303" s="319">
        <v>131158</v>
      </c>
      <c r="C303" s="319">
        <v>3816012</v>
      </c>
      <c r="D303" s="319" t="s">
        <v>1615</v>
      </c>
      <c r="E303" s="319" t="s">
        <v>167</v>
      </c>
      <c r="F303" s="319" t="s">
        <v>81</v>
      </c>
      <c r="G303" s="319" t="s">
        <v>81</v>
      </c>
      <c r="H303" s="319" t="s">
        <v>81</v>
      </c>
      <c r="I303" s="319" t="s">
        <v>78</v>
      </c>
      <c r="J303" s="319" t="s">
        <v>424</v>
      </c>
      <c r="K303" s="319" t="s">
        <v>458</v>
      </c>
      <c r="L303" s="319" t="s">
        <v>459</v>
      </c>
      <c r="M303" s="319" t="s">
        <v>1616</v>
      </c>
      <c r="N303" s="319" t="s">
        <v>3091</v>
      </c>
      <c r="O303" s="319" t="s">
        <v>1617</v>
      </c>
      <c r="P303" s="319">
        <v>125</v>
      </c>
      <c r="Q303" s="319" t="s">
        <v>2766</v>
      </c>
      <c r="R303" s="320">
        <v>10025952</v>
      </c>
      <c r="S303" s="321">
        <v>42815</v>
      </c>
      <c r="T303" s="321">
        <v>42817</v>
      </c>
      <c r="U303" s="321">
        <v>42858</v>
      </c>
      <c r="V303" s="319" t="s">
        <v>425</v>
      </c>
      <c r="W303" s="319" t="s">
        <v>2767</v>
      </c>
      <c r="X303" s="319">
        <v>1</v>
      </c>
      <c r="Y303" s="319" t="s">
        <v>173</v>
      </c>
      <c r="Z303" s="319" t="s">
        <v>173</v>
      </c>
      <c r="AA303" s="319" t="s">
        <v>173</v>
      </c>
      <c r="AB303" s="319">
        <v>1</v>
      </c>
      <c r="AC303" s="319" t="s">
        <v>169</v>
      </c>
      <c r="AD303" s="319">
        <v>1</v>
      </c>
      <c r="AE303" s="319" t="s">
        <v>173</v>
      </c>
      <c r="AF303" s="319" t="s">
        <v>173</v>
      </c>
      <c r="AG303" s="319" t="s">
        <v>171</v>
      </c>
      <c r="AH303" s="319" t="s">
        <v>190</v>
      </c>
      <c r="AI303" s="319" t="s">
        <v>190</v>
      </c>
      <c r="AJ303" s="319" t="s">
        <v>190</v>
      </c>
      <c r="AK303" s="319" t="s">
        <v>190</v>
      </c>
      <c r="AL303" s="319" t="s">
        <v>190</v>
      </c>
      <c r="AM303" s="319" t="s">
        <v>190</v>
      </c>
      <c r="AN303" s="319" t="s">
        <v>190</v>
      </c>
      <c r="AO303" s="319" t="s">
        <v>190</v>
      </c>
      <c r="AP303" s="319" t="s">
        <v>190</v>
      </c>
      <c r="AQ303" s="319" t="s">
        <v>190</v>
      </c>
      <c r="AR303" s="319" t="s">
        <v>190</v>
      </c>
      <c r="AS303" s="319" t="s">
        <v>190</v>
      </c>
      <c r="AT303" s="319" t="s">
        <v>190</v>
      </c>
      <c r="AU303" s="319" t="s">
        <v>190</v>
      </c>
      <c r="AV303" s="319" t="s">
        <v>190</v>
      </c>
      <c r="AW303" s="319" t="s">
        <v>190</v>
      </c>
      <c r="AX303" s="319" t="s">
        <v>429</v>
      </c>
      <c r="AY303" s="319" t="s">
        <v>190</v>
      </c>
      <c r="AZ303" s="319" t="s">
        <v>190</v>
      </c>
      <c r="BA303" s="319" t="s">
        <v>190</v>
      </c>
      <c r="BB303" s="319" t="s">
        <v>429</v>
      </c>
      <c r="BC303" s="319" t="s">
        <v>429</v>
      </c>
      <c r="BD303" s="319" t="s">
        <v>429</v>
      </c>
      <c r="BE303" s="319" t="s">
        <v>429</v>
      </c>
      <c r="BF303" s="319" t="s">
        <v>190</v>
      </c>
      <c r="BG303" s="319" t="s">
        <v>429</v>
      </c>
      <c r="BH303" s="319" t="s">
        <v>190</v>
      </c>
      <c r="BI303" s="319" t="s">
        <v>190</v>
      </c>
      <c r="BJ303" s="319" t="s">
        <v>190</v>
      </c>
      <c r="BK303" s="319" t="s">
        <v>190</v>
      </c>
      <c r="BL303" s="319" t="s">
        <v>190</v>
      </c>
      <c r="BM303" s="319" t="s">
        <v>190</v>
      </c>
      <c r="BN303" s="319" t="s">
        <v>190</v>
      </c>
      <c r="BO303" s="319" t="s">
        <v>190</v>
      </c>
      <c r="BP303" s="319" t="s">
        <v>190</v>
      </c>
      <c r="BQ303" s="319" t="s">
        <v>190</v>
      </c>
      <c r="BR303" s="319" t="s">
        <v>190</v>
      </c>
      <c r="BS303" s="319" t="s">
        <v>190</v>
      </c>
      <c r="BT303" s="319" t="s">
        <v>190</v>
      </c>
      <c r="BU303" s="319" t="s">
        <v>190</v>
      </c>
      <c r="BV303" s="319" t="s">
        <v>190</v>
      </c>
      <c r="BW303" s="319" t="s">
        <v>190</v>
      </c>
      <c r="BX303" s="319" t="s">
        <v>190</v>
      </c>
      <c r="BY303" s="319" t="s">
        <v>190</v>
      </c>
      <c r="BZ303" s="319" t="s">
        <v>190</v>
      </c>
      <c r="CA303" s="319" t="s">
        <v>190</v>
      </c>
      <c r="CB303" s="319" t="s">
        <v>190</v>
      </c>
      <c r="CC303" s="319" t="s">
        <v>190</v>
      </c>
      <c r="CD303" s="319" t="s">
        <v>190</v>
      </c>
      <c r="CE303" s="319" t="s">
        <v>190</v>
      </c>
      <c r="CF303" s="319" t="s">
        <v>190</v>
      </c>
      <c r="CG303" s="319" t="s">
        <v>190</v>
      </c>
      <c r="CH303" s="319" t="s">
        <v>190</v>
      </c>
      <c r="CI303" s="319" t="s">
        <v>190</v>
      </c>
      <c r="CJ303" s="319" t="s">
        <v>190</v>
      </c>
      <c r="CK303" s="319" t="s">
        <v>190</v>
      </c>
      <c r="CL303" s="319" t="s">
        <v>190</v>
      </c>
      <c r="CM303" s="319" t="s">
        <v>190</v>
      </c>
      <c r="CN303" s="319" t="s">
        <v>429</v>
      </c>
      <c r="CO303" s="319" t="s">
        <v>429</v>
      </c>
      <c r="CP303" s="319" t="s">
        <v>429</v>
      </c>
      <c r="CQ303" s="319" t="s">
        <v>190</v>
      </c>
      <c r="CR303" s="319" t="s">
        <v>190</v>
      </c>
      <c r="CS303" s="319" t="s">
        <v>190</v>
      </c>
      <c r="CT303" s="319" t="s">
        <v>190</v>
      </c>
      <c r="CU303" s="319" t="s">
        <v>190</v>
      </c>
      <c r="CV303" s="319" t="s">
        <v>190</v>
      </c>
      <c r="CW303" s="319" t="s">
        <v>190</v>
      </c>
      <c r="CX303" s="319" t="s">
        <v>190</v>
      </c>
      <c r="CY303" s="319" t="s">
        <v>190</v>
      </c>
      <c r="CZ303" s="319" t="s">
        <v>190</v>
      </c>
      <c r="DA303" s="319" t="s">
        <v>190</v>
      </c>
      <c r="DB303" s="319" t="s">
        <v>190</v>
      </c>
      <c r="DC303" s="319" t="s">
        <v>190</v>
      </c>
      <c r="DD303" s="319" t="s">
        <v>190</v>
      </c>
      <c r="DE303" s="319" t="s">
        <v>190</v>
      </c>
      <c r="DF303" s="319" t="s">
        <v>190</v>
      </c>
      <c r="DG303" s="319" t="s">
        <v>190</v>
      </c>
      <c r="DH303" s="319" t="s">
        <v>190</v>
      </c>
      <c r="DI303" s="319" t="s">
        <v>190</v>
      </c>
      <c r="DJ303" s="319" t="s">
        <v>190</v>
      </c>
      <c r="DK303" s="319" t="s">
        <v>190</v>
      </c>
      <c r="DL303" s="319" t="s">
        <v>190</v>
      </c>
      <c r="DM303" s="319" t="s">
        <v>190</v>
      </c>
      <c r="DN303" s="319" t="s">
        <v>429</v>
      </c>
      <c r="DO303" s="319" t="s">
        <v>190</v>
      </c>
      <c r="DP303" s="319" t="s">
        <v>190</v>
      </c>
      <c r="DQ303" s="319" t="s">
        <v>190</v>
      </c>
      <c r="DR303" s="319" t="s">
        <v>190</v>
      </c>
      <c r="DS303" s="319" t="s">
        <v>190</v>
      </c>
      <c r="DT303" s="319" t="s">
        <v>190</v>
      </c>
      <c r="DU303" s="319" t="s">
        <v>190</v>
      </c>
      <c r="DV303" s="319" t="s">
        <v>173</v>
      </c>
      <c r="DW303" s="319" t="s">
        <v>190</v>
      </c>
      <c r="DX303" s="319" t="s">
        <v>190</v>
      </c>
      <c r="DY303" s="319" t="s">
        <v>190</v>
      </c>
      <c r="DZ303" s="319" t="s">
        <v>190</v>
      </c>
      <c r="EA303" s="319" t="s">
        <v>190</v>
      </c>
      <c r="EB303" s="319" t="s">
        <v>190</v>
      </c>
      <c r="EC303" s="319" t="s">
        <v>429</v>
      </c>
      <c r="ED303" s="319" t="s">
        <v>190</v>
      </c>
      <c r="EE303" s="319" t="s">
        <v>190</v>
      </c>
      <c r="EF303" s="319" t="s">
        <v>190</v>
      </c>
      <c r="EG303" s="319" t="s">
        <v>190</v>
      </c>
      <c r="EH303" s="319" t="s">
        <v>190</v>
      </c>
      <c r="EI303" s="319" t="s">
        <v>190</v>
      </c>
      <c r="EJ303" s="319" t="s">
        <v>190</v>
      </c>
      <c r="EK303" s="319" t="s">
        <v>190</v>
      </c>
      <c r="EL303" s="319" t="s">
        <v>190</v>
      </c>
      <c r="EM303" s="319" t="s">
        <v>190</v>
      </c>
      <c r="EN303" s="319" t="s">
        <v>190</v>
      </c>
      <c r="EO303" s="319" t="s">
        <v>190</v>
      </c>
      <c r="EP303" s="319" t="s">
        <v>190</v>
      </c>
      <c r="EQ303" s="319" t="s">
        <v>190</v>
      </c>
      <c r="ER303" s="319" t="s">
        <v>190</v>
      </c>
      <c r="ES303" s="319" t="s">
        <v>190</v>
      </c>
      <c r="ET303" s="319" t="s">
        <v>190</v>
      </c>
      <c r="EU303" s="319" t="s">
        <v>190</v>
      </c>
      <c r="EV303" s="319" t="s">
        <v>190</v>
      </c>
      <c r="EW303" s="319" t="s">
        <v>190</v>
      </c>
      <c r="EX303" s="319" t="s">
        <v>190</v>
      </c>
      <c r="EY303" s="319" t="s">
        <v>190</v>
      </c>
      <c r="EZ303" s="319" t="s">
        <v>190</v>
      </c>
      <c r="FA303" s="319" t="s">
        <v>190</v>
      </c>
      <c r="FB303" s="319" t="s">
        <v>190</v>
      </c>
      <c r="FC303" s="319" t="s">
        <v>190</v>
      </c>
      <c r="FD303" s="319" t="s">
        <v>190</v>
      </c>
      <c r="FE303" s="319" t="s">
        <v>190</v>
      </c>
      <c r="FF303" s="319" t="s">
        <v>190</v>
      </c>
      <c r="FG303" s="319" t="s">
        <v>190</v>
      </c>
      <c r="FH303" s="319" t="s">
        <v>190</v>
      </c>
      <c r="FI303" s="319" t="s">
        <v>190</v>
      </c>
      <c r="FJ303" s="319" t="s">
        <v>190</v>
      </c>
      <c r="FK303" s="319" t="s">
        <v>190</v>
      </c>
      <c r="FL303" s="319" t="s">
        <v>190</v>
      </c>
      <c r="FM303" s="319" t="s">
        <v>190</v>
      </c>
      <c r="FN303" s="319" t="s">
        <v>429</v>
      </c>
      <c r="FO303" s="319" t="s">
        <v>429</v>
      </c>
      <c r="FP303" s="319" t="s">
        <v>190</v>
      </c>
      <c r="FQ303" s="319" t="s">
        <v>190</v>
      </c>
      <c r="FR303" s="319" t="s">
        <v>190</v>
      </c>
      <c r="FS303" s="319" t="s">
        <v>429</v>
      </c>
      <c r="FT303" s="319" t="s">
        <v>190</v>
      </c>
      <c r="FU303" s="319" t="s">
        <v>190</v>
      </c>
      <c r="FV303" s="319" t="s">
        <v>190</v>
      </c>
      <c r="FW303" s="319" t="s">
        <v>190</v>
      </c>
      <c r="FX303" s="319" t="s">
        <v>190</v>
      </c>
      <c r="FY303" s="319" t="s">
        <v>190</v>
      </c>
      <c r="FZ303" s="319" t="s">
        <v>190</v>
      </c>
      <c r="GA303" s="319" t="s">
        <v>190</v>
      </c>
      <c r="GB303" s="319" t="s">
        <v>190</v>
      </c>
      <c r="GC303" s="319" t="s">
        <v>190</v>
      </c>
      <c r="GD303" s="319" t="s">
        <v>190</v>
      </c>
      <c r="GE303" s="319" t="s">
        <v>190</v>
      </c>
      <c r="GF303" s="319" t="s">
        <v>190</v>
      </c>
      <c r="GG303" s="319" t="s">
        <v>190</v>
      </c>
      <c r="GH303" s="319" t="s">
        <v>190</v>
      </c>
      <c r="GI303" s="319" t="s">
        <v>190</v>
      </c>
      <c r="GJ303" s="319" t="s">
        <v>190</v>
      </c>
      <c r="GK303" s="319" t="s">
        <v>429</v>
      </c>
      <c r="GL303" s="319" t="s">
        <v>190</v>
      </c>
      <c r="GM303" s="319" t="s">
        <v>190</v>
      </c>
      <c r="GN303" s="319" t="s">
        <v>190</v>
      </c>
      <c r="GO303" s="319" t="s">
        <v>190</v>
      </c>
      <c r="GP303" s="319" t="s">
        <v>190</v>
      </c>
      <c r="GQ303" s="319" t="s">
        <v>429</v>
      </c>
      <c r="GR303" s="319" t="s">
        <v>190</v>
      </c>
      <c r="GS303" s="319" t="s">
        <v>190</v>
      </c>
      <c r="GT303" s="319" t="s">
        <v>190</v>
      </c>
      <c r="GU303" s="319" t="s">
        <v>190</v>
      </c>
      <c r="GV303" s="319" t="s">
        <v>190</v>
      </c>
      <c r="GW303" s="319" t="s">
        <v>190</v>
      </c>
      <c r="GX303" s="319" t="s">
        <v>190</v>
      </c>
      <c r="GY303" s="319" t="s">
        <v>190</v>
      </c>
      <c r="GZ303" s="319" t="s">
        <v>429</v>
      </c>
      <c r="HA303" s="319" t="s">
        <v>190</v>
      </c>
      <c r="HB303" s="319" t="s">
        <v>429</v>
      </c>
      <c r="HC303" s="319" t="s">
        <v>190</v>
      </c>
      <c r="HD303" s="319" t="s">
        <v>190</v>
      </c>
      <c r="HE303" s="319" t="s">
        <v>190</v>
      </c>
      <c r="HF303" s="319" t="s">
        <v>190</v>
      </c>
      <c r="HG303" s="319" t="s">
        <v>190</v>
      </c>
      <c r="HH303" s="319" t="s">
        <v>190</v>
      </c>
      <c r="HI303" s="319" t="s">
        <v>190</v>
      </c>
      <c r="HJ303" s="319" t="s">
        <v>190</v>
      </c>
      <c r="HK303" s="319" t="s">
        <v>190</v>
      </c>
      <c r="HL303" s="319" t="s">
        <v>429</v>
      </c>
      <c r="HM303" s="319" t="s">
        <v>429</v>
      </c>
      <c r="HN303" s="319" t="s">
        <v>429</v>
      </c>
      <c r="HO303" s="319" t="s">
        <v>429</v>
      </c>
      <c r="HP303" s="319" t="s">
        <v>190</v>
      </c>
      <c r="HQ303" s="319" t="s">
        <v>190</v>
      </c>
      <c r="HR303" s="319" t="s">
        <v>190</v>
      </c>
      <c r="HS303" s="319" t="s">
        <v>190</v>
      </c>
      <c r="HT303" s="319" t="s">
        <v>190</v>
      </c>
      <c r="HU303" s="319" t="s">
        <v>190</v>
      </c>
      <c r="HV303" s="319" t="s">
        <v>190</v>
      </c>
      <c r="HW303" s="319" t="s">
        <v>190</v>
      </c>
      <c r="HX303" s="319" t="s">
        <v>190</v>
      </c>
      <c r="HY303" s="319" t="s">
        <v>190</v>
      </c>
      <c r="HZ303" s="319" t="s">
        <v>190</v>
      </c>
      <c r="IA303" s="319" t="s">
        <v>190</v>
      </c>
      <c r="IB303" s="319" t="s">
        <v>190</v>
      </c>
      <c r="IC303" s="319" t="s">
        <v>190</v>
      </c>
      <c r="ID303" s="319" t="s">
        <v>190</v>
      </c>
      <c r="IE303" s="319" t="s">
        <v>190</v>
      </c>
      <c r="IF303" s="319" t="s">
        <v>190</v>
      </c>
      <c r="IG303" s="319" t="s">
        <v>190</v>
      </c>
      <c r="IH303" s="319" t="s">
        <v>190</v>
      </c>
      <c r="II303" s="319" t="s">
        <v>190</v>
      </c>
      <c r="IJ303" s="319" t="s">
        <v>3092</v>
      </c>
      <c r="IK303" s="321">
        <v>41255</v>
      </c>
      <c r="IL303" s="321">
        <v>41256</v>
      </c>
      <c r="IM303" s="321">
        <v>41284</v>
      </c>
      <c r="IN303" s="319">
        <v>1</v>
      </c>
      <c r="IO303" s="319" t="s">
        <v>173</v>
      </c>
      <c r="IP303" s="319" t="s">
        <v>173</v>
      </c>
      <c r="IQ303" s="321" t="s">
        <v>173</v>
      </c>
      <c r="IR303" s="320" t="s">
        <v>173</v>
      </c>
      <c r="IS303" s="322" t="s">
        <v>173</v>
      </c>
      <c r="IT303" s="319" t="s">
        <v>173</v>
      </c>
    </row>
    <row r="304" spans="1:254" s="271" customFormat="1" x14ac:dyDescent="0.25">
      <c r="A304" s="318" t="str">
        <f>HYPERLINK("http://www.ofsted.gov.uk/inspection-reports/find-inspection-report/provider/ELS/131163 ","Ofsted School Webpage")</f>
        <v>Ofsted School Webpage</v>
      </c>
      <c r="B304" s="319">
        <v>131163</v>
      </c>
      <c r="C304" s="319">
        <v>8886032</v>
      </c>
      <c r="D304" s="319" t="s">
        <v>1618</v>
      </c>
      <c r="E304" s="319" t="s">
        <v>168</v>
      </c>
      <c r="F304" s="319" t="s">
        <v>59</v>
      </c>
      <c r="G304" s="319" t="s">
        <v>59</v>
      </c>
      <c r="H304" s="319" t="s">
        <v>59</v>
      </c>
      <c r="I304" s="319" t="s">
        <v>59</v>
      </c>
      <c r="J304" s="319" t="s">
        <v>424</v>
      </c>
      <c r="K304" s="319" t="s">
        <v>431</v>
      </c>
      <c r="L304" s="319" t="s">
        <v>431</v>
      </c>
      <c r="M304" s="319" t="s">
        <v>469</v>
      </c>
      <c r="N304" s="319" t="s">
        <v>2990</v>
      </c>
      <c r="O304" s="319" t="s">
        <v>1619</v>
      </c>
      <c r="P304" s="319">
        <v>41</v>
      </c>
      <c r="Q304" s="319" t="s">
        <v>429</v>
      </c>
      <c r="R304" s="320">
        <v>10008532</v>
      </c>
      <c r="S304" s="321">
        <v>43151</v>
      </c>
      <c r="T304" s="321">
        <v>43153</v>
      </c>
      <c r="U304" s="321">
        <v>43223</v>
      </c>
      <c r="V304" s="319" t="s">
        <v>425</v>
      </c>
      <c r="W304" s="319" t="s">
        <v>2767</v>
      </c>
      <c r="X304" s="319">
        <v>1</v>
      </c>
      <c r="Y304" s="319" t="s">
        <v>173</v>
      </c>
      <c r="Z304" s="319" t="s">
        <v>173</v>
      </c>
      <c r="AA304" s="319" t="s">
        <v>173</v>
      </c>
      <c r="AB304" s="319">
        <v>1</v>
      </c>
      <c r="AC304" s="319" t="s">
        <v>169</v>
      </c>
      <c r="AD304" s="319" t="s">
        <v>173</v>
      </c>
      <c r="AE304" s="319" t="s">
        <v>173</v>
      </c>
      <c r="AF304" s="319" t="s">
        <v>173</v>
      </c>
      <c r="AG304" s="319" t="s">
        <v>171</v>
      </c>
      <c r="AH304" s="319" t="s">
        <v>190</v>
      </c>
      <c r="AI304" s="319" t="s">
        <v>190</v>
      </c>
      <c r="AJ304" s="319" t="s">
        <v>190</v>
      </c>
      <c r="AK304" s="319" t="s">
        <v>190</v>
      </c>
      <c r="AL304" s="319" t="s">
        <v>190</v>
      </c>
      <c r="AM304" s="319" t="s">
        <v>190</v>
      </c>
      <c r="AN304" s="319" t="s">
        <v>190</v>
      </c>
      <c r="AO304" s="319" t="s">
        <v>190</v>
      </c>
      <c r="AP304" s="319" t="s">
        <v>190</v>
      </c>
      <c r="AQ304" s="319" t="s">
        <v>190</v>
      </c>
      <c r="AR304" s="319" t="s">
        <v>190</v>
      </c>
      <c r="AS304" s="319" t="s">
        <v>190</v>
      </c>
      <c r="AT304" s="319" t="s">
        <v>190</v>
      </c>
      <c r="AU304" s="319" t="s">
        <v>190</v>
      </c>
      <c r="AV304" s="319" t="s">
        <v>190</v>
      </c>
      <c r="AW304" s="319" t="s">
        <v>190</v>
      </c>
      <c r="AX304" s="319" t="s">
        <v>429</v>
      </c>
      <c r="AY304" s="319" t="s">
        <v>190</v>
      </c>
      <c r="AZ304" s="319" t="s">
        <v>190</v>
      </c>
      <c r="BA304" s="319" t="s">
        <v>190</v>
      </c>
      <c r="BB304" s="319" t="s">
        <v>190</v>
      </c>
      <c r="BC304" s="319" t="s">
        <v>190</v>
      </c>
      <c r="BD304" s="319" t="s">
        <v>190</v>
      </c>
      <c r="BE304" s="319" t="s">
        <v>190</v>
      </c>
      <c r="BF304" s="319" t="s">
        <v>190</v>
      </c>
      <c r="BG304" s="319" t="s">
        <v>429</v>
      </c>
      <c r="BH304" s="319" t="s">
        <v>190</v>
      </c>
      <c r="BI304" s="319" t="s">
        <v>190</v>
      </c>
      <c r="BJ304" s="319" t="s">
        <v>190</v>
      </c>
      <c r="BK304" s="319" t="s">
        <v>190</v>
      </c>
      <c r="BL304" s="319" t="s">
        <v>190</v>
      </c>
      <c r="BM304" s="319" t="s">
        <v>190</v>
      </c>
      <c r="BN304" s="319" t="s">
        <v>190</v>
      </c>
      <c r="BO304" s="319" t="s">
        <v>190</v>
      </c>
      <c r="BP304" s="319" t="s">
        <v>190</v>
      </c>
      <c r="BQ304" s="319" t="s">
        <v>190</v>
      </c>
      <c r="BR304" s="319" t="s">
        <v>190</v>
      </c>
      <c r="BS304" s="319" t="s">
        <v>190</v>
      </c>
      <c r="BT304" s="319" t="s">
        <v>190</v>
      </c>
      <c r="BU304" s="319" t="s">
        <v>190</v>
      </c>
      <c r="BV304" s="319" t="s">
        <v>190</v>
      </c>
      <c r="BW304" s="319" t="s">
        <v>190</v>
      </c>
      <c r="BX304" s="319" t="s">
        <v>190</v>
      </c>
      <c r="BY304" s="319" t="s">
        <v>190</v>
      </c>
      <c r="BZ304" s="319" t="s">
        <v>190</v>
      </c>
      <c r="CA304" s="319" t="s">
        <v>190</v>
      </c>
      <c r="CB304" s="319" t="s">
        <v>190</v>
      </c>
      <c r="CC304" s="319" t="s">
        <v>190</v>
      </c>
      <c r="CD304" s="319" t="s">
        <v>190</v>
      </c>
      <c r="CE304" s="319" t="s">
        <v>190</v>
      </c>
      <c r="CF304" s="319" t="s">
        <v>190</v>
      </c>
      <c r="CG304" s="319" t="s">
        <v>190</v>
      </c>
      <c r="CH304" s="319" t="s">
        <v>190</v>
      </c>
      <c r="CI304" s="319" t="s">
        <v>190</v>
      </c>
      <c r="CJ304" s="319" t="s">
        <v>190</v>
      </c>
      <c r="CK304" s="319" t="s">
        <v>190</v>
      </c>
      <c r="CL304" s="319" t="s">
        <v>190</v>
      </c>
      <c r="CM304" s="319" t="s">
        <v>190</v>
      </c>
      <c r="CN304" s="319" t="s">
        <v>190</v>
      </c>
      <c r="CO304" s="319" t="s">
        <v>190</v>
      </c>
      <c r="CP304" s="319" t="s">
        <v>429</v>
      </c>
      <c r="CQ304" s="319" t="s">
        <v>190</v>
      </c>
      <c r="CR304" s="319" t="s">
        <v>190</v>
      </c>
      <c r="CS304" s="319" t="s">
        <v>190</v>
      </c>
      <c r="CT304" s="319" t="s">
        <v>190</v>
      </c>
      <c r="CU304" s="319" t="s">
        <v>190</v>
      </c>
      <c r="CV304" s="319" t="s">
        <v>190</v>
      </c>
      <c r="CW304" s="319" t="s">
        <v>190</v>
      </c>
      <c r="CX304" s="319" t="s">
        <v>190</v>
      </c>
      <c r="CY304" s="319" t="s">
        <v>190</v>
      </c>
      <c r="CZ304" s="319" t="s">
        <v>190</v>
      </c>
      <c r="DA304" s="319" t="s">
        <v>190</v>
      </c>
      <c r="DB304" s="319" t="s">
        <v>190</v>
      </c>
      <c r="DC304" s="319" t="s">
        <v>190</v>
      </c>
      <c r="DD304" s="319" t="s">
        <v>190</v>
      </c>
      <c r="DE304" s="319" t="s">
        <v>190</v>
      </c>
      <c r="DF304" s="319" t="s">
        <v>190</v>
      </c>
      <c r="DG304" s="319" t="s">
        <v>190</v>
      </c>
      <c r="DH304" s="319" t="s">
        <v>190</v>
      </c>
      <c r="DI304" s="319" t="s">
        <v>190</v>
      </c>
      <c r="DJ304" s="319" t="s">
        <v>190</v>
      </c>
      <c r="DK304" s="319" t="s">
        <v>190</v>
      </c>
      <c r="DL304" s="319" t="s">
        <v>190</v>
      </c>
      <c r="DM304" s="319" t="s">
        <v>190</v>
      </c>
      <c r="DN304" s="319" t="s">
        <v>429</v>
      </c>
      <c r="DO304" s="319" t="s">
        <v>190</v>
      </c>
      <c r="DP304" s="319" t="s">
        <v>429</v>
      </c>
      <c r="DQ304" s="319" t="s">
        <v>429</v>
      </c>
      <c r="DR304" s="319" t="s">
        <v>429</v>
      </c>
      <c r="DS304" s="319" t="s">
        <v>429</v>
      </c>
      <c r="DT304" s="319" t="s">
        <v>429</v>
      </c>
      <c r="DU304" s="319" t="s">
        <v>429</v>
      </c>
      <c r="DV304" s="319" t="s">
        <v>173</v>
      </c>
      <c r="DW304" s="319" t="s">
        <v>429</v>
      </c>
      <c r="DX304" s="319" t="s">
        <v>429</v>
      </c>
      <c r="DY304" s="319" t="s">
        <v>429</v>
      </c>
      <c r="DZ304" s="319" t="s">
        <v>429</v>
      </c>
      <c r="EA304" s="319" t="s">
        <v>429</v>
      </c>
      <c r="EB304" s="319" t="s">
        <v>429</v>
      </c>
      <c r="EC304" s="319" t="s">
        <v>429</v>
      </c>
      <c r="ED304" s="319" t="s">
        <v>429</v>
      </c>
      <c r="EE304" s="319" t="s">
        <v>429</v>
      </c>
      <c r="EF304" s="319" t="s">
        <v>429</v>
      </c>
      <c r="EG304" s="319" t="s">
        <v>429</v>
      </c>
      <c r="EH304" s="319" t="s">
        <v>429</v>
      </c>
      <c r="EI304" s="319" t="s">
        <v>429</v>
      </c>
      <c r="EJ304" s="319" t="s">
        <v>429</v>
      </c>
      <c r="EK304" s="319" t="s">
        <v>429</v>
      </c>
      <c r="EL304" s="319" t="s">
        <v>429</v>
      </c>
      <c r="EM304" s="319" t="s">
        <v>429</v>
      </c>
      <c r="EN304" s="319" t="s">
        <v>190</v>
      </c>
      <c r="EO304" s="319" t="s">
        <v>190</v>
      </c>
      <c r="EP304" s="319" t="s">
        <v>190</v>
      </c>
      <c r="EQ304" s="319" t="s">
        <v>190</v>
      </c>
      <c r="ER304" s="319" t="s">
        <v>190</v>
      </c>
      <c r="ES304" s="319" t="s">
        <v>190</v>
      </c>
      <c r="ET304" s="319" t="s">
        <v>190</v>
      </c>
      <c r="EU304" s="319" t="s">
        <v>190</v>
      </c>
      <c r="EV304" s="319" t="s">
        <v>190</v>
      </c>
      <c r="EW304" s="319" t="s">
        <v>190</v>
      </c>
      <c r="EX304" s="319" t="s">
        <v>190</v>
      </c>
      <c r="EY304" s="319" t="s">
        <v>190</v>
      </c>
      <c r="EZ304" s="319" t="s">
        <v>190</v>
      </c>
      <c r="FA304" s="319" t="s">
        <v>190</v>
      </c>
      <c r="FB304" s="319" t="s">
        <v>190</v>
      </c>
      <c r="FC304" s="319" t="s">
        <v>190</v>
      </c>
      <c r="FD304" s="319" t="s">
        <v>190</v>
      </c>
      <c r="FE304" s="319" t="s">
        <v>190</v>
      </c>
      <c r="FF304" s="319" t="s">
        <v>190</v>
      </c>
      <c r="FG304" s="319" t="s">
        <v>190</v>
      </c>
      <c r="FH304" s="319" t="s">
        <v>429</v>
      </c>
      <c r="FI304" s="319" t="s">
        <v>429</v>
      </c>
      <c r="FJ304" s="319" t="s">
        <v>429</v>
      </c>
      <c r="FK304" s="319" t="s">
        <v>429</v>
      </c>
      <c r="FL304" s="319" t="s">
        <v>190</v>
      </c>
      <c r="FM304" s="319" t="s">
        <v>190</v>
      </c>
      <c r="FN304" s="319" t="s">
        <v>190</v>
      </c>
      <c r="FO304" s="319" t="s">
        <v>190</v>
      </c>
      <c r="FP304" s="319" t="s">
        <v>190</v>
      </c>
      <c r="FQ304" s="319" t="s">
        <v>190</v>
      </c>
      <c r="FR304" s="319" t="s">
        <v>190</v>
      </c>
      <c r="FS304" s="319" t="s">
        <v>429</v>
      </c>
      <c r="FT304" s="319" t="s">
        <v>190</v>
      </c>
      <c r="FU304" s="319" t="s">
        <v>190</v>
      </c>
      <c r="FV304" s="319" t="s">
        <v>190</v>
      </c>
      <c r="FW304" s="319" t="s">
        <v>190</v>
      </c>
      <c r="FX304" s="319" t="s">
        <v>190</v>
      </c>
      <c r="FY304" s="319" t="s">
        <v>190</v>
      </c>
      <c r="FZ304" s="319" t="s">
        <v>190</v>
      </c>
      <c r="GA304" s="319" t="s">
        <v>190</v>
      </c>
      <c r="GB304" s="319" t="s">
        <v>190</v>
      </c>
      <c r="GC304" s="319" t="s">
        <v>190</v>
      </c>
      <c r="GD304" s="319" t="s">
        <v>190</v>
      </c>
      <c r="GE304" s="319" t="s">
        <v>190</v>
      </c>
      <c r="GF304" s="319" t="s">
        <v>190</v>
      </c>
      <c r="GG304" s="319" t="s">
        <v>190</v>
      </c>
      <c r="GH304" s="319" t="s">
        <v>190</v>
      </c>
      <c r="GI304" s="319" t="s">
        <v>190</v>
      </c>
      <c r="GJ304" s="319" t="s">
        <v>190</v>
      </c>
      <c r="GK304" s="319" t="s">
        <v>429</v>
      </c>
      <c r="GL304" s="319" t="s">
        <v>190</v>
      </c>
      <c r="GM304" s="319" t="s">
        <v>190</v>
      </c>
      <c r="GN304" s="319" t="s">
        <v>190</v>
      </c>
      <c r="GO304" s="319" t="s">
        <v>190</v>
      </c>
      <c r="GP304" s="319" t="s">
        <v>190</v>
      </c>
      <c r="GQ304" s="319" t="s">
        <v>190</v>
      </c>
      <c r="GR304" s="319" t="s">
        <v>190</v>
      </c>
      <c r="GS304" s="319" t="s">
        <v>190</v>
      </c>
      <c r="GT304" s="319" t="s">
        <v>190</v>
      </c>
      <c r="GU304" s="319" t="s">
        <v>190</v>
      </c>
      <c r="GV304" s="319" t="s">
        <v>190</v>
      </c>
      <c r="GW304" s="319" t="s">
        <v>190</v>
      </c>
      <c r="GX304" s="319" t="s">
        <v>190</v>
      </c>
      <c r="GY304" s="319" t="s">
        <v>190</v>
      </c>
      <c r="GZ304" s="319" t="s">
        <v>190</v>
      </c>
      <c r="HA304" s="319" t="s">
        <v>429</v>
      </c>
      <c r="HB304" s="319" t="s">
        <v>429</v>
      </c>
      <c r="HC304" s="319" t="s">
        <v>190</v>
      </c>
      <c r="HD304" s="319" t="s">
        <v>190</v>
      </c>
      <c r="HE304" s="319" t="s">
        <v>190</v>
      </c>
      <c r="HF304" s="319" t="s">
        <v>190</v>
      </c>
      <c r="HG304" s="319" t="s">
        <v>190</v>
      </c>
      <c r="HH304" s="319" t="s">
        <v>190</v>
      </c>
      <c r="HI304" s="319" t="s">
        <v>190</v>
      </c>
      <c r="HJ304" s="319" t="s">
        <v>190</v>
      </c>
      <c r="HK304" s="319" t="s">
        <v>190</v>
      </c>
      <c r="HL304" s="319" t="s">
        <v>190</v>
      </c>
      <c r="HM304" s="319" t="s">
        <v>190</v>
      </c>
      <c r="HN304" s="319" t="s">
        <v>190</v>
      </c>
      <c r="HO304" s="319" t="s">
        <v>190</v>
      </c>
      <c r="HP304" s="319" t="s">
        <v>190</v>
      </c>
      <c r="HQ304" s="319" t="s">
        <v>190</v>
      </c>
      <c r="HR304" s="319" t="s">
        <v>190</v>
      </c>
      <c r="HS304" s="319" t="s">
        <v>190</v>
      </c>
      <c r="HT304" s="319" t="s">
        <v>190</v>
      </c>
      <c r="HU304" s="319" t="s">
        <v>190</v>
      </c>
      <c r="HV304" s="319" t="s">
        <v>190</v>
      </c>
      <c r="HW304" s="319" t="s">
        <v>190</v>
      </c>
      <c r="HX304" s="319" t="s">
        <v>190</v>
      </c>
      <c r="HY304" s="319" t="s">
        <v>190</v>
      </c>
      <c r="HZ304" s="319" t="s">
        <v>190</v>
      </c>
      <c r="IA304" s="319" t="s">
        <v>190</v>
      </c>
      <c r="IB304" s="319" t="s">
        <v>190</v>
      </c>
      <c r="IC304" s="319" t="s">
        <v>190</v>
      </c>
      <c r="ID304" s="319" t="s">
        <v>190</v>
      </c>
      <c r="IE304" s="319" t="s">
        <v>190</v>
      </c>
      <c r="IF304" s="319" t="s">
        <v>190</v>
      </c>
      <c r="IG304" s="319" t="s">
        <v>190</v>
      </c>
      <c r="IH304" s="319" t="s">
        <v>190</v>
      </c>
      <c r="II304" s="319" t="s">
        <v>190</v>
      </c>
      <c r="IJ304" s="319" t="s">
        <v>3093</v>
      </c>
      <c r="IK304" s="321">
        <v>41310</v>
      </c>
      <c r="IL304" s="321">
        <v>41312</v>
      </c>
      <c r="IM304" s="321">
        <v>41334</v>
      </c>
      <c r="IN304" s="319">
        <v>1</v>
      </c>
      <c r="IO304" s="319" t="s">
        <v>173</v>
      </c>
      <c r="IP304" s="319" t="s">
        <v>173</v>
      </c>
      <c r="IQ304" s="321" t="s">
        <v>173</v>
      </c>
      <c r="IR304" s="320" t="s">
        <v>173</v>
      </c>
      <c r="IS304" s="322" t="s">
        <v>173</v>
      </c>
      <c r="IT304" s="319" t="s">
        <v>173</v>
      </c>
    </row>
    <row r="305" spans="1:254" s="271" customFormat="1" x14ac:dyDescent="0.25">
      <c r="A305" s="318" t="str">
        <f>HYPERLINK("http://www.ofsted.gov.uk/inspection-reports/find-inspection-report/provider/ELS/131164 ","Ofsted School Webpage")</f>
        <v>Ofsted School Webpage</v>
      </c>
      <c r="B305" s="319">
        <v>131164</v>
      </c>
      <c r="C305" s="319">
        <v>3306094</v>
      </c>
      <c r="D305" s="319" t="s">
        <v>1620</v>
      </c>
      <c r="E305" s="319" t="s">
        <v>167</v>
      </c>
      <c r="F305" s="319" t="s">
        <v>81</v>
      </c>
      <c r="G305" s="319" t="s">
        <v>71</v>
      </c>
      <c r="H305" s="319" t="s">
        <v>71</v>
      </c>
      <c r="I305" s="319" t="s">
        <v>72</v>
      </c>
      <c r="J305" s="319" t="s">
        <v>424</v>
      </c>
      <c r="K305" s="319" t="s">
        <v>437</v>
      </c>
      <c r="L305" s="319" t="s">
        <v>437</v>
      </c>
      <c r="M305" s="319" t="s">
        <v>813</v>
      </c>
      <c r="N305" s="319" t="s">
        <v>2853</v>
      </c>
      <c r="O305" s="319" t="s">
        <v>1621</v>
      </c>
      <c r="P305" s="319">
        <v>83</v>
      </c>
      <c r="Q305" s="319" t="s">
        <v>2766</v>
      </c>
      <c r="R305" s="320">
        <v>10033566</v>
      </c>
      <c r="S305" s="321">
        <v>43137</v>
      </c>
      <c r="T305" s="321">
        <v>43139</v>
      </c>
      <c r="U305" s="321">
        <v>43167</v>
      </c>
      <c r="V305" s="319" t="s">
        <v>425</v>
      </c>
      <c r="W305" s="319" t="s">
        <v>2767</v>
      </c>
      <c r="X305" s="319">
        <v>3</v>
      </c>
      <c r="Y305" s="319" t="s">
        <v>173</v>
      </c>
      <c r="Z305" s="319" t="s">
        <v>173</v>
      </c>
      <c r="AA305" s="319" t="s">
        <v>173</v>
      </c>
      <c r="AB305" s="319">
        <v>3</v>
      </c>
      <c r="AC305" s="319" t="s">
        <v>169</v>
      </c>
      <c r="AD305" s="319" t="s">
        <v>173</v>
      </c>
      <c r="AE305" s="319" t="s">
        <v>173</v>
      </c>
      <c r="AF305" s="319" t="s">
        <v>427</v>
      </c>
      <c r="AG305" s="319" t="s">
        <v>172</v>
      </c>
      <c r="AH305" s="319" t="s">
        <v>479</v>
      </c>
      <c r="AI305" s="319" t="s">
        <v>190</v>
      </c>
      <c r="AJ305" s="319" t="s">
        <v>190</v>
      </c>
      <c r="AK305" s="319" t="s">
        <v>190</v>
      </c>
      <c r="AL305" s="319" t="s">
        <v>190</v>
      </c>
      <c r="AM305" s="319" t="s">
        <v>190</v>
      </c>
      <c r="AN305" s="319" t="s">
        <v>190</v>
      </c>
      <c r="AO305" s="319" t="s">
        <v>479</v>
      </c>
      <c r="AP305" s="319" t="s">
        <v>190</v>
      </c>
      <c r="AQ305" s="319" t="s">
        <v>190</v>
      </c>
      <c r="AR305" s="319" t="s">
        <v>190</v>
      </c>
      <c r="AS305" s="319" t="s">
        <v>190</v>
      </c>
      <c r="AT305" s="319" t="s">
        <v>190</v>
      </c>
      <c r="AU305" s="319" t="s">
        <v>190</v>
      </c>
      <c r="AV305" s="319" t="s">
        <v>190</v>
      </c>
      <c r="AW305" s="319" t="s">
        <v>190</v>
      </c>
      <c r="AX305" s="319" t="s">
        <v>428</v>
      </c>
      <c r="AY305" s="319" t="s">
        <v>190</v>
      </c>
      <c r="AZ305" s="319" t="s">
        <v>190</v>
      </c>
      <c r="BA305" s="319" t="s">
        <v>190</v>
      </c>
      <c r="BB305" s="319" t="s">
        <v>190</v>
      </c>
      <c r="BC305" s="319" t="s">
        <v>190</v>
      </c>
      <c r="BD305" s="319" t="s">
        <v>190</v>
      </c>
      <c r="BE305" s="319" t="s">
        <v>190</v>
      </c>
      <c r="BF305" s="319" t="s">
        <v>428</v>
      </c>
      <c r="BG305" s="319" t="s">
        <v>428</v>
      </c>
      <c r="BH305" s="319" t="s">
        <v>190</v>
      </c>
      <c r="BI305" s="319" t="s">
        <v>190</v>
      </c>
      <c r="BJ305" s="319" t="s">
        <v>191</v>
      </c>
      <c r="BK305" s="319" t="s">
        <v>191</v>
      </c>
      <c r="BL305" s="319" t="s">
        <v>191</v>
      </c>
      <c r="BM305" s="319" t="s">
        <v>191</v>
      </c>
      <c r="BN305" s="319" t="s">
        <v>191</v>
      </c>
      <c r="BO305" s="319" t="s">
        <v>190</v>
      </c>
      <c r="BP305" s="319" t="s">
        <v>190</v>
      </c>
      <c r="BQ305" s="319" t="s">
        <v>191</v>
      </c>
      <c r="BR305" s="319" t="s">
        <v>190</v>
      </c>
      <c r="BS305" s="319" t="s">
        <v>190</v>
      </c>
      <c r="BT305" s="319" t="s">
        <v>190</v>
      </c>
      <c r="BU305" s="319" t="s">
        <v>190</v>
      </c>
      <c r="BV305" s="319" t="s">
        <v>190</v>
      </c>
      <c r="BW305" s="319" t="s">
        <v>190</v>
      </c>
      <c r="BX305" s="319" t="s">
        <v>190</v>
      </c>
      <c r="BY305" s="319" t="s">
        <v>190</v>
      </c>
      <c r="BZ305" s="319" t="s">
        <v>190</v>
      </c>
      <c r="CA305" s="319" t="s">
        <v>190</v>
      </c>
      <c r="CB305" s="319" t="s">
        <v>190</v>
      </c>
      <c r="CC305" s="319" t="s">
        <v>190</v>
      </c>
      <c r="CD305" s="319" t="s">
        <v>190</v>
      </c>
      <c r="CE305" s="319" t="s">
        <v>190</v>
      </c>
      <c r="CF305" s="319" t="s">
        <v>190</v>
      </c>
      <c r="CG305" s="319" t="s">
        <v>190</v>
      </c>
      <c r="CH305" s="319" t="s">
        <v>190</v>
      </c>
      <c r="CI305" s="319" t="s">
        <v>190</v>
      </c>
      <c r="CJ305" s="319" t="s">
        <v>190</v>
      </c>
      <c r="CK305" s="319" t="s">
        <v>190</v>
      </c>
      <c r="CL305" s="319" t="s">
        <v>190</v>
      </c>
      <c r="CM305" s="319" t="s">
        <v>190</v>
      </c>
      <c r="CN305" s="319" t="s">
        <v>428</v>
      </c>
      <c r="CO305" s="319" t="s">
        <v>428</v>
      </c>
      <c r="CP305" s="319" t="s">
        <v>428</v>
      </c>
      <c r="CQ305" s="319" t="s">
        <v>190</v>
      </c>
      <c r="CR305" s="319" t="s">
        <v>190</v>
      </c>
      <c r="CS305" s="319" t="s">
        <v>190</v>
      </c>
      <c r="CT305" s="319" t="s">
        <v>190</v>
      </c>
      <c r="CU305" s="319" t="s">
        <v>190</v>
      </c>
      <c r="CV305" s="319" t="s">
        <v>190</v>
      </c>
      <c r="CW305" s="319" t="s">
        <v>190</v>
      </c>
      <c r="CX305" s="319" t="s">
        <v>190</v>
      </c>
      <c r="CY305" s="319" t="s">
        <v>190</v>
      </c>
      <c r="CZ305" s="319" t="s">
        <v>190</v>
      </c>
      <c r="DA305" s="319" t="s">
        <v>190</v>
      </c>
      <c r="DB305" s="319" t="s">
        <v>190</v>
      </c>
      <c r="DC305" s="319" t="s">
        <v>190</v>
      </c>
      <c r="DD305" s="319" t="s">
        <v>190</v>
      </c>
      <c r="DE305" s="319" t="s">
        <v>190</v>
      </c>
      <c r="DF305" s="319" t="s">
        <v>190</v>
      </c>
      <c r="DG305" s="319" t="s">
        <v>190</v>
      </c>
      <c r="DH305" s="319" t="s">
        <v>190</v>
      </c>
      <c r="DI305" s="319" t="s">
        <v>190</v>
      </c>
      <c r="DJ305" s="319" t="s">
        <v>190</v>
      </c>
      <c r="DK305" s="319" t="s">
        <v>190</v>
      </c>
      <c r="DL305" s="319" t="s">
        <v>190</v>
      </c>
      <c r="DM305" s="319" t="s">
        <v>190</v>
      </c>
      <c r="DN305" s="319" t="s">
        <v>428</v>
      </c>
      <c r="DO305" s="319" t="s">
        <v>190</v>
      </c>
      <c r="DP305" s="319" t="s">
        <v>428</v>
      </c>
      <c r="DQ305" s="319" t="s">
        <v>428</v>
      </c>
      <c r="DR305" s="319" t="s">
        <v>428</v>
      </c>
      <c r="DS305" s="319" t="s">
        <v>428</v>
      </c>
      <c r="DT305" s="319" t="s">
        <v>428</v>
      </c>
      <c r="DU305" s="319" t="s">
        <v>428</v>
      </c>
      <c r="DV305" s="319" t="s">
        <v>173</v>
      </c>
      <c r="DW305" s="319" t="s">
        <v>428</v>
      </c>
      <c r="DX305" s="319" t="s">
        <v>428</v>
      </c>
      <c r="DY305" s="319" t="s">
        <v>428</v>
      </c>
      <c r="DZ305" s="319" t="s">
        <v>428</v>
      </c>
      <c r="EA305" s="319" t="s">
        <v>428</v>
      </c>
      <c r="EB305" s="319" t="s">
        <v>428</v>
      </c>
      <c r="EC305" s="319" t="s">
        <v>428</v>
      </c>
      <c r="ED305" s="319" t="s">
        <v>190</v>
      </c>
      <c r="EE305" s="319" t="s">
        <v>190</v>
      </c>
      <c r="EF305" s="319" t="s">
        <v>190</v>
      </c>
      <c r="EG305" s="319" t="s">
        <v>190</v>
      </c>
      <c r="EH305" s="319" t="s">
        <v>190</v>
      </c>
      <c r="EI305" s="319" t="s">
        <v>190</v>
      </c>
      <c r="EJ305" s="319" t="s">
        <v>190</v>
      </c>
      <c r="EK305" s="319" t="s">
        <v>190</v>
      </c>
      <c r="EL305" s="319" t="s">
        <v>190</v>
      </c>
      <c r="EM305" s="319" t="s">
        <v>190</v>
      </c>
      <c r="EN305" s="319" t="s">
        <v>190</v>
      </c>
      <c r="EO305" s="319" t="s">
        <v>190</v>
      </c>
      <c r="EP305" s="319" t="s">
        <v>190</v>
      </c>
      <c r="EQ305" s="319" t="s">
        <v>190</v>
      </c>
      <c r="ER305" s="319" t="s">
        <v>190</v>
      </c>
      <c r="ES305" s="319" t="s">
        <v>190</v>
      </c>
      <c r="ET305" s="319" t="s">
        <v>190</v>
      </c>
      <c r="EU305" s="319" t="s">
        <v>190</v>
      </c>
      <c r="EV305" s="319" t="s">
        <v>190</v>
      </c>
      <c r="EW305" s="319" t="s">
        <v>190</v>
      </c>
      <c r="EX305" s="319" t="s">
        <v>190</v>
      </c>
      <c r="EY305" s="319" t="s">
        <v>190</v>
      </c>
      <c r="EZ305" s="319" t="s">
        <v>190</v>
      </c>
      <c r="FA305" s="319" t="s">
        <v>428</v>
      </c>
      <c r="FB305" s="319" t="s">
        <v>428</v>
      </c>
      <c r="FC305" s="319" t="s">
        <v>428</v>
      </c>
      <c r="FD305" s="319" t="s">
        <v>428</v>
      </c>
      <c r="FE305" s="319" t="s">
        <v>428</v>
      </c>
      <c r="FF305" s="319" t="s">
        <v>428</v>
      </c>
      <c r="FG305" s="319" t="s">
        <v>428</v>
      </c>
      <c r="FH305" s="319" t="s">
        <v>190</v>
      </c>
      <c r="FI305" s="319" t="s">
        <v>190</v>
      </c>
      <c r="FJ305" s="319" t="s">
        <v>190</v>
      </c>
      <c r="FK305" s="319" t="s">
        <v>190</v>
      </c>
      <c r="FL305" s="319" t="s">
        <v>190</v>
      </c>
      <c r="FM305" s="319" t="s">
        <v>190</v>
      </c>
      <c r="FN305" s="319" t="s">
        <v>428</v>
      </c>
      <c r="FO305" s="319" t="s">
        <v>190</v>
      </c>
      <c r="FP305" s="319" t="s">
        <v>190</v>
      </c>
      <c r="FQ305" s="319" t="s">
        <v>190</v>
      </c>
      <c r="FR305" s="319" t="s">
        <v>190</v>
      </c>
      <c r="FS305" s="319" t="s">
        <v>428</v>
      </c>
      <c r="FT305" s="319" t="s">
        <v>190</v>
      </c>
      <c r="FU305" s="319" t="s">
        <v>190</v>
      </c>
      <c r="FV305" s="319" t="s">
        <v>190</v>
      </c>
      <c r="FW305" s="319" t="s">
        <v>190</v>
      </c>
      <c r="FX305" s="319" t="s">
        <v>190</v>
      </c>
      <c r="FY305" s="319" t="s">
        <v>190</v>
      </c>
      <c r="FZ305" s="319" t="s">
        <v>190</v>
      </c>
      <c r="GA305" s="319" t="s">
        <v>190</v>
      </c>
      <c r="GB305" s="319" t="s">
        <v>190</v>
      </c>
      <c r="GC305" s="319" t="s">
        <v>190</v>
      </c>
      <c r="GD305" s="319" t="s">
        <v>190</v>
      </c>
      <c r="GE305" s="319" t="s">
        <v>190</v>
      </c>
      <c r="GF305" s="319" t="s">
        <v>190</v>
      </c>
      <c r="GG305" s="319" t="s">
        <v>190</v>
      </c>
      <c r="GH305" s="319" t="s">
        <v>190</v>
      </c>
      <c r="GI305" s="319" t="s">
        <v>190</v>
      </c>
      <c r="GJ305" s="319" t="s">
        <v>190</v>
      </c>
      <c r="GK305" s="319" t="s">
        <v>428</v>
      </c>
      <c r="GL305" s="319" t="s">
        <v>190</v>
      </c>
      <c r="GM305" s="319" t="s">
        <v>190</v>
      </c>
      <c r="GN305" s="319" t="s">
        <v>190</v>
      </c>
      <c r="GO305" s="319" t="s">
        <v>190</v>
      </c>
      <c r="GP305" s="319" t="s">
        <v>190</v>
      </c>
      <c r="GQ305" s="319" t="s">
        <v>428</v>
      </c>
      <c r="GR305" s="319" t="s">
        <v>190</v>
      </c>
      <c r="GS305" s="319" t="s">
        <v>190</v>
      </c>
      <c r="GT305" s="319" t="s">
        <v>428</v>
      </c>
      <c r="GU305" s="319" t="s">
        <v>428</v>
      </c>
      <c r="GV305" s="319" t="s">
        <v>190</v>
      </c>
      <c r="GW305" s="319" t="s">
        <v>190</v>
      </c>
      <c r="GX305" s="319" t="s">
        <v>190</v>
      </c>
      <c r="GY305" s="319" t="s">
        <v>190</v>
      </c>
      <c r="GZ305" s="319" t="s">
        <v>428</v>
      </c>
      <c r="HA305" s="319" t="s">
        <v>190</v>
      </c>
      <c r="HB305" s="319" t="s">
        <v>190</v>
      </c>
      <c r="HC305" s="319" t="s">
        <v>190</v>
      </c>
      <c r="HD305" s="319" t="s">
        <v>190</v>
      </c>
      <c r="HE305" s="319" t="s">
        <v>190</v>
      </c>
      <c r="HF305" s="319" t="s">
        <v>428</v>
      </c>
      <c r="HG305" s="319" t="s">
        <v>190</v>
      </c>
      <c r="HH305" s="319" t="s">
        <v>190</v>
      </c>
      <c r="HI305" s="319" t="s">
        <v>190</v>
      </c>
      <c r="HJ305" s="319" t="s">
        <v>190</v>
      </c>
      <c r="HK305" s="319" t="s">
        <v>190</v>
      </c>
      <c r="HL305" s="319" t="s">
        <v>428</v>
      </c>
      <c r="HM305" s="319" t="s">
        <v>428</v>
      </c>
      <c r="HN305" s="319" t="s">
        <v>428</v>
      </c>
      <c r="HO305" s="319" t="s">
        <v>428</v>
      </c>
      <c r="HP305" s="319" t="s">
        <v>190</v>
      </c>
      <c r="HQ305" s="319" t="s">
        <v>190</v>
      </c>
      <c r="HR305" s="319" t="s">
        <v>190</v>
      </c>
      <c r="HS305" s="319" t="s">
        <v>190</v>
      </c>
      <c r="HT305" s="319" t="s">
        <v>190</v>
      </c>
      <c r="HU305" s="319" t="s">
        <v>190</v>
      </c>
      <c r="HV305" s="319" t="s">
        <v>190</v>
      </c>
      <c r="HW305" s="319" t="s">
        <v>190</v>
      </c>
      <c r="HX305" s="319" t="s">
        <v>190</v>
      </c>
      <c r="HY305" s="319" t="s">
        <v>190</v>
      </c>
      <c r="HZ305" s="319" t="s">
        <v>190</v>
      </c>
      <c r="IA305" s="319" t="s">
        <v>190</v>
      </c>
      <c r="IB305" s="319" t="s">
        <v>190</v>
      </c>
      <c r="IC305" s="319" t="s">
        <v>190</v>
      </c>
      <c r="ID305" s="319" t="s">
        <v>190</v>
      </c>
      <c r="IE305" s="319" t="s">
        <v>190</v>
      </c>
      <c r="IF305" s="319" t="s">
        <v>191</v>
      </c>
      <c r="IG305" s="319" t="s">
        <v>191</v>
      </c>
      <c r="IH305" s="319" t="s">
        <v>191</v>
      </c>
      <c r="II305" s="319" t="s">
        <v>190</v>
      </c>
      <c r="IJ305" s="319" t="s">
        <v>3094</v>
      </c>
      <c r="IK305" s="321">
        <v>41772</v>
      </c>
      <c r="IL305" s="321">
        <v>41774</v>
      </c>
      <c r="IM305" s="321">
        <v>41801</v>
      </c>
      <c r="IN305" s="319">
        <v>3</v>
      </c>
      <c r="IO305" s="319" t="s">
        <v>173</v>
      </c>
      <c r="IP305" s="319" t="s">
        <v>173</v>
      </c>
      <c r="IQ305" s="321" t="s">
        <v>173</v>
      </c>
      <c r="IR305" s="320" t="s">
        <v>173</v>
      </c>
      <c r="IS305" s="322" t="s">
        <v>173</v>
      </c>
      <c r="IT305" s="319" t="s">
        <v>173</v>
      </c>
    </row>
    <row r="306" spans="1:254" s="271" customFormat="1" x14ac:dyDescent="0.25">
      <c r="A306" s="318" t="str">
        <f>HYPERLINK("http://www.ofsted.gov.uk/inspection-reports/find-inspection-report/provider/ELS/131165 ","Ofsted School Webpage")</f>
        <v>Ofsted School Webpage</v>
      </c>
      <c r="B306" s="319">
        <v>131165</v>
      </c>
      <c r="C306" s="319">
        <v>2056390</v>
      </c>
      <c r="D306" s="319" t="s">
        <v>2703</v>
      </c>
      <c r="E306" s="319" t="s">
        <v>167</v>
      </c>
      <c r="F306" s="319" t="s">
        <v>81</v>
      </c>
      <c r="G306" s="319" t="s">
        <v>80</v>
      </c>
      <c r="H306" s="319" t="s">
        <v>80</v>
      </c>
      <c r="I306" s="319" t="s">
        <v>78</v>
      </c>
      <c r="J306" s="319" t="s">
        <v>424</v>
      </c>
      <c r="K306" s="319" t="s">
        <v>441</v>
      </c>
      <c r="L306" s="319" t="s">
        <v>441</v>
      </c>
      <c r="M306" s="319" t="s">
        <v>768</v>
      </c>
      <c r="N306" s="319" t="s">
        <v>2784</v>
      </c>
      <c r="O306" s="319" t="s">
        <v>1622</v>
      </c>
      <c r="P306" s="319">
        <v>700</v>
      </c>
      <c r="Q306" s="319" t="s">
        <v>2776</v>
      </c>
      <c r="R306" s="320">
        <v>10035790</v>
      </c>
      <c r="S306" s="321">
        <v>42997</v>
      </c>
      <c r="T306" s="321">
        <v>42999</v>
      </c>
      <c r="U306" s="321">
        <v>43026</v>
      </c>
      <c r="V306" s="319" t="s">
        <v>425</v>
      </c>
      <c r="W306" s="319" t="s">
        <v>2767</v>
      </c>
      <c r="X306" s="319">
        <v>2</v>
      </c>
      <c r="Y306" s="319" t="s">
        <v>173</v>
      </c>
      <c r="Z306" s="319" t="s">
        <v>173</v>
      </c>
      <c r="AA306" s="319" t="s">
        <v>173</v>
      </c>
      <c r="AB306" s="319">
        <v>2</v>
      </c>
      <c r="AC306" s="319" t="s">
        <v>169</v>
      </c>
      <c r="AD306" s="319">
        <v>2</v>
      </c>
      <c r="AE306" s="319" t="s">
        <v>173</v>
      </c>
      <c r="AF306" s="319" t="s">
        <v>427</v>
      </c>
      <c r="AG306" s="319" t="s">
        <v>171</v>
      </c>
      <c r="AH306" s="319" t="s">
        <v>190</v>
      </c>
      <c r="AI306" s="319" t="s">
        <v>190</v>
      </c>
      <c r="AJ306" s="319" t="s">
        <v>190</v>
      </c>
      <c r="AK306" s="319" t="s">
        <v>190</v>
      </c>
      <c r="AL306" s="319" t="s">
        <v>190</v>
      </c>
      <c r="AM306" s="319" t="s">
        <v>190</v>
      </c>
      <c r="AN306" s="319" t="s">
        <v>190</v>
      </c>
      <c r="AO306" s="319" t="s">
        <v>190</v>
      </c>
      <c r="AP306" s="319" t="s">
        <v>190</v>
      </c>
      <c r="AQ306" s="319" t="s">
        <v>190</v>
      </c>
      <c r="AR306" s="319" t="s">
        <v>190</v>
      </c>
      <c r="AS306" s="319" t="s">
        <v>190</v>
      </c>
      <c r="AT306" s="319" t="s">
        <v>190</v>
      </c>
      <c r="AU306" s="319" t="s">
        <v>190</v>
      </c>
      <c r="AV306" s="319" t="s">
        <v>190</v>
      </c>
      <c r="AW306" s="319" t="s">
        <v>190</v>
      </c>
      <c r="AX306" s="319" t="s">
        <v>428</v>
      </c>
      <c r="AY306" s="319" t="s">
        <v>190</v>
      </c>
      <c r="AZ306" s="319" t="s">
        <v>190</v>
      </c>
      <c r="BA306" s="319" t="s">
        <v>190</v>
      </c>
      <c r="BB306" s="319" t="s">
        <v>190</v>
      </c>
      <c r="BC306" s="319" t="s">
        <v>190</v>
      </c>
      <c r="BD306" s="319" t="s">
        <v>190</v>
      </c>
      <c r="BE306" s="319" t="s">
        <v>190</v>
      </c>
      <c r="BF306" s="319" t="s">
        <v>190</v>
      </c>
      <c r="BG306" s="319" t="s">
        <v>428</v>
      </c>
      <c r="BH306" s="319" t="s">
        <v>190</v>
      </c>
      <c r="BI306" s="319" t="s">
        <v>190</v>
      </c>
      <c r="BJ306" s="319" t="s">
        <v>190</v>
      </c>
      <c r="BK306" s="319" t="s">
        <v>190</v>
      </c>
      <c r="BL306" s="319" t="s">
        <v>190</v>
      </c>
      <c r="BM306" s="319" t="s">
        <v>190</v>
      </c>
      <c r="BN306" s="319" t="s">
        <v>190</v>
      </c>
      <c r="BO306" s="319" t="s">
        <v>190</v>
      </c>
      <c r="BP306" s="319" t="s">
        <v>190</v>
      </c>
      <c r="BQ306" s="319" t="s">
        <v>190</v>
      </c>
      <c r="BR306" s="319" t="s">
        <v>190</v>
      </c>
      <c r="BS306" s="319" t="s">
        <v>190</v>
      </c>
      <c r="BT306" s="319" t="s">
        <v>190</v>
      </c>
      <c r="BU306" s="319" t="s">
        <v>190</v>
      </c>
      <c r="BV306" s="319" t="s">
        <v>190</v>
      </c>
      <c r="BW306" s="319" t="s">
        <v>190</v>
      </c>
      <c r="BX306" s="319" t="s">
        <v>190</v>
      </c>
      <c r="BY306" s="319" t="s">
        <v>190</v>
      </c>
      <c r="BZ306" s="319" t="s">
        <v>190</v>
      </c>
      <c r="CA306" s="319" t="s">
        <v>190</v>
      </c>
      <c r="CB306" s="319" t="s">
        <v>190</v>
      </c>
      <c r="CC306" s="319" t="s">
        <v>190</v>
      </c>
      <c r="CD306" s="319" t="s">
        <v>190</v>
      </c>
      <c r="CE306" s="319" t="s">
        <v>190</v>
      </c>
      <c r="CF306" s="319" t="s">
        <v>190</v>
      </c>
      <c r="CG306" s="319" t="s">
        <v>190</v>
      </c>
      <c r="CH306" s="319" t="s">
        <v>190</v>
      </c>
      <c r="CI306" s="319" t="s">
        <v>190</v>
      </c>
      <c r="CJ306" s="319" t="s">
        <v>190</v>
      </c>
      <c r="CK306" s="319" t="s">
        <v>190</v>
      </c>
      <c r="CL306" s="319" t="s">
        <v>190</v>
      </c>
      <c r="CM306" s="319" t="s">
        <v>190</v>
      </c>
      <c r="CN306" s="319" t="s">
        <v>428</v>
      </c>
      <c r="CO306" s="319" t="s">
        <v>428</v>
      </c>
      <c r="CP306" s="319" t="s">
        <v>428</v>
      </c>
      <c r="CQ306" s="319" t="s">
        <v>190</v>
      </c>
      <c r="CR306" s="319" t="s">
        <v>190</v>
      </c>
      <c r="CS306" s="319" t="s">
        <v>190</v>
      </c>
      <c r="CT306" s="319" t="s">
        <v>190</v>
      </c>
      <c r="CU306" s="319" t="s">
        <v>190</v>
      </c>
      <c r="CV306" s="319" t="s">
        <v>190</v>
      </c>
      <c r="CW306" s="319" t="s">
        <v>190</v>
      </c>
      <c r="CX306" s="319" t="s">
        <v>190</v>
      </c>
      <c r="CY306" s="319" t="s">
        <v>190</v>
      </c>
      <c r="CZ306" s="319" t="s">
        <v>190</v>
      </c>
      <c r="DA306" s="319" t="s">
        <v>190</v>
      </c>
      <c r="DB306" s="319" t="s">
        <v>190</v>
      </c>
      <c r="DC306" s="319" t="s">
        <v>190</v>
      </c>
      <c r="DD306" s="319" t="s">
        <v>190</v>
      </c>
      <c r="DE306" s="319" t="s">
        <v>190</v>
      </c>
      <c r="DF306" s="319" t="s">
        <v>190</v>
      </c>
      <c r="DG306" s="319" t="s">
        <v>190</v>
      </c>
      <c r="DH306" s="319" t="s">
        <v>190</v>
      </c>
      <c r="DI306" s="319" t="s">
        <v>190</v>
      </c>
      <c r="DJ306" s="319" t="s">
        <v>190</v>
      </c>
      <c r="DK306" s="319" t="s">
        <v>190</v>
      </c>
      <c r="DL306" s="319" t="s">
        <v>190</v>
      </c>
      <c r="DM306" s="319" t="s">
        <v>190</v>
      </c>
      <c r="DN306" s="319" t="s">
        <v>190</v>
      </c>
      <c r="DO306" s="319" t="s">
        <v>190</v>
      </c>
      <c r="DP306" s="319" t="s">
        <v>428</v>
      </c>
      <c r="DQ306" s="319" t="s">
        <v>428</v>
      </c>
      <c r="DR306" s="319" t="s">
        <v>428</v>
      </c>
      <c r="DS306" s="319" t="s">
        <v>428</v>
      </c>
      <c r="DT306" s="319" t="s">
        <v>428</v>
      </c>
      <c r="DU306" s="319" t="s">
        <v>428</v>
      </c>
      <c r="DV306" s="319" t="s">
        <v>173</v>
      </c>
      <c r="DW306" s="319" t="s">
        <v>428</v>
      </c>
      <c r="DX306" s="319" t="s">
        <v>428</v>
      </c>
      <c r="DY306" s="319" t="s">
        <v>428</v>
      </c>
      <c r="DZ306" s="319" t="s">
        <v>428</v>
      </c>
      <c r="EA306" s="319" t="s">
        <v>428</v>
      </c>
      <c r="EB306" s="319" t="s">
        <v>428</v>
      </c>
      <c r="EC306" s="319" t="s">
        <v>428</v>
      </c>
      <c r="ED306" s="319" t="s">
        <v>428</v>
      </c>
      <c r="EE306" s="319" t="s">
        <v>190</v>
      </c>
      <c r="EF306" s="319" t="s">
        <v>190</v>
      </c>
      <c r="EG306" s="319" t="s">
        <v>190</v>
      </c>
      <c r="EH306" s="319" t="s">
        <v>190</v>
      </c>
      <c r="EI306" s="319" t="s">
        <v>190</v>
      </c>
      <c r="EJ306" s="319" t="s">
        <v>190</v>
      </c>
      <c r="EK306" s="319" t="s">
        <v>190</v>
      </c>
      <c r="EL306" s="319" t="s">
        <v>190</v>
      </c>
      <c r="EM306" s="319" t="s">
        <v>190</v>
      </c>
      <c r="EN306" s="319" t="s">
        <v>190</v>
      </c>
      <c r="EO306" s="319" t="s">
        <v>190</v>
      </c>
      <c r="EP306" s="319" t="s">
        <v>190</v>
      </c>
      <c r="EQ306" s="319" t="s">
        <v>190</v>
      </c>
      <c r="ER306" s="319" t="s">
        <v>190</v>
      </c>
      <c r="ES306" s="319" t="s">
        <v>190</v>
      </c>
      <c r="ET306" s="319" t="s">
        <v>190</v>
      </c>
      <c r="EU306" s="319" t="s">
        <v>190</v>
      </c>
      <c r="EV306" s="319" t="s">
        <v>190</v>
      </c>
      <c r="EW306" s="319" t="s">
        <v>190</v>
      </c>
      <c r="EX306" s="319" t="s">
        <v>190</v>
      </c>
      <c r="EY306" s="319" t="s">
        <v>190</v>
      </c>
      <c r="EZ306" s="319" t="s">
        <v>190</v>
      </c>
      <c r="FA306" s="319" t="s">
        <v>190</v>
      </c>
      <c r="FB306" s="319" t="s">
        <v>190</v>
      </c>
      <c r="FC306" s="319" t="s">
        <v>190</v>
      </c>
      <c r="FD306" s="319" t="s">
        <v>190</v>
      </c>
      <c r="FE306" s="319" t="s">
        <v>190</v>
      </c>
      <c r="FF306" s="319" t="s">
        <v>190</v>
      </c>
      <c r="FG306" s="319" t="s">
        <v>190</v>
      </c>
      <c r="FH306" s="319" t="s">
        <v>190</v>
      </c>
      <c r="FI306" s="319" t="s">
        <v>190</v>
      </c>
      <c r="FJ306" s="319" t="s">
        <v>190</v>
      </c>
      <c r="FK306" s="319" t="s">
        <v>190</v>
      </c>
      <c r="FL306" s="319" t="s">
        <v>190</v>
      </c>
      <c r="FM306" s="319" t="s">
        <v>190</v>
      </c>
      <c r="FN306" s="319" t="s">
        <v>190</v>
      </c>
      <c r="FO306" s="319" t="s">
        <v>190</v>
      </c>
      <c r="FP306" s="319" t="s">
        <v>190</v>
      </c>
      <c r="FQ306" s="319" t="s">
        <v>190</v>
      </c>
      <c r="FR306" s="319" t="s">
        <v>190</v>
      </c>
      <c r="FS306" s="319" t="s">
        <v>428</v>
      </c>
      <c r="FT306" s="319" t="s">
        <v>190</v>
      </c>
      <c r="FU306" s="319" t="s">
        <v>190</v>
      </c>
      <c r="FV306" s="319" t="s">
        <v>190</v>
      </c>
      <c r="FW306" s="319" t="s">
        <v>190</v>
      </c>
      <c r="FX306" s="319" t="s">
        <v>190</v>
      </c>
      <c r="FY306" s="319" t="s">
        <v>190</v>
      </c>
      <c r="FZ306" s="319" t="s">
        <v>190</v>
      </c>
      <c r="GA306" s="319" t="s">
        <v>190</v>
      </c>
      <c r="GB306" s="319" t="s">
        <v>190</v>
      </c>
      <c r="GC306" s="319" t="s">
        <v>190</v>
      </c>
      <c r="GD306" s="319" t="s">
        <v>190</v>
      </c>
      <c r="GE306" s="319" t="s">
        <v>190</v>
      </c>
      <c r="GF306" s="319" t="s">
        <v>190</v>
      </c>
      <c r="GG306" s="319" t="s">
        <v>190</v>
      </c>
      <c r="GH306" s="319" t="s">
        <v>190</v>
      </c>
      <c r="GI306" s="319" t="s">
        <v>190</v>
      </c>
      <c r="GJ306" s="319" t="s">
        <v>190</v>
      </c>
      <c r="GK306" s="319" t="s">
        <v>428</v>
      </c>
      <c r="GL306" s="319" t="s">
        <v>190</v>
      </c>
      <c r="GM306" s="319" t="s">
        <v>190</v>
      </c>
      <c r="GN306" s="319" t="s">
        <v>190</v>
      </c>
      <c r="GO306" s="319" t="s">
        <v>190</v>
      </c>
      <c r="GP306" s="319" t="s">
        <v>190</v>
      </c>
      <c r="GQ306" s="319" t="s">
        <v>428</v>
      </c>
      <c r="GR306" s="319" t="s">
        <v>190</v>
      </c>
      <c r="GS306" s="319" t="s">
        <v>190</v>
      </c>
      <c r="GT306" s="319" t="s">
        <v>428</v>
      </c>
      <c r="GU306" s="319" t="s">
        <v>190</v>
      </c>
      <c r="GV306" s="319" t="s">
        <v>190</v>
      </c>
      <c r="GW306" s="319" t="s">
        <v>190</v>
      </c>
      <c r="GX306" s="319" t="s">
        <v>190</v>
      </c>
      <c r="GY306" s="319" t="s">
        <v>190</v>
      </c>
      <c r="GZ306" s="319" t="s">
        <v>428</v>
      </c>
      <c r="HA306" s="319" t="s">
        <v>190</v>
      </c>
      <c r="HB306" s="319" t="s">
        <v>190</v>
      </c>
      <c r="HC306" s="319" t="s">
        <v>190</v>
      </c>
      <c r="HD306" s="319" t="s">
        <v>190</v>
      </c>
      <c r="HE306" s="319" t="s">
        <v>190</v>
      </c>
      <c r="HF306" s="319" t="s">
        <v>190</v>
      </c>
      <c r="HG306" s="319" t="s">
        <v>190</v>
      </c>
      <c r="HH306" s="319" t="s">
        <v>190</v>
      </c>
      <c r="HI306" s="319" t="s">
        <v>190</v>
      </c>
      <c r="HJ306" s="319" t="s">
        <v>190</v>
      </c>
      <c r="HK306" s="319" t="s">
        <v>190</v>
      </c>
      <c r="HL306" s="319" t="s">
        <v>190</v>
      </c>
      <c r="HM306" s="319" t="s">
        <v>190</v>
      </c>
      <c r="HN306" s="319" t="s">
        <v>190</v>
      </c>
      <c r="HO306" s="319" t="s">
        <v>190</v>
      </c>
      <c r="HP306" s="319" t="s">
        <v>190</v>
      </c>
      <c r="HQ306" s="319" t="s">
        <v>190</v>
      </c>
      <c r="HR306" s="319" t="s">
        <v>190</v>
      </c>
      <c r="HS306" s="319" t="s">
        <v>190</v>
      </c>
      <c r="HT306" s="319" t="s">
        <v>190</v>
      </c>
      <c r="HU306" s="319" t="s">
        <v>190</v>
      </c>
      <c r="HV306" s="319" t="s">
        <v>190</v>
      </c>
      <c r="HW306" s="319" t="s">
        <v>190</v>
      </c>
      <c r="HX306" s="319" t="s">
        <v>190</v>
      </c>
      <c r="HY306" s="319" t="s">
        <v>190</v>
      </c>
      <c r="HZ306" s="319" t="s">
        <v>190</v>
      </c>
      <c r="IA306" s="319" t="s">
        <v>190</v>
      </c>
      <c r="IB306" s="319" t="s">
        <v>190</v>
      </c>
      <c r="IC306" s="319" t="s">
        <v>190</v>
      </c>
      <c r="ID306" s="319" t="s">
        <v>190</v>
      </c>
      <c r="IE306" s="319" t="s">
        <v>190</v>
      </c>
      <c r="IF306" s="319" t="s">
        <v>190</v>
      </c>
      <c r="IG306" s="319" t="s">
        <v>190</v>
      </c>
      <c r="IH306" s="319" t="s">
        <v>190</v>
      </c>
      <c r="II306" s="319" t="s">
        <v>190</v>
      </c>
      <c r="IJ306" s="319" t="s">
        <v>3095</v>
      </c>
      <c r="IK306" s="321">
        <v>41793</v>
      </c>
      <c r="IL306" s="321">
        <v>41795</v>
      </c>
      <c r="IM306" s="321">
        <v>41814</v>
      </c>
      <c r="IN306" s="319">
        <v>1</v>
      </c>
      <c r="IO306" s="319" t="s">
        <v>173</v>
      </c>
      <c r="IP306" s="319" t="s">
        <v>173</v>
      </c>
      <c r="IQ306" s="321" t="s">
        <v>173</v>
      </c>
      <c r="IR306" s="320" t="s">
        <v>173</v>
      </c>
      <c r="IS306" s="322" t="s">
        <v>173</v>
      </c>
      <c r="IT306" s="319" t="s">
        <v>173</v>
      </c>
    </row>
    <row r="307" spans="1:254" s="271" customFormat="1" x14ac:dyDescent="0.25">
      <c r="A307" s="318" t="str">
        <f>HYPERLINK("http://www.ofsted.gov.uk/inspection-reports/find-inspection-report/provider/ELS/131170 ","Ofsted School Webpage")</f>
        <v>Ofsted School Webpage</v>
      </c>
      <c r="B307" s="319">
        <v>131170</v>
      </c>
      <c r="C307" s="319">
        <v>2046398</v>
      </c>
      <c r="D307" s="319" t="s">
        <v>1623</v>
      </c>
      <c r="E307" s="319" t="s">
        <v>167</v>
      </c>
      <c r="F307" s="319" t="s">
        <v>81</v>
      </c>
      <c r="G307" s="319" t="s">
        <v>70</v>
      </c>
      <c r="H307" s="319" t="s">
        <v>70</v>
      </c>
      <c r="I307" s="319" t="s">
        <v>69</v>
      </c>
      <c r="J307" s="319" t="s">
        <v>424</v>
      </c>
      <c r="K307" s="319" t="s">
        <v>441</v>
      </c>
      <c r="L307" s="319" t="s">
        <v>441</v>
      </c>
      <c r="M307" s="319" t="s">
        <v>547</v>
      </c>
      <c r="N307" s="319" t="s">
        <v>2774</v>
      </c>
      <c r="O307" s="319" t="s">
        <v>1624</v>
      </c>
      <c r="P307" s="319">
        <v>279</v>
      </c>
      <c r="Q307" s="319" t="s">
        <v>2766</v>
      </c>
      <c r="R307" s="320">
        <v>10092522</v>
      </c>
      <c r="S307" s="321">
        <v>43648</v>
      </c>
      <c r="T307" s="321">
        <v>43650</v>
      </c>
      <c r="U307" s="321">
        <v>43675</v>
      </c>
      <c r="V307" s="319" t="s">
        <v>425</v>
      </c>
      <c r="W307" s="319" t="s">
        <v>2767</v>
      </c>
      <c r="X307" s="319">
        <v>3</v>
      </c>
      <c r="Y307" s="319" t="s">
        <v>173</v>
      </c>
      <c r="Z307" s="319" t="s">
        <v>173</v>
      </c>
      <c r="AA307" s="319" t="s">
        <v>173</v>
      </c>
      <c r="AB307" s="319">
        <v>3</v>
      </c>
      <c r="AC307" s="319" t="s">
        <v>169</v>
      </c>
      <c r="AD307" s="319">
        <v>3</v>
      </c>
      <c r="AE307" s="319" t="s">
        <v>173</v>
      </c>
      <c r="AF307" s="319" t="s">
        <v>427</v>
      </c>
      <c r="AG307" s="319" t="s">
        <v>171</v>
      </c>
      <c r="AH307" s="319" t="s">
        <v>190</v>
      </c>
      <c r="AI307" s="319" t="s">
        <v>190</v>
      </c>
      <c r="AJ307" s="319" t="s">
        <v>190</v>
      </c>
      <c r="AK307" s="319" t="s">
        <v>190</v>
      </c>
      <c r="AL307" s="319" t="s">
        <v>190</v>
      </c>
      <c r="AM307" s="319" t="s">
        <v>190</v>
      </c>
      <c r="AN307" s="319" t="s">
        <v>190</v>
      </c>
      <c r="AO307" s="319" t="s">
        <v>190</v>
      </c>
      <c r="AP307" s="319" t="s">
        <v>190</v>
      </c>
      <c r="AQ307" s="319" t="s">
        <v>190</v>
      </c>
      <c r="AR307" s="319" t="s">
        <v>190</v>
      </c>
      <c r="AS307" s="319" t="s">
        <v>190</v>
      </c>
      <c r="AT307" s="319" t="s">
        <v>190</v>
      </c>
      <c r="AU307" s="319" t="s">
        <v>190</v>
      </c>
      <c r="AV307" s="319" t="s">
        <v>190</v>
      </c>
      <c r="AW307" s="319" t="s">
        <v>190</v>
      </c>
      <c r="AX307" s="319" t="s">
        <v>190</v>
      </c>
      <c r="AY307" s="319" t="s">
        <v>190</v>
      </c>
      <c r="AZ307" s="319" t="s">
        <v>190</v>
      </c>
      <c r="BA307" s="319" t="s">
        <v>190</v>
      </c>
      <c r="BB307" s="319" t="s">
        <v>190</v>
      </c>
      <c r="BC307" s="319" t="s">
        <v>190</v>
      </c>
      <c r="BD307" s="319" t="s">
        <v>190</v>
      </c>
      <c r="BE307" s="319" t="s">
        <v>190</v>
      </c>
      <c r="BF307" s="319" t="s">
        <v>190</v>
      </c>
      <c r="BG307" s="319" t="s">
        <v>190</v>
      </c>
      <c r="BH307" s="319" t="s">
        <v>190</v>
      </c>
      <c r="BI307" s="319" t="s">
        <v>190</v>
      </c>
      <c r="BJ307" s="319" t="s">
        <v>190</v>
      </c>
      <c r="BK307" s="319" t="s">
        <v>190</v>
      </c>
      <c r="BL307" s="319" t="s">
        <v>190</v>
      </c>
      <c r="BM307" s="319" t="s">
        <v>190</v>
      </c>
      <c r="BN307" s="319" t="s">
        <v>190</v>
      </c>
      <c r="BO307" s="319" t="s">
        <v>190</v>
      </c>
      <c r="BP307" s="319" t="s">
        <v>190</v>
      </c>
      <c r="BQ307" s="319" t="s">
        <v>190</v>
      </c>
      <c r="BR307" s="319" t="s">
        <v>190</v>
      </c>
      <c r="BS307" s="319" t="s">
        <v>190</v>
      </c>
      <c r="BT307" s="319" t="s">
        <v>190</v>
      </c>
      <c r="BU307" s="319" t="s">
        <v>190</v>
      </c>
      <c r="BV307" s="319" t="s">
        <v>190</v>
      </c>
      <c r="BW307" s="319" t="s">
        <v>190</v>
      </c>
      <c r="BX307" s="319" t="s">
        <v>190</v>
      </c>
      <c r="BY307" s="319" t="s">
        <v>190</v>
      </c>
      <c r="BZ307" s="319" t="s">
        <v>190</v>
      </c>
      <c r="CA307" s="319" t="s">
        <v>190</v>
      </c>
      <c r="CB307" s="319" t="s">
        <v>190</v>
      </c>
      <c r="CC307" s="319" t="s">
        <v>190</v>
      </c>
      <c r="CD307" s="319" t="s">
        <v>190</v>
      </c>
      <c r="CE307" s="319" t="s">
        <v>190</v>
      </c>
      <c r="CF307" s="319" t="s">
        <v>190</v>
      </c>
      <c r="CG307" s="319" t="s">
        <v>190</v>
      </c>
      <c r="CH307" s="319" t="s">
        <v>190</v>
      </c>
      <c r="CI307" s="319" t="s">
        <v>190</v>
      </c>
      <c r="CJ307" s="319" t="s">
        <v>190</v>
      </c>
      <c r="CK307" s="319" t="s">
        <v>190</v>
      </c>
      <c r="CL307" s="319" t="s">
        <v>190</v>
      </c>
      <c r="CM307" s="319" t="s">
        <v>190</v>
      </c>
      <c r="CN307" s="319" t="s">
        <v>190</v>
      </c>
      <c r="CO307" s="319" t="s">
        <v>428</v>
      </c>
      <c r="CP307" s="319" t="s">
        <v>428</v>
      </c>
      <c r="CQ307" s="319" t="s">
        <v>190</v>
      </c>
      <c r="CR307" s="319" t="s">
        <v>190</v>
      </c>
      <c r="CS307" s="319" t="s">
        <v>190</v>
      </c>
      <c r="CT307" s="319" t="s">
        <v>190</v>
      </c>
      <c r="CU307" s="319" t="s">
        <v>190</v>
      </c>
      <c r="CV307" s="319" t="s">
        <v>190</v>
      </c>
      <c r="CW307" s="319" t="s">
        <v>190</v>
      </c>
      <c r="CX307" s="319" t="s">
        <v>190</v>
      </c>
      <c r="CY307" s="319" t="s">
        <v>190</v>
      </c>
      <c r="CZ307" s="319" t="s">
        <v>190</v>
      </c>
      <c r="DA307" s="319" t="s">
        <v>190</v>
      </c>
      <c r="DB307" s="319" t="s">
        <v>190</v>
      </c>
      <c r="DC307" s="319" t="s">
        <v>190</v>
      </c>
      <c r="DD307" s="319" t="s">
        <v>190</v>
      </c>
      <c r="DE307" s="319" t="s">
        <v>190</v>
      </c>
      <c r="DF307" s="319" t="s">
        <v>190</v>
      </c>
      <c r="DG307" s="319" t="s">
        <v>190</v>
      </c>
      <c r="DH307" s="319" t="s">
        <v>190</v>
      </c>
      <c r="DI307" s="319" t="s">
        <v>190</v>
      </c>
      <c r="DJ307" s="319" t="s">
        <v>190</v>
      </c>
      <c r="DK307" s="319" t="s">
        <v>190</v>
      </c>
      <c r="DL307" s="319" t="s">
        <v>190</v>
      </c>
      <c r="DM307" s="319" t="s">
        <v>190</v>
      </c>
      <c r="DN307" s="319" t="s">
        <v>428</v>
      </c>
      <c r="DO307" s="319" t="s">
        <v>190</v>
      </c>
      <c r="DP307" s="319" t="s">
        <v>190</v>
      </c>
      <c r="DQ307" s="319" t="s">
        <v>190</v>
      </c>
      <c r="DR307" s="319" t="s">
        <v>190</v>
      </c>
      <c r="DS307" s="319" t="s">
        <v>190</v>
      </c>
      <c r="DT307" s="319" t="s">
        <v>190</v>
      </c>
      <c r="DU307" s="319" t="s">
        <v>190</v>
      </c>
      <c r="DV307" s="319" t="s">
        <v>173</v>
      </c>
      <c r="DW307" s="319" t="s">
        <v>190</v>
      </c>
      <c r="DX307" s="319" t="s">
        <v>190</v>
      </c>
      <c r="DY307" s="319" t="s">
        <v>190</v>
      </c>
      <c r="DZ307" s="319" t="s">
        <v>190</v>
      </c>
      <c r="EA307" s="319" t="s">
        <v>190</v>
      </c>
      <c r="EB307" s="319" t="s">
        <v>190</v>
      </c>
      <c r="EC307" s="319" t="s">
        <v>428</v>
      </c>
      <c r="ED307" s="319" t="s">
        <v>190</v>
      </c>
      <c r="EE307" s="319" t="s">
        <v>190</v>
      </c>
      <c r="EF307" s="319" t="s">
        <v>190</v>
      </c>
      <c r="EG307" s="319" t="s">
        <v>190</v>
      </c>
      <c r="EH307" s="319" t="s">
        <v>190</v>
      </c>
      <c r="EI307" s="319" t="s">
        <v>190</v>
      </c>
      <c r="EJ307" s="319" t="s">
        <v>190</v>
      </c>
      <c r="EK307" s="319" t="s">
        <v>190</v>
      </c>
      <c r="EL307" s="319" t="s">
        <v>190</v>
      </c>
      <c r="EM307" s="319" t="s">
        <v>190</v>
      </c>
      <c r="EN307" s="319" t="s">
        <v>190</v>
      </c>
      <c r="EO307" s="319" t="s">
        <v>190</v>
      </c>
      <c r="EP307" s="319" t="s">
        <v>190</v>
      </c>
      <c r="EQ307" s="319" t="s">
        <v>190</v>
      </c>
      <c r="ER307" s="319" t="s">
        <v>190</v>
      </c>
      <c r="ES307" s="319" t="s">
        <v>190</v>
      </c>
      <c r="ET307" s="319" t="s">
        <v>190</v>
      </c>
      <c r="EU307" s="319" t="s">
        <v>190</v>
      </c>
      <c r="EV307" s="319" t="s">
        <v>190</v>
      </c>
      <c r="EW307" s="319" t="s">
        <v>190</v>
      </c>
      <c r="EX307" s="319" t="s">
        <v>190</v>
      </c>
      <c r="EY307" s="319" t="s">
        <v>190</v>
      </c>
      <c r="EZ307" s="319" t="s">
        <v>190</v>
      </c>
      <c r="FA307" s="319" t="s">
        <v>190</v>
      </c>
      <c r="FB307" s="319" t="s">
        <v>190</v>
      </c>
      <c r="FC307" s="319" t="s">
        <v>190</v>
      </c>
      <c r="FD307" s="319" t="s">
        <v>190</v>
      </c>
      <c r="FE307" s="319" t="s">
        <v>190</v>
      </c>
      <c r="FF307" s="319" t="s">
        <v>190</v>
      </c>
      <c r="FG307" s="319" t="s">
        <v>190</v>
      </c>
      <c r="FH307" s="319" t="s">
        <v>190</v>
      </c>
      <c r="FI307" s="319" t="s">
        <v>190</v>
      </c>
      <c r="FJ307" s="319" t="s">
        <v>190</v>
      </c>
      <c r="FK307" s="319" t="s">
        <v>190</v>
      </c>
      <c r="FL307" s="319" t="s">
        <v>190</v>
      </c>
      <c r="FM307" s="319" t="s">
        <v>190</v>
      </c>
      <c r="FN307" s="319" t="s">
        <v>428</v>
      </c>
      <c r="FO307" s="319" t="s">
        <v>190</v>
      </c>
      <c r="FP307" s="319" t="s">
        <v>190</v>
      </c>
      <c r="FQ307" s="319" t="s">
        <v>190</v>
      </c>
      <c r="FR307" s="319" t="s">
        <v>190</v>
      </c>
      <c r="FS307" s="319" t="s">
        <v>190</v>
      </c>
      <c r="FT307" s="319" t="s">
        <v>190</v>
      </c>
      <c r="FU307" s="319" t="s">
        <v>190</v>
      </c>
      <c r="FV307" s="319" t="s">
        <v>190</v>
      </c>
      <c r="FW307" s="319" t="s">
        <v>190</v>
      </c>
      <c r="FX307" s="319" t="s">
        <v>190</v>
      </c>
      <c r="FY307" s="319" t="s">
        <v>190</v>
      </c>
      <c r="FZ307" s="319" t="s">
        <v>190</v>
      </c>
      <c r="GA307" s="319" t="s">
        <v>190</v>
      </c>
      <c r="GB307" s="319" t="s">
        <v>190</v>
      </c>
      <c r="GC307" s="319" t="s">
        <v>190</v>
      </c>
      <c r="GD307" s="319" t="s">
        <v>190</v>
      </c>
      <c r="GE307" s="319" t="s">
        <v>190</v>
      </c>
      <c r="GF307" s="319" t="s">
        <v>190</v>
      </c>
      <c r="GG307" s="319" t="s">
        <v>190</v>
      </c>
      <c r="GH307" s="319" t="s">
        <v>190</v>
      </c>
      <c r="GI307" s="319" t="s">
        <v>190</v>
      </c>
      <c r="GJ307" s="319" t="s">
        <v>190</v>
      </c>
      <c r="GK307" s="319" t="s">
        <v>428</v>
      </c>
      <c r="GL307" s="319" t="s">
        <v>190</v>
      </c>
      <c r="GM307" s="319" t="s">
        <v>190</v>
      </c>
      <c r="GN307" s="319" t="s">
        <v>190</v>
      </c>
      <c r="GO307" s="319" t="s">
        <v>190</v>
      </c>
      <c r="GP307" s="319" t="s">
        <v>190</v>
      </c>
      <c r="GQ307" s="319" t="s">
        <v>428</v>
      </c>
      <c r="GR307" s="319" t="s">
        <v>190</v>
      </c>
      <c r="GS307" s="319" t="s">
        <v>190</v>
      </c>
      <c r="GT307" s="319" t="s">
        <v>190</v>
      </c>
      <c r="GU307" s="319" t="s">
        <v>190</v>
      </c>
      <c r="GV307" s="319" t="s">
        <v>190</v>
      </c>
      <c r="GW307" s="319" t="s">
        <v>190</v>
      </c>
      <c r="GX307" s="319" t="s">
        <v>190</v>
      </c>
      <c r="GY307" s="319" t="s">
        <v>190</v>
      </c>
      <c r="GZ307" s="319" t="s">
        <v>190</v>
      </c>
      <c r="HA307" s="319" t="s">
        <v>190</v>
      </c>
      <c r="HB307" s="319" t="s">
        <v>190</v>
      </c>
      <c r="HC307" s="319" t="s">
        <v>190</v>
      </c>
      <c r="HD307" s="319" t="s">
        <v>190</v>
      </c>
      <c r="HE307" s="319" t="s">
        <v>190</v>
      </c>
      <c r="HF307" s="319" t="s">
        <v>190</v>
      </c>
      <c r="HG307" s="319" t="s">
        <v>190</v>
      </c>
      <c r="HH307" s="319" t="s">
        <v>190</v>
      </c>
      <c r="HI307" s="319" t="s">
        <v>190</v>
      </c>
      <c r="HJ307" s="319" t="s">
        <v>190</v>
      </c>
      <c r="HK307" s="319" t="s">
        <v>190</v>
      </c>
      <c r="HL307" s="319" t="s">
        <v>190</v>
      </c>
      <c r="HM307" s="319" t="s">
        <v>190</v>
      </c>
      <c r="HN307" s="319" t="s">
        <v>190</v>
      </c>
      <c r="HO307" s="319" t="s">
        <v>190</v>
      </c>
      <c r="HP307" s="319" t="s">
        <v>190</v>
      </c>
      <c r="HQ307" s="319" t="s">
        <v>190</v>
      </c>
      <c r="HR307" s="319" t="s">
        <v>190</v>
      </c>
      <c r="HS307" s="319" t="s">
        <v>190</v>
      </c>
      <c r="HT307" s="319" t="s">
        <v>190</v>
      </c>
      <c r="HU307" s="319" t="s">
        <v>190</v>
      </c>
      <c r="HV307" s="319" t="s">
        <v>190</v>
      </c>
      <c r="HW307" s="319" t="s">
        <v>190</v>
      </c>
      <c r="HX307" s="319" t="s">
        <v>190</v>
      </c>
      <c r="HY307" s="319" t="s">
        <v>190</v>
      </c>
      <c r="HZ307" s="319" t="s">
        <v>190</v>
      </c>
      <c r="IA307" s="319" t="s">
        <v>190</v>
      </c>
      <c r="IB307" s="319" t="s">
        <v>190</v>
      </c>
      <c r="IC307" s="319" t="s">
        <v>190</v>
      </c>
      <c r="ID307" s="319" t="s">
        <v>190</v>
      </c>
      <c r="IE307" s="319" t="s">
        <v>190</v>
      </c>
      <c r="IF307" s="319" t="s">
        <v>190</v>
      </c>
      <c r="IG307" s="319" t="s">
        <v>190</v>
      </c>
      <c r="IH307" s="319" t="s">
        <v>190</v>
      </c>
      <c r="II307" s="319" t="s">
        <v>190</v>
      </c>
      <c r="IJ307" s="319">
        <v>10038160</v>
      </c>
      <c r="IK307" s="321">
        <v>43235</v>
      </c>
      <c r="IL307" s="321">
        <v>43237</v>
      </c>
      <c r="IM307" s="321">
        <v>43384</v>
      </c>
      <c r="IN307" s="319">
        <v>3</v>
      </c>
      <c r="IO307" s="319" t="s">
        <v>173</v>
      </c>
      <c r="IP307" s="319" t="s">
        <v>173</v>
      </c>
      <c r="IQ307" s="321" t="s">
        <v>173</v>
      </c>
      <c r="IR307" s="320" t="s">
        <v>173</v>
      </c>
      <c r="IS307" s="322" t="s">
        <v>173</v>
      </c>
      <c r="IT307" s="319" t="s">
        <v>173</v>
      </c>
    </row>
    <row r="308" spans="1:254" s="271" customFormat="1" x14ac:dyDescent="0.25">
      <c r="A308" s="318" t="str">
        <f>HYPERLINK("http://www.ofsted.gov.uk/inspection-reports/find-inspection-report/provider/ELS/131171 ","Ofsted School Webpage")</f>
        <v>Ofsted School Webpage</v>
      </c>
      <c r="B308" s="319">
        <v>131171</v>
      </c>
      <c r="C308" s="319">
        <v>8936099</v>
      </c>
      <c r="D308" s="319" t="s">
        <v>1625</v>
      </c>
      <c r="E308" s="319" t="s">
        <v>168</v>
      </c>
      <c r="F308" s="319" t="s">
        <v>81</v>
      </c>
      <c r="G308" s="319" t="s">
        <v>81</v>
      </c>
      <c r="H308" s="319" t="s">
        <v>81</v>
      </c>
      <c r="I308" s="319" t="s">
        <v>78</v>
      </c>
      <c r="J308" s="319" t="s">
        <v>424</v>
      </c>
      <c r="K308" s="319" t="s">
        <v>437</v>
      </c>
      <c r="L308" s="319" t="s">
        <v>437</v>
      </c>
      <c r="M308" s="319" t="s">
        <v>587</v>
      </c>
      <c r="N308" s="319" t="s">
        <v>2784</v>
      </c>
      <c r="O308" s="319" t="s">
        <v>539</v>
      </c>
      <c r="P308" s="319">
        <v>13</v>
      </c>
      <c r="Q308" s="319" t="s">
        <v>429</v>
      </c>
      <c r="R308" s="320">
        <v>10041365</v>
      </c>
      <c r="S308" s="321">
        <v>43291</v>
      </c>
      <c r="T308" s="321">
        <v>43293</v>
      </c>
      <c r="U308" s="321">
        <v>43360</v>
      </c>
      <c r="V308" s="319" t="s">
        <v>425</v>
      </c>
      <c r="W308" s="319" t="s">
        <v>2767</v>
      </c>
      <c r="X308" s="319">
        <v>2</v>
      </c>
      <c r="Y308" s="319" t="s">
        <v>173</v>
      </c>
      <c r="Z308" s="319" t="s">
        <v>173</v>
      </c>
      <c r="AA308" s="319" t="s">
        <v>173</v>
      </c>
      <c r="AB308" s="319">
        <v>2</v>
      </c>
      <c r="AC308" s="319" t="s">
        <v>169</v>
      </c>
      <c r="AD308" s="319" t="s">
        <v>173</v>
      </c>
      <c r="AE308" s="319" t="s">
        <v>173</v>
      </c>
      <c r="AF308" s="319" t="s">
        <v>427</v>
      </c>
      <c r="AG308" s="319" t="s">
        <v>171</v>
      </c>
      <c r="AH308" s="319" t="s">
        <v>190</v>
      </c>
      <c r="AI308" s="319" t="s">
        <v>190</v>
      </c>
      <c r="AJ308" s="319" t="s">
        <v>190</v>
      </c>
      <c r="AK308" s="319" t="s">
        <v>190</v>
      </c>
      <c r="AL308" s="319" t="s">
        <v>190</v>
      </c>
      <c r="AM308" s="319" t="s">
        <v>190</v>
      </c>
      <c r="AN308" s="319" t="s">
        <v>190</v>
      </c>
      <c r="AO308" s="319" t="s">
        <v>190</v>
      </c>
      <c r="AP308" s="319" t="s">
        <v>190</v>
      </c>
      <c r="AQ308" s="319" t="s">
        <v>190</v>
      </c>
      <c r="AR308" s="319" t="s">
        <v>190</v>
      </c>
      <c r="AS308" s="319" t="s">
        <v>190</v>
      </c>
      <c r="AT308" s="319" t="s">
        <v>190</v>
      </c>
      <c r="AU308" s="319" t="s">
        <v>190</v>
      </c>
      <c r="AV308" s="319" t="s">
        <v>190</v>
      </c>
      <c r="AW308" s="319" t="s">
        <v>190</v>
      </c>
      <c r="AX308" s="319" t="s">
        <v>428</v>
      </c>
      <c r="AY308" s="319" t="s">
        <v>190</v>
      </c>
      <c r="AZ308" s="319" t="s">
        <v>190</v>
      </c>
      <c r="BA308" s="319" t="s">
        <v>190</v>
      </c>
      <c r="BB308" s="319" t="s">
        <v>190</v>
      </c>
      <c r="BC308" s="319" t="s">
        <v>190</v>
      </c>
      <c r="BD308" s="319" t="s">
        <v>190</v>
      </c>
      <c r="BE308" s="319" t="s">
        <v>190</v>
      </c>
      <c r="BF308" s="319" t="s">
        <v>428</v>
      </c>
      <c r="BG308" s="319" t="s">
        <v>190</v>
      </c>
      <c r="BH308" s="319" t="s">
        <v>190</v>
      </c>
      <c r="BI308" s="319" t="s">
        <v>190</v>
      </c>
      <c r="BJ308" s="319" t="s">
        <v>190</v>
      </c>
      <c r="BK308" s="319" t="s">
        <v>190</v>
      </c>
      <c r="BL308" s="319" t="s">
        <v>190</v>
      </c>
      <c r="BM308" s="319" t="s">
        <v>190</v>
      </c>
      <c r="BN308" s="319" t="s">
        <v>190</v>
      </c>
      <c r="BO308" s="319" t="s">
        <v>190</v>
      </c>
      <c r="BP308" s="319" t="s">
        <v>190</v>
      </c>
      <c r="BQ308" s="319" t="s">
        <v>190</v>
      </c>
      <c r="BR308" s="319" t="s">
        <v>190</v>
      </c>
      <c r="BS308" s="319" t="s">
        <v>190</v>
      </c>
      <c r="BT308" s="319" t="s">
        <v>190</v>
      </c>
      <c r="BU308" s="319" t="s">
        <v>190</v>
      </c>
      <c r="BV308" s="319" t="s">
        <v>190</v>
      </c>
      <c r="BW308" s="319" t="s">
        <v>190</v>
      </c>
      <c r="BX308" s="319" t="s">
        <v>190</v>
      </c>
      <c r="BY308" s="319" t="s">
        <v>190</v>
      </c>
      <c r="BZ308" s="319" t="s">
        <v>190</v>
      </c>
      <c r="CA308" s="319" t="s">
        <v>190</v>
      </c>
      <c r="CB308" s="319" t="s">
        <v>190</v>
      </c>
      <c r="CC308" s="319" t="s">
        <v>190</v>
      </c>
      <c r="CD308" s="319" t="s">
        <v>190</v>
      </c>
      <c r="CE308" s="319" t="s">
        <v>190</v>
      </c>
      <c r="CF308" s="319" t="s">
        <v>190</v>
      </c>
      <c r="CG308" s="319" t="s">
        <v>190</v>
      </c>
      <c r="CH308" s="319" t="s">
        <v>190</v>
      </c>
      <c r="CI308" s="319" t="s">
        <v>190</v>
      </c>
      <c r="CJ308" s="319" t="s">
        <v>190</v>
      </c>
      <c r="CK308" s="319" t="s">
        <v>190</v>
      </c>
      <c r="CL308" s="319" t="s">
        <v>190</v>
      </c>
      <c r="CM308" s="319" t="s">
        <v>190</v>
      </c>
      <c r="CN308" s="319" t="s">
        <v>428</v>
      </c>
      <c r="CO308" s="319" t="s">
        <v>428</v>
      </c>
      <c r="CP308" s="319" t="s">
        <v>428</v>
      </c>
      <c r="CQ308" s="319" t="s">
        <v>190</v>
      </c>
      <c r="CR308" s="319" t="s">
        <v>190</v>
      </c>
      <c r="CS308" s="319" t="s">
        <v>190</v>
      </c>
      <c r="CT308" s="319" t="s">
        <v>190</v>
      </c>
      <c r="CU308" s="319" t="s">
        <v>190</v>
      </c>
      <c r="CV308" s="319" t="s">
        <v>190</v>
      </c>
      <c r="CW308" s="319" t="s">
        <v>190</v>
      </c>
      <c r="CX308" s="319" t="s">
        <v>190</v>
      </c>
      <c r="CY308" s="319" t="s">
        <v>190</v>
      </c>
      <c r="CZ308" s="319" t="s">
        <v>190</v>
      </c>
      <c r="DA308" s="319" t="s">
        <v>190</v>
      </c>
      <c r="DB308" s="319" t="s">
        <v>190</v>
      </c>
      <c r="DC308" s="319" t="s">
        <v>190</v>
      </c>
      <c r="DD308" s="319" t="s">
        <v>190</v>
      </c>
      <c r="DE308" s="319" t="s">
        <v>190</v>
      </c>
      <c r="DF308" s="319" t="s">
        <v>190</v>
      </c>
      <c r="DG308" s="319" t="s">
        <v>190</v>
      </c>
      <c r="DH308" s="319" t="s">
        <v>190</v>
      </c>
      <c r="DI308" s="319" t="s">
        <v>190</v>
      </c>
      <c r="DJ308" s="319" t="s">
        <v>190</v>
      </c>
      <c r="DK308" s="319" t="s">
        <v>190</v>
      </c>
      <c r="DL308" s="319" t="s">
        <v>190</v>
      </c>
      <c r="DM308" s="319" t="s">
        <v>190</v>
      </c>
      <c r="DN308" s="319" t="s">
        <v>428</v>
      </c>
      <c r="DO308" s="319" t="s">
        <v>190</v>
      </c>
      <c r="DP308" s="319" t="s">
        <v>428</v>
      </c>
      <c r="DQ308" s="319" t="s">
        <v>428</v>
      </c>
      <c r="DR308" s="319" t="s">
        <v>428</v>
      </c>
      <c r="DS308" s="319" t="s">
        <v>428</v>
      </c>
      <c r="DT308" s="319" t="s">
        <v>428</v>
      </c>
      <c r="DU308" s="319" t="s">
        <v>428</v>
      </c>
      <c r="DV308" s="319" t="s">
        <v>173</v>
      </c>
      <c r="DW308" s="319" t="s">
        <v>428</v>
      </c>
      <c r="DX308" s="319" t="s">
        <v>428</v>
      </c>
      <c r="DY308" s="319" t="s">
        <v>428</v>
      </c>
      <c r="DZ308" s="319" t="s">
        <v>428</v>
      </c>
      <c r="EA308" s="319" t="s">
        <v>428</v>
      </c>
      <c r="EB308" s="319" t="s">
        <v>428</v>
      </c>
      <c r="EC308" s="319" t="s">
        <v>428</v>
      </c>
      <c r="ED308" s="319" t="s">
        <v>428</v>
      </c>
      <c r="EE308" s="319" t="s">
        <v>190</v>
      </c>
      <c r="EF308" s="319" t="s">
        <v>190</v>
      </c>
      <c r="EG308" s="319" t="s">
        <v>190</v>
      </c>
      <c r="EH308" s="319" t="s">
        <v>190</v>
      </c>
      <c r="EI308" s="319" t="s">
        <v>190</v>
      </c>
      <c r="EJ308" s="319" t="s">
        <v>190</v>
      </c>
      <c r="EK308" s="319" t="s">
        <v>190</v>
      </c>
      <c r="EL308" s="319" t="s">
        <v>190</v>
      </c>
      <c r="EM308" s="319" t="s">
        <v>190</v>
      </c>
      <c r="EN308" s="319" t="s">
        <v>190</v>
      </c>
      <c r="EO308" s="319" t="s">
        <v>190</v>
      </c>
      <c r="EP308" s="319" t="s">
        <v>190</v>
      </c>
      <c r="EQ308" s="319" t="s">
        <v>190</v>
      </c>
      <c r="ER308" s="319" t="s">
        <v>190</v>
      </c>
      <c r="ES308" s="319" t="s">
        <v>190</v>
      </c>
      <c r="ET308" s="319" t="s">
        <v>190</v>
      </c>
      <c r="EU308" s="319" t="s">
        <v>190</v>
      </c>
      <c r="EV308" s="319" t="s">
        <v>190</v>
      </c>
      <c r="EW308" s="319" t="s">
        <v>190</v>
      </c>
      <c r="EX308" s="319" t="s">
        <v>190</v>
      </c>
      <c r="EY308" s="319" t="s">
        <v>190</v>
      </c>
      <c r="EZ308" s="319" t="s">
        <v>190</v>
      </c>
      <c r="FA308" s="319" t="s">
        <v>190</v>
      </c>
      <c r="FB308" s="319" t="s">
        <v>428</v>
      </c>
      <c r="FC308" s="319" t="s">
        <v>428</v>
      </c>
      <c r="FD308" s="319" t="s">
        <v>428</v>
      </c>
      <c r="FE308" s="319" t="s">
        <v>428</v>
      </c>
      <c r="FF308" s="319" t="s">
        <v>428</v>
      </c>
      <c r="FG308" s="319" t="s">
        <v>428</v>
      </c>
      <c r="FH308" s="319" t="s">
        <v>190</v>
      </c>
      <c r="FI308" s="319" t="s">
        <v>190</v>
      </c>
      <c r="FJ308" s="319" t="s">
        <v>190</v>
      </c>
      <c r="FK308" s="319" t="s">
        <v>190</v>
      </c>
      <c r="FL308" s="319" t="s">
        <v>190</v>
      </c>
      <c r="FM308" s="319" t="s">
        <v>190</v>
      </c>
      <c r="FN308" s="319" t="s">
        <v>190</v>
      </c>
      <c r="FO308" s="319" t="s">
        <v>190</v>
      </c>
      <c r="FP308" s="319" t="s">
        <v>190</v>
      </c>
      <c r="FQ308" s="319" t="s">
        <v>190</v>
      </c>
      <c r="FR308" s="319" t="s">
        <v>190</v>
      </c>
      <c r="FS308" s="319" t="s">
        <v>428</v>
      </c>
      <c r="FT308" s="319" t="s">
        <v>190</v>
      </c>
      <c r="FU308" s="319" t="s">
        <v>190</v>
      </c>
      <c r="FV308" s="319" t="s">
        <v>190</v>
      </c>
      <c r="FW308" s="319" t="s">
        <v>190</v>
      </c>
      <c r="FX308" s="319" t="s">
        <v>190</v>
      </c>
      <c r="FY308" s="319" t="s">
        <v>190</v>
      </c>
      <c r="FZ308" s="319" t="s">
        <v>190</v>
      </c>
      <c r="GA308" s="319" t="s">
        <v>190</v>
      </c>
      <c r="GB308" s="319" t="s">
        <v>190</v>
      </c>
      <c r="GC308" s="319" t="s">
        <v>190</v>
      </c>
      <c r="GD308" s="319" t="s">
        <v>190</v>
      </c>
      <c r="GE308" s="319" t="s">
        <v>190</v>
      </c>
      <c r="GF308" s="319" t="s">
        <v>190</v>
      </c>
      <c r="GG308" s="319" t="s">
        <v>190</v>
      </c>
      <c r="GH308" s="319" t="s">
        <v>190</v>
      </c>
      <c r="GI308" s="319" t="s">
        <v>190</v>
      </c>
      <c r="GJ308" s="319" t="s">
        <v>190</v>
      </c>
      <c r="GK308" s="319" t="s">
        <v>428</v>
      </c>
      <c r="GL308" s="319" t="s">
        <v>190</v>
      </c>
      <c r="GM308" s="319" t="s">
        <v>190</v>
      </c>
      <c r="GN308" s="319" t="s">
        <v>190</v>
      </c>
      <c r="GO308" s="319" t="s">
        <v>190</v>
      </c>
      <c r="GP308" s="319" t="s">
        <v>190</v>
      </c>
      <c r="GQ308" s="319" t="s">
        <v>428</v>
      </c>
      <c r="GR308" s="319" t="s">
        <v>190</v>
      </c>
      <c r="GS308" s="319" t="s">
        <v>190</v>
      </c>
      <c r="GT308" s="319" t="s">
        <v>190</v>
      </c>
      <c r="GU308" s="319" t="s">
        <v>428</v>
      </c>
      <c r="GV308" s="319" t="s">
        <v>190</v>
      </c>
      <c r="GW308" s="319" t="s">
        <v>190</v>
      </c>
      <c r="GX308" s="319" t="s">
        <v>190</v>
      </c>
      <c r="GY308" s="319" t="s">
        <v>190</v>
      </c>
      <c r="GZ308" s="319" t="s">
        <v>190</v>
      </c>
      <c r="HA308" s="319" t="s">
        <v>428</v>
      </c>
      <c r="HB308" s="319" t="s">
        <v>428</v>
      </c>
      <c r="HC308" s="319" t="s">
        <v>190</v>
      </c>
      <c r="HD308" s="319" t="s">
        <v>190</v>
      </c>
      <c r="HE308" s="319" t="s">
        <v>190</v>
      </c>
      <c r="HF308" s="319" t="s">
        <v>190</v>
      </c>
      <c r="HG308" s="319" t="s">
        <v>190</v>
      </c>
      <c r="HH308" s="319" t="s">
        <v>190</v>
      </c>
      <c r="HI308" s="319" t="s">
        <v>190</v>
      </c>
      <c r="HJ308" s="319" t="s">
        <v>190</v>
      </c>
      <c r="HK308" s="319" t="s">
        <v>190</v>
      </c>
      <c r="HL308" s="319" t="s">
        <v>428</v>
      </c>
      <c r="HM308" s="319" t="s">
        <v>428</v>
      </c>
      <c r="HN308" s="319" t="s">
        <v>428</v>
      </c>
      <c r="HO308" s="319" t="s">
        <v>428</v>
      </c>
      <c r="HP308" s="319" t="s">
        <v>190</v>
      </c>
      <c r="HQ308" s="319" t="s">
        <v>190</v>
      </c>
      <c r="HR308" s="319" t="s">
        <v>190</v>
      </c>
      <c r="HS308" s="319" t="s">
        <v>190</v>
      </c>
      <c r="HT308" s="319" t="s">
        <v>190</v>
      </c>
      <c r="HU308" s="319" t="s">
        <v>190</v>
      </c>
      <c r="HV308" s="319" t="s">
        <v>190</v>
      </c>
      <c r="HW308" s="319" t="s">
        <v>190</v>
      </c>
      <c r="HX308" s="319" t="s">
        <v>190</v>
      </c>
      <c r="HY308" s="319" t="s">
        <v>190</v>
      </c>
      <c r="HZ308" s="319" t="s">
        <v>190</v>
      </c>
      <c r="IA308" s="319" t="s">
        <v>190</v>
      </c>
      <c r="IB308" s="319" t="s">
        <v>190</v>
      </c>
      <c r="IC308" s="319" t="s">
        <v>190</v>
      </c>
      <c r="ID308" s="319" t="s">
        <v>190</v>
      </c>
      <c r="IE308" s="319" t="s">
        <v>190</v>
      </c>
      <c r="IF308" s="319" t="s">
        <v>190</v>
      </c>
      <c r="IG308" s="319" t="s">
        <v>190</v>
      </c>
      <c r="IH308" s="319" t="s">
        <v>190</v>
      </c>
      <c r="II308" s="319" t="s">
        <v>190</v>
      </c>
      <c r="IJ308" s="319">
        <v>10006078</v>
      </c>
      <c r="IK308" s="321">
        <v>42423</v>
      </c>
      <c r="IL308" s="321">
        <v>42425</v>
      </c>
      <c r="IM308" s="321">
        <v>42486</v>
      </c>
      <c r="IN308" s="319">
        <v>4</v>
      </c>
      <c r="IO308" s="319" t="s">
        <v>173</v>
      </c>
      <c r="IP308" s="319" t="s">
        <v>173</v>
      </c>
      <c r="IQ308" s="321" t="s">
        <v>173</v>
      </c>
      <c r="IR308" s="320" t="s">
        <v>173</v>
      </c>
      <c r="IS308" s="322" t="s">
        <v>173</v>
      </c>
      <c r="IT308" s="319" t="s">
        <v>173</v>
      </c>
    </row>
    <row r="309" spans="1:254" s="271" customFormat="1" x14ac:dyDescent="0.25">
      <c r="A309" s="318" t="str">
        <f>HYPERLINK("http://www.ofsted.gov.uk/inspection-reports/find-inspection-report/provider/ELS/131181 ","Ofsted School Webpage")</f>
        <v>Ofsted School Webpage</v>
      </c>
      <c r="B309" s="319">
        <v>131181</v>
      </c>
      <c r="C309" s="319">
        <v>8866073</v>
      </c>
      <c r="D309" s="319" t="s">
        <v>1626</v>
      </c>
      <c r="E309" s="319" t="s">
        <v>167</v>
      </c>
      <c r="F309" s="319" t="s">
        <v>81</v>
      </c>
      <c r="G309" s="319" t="s">
        <v>59</v>
      </c>
      <c r="H309" s="319" t="s">
        <v>59</v>
      </c>
      <c r="I309" s="319" t="s">
        <v>59</v>
      </c>
      <c r="J309" s="319" t="s">
        <v>424</v>
      </c>
      <c r="K309" s="319" t="s">
        <v>514</v>
      </c>
      <c r="L309" s="319" t="s">
        <v>514</v>
      </c>
      <c r="M309" s="319" t="s">
        <v>614</v>
      </c>
      <c r="N309" s="319" t="s">
        <v>2982</v>
      </c>
      <c r="O309" s="319" t="s">
        <v>1627</v>
      </c>
      <c r="P309" s="319">
        <v>66</v>
      </c>
      <c r="Q309" s="319" t="s">
        <v>2776</v>
      </c>
      <c r="R309" s="320">
        <v>10018926</v>
      </c>
      <c r="S309" s="321">
        <v>42640</v>
      </c>
      <c r="T309" s="321">
        <v>42642</v>
      </c>
      <c r="U309" s="321">
        <v>42660</v>
      </c>
      <c r="V309" s="319" t="s">
        <v>425</v>
      </c>
      <c r="W309" s="319" t="s">
        <v>2767</v>
      </c>
      <c r="X309" s="319">
        <v>2</v>
      </c>
      <c r="Y309" s="319" t="s">
        <v>173</v>
      </c>
      <c r="Z309" s="319" t="s">
        <v>173</v>
      </c>
      <c r="AA309" s="319" t="s">
        <v>173</v>
      </c>
      <c r="AB309" s="319">
        <v>2</v>
      </c>
      <c r="AC309" s="319" t="s">
        <v>169</v>
      </c>
      <c r="AD309" s="319">
        <v>2</v>
      </c>
      <c r="AE309" s="319">
        <v>2</v>
      </c>
      <c r="AF309" s="319" t="s">
        <v>173</v>
      </c>
      <c r="AG309" s="319" t="s">
        <v>171</v>
      </c>
      <c r="AH309" s="319" t="s">
        <v>190</v>
      </c>
      <c r="AI309" s="319" t="s">
        <v>190</v>
      </c>
      <c r="AJ309" s="319" t="s">
        <v>190</v>
      </c>
      <c r="AK309" s="319" t="s">
        <v>190</v>
      </c>
      <c r="AL309" s="319" t="s">
        <v>190</v>
      </c>
      <c r="AM309" s="319" t="s">
        <v>190</v>
      </c>
      <c r="AN309" s="319" t="s">
        <v>190</v>
      </c>
      <c r="AO309" s="319" t="s">
        <v>190</v>
      </c>
      <c r="AP309" s="319" t="s">
        <v>190</v>
      </c>
      <c r="AQ309" s="319" t="s">
        <v>190</v>
      </c>
      <c r="AR309" s="319" t="s">
        <v>190</v>
      </c>
      <c r="AS309" s="319" t="s">
        <v>190</v>
      </c>
      <c r="AT309" s="319" t="s">
        <v>190</v>
      </c>
      <c r="AU309" s="319" t="s">
        <v>190</v>
      </c>
      <c r="AV309" s="319" t="s">
        <v>190</v>
      </c>
      <c r="AW309" s="319" t="s">
        <v>190</v>
      </c>
      <c r="AX309" s="319" t="s">
        <v>429</v>
      </c>
      <c r="AY309" s="319" t="s">
        <v>190</v>
      </c>
      <c r="AZ309" s="319" t="s">
        <v>190</v>
      </c>
      <c r="BA309" s="319" t="s">
        <v>190</v>
      </c>
      <c r="BB309" s="319" t="s">
        <v>190</v>
      </c>
      <c r="BC309" s="319" t="s">
        <v>190</v>
      </c>
      <c r="BD309" s="319" t="s">
        <v>190</v>
      </c>
      <c r="BE309" s="319" t="s">
        <v>190</v>
      </c>
      <c r="BF309" s="319" t="s">
        <v>190</v>
      </c>
      <c r="BG309" s="319" t="s">
        <v>190</v>
      </c>
      <c r="BH309" s="319" t="s">
        <v>190</v>
      </c>
      <c r="BI309" s="319" t="s">
        <v>190</v>
      </c>
      <c r="BJ309" s="319" t="s">
        <v>190</v>
      </c>
      <c r="BK309" s="319" t="s">
        <v>190</v>
      </c>
      <c r="BL309" s="319" t="s">
        <v>190</v>
      </c>
      <c r="BM309" s="319" t="s">
        <v>190</v>
      </c>
      <c r="BN309" s="319" t="s">
        <v>190</v>
      </c>
      <c r="BO309" s="319" t="s">
        <v>190</v>
      </c>
      <c r="BP309" s="319" t="s">
        <v>190</v>
      </c>
      <c r="BQ309" s="319" t="s">
        <v>190</v>
      </c>
      <c r="BR309" s="319" t="s">
        <v>190</v>
      </c>
      <c r="BS309" s="319" t="s">
        <v>190</v>
      </c>
      <c r="BT309" s="319" t="s">
        <v>190</v>
      </c>
      <c r="BU309" s="319" t="s">
        <v>190</v>
      </c>
      <c r="BV309" s="319" t="s">
        <v>190</v>
      </c>
      <c r="BW309" s="319" t="s">
        <v>190</v>
      </c>
      <c r="BX309" s="319" t="s">
        <v>190</v>
      </c>
      <c r="BY309" s="319" t="s">
        <v>190</v>
      </c>
      <c r="BZ309" s="319" t="s">
        <v>190</v>
      </c>
      <c r="CA309" s="319" t="s">
        <v>190</v>
      </c>
      <c r="CB309" s="319" t="s">
        <v>190</v>
      </c>
      <c r="CC309" s="319" t="s">
        <v>190</v>
      </c>
      <c r="CD309" s="319" t="s">
        <v>190</v>
      </c>
      <c r="CE309" s="319" t="s">
        <v>190</v>
      </c>
      <c r="CF309" s="319" t="s">
        <v>190</v>
      </c>
      <c r="CG309" s="319" t="s">
        <v>190</v>
      </c>
      <c r="CH309" s="319" t="s">
        <v>190</v>
      </c>
      <c r="CI309" s="319" t="s">
        <v>190</v>
      </c>
      <c r="CJ309" s="319" t="s">
        <v>190</v>
      </c>
      <c r="CK309" s="319" t="s">
        <v>190</v>
      </c>
      <c r="CL309" s="319" t="s">
        <v>190</v>
      </c>
      <c r="CM309" s="319" t="s">
        <v>190</v>
      </c>
      <c r="CN309" s="319" t="s">
        <v>429</v>
      </c>
      <c r="CO309" s="319" t="s">
        <v>429</v>
      </c>
      <c r="CP309" s="319" t="s">
        <v>429</v>
      </c>
      <c r="CQ309" s="319" t="s">
        <v>190</v>
      </c>
      <c r="CR309" s="319" t="s">
        <v>190</v>
      </c>
      <c r="CS309" s="319" t="s">
        <v>190</v>
      </c>
      <c r="CT309" s="319" t="s">
        <v>190</v>
      </c>
      <c r="CU309" s="319" t="s">
        <v>190</v>
      </c>
      <c r="CV309" s="319" t="s">
        <v>190</v>
      </c>
      <c r="CW309" s="319" t="s">
        <v>190</v>
      </c>
      <c r="CX309" s="319" t="s">
        <v>190</v>
      </c>
      <c r="CY309" s="319" t="s">
        <v>190</v>
      </c>
      <c r="CZ309" s="319" t="s">
        <v>190</v>
      </c>
      <c r="DA309" s="319" t="s">
        <v>190</v>
      </c>
      <c r="DB309" s="319" t="s">
        <v>190</v>
      </c>
      <c r="DC309" s="319" t="s">
        <v>190</v>
      </c>
      <c r="DD309" s="319" t="s">
        <v>190</v>
      </c>
      <c r="DE309" s="319" t="s">
        <v>190</v>
      </c>
      <c r="DF309" s="319" t="s">
        <v>190</v>
      </c>
      <c r="DG309" s="319" t="s">
        <v>190</v>
      </c>
      <c r="DH309" s="319" t="s">
        <v>190</v>
      </c>
      <c r="DI309" s="319" t="s">
        <v>190</v>
      </c>
      <c r="DJ309" s="319" t="s">
        <v>190</v>
      </c>
      <c r="DK309" s="319" t="s">
        <v>190</v>
      </c>
      <c r="DL309" s="319" t="s">
        <v>190</v>
      </c>
      <c r="DM309" s="319" t="s">
        <v>190</v>
      </c>
      <c r="DN309" s="319" t="s">
        <v>429</v>
      </c>
      <c r="DO309" s="319" t="s">
        <v>190</v>
      </c>
      <c r="DP309" s="319" t="s">
        <v>190</v>
      </c>
      <c r="DQ309" s="319" t="s">
        <v>190</v>
      </c>
      <c r="DR309" s="319" t="s">
        <v>190</v>
      </c>
      <c r="DS309" s="319" t="s">
        <v>190</v>
      </c>
      <c r="DT309" s="319" t="s">
        <v>190</v>
      </c>
      <c r="DU309" s="319" t="s">
        <v>190</v>
      </c>
      <c r="DV309" s="319" t="s">
        <v>173</v>
      </c>
      <c r="DW309" s="319" t="s">
        <v>190</v>
      </c>
      <c r="DX309" s="319" t="s">
        <v>190</v>
      </c>
      <c r="DY309" s="319" t="s">
        <v>190</v>
      </c>
      <c r="DZ309" s="319" t="s">
        <v>190</v>
      </c>
      <c r="EA309" s="319" t="s">
        <v>190</v>
      </c>
      <c r="EB309" s="319" t="s">
        <v>190</v>
      </c>
      <c r="EC309" s="319" t="s">
        <v>429</v>
      </c>
      <c r="ED309" s="319" t="s">
        <v>190</v>
      </c>
      <c r="EE309" s="319" t="s">
        <v>190</v>
      </c>
      <c r="EF309" s="319" t="s">
        <v>190</v>
      </c>
      <c r="EG309" s="319" t="s">
        <v>190</v>
      </c>
      <c r="EH309" s="319" t="s">
        <v>190</v>
      </c>
      <c r="EI309" s="319" t="s">
        <v>190</v>
      </c>
      <c r="EJ309" s="319" t="s">
        <v>190</v>
      </c>
      <c r="EK309" s="319" t="s">
        <v>190</v>
      </c>
      <c r="EL309" s="319" t="s">
        <v>429</v>
      </c>
      <c r="EM309" s="319" t="s">
        <v>190</v>
      </c>
      <c r="EN309" s="319" t="s">
        <v>190</v>
      </c>
      <c r="EO309" s="319" t="s">
        <v>190</v>
      </c>
      <c r="EP309" s="319" t="s">
        <v>190</v>
      </c>
      <c r="EQ309" s="319" t="s">
        <v>190</v>
      </c>
      <c r="ER309" s="319" t="s">
        <v>190</v>
      </c>
      <c r="ES309" s="319" t="s">
        <v>190</v>
      </c>
      <c r="ET309" s="319" t="s">
        <v>190</v>
      </c>
      <c r="EU309" s="319" t="s">
        <v>190</v>
      </c>
      <c r="EV309" s="319" t="s">
        <v>190</v>
      </c>
      <c r="EW309" s="319" t="s">
        <v>190</v>
      </c>
      <c r="EX309" s="319" t="s">
        <v>190</v>
      </c>
      <c r="EY309" s="319" t="s">
        <v>190</v>
      </c>
      <c r="EZ309" s="319" t="s">
        <v>190</v>
      </c>
      <c r="FA309" s="319" t="s">
        <v>190</v>
      </c>
      <c r="FB309" s="319" t="s">
        <v>190</v>
      </c>
      <c r="FC309" s="319" t="s">
        <v>190</v>
      </c>
      <c r="FD309" s="319" t="s">
        <v>190</v>
      </c>
      <c r="FE309" s="319" t="s">
        <v>190</v>
      </c>
      <c r="FF309" s="319" t="s">
        <v>190</v>
      </c>
      <c r="FG309" s="319" t="s">
        <v>190</v>
      </c>
      <c r="FH309" s="319" t="s">
        <v>190</v>
      </c>
      <c r="FI309" s="319" t="s">
        <v>190</v>
      </c>
      <c r="FJ309" s="319" t="s">
        <v>190</v>
      </c>
      <c r="FK309" s="319" t="s">
        <v>190</v>
      </c>
      <c r="FL309" s="319" t="s">
        <v>190</v>
      </c>
      <c r="FM309" s="319" t="s">
        <v>190</v>
      </c>
      <c r="FN309" s="319" t="s">
        <v>190</v>
      </c>
      <c r="FO309" s="319" t="s">
        <v>190</v>
      </c>
      <c r="FP309" s="319" t="s">
        <v>190</v>
      </c>
      <c r="FQ309" s="319" t="s">
        <v>190</v>
      </c>
      <c r="FR309" s="319" t="s">
        <v>190</v>
      </c>
      <c r="FS309" s="319" t="s">
        <v>429</v>
      </c>
      <c r="FT309" s="319" t="s">
        <v>190</v>
      </c>
      <c r="FU309" s="319" t="s">
        <v>190</v>
      </c>
      <c r="FV309" s="319" t="s">
        <v>190</v>
      </c>
      <c r="FW309" s="319" t="s">
        <v>190</v>
      </c>
      <c r="FX309" s="319" t="s">
        <v>190</v>
      </c>
      <c r="FY309" s="319" t="s">
        <v>190</v>
      </c>
      <c r="FZ309" s="319" t="s">
        <v>190</v>
      </c>
      <c r="GA309" s="319" t="s">
        <v>190</v>
      </c>
      <c r="GB309" s="319" t="s">
        <v>190</v>
      </c>
      <c r="GC309" s="319" t="s">
        <v>190</v>
      </c>
      <c r="GD309" s="319" t="s">
        <v>190</v>
      </c>
      <c r="GE309" s="319" t="s">
        <v>190</v>
      </c>
      <c r="GF309" s="319" t="s">
        <v>190</v>
      </c>
      <c r="GG309" s="319" t="s">
        <v>190</v>
      </c>
      <c r="GH309" s="319" t="s">
        <v>190</v>
      </c>
      <c r="GI309" s="319" t="s">
        <v>190</v>
      </c>
      <c r="GJ309" s="319" t="s">
        <v>190</v>
      </c>
      <c r="GK309" s="319" t="s">
        <v>429</v>
      </c>
      <c r="GL309" s="319" t="s">
        <v>190</v>
      </c>
      <c r="GM309" s="319" t="s">
        <v>190</v>
      </c>
      <c r="GN309" s="319" t="s">
        <v>190</v>
      </c>
      <c r="GO309" s="319" t="s">
        <v>190</v>
      </c>
      <c r="GP309" s="319" t="s">
        <v>190</v>
      </c>
      <c r="GQ309" s="319" t="s">
        <v>429</v>
      </c>
      <c r="GR309" s="319" t="s">
        <v>190</v>
      </c>
      <c r="GS309" s="319" t="s">
        <v>190</v>
      </c>
      <c r="GT309" s="319" t="s">
        <v>429</v>
      </c>
      <c r="GU309" s="319" t="s">
        <v>429</v>
      </c>
      <c r="GV309" s="319" t="s">
        <v>190</v>
      </c>
      <c r="GW309" s="319" t="s">
        <v>190</v>
      </c>
      <c r="GX309" s="319" t="s">
        <v>190</v>
      </c>
      <c r="GY309" s="319" t="s">
        <v>190</v>
      </c>
      <c r="GZ309" s="319" t="s">
        <v>429</v>
      </c>
      <c r="HA309" s="319" t="s">
        <v>190</v>
      </c>
      <c r="HB309" s="319" t="s">
        <v>190</v>
      </c>
      <c r="HC309" s="319" t="s">
        <v>190</v>
      </c>
      <c r="HD309" s="319" t="s">
        <v>190</v>
      </c>
      <c r="HE309" s="319" t="s">
        <v>190</v>
      </c>
      <c r="HF309" s="319" t="s">
        <v>190</v>
      </c>
      <c r="HG309" s="319" t="s">
        <v>190</v>
      </c>
      <c r="HH309" s="319" t="s">
        <v>190</v>
      </c>
      <c r="HI309" s="319" t="s">
        <v>190</v>
      </c>
      <c r="HJ309" s="319" t="s">
        <v>190</v>
      </c>
      <c r="HK309" s="319" t="s">
        <v>190</v>
      </c>
      <c r="HL309" s="319" t="s">
        <v>429</v>
      </c>
      <c r="HM309" s="319" t="s">
        <v>429</v>
      </c>
      <c r="HN309" s="319" t="s">
        <v>429</v>
      </c>
      <c r="HO309" s="319" t="s">
        <v>429</v>
      </c>
      <c r="HP309" s="319" t="s">
        <v>190</v>
      </c>
      <c r="HQ309" s="319" t="s">
        <v>190</v>
      </c>
      <c r="HR309" s="319" t="s">
        <v>190</v>
      </c>
      <c r="HS309" s="319" t="s">
        <v>190</v>
      </c>
      <c r="HT309" s="319" t="s">
        <v>190</v>
      </c>
      <c r="HU309" s="319" t="s">
        <v>190</v>
      </c>
      <c r="HV309" s="319" t="s">
        <v>190</v>
      </c>
      <c r="HW309" s="319" t="s">
        <v>190</v>
      </c>
      <c r="HX309" s="319" t="s">
        <v>190</v>
      </c>
      <c r="HY309" s="319" t="s">
        <v>190</v>
      </c>
      <c r="HZ309" s="319" t="s">
        <v>190</v>
      </c>
      <c r="IA309" s="319" t="s">
        <v>190</v>
      </c>
      <c r="IB309" s="319" t="s">
        <v>190</v>
      </c>
      <c r="IC309" s="319" t="s">
        <v>190</v>
      </c>
      <c r="ID309" s="319" t="s">
        <v>190</v>
      </c>
      <c r="IE309" s="319" t="s">
        <v>190</v>
      </c>
      <c r="IF309" s="319" t="s">
        <v>190</v>
      </c>
      <c r="IG309" s="319" t="s">
        <v>190</v>
      </c>
      <c r="IH309" s="319" t="s">
        <v>190</v>
      </c>
      <c r="II309" s="319" t="s">
        <v>190</v>
      </c>
      <c r="IJ309" s="319" t="s">
        <v>3096</v>
      </c>
      <c r="IK309" s="321">
        <v>41247</v>
      </c>
      <c r="IL309" s="321">
        <v>41248</v>
      </c>
      <c r="IM309" s="321">
        <v>41269</v>
      </c>
      <c r="IN309" s="319">
        <v>2</v>
      </c>
      <c r="IO309" s="319" t="s">
        <v>173</v>
      </c>
      <c r="IP309" s="319" t="s">
        <v>173</v>
      </c>
      <c r="IQ309" s="319" t="s">
        <v>173</v>
      </c>
      <c r="IR309" s="320" t="s">
        <v>173</v>
      </c>
      <c r="IS309" s="320" t="s">
        <v>173</v>
      </c>
      <c r="IT309" s="319" t="s">
        <v>173</v>
      </c>
    </row>
    <row r="310" spans="1:254" s="271" customFormat="1" x14ac:dyDescent="0.25">
      <c r="A310" s="318" t="str">
        <f>HYPERLINK("http://www.ofsted.gov.uk/inspection-reports/find-inspection-report/provider/ELS/131198 ","Ofsted School Webpage")</f>
        <v>Ofsted School Webpage</v>
      </c>
      <c r="B310" s="319">
        <v>131198</v>
      </c>
      <c r="C310" s="319">
        <v>2116386</v>
      </c>
      <c r="D310" s="319" t="s">
        <v>1628</v>
      </c>
      <c r="E310" s="319" t="s">
        <v>167</v>
      </c>
      <c r="F310" s="319" t="s">
        <v>81</v>
      </c>
      <c r="G310" s="319" t="s">
        <v>81</v>
      </c>
      <c r="H310" s="319" t="s">
        <v>81</v>
      </c>
      <c r="I310" s="319" t="s">
        <v>78</v>
      </c>
      <c r="J310" s="319" t="s">
        <v>424</v>
      </c>
      <c r="K310" s="319" t="s">
        <v>441</v>
      </c>
      <c r="L310" s="319" t="s">
        <v>441</v>
      </c>
      <c r="M310" s="319" t="s">
        <v>757</v>
      </c>
      <c r="N310" s="319" t="s">
        <v>2782</v>
      </c>
      <c r="O310" s="319" t="s">
        <v>1629</v>
      </c>
      <c r="P310" s="319">
        <v>69</v>
      </c>
      <c r="Q310" s="319" t="s">
        <v>2766</v>
      </c>
      <c r="R310" s="320">
        <v>10012780</v>
      </c>
      <c r="S310" s="321">
        <v>43137</v>
      </c>
      <c r="T310" s="321">
        <v>43139</v>
      </c>
      <c r="U310" s="321">
        <v>43166</v>
      </c>
      <c r="V310" s="319" t="s">
        <v>425</v>
      </c>
      <c r="W310" s="319" t="s">
        <v>2767</v>
      </c>
      <c r="X310" s="319">
        <v>2</v>
      </c>
      <c r="Y310" s="319" t="s">
        <v>173</v>
      </c>
      <c r="Z310" s="319" t="s">
        <v>173</v>
      </c>
      <c r="AA310" s="319" t="s">
        <v>173</v>
      </c>
      <c r="AB310" s="319">
        <v>2</v>
      </c>
      <c r="AC310" s="319" t="s">
        <v>169</v>
      </c>
      <c r="AD310" s="319">
        <v>2</v>
      </c>
      <c r="AE310" s="319" t="s">
        <v>173</v>
      </c>
      <c r="AF310" s="319" t="s">
        <v>427</v>
      </c>
      <c r="AG310" s="319" t="s">
        <v>171</v>
      </c>
      <c r="AH310" s="319" t="s">
        <v>190</v>
      </c>
      <c r="AI310" s="319" t="s">
        <v>190</v>
      </c>
      <c r="AJ310" s="319" t="s">
        <v>190</v>
      </c>
      <c r="AK310" s="319" t="s">
        <v>190</v>
      </c>
      <c r="AL310" s="319" t="s">
        <v>190</v>
      </c>
      <c r="AM310" s="319" t="s">
        <v>190</v>
      </c>
      <c r="AN310" s="319" t="s">
        <v>190</v>
      </c>
      <c r="AO310" s="319" t="s">
        <v>190</v>
      </c>
      <c r="AP310" s="319" t="s">
        <v>190</v>
      </c>
      <c r="AQ310" s="319" t="s">
        <v>190</v>
      </c>
      <c r="AR310" s="319" t="s">
        <v>190</v>
      </c>
      <c r="AS310" s="319" t="s">
        <v>190</v>
      </c>
      <c r="AT310" s="319" t="s">
        <v>190</v>
      </c>
      <c r="AU310" s="319" t="s">
        <v>190</v>
      </c>
      <c r="AV310" s="319" t="s">
        <v>190</v>
      </c>
      <c r="AW310" s="319" t="s">
        <v>190</v>
      </c>
      <c r="AX310" s="319" t="s">
        <v>428</v>
      </c>
      <c r="AY310" s="319" t="s">
        <v>190</v>
      </c>
      <c r="AZ310" s="319" t="s">
        <v>190</v>
      </c>
      <c r="BA310" s="319" t="s">
        <v>190</v>
      </c>
      <c r="BB310" s="319" t="s">
        <v>428</v>
      </c>
      <c r="BC310" s="319" t="s">
        <v>428</v>
      </c>
      <c r="BD310" s="319" t="s">
        <v>428</v>
      </c>
      <c r="BE310" s="319" t="s">
        <v>428</v>
      </c>
      <c r="BF310" s="319" t="s">
        <v>190</v>
      </c>
      <c r="BG310" s="319" t="s">
        <v>428</v>
      </c>
      <c r="BH310" s="319" t="s">
        <v>190</v>
      </c>
      <c r="BI310" s="319" t="s">
        <v>190</v>
      </c>
      <c r="BJ310" s="319" t="s">
        <v>190</v>
      </c>
      <c r="BK310" s="319" t="s">
        <v>190</v>
      </c>
      <c r="BL310" s="319" t="s">
        <v>190</v>
      </c>
      <c r="BM310" s="319" t="s">
        <v>190</v>
      </c>
      <c r="BN310" s="319" t="s">
        <v>190</v>
      </c>
      <c r="BO310" s="319" t="s">
        <v>190</v>
      </c>
      <c r="BP310" s="319" t="s">
        <v>190</v>
      </c>
      <c r="BQ310" s="319" t="s">
        <v>190</v>
      </c>
      <c r="BR310" s="319" t="s">
        <v>190</v>
      </c>
      <c r="BS310" s="319" t="s">
        <v>190</v>
      </c>
      <c r="BT310" s="319" t="s">
        <v>190</v>
      </c>
      <c r="BU310" s="319" t="s">
        <v>190</v>
      </c>
      <c r="BV310" s="319" t="s">
        <v>190</v>
      </c>
      <c r="BW310" s="319" t="s">
        <v>190</v>
      </c>
      <c r="BX310" s="319" t="s">
        <v>190</v>
      </c>
      <c r="BY310" s="319" t="s">
        <v>190</v>
      </c>
      <c r="BZ310" s="319" t="s">
        <v>190</v>
      </c>
      <c r="CA310" s="319" t="s">
        <v>190</v>
      </c>
      <c r="CB310" s="319" t="s">
        <v>190</v>
      </c>
      <c r="CC310" s="319" t="s">
        <v>190</v>
      </c>
      <c r="CD310" s="319" t="s">
        <v>190</v>
      </c>
      <c r="CE310" s="319" t="s">
        <v>190</v>
      </c>
      <c r="CF310" s="319" t="s">
        <v>190</v>
      </c>
      <c r="CG310" s="319" t="s">
        <v>190</v>
      </c>
      <c r="CH310" s="319" t="s">
        <v>190</v>
      </c>
      <c r="CI310" s="319" t="s">
        <v>190</v>
      </c>
      <c r="CJ310" s="319" t="s">
        <v>190</v>
      </c>
      <c r="CK310" s="319" t="s">
        <v>190</v>
      </c>
      <c r="CL310" s="319" t="s">
        <v>190</v>
      </c>
      <c r="CM310" s="319" t="s">
        <v>190</v>
      </c>
      <c r="CN310" s="319" t="s">
        <v>428</v>
      </c>
      <c r="CO310" s="319" t="s">
        <v>428</v>
      </c>
      <c r="CP310" s="319" t="s">
        <v>428</v>
      </c>
      <c r="CQ310" s="319" t="s">
        <v>190</v>
      </c>
      <c r="CR310" s="319" t="s">
        <v>190</v>
      </c>
      <c r="CS310" s="319" t="s">
        <v>190</v>
      </c>
      <c r="CT310" s="319" t="s">
        <v>190</v>
      </c>
      <c r="CU310" s="319" t="s">
        <v>190</v>
      </c>
      <c r="CV310" s="319" t="s">
        <v>190</v>
      </c>
      <c r="CW310" s="319" t="s">
        <v>190</v>
      </c>
      <c r="CX310" s="319" t="s">
        <v>190</v>
      </c>
      <c r="CY310" s="319" t="s">
        <v>190</v>
      </c>
      <c r="CZ310" s="319" t="s">
        <v>190</v>
      </c>
      <c r="DA310" s="319" t="s">
        <v>190</v>
      </c>
      <c r="DB310" s="319" t="s">
        <v>190</v>
      </c>
      <c r="DC310" s="319" t="s">
        <v>190</v>
      </c>
      <c r="DD310" s="319" t="s">
        <v>190</v>
      </c>
      <c r="DE310" s="319" t="s">
        <v>190</v>
      </c>
      <c r="DF310" s="319" t="s">
        <v>190</v>
      </c>
      <c r="DG310" s="319" t="s">
        <v>190</v>
      </c>
      <c r="DH310" s="319" t="s">
        <v>190</v>
      </c>
      <c r="DI310" s="319" t="s">
        <v>190</v>
      </c>
      <c r="DJ310" s="319" t="s">
        <v>190</v>
      </c>
      <c r="DK310" s="319" t="s">
        <v>190</v>
      </c>
      <c r="DL310" s="319" t="s">
        <v>190</v>
      </c>
      <c r="DM310" s="319" t="s">
        <v>190</v>
      </c>
      <c r="DN310" s="319" t="s">
        <v>428</v>
      </c>
      <c r="DO310" s="319" t="s">
        <v>190</v>
      </c>
      <c r="DP310" s="319" t="s">
        <v>428</v>
      </c>
      <c r="DQ310" s="319" t="s">
        <v>428</v>
      </c>
      <c r="DR310" s="319" t="s">
        <v>428</v>
      </c>
      <c r="DS310" s="319" t="s">
        <v>428</v>
      </c>
      <c r="DT310" s="319" t="s">
        <v>428</v>
      </c>
      <c r="DU310" s="319" t="s">
        <v>428</v>
      </c>
      <c r="DV310" s="319" t="s">
        <v>173</v>
      </c>
      <c r="DW310" s="319" t="s">
        <v>428</v>
      </c>
      <c r="DX310" s="319" t="s">
        <v>428</v>
      </c>
      <c r="DY310" s="319" t="s">
        <v>428</v>
      </c>
      <c r="DZ310" s="319" t="s">
        <v>428</v>
      </c>
      <c r="EA310" s="319" t="s">
        <v>428</v>
      </c>
      <c r="EB310" s="319" t="s">
        <v>428</v>
      </c>
      <c r="EC310" s="319" t="s">
        <v>428</v>
      </c>
      <c r="ED310" s="319" t="s">
        <v>190</v>
      </c>
      <c r="EE310" s="319" t="s">
        <v>190</v>
      </c>
      <c r="EF310" s="319" t="s">
        <v>190</v>
      </c>
      <c r="EG310" s="319" t="s">
        <v>190</v>
      </c>
      <c r="EH310" s="319" t="s">
        <v>190</v>
      </c>
      <c r="EI310" s="319" t="s">
        <v>190</v>
      </c>
      <c r="EJ310" s="319" t="s">
        <v>190</v>
      </c>
      <c r="EK310" s="319" t="s">
        <v>190</v>
      </c>
      <c r="EL310" s="319" t="s">
        <v>190</v>
      </c>
      <c r="EM310" s="319" t="s">
        <v>190</v>
      </c>
      <c r="EN310" s="319" t="s">
        <v>190</v>
      </c>
      <c r="EO310" s="319" t="s">
        <v>190</v>
      </c>
      <c r="EP310" s="319" t="s">
        <v>190</v>
      </c>
      <c r="EQ310" s="319" t="s">
        <v>190</v>
      </c>
      <c r="ER310" s="319" t="s">
        <v>190</v>
      </c>
      <c r="ES310" s="319" t="s">
        <v>190</v>
      </c>
      <c r="ET310" s="319" t="s">
        <v>190</v>
      </c>
      <c r="EU310" s="319" t="s">
        <v>190</v>
      </c>
      <c r="EV310" s="319" t="s">
        <v>190</v>
      </c>
      <c r="EW310" s="319" t="s">
        <v>190</v>
      </c>
      <c r="EX310" s="319" t="s">
        <v>190</v>
      </c>
      <c r="EY310" s="319" t="s">
        <v>190</v>
      </c>
      <c r="EZ310" s="319" t="s">
        <v>190</v>
      </c>
      <c r="FA310" s="319" t="s">
        <v>190</v>
      </c>
      <c r="FB310" s="319" t="s">
        <v>428</v>
      </c>
      <c r="FC310" s="319" t="s">
        <v>428</v>
      </c>
      <c r="FD310" s="319" t="s">
        <v>428</v>
      </c>
      <c r="FE310" s="319" t="s">
        <v>428</v>
      </c>
      <c r="FF310" s="319" t="s">
        <v>428</v>
      </c>
      <c r="FG310" s="319" t="s">
        <v>428</v>
      </c>
      <c r="FH310" s="319" t="s">
        <v>190</v>
      </c>
      <c r="FI310" s="319" t="s">
        <v>190</v>
      </c>
      <c r="FJ310" s="319" t="s">
        <v>190</v>
      </c>
      <c r="FK310" s="319" t="s">
        <v>190</v>
      </c>
      <c r="FL310" s="319" t="s">
        <v>190</v>
      </c>
      <c r="FM310" s="319" t="s">
        <v>190</v>
      </c>
      <c r="FN310" s="319" t="s">
        <v>190</v>
      </c>
      <c r="FO310" s="319" t="s">
        <v>428</v>
      </c>
      <c r="FP310" s="319" t="s">
        <v>190</v>
      </c>
      <c r="FQ310" s="319" t="s">
        <v>190</v>
      </c>
      <c r="FR310" s="319" t="s">
        <v>190</v>
      </c>
      <c r="FS310" s="319" t="s">
        <v>428</v>
      </c>
      <c r="FT310" s="319" t="s">
        <v>190</v>
      </c>
      <c r="FU310" s="319" t="s">
        <v>190</v>
      </c>
      <c r="FV310" s="319" t="s">
        <v>190</v>
      </c>
      <c r="FW310" s="319" t="s">
        <v>190</v>
      </c>
      <c r="FX310" s="319" t="s">
        <v>190</v>
      </c>
      <c r="FY310" s="319" t="s">
        <v>190</v>
      </c>
      <c r="FZ310" s="319" t="s">
        <v>190</v>
      </c>
      <c r="GA310" s="319" t="s">
        <v>190</v>
      </c>
      <c r="GB310" s="319" t="s">
        <v>190</v>
      </c>
      <c r="GC310" s="319" t="s">
        <v>190</v>
      </c>
      <c r="GD310" s="319" t="s">
        <v>190</v>
      </c>
      <c r="GE310" s="319" t="s">
        <v>190</v>
      </c>
      <c r="GF310" s="319" t="s">
        <v>190</v>
      </c>
      <c r="GG310" s="319" t="s">
        <v>190</v>
      </c>
      <c r="GH310" s="319" t="s">
        <v>190</v>
      </c>
      <c r="GI310" s="319" t="s">
        <v>190</v>
      </c>
      <c r="GJ310" s="319" t="s">
        <v>190</v>
      </c>
      <c r="GK310" s="319" t="s">
        <v>428</v>
      </c>
      <c r="GL310" s="319" t="s">
        <v>190</v>
      </c>
      <c r="GM310" s="319" t="s">
        <v>190</v>
      </c>
      <c r="GN310" s="319" t="s">
        <v>190</v>
      </c>
      <c r="GO310" s="319" t="s">
        <v>190</v>
      </c>
      <c r="GP310" s="319" t="s">
        <v>190</v>
      </c>
      <c r="GQ310" s="319" t="s">
        <v>428</v>
      </c>
      <c r="GR310" s="319" t="s">
        <v>190</v>
      </c>
      <c r="GS310" s="319" t="s">
        <v>190</v>
      </c>
      <c r="GT310" s="319" t="s">
        <v>428</v>
      </c>
      <c r="GU310" s="319" t="s">
        <v>428</v>
      </c>
      <c r="GV310" s="319" t="s">
        <v>190</v>
      </c>
      <c r="GW310" s="319" t="s">
        <v>190</v>
      </c>
      <c r="GX310" s="319" t="s">
        <v>190</v>
      </c>
      <c r="GY310" s="319" t="s">
        <v>190</v>
      </c>
      <c r="GZ310" s="319" t="s">
        <v>190</v>
      </c>
      <c r="HA310" s="319" t="s">
        <v>428</v>
      </c>
      <c r="HB310" s="319" t="s">
        <v>190</v>
      </c>
      <c r="HC310" s="319" t="s">
        <v>190</v>
      </c>
      <c r="HD310" s="319" t="s">
        <v>190</v>
      </c>
      <c r="HE310" s="319" t="s">
        <v>190</v>
      </c>
      <c r="HF310" s="319" t="s">
        <v>190</v>
      </c>
      <c r="HG310" s="319" t="s">
        <v>190</v>
      </c>
      <c r="HH310" s="319" t="s">
        <v>190</v>
      </c>
      <c r="HI310" s="319" t="s">
        <v>190</v>
      </c>
      <c r="HJ310" s="319" t="s">
        <v>190</v>
      </c>
      <c r="HK310" s="319" t="s">
        <v>190</v>
      </c>
      <c r="HL310" s="319" t="s">
        <v>428</v>
      </c>
      <c r="HM310" s="319" t="s">
        <v>428</v>
      </c>
      <c r="HN310" s="319" t="s">
        <v>428</v>
      </c>
      <c r="HO310" s="319" t="s">
        <v>428</v>
      </c>
      <c r="HP310" s="319" t="s">
        <v>190</v>
      </c>
      <c r="HQ310" s="319" t="s">
        <v>190</v>
      </c>
      <c r="HR310" s="319" t="s">
        <v>190</v>
      </c>
      <c r="HS310" s="319" t="s">
        <v>190</v>
      </c>
      <c r="HT310" s="319" t="s">
        <v>190</v>
      </c>
      <c r="HU310" s="319" t="s">
        <v>190</v>
      </c>
      <c r="HV310" s="319" t="s">
        <v>190</v>
      </c>
      <c r="HW310" s="319" t="s">
        <v>190</v>
      </c>
      <c r="HX310" s="319" t="s">
        <v>190</v>
      </c>
      <c r="HY310" s="319" t="s">
        <v>190</v>
      </c>
      <c r="HZ310" s="319" t="s">
        <v>190</v>
      </c>
      <c r="IA310" s="319" t="s">
        <v>190</v>
      </c>
      <c r="IB310" s="319" t="s">
        <v>190</v>
      </c>
      <c r="IC310" s="319" t="s">
        <v>190</v>
      </c>
      <c r="ID310" s="319" t="s">
        <v>190</v>
      </c>
      <c r="IE310" s="319" t="s">
        <v>190</v>
      </c>
      <c r="IF310" s="319" t="s">
        <v>190</v>
      </c>
      <c r="IG310" s="319" t="s">
        <v>190</v>
      </c>
      <c r="IH310" s="319" t="s">
        <v>190</v>
      </c>
      <c r="II310" s="319" t="s">
        <v>190</v>
      </c>
      <c r="IJ310" s="319" t="s">
        <v>3097</v>
      </c>
      <c r="IK310" s="321">
        <v>41394</v>
      </c>
      <c r="IL310" s="321">
        <v>41396</v>
      </c>
      <c r="IM310" s="321">
        <v>41417</v>
      </c>
      <c r="IN310" s="319">
        <v>2</v>
      </c>
      <c r="IO310" s="319" t="s">
        <v>173</v>
      </c>
      <c r="IP310" s="319" t="s">
        <v>173</v>
      </c>
      <c r="IQ310" s="321" t="s">
        <v>173</v>
      </c>
      <c r="IR310" s="320" t="s">
        <v>173</v>
      </c>
      <c r="IS310" s="322" t="s">
        <v>173</v>
      </c>
      <c r="IT310" s="319" t="s">
        <v>173</v>
      </c>
    </row>
    <row r="311" spans="1:254" s="271" customFormat="1" x14ac:dyDescent="0.25">
      <c r="A311" s="318" t="str">
        <f>HYPERLINK("http://www.ofsted.gov.uk/inspection-reports/find-inspection-report/provider/ELS/131237 ","Ofsted School Webpage")</f>
        <v>Ofsted School Webpage</v>
      </c>
      <c r="B311" s="319">
        <v>131237</v>
      </c>
      <c r="C311" s="319">
        <v>2106391</v>
      </c>
      <c r="D311" s="319" t="s">
        <v>1630</v>
      </c>
      <c r="E311" s="319" t="s">
        <v>168</v>
      </c>
      <c r="F311" s="319" t="s">
        <v>81</v>
      </c>
      <c r="G311" s="319" t="s">
        <v>81</v>
      </c>
      <c r="H311" s="319" t="s">
        <v>81</v>
      </c>
      <c r="I311" s="319" t="s">
        <v>78</v>
      </c>
      <c r="J311" s="319" t="s">
        <v>424</v>
      </c>
      <c r="K311" s="319" t="s">
        <v>441</v>
      </c>
      <c r="L311" s="319" t="s">
        <v>441</v>
      </c>
      <c r="M311" s="319" t="s">
        <v>1150</v>
      </c>
      <c r="N311" s="319" t="s">
        <v>3098</v>
      </c>
      <c r="O311" s="319" t="s">
        <v>1631</v>
      </c>
      <c r="P311" s="319">
        <v>31</v>
      </c>
      <c r="Q311" s="319" t="s">
        <v>2766</v>
      </c>
      <c r="R311" s="320">
        <v>10026284</v>
      </c>
      <c r="S311" s="321">
        <v>43221</v>
      </c>
      <c r="T311" s="321">
        <v>43223</v>
      </c>
      <c r="U311" s="321">
        <v>43262</v>
      </c>
      <c r="V311" s="319" t="s">
        <v>425</v>
      </c>
      <c r="W311" s="319" t="s">
        <v>2767</v>
      </c>
      <c r="X311" s="319">
        <v>1</v>
      </c>
      <c r="Y311" s="319" t="s">
        <v>173</v>
      </c>
      <c r="Z311" s="319" t="s">
        <v>173</v>
      </c>
      <c r="AA311" s="319" t="s">
        <v>173</v>
      </c>
      <c r="AB311" s="319">
        <v>1</v>
      </c>
      <c r="AC311" s="319" t="s">
        <v>169</v>
      </c>
      <c r="AD311" s="319" t="s">
        <v>173</v>
      </c>
      <c r="AE311" s="319" t="s">
        <v>173</v>
      </c>
      <c r="AF311" s="319" t="s">
        <v>427</v>
      </c>
      <c r="AG311" s="319" t="s">
        <v>171</v>
      </c>
      <c r="AH311" s="319" t="s">
        <v>190</v>
      </c>
      <c r="AI311" s="319" t="s">
        <v>190</v>
      </c>
      <c r="AJ311" s="319" t="s">
        <v>190</v>
      </c>
      <c r="AK311" s="319" t="s">
        <v>190</v>
      </c>
      <c r="AL311" s="319" t="s">
        <v>190</v>
      </c>
      <c r="AM311" s="319" t="s">
        <v>190</v>
      </c>
      <c r="AN311" s="319" t="s">
        <v>190</v>
      </c>
      <c r="AO311" s="319" t="s">
        <v>190</v>
      </c>
      <c r="AP311" s="319" t="s">
        <v>190</v>
      </c>
      <c r="AQ311" s="319" t="s">
        <v>190</v>
      </c>
      <c r="AR311" s="319" t="s">
        <v>190</v>
      </c>
      <c r="AS311" s="319" t="s">
        <v>190</v>
      </c>
      <c r="AT311" s="319" t="s">
        <v>190</v>
      </c>
      <c r="AU311" s="319" t="s">
        <v>190</v>
      </c>
      <c r="AV311" s="319" t="s">
        <v>190</v>
      </c>
      <c r="AW311" s="319" t="s">
        <v>190</v>
      </c>
      <c r="AX311" s="319" t="s">
        <v>428</v>
      </c>
      <c r="AY311" s="319" t="s">
        <v>190</v>
      </c>
      <c r="AZ311" s="319" t="s">
        <v>190</v>
      </c>
      <c r="BA311" s="319" t="s">
        <v>190</v>
      </c>
      <c r="BB311" s="319" t="s">
        <v>190</v>
      </c>
      <c r="BC311" s="319" t="s">
        <v>190</v>
      </c>
      <c r="BD311" s="319" t="s">
        <v>190</v>
      </c>
      <c r="BE311" s="319" t="s">
        <v>190</v>
      </c>
      <c r="BF311" s="319" t="s">
        <v>190</v>
      </c>
      <c r="BG311" s="319" t="s">
        <v>428</v>
      </c>
      <c r="BH311" s="319" t="s">
        <v>190</v>
      </c>
      <c r="BI311" s="319" t="s">
        <v>190</v>
      </c>
      <c r="BJ311" s="319" t="s">
        <v>190</v>
      </c>
      <c r="BK311" s="319" t="s">
        <v>190</v>
      </c>
      <c r="BL311" s="319" t="s">
        <v>190</v>
      </c>
      <c r="BM311" s="319" t="s">
        <v>190</v>
      </c>
      <c r="BN311" s="319" t="s">
        <v>190</v>
      </c>
      <c r="BO311" s="319" t="s">
        <v>190</v>
      </c>
      <c r="BP311" s="319" t="s">
        <v>190</v>
      </c>
      <c r="BQ311" s="319" t="s">
        <v>190</v>
      </c>
      <c r="BR311" s="319" t="s">
        <v>190</v>
      </c>
      <c r="BS311" s="319" t="s">
        <v>190</v>
      </c>
      <c r="BT311" s="319" t="s">
        <v>190</v>
      </c>
      <c r="BU311" s="319" t="s">
        <v>190</v>
      </c>
      <c r="BV311" s="319" t="s">
        <v>190</v>
      </c>
      <c r="BW311" s="319" t="s">
        <v>190</v>
      </c>
      <c r="BX311" s="319" t="s">
        <v>190</v>
      </c>
      <c r="BY311" s="319" t="s">
        <v>190</v>
      </c>
      <c r="BZ311" s="319" t="s">
        <v>190</v>
      </c>
      <c r="CA311" s="319" t="s">
        <v>190</v>
      </c>
      <c r="CB311" s="319" t="s">
        <v>190</v>
      </c>
      <c r="CC311" s="319" t="s">
        <v>190</v>
      </c>
      <c r="CD311" s="319" t="s">
        <v>190</v>
      </c>
      <c r="CE311" s="319" t="s">
        <v>190</v>
      </c>
      <c r="CF311" s="319" t="s">
        <v>190</v>
      </c>
      <c r="CG311" s="319" t="s">
        <v>190</v>
      </c>
      <c r="CH311" s="319" t="s">
        <v>190</v>
      </c>
      <c r="CI311" s="319" t="s">
        <v>190</v>
      </c>
      <c r="CJ311" s="319" t="s">
        <v>190</v>
      </c>
      <c r="CK311" s="319" t="s">
        <v>190</v>
      </c>
      <c r="CL311" s="319" t="s">
        <v>190</v>
      </c>
      <c r="CM311" s="319" t="s">
        <v>190</v>
      </c>
      <c r="CN311" s="319" t="s">
        <v>190</v>
      </c>
      <c r="CO311" s="319" t="s">
        <v>428</v>
      </c>
      <c r="CP311" s="319" t="s">
        <v>428</v>
      </c>
      <c r="CQ311" s="319" t="s">
        <v>190</v>
      </c>
      <c r="CR311" s="319" t="s">
        <v>190</v>
      </c>
      <c r="CS311" s="319" t="s">
        <v>190</v>
      </c>
      <c r="CT311" s="319" t="s">
        <v>190</v>
      </c>
      <c r="CU311" s="319" t="s">
        <v>190</v>
      </c>
      <c r="CV311" s="319" t="s">
        <v>190</v>
      </c>
      <c r="CW311" s="319" t="s">
        <v>190</v>
      </c>
      <c r="CX311" s="319" t="s">
        <v>190</v>
      </c>
      <c r="CY311" s="319" t="s">
        <v>190</v>
      </c>
      <c r="CZ311" s="319" t="s">
        <v>190</v>
      </c>
      <c r="DA311" s="319" t="s">
        <v>190</v>
      </c>
      <c r="DB311" s="319" t="s">
        <v>190</v>
      </c>
      <c r="DC311" s="319" t="s">
        <v>190</v>
      </c>
      <c r="DD311" s="319" t="s">
        <v>190</v>
      </c>
      <c r="DE311" s="319" t="s">
        <v>190</v>
      </c>
      <c r="DF311" s="319" t="s">
        <v>190</v>
      </c>
      <c r="DG311" s="319" t="s">
        <v>190</v>
      </c>
      <c r="DH311" s="319" t="s">
        <v>190</v>
      </c>
      <c r="DI311" s="319" t="s">
        <v>190</v>
      </c>
      <c r="DJ311" s="319" t="s">
        <v>190</v>
      </c>
      <c r="DK311" s="319" t="s">
        <v>190</v>
      </c>
      <c r="DL311" s="319" t="s">
        <v>190</v>
      </c>
      <c r="DM311" s="319" t="s">
        <v>190</v>
      </c>
      <c r="DN311" s="319" t="s">
        <v>428</v>
      </c>
      <c r="DO311" s="319" t="s">
        <v>190</v>
      </c>
      <c r="DP311" s="319" t="s">
        <v>190</v>
      </c>
      <c r="DQ311" s="319" t="s">
        <v>190</v>
      </c>
      <c r="DR311" s="319" t="s">
        <v>190</v>
      </c>
      <c r="DS311" s="319" t="s">
        <v>190</v>
      </c>
      <c r="DT311" s="319" t="s">
        <v>190</v>
      </c>
      <c r="DU311" s="319" t="s">
        <v>190</v>
      </c>
      <c r="DV311" s="319" t="s">
        <v>173</v>
      </c>
      <c r="DW311" s="319" t="s">
        <v>190</v>
      </c>
      <c r="DX311" s="319" t="s">
        <v>190</v>
      </c>
      <c r="DY311" s="319" t="s">
        <v>190</v>
      </c>
      <c r="DZ311" s="319" t="s">
        <v>190</v>
      </c>
      <c r="EA311" s="319" t="s">
        <v>190</v>
      </c>
      <c r="EB311" s="319" t="s">
        <v>190</v>
      </c>
      <c r="EC311" s="319" t="s">
        <v>428</v>
      </c>
      <c r="ED311" s="319" t="s">
        <v>190</v>
      </c>
      <c r="EE311" s="319" t="s">
        <v>428</v>
      </c>
      <c r="EF311" s="319" t="s">
        <v>428</v>
      </c>
      <c r="EG311" s="319" t="s">
        <v>428</v>
      </c>
      <c r="EH311" s="319" t="s">
        <v>190</v>
      </c>
      <c r="EI311" s="319" t="s">
        <v>428</v>
      </c>
      <c r="EJ311" s="319" t="s">
        <v>428</v>
      </c>
      <c r="EK311" s="319" t="s">
        <v>428</v>
      </c>
      <c r="EL311" s="319" t="s">
        <v>428</v>
      </c>
      <c r="EM311" s="319" t="s">
        <v>428</v>
      </c>
      <c r="EN311" s="319" t="s">
        <v>190</v>
      </c>
      <c r="EO311" s="319" t="s">
        <v>190</v>
      </c>
      <c r="EP311" s="319" t="s">
        <v>190</v>
      </c>
      <c r="EQ311" s="319" t="s">
        <v>190</v>
      </c>
      <c r="ER311" s="319" t="s">
        <v>190</v>
      </c>
      <c r="ES311" s="319" t="s">
        <v>190</v>
      </c>
      <c r="ET311" s="319" t="s">
        <v>190</v>
      </c>
      <c r="EU311" s="319" t="s">
        <v>190</v>
      </c>
      <c r="EV311" s="319" t="s">
        <v>190</v>
      </c>
      <c r="EW311" s="319" t="s">
        <v>190</v>
      </c>
      <c r="EX311" s="319" t="s">
        <v>190</v>
      </c>
      <c r="EY311" s="319" t="s">
        <v>190</v>
      </c>
      <c r="EZ311" s="319" t="s">
        <v>190</v>
      </c>
      <c r="FA311" s="319" t="s">
        <v>190</v>
      </c>
      <c r="FB311" s="319" t="s">
        <v>190</v>
      </c>
      <c r="FC311" s="319" t="s">
        <v>190</v>
      </c>
      <c r="FD311" s="319" t="s">
        <v>190</v>
      </c>
      <c r="FE311" s="319" t="s">
        <v>190</v>
      </c>
      <c r="FF311" s="319" t="s">
        <v>190</v>
      </c>
      <c r="FG311" s="319" t="s">
        <v>190</v>
      </c>
      <c r="FH311" s="319" t="s">
        <v>428</v>
      </c>
      <c r="FI311" s="319" t="s">
        <v>428</v>
      </c>
      <c r="FJ311" s="319" t="s">
        <v>429</v>
      </c>
      <c r="FK311" s="319" t="s">
        <v>428</v>
      </c>
      <c r="FL311" s="319" t="s">
        <v>190</v>
      </c>
      <c r="FM311" s="319" t="s">
        <v>190</v>
      </c>
      <c r="FN311" s="319" t="s">
        <v>190</v>
      </c>
      <c r="FO311" s="319" t="s">
        <v>190</v>
      </c>
      <c r="FP311" s="319" t="s">
        <v>190</v>
      </c>
      <c r="FQ311" s="319" t="s">
        <v>190</v>
      </c>
      <c r="FR311" s="319" t="s">
        <v>190</v>
      </c>
      <c r="FS311" s="319" t="s">
        <v>190</v>
      </c>
      <c r="FT311" s="319" t="s">
        <v>190</v>
      </c>
      <c r="FU311" s="319" t="s">
        <v>190</v>
      </c>
      <c r="FV311" s="319" t="s">
        <v>190</v>
      </c>
      <c r="FW311" s="319" t="s">
        <v>190</v>
      </c>
      <c r="FX311" s="319" t="s">
        <v>190</v>
      </c>
      <c r="FY311" s="319" t="s">
        <v>190</v>
      </c>
      <c r="FZ311" s="319" t="s">
        <v>190</v>
      </c>
      <c r="GA311" s="319" t="s">
        <v>190</v>
      </c>
      <c r="GB311" s="319" t="s">
        <v>190</v>
      </c>
      <c r="GC311" s="319" t="s">
        <v>190</v>
      </c>
      <c r="GD311" s="319" t="s">
        <v>190</v>
      </c>
      <c r="GE311" s="319" t="s">
        <v>190</v>
      </c>
      <c r="GF311" s="319" t="s">
        <v>190</v>
      </c>
      <c r="GG311" s="319" t="s">
        <v>190</v>
      </c>
      <c r="GH311" s="319" t="s">
        <v>190</v>
      </c>
      <c r="GI311" s="319" t="s">
        <v>190</v>
      </c>
      <c r="GJ311" s="319" t="s">
        <v>190</v>
      </c>
      <c r="GK311" s="319" t="s">
        <v>428</v>
      </c>
      <c r="GL311" s="319" t="s">
        <v>190</v>
      </c>
      <c r="GM311" s="319" t="s">
        <v>190</v>
      </c>
      <c r="GN311" s="319" t="s">
        <v>190</v>
      </c>
      <c r="GO311" s="319" t="s">
        <v>190</v>
      </c>
      <c r="GP311" s="319" t="s">
        <v>190</v>
      </c>
      <c r="GQ311" s="319" t="s">
        <v>190</v>
      </c>
      <c r="GR311" s="319" t="s">
        <v>190</v>
      </c>
      <c r="GS311" s="319" t="s">
        <v>190</v>
      </c>
      <c r="GT311" s="319" t="s">
        <v>190</v>
      </c>
      <c r="GU311" s="319" t="s">
        <v>190</v>
      </c>
      <c r="GV311" s="319" t="s">
        <v>190</v>
      </c>
      <c r="GW311" s="319" t="s">
        <v>190</v>
      </c>
      <c r="GX311" s="319" t="s">
        <v>190</v>
      </c>
      <c r="GY311" s="319" t="s">
        <v>190</v>
      </c>
      <c r="GZ311" s="319" t="s">
        <v>190</v>
      </c>
      <c r="HA311" s="319" t="s">
        <v>428</v>
      </c>
      <c r="HB311" s="319" t="s">
        <v>428</v>
      </c>
      <c r="HC311" s="319" t="s">
        <v>190</v>
      </c>
      <c r="HD311" s="319" t="s">
        <v>190</v>
      </c>
      <c r="HE311" s="319" t="s">
        <v>190</v>
      </c>
      <c r="HF311" s="319" t="s">
        <v>190</v>
      </c>
      <c r="HG311" s="319" t="s">
        <v>190</v>
      </c>
      <c r="HH311" s="319" t="s">
        <v>190</v>
      </c>
      <c r="HI311" s="319" t="s">
        <v>190</v>
      </c>
      <c r="HJ311" s="319" t="s">
        <v>190</v>
      </c>
      <c r="HK311" s="319" t="s">
        <v>190</v>
      </c>
      <c r="HL311" s="319" t="s">
        <v>190</v>
      </c>
      <c r="HM311" s="319" t="s">
        <v>428</v>
      </c>
      <c r="HN311" s="319" t="s">
        <v>428</v>
      </c>
      <c r="HO311" s="319" t="s">
        <v>428</v>
      </c>
      <c r="HP311" s="319" t="s">
        <v>190</v>
      </c>
      <c r="HQ311" s="319" t="s">
        <v>190</v>
      </c>
      <c r="HR311" s="319" t="s">
        <v>190</v>
      </c>
      <c r="HS311" s="319" t="s">
        <v>190</v>
      </c>
      <c r="HT311" s="319" t="s">
        <v>190</v>
      </c>
      <c r="HU311" s="319" t="s">
        <v>190</v>
      </c>
      <c r="HV311" s="319" t="s">
        <v>190</v>
      </c>
      <c r="HW311" s="319" t="s">
        <v>190</v>
      </c>
      <c r="HX311" s="319" t="s">
        <v>190</v>
      </c>
      <c r="HY311" s="319" t="s">
        <v>190</v>
      </c>
      <c r="HZ311" s="319" t="s">
        <v>190</v>
      </c>
      <c r="IA311" s="319" t="s">
        <v>190</v>
      </c>
      <c r="IB311" s="319" t="s">
        <v>190</v>
      </c>
      <c r="IC311" s="319" t="s">
        <v>190</v>
      </c>
      <c r="ID311" s="319" t="s">
        <v>190</v>
      </c>
      <c r="IE311" s="319" t="s">
        <v>190</v>
      </c>
      <c r="IF311" s="319" t="s">
        <v>190</v>
      </c>
      <c r="IG311" s="319" t="s">
        <v>190</v>
      </c>
      <c r="IH311" s="319" t="s">
        <v>190</v>
      </c>
      <c r="II311" s="319" t="s">
        <v>190</v>
      </c>
      <c r="IJ311" s="319" t="s">
        <v>3099</v>
      </c>
      <c r="IK311" s="321">
        <v>41612</v>
      </c>
      <c r="IL311" s="321">
        <v>41614</v>
      </c>
      <c r="IM311" s="321">
        <v>41649</v>
      </c>
      <c r="IN311" s="319">
        <v>2</v>
      </c>
      <c r="IO311" s="319" t="s">
        <v>173</v>
      </c>
      <c r="IP311" s="319" t="s">
        <v>173</v>
      </c>
      <c r="IQ311" s="321" t="s">
        <v>173</v>
      </c>
      <c r="IR311" s="320" t="s">
        <v>173</v>
      </c>
      <c r="IS311" s="322" t="s">
        <v>173</v>
      </c>
      <c r="IT311" s="319" t="s">
        <v>173</v>
      </c>
    </row>
    <row r="312" spans="1:254" s="271" customFormat="1" x14ac:dyDescent="0.25">
      <c r="A312" s="318" t="str">
        <f>HYPERLINK("http://www.ofsted.gov.uk/inspection-reports/find-inspection-report/provider/ELS/131260 ","Ofsted School Webpage")</f>
        <v>Ofsted School Webpage</v>
      </c>
      <c r="B312" s="319">
        <v>131260</v>
      </c>
      <c r="C312" s="319">
        <v>8736039</v>
      </c>
      <c r="D312" s="319" t="s">
        <v>1632</v>
      </c>
      <c r="E312" s="319" t="s">
        <v>168</v>
      </c>
      <c r="F312" s="319" t="s">
        <v>81</v>
      </c>
      <c r="G312" s="319" t="s">
        <v>81</v>
      </c>
      <c r="H312" s="319" t="s">
        <v>81</v>
      </c>
      <c r="I312" s="319" t="s">
        <v>78</v>
      </c>
      <c r="J312" s="319" t="s">
        <v>424</v>
      </c>
      <c r="K312" s="319" t="s">
        <v>451</v>
      </c>
      <c r="L312" s="319" t="s">
        <v>451</v>
      </c>
      <c r="M312" s="319" t="s">
        <v>772</v>
      </c>
      <c r="N312" s="319" t="s">
        <v>2913</v>
      </c>
      <c r="O312" s="319" t="s">
        <v>2750</v>
      </c>
      <c r="P312" s="319">
        <v>5</v>
      </c>
      <c r="Q312" s="319" t="s">
        <v>429</v>
      </c>
      <c r="R312" s="320">
        <v>10006069</v>
      </c>
      <c r="S312" s="321">
        <v>43151</v>
      </c>
      <c r="T312" s="321">
        <v>43153</v>
      </c>
      <c r="U312" s="321">
        <v>43207</v>
      </c>
      <c r="V312" s="319" t="s">
        <v>425</v>
      </c>
      <c r="W312" s="319" t="s">
        <v>2767</v>
      </c>
      <c r="X312" s="319">
        <v>3</v>
      </c>
      <c r="Y312" s="319" t="s">
        <v>173</v>
      </c>
      <c r="Z312" s="319" t="s">
        <v>173</v>
      </c>
      <c r="AA312" s="319" t="s">
        <v>173</v>
      </c>
      <c r="AB312" s="319">
        <v>3</v>
      </c>
      <c r="AC312" s="319" t="s">
        <v>169</v>
      </c>
      <c r="AD312" s="319" t="s">
        <v>173</v>
      </c>
      <c r="AE312" s="319" t="s">
        <v>173</v>
      </c>
      <c r="AF312" s="319" t="s">
        <v>173</v>
      </c>
      <c r="AG312" s="319" t="s">
        <v>172</v>
      </c>
      <c r="AH312" s="319" t="s">
        <v>479</v>
      </c>
      <c r="AI312" s="319" t="s">
        <v>190</v>
      </c>
      <c r="AJ312" s="319" t="s">
        <v>190</v>
      </c>
      <c r="AK312" s="319" t="s">
        <v>190</v>
      </c>
      <c r="AL312" s="319" t="s">
        <v>190</v>
      </c>
      <c r="AM312" s="319" t="s">
        <v>190</v>
      </c>
      <c r="AN312" s="319" t="s">
        <v>190</v>
      </c>
      <c r="AO312" s="319" t="s">
        <v>479</v>
      </c>
      <c r="AP312" s="319" t="s">
        <v>190</v>
      </c>
      <c r="AQ312" s="319" t="s">
        <v>190</v>
      </c>
      <c r="AR312" s="319" t="s">
        <v>190</v>
      </c>
      <c r="AS312" s="319" t="s">
        <v>190</v>
      </c>
      <c r="AT312" s="319" t="s">
        <v>190</v>
      </c>
      <c r="AU312" s="319" t="s">
        <v>190</v>
      </c>
      <c r="AV312" s="319" t="s">
        <v>190</v>
      </c>
      <c r="AW312" s="319" t="s">
        <v>190</v>
      </c>
      <c r="AX312" s="319" t="s">
        <v>429</v>
      </c>
      <c r="AY312" s="319" t="s">
        <v>190</v>
      </c>
      <c r="AZ312" s="319" t="s">
        <v>190</v>
      </c>
      <c r="BA312" s="319" t="s">
        <v>190</v>
      </c>
      <c r="BB312" s="319" t="s">
        <v>190</v>
      </c>
      <c r="BC312" s="319" t="s">
        <v>190</v>
      </c>
      <c r="BD312" s="319" t="s">
        <v>190</v>
      </c>
      <c r="BE312" s="319" t="s">
        <v>190</v>
      </c>
      <c r="BF312" s="319" t="s">
        <v>429</v>
      </c>
      <c r="BG312" s="319" t="s">
        <v>429</v>
      </c>
      <c r="BH312" s="319" t="s">
        <v>190</v>
      </c>
      <c r="BI312" s="319" t="s">
        <v>190</v>
      </c>
      <c r="BJ312" s="319" t="s">
        <v>191</v>
      </c>
      <c r="BK312" s="319" t="s">
        <v>191</v>
      </c>
      <c r="BL312" s="319" t="s">
        <v>190</v>
      </c>
      <c r="BM312" s="319" t="s">
        <v>191</v>
      </c>
      <c r="BN312" s="319" t="s">
        <v>191</v>
      </c>
      <c r="BO312" s="319" t="s">
        <v>190</v>
      </c>
      <c r="BP312" s="319" t="s">
        <v>190</v>
      </c>
      <c r="BQ312" s="319" t="s">
        <v>191</v>
      </c>
      <c r="BR312" s="319" t="s">
        <v>190</v>
      </c>
      <c r="BS312" s="319" t="s">
        <v>190</v>
      </c>
      <c r="BT312" s="319" t="s">
        <v>190</v>
      </c>
      <c r="BU312" s="319" t="s">
        <v>190</v>
      </c>
      <c r="BV312" s="319" t="s">
        <v>190</v>
      </c>
      <c r="BW312" s="319" t="s">
        <v>190</v>
      </c>
      <c r="BX312" s="319" t="s">
        <v>190</v>
      </c>
      <c r="BY312" s="319" t="s">
        <v>190</v>
      </c>
      <c r="BZ312" s="319" t="s">
        <v>190</v>
      </c>
      <c r="CA312" s="319" t="s">
        <v>190</v>
      </c>
      <c r="CB312" s="319" t="s">
        <v>190</v>
      </c>
      <c r="CC312" s="319" t="s">
        <v>190</v>
      </c>
      <c r="CD312" s="319" t="s">
        <v>190</v>
      </c>
      <c r="CE312" s="319" t="s">
        <v>190</v>
      </c>
      <c r="CF312" s="319" t="s">
        <v>190</v>
      </c>
      <c r="CG312" s="319" t="s">
        <v>190</v>
      </c>
      <c r="CH312" s="319" t="s">
        <v>190</v>
      </c>
      <c r="CI312" s="319" t="s">
        <v>190</v>
      </c>
      <c r="CJ312" s="319" t="s">
        <v>190</v>
      </c>
      <c r="CK312" s="319" t="s">
        <v>190</v>
      </c>
      <c r="CL312" s="319" t="s">
        <v>190</v>
      </c>
      <c r="CM312" s="319" t="s">
        <v>190</v>
      </c>
      <c r="CN312" s="319" t="s">
        <v>429</v>
      </c>
      <c r="CO312" s="319" t="s">
        <v>429</v>
      </c>
      <c r="CP312" s="319" t="s">
        <v>429</v>
      </c>
      <c r="CQ312" s="319" t="s">
        <v>190</v>
      </c>
      <c r="CR312" s="319" t="s">
        <v>190</v>
      </c>
      <c r="CS312" s="319" t="s">
        <v>190</v>
      </c>
      <c r="CT312" s="319" t="s">
        <v>190</v>
      </c>
      <c r="CU312" s="319" t="s">
        <v>190</v>
      </c>
      <c r="CV312" s="319" t="s">
        <v>190</v>
      </c>
      <c r="CW312" s="319" t="s">
        <v>190</v>
      </c>
      <c r="CX312" s="319" t="s">
        <v>190</v>
      </c>
      <c r="CY312" s="319" t="s">
        <v>190</v>
      </c>
      <c r="CZ312" s="319" t="s">
        <v>190</v>
      </c>
      <c r="DA312" s="319" t="s">
        <v>190</v>
      </c>
      <c r="DB312" s="319" t="s">
        <v>190</v>
      </c>
      <c r="DC312" s="319" t="s">
        <v>190</v>
      </c>
      <c r="DD312" s="319" t="s">
        <v>190</v>
      </c>
      <c r="DE312" s="319" t="s">
        <v>190</v>
      </c>
      <c r="DF312" s="319" t="s">
        <v>190</v>
      </c>
      <c r="DG312" s="319" t="s">
        <v>190</v>
      </c>
      <c r="DH312" s="319" t="s">
        <v>190</v>
      </c>
      <c r="DI312" s="319" t="s">
        <v>190</v>
      </c>
      <c r="DJ312" s="319" t="s">
        <v>190</v>
      </c>
      <c r="DK312" s="319" t="s">
        <v>190</v>
      </c>
      <c r="DL312" s="319" t="s">
        <v>190</v>
      </c>
      <c r="DM312" s="319" t="s">
        <v>429</v>
      </c>
      <c r="DN312" s="319" t="s">
        <v>429</v>
      </c>
      <c r="DO312" s="319" t="s">
        <v>190</v>
      </c>
      <c r="DP312" s="319" t="s">
        <v>429</v>
      </c>
      <c r="DQ312" s="319" t="s">
        <v>429</v>
      </c>
      <c r="DR312" s="319" t="s">
        <v>429</v>
      </c>
      <c r="DS312" s="319" t="s">
        <v>429</v>
      </c>
      <c r="DT312" s="319" t="s">
        <v>429</v>
      </c>
      <c r="DU312" s="319" t="s">
        <v>429</v>
      </c>
      <c r="DV312" s="319" t="s">
        <v>173</v>
      </c>
      <c r="DW312" s="319" t="s">
        <v>429</v>
      </c>
      <c r="DX312" s="319" t="s">
        <v>429</v>
      </c>
      <c r="DY312" s="319" t="s">
        <v>429</v>
      </c>
      <c r="DZ312" s="319" t="s">
        <v>429</v>
      </c>
      <c r="EA312" s="319" t="s">
        <v>429</v>
      </c>
      <c r="EB312" s="319" t="s">
        <v>429</v>
      </c>
      <c r="EC312" s="319" t="s">
        <v>429</v>
      </c>
      <c r="ED312" s="319" t="s">
        <v>429</v>
      </c>
      <c r="EE312" s="319" t="s">
        <v>190</v>
      </c>
      <c r="EF312" s="319" t="s">
        <v>190</v>
      </c>
      <c r="EG312" s="319" t="s">
        <v>190</v>
      </c>
      <c r="EH312" s="319" t="s">
        <v>190</v>
      </c>
      <c r="EI312" s="319" t="s">
        <v>190</v>
      </c>
      <c r="EJ312" s="319" t="s">
        <v>190</v>
      </c>
      <c r="EK312" s="319" t="s">
        <v>190</v>
      </c>
      <c r="EL312" s="319" t="s">
        <v>190</v>
      </c>
      <c r="EM312" s="319" t="s">
        <v>190</v>
      </c>
      <c r="EN312" s="319" t="s">
        <v>190</v>
      </c>
      <c r="EO312" s="319" t="s">
        <v>190</v>
      </c>
      <c r="EP312" s="319" t="s">
        <v>190</v>
      </c>
      <c r="EQ312" s="319" t="s">
        <v>190</v>
      </c>
      <c r="ER312" s="319" t="s">
        <v>190</v>
      </c>
      <c r="ES312" s="319" t="s">
        <v>190</v>
      </c>
      <c r="ET312" s="319" t="s">
        <v>190</v>
      </c>
      <c r="EU312" s="319" t="s">
        <v>190</v>
      </c>
      <c r="EV312" s="319" t="s">
        <v>190</v>
      </c>
      <c r="EW312" s="319" t="s">
        <v>190</v>
      </c>
      <c r="EX312" s="319" t="s">
        <v>190</v>
      </c>
      <c r="EY312" s="319" t="s">
        <v>190</v>
      </c>
      <c r="EZ312" s="319" t="s">
        <v>190</v>
      </c>
      <c r="FA312" s="319" t="s">
        <v>190</v>
      </c>
      <c r="FB312" s="319" t="s">
        <v>429</v>
      </c>
      <c r="FC312" s="319" t="s">
        <v>429</v>
      </c>
      <c r="FD312" s="319" t="s">
        <v>429</v>
      </c>
      <c r="FE312" s="319" t="s">
        <v>429</v>
      </c>
      <c r="FF312" s="319" t="s">
        <v>429</v>
      </c>
      <c r="FG312" s="319" t="s">
        <v>429</v>
      </c>
      <c r="FH312" s="319" t="s">
        <v>190</v>
      </c>
      <c r="FI312" s="319" t="s">
        <v>190</v>
      </c>
      <c r="FJ312" s="319" t="s">
        <v>190</v>
      </c>
      <c r="FK312" s="319" t="s">
        <v>190</v>
      </c>
      <c r="FL312" s="319" t="s">
        <v>190</v>
      </c>
      <c r="FM312" s="319" t="s">
        <v>190</v>
      </c>
      <c r="FN312" s="319" t="s">
        <v>190</v>
      </c>
      <c r="FO312" s="319" t="s">
        <v>190</v>
      </c>
      <c r="FP312" s="319" t="s">
        <v>190</v>
      </c>
      <c r="FQ312" s="319" t="s">
        <v>190</v>
      </c>
      <c r="FR312" s="319" t="s">
        <v>190</v>
      </c>
      <c r="FS312" s="319" t="s">
        <v>429</v>
      </c>
      <c r="FT312" s="319" t="s">
        <v>190</v>
      </c>
      <c r="FU312" s="319" t="s">
        <v>190</v>
      </c>
      <c r="FV312" s="319" t="s">
        <v>190</v>
      </c>
      <c r="FW312" s="319" t="s">
        <v>190</v>
      </c>
      <c r="FX312" s="319" t="s">
        <v>190</v>
      </c>
      <c r="FY312" s="319" t="s">
        <v>190</v>
      </c>
      <c r="FZ312" s="319" t="s">
        <v>190</v>
      </c>
      <c r="GA312" s="319" t="s">
        <v>190</v>
      </c>
      <c r="GB312" s="319" t="s">
        <v>190</v>
      </c>
      <c r="GC312" s="319" t="s">
        <v>190</v>
      </c>
      <c r="GD312" s="319" t="s">
        <v>190</v>
      </c>
      <c r="GE312" s="319" t="s">
        <v>190</v>
      </c>
      <c r="GF312" s="319" t="s">
        <v>190</v>
      </c>
      <c r="GG312" s="319" t="s">
        <v>190</v>
      </c>
      <c r="GH312" s="319" t="s">
        <v>190</v>
      </c>
      <c r="GI312" s="319" t="s">
        <v>190</v>
      </c>
      <c r="GJ312" s="319" t="s">
        <v>190</v>
      </c>
      <c r="GK312" s="319" t="s">
        <v>429</v>
      </c>
      <c r="GL312" s="319" t="s">
        <v>190</v>
      </c>
      <c r="GM312" s="319" t="s">
        <v>190</v>
      </c>
      <c r="GN312" s="319" t="s">
        <v>190</v>
      </c>
      <c r="GO312" s="319" t="s">
        <v>190</v>
      </c>
      <c r="GP312" s="319" t="s">
        <v>190</v>
      </c>
      <c r="GQ312" s="319" t="s">
        <v>190</v>
      </c>
      <c r="GR312" s="319" t="s">
        <v>190</v>
      </c>
      <c r="GS312" s="319" t="s">
        <v>190</v>
      </c>
      <c r="GT312" s="319" t="s">
        <v>190</v>
      </c>
      <c r="GU312" s="319" t="s">
        <v>190</v>
      </c>
      <c r="GV312" s="319" t="s">
        <v>190</v>
      </c>
      <c r="GW312" s="319" t="s">
        <v>190</v>
      </c>
      <c r="GX312" s="319" t="s">
        <v>190</v>
      </c>
      <c r="GY312" s="319" t="s">
        <v>190</v>
      </c>
      <c r="GZ312" s="319" t="s">
        <v>429</v>
      </c>
      <c r="HA312" s="319" t="s">
        <v>190</v>
      </c>
      <c r="HB312" s="319" t="s">
        <v>190</v>
      </c>
      <c r="HC312" s="319" t="s">
        <v>190</v>
      </c>
      <c r="HD312" s="319" t="s">
        <v>190</v>
      </c>
      <c r="HE312" s="319" t="s">
        <v>190</v>
      </c>
      <c r="HF312" s="319" t="s">
        <v>190</v>
      </c>
      <c r="HG312" s="319" t="s">
        <v>190</v>
      </c>
      <c r="HH312" s="319" t="s">
        <v>190</v>
      </c>
      <c r="HI312" s="319" t="s">
        <v>190</v>
      </c>
      <c r="HJ312" s="319" t="s">
        <v>190</v>
      </c>
      <c r="HK312" s="319" t="s">
        <v>190</v>
      </c>
      <c r="HL312" s="319" t="s">
        <v>429</v>
      </c>
      <c r="HM312" s="319" t="s">
        <v>429</v>
      </c>
      <c r="HN312" s="319" t="s">
        <v>429</v>
      </c>
      <c r="HO312" s="319" t="s">
        <v>429</v>
      </c>
      <c r="HP312" s="319" t="s">
        <v>190</v>
      </c>
      <c r="HQ312" s="319" t="s">
        <v>190</v>
      </c>
      <c r="HR312" s="319" t="s">
        <v>190</v>
      </c>
      <c r="HS312" s="319" t="s">
        <v>190</v>
      </c>
      <c r="HT312" s="319" t="s">
        <v>190</v>
      </c>
      <c r="HU312" s="319" t="s">
        <v>190</v>
      </c>
      <c r="HV312" s="319" t="s">
        <v>190</v>
      </c>
      <c r="HW312" s="319" t="s">
        <v>190</v>
      </c>
      <c r="HX312" s="319" t="s">
        <v>190</v>
      </c>
      <c r="HY312" s="319" t="s">
        <v>190</v>
      </c>
      <c r="HZ312" s="319" t="s">
        <v>190</v>
      </c>
      <c r="IA312" s="319" t="s">
        <v>190</v>
      </c>
      <c r="IB312" s="319" t="s">
        <v>190</v>
      </c>
      <c r="IC312" s="319" t="s">
        <v>190</v>
      </c>
      <c r="ID312" s="319" t="s">
        <v>190</v>
      </c>
      <c r="IE312" s="319" t="s">
        <v>190</v>
      </c>
      <c r="IF312" s="319" t="s">
        <v>191</v>
      </c>
      <c r="IG312" s="319" t="s">
        <v>191</v>
      </c>
      <c r="IH312" s="319" t="s">
        <v>191</v>
      </c>
      <c r="II312" s="319" t="s">
        <v>190</v>
      </c>
      <c r="IJ312" s="319" t="s">
        <v>3100</v>
      </c>
      <c r="IK312" s="321">
        <v>41241</v>
      </c>
      <c r="IL312" s="321">
        <v>41242</v>
      </c>
      <c r="IM312" s="321">
        <v>41264</v>
      </c>
      <c r="IN312" s="319">
        <v>2</v>
      </c>
      <c r="IO312" s="319">
        <v>10105570</v>
      </c>
      <c r="IP312" s="319" t="s">
        <v>985</v>
      </c>
      <c r="IQ312" s="321">
        <v>43621</v>
      </c>
      <c r="IR312" s="320" t="s">
        <v>1223</v>
      </c>
      <c r="IS312" s="322">
        <v>43649</v>
      </c>
      <c r="IT312" s="319" t="s">
        <v>166</v>
      </c>
    </row>
    <row r="313" spans="1:254" s="271" customFormat="1" x14ac:dyDescent="0.25">
      <c r="A313" s="318" t="str">
        <f>HYPERLINK("http://www.ofsted.gov.uk/inspection-reports/find-inspection-report/provider/ELS/131261 ","Ofsted School Webpage")</f>
        <v>Ofsted School Webpage</v>
      </c>
      <c r="B313" s="319">
        <v>131261</v>
      </c>
      <c r="C313" s="319">
        <v>3026119</v>
      </c>
      <c r="D313" s="319" t="s">
        <v>1633</v>
      </c>
      <c r="E313" s="319" t="s">
        <v>167</v>
      </c>
      <c r="F313" s="319" t="s">
        <v>71</v>
      </c>
      <c r="G313" s="319" t="s">
        <v>72</v>
      </c>
      <c r="H313" s="319" t="s">
        <v>71</v>
      </c>
      <c r="I313" s="319" t="s">
        <v>72</v>
      </c>
      <c r="J313" s="319" t="s">
        <v>424</v>
      </c>
      <c r="K313" s="319" t="s">
        <v>441</v>
      </c>
      <c r="L313" s="319" t="s">
        <v>441</v>
      </c>
      <c r="M313" s="319" t="s">
        <v>544</v>
      </c>
      <c r="N313" s="319" t="s">
        <v>2818</v>
      </c>
      <c r="O313" s="319" t="s">
        <v>1634</v>
      </c>
      <c r="P313" s="319">
        <v>197</v>
      </c>
      <c r="Q313" s="319" t="s">
        <v>2776</v>
      </c>
      <c r="R313" s="320">
        <v>10012794</v>
      </c>
      <c r="S313" s="321">
        <v>43284</v>
      </c>
      <c r="T313" s="321">
        <v>43286</v>
      </c>
      <c r="U313" s="321">
        <v>43360</v>
      </c>
      <c r="V313" s="319" t="s">
        <v>425</v>
      </c>
      <c r="W313" s="319" t="s">
        <v>2767</v>
      </c>
      <c r="X313" s="319">
        <v>2</v>
      </c>
      <c r="Y313" s="319" t="s">
        <v>173</v>
      </c>
      <c r="Z313" s="319" t="s">
        <v>173</v>
      </c>
      <c r="AA313" s="319" t="s">
        <v>173</v>
      </c>
      <c r="AB313" s="319">
        <v>2</v>
      </c>
      <c r="AC313" s="319" t="s">
        <v>169</v>
      </c>
      <c r="AD313" s="319">
        <v>2</v>
      </c>
      <c r="AE313" s="319" t="s">
        <v>173</v>
      </c>
      <c r="AF313" s="319" t="s">
        <v>427</v>
      </c>
      <c r="AG313" s="319" t="s">
        <v>171</v>
      </c>
      <c r="AH313" s="319" t="s">
        <v>190</v>
      </c>
      <c r="AI313" s="319" t="s">
        <v>190</v>
      </c>
      <c r="AJ313" s="319" t="s">
        <v>190</v>
      </c>
      <c r="AK313" s="319" t="s">
        <v>190</v>
      </c>
      <c r="AL313" s="319" t="s">
        <v>190</v>
      </c>
      <c r="AM313" s="319" t="s">
        <v>190</v>
      </c>
      <c r="AN313" s="319" t="s">
        <v>190</v>
      </c>
      <c r="AO313" s="319" t="s">
        <v>190</v>
      </c>
      <c r="AP313" s="319" t="s">
        <v>190</v>
      </c>
      <c r="AQ313" s="319" t="s">
        <v>190</v>
      </c>
      <c r="AR313" s="319" t="s">
        <v>190</v>
      </c>
      <c r="AS313" s="319" t="s">
        <v>190</v>
      </c>
      <c r="AT313" s="319" t="s">
        <v>190</v>
      </c>
      <c r="AU313" s="319" t="s">
        <v>190</v>
      </c>
      <c r="AV313" s="319" t="s">
        <v>190</v>
      </c>
      <c r="AW313" s="319" t="s">
        <v>190</v>
      </c>
      <c r="AX313" s="319" t="s">
        <v>428</v>
      </c>
      <c r="AY313" s="319" t="s">
        <v>190</v>
      </c>
      <c r="AZ313" s="319" t="s">
        <v>190</v>
      </c>
      <c r="BA313" s="319" t="s">
        <v>190</v>
      </c>
      <c r="BB313" s="319" t="s">
        <v>190</v>
      </c>
      <c r="BC313" s="319" t="s">
        <v>190</v>
      </c>
      <c r="BD313" s="319" t="s">
        <v>190</v>
      </c>
      <c r="BE313" s="319" t="s">
        <v>190</v>
      </c>
      <c r="BF313" s="319" t="s">
        <v>428</v>
      </c>
      <c r="BG313" s="319" t="s">
        <v>428</v>
      </c>
      <c r="BH313" s="319" t="s">
        <v>190</v>
      </c>
      <c r="BI313" s="319" t="s">
        <v>190</v>
      </c>
      <c r="BJ313" s="319" t="s">
        <v>190</v>
      </c>
      <c r="BK313" s="319" t="s">
        <v>190</v>
      </c>
      <c r="BL313" s="319" t="s">
        <v>190</v>
      </c>
      <c r="BM313" s="319" t="s">
        <v>190</v>
      </c>
      <c r="BN313" s="319" t="s">
        <v>190</v>
      </c>
      <c r="BO313" s="319" t="s">
        <v>190</v>
      </c>
      <c r="BP313" s="319" t="s">
        <v>190</v>
      </c>
      <c r="BQ313" s="319" t="s">
        <v>190</v>
      </c>
      <c r="BR313" s="319" t="s">
        <v>190</v>
      </c>
      <c r="BS313" s="319" t="s">
        <v>190</v>
      </c>
      <c r="BT313" s="319" t="s">
        <v>190</v>
      </c>
      <c r="BU313" s="319" t="s">
        <v>190</v>
      </c>
      <c r="BV313" s="319" t="s">
        <v>190</v>
      </c>
      <c r="BW313" s="319" t="s">
        <v>190</v>
      </c>
      <c r="BX313" s="319" t="s">
        <v>190</v>
      </c>
      <c r="BY313" s="319" t="s">
        <v>190</v>
      </c>
      <c r="BZ313" s="319" t="s">
        <v>190</v>
      </c>
      <c r="CA313" s="319" t="s">
        <v>190</v>
      </c>
      <c r="CB313" s="319" t="s">
        <v>190</v>
      </c>
      <c r="CC313" s="319" t="s">
        <v>190</v>
      </c>
      <c r="CD313" s="319" t="s">
        <v>190</v>
      </c>
      <c r="CE313" s="319" t="s">
        <v>190</v>
      </c>
      <c r="CF313" s="319" t="s">
        <v>190</v>
      </c>
      <c r="CG313" s="319" t="s">
        <v>190</v>
      </c>
      <c r="CH313" s="319" t="s">
        <v>190</v>
      </c>
      <c r="CI313" s="319" t="s">
        <v>190</v>
      </c>
      <c r="CJ313" s="319" t="s">
        <v>190</v>
      </c>
      <c r="CK313" s="319" t="s">
        <v>190</v>
      </c>
      <c r="CL313" s="319" t="s">
        <v>190</v>
      </c>
      <c r="CM313" s="319" t="s">
        <v>190</v>
      </c>
      <c r="CN313" s="319" t="s">
        <v>428</v>
      </c>
      <c r="CO313" s="319" t="s">
        <v>428</v>
      </c>
      <c r="CP313" s="319" t="s">
        <v>428</v>
      </c>
      <c r="CQ313" s="319" t="s">
        <v>190</v>
      </c>
      <c r="CR313" s="319" t="s">
        <v>190</v>
      </c>
      <c r="CS313" s="319" t="s">
        <v>190</v>
      </c>
      <c r="CT313" s="319" t="s">
        <v>190</v>
      </c>
      <c r="CU313" s="319" t="s">
        <v>190</v>
      </c>
      <c r="CV313" s="319" t="s">
        <v>190</v>
      </c>
      <c r="CW313" s="319" t="s">
        <v>190</v>
      </c>
      <c r="CX313" s="319" t="s">
        <v>190</v>
      </c>
      <c r="CY313" s="319" t="s">
        <v>190</v>
      </c>
      <c r="CZ313" s="319" t="s">
        <v>190</v>
      </c>
      <c r="DA313" s="319" t="s">
        <v>190</v>
      </c>
      <c r="DB313" s="319" t="s">
        <v>190</v>
      </c>
      <c r="DC313" s="319" t="s">
        <v>190</v>
      </c>
      <c r="DD313" s="319" t="s">
        <v>190</v>
      </c>
      <c r="DE313" s="319" t="s">
        <v>190</v>
      </c>
      <c r="DF313" s="319" t="s">
        <v>190</v>
      </c>
      <c r="DG313" s="319" t="s">
        <v>190</v>
      </c>
      <c r="DH313" s="319" t="s">
        <v>190</v>
      </c>
      <c r="DI313" s="319" t="s">
        <v>190</v>
      </c>
      <c r="DJ313" s="319" t="s">
        <v>190</v>
      </c>
      <c r="DK313" s="319" t="s">
        <v>190</v>
      </c>
      <c r="DL313" s="319" t="s">
        <v>190</v>
      </c>
      <c r="DM313" s="319" t="s">
        <v>190</v>
      </c>
      <c r="DN313" s="319" t="s">
        <v>428</v>
      </c>
      <c r="DO313" s="319" t="s">
        <v>190</v>
      </c>
      <c r="DP313" s="319" t="s">
        <v>190</v>
      </c>
      <c r="DQ313" s="319" t="s">
        <v>190</v>
      </c>
      <c r="DR313" s="319" t="s">
        <v>190</v>
      </c>
      <c r="DS313" s="319" t="s">
        <v>190</v>
      </c>
      <c r="DT313" s="319" t="s">
        <v>190</v>
      </c>
      <c r="DU313" s="319" t="s">
        <v>190</v>
      </c>
      <c r="DV313" s="319" t="s">
        <v>173</v>
      </c>
      <c r="DW313" s="319" t="s">
        <v>190</v>
      </c>
      <c r="DX313" s="319" t="s">
        <v>190</v>
      </c>
      <c r="DY313" s="319" t="s">
        <v>190</v>
      </c>
      <c r="DZ313" s="319" t="s">
        <v>190</v>
      </c>
      <c r="EA313" s="319" t="s">
        <v>190</v>
      </c>
      <c r="EB313" s="319" t="s">
        <v>190</v>
      </c>
      <c r="EC313" s="319" t="s">
        <v>428</v>
      </c>
      <c r="ED313" s="319" t="s">
        <v>190</v>
      </c>
      <c r="EE313" s="319" t="s">
        <v>190</v>
      </c>
      <c r="EF313" s="319" t="s">
        <v>190</v>
      </c>
      <c r="EG313" s="319" t="s">
        <v>190</v>
      </c>
      <c r="EH313" s="319" t="s">
        <v>190</v>
      </c>
      <c r="EI313" s="319" t="s">
        <v>190</v>
      </c>
      <c r="EJ313" s="319" t="s">
        <v>190</v>
      </c>
      <c r="EK313" s="319" t="s">
        <v>190</v>
      </c>
      <c r="EL313" s="319" t="s">
        <v>190</v>
      </c>
      <c r="EM313" s="319" t="s">
        <v>190</v>
      </c>
      <c r="EN313" s="319" t="s">
        <v>190</v>
      </c>
      <c r="EO313" s="319" t="s">
        <v>190</v>
      </c>
      <c r="EP313" s="319" t="s">
        <v>190</v>
      </c>
      <c r="EQ313" s="319" t="s">
        <v>190</v>
      </c>
      <c r="ER313" s="319" t="s">
        <v>190</v>
      </c>
      <c r="ES313" s="319" t="s">
        <v>190</v>
      </c>
      <c r="ET313" s="319" t="s">
        <v>190</v>
      </c>
      <c r="EU313" s="319" t="s">
        <v>190</v>
      </c>
      <c r="EV313" s="319" t="s">
        <v>190</v>
      </c>
      <c r="EW313" s="319" t="s">
        <v>190</v>
      </c>
      <c r="EX313" s="319" t="s">
        <v>190</v>
      </c>
      <c r="EY313" s="319" t="s">
        <v>190</v>
      </c>
      <c r="EZ313" s="319" t="s">
        <v>190</v>
      </c>
      <c r="FA313" s="319" t="s">
        <v>190</v>
      </c>
      <c r="FB313" s="319" t="s">
        <v>190</v>
      </c>
      <c r="FC313" s="319" t="s">
        <v>190</v>
      </c>
      <c r="FD313" s="319" t="s">
        <v>190</v>
      </c>
      <c r="FE313" s="319" t="s">
        <v>190</v>
      </c>
      <c r="FF313" s="319" t="s">
        <v>190</v>
      </c>
      <c r="FG313" s="319" t="s">
        <v>190</v>
      </c>
      <c r="FH313" s="319" t="s">
        <v>190</v>
      </c>
      <c r="FI313" s="319" t="s">
        <v>190</v>
      </c>
      <c r="FJ313" s="319" t="s">
        <v>190</v>
      </c>
      <c r="FK313" s="319" t="s">
        <v>190</v>
      </c>
      <c r="FL313" s="319" t="s">
        <v>190</v>
      </c>
      <c r="FM313" s="319" t="s">
        <v>190</v>
      </c>
      <c r="FN313" s="319" t="s">
        <v>190</v>
      </c>
      <c r="FO313" s="319" t="s">
        <v>190</v>
      </c>
      <c r="FP313" s="319" t="s">
        <v>190</v>
      </c>
      <c r="FQ313" s="319" t="s">
        <v>190</v>
      </c>
      <c r="FR313" s="319" t="s">
        <v>190</v>
      </c>
      <c r="FS313" s="319" t="s">
        <v>428</v>
      </c>
      <c r="FT313" s="319" t="s">
        <v>190</v>
      </c>
      <c r="FU313" s="319" t="s">
        <v>190</v>
      </c>
      <c r="FV313" s="319" t="s">
        <v>190</v>
      </c>
      <c r="FW313" s="319" t="s">
        <v>190</v>
      </c>
      <c r="FX313" s="319" t="s">
        <v>190</v>
      </c>
      <c r="FY313" s="319" t="s">
        <v>190</v>
      </c>
      <c r="FZ313" s="319" t="s">
        <v>190</v>
      </c>
      <c r="GA313" s="319" t="s">
        <v>190</v>
      </c>
      <c r="GB313" s="319" t="s">
        <v>190</v>
      </c>
      <c r="GC313" s="319" t="s">
        <v>190</v>
      </c>
      <c r="GD313" s="319" t="s">
        <v>190</v>
      </c>
      <c r="GE313" s="319" t="s">
        <v>190</v>
      </c>
      <c r="GF313" s="319" t="s">
        <v>190</v>
      </c>
      <c r="GG313" s="319" t="s">
        <v>190</v>
      </c>
      <c r="GH313" s="319" t="s">
        <v>190</v>
      </c>
      <c r="GI313" s="319" t="s">
        <v>190</v>
      </c>
      <c r="GJ313" s="319" t="s">
        <v>190</v>
      </c>
      <c r="GK313" s="319" t="s">
        <v>428</v>
      </c>
      <c r="GL313" s="319" t="s">
        <v>190</v>
      </c>
      <c r="GM313" s="319" t="s">
        <v>190</v>
      </c>
      <c r="GN313" s="319" t="s">
        <v>190</v>
      </c>
      <c r="GO313" s="319" t="s">
        <v>190</v>
      </c>
      <c r="GP313" s="319" t="s">
        <v>190</v>
      </c>
      <c r="GQ313" s="319" t="s">
        <v>190</v>
      </c>
      <c r="GR313" s="319" t="s">
        <v>190</v>
      </c>
      <c r="GS313" s="319" t="s">
        <v>190</v>
      </c>
      <c r="GT313" s="319" t="s">
        <v>428</v>
      </c>
      <c r="GU313" s="319" t="s">
        <v>428</v>
      </c>
      <c r="GV313" s="319" t="s">
        <v>428</v>
      </c>
      <c r="GW313" s="319" t="s">
        <v>190</v>
      </c>
      <c r="GX313" s="319" t="s">
        <v>190</v>
      </c>
      <c r="GY313" s="319" t="s">
        <v>190</v>
      </c>
      <c r="GZ313" s="319" t="s">
        <v>190</v>
      </c>
      <c r="HA313" s="319" t="s">
        <v>428</v>
      </c>
      <c r="HB313" s="319" t="s">
        <v>428</v>
      </c>
      <c r="HC313" s="319" t="s">
        <v>190</v>
      </c>
      <c r="HD313" s="319" t="s">
        <v>190</v>
      </c>
      <c r="HE313" s="319" t="s">
        <v>190</v>
      </c>
      <c r="HF313" s="319" t="s">
        <v>190</v>
      </c>
      <c r="HG313" s="319" t="s">
        <v>190</v>
      </c>
      <c r="HH313" s="319" t="s">
        <v>190</v>
      </c>
      <c r="HI313" s="319" t="s">
        <v>190</v>
      </c>
      <c r="HJ313" s="319" t="s">
        <v>190</v>
      </c>
      <c r="HK313" s="319" t="s">
        <v>190</v>
      </c>
      <c r="HL313" s="319" t="s">
        <v>428</v>
      </c>
      <c r="HM313" s="319" t="s">
        <v>428</v>
      </c>
      <c r="HN313" s="319" t="s">
        <v>428</v>
      </c>
      <c r="HO313" s="319" t="s">
        <v>428</v>
      </c>
      <c r="HP313" s="319" t="s">
        <v>190</v>
      </c>
      <c r="HQ313" s="319" t="s">
        <v>190</v>
      </c>
      <c r="HR313" s="319" t="s">
        <v>190</v>
      </c>
      <c r="HS313" s="319" t="s">
        <v>190</v>
      </c>
      <c r="HT313" s="319" t="s">
        <v>190</v>
      </c>
      <c r="HU313" s="319" t="s">
        <v>190</v>
      </c>
      <c r="HV313" s="319" t="s">
        <v>190</v>
      </c>
      <c r="HW313" s="319" t="s">
        <v>190</v>
      </c>
      <c r="HX313" s="319" t="s">
        <v>190</v>
      </c>
      <c r="HY313" s="319" t="s">
        <v>190</v>
      </c>
      <c r="HZ313" s="319" t="s">
        <v>190</v>
      </c>
      <c r="IA313" s="319" t="s">
        <v>190</v>
      </c>
      <c r="IB313" s="319" t="s">
        <v>190</v>
      </c>
      <c r="IC313" s="319" t="s">
        <v>190</v>
      </c>
      <c r="ID313" s="319" t="s">
        <v>190</v>
      </c>
      <c r="IE313" s="319" t="s">
        <v>190</v>
      </c>
      <c r="IF313" s="319" t="s">
        <v>190</v>
      </c>
      <c r="IG313" s="319" t="s">
        <v>190</v>
      </c>
      <c r="IH313" s="319" t="s">
        <v>190</v>
      </c>
      <c r="II313" s="319" t="s">
        <v>190</v>
      </c>
      <c r="IJ313" s="319" t="s">
        <v>3101</v>
      </c>
      <c r="IK313" s="321">
        <v>41429</v>
      </c>
      <c r="IL313" s="321">
        <v>41431</v>
      </c>
      <c r="IM313" s="321">
        <v>41451</v>
      </c>
      <c r="IN313" s="319">
        <v>3</v>
      </c>
      <c r="IO313" s="319" t="s">
        <v>173</v>
      </c>
      <c r="IP313" s="319" t="s">
        <v>173</v>
      </c>
      <c r="IQ313" s="321" t="s">
        <v>173</v>
      </c>
      <c r="IR313" s="320" t="s">
        <v>173</v>
      </c>
      <c r="IS313" s="322" t="s">
        <v>173</v>
      </c>
      <c r="IT313" s="319" t="s">
        <v>173</v>
      </c>
    </row>
    <row r="314" spans="1:254" s="271" customFormat="1" x14ac:dyDescent="0.25">
      <c r="A314" s="318" t="str">
        <f>HYPERLINK("http://www.ofsted.gov.uk/inspection-reports/find-inspection-report/provider/ELS/131288 ","Ofsted School Webpage")</f>
        <v>Ofsted School Webpage</v>
      </c>
      <c r="B314" s="319">
        <v>131288</v>
      </c>
      <c r="C314" s="319">
        <v>3026109</v>
      </c>
      <c r="D314" s="319" t="s">
        <v>1635</v>
      </c>
      <c r="E314" s="319" t="s">
        <v>167</v>
      </c>
      <c r="F314" s="319" t="s">
        <v>81</v>
      </c>
      <c r="G314" s="319" t="s">
        <v>81</v>
      </c>
      <c r="H314" s="319" t="s">
        <v>81</v>
      </c>
      <c r="I314" s="319" t="s">
        <v>78</v>
      </c>
      <c r="J314" s="319" t="s">
        <v>424</v>
      </c>
      <c r="K314" s="319" t="s">
        <v>441</v>
      </c>
      <c r="L314" s="319" t="s">
        <v>441</v>
      </c>
      <c r="M314" s="319" t="s">
        <v>544</v>
      </c>
      <c r="N314" s="319" t="s">
        <v>2818</v>
      </c>
      <c r="O314" s="319" t="s">
        <v>1636</v>
      </c>
      <c r="P314" s="319">
        <v>75</v>
      </c>
      <c r="Q314" s="319" t="s">
        <v>2776</v>
      </c>
      <c r="R314" s="320">
        <v>10026285</v>
      </c>
      <c r="S314" s="321">
        <v>43165</v>
      </c>
      <c r="T314" s="321">
        <v>43167</v>
      </c>
      <c r="U314" s="321">
        <v>43299</v>
      </c>
      <c r="V314" s="319" t="s">
        <v>425</v>
      </c>
      <c r="W314" s="319" t="s">
        <v>2767</v>
      </c>
      <c r="X314" s="319">
        <v>3</v>
      </c>
      <c r="Y314" s="319" t="s">
        <v>173</v>
      </c>
      <c r="Z314" s="319" t="s">
        <v>173</v>
      </c>
      <c r="AA314" s="319" t="s">
        <v>173</v>
      </c>
      <c r="AB314" s="319">
        <v>3</v>
      </c>
      <c r="AC314" s="319" t="s">
        <v>169</v>
      </c>
      <c r="AD314" s="319" t="s">
        <v>173</v>
      </c>
      <c r="AE314" s="319">
        <v>3</v>
      </c>
      <c r="AF314" s="319" t="s">
        <v>427</v>
      </c>
      <c r="AG314" s="319" t="s">
        <v>172</v>
      </c>
      <c r="AH314" s="319" t="s">
        <v>479</v>
      </c>
      <c r="AI314" s="319" t="s">
        <v>190</v>
      </c>
      <c r="AJ314" s="319" t="s">
        <v>190</v>
      </c>
      <c r="AK314" s="319" t="s">
        <v>190</v>
      </c>
      <c r="AL314" s="319" t="s">
        <v>479</v>
      </c>
      <c r="AM314" s="319" t="s">
        <v>190</v>
      </c>
      <c r="AN314" s="319" t="s">
        <v>190</v>
      </c>
      <c r="AO314" s="319" t="s">
        <v>479</v>
      </c>
      <c r="AP314" s="319" t="s">
        <v>191</v>
      </c>
      <c r="AQ314" s="319" t="s">
        <v>191</v>
      </c>
      <c r="AR314" s="319" t="s">
        <v>191</v>
      </c>
      <c r="AS314" s="319" t="s">
        <v>191</v>
      </c>
      <c r="AT314" s="319" t="s">
        <v>190</v>
      </c>
      <c r="AU314" s="319" t="s">
        <v>191</v>
      </c>
      <c r="AV314" s="319" t="s">
        <v>191</v>
      </c>
      <c r="AW314" s="319" t="s">
        <v>190</v>
      </c>
      <c r="AX314" s="319" t="s">
        <v>428</v>
      </c>
      <c r="AY314" s="319" t="s">
        <v>191</v>
      </c>
      <c r="AZ314" s="319" t="s">
        <v>191</v>
      </c>
      <c r="BA314" s="319" t="s">
        <v>191</v>
      </c>
      <c r="BB314" s="319" t="s">
        <v>190</v>
      </c>
      <c r="BC314" s="319" t="s">
        <v>190</v>
      </c>
      <c r="BD314" s="319" t="s">
        <v>190</v>
      </c>
      <c r="BE314" s="319" t="s">
        <v>190</v>
      </c>
      <c r="BF314" s="319" t="s">
        <v>428</v>
      </c>
      <c r="BG314" s="319" t="s">
        <v>191</v>
      </c>
      <c r="BH314" s="319" t="s">
        <v>190</v>
      </c>
      <c r="BI314" s="319" t="s">
        <v>190</v>
      </c>
      <c r="BJ314" s="319" t="s">
        <v>190</v>
      </c>
      <c r="BK314" s="319" t="s">
        <v>190</v>
      </c>
      <c r="BL314" s="319" t="s">
        <v>190</v>
      </c>
      <c r="BM314" s="319" t="s">
        <v>190</v>
      </c>
      <c r="BN314" s="319" t="s">
        <v>190</v>
      </c>
      <c r="BO314" s="319" t="s">
        <v>190</v>
      </c>
      <c r="BP314" s="319" t="s">
        <v>190</v>
      </c>
      <c r="BQ314" s="319" t="s">
        <v>190</v>
      </c>
      <c r="BR314" s="319" t="s">
        <v>190</v>
      </c>
      <c r="BS314" s="319" t="s">
        <v>190</v>
      </c>
      <c r="BT314" s="319" t="s">
        <v>190</v>
      </c>
      <c r="BU314" s="319" t="s">
        <v>190</v>
      </c>
      <c r="BV314" s="319" t="s">
        <v>190</v>
      </c>
      <c r="BW314" s="319" t="s">
        <v>190</v>
      </c>
      <c r="BX314" s="319" t="s">
        <v>190</v>
      </c>
      <c r="BY314" s="319" t="s">
        <v>190</v>
      </c>
      <c r="BZ314" s="319" t="s">
        <v>190</v>
      </c>
      <c r="CA314" s="319" t="s">
        <v>190</v>
      </c>
      <c r="CB314" s="319" t="s">
        <v>190</v>
      </c>
      <c r="CC314" s="319" t="s">
        <v>190</v>
      </c>
      <c r="CD314" s="319" t="s">
        <v>190</v>
      </c>
      <c r="CE314" s="319" t="s">
        <v>190</v>
      </c>
      <c r="CF314" s="319" t="s">
        <v>190</v>
      </c>
      <c r="CG314" s="319" t="s">
        <v>190</v>
      </c>
      <c r="CH314" s="319" t="s">
        <v>190</v>
      </c>
      <c r="CI314" s="319" t="s">
        <v>190</v>
      </c>
      <c r="CJ314" s="319" t="s">
        <v>190</v>
      </c>
      <c r="CK314" s="319" t="s">
        <v>190</v>
      </c>
      <c r="CL314" s="319" t="s">
        <v>190</v>
      </c>
      <c r="CM314" s="319" t="s">
        <v>190</v>
      </c>
      <c r="CN314" s="319" t="s">
        <v>190</v>
      </c>
      <c r="CO314" s="319" t="s">
        <v>428</v>
      </c>
      <c r="CP314" s="319" t="s">
        <v>428</v>
      </c>
      <c r="CQ314" s="319" t="s">
        <v>190</v>
      </c>
      <c r="CR314" s="319" t="s">
        <v>190</v>
      </c>
      <c r="CS314" s="319" t="s">
        <v>190</v>
      </c>
      <c r="CT314" s="319" t="s">
        <v>190</v>
      </c>
      <c r="CU314" s="319" t="s">
        <v>190</v>
      </c>
      <c r="CV314" s="319" t="s">
        <v>190</v>
      </c>
      <c r="CW314" s="319" t="s">
        <v>190</v>
      </c>
      <c r="CX314" s="319" t="s">
        <v>190</v>
      </c>
      <c r="CY314" s="319" t="s">
        <v>190</v>
      </c>
      <c r="CZ314" s="319" t="s">
        <v>190</v>
      </c>
      <c r="DA314" s="319" t="s">
        <v>190</v>
      </c>
      <c r="DB314" s="319" t="s">
        <v>190</v>
      </c>
      <c r="DC314" s="319" t="s">
        <v>190</v>
      </c>
      <c r="DD314" s="319" t="s">
        <v>190</v>
      </c>
      <c r="DE314" s="319" t="s">
        <v>190</v>
      </c>
      <c r="DF314" s="319" t="s">
        <v>190</v>
      </c>
      <c r="DG314" s="319" t="s">
        <v>190</v>
      </c>
      <c r="DH314" s="319" t="s">
        <v>190</v>
      </c>
      <c r="DI314" s="319" t="s">
        <v>190</v>
      </c>
      <c r="DJ314" s="319" t="s">
        <v>190</v>
      </c>
      <c r="DK314" s="319" t="s">
        <v>190</v>
      </c>
      <c r="DL314" s="319" t="s">
        <v>190</v>
      </c>
      <c r="DM314" s="319" t="s">
        <v>190</v>
      </c>
      <c r="DN314" s="319" t="s">
        <v>428</v>
      </c>
      <c r="DO314" s="319" t="s">
        <v>190</v>
      </c>
      <c r="DP314" s="319" t="s">
        <v>428</v>
      </c>
      <c r="DQ314" s="319" t="s">
        <v>428</v>
      </c>
      <c r="DR314" s="319" t="s">
        <v>428</v>
      </c>
      <c r="DS314" s="319" t="s">
        <v>428</v>
      </c>
      <c r="DT314" s="319" t="s">
        <v>428</v>
      </c>
      <c r="DU314" s="319" t="s">
        <v>428</v>
      </c>
      <c r="DV314" s="319" t="s">
        <v>173</v>
      </c>
      <c r="DW314" s="319" t="s">
        <v>428</v>
      </c>
      <c r="DX314" s="319" t="s">
        <v>428</v>
      </c>
      <c r="DY314" s="319" t="s">
        <v>428</v>
      </c>
      <c r="DZ314" s="319" t="s">
        <v>428</v>
      </c>
      <c r="EA314" s="319" t="s">
        <v>428</v>
      </c>
      <c r="EB314" s="319" t="s">
        <v>428</v>
      </c>
      <c r="EC314" s="319" t="s">
        <v>428</v>
      </c>
      <c r="ED314" s="319" t="s">
        <v>428</v>
      </c>
      <c r="EE314" s="319" t="s">
        <v>190</v>
      </c>
      <c r="EF314" s="319" t="s">
        <v>190</v>
      </c>
      <c r="EG314" s="319" t="s">
        <v>190</v>
      </c>
      <c r="EH314" s="319" t="s">
        <v>190</v>
      </c>
      <c r="EI314" s="319" t="s">
        <v>190</v>
      </c>
      <c r="EJ314" s="319" t="s">
        <v>190</v>
      </c>
      <c r="EK314" s="319" t="s">
        <v>190</v>
      </c>
      <c r="EL314" s="319" t="s">
        <v>190</v>
      </c>
      <c r="EM314" s="319" t="s">
        <v>190</v>
      </c>
      <c r="EN314" s="319" t="s">
        <v>190</v>
      </c>
      <c r="EO314" s="319" t="s">
        <v>190</v>
      </c>
      <c r="EP314" s="319" t="s">
        <v>190</v>
      </c>
      <c r="EQ314" s="319" t="s">
        <v>190</v>
      </c>
      <c r="ER314" s="319" t="s">
        <v>190</v>
      </c>
      <c r="ES314" s="319" t="s">
        <v>190</v>
      </c>
      <c r="ET314" s="319" t="s">
        <v>190</v>
      </c>
      <c r="EU314" s="319" t="s">
        <v>190</v>
      </c>
      <c r="EV314" s="319" t="s">
        <v>190</v>
      </c>
      <c r="EW314" s="319" t="s">
        <v>190</v>
      </c>
      <c r="EX314" s="319" t="s">
        <v>190</v>
      </c>
      <c r="EY314" s="319" t="s">
        <v>190</v>
      </c>
      <c r="EZ314" s="319" t="s">
        <v>190</v>
      </c>
      <c r="FA314" s="319" t="s">
        <v>190</v>
      </c>
      <c r="FB314" s="319" t="s">
        <v>428</v>
      </c>
      <c r="FC314" s="319" t="s">
        <v>428</v>
      </c>
      <c r="FD314" s="319" t="s">
        <v>428</v>
      </c>
      <c r="FE314" s="319" t="s">
        <v>428</v>
      </c>
      <c r="FF314" s="319" t="s">
        <v>428</v>
      </c>
      <c r="FG314" s="319" t="s">
        <v>428</v>
      </c>
      <c r="FH314" s="319" t="s">
        <v>428</v>
      </c>
      <c r="FI314" s="319" t="s">
        <v>428</v>
      </c>
      <c r="FJ314" s="319" t="s">
        <v>429</v>
      </c>
      <c r="FK314" s="319" t="s">
        <v>428</v>
      </c>
      <c r="FL314" s="319" t="s">
        <v>191</v>
      </c>
      <c r="FM314" s="319" t="s">
        <v>190</v>
      </c>
      <c r="FN314" s="319" t="s">
        <v>190</v>
      </c>
      <c r="FO314" s="319" t="s">
        <v>191</v>
      </c>
      <c r="FP314" s="319" t="s">
        <v>190</v>
      </c>
      <c r="FQ314" s="319" t="s">
        <v>190</v>
      </c>
      <c r="FR314" s="319" t="s">
        <v>190</v>
      </c>
      <c r="FS314" s="319" t="s">
        <v>428</v>
      </c>
      <c r="FT314" s="319" t="s">
        <v>190</v>
      </c>
      <c r="FU314" s="319" t="s">
        <v>190</v>
      </c>
      <c r="FV314" s="319" t="s">
        <v>190</v>
      </c>
      <c r="FW314" s="319" t="s">
        <v>190</v>
      </c>
      <c r="FX314" s="319" t="s">
        <v>190</v>
      </c>
      <c r="FY314" s="319" t="s">
        <v>190</v>
      </c>
      <c r="FZ314" s="319" t="s">
        <v>190</v>
      </c>
      <c r="GA314" s="319" t="s">
        <v>190</v>
      </c>
      <c r="GB314" s="319" t="s">
        <v>190</v>
      </c>
      <c r="GC314" s="319" t="s">
        <v>190</v>
      </c>
      <c r="GD314" s="319" t="s">
        <v>190</v>
      </c>
      <c r="GE314" s="319" t="s">
        <v>190</v>
      </c>
      <c r="GF314" s="319" t="s">
        <v>190</v>
      </c>
      <c r="GG314" s="319" t="s">
        <v>190</v>
      </c>
      <c r="GH314" s="319" t="s">
        <v>191</v>
      </c>
      <c r="GI314" s="319" t="s">
        <v>191</v>
      </c>
      <c r="GJ314" s="319" t="s">
        <v>190</v>
      </c>
      <c r="GK314" s="319" t="s">
        <v>428</v>
      </c>
      <c r="GL314" s="319" t="s">
        <v>190</v>
      </c>
      <c r="GM314" s="319" t="s">
        <v>190</v>
      </c>
      <c r="GN314" s="319" t="s">
        <v>190</v>
      </c>
      <c r="GO314" s="319" t="s">
        <v>190</v>
      </c>
      <c r="GP314" s="319" t="s">
        <v>190</v>
      </c>
      <c r="GQ314" s="319" t="s">
        <v>428</v>
      </c>
      <c r="GR314" s="319" t="s">
        <v>190</v>
      </c>
      <c r="GS314" s="319" t="s">
        <v>190</v>
      </c>
      <c r="GT314" s="319" t="s">
        <v>190</v>
      </c>
      <c r="GU314" s="319" t="s">
        <v>428</v>
      </c>
      <c r="GV314" s="319" t="s">
        <v>190</v>
      </c>
      <c r="GW314" s="319" t="s">
        <v>190</v>
      </c>
      <c r="GX314" s="319" t="s">
        <v>190</v>
      </c>
      <c r="GY314" s="319" t="s">
        <v>190</v>
      </c>
      <c r="GZ314" s="319" t="s">
        <v>190</v>
      </c>
      <c r="HA314" s="319" t="s">
        <v>190</v>
      </c>
      <c r="HB314" s="319" t="s">
        <v>428</v>
      </c>
      <c r="HC314" s="319" t="s">
        <v>190</v>
      </c>
      <c r="HD314" s="319" t="s">
        <v>190</v>
      </c>
      <c r="HE314" s="319" t="s">
        <v>190</v>
      </c>
      <c r="HF314" s="319" t="s">
        <v>428</v>
      </c>
      <c r="HG314" s="319" t="s">
        <v>190</v>
      </c>
      <c r="HH314" s="319" t="s">
        <v>190</v>
      </c>
      <c r="HI314" s="319" t="s">
        <v>190</v>
      </c>
      <c r="HJ314" s="319" t="s">
        <v>190</v>
      </c>
      <c r="HK314" s="319" t="s">
        <v>190</v>
      </c>
      <c r="HL314" s="319" t="s">
        <v>428</v>
      </c>
      <c r="HM314" s="319" t="s">
        <v>428</v>
      </c>
      <c r="HN314" s="319" t="s">
        <v>428</v>
      </c>
      <c r="HO314" s="319" t="s">
        <v>428</v>
      </c>
      <c r="HP314" s="319" t="s">
        <v>190</v>
      </c>
      <c r="HQ314" s="319" t="s">
        <v>190</v>
      </c>
      <c r="HR314" s="319" t="s">
        <v>190</v>
      </c>
      <c r="HS314" s="319" t="s">
        <v>190</v>
      </c>
      <c r="HT314" s="319" t="s">
        <v>190</v>
      </c>
      <c r="HU314" s="319" t="s">
        <v>190</v>
      </c>
      <c r="HV314" s="319" t="s">
        <v>190</v>
      </c>
      <c r="HW314" s="319" t="s">
        <v>190</v>
      </c>
      <c r="HX314" s="319" t="s">
        <v>190</v>
      </c>
      <c r="HY314" s="319" t="s">
        <v>190</v>
      </c>
      <c r="HZ314" s="319" t="s">
        <v>190</v>
      </c>
      <c r="IA314" s="319" t="s">
        <v>190</v>
      </c>
      <c r="IB314" s="319" t="s">
        <v>190</v>
      </c>
      <c r="IC314" s="319" t="s">
        <v>190</v>
      </c>
      <c r="ID314" s="319" t="s">
        <v>190</v>
      </c>
      <c r="IE314" s="319" t="s">
        <v>190</v>
      </c>
      <c r="IF314" s="319" t="s">
        <v>191</v>
      </c>
      <c r="IG314" s="319" t="s">
        <v>191</v>
      </c>
      <c r="IH314" s="319" t="s">
        <v>191</v>
      </c>
      <c r="II314" s="319" t="s">
        <v>190</v>
      </c>
      <c r="IJ314" s="319" t="s">
        <v>3102</v>
      </c>
      <c r="IK314" s="321">
        <v>40962</v>
      </c>
      <c r="IL314" s="321">
        <v>40963</v>
      </c>
      <c r="IM314" s="321">
        <v>41236</v>
      </c>
      <c r="IN314" s="319">
        <v>2</v>
      </c>
      <c r="IO314" s="319" t="s">
        <v>173</v>
      </c>
      <c r="IP314" s="319" t="s">
        <v>173</v>
      </c>
      <c r="IQ314" s="321" t="s">
        <v>173</v>
      </c>
      <c r="IR314" s="320" t="s">
        <v>173</v>
      </c>
      <c r="IS314" s="322" t="s">
        <v>173</v>
      </c>
      <c r="IT314" s="319" t="s">
        <v>173</v>
      </c>
    </row>
    <row r="315" spans="1:254" s="271" customFormat="1" x14ac:dyDescent="0.25">
      <c r="A315" s="318" t="str">
        <f>HYPERLINK("http://www.ofsted.gov.uk/inspection-reports/find-inspection-report/provider/ELS/131291 ","Ofsted School Webpage")</f>
        <v>Ofsted School Webpage</v>
      </c>
      <c r="B315" s="319">
        <v>131291</v>
      </c>
      <c r="C315" s="319">
        <v>2026396</v>
      </c>
      <c r="D315" s="319" t="s">
        <v>1637</v>
      </c>
      <c r="E315" s="319" t="s">
        <v>167</v>
      </c>
      <c r="F315" s="319" t="s">
        <v>81</v>
      </c>
      <c r="G315" s="319" t="s">
        <v>81</v>
      </c>
      <c r="H315" s="319" t="s">
        <v>81</v>
      </c>
      <c r="I315" s="319" t="s">
        <v>78</v>
      </c>
      <c r="J315" s="319" t="s">
        <v>424</v>
      </c>
      <c r="K315" s="319" t="s">
        <v>441</v>
      </c>
      <c r="L315" s="319" t="s">
        <v>441</v>
      </c>
      <c r="M315" s="319" t="s">
        <v>1039</v>
      </c>
      <c r="N315" s="319" t="s">
        <v>2765</v>
      </c>
      <c r="O315" s="319" t="s">
        <v>1638</v>
      </c>
      <c r="P315" s="319">
        <v>85</v>
      </c>
      <c r="Q315" s="319" t="s">
        <v>2766</v>
      </c>
      <c r="R315" s="320">
        <v>10008533</v>
      </c>
      <c r="S315" s="321">
        <v>42752</v>
      </c>
      <c r="T315" s="321">
        <v>42754</v>
      </c>
      <c r="U315" s="321">
        <v>42823</v>
      </c>
      <c r="V315" s="319" t="s">
        <v>425</v>
      </c>
      <c r="W315" s="319" t="s">
        <v>2767</v>
      </c>
      <c r="X315" s="319">
        <v>1</v>
      </c>
      <c r="Y315" s="319" t="s">
        <v>173</v>
      </c>
      <c r="Z315" s="319" t="s">
        <v>173</v>
      </c>
      <c r="AA315" s="319" t="s">
        <v>173</v>
      </c>
      <c r="AB315" s="319">
        <v>1</v>
      </c>
      <c r="AC315" s="319" t="s">
        <v>169</v>
      </c>
      <c r="AD315" s="319" t="s">
        <v>173</v>
      </c>
      <c r="AE315" s="319" t="s">
        <v>173</v>
      </c>
      <c r="AF315" s="319" t="s">
        <v>173</v>
      </c>
      <c r="AG315" s="319" t="s">
        <v>171</v>
      </c>
      <c r="AH315" s="319" t="s">
        <v>190</v>
      </c>
      <c r="AI315" s="319" t="s">
        <v>190</v>
      </c>
      <c r="AJ315" s="319" t="s">
        <v>190</v>
      </c>
      <c r="AK315" s="319" t="s">
        <v>190</v>
      </c>
      <c r="AL315" s="319" t="s">
        <v>190</v>
      </c>
      <c r="AM315" s="319" t="s">
        <v>190</v>
      </c>
      <c r="AN315" s="319" t="s">
        <v>190</v>
      </c>
      <c r="AO315" s="319" t="s">
        <v>190</v>
      </c>
      <c r="AP315" s="319" t="s">
        <v>190</v>
      </c>
      <c r="AQ315" s="319" t="s">
        <v>190</v>
      </c>
      <c r="AR315" s="319" t="s">
        <v>190</v>
      </c>
      <c r="AS315" s="319" t="s">
        <v>190</v>
      </c>
      <c r="AT315" s="319" t="s">
        <v>190</v>
      </c>
      <c r="AU315" s="319" t="s">
        <v>190</v>
      </c>
      <c r="AV315" s="319" t="s">
        <v>190</v>
      </c>
      <c r="AW315" s="319" t="s">
        <v>190</v>
      </c>
      <c r="AX315" s="319" t="s">
        <v>190</v>
      </c>
      <c r="AY315" s="319" t="s">
        <v>190</v>
      </c>
      <c r="AZ315" s="319" t="s">
        <v>190</v>
      </c>
      <c r="BA315" s="319" t="s">
        <v>190</v>
      </c>
      <c r="BB315" s="319" t="s">
        <v>190</v>
      </c>
      <c r="BC315" s="319" t="s">
        <v>190</v>
      </c>
      <c r="BD315" s="319" t="s">
        <v>190</v>
      </c>
      <c r="BE315" s="319" t="s">
        <v>190</v>
      </c>
      <c r="BF315" s="319" t="s">
        <v>429</v>
      </c>
      <c r="BG315" s="319" t="s">
        <v>190</v>
      </c>
      <c r="BH315" s="319" t="s">
        <v>190</v>
      </c>
      <c r="BI315" s="319" t="s">
        <v>190</v>
      </c>
      <c r="BJ315" s="319" t="s">
        <v>190</v>
      </c>
      <c r="BK315" s="319" t="s">
        <v>190</v>
      </c>
      <c r="BL315" s="319" t="s">
        <v>190</v>
      </c>
      <c r="BM315" s="319" t="s">
        <v>190</v>
      </c>
      <c r="BN315" s="319" t="s">
        <v>190</v>
      </c>
      <c r="BO315" s="319" t="s">
        <v>190</v>
      </c>
      <c r="BP315" s="319" t="s">
        <v>190</v>
      </c>
      <c r="BQ315" s="319" t="s">
        <v>190</v>
      </c>
      <c r="BR315" s="319" t="s">
        <v>190</v>
      </c>
      <c r="BS315" s="319" t="s">
        <v>190</v>
      </c>
      <c r="BT315" s="319" t="s">
        <v>190</v>
      </c>
      <c r="BU315" s="319" t="s">
        <v>190</v>
      </c>
      <c r="BV315" s="319" t="s">
        <v>190</v>
      </c>
      <c r="BW315" s="319" t="s">
        <v>190</v>
      </c>
      <c r="BX315" s="319" t="s">
        <v>190</v>
      </c>
      <c r="BY315" s="319" t="s">
        <v>190</v>
      </c>
      <c r="BZ315" s="319" t="s">
        <v>190</v>
      </c>
      <c r="CA315" s="319" t="s">
        <v>190</v>
      </c>
      <c r="CB315" s="319" t="s">
        <v>190</v>
      </c>
      <c r="CC315" s="319" t="s">
        <v>190</v>
      </c>
      <c r="CD315" s="319" t="s">
        <v>190</v>
      </c>
      <c r="CE315" s="319" t="s">
        <v>190</v>
      </c>
      <c r="CF315" s="319" t="s">
        <v>190</v>
      </c>
      <c r="CG315" s="319" t="s">
        <v>190</v>
      </c>
      <c r="CH315" s="319" t="s">
        <v>190</v>
      </c>
      <c r="CI315" s="319" t="s">
        <v>190</v>
      </c>
      <c r="CJ315" s="319" t="s">
        <v>190</v>
      </c>
      <c r="CK315" s="319" t="s">
        <v>190</v>
      </c>
      <c r="CL315" s="319" t="s">
        <v>190</v>
      </c>
      <c r="CM315" s="319" t="s">
        <v>190</v>
      </c>
      <c r="CN315" s="319" t="s">
        <v>429</v>
      </c>
      <c r="CO315" s="319" t="s">
        <v>429</v>
      </c>
      <c r="CP315" s="319" t="s">
        <v>429</v>
      </c>
      <c r="CQ315" s="319" t="s">
        <v>190</v>
      </c>
      <c r="CR315" s="319" t="s">
        <v>190</v>
      </c>
      <c r="CS315" s="319" t="s">
        <v>190</v>
      </c>
      <c r="CT315" s="319" t="s">
        <v>190</v>
      </c>
      <c r="CU315" s="319" t="s">
        <v>190</v>
      </c>
      <c r="CV315" s="319" t="s">
        <v>190</v>
      </c>
      <c r="CW315" s="319" t="s">
        <v>190</v>
      </c>
      <c r="CX315" s="319" t="s">
        <v>190</v>
      </c>
      <c r="CY315" s="319" t="s">
        <v>190</v>
      </c>
      <c r="CZ315" s="319" t="s">
        <v>190</v>
      </c>
      <c r="DA315" s="319" t="s">
        <v>190</v>
      </c>
      <c r="DB315" s="319" t="s">
        <v>190</v>
      </c>
      <c r="DC315" s="319" t="s">
        <v>190</v>
      </c>
      <c r="DD315" s="319" t="s">
        <v>190</v>
      </c>
      <c r="DE315" s="319" t="s">
        <v>190</v>
      </c>
      <c r="DF315" s="319" t="s">
        <v>190</v>
      </c>
      <c r="DG315" s="319" t="s">
        <v>190</v>
      </c>
      <c r="DH315" s="319" t="s">
        <v>190</v>
      </c>
      <c r="DI315" s="319" t="s">
        <v>190</v>
      </c>
      <c r="DJ315" s="319" t="s">
        <v>190</v>
      </c>
      <c r="DK315" s="319" t="s">
        <v>190</v>
      </c>
      <c r="DL315" s="319" t="s">
        <v>190</v>
      </c>
      <c r="DM315" s="319" t="s">
        <v>190</v>
      </c>
      <c r="DN315" s="319" t="s">
        <v>190</v>
      </c>
      <c r="DO315" s="319" t="s">
        <v>190</v>
      </c>
      <c r="DP315" s="319" t="s">
        <v>429</v>
      </c>
      <c r="DQ315" s="319" t="s">
        <v>429</v>
      </c>
      <c r="DR315" s="319" t="s">
        <v>429</v>
      </c>
      <c r="DS315" s="319" t="s">
        <v>429</v>
      </c>
      <c r="DT315" s="319" t="s">
        <v>429</v>
      </c>
      <c r="DU315" s="319" t="s">
        <v>429</v>
      </c>
      <c r="DV315" s="319" t="s">
        <v>173</v>
      </c>
      <c r="DW315" s="319" t="s">
        <v>429</v>
      </c>
      <c r="DX315" s="319" t="s">
        <v>429</v>
      </c>
      <c r="DY315" s="319" t="s">
        <v>429</v>
      </c>
      <c r="DZ315" s="319" t="s">
        <v>429</v>
      </c>
      <c r="EA315" s="319" t="s">
        <v>429</v>
      </c>
      <c r="EB315" s="319" t="s">
        <v>429</v>
      </c>
      <c r="EC315" s="319" t="s">
        <v>429</v>
      </c>
      <c r="ED315" s="319" t="s">
        <v>429</v>
      </c>
      <c r="EE315" s="319" t="s">
        <v>190</v>
      </c>
      <c r="EF315" s="319" t="s">
        <v>190</v>
      </c>
      <c r="EG315" s="319" t="s">
        <v>190</v>
      </c>
      <c r="EH315" s="319" t="s">
        <v>190</v>
      </c>
      <c r="EI315" s="319" t="s">
        <v>190</v>
      </c>
      <c r="EJ315" s="319" t="s">
        <v>190</v>
      </c>
      <c r="EK315" s="319" t="s">
        <v>190</v>
      </c>
      <c r="EL315" s="319" t="s">
        <v>190</v>
      </c>
      <c r="EM315" s="319" t="s">
        <v>190</v>
      </c>
      <c r="EN315" s="319" t="s">
        <v>190</v>
      </c>
      <c r="EO315" s="319" t="s">
        <v>190</v>
      </c>
      <c r="EP315" s="319" t="s">
        <v>190</v>
      </c>
      <c r="EQ315" s="319" t="s">
        <v>190</v>
      </c>
      <c r="ER315" s="319" t="s">
        <v>190</v>
      </c>
      <c r="ES315" s="319" t="s">
        <v>190</v>
      </c>
      <c r="ET315" s="319" t="s">
        <v>190</v>
      </c>
      <c r="EU315" s="319" t="s">
        <v>190</v>
      </c>
      <c r="EV315" s="319" t="s">
        <v>190</v>
      </c>
      <c r="EW315" s="319" t="s">
        <v>190</v>
      </c>
      <c r="EX315" s="319" t="s">
        <v>190</v>
      </c>
      <c r="EY315" s="319" t="s">
        <v>190</v>
      </c>
      <c r="EZ315" s="319" t="s">
        <v>190</v>
      </c>
      <c r="FA315" s="319" t="s">
        <v>190</v>
      </c>
      <c r="FB315" s="319" t="s">
        <v>190</v>
      </c>
      <c r="FC315" s="319" t="s">
        <v>190</v>
      </c>
      <c r="FD315" s="319" t="s">
        <v>190</v>
      </c>
      <c r="FE315" s="319" t="s">
        <v>190</v>
      </c>
      <c r="FF315" s="319" t="s">
        <v>190</v>
      </c>
      <c r="FG315" s="319" t="s">
        <v>190</v>
      </c>
      <c r="FH315" s="319" t="s">
        <v>190</v>
      </c>
      <c r="FI315" s="319" t="s">
        <v>190</v>
      </c>
      <c r="FJ315" s="319" t="s">
        <v>190</v>
      </c>
      <c r="FK315" s="319" t="s">
        <v>190</v>
      </c>
      <c r="FL315" s="319" t="s">
        <v>190</v>
      </c>
      <c r="FM315" s="319" t="s">
        <v>190</v>
      </c>
      <c r="FN315" s="319" t="s">
        <v>190</v>
      </c>
      <c r="FO315" s="319" t="s">
        <v>190</v>
      </c>
      <c r="FP315" s="319" t="s">
        <v>190</v>
      </c>
      <c r="FQ315" s="319" t="s">
        <v>190</v>
      </c>
      <c r="FR315" s="319" t="s">
        <v>190</v>
      </c>
      <c r="FS315" s="319" t="s">
        <v>429</v>
      </c>
      <c r="FT315" s="319" t="s">
        <v>190</v>
      </c>
      <c r="FU315" s="319" t="s">
        <v>190</v>
      </c>
      <c r="FV315" s="319" t="s">
        <v>190</v>
      </c>
      <c r="FW315" s="319" t="s">
        <v>190</v>
      </c>
      <c r="FX315" s="319" t="s">
        <v>190</v>
      </c>
      <c r="FY315" s="319" t="s">
        <v>190</v>
      </c>
      <c r="FZ315" s="319" t="s">
        <v>190</v>
      </c>
      <c r="GA315" s="319" t="s">
        <v>190</v>
      </c>
      <c r="GB315" s="319" t="s">
        <v>190</v>
      </c>
      <c r="GC315" s="319" t="s">
        <v>190</v>
      </c>
      <c r="GD315" s="319" t="s">
        <v>190</v>
      </c>
      <c r="GE315" s="319" t="s">
        <v>190</v>
      </c>
      <c r="GF315" s="319" t="s">
        <v>190</v>
      </c>
      <c r="GG315" s="319" t="s">
        <v>190</v>
      </c>
      <c r="GH315" s="319" t="s">
        <v>190</v>
      </c>
      <c r="GI315" s="319" t="s">
        <v>190</v>
      </c>
      <c r="GJ315" s="319" t="s">
        <v>190</v>
      </c>
      <c r="GK315" s="319" t="s">
        <v>429</v>
      </c>
      <c r="GL315" s="319" t="s">
        <v>190</v>
      </c>
      <c r="GM315" s="319" t="s">
        <v>190</v>
      </c>
      <c r="GN315" s="319" t="s">
        <v>190</v>
      </c>
      <c r="GO315" s="319" t="s">
        <v>190</v>
      </c>
      <c r="GP315" s="319" t="s">
        <v>190</v>
      </c>
      <c r="GQ315" s="319" t="s">
        <v>190</v>
      </c>
      <c r="GR315" s="319" t="s">
        <v>190</v>
      </c>
      <c r="GS315" s="319" t="s">
        <v>190</v>
      </c>
      <c r="GT315" s="319" t="s">
        <v>429</v>
      </c>
      <c r="GU315" s="319" t="s">
        <v>429</v>
      </c>
      <c r="GV315" s="319" t="s">
        <v>190</v>
      </c>
      <c r="GW315" s="319" t="s">
        <v>190</v>
      </c>
      <c r="GX315" s="319" t="s">
        <v>190</v>
      </c>
      <c r="GY315" s="319" t="s">
        <v>190</v>
      </c>
      <c r="GZ315" s="319" t="s">
        <v>190</v>
      </c>
      <c r="HA315" s="319" t="s">
        <v>190</v>
      </c>
      <c r="HB315" s="319" t="s">
        <v>190</v>
      </c>
      <c r="HC315" s="319" t="s">
        <v>190</v>
      </c>
      <c r="HD315" s="319" t="s">
        <v>190</v>
      </c>
      <c r="HE315" s="319" t="s">
        <v>190</v>
      </c>
      <c r="HF315" s="319" t="s">
        <v>429</v>
      </c>
      <c r="HG315" s="319" t="s">
        <v>190</v>
      </c>
      <c r="HH315" s="319" t="s">
        <v>190</v>
      </c>
      <c r="HI315" s="319" t="s">
        <v>190</v>
      </c>
      <c r="HJ315" s="319" t="s">
        <v>190</v>
      </c>
      <c r="HK315" s="319" t="s">
        <v>190</v>
      </c>
      <c r="HL315" s="319" t="s">
        <v>429</v>
      </c>
      <c r="HM315" s="319" t="s">
        <v>429</v>
      </c>
      <c r="HN315" s="319" t="s">
        <v>429</v>
      </c>
      <c r="HO315" s="319" t="s">
        <v>429</v>
      </c>
      <c r="HP315" s="319" t="s">
        <v>190</v>
      </c>
      <c r="HQ315" s="319" t="s">
        <v>190</v>
      </c>
      <c r="HR315" s="319" t="s">
        <v>190</v>
      </c>
      <c r="HS315" s="319" t="s">
        <v>190</v>
      </c>
      <c r="HT315" s="319" t="s">
        <v>190</v>
      </c>
      <c r="HU315" s="319" t="s">
        <v>190</v>
      </c>
      <c r="HV315" s="319" t="s">
        <v>190</v>
      </c>
      <c r="HW315" s="319" t="s">
        <v>190</v>
      </c>
      <c r="HX315" s="319" t="s">
        <v>190</v>
      </c>
      <c r="HY315" s="319" t="s">
        <v>190</v>
      </c>
      <c r="HZ315" s="319" t="s">
        <v>190</v>
      </c>
      <c r="IA315" s="319" t="s">
        <v>190</v>
      </c>
      <c r="IB315" s="319" t="s">
        <v>190</v>
      </c>
      <c r="IC315" s="319" t="s">
        <v>190</v>
      </c>
      <c r="ID315" s="319" t="s">
        <v>190</v>
      </c>
      <c r="IE315" s="319" t="s">
        <v>190</v>
      </c>
      <c r="IF315" s="319" t="s">
        <v>190</v>
      </c>
      <c r="IG315" s="319" t="s">
        <v>190</v>
      </c>
      <c r="IH315" s="319" t="s">
        <v>190</v>
      </c>
      <c r="II315" s="319" t="s">
        <v>190</v>
      </c>
      <c r="IJ315" s="319" t="s">
        <v>3103</v>
      </c>
      <c r="IK315" s="321">
        <v>40121</v>
      </c>
      <c r="IL315" s="321">
        <v>40121</v>
      </c>
      <c r="IM315" s="321">
        <v>40142</v>
      </c>
      <c r="IN315" s="319">
        <v>2</v>
      </c>
      <c r="IO315" s="319" t="s">
        <v>173</v>
      </c>
      <c r="IP315" s="319" t="s">
        <v>173</v>
      </c>
      <c r="IQ315" s="321" t="s">
        <v>173</v>
      </c>
      <c r="IR315" s="320" t="s">
        <v>173</v>
      </c>
      <c r="IS315" s="322" t="s">
        <v>173</v>
      </c>
      <c r="IT315" s="319" t="s">
        <v>173</v>
      </c>
    </row>
    <row r="316" spans="1:254" s="271" customFormat="1" x14ac:dyDescent="0.25">
      <c r="A316" s="318" t="str">
        <f>HYPERLINK("http://www.ofsted.gov.uk/inspection-reports/find-inspection-report/provider/ELS/131327 ","Ofsted School Webpage")</f>
        <v>Ofsted School Webpage</v>
      </c>
      <c r="B316" s="319">
        <v>131327</v>
      </c>
      <c r="C316" s="319">
        <v>8306033</v>
      </c>
      <c r="D316" s="319" t="s">
        <v>1639</v>
      </c>
      <c r="E316" s="319" t="s">
        <v>168</v>
      </c>
      <c r="F316" s="319" t="s">
        <v>81</v>
      </c>
      <c r="G316" s="319" t="s">
        <v>81</v>
      </c>
      <c r="H316" s="319" t="s">
        <v>81</v>
      </c>
      <c r="I316" s="319" t="s">
        <v>78</v>
      </c>
      <c r="J316" s="319" t="s">
        <v>424</v>
      </c>
      <c r="K316" s="319" t="s">
        <v>506</v>
      </c>
      <c r="L316" s="319" t="s">
        <v>506</v>
      </c>
      <c r="M316" s="319" t="s">
        <v>507</v>
      </c>
      <c r="N316" s="319" t="s">
        <v>2918</v>
      </c>
      <c r="O316" s="319" t="s">
        <v>1640</v>
      </c>
      <c r="P316" s="319">
        <v>15</v>
      </c>
      <c r="Q316" s="319" t="s">
        <v>429</v>
      </c>
      <c r="R316" s="320">
        <v>10078665</v>
      </c>
      <c r="S316" s="321">
        <v>43627</v>
      </c>
      <c r="T316" s="321">
        <v>43629</v>
      </c>
      <c r="U316" s="321">
        <v>43655</v>
      </c>
      <c r="V316" s="319" t="s">
        <v>425</v>
      </c>
      <c r="W316" s="319" t="s">
        <v>2767</v>
      </c>
      <c r="X316" s="319">
        <v>1</v>
      </c>
      <c r="Y316" s="319" t="s">
        <v>173</v>
      </c>
      <c r="Z316" s="319" t="s">
        <v>173</v>
      </c>
      <c r="AA316" s="319" t="s">
        <v>173</v>
      </c>
      <c r="AB316" s="319">
        <v>1</v>
      </c>
      <c r="AC316" s="319" t="s">
        <v>169</v>
      </c>
      <c r="AD316" s="319" t="s">
        <v>173</v>
      </c>
      <c r="AE316" s="319" t="s">
        <v>173</v>
      </c>
      <c r="AF316" s="319" t="s">
        <v>427</v>
      </c>
      <c r="AG316" s="319" t="s">
        <v>171</v>
      </c>
      <c r="AH316" s="319" t="s">
        <v>190</v>
      </c>
      <c r="AI316" s="319" t="s">
        <v>190</v>
      </c>
      <c r="AJ316" s="319" t="s">
        <v>190</v>
      </c>
      <c r="AK316" s="319" t="s">
        <v>190</v>
      </c>
      <c r="AL316" s="319" t="s">
        <v>190</v>
      </c>
      <c r="AM316" s="319" t="s">
        <v>190</v>
      </c>
      <c r="AN316" s="319" t="s">
        <v>190</v>
      </c>
      <c r="AO316" s="319" t="s">
        <v>190</v>
      </c>
      <c r="AP316" s="319" t="s">
        <v>190</v>
      </c>
      <c r="AQ316" s="319" t="s">
        <v>190</v>
      </c>
      <c r="AR316" s="319" t="s">
        <v>190</v>
      </c>
      <c r="AS316" s="319" t="s">
        <v>190</v>
      </c>
      <c r="AT316" s="319" t="s">
        <v>190</v>
      </c>
      <c r="AU316" s="319" t="s">
        <v>190</v>
      </c>
      <c r="AV316" s="319" t="s">
        <v>190</v>
      </c>
      <c r="AW316" s="319" t="s">
        <v>190</v>
      </c>
      <c r="AX316" s="319" t="s">
        <v>428</v>
      </c>
      <c r="AY316" s="319" t="s">
        <v>190</v>
      </c>
      <c r="AZ316" s="319" t="s">
        <v>190</v>
      </c>
      <c r="BA316" s="319" t="s">
        <v>190</v>
      </c>
      <c r="BB316" s="319" t="s">
        <v>190</v>
      </c>
      <c r="BC316" s="319" t="s">
        <v>190</v>
      </c>
      <c r="BD316" s="319" t="s">
        <v>190</v>
      </c>
      <c r="BE316" s="319" t="s">
        <v>190</v>
      </c>
      <c r="BF316" s="319" t="s">
        <v>428</v>
      </c>
      <c r="BG316" s="319" t="s">
        <v>428</v>
      </c>
      <c r="BH316" s="319" t="s">
        <v>190</v>
      </c>
      <c r="BI316" s="319" t="s">
        <v>190</v>
      </c>
      <c r="BJ316" s="319" t="s">
        <v>190</v>
      </c>
      <c r="BK316" s="319" t="s">
        <v>190</v>
      </c>
      <c r="BL316" s="319" t="s">
        <v>190</v>
      </c>
      <c r="BM316" s="319" t="s">
        <v>190</v>
      </c>
      <c r="BN316" s="319" t="s">
        <v>190</v>
      </c>
      <c r="BO316" s="319" t="s">
        <v>190</v>
      </c>
      <c r="BP316" s="319" t="s">
        <v>190</v>
      </c>
      <c r="BQ316" s="319" t="s">
        <v>190</v>
      </c>
      <c r="BR316" s="319" t="s">
        <v>190</v>
      </c>
      <c r="BS316" s="319" t="s">
        <v>190</v>
      </c>
      <c r="BT316" s="319" t="s">
        <v>190</v>
      </c>
      <c r="BU316" s="319" t="s">
        <v>190</v>
      </c>
      <c r="BV316" s="319" t="s">
        <v>190</v>
      </c>
      <c r="BW316" s="319" t="s">
        <v>190</v>
      </c>
      <c r="BX316" s="319" t="s">
        <v>190</v>
      </c>
      <c r="BY316" s="319" t="s">
        <v>190</v>
      </c>
      <c r="BZ316" s="319" t="s">
        <v>190</v>
      </c>
      <c r="CA316" s="319" t="s">
        <v>190</v>
      </c>
      <c r="CB316" s="319" t="s">
        <v>190</v>
      </c>
      <c r="CC316" s="319" t="s">
        <v>190</v>
      </c>
      <c r="CD316" s="319" t="s">
        <v>190</v>
      </c>
      <c r="CE316" s="319" t="s">
        <v>190</v>
      </c>
      <c r="CF316" s="319" t="s">
        <v>190</v>
      </c>
      <c r="CG316" s="319" t="s">
        <v>190</v>
      </c>
      <c r="CH316" s="319" t="s">
        <v>190</v>
      </c>
      <c r="CI316" s="319" t="s">
        <v>190</v>
      </c>
      <c r="CJ316" s="319" t="s">
        <v>190</v>
      </c>
      <c r="CK316" s="319" t="s">
        <v>190</v>
      </c>
      <c r="CL316" s="319" t="s">
        <v>190</v>
      </c>
      <c r="CM316" s="319" t="s">
        <v>190</v>
      </c>
      <c r="CN316" s="319" t="s">
        <v>428</v>
      </c>
      <c r="CO316" s="319" t="s">
        <v>428</v>
      </c>
      <c r="CP316" s="319" t="s">
        <v>428</v>
      </c>
      <c r="CQ316" s="319" t="s">
        <v>190</v>
      </c>
      <c r="CR316" s="319" t="s">
        <v>190</v>
      </c>
      <c r="CS316" s="319" t="s">
        <v>190</v>
      </c>
      <c r="CT316" s="319" t="s">
        <v>190</v>
      </c>
      <c r="CU316" s="319" t="s">
        <v>190</v>
      </c>
      <c r="CV316" s="319" t="s">
        <v>190</v>
      </c>
      <c r="CW316" s="319" t="s">
        <v>190</v>
      </c>
      <c r="CX316" s="319" t="s">
        <v>190</v>
      </c>
      <c r="CY316" s="319" t="s">
        <v>190</v>
      </c>
      <c r="CZ316" s="319" t="s">
        <v>190</v>
      </c>
      <c r="DA316" s="319" t="s">
        <v>190</v>
      </c>
      <c r="DB316" s="319" t="s">
        <v>190</v>
      </c>
      <c r="DC316" s="319" t="s">
        <v>190</v>
      </c>
      <c r="DD316" s="319" t="s">
        <v>190</v>
      </c>
      <c r="DE316" s="319" t="s">
        <v>190</v>
      </c>
      <c r="DF316" s="319" t="s">
        <v>190</v>
      </c>
      <c r="DG316" s="319" t="s">
        <v>190</v>
      </c>
      <c r="DH316" s="319" t="s">
        <v>190</v>
      </c>
      <c r="DI316" s="319" t="s">
        <v>190</v>
      </c>
      <c r="DJ316" s="319" t="s">
        <v>190</v>
      </c>
      <c r="DK316" s="319" t="s">
        <v>190</v>
      </c>
      <c r="DL316" s="319" t="s">
        <v>190</v>
      </c>
      <c r="DM316" s="319" t="s">
        <v>190</v>
      </c>
      <c r="DN316" s="319" t="s">
        <v>190</v>
      </c>
      <c r="DO316" s="319" t="s">
        <v>190</v>
      </c>
      <c r="DP316" s="319" t="s">
        <v>428</v>
      </c>
      <c r="DQ316" s="319" t="s">
        <v>428</v>
      </c>
      <c r="DR316" s="319" t="s">
        <v>428</v>
      </c>
      <c r="DS316" s="319" t="s">
        <v>428</v>
      </c>
      <c r="DT316" s="319" t="s">
        <v>428</v>
      </c>
      <c r="DU316" s="319" t="s">
        <v>428</v>
      </c>
      <c r="DV316" s="319" t="s">
        <v>173</v>
      </c>
      <c r="DW316" s="319" t="s">
        <v>428</v>
      </c>
      <c r="DX316" s="319" t="s">
        <v>428</v>
      </c>
      <c r="DY316" s="319" t="s">
        <v>428</v>
      </c>
      <c r="DZ316" s="319" t="s">
        <v>428</v>
      </c>
      <c r="EA316" s="319" t="s">
        <v>428</v>
      </c>
      <c r="EB316" s="319" t="s">
        <v>428</v>
      </c>
      <c r="EC316" s="319" t="s">
        <v>428</v>
      </c>
      <c r="ED316" s="319" t="s">
        <v>428</v>
      </c>
      <c r="EE316" s="319" t="s">
        <v>190</v>
      </c>
      <c r="EF316" s="319" t="s">
        <v>190</v>
      </c>
      <c r="EG316" s="319" t="s">
        <v>190</v>
      </c>
      <c r="EH316" s="319" t="s">
        <v>190</v>
      </c>
      <c r="EI316" s="319" t="s">
        <v>190</v>
      </c>
      <c r="EJ316" s="319" t="s">
        <v>190</v>
      </c>
      <c r="EK316" s="319" t="s">
        <v>190</v>
      </c>
      <c r="EL316" s="319" t="s">
        <v>190</v>
      </c>
      <c r="EM316" s="319" t="s">
        <v>190</v>
      </c>
      <c r="EN316" s="319" t="s">
        <v>190</v>
      </c>
      <c r="EO316" s="319" t="s">
        <v>190</v>
      </c>
      <c r="EP316" s="319" t="s">
        <v>190</v>
      </c>
      <c r="EQ316" s="319" t="s">
        <v>190</v>
      </c>
      <c r="ER316" s="319" t="s">
        <v>190</v>
      </c>
      <c r="ES316" s="319" t="s">
        <v>190</v>
      </c>
      <c r="ET316" s="319" t="s">
        <v>190</v>
      </c>
      <c r="EU316" s="319" t="s">
        <v>190</v>
      </c>
      <c r="EV316" s="319" t="s">
        <v>190</v>
      </c>
      <c r="EW316" s="319" t="s">
        <v>190</v>
      </c>
      <c r="EX316" s="319" t="s">
        <v>190</v>
      </c>
      <c r="EY316" s="319" t="s">
        <v>190</v>
      </c>
      <c r="EZ316" s="319" t="s">
        <v>190</v>
      </c>
      <c r="FA316" s="319" t="s">
        <v>190</v>
      </c>
      <c r="FB316" s="319" t="s">
        <v>428</v>
      </c>
      <c r="FC316" s="319" t="s">
        <v>428</v>
      </c>
      <c r="FD316" s="319" t="s">
        <v>428</v>
      </c>
      <c r="FE316" s="319" t="s">
        <v>428</v>
      </c>
      <c r="FF316" s="319" t="s">
        <v>428</v>
      </c>
      <c r="FG316" s="319" t="s">
        <v>428</v>
      </c>
      <c r="FH316" s="319" t="s">
        <v>190</v>
      </c>
      <c r="FI316" s="319" t="s">
        <v>428</v>
      </c>
      <c r="FJ316" s="319" t="s">
        <v>429</v>
      </c>
      <c r="FK316" s="319" t="s">
        <v>428</v>
      </c>
      <c r="FL316" s="319" t="s">
        <v>190</v>
      </c>
      <c r="FM316" s="319" t="s">
        <v>190</v>
      </c>
      <c r="FN316" s="319" t="s">
        <v>190</v>
      </c>
      <c r="FO316" s="319" t="s">
        <v>190</v>
      </c>
      <c r="FP316" s="319" t="s">
        <v>190</v>
      </c>
      <c r="FQ316" s="319" t="s">
        <v>190</v>
      </c>
      <c r="FR316" s="319" t="s">
        <v>190</v>
      </c>
      <c r="FS316" s="319" t="s">
        <v>428</v>
      </c>
      <c r="FT316" s="319" t="s">
        <v>190</v>
      </c>
      <c r="FU316" s="319" t="s">
        <v>190</v>
      </c>
      <c r="FV316" s="319" t="s">
        <v>190</v>
      </c>
      <c r="FW316" s="319" t="s">
        <v>190</v>
      </c>
      <c r="FX316" s="319" t="s">
        <v>190</v>
      </c>
      <c r="FY316" s="319" t="s">
        <v>190</v>
      </c>
      <c r="FZ316" s="319" t="s">
        <v>190</v>
      </c>
      <c r="GA316" s="319" t="s">
        <v>190</v>
      </c>
      <c r="GB316" s="319" t="s">
        <v>190</v>
      </c>
      <c r="GC316" s="319" t="s">
        <v>190</v>
      </c>
      <c r="GD316" s="319" t="s">
        <v>190</v>
      </c>
      <c r="GE316" s="319" t="s">
        <v>190</v>
      </c>
      <c r="GF316" s="319" t="s">
        <v>190</v>
      </c>
      <c r="GG316" s="319" t="s">
        <v>190</v>
      </c>
      <c r="GH316" s="319" t="s">
        <v>190</v>
      </c>
      <c r="GI316" s="319" t="s">
        <v>190</v>
      </c>
      <c r="GJ316" s="319" t="s">
        <v>190</v>
      </c>
      <c r="GK316" s="319" t="s">
        <v>190</v>
      </c>
      <c r="GL316" s="319" t="s">
        <v>190</v>
      </c>
      <c r="GM316" s="319" t="s">
        <v>190</v>
      </c>
      <c r="GN316" s="319" t="s">
        <v>190</v>
      </c>
      <c r="GO316" s="319" t="s">
        <v>190</v>
      </c>
      <c r="GP316" s="319" t="s">
        <v>190</v>
      </c>
      <c r="GQ316" s="319" t="s">
        <v>428</v>
      </c>
      <c r="GR316" s="319" t="s">
        <v>190</v>
      </c>
      <c r="GS316" s="319" t="s">
        <v>190</v>
      </c>
      <c r="GT316" s="319" t="s">
        <v>190</v>
      </c>
      <c r="GU316" s="319" t="s">
        <v>190</v>
      </c>
      <c r="GV316" s="319" t="s">
        <v>190</v>
      </c>
      <c r="GW316" s="319" t="s">
        <v>190</v>
      </c>
      <c r="GX316" s="319" t="s">
        <v>190</v>
      </c>
      <c r="GY316" s="319" t="s">
        <v>190</v>
      </c>
      <c r="GZ316" s="319" t="s">
        <v>190</v>
      </c>
      <c r="HA316" s="319" t="s">
        <v>190</v>
      </c>
      <c r="HB316" s="319" t="s">
        <v>190</v>
      </c>
      <c r="HC316" s="319" t="s">
        <v>190</v>
      </c>
      <c r="HD316" s="319" t="s">
        <v>190</v>
      </c>
      <c r="HE316" s="319" t="s">
        <v>190</v>
      </c>
      <c r="HF316" s="319" t="s">
        <v>190</v>
      </c>
      <c r="HG316" s="319" t="s">
        <v>190</v>
      </c>
      <c r="HH316" s="319" t="s">
        <v>190</v>
      </c>
      <c r="HI316" s="319" t="s">
        <v>190</v>
      </c>
      <c r="HJ316" s="319" t="s">
        <v>190</v>
      </c>
      <c r="HK316" s="319" t="s">
        <v>190</v>
      </c>
      <c r="HL316" s="319" t="s">
        <v>428</v>
      </c>
      <c r="HM316" s="319" t="s">
        <v>428</v>
      </c>
      <c r="HN316" s="319" t="s">
        <v>428</v>
      </c>
      <c r="HO316" s="319" t="s">
        <v>428</v>
      </c>
      <c r="HP316" s="319" t="s">
        <v>190</v>
      </c>
      <c r="HQ316" s="319" t="s">
        <v>190</v>
      </c>
      <c r="HR316" s="319" t="s">
        <v>190</v>
      </c>
      <c r="HS316" s="319" t="s">
        <v>190</v>
      </c>
      <c r="HT316" s="319" t="s">
        <v>190</v>
      </c>
      <c r="HU316" s="319" t="s">
        <v>190</v>
      </c>
      <c r="HV316" s="319" t="s">
        <v>190</v>
      </c>
      <c r="HW316" s="319" t="s">
        <v>190</v>
      </c>
      <c r="HX316" s="319" t="s">
        <v>190</v>
      </c>
      <c r="HY316" s="319" t="s">
        <v>190</v>
      </c>
      <c r="HZ316" s="319" t="s">
        <v>190</v>
      </c>
      <c r="IA316" s="319" t="s">
        <v>190</v>
      </c>
      <c r="IB316" s="319" t="s">
        <v>190</v>
      </c>
      <c r="IC316" s="319" t="s">
        <v>190</v>
      </c>
      <c r="ID316" s="319" t="s">
        <v>190</v>
      </c>
      <c r="IE316" s="319" t="s">
        <v>190</v>
      </c>
      <c r="IF316" s="319" t="s">
        <v>190</v>
      </c>
      <c r="IG316" s="319" t="s">
        <v>190</v>
      </c>
      <c r="IH316" s="319" t="s">
        <v>190</v>
      </c>
      <c r="II316" s="319" t="s">
        <v>190</v>
      </c>
      <c r="IJ316" s="319">
        <v>10008603</v>
      </c>
      <c r="IK316" s="321">
        <v>42507</v>
      </c>
      <c r="IL316" s="321">
        <v>42509</v>
      </c>
      <c r="IM316" s="321">
        <v>42559</v>
      </c>
      <c r="IN316" s="319">
        <v>1</v>
      </c>
      <c r="IO316" s="319" t="s">
        <v>173</v>
      </c>
      <c r="IP316" s="319" t="s">
        <v>173</v>
      </c>
      <c r="IQ316" s="319" t="s">
        <v>173</v>
      </c>
      <c r="IR316" s="320" t="s">
        <v>173</v>
      </c>
      <c r="IS316" s="320" t="s">
        <v>173</v>
      </c>
      <c r="IT316" s="319" t="s">
        <v>173</v>
      </c>
    </row>
    <row r="317" spans="1:254" s="271" customFormat="1" x14ac:dyDescent="0.25">
      <c r="A317" s="318" t="str">
        <f>HYPERLINK("http://www.ofsted.gov.uk/inspection-reports/find-inspection-report/provider/ELS/131337 ","Ofsted School Webpage")</f>
        <v>Ofsted School Webpage</v>
      </c>
      <c r="B317" s="319">
        <v>131337</v>
      </c>
      <c r="C317" s="319">
        <v>8886033</v>
      </c>
      <c r="D317" s="319" t="s">
        <v>1641</v>
      </c>
      <c r="E317" s="319" t="s">
        <v>167</v>
      </c>
      <c r="F317" s="319" t="s">
        <v>81</v>
      </c>
      <c r="G317" s="319" t="s">
        <v>72</v>
      </c>
      <c r="H317" s="319" t="s">
        <v>72</v>
      </c>
      <c r="I317" s="319" t="s">
        <v>72</v>
      </c>
      <c r="J317" s="319" t="s">
        <v>424</v>
      </c>
      <c r="K317" s="319" t="s">
        <v>431</v>
      </c>
      <c r="L317" s="319" t="s">
        <v>431</v>
      </c>
      <c r="M317" s="319" t="s">
        <v>469</v>
      </c>
      <c r="N317" s="319" t="s">
        <v>3104</v>
      </c>
      <c r="O317" s="319" t="s">
        <v>1642</v>
      </c>
      <c r="P317" s="319">
        <v>21</v>
      </c>
      <c r="Q317" s="319" t="s">
        <v>2766</v>
      </c>
      <c r="R317" s="320">
        <v>10067888</v>
      </c>
      <c r="S317" s="321">
        <v>43536</v>
      </c>
      <c r="T317" s="321">
        <v>43538</v>
      </c>
      <c r="U317" s="321">
        <v>43584</v>
      </c>
      <c r="V317" s="319" t="s">
        <v>425</v>
      </c>
      <c r="W317" s="319" t="s">
        <v>2767</v>
      </c>
      <c r="X317" s="319">
        <v>3</v>
      </c>
      <c r="Y317" s="319" t="s">
        <v>173</v>
      </c>
      <c r="Z317" s="319" t="s">
        <v>173</v>
      </c>
      <c r="AA317" s="319" t="s">
        <v>173</v>
      </c>
      <c r="AB317" s="319">
        <v>3</v>
      </c>
      <c r="AC317" s="319" t="s">
        <v>169</v>
      </c>
      <c r="AD317" s="319" t="s">
        <v>173</v>
      </c>
      <c r="AE317" s="319" t="s">
        <v>173</v>
      </c>
      <c r="AF317" s="319" t="s">
        <v>427</v>
      </c>
      <c r="AG317" s="319" t="s">
        <v>171</v>
      </c>
      <c r="AH317" s="319" t="s">
        <v>190</v>
      </c>
      <c r="AI317" s="319" t="s">
        <v>190</v>
      </c>
      <c r="AJ317" s="319" t="s">
        <v>190</v>
      </c>
      <c r="AK317" s="319" t="s">
        <v>190</v>
      </c>
      <c r="AL317" s="319" t="s">
        <v>190</v>
      </c>
      <c r="AM317" s="319" t="s">
        <v>190</v>
      </c>
      <c r="AN317" s="319" t="s">
        <v>190</v>
      </c>
      <c r="AO317" s="319" t="s">
        <v>190</v>
      </c>
      <c r="AP317" s="319" t="s">
        <v>190</v>
      </c>
      <c r="AQ317" s="319" t="s">
        <v>190</v>
      </c>
      <c r="AR317" s="319" t="s">
        <v>190</v>
      </c>
      <c r="AS317" s="319" t="s">
        <v>190</v>
      </c>
      <c r="AT317" s="319" t="s">
        <v>190</v>
      </c>
      <c r="AU317" s="319" t="s">
        <v>190</v>
      </c>
      <c r="AV317" s="319" t="s">
        <v>190</v>
      </c>
      <c r="AW317" s="319" t="s">
        <v>190</v>
      </c>
      <c r="AX317" s="319" t="s">
        <v>428</v>
      </c>
      <c r="AY317" s="319" t="s">
        <v>190</v>
      </c>
      <c r="AZ317" s="319" t="s">
        <v>190</v>
      </c>
      <c r="BA317" s="319" t="s">
        <v>190</v>
      </c>
      <c r="BB317" s="319" t="s">
        <v>190</v>
      </c>
      <c r="BC317" s="319" t="s">
        <v>190</v>
      </c>
      <c r="BD317" s="319" t="s">
        <v>190</v>
      </c>
      <c r="BE317" s="319" t="s">
        <v>190</v>
      </c>
      <c r="BF317" s="319" t="s">
        <v>428</v>
      </c>
      <c r="BG317" s="319" t="s">
        <v>428</v>
      </c>
      <c r="BH317" s="319" t="s">
        <v>190</v>
      </c>
      <c r="BI317" s="319" t="s">
        <v>190</v>
      </c>
      <c r="BJ317" s="319" t="s">
        <v>190</v>
      </c>
      <c r="BK317" s="319" t="s">
        <v>190</v>
      </c>
      <c r="BL317" s="319" t="s">
        <v>190</v>
      </c>
      <c r="BM317" s="319" t="s">
        <v>190</v>
      </c>
      <c r="BN317" s="319" t="s">
        <v>190</v>
      </c>
      <c r="BO317" s="319" t="s">
        <v>190</v>
      </c>
      <c r="BP317" s="319" t="s">
        <v>190</v>
      </c>
      <c r="BQ317" s="319" t="s">
        <v>190</v>
      </c>
      <c r="BR317" s="319" t="s">
        <v>190</v>
      </c>
      <c r="BS317" s="319" t="s">
        <v>190</v>
      </c>
      <c r="BT317" s="319" t="s">
        <v>190</v>
      </c>
      <c r="BU317" s="319" t="s">
        <v>190</v>
      </c>
      <c r="BV317" s="319" t="s">
        <v>190</v>
      </c>
      <c r="BW317" s="319" t="s">
        <v>190</v>
      </c>
      <c r="BX317" s="319" t="s">
        <v>190</v>
      </c>
      <c r="BY317" s="319" t="s">
        <v>190</v>
      </c>
      <c r="BZ317" s="319" t="s">
        <v>190</v>
      </c>
      <c r="CA317" s="319" t="s">
        <v>190</v>
      </c>
      <c r="CB317" s="319" t="s">
        <v>190</v>
      </c>
      <c r="CC317" s="319" t="s">
        <v>190</v>
      </c>
      <c r="CD317" s="319" t="s">
        <v>190</v>
      </c>
      <c r="CE317" s="319" t="s">
        <v>190</v>
      </c>
      <c r="CF317" s="319" t="s">
        <v>190</v>
      </c>
      <c r="CG317" s="319" t="s">
        <v>190</v>
      </c>
      <c r="CH317" s="319" t="s">
        <v>190</v>
      </c>
      <c r="CI317" s="319" t="s">
        <v>190</v>
      </c>
      <c r="CJ317" s="319" t="s">
        <v>190</v>
      </c>
      <c r="CK317" s="319" t="s">
        <v>190</v>
      </c>
      <c r="CL317" s="319" t="s">
        <v>190</v>
      </c>
      <c r="CM317" s="319" t="s">
        <v>190</v>
      </c>
      <c r="CN317" s="319" t="s">
        <v>428</v>
      </c>
      <c r="CO317" s="319" t="s">
        <v>428</v>
      </c>
      <c r="CP317" s="319" t="s">
        <v>428</v>
      </c>
      <c r="CQ317" s="319" t="s">
        <v>190</v>
      </c>
      <c r="CR317" s="319" t="s">
        <v>190</v>
      </c>
      <c r="CS317" s="319" t="s">
        <v>190</v>
      </c>
      <c r="CT317" s="319" t="s">
        <v>190</v>
      </c>
      <c r="CU317" s="319" t="s">
        <v>190</v>
      </c>
      <c r="CV317" s="319" t="s">
        <v>190</v>
      </c>
      <c r="CW317" s="319" t="s">
        <v>190</v>
      </c>
      <c r="CX317" s="319" t="s">
        <v>190</v>
      </c>
      <c r="CY317" s="319" t="s">
        <v>190</v>
      </c>
      <c r="CZ317" s="319" t="s">
        <v>190</v>
      </c>
      <c r="DA317" s="319" t="s">
        <v>190</v>
      </c>
      <c r="DB317" s="319" t="s">
        <v>190</v>
      </c>
      <c r="DC317" s="319" t="s">
        <v>190</v>
      </c>
      <c r="DD317" s="319" t="s">
        <v>190</v>
      </c>
      <c r="DE317" s="319" t="s">
        <v>190</v>
      </c>
      <c r="DF317" s="319" t="s">
        <v>190</v>
      </c>
      <c r="DG317" s="319" t="s">
        <v>190</v>
      </c>
      <c r="DH317" s="319" t="s">
        <v>190</v>
      </c>
      <c r="DI317" s="319" t="s">
        <v>190</v>
      </c>
      <c r="DJ317" s="319" t="s">
        <v>190</v>
      </c>
      <c r="DK317" s="319" t="s">
        <v>190</v>
      </c>
      <c r="DL317" s="319" t="s">
        <v>190</v>
      </c>
      <c r="DM317" s="319" t="s">
        <v>428</v>
      </c>
      <c r="DN317" s="319" t="s">
        <v>428</v>
      </c>
      <c r="DO317" s="319" t="s">
        <v>190</v>
      </c>
      <c r="DP317" s="319" t="s">
        <v>428</v>
      </c>
      <c r="DQ317" s="319" t="s">
        <v>428</v>
      </c>
      <c r="DR317" s="319" t="s">
        <v>428</v>
      </c>
      <c r="DS317" s="319" t="s">
        <v>428</v>
      </c>
      <c r="DT317" s="319" t="s">
        <v>428</v>
      </c>
      <c r="DU317" s="319" t="s">
        <v>428</v>
      </c>
      <c r="DV317" s="319" t="s">
        <v>173</v>
      </c>
      <c r="DW317" s="319" t="s">
        <v>428</v>
      </c>
      <c r="DX317" s="319" t="s">
        <v>428</v>
      </c>
      <c r="DY317" s="319" t="s">
        <v>428</v>
      </c>
      <c r="DZ317" s="319" t="s">
        <v>428</v>
      </c>
      <c r="EA317" s="319" t="s">
        <v>428</v>
      </c>
      <c r="EB317" s="319" t="s">
        <v>428</v>
      </c>
      <c r="EC317" s="319" t="s">
        <v>428</v>
      </c>
      <c r="ED317" s="319" t="s">
        <v>428</v>
      </c>
      <c r="EE317" s="319" t="s">
        <v>190</v>
      </c>
      <c r="EF317" s="319" t="s">
        <v>190</v>
      </c>
      <c r="EG317" s="319" t="s">
        <v>190</v>
      </c>
      <c r="EH317" s="319" t="s">
        <v>190</v>
      </c>
      <c r="EI317" s="319" t="s">
        <v>190</v>
      </c>
      <c r="EJ317" s="319" t="s">
        <v>190</v>
      </c>
      <c r="EK317" s="319" t="s">
        <v>190</v>
      </c>
      <c r="EL317" s="319" t="s">
        <v>428</v>
      </c>
      <c r="EM317" s="319" t="s">
        <v>190</v>
      </c>
      <c r="EN317" s="319" t="s">
        <v>190</v>
      </c>
      <c r="EO317" s="319" t="s">
        <v>190</v>
      </c>
      <c r="EP317" s="319" t="s">
        <v>190</v>
      </c>
      <c r="EQ317" s="319" t="s">
        <v>190</v>
      </c>
      <c r="ER317" s="319" t="s">
        <v>190</v>
      </c>
      <c r="ES317" s="319" t="s">
        <v>190</v>
      </c>
      <c r="ET317" s="319" t="s">
        <v>190</v>
      </c>
      <c r="EU317" s="319" t="s">
        <v>190</v>
      </c>
      <c r="EV317" s="319" t="s">
        <v>190</v>
      </c>
      <c r="EW317" s="319" t="s">
        <v>190</v>
      </c>
      <c r="EX317" s="319" t="s">
        <v>190</v>
      </c>
      <c r="EY317" s="319" t="s">
        <v>190</v>
      </c>
      <c r="EZ317" s="319" t="s">
        <v>190</v>
      </c>
      <c r="FA317" s="319" t="s">
        <v>428</v>
      </c>
      <c r="FB317" s="319" t="s">
        <v>428</v>
      </c>
      <c r="FC317" s="319" t="s">
        <v>428</v>
      </c>
      <c r="FD317" s="319" t="s">
        <v>428</v>
      </c>
      <c r="FE317" s="319" t="s">
        <v>428</v>
      </c>
      <c r="FF317" s="319" t="s">
        <v>428</v>
      </c>
      <c r="FG317" s="319" t="s">
        <v>428</v>
      </c>
      <c r="FH317" s="319" t="s">
        <v>190</v>
      </c>
      <c r="FI317" s="319" t="s">
        <v>190</v>
      </c>
      <c r="FJ317" s="319" t="s">
        <v>190</v>
      </c>
      <c r="FK317" s="319" t="s">
        <v>190</v>
      </c>
      <c r="FL317" s="319" t="s">
        <v>190</v>
      </c>
      <c r="FM317" s="319" t="s">
        <v>190</v>
      </c>
      <c r="FN317" s="319" t="s">
        <v>428</v>
      </c>
      <c r="FO317" s="319" t="s">
        <v>428</v>
      </c>
      <c r="FP317" s="319" t="s">
        <v>190</v>
      </c>
      <c r="FQ317" s="319" t="s">
        <v>190</v>
      </c>
      <c r="FR317" s="319" t="s">
        <v>190</v>
      </c>
      <c r="FS317" s="319" t="s">
        <v>428</v>
      </c>
      <c r="FT317" s="319" t="s">
        <v>190</v>
      </c>
      <c r="FU317" s="319" t="s">
        <v>190</v>
      </c>
      <c r="FV317" s="319" t="s">
        <v>190</v>
      </c>
      <c r="FW317" s="319" t="s">
        <v>190</v>
      </c>
      <c r="FX317" s="319" t="s">
        <v>190</v>
      </c>
      <c r="FY317" s="319" t="s">
        <v>190</v>
      </c>
      <c r="FZ317" s="319" t="s">
        <v>190</v>
      </c>
      <c r="GA317" s="319" t="s">
        <v>190</v>
      </c>
      <c r="GB317" s="319" t="s">
        <v>190</v>
      </c>
      <c r="GC317" s="319" t="s">
        <v>190</v>
      </c>
      <c r="GD317" s="319" t="s">
        <v>190</v>
      </c>
      <c r="GE317" s="319" t="s">
        <v>190</v>
      </c>
      <c r="GF317" s="319" t="s">
        <v>190</v>
      </c>
      <c r="GG317" s="319" t="s">
        <v>190</v>
      </c>
      <c r="GH317" s="319" t="s">
        <v>190</v>
      </c>
      <c r="GI317" s="319" t="s">
        <v>190</v>
      </c>
      <c r="GJ317" s="319" t="s">
        <v>190</v>
      </c>
      <c r="GK317" s="319" t="s">
        <v>428</v>
      </c>
      <c r="GL317" s="319" t="s">
        <v>190</v>
      </c>
      <c r="GM317" s="319" t="s">
        <v>190</v>
      </c>
      <c r="GN317" s="319" t="s">
        <v>190</v>
      </c>
      <c r="GO317" s="319" t="s">
        <v>190</v>
      </c>
      <c r="GP317" s="319" t="s">
        <v>190</v>
      </c>
      <c r="GQ317" s="319" t="s">
        <v>428</v>
      </c>
      <c r="GR317" s="319" t="s">
        <v>190</v>
      </c>
      <c r="GS317" s="319" t="s">
        <v>190</v>
      </c>
      <c r="GT317" s="319" t="s">
        <v>428</v>
      </c>
      <c r="GU317" s="319" t="s">
        <v>428</v>
      </c>
      <c r="GV317" s="319" t="s">
        <v>428</v>
      </c>
      <c r="GW317" s="319" t="s">
        <v>190</v>
      </c>
      <c r="GX317" s="319" t="s">
        <v>190</v>
      </c>
      <c r="GY317" s="319" t="s">
        <v>190</v>
      </c>
      <c r="GZ317" s="319" t="s">
        <v>428</v>
      </c>
      <c r="HA317" s="319" t="s">
        <v>190</v>
      </c>
      <c r="HB317" s="319" t="s">
        <v>190</v>
      </c>
      <c r="HC317" s="319" t="s">
        <v>190</v>
      </c>
      <c r="HD317" s="319" t="s">
        <v>190</v>
      </c>
      <c r="HE317" s="319" t="s">
        <v>190</v>
      </c>
      <c r="HF317" s="319" t="s">
        <v>190</v>
      </c>
      <c r="HG317" s="319" t="s">
        <v>190</v>
      </c>
      <c r="HH317" s="319" t="s">
        <v>190</v>
      </c>
      <c r="HI317" s="319" t="s">
        <v>190</v>
      </c>
      <c r="HJ317" s="319" t="s">
        <v>190</v>
      </c>
      <c r="HK317" s="319" t="s">
        <v>190</v>
      </c>
      <c r="HL317" s="319" t="s">
        <v>428</v>
      </c>
      <c r="HM317" s="319" t="s">
        <v>428</v>
      </c>
      <c r="HN317" s="319" t="s">
        <v>428</v>
      </c>
      <c r="HO317" s="319" t="s">
        <v>428</v>
      </c>
      <c r="HP317" s="319" t="s">
        <v>190</v>
      </c>
      <c r="HQ317" s="319" t="s">
        <v>190</v>
      </c>
      <c r="HR317" s="319" t="s">
        <v>190</v>
      </c>
      <c r="HS317" s="319" t="s">
        <v>190</v>
      </c>
      <c r="HT317" s="319" t="s">
        <v>190</v>
      </c>
      <c r="HU317" s="319" t="s">
        <v>190</v>
      </c>
      <c r="HV317" s="319" t="s">
        <v>190</v>
      </c>
      <c r="HW317" s="319" t="s">
        <v>190</v>
      </c>
      <c r="HX317" s="319" t="s">
        <v>190</v>
      </c>
      <c r="HY317" s="319" t="s">
        <v>190</v>
      </c>
      <c r="HZ317" s="319" t="s">
        <v>190</v>
      </c>
      <c r="IA317" s="319" t="s">
        <v>190</v>
      </c>
      <c r="IB317" s="319" t="s">
        <v>190</v>
      </c>
      <c r="IC317" s="319" t="s">
        <v>190</v>
      </c>
      <c r="ID317" s="319" t="s">
        <v>190</v>
      </c>
      <c r="IE317" s="319" t="s">
        <v>190</v>
      </c>
      <c r="IF317" s="319" t="s">
        <v>190</v>
      </c>
      <c r="IG317" s="319" t="s">
        <v>190</v>
      </c>
      <c r="IH317" s="319" t="s">
        <v>190</v>
      </c>
      <c r="II317" s="319" t="s">
        <v>190</v>
      </c>
      <c r="IJ317" s="319">
        <v>10034539</v>
      </c>
      <c r="IK317" s="321">
        <v>42899</v>
      </c>
      <c r="IL317" s="321">
        <v>42901</v>
      </c>
      <c r="IM317" s="321">
        <v>42927</v>
      </c>
      <c r="IN317" s="319">
        <v>3</v>
      </c>
      <c r="IO317" s="319" t="s">
        <v>173</v>
      </c>
      <c r="IP317" s="319" t="s">
        <v>173</v>
      </c>
      <c r="IQ317" s="319" t="s">
        <v>173</v>
      </c>
      <c r="IR317" s="320" t="s">
        <v>173</v>
      </c>
      <c r="IS317" s="320" t="s">
        <v>173</v>
      </c>
      <c r="IT317" s="319" t="s">
        <v>173</v>
      </c>
    </row>
    <row r="318" spans="1:254" s="271" customFormat="1" x14ac:dyDescent="0.25">
      <c r="A318" s="318" t="str">
        <f>HYPERLINK("http://www.ofsted.gov.uk/inspection-reports/find-inspection-report/provider/ELS/131342 ","Ofsted School Webpage")</f>
        <v>Ofsted School Webpage</v>
      </c>
      <c r="B318" s="319">
        <v>131342</v>
      </c>
      <c r="C318" s="319">
        <v>2046400</v>
      </c>
      <c r="D318" s="319" t="s">
        <v>1643</v>
      </c>
      <c r="E318" s="319" t="s">
        <v>167</v>
      </c>
      <c r="F318" s="319" t="s">
        <v>81</v>
      </c>
      <c r="G318" s="319" t="s">
        <v>69</v>
      </c>
      <c r="H318" s="319" t="s">
        <v>69</v>
      </c>
      <c r="I318" s="319" t="s">
        <v>69</v>
      </c>
      <c r="J318" s="319" t="s">
        <v>424</v>
      </c>
      <c r="K318" s="319" t="s">
        <v>441</v>
      </c>
      <c r="L318" s="319" t="s">
        <v>441</v>
      </c>
      <c r="M318" s="319" t="s">
        <v>547</v>
      </c>
      <c r="N318" s="319" t="s">
        <v>2774</v>
      </c>
      <c r="O318" s="319" t="s">
        <v>1644</v>
      </c>
      <c r="P318" s="319">
        <v>281</v>
      </c>
      <c r="Q318" s="319" t="s">
        <v>2766</v>
      </c>
      <c r="R318" s="320">
        <v>10035791</v>
      </c>
      <c r="S318" s="321">
        <v>43284</v>
      </c>
      <c r="T318" s="321">
        <v>43286</v>
      </c>
      <c r="U318" s="321">
        <v>43384</v>
      </c>
      <c r="V318" s="319" t="s">
        <v>425</v>
      </c>
      <c r="W318" s="319" t="s">
        <v>2767</v>
      </c>
      <c r="X318" s="319">
        <v>4</v>
      </c>
      <c r="Y318" s="319" t="s">
        <v>173</v>
      </c>
      <c r="Z318" s="319" t="s">
        <v>173</v>
      </c>
      <c r="AA318" s="319" t="s">
        <v>173</v>
      </c>
      <c r="AB318" s="319">
        <v>4</v>
      </c>
      <c r="AC318" s="319" t="s">
        <v>169</v>
      </c>
      <c r="AD318" s="319">
        <v>3</v>
      </c>
      <c r="AE318" s="319" t="s">
        <v>173</v>
      </c>
      <c r="AF318" s="319" t="s">
        <v>427</v>
      </c>
      <c r="AG318" s="319" t="s">
        <v>172</v>
      </c>
      <c r="AH318" s="319" t="s">
        <v>479</v>
      </c>
      <c r="AI318" s="319" t="s">
        <v>479</v>
      </c>
      <c r="AJ318" s="319" t="s">
        <v>190</v>
      </c>
      <c r="AK318" s="319" t="s">
        <v>190</v>
      </c>
      <c r="AL318" s="319" t="s">
        <v>190</v>
      </c>
      <c r="AM318" s="319" t="s">
        <v>190</v>
      </c>
      <c r="AN318" s="319" t="s">
        <v>190</v>
      </c>
      <c r="AO318" s="319" t="s">
        <v>479</v>
      </c>
      <c r="AP318" s="319" t="s">
        <v>191</v>
      </c>
      <c r="AQ318" s="319" t="s">
        <v>190</v>
      </c>
      <c r="AR318" s="319" t="s">
        <v>190</v>
      </c>
      <c r="AS318" s="319" t="s">
        <v>190</v>
      </c>
      <c r="AT318" s="319" t="s">
        <v>190</v>
      </c>
      <c r="AU318" s="319" t="s">
        <v>191</v>
      </c>
      <c r="AV318" s="319" t="s">
        <v>190</v>
      </c>
      <c r="AW318" s="319" t="s">
        <v>190</v>
      </c>
      <c r="AX318" s="319" t="s">
        <v>190</v>
      </c>
      <c r="AY318" s="319" t="s">
        <v>191</v>
      </c>
      <c r="AZ318" s="319" t="s">
        <v>190</v>
      </c>
      <c r="BA318" s="319" t="s">
        <v>191</v>
      </c>
      <c r="BB318" s="319" t="s">
        <v>190</v>
      </c>
      <c r="BC318" s="319" t="s">
        <v>190</v>
      </c>
      <c r="BD318" s="319" t="s">
        <v>190</v>
      </c>
      <c r="BE318" s="319" t="s">
        <v>190</v>
      </c>
      <c r="BF318" s="319" t="s">
        <v>190</v>
      </c>
      <c r="BG318" s="319" t="s">
        <v>428</v>
      </c>
      <c r="BH318" s="319" t="s">
        <v>190</v>
      </c>
      <c r="BI318" s="319" t="s">
        <v>190</v>
      </c>
      <c r="BJ318" s="319" t="s">
        <v>191</v>
      </c>
      <c r="BK318" s="319" t="s">
        <v>191</v>
      </c>
      <c r="BL318" s="319" t="s">
        <v>190</v>
      </c>
      <c r="BM318" s="319" t="s">
        <v>190</v>
      </c>
      <c r="BN318" s="319" t="s">
        <v>190</v>
      </c>
      <c r="BO318" s="319" t="s">
        <v>190</v>
      </c>
      <c r="BP318" s="319" t="s">
        <v>190</v>
      </c>
      <c r="BQ318" s="319" t="s">
        <v>190</v>
      </c>
      <c r="BR318" s="319" t="s">
        <v>190</v>
      </c>
      <c r="BS318" s="319" t="s">
        <v>190</v>
      </c>
      <c r="BT318" s="319" t="s">
        <v>190</v>
      </c>
      <c r="BU318" s="319" t="s">
        <v>190</v>
      </c>
      <c r="BV318" s="319" t="s">
        <v>191</v>
      </c>
      <c r="BW318" s="319" t="s">
        <v>190</v>
      </c>
      <c r="BX318" s="319" t="s">
        <v>191</v>
      </c>
      <c r="BY318" s="319" t="s">
        <v>190</v>
      </c>
      <c r="BZ318" s="319" t="s">
        <v>190</v>
      </c>
      <c r="CA318" s="319" t="s">
        <v>190</v>
      </c>
      <c r="CB318" s="319" t="s">
        <v>190</v>
      </c>
      <c r="CC318" s="319" t="s">
        <v>190</v>
      </c>
      <c r="CD318" s="319" t="s">
        <v>191</v>
      </c>
      <c r="CE318" s="319" t="s">
        <v>190</v>
      </c>
      <c r="CF318" s="319" t="s">
        <v>190</v>
      </c>
      <c r="CG318" s="319" t="s">
        <v>190</v>
      </c>
      <c r="CH318" s="319" t="s">
        <v>190</v>
      </c>
      <c r="CI318" s="319" t="s">
        <v>190</v>
      </c>
      <c r="CJ318" s="319" t="s">
        <v>190</v>
      </c>
      <c r="CK318" s="319" t="s">
        <v>190</v>
      </c>
      <c r="CL318" s="319" t="s">
        <v>190</v>
      </c>
      <c r="CM318" s="319" t="s">
        <v>190</v>
      </c>
      <c r="CN318" s="319" t="s">
        <v>428</v>
      </c>
      <c r="CO318" s="319" t="s">
        <v>428</v>
      </c>
      <c r="CP318" s="319" t="s">
        <v>428</v>
      </c>
      <c r="CQ318" s="319" t="s">
        <v>190</v>
      </c>
      <c r="CR318" s="319" t="s">
        <v>190</v>
      </c>
      <c r="CS318" s="319" t="s">
        <v>190</v>
      </c>
      <c r="CT318" s="319" t="s">
        <v>190</v>
      </c>
      <c r="CU318" s="319" t="s">
        <v>190</v>
      </c>
      <c r="CV318" s="319" t="s">
        <v>190</v>
      </c>
      <c r="CW318" s="319" t="s">
        <v>190</v>
      </c>
      <c r="CX318" s="319" t="s">
        <v>190</v>
      </c>
      <c r="CY318" s="319" t="s">
        <v>190</v>
      </c>
      <c r="CZ318" s="319" t="s">
        <v>190</v>
      </c>
      <c r="DA318" s="319" t="s">
        <v>190</v>
      </c>
      <c r="DB318" s="319" t="s">
        <v>190</v>
      </c>
      <c r="DC318" s="319" t="s">
        <v>190</v>
      </c>
      <c r="DD318" s="319" t="s">
        <v>190</v>
      </c>
      <c r="DE318" s="319" t="s">
        <v>190</v>
      </c>
      <c r="DF318" s="319" t="s">
        <v>190</v>
      </c>
      <c r="DG318" s="319" t="s">
        <v>190</v>
      </c>
      <c r="DH318" s="319" t="s">
        <v>190</v>
      </c>
      <c r="DI318" s="319" t="s">
        <v>190</v>
      </c>
      <c r="DJ318" s="319" t="s">
        <v>190</v>
      </c>
      <c r="DK318" s="319" t="s">
        <v>190</v>
      </c>
      <c r="DL318" s="319" t="s">
        <v>190</v>
      </c>
      <c r="DM318" s="319" t="s">
        <v>190</v>
      </c>
      <c r="DN318" s="319" t="s">
        <v>428</v>
      </c>
      <c r="DO318" s="319" t="s">
        <v>190</v>
      </c>
      <c r="DP318" s="319" t="s">
        <v>190</v>
      </c>
      <c r="DQ318" s="319" t="s">
        <v>428</v>
      </c>
      <c r="DR318" s="319" t="s">
        <v>428</v>
      </c>
      <c r="DS318" s="319" t="s">
        <v>428</v>
      </c>
      <c r="DT318" s="319" t="s">
        <v>428</v>
      </c>
      <c r="DU318" s="319" t="s">
        <v>428</v>
      </c>
      <c r="DV318" s="319" t="s">
        <v>173</v>
      </c>
      <c r="DW318" s="319" t="s">
        <v>428</v>
      </c>
      <c r="DX318" s="319" t="s">
        <v>428</v>
      </c>
      <c r="DY318" s="319" t="s">
        <v>428</v>
      </c>
      <c r="DZ318" s="319" t="s">
        <v>428</v>
      </c>
      <c r="EA318" s="319" t="s">
        <v>428</v>
      </c>
      <c r="EB318" s="319" t="s">
        <v>428</v>
      </c>
      <c r="EC318" s="319" t="s">
        <v>428</v>
      </c>
      <c r="ED318" s="319" t="s">
        <v>428</v>
      </c>
      <c r="EE318" s="319" t="s">
        <v>190</v>
      </c>
      <c r="EF318" s="319" t="s">
        <v>190</v>
      </c>
      <c r="EG318" s="319" t="s">
        <v>190</v>
      </c>
      <c r="EH318" s="319" t="s">
        <v>190</v>
      </c>
      <c r="EI318" s="319" t="s">
        <v>190</v>
      </c>
      <c r="EJ318" s="319" t="s">
        <v>190</v>
      </c>
      <c r="EK318" s="319" t="s">
        <v>190</v>
      </c>
      <c r="EL318" s="319" t="s">
        <v>190</v>
      </c>
      <c r="EM318" s="319" t="s">
        <v>190</v>
      </c>
      <c r="EN318" s="319" t="s">
        <v>190</v>
      </c>
      <c r="EO318" s="319" t="s">
        <v>190</v>
      </c>
      <c r="EP318" s="319" t="s">
        <v>190</v>
      </c>
      <c r="EQ318" s="319" t="s">
        <v>190</v>
      </c>
      <c r="ER318" s="319" t="s">
        <v>190</v>
      </c>
      <c r="ES318" s="319" t="s">
        <v>190</v>
      </c>
      <c r="ET318" s="319" t="s">
        <v>190</v>
      </c>
      <c r="EU318" s="319" t="s">
        <v>190</v>
      </c>
      <c r="EV318" s="319" t="s">
        <v>190</v>
      </c>
      <c r="EW318" s="319" t="s">
        <v>190</v>
      </c>
      <c r="EX318" s="319" t="s">
        <v>190</v>
      </c>
      <c r="EY318" s="319" t="s">
        <v>190</v>
      </c>
      <c r="EZ318" s="319" t="s">
        <v>190</v>
      </c>
      <c r="FA318" s="319" t="s">
        <v>190</v>
      </c>
      <c r="FB318" s="319" t="s">
        <v>190</v>
      </c>
      <c r="FC318" s="319" t="s">
        <v>190</v>
      </c>
      <c r="FD318" s="319" t="s">
        <v>190</v>
      </c>
      <c r="FE318" s="319" t="s">
        <v>190</v>
      </c>
      <c r="FF318" s="319" t="s">
        <v>190</v>
      </c>
      <c r="FG318" s="319" t="s">
        <v>190</v>
      </c>
      <c r="FH318" s="319" t="s">
        <v>190</v>
      </c>
      <c r="FI318" s="319" t="s">
        <v>190</v>
      </c>
      <c r="FJ318" s="319" t="s">
        <v>190</v>
      </c>
      <c r="FK318" s="319" t="s">
        <v>190</v>
      </c>
      <c r="FL318" s="319" t="s">
        <v>190</v>
      </c>
      <c r="FM318" s="319" t="s">
        <v>190</v>
      </c>
      <c r="FN318" s="319" t="s">
        <v>190</v>
      </c>
      <c r="FO318" s="319" t="s">
        <v>190</v>
      </c>
      <c r="FP318" s="319" t="s">
        <v>190</v>
      </c>
      <c r="FQ318" s="319" t="s">
        <v>190</v>
      </c>
      <c r="FR318" s="319" t="s">
        <v>190</v>
      </c>
      <c r="FS318" s="319" t="s">
        <v>190</v>
      </c>
      <c r="FT318" s="319" t="s">
        <v>190</v>
      </c>
      <c r="FU318" s="319" t="s">
        <v>190</v>
      </c>
      <c r="FV318" s="319" t="s">
        <v>190</v>
      </c>
      <c r="FW318" s="319" t="s">
        <v>190</v>
      </c>
      <c r="FX318" s="319" t="s">
        <v>190</v>
      </c>
      <c r="FY318" s="319" t="s">
        <v>190</v>
      </c>
      <c r="FZ318" s="319" t="s">
        <v>190</v>
      </c>
      <c r="GA318" s="319" t="s">
        <v>190</v>
      </c>
      <c r="GB318" s="319" t="s">
        <v>190</v>
      </c>
      <c r="GC318" s="319" t="s">
        <v>190</v>
      </c>
      <c r="GD318" s="319" t="s">
        <v>190</v>
      </c>
      <c r="GE318" s="319" t="s">
        <v>190</v>
      </c>
      <c r="GF318" s="319" t="s">
        <v>190</v>
      </c>
      <c r="GG318" s="319" t="s">
        <v>190</v>
      </c>
      <c r="GH318" s="319" t="s">
        <v>190</v>
      </c>
      <c r="GI318" s="319" t="s">
        <v>190</v>
      </c>
      <c r="GJ318" s="319" t="s">
        <v>190</v>
      </c>
      <c r="GK318" s="319" t="s">
        <v>190</v>
      </c>
      <c r="GL318" s="319" t="s">
        <v>190</v>
      </c>
      <c r="GM318" s="319" t="s">
        <v>190</v>
      </c>
      <c r="GN318" s="319" t="s">
        <v>190</v>
      </c>
      <c r="GO318" s="319" t="s">
        <v>190</v>
      </c>
      <c r="GP318" s="319" t="s">
        <v>190</v>
      </c>
      <c r="GQ318" s="319" t="s">
        <v>428</v>
      </c>
      <c r="GR318" s="319" t="s">
        <v>190</v>
      </c>
      <c r="GS318" s="319" t="s">
        <v>190</v>
      </c>
      <c r="GT318" s="319" t="s">
        <v>190</v>
      </c>
      <c r="GU318" s="319" t="s">
        <v>190</v>
      </c>
      <c r="GV318" s="319" t="s">
        <v>190</v>
      </c>
      <c r="GW318" s="319" t="s">
        <v>190</v>
      </c>
      <c r="GX318" s="319" t="s">
        <v>190</v>
      </c>
      <c r="GY318" s="319" t="s">
        <v>190</v>
      </c>
      <c r="GZ318" s="319" t="s">
        <v>190</v>
      </c>
      <c r="HA318" s="319" t="s">
        <v>190</v>
      </c>
      <c r="HB318" s="319" t="s">
        <v>190</v>
      </c>
      <c r="HC318" s="319" t="s">
        <v>190</v>
      </c>
      <c r="HD318" s="319" t="s">
        <v>190</v>
      </c>
      <c r="HE318" s="319" t="s">
        <v>190</v>
      </c>
      <c r="HF318" s="319" t="s">
        <v>190</v>
      </c>
      <c r="HG318" s="319" t="s">
        <v>190</v>
      </c>
      <c r="HH318" s="319" t="s">
        <v>190</v>
      </c>
      <c r="HI318" s="319" t="s">
        <v>190</v>
      </c>
      <c r="HJ318" s="319" t="s">
        <v>190</v>
      </c>
      <c r="HK318" s="319" t="s">
        <v>190</v>
      </c>
      <c r="HL318" s="319" t="s">
        <v>190</v>
      </c>
      <c r="HM318" s="319" t="s">
        <v>190</v>
      </c>
      <c r="HN318" s="319" t="s">
        <v>190</v>
      </c>
      <c r="HO318" s="319" t="s">
        <v>190</v>
      </c>
      <c r="HP318" s="319" t="s">
        <v>190</v>
      </c>
      <c r="HQ318" s="319" t="s">
        <v>190</v>
      </c>
      <c r="HR318" s="319" t="s">
        <v>190</v>
      </c>
      <c r="HS318" s="319" t="s">
        <v>190</v>
      </c>
      <c r="HT318" s="319" t="s">
        <v>190</v>
      </c>
      <c r="HU318" s="319" t="s">
        <v>190</v>
      </c>
      <c r="HV318" s="319" t="s">
        <v>190</v>
      </c>
      <c r="HW318" s="319" t="s">
        <v>190</v>
      </c>
      <c r="HX318" s="319" t="s">
        <v>190</v>
      </c>
      <c r="HY318" s="319" t="s">
        <v>190</v>
      </c>
      <c r="HZ318" s="319" t="s">
        <v>190</v>
      </c>
      <c r="IA318" s="319" t="s">
        <v>190</v>
      </c>
      <c r="IB318" s="319" t="s">
        <v>190</v>
      </c>
      <c r="IC318" s="319" t="s">
        <v>190</v>
      </c>
      <c r="ID318" s="319" t="s">
        <v>190</v>
      </c>
      <c r="IE318" s="319" t="s">
        <v>190</v>
      </c>
      <c r="IF318" s="319" t="s">
        <v>191</v>
      </c>
      <c r="IG318" s="319" t="s">
        <v>191</v>
      </c>
      <c r="IH318" s="319" t="s">
        <v>191</v>
      </c>
      <c r="II318" s="319" t="s">
        <v>190</v>
      </c>
      <c r="IJ318" s="319" t="s">
        <v>3105</v>
      </c>
      <c r="IK318" s="321">
        <v>41815</v>
      </c>
      <c r="IL318" s="321">
        <v>41817</v>
      </c>
      <c r="IM318" s="321">
        <v>41937</v>
      </c>
      <c r="IN318" s="319">
        <v>4</v>
      </c>
      <c r="IO318" s="319">
        <v>10115608</v>
      </c>
      <c r="IP318" s="319" t="s">
        <v>985</v>
      </c>
      <c r="IQ318" s="321">
        <v>43719</v>
      </c>
      <c r="IR318" s="320" t="s">
        <v>2771</v>
      </c>
      <c r="IS318" s="322">
        <v>43772</v>
      </c>
      <c r="IT318" s="319" t="s">
        <v>165</v>
      </c>
    </row>
    <row r="319" spans="1:254" s="271" customFormat="1" x14ac:dyDescent="0.25">
      <c r="A319" s="318" t="str">
        <f>HYPERLINK("http://www.ofsted.gov.uk/inspection-reports/find-inspection-report/provider/ELS/131351 ","Ofsted School Webpage")</f>
        <v>Ofsted School Webpage</v>
      </c>
      <c r="B319" s="319">
        <v>131351</v>
      </c>
      <c r="C319" s="319">
        <v>3146070</v>
      </c>
      <c r="D319" s="319" t="s">
        <v>1645</v>
      </c>
      <c r="E319" s="319" t="s">
        <v>167</v>
      </c>
      <c r="F319" s="319" t="s">
        <v>81</v>
      </c>
      <c r="G319" s="319" t="s">
        <v>81</v>
      </c>
      <c r="H319" s="319" t="s">
        <v>81</v>
      </c>
      <c r="I319" s="319" t="s">
        <v>78</v>
      </c>
      <c r="J319" s="319" t="s">
        <v>424</v>
      </c>
      <c r="K319" s="319" t="s">
        <v>441</v>
      </c>
      <c r="L319" s="319" t="s">
        <v>441</v>
      </c>
      <c r="M319" s="319" t="s">
        <v>1646</v>
      </c>
      <c r="N319" s="319" t="s">
        <v>2850</v>
      </c>
      <c r="O319" s="319" t="s">
        <v>1647</v>
      </c>
      <c r="P319" s="319">
        <v>45</v>
      </c>
      <c r="Q319" s="319" t="s">
        <v>2766</v>
      </c>
      <c r="R319" s="320">
        <v>10012830</v>
      </c>
      <c r="S319" s="321">
        <v>43025</v>
      </c>
      <c r="T319" s="321">
        <v>43027</v>
      </c>
      <c r="U319" s="321">
        <v>43054</v>
      </c>
      <c r="V319" s="319" t="s">
        <v>425</v>
      </c>
      <c r="W319" s="319" t="s">
        <v>2767</v>
      </c>
      <c r="X319" s="319">
        <v>2</v>
      </c>
      <c r="Y319" s="319" t="s">
        <v>173</v>
      </c>
      <c r="Z319" s="319" t="s">
        <v>173</v>
      </c>
      <c r="AA319" s="319" t="s">
        <v>173</v>
      </c>
      <c r="AB319" s="319">
        <v>2</v>
      </c>
      <c r="AC319" s="319" t="s">
        <v>169</v>
      </c>
      <c r="AD319" s="319">
        <v>2</v>
      </c>
      <c r="AE319" s="319" t="s">
        <v>173</v>
      </c>
      <c r="AF319" s="319" t="s">
        <v>173</v>
      </c>
      <c r="AG319" s="319" t="s">
        <v>171</v>
      </c>
      <c r="AH319" s="319" t="s">
        <v>190</v>
      </c>
      <c r="AI319" s="319" t="s">
        <v>190</v>
      </c>
      <c r="AJ319" s="319" t="s">
        <v>190</v>
      </c>
      <c r="AK319" s="319" t="s">
        <v>190</v>
      </c>
      <c r="AL319" s="319" t="s">
        <v>190</v>
      </c>
      <c r="AM319" s="319" t="s">
        <v>190</v>
      </c>
      <c r="AN319" s="319" t="s">
        <v>190</v>
      </c>
      <c r="AO319" s="319" t="s">
        <v>190</v>
      </c>
      <c r="AP319" s="319" t="s">
        <v>190</v>
      </c>
      <c r="AQ319" s="319" t="s">
        <v>190</v>
      </c>
      <c r="AR319" s="319" t="s">
        <v>190</v>
      </c>
      <c r="AS319" s="319" t="s">
        <v>190</v>
      </c>
      <c r="AT319" s="319" t="s">
        <v>190</v>
      </c>
      <c r="AU319" s="319" t="s">
        <v>190</v>
      </c>
      <c r="AV319" s="319" t="s">
        <v>190</v>
      </c>
      <c r="AW319" s="319" t="s">
        <v>190</v>
      </c>
      <c r="AX319" s="319" t="s">
        <v>429</v>
      </c>
      <c r="AY319" s="319" t="s">
        <v>190</v>
      </c>
      <c r="AZ319" s="319" t="s">
        <v>190</v>
      </c>
      <c r="BA319" s="319" t="s">
        <v>190</v>
      </c>
      <c r="BB319" s="319" t="s">
        <v>429</v>
      </c>
      <c r="BC319" s="319" t="s">
        <v>429</v>
      </c>
      <c r="BD319" s="319" t="s">
        <v>429</v>
      </c>
      <c r="BE319" s="319" t="s">
        <v>429</v>
      </c>
      <c r="BF319" s="319" t="s">
        <v>190</v>
      </c>
      <c r="BG319" s="319" t="s">
        <v>429</v>
      </c>
      <c r="BH319" s="319" t="s">
        <v>190</v>
      </c>
      <c r="BI319" s="319" t="s">
        <v>190</v>
      </c>
      <c r="BJ319" s="319" t="s">
        <v>190</v>
      </c>
      <c r="BK319" s="319" t="s">
        <v>190</v>
      </c>
      <c r="BL319" s="319" t="s">
        <v>190</v>
      </c>
      <c r="BM319" s="319" t="s">
        <v>190</v>
      </c>
      <c r="BN319" s="319" t="s">
        <v>190</v>
      </c>
      <c r="BO319" s="319" t="s">
        <v>190</v>
      </c>
      <c r="BP319" s="319" t="s">
        <v>190</v>
      </c>
      <c r="BQ319" s="319" t="s">
        <v>190</v>
      </c>
      <c r="BR319" s="319" t="s">
        <v>190</v>
      </c>
      <c r="BS319" s="319" t="s">
        <v>190</v>
      </c>
      <c r="BT319" s="319" t="s">
        <v>190</v>
      </c>
      <c r="BU319" s="319" t="s">
        <v>190</v>
      </c>
      <c r="BV319" s="319" t="s">
        <v>190</v>
      </c>
      <c r="BW319" s="319" t="s">
        <v>190</v>
      </c>
      <c r="BX319" s="319" t="s">
        <v>190</v>
      </c>
      <c r="BY319" s="319" t="s">
        <v>190</v>
      </c>
      <c r="BZ319" s="319" t="s">
        <v>190</v>
      </c>
      <c r="CA319" s="319" t="s">
        <v>190</v>
      </c>
      <c r="CB319" s="319" t="s">
        <v>190</v>
      </c>
      <c r="CC319" s="319" t="s">
        <v>190</v>
      </c>
      <c r="CD319" s="319" t="s">
        <v>190</v>
      </c>
      <c r="CE319" s="319" t="s">
        <v>190</v>
      </c>
      <c r="CF319" s="319" t="s">
        <v>190</v>
      </c>
      <c r="CG319" s="319" t="s">
        <v>190</v>
      </c>
      <c r="CH319" s="319" t="s">
        <v>190</v>
      </c>
      <c r="CI319" s="319" t="s">
        <v>190</v>
      </c>
      <c r="CJ319" s="319" t="s">
        <v>190</v>
      </c>
      <c r="CK319" s="319" t="s">
        <v>190</v>
      </c>
      <c r="CL319" s="319" t="s">
        <v>190</v>
      </c>
      <c r="CM319" s="319" t="s">
        <v>190</v>
      </c>
      <c r="CN319" s="319" t="s">
        <v>429</v>
      </c>
      <c r="CO319" s="319" t="s">
        <v>429</v>
      </c>
      <c r="CP319" s="319" t="s">
        <v>429</v>
      </c>
      <c r="CQ319" s="319" t="s">
        <v>190</v>
      </c>
      <c r="CR319" s="319" t="s">
        <v>190</v>
      </c>
      <c r="CS319" s="319" t="s">
        <v>190</v>
      </c>
      <c r="CT319" s="319" t="s">
        <v>190</v>
      </c>
      <c r="CU319" s="319" t="s">
        <v>190</v>
      </c>
      <c r="CV319" s="319" t="s">
        <v>190</v>
      </c>
      <c r="CW319" s="319" t="s">
        <v>190</v>
      </c>
      <c r="CX319" s="319" t="s">
        <v>190</v>
      </c>
      <c r="CY319" s="319" t="s">
        <v>190</v>
      </c>
      <c r="CZ319" s="319" t="s">
        <v>190</v>
      </c>
      <c r="DA319" s="319" t="s">
        <v>190</v>
      </c>
      <c r="DB319" s="319" t="s">
        <v>190</v>
      </c>
      <c r="DC319" s="319" t="s">
        <v>190</v>
      </c>
      <c r="DD319" s="319" t="s">
        <v>190</v>
      </c>
      <c r="DE319" s="319" t="s">
        <v>190</v>
      </c>
      <c r="DF319" s="319" t="s">
        <v>190</v>
      </c>
      <c r="DG319" s="319" t="s">
        <v>190</v>
      </c>
      <c r="DH319" s="319" t="s">
        <v>190</v>
      </c>
      <c r="DI319" s="319" t="s">
        <v>190</v>
      </c>
      <c r="DJ319" s="319" t="s">
        <v>190</v>
      </c>
      <c r="DK319" s="319" t="s">
        <v>190</v>
      </c>
      <c r="DL319" s="319" t="s">
        <v>190</v>
      </c>
      <c r="DM319" s="319" t="s">
        <v>190</v>
      </c>
      <c r="DN319" s="319" t="s">
        <v>429</v>
      </c>
      <c r="DO319" s="319" t="s">
        <v>190</v>
      </c>
      <c r="DP319" s="319" t="s">
        <v>429</v>
      </c>
      <c r="DQ319" s="319" t="s">
        <v>429</v>
      </c>
      <c r="DR319" s="319" t="s">
        <v>429</v>
      </c>
      <c r="DS319" s="319" t="s">
        <v>429</v>
      </c>
      <c r="DT319" s="319" t="s">
        <v>429</v>
      </c>
      <c r="DU319" s="319" t="s">
        <v>429</v>
      </c>
      <c r="DV319" s="319" t="s">
        <v>173</v>
      </c>
      <c r="DW319" s="319" t="s">
        <v>429</v>
      </c>
      <c r="DX319" s="319" t="s">
        <v>429</v>
      </c>
      <c r="DY319" s="319" t="s">
        <v>429</v>
      </c>
      <c r="DZ319" s="319" t="s">
        <v>429</v>
      </c>
      <c r="EA319" s="319" t="s">
        <v>429</v>
      </c>
      <c r="EB319" s="319" t="s">
        <v>429</v>
      </c>
      <c r="EC319" s="319" t="s">
        <v>429</v>
      </c>
      <c r="ED319" s="319" t="s">
        <v>429</v>
      </c>
      <c r="EE319" s="319" t="s">
        <v>190</v>
      </c>
      <c r="EF319" s="319" t="s">
        <v>190</v>
      </c>
      <c r="EG319" s="319" t="s">
        <v>190</v>
      </c>
      <c r="EH319" s="319" t="s">
        <v>190</v>
      </c>
      <c r="EI319" s="319" t="s">
        <v>190</v>
      </c>
      <c r="EJ319" s="319" t="s">
        <v>190</v>
      </c>
      <c r="EK319" s="319" t="s">
        <v>190</v>
      </c>
      <c r="EL319" s="319" t="s">
        <v>190</v>
      </c>
      <c r="EM319" s="319" t="s">
        <v>190</v>
      </c>
      <c r="EN319" s="319" t="s">
        <v>190</v>
      </c>
      <c r="EO319" s="319" t="s">
        <v>190</v>
      </c>
      <c r="EP319" s="319" t="s">
        <v>190</v>
      </c>
      <c r="EQ319" s="319" t="s">
        <v>190</v>
      </c>
      <c r="ER319" s="319" t="s">
        <v>190</v>
      </c>
      <c r="ES319" s="319" t="s">
        <v>190</v>
      </c>
      <c r="ET319" s="319" t="s">
        <v>190</v>
      </c>
      <c r="EU319" s="319" t="s">
        <v>190</v>
      </c>
      <c r="EV319" s="319" t="s">
        <v>190</v>
      </c>
      <c r="EW319" s="319" t="s">
        <v>190</v>
      </c>
      <c r="EX319" s="319" t="s">
        <v>190</v>
      </c>
      <c r="EY319" s="319" t="s">
        <v>190</v>
      </c>
      <c r="EZ319" s="319" t="s">
        <v>190</v>
      </c>
      <c r="FA319" s="319" t="s">
        <v>190</v>
      </c>
      <c r="FB319" s="319" t="s">
        <v>429</v>
      </c>
      <c r="FC319" s="319" t="s">
        <v>429</v>
      </c>
      <c r="FD319" s="319" t="s">
        <v>429</v>
      </c>
      <c r="FE319" s="319" t="s">
        <v>429</v>
      </c>
      <c r="FF319" s="319" t="s">
        <v>429</v>
      </c>
      <c r="FG319" s="319" t="s">
        <v>429</v>
      </c>
      <c r="FH319" s="319" t="s">
        <v>190</v>
      </c>
      <c r="FI319" s="319" t="s">
        <v>190</v>
      </c>
      <c r="FJ319" s="319" t="s">
        <v>190</v>
      </c>
      <c r="FK319" s="319" t="s">
        <v>190</v>
      </c>
      <c r="FL319" s="319" t="s">
        <v>190</v>
      </c>
      <c r="FM319" s="319" t="s">
        <v>190</v>
      </c>
      <c r="FN319" s="319" t="s">
        <v>190</v>
      </c>
      <c r="FO319" s="319" t="s">
        <v>190</v>
      </c>
      <c r="FP319" s="319" t="s">
        <v>190</v>
      </c>
      <c r="FQ319" s="319" t="s">
        <v>190</v>
      </c>
      <c r="FR319" s="319" t="s">
        <v>190</v>
      </c>
      <c r="FS319" s="319" t="s">
        <v>429</v>
      </c>
      <c r="FT319" s="319" t="s">
        <v>190</v>
      </c>
      <c r="FU319" s="319" t="s">
        <v>190</v>
      </c>
      <c r="FV319" s="319" t="s">
        <v>190</v>
      </c>
      <c r="FW319" s="319" t="s">
        <v>190</v>
      </c>
      <c r="FX319" s="319" t="s">
        <v>190</v>
      </c>
      <c r="FY319" s="319" t="s">
        <v>190</v>
      </c>
      <c r="FZ319" s="319" t="s">
        <v>190</v>
      </c>
      <c r="GA319" s="319" t="s">
        <v>190</v>
      </c>
      <c r="GB319" s="319" t="s">
        <v>190</v>
      </c>
      <c r="GC319" s="319" t="s">
        <v>190</v>
      </c>
      <c r="GD319" s="319" t="s">
        <v>190</v>
      </c>
      <c r="GE319" s="319" t="s">
        <v>190</v>
      </c>
      <c r="GF319" s="319" t="s">
        <v>190</v>
      </c>
      <c r="GG319" s="319" t="s">
        <v>190</v>
      </c>
      <c r="GH319" s="319" t="s">
        <v>190</v>
      </c>
      <c r="GI319" s="319" t="s">
        <v>190</v>
      </c>
      <c r="GJ319" s="319" t="s">
        <v>190</v>
      </c>
      <c r="GK319" s="319" t="s">
        <v>429</v>
      </c>
      <c r="GL319" s="319" t="s">
        <v>190</v>
      </c>
      <c r="GM319" s="319" t="s">
        <v>190</v>
      </c>
      <c r="GN319" s="319" t="s">
        <v>190</v>
      </c>
      <c r="GO319" s="319" t="s">
        <v>190</v>
      </c>
      <c r="GP319" s="319" t="s">
        <v>190</v>
      </c>
      <c r="GQ319" s="319" t="s">
        <v>190</v>
      </c>
      <c r="GR319" s="319" t="s">
        <v>190</v>
      </c>
      <c r="GS319" s="319" t="s">
        <v>190</v>
      </c>
      <c r="GT319" s="319" t="s">
        <v>429</v>
      </c>
      <c r="GU319" s="319" t="s">
        <v>429</v>
      </c>
      <c r="GV319" s="319" t="s">
        <v>190</v>
      </c>
      <c r="GW319" s="319" t="s">
        <v>190</v>
      </c>
      <c r="GX319" s="319" t="s">
        <v>190</v>
      </c>
      <c r="GY319" s="319" t="s">
        <v>190</v>
      </c>
      <c r="GZ319" s="319" t="s">
        <v>190</v>
      </c>
      <c r="HA319" s="319" t="s">
        <v>190</v>
      </c>
      <c r="HB319" s="319" t="s">
        <v>190</v>
      </c>
      <c r="HC319" s="319" t="s">
        <v>190</v>
      </c>
      <c r="HD319" s="319" t="s">
        <v>190</v>
      </c>
      <c r="HE319" s="319" t="s">
        <v>190</v>
      </c>
      <c r="HF319" s="319" t="s">
        <v>190</v>
      </c>
      <c r="HG319" s="319" t="s">
        <v>190</v>
      </c>
      <c r="HH319" s="319" t="s">
        <v>190</v>
      </c>
      <c r="HI319" s="319" t="s">
        <v>190</v>
      </c>
      <c r="HJ319" s="319" t="s">
        <v>190</v>
      </c>
      <c r="HK319" s="319" t="s">
        <v>190</v>
      </c>
      <c r="HL319" s="319" t="s">
        <v>190</v>
      </c>
      <c r="HM319" s="319" t="s">
        <v>190</v>
      </c>
      <c r="HN319" s="319" t="s">
        <v>190</v>
      </c>
      <c r="HO319" s="319" t="s">
        <v>190</v>
      </c>
      <c r="HP319" s="319" t="s">
        <v>190</v>
      </c>
      <c r="HQ319" s="319" t="s">
        <v>190</v>
      </c>
      <c r="HR319" s="319" t="s">
        <v>190</v>
      </c>
      <c r="HS319" s="319" t="s">
        <v>190</v>
      </c>
      <c r="HT319" s="319" t="s">
        <v>190</v>
      </c>
      <c r="HU319" s="319" t="s">
        <v>190</v>
      </c>
      <c r="HV319" s="319" t="s">
        <v>190</v>
      </c>
      <c r="HW319" s="319" t="s">
        <v>190</v>
      </c>
      <c r="HX319" s="319" t="s">
        <v>190</v>
      </c>
      <c r="HY319" s="319" t="s">
        <v>190</v>
      </c>
      <c r="HZ319" s="319" t="s">
        <v>190</v>
      </c>
      <c r="IA319" s="319" t="s">
        <v>190</v>
      </c>
      <c r="IB319" s="319" t="s">
        <v>190</v>
      </c>
      <c r="IC319" s="319" t="s">
        <v>190</v>
      </c>
      <c r="ID319" s="319" t="s">
        <v>190</v>
      </c>
      <c r="IE319" s="319" t="s">
        <v>190</v>
      </c>
      <c r="IF319" s="319" t="s">
        <v>190</v>
      </c>
      <c r="IG319" s="319" t="s">
        <v>190</v>
      </c>
      <c r="IH319" s="319" t="s">
        <v>190</v>
      </c>
      <c r="II319" s="319" t="s">
        <v>190</v>
      </c>
      <c r="IJ319" s="319" t="s">
        <v>3106</v>
      </c>
      <c r="IK319" s="321">
        <v>41443</v>
      </c>
      <c r="IL319" s="321">
        <v>41445</v>
      </c>
      <c r="IM319" s="321">
        <v>41465</v>
      </c>
      <c r="IN319" s="319">
        <v>2</v>
      </c>
      <c r="IO319" s="319" t="s">
        <v>173</v>
      </c>
      <c r="IP319" s="319" t="s">
        <v>173</v>
      </c>
      <c r="IQ319" s="319" t="s">
        <v>173</v>
      </c>
      <c r="IR319" s="320" t="s">
        <v>173</v>
      </c>
      <c r="IS319" s="320" t="s">
        <v>173</v>
      </c>
      <c r="IT319" s="319" t="s">
        <v>173</v>
      </c>
    </row>
    <row r="320" spans="1:254" s="271" customFormat="1" x14ac:dyDescent="0.25">
      <c r="A320" s="318" t="str">
        <f>HYPERLINK("http://www.ofsted.gov.uk/inspection-reports/find-inspection-report/provider/ELS/131353 ","Ofsted School Webpage")</f>
        <v>Ofsted School Webpage</v>
      </c>
      <c r="B320" s="319">
        <v>131353</v>
      </c>
      <c r="C320" s="319">
        <v>8846011</v>
      </c>
      <c r="D320" s="319" t="s">
        <v>908</v>
      </c>
      <c r="E320" s="319" t="s">
        <v>168</v>
      </c>
      <c r="F320" s="319" t="s">
        <v>81</v>
      </c>
      <c r="G320" s="319" t="s">
        <v>81</v>
      </c>
      <c r="H320" s="319" t="s">
        <v>81</v>
      </c>
      <c r="I320" s="319" t="s">
        <v>78</v>
      </c>
      <c r="J320" s="319" t="s">
        <v>424</v>
      </c>
      <c r="K320" s="319" t="s">
        <v>437</v>
      </c>
      <c r="L320" s="319" t="s">
        <v>437</v>
      </c>
      <c r="M320" s="319" t="s">
        <v>1100</v>
      </c>
      <c r="N320" s="319" t="s">
        <v>2965</v>
      </c>
      <c r="O320" s="319" t="s">
        <v>1648</v>
      </c>
      <c r="P320" s="319">
        <v>39</v>
      </c>
      <c r="Q320" s="319" t="s">
        <v>2776</v>
      </c>
      <c r="R320" s="320">
        <v>10047130</v>
      </c>
      <c r="S320" s="321">
        <v>43263</v>
      </c>
      <c r="T320" s="321">
        <v>43265</v>
      </c>
      <c r="U320" s="321">
        <v>43350</v>
      </c>
      <c r="V320" s="319" t="s">
        <v>425</v>
      </c>
      <c r="W320" s="319" t="s">
        <v>2767</v>
      </c>
      <c r="X320" s="319">
        <v>2</v>
      </c>
      <c r="Y320" s="319" t="s">
        <v>173</v>
      </c>
      <c r="Z320" s="319" t="s">
        <v>173</v>
      </c>
      <c r="AA320" s="319" t="s">
        <v>173</v>
      </c>
      <c r="AB320" s="319">
        <v>2</v>
      </c>
      <c r="AC320" s="319" t="s">
        <v>169</v>
      </c>
      <c r="AD320" s="319" t="s">
        <v>173</v>
      </c>
      <c r="AE320" s="319">
        <v>2</v>
      </c>
      <c r="AF320" s="319" t="s">
        <v>427</v>
      </c>
      <c r="AG320" s="319" t="s">
        <v>171</v>
      </c>
      <c r="AH320" s="319" t="s">
        <v>190</v>
      </c>
      <c r="AI320" s="319" t="s">
        <v>190</v>
      </c>
      <c r="AJ320" s="319" t="s">
        <v>190</v>
      </c>
      <c r="AK320" s="319" t="s">
        <v>190</v>
      </c>
      <c r="AL320" s="319" t="s">
        <v>190</v>
      </c>
      <c r="AM320" s="319" t="s">
        <v>190</v>
      </c>
      <c r="AN320" s="319" t="s">
        <v>190</v>
      </c>
      <c r="AO320" s="319" t="s">
        <v>190</v>
      </c>
      <c r="AP320" s="319" t="s">
        <v>190</v>
      </c>
      <c r="AQ320" s="319" t="s">
        <v>190</v>
      </c>
      <c r="AR320" s="319" t="s">
        <v>190</v>
      </c>
      <c r="AS320" s="319" t="s">
        <v>190</v>
      </c>
      <c r="AT320" s="319" t="s">
        <v>190</v>
      </c>
      <c r="AU320" s="319" t="s">
        <v>190</v>
      </c>
      <c r="AV320" s="319" t="s">
        <v>190</v>
      </c>
      <c r="AW320" s="319" t="s">
        <v>190</v>
      </c>
      <c r="AX320" s="319" t="s">
        <v>428</v>
      </c>
      <c r="AY320" s="319" t="s">
        <v>190</v>
      </c>
      <c r="AZ320" s="319" t="s">
        <v>190</v>
      </c>
      <c r="BA320" s="319" t="s">
        <v>190</v>
      </c>
      <c r="BB320" s="319" t="s">
        <v>190</v>
      </c>
      <c r="BC320" s="319" t="s">
        <v>190</v>
      </c>
      <c r="BD320" s="319" t="s">
        <v>190</v>
      </c>
      <c r="BE320" s="319" t="s">
        <v>190</v>
      </c>
      <c r="BF320" s="319" t="s">
        <v>428</v>
      </c>
      <c r="BG320" s="319" t="s">
        <v>190</v>
      </c>
      <c r="BH320" s="319" t="s">
        <v>190</v>
      </c>
      <c r="BI320" s="319" t="s">
        <v>190</v>
      </c>
      <c r="BJ320" s="319" t="s">
        <v>190</v>
      </c>
      <c r="BK320" s="319" t="s">
        <v>190</v>
      </c>
      <c r="BL320" s="319" t="s">
        <v>190</v>
      </c>
      <c r="BM320" s="319" t="s">
        <v>190</v>
      </c>
      <c r="BN320" s="319" t="s">
        <v>190</v>
      </c>
      <c r="BO320" s="319" t="s">
        <v>190</v>
      </c>
      <c r="BP320" s="319" t="s">
        <v>190</v>
      </c>
      <c r="BQ320" s="319" t="s">
        <v>190</v>
      </c>
      <c r="BR320" s="319" t="s">
        <v>190</v>
      </c>
      <c r="BS320" s="319" t="s">
        <v>190</v>
      </c>
      <c r="BT320" s="319" t="s">
        <v>190</v>
      </c>
      <c r="BU320" s="319" t="s">
        <v>190</v>
      </c>
      <c r="BV320" s="319" t="s">
        <v>190</v>
      </c>
      <c r="BW320" s="319" t="s">
        <v>190</v>
      </c>
      <c r="BX320" s="319" t="s">
        <v>190</v>
      </c>
      <c r="BY320" s="319" t="s">
        <v>190</v>
      </c>
      <c r="BZ320" s="319" t="s">
        <v>190</v>
      </c>
      <c r="CA320" s="319" t="s">
        <v>190</v>
      </c>
      <c r="CB320" s="319" t="s">
        <v>190</v>
      </c>
      <c r="CC320" s="319" t="s">
        <v>190</v>
      </c>
      <c r="CD320" s="319" t="s">
        <v>190</v>
      </c>
      <c r="CE320" s="319" t="s">
        <v>190</v>
      </c>
      <c r="CF320" s="319" t="s">
        <v>190</v>
      </c>
      <c r="CG320" s="319" t="s">
        <v>190</v>
      </c>
      <c r="CH320" s="319" t="s">
        <v>190</v>
      </c>
      <c r="CI320" s="319" t="s">
        <v>190</v>
      </c>
      <c r="CJ320" s="319" t="s">
        <v>190</v>
      </c>
      <c r="CK320" s="319" t="s">
        <v>190</v>
      </c>
      <c r="CL320" s="319" t="s">
        <v>190</v>
      </c>
      <c r="CM320" s="319" t="s">
        <v>190</v>
      </c>
      <c r="CN320" s="319" t="s">
        <v>428</v>
      </c>
      <c r="CO320" s="319" t="s">
        <v>428</v>
      </c>
      <c r="CP320" s="319" t="s">
        <v>428</v>
      </c>
      <c r="CQ320" s="319" t="s">
        <v>190</v>
      </c>
      <c r="CR320" s="319" t="s">
        <v>190</v>
      </c>
      <c r="CS320" s="319" t="s">
        <v>190</v>
      </c>
      <c r="CT320" s="319" t="s">
        <v>190</v>
      </c>
      <c r="CU320" s="319" t="s">
        <v>190</v>
      </c>
      <c r="CV320" s="319" t="s">
        <v>190</v>
      </c>
      <c r="CW320" s="319" t="s">
        <v>190</v>
      </c>
      <c r="CX320" s="319" t="s">
        <v>190</v>
      </c>
      <c r="CY320" s="319" t="s">
        <v>190</v>
      </c>
      <c r="CZ320" s="319" t="s">
        <v>190</v>
      </c>
      <c r="DA320" s="319" t="s">
        <v>190</v>
      </c>
      <c r="DB320" s="319" t="s">
        <v>190</v>
      </c>
      <c r="DC320" s="319" t="s">
        <v>190</v>
      </c>
      <c r="DD320" s="319" t="s">
        <v>190</v>
      </c>
      <c r="DE320" s="319" t="s">
        <v>190</v>
      </c>
      <c r="DF320" s="319" t="s">
        <v>190</v>
      </c>
      <c r="DG320" s="319" t="s">
        <v>190</v>
      </c>
      <c r="DH320" s="319" t="s">
        <v>190</v>
      </c>
      <c r="DI320" s="319" t="s">
        <v>190</v>
      </c>
      <c r="DJ320" s="319" t="s">
        <v>190</v>
      </c>
      <c r="DK320" s="319" t="s">
        <v>190</v>
      </c>
      <c r="DL320" s="319" t="s">
        <v>190</v>
      </c>
      <c r="DM320" s="319" t="s">
        <v>190</v>
      </c>
      <c r="DN320" s="319" t="s">
        <v>428</v>
      </c>
      <c r="DO320" s="319" t="s">
        <v>190</v>
      </c>
      <c r="DP320" s="319" t="s">
        <v>428</v>
      </c>
      <c r="DQ320" s="319" t="s">
        <v>428</v>
      </c>
      <c r="DR320" s="319" t="s">
        <v>428</v>
      </c>
      <c r="DS320" s="319" t="s">
        <v>428</v>
      </c>
      <c r="DT320" s="319" t="s">
        <v>428</v>
      </c>
      <c r="DU320" s="319" t="s">
        <v>428</v>
      </c>
      <c r="DV320" s="319" t="s">
        <v>173</v>
      </c>
      <c r="DW320" s="319" t="s">
        <v>428</v>
      </c>
      <c r="DX320" s="319" t="s">
        <v>428</v>
      </c>
      <c r="DY320" s="319" t="s">
        <v>428</v>
      </c>
      <c r="DZ320" s="319" t="s">
        <v>428</v>
      </c>
      <c r="EA320" s="319" t="s">
        <v>428</v>
      </c>
      <c r="EB320" s="319" t="s">
        <v>428</v>
      </c>
      <c r="EC320" s="319" t="s">
        <v>428</v>
      </c>
      <c r="ED320" s="319" t="s">
        <v>428</v>
      </c>
      <c r="EE320" s="319" t="s">
        <v>190</v>
      </c>
      <c r="EF320" s="319" t="s">
        <v>190</v>
      </c>
      <c r="EG320" s="319" t="s">
        <v>190</v>
      </c>
      <c r="EH320" s="319" t="s">
        <v>190</v>
      </c>
      <c r="EI320" s="319" t="s">
        <v>190</v>
      </c>
      <c r="EJ320" s="319" t="s">
        <v>190</v>
      </c>
      <c r="EK320" s="319" t="s">
        <v>190</v>
      </c>
      <c r="EL320" s="319" t="s">
        <v>190</v>
      </c>
      <c r="EM320" s="319" t="s">
        <v>190</v>
      </c>
      <c r="EN320" s="319" t="s">
        <v>190</v>
      </c>
      <c r="EO320" s="319" t="s">
        <v>190</v>
      </c>
      <c r="EP320" s="319" t="s">
        <v>190</v>
      </c>
      <c r="EQ320" s="319" t="s">
        <v>190</v>
      </c>
      <c r="ER320" s="319" t="s">
        <v>190</v>
      </c>
      <c r="ES320" s="319" t="s">
        <v>190</v>
      </c>
      <c r="ET320" s="319" t="s">
        <v>190</v>
      </c>
      <c r="EU320" s="319" t="s">
        <v>190</v>
      </c>
      <c r="EV320" s="319" t="s">
        <v>190</v>
      </c>
      <c r="EW320" s="319" t="s">
        <v>190</v>
      </c>
      <c r="EX320" s="319" t="s">
        <v>190</v>
      </c>
      <c r="EY320" s="319" t="s">
        <v>190</v>
      </c>
      <c r="EZ320" s="319" t="s">
        <v>190</v>
      </c>
      <c r="FA320" s="319" t="s">
        <v>190</v>
      </c>
      <c r="FB320" s="319" t="s">
        <v>428</v>
      </c>
      <c r="FC320" s="319" t="s">
        <v>428</v>
      </c>
      <c r="FD320" s="319" t="s">
        <v>428</v>
      </c>
      <c r="FE320" s="319" t="s">
        <v>428</v>
      </c>
      <c r="FF320" s="319" t="s">
        <v>428</v>
      </c>
      <c r="FG320" s="319" t="s">
        <v>428</v>
      </c>
      <c r="FH320" s="319" t="s">
        <v>190</v>
      </c>
      <c r="FI320" s="319" t="s">
        <v>190</v>
      </c>
      <c r="FJ320" s="319" t="s">
        <v>190</v>
      </c>
      <c r="FK320" s="319" t="s">
        <v>190</v>
      </c>
      <c r="FL320" s="319" t="s">
        <v>190</v>
      </c>
      <c r="FM320" s="319" t="s">
        <v>190</v>
      </c>
      <c r="FN320" s="319" t="s">
        <v>190</v>
      </c>
      <c r="FO320" s="319" t="s">
        <v>190</v>
      </c>
      <c r="FP320" s="319" t="s">
        <v>190</v>
      </c>
      <c r="FQ320" s="319" t="s">
        <v>190</v>
      </c>
      <c r="FR320" s="319" t="s">
        <v>190</v>
      </c>
      <c r="FS320" s="319" t="s">
        <v>428</v>
      </c>
      <c r="FT320" s="319" t="s">
        <v>190</v>
      </c>
      <c r="FU320" s="319" t="s">
        <v>190</v>
      </c>
      <c r="FV320" s="319" t="s">
        <v>190</v>
      </c>
      <c r="FW320" s="319" t="s">
        <v>190</v>
      </c>
      <c r="FX320" s="319" t="s">
        <v>190</v>
      </c>
      <c r="FY320" s="319" t="s">
        <v>190</v>
      </c>
      <c r="FZ320" s="319" t="s">
        <v>190</v>
      </c>
      <c r="GA320" s="319" t="s">
        <v>190</v>
      </c>
      <c r="GB320" s="319" t="s">
        <v>190</v>
      </c>
      <c r="GC320" s="319" t="s">
        <v>190</v>
      </c>
      <c r="GD320" s="319" t="s">
        <v>190</v>
      </c>
      <c r="GE320" s="319" t="s">
        <v>190</v>
      </c>
      <c r="GF320" s="319" t="s">
        <v>190</v>
      </c>
      <c r="GG320" s="319" t="s">
        <v>190</v>
      </c>
      <c r="GH320" s="319" t="s">
        <v>190</v>
      </c>
      <c r="GI320" s="319" t="s">
        <v>190</v>
      </c>
      <c r="GJ320" s="319" t="s">
        <v>190</v>
      </c>
      <c r="GK320" s="319" t="s">
        <v>428</v>
      </c>
      <c r="GL320" s="319" t="s">
        <v>190</v>
      </c>
      <c r="GM320" s="319" t="s">
        <v>190</v>
      </c>
      <c r="GN320" s="319" t="s">
        <v>190</v>
      </c>
      <c r="GO320" s="319" t="s">
        <v>190</v>
      </c>
      <c r="GP320" s="319" t="s">
        <v>190</v>
      </c>
      <c r="GQ320" s="319" t="s">
        <v>190</v>
      </c>
      <c r="GR320" s="319" t="s">
        <v>190</v>
      </c>
      <c r="GS320" s="319" t="s">
        <v>190</v>
      </c>
      <c r="GT320" s="319" t="s">
        <v>190</v>
      </c>
      <c r="GU320" s="319" t="s">
        <v>190</v>
      </c>
      <c r="GV320" s="319" t="s">
        <v>190</v>
      </c>
      <c r="GW320" s="319" t="s">
        <v>190</v>
      </c>
      <c r="GX320" s="319" t="s">
        <v>190</v>
      </c>
      <c r="GY320" s="319" t="s">
        <v>190</v>
      </c>
      <c r="GZ320" s="319" t="s">
        <v>428</v>
      </c>
      <c r="HA320" s="319" t="s">
        <v>190</v>
      </c>
      <c r="HB320" s="319" t="s">
        <v>190</v>
      </c>
      <c r="HC320" s="319" t="s">
        <v>190</v>
      </c>
      <c r="HD320" s="319" t="s">
        <v>190</v>
      </c>
      <c r="HE320" s="319" t="s">
        <v>190</v>
      </c>
      <c r="HF320" s="319" t="s">
        <v>190</v>
      </c>
      <c r="HG320" s="319" t="s">
        <v>190</v>
      </c>
      <c r="HH320" s="319" t="s">
        <v>190</v>
      </c>
      <c r="HI320" s="319" t="s">
        <v>190</v>
      </c>
      <c r="HJ320" s="319" t="s">
        <v>190</v>
      </c>
      <c r="HK320" s="319" t="s">
        <v>190</v>
      </c>
      <c r="HL320" s="319" t="s">
        <v>190</v>
      </c>
      <c r="HM320" s="319" t="s">
        <v>428</v>
      </c>
      <c r="HN320" s="319" t="s">
        <v>428</v>
      </c>
      <c r="HO320" s="319" t="s">
        <v>428</v>
      </c>
      <c r="HP320" s="319" t="s">
        <v>190</v>
      </c>
      <c r="HQ320" s="319" t="s">
        <v>190</v>
      </c>
      <c r="HR320" s="319" t="s">
        <v>190</v>
      </c>
      <c r="HS320" s="319" t="s">
        <v>190</v>
      </c>
      <c r="HT320" s="319" t="s">
        <v>190</v>
      </c>
      <c r="HU320" s="319" t="s">
        <v>190</v>
      </c>
      <c r="HV320" s="319" t="s">
        <v>190</v>
      </c>
      <c r="HW320" s="319" t="s">
        <v>190</v>
      </c>
      <c r="HX320" s="319" t="s">
        <v>190</v>
      </c>
      <c r="HY320" s="319" t="s">
        <v>190</v>
      </c>
      <c r="HZ320" s="319" t="s">
        <v>190</v>
      </c>
      <c r="IA320" s="319" t="s">
        <v>190</v>
      </c>
      <c r="IB320" s="319" t="s">
        <v>190</v>
      </c>
      <c r="IC320" s="319" t="s">
        <v>190</v>
      </c>
      <c r="ID320" s="319" t="s">
        <v>190</v>
      </c>
      <c r="IE320" s="319" t="s">
        <v>190</v>
      </c>
      <c r="IF320" s="319" t="s">
        <v>190</v>
      </c>
      <c r="IG320" s="319" t="s">
        <v>190</v>
      </c>
      <c r="IH320" s="319" t="s">
        <v>190</v>
      </c>
      <c r="II320" s="319" t="s">
        <v>190</v>
      </c>
      <c r="IJ320" s="319" t="s">
        <v>3107</v>
      </c>
      <c r="IK320" s="321">
        <v>42185</v>
      </c>
      <c r="IL320" s="321">
        <v>42187</v>
      </c>
      <c r="IM320" s="321">
        <v>42258</v>
      </c>
      <c r="IN320" s="319">
        <v>2</v>
      </c>
      <c r="IO320" s="319" t="s">
        <v>173</v>
      </c>
      <c r="IP320" s="319" t="s">
        <v>173</v>
      </c>
      <c r="IQ320" s="321" t="s">
        <v>173</v>
      </c>
      <c r="IR320" s="320" t="s">
        <v>173</v>
      </c>
      <c r="IS320" s="322" t="s">
        <v>173</v>
      </c>
      <c r="IT320" s="319" t="s">
        <v>173</v>
      </c>
    </row>
    <row r="321" spans="1:254" s="271" customFormat="1" x14ac:dyDescent="0.25">
      <c r="A321" s="318" t="str">
        <f>HYPERLINK("http://www.ofsted.gov.uk/inspection-reports/find-inspection-report/provider/ELS/131355 ","Ofsted School Webpage")</f>
        <v>Ofsted School Webpage</v>
      </c>
      <c r="B321" s="319">
        <v>131355</v>
      </c>
      <c r="C321" s="319">
        <v>8886034</v>
      </c>
      <c r="D321" s="319" t="s">
        <v>643</v>
      </c>
      <c r="E321" s="319" t="s">
        <v>167</v>
      </c>
      <c r="F321" s="319" t="s">
        <v>81</v>
      </c>
      <c r="G321" s="319" t="s">
        <v>72</v>
      </c>
      <c r="H321" s="319" t="s">
        <v>72</v>
      </c>
      <c r="I321" s="319" t="s">
        <v>72</v>
      </c>
      <c r="J321" s="319" t="s">
        <v>424</v>
      </c>
      <c r="K321" s="319" t="s">
        <v>431</v>
      </c>
      <c r="L321" s="319" t="s">
        <v>431</v>
      </c>
      <c r="M321" s="319" t="s">
        <v>469</v>
      </c>
      <c r="N321" s="319" t="s">
        <v>2994</v>
      </c>
      <c r="O321" s="319" t="s">
        <v>644</v>
      </c>
      <c r="P321" s="319">
        <v>325</v>
      </c>
      <c r="Q321" s="319" t="s">
        <v>2776</v>
      </c>
      <c r="R321" s="320">
        <v>10067890</v>
      </c>
      <c r="S321" s="321">
        <v>43417</v>
      </c>
      <c r="T321" s="321">
        <v>43419</v>
      </c>
      <c r="U321" s="321">
        <v>43444</v>
      </c>
      <c r="V321" s="319" t="s">
        <v>554</v>
      </c>
      <c r="W321" s="319" t="s">
        <v>2767</v>
      </c>
      <c r="X321" s="319">
        <v>2</v>
      </c>
      <c r="Y321" s="319" t="s">
        <v>173</v>
      </c>
      <c r="Z321" s="319" t="s">
        <v>173</v>
      </c>
      <c r="AA321" s="319" t="s">
        <v>173</v>
      </c>
      <c r="AB321" s="319">
        <v>2</v>
      </c>
      <c r="AC321" s="319" t="s">
        <v>169</v>
      </c>
      <c r="AD321" s="319" t="s">
        <v>173</v>
      </c>
      <c r="AE321" s="319">
        <v>2</v>
      </c>
      <c r="AF321" s="319" t="s">
        <v>447</v>
      </c>
      <c r="AG321" s="319" t="s">
        <v>171</v>
      </c>
      <c r="AH321" s="319" t="s">
        <v>190</v>
      </c>
      <c r="AI321" s="319" t="s">
        <v>190</v>
      </c>
      <c r="AJ321" s="319" t="s">
        <v>190</v>
      </c>
      <c r="AK321" s="319" t="s">
        <v>190</v>
      </c>
      <c r="AL321" s="319" t="s">
        <v>190</v>
      </c>
      <c r="AM321" s="319" t="s">
        <v>190</v>
      </c>
      <c r="AN321" s="319" t="s">
        <v>190</v>
      </c>
      <c r="AO321" s="319" t="s">
        <v>190</v>
      </c>
      <c r="AP321" s="319" t="s">
        <v>190</v>
      </c>
      <c r="AQ321" s="319" t="s">
        <v>190</v>
      </c>
      <c r="AR321" s="319" t="s">
        <v>190</v>
      </c>
      <c r="AS321" s="319" t="s">
        <v>190</v>
      </c>
      <c r="AT321" s="319" t="s">
        <v>190</v>
      </c>
      <c r="AU321" s="319" t="s">
        <v>190</v>
      </c>
      <c r="AV321" s="319" t="s">
        <v>190</v>
      </c>
      <c r="AW321" s="319" t="s">
        <v>190</v>
      </c>
      <c r="AX321" s="319" t="s">
        <v>428</v>
      </c>
      <c r="AY321" s="319" t="s">
        <v>190</v>
      </c>
      <c r="AZ321" s="319" t="s">
        <v>190</v>
      </c>
      <c r="BA321" s="319" t="s">
        <v>190</v>
      </c>
      <c r="BB321" s="319" t="s">
        <v>190</v>
      </c>
      <c r="BC321" s="319" t="s">
        <v>190</v>
      </c>
      <c r="BD321" s="319" t="s">
        <v>190</v>
      </c>
      <c r="BE321" s="319" t="s">
        <v>190</v>
      </c>
      <c r="BF321" s="319" t="s">
        <v>428</v>
      </c>
      <c r="BG321" s="319" t="s">
        <v>190</v>
      </c>
      <c r="BH321" s="319" t="s">
        <v>190</v>
      </c>
      <c r="BI321" s="319" t="s">
        <v>190</v>
      </c>
      <c r="BJ321" s="319" t="s">
        <v>190</v>
      </c>
      <c r="BK321" s="319" t="s">
        <v>190</v>
      </c>
      <c r="BL321" s="319" t="s">
        <v>190</v>
      </c>
      <c r="BM321" s="319" t="s">
        <v>190</v>
      </c>
      <c r="BN321" s="319" t="s">
        <v>190</v>
      </c>
      <c r="BO321" s="319" t="s">
        <v>190</v>
      </c>
      <c r="BP321" s="319" t="s">
        <v>190</v>
      </c>
      <c r="BQ321" s="319" t="s">
        <v>190</v>
      </c>
      <c r="BR321" s="319" t="s">
        <v>190</v>
      </c>
      <c r="BS321" s="319" t="s">
        <v>190</v>
      </c>
      <c r="BT321" s="319" t="s">
        <v>190</v>
      </c>
      <c r="BU321" s="319" t="s">
        <v>190</v>
      </c>
      <c r="BV321" s="319" t="s">
        <v>190</v>
      </c>
      <c r="BW321" s="319" t="s">
        <v>190</v>
      </c>
      <c r="BX321" s="319" t="s">
        <v>190</v>
      </c>
      <c r="BY321" s="319" t="s">
        <v>190</v>
      </c>
      <c r="BZ321" s="319" t="s">
        <v>190</v>
      </c>
      <c r="CA321" s="319" t="s">
        <v>190</v>
      </c>
      <c r="CB321" s="319" t="s">
        <v>190</v>
      </c>
      <c r="CC321" s="319" t="s">
        <v>190</v>
      </c>
      <c r="CD321" s="319" t="s">
        <v>190</v>
      </c>
      <c r="CE321" s="319" t="s">
        <v>190</v>
      </c>
      <c r="CF321" s="319" t="s">
        <v>190</v>
      </c>
      <c r="CG321" s="319" t="s">
        <v>190</v>
      </c>
      <c r="CH321" s="319" t="s">
        <v>190</v>
      </c>
      <c r="CI321" s="319" t="s">
        <v>190</v>
      </c>
      <c r="CJ321" s="319" t="s">
        <v>190</v>
      </c>
      <c r="CK321" s="319" t="s">
        <v>190</v>
      </c>
      <c r="CL321" s="319" t="s">
        <v>190</v>
      </c>
      <c r="CM321" s="319" t="s">
        <v>190</v>
      </c>
      <c r="CN321" s="319" t="s">
        <v>190</v>
      </c>
      <c r="CO321" s="319" t="s">
        <v>190</v>
      </c>
      <c r="CP321" s="319" t="s">
        <v>190</v>
      </c>
      <c r="CQ321" s="319" t="s">
        <v>190</v>
      </c>
      <c r="CR321" s="319" t="s">
        <v>190</v>
      </c>
      <c r="CS321" s="319" t="s">
        <v>190</v>
      </c>
      <c r="CT321" s="319" t="s">
        <v>190</v>
      </c>
      <c r="CU321" s="319" t="s">
        <v>190</v>
      </c>
      <c r="CV321" s="319" t="s">
        <v>190</v>
      </c>
      <c r="CW321" s="319" t="s">
        <v>190</v>
      </c>
      <c r="CX321" s="319" t="s">
        <v>190</v>
      </c>
      <c r="CY321" s="319" t="s">
        <v>190</v>
      </c>
      <c r="CZ321" s="319" t="s">
        <v>190</v>
      </c>
      <c r="DA321" s="319" t="s">
        <v>190</v>
      </c>
      <c r="DB321" s="319" t="s">
        <v>190</v>
      </c>
      <c r="DC321" s="319" t="s">
        <v>190</v>
      </c>
      <c r="DD321" s="319" t="s">
        <v>190</v>
      </c>
      <c r="DE321" s="319" t="s">
        <v>190</v>
      </c>
      <c r="DF321" s="319" t="s">
        <v>190</v>
      </c>
      <c r="DG321" s="319" t="s">
        <v>190</v>
      </c>
      <c r="DH321" s="319" t="s">
        <v>190</v>
      </c>
      <c r="DI321" s="319" t="s">
        <v>190</v>
      </c>
      <c r="DJ321" s="319" t="s">
        <v>190</v>
      </c>
      <c r="DK321" s="319" t="s">
        <v>190</v>
      </c>
      <c r="DL321" s="319" t="s">
        <v>190</v>
      </c>
      <c r="DM321" s="319" t="s">
        <v>190</v>
      </c>
      <c r="DN321" s="319" t="s">
        <v>190</v>
      </c>
      <c r="DO321" s="319" t="s">
        <v>190</v>
      </c>
      <c r="DP321" s="319" t="s">
        <v>428</v>
      </c>
      <c r="DQ321" s="319" t="s">
        <v>428</v>
      </c>
      <c r="DR321" s="319" t="s">
        <v>428</v>
      </c>
      <c r="DS321" s="319" t="s">
        <v>428</v>
      </c>
      <c r="DT321" s="319" t="s">
        <v>428</v>
      </c>
      <c r="DU321" s="319" t="s">
        <v>428</v>
      </c>
      <c r="DV321" s="319" t="s">
        <v>173</v>
      </c>
      <c r="DW321" s="319" t="s">
        <v>428</v>
      </c>
      <c r="DX321" s="319" t="s">
        <v>428</v>
      </c>
      <c r="DY321" s="319" t="s">
        <v>428</v>
      </c>
      <c r="DZ321" s="319" t="s">
        <v>428</v>
      </c>
      <c r="EA321" s="319" t="s">
        <v>428</v>
      </c>
      <c r="EB321" s="319" t="s">
        <v>428</v>
      </c>
      <c r="EC321" s="319" t="s">
        <v>428</v>
      </c>
      <c r="ED321" s="319" t="s">
        <v>428</v>
      </c>
      <c r="EE321" s="319" t="s">
        <v>428</v>
      </c>
      <c r="EF321" s="319" t="s">
        <v>428</v>
      </c>
      <c r="EG321" s="319" t="s">
        <v>428</v>
      </c>
      <c r="EH321" s="319" t="s">
        <v>428</v>
      </c>
      <c r="EI321" s="319" t="s">
        <v>428</v>
      </c>
      <c r="EJ321" s="319" t="s">
        <v>428</v>
      </c>
      <c r="EK321" s="319" t="s">
        <v>428</v>
      </c>
      <c r="EL321" s="319" t="s">
        <v>428</v>
      </c>
      <c r="EM321" s="319" t="s">
        <v>428</v>
      </c>
      <c r="EN321" s="319" t="s">
        <v>190</v>
      </c>
      <c r="EO321" s="319" t="s">
        <v>190</v>
      </c>
      <c r="EP321" s="319" t="s">
        <v>190</v>
      </c>
      <c r="EQ321" s="319" t="s">
        <v>190</v>
      </c>
      <c r="ER321" s="319" t="s">
        <v>190</v>
      </c>
      <c r="ES321" s="319" t="s">
        <v>190</v>
      </c>
      <c r="ET321" s="319" t="s">
        <v>190</v>
      </c>
      <c r="EU321" s="319" t="s">
        <v>190</v>
      </c>
      <c r="EV321" s="319" t="s">
        <v>190</v>
      </c>
      <c r="EW321" s="319" t="s">
        <v>190</v>
      </c>
      <c r="EX321" s="319" t="s">
        <v>190</v>
      </c>
      <c r="EY321" s="319" t="s">
        <v>190</v>
      </c>
      <c r="EZ321" s="319" t="s">
        <v>190</v>
      </c>
      <c r="FA321" s="319" t="s">
        <v>190</v>
      </c>
      <c r="FB321" s="319" t="s">
        <v>428</v>
      </c>
      <c r="FC321" s="319" t="s">
        <v>428</v>
      </c>
      <c r="FD321" s="319" t="s">
        <v>428</v>
      </c>
      <c r="FE321" s="319" t="s">
        <v>428</v>
      </c>
      <c r="FF321" s="319" t="s">
        <v>428</v>
      </c>
      <c r="FG321" s="319" t="s">
        <v>428</v>
      </c>
      <c r="FH321" s="319" t="s">
        <v>428</v>
      </c>
      <c r="FI321" s="319" t="s">
        <v>428</v>
      </c>
      <c r="FJ321" s="319" t="s">
        <v>429</v>
      </c>
      <c r="FK321" s="319" t="s">
        <v>428</v>
      </c>
      <c r="FL321" s="319" t="s">
        <v>190</v>
      </c>
      <c r="FM321" s="319" t="s">
        <v>190</v>
      </c>
      <c r="FN321" s="319" t="s">
        <v>428</v>
      </c>
      <c r="FO321" s="319" t="s">
        <v>190</v>
      </c>
      <c r="FP321" s="319" t="s">
        <v>190</v>
      </c>
      <c r="FQ321" s="319" t="s">
        <v>190</v>
      </c>
      <c r="FR321" s="319" t="s">
        <v>190</v>
      </c>
      <c r="FS321" s="319" t="s">
        <v>428</v>
      </c>
      <c r="FT321" s="319" t="s">
        <v>190</v>
      </c>
      <c r="FU321" s="319" t="s">
        <v>190</v>
      </c>
      <c r="FV321" s="319" t="s">
        <v>190</v>
      </c>
      <c r="FW321" s="319" t="s">
        <v>190</v>
      </c>
      <c r="FX321" s="319" t="s">
        <v>190</v>
      </c>
      <c r="FY321" s="319" t="s">
        <v>190</v>
      </c>
      <c r="FZ321" s="319" t="s">
        <v>190</v>
      </c>
      <c r="GA321" s="319" t="s">
        <v>190</v>
      </c>
      <c r="GB321" s="319" t="s">
        <v>190</v>
      </c>
      <c r="GC321" s="319" t="s">
        <v>190</v>
      </c>
      <c r="GD321" s="319" t="s">
        <v>190</v>
      </c>
      <c r="GE321" s="319" t="s">
        <v>190</v>
      </c>
      <c r="GF321" s="319" t="s">
        <v>190</v>
      </c>
      <c r="GG321" s="319" t="s">
        <v>190</v>
      </c>
      <c r="GH321" s="319" t="s">
        <v>190</v>
      </c>
      <c r="GI321" s="319" t="s">
        <v>190</v>
      </c>
      <c r="GJ321" s="319" t="s">
        <v>190</v>
      </c>
      <c r="GK321" s="319" t="s">
        <v>190</v>
      </c>
      <c r="GL321" s="319" t="s">
        <v>190</v>
      </c>
      <c r="GM321" s="319" t="s">
        <v>190</v>
      </c>
      <c r="GN321" s="319" t="s">
        <v>190</v>
      </c>
      <c r="GO321" s="319" t="s">
        <v>190</v>
      </c>
      <c r="GP321" s="319" t="s">
        <v>190</v>
      </c>
      <c r="GQ321" s="319" t="s">
        <v>190</v>
      </c>
      <c r="GR321" s="319" t="s">
        <v>190</v>
      </c>
      <c r="GS321" s="319" t="s">
        <v>190</v>
      </c>
      <c r="GT321" s="319" t="s">
        <v>428</v>
      </c>
      <c r="GU321" s="319" t="s">
        <v>428</v>
      </c>
      <c r="GV321" s="319" t="s">
        <v>428</v>
      </c>
      <c r="GW321" s="319" t="s">
        <v>190</v>
      </c>
      <c r="GX321" s="319" t="s">
        <v>190</v>
      </c>
      <c r="GY321" s="319" t="s">
        <v>190</v>
      </c>
      <c r="GZ321" s="319" t="s">
        <v>190</v>
      </c>
      <c r="HA321" s="319" t="s">
        <v>190</v>
      </c>
      <c r="HB321" s="319" t="s">
        <v>190</v>
      </c>
      <c r="HC321" s="319" t="s">
        <v>190</v>
      </c>
      <c r="HD321" s="319" t="s">
        <v>190</v>
      </c>
      <c r="HE321" s="319" t="s">
        <v>190</v>
      </c>
      <c r="HF321" s="319" t="s">
        <v>190</v>
      </c>
      <c r="HG321" s="319" t="s">
        <v>190</v>
      </c>
      <c r="HH321" s="319" t="s">
        <v>190</v>
      </c>
      <c r="HI321" s="319" t="s">
        <v>190</v>
      </c>
      <c r="HJ321" s="319" t="s">
        <v>190</v>
      </c>
      <c r="HK321" s="319" t="s">
        <v>190</v>
      </c>
      <c r="HL321" s="319" t="s">
        <v>428</v>
      </c>
      <c r="HM321" s="319" t="s">
        <v>428</v>
      </c>
      <c r="HN321" s="319" t="s">
        <v>428</v>
      </c>
      <c r="HO321" s="319" t="s">
        <v>428</v>
      </c>
      <c r="HP321" s="319" t="s">
        <v>190</v>
      </c>
      <c r="HQ321" s="319" t="s">
        <v>190</v>
      </c>
      <c r="HR321" s="319" t="s">
        <v>190</v>
      </c>
      <c r="HS321" s="319" t="s">
        <v>190</v>
      </c>
      <c r="HT321" s="319" t="s">
        <v>190</v>
      </c>
      <c r="HU321" s="319" t="s">
        <v>190</v>
      </c>
      <c r="HV321" s="319" t="s">
        <v>190</v>
      </c>
      <c r="HW321" s="319" t="s">
        <v>190</v>
      </c>
      <c r="HX321" s="319" t="s">
        <v>190</v>
      </c>
      <c r="HY321" s="319" t="s">
        <v>190</v>
      </c>
      <c r="HZ321" s="319" t="s">
        <v>190</v>
      </c>
      <c r="IA321" s="319" t="s">
        <v>190</v>
      </c>
      <c r="IB321" s="319" t="s">
        <v>190</v>
      </c>
      <c r="IC321" s="319" t="s">
        <v>190</v>
      </c>
      <c r="ID321" s="319" t="s">
        <v>190</v>
      </c>
      <c r="IE321" s="319" t="s">
        <v>190</v>
      </c>
      <c r="IF321" s="319" t="s">
        <v>190</v>
      </c>
      <c r="IG321" s="319" t="s">
        <v>190</v>
      </c>
      <c r="IH321" s="319" t="s">
        <v>190</v>
      </c>
      <c r="II321" s="319" t="s">
        <v>190</v>
      </c>
      <c r="IJ321" s="319">
        <v>10034044</v>
      </c>
      <c r="IK321" s="321">
        <v>42850</v>
      </c>
      <c r="IL321" s="321">
        <v>42852</v>
      </c>
      <c r="IM321" s="321">
        <v>42886</v>
      </c>
      <c r="IN321" s="319">
        <v>3</v>
      </c>
      <c r="IO321" s="319" t="s">
        <v>173</v>
      </c>
      <c r="IP321" s="319" t="s">
        <v>173</v>
      </c>
      <c r="IQ321" s="321" t="s">
        <v>173</v>
      </c>
      <c r="IR321" s="320" t="s">
        <v>173</v>
      </c>
      <c r="IS321" s="322" t="s">
        <v>173</v>
      </c>
      <c r="IT321" s="319" t="s">
        <v>173</v>
      </c>
    </row>
    <row r="322" spans="1:254" s="271" customFormat="1" x14ac:dyDescent="0.25">
      <c r="A322" s="318" t="str">
        <f>HYPERLINK("http://www.ofsted.gov.uk/inspection-reports/find-inspection-report/provider/ELS/131356 ","Ofsted School Webpage")</f>
        <v>Ofsted School Webpage</v>
      </c>
      <c r="B322" s="319">
        <v>131356</v>
      </c>
      <c r="C322" s="319">
        <v>8466043</v>
      </c>
      <c r="D322" s="319" t="s">
        <v>1649</v>
      </c>
      <c r="E322" s="319" t="s">
        <v>168</v>
      </c>
      <c r="F322" s="319" t="s">
        <v>81</v>
      </c>
      <c r="G322" s="319" t="s">
        <v>81</v>
      </c>
      <c r="H322" s="319" t="s">
        <v>81</v>
      </c>
      <c r="I322" s="319" t="s">
        <v>78</v>
      </c>
      <c r="J322" s="319" t="s">
        <v>424</v>
      </c>
      <c r="K322" s="319" t="s">
        <v>514</v>
      </c>
      <c r="L322" s="319" t="s">
        <v>514</v>
      </c>
      <c r="M322" s="319" t="s">
        <v>828</v>
      </c>
      <c r="N322" s="319" t="s">
        <v>3088</v>
      </c>
      <c r="O322" s="319" t="s">
        <v>1650</v>
      </c>
      <c r="P322" s="319">
        <v>12</v>
      </c>
      <c r="Q322" s="319" t="s">
        <v>429</v>
      </c>
      <c r="R322" s="320">
        <v>10044925</v>
      </c>
      <c r="S322" s="321">
        <v>43081</v>
      </c>
      <c r="T322" s="321">
        <v>43083</v>
      </c>
      <c r="U322" s="321">
        <v>43116</v>
      </c>
      <c r="V322" s="319" t="s">
        <v>425</v>
      </c>
      <c r="W322" s="319" t="s">
        <v>2767</v>
      </c>
      <c r="X322" s="319">
        <v>2</v>
      </c>
      <c r="Y322" s="319" t="s">
        <v>173</v>
      </c>
      <c r="Z322" s="319" t="s">
        <v>173</v>
      </c>
      <c r="AA322" s="319" t="s">
        <v>173</v>
      </c>
      <c r="AB322" s="319">
        <v>2</v>
      </c>
      <c r="AC322" s="319" t="s">
        <v>169</v>
      </c>
      <c r="AD322" s="319" t="s">
        <v>173</v>
      </c>
      <c r="AE322" s="319" t="s">
        <v>173</v>
      </c>
      <c r="AF322" s="319" t="s">
        <v>427</v>
      </c>
      <c r="AG322" s="319" t="s">
        <v>171</v>
      </c>
      <c r="AH322" s="319" t="s">
        <v>190</v>
      </c>
      <c r="AI322" s="319" t="s">
        <v>190</v>
      </c>
      <c r="AJ322" s="319" t="s">
        <v>190</v>
      </c>
      <c r="AK322" s="319" t="s">
        <v>190</v>
      </c>
      <c r="AL322" s="319" t="s">
        <v>190</v>
      </c>
      <c r="AM322" s="319" t="s">
        <v>190</v>
      </c>
      <c r="AN322" s="319" t="s">
        <v>190</v>
      </c>
      <c r="AO322" s="319" t="s">
        <v>190</v>
      </c>
      <c r="AP322" s="319" t="s">
        <v>190</v>
      </c>
      <c r="AQ322" s="319" t="s">
        <v>190</v>
      </c>
      <c r="AR322" s="319" t="s">
        <v>190</v>
      </c>
      <c r="AS322" s="319" t="s">
        <v>190</v>
      </c>
      <c r="AT322" s="319" t="s">
        <v>190</v>
      </c>
      <c r="AU322" s="319" t="s">
        <v>190</v>
      </c>
      <c r="AV322" s="319" t="s">
        <v>190</v>
      </c>
      <c r="AW322" s="319" t="s">
        <v>190</v>
      </c>
      <c r="AX322" s="319" t="s">
        <v>428</v>
      </c>
      <c r="AY322" s="319" t="s">
        <v>190</v>
      </c>
      <c r="AZ322" s="319" t="s">
        <v>190</v>
      </c>
      <c r="BA322" s="319" t="s">
        <v>190</v>
      </c>
      <c r="BB322" s="319" t="s">
        <v>190</v>
      </c>
      <c r="BC322" s="319" t="s">
        <v>190</v>
      </c>
      <c r="BD322" s="319" t="s">
        <v>190</v>
      </c>
      <c r="BE322" s="319" t="s">
        <v>190</v>
      </c>
      <c r="BF322" s="319" t="s">
        <v>428</v>
      </c>
      <c r="BG322" s="319" t="s">
        <v>428</v>
      </c>
      <c r="BH322" s="319" t="s">
        <v>190</v>
      </c>
      <c r="BI322" s="319" t="s">
        <v>190</v>
      </c>
      <c r="BJ322" s="319" t="s">
        <v>190</v>
      </c>
      <c r="BK322" s="319" t="s">
        <v>190</v>
      </c>
      <c r="BL322" s="319" t="s">
        <v>190</v>
      </c>
      <c r="BM322" s="319" t="s">
        <v>190</v>
      </c>
      <c r="BN322" s="319" t="s">
        <v>190</v>
      </c>
      <c r="BO322" s="319" t="s">
        <v>190</v>
      </c>
      <c r="BP322" s="319" t="s">
        <v>190</v>
      </c>
      <c r="BQ322" s="319" t="s">
        <v>190</v>
      </c>
      <c r="BR322" s="319" t="s">
        <v>190</v>
      </c>
      <c r="BS322" s="319" t="s">
        <v>190</v>
      </c>
      <c r="BT322" s="319" t="s">
        <v>190</v>
      </c>
      <c r="BU322" s="319" t="s">
        <v>190</v>
      </c>
      <c r="BV322" s="319" t="s">
        <v>190</v>
      </c>
      <c r="BW322" s="319" t="s">
        <v>190</v>
      </c>
      <c r="BX322" s="319" t="s">
        <v>190</v>
      </c>
      <c r="BY322" s="319" t="s">
        <v>190</v>
      </c>
      <c r="BZ322" s="319" t="s">
        <v>190</v>
      </c>
      <c r="CA322" s="319" t="s">
        <v>190</v>
      </c>
      <c r="CB322" s="319" t="s">
        <v>190</v>
      </c>
      <c r="CC322" s="319" t="s">
        <v>190</v>
      </c>
      <c r="CD322" s="319" t="s">
        <v>190</v>
      </c>
      <c r="CE322" s="319" t="s">
        <v>190</v>
      </c>
      <c r="CF322" s="319" t="s">
        <v>190</v>
      </c>
      <c r="CG322" s="319" t="s">
        <v>190</v>
      </c>
      <c r="CH322" s="319" t="s">
        <v>190</v>
      </c>
      <c r="CI322" s="319" t="s">
        <v>190</v>
      </c>
      <c r="CJ322" s="319" t="s">
        <v>190</v>
      </c>
      <c r="CK322" s="319" t="s">
        <v>190</v>
      </c>
      <c r="CL322" s="319" t="s">
        <v>190</v>
      </c>
      <c r="CM322" s="319" t="s">
        <v>190</v>
      </c>
      <c r="CN322" s="319" t="s">
        <v>190</v>
      </c>
      <c r="CO322" s="319" t="s">
        <v>190</v>
      </c>
      <c r="CP322" s="319" t="s">
        <v>428</v>
      </c>
      <c r="CQ322" s="319" t="s">
        <v>190</v>
      </c>
      <c r="CR322" s="319" t="s">
        <v>190</v>
      </c>
      <c r="CS322" s="319" t="s">
        <v>190</v>
      </c>
      <c r="CT322" s="319" t="s">
        <v>190</v>
      </c>
      <c r="CU322" s="319" t="s">
        <v>190</v>
      </c>
      <c r="CV322" s="319" t="s">
        <v>190</v>
      </c>
      <c r="CW322" s="319" t="s">
        <v>190</v>
      </c>
      <c r="CX322" s="319" t="s">
        <v>190</v>
      </c>
      <c r="CY322" s="319" t="s">
        <v>190</v>
      </c>
      <c r="CZ322" s="319" t="s">
        <v>190</v>
      </c>
      <c r="DA322" s="319" t="s">
        <v>190</v>
      </c>
      <c r="DB322" s="319" t="s">
        <v>190</v>
      </c>
      <c r="DC322" s="319" t="s">
        <v>190</v>
      </c>
      <c r="DD322" s="319" t="s">
        <v>190</v>
      </c>
      <c r="DE322" s="319" t="s">
        <v>190</v>
      </c>
      <c r="DF322" s="319" t="s">
        <v>190</v>
      </c>
      <c r="DG322" s="319" t="s">
        <v>190</v>
      </c>
      <c r="DH322" s="319" t="s">
        <v>190</v>
      </c>
      <c r="DI322" s="319" t="s">
        <v>190</v>
      </c>
      <c r="DJ322" s="319" t="s">
        <v>190</v>
      </c>
      <c r="DK322" s="319" t="s">
        <v>190</v>
      </c>
      <c r="DL322" s="319" t="s">
        <v>190</v>
      </c>
      <c r="DM322" s="319" t="s">
        <v>190</v>
      </c>
      <c r="DN322" s="319" t="s">
        <v>428</v>
      </c>
      <c r="DO322" s="319" t="s">
        <v>190</v>
      </c>
      <c r="DP322" s="319" t="s">
        <v>190</v>
      </c>
      <c r="DQ322" s="319" t="s">
        <v>190</v>
      </c>
      <c r="DR322" s="319" t="s">
        <v>190</v>
      </c>
      <c r="DS322" s="319" t="s">
        <v>190</v>
      </c>
      <c r="DT322" s="319" t="s">
        <v>190</v>
      </c>
      <c r="DU322" s="319" t="s">
        <v>190</v>
      </c>
      <c r="DV322" s="319" t="s">
        <v>173</v>
      </c>
      <c r="DW322" s="319" t="s">
        <v>190</v>
      </c>
      <c r="DX322" s="319" t="s">
        <v>190</v>
      </c>
      <c r="DY322" s="319" t="s">
        <v>190</v>
      </c>
      <c r="DZ322" s="319" t="s">
        <v>190</v>
      </c>
      <c r="EA322" s="319" t="s">
        <v>190</v>
      </c>
      <c r="EB322" s="319" t="s">
        <v>190</v>
      </c>
      <c r="EC322" s="319" t="s">
        <v>428</v>
      </c>
      <c r="ED322" s="319" t="s">
        <v>190</v>
      </c>
      <c r="EE322" s="319" t="s">
        <v>190</v>
      </c>
      <c r="EF322" s="319" t="s">
        <v>190</v>
      </c>
      <c r="EG322" s="319" t="s">
        <v>190</v>
      </c>
      <c r="EH322" s="319" t="s">
        <v>190</v>
      </c>
      <c r="EI322" s="319" t="s">
        <v>190</v>
      </c>
      <c r="EJ322" s="319" t="s">
        <v>190</v>
      </c>
      <c r="EK322" s="319" t="s">
        <v>190</v>
      </c>
      <c r="EL322" s="319" t="s">
        <v>190</v>
      </c>
      <c r="EM322" s="319" t="s">
        <v>190</v>
      </c>
      <c r="EN322" s="319" t="s">
        <v>190</v>
      </c>
      <c r="EO322" s="319" t="s">
        <v>190</v>
      </c>
      <c r="EP322" s="319" t="s">
        <v>190</v>
      </c>
      <c r="EQ322" s="319" t="s">
        <v>190</v>
      </c>
      <c r="ER322" s="319" t="s">
        <v>190</v>
      </c>
      <c r="ES322" s="319" t="s">
        <v>190</v>
      </c>
      <c r="ET322" s="319" t="s">
        <v>190</v>
      </c>
      <c r="EU322" s="319" t="s">
        <v>190</v>
      </c>
      <c r="EV322" s="319" t="s">
        <v>190</v>
      </c>
      <c r="EW322" s="319" t="s">
        <v>190</v>
      </c>
      <c r="EX322" s="319" t="s">
        <v>190</v>
      </c>
      <c r="EY322" s="319" t="s">
        <v>190</v>
      </c>
      <c r="EZ322" s="319" t="s">
        <v>190</v>
      </c>
      <c r="FA322" s="319" t="s">
        <v>190</v>
      </c>
      <c r="FB322" s="319" t="s">
        <v>190</v>
      </c>
      <c r="FC322" s="319" t="s">
        <v>190</v>
      </c>
      <c r="FD322" s="319" t="s">
        <v>190</v>
      </c>
      <c r="FE322" s="319" t="s">
        <v>190</v>
      </c>
      <c r="FF322" s="319" t="s">
        <v>190</v>
      </c>
      <c r="FG322" s="319" t="s">
        <v>190</v>
      </c>
      <c r="FH322" s="319" t="s">
        <v>190</v>
      </c>
      <c r="FI322" s="319" t="s">
        <v>190</v>
      </c>
      <c r="FJ322" s="319" t="s">
        <v>190</v>
      </c>
      <c r="FK322" s="319" t="s">
        <v>190</v>
      </c>
      <c r="FL322" s="319" t="s">
        <v>190</v>
      </c>
      <c r="FM322" s="319" t="s">
        <v>190</v>
      </c>
      <c r="FN322" s="319" t="s">
        <v>190</v>
      </c>
      <c r="FO322" s="319" t="s">
        <v>190</v>
      </c>
      <c r="FP322" s="319" t="s">
        <v>190</v>
      </c>
      <c r="FQ322" s="319" t="s">
        <v>190</v>
      </c>
      <c r="FR322" s="319" t="s">
        <v>190</v>
      </c>
      <c r="FS322" s="319" t="s">
        <v>190</v>
      </c>
      <c r="FT322" s="319" t="s">
        <v>190</v>
      </c>
      <c r="FU322" s="319" t="s">
        <v>190</v>
      </c>
      <c r="FV322" s="319" t="s">
        <v>190</v>
      </c>
      <c r="FW322" s="319" t="s">
        <v>190</v>
      </c>
      <c r="FX322" s="319" t="s">
        <v>190</v>
      </c>
      <c r="FY322" s="319" t="s">
        <v>190</v>
      </c>
      <c r="FZ322" s="319" t="s">
        <v>190</v>
      </c>
      <c r="GA322" s="319" t="s">
        <v>190</v>
      </c>
      <c r="GB322" s="319" t="s">
        <v>190</v>
      </c>
      <c r="GC322" s="319" t="s">
        <v>190</v>
      </c>
      <c r="GD322" s="319" t="s">
        <v>190</v>
      </c>
      <c r="GE322" s="319" t="s">
        <v>190</v>
      </c>
      <c r="GF322" s="319" t="s">
        <v>190</v>
      </c>
      <c r="GG322" s="319" t="s">
        <v>190</v>
      </c>
      <c r="GH322" s="319" t="s">
        <v>190</v>
      </c>
      <c r="GI322" s="319" t="s">
        <v>190</v>
      </c>
      <c r="GJ322" s="319" t="s">
        <v>190</v>
      </c>
      <c r="GK322" s="319" t="s">
        <v>428</v>
      </c>
      <c r="GL322" s="319" t="s">
        <v>190</v>
      </c>
      <c r="GM322" s="319" t="s">
        <v>190</v>
      </c>
      <c r="GN322" s="319" t="s">
        <v>190</v>
      </c>
      <c r="GO322" s="319" t="s">
        <v>190</v>
      </c>
      <c r="GP322" s="319" t="s">
        <v>190</v>
      </c>
      <c r="GQ322" s="319" t="s">
        <v>190</v>
      </c>
      <c r="GR322" s="319" t="s">
        <v>190</v>
      </c>
      <c r="GS322" s="319" t="s">
        <v>190</v>
      </c>
      <c r="GT322" s="319" t="s">
        <v>190</v>
      </c>
      <c r="GU322" s="319" t="s">
        <v>190</v>
      </c>
      <c r="GV322" s="319" t="s">
        <v>190</v>
      </c>
      <c r="GW322" s="319" t="s">
        <v>190</v>
      </c>
      <c r="GX322" s="319" t="s">
        <v>190</v>
      </c>
      <c r="GY322" s="319" t="s">
        <v>190</v>
      </c>
      <c r="GZ322" s="319" t="s">
        <v>428</v>
      </c>
      <c r="HA322" s="319" t="s">
        <v>190</v>
      </c>
      <c r="HB322" s="319" t="s">
        <v>190</v>
      </c>
      <c r="HC322" s="319" t="s">
        <v>190</v>
      </c>
      <c r="HD322" s="319" t="s">
        <v>190</v>
      </c>
      <c r="HE322" s="319" t="s">
        <v>190</v>
      </c>
      <c r="HF322" s="319" t="s">
        <v>190</v>
      </c>
      <c r="HG322" s="319" t="s">
        <v>190</v>
      </c>
      <c r="HH322" s="319" t="s">
        <v>190</v>
      </c>
      <c r="HI322" s="319" t="s">
        <v>190</v>
      </c>
      <c r="HJ322" s="319" t="s">
        <v>190</v>
      </c>
      <c r="HK322" s="319" t="s">
        <v>190</v>
      </c>
      <c r="HL322" s="319" t="s">
        <v>190</v>
      </c>
      <c r="HM322" s="319" t="s">
        <v>190</v>
      </c>
      <c r="HN322" s="319" t="s">
        <v>190</v>
      </c>
      <c r="HO322" s="319" t="s">
        <v>190</v>
      </c>
      <c r="HP322" s="319" t="s">
        <v>190</v>
      </c>
      <c r="HQ322" s="319" t="s">
        <v>190</v>
      </c>
      <c r="HR322" s="319" t="s">
        <v>190</v>
      </c>
      <c r="HS322" s="319" t="s">
        <v>190</v>
      </c>
      <c r="HT322" s="319" t="s">
        <v>190</v>
      </c>
      <c r="HU322" s="319" t="s">
        <v>190</v>
      </c>
      <c r="HV322" s="319" t="s">
        <v>190</v>
      </c>
      <c r="HW322" s="319" t="s">
        <v>190</v>
      </c>
      <c r="HX322" s="319" t="s">
        <v>190</v>
      </c>
      <c r="HY322" s="319" t="s">
        <v>190</v>
      </c>
      <c r="HZ322" s="319" t="s">
        <v>190</v>
      </c>
      <c r="IA322" s="319" t="s">
        <v>190</v>
      </c>
      <c r="IB322" s="319" t="s">
        <v>190</v>
      </c>
      <c r="IC322" s="319" t="s">
        <v>190</v>
      </c>
      <c r="ID322" s="319" t="s">
        <v>190</v>
      </c>
      <c r="IE322" s="319" t="s">
        <v>584</v>
      </c>
      <c r="IF322" s="319" t="s">
        <v>190</v>
      </c>
      <c r="IG322" s="319" t="s">
        <v>190</v>
      </c>
      <c r="IH322" s="319" t="s">
        <v>190</v>
      </c>
      <c r="II322" s="319" t="s">
        <v>190</v>
      </c>
      <c r="IJ322" s="319">
        <v>10033682</v>
      </c>
      <c r="IK322" s="321">
        <v>42858</v>
      </c>
      <c r="IL322" s="321">
        <v>42860</v>
      </c>
      <c r="IM322" s="321">
        <v>42901</v>
      </c>
      <c r="IN322" s="319">
        <v>4</v>
      </c>
      <c r="IO322" s="319" t="s">
        <v>173</v>
      </c>
      <c r="IP322" s="319" t="s">
        <v>173</v>
      </c>
      <c r="IQ322" s="321" t="s">
        <v>173</v>
      </c>
      <c r="IR322" s="320" t="s">
        <v>173</v>
      </c>
      <c r="IS322" s="322" t="s">
        <v>173</v>
      </c>
      <c r="IT322" s="319" t="s">
        <v>173</v>
      </c>
    </row>
    <row r="323" spans="1:254" s="271" customFormat="1" x14ac:dyDescent="0.25">
      <c r="A323" s="318" t="str">
        <f>HYPERLINK("http://www.ofsted.gov.uk/inspection-reports/find-inspection-report/provider/ELS/131362 ","Ofsted School Webpage")</f>
        <v>Ofsted School Webpage</v>
      </c>
      <c r="B323" s="319">
        <v>131362</v>
      </c>
      <c r="C323" s="319">
        <v>2066379</v>
      </c>
      <c r="D323" s="319" t="s">
        <v>1651</v>
      </c>
      <c r="E323" s="319" t="s">
        <v>167</v>
      </c>
      <c r="F323" s="319" t="s">
        <v>81</v>
      </c>
      <c r="G323" s="319" t="s">
        <v>81</v>
      </c>
      <c r="H323" s="319" t="s">
        <v>81</v>
      </c>
      <c r="I323" s="319" t="s">
        <v>78</v>
      </c>
      <c r="J323" s="319" t="s">
        <v>424</v>
      </c>
      <c r="K323" s="319" t="s">
        <v>441</v>
      </c>
      <c r="L323" s="319" t="s">
        <v>441</v>
      </c>
      <c r="M323" s="319" t="s">
        <v>668</v>
      </c>
      <c r="N323" s="319" t="s">
        <v>2788</v>
      </c>
      <c r="O323" s="319" t="s">
        <v>1652</v>
      </c>
      <c r="P323" s="319">
        <v>193</v>
      </c>
      <c r="Q323" s="319" t="s">
        <v>2766</v>
      </c>
      <c r="R323" s="320">
        <v>10094401</v>
      </c>
      <c r="S323" s="321">
        <v>43550</v>
      </c>
      <c r="T323" s="321">
        <v>43552</v>
      </c>
      <c r="U323" s="321">
        <v>43592</v>
      </c>
      <c r="V323" s="319" t="s">
        <v>425</v>
      </c>
      <c r="W323" s="319" t="s">
        <v>2767</v>
      </c>
      <c r="X323" s="319">
        <v>2</v>
      </c>
      <c r="Y323" s="319" t="s">
        <v>173</v>
      </c>
      <c r="Z323" s="319" t="s">
        <v>173</v>
      </c>
      <c r="AA323" s="319" t="s">
        <v>173</v>
      </c>
      <c r="AB323" s="319">
        <v>2</v>
      </c>
      <c r="AC323" s="319" t="s">
        <v>169</v>
      </c>
      <c r="AD323" s="319">
        <v>2</v>
      </c>
      <c r="AE323" s="319" t="s">
        <v>173</v>
      </c>
      <c r="AF323" s="319" t="s">
        <v>427</v>
      </c>
      <c r="AG323" s="319" t="s">
        <v>171</v>
      </c>
      <c r="AH323" s="319" t="s">
        <v>190</v>
      </c>
      <c r="AI323" s="319" t="s">
        <v>190</v>
      </c>
      <c r="AJ323" s="319" t="s">
        <v>190</v>
      </c>
      <c r="AK323" s="319" t="s">
        <v>190</v>
      </c>
      <c r="AL323" s="319" t="s">
        <v>190</v>
      </c>
      <c r="AM323" s="319" t="s">
        <v>190</v>
      </c>
      <c r="AN323" s="319" t="s">
        <v>190</v>
      </c>
      <c r="AO323" s="319" t="s">
        <v>190</v>
      </c>
      <c r="AP323" s="319" t="s">
        <v>190</v>
      </c>
      <c r="AQ323" s="319" t="s">
        <v>190</v>
      </c>
      <c r="AR323" s="319" t="s">
        <v>190</v>
      </c>
      <c r="AS323" s="319" t="s">
        <v>190</v>
      </c>
      <c r="AT323" s="319" t="s">
        <v>190</v>
      </c>
      <c r="AU323" s="319" t="s">
        <v>190</v>
      </c>
      <c r="AV323" s="319" t="s">
        <v>190</v>
      </c>
      <c r="AW323" s="319" t="s">
        <v>190</v>
      </c>
      <c r="AX323" s="319" t="s">
        <v>428</v>
      </c>
      <c r="AY323" s="319" t="s">
        <v>190</v>
      </c>
      <c r="AZ323" s="319" t="s">
        <v>190</v>
      </c>
      <c r="BA323" s="319" t="s">
        <v>190</v>
      </c>
      <c r="BB323" s="319" t="s">
        <v>190</v>
      </c>
      <c r="BC323" s="319" t="s">
        <v>190</v>
      </c>
      <c r="BD323" s="319" t="s">
        <v>190</v>
      </c>
      <c r="BE323" s="319" t="s">
        <v>190</v>
      </c>
      <c r="BF323" s="319" t="s">
        <v>190</v>
      </c>
      <c r="BG323" s="319" t="s">
        <v>428</v>
      </c>
      <c r="BH323" s="319" t="s">
        <v>190</v>
      </c>
      <c r="BI323" s="319" t="s">
        <v>190</v>
      </c>
      <c r="BJ323" s="319" t="s">
        <v>190</v>
      </c>
      <c r="BK323" s="319" t="s">
        <v>190</v>
      </c>
      <c r="BL323" s="319" t="s">
        <v>190</v>
      </c>
      <c r="BM323" s="319" t="s">
        <v>190</v>
      </c>
      <c r="BN323" s="319" t="s">
        <v>190</v>
      </c>
      <c r="BO323" s="319" t="s">
        <v>190</v>
      </c>
      <c r="BP323" s="319" t="s">
        <v>190</v>
      </c>
      <c r="BQ323" s="319" t="s">
        <v>190</v>
      </c>
      <c r="BR323" s="319" t="s">
        <v>190</v>
      </c>
      <c r="BS323" s="319" t="s">
        <v>190</v>
      </c>
      <c r="BT323" s="319" t="s">
        <v>190</v>
      </c>
      <c r="BU323" s="319" t="s">
        <v>190</v>
      </c>
      <c r="BV323" s="319" t="s">
        <v>190</v>
      </c>
      <c r="BW323" s="319" t="s">
        <v>190</v>
      </c>
      <c r="BX323" s="319" t="s">
        <v>190</v>
      </c>
      <c r="BY323" s="319" t="s">
        <v>190</v>
      </c>
      <c r="BZ323" s="319" t="s">
        <v>190</v>
      </c>
      <c r="CA323" s="319" t="s">
        <v>190</v>
      </c>
      <c r="CB323" s="319" t="s">
        <v>190</v>
      </c>
      <c r="CC323" s="319" t="s">
        <v>190</v>
      </c>
      <c r="CD323" s="319" t="s">
        <v>190</v>
      </c>
      <c r="CE323" s="319" t="s">
        <v>190</v>
      </c>
      <c r="CF323" s="319" t="s">
        <v>190</v>
      </c>
      <c r="CG323" s="319" t="s">
        <v>190</v>
      </c>
      <c r="CH323" s="319" t="s">
        <v>190</v>
      </c>
      <c r="CI323" s="319" t="s">
        <v>190</v>
      </c>
      <c r="CJ323" s="319" t="s">
        <v>190</v>
      </c>
      <c r="CK323" s="319" t="s">
        <v>190</v>
      </c>
      <c r="CL323" s="319" t="s">
        <v>190</v>
      </c>
      <c r="CM323" s="319" t="s">
        <v>190</v>
      </c>
      <c r="CN323" s="319" t="s">
        <v>428</v>
      </c>
      <c r="CO323" s="319" t="s">
        <v>428</v>
      </c>
      <c r="CP323" s="319" t="s">
        <v>428</v>
      </c>
      <c r="CQ323" s="319" t="s">
        <v>190</v>
      </c>
      <c r="CR323" s="319" t="s">
        <v>190</v>
      </c>
      <c r="CS323" s="319" t="s">
        <v>190</v>
      </c>
      <c r="CT323" s="319" t="s">
        <v>190</v>
      </c>
      <c r="CU323" s="319" t="s">
        <v>190</v>
      </c>
      <c r="CV323" s="319" t="s">
        <v>190</v>
      </c>
      <c r="CW323" s="319" t="s">
        <v>190</v>
      </c>
      <c r="CX323" s="319" t="s">
        <v>190</v>
      </c>
      <c r="CY323" s="319" t="s">
        <v>190</v>
      </c>
      <c r="CZ323" s="319" t="s">
        <v>190</v>
      </c>
      <c r="DA323" s="319" t="s">
        <v>190</v>
      </c>
      <c r="DB323" s="319" t="s">
        <v>190</v>
      </c>
      <c r="DC323" s="319" t="s">
        <v>190</v>
      </c>
      <c r="DD323" s="319" t="s">
        <v>190</v>
      </c>
      <c r="DE323" s="319" t="s">
        <v>190</v>
      </c>
      <c r="DF323" s="319" t="s">
        <v>190</v>
      </c>
      <c r="DG323" s="319" t="s">
        <v>190</v>
      </c>
      <c r="DH323" s="319" t="s">
        <v>190</v>
      </c>
      <c r="DI323" s="319" t="s">
        <v>190</v>
      </c>
      <c r="DJ323" s="319" t="s">
        <v>190</v>
      </c>
      <c r="DK323" s="319" t="s">
        <v>190</v>
      </c>
      <c r="DL323" s="319" t="s">
        <v>190</v>
      </c>
      <c r="DM323" s="319" t="s">
        <v>190</v>
      </c>
      <c r="DN323" s="319" t="s">
        <v>428</v>
      </c>
      <c r="DO323" s="319" t="s">
        <v>190</v>
      </c>
      <c r="DP323" s="319" t="s">
        <v>190</v>
      </c>
      <c r="DQ323" s="319" t="s">
        <v>190</v>
      </c>
      <c r="DR323" s="319" t="s">
        <v>190</v>
      </c>
      <c r="DS323" s="319" t="s">
        <v>190</v>
      </c>
      <c r="DT323" s="319" t="s">
        <v>190</v>
      </c>
      <c r="DU323" s="319" t="s">
        <v>190</v>
      </c>
      <c r="DV323" s="319" t="s">
        <v>173</v>
      </c>
      <c r="DW323" s="319" t="s">
        <v>190</v>
      </c>
      <c r="DX323" s="319" t="s">
        <v>190</v>
      </c>
      <c r="DY323" s="319" t="s">
        <v>190</v>
      </c>
      <c r="DZ323" s="319" t="s">
        <v>190</v>
      </c>
      <c r="EA323" s="319" t="s">
        <v>190</v>
      </c>
      <c r="EB323" s="319" t="s">
        <v>190</v>
      </c>
      <c r="EC323" s="319" t="s">
        <v>428</v>
      </c>
      <c r="ED323" s="319" t="s">
        <v>190</v>
      </c>
      <c r="EE323" s="319" t="s">
        <v>428</v>
      </c>
      <c r="EF323" s="319" t="s">
        <v>428</v>
      </c>
      <c r="EG323" s="319" t="s">
        <v>428</v>
      </c>
      <c r="EH323" s="319" t="s">
        <v>428</v>
      </c>
      <c r="EI323" s="319" t="s">
        <v>428</v>
      </c>
      <c r="EJ323" s="319" t="s">
        <v>428</v>
      </c>
      <c r="EK323" s="319" t="s">
        <v>428</v>
      </c>
      <c r="EL323" s="319" t="s">
        <v>428</v>
      </c>
      <c r="EM323" s="319" t="s">
        <v>428</v>
      </c>
      <c r="EN323" s="319" t="s">
        <v>190</v>
      </c>
      <c r="EO323" s="319" t="s">
        <v>190</v>
      </c>
      <c r="EP323" s="319" t="s">
        <v>190</v>
      </c>
      <c r="EQ323" s="319" t="s">
        <v>190</v>
      </c>
      <c r="ER323" s="319" t="s">
        <v>190</v>
      </c>
      <c r="ES323" s="319" t="s">
        <v>190</v>
      </c>
      <c r="ET323" s="319" t="s">
        <v>190</v>
      </c>
      <c r="EU323" s="319" t="s">
        <v>190</v>
      </c>
      <c r="EV323" s="319" t="s">
        <v>190</v>
      </c>
      <c r="EW323" s="319" t="s">
        <v>190</v>
      </c>
      <c r="EX323" s="319" t="s">
        <v>190</v>
      </c>
      <c r="EY323" s="319" t="s">
        <v>190</v>
      </c>
      <c r="EZ323" s="319" t="s">
        <v>190</v>
      </c>
      <c r="FA323" s="319" t="s">
        <v>190</v>
      </c>
      <c r="FB323" s="319" t="s">
        <v>428</v>
      </c>
      <c r="FC323" s="319" t="s">
        <v>190</v>
      </c>
      <c r="FD323" s="319" t="s">
        <v>190</v>
      </c>
      <c r="FE323" s="319" t="s">
        <v>190</v>
      </c>
      <c r="FF323" s="319" t="s">
        <v>190</v>
      </c>
      <c r="FG323" s="319" t="s">
        <v>190</v>
      </c>
      <c r="FH323" s="319" t="s">
        <v>190</v>
      </c>
      <c r="FI323" s="319" t="s">
        <v>428</v>
      </c>
      <c r="FJ323" s="319" t="s">
        <v>429</v>
      </c>
      <c r="FK323" s="319" t="s">
        <v>428</v>
      </c>
      <c r="FL323" s="319" t="s">
        <v>190</v>
      </c>
      <c r="FM323" s="319" t="s">
        <v>190</v>
      </c>
      <c r="FN323" s="319" t="s">
        <v>190</v>
      </c>
      <c r="FO323" s="319" t="s">
        <v>190</v>
      </c>
      <c r="FP323" s="319" t="s">
        <v>190</v>
      </c>
      <c r="FQ323" s="319" t="s">
        <v>190</v>
      </c>
      <c r="FR323" s="319" t="s">
        <v>190</v>
      </c>
      <c r="FS323" s="319" t="s">
        <v>428</v>
      </c>
      <c r="FT323" s="319" t="s">
        <v>190</v>
      </c>
      <c r="FU323" s="319" t="s">
        <v>190</v>
      </c>
      <c r="FV323" s="319" t="s">
        <v>190</v>
      </c>
      <c r="FW323" s="319" t="s">
        <v>190</v>
      </c>
      <c r="FX323" s="319" t="s">
        <v>190</v>
      </c>
      <c r="FY323" s="319" t="s">
        <v>190</v>
      </c>
      <c r="FZ323" s="319" t="s">
        <v>190</v>
      </c>
      <c r="GA323" s="319" t="s">
        <v>190</v>
      </c>
      <c r="GB323" s="319" t="s">
        <v>190</v>
      </c>
      <c r="GC323" s="319" t="s">
        <v>190</v>
      </c>
      <c r="GD323" s="319" t="s">
        <v>190</v>
      </c>
      <c r="GE323" s="319" t="s">
        <v>190</v>
      </c>
      <c r="GF323" s="319" t="s">
        <v>190</v>
      </c>
      <c r="GG323" s="319" t="s">
        <v>190</v>
      </c>
      <c r="GH323" s="319" t="s">
        <v>190</v>
      </c>
      <c r="GI323" s="319" t="s">
        <v>190</v>
      </c>
      <c r="GJ323" s="319" t="s">
        <v>190</v>
      </c>
      <c r="GK323" s="319" t="s">
        <v>428</v>
      </c>
      <c r="GL323" s="319" t="s">
        <v>190</v>
      </c>
      <c r="GM323" s="319" t="s">
        <v>190</v>
      </c>
      <c r="GN323" s="319" t="s">
        <v>190</v>
      </c>
      <c r="GO323" s="319" t="s">
        <v>190</v>
      </c>
      <c r="GP323" s="319" t="s">
        <v>190</v>
      </c>
      <c r="GQ323" s="319" t="s">
        <v>190</v>
      </c>
      <c r="GR323" s="319" t="s">
        <v>190</v>
      </c>
      <c r="GS323" s="319" t="s">
        <v>190</v>
      </c>
      <c r="GT323" s="319" t="s">
        <v>428</v>
      </c>
      <c r="GU323" s="319" t="s">
        <v>428</v>
      </c>
      <c r="GV323" s="319" t="s">
        <v>173</v>
      </c>
      <c r="GW323" s="319" t="s">
        <v>190</v>
      </c>
      <c r="GX323" s="319" t="s">
        <v>190</v>
      </c>
      <c r="GY323" s="319" t="s">
        <v>190</v>
      </c>
      <c r="GZ323" s="319" t="s">
        <v>190</v>
      </c>
      <c r="HA323" s="319" t="s">
        <v>428</v>
      </c>
      <c r="HB323" s="319" t="s">
        <v>428</v>
      </c>
      <c r="HC323" s="319" t="s">
        <v>190</v>
      </c>
      <c r="HD323" s="319" t="s">
        <v>190</v>
      </c>
      <c r="HE323" s="319" t="s">
        <v>190</v>
      </c>
      <c r="HF323" s="319" t="s">
        <v>428</v>
      </c>
      <c r="HG323" s="319" t="s">
        <v>190</v>
      </c>
      <c r="HH323" s="319" t="s">
        <v>190</v>
      </c>
      <c r="HI323" s="319" t="s">
        <v>190</v>
      </c>
      <c r="HJ323" s="319" t="s">
        <v>190</v>
      </c>
      <c r="HK323" s="319" t="s">
        <v>190</v>
      </c>
      <c r="HL323" s="319" t="s">
        <v>190</v>
      </c>
      <c r="HM323" s="319" t="s">
        <v>190</v>
      </c>
      <c r="HN323" s="319" t="s">
        <v>190</v>
      </c>
      <c r="HO323" s="319" t="s">
        <v>190</v>
      </c>
      <c r="HP323" s="319" t="s">
        <v>190</v>
      </c>
      <c r="HQ323" s="319" t="s">
        <v>190</v>
      </c>
      <c r="HR323" s="319" t="s">
        <v>190</v>
      </c>
      <c r="HS323" s="319" t="s">
        <v>190</v>
      </c>
      <c r="HT323" s="319" t="s">
        <v>190</v>
      </c>
      <c r="HU323" s="319" t="s">
        <v>190</v>
      </c>
      <c r="HV323" s="319" t="s">
        <v>190</v>
      </c>
      <c r="HW323" s="319" t="s">
        <v>190</v>
      </c>
      <c r="HX323" s="319" t="s">
        <v>190</v>
      </c>
      <c r="HY323" s="319" t="s">
        <v>190</v>
      </c>
      <c r="HZ323" s="319" t="s">
        <v>190</v>
      </c>
      <c r="IA323" s="319" t="s">
        <v>190</v>
      </c>
      <c r="IB323" s="319" t="s">
        <v>190</v>
      </c>
      <c r="IC323" s="319" t="s">
        <v>190</v>
      </c>
      <c r="ID323" s="319" t="s">
        <v>190</v>
      </c>
      <c r="IE323" s="319" t="s">
        <v>190</v>
      </c>
      <c r="IF323" s="319" t="s">
        <v>190</v>
      </c>
      <c r="IG323" s="319" t="s">
        <v>190</v>
      </c>
      <c r="IH323" s="319" t="s">
        <v>190</v>
      </c>
      <c r="II323" s="319" t="s">
        <v>190</v>
      </c>
      <c r="IJ323" s="319" t="s">
        <v>1653</v>
      </c>
      <c r="IK323" s="321">
        <v>39246</v>
      </c>
      <c r="IL323" s="321">
        <v>39247</v>
      </c>
      <c r="IM323" s="321">
        <v>39274</v>
      </c>
      <c r="IN323" s="319">
        <v>3</v>
      </c>
      <c r="IO323" s="319" t="s">
        <v>173</v>
      </c>
      <c r="IP323" s="319" t="s">
        <v>173</v>
      </c>
      <c r="IQ323" s="319" t="s">
        <v>173</v>
      </c>
      <c r="IR323" s="320" t="s">
        <v>173</v>
      </c>
      <c r="IS323" s="320" t="s">
        <v>173</v>
      </c>
      <c r="IT323" s="319" t="s">
        <v>173</v>
      </c>
    </row>
    <row r="324" spans="1:254" s="271" customFormat="1" x14ac:dyDescent="0.25">
      <c r="A324" s="318" t="str">
        <f>HYPERLINK("http://www.ofsted.gov.uk/inspection-reports/find-inspection-report/provider/ELS/131379 ","Ofsted School Webpage")</f>
        <v>Ofsted School Webpage</v>
      </c>
      <c r="B324" s="319">
        <v>131379</v>
      </c>
      <c r="C324" s="319">
        <v>3546036</v>
      </c>
      <c r="D324" s="319" t="s">
        <v>1654</v>
      </c>
      <c r="E324" s="319" t="s">
        <v>168</v>
      </c>
      <c r="F324" s="319" t="s">
        <v>81</v>
      </c>
      <c r="G324" s="319" t="s">
        <v>81</v>
      </c>
      <c r="H324" s="319" t="s">
        <v>81</v>
      </c>
      <c r="I324" s="319" t="s">
        <v>78</v>
      </c>
      <c r="J324" s="319" t="s">
        <v>424</v>
      </c>
      <c r="K324" s="319" t="s">
        <v>431</v>
      </c>
      <c r="L324" s="319" t="s">
        <v>431</v>
      </c>
      <c r="M324" s="319" t="s">
        <v>536</v>
      </c>
      <c r="N324" s="319" t="s">
        <v>3076</v>
      </c>
      <c r="O324" s="319" t="s">
        <v>836</v>
      </c>
      <c r="P324" s="319">
        <v>5</v>
      </c>
      <c r="Q324" s="319" t="s">
        <v>429</v>
      </c>
      <c r="R324" s="320">
        <v>10092575</v>
      </c>
      <c r="S324" s="321">
        <v>43627</v>
      </c>
      <c r="T324" s="321">
        <v>43629</v>
      </c>
      <c r="U324" s="321">
        <v>43648</v>
      </c>
      <c r="V324" s="319" t="s">
        <v>425</v>
      </c>
      <c r="W324" s="319" t="s">
        <v>2767</v>
      </c>
      <c r="X324" s="319">
        <v>1</v>
      </c>
      <c r="Y324" s="319" t="s">
        <v>173</v>
      </c>
      <c r="Z324" s="319" t="s">
        <v>173</v>
      </c>
      <c r="AA324" s="319" t="s">
        <v>173</v>
      </c>
      <c r="AB324" s="319">
        <v>1</v>
      </c>
      <c r="AC324" s="319" t="s">
        <v>169</v>
      </c>
      <c r="AD324" s="319" t="s">
        <v>173</v>
      </c>
      <c r="AE324" s="319" t="s">
        <v>173</v>
      </c>
      <c r="AF324" s="319" t="s">
        <v>427</v>
      </c>
      <c r="AG324" s="319" t="s">
        <v>171</v>
      </c>
      <c r="AH324" s="319" t="s">
        <v>190</v>
      </c>
      <c r="AI324" s="319" t="s">
        <v>190</v>
      </c>
      <c r="AJ324" s="319" t="s">
        <v>190</v>
      </c>
      <c r="AK324" s="319" t="s">
        <v>190</v>
      </c>
      <c r="AL324" s="319" t="s">
        <v>190</v>
      </c>
      <c r="AM324" s="319" t="s">
        <v>190</v>
      </c>
      <c r="AN324" s="319" t="s">
        <v>190</v>
      </c>
      <c r="AO324" s="319" t="s">
        <v>190</v>
      </c>
      <c r="AP324" s="319" t="s">
        <v>190</v>
      </c>
      <c r="AQ324" s="319" t="s">
        <v>190</v>
      </c>
      <c r="AR324" s="319" t="s">
        <v>190</v>
      </c>
      <c r="AS324" s="319" t="s">
        <v>190</v>
      </c>
      <c r="AT324" s="319" t="s">
        <v>190</v>
      </c>
      <c r="AU324" s="319" t="s">
        <v>190</v>
      </c>
      <c r="AV324" s="319" t="s">
        <v>190</v>
      </c>
      <c r="AW324" s="319" t="s">
        <v>190</v>
      </c>
      <c r="AX324" s="319" t="s">
        <v>428</v>
      </c>
      <c r="AY324" s="319" t="s">
        <v>190</v>
      </c>
      <c r="AZ324" s="319" t="s">
        <v>190</v>
      </c>
      <c r="BA324" s="319" t="s">
        <v>190</v>
      </c>
      <c r="BB324" s="319" t="s">
        <v>190</v>
      </c>
      <c r="BC324" s="319" t="s">
        <v>190</v>
      </c>
      <c r="BD324" s="319" t="s">
        <v>190</v>
      </c>
      <c r="BE324" s="319" t="s">
        <v>190</v>
      </c>
      <c r="BF324" s="319" t="s">
        <v>428</v>
      </c>
      <c r="BG324" s="319" t="s">
        <v>428</v>
      </c>
      <c r="BH324" s="319" t="s">
        <v>190</v>
      </c>
      <c r="BI324" s="319" t="s">
        <v>190</v>
      </c>
      <c r="BJ324" s="319" t="s">
        <v>190</v>
      </c>
      <c r="BK324" s="319" t="s">
        <v>190</v>
      </c>
      <c r="BL324" s="319" t="s">
        <v>190</v>
      </c>
      <c r="BM324" s="319" t="s">
        <v>190</v>
      </c>
      <c r="BN324" s="319" t="s">
        <v>190</v>
      </c>
      <c r="BO324" s="319" t="s">
        <v>190</v>
      </c>
      <c r="BP324" s="319" t="s">
        <v>190</v>
      </c>
      <c r="BQ324" s="319" t="s">
        <v>190</v>
      </c>
      <c r="BR324" s="319" t="s">
        <v>190</v>
      </c>
      <c r="BS324" s="319" t="s">
        <v>190</v>
      </c>
      <c r="BT324" s="319" t="s">
        <v>190</v>
      </c>
      <c r="BU324" s="319" t="s">
        <v>190</v>
      </c>
      <c r="BV324" s="319" t="s">
        <v>190</v>
      </c>
      <c r="BW324" s="319" t="s">
        <v>190</v>
      </c>
      <c r="BX324" s="319" t="s">
        <v>190</v>
      </c>
      <c r="BY324" s="319" t="s">
        <v>190</v>
      </c>
      <c r="BZ324" s="319" t="s">
        <v>190</v>
      </c>
      <c r="CA324" s="319" t="s">
        <v>190</v>
      </c>
      <c r="CB324" s="319" t="s">
        <v>190</v>
      </c>
      <c r="CC324" s="319" t="s">
        <v>190</v>
      </c>
      <c r="CD324" s="319" t="s">
        <v>190</v>
      </c>
      <c r="CE324" s="319" t="s">
        <v>190</v>
      </c>
      <c r="CF324" s="319" t="s">
        <v>190</v>
      </c>
      <c r="CG324" s="319" t="s">
        <v>190</v>
      </c>
      <c r="CH324" s="319" t="s">
        <v>190</v>
      </c>
      <c r="CI324" s="319" t="s">
        <v>190</v>
      </c>
      <c r="CJ324" s="319" t="s">
        <v>190</v>
      </c>
      <c r="CK324" s="319" t="s">
        <v>190</v>
      </c>
      <c r="CL324" s="319" t="s">
        <v>190</v>
      </c>
      <c r="CM324" s="319" t="s">
        <v>190</v>
      </c>
      <c r="CN324" s="319" t="s">
        <v>428</v>
      </c>
      <c r="CO324" s="319" t="s">
        <v>428</v>
      </c>
      <c r="CP324" s="319" t="s">
        <v>428</v>
      </c>
      <c r="CQ324" s="319" t="s">
        <v>190</v>
      </c>
      <c r="CR324" s="319" t="s">
        <v>190</v>
      </c>
      <c r="CS324" s="319" t="s">
        <v>190</v>
      </c>
      <c r="CT324" s="319" t="s">
        <v>190</v>
      </c>
      <c r="CU324" s="319" t="s">
        <v>190</v>
      </c>
      <c r="CV324" s="319" t="s">
        <v>190</v>
      </c>
      <c r="CW324" s="319" t="s">
        <v>190</v>
      </c>
      <c r="CX324" s="319" t="s">
        <v>190</v>
      </c>
      <c r="CY324" s="319" t="s">
        <v>190</v>
      </c>
      <c r="CZ324" s="319" t="s">
        <v>190</v>
      </c>
      <c r="DA324" s="319" t="s">
        <v>190</v>
      </c>
      <c r="DB324" s="319" t="s">
        <v>190</v>
      </c>
      <c r="DC324" s="319" t="s">
        <v>190</v>
      </c>
      <c r="DD324" s="319" t="s">
        <v>190</v>
      </c>
      <c r="DE324" s="319" t="s">
        <v>190</v>
      </c>
      <c r="DF324" s="319" t="s">
        <v>190</v>
      </c>
      <c r="DG324" s="319" t="s">
        <v>190</v>
      </c>
      <c r="DH324" s="319" t="s">
        <v>190</v>
      </c>
      <c r="DI324" s="319" t="s">
        <v>190</v>
      </c>
      <c r="DJ324" s="319" t="s">
        <v>190</v>
      </c>
      <c r="DK324" s="319" t="s">
        <v>190</v>
      </c>
      <c r="DL324" s="319" t="s">
        <v>190</v>
      </c>
      <c r="DM324" s="319" t="s">
        <v>190</v>
      </c>
      <c r="DN324" s="319" t="s">
        <v>428</v>
      </c>
      <c r="DO324" s="319" t="s">
        <v>190</v>
      </c>
      <c r="DP324" s="319" t="s">
        <v>190</v>
      </c>
      <c r="DQ324" s="319" t="s">
        <v>190</v>
      </c>
      <c r="DR324" s="319" t="s">
        <v>190</v>
      </c>
      <c r="DS324" s="319" t="s">
        <v>190</v>
      </c>
      <c r="DT324" s="319" t="s">
        <v>190</v>
      </c>
      <c r="DU324" s="319" t="s">
        <v>190</v>
      </c>
      <c r="DV324" s="319" t="s">
        <v>173</v>
      </c>
      <c r="DW324" s="319" t="s">
        <v>190</v>
      </c>
      <c r="DX324" s="319" t="s">
        <v>190</v>
      </c>
      <c r="DY324" s="319" t="s">
        <v>190</v>
      </c>
      <c r="DZ324" s="319" t="s">
        <v>190</v>
      </c>
      <c r="EA324" s="319" t="s">
        <v>190</v>
      </c>
      <c r="EB324" s="319" t="s">
        <v>190</v>
      </c>
      <c r="EC324" s="319" t="s">
        <v>428</v>
      </c>
      <c r="ED324" s="319" t="s">
        <v>190</v>
      </c>
      <c r="EE324" s="319" t="s">
        <v>428</v>
      </c>
      <c r="EF324" s="319" t="s">
        <v>428</v>
      </c>
      <c r="EG324" s="319" t="s">
        <v>428</v>
      </c>
      <c r="EH324" s="319" t="s">
        <v>428</v>
      </c>
      <c r="EI324" s="319" t="s">
        <v>428</v>
      </c>
      <c r="EJ324" s="319" t="s">
        <v>428</v>
      </c>
      <c r="EK324" s="319" t="s">
        <v>428</v>
      </c>
      <c r="EL324" s="319" t="s">
        <v>428</v>
      </c>
      <c r="EM324" s="319" t="s">
        <v>428</v>
      </c>
      <c r="EN324" s="319" t="s">
        <v>190</v>
      </c>
      <c r="EO324" s="319" t="s">
        <v>190</v>
      </c>
      <c r="EP324" s="319" t="s">
        <v>190</v>
      </c>
      <c r="EQ324" s="319" t="s">
        <v>190</v>
      </c>
      <c r="ER324" s="319" t="s">
        <v>190</v>
      </c>
      <c r="ES324" s="319" t="s">
        <v>190</v>
      </c>
      <c r="ET324" s="319" t="s">
        <v>190</v>
      </c>
      <c r="EU324" s="319" t="s">
        <v>190</v>
      </c>
      <c r="EV324" s="319" t="s">
        <v>190</v>
      </c>
      <c r="EW324" s="319" t="s">
        <v>190</v>
      </c>
      <c r="EX324" s="319" t="s">
        <v>190</v>
      </c>
      <c r="EY324" s="319" t="s">
        <v>190</v>
      </c>
      <c r="EZ324" s="319" t="s">
        <v>190</v>
      </c>
      <c r="FA324" s="319" t="s">
        <v>190</v>
      </c>
      <c r="FB324" s="319" t="s">
        <v>190</v>
      </c>
      <c r="FC324" s="319" t="s">
        <v>190</v>
      </c>
      <c r="FD324" s="319" t="s">
        <v>190</v>
      </c>
      <c r="FE324" s="319" t="s">
        <v>190</v>
      </c>
      <c r="FF324" s="319" t="s">
        <v>190</v>
      </c>
      <c r="FG324" s="319" t="s">
        <v>190</v>
      </c>
      <c r="FH324" s="319" t="s">
        <v>190</v>
      </c>
      <c r="FI324" s="319" t="s">
        <v>190</v>
      </c>
      <c r="FJ324" s="319" t="s">
        <v>190</v>
      </c>
      <c r="FK324" s="319" t="s">
        <v>190</v>
      </c>
      <c r="FL324" s="319" t="s">
        <v>190</v>
      </c>
      <c r="FM324" s="319" t="s">
        <v>190</v>
      </c>
      <c r="FN324" s="319" t="s">
        <v>190</v>
      </c>
      <c r="FO324" s="319" t="s">
        <v>190</v>
      </c>
      <c r="FP324" s="319" t="s">
        <v>190</v>
      </c>
      <c r="FQ324" s="319" t="s">
        <v>190</v>
      </c>
      <c r="FR324" s="319" t="s">
        <v>190</v>
      </c>
      <c r="FS324" s="319" t="s">
        <v>428</v>
      </c>
      <c r="FT324" s="319" t="s">
        <v>190</v>
      </c>
      <c r="FU324" s="319" t="s">
        <v>190</v>
      </c>
      <c r="FV324" s="319" t="s">
        <v>190</v>
      </c>
      <c r="FW324" s="319" t="s">
        <v>190</v>
      </c>
      <c r="FX324" s="319" t="s">
        <v>190</v>
      </c>
      <c r="FY324" s="319" t="s">
        <v>190</v>
      </c>
      <c r="FZ324" s="319" t="s">
        <v>190</v>
      </c>
      <c r="GA324" s="319" t="s">
        <v>190</v>
      </c>
      <c r="GB324" s="319" t="s">
        <v>190</v>
      </c>
      <c r="GC324" s="319" t="s">
        <v>190</v>
      </c>
      <c r="GD324" s="319" t="s">
        <v>190</v>
      </c>
      <c r="GE324" s="319" t="s">
        <v>190</v>
      </c>
      <c r="GF324" s="319" t="s">
        <v>190</v>
      </c>
      <c r="GG324" s="319" t="s">
        <v>190</v>
      </c>
      <c r="GH324" s="319" t="s">
        <v>190</v>
      </c>
      <c r="GI324" s="319" t="s">
        <v>190</v>
      </c>
      <c r="GJ324" s="319" t="s">
        <v>190</v>
      </c>
      <c r="GK324" s="319" t="s">
        <v>428</v>
      </c>
      <c r="GL324" s="319" t="s">
        <v>190</v>
      </c>
      <c r="GM324" s="319" t="s">
        <v>190</v>
      </c>
      <c r="GN324" s="319" t="s">
        <v>190</v>
      </c>
      <c r="GO324" s="319" t="s">
        <v>190</v>
      </c>
      <c r="GP324" s="319" t="s">
        <v>190</v>
      </c>
      <c r="GQ324" s="319" t="s">
        <v>428</v>
      </c>
      <c r="GR324" s="319" t="s">
        <v>190</v>
      </c>
      <c r="GS324" s="319" t="s">
        <v>190</v>
      </c>
      <c r="GT324" s="319" t="s">
        <v>190</v>
      </c>
      <c r="GU324" s="319" t="s">
        <v>190</v>
      </c>
      <c r="GV324" s="319" t="s">
        <v>190</v>
      </c>
      <c r="GW324" s="319" t="s">
        <v>190</v>
      </c>
      <c r="GX324" s="319" t="s">
        <v>190</v>
      </c>
      <c r="GY324" s="319" t="s">
        <v>190</v>
      </c>
      <c r="GZ324" s="319" t="s">
        <v>190</v>
      </c>
      <c r="HA324" s="319" t="s">
        <v>428</v>
      </c>
      <c r="HB324" s="319" t="s">
        <v>428</v>
      </c>
      <c r="HC324" s="319" t="s">
        <v>190</v>
      </c>
      <c r="HD324" s="319" t="s">
        <v>190</v>
      </c>
      <c r="HE324" s="319" t="s">
        <v>190</v>
      </c>
      <c r="HF324" s="319" t="s">
        <v>190</v>
      </c>
      <c r="HG324" s="319" t="s">
        <v>190</v>
      </c>
      <c r="HH324" s="319" t="s">
        <v>190</v>
      </c>
      <c r="HI324" s="319" t="s">
        <v>190</v>
      </c>
      <c r="HJ324" s="319" t="s">
        <v>190</v>
      </c>
      <c r="HK324" s="319" t="s">
        <v>190</v>
      </c>
      <c r="HL324" s="319" t="s">
        <v>428</v>
      </c>
      <c r="HM324" s="319" t="s">
        <v>428</v>
      </c>
      <c r="HN324" s="319" t="s">
        <v>428</v>
      </c>
      <c r="HO324" s="319" t="s">
        <v>428</v>
      </c>
      <c r="HP324" s="319" t="s">
        <v>190</v>
      </c>
      <c r="HQ324" s="319" t="s">
        <v>190</v>
      </c>
      <c r="HR324" s="319" t="s">
        <v>190</v>
      </c>
      <c r="HS324" s="319" t="s">
        <v>190</v>
      </c>
      <c r="HT324" s="319" t="s">
        <v>190</v>
      </c>
      <c r="HU324" s="319" t="s">
        <v>190</v>
      </c>
      <c r="HV324" s="319" t="s">
        <v>190</v>
      </c>
      <c r="HW324" s="319" t="s">
        <v>190</v>
      </c>
      <c r="HX324" s="319" t="s">
        <v>190</v>
      </c>
      <c r="HY324" s="319" t="s">
        <v>190</v>
      </c>
      <c r="HZ324" s="319" t="s">
        <v>190</v>
      </c>
      <c r="IA324" s="319" t="s">
        <v>190</v>
      </c>
      <c r="IB324" s="319" t="s">
        <v>190</v>
      </c>
      <c r="IC324" s="319" t="s">
        <v>190</v>
      </c>
      <c r="ID324" s="319" t="s">
        <v>190</v>
      </c>
      <c r="IE324" s="319" t="s">
        <v>190</v>
      </c>
      <c r="IF324" s="319" t="s">
        <v>190</v>
      </c>
      <c r="IG324" s="319" t="s">
        <v>190</v>
      </c>
      <c r="IH324" s="319" t="s">
        <v>190</v>
      </c>
      <c r="II324" s="319" t="s">
        <v>190</v>
      </c>
      <c r="IJ324" s="319">
        <v>10012914</v>
      </c>
      <c r="IK324" s="321">
        <v>42795</v>
      </c>
      <c r="IL324" s="321">
        <v>42796</v>
      </c>
      <c r="IM324" s="321">
        <v>42816</v>
      </c>
      <c r="IN324" s="319">
        <v>2</v>
      </c>
      <c r="IO324" s="319" t="s">
        <v>173</v>
      </c>
      <c r="IP324" s="319" t="s">
        <v>173</v>
      </c>
      <c r="IQ324" s="321" t="s">
        <v>173</v>
      </c>
      <c r="IR324" s="320" t="s">
        <v>173</v>
      </c>
      <c r="IS324" s="322" t="s">
        <v>173</v>
      </c>
      <c r="IT324" s="319" t="s">
        <v>173</v>
      </c>
    </row>
    <row r="325" spans="1:254" s="271" customFormat="1" x14ac:dyDescent="0.25">
      <c r="A325" s="318" t="str">
        <f>HYPERLINK("http://www.ofsted.gov.uk/inspection-reports/find-inspection-report/provider/ELS/131388 ","Ofsted School Webpage")</f>
        <v>Ofsted School Webpage</v>
      </c>
      <c r="B325" s="319">
        <v>131388</v>
      </c>
      <c r="C325" s="319">
        <v>2116387</v>
      </c>
      <c r="D325" s="319" t="s">
        <v>1655</v>
      </c>
      <c r="E325" s="319" t="s">
        <v>167</v>
      </c>
      <c r="F325" s="319" t="s">
        <v>81</v>
      </c>
      <c r="G325" s="319" t="s">
        <v>72</v>
      </c>
      <c r="H325" s="319" t="s">
        <v>72</v>
      </c>
      <c r="I325" s="319" t="s">
        <v>72</v>
      </c>
      <c r="J325" s="319" t="s">
        <v>424</v>
      </c>
      <c r="K325" s="319" t="s">
        <v>441</v>
      </c>
      <c r="L325" s="319" t="s">
        <v>441</v>
      </c>
      <c r="M325" s="319" t="s">
        <v>757</v>
      </c>
      <c r="N325" s="319" t="s">
        <v>2782</v>
      </c>
      <c r="O325" s="319" t="s">
        <v>1656</v>
      </c>
      <c r="P325" s="319">
        <v>159</v>
      </c>
      <c r="Q325" s="319" t="s">
        <v>2766</v>
      </c>
      <c r="R325" s="320">
        <v>10038161</v>
      </c>
      <c r="S325" s="321">
        <v>43109</v>
      </c>
      <c r="T325" s="321">
        <v>43111</v>
      </c>
      <c r="U325" s="321">
        <v>43228</v>
      </c>
      <c r="V325" s="319" t="s">
        <v>425</v>
      </c>
      <c r="W325" s="319" t="s">
        <v>2767</v>
      </c>
      <c r="X325" s="319">
        <v>2</v>
      </c>
      <c r="Y325" s="319" t="s">
        <v>173</v>
      </c>
      <c r="Z325" s="319" t="s">
        <v>173</v>
      </c>
      <c r="AA325" s="319" t="s">
        <v>173</v>
      </c>
      <c r="AB325" s="319">
        <v>2</v>
      </c>
      <c r="AC325" s="319" t="s">
        <v>169</v>
      </c>
      <c r="AD325" s="319" t="s">
        <v>173</v>
      </c>
      <c r="AE325" s="319" t="s">
        <v>173</v>
      </c>
      <c r="AF325" s="319" t="s">
        <v>427</v>
      </c>
      <c r="AG325" s="319" t="s">
        <v>171</v>
      </c>
      <c r="AH325" s="319" t="s">
        <v>190</v>
      </c>
      <c r="AI325" s="319" t="s">
        <v>190</v>
      </c>
      <c r="AJ325" s="319" t="s">
        <v>190</v>
      </c>
      <c r="AK325" s="319" t="s">
        <v>190</v>
      </c>
      <c r="AL325" s="319" t="s">
        <v>190</v>
      </c>
      <c r="AM325" s="319" t="s">
        <v>190</v>
      </c>
      <c r="AN325" s="319" t="s">
        <v>190</v>
      </c>
      <c r="AO325" s="319" t="s">
        <v>190</v>
      </c>
      <c r="AP325" s="319" t="s">
        <v>190</v>
      </c>
      <c r="AQ325" s="319" t="s">
        <v>190</v>
      </c>
      <c r="AR325" s="319" t="s">
        <v>190</v>
      </c>
      <c r="AS325" s="319" t="s">
        <v>190</v>
      </c>
      <c r="AT325" s="319" t="s">
        <v>190</v>
      </c>
      <c r="AU325" s="319" t="s">
        <v>190</v>
      </c>
      <c r="AV325" s="319" t="s">
        <v>190</v>
      </c>
      <c r="AW325" s="319" t="s">
        <v>190</v>
      </c>
      <c r="AX325" s="319" t="s">
        <v>190</v>
      </c>
      <c r="AY325" s="319" t="s">
        <v>190</v>
      </c>
      <c r="AZ325" s="319" t="s">
        <v>190</v>
      </c>
      <c r="BA325" s="319" t="s">
        <v>190</v>
      </c>
      <c r="BB325" s="319" t="s">
        <v>190</v>
      </c>
      <c r="BC325" s="319" t="s">
        <v>190</v>
      </c>
      <c r="BD325" s="319" t="s">
        <v>190</v>
      </c>
      <c r="BE325" s="319" t="s">
        <v>190</v>
      </c>
      <c r="BF325" s="319" t="s">
        <v>428</v>
      </c>
      <c r="BG325" s="319" t="s">
        <v>190</v>
      </c>
      <c r="BH325" s="319" t="s">
        <v>190</v>
      </c>
      <c r="BI325" s="319" t="s">
        <v>190</v>
      </c>
      <c r="BJ325" s="319" t="s">
        <v>190</v>
      </c>
      <c r="BK325" s="319" t="s">
        <v>190</v>
      </c>
      <c r="BL325" s="319" t="s">
        <v>190</v>
      </c>
      <c r="BM325" s="319" t="s">
        <v>190</v>
      </c>
      <c r="BN325" s="319" t="s">
        <v>190</v>
      </c>
      <c r="BO325" s="319" t="s">
        <v>190</v>
      </c>
      <c r="BP325" s="319" t="s">
        <v>190</v>
      </c>
      <c r="BQ325" s="319" t="s">
        <v>190</v>
      </c>
      <c r="BR325" s="319" t="s">
        <v>190</v>
      </c>
      <c r="BS325" s="319" t="s">
        <v>190</v>
      </c>
      <c r="BT325" s="319" t="s">
        <v>190</v>
      </c>
      <c r="BU325" s="319" t="s">
        <v>190</v>
      </c>
      <c r="BV325" s="319" t="s">
        <v>190</v>
      </c>
      <c r="BW325" s="319" t="s">
        <v>190</v>
      </c>
      <c r="BX325" s="319" t="s">
        <v>190</v>
      </c>
      <c r="BY325" s="319" t="s">
        <v>190</v>
      </c>
      <c r="BZ325" s="319" t="s">
        <v>190</v>
      </c>
      <c r="CA325" s="319" t="s">
        <v>190</v>
      </c>
      <c r="CB325" s="319" t="s">
        <v>190</v>
      </c>
      <c r="CC325" s="319" t="s">
        <v>190</v>
      </c>
      <c r="CD325" s="319" t="s">
        <v>190</v>
      </c>
      <c r="CE325" s="319" t="s">
        <v>190</v>
      </c>
      <c r="CF325" s="319" t="s">
        <v>190</v>
      </c>
      <c r="CG325" s="319" t="s">
        <v>190</v>
      </c>
      <c r="CH325" s="319" t="s">
        <v>190</v>
      </c>
      <c r="CI325" s="319" t="s">
        <v>190</v>
      </c>
      <c r="CJ325" s="319" t="s">
        <v>190</v>
      </c>
      <c r="CK325" s="319" t="s">
        <v>190</v>
      </c>
      <c r="CL325" s="319" t="s">
        <v>190</v>
      </c>
      <c r="CM325" s="319" t="s">
        <v>190</v>
      </c>
      <c r="CN325" s="319" t="s">
        <v>190</v>
      </c>
      <c r="CO325" s="319" t="s">
        <v>190</v>
      </c>
      <c r="CP325" s="319" t="s">
        <v>190</v>
      </c>
      <c r="CQ325" s="319" t="s">
        <v>190</v>
      </c>
      <c r="CR325" s="319" t="s">
        <v>190</v>
      </c>
      <c r="CS325" s="319" t="s">
        <v>190</v>
      </c>
      <c r="CT325" s="319" t="s">
        <v>190</v>
      </c>
      <c r="CU325" s="319" t="s">
        <v>190</v>
      </c>
      <c r="CV325" s="319" t="s">
        <v>190</v>
      </c>
      <c r="CW325" s="319" t="s">
        <v>190</v>
      </c>
      <c r="CX325" s="319" t="s">
        <v>190</v>
      </c>
      <c r="CY325" s="319" t="s">
        <v>190</v>
      </c>
      <c r="CZ325" s="319" t="s">
        <v>190</v>
      </c>
      <c r="DA325" s="319" t="s">
        <v>190</v>
      </c>
      <c r="DB325" s="319" t="s">
        <v>190</v>
      </c>
      <c r="DC325" s="319" t="s">
        <v>190</v>
      </c>
      <c r="DD325" s="319" t="s">
        <v>190</v>
      </c>
      <c r="DE325" s="319" t="s">
        <v>190</v>
      </c>
      <c r="DF325" s="319" t="s">
        <v>190</v>
      </c>
      <c r="DG325" s="319" t="s">
        <v>190</v>
      </c>
      <c r="DH325" s="319" t="s">
        <v>190</v>
      </c>
      <c r="DI325" s="319" t="s">
        <v>190</v>
      </c>
      <c r="DJ325" s="319" t="s">
        <v>190</v>
      </c>
      <c r="DK325" s="319" t="s">
        <v>190</v>
      </c>
      <c r="DL325" s="319" t="s">
        <v>190</v>
      </c>
      <c r="DM325" s="319" t="s">
        <v>190</v>
      </c>
      <c r="DN325" s="319" t="s">
        <v>428</v>
      </c>
      <c r="DO325" s="319" t="s">
        <v>190</v>
      </c>
      <c r="DP325" s="319" t="s">
        <v>190</v>
      </c>
      <c r="DQ325" s="319" t="s">
        <v>190</v>
      </c>
      <c r="DR325" s="319" t="s">
        <v>190</v>
      </c>
      <c r="DS325" s="319" t="s">
        <v>190</v>
      </c>
      <c r="DT325" s="319" t="s">
        <v>190</v>
      </c>
      <c r="DU325" s="319" t="s">
        <v>190</v>
      </c>
      <c r="DV325" s="319" t="s">
        <v>173</v>
      </c>
      <c r="DW325" s="319" t="s">
        <v>190</v>
      </c>
      <c r="DX325" s="319" t="s">
        <v>190</v>
      </c>
      <c r="DY325" s="319" t="s">
        <v>190</v>
      </c>
      <c r="DZ325" s="319" t="s">
        <v>190</v>
      </c>
      <c r="EA325" s="319" t="s">
        <v>190</v>
      </c>
      <c r="EB325" s="319" t="s">
        <v>190</v>
      </c>
      <c r="EC325" s="319" t="s">
        <v>428</v>
      </c>
      <c r="ED325" s="319" t="s">
        <v>428</v>
      </c>
      <c r="EE325" s="319" t="s">
        <v>190</v>
      </c>
      <c r="EF325" s="319" t="s">
        <v>190</v>
      </c>
      <c r="EG325" s="319" t="s">
        <v>190</v>
      </c>
      <c r="EH325" s="319" t="s">
        <v>190</v>
      </c>
      <c r="EI325" s="319" t="s">
        <v>190</v>
      </c>
      <c r="EJ325" s="319" t="s">
        <v>190</v>
      </c>
      <c r="EK325" s="319" t="s">
        <v>190</v>
      </c>
      <c r="EL325" s="319" t="s">
        <v>190</v>
      </c>
      <c r="EM325" s="319" t="s">
        <v>190</v>
      </c>
      <c r="EN325" s="319" t="s">
        <v>190</v>
      </c>
      <c r="EO325" s="319" t="s">
        <v>190</v>
      </c>
      <c r="EP325" s="319" t="s">
        <v>190</v>
      </c>
      <c r="EQ325" s="319" t="s">
        <v>190</v>
      </c>
      <c r="ER325" s="319" t="s">
        <v>190</v>
      </c>
      <c r="ES325" s="319" t="s">
        <v>190</v>
      </c>
      <c r="ET325" s="319" t="s">
        <v>190</v>
      </c>
      <c r="EU325" s="319" t="s">
        <v>190</v>
      </c>
      <c r="EV325" s="319" t="s">
        <v>190</v>
      </c>
      <c r="EW325" s="319" t="s">
        <v>190</v>
      </c>
      <c r="EX325" s="319" t="s">
        <v>190</v>
      </c>
      <c r="EY325" s="319" t="s">
        <v>190</v>
      </c>
      <c r="EZ325" s="319" t="s">
        <v>190</v>
      </c>
      <c r="FA325" s="319" t="s">
        <v>190</v>
      </c>
      <c r="FB325" s="319" t="s">
        <v>190</v>
      </c>
      <c r="FC325" s="319" t="s">
        <v>190</v>
      </c>
      <c r="FD325" s="319" t="s">
        <v>190</v>
      </c>
      <c r="FE325" s="319" t="s">
        <v>190</v>
      </c>
      <c r="FF325" s="319" t="s">
        <v>190</v>
      </c>
      <c r="FG325" s="319" t="s">
        <v>190</v>
      </c>
      <c r="FH325" s="319" t="s">
        <v>190</v>
      </c>
      <c r="FI325" s="319" t="s">
        <v>190</v>
      </c>
      <c r="FJ325" s="319" t="s">
        <v>190</v>
      </c>
      <c r="FK325" s="319" t="s">
        <v>190</v>
      </c>
      <c r="FL325" s="319" t="s">
        <v>190</v>
      </c>
      <c r="FM325" s="319" t="s">
        <v>190</v>
      </c>
      <c r="FN325" s="319" t="s">
        <v>190</v>
      </c>
      <c r="FO325" s="319" t="s">
        <v>190</v>
      </c>
      <c r="FP325" s="319" t="s">
        <v>190</v>
      </c>
      <c r="FQ325" s="319" t="s">
        <v>190</v>
      </c>
      <c r="FR325" s="319" t="s">
        <v>190</v>
      </c>
      <c r="FS325" s="319" t="s">
        <v>190</v>
      </c>
      <c r="FT325" s="319" t="s">
        <v>190</v>
      </c>
      <c r="FU325" s="319" t="s">
        <v>190</v>
      </c>
      <c r="FV325" s="319" t="s">
        <v>190</v>
      </c>
      <c r="FW325" s="319" t="s">
        <v>190</v>
      </c>
      <c r="FX325" s="319" t="s">
        <v>190</v>
      </c>
      <c r="FY325" s="319" t="s">
        <v>190</v>
      </c>
      <c r="FZ325" s="319" t="s">
        <v>190</v>
      </c>
      <c r="GA325" s="319" t="s">
        <v>190</v>
      </c>
      <c r="GB325" s="319" t="s">
        <v>190</v>
      </c>
      <c r="GC325" s="319" t="s">
        <v>190</v>
      </c>
      <c r="GD325" s="319" t="s">
        <v>190</v>
      </c>
      <c r="GE325" s="319" t="s">
        <v>190</v>
      </c>
      <c r="GF325" s="319" t="s">
        <v>190</v>
      </c>
      <c r="GG325" s="319" t="s">
        <v>190</v>
      </c>
      <c r="GH325" s="319" t="s">
        <v>190</v>
      </c>
      <c r="GI325" s="319" t="s">
        <v>190</v>
      </c>
      <c r="GJ325" s="319" t="s">
        <v>190</v>
      </c>
      <c r="GK325" s="319" t="s">
        <v>428</v>
      </c>
      <c r="GL325" s="319" t="s">
        <v>190</v>
      </c>
      <c r="GM325" s="319" t="s">
        <v>190</v>
      </c>
      <c r="GN325" s="319" t="s">
        <v>190</v>
      </c>
      <c r="GO325" s="319" t="s">
        <v>190</v>
      </c>
      <c r="GP325" s="319" t="s">
        <v>190</v>
      </c>
      <c r="GQ325" s="319" t="s">
        <v>428</v>
      </c>
      <c r="GR325" s="319" t="s">
        <v>190</v>
      </c>
      <c r="GS325" s="319" t="s">
        <v>190</v>
      </c>
      <c r="GT325" s="319" t="s">
        <v>190</v>
      </c>
      <c r="GU325" s="319" t="s">
        <v>190</v>
      </c>
      <c r="GV325" s="319" t="s">
        <v>190</v>
      </c>
      <c r="GW325" s="319" t="s">
        <v>190</v>
      </c>
      <c r="GX325" s="319" t="s">
        <v>190</v>
      </c>
      <c r="GY325" s="319" t="s">
        <v>190</v>
      </c>
      <c r="GZ325" s="319" t="s">
        <v>190</v>
      </c>
      <c r="HA325" s="319" t="s">
        <v>190</v>
      </c>
      <c r="HB325" s="319" t="s">
        <v>190</v>
      </c>
      <c r="HC325" s="319" t="s">
        <v>190</v>
      </c>
      <c r="HD325" s="319" t="s">
        <v>190</v>
      </c>
      <c r="HE325" s="319" t="s">
        <v>190</v>
      </c>
      <c r="HF325" s="319" t="s">
        <v>190</v>
      </c>
      <c r="HG325" s="319" t="s">
        <v>190</v>
      </c>
      <c r="HH325" s="319" t="s">
        <v>190</v>
      </c>
      <c r="HI325" s="319" t="s">
        <v>190</v>
      </c>
      <c r="HJ325" s="319" t="s">
        <v>190</v>
      </c>
      <c r="HK325" s="319" t="s">
        <v>190</v>
      </c>
      <c r="HL325" s="319" t="s">
        <v>190</v>
      </c>
      <c r="HM325" s="319" t="s">
        <v>190</v>
      </c>
      <c r="HN325" s="319" t="s">
        <v>190</v>
      </c>
      <c r="HO325" s="319" t="s">
        <v>190</v>
      </c>
      <c r="HP325" s="319" t="s">
        <v>190</v>
      </c>
      <c r="HQ325" s="319" t="s">
        <v>190</v>
      </c>
      <c r="HR325" s="319" t="s">
        <v>190</v>
      </c>
      <c r="HS325" s="319" t="s">
        <v>190</v>
      </c>
      <c r="HT325" s="319" t="s">
        <v>190</v>
      </c>
      <c r="HU325" s="319" t="s">
        <v>190</v>
      </c>
      <c r="HV325" s="319" t="s">
        <v>190</v>
      </c>
      <c r="HW325" s="319" t="s">
        <v>190</v>
      </c>
      <c r="HX325" s="319" t="s">
        <v>190</v>
      </c>
      <c r="HY325" s="319" t="s">
        <v>190</v>
      </c>
      <c r="HZ325" s="319" t="s">
        <v>190</v>
      </c>
      <c r="IA325" s="319" t="s">
        <v>190</v>
      </c>
      <c r="IB325" s="319" t="s">
        <v>190</v>
      </c>
      <c r="IC325" s="319" t="s">
        <v>190</v>
      </c>
      <c r="ID325" s="319" t="s">
        <v>190</v>
      </c>
      <c r="IE325" s="319" t="s">
        <v>190</v>
      </c>
      <c r="IF325" s="319" t="s">
        <v>190</v>
      </c>
      <c r="IG325" s="319" t="s">
        <v>190</v>
      </c>
      <c r="IH325" s="319" t="s">
        <v>190</v>
      </c>
      <c r="II325" s="319" t="s">
        <v>190</v>
      </c>
      <c r="IJ325" s="319" t="s">
        <v>3108</v>
      </c>
      <c r="IK325" s="321">
        <v>41920</v>
      </c>
      <c r="IL325" s="321">
        <v>41922</v>
      </c>
      <c r="IM325" s="321">
        <v>42039</v>
      </c>
      <c r="IN325" s="319">
        <v>4</v>
      </c>
      <c r="IO325" s="319" t="s">
        <v>173</v>
      </c>
      <c r="IP325" s="319" t="s">
        <v>173</v>
      </c>
      <c r="IQ325" s="321" t="s">
        <v>173</v>
      </c>
      <c r="IR325" s="320" t="s">
        <v>173</v>
      </c>
      <c r="IS325" s="322" t="s">
        <v>173</v>
      </c>
      <c r="IT325" s="319" t="s">
        <v>173</v>
      </c>
    </row>
    <row r="326" spans="1:254" s="271" customFormat="1" x14ac:dyDescent="0.25">
      <c r="A326" s="318" t="str">
        <f>HYPERLINK("http://www.ofsted.gov.uk/inspection-reports/find-inspection-report/provider/ELS/131389 ","Ofsted School Webpage")</f>
        <v>Ofsted School Webpage</v>
      </c>
      <c r="B326" s="319">
        <v>131389</v>
      </c>
      <c r="C326" s="319">
        <v>8896005</v>
      </c>
      <c r="D326" s="319" t="s">
        <v>1657</v>
      </c>
      <c r="E326" s="319" t="s">
        <v>167</v>
      </c>
      <c r="F326" s="319" t="s">
        <v>81</v>
      </c>
      <c r="G326" s="319" t="s">
        <v>72</v>
      </c>
      <c r="H326" s="319" t="s">
        <v>72</v>
      </c>
      <c r="I326" s="319" t="s">
        <v>72</v>
      </c>
      <c r="J326" s="319" t="s">
        <v>424</v>
      </c>
      <c r="K326" s="319" t="s">
        <v>431</v>
      </c>
      <c r="L326" s="319" t="s">
        <v>431</v>
      </c>
      <c r="M326" s="319" t="s">
        <v>541</v>
      </c>
      <c r="N326" s="319" t="s">
        <v>2993</v>
      </c>
      <c r="O326" s="319" t="s">
        <v>1658</v>
      </c>
      <c r="P326" s="319">
        <v>420</v>
      </c>
      <c r="Q326" s="319" t="s">
        <v>2776</v>
      </c>
      <c r="R326" s="320">
        <v>10020865</v>
      </c>
      <c r="S326" s="321">
        <v>42773</v>
      </c>
      <c r="T326" s="321">
        <v>42775</v>
      </c>
      <c r="U326" s="321">
        <v>42814</v>
      </c>
      <c r="V326" s="319" t="s">
        <v>425</v>
      </c>
      <c r="W326" s="319" t="s">
        <v>2767</v>
      </c>
      <c r="X326" s="319">
        <v>1</v>
      </c>
      <c r="Y326" s="319" t="s">
        <v>173</v>
      </c>
      <c r="Z326" s="319" t="s">
        <v>173</v>
      </c>
      <c r="AA326" s="319" t="s">
        <v>173</v>
      </c>
      <c r="AB326" s="319">
        <v>1</v>
      </c>
      <c r="AC326" s="319" t="s">
        <v>169</v>
      </c>
      <c r="AD326" s="319" t="s">
        <v>173</v>
      </c>
      <c r="AE326" s="319">
        <v>1</v>
      </c>
      <c r="AF326" s="319" t="s">
        <v>173</v>
      </c>
      <c r="AG326" s="319" t="s">
        <v>171</v>
      </c>
      <c r="AH326" s="319" t="s">
        <v>190</v>
      </c>
      <c r="AI326" s="319" t="s">
        <v>190</v>
      </c>
      <c r="AJ326" s="319" t="s">
        <v>190</v>
      </c>
      <c r="AK326" s="319" t="s">
        <v>190</v>
      </c>
      <c r="AL326" s="319" t="s">
        <v>190</v>
      </c>
      <c r="AM326" s="319" t="s">
        <v>190</v>
      </c>
      <c r="AN326" s="319" t="s">
        <v>190</v>
      </c>
      <c r="AO326" s="319" t="s">
        <v>190</v>
      </c>
      <c r="AP326" s="319" t="s">
        <v>190</v>
      </c>
      <c r="AQ326" s="319" t="s">
        <v>190</v>
      </c>
      <c r="AR326" s="319" t="s">
        <v>190</v>
      </c>
      <c r="AS326" s="319" t="s">
        <v>190</v>
      </c>
      <c r="AT326" s="319" t="s">
        <v>190</v>
      </c>
      <c r="AU326" s="319" t="s">
        <v>190</v>
      </c>
      <c r="AV326" s="319" t="s">
        <v>190</v>
      </c>
      <c r="AW326" s="319" t="s">
        <v>190</v>
      </c>
      <c r="AX326" s="319" t="s">
        <v>429</v>
      </c>
      <c r="AY326" s="319" t="s">
        <v>190</v>
      </c>
      <c r="AZ326" s="319" t="s">
        <v>190</v>
      </c>
      <c r="BA326" s="319" t="s">
        <v>190</v>
      </c>
      <c r="BB326" s="319" t="s">
        <v>190</v>
      </c>
      <c r="BC326" s="319" t="s">
        <v>190</v>
      </c>
      <c r="BD326" s="319" t="s">
        <v>190</v>
      </c>
      <c r="BE326" s="319" t="s">
        <v>190</v>
      </c>
      <c r="BF326" s="319" t="s">
        <v>429</v>
      </c>
      <c r="BG326" s="319" t="s">
        <v>190</v>
      </c>
      <c r="BH326" s="319" t="s">
        <v>190</v>
      </c>
      <c r="BI326" s="319" t="s">
        <v>190</v>
      </c>
      <c r="BJ326" s="319" t="s">
        <v>190</v>
      </c>
      <c r="BK326" s="319" t="s">
        <v>190</v>
      </c>
      <c r="BL326" s="319" t="s">
        <v>190</v>
      </c>
      <c r="BM326" s="319" t="s">
        <v>190</v>
      </c>
      <c r="BN326" s="319" t="s">
        <v>190</v>
      </c>
      <c r="BO326" s="319" t="s">
        <v>190</v>
      </c>
      <c r="BP326" s="319" t="s">
        <v>190</v>
      </c>
      <c r="BQ326" s="319" t="s">
        <v>190</v>
      </c>
      <c r="BR326" s="319" t="s">
        <v>190</v>
      </c>
      <c r="BS326" s="319" t="s">
        <v>190</v>
      </c>
      <c r="BT326" s="319" t="s">
        <v>190</v>
      </c>
      <c r="BU326" s="319" t="s">
        <v>190</v>
      </c>
      <c r="BV326" s="319" t="s">
        <v>190</v>
      </c>
      <c r="BW326" s="319" t="s">
        <v>190</v>
      </c>
      <c r="BX326" s="319" t="s">
        <v>190</v>
      </c>
      <c r="BY326" s="319" t="s">
        <v>190</v>
      </c>
      <c r="BZ326" s="319" t="s">
        <v>190</v>
      </c>
      <c r="CA326" s="319" t="s">
        <v>190</v>
      </c>
      <c r="CB326" s="319" t="s">
        <v>190</v>
      </c>
      <c r="CC326" s="319" t="s">
        <v>190</v>
      </c>
      <c r="CD326" s="319" t="s">
        <v>190</v>
      </c>
      <c r="CE326" s="319" t="s">
        <v>190</v>
      </c>
      <c r="CF326" s="319" t="s">
        <v>190</v>
      </c>
      <c r="CG326" s="319" t="s">
        <v>190</v>
      </c>
      <c r="CH326" s="319" t="s">
        <v>190</v>
      </c>
      <c r="CI326" s="319" t="s">
        <v>190</v>
      </c>
      <c r="CJ326" s="319" t="s">
        <v>190</v>
      </c>
      <c r="CK326" s="319" t="s">
        <v>190</v>
      </c>
      <c r="CL326" s="319" t="s">
        <v>190</v>
      </c>
      <c r="CM326" s="319" t="s">
        <v>190</v>
      </c>
      <c r="CN326" s="319" t="s">
        <v>429</v>
      </c>
      <c r="CO326" s="319" t="s">
        <v>429</v>
      </c>
      <c r="CP326" s="319" t="s">
        <v>429</v>
      </c>
      <c r="CQ326" s="319" t="s">
        <v>190</v>
      </c>
      <c r="CR326" s="319" t="s">
        <v>190</v>
      </c>
      <c r="CS326" s="319" t="s">
        <v>190</v>
      </c>
      <c r="CT326" s="319" t="s">
        <v>190</v>
      </c>
      <c r="CU326" s="319" t="s">
        <v>190</v>
      </c>
      <c r="CV326" s="319" t="s">
        <v>190</v>
      </c>
      <c r="CW326" s="319" t="s">
        <v>190</v>
      </c>
      <c r="CX326" s="319" t="s">
        <v>190</v>
      </c>
      <c r="CY326" s="319" t="s">
        <v>190</v>
      </c>
      <c r="CZ326" s="319" t="s">
        <v>190</v>
      </c>
      <c r="DA326" s="319" t="s">
        <v>190</v>
      </c>
      <c r="DB326" s="319" t="s">
        <v>190</v>
      </c>
      <c r="DC326" s="319" t="s">
        <v>190</v>
      </c>
      <c r="DD326" s="319" t="s">
        <v>190</v>
      </c>
      <c r="DE326" s="319" t="s">
        <v>190</v>
      </c>
      <c r="DF326" s="319" t="s">
        <v>190</v>
      </c>
      <c r="DG326" s="319" t="s">
        <v>190</v>
      </c>
      <c r="DH326" s="319" t="s">
        <v>190</v>
      </c>
      <c r="DI326" s="319" t="s">
        <v>190</v>
      </c>
      <c r="DJ326" s="319" t="s">
        <v>190</v>
      </c>
      <c r="DK326" s="319" t="s">
        <v>190</v>
      </c>
      <c r="DL326" s="319" t="s">
        <v>190</v>
      </c>
      <c r="DM326" s="319" t="s">
        <v>190</v>
      </c>
      <c r="DN326" s="319" t="s">
        <v>429</v>
      </c>
      <c r="DO326" s="319" t="s">
        <v>190</v>
      </c>
      <c r="DP326" s="319" t="s">
        <v>429</v>
      </c>
      <c r="DQ326" s="319" t="s">
        <v>429</v>
      </c>
      <c r="DR326" s="319" t="s">
        <v>429</v>
      </c>
      <c r="DS326" s="319" t="s">
        <v>429</v>
      </c>
      <c r="DT326" s="319" t="s">
        <v>429</v>
      </c>
      <c r="DU326" s="319" t="s">
        <v>429</v>
      </c>
      <c r="DV326" s="319" t="s">
        <v>173</v>
      </c>
      <c r="DW326" s="319" t="s">
        <v>429</v>
      </c>
      <c r="DX326" s="319" t="s">
        <v>429</v>
      </c>
      <c r="DY326" s="319" t="s">
        <v>429</v>
      </c>
      <c r="DZ326" s="319" t="s">
        <v>429</v>
      </c>
      <c r="EA326" s="319" t="s">
        <v>429</v>
      </c>
      <c r="EB326" s="319" t="s">
        <v>429</v>
      </c>
      <c r="EC326" s="319" t="s">
        <v>429</v>
      </c>
      <c r="ED326" s="319" t="s">
        <v>190</v>
      </c>
      <c r="EE326" s="319" t="s">
        <v>190</v>
      </c>
      <c r="EF326" s="319" t="s">
        <v>190</v>
      </c>
      <c r="EG326" s="319" t="s">
        <v>190</v>
      </c>
      <c r="EH326" s="319" t="s">
        <v>190</v>
      </c>
      <c r="EI326" s="319" t="s">
        <v>190</v>
      </c>
      <c r="EJ326" s="319" t="s">
        <v>190</v>
      </c>
      <c r="EK326" s="319" t="s">
        <v>190</v>
      </c>
      <c r="EL326" s="319" t="s">
        <v>190</v>
      </c>
      <c r="EM326" s="319" t="s">
        <v>190</v>
      </c>
      <c r="EN326" s="319" t="s">
        <v>190</v>
      </c>
      <c r="EO326" s="319" t="s">
        <v>190</v>
      </c>
      <c r="EP326" s="319" t="s">
        <v>190</v>
      </c>
      <c r="EQ326" s="319" t="s">
        <v>190</v>
      </c>
      <c r="ER326" s="319" t="s">
        <v>190</v>
      </c>
      <c r="ES326" s="319" t="s">
        <v>190</v>
      </c>
      <c r="ET326" s="319" t="s">
        <v>190</v>
      </c>
      <c r="EU326" s="319" t="s">
        <v>190</v>
      </c>
      <c r="EV326" s="319" t="s">
        <v>190</v>
      </c>
      <c r="EW326" s="319" t="s">
        <v>190</v>
      </c>
      <c r="EX326" s="319" t="s">
        <v>190</v>
      </c>
      <c r="EY326" s="319" t="s">
        <v>190</v>
      </c>
      <c r="EZ326" s="319" t="s">
        <v>190</v>
      </c>
      <c r="FA326" s="319" t="s">
        <v>190</v>
      </c>
      <c r="FB326" s="319" t="s">
        <v>429</v>
      </c>
      <c r="FC326" s="319" t="s">
        <v>429</v>
      </c>
      <c r="FD326" s="319" t="s">
        <v>429</v>
      </c>
      <c r="FE326" s="319" t="s">
        <v>429</v>
      </c>
      <c r="FF326" s="319" t="s">
        <v>429</v>
      </c>
      <c r="FG326" s="319" t="s">
        <v>429</v>
      </c>
      <c r="FH326" s="319" t="s">
        <v>190</v>
      </c>
      <c r="FI326" s="319" t="s">
        <v>190</v>
      </c>
      <c r="FJ326" s="319" t="s">
        <v>190</v>
      </c>
      <c r="FK326" s="319" t="s">
        <v>190</v>
      </c>
      <c r="FL326" s="319" t="s">
        <v>190</v>
      </c>
      <c r="FM326" s="319" t="s">
        <v>190</v>
      </c>
      <c r="FN326" s="319" t="s">
        <v>429</v>
      </c>
      <c r="FO326" s="319" t="s">
        <v>190</v>
      </c>
      <c r="FP326" s="319" t="s">
        <v>190</v>
      </c>
      <c r="FQ326" s="319" t="s">
        <v>190</v>
      </c>
      <c r="FR326" s="319" t="s">
        <v>190</v>
      </c>
      <c r="FS326" s="319" t="s">
        <v>429</v>
      </c>
      <c r="FT326" s="319" t="s">
        <v>190</v>
      </c>
      <c r="FU326" s="319" t="s">
        <v>190</v>
      </c>
      <c r="FV326" s="319" t="s">
        <v>190</v>
      </c>
      <c r="FW326" s="319" t="s">
        <v>190</v>
      </c>
      <c r="FX326" s="319" t="s">
        <v>190</v>
      </c>
      <c r="FY326" s="319" t="s">
        <v>190</v>
      </c>
      <c r="FZ326" s="319" t="s">
        <v>190</v>
      </c>
      <c r="GA326" s="319" t="s">
        <v>190</v>
      </c>
      <c r="GB326" s="319" t="s">
        <v>190</v>
      </c>
      <c r="GC326" s="319" t="s">
        <v>190</v>
      </c>
      <c r="GD326" s="319" t="s">
        <v>190</v>
      </c>
      <c r="GE326" s="319" t="s">
        <v>190</v>
      </c>
      <c r="GF326" s="319" t="s">
        <v>190</v>
      </c>
      <c r="GG326" s="319" t="s">
        <v>190</v>
      </c>
      <c r="GH326" s="319" t="s">
        <v>190</v>
      </c>
      <c r="GI326" s="319" t="s">
        <v>190</v>
      </c>
      <c r="GJ326" s="319" t="s">
        <v>190</v>
      </c>
      <c r="GK326" s="319" t="s">
        <v>429</v>
      </c>
      <c r="GL326" s="319" t="s">
        <v>190</v>
      </c>
      <c r="GM326" s="319" t="s">
        <v>190</v>
      </c>
      <c r="GN326" s="319" t="s">
        <v>190</v>
      </c>
      <c r="GO326" s="319" t="s">
        <v>190</v>
      </c>
      <c r="GP326" s="319" t="s">
        <v>190</v>
      </c>
      <c r="GQ326" s="319" t="s">
        <v>190</v>
      </c>
      <c r="GR326" s="319" t="s">
        <v>190</v>
      </c>
      <c r="GS326" s="319" t="s">
        <v>190</v>
      </c>
      <c r="GT326" s="319" t="s">
        <v>429</v>
      </c>
      <c r="GU326" s="319" t="s">
        <v>429</v>
      </c>
      <c r="GV326" s="319" t="s">
        <v>429</v>
      </c>
      <c r="GW326" s="319" t="s">
        <v>190</v>
      </c>
      <c r="GX326" s="319" t="s">
        <v>190</v>
      </c>
      <c r="GY326" s="319" t="s">
        <v>190</v>
      </c>
      <c r="GZ326" s="319" t="s">
        <v>429</v>
      </c>
      <c r="HA326" s="319" t="s">
        <v>190</v>
      </c>
      <c r="HB326" s="319" t="s">
        <v>190</v>
      </c>
      <c r="HC326" s="319" t="s">
        <v>190</v>
      </c>
      <c r="HD326" s="319" t="s">
        <v>190</v>
      </c>
      <c r="HE326" s="319" t="s">
        <v>190</v>
      </c>
      <c r="HF326" s="319" t="s">
        <v>190</v>
      </c>
      <c r="HG326" s="319" t="s">
        <v>190</v>
      </c>
      <c r="HH326" s="319" t="s">
        <v>190</v>
      </c>
      <c r="HI326" s="319" t="s">
        <v>190</v>
      </c>
      <c r="HJ326" s="319" t="s">
        <v>190</v>
      </c>
      <c r="HK326" s="319" t="s">
        <v>190</v>
      </c>
      <c r="HL326" s="319" t="s">
        <v>429</v>
      </c>
      <c r="HM326" s="319" t="s">
        <v>429</v>
      </c>
      <c r="HN326" s="319" t="s">
        <v>429</v>
      </c>
      <c r="HO326" s="319" t="s">
        <v>429</v>
      </c>
      <c r="HP326" s="319" t="s">
        <v>190</v>
      </c>
      <c r="HQ326" s="319" t="s">
        <v>190</v>
      </c>
      <c r="HR326" s="319" t="s">
        <v>190</v>
      </c>
      <c r="HS326" s="319" t="s">
        <v>190</v>
      </c>
      <c r="HT326" s="319" t="s">
        <v>190</v>
      </c>
      <c r="HU326" s="319" t="s">
        <v>190</v>
      </c>
      <c r="HV326" s="319" t="s">
        <v>190</v>
      </c>
      <c r="HW326" s="319" t="s">
        <v>190</v>
      </c>
      <c r="HX326" s="319" t="s">
        <v>190</v>
      </c>
      <c r="HY326" s="319" t="s">
        <v>190</v>
      </c>
      <c r="HZ326" s="319" t="s">
        <v>190</v>
      </c>
      <c r="IA326" s="319" t="s">
        <v>190</v>
      </c>
      <c r="IB326" s="319" t="s">
        <v>190</v>
      </c>
      <c r="IC326" s="319" t="s">
        <v>190</v>
      </c>
      <c r="ID326" s="319" t="s">
        <v>190</v>
      </c>
      <c r="IE326" s="319" t="s">
        <v>190</v>
      </c>
      <c r="IF326" s="319" t="s">
        <v>190</v>
      </c>
      <c r="IG326" s="319" t="s">
        <v>190</v>
      </c>
      <c r="IH326" s="319" t="s">
        <v>190</v>
      </c>
      <c r="II326" s="319" t="s">
        <v>190</v>
      </c>
      <c r="IJ326" s="319" t="s">
        <v>3109</v>
      </c>
      <c r="IK326" s="321">
        <v>39198</v>
      </c>
      <c r="IL326" s="321">
        <v>39199</v>
      </c>
      <c r="IM326" s="321">
        <v>39224</v>
      </c>
      <c r="IN326" s="319">
        <v>2</v>
      </c>
      <c r="IO326" s="319" t="s">
        <v>173</v>
      </c>
      <c r="IP326" s="319" t="s">
        <v>173</v>
      </c>
      <c r="IQ326" s="319" t="s">
        <v>173</v>
      </c>
      <c r="IR326" s="320" t="s">
        <v>173</v>
      </c>
      <c r="IS326" s="320" t="s">
        <v>173</v>
      </c>
      <c r="IT326" s="319" t="s">
        <v>173</v>
      </c>
    </row>
    <row r="327" spans="1:254" s="271" customFormat="1" x14ac:dyDescent="0.25">
      <c r="A327" s="318" t="str">
        <f>HYPERLINK("http://www.ofsted.gov.uk/inspection-reports/find-inspection-report/provider/ELS/131395 ","Ofsted School Webpage")</f>
        <v>Ofsted School Webpage</v>
      </c>
      <c r="B327" s="319">
        <v>131395</v>
      </c>
      <c r="C327" s="319">
        <v>3056078</v>
      </c>
      <c r="D327" s="319" t="s">
        <v>599</v>
      </c>
      <c r="E327" s="319" t="s">
        <v>168</v>
      </c>
      <c r="F327" s="319" t="s">
        <v>81</v>
      </c>
      <c r="G327" s="319" t="s">
        <v>62</v>
      </c>
      <c r="H327" s="319" t="s">
        <v>62</v>
      </c>
      <c r="I327" s="319" t="s">
        <v>59</v>
      </c>
      <c r="J327" s="319" t="s">
        <v>424</v>
      </c>
      <c r="K327" s="319" t="s">
        <v>441</v>
      </c>
      <c r="L327" s="319" t="s">
        <v>441</v>
      </c>
      <c r="M327" s="319" t="s">
        <v>600</v>
      </c>
      <c r="N327" s="319" t="s">
        <v>3110</v>
      </c>
      <c r="O327" s="319" t="s">
        <v>601</v>
      </c>
      <c r="P327" s="319">
        <v>80</v>
      </c>
      <c r="Q327" s="319" t="s">
        <v>429</v>
      </c>
      <c r="R327" s="320">
        <v>10055476</v>
      </c>
      <c r="S327" s="321">
        <v>43404</v>
      </c>
      <c r="T327" s="321">
        <v>43406</v>
      </c>
      <c r="U327" s="321">
        <v>43425</v>
      </c>
      <c r="V327" s="319" t="s">
        <v>425</v>
      </c>
      <c r="W327" s="319" t="s">
        <v>2767</v>
      </c>
      <c r="X327" s="319">
        <v>2</v>
      </c>
      <c r="Y327" s="319" t="s">
        <v>173</v>
      </c>
      <c r="Z327" s="319" t="s">
        <v>173</v>
      </c>
      <c r="AA327" s="319" t="s">
        <v>173</v>
      </c>
      <c r="AB327" s="319">
        <v>2</v>
      </c>
      <c r="AC327" s="319" t="s">
        <v>169</v>
      </c>
      <c r="AD327" s="319" t="s">
        <v>173</v>
      </c>
      <c r="AE327" s="319" t="s">
        <v>173</v>
      </c>
      <c r="AF327" s="319" t="s">
        <v>447</v>
      </c>
      <c r="AG327" s="319" t="s">
        <v>171</v>
      </c>
      <c r="AH327" s="319" t="s">
        <v>190</v>
      </c>
      <c r="AI327" s="319" t="s">
        <v>190</v>
      </c>
      <c r="AJ327" s="319" t="s">
        <v>190</v>
      </c>
      <c r="AK327" s="319" t="s">
        <v>190</v>
      </c>
      <c r="AL327" s="319" t="s">
        <v>190</v>
      </c>
      <c r="AM327" s="319" t="s">
        <v>190</v>
      </c>
      <c r="AN327" s="319" t="s">
        <v>190</v>
      </c>
      <c r="AO327" s="319" t="s">
        <v>190</v>
      </c>
      <c r="AP327" s="319" t="s">
        <v>190</v>
      </c>
      <c r="AQ327" s="319" t="s">
        <v>190</v>
      </c>
      <c r="AR327" s="319" t="s">
        <v>190</v>
      </c>
      <c r="AS327" s="319" t="s">
        <v>190</v>
      </c>
      <c r="AT327" s="319" t="s">
        <v>190</v>
      </c>
      <c r="AU327" s="319" t="s">
        <v>190</v>
      </c>
      <c r="AV327" s="319" t="s">
        <v>190</v>
      </c>
      <c r="AW327" s="319" t="s">
        <v>190</v>
      </c>
      <c r="AX327" s="319" t="s">
        <v>428</v>
      </c>
      <c r="AY327" s="319" t="s">
        <v>190</v>
      </c>
      <c r="AZ327" s="319" t="s">
        <v>190</v>
      </c>
      <c r="BA327" s="319" t="s">
        <v>190</v>
      </c>
      <c r="BB327" s="319" t="s">
        <v>190</v>
      </c>
      <c r="BC327" s="319" t="s">
        <v>190</v>
      </c>
      <c r="BD327" s="319" t="s">
        <v>190</v>
      </c>
      <c r="BE327" s="319" t="s">
        <v>190</v>
      </c>
      <c r="BF327" s="319" t="s">
        <v>428</v>
      </c>
      <c r="BG327" s="319" t="s">
        <v>190</v>
      </c>
      <c r="BH327" s="319" t="s">
        <v>190</v>
      </c>
      <c r="BI327" s="319" t="s">
        <v>190</v>
      </c>
      <c r="BJ327" s="319" t="s">
        <v>190</v>
      </c>
      <c r="BK327" s="319" t="s">
        <v>190</v>
      </c>
      <c r="BL327" s="319" t="s">
        <v>190</v>
      </c>
      <c r="BM327" s="319" t="s">
        <v>190</v>
      </c>
      <c r="BN327" s="319" t="s">
        <v>190</v>
      </c>
      <c r="BO327" s="319" t="s">
        <v>190</v>
      </c>
      <c r="BP327" s="319" t="s">
        <v>190</v>
      </c>
      <c r="BQ327" s="319" t="s">
        <v>190</v>
      </c>
      <c r="BR327" s="319" t="s">
        <v>190</v>
      </c>
      <c r="BS327" s="319" t="s">
        <v>190</v>
      </c>
      <c r="BT327" s="319" t="s">
        <v>190</v>
      </c>
      <c r="BU327" s="319" t="s">
        <v>190</v>
      </c>
      <c r="BV327" s="319" t="s">
        <v>190</v>
      </c>
      <c r="BW327" s="319" t="s">
        <v>190</v>
      </c>
      <c r="BX327" s="319" t="s">
        <v>190</v>
      </c>
      <c r="BY327" s="319" t="s">
        <v>190</v>
      </c>
      <c r="BZ327" s="319" t="s">
        <v>190</v>
      </c>
      <c r="CA327" s="319" t="s">
        <v>190</v>
      </c>
      <c r="CB327" s="319" t="s">
        <v>190</v>
      </c>
      <c r="CC327" s="319" t="s">
        <v>190</v>
      </c>
      <c r="CD327" s="319" t="s">
        <v>190</v>
      </c>
      <c r="CE327" s="319" t="s">
        <v>190</v>
      </c>
      <c r="CF327" s="319" t="s">
        <v>190</v>
      </c>
      <c r="CG327" s="319" t="s">
        <v>190</v>
      </c>
      <c r="CH327" s="319" t="s">
        <v>190</v>
      </c>
      <c r="CI327" s="319" t="s">
        <v>190</v>
      </c>
      <c r="CJ327" s="319" t="s">
        <v>190</v>
      </c>
      <c r="CK327" s="319" t="s">
        <v>190</v>
      </c>
      <c r="CL327" s="319" t="s">
        <v>190</v>
      </c>
      <c r="CM327" s="319" t="s">
        <v>190</v>
      </c>
      <c r="CN327" s="319" t="s">
        <v>428</v>
      </c>
      <c r="CO327" s="319" t="s">
        <v>428</v>
      </c>
      <c r="CP327" s="319" t="s">
        <v>428</v>
      </c>
      <c r="CQ327" s="319" t="s">
        <v>190</v>
      </c>
      <c r="CR327" s="319" t="s">
        <v>190</v>
      </c>
      <c r="CS327" s="319" t="s">
        <v>190</v>
      </c>
      <c r="CT327" s="319" t="s">
        <v>190</v>
      </c>
      <c r="CU327" s="319" t="s">
        <v>190</v>
      </c>
      <c r="CV327" s="319" t="s">
        <v>190</v>
      </c>
      <c r="CW327" s="319" t="s">
        <v>190</v>
      </c>
      <c r="CX327" s="319" t="s">
        <v>190</v>
      </c>
      <c r="CY327" s="319" t="s">
        <v>190</v>
      </c>
      <c r="CZ327" s="319" t="s">
        <v>190</v>
      </c>
      <c r="DA327" s="319" t="s">
        <v>190</v>
      </c>
      <c r="DB327" s="319" t="s">
        <v>190</v>
      </c>
      <c r="DC327" s="319" t="s">
        <v>190</v>
      </c>
      <c r="DD327" s="319" t="s">
        <v>190</v>
      </c>
      <c r="DE327" s="319" t="s">
        <v>190</v>
      </c>
      <c r="DF327" s="319" t="s">
        <v>190</v>
      </c>
      <c r="DG327" s="319" t="s">
        <v>190</v>
      </c>
      <c r="DH327" s="319" t="s">
        <v>190</v>
      </c>
      <c r="DI327" s="319" t="s">
        <v>190</v>
      </c>
      <c r="DJ327" s="319" t="s">
        <v>190</v>
      </c>
      <c r="DK327" s="319" t="s">
        <v>190</v>
      </c>
      <c r="DL327" s="319" t="s">
        <v>190</v>
      </c>
      <c r="DM327" s="319" t="s">
        <v>190</v>
      </c>
      <c r="DN327" s="319" t="s">
        <v>428</v>
      </c>
      <c r="DO327" s="319" t="s">
        <v>190</v>
      </c>
      <c r="DP327" s="319" t="s">
        <v>428</v>
      </c>
      <c r="DQ327" s="319" t="s">
        <v>428</v>
      </c>
      <c r="DR327" s="319" t="s">
        <v>428</v>
      </c>
      <c r="DS327" s="319" t="s">
        <v>428</v>
      </c>
      <c r="DT327" s="319" t="s">
        <v>428</v>
      </c>
      <c r="DU327" s="319" t="s">
        <v>428</v>
      </c>
      <c r="DV327" s="319" t="s">
        <v>173</v>
      </c>
      <c r="DW327" s="319" t="s">
        <v>428</v>
      </c>
      <c r="DX327" s="319" t="s">
        <v>428</v>
      </c>
      <c r="DY327" s="319" t="s">
        <v>428</v>
      </c>
      <c r="DZ327" s="319" t="s">
        <v>428</v>
      </c>
      <c r="EA327" s="319" t="s">
        <v>428</v>
      </c>
      <c r="EB327" s="319" t="s">
        <v>428</v>
      </c>
      <c r="EC327" s="319" t="s">
        <v>428</v>
      </c>
      <c r="ED327" s="319" t="s">
        <v>428</v>
      </c>
      <c r="EE327" s="319" t="s">
        <v>190</v>
      </c>
      <c r="EF327" s="319" t="s">
        <v>190</v>
      </c>
      <c r="EG327" s="319" t="s">
        <v>190</v>
      </c>
      <c r="EH327" s="319" t="s">
        <v>190</v>
      </c>
      <c r="EI327" s="319" t="s">
        <v>190</v>
      </c>
      <c r="EJ327" s="319" t="s">
        <v>190</v>
      </c>
      <c r="EK327" s="319" t="s">
        <v>190</v>
      </c>
      <c r="EL327" s="319" t="s">
        <v>190</v>
      </c>
      <c r="EM327" s="319" t="s">
        <v>190</v>
      </c>
      <c r="EN327" s="319" t="s">
        <v>190</v>
      </c>
      <c r="EO327" s="319" t="s">
        <v>190</v>
      </c>
      <c r="EP327" s="319" t="s">
        <v>190</v>
      </c>
      <c r="EQ327" s="319" t="s">
        <v>190</v>
      </c>
      <c r="ER327" s="319" t="s">
        <v>190</v>
      </c>
      <c r="ES327" s="319" t="s">
        <v>190</v>
      </c>
      <c r="ET327" s="319" t="s">
        <v>190</v>
      </c>
      <c r="EU327" s="319" t="s">
        <v>190</v>
      </c>
      <c r="EV327" s="319" t="s">
        <v>190</v>
      </c>
      <c r="EW327" s="319" t="s">
        <v>190</v>
      </c>
      <c r="EX327" s="319" t="s">
        <v>190</v>
      </c>
      <c r="EY327" s="319" t="s">
        <v>190</v>
      </c>
      <c r="EZ327" s="319" t="s">
        <v>190</v>
      </c>
      <c r="FA327" s="319" t="s">
        <v>190</v>
      </c>
      <c r="FB327" s="319" t="s">
        <v>428</v>
      </c>
      <c r="FC327" s="319" t="s">
        <v>428</v>
      </c>
      <c r="FD327" s="319" t="s">
        <v>428</v>
      </c>
      <c r="FE327" s="319" t="s">
        <v>428</v>
      </c>
      <c r="FF327" s="319" t="s">
        <v>428</v>
      </c>
      <c r="FG327" s="319" t="s">
        <v>428</v>
      </c>
      <c r="FH327" s="319" t="s">
        <v>190</v>
      </c>
      <c r="FI327" s="319" t="s">
        <v>190</v>
      </c>
      <c r="FJ327" s="319" t="s">
        <v>190</v>
      </c>
      <c r="FK327" s="319" t="s">
        <v>190</v>
      </c>
      <c r="FL327" s="319" t="s">
        <v>190</v>
      </c>
      <c r="FM327" s="319" t="s">
        <v>190</v>
      </c>
      <c r="FN327" s="319" t="s">
        <v>190</v>
      </c>
      <c r="FO327" s="319" t="s">
        <v>190</v>
      </c>
      <c r="FP327" s="319" t="s">
        <v>190</v>
      </c>
      <c r="FQ327" s="319" t="s">
        <v>190</v>
      </c>
      <c r="FR327" s="319" t="s">
        <v>190</v>
      </c>
      <c r="FS327" s="319" t="s">
        <v>428</v>
      </c>
      <c r="FT327" s="319" t="s">
        <v>190</v>
      </c>
      <c r="FU327" s="319" t="s">
        <v>190</v>
      </c>
      <c r="FV327" s="319" t="s">
        <v>190</v>
      </c>
      <c r="FW327" s="319" t="s">
        <v>190</v>
      </c>
      <c r="FX327" s="319" t="s">
        <v>190</v>
      </c>
      <c r="FY327" s="319" t="s">
        <v>190</v>
      </c>
      <c r="FZ327" s="319" t="s">
        <v>190</v>
      </c>
      <c r="GA327" s="319" t="s">
        <v>190</v>
      </c>
      <c r="GB327" s="319" t="s">
        <v>190</v>
      </c>
      <c r="GC327" s="319" t="s">
        <v>190</v>
      </c>
      <c r="GD327" s="319" t="s">
        <v>190</v>
      </c>
      <c r="GE327" s="319" t="s">
        <v>190</v>
      </c>
      <c r="GF327" s="319" t="s">
        <v>190</v>
      </c>
      <c r="GG327" s="319" t="s">
        <v>190</v>
      </c>
      <c r="GH327" s="319" t="s">
        <v>190</v>
      </c>
      <c r="GI327" s="319" t="s">
        <v>190</v>
      </c>
      <c r="GJ327" s="319" t="s">
        <v>190</v>
      </c>
      <c r="GK327" s="319" t="s">
        <v>428</v>
      </c>
      <c r="GL327" s="319" t="s">
        <v>190</v>
      </c>
      <c r="GM327" s="319" t="s">
        <v>190</v>
      </c>
      <c r="GN327" s="319" t="s">
        <v>190</v>
      </c>
      <c r="GO327" s="319" t="s">
        <v>190</v>
      </c>
      <c r="GP327" s="319" t="s">
        <v>190</v>
      </c>
      <c r="GQ327" s="319" t="s">
        <v>428</v>
      </c>
      <c r="GR327" s="319" t="s">
        <v>190</v>
      </c>
      <c r="GS327" s="319" t="s">
        <v>190</v>
      </c>
      <c r="GT327" s="319" t="s">
        <v>190</v>
      </c>
      <c r="GU327" s="319" t="s">
        <v>190</v>
      </c>
      <c r="GV327" s="319" t="s">
        <v>190</v>
      </c>
      <c r="GW327" s="319" t="s">
        <v>190</v>
      </c>
      <c r="GX327" s="319" t="s">
        <v>190</v>
      </c>
      <c r="GY327" s="319" t="s">
        <v>190</v>
      </c>
      <c r="GZ327" s="319" t="s">
        <v>190</v>
      </c>
      <c r="HA327" s="319" t="s">
        <v>428</v>
      </c>
      <c r="HB327" s="319" t="s">
        <v>190</v>
      </c>
      <c r="HC327" s="319" t="s">
        <v>190</v>
      </c>
      <c r="HD327" s="319" t="s">
        <v>190</v>
      </c>
      <c r="HE327" s="319" t="s">
        <v>190</v>
      </c>
      <c r="HF327" s="319" t="s">
        <v>190</v>
      </c>
      <c r="HG327" s="319" t="s">
        <v>190</v>
      </c>
      <c r="HH327" s="319" t="s">
        <v>190</v>
      </c>
      <c r="HI327" s="319" t="s">
        <v>190</v>
      </c>
      <c r="HJ327" s="319" t="s">
        <v>190</v>
      </c>
      <c r="HK327" s="319" t="s">
        <v>190</v>
      </c>
      <c r="HL327" s="319" t="s">
        <v>428</v>
      </c>
      <c r="HM327" s="319" t="s">
        <v>428</v>
      </c>
      <c r="HN327" s="319" t="s">
        <v>428</v>
      </c>
      <c r="HO327" s="319" t="s">
        <v>428</v>
      </c>
      <c r="HP327" s="319" t="s">
        <v>190</v>
      </c>
      <c r="HQ327" s="319" t="s">
        <v>190</v>
      </c>
      <c r="HR327" s="319" t="s">
        <v>190</v>
      </c>
      <c r="HS327" s="319" t="s">
        <v>190</v>
      </c>
      <c r="HT327" s="319" t="s">
        <v>190</v>
      </c>
      <c r="HU327" s="319" t="s">
        <v>190</v>
      </c>
      <c r="HV327" s="319" t="s">
        <v>190</v>
      </c>
      <c r="HW327" s="319" t="s">
        <v>190</v>
      </c>
      <c r="HX327" s="319" t="s">
        <v>190</v>
      </c>
      <c r="HY327" s="319" t="s">
        <v>190</v>
      </c>
      <c r="HZ327" s="319" t="s">
        <v>190</v>
      </c>
      <c r="IA327" s="319" t="s">
        <v>190</v>
      </c>
      <c r="IB327" s="319" t="s">
        <v>190</v>
      </c>
      <c r="IC327" s="319" t="s">
        <v>190</v>
      </c>
      <c r="ID327" s="319" t="s">
        <v>190</v>
      </c>
      <c r="IE327" s="319" t="s">
        <v>190</v>
      </c>
      <c r="IF327" s="319" t="s">
        <v>190</v>
      </c>
      <c r="IG327" s="319" t="s">
        <v>190</v>
      </c>
      <c r="IH327" s="319" t="s">
        <v>190</v>
      </c>
      <c r="II327" s="319" t="s">
        <v>190</v>
      </c>
      <c r="IJ327" s="319">
        <v>10008598</v>
      </c>
      <c r="IK327" s="321">
        <v>42927</v>
      </c>
      <c r="IL327" s="321">
        <v>42929</v>
      </c>
      <c r="IM327" s="321">
        <v>43012</v>
      </c>
      <c r="IN327" s="319">
        <v>4</v>
      </c>
      <c r="IO327" s="319" t="s">
        <v>173</v>
      </c>
      <c r="IP327" s="319" t="s">
        <v>173</v>
      </c>
      <c r="IQ327" s="319" t="s">
        <v>173</v>
      </c>
      <c r="IR327" s="320" t="s">
        <v>173</v>
      </c>
      <c r="IS327" s="320" t="s">
        <v>173</v>
      </c>
      <c r="IT327" s="319" t="s">
        <v>173</v>
      </c>
    </row>
    <row r="328" spans="1:254" s="271" customFormat="1" x14ac:dyDescent="0.25">
      <c r="A328" s="318" t="str">
        <f>HYPERLINK("http://www.ofsted.gov.uk/inspection-reports/find-inspection-report/provider/ELS/131403 ","Ofsted School Webpage")</f>
        <v>Ofsted School Webpage</v>
      </c>
      <c r="B328" s="319">
        <v>131403</v>
      </c>
      <c r="C328" s="319">
        <v>3026110</v>
      </c>
      <c r="D328" s="319" t="s">
        <v>1659</v>
      </c>
      <c r="E328" s="319" t="s">
        <v>167</v>
      </c>
      <c r="F328" s="319" t="s">
        <v>81</v>
      </c>
      <c r="G328" s="319" t="s">
        <v>69</v>
      </c>
      <c r="H328" s="319" t="s">
        <v>69</v>
      </c>
      <c r="I328" s="319" t="s">
        <v>69</v>
      </c>
      <c r="J328" s="319" t="s">
        <v>424</v>
      </c>
      <c r="K328" s="319" t="s">
        <v>441</v>
      </c>
      <c r="L328" s="319" t="s">
        <v>441</v>
      </c>
      <c r="M328" s="319" t="s">
        <v>544</v>
      </c>
      <c r="N328" s="319" t="s">
        <v>2818</v>
      </c>
      <c r="O328" s="319" t="s">
        <v>1660</v>
      </c>
      <c r="P328" s="319">
        <v>126</v>
      </c>
      <c r="Q328" s="319" t="s">
        <v>2766</v>
      </c>
      <c r="R328" s="320">
        <v>10038162</v>
      </c>
      <c r="S328" s="321">
        <v>43256</v>
      </c>
      <c r="T328" s="321">
        <v>43258</v>
      </c>
      <c r="U328" s="321">
        <v>43384</v>
      </c>
      <c r="V328" s="319" t="s">
        <v>425</v>
      </c>
      <c r="W328" s="319" t="s">
        <v>2767</v>
      </c>
      <c r="X328" s="319">
        <v>3</v>
      </c>
      <c r="Y328" s="319" t="s">
        <v>173</v>
      </c>
      <c r="Z328" s="319" t="s">
        <v>173</v>
      </c>
      <c r="AA328" s="319" t="s">
        <v>173</v>
      </c>
      <c r="AB328" s="319">
        <v>3</v>
      </c>
      <c r="AC328" s="319" t="s">
        <v>169</v>
      </c>
      <c r="AD328" s="319" t="s">
        <v>173</v>
      </c>
      <c r="AE328" s="319" t="s">
        <v>173</v>
      </c>
      <c r="AF328" s="319" t="s">
        <v>447</v>
      </c>
      <c r="AG328" s="319" t="s">
        <v>172</v>
      </c>
      <c r="AH328" s="319" t="s">
        <v>190</v>
      </c>
      <c r="AI328" s="319" t="s">
        <v>190</v>
      </c>
      <c r="AJ328" s="319" t="s">
        <v>479</v>
      </c>
      <c r="AK328" s="319" t="s">
        <v>190</v>
      </c>
      <c r="AL328" s="319" t="s">
        <v>479</v>
      </c>
      <c r="AM328" s="319" t="s">
        <v>190</v>
      </c>
      <c r="AN328" s="319" t="s">
        <v>190</v>
      </c>
      <c r="AO328" s="319" t="s">
        <v>479</v>
      </c>
      <c r="AP328" s="319" t="s">
        <v>190</v>
      </c>
      <c r="AQ328" s="319" t="s">
        <v>190</v>
      </c>
      <c r="AR328" s="319" t="s">
        <v>190</v>
      </c>
      <c r="AS328" s="319" t="s">
        <v>190</v>
      </c>
      <c r="AT328" s="319" t="s">
        <v>190</v>
      </c>
      <c r="AU328" s="319" t="s">
        <v>190</v>
      </c>
      <c r="AV328" s="319" t="s">
        <v>190</v>
      </c>
      <c r="AW328" s="319" t="s">
        <v>190</v>
      </c>
      <c r="AX328" s="319" t="s">
        <v>428</v>
      </c>
      <c r="AY328" s="319" t="s">
        <v>190</v>
      </c>
      <c r="AZ328" s="319" t="s">
        <v>190</v>
      </c>
      <c r="BA328" s="319" t="s">
        <v>190</v>
      </c>
      <c r="BB328" s="319" t="s">
        <v>190</v>
      </c>
      <c r="BC328" s="319" t="s">
        <v>190</v>
      </c>
      <c r="BD328" s="319" t="s">
        <v>190</v>
      </c>
      <c r="BE328" s="319" t="s">
        <v>190</v>
      </c>
      <c r="BF328" s="319" t="s">
        <v>428</v>
      </c>
      <c r="BG328" s="319" t="s">
        <v>428</v>
      </c>
      <c r="BH328" s="319" t="s">
        <v>190</v>
      </c>
      <c r="BI328" s="319" t="s">
        <v>190</v>
      </c>
      <c r="BJ328" s="319" t="s">
        <v>190</v>
      </c>
      <c r="BK328" s="319" t="s">
        <v>190</v>
      </c>
      <c r="BL328" s="319" t="s">
        <v>190</v>
      </c>
      <c r="BM328" s="319" t="s">
        <v>190</v>
      </c>
      <c r="BN328" s="319" t="s">
        <v>190</v>
      </c>
      <c r="BO328" s="319" t="s">
        <v>190</v>
      </c>
      <c r="BP328" s="319" t="s">
        <v>190</v>
      </c>
      <c r="BQ328" s="319" t="s">
        <v>190</v>
      </c>
      <c r="BR328" s="319" t="s">
        <v>190</v>
      </c>
      <c r="BS328" s="319" t="s">
        <v>190</v>
      </c>
      <c r="BT328" s="319" t="s">
        <v>190</v>
      </c>
      <c r="BU328" s="319" t="s">
        <v>190</v>
      </c>
      <c r="BV328" s="319" t="s">
        <v>190</v>
      </c>
      <c r="BW328" s="319" t="s">
        <v>190</v>
      </c>
      <c r="BX328" s="319" t="s">
        <v>190</v>
      </c>
      <c r="BY328" s="319" t="s">
        <v>190</v>
      </c>
      <c r="BZ328" s="319" t="s">
        <v>190</v>
      </c>
      <c r="CA328" s="319" t="s">
        <v>190</v>
      </c>
      <c r="CB328" s="319" t="s">
        <v>190</v>
      </c>
      <c r="CC328" s="319" t="s">
        <v>190</v>
      </c>
      <c r="CD328" s="319" t="s">
        <v>190</v>
      </c>
      <c r="CE328" s="319" t="s">
        <v>190</v>
      </c>
      <c r="CF328" s="319" t="s">
        <v>190</v>
      </c>
      <c r="CG328" s="319" t="s">
        <v>190</v>
      </c>
      <c r="CH328" s="319" t="s">
        <v>190</v>
      </c>
      <c r="CI328" s="319" t="s">
        <v>190</v>
      </c>
      <c r="CJ328" s="319" t="s">
        <v>190</v>
      </c>
      <c r="CK328" s="319" t="s">
        <v>191</v>
      </c>
      <c r="CL328" s="319" t="s">
        <v>191</v>
      </c>
      <c r="CM328" s="319" t="s">
        <v>190</v>
      </c>
      <c r="CN328" s="319" t="s">
        <v>428</v>
      </c>
      <c r="CO328" s="319" t="s">
        <v>428</v>
      </c>
      <c r="CP328" s="319" t="s">
        <v>428</v>
      </c>
      <c r="CQ328" s="319" t="s">
        <v>190</v>
      </c>
      <c r="CR328" s="319" t="s">
        <v>190</v>
      </c>
      <c r="CS328" s="319" t="s">
        <v>190</v>
      </c>
      <c r="CT328" s="319" t="s">
        <v>190</v>
      </c>
      <c r="CU328" s="319" t="s">
        <v>191</v>
      </c>
      <c r="CV328" s="319" t="s">
        <v>190</v>
      </c>
      <c r="CW328" s="319" t="s">
        <v>190</v>
      </c>
      <c r="CX328" s="319" t="s">
        <v>190</v>
      </c>
      <c r="CY328" s="319" t="s">
        <v>190</v>
      </c>
      <c r="CZ328" s="319" t="s">
        <v>190</v>
      </c>
      <c r="DA328" s="319" t="s">
        <v>190</v>
      </c>
      <c r="DB328" s="319" t="s">
        <v>190</v>
      </c>
      <c r="DC328" s="319" t="s">
        <v>190</v>
      </c>
      <c r="DD328" s="319" t="s">
        <v>190</v>
      </c>
      <c r="DE328" s="319" t="s">
        <v>190</v>
      </c>
      <c r="DF328" s="319" t="s">
        <v>190</v>
      </c>
      <c r="DG328" s="319" t="s">
        <v>190</v>
      </c>
      <c r="DH328" s="319" t="s">
        <v>190</v>
      </c>
      <c r="DI328" s="319" t="s">
        <v>190</v>
      </c>
      <c r="DJ328" s="319" t="s">
        <v>190</v>
      </c>
      <c r="DK328" s="319" t="s">
        <v>190</v>
      </c>
      <c r="DL328" s="319" t="s">
        <v>190</v>
      </c>
      <c r="DM328" s="319" t="s">
        <v>190</v>
      </c>
      <c r="DN328" s="319" t="s">
        <v>428</v>
      </c>
      <c r="DO328" s="319" t="s">
        <v>190</v>
      </c>
      <c r="DP328" s="319" t="s">
        <v>190</v>
      </c>
      <c r="DQ328" s="319" t="s">
        <v>190</v>
      </c>
      <c r="DR328" s="319" t="s">
        <v>190</v>
      </c>
      <c r="DS328" s="319" t="s">
        <v>190</v>
      </c>
      <c r="DT328" s="319" t="s">
        <v>190</v>
      </c>
      <c r="DU328" s="319" t="s">
        <v>190</v>
      </c>
      <c r="DV328" s="319" t="s">
        <v>173</v>
      </c>
      <c r="DW328" s="319" t="s">
        <v>190</v>
      </c>
      <c r="DX328" s="319" t="s">
        <v>190</v>
      </c>
      <c r="DY328" s="319" t="s">
        <v>190</v>
      </c>
      <c r="DZ328" s="319" t="s">
        <v>190</v>
      </c>
      <c r="EA328" s="319" t="s">
        <v>190</v>
      </c>
      <c r="EB328" s="319" t="s">
        <v>190</v>
      </c>
      <c r="EC328" s="319" t="s">
        <v>428</v>
      </c>
      <c r="ED328" s="319" t="s">
        <v>428</v>
      </c>
      <c r="EE328" s="319" t="s">
        <v>190</v>
      </c>
      <c r="EF328" s="319" t="s">
        <v>190</v>
      </c>
      <c r="EG328" s="319" t="s">
        <v>190</v>
      </c>
      <c r="EH328" s="319" t="s">
        <v>190</v>
      </c>
      <c r="EI328" s="319" t="s">
        <v>190</v>
      </c>
      <c r="EJ328" s="319" t="s">
        <v>190</v>
      </c>
      <c r="EK328" s="319" t="s">
        <v>190</v>
      </c>
      <c r="EL328" s="319" t="s">
        <v>190</v>
      </c>
      <c r="EM328" s="319" t="s">
        <v>190</v>
      </c>
      <c r="EN328" s="319" t="s">
        <v>190</v>
      </c>
      <c r="EO328" s="319" t="s">
        <v>190</v>
      </c>
      <c r="EP328" s="319" t="s">
        <v>190</v>
      </c>
      <c r="EQ328" s="319" t="s">
        <v>190</v>
      </c>
      <c r="ER328" s="319" t="s">
        <v>190</v>
      </c>
      <c r="ES328" s="319" t="s">
        <v>190</v>
      </c>
      <c r="ET328" s="319" t="s">
        <v>190</v>
      </c>
      <c r="EU328" s="319" t="s">
        <v>190</v>
      </c>
      <c r="EV328" s="319" t="s">
        <v>190</v>
      </c>
      <c r="EW328" s="319" t="s">
        <v>190</v>
      </c>
      <c r="EX328" s="319" t="s">
        <v>190</v>
      </c>
      <c r="EY328" s="319" t="s">
        <v>190</v>
      </c>
      <c r="EZ328" s="319" t="s">
        <v>190</v>
      </c>
      <c r="FA328" s="319" t="s">
        <v>190</v>
      </c>
      <c r="FB328" s="319" t="s">
        <v>190</v>
      </c>
      <c r="FC328" s="319" t="s">
        <v>190</v>
      </c>
      <c r="FD328" s="319" t="s">
        <v>190</v>
      </c>
      <c r="FE328" s="319" t="s">
        <v>190</v>
      </c>
      <c r="FF328" s="319" t="s">
        <v>190</v>
      </c>
      <c r="FG328" s="319" t="s">
        <v>190</v>
      </c>
      <c r="FH328" s="319" t="s">
        <v>190</v>
      </c>
      <c r="FI328" s="319" t="s">
        <v>428</v>
      </c>
      <c r="FJ328" s="319" t="s">
        <v>190</v>
      </c>
      <c r="FK328" s="319" t="s">
        <v>190</v>
      </c>
      <c r="FL328" s="319" t="s">
        <v>190</v>
      </c>
      <c r="FM328" s="319" t="s">
        <v>190</v>
      </c>
      <c r="FN328" s="319" t="s">
        <v>190</v>
      </c>
      <c r="FO328" s="319" t="s">
        <v>190</v>
      </c>
      <c r="FP328" s="319" t="s">
        <v>190</v>
      </c>
      <c r="FQ328" s="319" t="s">
        <v>190</v>
      </c>
      <c r="FR328" s="319" t="s">
        <v>190</v>
      </c>
      <c r="FS328" s="319" t="s">
        <v>428</v>
      </c>
      <c r="FT328" s="319" t="s">
        <v>190</v>
      </c>
      <c r="FU328" s="319" t="s">
        <v>191</v>
      </c>
      <c r="FV328" s="319" t="s">
        <v>190</v>
      </c>
      <c r="FW328" s="319" t="s">
        <v>190</v>
      </c>
      <c r="FX328" s="319" t="s">
        <v>190</v>
      </c>
      <c r="FY328" s="319" t="s">
        <v>190</v>
      </c>
      <c r="FZ328" s="319" t="s">
        <v>190</v>
      </c>
      <c r="GA328" s="319" t="s">
        <v>190</v>
      </c>
      <c r="GB328" s="319" t="s">
        <v>190</v>
      </c>
      <c r="GC328" s="319" t="s">
        <v>190</v>
      </c>
      <c r="GD328" s="319" t="s">
        <v>191</v>
      </c>
      <c r="GE328" s="319" t="s">
        <v>190</v>
      </c>
      <c r="GF328" s="319" t="s">
        <v>190</v>
      </c>
      <c r="GG328" s="319" t="s">
        <v>190</v>
      </c>
      <c r="GH328" s="319" t="s">
        <v>191</v>
      </c>
      <c r="GI328" s="319" t="s">
        <v>190</v>
      </c>
      <c r="GJ328" s="319" t="s">
        <v>191</v>
      </c>
      <c r="GK328" s="319" t="s">
        <v>428</v>
      </c>
      <c r="GL328" s="319" t="s">
        <v>190</v>
      </c>
      <c r="GM328" s="319" t="s">
        <v>190</v>
      </c>
      <c r="GN328" s="319" t="s">
        <v>190</v>
      </c>
      <c r="GO328" s="319" t="s">
        <v>190</v>
      </c>
      <c r="GP328" s="319" t="s">
        <v>190</v>
      </c>
      <c r="GQ328" s="319" t="s">
        <v>428</v>
      </c>
      <c r="GR328" s="319" t="s">
        <v>190</v>
      </c>
      <c r="GS328" s="319" t="s">
        <v>190</v>
      </c>
      <c r="GT328" s="319" t="s">
        <v>428</v>
      </c>
      <c r="GU328" s="319" t="s">
        <v>190</v>
      </c>
      <c r="GV328" s="319" t="s">
        <v>190</v>
      </c>
      <c r="GW328" s="319" t="s">
        <v>190</v>
      </c>
      <c r="GX328" s="319" t="s">
        <v>190</v>
      </c>
      <c r="GY328" s="319" t="s">
        <v>190</v>
      </c>
      <c r="GZ328" s="319" t="s">
        <v>190</v>
      </c>
      <c r="HA328" s="319" t="s">
        <v>190</v>
      </c>
      <c r="HB328" s="319" t="s">
        <v>190</v>
      </c>
      <c r="HC328" s="319" t="s">
        <v>190</v>
      </c>
      <c r="HD328" s="319" t="s">
        <v>190</v>
      </c>
      <c r="HE328" s="319" t="s">
        <v>190</v>
      </c>
      <c r="HF328" s="319" t="s">
        <v>190</v>
      </c>
      <c r="HG328" s="319" t="s">
        <v>190</v>
      </c>
      <c r="HH328" s="319" t="s">
        <v>190</v>
      </c>
      <c r="HI328" s="319" t="s">
        <v>190</v>
      </c>
      <c r="HJ328" s="319" t="s">
        <v>190</v>
      </c>
      <c r="HK328" s="319" t="s">
        <v>190</v>
      </c>
      <c r="HL328" s="319" t="s">
        <v>190</v>
      </c>
      <c r="HM328" s="319" t="s">
        <v>428</v>
      </c>
      <c r="HN328" s="319" t="s">
        <v>428</v>
      </c>
      <c r="HO328" s="319" t="s">
        <v>428</v>
      </c>
      <c r="HP328" s="319" t="s">
        <v>190</v>
      </c>
      <c r="HQ328" s="319" t="s">
        <v>190</v>
      </c>
      <c r="HR328" s="319" t="s">
        <v>190</v>
      </c>
      <c r="HS328" s="319" t="s">
        <v>190</v>
      </c>
      <c r="HT328" s="319" t="s">
        <v>190</v>
      </c>
      <c r="HU328" s="319" t="s">
        <v>190</v>
      </c>
      <c r="HV328" s="319" t="s">
        <v>190</v>
      </c>
      <c r="HW328" s="319" t="s">
        <v>190</v>
      </c>
      <c r="HX328" s="319" t="s">
        <v>190</v>
      </c>
      <c r="HY328" s="319" t="s">
        <v>190</v>
      </c>
      <c r="HZ328" s="319" t="s">
        <v>190</v>
      </c>
      <c r="IA328" s="319" t="s">
        <v>190</v>
      </c>
      <c r="IB328" s="319" t="s">
        <v>190</v>
      </c>
      <c r="IC328" s="319" t="s">
        <v>190</v>
      </c>
      <c r="ID328" s="319" t="s">
        <v>190</v>
      </c>
      <c r="IE328" s="319" t="s">
        <v>190</v>
      </c>
      <c r="IF328" s="319" t="s">
        <v>191</v>
      </c>
      <c r="IG328" s="319" t="s">
        <v>191</v>
      </c>
      <c r="IH328" s="319" t="s">
        <v>191</v>
      </c>
      <c r="II328" s="319" t="s">
        <v>191</v>
      </c>
      <c r="IJ328" s="319" t="s">
        <v>3111</v>
      </c>
      <c r="IK328" s="321">
        <v>41954</v>
      </c>
      <c r="IL328" s="321">
        <v>41956</v>
      </c>
      <c r="IM328" s="321">
        <v>41981</v>
      </c>
      <c r="IN328" s="319">
        <v>2</v>
      </c>
      <c r="IO328" s="319">
        <v>10112691</v>
      </c>
      <c r="IP328" s="319" t="s">
        <v>985</v>
      </c>
      <c r="IQ328" s="321">
        <v>43720</v>
      </c>
      <c r="IR328" s="320" t="s">
        <v>2771</v>
      </c>
      <c r="IS328" s="322">
        <v>43744</v>
      </c>
      <c r="IT328" s="319" t="s">
        <v>166</v>
      </c>
    </row>
    <row r="329" spans="1:254" s="271" customFormat="1" x14ac:dyDescent="0.25">
      <c r="A329" s="318" t="str">
        <f>HYPERLINK("http://www.ofsted.gov.uk/inspection-reports/find-inspection-report/provider/ELS/131422 ","Ofsted School Webpage")</f>
        <v>Ofsted School Webpage</v>
      </c>
      <c r="B329" s="319">
        <v>131422</v>
      </c>
      <c r="C329" s="319">
        <v>8866076</v>
      </c>
      <c r="D329" s="319" t="s">
        <v>1661</v>
      </c>
      <c r="E329" s="319" t="s">
        <v>168</v>
      </c>
      <c r="F329" s="319" t="s">
        <v>81</v>
      </c>
      <c r="G329" s="319" t="s">
        <v>81</v>
      </c>
      <c r="H329" s="319" t="s">
        <v>81</v>
      </c>
      <c r="I329" s="319" t="s">
        <v>78</v>
      </c>
      <c r="J329" s="319" t="s">
        <v>424</v>
      </c>
      <c r="K329" s="319" t="s">
        <v>514</v>
      </c>
      <c r="L329" s="319" t="s">
        <v>514</v>
      </c>
      <c r="M329" s="319" t="s">
        <v>614</v>
      </c>
      <c r="N329" s="319" t="s">
        <v>3077</v>
      </c>
      <c r="O329" s="319" t="s">
        <v>1662</v>
      </c>
      <c r="P329" s="319">
        <v>29</v>
      </c>
      <c r="Q329" s="319" t="s">
        <v>429</v>
      </c>
      <c r="R329" s="320">
        <v>10047019</v>
      </c>
      <c r="S329" s="321">
        <v>43256</v>
      </c>
      <c r="T329" s="321">
        <v>43258</v>
      </c>
      <c r="U329" s="321">
        <v>43278</v>
      </c>
      <c r="V329" s="319" t="s">
        <v>425</v>
      </c>
      <c r="W329" s="319" t="s">
        <v>2767</v>
      </c>
      <c r="X329" s="319">
        <v>2</v>
      </c>
      <c r="Y329" s="319" t="s">
        <v>173</v>
      </c>
      <c r="Z329" s="319" t="s">
        <v>173</v>
      </c>
      <c r="AA329" s="319" t="s">
        <v>173</v>
      </c>
      <c r="AB329" s="319">
        <v>2</v>
      </c>
      <c r="AC329" s="319" t="s">
        <v>169</v>
      </c>
      <c r="AD329" s="319" t="s">
        <v>173</v>
      </c>
      <c r="AE329" s="319" t="s">
        <v>173</v>
      </c>
      <c r="AF329" s="319" t="s">
        <v>427</v>
      </c>
      <c r="AG329" s="319" t="s">
        <v>171</v>
      </c>
      <c r="AH329" s="319" t="s">
        <v>190</v>
      </c>
      <c r="AI329" s="319" t="s">
        <v>190</v>
      </c>
      <c r="AJ329" s="319" t="s">
        <v>190</v>
      </c>
      <c r="AK329" s="319" t="s">
        <v>190</v>
      </c>
      <c r="AL329" s="319" t="s">
        <v>190</v>
      </c>
      <c r="AM329" s="319" t="s">
        <v>190</v>
      </c>
      <c r="AN329" s="319" t="s">
        <v>190</v>
      </c>
      <c r="AO329" s="319" t="s">
        <v>190</v>
      </c>
      <c r="AP329" s="319" t="s">
        <v>190</v>
      </c>
      <c r="AQ329" s="319" t="s">
        <v>190</v>
      </c>
      <c r="AR329" s="319" t="s">
        <v>190</v>
      </c>
      <c r="AS329" s="319" t="s">
        <v>190</v>
      </c>
      <c r="AT329" s="319" t="s">
        <v>190</v>
      </c>
      <c r="AU329" s="319" t="s">
        <v>190</v>
      </c>
      <c r="AV329" s="319" t="s">
        <v>190</v>
      </c>
      <c r="AW329" s="319" t="s">
        <v>190</v>
      </c>
      <c r="AX329" s="319" t="s">
        <v>428</v>
      </c>
      <c r="AY329" s="319" t="s">
        <v>190</v>
      </c>
      <c r="AZ329" s="319" t="s">
        <v>190</v>
      </c>
      <c r="BA329" s="319" t="s">
        <v>190</v>
      </c>
      <c r="BB329" s="319" t="s">
        <v>190</v>
      </c>
      <c r="BC329" s="319" t="s">
        <v>190</v>
      </c>
      <c r="BD329" s="319" t="s">
        <v>190</v>
      </c>
      <c r="BE329" s="319" t="s">
        <v>190</v>
      </c>
      <c r="BF329" s="319" t="s">
        <v>428</v>
      </c>
      <c r="BG329" s="319" t="s">
        <v>428</v>
      </c>
      <c r="BH329" s="319" t="s">
        <v>190</v>
      </c>
      <c r="BI329" s="319" t="s">
        <v>190</v>
      </c>
      <c r="BJ329" s="319" t="s">
        <v>190</v>
      </c>
      <c r="BK329" s="319" t="s">
        <v>190</v>
      </c>
      <c r="BL329" s="319" t="s">
        <v>190</v>
      </c>
      <c r="BM329" s="319" t="s">
        <v>190</v>
      </c>
      <c r="BN329" s="319" t="s">
        <v>190</v>
      </c>
      <c r="BO329" s="319" t="s">
        <v>190</v>
      </c>
      <c r="BP329" s="319" t="s">
        <v>190</v>
      </c>
      <c r="BQ329" s="319" t="s">
        <v>190</v>
      </c>
      <c r="BR329" s="319" t="s">
        <v>190</v>
      </c>
      <c r="BS329" s="319" t="s">
        <v>190</v>
      </c>
      <c r="BT329" s="319" t="s">
        <v>190</v>
      </c>
      <c r="BU329" s="319" t="s">
        <v>190</v>
      </c>
      <c r="BV329" s="319" t="s">
        <v>190</v>
      </c>
      <c r="BW329" s="319" t="s">
        <v>190</v>
      </c>
      <c r="BX329" s="319" t="s">
        <v>190</v>
      </c>
      <c r="BY329" s="319" t="s">
        <v>190</v>
      </c>
      <c r="BZ329" s="319" t="s">
        <v>190</v>
      </c>
      <c r="CA329" s="319" t="s">
        <v>190</v>
      </c>
      <c r="CB329" s="319" t="s">
        <v>190</v>
      </c>
      <c r="CC329" s="319" t="s">
        <v>190</v>
      </c>
      <c r="CD329" s="319" t="s">
        <v>190</v>
      </c>
      <c r="CE329" s="319" t="s">
        <v>190</v>
      </c>
      <c r="CF329" s="319" t="s">
        <v>190</v>
      </c>
      <c r="CG329" s="319" t="s">
        <v>190</v>
      </c>
      <c r="CH329" s="319" t="s">
        <v>190</v>
      </c>
      <c r="CI329" s="319" t="s">
        <v>190</v>
      </c>
      <c r="CJ329" s="319" t="s">
        <v>190</v>
      </c>
      <c r="CK329" s="319" t="s">
        <v>190</v>
      </c>
      <c r="CL329" s="319" t="s">
        <v>190</v>
      </c>
      <c r="CM329" s="319" t="s">
        <v>190</v>
      </c>
      <c r="CN329" s="319" t="s">
        <v>190</v>
      </c>
      <c r="CO329" s="319" t="s">
        <v>190</v>
      </c>
      <c r="CP329" s="319" t="s">
        <v>428</v>
      </c>
      <c r="CQ329" s="319" t="s">
        <v>190</v>
      </c>
      <c r="CR329" s="319" t="s">
        <v>190</v>
      </c>
      <c r="CS329" s="319" t="s">
        <v>190</v>
      </c>
      <c r="CT329" s="319" t="s">
        <v>190</v>
      </c>
      <c r="CU329" s="319" t="s">
        <v>190</v>
      </c>
      <c r="CV329" s="319" t="s">
        <v>190</v>
      </c>
      <c r="CW329" s="319" t="s">
        <v>190</v>
      </c>
      <c r="CX329" s="319" t="s">
        <v>190</v>
      </c>
      <c r="CY329" s="319" t="s">
        <v>190</v>
      </c>
      <c r="CZ329" s="319" t="s">
        <v>190</v>
      </c>
      <c r="DA329" s="319" t="s">
        <v>190</v>
      </c>
      <c r="DB329" s="319" t="s">
        <v>190</v>
      </c>
      <c r="DC329" s="319" t="s">
        <v>190</v>
      </c>
      <c r="DD329" s="319" t="s">
        <v>190</v>
      </c>
      <c r="DE329" s="319" t="s">
        <v>190</v>
      </c>
      <c r="DF329" s="319" t="s">
        <v>190</v>
      </c>
      <c r="DG329" s="319" t="s">
        <v>190</v>
      </c>
      <c r="DH329" s="319" t="s">
        <v>190</v>
      </c>
      <c r="DI329" s="319" t="s">
        <v>190</v>
      </c>
      <c r="DJ329" s="319" t="s">
        <v>190</v>
      </c>
      <c r="DK329" s="319" t="s">
        <v>190</v>
      </c>
      <c r="DL329" s="319" t="s">
        <v>190</v>
      </c>
      <c r="DM329" s="319" t="s">
        <v>190</v>
      </c>
      <c r="DN329" s="319" t="s">
        <v>190</v>
      </c>
      <c r="DO329" s="319" t="s">
        <v>190</v>
      </c>
      <c r="DP329" s="319" t="s">
        <v>190</v>
      </c>
      <c r="DQ329" s="319" t="s">
        <v>190</v>
      </c>
      <c r="DR329" s="319" t="s">
        <v>190</v>
      </c>
      <c r="DS329" s="319" t="s">
        <v>190</v>
      </c>
      <c r="DT329" s="319" t="s">
        <v>190</v>
      </c>
      <c r="DU329" s="319" t="s">
        <v>190</v>
      </c>
      <c r="DV329" s="319" t="s">
        <v>173</v>
      </c>
      <c r="DW329" s="319" t="s">
        <v>190</v>
      </c>
      <c r="DX329" s="319" t="s">
        <v>190</v>
      </c>
      <c r="DY329" s="319" t="s">
        <v>190</v>
      </c>
      <c r="DZ329" s="319" t="s">
        <v>190</v>
      </c>
      <c r="EA329" s="319" t="s">
        <v>190</v>
      </c>
      <c r="EB329" s="319" t="s">
        <v>190</v>
      </c>
      <c r="EC329" s="319" t="s">
        <v>190</v>
      </c>
      <c r="ED329" s="319" t="s">
        <v>190</v>
      </c>
      <c r="EE329" s="319" t="s">
        <v>190</v>
      </c>
      <c r="EF329" s="319" t="s">
        <v>190</v>
      </c>
      <c r="EG329" s="319" t="s">
        <v>190</v>
      </c>
      <c r="EH329" s="319" t="s">
        <v>190</v>
      </c>
      <c r="EI329" s="319" t="s">
        <v>190</v>
      </c>
      <c r="EJ329" s="319" t="s">
        <v>190</v>
      </c>
      <c r="EK329" s="319" t="s">
        <v>190</v>
      </c>
      <c r="EL329" s="319" t="s">
        <v>190</v>
      </c>
      <c r="EM329" s="319" t="s">
        <v>190</v>
      </c>
      <c r="EN329" s="319" t="s">
        <v>190</v>
      </c>
      <c r="EO329" s="319" t="s">
        <v>190</v>
      </c>
      <c r="EP329" s="319" t="s">
        <v>190</v>
      </c>
      <c r="EQ329" s="319" t="s">
        <v>190</v>
      </c>
      <c r="ER329" s="319" t="s">
        <v>190</v>
      </c>
      <c r="ES329" s="319" t="s">
        <v>190</v>
      </c>
      <c r="ET329" s="319" t="s">
        <v>190</v>
      </c>
      <c r="EU329" s="319" t="s">
        <v>190</v>
      </c>
      <c r="EV329" s="319" t="s">
        <v>190</v>
      </c>
      <c r="EW329" s="319" t="s">
        <v>190</v>
      </c>
      <c r="EX329" s="319" t="s">
        <v>190</v>
      </c>
      <c r="EY329" s="319" t="s">
        <v>190</v>
      </c>
      <c r="EZ329" s="319" t="s">
        <v>190</v>
      </c>
      <c r="FA329" s="319" t="s">
        <v>190</v>
      </c>
      <c r="FB329" s="319" t="s">
        <v>190</v>
      </c>
      <c r="FC329" s="319" t="s">
        <v>190</v>
      </c>
      <c r="FD329" s="319" t="s">
        <v>190</v>
      </c>
      <c r="FE329" s="319" t="s">
        <v>190</v>
      </c>
      <c r="FF329" s="319" t="s">
        <v>190</v>
      </c>
      <c r="FG329" s="319" t="s">
        <v>190</v>
      </c>
      <c r="FH329" s="319" t="s">
        <v>190</v>
      </c>
      <c r="FI329" s="319" t="s">
        <v>190</v>
      </c>
      <c r="FJ329" s="319" t="s">
        <v>190</v>
      </c>
      <c r="FK329" s="319" t="s">
        <v>190</v>
      </c>
      <c r="FL329" s="319" t="s">
        <v>190</v>
      </c>
      <c r="FM329" s="319" t="s">
        <v>190</v>
      </c>
      <c r="FN329" s="319" t="s">
        <v>190</v>
      </c>
      <c r="FO329" s="319" t="s">
        <v>190</v>
      </c>
      <c r="FP329" s="319" t="s">
        <v>190</v>
      </c>
      <c r="FQ329" s="319" t="s">
        <v>190</v>
      </c>
      <c r="FR329" s="319" t="s">
        <v>190</v>
      </c>
      <c r="FS329" s="319" t="s">
        <v>428</v>
      </c>
      <c r="FT329" s="319" t="s">
        <v>190</v>
      </c>
      <c r="FU329" s="319" t="s">
        <v>190</v>
      </c>
      <c r="FV329" s="319" t="s">
        <v>190</v>
      </c>
      <c r="FW329" s="319" t="s">
        <v>190</v>
      </c>
      <c r="FX329" s="319" t="s">
        <v>190</v>
      </c>
      <c r="FY329" s="319" t="s">
        <v>190</v>
      </c>
      <c r="FZ329" s="319" t="s">
        <v>190</v>
      </c>
      <c r="GA329" s="319" t="s">
        <v>190</v>
      </c>
      <c r="GB329" s="319" t="s">
        <v>190</v>
      </c>
      <c r="GC329" s="319" t="s">
        <v>190</v>
      </c>
      <c r="GD329" s="319" t="s">
        <v>190</v>
      </c>
      <c r="GE329" s="319" t="s">
        <v>190</v>
      </c>
      <c r="GF329" s="319" t="s">
        <v>190</v>
      </c>
      <c r="GG329" s="319" t="s">
        <v>190</v>
      </c>
      <c r="GH329" s="319" t="s">
        <v>190</v>
      </c>
      <c r="GI329" s="319" t="s">
        <v>190</v>
      </c>
      <c r="GJ329" s="319" t="s">
        <v>190</v>
      </c>
      <c r="GK329" s="319" t="s">
        <v>428</v>
      </c>
      <c r="GL329" s="319" t="s">
        <v>190</v>
      </c>
      <c r="GM329" s="319" t="s">
        <v>190</v>
      </c>
      <c r="GN329" s="319" t="s">
        <v>190</v>
      </c>
      <c r="GO329" s="319" t="s">
        <v>190</v>
      </c>
      <c r="GP329" s="319" t="s">
        <v>190</v>
      </c>
      <c r="GQ329" s="319" t="s">
        <v>190</v>
      </c>
      <c r="GR329" s="319" t="s">
        <v>190</v>
      </c>
      <c r="GS329" s="319" t="s">
        <v>190</v>
      </c>
      <c r="GT329" s="319" t="s">
        <v>190</v>
      </c>
      <c r="GU329" s="319" t="s">
        <v>190</v>
      </c>
      <c r="GV329" s="319" t="s">
        <v>190</v>
      </c>
      <c r="GW329" s="319" t="s">
        <v>190</v>
      </c>
      <c r="GX329" s="319" t="s">
        <v>190</v>
      </c>
      <c r="GY329" s="319" t="s">
        <v>190</v>
      </c>
      <c r="GZ329" s="319" t="s">
        <v>190</v>
      </c>
      <c r="HA329" s="319" t="s">
        <v>190</v>
      </c>
      <c r="HB329" s="319" t="s">
        <v>190</v>
      </c>
      <c r="HC329" s="319" t="s">
        <v>190</v>
      </c>
      <c r="HD329" s="319" t="s">
        <v>190</v>
      </c>
      <c r="HE329" s="319" t="s">
        <v>190</v>
      </c>
      <c r="HF329" s="319" t="s">
        <v>190</v>
      </c>
      <c r="HG329" s="319" t="s">
        <v>190</v>
      </c>
      <c r="HH329" s="319" t="s">
        <v>190</v>
      </c>
      <c r="HI329" s="319" t="s">
        <v>190</v>
      </c>
      <c r="HJ329" s="319" t="s">
        <v>190</v>
      </c>
      <c r="HK329" s="319" t="s">
        <v>190</v>
      </c>
      <c r="HL329" s="319" t="s">
        <v>190</v>
      </c>
      <c r="HM329" s="319" t="s">
        <v>190</v>
      </c>
      <c r="HN329" s="319" t="s">
        <v>190</v>
      </c>
      <c r="HO329" s="319" t="s">
        <v>190</v>
      </c>
      <c r="HP329" s="319" t="s">
        <v>190</v>
      </c>
      <c r="HQ329" s="319" t="s">
        <v>190</v>
      </c>
      <c r="HR329" s="319" t="s">
        <v>190</v>
      </c>
      <c r="HS329" s="319" t="s">
        <v>190</v>
      </c>
      <c r="HT329" s="319" t="s">
        <v>190</v>
      </c>
      <c r="HU329" s="319" t="s">
        <v>190</v>
      </c>
      <c r="HV329" s="319" t="s">
        <v>190</v>
      </c>
      <c r="HW329" s="319" t="s">
        <v>190</v>
      </c>
      <c r="HX329" s="319" t="s">
        <v>190</v>
      </c>
      <c r="HY329" s="319" t="s">
        <v>190</v>
      </c>
      <c r="HZ329" s="319" t="s">
        <v>190</v>
      </c>
      <c r="IA329" s="319" t="s">
        <v>190</v>
      </c>
      <c r="IB329" s="319" t="s">
        <v>190</v>
      </c>
      <c r="IC329" s="319" t="s">
        <v>190</v>
      </c>
      <c r="ID329" s="319" t="s">
        <v>190</v>
      </c>
      <c r="IE329" s="319" t="s">
        <v>190</v>
      </c>
      <c r="IF329" s="319" t="s">
        <v>190</v>
      </c>
      <c r="IG329" s="319" t="s">
        <v>190</v>
      </c>
      <c r="IH329" s="319" t="s">
        <v>190</v>
      </c>
      <c r="II329" s="319" t="s">
        <v>190</v>
      </c>
      <c r="IJ329" s="319" t="s">
        <v>3112</v>
      </c>
      <c r="IK329" s="321">
        <v>42178</v>
      </c>
      <c r="IL329" s="321">
        <v>42180</v>
      </c>
      <c r="IM329" s="321">
        <v>42205</v>
      </c>
      <c r="IN329" s="319">
        <v>2</v>
      </c>
      <c r="IO329" s="319" t="s">
        <v>173</v>
      </c>
      <c r="IP329" s="319" t="s">
        <v>173</v>
      </c>
      <c r="IQ329" s="321" t="s">
        <v>173</v>
      </c>
      <c r="IR329" s="320" t="s">
        <v>173</v>
      </c>
      <c r="IS329" s="322" t="s">
        <v>173</v>
      </c>
      <c r="IT329" s="319" t="s">
        <v>173</v>
      </c>
    </row>
    <row r="330" spans="1:254" s="271" customFormat="1" x14ac:dyDescent="0.25">
      <c r="A330" s="318" t="str">
        <f>HYPERLINK("http://www.ofsted.gov.uk/inspection-reports/find-inspection-report/provider/ELS/131435 ","Ofsted School Webpage")</f>
        <v>Ofsted School Webpage</v>
      </c>
      <c r="B330" s="319">
        <v>131435</v>
      </c>
      <c r="C330" s="319">
        <v>3556035</v>
      </c>
      <c r="D330" s="319" t="s">
        <v>853</v>
      </c>
      <c r="E330" s="319" t="s">
        <v>167</v>
      </c>
      <c r="F330" s="319" t="s">
        <v>81</v>
      </c>
      <c r="G330" s="319" t="s">
        <v>81</v>
      </c>
      <c r="H330" s="319" t="s">
        <v>81</v>
      </c>
      <c r="I330" s="319" t="s">
        <v>78</v>
      </c>
      <c r="J330" s="319" t="s">
        <v>424</v>
      </c>
      <c r="K330" s="319" t="s">
        <v>431</v>
      </c>
      <c r="L330" s="319" t="s">
        <v>431</v>
      </c>
      <c r="M330" s="319" t="s">
        <v>533</v>
      </c>
      <c r="N330" s="319" t="s">
        <v>2874</v>
      </c>
      <c r="O330" s="319" t="s">
        <v>1056</v>
      </c>
      <c r="P330" s="319">
        <v>421</v>
      </c>
      <c r="Q330" s="319" t="s">
        <v>2766</v>
      </c>
      <c r="R330" s="320">
        <v>10012865</v>
      </c>
      <c r="S330" s="321">
        <v>42864</v>
      </c>
      <c r="T330" s="321">
        <v>42866</v>
      </c>
      <c r="U330" s="321">
        <v>42899</v>
      </c>
      <c r="V330" s="319" t="s">
        <v>425</v>
      </c>
      <c r="W330" s="319" t="s">
        <v>2767</v>
      </c>
      <c r="X330" s="319">
        <v>3</v>
      </c>
      <c r="Y330" s="319" t="s">
        <v>173</v>
      </c>
      <c r="Z330" s="319" t="s">
        <v>173</v>
      </c>
      <c r="AA330" s="319" t="s">
        <v>173</v>
      </c>
      <c r="AB330" s="319">
        <v>3</v>
      </c>
      <c r="AC330" s="319" t="s">
        <v>169</v>
      </c>
      <c r="AD330" s="319">
        <v>3</v>
      </c>
      <c r="AE330" s="319" t="s">
        <v>173</v>
      </c>
      <c r="AF330" s="319" t="s">
        <v>173</v>
      </c>
      <c r="AG330" s="319" t="s">
        <v>171</v>
      </c>
      <c r="AH330" s="319" t="s">
        <v>190</v>
      </c>
      <c r="AI330" s="319" t="s">
        <v>190</v>
      </c>
      <c r="AJ330" s="319" t="s">
        <v>190</v>
      </c>
      <c r="AK330" s="319" t="s">
        <v>190</v>
      </c>
      <c r="AL330" s="319" t="s">
        <v>190</v>
      </c>
      <c r="AM330" s="319" t="s">
        <v>190</v>
      </c>
      <c r="AN330" s="319" t="s">
        <v>190</v>
      </c>
      <c r="AO330" s="319" t="s">
        <v>190</v>
      </c>
      <c r="AP330" s="319" t="s">
        <v>190</v>
      </c>
      <c r="AQ330" s="319" t="s">
        <v>190</v>
      </c>
      <c r="AR330" s="319" t="s">
        <v>190</v>
      </c>
      <c r="AS330" s="319" t="s">
        <v>190</v>
      </c>
      <c r="AT330" s="319" t="s">
        <v>190</v>
      </c>
      <c r="AU330" s="319" t="s">
        <v>190</v>
      </c>
      <c r="AV330" s="319" t="s">
        <v>190</v>
      </c>
      <c r="AW330" s="319" t="s">
        <v>190</v>
      </c>
      <c r="AX330" s="319" t="s">
        <v>190</v>
      </c>
      <c r="AY330" s="319" t="s">
        <v>190</v>
      </c>
      <c r="AZ330" s="319" t="s">
        <v>190</v>
      </c>
      <c r="BA330" s="319" t="s">
        <v>190</v>
      </c>
      <c r="BB330" s="319" t="s">
        <v>190</v>
      </c>
      <c r="BC330" s="319" t="s">
        <v>190</v>
      </c>
      <c r="BD330" s="319" t="s">
        <v>190</v>
      </c>
      <c r="BE330" s="319" t="s">
        <v>190</v>
      </c>
      <c r="BF330" s="319" t="s">
        <v>190</v>
      </c>
      <c r="BG330" s="319" t="s">
        <v>429</v>
      </c>
      <c r="BH330" s="319" t="s">
        <v>190</v>
      </c>
      <c r="BI330" s="319" t="s">
        <v>190</v>
      </c>
      <c r="BJ330" s="319" t="s">
        <v>190</v>
      </c>
      <c r="BK330" s="319" t="s">
        <v>190</v>
      </c>
      <c r="BL330" s="319" t="s">
        <v>190</v>
      </c>
      <c r="BM330" s="319" t="s">
        <v>190</v>
      </c>
      <c r="BN330" s="319" t="s">
        <v>190</v>
      </c>
      <c r="BO330" s="319" t="s">
        <v>190</v>
      </c>
      <c r="BP330" s="319" t="s">
        <v>190</v>
      </c>
      <c r="BQ330" s="319" t="s">
        <v>190</v>
      </c>
      <c r="BR330" s="319" t="s">
        <v>190</v>
      </c>
      <c r="BS330" s="319" t="s">
        <v>190</v>
      </c>
      <c r="BT330" s="319" t="s">
        <v>190</v>
      </c>
      <c r="BU330" s="319" t="s">
        <v>190</v>
      </c>
      <c r="BV330" s="319" t="s">
        <v>190</v>
      </c>
      <c r="BW330" s="319" t="s">
        <v>190</v>
      </c>
      <c r="BX330" s="319" t="s">
        <v>190</v>
      </c>
      <c r="BY330" s="319" t="s">
        <v>190</v>
      </c>
      <c r="BZ330" s="319" t="s">
        <v>190</v>
      </c>
      <c r="CA330" s="319" t="s">
        <v>190</v>
      </c>
      <c r="CB330" s="319" t="s">
        <v>190</v>
      </c>
      <c r="CC330" s="319" t="s">
        <v>190</v>
      </c>
      <c r="CD330" s="319" t="s">
        <v>190</v>
      </c>
      <c r="CE330" s="319" t="s">
        <v>190</v>
      </c>
      <c r="CF330" s="319" t="s">
        <v>190</v>
      </c>
      <c r="CG330" s="319" t="s">
        <v>190</v>
      </c>
      <c r="CH330" s="319" t="s">
        <v>190</v>
      </c>
      <c r="CI330" s="319" t="s">
        <v>190</v>
      </c>
      <c r="CJ330" s="319" t="s">
        <v>190</v>
      </c>
      <c r="CK330" s="319" t="s">
        <v>190</v>
      </c>
      <c r="CL330" s="319" t="s">
        <v>190</v>
      </c>
      <c r="CM330" s="319" t="s">
        <v>190</v>
      </c>
      <c r="CN330" s="319" t="s">
        <v>429</v>
      </c>
      <c r="CO330" s="319" t="s">
        <v>429</v>
      </c>
      <c r="CP330" s="319" t="s">
        <v>429</v>
      </c>
      <c r="CQ330" s="319" t="s">
        <v>190</v>
      </c>
      <c r="CR330" s="319" t="s">
        <v>190</v>
      </c>
      <c r="CS330" s="319" t="s">
        <v>190</v>
      </c>
      <c r="CT330" s="319" t="s">
        <v>190</v>
      </c>
      <c r="CU330" s="319" t="s">
        <v>190</v>
      </c>
      <c r="CV330" s="319" t="s">
        <v>190</v>
      </c>
      <c r="CW330" s="319" t="s">
        <v>190</v>
      </c>
      <c r="CX330" s="319" t="s">
        <v>190</v>
      </c>
      <c r="CY330" s="319" t="s">
        <v>190</v>
      </c>
      <c r="CZ330" s="319" t="s">
        <v>190</v>
      </c>
      <c r="DA330" s="319" t="s">
        <v>190</v>
      </c>
      <c r="DB330" s="319" t="s">
        <v>190</v>
      </c>
      <c r="DC330" s="319" t="s">
        <v>190</v>
      </c>
      <c r="DD330" s="319" t="s">
        <v>190</v>
      </c>
      <c r="DE330" s="319" t="s">
        <v>190</v>
      </c>
      <c r="DF330" s="319" t="s">
        <v>190</v>
      </c>
      <c r="DG330" s="319" t="s">
        <v>190</v>
      </c>
      <c r="DH330" s="319" t="s">
        <v>190</v>
      </c>
      <c r="DI330" s="319" t="s">
        <v>190</v>
      </c>
      <c r="DJ330" s="319" t="s">
        <v>190</v>
      </c>
      <c r="DK330" s="319" t="s">
        <v>190</v>
      </c>
      <c r="DL330" s="319" t="s">
        <v>190</v>
      </c>
      <c r="DM330" s="319" t="s">
        <v>190</v>
      </c>
      <c r="DN330" s="319" t="s">
        <v>429</v>
      </c>
      <c r="DO330" s="319" t="s">
        <v>190</v>
      </c>
      <c r="DP330" s="319" t="s">
        <v>190</v>
      </c>
      <c r="DQ330" s="319" t="s">
        <v>190</v>
      </c>
      <c r="DR330" s="319" t="s">
        <v>190</v>
      </c>
      <c r="DS330" s="319" t="s">
        <v>190</v>
      </c>
      <c r="DT330" s="319" t="s">
        <v>190</v>
      </c>
      <c r="DU330" s="319" t="s">
        <v>190</v>
      </c>
      <c r="DV330" s="319" t="s">
        <v>173</v>
      </c>
      <c r="DW330" s="319" t="s">
        <v>190</v>
      </c>
      <c r="DX330" s="319" t="s">
        <v>190</v>
      </c>
      <c r="DY330" s="319" t="s">
        <v>190</v>
      </c>
      <c r="DZ330" s="319" t="s">
        <v>190</v>
      </c>
      <c r="EA330" s="319" t="s">
        <v>190</v>
      </c>
      <c r="EB330" s="319" t="s">
        <v>190</v>
      </c>
      <c r="EC330" s="319" t="s">
        <v>429</v>
      </c>
      <c r="ED330" s="319" t="s">
        <v>190</v>
      </c>
      <c r="EE330" s="319" t="s">
        <v>190</v>
      </c>
      <c r="EF330" s="319" t="s">
        <v>190</v>
      </c>
      <c r="EG330" s="319" t="s">
        <v>190</v>
      </c>
      <c r="EH330" s="319" t="s">
        <v>190</v>
      </c>
      <c r="EI330" s="319" t="s">
        <v>190</v>
      </c>
      <c r="EJ330" s="319" t="s">
        <v>190</v>
      </c>
      <c r="EK330" s="319" t="s">
        <v>190</v>
      </c>
      <c r="EL330" s="319" t="s">
        <v>190</v>
      </c>
      <c r="EM330" s="319" t="s">
        <v>190</v>
      </c>
      <c r="EN330" s="319" t="s">
        <v>190</v>
      </c>
      <c r="EO330" s="319" t="s">
        <v>190</v>
      </c>
      <c r="EP330" s="319" t="s">
        <v>190</v>
      </c>
      <c r="EQ330" s="319" t="s">
        <v>190</v>
      </c>
      <c r="ER330" s="319" t="s">
        <v>190</v>
      </c>
      <c r="ES330" s="319" t="s">
        <v>190</v>
      </c>
      <c r="ET330" s="319" t="s">
        <v>190</v>
      </c>
      <c r="EU330" s="319" t="s">
        <v>190</v>
      </c>
      <c r="EV330" s="319" t="s">
        <v>190</v>
      </c>
      <c r="EW330" s="319" t="s">
        <v>190</v>
      </c>
      <c r="EX330" s="319" t="s">
        <v>190</v>
      </c>
      <c r="EY330" s="319" t="s">
        <v>190</v>
      </c>
      <c r="EZ330" s="319" t="s">
        <v>190</v>
      </c>
      <c r="FA330" s="319" t="s">
        <v>190</v>
      </c>
      <c r="FB330" s="319" t="s">
        <v>190</v>
      </c>
      <c r="FC330" s="319" t="s">
        <v>190</v>
      </c>
      <c r="FD330" s="319" t="s">
        <v>190</v>
      </c>
      <c r="FE330" s="319" t="s">
        <v>190</v>
      </c>
      <c r="FF330" s="319" t="s">
        <v>190</v>
      </c>
      <c r="FG330" s="319" t="s">
        <v>190</v>
      </c>
      <c r="FH330" s="319" t="s">
        <v>190</v>
      </c>
      <c r="FI330" s="319" t="s">
        <v>190</v>
      </c>
      <c r="FJ330" s="319" t="s">
        <v>190</v>
      </c>
      <c r="FK330" s="319" t="s">
        <v>190</v>
      </c>
      <c r="FL330" s="319" t="s">
        <v>190</v>
      </c>
      <c r="FM330" s="319" t="s">
        <v>190</v>
      </c>
      <c r="FN330" s="319" t="s">
        <v>429</v>
      </c>
      <c r="FO330" s="319" t="s">
        <v>190</v>
      </c>
      <c r="FP330" s="319" t="s">
        <v>190</v>
      </c>
      <c r="FQ330" s="319" t="s">
        <v>190</v>
      </c>
      <c r="FR330" s="319" t="s">
        <v>190</v>
      </c>
      <c r="FS330" s="319" t="s">
        <v>429</v>
      </c>
      <c r="FT330" s="319" t="s">
        <v>190</v>
      </c>
      <c r="FU330" s="319" t="s">
        <v>190</v>
      </c>
      <c r="FV330" s="319" t="s">
        <v>190</v>
      </c>
      <c r="FW330" s="319" t="s">
        <v>190</v>
      </c>
      <c r="FX330" s="319" t="s">
        <v>190</v>
      </c>
      <c r="FY330" s="319" t="s">
        <v>190</v>
      </c>
      <c r="FZ330" s="319" t="s">
        <v>190</v>
      </c>
      <c r="GA330" s="319" t="s">
        <v>190</v>
      </c>
      <c r="GB330" s="319" t="s">
        <v>190</v>
      </c>
      <c r="GC330" s="319" t="s">
        <v>190</v>
      </c>
      <c r="GD330" s="319" t="s">
        <v>190</v>
      </c>
      <c r="GE330" s="319" t="s">
        <v>190</v>
      </c>
      <c r="GF330" s="319" t="s">
        <v>190</v>
      </c>
      <c r="GG330" s="319" t="s">
        <v>190</v>
      </c>
      <c r="GH330" s="319" t="s">
        <v>190</v>
      </c>
      <c r="GI330" s="319" t="s">
        <v>190</v>
      </c>
      <c r="GJ330" s="319" t="s">
        <v>190</v>
      </c>
      <c r="GK330" s="319" t="s">
        <v>429</v>
      </c>
      <c r="GL330" s="319" t="s">
        <v>190</v>
      </c>
      <c r="GM330" s="319" t="s">
        <v>190</v>
      </c>
      <c r="GN330" s="319" t="s">
        <v>190</v>
      </c>
      <c r="GO330" s="319" t="s">
        <v>190</v>
      </c>
      <c r="GP330" s="319" t="s">
        <v>190</v>
      </c>
      <c r="GQ330" s="319" t="s">
        <v>429</v>
      </c>
      <c r="GR330" s="319" t="s">
        <v>190</v>
      </c>
      <c r="GS330" s="319" t="s">
        <v>190</v>
      </c>
      <c r="GT330" s="319" t="s">
        <v>429</v>
      </c>
      <c r="GU330" s="319" t="s">
        <v>190</v>
      </c>
      <c r="GV330" s="319" t="s">
        <v>190</v>
      </c>
      <c r="GW330" s="319" t="s">
        <v>190</v>
      </c>
      <c r="GX330" s="319" t="s">
        <v>190</v>
      </c>
      <c r="GY330" s="319" t="s">
        <v>190</v>
      </c>
      <c r="GZ330" s="319" t="s">
        <v>190</v>
      </c>
      <c r="HA330" s="319" t="s">
        <v>190</v>
      </c>
      <c r="HB330" s="319" t="s">
        <v>190</v>
      </c>
      <c r="HC330" s="319" t="s">
        <v>190</v>
      </c>
      <c r="HD330" s="319" t="s">
        <v>190</v>
      </c>
      <c r="HE330" s="319" t="s">
        <v>190</v>
      </c>
      <c r="HF330" s="319" t="s">
        <v>190</v>
      </c>
      <c r="HG330" s="319" t="s">
        <v>190</v>
      </c>
      <c r="HH330" s="319" t="s">
        <v>190</v>
      </c>
      <c r="HI330" s="319" t="s">
        <v>190</v>
      </c>
      <c r="HJ330" s="319" t="s">
        <v>190</v>
      </c>
      <c r="HK330" s="319" t="s">
        <v>190</v>
      </c>
      <c r="HL330" s="319" t="s">
        <v>429</v>
      </c>
      <c r="HM330" s="319" t="s">
        <v>429</v>
      </c>
      <c r="HN330" s="319" t="s">
        <v>429</v>
      </c>
      <c r="HO330" s="319" t="s">
        <v>429</v>
      </c>
      <c r="HP330" s="319" t="s">
        <v>190</v>
      </c>
      <c r="HQ330" s="319" t="s">
        <v>190</v>
      </c>
      <c r="HR330" s="319" t="s">
        <v>190</v>
      </c>
      <c r="HS330" s="319" t="s">
        <v>190</v>
      </c>
      <c r="HT330" s="319" t="s">
        <v>190</v>
      </c>
      <c r="HU330" s="319" t="s">
        <v>190</v>
      </c>
      <c r="HV330" s="319" t="s">
        <v>190</v>
      </c>
      <c r="HW330" s="319" t="s">
        <v>190</v>
      </c>
      <c r="HX330" s="319" t="s">
        <v>190</v>
      </c>
      <c r="HY330" s="319" t="s">
        <v>190</v>
      </c>
      <c r="HZ330" s="319" t="s">
        <v>190</v>
      </c>
      <c r="IA330" s="319" t="s">
        <v>190</v>
      </c>
      <c r="IB330" s="319" t="s">
        <v>190</v>
      </c>
      <c r="IC330" s="319" t="s">
        <v>190</v>
      </c>
      <c r="ID330" s="319" t="s">
        <v>190</v>
      </c>
      <c r="IE330" s="319" t="s">
        <v>190</v>
      </c>
      <c r="IF330" s="319" t="s">
        <v>190</v>
      </c>
      <c r="IG330" s="319" t="s">
        <v>190</v>
      </c>
      <c r="IH330" s="319" t="s">
        <v>190</v>
      </c>
      <c r="II330" s="319" t="s">
        <v>190</v>
      </c>
      <c r="IJ330" s="319" t="s">
        <v>3113</v>
      </c>
      <c r="IK330" s="321">
        <v>41458</v>
      </c>
      <c r="IL330" s="321">
        <v>41460</v>
      </c>
      <c r="IM330" s="321">
        <v>41527</v>
      </c>
      <c r="IN330" s="319">
        <v>2</v>
      </c>
      <c r="IO330" s="319">
        <v>10129475</v>
      </c>
      <c r="IP330" s="319" t="s">
        <v>985</v>
      </c>
      <c r="IQ330" s="321">
        <v>43776</v>
      </c>
      <c r="IR330" s="320" t="s">
        <v>2771</v>
      </c>
      <c r="IS330" s="322">
        <v>43795</v>
      </c>
      <c r="IT330" s="319" t="s">
        <v>165</v>
      </c>
    </row>
    <row r="331" spans="1:254" s="271" customFormat="1" x14ac:dyDescent="0.25">
      <c r="A331" s="318" t="str">
        <f>HYPERLINK("http://www.ofsted.gov.uk/inspection-reports/find-inspection-report/provider/ELS/131455 ","Ofsted School Webpage")</f>
        <v>Ofsted School Webpage</v>
      </c>
      <c r="B331" s="319">
        <v>131455</v>
      </c>
      <c r="C331" s="319">
        <v>9336211</v>
      </c>
      <c r="D331" s="319" t="s">
        <v>1663</v>
      </c>
      <c r="E331" s="319" t="s">
        <v>168</v>
      </c>
      <c r="F331" s="319" t="s">
        <v>81</v>
      </c>
      <c r="G331" s="319" t="s">
        <v>81</v>
      </c>
      <c r="H331" s="319" t="s">
        <v>81</v>
      </c>
      <c r="I331" s="319" t="s">
        <v>78</v>
      </c>
      <c r="J331" s="319" t="s">
        <v>424</v>
      </c>
      <c r="K331" s="319" t="s">
        <v>422</v>
      </c>
      <c r="L331" s="319" t="s">
        <v>422</v>
      </c>
      <c r="M331" s="319" t="s">
        <v>466</v>
      </c>
      <c r="N331" s="319" t="s">
        <v>3114</v>
      </c>
      <c r="O331" s="319" t="s">
        <v>1664</v>
      </c>
      <c r="P331" s="319">
        <v>27</v>
      </c>
      <c r="Q331" s="319" t="s">
        <v>429</v>
      </c>
      <c r="R331" s="320">
        <v>10041374</v>
      </c>
      <c r="S331" s="321">
        <v>43173</v>
      </c>
      <c r="T331" s="321">
        <v>43175</v>
      </c>
      <c r="U331" s="321">
        <v>43209</v>
      </c>
      <c r="V331" s="319" t="s">
        <v>425</v>
      </c>
      <c r="W331" s="319" t="s">
        <v>2767</v>
      </c>
      <c r="X331" s="319">
        <v>2</v>
      </c>
      <c r="Y331" s="319" t="s">
        <v>173</v>
      </c>
      <c r="Z331" s="319" t="s">
        <v>173</v>
      </c>
      <c r="AA331" s="319" t="s">
        <v>173</v>
      </c>
      <c r="AB331" s="319">
        <v>2</v>
      </c>
      <c r="AC331" s="319" t="s">
        <v>169</v>
      </c>
      <c r="AD331" s="319" t="s">
        <v>173</v>
      </c>
      <c r="AE331" s="319" t="s">
        <v>173</v>
      </c>
      <c r="AF331" s="319" t="s">
        <v>427</v>
      </c>
      <c r="AG331" s="319" t="s">
        <v>171</v>
      </c>
      <c r="AH331" s="319" t="s">
        <v>190</v>
      </c>
      <c r="AI331" s="319" t="s">
        <v>190</v>
      </c>
      <c r="AJ331" s="319" t="s">
        <v>190</v>
      </c>
      <c r="AK331" s="319" t="s">
        <v>190</v>
      </c>
      <c r="AL331" s="319" t="s">
        <v>190</v>
      </c>
      <c r="AM331" s="319" t="s">
        <v>190</v>
      </c>
      <c r="AN331" s="319" t="s">
        <v>190</v>
      </c>
      <c r="AO331" s="319" t="s">
        <v>190</v>
      </c>
      <c r="AP331" s="319" t="s">
        <v>190</v>
      </c>
      <c r="AQ331" s="319" t="s">
        <v>190</v>
      </c>
      <c r="AR331" s="319" t="s">
        <v>190</v>
      </c>
      <c r="AS331" s="319" t="s">
        <v>190</v>
      </c>
      <c r="AT331" s="319" t="s">
        <v>190</v>
      </c>
      <c r="AU331" s="319" t="s">
        <v>190</v>
      </c>
      <c r="AV331" s="319" t="s">
        <v>190</v>
      </c>
      <c r="AW331" s="319" t="s">
        <v>190</v>
      </c>
      <c r="AX331" s="319" t="s">
        <v>428</v>
      </c>
      <c r="AY331" s="319" t="s">
        <v>190</v>
      </c>
      <c r="AZ331" s="319" t="s">
        <v>190</v>
      </c>
      <c r="BA331" s="319" t="s">
        <v>190</v>
      </c>
      <c r="BB331" s="319" t="s">
        <v>190</v>
      </c>
      <c r="BC331" s="319" t="s">
        <v>190</v>
      </c>
      <c r="BD331" s="319" t="s">
        <v>190</v>
      </c>
      <c r="BE331" s="319" t="s">
        <v>190</v>
      </c>
      <c r="BF331" s="319" t="s">
        <v>428</v>
      </c>
      <c r="BG331" s="319" t="s">
        <v>190</v>
      </c>
      <c r="BH331" s="319" t="s">
        <v>190</v>
      </c>
      <c r="BI331" s="319" t="s">
        <v>190</v>
      </c>
      <c r="BJ331" s="319" t="s">
        <v>190</v>
      </c>
      <c r="BK331" s="319" t="s">
        <v>190</v>
      </c>
      <c r="BL331" s="319" t="s">
        <v>190</v>
      </c>
      <c r="BM331" s="319" t="s">
        <v>190</v>
      </c>
      <c r="BN331" s="319" t="s">
        <v>190</v>
      </c>
      <c r="BO331" s="319" t="s">
        <v>190</v>
      </c>
      <c r="BP331" s="319" t="s">
        <v>190</v>
      </c>
      <c r="BQ331" s="319" t="s">
        <v>190</v>
      </c>
      <c r="BR331" s="319" t="s">
        <v>190</v>
      </c>
      <c r="BS331" s="319" t="s">
        <v>190</v>
      </c>
      <c r="BT331" s="319" t="s">
        <v>190</v>
      </c>
      <c r="BU331" s="319" t="s">
        <v>190</v>
      </c>
      <c r="BV331" s="319" t="s">
        <v>190</v>
      </c>
      <c r="BW331" s="319" t="s">
        <v>190</v>
      </c>
      <c r="BX331" s="319" t="s">
        <v>190</v>
      </c>
      <c r="BY331" s="319" t="s">
        <v>190</v>
      </c>
      <c r="BZ331" s="319" t="s">
        <v>190</v>
      </c>
      <c r="CA331" s="319" t="s">
        <v>190</v>
      </c>
      <c r="CB331" s="319" t="s">
        <v>190</v>
      </c>
      <c r="CC331" s="319" t="s">
        <v>190</v>
      </c>
      <c r="CD331" s="319" t="s">
        <v>190</v>
      </c>
      <c r="CE331" s="319" t="s">
        <v>190</v>
      </c>
      <c r="CF331" s="319" t="s">
        <v>190</v>
      </c>
      <c r="CG331" s="319" t="s">
        <v>190</v>
      </c>
      <c r="CH331" s="319" t="s">
        <v>190</v>
      </c>
      <c r="CI331" s="319" t="s">
        <v>190</v>
      </c>
      <c r="CJ331" s="319" t="s">
        <v>190</v>
      </c>
      <c r="CK331" s="319" t="s">
        <v>190</v>
      </c>
      <c r="CL331" s="319" t="s">
        <v>190</v>
      </c>
      <c r="CM331" s="319" t="s">
        <v>190</v>
      </c>
      <c r="CN331" s="319" t="s">
        <v>428</v>
      </c>
      <c r="CO331" s="319" t="s">
        <v>428</v>
      </c>
      <c r="CP331" s="319" t="s">
        <v>428</v>
      </c>
      <c r="CQ331" s="319" t="s">
        <v>190</v>
      </c>
      <c r="CR331" s="319" t="s">
        <v>190</v>
      </c>
      <c r="CS331" s="319" t="s">
        <v>190</v>
      </c>
      <c r="CT331" s="319" t="s">
        <v>190</v>
      </c>
      <c r="CU331" s="319" t="s">
        <v>190</v>
      </c>
      <c r="CV331" s="319" t="s">
        <v>190</v>
      </c>
      <c r="CW331" s="319" t="s">
        <v>190</v>
      </c>
      <c r="CX331" s="319" t="s">
        <v>190</v>
      </c>
      <c r="CY331" s="319" t="s">
        <v>190</v>
      </c>
      <c r="CZ331" s="319" t="s">
        <v>190</v>
      </c>
      <c r="DA331" s="319" t="s">
        <v>190</v>
      </c>
      <c r="DB331" s="319" t="s">
        <v>190</v>
      </c>
      <c r="DC331" s="319" t="s">
        <v>190</v>
      </c>
      <c r="DD331" s="319" t="s">
        <v>190</v>
      </c>
      <c r="DE331" s="319" t="s">
        <v>190</v>
      </c>
      <c r="DF331" s="319" t="s">
        <v>190</v>
      </c>
      <c r="DG331" s="319" t="s">
        <v>190</v>
      </c>
      <c r="DH331" s="319" t="s">
        <v>190</v>
      </c>
      <c r="DI331" s="319" t="s">
        <v>190</v>
      </c>
      <c r="DJ331" s="319" t="s">
        <v>190</v>
      </c>
      <c r="DK331" s="319" t="s">
        <v>190</v>
      </c>
      <c r="DL331" s="319" t="s">
        <v>190</v>
      </c>
      <c r="DM331" s="319" t="s">
        <v>190</v>
      </c>
      <c r="DN331" s="319" t="s">
        <v>428</v>
      </c>
      <c r="DO331" s="319" t="s">
        <v>190</v>
      </c>
      <c r="DP331" s="319" t="s">
        <v>428</v>
      </c>
      <c r="DQ331" s="319" t="s">
        <v>428</v>
      </c>
      <c r="DR331" s="319" t="s">
        <v>428</v>
      </c>
      <c r="DS331" s="319" t="s">
        <v>428</v>
      </c>
      <c r="DT331" s="319" t="s">
        <v>428</v>
      </c>
      <c r="DU331" s="319" t="s">
        <v>428</v>
      </c>
      <c r="DV331" s="319" t="s">
        <v>173</v>
      </c>
      <c r="DW331" s="319" t="s">
        <v>428</v>
      </c>
      <c r="DX331" s="319" t="s">
        <v>428</v>
      </c>
      <c r="DY331" s="319" t="s">
        <v>428</v>
      </c>
      <c r="DZ331" s="319" t="s">
        <v>428</v>
      </c>
      <c r="EA331" s="319" t="s">
        <v>428</v>
      </c>
      <c r="EB331" s="319" t="s">
        <v>428</v>
      </c>
      <c r="EC331" s="319" t="s">
        <v>428</v>
      </c>
      <c r="ED331" s="319" t="s">
        <v>428</v>
      </c>
      <c r="EE331" s="319" t="s">
        <v>190</v>
      </c>
      <c r="EF331" s="319" t="s">
        <v>190</v>
      </c>
      <c r="EG331" s="319" t="s">
        <v>190</v>
      </c>
      <c r="EH331" s="319" t="s">
        <v>190</v>
      </c>
      <c r="EI331" s="319" t="s">
        <v>190</v>
      </c>
      <c r="EJ331" s="319" t="s">
        <v>190</v>
      </c>
      <c r="EK331" s="319" t="s">
        <v>190</v>
      </c>
      <c r="EL331" s="319" t="s">
        <v>190</v>
      </c>
      <c r="EM331" s="319" t="s">
        <v>190</v>
      </c>
      <c r="EN331" s="319" t="s">
        <v>190</v>
      </c>
      <c r="EO331" s="319" t="s">
        <v>190</v>
      </c>
      <c r="EP331" s="319" t="s">
        <v>190</v>
      </c>
      <c r="EQ331" s="319" t="s">
        <v>190</v>
      </c>
      <c r="ER331" s="319" t="s">
        <v>190</v>
      </c>
      <c r="ES331" s="319" t="s">
        <v>190</v>
      </c>
      <c r="ET331" s="319" t="s">
        <v>190</v>
      </c>
      <c r="EU331" s="319" t="s">
        <v>190</v>
      </c>
      <c r="EV331" s="319" t="s">
        <v>190</v>
      </c>
      <c r="EW331" s="319" t="s">
        <v>190</v>
      </c>
      <c r="EX331" s="319" t="s">
        <v>190</v>
      </c>
      <c r="EY331" s="319" t="s">
        <v>190</v>
      </c>
      <c r="EZ331" s="319" t="s">
        <v>190</v>
      </c>
      <c r="FA331" s="319" t="s">
        <v>190</v>
      </c>
      <c r="FB331" s="319" t="s">
        <v>428</v>
      </c>
      <c r="FC331" s="319" t="s">
        <v>428</v>
      </c>
      <c r="FD331" s="319" t="s">
        <v>428</v>
      </c>
      <c r="FE331" s="319" t="s">
        <v>428</v>
      </c>
      <c r="FF331" s="319" t="s">
        <v>428</v>
      </c>
      <c r="FG331" s="319" t="s">
        <v>428</v>
      </c>
      <c r="FH331" s="319" t="s">
        <v>190</v>
      </c>
      <c r="FI331" s="319" t="s">
        <v>190</v>
      </c>
      <c r="FJ331" s="319" t="s">
        <v>190</v>
      </c>
      <c r="FK331" s="319" t="s">
        <v>190</v>
      </c>
      <c r="FL331" s="319" t="s">
        <v>190</v>
      </c>
      <c r="FM331" s="319" t="s">
        <v>190</v>
      </c>
      <c r="FN331" s="319" t="s">
        <v>190</v>
      </c>
      <c r="FO331" s="319" t="s">
        <v>190</v>
      </c>
      <c r="FP331" s="319" t="s">
        <v>190</v>
      </c>
      <c r="FQ331" s="319" t="s">
        <v>190</v>
      </c>
      <c r="FR331" s="319" t="s">
        <v>190</v>
      </c>
      <c r="FS331" s="319" t="s">
        <v>190</v>
      </c>
      <c r="FT331" s="319" t="s">
        <v>190</v>
      </c>
      <c r="FU331" s="319" t="s">
        <v>190</v>
      </c>
      <c r="FV331" s="319" t="s">
        <v>190</v>
      </c>
      <c r="FW331" s="319" t="s">
        <v>190</v>
      </c>
      <c r="FX331" s="319" t="s">
        <v>190</v>
      </c>
      <c r="FY331" s="319" t="s">
        <v>190</v>
      </c>
      <c r="FZ331" s="319" t="s">
        <v>190</v>
      </c>
      <c r="GA331" s="319" t="s">
        <v>190</v>
      </c>
      <c r="GB331" s="319" t="s">
        <v>190</v>
      </c>
      <c r="GC331" s="319" t="s">
        <v>190</v>
      </c>
      <c r="GD331" s="319" t="s">
        <v>190</v>
      </c>
      <c r="GE331" s="319" t="s">
        <v>190</v>
      </c>
      <c r="GF331" s="319" t="s">
        <v>190</v>
      </c>
      <c r="GG331" s="319" t="s">
        <v>190</v>
      </c>
      <c r="GH331" s="319" t="s">
        <v>190</v>
      </c>
      <c r="GI331" s="319" t="s">
        <v>190</v>
      </c>
      <c r="GJ331" s="319" t="s">
        <v>190</v>
      </c>
      <c r="GK331" s="319" t="s">
        <v>428</v>
      </c>
      <c r="GL331" s="319" t="s">
        <v>190</v>
      </c>
      <c r="GM331" s="319" t="s">
        <v>190</v>
      </c>
      <c r="GN331" s="319" t="s">
        <v>190</v>
      </c>
      <c r="GO331" s="319" t="s">
        <v>190</v>
      </c>
      <c r="GP331" s="319" t="s">
        <v>190</v>
      </c>
      <c r="GQ331" s="319" t="s">
        <v>428</v>
      </c>
      <c r="GR331" s="319" t="s">
        <v>190</v>
      </c>
      <c r="GS331" s="319" t="s">
        <v>190</v>
      </c>
      <c r="GT331" s="319" t="s">
        <v>190</v>
      </c>
      <c r="GU331" s="319" t="s">
        <v>190</v>
      </c>
      <c r="GV331" s="319" t="s">
        <v>190</v>
      </c>
      <c r="GW331" s="319" t="s">
        <v>190</v>
      </c>
      <c r="GX331" s="319" t="s">
        <v>190</v>
      </c>
      <c r="GY331" s="319" t="s">
        <v>190</v>
      </c>
      <c r="GZ331" s="319" t="s">
        <v>428</v>
      </c>
      <c r="HA331" s="319" t="s">
        <v>428</v>
      </c>
      <c r="HB331" s="319" t="s">
        <v>190</v>
      </c>
      <c r="HC331" s="319" t="s">
        <v>190</v>
      </c>
      <c r="HD331" s="319" t="s">
        <v>190</v>
      </c>
      <c r="HE331" s="319" t="s">
        <v>190</v>
      </c>
      <c r="HF331" s="319" t="s">
        <v>190</v>
      </c>
      <c r="HG331" s="319" t="s">
        <v>190</v>
      </c>
      <c r="HH331" s="319" t="s">
        <v>190</v>
      </c>
      <c r="HI331" s="319" t="s">
        <v>190</v>
      </c>
      <c r="HJ331" s="319" t="s">
        <v>190</v>
      </c>
      <c r="HK331" s="319" t="s">
        <v>190</v>
      </c>
      <c r="HL331" s="319" t="s">
        <v>428</v>
      </c>
      <c r="HM331" s="319" t="s">
        <v>428</v>
      </c>
      <c r="HN331" s="319" t="s">
        <v>428</v>
      </c>
      <c r="HO331" s="319" t="s">
        <v>428</v>
      </c>
      <c r="HP331" s="319" t="s">
        <v>190</v>
      </c>
      <c r="HQ331" s="319" t="s">
        <v>190</v>
      </c>
      <c r="HR331" s="319" t="s">
        <v>190</v>
      </c>
      <c r="HS331" s="319" t="s">
        <v>190</v>
      </c>
      <c r="HT331" s="319" t="s">
        <v>190</v>
      </c>
      <c r="HU331" s="319" t="s">
        <v>190</v>
      </c>
      <c r="HV331" s="319" t="s">
        <v>190</v>
      </c>
      <c r="HW331" s="319" t="s">
        <v>190</v>
      </c>
      <c r="HX331" s="319" t="s">
        <v>190</v>
      </c>
      <c r="HY331" s="319" t="s">
        <v>190</v>
      </c>
      <c r="HZ331" s="319" t="s">
        <v>190</v>
      </c>
      <c r="IA331" s="319" t="s">
        <v>190</v>
      </c>
      <c r="IB331" s="319" t="s">
        <v>190</v>
      </c>
      <c r="IC331" s="319" t="s">
        <v>190</v>
      </c>
      <c r="ID331" s="319" t="s">
        <v>190</v>
      </c>
      <c r="IE331" s="319" t="s">
        <v>190</v>
      </c>
      <c r="IF331" s="319" t="s">
        <v>190</v>
      </c>
      <c r="IG331" s="319" t="s">
        <v>190</v>
      </c>
      <c r="IH331" s="319" t="s">
        <v>190</v>
      </c>
      <c r="II331" s="319" t="s">
        <v>190</v>
      </c>
      <c r="IJ331" s="319" t="s">
        <v>3115</v>
      </c>
      <c r="IK331" s="321">
        <v>42087</v>
      </c>
      <c r="IL331" s="321">
        <v>42089</v>
      </c>
      <c r="IM331" s="321">
        <v>42129</v>
      </c>
      <c r="IN331" s="319">
        <v>2</v>
      </c>
      <c r="IO331" s="319" t="s">
        <v>173</v>
      </c>
      <c r="IP331" s="319" t="s">
        <v>173</v>
      </c>
      <c r="IQ331" s="319" t="s">
        <v>173</v>
      </c>
      <c r="IR331" s="320" t="s">
        <v>173</v>
      </c>
      <c r="IS331" s="320" t="s">
        <v>173</v>
      </c>
      <c r="IT331" s="319" t="s">
        <v>173</v>
      </c>
    </row>
    <row r="332" spans="1:254" s="271" customFormat="1" x14ac:dyDescent="0.25">
      <c r="A332" s="318" t="str">
        <f>HYPERLINK("http://www.ofsted.gov.uk/inspection-reports/find-inspection-report/provider/ELS/131462 ","Ofsted School Webpage")</f>
        <v>Ofsted School Webpage</v>
      </c>
      <c r="B332" s="319">
        <v>131462</v>
      </c>
      <c r="C332" s="319">
        <v>8256031</v>
      </c>
      <c r="D332" s="319" t="s">
        <v>1665</v>
      </c>
      <c r="E332" s="319" t="s">
        <v>168</v>
      </c>
      <c r="F332" s="319" t="s">
        <v>81</v>
      </c>
      <c r="G332" s="319" t="s">
        <v>81</v>
      </c>
      <c r="H332" s="319" t="s">
        <v>81</v>
      </c>
      <c r="I332" s="319" t="s">
        <v>78</v>
      </c>
      <c r="J332" s="319" t="s">
        <v>424</v>
      </c>
      <c r="K332" s="319" t="s">
        <v>514</v>
      </c>
      <c r="L332" s="319" t="s">
        <v>514</v>
      </c>
      <c r="M332" s="319" t="s">
        <v>632</v>
      </c>
      <c r="N332" s="319" t="s">
        <v>3116</v>
      </c>
      <c r="O332" s="319" t="s">
        <v>1666</v>
      </c>
      <c r="P332" s="319">
        <v>34</v>
      </c>
      <c r="Q332" s="319" t="s">
        <v>429</v>
      </c>
      <c r="R332" s="320">
        <v>10006066</v>
      </c>
      <c r="S332" s="321">
        <v>42703</v>
      </c>
      <c r="T332" s="321">
        <v>42705</v>
      </c>
      <c r="U332" s="321">
        <v>42752</v>
      </c>
      <c r="V332" s="319" t="s">
        <v>425</v>
      </c>
      <c r="W332" s="319" t="s">
        <v>2767</v>
      </c>
      <c r="X332" s="319">
        <v>1</v>
      </c>
      <c r="Y332" s="319" t="s">
        <v>173</v>
      </c>
      <c r="Z332" s="319" t="s">
        <v>173</v>
      </c>
      <c r="AA332" s="319" t="s">
        <v>173</v>
      </c>
      <c r="AB332" s="319">
        <v>1</v>
      </c>
      <c r="AC332" s="319" t="s">
        <v>169</v>
      </c>
      <c r="AD332" s="319" t="s">
        <v>173</v>
      </c>
      <c r="AE332" s="319" t="s">
        <v>173</v>
      </c>
      <c r="AF332" s="319" t="s">
        <v>173</v>
      </c>
      <c r="AG332" s="319" t="s">
        <v>171</v>
      </c>
      <c r="AH332" s="319" t="s">
        <v>190</v>
      </c>
      <c r="AI332" s="319" t="s">
        <v>190</v>
      </c>
      <c r="AJ332" s="319" t="s">
        <v>190</v>
      </c>
      <c r="AK332" s="319" t="s">
        <v>190</v>
      </c>
      <c r="AL332" s="319" t="s">
        <v>190</v>
      </c>
      <c r="AM332" s="319" t="s">
        <v>190</v>
      </c>
      <c r="AN332" s="319" t="s">
        <v>190</v>
      </c>
      <c r="AO332" s="319" t="s">
        <v>190</v>
      </c>
      <c r="AP332" s="319" t="s">
        <v>190</v>
      </c>
      <c r="AQ332" s="319" t="s">
        <v>190</v>
      </c>
      <c r="AR332" s="319" t="s">
        <v>190</v>
      </c>
      <c r="AS332" s="319" t="s">
        <v>190</v>
      </c>
      <c r="AT332" s="319" t="s">
        <v>190</v>
      </c>
      <c r="AU332" s="319" t="s">
        <v>190</v>
      </c>
      <c r="AV332" s="319" t="s">
        <v>190</v>
      </c>
      <c r="AW332" s="319" t="s">
        <v>190</v>
      </c>
      <c r="AX332" s="319" t="s">
        <v>429</v>
      </c>
      <c r="AY332" s="319" t="s">
        <v>190</v>
      </c>
      <c r="AZ332" s="319" t="s">
        <v>190</v>
      </c>
      <c r="BA332" s="319" t="s">
        <v>190</v>
      </c>
      <c r="BB332" s="319" t="s">
        <v>190</v>
      </c>
      <c r="BC332" s="319" t="s">
        <v>190</v>
      </c>
      <c r="BD332" s="319" t="s">
        <v>190</v>
      </c>
      <c r="BE332" s="319" t="s">
        <v>190</v>
      </c>
      <c r="BF332" s="319" t="s">
        <v>429</v>
      </c>
      <c r="BG332" s="319" t="s">
        <v>190</v>
      </c>
      <c r="BH332" s="319" t="s">
        <v>190</v>
      </c>
      <c r="BI332" s="319" t="s">
        <v>190</v>
      </c>
      <c r="BJ332" s="319" t="s">
        <v>190</v>
      </c>
      <c r="BK332" s="319" t="s">
        <v>190</v>
      </c>
      <c r="BL332" s="319" t="s">
        <v>190</v>
      </c>
      <c r="BM332" s="319" t="s">
        <v>190</v>
      </c>
      <c r="BN332" s="319" t="s">
        <v>190</v>
      </c>
      <c r="BO332" s="319" t="s">
        <v>190</v>
      </c>
      <c r="BP332" s="319" t="s">
        <v>190</v>
      </c>
      <c r="BQ332" s="319" t="s">
        <v>190</v>
      </c>
      <c r="BR332" s="319" t="s">
        <v>190</v>
      </c>
      <c r="BS332" s="319" t="s">
        <v>190</v>
      </c>
      <c r="BT332" s="319" t="s">
        <v>190</v>
      </c>
      <c r="BU332" s="319" t="s">
        <v>190</v>
      </c>
      <c r="BV332" s="319" t="s">
        <v>190</v>
      </c>
      <c r="BW332" s="319" t="s">
        <v>190</v>
      </c>
      <c r="BX332" s="319" t="s">
        <v>190</v>
      </c>
      <c r="BY332" s="319" t="s">
        <v>190</v>
      </c>
      <c r="BZ332" s="319" t="s">
        <v>190</v>
      </c>
      <c r="CA332" s="319" t="s">
        <v>190</v>
      </c>
      <c r="CB332" s="319" t="s">
        <v>190</v>
      </c>
      <c r="CC332" s="319" t="s">
        <v>190</v>
      </c>
      <c r="CD332" s="319" t="s">
        <v>190</v>
      </c>
      <c r="CE332" s="319" t="s">
        <v>190</v>
      </c>
      <c r="CF332" s="319" t="s">
        <v>190</v>
      </c>
      <c r="CG332" s="319" t="s">
        <v>190</v>
      </c>
      <c r="CH332" s="319" t="s">
        <v>190</v>
      </c>
      <c r="CI332" s="319" t="s">
        <v>190</v>
      </c>
      <c r="CJ332" s="319" t="s">
        <v>190</v>
      </c>
      <c r="CK332" s="319" t="s">
        <v>190</v>
      </c>
      <c r="CL332" s="319" t="s">
        <v>190</v>
      </c>
      <c r="CM332" s="319" t="s">
        <v>190</v>
      </c>
      <c r="CN332" s="319" t="s">
        <v>429</v>
      </c>
      <c r="CO332" s="319" t="s">
        <v>429</v>
      </c>
      <c r="CP332" s="319" t="s">
        <v>429</v>
      </c>
      <c r="CQ332" s="319" t="s">
        <v>190</v>
      </c>
      <c r="CR332" s="319" t="s">
        <v>190</v>
      </c>
      <c r="CS332" s="319" t="s">
        <v>190</v>
      </c>
      <c r="CT332" s="319" t="s">
        <v>190</v>
      </c>
      <c r="CU332" s="319" t="s">
        <v>190</v>
      </c>
      <c r="CV332" s="319" t="s">
        <v>190</v>
      </c>
      <c r="CW332" s="319" t="s">
        <v>190</v>
      </c>
      <c r="CX332" s="319" t="s">
        <v>190</v>
      </c>
      <c r="CY332" s="319" t="s">
        <v>190</v>
      </c>
      <c r="CZ332" s="319" t="s">
        <v>190</v>
      </c>
      <c r="DA332" s="319" t="s">
        <v>190</v>
      </c>
      <c r="DB332" s="319" t="s">
        <v>190</v>
      </c>
      <c r="DC332" s="319" t="s">
        <v>190</v>
      </c>
      <c r="DD332" s="319" t="s">
        <v>190</v>
      </c>
      <c r="DE332" s="319" t="s">
        <v>190</v>
      </c>
      <c r="DF332" s="319" t="s">
        <v>190</v>
      </c>
      <c r="DG332" s="319" t="s">
        <v>190</v>
      </c>
      <c r="DH332" s="319" t="s">
        <v>190</v>
      </c>
      <c r="DI332" s="319" t="s">
        <v>190</v>
      </c>
      <c r="DJ332" s="319" t="s">
        <v>190</v>
      </c>
      <c r="DK332" s="319" t="s">
        <v>190</v>
      </c>
      <c r="DL332" s="319" t="s">
        <v>190</v>
      </c>
      <c r="DM332" s="319" t="s">
        <v>190</v>
      </c>
      <c r="DN332" s="319" t="s">
        <v>429</v>
      </c>
      <c r="DO332" s="319" t="s">
        <v>190</v>
      </c>
      <c r="DP332" s="319" t="s">
        <v>190</v>
      </c>
      <c r="DQ332" s="319" t="s">
        <v>190</v>
      </c>
      <c r="DR332" s="319" t="s">
        <v>190</v>
      </c>
      <c r="DS332" s="319" t="s">
        <v>190</v>
      </c>
      <c r="DT332" s="319" t="s">
        <v>190</v>
      </c>
      <c r="DU332" s="319" t="s">
        <v>190</v>
      </c>
      <c r="DV332" s="319" t="s">
        <v>173</v>
      </c>
      <c r="DW332" s="319" t="s">
        <v>190</v>
      </c>
      <c r="DX332" s="319" t="s">
        <v>190</v>
      </c>
      <c r="DY332" s="319" t="s">
        <v>190</v>
      </c>
      <c r="DZ332" s="319" t="s">
        <v>190</v>
      </c>
      <c r="EA332" s="319" t="s">
        <v>190</v>
      </c>
      <c r="EB332" s="319" t="s">
        <v>190</v>
      </c>
      <c r="EC332" s="319" t="s">
        <v>429</v>
      </c>
      <c r="ED332" s="319" t="s">
        <v>190</v>
      </c>
      <c r="EE332" s="319" t="s">
        <v>190</v>
      </c>
      <c r="EF332" s="319" t="s">
        <v>190</v>
      </c>
      <c r="EG332" s="319" t="s">
        <v>190</v>
      </c>
      <c r="EH332" s="319" t="s">
        <v>190</v>
      </c>
      <c r="EI332" s="319" t="s">
        <v>190</v>
      </c>
      <c r="EJ332" s="319" t="s">
        <v>190</v>
      </c>
      <c r="EK332" s="319" t="s">
        <v>190</v>
      </c>
      <c r="EL332" s="319" t="s">
        <v>190</v>
      </c>
      <c r="EM332" s="319" t="s">
        <v>190</v>
      </c>
      <c r="EN332" s="319" t="s">
        <v>190</v>
      </c>
      <c r="EO332" s="319" t="s">
        <v>190</v>
      </c>
      <c r="EP332" s="319" t="s">
        <v>190</v>
      </c>
      <c r="EQ332" s="319" t="s">
        <v>190</v>
      </c>
      <c r="ER332" s="319" t="s">
        <v>190</v>
      </c>
      <c r="ES332" s="319" t="s">
        <v>190</v>
      </c>
      <c r="ET332" s="319" t="s">
        <v>190</v>
      </c>
      <c r="EU332" s="319" t="s">
        <v>190</v>
      </c>
      <c r="EV332" s="319" t="s">
        <v>190</v>
      </c>
      <c r="EW332" s="319" t="s">
        <v>190</v>
      </c>
      <c r="EX332" s="319" t="s">
        <v>190</v>
      </c>
      <c r="EY332" s="319" t="s">
        <v>190</v>
      </c>
      <c r="EZ332" s="319" t="s">
        <v>190</v>
      </c>
      <c r="FA332" s="319" t="s">
        <v>190</v>
      </c>
      <c r="FB332" s="319" t="s">
        <v>190</v>
      </c>
      <c r="FC332" s="319" t="s">
        <v>190</v>
      </c>
      <c r="FD332" s="319" t="s">
        <v>190</v>
      </c>
      <c r="FE332" s="319" t="s">
        <v>190</v>
      </c>
      <c r="FF332" s="319" t="s">
        <v>190</v>
      </c>
      <c r="FG332" s="319" t="s">
        <v>190</v>
      </c>
      <c r="FH332" s="319" t="s">
        <v>190</v>
      </c>
      <c r="FI332" s="319" t="s">
        <v>190</v>
      </c>
      <c r="FJ332" s="319" t="s">
        <v>190</v>
      </c>
      <c r="FK332" s="319" t="s">
        <v>190</v>
      </c>
      <c r="FL332" s="319" t="s">
        <v>190</v>
      </c>
      <c r="FM332" s="319" t="s">
        <v>190</v>
      </c>
      <c r="FN332" s="319" t="s">
        <v>190</v>
      </c>
      <c r="FO332" s="319" t="s">
        <v>190</v>
      </c>
      <c r="FP332" s="319" t="s">
        <v>190</v>
      </c>
      <c r="FQ332" s="319" t="s">
        <v>190</v>
      </c>
      <c r="FR332" s="319" t="s">
        <v>190</v>
      </c>
      <c r="FS332" s="319" t="s">
        <v>190</v>
      </c>
      <c r="FT332" s="319" t="s">
        <v>190</v>
      </c>
      <c r="FU332" s="319" t="s">
        <v>190</v>
      </c>
      <c r="FV332" s="319" t="s">
        <v>190</v>
      </c>
      <c r="FW332" s="319" t="s">
        <v>190</v>
      </c>
      <c r="FX332" s="319" t="s">
        <v>190</v>
      </c>
      <c r="FY332" s="319" t="s">
        <v>190</v>
      </c>
      <c r="FZ332" s="319" t="s">
        <v>190</v>
      </c>
      <c r="GA332" s="319" t="s">
        <v>190</v>
      </c>
      <c r="GB332" s="319" t="s">
        <v>190</v>
      </c>
      <c r="GC332" s="319" t="s">
        <v>190</v>
      </c>
      <c r="GD332" s="319" t="s">
        <v>190</v>
      </c>
      <c r="GE332" s="319" t="s">
        <v>190</v>
      </c>
      <c r="GF332" s="319" t="s">
        <v>190</v>
      </c>
      <c r="GG332" s="319" t="s">
        <v>190</v>
      </c>
      <c r="GH332" s="319" t="s">
        <v>190</v>
      </c>
      <c r="GI332" s="319" t="s">
        <v>190</v>
      </c>
      <c r="GJ332" s="319" t="s">
        <v>190</v>
      </c>
      <c r="GK332" s="319" t="s">
        <v>429</v>
      </c>
      <c r="GL332" s="319" t="s">
        <v>190</v>
      </c>
      <c r="GM332" s="319" t="s">
        <v>190</v>
      </c>
      <c r="GN332" s="319" t="s">
        <v>190</v>
      </c>
      <c r="GO332" s="319" t="s">
        <v>190</v>
      </c>
      <c r="GP332" s="319" t="s">
        <v>190</v>
      </c>
      <c r="GQ332" s="319" t="s">
        <v>429</v>
      </c>
      <c r="GR332" s="319" t="s">
        <v>190</v>
      </c>
      <c r="GS332" s="319" t="s">
        <v>190</v>
      </c>
      <c r="GT332" s="319" t="s">
        <v>190</v>
      </c>
      <c r="GU332" s="319" t="s">
        <v>190</v>
      </c>
      <c r="GV332" s="319" t="s">
        <v>190</v>
      </c>
      <c r="GW332" s="319" t="s">
        <v>190</v>
      </c>
      <c r="GX332" s="319" t="s">
        <v>190</v>
      </c>
      <c r="GY332" s="319" t="s">
        <v>190</v>
      </c>
      <c r="GZ332" s="319" t="s">
        <v>429</v>
      </c>
      <c r="HA332" s="319" t="s">
        <v>190</v>
      </c>
      <c r="HB332" s="319" t="s">
        <v>190</v>
      </c>
      <c r="HC332" s="319" t="s">
        <v>190</v>
      </c>
      <c r="HD332" s="319" t="s">
        <v>190</v>
      </c>
      <c r="HE332" s="319" t="s">
        <v>190</v>
      </c>
      <c r="HF332" s="319" t="s">
        <v>190</v>
      </c>
      <c r="HG332" s="319" t="s">
        <v>190</v>
      </c>
      <c r="HH332" s="319" t="s">
        <v>190</v>
      </c>
      <c r="HI332" s="319" t="s">
        <v>190</v>
      </c>
      <c r="HJ332" s="319" t="s">
        <v>190</v>
      </c>
      <c r="HK332" s="319" t="s">
        <v>190</v>
      </c>
      <c r="HL332" s="319" t="s">
        <v>429</v>
      </c>
      <c r="HM332" s="319" t="s">
        <v>429</v>
      </c>
      <c r="HN332" s="319" t="s">
        <v>429</v>
      </c>
      <c r="HO332" s="319" t="s">
        <v>429</v>
      </c>
      <c r="HP332" s="319" t="s">
        <v>190</v>
      </c>
      <c r="HQ332" s="319" t="s">
        <v>190</v>
      </c>
      <c r="HR332" s="319" t="s">
        <v>190</v>
      </c>
      <c r="HS332" s="319" t="s">
        <v>190</v>
      </c>
      <c r="HT332" s="319" t="s">
        <v>190</v>
      </c>
      <c r="HU332" s="319" t="s">
        <v>190</v>
      </c>
      <c r="HV332" s="319" t="s">
        <v>190</v>
      </c>
      <c r="HW332" s="319" t="s">
        <v>190</v>
      </c>
      <c r="HX332" s="319" t="s">
        <v>190</v>
      </c>
      <c r="HY332" s="319" t="s">
        <v>190</v>
      </c>
      <c r="HZ332" s="319" t="s">
        <v>190</v>
      </c>
      <c r="IA332" s="319" t="s">
        <v>190</v>
      </c>
      <c r="IB332" s="319" t="s">
        <v>190</v>
      </c>
      <c r="IC332" s="319" t="s">
        <v>190</v>
      </c>
      <c r="ID332" s="319" t="s">
        <v>190</v>
      </c>
      <c r="IE332" s="319" t="s">
        <v>190</v>
      </c>
      <c r="IF332" s="319" t="s">
        <v>190</v>
      </c>
      <c r="IG332" s="319" t="s">
        <v>190</v>
      </c>
      <c r="IH332" s="319" t="s">
        <v>190</v>
      </c>
      <c r="II332" s="319" t="s">
        <v>190</v>
      </c>
      <c r="IJ332" s="319" t="s">
        <v>3117</v>
      </c>
      <c r="IK332" s="321">
        <v>41199</v>
      </c>
      <c r="IL332" s="321">
        <v>41200</v>
      </c>
      <c r="IM332" s="321">
        <v>41227</v>
      </c>
      <c r="IN332" s="319">
        <v>1</v>
      </c>
      <c r="IO332" s="319" t="s">
        <v>173</v>
      </c>
      <c r="IP332" s="319" t="s">
        <v>173</v>
      </c>
      <c r="IQ332" s="321" t="s">
        <v>173</v>
      </c>
      <c r="IR332" s="320" t="s">
        <v>173</v>
      </c>
      <c r="IS332" s="322" t="s">
        <v>173</v>
      </c>
      <c r="IT332" s="319" t="s">
        <v>173</v>
      </c>
    </row>
    <row r="333" spans="1:254" s="271" customFormat="1" x14ac:dyDescent="0.25">
      <c r="A333" s="318" t="str">
        <f>HYPERLINK("http://www.ofsted.gov.uk/inspection-reports/find-inspection-report/provider/ELS/131504 ","Ofsted School Webpage")</f>
        <v>Ofsted School Webpage</v>
      </c>
      <c r="B333" s="319">
        <v>131504</v>
      </c>
      <c r="C333" s="319">
        <v>9386265</v>
      </c>
      <c r="D333" s="319" t="s">
        <v>1667</v>
      </c>
      <c r="E333" s="319" t="s">
        <v>168</v>
      </c>
      <c r="F333" s="319" t="s">
        <v>81</v>
      </c>
      <c r="G333" s="319" t="s">
        <v>81</v>
      </c>
      <c r="H333" s="319" t="s">
        <v>81</v>
      </c>
      <c r="I333" s="319" t="s">
        <v>78</v>
      </c>
      <c r="J333" s="319" t="s">
        <v>424</v>
      </c>
      <c r="K333" s="319" t="s">
        <v>514</v>
      </c>
      <c r="L333" s="319" t="s">
        <v>514</v>
      </c>
      <c r="M333" s="319" t="s">
        <v>737</v>
      </c>
      <c r="N333" s="319" t="s">
        <v>3118</v>
      </c>
      <c r="O333" s="319" t="s">
        <v>1668</v>
      </c>
      <c r="P333" s="319">
        <v>12</v>
      </c>
      <c r="Q333" s="319" t="s">
        <v>429</v>
      </c>
      <c r="R333" s="320">
        <v>10008597</v>
      </c>
      <c r="S333" s="321">
        <v>43228</v>
      </c>
      <c r="T333" s="321">
        <v>43230</v>
      </c>
      <c r="U333" s="321">
        <v>43250</v>
      </c>
      <c r="V333" s="319" t="s">
        <v>425</v>
      </c>
      <c r="W333" s="319" t="s">
        <v>2767</v>
      </c>
      <c r="X333" s="319">
        <v>2</v>
      </c>
      <c r="Y333" s="319" t="s">
        <v>173</v>
      </c>
      <c r="Z333" s="319" t="s">
        <v>173</v>
      </c>
      <c r="AA333" s="319" t="s">
        <v>173</v>
      </c>
      <c r="AB333" s="319">
        <v>2</v>
      </c>
      <c r="AC333" s="319" t="s">
        <v>169</v>
      </c>
      <c r="AD333" s="319" t="s">
        <v>173</v>
      </c>
      <c r="AE333" s="319" t="s">
        <v>173</v>
      </c>
      <c r="AF333" s="319" t="s">
        <v>427</v>
      </c>
      <c r="AG333" s="319" t="s">
        <v>171</v>
      </c>
      <c r="AH333" s="319" t="s">
        <v>190</v>
      </c>
      <c r="AI333" s="319" t="s">
        <v>190</v>
      </c>
      <c r="AJ333" s="319" t="s">
        <v>190</v>
      </c>
      <c r="AK333" s="319" t="s">
        <v>190</v>
      </c>
      <c r="AL333" s="319" t="s">
        <v>190</v>
      </c>
      <c r="AM333" s="319" t="s">
        <v>190</v>
      </c>
      <c r="AN333" s="319" t="s">
        <v>190</v>
      </c>
      <c r="AO333" s="319" t="s">
        <v>190</v>
      </c>
      <c r="AP333" s="319" t="s">
        <v>190</v>
      </c>
      <c r="AQ333" s="319" t="s">
        <v>190</v>
      </c>
      <c r="AR333" s="319" t="s">
        <v>190</v>
      </c>
      <c r="AS333" s="319" t="s">
        <v>190</v>
      </c>
      <c r="AT333" s="319" t="s">
        <v>190</v>
      </c>
      <c r="AU333" s="319" t="s">
        <v>190</v>
      </c>
      <c r="AV333" s="319" t="s">
        <v>190</v>
      </c>
      <c r="AW333" s="319" t="s">
        <v>190</v>
      </c>
      <c r="AX333" s="319" t="s">
        <v>428</v>
      </c>
      <c r="AY333" s="319" t="s">
        <v>190</v>
      </c>
      <c r="AZ333" s="319" t="s">
        <v>190</v>
      </c>
      <c r="BA333" s="319" t="s">
        <v>190</v>
      </c>
      <c r="BB333" s="319" t="s">
        <v>190</v>
      </c>
      <c r="BC333" s="319" t="s">
        <v>190</v>
      </c>
      <c r="BD333" s="319" t="s">
        <v>190</v>
      </c>
      <c r="BE333" s="319" t="s">
        <v>190</v>
      </c>
      <c r="BF333" s="319" t="s">
        <v>428</v>
      </c>
      <c r="BG333" s="319" t="s">
        <v>428</v>
      </c>
      <c r="BH333" s="319" t="s">
        <v>190</v>
      </c>
      <c r="BI333" s="319" t="s">
        <v>190</v>
      </c>
      <c r="BJ333" s="319" t="s">
        <v>190</v>
      </c>
      <c r="BK333" s="319" t="s">
        <v>190</v>
      </c>
      <c r="BL333" s="319" t="s">
        <v>190</v>
      </c>
      <c r="BM333" s="319" t="s">
        <v>190</v>
      </c>
      <c r="BN333" s="319" t="s">
        <v>190</v>
      </c>
      <c r="BO333" s="319" t="s">
        <v>190</v>
      </c>
      <c r="BP333" s="319" t="s">
        <v>190</v>
      </c>
      <c r="BQ333" s="319" t="s">
        <v>190</v>
      </c>
      <c r="BR333" s="319" t="s">
        <v>190</v>
      </c>
      <c r="BS333" s="319" t="s">
        <v>190</v>
      </c>
      <c r="BT333" s="319" t="s">
        <v>190</v>
      </c>
      <c r="BU333" s="319" t="s">
        <v>190</v>
      </c>
      <c r="BV333" s="319" t="s">
        <v>190</v>
      </c>
      <c r="BW333" s="319" t="s">
        <v>190</v>
      </c>
      <c r="BX333" s="319" t="s">
        <v>190</v>
      </c>
      <c r="BY333" s="319" t="s">
        <v>190</v>
      </c>
      <c r="BZ333" s="319" t="s">
        <v>190</v>
      </c>
      <c r="CA333" s="319" t="s">
        <v>190</v>
      </c>
      <c r="CB333" s="319" t="s">
        <v>190</v>
      </c>
      <c r="CC333" s="319" t="s">
        <v>190</v>
      </c>
      <c r="CD333" s="319" t="s">
        <v>190</v>
      </c>
      <c r="CE333" s="319" t="s">
        <v>190</v>
      </c>
      <c r="CF333" s="319" t="s">
        <v>190</v>
      </c>
      <c r="CG333" s="319" t="s">
        <v>190</v>
      </c>
      <c r="CH333" s="319" t="s">
        <v>190</v>
      </c>
      <c r="CI333" s="319" t="s">
        <v>190</v>
      </c>
      <c r="CJ333" s="319" t="s">
        <v>190</v>
      </c>
      <c r="CK333" s="319" t="s">
        <v>190</v>
      </c>
      <c r="CL333" s="319" t="s">
        <v>190</v>
      </c>
      <c r="CM333" s="319" t="s">
        <v>190</v>
      </c>
      <c r="CN333" s="319" t="s">
        <v>428</v>
      </c>
      <c r="CO333" s="319" t="s">
        <v>428</v>
      </c>
      <c r="CP333" s="319" t="s">
        <v>428</v>
      </c>
      <c r="CQ333" s="319" t="s">
        <v>190</v>
      </c>
      <c r="CR333" s="319" t="s">
        <v>190</v>
      </c>
      <c r="CS333" s="319" t="s">
        <v>190</v>
      </c>
      <c r="CT333" s="319" t="s">
        <v>190</v>
      </c>
      <c r="CU333" s="319" t="s">
        <v>190</v>
      </c>
      <c r="CV333" s="319" t="s">
        <v>190</v>
      </c>
      <c r="CW333" s="319" t="s">
        <v>190</v>
      </c>
      <c r="CX333" s="319" t="s">
        <v>190</v>
      </c>
      <c r="CY333" s="319" t="s">
        <v>190</v>
      </c>
      <c r="CZ333" s="319" t="s">
        <v>190</v>
      </c>
      <c r="DA333" s="319" t="s">
        <v>190</v>
      </c>
      <c r="DB333" s="319" t="s">
        <v>190</v>
      </c>
      <c r="DC333" s="319" t="s">
        <v>190</v>
      </c>
      <c r="DD333" s="319" t="s">
        <v>190</v>
      </c>
      <c r="DE333" s="319" t="s">
        <v>190</v>
      </c>
      <c r="DF333" s="319" t="s">
        <v>190</v>
      </c>
      <c r="DG333" s="319" t="s">
        <v>190</v>
      </c>
      <c r="DH333" s="319" t="s">
        <v>190</v>
      </c>
      <c r="DI333" s="319" t="s">
        <v>190</v>
      </c>
      <c r="DJ333" s="319" t="s">
        <v>190</v>
      </c>
      <c r="DK333" s="319" t="s">
        <v>190</v>
      </c>
      <c r="DL333" s="319" t="s">
        <v>190</v>
      </c>
      <c r="DM333" s="319" t="s">
        <v>190</v>
      </c>
      <c r="DN333" s="319" t="s">
        <v>428</v>
      </c>
      <c r="DO333" s="319" t="s">
        <v>190</v>
      </c>
      <c r="DP333" s="319" t="s">
        <v>428</v>
      </c>
      <c r="DQ333" s="319" t="s">
        <v>428</v>
      </c>
      <c r="DR333" s="319" t="s">
        <v>428</v>
      </c>
      <c r="DS333" s="319" t="s">
        <v>428</v>
      </c>
      <c r="DT333" s="319" t="s">
        <v>428</v>
      </c>
      <c r="DU333" s="319" t="s">
        <v>428</v>
      </c>
      <c r="DV333" s="319" t="s">
        <v>173</v>
      </c>
      <c r="DW333" s="319" t="s">
        <v>428</v>
      </c>
      <c r="DX333" s="319" t="s">
        <v>428</v>
      </c>
      <c r="DY333" s="319" t="s">
        <v>428</v>
      </c>
      <c r="DZ333" s="319" t="s">
        <v>428</v>
      </c>
      <c r="EA333" s="319" t="s">
        <v>428</v>
      </c>
      <c r="EB333" s="319" t="s">
        <v>428</v>
      </c>
      <c r="EC333" s="319" t="s">
        <v>428</v>
      </c>
      <c r="ED333" s="319" t="s">
        <v>428</v>
      </c>
      <c r="EE333" s="319" t="s">
        <v>190</v>
      </c>
      <c r="EF333" s="319" t="s">
        <v>190</v>
      </c>
      <c r="EG333" s="319" t="s">
        <v>190</v>
      </c>
      <c r="EH333" s="319" t="s">
        <v>190</v>
      </c>
      <c r="EI333" s="319" t="s">
        <v>190</v>
      </c>
      <c r="EJ333" s="319" t="s">
        <v>190</v>
      </c>
      <c r="EK333" s="319" t="s">
        <v>190</v>
      </c>
      <c r="EL333" s="319" t="s">
        <v>190</v>
      </c>
      <c r="EM333" s="319" t="s">
        <v>190</v>
      </c>
      <c r="EN333" s="319" t="s">
        <v>190</v>
      </c>
      <c r="EO333" s="319" t="s">
        <v>190</v>
      </c>
      <c r="EP333" s="319" t="s">
        <v>190</v>
      </c>
      <c r="EQ333" s="319" t="s">
        <v>190</v>
      </c>
      <c r="ER333" s="319" t="s">
        <v>190</v>
      </c>
      <c r="ES333" s="319" t="s">
        <v>190</v>
      </c>
      <c r="ET333" s="319" t="s">
        <v>190</v>
      </c>
      <c r="EU333" s="319" t="s">
        <v>190</v>
      </c>
      <c r="EV333" s="319" t="s">
        <v>190</v>
      </c>
      <c r="EW333" s="319" t="s">
        <v>190</v>
      </c>
      <c r="EX333" s="319" t="s">
        <v>190</v>
      </c>
      <c r="EY333" s="319" t="s">
        <v>190</v>
      </c>
      <c r="EZ333" s="319" t="s">
        <v>190</v>
      </c>
      <c r="FA333" s="319" t="s">
        <v>190</v>
      </c>
      <c r="FB333" s="319" t="s">
        <v>428</v>
      </c>
      <c r="FC333" s="319" t="s">
        <v>428</v>
      </c>
      <c r="FD333" s="319" t="s">
        <v>428</v>
      </c>
      <c r="FE333" s="319" t="s">
        <v>428</v>
      </c>
      <c r="FF333" s="319" t="s">
        <v>428</v>
      </c>
      <c r="FG333" s="319" t="s">
        <v>428</v>
      </c>
      <c r="FH333" s="319" t="s">
        <v>190</v>
      </c>
      <c r="FI333" s="319" t="s">
        <v>190</v>
      </c>
      <c r="FJ333" s="319" t="s">
        <v>190</v>
      </c>
      <c r="FK333" s="319" t="s">
        <v>190</v>
      </c>
      <c r="FL333" s="319" t="s">
        <v>190</v>
      </c>
      <c r="FM333" s="319" t="s">
        <v>190</v>
      </c>
      <c r="FN333" s="319" t="s">
        <v>190</v>
      </c>
      <c r="FO333" s="319" t="s">
        <v>190</v>
      </c>
      <c r="FP333" s="319" t="s">
        <v>190</v>
      </c>
      <c r="FQ333" s="319" t="s">
        <v>190</v>
      </c>
      <c r="FR333" s="319" t="s">
        <v>190</v>
      </c>
      <c r="FS333" s="319" t="s">
        <v>428</v>
      </c>
      <c r="FT333" s="319" t="s">
        <v>190</v>
      </c>
      <c r="FU333" s="319" t="s">
        <v>190</v>
      </c>
      <c r="FV333" s="319" t="s">
        <v>190</v>
      </c>
      <c r="FW333" s="319" t="s">
        <v>190</v>
      </c>
      <c r="FX333" s="319" t="s">
        <v>190</v>
      </c>
      <c r="FY333" s="319" t="s">
        <v>190</v>
      </c>
      <c r="FZ333" s="319" t="s">
        <v>190</v>
      </c>
      <c r="GA333" s="319" t="s">
        <v>190</v>
      </c>
      <c r="GB333" s="319" t="s">
        <v>190</v>
      </c>
      <c r="GC333" s="319" t="s">
        <v>190</v>
      </c>
      <c r="GD333" s="319" t="s">
        <v>190</v>
      </c>
      <c r="GE333" s="319" t="s">
        <v>190</v>
      </c>
      <c r="GF333" s="319" t="s">
        <v>190</v>
      </c>
      <c r="GG333" s="319" t="s">
        <v>190</v>
      </c>
      <c r="GH333" s="319" t="s">
        <v>190</v>
      </c>
      <c r="GI333" s="319" t="s">
        <v>190</v>
      </c>
      <c r="GJ333" s="319" t="s">
        <v>190</v>
      </c>
      <c r="GK333" s="319" t="s">
        <v>428</v>
      </c>
      <c r="GL333" s="319" t="s">
        <v>190</v>
      </c>
      <c r="GM333" s="319" t="s">
        <v>190</v>
      </c>
      <c r="GN333" s="319" t="s">
        <v>190</v>
      </c>
      <c r="GO333" s="319" t="s">
        <v>190</v>
      </c>
      <c r="GP333" s="319" t="s">
        <v>190</v>
      </c>
      <c r="GQ333" s="319" t="s">
        <v>428</v>
      </c>
      <c r="GR333" s="319" t="s">
        <v>190</v>
      </c>
      <c r="GS333" s="319" t="s">
        <v>190</v>
      </c>
      <c r="GT333" s="319" t="s">
        <v>190</v>
      </c>
      <c r="GU333" s="319" t="s">
        <v>190</v>
      </c>
      <c r="GV333" s="319" t="s">
        <v>190</v>
      </c>
      <c r="GW333" s="319" t="s">
        <v>190</v>
      </c>
      <c r="GX333" s="319" t="s">
        <v>190</v>
      </c>
      <c r="GY333" s="319" t="s">
        <v>190</v>
      </c>
      <c r="GZ333" s="319" t="s">
        <v>190</v>
      </c>
      <c r="HA333" s="319" t="s">
        <v>428</v>
      </c>
      <c r="HB333" s="319" t="s">
        <v>428</v>
      </c>
      <c r="HC333" s="319" t="s">
        <v>190</v>
      </c>
      <c r="HD333" s="319" t="s">
        <v>190</v>
      </c>
      <c r="HE333" s="319" t="s">
        <v>190</v>
      </c>
      <c r="HF333" s="319" t="s">
        <v>428</v>
      </c>
      <c r="HG333" s="319" t="s">
        <v>190</v>
      </c>
      <c r="HH333" s="319" t="s">
        <v>190</v>
      </c>
      <c r="HI333" s="319" t="s">
        <v>428</v>
      </c>
      <c r="HJ333" s="319" t="s">
        <v>190</v>
      </c>
      <c r="HK333" s="319" t="s">
        <v>428</v>
      </c>
      <c r="HL333" s="319" t="s">
        <v>190</v>
      </c>
      <c r="HM333" s="319" t="s">
        <v>428</v>
      </c>
      <c r="HN333" s="319" t="s">
        <v>428</v>
      </c>
      <c r="HO333" s="319" t="s">
        <v>428</v>
      </c>
      <c r="HP333" s="319" t="s">
        <v>190</v>
      </c>
      <c r="HQ333" s="319" t="s">
        <v>190</v>
      </c>
      <c r="HR333" s="319" t="s">
        <v>190</v>
      </c>
      <c r="HS333" s="319" t="s">
        <v>190</v>
      </c>
      <c r="HT333" s="319" t="s">
        <v>190</v>
      </c>
      <c r="HU333" s="319" t="s">
        <v>190</v>
      </c>
      <c r="HV333" s="319" t="s">
        <v>190</v>
      </c>
      <c r="HW333" s="319" t="s">
        <v>190</v>
      </c>
      <c r="HX333" s="319" t="s">
        <v>190</v>
      </c>
      <c r="HY333" s="319" t="s">
        <v>190</v>
      </c>
      <c r="HZ333" s="319" t="s">
        <v>190</v>
      </c>
      <c r="IA333" s="319" t="s">
        <v>190</v>
      </c>
      <c r="IB333" s="319" t="s">
        <v>190</v>
      </c>
      <c r="IC333" s="319" t="s">
        <v>428</v>
      </c>
      <c r="ID333" s="319" t="s">
        <v>428</v>
      </c>
      <c r="IE333" s="319" t="s">
        <v>428</v>
      </c>
      <c r="IF333" s="319" t="s">
        <v>190</v>
      </c>
      <c r="IG333" s="319" t="s">
        <v>190</v>
      </c>
      <c r="IH333" s="319" t="s">
        <v>190</v>
      </c>
      <c r="II333" s="319" t="s">
        <v>190</v>
      </c>
      <c r="IJ333" s="319" t="s">
        <v>3119</v>
      </c>
      <c r="IK333" s="321">
        <v>41332</v>
      </c>
      <c r="IL333" s="321">
        <v>41333</v>
      </c>
      <c r="IM333" s="321">
        <v>41354</v>
      </c>
      <c r="IN333" s="319">
        <v>3</v>
      </c>
      <c r="IO333" s="319" t="s">
        <v>173</v>
      </c>
      <c r="IP333" s="319" t="s">
        <v>173</v>
      </c>
      <c r="IQ333" s="321" t="s">
        <v>173</v>
      </c>
      <c r="IR333" s="320" t="s">
        <v>173</v>
      </c>
      <c r="IS333" s="322" t="s">
        <v>173</v>
      </c>
      <c r="IT333" s="319" t="s">
        <v>173</v>
      </c>
    </row>
    <row r="334" spans="1:254" s="271" customFormat="1" x14ac:dyDescent="0.25">
      <c r="A334" s="318" t="str">
        <f>HYPERLINK("http://www.ofsted.gov.uk/inspection-reports/find-inspection-report/provider/ELS/131531 ","Ofsted School Webpage")</f>
        <v>Ofsted School Webpage</v>
      </c>
      <c r="B334" s="319">
        <v>131531</v>
      </c>
      <c r="C334" s="319">
        <v>8506085</v>
      </c>
      <c r="D334" s="319" t="s">
        <v>1669</v>
      </c>
      <c r="E334" s="319" t="s">
        <v>168</v>
      </c>
      <c r="F334" s="319" t="s">
        <v>81</v>
      </c>
      <c r="G334" s="319" t="s">
        <v>81</v>
      </c>
      <c r="H334" s="319" t="s">
        <v>81</v>
      </c>
      <c r="I334" s="319" t="s">
        <v>78</v>
      </c>
      <c r="J334" s="319" t="s">
        <v>424</v>
      </c>
      <c r="K334" s="319" t="s">
        <v>514</v>
      </c>
      <c r="L334" s="319" t="s">
        <v>514</v>
      </c>
      <c r="M334" s="319" t="s">
        <v>515</v>
      </c>
      <c r="N334" s="319" t="s">
        <v>2958</v>
      </c>
      <c r="O334" s="319" t="s">
        <v>1670</v>
      </c>
      <c r="P334" s="319">
        <v>40</v>
      </c>
      <c r="Q334" s="319" t="s">
        <v>2776</v>
      </c>
      <c r="R334" s="320">
        <v>10025981</v>
      </c>
      <c r="S334" s="321">
        <v>43053</v>
      </c>
      <c r="T334" s="321">
        <v>43055</v>
      </c>
      <c r="U334" s="321">
        <v>43075</v>
      </c>
      <c r="V334" s="319" t="s">
        <v>425</v>
      </c>
      <c r="W334" s="319" t="s">
        <v>2767</v>
      </c>
      <c r="X334" s="319">
        <v>2</v>
      </c>
      <c r="Y334" s="319" t="s">
        <v>173</v>
      </c>
      <c r="Z334" s="319" t="s">
        <v>173</v>
      </c>
      <c r="AA334" s="319" t="s">
        <v>173</v>
      </c>
      <c r="AB334" s="319">
        <v>2</v>
      </c>
      <c r="AC334" s="319" t="s">
        <v>169</v>
      </c>
      <c r="AD334" s="319" t="s">
        <v>173</v>
      </c>
      <c r="AE334" s="319">
        <v>1</v>
      </c>
      <c r="AF334" s="319" t="s">
        <v>173</v>
      </c>
      <c r="AG334" s="319" t="s">
        <v>171</v>
      </c>
      <c r="AH334" s="319" t="s">
        <v>190</v>
      </c>
      <c r="AI334" s="319" t="s">
        <v>190</v>
      </c>
      <c r="AJ334" s="319" t="s">
        <v>190</v>
      </c>
      <c r="AK334" s="319" t="s">
        <v>190</v>
      </c>
      <c r="AL334" s="319" t="s">
        <v>190</v>
      </c>
      <c r="AM334" s="319" t="s">
        <v>190</v>
      </c>
      <c r="AN334" s="319" t="s">
        <v>190</v>
      </c>
      <c r="AO334" s="319" t="s">
        <v>190</v>
      </c>
      <c r="AP334" s="319" t="s">
        <v>190</v>
      </c>
      <c r="AQ334" s="319" t="s">
        <v>190</v>
      </c>
      <c r="AR334" s="319" t="s">
        <v>190</v>
      </c>
      <c r="AS334" s="319" t="s">
        <v>190</v>
      </c>
      <c r="AT334" s="319" t="s">
        <v>190</v>
      </c>
      <c r="AU334" s="319" t="s">
        <v>190</v>
      </c>
      <c r="AV334" s="319" t="s">
        <v>190</v>
      </c>
      <c r="AW334" s="319" t="s">
        <v>190</v>
      </c>
      <c r="AX334" s="319" t="s">
        <v>190</v>
      </c>
      <c r="AY334" s="319" t="s">
        <v>190</v>
      </c>
      <c r="AZ334" s="319" t="s">
        <v>190</v>
      </c>
      <c r="BA334" s="319" t="s">
        <v>190</v>
      </c>
      <c r="BB334" s="319" t="s">
        <v>190</v>
      </c>
      <c r="BC334" s="319" t="s">
        <v>190</v>
      </c>
      <c r="BD334" s="319" t="s">
        <v>190</v>
      </c>
      <c r="BE334" s="319" t="s">
        <v>190</v>
      </c>
      <c r="BF334" s="319" t="s">
        <v>190</v>
      </c>
      <c r="BG334" s="319" t="s">
        <v>190</v>
      </c>
      <c r="BH334" s="319" t="s">
        <v>190</v>
      </c>
      <c r="BI334" s="319" t="s">
        <v>190</v>
      </c>
      <c r="BJ334" s="319" t="s">
        <v>190</v>
      </c>
      <c r="BK334" s="319" t="s">
        <v>190</v>
      </c>
      <c r="BL334" s="319" t="s">
        <v>190</v>
      </c>
      <c r="BM334" s="319" t="s">
        <v>190</v>
      </c>
      <c r="BN334" s="319" t="s">
        <v>190</v>
      </c>
      <c r="BO334" s="319" t="s">
        <v>190</v>
      </c>
      <c r="BP334" s="319" t="s">
        <v>190</v>
      </c>
      <c r="BQ334" s="319" t="s">
        <v>190</v>
      </c>
      <c r="BR334" s="319" t="s">
        <v>190</v>
      </c>
      <c r="BS334" s="319" t="s">
        <v>190</v>
      </c>
      <c r="BT334" s="319" t="s">
        <v>190</v>
      </c>
      <c r="BU334" s="319" t="s">
        <v>190</v>
      </c>
      <c r="BV334" s="319" t="s">
        <v>190</v>
      </c>
      <c r="BW334" s="319" t="s">
        <v>190</v>
      </c>
      <c r="BX334" s="319" t="s">
        <v>190</v>
      </c>
      <c r="BY334" s="319" t="s">
        <v>190</v>
      </c>
      <c r="BZ334" s="319" t="s">
        <v>190</v>
      </c>
      <c r="CA334" s="319" t="s">
        <v>190</v>
      </c>
      <c r="CB334" s="319" t="s">
        <v>190</v>
      </c>
      <c r="CC334" s="319" t="s">
        <v>190</v>
      </c>
      <c r="CD334" s="319" t="s">
        <v>190</v>
      </c>
      <c r="CE334" s="319" t="s">
        <v>190</v>
      </c>
      <c r="CF334" s="319" t="s">
        <v>190</v>
      </c>
      <c r="CG334" s="319" t="s">
        <v>190</v>
      </c>
      <c r="CH334" s="319" t="s">
        <v>190</v>
      </c>
      <c r="CI334" s="319" t="s">
        <v>190</v>
      </c>
      <c r="CJ334" s="319" t="s">
        <v>190</v>
      </c>
      <c r="CK334" s="319" t="s">
        <v>190</v>
      </c>
      <c r="CL334" s="319" t="s">
        <v>190</v>
      </c>
      <c r="CM334" s="319" t="s">
        <v>190</v>
      </c>
      <c r="CN334" s="319" t="s">
        <v>429</v>
      </c>
      <c r="CO334" s="319" t="s">
        <v>429</v>
      </c>
      <c r="CP334" s="319" t="s">
        <v>429</v>
      </c>
      <c r="CQ334" s="319" t="s">
        <v>190</v>
      </c>
      <c r="CR334" s="319" t="s">
        <v>190</v>
      </c>
      <c r="CS334" s="319" t="s">
        <v>190</v>
      </c>
      <c r="CT334" s="319" t="s">
        <v>190</v>
      </c>
      <c r="CU334" s="319" t="s">
        <v>190</v>
      </c>
      <c r="CV334" s="319" t="s">
        <v>190</v>
      </c>
      <c r="CW334" s="319" t="s">
        <v>190</v>
      </c>
      <c r="CX334" s="319" t="s">
        <v>190</v>
      </c>
      <c r="CY334" s="319" t="s">
        <v>190</v>
      </c>
      <c r="CZ334" s="319" t="s">
        <v>190</v>
      </c>
      <c r="DA334" s="319" t="s">
        <v>190</v>
      </c>
      <c r="DB334" s="319" t="s">
        <v>190</v>
      </c>
      <c r="DC334" s="319" t="s">
        <v>190</v>
      </c>
      <c r="DD334" s="319" t="s">
        <v>190</v>
      </c>
      <c r="DE334" s="319" t="s">
        <v>190</v>
      </c>
      <c r="DF334" s="319" t="s">
        <v>190</v>
      </c>
      <c r="DG334" s="319" t="s">
        <v>190</v>
      </c>
      <c r="DH334" s="319" t="s">
        <v>190</v>
      </c>
      <c r="DI334" s="319" t="s">
        <v>190</v>
      </c>
      <c r="DJ334" s="319" t="s">
        <v>190</v>
      </c>
      <c r="DK334" s="319" t="s">
        <v>190</v>
      </c>
      <c r="DL334" s="319" t="s">
        <v>190</v>
      </c>
      <c r="DM334" s="319" t="s">
        <v>190</v>
      </c>
      <c r="DN334" s="319" t="s">
        <v>429</v>
      </c>
      <c r="DO334" s="319" t="s">
        <v>190</v>
      </c>
      <c r="DP334" s="319" t="s">
        <v>190</v>
      </c>
      <c r="DQ334" s="319" t="s">
        <v>190</v>
      </c>
      <c r="DR334" s="319" t="s">
        <v>190</v>
      </c>
      <c r="DS334" s="319" t="s">
        <v>190</v>
      </c>
      <c r="DT334" s="319" t="s">
        <v>190</v>
      </c>
      <c r="DU334" s="319" t="s">
        <v>190</v>
      </c>
      <c r="DV334" s="319" t="s">
        <v>173</v>
      </c>
      <c r="DW334" s="319" t="s">
        <v>190</v>
      </c>
      <c r="DX334" s="319" t="s">
        <v>190</v>
      </c>
      <c r="DY334" s="319" t="s">
        <v>190</v>
      </c>
      <c r="DZ334" s="319" t="s">
        <v>190</v>
      </c>
      <c r="EA334" s="319" t="s">
        <v>190</v>
      </c>
      <c r="EB334" s="319" t="s">
        <v>190</v>
      </c>
      <c r="EC334" s="319" t="s">
        <v>429</v>
      </c>
      <c r="ED334" s="319" t="s">
        <v>429</v>
      </c>
      <c r="EE334" s="319" t="s">
        <v>190</v>
      </c>
      <c r="EF334" s="319" t="s">
        <v>190</v>
      </c>
      <c r="EG334" s="319" t="s">
        <v>190</v>
      </c>
      <c r="EH334" s="319" t="s">
        <v>190</v>
      </c>
      <c r="EI334" s="319" t="s">
        <v>190</v>
      </c>
      <c r="EJ334" s="319" t="s">
        <v>190</v>
      </c>
      <c r="EK334" s="319" t="s">
        <v>190</v>
      </c>
      <c r="EL334" s="319" t="s">
        <v>190</v>
      </c>
      <c r="EM334" s="319" t="s">
        <v>190</v>
      </c>
      <c r="EN334" s="319" t="s">
        <v>190</v>
      </c>
      <c r="EO334" s="319" t="s">
        <v>190</v>
      </c>
      <c r="EP334" s="319" t="s">
        <v>190</v>
      </c>
      <c r="EQ334" s="319" t="s">
        <v>190</v>
      </c>
      <c r="ER334" s="319" t="s">
        <v>190</v>
      </c>
      <c r="ES334" s="319" t="s">
        <v>190</v>
      </c>
      <c r="ET334" s="319" t="s">
        <v>190</v>
      </c>
      <c r="EU334" s="319" t="s">
        <v>190</v>
      </c>
      <c r="EV334" s="319" t="s">
        <v>190</v>
      </c>
      <c r="EW334" s="319" t="s">
        <v>190</v>
      </c>
      <c r="EX334" s="319" t="s">
        <v>190</v>
      </c>
      <c r="EY334" s="319" t="s">
        <v>190</v>
      </c>
      <c r="EZ334" s="319" t="s">
        <v>190</v>
      </c>
      <c r="FA334" s="319" t="s">
        <v>190</v>
      </c>
      <c r="FB334" s="319" t="s">
        <v>190</v>
      </c>
      <c r="FC334" s="319" t="s">
        <v>190</v>
      </c>
      <c r="FD334" s="319" t="s">
        <v>190</v>
      </c>
      <c r="FE334" s="319" t="s">
        <v>190</v>
      </c>
      <c r="FF334" s="319" t="s">
        <v>190</v>
      </c>
      <c r="FG334" s="319" t="s">
        <v>190</v>
      </c>
      <c r="FH334" s="319" t="s">
        <v>190</v>
      </c>
      <c r="FI334" s="319" t="s">
        <v>190</v>
      </c>
      <c r="FJ334" s="319" t="s">
        <v>190</v>
      </c>
      <c r="FK334" s="319" t="s">
        <v>190</v>
      </c>
      <c r="FL334" s="319" t="s">
        <v>190</v>
      </c>
      <c r="FM334" s="319" t="s">
        <v>190</v>
      </c>
      <c r="FN334" s="319" t="s">
        <v>190</v>
      </c>
      <c r="FO334" s="319" t="s">
        <v>190</v>
      </c>
      <c r="FP334" s="319" t="s">
        <v>190</v>
      </c>
      <c r="FQ334" s="319" t="s">
        <v>190</v>
      </c>
      <c r="FR334" s="319" t="s">
        <v>190</v>
      </c>
      <c r="FS334" s="319" t="s">
        <v>190</v>
      </c>
      <c r="FT334" s="319" t="s">
        <v>190</v>
      </c>
      <c r="FU334" s="319" t="s">
        <v>190</v>
      </c>
      <c r="FV334" s="319" t="s">
        <v>190</v>
      </c>
      <c r="FW334" s="319" t="s">
        <v>190</v>
      </c>
      <c r="FX334" s="319" t="s">
        <v>190</v>
      </c>
      <c r="FY334" s="319" t="s">
        <v>190</v>
      </c>
      <c r="FZ334" s="319" t="s">
        <v>190</v>
      </c>
      <c r="GA334" s="319" t="s">
        <v>190</v>
      </c>
      <c r="GB334" s="319" t="s">
        <v>190</v>
      </c>
      <c r="GC334" s="319" t="s">
        <v>190</v>
      </c>
      <c r="GD334" s="319" t="s">
        <v>190</v>
      </c>
      <c r="GE334" s="319" t="s">
        <v>190</v>
      </c>
      <c r="GF334" s="319" t="s">
        <v>190</v>
      </c>
      <c r="GG334" s="319" t="s">
        <v>190</v>
      </c>
      <c r="GH334" s="319" t="s">
        <v>190</v>
      </c>
      <c r="GI334" s="319" t="s">
        <v>190</v>
      </c>
      <c r="GJ334" s="319" t="s">
        <v>190</v>
      </c>
      <c r="GK334" s="319" t="s">
        <v>429</v>
      </c>
      <c r="GL334" s="319" t="s">
        <v>190</v>
      </c>
      <c r="GM334" s="319" t="s">
        <v>190</v>
      </c>
      <c r="GN334" s="319" t="s">
        <v>190</v>
      </c>
      <c r="GO334" s="319" t="s">
        <v>190</v>
      </c>
      <c r="GP334" s="319" t="s">
        <v>190</v>
      </c>
      <c r="GQ334" s="319" t="s">
        <v>190</v>
      </c>
      <c r="GR334" s="319" t="s">
        <v>190</v>
      </c>
      <c r="GS334" s="319" t="s">
        <v>190</v>
      </c>
      <c r="GT334" s="319" t="s">
        <v>190</v>
      </c>
      <c r="GU334" s="319" t="s">
        <v>190</v>
      </c>
      <c r="GV334" s="319" t="s">
        <v>190</v>
      </c>
      <c r="GW334" s="319" t="s">
        <v>190</v>
      </c>
      <c r="GX334" s="319" t="s">
        <v>190</v>
      </c>
      <c r="GY334" s="319" t="s">
        <v>190</v>
      </c>
      <c r="GZ334" s="319" t="s">
        <v>190</v>
      </c>
      <c r="HA334" s="319" t="s">
        <v>190</v>
      </c>
      <c r="HB334" s="319" t="s">
        <v>190</v>
      </c>
      <c r="HC334" s="319" t="s">
        <v>190</v>
      </c>
      <c r="HD334" s="319" t="s">
        <v>190</v>
      </c>
      <c r="HE334" s="319" t="s">
        <v>190</v>
      </c>
      <c r="HF334" s="319" t="s">
        <v>190</v>
      </c>
      <c r="HG334" s="319" t="s">
        <v>190</v>
      </c>
      <c r="HH334" s="319" t="s">
        <v>190</v>
      </c>
      <c r="HI334" s="319" t="s">
        <v>190</v>
      </c>
      <c r="HJ334" s="319" t="s">
        <v>190</v>
      </c>
      <c r="HK334" s="319" t="s">
        <v>190</v>
      </c>
      <c r="HL334" s="319" t="s">
        <v>190</v>
      </c>
      <c r="HM334" s="319" t="s">
        <v>190</v>
      </c>
      <c r="HN334" s="319" t="s">
        <v>190</v>
      </c>
      <c r="HO334" s="319" t="s">
        <v>190</v>
      </c>
      <c r="HP334" s="319" t="s">
        <v>190</v>
      </c>
      <c r="HQ334" s="319" t="s">
        <v>190</v>
      </c>
      <c r="HR334" s="319" t="s">
        <v>190</v>
      </c>
      <c r="HS334" s="319" t="s">
        <v>190</v>
      </c>
      <c r="HT334" s="319" t="s">
        <v>190</v>
      </c>
      <c r="HU334" s="319" t="s">
        <v>190</v>
      </c>
      <c r="HV334" s="319" t="s">
        <v>190</v>
      </c>
      <c r="HW334" s="319" t="s">
        <v>190</v>
      </c>
      <c r="HX334" s="319" t="s">
        <v>190</v>
      </c>
      <c r="HY334" s="319" t="s">
        <v>190</v>
      </c>
      <c r="HZ334" s="319" t="s">
        <v>190</v>
      </c>
      <c r="IA334" s="319" t="s">
        <v>190</v>
      </c>
      <c r="IB334" s="319" t="s">
        <v>190</v>
      </c>
      <c r="IC334" s="319" t="s">
        <v>190</v>
      </c>
      <c r="ID334" s="319" t="s">
        <v>190</v>
      </c>
      <c r="IE334" s="319" t="s">
        <v>190</v>
      </c>
      <c r="IF334" s="319" t="s">
        <v>190</v>
      </c>
      <c r="IG334" s="319" t="s">
        <v>190</v>
      </c>
      <c r="IH334" s="319" t="s">
        <v>190</v>
      </c>
      <c r="II334" s="319" t="s">
        <v>190</v>
      </c>
      <c r="IJ334" s="319" t="s">
        <v>3120</v>
      </c>
      <c r="IK334" s="321">
        <v>41583</v>
      </c>
      <c r="IL334" s="321">
        <v>41585</v>
      </c>
      <c r="IM334" s="321">
        <v>41628</v>
      </c>
      <c r="IN334" s="319">
        <v>4</v>
      </c>
      <c r="IO334" s="319" t="s">
        <v>173</v>
      </c>
      <c r="IP334" s="319" t="s">
        <v>173</v>
      </c>
      <c r="IQ334" s="321" t="s">
        <v>173</v>
      </c>
      <c r="IR334" s="320" t="s">
        <v>173</v>
      </c>
      <c r="IS334" s="322" t="s">
        <v>173</v>
      </c>
      <c r="IT334" s="319" t="s">
        <v>173</v>
      </c>
    </row>
    <row r="335" spans="1:254" s="271" customFormat="1" x14ac:dyDescent="0.25">
      <c r="A335" s="318" t="str">
        <f>HYPERLINK("http://www.ofsted.gov.uk/inspection-reports/find-inspection-report/provider/ELS/131536 ","Ofsted School Webpage")</f>
        <v>Ofsted School Webpage</v>
      </c>
      <c r="B335" s="319">
        <v>131536</v>
      </c>
      <c r="C335" s="319">
        <v>8916026</v>
      </c>
      <c r="D335" s="319" t="s">
        <v>1671</v>
      </c>
      <c r="E335" s="319" t="s">
        <v>168</v>
      </c>
      <c r="F335" s="319" t="s">
        <v>81</v>
      </c>
      <c r="G335" s="319" t="s">
        <v>81</v>
      </c>
      <c r="H335" s="319" t="s">
        <v>81</v>
      </c>
      <c r="I335" s="319" t="s">
        <v>78</v>
      </c>
      <c r="J335" s="319" t="s">
        <v>424</v>
      </c>
      <c r="K335" s="319" t="s">
        <v>506</v>
      </c>
      <c r="L335" s="319" t="s">
        <v>506</v>
      </c>
      <c r="M335" s="319" t="s">
        <v>760</v>
      </c>
      <c r="N335" s="319" t="s">
        <v>3121</v>
      </c>
      <c r="O335" s="319" t="s">
        <v>1672</v>
      </c>
      <c r="P335" s="319">
        <v>11</v>
      </c>
      <c r="Q335" s="319" t="s">
        <v>429</v>
      </c>
      <c r="R335" s="320">
        <v>10033624</v>
      </c>
      <c r="S335" s="321">
        <v>42906</v>
      </c>
      <c r="T335" s="321">
        <v>42907</v>
      </c>
      <c r="U335" s="321">
        <v>42933</v>
      </c>
      <c r="V335" s="319" t="s">
        <v>554</v>
      </c>
      <c r="W335" s="319" t="s">
        <v>2767</v>
      </c>
      <c r="X335" s="319">
        <v>2</v>
      </c>
      <c r="Y335" s="319" t="s">
        <v>173</v>
      </c>
      <c r="Z335" s="319" t="s">
        <v>173</v>
      </c>
      <c r="AA335" s="319" t="s">
        <v>173</v>
      </c>
      <c r="AB335" s="319">
        <v>2</v>
      </c>
      <c r="AC335" s="319" t="s">
        <v>169</v>
      </c>
      <c r="AD335" s="319" t="s">
        <v>173</v>
      </c>
      <c r="AE335" s="319" t="s">
        <v>173</v>
      </c>
      <c r="AF335" s="319" t="s">
        <v>173</v>
      </c>
      <c r="AG335" s="319" t="s">
        <v>171</v>
      </c>
      <c r="AH335" s="319" t="s">
        <v>190</v>
      </c>
      <c r="AI335" s="319" t="s">
        <v>190</v>
      </c>
      <c r="AJ335" s="319" t="s">
        <v>190</v>
      </c>
      <c r="AK335" s="319" t="s">
        <v>190</v>
      </c>
      <c r="AL335" s="319" t="s">
        <v>190</v>
      </c>
      <c r="AM335" s="319" t="s">
        <v>190</v>
      </c>
      <c r="AN335" s="319" t="s">
        <v>190</v>
      </c>
      <c r="AO335" s="319" t="s">
        <v>190</v>
      </c>
      <c r="AP335" s="319" t="s">
        <v>190</v>
      </c>
      <c r="AQ335" s="319" t="s">
        <v>190</v>
      </c>
      <c r="AR335" s="319" t="s">
        <v>190</v>
      </c>
      <c r="AS335" s="319" t="s">
        <v>190</v>
      </c>
      <c r="AT335" s="319" t="s">
        <v>190</v>
      </c>
      <c r="AU335" s="319" t="s">
        <v>190</v>
      </c>
      <c r="AV335" s="319" t="s">
        <v>190</v>
      </c>
      <c r="AW335" s="319" t="s">
        <v>190</v>
      </c>
      <c r="AX335" s="319" t="s">
        <v>190</v>
      </c>
      <c r="AY335" s="319" t="s">
        <v>190</v>
      </c>
      <c r="AZ335" s="319" t="s">
        <v>190</v>
      </c>
      <c r="BA335" s="319" t="s">
        <v>190</v>
      </c>
      <c r="BB335" s="319" t="s">
        <v>190</v>
      </c>
      <c r="BC335" s="319" t="s">
        <v>190</v>
      </c>
      <c r="BD335" s="319" t="s">
        <v>190</v>
      </c>
      <c r="BE335" s="319" t="s">
        <v>190</v>
      </c>
      <c r="BF335" s="319" t="s">
        <v>429</v>
      </c>
      <c r="BG335" s="319" t="s">
        <v>190</v>
      </c>
      <c r="BH335" s="319" t="s">
        <v>190</v>
      </c>
      <c r="BI335" s="319" t="s">
        <v>190</v>
      </c>
      <c r="BJ335" s="319" t="s">
        <v>190</v>
      </c>
      <c r="BK335" s="319" t="s">
        <v>190</v>
      </c>
      <c r="BL335" s="319" t="s">
        <v>190</v>
      </c>
      <c r="BM335" s="319" t="s">
        <v>190</v>
      </c>
      <c r="BN335" s="319" t="s">
        <v>190</v>
      </c>
      <c r="BO335" s="319" t="s">
        <v>190</v>
      </c>
      <c r="BP335" s="319" t="s">
        <v>190</v>
      </c>
      <c r="BQ335" s="319" t="s">
        <v>190</v>
      </c>
      <c r="BR335" s="319" t="s">
        <v>190</v>
      </c>
      <c r="BS335" s="319" t="s">
        <v>190</v>
      </c>
      <c r="BT335" s="319" t="s">
        <v>190</v>
      </c>
      <c r="BU335" s="319" t="s">
        <v>190</v>
      </c>
      <c r="BV335" s="319" t="s">
        <v>190</v>
      </c>
      <c r="BW335" s="319" t="s">
        <v>190</v>
      </c>
      <c r="BX335" s="319" t="s">
        <v>190</v>
      </c>
      <c r="BY335" s="319" t="s">
        <v>190</v>
      </c>
      <c r="BZ335" s="319" t="s">
        <v>190</v>
      </c>
      <c r="CA335" s="319" t="s">
        <v>190</v>
      </c>
      <c r="CB335" s="319" t="s">
        <v>190</v>
      </c>
      <c r="CC335" s="319" t="s">
        <v>190</v>
      </c>
      <c r="CD335" s="319" t="s">
        <v>190</v>
      </c>
      <c r="CE335" s="319" t="s">
        <v>190</v>
      </c>
      <c r="CF335" s="319" t="s">
        <v>190</v>
      </c>
      <c r="CG335" s="319" t="s">
        <v>190</v>
      </c>
      <c r="CH335" s="319" t="s">
        <v>190</v>
      </c>
      <c r="CI335" s="319" t="s">
        <v>190</v>
      </c>
      <c r="CJ335" s="319" t="s">
        <v>190</v>
      </c>
      <c r="CK335" s="319" t="s">
        <v>190</v>
      </c>
      <c r="CL335" s="319" t="s">
        <v>190</v>
      </c>
      <c r="CM335" s="319" t="s">
        <v>190</v>
      </c>
      <c r="CN335" s="319" t="s">
        <v>429</v>
      </c>
      <c r="CO335" s="319" t="s">
        <v>429</v>
      </c>
      <c r="CP335" s="319" t="s">
        <v>429</v>
      </c>
      <c r="CQ335" s="319" t="s">
        <v>190</v>
      </c>
      <c r="CR335" s="319" t="s">
        <v>190</v>
      </c>
      <c r="CS335" s="319" t="s">
        <v>190</v>
      </c>
      <c r="CT335" s="319" t="s">
        <v>190</v>
      </c>
      <c r="CU335" s="319" t="s">
        <v>190</v>
      </c>
      <c r="CV335" s="319" t="s">
        <v>190</v>
      </c>
      <c r="CW335" s="319" t="s">
        <v>190</v>
      </c>
      <c r="CX335" s="319" t="s">
        <v>190</v>
      </c>
      <c r="CY335" s="319" t="s">
        <v>190</v>
      </c>
      <c r="CZ335" s="319" t="s">
        <v>190</v>
      </c>
      <c r="DA335" s="319" t="s">
        <v>190</v>
      </c>
      <c r="DB335" s="319" t="s">
        <v>190</v>
      </c>
      <c r="DC335" s="319" t="s">
        <v>190</v>
      </c>
      <c r="DD335" s="319" t="s">
        <v>190</v>
      </c>
      <c r="DE335" s="319" t="s">
        <v>190</v>
      </c>
      <c r="DF335" s="319" t="s">
        <v>190</v>
      </c>
      <c r="DG335" s="319" t="s">
        <v>190</v>
      </c>
      <c r="DH335" s="319" t="s">
        <v>190</v>
      </c>
      <c r="DI335" s="319" t="s">
        <v>190</v>
      </c>
      <c r="DJ335" s="319" t="s">
        <v>190</v>
      </c>
      <c r="DK335" s="319" t="s">
        <v>190</v>
      </c>
      <c r="DL335" s="319" t="s">
        <v>190</v>
      </c>
      <c r="DM335" s="319" t="s">
        <v>190</v>
      </c>
      <c r="DN335" s="319" t="s">
        <v>429</v>
      </c>
      <c r="DO335" s="319" t="s">
        <v>190</v>
      </c>
      <c r="DP335" s="319" t="s">
        <v>429</v>
      </c>
      <c r="DQ335" s="319" t="s">
        <v>429</v>
      </c>
      <c r="DR335" s="319" t="s">
        <v>429</v>
      </c>
      <c r="DS335" s="319" t="s">
        <v>429</v>
      </c>
      <c r="DT335" s="319" t="s">
        <v>429</v>
      </c>
      <c r="DU335" s="319" t="s">
        <v>429</v>
      </c>
      <c r="DV335" s="319" t="s">
        <v>173</v>
      </c>
      <c r="DW335" s="319" t="s">
        <v>429</v>
      </c>
      <c r="DX335" s="319" t="s">
        <v>429</v>
      </c>
      <c r="DY335" s="319" t="s">
        <v>429</v>
      </c>
      <c r="DZ335" s="319" t="s">
        <v>429</v>
      </c>
      <c r="EA335" s="319" t="s">
        <v>429</v>
      </c>
      <c r="EB335" s="319" t="s">
        <v>429</v>
      </c>
      <c r="EC335" s="319" t="s">
        <v>429</v>
      </c>
      <c r="ED335" s="319" t="s">
        <v>429</v>
      </c>
      <c r="EE335" s="319" t="s">
        <v>429</v>
      </c>
      <c r="EF335" s="319" t="s">
        <v>429</v>
      </c>
      <c r="EG335" s="319" t="s">
        <v>429</v>
      </c>
      <c r="EH335" s="319" t="s">
        <v>429</v>
      </c>
      <c r="EI335" s="319" t="s">
        <v>429</v>
      </c>
      <c r="EJ335" s="319" t="s">
        <v>429</v>
      </c>
      <c r="EK335" s="319" t="s">
        <v>429</v>
      </c>
      <c r="EL335" s="319" t="s">
        <v>429</v>
      </c>
      <c r="EM335" s="319" t="s">
        <v>429</v>
      </c>
      <c r="EN335" s="319" t="s">
        <v>190</v>
      </c>
      <c r="EO335" s="319" t="s">
        <v>190</v>
      </c>
      <c r="EP335" s="319" t="s">
        <v>190</v>
      </c>
      <c r="EQ335" s="319" t="s">
        <v>190</v>
      </c>
      <c r="ER335" s="319" t="s">
        <v>190</v>
      </c>
      <c r="ES335" s="319" t="s">
        <v>190</v>
      </c>
      <c r="ET335" s="319" t="s">
        <v>190</v>
      </c>
      <c r="EU335" s="319" t="s">
        <v>190</v>
      </c>
      <c r="EV335" s="319" t="s">
        <v>190</v>
      </c>
      <c r="EW335" s="319" t="s">
        <v>190</v>
      </c>
      <c r="EX335" s="319" t="s">
        <v>190</v>
      </c>
      <c r="EY335" s="319" t="s">
        <v>190</v>
      </c>
      <c r="EZ335" s="319" t="s">
        <v>190</v>
      </c>
      <c r="FA335" s="319" t="s">
        <v>429</v>
      </c>
      <c r="FB335" s="319" t="s">
        <v>429</v>
      </c>
      <c r="FC335" s="319" t="s">
        <v>429</v>
      </c>
      <c r="FD335" s="319" t="s">
        <v>429</v>
      </c>
      <c r="FE335" s="319" t="s">
        <v>429</v>
      </c>
      <c r="FF335" s="319" t="s">
        <v>429</v>
      </c>
      <c r="FG335" s="319" t="s">
        <v>429</v>
      </c>
      <c r="FH335" s="319" t="s">
        <v>429</v>
      </c>
      <c r="FI335" s="319" t="s">
        <v>429</v>
      </c>
      <c r="FJ335" s="319" t="s">
        <v>429</v>
      </c>
      <c r="FK335" s="319" t="s">
        <v>429</v>
      </c>
      <c r="FL335" s="319" t="s">
        <v>190</v>
      </c>
      <c r="FM335" s="319" t="s">
        <v>190</v>
      </c>
      <c r="FN335" s="319" t="s">
        <v>190</v>
      </c>
      <c r="FO335" s="319" t="s">
        <v>190</v>
      </c>
      <c r="FP335" s="319" t="s">
        <v>190</v>
      </c>
      <c r="FQ335" s="319" t="s">
        <v>190</v>
      </c>
      <c r="FR335" s="319" t="s">
        <v>190</v>
      </c>
      <c r="FS335" s="319" t="s">
        <v>429</v>
      </c>
      <c r="FT335" s="319" t="s">
        <v>190</v>
      </c>
      <c r="FU335" s="319" t="s">
        <v>190</v>
      </c>
      <c r="FV335" s="319" t="s">
        <v>190</v>
      </c>
      <c r="FW335" s="319" t="s">
        <v>190</v>
      </c>
      <c r="FX335" s="319" t="s">
        <v>190</v>
      </c>
      <c r="FY335" s="319" t="s">
        <v>190</v>
      </c>
      <c r="FZ335" s="319" t="s">
        <v>190</v>
      </c>
      <c r="GA335" s="319" t="s">
        <v>190</v>
      </c>
      <c r="GB335" s="319" t="s">
        <v>190</v>
      </c>
      <c r="GC335" s="319" t="s">
        <v>190</v>
      </c>
      <c r="GD335" s="319" t="s">
        <v>190</v>
      </c>
      <c r="GE335" s="319" t="s">
        <v>190</v>
      </c>
      <c r="GF335" s="319" t="s">
        <v>190</v>
      </c>
      <c r="GG335" s="319" t="s">
        <v>190</v>
      </c>
      <c r="GH335" s="319" t="s">
        <v>190</v>
      </c>
      <c r="GI335" s="319" t="s">
        <v>190</v>
      </c>
      <c r="GJ335" s="319" t="s">
        <v>190</v>
      </c>
      <c r="GK335" s="319" t="s">
        <v>429</v>
      </c>
      <c r="GL335" s="319" t="s">
        <v>190</v>
      </c>
      <c r="GM335" s="319" t="s">
        <v>190</v>
      </c>
      <c r="GN335" s="319" t="s">
        <v>190</v>
      </c>
      <c r="GO335" s="319" t="s">
        <v>190</v>
      </c>
      <c r="GP335" s="319" t="s">
        <v>190</v>
      </c>
      <c r="GQ335" s="319" t="s">
        <v>429</v>
      </c>
      <c r="GR335" s="319" t="s">
        <v>190</v>
      </c>
      <c r="GS335" s="319" t="s">
        <v>190</v>
      </c>
      <c r="GT335" s="319" t="s">
        <v>190</v>
      </c>
      <c r="GU335" s="319" t="s">
        <v>190</v>
      </c>
      <c r="GV335" s="319" t="s">
        <v>429</v>
      </c>
      <c r="GW335" s="319" t="s">
        <v>190</v>
      </c>
      <c r="GX335" s="319" t="s">
        <v>190</v>
      </c>
      <c r="GY335" s="319" t="s">
        <v>190</v>
      </c>
      <c r="GZ335" s="319" t="s">
        <v>190</v>
      </c>
      <c r="HA335" s="319" t="s">
        <v>429</v>
      </c>
      <c r="HB335" s="319" t="s">
        <v>429</v>
      </c>
      <c r="HC335" s="319" t="s">
        <v>190</v>
      </c>
      <c r="HD335" s="319" t="s">
        <v>190</v>
      </c>
      <c r="HE335" s="319" t="s">
        <v>190</v>
      </c>
      <c r="HF335" s="319" t="s">
        <v>190</v>
      </c>
      <c r="HG335" s="319" t="s">
        <v>190</v>
      </c>
      <c r="HH335" s="319" t="s">
        <v>190</v>
      </c>
      <c r="HI335" s="319" t="s">
        <v>190</v>
      </c>
      <c r="HJ335" s="319" t="s">
        <v>190</v>
      </c>
      <c r="HK335" s="319" t="s">
        <v>190</v>
      </c>
      <c r="HL335" s="319" t="s">
        <v>429</v>
      </c>
      <c r="HM335" s="319" t="s">
        <v>429</v>
      </c>
      <c r="HN335" s="319" t="s">
        <v>429</v>
      </c>
      <c r="HO335" s="319" t="s">
        <v>429</v>
      </c>
      <c r="HP335" s="319" t="s">
        <v>190</v>
      </c>
      <c r="HQ335" s="319" t="s">
        <v>190</v>
      </c>
      <c r="HR335" s="319" t="s">
        <v>190</v>
      </c>
      <c r="HS335" s="319" t="s">
        <v>190</v>
      </c>
      <c r="HT335" s="319" t="s">
        <v>190</v>
      </c>
      <c r="HU335" s="319" t="s">
        <v>190</v>
      </c>
      <c r="HV335" s="319" t="s">
        <v>190</v>
      </c>
      <c r="HW335" s="319" t="s">
        <v>190</v>
      </c>
      <c r="HX335" s="319" t="s">
        <v>190</v>
      </c>
      <c r="HY335" s="319" t="s">
        <v>190</v>
      </c>
      <c r="HZ335" s="319" t="s">
        <v>190</v>
      </c>
      <c r="IA335" s="319" t="s">
        <v>190</v>
      </c>
      <c r="IB335" s="319" t="s">
        <v>190</v>
      </c>
      <c r="IC335" s="319" t="s">
        <v>190</v>
      </c>
      <c r="ID335" s="319" t="s">
        <v>190</v>
      </c>
      <c r="IE335" s="319" t="s">
        <v>190</v>
      </c>
      <c r="IF335" s="319" t="s">
        <v>190</v>
      </c>
      <c r="IG335" s="319" t="s">
        <v>190</v>
      </c>
      <c r="IH335" s="319" t="s">
        <v>190</v>
      </c>
      <c r="II335" s="319" t="s">
        <v>190</v>
      </c>
      <c r="IJ335" s="319" t="s">
        <v>3122</v>
      </c>
      <c r="IK335" s="321">
        <v>41801</v>
      </c>
      <c r="IL335" s="321">
        <v>41803</v>
      </c>
      <c r="IM335" s="321">
        <v>41836</v>
      </c>
      <c r="IN335" s="319">
        <v>3</v>
      </c>
      <c r="IO335" s="319" t="s">
        <v>173</v>
      </c>
      <c r="IP335" s="319" t="s">
        <v>173</v>
      </c>
      <c r="IQ335" s="321" t="s">
        <v>173</v>
      </c>
      <c r="IR335" s="320" t="s">
        <v>173</v>
      </c>
      <c r="IS335" s="322" t="s">
        <v>173</v>
      </c>
      <c r="IT335" s="319" t="s">
        <v>173</v>
      </c>
    </row>
    <row r="336" spans="1:254" s="271" customFormat="1" x14ac:dyDescent="0.25">
      <c r="A336" s="318" t="str">
        <f>HYPERLINK("http://www.ofsted.gov.uk/inspection-reports/find-inspection-report/provider/ELS/131551 ","Ofsted School Webpage")</f>
        <v>Ofsted School Webpage</v>
      </c>
      <c r="B336" s="319">
        <v>131551</v>
      </c>
      <c r="C336" s="319">
        <v>3566027</v>
      </c>
      <c r="D336" s="319" t="s">
        <v>904</v>
      </c>
      <c r="E336" s="319" t="s">
        <v>168</v>
      </c>
      <c r="F336" s="319" t="s">
        <v>81</v>
      </c>
      <c r="G336" s="319" t="s">
        <v>81</v>
      </c>
      <c r="H336" s="319" t="s">
        <v>81</v>
      </c>
      <c r="I336" s="319" t="s">
        <v>78</v>
      </c>
      <c r="J336" s="319" t="s">
        <v>424</v>
      </c>
      <c r="K336" s="319" t="s">
        <v>431</v>
      </c>
      <c r="L336" s="319" t="s">
        <v>431</v>
      </c>
      <c r="M336" s="319" t="s">
        <v>837</v>
      </c>
      <c r="N336" s="319" t="s">
        <v>3123</v>
      </c>
      <c r="O336" s="319" t="s">
        <v>905</v>
      </c>
      <c r="P336" s="319">
        <v>22</v>
      </c>
      <c r="Q336" s="319" t="s">
        <v>2776</v>
      </c>
      <c r="R336" s="320">
        <v>10067893</v>
      </c>
      <c r="S336" s="321">
        <v>43501</v>
      </c>
      <c r="T336" s="321">
        <v>43503</v>
      </c>
      <c r="U336" s="321">
        <v>43542</v>
      </c>
      <c r="V336" s="319" t="s">
        <v>425</v>
      </c>
      <c r="W336" s="319" t="s">
        <v>2767</v>
      </c>
      <c r="X336" s="319">
        <v>3</v>
      </c>
      <c r="Y336" s="319" t="s">
        <v>173</v>
      </c>
      <c r="Z336" s="319" t="s">
        <v>173</v>
      </c>
      <c r="AA336" s="319" t="s">
        <v>173</v>
      </c>
      <c r="AB336" s="319">
        <v>3</v>
      </c>
      <c r="AC336" s="319" t="s">
        <v>169</v>
      </c>
      <c r="AD336" s="319" t="s">
        <v>173</v>
      </c>
      <c r="AE336" s="319" t="s">
        <v>173</v>
      </c>
      <c r="AF336" s="319" t="s">
        <v>427</v>
      </c>
      <c r="AG336" s="319" t="s">
        <v>171</v>
      </c>
      <c r="AH336" s="319" t="s">
        <v>190</v>
      </c>
      <c r="AI336" s="319" t="s">
        <v>190</v>
      </c>
      <c r="AJ336" s="319" t="s">
        <v>190</v>
      </c>
      <c r="AK336" s="319" t="s">
        <v>190</v>
      </c>
      <c r="AL336" s="319" t="s">
        <v>190</v>
      </c>
      <c r="AM336" s="319" t="s">
        <v>190</v>
      </c>
      <c r="AN336" s="319" t="s">
        <v>190</v>
      </c>
      <c r="AO336" s="319" t="s">
        <v>190</v>
      </c>
      <c r="AP336" s="319" t="s">
        <v>190</v>
      </c>
      <c r="AQ336" s="319" t="s">
        <v>190</v>
      </c>
      <c r="AR336" s="319" t="s">
        <v>190</v>
      </c>
      <c r="AS336" s="319" t="s">
        <v>190</v>
      </c>
      <c r="AT336" s="319" t="s">
        <v>190</v>
      </c>
      <c r="AU336" s="319" t="s">
        <v>190</v>
      </c>
      <c r="AV336" s="319" t="s">
        <v>190</v>
      </c>
      <c r="AW336" s="319" t="s">
        <v>190</v>
      </c>
      <c r="AX336" s="319" t="s">
        <v>428</v>
      </c>
      <c r="AY336" s="319" t="s">
        <v>190</v>
      </c>
      <c r="AZ336" s="319" t="s">
        <v>190</v>
      </c>
      <c r="BA336" s="319" t="s">
        <v>190</v>
      </c>
      <c r="BB336" s="319" t="s">
        <v>190</v>
      </c>
      <c r="BC336" s="319" t="s">
        <v>190</v>
      </c>
      <c r="BD336" s="319" t="s">
        <v>190</v>
      </c>
      <c r="BE336" s="319" t="s">
        <v>190</v>
      </c>
      <c r="BF336" s="319" t="s">
        <v>428</v>
      </c>
      <c r="BG336" s="319" t="s">
        <v>428</v>
      </c>
      <c r="BH336" s="319" t="s">
        <v>190</v>
      </c>
      <c r="BI336" s="319" t="s">
        <v>190</v>
      </c>
      <c r="BJ336" s="319" t="s">
        <v>190</v>
      </c>
      <c r="BK336" s="319" t="s">
        <v>190</v>
      </c>
      <c r="BL336" s="319" t="s">
        <v>190</v>
      </c>
      <c r="BM336" s="319" t="s">
        <v>190</v>
      </c>
      <c r="BN336" s="319" t="s">
        <v>190</v>
      </c>
      <c r="BO336" s="319" t="s">
        <v>190</v>
      </c>
      <c r="BP336" s="319" t="s">
        <v>190</v>
      </c>
      <c r="BQ336" s="319" t="s">
        <v>190</v>
      </c>
      <c r="BR336" s="319" t="s">
        <v>190</v>
      </c>
      <c r="BS336" s="319" t="s">
        <v>190</v>
      </c>
      <c r="BT336" s="319" t="s">
        <v>190</v>
      </c>
      <c r="BU336" s="319" t="s">
        <v>190</v>
      </c>
      <c r="BV336" s="319" t="s">
        <v>190</v>
      </c>
      <c r="BW336" s="319" t="s">
        <v>190</v>
      </c>
      <c r="BX336" s="319" t="s">
        <v>190</v>
      </c>
      <c r="BY336" s="319" t="s">
        <v>190</v>
      </c>
      <c r="BZ336" s="319" t="s">
        <v>190</v>
      </c>
      <c r="CA336" s="319" t="s">
        <v>190</v>
      </c>
      <c r="CB336" s="319" t="s">
        <v>190</v>
      </c>
      <c r="CC336" s="319" t="s">
        <v>190</v>
      </c>
      <c r="CD336" s="319" t="s">
        <v>190</v>
      </c>
      <c r="CE336" s="319" t="s">
        <v>190</v>
      </c>
      <c r="CF336" s="319" t="s">
        <v>190</v>
      </c>
      <c r="CG336" s="319" t="s">
        <v>190</v>
      </c>
      <c r="CH336" s="319" t="s">
        <v>190</v>
      </c>
      <c r="CI336" s="319" t="s">
        <v>190</v>
      </c>
      <c r="CJ336" s="319" t="s">
        <v>190</v>
      </c>
      <c r="CK336" s="319" t="s">
        <v>190</v>
      </c>
      <c r="CL336" s="319" t="s">
        <v>190</v>
      </c>
      <c r="CM336" s="319" t="s">
        <v>190</v>
      </c>
      <c r="CN336" s="319" t="s">
        <v>428</v>
      </c>
      <c r="CO336" s="319" t="s">
        <v>428</v>
      </c>
      <c r="CP336" s="319" t="s">
        <v>428</v>
      </c>
      <c r="CQ336" s="319" t="s">
        <v>190</v>
      </c>
      <c r="CR336" s="319" t="s">
        <v>190</v>
      </c>
      <c r="CS336" s="319" t="s">
        <v>190</v>
      </c>
      <c r="CT336" s="319" t="s">
        <v>190</v>
      </c>
      <c r="CU336" s="319" t="s">
        <v>190</v>
      </c>
      <c r="CV336" s="319" t="s">
        <v>190</v>
      </c>
      <c r="CW336" s="319" t="s">
        <v>190</v>
      </c>
      <c r="CX336" s="319" t="s">
        <v>190</v>
      </c>
      <c r="CY336" s="319" t="s">
        <v>190</v>
      </c>
      <c r="CZ336" s="319" t="s">
        <v>190</v>
      </c>
      <c r="DA336" s="319" t="s">
        <v>190</v>
      </c>
      <c r="DB336" s="319" t="s">
        <v>190</v>
      </c>
      <c r="DC336" s="319" t="s">
        <v>190</v>
      </c>
      <c r="DD336" s="319" t="s">
        <v>190</v>
      </c>
      <c r="DE336" s="319" t="s">
        <v>190</v>
      </c>
      <c r="DF336" s="319" t="s">
        <v>190</v>
      </c>
      <c r="DG336" s="319" t="s">
        <v>190</v>
      </c>
      <c r="DH336" s="319" t="s">
        <v>190</v>
      </c>
      <c r="DI336" s="319" t="s">
        <v>190</v>
      </c>
      <c r="DJ336" s="319" t="s">
        <v>190</v>
      </c>
      <c r="DK336" s="319" t="s">
        <v>190</v>
      </c>
      <c r="DL336" s="319" t="s">
        <v>190</v>
      </c>
      <c r="DM336" s="319" t="s">
        <v>428</v>
      </c>
      <c r="DN336" s="319" t="s">
        <v>428</v>
      </c>
      <c r="DO336" s="319" t="s">
        <v>190</v>
      </c>
      <c r="DP336" s="319" t="s">
        <v>190</v>
      </c>
      <c r="DQ336" s="319" t="s">
        <v>190</v>
      </c>
      <c r="DR336" s="319" t="s">
        <v>190</v>
      </c>
      <c r="DS336" s="319" t="s">
        <v>190</v>
      </c>
      <c r="DT336" s="319" t="s">
        <v>190</v>
      </c>
      <c r="DU336" s="319" t="s">
        <v>190</v>
      </c>
      <c r="DV336" s="319" t="s">
        <v>173</v>
      </c>
      <c r="DW336" s="319" t="s">
        <v>190</v>
      </c>
      <c r="DX336" s="319" t="s">
        <v>190</v>
      </c>
      <c r="DY336" s="319" t="s">
        <v>190</v>
      </c>
      <c r="DZ336" s="319" t="s">
        <v>190</v>
      </c>
      <c r="EA336" s="319" t="s">
        <v>190</v>
      </c>
      <c r="EB336" s="319" t="s">
        <v>190</v>
      </c>
      <c r="EC336" s="319" t="s">
        <v>428</v>
      </c>
      <c r="ED336" s="319" t="s">
        <v>190</v>
      </c>
      <c r="EE336" s="319" t="s">
        <v>190</v>
      </c>
      <c r="EF336" s="319" t="s">
        <v>190</v>
      </c>
      <c r="EG336" s="319" t="s">
        <v>190</v>
      </c>
      <c r="EH336" s="319" t="s">
        <v>190</v>
      </c>
      <c r="EI336" s="319" t="s">
        <v>190</v>
      </c>
      <c r="EJ336" s="319" t="s">
        <v>190</v>
      </c>
      <c r="EK336" s="319" t="s">
        <v>190</v>
      </c>
      <c r="EL336" s="319" t="s">
        <v>428</v>
      </c>
      <c r="EM336" s="319" t="s">
        <v>190</v>
      </c>
      <c r="EN336" s="319" t="s">
        <v>190</v>
      </c>
      <c r="EO336" s="319" t="s">
        <v>190</v>
      </c>
      <c r="EP336" s="319" t="s">
        <v>190</v>
      </c>
      <c r="EQ336" s="319" t="s">
        <v>190</v>
      </c>
      <c r="ER336" s="319" t="s">
        <v>190</v>
      </c>
      <c r="ES336" s="319" t="s">
        <v>190</v>
      </c>
      <c r="ET336" s="319" t="s">
        <v>190</v>
      </c>
      <c r="EU336" s="319" t="s">
        <v>190</v>
      </c>
      <c r="EV336" s="319" t="s">
        <v>190</v>
      </c>
      <c r="EW336" s="319" t="s">
        <v>190</v>
      </c>
      <c r="EX336" s="319" t="s">
        <v>190</v>
      </c>
      <c r="EY336" s="319" t="s">
        <v>428</v>
      </c>
      <c r="EZ336" s="319" t="s">
        <v>190</v>
      </c>
      <c r="FA336" s="319" t="s">
        <v>190</v>
      </c>
      <c r="FB336" s="319" t="s">
        <v>190</v>
      </c>
      <c r="FC336" s="319" t="s">
        <v>190</v>
      </c>
      <c r="FD336" s="319" t="s">
        <v>190</v>
      </c>
      <c r="FE336" s="319" t="s">
        <v>190</v>
      </c>
      <c r="FF336" s="319" t="s">
        <v>190</v>
      </c>
      <c r="FG336" s="319" t="s">
        <v>190</v>
      </c>
      <c r="FH336" s="319" t="s">
        <v>190</v>
      </c>
      <c r="FI336" s="319" t="s">
        <v>190</v>
      </c>
      <c r="FJ336" s="319" t="s">
        <v>190</v>
      </c>
      <c r="FK336" s="319" t="s">
        <v>190</v>
      </c>
      <c r="FL336" s="319" t="s">
        <v>190</v>
      </c>
      <c r="FM336" s="319" t="s">
        <v>190</v>
      </c>
      <c r="FN336" s="319" t="s">
        <v>190</v>
      </c>
      <c r="FO336" s="319" t="s">
        <v>428</v>
      </c>
      <c r="FP336" s="319" t="s">
        <v>190</v>
      </c>
      <c r="FQ336" s="319" t="s">
        <v>190</v>
      </c>
      <c r="FR336" s="319" t="s">
        <v>190</v>
      </c>
      <c r="FS336" s="319" t="s">
        <v>428</v>
      </c>
      <c r="FT336" s="319" t="s">
        <v>190</v>
      </c>
      <c r="FU336" s="319" t="s">
        <v>190</v>
      </c>
      <c r="FV336" s="319" t="s">
        <v>190</v>
      </c>
      <c r="FW336" s="319" t="s">
        <v>190</v>
      </c>
      <c r="FX336" s="319" t="s">
        <v>190</v>
      </c>
      <c r="FY336" s="319" t="s">
        <v>190</v>
      </c>
      <c r="FZ336" s="319" t="s">
        <v>190</v>
      </c>
      <c r="GA336" s="319" t="s">
        <v>190</v>
      </c>
      <c r="GB336" s="319" t="s">
        <v>190</v>
      </c>
      <c r="GC336" s="319" t="s">
        <v>190</v>
      </c>
      <c r="GD336" s="319" t="s">
        <v>190</v>
      </c>
      <c r="GE336" s="319" t="s">
        <v>190</v>
      </c>
      <c r="GF336" s="319" t="s">
        <v>190</v>
      </c>
      <c r="GG336" s="319" t="s">
        <v>190</v>
      </c>
      <c r="GH336" s="319" t="s">
        <v>190</v>
      </c>
      <c r="GI336" s="319" t="s">
        <v>190</v>
      </c>
      <c r="GJ336" s="319" t="s">
        <v>190</v>
      </c>
      <c r="GK336" s="319" t="s">
        <v>428</v>
      </c>
      <c r="GL336" s="319" t="s">
        <v>190</v>
      </c>
      <c r="GM336" s="319" t="s">
        <v>190</v>
      </c>
      <c r="GN336" s="319" t="s">
        <v>190</v>
      </c>
      <c r="GO336" s="319" t="s">
        <v>190</v>
      </c>
      <c r="GP336" s="319" t="s">
        <v>190</v>
      </c>
      <c r="GQ336" s="319" t="s">
        <v>428</v>
      </c>
      <c r="GR336" s="319" t="s">
        <v>190</v>
      </c>
      <c r="GS336" s="319" t="s">
        <v>190</v>
      </c>
      <c r="GT336" s="319" t="s">
        <v>190</v>
      </c>
      <c r="GU336" s="319" t="s">
        <v>190</v>
      </c>
      <c r="GV336" s="319" t="s">
        <v>428</v>
      </c>
      <c r="GW336" s="319" t="s">
        <v>190</v>
      </c>
      <c r="GX336" s="319" t="s">
        <v>190</v>
      </c>
      <c r="GY336" s="319" t="s">
        <v>190</v>
      </c>
      <c r="GZ336" s="319" t="s">
        <v>428</v>
      </c>
      <c r="HA336" s="319" t="s">
        <v>190</v>
      </c>
      <c r="HB336" s="319" t="s">
        <v>190</v>
      </c>
      <c r="HC336" s="319" t="s">
        <v>190</v>
      </c>
      <c r="HD336" s="319" t="s">
        <v>190</v>
      </c>
      <c r="HE336" s="319" t="s">
        <v>190</v>
      </c>
      <c r="HF336" s="319" t="s">
        <v>190</v>
      </c>
      <c r="HG336" s="319" t="s">
        <v>190</v>
      </c>
      <c r="HH336" s="319" t="s">
        <v>190</v>
      </c>
      <c r="HI336" s="319" t="s">
        <v>190</v>
      </c>
      <c r="HJ336" s="319" t="s">
        <v>190</v>
      </c>
      <c r="HK336" s="319" t="s">
        <v>190</v>
      </c>
      <c r="HL336" s="319" t="s">
        <v>428</v>
      </c>
      <c r="HM336" s="319" t="s">
        <v>428</v>
      </c>
      <c r="HN336" s="319" t="s">
        <v>428</v>
      </c>
      <c r="HO336" s="319" t="s">
        <v>428</v>
      </c>
      <c r="HP336" s="319" t="s">
        <v>190</v>
      </c>
      <c r="HQ336" s="319" t="s">
        <v>190</v>
      </c>
      <c r="HR336" s="319" t="s">
        <v>190</v>
      </c>
      <c r="HS336" s="319" t="s">
        <v>190</v>
      </c>
      <c r="HT336" s="319" t="s">
        <v>190</v>
      </c>
      <c r="HU336" s="319" t="s">
        <v>190</v>
      </c>
      <c r="HV336" s="319" t="s">
        <v>190</v>
      </c>
      <c r="HW336" s="319" t="s">
        <v>190</v>
      </c>
      <c r="HX336" s="319" t="s">
        <v>190</v>
      </c>
      <c r="HY336" s="319" t="s">
        <v>190</v>
      </c>
      <c r="HZ336" s="319" t="s">
        <v>190</v>
      </c>
      <c r="IA336" s="319" t="s">
        <v>190</v>
      </c>
      <c r="IB336" s="319" t="s">
        <v>190</v>
      </c>
      <c r="IC336" s="319" t="s">
        <v>190</v>
      </c>
      <c r="ID336" s="319" t="s">
        <v>190</v>
      </c>
      <c r="IE336" s="319" t="s">
        <v>190</v>
      </c>
      <c r="IF336" s="319" t="s">
        <v>190</v>
      </c>
      <c r="IG336" s="319" t="s">
        <v>190</v>
      </c>
      <c r="IH336" s="319" t="s">
        <v>190</v>
      </c>
      <c r="II336" s="319" t="s">
        <v>190</v>
      </c>
      <c r="IJ336" s="319">
        <v>10006097</v>
      </c>
      <c r="IK336" s="321">
        <v>42500</v>
      </c>
      <c r="IL336" s="321">
        <v>42502</v>
      </c>
      <c r="IM336" s="321">
        <v>42530</v>
      </c>
      <c r="IN336" s="319">
        <v>2</v>
      </c>
      <c r="IO336" s="319" t="s">
        <v>173</v>
      </c>
      <c r="IP336" s="319" t="s">
        <v>173</v>
      </c>
      <c r="IQ336" s="321" t="s">
        <v>173</v>
      </c>
      <c r="IR336" s="320" t="s">
        <v>173</v>
      </c>
      <c r="IS336" s="322" t="s">
        <v>173</v>
      </c>
      <c r="IT336" s="319" t="s">
        <v>173</v>
      </c>
    </row>
    <row r="337" spans="1:254" s="271" customFormat="1" x14ac:dyDescent="0.25">
      <c r="A337" s="318" t="str">
        <f>HYPERLINK("http://www.ofsted.gov.uk/inspection-reports/find-inspection-report/provider/ELS/131556 ","Ofsted School Webpage")</f>
        <v>Ofsted School Webpage</v>
      </c>
      <c r="B337" s="319">
        <v>131556</v>
      </c>
      <c r="C337" s="319">
        <v>8526009</v>
      </c>
      <c r="D337" s="319" t="s">
        <v>1673</v>
      </c>
      <c r="E337" s="319" t="s">
        <v>168</v>
      </c>
      <c r="F337" s="319" t="s">
        <v>81</v>
      </c>
      <c r="G337" s="319" t="s">
        <v>81</v>
      </c>
      <c r="H337" s="319" t="s">
        <v>81</v>
      </c>
      <c r="I337" s="319" t="s">
        <v>78</v>
      </c>
      <c r="J337" s="319" t="s">
        <v>424</v>
      </c>
      <c r="K337" s="319" t="s">
        <v>514</v>
      </c>
      <c r="L337" s="319" t="s">
        <v>514</v>
      </c>
      <c r="M337" s="319" t="s">
        <v>1004</v>
      </c>
      <c r="N337" s="319" t="s">
        <v>2954</v>
      </c>
      <c r="O337" s="319" t="s">
        <v>1674</v>
      </c>
      <c r="P337" s="319">
        <v>11</v>
      </c>
      <c r="Q337" s="319" t="s">
        <v>429</v>
      </c>
      <c r="R337" s="320">
        <v>10008862</v>
      </c>
      <c r="S337" s="321">
        <v>42696</v>
      </c>
      <c r="T337" s="321">
        <v>42698</v>
      </c>
      <c r="U337" s="321">
        <v>42745</v>
      </c>
      <c r="V337" s="319" t="s">
        <v>425</v>
      </c>
      <c r="W337" s="319" t="s">
        <v>2767</v>
      </c>
      <c r="X337" s="319">
        <v>1</v>
      </c>
      <c r="Y337" s="319" t="s">
        <v>173</v>
      </c>
      <c r="Z337" s="319" t="s">
        <v>173</v>
      </c>
      <c r="AA337" s="319" t="s">
        <v>173</v>
      </c>
      <c r="AB337" s="319">
        <v>1</v>
      </c>
      <c r="AC337" s="319" t="s">
        <v>169</v>
      </c>
      <c r="AD337" s="319" t="s">
        <v>173</v>
      </c>
      <c r="AE337" s="319" t="s">
        <v>173</v>
      </c>
      <c r="AF337" s="319" t="s">
        <v>173</v>
      </c>
      <c r="AG337" s="319" t="s">
        <v>171</v>
      </c>
      <c r="AH337" s="319" t="s">
        <v>190</v>
      </c>
      <c r="AI337" s="319" t="s">
        <v>190</v>
      </c>
      <c r="AJ337" s="319" t="s">
        <v>190</v>
      </c>
      <c r="AK337" s="319" t="s">
        <v>190</v>
      </c>
      <c r="AL337" s="319" t="s">
        <v>190</v>
      </c>
      <c r="AM337" s="319" t="s">
        <v>190</v>
      </c>
      <c r="AN337" s="319" t="s">
        <v>190</v>
      </c>
      <c r="AO337" s="319" t="s">
        <v>190</v>
      </c>
      <c r="AP337" s="319" t="s">
        <v>190</v>
      </c>
      <c r="AQ337" s="319" t="s">
        <v>190</v>
      </c>
      <c r="AR337" s="319" t="s">
        <v>190</v>
      </c>
      <c r="AS337" s="319" t="s">
        <v>190</v>
      </c>
      <c r="AT337" s="319" t="s">
        <v>190</v>
      </c>
      <c r="AU337" s="319" t="s">
        <v>190</v>
      </c>
      <c r="AV337" s="319" t="s">
        <v>190</v>
      </c>
      <c r="AW337" s="319" t="s">
        <v>190</v>
      </c>
      <c r="AX337" s="319" t="s">
        <v>429</v>
      </c>
      <c r="AY337" s="319" t="s">
        <v>190</v>
      </c>
      <c r="AZ337" s="319" t="s">
        <v>190</v>
      </c>
      <c r="BA337" s="319" t="s">
        <v>190</v>
      </c>
      <c r="BB337" s="319" t="s">
        <v>190</v>
      </c>
      <c r="BC337" s="319" t="s">
        <v>190</v>
      </c>
      <c r="BD337" s="319" t="s">
        <v>190</v>
      </c>
      <c r="BE337" s="319" t="s">
        <v>190</v>
      </c>
      <c r="BF337" s="319" t="s">
        <v>429</v>
      </c>
      <c r="BG337" s="319" t="s">
        <v>190</v>
      </c>
      <c r="BH337" s="319" t="s">
        <v>190</v>
      </c>
      <c r="BI337" s="319" t="s">
        <v>190</v>
      </c>
      <c r="BJ337" s="319" t="s">
        <v>190</v>
      </c>
      <c r="BK337" s="319" t="s">
        <v>190</v>
      </c>
      <c r="BL337" s="319" t="s">
        <v>190</v>
      </c>
      <c r="BM337" s="319" t="s">
        <v>190</v>
      </c>
      <c r="BN337" s="319" t="s">
        <v>190</v>
      </c>
      <c r="BO337" s="319" t="s">
        <v>190</v>
      </c>
      <c r="BP337" s="319" t="s">
        <v>190</v>
      </c>
      <c r="BQ337" s="319" t="s">
        <v>190</v>
      </c>
      <c r="BR337" s="319" t="s">
        <v>190</v>
      </c>
      <c r="BS337" s="319" t="s">
        <v>190</v>
      </c>
      <c r="BT337" s="319" t="s">
        <v>190</v>
      </c>
      <c r="BU337" s="319" t="s">
        <v>190</v>
      </c>
      <c r="BV337" s="319" t="s">
        <v>190</v>
      </c>
      <c r="BW337" s="319" t="s">
        <v>190</v>
      </c>
      <c r="BX337" s="319" t="s">
        <v>190</v>
      </c>
      <c r="BY337" s="319" t="s">
        <v>190</v>
      </c>
      <c r="BZ337" s="319" t="s">
        <v>190</v>
      </c>
      <c r="CA337" s="319" t="s">
        <v>190</v>
      </c>
      <c r="CB337" s="319" t="s">
        <v>190</v>
      </c>
      <c r="CC337" s="319" t="s">
        <v>190</v>
      </c>
      <c r="CD337" s="319" t="s">
        <v>190</v>
      </c>
      <c r="CE337" s="319" t="s">
        <v>190</v>
      </c>
      <c r="CF337" s="319" t="s">
        <v>190</v>
      </c>
      <c r="CG337" s="319" t="s">
        <v>190</v>
      </c>
      <c r="CH337" s="319" t="s">
        <v>190</v>
      </c>
      <c r="CI337" s="319" t="s">
        <v>190</v>
      </c>
      <c r="CJ337" s="319" t="s">
        <v>190</v>
      </c>
      <c r="CK337" s="319" t="s">
        <v>190</v>
      </c>
      <c r="CL337" s="319" t="s">
        <v>190</v>
      </c>
      <c r="CM337" s="319" t="s">
        <v>190</v>
      </c>
      <c r="CN337" s="319" t="s">
        <v>190</v>
      </c>
      <c r="CO337" s="319" t="s">
        <v>190</v>
      </c>
      <c r="CP337" s="319" t="s">
        <v>429</v>
      </c>
      <c r="CQ337" s="319" t="s">
        <v>190</v>
      </c>
      <c r="CR337" s="319" t="s">
        <v>190</v>
      </c>
      <c r="CS337" s="319" t="s">
        <v>190</v>
      </c>
      <c r="CT337" s="319" t="s">
        <v>190</v>
      </c>
      <c r="CU337" s="319" t="s">
        <v>190</v>
      </c>
      <c r="CV337" s="319" t="s">
        <v>190</v>
      </c>
      <c r="CW337" s="319" t="s">
        <v>190</v>
      </c>
      <c r="CX337" s="319" t="s">
        <v>190</v>
      </c>
      <c r="CY337" s="319" t="s">
        <v>190</v>
      </c>
      <c r="CZ337" s="319" t="s">
        <v>190</v>
      </c>
      <c r="DA337" s="319" t="s">
        <v>190</v>
      </c>
      <c r="DB337" s="319" t="s">
        <v>190</v>
      </c>
      <c r="DC337" s="319" t="s">
        <v>190</v>
      </c>
      <c r="DD337" s="319" t="s">
        <v>190</v>
      </c>
      <c r="DE337" s="319" t="s">
        <v>190</v>
      </c>
      <c r="DF337" s="319" t="s">
        <v>190</v>
      </c>
      <c r="DG337" s="319" t="s">
        <v>190</v>
      </c>
      <c r="DH337" s="319" t="s">
        <v>190</v>
      </c>
      <c r="DI337" s="319" t="s">
        <v>190</v>
      </c>
      <c r="DJ337" s="319" t="s">
        <v>190</v>
      </c>
      <c r="DK337" s="319" t="s">
        <v>190</v>
      </c>
      <c r="DL337" s="319" t="s">
        <v>190</v>
      </c>
      <c r="DM337" s="319" t="s">
        <v>190</v>
      </c>
      <c r="DN337" s="319" t="s">
        <v>429</v>
      </c>
      <c r="DO337" s="319" t="s">
        <v>190</v>
      </c>
      <c r="DP337" s="319" t="s">
        <v>190</v>
      </c>
      <c r="DQ337" s="319" t="s">
        <v>190</v>
      </c>
      <c r="DR337" s="319" t="s">
        <v>190</v>
      </c>
      <c r="DS337" s="319" t="s">
        <v>190</v>
      </c>
      <c r="DT337" s="319" t="s">
        <v>190</v>
      </c>
      <c r="DU337" s="319" t="s">
        <v>190</v>
      </c>
      <c r="DV337" s="319" t="s">
        <v>173</v>
      </c>
      <c r="DW337" s="319" t="s">
        <v>190</v>
      </c>
      <c r="DX337" s="319" t="s">
        <v>190</v>
      </c>
      <c r="DY337" s="319" t="s">
        <v>190</v>
      </c>
      <c r="DZ337" s="319" t="s">
        <v>190</v>
      </c>
      <c r="EA337" s="319" t="s">
        <v>190</v>
      </c>
      <c r="EB337" s="319" t="s">
        <v>190</v>
      </c>
      <c r="EC337" s="319" t="s">
        <v>190</v>
      </c>
      <c r="ED337" s="319" t="s">
        <v>190</v>
      </c>
      <c r="EE337" s="319" t="s">
        <v>190</v>
      </c>
      <c r="EF337" s="319" t="s">
        <v>190</v>
      </c>
      <c r="EG337" s="319" t="s">
        <v>190</v>
      </c>
      <c r="EH337" s="319" t="s">
        <v>190</v>
      </c>
      <c r="EI337" s="319" t="s">
        <v>190</v>
      </c>
      <c r="EJ337" s="319" t="s">
        <v>190</v>
      </c>
      <c r="EK337" s="319" t="s">
        <v>190</v>
      </c>
      <c r="EL337" s="319" t="s">
        <v>190</v>
      </c>
      <c r="EM337" s="319" t="s">
        <v>190</v>
      </c>
      <c r="EN337" s="319" t="s">
        <v>190</v>
      </c>
      <c r="EO337" s="319" t="s">
        <v>190</v>
      </c>
      <c r="EP337" s="319" t="s">
        <v>190</v>
      </c>
      <c r="EQ337" s="319" t="s">
        <v>190</v>
      </c>
      <c r="ER337" s="319" t="s">
        <v>190</v>
      </c>
      <c r="ES337" s="319" t="s">
        <v>190</v>
      </c>
      <c r="ET337" s="319" t="s">
        <v>190</v>
      </c>
      <c r="EU337" s="319" t="s">
        <v>190</v>
      </c>
      <c r="EV337" s="319" t="s">
        <v>190</v>
      </c>
      <c r="EW337" s="319" t="s">
        <v>190</v>
      </c>
      <c r="EX337" s="319" t="s">
        <v>190</v>
      </c>
      <c r="EY337" s="319" t="s">
        <v>190</v>
      </c>
      <c r="EZ337" s="319" t="s">
        <v>190</v>
      </c>
      <c r="FA337" s="319" t="s">
        <v>190</v>
      </c>
      <c r="FB337" s="319" t="s">
        <v>190</v>
      </c>
      <c r="FC337" s="319" t="s">
        <v>190</v>
      </c>
      <c r="FD337" s="319" t="s">
        <v>190</v>
      </c>
      <c r="FE337" s="319" t="s">
        <v>190</v>
      </c>
      <c r="FF337" s="319" t="s">
        <v>190</v>
      </c>
      <c r="FG337" s="319" t="s">
        <v>190</v>
      </c>
      <c r="FH337" s="319" t="s">
        <v>190</v>
      </c>
      <c r="FI337" s="319" t="s">
        <v>190</v>
      </c>
      <c r="FJ337" s="319" t="s">
        <v>190</v>
      </c>
      <c r="FK337" s="319" t="s">
        <v>190</v>
      </c>
      <c r="FL337" s="319" t="s">
        <v>190</v>
      </c>
      <c r="FM337" s="319" t="s">
        <v>190</v>
      </c>
      <c r="FN337" s="319" t="s">
        <v>190</v>
      </c>
      <c r="FO337" s="319" t="s">
        <v>190</v>
      </c>
      <c r="FP337" s="319" t="s">
        <v>190</v>
      </c>
      <c r="FQ337" s="319" t="s">
        <v>190</v>
      </c>
      <c r="FR337" s="319" t="s">
        <v>190</v>
      </c>
      <c r="FS337" s="319" t="s">
        <v>190</v>
      </c>
      <c r="FT337" s="319" t="s">
        <v>190</v>
      </c>
      <c r="FU337" s="319" t="s">
        <v>190</v>
      </c>
      <c r="FV337" s="319" t="s">
        <v>190</v>
      </c>
      <c r="FW337" s="319" t="s">
        <v>190</v>
      </c>
      <c r="FX337" s="319" t="s">
        <v>190</v>
      </c>
      <c r="FY337" s="319" t="s">
        <v>190</v>
      </c>
      <c r="FZ337" s="319" t="s">
        <v>190</v>
      </c>
      <c r="GA337" s="319" t="s">
        <v>190</v>
      </c>
      <c r="GB337" s="319" t="s">
        <v>190</v>
      </c>
      <c r="GC337" s="319" t="s">
        <v>190</v>
      </c>
      <c r="GD337" s="319" t="s">
        <v>190</v>
      </c>
      <c r="GE337" s="319" t="s">
        <v>190</v>
      </c>
      <c r="GF337" s="319" t="s">
        <v>190</v>
      </c>
      <c r="GG337" s="319" t="s">
        <v>190</v>
      </c>
      <c r="GH337" s="319" t="s">
        <v>190</v>
      </c>
      <c r="GI337" s="319" t="s">
        <v>190</v>
      </c>
      <c r="GJ337" s="319" t="s">
        <v>190</v>
      </c>
      <c r="GK337" s="319" t="s">
        <v>429</v>
      </c>
      <c r="GL337" s="319" t="s">
        <v>190</v>
      </c>
      <c r="GM337" s="319" t="s">
        <v>190</v>
      </c>
      <c r="GN337" s="319" t="s">
        <v>190</v>
      </c>
      <c r="GO337" s="319" t="s">
        <v>190</v>
      </c>
      <c r="GP337" s="319" t="s">
        <v>190</v>
      </c>
      <c r="GQ337" s="319" t="s">
        <v>190</v>
      </c>
      <c r="GR337" s="319" t="s">
        <v>190</v>
      </c>
      <c r="GS337" s="319" t="s">
        <v>190</v>
      </c>
      <c r="GT337" s="319" t="s">
        <v>190</v>
      </c>
      <c r="GU337" s="319" t="s">
        <v>190</v>
      </c>
      <c r="GV337" s="319" t="s">
        <v>190</v>
      </c>
      <c r="GW337" s="319" t="s">
        <v>190</v>
      </c>
      <c r="GX337" s="319" t="s">
        <v>190</v>
      </c>
      <c r="GY337" s="319" t="s">
        <v>190</v>
      </c>
      <c r="GZ337" s="319" t="s">
        <v>190</v>
      </c>
      <c r="HA337" s="319" t="s">
        <v>190</v>
      </c>
      <c r="HB337" s="319" t="s">
        <v>190</v>
      </c>
      <c r="HC337" s="319" t="s">
        <v>190</v>
      </c>
      <c r="HD337" s="319" t="s">
        <v>190</v>
      </c>
      <c r="HE337" s="319" t="s">
        <v>190</v>
      </c>
      <c r="HF337" s="319" t="s">
        <v>190</v>
      </c>
      <c r="HG337" s="319" t="s">
        <v>190</v>
      </c>
      <c r="HH337" s="319" t="s">
        <v>190</v>
      </c>
      <c r="HI337" s="319" t="s">
        <v>190</v>
      </c>
      <c r="HJ337" s="319" t="s">
        <v>190</v>
      </c>
      <c r="HK337" s="319" t="s">
        <v>190</v>
      </c>
      <c r="HL337" s="319" t="s">
        <v>190</v>
      </c>
      <c r="HM337" s="319" t="s">
        <v>429</v>
      </c>
      <c r="HN337" s="319" t="s">
        <v>429</v>
      </c>
      <c r="HO337" s="319" t="s">
        <v>429</v>
      </c>
      <c r="HP337" s="319" t="s">
        <v>190</v>
      </c>
      <c r="HQ337" s="319" t="s">
        <v>190</v>
      </c>
      <c r="HR337" s="319" t="s">
        <v>190</v>
      </c>
      <c r="HS337" s="319" t="s">
        <v>190</v>
      </c>
      <c r="HT337" s="319" t="s">
        <v>190</v>
      </c>
      <c r="HU337" s="319" t="s">
        <v>190</v>
      </c>
      <c r="HV337" s="319" t="s">
        <v>190</v>
      </c>
      <c r="HW337" s="319" t="s">
        <v>190</v>
      </c>
      <c r="HX337" s="319" t="s">
        <v>190</v>
      </c>
      <c r="HY337" s="319" t="s">
        <v>190</v>
      </c>
      <c r="HZ337" s="319" t="s">
        <v>190</v>
      </c>
      <c r="IA337" s="319" t="s">
        <v>190</v>
      </c>
      <c r="IB337" s="319" t="s">
        <v>190</v>
      </c>
      <c r="IC337" s="319" t="s">
        <v>190</v>
      </c>
      <c r="ID337" s="319" t="s">
        <v>190</v>
      </c>
      <c r="IE337" s="319" t="s">
        <v>190</v>
      </c>
      <c r="IF337" s="319" t="s">
        <v>190</v>
      </c>
      <c r="IG337" s="319" t="s">
        <v>190</v>
      </c>
      <c r="IH337" s="319" t="s">
        <v>190</v>
      </c>
      <c r="II337" s="319" t="s">
        <v>190</v>
      </c>
      <c r="IJ337" s="319" t="s">
        <v>3124</v>
      </c>
      <c r="IK337" s="321">
        <v>41318</v>
      </c>
      <c r="IL337" s="321">
        <v>41319</v>
      </c>
      <c r="IM337" s="321">
        <v>41339</v>
      </c>
      <c r="IN337" s="319">
        <v>1</v>
      </c>
      <c r="IO337" s="319" t="s">
        <v>173</v>
      </c>
      <c r="IP337" s="319" t="s">
        <v>173</v>
      </c>
      <c r="IQ337" s="321" t="s">
        <v>173</v>
      </c>
      <c r="IR337" s="320" t="s">
        <v>173</v>
      </c>
      <c r="IS337" s="322" t="s">
        <v>173</v>
      </c>
      <c r="IT337" s="319" t="s">
        <v>173</v>
      </c>
    </row>
    <row r="338" spans="1:254" s="271" customFormat="1" x14ac:dyDescent="0.25">
      <c r="A338" s="318" t="str">
        <f>HYPERLINK("http://www.ofsted.gov.uk/inspection-reports/find-inspection-report/provider/ELS/131563 ","Ofsted School Webpage")</f>
        <v>Ofsted School Webpage</v>
      </c>
      <c r="B338" s="319">
        <v>131563</v>
      </c>
      <c r="C338" s="319">
        <v>8886093</v>
      </c>
      <c r="D338" s="319" t="s">
        <v>1675</v>
      </c>
      <c r="E338" s="319" t="s">
        <v>168</v>
      </c>
      <c r="F338" s="319" t="s">
        <v>81</v>
      </c>
      <c r="G338" s="319" t="s">
        <v>81</v>
      </c>
      <c r="H338" s="319" t="s">
        <v>81</v>
      </c>
      <c r="I338" s="319" t="s">
        <v>78</v>
      </c>
      <c r="J338" s="319" t="s">
        <v>424</v>
      </c>
      <c r="K338" s="319" t="s">
        <v>431</v>
      </c>
      <c r="L338" s="319" t="s">
        <v>431</v>
      </c>
      <c r="M338" s="319" t="s">
        <v>469</v>
      </c>
      <c r="N338" s="319" t="s">
        <v>2990</v>
      </c>
      <c r="O338" s="319" t="s">
        <v>3125</v>
      </c>
      <c r="P338" s="319">
        <v>19</v>
      </c>
      <c r="Q338" s="319" t="s">
        <v>2776</v>
      </c>
      <c r="R338" s="320">
        <v>10020824</v>
      </c>
      <c r="S338" s="321">
        <v>43025</v>
      </c>
      <c r="T338" s="321">
        <v>43027</v>
      </c>
      <c r="U338" s="321">
        <v>43048</v>
      </c>
      <c r="V338" s="319" t="s">
        <v>425</v>
      </c>
      <c r="W338" s="319" t="s">
        <v>2767</v>
      </c>
      <c r="X338" s="319">
        <v>2</v>
      </c>
      <c r="Y338" s="319" t="s">
        <v>173</v>
      </c>
      <c r="Z338" s="319" t="s">
        <v>173</v>
      </c>
      <c r="AA338" s="319" t="s">
        <v>173</v>
      </c>
      <c r="AB338" s="319">
        <v>2</v>
      </c>
      <c r="AC338" s="319" t="s">
        <v>169</v>
      </c>
      <c r="AD338" s="319" t="s">
        <v>173</v>
      </c>
      <c r="AE338" s="319" t="s">
        <v>173</v>
      </c>
      <c r="AF338" s="319" t="s">
        <v>173</v>
      </c>
      <c r="AG338" s="319" t="s">
        <v>171</v>
      </c>
      <c r="AH338" s="319" t="s">
        <v>190</v>
      </c>
      <c r="AI338" s="319" t="s">
        <v>190</v>
      </c>
      <c r="AJ338" s="319" t="s">
        <v>190</v>
      </c>
      <c r="AK338" s="319" t="s">
        <v>190</v>
      </c>
      <c r="AL338" s="319" t="s">
        <v>190</v>
      </c>
      <c r="AM338" s="319" t="s">
        <v>190</v>
      </c>
      <c r="AN338" s="319" t="s">
        <v>190</v>
      </c>
      <c r="AO338" s="319" t="s">
        <v>190</v>
      </c>
      <c r="AP338" s="319" t="s">
        <v>190</v>
      </c>
      <c r="AQ338" s="319" t="s">
        <v>190</v>
      </c>
      <c r="AR338" s="319" t="s">
        <v>190</v>
      </c>
      <c r="AS338" s="319" t="s">
        <v>190</v>
      </c>
      <c r="AT338" s="319" t="s">
        <v>190</v>
      </c>
      <c r="AU338" s="319" t="s">
        <v>190</v>
      </c>
      <c r="AV338" s="319" t="s">
        <v>190</v>
      </c>
      <c r="AW338" s="319" t="s">
        <v>190</v>
      </c>
      <c r="AX338" s="319" t="s">
        <v>429</v>
      </c>
      <c r="AY338" s="319" t="s">
        <v>190</v>
      </c>
      <c r="AZ338" s="319" t="s">
        <v>190</v>
      </c>
      <c r="BA338" s="319" t="s">
        <v>190</v>
      </c>
      <c r="BB338" s="319" t="s">
        <v>190</v>
      </c>
      <c r="BC338" s="319" t="s">
        <v>190</v>
      </c>
      <c r="BD338" s="319" t="s">
        <v>190</v>
      </c>
      <c r="BE338" s="319" t="s">
        <v>190</v>
      </c>
      <c r="BF338" s="319" t="s">
        <v>429</v>
      </c>
      <c r="BG338" s="319" t="s">
        <v>429</v>
      </c>
      <c r="BH338" s="319" t="s">
        <v>190</v>
      </c>
      <c r="BI338" s="319" t="s">
        <v>190</v>
      </c>
      <c r="BJ338" s="319" t="s">
        <v>190</v>
      </c>
      <c r="BK338" s="319" t="s">
        <v>190</v>
      </c>
      <c r="BL338" s="319" t="s">
        <v>190</v>
      </c>
      <c r="BM338" s="319" t="s">
        <v>190</v>
      </c>
      <c r="BN338" s="319" t="s">
        <v>190</v>
      </c>
      <c r="BO338" s="319" t="s">
        <v>190</v>
      </c>
      <c r="BP338" s="319" t="s">
        <v>190</v>
      </c>
      <c r="BQ338" s="319" t="s">
        <v>190</v>
      </c>
      <c r="BR338" s="319" t="s">
        <v>190</v>
      </c>
      <c r="BS338" s="319" t="s">
        <v>190</v>
      </c>
      <c r="BT338" s="319" t="s">
        <v>190</v>
      </c>
      <c r="BU338" s="319" t="s">
        <v>190</v>
      </c>
      <c r="BV338" s="319" t="s">
        <v>190</v>
      </c>
      <c r="BW338" s="319" t="s">
        <v>190</v>
      </c>
      <c r="BX338" s="319" t="s">
        <v>190</v>
      </c>
      <c r="BY338" s="319" t="s">
        <v>190</v>
      </c>
      <c r="BZ338" s="319" t="s">
        <v>190</v>
      </c>
      <c r="CA338" s="319" t="s">
        <v>190</v>
      </c>
      <c r="CB338" s="319" t="s">
        <v>190</v>
      </c>
      <c r="CC338" s="319" t="s">
        <v>190</v>
      </c>
      <c r="CD338" s="319" t="s">
        <v>190</v>
      </c>
      <c r="CE338" s="319" t="s">
        <v>190</v>
      </c>
      <c r="CF338" s="319" t="s">
        <v>190</v>
      </c>
      <c r="CG338" s="319" t="s">
        <v>190</v>
      </c>
      <c r="CH338" s="319" t="s">
        <v>190</v>
      </c>
      <c r="CI338" s="319" t="s">
        <v>190</v>
      </c>
      <c r="CJ338" s="319" t="s">
        <v>190</v>
      </c>
      <c r="CK338" s="319" t="s">
        <v>190</v>
      </c>
      <c r="CL338" s="319" t="s">
        <v>190</v>
      </c>
      <c r="CM338" s="319" t="s">
        <v>190</v>
      </c>
      <c r="CN338" s="319" t="s">
        <v>429</v>
      </c>
      <c r="CO338" s="319" t="s">
        <v>429</v>
      </c>
      <c r="CP338" s="319" t="s">
        <v>429</v>
      </c>
      <c r="CQ338" s="319" t="s">
        <v>190</v>
      </c>
      <c r="CR338" s="319" t="s">
        <v>190</v>
      </c>
      <c r="CS338" s="319" t="s">
        <v>190</v>
      </c>
      <c r="CT338" s="319" t="s">
        <v>190</v>
      </c>
      <c r="CU338" s="319" t="s">
        <v>190</v>
      </c>
      <c r="CV338" s="319" t="s">
        <v>190</v>
      </c>
      <c r="CW338" s="319" t="s">
        <v>190</v>
      </c>
      <c r="CX338" s="319" t="s">
        <v>190</v>
      </c>
      <c r="CY338" s="319" t="s">
        <v>190</v>
      </c>
      <c r="CZ338" s="319" t="s">
        <v>190</v>
      </c>
      <c r="DA338" s="319" t="s">
        <v>190</v>
      </c>
      <c r="DB338" s="319" t="s">
        <v>190</v>
      </c>
      <c r="DC338" s="319" t="s">
        <v>190</v>
      </c>
      <c r="DD338" s="319" t="s">
        <v>190</v>
      </c>
      <c r="DE338" s="319" t="s">
        <v>190</v>
      </c>
      <c r="DF338" s="319" t="s">
        <v>190</v>
      </c>
      <c r="DG338" s="319" t="s">
        <v>190</v>
      </c>
      <c r="DH338" s="319" t="s">
        <v>190</v>
      </c>
      <c r="DI338" s="319" t="s">
        <v>190</v>
      </c>
      <c r="DJ338" s="319" t="s">
        <v>190</v>
      </c>
      <c r="DK338" s="319" t="s">
        <v>190</v>
      </c>
      <c r="DL338" s="319" t="s">
        <v>190</v>
      </c>
      <c r="DM338" s="319" t="s">
        <v>190</v>
      </c>
      <c r="DN338" s="319" t="s">
        <v>429</v>
      </c>
      <c r="DO338" s="319" t="s">
        <v>190</v>
      </c>
      <c r="DP338" s="319" t="s">
        <v>429</v>
      </c>
      <c r="DQ338" s="319" t="s">
        <v>429</v>
      </c>
      <c r="DR338" s="319" t="s">
        <v>429</v>
      </c>
      <c r="DS338" s="319" t="s">
        <v>429</v>
      </c>
      <c r="DT338" s="319" t="s">
        <v>429</v>
      </c>
      <c r="DU338" s="319" t="s">
        <v>429</v>
      </c>
      <c r="DV338" s="319" t="s">
        <v>173</v>
      </c>
      <c r="DW338" s="319" t="s">
        <v>429</v>
      </c>
      <c r="DX338" s="319" t="s">
        <v>429</v>
      </c>
      <c r="DY338" s="319" t="s">
        <v>429</v>
      </c>
      <c r="DZ338" s="319" t="s">
        <v>429</v>
      </c>
      <c r="EA338" s="319" t="s">
        <v>429</v>
      </c>
      <c r="EB338" s="319" t="s">
        <v>429</v>
      </c>
      <c r="EC338" s="319" t="s">
        <v>429</v>
      </c>
      <c r="ED338" s="319" t="s">
        <v>429</v>
      </c>
      <c r="EE338" s="319" t="s">
        <v>190</v>
      </c>
      <c r="EF338" s="319" t="s">
        <v>190</v>
      </c>
      <c r="EG338" s="319" t="s">
        <v>190</v>
      </c>
      <c r="EH338" s="319" t="s">
        <v>190</v>
      </c>
      <c r="EI338" s="319" t="s">
        <v>190</v>
      </c>
      <c r="EJ338" s="319" t="s">
        <v>190</v>
      </c>
      <c r="EK338" s="319" t="s">
        <v>190</v>
      </c>
      <c r="EL338" s="319" t="s">
        <v>190</v>
      </c>
      <c r="EM338" s="319" t="s">
        <v>190</v>
      </c>
      <c r="EN338" s="319" t="s">
        <v>190</v>
      </c>
      <c r="EO338" s="319" t="s">
        <v>190</v>
      </c>
      <c r="EP338" s="319" t="s">
        <v>190</v>
      </c>
      <c r="EQ338" s="319" t="s">
        <v>190</v>
      </c>
      <c r="ER338" s="319" t="s">
        <v>190</v>
      </c>
      <c r="ES338" s="319" t="s">
        <v>190</v>
      </c>
      <c r="ET338" s="319" t="s">
        <v>190</v>
      </c>
      <c r="EU338" s="319" t="s">
        <v>190</v>
      </c>
      <c r="EV338" s="319" t="s">
        <v>190</v>
      </c>
      <c r="EW338" s="319" t="s">
        <v>190</v>
      </c>
      <c r="EX338" s="319" t="s">
        <v>190</v>
      </c>
      <c r="EY338" s="319" t="s">
        <v>190</v>
      </c>
      <c r="EZ338" s="319" t="s">
        <v>190</v>
      </c>
      <c r="FA338" s="319" t="s">
        <v>190</v>
      </c>
      <c r="FB338" s="319" t="s">
        <v>429</v>
      </c>
      <c r="FC338" s="319" t="s">
        <v>429</v>
      </c>
      <c r="FD338" s="319" t="s">
        <v>429</v>
      </c>
      <c r="FE338" s="319" t="s">
        <v>429</v>
      </c>
      <c r="FF338" s="319" t="s">
        <v>429</v>
      </c>
      <c r="FG338" s="319" t="s">
        <v>429</v>
      </c>
      <c r="FH338" s="319" t="s">
        <v>429</v>
      </c>
      <c r="FI338" s="319" t="s">
        <v>429</v>
      </c>
      <c r="FJ338" s="319" t="s">
        <v>429</v>
      </c>
      <c r="FK338" s="319" t="s">
        <v>429</v>
      </c>
      <c r="FL338" s="319" t="s">
        <v>190</v>
      </c>
      <c r="FM338" s="319" t="s">
        <v>190</v>
      </c>
      <c r="FN338" s="319" t="s">
        <v>190</v>
      </c>
      <c r="FO338" s="319" t="s">
        <v>190</v>
      </c>
      <c r="FP338" s="319" t="s">
        <v>190</v>
      </c>
      <c r="FQ338" s="319" t="s">
        <v>190</v>
      </c>
      <c r="FR338" s="319" t="s">
        <v>190</v>
      </c>
      <c r="FS338" s="319" t="s">
        <v>429</v>
      </c>
      <c r="FT338" s="319" t="s">
        <v>190</v>
      </c>
      <c r="FU338" s="319" t="s">
        <v>190</v>
      </c>
      <c r="FV338" s="319" t="s">
        <v>190</v>
      </c>
      <c r="FW338" s="319" t="s">
        <v>190</v>
      </c>
      <c r="FX338" s="319" t="s">
        <v>190</v>
      </c>
      <c r="FY338" s="319" t="s">
        <v>190</v>
      </c>
      <c r="FZ338" s="319" t="s">
        <v>190</v>
      </c>
      <c r="GA338" s="319" t="s">
        <v>190</v>
      </c>
      <c r="GB338" s="319" t="s">
        <v>190</v>
      </c>
      <c r="GC338" s="319" t="s">
        <v>190</v>
      </c>
      <c r="GD338" s="319" t="s">
        <v>190</v>
      </c>
      <c r="GE338" s="319" t="s">
        <v>190</v>
      </c>
      <c r="GF338" s="319" t="s">
        <v>190</v>
      </c>
      <c r="GG338" s="319" t="s">
        <v>190</v>
      </c>
      <c r="GH338" s="319" t="s">
        <v>190</v>
      </c>
      <c r="GI338" s="319" t="s">
        <v>190</v>
      </c>
      <c r="GJ338" s="319" t="s">
        <v>190</v>
      </c>
      <c r="GK338" s="319" t="s">
        <v>429</v>
      </c>
      <c r="GL338" s="319" t="s">
        <v>190</v>
      </c>
      <c r="GM338" s="319" t="s">
        <v>190</v>
      </c>
      <c r="GN338" s="319" t="s">
        <v>190</v>
      </c>
      <c r="GO338" s="319" t="s">
        <v>190</v>
      </c>
      <c r="GP338" s="319" t="s">
        <v>190</v>
      </c>
      <c r="GQ338" s="319" t="s">
        <v>429</v>
      </c>
      <c r="GR338" s="319" t="s">
        <v>190</v>
      </c>
      <c r="GS338" s="319" t="s">
        <v>190</v>
      </c>
      <c r="GT338" s="319" t="s">
        <v>190</v>
      </c>
      <c r="GU338" s="319" t="s">
        <v>190</v>
      </c>
      <c r="GV338" s="319" t="s">
        <v>190</v>
      </c>
      <c r="GW338" s="319" t="s">
        <v>190</v>
      </c>
      <c r="GX338" s="319" t="s">
        <v>190</v>
      </c>
      <c r="GY338" s="319" t="s">
        <v>190</v>
      </c>
      <c r="GZ338" s="319" t="s">
        <v>190</v>
      </c>
      <c r="HA338" s="319" t="s">
        <v>190</v>
      </c>
      <c r="HB338" s="319" t="s">
        <v>429</v>
      </c>
      <c r="HC338" s="319" t="s">
        <v>190</v>
      </c>
      <c r="HD338" s="319" t="s">
        <v>190</v>
      </c>
      <c r="HE338" s="319" t="s">
        <v>190</v>
      </c>
      <c r="HF338" s="319" t="s">
        <v>190</v>
      </c>
      <c r="HG338" s="319" t="s">
        <v>190</v>
      </c>
      <c r="HH338" s="319" t="s">
        <v>190</v>
      </c>
      <c r="HI338" s="319" t="s">
        <v>190</v>
      </c>
      <c r="HJ338" s="319" t="s">
        <v>190</v>
      </c>
      <c r="HK338" s="319" t="s">
        <v>190</v>
      </c>
      <c r="HL338" s="319" t="s">
        <v>429</v>
      </c>
      <c r="HM338" s="319" t="s">
        <v>429</v>
      </c>
      <c r="HN338" s="319" t="s">
        <v>429</v>
      </c>
      <c r="HO338" s="319" t="s">
        <v>429</v>
      </c>
      <c r="HP338" s="319" t="s">
        <v>190</v>
      </c>
      <c r="HQ338" s="319" t="s">
        <v>190</v>
      </c>
      <c r="HR338" s="319" t="s">
        <v>190</v>
      </c>
      <c r="HS338" s="319" t="s">
        <v>190</v>
      </c>
      <c r="HT338" s="319" t="s">
        <v>190</v>
      </c>
      <c r="HU338" s="319" t="s">
        <v>190</v>
      </c>
      <c r="HV338" s="319" t="s">
        <v>190</v>
      </c>
      <c r="HW338" s="319" t="s">
        <v>190</v>
      </c>
      <c r="HX338" s="319" t="s">
        <v>190</v>
      </c>
      <c r="HY338" s="319" t="s">
        <v>190</v>
      </c>
      <c r="HZ338" s="319" t="s">
        <v>190</v>
      </c>
      <c r="IA338" s="319" t="s">
        <v>190</v>
      </c>
      <c r="IB338" s="319" t="s">
        <v>190</v>
      </c>
      <c r="IC338" s="319" t="s">
        <v>190</v>
      </c>
      <c r="ID338" s="319" t="s">
        <v>190</v>
      </c>
      <c r="IE338" s="319" t="s">
        <v>190</v>
      </c>
      <c r="IF338" s="319" t="s">
        <v>190</v>
      </c>
      <c r="IG338" s="319" t="s">
        <v>190</v>
      </c>
      <c r="IH338" s="319" t="s">
        <v>190</v>
      </c>
      <c r="II338" s="319" t="s">
        <v>190</v>
      </c>
      <c r="IJ338" s="319" t="s">
        <v>3126</v>
      </c>
      <c r="IK338" s="321">
        <v>41555</v>
      </c>
      <c r="IL338" s="321">
        <v>41557</v>
      </c>
      <c r="IM338" s="321">
        <v>41578</v>
      </c>
      <c r="IN338" s="319">
        <v>2</v>
      </c>
      <c r="IO338" s="319" t="s">
        <v>173</v>
      </c>
      <c r="IP338" s="319" t="s">
        <v>173</v>
      </c>
      <c r="IQ338" s="319" t="s">
        <v>173</v>
      </c>
      <c r="IR338" s="320" t="s">
        <v>173</v>
      </c>
      <c r="IS338" s="320" t="s">
        <v>173</v>
      </c>
      <c r="IT338" s="319" t="s">
        <v>173</v>
      </c>
    </row>
    <row r="339" spans="1:254" s="271" customFormat="1" x14ac:dyDescent="0.25">
      <c r="A339" s="318" t="str">
        <f>HYPERLINK("http://www.ofsted.gov.uk/inspection-reports/find-inspection-report/provider/ELS/131567 ","Ofsted School Webpage")</f>
        <v>Ofsted School Webpage</v>
      </c>
      <c r="B339" s="319">
        <v>131567</v>
      </c>
      <c r="C339" s="319">
        <v>8866113</v>
      </c>
      <c r="D339" s="319" t="s">
        <v>616</v>
      </c>
      <c r="E339" s="319" t="s">
        <v>167</v>
      </c>
      <c r="F339" s="319" t="s">
        <v>81</v>
      </c>
      <c r="G339" s="319" t="s">
        <v>59</v>
      </c>
      <c r="H339" s="319" t="s">
        <v>59</v>
      </c>
      <c r="I339" s="319" t="s">
        <v>59</v>
      </c>
      <c r="J339" s="319" t="s">
        <v>424</v>
      </c>
      <c r="K339" s="319" t="s">
        <v>514</v>
      </c>
      <c r="L339" s="319" t="s">
        <v>514</v>
      </c>
      <c r="M339" s="319" t="s">
        <v>614</v>
      </c>
      <c r="N339" s="319" t="s">
        <v>2977</v>
      </c>
      <c r="O339" s="319" t="s">
        <v>617</v>
      </c>
      <c r="P339" s="319">
        <v>56</v>
      </c>
      <c r="Q339" s="319" t="s">
        <v>2766</v>
      </c>
      <c r="R339" s="320">
        <v>10052089</v>
      </c>
      <c r="S339" s="321">
        <v>43410</v>
      </c>
      <c r="T339" s="321">
        <v>43412</v>
      </c>
      <c r="U339" s="321">
        <v>43450</v>
      </c>
      <c r="V339" s="319" t="s">
        <v>425</v>
      </c>
      <c r="W339" s="319" t="s">
        <v>2767</v>
      </c>
      <c r="X339" s="319">
        <v>4</v>
      </c>
      <c r="Y339" s="319" t="s">
        <v>173</v>
      </c>
      <c r="Z339" s="319" t="s">
        <v>173</v>
      </c>
      <c r="AA339" s="319" t="s">
        <v>173</v>
      </c>
      <c r="AB339" s="319">
        <v>4</v>
      </c>
      <c r="AC339" s="319" t="s">
        <v>170</v>
      </c>
      <c r="AD339" s="319">
        <v>4</v>
      </c>
      <c r="AE339" s="319" t="s">
        <v>173</v>
      </c>
      <c r="AF339" s="319" t="s">
        <v>427</v>
      </c>
      <c r="AG339" s="319" t="s">
        <v>172</v>
      </c>
      <c r="AH339" s="319" t="s">
        <v>190</v>
      </c>
      <c r="AI339" s="319" t="s">
        <v>190</v>
      </c>
      <c r="AJ339" s="319" t="s">
        <v>479</v>
      </c>
      <c r="AK339" s="319" t="s">
        <v>479</v>
      </c>
      <c r="AL339" s="319" t="s">
        <v>479</v>
      </c>
      <c r="AM339" s="319" t="s">
        <v>479</v>
      </c>
      <c r="AN339" s="319" t="s">
        <v>190</v>
      </c>
      <c r="AO339" s="319" t="s">
        <v>479</v>
      </c>
      <c r="AP339" s="319" t="s">
        <v>190</v>
      </c>
      <c r="AQ339" s="319" t="s">
        <v>190</v>
      </c>
      <c r="AR339" s="319" t="s">
        <v>190</v>
      </c>
      <c r="AS339" s="319" t="s">
        <v>190</v>
      </c>
      <c r="AT339" s="319" t="s">
        <v>190</v>
      </c>
      <c r="AU339" s="319" t="s">
        <v>190</v>
      </c>
      <c r="AV339" s="319" t="s">
        <v>190</v>
      </c>
      <c r="AW339" s="319" t="s">
        <v>190</v>
      </c>
      <c r="AX339" s="319" t="s">
        <v>428</v>
      </c>
      <c r="AY339" s="319" t="s">
        <v>190</v>
      </c>
      <c r="AZ339" s="319" t="s">
        <v>190</v>
      </c>
      <c r="BA339" s="319" t="s">
        <v>190</v>
      </c>
      <c r="BB339" s="319" t="s">
        <v>428</v>
      </c>
      <c r="BC339" s="319" t="s">
        <v>428</v>
      </c>
      <c r="BD339" s="319" t="s">
        <v>428</v>
      </c>
      <c r="BE339" s="319" t="s">
        <v>428</v>
      </c>
      <c r="BF339" s="319" t="s">
        <v>190</v>
      </c>
      <c r="BG339" s="319" t="s">
        <v>190</v>
      </c>
      <c r="BH339" s="319" t="s">
        <v>190</v>
      </c>
      <c r="BI339" s="319" t="s">
        <v>190</v>
      </c>
      <c r="BJ339" s="319" t="s">
        <v>190</v>
      </c>
      <c r="BK339" s="319" t="s">
        <v>190</v>
      </c>
      <c r="BL339" s="319" t="s">
        <v>190</v>
      </c>
      <c r="BM339" s="319" t="s">
        <v>190</v>
      </c>
      <c r="BN339" s="319" t="s">
        <v>190</v>
      </c>
      <c r="BO339" s="319" t="s">
        <v>190</v>
      </c>
      <c r="BP339" s="319" t="s">
        <v>190</v>
      </c>
      <c r="BQ339" s="319" t="s">
        <v>190</v>
      </c>
      <c r="BR339" s="319" t="s">
        <v>190</v>
      </c>
      <c r="BS339" s="319" t="s">
        <v>190</v>
      </c>
      <c r="BT339" s="319" t="s">
        <v>190</v>
      </c>
      <c r="BU339" s="319" t="s">
        <v>190</v>
      </c>
      <c r="BV339" s="319" t="s">
        <v>190</v>
      </c>
      <c r="BW339" s="319" t="s">
        <v>190</v>
      </c>
      <c r="BX339" s="319" t="s">
        <v>190</v>
      </c>
      <c r="BY339" s="319" t="s">
        <v>190</v>
      </c>
      <c r="BZ339" s="319" t="s">
        <v>190</v>
      </c>
      <c r="CA339" s="319" t="s">
        <v>190</v>
      </c>
      <c r="CB339" s="319" t="s">
        <v>190</v>
      </c>
      <c r="CC339" s="319" t="s">
        <v>190</v>
      </c>
      <c r="CD339" s="319" t="s">
        <v>190</v>
      </c>
      <c r="CE339" s="319" t="s">
        <v>190</v>
      </c>
      <c r="CF339" s="319" t="s">
        <v>190</v>
      </c>
      <c r="CG339" s="319" t="s">
        <v>190</v>
      </c>
      <c r="CH339" s="319" t="s">
        <v>190</v>
      </c>
      <c r="CI339" s="319" t="s">
        <v>190</v>
      </c>
      <c r="CJ339" s="319" t="s">
        <v>190</v>
      </c>
      <c r="CK339" s="319" t="s">
        <v>191</v>
      </c>
      <c r="CL339" s="319" t="s">
        <v>191</v>
      </c>
      <c r="CM339" s="319" t="s">
        <v>191</v>
      </c>
      <c r="CN339" s="319" t="s">
        <v>428</v>
      </c>
      <c r="CO339" s="319" t="s">
        <v>428</v>
      </c>
      <c r="CP339" s="319" t="s">
        <v>428</v>
      </c>
      <c r="CQ339" s="319" t="s">
        <v>190</v>
      </c>
      <c r="CR339" s="319" t="s">
        <v>190</v>
      </c>
      <c r="CS339" s="319" t="s">
        <v>190</v>
      </c>
      <c r="CT339" s="319" t="s">
        <v>190</v>
      </c>
      <c r="CU339" s="319" t="s">
        <v>190</v>
      </c>
      <c r="CV339" s="319" t="s">
        <v>191</v>
      </c>
      <c r="CW339" s="319" t="s">
        <v>191</v>
      </c>
      <c r="CX339" s="319" t="s">
        <v>191</v>
      </c>
      <c r="CY339" s="319" t="s">
        <v>190</v>
      </c>
      <c r="CZ339" s="319" t="s">
        <v>190</v>
      </c>
      <c r="DA339" s="319" t="s">
        <v>191</v>
      </c>
      <c r="DB339" s="319" t="s">
        <v>191</v>
      </c>
      <c r="DC339" s="319" t="s">
        <v>191</v>
      </c>
      <c r="DD339" s="319" t="s">
        <v>191</v>
      </c>
      <c r="DE339" s="319" t="s">
        <v>191</v>
      </c>
      <c r="DF339" s="319" t="s">
        <v>191</v>
      </c>
      <c r="DG339" s="319" t="s">
        <v>191</v>
      </c>
      <c r="DH339" s="319" t="s">
        <v>191</v>
      </c>
      <c r="DI339" s="319" t="s">
        <v>191</v>
      </c>
      <c r="DJ339" s="319" t="s">
        <v>191</v>
      </c>
      <c r="DK339" s="319" t="s">
        <v>191</v>
      </c>
      <c r="DL339" s="319" t="s">
        <v>191</v>
      </c>
      <c r="DM339" s="319" t="s">
        <v>191</v>
      </c>
      <c r="DN339" s="319" t="s">
        <v>428</v>
      </c>
      <c r="DO339" s="319" t="s">
        <v>191</v>
      </c>
      <c r="DP339" s="319" t="s">
        <v>428</v>
      </c>
      <c r="DQ339" s="319" t="s">
        <v>428</v>
      </c>
      <c r="DR339" s="319" t="s">
        <v>428</v>
      </c>
      <c r="DS339" s="319" t="s">
        <v>428</v>
      </c>
      <c r="DT339" s="319" t="s">
        <v>428</v>
      </c>
      <c r="DU339" s="319" t="s">
        <v>428</v>
      </c>
      <c r="DV339" s="319" t="s">
        <v>173</v>
      </c>
      <c r="DW339" s="319" t="s">
        <v>428</v>
      </c>
      <c r="DX339" s="319" t="s">
        <v>428</v>
      </c>
      <c r="DY339" s="319" t="s">
        <v>428</v>
      </c>
      <c r="DZ339" s="319" t="s">
        <v>428</v>
      </c>
      <c r="EA339" s="319" t="s">
        <v>428</v>
      </c>
      <c r="EB339" s="319" t="s">
        <v>428</v>
      </c>
      <c r="EC339" s="319" t="s">
        <v>428</v>
      </c>
      <c r="ED339" s="319" t="s">
        <v>191</v>
      </c>
      <c r="EE339" s="319" t="s">
        <v>428</v>
      </c>
      <c r="EF339" s="319" t="s">
        <v>428</v>
      </c>
      <c r="EG339" s="319" t="s">
        <v>428</v>
      </c>
      <c r="EH339" s="319" t="s">
        <v>428</v>
      </c>
      <c r="EI339" s="319" t="s">
        <v>428</v>
      </c>
      <c r="EJ339" s="319" t="s">
        <v>428</v>
      </c>
      <c r="EK339" s="319" t="s">
        <v>428</v>
      </c>
      <c r="EL339" s="319" t="s">
        <v>428</v>
      </c>
      <c r="EM339" s="319" t="s">
        <v>428</v>
      </c>
      <c r="EN339" s="319" t="s">
        <v>191</v>
      </c>
      <c r="EO339" s="319" t="s">
        <v>191</v>
      </c>
      <c r="EP339" s="319" t="s">
        <v>191</v>
      </c>
      <c r="EQ339" s="319" t="s">
        <v>191</v>
      </c>
      <c r="ER339" s="319" t="s">
        <v>191</v>
      </c>
      <c r="ES339" s="319" t="s">
        <v>191</v>
      </c>
      <c r="ET339" s="319" t="s">
        <v>191</v>
      </c>
      <c r="EU339" s="319" t="s">
        <v>191</v>
      </c>
      <c r="EV339" s="319" t="s">
        <v>191</v>
      </c>
      <c r="EW339" s="319" t="s">
        <v>191</v>
      </c>
      <c r="EX339" s="319" t="s">
        <v>191</v>
      </c>
      <c r="EY339" s="319" t="s">
        <v>191</v>
      </c>
      <c r="EZ339" s="319" t="s">
        <v>191</v>
      </c>
      <c r="FA339" s="319" t="s">
        <v>191</v>
      </c>
      <c r="FB339" s="319" t="s">
        <v>428</v>
      </c>
      <c r="FC339" s="319" t="s">
        <v>428</v>
      </c>
      <c r="FD339" s="319" t="s">
        <v>428</v>
      </c>
      <c r="FE339" s="319" t="s">
        <v>428</v>
      </c>
      <c r="FF339" s="319" t="s">
        <v>428</v>
      </c>
      <c r="FG339" s="319" t="s">
        <v>428</v>
      </c>
      <c r="FH339" s="319" t="s">
        <v>428</v>
      </c>
      <c r="FI339" s="319" t="s">
        <v>428</v>
      </c>
      <c r="FJ339" s="319" t="s">
        <v>429</v>
      </c>
      <c r="FK339" s="319" t="s">
        <v>428</v>
      </c>
      <c r="FL339" s="319" t="s">
        <v>190</v>
      </c>
      <c r="FM339" s="319" t="s">
        <v>190</v>
      </c>
      <c r="FN339" s="319" t="s">
        <v>190</v>
      </c>
      <c r="FO339" s="319" t="s">
        <v>428</v>
      </c>
      <c r="FP339" s="319" t="s">
        <v>191</v>
      </c>
      <c r="FQ339" s="319" t="s">
        <v>191</v>
      </c>
      <c r="FR339" s="319" t="s">
        <v>191</v>
      </c>
      <c r="FS339" s="319" t="s">
        <v>428</v>
      </c>
      <c r="FT339" s="319" t="s">
        <v>191</v>
      </c>
      <c r="FU339" s="319" t="s">
        <v>190</v>
      </c>
      <c r="FV339" s="319" t="s">
        <v>190</v>
      </c>
      <c r="FW339" s="319" t="s">
        <v>190</v>
      </c>
      <c r="FX339" s="319" t="s">
        <v>190</v>
      </c>
      <c r="FY339" s="319" t="s">
        <v>190</v>
      </c>
      <c r="FZ339" s="319" t="s">
        <v>191</v>
      </c>
      <c r="GA339" s="319" t="s">
        <v>190</v>
      </c>
      <c r="GB339" s="319" t="s">
        <v>190</v>
      </c>
      <c r="GC339" s="319" t="s">
        <v>190</v>
      </c>
      <c r="GD339" s="319" t="s">
        <v>191</v>
      </c>
      <c r="GE339" s="319" t="s">
        <v>190</v>
      </c>
      <c r="GF339" s="319" t="s">
        <v>190</v>
      </c>
      <c r="GG339" s="319" t="s">
        <v>190</v>
      </c>
      <c r="GH339" s="319" t="s">
        <v>190</v>
      </c>
      <c r="GI339" s="319" t="s">
        <v>190</v>
      </c>
      <c r="GJ339" s="319" t="s">
        <v>190</v>
      </c>
      <c r="GK339" s="319" t="s">
        <v>428</v>
      </c>
      <c r="GL339" s="319" t="s">
        <v>191</v>
      </c>
      <c r="GM339" s="319" t="s">
        <v>190</v>
      </c>
      <c r="GN339" s="319" t="s">
        <v>190</v>
      </c>
      <c r="GO339" s="319" t="s">
        <v>191</v>
      </c>
      <c r="GP339" s="319" t="s">
        <v>190</v>
      </c>
      <c r="GQ339" s="319" t="s">
        <v>428</v>
      </c>
      <c r="GR339" s="319" t="s">
        <v>190</v>
      </c>
      <c r="GS339" s="319" t="s">
        <v>190</v>
      </c>
      <c r="GT339" s="319" t="s">
        <v>428</v>
      </c>
      <c r="GU339" s="319" t="s">
        <v>428</v>
      </c>
      <c r="GV339" s="319" t="s">
        <v>190</v>
      </c>
      <c r="GW339" s="319" t="s">
        <v>190</v>
      </c>
      <c r="GX339" s="319" t="s">
        <v>190</v>
      </c>
      <c r="GY339" s="319" t="s">
        <v>190</v>
      </c>
      <c r="GZ339" s="319" t="s">
        <v>190</v>
      </c>
      <c r="HA339" s="319" t="s">
        <v>428</v>
      </c>
      <c r="HB339" s="319" t="s">
        <v>428</v>
      </c>
      <c r="HC339" s="319" t="s">
        <v>190</v>
      </c>
      <c r="HD339" s="319" t="s">
        <v>190</v>
      </c>
      <c r="HE339" s="319" t="s">
        <v>190</v>
      </c>
      <c r="HF339" s="319" t="s">
        <v>428</v>
      </c>
      <c r="HG339" s="319" t="s">
        <v>190</v>
      </c>
      <c r="HH339" s="319" t="s">
        <v>190</v>
      </c>
      <c r="HI339" s="319" t="s">
        <v>428</v>
      </c>
      <c r="HJ339" s="319" t="s">
        <v>190</v>
      </c>
      <c r="HK339" s="319" t="s">
        <v>190</v>
      </c>
      <c r="HL339" s="319" t="s">
        <v>190</v>
      </c>
      <c r="HM339" s="319" t="s">
        <v>190</v>
      </c>
      <c r="HN339" s="319" t="s">
        <v>190</v>
      </c>
      <c r="HO339" s="319" t="s">
        <v>190</v>
      </c>
      <c r="HP339" s="319" t="s">
        <v>190</v>
      </c>
      <c r="HQ339" s="319" t="s">
        <v>190</v>
      </c>
      <c r="HR339" s="319" t="s">
        <v>190</v>
      </c>
      <c r="HS339" s="319" t="s">
        <v>190</v>
      </c>
      <c r="HT339" s="319" t="s">
        <v>190</v>
      </c>
      <c r="HU339" s="319" t="s">
        <v>190</v>
      </c>
      <c r="HV339" s="319" t="s">
        <v>190</v>
      </c>
      <c r="HW339" s="319" t="s">
        <v>190</v>
      </c>
      <c r="HX339" s="319" t="s">
        <v>190</v>
      </c>
      <c r="HY339" s="319" t="s">
        <v>190</v>
      </c>
      <c r="HZ339" s="319" t="s">
        <v>190</v>
      </c>
      <c r="IA339" s="319" t="s">
        <v>190</v>
      </c>
      <c r="IB339" s="319" t="s">
        <v>190</v>
      </c>
      <c r="IC339" s="319" t="s">
        <v>190</v>
      </c>
      <c r="ID339" s="319" t="s">
        <v>190</v>
      </c>
      <c r="IE339" s="319" t="s">
        <v>190</v>
      </c>
      <c r="IF339" s="319" t="s">
        <v>191</v>
      </c>
      <c r="IG339" s="319" t="s">
        <v>191</v>
      </c>
      <c r="IH339" s="319" t="s">
        <v>191</v>
      </c>
      <c r="II339" s="319" t="s">
        <v>191</v>
      </c>
      <c r="IJ339" s="319">
        <v>10008566</v>
      </c>
      <c r="IK339" s="321">
        <v>42556</v>
      </c>
      <c r="IL339" s="321">
        <v>42558</v>
      </c>
      <c r="IM339" s="321">
        <v>42634</v>
      </c>
      <c r="IN339" s="319">
        <v>1</v>
      </c>
      <c r="IO339" s="319">
        <v>10114599</v>
      </c>
      <c r="IP339" s="319" t="s">
        <v>985</v>
      </c>
      <c r="IQ339" s="321">
        <v>43719</v>
      </c>
      <c r="IR339" s="320" t="s">
        <v>2771</v>
      </c>
      <c r="IS339" s="322">
        <v>43733</v>
      </c>
      <c r="IT339" s="319" t="s">
        <v>165</v>
      </c>
    </row>
    <row r="340" spans="1:254" s="271" customFormat="1" x14ac:dyDescent="0.25">
      <c r="A340" s="318" t="str">
        <f>HYPERLINK("http://www.ofsted.gov.uk/inspection-reports/find-inspection-report/provider/ELS/131575 ","Ofsted School Webpage")</f>
        <v>Ofsted School Webpage</v>
      </c>
      <c r="B340" s="319">
        <v>131575</v>
      </c>
      <c r="C340" s="319">
        <v>8886094</v>
      </c>
      <c r="D340" s="319" t="s">
        <v>1676</v>
      </c>
      <c r="E340" s="319" t="s">
        <v>168</v>
      </c>
      <c r="F340" s="319" t="s">
        <v>81</v>
      </c>
      <c r="G340" s="319" t="s">
        <v>81</v>
      </c>
      <c r="H340" s="319" t="s">
        <v>81</v>
      </c>
      <c r="I340" s="319" t="s">
        <v>78</v>
      </c>
      <c r="J340" s="319" t="s">
        <v>424</v>
      </c>
      <c r="K340" s="319" t="s">
        <v>431</v>
      </c>
      <c r="L340" s="319" t="s">
        <v>431</v>
      </c>
      <c r="M340" s="319" t="s">
        <v>469</v>
      </c>
      <c r="N340" s="319" t="s">
        <v>2996</v>
      </c>
      <c r="O340" s="319" t="s">
        <v>1677</v>
      </c>
      <c r="P340" s="319">
        <v>40</v>
      </c>
      <c r="Q340" s="319" t="s">
        <v>429</v>
      </c>
      <c r="R340" s="320">
        <v>10092576</v>
      </c>
      <c r="S340" s="321">
        <v>43662</v>
      </c>
      <c r="T340" s="321">
        <v>43664</v>
      </c>
      <c r="U340" s="321">
        <v>43723</v>
      </c>
      <c r="V340" s="319" t="s">
        <v>425</v>
      </c>
      <c r="W340" s="319" t="s">
        <v>2767</v>
      </c>
      <c r="X340" s="319">
        <v>1</v>
      </c>
      <c r="Y340" s="319" t="s">
        <v>173</v>
      </c>
      <c r="Z340" s="319" t="s">
        <v>173</v>
      </c>
      <c r="AA340" s="319" t="s">
        <v>173</v>
      </c>
      <c r="AB340" s="319">
        <v>1</v>
      </c>
      <c r="AC340" s="319" t="s">
        <v>169</v>
      </c>
      <c r="AD340" s="319" t="s">
        <v>173</v>
      </c>
      <c r="AE340" s="319">
        <v>1</v>
      </c>
      <c r="AF340" s="319" t="s">
        <v>427</v>
      </c>
      <c r="AG340" s="319" t="s">
        <v>171</v>
      </c>
      <c r="AH340" s="319" t="s">
        <v>190</v>
      </c>
      <c r="AI340" s="319" t="s">
        <v>190</v>
      </c>
      <c r="AJ340" s="319" t="s">
        <v>190</v>
      </c>
      <c r="AK340" s="319" t="s">
        <v>190</v>
      </c>
      <c r="AL340" s="319" t="s">
        <v>190</v>
      </c>
      <c r="AM340" s="319" t="s">
        <v>190</v>
      </c>
      <c r="AN340" s="319" t="s">
        <v>190</v>
      </c>
      <c r="AO340" s="319" t="s">
        <v>190</v>
      </c>
      <c r="AP340" s="319" t="s">
        <v>190</v>
      </c>
      <c r="AQ340" s="319" t="s">
        <v>190</v>
      </c>
      <c r="AR340" s="319" t="s">
        <v>190</v>
      </c>
      <c r="AS340" s="319" t="s">
        <v>190</v>
      </c>
      <c r="AT340" s="319" t="s">
        <v>190</v>
      </c>
      <c r="AU340" s="319" t="s">
        <v>190</v>
      </c>
      <c r="AV340" s="319" t="s">
        <v>190</v>
      </c>
      <c r="AW340" s="319" t="s">
        <v>190</v>
      </c>
      <c r="AX340" s="319" t="s">
        <v>428</v>
      </c>
      <c r="AY340" s="319" t="s">
        <v>190</v>
      </c>
      <c r="AZ340" s="319" t="s">
        <v>190</v>
      </c>
      <c r="BA340" s="319" t="s">
        <v>190</v>
      </c>
      <c r="BB340" s="319" t="s">
        <v>190</v>
      </c>
      <c r="BC340" s="319" t="s">
        <v>190</v>
      </c>
      <c r="BD340" s="319" t="s">
        <v>190</v>
      </c>
      <c r="BE340" s="319" t="s">
        <v>190</v>
      </c>
      <c r="BF340" s="319" t="s">
        <v>428</v>
      </c>
      <c r="BG340" s="319" t="s">
        <v>190</v>
      </c>
      <c r="BH340" s="319" t="s">
        <v>190</v>
      </c>
      <c r="BI340" s="319" t="s">
        <v>190</v>
      </c>
      <c r="BJ340" s="319" t="s">
        <v>190</v>
      </c>
      <c r="BK340" s="319" t="s">
        <v>190</v>
      </c>
      <c r="BL340" s="319" t="s">
        <v>190</v>
      </c>
      <c r="BM340" s="319" t="s">
        <v>190</v>
      </c>
      <c r="BN340" s="319" t="s">
        <v>190</v>
      </c>
      <c r="BO340" s="319" t="s">
        <v>190</v>
      </c>
      <c r="BP340" s="319" t="s">
        <v>190</v>
      </c>
      <c r="BQ340" s="319" t="s">
        <v>190</v>
      </c>
      <c r="BR340" s="319" t="s">
        <v>190</v>
      </c>
      <c r="BS340" s="319" t="s">
        <v>190</v>
      </c>
      <c r="BT340" s="319" t="s">
        <v>190</v>
      </c>
      <c r="BU340" s="319" t="s">
        <v>190</v>
      </c>
      <c r="BV340" s="319" t="s">
        <v>190</v>
      </c>
      <c r="BW340" s="319" t="s">
        <v>190</v>
      </c>
      <c r="BX340" s="319" t="s">
        <v>190</v>
      </c>
      <c r="BY340" s="319" t="s">
        <v>190</v>
      </c>
      <c r="BZ340" s="319" t="s">
        <v>190</v>
      </c>
      <c r="CA340" s="319" t="s">
        <v>190</v>
      </c>
      <c r="CB340" s="319" t="s">
        <v>190</v>
      </c>
      <c r="CC340" s="319" t="s">
        <v>190</v>
      </c>
      <c r="CD340" s="319" t="s">
        <v>190</v>
      </c>
      <c r="CE340" s="319" t="s">
        <v>190</v>
      </c>
      <c r="CF340" s="319" t="s">
        <v>190</v>
      </c>
      <c r="CG340" s="319" t="s">
        <v>190</v>
      </c>
      <c r="CH340" s="319" t="s">
        <v>190</v>
      </c>
      <c r="CI340" s="319" t="s">
        <v>190</v>
      </c>
      <c r="CJ340" s="319" t="s">
        <v>190</v>
      </c>
      <c r="CK340" s="319" t="s">
        <v>190</v>
      </c>
      <c r="CL340" s="319" t="s">
        <v>190</v>
      </c>
      <c r="CM340" s="319" t="s">
        <v>190</v>
      </c>
      <c r="CN340" s="319" t="s">
        <v>190</v>
      </c>
      <c r="CO340" s="319" t="s">
        <v>428</v>
      </c>
      <c r="CP340" s="319" t="s">
        <v>428</v>
      </c>
      <c r="CQ340" s="319" t="s">
        <v>190</v>
      </c>
      <c r="CR340" s="319" t="s">
        <v>190</v>
      </c>
      <c r="CS340" s="319" t="s">
        <v>190</v>
      </c>
      <c r="CT340" s="319" t="s">
        <v>190</v>
      </c>
      <c r="CU340" s="319" t="s">
        <v>190</v>
      </c>
      <c r="CV340" s="319" t="s">
        <v>190</v>
      </c>
      <c r="CW340" s="319" t="s">
        <v>190</v>
      </c>
      <c r="CX340" s="319" t="s">
        <v>190</v>
      </c>
      <c r="CY340" s="319" t="s">
        <v>190</v>
      </c>
      <c r="CZ340" s="319" t="s">
        <v>190</v>
      </c>
      <c r="DA340" s="319" t="s">
        <v>190</v>
      </c>
      <c r="DB340" s="319" t="s">
        <v>190</v>
      </c>
      <c r="DC340" s="319" t="s">
        <v>190</v>
      </c>
      <c r="DD340" s="319" t="s">
        <v>190</v>
      </c>
      <c r="DE340" s="319" t="s">
        <v>190</v>
      </c>
      <c r="DF340" s="319" t="s">
        <v>190</v>
      </c>
      <c r="DG340" s="319" t="s">
        <v>190</v>
      </c>
      <c r="DH340" s="319" t="s">
        <v>190</v>
      </c>
      <c r="DI340" s="319" t="s">
        <v>190</v>
      </c>
      <c r="DJ340" s="319" t="s">
        <v>190</v>
      </c>
      <c r="DK340" s="319" t="s">
        <v>190</v>
      </c>
      <c r="DL340" s="319" t="s">
        <v>190</v>
      </c>
      <c r="DM340" s="319" t="s">
        <v>190</v>
      </c>
      <c r="DN340" s="319" t="s">
        <v>428</v>
      </c>
      <c r="DO340" s="319" t="s">
        <v>190</v>
      </c>
      <c r="DP340" s="319" t="s">
        <v>190</v>
      </c>
      <c r="DQ340" s="319" t="s">
        <v>190</v>
      </c>
      <c r="DR340" s="319" t="s">
        <v>190</v>
      </c>
      <c r="DS340" s="319" t="s">
        <v>190</v>
      </c>
      <c r="DT340" s="319" t="s">
        <v>190</v>
      </c>
      <c r="DU340" s="319" t="s">
        <v>190</v>
      </c>
      <c r="DV340" s="319" t="s">
        <v>173</v>
      </c>
      <c r="DW340" s="319" t="s">
        <v>190</v>
      </c>
      <c r="DX340" s="319" t="s">
        <v>190</v>
      </c>
      <c r="DY340" s="319" t="s">
        <v>190</v>
      </c>
      <c r="DZ340" s="319" t="s">
        <v>190</v>
      </c>
      <c r="EA340" s="319" t="s">
        <v>190</v>
      </c>
      <c r="EB340" s="319" t="s">
        <v>190</v>
      </c>
      <c r="EC340" s="319" t="s">
        <v>190</v>
      </c>
      <c r="ED340" s="319" t="s">
        <v>190</v>
      </c>
      <c r="EE340" s="319" t="s">
        <v>190</v>
      </c>
      <c r="EF340" s="319" t="s">
        <v>190</v>
      </c>
      <c r="EG340" s="319" t="s">
        <v>190</v>
      </c>
      <c r="EH340" s="319" t="s">
        <v>190</v>
      </c>
      <c r="EI340" s="319" t="s">
        <v>190</v>
      </c>
      <c r="EJ340" s="319" t="s">
        <v>190</v>
      </c>
      <c r="EK340" s="319" t="s">
        <v>190</v>
      </c>
      <c r="EL340" s="319" t="s">
        <v>190</v>
      </c>
      <c r="EM340" s="319" t="s">
        <v>190</v>
      </c>
      <c r="EN340" s="319" t="s">
        <v>190</v>
      </c>
      <c r="EO340" s="319" t="s">
        <v>190</v>
      </c>
      <c r="EP340" s="319" t="s">
        <v>190</v>
      </c>
      <c r="EQ340" s="319" t="s">
        <v>190</v>
      </c>
      <c r="ER340" s="319" t="s">
        <v>190</v>
      </c>
      <c r="ES340" s="319" t="s">
        <v>190</v>
      </c>
      <c r="ET340" s="319" t="s">
        <v>190</v>
      </c>
      <c r="EU340" s="319" t="s">
        <v>190</v>
      </c>
      <c r="EV340" s="319" t="s">
        <v>190</v>
      </c>
      <c r="EW340" s="319" t="s">
        <v>190</v>
      </c>
      <c r="EX340" s="319" t="s">
        <v>190</v>
      </c>
      <c r="EY340" s="319" t="s">
        <v>190</v>
      </c>
      <c r="EZ340" s="319" t="s">
        <v>190</v>
      </c>
      <c r="FA340" s="319" t="s">
        <v>190</v>
      </c>
      <c r="FB340" s="319" t="s">
        <v>190</v>
      </c>
      <c r="FC340" s="319" t="s">
        <v>190</v>
      </c>
      <c r="FD340" s="319" t="s">
        <v>190</v>
      </c>
      <c r="FE340" s="319" t="s">
        <v>190</v>
      </c>
      <c r="FF340" s="319" t="s">
        <v>190</v>
      </c>
      <c r="FG340" s="319" t="s">
        <v>190</v>
      </c>
      <c r="FH340" s="319" t="s">
        <v>190</v>
      </c>
      <c r="FI340" s="319" t="s">
        <v>190</v>
      </c>
      <c r="FJ340" s="319" t="s">
        <v>190</v>
      </c>
      <c r="FK340" s="319" t="s">
        <v>190</v>
      </c>
      <c r="FL340" s="319" t="s">
        <v>190</v>
      </c>
      <c r="FM340" s="319" t="s">
        <v>190</v>
      </c>
      <c r="FN340" s="319" t="s">
        <v>190</v>
      </c>
      <c r="FO340" s="319" t="s">
        <v>190</v>
      </c>
      <c r="FP340" s="319" t="s">
        <v>190</v>
      </c>
      <c r="FQ340" s="319" t="s">
        <v>190</v>
      </c>
      <c r="FR340" s="319" t="s">
        <v>190</v>
      </c>
      <c r="FS340" s="319" t="s">
        <v>190</v>
      </c>
      <c r="FT340" s="319" t="s">
        <v>190</v>
      </c>
      <c r="FU340" s="319" t="s">
        <v>190</v>
      </c>
      <c r="FV340" s="319" t="s">
        <v>190</v>
      </c>
      <c r="FW340" s="319" t="s">
        <v>190</v>
      </c>
      <c r="FX340" s="319" t="s">
        <v>190</v>
      </c>
      <c r="FY340" s="319" t="s">
        <v>190</v>
      </c>
      <c r="FZ340" s="319" t="s">
        <v>190</v>
      </c>
      <c r="GA340" s="319" t="s">
        <v>190</v>
      </c>
      <c r="GB340" s="319" t="s">
        <v>190</v>
      </c>
      <c r="GC340" s="319" t="s">
        <v>190</v>
      </c>
      <c r="GD340" s="319" t="s">
        <v>190</v>
      </c>
      <c r="GE340" s="319" t="s">
        <v>190</v>
      </c>
      <c r="GF340" s="319" t="s">
        <v>190</v>
      </c>
      <c r="GG340" s="319" t="s">
        <v>190</v>
      </c>
      <c r="GH340" s="319" t="s">
        <v>190</v>
      </c>
      <c r="GI340" s="319" t="s">
        <v>190</v>
      </c>
      <c r="GJ340" s="319" t="s">
        <v>190</v>
      </c>
      <c r="GK340" s="319" t="s">
        <v>428</v>
      </c>
      <c r="GL340" s="319" t="s">
        <v>190</v>
      </c>
      <c r="GM340" s="319" t="s">
        <v>190</v>
      </c>
      <c r="GN340" s="319" t="s">
        <v>190</v>
      </c>
      <c r="GO340" s="319" t="s">
        <v>190</v>
      </c>
      <c r="GP340" s="319" t="s">
        <v>190</v>
      </c>
      <c r="GQ340" s="319" t="s">
        <v>428</v>
      </c>
      <c r="GR340" s="319" t="s">
        <v>190</v>
      </c>
      <c r="GS340" s="319" t="s">
        <v>190</v>
      </c>
      <c r="GT340" s="319" t="s">
        <v>190</v>
      </c>
      <c r="GU340" s="319" t="s">
        <v>190</v>
      </c>
      <c r="GV340" s="319" t="s">
        <v>190</v>
      </c>
      <c r="GW340" s="319" t="s">
        <v>190</v>
      </c>
      <c r="GX340" s="319" t="s">
        <v>190</v>
      </c>
      <c r="GY340" s="319" t="s">
        <v>190</v>
      </c>
      <c r="GZ340" s="319" t="s">
        <v>428</v>
      </c>
      <c r="HA340" s="319" t="s">
        <v>190</v>
      </c>
      <c r="HB340" s="319" t="s">
        <v>190</v>
      </c>
      <c r="HC340" s="319" t="s">
        <v>190</v>
      </c>
      <c r="HD340" s="319" t="s">
        <v>190</v>
      </c>
      <c r="HE340" s="319" t="s">
        <v>190</v>
      </c>
      <c r="HF340" s="319" t="s">
        <v>190</v>
      </c>
      <c r="HG340" s="319" t="s">
        <v>190</v>
      </c>
      <c r="HH340" s="319" t="s">
        <v>190</v>
      </c>
      <c r="HI340" s="319" t="s">
        <v>190</v>
      </c>
      <c r="HJ340" s="319" t="s">
        <v>190</v>
      </c>
      <c r="HK340" s="319" t="s">
        <v>190</v>
      </c>
      <c r="HL340" s="319" t="s">
        <v>428</v>
      </c>
      <c r="HM340" s="319" t="s">
        <v>428</v>
      </c>
      <c r="HN340" s="319" t="s">
        <v>428</v>
      </c>
      <c r="HO340" s="319" t="s">
        <v>428</v>
      </c>
      <c r="HP340" s="319" t="s">
        <v>190</v>
      </c>
      <c r="HQ340" s="319" t="s">
        <v>190</v>
      </c>
      <c r="HR340" s="319" t="s">
        <v>190</v>
      </c>
      <c r="HS340" s="319" t="s">
        <v>190</v>
      </c>
      <c r="HT340" s="319" t="s">
        <v>190</v>
      </c>
      <c r="HU340" s="319" t="s">
        <v>190</v>
      </c>
      <c r="HV340" s="319" t="s">
        <v>190</v>
      </c>
      <c r="HW340" s="319" t="s">
        <v>190</v>
      </c>
      <c r="HX340" s="319" t="s">
        <v>190</v>
      </c>
      <c r="HY340" s="319" t="s">
        <v>190</v>
      </c>
      <c r="HZ340" s="319" t="s">
        <v>190</v>
      </c>
      <c r="IA340" s="319" t="s">
        <v>190</v>
      </c>
      <c r="IB340" s="319" t="s">
        <v>190</v>
      </c>
      <c r="IC340" s="319" t="s">
        <v>190</v>
      </c>
      <c r="ID340" s="319" t="s">
        <v>190</v>
      </c>
      <c r="IE340" s="319" t="s">
        <v>190</v>
      </c>
      <c r="IF340" s="319" t="s">
        <v>190</v>
      </c>
      <c r="IG340" s="319" t="s">
        <v>190</v>
      </c>
      <c r="IH340" s="319" t="s">
        <v>190</v>
      </c>
      <c r="II340" s="319" t="s">
        <v>190</v>
      </c>
      <c r="IJ340" s="319">
        <v>10012971</v>
      </c>
      <c r="IK340" s="321">
        <v>42633</v>
      </c>
      <c r="IL340" s="321">
        <v>42635</v>
      </c>
      <c r="IM340" s="321">
        <v>42660</v>
      </c>
      <c r="IN340" s="319">
        <v>1</v>
      </c>
      <c r="IO340" s="319" t="s">
        <v>173</v>
      </c>
      <c r="IP340" s="319" t="s">
        <v>173</v>
      </c>
      <c r="IQ340" s="321" t="s">
        <v>173</v>
      </c>
      <c r="IR340" s="320" t="s">
        <v>173</v>
      </c>
      <c r="IS340" s="322" t="s">
        <v>173</v>
      </c>
      <c r="IT340" s="319" t="s">
        <v>173</v>
      </c>
    </row>
    <row r="341" spans="1:254" s="271" customFormat="1" x14ac:dyDescent="0.25">
      <c r="A341" s="318" t="str">
        <f>HYPERLINK("http://www.ofsted.gov.uk/inspection-reports/find-inspection-report/provider/ELS/131611 ","Ofsted School Webpage")</f>
        <v>Ofsted School Webpage</v>
      </c>
      <c r="B341" s="319">
        <v>131611</v>
      </c>
      <c r="C341" s="319">
        <v>8866079</v>
      </c>
      <c r="D341" s="319" t="s">
        <v>1678</v>
      </c>
      <c r="E341" s="319" t="s">
        <v>168</v>
      </c>
      <c r="F341" s="319" t="s">
        <v>81</v>
      </c>
      <c r="G341" s="319" t="s">
        <v>81</v>
      </c>
      <c r="H341" s="319" t="s">
        <v>81</v>
      </c>
      <c r="I341" s="319" t="s">
        <v>78</v>
      </c>
      <c r="J341" s="319" t="s">
        <v>424</v>
      </c>
      <c r="K341" s="319" t="s">
        <v>514</v>
      </c>
      <c r="L341" s="319" t="s">
        <v>514</v>
      </c>
      <c r="M341" s="319" t="s">
        <v>614</v>
      </c>
      <c r="N341" s="319" t="s">
        <v>3127</v>
      </c>
      <c r="O341" s="319" t="s">
        <v>1679</v>
      </c>
      <c r="P341" s="319">
        <v>127</v>
      </c>
      <c r="Q341" s="319" t="s">
        <v>429</v>
      </c>
      <c r="R341" s="320">
        <v>10103846</v>
      </c>
      <c r="S341" s="321">
        <v>43788</v>
      </c>
      <c r="T341" s="321">
        <v>43790</v>
      </c>
      <c r="U341" s="321">
        <v>43815</v>
      </c>
      <c r="V341" s="319" t="s">
        <v>425</v>
      </c>
      <c r="W341" s="319" t="s">
        <v>2767</v>
      </c>
      <c r="X341" s="319">
        <v>1</v>
      </c>
      <c r="Y341" s="319">
        <v>1</v>
      </c>
      <c r="Z341" s="319">
        <v>1</v>
      </c>
      <c r="AA341" s="319">
        <v>1</v>
      </c>
      <c r="AB341" s="319">
        <v>1</v>
      </c>
      <c r="AC341" s="319" t="s">
        <v>169</v>
      </c>
      <c r="AD341" s="319" t="s">
        <v>173</v>
      </c>
      <c r="AE341" s="319">
        <v>1</v>
      </c>
      <c r="AF341" s="319" t="s">
        <v>427</v>
      </c>
      <c r="AG341" s="319" t="s">
        <v>171</v>
      </c>
      <c r="AH341" s="319" t="s">
        <v>190</v>
      </c>
      <c r="AI341" s="319" t="s">
        <v>190</v>
      </c>
      <c r="AJ341" s="319" t="s">
        <v>190</v>
      </c>
      <c r="AK341" s="319" t="s">
        <v>190</v>
      </c>
      <c r="AL341" s="319" t="s">
        <v>190</v>
      </c>
      <c r="AM341" s="319" t="s">
        <v>190</v>
      </c>
      <c r="AN341" s="319" t="s">
        <v>190</v>
      </c>
      <c r="AO341" s="319" t="s">
        <v>190</v>
      </c>
      <c r="AP341" s="319" t="s">
        <v>190</v>
      </c>
      <c r="AQ341" s="319" t="s">
        <v>190</v>
      </c>
      <c r="AR341" s="319" t="s">
        <v>190</v>
      </c>
      <c r="AS341" s="319" t="s">
        <v>190</v>
      </c>
      <c r="AT341" s="319" t="s">
        <v>190</v>
      </c>
      <c r="AU341" s="319" t="s">
        <v>190</v>
      </c>
      <c r="AV341" s="319" t="s">
        <v>190</v>
      </c>
      <c r="AW341" s="319" t="s">
        <v>190</v>
      </c>
      <c r="AX341" s="319" t="s">
        <v>428</v>
      </c>
      <c r="AY341" s="319" t="s">
        <v>190</v>
      </c>
      <c r="AZ341" s="319" t="s">
        <v>190</v>
      </c>
      <c r="BA341" s="319" t="s">
        <v>190</v>
      </c>
      <c r="BB341" s="319" t="s">
        <v>190</v>
      </c>
      <c r="BC341" s="319" t="s">
        <v>190</v>
      </c>
      <c r="BD341" s="319" t="s">
        <v>190</v>
      </c>
      <c r="BE341" s="319" t="s">
        <v>190</v>
      </c>
      <c r="BF341" s="319" t="s">
        <v>428</v>
      </c>
      <c r="BG341" s="319" t="s">
        <v>190</v>
      </c>
      <c r="BH341" s="319" t="s">
        <v>190</v>
      </c>
      <c r="BI341" s="319" t="s">
        <v>190</v>
      </c>
      <c r="BJ341" s="319" t="s">
        <v>190</v>
      </c>
      <c r="BK341" s="319" t="s">
        <v>190</v>
      </c>
      <c r="BL341" s="319" t="s">
        <v>190</v>
      </c>
      <c r="BM341" s="319" t="s">
        <v>190</v>
      </c>
      <c r="BN341" s="319" t="s">
        <v>190</v>
      </c>
      <c r="BO341" s="319" t="s">
        <v>190</v>
      </c>
      <c r="BP341" s="319" t="s">
        <v>190</v>
      </c>
      <c r="BQ341" s="319" t="s">
        <v>190</v>
      </c>
      <c r="BR341" s="319" t="s">
        <v>190</v>
      </c>
      <c r="BS341" s="319" t="s">
        <v>190</v>
      </c>
      <c r="BT341" s="319" t="s">
        <v>190</v>
      </c>
      <c r="BU341" s="319" t="s">
        <v>190</v>
      </c>
      <c r="BV341" s="319" t="s">
        <v>190</v>
      </c>
      <c r="BW341" s="319" t="s">
        <v>190</v>
      </c>
      <c r="BX341" s="319" t="s">
        <v>190</v>
      </c>
      <c r="BY341" s="319" t="s">
        <v>190</v>
      </c>
      <c r="BZ341" s="319" t="s">
        <v>190</v>
      </c>
      <c r="CA341" s="319" t="s">
        <v>190</v>
      </c>
      <c r="CB341" s="319" t="s">
        <v>190</v>
      </c>
      <c r="CC341" s="319" t="s">
        <v>190</v>
      </c>
      <c r="CD341" s="319" t="s">
        <v>190</v>
      </c>
      <c r="CE341" s="319" t="s">
        <v>190</v>
      </c>
      <c r="CF341" s="319" t="s">
        <v>190</v>
      </c>
      <c r="CG341" s="319" t="s">
        <v>190</v>
      </c>
      <c r="CH341" s="319" t="s">
        <v>190</v>
      </c>
      <c r="CI341" s="319" t="s">
        <v>190</v>
      </c>
      <c r="CJ341" s="319" t="s">
        <v>190</v>
      </c>
      <c r="CK341" s="319" t="s">
        <v>190</v>
      </c>
      <c r="CL341" s="319" t="s">
        <v>190</v>
      </c>
      <c r="CM341" s="319" t="s">
        <v>190</v>
      </c>
      <c r="CN341" s="319" t="s">
        <v>428</v>
      </c>
      <c r="CO341" s="319" t="s">
        <v>428</v>
      </c>
      <c r="CP341" s="319" t="s">
        <v>428</v>
      </c>
      <c r="CQ341" s="319" t="s">
        <v>190</v>
      </c>
      <c r="CR341" s="319" t="s">
        <v>190</v>
      </c>
      <c r="CS341" s="319" t="s">
        <v>190</v>
      </c>
      <c r="CT341" s="319" t="s">
        <v>190</v>
      </c>
      <c r="CU341" s="319" t="s">
        <v>190</v>
      </c>
      <c r="CV341" s="319" t="s">
        <v>190</v>
      </c>
      <c r="CW341" s="319" t="s">
        <v>190</v>
      </c>
      <c r="CX341" s="319" t="s">
        <v>190</v>
      </c>
      <c r="CY341" s="319" t="s">
        <v>190</v>
      </c>
      <c r="CZ341" s="319" t="s">
        <v>190</v>
      </c>
      <c r="DA341" s="319" t="s">
        <v>190</v>
      </c>
      <c r="DB341" s="319" t="s">
        <v>190</v>
      </c>
      <c r="DC341" s="319" t="s">
        <v>190</v>
      </c>
      <c r="DD341" s="319" t="s">
        <v>190</v>
      </c>
      <c r="DE341" s="319" t="s">
        <v>190</v>
      </c>
      <c r="DF341" s="319" t="s">
        <v>190</v>
      </c>
      <c r="DG341" s="319" t="s">
        <v>190</v>
      </c>
      <c r="DH341" s="319" t="s">
        <v>190</v>
      </c>
      <c r="DI341" s="319" t="s">
        <v>190</v>
      </c>
      <c r="DJ341" s="319" t="s">
        <v>190</v>
      </c>
      <c r="DK341" s="319" t="s">
        <v>190</v>
      </c>
      <c r="DL341" s="319" t="s">
        <v>190</v>
      </c>
      <c r="DM341" s="319" t="s">
        <v>190</v>
      </c>
      <c r="DN341" s="319" t="s">
        <v>428</v>
      </c>
      <c r="DO341" s="319" t="s">
        <v>190</v>
      </c>
      <c r="DP341" s="319" t="s">
        <v>190</v>
      </c>
      <c r="DQ341" s="319" t="s">
        <v>190</v>
      </c>
      <c r="DR341" s="319" t="s">
        <v>190</v>
      </c>
      <c r="DS341" s="319" t="s">
        <v>190</v>
      </c>
      <c r="DT341" s="319" t="s">
        <v>190</v>
      </c>
      <c r="DU341" s="319" t="s">
        <v>190</v>
      </c>
      <c r="DV341" s="319" t="s">
        <v>190</v>
      </c>
      <c r="DW341" s="319" t="s">
        <v>190</v>
      </c>
      <c r="DX341" s="319" t="s">
        <v>190</v>
      </c>
      <c r="DY341" s="319" t="s">
        <v>190</v>
      </c>
      <c r="DZ341" s="319" t="s">
        <v>190</v>
      </c>
      <c r="EA341" s="319" t="s">
        <v>190</v>
      </c>
      <c r="EB341" s="319" t="s">
        <v>190</v>
      </c>
      <c r="EC341" s="319" t="s">
        <v>428</v>
      </c>
      <c r="ED341" s="319" t="s">
        <v>190</v>
      </c>
      <c r="EE341" s="319" t="s">
        <v>190</v>
      </c>
      <c r="EF341" s="319" t="s">
        <v>190</v>
      </c>
      <c r="EG341" s="319" t="s">
        <v>190</v>
      </c>
      <c r="EH341" s="319" t="s">
        <v>190</v>
      </c>
      <c r="EI341" s="319" t="s">
        <v>190</v>
      </c>
      <c r="EJ341" s="319" t="s">
        <v>190</v>
      </c>
      <c r="EK341" s="319" t="s">
        <v>190</v>
      </c>
      <c r="EL341" s="319" t="s">
        <v>190</v>
      </c>
      <c r="EM341" s="319" t="s">
        <v>190</v>
      </c>
      <c r="EN341" s="319" t="s">
        <v>190</v>
      </c>
      <c r="EO341" s="319" t="s">
        <v>190</v>
      </c>
      <c r="EP341" s="319" t="s">
        <v>190</v>
      </c>
      <c r="EQ341" s="319" t="s">
        <v>190</v>
      </c>
      <c r="ER341" s="319" t="s">
        <v>190</v>
      </c>
      <c r="ES341" s="319" t="s">
        <v>190</v>
      </c>
      <c r="ET341" s="319" t="s">
        <v>190</v>
      </c>
      <c r="EU341" s="319" t="s">
        <v>190</v>
      </c>
      <c r="EV341" s="319" t="s">
        <v>190</v>
      </c>
      <c r="EW341" s="319" t="s">
        <v>190</v>
      </c>
      <c r="EX341" s="319" t="s">
        <v>190</v>
      </c>
      <c r="EY341" s="319" t="s">
        <v>190</v>
      </c>
      <c r="EZ341" s="319" t="s">
        <v>190</v>
      </c>
      <c r="FA341" s="319" t="s">
        <v>190</v>
      </c>
      <c r="FB341" s="319" t="s">
        <v>190</v>
      </c>
      <c r="FC341" s="319" t="s">
        <v>190</v>
      </c>
      <c r="FD341" s="319" t="s">
        <v>190</v>
      </c>
      <c r="FE341" s="319" t="s">
        <v>190</v>
      </c>
      <c r="FF341" s="319" t="s">
        <v>190</v>
      </c>
      <c r="FG341" s="319" t="s">
        <v>190</v>
      </c>
      <c r="FH341" s="319" t="s">
        <v>190</v>
      </c>
      <c r="FI341" s="319" t="s">
        <v>190</v>
      </c>
      <c r="FJ341" s="319" t="s">
        <v>190</v>
      </c>
      <c r="FK341" s="319" t="s">
        <v>190</v>
      </c>
      <c r="FL341" s="319" t="s">
        <v>190</v>
      </c>
      <c r="FM341" s="319" t="s">
        <v>190</v>
      </c>
      <c r="FN341" s="319" t="s">
        <v>190</v>
      </c>
      <c r="FO341" s="319" t="s">
        <v>190</v>
      </c>
      <c r="FP341" s="319" t="s">
        <v>190</v>
      </c>
      <c r="FQ341" s="319" t="s">
        <v>190</v>
      </c>
      <c r="FR341" s="319" t="s">
        <v>190</v>
      </c>
      <c r="FS341" s="319" t="s">
        <v>190</v>
      </c>
      <c r="FT341" s="319" t="s">
        <v>190</v>
      </c>
      <c r="FU341" s="319" t="s">
        <v>190</v>
      </c>
      <c r="FV341" s="319" t="s">
        <v>190</v>
      </c>
      <c r="FW341" s="319" t="s">
        <v>190</v>
      </c>
      <c r="FX341" s="319" t="s">
        <v>190</v>
      </c>
      <c r="FY341" s="319" t="s">
        <v>190</v>
      </c>
      <c r="FZ341" s="319" t="s">
        <v>190</v>
      </c>
      <c r="GA341" s="319" t="s">
        <v>190</v>
      </c>
      <c r="GB341" s="319" t="s">
        <v>190</v>
      </c>
      <c r="GC341" s="319" t="s">
        <v>190</v>
      </c>
      <c r="GD341" s="319" t="s">
        <v>190</v>
      </c>
      <c r="GE341" s="319" t="s">
        <v>190</v>
      </c>
      <c r="GF341" s="319" t="s">
        <v>190</v>
      </c>
      <c r="GG341" s="319" t="s">
        <v>190</v>
      </c>
      <c r="GH341" s="319" t="s">
        <v>190</v>
      </c>
      <c r="GI341" s="319" t="s">
        <v>190</v>
      </c>
      <c r="GJ341" s="319" t="s">
        <v>190</v>
      </c>
      <c r="GK341" s="319" t="s">
        <v>428</v>
      </c>
      <c r="GL341" s="319" t="s">
        <v>190</v>
      </c>
      <c r="GM341" s="319" t="s">
        <v>190</v>
      </c>
      <c r="GN341" s="319" t="s">
        <v>190</v>
      </c>
      <c r="GO341" s="319" t="s">
        <v>190</v>
      </c>
      <c r="GP341" s="319" t="s">
        <v>190</v>
      </c>
      <c r="GQ341" s="319" t="s">
        <v>190</v>
      </c>
      <c r="GR341" s="319" t="s">
        <v>190</v>
      </c>
      <c r="GS341" s="319" t="s">
        <v>190</v>
      </c>
      <c r="GT341" s="319" t="s">
        <v>190</v>
      </c>
      <c r="GU341" s="319" t="s">
        <v>190</v>
      </c>
      <c r="GV341" s="319" t="s">
        <v>190</v>
      </c>
      <c r="GW341" s="319" t="s">
        <v>190</v>
      </c>
      <c r="GX341" s="319" t="s">
        <v>190</v>
      </c>
      <c r="GY341" s="319" t="s">
        <v>190</v>
      </c>
      <c r="GZ341" s="319" t="s">
        <v>428</v>
      </c>
      <c r="HA341" s="319" t="s">
        <v>190</v>
      </c>
      <c r="HB341" s="319" t="s">
        <v>190</v>
      </c>
      <c r="HC341" s="319" t="s">
        <v>190</v>
      </c>
      <c r="HD341" s="319" t="s">
        <v>190</v>
      </c>
      <c r="HE341" s="319" t="s">
        <v>190</v>
      </c>
      <c r="HF341" s="319" t="s">
        <v>190</v>
      </c>
      <c r="HG341" s="319" t="s">
        <v>190</v>
      </c>
      <c r="HH341" s="319" t="s">
        <v>190</v>
      </c>
      <c r="HI341" s="319" t="s">
        <v>190</v>
      </c>
      <c r="HJ341" s="319" t="s">
        <v>190</v>
      </c>
      <c r="HK341" s="319" t="s">
        <v>190</v>
      </c>
      <c r="HL341" s="319" t="s">
        <v>190</v>
      </c>
      <c r="HM341" s="319" t="s">
        <v>190</v>
      </c>
      <c r="HN341" s="319" t="s">
        <v>190</v>
      </c>
      <c r="HO341" s="319" t="s">
        <v>190</v>
      </c>
      <c r="HP341" s="319" t="s">
        <v>190</v>
      </c>
      <c r="HQ341" s="319" t="s">
        <v>190</v>
      </c>
      <c r="HR341" s="319" t="s">
        <v>190</v>
      </c>
      <c r="HS341" s="319" t="s">
        <v>190</v>
      </c>
      <c r="HT341" s="319" t="s">
        <v>190</v>
      </c>
      <c r="HU341" s="319" t="s">
        <v>190</v>
      </c>
      <c r="HV341" s="319" t="s">
        <v>190</v>
      </c>
      <c r="HW341" s="319" t="s">
        <v>190</v>
      </c>
      <c r="HX341" s="319" t="s">
        <v>190</v>
      </c>
      <c r="HY341" s="319" t="s">
        <v>190</v>
      </c>
      <c r="HZ341" s="319" t="s">
        <v>190</v>
      </c>
      <c r="IA341" s="319" t="s">
        <v>190</v>
      </c>
      <c r="IB341" s="319" t="s">
        <v>190</v>
      </c>
      <c r="IC341" s="319" t="s">
        <v>190</v>
      </c>
      <c r="ID341" s="319" t="s">
        <v>190</v>
      </c>
      <c r="IE341" s="319" t="s">
        <v>190</v>
      </c>
      <c r="IF341" s="319" t="s">
        <v>190</v>
      </c>
      <c r="IG341" s="319" t="s">
        <v>190</v>
      </c>
      <c r="IH341" s="319" t="s">
        <v>190</v>
      </c>
      <c r="II341" s="319" t="s">
        <v>190</v>
      </c>
      <c r="IJ341" s="319">
        <v>10026009</v>
      </c>
      <c r="IK341" s="321">
        <v>42808</v>
      </c>
      <c r="IL341" s="321">
        <v>42810</v>
      </c>
      <c r="IM341" s="321">
        <v>42857</v>
      </c>
      <c r="IN341" s="319">
        <v>1</v>
      </c>
      <c r="IO341" s="319" t="s">
        <v>173</v>
      </c>
      <c r="IP341" s="319" t="s">
        <v>173</v>
      </c>
      <c r="IQ341" s="321" t="s">
        <v>173</v>
      </c>
      <c r="IR341" s="320" t="s">
        <v>173</v>
      </c>
      <c r="IS341" s="322" t="s">
        <v>173</v>
      </c>
      <c r="IT341" s="319" t="s">
        <v>173</v>
      </c>
    </row>
    <row r="342" spans="1:254" s="271" customFormat="1" x14ac:dyDescent="0.25">
      <c r="A342" s="318" t="str">
        <f>HYPERLINK("http://www.ofsted.gov.uk/inspection-reports/find-inspection-report/provider/ELS/131662 ","Ofsted School Webpage")</f>
        <v>Ofsted School Webpage</v>
      </c>
      <c r="B342" s="319">
        <v>131662</v>
      </c>
      <c r="C342" s="319">
        <v>2126001</v>
      </c>
      <c r="D342" s="319" t="s">
        <v>955</v>
      </c>
      <c r="E342" s="319" t="s">
        <v>168</v>
      </c>
      <c r="F342" s="319" t="s">
        <v>81</v>
      </c>
      <c r="G342" s="319" t="s">
        <v>81</v>
      </c>
      <c r="H342" s="319" t="s">
        <v>81</v>
      </c>
      <c r="I342" s="319" t="s">
        <v>78</v>
      </c>
      <c r="J342" s="319" t="s">
        <v>424</v>
      </c>
      <c r="K342" s="319" t="s">
        <v>441</v>
      </c>
      <c r="L342" s="319" t="s">
        <v>441</v>
      </c>
      <c r="M342" s="319" t="s">
        <v>745</v>
      </c>
      <c r="N342" s="319" t="s">
        <v>2808</v>
      </c>
      <c r="O342" s="319" t="s">
        <v>956</v>
      </c>
      <c r="P342" s="319">
        <v>46</v>
      </c>
      <c r="Q342" s="319" t="s">
        <v>429</v>
      </c>
      <c r="R342" s="320">
        <v>10067150</v>
      </c>
      <c r="S342" s="321">
        <v>43522</v>
      </c>
      <c r="T342" s="321">
        <v>43524</v>
      </c>
      <c r="U342" s="321">
        <v>43543</v>
      </c>
      <c r="V342" s="319" t="s">
        <v>425</v>
      </c>
      <c r="W342" s="319" t="s">
        <v>2767</v>
      </c>
      <c r="X342" s="319">
        <v>1</v>
      </c>
      <c r="Y342" s="319" t="s">
        <v>173</v>
      </c>
      <c r="Z342" s="319" t="s">
        <v>173</v>
      </c>
      <c r="AA342" s="319" t="s">
        <v>173</v>
      </c>
      <c r="AB342" s="319">
        <v>1</v>
      </c>
      <c r="AC342" s="319" t="s">
        <v>169</v>
      </c>
      <c r="AD342" s="319" t="s">
        <v>173</v>
      </c>
      <c r="AE342" s="319" t="s">
        <v>173</v>
      </c>
      <c r="AF342" s="319" t="s">
        <v>427</v>
      </c>
      <c r="AG342" s="319" t="s">
        <v>171</v>
      </c>
      <c r="AH342" s="319" t="s">
        <v>190</v>
      </c>
      <c r="AI342" s="319" t="s">
        <v>190</v>
      </c>
      <c r="AJ342" s="319" t="s">
        <v>190</v>
      </c>
      <c r="AK342" s="319" t="s">
        <v>190</v>
      </c>
      <c r="AL342" s="319" t="s">
        <v>190</v>
      </c>
      <c r="AM342" s="319" t="s">
        <v>190</v>
      </c>
      <c r="AN342" s="319" t="s">
        <v>190</v>
      </c>
      <c r="AO342" s="319" t="s">
        <v>190</v>
      </c>
      <c r="AP342" s="319" t="s">
        <v>190</v>
      </c>
      <c r="AQ342" s="319" t="s">
        <v>190</v>
      </c>
      <c r="AR342" s="319" t="s">
        <v>190</v>
      </c>
      <c r="AS342" s="319" t="s">
        <v>190</v>
      </c>
      <c r="AT342" s="319" t="s">
        <v>190</v>
      </c>
      <c r="AU342" s="319" t="s">
        <v>190</v>
      </c>
      <c r="AV342" s="319" t="s">
        <v>190</v>
      </c>
      <c r="AW342" s="319" t="s">
        <v>190</v>
      </c>
      <c r="AX342" s="319" t="s">
        <v>428</v>
      </c>
      <c r="AY342" s="319" t="s">
        <v>190</v>
      </c>
      <c r="AZ342" s="319" t="s">
        <v>190</v>
      </c>
      <c r="BA342" s="319" t="s">
        <v>190</v>
      </c>
      <c r="BB342" s="319" t="s">
        <v>428</v>
      </c>
      <c r="BC342" s="319" t="s">
        <v>428</v>
      </c>
      <c r="BD342" s="319" t="s">
        <v>428</v>
      </c>
      <c r="BE342" s="319" t="s">
        <v>428</v>
      </c>
      <c r="BF342" s="319" t="s">
        <v>428</v>
      </c>
      <c r="BG342" s="319" t="s">
        <v>428</v>
      </c>
      <c r="BH342" s="319" t="s">
        <v>190</v>
      </c>
      <c r="BI342" s="319" t="s">
        <v>190</v>
      </c>
      <c r="BJ342" s="319" t="s">
        <v>190</v>
      </c>
      <c r="BK342" s="319" t="s">
        <v>190</v>
      </c>
      <c r="BL342" s="319" t="s">
        <v>190</v>
      </c>
      <c r="BM342" s="319" t="s">
        <v>190</v>
      </c>
      <c r="BN342" s="319" t="s">
        <v>190</v>
      </c>
      <c r="BO342" s="319" t="s">
        <v>190</v>
      </c>
      <c r="BP342" s="319" t="s">
        <v>190</v>
      </c>
      <c r="BQ342" s="319" t="s">
        <v>190</v>
      </c>
      <c r="BR342" s="319" t="s">
        <v>190</v>
      </c>
      <c r="BS342" s="319" t="s">
        <v>190</v>
      </c>
      <c r="BT342" s="319" t="s">
        <v>190</v>
      </c>
      <c r="BU342" s="319" t="s">
        <v>190</v>
      </c>
      <c r="BV342" s="319" t="s">
        <v>190</v>
      </c>
      <c r="BW342" s="319" t="s">
        <v>190</v>
      </c>
      <c r="BX342" s="319" t="s">
        <v>190</v>
      </c>
      <c r="BY342" s="319" t="s">
        <v>190</v>
      </c>
      <c r="BZ342" s="319" t="s">
        <v>190</v>
      </c>
      <c r="CA342" s="319" t="s">
        <v>190</v>
      </c>
      <c r="CB342" s="319" t="s">
        <v>190</v>
      </c>
      <c r="CC342" s="319" t="s">
        <v>190</v>
      </c>
      <c r="CD342" s="319" t="s">
        <v>190</v>
      </c>
      <c r="CE342" s="319" t="s">
        <v>190</v>
      </c>
      <c r="CF342" s="319" t="s">
        <v>190</v>
      </c>
      <c r="CG342" s="319" t="s">
        <v>190</v>
      </c>
      <c r="CH342" s="319" t="s">
        <v>190</v>
      </c>
      <c r="CI342" s="319" t="s">
        <v>190</v>
      </c>
      <c r="CJ342" s="319" t="s">
        <v>190</v>
      </c>
      <c r="CK342" s="319" t="s">
        <v>190</v>
      </c>
      <c r="CL342" s="319" t="s">
        <v>190</v>
      </c>
      <c r="CM342" s="319" t="s">
        <v>190</v>
      </c>
      <c r="CN342" s="319" t="s">
        <v>428</v>
      </c>
      <c r="CO342" s="319" t="s">
        <v>428</v>
      </c>
      <c r="CP342" s="319" t="s">
        <v>428</v>
      </c>
      <c r="CQ342" s="319" t="s">
        <v>190</v>
      </c>
      <c r="CR342" s="319" t="s">
        <v>190</v>
      </c>
      <c r="CS342" s="319" t="s">
        <v>190</v>
      </c>
      <c r="CT342" s="319" t="s">
        <v>190</v>
      </c>
      <c r="CU342" s="319" t="s">
        <v>190</v>
      </c>
      <c r="CV342" s="319" t="s">
        <v>190</v>
      </c>
      <c r="CW342" s="319" t="s">
        <v>190</v>
      </c>
      <c r="CX342" s="319" t="s">
        <v>190</v>
      </c>
      <c r="CY342" s="319" t="s">
        <v>190</v>
      </c>
      <c r="CZ342" s="319" t="s">
        <v>190</v>
      </c>
      <c r="DA342" s="319" t="s">
        <v>190</v>
      </c>
      <c r="DB342" s="319" t="s">
        <v>190</v>
      </c>
      <c r="DC342" s="319" t="s">
        <v>190</v>
      </c>
      <c r="DD342" s="319" t="s">
        <v>190</v>
      </c>
      <c r="DE342" s="319" t="s">
        <v>190</v>
      </c>
      <c r="DF342" s="319" t="s">
        <v>190</v>
      </c>
      <c r="DG342" s="319" t="s">
        <v>190</v>
      </c>
      <c r="DH342" s="319" t="s">
        <v>190</v>
      </c>
      <c r="DI342" s="319" t="s">
        <v>190</v>
      </c>
      <c r="DJ342" s="319" t="s">
        <v>190</v>
      </c>
      <c r="DK342" s="319" t="s">
        <v>190</v>
      </c>
      <c r="DL342" s="319" t="s">
        <v>190</v>
      </c>
      <c r="DM342" s="319" t="s">
        <v>190</v>
      </c>
      <c r="DN342" s="319" t="s">
        <v>428</v>
      </c>
      <c r="DO342" s="319" t="s">
        <v>190</v>
      </c>
      <c r="DP342" s="319" t="s">
        <v>190</v>
      </c>
      <c r="DQ342" s="319" t="s">
        <v>190</v>
      </c>
      <c r="DR342" s="319" t="s">
        <v>190</v>
      </c>
      <c r="DS342" s="319" t="s">
        <v>190</v>
      </c>
      <c r="DT342" s="319" t="s">
        <v>190</v>
      </c>
      <c r="DU342" s="319" t="s">
        <v>190</v>
      </c>
      <c r="DV342" s="319" t="s">
        <v>173</v>
      </c>
      <c r="DW342" s="319" t="s">
        <v>190</v>
      </c>
      <c r="DX342" s="319" t="s">
        <v>190</v>
      </c>
      <c r="DY342" s="319" t="s">
        <v>190</v>
      </c>
      <c r="DZ342" s="319" t="s">
        <v>190</v>
      </c>
      <c r="EA342" s="319" t="s">
        <v>190</v>
      </c>
      <c r="EB342" s="319" t="s">
        <v>190</v>
      </c>
      <c r="EC342" s="319" t="s">
        <v>428</v>
      </c>
      <c r="ED342" s="319" t="s">
        <v>190</v>
      </c>
      <c r="EE342" s="319" t="s">
        <v>190</v>
      </c>
      <c r="EF342" s="319" t="s">
        <v>190</v>
      </c>
      <c r="EG342" s="319" t="s">
        <v>190</v>
      </c>
      <c r="EH342" s="319" t="s">
        <v>190</v>
      </c>
      <c r="EI342" s="319" t="s">
        <v>190</v>
      </c>
      <c r="EJ342" s="319" t="s">
        <v>190</v>
      </c>
      <c r="EK342" s="319" t="s">
        <v>190</v>
      </c>
      <c r="EL342" s="319" t="s">
        <v>190</v>
      </c>
      <c r="EM342" s="319" t="s">
        <v>190</v>
      </c>
      <c r="EN342" s="319" t="s">
        <v>190</v>
      </c>
      <c r="EO342" s="319" t="s">
        <v>190</v>
      </c>
      <c r="EP342" s="319" t="s">
        <v>190</v>
      </c>
      <c r="EQ342" s="319" t="s">
        <v>190</v>
      </c>
      <c r="ER342" s="319" t="s">
        <v>190</v>
      </c>
      <c r="ES342" s="319" t="s">
        <v>190</v>
      </c>
      <c r="ET342" s="319" t="s">
        <v>190</v>
      </c>
      <c r="EU342" s="319" t="s">
        <v>190</v>
      </c>
      <c r="EV342" s="319" t="s">
        <v>190</v>
      </c>
      <c r="EW342" s="319" t="s">
        <v>190</v>
      </c>
      <c r="EX342" s="319" t="s">
        <v>190</v>
      </c>
      <c r="EY342" s="319" t="s">
        <v>190</v>
      </c>
      <c r="EZ342" s="319" t="s">
        <v>190</v>
      </c>
      <c r="FA342" s="319" t="s">
        <v>190</v>
      </c>
      <c r="FB342" s="319" t="s">
        <v>190</v>
      </c>
      <c r="FC342" s="319" t="s">
        <v>190</v>
      </c>
      <c r="FD342" s="319" t="s">
        <v>190</v>
      </c>
      <c r="FE342" s="319" t="s">
        <v>190</v>
      </c>
      <c r="FF342" s="319" t="s">
        <v>190</v>
      </c>
      <c r="FG342" s="319" t="s">
        <v>190</v>
      </c>
      <c r="FH342" s="319" t="s">
        <v>190</v>
      </c>
      <c r="FI342" s="319" t="s">
        <v>190</v>
      </c>
      <c r="FJ342" s="319" t="s">
        <v>190</v>
      </c>
      <c r="FK342" s="319" t="s">
        <v>190</v>
      </c>
      <c r="FL342" s="319" t="s">
        <v>190</v>
      </c>
      <c r="FM342" s="319" t="s">
        <v>190</v>
      </c>
      <c r="FN342" s="319" t="s">
        <v>190</v>
      </c>
      <c r="FO342" s="319" t="s">
        <v>428</v>
      </c>
      <c r="FP342" s="319" t="s">
        <v>190</v>
      </c>
      <c r="FQ342" s="319" t="s">
        <v>190</v>
      </c>
      <c r="FR342" s="319" t="s">
        <v>190</v>
      </c>
      <c r="FS342" s="319" t="s">
        <v>428</v>
      </c>
      <c r="FT342" s="319" t="s">
        <v>190</v>
      </c>
      <c r="FU342" s="319" t="s">
        <v>190</v>
      </c>
      <c r="FV342" s="319" t="s">
        <v>190</v>
      </c>
      <c r="FW342" s="319" t="s">
        <v>190</v>
      </c>
      <c r="FX342" s="319" t="s">
        <v>190</v>
      </c>
      <c r="FY342" s="319" t="s">
        <v>190</v>
      </c>
      <c r="FZ342" s="319" t="s">
        <v>190</v>
      </c>
      <c r="GA342" s="319" t="s">
        <v>190</v>
      </c>
      <c r="GB342" s="319" t="s">
        <v>190</v>
      </c>
      <c r="GC342" s="319" t="s">
        <v>190</v>
      </c>
      <c r="GD342" s="319" t="s">
        <v>190</v>
      </c>
      <c r="GE342" s="319" t="s">
        <v>190</v>
      </c>
      <c r="GF342" s="319" t="s">
        <v>190</v>
      </c>
      <c r="GG342" s="319" t="s">
        <v>190</v>
      </c>
      <c r="GH342" s="319" t="s">
        <v>190</v>
      </c>
      <c r="GI342" s="319" t="s">
        <v>190</v>
      </c>
      <c r="GJ342" s="319" t="s">
        <v>190</v>
      </c>
      <c r="GK342" s="319" t="s">
        <v>428</v>
      </c>
      <c r="GL342" s="319" t="s">
        <v>190</v>
      </c>
      <c r="GM342" s="319" t="s">
        <v>190</v>
      </c>
      <c r="GN342" s="319" t="s">
        <v>190</v>
      </c>
      <c r="GO342" s="319" t="s">
        <v>190</v>
      </c>
      <c r="GP342" s="319" t="s">
        <v>190</v>
      </c>
      <c r="GQ342" s="319" t="s">
        <v>190</v>
      </c>
      <c r="GR342" s="319" t="s">
        <v>190</v>
      </c>
      <c r="GS342" s="319" t="s">
        <v>190</v>
      </c>
      <c r="GT342" s="319" t="s">
        <v>190</v>
      </c>
      <c r="GU342" s="319" t="s">
        <v>190</v>
      </c>
      <c r="GV342" s="319" t="s">
        <v>190</v>
      </c>
      <c r="GW342" s="319" t="s">
        <v>190</v>
      </c>
      <c r="GX342" s="319" t="s">
        <v>190</v>
      </c>
      <c r="GY342" s="319" t="s">
        <v>190</v>
      </c>
      <c r="GZ342" s="319" t="s">
        <v>190</v>
      </c>
      <c r="HA342" s="319" t="s">
        <v>428</v>
      </c>
      <c r="HB342" s="319" t="s">
        <v>428</v>
      </c>
      <c r="HC342" s="319" t="s">
        <v>190</v>
      </c>
      <c r="HD342" s="319" t="s">
        <v>190</v>
      </c>
      <c r="HE342" s="319" t="s">
        <v>190</v>
      </c>
      <c r="HF342" s="319" t="s">
        <v>190</v>
      </c>
      <c r="HG342" s="319" t="s">
        <v>190</v>
      </c>
      <c r="HH342" s="319" t="s">
        <v>190</v>
      </c>
      <c r="HI342" s="319" t="s">
        <v>428</v>
      </c>
      <c r="HJ342" s="319" t="s">
        <v>190</v>
      </c>
      <c r="HK342" s="319" t="s">
        <v>190</v>
      </c>
      <c r="HL342" s="319" t="s">
        <v>428</v>
      </c>
      <c r="HM342" s="319" t="s">
        <v>428</v>
      </c>
      <c r="HN342" s="319" t="s">
        <v>428</v>
      </c>
      <c r="HO342" s="319" t="s">
        <v>428</v>
      </c>
      <c r="HP342" s="319" t="s">
        <v>190</v>
      </c>
      <c r="HQ342" s="319" t="s">
        <v>190</v>
      </c>
      <c r="HR342" s="319" t="s">
        <v>190</v>
      </c>
      <c r="HS342" s="319" t="s">
        <v>190</v>
      </c>
      <c r="HT342" s="319" t="s">
        <v>190</v>
      </c>
      <c r="HU342" s="319" t="s">
        <v>190</v>
      </c>
      <c r="HV342" s="319" t="s">
        <v>190</v>
      </c>
      <c r="HW342" s="319" t="s">
        <v>190</v>
      </c>
      <c r="HX342" s="319" t="s">
        <v>190</v>
      </c>
      <c r="HY342" s="319" t="s">
        <v>190</v>
      </c>
      <c r="HZ342" s="319" t="s">
        <v>190</v>
      </c>
      <c r="IA342" s="319" t="s">
        <v>190</v>
      </c>
      <c r="IB342" s="319" t="s">
        <v>190</v>
      </c>
      <c r="IC342" s="319" t="s">
        <v>190</v>
      </c>
      <c r="ID342" s="319" t="s">
        <v>190</v>
      </c>
      <c r="IE342" s="319" t="s">
        <v>190</v>
      </c>
      <c r="IF342" s="319" t="s">
        <v>190</v>
      </c>
      <c r="IG342" s="319" t="s">
        <v>190</v>
      </c>
      <c r="IH342" s="319" t="s">
        <v>190</v>
      </c>
      <c r="II342" s="319" t="s">
        <v>190</v>
      </c>
      <c r="IJ342" s="319">
        <v>10008522</v>
      </c>
      <c r="IK342" s="321">
        <v>42389</v>
      </c>
      <c r="IL342" s="321">
        <v>42391</v>
      </c>
      <c r="IM342" s="321">
        <v>42440</v>
      </c>
      <c r="IN342" s="319">
        <v>2</v>
      </c>
      <c r="IO342" s="319" t="s">
        <v>173</v>
      </c>
      <c r="IP342" s="319" t="s">
        <v>173</v>
      </c>
      <c r="IQ342" s="319" t="s">
        <v>173</v>
      </c>
      <c r="IR342" s="320" t="s">
        <v>173</v>
      </c>
      <c r="IS342" s="320" t="s">
        <v>173</v>
      </c>
      <c r="IT342" s="319" t="s">
        <v>173</v>
      </c>
    </row>
    <row r="343" spans="1:254" s="271" customFormat="1" x14ac:dyDescent="0.25">
      <c r="A343" s="318" t="str">
        <f>HYPERLINK("http://www.ofsted.gov.uk/inspection-reports/find-inspection-report/provider/ELS/131666 ","Ofsted School Webpage")</f>
        <v>Ofsted School Webpage</v>
      </c>
      <c r="B343" s="319">
        <v>131666</v>
      </c>
      <c r="C343" s="319">
        <v>8886037</v>
      </c>
      <c r="D343" s="319" t="s">
        <v>1680</v>
      </c>
      <c r="E343" s="319" t="s">
        <v>168</v>
      </c>
      <c r="F343" s="319" t="s">
        <v>81</v>
      </c>
      <c r="G343" s="319" t="s">
        <v>81</v>
      </c>
      <c r="H343" s="319" t="s">
        <v>81</v>
      </c>
      <c r="I343" s="319" t="s">
        <v>78</v>
      </c>
      <c r="J343" s="319" t="s">
        <v>424</v>
      </c>
      <c r="K343" s="319" t="s">
        <v>431</v>
      </c>
      <c r="L343" s="319" t="s">
        <v>431</v>
      </c>
      <c r="M343" s="319" t="s">
        <v>469</v>
      </c>
      <c r="N343" s="319" t="s">
        <v>2990</v>
      </c>
      <c r="O343" s="319" t="s">
        <v>752</v>
      </c>
      <c r="P343" s="319">
        <v>41</v>
      </c>
      <c r="Q343" s="319" t="s">
        <v>429</v>
      </c>
      <c r="R343" s="320">
        <v>10043373</v>
      </c>
      <c r="S343" s="321">
        <v>43158</v>
      </c>
      <c r="T343" s="321">
        <v>43160</v>
      </c>
      <c r="U343" s="321">
        <v>43213</v>
      </c>
      <c r="V343" s="319" t="s">
        <v>425</v>
      </c>
      <c r="W343" s="319" t="s">
        <v>2767</v>
      </c>
      <c r="X343" s="319">
        <v>1</v>
      </c>
      <c r="Y343" s="319" t="s">
        <v>173</v>
      </c>
      <c r="Z343" s="319" t="s">
        <v>173</v>
      </c>
      <c r="AA343" s="319" t="s">
        <v>173</v>
      </c>
      <c r="AB343" s="319">
        <v>1</v>
      </c>
      <c r="AC343" s="319" t="s">
        <v>169</v>
      </c>
      <c r="AD343" s="319" t="s">
        <v>173</v>
      </c>
      <c r="AE343" s="319" t="s">
        <v>173</v>
      </c>
      <c r="AF343" s="319" t="s">
        <v>427</v>
      </c>
      <c r="AG343" s="319" t="s">
        <v>171</v>
      </c>
      <c r="AH343" s="319" t="s">
        <v>190</v>
      </c>
      <c r="AI343" s="319" t="s">
        <v>190</v>
      </c>
      <c r="AJ343" s="319" t="s">
        <v>190</v>
      </c>
      <c r="AK343" s="319" t="s">
        <v>190</v>
      </c>
      <c r="AL343" s="319" t="s">
        <v>190</v>
      </c>
      <c r="AM343" s="319" t="s">
        <v>190</v>
      </c>
      <c r="AN343" s="319" t="s">
        <v>190</v>
      </c>
      <c r="AO343" s="319" t="s">
        <v>190</v>
      </c>
      <c r="AP343" s="319" t="s">
        <v>190</v>
      </c>
      <c r="AQ343" s="319" t="s">
        <v>190</v>
      </c>
      <c r="AR343" s="319" t="s">
        <v>190</v>
      </c>
      <c r="AS343" s="319" t="s">
        <v>190</v>
      </c>
      <c r="AT343" s="319" t="s">
        <v>190</v>
      </c>
      <c r="AU343" s="319" t="s">
        <v>190</v>
      </c>
      <c r="AV343" s="319" t="s">
        <v>190</v>
      </c>
      <c r="AW343" s="319" t="s">
        <v>190</v>
      </c>
      <c r="AX343" s="319" t="s">
        <v>428</v>
      </c>
      <c r="AY343" s="319" t="s">
        <v>190</v>
      </c>
      <c r="AZ343" s="319" t="s">
        <v>190</v>
      </c>
      <c r="BA343" s="319" t="s">
        <v>190</v>
      </c>
      <c r="BB343" s="319" t="s">
        <v>428</v>
      </c>
      <c r="BC343" s="319" t="s">
        <v>428</v>
      </c>
      <c r="BD343" s="319" t="s">
        <v>428</v>
      </c>
      <c r="BE343" s="319" t="s">
        <v>428</v>
      </c>
      <c r="BF343" s="319" t="s">
        <v>428</v>
      </c>
      <c r="BG343" s="319" t="s">
        <v>428</v>
      </c>
      <c r="BH343" s="319" t="s">
        <v>190</v>
      </c>
      <c r="BI343" s="319" t="s">
        <v>190</v>
      </c>
      <c r="BJ343" s="319" t="s">
        <v>190</v>
      </c>
      <c r="BK343" s="319" t="s">
        <v>190</v>
      </c>
      <c r="BL343" s="319" t="s">
        <v>190</v>
      </c>
      <c r="BM343" s="319" t="s">
        <v>190</v>
      </c>
      <c r="BN343" s="319" t="s">
        <v>190</v>
      </c>
      <c r="BO343" s="319" t="s">
        <v>190</v>
      </c>
      <c r="BP343" s="319" t="s">
        <v>190</v>
      </c>
      <c r="BQ343" s="319" t="s">
        <v>190</v>
      </c>
      <c r="BR343" s="319" t="s">
        <v>190</v>
      </c>
      <c r="BS343" s="319" t="s">
        <v>190</v>
      </c>
      <c r="BT343" s="319" t="s">
        <v>190</v>
      </c>
      <c r="BU343" s="319" t="s">
        <v>190</v>
      </c>
      <c r="BV343" s="319" t="s">
        <v>190</v>
      </c>
      <c r="BW343" s="319" t="s">
        <v>190</v>
      </c>
      <c r="BX343" s="319" t="s">
        <v>190</v>
      </c>
      <c r="BY343" s="319" t="s">
        <v>190</v>
      </c>
      <c r="BZ343" s="319" t="s">
        <v>190</v>
      </c>
      <c r="CA343" s="319" t="s">
        <v>190</v>
      </c>
      <c r="CB343" s="319" t="s">
        <v>190</v>
      </c>
      <c r="CC343" s="319" t="s">
        <v>190</v>
      </c>
      <c r="CD343" s="319" t="s">
        <v>190</v>
      </c>
      <c r="CE343" s="319" t="s">
        <v>190</v>
      </c>
      <c r="CF343" s="319" t="s">
        <v>190</v>
      </c>
      <c r="CG343" s="319" t="s">
        <v>190</v>
      </c>
      <c r="CH343" s="319" t="s">
        <v>190</v>
      </c>
      <c r="CI343" s="319" t="s">
        <v>190</v>
      </c>
      <c r="CJ343" s="319" t="s">
        <v>190</v>
      </c>
      <c r="CK343" s="319" t="s">
        <v>190</v>
      </c>
      <c r="CL343" s="319" t="s">
        <v>190</v>
      </c>
      <c r="CM343" s="319" t="s">
        <v>190</v>
      </c>
      <c r="CN343" s="319" t="s">
        <v>190</v>
      </c>
      <c r="CO343" s="319" t="s">
        <v>428</v>
      </c>
      <c r="CP343" s="319" t="s">
        <v>428</v>
      </c>
      <c r="CQ343" s="319" t="s">
        <v>190</v>
      </c>
      <c r="CR343" s="319" t="s">
        <v>190</v>
      </c>
      <c r="CS343" s="319" t="s">
        <v>190</v>
      </c>
      <c r="CT343" s="319" t="s">
        <v>190</v>
      </c>
      <c r="CU343" s="319" t="s">
        <v>190</v>
      </c>
      <c r="CV343" s="319" t="s">
        <v>190</v>
      </c>
      <c r="CW343" s="319" t="s">
        <v>190</v>
      </c>
      <c r="CX343" s="319" t="s">
        <v>190</v>
      </c>
      <c r="CY343" s="319" t="s">
        <v>190</v>
      </c>
      <c r="CZ343" s="319" t="s">
        <v>190</v>
      </c>
      <c r="DA343" s="319" t="s">
        <v>190</v>
      </c>
      <c r="DB343" s="319" t="s">
        <v>190</v>
      </c>
      <c r="DC343" s="319" t="s">
        <v>190</v>
      </c>
      <c r="DD343" s="319" t="s">
        <v>190</v>
      </c>
      <c r="DE343" s="319" t="s">
        <v>190</v>
      </c>
      <c r="DF343" s="319" t="s">
        <v>190</v>
      </c>
      <c r="DG343" s="319" t="s">
        <v>190</v>
      </c>
      <c r="DH343" s="319" t="s">
        <v>190</v>
      </c>
      <c r="DI343" s="319" t="s">
        <v>190</v>
      </c>
      <c r="DJ343" s="319" t="s">
        <v>190</v>
      </c>
      <c r="DK343" s="319" t="s">
        <v>190</v>
      </c>
      <c r="DL343" s="319" t="s">
        <v>190</v>
      </c>
      <c r="DM343" s="319" t="s">
        <v>190</v>
      </c>
      <c r="DN343" s="319" t="s">
        <v>190</v>
      </c>
      <c r="DO343" s="319" t="s">
        <v>190</v>
      </c>
      <c r="DP343" s="319" t="s">
        <v>190</v>
      </c>
      <c r="DQ343" s="319" t="s">
        <v>190</v>
      </c>
      <c r="DR343" s="319" t="s">
        <v>190</v>
      </c>
      <c r="DS343" s="319" t="s">
        <v>190</v>
      </c>
      <c r="DT343" s="319" t="s">
        <v>190</v>
      </c>
      <c r="DU343" s="319" t="s">
        <v>190</v>
      </c>
      <c r="DV343" s="319" t="s">
        <v>173</v>
      </c>
      <c r="DW343" s="319" t="s">
        <v>190</v>
      </c>
      <c r="DX343" s="319" t="s">
        <v>190</v>
      </c>
      <c r="DY343" s="319" t="s">
        <v>190</v>
      </c>
      <c r="DZ343" s="319" t="s">
        <v>190</v>
      </c>
      <c r="EA343" s="319" t="s">
        <v>190</v>
      </c>
      <c r="EB343" s="319" t="s">
        <v>190</v>
      </c>
      <c r="EC343" s="319" t="s">
        <v>190</v>
      </c>
      <c r="ED343" s="319" t="s">
        <v>190</v>
      </c>
      <c r="EE343" s="319" t="s">
        <v>190</v>
      </c>
      <c r="EF343" s="319" t="s">
        <v>190</v>
      </c>
      <c r="EG343" s="319" t="s">
        <v>190</v>
      </c>
      <c r="EH343" s="319" t="s">
        <v>190</v>
      </c>
      <c r="EI343" s="319" t="s">
        <v>190</v>
      </c>
      <c r="EJ343" s="319" t="s">
        <v>190</v>
      </c>
      <c r="EK343" s="319" t="s">
        <v>190</v>
      </c>
      <c r="EL343" s="319" t="s">
        <v>190</v>
      </c>
      <c r="EM343" s="319" t="s">
        <v>190</v>
      </c>
      <c r="EN343" s="319" t="s">
        <v>190</v>
      </c>
      <c r="EO343" s="319" t="s">
        <v>190</v>
      </c>
      <c r="EP343" s="319" t="s">
        <v>190</v>
      </c>
      <c r="EQ343" s="319" t="s">
        <v>190</v>
      </c>
      <c r="ER343" s="319" t="s">
        <v>190</v>
      </c>
      <c r="ES343" s="319" t="s">
        <v>190</v>
      </c>
      <c r="ET343" s="319" t="s">
        <v>190</v>
      </c>
      <c r="EU343" s="319" t="s">
        <v>190</v>
      </c>
      <c r="EV343" s="319" t="s">
        <v>190</v>
      </c>
      <c r="EW343" s="319" t="s">
        <v>190</v>
      </c>
      <c r="EX343" s="319" t="s">
        <v>190</v>
      </c>
      <c r="EY343" s="319" t="s">
        <v>190</v>
      </c>
      <c r="EZ343" s="319" t="s">
        <v>190</v>
      </c>
      <c r="FA343" s="319" t="s">
        <v>190</v>
      </c>
      <c r="FB343" s="319" t="s">
        <v>190</v>
      </c>
      <c r="FC343" s="319" t="s">
        <v>190</v>
      </c>
      <c r="FD343" s="319" t="s">
        <v>190</v>
      </c>
      <c r="FE343" s="319" t="s">
        <v>190</v>
      </c>
      <c r="FF343" s="319" t="s">
        <v>190</v>
      </c>
      <c r="FG343" s="319" t="s">
        <v>190</v>
      </c>
      <c r="FH343" s="319" t="s">
        <v>190</v>
      </c>
      <c r="FI343" s="319" t="s">
        <v>190</v>
      </c>
      <c r="FJ343" s="319" t="s">
        <v>190</v>
      </c>
      <c r="FK343" s="319" t="s">
        <v>190</v>
      </c>
      <c r="FL343" s="319" t="s">
        <v>190</v>
      </c>
      <c r="FM343" s="319" t="s">
        <v>190</v>
      </c>
      <c r="FN343" s="319" t="s">
        <v>190</v>
      </c>
      <c r="FO343" s="319" t="s">
        <v>190</v>
      </c>
      <c r="FP343" s="319" t="s">
        <v>190</v>
      </c>
      <c r="FQ343" s="319" t="s">
        <v>190</v>
      </c>
      <c r="FR343" s="319" t="s">
        <v>190</v>
      </c>
      <c r="FS343" s="319" t="s">
        <v>190</v>
      </c>
      <c r="FT343" s="319" t="s">
        <v>190</v>
      </c>
      <c r="FU343" s="319" t="s">
        <v>190</v>
      </c>
      <c r="FV343" s="319" t="s">
        <v>190</v>
      </c>
      <c r="FW343" s="319" t="s">
        <v>190</v>
      </c>
      <c r="FX343" s="319" t="s">
        <v>190</v>
      </c>
      <c r="FY343" s="319" t="s">
        <v>190</v>
      </c>
      <c r="FZ343" s="319" t="s">
        <v>190</v>
      </c>
      <c r="GA343" s="319" t="s">
        <v>190</v>
      </c>
      <c r="GB343" s="319" t="s">
        <v>190</v>
      </c>
      <c r="GC343" s="319" t="s">
        <v>190</v>
      </c>
      <c r="GD343" s="319" t="s">
        <v>190</v>
      </c>
      <c r="GE343" s="319" t="s">
        <v>190</v>
      </c>
      <c r="GF343" s="319" t="s">
        <v>190</v>
      </c>
      <c r="GG343" s="319" t="s">
        <v>190</v>
      </c>
      <c r="GH343" s="319" t="s">
        <v>190</v>
      </c>
      <c r="GI343" s="319" t="s">
        <v>190</v>
      </c>
      <c r="GJ343" s="319" t="s">
        <v>190</v>
      </c>
      <c r="GK343" s="319" t="s">
        <v>190</v>
      </c>
      <c r="GL343" s="319" t="s">
        <v>190</v>
      </c>
      <c r="GM343" s="319" t="s">
        <v>190</v>
      </c>
      <c r="GN343" s="319" t="s">
        <v>190</v>
      </c>
      <c r="GO343" s="319" t="s">
        <v>190</v>
      </c>
      <c r="GP343" s="319" t="s">
        <v>190</v>
      </c>
      <c r="GQ343" s="319" t="s">
        <v>190</v>
      </c>
      <c r="GR343" s="319" t="s">
        <v>190</v>
      </c>
      <c r="GS343" s="319" t="s">
        <v>190</v>
      </c>
      <c r="GT343" s="319" t="s">
        <v>190</v>
      </c>
      <c r="GU343" s="319" t="s">
        <v>190</v>
      </c>
      <c r="GV343" s="319" t="s">
        <v>190</v>
      </c>
      <c r="GW343" s="319" t="s">
        <v>190</v>
      </c>
      <c r="GX343" s="319" t="s">
        <v>190</v>
      </c>
      <c r="GY343" s="319" t="s">
        <v>190</v>
      </c>
      <c r="GZ343" s="319" t="s">
        <v>190</v>
      </c>
      <c r="HA343" s="319" t="s">
        <v>190</v>
      </c>
      <c r="HB343" s="319" t="s">
        <v>190</v>
      </c>
      <c r="HC343" s="319" t="s">
        <v>190</v>
      </c>
      <c r="HD343" s="319" t="s">
        <v>190</v>
      </c>
      <c r="HE343" s="319" t="s">
        <v>190</v>
      </c>
      <c r="HF343" s="319" t="s">
        <v>190</v>
      </c>
      <c r="HG343" s="319" t="s">
        <v>190</v>
      </c>
      <c r="HH343" s="319" t="s">
        <v>190</v>
      </c>
      <c r="HI343" s="319" t="s">
        <v>190</v>
      </c>
      <c r="HJ343" s="319" t="s">
        <v>190</v>
      </c>
      <c r="HK343" s="319" t="s">
        <v>190</v>
      </c>
      <c r="HL343" s="319" t="s">
        <v>190</v>
      </c>
      <c r="HM343" s="319" t="s">
        <v>190</v>
      </c>
      <c r="HN343" s="319" t="s">
        <v>190</v>
      </c>
      <c r="HO343" s="319" t="s">
        <v>190</v>
      </c>
      <c r="HP343" s="319" t="s">
        <v>190</v>
      </c>
      <c r="HQ343" s="319" t="s">
        <v>190</v>
      </c>
      <c r="HR343" s="319" t="s">
        <v>190</v>
      </c>
      <c r="HS343" s="319" t="s">
        <v>190</v>
      </c>
      <c r="HT343" s="319" t="s">
        <v>190</v>
      </c>
      <c r="HU343" s="319" t="s">
        <v>190</v>
      </c>
      <c r="HV343" s="319" t="s">
        <v>190</v>
      </c>
      <c r="HW343" s="319" t="s">
        <v>190</v>
      </c>
      <c r="HX343" s="319" t="s">
        <v>190</v>
      </c>
      <c r="HY343" s="319" t="s">
        <v>190</v>
      </c>
      <c r="HZ343" s="319" t="s">
        <v>190</v>
      </c>
      <c r="IA343" s="319" t="s">
        <v>190</v>
      </c>
      <c r="IB343" s="319" t="s">
        <v>190</v>
      </c>
      <c r="IC343" s="319" t="s">
        <v>190</v>
      </c>
      <c r="ID343" s="319" t="s">
        <v>190</v>
      </c>
      <c r="IE343" s="319" t="s">
        <v>190</v>
      </c>
      <c r="IF343" s="319" t="s">
        <v>190</v>
      </c>
      <c r="IG343" s="319" t="s">
        <v>190</v>
      </c>
      <c r="IH343" s="319" t="s">
        <v>190</v>
      </c>
      <c r="II343" s="319" t="s">
        <v>190</v>
      </c>
      <c r="IJ343" s="319" t="s">
        <v>3128</v>
      </c>
      <c r="IK343" s="321">
        <v>42122</v>
      </c>
      <c r="IL343" s="321">
        <v>42124</v>
      </c>
      <c r="IM343" s="321">
        <v>42157</v>
      </c>
      <c r="IN343" s="319">
        <v>1</v>
      </c>
      <c r="IO343" s="319" t="s">
        <v>173</v>
      </c>
      <c r="IP343" s="319" t="s">
        <v>173</v>
      </c>
      <c r="IQ343" s="319" t="s">
        <v>173</v>
      </c>
      <c r="IR343" s="320" t="s">
        <v>173</v>
      </c>
      <c r="IS343" s="320" t="s">
        <v>173</v>
      </c>
      <c r="IT343" s="319" t="s">
        <v>173</v>
      </c>
    </row>
    <row r="344" spans="1:254" s="271" customFormat="1" x14ac:dyDescent="0.25">
      <c r="A344" s="318" t="str">
        <f>HYPERLINK("http://www.ofsted.gov.uk/inspection-reports/find-inspection-report/provider/ELS/131687 ","Ofsted School Webpage")</f>
        <v>Ofsted School Webpage</v>
      </c>
      <c r="B344" s="319">
        <v>131687</v>
      </c>
      <c r="C344" s="319">
        <v>3306097</v>
      </c>
      <c r="D344" s="319" t="s">
        <v>1028</v>
      </c>
      <c r="E344" s="319" t="s">
        <v>167</v>
      </c>
      <c r="F344" s="319" t="s">
        <v>71</v>
      </c>
      <c r="G344" s="319" t="s">
        <v>72</v>
      </c>
      <c r="H344" s="319" t="s">
        <v>71</v>
      </c>
      <c r="I344" s="319" t="s">
        <v>72</v>
      </c>
      <c r="J344" s="319" t="s">
        <v>424</v>
      </c>
      <c r="K344" s="319" t="s">
        <v>437</v>
      </c>
      <c r="L344" s="319" t="s">
        <v>437</v>
      </c>
      <c r="M344" s="319" t="s">
        <v>813</v>
      </c>
      <c r="N344" s="319" t="s">
        <v>2859</v>
      </c>
      <c r="O344" s="319" t="s">
        <v>1029</v>
      </c>
      <c r="P344" s="319">
        <v>267</v>
      </c>
      <c r="Q344" s="319" t="s">
        <v>2766</v>
      </c>
      <c r="R344" s="320">
        <v>10033384</v>
      </c>
      <c r="S344" s="321">
        <v>42800</v>
      </c>
      <c r="T344" s="321">
        <v>42802</v>
      </c>
      <c r="U344" s="321">
        <v>42830</v>
      </c>
      <c r="V344" s="319" t="s">
        <v>425</v>
      </c>
      <c r="W344" s="319" t="s">
        <v>2767</v>
      </c>
      <c r="X344" s="319">
        <v>2</v>
      </c>
      <c r="Y344" s="319" t="s">
        <v>173</v>
      </c>
      <c r="Z344" s="319" t="s">
        <v>173</v>
      </c>
      <c r="AA344" s="319" t="s">
        <v>173</v>
      </c>
      <c r="AB344" s="319">
        <v>1</v>
      </c>
      <c r="AC344" s="319" t="s">
        <v>169</v>
      </c>
      <c r="AD344" s="319" t="s">
        <v>173</v>
      </c>
      <c r="AE344" s="319" t="s">
        <v>173</v>
      </c>
      <c r="AF344" s="319" t="s">
        <v>173</v>
      </c>
      <c r="AG344" s="319" t="s">
        <v>171</v>
      </c>
      <c r="AH344" s="319" t="s">
        <v>190</v>
      </c>
      <c r="AI344" s="319" t="s">
        <v>190</v>
      </c>
      <c r="AJ344" s="319" t="s">
        <v>190</v>
      </c>
      <c r="AK344" s="319" t="s">
        <v>190</v>
      </c>
      <c r="AL344" s="319" t="s">
        <v>190</v>
      </c>
      <c r="AM344" s="319" t="s">
        <v>190</v>
      </c>
      <c r="AN344" s="319" t="s">
        <v>190</v>
      </c>
      <c r="AO344" s="319" t="s">
        <v>190</v>
      </c>
      <c r="AP344" s="319" t="s">
        <v>190</v>
      </c>
      <c r="AQ344" s="319" t="s">
        <v>190</v>
      </c>
      <c r="AR344" s="319" t="s">
        <v>190</v>
      </c>
      <c r="AS344" s="319" t="s">
        <v>190</v>
      </c>
      <c r="AT344" s="319" t="s">
        <v>190</v>
      </c>
      <c r="AU344" s="319" t="s">
        <v>190</v>
      </c>
      <c r="AV344" s="319" t="s">
        <v>190</v>
      </c>
      <c r="AW344" s="319" t="s">
        <v>190</v>
      </c>
      <c r="AX344" s="319" t="s">
        <v>190</v>
      </c>
      <c r="AY344" s="319" t="s">
        <v>190</v>
      </c>
      <c r="AZ344" s="319" t="s">
        <v>190</v>
      </c>
      <c r="BA344" s="319" t="s">
        <v>190</v>
      </c>
      <c r="BB344" s="319" t="s">
        <v>190</v>
      </c>
      <c r="BC344" s="319" t="s">
        <v>190</v>
      </c>
      <c r="BD344" s="319" t="s">
        <v>190</v>
      </c>
      <c r="BE344" s="319" t="s">
        <v>190</v>
      </c>
      <c r="BF344" s="319" t="s">
        <v>429</v>
      </c>
      <c r="BG344" s="319" t="s">
        <v>190</v>
      </c>
      <c r="BH344" s="319" t="s">
        <v>190</v>
      </c>
      <c r="BI344" s="319" t="s">
        <v>190</v>
      </c>
      <c r="BJ344" s="319" t="s">
        <v>190</v>
      </c>
      <c r="BK344" s="319" t="s">
        <v>190</v>
      </c>
      <c r="BL344" s="319" t="s">
        <v>190</v>
      </c>
      <c r="BM344" s="319" t="s">
        <v>190</v>
      </c>
      <c r="BN344" s="319" t="s">
        <v>190</v>
      </c>
      <c r="BO344" s="319" t="s">
        <v>190</v>
      </c>
      <c r="BP344" s="319" t="s">
        <v>190</v>
      </c>
      <c r="BQ344" s="319" t="s">
        <v>190</v>
      </c>
      <c r="BR344" s="319" t="s">
        <v>190</v>
      </c>
      <c r="BS344" s="319" t="s">
        <v>190</v>
      </c>
      <c r="BT344" s="319" t="s">
        <v>190</v>
      </c>
      <c r="BU344" s="319" t="s">
        <v>190</v>
      </c>
      <c r="BV344" s="319" t="s">
        <v>190</v>
      </c>
      <c r="BW344" s="319" t="s">
        <v>190</v>
      </c>
      <c r="BX344" s="319" t="s">
        <v>190</v>
      </c>
      <c r="BY344" s="319" t="s">
        <v>190</v>
      </c>
      <c r="BZ344" s="319" t="s">
        <v>190</v>
      </c>
      <c r="CA344" s="319" t="s">
        <v>190</v>
      </c>
      <c r="CB344" s="319" t="s">
        <v>190</v>
      </c>
      <c r="CC344" s="319" t="s">
        <v>190</v>
      </c>
      <c r="CD344" s="319" t="s">
        <v>190</v>
      </c>
      <c r="CE344" s="319" t="s">
        <v>190</v>
      </c>
      <c r="CF344" s="319" t="s">
        <v>190</v>
      </c>
      <c r="CG344" s="319" t="s">
        <v>190</v>
      </c>
      <c r="CH344" s="319" t="s">
        <v>190</v>
      </c>
      <c r="CI344" s="319" t="s">
        <v>190</v>
      </c>
      <c r="CJ344" s="319" t="s">
        <v>190</v>
      </c>
      <c r="CK344" s="319" t="s">
        <v>190</v>
      </c>
      <c r="CL344" s="319" t="s">
        <v>190</v>
      </c>
      <c r="CM344" s="319" t="s">
        <v>190</v>
      </c>
      <c r="CN344" s="319" t="s">
        <v>429</v>
      </c>
      <c r="CO344" s="319" t="s">
        <v>429</v>
      </c>
      <c r="CP344" s="319" t="s">
        <v>429</v>
      </c>
      <c r="CQ344" s="319" t="s">
        <v>190</v>
      </c>
      <c r="CR344" s="319" t="s">
        <v>190</v>
      </c>
      <c r="CS344" s="319" t="s">
        <v>190</v>
      </c>
      <c r="CT344" s="319" t="s">
        <v>190</v>
      </c>
      <c r="CU344" s="319" t="s">
        <v>190</v>
      </c>
      <c r="CV344" s="319" t="s">
        <v>190</v>
      </c>
      <c r="CW344" s="319" t="s">
        <v>190</v>
      </c>
      <c r="CX344" s="319" t="s">
        <v>190</v>
      </c>
      <c r="CY344" s="319" t="s">
        <v>190</v>
      </c>
      <c r="CZ344" s="319" t="s">
        <v>190</v>
      </c>
      <c r="DA344" s="319" t="s">
        <v>190</v>
      </c>
      <c r="DB344" s="319" t="s">
        <v>190</v>
      </c>
      <c r="DC344" s="319" t="s">
        <v>190</v>
      </c>
      <c r="DD344" s="319" t="s">
        <v>190</v>
      </c>
      <c r="DE344" s="319" t="s">
        <v>190</v>
      </c>
      <c r="DF344" s="319" t="s">
        <v>190</v>
      </c>
      <c r="DG344" s="319" t="s">
        <v>190</v>
      </c>
      <c r="DH344" s="319" t="s">
        <v>190</v>
      </c>
      <c r="DI344" s="319" t="s">
        <v>190</v>
      </c>
      <c r="DJ344" s="319" t="s">
        <v>190</v>
      </c>
      <c r="DK344" s="319" t="s">
        <v>190</v>
      </c>
      <c r="DL344" s="319" t="s">
        <v>190</v>
      </c>
      <c r="DM344" s="319" t="s">
        <v>190</v>
      </c>
      <c r="DN344" s="319" t="s">
        <v>190</v>
      </c>
      <c r="DO344" s="319" t="s">
        <v>190</v>
      </c>
      <c r="DP344" s="319" t="s">
        <v>429</v>
      </c>
      <c r="DQ344" s="319" t="s">
        <v>429</v>
      </c>
      <c r="DR344" s="319" t="s">
        <v>429</v>
      </c>
      <c r="DS344" s="319" t="s">
        <v>429</v>
      </c>
      <c r="DT344" s="319" t="s">
        <v>429</v>
      </c>
      <c r="DU344" s="319" t="s">
        <v>429</v>
      </c>
      <c r="DV344" s="319" t="s">
        <v>173</v>
      </c>
      <c r="DW344" s="319" t="s">
        <v>429</v>
      </c>
      <c r="DX344" s="319" t="s">
        <v>429</v>
      </c>
      <c r="DY344" s="319" t="s">
        <v>429</v>
      </c>
      <c r="DZ344" s="319" t="s">
        <v>429</v>
      </c>
      <c r="EA344" s="319" t="s">
        <v>429</v>
      </c>
      <c r="EB344" s="319" t="s">
        <v>429</v>
      </c>
      <c r="EC344" s="319" t="s">
        <v>429</v>
      </c>
      <c r="ED344" s="319" t="s">
        <v>429</v>
      </c>
      <c r="EE344" s="319" t="s">
        <v>190</v>
      </c>
      <c r="EF344" s="319" t="s">
        <v>190</v>
      </c>
      <c r="EG344" s="319" t="s">
        <v>190</v>
      </c>
      <c r="EH344" s="319" t="s">
        <v>190</v>
      </c>
      <c r="EI344" s="319" t="s">
        <v>190</v>
      </c>
      <c r="EJ344" s="319" t="s">
        <v>190</v>
      </c>
      <c r="EK344" s="319" t="s">
        <v>190</v>
      </c>
      <c r="EL344" s="319" t="s">
        <v>190</v>
      </c>
      <c r="EM344" s="319" t="s">
        <v>190</v>
      </c>
      <c r="EN344" s="319" t="s">
        <v>190</v>
      </c>
      <c r="EO344" s="319" t="s">
        <v>190</v>
      </c>
      <c r="EP344" s="319" t="s">
        <v>190</v>
      </c>
      <c r="EQ344" s="319" t="s">
        <v>190</v>
      </c>
      <c r="ER344" s="319" t="s">
        <v>190</v>
      </c>
      <c r="ES344" s="319" t="s">
        <v>190</v>
      </c>
      <c r="ET344" s="319" t="s">
        <v>190</v>
      </c>
      <c r="EU344" s="319" t="s">
        <v>190</v>
      </c>
      <c r="EV344" s="319" t="s">
        <v>190</v>
      </c>
      <c r="EW344" s="319" t="s">
        <v>190</v>
      </c>
      <c r="EX344" s="319" t="s">
        <v>190</v>
      </c>
      <c r="EY344" s="319" t="s">
        <v>190</v>
      </c>
      <c r="EZ344" s="319" t="s">
        <v>190</v>
      </c>
      <c r="FA344" s="319" t="s">
        <v>190</v>
      </c>
      <c r="FB344" s="319" t="s">
        <v>429</v>
      </c>
      <c r="FC344" s="319" t="s">
        <v>429</v>
      </c>
      <c r="FD344" s="319" t="s">
        <v>429</v>
      </c>
      <c r="FE344" s="319" t="s">
        <v>429</v>
      </c>
      <c r="FF344" s="319" t="s">
        <v>429</v>
      </c>
      <c r="FG344" s="319" t="s">
        <v>429</v>
      </c>
      <c r="FH344" s="319" t="s">
        <v>190</v>
      </c>
      <c r="FI344" s="319" t="s">
        <v>190</v>
      </c>
      <c r="FJ344" s="319" t="s">
        <v>190</v>
      </c>
      <c r="FK344" s="319" t="s">
        <v>190</v>
      </c>
      <c r="FL344" s="319" t="s">
        <v>190</v>
      </c>
      <c r="FM344" s="319" t="s">
        <v>190</v>
      </c>
      <c r="FN344" s="319" t="s">
        <v>190</v>
      </c>
      <c r="FO344" s="319" t="s">
        <v>190</v>
      </c>
      <c r="FP344" s="319" t="s">
        <v>190</v>
      </c>
      <c r="FQ344" s="319" t="s">
        <v>190</v>
      </c>
      <c r="FR344" s="319" t="s">
        <v>190</v>
      </c>
      <c r="FS344" s="319" t="s">
        <v>190</v>
      </c>
      <c r="FT344" s="319" t="s">
        <v>190</v>
      </c>
      <c r="FU344" s="319" t="s">
        <v>190</v>
      </c>
      <c r="FV344" s="319" t="s">
        <v>190</v>
      </c>
      <c r="FW344" s="319" t="s">
        <v>190</v>
      </c>
      <c r="FX344" s="319" t="s">
        <v>190</v>
      </c>
      <c r="FY344" s="319" t="s">
        <v>190</v>
      </c>
      <c r="FZ344" s="319" t="s">
        <v>190</v>
      </c>
      <c r="GA344" s="319" t="s">
        <v>190</v>
      </c>
      <c r="GB344" s="319" t="s">
        <v>190</v>
      </c>
      <c r="GC344" s="319" t="s">
        <v>190</v>
      </c>
      <c r="GD344" s="319" t="s">
        <v>190</v>
      </c>
      <c r="GE344" s="319" t="s">
        <v>190</v>
      </c>
      <c r="GF344" s="319" t="s">
        <v>190</v>
      </c>
      <c r="GG344" s="319" t="s">
        <v>190</v>
      </c>
      <c r="GH344" s="319" t="s">
        <v>190</v>
      </c>
      <c r="GI344" s="319" t="s">
        <v>190</v>
      </c>
      <c r="GJ344" s="319" t="s">
        <v>190</v>
      </c>
      <c r="GK344" s="319" t="s">
        <v>429</v>
      </c>
      <c r="GL344" s="319" t="s">
        <v>190</v>
      </c>
      <c r="GM344" s="319" t="s">
        <v>190</v>
      </c>
      <c r="GN344" s="319" t="s">
        <v>190</v>
      </c>
      <c r="GO344" s="319" t="s">
        <v>190</v>
      </c>
      <c r="GP344" s="319" t="s">
        <v>190</v>
      </c>
      <c r="GQ344" s="319" t="s">
        <v>190</v>
      </c>
      <c r="GR344" s="319" t="s">
        <v>190</v>
      </c>
      <c r="GS344" s="319" t="s">
        <v>190</v>
      </c>
      <c r="GT344" s="319" t="s">
        <v>190</v>
      </c>
      <c r="GU344" s="319" t="s">
        <v>190</v>
      </c>
      <c r="GV344" s="319" t="s">
        <v>190</v>
      </c>
      <c r="GW344" s="319" t="s">
        <v>190</v>
      </c>
      <c r="GX344" s="319" t="s">
        <v>190</v>
      </c>
      <c r="GY344" s="319" t="s">
        <v>190</v>
      </c>
      <c r="GZ344" s="319" t="s">
        <v>190</v>
      </c>
      <c r="HA344" s="319" t="s">
        <v>429</v>
      </c>
      <c r="HB344" s="319" t="s">
        <v>429</v>
      </c>
      <c r="HC344" s="319" t="s">
        <v>190</v>
      </c>
      <c r="HD344" s="319" t="s">
        <v>190</v>
      </c>
      <c r="HE344" s="319" t="s">
        <v>190</v>
      </c>
      <c r="HF344" s="319" t="s">
        <v>190</v>
      </c>
      <c r="HG344" s="319" t="s">
        <v>190</v>
      </c>
      <c r="HH344" s="319" t="s">
        <v>190</v>
      </c>
      <c r="HI344" s="319" t="s">
        <v>190</v>
      </c>
      <c r="HJ344" s="319" t="s">
        <v>190</v>
      </c>
      <c r="HK344" s="319" t="s">
        <v>190</v>
      </c>
      <c r="HL344" s="319" t="s">
        <v>190</v>
      </c>
      <c r="HM344" s="319" t="s">
        <v>429</v>
      </c>
      <c r="HN344" s="319" t="s">
        <v>429</v>
      </c>
      <c r="HO344" s="319" t="s">
        <v>429</v>
      </c>
      <c r="HP344" s="319" t="s">
        <v>190</v>
      </c>
      <c r="HQ344" s="319" t="s">
        <v>190</v>
      </c>
      <c r="HR344" s="319" t="s">
        <v>190</v>
      </c>
      <c r="HS344" s="319" t="s">
        <v>190</v>
      </c>
      <c r="HT344" s="319" t="s">
        <v>190</v>
      </c>
      <c r="HU344" s="319" t="s">
        <v>190</v>
      </c>
      <c r="HV344" s="319" t="s">
        <v>190</v>
      </c>
      <c r="HW344" s="319" t="s">
        <v>190</v>
      </c>
      <c r="HX344" s="319" t="s">
        <v>190</v>
      </c>
      <c r="HY344" s="319" t="s">
        <v>190</v>
      </c>
      <c r="HZ344" s="319" t="s">
        <v>190</v>
      </c>
      <c r="IA344" s="319" t="s">
        <v>190</v>
      </c>
      <c r="IB344" s="319" t="s">
        <v>190</v>
      </c>
      <c r="IC344" s="319" t="s">
        <v>190</v>
      </c>
      <c r="ID344" s="319" t="s">
        <v>190</v>
      </c>
      <c r="IE344" s="319" t="s">
        <v>190</v>
      </c>
      <c r="IF344" s="319" t="s">
        <v>190</v>
      </c>
      <c r="IG344" s="319" t="s">
        <v>190</v>
      </c>
      <c r="IH344" s="319" t="s">
        <v>190</v>
      </c>
      <c r="II344" s="319" t="s">
        <v>190</v>
      </c>
      <c r="IJ344" s="319" t="s">
        <v>3129</v>
      </c>
      <c r="IK344" s="321">
        <v>40316</v>
      </c>
      <c r="IL344" s="321">
        <v>40317</v>
      </c>
      <c r="IM344" s="321">
        <v>40343</v>
      </c>
      <c r="IN344" s="319">
        <v>2</v>
      </c>
      <c r="IO344" s="319" t="s">
        <v>173</v>
      </c>
      <c r="IP344" s="319" t="s">
        <v>173</v>
      </c>
      <c r="IQ344" s="321" t="s">
        <v>173</v>
      </c>
      <c r="IR344" s="320" t="s">
        <v>173</v>
      </c>
      <c r="IS344" s="322" t="s">
        <v>173</v>
      </c>
      <c r="IT344" s="319" t="s">
        <v>173</v>
      </c>
    </row>
    <row r="345" spans="1:254" s="271" customFormat="1" x14ac:dyDescent="0.25">
      <c r="A345" s="318" t="str">
        <f>HYPERLINK("http://www.ofsted.gov.uk/inspection-reports/find-inspection-report/provider/ELS/131715 ","Ofsted School Webpage")</f>
        <v>Ofsted School Webpage</v>
      </c>
      <c r="B345" s="319">
        <v>131715</v>
      </c>
      <c r="C345" s="319">
        <v>8786060</v>
      </c>
      <c r="D345" s="319" t="s">
        <v>3130</v>
      </c>
      <c r="E345" s="319" t="s">
        <v>168</v>
      </c>
      <c r="F345" s="319" t="s">
        <v>81</v>
      </c>
      <c r="G345" s="319" t="s">
        <v>81</v>
      </c>
      <c r="H345" s="319" t="s">
        <v>81</v>
      </c>
      <c r="I345" s="319" t="s">
        <v>78</v>
      </c>
      <c r="J345" s="319" t="s">
        <v>424</v>
      </c>
      <c r="K345" s="319" t="s">
        <v>422</v>
      </c>
      <c r="L345" s="319" t="s">
        <v>422</v>
      </c>
      <c r="M345" s="319" t="s">
        <v>663</v>
      </c>
      <c r="N345" s="319" t="s">
        <v>2926</v>
      </c>
      <c r="O345" s="319" t="s">
        <v>1681</v>
      </c>
      <c r="P345" s="319">
        <v>47</v>
      </c>
      <c r="Q345" s="319" t="s">
        <v>429</v>
      </c>
      <c r="R345" s="320">
        <v>10047183</v>
      </c>
      <c r="S345" s="321">
        <v>43284</v>
      </c>
      <c r="T345" s="321">
        <v>43286</v>
      </c>
      <c r="U345" s="321">
        <v>43346</v>
      </c>
      <c r="V345" s="319" t="s">
        <v>425</v>
      </c>
      <c r="W345" s="319" t="s">
        <v>2767</v>
      </c>
      <c r="X345" s="319">
        <v>2</v>
      </c>
      <c r="Y345" s="319" t="s">
        <v>173</v>
      </c>
      <c r="Z345" s="319" t="s">
        <v>173</v>
      </c>
      <c r="AA345" s="319" t="s">
        <v>173</v>
      </c>
      <c r="AB345" s="319">
        <v>2</v>
      </c>
      <c r="AC345" s="319" t="s">
        <v>169</v>
      </c>
      <c r="AD345" s="319" t="s">
        <v>173</v>
      </c>
      <c r="AE345" s="319">
        <v>2</v>
      </c>
      <c r="AF345" s="319" t="s">
        <v>427</v>
      </c>
      <c r="AG345" s="319" t="s">
        <v>171</v>
      </c>
      <c r="AH345" s="319" t="s">
        <v>190</v>
      </c>
      <c r="AI345" s="319" t="s">
        <v>190</v>
      </c>
      <c r="AJ345" s="319" t="s">
        <v>190</v>
      </c>
      <c r="AK345" s="319" t="s">
        <v>190</v>
      </c>
      <c r="AL345" s="319" t="s">
        <v>190</v>
      </c>
      <c r="AM345" s="319" t="s">
        <v>190</v>
      </c>
      <c r="AN345" s="319" t="s">
        <v>190</v>
      </c>
      <c r="AO345" s="319" t="s">
        <v>190</v>
      </c>
      <c r="AP345" s="319" t="s">
        <v>190</v>
      </c>
      <c r="AQ345" s="319" t="s">
        <v>190</v>
      </c>
      <c r="AR345" s="319" t="s">
        <v>190</v>
      </c>
      <c r="AS345" s="319" t="s">
        <v>190</v>
      </c>
      <c r="AT345" s="319" t="s">
        <v>190</v>
      </c>
      <c r="AU345" s="319" t="s">
        <v>190</v>
      </c>
      <c r="AV345" s="319" t="s">
        <v>190</v>
      </c>
      <c r="AW345" s="319" t="s">
        <v>190</v>
      </c>
      <c r="AX345" s="319" t="s">
        <v>428</v>
      </c>
      <c r="AY345" s="319" t="s">
        <v>190</v>
      </c>
      <c r="AZ345" s="319" t="s">
        <v>190</v>
      </c>
      <c r="BA345" s="319" t="s">
        <v>190</v>
      </c>
      <c r="BB345" s="319" t="s">
        <v>190</v>
      </c>
      <c r="BC345" s="319" t="s">
        <v>190</v>
      </c>
      <c r="BD345" s="319" t="s">
        <v>190</v>
      </c>
      <c r="BE345" s="319" t="s">
        <v>190</v>
      </c>
      <c r="BF345" s="319" t="s">
        <v>428</v>
      </c>
      <c r="BG345" s="319" t="s">
        <v>190</v>
      </c>
      <c r="BH345" s="319" t="s">
        <v>190</v>
      </c>
      <c r="BI345" s="319" t="s">
        <v>190</v>
      </c>
      <c r="BJ345" s="319" t="s">
        <v>190</v>
      </c>
      <c r="BK345" s="319" t="s">
        <v>190</v>
      </c>
      <c r="BL345" s="319" t="s">
        <v>190</v>
      </c>
      <c r="BM345" s="319" t="s">
        <v>190</v>
      </c>
      <c r="BN345" s="319" t="s">
        <v>190</v>
      </c>
      <c r="BO345" s="319" t="s">
        <v>190</v>
      </c>
      <c r="BP345" s="319" t="s">
        <v>190</v>
      </c>
      <c r="BQ345" s="319" t="s">
        <v>190</v>
      </c>
      <c r="BR345" s="319" t="s">
        <v>190</v>
      </c>
      <c r="BS345" s="319" t="s">
        <v>190</v>
      </c>
      <c r="BT345" s="319" t="s">
        <v>190</v>
      </c>
      <c r="BU345" s="319" t="s">
        <v>190</v>
      </c>
      <c r="BV345" s="319" t="s">
        <v>190</v>
      </c>
      <c r="BW345" s="319" t="s">
        <v>190</v>
      </c>
      <c r="BX345" s="319" t="s">
        <v>190</v>
      </c>
      <c r="BY345" s="319" t="s">
        <v>190</v>
      </c>
      <c r="BZ345" s="319" t="s">
        <v>190</v>
      </c>
      <c r="CA345" s="319" t="s">
        <v>190</v>
      </c>
      <c r="CB345" s="319" t="s">
        <v>190</v>
      </c>
      <c r="CC345" s="319" t="s">
        <v>190</v>
      </c>
      <c r="CD345" s="319" t="s">
        <v>190</v>
      </c>
      <c r="CE345" s="319" t="s">
        <v>190</v>
      </c>
      <c r="CF345" s="319" t="s">
        <v>190</v>
      </c>
      <c r="CG345" s="319" t="s">
        <v>190</v>
      </c>
      <c r="CH345" s="319" t="s">
        <v>190</v>
      </c>
      <c r="CI345" s="319" t="s">
        <v>190</v>
      </c>
      <c r="CJ345" s="319" t="s">
        <v>190</v>
      </c>
      <c r="CK345" s="319" t="s">
        <v>190</v>
      </c>
      <c r="CL345" s="319" t="s">
        <v>190</v>
      </c>
      <c r="CM345" s="319" t="s">
        <v>190</v>
      </c>
      <c r="CN345" s="319" t="s">
        <v>428</v>
      </c>
      <c r="CO345" s="319" t="s">
        <v>428</v>
      </c>
      <c r="CP345" s="319" t="s">
        <v>428</v>
      </c>
      <c r="CQ345" s="319" t="s">
        <v>190</v>
      </c>
      <c r="CR345" s="319" t="s">
        <v>190</v>
      </c>
      <c r="CS345" s="319" t="s">
        <v>190</v>
      </c>
      <c r="CT345" s="319" t="s">
        <v>190</v>
      </c>
      <c r="CU345" s="319" t="s">
        <v>190</v>
      </c>
      <c r="CV345" s="319" t="s">
        <v>190</v>
      </c>
      <c r="CW345" s="319" t="s">
        <v>190</v>
      </c>
      <c r="CX345" s="319" t="s">
        <v>190</v>
      </c>
      <c r="CY345" s="319" t="s">
        <v>190</v>
      </c>
      <c r="CZ345" s="319" t="s">
        <v>190</v>
      </c>
      <c r="DA345" s="319" t="s">
        <v>190</v>
      </c>
      <c r="DB345" s="319" t="s">
        <v>190</v>
      </c>
      <c r="DC345" s="319" t="s">
        <v>190</v>
      </c>
      <c r="DD345" s="319" t="s">
        <v>190</v>
      </c>
      <c r="DE345" s="319" t="s">
        <v>190</v>
      </c>
      <c r="DF345" s="319" t="s">
        <v>190</v>
      </c>
      <c r="DG345" s="319" t="s">
        <v>190</v>
      </c>
      <c r="DH345" s="319" t="s">
        <v>190</v>
      </c>
      <c r="DI345" s="319" t="s">
        <v>190</v>
      </c>
      <c r="DJ345" s="319" t="s">
        <v>190</v>
      </c>
      <c r="DK345" s="319" t="s">
        <v>190</v>
      </c>
      <c r="DL345" s="319" t="s">
        <v>190</v>
      </c>
      <c r="DM345" s="319" t="s">
        <v>190</v>
      </c>
      <c r="DN345" s="319" t="s">
        <v>428</v>
      </c>
      <c r="DO345" s="319" t="s">
        <v>190</v>
      </c>
      <c r="DP345" s="319" t="s">
        <v>190</v>
      </c>
      <c r="DQ345" s="319" t="s">
        <v>190</v>
      </c>
      <c r="DR345" s="319" t="s">
        <v>190</v>
      </c>
      <c r="DS345" s="319" t="s">
        <v>190</v>
      </c>
      <c r="DT345" s="319" t="s">
        <v>190</v>
      </c>
      <c r="DU345" s="319" t="s">
        <v>190</v>
      </c>
      <c r="DV345" s="319" t="s">
        <v>173</v>
      </c>
      <c r="DW345" s="319" t="s">
        <v>190</v>
      </c>
      <c r="DX345" s="319" t="s">
        <v>190</v>
      </c>
      <c r="DY345" s="319" t="s">
        <v>190</v>
      </c>
      <c r="DZ345" s="319" t="s">
        <v>190</v>
      </c>
      <c r="EA345" s="319" t="s">
        <v>190</v>
      </c>
      <c r="EB345" s="319" t="s">
        <v>190</v>
      </c>
      <c r="EC345" s="319" t="s">
        <v>428</v>
      </c>
      <c r="ED345" s="319" t="s">
        <v>190</v>
      </c>
      <c r="EE345" s="319" t="s">
        <v>190</v>
      </c>
      <c r="EF345" s="319" t="s">
        <v>190</v>
      </c>
      <c r="EG345" s="319" t="s">
        <v>190</v>
      </c>
      <c r="EH345" s="319" t="s">
        <v>190</v>
      </c>
      <c r="EI345" s="319" t="s">
        <v>190</v>
      </c>
      <c r="EJ345" s="319" t="s">
        <v>190</v>
      </c>
      <c r="EK345" s="319" t="s">
        <v>190</v>
      </c>
      <c r="EL345" s="319" t="s">
        <v>190</v>
      </c>
      <c r="EM345" s="319" t="s">
        <v>428</v>
      </c>
      <c r="EN345" s="319" t="s">
        <v>190</v>
      </c>
      <c r="EO345" s="319" t="s">
        <v>190</v>
      </c>
      <c r="EP345" s="319" t="s">
        <v>190</v>
      </c>
      <c r="EQ345" s="319" t="s">
        <v>190</v>
      </c>
      <c r="ER345" s="319" t="s">
        <v>190</v>
      </c>
      <c r="ES345" s="319" t="s">
        <v>190</v>
      </c>
      <c r="ET345" s="319" t="s">
        <v>190</v>
      </c>
      <c r="EU345" s="319" t="s">
        <v>190</v>
      </c>
      <c r="EV345" s="319" t="s">
        <v>190</v>
      </c>
      <c r="EW345" s="319" t="s">
        <v>190</v>
      </c>
      <c r="EX345" s="319" t="s">
        <v>190</v>
      </c>
      <c r="EY345" s="319" t="s">
        <v>190</v>
      </c>
      <c r="EZ345" s="319" t="s">
        <v>190</v>
      </c>
      <c r="FA345" s="319" t="s">
        <v>190</v>
      </c>
      <c r="FB345" s="319" t="s">
        <v>190</v>
      </c>
      <c r="FC345" s="319" t="s">
        <v>190</v>
      </c>
      <c r="FD345" s="319" t="s">
        <v>190</v>
      </c>
      <c r="FE345" s="319" t="s">
        <v>190</v>
      </c>
      <c r="FF345" s="319" t="s">
        <v>428</v>
      </c>
      <c r="FG345" s="319" t="s">
        <v>190</v>
      </c>
      <c r="FH345" s="319" t="s">
        <v>428</v>
      </c>
      <c r="FI345" s="319" t="s">
        <v>190</v>
      </c>
      <c r="FJ345" s="319" t="s">
        <v>190</v>
      </c>
      <c r="FK345" s="319" t="s">
        <v>190</v>
      </c>
      <c r="FL345" s="319" t="s">
        <v>190</v>
      </c>
      <c r="FM345" s="319" t="s">
        <v>190</v>
      </c>
      <c r="FN345" s="319" t="s">
        <v>190</v>
      </c>
      <c r="FO345" s="319" t="s">
        <v>190</v>
      </c>
      <c r="FP345" s="319" t="s">
        <v>190</v>
      </c>
      <c r="FQ345" s="319" t="s">
        <v>190</v>
      </c>
      <c r="FR345" s="319" t="s">
        <v>190</v>
      </c>
      <c r="FS345" s="319" t="s">
        <v>190</v>
      </c>
      <c r="FT345" s="319" t="s">
        <v>190</v>
      </c>
      <c r="FU345" s="319" t="s">
        <v>190</v>
      </c>
      <c r="FV345" s="319" t="s">
        <v>190</v>
      </c>
      <c r="FW345" s="319" t="s">
        <v>190</v>
      </c>
      <c r="FX345" s="319" t="s">
        <v>190</v>
      </c>
      <c r="FY345" s="319" t="s">
        <v>190</v>
      </c>
      <c r="FZ345" s="319" t="s">
        <v>190</v>
      </c>
      <c r="GA345" s="319" t="s">
        <v>190</v>
      </c>
      <c r="GB345" s="319" t="s">
        <v>190</v>
      </c>
      <c r="GC345" s="319" t="s">
        <v>190</v>
      </c>
      <c r="GD345" s="319" t="s">
        <v>190</v>
      </c>
      <c r="GE345" s="319" t="s">
        <v>190</v>
      </c>
      <c r="GF345" s="319" t="s">
        <v>190</v>
      </c>
      <c r="GG345" s="319" t="s">
        <v>190</v>
      </c>
      <c r="GH345" s="319" t="s">
        <v>190</v>
      </c>
      <c r="GI345" s="319" t="s">
        <v>190</v>
      </c>
      <c r="GJ345" s="319" t="s">
        <v>190</v>
      </c>
      <c r="GK345" s="319" t="s">
        <v>428</v>
      </c>
      <c r="GL345" s="319" t="s">
        <v>190</v>
      </c>
      <c r="GM345" s="319" t="s">
        <v>190</v>
      </c>
      <c r="GN345" s="319" t="s">
        <v>190</v>
      </c>
      <c r="GO345" s="319" t="s">
        <v>190</v>
      </c>
      <c r="GP345" s="319" t="s">
        <v>190</v>
      </c>
      <c r="GQ345" s="319" t="s">
        <v>428</v>
      </c>
      <c r="GR345" s="319" t="s">
        <v>190</v>
      </c>
      <c r="GS345" s="319" t="s">
        <v>190</v>
      </c>
      <c r="GT345" s="319" t="s">
        <v>190</v>
      </c>
      <c r="GU345" s="319" t="s">
        <v>190</v>
      </c>
      <c r="GV345" s="319" t="s">
        <v>190</v>
      </c>
      <c r="GW345" s="319" t="s">
        <v>190</v>
      </c>
      <c r="GX345" s="319" t="s">
        <v>190</v>
      </c>
      <c r="GY345" s="319" t="s">
        <v>190</v>
      </c>
      <c r="GZ345" s="319" t="s">
        <v>428</v>
      </c>
      <c r="HA345" s="319" t="s">
        <v>190</v>
      </c>
      <c r="HB345" s="319" t="s">
        <v>428</v>
      </c>
      <c r="HC345" s="319" t="s">
        <v>190</v>
      </c>
      <c r="HD345" s="319" t="s">
        <v>190</v>
      </c>
      <c r="HE345" s="319" t="s">
        <v>190</v>
      </c>
      <c r="HF345" s="319" t="s">
        <v>190</v>
      </c>
      <c r="HG345" s="319" t="s">
        <v>190</v>
      </c>
      <c r="HH345" s="319" t="s">
        <v>190</v>
      </c>
      <c r="HI345" s="319" t="s">
        <v>190</v>
      </c>
      <c r="HJ345" s="319" t="s">
        <v>190</v>
      </c>
      <c r="HK345" s="319" t="s">
        <v>190</v>
      </c>
      <c r="HL345" s="319" t="s">
        <v>428</v>
      </c>
      <c r="HM345" s="319" t="s">
        <v>428</v>
      </c>
      <c r="HN345" s="319" t="s">
        <v>428</v>
      </c>
      <c r="HO345" s="319" t="s">
        <v>428</v>
      </c>
      <c r="HP345" s="319" t="s">
        <v>190</v>
      </c>
      <c r="HQ345" s="319" t="s">
        <v>190</v>
      </c>
      <c r="HR345" s="319" t="s">
        <v>190</v>
      </c>
      <c r="HS345" s="319" t="s">
        <v>190</v>
      </c>
      <c r="HT345" s="319" t="s">
        <v>190</v>
      </c>
      <c r="HU345" s="319" t="s">
        <v>190</v>
      </c>
      <c r="HV345" s="319" t="s">
        <v>190</v>
      </c>
      <c r="HW345" s="319" t="s">
        <v>190</v>
      </c>
      <c r="HX345" s="319" t="s">
        <v>190</v>
      </c>
      <c r="HY345" s="319" t="s">
        <v>190</v>
      </c>
      <c r="HZ345" s="319" t="s">
        <v>190</v>
      </c>
      <c r="IA345" s="319" t="s">
        <v>190</v>
      </c>
      <c r="IB345" s="319" t="s">
        <v>190</v>
      </c>
      <c r="IC345" s="319" t="s">
        <v>190</v>
      </c>
      <c r="ID345" s="319" t="s">
        <v>190</v>
      </c>
      <c r="IE345" s="319" t="s">
        <v>190</v>
      </c>
      <c r="IF345" s="319" t="s">
        <v>190</v>
      </c>
      <c r="IG345" s="319" t="s">
        <v>190</v>
      </c>
      <c r="IH345" s="319" t="s">
        <v>190</v>
      </c>
      <c r="II345" s="319" t="s">
        <v>190</v>
      </c>
      <c r="IJ345" s="319">
        <v>10012945</v>
      </c>
      <c r="IK345" s="321">
        <v>42507</v>
      </c>
      <c r="IL345" s="321">
        <v>42509</v>
      </c>
      <c r="IM345" s="321">
        <v>42542</v>
      </c>
      <c r="IN345" s="319">
        <v>3</v>
      </c>
      <c r="IO345" s="319" t="s">
        <v>173</v>
      </c>
      <c r="IP345" s="319" t="s">
        <v>173</v>
      </c>
      <c r="IQ345" s="321" t="s">
        <v>173</v>
      </c>
      <c r="IR345" s="320" t="s">
        <v>173</v>
      </c>
      <c r="IS345" s="322" t="s">
        <v>173</v>
      </c>
      <c r="IT345" s="319" t="s">
        <v>173</v>
      </c>
    </row>
    <row r="346" spans="1:254" s="271" customFormat="1" x14ac:dyDescent="0.25">
      <c r="A346" s="318" t="str">
        <f>HYPERLINK("http://www.ofsted.gov.uk/inspection-reports/find-inspection-report/provider/ELS/131745 ","Ofsted School Webpage")</f>
        <v>Ofsted School Webpage</v>
      </c>
      <c r="B346" s="319">
        <v>131745</v>
      </c>
      <c r="C346" s="319">
        <v>2116389</v>
      </c>
      <c r="D346" s="319" t="s">
        <v>1048</v>
      </c>
      <c r="E346" s="319" t="s">
        <v>167</v>
      </c>
      <c r="F346" s="319" t="s">
        <v>81</v>
      </c>
      <c r="G346" s="319" t="s">
        <v>72</v>
      </c>
      <c r="H346" s="319" t="s">
        <v>72</v>
      </c>
      <c r="I346" s="319" t="s">
        <v>72</v>
      </c>
      <c r="J346" s="319" t="s">
        <v>424</v>
      </c>
      <c r="K346" s="319" t="s">
        <v>441</v>
      </c>
      <c r="L346" s="319" t="s">
        <v>441</v>
      </c>
      <c r="M346" s="319" t="s">
        <v>757</v>
      </c>
      <c r="N346" s="319" t="s">
        <v>2801</v>
      </c>
      <c r="O346" s="319" t="s">
        <v>1049</v>
      </c>
      <c r="P346" s="319">
        <v>92</v>
      </c>
      <c r="Q346" s="319" t="s">
        <v>2776</v>
      </c>
      <c r="R346" s="320">
        <v>10044537</v>
      </c>
      <c r="S346" s="321">
        <v>43137</v>
      </c>
      <c r="T346" s="321">
        <v>43139</v>
      </c>
      <c r="U346" s="321">
        <v>43179</v>
      </c>
      <c r="V346" s="319" t="s">
        <v>425</v>
      </c>
      <c r="W346" s="319" t="s">
        <v>2767</v>
      </c>
      <c r="X346" s="319">
        <v>4</v>
      </c>
      <c r="Y346" s="319" t="s">
        <v>173</v>
      </c>
      <c r="Z346" s="319" t="s">
        <v>173</v>
      </c>
      <c r="AA346" s="319" t="s">
        <v>173</v>
      </c>
      <c r="AB346" s="319">
        <v>4</v>
      </c>
      <c r="AC346" s="319" t="s">
        <v>170</v>
      </c>
      <c r="AD346" s="319" t="s">
        <v>173</v>
      </c>
      <c r="AE346" s="319">
        <v>4</v>
      </c>
      <c r="AF346" s="319" t="s">
        <v>447</v>
      </c>
      <c r="AG346" s="319" t="s">
        <v>172</v>
      </c>
      <c r="AH346" s="319" t="s">
        <v>190</v>
      </c>
      <c r="AI346" s="319" t="s">
        <v>190</v>
      </c>
      <c r="AJ346" s="319" t="s">
        <v>479</v>
      </c>
      <c r="AK346" s="319" t="s">
        <v>479</v>
      </c>
      <c r="AL346" s="319" t="s">
        <v>190</v>
      </c>
      <c r="AM346" s="319" t="s">
        <v>190</v>
      </c>
      <c r="AN346" s="319" t="s">
        <v>190</v>
      </c>
      <c r="AO346" s="319" t="s">
        <v>479</v>
      </c>
      <c r="AP346" s="319" t="s">
        <v>190</v>
      </c>
      <c r="AQ346" s="319" t="s">
        <v>190</v>
      </c>
      <c r="AR346" s="319" t="s">
        <v>190</v>
      </c>
      <c r="AS346" s="319" t="s">
        <v>190</v>
      </c>
      <c r="AT346" s="319" t="s">
        <v>190</v>
      </c>
      <c r="AU346" s="319" t="s">
        <v>190</v>
      </c>
      <c r="AV346" s="319" t="s">
        <v>190</v>
      </c>
      <c r="AW346" s="319" t="s">
        <v>190</v>
      </c>
      <c r="AX346" s="319" t="s">
        <v>428</v>
      </c>
      <c r="AY346" s="319" t="s">
        <v>190</v>
      </c>
      <c r="AZ346" s="319" t="s">
        <v>190</v>
      </c>
      <c r="BA346" s="319" t="s">
        <v>190</v>
      </c>
      <c r="BB346" s="319" t="s">
        <v>190</v>
      </c>
      <c r="BC346" s="319" t="s">
        <v>190</v>
      </c>
      <c r="BD346" s="319" t="s">
        <v>190</v>
      </c>
      <c r="BE346" s="319" t="s">
        <v>190</v>
      </c>
      <c r="BF346" s="319" t="s">
        <v>428</v>
      </c>
      <c r="BG346" s="319" t="s">
        <v>190</v>
      </c>
      <c r="BH346" s="319" t="s">
        <v>190</v>
      </c>
      <c r="BI346" s="319" t="s">
        <v>190</v>
      </c>
      <c r="BJ346" s="319" t="s">
        <v>190</v>
      </c>
      <c r="BK346" s="319" t="s">
        <v>190</v>
      </c>
      <c r="BL346" s="319" t="s">
        <v>190</v>
      </c>
      <c r="BM346" s="319" t="s">
        <v>190</v>
      </c>
      <c r="BN346" s="319" t="s">
        <v>190</v>
      </c>
      <c r="BO346" s="319" t="s">
        <v>190</v>
      </c>
      <c r="BP346" s="319" t="s">
        <v>190</v>
      </c>
      <c r="BQ346" s="319" t="s">
        <v>190</v>
      </c>
      <c r="BR346" s="319" t="s">
        <v>190</v>
      </c>
      <c r="BS346" s="319" t="s">
        <v>190</v>
      </c>
      <c r="BT346" s="319" t="s">
        <v>190</v>
      </c>
      <c r="BU346" s="319" t="s">
        <v>190</v>
      </c>
      <c r="BV346" s="319" t="s">
        <v>190</v>
      </c>
      <c r="BW346" s="319" t="s">
        <v>190</v>
      </c>
      <c r="BX346" s="319" t="s">
        <v>190</v>
      </c>
      <c r="BY346" s="319" t="s">
        <v>190</v>
      </c>
      <c r="BZ346" s="319" t="s">
        <v>190</v>
      </c>
      <c r="CA346" s="319" t="s">
        <v>190</v>
      </c>
      <c r="CB346" s="319" t="s">
        <v>190</v>
      </c>
      <c r="CC346" s="319" t="s">
        <v>190</v>
      </c>
      <c r="CD346" s="319" t="s">
        <v>190</v>
      </c>
      <c r="CE346" s="319" t="s">
        <v>190</v>
      </c>
      <c r="CF346" s="319" t="s">
        <v>190</v>
      </c>
      <c r="CG346" s="319" t="s">
        <v>190</v>
      </c>
      <c r="CH346" s="319" t="s">
        <v>190</v>
      </c>
      <c r="CI346" s="319" t="s">
        <v>190</v>
      </c>
      <c r="CJ346" s="319" t="s">
        <v>190</v>
      </c>
      <c r="CK346" s="319" t="s">
        <v>191</v>
      </c>
      <c r="CL346" s="319" t="s">
        <v>191</v>
      </c>
      <c r="CM346" s="319" t="s">
        <v>191</v>
      </c>
      <c r="CN346" s="319" t="s">
        <v>428</v>
      </c>
      <c r="CO346" s="319" t="s">
        <v>428</v>
      </c>
      <c r="CP346" s="319" t="s">
        <v>428</v>
      </c>
      <c r="CQ346" s="319" t="s">
        <v>190</v>
      </c>
      <c r="CR346" s="319" t="s">
        <v>190</v>
      </c>
      <c r="CS346" s="319" t="s">
        <v>190</v>
      </c>
      <c r="CT346" s="319" t="s">
        <v>190</v>
      </c>
      <c r="CU346" s="319" t="s">
        <v>190</v>
      </c>
      <c r="CV346" s="319" t="s">
        <v>190</v>
      </c>
      <c r="CW346" s="319" t="s">
        <v>190</v>
      </c>
      <c r="CX346" s="319" t="s">
        <v>190</v>
      </c>
      <c r="CY346" s="319" t="s">
        <v>190</v>
      </c>
      <c r="CZ346" s="319" t="s">
        <v>190</v>
      </c>
      <c r="DA346" s="319" t="s">
        <v>190</v>
      </c>
      <c r="DB346" s="319" t="s">
        <v>190</v>
      </c>
      <c r="DC346" s="319" t="s">
        <v>190</v>
      </c>
      <c r="DD346" s="319" t="s">
        <v>190</v>
      </c>
      <c r="DE346" s="319" t="s">
        <v>190</v>
      </c>
      <c r="DF346" s="319" t="s">
        <v>190</v>
      </c>
      <c r="DG346" s="319" t="s">
        <v>190</v>
      </c>
      <c r="DH346" s="319" t="s">
        <v>190</v>
      </c>
      <c r="DI346" s="319" t="s">
        <v>190</v>
      </c>
      <c r="DJ346" s="319" t="s">
        <v>190</v>
      </c>
      <c r="DK346" s="319" t="s">
        <v>190</v>
      </c>
      <c r="DL346" s="319" t="s">
        <v>190</v>
      </c>
      <c r="DM346" s="319" t="s">
        <v>190</v>
      </c>
      <c r="DN346" s="319" t="s">
        <v>428</v>
      </c>
      <c r="DO346" s="319" t="s">
        <v>190</v>
      </c>
      <c r="DP346" s="319" t="s">
        <v>428</v>
      </c>
      <c r="DQ346" s="319" t="s">
        <v>428</v>
      </c>
      <c r="DR346" s="319" t="s">
        <v>428</v>
      </c>
      <c r="DS346" s="319" t="s">
        <v>428</v>
      </c>
      <c r="DT346" s="319" t="s">
        <v>428</v>
      </c>
      <c r="DU346" s="319" t="s">
        <v>428</v>
      </c>
      <c r="DV346" s="319" t="s">
        <v>173</v>
      </c>
      <c r="DW346" s="319" t="s">
        <v>428</v>
      </c>
      <c r="DX346" s="319" t="s">
        <v>428</v>
      </c>
      <c r="DY346" s="319" t="s">
        <v>428</v>
      </c>
      <c r="DZ346" s="319" t="s">
        <v>428</v>
      </c>
      <c r="EA346" s="319" t="s">
        <v>428</v>
      </c>
      <c r="EB346" s="319" t="s">
        <v>428</v>
      </c>
      <c r="EC346" s="319" t="s">
        <v>428</v>
      </c>
      <c r="ED346" s="319" t="s">
        <v>190</v>
      </c>
      <c r="EE346" s="319" t="s">
        <v>428</v>
      </c>
      <c r="EF346" s="319" t="s">
        <v>428</v>
      </c>
      <c r="EG346" s="319" t="s">
        <v>428</v>
      </c>
      <c r="EH346" s="319" t="s">
        <v>428</v>
      </c>
      <c r="EI346" s="319" t="s">
        <v>428</v>
      </c>
      <c r="EJ346" s="319" t="s">
        <v>428</v>
      </c>
      <c r="EK346" s="319" t="s">
        <v>428</v>
      </c>
      <c r="EL346" s="319" t="s">
        <v>428</v>
      </c>
      <c r="EM346" s="319" t="s">
        <v>428</v>
      </c>
      <c r="EN346" s="319" t="s">
        <v>191</v>
      </c>
      <c r="EO346" s="319" t="s">
        <v>190</v>
      </c>
      <c r="EP346" s="319" t="s">
        <v>190</v>
      </c>
      <c r="EQ346" s="319" t="s">
        <v>190</v>
      </c>
      <c r="ER346" s="319" t="s">
        <v>190</v>
      </c>
      <c r="ES346" s="319" t="s">
        <v>190</v>
      </c>
      <c r="ET346" s="319" t="s">
        <v>190</v>
      </c>
      <c r="EU346" s="319" t="s">
        <v>190</v>
      </c>
      <c r="EV346" s="319" t="s">
        <v>190</v>
      </c>
      <c r="EW346" s="319" t="s">
        <v>190</v>
      </c>
      <c r="EX346" s="319" t="s">
        <v>190</v>
      </c>
      <c r="EY346" s="319" t="s">
        <v>190</v>
      </c>
      <c r="EZ346" s="319" t="s">
        <v>190</v>
      </c>
      <c r="FA346" s="319" t="s">
        <v>190</v>
      </c>
      <c r="FB346" s="319" t="s">
        <v>428</v>
      </c>
      <c r="FC346" s="319" t="s">
        <v>428</v>
      </c>
      <c r="FD346" s="319" t="s">
        <v>428</v>
      </c>
      <c r="FE346" s="319" t="s">
        <v>428</v>
      </c>
      <c r="FF346" s="319" t="s">
        <v>428</v>
      </c>
      <c r="FG346" s="319" t="s">
        <v>428</v>
      </c>
      <c r="FH346" s="319" t="s">
        <v>428</v>
      </c>
      <c r="FI346" s="319" t="s">
        <v>428</v>
      </c>
      <c r="FJ346" s="319" t="s">
        <v>429</v>
      </c>
      <c r="FK346" s="319" t="s">
        <v>428</v>
      </c>
      <c r="FL346" s="319" t="s">
        <v>190</v>
      </c>
      <c r="FM346" s="319" t="s">
        <v>190</v>
      </c>
      <c r="FN346" s="319" t="s">
        <v>190</v>
      </c>
      <c r="FO346" s="319" t="s">
        <v>190</v>
      </c>
      <c r="FP346" s="319" t="s">
        <v>190</v>
      </c>
      <c r="FQ346" s="319" t="s">
        <v>190</v>
      </c>
      <c r="FR346" s="319" t="s">
        <v>190</v>
      </c>
      <c r="FS346" s="319" t="s">
        <v>428</v>
      </c>
      <c r="FT346" s="319" t="s">
        <v>190</v>
      </c>
      <c r="FU346" s="319" t="s">
        <v>190</v>
      </c>
      <c r="FV346" s="319" t="s">
        <v>190</v>
      </c>
      <c r="FW346" s="319" t="s">
        <v>190</v>
      </c>
      <c r="FX346" s="319" t="s">
        <v>190</v>
      </c>
      <c r="FY346" s="319" t="s">
        <v>190</v>
      </c>
      <c r="FZ346" s="319" t="s">
        <v>190</v>
      </c>
      <c r="GA346" s="319" t="s">
        <v>190</v>
      </c>
      <c r="GB346" s="319" t="s">
        <v>190</v>
      </c>
      <c r="GC346" s="319" t="s">
        <v>190</v>
      </c>
      <c r="GD346" s="319" t="s">
        <v>190</v>
      </c>
      <c r="GE346" s="319" t="s">
        <v>190</v>
      </c>
      <c r="GF346" s="319" t="s">
        <v>190</v>
      </c>
      <c r="GG346" s="319" t="s">
        <v>190</v>
      </c>
      <c r="GH346" s="319" t="s">
        <v>190</v>
      </c>
      <c r="GI346" s="319" t="s">
        <v>190</v>
      </c>
      <c r="GJ346" s="319" t="s">
        <v>190</v>
      </c>
      <c r="GK346" s="319" t="s">
        <v>428</v>
      </c>
      <c r="GL346" s="319" t="s">
        <v>190</v>
      </c>
      <c r="GM346" s="319" t="s">
        <v>190</v>
      </c>
      <c r="GN346" s="319" t="s">
        <v>190</v>
      </c>
      <c r="GO346" s="319" t="s">
        <v>190</v>
      </c>
      <c r="GP346" s="319" t="s">
        <v>190</v>
      </c>
      <c r="GQ346" s="319" t="s">
        <v>428</v>
      </c>
      <c r="GR346" s="319" t="s">
        <v>190</v>
      </c>
      <c r="GS346" s="319" t="s">
        <v>190</v>
      </c>
      <c r="GT346" s="319" t="s">
        <v>428</v>
      </c>
      <c r="GU346" s="319" t="s">
        <v>428</v>
      </c>
      <c r="GV346" s="319" t="s">
        <v>190</v>
      </c>
      <c r="GW346" s="319" t="s">
        <v>190</v>
      </c>
      <c r="GX346" s="319" t="s">
        <v>190</v>
      </c>
      <c r="GY346" s="319" t="s">
        <v>190</v>
      </c>
      <c r="GZ346" s="319" t="s">
        <v>190</v>
      </c>
      <c r="HA346" s="319" t="s">
        <v>428</v>
      </c>
      <c r="HB346" s="319" t="s">
        <v>190</v>
      </c>
      <c r="HC346" s="319" t="s">
        <v>190</v>
      </c>
      <c r="HD346" s="319" t="s">
        <v>190</v>
      </c>
      <c r="HE346" s="319" t="s">
        <v>190</v>
      </c>
      <c r="HF346" s="319" t="s">
        <v>428</v>
      </c>
      <c r="HG346" s="319" t="s">
        <v>190</v>
      </c>
      <c r="HH346" s="319" t="s">
        <v>190</v>
      </c>
      <c r="HI346" s="319" t="s">
        <v>190</v>
      </c>
      <c r="HJ346" s="319" t="s">
        <v>190</v>
      </c>
      <c r="HK346" s="319" t="s">
        <v>190</v>
      </c>
      <c r="HL346" s="319" t="s">
        <v>428</v>
      </c>
      <c r="HM346" s="319" t="s">
        <v>428</v>
      </c>
      <c r="HN346" s="319" t="s">
        <v>428</v>
      </c>
      <c r="HO346" s="319" t="s">
        <v>428</v>
      </c>
      <c r="HP346" s="319" t="s">
        <v>190</v>
      </c>
      <c r="HQ346" s="319" t="s">
        <v>190</v>
      </c>
      <c r="HR346" s="319" t="s">
        <v>190</v>
      </c>
      <c r="HS346" s="319" t="s">
        <v>190</v>
      </c>
      <c r="HT346" s="319" t="s">
        <v>190</v>
      </c>
      <c r="HU346" s="319" t="s">
        <v>190</v>
      </c>
      <c r="HV346" s="319" t="s">
        <v>190</v>
      </c>
      <c r="HW346" s="319" t="s">
        <v>190</v>
      </c>
      <c r="HX346" s="319" t="s">
        <v>190</v>
      </c>
      <c r="HY346" s="319" t="s">
        <v>190</v>
      </c>
      <c r="HZ346" s="319" t="s">
        <v>190</v>
      </c>
      <c r="IA346" s="319" t="s">
        <v>190</v>
      </c>
      <c r="IB346" s="319" t="s">
        <v>190</v>
      </c>
      <c r="IC346" s="319" t="s">
        <v>190</v>
      </c>
      <c r="ID346" s="319" t="s">
        <v>190</v>
      </c>
      <c r="IE346" s="319" t="s">
        <v>190</v>
      </c>
      <c r="IF346" s="319" t="s">
        <v>191</v>
      </c>
      <c r="IG346" s="319" t="s">
        <v>191</v>
      </c>
      <c r="IH346" s="319" t="s">
        <v>191</v>
      </c>
      <c r="II346" s="319" t="s">
        <v>191</v>
      </c>
      <c r="IJ346" s="319">
        <v>10020719</v>
      </c>
      <c r="IK346" s="321">
        <v>42648</v>
      </c>
      <c r="IL346" s="321">
        <v>42650</v>
      </c>
      <c r="IM346" s="321">
        <v>42803</v>
      </c>
      <c r="IN346" s="319">
        <v>4</v>
      </c>
      <c r="IO346" s="319">
        <v>10056479</v>
      </c>
      <c r="IP346" s="319" t="s">
        <v>985</v>
      </c>
      <c r="IQ346" s="321">
        <v>43376</v>
      </c>
      <c r="IR346" s="320" t="s">
        <v>1223</v>
      </c>
      <c r="IS346" s="322">
        <v>43405</v>
      </c>
      <c r="IT346" s="319" t="s">
        <v>165</v>
      </c>
    </row>
    <row r="347" spans="1:254" s="271" customFormat="1" x14ac:dyDescent="0.25">
      <c r="A347" s="318" t="str">
        <f>HYPERLINK("http://www.ofsted.gov.uk/inspection-reports/find-inspection-report/provider/ELS/131751 ","Ofsted School Webpage")</f>
        <v>Ofsted School Webpage</v>
      </c>
      <c r="B347" s="319">
        <v>131751</v>
      </c>
      <c r="C347" s="319">
        <v>3536019</v>
      </c>
      <c r="D347" s="319" t="s">
        <v>1682</v>
      </c>
      <c r="E347" s="319" t="s">
        <v>168</v>
      </c>
      <c r="F347" s="319" t="s">
        <v>81</v>
      </c>
      <c r="G347" s="319" t="s">
        <v>81</v>
      </c>
      <c r="H347" s="319" t="s">
        <v>81</v>
      </c>
      <c r="I347" s="319" t="s">
        <v>78</v>
      </c>
      <c r="J347" s="319" t="s">
        <v>424</v>
      </c>
      <c r="K347" s="319" t="s">
        <v>431</v>
      </c>
      <c r="L347" s="319" t="s">
        <v>431</v>
      </c>
      <c r="M347" s="319" t="s">
        <v>784</v>
      </c>
      <c r="N347" s="319" t="s">
        <v>3131</v>
      </c>
      <c r="O347" s="319" t="s">
        <v>1683</v>
      </c>
      <c r="P347" s="319">
        <v>11</v>
      </c>
      <c r="Q347" s="319" t="s">
        <v>429</v>
      </c>
      <c r="R347" s="320">
        <v>10092577</v>
      </c>
      <c r="S347" s="321">
        <v>43620</v>
      </c>
      <c r="T347" s="321">
        <v>43622</v>
      </c>
      <c r="U347" s="321">
        <v>43648</v>
      </c>
      <c r="V347" s="319" t="s">
        <v>425</v>
      </c>
      <c r="W347" s="319" t="s">
        <v>2767</v>
      </c>
      <c r="X347" s="319">
        <v>2</v>
      </c>
      <c r="Y347" s="319" t="s">
        <v>173</v>
      </c>
      <c r="Z347" s="319" t="s">
        <v>173</v>
      </c>
      <c r="AA347" s="319" t="s">
        <v>173</v>
      </c>
      <c r="AB347" s="319">
        <v>2</v>
      </c>
      <c r="AC347" s="319" t="s">
        <v>169</v>
      </c>
      <c r="AD347" s="319" t="s">
        <v>173</v>
      </c>
      <c r="AE347" s="319" t="s">
        <v>173</v>
      </c>
      <c r="AF347" s="319" t="s">
        <v>427</v>
      </c>
      <c r="AG347" s="319" t="s">
        <v>171</v>
      </c>
      <c r="AH347" s="319" t="s">
        <v>190</v>
      </c>
      <c r="AI347" s="319" t="s">
        <v>190</v>
      </c>
      <c r="AJ347" s="319" t="s">
        <v>190</v>
      </c>
      <c r="AK347" s="319" t="s">
        <v>190</v>
      </c>
      <c r="AL347" s="319" t="s">
        <v>190</v>
      </c>
      <c r="AM347" s="319" t="s">
        <v>190</v>
      </c>
      <c r="AN347" s="319" t="s">
        <v>190</v>
      </c>
      <c r="AO347" s="319" t="s">
        <v>190</v>
      </c>
      <c r="AP347" s="319" t="s">
        <v>190</v>
      </c>
      <c r="AQ347" s="319" t="s">
        <v>190</v>
      </c>
      <c r="AR347" s="319" t="s">
        <v>190</v>
      </c>
      <c r="AS347" s="319" t="s">
        <v>190</v>
      </c>
      <c r="AT347" s="319" t="s">
        <v>190</v>
      </c>
      <c r="AU347" s="319" t="s">
        <v>190</v>
      </c>
      <c r="AV347" s="319" t="s">
        <v>190</v>
      </c>
      <c r="AW347" s="319" t="s">
        <v>190</v>
      </c>
      <c r="AX347" s="319" t="s">
        <v>428</v>
      </c>
      <c r="AY347" s="319" t="s">
        <v>190</v>
      </c>
      <c r="AZ347" s="319" t="s">
        <v>190</v>
      </c>
      <c r="BA347" s="319" t="s">
        <v>190</v>
      </c>
      <c r="BB347" s="319" t="s">
        <v>190</v>
      </c>
      <c r="BC347" s="319" t="s">
        <v>190</v>
      </c>
      <c r="BD347" s="319" t="s">
        <v>190</v>
      </c>
      <c r="BE347" s="319" t="s">
        <v>190</v>
      </c>
      <c r="BF347" s="319" t="s">
        <v>428</v>
      </c>
      <c r="BG347" s="319" t="s">
        <v>428</v>
      </c>
      <c r="BH347" s="319" t="s">
        <v>190</v>
      </c>
      <c r="BI347" s="319" t="s">
        <v>190</v>
      </c>
      <c r="BJ347" s="319" t="s">
        <v>190</v>
      </c>
      <c r="BK347" s="319" t="s">
        <v>190</v>
      </c>
      <c r="BL347" s="319" t="s">
        <v>190</v>
      </c>
      <c r="BM347" s="319" t="s">
        <v>190</v>
      </c>
      <c r="BN347" s="319" t="s">
        <v>190</v>
      </c>
      <c r="BO347" s="319" t="s">
        <v>190</v>
      </c>
      <c r="BP347" s="319" t="s">
        <v>190</v>
      </c>
      <c r="BQ347" s="319" t="s">
        <v>190</v>
      </c>
      <c r="BR347" s="319" t="s">
        <v>190</v>
      </c>
      <c r="BS347" s="319" t="s">
        <v>190</v>
      </c>
      <c r="BT347" s="319" t="s">
        <v>190</v>
      </c>
      <c r="BU347" s="319" t="s">
        <v>190</v>
      </c>
      <c r="BV347" s="319" t="s">
        <v>190</v>
      </c>
      <c r="BW347" s="319" t="s">
        <v>190</v>
      </c>
      <c r="BX347" s="319" t="s">
        <v>190</v>
      </c>
      <c r="BY347" s="319" t="s">
        <v>190</v>
      </c>
      <c r="BZ347" s="319" t="s">
        <v>190</v>
      </c>
      <c r="CA347" s="319" t="s">
        <v>190</v>
      </c>
      <c r="CB347" s="319" t="s">
        <v>190</v>
      </c>
      <c r="CC347" s="319" t="s">
        <v>190</v>
      </c>
      <c r="CD347" s="319" t="s">
        <v>190</v>
      </c>
      <c r="CE347" s="319" t="s">
        <v>190</v>
      </c>
      <c r="CF347" s="319" t="s">
        <v>190</v>
      </c>
      <c r="CG347" s="319" t="s">
        <v>190</v>
      </c>
      <c r="CH347" s="319" t="s">
        <v>190</v>
      </c>
      <c r="CI347" s="319" t="s">
        <v>190</v>
      </c>
      <c r="CJ347" s="319" t="s">
        <v>190</v>
      </c>
      <c r="CK347" s="319" t="s">
        <v>190</v>
      </c>
      <c r="CL347" s="319" t="s">
        <v>190</v>
      </c>
      <c r="CM347" s="319" t="s">
        <v>190</v>
      </c>
      <c r="CN347" s="319" t="s">
        <v>190</v>
      </c>
      <c r="CO347" s="319" t="s">
        <v>428</v>
      </c>
      <c r="CP347" s="319" t="s">
        <v>428</v>
      </c>
      <c r="CQ347" s="319" t="s">
        <v>190</v>
      </c>
      <c r="CR347" s="319" t="s">
        <v>190</v>
      </c>
      <c r="CS347" s="319" t="s">
        <v>190</v>
      </c>
      <c r="CT347" s="319" t="s">
        <v>190</v>
      </c>
      <c r="CU347" s="319" t="s">
        <v>190</v>
      </c>
      <c r="CV347" s="319" t="s">
        <v>190</v>
      </c>
      <c r="CW347" s="319" t="s">
        <v>190</v>
      </c>
      <c r="CX347" s="319" t="s">
        <v>190</v>
      </c>
      <c r="CY347" s="319" t="s">
        <v>190</v>
      </c>
      <c r="CZ347" s="319" t="s">
        <v>190</v>
      </c>
      <c r="DA347" s="319" t="s">
        <v>190</v>
      </c>
      <c r="DB347" s="319" t="s">
        <v>190</v>
      </c>
      <c r="DC347" s="319" t="s">
        <v>190</v>
      </c>
      <c r="DD347" s="319" t="s">
        <v>190</v>
      </c>
      <c r="DE347" s="319" t="s">
        <v>190</v>
      </c>
      <c r="DF347" s="319" t="s">
        <v>190</v>
      </c>
      <c r="DG347" s="319" t="s">
        <v>190</v>
      </c>
      <c r="DH347" s="319" t="s">
        <v>190</v>
      </c>
      <c r="DI347" s="319" t="s">
        <v>190</v>
      </c>
      <c r="DJ347" s="319" t="s">
        <v>190</v>
      </c>
      <c r="DK347" s="319" t="s">
        <v>190</v>
      </c>
      <c r="DL347" s="319" t="s">
        <v>190</v>
      </c>
      <c r="DM347" s="319" t="s">
        <v>190</v>
      </c>
      <c r="DN347" s="319" t="s">
        <v>428</v>
      </c>
      <c r="DO347" s="319" t="s">
        <v>190</v>
      </c>
      <c r="DP347" s="319" t="s">
        <v>190</v>
      </c>
      <c r="DQ347" s="319" t="s">
        <v>190</v>
      </c>
      <c r="DR347" s="319" t="s">
        <v>190</v>
      </c>
      <c r="DS347" s="319" t="s">
        <v>190</v>
      </c>
      <c r="DT347" s="319" t="s">
        <v>190</v>
      </c>
      <c r="DU347" s="319" t="s">
        <v>190</v>
      </c>
      <c r="DV347" s="319" t="s">
        <v>173</v>
      </c>
      <c r="DW347" s="319" t="s">
        <v>190</v>
      </c>
      <c r="DX347" s="319" t="s">
        <v>190</v>
      </c>
      <c r="DY347" s="319" t="s">
        <v>190</v>
      </c>
      <c r="DZ347" s="319" t="s">
        <v>190</v>
      </c>
      <c r="EA347" s="319" t="s">
        <v>190</v>
      </c>
      <c r="EB347" s="319" t="s">
        <v>190</v>
      </c>
      <c r="EC347" s="319" t="s">
        <v>190</v>
      </c>
      <c r="ED347" s="319" t="s">
        <v>190</v>
      </c>
      <c r="EE347" s="319" t="s">
        <v>190</v>
      </c>
      <c r="EF347" s="319" t="s">
        <v>190</v>
      </c>
      <c r="EG347" s="319" t="s">
        <v>190</v>
      </c>
      <c r="EH347" s="319" t="s">
        <v>190</v>
      </c>
      <c r="EI347" s="319" t="s">
        <v>190</v>
      </c>
      <c r="EJ347" s="319" t="s">
        <v>190</v>
      </c>
      <c r="EK347" s="319" t="s">
        <v>190</v>
      </c>
      <c r="EL347" s="319" t="s">
        <v>190</v>
      </c>
      <c r="EM347" s="319" t="s">
        <v>190</v>
      </c>
      <c r="EN347" s="319" t="s">
        <v>190</v>
      </c>
      <c r="EO347" s="319" t="s">
        <v>190</v>
      </c>
      <c r="EP347" s="319" t="s">
        <v>190</v>
      </c>
      <c r="EQ347" s="319" t="s">
        <v>190</v>
      </c>
      <c r="ER347" s="319" t="s">
        <v>190</v>
      </c>
      <c r="ES347" s="319" t="s">
        <v>190</v>
      </c>
      <c r="ET347" s="319" t="s">
        <v>190</v>
      </c>
      <c r="EU347" s="319" t="s">
        <v>190</v>
      </c>
      <c r="EV347" s="319" t="s">
        <v>190</v>
      </c>
      <c r="EW347" s="319" t="s">
        <v>190</v>
      </c>
      <c r="EX347" s="319" t="s">
        <v>190</v>
      </c>
      <c r="EY347" s="319" t="s">
        <v>190</v>
      </c>
      <c r="EZ347" s="319" t="s">
        <v>190</v>
      </c>
      <c r="FA347" s="319" t="s">
        <v>190</v>
      </c>
      <c r="FB347" s="319" t="s">
        <v>190</v>
      </c>
      <c r="FC347" s="319" t="s">
        <v>190</v>
      </c>
      <c r="FD347" s="319" t="s">
        <v>190</v>
      </c>
      <c r="FE347" s="319" t="s">
        <v>190</v>
      </c>
      <c r="FF347" s="319" t="s">
        <v>190</v>
      </c>
      <c r="FG347" s="319" t="s">
        <v>190</v>
      </c>
      <c r="FH347" s="319" t="s">
        <v>190</v>
      </c>
      <c r="FI347" s="319" t="s">
        <v>190</v>
      </c>
      <c r="FJ347" s="319" t="s">
        <v>190</v>
      </c>
      <c r="FK347" s="319" t="s">
        <v>190</v>
      </c>
      <c r="FL347" s="319" t="s">
        <v>190</v>
      </c>
      <c r="FM347" s="319" t="s">
        <v>190</v>
      </c>
      <c r="FN347" s="319" t="s">
        <v>190</v>
      </c>
      <c r="FO347" s="319" t="s">
        <v>190</v>
      </c>
      <c r="FP347" s="319" t="s">
        <v>190</v>
      </c>
      <c r="FQ347" s="319" t="s">
        <v>190</v>
      </c>
      <c r="FR347" s="319" t="s">
        <v>190</v>
      </c>
      <c r="FS347" s="319" t="s">
        <v>190</v>
      </c>
      <c r="FT347" s="319" t="s">
        <v>190</v>
      </c>
      <c r="FU347" s="319" t="s">
        <v>190</v>
      </c>
      <c r="FV347" s="319" t="s">
        <v>190</v>
      </c>
      <c r="FW347" s="319" t="s">
        <v>190</v>
      </c>
      <c r="FX347" s="319" t="s">
        <v>190</v>
      </c>
      <c r="FY347" s="319" t="s">
        <v>190</v>
      </c>
      <c r="FZ347" s="319" t="s">
        <v>190</v>
      </c>
      <c r="GA347" s="319" t="s">
        <v>190</v>
      </c>
      <c r="GB347" s="319" t="s">
        <v>190</v>
      </c>
      <c r="GC347" s="319" t="s">
        <v>190</v>
      </c>
      <c r="GD347" s="319" t="s">
        <v>190</v>
      </c>
      <c r="GE347" s="319" t="s">
        <v>190</v>
      </c>
      <c r="GF347" s="319" t="s">
        <v>190</v>
      </c>
      <c r="GG347" s="319" t="s">
        <v>190</v>
      </c>
      <c r="GH347" s="319" t="s">
        <v>190</v>
      </c>
      <c r="GI347" s="319" t="s">
        <v>190</v>
      </c>
      <c r="GJ347" s="319" t="s">
        <v>190</v>
      </c>
      <c r="GK347" s="319" t="s">
        <v>428</v>
      </c>
      <c r="GL347" s="319" t="s">
        <v>190</v>
      </c>
      <c r="GM347" s="319" t="s">
        <v>190</v>
      </c>
      <c r="GN347" s="319" t="s">
        <v>190</v>
      </c>
      <c r="GO347" s="319" t="s">
        <v>190</v>
      </c>
      <c r="GP347" s="319" t="s">
        <v>190</v>
      </c>
      <c r="GQ347" s="319" t="s">
        <v>190</v>
      </c>
      <c r="GR347" s="319" t="s">
        <v>190</v>
      </c>
      <c r="GS347" s="319" t="s">
        <v>190</v>
      </c>
      <c r="GT347" s="319" t="s">
        <v>190</v>
      </c>
      <c r="GU347" s="319" t="s">
        <v>190</v>
      </c>
      <c r="GV347" s="319" t="s">
        <v>190</v>
      </c>
      <c r="GW347" s="319" t="s">
        <v>190</v>
      </c>
      <c r="GX347" s="319" t="s">
        <v>190</v>
      </c>
      <c r="GY347" s="319" t="s">
        <v>190</v>
      </c>
      <c r="GZ347" s="319" t="s">
        <v>190</v>
      </c>
      <c r="HA347" s="319" t="s">
        <v>190</v>
      </c>
      <c r="HB347" s="319" t="s">
        <v>190</v>
      </c>
      <c r="HC347" s="319" t="s">
        <v>190</v>
      </c>
      <c r="HD347" s="319" t="s">
        <v>190</v>
      </c>
      <c r="HE347" s="319" t="s">
        <v>190</v>
      </c>
      <c r="HF347" s="319" t="s">
        <v>190</v>
      </c>
      <c r="HG347" s="319" t="s">
        <v>190</v>
      </c>
      <c r="HH347" s="319" t="s">
        <v>190</v>
      </c>
      <c r="HI347" s="319" t="s">
        <v>190</v>
      </c>
      <c r="HJ347" s="319" t="s">
        <v>190</v>
      </c>
      <c r="HK347" s="319" t="s">
        <v>190</v>
      </c>
      <c r="HL347" s="319" t="s">
        <v>190</v>
      </c>
      <c r="HM347" s="319" t="s">
        <v>190</v>
      </c>
      <c r="HN347" s="319" t="s">
        <v>190</v>
      </c>
      <c r="HO347" s="319" t="s">
        <v>190</v>
      </c>
      <c r="HP347" s="319" t="s">
        <v>190</v>
      </c>
      <c r="HQ347" s="319" t="s">
        <v>190</v>
      </c>
      <c r="HR347" s="319" t="s">
        <v>190</v>
      </c>
      <c r="HS347" s="319" t="s">
        <v>190</v>
      </c>
      <c r="HT347" s="319" t="s">
        <v>190</v>
      </c>
      <c r="HU347" s="319" t="s">
        <v>190</v>
      </c>
      <c r="HV347" s="319" t="s">
        <v>190</v>
      </c>
      <c r="HW347" s="319" t="s">
        <v>190</v>
      </c>
      <c r="HX347" s="319" t="s">
        <v>190</v>
      </c>
      <c r="HY347" s="319" t="s">
        <v>190</v>
      </c>
      <c r="HZ347" s="319" t="s">
        <v>190</v>
      </c>
      <c r="IA347" s="319" t="s">
        <v>190</v>
      </c>
      <c r="IB347" s="319" t="s">
        <v>190</v>
      </c>
      <c r="IC347" s="319" t="s">
        <v>190</v>
      </c>
      <c r="ID347" s="319" t="s">
        <v>190</v>
      </c>
      <c r="IE347" s="319" t="s">
        <v>190</v>
      </c>
      <c r="IF347" s="319" t="s">
        <v>190</v>
      </c>
      <c r="IG347" s="319" t="s">
        <v>190</v>
      </c>
      <c r="IH347" s="319" t="s">
        <v>190</v>
      </c>
      <c r="II347" s="319" t="s">
        <v>190</v>
      </c>
      <c r="IJ347" s="319">
        <v>10012866</v>
      </c>
      <c r="IK347" s="321">
        <v>42661</v>
      </c>
      <c r="IL347" s="321">
        <v>42663</v>
      </c>
      <c r="IM347" s="321">
        <v>42695</v>
      </c>
      <c r="IN347" s="319">
        <v>2</v>
      </c>
      <c r="IO347" s="319" t="s">
        <v>173</v>
      </c>
      <c r="IP347" s="319" t="s">
        <v>173</v>
      </c>
      <c r="IQ347" s="321" t="s">
        <v>173</v>
      </c>
      <c r="IR347" s="320" t="s">
        <v>173</v>
      </c>
      <c r="IS347" s="322" t="s">
        <v>173</v>
      </c>
      <c r="IT347" s="319" t="s">
        <v>173</v>
      </c>
    </row>
    <row r="348" spans="1:254" s="271" customFormat="1" x14ac:dyDescent="0.25">
      <c r="A348" s="318" t="str">
        <f>HYPERLINK("http://www.ofsted.gov.uk/inspection-reports/find-inspection-report/provider/ELS/131755 ","Ofsted School Webpage")</f>
        <v>Ofsted School Webpage</v>
      </c>
      <c r="B348" s="319">
        <v>131755</v>
      </c>
      <c r="C348" s="319">
        <v>3076079</v>
      </c>
      <c r="D348" s="319" t="s">
        <v>1684</v>
      </c>
      <c r="E348" s="319" t="s">
        <v>167</v>
      </c>
      <c r="F348" s="319" t="s">
        <v>81</v>
      </c>
      <c r="G348" s="319" t="s">
        <v>81</v>
      </c>
      <c r="H348" s="319" t="s">
        <v>81</v>
      </c>
      <c r="I348" s="319" t="s">
        <v>78</v>
      </c>
      <c r="J348" s="319" t="s">
        <v>424</v>
      </c>
      <c r="K348" s="319" t="s">
        <v>441</v>
      </c>
      <c r="L348" s="319" t="s">
        <v>441</v>
      </c>
      <c r="M348" s="319" t="s">
        <v>442</v>
      </c>
      <c r="N348" s="319" t="s">
        <v>2833</v>
      </c>
      <c r="O348" s="319" t="s">
        <v>1685</v>
      </c>
      <c r="P348" s="319">
        <v>19</v>
      </c>
      <c r="Q348" s="319" t="s">
        <v>2766</v>
      </c>
      <c r="R348" s="320">
        <v>10026286</v>
      </c>
      <c r="S348" s="321">
        <v>43130</v>
      </c>
      <c r="T348" s="321">
        <v>43132</v>
      </c>
      <c r="U348" s="321">
        <v>43159</v>
      </c>
      <c r="V348" s="319" t="s">
        <v>425</v>
      </c>
      <c r="W348" s="319" t="s">
        <v>2767</v>
      </c>
      <c r="X348" s="319">
        <v>2</v>
      </c>
      <c r="Y348" s="319" t="s">
        <v>173</v>
      </c>
      <c r="Z348" s="319" t="s">
        <v>173</v>
      </c>
      <c r="AA348" s="319" t="s">
        <v>173</v>
      </c>
      <c r="AB348" s="319">
        <v>2</v>
      </c>
      <c r="AC348" s="319" t="s">
        <v>169</v>
      </c>
      <c r="AD348" s="319" t="s">
        <v>173</v>
      </c>
      <c r="AE348" s="319" t="s">
        <v>173</v>
      </c>
      <c r="AF348" s="319" t="s">
        <v>427</v>
      </c>
      <c r="AG348" s="319" t="s">
        <v>171</v>
      </c>
      <c r="AH348" s="319" t="s">
        <v>190</v>
      </c>
      <c r="AI348" s="319" t="s">
        <v>190</v>
      </c>
      <c r="AJ348" s="319" t="s">
        <v>190</v>
      </c>
      <c r="AK348" s="319" t="s">
        <v>190</v>
      </c>
      <c r="AL348" s="319" t="s">
        <v>190</v>
      </c>
      <c r="AM348" s="319" t="s">
        <v>190</v>
      </c>
      <c r="AN348" s="319" t="s">
        <v>190</v>
      </c>
      <c r="AO348" s="319" t="s">
        <v>190</v>
      </c>
      <c r="AP348" s="319" t="s">
        <v>190</v>
      </c>
      <c r="AQ348" s="319" t="s">
        <v>190</v>
      </c>
      <c r="AR348" s="319" t="s">
        <v>190</v>
      </c>
      <c r="AS348" s="319" t="s">
        <v>190</v>
      </c>
      <c r="AT348" s="319" t="s">
        <v>190</v>
      </c>
      <c r="AU348" s="319" t="s">
        <v>190</v>
      </c>
      <c r="AV348" s="319" t="s">
        <v>190</v>
      </c>
      <c r="AW348" s="319" t="s">
        <v>190</v>
      </c>
      <c r="AX348" s="319" t="s">
        <v>190</v>
      </c>
      <c r="AY348" s="319" t="s">
        <v>190</v>
      </c>
      <c r="AZ348" s="319" t="s">
        <v>190</v>
      </c>
      <c r="BA348" s="319" t="s">
        <v>190</v>
      </c>
      <c r="BB348" s="319" t="s">
        <v>190</v>
      </c>
      <c r="BC348" s="319" t="s">
        <v>190</v>
      </c>
      <c r="BD348" s="319" t="s">
        <v>190</v>
      </c>
      <c r="BE348" s="319" t="s">
        <v>190</v>
      </c>
      <c r="BF348" s="319" t="s">
        <v>190</v>
      </c>
      <c r="BG348" s="319" t="s">
        <v>190</v>
      </c>
      <c r="BH348" s="319" t="s">
        <v>190</v>
      </c>
      <c r="BI348" s="319" t="s">
        <v>190</v>
      </c>
      <c r="BJ348" s="319" t="s">
        <v>190</v>
      </c>
      <c r="BK348" s="319" t="s">
        <v>190</v>
      </c>
      <c r="BL348" s="319" t="s">
        <v>190</v>
      </c>
      <c r="BM348" s="319" t="s">
        <v>190</v>
      </c>
      <c r="BN348" s="319" t="s">
        <v>190</v>
      </c>
      <c r="BO348" s="319" t="s">
        <v>190</v>
      </c>
      <c r="BP348" s="319" t="s">
        <v>190</v>
      </c>
      <c r="BQ348" s="319" t="s">
        <v>190</v>
      </c>
      <c r="BR348" s="319" t="s">
        <v>190</v>
      </c>
      <c r="BS348" s="319" t="s">
        <v>190</v>
      </c>
      <c r="BT348" s="319" t="s">
        <v>190</v>
      </c>
      <c r="BU348" s="319" t="s">
        <v>190</v>
      </c>
      <c r="BV348" s="319" t="s">
        <v>190</v>
      </c>
      <c r="BW348" s="319" t="s">
        <v>190</v>
      </c>
      <c r="BX348" s="319" t="s">
        <v>190</v>
      </c>
      <c r="BY348" s="319" t="s">
        <v>190</v>
      </c>
      <c r="BZ348" s="319" t="s">
        <v>190</v>
      </c>
      <c r="CA348" s="319" t="s">
        <v>190</v>
      </c>
      <c r="CB348" s="319" t="s">
        <v>190</v>
      </c>
      <c r="CC348" s="319" t="s">
        <v>190</v>
      </c>
      <c r="CD348" s="319" t="s">
        <v>190</v>
      </c>
      <c r="CE348" s="319" t="s">
        <v>190</v>
      </c>
      <c r="CF348" s="319" t="s">
        <v>190</v>
      </c>
      <c r="CG348" s="319" t="s">
        <v>190</v>
      </c>
      <c r="CH348" s="319" t="s">
        <v>190</v>
      </c>
      <c r="CI348" s="319" t="s">
        <v>190</v>
      </c>
      <c r="CJ348" s="319" t="s">
        <v>190</v>
      </c>
      <c r="CK348" s="319" t="s">
        <v>190</v>
      </c>
      <c r="CL348" s="319" t="s">
        <v>190</v>
      </c>
      <c r="CM348" s="319" t="s">
        <v>190</v>
      </c>
      <c r="CN348" s="319" t="s">
        <v>190</v>
      </c>
      <c r="CO348" s="319" t="s">
        <v>190</v>
      </c>
      <c r="CP348" s="319" t="s">
        <v>190</v>
      </c>
      <c r="CQ348" s="319" t="s">
        <v>190</v>
      </c>
      <c r="CR348" s="319" t="s">
        <v>190</v>
      </c>
      <c r="CS348" s="319" t="s">
        <v>190</v>
      </c>
      <c r="CT348" s="319" t="s">
        <v>190</v>
      </c>
      <c r="CU348" s="319" t="s">
        <v>190</v>
      </c>
      <c r="CV348" s="319" t="s">
        <v>190</v>
      </c>
      <c r="CW348" s="319" t="s">
        <v>190</v>
      </c>
      <c r="CX348" s="319" t="s">
        <v>190</v>
      </c>
      <c r="CY348" s="319" t="s">
        <v>190</v>
      </c>
      <c r="CZ348" s="319" t="s">
        <v>190</v>
      </c>
      <c r="DA348" s="319" t="s">
        <v>190</v>
      </c>
      <c r="DB348" s="319" t="s">
        <v>190</v>
      </c>
      <c r="DC348" s="319" t="s">
        <v>190</v>
      </c>
      <c r="DD348" s="319" t="s">
        <v>190</v>
      </c>
      <c r="DE348" s="319" t="s">
        <v>190</v>
      </c>
      <c r="DF348" s="319" t="s">
        <v>190</v>
      </c>
      <c r="DG348" s="319" t="s">
        <v>190</v>
      </c>
      <c r="DH348" s="319" t="s">
        <v>190</v>
      </c>
      <c r="DI348" s="319" t="s">
        <v>190</v>
      </c>
      <c r="DJ348" s="319" t="s">
        <v>190</v>
      </c>
      <c r="DK348" s="319" t="s">
        <v>190</v>
      </c>
      <c r="DL348" s="319" t="s">
        <v>190</v>
      </c>
      <c r="DM348" s="319" t="s">
        <v>190</v>
      </c>
      <c r="DN348" s="319" t="s">
        <v>190</v>
      </c>
      <c r="DO348" s="319" t="s">
        <v>190</v>
      </c>
      <c r="DP348" s="319" t="s">
        <v>428</v>
      </c>
      <c r="DQ348" s="319" t="s">
        <v>428</v>
      </c>
      <c r="DR348" s="319" t="s">
        <v>428</v>
      </c>
      <c r="DS348" s="319" t="s">
        <v>428</v>
      </c>
      <c r="DT348" s="319" t="s">
        <v>428</v>
      </c>
      <c r="DU348" s="319" t="s">
        <v>428</v>
      </c>
      <c r="DV348" s="319" t="s">
        <v>173</v>
      </c>
      <c r="DW348" s="319" t="s">
        <v>428</v>
      </c>
      <c r="DX348" s="319" t="s">
        <v>428</v>
      </c>
      <c r="DY348" s="319" t="s">
        <v>428</v>
      </c>
      <c r="DZ348" s="319" t="s">
        <v>428</v>
      </c>
      <c r="EA348" s="319" t="s">
        <v>428</v>
      </c>
      <c r="EB348" s="319" t="s">
        <v>428</v>
      </c>
      <c r="EC348" s="319" t="s">
        <v>428</v>
      </c>
      <c r="ED348" s="319" t="s">
        <v>428</v>
      </c>
      <c r="EE348" s="319" t="s">
        <v>190</v>
      </c>
      <c r="EF348" s="319" t="s">
        <v>190</v>
      </c>
      <c r="EG348" s="319" t="s">
        <v>190</v>
      </c>
      <c r="EH348" s="319" t="s">
        <v>190</v>
      </c>
      <c r="EI348" s="319" t="s">
        <v>190</v>
      </c>
      <c r="EJ348" s="319" t="s">
        <v>190</v>
      </c>
      <c r="EK348" s="319" t="s">
        <v>190</v>
      </c>
      <c r="EL348" s="319" t="s">
        <v>190</v>
      </c>
      <c r="EM348" s="319" t="s">
        <v>190</v>
      </c>
      <c r="EN348" s="319" t="s">
        <v>190</v>
      </c>
      <c r="EO348" s="319" t="s">
        <v>190</v>
      </c>
      <c r="EP348" s="319" t="s">
        <v>190</v>
      </c>
      <c r="EQ348" s="319" t="s">
        <v>190</v>
      </c>
      <c r="ER348" s="319" t="s">
        <v>190</v>
      </c>
      <c r="ES348" s="319" t="s">
        <v>190</v>
      </c>
      <c r="ET348" s="319" t="s">
        <v>190</v>
      </c>
      <c r="EU348" s="319" t="s">
        <v>190</v>
      </c>
      <c r="EV348" s="319" t="s">
        <v>190</v>
      </c>
      <c r="EW348" s="319" t="s">
        <v>190</v>
      </c>
      <c r="EX348" s="319" t="s">
        <v>190</v>
      </c>
      <c r="EY348" s="319" t="s">
        <v>190</v>
      </c>
      <c r="EZ348" s="319" t="s">
        <v>190</v>
      </c>
      <c r="FA348" s="319" t="s">
        <v>190</v>
      </c>
      <c r="FB348" s="319" t="s">
        <v>190</v>
      </c>
      <c r="FC348" s="319" t="s">
        <v>190</v>
      </c>
      <c r="FD348" s="319" t="s">
        <v>190</v>
      </c>
      <c r="FE348" s="319" t="s">
        <v>190</v>
      </c>
      <c r="FF348" s="319" t="s">
        <v>190</v>
      </c>
      <c r="FG348" s="319" t="s">
        <v>190</v>
      </c>
      <c r="FH348" s="319" t="s">
        <v>190</v>
      </c>
      <c r="FI348" s="319" t="s">
        <v>190</v>
      </c>
      <c r="FJ348" s="319" t="s">
        <v>190</v>
      </c>
      <c r="FK348" s="319" t="s">
        <v>190</v>
      </c>
      <c r="FL348" s="319" t="s">
        <v>190</v>
      </c>
      <c r="FM348" s="319" t="s">
        <v>190</v>
      </c>
      <c r="FN348" s="319" t="s">
        <v>428</v>
      </c>
      <c r="FO348" s="319" t="s">
        <v>428</v>
      </c>
      <c r="FP348" s="319" t="s">
        <v>190</v>
      </c>
      <c r="FQ348" s="319" t="s">
        <v>190</v>
      </c>
      <c r="FR348" s="319" t="s">
        <v>190</v>
      </c>
      <c r="FS348" s="319" t="s">
        <v>190</v>
      </c>
      <c r="FT348" s="319" t="s">
        <v>190</v>
      </c>
      <c r="FU348" s="319" t="s">
        <v>190</v>
      </c>
      <c r="FV348" s="319" t="s">
        <v>190</v>
      </c>
      <c r="FW348" s="319" t="s">
        <v>190</v>
      </c>
      <c r="FX348" s="319" t="s">
        <v>190</v>
      </c>
      <c r="FY348" s="319" t="s">
        <v>190</v>
      </c>
      <c r="FZ348" s="319" t="s">
        <v>190</v>
      </c>
      <c r="GA348" s="319" t="s">
        <v>190</v>
      </c>
      <c r="GB348" s="319" t="s">
        <v>190</v>
      </c>
      <c r="GC348" s="319" t="s">
        <v>190</v>
      </c>
      <c r="GD348" s="319" t="s">
        <v>190</v>
      </c>
      <c r="GE348" s="319" t="s">
        <v>190</v>
      </c>
      <c r="GF348" s="319" t="s">
        <v>190</v>
      </c>
      <c r="GG348" s="319" t="s">
        <v>190</v>
      </c>
      <c r="GH348" s="319" t="s">
        <v>190</v>
      </c>
      <c r="GI348" s="319" t="s">
        <v>190</v>
      </c>
      <c r="GJ348" s="319" t="s">
        <v>190</v>
      </c>
      <c r="GK348" s="319" t="s">
        <v>428</v>
      </c>
      <c r="GL348" s="319" t="s">
        <v>190</v>
      </c>
      <c r="GM348" s="319" t="s">
        <v>190</v>
      </c>
      <c r="GN348" s="319" t="s">
        <v>190</v>
      </c>
      <c r="GO348" s="319" t="s">
        <v>190</v>
      </c>
      <c r="GP348" s="319" t="s">
        <v>190</v>
      </c>
      <c r="GQ348" s="319" t="s">
        <v>190</v>
      </c>
      <c r="GR348" s="319" t="s">
        <v>190</v>
      </c>
      <c r="GS348" s="319" t="s">
        <v>190</v>
      </c>
      <c r="GT348" s="319" t="s">
        <v>190</v>
      </c>
      <c r="GU348" s="319" t="s">
        <v>190</v>
      </c>
      <c r="GV348" s="319" t="s">
        <v>190</v>
      </c>
      <c r="GW348" s="319" t="s">
        <v>190</v>
      </c>
      <c r="GX348" s="319" t="s">
        <v>190</v>
      </c>
      <c r="GY348" s="319" t="s">
        <v>190</v>
      </c>
      <c r="GZ348" s="319" t="s">
        <v>190</v>
      </c>
      <c r="HA348" s="319" t="s">
        <v>190</v>
      </c>
      <c r="HB348" s="319" t="s">
        <v>190</v>
      </c>
      <c r="HC348" s="319" t="s">
        <v>190</v>
      </c>
      <c r="HD348" s="319" t="s">
        <v>190</v>
      </c>
      <c r="HE348" s="319" t="s">
        <v>190</v>
      </c>
      <c r="HF348" s="319" t="s">
        <v>190</v>
      </c>
      <c r="HG348" s="319" t="s">
        <v>190</v>
      </c>
      <c r="HH348" s="319" t="s">
        <v>190</v>
      </c>
      <c r="HI348" s="319" t="s">
        <v>428</v>
      </c>
      <c r="HJ348" s="319" t="s">
        <v>190</v>
      </c>
      <c r="HK348" s="319" t="s">
        <v>190</v>
      </c>
      <c r="HL348" s="319" t="s">
        <v>190</v>
      </c>
      <c r="HM348" s="319" t="s">
        <v>428</v>
      </c>
      <c r="HN348" s="319" t="s">
        <v>428</v>
      </c>
      <c r="HO348" s="319" t="s">
        <v>428</v>
      </c>
      <c r="HP348" s="319" t="s">
        <v>190</v>
      </c>
      <c r="HQ348" s="319" t="s">
        <v>190</v>
      </c>
      <c r="HR348" s="319" t="s">
        <v>190</v>
      </c>
      <c r="HS348" s="319" t="s">
        <v>190</v>
      </c>
      <c r="HT348" s="319" t="s">
        <v>190</v>
      </c>
      <c r="HU348" s="319" t="s">
        <v>190</v>
      </c>
      <c r="HV348" s="319" t="s">
        <v>190</v>
      </c>
      <c r="HW348" s="319" t="s">
        <v>190</v>
      </c>
      <c r="HX348" s="319" t="s">
        <v>190</v>
      </c>
      <c r="HY348" s="319" t="s">
        <v>190</v>
      </c>
      <c r="HZ348" s="319" t="s">
        <v>190</v>
      </c>
      <c r="IA348" s="319" t="s">
        <v>190</v>
      </c>
      <c r="IB348" s="319" t="s">
        <v>190</v>
      </c>
      <c r="IC348" s="319" t="s">
        <v>190</v>
      </c>
      <c r="ID348" s="319" t="s">
        <v>190</v>
      </c>
      <c r="IE348" s="319" t="s">
        <v>190</v>
      </c>
      <c r="IF348" s="319" t="s">
        <v>190</v>
      </c>
      <c r="IG348" s="319" t="s">
        <v>190</v>
      </c>
      <c r="IH348" s="319" t="s">
        <v>190</v>
      </c>
      <c r="II348" s="319" t="s">
        <v>190</v>
      </c>
      <c r="IJ348" s="319" t="s">
        <v>3132</v>
      </c>
      <c r="IK348" s="321">
        <v>41653</v>
      </c>
      <c r="IL348" s="321">
        <v>41655</v>
      </c>
      <c r="IM348" s="321">
        <v>41697</v>
      </c>
      <c r="IN348" s="319">
        <v>4</v>
      </c>
      <c r="IO348" s="319" t="s">
        <v>173</v>
      </c>
      <c r="IP348" s="319" t="s">
        <v>173</v>
      </c>
      <c r="IQ348" s="321" t="s">
        <v>173</v>
      </c>
      <c r="IR348" s="320" t="s">
        <v>173</v>
      </c>
      <c r="IS348" s="322" t="s">
        <v>173</v>
      </c>
      <c r="IT348" s="319" t="s">
        <v>173</v>
      </c>
    </row>
    <row r="349" spans="1:254" s="271" customFormat="1" x14ac:dyDescent="0.25">
      <c r="A349" s="318" t="str">
        <f>HYPERLINK("http://www.ofsted.gov.uk/inspection-reports/find-inspection-report/provider/ELS/131778 ","Ofsted School Webpage")</f>
        <v>Ofsted School Webpage</v>
      </c>
      <c r="B349" s="319">
        <v>131778</v>
      </c>
      <c r="C349" s="319">
        <v>2076396</v>
      </c>
      <c r="D349" s="319" t="s">
        <v>1686</v>
      </c>
      <c r="E349" s="319" t="s">
        <v>167</v>
      </c>
      <c r="F349" s="319" t="s">
        <v>59</v>
      </c>
      <c r="G349" s="319" t="s">
        <v>59</v>
      </c>
      <c r="H349" s="319" t="s">
        <v>59</v>
      </c>
      <c r="I349" s="319" t="s">
        <v>59</v>
      </c>
      <c r="J349" s="319" t="s">
        <v>424</v>
      </c>
      <c r="K349" s="319" t="s">
        <v>441</v>
      </c>
      <c r="L349" s="319" t="s">
        <v>441</v>
      </c>
      <c r="M349" s="319" t="s">
        <v>567</v>
      </c>
      <c r="N349" s="319" t="s">
        <v>2790</v>
      </c>
      <c r="O349" s="319" t="s">
        <v>1687</v>
      </c>
      <c r="P349" s="319">
        <v>23</v>
      </c>
      <c r="Q349" s="319" t="s">
        <v>2776</v>
      </c>
      <c r="R349" s="320">
        <v>10092438</v>
      </c>
      <c r="S349" s="321">
        <v>43627</v>
      </c>
      <c r="T349" s="321">
        <v>43629</v>
      </c>
      <c r="U349" s="321">
        <v>43650</v>
      </c>
      <c r="V349" s="319" t="s">
        <v>425</v>
      </c>
      <c r="W349" s="319" t="s">
        <v>2767</v>
      </c>
      <c r="X349" s="319">
        <v>2</v>
      </c>
      <c r="Y349" s="319" t="s">
        <v>173</v>
      </c>
      <c r="Z349" s="319" t="s">
        <v>173</v>
      </c>
      <c r="AA349" s="319" t="s">
        <v>173</v>
      </c>
      <c r="AB349" s="319">
        <v>2</v>
      </c>
      <c r="AC349" s="319" t="s">
        <v>169</v>
      </c>
      <c r="AD349" s="319">
        <v>2</v>
      </c>
      <c r="AE349" s="319" t="s">
        <v>173</v>
      </c>
      <c r="AF349" s="319" t="s">
        <v>427</v>
      </c>
      <c r="AG349" s="319" t="s">
        <v>171</v>
      </c>
      <c r="AH349" s="319" t="s">
        <v>190</v>
      </c>
      <c r="AI349" s="319" t="s">
        <v>190</v>
      </c>
      <c r="AJ349" s="319" t="s">
        <v>190</v>
      </c>
      <c r="AK349" s="319" t="s">
        <v>190</v>
      </c>
      <c r="AL349" s="319" t="s">
        <v>190</v>
      </c>
      <c r="AM349" s="319" t="s">
        <v>190</v>
      </c>
      <c r="AN349" s="319" t="s">
        <v>190</v>
      </c>
      <c r="AO349" s="319" t="s">
        <v>190</v>
      </c>
      <c r="AP349" s="319" t="s">
        <v>190</v>
      </c>
      <c r="AQ349" s="319" t="s">
        <v>190</v>
      </c>
      <c r="AR349" s="319" t="s">
        <v>190</v>
      </c>
      <c r="AS349" s="319" t="s">
        <v>190</v>
      </c>
      <c r="AT349" s="319" t="s">
        <v>190</v>
      </c>
      <c r="AU349" s="319" t="s">
        <v>190</v>
      </c>
      <c r="AV349" s="319" t="s">
        <v>190</v>
      </c>
      <c r="AW349" s="319" t="s">
        <v>190</v>
      </c>
      <c r="AX349" s="319" t="s">
        <v>428</v>
      </c>
      <c r="AY349" s="319" t="s">
        <v>190</v>
      </c>
      <c r="AZ349" s="319" t="s">
        <v>190</v>
      </c>
      <c r="BA349" s="319" t="s">
        <v>190</v>
      </c>
      <c r="BB349" s="319" t="s">
        <v>190</v>
      </c>
      <c r="BC349" s="319" t="s">
        <v>190</v>
      </c>
      <c r="BD349" s="319" t="s">
        <v>190</v>
      </c>
      <c r="BE349" s="319" t="s">
        <v>190</v>
      </c>
      <c r="BF349" s="319" t="s">
        <v>428</v>
      </c>
      <c r="BG349" s="319" t="s">
        <v>428</v>
      </c>
      <c r="BH349" s="319" t="s">
        <v>190</v>
      </c>
      <c r="BI349" s="319" t="s">
        <v>190</v>
      </c>
      <c r="BJ349" s="319" t="s">
        <v>190</v>
      </c>
      <c r="BK349" s="319" t="s">
        <v>190</v>
      </c>
      <c r="BL349" s="319" t="s">
        <v>190</v>
      </c>
      <c r="BM349" s="319" t="s">
        <v>190</v>
      </c>
      <c r="BN349" s="319" t="s">
        <v>190</v>
      </c>
      <c r="BO349" s="319" t="s">
        <v>190</v>
      </c>
      <c r="BP349" s="319" t="s">
        <v>190</v>
      </c>
      <c r="BQ349" s="319" t="s">
        <v>190</v>
      </c>
      <c r="BR349" s="319" t="s">
        <v>190</v>
      </c>
      <c r="BS349" s="319" t="s">
        <v>190</v>
      </c>
      <c r="BT349" s="319" t="s">
        <v>190</v>
      </c>
      <c r="BU349" s="319" t="s">
        <v>190</v>
      </c>
      <c r="BV349" s="319" t="s">
        <v>190</v>
      </c>
      <c r="BW349" s="319" t="s">
        <v>190</v>
      </c>
      <c r="BX349" s="319" t="s">
        <v>190</v>
      </c>
      <c r="BY349" s="319" t="s">
        <v>190</v>
      </c>
      <c r="BZ349" s="319" t="s">
        <v>190</v>
      </c>
      <c r="CA349" s="319" t="s">
        <v>190</v>
      </c>
      <c r="CB349" s="319" t="s">
        <v>190</v>
      </c>
      <c r="CC349" s="319" t="s">
        <v>190</v>
      </c>
      <c r="CD349" s="319" t="s">
        <v>190</v>
      </c>
      <c r="CE349" s="319" t="s">
        <v>190</v>
      </c>
      <c r="CF349" s="319" t="s">
        <v>190</v>
      </c>
      <c r="CG349" s="319" t="s">
        <v>190</v>
      </c>
      <c r="CH349" s="319" t="s">
        <v>190</v>
      </c>
      <c r="CI349" s="319" t="s">
        <v>190</v>
      </c>
      <c r="CJ349" s="319" t="s">
        <v>190</v>
      </c>
      <c r="CK349" s="319" t="s">
        <v>190</v>
      </c>
      <c r="CL349" s="319" t="s">
        <v>190</v>
      </c>
      <c r="CM349" s="319" t="s">
        <v>190</v>
      </c>
      <c r="CN349" s="319" t="s">
        <v>428</v>
      </c>
      <c r="CO349" s="319" t="s">
        <v>428</v>
      </c>
      <c r="CP349" s="319" t="s">
        <v>428</v>
      </c>
      <c r="CQ349" s="319" t="s">
        <v>190</v>
      </c>
      <c r="CR349" s="319" t="s">
        <v>190</v>
      </c>
      <c r="CS349" s="319" t="s">
        <v>190</v>
      </c>
      <c r="CT349" s="319" t="s">
        <v>190</v>
      </c>
      <c r="CU349" s="319" t="s">
        <v>190</v>
      </c>
      <c r="CV349" s="319" t="s">
        <v>190</v>
      </c>
      <c r="CW349" s="319" t="s">
        <v>190</v>
      </c>
      <c r="CX349" s="319" t="s">
        <v>190</v>
      </c>
      <c r="CY349" s="319" t="s">
        <v>190</v>
      </c>
      <c r="CZ349" s="319" t="s">
        <v>190</v>
      </c>
      <c r="DA349" s="319" t="s">
        <v>190</v>
      </c>
      <c r="DB349" s="319" t="s">
        <v>190</v>
      </c>
      <c r="DC349" s="319" t="s">
        <v>190</v>
      </c>
      <c r="DD349" s="319" t="s">
        <v>190</v>
      </c>
      <c r="DE349" s="319" t="s">
        <v>190</v>
      </c>
      <c r="DF349" s="319" t="s">
        <v>190</v>
      </c>
      <c r="DG349" s="319" t="s">
        <v>190</v>
      </c>
      <c r="DH349" s="319" t="s">
        <v>190</v>
      </c>
      <c r="DI349" s="319" t="s">
        <v>190</v>
      </c>
      <c r="DJ349" s="319" t="s">
        <v>190</v>
      </c>
      <c r="DK349" s="319" t="s">
        <v>190</v>
      </c>
      <c r="DL349" s="319" t="s">
        <v>190</v>
      </c>
      <c r="DM349" s="319" t="s">
        <v>190</v>
      </c>
      <c r="DN349" s="319" t="s">
        <v>428</v>
      </c>
      <c r="DO349" s="319" t="s">
        <v>190</v>
      </c>
      <c r="DP349" s="319" t="s">
        <v>428</v>
      </c>
      <c r="DQ349" s="319" t="s">
        <v>428</v>
      </c>
      <c r="DR349" s="319" t="s">
        <v>428</v>
      </c>
      <c r="DS349" s="319" t="s">
        <v>428</v>
      </c>
      <c r="DT349" s="319" t="s">
        <v>428</v>
      </c>
      <c r="DU349" s="319" t="s">
        <v>428</v>
      </c>
      <c r="DV349" s="319" t="s">
        <v>173</v>
      </c>
      <c r="DW349" s="319" t="s">
        <v>428</v>
      </c>
      <c r="DX349" s="319" t="s">
        <v>428</v>
      </c>
      <c r="DY349" s="319" t="s">
        <v>428</v>
      </c>
      <c r="DZ349" s="319" t="s">
        <v>428</v>
      </c>
      <c r="EA349" s="319" t="s">
        <v>428</v>
      </c>
      <c r="EB349" s="319" t="s">
        <v>428</v>
      </c>
      <c r="EC349" s="319" t="s">
        <v>428</v>
      </c>
      <c r="ED349" s="319" t="s">
        <v>428</v>
      </c>
      <c r="EE349" s="319" t="s">
        <v>190</v>
      </c>
      <c r="EF349" s="319" t="s">
        <v>190</v>
      </c>
      <c r="EG349" s="319" t="s">
        <v>190</v>
      </c>
      <c r="EH349" s="319" t="s">
        <v>190</v>
      </c>
      <c r="EI349" s="319" t="s">
        <v>190</v>
      </c>
      <c r="EJ349" s="319" t="s">
        <v>190</v>
      </c>
      <c r="EK349" s="319" t="s">
        <v>190</v>
      </c>
      <c r="EL349" s="319" t="s">
        <v>190</v>
      </c>
      <c r="EM349" s="319" t="s">
        <v>190</v>
      </c>
      <c r="EN349" s="319" t="s">
        <v>190</v>
      </c>
      <c r="EO349" s="319" t="s">
        <v>190</v>
      </c>
      <c r="EP349" s="319" t="s">
        <v>190</v>
      </c>
      <c r="EQ349" s="319" t="s">
        <v>190</v>
      </c>
      <c r="ER349" s="319" t="s">
        <v>190</v>
      </c>
      <c r="ES349" s="319" t="s">
        <v>190</v>
      </c>
      <c r="ET349" s="319" t="s">
        <v>190</v>
      </c>
      <c r="EU349" s="319" t="s">
        <v>190</v>
      </c>
      <c r="EV349" s="319" t="s">
        <v>190</v>
      </c>
      <c r="EW349" s="319" t="s">
        <v>190</v>
      </c>
      <c r="EX349" s="319" t="s">
        <v>190</v>
      </c>
      <c r="EY349" s="319" t="s">
        <v>190</v>
      </c>
      <c r="EZ349" s="319" t="s">
        <v>190</v>
      </c>
      <c r="FA349" s="319" t="s">
        <v>190</v>
      </c>
      <c r="FB349" s="319" t="s">
        <v>428</v>
      </c>
      <c r="FC349" s="319" t="s">
        <v>428</v>
      </c>
      <c r="FD349" s="319" t="s">
        <v>428</v>
      </c>
      <c r="FE349" s="319" t="s">
        <v>428</v>
      </c>
      <c r="FF349" s="319" t="s">
        <v>428</v>
      </c>
      <c r="FG349" s="319" t="s">
        <v>428</v>
      </c>
      <c r="FH349" s="319" t="s">
        <v>190</v>
      </c>
      <c r="FI349" s="319" t="s">
        <v>190</v>
      </c>
      <c r="FJ349" s="319" t="s">
        <v>190</v>
      </c>
      <c r="FK349" s="319" t="s">
        <v>190</v>
      </c>
      <c r="FL349" s="319" t="s">
        <v>190</v>
      </c>
      <c r="FM349" s="319" t="s">
        <v>190</v>
      </c>
      <c r="FN349" s="319" t="s">
        <v>190</v>
      </c>
      <c r="FO349" s="319" t="s">
        <v>190</v>
      </c>
      <c r="FP349" s="319" t="s">
        <v>190</v>
      </c>
      <c r="FQ349" s="319" t="s">
        <v>190</v>
      </c>
      <c r="FR349" s="319" t="s">
        <v>190</v>
      </c>
      <c r="FS349" s="319" t="s">
        <v>428</v>
      </c>
      <c r="FT349" s="319" t="s">
        <v>190</v>
      </c>
      <c r="FU349" s="319" t="s">
        <v>190</v>
      </c>
      <c r="FV349" s="319" t="s">
        <v>190</v>
      </c>
      <c r="FW349" s="319" t="s">
        <v>190</v>
      </c>
      <c r="FX349" s="319" t="s">
        <v>190</v>
      </c>
      <c r="FY349" s="319" t="s">
        <v>190</v>
      </c>
      <c r="FZ349" s="319" t="s">
        <v>190</v>
      </c>
      <c r="GA349" s="319" t="s">
        <v>190</v>
      </c>
      <c r="GB349" s="319" t="s">
        <v>190</v>
      </c>
      <c r="GC349" s="319" t="s">
        <v>190</v>
      </c>
      <c r="GD349" s="319" t="s">
        <v>190</v>
      </c>
      <c r="GE349" s="319" t="s">
        <v>190</v>
      </c>
      <c r="GF349" s="319" t="s">
        <v>190</v>
      </c>
      <c r="GG349" s="319" t="s">
        <v>190</v>
      </c>
      <c r="GH349" s="319" t="s">
        <v>190</v>
      </c>
      <c r="GI349" s="319" t="s">
        <v>190</v>
      </c>
      <c r="GJ349" s="319" t="s">
        <v>190</v>
      </c>
      <c r="GK349" s="319" t="s">
        <v>428</v>
      </c>
      <c r="GL349" s="319" t="s">
        <v>190</v>
      </c>
      <c r="GM349" s="319" t="s">
        <v>190</v>
      </c>
      <c r="GN349" s="319" t="s">
        <v>190</v>
      </c>
      <c r="GO349" s="319" t="s">
        <v>190</v>
      </c>
      <c r="GP349" s="319" t="s">
        <v>190</v>
      </c>
      <c r="GQ349" s="319" t="s">
        <v>428</v>
      </c>
      <c r="GR349" s="319" t="s">
        <v>190</v>
      </c>
      <c r="GS349" s="319" t="s">
        <v>190</v>
      </c>
      <c r="GT349" s="319" t="s">
        <v>190</v>
      </c>
      <c r="GU349" s="319" t="s">
        <v>190</v>
      </c>
      <c r="GV349" s="319" t="s">
        <v>428</v>
      </c>
      <c r="GW349" s="319" t="s">
        <v>190</v>
      </c>
      <c r="GX349" s="319" t="s">
        <v>190</v>
      </c>
      <c r="GY349" s="319" t="s">
        <v>190</v>
      </c>
      <c r="GZ349" s="319" t="s">
        <v>190</v>
      </c>
      <c r="HA349" s="319" t="s">
        <v>428</v>
      </c>
      <c r="HB349" s="319" t="s">
        <v>190</v>
      </c>
      <c r="HC349" s="319" t="s">
        <v>190</v>
      </c>
      <c r="HD349" s="319" t="s">
        <v>190</v>
      </c>
      <c r="HE349" s="319" t="s">
        <v>190</v>
      </c>
      <c r="HF349" s="319" t="s">
        <v>190</v>
      </c>
      <c r="HG349" s="319" t="s">
        <v>190</v>
      </c>
      <c r="HH349" s="319" t="s">
        <v>190</v>
      </c>
      <c r="HI349" s="319" t="s">
        <v>190</v>
      </c>
      <c r="HJ349" s="319" t="s">
        <v>190</v>
      </c>
      <c r="HK349" s="319" t="s">
        <v>190</v>
      </c>
      <c r="HL349" s="319" t="s">
        <v>428</v>
      </c>
      <c r="HM349" s="319" t="s">
        <v>428</v>
      </c>
      <c r="HN349" s="319" t="s">
        <v>428</v>
      </c>
      <c r="HO349" s="319" t="s">
        <v>428</v>
      </c>
      <c r="HP349" s="319" t="s">
        <v>190</v>
      </c>
      <c r="HQ349" s="319" t="s">
        <v>190</v>
      </c>
      <c r="HR349" s="319" t="s">
        <v>190</v>
      </c>
      <c r="HS349" s="319" t="s">
        <v>190</v>
      </c>
      <c r="HT349" s="319" t="s">
        <v>190</v>
      </c>
      <c r="HU349" s="319" t="s">
        <v>190</v>
      </c>
      <c r="HV349" s="319" t="s">
        <v>190</v>
      </c>
      <c r="HW349" s="319" t="s">
        <v>190</v>
      </c>
      <c r="HX349" s="319" t="s">
        <v>190</v>
      </c>
      <c r="HY349" s="319" t="s">
        <v>190</v>
      </c>
      <c r="HZ349" s="319" t="s">
        <v>190</v>
      </c>
      <c r="IA349" s="319" t="s">
        <v>190</v>
      </c>
      <c r="IB349" s="319" t="s">
        <v>190</v>
      </c>
      <c r="IC349" s="319" t="s">
        <v>190</v>
      </c>
      <c r="ID349" s="319" t="s">
        <v>190</v>
      </c>
      <c r="IE349" s="319" t="s">
        <v>190</v>
      </c>
      <c r="IF349" s="319" t="s">
        <v>190</v>
      </c>
      <c r="IG349" s="319" t="s">
        <v>190</v>
      </c>
      <c r="IH349" s="319" t="s">
        <v>190</v>
      </c>
      <c r="II349" s="319" t="s">
        <v>190</v>
      </c>
      <c r="IJ349" s="319">
        <v>10020864</v>
      </c>
      <c r="IK349" s="321">
        <v>43025</v>
      </c>
      <c r="IL349" s="321">
        <v>43027</v>
      </c>
      <c r="IM349" s="321">
        <v>43067</v>
      </c>
      <c r="IN349" s="319">
        <v>3</v>
      </c>
      <c r="IO349" s="319" t="s">
        <v>173</v>
      </c>
      <c r="IP349" s="319" t="s">
        <v>173</v>
      </c>
      <c r="IQ349" s="319" t="s">
        <v>173</v>
      </c>
      <c r="IR349" s="320" t="s">
        <v>173</v>
      </c>
      <c r="IS349" s="320" t="s">
        <v>173</v>
      </c>
      <c r="IT349" s="319" t="s">
        <v>173</v>
      </c>
    </row>
    <row r="350" spans="1:254" s="271" customFormat="1" x14ac:dyDescent="0.25">
      <c r="A350" s="318" t="str">
        <f>HYPERLINK("http://www.ofsted.gov.uk/inspection-reports/find-inspection-report/provider/ELS/131780 ","Ofsted School Webpage")</f>
        <v>Ofsted School Webpage</v>
      </c>
      <c r="B350" s="319">
        <v>131780</v>
      </c>
      <c r="C350" s="319">
        <v>8866084</v>
      </c>
      <c r="D350" s="319" t="s">
        <v>1186</v>
      </c>
      <c r="E350" s="319" t="s">
        <v>168</v>
      </c>
      <c r="F350" s="319" t="s">
        <v>81</v>
      </c>
      <c r="G350" s="319" t="s">
        <v>81</v>
      </c>
      <c r="H350" s="319" t="s">
        <v>81</v>
      </c>
      <c r="I350" s="319" t="s">
        <v>78</v>
      </c>
      <c r="J350" s="319" t="s">
        <v>424</v>
      </c>
      <c r="K350" s="319" t="s">
        <v>514</v>
      </c>
      <c r="L350" s="319" t="s">
        <v>514</v>
      </c>
      <c r="M350" s="319" t="s">
        <v>614</v>
      </c>
      <c r="N350" s="319" t="s">
        <v>2986</v>
      </c>
      <c r="O350" s="319" t="s">
        <v>1187</v>
      </c>
      <c r="P350" s="319">
        <v>12</v>
      </c>
      <c r="Q350" s="319" t="s">
        <v>429</v>
      </c>
      <c r="R350" s="320">
        <v>10006331</v>
      </c>
      <c r="S350" s="321">
        <v>42913</v>
      </c>
      <c r="T350" s="321">
        <v>42915</v>
      </c>
      <c r="U350" s="321">
        <v>42936</v>
      </c>
      <c r="V350" s="319" t="s">
        <v>425</v>
      </c>
      <c r="W350" s="319" t="s">
        <v>2767</v>
      </c>
      <c r="X350" s="319">
        <v>2</v>
      </c>
      <c r="Y350" s="319" t="s">
        <v>173</v>
      </c>
      <c r="Z350" s="319" t="s">
        <v>173</v>
      </c>
      <c r="AA350" s="319" t="s">
        <v>173</v>
      </c>
      <c r="AB350" s="319">
        <v>2</v>
      </c>
      <c r="AC350" s="319" t="s">
        <v>169</v>
      </c>
      <c r="AD350" s="319" t="s">
        <v>173</v>
      </c>
      <c r="AE350" s="319" t="s">
        <v>173</v>
      </c>
      <c r="AF350" s="319" t="s">
        <v>173</v>
      </c>
      <c r="AG350" s="319" t="s">
        <v>171</v>
      </c>
      <c r="AH350" s="319" t="s">
        <v>190</v>
      </c>
      <c r="AI350" s="319" t="s">
        <v>190</v>
      </c>
      <c r="AJ350" s="319" t="s">
        <v>190</v>
      </c>
      <c r="AK350" s="319" t="s">
        <v>190</v>
      </c>
      <c r="AL350" s="319" t="s">
        <v>190</v>
      </c>
      <c r="AM350" s="319" t="s">
        <v>190</v>
      </c>
      <c r="AN350" s="319" t="s">
        <v>190</v>
      </c>
      <c r="AO350" s="319" t="s">
        <v>190</v>
      </c>
      <c r="AP350" s="319" t="s">
        <v>190</v>
      </c>
      <c r="AQ350" s="319" t="s">
        <v>190</v>
      </c>
      <c r="AR350" s="319" t="s">
        <v>190</v>
      </c>
      <c r="AS350" s="319" t="s">
        <v>190</v>
      </c>
      <c r="AT350" s="319" t="s">
        <v>190</v>
      </c>
      <c r="AU350" s="319" t="s">
        <v>190</v>
      </c>
      <c r="AV350" s="319" t="s">
        <v>190</v>
      </c>
      <c r="AW350" s="319" t="s">
        <v>190</v>
      </c>
      <c r="AX350" s="319" t="s">
        <v>429</v>
      </c>
      <c r="AY350" s="319" t="s">
        <v>190</v>
      </c>
      <c r="AZ350" s="319" t="s">
        <v>190</v>
      </c>
      <c r="BA350" s="319" t="s">
        <v>190</v>
      </c>
      <c r="BB350" s="319" t="s">
        <v>190</v>
      </c>
      <c r="BC350" s="319" t="s">
        <v>190</v>
      </c>
      <c r="BD350" s="319" t="s">
        <v>190</v>
      </c>
      <c r="BE350" s="319" t="s">
        <v>190</v>
      </c>
      <c r="BF350" s="319" t="s">
        <v>429</v>
      </c>
      <c r="BG350" s="319" t="s">
        <v>429</v>
      </c>
      <c r="BH350" s="319" t="s">
        <v>190</v>
      </c>
      <c r="BI350" s="319" t="s">
        <v>190</v>
      </c>
      <c r="BJ350" s="319" t="s">
        <v>190</v>
      </c>
      <c r="BK350" s="319" t="s">
        <v>190</v>
      </c>
      <c r="BL350" s="319" t="s">
        <v>190</v>
      </c>
      <c r="BM350" s="319" t="s">
        <v>190</v>
      </c>
      <c r="BN350" s="319" t="s">
        <v>190</v>
      </c>
      <c r="BO350" s="319" t="s">
        <v>190</v>
      </c>
      <c r="BP350" s="319" t="s">
        <v>190</v>
      </c>
      <c r="BQ350" s="319" t="s">
        <v>190</v>
      </c>
      <c r="BR350" s="319" t="s">
        <v>190</v>
      </c>
      <c r="BS350" s="319" t="s">
        <v>190</v>
      </c>
      <c r="BT350" s="319" t="s">
        <v>190</v>
      </c>
      <c r="BU350" s="319" t="s">
        <v>190</v>
      </c>
      <c r="BV350" s="319" t="s">
        <v>190</v>
      </c>
      <c r="BW350" s="319" t="s">
        <v>190</v>
      </c>
      <c r="BX350" s="319" t="s">
        <v>190</v>
      </c>
      <c r="BY350" s="319" t="s">
        <v>190</v>
      </c>
      <c r="BZ350" s="319" t="s">
        <v>190</v>
      </c>
      <c r="CA350" s="319" t="s">
        <v>190</v>
      </c>
      <c r="CB350" s="319" t="s">
        <v>190</v>
      </c>
      <c r="CC350" s="319" t="s">
        <v>190</v>
      </c>
      <c r="CD350" s="319" t="s">
        <v>190</v>
      </c>
      <c r="CE350" s="319" t="s">
        <v>190</v>
      </c>
      <c r="CF350" s="319" t="s">
        <v>190</v>
      </c>
      <c r="CG350" s="319" t="s">
        <v>190</v>
      </c>
      <c r="CH350" s="319" t="s">
        <v>190</v>
      </c>
      <c r="CI350" s="319" t="s">
        <v>190</v>
      </c>
      <c r="CJ350" s="319" t="s">
        <v>190</v>
      </c>
      <c r="CK350" s="319" t="s">
        <v>190</v>
      </c>
      <c r="CL350" s="319" t="s">
        <v>190</v>
      </c>
      <c r="CM350" s="319" t="s">
        <v>190</v>
      </c>
      <c r="CN350" s="319" t="s">
        <v>429</v>
      </c>
      <c r="CO350" s="319" t="s">
        <v>429</v>
      </c>
      <c r="CP350" s="319" t="s">
        <v>429</v>
      </c>
      <c r="CQ350" s="319" t="s">
        <v>190</v>
      </c>
      <c r="CR350" s="319" t="s">
        <v>190</v>
      </c>
      <c r="CS350" s="319" t="s">
        <v>190</v>
      </c>
      <c r="CT350" s="319" t="s">
        <v>190</v>
      </c>
      <c r="CU350" s="319" t="s">
        <v>190</v>
      </c>
      <c r="CV350" s="319" t="s">
        <v>190</v>
      </c>
      <c r="CW350" s="319" t="s">
        <v>190</v>
      </c>
      <c r="CX350" s="319" t="s">
        <v>190</v>
      </c>
      <c r="CY350" s="319" t="s">
        <v>190</v>
      </c>
      <c r="CZ350" s="319" t="s">
        <v>190</v>
      </c>
      <c r="DA350" s="319" t="s">
        <v>190</v>
      </c>
      <c r="DB350" s="319" t="s">
        <v>190</v>
      </c>
      <c r="DC350" s="319" t="s">
        <v>190</v>
      </c>
      <c r="DD350" s="319" t="s">
        <v>190</v>
      </c>
      <c r="DE350" s="319" t="s">
        <v>190</v>
      </c>
      <c r="DF350" s="319" t="s">
        <v>190</v>
      </c>
      <c r="DG350" s="319" t="s">
        <v>190</v>
      </c>
      <c r="DH350" s="319" t="s">
        <v>190</v>
      </c>
      <c r="DI350" s="319" t="s">
        <v>190</v>
      </c>
      <c r="DJ350" s="319" t="s">
        <v>190</v>
      </c>
      <c r="DK350" s="319" t="s">
        <v>190</v>
      </c>
      <c r="DL350" s="319" t="s">
        <v>190</v>
      </c>
      <c r="DM350" s="319" t="s">
        <v>190</v>
      </c>
      <c r="DN350" s="319" t="s">
        <v>190</v>
      </c>
      <c r="DO350" s="319" t="s">
        <v>190</v>
      </c>
      <c r="DP350" s="319" t="s">
        <v>190</v>
      </c>
      <c r="DQ350" s="319" t="s">
        <v>190</v>
      </c>
      <c r="DR350" s="319" t="s">
        <v>190</v>
      </c>
      <c r="DS350" s="319" t="s">
        <v>190</v>
      </c>
      <c r="DT350" s="319" t="s">
        <v>190</v>
      </c>
      <c r="DU350" s="319" t="s">
        <v>190</v>
      </c>
      <c r="DV350" s="319" t="s">
        <v>173</v>
      </c>
      <c r="DW350" s="319" t="s">
        <v>190</v>
      </c>
      <c r="DX350" s="319" t="s">
        <v>190</v>
      </c>
      <c r="DY350" s="319" t="s">
        <v>190</v>
      </c>
      <c r="DZ350" s="319" t="s">
        <v>190</v>
      </c>
      <c r="EA350" s="319" t="s">
        <v>190</v>
      </c>
      <c r="EB350" s="319" t="s">
        <v>190</v>
      </c>
      <c r="EC350" s="319" t="s">
        <v>429</v>
      </c>
      <c r="ED350" s="319" t="s">
        <v>429</v>
      </c>
      <c r="EE350" s="319" t="s">
        <v>190</v>
      </c>
      <c r="EF350" s="319" t="s">
        <v>190</v>
      </c>
      <c r="EG350" s="319" t="s">
        <v>190</v>
      </c>
      <c r="EH350" s="319" t="s">
        <v>190</v>
      </c>
      <c r="EI350" s="319" t="s">
        <v>190</v>
      </c>
      <c r="EJ350" s="319" t="s">
        <v>190</v>
      </c>
      <c r="EK350" s="319" t="s">
        <v>190</v>
      </c>
      <c r="EL350" s="319" t="s">
        <v>190</v>
      </c>
      <c r="EM350" s="319" t="s">
        <v>190</v>
      </c>
      <c r="EN350" s="319" t="s">
        <v>190</v>
      </c>
      <c r="EO350" s="319" t="s">
        <v>190</v>
      </c>
      <c r="EP350" s="319" t="s">
        <v>190</v>
      </c>
      <c r="EQ350" s="319" t="s">
        <v>190</v>
      </c>
      <c r="ER350" s="319" t="s">
        <v>190</v>
      </c>
      <c r="ES350" s="319" t="s">
        <v>190</v>
      </c>
      <c r="ET350" s="319" t="s">
        <v>190</v>
      </c>
      <c r="EU350" s="319" t="s">
        <v>190</v>
      </c>
      <c r="EV350" s="319" t="s">
        <v>190</v>
      </c>
      <c r="EW350" s="319" t="s">
        <v>190</v>
      </c>
      <c r="EX350" s="319" t="s">
        <v>190</v>
      </c>
      <c r="EY350" s="319" t="s">
        <v>190</v>
      </c>
      <c r="EZ350" s="319" t="s">
        <v>190</v>
      </c>
      <c r="FA350" s="319" t="s">
        <v>190</v>
      </c>
      <c r="FB350" s="319" t="s">
        <v>190</v>
      </c>
      <c r="FC350" s="319" t="s">
        <v>190</v>
      </c>
      <c r="FD350" s="319" t="s">
        <v>190</v>
      </c>
      <c r="FE350" s="319" t="s">
        <v>190</v>
      </c>
      <c r="FF350" s="319" t="s">
        <v>190</v>
      </c>
      <c r="FG350" s="319" t="s">
        <v>190</v>
      </c>
      <c r="FH350" s="319" t="s">
        <v>190</v>
      </c>
      <c r="FI350" s="319" t="s">
        <v>190</v>
      </c>
      <c r="FJ350" s="319" t="s">
        <v>190</v>
      </c>
      <c r="FK350" s="319" t="s">
        <v>190</v>
      </c>
      <c r="FL350" s="319" t="s">
        <v>190</v>
      </c>
      <c r="FM350" s="319" t="s">
        <v>190</v>
      </c>
      <c r="FN350" s="319" t="s">
        <v>190</v>
      </c>
      <c r="FO350" s="319" t="s">
        <v>190</v>
      </c>
      <c r="FP350" s="319" t="s">
        <v>190</v>
      </c>
      <c r="FQ350" s="319" t="s">
        <v>190</v>
      </c>
      <c r="FR350" s="319" t="s">
        <v>190</v>
      </c>
      <c r="FS350" s="319" t="s">
        <v>429</v>
      </c>
      <c r="FT350" s="319" t="s">
        <v>190</v>
      </c>
      <c r="FU350" s="319" t="s">
        <v>190</v>
      </c>
      <c r="FV350" s="319" t="s">
        <v>190</v>
      </c>
      <c r="FW350" s="319" t="s">
        <v>190</v>
      </c>
      <c r="FX350" s="319" t="s">
        <v>190</v>
      </c>
      <c r="FY350" s="319" t="s">
        <v>190</v>
      </c>
      <c r="FZ350" s="319" t="s">
        <v>190</v>
      </c>
      <c r="GA350" s="319" t="s">
        <v>190</v>
      </c>
      <c r="GB350" s="319" t="s">
        <v>190</v>
      </c>
      <c r="GC350" s="319" t="s">
        <v>190</v>
      </c>
      <c r="GD350" s="319" t="s">
        <v>190</v>
      </c>
      <c r="GE350" s="319" t="s">
        <v>190</v>
      </c>
      <c r="GF350" s="319" t="s">
        <v>190</v>
      </c>
      <c r="GG350" s="319" t="s">
        <v>190</v>
      </c>
      <c r="GH350" s="319" t="s">
        <v>190</v>
      </c>
      <c r="GI350" s="319" t="s">
        <v>190</v>
      </c>
      <c r="GJ350" s="319" t="s">
        <v>190</v>
      </c>
      <c r="GK350" s="319" t="s">
        <v>429</v>
      </c>
      <c r="GL350" s="319" t="s">
        <v>190</v>
      </c>
      <c r="GM350" s="319" t="s">
        <v>190</v>
      </c>
      <c r="GN350" s="319" t="s">
        <v>190</v>
      </c>
      <c r="GO350" s="319" t="s">
        <v>190</v>
      </c>
      <c r="GP350" s="319" t="s">
        <v>190</v>
      </c>
      <c r="GQ350" s="319" t="s">
        <v>190</v>
      </c>
      <c r="GR350" s="319" t="s">
        <v>190</v>
      </c>
      <c r="GS350" s="319" t="s">
        <v>190</v>
      </c>
      <c r="GT350" s="319" t="s">
        <v>190</v>
      </c>
      <c r="GU350" s="319" t="s">
        <v>190</v>
      </c>
      <c r="GV350" s="319" t="s">
        <v>190</v>
      </c>
      <c r="GW350" s="319" t="s">
        <v>190</v>
      </c>
      <c r="GX350" s="319" t="s">
        <v>190</v>
      </c>
      <c r="GY350" s="319" t="s">
        <v>190</v>
      </c>
      <c r="GZ350" s="319" t="s">
        <v>190</v>
      </c>
      <c r="HA350" s="319" t="s">
        <v>190</v>
      </c>
      <c r="HB350" s="319" t="s">
        <v>190</v>
      </c>
      <c r="HC350" s="319" t="s">
        <v>190</v>
      </c>
      <c r="HD350" s="319" t="s">
        <v>190</v>
      </c>
      <c r="HE350" s="319" t="s">
        <v>190</v>
      </c>
      <c r="HF350" s="319" t="s">
        <v>190</v>
      </c>
      <c r="HG350" s="319" t="s">
        <v>190</v>
      </c>
      <c r="HH350" s="319" t="s">
        <v>190</v>
      </c>
      <c r="HI350" s="319" t="s">
        <v>190</v>
      </c>
      <c r="HJ350" s="319" t="s">
        <v>190</v>
      </c>
      <c r="HK350" s="319" t="s">
        <v>190</v>
      </c>
      <c r="HL350" s="319" t="s">
        <v>190</v>
      </c>
      <c r="HM350" s="319" t="s">
        <v>190</v>
      </c>
      <c r="HN350" s="319" t="s">
        <v>190</v>
      </c>
      <c r="HO350" s="319" t="s">
        <v>190</v>
      </c>
      <c r="HP350" s="319" t="s">
        <v>190</v>
      </c>
      <c r="HQ350" s="319" t="s">
        <v>190</v>
      </c>
      <c r="HR350" s="319" t="s">
        <v>190</v>
      </c>
      <c r="HS350" s="319" t="s">
        <v>190</v>
      </c>
      <c r="HT350" s="319" t="s">
        <v>190</v>
      </c>
      <c r="HU350" s="319" t="s">
        <v>190</v>
      </c>
      <c r="HV350" s="319" t="s">
        <v>190</v>
      </c>
      <c r="HW350" s="319" t="s">
        <v>190</v>
      </c>
      <c r="HX350" s="319" t="s">
        <v>190</v>
      </c>
      <c r="HY350" s="319" t="s">
        <v>190</v>
      </c>
      <c r="HZ350" s="319" t="s">
        <v>190</v>
      </c>
      <c r="IA350" s="319" t="s">
        <v>190</v>
      </c>
      <c r="IB350" s="319" t="s">
        <v>190</v>
      </c>
      <c r="IC350" s="319" t="s">
        <v>190</v>
      </c>
      <c r="ID350" s="319" t="s">
        <v>190</v>
      </c>
      <c r="IE350" s="319" t="s">
        <v>190</v>
      </c>
      <c r="IF350" s="319" t="s">
        <v>190</v>
      </c>
      <c r="IG350" s="319" t="s">
        <v>190</v>
      </c>
      <c r="IH350" s="319" t="s">
        <v>190</v>
      </c>
      <c r="II350" s="319" t="s">
        <v>190</v>
      </c>
      <c r="IJ350" s="319" t="s">
        <v>3133</v>
      </c>
      <c r="IK350" s="321">
        <v>41044</v>
      </c>
      <c r="IL350" s="321">
        <v>41045</v>
      </c>
      <c r="IM350" s="321">
        <v>41066</v>
      </c>
      <c r="IN350" s="319">
        <v>2</v>
      </c>
      <c r="IO350" s="319" t="s">
        <v>173</v>
      </c>
      <c r="IP350" s="319" t="s">
        <v>173</v>
      </c>
      <c r="IQ350" s="321" t="s">
        <v>173</v>
      </c>
      <c r="IR350" s="320" t="s">
        <v>173</v>
      </c>
      <c r="IS350" s="322" t="s">
        <v>173</v>
      </c>
      <c r="IT350" s="319" t="s">
        <v>173</v>
      </c>
    </row>
    <row r="351" spans="1:254" s="271" customFormat="1" x14ac:dyDescent="0.25">
      <c r="A351" s="318" t="str">
        <f>HYPERLINK("http://www.ofsted.gov.uk/inspection-reports/find-inspection-report/provider/ELS/131788 ","Ofsted School Webpage")</f>
        <v>Ofsted School Webpage</v>
      </c>
      <c r="B351" s="319">
        <v>131788</v>
      </c>
      <c r="C351" s="319">
        <v>3076080</v>
      </c>
      <c r="D351" s="319" t="s">
        <v>1081</v>
      </c>
      <c r="E351" s="319" t="s">
        <v>167</v>
      </c>
      <c r="F351" s="319" t="s">
        <v>81</v>
      </c>
      <c r="G351" s="319" t="s">
        <v>64</v>
      </c>
      <c r="H351" s="319" t="s">
        <v>64</v>
      </c>
      <c r="I351" s="319" t="s">
        <v>59</v>
      </c>
      <c r="J351" s="319" t="s">
        <v>424</v>
      </c>
      <c r="K351" s="319" t="s">
        <v>441</v>
      </c>
      <c r="L351" s="319" t="s">
        <v>441</v>
      </c>
      <c r="M351" s="319" t="s">
        <v>442</v>
      </c>
      <c r="N351" s="319" t="s">
        <v>2833</v>
      </c>
      <c r="O351" s="319" t="s">
        <v>1082</v>
      </c>
      <c r="P351" s="319">
        <v>77</v>
      </c>
      <c r="Q351" s="319" t="s">
        <v>2766</v>
      </c>
      <c r="R351" s="320">
        <v>10035792</v>
      </c>
      <c r="S351" s="321">
        <v>43109</v>
      </c>
      <c r="T351" s="321">
        <v>43111</v>
      </c>
      <c r="U351" s="321">
        <v>43138</v>
      </c>
      <c r="V351" s="319" t="s">
        <v>425</v>
      </c>
      <c r="W351" s="319" t="s">
        <v>2767</v>
      </c>
      <c r="X351" s="319">
        <v>3</v>
      </c>
      <c r="Y351" s="319" t="s">
        <v>173</v>
      </c>
      <c r="Z351" s="319" t="s">
        <v>173</v>
      </c>
      <c r="AA351" s="319" t="s">
        <v>173</v>
      </c>
      <c r="AB351" s="319">
        <v>3</v>
      </c>
      <c r="AC351" s="319" t="s">
        <v>169</v>
      </c>
      <c r="AD351" s="319">
        <v>2</v>
      </c>
      <c r="AE351" s="319" t="s">
        <v>173</v>
      </c>
      <c r="AF351" s="319" t="s">
        <v>427</v>
      </c>
      <c r="AG351" s="319" t="s">
        <v>172</v>
      </c>
      <c r="AH351" s="319" t="s">
        <v>190</v>
      </c>
      <c r="AI351" s="319" t="s">
        <v>479</v>
      </c>
      <c r="AJ351" s="319" t="s">
        <v>479</v>
      </c>
      <c r="AK351" s="319" t="s">
        <v>190</v>
      </c>
      <c r="AL351" s="319" t="s">
        <v>190</v>
      </c>
      <c r="AM351" s="319" t="s">
        <v>479</v>
      </c>
      <c r="AN351" s="319" t="s">
        <v>479</v>
      </c>
      <c r="AO351" s="319" t="s">
        <v>479</v>
      </c>
      <c r="AP351" s="319" t="s">
        <v>190</v>
      </c>
      <c r="AQ351" s="319" t="s">
        <v>190</v>
      </c>
      <c r="AR351" s="319" t="s">
        <v>190</v>
      </c>
      <c r="AS351" s="319" t="s">
        <v>190</v>
      </c>
      <c r="AT351" s="319" t="s">
        <v>190</v>
      </c>
      <c r="AU351" s="319" t="s">
        <v>191</v>
      </c>
      <c r="AV351" s="319" t="s">
        <v>190</v>
      </c>
      <c r="AW351" s="319" t="s">
        <v>190</v>
      </c>
      <c r="AX351" s="319" t="s">
        <v>190</v>
      </c>
      <c r="AY351" s="319" t="s">
        <v>190</v>
      </c>
      <c r="AZ351" s="319" t="s">
        <v>190</v>
      </c>
      <c r="BA351" s="319" t="s">
        <v>191</v>
      </c>
      <c r="BB351" s="319" t="s">
        <v>428</v>
      </c>
      <c r="BC351" s="319" t="s">
        <v>428</v>
      </c>
      <c r="BD351" s="319" t="s">
        <v>428</v>
      </c>
      <c r="BE351" s="319" t="s">
        <v>428</v>
      </c>
      <c r="BF351" s="319" t="s">
        <v>190</v>
      </c>
      <c r="BG351" s="319" t="s">
        <v>428</v>
      </c>
      <c r="BH351" s="319" t="s">
        <v>190</v>
      </c>
      <c r="BI351" s="319" t="s">
        <v>191</v>
      </c>
      <c r="BJ351" s="319" t="s">
        <v>190</v>
      </c>
      <c r="BK351" s="319" t="s">
        <v>190</v>
      </c>
      <c r="BL351" s="319" t="s">
        <v>190</v>
      </c>
      <c r="BM351" s="319" t="s">
        <v>190</v>
      </c>
      <c r="BN351" s="319" t="s">
        <v>190</v>
      </c>
      <c r="BO351" s="319" t="s">
        <v>190</v>
      </c>
      <c r="BP351" s="319" t="s">
        <v>190</v>
      </c>
      <c r="BQ351" s="319" t="s">
        <v>190</v>
      </c>
      <c r="BR351" s="319" t="s">
        <v>190</v>
      </c>
      <c r="BS351" s="319" t="s">
        <v>190</v>
      </c>
      <c r="BT351" s="319" t="s">
        <v>190</v>
      </c>
      <c r="BU351" s="319" t="s">
        <v>190</v>
      </c>
      <c r="BV351" s="319" t="s">
        <v>191</v>
      </c>
      <c r="BW351" s="319" t="s">
        <v>191</v>
      </c>
      <c r="BX351" s="319" t="s">
        <v>191</v>
      </c>
      <c r="BY351" s="319" t="s">
        <v>190</v>
      </c>
      <c r="BZ351" s="319" t="s">
        <v>190</v>
      </c>
      <c r="CA351" s="319" t="s">
        <v>190</v>
      </c>
      <c r="CB351" s="319" t="s">
        <v>190</v>
      </c>
      <c r="CC351" s="319" t="s">
        <v>190</v>
      </c>
      <c r="CD351" s="319" t="s">
        <v>191</v>
      </c>
      <c r="CE351" s="319" t="s">
        <v>190</v>
      </c>
      <c r="CF351" s="319" t="s">
        <v>190</v>
      </c>
      <c r="CG351" s="319" t="s">
        <v>190</v>
      </c>
      <c r="CH351" s="319" t="s">
        <v>190</v>
      </c>
      <c r="CI351" s="319" t="s">
        <v>190</v>
      </c>
      <c r="CJ351" s="319" t="s">
        <v>190</v>
      </c>
      <c r="CK351" s="319" t="s">
        <v>190</v>
      </c>
      <c r="CL351" s="319" t="s">
        <v>190</v>
      </c>
      <c r="CM351" s="319" t="s">
        <v>190</v>
      </c>
      <c r="CN351" s="319" t="s">
        <v>428</v>
      </c>
      <c r="CO351" s="319" t="s">
        <v>428</v>
      </c>
      <c r="CP351" s="319" t="s">
        <v>428</v>
      </c>
      <c r="CQ351" s="319" t="s">
        <v>190</v>
      </c>
      <c r="CR351" s="319" t="s">
        <v>190</v>
      </c>
      <c r="CS351" s="319" t="s">
        <v>190</v>
      </c>
      <c r="CT351" s="319" t="s">
        <v>190</v>
      </c>
      <c r="CU351" s="319" t="s">
        <v>190</v>
      </c>
      <c r="CV351" s="319" t="s">
        <v>190</v>
      </c>
      <c r="CW351" s="319" t="s">
        <v>191</v>
      </c>
      <c r="CX351" s="319" t="s">
        <v>190</v>
      </c>
      <c r="CY351" s="319" t="s">
        <v>190</v>
      </c>
      <c r="CZ351" s="319" t="s">
        <v>190</v>
      </c>
      <c r="DA351" s="319" t="s">
        <v>191</v>
      </c>
      <c r="DB351" s="319" t="s">
        <v>191</v>
      </c>
      <c r="DC351" s="319" t="s">
        <v>191</v>
      </c>
      <c r="DD351" s="319" t="s">
        <v>190</v>
      </c>
      <c r="DE351" s="319" t="s">
        <v>190</v>
      </c>
      <c r="DF351" s="319" t="s">
        <v>190</v>
      </c>
      <c r="DG351" s="319" t="s">
        <v>190</v>
      </c>
      <c r="DH351" s="319" t="s">
        <v>190</v>
      </c>
      <c r="DI351" s="319" t="s">
        <v>190</v>
      </c>
      <c r="DJ351" s="319" t="s">
        <v>190</v>
      </c>
      <c r="DK351" s="319" t="s">
        <v>190</v>
      </c>
      <c r="DL351" s="319" t="s">
        <v>190</v>
      </c>
      <c r="DM351" s="319" t="s">
        <v>190</v>
      </c>
      <c r="DN351" s="319" t="s">
        <v>428</v>
      </c>
      <c r="DO351" s="319" t="s">
        <v>190</v>
      </c>
      <c r="DP351" s="319" t="s">
        <v>428</v>
      </c>
      <c r="DQ351" s="319" t="s">
        <v>428</v>
      </c>
      <c r="DR351" s="319" t="s">
        <v>428</v>
      </c>
      <c r="DS351" s="319" t="s">
        <v>428</v>
      </c>
      <c r="DT351" s="319" t="s">
        <v>428</v>
      </c>
      <c r="DU351" s="319" t="s">
        <v>428</v>
      </c>
      <c r="DV351" s="319" t="s">
        <v>173</v>
      </c>
      <c r="DW351" s="319" t="s">
        <v>428</v>
      </c>
      <c r="DX351" s="319" t="s">
        <v>428</v>
      </c>
      <c r="DY351" s="319" t="s">
        <v>428</v>
      </c>
      <c r="DZ351" s="319" t="s">
        <v>428</v>
      </c>
      <c r="EA351" s="319" t="s">
        <v>428</v>
      </c>
      <c r="EB351" s="319" t="s">
        <v>428</v>
      </c>
      <c r="EC351" s="319" t="s">
        <v>428</v>
      </c>
      <c r="ED351" s="319" t="s">
        <v>190</v>
      </c>
      <c r="EE351" s="319" t="s">
        <v>428</v>
      </c>
      <c r="EF351" s="319" t="s">
        <v>428</v>
      </c>
      <c r="EG351" s="319" t="s">
        <v>428</v>
      </c>
      <c r="EH351" s="319" t="s">
        <v>428</v>
      </c>
      <c r="EI351" s="319" t="s">
        <v>428</v>
      </c>
      <c r="EJ351" s="319" t="s">
        <v>428</v>
      </c>
      <c r="EK351" s="319" t="s">
        <v>428</v>
      </c>
      <c r="EL351" s="319" t="s">
        <v>428</v>
      </c>
      <c r="EM351" s="319" t="s">
        <v>190</v>
      </c>
      <c r="EN351" s="319" t="s">
        <v>190</v>
      </c>
      <c r="EO351" s="319" t="s">
        <v>190</v>
      </c>
      <c r="EP351" s="319" t="s">
        <v>190</v>
      </c>
      <c r="EQ351" s="319" t="s">
        <v>190</v>
      </c>
      <c r="ER351" s="319" t="s">
        <v>190</v>
      </c>
      <c r="ES351" s="319" t="s">
        <v>190</v>
      </c>
      <c r="ET351" s="319" t="s">
        <v>190</v>
      </c>
      <c r="EU351" s="319" t="s">
        <v>190</v>
      </c>
      <c r="EV351" s="319" t="s">
        <v>190</v>
      </c>
      <c r="EW351" s="319" t="s">
        <v>190</v>
      </c>
      <c r="EX351" s="319" t="s">
        <v>190</v>
      </c>
      <c r="EY351" s="319" t="s">
        <v>190</v>
      </c>
      <c r="EZ351" s="319" t="s">
        <v>190</v>
      </c>
      <c r="FA351" s="319" t="s">
        <v>428</v>
      </c>
      <c r="FB351" s="319" t="s">
        <v>428</v>
      </c>
      <c r="FC351" s="319" t="s">
        <v>428</v>
      </c>
      <c r="FD351" s="319" t="s">
        <v>428</v>
      </c>
      <c r="FE351" s="319" t="s">
        <v>428</v>
      </c>
      <c r="FF351" s="319" t="s">
        <v>428</v>
      </c>
      <c r="FG351" s="319" t="s">
        <v>428</v>
      </c>
      <c r="FH351" s="319" t="s">
        <v>428</v>
      </c>
      <c r="FI351" s="319" t="s">
        <v>428</v>
      </c>
      <c r="FJ351" s="319" t="s">
        <v>429</v>
      </c>
      <c r="FK351" s="319" t="s">
        <v>428</v>
      </c>
      <c r="FL351" s="319" t="s">
        <v>190</v>
      </c>
      <c r="FM351" s="319" t="s">
        <v>190</v>
      </c>
      <c r="FN351" s="319" t="s">
        <v>190</v>
      </c>
      <c r="FO351" s="319" t="s">
        <v>428</v>
      </c>
      <c r="FP351" s="319" t="s">
        <v>190</v>
      </c>
      <c r="FQ351" s="319" t="s">
        <v>190</v>
      </c>
      <c r="FR351" s="319" t="s">
        <v>190</v>
      </c>
      <c r="FS351" s="319" t="s">
        <v>428</v>
      </c>
      <c r="FT351" s="319" t="s">
        <v>190</v>
      </c>
      <c r="FU351" s="319" t="s">
        <v>190</v>
      </c>
      <c r="FV351" s="319" t="s">
        <v>190</v>
      </c>
      <c r="FW351" s="319" t="s">
        <v>190</v>
      </c>
      <c r="FX351" s="319" t="s">
        <v>190</v>
      </c>
      <c r="FY351" s="319" t="s">
        <v>190</v>
      </c>
      <c r="FZ351" s="319" t="s">
        <v>190</v>
      </c>
      <c r="GA351" s="319" t="s">
        <v>190</v>
      </c>
      <c r="GB351" s="319" t="s">
        <v>190</v>
      </c>
      <c r="GC351" s="319" t="s">
        <v>190</v>
      </c>
      <c r="GD351" s="319" t="s">
        <v>190</v>
      </c>
      <c r="GE351" s="319" t="s">
        <v>190</v>
      </c>
      <c r="GF351" s="319" t="s">
        <v>190</v>
      </c>
      <c r="GG351" s="319" t="s">
        <v>190</v>
      </c>
      <c r="GH351" s="319" t="s">
        <v>190</v>
      </c>
      <c r="GI351" s="319" t="s">
        <v>190</v>
      </c>
      <c r="GJ351" s="319" t="s">
        <v>190</v>
      </c>
      <c r="GK351" s="319" t="s">
        <v>428</v>
      </c>
      <c r="GL351" s="319" t="s">
        <v>191</v>
      </c>
      <c r="GM351" s="319" t="s">
        <v>191</v>
      </c>
      <c r="GN351" s="319" t="s">
        <v>191</v>
      </c>
      <c r="GO351" s="319" t="s">
        <v>191</v>
      </c>
      <c r="GP351" s="319" t="s">
        <v>191</v>
      </c>
      <c r="GQ351" s="319" t="s">
        <v>428</v>
      </c>
      <c r="GR351" s="319" t="s">
        <v>190</v>
      </c>
      <c r="GS351" s="319" t="s">
        <v>190</v>
      </c>
      <c r="GT351" s="319" t="s">
        <v>428</v>
      </c>
      <c r="GU351" s="319" t="s">
        <v>428</v>
      </c>
      <c r="GV351" s="319" t="s">
        <v>191</v>
      </c>
      <c r="GW351" s="319" t="s">
        <v>191</v>
      </c>
      <c r="GX351" s="319" t="s">
        <v>191</v>
      </c>
      <c r="GY351" s="319" t="s">
        <v>191</v>
      </c>
      <c r="GZ351" s="319" t="s">
        <v>428</v>
      </c>
      <c r="HA351" s="319" t="s">
        <v>191</v>
      </c>
      <c r="HB351" s="319" t="s">
        <v>428</v>
      </c>
      <c r="HC351" s="319" t="s">
        <v>190</v>
      </c>
      <c r="HD351" s="319" t="s">
        <v>191</v>
      </c>
      <c r="HE351" s="319" t="s">
        <v>191</v>
      </c>
      <c r="HF351" s="319" t="s">
        <v>428</v>
      </c>
      <c r="HG351" s="319" t="s">
        <v>191</v>
      </c>
      <c r="HH351" s="319" t="s">
        <v>191</v>
      </c>
      <c r="HI351" s="319" t="s">
        <v>191</v>
      </c>
      <c r="HJ351" s="319" t="s">
        <v>191</v>
      </c>
      <c r="HK351" s="319" t="s">
        <v>191</v>
      </c>
      <c r="HL351" s="319" t="s">
        <v>428</v>
      </c>
      <c r="HM351" s="319" t="s">
        <v>428</v>
      </c>
      <c r="HN351" s="319" t="s">
        <v>428</v>
      </c>
      <c r="HO351" s="319" t="s">
        <v>428</v>
      </c>
      <c r="HP351" s="319" t="s">
        <v>191</v>
      </c>
      <c r="HQ351" s="319" t="s">
        <v>190</v>
      </c>
      <c r="HR351" s="319" t="s">
        <v>191</v>
      </c>
      <c r="HS351" s="319" t="s">
        <v>190</v>
      </c>
      <c r="HT351" s="319" t="s">
        <v>190</v>
      </c>
      <c r="HU351" s="319" t="s">
        <v>190</v>
      </c>
      <c r="HV351" s="319" t="s">
        <v>190</v>
      </c>
      <c r="HW351" s="319" t="s">
        <v>190</v>
      </c>
      <c r="HX351" s="319" t="s">
        <v>190</v>
      </c>
      <c r="HY351" s="319" t="s">
        <v>190</v>
      </c>
      <c r="HZ351" s="319" t="s">
        <v>190</v>
      </c>
      <c r="IA351" s="319" t="s">
        <v>190</v>
      </c>
      <c r="IB351" s="319" t="s">
        <v>190</v>
      </c>
      <c r="IC351" s="319" t="s">
        <v>190</v>
      </c>
      <c r="ID351" s="319" t="s">
        <v>190</v>
      </c>
      <c r="IE351" s="319" t="s">
        <v>190</v>
      </c>
      <c r="IF351" s="319" t="s">
        <v>191</v>
      </c>
      <c r="IG351" s="319" t="s">
        <v>191</v>
      </c>
      <c r="IH351" s="319" t="s">
        <v>191</v>
      </c>
      <c r="II351" s="319" t="s">
        <v>190</v>
      </c>
      <c r="IJ351" s="319" t="s">
        <v>3134</v>
      </c>
      <c r="IK351" s="321">
        <v>41807</v>
      </c>
      <c r="IL351" s="321">
        <v>41809</v>
      </c>
      <c r="IM351" s="321">
        <v>41831</v>
      </c>
      <c r="IN351" s="319">
        <v>2</v>
      </c>
      <c r="IO351" s="319">
        <v>10103036</v>
      </c>
      <c r="IP351" s="319" t="s">
        <v>985</v>
      </c>
      <c r="IQ351" s="321">
        <v>43594</v>
      </c>
      <c r="IR351" s="320" t="s">
        <v>1223</v>
      </c>
      <c r="IS351" s="322">
        <v>43635</v>
      </c>
      <c r="IT351" s="319" t="s">
        <v>165</v>
      </c>
    </row>
    <row r="352" spans="1:254" s="271" customFormat="1" x14ac:dyDescent="0.25">
      <c r="A352" s="318" t="str">
        <f>HYPERLINK("http://www.ofsted.gov.uk/inspection-reports/find-inspection-report/provider/ELS/131791 ","Ofsted School Webpage")</f>
        <v>Ofsted School Webpage</v>
      </c>
      <c r="B352" s="319">
        <v>131791</v>
      </c>
      <c r="C352" s="319">
        <v>8966027</v>
      </c>
      <c r="D352" s="319" t="s">
        <v>1688</v>
      </c>
      <c r="E352" s="319" t="s">
        <v>167</v>
      </c>
      <c r="F352" s="319" t="s">
        <v>59</v>
      </c>
      <c r="G352" s="319" t="s">
        <v>59</v>
      </c>
      <c r="H352" s="319" t="s">
        <v>59</v>
      </c>
      <c r="I352" s="319" t="s">
        <v>59</v>
      </c>
      <c r="J352" s="319" t="s">
        <v>424</v>
      </c>
      <c r="K352" s="319" t="s">
        <v>431</v>
      </c>
      <c r="L352" s="319" t="s">
        <v>431</v>
      </c>
      <c r="M352" s="319" t="s">
        <v>951</v>
      </c>
      <c r="N352" s="319" t="s">
        <v>3135</v>
      </c>
      <c r="O352" s="319" t="s">
        <v>1689</v>
      </c>
      <c r="P352" s="319">
        <v>5</v>
      </c>
      <c r="Q352" s="319" t="s">
        <v>2776</v>
      </c>
      <c r="R352" s="320">
        <v>10101081</v>
      </c>
      <c r="S352" s="321">
        <v>43564</v>
      </c>
      <c r="T352" s="321">
        <v>43566</v>
      </c>
      <c r="U352" s="321">
        <v>43605</v>
      </c>
      <c r="V352" s="319" t="s">
        <v>425</v>
      </c>
      <c r="W352" s="319" t="s">
        <v>2767</v>
      </c>
      <c r="X352" s="319">
        <v>3</v>
      </c>
      <c r="Y352" s="319" t="s">
        <v>173</v>
      </c>
      <c r="Z352" s="319" t="s">
        <v>173</v>
      </c>
      <c r="AA352" s="319" t="s">
        <v>173</v>
      </c>
      <c r="AB352" s="319">
        <v>3</v>
      </c>
      <c r="AC352" s="319" t="s">
        <v>169</v>
      </c>
      <c r="AD352" s="319" t="s">
        <v>173</v>
      </c>
      <c r="AE352" s="319" t="s">
        <v>173</v>
      </c>
      <c r="AF352" s="319" t="s">
        <v>427</v>
      </c>
      <c r="AG352" s="319" t="s">
        <v>171</v>
      </c>
      <c r="AH352" s="319" t="s">
        <v>190</v>
      </c>
      <c r="AI352" s="319" t="s">
        <v>190</v>
      </c>
      <c r="AJ352" s="319" t="s">
        <v>190</v>
      </c>
      <c r="AK352" s="319" t="s">
        <v>190</v>
      </c>
      <c r="AL352" s="319" t="s">
        <v>190</v>
      </c>
      <c r="AM352" s="319" t="s">
        <v>190</v>
      </c>
      <c r="AN352" s="319" t="s">
        <v>190</v>
      </c>
      <c r="AO352" s="319" t="s">
        <v>190</v>
      </c>
      <c r="AP352" s="319" t="s">
        <v>190</v>
      </c>
      <c r="AQ352" s="319" t="s">
        <v>190</v>
      </c>
      <c r="AR352" s="319" t="s">
        <v>190</v>
      </c>
      <c r="AS352" s="319" t="s">
        <v>190</v>
      </c>
      <c r="AT352" s="319" t="s">
        <v>190</v>
      </c>
      <c r="AU352" s="319" t="s">
        <v>190</v>
      </c>
      <c r="AV352" s="319" t="s">
        <v>190</v>
      </c>
      <c r="AW352" s="319" t="s">
        <v>190</v>
      </c>
      <c r="AX352" s="319" t="s">
        <v>428</v>
      </c>
      <c r="AY352" s="319" t="s">
        <v>190</v>
      </c>
      <c r="AZ352" s="319" t="s">
        <v>190</v>
      </c>
      <c r="BA352" s="319" t="s">
        <v>190</v>
      </c>
      <c r="BB352" s="319" t="s">
        <v>190</v>
      </c>
      <c r="BC352" s="319" t="s">
        <v>190</v>
      </c>
      <c r="BD352" s="319" t="s">
        <v>190</v>
      </c>
      <c r="BE352" s="319" t="s">
        <v>190</v>
      </c>
      <c r="BF352" s="319" t="s">
        <v>428</v>
      </c>
      <c r="BG352" s="319" t="s">
        <v>190</v>
      </c>
      <c r="BH352" s="319" t="s">
        <v>190</v>
      </c>
      <c r="BI352" s="319" t="s">
        <v>190</v>
      </c>
      <c r="BJ352" s="319" t="s">
        <v>190</v>
      </c>
      <c r="BK352" s="319" t="s">
        <v>190</v>
      </c>
      <c r="BL352" s="319" t="s">
        <v>190</v>
      </c>
      <c r="BM352" s="319" t="s">
        <v>190</v>
      </c>
      <c r="BN352" s="319" t="s">
        <v>190</v>
      </c>
      <c r="BO352" s="319" t="s">
        <v>190</v>
      </c>
      <c r="BP352" s="319" t="s">
        <v>190</v>
      </c>
      <c r="BQ352" s="319" t="s">
        <v>190</v>
      </c>
      <c r="BR352" s="319" t="s">
        <v>190</v>
      </c>
      <c r="BS352" s="319" t="s">
        <v>190</v>
      </c>
      <c r="BT352" s="319" t="s">
        <v>190</v>
      </c>
      <c r="BU352" s="319" t="s">
        <v>190</v>
      </c>
      <c r="BV352" s="319" t="s">
        <v>190</v>
      </c>
      <c r="BW352" s="319" t="s">
        <v>190</v>
      </c>
      <c r="BX352" s="319" t="s">
        <v>190</v>
      </c>
      <c r="BY352" s="319" t="s">
        <v>190</v>
      </c>
      <c r="BZ352" s="319" t="s">
        <v>190</v>
      </c>
      <c r="CA352" s="319" t="s">
        <v>190</v>
      </c>
      <c r="CB352" s="319" t="s">
        <v>190</v>
      </c>
      <c r="CC352" s="319" t="s">
        <v>190</v>
      </c>
      <c r="CD352" s="319" t="s">
        <v>190</v>
      </c>
      <c r="CE352" s="319" t="s">
        <v>190</v>
      </c>
      <c r="CF352" s="319" t="s">
        <v>190</v>
      </c>
      <c r="CG352" s="319" t="s">
        <v>190</v>
      </c>
      <c r="CH352" s="319" t="s">
        <v>190</v>
      </c>
      <c r="CI352" s="319" t="s">
        <v>428</v>
      </c>
      <c r="CJ352" s="319" t="s">
        <v>190</v>
      </c>
      <c r="CK352" s="319" t="s">
        <v>190</v>
      </c>
      <c r="CL352" s="319" t="s">
        <v>190</v>
      </c>
      <c r="CM352" s="319" t="s">
        <v>190</v>
      </c>
      <c r="CN352" s="319" t="s">
        <v>428</v>
      </c>
      <c r="CO352" s="319" t="s">
        <v>428</v>
      </c>
      <c r="CP352" s="319" t="s">
        <v>428</v>
      </c>
      <c r="CQ352" s="319" t="s">
        <v>190</v>
      </c>
      <c r="CR352" s="319" t="s">
        <v>190</v>
      </c>
      <c r="CS352" s="319" t="s">
        <v>190</v>
      </c>
      <c r="CT352" s="319" t="s">
        <v>190</v>
      </c>
      <c r="CU352" s="319" t="s">
        <v>190</v>
      </c>
      <c r="CV352" s="319" t="s">
        <v>190</v>
      </c>
      <c r="CW352" s="319" t="s">
        <v>190</v>
      </c>
      <c r="CX352" s="319" t="s">
        <v>190</v>
      </c>
      <c r="CY352" s="319" t="s">
        <v>190</v>
      </c>
      <c r="CZ352" s="319" t="s">
        <v>190</v>
      </c>
      <c r="DA352" s="319" t="s">
        <v>190</v>
      </c>
      <c r="DB352" s="319" t="s">
        <v>190</v>
      </c>
      <c r="DC352" s="319" t="s">
        <v>190</v>
      </c>
      <c r="DD352" s="319" t="s">
        <v>190</v>
      </c>
      <c r="DE352" s="319" t="s">
        <v>190</v>
      </c>
      <c r="DF352" s="319" t="s">
        <v>190</v>
      </c>
      <c r="DG352" s="319" t="s">
        <v>190</v>
      </c>
      <c r="DH352" s="319" t="s">
        <v>190</v>
      </c>
      <c r="DI352" s="319" t="s">
        <v>190</v>
      </c>
      <c r="DJ352" s="319" t="s">
        <v>190</v>
      </c>
      <c r="DK352" s="319" t="s">
        <v>190</v>
      </c>
      <c r="DL352" s="319" t="s">
        <v>190</v>
      </c>
      <c r="DM352" s="319" t="s">
        <v>190</v>
      </c>
      <c r="DN352" s="319" t="s">
        <v>428</v>
      </c>
      <c r="DO352" s="319" t="s">
        <v>428</v>
      </c>
      <c r="DP352" s="319" t="s">
        <v>428</v>
      </c>
      <c r="DQ352" s="319" t="s">
        <v>428</v>
      </c>
      <c r="DR352" s="319" t="s">
        <v>428</v>
      </c>
      <c r="DS352" s="319" t="s">
        <v>428</v>
      </c>
      <c r="DT352" s="319" t="s">
        <v>428</v>
      </c>
      <c r="DU352" s="319" t="s">
        <v>428</v>
      </c>
      <c r="DV352" s="319" t="s">
        <v>173</v>
      </c>
      <c r="DW352" s="319" t="s">
        <v>428</v>
      </c>
      <c r="DX352" s="319" t="s">
        <v>428</v>
      </c>
      <c r="DY352" s="319" t="s">
        <v>428</v>
      </c>
      <c r="DZ352" s="319" t="s">
        <v>428</v>
      </c>
      <c r="EA352" s="319" t="s">
        <v>428</v>
      </c>
      <c r="EB352" s="319" t="s">
        <v>428</v>
      </c>
      <c r="EC352" s="319" t="s">
        <v>428</v>
      </c>
      <c r="ED352" s="319" t="s">
        <v>428</v>
      </c>
      <c r="EE352" s="319" t="s">
        <v>190</v>
      </c>
      <c r="EF352" s="319" t="s">
        <v>190</v>
      </c>
      <c r="EG352" s="319" t="s">
        <v>190</v>
      </c>
      <c r="EH352" s="319" t="s">
        <v>190</v>
      </c>
      <c r="EI352" s="319" t="s">
        <v>190</v>
      </c>
      <c r="EJ352" s="319" t="s">
        <v>190</v>
      </c>
      <c r="EK352" s="319" t="s">
        <v>190</v>
      </c>
      <c r="EL352" s="319" t="s">
        <v>190</v>
      </c>
      <c r="EM352" s="319" t="s">
        <v>190</v>
      </c>
      <c r="EN352" s="319" t="s">
        <v>190</v>
      </c>
      <c r="EO352" s="319" t="s">
        <v>190</v>
      </c>
      <c r="EP352" s="319" t="s">
        <v>190</v>
      </c>
      <c r="EQ352" s="319" t="s">
        <v>190</v>
      </c>
      <c r="ER352" s="319" t="s">
        <v>190</v>
      </c>
      <c r="ES352" s="319" t="s">
        <v>190</v>
      </c>
      <c r="ET352" s="319" t="s">
        <v>190</v>
      </c>
      <c r="EU352" s="319" t="s">
        <v>190</v>
      </c>
      <c r="EV352" s="319" t="s">
        <v>190</v>
      </c>
      <c r="EW352" s="319" t="s">
        <v>190</v>
      </c>
      <c r="EX352" s="319" t="s">
        <v>190</v>
      </c>
      <c r="EY352" s="319" t="s">
        <v>190</v>
      </c>
      <c r="EZ352" s="319" t="s">
        <v>190</v>
      </c>
      <c r="FA352" s="319" t="s">
        <v>190</v>
      </c>
      <c r="FB352" s="319" t="s">
        <v>428</v>
      </c>
      <c r="FC352" s="319" t="s">
        <v>428</v>
      </c>
      <c r="FD352" s="319" t="s">
        <v>428</v>
      </c>
      <c r="FE352" s="319" t="s">
        <v>428</v>
      </c>
      <c r="FF352" s="319" t="s">
        <v>428</v>
      </c>
      <c r="FG352" s="319" t="s">
        <v>428</v>
      </c>
      <c r="FH352" s="319" t="s">
        <v>190</v>
      </c>
      <c r="FI352" s="319" t="s">
        <v>190</v>
      </c>
      <c r="FJ352" s="319" t="s">
        <v>190</v>
      </c>
      <c r="FK352" s="319" t="s">
        <v>190</v>
      </c>
      <c r="FL352" s="319" t="s">
        <v>190</v>
      </c>
      <c r="FM352" s="319" t="s">
        <v>190</v>
      </c>
      <c r="FN352" s="319" t="s">
        <v>190</v>
      </c>
      <c r="FO352" s="319" t="s">
        <v>190</v>
      </c>
      <c r="FP352" s="319" t="s">
        <v>190</v>
      </c>
      <c r="FQ352" s="319" t="s">
        <v>190</v>
      </c>
      <c r="FR352" s="319" t="s">
        <v>190</v>
      </c>
      <c r="FS352" s="319" t="s">
        <v>190</v>
      </c>
      <c r="FT352" s="319" t="s">
        <v>190</v>
      </c>
      <c r="FU352" s="319" t="s">
        <v>190</v>
      </c>
      <c r="FV352" s="319" t="s">
        <v>190</v>
      </c>
      <c r="FW352" s="319" t="s">
        <v>190</v>
      </c>
      <c r="FX352" s="319" t="s">
        <v>190</v>
      </c>
      <c r="FY352" s="319" t="s">
        <v>190</v>
      </c>
      <c r="FZ352" s="319" t="s">
        <v>190</v>
      </c>
      <c r="GA352" s="319" t="s">
        <v>190</v>
      </c>
      <c r="GB352" s="319" t="s">
        <v>190</v>
      </c>
      <c r="GC352" s="319" t="s">
        <v>190</v>
      </c>
      <c r="GD352" s="319" t="s">
        <v>190</v>
      </c>
      <c r="GE352" s="319" t="s">
        <v>190</v>
      </c>
      <c r="GF352" s="319" t="s">
        <v>190</v>
      </c>
      <c r="GG352" s="319" t="s">
        <v>190</v>
      </c>
      <c r="GH352" s="319" t="s">
        <v>190</v>
      </c>
      <c r="GI352" s="319" t="s">
        <v>190</v>
      </c>
      <c r="GJ352" s="319" t="s">
        <v>190</v>
      </c>
      <c r="GK352" s="319" t="s">
        <v>428</v>
      </c>
      <c r="GL352" s="319" t="s">
        <v>190</v>
      </c>
      <c r="GM352" s="319" t="s">
        <v>190</v>
      </c>
      <c r="GN352" s="319" t="s">
        <v>190</v>
      </c>
      <c r="GO352" s="319" t="s">
        <v>190</v>
      </c>
      <c r="GP352" s="319" t="s">
        <v>190</v>
      </c>
      <c r="GQ352" s="319" t="s">
        <v>190</v>
      </c>
      <c r="GR352" s="319" t="s">
        <v>190</v>
      </c>
      <c r="GS352" s="319" t="s">
        <v>190</v>
      </c>
      <c r="GT352" s="319" t="s">
        <v>428</v>
      </c>
      <c r="GU352" s="319" t="s">
        <v>428</v>
      </c>
      <c r="GV352" s="319" t="s">
        <v>190</v>
      </c>
      <c r="GW352" s="319" t="s">
        <v>190</v>
      </c>
      <c r="GX352" s="319" t="s">
        <v>190</v>
      </c>
      <c r="GY352" s="319" t="s">
        <v>190</v>
      </c>
      <c r="GZ352" s="319" t="s">
        <v>428</v>
      </c>
      <c r="HA352" s="319" t="s">
        <v>190</v>
      </c>
      <c r="HB352" s="319" t="s">
        <v>190</v>
      </c>
      <c r="HC352" s="319" t="s">
        <v>190</v>
      </c>
      <c r="HD352" s="319" t="s">
        <v>190</v>
      </c>
      <c r="HE352" s="319" t="s">
        <v>190</v>
      </c>
      <c r="HF352" s="319" t="s">
        <v>428</v>
      </c>
      <c r="HG352" s="319" t="s">
        <v>190</v>
      </c>
      <c r="HH352" s="319" t="s">
        <v>190</v>
      </c>
      <c r="HI352" s="319" t="s">
        <v>190</v>
      </c>
      <c r="HJ352" s="319" t="s">
        <v>190</v>
      </c>
      <c r="HK352" s="319" t="s">
        <v>428</v>
      </c>
      <c r="HL352" s="319" t="s">
        <v>428</v>
      </c>
      <c r="HM352" s="319" t="s">
        <v>428</v>
      </c>
      <c r="HN352" s="319" t="s">
        <v>428</v>
      </c>
      <c r="HO352" s="319" t="s">
        <v>428</v>
      </c>
      <c r="HP352" s="319" t="s">
        <v>190</v>
      </c>
      <c r="HQ352" s="319" t="s">
        <v>190</v>
      </c>
      <c r="HR352" s="319" t="s">
        <v>190</v>
      </c>
      <c r="HS352" s="319" t="s">
        <v>190</v>
      </c>
      <c r="HT352" s="319" t="s">
        <v>190</v>
      </c>
      <c r="HU352" s="319" t="s">
        <v>190</v>
      </c>
      <c r="HV352" s="319" t="s">
        <v>190</v>
      </c>
      <c r="HW352" s="319" t="s">
        <v>190</v>
      </c>
      <c r="HX352" s="319" t="s">
        <v>190</v>
      </c>
      <c r="HY352" s="319" t="s">
        <v>190</v>
      </c>
      <c r="HZ352" s="319" t="s">
        <v>190</v>
      </c>
      <c r="IA352" s="319" t="s">
        <v>190</v>
      </c>
      <c r="IB352" s="319" t="s">
        <v>190</v>
      </c>
      <c r="IC352" s="319" t="s">
        <v>190</v>
      </c>
      <c r="ID352" s="319" t="s">
        <v>190</v>
      </c>
      <c r="IE352" s="319" t="s">
        <v>190</v>
      </c>
      <c r="IF352" s="319" t="s">
        <v>190</v>
      </c>
      <c r="IG352" s="319" t="s">
        <v>190</v>
      </c>
      <c r="IH352" s="319" t="s">
        <v>190</v>
      </c>
      <c r="II352" s="319" t="s">
        <v>190</v>
      </c>
      <c r="IJ352" s="319">
        <v>10020947</v>
      </c>
      <c r="IK352" s="321">
        <v>42661</v>
      </c>
      <c r="IL352" s="321">
        <v>42663</v>
      </c>
      <c r="IM352" s="321">
        <v>42774</v>
      </c>
      <c r="IN352" s="319">
        <v>4</v>
      </c>
      <c r="IO352" s="319" t="s">
        <v>173</v>
      </c>
      <c r="IP352" s="319" t="s">
        <v>173</v>
      </c>
      <c r="IQ352" s="321" t="s">
        <v>173</v>
      </c>
      <c r="IR352" s="320" t="s">
        <v>173</v>
      </c>
      <c r="IS352" s="322" t="s">
        <v>173</v>
      </c>
      <c r="IT352" s="319" t="s">
        <v>173</v>
      </c>
    </row>
    <row r="353" spans="1:254" s="271" customFormat="1" x14ac:dyDescent="0.25">
      <c r="A353" s="318" t="str">
        <f>HYPERLINK("http://www.ofsted.gov.uk/inspection-reports/find-inspection-report/provider/ELS/131792 ","Ofsted School Webpage")</f>
        <v>Ofsted School Webpage</v>
      </c>
      <c r="B353" s="319">
        <v>131792</v>
      </c>
      <c r="C353" s="319">
        <v>8966028</v>
      </c>
      <c r="D353" s="319" t="s">
        <v>1690</v>
      </c>
      <c r="E353" s="319" t="s">
        <v>168</v>
      </c>
      <c r="F353" s="319" t="s">
        <v>81</v>
      </c>
      <c r="G353" s="319" t="s">
        <v>81</v>
      </c>
      <c r="H353" s="319" t="s">
        <v>81</v>
      </c>
      <c r="I353" s="319" t="s">
        <v>78</v>
      </c>
      <c r="J353" s="319" t="s">
        <v>424</v>
      </c>
      <c r="K353" s="319" t="s">
        <v>431</v>
      </c>
      <c r="L353" s="319" t="s">
        <v>431</v>
      </c>
      <c r="M353" s="319" t="s">
        <v>951</v>
      </c>
      <c r="N353" s="319" t="s">
        <v>3136</v>
      </c>
      <c r="O353" s="319" t="s">
        <v>1691</v>
      </c>
      <c r="P353" s="319">
        <v>8</v>
      </c>
      <c r="Q353" s="319" t="s">
        <v>2776</v>
      </c>
      <c r="R353" s="320">
        <v>10092578</v>
      </c>
      <c r="S353" s="321">
        <v>43641</v>
      </c>
      <c r="T353" s="321">
        <v>43643</v>
      </c>
      <c r="U353" s="321">
        <v>43667</v>
      </c>
      <c r="V353" s="319" t="s">
        <v>425</v>
      </c>
      <c r="W353" s="319" t="s">
        <v>2767</v>
      </c>
      <c r="X353" s="319">
        <v>2</v>
      </c>
      <c r="Y353" s="319" t="s">
        <v>173</v>
      </c>
      <c r="Z353" s="319" t="s">
        <v>173</v>
      </c>
      <c r="AA353" s="319" t="s">
        <v>173</v>
      </c>
      <c r="AB353" s="319">
        <v>2</v>
      </c>
      <c r="AC353" s="319" t="s">
        <v>169</v>
      </c>
      <c r="AD353" s="319" t="s">
        <v>173</v>
      </c>
      <c r="AE353" s="319">
        <v>2</v>
      </c>
      <c r="AF353" s="319" t="s">
        <v>427</v>
      </c>
      <c r="AG353" s="319" t="s">
        <v>171</v>
      </c>
      <c r="AH353" s="319" t="s">
        <v>190</v>
      </c>
      <c r="AI353" s="319" t="s">
        <v>190</v>
      </c>
      <c r="AJ353" s="319" t="s">
        <v>190</v>
      </c>
      <c r="AK353" s="319" t="s">
        <v>190</v>
      </c>
      <c r="AL353" s="319" t="s">
        <v>190</v>
      </c>
      <c r="AM353" s="319" t="s">
        <v>190</v>
      </c>
      <c r="AN353" s="319" t="s">
        <v>190</v>
      </c>
      <c r="AO353" s="319" t="s">
        <v>190</v>
      </c>
      <c r="AP353" s="319" t="s">
        <v>190</v>
      </c>
      <c r="AQ353" s="319" t="s">
        <v>190</v>
      </c>
      <c r="AR353" s="319" t="s">
        <v>190</v>
      </c>
      <c r="AS353" s="319" t="s">
        <v>190</v>
      </c>
      <c r="AT353" s="319" t="s">
        <v>190</v>
      </c>
      <c r="AU353" s="319" t="s">
        <v>190</v>
      </c>
      <c r="AV353" s="319" t="s">
        <v>190</v>
      </c>
      <c r="AW353" s="319" t="s">
        <v>190</v>
      </c>
      <c r="AX353" s="319" t="s">
        <v>428</v>
      </c>
      <c r="AY353" s="319" t="s">
        <v>190</v>
      </c>
      <c r="AZ353" s="319" t="s">
        <v>190</v>
      </c>
      <c r="BA353" s="319" t="s">
        <v>190</v>
      </c>
      <c r="BB353" s="319" t="s">
        <v>190</v>
      </c>
      <c r="BC353" s="319" t="s">
        <v>190</v>
      </c>
      <c r="BD353" s="319" t="s">
        <v>190</v>
      </c>
      <c r="BE353" s="319" t="s">
        <v>190</v>
      </c>
      <c r="BF353" s="319" t="s">
        <v>428</v>
      </c>
      <c r="BG353" s="319" t="s">
        <v>190</v>
      </c>
      <c r="BH353" s="319" t="s">
        <v>190</v>
      </c>
      <c r="BI353" s="319" t="s">
        <v>190</v>
      </c>
      <c r="BJ353" s="319" t="s">
        <v>190</v>
      </c>
      <c r="BK353" s="319" t="s">
        <v>190</v>
      </c>
      <c r="BL353" s="319" t="s">
        <v>190</v>
      </c>
      <c r="BM353" s="319" t="s">
        <v>190</v>
      </c>
      <c r="BN353" s="319" t="s">
        <v>190</v>
      </c>
      <c r="BO353" s="319" t="s">
        <v>190</v>
      </c>
      <c r="BP353" s="319" t="s">
        <v>190</v>
      </c>
      <c r="BQ353" s="319" t="s">
        <v>190</v>
      </c>
      <c r="BR353" s="319" t="s">
        <v>190</v>
      </c>
      <c r="BS353" s="319" t="s">
        <v>190</v>
      </c>
      <c r="BT353" s="319" t="s">
        <v>190</v>
      </c>
      <c r="BU353" s="319" t="s">
        <v>190</v>
      </c>
      <c r="BV353" s="319" t="s">
        <v>190</v>
      </c>
      <c r="BW353" s="319" t="s">
        <v>190</v>
      </c>
      <c r="BX353" s="319" t="s">
        <v>190</v>
      </c>
      <c r="BY353" s="319" t="s">
        <v>190</v>
      </c>
      <c r="BZ353" s="319" t="s">
        <v>190</v>
      </c>
      <c r="CA353" s="319" t="s">
        <v>190</v>
      </c>
      <c r="CB353" s="319" t="s">
        <v>190</v>
      </c>
      <c r="CC353" s="319" t="s">
        <v>190</v>
      </c>
      <c r="CD353" s="319" t="s">
        <v>190</v>
      </c>
      <c r="CE353" s="319" t="s">
        <v>190</v>
      </c>
      <c r="CF353" s="319" t="s">
        <v>190</v>
      </c>
      <c r="CG353" s="319" t="s">
        <v>190</v>
      </c>
      <c r="CH353" s="319" t="s">
        <v>190</v>
      </c>
      <c r="CI353" s="319" t="s">
        <v>190</v>
      </c>
      <c r="CJ353" s="319" t="s">
        <v>190</v>
      </c>
      <c r="CK353" s="319" t="s">
        <v>190</v>
      </c>
      <c r="CL353" s="319" t="s">
        <v>190</v>
      </c>
      <c r="CM353" s="319" t="s">
        <v>190</v>
      </c>
      <c r="CN353" s="319" t="s">
        <v>428</v>
      </c>
      <c r="CO353" s="319" t="s">
        <v>428</v>
      </c>
      <c r="CP353" s="319" t="s">
        <v>428</v>
      </c>
      <c r="CQ353" s="319" t="s">
        <v>190</v>
      </c>
      <c r="CR353" s="319" t="s">
        <v>190</v>
      </c>
      <c r="CS353" s="319" t="s">
        <v>190</v>
      </c>
      <c r="CT353" s="319" t="s">
        <v>190</v>
      </c>
      <c r="CU353" s="319" t="s">
        <v>190</v>
      </c>
      <c r="CV353" s="319" t="s">
        <v>190</v>
      </c>
      <c r="CW353" s="319" t="s">
        <v>190</v>
      </c>
      <c r="CX353" s="319" t="s">
        <v>190</v>
      </c>
      <c r="CY353" s="319" t="s">
        <v>190</v>
      </c>
      <c r="CZ353" s="319" t="s">
        <v>190</v>
      </c>
      <c r="DA353" s="319" t="s">
        <v>190</v>
      </c>
      <c r="DB353" s="319" t="s">
        <v>190</v>
      </c>
      <c r="DC353" s="319" t="s">
        <v>190</v>
      </c>
      <c r="DD353" s="319" t="s">
        <v>190</v>
      </c>
      <c r="DE353" s="319" t="s">
        <v>190</v>
      </c>
      <c r="DF353" s="319" t="s">
        <v>190</v>
      </c>
      <c r="DG353" s="319" t="s">
        <v>190</v>
      </c>
      <c r="DH353" s="319" t="s">
        <v>190</v>
      </c>
      <c r="DI353" s="319" t="s">
        <v>190</v>
      </c>
      <c r="DJ353" s="319" t="s">
        <v>190</v>
      </c>
      <c r="DK353" s="319" t="s">
        <v>190</v>
      </c>
      <c r="DL353" s="319" t="s">
        <v>190</v>
      </c>
      <c r="DM353" s="319" t="s">
        <v>190</v>
      </c>
      <c r="DN353" s="319" t="s">
        <v>428</v>
      </c>
      <c r="DO353" s="319" t="s">
        <v>190</v>
      </c>
      <c r="DP353" s="319" t="s">
        <v>190</v>
      </c>
      <c r="DQ353" s="319" t="s">
        <v>190</v>
      </c>
      <c r="DR353" s="319" t="s">
        <v>190</v>
      </c>
      <c r="DS353" s="319" t="s">
        <v>190</v>
      </c>
      <c r="DT353" s="319" t="s">
        <v>190</v>
      </c>
      <c r="DU353" s="319" t="s">
        <v>190</v>
      </c>
      <c r="DV353" s="319" t="s">
        <v>173</v>
      </c>
      <c r="DW353" s="319" t="s">
        <v>190</v>
      </c>
      <c r="DX353" s="319" t="s">
        <v>190</v>
      </c>
      <c r="DY353" s="319" t="s">
        <v>190</v>
      </c>
      <c r="DZ353" s="319" t="s">
        <v>190</v>
      </c>
      <c r="EA353" s="319" t="s">
        <v>190</v>
      </c>
      <c r="EB353" s="319" t="s">
        <v>190</v>
      </c>
      <c r="EC353" s="319" t="s">
        <v>428</v>
      </c>
      <c r="ED353" s="319" t="s">
        <v>190</v>
      </c>
      <c r="EE353" s="319" t="s">
        <v>428</v>
      </c>
      <c r="EF353" s="319" t="s">
        <v>428</v>
      </c>
      <c r="EG353" s="319" t="s">
        <v>428</v>
      </c>
      <c r="EH353" s="319" t="s">
        <v>428</v>
      </c>
      <c r="EI353" s="319" t="s">
        <v>428</v>
      </c>
      <c r="EJ353" s="319" t="s">
        <v>428</v>
      </c>
      <c r="EK353" s="319" t="s">
        <v>428</v>
      </c>
      <c r="EL353" s="319" t="s">
        <v>428</v>
      </c>
      <c r="EM353" s="319" t="s">
        <v>428</v>
      </c>
      <c r="EN353" s="319" t="s">
        <v>190</v>
      </c>
      <c r="EO353" s="319" t="s">
        <v>190</v>
      </c>
      <c r="EP353" s="319" t="s">
        <v>190</v>
      </c>
      <c r="EQ353" s="319" t="s">
        <v>190</v>
      </c>
      <c r="ER353" s="319" t="s">
        <v>190</v>
      </c>
      <c r="ES353" s="319" t="s">
        <v>190</v>
      </c>
      <c r="ET353" s="319" t="s">
        <v>190</v>
      </c>
      <c r="EU353" s="319" t="s">
        <v>190</v>
      </c>
      <c r="EV353" s="319" t="s">
        <v>190</v>
      </c>
      <c r="EW353" s="319" t="s">
        <v>190</v>
      </c>
      <c r="EX353" s="319" t="s">
        <v>190</v>
      </c>
      <c r="EY353" s="319" t="s">
        <v>190</v>
      </c>
      <c r="EZ353" s="319" t="s">
        <v>190</v>
      </c>
      <c r="FA353" s="319" t="s">
        <v>190</v>
      </c>
      <c r="FB353" s="319" t="s">
        <v>190</v>
      </c>
      <c r="FC353" s="319" t="s">
        <v>190</v>
      </c>
      <c r="FD353" s="319" t="s">
        <v>190</v>
      </c>
      <c r="FE353" s="319" t="s">
        <v>190</v>
      </c>
      <c r="FF353" s="319" t="s">
        <v>190</v>
      </c>
      <c r="FG353" s="319" t="s">
        <v>190</v>
      </c>
      <c r="FH353" s="319" t="s">
        <v>190</v>
      </c>
      <c r="FI353" s="319" t="s">
        <v>190</v>
      </c>
      <c r="FJ353" s="319" t="s">
        <v>190</v>
      </c>
      <c r="FK353" s="319" t="s">
        <v>190</v>
      </c>
      <c r="FL353" s="319" t="s">
        <v>190</v>
      </c>
      <c r="FM353" s="319" t="s">
        <v>190</v>
      </c>
      <c r="FN353" s="319" t="s">
        <v>190</v>
      </c>
      <c r="FO353" s="319" t="s">
        <v>190</v>
      </c>
      <c r="FP353" s="319" t="s">
        <v>190</v>
      </c>
      <c r="FQ353" s="319" t="s">
        <v>190</v>
      </c>
      <c r="FR353" s="319" t="s">
        <v>190</v>
      </c>
      <c r="FS353" s="319" t="s">
        <v>428</v>
      </c>
      <c r="FT353" s="319" t="s">
        <v>190</v>
      </c>
      <c r="FU353" s="319" t="s">
        <v>190</v>
      </c>
      <c r="FV353" s="319" t="s">
        <v>190</v>
      </c>
      <c r="FW353" s="319" t="s">
        <v>190</v>
      </c>
      <c r="FX353" s="319" t="s">
        <v>190</v>
      </c>
      <c r="FY353" s="319" t="s">
        <v>190</v>
      </c>
      <c r="FZ353" s="319" t="s">
        <v>190</v>
      </c>
      <c r="GA353" s="319" t="s">
        <v>190</v>
      </c>
      <c r="GB353" s="319" t="s">
        <v>190</v>
      </c>
      <c r="GC353" s="319" t="s">
        <v>190</v>
      </c>
      <c r="GD353" s="319" t="s">
        <v>190</v>
      </c>
      <c r="GE353" s="319" t="s">
        <v>190</v>
      </c>
      <c r="GF353" s="319" t="s">
        <v>190</v>
      </c>
      <c r="GG353" s="319" t="s">
        <v>190</v>
      </c>
      <c r="GH353" s="319" t="s">
        <v>190</v>
      </c>
      <c r="GI353" s="319" t="s">
        <v>190</v>
      </c>
      <c r="GJ353" s="319" t="s">
        <v>190</v>
      </c>
      <c r="GK353" s="319" t="s">
        <v>428</v>
      </c>
      <c r="GL353" s="319" t="s">
        <v>190</v>
      </c>
      <c r="GM353" s="319" t="s">
        <v>190</v>
      </c>
      <c r="GN353" s="319" t="s">
        <v>190</v>
      </c>
      <c r="GO353" s="319" t="s">
        <v>190</v>
      </c>
      <c r="GP353" s="319" t="s">
        <v>190</v>
      </c>
      <c r="GQ353" s="319" t="s">
        <v>428</v>
      </c>
      <c r="GR353" s="319" t="s">
        <v>190</v>
      </c>
      <c r="GS353" s="319" t="s">
        <v>190</v>
      </c>
      <c r="GT353" s="319" t="s">
        <v>190</v>
      </c>
      <c r="GU353" s="319" t="s">
        <v>190</v>
      </c>
      <c r="GV353" s="319" t="s">
        <v>190</v>
      </c>
      <c r="GW353" s="319" t="s">
        <v>190</v>
      </c>
      <c r="GX353" s="319" t="s">
        <v>190</v>
      </c>
      <c r="GY353" s="319" t="s">
        <v>190</v>
      </c>
      <c r="GZ353" s="319" t="s">
        <v>190</v>
      </c>
      <c r="HA353" s="319" t="s">
        <v>428</v>
      </c>
      <c r="HB353" s="319" t="s">
        <v>190</v>
      </c>
      <c r="HC353" s="319" t="s">
        <v>190</v>
      </c>
      <c r="HD353" s="319" t="s">
        <v>190</v>
      </c>
      <c r="HE353" s="319" t="s">
        <v>190</v>
      </c>
      <c r="HF353" s="319" t="s">
        <v>190</v>
      </c>
      <c r="HG353" s="319" t="s">
        <v>190</v>
      </c>
      <c r="HH353" s="319" t="s">
        <v>190</v>
      </c>
      <c r="HI353" s="319" t="s">
        <v>190</v>
      </c>
      <c r="HJ353" s="319" t="s">
        <v>190</v>
      </c>
      <c r="HK353" s="319" t="s">
        <v>190</v>
      </c>
      <c r="HL353" s="319" t="s">
        <v>190</v>
      </c>
      <c r="HM353" s="319" t="s">
        <v>428</v>
      </c>
      <c r="HN353" s="319" t="s">
        <v>428</v>
      </c>
      <c r="HO353" s="319" t="s">
        <v>428</v>
      </c>
      <c r="HP353" s="319" t="s">
        <v>190</v>
      </c>
      <c r="HQ353" s="319" t="s">
        <v>190</v>
      </c>
      <c r="HR353" s="319" t="s">
        <v>190</v>
      </c>
      <c r="HS353" s="319" t="s">
        <v>190</v>
      </c>
      <c r="HT353" s="319" t="s">
        <v>190</v>
      </c>
      <c r="HU353" s="319" t="s">
        <v>190</v>
      </c>
      <c r="HV353" s="319" t="s">
        <v>190</v>
      </c>
      <c r="HW353" s="319" t="s">
        <v>190</v>
      </c>
      <c r="HX353" s="319" t="s">
        <v>190</v>
      </c>
      <c r="HY353" s="319" t="s">
        <v>190</v>
      </c>
      <c r="HZ353" s="319" t="s">
        <v>190</v>
      </c>
      <c r="IA353" s="319" t="s">
        <v>190</v>
      </c>
      <c r="IB353" s="319" t="s">
        <v>190</v>
      </c>
      <c r="IC353" s="319" t="s">
        <v>190</v>
      </c>
      <c r="ID353" s="319" t="s">
        <v>190</v>
      </c>
      <c r="IE353" s="319" t="s">
        <v>190</v>
      </c>
      <c r="IF353" s="319" t="s">
        <v>190</v>
      </c>
      <c r="IG353" s="319" t="s">
        <v>190</v>
      </c>
      <c r="IH353" s="319" t="s">
        <v>190</v>
      </c>
      <c r="II353" s="319" t="s">
        <v>190</v>
      </c>
      <c r="IJ353" s="319">
        <v>10006084</v>
      </c>
      <c r="IK353" s="321">
        <v>42696</v>
      </c>
      <c r="IL353" s="321">
        <v>42698</v>
      </c>
      <c r="IM353" s="321">
        <v>42751</v>
      </c>
      <c r="IN353" s="319">
        <v>2</v>
      </c>
      <c r="IO353" s="319" t="s">
        <v>173</v>
      </c>
      <c r="IP353" s="319" t="s">
        <v>173</v>
      </c>
      <c r="IQ353" s="319" t="s">
        <v>173</v>
      </c>
      <c r="IR353" s="320" t="s">
        <v>173</v>
      </c>
      <c r="IS353" s="320" t="s">
        <v>173</v>
      </c>
      <c r="IT353" s="319" t="s">
        <v>173</v>
      </c>
    </row>
    <row r="354" spans="1:254" s="271" customFormat="1" x14ac:dyDescent="0.25">
      <c r="A354" s="318" t="str">
        <f>HYPERLINK("http://www.ofsted.gov.uk/inspection-reports/find-inspection-report/provider/ELS/131802 ","Ofsted School Webpage")</f>
        <v>Ofsted School Webpage</v>
      </c>
      <c r="B354" s="319">
        <v>131802</v>
      </c>
      <c r="C354" s="319">
        <v>9286067</v>
      </c>
      <c r="D354" s="319" t="s">
        <v>1692</v>
      </c>
      <c r="E354" s="319" t="s">
        <v>168</v>
      </c>
      <c r="F354" s="319" t="s">
        <v>81</v>
      </c>
      <c r="G354" s="319" t="s">
        <v>81</v>
      </c>
      <c r="H354" s="319" t="s">
        <v>81</v>
      </c>
      <c r="I354" s="319" t="s">
        <v>78</v>
      </c>
      <c r="J354" s="319" t="s">
        <v>424</v>
      </c>
      <c r="K354" s="319" t="s">
        <v>506</v>
      </c>
      <c r="L354" s="319" t="s">
        <v>506</v>
      </c>
      <c r="M354" s="319" t="s">
        <v>1136</v>
      </c>
      <c r="N354" s="319" t="s">
        <v>3015</v>
      </c>
      <c r="O354" s="319" t="s">
        <v>1693</v>
      </c>
      <c r="P354" s="319">
        <v>15</v>
      </c>
      <c r="Q354" s="319" t="s">
        <v>429</v>
      </c>
      <c r="R354" s="320">
        <v>10078684</v>
      </c>
      <c r="S354" s="321">
        <v>43760</v>
      </c>
      <c r="T354" s="321">
        <v>43762</v>
      </c>
      <c r="U354" s="321">
        <v>43793</v>
      </c>
      <c r="V354" s="319" t="s">
        <v>425</v>
      </c>
      <c r="W354" s="319" t="s">
        <v>2767</v>
      </c>
      <c r="X354" s="319">
        <v>2</v>
      </c>
      <c r="Y354" s="319">
        <v>2</v>
      </c>
      <c r="Z354" s="319">
        <v>2</v>
      </c>
      <c r="AA354" s="319">
        <v>2</v>
      </c>
      <c r="AB354" s="319">
        <v>2</v>
      </c>
      <c r="AC354" s="319" t="s">
        <v>169</v>
      </c>
      <c r="AD354" s="319" t="s">
        <v>173</v>
      </c>
      <c r="AE354" s="319" t="s">
        <v>173</v>
      </c>
      <c r="AF354" s="319" t="s">
        <v>427</v>
      </c>
      <c r="AG354" s="319" t="s">
        <v>171</v>
      </c>
      <c r="AH354" s="319" t="s">
        <v>190</v>
      </c>
      <c r="AI354" s="319" t="s">
        <v>190</v>
      </c>
      <c r="AJ354" s="319" t="s">
        <v>190</v>
      </c>
      <c r="AK354" s="319" t="s">
        <v>190</v>
      </c>
      <c r="AL354" s="319" t="s">
        <v>190</v>
      </c>
      <c r="AM354" s="319" t="s">
        <v>190</v>
      </c>
      <c r="AN354" s="319" t="s">
        <v>190</v>
      </c>
      <c r="AO354" s="319" t="s">
        <v>190</v>
      </c>
      <c r="AP354" s="319" t="s">
        <v>190</v>
      </c>
      <c r="AQ354" s="319" t="s">
        <v>190</v>
      </c>
      <c r="AR354" s="319" t="s">
        <v>190</v>
      </c>
      <c r="AS354" s="319" t="s">
        <v>190</v>
      </c>
      <c r="AT354" s="319" t="s">
        <v>190</v>
      </c>
      <c r="AU354" s="319" t="s">
        <v>190</v>
      </c>
      <c r="AV354" s="319" t="s">
        <v>190</v>
      </c>
      <c r="AW354" s="319" t="s">
        <v>190</v>
      </c>
      <c r="AX354" s="319" t="s">
        <v>428</v>
      </c>
      <c r="AY354" s="319" t="s">
        <v>190</v>
      </c>
      <c r="AZ354" s="319" t="s">
        <v>190</v>
      </c>
      <c r="BA354" s="319" t="s">
        <v>190</v>
      </c>
      <c r="BB354" s="319" t="s">
        <v>190</v>
      </c>
      <c r="BC354" s="319" t="s">
        <v>190</v>
      </c>
      <c r="BD354" s="319" t="s">
        <v>190</v>
      </c>
      <c r="BE354" s="319" t="s">
        <v>190</v>
      </c>
      <c r="BF354" s="319" t="s">
        <v>428</v>
      </c>
      <c r="BG354" s="319" t="s">
        <v>428</v>
      </c>
      <c r="BH354" s="319" t="s">
        <v>190</v>
      </c>
      <c r="BI354" s="319" t="s">
        <v>190</v>
      </c>
      <c r="BJ354" s="319" t="s">
        <v>190</v>
      </c>
      <c r="BK354" s="319" t="s">
        <v>190</v>
      </c>
      <c r="BL354" s="319" t="s">
        <v>190</v>
      </c>
      <c r="BM354" s="319" t="s">
        <v>190</v>
      </c>
      <c r="BN354" s="319" t="s">
        <v>190</v>
      </c>
      <c r="BO354" s="319" t="s">
        <v>190</v>
      </c>
      <c r="BP354" s="319" t="s">
        <v>190</v>
      </c>
      <c r="BQ354" s="319" t="s">
        <v>190</v>
      </c>
      <c r="BR354" s="319" t="s">
        <v>190</v>
      </c>
      <c r="BS354" s="319" t="s">
        <v>190</v>
      </c>
      <c r="BT354" s="319" t="s">
        <v>190</v>
      </c>
      <c r="BU354" s="319" t="s">
        <v>190</v>
      </c>
      <c r="BV354" s="319" t="s">
        <v>190</v>
      </c>
      <c r="BW354" s="319" t="s">
        <v>190</v>
      </c>
      <c r="BX354" s="319" t="s">
        <v>190</v>
      </c>
      <c r="BY354" s="319" t="s">
        <v>190</v>
      </c>
      <c r="BZ354" s="319" t="s">
        <v>190</v>
      </c>
      <c r="CA354" s="319" t="s">
        <v>190</v>
      </c>
      <c r="CB354" s="319" t="s">
        <v>190</v>
      </c>
      <c r="CC354" s="319" t="s">
        <v>190</v>
      </c>
      <c r="CD354" s="319" t="s">
        <v>190</v>
      </c>
      <c r="CE354" s="319" t="s">
        <v>190</v>
      </c>
      <c r="CF354" s="319" t="s">
        <v>190</v>
      </c>
      <c r="CG354" s="319" t="s">
        <v>190</v>
      </c>
      <c r="CH354" s="319" t="s">
        <v>190</v>
      </c>
      <c r="CI354" s="319" t="s">
        <v>190</v>
      </c>
      <c r="CJ354" s="319" t="s">
        <v>190</v>
      </c>
      <c r="CK354" s="319" t="s">
        <v>190</v>
      </c>
      <c r="CL354" s="319" t="s">
        <v>190</v>
      </c>
      <c r="CM354" s="319" t="s">
        <v>190</v>
      </c>
      <c r="CN354" s="319" t="s">
        <v>428</v>
      </c>
      <c r="CO354" s="319" t="s">
        <v>428</v>
      </c>
      <c r="CP354" s="319" t="s">
        <v>428</v>
      </c>
      <c r="CQ354" s="319" t="s">
        <v>190</v>
      </c>
      <c r="CR354" s="319" t="s">
        <v>190</v>
      </c>
      <c r="CS354" s="319" t="s">
        <v>190</v>
      </c>
      <c r="CT354" s="319" t="s">
        <v>190</v>
      </c>
      <c r="CU354" s="319" t="s">
        <v>190</v>
      </c>
      <c r="CV354" s="319" t="s">
        <v>190</v>
      </c>
      <c r="CW354" s="319" t="s">
        <v>190</v>
      </c>
      <c r="CX354" s="319" t="s">
        <v>190</v>
      </c>
      <c r="CY354" s="319" t="s">
        <v>190</v>
      </c>
      <c r="CZ354" s="319" t="s">
        <v>190</v>
      </c>
      <c r="DA354" s="319" t="s">
        <v>190</v>
      </c>
      <c r="DB354" s="319" t="s">
        <v>190</v>
      </c>
      <c r="DC354" s="319" t="s">
        <v>190</v>
      </c>
      <c r="DD354" s="319" t="s">
        <v>190</v>
      </c>
      <c r="DE354" s="319" t="s">
        <v>190</v>
      </c>
      <c r="DF354" s="319" t="s">
        <v>190</v>
      </c>
      <c r="DG354" s="319" t="s">
        <v>190</v>
      </c>
      <c r="DH354" s="319" t="s">
        <v>190</v>
      </c>
      <c r="DI354" s="319" t="s">
        <v>190</v>
      </c>
      <c r="DJ354" s="319" t="s">
        <v>190</v>
      </c>
      <c r="DK354" s="319" t="s">
        <v>190</v>
      </c>
      <c r="DL354" s="319" t="s">
        <v>190</v>
      </c>
      <c r="DM354" s="319" t="s">
        <v>190</v>
      </c>
      <c r="DN354" s="319" t="s">
        <v>428</v>
      </c>
      <c r="DO354" s="319" t="s">
        <v>190</v>
      </c>
      <c r="DP354" s="319" t="s">
        <v>428</v>
      </c>
      <c r="DQ354" s="319" t="s">
        <v>428</v>
      </c>
      <c r="DR354" s="319" t="s">
        <v>428</v>
      </c>
      <c r="DS354" s="319" t="s">
        <v>428</v>
      </c>
      <c r="DT354" s="319" t="s">
        <v>428</v>
      </c>
      <c r="DU354" s="319" t="s">
        <v>428</v>
      </c>
      <c r="DV354" s="319" t="s">
        <v>428</v>
      </c>
      <c r="DW354" s="319" t="s">
        <v>428</v>
      </c>
      <c r="DX354" s="319" t="s">
        <v>428</v>
      </c>
      <c r="DY354" s="319" t="s">
        <v>428</v>
      </c>
      <c r="DZ354" s="319" t="s">
        <v>428</v>
      </c>
      <c r="EA354" s="319" t="s">
        <v>428</v>
      </c>
      <c r="EB354" s="319" t="s">
        <v>428</v>
      </c>
      <c r="EC354" s="319" t="s">
        <v>428</v>
      </c>
      <c r="ED354" s="319" t="s">
        <v>428</v>
      </c>
      <c r="EE354" s="319" t="s">
        <v>190</v>
      </c>
      <c r="EF354" s="319" t="s">
        <v>190</v>
      </c>
      <c r="EG354" s="319" t="s">
        <v>190</v>
      </c>
      <c r="EH354" s="319" t="s">
        <v>190</v>
      </c>
      <c r="EI354" s="319" t="s">
        <v>190</v>
      </c>
      <c r="EJ354" s="319" t="s">
        <v>190</v>
      </c>
      <c r="EK354" s="319" t="s">
        <v>190</v>
      </c>
      <c r="EL354" s="319" t="s">
        <v>190</v>
      </c>
      <c r="EM354" s="319" t="s">
        <v>190</v>
      </c>
      <c r="EN354" s="319" t="s">
        <v>190</v>
      </c>
      <c r="EO354" s="319" t="s">
        <v>190</v>
      </c>
      <c r="EP354" s="319" t="s">
        <v>190</v>
      </c>
      <c r="EQ354" s="319" t="s">
        <v>190</v>
      </c>
      <c r="ER354" s="319" t="s">
        <v>190</v>
      </c>
      <c r="ES354" s="319" t="s">
        <v>190</v>
      </c>
      <c r="ET354" s="319" t="s">
        <v>190</v>
      </c>
      <c r="EU354" s="319" t="s">
        <v>190</v>
      </c>
      <c r="EV354" s="319" t="s">
        <v>190</v>
      </c>
      <c r="EW354" s="319" t="s">
        <v>190</v>
      </c>
      <c r="EX354" s="319" t="s">
        <v>190</v>
      </c>
      <c r="EY354" s="319" t="s">
        <v>190</v>
      </c>
      <c r="EZ354" s="319" t="s">
        <v>190</v>
      </c>
      <c r="FA354" s="319" t="s">
        <v>428</v>
      </c>
      <c r="FB354" s="319" t="s">
        <v>428</v>
      </c>
      <c r="FC354" s="319" t="s">
        <v>428</v>
      </c>
      <c r="FD354" s="319" t="s">
        <v>428</v>
      </c>
      <c r="FE354" s="319" t="s">
        <v>428</v>
      </c>
      <c r="FF354" s="319" t="s">
        <v>428</v>
      </c>
      <c r="FG354" s="319" t="s">
        <v>428</v>
      </c>
      <c r="FH354" s="319" t="s">
        <v>190</v>
      </c>
      <c r="FI354" s="319" t="s">
        <v>190</v>
      </c>
      <c r="FJ354" s="319" t="s">
        <v>190</v>
      </c>
      <c r="FK354" s="319" t="s">
        <v>190</v>
      </c>
      <c r="FL354" s="319" t="s">
        <v>190</v>
      </c>
      <c r="FM354" s="319" t="s">
        <v>190</v>
      </c>
      <c r="FN354" s="319" t="s">
        <v>190</v>
      </c>
      <c r="FO354" s="319" t="s">
        <v>190</v>
      </c>
      <c r="FP354" s="319" t="s">
        <v>190</v>
      </c>
      <c r="FQ354" s="319" t="s">
        <v>190</v>
      </c>
      <c r="FR354" s="319" t="s">
        <v>190</v>
      </c>
      <c r="FS354" s="319" t="s">
        <v>428</v>
      </c>
      <c r="FT354" s="319" t="s">
        <v>428</v>
      </c>
      <c r="FU354" s="319" t="s">
        <v>190</v>
      </c>
      <c r="FV354" s="319" t="s">
        <v>190</v>
      </c>
      <c r="FW354" s="319" t="s">
        <v>190</v>
      </c>
      <c r="FX354" s="319" t="s">
        <v>190</v>
      </c>
      <c r="FY354" s="319" t="s">
        <v>190</v>
      </c>
      <c r="FZ354" s="319" t="s">
        <v>190</v>
      </c>
      <c r="GA354" s="319" t="s">
        <v>190</v>
      </c>
      <c r="GB354" s="319" t="s">
        <v>190</v>
      </c>
      <c r="GC354" s="319" t="s">
        <v>190</v>
      </c>
      <c r="GD354" s="319" t="s">
        <v>190</v>
      </c>
      <c r="GE354" s="319" t="s">
        <v>190</v>
      </c>
      <c r="GF354" s="319" t="s">
        <v>190</v>
      </c>
      <c r="GG354" s="319" t="s">
        <v>190</v>
      </c>
      <c r="GH354" s="319" t="s">
        <v>190</v>
      </c>
      <c r="GI354" s="319" t="s">
        <v>190</v>
      </c>
      <c r="GJ354" s="319" t="s">
        <v>190</v>
      </c>
      <c r="GK354" s="319" t="s">
        <v>428</v>
      </c>
      <c r="GL354" s="319" t="s">
        <v>190</v>
      </c>
      <c r="GM354" s="319" t="s">
        <v>190</v>
      </c>
      <c r="GN354" s="319" t="s">
        <v>190</v>
      </c>
      <c r="GO354" s="319" t="s">
        <v>190</v>
      </c>
      <c r="GP354" s="319" t="s">
        <v>190</v>
      </c>
      <c r="GQ354" s="319" t="s">
        <v>428</v>
      </c>
      <c r="GR354" s="319" t="s">
        <v>190</v>
      </c>
      <c r="GS354" s="319" t="s">
        <v>190</v>
      </c>
      <c r="GT354" s="319" t="s">
        <v>190</v>
      </c>
      <c r="GU354" s="319" t="s">
        <v>190</v>
      </c>
      <c r="GV354" s="319" t="s">
        <v>428</v>
      </c>
      <c r="GW354" s="319" t="s">
        <v>190</v>
      </c>
      <c r="GX354" s="319" t="s">
        <v>190</v>
      </c>
      <c r="GY354" s="319" t="s">
        <v>190</v>
      </c>
      <c r="GZ354" s="319" t="s">
        <v>428</v>
      </c>
      <c r="HA354" s="319" t="s">
        <v>190</v>
      </c>
      <c r="HB354" s="319" t="s">
        <v>428</v>
      </c>
      <c r="HC354" s="319" t="s">
        <v>190</v>
      </c>
      <c r="HD354" s="319" t="s">
        <v>190</v>
      </c>
      <c r="HE354" s="319" t="s">
        <v>190</v>
      </c>
      <c r="HF354" s="319" t="s">
        <v>190</v>
      </c>
      <c r="HG354" s="319" t="s">
        <v>190</v>
      </c>
      <c r="HH354" s="319" t="s">
        <v>190</v>
      </c>
      <c r="HI354" s="319" t="s">
        <v>190</v>
      </c>
      <c r="HJ354" s="319" t="s">
        <v>190</v>
      </c>
      <c r="HK354" s="319" t="s">
        <v>190</v>
      </c>
      <c r="HL354" s="319" t="s">
        <v>428</v>
      </c>
      <c r="HM354" s="319" t="s">
        <v>428</v>
      </c>
      <c r="HN354" s="319" t="s">
        <v>428</v>
      </c>
      <c r="HO354" s="319" t="s">
        <v>428</v>
      </c>
      <c r="HP354" s="319" t="s">
        <v>190</v>
      </c>
      <c r="HQ354" s="319" t="s">
        <v>190</v>
      </c>
      <c r="HR354" s="319" t="s">
        <v>190</v>
      </c>
      <c r="HS354" s="319" t="s">
        <v>190</v>
      </c>
      <c r="HT354" s="319" t="s">
        <v>190</v>
      </c>
      <c r="HU354" s="319" t="s">
        <v>190</v>
      </c>
      <c r="HV354" s="319" t="s">
        <v>190</v>
      </c>
      <c r="HW354" s="319" t="s">
        <v>190</v>
      </c>
      <c r="HX354" s="319" t="s">
        <v>190</v>
      </c>
      <c r="HY354" s="319" t="s">
        <v>190</v>
      </c>
      <c r="HZ354" s="319" t="s">
        <v>190</v>
      </c>
      <c r="IA354" s="319" t="s">
        <v>190</v>
      </c>
      <c r="IB354" s="319" t="s">
        <v>190</v>
      </c>
      <c r="IC354" s="319" t="s">
        <v>190</v>
      </c>
      <c r="ID354" s="319" t="s">
        <v>190</v>
      </c>
      <c r="IE354" s="319" t="s">
        <v>190</v>
      </c>
      <c r="IF354" s="319" t="s">
        <v>190</v>
      </c>
      <c r="IG354" s="319" t="s">
        <v>190</v>
      </c>
      <c r="IH354" s="319" t="s">
        <v>190</v>
      </c>
      <c r="II354" s="319" t="s">
        <v>190</v>
      </c>
      <c r="IJ354" s="319">
        <v>10026048</v>
      </c>
      <c r="IK354" s="321">
        <v>42822</v>
      </c>
      <c r="IL354" s="321">
        <v>42824</v>
      </c>
      <c r="IM354" s="321">
        <v>42857</v>
      </c>
      <c r="IN354" s="319">
        <v>3</v>
      </c>
      <c r="IO354" s="319" t="s">
        <v>173</v>
      </c>
      <c r="IP354" s="319" t="s">
        <v>173</v>
      </c>
      <c r="IQ354" s="321" t="s">
        <v>173</v>
      </c>
      <c r="IR354" s="320" t="s">
        <v>173</v>
      </c>
      <c r="IS354" s="322" t="s">
        <v>173</v>
      </c>
      <c r="IT354" s="319" t="s">
        <v>173</v>
      </c>
    </row>
    <row r="355" spans="1:254" s="271" customFormat="1" x14ac:dyDescent="0.25">
      <c r="A355" s="318" t="str">
        <f>HYPERLINK("http://www.ofsted.gov.uk/inspection-reports/find-inspection-report/provider/ELS/131810 ","Ofsted School Webpage")</f>
        <v>Ofsted School Webpage</v>
      </c>
      <c r="B355" s="319">
        <v>131810</v>
      </c>
      <c r="C355" s="319">
        <v>8866085</v>
      </c>
      <c r="D355" s="319" t="s">
        <v>613</v>
      </c>
      <c r="E355" s="319" t="s">
        <v>168</v>
      </c>
      <c r="F355" s="319" t="s">
        <v>81</v>
      </c>
      <c r="G355" s="319" t="s">
        <v>81</v>
      </c>
      <c r="H355" s="319" t="s">
        <v>81</v>
      </c>
      <c r="I355" s="319" t="s">
        <v>78</v>
      </c>
      <c r="J355" s="319" t="s">
        <v>424</v>
      </c>
      <c r="K355" s="319" t="s">
        <v>514</v>
      </c>
      <c r="L355" s="319" t="s">
        <v>514</v>
      </c>
      <c r="M355" s="319" t="s">
        <v>614</v>
      </c>
      <c r="N355" s="319" t="s">
        <v>2986</v>
      </c>
      <c r="O355" s="319" t="s">
        <v>615</v>
      </c>
      <c r="P355" s="319">
        <v>5</v>
      </c>
      <c r="Q355" s="319" t="s">
        <v>429</v>
      </c>
      <c r="R355" s="320">
        <v>10054078</v>
      </c>
      <c r="S355" s="321">
        <v>43410</v>
      </c>
      <c r="T355" s="321">
        <v>43412</v>
      </c>
      <c r="U355" s="321">
        <v>43444</v>
      </c>
      <c r="V355" s="319" t="s">
        <v>425</v>
      </c>
      <c r="W355" s="319" t="s">
        <v>2767</v>
      </c>
      <c r="X355" s="319">
        <v>2</v>
      </c>
      <c r="Y355" s="319" t="s">
        <v>173</v>
      </c>
      <c r="Z355" s="319" t="s">
        <v>173</v>
      </c>
      <c r="AA355" s="319" t="s">
        <v>173</v>
      </c>
      <c r="AB355" s="319">
        <v>2</v>
      </c>
      <c r="AC355" s="319" t="s">
        <v>169</v>
      </c>
      <c r="AD355" s="319" t="s">
        <v>173</v>
      </c>
      <c r="AE355" s="319" t="s">
        <v>173</v>
      </c>
      <c r="AF355" s="319" t="s">
        <v>427</v>
      </c>
      <c r="AG355" s="319" t="s">
        <v>171</v>
      </c>
      <c r="AH355" s="319" t="s">
        <v>190</v>
      </c>
      <c r="AI355" s="319" t="s">
        <v>190</v>
      </c>
      <c r="AJ355" s="319" t="s">
        <v>190</v>
      </c>
      <c r="AK355" s="319" t="s">
        <v>190</v>
      </c>
      <c r="AL355" s="319" t="s">
        <v>190</v>
      </c>
      <c r="AM355" s="319" t="s">
        <v>190</v>
      </c>
      <c r="AN355" s="319" t="s">
        <v>190</v>
      </c>
      <c r="AO355" s="319" t="s">
        <v>190</v>
      </c>
      <c r="AP355" s="319" t="s">
        <v>190</v>
      </c>
      <c r="AQ355" s="319" t="s">
        <v>190</v>
      </c>
      <c r="AR355" s="319" t="s">
        <v>190</v>
      </c>
      <c r="AS355" s="319" t="s">
        <v>190</v>
      </c>
      <c r="AT355" s="319" t="s">
        <v>190</v>
      </c>
      <c r="AU355" s="319" t="s">
        <v>190</v>
      </c>
      <c r="AV355" s="319" t="s">
        <v>190</v>
      </c>
      <c r="AW355" s="319" t="s">
        <v>190</v>
      </c>
      <c r="AX355" s="319" t="s">
        <v>428</v>
      </c>
      <c r="AY355" s="319" t="s">
        <v>190</v>
      </c>
      <c r="AZ355" s="319" t="s">
        <v>190</v>
      </c>
      <c r="BA355" s="319" t="s">
        <v>190</v>
      </c>
      <c r="BB355" s="319" t="s">
        <v>190</v>
      </c>
      <c r="BC355" s="319" t="s">
        <v>190</v>
      </c>
      <c r="BD355" s="319" t="s">
        <v>190</v>
      </c>
      <c r="BE355" s="319" t="s">
        <v>190</v>
      </c>
      <c r="BF355" s="319" t="s">
        <v>428</v>
      </c>
      <c r="BG355" s="319" t="s">
        <v>428</v>
      </c>
      <c r="BH355" s="319" t="s">
        <v>190</v>
      </c>
      <c r="BI355" s="319" t="s">
        <v>190</v>
      </c>
      <c r="BJ355" s="319" t="s">
        <v>190</v>
      </c>
      <c r="BK355" s="319" t="s">
        <v>190</v>
      </c>
      <c r="BL355" s="319" t="s">
        <v>190</v>
      </c>
      <c r="BM355" s="319" t="s">
        <v>190</v>
      </c>
      <c r="BN355" s="319" t="s">
        <v>190</v>
      </c>
      <c r="BO355" s="319" t="s">
        <v>190</v>
      </c>
      <c r="BP355" s="319" t="s">
        <v>190</v>
      </c>
      <c r="BQ355" s="319" t="s">
        <v>190</v>
      </c>
      <c r="BR355" s="319" t="s">
        <v>190</v>
      </c>
      <c r="BS355" s="319" t="s">
        <v>190</v>
      </c>
      <c r="BT355" s="319" t="s">
        <v>190</v>
      </c>
      <c r="BU355" s="319" t="s">
        <v>190</v>
      </c>
      <c r="BV355" s="319" t="s">
        <v>173</v>
      </c>
      <c r="BW355" s="319" t="s">
        <v>190</v>
      </c>
      <c r="BX355" s="319" t="s">
        <v>190</v>
      </c>
      <c r="BY355" s="319" t="s">
        <v>190</v>
      </c>
      <c r="BZ355" s="319" t="s">
        <v>190</v>
      </c>
      <c r="CA355" s="319" t="s">
        <v>190</v>
      </c>
      <c r="CB355" s="319" t="s">
        <v>190</v>
      </c>
      <c r="CC355" s="319" t="s">
        <v>190</v>
      </c>
      <c r="CD355" s="319" t="s">
        <v>190</v>
      </c>
      <c r="CE355" s="319" t="s">
        <v>190</v>
      </c>
      <c r="CF355" s="319" t="s">
        <v>190</v>
      </c>
      <c r="CG355" s="319" t="s">
        <v>190</v>
      </c>
      <c r="CH355" s="319" t="s">
        <v>190</v>
      </c>
      <c r="CI355" s="319" t="s">
        <v>190</v>
      </c>
      <c r="CJ355" s="319" t="s">
        <v>190</v>
      </c>
      <c r="CK355" s="319" t="s">
        <v>190</v>
      </c>
      <c r="CL355" s="319" t="s">
        <v>190</v>
      </c>
      <c r="CM355" s="319" t="s">
        <v>190</v>
      </c>
      <c r="CN355" s="319" t="s">
        <v>190</v>
      </c>
      <c r="CO355" s="319" t="s">
        <v>190</v>
      </c>
      <c r="CP355" s="319" t="s">
        <v>428</v>
      </c>
      <c r="CQ355" s="319" t="s">
        <v>190</v>
      </c>
      <c r="CR355" s="319" t="s">
        <v>190</v>
      </c>
      <c r="CS355" s="319" t="s">
        <v>190</v>
      </c>
      <c r="CT355" s="319" t="s">
        <v>190</v>
      </c>
      <c r="CU355" s="319" t="s">
        <v>190</v>
      </c>
      <c r="CV355" s="319" t="s">
        <v>190</v>
      </c>
      <c r="CW355" s="319" t="s">
        <v>190</v>
      </c>
      <c r="CX355" s="319" t="s">
        <v>190</v>
      </c>
      <c r="CY355" s="319" t="s">
        <v>190</v>
      </c>
      <c r="CZ355" s="319" t="s">
        <v>190</v>
      </c>
      <c r="DA355" s="319" t="s">
        <v>190</v>
      </c>
      <c r="DB355" s="319" t="s">
        <v>190</v>
      </c>
      <c r="DC355" s="319" t="s">
        <v>190</v>
      </c>
      <c r="DD355" s="319" t="s">
        <v>190</v>
      </c>
      <c r="DE355" s="319" t="s">
        <v>190</v>
      </c>
      <c r="DF355" s="319" t="s">
        <v>190</v>
      </c>
      <c r="DG355" s="319" t="s">
        <v>190</v>
      </c>
      <c r="DH355" s="319" t="s">
        <v>190</v>
      </c>
      <c r="DI355" s="319" t="s">
        <v>190</v>
      </c>
      <c r="DJ355" s="319" t="s">
        <v>190</v>
      </c>
      <c r="DK355" s="319" t="s">
        <v>190</v>
      </c>
      <c r="DL355" s="319" t="s">
        <v>190</v>
      </c>
      <c r="DM355" s="319" t="s">
        <v>190</v>
      </c>
      <c r="DN355" s="319" t="s">
        <v>428</v>
      </c>
      <c r="DO355" s="319" t="s">
        <v>190</v>
      </c>
      <c r="DP355" s="319" t="s">
        <v>190</v>
      </c>
      <c r="DQ355" s="319" t="s">
        <v>190</v>
      </c>
      <c r="DR355" s="319" t="s">
        <v>190</v>
      </c>
      <c r="DS355" s="319" t="s">
        <v>190</v>
      </c>
      <c r="DT355" s="319" t="s">
        <v>190</v>
      </c>
      <c r="DU355" s="319" t="s">
        <v>190</v>
      </c>
      <c r="DV355" s="319" t="s">
        <v>173</v>
      </c>
      <c r="DW355" s="319" t="s">
        <v>190</v>
      </c>
      <c r="DX355" s="319" t="s">
        <v>190</v>
      </c>
      <c r="DY355" s="319" t="s">
        <v>190</v>
      </c>
      <c r="DZ355" s="319" t="s">
        <v>190</v>
      </c>
      <c r="EA355" s="319" t="s">
        <v>190</v>
      </c>
      <c r="EB355" s="319" t="s">
        <v>190</v>
      </c>
      <c r="EC355" s="319" t="s">
        <v>190</v>
      </c>
      <c r="ED355" s="319" t="s">
        <v>190</v>
      </c>
      <c r="EE355" s="319" t="s">
        <v>190</v>
      </c>
      <c r="EF355" s="319" t="s">
        <v>190</v>
      </c>
      <c r="EG355" s="319" t="s">
        <v>190</v>
      </c>
      <c r="EH355" s="319" t="s">
        <v>190</v>
      </c>
      <c r="EI355" s="319" t="s">
        <v>190</v>
      </c>
      <c r="EJ355" s="319" t="s">
        <v>190</v>
      </c>
      <c r="EK355" s="319" t="s">
        <v>190</v>
      </c>
      <c r="EL355" s="319" t="s">
        <v>190</v>
      </c>
      <c r="EM355" s="319" t="s">
        <v>190</v>
      </c>
      <c r="EN355" s="319" t="s">
        <v>190</v>
      </c>
      <c r="EO355" s="319" t="s">
        <v>190</v>
      </c>
      <c r="EP355" s="319" t="s">
        <v>190</v>
      </c>
      <c r="EQ355" s="319" t="s">
        <v>190</v>
      </c>
      <c r="ER355" s="319" t="s">
        <v>190</v>
      </c>
      <c r="ES355" s="319" t="s">
        <v>190</v>
      </c>
      <c r="ET355" s="319" t="s">
        <v>190</v>
      </c>
      <c r="EU355" s="319" t="s">
        <v>190</v>
      </c>
      <c r="EV355" s="319" t="s">
        <v>190</v>
      </c>
      <c r="EW355" s="319" t="s">
        <v>190</v>
      </c>
      <c r="EX355" s="319" t="s">
        <v>190</v>
      </c>
      <c r="EY355" s="319" t="s">
        <v>190</v>
      </c>
      <c r="EZ355" s="319" t="s">
        <v>190</v>
      </c>
      <c r="FA355" s="319" t="s">
        <v>190</v>
      </c>
      <c r="FB355" s="319" t="s">
        <v>190</v>
      </c>
      <c r="FC355" s="319" t="s">
        <v>190</v>
      </c>
      <c r="FD355" s="319" t="s">
        <v>190</v>
      </c>
      <c r="FE355" s="319" t="s">
        <v>190</v>
      </c>
      <c r="FF355" s="319" t="s">
        <v>190</v>
      </c>
      <c r="FG355" s="319" t="s">
        <v>190</v>
      </c>
      <c r="FH355" s="319" t="s">
        <v>190</v>
      </c>
      <c r="FI355" s="319" t="s">
        <v>190</v>
      </c>
      <c r="FJ355" s="319" t="s">
        <v>190</v>
      </c>
      <c r="FK355" s="319" t="s">
        <v>190</v>
      </c>
      <c r="FL355" s="319" t="s">
        <v>190</v>
      </c>
      <c r="FM355" s="319" t="s">
        <v>190</v>
      </c>
      <c r="FN355" s="319" t="s">
        <v>190</v>
      </c>
      <c r="FO355" s="319" t="s">
        <v>190</v>
      </c>
      <c r="FP355" s="319" t="s">
        <v>190</v>
      </c>
      <c r="FQ355" s="319" t="s">
        <v>190</v>
      </c>
      <c r="FR355" s="319" t="s">
        <v>190</v>
      </c>
      <c r="FS355" s="319" t="s">
        <v>190</v>
      </c>
      <c r="FT355" s="319" t="s">
        <v>190</v>
      </c>
      <c r="FU355" s="319" t="s">
        <v>190</v>
      </c>
      <c r="FV355" s="319" t="s">
        <v>190</v>
      </c>
      <c r="FW355" s="319" t="s">
        <v>190</v>
      </c>
      <c r="FX355" s="319" t="s">
        <v>190</v>
      </c>
      <c r="FY355" s="319" t="s">
        <v>190</v>
      </c>
      <c r="FZ355" s="319" t="s">
        <v>190</v>
      </c>
      <c r="GA355" s="319" t="s">
        <v>173</v>
      </c>
      <c r="GB355" s="319" t="s">
        <v>190</v>
      </c>
      <c r="GC355" s="319" t="s">
        <v>190</v>
      </c>
      <c r="GD355" s="319" t="s">
        <v>190</v>
      </c>
      <c r="GE355" s="319" t="s">
        <v>190</v>
      </c>
      <c r="GF355" s="319" t="s">
        <v>190</v>
      </c>
      <c r="GG355" s="319" t="s">
        <v>190</v>
      </c>
      <c r="GH355" s="319" t="s">
        <v>190</v>
      </c>
      <c r="GI355" s="319" t="s">
        <v>190</v>
      </c>
      <c r="GJ355" s="319" t="s">
        <v>190</v>
      </c>
      <c r="GK355" s="319" t="s">
        <v>190</v>
      </c>
      <c r="GL355" s="319" t="s">
        <v>190</v>
      </c>
      <c r="GM355" s="319" t="s">
        <v>190</v>
      </c>
      <c r="GN355" s="319" t="s">
        <v>190</v>
      </c>
      <c r="GO355" s="319" t="s">
        <v>190</v>
      </c>
      <c r="GP355" s="319" t="s">
        <v>190</v>
      </c>
      <c r="GQ355" s="319" t="s">
        <v>190</v>
      </c>
      <c r="GR355" s="319" t="s">
        <v>190</v>
      </c>
      <c r="GS355" s="319" t="s">
        <v>190</v>
      </c>
      <c r="GT355" s="319" t="s">
        <v>190</v>
      </c>
      <c r="GU355" s="319" t="s">
        <v>190</v>
      </c>
      <c r="GV355" s="319" t="s">
        <v>190</v>
      </c>
      <c r="GW355" s="319" t="s">
        <v>190</v>
      </c>
      <c r="GX355" s="319" t="s">
        <v>190</v>
      </c>
      <c r="GY355" s="319" t="s">
        <v>190</v>
      </c>
      <c r="GZ355" s="319" t="s">
        <v>190</v>
      </c>
      <c r="HA355" s="319" t="s">
        <v>190</v>
      </c>
      <c r="HB355" s="319" t="s">
        <v>190</v>
      </c>
      <c r="HC355" s="319" t="s">
        <v>190</v>
      </c>
      <c r="HD355" s="319" t="s">
        <v>190</v>
      </c>
      <c r="HE355" s="319" t="s">
        <v>190</v>
      </c>
      <c r="HF355" s="319" t="s">
        <v>190</v>
      </c>
      <c r="HG355" s="319" t="s">
        <v>190</v>
      </c>
      <c r="HH355" s="319" t="s">
        <v>190</v>
      </c>
      <c r="HI355" s="319" t="s">
        <v>190</v>
      </c>
      <c r="HJ355" s="319" t="s">
        <v>190</v>
      </c>
      <c r="HK355" s="319" t="s">
        <v>190</v>
      </c>
      <c r="HL355" s="319" t="s">
        <v>190</v>
      </c>
      <c r="HM355" s="319" t="s">
        <v>190</v>
      </c>
      <c r="HN355" s="319" t="s">
        <v>190</v>
      </c>
      <c r="HO355" s="319" t="s">
        <v>190</v>
      </c>
      <c r="HP355" s="319" t="s">
        <v>173</v>
      </c>
      <c r="HQ355" s="319" t="s">
        <v>190</v>
      </c>
      <c r="HR355" s="319" t="s">
        <v>190</v>
      </c>
      <c r="HS355" s="319" t="s">
        <v>190</v>
      </c>
      <c r="HT355" s="319" t="s">
        <v>190</v>
      </c>
      <c r="HU355" s="319" t="s">
        <v>190</v>
      </c>
      <c r="HV355" s="319" t="s">
        <v>190</v>
      </c>
      <c r="HW355" s="319" t="s">
        <v>190</v>
      </c>
      <c r="HX355" s="319" t="s">
        <v>190</v>
      </c>
      <c r="HY355" s="319" t="s">
        <v>190</v>
      </c>
      <c r="HZ355" s="319" t="s">
        <v>190</v>
      </c>
      <c r="IA355" s="319" t="s">
        <v>190</v>
      </c>
      <c r="IB355" s="319" t="s">
        <v>190</v>
      </c>
      <c r="IC355" s="319" t="s">
        <v>190</v>
      </c>
      <c r="ID355" s="319" t="s">
        <v>190</v>
      </c>
      <c r="IE355" s="319" t="s">
        <v>190</v>
      </c>
      <c r="IF355" s="319" t="s">
        <v>190</v>
      </c>
      <c r="IG355" s="319" t="s">
        <v>190</v>
      </c>
      <c r="IH355" s="319" t="s">
        <v>190</v>
      </c>
      <c r="II355" s="319" t="s">
        <v>190</v>
      </c>
      <c r="IJ355" s="319">
        <v>10012905</v>
      </c>
      <c r="IK355" s="321">
        <v>42682</v>
      </c>
      <c r="IL355" s="321">
        <v>42684</v>
      </c>
      <c r="IM355" s="321">
        <v>42740</v>
      </c>
      <c r="IN355" s="319">
        <v>4</v>
      </c>
      <c r="IO355" s="319" t="s">
        <v>173</v>
      </c>
      <c r="IP355" s="319" t="s">
        <v>173</v>
      </c>
      <c r="IQ355" s="321" t="s">
        <v>173</v>
      </c>
      <c r="IR355" s="320" t="s">
        <v>173</v>
      </c>
      <c r="IS355" s="322" t="s">
        <v>173</v>
      </c>
      <c r="IT355" s="319" t="s">
        <v>173</v>
      </c>
    </row>
    <row r="356" spans="1:254" s="271" customFormat="1" x14ac:dyDescent="0.25">
      <c r="A356" s="318" t="str">
        <f>HYPERLINK("http://www.ofsted.gov.uk/inspection-reports/find-inspection-report/provider/ELS/131825 ","Ofsted School Webpage")</f>
        <v>Ofsted School Webpage</v>
      </c>
      <c r="B356" s="319">
        <v>131825</v>
      </c>
      <c r="C356" s="319">
        <v>8216004</v>
      </c>
      <c r="D356" s="319" t="s">
        <v>800</v>
      </c>
      <c r="E356" s="319" t="s">
        <v>167</v>
      </c>
      <c r="F356" s="319" t="s">
        <v>81</v>
      </c>
      <c r="G356" s="319" t="s">
        <v>72</v>
      </c>
      <c r="H356" s="319" t="s">
        <v>72</v>
      </c>
      <c r="I356" s="319" t="s">
        <v>72</v>
      </c>
      <c r="J356" s="319" t="s">
        <v>424</v>
      </c>
      <c r="K356" s="319" t="s">
        <v>451</v>
      </c>
      <c r="L356" s="319" t="s">
        <v>451</v>
      </c>
      <c r="M356" s="319" t="s">
        <v>452</v>
      </c>
      <c r="N356" s="319" t="s">
        <v>3070</v>
      </c>
      <c r="O356" s="319" t="s">
        <v>801</v>
      </c>
      <c r="P356" s="319">
        <v>65</v>
      </c>
      <c r="Q356" s="319" t="s">
        <v>2766</v>
      </c>
      <c r="R356" s="320">
        <v>10056561</v>
      </c>
      <c r="S356" s="321">
        <v>43473</v>
      </c>
      <c r="T356" s="321">
        <v>43475</v>
      </c>
      <c r="U356" s="321">
        <v>43507</v>
      </c>
      <c r="V356" s="319" t="s">
        <v>425</v>
      </c>
      <c r="W356" s="319" t="s">
        <v>2767</v>
      </c>
      <c r="X356" s="319">
        <v>3</v>
      </c>
      <c r="Y356" s="319" t="s">
        <v>173</v>
      </c>
      <c r="Z356" s="319" t="s">
        <v>173</v>
      </c>
      <c r="AA356" s="319" t="s">
        <v>173</v>
      </c>
      <c r="AB356" s="319">
        <v>3</v>
      </c>
      <c r="AC356" s="319" t="s">
        <v>169</v>
      </c>
      <c r="AD356" s="319" t="s">
        <v>173</v>
      </c>
      <c r="AE356" s="319" t="s">
        <v>173</v>
      </c>
      <c r="AF356" s="319" t="s">
        <v>427</v>
      </c>
      <c r="AG356" s="319" t="s">
        <v>172</v>
      </c>
      <c r="AH356" s="319" t="s">
        <v>479</v>
      </c>
      <c r="AI356" s="319" t="s">
        <v>190</v>
      </c>
      <c r="AJ356" s="319" t="s">
        <v>479</v>
      </c>
      <c r="AK356" s="319" t="s">
        <v>190</v>
      </c>
      <c r="AL356" s="319" t="s">
        <v>190</v>
      </c>
      <c r="AM356" s="319" t="s">
        <v>190</v>
      </c>
      <c r="AN356" s="319" t="s">
        <v>190</v>
      </c>
      <c r="AO356" s="319" t="s">
        <v>479</v>
      </c>
      <c r="AP356" s="319" t="s">
        <v>191</v>
      </c>
      <c r="AQ356" s="319" t="s">
        <v>191</v>
      </c>
      <c r="AR356" s="319" t="s">
        <v>191</v>
      </c>
      <c r="AS356" s="319" t="s">
        <v>191</v>
      </c>
      <c r="AT356" s="319" t="s">
        <v>190</v>
      </c>
      <c r="AU356" s="319" t="s">
        <v>190</v>
      </c>
      <c r="AV356" s="319" t="s">
        <v>190</v>
      </c>
      <c r="AW356" s="319" t="s">
        <v>190</v>
      </c>
      <c r="AX356" s="319" t="s">
        <v>190</v>
      </c>
      <c r="AY356" s="319" t="s">
        <v>190</v>
      </c>
      <c r="AZ356" s="319" t="s">
        <v>190</v>
      </c>
      <c r="BA356" s="319" t="s">
        <v>190</v>
      </c>
      <c r="BB356" s="319" t="s">
        <v>190</v>
      </c>
      <c r="BC356" s="319" t="s">
        <v>190</v>
      </c>
      <c r="BD356" s="319" t="s">
        <v>190</v>
      </c>
      <c r="BE356" s="319" t="s">
        <v>190</v>
      </c>
      <c r="BF356" s="319" t="s">
        <v>190</v>
      </c>
      <c r="BG356" s="319" t="s">
        <v>190</v>
      </c>
      <c r="BH356" s="319" t="s">
        <v>190</v>
      </c>
      <c r="BI356" s="319" t="s">
        <v>190</v>
      </c>
      <c r="BJ356" s="319" t="s">
        <v>191</v>
      </c>
      <c r="BK356" s="319" t="s">
        <v>191</v>
      </c>
      <c r="BL356" s="319" t="s">
        <v>190</v>
      </c>
      <c r="BM356" s="319" t="s">
        <v>191</v>
      </c>
      <c r="BN356" s="319" t="s">
        <v>191</v>
      </c>
      <c r="BO356" s="319" t="s">
        <v>190</v>
      </c>
      <c r="BP356" s="319" t="s">
        <v>190</v>
      </c>
      <c r="BQ356" s="319" t="s">
        <v>190</v>
      </c>
      <c r="BR356" s="319" t="s">
        <v>191</v>
      </c>
      <c r="BS356" s="319" t="s">
        <v>190</v>
      </c>
      <c r="BT356" s="319" t="s">
        <v>190</v>
      </c>
      <c r="BU356" s="319" t="s">
        <v>190</v>
      </c>
      <c r="BV356" s="319" t="s">
        <v>190</v>
      </c>
      <c r="BW356" s="319" t="s">
        <v>190</v>
      </c>
      <c r="BX356" s="319" t="s">
        <v>190</v>
      </c>
      <c r="BY356" s="319" t="s">
        <v>190</v>
      </c>
      <c r="BZ356" s="319" t="s">
        <v>190</v>
      </c>
      <c r="CA356" s="319" t="s">
        <v>190</v>
      </c>
      <c r="CB356" s="319" t="s">
        <v>190</v>
      </c>
      <c r="CC356" s="319" t="s">
        <v>190</v>
      </c>
      <c r="CD356" s="319" t="s">
        <v>190</v>
      </c>
      <c r="CE356" s="319" t="s">
        <v>190</v>
      </c>
      <c r="CF356" s="319" t="s">
        <v>190</v>
      </c>
      <c r="CG356" s="319" t="s">
        <v>190</v>
      </c>
      <c r="CH356" s="319" t="s">
        <v>190</v>
      </c>
      <c r="CI356" s="319" t="s">
        <v>190</v>
      </c>
      <c r="CJ356" s="319" t="s">
        <v>190</v>
      </c>
      <c r="CK356" s="319" t="s">
        <v>190</v>
      </c>
      <c r="CL356" s="319" t="s">
        <v>190</v>
      </c>
      <c r="CM356" s="319" t="s">
        <v>190</v>
      </c>
      <c r="CN356" s="319" t="s">
        <v>428</v>
      </c>
      <c r="CO356" s="319" t="s">
        <v>428</v>
      </c>
      <c r="CP356" s="319" t="s">
        <v>428</v>
      </c>
      <c r="CQ356" s="319" t="s">
        <v>190</v>
      </c>
      <c r="CR356" s="319" t="s">
        <v>190</v>
      </c>
      <c r="CS356" s="319" t="s">
        <v>190</v>
      </c>
      <c r="CT356" s="319" t="s">
        <v>190</v>
      </c>
      <c r="CU356" s="319" t="s">
        <v>190</v>
      </c>
      <c r="CV356" s="319" t="s">
        <v>190</v>
      </c>
      <c r="CW356" s="319" t="s">
        <v>190</v>
      </c>
      <c r="CX356" s="319" t="s">
        <v>190</v>
      </c>
      <c r="CY356" s="319" t="s">
        <v>190</v>
      </c>
      <c r="CZ356" s="319" t="s">
        <v>191</v>
      </c>
      <c r="DA356" s="319" t="s">
        <v>190</v>
      </c>
      <c r="DB356" s="319" t="s">
        <v>190</v>
      </c>
      <c r="DC356" s="319" t="s">
        <v>190</v>
      </c>
      <c r="DD356" s="319" t="s">
        <v>190</v>
      </c>
      <c r="DE356" s="319" t="s">
        <v>190</v>
      </c>
      <c r="DF356" s="319" t="s">
        <v>190</v>
      </c>
      <c r="DG356" s="319" t="s">
        <v>190</v>
      </c>
      <c r="DH356" s="319" t="s">
        <v>190</v>
      </c>
      <c r="DI356" s="319" t="s">
        <v>190</v>
      </c>
      <c r="DJ356" s="319" t="s">
        <v>190</v>
      </c>
      <c r="DK356" s="319" t="s">
        <v>190</v>
      </c>
      <c r="DL356" s="319" t="s">
        <v>190</v>
      </c>
      <c r="DM356" s="319" t="s">
        <v>190</v>
      </c>
      <c r="DN356" s="319" t="s">
        <v>428</v>
      </c>
      <c r="DO356" s="319" t="s">
        <v>190</v>
      </c>
      <c r="DP356" s="319" t="s">
        <v>190</v>
      </c>
      <c r="DQ356" s="319" t="s">
        <v>190</v>
      </c>
      <c r="DR356" s="319" t="s">
        <v>190</v>
      </c>
      <c r="DS356" s="319" t="s">
        <v>190</v>
      </c>
      <c r="DT356" s="319" t="s">
        <v>190</v>
      </c>
      <c r="DU356" s="319" t="s">
        <v>190</v>
      </c>
      <c r="DV356" s="319" t="s">
        <v>173</v>
      </c>
      <c r="DW356" s="319" t="s">
        <v>190</v>
      </c>
      <c r="DX356" s="319" t="s">
        <v>190</v>
      </c>
      <c r="DY356" s="319" t="s">
        <v>190</v>
      </c>
      <c r="DZ356" s="319" t="s">
        <v>190</v>
      </c>
      <c r="EA356" s="319" t="s">
        <v>190</v>
      </c>
      <c r="EB356" s="319" t="s">
        <v>190</v>
      </c>
      <c r="EC356" s="319" t="s">
        <v>428</v>
      </c>
      <c r="ED356" s="319" t="s">
        <v>190</v>
      </c>
      <c r="EE356" s="319" t="s">
        <v>190</v>
      </c>
      <c r="EF356" s="319" t="s">
        <v>190</v>
      </c>
      <c r="EG356" s="319" t="s">
        <v>190</v>
      </c>
      <c r="EH356" s="319" t="s">
        <v>190</v>
      </c>
      <c r="EI356" s="319" t="s">
        <v>190</v>
      </c>
      <c r="EJ356" s="319" t="s">
        <v>190</v>
      </c>
      <c r="EK356" s="319" t="s">
        <v>190</v>
      </c>
      <c r="EL356" s="319" t="s">
        <v>190</v>
      </c>
      <c r="EM356" s="319" t="s">
        <v>190</v>
      </c>
      <c r="EN356" s="319" t="s">
        <v>190</v>
      </c>
      <c r="EO356" s="319" t="s">
        <v>190</v>
      </c>
      <c r="EP356" s="319" t="s">
        <v>190</v>
      </c>
      <c r="EQ356" s="319" t="s">
        <v>190</v>
      </c>
      <c r="ER356" s="319" t="s">
        <v>190</v>
      </c>
      <c r="ES356" s="319" t="s">
        <v>190</v>
      </c>
      <c r="ET356" s="319" t="s">
        <v>190</v>
      </c>
      <c r="EU356" s="319" t="s">
        <v>190</v>
      </c>
      <c r="EV356" s="319" t="s">
        <v>190</v>
      </c>
      <c r="EW356" s="319" t="s">
        <v>190</v>
      </c>
      <c r="EX356" s="319" t="s">
        <v>190</v>
      </c>
      <c r="EY356" s="319" t="s">
        <v>190</v>
      </c>
      <c r="EZ356" s="319" t="s">
        <v>190</v>
      </c>
      <c r="FA356" s="319" t="s">
        <v>190</v>
      </c>
      <c r="FB356" s="319" t="s">
        <v>190</v>
      </c>
      <c r="FC356" s="319" t="s">
        <v>190</v>
      </c>
      <c r="FD356" s="319" t="s">
        <v>190</v>
      </c>
      <c r="FE356" s="319" t="s">
        <v>190</v>
      </c>
      <c r="FF356" s="319" t="s">
        <v>190</v>
      </c>
      <c r="FG356" s="319" t="s">
        <v>190</v>
      </c>
      <c r="FH356" s="319" t="s">
        <v>190</v>
      </c>
      <c r="FI356" s="319" t="s">
        <v>190</v>
      </c>
      <c r="FJ356" s="319" t="s">
        <v>190</v>
      </c>
      <c r="FK356" s="319" t="s">
        <v>190</v>
      </c>
      <c r="FL356" s="319" t="s">
        <v>190</v>
      </c>
      <c r="FM356" s="319" t="s">
        <v>190</v>
      </c>
      <c r="FN356" s="319" t="s">
        <v>190</v>
      </c>
      <c r="FO356" s="319" t="s">
        <v>190</v>
      </c>
      <c r="FP356" s="319" t="s">
        <v>190</v>
      </c>
      <c r="FQ356" s="319" t="s">
        <v>190</v>
      </c>
      <c r="FR356" s="319" t="s">
        <v>190</v>
      </c>
      <c r="FS356" s="319" t="s">
        <v>428</v>
      </c>
      <c r="FT356" s="319" t="s">
        <v>190</v>
      </c>
      <c r="FU356" s="319" t="s">
        <v>190</v>
      </c>
      <c r="FV356" s="319" t="s">
        <v>190</v>
      </c>
      <c r="FW356" s="319" t="s">
        <v>190</v>
      </c>
      <c r="FX356" s="319" t="s">
        <v>190</v>
      </c>
      <c r="FY356" s="319" t="s">
        <v>190</v>
      </c>
      <c r="FZ356" s="319" t="s">
        <v>190</v>
      </c>
      <c r="GA356" s="319" t="s">
        <v>190</v>
      </c>
      <c r="GB356" s="319" t="s">
        <v>190</v>
      </c>
      <c r="GC356" s="319" t="s">
        <v>190</v>
      </c>
      <c r="GD356" s="319" t="s">
        <v>190</v>
      </c>
      <c r="GE356" s="319" t="s">
        <v>190</v>
      </c>
      <c r="GF356" s="319" t="s">
        <v>190</v>
      </c>
      <c r="GG356" s="319" t="s">
        <v>190</v>
      </c>
      <c r="GH356" s="319" t="s">
        <v>190</v>
      </c>
      <c r="GI356" s="319" t="s">
        <v>190</v>
      </c>
      <c r="GJ356" s="319" t="s">
        <v>190</v>
      </c>
      <c r="GK356" s="319" t="s">
        <v>190</v>
      </c>
      <c r="GL356" s="319" t="s">
        <v>190</v>
      </c>
      <c r="GM356" s="319" t="s">
        <v>190</v>
      </c>
      <c r="GN356" s="319" t="s">
        <v>190</v>
      </c>
      <c r="GO356" s="319" t="s">
        <v>190</v>
      </c>
      <c r="GP356" s="319" t="s">
        <v>190</v>
      </c>
      <c r="GQ356" s="319" t="s">
        <v>190</v>
      </c>
      <c r="GR356" s="319" t="s">
        <v>190</v>
      </c>
      <c r="GS356" s="319" t="s">
        <v>190</v>
      </c>
      <c r="GT356" s="319" t="s">
        <v>428</v>
      </c>
      <c r="GU356" s="319" t="s">
        <v>428</v>
      </c>
      <c r="GV356" s="319" t="s">
        <v>190</v>
      </c>
      <c r="GW356" s="319" t="s">
        <v>190</v>
      </c>
      <c r="GX356" s="319" t="s">
        <v>190</v>
      </c>
      <c r="GY356" s="319" t="s">
        <v>190</v>
      </c>
      <c r="GZ356" s="319" t="s">
        <v>190</v>
      </c>
      <c r="HA356" s="319" t="s">
        <v>190</v>
      </c>
      <c r="HB356" s="319" t="s">
        <v>190</v>
      </c>
      <c r="HC356" s="319" t="s">
        <v>190</v>
      </c>
      <c r="HD356" s="319" t="s">
        <v>190</v>
      </c>
      <c r="HE356" s="319" t="s">
        <v>190</v>
      </c>
      <c r="HF356" s="319" t="s">
        <v>190</v>
      </c>
      <c r="HG356" s="319" t="s">
        <v>190</v>
      </c>
      <c r="HH356" s="319" t="s">
        <v>190</v>
      </c>
      <c r="HI356" s="319" t="s">
        <v>190</v>
      </c>
      <c r="HJ356" s="319" t="s">
        <v>190</v>
      </c>
      <c r="HK356" s="319" t="s">
        <v>190</v>
      </c>
      <c r="HL356" s="319" t="s">
        <v>190</v>
      </c>
      <c r="HM356" s="319" t="s">
        <v>428</v>
      </c>
      <c r="HN356" s="319" t="s">
        <v>190</v>
      </c>
      <c r="HO356" s="319" t="s">
        <v>428</v>
      </c>
      <c r="HP356" s="319" t="s">
        <v>190</v>
      </c>
      <c r="HQ356" s="319" t="s">
        <v>190</v>
      </c>
      <c r="HR356" s="319" t="s">
        <v>190</v>
      </c>
      <c r="HS356" s="319" t="s">
        <v>190</v>
      </c>
      <c r="HT356" s="319" t="s">
        <v>190</v>
      </c>
      <c r="HU356" s="319" t="s">
        <v>190</v>
      </c>
      <c r="HV356" s="319" t="s">
        <v>190</v>
      </c>
      <c r="HW356" s="319" t="s">
        <v>190</v>
      </c>
      <c r="HX356" s="319" t="s">
        <v>190</v>
      </c>
      <c r="HY356" s="319" t="s">
        <v>190</v>
      </c>
      <c r="HZ356" s="319" t="s">
        <v>190</v>
      </c>
      <c r="IA356" s="319" t="s">
        <v>190</v>
      </c>
      <c r="IB356" s="319" t="s">
        <v>190</v>
      </c>
      <c r="IC356" s="319" t="s">
        <v>190</v>
      </c>
      <c r="ID356" s="319" t="s">
        <v>190</v>
      </c>
      <c r="IE356" s="319" t="s">
        <v>190</v>
      </c>
      <c r="IF356" s="319" t="s">
        <v>191</v>
      </c>
      <c r="IG356" s="319" t="s">
        <v>191</v>
      </c>
      <c r="IH356" s="319" t="s">
        <v>191</v>
      </c>
      <c r="II356" s="319" t="s">
        <v>190</v>
      </c>
      <c r="IJ356" s="319">
        <v>10033545</v>
      </c>
      <c r="IK356" s="321">
        <v>42878</v>
      </c>
      <c r="IL356" s="321">
        <v>42880</v>
      </c>
      <c r="IM356" s="321">
        <v>42920</v>
      </c>
      <c r="IN356" s="319">
        <v>4</v>
      </c>
      <c r="IO356" s="319">
        <v>10111896</v>
      </c>
      <c r="IP356" s="319" t="s">
        <v>985</v>
      </c>
      <c r="IQ356" s="321">
        <v>43656</v>
      </c>
      <c r="IR356" s="320" t="s">
        <v>1223</v>
      </c>
      <c r="IS356" s="322">
        <v>43723</v>
      </c>
      <c r="IT356" s="319" t="s">
        <v>166</v>
      </c>
    </row>
    <row r="357" spans="1:254" s="271" customFormat="1" x14ac:dyDescent="0.25">
      <c r="A357" s="318" t="str">
        <f>HYPERLINK("http://www.ofsted.gov.uk/inspection-reports/find-inspection-report/provider/ELS/131937 ","Ofsted School Webpage")</f>
        <v>Ofsted School Webpage</v>
      </c>
      <c r="B357" s="319">
        <v>131937</v>
      </c>
      <c r="C357" s="319">
        <v>8736029</v>
      </c>
      <c r="D357" s="319" t="s">
        <v>1694</v>
      </c>
      <c r="E357" s="319" t="s">
        <v>167</v>
      </c>
      <c r="F357" s="319" t="s">
        <v>81</v>
      </c>
      <c r="G357" s="319" t="s">
        <v>81</v>
      </c>
      <c r="H357" s="319" t="s">
        <v>81</v>
      </c>
      <c r="I357" s="319" t="s">
        <v>78</v>
      </c>
      <c r="J357" s="319" t="s">
        <v>424</v>
      </c>
      <c r="K357" s="319" t="s">
        <v>451</v>
      </c>
      <c r="L357" s="319" t="s">
        <v>451</v>
      </c>
      <c r="M357" s="319" t="s">
        <v>772</v>
      </c>
      <c r="N357" s="319" t="s">
        <v>3137</v>
      </c>
      <c r="O357" s="319" t="s">
        <v>1695</v>
      </c>
      <c r="P357" s="319">
        <v>123</v>
      </c>
      <c r="Q357" s="319" t="s">
        <v>2766</v>
      </c>
      <c r="R357" s="320">
        <v>10094404</v>
      </c>
      <c r="S357" s="321">
        <v>43606</v>
      </c>
      <c r="T357" s="321">
        <v>43608</v>
      </c>
      <c r="U357" s="321">
        <v>43632</v>
      </c>
      <c r="V357" s="319" t="s">
        <v>425</v>
      </c>
      <c r="W357" s="319" t="s">
        <v>2767</v>
      </c>
      <c r="X357" s="319">
        <v>3</v>
      </c>
      <c r="Y357" s="319" t="s">
        <v>173</v>
      </c>
      <c r="Z357" s="319" t="s">
        <v>173</v>
      </c>
      <c r="AA357" s="319" t="s">
        <v>173</v>
      </c>
      <c r="AB357" s="319">
        <v>3</v>
      </c>
      <c r="AC357" s="319" t="s">
        <v>169</v>
      </c>
      <c r="AD357" s="319">
        <v>2</v>
      </c>
      <c r="AE357" s="319" t="s">
        <v>173</v>
      </c>
      <c r="AF357" s="319" t="s">
        <v>427</v>
      </c>
      <c r="AG357" s="319" t="s">
        <v>172</v>
      </c>
      <c r="AH357" s="319" t="s">
        <v>190</v>
      </c>
      <c r="AI357" s="319" t="s">
        <v>190</v>
      </c>
      <c r="AJ357" s="319" t="s">
        <v>190</v>
      </c>
      <c r="AK357" s="319" t="s">
        <v>190</v>
      </c>
      <c r="AL357" s="319" t="s">
        <v>190</v>
      </c>
      <c r="AM357" s="319" t="s">
        <v>190</v>
      </c>
      <c r="AN357" s="319" t="s">
        <v>190</v>
      </c>
      <c r="AO357" s="319" t="s">
        <v>479</v>
      </c>
      <c r="AP357" s="319" t="s">
        <v>190</v>
      </c>
      <c r="AQ357" s="319" t="s">
        <v>190</v>
      </c>
      <c r="AR357" s="319" t="s">
        <v>190</v>
      </c>
      <c r="AS357" s="319" t="s">
        <v>190</v>
      </c>
      <c r="AT357" s="319" t="s">
        <v>190</v>
      </c>
      <c r="AU357" s="319" t="s">
        <v>190</v>
      </c>
      <c r="AV357" s="319" t="s">
        <v>190</v>
      </c>
      <c r="AW357" s="319" t="s">
        <v>190</v>
      </c>
      <c r="AX357" s="319" t="s">
        <v>428</v>
      </c>
      <c r="AY357" s="319" t="s">
        <v>190</v>
      </c>
      <c r="AZ357" s="319" t="s">
        <v>190</v>
      </c>
      <c r="BA357" s="319" t="s">
        <v>190</v>
      </c>
      <c r="BB357" s="319" t="s">
        <v>190</v>
      </c>
      <c r="BC357" s="319" t="s">
        <v>190</v>
      </c>
      <c r="BD357" s="319" t="s">
        <v>190</v>
      </c>
      <c r="BE357" s="319" t="s">
        <v>190</v>
      </c>
      <c r="BF357" s="319" t="s">
        <v>190</v>
      </c>
      <c r="BG357" s="319" t="s">
        <v>190</v>
      </c>
      <c r="BH357" s="319" t="s">
        <v>190</v>
      </c>
      <c r="BI357" s="319" t="s">
        <v>190</v>
      </c>
      <c r="BJ357" s="319" t="s">
        <v>190</v>
      </c>
      <c r="BK357" s="319" t="s">
        <v>190</v>
      </c>
      <c r="BL357" s="319" t="s">
        <v>190</v>
      </c>
      <c r="BM357" s="319" t="s">
        <v>190</v>
      </c>
      <c r="BN357" s="319" t="s">
        <v>190</v>
      </c>
      <c r="BO357" s="319" t="s">
        <v>190</v>
      </c>
      <c r="BP357" s="319" t="s">
        <v>190</v>
      </c>
      <c r="BQ357" s="319" t="s">
        <v>190</v>
      </c>
      <c r="BR357" s="319" t="s">
        <v>190</v>
      </c>
      <c r="BS357" s="319" t="s">
        <v>190</v>
      </c>
      <c r="BT357" s="319" t="s">
        <v>190</v>
      </c>
      <c r="BU357" s="319" t="s">
        <v>190</v>
      </c>
      <c r="BV357" s="319" t="s">
        <v>190</v>
      </c>
      <c r="BW357" s="319" t="s">
        <v>190</v>
      </c>
      <c r="BX357" s="319" t="s">
        <v>190</v>
      </c>
      <c r="BY357" s="319" t="s">
        <v>190</v>
      </c>
      <c r="BZ357" s="319" t="s">
        <v>190</v>
      </c>
      <c r="CA357" s="319" t="s">
        <v>190</v>
      </c>
      <c r="CB357" s="319" t="s">
        <v>190</v>
      </c>
      <c r="CC357" s="319" t="s">
        <v>190</v>
      </c>
      <c r="CD357" s="319" t="s">
        <v>190</v>
      </c>
      <c r="CE357" s="319" t="s">
        <v>190</v>
      </c>
      <c r="CF357" s="319" t="s">
        <v>190</v>
      </c>
      <c r="CG357" s="319" t="s">
        <v>190</v>
      </c>
      <c r="CH357" s="319" t="s">
        <v>190</v>
      </c>
      <c r="CI357" s="319" t="s">
        <v>190</v>
      </c>
      <c r="CJ357" s="319" t="s">
        <v>190</v>
      </c>
      <c r="CK357" s="319" t="s">
        <v>190</v>
      </c>
      <c r="CL357" s="319" t="s">
        <v>190</v>
      </c>
      <c r="CM357" s="319" t="s">
        <v>190</v>
      </c>
      <c r="CN357" s="319" t="s">
        <v>428</v>
      </c>
      <c r="CO357" s="319" t="s">
        <v>428</v>
      </c>
      <c r="CP357" s="319" t="s">
        <v>428</v>
      </c>
      <c r="CQ357" s="319" t="s">
        <v>190</v>
      </c>
      <c r="CR357" s="319" t="s">
        <v>190</v>
      </c>
      <c r="CS357" s="319" t="s">
        <v>190</v>
      </c>
      <c r="CT357" s="319" t="s">
        <v>190</v>
      </c>
      <c r="CU357" s="319" t="s">
        <v>190</v>
      </c>
      <c r="CV357" s="319" t="s">
        <v>190</v>
      </c>
      <c r="CW357" s="319" t="s">
        <v>190</v>
      </c>
      <c r="CX357" s="319" t="s">
        <v>190</v>
      </c>
      <c r="CY357" s="319" t="s">
        <v>190</v>
      </c>
      <c r="CZ357" s="319" t="s">
        <v>190</v>
      </c>
      <c r="DA357" s="319" t="s">
        <v>190</v>
      </c>
      <c r="DB357" s="319" t="s">
        <v>190</v>
      </c>
      <c r="DC357" s="319" t="s">
        <v>190</v>
      </c>
      <c r="DD357" s="319" t="s">
        <v>190</v>
      </c>
      <c r="DE357" s="319" t="s">
        <v>190</v>
      </c>
      <c r="DF357" s="319" t="s">
        <v>190</v>
      </c>
      <c r="DG357" s="319" t="s">
        <v>190</v>
      </c>
      <c r="DH357" s="319" t="s">
        <v>190</v>
      </c>
      <c r="DI357" s="319" t="s">
        <v>190</v>
      </c>
      <c r="DJ357" s="319" t="s">
        <v>190</v>
      </c>
      <c r="DK357" s="319" t="s">
        <v>190</v>
      </c>
      <c r="DL357" s="319" t="s">
        <v>190</v>
      </c>
      <c r="DM357" s="319" t="s">
        <v>190</v>
      </c>
      <c r="DN357" s="319" t="s">
        <v>428</v>
      </c>
      <c r="DO357" s="319" t="s">
        <v>190</v>
      </c>
      <c r="DP357" s="319" t="s">
        <v>190</v>
      </c>
      <c r="DQ357" s="319" t="s">
        <v>190</v>
      </c>
      <c r="DR357" s="319" t="s">
        <v>190</v>
      </c>
      <c r="DS357" s="319" t="s">
        <v>190</v>
      </c>
      <c r="DT357" s="319" t="s">
        <v>190</v>
      </c>
      <c r="DU357" s="319" t="s">
        <v>190</v>
      </c>
      <c r="DV357" s="319" t="s">
        <v>173</v>
      </c>
      <c r="DW357" s="319" t="s">
        <v>190</v>
      </c>
      <c r="DX357" s="319" t="s">
        <v>190</v>
      </c>
      <c r="DY357" s="319" t="s">
        <v>190</v>
      </c>
      <c r="DZ357" s="319" t="s">
        <v>190</v>
      </c>
      <c r="EA357" s="319" t="s">
        <v>190</v>
      </c>
      <c r="EB357" s="319" t="s">
        <v>190</v>
      </c>
      <c r="EC357" s="319" t="s">
        <v>428</v>
      </c>
      <c r="ED357" s="319" t="s">
        <v>190</v>
      </c>
      <c r="EE357" s="319" t="s">
        <v>190</v>
      </c>
      <c r="EF357" s="319" t="s">
        <v>190</v>
      </c>
      <c r="EG357" s="319" t="s">
        <v>190</v>
      </c>
      <c r="EH357" s="319" t="s">
        <v>190</v>
      </c>
      <c r="EI357" s="319" t="s">
        <v>190</v>
      </c>
      <c r="EJ357" s="319" t="s">
        <v>190</v>
      </c>
      <c r="EK357" s="319" t="s">
        <v>190</v>
      </c>
      <c r="EL357" s="319" t="s">
        <v>190</v>
      </c>
      <c r="EM357" s="319" t="s">
        <v>190</v>
      </c>
      <c r="EN357" s="319" t="s">
        <v>190</v>
      </c>
      <c r="EO357" s="319" t="s">
        <v>190</v>
      </c>
      <c r="EP357" s="319" t="s">
        <v>190</v>
      </c>
      <c r="EQ357" s="319" t="s">
        <v>190</v>
      </c>
      <c r="ER357" s="319" t="s">
        <v>190</v>
      </c>
      <c r="ES357" s="319" t="s">
        <v>190</v>
      </c>
      <c r="ET357" s="319" t="s">
        <v>190</v>
      </c>
      <c r="EU357" s="319" t="s">
        <v>190</v>
      </c>
      <c r="EV357" s="319" t="s">
        <v>190</v>
      </c>
      <c r="EW357" s="319" t="s">
        <v>190</v>
      </c>
      <c r="EX357" s="319" t="s">
        <v>190</v>
      </c>
      <c r="EY357" s="319" t="s">
        <v>190</v>
      </c>
      <c r="EZ357" s="319" t="s">
        <v>190</v>
      </c>
      <c r="FA357" s="319" t="s">
        <v>190</v>
      </c>
      <c r="FB357" s="319" t="s">
        <v>190</v>
      </c>
      <c r="FC357" s="319" t="s">
        <v>190</v>
      </c>
      <c r="FD357" s="319" t="s">
        <v>190</v>
      </c>
      <c r="FE357" s="319" t="s">
        <v>190</v>
      </c>
      <c r="FF357" s="319" t="s">
        <v>190</v>
      </c>
      <c r="FG357" s="319" t="s">
        <v>190</v>
      </c>
      <c r="FH357" s="319" t="s">
        <v>190</v>
      </c>
      <c r="FI357" s="319" t="s">
        <v>190</v>
      </c>
      <c r="FJ357" s="319" t="s">
        <v>190</v>
      </c>
      <c r="FK357" s="319" t="s">
        <v>190</v>
      </c>
      <c r="FL357" s="319" t="s">
        <v>190</v>
      </c>
      <c r="FM357" s="319" t="s">
        <v>190</v>
      </c>
      <c r="FN357" s="319" t="s">
        <v>190</v>
      </c>
      <c r="FO357" s="319" t="s">
        <v>190</v>
      </c>
      <c r="FP357" s="319" t="s">
        <v>190</v>
      </c>
      <c r="FQ357" s="319" t="s">
        <v>190</v>
      </c>
      <c r="FR357" s="319" t="s">
        <v>190</v>
      </c>
      <c r="FS357" s="319" t="s">
        <v>428</v>
      </c>
      <c r="FT357" s="319" t="s">
        <v>190</v>
      </c>
      <c r="FU357" s="319" t="s">
        <v>190</v>
      </c>
      <c r="FV357" s="319" t="s">
        <v>190</v>
      </c>
      <c r="FW357" s="319" t="s">
        <v>190</v>
      </c>
      <c r="FX357" s="319" t="s">
        <v>190</v>
      </c>
      <c r="FY357" s="319" t="s">
        <v>190</v>
      </c>
      <c r="FZ357" s="319" t="s">
        <v>190</v>
      </c>
      <c r="GA357" s="319" t="s">
        <v>190</v>
      </c>
      <c r="GB357" s="319" t="s">
        <v>190</v>
      </c>
      <c r="GC357" s="319" t="s">
        <v>190</v>
      </c>
      <c r="GD357" s="319" t="s">
        <v>190</v>
      </c>
      <c r="GE357" s="319" t="s">
        <v>190</v>
      </c>
      <c r="GF357" s="319" t="s">
        <v>190</v>
      </c>
      <c r="GG357" s="319" t="s">
        <v>190</v>
      </c>
      <c r="GH357" s="319" t="s">
        <v>190</v>
      </c>
      <c r="GI357" s="319" t="s">
        <v>190</v>
      </c>
      <c r="GJ357" s="319" t="s">
        <v>190</v>
      </c>
      <c r="GK357" s="319" t="s">
        <v>428</v>
      </c>
      <c r="GL357" s="319" t="s">
        <v>190</v>
      </c>
      <c r="GM357" s="319" t="s">
        <v>190</v>
      </c>
      <c r="GN357" s="319" t="s">
        <v>190</v>
      </c>
      <c r="GO357" s="319" t="s">
        <v>190</v>
      </c>
      <c r="GP357" s="319" t="s">
        <v>190</v>
      </c>
      <c r="GQ357" s="319" t="s">
        <v>428</v>
      </c>
      <c r="GR357" s="319" t="s">
        <v>190</v>
      </c>
      <c r="GS357" s="319" t="s">
        <v>190</v>
      </c>
      <c r="GT357" s="319" t="s">
        <v>428</v>
      </c>
      <c r="GU357" s="319" t="s">
        <v>190</v>
      </c>
      <c r="GV357" s="319" t="s">
        <v>190</v>
      </c>
      <c r="GW357" s="319" t="s">
        <v>190</v>
      </c>
      <c r="GX357" s="319" t="s">
        <v>190</v>
      </c>
      <c r="GY357" s="319" t="s">
        <v>428</v>
      </c>
      <c r="GZ357" s="319" t="s">
        <v>428</v>
      </c>
      <c r="HA357" s="319" t="s">
        <v>190</v>
      </c>
      <c r="HB357" s="319" t="s">
        <v>428</v>
      </c>
      <c r="HC357" s="319" t="s">
        <v>190</v>
      </c>
      <c r="HD357" s="319" t="s">
        <v>190</v>
      </c>
      <c r="HE357" s="319" t="s">
        <v>190</v>
      </c>
      <c r="HF357" s="319" t="s">
        <v>190</v>
      </c>
      <c r="HG357" s="319" t="s">
        <v>190</v>
      </c>
      <c r="HH357" s="319" t="s">
        <v>190</v>
      </c>
      <c r="HI357" s="319" t="s">
        <v>428</v>
      </c>
      <c r="HJ357" s="319" t="s">
        <v>190</v>
      </c>
      <c r="HK357" s="319" t="s">
        <v>190</v>
      </c>
      <c r="HL357" s="319" t="s">
        <v>428</v>
      </c>
      <c r="HM357" s="319" t="s">
        <v>428</v>
      </c>
      <c r="HN357" s="319" t="s">
        <v>428</v>
      </c>
      <c r="HO357" s="319" t="s">
        <v>428</v>
      </c>
      <c r="HP357" s="319" t="s">
        <v>190</v>
      </c>
      <c r="HQ357" s="319" t="s">
        <v>190</v>
      </c>
      <c r="HR357" s="319" t="s">
        <v>190</v>
      </c>
      <c r="HS357" s="319" t="s">
        <v>190</v>
      </c>
      <c r="HT357" s="319" t="s">
        <v>190</v>
      </c>
      <c r="HU357" s="319" t="s">
        <v>190</v>
      </c>
      <c r="HV357" s="319" t="s">
        <v>190</v>
      </c>
      <c r="HW357" s="319" t="s">
        <v>190</v>
      </c>
      <c r="HX357" s="319" t="s">
        <v>190</v>
      </c>
      <c r="HY357" s="319" t="s">
        <v>190</v>
      </c>
      <c r="HZ357" s="319" t="s">
        <v>190</v>
      </c>
      <c r="IA357" s="319" t="s">
        <v>190</v>
      </c>
      <c r="IB357" s="319" t="s">
        <v>190</v>
      </c>
      <c r="IC357" s="319" t="s">
        <v>190</v>
      </c>
      <c r="ID357" s="319" t="s">
        <v>190</v>
      </c>
      <c r="IE357" s="319" t="s">
        <v>190</v>
      </c>
      <c r="IF357" s="319" t="s">
        <v>191</v>
      </c>
      <c r="IG357" s="319" t="s">
        <v>191</v>
      </c>
      <c r="IH357" s="319" t="s">
        <v>191</v>
      </c>
      <c r="II357" s="319" t="s">
        <v>190</v>
      </c>
      <c r="IJ357" s="319" t="s">
        <v>1696</v>
      </c>
      <c r="IK357" s="321">
        <v>39512</v>
      </c>
      <c r="IL357" s="321">
        <v>39513</v>
      </c>
      <c r="IM357" s="321">
        <v>39559</v>
      </c>
      <c r="IN357" s="319">
        <v>2</v>
      </c>
      <c r="IO357" s="319" t="s">
        <v>173</v>
      </c>
      <c r="IP357" s="319" t="s">
        <v>173</v>
      </c>
      <c r="IQ357" s="321" t="s">
        <v>173</v>
      </c>
      <c r="IR357" s="320" t="s">
        <v>173</v>
      </c>
      <c r="IS357" s="322" t="s">
        <v>173</v>
      </c>
      <c r="IT357" s="319" t="s">
        <v>173</v>
      </c>
    </row>
    <row r="358" spans="1:254" s="271" customFormat="1" x14ac:dyDescent="0.25">
      <c r="A358" s="318" t="str">
        <f>HYPERLINK("http://www.ofsted.gov.uk/inspection-reports/find-inspection-report/provider/ELS/131940 ","Ofsted School Webpage")</f>
        <v>Ofsted School Webpage</v>
      </c>
      <c r="B358" s="319">
        <v>131940</v>
      </c>
      <c r="C358" s="319">
        <v>3126063</v>
      </c>
      <c r="D358" s="319" t="s">
        <v>1164</v>
      </c>
      <c r="E358" s="319" t="s">
        <v>168</v>
      </c>
      <c r="F358" s="319" t="s">
        <v>81</v>
      </c>
      <c r="G358" s="319" t="s">
        <v>81</v>
      </c>
      <c r="H358" s="319" t="s">
        <v>81</v>
      </c>
      <c r="I358" s="319" t="s">
        <v>78</v>
      </c>
      <c r="J358" s="319" t="s">
        <v>424</v>
      </c>
      <c r="K358" s="319" t="s">
        <v>441</v>
      </c>
      <c r="L358" s="319" t="s">
        <v>441</v>
      </c>
      <c r="M358" s="319" t="s">
        <v>1036</v>
      </c>
      <c r="N358" s="319" t="s">
        <v>3047</v>
      </c>
      <c r="O358" s="319" t="s">
        <v>1165</v>
      </c>
      <c r="P358" s="319">
        <v>181</v>
      </c>
      <c r="Q358" s="319" t="s">
        <v>2776</v>
      </c>
      <c r="R358" s="320">
        <v>10041397</v>
      </c>
      <c r="S358" s="321">
        <v>43179</v>
      </c>
      <c r="T358" s="321">
        <v>43181</v>
      </c>
      <c r="U358" s="321">
        <v>43217</v>
      </c>
      <c r="V358" s="319" t="s">
        <v>425</v>
      </c>
      <c r="W358" s="319" t="s">
        <v>2767</v>
      </c>
      <c r="X358" s="319">
        <v>2</v>
      </c>
      <c r="Y358" s="319" t="s">
        <v>173</v>
      </c>
      <c r="Z358" s="319" t="s">
        <v>173</v>
      </c>
      <c r="AA358" s="319" t="s">
        <v>173</v>
      </c>
      <c r="AB358" s="319">
        <v>3</v>
      </c>
      <c r="AC358" s="319" t="s">
        <v>169</v>
      </c>
      <c r="AD358" s="319" t="s">
        <v>173</v>
      </c>
      <c r="AE358" s="319">
        <v>2</v>
      </c>
      <c r="AF358" s="319" t="s">
        <v>447</v>
      </c>
      <c r="AG358" s="319" t="s">
        <v>171</v>
      </c>
      <c r="AH358" s="319" t="s">
        <v>190</v>
      </c>
      <c r="AI358" s="319" t="s">
        <v>190</v>
      </c>
      <c r="AJ358" s="319" t="s">
        <v>190</v>
      </c>
      <c r="AK358" s="319" t="s">
        <v>190</v>
      </c>
      <c r="AL358" s="319" t="s">
        <v>190</v>
      </c>
      <c r="AM358" s="319" t="s">
        <v>190</v>
      </c>
      <c r="AN358" s="319" t="s">
        <v>190</v>
      </c>
      <c r="AO358" s="319" t="s">
        <v>190</v>
      </c>
      <c r="AP358" s="319" t="s">
        <v>190</v>
      </c>
      <c r="AQ358" s="319" t="s">
        <v>190</v>
      </c>
      <c r="AR358" s="319" t="s">
        <v>190</v>
      </c>
      <c r="AS358" s="319" t="s">
        <v>190</v>
      </c>
      <c r="AT358" s="319" t="s">
        <v>190</v>
      </c>
      <c r="AU358" s="319" t="s">
        <v>190</v>
      </c>
      <c r="AV358" s="319" t="s">
        <v>190</v>
      </c>
      <c r="AW358" s="319" t="s">
        <v>190</v>
      </c>
      <c r="AX358" s="319" t="s">
        <v>428</v>
      </c>
      <c r="AY358" s="319" t="s">
        <v>190</v>
      </c>
      <c r="AZ358" s="319" t="s">
        <v>190</v>
      </c>
      <c r="BA358" s="319" t="s">
        <v>190</v>
      </c>
      <c r="BB358" s="319" t="s">
        <v>190</v>
      </c>
      <c r="BC358" s="319" t="s">
        <v>190</v>
      </c>
      <c r="BD358" s="319" t="s">
        <v>190</v>
      </c>
      <c r="BE358" s="319" t="s">
        <v>190</v>
      </c>
      <c r="BF358" s="319" t="s">
        <v>428</v>
      </c>
      <c r="BG358" s="319" t="s">
        <v>190</v>
      </c>
      <c r="BH358" s="319" t="s">
        <v>190</v>
      </c>
      <c r="BI358" s="319" t="s">
        <v>190</v>
      </c>
      <c r="BJ358" s="319" t="s">
        <v>190</v>
      </c>
      <c r="BK358" s="319" t="s">
        <v>190</v>
      </c>
      <c r="BL358" s="319" t="s">
        <v>190</v>
      </c>
      <c r="BM358" s="319" t="s">
        <v>190</v>
      </c>
      <c r="BN358" s="319" t="s">
        <v>190</v>
      </c>
      <c r="BO358" s="319" t="s">
        <v>190</v>
      </c>
      <c r="BP358" s="319" t="s">
        <v>190</v>
      </c>
      <c r="BQ358" s="319" t="s">
        <v>190</v>
      </c>
      <c r="BR358" s="319" t="s">
        <v>190</v>
      </c>
      <c r="BS358" s="319" t="s">
        <v>190</v>
      </c>
      <c r="BT358" s="319" t="s">
        <v>190</v>
      </c>
      <c r="BU358" s="319" t="s">
        <v>190</v>
      </c>
      <c r="BV358" s="319" t="s">
        <v>190</v>
      </c>
      <c r="BW358" s="319" t="s">
        <v>190</v>
      </c>
      <c r="BX358" s="319" t="s">
        <v>190</v>
      </c>
      <c r="BY358" s="319" t="s">
        <v>190</v>
      </c>
      <c r="BZ358" s="319" t="s">
        <v>190</v>
      </c>
      <c r="CA358" s="319" t="s">
        <v>190</v>
      </c>
      <c r="CB358" s="319" t="s">
        <v>190</v>
      </c>
      <c r="CC358" s="319" t="s">
        <v>190</v>
      </c>
      <c r="CD358" s="319" t="s">
        <v>190</v>
      </c>
      <c r="CE358" s="319" t="s">
        <v>190</v>
      </c>
      <c r="CF358" s="319" t="s">
        <v>190</v>
      </c>
      <c r="CG358" s="319" t="s">
        <v>190</v>
      </c>
      <c r="CH358" s="319" t="s">
        <v>190</v>
      </c>
      <c r="CI358" s="319" t="s">
        <v>190</v>
      </c>
      <c r="CJ358" s="319" t="s">
        <v>190</v>
      </c>
      <c r="CK358" s="319" t="s">
        <v>190</v>
      </c>
      <c r="CL358" s="319" t="s">
        <v>190</v>
      </c>
      <c r="CM358" s="319" t="s">
        <v>190</v>
      </c>
      <c r="CN358" s="319" t="s">
        <v>428</v>
      </c>
      <c r="CO358" s="319" t="s">
        <v>428</v>
      </c>
      <c r="CP358" s="319" t="s">
        <v>428</v>
      </c>
      <c r="CQ358" s="319" t="s">
        <v>190</v>
      </c>
      <c r="CR358" s="319" t="s">
        <v>190</v>
      </c>
      <c r="CS358" s="319" t="s">
        <v>190</v>
      </c>
      <c r="CT358" s="319" t="s">
        <v>190</v>
      </c>
      <c r="CU358" s="319" t="s">
        <v>190</v>
      </c>
      <c r="CV358" s="319" t="s">
        <v>190</v>
      </c>
      <c r="CW358" s="319" t="s">
        <v>190</v>
      </c>
      <c r="CX358" s="319" t="s">
        <v>190</v>
      </c>
      <c r="CY358" s="319" t="s">
        <v>190</v>
      </c>
      <c r="CZ358" s="319" t="s">
        <v>190</v>
      </c>
      <c r="DA358" s="319" t="s">
        <v>190</v>
      </c>
      <c r="DB358" s="319" t="s">
        <v>190</v>
      </c>
      <c r="DC358" s="319" t="s">
        <v>190</v>
      </c>
      <c r="DD358" s="319" t="s">
        <v>190</v>
      </c>
      <c r="DE358" s="319" t="s">
        <v>190</v>
      </c>
      <c r="DF358" s="319" t="s">
        <v>190</v>
      </c>
      <c r="DG358" s="319" t="s">
        <v>190</v>
      </c>
      <c r="DH358" s="319" t="s">
        <v>190</v>
      </c>
      <c r="DI358" s="319" t="s">
        <v>190</v>
      </c>
      <c r="DJ358" s="319" t="s">
        <v>190</v>
      </c>
      <c r="DK358" s="319" t="s">
        <v>190</v>
      </c>
      <c r="DL358" s="319" t="s">
        <v>190</v>
      </c>
      <c r="DM358" s="319" t="s">
        <v>190</v>
      </c>
      <c r="DN358" s="319" t="s">
        <v>428</v>
      </c>
      <c r="DO358" s="319" t="s">
        <v>190</v>
      </c>
      <c r="DP358" s="319" t="s">
        <v>190</v>
      </c>
      <c r="DQ358" s="319" t="s">
        <v>190</v>
      </c>
      <c r="DR358" s="319" t="s">
        <v>190</v>
      </c>
      <c r="DS358" s="319" t="s">
        <v>190</v>
      </c>
      <c r="DT358" s="319" t="s">
        <v>190</v>
      </c>
      <c r="DU358" s="319" t="s">
        <v>190</v>
      </c>
      <c r="DV358" s="319" t="s">
        <v>173</v>
      </c>
      <c r="DW358" s="319" t="s">
        <v>190</v>
      </c>
      <c r="DX358" s="319" t="s">
        <v>190</v>
      </c>
      <c r="DY358" s="319" t="s">
        <v>190</v>
      </c>
      <c r="DZ358" s="319" t="s">
        <v>190</v>
      </c>
      <c r="EA358" s="319" t="s">
        <v>190</v>
      </c>
      <c r="EB358" s="319" t="s">
        <v>190</v>
      </c>
      <c r="EC358" s="319" t="s">
        <v>428</v>
      </c>
      <c r="ED358" s="319" t="s">
        <v>190</v>
      </c>
      <c r="EE358" s="319" t="s">
        <v>190</v>
      </c>
      <c r="EF358" s="319" t="s">
        <v>190</v>
      </c>
      <c r="EG358" s="319" t="s">
        <v>190</v>
      </c>
      <c r="EH358" s="319" t="s">
        <v>190</v>
      </c>
      <c r="EI358" s="319" t="s">
        <v>190</v>
      </c>
      <c r="EJ358" s="319" t="s">
        <v>190</v>
      </c>
      <c r="EK358" s="319" t="s">
        <v>190</v>
      </c>
      <c r="EL358" s="319" t="s">
        <v>190</v>
      </c>
      <c r="EM358" s="319" t="s">
        <v>190</v>
      </c>
      <c r="EN358" s="319" t="s">
        <v>190</v>
      </c>
      <c r="EO358" s="319" t="s">
        <v>190</v>
      </c>
      <c r="EP358" s="319" t="s">
        <v>190</v>
      </c>
      <c r="EQ358" s="319" t="s">
        <v>190</v>
      </c>
      <c r="ER358" s="319" t="s">
        <v>190</v>
      </c>
      <c r="ES358" s="319" t="s">
        <v>190</v>
      </c>
      <c r="ET358" s="319" t="s">
        <v>190</v>
      </c>
      <c r="EU358" s="319" t="s">
        <v>190</v>
      </c>
      <c r="EV358" s="319" t="s">
        <v>190</v>
      </c>
      <c r="EW358" s="319" t="s">
        <v>190</v>
      </c>
      <c r="EX358" s="319" t="s">
        <v>190</v>
      </c>
      <c r="EY358" s="319" t="s">
        <v>190</v>
      </c>
      <c r="EZ358" s="319" t="s">
        <v>190</v>
      </c>
      <c r="FA358" s="319" t="s">
        <v>190</v>
      </c>
      <c r="FB358" s="319" t="s">
        <v>190</v>
      </c>
      <c r="FC358" s="319" t="s">
        <v>190</v>
      </c>
      <c r="FD358" s="319" t="s">
        <v>190</v>
      </c>
      <c r="FE358" s="319" t="s">
        <v>190</v>
      </c>
      <c r="FF358" s="319" t="s">
        <v>190</v>
      </c>
      <c r="FG358" s="319" t="s">
        <v>190</v>
      </c>
      <c r="FH358" s="319" t="s">
        <v>190</v>
      </c>
      <c r="FI358" s="319" t="s">
        <v>190</v>
      </c>
      <c r="FJ358" s="319" t="s">
        <v>190</v>
      </c>
      <c r="FK358" s="319" t="s">
        <v>190</v>
      </c>
      <c r="FL358" s="319" t="s">
        <v>190</v>
      </c>
      <c r="FM358" s="319" t="s">
        <v>190</v>
      </c>
      <c r="FN358" s="319" t="s">
        <v>190</v>
      </c>
      <c r="FO358" s="319" t="s">
        <v>190</v>
      </c>
      <c r="FP358" s="319" t="s">
        <v>190</v>
      </c>
      <c r="FQ358" s="319" t="s">
        <v>190</v>
      </c>
      <c r="FR358" s="319" t="s">
        <v>190</v>
      </c>
      <c r="FS358" s="319" t="s">
        <v>190</v>
      </c>
      <c r="FT358" s="319" t="s">
        <v>190</v>
      </c>
      <c r="FU358" s="319" t="s">
        <v>190</v>
      </c>
      <c r="FV358" s="319" t="s">
        <v>190</v>
      </c>
      <c r="FW358" s="319" t="s">
        <v>190</v>
      </c>
      <c r="FX358" s="319" t="s">
        <v>190</v>
      </c>
      <c r="FY358" s="319" t="s">
        <v>190</v>
      </c>
      <c r="FZ358" s="319" t="s">
        <v>190</v>
      </c>
      <c r="GA358" s="319" t="s">
        <v>190</v>
      </c>
      <c r="GB358" s="319" t="s">
        <v>190</v>
      </c>
      <c r="GC358" s="319" t="s">
        <v>190</v>
      </c>
      <c r="GD358" s="319" t="s">
        <v>190</v>
      </c>
      <c r="GE358" s="319" t="s">
        <v>190</v>
      </c>
      <c r="GF358" s="319" t="s">
        <v>190</v>
      </c>
      <c r="GG358" s="319" t="s">
        <v>190</v>
      </c>
      <c r="GH358" s="319" t="s">
        <v>190</v>
      </c>
      <c r="GI358" s="319" t="s">
        <v>190</v>
      </c>
      <c r="GJ358" s="319" t="s">
        <v>190</v>
      </c>
      <c r="GK358" s="319" t="s">
        <v>428</v>
      </c>
      <c r="GL358" s="319" t="s">
        <v>190</v>
      </c>
      <c r="GM358" s="319" t="s">
        <v>190</v>
      </c>
      <c r="GN358" s="319" t="s">
        <v>190</v>
      </c>
      <c r="GO358" s="319" t="s">
        <v>190</v>
      </c>
      <c r="GP358" s="319" t="s">
        <v>190</v>
      </c>
      <c r="GQ358" s="319" t="s">
        <v>428</v>
      </c>
      <c r="GR358" s="319" t="s">
        <v>190</v>
      </c>
      <c r="GS358" s="319" t="s">
        <v>190</v>
      </c>
      <c r="GT358" s="319" t="s">
        <v>190</v>
      </c>
      <c r="GU358" s="319" t="s">
        <v>190</v>
      </c>
      <c r="GV358" s="319" t="s">
        <v>190</v>
      </c>
      <c r="GW358" s="319" t="s">
        <v>190</v>
      </c>
      <c r="GX358" s="319" t="s">
        <v>190</v>
      </c>
      <c r="GY358" s="319" t="s">
        <v>190</v>
      </c>
      <c r="GZ358" s="319" t="s">
        <v>190</v>
      </c>
      <c r="HA358" s="319" t="s">
        <v>190</v>
      </c>
      <c r="HB358" s="319" t="s">
        <v>190</v>
      </c>
      <c r="HC358" s="319" t="s">
        <v>190</v>
      </c>
      <c r="HD358" s="319" t="s">
        <v>190</v>
      </c>
      <c r="HE358" s="319" t="s">
        <v>190</v>
      </c>
      <c r="HF358" s="319" t="s">
        <v>190</v>
      </c>
      <c r="HG358" s="319" t="s">
        <v>190</v>
      </c>
      <c r="HH358" s="319" t="s">
        <v>190</v>
      </c>
      <c r="HI358" s="319" t="s">
        <v>190</v>
      </c>
      <c r="HJ358" s="319" t="s">
        <v>190</v>
      </c>
      <c r="HK358" s="319" t="s">
        <v>190</v>
      </c>
      <c r="HL358" s="319" t="s">
        <v>190</v>
      </c>
      <c r="HM358" s="319" t="s">
        <v>428</v>
      </c>
      <c r="HN358" s="319" t="s">
        <v>428</v>
      </c>
      <c r="HO358" s="319" t="s">
        <v>428</v>
      </c>
      <c r="HP358" s="319" t="s">
        <v>190</v>
      </c>
      <c r="HQ358" s="319" t="s">
        <v>190</v>
      </c>
      <c r="HR358" s="319" t="s">
        <v>190</v>
      </c>
      <c r="HS358" s="319" t="s">
        <v>190</v>
      </c>
      <c r="HT358" s="319" t="s">
        <v>190</v>
      </c>
      <c r="HU358" s="319" t="s">
        <v>190</v>
      </c>
      <c r="HV358" s="319" t="s">
        <v>190</v>
      </c>
      <c r="HW358" s="319" t="s">
        <v>190</v>
      </c>
      <c r="HX358" s="319" t="s">
        <v>190</v>
      </c>
      <c r="HY358" s="319" t="s">
        <v>190</v>
      </c>
      <c r="HZ358" s="319" t="s">
        <v>190</v>
      </c>
      <c r="IA358" s="319" t="s">
        <v>190</v>
      </c>
      <c r="IB358" s="319" t="s">
        <v>190</v>
      </c>
      <c r="IC358" s="319" t="s">
        <v>190</v>
      </c>
      <c r="ID358" s="319" t="s">
        <v>190</v>
      </c>
      <c r="IE358" s="319" t="s">
        <v>190</v>
      </c>
      <c r="IF358" s="319" t="s">
        <v>190</v>
      </c>
      <c r="IG358" s="319" t="s">
        <v>190</v>
      </c>
      <c r="IH358" s="319" t="s">
        <v>190</v>
      </c>
      <c r="II358" s="319" t="s">
        <v>190</v>
      </c>
      <c r="IJ358" s="319" t="s">
        <v>3138</v>
      </c>
      <c r="IK358" s="321">
        <v>42066</v>
      </c>
      <c r="IL358" s="321">
        <v>42068</v>
      </c>
      <c r="IM358" s="321">
        <v>42114</v>
      </c>
      <c r="IN358" s="319">
        <v>2</v>
      </c>
      <c r="IO358" s="319" t="s">
        <v>173</v>
      </c>
      <c r="IP358" s="319" t="s">
        <v>173</v>
      </c>
      <c r="IQ358" s="321" t="s">
        <v>173</v>
      </c>
      <c r="IR358" s="320" t="s">
        <v>173</v>
      </c>
      <c r="IS358" s="322" t="s">
        <v>173</v>
      </c>
      <c r="IT358" s="319" t="s">
        <v>173</v>
      </c>
    </row>
    <row r="359" spans="1:254" s="271" customFormat="1" x14ac:dyDescent="0.25">
      <c r="A359" s="318" t="str">
        <f>HYPERLINK("http://www.ofsted.gov.uk/inspection-reports/find-inspection-report/provider/ELS/131960 ","Ofsted School Webpage")</f>
        <v>Ofsted School Webpage</v>
      </c>
      <c r="B359" s="319">
        <v>131960</v>
      </c>
      <c r="C359" s="319">
        <v>3816010</v>
      </c>
      <c r="D359" s="319" t="s">
        <v>1697</v>
      </c>
      <c r="E359" s="319" t="s">
        <v>168</v>
      </c>
      <c r="F359" s="319" t="s">
        <v>81</v>
      </c>
      <c r="G359" s="319" t="s">
        <v>81</v>
      </c>
      <c r="H359" s="319" t="s">
        <v>81</v>
      </c>
      <c r="I359" s="319" t="s">
        <v>78</v>
      </c>
      <c r="J359" s="319" t="s">
        <v>424</v>
      </c>
      <c r="K359" s="319" t="s">
        <v>458</v>
      </c>
      <c r="L359" s="319" t="s">
        <v>459</v>
      </c>
      <c r="M359" s="319" t="s">
        <v>1616</v>
      </c>
      <c r="N359" s="319" t="s">
        <v>3139</v>
      </c>
      <c r="O359" s="319" t="s">
        <v>1698</v>
      </c>
      <c r="P359" s="319">
        <v>24</v>
      </c>
      <c r="Q359" s="319" t="s">
        <v>429</v>
      </c>
      <c r="R359" s="320">
        <v>10061254</v>
      </c>
      <c r="S359" s="321">
        <v>43529</v>
      </c>
      <c r="T359" s="321">
        <v>43531</v>
      </c>
      <c r="U359" s="321">
        <v>43555</v>
      </c>
      <c r="V359" s="319" t="s">
        <v>425</v>
      </c>
      <c r="W359" s="319" t="s">
        <v>2767</v>
      </c>
      <c r="X359" s="319">
        <v>2</v>
      </c>
      <c r="Y359" s="319" t="s">
        <v>173</v>
      </c>
      <c r="Z359" s="319" t="s">
        <v>173</v>
      </c>
      <c r="AA359" s="319" t="s">
        <v>173</v>
      </c>
      <c r="AB359" s="319">
        <v>2</v>
      </c>
      <c r="AC359" s="319" t="s">
        <v>169</v>
      </c>
      <c r="AD359" s="319" t="s">
        <v>173</v>
      </c>
      <c r="AE359" s="319" t="s">
        <v>173</v>
      </c>
      <c r="AF359" s="319" t="s">
        <v>427</v>
      </c>
      <c r="AG359" s="319" t="s">
        <v>171</v>
      </c>
      <c r="AH359" s="319" t="s">
        <v>190</v>
      </c>
      <c r="AI359" s="319" t="s">
        <v>190</v>
      </c>
      <c r="AJ359" s="319" t="s">
        <v>190</v>
      </c>
      <c r="AK359" s="319" t="s">
        <v>190</v>
      </c>
      <c r="AL359" s="319" t="s">
        <v>190</v>
      </c>
      <c r="AM359" s="319" t="s">
        <v>190</v>
      </c>
      <c r="AN359" s="319" t="s">
        <v>190</v>
      </c>
      <c r="AO359" s="319" t="s">
        <v>190</v>
      </c>
      <c r="AP359" s="319" t="s">
        <v>190</v>
      </c>
      <c r="AQ359" s="319" t="s">
        <v>190</v>
      </c>
      <c r="AR359" s="319" t="s">
        <v>190</v>
      </c>
      <c r="AS359" s="319" t="s">
        <v>190</v>
      </c>
      <c r="AT359" s="319" t="s">
        <v>190</v>
      </c>
      <c r="AU359" s="319" t="s">
        <v>190</v>
      </c>
      <c r="AV359" s="319" t="s">
        <v>190</v>
      </c>
      <c r="AW359" s="319" t="s">
        <v>190</v>
      </c>
      <c r="AX359" s="319" t="s">
        <v>428</v>
      </c>
      <c r="AY359" s="319" t="s">
        <v>190</v>
      </c>
      <c r="AZ359" s="319" t="s">
        <v>190</v>
      </c>
      <c r="BA359" s="319" t="s">
        <v>190</v>
      </c>
      <c r="BB359" s="319" t="s">
        <v>190</v>
      </c>
      <c r="BC359" s="319" t="s">
        <v>190</v>
      </c>
      <c r="BD359" s="319" t="s">
        <v>190</v>
      </c>
      <c r="BE359" s="319" t="s">
        <v>190</v>
      </c>
      <c r="BF359" s="319" t="s">
        <v>428</v>
      </c>
      <c r="BG359" s="319" t="s">
        <v>428</v>
      </c>
      <c r="BH359" s="319" t="s">
        <v>190</v>
      </c>
      <c r="BI359" s="319" t="s">
        <v>190</v>
      </c>
      <c r="BJ359" s="319" t="s">
        <v>190</v>
      </c>
      <c r="BK359" s="319" t="s">
        <v>190</v>
      </c>
      <c r="BL359" s="319" t="s">
        <v>190</v>
      </c>
      <c r="BM359" s="319" t="s">
        <v>190</v>
      </c>
      <c r="BN359" s="319" t="s">
        <v>190</v>
      </c>
      <c r="BO359" s="319" t="s">
        <v>190</v>
      </c>
      <c r="BP359" s="319" t="s">
        <v>190</v>
      </c>
      <c r="BQ359" s="319" t="s">
        <v>190</v>
      </c>
      <c r="BR359" s="319" t="s">
        <v>190</v>
      </c>
      <c r="BS359" s="319" t="s">
        <v>190</v>
      </c>
      <c r="BT359" s="319" t="s">
        <v>190</v>
      </c>
      <c r="BU359" s="319" t="s">
        <v>190</v>
      </c>
      <c r="BV359" s="319" t="s">
        <v>190</v>
      </c>
      <c r="BW359" s="319" t="s">
        <v>190</v>
      </c>
      <c r="BX359" s="319" t="s">
        <v>190</v>
      </c>
      <c r="BY359" s="319" t="s">
        <v>190</v>
      </c>
      <c r="BZ359" s="319" t="s">
        <v>190</v>
      </c>
      <c r="CA359" s="319" t="s">
        <v>190</v>
      </c>
      <c r="CB359" s="319" t="s">
        <v>190</v>
      </c>
      <c r="CC359" s="319" t="s">
        <v>190</v>
      </c>
      <c r="CD359" s="319" t="s">
        <v>190</v>
      </c>
      <c r="CE359" s="319" t="s">
        <v>190</v>
      </c>
      <c r="CF359" s="319" t="s">
        <v>190</v>
      </c>
      <c r="CG359" s="319" t="s">
        <v>190</v>
      </c>
      <c r="CH359" s="319" t="s">
        <v>190</v>
      </c>
      <c r="CI359" s="319" t="s">
        <v>190</v>
      </c>
      <c r="CJ359" s="319" t="s">
        <v>190</v>
      </c>
      <c r="CK359" s="319" t="s">
        <v>190</v>
      </c>
      <c r="CL359" s="319" t="s">
        <v>190</v>
      </c>
      <c r="CM359" s="319" t="s">
        <v>190</v>
      </c>
      <c r="CN359" s="319" t="s">
        <v>428</v>
      </c>
      <c r="CO359" s="319" t="s">
        <v>428</v>
      </c>
      <c r="CP359" s="319" t="s">
        <v>428</v>
      </c>
      <c r="CQ359" s="319" t="s">
        <v>190</v>
      </c>
      <c r="CR359" s="319" t="s">
        <v>190</v>
      </c>
      <c r="CS359" s="319" t="s">
        <v>190</v>
      </c>
      <c r="CT359" s="319" t="s">
        <v>190</v>
      </c>
      <c r="CU359" s="319" t="s">
        <v>190</v>
      </c>
      <c r="CV359" s="319" t="s">
        <v>190</v>
      </c>
      <c r="CW359" s="319" t="s">
        <v>190</v>
      </c>
      <c r="CX359" s="319" t="s">
        <v>190</v>
      </c>
      <c r="CY359" s="319" t="s">
        <v>190</v>
      </c>
      <c r="CZ359" s="319" t="s">
        <v>190</v>
      </c>
      <c r="DA359" s="319" t="s">
        <v>190</v>
      </c>
      <c r="DB359" s="319" t="s">
        <v>190</v>
      </c>
      <c r="DC359" s="319" t="s">
        <v>190</v>
      </c>
      <c r="DD359" s="319" t="s">
        <v>190</v>
      </c>
      <c r="DE359" s="319" t="s">
        <v>190</v>
      </c>
      <c r="DF359" s="319" t="s">
        <v>190</v>
      </c>
      <c r="DG359" s="319" t="s">
        <v>190</v>
      </c>
      <c r="DH359" s="319" t="s">
        <v>190</v>
      </c>
      <c r="DI359" s="319" t="s">
        <v>190</v>
      </c>
      <c r="DJ359" s="319" t="s">
        <v>190</v>
      </c>
      <c r="DK359" s="319" t="s">
        <v>190</v>
      </c>
      <c r="DL359" s="319" t="s">
        <v>190</v>
      </c>
      <c r="DM359" s="319" t="s">
        <v>190</v>
      </c>
      <c r="DN359" s="319" t="s">
        <v>428</v>
      </c>
      <c r="DO359" s="319" t="s">
        <v>190</v>
      </c>
      <c r="DP359" s="319" t="s">
        <v>190</v>
      </c>
      <c r="DQ359" s="319" t="s">
        <v>190</v>
      </c>
      <c r="DR359" s="319" t="s">
        <v>190</v>
      </c>
      <c r="DS359" s="319" t="s">
        <v>190</v>
      </c>
      <c r="DT359" s="319" t="s">
        <v>190</v>
      </c>
      <c r="DU359" s="319" t="s">
        <v>190</v>
      </c>
      <c r="DV359" s="319" t="s">
        <v>173</v>
      </c>
      <c r="DW359" s="319" t="s">
        <v>190</v>
      </c>
      <c r="DX359" s="319" t="s">
        <v>190</v>
      </c>
      <c r="DY359" s="319" t="s">
        <v>190</v>
      </c>
      <c r="DZ359" s="319" t="s">
        <v>190</v>
      </c>
      <c r="EA359" s="319" t="s">
        <v>190</v>
      </c>
      <c r="EB359" s="319" t="s">
        <v>190</v>
      </c>
      <c r="EC359" s="319" t="s">
        <v>428</v>
      </c>
      <c r="ED359" s="319" t="s">
        <v>190</v>
      </c>
      <c r="EE359" s="319" t="s">
        <v>190</v>
      </c>
      <c r="EF359" s="319" t="s">
        <v>190</v>
      </c>
      <c r="EG359" s="319" t="s">
        <v>190</v>
      </c>
      <c r="EH359" s="319" t="s">
        <v>190</v>
      </c>
      <c r="EI359" s="319" t="s">
        <v>190</v>
      </c>
      <c r="EJ359" s="319" t="s">
        <v>190</v>
      </c>
      <c r="EK359" s="319" t="s">
        <v>190</v>
      </c>
      <c r="EL359" s="319" t="s">
        <v>190</v>
      </c>
      <c r="EM359" s="319" t="s">
        <v>190</v>
      </c>
      <c r="EN359" s="319" t="s">
        <v>190</v>
      </c>
      <c r="EO359" s="319" t="s">
        <v>190</v>
      </c>
      <c r="EP359" s="319" t="s">
        <v>190</v>
      </c>
      <c r="EQ359" s="319" t="s">
        <v>190</v>
      </c>
      <c r="ER359" s="319" t="s">
        <v>190</v>
      </c>
      <c r="ES359" s="319" t="s">
        <v>190</v>
      </c>
      <c r="ET359" s="319" t="s">
        <v>190</v>
      </c>
      <c r="EU359" s="319" t="s">
        <v>190</v>
      </c>
      <c r="EV359" s="319" t="s">
        <v>190</v>
      </c>
      <c r="EW359" s="319" t="s">
        <v>190</v>
      </c>
      <c r="EX359" s="319" t="s">
        <v>190</v>
      </c>
      <c r="EY359" s="319" t="s">
        <v>190</v>
      </c>
      <c r="EZ359" s="319" t="s">
        <v>190</v>
      </c>
      <c r="FA359" s="319" t="s">
        <v>190</v>
      </c>
      <c r="FB359" s="319" t="s">
        <v>190</v>
      </c>
      <c r="FC359" s="319" t="s">
        <v>190</v>
      </c>
      <c r="FD359" s="319" t="s">
        <v>190</v>
      </c>
      <c r="FE359" s="319" t="s">
        <v>190</v>
      </c>
      <c r="FF359" s="319" t="s">
        <v>190</v>
      </c>
      <c r="FG359" s="319" t="s">
        <v>190</v>
      </c>
      <c r="FH359" s="319" t="s">
        <v>190</v>
      </c>
      <c r="FI359" s="319" t="s">
        <v>190</v>
      </c>
      <c r="FJ359" s="319" t="s">
        <v>190</v>
      </c>
      <c r="FK359" s="319" t="s">
        <v>190</v>
      </c>
      <c r="FL359" s="319" t="s">
        <v>190</v>
      </c>
      <c r="FM359" s="319" t="s">
        <v>190</v>
      </c>
      <c r="FN359" s="319" t="s">
        <v>190</v>
      </c>
      <c r="FO359" s="319" t="s">
        <v>190</v>
      </c>
      <c r="FP359" s="319" t="s">
        <v>190</v>
      </c>
      <c r="FQ359" s="319" t="s">
        <v>190</v>
      </c>
      <c r="FR359" s="319" t="s">
        <v>190</v>
      </c>
      <c r="FS359" s="319" t="s">
        <v>428</v>
      </c>
      <c r="FT359" s="319" t="s">
        <v>190</v>
      </c>
      <c r="FU359" s="319" t="s">
        <v>190</v>
      </c>
      <c r="FV359" s="319" t="s">
        <v>190</v>
      </c>
      <c r="FW359" s="319" t="s">
        <v>190</v>
      </c>
      <c r="FX359" s="319" t="s">
        <v>190</v>
      </c>
      <c r="FY359" s="319" t="s">
        <v>190</v>
      </c>
      <c r="FZ359" s="319" t="s">
        <v>190</v>
      </c>
      <c r="GA359" s="319" t="s">
        <v>190</v>
      </c>
      <c r="GB359" s="319" t="s">
        <v>190</v>
      </c>
      <c r="GC359" s="319" t="s">
        <v>190</v>
      </c>
      <c r="GD359" s="319" t="s">
        <v>190</v>
      </c>
      <c r="GE359" s="319" t="s">
        <v>190</v>
      </c>
      <c r="GF359" s="319" t="s">
        <v>190</v>
      </c>
      <c r="GG359" s="319" t="s">
        <v>190</v>
      </c>
      <c r="GH359" s="319" t="s">
        <v>190</v>
      </c>
      <c r="GI359" s="319" t="s">
        <v>190</v>
      </c>
      <c r="GJ359" s="319" t="s">
        <v>190</v>
      </c>
      <c r="GK359" s="319" t="s">
        <v>428</v>
      </c>
      <c r="GL359" s="319" t="s">
        <v>190</v>
      </c>
      <c r="GM359" s="319" t="s">
        <v>190</v>
      </c>
      <c r="GN359" s="319" t="s">
        <v>190</v>
      </c>
      <c r="GO359" s="319" t="s">
        <v>190</v>
      </c>
      <c r="GP359" s="319" t="s">
        <v>190</v>
      </c>
      <c r="GQ359" s="319" t="s">
        <v>428</v>
      </c>
      <c r="GR359" s="319" t="s">
        <v>190</v>
      </c>
      <c r="GS359" s="319" t="s">
        <v>190</v>
      </c>
      <c r="GT359" s="319" t="s">
        <v>190</v>
      </c>
      <c r="GU359" s="319" t="s">
        <v>190</v>
      </c>
      <c r="GV359" s="319" t="s">
        <v>190</v>
      </c>
      <c r="GW359" s="319" t="s">
        <v>190</v>
      </c>
      <c r="GX359" s="319" t="s">
        <v>190</v>
      </c>
      <c r="GY359" s="319" t="s">
        <v>190</v>
      </c>
      <c r="GZ359" s="319" t="s">
        <v>428</v>
      </c>
      <c r="HA359" s="319" t="s">
        <v>190</v>
      </c>
      <c r="HB359" s="319" t="s">
        <v>190</v>
      </c>
      <c r="HC359" s="319" t="s">
        <v>190</v>
      </c>
      <c r="HD359" s="319" t="s">
        <v>190</v>
      </c>
      <c r="HE359" s="319" t="s">
        <v>190</v>
      </c>
      <c r="HF359" s="319" t="s">
        <v>190</v>
      </c>
      <c r="HG359" s="319" t="s">
        <v>190</v>
      </c>
      <c r="HH359" s="319" t="s">
        <v>190</v>
      </c>
      <c r="HI359" s="319" t="s">
        <v>190</v>
      </c>
      <c r="HJ359" s="319" t="s">
        <v>190</v>
      </c>
      <c r="HK359" s="319" t="s">
        <v>190</v>
      </c>
      <c r="HL359" s="319" t="s">
        <v>190</v>
      </c>
      <c r="HM359" s="319" t="s">
        <v>190</v>
      </c>
      <c r="HN359" s="319" t="s">
        <v>190</v>
      </c>
      <c r="HO359" s="319" t="s">
        <v>190</v>
      </c>
      <c r="HP359" s="319" t="s">
        <v>190</v>
      </c>
      <c r="HQ359" s="319" t="s">
        <v>190</v>
      </c>
      <c r="HR359" s="319" t="s">
        <v>190</v>
      </c>
      <c r="HS359" s="319" t="s">
        <v>190</v>
      </c>
      <c r="HT359" s="319" t="s">
        <v>190</v>
      </c>
      <c r="HU359" s="319" t="s">
        <v>190</v>
      </c>
      <c r="HV359" s="319" t="s">
        <v>190</v>
      </c>
      <c r="HW359" s="319" t="s">
        <v>190</v>
      </c>
      <c r="HX359" s="319" t="s">
        <v>190</v>
      </c>
      <c r="HY359" s="319" t="s">
        <v>190</v>
      </c>
      <c r="HZ359" s="319" t="s">
        <v>190</v>
      </c>
      <c r="IA359" s="319" t="s">
        <v>190</v>
      </c>
      <c r="IB359" s="319" t="s">
        <v>190</v>
      </c>
      <c r="IC359" s="319" t="s">
        <v>190</v>
      </c>
      <c r="ID359" s="319" t="s">
        <v>190</v>
      </c>
      <c r="IE359" s="319" t="s">
        <v>190</v>
      </c>
      <c r="IF359" s="319" t="s">
        <v>190</v>
      </c>
      <c r="IG359" s="319" t="s">
        <v>190</v>
      </c>
      <c r="IH359" s="319" t="s">
        <v>190</v>
      </c>
      <c r="II359" s="319" t="s">
        <v>190</v>
      </c>
      <c r="IJ359" s="319">
        <v>10006061</v>
      </c>
      <c r="IK359" s="321">
        <v>42514</v>
      </c>
      <c r="IL359" s="321">
        <v>42516</v>
      </c>
      <c r="IM359" s="321">
        <v>42543</v>
      </c>
      <c r="IN359" s="319">
        <v>2</v>
      </c>
      <c r="IO359" s="319" t="s">
        <v>173</v>
      </c>
      <c r="IP359" s="319" t="s">
        <v>173</v>
      </c>
      <c r="IQ359" s="319" t="s">
        <v>173</v>
      </c>
      <c r="IR359" s="320" t="s">
        <v>173</v>
      </c>
      <c r="IS359" s="320" t="s">
        <v>173</v>
      </c>
      <c r="IT359" s="319" t="s">
        <v>173</v>
      </c>
    </row>
    <row r="360" spans="1:254" s="271" customFormat="1" x14ac:dyDescent="0.25">
      <c r="A360" s="318" t="str">
        <f>HYPERLINK("http://www.ofsted.gov.uk/inspection-reports/find-inspection-report/provider/ELS/131975 ","Ofsted School Webpage")</f>
        <v>Ofsted School Webpage</v>
      </c>
      <c r="B360" s="319">
        <v>131975</v>
      </c>
      <c r="C360" s="319">
        <v>9336200</v>
      </c>
      <c r="D360" s="319" t="s">
        <v>1699</v>
      </c>
      <c r="E360" s="319" t="s">
        <v>168</v>
      </c>
      <c r="F360" s="319" t="s">
        <v>81</v>
      </c>
      <c r="G360" s="319" t="s">
        <v>81</v>
      </c>
      <c r="H360" s="319" t="s">
        <v>81</v>
      </c>
      <c r="I360" s="319" t="s">
        <v>78</v>
      </c>
      <c r="J360" s="319" t="s">
        <v>424</v>
      </c>
      <c r="K360" s="319" t="s">
        <v>422</v>
      </c>
      <c r="L360" s="319" t="s">
        <v>422</v>
      </c>
      <c r="M360" s="319" t="s">
        <v>466</v>
      </c>
      <c r="N360" s="319" t="s">
        <v>3028</v>
      </c>
      <c r="O360" s="319" t="s">
        <v>1700</v>
      </c>
      <c r="P360" s="319">
        <v>45</v>
      </c>
      <c r="Q360" s="319" t="s">
        <v>429</v>
      </c>
      <c r="R360" s="320">
        <v>10026040</v>
      </c>
      <c r="S360" s="321">
        <v>42801</v>
      </c>
      <c r="T360" s="321">
        <v>42803</v>
      </c>
      <c r="U360" s="321">
        <v>42850</v>
      </c>
      <c r="V360" s="319" t="s">
        <v>554</v>
      </c>
      <c r="W360" s="319" t="s">
        <v>2767</v>
      </c>
      <c r="X360" s="319">
        <v>2</v>
      </c>
      <c r="Y360" s="319" t="s">
        <v>173</v>
      </c>
      <c r="Z360" s="319" t="s">
        <v>173</v>
      </c>
      <c r="AA360" s="319" t="s">
        <v>173</v>
      </c>
      <c r="AB360" s="319">
        <v>2</v>
      </c>
      <c r="AC360" s="319" t="s">
        <v>169</v>
      </c>
      <c r="AD360" s="319" t="s">
        <v>173</v>
      </c>
      <c r="AE360" s="319">
        <v>2</v>
      </c>
      <c r="AF360" s="319" t="s">
        <v>173</v>
      </c>
      <c r="AG360" s="319" t="s">
        <v>171</v>
      </c>
      <c r="AH360" s="319" t="s">
        <v>190</v>
      </c>
      <c r="AI360" s="319" t="s">
        <v>190</v>
      </c>
      <c r="AJ360" s="319" t="s">
        <v>190</v>
      </c>
      <c r="AK360" s="319" t="s">
        <v>190</v>
      </c>
      <c r="AL360" s="319" t="s">
        <v>190</v>
      </c>
      <c r="AM360" s="319" t="s">
        <v>190</v>
      </c>
      <c r="AN360" s="319" t="s">
        <v>190</v>
      </c>
      <c r="AO360" s="319" t="s">
        <v>190</v>
      </c>
      <c r="AP360" s="319" t="s">
        <v>190</v>
      </c>
      <c r="AQ360" s="319" t="s">
        <v>190</v>
      </c>
      <c r="AR360" s="319" t="s">
        <v>190</v>
      </c>
      <c r="AS360" s="319" t="s">
        <v>190</v>
      </c>
      <c r="AT360" s="319" t="s">
        <v>190</v>
      </c>
      <c r="AU360" s="319" t="s">
        <v>190</v>
      </c>
      <c r="AV360" s="319" t="s">
        <v>190</v>
      </c>
      <c r="AW360" s="319" t="s">
        <v>190</v>
      </c>
      <c r="AX360" s="319" t="s">
        <v>429</v>
      </c>
      <c r="AY360" s="319" t="s">
        <v>190</v>
      </c>
      <c r="AZ360" s="319" t="s">
        <v>190</v>
      </c>
      <c r="BA360" s="319" t="s">
        <v>190</v>
      </c>
      <c r="BB360" s="319" t="s">
        <v>190</v>
      </c>
      <c r="BC360" s="319" t="s">
        <v>190</v>
      </c>
      <c r="BD360" s="319" t="s">
        <v>190</v>
      </c>
      <c r="BE360" s="319" t="s">
        <v>190</v>
      </c>
      <c r="BF360" s="319" t="s">
        <v>429</v>
      </c>
      <c r="BG360" s="319" t="s">
        <v>190</v>
      </c>
      <c r="BH360" s="319" t="s">
        <v>190</v>
      </c>
      <c r="BI360" s="319" t="s">
        <v>190</v>
      </c>
      <c r="BJ360" s="319" t="s">
        <v>190</v>
      </c>
      <c r="BK360" s="319" t="s">
        <v>190</v>
      </c>
      <c r="BL360" s="319" t="s">
        <v>190</v>
      </c>
      <c r="BM360" s="319" t="s">
        <v>190</v>
      </c>
      <c r="BN360" s="319" t="s">
        <v>190</v>
      </c>
      <c r="BO360" s="319" t="s">
        <v>190</v>
      </c>
      <c r="BP360" s="319" t="s">
        <v>190</v>
      </c>
      <c r="BQ360" s="319" t="s">
        <v>190</v>
      </c>
      <c r="BR360" s="319" t="s">
        <v>190</v>
      </c>
      <c r="BS360" s="319" t="s">
        <v>190</v>
      </c>
      <c r="BT360" s="319" t="s">
        <v>190</v>
      </c>
      <c r="BU360" s="319" t="s">
        <v>190</v>
      </c>
      <c r="BV360" s="319" t="s">
        <v>190</v>
      </c>
      <c r="BW360" s="319" t="s">
        <v>190</v>
      </c>
      <c r="BX360" s="319" t="s">
        <v>190</v>
      </c>
      <c r="BY360" s="319" t="s">
        <v>190</v>
      </c>
      <c r="BZ360" s="319" t="s">
        <v>190</v>
      </c>
      <c r="CA360" s="319" t="s">
        <v>190</v>
      </c>
      <c r="CB360" s="319" t="s">
        <v>190</v>
      </c>
      <c r="CC360" s="319" t="s">
        <v>190</v>
      </c>
      <c r="CD360" s="319" t="s">
        <v>190</v>
      </c>
      <c r="CE360" s="319" t="s">
        <v>190</v>
      </c>
      <c r="CF360" s="319" t="s">
        <v>190</v>
      </c>
      <c r="CG360" s="319" t="s">
        <v>190</v>
      </c>
      <c r="CH360" s="319" t="s">
        <v>190</v>
      </c>
      <c r="CI360" s="319" t="s">
        <v>190</v>
      </c>
      <c r="CJ360" s="319" t="s">
        <v>190</v>
      </c>
      <c r="CK360" s="319" t="s">
        <v>190</v>
      </c>
      <c r="CL360" s="319" t="s">
        <v>190</v>
      </c>
      <c r="CM360" s="319" t="s">
        <v>190</v>
      </c>
      <c r="CN360" s="319" t="s">
        <v>190</v>
      </c>
      <c r="CO360" s="319" t="s">
        <v>190</v>
      </c>
      <c r="CP360" s="319" t="s">
        <v>190</v>
      </c>
      <c r="CQ360" s="319" t="s">
        <v>190</v>
      </c>
      <c r="CR360" s="319" t="s">
        <v>190</v>
      </c>
      <c r="CS360" s="319" t="s">
        <v>190</v>
      </c>
      <c r="CT360" s="319" t="s">
        <v>190</v>
      </c>
      <c r="CU360" s="319" t="s">
        <v>190</v>
      </c>
      <c r="CV360" s="319" t="s">
        <v>190</v>
      </c>
      <c r="CW360" s="319" t="s">
        <v>190</v>
      </c>
      <c r="CX360" s="319" t="s">
        <v>190</v>
      </c>
      <c r="CY360" s="319" t="s">
        <v>190</v>
      </c>
      <c r="CZ360" s="319" t="s">
        <v>190</v>
      </c>
      <c r="DA360" s="319" t="s">
        <v>190</v>
      </c>
      <c r="DB360" s="319" t="s">
        <v>190</v>
      </c>
      <c r="DC360" s="319" t="s">
        <v>190</v>
      </c>
      <c r="DD360" s="319" t="s">
        <v>190</v>
      </c>
      <c r="DE360" s="319" t="s">
        <v>190</v>
      </c>
      <c r="DF360" s="319" t="s">
        <v>190</v>
      </c>
      <c r="DG360" s="319" t="s">
        <v>190</v>
      </c>
      <c r="DH360" s="319" t="s">
        <v>190</v>
      </c>
      <c r="DI360" s="319" t="s">
        <v>190</v>
      </c>
      <c r="DJ360" s="319" t="s">
        <v>190</v>
      </c>
      <c r="DK360" s="319" t="s">
        <v>190</v>
      </c>
      <c r="DL360" s="319" t="s">
        <v>190</v>
      </c>
      <c r="DM360" s="319" t="s">
        <v>190</v>
      </c>
      <c r="DN360" s="319" t="s">
        <v>190</v>
      </c>
      <c r="DO360" s="319" t="s">
        <v>190</v>
      </c>
      <c r="DP360" s="319" t="s">
        <v>190</v>
      </c>
      <c r="DQ360" s="319" t="s">
        <v>190</v>
      </c>
      <c r="DR360" s="319" t="s">
        <v>190</v>
      </c>
      <c r="DS360" s="319" t="s">
        <v>190</v>
      </c>
      <c r="DT360" s="319" t="s">
        <v>190</v>
      </c>
      <c r="DU360" s="319" t="s">
        <v>190</v>
      </c>
      <c r="DV360" s="319" t="s">
        <v>173</v>
      </c>
      <c r="DW360" s="319" t="s">
        <v>190</v>
      </c>
      <c r="DX360" s="319" t="s">
        <v>190</v>
      </c>
      <c r="DY360" s="319" t="s">
        <v>190</v>
      </c>
      <c r="DZ360" s="319" t="s">
        <v>190</v>
      </c>
      <c r="EA360" s="319" t="s">
        <v>190</v>
      </c>
      <c r="EB360" s="319" t="s">
        <v>190</v>
      </c>
      <c r="EC360" s="319" t="s">
        <v>190</v>
      </c>
      <c r="ED360" s="319" t="s">
        <v>190</v>
      </c>
      <c r="EE360" s="319" t="s">
        <v>190</v>
      </c>
      <c r="EF360" s="319" t="s">
        <v>190</v>
      </c>
      <c r="EG360" s="319" t="s">
        <v>190</v>
      </c>
      <c r="EH360" s="319" t="s">
        <v>190</v>
      </c>
      <c r="EI360" s="319" t="s">
        <v>190</v>
      </c>
      <c r="EJ360" s="319" t="s">
        <v>190</v>
      </c>
      <c r="EK360" s="319" t="s">
        <v>190</v>
      </c>
      <c r="EL360" s="319" t="s">
        <v>190</v>
      </c>
      <c r="EM360" s="319" t="s">
        <v>190</v>
      </c>
      <c r="EN360" s="319" t="s">
        <v>190</v>
      </c>
      <c r="EO360" s="319" t="s">
        <v>190</v>
      </c>
      <c r="EP360" s="319" t="s">
        <v>190</v>
      </c>
      <c r="EQ360" s="319" t="s">
        <v>190</v>
      </c>
      <c r="ER360" s="319" t="s">
        <v>190</v>
      </c>
      <c r="ES360" s="319" t="s">
        <v>190</v>
      </c>
      <c r="ET360" s="319" t="s">
        <v>190</v>
      </c>
      <c r="EU360" s="319" t="s">
        <v>190</v>
      </c>
      <c r="EV360" s="319" t="s">
        <v>190</v>
      </c>
      <c r="EW360" s="319" t="s">
        <v>190</v>
      </c>
      <c r="EX360" s="319" t="s">
        <v>190</v>
      </c>
      <c r="EY360" s="319" t="s">
        <v>190</v>
      </c>
      <c r="EZ360" s="319" t="s">
        <v>190</v>
      </c>
      <c r="FA360" s="319" t="s">
        <v>190</v>
      </c>
      <c r="FB360" s="319" t="s">
        <v>190</v>
      </c>
      <c r="FC360" s="319" t="s">
        <v>190</v>
      </c>
      <c r="FD360" s="319" t="s">
        <v>190</v>
      </c>
      <c r="FE360" s="319" t="s">
        <v>190</v>
      </c>
      <c r="FF360" s="319" t="s">
        <v>190</v>
      </c>
      <c r="FG360" s="319" t="s">
        <v>190</v>
      </c>
      <c r="FH360" s="319" t="s">
        <v>190</v>
      </c>
      <c r="FI360" s="319" t="s">
        <v>190</v>
      </c>
      <c r="FJ360" s="319" t="s">
        <v>190</v>
      </c>
      <c r="FK360" s="319" t="s">
        <v>190</v>
      </c>
      <c r="FL360" s="319" t="s">
        <v>190</v>
      </c>
      <c r="FM360" s="319" t="s">
        <v>190</v>
      </c>
      <c r="FN360" s="319" t="s">
        <v>190</v>
      </c>
      <c r="FO360" s="319" t="s">
        <v>190</v>
      </c>
      <c r="FP360" s="319" t="s">
        <v>190</v>
      </c>
      <c r="FQ360" s="319" t="s">
        <v>190</v>
      </c>
      <c r="FR360" s="319" t="s">
        <v>190</v>
      </c>
      <c r="FS360" s="319" t="s">
        <v>190</v>
      </c>
      <c r="FT360" s="319" t="s">
        <v>190</v>
      </c>
      <c r="FU360" s="319" t="s">
        <v>190</v>
      </c>
      <c r="FV360" s="319" t="s">
        <v>190</v>
      </c>
      <c r="FW360" s="319" t="s">
        <v>190</v>
      </c>
      <c r="FX360" s="319" t="s">
        <v>190</v>
      </c>
      <c r="FY360" s="319" t="s">
        <v>190</v>
      </c>
      <c r="FZ360" s="319" t="s">
        <v>190</v>
      </c>
      <c r="GA360" s="319" t="s">
        <v>190</v>
      </c>
      <c r="GB360" s="319" t="s">
        <v>190</v>
      </c>
      <c r="GC360" s="319" t="s">
        <v>190</v>
      </c>
      <c r="GD360" s="319" t="s">
        <v>190</v>
      </c>
      <c r="GE360" s="319" t="s">
        <v>190</v>
      </c>
      <c r="GF360" s="319" t="s">
        <v>190</v>
      </c>
      <c r="GG360" s="319" t="s">
        <v>190</v>
      </c>
      <c r="GH360" s="319" t="s">
        <v>190</v>
      </c>
      <c r="GI360" s="319" t="s">
        <v>190</v>
      </c>
      <c r="GJ360" s="319" t="s">
        <v>190</v>
      </c>
      <c r="GK360" s="319" t="s">
        <v>190</v>
      </c>
      <c r="GL360" s="319" t="s">
        <v>190</v>
      </c>
      <c r="GM360" s="319" t="s">
        <v>190</v>
      </c>
      <c r="GN360" s="319" t="s">
        <v>190</v>
      </c>
      <c r="GO360" s="319" t="s">
        <v>190</v>
      </c>
      <c r="GP360" s="319" t="s">
        <v>190</v>
      </c>
      <c r="GQ360" s="319" t="s">
        <v>190</v>
      </c>
      <c r="GR360" s="319" t="s">
        <v>190</v>
      </c>
      <c r="GS360" s="319" t="s">
        <v>190</v>
      </c>
      <c r="GT360" s="319" t="s">
        <v>190</v>
      </c>
      <c r="GU360" s="319" t="s">
        <v>190</v>
      </c>
      <c r="GV360" s="319" t="s">
        <v>190</v>
      </c>
      <c r="GW360" s="319" t="s">
        <v>190</v>
      </c>
      <c r="GX360" s="319" t="s">
        <v>190</v>
      </c>
      <c r="GY360" s="319" t="s">
        <v>190</v>
      </c>
      <c r="GZ360" s="319" t="s">
        <v>190</v>
      </c>
      <c r="HA360" s="319" t="s">
        <v>190</v>
      </c>
      <c r="HB360" s="319" t="s">
        <v>190</v>
      </c>
      <c r="HC360" s="319" t="s">
        <v>190</v>
      </c>
      <c r="HD360" s="319" t="s">
        <v>190</v>
      </c>
      <c r="HE360" s="319" t="s">
        <v>190</v>
      </c>
      <c r="HF360" s="319" t="s">
        <v>190</v>
      </c>
      <c r="HG360" s="319" t="s">
        <v>190</v>
      </c>
      <c r="HH360" s="319" t="s">
        <v>190</v>
      </c>
      <c r="HI360" s="319" t="s">
        <v>190</v>
      </c>
      <c r="HJ360" s="319" t="s">
        <v>190</v>
      </c>
      <c r="HK360" s="319" t="s">
        <v>190</v>
      </c>
      <c r="HL360" s="319" t="s">
        <v>190</v>
      </c>
      <c r="HM360" s="319" t="s">
        <v>190</v>
      </c>
      <c r="HN360" s="319" t="s">
        <v>190</v>
      </c>
      <c r="HO360" s="319" t="s">
        <v>190</v>
      </c>
      <c r="HP360" s="319" t="s">
        <v>190</v>
      </c>
      <c r="HQ360" s="319" t="s">
        <v>190</v>
      </c>
      <c r="HR360" s="319" t="s">
        <v>190</v>
      </c>
      <c r="HS360" s="319" t="s">
        <v>190</v>
      </c>
      <c r="HT360" s="319" t="s">
        <v>190</v>
      </c>
      <c r="HU360" s="319" t="s">
        <v>190</v>
      </c>
      <c r="HV360" s="319" t="s">
        <v>190</v>
      </c>
      <c r="HW360" s="319" t="s">
        <v>190</v>
      </c>
      <c r="HX360" s="319" t="s">
        <v>190</v>
      </c>
      <c r="HY360" s="319" t="s">
        <v>190</v>
      </c>
      <c r="HZ360" s="319" t="s">
        <v>190</v>
      </c>
      <c r="IA360" s="319" t="s">
        <v>190</v>
      </c>
      <c r="IB360" s="319" t="s">
        <v>190</v>
      </c>
      <c r="IC360" s="319" t="s">
        <v>190</v>
      </c>
      <c r="ID360" s="319" t="s">
        <v>190</v>
      </c>
      <c r="IE360" s="319" t="s">
        <v>190</v>
      </c>
      <c r="IF360" s="319" t="s">
        <v>190</v>
      </c>
      <c r="IG360" s="319" t="s">
        <v>190</v>
      </c>
      <c r="IH360" s="319" t="s">
        <v>190</v>
      </c>
      <c r="II360" s="319" t="s">
        <v>190</v>
      </c>
      <c r="IJ360" s="319" t="s">
        <v>3140</v>
      </c>
      <c r="IK360" s="321">
        <v>41604</v>
      </c>
      <c r="IL360" s="321">
        <v>41606</v>
      </c>
      <c r="IM360" s="321">
        <v>41663</v>
      </c>
      <c r="IN360" s="319">
        <v>1</v>
      </c>
      <c r="IO360" s="319" t="s">
        <v>173</v>
      </c>
      <c r="IP360" s="319" t="s">
        <v>173</v>
      </c>
      <c r="IQ360" s="321" t="s">
        <v>173</v>
      </c>
      <c r="IR360" s="320" t="s">
        <v>173</v>
      </c>
      <c r="IS360" s="322" t="s">
        <v>173</v>
      </c>
      <c r="IT360" s="319" t="s">
        <v>173</v>
      </c>
    </row>
    <row r="361" spans="1:254" s="271" customFormat="1" x14ac:dyDescent="0.25">
      <c r="A361" s="318" t="str">
        <f>HYPERLINK("http://www.ofsted.gov.uk/inspection-reports/find-inspection-report/provider/ELS/131976 ","Ofsted School Webpage")</f>
        <v>Ofsted School Webpage</v>
      </c>
      <c r="B361" s="319">
        <v>131976</v>
      </c>
      <c r="C361" s="319">
        <v>9366579</v>
      </c>
      <c r="D361" s="319" t="s">
        <v>1701</v>
      </c>
      <c r="E361" s="319" t="s">
        <v>168</v>
      </c>
      <c r="F361" s="319" t="s">
        <v>81</v>
      </c>
      <c r="G361" s="319" t="s">
        <v>80</v>
      </c>
      <c r="H361" s="319" t="s">
        <v>80</v>
      </c>
      <c r="I361" s="319" t="s">
        <v>78</v>
      </c>
      <c r="J361" s="319" t="s">
        <v>424</v>
      </c>
      <c r="K361" s="319" t="s">
        <v>514</v>
      </c>
      <c r="L361" s="319" t="s">
        <v>514</v>
      </c>
      <c r="M361" s="319" t="s">
        <v>699</v>
      </c>
      <c r="N361" s="319" t="s">
        <v>3141</v>
      </c>
      <c r="O361" s="319" t="s">
        <v>1702</v>
      </c>
      <c r="P361" s="319">
        <v>67</v>
      </c>
      <c r="Q361" s="319" t="s">
        <v>2776</v>
      </c>
      <c r="R361" s="320">
        <v>10091639</v>
      </c>
      <c r="S361" s="321">
        <v>43628</v>
      </c>
      <c r="T361" s="321">
        <v>43630</v>
      </c>
      <c r="U361" s="321">
        <v>43656</v>
      </c>
      <c r="V361" s="319" t="s">
        <v>425</v>
      </c>
      <c r="W361" s="319" t="s">
        <v>2767</v>
      </c>
      <c r="X361" s="319">
        <v>1</v>
      </c>
      <c r="Y361" s="319" t="s">
        <v>173</v>
      </c>
      <c r="Z361" s="319" t="s">
        <v>173</v>
      </c>
      <c r="AA361" s="319" t="s">
        <v>173</v>
      </c>
      <c r="AB361" s="319">
        <v>1</v>
      </c>
      <c r="AC361" s="319" t="s">
        <v>169</v>
      </c>
      <c r="AD361" s="319" t="s">
        <v>173</v>
      </c>
      <c r="AE361" s="319">
        <v>1</v>
      </c>
      <c r="AF361" s="319" t="s">
        <v>427</v>
      </c>
      <c r="AG361" s="319" t="s">
        <v>171</v>
      </c>
      <c r="AH361" s="319" t="s">
        <v>190</v>
      </c>
      <c r="AI361" s="319" t="s">
        <v>190</v>
      </c>
      <c r="AJ361" s="319" t="s">
        <v>190</v>
      </c>
      <c r="AK361" s="319" t="s">
        <v>190</v>
      </c>
      <c r="AL361" s="319" t="s">
        <v>190</v>
      </c>
      <c r="AM361" s="319" t="s">
        <v>190</v>
      </c>
      <c r="AN361" s="319" t="s">
        <v>190</v>
      </c>
      <c r="AO361" s="319" t="s">
        <v>190</v>
      </c>
      <c r="AP361" s="319" t="s">
        <v>190</v>
      </c>
      <c r="AQ361" s="319" t="s">
        <v>190</v>
      </c>
      <c r="AR361" s="319" t="s">
        <v>190</v>
      </c>
      <c r="AS361" s="319" t="s">
        <v>190</v>
      </c>
      <c r="AT361" s="319" t="s">
        <v>190</v>
      </c>
      <c r="AU361" s="319" t="s">
        <v>190</v>
      </c>
      <c r="AV361" s="319" t="s">
        <v>190</v>
      </c>
      <c r="AW361" s="319" t="s">
        <v>190</v>
      </c>
      <c r="AX361" s="319" t="s">
        <v>428</v>
      </c>
      <c r="AY361" s="319" t="s">
        <v>190</v>
      </c>
      <c r="AZ361" s="319" t="s">
        <v>190</v>
      </c>
      <c r="BA361" s="319" t="s">
        <v>190</v>
      </c>
      <c r="BB361" s="319" t="s">
        <v>190</v>
      </c>
      <c r="BC361" s="319" t="s">
        <v>190</v>
      </c>
      <c r="BD361" s="319" t="s">
        <v>190</v>
      </c>
      <c r="BE361" s="319" t="s">
        <v>190</v>
      </c>
      <c r="BF361" s="319" t="s">
        <v>428</v>
      </c>
      <c r="BG361" s="319" t="s">
        <v>190</v>
      </c>
      <c r="BH361" s="319" t="s">
        <v>190</v>
      </c>
      <c r="BI361" s="319" t="s">
        <v>190</v>
      </c>
      <c r="BJ361" s="319" t="s">
        <v>190</v>
      </c>
      <c r="BK361" s="319" t="s">
        <v>190</v>
      </c>
      <c r="BL361" s="319" t="s">
        <v>190</v>
      </c>
      <c r="BM361" s="319" t="s">
        <v>190</v>
      </c>
      <c r="BN361" s="319" t="s">
        <v>190</v>
      </c>
      <c r="BO361" s="319" t="s">
        <v>190</v>
      </c>
      <c r="BP361" s="319" t="s">
        <v>190</v>
      </c>
      <c r="BQ361" s="319" t="s">
        <v>190</v>
      </c>
      <c r="BR361" s="319" t="s">
        <v>190</v>
      </c>
      <c r="BS361" s="319" t="s">
        <v>190</v>
      </c>
      <c r="BT361" s="319" t="s">
        <v>190</v>
      </c>
      <c r="BU361" s="319" t="s">
        <v>190</v>
      </c>
      <c r="BV361" s="319" t="s">
        <v>190</v>
      </c>
      <c r="BW361" s="319" t="s">
        <v>190</v>
      </c>
      <c r="BX361" s="319" t="s">
        <v>190</v>
      </c>
      <c r="BY361" s="319" t="s">
        <v>190</v>
      </c>
      <c r="BZ361" s="319" t="s">
        <v>190</v>
      </c>
      <c r="CA361" s="319" t="s">
        <v>190</v>
      </c>
      <c r="CB361" s="319" t="s">
        <v>190</v>
      </c>
      <c r="CC361" s="319" t="s">
        <v>190</v>
      </c>
      <c r="CD361" s="319" t="s">
        <v>190</v>
      </c>
      <c r="CE361" s="319" t="s">
        <v>190</v>
      </c>
      <c r="CF361" s="319" t="s">
        <v>190</v>
      </c>
      <c r="CG361" s="319" t="s">
        <v>190</v>
      </c>
      <c r="CH361" s="319" t="s">
        <v>190</v>
      </c>
      <c r="CI361" s="319" t="s">
        <v>190</v>
      </c>
      <c r="CJ361" s="319" t="s">
        <v>190</v>
      </c>
      <c r="CK361" s="319" t="s">
        <v>190</v>
      </c>
      <c r="CL361" s="319" t="s">
        <v>190</v>
      </c>
      <c r="CM361" s="319" t="s">
        <v>190</v>
      </c>
      <c r="CN361" s="319" t="s">
        <v>190</v>
      </c>
      <c r="CO361" s="319" t="s">
        <v>428</v>
      </c>
      <c r="CP361" s="319" t="s">
        <v>428</v>
      </c>
      <c r="CQ361" s="319" t="s">
        <v>190</v>
      </c>
      <c r="CR361" s="319" t="s">
        <v>190</v>
      </c>
      <c r="CS361" s="319" t="s">
        <v>190</v>
      </c>
      <c r="CT361" s="319" t="s">
        <v>190</v>
      </c>
      <c r="CU361" s="319" t="s">
        <v>190</v>
      </c>
      <c r="CV361" s="319" t="s">
        <v>190</v>
      </c>
      <c r="CW361" s="319" t="s">
        <v>190</v>
      </c>
      <c r="CX361" s="319" t="s">
        <v>190</v>
      </c>
      <c r="CY361" s="319" t="s">
        <v>190</v>
      </c>
      <c r="CZ361" s="319" t="s">
        <v>190</v>
      </c>
      <c r="DA361" s="319" t="s">
        <v>190</v>
      </c>
      <c r="DB361" s="319" t="s">
        <v>190</v>
      </c>
      <c r="DC361" s="319" t="s">
        <v>190</v>
      </c>
      <c r="DD361" s="319" t="s">
        <v>190</v>
      </c>
      <c r="DE361" s="319" t="s">
        <v>190</v>
      </c>
      <c r="DF361" s="319" t="s">
        <v>190</v>
      </c>
      <c r="DG361" s="319" t="s">
        <v>190</v>
      </c>
      <c r="DH361" s="319" t="s">
        <v>190</v>
      </c>
      <c r="DI361" s="319" t="s">
        <v>190</v>
      </c>
      <c r="DJ361" s="319" t="s">
        <v>190</v>
      </c>
      <c r="DK361" s="319" t="s">
        <v>190</v>
      </c>
      <c r="DL361" s="319" t="s">
        <v>190</v>
      </c>
      <c r="DM361" s="319" t="s">
        <v>190</v>
      </c>
      <c r="DN361" s="319" t="s">
        <v>428</v>
      </c>
      <c r="DO361" s="319" t="s">
        <v>190</v>
      </c>
      <c r="DP361" s="319" t="s">
        <v>190</v>
      </c>
      <c r="DQ361" s="319" t="s">
        <v>190</v>
      </c>
      <c r="DR361" s="319" t="s">
        <v>190</v>
      </c>
      <c r="DS361" s="319" t="s">
        <v>190</v>
      </c>
      <c r="DT361" s="319" t="s">
        <v>190</v>
      </c>
      <c r="DU361" s="319" t="s">
        <v>190</v>
      </c>
      <c r="DV361" s="319" t="s">
        <v>173</v>
      </c>
      <c r="DW361" s="319" t="s">
        <v>190</v>
      </c>
      <c r="DX361" s="319" t="s">
        <v>190</v>
      </c>
      <c r="DY361" s="319" t="s">
        <v>190</v>
      </c>
      <c r="DZ361" s="319" t="s">
        <v>190</v>
      </c>
      <c r="EA361" s="319" t="s">
        <v>190</v>
      </c>
      <c r="EB361" s="319" t="s">
        <v>190</v>
      </c>
      <c r="EC361" s="319" t="s">
        <v>428</v>
      </c>
      <c r="ED361" s="319" t="s">
        <v>190</v>
      </c>
      <c r="EE361" s="319" t="s">
        <v>190</v>
      </c>
      <c r="EF361" s="319" t="s">
        <v>190</v>
      </c>
      <c r="EG361" s="319" t="s">
        <v>190</v>
      </c>
      <c r="EH361" s="319" t="s">
        <v>190</v>
      </c>
      <c r="EI361" s="319" t="s">
        <v>190</v>
      </c>
      <c r="EJ361" s="319" t="s">
        <v>190</v>
      </c>
      <c r="EK361" s="319" t="s">
        <v>190</v>
      </c>
      <c r="EL361" s="319" t="s">
        <v>190</v>
      </c>
      <c r="EM361" s="319" t="s">
        <v>190</v>
      </c>
      <c r="EN361" s="319" t="s">
        <v>190</v>
      </c>
      <c r="EO361" s="319" t="s">
        <v>190</v>
      </c>
      <c r="EP361" s="319" t="s">
        <v>190</v>
      </c>
      <c r="EQ361" s="319" t="s">
        <v>190</v>
      </c>
      <c r="ER361" s="319" t="s">
        <v>190</v>
      </c>
      <c r="ES361" s="319" t="s">
        <v>190</v>
      </c>
      <c r="ET361" s="319" t="s">
        <v>190</v>
      </c>
      <c r="EU361" s="319" t="s">
        <v>190</v>
      </c>
      <c r="EV361" s="319" t="s">
        <v>190</v>
      </c>
      <c r="EW361" s="319" t="s">
        <v>190</v>
      </c>
      <c r="EX361" s="319" t="s">
        <v>190</v>
      </c>
      <c r="EY361" s="319" t="s">
        <v>190</v>
      </c>
      <c r="EZ361" s="319" t="s">
        <v>190</v>
      </c>
      <c r="FA361" s="319" t="s">
        <v>190</v>
      </c>
      <c r="FB361" s="319" t="s">
        <v>190</v>
      </c>
      <c r="FC361" s="319" t="s">
        <v>190</v>
      </c>
      <c r="FD361" s="319" t="s">
        <v>190</v>
      </c>
      <c r="FE361" s="319" t="s">
        <v>190</v>
      </c>
      <c r="FF361" s="319" t="s">
        <v>190</v>
      </c>
      <c r="FG361" s="319" t="s">
        <v>190</v>
      </c>
      <c r="FH361" s="319" t="s">
        <v>190</v>
      </c>
      <c r="FI361" s="319" t="s">
        <v>190</v>
      </c>
      <c r="FJ361" s="319" t="s">
        <v>190</v>
      </c>
      <c r="FK361" s="319" t="s">
        <v>190</v>
      </c>
      <c r="FL361" s="319" t="s">
        <v>190</v>
      </c>
      <c r="FM361" s="319" t="s">
        <v>190</v>
      </c>
      <c r="FN361" s="319" t="s">
        <v>190</v>
      </c>
      <c r="FO361" s="319" t="s">
        <v>190</v>
      </c>
      <c r="FP361" s="319" t="s">
        <v>190</v>
      </c>
      <c r="FQ361" s="319" t="s">
        <v>190</v>
      </c>
      <c r="FR361" s="319" t="s">
        <v>190</v>
      </c>
      <c r="FS361" s="319" t="s">
        <v>190</v>
      </c>
      <c r="FT361" s="319" t="s">
        <v>190</v>
      </c>
      <c r="FU361" s="319" t="s">
        <v>190</v>
      </c>
      <c r="FV361" s="319" t="s">
        <v>190</v>
      </c>
      <c r="FW361" s="319" t="s">
        <v>190</v>
      </c>
      <c r="FX361" s="319" t="s">
        <v>190</v>
      </c>
      <c r="FY361" s="319" t="s">
        <v>190</v>
      </c>
      <c r="FZ361" s="319" t="s">
        <v>190</v>
      </c>
      <c r="GA361" s="319" t="s">
        <v>190</v>
      </c>
      <c r="GB361" s="319" t="s">
        <v>190</v>
      </c>
      <c r="GC361" s="319" t="s">
        <v>190</v>
      </c>
      <c r="GD361" s="319" t="s">
        <v>190</v>
      </c>
      <c r="GE361" s="319" t="s">
        <v>190</v>
      </c>
      <c r="GF361" s="319" t="s">
        <v>190</v>
      </c>
      <c r="GG361" s="319" t="s">
        <v>190</v>
      </c>
      <c r="GH361" s="319" t="s">
        <v>190</v>
      </c>
      <c r="GI361" s="319" t="s">
        <v>190</v>
      </c>
      <c r="GJ361" s="319" t="s">
        <v>190</v>
      </c>
      <c r="GK361" s="319" t="s">
        <v>428</v>
      </c>
      <c r="GL361" s="319" t="s">
        <v>190</v>
      </c>
      <c r="GM361" s="319" t="s">
        <v>190</v>
      </c>
      <c r="GN361" s="319" t="s">
        <v>190</v>
      </c>
      <c r="GO361" s="319" t="s">
        <v>190</v>
      </c>
      <c r="GP361" s="319" t="s">
        <v>190</v>
      </c>
      <c r="GQ361" s="319" t="s">
        <v>190</v>
      </c>
      <c r="GR361" s="319" t="s">
        <v>190</v>
      </c>
      <c r="GS361" s="319" t="s">
        <v>190</v>
      </c>
      <c r="GT361" s="319" t="s">
        <v>190</v>
      </c>
      <c r="GU361" s="319" t="s">
        <v>190</v>
      </c>
      <c r="GV361" s="319" t="s">
        <v>190</v>
      </c>
      <c r="GW361" s="319" t="s">
        <v>190</v>
      </c>
      <c r="GX361" s="319" t="s">
        <v>190</v>
      </c>
      <c r="GY361" s="319" t="s">
        <v>190</v>
      </c>
      <c r="GZ361" s="319" t="s">
        <v>428</v>
      </c>
      <c r="HA361" s="319" t="s">
        <v>190</v>
      </c>
      <c r="HB361" s="319" t="s">
        <v>190</v>
      </c>
      <c r="HC361" s="319" t="s">
        <v>190</v>
      </c>
      <c r="HD361" s="319" t="s">
        <v>190</v>
      </c>
      <c r="HE361" s="319" t="s">
        <v>190</v>
      </c>
      <c r="HF361" s="319" t="s">
        <v>190</v>
      </c>
      <c r="HG361" s="319" t="s">
        <v>190</v>
      </c>
      <c r="HH361" s="319" t="s">
        <v>190</v>
      </c>
      <c r="HI361" s="319" t="s">
        <v>190</v>
      </c>
      <c r="HJ361" s="319" t="s">
        <v>190</v>
      </c>
      <c r="HK361" s="319" t="s">
        <v>190</v>
      </c>
      <c r="HL361" s="319" t="s">
        <v>190</v>
      </c>
      <c r="HM361" s="319" t="s">
        <v>428</v>
      </c>
      <c r="HN361" s="319" t="s">
        <v>428</v>
      </c>
      <c r="HO361" s="319" t="s">
        <v>428</v>
      </c>
      <c r="HP361" s="319" t="s">
        <v>190</v>
      </c>
      <c r="HQ361" s="319" t="s">
        <v>190</v>
      </c>
      <c r="HR361" s="319" t="s">
        <v>190</v>
      </c>
      <c r="HS361" s="319" t="s">
        <v>190</v>
      </c>
      <c r="HT361" s="319" t="s">
        <v>190</v>
      </c>
      <c r="HU361" s="319" t="s">
        <v>190</v>
      </c>
      <c r="HV361" s="319" t="s">
        <v>190</v>
      </c>
      <c r="HW361" s="319" t="s">
        <v>190</v>
      </c>
      <c r="HX361" s="319" t="s">
        <v>190</v>
      </c>
      <c r="HY361" s="319" t="s">
        <v>190</v>
      </c>
      <c r="HZ361" s="319" t="s">
        <v>190</v>
      </c>
      <c r="IA361" s="319" t="s">
        <v>190</v>
      </c>
      <c r="IB361" s="319" t="s">
        <v>190</v>
      </c>
      <c r="IC361" s="319" t="s">
        <v>190</v>
      </c>
      <c r="ID361" s="319" t="s">
        <v>190</v>
      </c>
      <c r="IE361" s="319" t="s">
        <v>190</v>
      </c>
      <c r="IF361" s="319" t="s">
        <v>190</v>
      </c>
      <c r="IG361" s="319" t="s">
        <v>190</v>
      </c>
      <c r="IH361" s="319" t="s">
        <v>190</v>
      </c>
      <c r="II361" s="319" t="s">
        <v>190</v>
      </c>
      <c r="IJ361" s="319">
        <v>10020834</v>
      </c>
      <c r="IK361" s="321">
        <v>42626</v>
      </c>
      <c r="IL361" s="321">
        <v>42628</v>
      </c>
      <c r="IM361" s="321">
        <v>42654</v>
      </c>
      <c r="IN361" s="319">
        <v>1</v>
      </c>
      <c r="IO361" s="319" t="s">
        <v>173</v>
      </c>
      <c r="IP361" s="319" t="s">
        <v>173</v>
      </c>
      <c r="IQ361" s="321" t="s">
        <v>173</v>
      </c>
      <c r="IR361" s="320" t="s">
        <v>173</v>
      </c>
      <c r="IS361" s="322" t="s">
        <v>173</v>
      </c>
      <c r="IT361" s="319" t="s">
        <v>173</v>
      </c>
    </row>
    <row r="362" spans="1:254" s="271" customFormat="1" x14ac:dyDescent="0.25">
      <c r="A362" s="318" t="str">
        <f>HYPERLINK("http://www.ofsted.gov.uk/inspection-reports/find-inspection-report/provider/ELS/131978 ","Ofsted School Webpage")</f>
        <v>Ofsted School Webpage</v>
      </c>
      <c r="B362" s="319">
        <v>131978</v>
      </c>
      <c r="C362" s="319">
        <v>2026399</v>
      </c>
      <c r="D362" s="319" t="s">
        <v>1703</v>
      </c>
      <c r="E362" s="319" t="s">
        <v>167</v>
      </c>
      <c r="F362" s="319" t="s">
        <v>81</v>
      </c>
      <c r="G362" s="319" t="s">
        <v>81</v>
      </c>
      <c r="H362" s="319" t="s">
        <v>81</v>
      </c>
      <c r="I362" s="319" t="s">
        <v>78</v>
      </c>
      <c r="J362" s="319" t="s">
        <v>424</v>
      </c>
      <c r="K362" s="319" t="s">
        <v>441</v>
      </c>
      <c r="L362" s="319" t="s">
        <v>441</v>
      </c>
      <c r="M362" s="319" t="s">
        <v>1039</v>
      </c>
      <c r="N362" s="319" t="s">
        <v>2765</v>
      </c>
      <c r="O362" s="319" t="s">
        <v>1704</v>
      </c>
      <c r="P362" s="319">
        <v>170</v>
      </c>
      <c r="Q362" s="319" t="s">
        <v>2766</v>
      </c>
      <c r="R362" s="320">
        <v>10035794</v>
      </c>
      <c r="S362" s="321">
        <v>43081</v>
      </c>
      <c r="T362" s="321">
        <v>43083</v>
      </c>
      <c r="U362" s="321">
        <v>43122</v>
      </c>
      <c r="V362" s="319" t="s">
        <v>425</v>
      </c>
      <c r="W362" s="319" t="s">
        <v>2767</v>
      </c>
      <c r="X362" s="319">
        <v>2</v>
      </c>
      <c r="Y362" s="319" t="s">
        <v>173</v>
      </c>
      <c r="Z362" s="319" t="s">
        <v>173</v>
      </c>
      <c r="AA362" s="319" t="s">
        <v>173</v>
      </c>
      <c r="AB362" s="319">
        <v>2</v>
      </c>
      <c r="AC362" s="319" t="s">
        <v>169</v>
      </c>
      <c r="AD362" s="319">
        <v>2</v>
      </c>
      <c r="AE362" s="319" t="s">
        <v>173</v>
      </c>
      <c r="AF362" s="319" t="s">
        <v>427</v>
      </c>
      <c r="AG362" s="319" t="s">
        <v>171</v>
      </c>
      <c r="AH362" s="319" t="s">
        <v>190</v>
      </c>
      <c r="AI362" s="319" t="s">
        <v>190</v>
      </c>
      <c r="AJ362" s="319" t="s">
        <v>190</v>
      </c>
      <c r="AK362" s="319" t="s">
        <v>190</v>
      </c>
      <c r="AL362" s="319" t="s">
        <v>190</v>
      </c>
      <c r="AM362" s="319" t="s">
        <v>190</v>
      </c>
      <c r="AN362" s="319" t="s">
        <v>190</v>
      </c>
      <c r="AO362" s="319" t="s">
        <v>190</v>
      </c>
      <c r="AP362" s="319" t="s">
        <v>190</v>
      </c>
      <c r="AQ362" s="319" t="s">
        <v>190</v>
      </c>
      <c r="AR362" s="319" t="s">
        <v>190</v>
      </c>
      <c r="AS362" s="319" t="s">
        <v>190</v>
      </c>
      <c r="AT362" s="319" t="s">
        <v>190</v>
      </c>
      <c r="AU362" s="319" t="s">
        <v>190</v>
      </c>
      <c r="AV362" s="319" t="s">
        <v>190</v>
      </c>
      <c r="AW362" s="319" t="s">
        <v>190</v>
      </c>
      <c r="AX362" s="319" t="s">
        <v>428</v>
      </c>
      <c r="AY362" s="319" t="s">
        <v>190</v>
      </c>
      <c r="AZ362" s="319" t="s">
        <v>190</v>
      </c>
      <c r="BA362" s="319" t="s">
        <v>190</v>
      </c>
      <c r="BB362" s="319" t="s">
        <v>428</v>
      </c>
      <c r="BC362" s="319" t="s">
        <v>428</v>
      </c>
      <c r="BD362" s="319" t="s">
        <v>428</v>
      </c>
      <c r="BE362" s="319" t="s">
        <v>428</v>
      </c>
      <c r="BF362" s="319" t="s">
        <v>190</v>
      </c>
      <c r="BG362" s="319" t="s">
        <v>190</v>
      </c>
      <c r="BH362" s="319" t="s">
        <v>190</v>
      </c>
      <c r="BI362" s="319" t="s">
        <v>190</v>
      </c>
      <c r="BJ362" s="319" t="s">
        <v>190</v>
      </c>
      <c r="BK362" s="319" t="s">
        <v>190</v>
      </c>
      <c r="BL362" s="319" t="s">
        <v>190</v>
      </c>
      <c r="BM362" s="319" t="s">
        <v>190</v>
      </c>
      <c r="BN362" s="319" t="s">
        <v>190</v>
      </c>
      <c r="BO362" s="319" t="s">
        <v>190</v>
      </c>
      <c r="BP362" s="319" t="s">
        <v>190</v>
      </c>
      <c r="BQ362" s="319" t="s">
        <v>190</v>
      </c>
      <c r="BR362" s="319" t="s">
        <v>190</v>
      </c>
      <c r="BS362" s="319" t="s">
        <v>190</v>
      </c>
      <c r="BT362" s="319" t="s">
        <v>190</v>
      </c>
      <c r="BU362" s="319" t="s">
        <v>190</v>
      </c>
      <c r="BV362" s="319" t="s">
        <v>190</v>
      </c>
      <c r="BW362" s="319" t="s">
        <v>190</v>
      </c>
      <c r="BX362" s="319" t="s">
        <v>190</v>
      </c>
      <c r="BY362" s="319" t="s">
        <v>190</v>
      </c>
      <c r="BZ362" s="319" t="s">
        <v>190</v>
      </c>
      <c r="CA362" s="319" t="s">
        <v>190</v>
      </c>
      <c r="CB362" s="319" t="s">
        <v>190</v>
      </c>
      <c r="CC362" s="319" t="s">
        <v>190</v>
      </c>
      <c r="CD362" s="319" t="s">
        <v>190</v>
      </c>
      <c r="CE362" s="319" t="s">
        <v>190</v>
      </c>
      <c r="CF362" s="319" t="s">
        <v>190</v>
      </c>
      <c r="CG362" s="319" t="s">
        <v>190</v>
      </c>
      <c r="CH362" s="319" t="s">
        <v>190</v>
      </c>
      <c r="CI362" s="319" t="s">
        <v>190</v>
      </c>
      <c r="CJ362" s="319" t="s">
        <v>190</v>
      </c>
      <c r="CK362" s="319" t="s">
        <v>190</v>
      </c>
      <c r="CL362" s="319" t="s">
        <v>190</v>
      </c>
      <c r="CM362" s="319" t="s">
        <v>190</v>
      </c>
      <c r="CN362" s="319" t="s">
        <v>428</v>
      </c>
      <c r="CO362" s="319" t="s">
        <v>428</v>
      </c>
      <c r="CP362" s="319" t="s">
        <v>428</v>
      </c>
      <c r="CQ362" s="319" t="s">
        <v>190</v>
      </c>
      <c r="CR362" s="319" t="s">
        <v>190</v>
      </c>
      <c r="CS362" s="319" t="s">
        <v>190</v>
      </c>
      <c r="CT362" s="319" t="s">
        <v>190</v>
      </c>
      <c r="CU362" s="319" t="s">
        <v>190</v>
      </c>
      <c r="CV362" s="319" t="s">
        <v>190</v>
      </c>
      <c r="CW362" s="319" t="s">
        <v>190</v>
      </c>
      <c r="CX362" s="319" t="s">
        <v>190</v>
      </c>
      <c r="CY362" s="319" t="s">
        <v>190</v>
      </c>
      <c r="CZ362" s="319" t="s">
        <v>190</v>
      </c>
      <c r="DA362" s="319" t="s">
        <v>190</v>
      </c>
      <c r="DB362" s="319" t="s">
        <v>190</v>
      </c>
      <c r="DC362" s="319" t="s">
        <v>190</v>
      </c>
      <c r="DD362" s="319" t="s">
        <v>190</v>
      </c>
      <c r="DE362" s="319" t="s">
        <v>190</v>
      </c>
      <c r="DF362" s="319" t="s">
        <v>190</v>
      </c>
      <c r="DG362" s="319" t="s">
        <v>190</v>
      </c>
      <c r="DH362" s="319" t="s">
        <v>190</v>
      </c>
      <c r="DI362" s="319" t="s">
        <v>190</v>
      </c>
      <c r="DJ362" s="319" t="s">
        <v>190</v>
      </c>
      <c r="DK362" s="319" t="s">
        <v>190</v>
      </c>
      <c r="DL362" s="319" t="s">
        <v>190</v>
      </c>
      <c r="DM362" s="319" t="s">
        <v>190</v>
      </c>
      <c r="DN362" s="319" t="s">
        <v>428</v>
      </c>
      <c r="DO362" s="319" t="s">
        <v>190</v>
      </c>
      <c r="DP362" s="319" t="s">
        <v>190</v>
      </c>
      <c r="DQ362" s="319" t="s">
        <v>190</v>
      </c>
      <c r="DR362" s="319" t="s">
        <v>190</v>
      </c>
      <c r="DS362" s="319" t="s">
        <v>190</v>
      </c>
      <c r="DT362" s="319" t="s">
        <v>190</v>
      </c>
      <c r="DU362" s="319" t="s">
        <v>190</v>
      </c>
      <c r="DV362" s="319" t="s">
        <v>173</v>
      </c>
      <c r="DW362" s="319" t="s">
        <v>190</v>
      </c>
      <c r="DX362" s="319" t="s">
        <v>190</v>
      </c>
      <c r="DY362" s="319" t="s">
        <v>190</v>
      </c>
      <c r="DZ362" s="319" t="s">
        <v>190</v>
      </c>
      <c r="EA362" s="319" t="s">
        <v>190</v>
      </c>
      <c r="EB362" s="319" t="s">
        <v>190</v>
      </c>
      <c r="EC362" s="319" t="s">
        <v>428</v>
      </c>
      <c r="ED362" s="319" t="s">
        <v>190</v>
      </c>
      <c r="EE362" s="319" t="s">
        <v>190</v>
      </c>
      <c r="EF362" s="319" t="s">
        <v>190</v>
      </c>
      <c r="EG362" s="319" t="s">
        <v>190</v>
      </c>
      <c r="EH362" s="319" t="s">
        <v>190</v>
      </c>
      <c r="EI362" s="319" t="s">
        <v>190</v>
      </c>
      <c r="EJ362" s="319" t="s">
        <v>190</v>
      </c>
      <c r="EK362" s="319" t="s">
        <v>190</v>
      </c>
      <c r="EL362" s="319" t="s">
        <v>190</v>
      </c>
      <c r="EM362" s="319" t="s">
        <v>190</v>
      </c>
      <c r="EN362" s="319" t="s">
        <v>190</v>
      </c>
      <c r="EO362" s="319" t="s">
        <v>190</v>
      </c>
      <c r="EP362" s="319" t="s">
        <v>190</v>
      </c>
      <c r="EQ362" s="319" t="s">
        <v>190</v>
      </c>
      <c r="ER362" s="319" t="s">
        <v>190</v>
      </c>
      <c r="ES362" s="319" t="s">
        <v>190</v>
      </c>
      <c r="ET362" s="319" t="s">
        <v>190</v>
      </c>
      <c r="EU362" s="319" t="s">
        <v>190</v>
      </c>
      <c r="EV362" s="319" t="s">
        <v>190</v>
      </c>
      <c r="EW362" s="319" t="s">
        <v>190</v>
      </c>
      <c r="EX362" s="319" t="s">
        <v>190</v>
      </c>
      <c r="EY362" s="319" t="s">
        <v>190</v>
      </c>
      <c r="EZ362" s="319" t="s">
        <v>190</v>
      </c>
      <c r="FA362" s="319" t="s">
        <v>190</v>
      </c>
      <c r="FB362" s="319" t="s">
        <v>190</v>
      </c>
      <c r="FC362" s="319" t="s">
        <v>190</v>
      </c>
      <c r="FD362" s="319" t="s">
        <v>190</v>
      </c>
      <c r="FE362" s="319" t="s">
        <v>190</v>
      </c>
      <c r="FF362" s="319" t="s">
        <v>190</v>
      </c>
      <c r="FG362" s="319" t="s">
        <v>190</v>
      </c>
      <c r="FH362" s="319" t="s">
        <v>190</v>
      </c>
      <c r="FI362" s="319" t="s">
        <v>190</v>
      </c>
      <c r="FJ362" s="319" t="s">
        <v>190</v>
      </c>
      <c r="FK362" s="319" t="s">
        <v>190</v>
      </c>
      <c r="FL362" s="319" t="s">
        <v>190</v>
      </c>
      <c r="FM362" s="319" t="s">
        <v>190</v>
      </c>
      <c r="FN362" s="319" t="s">
        <v>190</v>
      </c>
      <c r="FO362" s="319" t="s">
        <v>428</v>
      </c>
      <c r="FP362" s="319" t="s">
        <v>190</v>
      </c>
      <c r="FQ362" s="319" t="s">
        <v>190</v>
      </c>
      <c r="FR362" s="319" t="s">
        <v>190</v>
      </c>
      <c r="FS362" s="319" t="s">
        <v>428</v>
      </c>
      <c r="FT362" s="319" t="s">
        <v>190</v>
      </c>
      <c r="FU362" s="319" t="s">
        <v>190</v>
      </c>
      <c r="FV362" s="319" t="s">
        <v>190</v>
      </c>
      <c r="FW362" s="319" t="s">
        <v>190</v>
      </c>
      <c r="FX362" s="319" t="s">
        <v>190</v>
      </c>
      <c r="FY362" s="319" t="s">
        <v>190</v>
      </c>
      <c r="FZ362" s="319" t="s">
        <v>190</v>
      </c>
      <c r="GA362" s="319" t="s">
        <v>190</v>
      </c>
      <c r="GB362" s="319" t="s">
        <v>190</v>
      </c>
      <c r="GC362" s="319" t="s">
        <v>190</v>
      </c>
      <c r="GD362" s="319" t="s">
        <v>190</v>
      </c>
      <c r="GE362" s="319" t="s">
        <v>190</v>
      </c>
      <c r="GF362" s="319" t="s">
        <v>190</v>
      </c>
      <c r="GG362" s="319" t="s">
        <v>190</v>
      </c>
      <c r="GH362" s="319" t="s">
        <v>190</v>
      </c>
      <c r="GI362" s="319" t="s">
        <v>190</v>
      </c>
      <c r="GJ362" s="319" t="s">
        <v>190</v>
      </c>
      <c r="GK362" s="319" t="s">
        <v>428</v>
      </c>
      <c r="GL362" s="319" t="s">
        <v>190</v>
      </c>
      <c r="GM362" s="319" t="s">
        <v>190</v>
      </c>
      <c r="GN362" s="319" t="s">
        <v>190</v>
      </c>
      <c r="GO362" s="319" t="s">
        <v>190</v>
      </c>
      <c r="GP362" s="319" t="s">
        <v>190</v>
      </c>
      <c r="GQ362" s="319" t="s">
        <v>428</v>
      </c>
      <c r="GR362" s="319" t="s">
        <v>190</v>
      </c>
      <c r="GS362" s="319" t="s">
        <v>190</v>
      </c>
      <c r="GT362" s="319" t="s">
        <v>428</v>
      </c>
      <c r="GU362" s="319" t="s">
        <v>428</v>
      </c>
      <c r="GV362" s="319" t="s">
        <v>190</v>
      </c>
      <c r="GW362" s="319" t="s">
        <v>190</v>
      </c>
      <c r="GX362" s="319" t="s">
        <v>190</v>
      </c>
      <c r="GY362" s="319" t="s">
        <v>190</v>
      </c>
      <c r="GZ362" s="319" t="s">
        <v>428</v>
      </c>
      <c r="HA362" s="319" t="s">
        <v>190</v>
      </c>
      <c r="HB362" s="319" t="s">
        <v>190</v>
      </c>
      <c r="HC362" s="319" t="s">
        <v>190</v>
      </c>
      <c r="HD362" s="319" t="s">
        <v>190</v>
      </c>
      <c r="HE362" s="319" t="s">
        <v>190</v>
      </c>
      <c r="HF362" s="319" t="s">
        <v>428</v>
      </c>
      <c r="HG362" s="319" t="s">
        <v>190</v>
      </c>
      <c r="HH362" s="319" t="s">
        <v>190</v>
      </c>
      <c r="HI362" s="319" t="s">
        <v>190</v>
      </c>
      <c r="HJ362" s="319" t="s">
        <v>190</v>
      </c>
      <c r="HK362" s="319" t="s">
        <v>190</v>
      </c>
      <c r="HL362" s="319" t="s">
        <v>428</v>
      </c>
      <c r="HM362" s="319" t="s">
        <v>428</v>
      </c>
      <c r="HN362" s="319" t="s">
        <v>428</v>
      </c>
      <c r="HO362" s="319" t="s">
        <v>428</v>
      </c>
      <c r="HP362" s="319" t="s">
        <v>190</v>
      </c>
      <c r="HQ362" s="319" t="s">
        <v>190</v>
      </c>
      <c r="HR362" s="319" t="s">
        <v>190</v>
      </c>
      <c r="HS362" s="319" t="s">
        <v>190</v>
      </c>
      <c r="HT362" s="319" t="s">
        <v>190</v>
      </c>
      <c r="HU362" s="319" t="s">
        <v>190</v>
      </c>
      <c r="HV362" s="319" t="s">
        <v>190</v>
      </c>
      <c r="HW362" s="319" t="s">
        <v>190</v>
      </c>
      <c r="HX362" s="319" t="s">
        <v>190</v>
      </c>
      <c r="HY362" s="319" t="s">
        <v>190</v>
      </c>
      <c r="HZ362" s="319" t="s">
        <v>190</v>
      </c>
      <c r="IA362" s="319" t="s">
        <v>190</v>
      </c>
      <c r="IB362" s="319" t="s">
        <v>190</v>
      </c>
      <c r="IC362" s="319" t="s">
        <v>190</v>
      </c>
      <c r="ID362" s="319" t="s">
        <v>190</v>
      </c>
      <c r="IE362" s="319" t="s">
        <v>190</v>
      </c>
      <c r="IF362" s="319" t="s">
        <v>190</v>
      </c>
      <c r="IG362" s="319" t="s">
        <v>190</v>
      </c>
      <c r="IH362" s="319" t="s">
        <v>190</v>
      </c>
      <c r="II362" s="319" t="s">
        <v>190</v>
      </c>
      <c r="IJ362" s="319" t="s">
        <v>3142</v>
      </c>
      <c r="IK362" s="321">
        <v>41710</v>
      </c>
      <c r="IL362" s="321">
        <v>41712</v>
      </c>
      <c r="IM362" s="321">
        <v>41754</v>
      </c>
      <c r="IN362" s="319">
        <v>2</v>
      </c>
      <c r="IO362" s="319" t="s">
        <v>173</v>
      </c>
      <c r="IP362" s="319" t="s">
        <v>173</v>
      </c>
      <c r="IQ362" s="321" t="s">
        <v>173</v>
      </c>
      <c r="IR362" s="320" t="s">
        <v>173</v>
      </c>
      <c r="IS362" s="322" t="s">
        <v>173</v>
      </c>
      <c r="IT362" s="319" t="s">
        <v>173</v>
      </c>
    </row>
    <row r="363" spans="1:254" s="271" customFormat="1" x14ac:dyDescent="0.25">
      <c r="A363" s="318" t="str">
        <f>HYPERLINK("http://www.ofsted.gov.uk/inspection-reports/find-inspection-report/provider/ELS/132003 ","Ofsted School Webpage")</f>
        <v>Ofsted School Webpage</v>
      </c>
      <c r="B363" s="319">
        <v>132003</v>
      </c>
      <c r="C363" s="319">
        <v>8696014</v>
      </c>
      <c r="D363" s="319" t="s">
        <v>1705</v>
      </c>
      <c r="E363" s="319" t="s">
        <v>168</v>
      </c>
      <c r="F363" s="319" t="s">
        <v>81</v>
      </c>
      <c r="G363" s="319" t="s">
        <v>81</v>
      </c>
      <c r="H363" s="319" t="s">
        <v>81</v>
      </c>
      <c r="I363" s="319" t="s">
        <v>78</v>
      </c>
      <c r="J363" s="319" t="s">
        <v>424</v>
      </c>
      <c r="K363" s="319" t="s">
        <v>514</v>
      </c>
      <c r="L363" s="319" t="s">
        <v>514</v>
      </c>
      <c r="M363" s="319" t="s">
        <v>1382</v>
      </c>
      <c r="N363" s="319" t="s">
        <v>3143</v>
      </c>
      <c r="O363" s="319" t="s">
        <v>1706</v>
      </c>
      <c r="P363" s="319">
        <v>63</v>
      </c>
      <c r="Q363" s="319" t="s">
        <v>429</v>
      </c>
      <c r="R363" s="320">
        <v>10020923</v>
      </c>
      <c r="S363" s="321">
        <v>43060</v>
      </c>
      <c r="T363" s="321">
        <v>43062</v>
      </c>
      <c r="U363" s="321">
        <v>43117</v>
      </c>
      <c r="V363" s="319" t="s">
        <v>425</v>
      </c>
      <c r="W363" s="319" t="s">
        <v>2767</v>
      </c>
      <c r="X363" s="319">
        <v>1</v>
      </c>
      <c r="Y363" s="319" t="s">
        <v>173</v>
      </c>
      <c r="Z363" s="319" t="s">
        <v>173</v>
      </c>
      <c r="AA363" s="319" t="s">
        <v>173</v>
      </c>
      <c r="AB363" s="319">
        <v>1</v>
      </c>
      <c r="AC363" s="319" t="s">
        <v>169</v>
      </c>
      <c r="AD363" s="319" t="s">
        <v>173</v>
      </c>
      <c r="AE363" s="319">
        <v>1</v>
      </c>
      <c r="AF363" s="319" t="s">
        <v>173</v>
      </c>
      <c r="AG363" s="319" t="s">
        <v>171</v>
      </c>
      <c r="AH363" s="319" t="s">
        <v>190</v>
      </c>
      <c r="AI363" s="319" t="s">
        <v>190</v>
      </c>
      <c r="AJ363" s="319" t="s">
        <v>190</v>
      </c>
      <c r="AK363" s="319" t="s">
        <v>190</v>
      </c>
      <c r="AL363" s="319" t="s">
        <v>190</v>
      </c>
      <c r="AM363" s="319" t="s">
        <v>190</v>
      </c>
      <c r="AN363" s="319" t="s">
        <v>190</v>
      </c>
      <c r="AO363" s="319" t="s">
        <v>190</v>
      </c>
      <c r="AP363" s="319" t="s">
        <v>190</v>
      </c>
      <c r="AQ363" s="319" t="s">
        <v>190</v>
      </c>
      <c r="AR363" s="319" t="s">
        <v>190</v>
      </c>
      <c r="AS363" s="319" t="s">
        <v>190</v>
      </c>
      <c r="AT363" s="319" t="s">
        <v>190</v>
      </c>
      <c r="AU363" s="319" t="s">
        <v>190</v>
      </c>
      <c r="AV363" s="319" t="s">
        <v>190</v>
      </c>
      <c r="AW363" s="319" t="s">
        <v>190</v>
      </c>
      <c r="AX363" s="319" t="s">
        <v>429</v>
      </c>
      <c r="AY363" s="319" t="s">
        <v>190</v>
      </c>
      <c r="AZ363" s="319" t="s">
        <v>190</v>
      </c>
      <c r="BA363" s="319" t="s">
        <v>190</v>
      </c>
      <c r="BB363" s="319" t="s">
        <v>190</v>
      </c>
      <c r="BC363" s="319" t="s">
        <v>190</v>
      </c>
      <c r="BD363" s="319" t="s">
        <v>190</v>
      </c>
      <c r="BE363" s="319" t="s">
        <v>190</v>
      </c>
      <c r="BF363" s="319" t="s">
        <v>429</v>
      </c>
      <c r="BG363" s="319" t="s">
        <v>190</v>
      </c>
      <c r="BH363" s="319" t="s">
        <v>190</v>
      </c>
      <c r="BI363" s="319" t="s">
        <v>190</v>
      </c>
      <c r="BJ363" s="319" t="s">
        <v>190</v>
      </c>
      <c r="BK363" s="319" t="s">
        <v>190</v>
      </c>
      <c r="BL363" s="319" t="s">
        <v>190</v>
      </c>
      <c r="BM363" s="319" t="s">
        <v>190</v>
      </c>
      <c r="BN363" s="319" t="s">
        <v>190</v>
      </c>
      <c r="BO363" s="319" t="s">
        <v>190</v>
      </c>
      <c r="BP363" s="319" t="s">
        <v>190</v>
      </c>
      <c r="BQ363" s="319" t="s">
        <v>190</v>
      </c>
      <c r="BR363" s="319" t="s">
        <v>190</v>
      </c>
      <c r="BS363" s="319" t="s">
        <v>190</v>
      </c>
      <c r="BT363" s="319" t="s">
        <v>190</v>
      </c>
      <c r="BU363" s="319" t="s">
        <v>190</v>
      </c>
      <c r="BV363" s="319" t="s">
        <v>190</v>
      </c>
      <c r="BW363" s="319" t="s">
        <v>190</v>
      </c>
      <c r="BX363" s="319" t="s">
        <v>190</v>
      </c>
      <c r="BY363" s="319" t="s">
        <v>190</v>
      </c>
      <c r="BZ363" s="319" t="s">
        <v>190</v>
      </c>
      <c r="CA363" s="319" t="s">
        <v>190</v>
      </c>
      <c r="CB363" s="319" t="s">
        <v>190</v>
      </c>
      <c r="CC363" s="319" t="s">
        <v>190</v>
      </c>
      <c r="CD363" s="319" t="s">
        <v>190</v>
      </c>
      <c r="CE363" s="319" t="s">
        <v>190</v>
      </c>
      <c r="CF363" s="319" t="s">
        <v>190</v>
      </c>
      <c r="CG363" s="319" t="s">
        <v>190</v>
      </c>
      <c r="CH363" s="319" t="s">
        <v>190</v>
      </c>
      <c r="CI363" s="319" t="s">
        <v>190</v>
      </c>
      <c r="CJ363" s="319" t="s">
        <v>190</v>
      </c>
      <c r="CK363" s="319" t="s">
        <v>190</v>
      </c>
      <c r="CL363" s="319" t="s">
        <v>190</v>
      </c>
      <c r="CM363" s="319" t="s">
        <v>190</v>
      </c>
      <c r="CN363" s="319" t="s">
        <v>190</v>
      </c>
      <c r="CO363" s="319" t="s">
        <v>190</v>
      </c>
      <c r="CP363" s="319" t="s">
        <v>190</v>
      </c>
      <c r="CQ363" s="319" t="s">
        <v>190</v>
      </c>
      <c r="CR363" s="319" t="s">
        <v>190</v>
      </c>
      <c r="CS363" s="319" t="s">
        <v>190</v>
      </c>
      <c r="CT363" s="319" t="s">
        <v>190</v>
      </c>
      <c r="CU363" s="319" t="s">
        <v>190</v>
      </c>
      <c r="CV363" s="319" t="s">
        <v>190</v>
      </c>
      <c r="CW363" s="319" t="s">
        <v>190</v>
      </c>
      <c r="CX363" s="319" t="s">
        <v>190</v>
      </c>
      <c r="CY363" s="319" t="s">
        <v>190</v>
      </c>
      <c r="CZ363" s="319" t="s">
        <v>190</v>
      </c>
      <c r="DA363" s="319" t="s">
        <v>190</v>
      </c>
      <c r="DB363" s="319" t="s">
        <v>190</v>
      </c>
      <c r="DC363" s="319" t="s">
        <v>190</v>
      </c>
      <c r="DD363" s="319" t="s">
        <v>190</v>
      </c>
      <c r="DE363" s="319" t="s">
        <v>190</v>
      </c>
      <c r="DF363" s="319" t="s">
        <v>190</v>
      </c>
      <c r="DG363" s="319" t="s">
        <v>190</v>
      </c>
      <c r="DH363" s="319" t="s">
        <v>190</v>
      </c>
      <c r="DI363" s="319" t="s">
        <v>190</v>
      </c>
      <c r="DJ363" s="319" t="s">
        <v>190</v>
      </c>
      <c r="DK363" s="319" t="s">
        <v>190</v>
      </c>
      <c r="DL363" s="319" t="s">
        <v>190</v>
      </c>
      <c r="DM363" s="319" t="s">
        <v>190</v>
      </c>
      <c r="DN363" s="319" t="s">
        <v>190</v>
      </c>
      <c r="DO363" s="319" t="s">
        <v>190</v>
      </c>
      <c r="DP363" s="319" t="s">
        <v>190</v>
      </c>
      <c r="DQ363" s="319" t="s">
        <v>190</v>
      </c>
      <c r="DR363" s="319" t="s">
        <v>190</v>
      </c>
      <c r="DS363" s="319" t="s">
        <v>190</v>
      </c>
      <c r="DT363" s="319" t="s">
        <v>190</v>
      </c>
      <c r="DU363" s="319" t="s">
        <v>190</v>
      </c>
      <c r="DV363" s="319" t="s">
        <v>173</v>
      </c>
      <c r="DW363" s="319" t="s">
        <v>190</v>
      </c>
      <c r="DX363" s="319" t="s">
        <v>190</v>
      </c>
      <c r="DY363" s="319" t="s">
        <v>190</v>
      </c>
      <c r="DZ363" s="319" t="s">
        <v>190</v>
      </c>
      <c r="EA363" s="319" t="s">
        <v>190</v>
      </c>
      <c r="EB363" s="319" t="s">
        <v>190</v>
      </c>
      <c r="EC363" s="319" t="s">
        <v>190</v>
      </c>
      <c r="ED363" s="319" t="s">
        <v>190</v>
      </c>
      <c r="EE363" s="319" t="s">
        <v>190</v>
      </c>
      <c r="EF363" s="319" t="s">
        <v>190</v>
      </c>
      <c r="EG363" s="319" t="s">
        <v>190</v>
      </c>
      <c r="EH363" s="319" t="s">
        <v>190</v>
      </c>
      <c r="EI363" s="319" t="s">
        <v>190</v>
      </c>
      <c r="EJ363" s="319" t="s">
        <v>190</v>
      </c>
      <c r="EK363" s="319" t="s">
        <v>190</v>
      </c>
      <c r="EL363" s="319" t="s">
        <v>190</v>
      </c>
      <c r="EM363" s="319" t="s">
        <v>190</v>
      </c>
      <c r="EN363" s="319" t="s">
        <v>190</v>
      </c>
      <c r="EO363" s="319" t="s">
        <v>190</v>
      </c>
      <c r="EP363" s="319" t="s">
        <v>190</v>
      </c>
      <c r="EQ363" s="319" t="s">
        <v>190</v>
      </c>
      <c r="ER363" s="319" t="s">
        <v>190</v>
      </c>
      <c r="ES363" s="319" t="s">
        <v>190</v>
      </c>
      <c r="ET363" s="319" t="s">
        <v>190</v>
      </c>
      <c r="EU363" s="319" t="s">
        <v>190</v>
      </c>
      <c r="EV363" s="319" t="s">
        <v>190</v>
      </c>
      <c r="EW363" s="319" t="s">
        <v>190</v>
      </c>
      <c r="EX363" s="319" t="s">
        <v>190</v>
      </c>
      <c r="EY363" s="319" t="s">
        <v>190</v>
      </c>
      <c r="EZ363" s="319" t="s">
        <v>190</v>
      </c>
      <c r="FA363" s="319" t="s">
        <v>190</v>
      </c>
      <c r="FB363" s="319" t="s">
        <v>190</v>
      </c>
      <c r="FC363" s="319" t="s">
        <v>190</v>
      </c>
      <c r="FD363" s="319" t="s">
        <v>190</v>
      </c>
      <c r="FE363" s="319" t="s">
        <v>190</v>
      </c>
      <c r="FF363" s="319" t="s">
        <v>190</v>
      </c>
      <c r="FG363" s="319" t="s">
        <v>190</v>
      </c>
      <c r="FH363" s="319" t="s">
        <v>190</v>
      </c>
      <c r="FI363" s="319" t="s">
        <v>190</v>
      </c>
      <c r="FJ363" s="319" t="s">
        <v>190</v>
      </c>
      <c r="FK363" s="319" t="s">
        <v>190</v>
      </c>
      <c r="FL363" s="319" t="s">
        <v>190</v>
      </c>
      <c r="FM363" s="319" t="s">
        <v>190</v>
      </c>
      <c r="FN363" s="319" t="s">
        <v>190</v>
      </c>
      <c r="FO363" s="319" t="s">
        <v>190</v>
      </c>
      <c r="FP363" s="319" t="s">
        <v>190</v>
      </c>
      <c r="FQ363" s="319" t="s">
        <v>190</v>
      </c>
      <c r="FR363" s="319" t="s">
        <v>190</v>
      </c>
      <c r="FS363" s="319" t="s">
        <v>190</v>
      </c>
      <c r="FT363" s="319" t="s">
        <v>190</v>
      </c>
      <c r="FU363" s="319" t="s">
        <v>190</v>
      </c>
      <c r="FV363" s="319" t="s">
        <v>190</v>
      </c>
      <c r="FW363" s="319" t="s">
        <v>190</v>
      </c>
      <c r="FX363" s="319" t="s">
        <v>190</v>
      </c>
      <c r="FY363" s="319" t="s">
        <v>190</v>
      </c>
      <c r="FZ363" s="319" t="s">
        <v>190</v>
      </c>
      <c r="GA363" s="319" t="s">
        <v>190</v>
      </c>
      <c r="GB363" s="319" t="s">
        <v>190</v>
      </c>
      <c r="GC363" s="319" t="s">
        <v>190</v>
      </c>
      <c r="GD363" s="319" t="s">
        <v>190</v>
      </c>
      <c r="GE363" s="319" t="s">
        <v>190</v>
      </c>
      <c r="GF363" s="319" t="s">
        <v>190</v>
      </c>
      <c r="GG363" s="319" t="s">
        <v>190</v>
      </c>
      <c r="GH363" s="319" t="s">
        <v>190</v>
      </c>
      <c r="GI363" s="319" t="s">
        <v>190</v>
      </c>
      <c r="GJ363" s="319" t="s">
        <v>190</v>
      </c>
      <c r="GK363" s="319" t="s">
        <v>190</v>
      </c>
      <c r="GL363" s="319" t="s">
        <v>190</v>
      </c>
      <c r="GM363" s="319" t="s">
        <v>190</v>
      </c>
      <c r="GN363" s="319" t="s">
        <v>190</v>
      </c>
      <c r="GO363" s="319" t="s">
        <v>190</v>
      </c>
      <c r="GP363" s="319" t="s">
        <v>190</v>
      </c>
      <c r="GQ363" s="319" t="s">
        <v>190</v>
      </c>
      <c r="GR363" s="319" t="s">
        <v>190</v>
      </c>
      <c r="GS363" s="319" t="s">
        <v>190</v>
      </c>
      <c r="GT363" s="319" t="s">
        <v>190</v>
      </c>
      <c r="GU363" s="319" t="s">
        <v>190</v>
      </c>
      <c r="GV363" s="319" t="s">
        <v>190</v>
      </c>
      <c r="GW363" s="319" t="s">
        <v>190</v>
      </c>
      <c r="GX363" s="319" t="s">
        <v>190</v>
      </c>
      <c r="GY363" s="319" t="s">
        <v>190</v>
      </c>
      <c r="GZ363" s="319" t="s">
        <v>190</v>
      </c>
      <c r="HA363" s="319" t="s">
        <v>190</v>
      </c>
      <c r="HB363" s="319" t="s">
        <v>190</v>
      </c>
      <c r="HC363" s="319" t="s">
        <v>190</v>
      </c>
      <c r="HD363" s="319" t="s">
        <v>190</v>
      </c>
      <c r="HE363" s="319" t="s">
        <v>190</v>
      </c>
      <c r="HF363" s="319" t="s">
        <v>190</v>
      </c>
      <c r="HG363" s="319" t="s">
        <v>190</v>
      </c>
      <c r="HH363" s="319" t="s">
        <v>190</v>
      </c>
      <c r="HI363" s="319" t="s">
        <v>190</v>
      </c>
      <c r="HJ363" s="319" t="s">
        <v>190</v>
      </c>
      <c r="HK363" s="319" t="s">
        <v>190</v>
      </c>
      <c r="HL363" s="319" t="s">
        <v>190</v>
      </c>
      <c r="HM363" s="319" t="s">
        <v>190</v>
      </c>
      <c r="HN363" s="319" t="s">
        <v>190</v>
      </c>
      <c r="HO363" s="319" t="s">
        <v>190</v>
      </c>
      <c r="HP363" s="319" t="s">
        <v>190</v>
      </c>
      <c r="HQ363" s="319" t="s">
        <v>190</v>
      </c>
      <c r="HR363" s="319" t="s">
        <v>190</v>
      </c>
      <c r="HS363" s="319" t="s">
        <v>190</v>
      </c>
      <c r="HT363" s="319" t="s">
        <v>190</v>
      </c>
      <c r="HU363" s="319" t="s">
        <v>190</v>
      </c>
      <c r="HV363" s="319" t="s">
        <v>190</v>
      </c>
      <c r="HW363" s="319" t="s">
        <v>190</v>
      </c>
      <c r="HX363" s="319" t="s">
        <v>190</v>
      </c>
      <c r="HY363" s="319" t="s">
        <v>190</v>
      </c>
      <c r="HZ363" s="319" t="s">
        <v>190</v>
      </c>
      <c r="IA363" s="319" t="s">
        <v>190</v>
      </c>
      <c r="IB363" s="319" t="s">
        <v>190</v>
      </c>
      <c r="IC363" s="319" t="s">
        <v>190</v>
      </c>
      <c r="ID363" s="319" t="s">
        <v>190</v>
      </c>
      <c r="IE363" s="319" t="s">
        <v>190</v>
      </c>
      <c r="IF363" s="319" t="s">
        <v>190</v>
      </c>
      <c r="IG363" s="319" t="s">
        <v>190</v>
      </c>
      <c r="IH363" s="319" t="s">
        <v>190</v>
      </c>
      <c r="II363" s="319" t="s">
        <v>190</v>
      </c>
      <c r="IJ363" s="319" t="s">
        <v>3144</v>
      </c>
      <c r="IK363" s="321">
        <v>41556</v>
      </c>
      <c r="IL363" s="321">
        <v>41558</v>
      </c>
      <c r="IM363" s="321">
        <v>41585</v>
      </c>
      <c r="IN363" s="319">
        <v>2</v>
      </c>
      <c r="IO363" s="319" t="s">
        <v>173</v>
      </c>
      <c r="IP363" s="319" t="s">
        <v>173</v>
      </c>
      <c r="IQ363" s="319" t="s">
        <v>173</v>
      </c>
      <c r="IR363" s="320" t="s">
        <v>173</v>
      </c>
      <c r="IS363" s="320" t="s">
        <v>173</v>
      </c>
      <c r="IT363" s="319" t="s">
        <v>173</v>
      </c>
    </row>
    <row r="364" spans="1:254" s="271" customFormat="1" x14ac:dyDescent="0.25">
      <c r="A364" s="318" t="str">
        <f>HYPERLINK("http://www.ofsted.gov.uk/inspection-reports/find-inspection-report/provider/ELS/132066 ","Ofsted School Webpage")</f>
        <v>Ofsted School Webpage</v>
      </c>
      <c r="B364" s="319">
        <v>132066</v>
      </c>
      <c r="C364" s="319">
        <v>2036299</v>
      </c>
      <c r="D364" s="319" t="s">
        <v>730</v>
      </c>
      <c r="E364" s="319" t="s">
        <v>167</v>
      </c>
      <c r="F364" s="319" t="s">
        <v>81</v>
      </c>
      <c r="G364" s="319" t="s">
        <v>81</v>
      </c>
      <c r="H364" s="319" t="s">
        <v>81</v>
      </c>
      <c r="I364" s="319" t="s">
        <v>78</v>
      </c>
      <c r="J364" s="319" t="s">
        <v>424</v>
      </c>
      <c r="K364" s="319" t="s">
        <v>441</v>
      </c>
      <c r="L364" s="319" t="s">
        <v>441</v>
      </c>
      <c r="M364" s="319" t="s">
        <v>731</v>
      </c>
      <c r="N364" s="319" t="s">
        <v>3145</v>
      </c>
      <c r="O364" s="319" t="s">
        <v>732</v>
      </c>
      <c r="P364" s="319">
        <v>178</v>
      </c>
      <c r="Q364" s="319" t="s">
        <v>2766</v>
      </c>
      <c r="R364" s="320">
        <v>10085335</v>
      </c>
      <c r="S364" s="321">
        <v>43431</v>
      </c>
      <c r="T364" s="321">
        <v>43433</v>
      </c>
      <c r="U364" s="321">
        <v>43494</v>
      </c>
      <c r="V364" s="319" t="s">
        <v>425</v>
      </c>
      <c r="W364" s="319" t="s">
        <v>2767</v>
      </c>
      <c r="X364" s="319">
        <v>3</v>
      </c>
      <c r="Y364" s="319" t="s">
        <v>173</v>
      </c>
      <c r="Z364" s="319" t="s">
        <v>173</v>
      </c>
      <c r="AA364" s="319" t="s">
        <v>173</v>
      </c>
      <c r="AB364" s="319">
        <v>2</v>
      </c>
      <c r="AC364" s="319" t="s">
        <v>169</v>
      </c>
      <c r="AD364" s="319">
        <v>1</v>
      </c>
      <c r="AE364" s="319" t="s">
        <v>173</v>
      </c>
      <c r="AF364" s="319" t="s">
        <v>427</v>
      </c>
      <c r="AG364" s="319" t="s">
        <v>171</v>
      </c>
      <c r="AH364" s="319" t="s">
        <v>190</v>
      </c>
      <c r="AI364" s="319" t="s">
        <v>190</v>
      </c>
      <c r="AJ364" s="319" t="s">
        <v>190</v>
      </c>
      <c r="AK364" s="319" t="s">
        <v>190</v>
      </c>
      <c r="AL364" s="319" t="s">
        <v>190</v>
      </c>
      <c r="AM364" s="319" t="s">
        <v>190</v>
      </c>
      <c r="AN364" s="319" t="s">
        <v>190</v>
      </c>
      <c r="AO364" s="319" t="s">
        <v>190</v>
      </c>
      <c r="AP364" s="319" t="s">
        <v>190</v>
      </c>
      <c r="AQ364" s="319" t="s">
        <v>190</v>
      </c>
      <c r="AR364" s="319" t="s">
        <v>190</v>
      </c>
      <c r="AS364" s="319" t="s">
        <v>190</v>
      </c>
      <c r="AT364" s="319" t="s">
        <v>190</v>
      </c>
      <c r="AU364" s="319" t="s">
        <v>190</v>
      </c>
      <c r="AV364" s="319" t="s">
        <v>190</v>
      </c>
      <c r="AW364" s="319" t="s">
        <v>190</v>
      </c>
      <c r="AX364" s="319" t="s">
        <v>428</v>
      </c>
      <c r="AY364" s="319" t="s">
        <v>190</v>
      </c>
      <c r="AZ364" s="319" t="s">
        <v>190</v>
      </c>
      <c r="BA364" s="319" t="s">
        <v>190</v>
      </c>
      <c r="BB364" s="319" t="s">
        <v>190</v>
      </c>
      <c r="BC364" s="319" t="s">
        <v>190</v>
      </c>
      <c r="BD364" s="319" t="s">
        <v>190</v>
      </c>
      <c r="BE364" s="319" t="s">
        <v>190</v>
      </c>
      <c r="BF364" s="319" t="s">
        <v>190</v>
      </c>
      <c r="BG364" s="319" t="s">
        <v>190</v>
      </c>
      <c r="BH364" s="319" t="s">
        <v>190</v>
      </c>
      <c r="BI364" s="319" t="s">
        <v>190</v>
      </c>
      <c r="BJ364" s="319" t="s">
        <v>190</v>
      </c>
      <c r="BK364" s="319" t="s">
        <v>190</v>
      </c>
      <c r="BL364" s="319" t="s">
        <v>190</v>
      </c>
      <c r="BM364" s="319" t="s">
        <v>190</v>
      </c>
      <c r="BN364" s="319" t="s">
        <v>190</v>
      </c>
      <c r="BO364" s="319" t="s">
        <v>190</v>
      </c>
      <c r="BP364" s="319" t="s">
        <v>190</v>
      </c>
      <c r="BQ364" s="319" t="s">
        <v>190</v>
      </c>
      <c r="BR364" s="319" t="s">
        <v>190</v>
      </c>
      <c r="BS364" s="319" t="s">
        <v>190</v>
      </c>
      <c r="BT364" s="319" t="s">
        <v>190</v>
      </c>
      <c r="BU364" s="319" t="s">
        <v>190</v>
      </c>
      <c r="BV364" s="319" t="s">
        <v>190</v>
      </c>
      <c r="BW364" s="319" t="s">
        <v>190</v>
      </c>
      <c r="BX364" s="319" t="s">
        <v>190</v>
      </c>
      <c r="BY364" s="319" t="s">
        <v>190</v>
      </c>
      <c r="BZ364" s="319" t="s">
        <v>190</v>
      </c>
      <c r="CA364" s="319" t="s">
        <v>190</v>
      </c>
      <c r="CB364" s="319" t="s">
        <v>190</v>
      </c>
      <c r="CC364" s="319" t="s">
        <v>190</v>
      </c>
      <c r="CD364" s="319" t="s">
        <v>190</v>
      </c>
      <c r="CE364" s="319" t="s">
        <v>190</v>
      </c>
      <c r="CF364" s="319" t="s">
        <v>190</v>
      </c>
      <c r="CG364" s="319" t="s">
        <v>190</v>
      </c>
      <c r="CH364" s="319" t="s">
        <v>190</v>
      </c>
      <c r="CI364" s="319" t="s">
        <v>190</v>
      </c>
      <c r="CJ364" s="319" t="s">
        <v>190</v>
      </c>
      <c r="CK364" s="319" t="s">
        <v>190</v>
      </c>
      <c r="CL364" s="319" t="s">
        <v>190</v>
      </c>
      <c r="CM364" s="319" t="s">
        <v>190</v>
      </c>
      <c r="CN364" s="319" t="s">
        <v>190</v>
      </c>
      <c r="CO364" s="319" t="s">
        <v>428</v>
      </c>
      <c r="CP364" s="319" t="s">
        <v>428</v>
      </c>
      <c r="CQ364" s="319" t="s">
        <v>190</v>
      </c>
      <c r="CR364" s="319" t="s">
        <v>190</v>
      </c>
      <c r="CS364" s="319" t="s">
        <v>190</v>
      </c>
      <c r="CT364" s="319" t="s">
        <v>190</v>
      </c>
      <c r="CU364" s="319" t="s">
        <v>190</v>
      </c>
      <c r="CV364" s="319" t="s">
        <v>190</v>
      </c>
      <c r="CW364" s="319" t="s">
        <v>190</v>
      </c>
      <c r="CX364" s="319" t="s">
        <v>190</v>
      </c>
      <c r="CY364" s="319" t="s">
        <v>190</v>
      </c>
      <c r="CZ364" s="319" t="s">
        <v>190</v>
      </c>
      <c r="DA364" s="319" t="s">
        <v>190</v>
      </c>
      <c r="DB364" s="319" t="s">
        <v>190</v>
      </c>
      <c r="DC364" s="319" t="s">
        <v>190</v>
      </c>
      <c r="DD364" s="319" t="s">
        <v>190</v>
      </c>
      <c r="DE364" s="319" t="s">
        <v>190</v>
      </c>
      <c r="DF364" s="319" t="s">
        <v>190</v>
      </c>
      <c r="DG364" s="319" t="s">
        <v>190</v>
      </c>
      <c r="DH364" s="319" t="s">
        <v>190</v>
      </c>
      <c r="DI364" s="319" t="s">
        <v>190</v>
      </c>
      <c r="DJ364" s="319" t="s">
        <v>190</v>
      </c>
      <c r="DK364" s="319" t="s">
        <v>190</v>
      </c>
      <c r="DL364" s="319" t="s">
        <v>190</v>
      </c>
      <c r="DM364" s="319" t="s">
        <v>190</v>
      </c>
      <c r="DN364" s="319" t="s">
        <v>428</v>
      </c>
      <c r="DO364" s="319" t="s">
        <v>190</v>
      </c>
      <c r="DP364" s="319" t="s">
        <v>190</v>
      </c>
      <c r="DQ364" s="319" t="s">
        <v>190</v>
      </c>
      <c r="DR364" s="319" t="s">
        <v>190</v>
      </c>
      <c r="DS364" s="319" t="s">
        <v>190</v>
      </c>
      <c r="DT364" s="319" t="s">
        <v>190</v>
      </c>
      <c r="DU364" s="319" t="s">
        <v>190</v>
      </c>
      <c r="DV364" s="319" t="s">
        <v>173</v>
      </c>
      <c r="DW364" s="319" t="s">
        <v>190</v>
      </c>
      <c r="DX364" s="319" t="s">
        <v>190</v>
      </c>
      <c r="DY364" s="319" t="s">
        <v>190</v>
      </c>
      <c r="DZ364" s="319" t="s">
        <v>190</v>
      </c>
      <c r="EA364" s="319" t="s">
        <v>190</v>
      </c>
      <c r="EB364" s="319" t="s">
        <v>190</v>
      </c>
      <c r="EC364" s="319" t="s">
        <v>428</v>
      </c>
      <c r="ED364" s="319" t="s">
        <v>190</v>
      </c>
      <c r="EE364" s="319" t="s">
        <v>190</v>
      </c>
      <c r="EF364" s="319" t="s">
        <v>190</v>
      </c>
      <c r="EG364" s="319" t="s">
        <v>190</v>
      </c>
      <c r="EH364" s="319" t="s">
        <v>190</v>
      </c>
      <c r="EI364" s="319" t="s">
        <v>190</v>
      </c>
      <c r="EJ364" s="319" t="s">
        <v>190</v>
      </c>
      <c r="EK364" s="319" t="s">
        <v>190</v>
      </c>
      <c r="EL364" s="319" t="s">
        <v>190</v>
      </c>
      <c r="EM364" s="319" t="s">
        <v>190</v>
      </c>
      <c r="EN364" s="319" t="s">
        <v>190</v>
      </c>
      <c r="EO364" s="319" t="s">
        <v>190</v>
      </c>
      <c r="EP364" s="319" t="s">
        <v>190</v>
      </c>
      <c r="EQ364" s="319" t="s">
        <v>190</v>
      </c>
      <c r="ER364" s="319" t="s">
        <v>190</v>
      </c>
      <c r="ES364" s="319" t="s">
        <v>190</v>
      </c>
      <c r="ET364" s="319" t="s">
        <v>190</v>
      </c>
      <c r="EU364" s="319" t="s">
        <v>190</v>
      </c>
      <c r="EV364" s="319" t="s">
        <v>190</v>
      </c>
      <c r="EW364" s="319" t="s">
        <v>190</v>
      </c>
      <c r="EX364" s="319" t="s">
        <v>190</v>
      </c>
      <c r="EY364" s="319" t="s">
        <v>190</v>
      </c>
      <c r="EZ364" s="319" t="s">
        <v>190</v>
      </c>
      <c r="FA364" s="319" t="s">
        <v>190</v>
      </c>
      <c r="FB364" s="319" t="s">
        <v>190</v>
      </c>
      <c r="FC364" s="319" t="s">
        <v>190</v>
      </c>
      <c r="FD364" s="319" t="s">
        <v>190</v>
      </c>
      <c r="FE364" s="319" t="s">
        <v>190</v>
      </c>
      <c r="FF364" s="319" t="s">
        <v>190</v>
      </c>
      <c r="FG364" s="319" t="s">
        <v>190</v>
      </c>
      <c r="FH364" s="319" t="s">
        <v>190</v>
      </c>
      <c r="FI364" s="319" t="s">
        <v>190</v>
      </c>
      <c r="FJ364" s="319" t="s">
        <v>190</v>
      </c>
      <c r="FK364" s="319" t="s">
        <v>190</v>
      </c>
      <c r="FL364" s="319" t="s">
        <v>190</v>
      </c>
      <c r="FM364" s="319" t="s">
        <v>190</v>
      </c>
      <c r="FN364" s="319" t="s">
        <v>190</v>
      </c>
      <c r="FO364" s="319" t="s">
        <v>190</v>
      </c>
      <c r="FP364" s="319" t="s">
        <v>190</v>
      </c>
      <c r="FQ364" s="319" t="s">
        <v>190</v>
      </c>
      <c r="FR364" s="319" t="s">
        <v>190</v>
      </c>
      <c r="FS364" s="319" t="s">
        <v>428</v>
      </c>
      <c r="FT364" s="319" t="s">
        <v>190</v>
      </c>
      <c r="FU364" s="319" t="s">
        <v>190</v>
      </c>
      <c r="FV364" s="319" t="s">
        <v>190</v>
      </c>
      <c r="FW364" s="319" t="s">
        <v>190</v>
      </c>
      <c r="FX364" s="319" t="s">
        <v>190</v>
      </c>
      <c r="FY364" s="319" t="s">
        <v>190</v>
      </c>
      <c r="FZ364" s="319" t="s">
        <v>190</v>
      </c>
      <c r="GA364" s="319" t="s">
        <v>190</v>
      </c>
      <c r="GB364" s="319" t="s">
        <v>190</v>
      </c>
      <c r="GC364" s="319" t="s">
        <v>190</v>
      </c>
      <c r="GD364" s="319" t="s">
        <v>190</v>
      </c>
      <c r="GE364" s="319" t="s">
        <v>190</v>
      </c>
      <c r="GF364" s="319" t="s">
        <v>190</v>
      </c>
      <c r="GG364" s="319" t="s">
        <v>190</v>
      </c>
      <c r="GH364" s="319" t="s">
        <v>190</v>
      </c>
      <c r="GI364" s="319" t="s">
        <v>190</v>
      </c>
      <c r="GJ364" s="319" t="s">
        <v>190</v>
      </c>
      <c r="GK364" s="319" t="s">
        <v>428</v>
      </c>
      <c r="GL364" s="319" t="s">
        <v>190</v>
      </c>
      <c r="GM364" s="319" t="s">
        <v>190</v>
      </c>
      <c r="GN364" s="319" t="s">
        <v>190</v>
      </c>
      <c r="GO364" s="319" t="s">
        <v>190</v>
      </c>
      <c r="GP364" s="319" t="s">
        <v>190</v>
      </c>
      <c r="GQ364" s="319" t="s">
        <v>190</v>
      </c>
      <c r="GR364" s="319" t="s">
        <v>190</v>
      </c>
      <c r="GS364" s="319" t="s">
        <v>190</v>
      </c>
      <c r="GT364" s="319" t="s">
        <v>190</v>
      </c>
      <c r="GU364" s="319" t="s">
        <v>190</v>
      </c>
      <c r="GV364" s="319" t="s">
        <v>190</v>
      </c>
      <c r="GW364" s="319" t="s">
        <v>190</v>
      </c>
      <c r="GX364" s="319" t="s">
        <v>190</v>
      </c>
      <c r="GY364" s="319" t="s">
        <v>190</v>
      </c>
      <c r="GZ364" s="319" t="s">
        <v>428</v>
      </c>
      <c r="HA364" s="319" t="s">
        <v>190</v>
      </c>
      <c r="HB364" s="319" t="s">
        <v>190</v>
      </c>
      <c r="HC364" s="319" t="s">
        <v>190</v>
      </c>
      <c r="HD364" s="319" t="s">
        <v>190</v>
      </c>
      <c r="HE364" s="319" t="s">
        <v>190</v>
      </c>
      <c r="HF364" s="319" t="s">
        <v>190</v>
      </c>
      <c r="HG364" s="319" t="s">
        <v>190</v>
      </c>
      <c r="HH364" s="319" t="s">
        <v>190</v>
      </c>
      <c r="HI364" s="319" t="s">
        <v>190</v>
      </c>
      <c r="HJ364" s="319" t="s">
        <v>190</v>
      </c>
      <c r="HK364" s="319" t="s">
        <v>190</v>
      </c>
      <c r="HL364" s="319" t="s">
        <v>190</v>
      </c>
      <c r="HM364" s="319" t="s">
        <v>190</v>
      </c>
      <c r="HN364" s="319" t="s">
        <v>190</v>
      </c>
      <c r="HO364" s="319" t="s">
        <v>190</v>
      </c>
      <c r="HP364" s="319" t="s">
        <v>190</v>
      </c>
      <c r="HQ364" s="319" t="s">
        <v>190</v>
      </c>
      <c r="HR364" s="319" t="s">
        <v>190</v>
      </c>
      <c r="HS364" s="319" t="s">
        <v>190</v>
      </c>
      <c r="HT364" s="319" t="s">
        <v>190</v>
      </c>
      <c r="HU364" s="319" t="s">
        <v>190</v>
      </c>
      <c r="HV364" s="319" t="s">
        <v>190</v>
      </c>
      <c r="HW364" s="319" t="s">
        <v>190</v>
      </c>
      <c r="HX364" s="319" t="s">
        <v>190</v>
      </c>
      <c r="HY364" s="319" t="s">
        <v>190</v>
      </c>
      <c r="HZ364" s="319" t="s">
        <v>190</v>
      </c>
      <c r="IA364" s="319" t="s">
        <v>190</v>
      </c>
      <c r="IB364" s="319" t="s">
        <v>190</v>
      </c>
      <c r="IC364" s="319" t="s">
        <v>190</v>
      </c>
      <c r="ID364" s="319" t="s">
        <v>190</v>
      </c>
      <c r="IE364" s="319" t="s">
        <v>190</v>
      </c>
      <c r="IF364" s="319" t="s">
        <v>190</v>
      </c>
      <c r="IG364" s="319" t="s">
        <v>190</v>
      </c>
      <c r="IH364" s="319" t="s">
        <v>190</v>
      </c>
      <c r="II364" s="319" t="s">
        <v>190</v>
      </c>
      <c r="IJ364" s="319" t="s">
        <v>3146</v>
      </c>
      <c r="IK364" s="321">
        <v>39217</v>
      </c>
      <c r="IL364" s="321">
        <v>39218</v>
      </c>
      <c r="IM364" s="321">
        <v>39244</v>
      </c>
      <c r="IN364" s="319">
        <v>2</v>
      </c>
      <c r="IO364" s="319" t="s">
        <v>173</v>
      </c>
      <c r="IP364" s="319" t="s">
        <v>173</v>
      </c>
      <c r="IQ364" s="319" t="s">
        <v>173</v>
      </c>
      <c r="IR364" s="320" t="s">
        <v>173</v>
      </c>
      <c r="IS364" s="320" t="s">
        <v>173</v>
      </c>
      <c r="IT364" s="319" t="s">
        <v>173</v>
      </c>
    </row>
    <row r="365" spans="1:254" s="271" customFormat="1" x14ac:dyDescent="0.25">
      <c r="A365" s="318" t="str">
        <f>HYPERLINK("http://www.ofsted.gov.uk/inspection-reports/find-inspection-report/provider/ELS/132069 ","Ofsted School Webpage")</f>
        <v>Ofsted School Webpage</v>
      </c>
      <c r="B365" s="319">
        <v>132069</v>
      </c>
      <c r="C365" s="319">
        <v>9386258</v>
      </c>
      <c r="D365" s="319" t="s">
        <v>1707</v>
      </c>
      <c r="E365" s="319" t="s">
        <v>168</v>
      </c>
      <c r="F365" s="319" t="s">
        <v>81</v>
      </c>
      <c r="G365" s="319" t="s">
        <v>81</v>
      </c>
      <c r="H365" s="319" t="s">
        <v>81</v>
      </c>
      <c r="I365" s="319" t="s">
        <v>78</v>
      </c>
      <c r="J365" s="319" t="s">
        <v>424</v>
      </c>
      <c r="K365" s="319" t="s">
        <v>514</v>
      </c>
      <c r="L365" s="319" t="s">
        <v>514</v>
      </c>
      <c r="M365" s="319" t="s">
        <v>737</v>
      </c>
      <c r="N365" s="319" t="s">
        <v>3051</v>
      </c>
      <c r="O365" s="319" t="s">
        <v>1708</v>
      </c>
      <c r="P365" s="319">
        <v>24</v>
      </c>
      <c r="Q365" s="319" t="s">
        <v>429</v>
      </c>
      <c r="R365" s="320">
        <v>10026017</v>
      </c>
      <c r="S365" s="321">
        <v>43067</v>
      </c>
      <c r="T365" s="321">
        <v>43069</v>
      </c>
      <c r="U365" s="321">
        <v>43126</v>
      </c>
      <c r="V365" s="319" t="s">
        <v>425</v>
      </c>
      <c r="W365" s="319" t="s">
        <v>2767</v>
      </c>
      <c r="X365" s="319">
        <v>1</v>
      </c>
      <c r="Y365" s="319" t="s">
        <v>173</v>
      </c>
      <c r="Z365" s="319" t="s">
        <v>173</v>
      </c>
      <c r="AA365" s="319" t="s">
        <v>173</v>
      </c>
      <c r="AB365" s="319">
        <v>1</v>
      </c>
      <c r="AC365" s="319" t="s">
        <v>169</v>
      </c>
      <c r="AD365" s="319" t="s">
        <v>173</v>
      </c>
      <c r="AE365" s="319">
        <v>1</v>
      </c>
      <c r="AF365" s="319" t="s">
        <v>427</v>
      </c>
      <c r="AG365" s="319" t="s">
        <v>171</v>
      </c>
      <c r="AH365" s="319" t="s">
        <v>190</v>
      </c>
      <c r="AI365" s="319" t="s">
        <v>190</v>
      </c>
      <c r="AJ365" s="319" t="s">
        <v>190</v>
      </c>
      <c r="AK365" s="319" t="s">
        <v>190</v>
      </c>
      <c r="AL365" s="319" t="s">
        <v>190</v>
      </c>
      <c r="AM365" s="319" t="s">
        <v>190</v>
      </c>
      <c r="AN365" s="319" t="s">
        <v>190</v>
      </c>
      <c r="AO365" s="319" t="s">
        <v>190</v>
      </c>
      <c r="AP365" s="319" t="s">
        <v>190</v>
      </c>
      <c r="AQ365" s="319" t="s">
        <v>190</v>
      </c>
      <c r="AR365" s="319" t="s">
        <v>190</v>
      </c>
      <c r="AS365" s="319" t="s">
        <v>190</v>
      </c>
      <c r="AT365" s="319" t="s">
        <v>190</v>
      </c>
      <c r="AU365" s="319" t="s">
        <v>190</v>
      </c>
      <c r="AV365" s="319" t="s">
        <v>190</v>
      </c>
      <c r="AW365" s="319" t="s">
        <v>190</v>
      </c>
      <c r="AX365" s="319" t="s">
        <v>428</v>
      </c>
      <c r="AY365" s="319" t="s">
        <v>190</v>
      </c>
      <c r="AZ365" s="319" t="s">
        <v>190</v>
      </c>
      <c r="BA365" s="319" t="s">
        <v>190</v>
      </c>
      <c r="BB365" s="319" t="s">
        <v>190</v>
      </c>
      <c r="BC365" s="319" t="s">
        <v>190</v>
      </c>
      <c r="BD365" s="319" t="s">
        <v>190</v>
      </c>
      <c r="BE365" s="319" t="s">
        <v>190</v>
      </c>
      <c r="BF365" s="319" t="s">
        <v>428</v>
      </c>
      <c r="BG365" s="319" t="s">
        <v>190</v>
      </c>
      <c r="BH365" s="319" t="s">
        <v>190</v>
      </c>
      <c r="BI365" s="319" t="s">
        <v>190</v>
      </c>
      <c r="BJ365" s="319" t="s">
        <v>190</v>
      </c>
      <c r="BK365" s="319" t="s">
        <v>190</v>
      </c>
      <c r="BL365" s="319" t="s">
        <v>190</v>
      </c>
      <c r="BM365" s="319" t="s">
        <v>190</v>
      </c>
      <c r="BN365" s="319" t="s">
        <v>190</v>
      </c>
      <c r="BO365" s="319" t="s">
        <v>190</v>
      </c>
      <c r="BP365" s="319" t="s">
        <v>190</v>
      </c>
      <c r="BQ365" s="319" t="s">
        <v>190</v>
      </c>
      <c r="BR365" s="319" t="s">
        <v>190</v>
      </c>
      <c r="BS365" s="319" t="s">
        <v>190</v>
      </c>
      <c r="BT365" s="319" t="s">
        <v>190</v>
      </c>
      <c r="BU365" s="319" t="s">
        <v>190</v>
      </c>
      <c r="BV365" s="319" t="s">
        <v>190</v>
      </c>
      <c r="BW365" s="319" t="s">
        <v>190</v>
      </c>
      <c r="BX365" s="319" t="s">
        <v>190</v>
      </c>
      <c r="BY365" s="319" t="s">
        <v>190</v>
      </c>
      <c r="BZ365" s="319" t="s">
        <v>190</v>
      </c>
      <c r="CA365" s="319" t="s">
        <v>190</v>
      </c>
      <c r="CB365" s="319" t="s">
        <v>190</v>
      </c>
      <c r="CC365" s="319" t="s">
        <v>190</v>
      </c>
      <c r="CD365" s="319" t="s">
        <v>190</v>
      </c>
      <c r="CE365" s="319" t="s">
        <v>190</v>
      </c>
      <c r="CF365" s="319" t="s">
        <v>190</v>
      </c>
      <c r="CG365" s="319" t="s">
        <v>190</v>
      </c>
      <c r="CH365" s="319" t="s">
        <v>190</v>
      </c>
      <c r="CI365" s="319" t="s">
        <v>190</v>
      </c>
      <c r="CJ365" s="319" t="s">
        <v>190</v>
      </c>
      <c r="CK365" s="319" t="s">
        <v>190</v>
      </c>
      <c r="CL365" s="319" t="s">
        <v>190</v>
      </c>
      <c r="CM365" s="319" t="s">
        <v>190</v>
      </c>
      <c r="CN365" s="319" t="s">
        <v>190</v>
      </c>
      <c r="CO365" s="319" t="s">
        <v>428</v>
      </c>
      <c r="CP365" s="319" t="s">
        <v>428</v>
      </c>
      <c r="CQ365" s="319" t="s">
        <v>190</v>
      </c>
      <c r="CR365" s="319" t="s">
        <v>190</v>
      </c>
      <c r="CS365" s="319" t="s">
        <v>190</v>
      </c>
      <c r="CT365" s="319" t="s">
        <v>190</v>
      </c>
      <c r="CU365" s="319" t="s">
        <v>190</v>
      </c>
      <c r="CV365" s="319" t="s">
        <v>190</v>
      </c>
      <c r="CW365" s="319" t="s">
        <v>190</v>
      </c>
      <c r="CX365" s="319" t="s">
        <v>190</v>
      </c>
      <c r="CY365" s="319" t="s">
        <v>190</v>
      </c>
      <c r="CZ365" s="319" t="s">
        <v>190</v>
      </c>
      <c r="DA365" s="319" t="s">
        <v>190</v>
      </c>
      <c r="DB365" s="319" t="s">
        <v>190</v>
      </c>
      <c r="DC365" s="319" t="s">
        <v>190</v>
      </c>
      <c r="DD365" s="319" t="s">
        <v>190</v>
      </c>
      <c r="DE365" s="319" t="s">
        <v>190</v>
      </c>
      <c r="DF365" s="319" t="s">
        <v>190</v>
      </c>
      <c r="DG365" s="319" t="s">
        <v>190</v>
      </c>
      <c r="DH365" s="319" t="s">
        <v>190</v>
      </c>
      <c r="DI365" s="319" t="s">
        <v>190</v>
      </c>
      <c r="DJ365" s="319" t="s">
        <v>190</v>
      </c>
      <c r="DK365" s="319" t="s">
        <v>190</v>
      </c>
      <c r="DL365" s="319" t="s">
        <v>190</v>
      </c>
      <c r="DM365" s="319" t="s">
        <v>190</v>
      </c>
      <c r="DN365" s="319" t="s">
        <v>428</v>
      </c>
      <c r="DO365" s="319" t="s">
        <v>190</v>
      </c>
      <c r="DP365" s="319" t="s">
        <v>190</v>
      </c>
      <c r="DQ365" s="319" t="s">
        <v>190</v>
      </c>
      <c r="DR365" s="319" t="s">
        <v>190</v>
      </c>
      <c r="DS365" s="319" t="s">
        <v>190</v>
      </c>
      <c r="DT365" s="319" t="s">
        <v>190</v>
      </c>
      <c r="DU365" s="319" t="s">
        <v>190</v>
      </c>
      <c r="DV365" s="319" t="s">
        <v>173</v>
      </c>
      <c r="DW365" s="319" t="s">
        <v>190</v>
      </c>
      <c r="DX365" s="319" t="s">
        <v>190</v>
      </c>
      <c r="DY365" s="319" t="s">
        <v>190</v>
      </c>
      <c r="DZ365" s="319" t="s">
        <v>190</v>
      </c>
      <c r="EA365" s="319" t="s">
        <v>190</v>
      </c>
      <c r="EB365" s="319" t="s">
        <v>190</v>
      </c>
      <c r="EC365" s="319" t="s">
        <v>428</v>
      </c>
      <c r="ED365" s="319" t="s">
        <v>428</v>
      </c>
      <c r="EE365" s="319" t="s">
        <v>190</v>
      </c>
      <c r="EF365" s="319" t="s">
        <v>190</v>
      </c>
      <c r="EG365" s="319" t="s">
        <v>190</v>
      </c>
      <c r="EH365" s="319" t="s">
        <v>190</v>
      </c>
      <c r="EI365" s="319" t="s">
        <v>190</v>
      </c>
      <c r="EJ365" s="319" t="s">
        <v>190</v>
      </c>
      <c r="EK365" s="319" t="s">
        <v>190</v>
      </c>
      <c r="EL365" s="319" t="s">
        <v>190</v>
      </c>
      <c r="EM365" s="319" t="s">
        <v>190</v>
      </c>
      <c r="EN365" s="319" t="s">
        <v>190</v>
      </c>
      <c r="EO365" s="319" t="s">
        <v>190</v>
      </c>
      <c r="EP365" s="319" t="s">
        <v>190</v>
      </c>
      <c r="EQ365" s="319" t="s">
        <v>190</v>
      </c>
      <c r="ER365" s="319" t="s">
        <v>190</v>
      </c>
      <c r="ES365" s="319" t="s">
        <v>190</v>
      </c>
      <c r="ET365" s="319" t="s">
        <v>190</v>
      </c>
      <c r="EU365" s="319" t="s">
        <v>190</v>
      </c>
      <c r="EV365" s="319" t="s">
        <v>190</v>
      </c>
      <c r="EW365" s="319" t="s">
        <v>190</v>
      </c>
      <c r="EX365" s="319" t="s">
        <v>190</v>
      </c>
      <c r="EY365" s="319" t="s">
        <v>190</v>
      </c>
      <c r="EZ365" s="319" t="s">
        <v>190</v>
      </c>
      <c r="FA365" s="319" t="s">
        <v>190</v>
      </c>
      <c r="FB365" s="319" t="s">
        <v>190</v>
      </c>
      <c r="FC365" s="319" t="s">
        <v>190</v>
      </c>
      <c r="FD365" s="319" t="s">
        <v>190</v>
      </c>
      <c r="FE365" s="319" t="s">
        <v>190</v>
      </c>
      <c r="FF365" s="319" t="s">
        <v>190</v>
      </c>
      <c r="FG365" s="319" t="s">
        <v>190</v>
      </c>
      <c r="FH365" s="319" t="s">
        <v>190</v>
      </c>
      <c r="FI365" s="319" t="s">
        <v>190</v>
      </c>
      <c r="FJ365" s="319" t="s">
        <v>190</v>
      </c>
      <c r="FK365" s="319" t="s">
        <v>190</v>
      </c>
      <c r="FL365" s="319" t="s">
        <v>190</v>
      </c>
      <c r="FM365" s="319" t="s">
        <v>190</v>
      </c>
      <c r="FN365" s="319" t="s">
        <v>428</v>
      </c>
      <c r="FO365" s="319" t="s">
        <v>190</v>
      </c>
      <c r="FP365" s="319" t="s">
        <v>190</v>
      </c>
      <c r="FQ365" s="319" t="s">
        <v>190</v>
      </c>
      <c r="FR365" s="319" t="s">
        <v>190</v>
      </c>
      <c r="FS365" s="319" t="s">
        <v>428</v>
      </c>
      <c r="FT365" s="319" t="s">
        <v>190</v>
      </c>
      <c r="FU365" s="319" t="s">
        <v>190</v>
      </c>
      <c r="FV365" s="319" t="s">
        <v>190</v>
      </c>
      <c r="FW365" s="319" t="s">
        <v>190</v>
      </c>
      <c r="FX365" s="319" t="s">
        <v>190</v>
      </c>
      <c r="FY365" s="319" t="s">
        <v>190</v>
      </c>
      <c r="FZ365" s="319" t="s">
        <v>190</v>
      </c>
      <c r="GA365" s="319" t="s">
        <v>190</v>
      </c>
      <c r="GB365" s="319" t="s">
        <v>190</v>
      </c>
      <c r="GC365" s="319" t="s">
        <v>190</v>
      </c>
      <c r="GD365" s="319" t="s">
        <v>190</v>
      </c>
      <c r="GE365" s="319" t="s">
        <v>190</v>
      </c>
      <c r="GF365" s="319" t="s">
        <v>190</v>
      </c>
      <c r="GG365" s="319" t="s">
        <v>190</v>
      </c>
      <c r="GH365" s="319" t="s">
        <v>190</v>
      </c>
      <c r="GI365" s="319" t="s">
        <v>190</v>
      </c>
      <c r="GJ365" s="319" t="s">
        <v>190</v>
      </c>
      <c r="GK365" s="319" t="s">
        <v>428</v>
      </c>
      <c r="GL365" s="319" t="s">
        <v>190</v>
      </c>
      <c r="GM365" s="319" t="s">
        <v>190</v>
      </c>
      <c r="GN365" s="319" t="s">
        <v>190</v>
      </c>
      <c r="GO365" s="319" t="s">
        <v>190</v>
      </c>
      <c r="GP365" s="319" t="s">
        <v>190</v>
      </c>
      <c r="GQ365" s="319" t="s">
        <v>428</v>
      </c>
      <c r="GR365" s="319" t="s">
        <v>190</v>
      </c>
      <c r="GS365" s="319" t="s">
        <v>190</v>
      </c>
      <c r="GT365" s="319" t="s">
        <v>190</v>
      </c>
      <c r="GU365" s="319" t="s">
        <v>190</v>
      </c>
      <c r="GV365" s="319" t="s">
        <v>190</v>
      </c>
      <c r="GW365" s="319" t="s">
        <v>190</v>
      </c>
      <c r="GX365" s="319" t="s">
        <v>428</v>
      </c>
      <c r="GY365" s="319" t="s">
        <v>190</v>
      </c>
      <c r="GZ365" s="319" t="s">
        <v>190</v>
      </c>
      <c r="HA365" s="319" t="s">
        <v>190</v>
      </c>
      <c r="HB365" s="319" t="s">
        <v>428</v>
      </c>
      <c r="HC365" s="319" t="s">
        <v>190</v>
      </c>
      <c r="HD365" s="319" t="s">
        <v>190</v>
      </c>
      <c r="HE365" s="319" t="s">
        <v>190</v>
      </c>
      <c r="HF365" s="319" t="s">
        <v>190</v>
      </c>
      <c r="HG365" s="319" t="s">
        <v>190</v>
      </c>
      <c r="HH365" s="319" t="s">
        <v>190</v>
      </c>
      <c r="HI365" s="319" t="s">
        <v>190</v>
      </c>
      <c r="HJ365" s="319" t="s">
        <v>190</v>
      </c>
      <c r="HK365" s="319" t="s">
        <v>190</v>
      </c>
      <c r="HL365" s="319" t="s">
        <v>190</v>
      </c>
      <c r="HM365" s="319" t="s">
        <v>428</v>
      </c>
      <c r="HN365" s="319" t="s">
        <v>428</v>
      </c>
      <c r="HO365" s="319" t="s">
        <v>428</v>
      </c>
      <c r="HP365" s="319" t="s">
        <v>190</v>
      </c>
      <c r="HQ365" s="319" t="s">
        <v>190</v>
      </c>
      <c r="HR365" s="319" t="s">
        <v>190</v>
      </c>
      <c r="HS365" s="319" t="s">
        <v>190</v>
      </c>
      <c r="HT365" s="319" t="s">
        <v>190</v>
      </c>
      <c r="HU365" s="319" t="s">
        <v>190</v>
      </c>
      <c r="HV365" s="319" t="s">
        <v>190</v>
      </c>
      <c r="HW365" s="319" t="s">
        <v>190</v>
      </c>
      <c r="HX365" s="319" t="s">
        <v>190</v>
      </c>
      <c r="HY365" s="319" t="s">
        <v>190</v>
      </c>
      <c r="HZ365" s="319" t="s">
        <v>190</v>
      </c>
      <c r="IA365" s="319" t="s">
        <v>190</v>
      </c>
      <c r="IB365" s="319" t="s">
        <v>190</v>
      </c>
      <c r="IC365" s="319" t="s">
        <v>190</v>
      </c>
      <c r="ID365" s="319" t="s">
        <v>190</v>
      </c>
      <c r="IE365" s="319" t="s">
        <v>190</v>
      </c>
      <c r="IF365" s="319" t="s">
        <v>190</v>
      </c>
      <c r="IG365" s="319" t="s">
        <v>190</v>
      </c>
      <c r="IH365" s="319" t="s">
        <v>190</v>
      </c>
      <c r="II365" s="319" t="s">
        <v>190</v>
      </c>
      <c r="IJ365" s="319" t="s">
        <v>3147</v>
      </c>
      <c r="IK365" s="321">
        <v>41590</v>
      </c>
      <c r="IL365" s="321">
        <v>41592</v>
      </c>
      <c r="IM365" s="321">
        <v>41612</v>
      </c>
      <c r="IN365" s="319">
        <v>1</v>
      </c>
      <c r="IO365" s="319" t="s">
        <v>173</v>
      </c>
      <c r="IP365" s="319" t="s">
        <v>173</v>
      </c>
      <c r="IQ365" s="319" t="s">
        <v>173</v>
      </c>
      <c r="IR365" s="320" t="s">
        <v>173</v>
      </c>
      <c r="IS365" s="320" t="s">
        <v>173</v>
      </c>
      <c r="IT365" s="319" t="s">
        <v>173</v>
      </c>
    </row>
    <row r="366" spans="1:254" s="271" customFormat="1" x14ac:dyDescent="0.25">
      <c r="A366" s="318" t="str">
        <f>HYPERLINK("http://www.ofsted.gov.uk/inspection-reports/find-inspection-report/provider/ELS/132079 ","Ofsted School Webpage")</f>
        <v>Ofsted School Webpage</v>
      </c>
      <c r="B366" s="319">
        <v>132079</v>
      </c>
      <c r="C366" s="319">
        <v>8886046</v>
      </c>
      <c r="D366" s="319" t="s">
        <v>969</v>
      </c>
      <c r="E366" s="319" t="s">
        <v>168</v>
      </c>
      <c r="F366" s="319" t="s">
        <v>81</v>
      </c>
      <c r="G366" s="319" t="s">
        <v>81</v>
      </c>
      <c r="H366" s="319" t="s">
        <v>81</v>
      </c>
      <c r="I366" s="319" t="s">
        <v>78</v>
      </c>
      <c r="J366" s="319" t="s">
        <v>424</v>
      </c>
      <c r="K366" s="319" t="s">
        <v>431</v>
      </c>
      <c r="L366" s="319" t="s">
        <v>431</v>
      </c>
      <c r="M366" s="319" t="s">
        <v>469</v>
      </c>
      <c r="N366" s="319" t="s">
        <v>3148</v>
      </c>
      <c r="O366" s="319" t="s">
        <v>970</v>
      </c>
      <c r="P366" s="319">
        <v>10</v>
      </c>
      <c r="Q366" s="319" t="s">
        <v>429</v>
      </c>
      <c r="R366" s="320">
        <v>10067894</v>
      </c>
      <c r="S366" s="321">
        <v>43529</v>
      </c>
      <c r="T366" s="321">
        <v>43531</v>
      </c>
      <c r="U366" s="321">
        <v>43550</v>
      </c>
      <c r="V366" s="319" t="s">
        <v>425</v>
      </c>
      <c r="W366" s="319" t="s">
        <v>2767</v>
      </c>
      <c r="X366" s="319">
        <v>2</v>
      </c>
      <c r="Y366" s="319" t="s">
        <v>173</v>
      </c>
      <c r="Z366" s="319" t="s">
        <v>173</v>
      </c>
      <c r="AA366" s="319" t="s">
        <v>173</v>
      </c>
      <c r="AB366" s="319">
        <v>2</v>
      </c>
      <c r="AC366" s="319" t="s">
        <v>169</v>
      </c>
      <c r="AD366" s="319" t="s">
        <v>173</v>
      </c>
      <c r="AE366" s="319" t="s">
        <v>173</v>
      </c>
      <c r="AF366" s="319" t="s">
        <v>427</v>
      </c>
      <c r="AG366" s="319" t="s">
        <v>171</v>
      </c>
      <c r="AH366" s="319" t="s">
        <v>190</v>
      </c>
      <c r="AI366" s="319" t="s">
        <v>190</v>
      </c>
      <c r="AJ366" s="319" t="s">
        <v>190</v>
      </c>
      <c r="AK366" s="319" t="s">
        <v>190</v>
      </c>
      <c r="AL366" s="319" t="s">
        <v>190</v>
      </c>
      <c r="AM366" s="319" t="s">
        <v>190</v>
      </c>
      <c r="AN366" s="319" t="s">
        <v>190</v>
      </c>
      <c r="AO366" s="319" t="s">
        <v>190</v>
      </c>
      <c r="AP366" s="319" t="s">
        <v>190</v>
      </c>
      <c r="AQ366" s="319" t="s">
        <v>190</v>
      </c>
      <c r="AR366" s="319" t="s">
        <v>190</v>
      </c>
      <c r="AS366" s="319" t="s">
        <v>190</v>
      </c>
      <c r="AT366" s="319" t="s">
        <v>190</v>
      </c>
      <c r="AU366" s="319" t="s">
        <v>190</v>
      </c>
      <c r="AV366" s="319" t="s">
        <v>190</v>
      </c>
      <c r="AW366" s="319" t="s">
        <v>190</v>
      </c>
      <c r="AX366" s="319" t="s">
        <v>428</v>
      </c>
      <c r="AY366" s="319" t="s">
        <v>190</v>
      </c>
      <c r="AZ366" s="319" t="s">
        <v>190</v>
      </c>
      <c r="BA366" s="319" t="s">
        <v>190</v>
      </c>
      <c r="BB366" s="319" t="s">
        <v>190</v>
      </c>
      <c r="BC366" s="319" t="s">
        <v>190</v>
      </c>
      <c r="BD366" s="319" t="s">
        <v>190</v>
      </c>
      <c r="BE366" s="319" t="s">
        <v>190</v>
      </c>
      <c r="BF366" s="319" t="s">
        <v>428</v>
      </c>
      <c r="BG366" s="319" t="s">
        <v>428</v>
      </c>
      <c r="BH366" s="319" t="s">
        <v>190</v>
      </c>
      <c r="BI366" s="319" t="s">
        <v>190</v>
      </c>
      <c r="BJ366" s="319" t="s">
        <v>190</v>
      </c>
      <c r="BK366" s="319" t="s">
        <v>190</v>
      </c>
      <c r="BL366" s="319" t="s">
        <v>190</v>
      </c>
      <c r="BM366" s="319" t="s">
        <v>190</v>
      </c>
      <c r="BN366" s="319" t="s">
        <v>190</v>
      </c>
      <c r="BO366" s="319" t="s">
        <v>190</v>
      </c>
      <c r="BP366" s="319" t="s">
        <v>190</v>
      </c>
      <c r="BQ366" s="319" t="s">
        <v>190</v>
      </c>
      <c r="BR366" s="319" t="s">
        <v>190</v>
      </c>
      <c r="BS366" s="319" t="s">
        <v>190</v>
      </c>
      <c r="BT366" s="319" t="s">
        <v>190</v>
      </c>
      <c r="BU366" s="319" t="s">
        <v>190</v>
      </c>
      <c r="BV366" s="319" t="s">
        <v>190</v>
      </c>
      <c r="BW366" s="319" t="s">
        <v>190</v>
      </c>
      <c r="BX366" s="319" t="s">
        <v>190</v>
      </c>
      <c r="BY366" s="319" t="s">
        <v>190</v>
      </c>
      <c r="BZ366" s="319" t="s">
        <v>190</v>
      </c>
      <c r="CA366" s="319" t="s">
        <v>190</v>
      </c>
      <c r="CB366" s="319" t="s">
        <v>190</v>
      </c>
      <c r="CC366" s="319" t="s">
        <v>190</v>
      </c>
      <c r="CD366" s="319" t="s">
        <v>190</v>
      </c>
      <c r="CE366" s="319" t="s">
        <v>190</v>
      </c>
      <c r="CF366" s="319" t="s">
        <v>190</v>
      </c>
      <c r="CG366" s="319" t="s">
        <v>190</v>
      </c>
      <c r="CH366" s="319" t="s">
        <v>190</v>
      </c>
      <c r="CI366" s="319" t="s">
        <v>190</v>
      </c>
      <c r="CJ366" s="319" t="s">
        <v>190</v>
      </c>
      <c r="CK366" s="319" t="s">
        <v>190</v>
      </c>
      <c r="CL366" s="319" t="s">
        <v>190</v>
      </c>
      <c r="CM366" s="319" t="s">
        <v>190</v>
      </c>
      <c r="CN366" s="319" t="s">
        <v>428</v>
      </c>
      <c r="CO366" s="319" t="s">
        <v>428</v>
      </c>
      <c r="CP366" s="319" t="s">
        <v>428</v>
      </c>
      <c r="CQ366" s="319" t="s">
        <v>190</v>
      </c>
      <c r="CR366" s="319" t="s">
        <v>190</v>
      </c>
      <c r="CS366" s="319" t="s">
        <v>190</v>
      </c>
      <c r="CT366" s="319" t="s">
        <v>190</v>
      </c>
      <c r="CU366" s="319" t="s">
        <v>190</v>
      </c>
      <c r="CV366" s="319" t="s">
        <v>190</v>
      </c>
      <c r="CW366" s="319" t="s">
        <v>190</v>
      </c>
      <c r="CX366" s="319" t="s">
        <v>190</v>
      </c>
      <c r="CY366" s="319" t="s">
        <v>190</v>
      </c>
      <c r="CZ366" s="319" t="s">
        <v>190</v>
      </c>
      <c r="DA366" s="319" t="s">
        <v>190</v>
      </c>
      <c r="DB366" s="319" t="s">
        <v>190</v>
      </c>
      <c r="DC366" s="319" t="s">
        <v>190</v>
      </c>
      <c r="DD366" s="319" t="s">
        <v>190</v>
      </c>
      <c r="DE366" s="319" t="s">
        <v>190</v>
      </c>
      <c r="DF366" s="319" t="s">
        <v>190</v>
      </c>
      <c r="DG366" s="319" t="s">
        <v>190</v>
      </c>
      <c r="DH366" s="319" t="s">
        <v>190</v>
      </c>
      <c r="DI366" s="319" t="s">
        <v>190</v>
      </c>
      <c r="DJ366" s="319" t="s">
        <v>190</v>
      </c>
      <c r="DK366" s="319" t="s">
        <v>190</v>
      </c>
      <c r="DL366" s="319" t="s">
        <v>190</v>
      </c>
      <c r="DM366" s="319" t="s">
        <v>190</v>
      </c>
      <c r="DN366" s="319" t="s">
        <v>428</v>
      </c>
      <c r="DO366" s="319" t="s">
        <v>190</v>
      </c>
      <c r="DP366" s="319" t="s">
        <v>428</v>
      </c>
      <c r="DQ366" s="319" t="s">
        <v>428</v>
      </c>
      <c r="DR366" s="319" t="s">
        <v>428</v>
      </c>
      <c r="DS366" s="319" t="s">
        <v>428</v>
      </c>
      <c r="DT366" s="319" t="s">
        <v>428</v>
      </c>
      <c r="DU366" s="319" t="s">
        <v>428</v>
      </c>
      <c r="DV366" s="319" t="s">
        <v>173</v>
      </c>
      <c r="DW366" s="319" t="s">
        <v>428</v>
      </c>
      <c r="DX366" s="319" t="s">
        <v>428</v>
      </c>
      <c r="DY366" s="319" t="s">
        <v>428</v>
      </c>
      <c r="DZ366" s="319" t="s">
        <v>428</v>
      </c>
      <c r="EA366" s="319" t="s">
        <v>428</v>
      </c>
      <c r="EB366" s="319" t="s">
        <v>428</v>
      </c>
      <c r="EC366" s="319" t="s">
        <v>428</v>
      </c>
      <c r="ED366" s="319" t="s">
        <v>190</v>
      </c>
      <c r="EE366" s="319" t="s">
        <v>190</v>
      </c>
      <c r="EF366" s="319" t="s">
        <v>190</v>
      </c>
      <c r="EG366" s="319" t="s">
        <v>190</v>
      </c>
      <c r="EH366" s="319" t="s">
        <v>190</v>
      </c>
      <c r="EI366" s="319" t="s">
        <v>190</v>
      </c>
      <c r="EJ366" s="319" t="s">
        <v>190</v>
      </c>
      <c r="EK366" s="319" t="s">
        <v>190</v>
      </c>
      <c r="EL366" s="319" t="s">
        <v>190</v>
      </c>
      <c r="EM366" s="319" t="s">
        <v>190</v>
      </c>
      <c r="EN366" s="319" t="s">
        <v>190</v>
      </c>
      <c r="EO366" s="319" t="s">
        <v>190</v>
      </c>
      <c r="EP366" s="319" t="s">
        <v>190</v>
      </c>
      <c r="EQ366" s="319" t="s">
        <v>190</v>
      </c>
      <c r="ER366" s="319" t="s">
        <v>190</v>
      </c>
      <c r="ES366" s="319" t="s">
        <v>190</v>
      </c>
      <c r="ET366" s="319" t="s">
        <v>190</v>
      </c>
      <c r="EU366" s="319" t="s">
        <v>190</v>
      </c>
      <c r="EV366" s="319" t="s">
        <v>190</v>
      </c>
      <c r="EW366" s="319" t="s">
        <v>190</v>
      </c>
      <c r="EX366" s="319" t="s">
        <v>190</v>
      </c>
      <c r="EY366" s="319" t="s">
        <v>190</v>
      </c>
      <c r="EZ366" s="319" t="s">
        <v>190</v>
      </c>
      <c r="FA366" s="319" t="s">
        <v>190</v>
      </c>
      <c r="FB366" s="319" t="s">
        <v>428</v>
      </c>
      <c r="FC366" s="319" t="s">
        <v>428</v>
      </c>
      <c r="FD366" s="319" t="s">
        <v>428</v>
      </c>
      <c r="FE366" s="319" t="s">
        <v>428</v>
      </c>
      <c r="FF366" s="319" t="s">
        <v>428</v>
      </c>
      <c r="FG366" s="319" t="s">
        <v>428</v>
      </c>
      <c r="FH366" s="319" t="s">
        <v>190</v>
      </c>
      <c r="FI366" s="319" t="s">
        <v>190</v>
      </c>
      <c r="FJ366" s="319" t="s">
        <v>190</v>
      </c>
      <c r="FK366" s="319" t="s">
        <v>190</v>
      </c>
      <c r="FL366" s="319" t="s">
        <v>190</v>
      </c>
      <c r="FM366" s="319" t="s">
        <v>190</v>
      </c>
      <c r="FN366" s="319" t="s">
        <v>190</v>
      </c>
      <c r="FO366" s="319" t="s">
        <v>190</v>
      </c>
      <c r="FP366" s="319" t="s">
        <v>190</v>
      </c>
      <c r="FQ366" s="319" t="s">
        <v>190</v>
      </c>
      <c r="FR366" s="319" t="s">
        <v>190</v>
      </c>
      <c r="FS366" s="319" t="s">
        <v>428</v>
      </c>
      <c r="FT366" s="319" t="s">
        <v>190</v>
      </c>
      <c r="FU366" s="319" t="s">
        <v>190</v>
      </c>
      <c r="FV366" s="319" t="s">
        <v>190</v>
      </c>
      <c r="FW366" s="319" t="s">
        <v>190</v>
      </c>
      <c r="FX366" s="319" t="s">
        <v>190</v>
      </c>
      <c r="FY366" s="319" t="s">
        <v>190</v>
      </c>
      <c r="FZ366" s="319" t="s">
        <v>190</v>
      </c>
      <c r="GA366" s="319" t="s">
        <v>190</v>
      </c>
      <c r="GB366" s="319" t="s">
        <v>190</v>
      </c>
      <c r="GC366" s="319" t="s">
        <v>190</v>
      </c>
      <c r="GD366" s="319" t="s">
        <v>190</v>
      </c>
      <c r="GE366" s="319" t="s">
        <v>190</v>
      </c>
      <c r="GF366" s="319" t="s">
        <v>190</v>
      </c>
      <c r="GG366" s="319" t="s">
        <v>190</v>
      </c>
      <c r="GH366" s="319" t="s">
        <v>190</v>
      </c>
      <c r="GI366" s="319" t="s">
        <v>190</v>
      </c>
      <c r="GJ366" s="319" t="s">
        <v>190</v>
      </c>
      <c r="GK366" s="319" t="s">
        <v>428</v>
      </c>
      <c r="GL366" s="319" t="s">
        <v>190</v>
      </c>
      <c r="GM366" s="319" t="s">
        <v>190</v>
      </c>
      <c r="GN366" s="319" t="s">
        <v>190</v>
      </c>
      <c r="GO366" s="319" t="s">
        <v>190</v>
      </c>
      <c r="GP366" s="319" t="s">
        <v>190</v>
      </c>
      <c r="GQ366" s="319" t="s">
        <v>428</v>
      </c>
      <c r="GR366" s="319" t="s">
        <v>190</v>
      </c>
      <c r="GS366" s="319" t="s">
        <v>190</v>
      </c>
      <c r="GT366" s="319" t="s">
        <v>190</v>
      </c>
      <c r="GU366" s="319" t="s">
        <v>190</v>
      </c>
      <c r="GV366" s="319" t="s">
        <v>190</v>
      </c>
      <c r="GW366" s="319" t="s">
        <v>190</v>
      </c>
      <c r="GX366" s="319" t="s">
        <v>190</v>
      </c>
      <c r="GY366" s="319" t="s">
        <v>190</v>
      </c>
      <c r="GZ366" s="319" t="s">
        <v>190</v>
      </c>
      <c r="HA366" s="319" t="s">
        <v>190</v>
      </c>
      <c r="HB366" s="319" t="s">
        <v>190</v>
      </c>
      <c r="HC366" s="319" t="s">
        <v>190</v>
      </c>
      <c r="HD366" s="319" t="s">
        <v>190</v>
      </c>
      <c r="HE366" s="319" t="s">
        <v>190</v>
      </c>
      <c r="HF366" s="319" t="s">
        <v>190</v>
      </c>
      <c r="HG366" s="319" t="s">
        <v>190</v>
      </c>
      <c r="HH366" s="319" t="s">
        <v>190</v>
      </c>
      <c r="HI366" s="319" t="s">
        <v>190</v>
      </c>
      <c r="HJ366" s="319" t="s">
        <v>190</v>
      </c>
      <c r="HK366" s="319" t="s">
        <v>190</v>
      </c>
      <c r="HL366" s="319" t="s">
        <v>190</v>
      </c>
      <c r="HM366" s="319" t="s">
        <v>428</v>
      </c>
      <c r="HN366" s="319" t="s">
        <v>428</v>
      </c>
      <c r="HO366" s="319" t="s">
        <v>428</v>
      </c>
      <c r="HP366" s="319" t="s">
        <v>190</v>
      </c>
      <c r="HQ366" s="319" t="s">
        <v>190</v>
      </c>
      <c r="HR366" s="319" t="s">
        <v>190</v>
      </c>
      <c r="HS366" s="319" t="s">
        <v>190</v>
      </c>
      <c r="HT366" s="319" t="s">
        <v>190</v>
      </c>
      <c r="HU366" s="319" t="s">
        <v>190</v>
      </c>
      <c r="HV366" s="319" t="s">
        <v>190</v>
      </c>
      <c r="HW366" s="319" t="s">
        <v>190</v>
      </c>
      <c r="HX366" s="319" t="s">
        <v>190</v>
      </c>
      <c r="HY366" s="319" t="s">
        <v>190</v>
      </c>
      <c r="HZ366" s="319" t="s">
        <v>190</v>
      </c>
      <c r="IA366" s="319" t="s">
        <v>190</v>
      </c>
      <c r="IB366" s="319" t="s">
        <v>190</v>
      </c>
      <c r="IC366" s="319" t="s">
        <v>190</v>
      </c>
      <c r="ID366" s="319" t="s">
        <v>190</v>
      </c>
      <c r="IE366" s="319" t="s">
        <v>190</v>
      </c>
      <c r="IF366" s="319" t="s">
        <v>190</v>
      </c>
      <c r="IG366" s="319" t="s">
        <v>190</v>
      </c>
      <c r="IH366" s="319" t="s">
        <v>190</v>
      </c>
      <c r="II366" s="319" t="s">
        <v>190</v>
      </c>
      <c r="IJ366" s="319">
        <v>10020809</v>
      </c>
      <c r="IK366" s="321">
        <v>42633</v>
      </c>
      <c r="IL366" s="321">
        <v>42635</v>
      </c>
      <c r="IM366" s="321">
        <v>42661</v>
      </c>
      <c r="IN366" s="319">
        <v>2</v>
      </c>
      <c r="IO366" s="319" t="s">
        <v>173</v>
      </c>
      <c r="IP366" s="319" t="s">
        <v>173</v>
      </c>
      <c r="IQ366" s="321" t="s">
        <v>173</v>
      </c>
      <c r="IR366" s="320" t="s">
        <v>173</v>
      </c>
      <c r="IS366" s="322" t="s">
        <v>173</v>
      </c>
      <c r="IT366" s="319" t="s">
        <v>173</v>
      </c>
    </row>
    <row r="367" spans="1:254" s="271" customFormat="1" x14ac:dyDescent="0.25">
      <c r="A367" s="318" t="str">
        <f>HYPERLINK("http://www.ofsted.gov.uk/inspection-reports/find-inspection-report/provider/ELS/132095 ","Ofsted School Webpage")</f>
        <v>Ofsted School Webpage</v>
      </c>
      <c r="B367" s="319">
        <v>132095</v>
      </c>
      <c r="C367" s="319">
        <v>8886040</v>
      </c>
      <c r="D367" s="319" t="s">
        <v>1709</v>
      </c>
      <c r="E367" s="319" t="s">
        <v>167</v>
      </c>
      <c r="F367" s="319" t="s">
        <v>81</v>
      </c>
      <c r="G367" s="319" t="s">
        <v>81</v>
      </c>
      <c r="H367" s="319" t="s">
        <v>81</v>
      </c>
      <c r="I367" s="319" t="s">
        <v>78</v>
      </c>
      <c r="J367" s="319" t="s">
        <v>424</v>
      </c>
      <c r="K367" s="319" t="s">
        <v>431</v>
      </c>
      <c r="L367" s="319" t="s">
        <v>431</v>
      </c>
      <c r="M367" s="319" t="s">
        <v>469</v>
      </c>
      <c r="N367" s="319" t="s">
        <v>2994</v>
      </c>
      <c r="O367" s="319" t="s">
        <v>1710</v>
      </c>
      <c r="P367" s="319">
        <v>33</v>
      </c>
      <c r="Q367" s="319" t="s">
        <v>2766</v>
      </c>
      <c r="R367" s="320" t="s">
        <v>1711</v>
      </c>
      <c r="S367" s="321">
        <v>39351</v>
      </c>
      <c r="T367" s="321">
        <v>39352</v>
      </c>
      <c r="U367" s="321">
        <v>39373</v>
      </c>
      <c r="V367" s="319" t="s">
        <v>425</v>
      </c>
      <c r="W367" s="319" t="s">
        <v>2767</v>
      </c>
      <c r="X367" s="319">
        <v>3</v>
      </c>
      <c r="Y367" s="319" t="s">
        <v>173</v>
      </c>
      <c r="Z367" s="319" t="s">
        <v>173</v>
      </c>
      <c r="AA367" s="319" t="s">
        <v>173</v>
      </c>
      <c r="AB367" s="319" t="s">
        <v>173</v>
      </c>
      <c r="AC367" s="319" t="s">
        <v>173</v>
      </c>
      <c r="AD367" s="319" t="s">
        <v>173</v>
      </c>
      <c r="AE367" s="319" t="s">
        <v>173</v>
      </c>
      <c r="AF367" s="319" t="s">
        <v>173</v>
      </c>
      <c r="AG367" s="319" t="s">
        <v>173</v>
      </c>
      <c r="AH367" s="319" t="s">
        <v>173</v>
      </c>
      <c r="AI367" s="319" t="s">
        <v>173</v>
      </c>
      <c r="AJ367" s="319" t="s">
        <v>173</v>
      </c>
      <c r="AK367" s="319" t="s">
        <v>173</v>
      </c>
      <c r="AL367" s="319" t="s">
        <v>173</v>
      </c>
      <c r="AM367" s="319" t="s">
        <v>173</v>
      </c>
      <c r="AN367" s="319" t="s">
        <v>173</v>
      </c>
      <c r="AO367" s="319" t="s">
        <v>173</v>
      </c>
      <c r="AP367" s="319" t="s">
        <v>173</v>
      </c>
      <c r="AQ367" s="319" t="s">
        <v>173</v>
      </c>
      <c r="AR367" s="319" t="s">
        <v>173</v>
      </c>
      <c r="AS367" s="319" t="s">
        <v>173</v>
      </c>
      <c r="AT367" s="319" t="s">
        <v>173</v>
      </c>
      <c r="AU367" s="319" t="s">
        <v>173</v>
      </c>
      <c r="AV367" s="319" t="s">
        <v>173</v>
      </c>
      <c r="AW367" s="319" t="s">
        <v>173</v>
      </c>
      <c r="AX367" s="319" t="s">
        <v>173</v>
      </c>
      <c r="AY367" s="319" t="s">
        <v>173</v>
      </c>
      <c r="AZ367" s="319" t="s">
        <v>173</v>
      </c>
      <c r="BA367" s="319" t="s">
        <v>173</v>
      </c>
      <c r="BB367" s="319" t="s">
        <v>173</v>
      </c>
      <c r="BC367" s="319" t="s">
        <v>173</v>
      </c>
      <c r="BD367" s="319" t="s">
        <v>173</v>
      </c>
      <c r="BE367" s="319" t="s">
        <v>173</v>
      </c>
      <c r="BF367" s="319" t="s">
        <v>173</v>
      </c>
      <c r="BG367" s="319" t="s">
        <v>173</v>
      </c>
      <c r="BH367" s="319" t="s">
        <v>173</v>
      </c>
      <c r="BI367" s="319" t="s">
        <v>173</v>
      </c>
      <c r="BJ367" s="319" t="s">
        <v>173</v>
      </c>
      <c r="BK367" s="319" t="s">
        <v>173</v>
      </c>
      <c r="BL367" s="319" t="s">
        <v>173</v>
      </c>
      <c r="BM367" s="319" t="s">
        <v>173</v>
      </c>
      <c r="BN367" s="319" t="s">
        <v>173</v>
      </c>
      <c r="BO367" s="319" t="s">
        <v>173</v>
      </c>
      <c r="BP367" s="319" t="s">
        <v>173</v>
      </c>
      <c r="BQ367" s="319" t="s">
        <v>173</v>
      </c>
      <c r="BR367" s="319" t="s">
        <v>173</v>
      </c>
      <c r="BS367" s="319" t="s">
        <v>173</v>
      </c>
      <c r="BT367" s="319" t="s">
        <v>173</v>
      </c>
      <c r="BU367" s="319" t="s">
        <v>173</v>
      </c>
      <c r="BV367" s="319" t="s">
        <v>173</v>
      </c>
      <c r="BW367" s="319" t="s">
        <v>173</v>
      </c>
      <c r="BX367" s="319" t="s">
        <v>173</v>
      </c>
      <c r="BY367" s="319" t="s">
        <v>173</v>
      </c>
      <c r="BZ367" s="319" t="s">
        <v>173</v>
      </c>
      <c r="CA367" s="319" t="s">
        <v>173</v>
      </c>
      <c r="CB367" s="319" t="s">
        <v>173</v>
      </c>
      <c r="CC367" s="319" t="s">
        <v>173</v>
      </c>
      <c r="CD367" s="319" t="s">
        <v>173</v>
      </c>
      <c r="CE367" s="319" t="s">
        <v>173</v>
      </c>
      <c r="CF367" s="319" t="s">
        <v>173</v>
      </c>
      <c r="CG367" s="319" t="s">
        <v>173</v>
      </c>
      <c r="CH367" s="319" t="s">
        <v>173</v>
      </c>
      <c r="CI367" s="319" t="s">
        <v>173</v>
      </c>
      <c r="CJ367" s="319" t="s">
        <v>173</v>
      </c>
      <c r="CK367" s="319" t="s">
        <v>173</v>
      </c>
      <c r="CL367" s="319" t="s">
        <v>173</v>
      </c>
      <c r="CM367" s="319" t="s">
        <v>173</v>
      </c>
      <c r="CN367" s="319" t="s">
        <v>173</v>
      </c>
      <c r="CO367" s="319" t="s">
        <v>173</v>
      </c>
      <c r="CP367" s="319" t="s">
        <v>173</v>
      </c>
      <c r="CQ367" s="319" t="s">
        <v>173</v>
      </c>
      <c r="CR367" s="319" t="s">
        <v>173</v>
      </c>
      <c r="CS367" s="319" t="s">
        <v>173</v>
      </c>
      <c r="CT367" s="319" t="s">
        <v>173</v>
      </c>
      <c r="CU367" s="319" t="s">
        <v>173</v>
      </c>
      <c r="CV367" s="319" t="s">
        <v>173</v>
      </c>
      <c r="CW367" s="319" t="s">
        <v>173</v>
      </c>
      <c r="CX367" s="319" t="s">
        <v>173</v>
      </c>
      <c r="CY367" s="319" t="s">
        <v>173</v>
      </c>
      <c r="CZ367" s="319" t="s">
        <v>173</v>
      </c>
      <c r="DA367" s="319" t="s">
        <v>173</v>
      </c>
      <c r="DB367" s="319" t="s">
        <v>173</v>
      </c>
      <c r="DC367" s="319" t="s">
        <v>173</v>
      </c>
      <c r="DD367" s="319" t="s">
        <v>173</v>
      </c>
      <c r="DE367" s="319" t="s">
        <v>173</v>
      </c>
      <c r="DF367" s="319" t="s">
        <v>173</v>
      </c>
      <c r="DG367" s="319" t="s">
        <v>173</v>
      </c>
      <c r="DH367" s="319" t="s">
        <v>173</v>
      </c>
      <c r="DI367" s="319" t="s">
        <v>173</v>
      </c>
      <c r="DJ367" s="319" t="s">
        <v>173</v>
      </c>
      <c r="DK367" s="319" t="s">
        <v>173</v>
      </c>
      <c r="DL367" s="319" t="s">
        <v>173</v>
      </c>
      <c r="DM367" s="319" t="s">
        <v>173</v>
      </c>
      <c r="DN367" s="319" t="s">
        <v>173</v>
      </c>
      <c r="DO367" s="319" t="s">
        <v>173</v>
      </c>
      <c r="DP367" s="319" t="s">
        <v>173</v>
      </c>
      <c r="DQ367" s="319" t="s">
        <v>173</v>
      </c>
      <c r="DR367" s="319" t="s">
        <v>173</v>
      </c>
      <c r="DS367" s="319" t="s">
        <v>173</v>
      </c>
      <c r="DT367" s="319" t="s">
        <v>173</v>
      </c>
      <c r="DU367" s="319" t="s">
        <v>173</v>
      </c>
      <c r="DV367" s="319" t="s">
        <v>173</v>
      </c>
      <c r="DW367" s="319" t="s">
        <v>173</v>
      </c>
      <c r="DX367" s="319" t="s">
        <v>173</v>
      </c>
      <c r="DY367" s="319" t="s">
        <v>173</v>
      </c>
      <c r="DZ367" s="319" t="s">
        <v>173</v>
      </c>
      <c r="EA367" s="319" t="s">
        <v>173</v>
      </c>
      <c r="EB367" s="319" t="s">
        <v>173</v>
      </c>
      <c r="EC367" s="319" t="s">
        <v>173</v>
      </c>
      <c r="ED367" s="319" t="s">
        <v>173</v>
      </c>
      <c r="EE367" s="319" t="s">
        <v>173</v>
      </c>
      <c r="EF367" s="319" t="s">
        <v>173</v>
      </c>
      <c r="EG367" s="319" t="s">
        <v>173</v>
      </c>
      <c r="EH367" s="319" t="s">
        <v>173</v>
      </c>
      <c r="EI367" s="319" t="s">
        <v>173</v>
      </c>
      <c r="EJ367" s="319" t="s">
        <v>173</v>
      </c>
      <c r="EK367" s="319" t="s">
        <v>173</v>
      </c>
      <c r="EL367" s="319" t="s">
        <v>173</v>
      </c>
      <c r="EM367" s="319" t="s">
        <v>173</v>
      </c>
      <c r="EN367" s="319" t="s">
        <v>173</v>
      </c>
      <c r="EO367" s="319" t="s">
        <v>173</v>
      </c>
      <c r="EP367" s="319" t="s">
        <v>173</v>
      </c>
      <c r="EQ367" s="319" t="s">
        <v>173</v>
      </c>
      <c r="ER367" s="319" t="s">
        <v>173</v>
      </c>
      <c r="ES367" s="319" t="s">
        <v>173</v>
      </c>
      <c r="ET367" s="319" t="s">
        <v>173</v>
      </c>
      <c r="EU367" s="319" t="s">
        <v>173</v>
      </c>
      <c r="EV367" s="319" t="s">
        <v>173</v>
      </c>
      <c r="EW367" s="319" t="s">
        <v>173</v>
      </c>
      <c r="EX367" s="319" t="s">
        <v>173</v>
      </c>
      <c r="EY367" s="319" t="s">
        <v>173</v>
      </c>
      <c r="EZ367" s="319" t="s">
        <v>173</v>
      </c>
      <c r="FA367" s="319" t="s">
        <v>173</v>
      </c>
      <c r="FB367" s="319" t="s">
        <v>173</v>
      </c>
      <c r="FC367" s="319" t="s">
        <v>173</v>
      </c>
      <c r="FD367" s="319" t="s">
        <v>173</v>
      </c>
      <c r="FE367" s="319" t="s">
        <v>173</v>
      </c>
      <c r="FF367" s="319" t="s">
        <v>173</v>
      </c>
      <c r="FG367" s="319" t="s">
        <v>173</v>
      </c>
      <c r="FH367" s="319" t="s">
        <v>173</v>
      </c>
      <c r="FI367" s="319" t="s">
        <v>173</v>
      </c>
      <c r="FJ367" s="319" t="s">
        <v>173</v>
      </c>
      <c r="FK367" s="319" t="s">
        <v>173</v>
      </c>
      <c r="FL367" s="319" t="s">
        <v>173</v>
      </c>
      <c r="FM367" s="319" t="s">
        <v>173</v>
      </c>
      <c r="FN367" s="319" t="s">
        <v>173</v>
      </c>
      <c r="FO367" s="319" t="s">
        <v>173</v>
      </c>
      <c r="FP367" s="319" t="s">
        <v>173</v>
      </c>
      <c r="FQ367" s="319" t="s">
        <v>173</v>
      </c>
      <c r="FR367" s="319" t="s">
        <v>173</v>
      </c>
      <c r="FS367" s="319" t="s">
        <v>173</v>
      </c>
      <c r="FT367" s="319" t="s">
        <v>173</v>
      </c>
      <c r="FU367" s="319" t="s">
        <v>173</v>
      </c>
      <c r="FV367" s="319" t="s">
        <v>173</v>
      </c>
      <c r="FW367" s="319" t="s">
        <v>173</v>
      </c>
      <c r="FX367" s="319" t="s">
        <v>173</v>
      </c>
      <c r="FY367" s="319" t="s">
        <v>173</v>
      </c>
      <c r="FZ367" s="319" t="s">
        <v>173</v>
      </c>
      <c r="GA367" s="319" t="s">
        <v>173</v>
      </c>
      <c r="GB367" s="319" t="s">
        <v>173</v>
      </c>
      <c r="GC367" s="319" t="s">
        <v>173</v>
      </c>
      <c r="GD367" s="319" t="s">
        <v>173</v>
      </c>
      <c r="GE367" s="319" t="s">
        <v>173</v>
      </c>
      <c r="GF367" s="319" t="s">
        <v>173</v>
      </c>
      <c r="GG367" s="319" t="s">
        <v>173</v>
      </c>
      <c r="GH367" s="319" t="s">
        <v>173</v>
      </c>
      <c r="GI367" s="319" t="s">
        <v>173</v>
      </c>
      <c r="GJ367" s="319" t="s">
        <v>173</v>
      </c>
      <c r="GK367" s="319" t="s">
        <v>173</v>
      </c>
      <c r="GL367" s="319" t="s">
        <v>173</v>
      </c>
      <c r="GM367" s="319" t="s">
        <v>173</v>
      </c>
      <c r="GN367" s="319" t="s">
        <v>173</v>
      </c>
      <c r="GO367" s="319" t="s">
        <v>173</v>
      </c>
      <c r="GP367" s="319" t="s">
        <v>173</v>
      </c>
      <c r="GQ367" s="319" t="s">
        <v>173</v>
      </c>
      <c r="GR367" s="319" t="s">
        <v>173</v>
      </c>
      <c r="GS367" s="319" t="s">
        <v>173</v>
      </c>
      <c r="GT367" s="319" t="s">
        <v>173</v>
      </c>
      <c r="GU367" s="319" t="s">
        <v>173</v>
      </c>
      <c r="GV367" s="319" t="s">
        <v>173</v>
      </c>
      <c r="GW367" s="319" t="s">
        <v>173</v>
      </c>
      <c r="GX367" s="319" t="s">
        <v>173</v>
      </c>
      <c r="GY367" s="319" t="s">
        <v>173</v>
      </c>
      <c r="GZ367" s="319" t="s">
        <v>173</v>
      </c>
      <c r="HA367" s="319" t="s">
        <v>173</v>
      </c>
      <c r="HB367" s="319" t="s">
        <v>173</v>
      </c>
      <c r="HC367" s="319" t="s">
        <v>173</v>
      </c>
      <c r="HD367" s="319" t="s">
        <v>173</v>
      </c>
      <c r="HE367" s="319" t="s">
        <v>173</v>
      </c>
      <c r="HF367" s="319" t="s">
        <v>173</v>
      </c>
      <c r="HG367" s="319" t="s">
        <v>173</v>
      </c>
      <c r="HH367" s="319" t="s">
        <v>173</v>
      </c>
      <c r="HI367" s="319" t="s">
        <v>173</v>
      </c>
      <c r="HJ367" s="319" t="s">
        <v>173</v>
      </c>
      <c r="HK367" s="319" t="s">
        <v>173</v>
      </c>
      <c r="HL367" s="319" t="s">
        <v>173</v>
      </c>
      <c r="HM367" s="319" t="s">
        <v>173</v>
      </c>
      <c r="HN367" s="319" t="s">
        <v>173</v>
      </c>
      <c r="HO367" s="319" t="s">
        <v>173</v>
      </c>
      <c r="HP367" s="319" t="s">
        <v>173</v>
      </c>
      <c r="HQ367" s="319" t="s">
        <v>173</v>
      </c>
      <c r="HR367" s="319" t="s">
        <v>173</v>
      </c>
      <c r="HS367" s="319" t="s">
        <v>173</v>
      </c>
      <c r="HT367" s="319" t="s">
        <v>173</v>
      </c>
      <c r="HU367" s="319" t="s">
        <v>173</v>
      </c>
      <c r="HV367" s="319" t="s">
        <v>173</v>
      </c>
      <c r="HW367" s="319" t="s">
        <v>173</v>
      </c>
      <c r="HX367" s="319" t="s">
        <v>173</v>
      </c>
      <c r="HY367" s="319" t="s">
        <v>173</v>
      </c>
      <c r="HZ367" s="319" t="s">
        <v>173</v>
      </c>
      <c r="IA367" s="319" t="s">
        <v>173</v>
      </c>
      <c r="IB367" s="319" t="s">
        <v>173</v>
      </c>
      <c r="IC367" s="319" t="s">
        <v>173</v>
      </c>
      <c r="ID367" s="319" t="s">
        <v>173</v>
      </c>
      <c r="IE367" s="319" t="s">
        <v>173</v>
      </c>
      <c r="IF367" s="319" t="s">
        <v>173</v>
      </c>
      <c r="IG367" s="319" t="s">
        <v>173</v>
      </c>
      <c r="IH367" s="319" t="s">
        <v>173</v>
      </c>
      <c r="II367" s="319" t="s">
        <v>173</v>
      </c>
      <c r="IJ367" s="319" t="s">
        <v>173</v>
      </c>
      <c r="IK367" s="319" t="s">
        <v>173</v>
      </c>
      <c r="IL367" s="319" t="s">
        <v>173</v>
      </c>
      <c r="IM367" s="319" t="s">
        <v>173</v>
      </c>
      <c r="IN367" s="319" t="s">
        <v>173</v>
      </c>
      <c r="IO367" s="319">
        <v>10108327</v>
      </c>
      <c r="IP367" s="319" t="s">
        <v>985</v>
      </c>
      <c r="IQ367" s="321">
        <v>43649</v>
      </c>
      <c r="IR367" s="320" t="s">
        <v>1223</v>
      </c>
      <c r="IS367" s="322">
        <v>43718</v>
      </c>
      <c r="IT367" s="319" t="s">
        <v>166</v>
      </c>
    </row>
    <row r="368" spans="1:254" s="271" customFormat="1" x14ac:dyDescent="0.25">
      <c r="A368" s="318" t="str">
        <f>HYPERLINK("http://www.ofsted.gov.uk/inspection-reports/find-inspection-report/provider/ELS/132097 ","Ofsted School Webpage")</f>
        <v>Ofsted School Webpage</v>
      </c>
      <c r="B368" s="319">
        <v>132097</v>
      </c>
      <c r="C368" s="319">
        <v>8876006</v>
      </c>
      <c r="D368" s="319" t="s">
        <v>1021</v>
      </c>
      <c r="E368" s="319" t="s">
        <v>168</v>
      </c>
      <c r="F368" s="319" t="s">
        <v>81</v>
      </c>
      <c r="G368" s="319" t="s">
        <v>81</v>
      </c>
      <c r="H368" s="319" t="s">
        <v>81</v>
      </c>
      <c r="I368" s="319" t="s">
        <v>78</v>
      </c>
      <c r="J368" s="319" t="s">
        <v>424</v>
      </c>
      <c r="K368" s="319" t="s">
        <v>514</v>
      </c>
      <c r="L368" s="319" t="s">
        <v>514</v>
      </c>
      <c r="M368" s="319" t="s">
        <v>704</v>
      </c>
      <c r="N368" s="319" t="s">
        <v>3149</v>
      </c>
      <c r="O368" s="319" t="s">
        <v>1022</v>
      </c>
      <c r="P368" s="319">
        <v>141</v>
      </c>
      <c r="Q368" s="319" t="s">
        <v>429</v>
      </c>
      <c r="R368" s="320">
        <v>10026020</v>
      </c>
      <c r="S368" s="321">
        <v>42899</v>
      </c>
      <c r="T368" s="321">
        <v>42901</v>
      </c>
      <c r="U368" s="321">
        <v>42928</v>
      </c>
      <c r="V368" s="319" t="s">
        <v>425</v>
      </c>
      <c r="W368" s="319" t="s">
        <v>2767</v>
      </c>
      <c r="X368" s="319">
        <v>2</v>
      </c>
      <c r="Y368" s="319" t="s">
        <v>173</v>
      </c>
      <c r="Z368" s="319" t="s">
        <v>173</v>
      </c>
      <c r="AA368" s="319" t="s">
        <v>173</v>
      </c>
      <c r="AB368" s="319">
        <v>2</v>
      </c>
      <c r="AC368" s="319" t="s">
        <v>169</v>
      </c>
      <c r="AD368" s="319" t="s">
        <v>173</v>
      </c>
      <c r="AE368" s="319">
        <v>2</v>
      </c>
      <c r="AF368" s="319" t="s">
        <v>173</v>
      </c>
      <c r="AG368" s="319" t="s">
        <v>171</v>
      </c>
      <c r="AH368" s="319" t="s">
        <v>190</v>
      </c>
      <c r="AI368" s="319" t="s">
        <v>190</v>
      </c>
      <c r="AJ368" s="319" t="s">
        <v>190</v>
      </c>
      <c r="AK368" s="319" t="s">
        <v>190</v>
      </c>
      <c r="AL368" s="319" t="s">
        <v>190</v>
      </c>
      <c r="AM368" s="319" t="s">
        <v>190</v>
      </c>
      <c r="AN368" s="319" t="s">
        <v>190</v>
      </c>
      <c r="AO368" s="319" t="s">
        <v>190</v>
      </c>
      <c r="AP368" s="319" t="s">
        <v>190</v>
      </c>
      <c r="AQ368" s="319" t="s">
        <v>190</v>
      </c>
      <c r="AR368" s="319" t="s">
        <v>190</v>
      </c>
      <c r="AS368" s="319" t="s">
        <v>190</v>
      </c>
      <c r="AT368" s="319" t="s">
        <v>190</v>
      </c>
      <c r="AU368" s="319" t="s">
        <v>190</v>
      </c>
      <c r="AV368" s="319" t="s">
        <v>190</v>
      </c>
      <c r="AW368" s="319" t="s">
        <v>190</v>
      </c>
      <c r="AX368" s="319" t="s">
        <v>429</v>
      </c>
      <c r="AY368" s="319" t="s">
        <v>190</v>
      </c>
      <c r="AZ368" s="319" t="s">
        <v>190</v>
      </c>
      <c r="BA368" s="319" t="s">
        <v>190</v>
      </c>
      <c r="BB368" s="319" t="s">
        <v>190</v>
      </c>
      <c r="BC368" s="319" t="s">
        <v>190</v>
      </c>
      <c r="BD368" s="319" t="s">
        <v>190</v>
      </c>
      <c r="BE368" s="319" t="s">
        <v>190</v>
      </c>
      <c r="BF368" s="319" t="s">
        <v>429</v>
      </c>
      <c r="BG368" s="319" t="s">
        <v>190</v>
      </c>
      <c r="BH368" s="319" t="s">
        <v>190</v>
      </c>
      <c r="BI368" s="319" t="s">
        <v>190</v>
      </c>
      <c r="BJ368" s="319" t="s">
        <v>190</v>
      </c>
      <c r="BK368" s="319" t="s">
        <v>190</v>
      </c>
      <c r="BL368" s="319" t="s">
        <v>190</v>
      </c>
      <c r="BM368" s="319" t="s">
        <v>190</v>
      </c>
      <c r="BN368" s="319" t="s">
        <v>190</v>
      </c>
      <c r="BO368" s="319" t="s">
        <v>190</v>
      </c>
      <c r="BP368" s="319" t="s">
        <v>190</v>
      </c>
      <c r="BQ368" s="319" t="s">
        <v>190</v>
      </c>
      <c r="BR368" s="319" t="s">
        <v>190</v>
      </c>
      <c r="BS368" s="319" t="s">
        <v>190</v>
      </c>
      <c r="BT368" s="319" t="s">
        <v>190</v>
      </c>
      <c r="BU368" s="319" t="s">
        <v>190</v>
      </c>
      <c r="BV368" s="319" t="s">
        <v>190</v>
      </c>
      <c r="BW368" s="319" t="s">
        <v>190</v>
      </c>
      <c r="BX368" s="319" t="s">
        <v>190</v>
      </c>
      <c r="BY368" s="319" t="s">
        <v>190</v>
      </c>
      <c r="BZ368" s="319" t="s">
        <v>190</v>
      </c>
      <c r="CA368" s="319" t="s">
        <v>190</v>
      </c>
      <c r="CB368" s="319" t="s">
        <v>190</v>
      </c>
      <c r="CC368" s="319" t="s">
        <v>190</v>
      </c>
      <c r="CD368" s="319" t="s">
        <v>190</v>
      </c>
      <c r="CE368" s="319" t="s">
        <v>190</v>
      </c>
      <c r="CF368" s="319" t="s">
        <v>190</v>
      </c>
      <c r="CG368" s="319" t="s">
        <v>190</v>
      </c>
      <c r="CH368" s="319" t="s">
        <v>190</v>
      </c>
      <c r="CI368" s="319" t="s">
        <v>190</v>
      </c>
      <c r="CJ368" s="319" t="s">
        <v>190</v>
      </c>
      <c r="CK368" s="319" t="s">
        <v>190</v>
      </c>
      <c r="CL368" s="319" t="s">
        <v>190</v>
      </c>
      <c r="CM368" s="319" t="s">
        <v>190</v>
      </c>
      <c r="CN368" s="319" t="s">
        <v>190</v>
      </c>
      <c r="CO368" s="319" t="s">
        <v>190</v>
      </c>
      <c r="CP368" s="319" t="s">
        <v>190</v>
      </c>
      <c r="CQ368" s="319" t="s">
        <v>190</v>
      </c>
      <c r="CR368" s="319" t="s">
        <v>190</v>
      </c>
      <c r="CS368" s="319" t="s">
        <v>190</v>
      </c>
      <c r="CT368" s="319" t="s">
        <v>190</v>
      </c>
      <c r="CU368" s="319" t="s">
        <v>190</v>
      </c>
      <c r="CV368" s="319" t="s">
        <v>190</v>
      </c>
      <c r="CW368" s="319" t="s">
        <v>190</v>
      </c>
      <c r="CX368" s="319" t="s">
        <v>190</v>
      </c>
      <c r="CY368" s="319" t="s">
        <v>190</v>
      </c>
      <c r="CZ368" s="319" t="s">
        <v>190</v>
      </c>
      <c r="DA368" s="319" t="s">
        <v>190</v>
      </c>
      <c r="DB368" s="319" t="s">
        <v>190</v>
      </c>
      <c r="DC368" s="319" t="s">
        <v>190</v>
      </c>
      <c r="DD368" s="319" t="s">
        <v>190</v>
      </c>
      <c r="DE368" s="319" t="s">
        <v>190</v>
      </c>
      <c r="DF368" s="319" t="s">
        <v>190</v>
      </c>
      <c r="DG368" s="319" t="s">
        <v>190</v>
      </c>
      <c r="DH368" s="319" t="s">
        <v>190</v>
      </c>
      <c r="DI368" s="319" t="s">
        <v>190</v>
      </c>
      <c r="DJ368" s="319" t="s">
        <v>190</v>
      </c>
      <c r="DK368" s="319" t="s">
        <v>190</v>
      </c>
      <c r="DL368" s="319" t="s">
        <v>190</v>
      </c>
      <c r="DM368" s="319" t="s">
        <v>190</v>
      </c>
      <c r="DN368" s="319" t="s">
        <v>429</v>
      </c>
      <c r="DO368" s="319" t="s">
        <v>190</v>
      </c>
      <c r="DP368" s="319" t="s">
        <v>429</v>
      </c>
      <c r="DQ368" s="319" t="s">
        <v>429</v>
      </c>
      <c r="DR368" s="319" t="s">
        <v>429</v>
      </c>
      <c r="DS368" s="319" t="s">
        <v>429</v>
      </c>
      <c r="DT368" s="319" t="s">
        <v>429</v>
      </c>
      <c r="DU368" s="319" t="s">
        <v>429</v>
      </c>
      <c r="DV368" s="319" t="s">
        <v>173</v>
      </c>
      <c r="DW368" s="319" t="s">
        <v>429</v>
      </c>
      <c r="DX368" s="319" t="s">
        <v>429</v>
      </c>
      <c r="DY368" s="319" t="s">
        <v>429</v>
      </c>
      <c r="DZ368" s="319" t="s">
        <v>429</v>
      </c>
      <c r="EA368" s="319" t="s">
        <v>429</v>
      </c>
      <c r="EB368" s="319" t="s">
        <v>429</v>
      </c>
      <c r="EC368" s="319" t="s">
        <v>429</v>
      </c>
      <c r="ED368" s="319" t="s">
        <v>429</v>
      </c>
      <c r="EE368" s="319" t="s">
        <v>190</v>
      </c>
      <c r="EF368" s="319" t="s">
        <v>190</v>
      </c>
      <c r="EG368" s="319" t="s">
        <v>190</v>
      </c>
      <c r="EH368" s="319" t="s">
        <v>190</v>
      </c>
      <c r="EI368" s="319" t="s">
        <v>190</v>
      </c>
      <c r="EJ368" s="319" t="s">
        <v>190</v>
      </c>
      <c r="EK368" s="319" t="s">
        <v>190</v>
      </c>
      <c r="EL368" s="319" t="s">
        <v>190</v>
      </c>
      <c r="EM368" s="319" t="s">
        <v>190</v>
      </c>
      <c r="EN368" s="319" t="s">
        <v>190</v>
      </c>
      <c r="EO368" s="319" t="s">
        <v>190</v>
      </c>
      <c r="EP368" s="319" t="s">
        <v>190</v>
      </c>
      <c r="EQ368" s="319" t="s">
        <v>190</v>
      </c>
      <c r="ER368" s="319" t="s">
        <v>190</v>
      </c>
      <c r="ES368" s="319" t="s">
        <v>190</v>
      </c>
      <c r="ET368" s="319" t="s">
        <v>190</v>
      </c>
      <c r="EU368" s="319" t="s">
        <v>190</v>
      </c>
      <c r="EV368" s="319" t="s">
        <v>190</v>
      </c>
      <c r="EW368" s="319" t="s">
        <v>190</v>
      </c>
      <c r="EX368" s="319" t="s">
        <v>190</v>
      </c>
      <c r="EY368" s="319" t="s">
        <v>190</v>
      </c>
      <c r="EZ368" s="319" t="s">
        <v>190</v>
      </c>
      <c r="FA368" s="319" t="s">
        <v>190</v>
      </c>
      <c r="FB368" s="319" t="s">
        <v>429</v>
      </c>
      <c r="FC368" s="319" t="s">
        <v>429</v>
      </c>
      <c r="FD368" s="319" t="s">
        <v>429</v>
      </c>
      <c r="FE368" s="319" t="s">
        <v>429</v>
      </c>
      <c r="FF368" s="319" t="s">
        <v>429</v>
      </c>
      <c r="FG368" s="319" t="s">
        <v>429</v>
      </c>
      <c r="FH368" s="319" t="s">
        <v>190</v>
      </c>
      <c r="FI368" s="319" t="s">
        <v>190</v>
      </c>
      <c r="FJ368" s="319" t="s">
        <v>190</v>
      </c>
      <c r="FK368" s="319" t="s">
        <v>190</v>
      </c>
      <c r="FL368" s="319" t="s">
        <v>190</v>
      </c>
      <c r="FM368" s="319" t="s">
        <v>190</v>
      </c>
      <c r="FN368" s="319" t="s">
        <v>190</v>
      </c>
      <c r="FO368" s="319" t="s">
        <v>190</v>
      </c>
      <c r="FP368" s="319" t="s">
        <v>190</v>
      </c>
      <c r="FQ368" s="319" t="s">
        <v>190</v>
      </c>
      <c r="FR368" s="319" t="s">
        <v>190</v>
      </c>
      <c r="FS368" s="319" t="s">
        <v>190</v>
      </c>
      <c r="FT368" s="319" t="s">
        <v>190</v>
      </c>
      <c r="FU368" s="319" t="s">
        <v>190</v>
      </c>
      <c r="FV368" s="319" t="s">
        <v>190</v>
      </c>
      <c r="FW368" s="319" t="s">
        <v>190</v>
      </c>
      <c r="FX368" s="319" t="s">
        <v>190</v>
      </c>
      <c r="FY368" s="319" t="s">
        <v>190</v>
      </c>
      <c r="FZ368" s="319" t="s">
        <v>190</v>
      </c>
      <c r="GA368" s="319" t="s">
        <v>190</v>
      </c>
      <c r="GB368" s="319" t="s">
        <v>190</v>
      </c>
      <c r="GC368" s="319" t="s">
        <v>190</v>
      </c>
      <c r="GD368" s="319" t="s">
        <v>190</v>
      </c>
      <c r="GE368" s="319" t="s">
        <v>190</v>
      </c>
      <c r="GF368" s="319" t="s">
        <v>190</v>
      </c>
      <c r="GG368" s="319" t="s">
        <v>190</v>
      </c>
      <c r="GH368" s="319" t="s">
        <v>190</v>
      </c>
      <c r="GI368" s="319" t="s">
        <v>190</v>
      </c>
      <c r="GJ368" s="319" t="s">
        <v>190</v>
      </c>
      <c r="GK368" s="319" t="s">
        <v>429</v>
      </c>
      <c r="GL368" s="319" t="s">
        <v>190</v>
      </c>
      <c r="GM368" s="319" t="s">
        <v>190</v>
      </c>
      <c r="GN368" s="319" t="s">
        <v>190</v>
      </c>
      <c r="GO368" s="319" t="s">
        <v>190</v>
      </c>
      <c r="GP368" s="319" t="s">
        <v>190</v>
      </c>
      <c r="GQ368" s="319" t="s">
        <v>190</v>
      </c>
      <c r="GR368" s="319" t="s">
        <v>190</v>
      </c>
      <c r="GS368" s="319" t="s">
        <v>190</v>
      </c>
      <c r="GT368" s="319" t="s">
        <v>190</v>
      </c>
      <c r="GU368" s="319" t="s">
        <v>190</v>
      </c>
      <c r="GV368" s="319" t="s">
        <v>190</v>
      </c>
      <c r="GW368" s="319" t="s">
        <v>190</v>
      </c>
      <c r="GX368" s="319" t="s">
        <v>190</v>
      </c>
      <c r="GY368" s="319" t="s">
        <v>190</v>
      </c>
      <c r="GZ368" s="319" t="s">
        <v>190</v>
      </c>
      <c r="HA368" s="319" t="s">
        <v>190</v>
      </c>
      <c r="HB368" s="319" t="s">
        <v>190</v>
      </c>
      <c r="HC368" s="319" t="s">
        <v>190</v>
      </c>
      <c r="HD368" s="319" t="s">
        <v>190</v>
      </c>
      <c r="HE368" s="319" t="s">
        <v>190</v>
      </c>
      <c r="HF368" s="319" t="s">
        <v>190</v>
      </c>
      <c r="HG368" s="319" t="s">
        <v>190</v>
      </c>
      <c r="HH368" s="319" t="s">
        <v>190</v>
      </c>
      <c r="HI368" s="319" t="s">
        <v>190</v>
      </c>
      <c r="HJ368" s="319" t="s">
        <v>190</v>
      </c>
      <c r="HK368" s="319" t="s">
        <v>190</v>
      </c>
      <c r="HL368" s="319" t="s">
        <v>190</v>
      </c>
      <c r="HM368" s="319" t="s">
        <v>190</v>
      </c>
      <c r="HN368" s="319" t="s">
        <v>190</v>
      </c>
      <c r="HO368" s="319" t="s">
        <v>190</v>
      </c>
      <c r="HP368" s="319" t="s">
        <v>190</v>
      </c>
      <c r="HQ368" s="319" t="s">
        <v>190</v>
      </c>
      <c r="HR368" s="319" t="s">
        <v>190</v>
      </c>
      <c r="HS368" s="319" t="s">
        <v>190</v>
      </c>
      <c r="HT368" s="319" t="s">
        <v>190</v>
      </c>
      <c r="HU368" s="319" t="s">
        <v>190</v>
      </c>
      <c r="HV368" s="319" t="s">
        <v>190</v>
      </c>
      <c r="HW368" s="319" t="s">
        <v>190</v>
      </c>
      <c r="HX368" s="319" t="s">
        <v>190</v>
      </c>
      <c r="HY368" s="319" t="s">
        <v>190</v>
      </c>
      <c r="HZ368" s="319" t="s">
        <v>190</v>
      </c>
      <c r="IA368" s="319" t="s">
        <v>190</v>
      </c>
      <c r="IB368" s="319" t="s">
        <v>190</v>
      </c>
      <c r="IC368" s="319" t="s">
        <v>190</v>
      </c>
      <c r="ID368" s="319" t="s">
        <v>190</v>
      </c>
      <c r="IE368" s="319" t="s">
        <v>190</v>
      </c>
      <c r="IF368" s="319" t="s">
        <v>190</v>
      </c>
      <c r="IG368" s="319" t="s">
        <v>190</v>
      </c>
      <c r="IH368" s="319" t="s">
        <v>190</v>
      </c>
      <c r="II368" s="319" t="s">
        <v>190</v>
      </c>
      <c r="IJ368" s="319" t="s">
        <v>3150</v>
      </c>
      <c r="IK368" s="321">
        <v>41598</v>
      </c>
      <c r="IL368" s="321">
        <v>41600</v>
      </c>
      <c r="IM368" s="321">
        <v>41620</v>
      </c>
      <c r="IN368" s="319">
        <v>3</v>
      </c>
      <c r="IO368" s="319" t="s">
        <v>173</v>
      </c>
      <c r="IP368" s="319" t="s">
        <v>173</v>
      </c>
      <c r="IQ368" s="321" t="s">
        <v>173</v>
      </c>
      <c r="IR368" s="320" t="s">
        <v>173</v>
      </c>
      <c r="IS368" s="322" t="s">
        <v>173</v>
      </c>
      <c r="IT368" s="319" t="s">
        <v>173</v>
      </c>
    </row>
    <row r="369" spans="1:254" s="271" customFormat="1" x14ac:dyDescent="0.25">
      <c r="A369" s="318" t="str">
        <f>HYPERLINK("http://www.ofsted.gov.uk/inspection-reports/find-inspection-report/provider/ELS/132099 ","Ofsted School Webpage")</f>
        <v>Ofsted School Webpage</v>
      </c>
      <c r="B369" s="319">
        <v>132099</v>
      </c>
      <c r="C369" s="319">
        <v>3826021</v>
      </c>
      <c r="D369" s="319" t="s">
        <v>778</v>
      </c>
      <c r="E369" s="319" t="s">
        <v>167</v>
      </c>
      <c r="F369" s="319" t="s">
        <v>81</v>
      </c>
      <c r="G369" s="319" t="s">
        <v>72</v>
      </c>
      <c r="H369" s="319" t="s">
        <v>72</v>
      </c>
      <c r="I369" s="319" t="s">
        <v>72</v>
      </c>
      <c r="J369" s="319" t="s">
        <v>424</v>
      </c>
      <c r="K369" s="319" t="s">
        <v>458</v>
      </c>
      <c r="L369" s="319" t="s">
        <v>459</v>
      </c>
      <c r="M369" s="319" t="s">
        <v>682</v>
      </c>
      <c r="N369" s="319" t="s">
        <v>2886</v>
      </c>
      <c r="O369" s="319" t="s">
        <v>779</v>
      </c>
      <c r="P369" s="319">
        <v>226</v>
      </c>
      <c r="Q369" s="319" t="s">
        <v>2766</v>
      </c>
      <c r="R369" s="320">
        <v>10055378</v>
      </c>
      <c r="S369" s="321">
        <v>43445</v>
      </c>
      <c r="T369" s="321">
        <v>43447</v>
      </c>
      <c r="U369" s="321">
        <v>43515</v>
      </c>
      <c r="V369" s="319" t="s">
        <v>425</v>
      </c>
      <c r="W369" s="319" t="s">
        <v>2767</v>
      </c>
      <c r="X369" s="319">
        <v>4</v>
      </c>
      <c r="Y369" s="319" t="s">
        <v>173</v>
      </c>
      <c r="Z369" s="319" t="s">
        <v>173</v>
      </c>
      <c r="AA369" s="319" t="s">
        <v>173</v>
      </c>
      <c r="AB369" s="319">
        <v>4</v>
      </c>
      <c r="AC369" s="319" t="s">
        <v>170</v>
      </c>
      <c r="AD369" s="319">
        <v>4</v>
      </c>
      <c r="AE369" s="319" t="s">
        <v>173</v>
      </c>
      <c r="AF369" s="319" t="s">
        <v>427</v>
      </c>
      <c r="AG369" s="319" t="s">
        <v>172</v>
      </c>
      <c r="AH369" s="319" t="s">
        <v>190</v>
      </c>
      <c r="AI369" s="319" t="s">
        <v>190</v>
      </c>
      <c r="AJ369" s="319" t="s">
        <v>479</v>
      </c>
      <c r="AK369" s="319" t="s">
        <v>190</v>
      </c>
      <c r="AL369" s="319" t="s">
        <v>190</v>
      </c>
      <c r="AM369" s="319" t="s">
        <v>190</v>
      </c>
      <c r="AN369" s="319" t="s">
        <v>190</v>
      </c>
      <c r="AO369" s="319" t="s">
        <v>479</v>
      </c>
      <c r="AP369" s="319" t="s">
        <v>190</v>
      </c>
      <c r="AQ369" s="319" t="s">
        <v>190</v>
      </c>
      <c r="AR369" s="319" t="s">
        <v>190</v>
      </c>
      <c r="AS369" s="319" t="s">
        <v>190</v>
      </c>
      <c r="AT369" s="319" t="s">
        <v>190</v>
      </c>
      <c r="AU369" s="319" t="s">
        <v>190</v>
      </c>
      <c r="AV369" s="319" t="s">
        <v>190</v>
      </c>
      <c r="AW369" s="319" t="s">
        <v>190</v>
      </c>
      <c r="AX369" s="319" t="s">
        <v>428</v>
      </c>
      <c r="AY369" s="319" t="s">
        <v>190</v>
      </c>
      <c r="AZ369" s="319" t="s">
        <v>190</v>
      </c>
      <c r="BA369" s="319" t="s">
        <v>190</v>
      </c>
      <c r="BB369" s="319" t="s">
        <v>428</v>
      </c>
      <c r="BC369" s="319" t="s">
        <v>428</v>
      </c>
      <c r="BD369" s="319" t="s">
        <v>428</v>
      </c>
      <c r="BE369" s="319" t="s">
        <v>428</v>
      </c>
      <c r="BF369" s="319" t="s">
        <v>190</v>
      </c>
      <c r="BG369" s="319" t="s">
        <v>428</v>
      </c>
      <c r="BH369" s="319" t="s">
        <v>190</v>
      </c>
      <c r="BI369" s="319" t="s">
        <v>190</v>
      </c>
      <c r="BJ369" s="319" t="s">
        <v>190</v>
      </c>
      <c r="BK369" s="319" t="s">
        <v>190</v>
      </c>
      <c r="BL369" s="319" t="s">
        <v>190</v>
      </c>
      <c r="BM369" s="319" t="s">
        <v>190</v>
      </c>
      <c r="BN369" s="319" t="s">
        <v>190</v>
      </c>
      <c r="BO369" s="319" t="s">
        <v>190</v>
      </c>
      <c r="BP369" s="319" t="s">
        <v>190</v>
      </c>
      <c r="BQ369" s="319" t="s">
        <v>190</v>
      </c>
      <c r="BR369" s="319" t="s">
        <v>190</v>
      </c>
      <c r="BS369" s="319" t="s">
        <v>190</v>
      </c>
      <c r="BT369" s="319" t="s">
        <v>190</v>
      </c>
      <c r="BU369" s="319" t="s">
        <v>190</v>
      </c>
      <c r="BV369" s="319" t="s">
        <v>190</v>
      </c>
      <c r="BW369" s="319" t="s">
        <v>190</v>
      </c>
      <c r="BX369" s="319" t="s">
        <v>190</v>
      </c>
      <c r="BY369" s="319" t="s">
        <v>190</v>
      </c>
      <c r="BZ369" s="319" t="s">
        <v>190</v>
      </c>
      <c r="CA369" s="319" t="s">
        <v>190</v>
      </c>
      <c r="CB369" s="319" t="s">
        <v>190</v>
      </c>
      <c r="CC369" s="319" t="s">
        <v>190</v>
      </c>
      <c r="CD369" s="319" t="s">
        <v>190</v>
      </c>
      <c r="CE369" s="319" t="s">
        <v>190</v>
      </c>
      <c r="CF369" s="319" t="s">
        <v>190</v>
      </c>
      <c r="CG369" s="319" t="s">
        <v>190</v>
      </c>
      <c r="CH369" s="319" t="s">
        <v>190</v>
      </c>
      <c r="CI369" s="319" t="s">
        <v>190</v>
      </c>
      <c r="CJ369" s="319" t="s">
        <v>190</v>
      </c>
      <c r="CK369" s="319" t="s">
        <v>191</v>
      </c>
      <c r="CL369" s="319" t="s">
        <v>191</v>
      </c>
      <c r="CM369" s="319" t="s">
        <v>191</v>
      </c>
      <c r="CN369" s="319" t="s">
        <v>428</v>
      </c>
      <c r="CO369" s="319" t="s">
        <v>428</v>
      </c>
      <c r="CP369" s="319" t="s">
        <v>428</v>
      </c>
      <c r="CQ369" s="319" t="s">
        <v>190</v>
      </c>
      <c r="CR369" s="319" t="s">
        <v>190</v>
      </c>
      <c r="CS369" s="319" t="s">
        <v>190</v>
      </c>
      <c r="CT369" s="319" t="s">
        <v>190</v>
      </c>
      <c r="CU369" s="319" t="s">
        <v>190</v>
      </c>
      <c r="CV369" s="319" t="s">
        <v>190</v>
      </c>
      <c r="CW369" s="319" t="s">
        <v>190</v>
      </c>
      <c r="CX369" s="319" t="s">
        <v>190</v>
      </c>
      <c r="CY369" s="319" t="s">
        <v>190</v>
      </c>
      <c r="CZ369" s="319" t="s">
        <v>190</v>
      </c>
      <c r="DA369" s="319" t="s">
        <v>190</v>
      </c>
      <c r="DB369" s="319" t="s">
        <v>190</v>
      </c>
      <c r="DC369" s="319" t="s">
        <v>190</v>
      </c>
      <c r="DD369" s="319" t="s">
        <v>190</v>
      </c>
      <c r="DE369" s="319" t="s">
        <v>190</v>
      </c>
      <c r="DF369" s="319" t="s">
        <v>190</v>
      </c>
      <c r="DG369" s="319" t="s">
        <v>190</v>
      </c>
      <c r="DH369" s="319" t="s">
        <v>190</v>
      </c>
      <c r="DI369" s="319" t="s">
        <v>190</v>
      </c>
      <c r="DJ369" s="319" t="s">
        <v>190</v>
      </c>
      <c r="DK369" s="319" t="s">
        <v>190</v>
      </c>
      <c r="DL369" s="319" t="s">
        <v>190</v>
      </c>
      <c r="DM369" s="319" t="s">
        <v>190</v>
      </c>
      <c r="DN369" s="319" t="s">
        <v>190</v>
      </c>
      <c r="DO369" s="319" t="s">
        <v>190</v>
      </c>
      <c r="DP369" s="319" t="s">
        <v>428</v>
      </c>
      <c r="DQ369" s="319" t="s">
        <v>428</v>
      </c>
      <c r="DR369" s="319" t="s">
        <v>428</v>
      </c>
      <c r="DS369" s="319" t="s">
        <v>428</v>
      </c>
      <c r="DT369" s="319" t="s">
        <v>428</v>
      </c>
      <c r="DU369" s="319" t="s">
        <v>428</v>
      </c>
      <c r="DV369" s="319" t="s">
        <v>173</v>
      </c>
      <c r="DW369" s="319" t="s">
        <v>428</v>
      </c>
      <c r="DX369" s="319" t="s">
        <v>428</v>
      </c>
      <c r="DY369" s="319" t="s">
        <v>428</v>
      </c>
      <c r="DZ369" s="319" t="s">
        <v>428</v>
      </c>
      <c r="EA369" s="319" t="s">
        <v>428</v>
      </c>
      <c r="EB369" s="319" t="s">
        <v>428</v>
      </c>
      <c r="EC369" s="319" t="s">
        <v>428</v>
      </c>
      <c r="ED369" s="319" t="s">
        <v>428</v>
      </c>
      <c r="EE369" s="319" t="s">
        <v>190</v>
      </c>
      <c r="EF369" s="319" t="s">
        <v>190</v>
      </c>
      <c r="EG369" s="319" t="s">
        <v>190</v>
      </c>
      <c r="EH369" s="319" t="s">
        <v>190</v>
      </c>
      <c r="EI369" s="319" t="s">
        <v>190</v>
      </c>
      <c r="EJ369" s="319" t="s">
        <v>190</v>
      </c>
      <c r="EK369" s="319" t="s">
        <v>190</v>
      </c>
      <c r="EL369" s="319" t="s">
        <v>428</v>
      </c>
      <c r="EM369" s="319" t="s">
        <v>190</v>
      </c>
      <c r="EN369" s="319" t="s">
        <v>190</v>
      </c>
      <c r="EO369" s="319" t="s">
        <v>190</v>
      </c>
      <c r="EP369" s="319" t="s">
        <v>190</v>
      </c>
      <c r="EQ369" s="319" t="s">
        <v>190</v>
      </c>
      <c r="ER369" s="319" t="s">
        <v>190</v>
      </c>
      <c r="ES369" s="319" t="s">
        <v>190</v>
      </c>
      <c r="ET369" s="319" t="s">
        <v>190</v>
      </c>
      <c r="EU369" s="319" t="s">
        <v>190</v>
      </c>
      <c r="EV369" s="319" t="s">
        <v>190</v>
      </c>
      <c r="EW369" s="319" t="s">
        <v>190</v>
      </c>
      <c r="EX369" s="319" t="s">
        <v>190</v>
      </c>
      <c r="EY369" s="319" t="s">
        <v>190</v>
      </c>
      <c r="EZ369" s="319" t="s">
        <v>190</v>
      </c>
      <c r="FA369" s="319" t="s">
        <v>190</v>
      </c>
      <c r="FB369" s="319" t="s">
        <v>190</v>
      </c>
      <c r="FC369" s="319" t="s">
        <v>190</v>
      </c>
      <c r="FD369" s="319" t="s">
        <v>190</v>
      </c>
      <c r="FE369" s="319" t="s">
        <v>190</v>
      </c>
      <c r="FF369" s="319" t="s">
        <v>190</v>
      </c>
      <c r="FG369" s="319" t="s">
        <v>190</v>
      </c>
      <c r="FH369" s="319" t="s">
        <v>190</v>
      </c>
      <c r="FI369" s="319" t="s">
        <v>190</v>
      </c>
      <c r="FJ369" s="319" t="s">
        <v>190</v>
      </c>
      <c r="FK369" s="319" t="s">
        <v>190</v>
      </c>
      <c r="FL369" s="319" t="s">
        <v>190</v>
      </c>
      <c r="FM369" s="319" t="s">
        <v>190</v>
      </c>
      <c r="FN369" s="319" t="s">
        <v>190</v>
      </c>
      <c r="FO369" s="319" t="s">
        <v>190</v>
      </c>
      <c r="FP369" s="319" t="s">
        <v>190</v>
      </c>
      <c r="FQ369" s="319" t="s">
        <v>190</v>
      </c>
      <c r="FR369" s="319" t="s">
        <v>190</v>
      </c>
      <c r="FS369" s="319" t="s">
        <v>190</v>
      </c>
      <c r="FT369" s="319" t="s">
        <v>190</v>
      </c>
      <c r="FU369" s="319" t="s">
        <v>190</v>
      </c>
      <c r="FV369" s="319" t="s">
        <v>190</v>
      </c>
      <c r="FW369" s="319" t="s">
        <v>190</v>
      </c>
      <c r="FX369" s="319" t="s">
        <v>190</v>
      </c>
      <c r="FY369" s="319" t="s">
        <v>190</v>
      </c>
      <c r="FZ369" s="319" t="s">
        <v>190</v>
      </c>
      <c r="GA369" s="319" t="s">
        <v>190</v>
      </c>
      <c r="GB369" s="319" t="s">
        <v>190</v>
      </c>
      <c r="GC369" s="319" t="s">
        <v>190</v>
      </c>
      <c r="GD369" s="319" t="s">
        <v>190</v>
      </c>
      <c r="GE369" s="319" t="s">
        <v>190</v>
      </c>
      <c r="GF369" s="319" t="s">
        <v>190</v>
      </c>
      <c r="GG369" s="319" t="s">
        <v>190</v>
      </c>
      <c r="GH369" s="319" t="s">
        <v>190</v>
      </c>
      <c r="GI369" s="319" t="s">
        <v>190</v>
      </c>
      <c r="GJ369" s="319" t="s">
        <v>190</v>
      </c>
      <c r="GK369" s="319" t="s">
        <v>428</v>
      </c>
      <c r="GL369" s="319" t="s">
        <v>190</v>
      </c>
      <c r="GM369" s="319" t="s">
        <v>190</v>
      </c>
      <c r="GN369" s="319" t="s">
        <v>190</v>
      </c>
      <c r="GO369" s="319" t="s">
        <v>190</v>
      </c>
      <c r="GP369" s="319" t="s">
        <v>190</v>
      </c>
      <c r="GQ369" s="319" t="s">
        <v>190</v>
      </c>
      <c r="GR369" s="319" t="s">
        <v>190</v>
      </c>
      <c r="GS369" s="319" t="s">
        <v>190</v>
      </c>
      <c r="GT369" s="319" t="s">
        <v>190</v>
      </c>
      <c r="GU369" s="319" t="s">
        <v>190</v>
      </c>
      <c r="GV369" s="319" t="s">
        <v>190</v>
      </c>
      <c r="GW369" s="319" t="s">
        <v>190</v>
      </c>
      <c r="GX369" s="319" t="s">
        <v>190</v>
      </c>
      <c r="GY369" s="319" t="s">
        <v>190</v>
      </c>
      <c r="GZ369" s="319" t="s">
        <v>190</v>
      </c>
      <c r="HA369" s="319" t="s">
        <v>190</v>
      </c>
      <c r="HB369" s="319" t="s">
        <v>190</v>
      </c>
      <c r="HC369" s="319" t="s">
        <v>190</v>
      </c>
      <c r="HD369" s="319" t="s">
        <v>190</v>
      </c>
      <c r="HE369" s="319" t="s">
        <v>190</v>
      </c>
      <c r="HF369" s="319" t="s">
        <v>190</v>
      </c>
      <c r="HG369" s="319" t="s">
        <v>190</v>
      </c>
      <c r="HH369" s="319" t="s">
        <v>190</v>
      </c>
      <c r="HI369" s="319" t="s">
        <v>190</v>
      </c>
      <c r="HJ369" s="319" t="s">
        <v>190</v>
      </c>
      <c r="HK369" s="319" t="s">
        <v>190</v>
      </c>
      <c r="HL369" s="319" t="s">
        <v>190</v>
      </c>
      <c r="HM369" s="319" t="s">
        <v>428</v>
      </c>
      <c r="HN369" s="319" t="s">
        <v>428</v>
      </c>
      <c r="HO369" s="319" t="s">
        <v>428</v>
      </c>
      <c r="HP369" s="319" t="s">
        <v>190</v>
      </c>
      <c r="HQ369" s="319" t="s">
        <v>190</v>
      </c>
      <c r="HR369" s="319" t="s">
        <v>190</v>
      </c>
      <c r="HS369" s="319" t="s">
        <v>190</v>
      </c>
      <c r="HT369" s="319" t="s">
        <v>190</v>
      </c>
      <c r="HU369" s="319" t="s">
        <v>190</v>
      </c>
      <c r="HV369" s="319" t="s">
        <v>190</v>
      </c>
      <c r="HW369" s="319" t="s">
        <v>190</v>
      </c>
      <c r="HX369" s="319" t="s">
        <v>190</v>
      </c>
      <c r="HY369" s="319" t="s">
        <v>190</v>
      </c>
      <c r="HZ369" s="319" t="s">
        <v>190</v>
      </c>
      <c r="IA369" s="319" t="s">
        <v>190</v>
      </c>
      <c r="IB369" s="319" t="s">
        <v>190</v>
      </c>
      <c r="IC369" s="319" t="s">
        <v>190</v>
      </c>
      <c r="ID369" s="319" t="s">
        <v>190</v>
      </c>
      <c r="IE369" s="319" t="s">
        <v>190</v>
      </c>
      <c r="IF369" s="319" t="s">
        <v>191</v>
      </c>
      <c r="IG369" s="319" t="s">
        <v>191</v>
      </c>
      <c r="IH369" s="319" t="s">
        <v>191</v>
      </c>
      <c r="II369" s="319" t="s">
        <v>191</v>
      </c>
      <c r="IJ369" s="319">
        <v>10007703</v>
      </c>
      <c r="IK369" s="321">
        <v>42395</v>
      </c>
      <c r="IL369" s="321">
        <v>42397</v>
      </c>
      <c r="IM369" s="321">
        <v>42444</v>
      </c>
      <c r="IN369" s="319">
        <v>2</v>
      </c>
      <c r="IO369" s="319">
        <v>10118334</v>
      </c>
      <c r="IP369" s="319" t="s">
        <v>985</v>
      </c>
      <c r="IQ369" s="321">
        <v>43760</v>
      </c>
      <c r="IR369" s="320" t="s">
        <v>2771</v>
      </c>
      <c r="IS369" s="322">
        <v>43790</v>
      </c>
      <c r="IT369" s="319" t="s">
        <v>165</v>
      </c>
    </row>
    <row r="370" spans="1:254" s="271" customFormat="1" x14ac:dyDescent="0.25">
      <c r="A370" s="318" t="str">
        <f>HYPERLINK("http://www.ofsted.gov.uk/inspection-reports/find-inspection-report/provider/ELS/132112 ","Ofsted School Webpage")</f>
        <v>Ofsted School Webpage</v>
      </c>
      <c r="B370" s="319">
        <v>132112</v>
      </c>
      <c r="C370" s="319">
        <v>9096050</v>
      </c>
      <c r="D370" s="319" t="s">
        <v>1712</v>
      </c>
      <c r="E370" s="319" t="s">
        <v>168</v>
      </c>
      <c r="F370" s="319" t="s">
        <v>81</v>
      </c>
      <c r="G370" s="319" t="s">
        <v>81</v>
      </c>
      <c r="H370" s="319" t="s">
        <v>81</v>
      </c>
      <c r="I370" s="319" t="s">
        <v>78</v>
      </c>
      <c r="J370" s="319" t="s">
        <v>424</v>
      </c>
      <c r="K370" s="319" t="s">
        <v>431</v>
      </c>
      <c r="L370" s="319" t="s">
        <v>431</v>
      </c>
      <c r="M370" s="319" t="s">
        <v>585</v>
      </c>
      <c r="N370" s="319" t="s">
        <v>3151</v>
      </c>
      <c r="O370" s="319" t="s">
        <v>1713</v>
      </c>
      <c r="P370" s="319">
        <v>9</v>
      </c>
      <c r="Q370" s="319" t="s">
        <v>429</v>
      </c>
      <c r="R370" s="320">
        <v>10092579</v>
      </c>
      <c r="S370" s="321">
        <v>43641</v>
      </c>
      <c r="T370" s="321">
        <v>43643</v>
      </c>
      <c r="U370" s="321">
        <v>43662</v>
      </c>
      <c r="V370" s="319" t="s">
        <v>425</v>
      </c>
      <c r="W370" s="319" t="s">
        <v>2767</v>
      </c>
      <c r="X370" s="319">
        <v>2</v>
      </c>
      <c r="Y370" s="319" t="s">
        <v>173</v>
      </c>
      <c r="Z370" s="319" t="s">
        <v>173</v>
      </c>
      <c r="AA370" s="319" t="s">
        <v>173</v>
      </c>
      <c r="AB370" s="319">
        <v>2</v>
      </c>
      <c r="AC370" s="319" t="s">
        <v>169</v>
      </c>
      <c r="AD370" s="319" t="s">
        <v>173</v>
      </c>
      <c r="AE370" s="319" t="s">
        <v>173</v>
      </c>
      <c r="AF370" s="319" t="s">
        <v>427</v>
      </c>
      <c r="AG370" s="319" t="s">
        <v>171</v>
      </c>
      <c r="AH370" s="319" t="s">
        <v>190</v>
      </c>
      <c r="AI370" s="319" t="s">
        <v>190</v>
      </c>
      <c r="AJ370" s="319" t="s">
        <v>190</v>
      </c>
      <c r="AK370" s="319" t="s">
        <v>190</v>
      </c>
      <c r="AL370" s="319" t="s">
        <v>190</v>
      </c>
      <c r="AM370" s="319" t="s">
        <v>190</v>
      </c>
      <c r="AN370" s="319" t="s">
        <v>190</v>
      </c>
      <c r="AO370" s="319" t="s">
        <v>190</v>
      </c>
      <c r="AP370" s="319" t="s">
        <v>190</v>
      </c>
      <c r="AQ370" s="319" t="s">
        <v>190</v>
      </c>
      <c r="AR370" s="319" t="s">
        <v>190</v>
      </c>
      <c r="AS370" s="319" t="s">
        <v>190</v>
      </c>
      <c r="AT370" s="319" t="s">
        <v>190</v>
      </c>
      <c r="AU370" s="319" t="s">
        <v>190</v>
      </c>
      <c r="AV370" s="319" t="s">
        <v>190</v>
      </c>
      <c r="AW370" s="319" t="s">
        <v>190</v>
      </c>
      <c r="AX370" s="319" t="s">
        <v>428</v>
      </c>
      <c r="AY370" s="319" t="s">
        <v>190</v>
      </c>
      <c r="AZ370" s="319" t="s">
        <v>190</v>
      </c>
      <c r="BA370" s="319" t="s">
        <v>190</v>
      </c>
      <c r="BB370" s="319" t="s">
        <v>190</v>
      </c>
      <c r="BC370" s="319" t="s">
        <v>190</v>
      </c>
      <c r="BD370" s="319" t="s">
        <v>190</v>
      </c>
      <c r="BE370" s="319" t="s">
        <v>190</v>
      </c>
      <c r="BF370" s="319" t="s">
        <v>428</v>
      </c>
      <c r="BG370" s="319" t="s">
        <v>428</v>
      </c>
      <c r="BH370" s="319" t="s">
        <v>190</v>
      </c>
      <c r="BI370" s="319" t="s">
        <v>190</v>
      </c>
      <c r="BJ370" s="319" t="s">
        <v>190</v>
      </c>
      <c r="BK370" s="319" t="s">
        <v>190</v>
      </c>
      <c r="BL370" s="319" t="s">
        <v>190</v>
      </c>
      <c r="BM370" s="319" t="s">
        <v>190</v>
      </c>
      <c r="BN370" s="319" t="s">
        <v>190</v>
      </c>
      <c r="BO370" s="319" t="s">
        <v>190</v>
      </c>
      <c r="BP370" s="319" t="s">
        <v>190</v>
      </c>
      <c r="BQ370" s="319" t="s">
        <v>190</v>
      </c>
      <c r="BR370" s="319" t="s">
        <v>190</v>
      </c>
      <c r="BS370" s="319" t="s">
        <v>190</v>
      </c>
      <c r="BT370" s="319" t="s">
        <v>190</v>
      </c>
      <c r="BU370" s="319" t="s">
        <v>190</v>
      </c>
      <c r="BV370" s="319" t="s">
        <v>190</v>
      </c>
      <c r="BW370" s="319" t="s">
        <v>190</v>
      </c>
      <c r="BX370" s="319" t="s">
        <v>190</v>
      </c>
      <c r="BY370" s="319" t="s">
        <v>190</v>
      </c>
      <c r="BZ370" s="319" t="s">
        <v>190</v>
      </c>
      <c r="CA370" s="319" t="s">
        <v>190</v>
      </c>
      <c r="CB370" s="319" t="s">
        <v>190</v>
      </c>
      <c r="CC370" s="319" t="s">
        <v>190</v>
      </c>
      <c r="CD370" s="319" t="s">
        <v>190</v>
      </c>
      <c r="CE370" s="319" t="s">
        <v>190</v>
      </c>
      <c r="CF370" s="319" t="s">
        <v>190</v>
      </c>
      <c r="CG370" s="319" t="s">
        <v>190</v>
      </c>
      <c r="CH370" s="319" t="s">
        <v>190</v>
      </c>
      <c r="CI370" s="319" t="s">
        <v>190</v>
      </c>
      <c r="CJ370" s="319" t="s">
        <v>190</v>
      </c>
      <c r="CK370" s="319" t="s">
        <v>190</v>
      </c>
      <c r="CL370" s="319" t="s">
        <v>190</v>
      </c>
      <c r="CM370" s="319" t="s">
        <v>190</v>
      </c>
      <c r="CN370" s="319" t="s">
        <v>428</v>
      </c>
      <c r="CO370" s="319" t="s">
        <v>428</v>
      </c>
      <c r="CP370" s="319" t="s">
        <v>428</v>
      </c>
      <c r="CQ370" s="319" t="s">
        <v>190</v>
      </c>
      <c r="CR370" s="319" t="s">
        <v>190</v>
      </c>
      <c r="CS370" s="319" t="s">
        <v>190</v>
      </c>
      <c r="CT370" s="319" t="s">
        <v>190</v>
      </c>
      <c r="CU370" s="319" t="s">
        <v>190</v>
      </c>
      <c r="CV370" s="319" t="s">
        <v>190</v>
      </c>
      <c r="CW370" s="319" t="s">
        <v>190</v>
      </c>
      <c r="CX370" s="319" t="s">
        <v>190</v>
      </c>
      <c r="CY370" s="319" t="s">
        <v>190</v>
      </c>
      <c r="CZ370" s="319" t="s">
        <v>190</v>
      </c>
      <c r="DA370" s="319" t="s">
        <v>190</v>
      </c>
      <c r="DB370" s="319" t="s">
        <v>190</v>
      </c>
      <c r="DC370" s="319" t="s">
        <v>190</v>
      </c>
      <c r="DD370" s="319" t="s">
        <v>190</v>
      </c>
      <c r="DE370" s="319" t="s">
        <v>190</v>
      </c>
      <c r="DF370" s="319" t="s">
        <v>190</v>
      </c>
      <c r="DG370" s="319" t="s">
        <v>190</v>
      </c>
      <c r="DH370" s="319" t="s">
        <v>190</v>
      </c>
      <c r="DI370" s="319" t="s">
        <v>190</v>
      </c>
      <c r="DJ370" s="319" t="s">
        <v>190</v>
      </c>
      <c r="DK370" s="319" t="s">
        <v>190</v>
      </c>
      <c r="DL370" s="319" t="s">
        <v>190</v>
      </c>
      <c r="DM370" s="319" t="s">
        <v>190</v>
      </c>
      <c r="DN370" s="319" t="s">
        <v>428</v>
      </c>
      <c r="DO370" s="319" t="s">
        <v>190</v>
      </c>
      <c r="DP370" s="319" t="s">
        <v>428</v>
      </c>
      <c r="DQ370" s="319" t="s">
        <v>428</v>
      </c>
      <c r="DR370" s="319" t="s">
        <v>428</v>
      </c>
      <c r="DS370" s="319" t="s">
        <v>428</v>
      </c>
      <c r="DT370" s="319" t="s">
        <v>428</v>
      </c>
      <c r="DU370" s="319" t="s">
        <v>428</v>
      </c>
      <c r="DV370" s="319" t="s">
        <v>173</v>
      </c>
      <c r="DW370" s="319" t="s">
        <v>428</v>
      </c>
      <c r="DX370" s="319" t="s">
        <v>428</v>
      </c>
      <c r="DY370" s="319" t="s">
        <v>428</v>
      </c>
      <c r="DZ370" s="319" t="s">
        <v>428</v>
      </c>
      <c r="EA370" s="319" t="s">
        <v>428</v>
      </c>
      <c r="EB370" s="319" t="s">
        <v>428</v>
      </c>
      <c r="EC370" s="319" t="s">
        <v>428</v>
      </c>
      <c r="ED370" s="319" t="s">
        <v>428</v>
      </c>
      <c r="EE370" s="319" t="s">
        <v>190</v>
      </c>
      <c r="EF370" s="319" t="s">
        <v>190</v>
      </c>
      <c r="EG370" s="319" t="s">
        <v>190</v>
      </c>
      <c r="EH370" s="319" t="s">
        <v>190</v>
      </c>
      <c r="EI370" s="319" t="s">
        <v>190</v>
      </c>
      <c r="EJ370" s="319" t="s">
        <v>190</v>
      </c>
      <c r="EK370" s="319" t="s">
        <v>190</v>
      </c>
      <c r="EL370" s="319" t="s">
        <v>190</v>
      </c>
      <c r="EM370" s="319" t="s">
        <v>190</v>
      </c>
      <c r="EN370" s="319" t="s">
        <v>190</v>
      </c>
      <c r="EO370" s="319" t="s">
        <v>190</v>
      </c>
      <c r="EP370" s="319" t="s">
        <v>190</v>
      </c>
      <c r="EQ370" s="319" t="s">
        <v>190</v>
      </c>
      <c r="ER370" s="319" t="s">
        <v>190</v>
      </c>
      <c r="ES370" s="319" t="s">
        <v>190</v>
      </c>
      <c r="ET370" s="319" t="s">
        <v>190</v>
      </c>
      <c r="EU370" s="319" t="s">
        <v>190</v>
      </c>
      <c r="EV370" s="319" t="s">
        <v>190</v>
      </c>
      <c r="EW370" s="319" t="s">
        <v>190</v>
      </c>
      <c r="EX370" s="319" t="s">
        <v>190</v>
      </c>
      <c r="EY370" s="319" t="s">
        <v>190</v>
      </c>
      <c r="EZ370" s="319" t="s">
        <v>190</v>
      </c>
      <c r="FA370" s="319" t="s">
        <v>190</v>
      </c>
      <c r="FB370" s="319" t="s">
        <v>428</v>
      </c>
      <c r="FC370" s="319" t="s">
        <v>428</v>
      </c>
      <c r="FD370" s="319" t="s">
        <v>428</v>
      </c>
      <c r="FE370" s="319" t="s">
        <v>428</v>
      </c>
      <c r="FF370" s="319" t="s">
        <v>428</v>
      </c>
      <c r="FG370" s="319" t="s">
        <v>428</v>
      </c>
      <c r="FH370" s="319" t="s">
        <v>190</v>
      </c>
      <c r="FI370" s="319" t="s">
        <v>428</v>
      </c>
      <c r="FJ370" s="319" t="s">
        <v>429</v>
      </c>
      <c r="FK370" s="319" t="s">
        <v>428</v>
      </c>
      <c r="FL370" s="319" t="s">
        <v>190</v>
      </c>
      <c r="FM370" s="319" t="s">
        <v>190</v>
      </c>
      <c r="FN370" s="319" t="s">
        <v>190</v>
      </c>
      <c r="FO370" s="319" t="s">
        <v>190</v>
      </c>
      <c r="FP370" s="319" t="s">
        <v>190</v>
      </c>
      <c r="FQ370" s="319" t="s">
        <v>190</v>
      </c>
      <c r="FR370" s="319" t="s">
        <v>190</v>
      </c>
      <c r="FS370" s="319" t="s">
        <v>428</v>
      </c>
      <c r="FT370" s="319" t="s">
        <v>190</v>
      </c>
      <c r="FU370" s="319" t="s">
        <v>190</v>
      </c>
      <c r="FV370" s="319" t="s">
        <v>190</v>
      </c>
      <c r="FW370" s="319" t="s">
        <v>190</v>
      </c>
      <c r="FX370" s="319" t="s">
        <v>190</v>
      </c>
      <c r="FY370" s="319" t="s">
        <v>190</v>
      </c>
      <c r="FZ370" s="319" t="s">
        <v>190</v>
      </c>
      <c r="GA370" s="319" t="s">
        <v>190</v>
      </c>
      <c r="GB370" s="319" t="s">
        <v>190</v>
      </c>
      <c r="GC370" s="319" t="s">
        <v>190</v>
      </c>
      <c r="GD370" s="319" t="s">
        <v>190</v>
      </c>
      <c r="GE370" s="319" t="s">
        <v>190</v>
      </c>
      <c r="GF370" s="319" t="s">
        <v>190</v>
      </c>
      <c r="GG370" s="319" t="s">
        <v>190</v>
      </c>
      <c r="GH370" s="319" t="s">
        <v>190</v>
      </c>
      <c r="GI370" s="319" t="s">
        <v>190</v>
      </c>
      <c r="GJ370" s="319" t="s">
        <v>190</v>
      </c>
      <c r="GK370" s="319" t="s">
        <v>428</v>
      </c>
      <c r="GL370" s="319" t="s">
        <v>190</v>
      </c>
      <c r="GM370" s="319" t="s">
        <v>190</v>
      </c>
      <c r="GN370" s="319" t="s">
        <v>190</v>
      </c>
      <c r="GO370" s="319" t="s">
        <v>190</v>
      </c>
      <c r="GP370" s="319" t="s">
        <v>190</v>
      </c>
      <c r="GQ370" s="319" t="s">
        <v>190</v>
      </c>
      <c r="GR370" s="319" t="s">
        <v>190</v>
      </c>
      <c r="GS370" s="319" t="s">
        <v>190</v>
      </c>
      <c r="GT370" s="319" t="s">
        <v>190</v>
      </c>
      <c r="GU370" s="319" t="s">
        <v>190</v>
      </c>
      <c r="GV370" s="319" t="s">
        <v>190</v>
      </c>
      <c r="GW370" s="319" t="s">
        <v>190</v>
      </c>
      <c r="GX370" s="319" t="s">
        <v>190</v>
      </c>
      <c r="GY370" s="319" t="s">
        <v>190</v>
      </c>
      <c r="GZ370" s="319" t="s">
        <v>190</v>
      </c>
      <c r="HA370" s="319" t="s">
        <v>190</v>
      </c>
      <c r="HB370" s="319" t="s">
        <v>190</v>
      </c>
      <c r="HC370" s="319" t="s">
        <v>190</v>
      </c>
      <c r="HD370" s="319" t="s">
        <v>190</v>
      </c>
      <c r="HE370" s="319" t="s">
        <v>190</v>
      </c>
      <c r="HF370" s="319" t="s">
        <v>190</v>
      </c>
      <c r="HG370" s="319" t="s">
        <v>190</v>
      </c>
      <c r="HH370" s="319" t="s">
        <v>190</v>
      </c>
      <c r="HI370" s="319" t="s">
        <v>190</v>
      </c>
      <c r="HJ370" s="319" t="s">
        <v>190</v>
      </c>
      <c r="HK370" s="319" t="s">
        <v>190</v>
      </c>
      <c r="HL370" s="319" t="s">
        <v>190</v>
      </c>
      <c r="HM370" s="319" t="s">
        <v>428</v>
      </c>
      <c r="HN370" s="319" t="s">
        <v>428</v>
      </c>
      <c r="HO370" s="319" t="s">
        <v>428</v>
      </c>
      <c r="HP370" s="319" t="s">
        <v>190</v>
      </c>
      <c r="HQ370" s="319" t="s">
        <v>190</v>
      </c>
      <c r="HR370" s="319" t="s">
        <v>190</v>
      </c>
      <c r="HS370" s="319" t="s">
        <v>190</v>
      </c>
      <c r="HT370" s="319" t="s">
        <v>190</v>
      </c>
      <c r="HU370" s="319" t="s">
        <v>190</v>
      </c>
      <c r="HV370" s="319" t="s">
        <v>190</v>
      </c>
      <c r="HW370" s="319" t="s">
        <v>190</v>
      </c>
      <c r="HX370" s="319" t="s">
        <v>190</v>
      </c>
      <c r="HY370" s="319" t="s">
        <v>190</v>
      </c>
      <c r="HZ370" s="319" t="s">
        <v>190</v>
      </c>
      <c r="IA370" s="319" t="s">
        <v>190</v>
      </c>
      <c r="IB370" s="319" t="s">
        <v>190</v>
      </c>
      <c r="IC370" s="319" t="s">
        <v>190</v>
      </c>
      <c r="ID370" s="319" t="s">
        <v>190</v>
      </c>
      <c r="IE370" s="319" t="s">
        <v>190</v>
      </c>
      <c r="IF370" s="319" t="s">
        <v>190</v>
      </c>
      <c r="IG370" s="319" t="s">
        <v>190</v>
      </c>
      <c r="IH370" s="319" t="s">
        <v>190</v>
      </c>
      <c r="II370" s="319" t="s">
        <v>190</v>
      </c>
      <c r="IJ370" s="319">
        <v>10020789</v>
      </c>
      <c r="IK370" s="321">
        <v>42717</v>
      </c>
      <c r="IL370" s="321">
        <v>42718</v>
      </c>
      <c r="IM370" s="321">
        <v>42753</v>
      </c>
      <c r="IN370" s="319">
        <v>2</v>
      </c>
      <c r="IO370" s="319" t="s">
        <v>173</v>
      </c>
      <c r="IP370" s="319" t="s">
        <v>173</v>
      </c>
      <c r="IQ370" s="319" t="s">
        <v>173</v>
      </c>
      <c r="IR370" s="320" t="s">
        <v>173</v>
      </c>
      <c r="IS370" s="320" t="s">
        <v>173</v>
      </c>
      <c r="IT370" s="319" t="s">
        <v>173</v>
      </c>
    </row>
    <row r="371" spans="1:254" s="271" customFormat="1" x14ac:dyDescent="0.25">
      <c r="A371" s="318" t="str">
        <f>HYPERLINK("http://www.ofsted.gov.uk/inspection-reports/find-inspection-report/provider/ELS/132119 ","Ofsted School Webpage")</f>
        <v>Ofsted School Webpage</v>
      </c>
      <c r="B371" s="319">
        <v>132119</v>
      </c>
      <c r="C371" s="319">
        <v>3416046</v>
      </c>
      <c r="D371" s="319" t="s">
        <v>1714</v>
      </c>
      <c r="E371" s="319" t="s">
        <v>167</v>
      </c>
      <c r="F371" s="319" t="s">
        <v>81</v>
      </c>
      <c r="G371" s="319" t="s">
        <v>79</v>
      </c>
      <c r="H371" s="319" t="s">
        <v>79</v>
      </c>
      <c r="I371" s="319" t="s">
        <v>78</v>
      </c>
      <c r="J371" s="319" t="s">
        <v>424</v>
      </c>
      <c r="K371" s="319" t="s">
        <v>431</v>
      </c>
      <c r="L371" s="319" t="s">
        <v>431</v>
      </c>
      <c r="M371" s="319" t="s">
        <v>652</v>
      </c>
      <c r="N371" s="319" t="s">
        <v>3152</v>
      </c>
      <c r="O371" s="319" t="s">
        <v>1715</v>
      </c>
      <c r="P371" s="319">
        <v>316</v>
      </c>
      <c r="Q371" s="319" t="s">
        <v>2766</v>
      </c>
      <c r="R371" s="320">
        <v>10092580</v>
      </c>
      <c r="S371" s="321">
        <v>43585</v>
      </c>
      <c r="T371" s="321">
        <v>43587</v>
      </c>
      <c r="U371" s="321">
        <v>43608</v>
      </c>
      <c r="V371" s="319" t="s">
        <v>425</v>
      </c>
      <c r="W371" s="319" t="s">
        <v>2767</v>
      </c>
      <c r="X371" s="319">
        <v>1</v>
      </c>
      <c r="Y371" s="319" t="s">
        <v>173</v>
      </c>
      <c r="Z371" s="319" t="s">
        <v>173</v>
      </c>
      <c r="AA371" s="319" t="s">
        <v>173</v>
      </c>
      <c r="AB371" s="319">
        <v>1</v>
      </c>
      <c r="AC371" s="319" t="s">
        <v>169</v>
      </c>
      <c r="AD371" s="319">
        <v>1</v>
      </c>
      <c r="AE371" s="319" t="s">
        <v>173</v>
      </c>
      <c r="AF371" s="319" t="s">
        <v>447</v>
      </c>
      <c r="AG371" s="319" t="s">
        <v>171</v>
      </c>
      <c r="AH371" s="319" t="s">
        <v>190</v>
      </c>
      <c r="AI371" s="319" t="s">
        <v>190</v>
      </c>
      <c r="AJ371" s="319" t="s">
        <v>190</v>
      </c>
      <c r="AK371" s="319" t="s">
        <v>190</v>
      </c>
      <c r="AL371" s="319" t="s">
        <v>190</v>
      </c>
      <c r="AM371" s="319" t="s">
        <v>190</v>
      </c>
      <c r="AN371" s="319" t="s">
        <v>190</v>
      </c>
      <c r="AO371" s="319" t="s">
        <v>190</v>
      </c>
      <c r="AP371" s="319" t="s">
        <v>190</v>
      </c>
      <c r="AQ371" s="319" t="s">
        <v>190</v>
      </c>
      <c r="AR371" s="319" t="s">
        <v>190</v>
      </c>
      <c r="AS371" s="319" t="s">
        <v>190</v>
      </c>
      <c r="AT371" s="319" t="s">
        <v>190</v>
      </c>
      <c r="AU371" s="319" t="s">
        <v>190</v>
      </c>
      <c r="AV371" s="319" t="s">
        <v>190</v>
      </c>
      <c r="AW371" s="319" t="s">
        <v>190</v>
      </c>
      <c r="AX371" s="319" t="s">
        <v>428</v>
      </c>
      <c r="AY371" s="319" t="s">
        <v>190</v>
      </c>
      <c r="AZ371" s="319" t="s">
        <v>190</v>
      </c>
      <c r="BA371" s="319" t="s">
        <v>190</v>
      </c>
      <c r="BB371" s="319" t="s">
        <v>190</v>
      </c>
      <c r="BC371" s="319" t="s">
        <v>190</v>
      </c>
      <c r="BD371" s="319" t="s">
        <v>190</v>
      </c>
      <c r="BE371" s="319" t="s">
        <v>190</v>
      </c>
      <c r="BF371" s="319" t="s">
        <v>190</v>
      </c>
      <c r="BG371" s="319" t="s">
        <v>428</v>
      </c>
      <c r="BH371" s="319" t="s">
        <v>190</v>
      </c>
      <c r="BI371" s="319" t="s">
        <v>190</v>
      </c>
      <c r="BJ371" s="319" t="s">
        <v>190</v>
      </c>
      <c r="BK371" s="319" t="s">
        <v>190</v>
      </c>
      <c r="BL371" s="319" t="s">
        <v>190</v>
      </c>
      <c r="BM371" s="319" t="s">
        <v>190</v>
      </c>
      <c r="BN371" s="319" t="s">
        <v>190</v>
      </c>
      <c r="BO371" s="319" t="s">
        <v>190</v>
      </c>
      <c r="BP371" s="319" t="s">
        <v>190</v>
      </c>
      <c r="BQ371" s="319" t="s">
        <v>190</v>
      </c>
      <c r="BR371" s="319" t="s">
        <v>190</v>
      </c>
      <c r="BS371" s="319" t="s">
        <v>190</v>
      </c>
      <c r="BT371" s="319" t="s">
        <v>190</v>
      </c>
      <c r="BU371" s="319" t="s">
        <v>190</v>
      </c>
      <c r="BV371" s="319" t="s">
        <v>190</v>
      </c>
      <c r="BW371" s="319" t="s">
        <v>190</v>
      </c>
      <c r="BX371" s="319" t="s">
        <v>190</v>
      </c>
      <c r="BY371" s="319" t="s">
        <v>190</v>
      </c>
      <c r="BZ371" s="319" t="s">
        <v>190</v>
      </c>
      <c r="CA371" s="319" t="s">
        <v>190</v>
      </c>
      <c r="CB371" s="319" t="s">
        <v>190</v>
      </c>
      <c r="CC371" s="319" t="s">
        <v>190</v>
      </c>
      <c r="CD371" s="319" t="s">
        <v>190</v>
      </c>
      <c r="CE371" s="319" t="s">
        <v>190</v>
      </c>
      <c r="CF371" s="319" t="s">
        <v>190</v>
      </c>
      <c r="CG371" s="319" t="s">
        <v>190</v>
      </c>
      <c r="CH371" s="319" t="s">
        <v>190</v>
      </c>
      <c r="CI371" s="319" t="s">
        <v>190</v>
      </c>
      <c r="CJ371" s="319" t="s">
        <v>190</v>
      </c>
      <c r="CK371" s="319" t="s">
        <v>190</v>
      </c>
      <c r="CL371" s="319" t="s">
        <v>190</v>
      </c>
      <c r="CM371" s="319" t="s">
        <v>190</v>
      </c>
      <c r="CN371" s="319" t="s">
        <v>428</v>
      </c>
      <c r="CO371" s="319" t="s">
        <v>428</v>
      </c>
      <c r="CP371" s="319" t="s">
        <v>428</v>
      </c>
      <c r="CQ371" s="319" t="s">
        <v>190</v>
      </c>
      <c r="CR371" s="319" t="s">
        <v>190</v>
      </c>
      <c r="CS371" s="319" t="s">
        <v>190</v>
      </c>
      <c r="CT371" s="319" t="s">
        <v>190</v>
      </c>
      <c r="CU371" s="319" t="s">
        <v>190</v>
      </c>
      <c r="CV371" s="319" t="s">
        <v>190</v>
      </c>
      <c r="CW371" s="319" t="s">
        <v>190</v>
      </c>
      <c r="CX371" s="319" t="s">
        <v>190</v>
      </c>
      <c r="CY371" s="319" t="s">
        <v>190</v>
      </c>
      <c r="CZ371" s="319" t="s">
        <v>190</v>
      </c>
      <c r="DA371" s="319" t="s">
        <v>190</v>
      </c>
      <c r="DB371" s="319" t="s">
        <v>190</v>
      </c>
      <c r="DC371" s="319" t="s">
        <v>190</v>
      </c>
      <c r="DD371" s="319" t="s">
        <v>190</v>
      </c>
      <c r="DE371" s="319" t="s">
        <v>190</v>
      </c>
      <c r="DF371" s="319" t="s">
        <v>190</v>
      </c>
      <c r="DG371" s="319" t="s">
        <v>190</v>
      </c>
      <c r="DH371" s="319" t="s">
        <v>190</v>
      </c>
      <c r="DI371" s="319" t="s">
        <v>190</v>
      </c>
      <c r="DJ371" s="319" t="s">
        <v>190</v>
      </c>
      <c r="DK371" s="319" t="s">
        <v>190</v>
      </c>
      <c r="DL371" s="319" t="s">
        <v>190</v>
      </c>
      <c r="DM371" s="319" t="s">
        <v>190</v>
      </c>
      <c r="DN371" s="319" t="s">
        <v>428</v>
      </c>
      <c r="DO371" s="319" t="s">
        <v>190</v>
      </c>
      <c r="DP371" s="319" t="s">
        <v>190</v>
      </c>
      <c r="DQ371" s="319" t="s">
        <v>190</v>
      </c>
      <c r="DR371" s="319" t="s">
        <v>190</v>
      </c>
      <c r="DS371" s="319" t="s">
        <v>190</v>
      </c>
      <c r="DT371" s="319" t="s">
        <v>190</v>
      </c>
      <c r="DU371" s="319" t="s">
        <v>190</v>
      </c>
      <c r="DV371" s="319" t="s">
        <v>173</v>
      </c>
      <c r="DW371" s="319" t="s">
        <v>190</v>
      </c>
      <c r="DX371" s="319" t="s">
        <v>190</v>
      </c>
      <c r="DY371" s="319" t="s">
        <v>190</v>
      </c>
      <c r="DZ371" s="319" t="s">
        <v>190</v>
      </c>
      <c r="EA371" s="319" t="s">
        <v>190</v>
      </c>
      <c r="EB371" s="319" t="s">
        <v>190</v>
      </c>
      <c r="EC371" s="319" t="s">
        <v>428</v>
      </c>
      <c r="ED371" s="319" t="s">
        <v>190</v>
      </c>
      <c r="EE371" s="319" t="s">
        <v>190</v>
      </c>
      <c r="EF371" s="319" t="s">
        <v>190</v>
      </c>
      <c r="EG371" s="319" t="s">
        <v>190</v>
      </c>
      <c r="EH371" s="319" t="s">
        <v>190</v>
      </c>
      <c r="EI371" s="319" t="s">
        <v>190</v>
      </c>
      <c r="EJ371" s="319" t="s">
        <v>190</v>
      </c>
      <c r="EK371" s="319" t="s">
        <v>190</v>
      </c>
      <c r="EL371" s="319" t="s">
        <v>190</v>
      </c>
      <c r="EM371" s="319" t="s">
        <v>190</v>
      </c>
      <c r="EN371" s="319" t="s">
        <v>190</v>
      </c>
      <c r="EO371" s="319" t="s">
        <v>190</v>
      </c>
      <c r="EP371" s="319" t="s">
        <v>190</v>
      </c>
      <c r="EQ371" s="319" t="s">
        <v>190</v>
      </c>
      <c r="ER371" s="319" t="s">
        <v>190</v>
      </c>
      <c r="ES371" s="319" t="s">
        <v>190</v>
      </c>
      <c r="ET371" s="319" t="s">
        <v>190</v>
      </c>
      <c r="EU371" s="319" t="s">
        <v>190</v>
      </c>
      <c r="EV371" s="319" t="s">
        <v>190</v>
      </c>
      <c r="EW371" s="319" t="s">
        <v>190</v>
      </c>
      <c r="EX371" s="319" t="s">
        <v>190</v>
      </c>
      <c r="EY371" s="319" t="s">
        <v>190</v>
      </c>
      <c r="EZ371" s="319" t="s">
        <v>190</v>
      </c>
      <c r="FA371" s="319" t="s">
        <v>190</v>
      </c>
      <c r="FB371" s="319" t="s">
        <v>190</v>
      </c>
      <c r="FC371" s="319" t="s">
        <v>190</v>
      </c>
      <c r="FD371" s="319" t="s">
        <v>190</v>
      </c>
      <c r="FE371" s="319" t="s">
        <v>190</v>
      </c>
      <c r="FF371" s="319" t="s">
        <v>190</v>
      </c>
      <c r="FG371" s="319" t="s">
        <v>190</v>
      </c>
      <c r="FH371" s="319" t="s">
        <v>190</v>
      </c>
      <c r="FI371" s="319" t="s">
        <v>190</v>
      </c>
      <c r="FJ371" s="319" t="s">
        <v>190</v>
      </c>
      <c r="FK371" s="319" t="s">
        <v>190</v>
      </c>
      <c r="FL371" s="319" t="s">
        <v>190</v>
      </c>
      <c r="FM371" s="319" t="s">
        <v>190</v>
      </c>
      <c r="FN371" s="319" t="s">
        <v>190</v>
      </c>
      <c r="FO371" s="319" t="s">
        <v>190</v>
      </c>
      <c r="FP371" s="319" t="s">
        <v>190</v>
      </c>
      <c r="FQ371" s="319" t="s">
        <v>190</v>
      </c>
      <c r="FR371" s="319" t="s">
        <v>190</v>
      </c>
      <c r="FS371" s="319" t="s">
        <v>428</v>
      </c>
      <c r="FT371" s="319" t="s">
        <v>190</v>
      </c>
      <c r="FU371" s="319" t="s">
        <v>190</v>
      </c>
      <c r="FV371" s="319" t="s">
        <v>190</v>
      </c>
      <c r="FW371" s="319" t="s">
        <v>190</v>
      </c>
      <c r="FX371" s="319" t="s">
        <v>190</v>
      </c>
      <c r="FY371" s="319" t="s">
        <v>190</v>
      </c>
      <c r="FZ371" s="319" t="s">
        <v>190</v>
      </c>
      <c r="GA371" s="319" t="s">
        <v>190</v>
      </c>
      <c r="GB371" s="319" t="s">
        <v>190</v>
      </c>
      <c r="GC371" s="319" t="s">
        <v>190</v>
      </c>
      <c r="GD371" s="319" t="s">
        <v>190</v>
      </c>
      <c r="GE371" s="319" t="s">
        <v>190</v>
      </c>
      <c r="GF371" s="319" t="s">
        <v>190</v>
      </c>
      <c r="GG371" s="319" t="s">
        <v>190</v>
      </c>
      <c r="GH371" s="319" t="s">
        <v>190</v>
      </c>
      <c r="GI371" s="319" t="s">
        <v>190</v>
      </c>
      <c r="GJ371" s="319" t="s">
        <v>190</v>
      </c>
      <c r="GK371" s="319" t="s">
        <v>428</v>
      </c>
      <c r="GL371" s="319" t="s">
        <v>190</v>
      </c>
      <c r="GM371" s="319" t="s">
        <v>190</v>
      </c>
      <c r="GN371" s="319" t="s">
        <v>190</v>
      </c>
      <c r="GO371" s="319" t="s">
        <v>190</v>
      </c>
      <c r="GP371" s="319" t="s">
        <v>190</v>
      </c>
      <c r="GQ371" s="319" t="s">
        <v>190</v>
      </c>
      <c r="GR371" s="319" t="s">
        <v>190</v>
      </c>
      <c r="GS371" s="319" t="s">
        <v>190</v>
      </c>
      <c r="GT371" s="319" t="s">
        <v>190</v>
      </c>
      <c r="GU371" s="319" t="s">
        <v>190</v>
      </c>
      <c r="GV371" s="319" t="s">
        <v>190</v>
      </c>
      <c r="GW371" s="319" t="s">
        <v>190</v>
      </c>
      <c r="GX371" s="319" t="s">
        <v>190</v>
      </c>
      <c r="GY371" s="319" t="s">
        <v>190</v>
      </c>
      <c r="GZ371" s="319" t="s">
        <v>428</v>
      </c>
      <c r="HA371" s="319" t="s">
        <v>190</v>
      </c>
      <c r="HB371" s="319" t="s">
        <v>190</v>
      </c>
      <c r="HC371" s="319" t="s">
        <v>190</v>
      </c>
      <c r="HD371" s="319" t="s">
        <v>190</v>
      </c>
      <c r="HE371" s="319" t="s">
        <v>190</v>
      </c>
      <c r="HF371" s="319" t="s">
        <v>190</v>
      </c>
      <c r="HG371" s="319" t="s">
        <v>190</v>
      </c>
      <c r="HH371" s="319" t="s">
        <v>190</v>
      </c>
      <c r="HI371" s="319" t="s">
        <v>190</v>
      </c>
      <c r="HJ371" s="319" t="s">
        <v>190</v>
      </c>
      <c r="HK371" s="319" t="s">
        <v>190</v>
      </c>
      <c r="HL371" s="319" t="s">
        <v>428</v>
      </c>
      <c r="HM371" s="319" t="s">
        <v>428</v>
      </c>
      <c r="HN371" s="319" t="s">
        <v>428</v>
      </c>
      <c r="HO371" s="319" t="s">
        <v>428</v>
      </c>
      <c r="HP371" s="319" t="s">
        <v>190</v>
      </c>
      <c r="HQ371" s="319" t="s">
        <v>190</v>
      </c>
      <c r="HR371" s="319" t="s">
        <v>190</v>
      </c>
      <c r="HS371" s="319" t="s">
        <v>190</v>
      </c>
      <c r="HT371" s="319" t="s">
        <v>190</v>
      </c>
      <c r="HU371" s="319" t="s">
        <v>190</v>
      </c>
      <c r="HV371" s="319" t="s">
        <v>190</v>
      </c>
      <c r="HW371" s="319" t="s">
        <v>190</v>
      </c>
      <c r="HX371" s="319" t="s">
        <v>190</v>
      </c>
      <c r="HY371" s="319" t="s">
        <v>190</v>
      </c>
      <c r="HZ371" s="319" t="s">
        <v>190</v>
      </c>
      <c r="IA371" s="319" t="s">
        <v>190</v>
      </c>
      <c r="IB371" s="319" t="s">
        <v>190</v>
      </c>
      <c r="IC371" s="319" t="s">
        <v>190</v>
      </c>
      <c r="ID371" s="319" t="s">
        <v>190</v>
      </c>
      <c r="IE371" s="319" t="s">
        <v>190</v>
      </c>
      <c r="IF371" s="319" t="s">
        <v>190</v>
      </c>
      <c r="IG371" s="319" t="s">
        <v>190</v>
      </c>
      <c r="IH371" s="319" t="s">
        <v>190</v>
      </c>
      <c r="II371" s="319" t="s">
        <v>190</v>
      </c>
      <c r="IJ371" s="319">
        <v>10020911</v>
      </c>
      <c r="IK371" s="321">
        <v>42675</v>
      </c>
      <c r="IL371" s="321">
        <v>42677</v>
      </c>
      <c r="IM371" s="321">
        <v>42741</v>
      </c>
      <c r="IN371" s="319">
        <v>2</v>
      </c>
      <c r="IO371" s="319" t="s">
        <v>173</v>
      </c>
      <c r="IP371" s="319" t="s">
        <v>173</v>
      </c>
      <c r="IQ371" s="319" t="s">
        <v>173</v>
      </c>
      <c r="IR371" s="320" t="s">
        <v>173</v>
      </c>
      <c r="IS371" s="320" t="s">
        <v>173</v>
      </c>
      <c r="IT371" s="319" t="s">
        <v>173</v>
      </c>
    </row>
    <row r="372" spans="1:254" s="271" customFormat="1" x14ac:dyDescent="0.25">
      <c r="A372" s="318" t="str">
        <f>HYPERLINK("http://www.ofsted.gov.uk/inspection-reports/find-inspection-report/provider/ELS/132120 ","Ofsted School Webpage")</f>
        <v>Ofsted School Webpage</v>
      </c>
      <c r="B372" s="319">
        <v>132120</v>
      </c>
      <c r="C372" s="319">
        <v>8306024</v>
      </c>
      <c r="D372" s="319" t="s">
        <v>1716</v>
      </c>
      <c r="E372" s="319" t="s">
        <v>168</v>
      </c>
      <c r="F372" s="319" t="s">
        <v>81</v>
      </c>
      <c r="G372" s="319" t="s">
        <v>81</v>
      </c>
      <c r="H372" s="319" t="s">
        <v>81</v>
      </c>
      <c r="I372" s="319" t="s">
        <v>78</v>
      </c>
      <c r="J372" s="319" t="s">
        <v>424</v>
      </c>
      <c r="K372" s="319" t="s">
        <v>506</v>
      </c>
      <c r="L372" s="319" t="s">
        <v>506</v>
      </c>
      <c r="M372" s="319" t="s">
        <v>507</v>
      </c>
      <c r="N372" s="319" t="s">
        <v>2918</v>
      </c>
      <c r="O372" s="319" t="s">
        <v>1717</v>
      </c>
      <c r="P372" s="319">
        <v>12</v>
      </c>
      <c r="Q372" s="319" t="s">
        <v>2776</v>
      </c>
      <c r="R372" s="320">
        <v>10048633</v>
      </c>
      <c r="S372" s="321">
        <v>43270</v>
      </c>
      <c r="T372" s="321">
        <v>43272</v>
      </c>
      <c r="U372" s="321">
        <v>43298</v>
      </c>
      <c r="V372" s="319" t="s">
        <v>425</v>
      </c>
      <c r="W372" s="319" t="s">
        <v>2767</v>
      </c>
      <c r="X372" s="319">
        <v>2</v>
      </c>
      <c r="Y372" s="319" t="s">
        <v>173</v>
      </c>
      <c r="Z372" s="319" t="s">
        <v>173</v>
      </c>
      <c r="AA372" s="319" t="s">
        <v>173</v>
      </c>
      <c r="AB372" s="319">
        <v>2</v>
      </c>
      <c r="AC372" s="319" t="s">
        <v>169</v>
      </c>
      <c r="AD372" s="319" t="s">
        <v>173</v>
      </c>
      <c r="AE372" s="319">
        <v>2</v>
      </c>
      <c r="AF372" s="319" t="s">
        <v>427</v>
      </c>
      <c r="AG372" s="319" t="s">
        <v>171</v>
      </c>
      <c r="AH372" s="319" t="s">
        <v>190</v>
      </c>
      <c r="AI372" s="319" t="s">
        <v>190</v>
      </c>
      <c r="AJ372" s="319" t="s">
        <v>190</v>
      </c>
      <c r="AK372" s="319" t="s">
        <v>190</v>
      </c>
      <c r="AL372" s="319" t="s">
        <v>190</v>
      </c>
      <c r="AM372" s="319" t="s">
        <v>190</v>
      </c>
      <c r="AN372" s="319" t="s">
        <v>190</v>
      </c>
      <c r="AO372" s="319" t="s">
        <v>190</v>
      </c>
      <c r="AP372" s="319" t="s">
        <v>190</v>
      </c>
      <c r="AQ372" s="319" t="s">
        <v>190</v>
      </c>
      <c r="AR372" s="319" t="s">
        <v>190</v>
      </c>
      <c r="AS372" s="319" t="s">
        <v>190</v>
      </c>
      <c r="AT372" s="319" t="s">
        <v>190</v>
      </c>
      <c r="AU372" s="319" t="s">
        <v>190</v>
      </c>
      <c r="AV372" s="319" t="s">
        <v>190</v>
      </c>
      <c r="AW372" s="319" t="s">
        <v>190</v>
      </c>
      <c r="AX372" s="319" t="s">
        <v>428</v>
      </c>
      <c r="AY372" s="319" t="s">
        <v>190</v>
      </c>
      <c r="AZ372" s="319" t="s">
        <v>190</v>
      </c>
      <c r="BA372" s="319" t="s">
        <v>190</v>
      </c>
      <c r="BB372" s="319" t="s">
        <v>190</v>
      </c>
      <c r="BC372" s="319" t="s">
        <v>190</v>
      </c>
      <c r="BD372" s="319" t="s">
        <v>190</v>
      </c>
      <c r="BE372" s="319" t="s">
        <v>190</v>
      </c>
      <c r="BF372" s="319" t="s">
        <v>428</v>
      </c>
      <c r="BG372" s="319" t="s">
        <v>190</v>
      </c>
      <c r="BH372" s="319" t="s">
        <v>190</v>
      </c>
      <c r="BI372" s="319" t="s">
        <v>190</v>
      </c>
      <c r="BJ372" s="319" t="s">
        <v>190</v>
      </c>
      <c r="BK372" s="319" t="s">
        <v>190</v>
      </c>
      <c r="BL372" s="319" t="s">
        <v>190</v>
      </c>
      <c r="BM372" s="319" t="s">
        <v>190</v>
      </c>
      <c r="BN372" s="319" t="s">
        <v>190</v>
      </c>
      <c r="BO372" s="319" t="s">
        <v>190</v>
      </c>
      <c r="BP372" s="319" t="s">
        <v>190</v>
      </c>
      <c r="BQ372" s="319" t="s">
        <v>190</v>
      </c>
      <c r="BR372" s="319" t="s">
        <v>190</v>
      </c>
      <c r="BS372" s="319" t="s">
        <v>190</v>
      </c>
      <c r="BT372" s="319" t="s">
        <v>190</v>
      </c>
      <c r="BU372" s="319" t="s">
        <v>190</v>
      </c>
      <c r="BV372" s="319" t="s">
        <v>190</v>
      </c>
      <c r="BW372" s="319" t="s">
        <v>190</v>
      </c>
      <c r="BX372" s="319" t="s">
        <v>190</v>
      </c>
      <c r="BY372" s="319" t="s">
        <v>190</v>
      </c>
      <c r="BZ372" s="319" t="s">
        <v>190</v>
      </c>
      <c r="CA372" s="319" t="s">
        <v>190</v>
      </c>
      <c r="CB372" s="319" t="s">
        <v>190</v>
      </c>
      <c r="CC372" s="319" t="s">
        <v>190</v>
      </c>
      <c r="CD372" s="319" t="s">
        <v>190</v>
      </c>
      <c r="CE372" s="319" t="s">
        <v>190</v>
      </c>
      <c r="CF372" s="319" t="s">
        <v>190</v>
      </c>
      <c r="CG372" s="319" t="s">
        <v>190</v>
      </c>
      <c r="CH372" s="319" t="s">
        <v>190</v>
      </c>
      <c r="CI372" s="319" t="s">
        <v>190</v>
      </c>
      <c r="CJ372" s="319" t="s">
        <v>190</v>
      </c>
      <c r="CK372" s="319" t="s">
        <v>190</v>
      </c>
      <c r="CL372" s="319" t="s">
        <v>190</v>
      </c>
      <c r="CM372" s="319" t="s">
        <v>190</v>
      </c>
      <c r="CN372" s="319" t="s">
        <v>428</v>
      </c>
      <c r="CO372" s="319" t="s">
        <v>428</v>
      </c>
      <c r="CP372" s="319" t="s">
        <v>428</v>
      </c>
      <c r="CQ372" s="319" t="s">
        <v>190</v>
      </c>
      <c r="CR372" s="319" t="s">
        <v>190</v>
      </c>
      <c r="CS372" s="319" t="s">
        <v>190</v>
      </c>
      <c r="CT372" s="319" t="s">
        <v>190</v>
      </c>
      <c r="CU372" s="319" t="s">
        <v>190</v>
      </c>
      <c r="CV372" s="319" t="s">
        <v>190</v>
      </c>
      <c r="CW372" s="319" t="s">
        <v>190</v>
      </c>
      <c r="CX372" s="319" t="s">
        <v>190</v>
      </c>
      <c r="CY372" s="319" t="s">
        <v>190</v>
      </c>
      <c r="CZ372" s="319" t="s">
        <v>190</v>
      </c>
      <c r="DA372" s="319" t="s">
        <v>190</v>
      </c>
      <c r="DB372" s="319" t="s">
        <v>190</v>
      </c>
      <c r="DC372" s="319" t="s">
        <v>190</v>
      </c>
      <c r="DD372" s="319" t="s">
        <v>190</v>
      </c>
      <c r="DE372" s="319" t="s">
        <v>190</v>
      </c>
      <c r="DF372" s="319" t="s">
        <v>190</v>
      </c>
      <c r="DG372" s="319" t="s">
        <v>190</v>
      </c>
      <c r="DH372" s="319" t="s">
        <v>190</v>
      </c>
      <c r="DI372" s="319" t="s">
        <v>190</v>
      </c>
      <c r="DJ372" s="319" t="s">
        <v>190</v>
      </c>
      <c r="DK372" s="319" t="s">
        <v>190</v>
      </c>
      <c r="DL372" s="319" t="s">
        <v>190</v>
      </c>
      <c r="DM372" s="319" t="s">
        <v>190</v>
      </c>
      <c r="DN372" s="319" t="s">
        <v>428</v>
      </c>
      <c r="DO372" s="319" t="s">
        <v>190</v>
      </c>
      <c r="DP372" s="319" t="s">
        <v>190</v>
      </c>
      <c r="DQ372" s="319" t="s">
        <v>190</v>
      </c>
      <c r="DR372" s="319" t="s">
        <v>190</v>
      </c>
      <c r="DS372" s="319" t="s">
        <v>190</v>
      </c>
      <c r="DT372" s="319" t="s">
        <v>190</v>
      </c>
      <c r="DU372" s="319" t="s">
        <v>190</v>
      </c>
      <c r="DV372" s="319" t="s">
        <v>173</v>
      </c>
      <c r="DW372" s="319" t="s">
        <v>190</v>
      </c>
      <c r="DX372" s="319" t="s">
        <v>190</v>
      </c>
      <c r="DY372" s="319" t="s">
        <v>190</v>
      </c>
      <c r="DZ372" s="319" t="s">
        <v>190</v>
      </c>
      <c r="EA372" s="319" t="s">
        <v>190</v>
      </c>
      <c r="EB372" s="319" t="s">
        <v>190</v>
      </c>
      <c r="EC372" s="319" t="s">
        <v>428</v>
      </c>
      <c r="ED372" s="319" t="s">
        <v>190</v>
      </c>
      <c r="EE372" s="319" t="s">
        <v>190</v>
      </c>
      <c r="EF372" s="319" t="s">
        <v>190</v>
      </c>
      <c r="EG372" s="319" t="s">
        <v>190</v>
      </c>
      <c r="EH372" s="319" t="s">
        <v>190</v>
      </c>
      <c r="EI372" s="319" t="s">
        <v>190</v>
      </c>
      <c r="EJ372" s="319" t="s">
        <v>190</v>
      </c>
      <c r="EK372" s="319" t="s">
        <v>190</v>
      </c>
      <c r="EL372" s="319" t="s">
        <v>190</v>
      </c>
      <c r="EM372" s="319" t="s">
        <v>190</v>
      </c>
      <c r="EN372" s="319" t="s">
        <v>190</v>
      </c>
      <c r="EO372" s="319" t="s">
        <v>190</v>
      </c>
      <c r="EP372" s="319" t="s">
        <v>190</v>
      </c>
      <c r="EQ372" s="319" t="s">
        <v>190</v>
      </c>
      <c r="ER372" s="319" t="s">
        <v>190</v>
      </c>
      <c r="ES372" s="319" t="s">
        <v>190</v>
      </c>
      <c r="ET372" s="319" t="s">
        <v>190</v>
      </c>
      <c r="EU372" s="319" t="s">
        <v>190</v>
      </c>
      <c r="EV372" s="319" t="s">
        <v>190</v>
      </c>
      <c r="EW372" s="319" t="s">
        <v>190</v>
      </c>
      <c r="EX372" s="319" t="s">
        <v>190</v>
      </c>
      <c r="EY372" s="319" t="s">
        <v>190</v>
      </c>
      <c r="EZ372" s="319" t="s">
        <v>190</v>
      </c>
      <c r="FA372" s="319" t="s">
        <v>190</v>
      </c>
      <c r="FB372" s="319" t="s">
        <v>190</v>
      </c>
      <c r="FC372" s="319" t="s">
        <v>190</v>
      </c>
      <c r="FD372" s="319" t="s">
        <v>190</v>
      </c>
      <c r="FE372" s="319" t="s">
        <v>190</v>
      </c>
      <c r="FF372" s="319" t="s">
        <v>190</v>
      </c>
      <c r="FG372" s="319" t="s">
        <v>190</v>
      </c>
      <c r="FH372" s="319" t="s">
        <v>190</v>
      </c>
      <c r="FI372" s="319" t="s">
        <v>190</v>
      </c>
      <c r="FJ372" s="319" t="s">
        <v>190</v>
      </c>
      <c r="FK372" s="319" t="s">
        <v>190</v>
      </c>
      <c r="FL372" s="319" t="s">
        <v>190</v>
      </c>
      <c r="FM372" s="319" t="s">
        <v>190</v>
      </c>
      <c r="FN372" s="319" t="s">
        <v>190</v>
      </c>
      <c r="FO372" s="319" t="s">
        <v>190</v>
      </c>
      <c r="FP372" s="319" t="s">
        <v>190</v>
      </c>
      <c r="FQ372" s="319" t="s">
        <v>190</v>
      </c>
      <c r="FR372" s="319" t="s">
        <v>190</v>
      </c>
      <c r="FS372" s="319" t="s">
        <v>428</v>
      </c>
      <c r="FT372" s="319" t="s">
        <v>190</v>
      </c>
      <c r="FU372" s="319" t="s">
        <v>190</v>
      </c>
      <c r="FV372" s="319" t="s">
        <v>190</v>
      </c>
      <c r="FW372" s="319" t="s">
        <v>190</v>
      </c>
      <c r="FX372" s="319" t="s">
        <v>190</v>
      </c>
      <c r="FY372" s="319" t="s">
        <v>190</v>
      </c>
      <c r="FZ372" s="319" t="s">
        <v>190</v>
      </c>
      <c r="GA372" s="319" t="s">
        <v>190</v>
      </c>
      <c r="GB372" s="319" t="s">
        <v>190</v>
      </c>
      <c r="GC372" s="319" t="s">
        <v>190</v>
      </c>
      <c r="GD372" s="319" t="s">
        <v>190</v>
      </c>
      <c r="GE372" s="319" t="s">
        <v>190</v>
      </c>
      <c r="GF372" s="319" t="s">
        <v>190</v>
      </c>
      <c r="GG372" s="319" t="s">
        <v>190</v>
      </c>
      <c r="GH372" s="319" t="s">
        <v>190</v>
      </c>
      <c r="GI372" s="319" t="s">
        <v>190</v>
      </c>
      <c r="GJ372" s="319" t="s">
        <v>190</v>
      </c>
      <c r="GK372" s="319" t="s">
        <v>428</v>
      </c>
      <c r="GL372" s="319" t="s">
        <v>190</v>
      </c>
      <c r="GM372" s="319" t="s">
        <v>190</v>
      </c>
      <c r="GN372" s="319" t="s">
        <v>190</v>
      </c>
      <c r="GO372" s="319" t="s">
        <v>190</v>
      </c>
      <c r="GP372" s="319" t="s">
        <v>190</v>
      </c>
      <c r="GQ372" s="319" t="s">
        <v>428</v>
      </c>
      <c r="GR372" s="319" t="s">
        <v>190</v>
      </c>
      <c r="GS372" s="319" t="s">
        <v>190</v>
      </c>
      <c r="GT372" s="319" t="s">
        <v>190</v>
      </c>
      <c r="GU372" s="319" t="s">
        <v>190</v>
      </c>
      <c r="GV372" s="319" t="s">
        <v>428</v>
      </c>
      <c r="GW372" s="319" t="s">
        <v>190</v>
      </c>
      <c r="GX372" s="319" t="s">
        <v>190</v>
      </c>
      <c r="GY372" s="319" t="s">
        <v>190</v>
      </c>
      <c r="GZ372" s="319" t="s">
        <v>428</v>
      </c>
      <c r="HA372" s="319" t="s">
        <v>190</v>
      </c>
      <c r="HB372" s="319" t="s">
        <v>428</v>
      </c>
      <c r="HC372" s="319" t="s">
        <v>190</v>
      </c>
      <c r="HD372" s="319" t="s">
        <v>190</v>
      </c>
      <c r="HE372" s="319" t="s">
        <v>190</v>
      </c>
      <c r="HF372" s="319" t="s">
        <v>190</v>
      </c>
      <c r="HG372" s="319" t="s">
        <v>190</v>
      </c>
      <c r="HH372" s="319" t="s">
        <v>190</v>
      </c>
      <c r="HI372" s="319" t="s">
        <v>190</v>
      </c>
      <c r="HJ372" s="319" t="s">
        <v>190</v>
      </c>
      <c r="HK372" s="319" t="s">
        <v>190</v>
      </c>
      <c r="HL372" s="319" t="s">
        <v>428</v>
      </c>
      <c r="HM372" s="319" t="s">
        <v>428</v>
      </c>
      <c r="HN372" s="319" t="s">
        <v>428</v>
      </c>
      <c r="HO372" s="319" t="s">
        <v>428</v>
      </c>
      <c r="HP372" s="319" t="s">
        <v>190</v>
      </c>
      <c r="HQ372" s="319" t="s">
        <v>190</v>
      </c>
      <c r="HR372" s="319" t="s">
        <v>190</v>
      </c>
      <c r="HS372" s="319" t="s">
        <v>190</v>
      </c>
      <c r="HT372" s="319" t="s">
        <v>190</v>
      </c>
      <c r="HU372" s="319" t="s">
        <v>190</v>
      </c>
      <c r="HV372" s="319" t="s">
        <v>190</v>
      </c>
      <c r="HW372" s="319" t="s">
        <v>190</v>
      </c>
      <c r="HX372" s="319" t="s">
        <v>190</v>
      </c>
      <c r="HY372" s="319" t="s">
        <v>190</v>
      </c>
      <c r="HZ372" s="319" t="s">
        <v>190</v>
      </c>
      <c r="IA372" s="319" t="s">
        <v>190</v>
      </c>
      <c r="IB372" s="319" t="s">
        <v>190</v>
      </c>
      <c r="IC372" s="319" t="s">
        <v>190</v>
      </c>
      <c r="ID372" s="319" t="s">
        <v>190</v>
      </c>
      <c r="IE372" s="319" t="s">
        <v>190</v>
      </c>
      <c r="IF372" s="319" t="s">
        <v>190</v>
      </c>
      <c r="IG372" s="319" t="s">
        <v>190</v>
      </c>
      <c r="IH372" s="319" t="s">
        <v>190</v>
      </c>
      <c r="II372" s="319" t="s">
        <v>190</v>
      </c>
      <c r="IJ372" s="319" t="s">
        <v>3153</v>
      </c>
      <c r="IK372" s="321">
        <v>42165</v>
      </c>
      <c r="IL372" s="321">
        <v>42167</v>
      </c>
      <c r="IM372" s="321">
        <v>42193</v>
      </c>
      <c r="IN372" s="319">
        <v>2</v>
      </c>
      <c r="IO372" s="319" t="s">
        <v>173</v>
      </c>
      <c r="IP372" s="319" t="s">
        <v>173</v>
      </c>
      <c r="IQ372" s="321" t="s">
        <v>173</v>
      </c>
      <c r="IR372" s="320" t="s">
        <v>173</v>
      </c>
      <c r="IS372" s="322" t="s">
        <v>173</v>
      </c>
      <c r="IT372" s="319" t="s">
        <v>173</v>
      </c>
    </row>
    <row r="373" spans="1:254" s="271" customFormat="1" x14ac:dyDescent="0.25">
      <c r="A373" s="318" t="str">
        <f>HYPERLINK("http://www.ofsted.gov.uk/inspection-reports/find-inspection-report/provider/ELS/132190 ","Ofsted School Webpage")</f>
        <v>Ofsted School Webpage</v>
      </c>
      <c r="B373" s="319">
        <v>132190</v>
      </c>
      <c r="C373" s="319">
        <v>8926013</v>
      </c>
      <c r="D373" s="319" t="s">
        <v>1718</v>
      </c>
      <c r="E373" s="319" t="s">
        <v>167</v>
      </c>
      <c r="F373" s="319" t="s">
        <v>81</v>
      </c>
      <c r="G373" s="319" t="s">
        <v>72</v>
      </c>
      <c r="H373" s="319" t="s">
        <v>72</v>
      </c>
      <c r="I373" s="319" t="s">
        <v>72</v>
      </c>
      <c r="J373" s="319" t="s">
        <v>424</v>
      </c>
      <c r="K373" s="319" t="s">
        <v>506</v>
      </c>
      <c r="L373" s="319" t="s">
        <v>506</v>
      </c>
      <c r="M373" s="319" t="s">
        <v>673</v>
      </c>
      <c r="N373" s="319" t="s">
        <v>3019</v>
      </c>
      <c r="O373" s="319" t="s">
        <v>1719</v>
      </c>
      <c r="P373" s="319">
        <v>48</v>
      </c>
      <c r="Q373" s="319" t="s">
        <v>2766</v>
      </c>
      <c r="R373" s="320">
        <v>10033530</v>
      </c>
      <c r="S373" s="321">
        <v>42920</v>
      </c>
      <c r="T373" s="321">
        <v>42922</v>
      </c>
      <c r="U373" s="321">
        <v>43041</v>
      </c>
      <c r="V373" s="319" t="s">
        <v>425</v>
      </c>
      <c r="W373" s="319" t="s">
        <v>2767</v>
      </c>
      <c r="X373" s="319">
        <v>4</v>
      </c>
      <c r="Y373" s="319" t="s">
        <v>173</v>
      </c>
      <c r="Z373" s="319" t="s">
        <v>173</v>
      </c>
      <c r="AA373" s="319" t="s">
        <v>173</v>
      </c>
      <c r="AB373" s="319">
        <v>4</v>
      </c>
      <c r="AC373" s="319" t="s">
        <v>170</v>
      </c>
      <c r="AD373" s="319" t="s">
        <v>173</v>
      </c>
      <c r="AE373" s="319" t="s">
        <v>173</v>
      </c>
      <c r="AF373" s="319" t="s">
        <v>173</v>
      </c>
      <c r="AG373" s="319" t="s">
        <v>172</v>
      </c>
      <c r="AH373" s="319" t="s">
        <v>479</v>
      </c>
      <c r="AI373" s="319" t="s">
        <v>479</v>
      </c>
      <c r="AJ373" s="319" t="s">
        <v>479</v>
      </c>
      <c r="AK373" s="319" t="s">
        <v>479</v>
      </c>
      <c r="AL373" s="319" t="s">
        <v>479</v>
      </c>
      <c r="AM373" s="319" t="s">
        <v>479</v>
      </c>
      <c r="AN373" s="319" t="s">
        <v>479</v>
      </c>
      <c r="AO373" s="319" t="s">
        <v>479</v>
      </c>
      <c r="AP373" s="319" t="s">
        <v>191</v>
      </c>
      <c r="AQ373" s="319" t="s">
        <v>191</v>
      </c>
      <c r="AR373" s="319" t="s">
        <v>190</v>
      </c>
      <c r="AS373" s="319" t="s">
        <v>190</v>
      </c>
      <c r="AT373" s="319" t="s">
        <v>190</v>
      </c>
      <c r="AU373" s="319" t="s">
        <v>191</v>
      </c>
      <c r="AV373" s="319" t="s">
        <v>190</v>
      </c>
      <c r="AW373" s="319" t="s">
        <v>190</v>
      </c>
      <c r="AX373" s="319" t="s">
        <v>190</v>
      </c>
      <c r="AY373" s="319" t="s">
        <v>191</v>
      </c>
      <c r="AZ373" s="319" t="s">
        <v>190</v>
      </c>
      <c r="BA373" s="319" t="s">
        <v>191</v>
      </c>
      <c r="BB373" s="319" t="s">
        <v>429</v>
      </c>
      <c r="BC373" s="319" t="s">
        <v>429</v>
      </c>
      <c r="BD373" s="319" t="s">
        <v>429</v>
      </c>
      <c r="BE373" s="319" t="s">
        <v>429</v>
      </c>
      <c r="BF373" s="319" t="s">
        <v>429</v>
      </c>
      <c r="BG373" s="319" t="s">
        <v>429</v>
      </c>
      <c r="BH373" s="319" t="s">
        <v>190</v>
      </c>
      <c r="BI373" s="319" t="s">
        <v>191</v>
      </c>
      <c r="BJ373" s="319" t="s">
        <v>190</v>
      </c>
      <c r="BK373" s="319" t="s">
        <v>190</v>
      </c>
      <c r="BL373" s="319" t="s">
        <v>190</v>
      </c>
      <c r="BM373" s="319" t="s">
        <v>190</v>
      </c>
      <c r="BN373" s="319" t="s">
        <v>190</v>
      </c>
      <c r="BO373" s="319" t="s">
        <v>190</v>
      </c>
      <c r="BP373" s="319" t="s">
        <v>190</v>
      </c>
      <c r="BQ373" s="319" t="s">
        <v>190</v>
      </c>
      <c r="BR373" s="319" t="s">
        <v>190</v>
      </c>
      <c r="BS373" s="319" t="s">
        <v>190</v>
      </c>
      <c r="BT373" s="319" t="s">
        <v>190</v>
      </c>
      <c r="BU373" s="319" t="s">
        <v>190</v>
      </c>
      <c r="BV373" s="319" t="s">
        <v>191</v>
      </c>
      <c r="BW373" s="319" t="s">
        <v>190</v>
      </c>
      <c r="BX373" s="319" t="s">
        <v>191</v>
      </c>
      <c r="BY373" s="319" t="s">
        <v>190</v>
      </c>
      <c r="BZ373" s="319" t="s">
        <v>190</v>
      </c>
      <c r="CA373" s="319" t="s">
        <v>191</v>
      </c>
      <c r="CB373" s="319" t="s">
        <v>191</v>
      </c>
      <c r="CC373" s="319" t="s">
        <v>190</v>
      </c>
      <c r="CD373" s="319" t="s">
        <v>191</v>
      </c>
      <c r="CE373" s="319" t="s">
        <v>190</v>
      </c>
      <c r="CF373" s="319" t="s">
        <v>190</v>
      </c>
      <c r="CG373" s="319" t="s">
        <v>190</v>
      </c>
      <c r="CH373" s="319" t="s">
        <v>190</v>
      </c>
      <c r="CI373" s="319" t="s">
        <v>190</v>
      </c>
      <c r="CJ373" s="319" t="s">
        <v>190</v>
      </c>
      <c r="CK373" s="319" t="s">
        <v>191</v>
      </c>
      <c r="CL373" s="319" t="s">
        <v>191</v>
      </c>
      <c r="CM373" s="319" t="s">
        <v>191</v>
      </c>
      <c r="CN373" s="319" t="s">
        <v>429</v>
      </c>
      <c r="CO373" s="319" t="s">
        <v>429</v>
      </c>
      <c r="CP373" s="319" t="s">
        <v>429</v>
      </c>
      <c r="CQ373" s="319" t="s">
        <v>190</v>
      </c>
      <c r="CR373" s="319" t="s">
        <v>190</v>
      </c>
      <c r="CS373" s="319" t="s">
        <v>190</v>
      </c>
      <c r="CT373" s="319" t="s">
        <v>190</v>
      </c>
      <c r="CU373" s="319" t="s">
        <v>190</v>
      </c>
      <c r="CV373" s="319" t="s">
        <v>191</v>
      </c>
      <c r="CW373" s="319" t="s">
        <v>191</v>
      </c>
      <c r="CX373" s="319" t="s">
        <v>190</v>
      </c>
      <c r="CY373" s="319" t="s">
        <v>190</v>
      </c>
      <c r="CZ373" s="319" t="s">
        <v>190</v>
      </c>
      <c r="DA373" s="319" t="s">
        <v>191</v>
      </c>
      <c r="DB373" s="319" t="s">
        <v>191</v>
      </c>
      <c r="DC373" s="319" t="s">
        <v>191</v>
      </c>
      <c r="DD373" s="319" t="s">
        <v>191</v>
      </c>
      <c r="DE373" s="319" t="s">
        <v>190</v>
      </c>
      <c r="DF373" s="319" t="s">
        <v>191</v>
      </c>
      <c r="DG373" s="319" t="s">
        <v>190</v>
      </c>
      <c r="DH373" s="319" t="s">
        <v>190</v>
      </c>
      <c r="DI373" s="319" t="s">
        <v>190</v>
      </c>
      <c r="DJ373" s="319" t="s">
        <v>190</v>
      </c>
      <c r="DK373" s="319" t="s">
        <v>190</v>
      </c>
      <c r="DL373" s="319" t="s">
        <v>190</v>
      </c>
      <c r="DM373" s="319" t="s">
        <v>190</v>
      </c>
      <c r="DN373" s="319" t="s">
        <v>429</v>
      </c>
      <c r="DO373" s="319" t="s">
        <v>190</v>
      </c>
      <c r="DP373" s="319" t="s">
        <v>429</v>
      </c>
      <c r="DQ373" s="319" t="s">
        <v>429</v>
      </c>
      <c r="DR373" s="319" t="s">
        <v>429</v>
      </c>
      <c r="DS373" s="319" t="s">
        <v>429</v>
      </c>
      <c r="DT373" s="319" t="s">
        <v>429</v>
      </c>
      <c r="DU373" s="319" t="s">
        <v>429</v>
      </c>
      <c r="DV373" s="319" t="s">
        <v>173</v>
      </c>
      <c r="DW373" s="319" t="s">
        <v>429</v>
      </c>
      <c r="DX373" s="319" t="s">
        <v>429</v>
      </c>
      <c r="DY373" s="319" t="s">
        <v>429</v>
      </c>
      <c r="DZ373" s="319" t="s">
        <v>429</v>
      </c>
      <c r="EA373" s="319" t="s">
        <v>429</v>
      </c>
      <c r="EB373" s="319" t="s">
        <v>429</v>
      </c>
      <c r="EC373" s="319" t="s">
        <v>429</v>
      </c>
      <c r="ED373" s="319" t="s">
        <v>429</v>
      </c>
      <c r="EE373" s="319" t="s">
        <v>191</v>
      </c>
      <c r="EF373" s="319" t="s">
        <v>191</v>
      </c>
      <c r="EG373" s="319" t="s">
        <v>190</v>
      </c>
      <c r="EH373" s="319" t="s">
        <v>191</v>
      </c>
      <c r="EI373" s="319" t="s">
        <v>190</v>
      </c>
      <c r="EJ373" s="319" t="s">
        <v>190</v>
      </c>
      <c r="EK373" s="319" t="s">
        <v>190</v>
      </c>
      <c r="EL373" s="319" t="s">
        <v>190</v>
      </c>
      <c r="EM373" s="319" t="s">
        <v>190</v>
      </c>
      <c r="EN373" s="319" t="s">
        <v>191</v>
      </c>
      <c r="EO373" s="319" t="s">
        <v>190</v>
      </c>
      <c r="EP373" s="319" t="s">
        <v>191</v>
      </c>
      <c r="EQ373" s="319" t="s">
        <v>191</v>
      </c>
      <c r="ER373" s="319" t="s">
        <v>190</v>
      </c>
      <c r="ES373" s="319" t="s">
        <v>190</v>
      </c>
      <c r="ET373" s="319" t="s">
        <v>191</v>
      </c>
      <c r="EU373" s="319" t="s">
        <v>190</v>
      </c>
      <c r="EV373" s="319" t="s">
        <v>190</v>
      </c>
      <c r="EW373" s="319" t="s">
        <v>190</v>
      </c>
      <c r="EX373" s="319" t="s">
        <v>190</v>
      </c>
      <c r="EY373" s="319" t="s">
        <v>190</v>
      </c>
      <c r="EZ373" s="319" t="s">
        <v>190</v>
      </c>
      <c r="FA373" s="319" t="s">
        <v>191</v>
      </c>
      <c r="FB373" s="319" t="s">
        <v>429</v>
      </c>
      <c r="FC373" s="319" t="s">
        <v>429</v>
      </c>
      <c r="FD373" s="319" t="s">
        <v>429</v>
      </c>
      <c r="FE373" s="319" t="s">
        <v>429</v>
      </c>
      <c r="FF373" s="319" t="s">
        <v>429</v>
      </c>
      <c r="FG373" s="319" t="s">
        <v>429</v>
      </c>
      <c r="FH373" s="319" t="s">
        <v>191</v>
      </c>
      <c r="FI373" s="319" t="s">
        <v>429</v>
      </c>
      <c r="FJ373" s="319" t="s">
        <v>429</v>
      </c>
      <c r="FK373" s="319" t="s">
        <v>429</v>
      </c>
      <c r="FL373" s="319" t="s">
        <v>191</v>
      </c>
      <c r="FM373" s="319" t="s">
        <v>191</v>
      </c>
      <c r="FN373" s="319" t="s">
        <v>190</v>
      </c>
      <c r="FO373" s="319" t="s">
        <v>429</v>
      </c>
      <c r="FP373" s="319" t="s">
        <v>429</v>
      </c>
      <c r="FQ373" s="319" t="s">
        <v>191</v>
      </c>
      <c r="FR373" s="319" t="s">
        <v>191</v>
      </c>
      <c r="FS373" s="319" t="s">
        <v>429</v>
      </c>
      <c r="FT373" s="319" t="s">
        <v>191</v>
      </c>
      <c r="FU373" s="319" t="s">
        <v>191</v>
      </c>
      <c r="FV373" s="319" t="s">
        <v>190</v>
      </c>
      <c r="FW373" s="319" t="s">
        <v>190</v>
      </c>
      <c r="FX373" s="319" t="s">
        <v>190</v>
      </c>
      <c r="FY373" s="319" t="s">
        <v>190</v>
      </c>
      <c r="FZ373" s="319" t="s">
        <v>191</v>
      </c>
      <c r="GA373" s="319" t="s">
        <v>190</v>
      </c>
      <c r="GB373" s="319" t="s">
        <v>191</v>
      </c>
      <c r="GC373" s="319" t="s">
        <v>191</v>
      </c>
      <c r="GD373" s="319" t="s">
        <v>190</v>
      </c>
      <c r="GE373" s="319" t="s">
        <v>190</v>
      </c>
      <c r="GF373" s="319" t="s">
        <v>190</v>
      </c>
      <c r="GG373" s="319" t="s">
        <v>190</v>
      </c>
      <c r="GH373" s="319" t="s">
        <v>190</v>
      </c>
      <c r="GI373" s="319" t="s">
        <v>190</v>
      </c>
      <c r="GJ373" s="319" t="s">
        <v>190</v>
      </c>
      <c r="GK373" s="319" t="s">
        <v>429</v>
      </c>
      <c r="GL373" s="319" t="s">
        <v>191</v>
      </c>
      <c r="GM373" s="319" t="s">
        <v>190</v>
      </c>
      <c r="GN373" s="319" t="s">
        <v>191</v>
      </c>
      <c r="GO373" s="319" t="s">
        <v>191</v>
      </c>
      <c r="GP373" s="319" t="s">
        <v>190</v>
      </c>
      <c r="GQ373" s="319" t="s">
        <v>429</v>
      </c>
      <c r="GR373" s="319" t="s">
        <v>190</v>
      </c>
      <c r="GS373" s="319" t="s">
        <v>190</v>
      </c>
      <c r="GT373" s="319" t="s">
        <v>429</v>
      </c>
      <c r="GU373" s="319" t="s">
        <v>429</v>
      </c>
      <c r="GV373" s="319" t="s">
        <v>429</v>
      </c>
      <c r="GW373" s="319" t="s">
        <v>190</v>
      </c>
      <c r="GX373" s="319" t="s">
        <v>190</v>
      </c>
      <c r="GY373" s="319" t="s">
        <v>190</v>
      </c>
      <c r="GZ373" s="319" t="s">
        <v>190</v>
      </c>
      <c r="HA373" s="319" t="s">
        <v>190</v>
      </c>
      <c r="HB373" s="319" t="s">
        <v>190</v>
      </c>
      <c r="HC373" s="319" t="s">
        <v>190</v>
      </c>
      <c r="HD373" s="319" t="s">
        <v>191</v>
      </c>
      <c r="HE373" s="319" t="s">
        <v>190</v>
      </c>
      <c r="HF373" s="319" t="s">
        <v>429</v>
      </c>
      <c r="HG373" s="319" t="s">
        <v>190</v>
      </c>
      <c r="HH373" s="319" t="s">
        <v>190</v>
      </c>
      <c r="HI373" s="319" t="s">
        <v>190</v>
      </c>
      <c r="HJ373" s="319" t="s">
        <v>191</v>
      </c>
      <c r="HK373" s="319" t="s">
        <v>190</v>
      </c>
      <c r="HL373" s="319" t="s">
        <v>429</v>
      </c>
      <c r="HM373" s="319" t="s">
        <v>429</v>
      </c>
      <c r="HN373" s="319" t="s">
        <v>429</v>
      </c>
      <c r="HO373" s="319" t="s">
        <v>429</v>
      </c>
      <c r="HP373" s="319" t="s">
        <v>191</v>
      </c>
      <c r="HQ373" s="319" t="s">
        <v>190</v>
      </c>
      <c r="HR373" s="319" t="s">
        <v>190</v>
      </c>
      <c r="HS373" s="319" t="s">
        <v>190</v>
      </c>
      <c r="HT373" s="319" t="s">
        <v>190</v>
      </c>
      <c r="HU373" s="319" t="s">
        <v>190</v>
      </c>
      <c r="HV373" s="319" t="s">
        <v>190</v>
      </c>
      <c r="HW373" s="319" t="s">
        <v>191</v>
      </c>
      <c r="HX373" s="319" t="s">
        <v>190</v>
      </c>
      <c r="HY373" s="319" t="s">
        <v>191</v>
      </c>
      <c r="HZ373" s="319" t="s">
        <v>191</v>
      </c>
      <c r="IA373" s="319" t="s">
        <v>191</v>
      </c>
      <c r="IB373" s="319" t="s">
        <v>190</v>
      </c>
      <c r="IC373" s="319" t="s">
        <v>190</v>
      </c>
      <c r="ID373" s="319" t="s">
        <v>190</v>
      </c>
      <c r="IE373" s="319" t="s">
        <v>190</v>
      </c>
      <c r="IF373" s="319" t="s">
        <v>191</v>
      </c>
      <c r="IG373" s="319" t="s">
        <v>191</v>
      </c>
      <c r="IH373" s="319" t="s">
        <v>191</v>
      </c>
      <c r="II373" s="319" t="s">
        <v>191</v>
      </c>
      <c r="IJ373" s="319" t="s">
        <v>3154</v>
      </c>
      <c r="IK373" s="321">
        <v>39211</v>
      </c>
      <c r="IL373" s="321">
        <v>39212</v>
      </c>
      <c r="IM373" s="321">
        <v>39234</v>
      </c>
      <c r="IN373" s="319">
        <v>2</v>
      </c>
      <c r="IO373" s="319">
        <v>10056183</v>
      </c>
      <c r="IP373" s="319" t="s">
        <v>985</v>
      </c>
      <c r="IQ373" s="321">
        <v>43292</v>
      </c>
      <c r="IR373" s="320" t="s">
        <v>1260</v>
      </c>
      <c r="IS373" s="322">
        <v>43356</v>
      </c>
      <c r="IT373" s="319" t="s">
        <v>165</v>
      </c>
    </row>
    <row r="374" spans="1:254" s="271" customFormat="1" x14ac:dyDescent="0.25">
      <c r="A374" s="318" t="str">
        <f>HYPERLINK("http://www.ofsted.gov.uk/inspection-reports/find-inspection-report/provider/ELS/132732 ","Ofsted School Webpage")</f>
        <v>Ofsted School Webpage</v>
      </c>
      <c r="B374" s="319">
        <v>132732</v>
      </c>
      <c r="C374" s="319">
        <v>3826026</v>
      </c>
      <c r="D374" s="319" t="s">
        <v>1720</v>
      </c>
      <c r="E374" s="319" t="s">
        <v>167</v>
      </c>
      <c r="F374" s="319" t="s">
        <v>81</v>
      </c>
      <c r="G374" s="319" t="s">
        <v>81</v>
      </c>
      <c r="H374" s="319" t="s">
        <v>81</v>
      </c>
      <c r="I374" s="319" t="s">
        <v>78</v>
      </c>
      <c r="J374" s="319" t="s">
        <v>424</v>
      </c>
      <c r="K374" s="319" t="s">
        <v>458</v>
      </c>
      <c r="L374" s="319" t="s">
        <v>459</v>
      </c>
      <c r="M374" s="319" t="s">
        <v>682</v>
      </c>
      <c r="N374" s="319" t="s">
        <v>3155</v>
      </c>
      <c r="O374" s="319" t="s">
        <v>1721</v>
      </c>
      <c r="P374" s="319">
        <v>39</v>
      </c>
      <c r="Q374" s="319" t="s">
        <v>2776</v>
      </c>
      <c r="R374" s="320">
        <v>10061257</v>
      </c>
      <c r="S374" s="321">
        <v>43536</v>
      </c>
      <c r="T374" s="321">
        <v>43538</v>
      </c>
      <c r="U374" s="321">
        <v>43556</v>
      </c>
      <c r="V374" s="319" t="s">
        <v>425</v>
      </c>
      <c r="W374" s="319" t="s">
        <v>2767</v>
      </c>
      <c r="X374" s="319">
        <v>2</v>
      </c>
      <c r="Y374" s="319" t="s">
        <v>173</v>
      </c>
      <c r="Z374" s="319" t="s">
        <v>173</v>
      </c>
      <c r="AA374" s="319" t="s">
        <v>173</v>
      </c>
      <c r="AB374" s="319">
        <v>2</v>
      </c>
      <c r="AC374" s="319" t="s">
        <v>169</v>
      </c>
      <c r="AD374" s="319" t="s">
        <v>173</v>
      </c>
      <c r="AE374" s="319" t="s">
        <v>173</v>
      </c>
      <c r="AF374" s="319" t="s">
        <v>427</v>
      </c>
      <c r="AG374" s="319" t="s">
        <v>171</v>
      </c>
      <c r="AH374" s="319" t="s">
        <v>190</v>
      </c>
      <c r="AI374" s="319" t="s">
        <v>190</v>
      </c>
      <c r="AJ374" s="319" t="s">
        <v>190</v>
      </c>
      <c r="AK374" s="319" t="s">
        <v>190</v>
      </c>
      <c r="AL374" s="319" t="s">
        <v>190</v>
      </c>
      <c r="AM374" s="319" t="s">
        <v>190</v>
      </c>
      <c r="AN374" s="319" t="s">
        <v>190</v>
      </c>
      <c r="AO374" s="319" t="s">
        <v>190</v>
      </c>
      <c r="AP374" s="319" t="s">
        <v>190</v>
      </c>
      <c r="AQ374" s="319" t="s">
        <v>190</v>
      </c>
      <c r="AR374" s="319" t="s">
        <v>190</v>
      </c>
      <c r="AS374" s="319" t="s">
        <v>190</v>
      </c>
      <c r="AT374" s="319" t="s">
        <v>190</v>
      </c>
      <c r="AU374" s="319" t="s">
        <v>190</v>
      </c>
      <c r="AV374" s="319" t="s">
        <v>190</v>
      </c>
      <c r="AW374" s="319" t="s">
        <v>190</v>
      </c>
      <c r="AX374" s="319" t="s">
        <v>428</v>
      </c>
      <c r="AY374" s="319" t="s">
        <v>190</v>
      </c>
      <c r="AZ374" s="319" t="s">
        <v>190</v>
      </c>
      <c r="BA374" s="319" t="s">
        <v>190</v>
      </c>
      <c r="BB374" s="319" t="s">
        <v>190</v>
      </c>
      <c r="BC374" s="319" t="s">
        <v>190</v>
      </c>
      <c r="BD374" s="319" t="s">
        <v>190</v>
      </c>
      <c r="BE374" s="319" t="s">
        <v>190</v>
      </c>
      <c r="BF374" s="319" t="s">
        <v>428</v>
      </c>
      <c r="BG374" s="319" t="s">
        <v>428</v>
      </c>
      <c r="BH374" s="319" t="s">
        <v>190</v>
      </c>
      <c r="BI374" s="319" t="s">
        <v>190</v>
      </c>
      <c r="BJ374" s="319" t="s">
        <v>190</v>
      </c>
      <c r="BK374" s="319" t="s">
        <v>190</v>
      </c>
      <c r="BL374" s="319" t="s">
        <v>190</v>
      </c>
      <c r="BM374" s="319" t="s">
        <v>190</v>
      </c>
      <c r="BN374" s="319" t="s">
        <v>190</v>
      </c>
      <c r="BO374" s="319" t="s">
        <v>190</v>
      </c>
      <c r="BP374" s="319" t="s">
        <v>190</v>
      </c>
      <c r="BQ374" s="319" t="s">
        <v>190</v>
      </c>
      <c r="BR374" s="319" t="s">
        <v>190</v>
      </c>
      <c r="BS374" s="319" t="s">
        <v>190</v>
      </c>
      <c r="BT374" s="319" t="s">
        <v>190</v>
      </c>
      <c r="BU374" s="319" t="s">
        <v>190</v>
      </c>
      <c r="BV374" s="319" t="s">
        <v>190</v>
      </c>
      <c r="BW374" s="319" t="s">
        <v>190</v>
      </c>
      <c r="BX374" s="319" t="s">
        <v>190</v>
      </c>
      <c r="BY374" s="319" t="s">
        <v>190</v>
      </c>
      <c r="BZ374" s="319" t="s">
        <v>190</v>
      </c>
      <c r="CA374" s="319" t="s">
        <v>190</v>
      </c>
      <c r="CB374" s="319" t="s">
        <v>190</v>
      </c>
      <c r="CC374" s="319" t="s">
        <v>190</v>
      </c>
      <c r="CD374" s="319" t="s">
        <v>190</v>
      </c>
      <c r="CE374" s="319" t="s">
        <v>190</v>
      </c>
      <c r="CF374" s="319" t="s">
        <v>190</v>
      </c>
      <c r="CG374" s="319" t="s">
        <v>190</v>
      </c>
      <c r="CH374" s="319" t="s">
        <v>190</v>
      </c>
      <c r="CI374" s="319" t="s">
        <v>190</v>
      </c>
      <c r="CJ374" s="319" t="s">
        <v>190</v>
      </c>
      <c r="CK374" s="319" t="s">
        <v>190</v>
      </c>
      <c r="CL374" s="319" t="s">
        <v>190</v>
      </c>
      <c r="CM374" s="319" t="s">
        <v>190</v>
      </c>
      <c r="CN374" s="319" t="s">
        <v>428</v>
      </c>
      <c r="CO374" s="319" t="s">
        <v>428</v>
      </c>
      <c r="CP374" s="319" t="s">
        <v>428</v>
      </c>
      <c r="CQ374" s="319" t="s">
        <v>190</v>
      </c>
      <c r="CR374" s="319" t="s">
        <v>190</v>
      </c>
      <c r="CS374" s="319" t="s">
        <v>190</v>
      </c>
      <c r="CT374" s="319" t="s">
        <v>190</v>
      </c>
      <c r="CU374" s="319" t="s">
        <v>190</v>
      </c>
      <c r="CV374" s="319" t="s">
        <v>190</v>
      </c>
      <c r="CW374" s="319" t="s">
        <v>190</v>
      </c>
      <c r="CX374" s="319" t="s">
        <v>190</v>
      </c>
      <c r="CY374" s="319" t="s">
        <v>190</v>
      </c>
      <c r="CZ374" s="319" t="s">
        <v>190</v>
      </c>
      <c r="DA374" s="319" t="s">
        <v>190</v>
      </c>
      <c r="DB374" s="319" t="s">
        <v>190</v>
      </c>
      <c r="DC374" s="319" t="s">
        <v>190</v>
      </c>
      <c r="DD374" s="319" t="s">
        <v>190</v>
      </c>
      <c r="DE374" s="319" t="s">
        <v>190</v>
      </c>
      <c r="DF374" s="319" t="s">
        <v>190</v>
      </c>
      <c r="DG374" s="319" t="s">
        <v>190</v>
      </c>
      <c r="DH374" s="319" t="s">
        <v>190</v>
      </c>
      <c r="DI374" s="319" t="s">
        <v>190</v>
      </c>
      <c r="DJ374" s="319" t="s">
        <v>190</v>
      </c>
      <c r="DK374" s="319" t="s">
        <v>190</v>
      </c>
      <c r="DL374" s="319" t="s">
        <v>190</v>
      </c>
      <c r="DM374" s="319" t="s">
        <v>190</v>
      </c>
      <c r="DN374" s="319" t="s">
        <v>428</v>
      </c>
      <c r="DO374" s="319" t="s">
        <v>190</v>
      </c>
      <c r="DP374" s="319" t="s">
        <v>190</v>
      </c>
      <c r="DQ374" s="319" t="s">
        <v>190</v>
      </c>
      <c r="DR374" s="319" t="s">
        <v>190</v>
      </c>
      <c r="DS374" s="319" t="s">
        <v>190</v>
      </c>
      <c r="DT374" s="319" t="s">
        <v>190</v>
      </c>
      <c r="DU374" s="319" t="s">
        <v>190</v>
      </c>
      <c r="DV374" s="319" t="s">
        <v>173</v>
      </c>
      <c r="DW374" s="319" t="s">
        <v>190</v>
      </c>
      <c r="DX374" s="319" t="s">
        <v>190</v>
      </c>
      <c r="DY374" s="319" t="s">
        <v>190</v>
      </c>
      <c r="DZ374" s="319" t="s">
        <v>190</v>
      </c>
      <c r="EA374" s="319" t="s">
        <v>190</v>
      </c>
      <c r="EB374" s="319" t="s">
        <v>190</v>
      </c>
      <c r="EC374" s="319" t="s">
        <v>428</v>
      </c>
      <c r="ED374" s="319" t="s">
        <v>190</v>
      </c>
      <c r="EE374" s="319" t="s">
        <v>190</v>
      </c>
      <c r="EF374" s="319" t="s">
        <v>190</v>
      </c>
      <c r="EG374" s="319" t="s">
        <v>190</v>
      </c>
      <c r="EH374" s="319" t="s">
        <v>190</v>
      </c>
      <c r="EI374" s="319" t="s">
        <v>190</v>
      </c>
      <c r="EJ374" s="319" t="s">
        <v>190</v>
      </c>
      <c r="EK374" s="319" t="s">
        <v>190</v>
      </c>
      <c r="EL374" s="319" t="s">
        <v>428</v>
      </c>
      <c r="EM374" s="319" t="s">
        <v>190</v>
      </c>
      <c r="EN374" s="319" t="s">
        <v>190</v>
      </c>
      <c r="EO374" s="319" t="s">
        <v>190</v>
      </c>
      <c r="EP374" s="319" t="s">
        <v>190</v>
      </c>
      <c r="EQ374" s="319" t="s">
        <v>190</v>
      </c>
      <c r="ER374" s="319" t="s">
        <v>190</v>
      </c>
      <c r="ES374" s="319" t="s">
        <v>190</v>
      </c>
      <c r="ET374" s="319" t="s">
        <v>190</v>
      </c>
      <c r="EU374" s="319" t="s">
        <v>190</v>
      </c>
      <c r="EV374" s="319" t="s">
        <v>190</v>
      </c>
      <c r="EW374" s="319" t="s">
        <v>190</v>
      </c>
      <c r="EX374" s="319" t="s">
        <v>190</v>
      </c>
      <c r="EY374" s="319" t="s">
        <v>190</v>
      </c>
      <c r="EZ374" s="319" t="s">
        <v>190</v>
      </c>
      <c r="FA374" s="319" t="s">
        <v>428</v>
      </c>
      <c r="FB374" s="319" t="s">
        <v>190</v>
      </c>
      <c r="FC374" s="319" t="s">
        <v>190</v>
      </c>
      <c r="FD374" s="319" t="s">
        <v>190</v>
      </c>
      <c r="FE374" s="319" t="s">
        <v>190</v>
      </c>
      <c r="FF374" s="319" t="s">
        <v>190</v>
      </c>
      <c r="FG374" s="319" t="s">
        <v>190</v>
      </c>
      <c r="FH374" s="319" t="s">
        <v>190</v>
      </c>
      <c r="FI374" s="319" t="s">
        <v>428</v>
      </c>
      <c r="FJ374" s="319" t="s">
        <v>429</v>
      </c>
      <c r="FK374" s="319" t="s">
        <v>428</v>
      </c>
      <c r="FL374" s="319" t="s">
        <v>190</v>
      </c>
      <c r="FM374" s="319" t="s">
        <v>190</v>
      </c>
      <c r="FN374" s="319" t="s">
        <v>190</v>
      </c>
      <c r="FO374" s="319" t="s">
        <v>190</v>
      </c>
      <c r="FP374" s="319" t="s">
        <v>190</v>
      </c>
      <c r="FQ374" s="319" t="s">
        <v>190</v>
      </c>
      <c r="FR374" s="319" t="s">
        <v>190</v>
      </c>
      <c r="FS374" s="319" t="s">
        <v>428</v>
      </c>
      <c r="FT374" s="319" t="s">
        <v>190</v>
      </c>
      <c r="FU374" s="319" t="s">
        <v>190</v>
      </c>
      <c r="FV374" s="319" t="s">
        <v>190</v>
      </c>
      <c r="FW374" s="319" t="s">
        <v>190</v>
      </c>
      <c r="FX374" s="319" t="s">
        <v>190</v>
      </c>
      <c r="FY374" s="319" t="s">
        <v>190</v>
      </c>
      <c r="FZ374" s="319" t="s">
        <v>190</v>
      </c>
      <c r="GA374" s="319" t="s">
        <v>190</v>
      </c>
      <c r="GB374" s="319" t="s">
        <v>190</v>
      </c>
      <c r="GC374" s="319" t="s">
        <v>190</v>
      </c>
      <c r="GD374" s="319" t="s">
        <v>190</v>
      </c>
      <c r="GE374" s="319" t="s">
        <v>190</v>
      </c>
      <c r="GF374" s="319" t="s">
        <v>190</v>
      </c>
      <c r="GG374" s="319" t="s">
        <v>190</v>
      </c>
      <c r="GH374" s="319" t="s">
        <v>190</v>
      </c>
      <c r="GI374" s="319" t="s">
        <v>190</v>
      </c>
      <c r="GJ374" s="319" t="s">
        <v>190</v>
      </c>
      <c r="GK374" s="319" t="s">
        <v>428</v>
      </c>
      <c r="GL374" s="319" t="s">
        <v>190</v>
      </c>
      <c r="GM374" s="319" t="s">
        <v>190</v>
      </c>
      <c r="GN374" s="319" t="s">
        <v>190</v>
      </c>
      <c r="GO374" s="319" t="s">
        <v>190</v>
      </c>
      <c r="GP374" s="319" t="s">
        <v>190</v>
      </c>
      <c r="GQ374" s="319" t="s">
        <v>428</v>
      </c>
      <c r="GR374" s="319" t="s">
        <v>190</v>
      </c>
      <c r="GS374" s="319" t="s">
        <v>190</v>
      </c>
      <c r="GT374" s="319" t="s">
        <v>190</v>
      </c>
      <c r="GU374" s="319" t="s">
        <v>190</v>
      </c>
      <c r="GV374" s="319" t="s">
        <v>190</v>
      </c>
      <c r="GW374" s="319" t="s">
        <v>190</v>
      </c>
      <c r="GX374" s="319" t="s">
        <v>190</v>
      </c>
      <c r="GY374" s="319" t="s">
        <v>190</v>
      </c>
      <c r="GZ374" s="319" t="s">
        <v>428</v>
      </c>
      <c r="HA374" s="319" t="s">
        <v>190</v>
      </c>
      <c r="HB374" s="319" t="s">
        <v>190</v>
      </c>
      <c r="HC374" s="319" t="s">
        <v>190</v>
      </c>
      <c r="HD374" s="319" t="s">
        <v>190</v>
      </c>
      <c r="HE374" s="319" t="s">
        <v>190</v>
      </c>
      <c r="HF374" s="319" t="s">
        <v>190</v>
      </c>
      <c r="HG374" s="319" t="s">
        <v>190</v>
      </c>
      <c r="HH374" s="319" t="s">
        <v>190</v>
      </c>
      <c r="HI374" s="319" t="s">
        <v>190</v>
      </c>
      <c r="HJ374" s="319" t="s">
        <v>190</v>
      </c>
      <c r="HK374" s="319" t="s">
        <v>190</v>
      </c>
      <c r="HL374" s="319" t="s">
        <v>428</v>
      </c>
      <c r="HM374" s="319" t="s">
        <v>428</v>
      </c>
      <c r="HN374" s="319" t="s">
        <v>428</v>
      </c>
      <c r="HO374" s="319" t="s">
        <v>428</v>
      </c>
      <c r="HP374" s="319" t="s">
        <v>190</v>
      </c>
      <c r="HQ374" s="319" t="s">
        <v>190</v>
      </c>
      <c r="HR374" s="319" t="s">
        <v>190</v>
      </c>
      <c r="HS374" s="319" t="s">
        <v>190</v>
      </c>
      <c r="HT374" s="319" t="s">
        <v>190</v>
      </c>
      <c r="HU374" s="319" t="s">
        <v>190</v>
      </c>
      <c r="HV374" s="319" t="s">
        <v>190</v>
      </c>
      <c r="HW374" s="319" t="s">
        <v>190</v>
      </c>
      <c r="HX374" s="319" t="s">
        <v>190</v>
      </c>
      <c r="HY374" s="319" t="s">
        <v>190</v>
      </c>
      <c r="HZ374" s="319" t="s">
        <v>190</v>
      </c>
      <c r="IA374" s="319" t="s">
        <v>190</v>
      </c>
      <c r="IB374" s="319" t="s">
        <v>190</v>
      </c>
      <c r="IC374" s="319" t="s">
        <v>190</v>
      </c>
      <c r="ID374" s="319" t="s">
        <v>190</v>
      </c>
      <c r="IE374" s="319" t="s">
        <v>190</v>
      </c>
      <c r="IF374" s="319" t="s">
        <v>190</v>
      </c>
      <c r="IG374" s="319" t="s">
        <v>190</v>
      </c>
      <c r="IH374" s="319" t="s">
        <v>190</v>
      </c>
      <c r="II374" s="319" t="s">
        <v>190</v>
      </c>
      <c r="IJ374" s="319">
        <v>10008574</v>
      </c>
      <c r="IK374" s="321">
        <v>42430</v>
      </c>
      <c r="IL374" s="321">
        <v>42432</v>
      </c>
      <c r="IM374" s="321">
        <v>42459</v>
      </c>
      <c r="IN374" s="319">
        <v>2</v>
      </c>
      <c r="IO374" s="319" t="s">
        <v>173</v>
      </c>
      <c r="IP374" s="319" t="s">
        <v>173</v>
      </c>
      <c r="IQ374" s="321" t="s">
        <v>173</v>
      </c>
      <c r="IR374" s="320" t="s">
        <v>173</v>
      </c>
      <c r="IS374" s="322" t="s">
        <v>173</v>
      </c>
      <c r="IT374" s="319" t="s">
        <v>173</v>
      </c>
    </row>
    <row r="375" spans="1:254" s="271" customFormat="1" x14ac:dyDescent="0.25">
      <c r="A375" s="318" t="str">
        <f>HYPERLINK("http://www.ofsted.gov.uk/inspection-reports/find-inspection-report/provider/ELS/132735 ","Ofsted School Webpage")</f>
        <v>Ofsted School Webpage</v>
      </c>
      <c r="B375" s="319">
        <v>132735</v>
      </c>
      <c r="C375" s="319">
        <v>8606024</v>
      </c>
      <c r="D375" s="319" t="s">
        <v>1722</v>
      </c>
      <c r="E375" s="319" t="s">
        <v>168</v>
      </c>
      <c r="F375" s="319" t="s">
        <v>81</v>
      </c>
      <c r="G375" s="319" t="s">
        <v>81</v>
      </c>
      <c r="H375" s="319" t="s">
        <v>81</v>
      </c>
      <c r="I375" s="319" t="s">
        <v>78</v>
      </c>
      <c r="J375" s="319" t="s">
        <v>424</v>
      </c>
      <c r="K375" s="319" t="s">
        <v>437</v>
      </c>
      <c r="L375" s="319" t="s">
        <v>437</v>
      </c>
      <c r="M375" s="319" t="s">
        <v>577</v>
      </c>
      <c r="N375" s="319" t="s">
        <v>3031</v>
      </c>
      <c r="O375" s="319" t="s">
        <v>1723</v>
      </c>
      <c r="P375" s="319">
        <v>50</v>
      </c>
      <c r="Q375" s="319" t="s">
        <v>2776</v>
      </c>
      <c r="R375" s="320">
        <v>10103983</v>
      </c>
      <c r="S375" s="321">
        <v>43753</v>
      </c>
      <c r="T375" s="321">
        <v>43755</v>
      </c>
      <c r="U375" s="321">
        <v>43794</v>
      </c>
      <c r="V375" s="319" t="s">
        <v>425</v>
      </c>
      <c r="W375" s="319" t="s">
        <v>2767</v>
      </c>
      <c r="X375" s="319">
        <v>2</v>
      </c>
      <c r="Y375" s="319">
        <v>2</v>
      </c>
      <c r="Z375" s="319">
        <v>1</v>
      </c>
      <c r="AA375" s="319">
        <v>2</v>
      </c>
      <c r="AB375" s="319">
        <v>2</v>
      </c>
      <c r="AC375" s="319" t="s">
        <v>169</v>
      </c>
      <c r="AD375" s="319" t="s">
        <v>173</v>
      </c>
      <c r="AE375" s="319">
        <v>2</v>
      </c>
      <c r="AF375" s="319" t="s">
        <v>427</v>
      </c>
      <c r="AG375" s="319" t="s">
        <v>171</v>
      </c>
      <c r="AH375" s="319" t="s">
        <v>190</v>
      </c>
      <c r="AI375" s="319" t="s">
        <v>190</v>
      </c>
      <c r="AJ375" s="319" t="s">
        <v>190</v>
      </c>
      <c r="AK375" s="319" t="s">
        <v>190</v>
      </c>
      <c r="AL375" s="319" t="s">
        <v>190</v>
      </c>
      <c r="AM375" s="319" t="s">
        <v>190</v>
      </c>
      <c r="AN375" s="319" t="s">
        <v>190</v>
      </c>
      <c r="AO375" s="319" t="s">
        <v>190</v>
      </c>
      <c r="AP375" s="319" t="s">
        <v>190</v>
      </c>
      <c r="AQ375" s="319" t="s">
        <v>190</v>
      </c>
      <c r="AR375" s="319" t="s">
        <v>190</v>
      </c>
      <c r="AS375" s="319" t="s">
        <v>190</v>
      </c>
      <c r="AT375" s="319" t="s">
        <v>190</v>
      </c>
      <c r="AU375" s="319" t="s">
        <v>190</v>
      </c>
      <c r="AV375" s="319" t="s">
        <v>190</v>
      </c>
      <c r="AW375" s="319" t="s">
        <v>190</v>
      </c>
      <c r="AX375" s="319" t="s">
        <v>428</v>
      </c>
      <c r="AY375" s="319" t="s">
        <v>190</v>
      </c>
      <c r="AZ375" s="319" t="s">
        <v>190</v>
      </c>
      <c r="BA375" s="319" t="s">
        <v>190</v>
      </c>
      <c r="BB375" s="319" t="s">
        <v>190</v>
      </c>
      <c r="BC375" s="319" t="s">
        <v>190</v>
      </c>
      <c r="BD375" s="319" t="s">
        <v>190</v>
      </c>
      <c r="BE375" s="319" t="s">
        <v>190</v>
      </c>
      <c r="BF375" s="319" t="s">
        <v>428</v>
      </c>
      <c r="BG375" s="319" t="s">
        <v>190</v>
      </c>
      <c r="BH375" s="319" t="s">
        <v>190</v>
      </c>
      <c r="BI375" s="319" t="s">
        <v>190</v>
      </c>
      <c r="BJ375" s="319" t="s">
        <v>190</v>
      </c>
      <c r="BK375" s="319" t="s">
        <v>190</v>
      </c>
      <c r="BL375" s="319" t="s">
        <v>190</v>
      </c>
      <c r="BM375" s="319" t="s">
        <v>190</v>
      </c>
      <c r="BN375" s="319" t="s">
        <v>190</v>
      </c>
      <c r="BO375" s="319" t="s">
        <v>190</v>
      </c>
      <c r="BP375" s="319" t="s">
        <v>190</v>
      </c>
      <c r="BQ375" s="319" t="s">
        <v>190</v>
      </c>
      <c r="BR375" s="319" t="s">
        <v>190</v>
      </c>
      <c r="BS375" s="319" t="s">
        <v>190</v>
      </c>
      <c r="BT375" s="319" t="s">
        <v>190</v>
      </c>
      <c r="BU375" s="319" t="s">
        <v>190</v>
      </c>
      <c r="BV375" s="319" t="s">
        <v>190</v>
      </c>
      <c r="BW375" s="319" t="s">
        <v>190</v>
      </c>
      <c r="BX375" s="319" t="s">
        <v>190</v>
      </c>
      <c r="BY375" s="319" t="s">
        <v>190</v>
      </c>
      <c r="BZ375" s="319" t="s">
        <v>190</v>
      </c>
      <c r="CA375" s="319" t="s">
        <v>190</v>
      </c>
      <c r="CB375" s="319" t="s">
        <v>190</v>
      </c>
      <c r="CC375" s="319" t="s">
        <v>190</v>
      </c>
      <c r="CD375" s="319" t="s">
        <v>190</v>
      </c>
      <c r="CE375" s="319" t="s">
        <v>190</v>
      </c>
      <c r="CF375" s="319" t="s">
        <v>190</v>
      </c>
      <c r="CG375" s="319" t="s">
        <v>190</v>
      </c>
      <c r="CH375" s="319" t="s">
        <v>190</v>
      </c>
      <c r="CI375" s="319" t="s">
        <v>190</v>
      </c>
      <c r="CJ375" s="319" t="s">
        <v>190</v>
      </c>
      <c r="CK375" s="319" t="s">
        <v>190</v>
      </c>
      <c r="CL375" s="319" t="s">
        <v>190</v>
      </c>
      <c r="CM375" s="319" t="s">
        <v>190</v>
      </c>
      <c r="CN375" s="319" t="s">
        <v>428</v>
      </c>
      <c r="CO375" s="319" t="s">
        <v>428</v>
      </c>
      <c r="CP375" s="319" t="s">
        <v>428</v>
      </c>
      <c r="CQ375" s="319" t="s">
        <v>190</v>
      </c>
      <c r="CR375" s="319" t="s">
        <v>190</v>
      </c>
      <c r="CS375" s="319" t="s">
        <v>190</v>
      </c>
      <c r="CT375" s="319" t="s">
        <v>190</v>
      </c>
      <c r="CU375" s="319" t="s">
        <v>190</v>
      </c>
      <c r="CV375" s="319" t="s">
        <v>190</v>
      </c>
      <c r="CW375" s="319" t="s">
        <v>190</v>
      </c>
      <c r="CX375" s="319" t="s">
        <v>190</v>
      </c>
      <c r="CY375" s="319" t="s">
        <v>190</v>
      </c>
      <c r="CZ375" s="319" t="s">
        <v>190</v>
      </c>
      <c r="DA375" s="319" t="s">
        <v>190</v>
      </c>
      <c r="DB375" s="319" t="s">
        <v>190</v>
      </c>
      <c r="DC375" s="319" t="s">
        <v>190</v>
      </c>
      <c r="DD375" s="319" t="s">
        <v>190</v>
      </c>
      <c r="DE375" s="319" t="s">
        <v>190</v>
      </c>
      <c r="DF375" s="319" t="s">
        <v>190</v>
      </c>
      <c r="DG375" s="319" t="s">
        <v>190</v>
      </c>
      <c r="DH375" s="319" t="s">
        <v>190</v>
      </c>
      <c r="DI375" s="319" t="s">
        <v>190</v>
      </c>
      <c r="DJ375" s="319" t="s">
        <v>190</v>
      </c>
      <c r="DK375" s="319" t="s">
        <v>190</v>
      </c>
      <c r="DL375" s="319" t="s">
        <v>190</v>
      </c>
      <c r="DM375" s="319" t="s">
        <v>190</v>
      </c>
      <c r="DN375" s="319" t="s">
        <v>428</v>
      </c>
      <c r="DO375" s="319" t="s">
        <v>190</v>
      </c>
      <c r="DP375" s="319" t="s">
        <v>190</v>
      </c>
      <c r="DQ375" s="319" t="s">
        <v>190</v>
      </c>
      <c r="DR375" s="319" t="s">
        <v>190</v>
      </c>
      <c r="DS375" s="319" t="s">
        <v>190</v>
      </c>
      <c r="DT375" s="319" t="s">
        <v>190</v>
      </c>
      <c r="DU375" s="319" t="s">
        <v>190</v>
      </c>
      <c r="DV375" s="319" t="s">
        <v>190</v>
      </c>
      <c r="DW375" s="319" t="s">
        <v>190</v>
      </c>
      <c r="DX375" s="319" t="s">
        <v>190</v>
      </c>
      <c r="DY375" s="319" t="s">
        <v>190</v>
      </c>
      <c r="DZ375" s="319" t="s">
        <v>190</v>
      </c>
      <c r="EA375" s="319" t="s">
        <v>190</v>
      </c>
      <c r="EB375" s="319" t="s">
        <v>190</v>
      </c>
      <c r="EC375" s="319" t="s">
        <v>428</v>
      </c>
      <c r="ED375" s="319" t="s">
        <v>190</v>
      </c>
      <c r="EE375" s="319" t="s">
        <v>190</v>
      </c>
      <c r="EF375" s="319" t="s">
        <v>190</v>
      </c>
      <c r="EG375" s="319" t="s">
        <v>190</v>
      </c>
      <c r="EH375" s="319" t="s">
        <v>190</v>
      </c>
      <c r="EI375" s="319" t="s">
        <v>190</v>
      </c>
      <c r="EJ375" s="319" t="s">
        <v>190</v>
      </c>
      <c r="EK375" s="319" t="s">
        <v>190</v>
      </c>
      <c r="EL375" s="319" t="s">
        <v>190</v>
      </c>
      <c r="EM375" s="319" t="s">
        <v>190</v>
      </c>
      <c r="EN375" s="319" t="s">
        <v>190</v>
      </c>
      <c r="EO375" s="319" t="s">
        <v>190</v>
      </c>
      <c r="EP375" s="319" t="s">
        <v>190</v>
      </c>
      <c r="EQ375" s="319" t="s">
        <v>190</v>
      </c>
      <c r="ER375" s="319" t="s">
        <v>190</v>
      </c>
      <c r="ES375" s="319" t="s">
        <v>190</v>
      </c>
      <c r="ET375" s="319" t="s">
        <v>190</v>
      </c>
      <c r="EU375" s="319" t="s">
        <v>190</v>
      </c>
      <c r="EV375" s="319" t="s">
        <v>190</v>
      </c>
      <c r="EW375" s="319" t="s">
        <v>190</v>
      </c>
      <c r="EX375" s="319" t="s">
        <v>190</v>
      </c>
      <c r="EY375" s="319" t="s">
        <v>190</v>
      </c>
      <c r="EZ375" s="319" t="s">
        <v>190</v>
      </c>
      <c r="FA375" s="319" t="s">
        <v>190</v>
      </c>
      <c r="FB375" s="319" t="s">
        <v>190</v>
      </c>
      <c r="FC375" s="319" t="s">
        <v>190</v>
      </c>
      <c r="FD375" s="319" t="s">
        <v>190</v>
      </c>
      <c r="FE375" s="319" t="s">
        <v>190</v>
      </c>
      <c r="FF375" s="319" t="s">
        <v>190</v>
      </c>
      <c r="FG375" s="319" t="s">
        <v>190</v>
      </c>
      <c r="FH375" s="319" t="s">
        <v>190</v>
      </c>
      <c r="FI375" s="319" t="s">
        <v>190</v>
      </c>
      <c r="FJ375" s="319" t="s">
        <v>190</v>
      </c>
      <c r="FK375" s="319" t="s">
        <v>190</v>
      </c>
      <c r="FL375" s="319" t="s">
        <v>190</v>
      </c>
      <c r="FM375" s="319" t="s">
        <v>190</v>
      </c>
      <c r="FN375" s="319" t="s">
        <v>190</v>
      </c>
      <c r="FO375" s="319" t="s">
        <v>190</v>
      </c>
      <c r="FP375" s="319" t="s">
        <v>190</v>
      </c>
      <c r="FQ375" s="319" t="s">
        <v>190</v>
      </c>
      <c r="FR375" s="319" t="s">
        <v>190</v>
      </c>
      <c r="FS375" s="319" t="s">
        <v>190</v>
      </c>
      <c r="FT375" s="319" t="s">
        <v>190</v>
      </c>
      <c r="FU375" s="319" t="s">
        <v>190</v>
      </c>
      <c r="FV375" s="319" t="s">
        <v>190</v>
      </c>
      <c r="FW375" s="319" t="s">
        <v>190</v>
      </c>
      <c r="FX375" s="319" t="s">
        <v>190</v>
      </c>
      <c r="FY375" s="319" t="s">
        <v>190</v>
      </c>
      <c r="FZ375" s="319" t="s">
        <v>190</v>
      </c>
      <c r="GA375" s="319" t="s">
        <v>190</v>
      </c>
      <c r="GB375" s="319" t="s">
        <v>190</v>
      </c>
      <c r="GC375" s="319" t="s">
        <v>190</v>
      </c>
      <c r="GD375" s="319" t="s">
        <v>190</v>
      </c>
      <c r="GE375" s="319" t="s">
        <v>190</v>
      </c>
      <c r="GF375" s="319" t="s">
        <v>190</v>
      </c>
      <c r="GG375" s="319" t="s">
        <v>190</v>
      </c>
      <c r="GH375" s="319" t="s">
        <v>190</v>
      </c>
      <c r="GI375" s="319" t="s">
        <v>190</v>
      </c>
      <c r="GJ375" s="319" t="s">
        <v>190</v>
      </c>
      <c r="GK375" s="319" t="s">
        <v>428</v>
      </c>
      <c r="GL375" s="319" t="s">
        <v>190</v>
      </c>
      <c r="GM375" s="319" t="s">
        <v>190</v>
      </c>
      <c r="GN375" s="319" t="s">
        <v>190</v>
      </c>
      <c r="GO375" s="319" t="s">
        <v>190</v>
      </c>
      <c r="GP375" s="319" t="s">
        <v>190</v>
      </c>
      <c r="GQ375" s="319" t="s">
        <v>428</v>
      </c>
      <c r="GR375" s="319" t="s">
        <v>190</v>
      </c>
      <c r="GS375" s="319" t="s">
        <v>190</v>
      </c>
      <c r="GT375" s="319" t="s">
        <v>190</v>
      </c>
      <c r="GU375" s="319" t="s">
        <v>190</v>
      </c>
      <c r="GV375" s="319" t="s">
        <v>190</v>
      </c>
      <c r="GW375" s="319" t="s">
        <v>190</v>
      </c>
      <c r="GX375" s="319" t="s">
        <v>190</v>
      </c>
      <c r="GY375" s="319" t="s">
        <v>190</v>
      </c>
      <c r="GZ375" s="319" t="s">
        <v>428</v>
      </c>
      <c r="HA375" s="319" t="s">
        <v>190</v>
      </c>
      <c r="HB375" s="319" t="s">
        <v>190</v>
      </c>
      <c r="HC375" s="319" t="s">
        <v>190</v>
      </c>
      <c r="HD375" s="319" t="s">
        <v>190</v>
      </c>
      <c r="HE375" s="319" t="s">
        <v>190</v>
      </c>
      <c r="HF375" s="319" t="s">
        <v>190</v>
      </c>
      <c r="HG375" s="319" t="s">
        <v>190</v>
      </c>
      <c r="HH375" s="319" t="s">
        <v>190</v>
      </c>
      <c r="HI375" s="319" t="s">
        <v>190</v>
      </c>
      <c r="HJ375" s="319" t="s">
        <v>190</v>
      </c>
      <c r="HK375" s="319" t="s">
        <v>190</v>
      </c>
      <c r="HL375" s="319" t="s">
        <v>428</v>
      </c>
      <c r="HM375" s="319" t="s">
        <v>428</v>
      </c>
      <c r="HN375" s="319" t="s">
        <v>428</v>
      </c>
      <c r="HO375" s="319" t="s">
        <v>428</v>
      </c>
      <c r="HP375" s="319" t="s">
        <v>190</v>
      </c>
      <c r="HQ375" s="319" t="s">
        <v>190</v>
      </c>
      <c r="HR375" s="319" t="s">
        <v>190</v>
      </c>
      <c r="HS375" s="319" t="s">
        <v>190</v>
      </c>
      <c r="HT375" s="319" t="s">
        <v>190</v>
      </c>
      <c r="HU375" s="319" t="s">
        <v>190</v>
      </c>
      <c r="HV375" s="319" t="s">
        <v>190</v>
      </c>
      <c r="HW375" s="319" t="s">
        <v>190</v>
      </c>
      <c r="HX375" s="319" t="s">
        <v>190</v>
      </c>
      <c r="HY375" s="319" t="s">
        <v>190</v>
      </c>
      <c r="HZ375" s="319" t="s">
        <v>190</v>
      </c>
      <c r="IA375" s="319" t="s">
        <v>190</v>
      </c>
      <c r="IB375" s="319" t="s">
        <v>190</v>
      </c>
      <c r="IC375" s="319" t="s">
        <v>190</v>
      </c>
      <c r="ID375" s="319" t="s">
        <v>190</v>
      </c>
      <c r="IE375" s="319" t="s">
        <v>190</v>
      </c>
      <c r="IF375" s="319" t="s">
        <v>190</v>
      </c>
      <c r="IG375" s="319" t="s">
        <v>190</v>
      </c>
      <c r="IH375" s="319" t="s">
        <v>190</v>
      </c>
      <c r="II375" s="319" t="s">
        <v>190</v>
      </c>
      <c r="IJ375" s="319">
        <v>10040663</v>
      </c>
      <c r="IK375" s="321">
        <v>43018</v>
      </c>
      <c r="IL375" s="321">
        <v>43020</v>
      </c>
      <c r="IM375" s="321">
        <v>43048</v>
      </c>
      <c r="IN375" s="319">
        <v>3</v>
      </c>
      <c r="IO375" s="319" t="s">
        <v>173</v>
      </c>
      <c r="IP375" s="319" t="s">
        <v>173</v>
      </c>
      <c r="IQ375" s="321" t="s">
        <v>173</v>
      </c>
      <c r="IR375" s="320" t="s">
        <v>173</v>
      </c>
      <c r="IS375" s="322" t="s">
        <v>173</v>
      </c>
      <c r="IT375" s="319" t="s">
        <v>173</v>
      </c>
    </row>
    <row r="376" spans="1:254" s="271" customFormat="1" x14ac:dyDescent="0.25">
      <c r="A376" s="318" t="str">
        <f>HYPERLINK("http://www.ofsted.gov.uk/inspection-reports/find-inspection-report/provider/ELS/132736 ","Ofsted School Webpage")</f>
        <v>Ofsted School Webpage</v>
      </c>
      <c r="B376" s="319">
        <v>132736</v>
      </c>
      <c r="C376" s="319">
        <v>2046407</v>
      </c>
      <c r="D376" s="319" t="s">
        <v>1724</v>
      </c>
      <c r="E376" s="319" t="s">
        <v>167</v>
      </c>
      <c r="F376" s="319" t="s">
        <v>81</v>
      </c>
      <c r="G376" s="319" t="s">
        <v>72</v>
      </c>
      <c r="H376" s="319" t="s">
        <v>72</v>
      </c>
      <c r="I376" s="319" t="s">
        <v>72</v>
      </c>
      <c r="J376" s="319" t="s">
        <v>424</v>
      </c>
      <c r="K376" s="319" t="s">
        <v>441</v>
      </c>
      <c r="L376" s="319" t="s">
        <v>441</v>
      </c>
      <c r="M376" s="319" t="s">
        <v>547</v>
      </c>
      <c r="N376" s="319" t="s">
        <v>2774</v>
      </c>
      <c r="O376" s="319" t="s">
        <v>1725</v>
      </c>
      <c r="P376" s="319">
        <v>114</v>
      </c>
      <c r="Q376" s="319" t="s">
        <v>2766</v>
      </c>
      <c r="R376" s="320">
        <v>10038164</v>
      </c>
      <c r="S376" s="321">
        <v>43214</v>
      </c>
      <c r="T376" s="321">
        <v>43216</v>
      </c>
      <c r="U376" s="321">
        <v>43243</v>
      </c>
      <c r="V376" s="319" t="s">
        <v>425</v>
      </c>
      <c r="W376" s="319" t="s">
        <v>2767</v>
      </c>
      <c r="X376" s="319">
        <v>2</v>
      </c>
      <c r="Y376" s="319" t="s">
        <v>173</v>
      </c>
      <c r="Z376" s="319" t="s">
        <v>173</v>
      </c>
      <c r="AA376" s="319" t="s">
        <v>173</v>
      </c>
      <c r="AB376" s="319">
        <v>2</v>
      </c>
      <c r="AC376" s="319" t="s">
        <v>169</v>
      </c>
      <c r="AD376" s="319" t="s">
        <v>173</v>
      </c>
      <c r="AE376" s="319" t="s">
        <v>173</v>
      </c>
      <c r="AF376" s="319" t="s">
        <v>427</v>
      </c>
      <c r="AG376" s="319" t="s">
        <v>171</v>
      </c>
      <c r="AH376" s="319" t="s">
        <v>190</v>
      </c>
      <c r="AI376" s="319" t="s">
        <v>190</v>
      </c>
      <c r="AJ376" s="319" t="s">
        <v>190</v>
      </c>
      <c r="AK376" s="319" t="s">
        <v>190</v>
      </c>
      <c r="AL376" s="319" t="s">
        <v>190</v>
      </c>
      <c r="AM376" s="319" t="s">
        <v>190</v>
      </c>
      <c r="AN376" s="319" t="s">
        <v>190</v>
      </c>
      <c r="AO376" s="319" t="s">
        <v>190</v>
      </c>
      <c r="AP376" s="319" t="s">
        <v>190</v>
      </c>
      <c r="AQ376" s="319" t="s">
        <v>190</v>
      </c>
      <c r="AR376" s="319" t="s">
        <v>190</v>
      </c>
      <c r="AS376" s="319" t="s">
        <v>190</v>
      </c>
      <c r="AT376" s="319" t="s">
        <v>190</v>
      </c>
      <c r="AU376" s="319" t="s">
        <v>190</v>
      </c>
      <c r="AV376" s="319" t="s">
        <v>190</v>
      </c>
      <c r="AW376" s="319" t="s">
        <v>190</v>
      </c>
      <c r="AX376" s="319" t="s">
        <v>428</v>
      </c>
      <c r="AY376" s="319" t="s">
        <v>190</v>
      </c>
      <c r="AZ376" s="319" t="s">
        <v>190</v>
      </c>
      <c r="BA376" s="319" t="s">
        <v>190</v>
      </c>
      <c r="BB376" s="319" t="s">
        <v>190</v>
      </c>
      <c r="BC376" s="319" t="s">
        <v>190</v>
      </c>
      <c r="BD376" s="319" t="s">
        <v>190</v>
      </c>
      <c r="BE376" s="319" t="s">
        <v>190</v>
      </c>
      <c r="BF376" s="319" t="s">
        <v>428</v>
      </c>
      <c r="BG376" s="319" t="s">
        <v>428</v>
      </c>
      <c r="BH376" s="319" t="s">
        <v>190</v>
      </c>
      <c r="BI376" s="319" t="s">
        <v>190</v>
      </c>
      <c r="BJ376" s="319" t="s">
        <v>190</v>
      </c>
      <c r="BK376" s="319" t="s">
        <v>190</v>
      </c>
      <c r="BL376" s="319" t="s">
        <v>190</v>
      </c>
      <c r="BM376" s="319" t="s">
        <v>190</v>
      </c>
      <c r="BN376" s="319" t="s">
        <v>190</v>
      </c>
      <c r="BO376" s="319" t="s">
        <v>190</v>
      </c>
      <c r="BP376" s="319" t="s">
        <v>190</v>
      </c>
      <c r="BQ376" s="319" t="s">
        <v>190</v>
      </c>
      <c r="BR376" s="319" t="s">
        <v>190</v>
      </c>
      <c r="BS376" s="319" t="s">
        <v>190</v>
      </c>
      <c r="BT376" s="319" t="s">
        <v>190</v>
      </c>
      <c r="BU376" s="319" t="s">
        <v>190</v>
      </c>
      <c r="BV376" s="319" t="s">
        <v>190</v>
      </c>
      <c r="BW376" s="319" t="s">
        <v>190</v>
      </c>
      <c r="BX376" s="319" t="s">
        <v>190</v>
      </c>
      <c r="BY376" s="319" t="s">
        <v>190</v>
      </c>
      <c r="BZ376" s="319" t="s">
        <v>190</v>
      </c>
      <c r="CA376" s="319" t="s">
        <v>190</v>
      </c>
      <c r="CB376" s="319" t="s">
        <v>190</v>
      </c>
      <c r="CC376" s="319" t="s">
        <v>190</v>
      </c>
      <c r="CD376" s="319" t="s">
        <v>190</v>
      </c>
      <c r="CE376" s="319" t="s">
        <v>190</v>
      </c>
      <c r="CF376" s="319" t="s">
        <v>190</v>
      </c>
      <c r="CG376" s="319" t="s">
        <v>190</v>
      </c>
      <c r="CH376" s="319" t="s">
        <v>190</v>
      </c>
      <c r="CI376" s="319" t="s">
        <v>190</v>
      </c>
      <c r="CJ376" s="319" t="s">
        <v>190</v>
      </c>
      <c r="CK376" s="319" t="s">
        <v>190</v>
      </c>
      <c r="CL376" s="319" t="s">
        <v>190</v>
      </c>
      <c r="CM376" s="319" t="s">
        <v>190</v>
      </c>
      <c r="CN376" s="319" t="s">
        <v>428</v>
      </c>
      <c r="CO376" s="319" t="s">
        <v>428</v>
      </c>
      <c r="CP376" s="319" t="s">
        <v>428</v>
      </c>
      <c r="CQ376" s="319" t="s">
        <v>190</v>
      </c>
      <c r="CR376" s="319" t="s">
        <v>190</v>
      </c>
      <c r="CS376" s="319" t="s">
        <v>190</v>
      </c>
      <c r="CT376" s="319" t="s">
        <v>190</v>
      </c>
      <c r="CU376" s="319" t="s">
        <v>190</v>
      </c>
      <c r="CV376" s="319" t="s">
        <v>190</v>
      </c>
      <c r="CW376" s="319" t="s">
        <v>190</v>
      </c>
      <c r="CX376" s="319" t="s">
        <v>190</v>
      </c>
      <c r="CY376" s="319" t="s">
        <v>190</v>
      </c>
      <c r="CZ376" s="319" t="s">
        <v>190</v>
      </c>
      <c r="DA376" s="319" t="s">
        <v>190</v>
      </c>
      <c r="DB376" s="319" t="s">
        <v>190</v>
      </c>
      <c r="DC376" s="319" t="s">
        <v>190</v>
      </c>
      <c r="DD376" s="319" t="s">
        <v>190</v>
      </c>
      <c r="DE376" s="319" t="s">
        <v>190</v>
      </c>
      <c r="DF376" s="319" t="s">
        <v>190</v>
      </c>
      <c r="DG376" s="319" t="s">
        <v>190</v>
      </c>
      <c r="DH376" s="319" t="s">
        <v>190</v>
      </c>
      <c r="DI376" s="319" t="s">
        <v>190</v>
      </c>
      <c r="DJ376" s="319" t="s">
        <v>190</v>
      </c>
      <c r="DK376" s="319" t="s">
        <v>190</v>
      </c>
      <c r="DL376" s="319" t="s">
        <v>190</v>
      </c>
      <c r="DM376" s="319" t="s">
        <v>190</v>
      </c>
      <c r="DN376" s="319" t="s">
        <v>428</v>
      </c>
      <c r="DO376" s="319" t="s">
        <v>190</v>
      </c>
      <c r="DP376" s="319" t="s">
        <v>428</v>
      </c>
      <c r="DQ376" s="319" t="s">
        <v>428</v>
      </c>
      <c r="DR376" s="319" t="s">
        <v>428</v>
      </c>
      <c r="DS376" s="319" t="s">
        <v>428</v>
      </c>
      <c r="DT376" s="319" t="s">
        <v>428</v>
      </c>
      <c r="DU376" s="319" t="s">
        <v>428</v>
      </c>
      <c r="DV376" s="319" t="s">
        <v>173</v>
      </c>
      <c r="DW376" s="319" t="s">
        <v>428</v>
      </c>
      <c r="DX376" s="319" t="s">
        <v>428</v>
      </c>
      <c r="DY376" s="319" t="s">
        <v>428</v>
      </c>
      <c r="DZ376" s="319" t="s">
        <v>428</v>
      </c>
      <c r="EA376" s="319" t="s">
        <v>428</v>
      </c>
      <c r="EB376" s="319" t="s">
        <v>428</v>
      </c>
      <c r="EC376" s="319" t="s">
        <v>428</v>
      </c>
      <c r="ED376" s="319" t="s">
        <v>428</v>
      </c>
      <c r="EE376" s="319" t="s">
        <v>190</v>
      </c>
      <c r="EF376" s="319" t="s">
        <v>190</v>
      </c>
      <c r="EG376" s="319" t="s">
        <v>190</v>
      </c>
      <c r="EH376" s="319" t="s">
        <v>190</v>
      </c>
      <c r="EI376" s="319" t="s">
        <v>190</v>
      </c>
      <c r="EJ376" s="319" t="s">
        <v>190</v>
      </c>
      <c r="EK376" s="319" t="s">
        <v>190</v>
      </c>
      <c r="EL376" s="319" t="s">
        <v>428</v>
      </c>
      <c r="EM376" s="319" t="s">
        <v>190</v>
      </c>
      <c r="EN376" s="319" t="s">
        <v>190</v>
      </c>
      <c r="EO376" s="319" t="s">
        <v>190</v>
      </c>
      <c r="EP376" s="319" t="s">
        <v>190</v>
      </c>
      <c r="EQ376" s="319" t="s">
        <v>190</v>
      </c>
      <c r="ER376" s="319" t="s">
        <v>190</v>
      </c>
      <c r="ES376" s="319" t="s">
        <v>190</v>
      </c>
      <c r="ET376" s="319" t="s">
        <v>190</v>
      </c>
      <c r="EU376" s="319" t="s">
        <v>190</v>
      </c>
      <c r="EV376" s="319" t="s">
        <v>190</v>
      </c>
      <c r="EW376" s="319" t="s">
        <v>190</v>
      </c>
      <c r="EX376" s="319" t="s">
        <v>190</v>
      </c>
      <c r="EY376" s="319" t="s">
        <v>190</v>
      </c>
      <c r="EZ376" s="319" t="s">
        <v>190</v>
      </c>
      <c r="FA376" s="319" t="s">
        <v>190</v>
      </c>
      <c r="FB376" s="319" t="s">
        <v>428</v>
      </c>
      <c r="FC376" s="319" t="s">
        <v>428</v>
      </c>
      <c r="FD376" s="319" t="s">
        <v>428</v>
      </c>
      <c r="FE376" s="319" t="s">
        <v>428</v>
      </c>
      <c r="FF376" s="319" t="s">
        <v>428</v>
      </c>
      <c r="FG376" s="319" t="s">
        <v>428</v>
      </c>
      <c r="FH376" s="319" t="s">
        <v>190</v>
      </c>
      <c r="FI376" s="319" t="s">
        <v>190</v>
      </c>
      <c r="FJ376" s="319" t="s">
        <v>190</v>
      </c>
      <c r="FK376" s="319" t="s">
        <v>190</v>
      </c>
      <c r="FL376" s="319" t="s">
        <v>190</v>
      </c>
      <c r="FM376" s="319" t="s">
        <v>190</v>
      </c>
      <c r="FN376" s="319" t="s">
        <v>428</v>
      </c>
      <c r="FO376" s="319" t="s">
        <v>190</v>
      </c>
      <c r="FP376" s="319" t="s">
        <v>190</v>
      </c>
      <c r="FQ376" s="319" t="s">
        <v>190</v>
      </c>
      <c r="FR376" s="319" t="s">
        <v>190</v>
      </c>
      <c r="FS376" s="319" t="s">
        <v>428</v>
      </c>
      <c r="FT376" s="319" t="s">
        <v>190</v>
      </c>
      <c r="FU376" s="319" t="s">
        <v>190</v>
      </c>
      <c r="FV376" s="319" t="s">
        <v>190</v>
      </c>
      <c r="FW376" s="319" t="s">
        <v>190</v>
      </c>
      <c r="FX376" s="319" t="s">
        <v>190</v>
      </c>
      <c r="FY376" s="319" t="s">
        <v>190</v>
      </c>
      <c r="FZ376" s="319" t="s">
        <v>190</v>
      </c>
      <c r="GA376" s="319" t="s">
        <v>190</v>
      </c>
      <c r="GB376" s="319" t="s">
        <v>190</v>
      </c>
      <c r="GC376" s="319" t="s">
        <v>190</v>
      </c>
      <c r="GD376" s="319" t="s">
        <v>190</v>
      </c>
      <c r="GE376" s="319" t="s">
        <v>190</v>
      </c>
      <c r="GF376" s="319" t="s">
        <v>190</v>
      </c>
      <c r="GG376" s="319" t="s">
        <v>190</v>
      </c>
      <c r="GH376" s="319" t="s">
        <v>190</v>
      </c>
      <c r="GI376" s="319" t="s">
        <v>190</v>
      </c>
      <c r="GJ376" s="319" t="s">
        <v>190</v>
      </c>
      <c r="GK376" s="319" t="s">
        <v>428</v>
      </c>
      <c r="GL376" s="319" t="s">
        <v>190</v>
      </c>
      <c r="GM376" s="319" t="s">
        <v>190</v>
      </c>
      <c r="GN376" s="319" t="s">
        <v>190</v>
      </c>
      <c r="GO376" s="319" t="s">
        <v>190</v>
      </c>
      <c r="GP376" s="319" t="s">
        <v>190</v>
      </c>
      <c r="GQ376" s="319" t="s">
        <v>428</v>
      </c>
      <c r="GR376" s="319" t="s">
        <v>190</v>
      </c>
      <c r="GS376" s="319" t="s">
        <v>190</v>
      </c>
      <c r="GT376" s="319" t="s">
        <v>428</v>
      </c>
      <c r="GU376" s="319" t="s">
        <v>428</v>
      </c>
      <c r="GV376" s="319" t="s">
        <v>190</v>
      </c>
      <c r="GW376" s="319" t="s">
        <v>190</v>
      </c>
      <c r="GX376" s="319" t="s">
        <v>190</v>
      </c>
      <c r="GY376" s="319" t="s">
        <v>190</v>
      </c>
      <c r="GZ376" s="319" t="s">
        <v>428</v>
      </c>
      <c r="HA376" s="319" t="s">
        <v>190</v>
      </c>
      <c r="HB376" s="319" t="s">
        <v>190</v>
      </c>
      <c r="HC376" s="319" t="s">
        <v>190</v>
      </c>
      <c r="HD376" s="319" t="s">
        <v>190</v>
      </c>
      <c r="HE376" s="319" t="s">
        <v>190</v>
      </c>
      <c r="HF376" s="319" t="s">
        <v>190</v>
      </c>
      <c r="HG376" s="319" t="s">
        <v>190</v>
      </c>
      <c r="HH376" s="319" t="s">
        <v>190</v>
      </c>
      <c r="HI376" s="319" t="s">
        <v>190</v>
      </c>
      <c r="HJ376" s="319" t="s">
        <v>190</v>
      </c>
      <c r="HK376" s="319" t="s">
        <v>190</v>
      </c>
      <c r="HL376" s="319" t="s">
        <v>428</v>
      </c>
      <c r="HM376" s="319" t="s">
        <v>428</v>
      </c>
      <c r="HN376" s="319" t="s">
        <v>428</v>
      </c>
      <c r="HO376" s="319" t="s">
        <v>428</v>
      </c>
      <c r="HP376" s="319" t="s">
        <v>190</v>
      </c>
      <c r="HQ376" s="319" t="s">
        <v>190</v>
      </c>
      <c r="HR376" s="319" t="s">
        <v>190</v>
      </c>
      <c r="HS376" s="319" t="s">
        <v>190</v>
      </c>
      <c r="HT376" s="319" t="s">
        <v>190</v>
      </c>
      <c r="HU376" s="319" t="s">
        <v>190</v>
      </c>
      <c r="HV376" s="319" t="s">
        <v>190</v>
      </c>
      <c r="HW376" s="319" t="s">
        <v>190</v>
      </c>
      <c r="HX376" s="319" t="s">
        <v>190</v>
      </c>
      <c r="HY376" s="319" t="s">
        <v>190</v>
      </c>
      <c r="HZ376" s="319" t="s">
        <v>190</v>
      </c>
      <c r="IA376" s="319" t="s">
        <v>190</v>
      </c>
      <c r="IB376" s="319" t="s">
        <v>190</v>
      </c>
      <c r="IC376" s="319" t="s">
        <v>190</v>
      </c>
      <c r="ID376" s="319" t="s">
        <v>190</v>
      </c>
      <c r="IE376" s="319" t="s">
        <v>190</v>
      </c>
      <c r="IF376" s="319" t="s">
        <v>190</v>
      </c>
      <c r="IG376" s="319" t="s">
        <v>190</v>
      </c>
      <c r="IH376" s="319" t="s">
        <v>190</v>
      </c>
      <c r="II376" s="319" t="s">
        <v>190</v>
      </c>
      <c r="IJ376" s="319" t="s">
        <v>3156</v>
      </c>
      <c r="IK376" s="321">
        <v>41968</v>
      </c>
      <c r="IL376" s="321">
        <v>41970</v>
      </c>
      <c r="IM376" s="321">
        <v>42044</v>
      </c>
      <c r="IN376" s="319">
        <v>2</v>
      </c>
      <c r="IO376" s="319" t="s">
        <v>173</v>
      </c>
      <c r="IP376" s="319" t="s">
        <v>173</v>
      </c>
      <c r="IQ376" s="321" t="s">
        <v>173</v>
      </c>
      <c r="IR376" s="320" t="s">
        <v>173</v>
      </c>
      <c r="IS376" s="322" t="s">
        <v>173</v>
      </c>
      <c r="IT376" s="319" t="s">
        <v>173</v>
      </c>
    </row>
    <row r="377" spans="1:254" s="271" customFormat="1" x14ac:dyDescent="0.25">
      <c r="A377" s="318" t="str">
        <f>HYPERLINK("http://www.ofsted.gov.uk/inspection-reports/find-inspection-report/provider/ELS/132738 ","Ofsted School Webpage")</f>
        <v>Ofsted School Webpage</v>
      </c>
      <c r="B377" s="319">
        <v>132738</v>
      </c>
      <c r="C377" s="319">
        <v>8886047</v>
      </c>
      <c r="D377" s="319" t="s">
        <v>1726</v>
      </c>
      <c r="E377" s="319" t="s">
        <v>167</v>
      </c>
      <c r="F377" s="319" t="s">
        <v>71</v>
      </c>
      <c r="G377" s="319" t="s">
        <v>72</v>
      </c>
      <c r="H377" s="319" t="s">
        <v>71</v>
      </c>
      <c r="I377" s="319" t="s">
        <v>72</v>
      </c>
      <c r="J377" s="319" t="s">
        <v>424</v>
      </c>
      <c r="K377" s="319" t="s">
        <v>431</v>
      </c>
      <c r="L377" s="319" t="s">
        <v>431</v>
      </c>
      <c r="M377" s="319" t="s">
        <v>469</v>
      </c>
      <c r="N377" s="319" t="s">
        <v>3076</v>
      </c>
      <c r="O377" s="319" t="s">
        <v>1727</v>
      </c>
      <c r="P377" s="319">
        <v>83</v>
      </c>
      <c r="Q377" s="319" t="s">
        <v>2766</v>
      </c>
      <c r="R377" s="320">
        <v>10092283</v>
      </c>
      <c r="S377" s="321">
        <v>43781</v>
      </c>
      <c r="T377" s="321">
        <v>43783</v>
      </c>
      <c r="U377" s="321">
        <v>43817</v>
      </c>
      <c r="V377" s="319" t="s">
        <v>425</v>
      </c>
      <c r="W377" s="319" t="s">
        <v>2767</v>
      </c>
      <c r="X377" s="319">
        <v>2</v>
      </c>
      <c r="Y377" s="319">
        <v>2</v>
      </c>
      <c r="Z377" s="319">
        <v>1</v>
      </c>
      <c r="AA377" s="319">
        <v>2</v>
      </c>
      <c r="AB377" s="319">
        <v>2</v>
      </c>
      <c r="AC377" s="319" t="s">
        <v>169</v>
      </c>
      <c r="AD377" s="319">
        <v>3</v>
      </c>
      <c r="AE377" s="319" t="s">
        <v>173</v>
      </c>
      <c r="AF377" s="319" t="s">
        <v>427</v>
      </c>
      <c r="AG377" s="319" t="s">
        <v>171</v>
      </c>
      <c r="AH377" s="319" t="s">
        <v>190</v>
      </c>
      <c r="AI377" s="319" t="s">
        <v>190</v>
      </c>
      <c r="AJ377" s="319" t="s">
        <v>190</v>
      </c>
      <c r="AK377" s="319" t="s">
        <v>190</v>
      </c>
      <c r="AL377" s="319" t="s">
        <v>190</v>
      </c>
      <c r="AM377" s="319" t="s">
        <v>190</v>
      </c>
      <c r="AN377" s="319" t="s">
        <v>190</v>
      </c>
      <c r="AO377" s="319" t="s">
        <v>190</v>
      </c>
      <c r="AP377" s="319" t="s">
        <v>190</v>
      </c>
      <c r="AQ377" s="319" t="s">
        <v>190</v>
      </c>
      <c r="AR377" s="319" t="s">
        <v>190</v>
      </c>
      <c r="AS377" s="319" t="s">
        <v>190</v>
      </c>
      <c r="AT377" s="319" t="s">
        <v>190</v>
      </c>
      <c r="AU377" s="319" t="s">
        <v>190</v>
      </c>
      <c r="AV377" s="319" t="s">
        <v>190</v>
      </c>
      <c r="AW377" s="319" t="s">
        <v>190</v>
      </c>
      <c r="AX377" s="319" t="s">
        <v>428</v>
      </c>
      <c r="AY377" s="319" t="s">
        <v>190</v>
      </c>
      <c r="AZ377" s="319" t="s">
        <v>190</v>
      </c>
      <c r="BA377" s="319" t="s">
        <v>190</v>
      </c>
      <c r="BB377" s="319" t="s">
        <v>428</v>
      </c>
      <c r="BC377" s="319" t="s">
        <v>428</v>
      </c>
      <c r="BD377" s="319" t="s">
        <v>428</v>
      </c>
      <c r="BE377" s="319" t="s">
        <v>428</v>
      </c>
      <c r="BF377" s="319" t="s">
        <v>190</v>
      </c>
      <c r="BG377" s="319" t="s">
        <v>428</v>
      </c>
      <c r="BH377" s="319" t="s">
        <v>190</v>
      </c>
      <c r="BI377" s="319" t="s">
        <v>190</v>
      </c>
      <c r="BJ377" s="319" t="s">
        <v>190</v>
      </c>
      <c r="BK377" s="319" t="s">
        <v>190</v>
      </c>
      <c r="BL377" s="319" t="s">
        <v>190</v>
      </c>
      <c r="BM377" s="319" t="s">
        <v>190</v>
      </c>
      <c r="BN377" s="319" t="s">
        <v>190</v>
      </c>
      <c r="BO377" s="319" t="s">
        <v>190</v>
      </c>
      <c r="BP377" s="319" t="s">
        <v>190</v>
      </c>
      <c r="BQ377" s="319" t="s">
        <v>190</v>
      </c>
      <c r="BR377" s="319" t="s">
        <v>190</v>
      </c>
      <c r="BS377" s="319" t="s">
        <v>190</v>
      </c>
      <c r="BT377" s="319" t="s">
        <v>190</v>
      </c>
      <c r="BU377" s="319" t="s">
        <v>190</v>
      </c>
      <c r="BV377" s="319" t="s">
        <v>190</v>
      </c>
      <c r="BW377" s="319" t="s">
        <v>190</v>
      </c>
      <c r="BX377" s="319" t="s">
        <v>190</v>
      </c>
      <c r="BY377" s="319" t="s">
        <v>190</v>
      </c>
      <c r="BZ377" s="319" t="s">
        <v>190</v>
      </c>
      <c r="CA377" s="319" t="s">
        <v>190</v>
      </c>
      <c r="CB377" s="319" t="s">
        <v>190</v>
      </c>
      <c r="CC377" s="319" t="s">
        <v>190</v>
      </c>
      <c r="CD377" s="319" t="s">
        <v>190</v>
      </c>
      <c r="CE377" s="319" t="s">
        <v>190</v>
      </c>
      <c r="CF377" s="319" t="s">
        <v>190</v>
      </c>
      <c r="CG377" s="319" t="s">
        <v>190</v>
      </c>
      <c r="CH377" s="319" t="s">
        <v>190</v>
      </c>
      <c r="CI377" s="319" t="s">
        <v>190</v>
      </c>
      <c r="CJ377" s="319" t="s">
        <v>190</v>
      </c>
      <c r="CK377" s="319" t="s">
        <v>190</v>
      </c>
      <c r="CL377" s="319" t="s">
        <v>190</v>
      </c>
      <c r="CM377" s="319" t="s">
        <v>190</v>
      </c>
      <c r="CN377" s="319" t="s">
        <v>428</v>
      </c>
      <c r="CO377" s="319" t="s">
        <v>428</v>
      </c>
      <c r="CP377" s="319" t="s">
        <v>428</v>
      </c>
      <c r="CQ377" s="319" t="s">
        <v>190</v>
      </c>
      <c r="CR377" s="319" t="s">
        <v>190</v>
      </c>
      <c r="CS377" s="319" t="s">
        <v>190</v>
      </c>
      <c r="CT377" s="319" t="s">
        <v>190</v>
      </c>
      <c r="CU377" s="319" t="s">
        <v>190</v>
      </c>
      <c r="CV377" s="319" t="s">
        <v>190</v>
      </c>
      <c r="CW377" s="319" t="s">
        <v>190</v>
      </c>
      <c r="CX377" s="319" t="s">
        <v>190</v>
      </c>
      <c r="CY377" s="319" t="s">
        <v>190</v>
      </c>
      <c r="CZ377" s="319" t="s">
        <v>190</v>
      </c>
      <c r="DA377" s="319" t="s">
        <v>190</v>
      </c>
      <c r="DB377" s="319" t="s">
        <v>190</v>
      </c>
      <c r="DC377" s="319" t="s">
        <v>190</v>
      </c>
      <c r="DD377" s="319" t="s">
        <v>190</v>
      </c>
      <c r="DE377" s="319" t="s">
        <v>190</v>
      </c>
      <c r="DF377" s="319" t="s">
        <v>190</v>
      </c>
      <c r="DG377" s="319" t="s">
        <v>190</v>
      </c>
      <c r="DH377" s="319" t="s">
        <v>190</v>
      </c>
      <c r="DI377" s="319" t="s">
        <v>190</v>
      </c>
      <c r="DJ377" s="319" t="s">
        <v>190</v>
      </c>
      <c r="DK377" s="319" t="s">
        <v>190</v>
      </c>
      <c r="DL377" s="319" t="s">
        <v>190</v>
      </c>
      <c r="DM377" s="319" t="s">
        <v>190</v>
      </c>
      <c r="DN377" s="319" t="s">
        <v>428</v>
      </c>
      <c r="DO377" s="319" t="s">
        <v>190</v>
      </c>
      <c r="DP377" s="319" t="s">
        <v>428</v>
      </c>
      <c r="DQ377" s="319" t="s">
        <v>428</v>
      </c>
      <c r="DR377" s="319" t="s">
        <v>428</v>
      </c>
      <c r="DS377" s="319" t="s">
        <v>428</v>
      </c>
      <c r="DT377" s="319" t="s">
        <v>428</v>
      </c>
      <c r="DU377" s="319" t="s">
        <v>428</v>
      </c>
      <c r="DV377" s="319" t="s">
        <v>428</v>
      </c>
      <c r="DW377" s="319" t="s">
        <v>428</v>
      </c>
      <c r="DX377" s="319" t="s">
        <v>428</v>
      </c>
      <c r="DY377" s="319" t="s">
        <v>428</v>
      </c>
      <c r="DZ377" s="319" t="s">
        <v>428</v>
      </c>
      <c r="EA377" s="319" t="s">
        <v>428</v>
      </c>
      <c r="EB377" s="319" t="s">
        <v>428</v>
      </c>
      <c r="EC377" s="319" t="s">
        <v>428</v>
      </c>
      <c r="ED377" s="319" t="s">
        <v>428</v>
      </c>
      <c r="EE377" s="319" t="s">
        <v>190</v>
      </c>
      <c r="EF377" s="319" t="s">
        <v>190</v>
      </c>
      <c r="EG377" s="319" t="s">
        <v>190</v>
      </c>
      <c r="EH377" s="319" t="s">
        <v>190</v>
      </c>
      <c r="EI377" s="319" t="s">
        <v>190</v>
      </c>
      <c r="EJ377" s="319" t="s">
        <v>190</v>
      </c>
      <c r="EK377" s="319" t="s">
        <v>190</v>
      </c>
      <c r="EL377" s="319" t="s">
        <v>190</v>
      </c>
      <c r="EM377" s="319" t="s">
        <v>190</v>
      </c>
      <c r="EN377" s="319" t="s">
        <v>190</v>
      </c>
      <c r="EO377" s="319" t="s">
        <v>190</v>
      </c>
      <c r="EP377" s="319" t="s">
        <v>190</v>
      </c>
      <c r="EQ377" s="319" t="s">
        <v>190</v>
      </c>
      <c r="ER377" s="319" t="s">
        <v>190</v>
      </c>
      <c r="ES377" s="319" t="s">
        <v>190</v>
      </c>
      <c r="ET377" s="319" t="s">
        <v>190</v>
      </c>
      <c r="EU377" s="319" t="s">
        <v>190</v>
      </c>
      <c r="EV377" s="319" t="s">
        <v>190</v>
      </c>
      <c r="EW377" s="319" t="s">
        <v>190</v>
      </c>
      <c r="EX377" s="319" t="s">
        <v>190</v>
      </c>
      <c r="EY377" s="319" t="s">
        <v>190</v>
      </c>
      <c r="EZ377" s="319" t="s">
        <v>190</v>
      </c>
      <c r="FA377" s="319" t="s">
        <v>190</v>
      </c>
      <c r="FB377" s="319" t="s">
        <v>428</v>
      </c>
      <c r="FC377" s="319" t="s">
        <v>428</v>
      </c>
      <c r="FD377" s="319" t="s">
        <v>428</v>
      </c>
      <c r="FE377" s="319" t="s">
        <v>428</v>
      </c>
      <c r="FF377" s="319" t="s">
        <v>428</v>
      </c>
      <c r="FG377" s="319" t="s">
        <v>428</v>
      </c>
      <c r="FH377" s="319" t="s">
        <v>190</v>
      </c>
      <c r="FI377" s="319" t="s">
        <v>190</v>
      </c>
      <c r="FJ377" s="319" t="s">
        <v>190</v>
      </c>
      <c r="FK377" s="319" t="s">
        <v>190</v>
      </c>
      <c r="FL377" s="319" t="s">
        <v>190</v>
      </c>
      <c r="FM377" s="319" t="s">
        <v>190</v>
      </c>
      <c r="FN377" s="319" t="s">
        <v>190</v>
      </c>
      <c r="FO377" s="319" t="s">
        <v>428</v>
      </c>
      <c r="FP377" s="319" t="s">
        <v>190</v>
      </c>
      <c r="FQ377" s="319" t="s">
        <v>190</v>
      </c>
      <c r="FR377" s="319" t="s">
        <v>190</v>
      </c>
      <c r="FS377" s="319" t="s">
        <v>428</v>
      </c>
      <c r="FT377" s="319" t="s">
        <v>190</v>
      </c>
      <c r="FU377" s="319" t="s">
        <v>190</v>
      </c>
      <c r="FV377" s="319" t="s">
        <v>190</v>
      </c>
      <c r="FW377" s="319" t="s">
        <v>190</v>
      </c>
      <c r="FX377" s="319" t="s">
        <v>190</v>
      </c>
      <c r="FY377" s="319" t="s">
        <v>190</v>
      </c>
      <c r="FZ377" s="319" t="s">
        <v>190</v>
      </c>
      <c r="GA377" s="319" t="s">
        <v>190</v>
      </c>
      <c r="GB377" s="319" t="s">
        <v>190</v>
      </c>
      <c r="GC377" s="319" t="s">
        <v>190</v>
      </c>
      <c r="GD377" s="319" t="s">
        <v>190</v>
      </c>
      <c r="GE377" s="319" t="s">
        <v>190</v>
      </c>
      <c r="GF377" s="319" t="s">
        <v>190</v>
      </c>
      <c r="GG377" s="319" t="s">
        <v>190</v>
      </c>
      <c r="GH377" s="319" t="s">
        <v>190</v>
      </c>
      <c r="GI377" s="319" t="s">
        <v>190</v>
      </c>
      <c r="GJ377" s="319" t="s">
        <v>190</v>
      </c>
      <c r="GK377" s="319" t="s">
        <v>428</v>
      </c>
      <c r="GL377" s="319" t="s">
        <v>190</v>
      </c>
      <c r="GM377" s="319" t="s">
        <v>190</v>
      </c>
      <c r="GN377" s="319" t="s">
        <v>190</v>
      </c>
      <c r="GO377" s="319" t="s">
        <v>190</v>
      </c>
      <c r="GP377" s="319" t="s">
        <v>190</v>
      </c>
      <c r="GQ377" s="319" t="s">
        <v>428</v>
      </c>
      <c r="GR377" s="319" t="s">
        <v>190</v>
      </c>
      <c r="GS377" s="319" t="s">
        <v>190</v>
      </c>
      <c r="GT377" s="319" t="s">
        <v>428</v>
      </c>
      <c r="GU377" s="319" t="s">
        <v>428</v>
      </c>
      <c r="GV377" s="319" t="s">
        <v>428</v>
      </c>
      <c r="GW377" s="319" t="s">
        <v>190</v>
      </c>
      <c r="GX377" s="319" t="s">
        <v>190</v>
      </c>
      <c r="GY377" s="319" t="s">
        <v>190</v>
      </c>
      <c r="GZ377" s="319" t="s">
        <v>428</v>
      </c>
      <c r="HA377" s="319" t="s">
        <v>190</v>
      </c>
      <c r="HB377" s="319" t="s">
        <v>428</v>
      </c>
      <c r="HC377" s="319" t="s">
        <v>190</v>
      </c>
      <c r="HD377" s="319" t="s">
        <v>190</v>
      </c>
      <c r="HE377" s="319" t="s">
        <v>190</v>
      </c>
      <c r="HF377" s="319" t="s">
        <v>190</v>
      </c>
      <c r="HG377" s="319" t="s">
        <v>190</v>
      </c>
      <c r="HH377" s="319" t="s">
        <v>190</v>
      </c>
      <c r="HI377" s="319" t="s">
        <v>190</v>
      </c>
      <c r="HJ377" s="319" t="s">
        <v>190</v>
      </c>
      <c r="HK377" s="319" t="s">
        <v>190</v>
      </c>
      <c r="HL377" s="319" t="s">
        <v>428</v>
      </c>
      <c r="HM377" s="319" t="s">
        <v>428</v>
      </c>
      <c r="HN377" s="319" t="s">
        <v>428</v>
      </c>
      <c r="HO377" s="319" t="s">
        <v>428</v>
      </c>
      <c r="HP377" s="319" t="s">
        <v>190</v>
      </c>
      <c r="HQ377" s="319" t="s">
        <v>190</v>
      </c>
      <c r="HR377" s="319" t="s">
        <v>190</v>
      </c>
      <c r="HS377" s="319" t="s">
        <v>190</v>
      </c>
      <c r="HT377" s="319" t="s">
        <v>190</v>
      </c>
      <c r="HU377" s="319" t="s">
        <v>190</v>
      </c>
      <c r="HV377" s="319" t="s">
        <v>190</v>
      </c>
      <c r="HW377" s="319" t="s">
        <v>190</v>
      </c>
      <c r="HX377" s="319" t="s">
        <v>190</v>
      </c>
      <c r="HY377" s="319" t="s">
        <v>190</v>
      </c>
      <c r="HZ377" s="319" t="s">
        <v>190</v>
      </c>
      <c r="IA377" s="319" t="s">
        <v>190</v>
      </c>
      <c r="IB377" s="319" t="s">
        <v>190</v>
      </c>
      <c r="IC377" s="319" t="s">
        <v>190</v>
      </c>
      <c r="ID377" s="319" t="s">
        <v>190</v>
      </c>
      <c r="IE377" s="319" t="s">
        <v>190</v>
      </c>
      <c r="IF377" s="319" t="s">
        <v>190</v>
      </c>
      <c r="IG377" s="319" t="s">
        <v>190</v>
      </c>
      <c r="IH377" s="319" t="s">
        <v>190</v>
      </c>
      <c r="II377" s="319" t="s">
        <v>190</v>
      </c>
      <c r="IJ377" s="319">
        <v>10007709</v>
      </c>
      <c r="IK377" s="321">
        <v>42745</v>
      </c>
      <c r="IL377" s="321">
        <v>42747</v>
      </c>
      <c r="IM377" s="321">
        <v>42768</v>
      </c>
      <c r="IN377" s="319">
        <v>2</v>
      </c>
      <c r="IO377" s="319" t="s">
        <v>173</v>
      </c>
      <c r="IP377" s="319" t="s">
        <v>173</v>
      </c>
      <c r="IQ377" s="321" t="s">
        <v>173</v>
      </c>
      <c r="IR377" s="320" t="s">
        <v>173</v>
      </c>
      <c r="IS377" s="322" t="s">
        <v>173</v>
      </c>
      <c r="IT377" s="319" t="s">
        <v>173</v>
      </c>
    </row>
    <row r="378" spans="1:254" s="271" customFormat="1" x14ac:dyDescent="0.25">
      <c r="A378" s="318" t="str">
        <f>HYPERLINK("http://www.ofsted.gov.uk/inspection-reports/find-inspection-report/provider/ELS/132743 ","Ofsted School Webpage")</f>
        <v>Ofsted School Webpage</v>
      </c>
      <c r="B378" s="319">
        <v>132743</v>
      </c>
      <c r="C378" s="319">
        <v>3306101</v>
      </c>
      <c r="D378" s="319" t="s">
        <v>1728</v>
      </c>
      <c r="E378" s="319" t="s">
        <v>168</v>
      </c>
      <c r="F378" s="319" t="s">
        <v>81</v>
      </c>
      <c r="G378" s="319" t="s">
        <v>81</v>
      </c>
      <c r="H378" s="319" t="s">
        <v>81</v>
      </c>
      <c r="I378" s="319" t="s">
        <v>78</v>
      </c>
      <c r="J378" s="319" t="s">
        <v>424</v>
      </c>
      <c r="K378" s="319" t="s">
        <v>437</v>
      </c>
      <c r="L378" s="319" t="s">
        <v>437</v>
      </c>
      <c r="M378" s="319" t="s">
        <v>813</v>
      </c>
      <c r="N378" s="319" t="s">
        <v>2858</v>
      </c>
      <c r="O378" s="319" t="s">
        <v>1729</v>
      </c>
      <c r="P378" s="319">
        <v>19</v>
      </c>
      <c r="Q378" s="319" t="s">
        <v>429</v>
      </c>
      <c r="R378" s="320">
        <v>10092449</v>
      </c>
      <c r="S378" s="321">
        <v>43606</v>
      </c>
      <c r="T378" s="321">
        <v>43608</v>
      </c>
      <c r="U378" s="321">
        <v>43634</v>
      </c>
      <c r="V378" s="319" t="s">
        <v>425</v>
      </c>
      <c r="W378" s="319" t="s">
        <v>2767</v>
      </c>
      <c r="X378" s="319">
        <v>2</v>
      </c>
      <c r="Y378" s="319" t="s">
        <v>173</v>
      </c>
      <c r="Z378" s="319" t="s">
        <v>173</v>
      </c>
      <c r="AA378" s="319" t="s">
        <v>173</v>
      </c>
      <c r="AB378" s="319">
        <v>2</v>
      </c>
      <c r="AC378" s="319" t="s">
        <v>169</v>
      </c>
      <c r="AD378" s="319" t="s">
        <v>173</v>
      </c>
      <c r="AE378" s="319">
        <v>0</v>
      </c>
      <c r="AF378" s="319" t="s">
        <v>427</v>
      </c>
      <c r="AG378" s="319" t="s">
        <v>171</v>
      </c>
      <c r="AH378" s="319" t="s">
        <v>190</v>
      </c>
      <c r="AI378" s="319" t="s">
        <v>190</v>
      </c>
      <c r="AJ378" s="319" t="s">
        <v>190</v>
      </c>
      <c r="AK378" s="319" t="s">
        <v>190</v>
      </c>
      <c r="AL378" s="319" t="s">
        <v>190</v>
      </c>
      <c r="AM378" s="319" t="s">
        <v>190</v>
      </c>
      <c r="AN378" s="319" t="s">
        <v>190</v>
      </c>
      <c r="AO378" s="319" t="s">
        <v>190</v>
      </c>
      <c r="AP378" s="319" t="s">
        <v>190</v>
      </c>
      <c r="AQ378" s="319" t="s">
        <v>190</v>
      </c>
      <c r="AR378" s="319" t="s">
        <v>190</v>
      </c>
      <c r="AS378" s="319" t="s">
        <v>190</v>
      </c>
      <c r="AT378" s="319" t="s">
        <v>190</v>
      </c>
      <c r="AU378" s="319" t="s">
        <v>190</v>
      </c>
      <c r="AV378" s="319" t="s">
        <v>190</v>
      </c>
      <c r="AW378" s="319" t="s">
        <v>190</v>
      </c>
      <c r="AX378" s="319" t="s">
        <v>428</v>
      </c>
      <c r="AY378" s="319" t="s">
        <v>190</v>
      </c>
      <c r="AZ378" s="319" t="s">
        <v>190</v>
      </c>
      <c r="BA378" s="319" t="s">
        <v>190</v>
      </c>
      <c r="BB378" s="319" t="s">
        <v>190</v>
      </c>
      <c r="BC378" s="319" t="s">
        <v>190</v>
      </c>
      <c r="BD378" s="319" t="s">
        <v>190</v>
      </c>
      <c r="BE378" s="319" t="s">
        <v>190</v>
      </c>
      <c r="BF378" s="319" t="s">
        <v>428</v>
      </c>
      <c r="BG378" s="319" t="s">
        <v>190</v>
      </c>
      <c r="BH378" s="319" t="s">
        <v>190</v>
      </c>
      <c r="BI378" s="319" t="s">
        <v>190</v>
      </c>
      <c r="BJ378" s="319" t="s">
        <v>190</v>
      </c>
      <c r="BK378" s="319" t="s">
        <v>190</v>
      </c>
      <c r="BL378" s="319" t="s">
        <v>190</v>
      </c>
      <c r="BM378" s="319" t="s">
        <v>190</v>
      </c>
      <c r="BN378" s="319" t="s">
        <v>190</v>
      </c>
      <c r="BO378" s="319" t="s">
        <v>190</v>
      </c>
      <c r="BP378" s="319" t="s">
        <v>190</v>
      </c>
      <c r="BQ378" s="319" t="s">
        <v>190</v>
      </c>
      <c r="BR378" s="319" t="s">
        <v>190</v>
      </c>
      <c r="BS378" s="319" t="s">
        <v>190</v>
      </c>
      <c r="BT378" s="319" t="s">
        <v>190</v>
      </c>
      <c r="BU378" s="319" t="s">
        <v>190</v>
      </c>
      <c r="BV378" s="319" t="s">
        <v>190</v>
      </c>
      <c r="BW378" s="319" t="s">
        <v>190</v>
      </c>
      <c r="BX378" s="319" t="s">
        <v>190</v>
      </c>
      <c r="BY378" s="319" t="s">
        <v>190</v>
      </c>
      <c r="BZ378" s="319" t="s">
        <v>190</v>
      </c>
      <c r="CA378" s="319" t="s">
        <v>190</v>
      </c>
      <c r="CB378" s="319" t="s">
        <v>190</v>
      </c>
      <c r="CC378" s="319" t="s">
        <v>190</v>
      </c>
      <c r="CD378" s="319" t="s">
        <v>190</v>
      </c>
      <c r="CE378" s="319" t="s">
        <v>190</v>
      </c>
      <c r="CF378" s="319" t="s">
        <v>190</v>
      </c>
      <c r="CG378" s="319" t="s">
        <v>190</v>
      </c>
      <c r="CH378" s="319" t="s">
        <v>190</v>
      </c>
      <c r="CI378" s="319" t="s">
        <v>190</v>
      </c>
      <c r="CJ378" s="319" t="s">
        <v>190</v>
      </c>
      <c r="CK378" s="319" t="s">
        <v>190</v>
      </c>
      <c r="CL378" s="319" t="s">
        <v>190</v>
      </c>
      <c r="CM378" s="319" t="s">
        <v>190</v>
      </c>
      <c r="CN378" s="319" t="s">
        <v>428</v>
      </c>
      <c r="CO378" s="319" t="s">
        <v>428</v>
      </c>
      <c r="CP378" s="319" t="s">
        <v>428</v>
      </c>
      <c r="CQ378" s="319" t="s">
        <v>190</v>
      </c>
      <c r="CR378" s="319" t="s">
        <v>190</v>
      </c>
      <c r="CS378" s="319" t="s">
        <v>190</v>
      </c>
      <c r="CT378" s="319" t="s">
        <v>190</v>
      </c>
      <c r="CU378" s="319" t="s">
        <v>190</v>
      </c>
      <c r="CV378" s="319" t="s">
        <v>190</v>
      </c>
      <c r="CW378" s="319" t="s">
        <v>190</v>
      </c>
      <c r="CX378" s="319" t="s">
        <v>190</v>
      </c>
      <c r="CY378" s="319" t="s">
        <v>190</v>
      </c>
      <c r="CZ378" s="319" t="s">
        <v>190</v>
      </c>
      <c r="DA378" s="319" t="s">
        <v>190</v>
      </c>
      <c r="DB378" s="319" t="s">
        <v>190</v>
      </c>
      <c r="DC378" s="319" t="s">
        <v>190</v>
      </c>
      <c r="DD378" s="319" t="s">
        <v>190</v>
      </c>
      <c r="DE378" s="319" t="s">
        <v>190</v>
      </c>
      <c r="DF378" s="319" t="s">
        <v>190</v>
      </c>
      <c r="DG378" s="319" t="s">
        <v>190</v>
      </c>
      <c r="DH378" s="319" t="s">
        <v>190</v>
      </c>
      <c r="DI378" s="319" t="s">
        <v>190</v>
      </c>
      <c r="DJ378" s="319" t="s">
        <v>190</v>
      </c>
      <c r="DK378" s="319" t="s">
        <v>190</v>
      </c>
      <c r="DL378" s="319" t="s">
        <v>190</v>
      </c>
      <c r="DM378" s="319" t="s">
        <v>190</v>
      </c>
      <c r="DN378" s="319" t="s">
        <v>428</v>
      </c>
      <c r="DO378" s="319" t="s">
        <v>190</v>
      </c>
      <c r="DP378" s="319" t="s">
        <v>190</v>
      </c>
      <c r="DQ378" s="319" t="s">
        <v>190</v>
      </c>
      <c r="DR378" s="319" t="s">
        <v>190</v>
      </c>
      <c r="DS378" s="319" t="s">
        <v>190</v>
      </c>
      <c r="DT378" s="319" t="s">
        <v>190</v>
      </c>
      <c r="DU378" s="319" t="s">
        <v>190</v>
      </c>
      <c r="DV378" s="319" t="s">
        <v>173</v>
      </c>
      <c r="DW378" s="319" t="s">
        <v>190</v>
      </c>
      <c r="DX378" s="319" t="s">
        <v>190</v>
      </c>
      <c r="DY378" s="319" t="s">
        <v>190</v>
      </c>
      <c r="DZ378" s="319" t="s">
        <v>190</v>
      </c>
      <c r="EA378" s="319" t="s">
        <v>190</v>
      </c>
      <c r="EB378" s="319" t="s">
        <v>190</v>
      </c>
      <c r="EC378" s="319" t="s">
        <v>428</v>
      </c>
      <c r="ED378" s="319" t="s">
        <v>190</v>
      </c>
      <c r="EE378" s="319" t="s">
        <v>190</v>
      </c>
      <c r="EF378" s="319" t="s">
        <v>190</v>
      </c>
      <c r="EG378" s="319" t="s">
        <v>190</v>
      </c>
      <c r="EH378" s="319" t="s">
        <v>190</v>
      </c>
      <c r="EI378" s="319" t="s">
        <v>190</v>
      </c>
      <c r="EJ378" s="319" t="s">
        <v>190</v>
      </c>
      <c r="EK378" s="319" t="s">
        <v>190</v>
      </c>
      <c r="EL378" s="319" t="s">
        <v>190</v>
      </c>
      <c r="EM378" s="319" t="s">
        <v>190</v>
      </c>
      <c r="EN378" s="319" t="s">
        <v>190</v>
      </c>
      <c r="EO378" s="319" t="s">
        <v>190</v>
      </c>
      <c r="EP378" s="319" t="s">
        <v>190</v>
      </c>
      <c r="EQ378" s="319" t="s">
        <v>190</v>
      </c>
      <c r="ER378" s="319" t="s">
        <v>190</v>
      </c>
      <c r="ES378" s="319" t="s">
        <v>190</v>
      </c>
      <c r="ET378" s="319" t="s">
        <v>190</v>
      </c>
      <c r="EU378" s="319" t="s">
        <v>190</v>
      </c>
      <c r="EV378" s="319" t="s">
        <v>190</v>
      </c>
      <c r="EW378" s="319" t="s">
        <v>190</v>
      </c>
      <c r="EX378" s="319" t="s">
        <v>190</v>
      </c>
      <c r="EY378" s="319" t="s">
        <v>190</v>
      </c>
      <c r="EZ378" s="319" t="s">
        <v>190</v>
      </c>
      <c r="FA378" s="319" t="s">
        <v>190</v>
      </c>
      <c r="FB378" s="319" t="s">
        <v>190</v>
      </c>
      <c r="FC378" s="319" t="s">
        <v>190</v>
      </c>
      <c r="FD378" s="319" t="s">
        <v>190</v>
      </c>
      <c r="FE378" s="319" t="s">
        <v>190</v>
      </c>
      <c r="FF378" s="319" t="s">
        <v>190</v>
      </c>
      <c r="FG378" s="319" t="s">
        <v>190</v>
      </c>
      <c r="FH378" s="319" t="s">
        <v>190</v>
      </c>
      <c r="FI378" s="319" t="s">
        <v>190</v>
      </c>
      <c r="FJ378" s="319" t="s">
        <v>190</v>
      </c>
      <c r="FK378" s="319" t="s">
        <v>190</v>
      </c>
      <c r="FL378" s="319" t="s">
        <v>190</v>
      </c>
      <c r="FM378" s="319" t="s">
        <v>190</v>
      </c>
      <c r="FN378" s="319" t="s">
        <v>190</v>
      </c>
      <c r="FO378" s="319" t="s">
        <v>190</v>
      </c>
      <c r="FP378" s="319" t="s">
        <v>190</v>
      </c>
      <c r="FQ378" s="319" t="s">
        <v>190</v>
      </c>
      <c r="FR378" s="319" t="s">
        <v>190</v>
      </c>
      <c r="FS378" s="319" t="s">
        <v>428</v>
      </c>
      <c r="FT378" s="319" t="s">
        <v>190</v>
      </c>
      <c r="FU378" s="319" t="s">
        <v>190</v>
      </c>
      <c r="FV378" s="319" t="s">
        <v>190</v>
      </c>
      <c r="FW378" s="319" t="s">
        <v>190</v>
      </c>
      <c r="FX378" s="319" t="s">
        <v>190</v>
      </c>
      <c r="FY378" s="319" t="s">
        <v>190</v>
      </c>
      <c r="FZ378" s="319" t="s">
        <v>190</v>
      </c>
      <c r="GA378" s="319" t="s">
        <v>190</v>
      </c>
      <c r="GB378" s="319" t="s">
        <v>190</v>
      </c>
      <c r="GC378" s="319" t="s">
        <v>190</v>
      </c>
      <c r="GD378" s="319" t="s">
        <v>190</v>
      </c>
      <c r="GE378" s="319" t="s">
        <v>190</v>
      </c>
      <c r="GF378" s="319" t="s">
        <v>190</v>
      </c>
      <c r="GG378" s="319" t="s">
        <v>190</v>
      </c>
      <c r="GH378" s="319" t="s">
        <v>190</v>
      </c>
      <c r="GI378" s="319" t="s">
        <v>190</v>
      </c>
      <c r="GJ378" s="319" t="s">
        <v>190</v>
      </c>
      <c r="GK378" s="319" t="s">
        <v>428</v>
      </c>
      <c r="GL378" s="319" t="s">
        <v>190</v>
      </c>
      <c r="GM378" s="319" t="s">
        <v>190</v>
      </c>
      <c r="GN378" s="319" t="s">
        <v>190</v>
      </c>
      <c r="GO378" s="319" t="s">
        <v>190</v>
      </c>
      <c r="GP378" s="319" t="s">
        <v>190</v>
      </c>
      <c r="GQ378" s="319" t="s">
        <v>190</v>
      </c>
      <c r="GR378" s="319" t="s">
        <v>190</v>
      </c>
      <c r="GS378" s="319" t="s">
        <v>190</v>
      </c>
      <c r="GT378" s="319" t="s">
        <v>190</v>
      </c>
      <c r="GU378" s="319" t="s">
        <v>190</v>
      </c>
      <c r="GV378" s="319" t="s">
        <v>190</v>
      </c>
      <c r="GW378" s="319" t="s">
        <v>190</v>
      </c>
      <c r="GX378" s="319" t="s">
        <v>190</v>
      </c>
      <c r="GY378" s="319" t="s">
        <v>190</v>
      </c>
      <c r="GZ378" s="319" t="s">
        <v>428</v>
      </c>
      <c r="HA378" s="319" t="s">
        <v>190</v>
      </c>
      <c r="HB378" s="319" t="s">
        <v>190</v>
      </c>
      <c r="HC378" s="319" t="s">
        <v>190</v>
      </c>
      <c r="HD378" s="319" t="s">
        <v>190</v>
      </c>
      <c r="HE378" s="319" t="s">
        <v>190</v>
      </c>
      <c r="HF378" s="319" t="s">
        <v>190</v>
      </c>
      <c r="HG378" s="319" t="s">
        <v>190</v>
      </c>
      <c r="HH378" s="319" t="s">
        <v>190</v>
      </c>
      <c r="HI378" s="319" t="s">
        <v>190</v>
      </c>
      <c r="HJ378" s="319" t="s">
        <v>190</v>
      </c>
      <c r="HK378" s="319" t="s">
        <v>190</v>
      </c>
      <c r="HL378" s="319" t="s">
        <v>190</v>
      </c>
      <c r="HM378" s="319" t="s">
        <v>190</v>
      </c>
      <c r="HN378" s="319" t="s">
        <v>190</v>
      </c>
      <c r="HO378" s="319" t="s">
        <v>190</v>
      </c>
      <c r="HP378" s="319" t="s">
        <v>190</v>
      </c>
      <c r="HQ378" s="319" t="s">
        <v>190</v>
      </c>
      <c r="HR378" s="319" t="s">
        <v>190</v>
      </c>
      <c r="HS378" s="319" t="s">
        <v>190</v>
      </c>
      <c r="HT378" s="319" t="s">
        <v>190</v>
      </c>
      <c r="HU378" s="319" t="s">
        <v>190</v>
      </c>
      <c r="HV378" s="319" t="s">
        <v>190</v>
      </c>
      <c r="HW378" s="319" t="s">
        <v>190</v>
      </c>
      <c r="HX378" s="319" t="s">
        <v>190</v>
      </c>
      <c r="HY378" s="319" t="s">
        <v>190</v>
      </c>
      <c r="HZ378" s="319" t="s">
        <v>190</v>
      </c>
      <c r="IA378" s="319" t="s">
        <v>190</v>
      </c>
      <c r="IB378" s="319" t="s">
        <v>190</v>
      </c>
      <c r="IC378" s="319" t="s">
        <v>190</v>
      </c>
      <c r="ID378" s="319" t="s">
        <v>190</v>
      </c>
      <c r="IE378" s="319" t="s">
        <v>190</v>
      </c>
      <c r="IF378" s="319" t="s">
        <v>190</v>
      </c>
      <c r="IG378" s="319" t="s">
        <v>190</v>
      </c>
      <c r="IH378" s="319" t="s">
        <v>190</v>
      </c>
      <c r="II378" s="319" t="s">
        <v>190</v>
      </c>
      <c r="IJ378" s="319">
        <v>10008601</v>
      </c>
      <c r="IK378" s="321">
        <v>42494</v>
      </c>
      <c r="IL378" s="321">
        <v>42496</v>
      </c>
      <c r="IM378" s="321">
        <v>42542</v>
      </c>
      <c r="IN378" s="319">
        <v>2</v>
      </c>
      <c r="IO378" s="319" t="s">
        <v>173</v>
      </c>
      <c r="IP378" s="319" t="s">
        <v>173</v>
      </c>
      <c r="IQ378" s="319" t="s">
        <v>173</v>
      </c>
      <c r="IR378" s="320" t="s">
        <v>173</v>
      </c>
      <c r="IS378" s="320" t="s">
        <v>173</v>
      </c>
      <c r="IT378" s="319" t="s">
        <v>173</v>
      </c>
    </row>
    <row r="379" spans="1:254" s="271" customFormat="1" x14ac:dyDescent="0.25">
      <c r="A379" s="318" t="str">
        <f>HYPERLINK("http://www.ofsted.gov.uk/inspection-reports/find-inspection-report/provider/ELS/132749 ","Ofsted School Webpage")</f>
        <v>Ofsted School Webpage</v>
      </c>
      <c r="B379" s="319">
        <v>132749</v>
      </c>
      <c r="C379" s="319">
        <v>8896007</v>
      </c>
      <c r="D379" s="319" t="s">
        <v>1730</v>
      </c>
      <c r="E379" s="319" t="s">
        <v>167</v>
      </c>
      <c r="F379" s="319" t="s">
        <v>71</v>
      </c>
      <c r="G379" s="319" t="s">
        <v>72</v>
      </c>
      <c r="H379" s="319" t="s">
        <v>71</v>
      </c>
      <c r="I379" s="319" t="s">
        <v>72</v>
      </c>
      <c r="J379" s="319" t="s">
        <v>424</v>
      </c>
      <c r="K379" s="319" t="s">
        <v>431</v>
      </c>
      <c r="L379" s="319" t="s">
        <v>431</v>
      </c>
      <c r="M379" s="319" t="s">
        <v>541</v>
      </c>
      <c r="N379" s="319" t="s">
        <v>2993</v>
      </c>
      <c r="O379" s="319" t="s">
        <v>1731</v>
      </c>
      <c r="P379" s="319">
        <v>265</v>
      </c>
      <c r="Q379" s="319" t="s">
        <v>2766</v>
      </c>
      <c r="R379" s="320">
        <v>10038840</v>
      </c>
      <c r="S379" s="321">
        <v>43298</v>
      </c>
      <c r="T379" s="321">
        <v>43300</v>
      </c>
      <c r="U379" s="321">
        <v>43361</v>
      </c>
      <c r="V379" s="319" t="s">
        <v>425</v>
      </c>
      <c r="W379" s="319" t="s">
        <v>2767</v>
      </c>
      <c r="X379" s="319">
        <v>1</v>
      </c>
      <c r="Y379" s="319" t="s">
        <v>173</v>
      </c>
      <c r="Z379" s="319" t="s">
        <v>173</v>
      </c>
      <c r="AA379" s="319" t="s">
        <v>173</v>
      </c>
      <c r="AB379" s="319">
        <v>1</v>
      </c>
      <c r="AC379" s="319" t="s">
        <v>169</v>
      </c>
      <c r="AD379" s="319" t="s">
        <v>173</v>
      </c>
      <c r="AE379" s="319" t="s">
        <v>173</v>
      </c>
      <c r="AF379" s="319" t="s">
        <v>427</v>
      </c>
      <c r="AG379" s="319" t="s">
        <v>171</v>
      </c>
      <c r="AH379" s="319" t="s">
        <v>190</v>
      </c>
      <c r="AI379" s="319" t="s">
        <v>190</v>
      </c>
      <c r="AJ379" s="319" t="s">
        <v>190</v>
      </c>
      <c r="AK379" s="319" t="s">
        <v>190</v>
      </c>
      <c r="AL379" s="319" t="s">
        <v>190</v>
      </c>
      <c r="AM379" s="319" t="s">
        <v>190</v>
      </c>
      <c r="AN379" s="319" t="s">
        <v>190</v>
      </c>
      <c r="AO379" s="319" t="s">
        <v>190</v>
      </c>
      <c r="AP379" s="319" t="s">
        <v>190</v>
      </c>
      <c r="AQ379" s="319" t="s">
        <v>190</v>
      </c>
      <c r="AR379" s="319" t="s">
        <v>190</v>
      </c>
      <c r="AS379" s="319" t="s">
        <v>190</v>
      </c>
      <c r="AT379" s="319" t="s">
        <v>190</v>
      </c>
      <c r="AU379" s="319" t="s">
        <v>190</v>
      </c>
      <c r="AV379" s="319" t="s">
        <v>190</v>
      </c>
      <c r="AW379" s="319" t="s">
        <v>190</v>
      </c>
      <c r="AX379" s="319" t="s">
        <v>428</v>
      </c>
      <c r="AY379" s="319" t="s">
        <v>190</v>
      </c>
      <c r="AZ379" s="319" t="s">
        <v>190</v>
      </c>
      <c r="BA379" s="319" t="s">
        <v>190</v>
      </c>
      <c r="BB379" s="319" t="s">
        <v>190</v>
      </c>
      <c r="BC379" s="319" t="s">
        <v>190</v>
      </c>
      <c r="BD379" s="319" t="s">
        <v>190</v>
      </c>
      <c r="BE379" s="319" t="s">
        <v>190</v>
      </c>
      <c r="BF379" s="319" t="s">
        <v>428</v>
      </c>
      <c r="BG379" s="319" t="s">
        <v>428</v>
      </c>
      <c r="BH379" s="319" t="s">
        <v>190</v>
      </c>
      <c r="BI379" s="319" t="s">
        <v>190</v>
      </c>
      <c r="BJ379" s="319" t="s">
        <v>190</v>
      </c>
      <c r="BK379" s="319" t="s">
        <v>190</v>
      </c>
      <c r="BL379" s="319" t="s">
        <v>190</v>
      </c>
      <c r="BM379" s="319" t="s">
        <v>190</v>
      </c>
      <c r="BN379" s="319" t="s">
        <v>190</v>
      </c>
      <c r="BO379" s="319" t="s">
        <v>190</v>
      </c>
      <c r="BP379" s="319" t="s">
        <v>190</v>
      </c>
      <c r="BQ379" s="319" t="s">
        <v>190</v>
      </c>
      <c r="BR379" s="319" t="s">
        <v>190</v>
      </c>
      <c r="BS379" s="319" t="s">
        <v>190</v>
      </c>
      <c r="BT379" s="319" t="s">
        <v>190</v>
      </c>
      <c r="BU379" s="319" t="s">
        <v>190</v>
      </c>
      <c r="BV379" s="319" t="s">
        <v>190</v>
      </c>
      <c r="BW379" s="319" t="s">
        <v>190</v>
      </c>
      <c r="BX379" s="319" t="s">
        <v>190</v>
      </c>
      <c r="BY379" s="319" t="s">
        <v>190</v>
      </c>
      <c r="BZ379" s="319" t="s">
        <v>190</v>
      </c>
      <c r="CA379" s="319" t="s">
        <v>190</v>
      </c>
      <c r="CB379" s="319" t="s">
        <v>190</v>
      </c>
      <c r="CC379" s="319" t="s">
        <v>190</v>
      </c>
      <c r="CD379" s="319" t="s">
        <v>190</v>
      </c>
      <c r="CE379" s="319" t="s">
        <v>190</v>
      </c>
      <c r="CF379" s="319" t="s">
        <v>190</v>
      </c>
      <c r="CG379" s="319" t="s">
        <v>190</v>
      </c>
      <c r="CH379" s="319" t="s">
        <v>190</v>
      </c>
      <c r="CI379" s="319" t="s">
        <v>190</v>
      </c>
      <c r="CJ379" s="319" t="s">
        <v>190</v>
      </c>
      <c r="CK379" s="319" t="s">
        <v>190</v>
      </c>
      <c r="CL379" s="319" t="s">
        <v>190</v>
      </c>
      <c r="CM379" s="319" t="s">
        <v>190</v>
      </c>
      <c r="CN379" s="319" t="s">
        <v>428</v>
      </c>
      <c r="CO379" s="319" t="s">
        <v>428</v>
      </c>
      <c r="CP379" s="319" t="s">
        <v>428</v>
      </c>
      <c r="CQ379" s="319" t="s">
        <v>190</v>
      </c>
      <c r="CR379" s="319" t="s">
        <v>190</v>
      </c>
      <c r="CS379" s="319" t="s">
        <v>190</v>
      </c>
      <c r="CT379" s="319" t="s">
        <v>190</v>
      </c>
      <c r="CU379" s="319" t="s">
        <v>190</v>
      </c>
      <c r="CV379" s="319" t="s">
        <v>190</v>
      </c>
      <c r="CW379" s="319" t="s">
        <v>190</v>
      </c>
      <c r="CX379" s="319" t="s">
        <v>190</v>
      </c>
      <c r="CY379" s="319" t="s">
        <v>190</v>
      </c>
      <c r="CZ379" s="319" t="s">
        <v>190</v>
      </c>
      <c r="DA379" s="319" t="s">
        <v>190</v>
      </c>
      <c r="DB379" s="319" t="s">
        <v>190</v>
      </c>
      <c r="DC379" s="319" t="s">
        <v>190</v>
      </c>
      <c r="DD379" s="319" t="s">
        <v>190</v>
      </c>
      <c r="DE379" s="319" t="s">
        <v>190</v>
      </c>
      <c r="DF379" s="319" t="s">
        <v>190</v>
      </c>
      <c r="DG379" s="319" t="s">
        <v>190</v>
      </c>
      <c r="DH379" s="319" t="s">
        <v>190</v>
      </c>
      <c r="DI379" s="319" t="s">
        <v>190</v>
      </c>
      <c r="DJ379" s="319" t="s">
        <v>190</v>
      </c>
      <c r="DK379" s="319" t="s">
        <v>190</v>
      </c>
      <c r="DL379" s="319" t="s">
        <v>190</v>
      </c>
      <c r="DM379" s="319" t="s">
        <v>190</v>
      </c>
      <c r="DN379" s="319" t="s">
        <v>190</v>
      </c>
      <c r="DO379" s="319" t="s">
        <v>190</v>
      </c>
      <c r="DP379" s="319" t="s">
        <v>190</v>
      </c>
      <c r="DQ379" s="319" t="s">
        <v>190</v>
      </c>
      <c r="DR379" s="319" t="s">
        <v>190</v>
      </c>
      <c r="DS379" s="319" t="s">
        <v>190</v>
      </c>
      <c r="DT379" s="319" t="s">
        <v>190</v>
      </c>
      <c r="DU379" s="319" t="s">
        <v>190</v>
      </c>
      <c r="DV379" s="319" t="s">
        <v>173</v>
      </c>
      <c r="DW379" s="319" t="s">
        <v>190</v>
      </c>
      <c r="DX379" s="319" t="s">
        <v>190</v>
      </c>
      <c r="DY379" s="319" t="s">
        <v>190</v>
      </c>
      <c r="DZ379" s="319" t="s">
        <v>190</v>
      </c>
      <c r="EA379" s="319" t="s">
        <v>190</v>
      </c>
      <c r="EB379" s="319" t="s">
        <v>190</v>
      </c>
      <c r="EC379" s="319" t="s">
        <v>190</v>
      </c>
      <c r="ED379" s="319" t="s">
        <v>190</v>
      </c>
      <c r="EE379" s="319" t="s">
        <v>190</v>
      </c>
      <c r="EF379" s="319" t="s">
        <v>190</v>
      </c>
      <c r="EG379" s="319" t="s">
        <v>190</v>
      </c>
      <c r="EH379" s="319" t="s">
        <v>190</v>
      </c>
      <c r="EI379" s="319" t="s">
        <v>190</v>
      </c>
      <c r="EJ379" s="319" t="s">
        <v>190</v>
      </c>
      <c r="EK379" s="319" t="s">
        <v>190</v>
      </c>
      <c r="EL379" s="319" t="s">
        <v>190</v>
      </c>
      <c r="EM379" s="319" t="s">
        <v>190</v>
      </c>
      <c r="EN379" s="319" t="s">
        <v>190</v>
      </c>
      <c r="EO379" s="319" t="s">
        <v>190</v>
      </c>
      <c r="EP379" s="319" t="s">
        <v>190</v>
      </c>
      <c r="EQ379" s="319" t="s">
        <v>190</v>
      </c>
      <c r="ER379" s="319" t="s">
        <v>190</v>
      </c>
      <c r="ES379" s="319" t="s">
        <v>190</v>
      </c>
      <c r="ET379" s="319" t="s">
        <v>190</v>
      </c>
      <c r="EU379" s="319" t="s">
        <v>190</v>
      </c>
      <c r="EV379" s="319" t="s">
        <v>190</v>
      </c>
      <c r="EW379" s="319" t="s">
        <v>190</v>
      </c>
      <c r="EX379" s="319" t="s">
        <v>190</v>
      </c>
      <c r="EY379" s="319" t="s">
        <v>190</v>
      </c>
      <c r="EZ379" s="319" t="s">
        <v>190</v>
      </c>
      <c r="FA379" s="319" t="s">
        <v>190</v>
      </c>
      <c r="FB379" s="319" t="s">
        <v>190</v>
      </c>
      <c r="FC379" s="319" t="s">
        <v>190</v>
      </c>
      <c r="FD379" s="319" t="s">
        <v>190</v>
      </c>
      <c r="FE379" s="319" t="s">
        <v>190</v>
      </c>
      <c r="FF379" s="319" t="s">
        <v>190</v>
      </c>
      <c r="FG379" s="319" t="s">
        <v>190</v>
      </c>
      <c r="FH379" s="319" t="s">
        <v>190</v>
      </c>
      <c r="FI379" s="319" t="s">
        <v>190</v>
      </c>
      <c r="FJ379" s="319" t="s">
        <v>190</v>
      </c>
      <c r="FK379" s="319" t="s">
        <v>190</v>
      </c>
      <c r="FL379" s="319" t="s">
        <v>190</v>
      </c>
      <c r="FM379" s="319" t="s">
        <v>190</v>
      </c>
      <c r="FN379" s="319" t="s">
        <v>190</v>
      </c>
      <c r="FO379" s="319" t="s">
        <v>190</v>
      </c>
      <c r="FP379" s="319" t="s">
        <v>190</v>
      </c>
      <c r="FQ379" s="319" t="s">
        <v>190</v>
      </c>
      <c r="FR379" s="319" t="s">
        <v>190</v>
      </c>
      <c r="FS379" s="319" t="s">
        <v>428</v>
      </c>
      <c r="FT379" s="319" t="s">
        <v>428</v>
      </c>
      <c r="FU379" s="319" t="s">
        <v>190</v>
      </c>
      <c r="FV379" s="319" t="s">
        <v>190</v>
      </c>
      <c r="FW379" s="319" t="s">
        <v>190</v>
      </c>
      <c r="FX379" s="319" t="s">
        <v>190</v>
      </c>
      <c r="FY379" s="319" t="s">
        <v>190</v>
      </c>
      <c r="FZ379" s="319" t="s">
        <v>190</v>
      </c>
      <c r="GA379" s="319" t="s">
        <v>190</v>
      </c>
      <c r="GB379" s="319" t="s">
        <v>190</v>
      </c>
      <c r="GC379" s="319" t="s">
        <v>190</v>
      </c>
      <c r="GD379" s="319" t="s">
        <v>190</v>
      </c>
      <c r="GE379" s="319" t="s">
        <v>190</v>
      </c>
      <c r="GF379" s="319" t="s">
        <v>190</v>
      </c>
      <c r="GG379" s="319" t="s">
        <v>190</v>
      </c>
      <c r="GH379" s="319" t="s">
        <v>190</v>
      </c>
      <c r="GI379" s="319" t="s">
        <v>190</v>
      </c>
      <c r="GJ379" s="319" t="s">
        <v>190</v>
      </c>
      <c r="GK379" s="319" t="s">
        <v>428</v>
      </c>
      <c r="GL379" s="319" t="s">
        <v>190</v>
      </c>
      <c r="GM379" s="319" t="s">
        <v>190</v>
      </c>
      <c r="GN379" s="319" t="s">
        <v>190</v>
      </c>
      <c r="GO379" s="319" t="s">
        <v>190</v>
      </c>
      <c r="GP379" s="319" t="s">
        <v>190</v>
      </c>
      <c r="GQ379" s="319" t="s">
        <v>190</v>
      </c>
      <c r="GR379" s="319" t="s">
        <v>190</v>
      </c>
      <c r="GS379" s="319" t="s">
        <v>190</v>
      </c>
      <c r="GT379" s="319" t="s">
        <v>428</v>
      </c>
      <c r="GU379" s="319" t="s">
        <v>428</v>
      </c>
      <c r="GV379" s="319" t="s">
        <v>190</v>
      </c>
      <c r="GW379" s="319" t="s">
        <v>190</v>
      </c>
      <c r="GX379" s="319" t="s">
        <v>190</v>
      </c>
      <c r="GY379" s="319" t="s">
        <v>190</v>
      </c>
      <c r="GZ379" s="319" t="s">
        <v>190</v>
      </c>
      <c r="HA379" s="319" t="s">
        <v>428</v>
      </c>
      <c r="HB379" s="319" t="s">
        <v>190</v>
      </c>
      <c r="HC379" s="319" t="s">
        <v>190</v>
      </c>
      <c r="HD379" s="319" t="s">
        <v>190</v>
      </c>
      <c r="HE379" s="319" t="s">
        <v>190</v>
      </c>
      <c r="HF379" s="319" t="s">
        <v>190</v>
      </c>
      <c r="HG379" s="319" t="s">
        <v>190</v>
      </c>
      <c r="HH379" s="319" t="s">
        <v>190</v>
      </c>
      <c r="HI379" s="319" t="s">
        <v>190</v>
      </c>
      <c r="HJ379" s="319" t="s">
        <v>190</v>
      </c>
      <c r="HK379" s="319" t="s">
        <v>190</v>
      </c>
      <c r="HL379" s="319" t="s">
        <v>428</v>
      </c>
      <c r="HM379" s="319" t="s">
        <v>428</v>
      </c>
      <c r="HN379" s="319" t="s">
        <v>428</v>
      </c>
      <c r="HO379" s="319" t="s">
        <v>428</v>
      </c>
      <c r="HP379" s="319" t="s">
        <v>190</v>
      </c>
      <c r="HQ379" s="319" t="s">
        <v>190</v>
      </c>
      <c r="HR379" s="319" t="s">
        <v>190</v>
      </c>
      <c r="HS379" s="319" t="s">
        <v>190</v>
      </c>
      <c r="HT379" s="319" t="s">
        <v>190</v>
      </c>
      <c r="HU379" s="319" t="s">
        <v>190</v>
      </c>
      <c r="HV379" s="319" t="s">
        <v>190</v>
      </c>
      <c r="HW379" s="319" t="s">
        <v>190</v>
      </c>
      <c r="HX379" s="319" t="s">
        <v>190</v>
      </c>
      <c r="HY379" s="319" t="s">
        <v>190</v>
      </c>
      <c r="HZ379" s="319" t="s">
        <v>190</v>
      </c>
      <c r="IA379" s="319" t="s">
        <v>190</v>
      </c>
      <c r="IB379" s="319" t="s">
        <v>190</v>
      </c>
      <c r="IC379" s="319" t="s">
        <v>190</v>
      </c>
      <c r="ID379" s="319" t="s">
        <v>190</v>
      </c>
      <c r="IE379" s="319" t="s">
        <v>190</v>
      </c>
      <c r="IF379" s="319" t="s">
        <v>190</v>
      </c>
      <c r="IG379" s="319" t="s">
        <v>190</v>
      </c>
      <c r="IH379" s="319" t="s">
        <v>190</v>
      </c>
      <c r="II379" s="319" t="s">
        <v>190</v>
      </c>
      <c r="IJ379" s="319" t="s">
        <v>3157</v>
      </c>
      <c r="IK379" s="321">
        <v>41961</v>
      </c>
      <c r="IL379" s="321">
        <v>41963</v>
      </c>
      <c r="IM379" s="321">
        <v>41985</v>
      </c>
      <c r="IN379" s="319">
        <v>2</v>
      </c>
      <c r="IO379" s="319" t="s">
        <v>173</v>
      </c>
      <c r="IP379" s="319" t="s">
        <v>173</v>
      </c>
      <c r="IQ379" s="321" t="s">
        <v>173</v>
      </c>
      <c r="IR379" s="320" t="s">
        <v>173</v>
      </c>
      <c r="IS379" s="322" t="s">
        <v>173</v>
      </c>
      <c r="IT379" s="319" t="s">
        <v>173</v>
      </c>
    </row>
    <row r="380" spans="1:254" s="271" customFormat="1" x14ac:dyDescent="0.25">
      <c r="A380" s="318" t="str">
        <f>HYPERLINK("http://www.ofsted.gov.uk/inspection-reports/find-inspection-report/provider/ELS/132750 ","Ofsted School Webpage")</f>
        <v>Ofsted School Webpage</v>
      </c>
      <c r="B380" s="319">
        <v>132750</v>
      </c>
      <c r="C380" s="319">
        <v>3356010</v>
      </c>
      <c r="D380" s="319" t="s">
        <v>1732</v>
      </c>
      <c r="E380" s="319" t="s">
        <v>167</v>
      </c>
      <c r="F380" s="319" t="s">
        <v>81</v>
      </c>
      <c r="G380" s="319" t="s">
        <v>72</v>
      </c>
      <c r="H380" s="319" t="s">
        <v>72</v>
      </c>
      <c r="I380" s="319" t="s">
        <v>72</v>
      </c>
      <c r="J380" s="319" t="s">
        <v>424</v>
      </c>
      <c r="K380" s="319" t="s">
        <v>437</v>
      </c>
      <c r="L380" s="319" t="s">
        <v>437</v>
      </c>
      <c r="M380" s="319" t="s">
        <v>1580</v>
      </c>
      <c r="N380" s="319" t="s">
        <v>3069</v>
      </c>
      <c r="O380" s="319" t="s">
        <v>1733</v>
      </c>
      <c r="P380" s="319">
        <v>561</v>
      </c>
      <c r="Q380" s="319" t="s">
        <v>2766</v>
      </c>
      <c r="R380" s="320">
        <v>10038830</v>
      </c>
      <c r="S380" s="321">
        <v>43116</v>
      </c>
      <c r="T380" s="321">
        <v>43118</v>
      </c>
      <c r="U380" s="321">
        <v>43139</v>
      </c>
      <c r="V380" s="319" t="s">
        <v>425</v>
      </c>
      <c r="W380" s="319" t="s">
        <v>2767</v>
      </c>
      <c r="X380" s="319">
        <v>2</v>
      </c>
      <c r="Y380" s="319" t="s">
        <v>173</v>
      </c>
      <c r="Z380" s="319" t="s">
        <v>173</v>
      </c>
      <c r="AA380" s="319" t="s">
        <v>173</v>
      </c>
      <c r="AB380" s="319">
        <v>2</v>
      </c>
      <c r="AC380" s="319" t="s">
        <v>169</v>
      </c>
      <c r="AD380" s="319">
        <v>2</v>
      </c>
      <c r="AE380" s="319" t="s">
        <v>173</v>
      </c>
      <c r="AF380" s="319" t="s">
        <v>427</v>
      </c>
      <c r="AG380" s="319" t="s">
        <v>171</v>
      </c>
      <c r="AH380" s="319" t="s">
        <v>190</v>
      </c>
      <c r="AI380" s="319" t="s">
        <v>190</v>
      </c>
      <c r="AJ380" s="319" t="s">
        <v>190</v>
      </c>
      <c r="AK380" s="319" t="s">
        <v>190</v>
      </c>
      <c r="AL380" s="319" t="s">
        <v>190</v>
      </c>
      <c r="AM380" s="319" t="s">
        <v>190</v>
      </c>
      <c r="AN380" s="319" t="s">
        <v>190</v>
      </c>
      <c r="AO380" s="319" t="s">
        <v>190</v>
      </c>
      <c r="AP380" s="319" t="s">
        <v>190</v>
      </c>
      <c r="AQ380" s="319" t="s">
        <v>190</v>
      </c>
      <c r="AR380" s="319" t="s">
        <v>190</v>
      </c>
      <c r="AS380" s="319" t="s">
        <v>190</v>
      </c>
      <c r="AT380" s="319" t="s">
        <v>190</v>
      </c>
      <c r="AU380" s="319" t="s">
        <v>190</v>
      </c>
      <c r="AV380" s="319" t="s">
        <v>190</v>
      </c>
      <c r="AW380" s="319" t="s">
        <v>190</v>
      </c>
      <c r="AX380" s="319" t="s">
        <v>428</v>
      </c>
      <c r="AY380" s="319" t="s">
        <v>190</v>
      </c>
      <c r="AZ380" s="319" t="s">
        <v>190</v>
      </c>
      <c r="BA380" s="319" t="s">
        <v>190</v>
      </c>
      <c r="BB380" s="319" t="s">
        <v>190</v>
      </c>
      <c r="BC380" s="319" t="s">
        <v>190</v>
      </c>
      <c r="BD380" s="319" t="s">
        <v>190</v>
      </c>
      <c r="BE380" s="319" t="s">
        <v>190</v>
      </c>
      <c r="BF380" s="319" t="s">
        <v>190</v>
      </c>
      <c r="BG380" s="319" t="s">
        <v>428</v>
      </c>
      <c r="BH380" s="319" t="s">
        <v>190</v>
      </c>
      <c r="BI380" s="319" t="s">
        <v>190</v>
      </c>
      <c r="BJ380" s="319" t="s">
        <v>190</v>
      </c>
      <c r="BK380" s="319" t="s">
        <v>190</v>
      </c>
      <c r="BL380" s="319" t="s">
        <v>190</v>
      </c>
      <c r="BM380" s="319" t="s">
        <v>190</v>
      </c>
      <c r="BN380" s="319" t="s">
        <v>190</v>
      </c>
      <c r="BO380" s="319" t="s">
        <v>190</v>
      </c>
      <c r="BP380" s="319" t="s">
        <v>190</v>
      </c>
      <c r="BQ380" s="319" t="s">
        <v>190</v>
      </c>
      <c r="BR380" s="319" t="s">
        <v>190</v>
      </c>
      <c r="BS380" s="319" t="s">
        <v>190</v>
      </c>
      <c r="BT380" s="319" t="s">
        <v>190</v>
      </c>
      <c r="BU380" s="319" t="s">
        <v>190</v>
      </c>
      <c r="BV380" s="319" t="s">
        <v>190</v>
      </c>
      <c r="BW380" s="319" t="s">
        <v>190</v>
      </c>
      <c r="BX380" s="319" t="s">
        <v>190</v>
      </c>
      <c r="BY380" s="319" t="s">
        <v>190</v>
      </c>
      <c r="BZ380" s="319" t="s">
        <v>190</v>
      </c>
      <c r="CA380" s="319" t="s">
        <v>190</v>
      </c>
      <c r="CB380" s="319" t="s">
        <v>190</v>
      </c>
      <c r="CC380" s="319" t="s">
        <v>190</v>
      </c>
      <c r="CD380" s="319" t="s">
        <v>190</v>
      </c>
      <c r="CE380" s="319" t="s">
        <v>190</v>
      </c>
      <c r="CF380" s="319" t="s">
        <v>190</v>
      </c>
      <c r="CG380" s="319" t="s">
        <v>190</v>
      </c>
      <c r="CH380" s="319" t="s">
        <v>190</v>
      </c>
      <c r="CI380" s="319" t="s">
        <v>190</v>
      </c>
      <c r="CJ380" s="319" t="s">
        <v>190</v>
      </c>
      <c r="CK380" s="319" t="s">
        <v>190</v>
      </c>
      <c r="CL380" s="319" t="s">
        <v>190</v>
      </c>
      <c r="CM380" s="319" t="s">
        <v>190</v>
      </c>
      <c r="CN380" s="319" t="s">
        <v>428</v>
      </c>
      <c r="CO380" s="319" t="s">
        <v>428</v>
      </c>
      <c r="CP380" s="319" t="s">
        <v>428</v>
      </c>
      <c r="CQ380" s="319" t="s">
        <v>190</v>
      </c>
      <c r="CR380" s="319" t="s">
        <v>190</v>
      </c>
      <c r="CS380" s="319" t="s">
        <v>190</v>
      </c>
      <c r="CT380" s="319" t="s">
        <v>190</v>
      </c>
      <c r="CU380" s="319" t="s">
        <v>190</v>
      </c>
      <c r="CV380" s="319" t="s">
        <v>190</v>
      </c>
      <c r="CW380" s="319" t="s">
        <v>190</v>
      </c>
      <c r="CX380" s="319" t="s">
        <v>190</v>
      </c>
      <c r="CY380" s="319" t="s">
        <v>190</v>
      </c>
      <c r="CZ380" s="319" t="s">
        <v>190</v>
      </c>
      <c r="DA380" s="319" t="s">
        <v>190</v>
      </c>
      <c r="DB380" s="319" t="s">
        <v>190</v>
      </c>
      <c r="DC380" s="319" t="s">
        <v>190</v>
      </c>
      <c r="DD380" s="319" t="s">
        <v>190</v>
      </c>
      <c r="DE380" s="319" t="s">
        <v>190</v>
      </c>
      <c r="DF380" s="319" t="s">
        <v>190</v>
      </c>
      <c r="DG380" s="319" t="s">
        <v>190</v>
      </c>
      <c r="DH380" s="319" t="s">
        <v>190</v>
      </c>
      <c r="DI380" s="319" t="s">
        <v>190</v>
      </c>
      <c r="DJ380" s="319" t="s">
        <v>190</v>
      </c>
      <c r="DK380" s="319" t="s">
        <v>190</v>
      </c>
      <c r="DL380" s="319" t="s">
        <v>190</v>
      </c>
      <c r="DM380" s="319" t="s">
        <v>190</v>
      </c>
      <c r="DN380" s="319" t="s">
        <v>428</v>
      </c>
      <c r="DO380" s="319" t="s">
        <v>190</v>
      </c>
      <c r="DP380" s="319" t="s">
        <v>428</v>
      </c>
      <c r="DQ380" s="319" t="s">
        <v>428</v>
      </c>
      <c r="DR380" s="319" t="s">
        <v>428</v>
      </c>
      <c r="DS380" s="319" t="s">
        <v>428</v>
      </c>
      <c r="DT380" s="319" t="s">
        <v>428</v>
      </c>
      <c r="DU380" s="319" t="s">
        <v>428</v>
      </c>
      <c r="DV380" s="319" t="s">
        <v>173</v>
      </c>
      <c r="DW380" s="319" t="s">
        <v>428</v>
      </c>
      <c r="DX380" s="319" t="s">
        <v>428</v>
      </c>
      <c r="DY380" s="319" t="s">
        <v>428</v>
      </c>
      <c r="DZ380" s="319" t="s">
        <v>428</v>
      </c>
      <c r="EA380" s="319" t="s">
        <v>428</v>
      </c>
      <c r="EB380" s="319" t="s">
        <v>428</v>
      </c>
      <c r="EC380" s="319" t="s">
        <v>428</v>
      </c>
      <c r="ED380" s="319" t="s">
        <v>428</v>
      </c>
      <c r="EE380" s="319" t="s">
        <v>190</v>
      </c>
      <c r="EF380" s="319" t="s">
        <v>190</v>
      </c>
      <c r="EG380" s="319" t="s">
        <v>190</v>
      </c>
      <c r="EH380" s="319" t="s">
        <v>190</v>
      </c>
      <c r="EI380" s="319" t="s">
        <v>190</v>
      </c>
      <c r="EJ380" s="319" t="s">
        <v>190</v>
      </c>
      <c r="EK380" s="319" t="s">
        <v>190</v>
      </c>
      <c r="EL380" s="319" t="s">
        <v>190</v>
      </c>
      <c r="EM380" s="319" t="s">
        <v>190</v>
      </c>
      <c r="EN380" s="319" t="s">
        <v>190</v>
      </c>
      <c r="EO380" s="319" t="s">
        <v>190</v>
      </c>
      <c r="EP380" s="319" t="s">
        <v>190</v>
      </c>
      <c r="EQ380" s="319" t="s">
        <v>190</v>
      </c>
      <c r="ER380" s="319" t="s">
        <v>190</v>
      </c>
      <c r="ES380" s="319" t="s">
        <v>190</v>
      </c>
      <c r="ET380" s="319" t="s">
        <v>190</v>
      </c>
      <c r="EU380" s="319" t="s">
        <v>190</v>
      </c>
      <c r="EV380" s="319" t="s">
        <v>190</v>
      </c>
      <c r="EW380" s="319" t="s">
        <v>190</v>
      </c>
      <c r="EX380" s="319" t="s">
        <v>190</v>
      </c>
      <c r="EY380" s="319" t="s">
        <v>190</v>
      </c>
      <c r="EZ380" s="319" t="s">
        <v>190</v>
      </c>
      <c r="FA380" s="319" t="s">
        <v>190</v>
      </c>
      <c r="FB380" s="319" t="s">
        <v>190</v>
      </c>
      <c r="FC380" s="319" t="s">
        <v>190</v>
      </c>
      <c r="FD380" s="319" t="s">
        <v>190</v>
      </c>
      <c r="FE380" s="319" t="s">
        <v>190</v>
      </c>
      <c r="FF380" s="319" t="s">
        <v>190</v>
      </c>
      <c r="FG380" s="319" t="s">
        <v>190</v>
      </c>
      <c r="FH380" s="319" t="s">
        <v>190</v>
      </c>
      <c r="FI380" s="319" t="s">
        <v>190</v>
      </c>
      <c r="FJ380" s="319" t="s">
        <v>190</v>
      </c>
      <c r="FK380" s="319" t="s">
        <v>190</v>
      </c>
      <c r="FL380" s="319" t="s">
        <v>190</v>
      </c>
      <c r="FM380" s="319" t="s">
        <v>190</v>
      </c>
      <c r="FN380" s="319" t="s">
        <v>190</v>
      </c>
      <c r="FO380" s="319" t="s">
        <v>190</v>
      </c>
      <c r="FP380" s="319" t="s">
        <v>190</v>
      </c>
      <c r="FQ380" s="319" t="s">
        <v>190</v>
      </c>
      <c r="FR380" s="319" t="s">
        <v>190</v>
      </c>
      <c r="FS380" s="319" t="s">
        <v>428</v>
      </c>
      <c r="FT380" s="319" t="s">
        <v>190</v>
      </c>
      <c r="FU380" s="319" t="s">
        <v>190</v>
      </c>
      <c r="FV380" s="319" t="s">
        <v>190</v>
      </c>
      <c r="FW380" s="319" t="s">
        <v>190</v>
      </c>
      <c r="FX380" s="319" t="s">
        <v>190</v>
      </c>
      <c r="FY380" s="319" t="s">
        <v>190</v>
      </c>
      <c r="FZ380" s="319" t="s">
        <v>190</v>
      </c>
      <c r="GA380" s="319" t="s">
        <v>190</v>
      </c>
      <c r="GB380" s="319" t="s">
        <v>190</v>
      </c>
      <c r="GC380" s="319" t="s">
        <v>190</v>
      </c>
      <c r="GD380" s="319" t="s">
        <v>190</v>
      </c>
      <c r="GE380" s="319" t="s">
        <v>190</v>
      </c>
      <c r="GF380" s="319" t="s">
        <v>190</v>
      </c>
      <c r="GG380" s="319" t="s">
        <v>190</v>
      </c>
      <c r="GH380" s="319" t="s">
        <v>190</v>
      </c>
      <c r="GI380" s="319" t="s">
        <v>190</v>
      </c>
      <c r="GJ380" s="319" t="s">
        <v>190</v>
      </c>
      <c r="GK380" s="319" t="s">
        <v>428</v>
      </c>
      <c r="GL380" s="319" t="s">
        <v>190</v>
      </c>
      <c r="GM380" s="319" t="s">
        <v>190</v>
      </c>
      <c r="GN380" s="319" t="s">
        <v>190</v>
      </c>
      <c r="GO380" s="319" t="s">
        <v>190</v>
      </c>
      <c r="GP380" s="319" t="s">
        <v>190</v>
      </c>
      <c r="GQ380" s="319" t="s">
        <v>190</v>
      </c>
      <c r="GR380" s="319" t="s">
        <v>190</v>
      </c>
      <c r="GS380" s="319" t="s">
        <v>190</v>
      </c>
      <c r="GT380" s="319" t="s">
        <v>190</v>
      </c>
      <c r="GU380" s="319" t="s">
        <v>190</v>
      </c>
      <c r="GV380" s="319" t="s">
        <v>190</v>
      </c>
      <c r="GW380" s="319" t="s">
        <v>190</v>
      </c>
      <c r="GX380" s="319" t="s">
        <v>190</v>
      </c>
      <c r="GY380" s="319" t="s">
        <v>190</v>
      </c>
      <c r="GZ380" s="319" t="s">
        <v>190</v>
      </c>
      <c r="HA380" s="319" t="s">
        <v>190</v>
      </c>
      <c r="HB380" s="319" t="s">
        <v>190</v>
      </c>
      <c r="HC380" s="319" t="s">
        <v>190</v>
      </c>
      <c r="HD380" s="319" t="s">
        <v>190</v>
      </c>
      <c r="HE380" s="319" t="s">
        <v>190</v>
      </c>
      <c r="HF380" s="319" t="s">
        <v>190</v>
      </c>
      <c r="HG380" s="319" t="s">
        <v>190</v>
      </c>
      <c r="HH380" s="319" t="s">
        <v>190</v>
      </c>
      <c r="HI380" s="319" t="s">
        <v>190</v>
      </c>
      <c r="HJ380" s="319" t="s">
        <v>190</v>
      </c>
      <c r="HK380" s="319" t="s">
        <v>190</v>
      </c>
      <c r="HL380" s="319" t="s">
        <v>428</v>
      </c>
      <c r="HM380" s="319" t="s">
        <v>428</v>
      </c>
      <c r="HN380" s="319" t="s">
        <v>428</v>
      </c>
      <c r="HO380" s="319" t="s">
        <v>428</v>
      </c>
      <c r="HP380" s="319" t="s">
        <v>190</v>
      </c>
      <c r="HQ380" s="319" t="s">
        <v>190</v>
      </c>
      <c r="HR380" s="319" t="s">
        <v>190</v>
      </c>
      <c r="HS380" s="319" t="s">
        <v>190</v>
      </c>
      <c r="HT380" s="319" t="s">
        <v>190</v>
      </c>
      <c r="HU380" s="319" t="s">
        <v>190</v>
      </c>
      <c r="HV380" s="319" t="s">
        <v>190</v>
      </c>
      <c r="HW380" s="319" t="s">
        <v>190</v>
      </c>
      <c r="HX380" s="319" t="s">
        <v>190</v>
      </c>
      <c r="HY380" s="319" t="s">
        <v>190</v>
      </c>
      <c r="HZ380" s="319" t="s">
        <v>190</v>
      </c>
      <c r="IA380" s="319" t="s">
        <v>190</v>
      </c>
      <c r="IB380" s="319" t="s">
        <v>190</v>
      </c>
      <c r="IC380" s="319" t="s">
        <v>190</v>
      </c>
      <c r="ID380" s="319" t="s">
        <v>190</v>
      </c>
      <c r="IE380" s="319" t="s">
        <v>190</v>
      </c>
      <c r="IF380" s="319" t="s">
        <v>190</v>
      </c>
      <c r="IG380" s="319" t="s">
        <v>190</v>
      </c>
      <c r="IH380" s="319" t="s">
        <v>190</v>
      </c>
      <c r="II380" s="319" t="s">
        <v>190</v>
      </c>
      <c r="IJ380" s="319" t="s">
        <v>3158</v>
      </c>
      <c r="IK380" s="321">
        <v>39421</v>
      </c>
      <c r="IL380" s="321">
        <v>39422</v>
      </c>
      <c r="IM380" s="321">
        <v>39450</v>
      </c>
      <c r="IN380" s="319">
        <v>2</v>
      </c>
      <c r="IO380" s="319" t="s">
        <v>173</v>
      </c>
      <c r="IP380" s="319" t="s">
        <v>173</v>
      </c>
      <c r="IQ380" s="319" t="s">
        <v>173</v>
      </c>
      <c r="IR380" s="320" t="s">
        <v>173</v>
      </c>
      <c r="IS380" s="320" t="s">
        <v>173</v>
      </c>
      <c r="IT380" s="319" t="s">
        <v>173</v>
      </c>
    </row>
    <row r="381" spans="1:254" s="271" customFormat="1" x14ac:dyDescent="0.25">
      <c r="A381" s="318" t="str">
        <f>HYPERLINK("http://www.ofsted.gov.uk/inspection-reports/find-inspection-report/provider/ELS/132772 ","Ofsted School Webpage")</f>
        <v>Ofsted School Webpage</v>
      </c>
      <c r="B381" s="319">
        <v>132772</v>
      </c>
      <c r="C381" s="319">
        <v>8936096</v>
      </c>
      <c r="D381" s="319" t="s">
        <v>1734</v>
      </c>
      <c r="E381" s="319" t="s">
        <v>168</v>
      </c>
      <c r="F381" s="319" t="s">
        <v>81</v>
      </c>
      <c r="G381" s="319" t="s">
        <v>81</v>
      </c>
      <c r="H381" s="319" t="s">
        <v>81</v>
      </c>
      <c r="I381" s="319" t="s">
        <v>78</v>
      </c>
      <c r="J381" s="319" t="s">
        <v>424</v>
      </c>
      <c r="K381" s="319" t="s">
        <v>437</v>
      </c>
      <c r="L381" s="319" t="s">
        <v>437</v>
      </c>
      <c r="M381" s="319" t="s">
        <v>587</v>
      </c>
      <c r="N381" s="319" t="s">
        <v>3023</v>
      </c>
      <c r="O381" s="319" t="s">
        <v>1735</v>
      </c>
      <c r="P381" s="319">
        <v>28</v>
      </c>
      <c r="Q381" s="319" t="s">
        <v>429</v>
      </c>
      <c r="R381" s="320">
        <v>10103979</v>
      </c>
      <c r="S381" s="321">
        <v>43774</v>
      </c>
      <c r="T381" s="321">
        <v>43776</v>
      </c>
      <c r="U381" s="321">
        <v>43801</v>
      </c>
      <c r="V381" s="319" t="s">
        <v>425</v>
      </c>
      <c r="W381" s="319" t="s">
        <v>2767</v>
      </c>
      <c r="X381" s="319">
        <v>3</v>
      </c>
      <c r="Y381" s="319">
        <v>3</v>
      </c>
      <c r="Z381" s="319">
        <v>2</v>
      </c>
      <c r="AA381" s="319">
        <v>2</v>
      </c>
      <c r="AB381" s="319">
        <v>3</v>
      </c>
      <c r="AC381" s="319" t="s">
        <v>169</v>
      </c>
      <c r="AD381" s="319" t="s">
        <v>173</v>
      </c>
      <c r="AE381" s="319" t="s">
        <v>173</v>
      </c>
      <c r="AF381" s="319" t="s">
        <v>427</v>
      </c>
      <c r="AG381" s="319" t="s">
        <v>171</v>
      </c>
      <c r="AH381" s="319" t="s">
        <v>190</v>
      </c>
      <c r="AI381" s="319" t="s">
        <v>190</v>
      </c>
      <c r="AJ381" s="319" t="s">
        <v>190</v>
      </c>
      <c r="AK381" s="319" t="s">
        <v>190</v>
      </c>
      <c r="AL381" s="319" t="s">
        <v>190</v>
      </c>
      <c r="AM381" s="319" t="s">
        <v>190</v>
      </c>
      <c r="AN381" s="319" t="s">
        <v>190</v>
      </c>
      <c r="AO381" s="319" t="s">
        <v>190</v>
      </c>
      <c r="AP381" s="319" t="s">
        <v>190</v>
      </c>
      <c r="AQ381" s="319" t="s">
        <v>190</v>
      </c>
      <c r="AR381" s="319" t="s">
        <v>190</v>
      </c>
      <c r="AS381" s="319" t="s">
        <v>190</v>
      </c>
      <c r="AT381" s="319" t="s">
        <v>190</v>
      </c>
      <c r="AU381" s="319" t="s">
        <v>190</v>
      </c>
      <c r="AV381" s="319" t="s">
        <v>190</v>
      </c>
      <c r="AW381" s="319" t="s">
        <v>190</v>
      </c>
      <c r="AX381" s="319" t="s">
        <v>428</v>
      </c>
      <c r="AY381" s="319" t="s">
        <v>190</v>
      </c>
      <c r="AZ381" s="319" t="s">
        <v>190</v>
      </c>
      <c r="BA381" s="319" t="s">
        <v>190</v>
      </c>
      <c r="BB381" s="319" t="s">
        <v>190</v>
      </c>
      <c r="BC381" s="319" t="s">
        <v>190</v>
      </c>
      <c r="BD381" s="319" t="s">
        <v>190</v>
      </c>
      <c r="BE381" s="319" t="s">
        <v>190</v>
      </c>
      <c r="BF381" s="319" t="s">
        <v>428</v>
      </c>
      <c r="BG381" s="319" t="s">
        <v>428</v>
      </c>
      <c r="BH381" s="319" t="s">
        <v>190</v>
      </c>
      <c r="BI381" s="319" t="s">
        <v>190</v>
      </c>
      <c r="BJ381" s="319" t="s">
        <v>190</v>
      </c>
      <c r="BK381" s="319" t="s">
        <v>190</v>
      </c>
      <c r="BL381" s="319" t="s">
        <v>190</v>
      </c>
      <c r="BM381" s="319" t="s">
        <v>190</v>
      </c>
      <c r="BN381" s="319" t="s">
        <v>190</v>
      </c>
      <c r="BO381" s="319" t="s">
        <v>190</v>
      </c>
      <c r="BP381" s="319" t="s">
        <v>190</v>
      </c>
      <c r="BQ381" s="319" t="s">
        <v>190</v>
      </c>
      <c r="BR381" s="319" t="s">
        <v>190</v>
      </c>
      <c r="BS381" s="319" t="s">
        <v>190</v>
      </c>
      <c r="BT381" s="319" t="s">
        <v>190</v>
      </c>
      <c r="BU381" s="319" t="s">
        <v>190</v>
      </c>
      <c r="BV381" s="319" t="s">
        <v>190</v>
      </c>
      <c r="BW381" s="319" t="s">
        <v>190</v>
      </c>
      <c r="BX381" s="319" t="s">
        <v>190</v>
      </c>
      <c r="BY381" s="319" t="s">
        <v>190</v>
      </c>
      <c r="BZ381" s="319" t="s">
        <v>190</v>
      </c>
      <c r="CA381" s="319" t="s">
        <v>190</v>
      </c>
      <c r="CB381" s="319" t="s">
        <v>190</v>
      </c>
      <c r="CC381" s="319" t="s">
        <v>190</v>
      </c>
      <c r="CD381" s="319" t="s">
        <v>190</v>
      </c>
      <c r="CE381" s="319" t="s">
        <v>190</v>
      </c>
      <c r="CF381" s="319" t="s">
        <v>190</v>
      </c>
      <c r="CG381" s="319" t="s">
        <v>190</v>
      </c>
      <c r="CH381" s="319" t="s">
        <v>190</v>
      </c>
      <c r="CI381" s="319" t="s">
        <v>190</v>
      </c>
      <c r="CJ381" s="319" t="s">
        <v>190</v>
      </c>
      <c r="CK381" s="319" t="s">
        <v>190</v>
      </c>
      <c r="CL381" s="319" t="s">
        <v>190</v>
      </c>
      <c r="CM381" s="319" t="s">
        <v>190</v>
      </c>
      <c r="CN381" s="319" t="s">
        <v>428</v>
      </c>
      <c r="CO381" s="319" t="s">
        <v>428</v>
      </c>
      <c r="CP381" s="319" t="s">
        <v>428</v>
      </c>
      <c r="CQ381" s="319" t="s">
        <v>190</v>
      </c>
      <c r="CR381" s="319" t="s">
        <v>190</v>
      </c>
      <c r="CS381" s="319" t="s">
        <v>190</v>
      </c>
      <c r="CT381" s="319" t="s">
        <v>190</v>
      </c>
      <c r="CU381" s="319" t="s">
        <v>190</v>
      </c>
      <c r="CV381" s="319" t="s">
        <v>190</v>
      </c>
      <c r="CW381" s="319" t="s">
        <v>190</v>
      </c>
      <c r="CX381" s="319" t="s">
        <v>190</v>
      </c>
      <c r="CY381" s="319" t="s">
        <v>190</v>
      </c>
      <c r="CZ381" s="319" t="s">
        <v>190</v>
      </c>
      <c r="DA381" s="319" t="s">
        <v>190</v>
      </c>
      <c r="DB381" s="319" t="s">
        <v>190</v>
      </c>
      <c r="DC381" s="319" t="s">
        <v>190</v>
      </c>
      <c r="DD381" s="319" t="s">
        <v>190</v>
      </c>
      <c r="DE381" s="319" t="s">
        <v>190</v>
      </c>
      <c r="DF381" s="319" t="s">
        <v>190</v>
      </c>
      <c r="DG381" s="319" t="s">
        <v>190</v>
      </c>
      <c r="DH381" s="319" t="s">
        <v>190</v>
      </c>
      <c r="DI381" s="319" t="s">
        <v>190</v>
      </c>
      <c r="DJ381" s="319" t="s">
        <v>190</v>
      </c>
      <c r="DK381" s="319" t="s">
        <v>190</v>
      </c>
      <c r="DL381" s="319" t="s">
        <v>190</v>
      </c>
      <c r="DM381" s="319" t="s">
        <v>190</v>
      </c>
      <c r="DN381" s="319" t="s">
        <v>428</v>
      </c>
      <c r="DO381" s="319" t="s">
        <v>190</v>
      </c>
      <c r="DP381" s="319" t="s">
        <v>190</v>
      </c>
      <c r="DQ381" s="319" t="s">
        <v>190</v>
      </c>
      <c r="DR381" s="319" t="s">
        <v>190</v>
      </c>
      <c r="DS381" s="319" t="s">
        <v>190</v>
      </c>
      <c r="DT381" s="319" t="s">
        <v>190</v>
      </c>
      <c r="DU381" s="319" t="s">
        <v>190</v>
      </c>
      <c r="DV381" s="319" t="s">
        <v>190</v>
      </c>
      <c r="DW381" s="319" t="s">
        <v>190</v>
      </c>
      <c r="DX381" s="319" t="s">
        <v>190</v>
      </c>
      <c r="DY381" s="319" t="s">
        <v>190</v>
      </c>
      <c r="DZ381" s="319" t="s">
        <v>190</v>
      </c>
      <c r="EA381" s="319" t="s">
        <v>190</v>
      </c>
      <c r="EB381" s="319" t="s">
        <v>190</v>
      </c>
      <c r="EC381" s="319" t="s">
        <v>428</v>
      </c>
      <c r="ED381" s="319" t="s">
        <v>190</v>
      </c>
      <c r="EE381" s="319" t="s">
        <v>190</v>
      </c>
      <c r="EF381" s="319" t="s">
        <v>190</v>
      </c>
      <c r="EG381" s="319" t="s">
        <v>190</v>
      </c>
      <c r="EH381" s="319" t="s">
        <v>190</v>
      </c>
      <c r="EI381" s="319" t="s">
        <v>190</v>
      </c>
      <c r="EJ381" s="319" t="s">
        <v>190</v>
      </c>
      <c r="EK381" s="319" t="s">
        <v>190</v>
      </c>
      <c r="EL381" s="319" t="s">
        <v>190</v>
      </c>
      <c r="EM381" s="319" t="s">
        <v>190</v>
      </c>
      <c r="EN381" s="319" t="s">
        <v>190</v>
      </c>
      <c r="EO381" s="319" t="s">
        <v>190</v>
      </c>
      <c r="EP381" s="319" t="s">
        <v>190</v>
      </c>
      <c r="EQ381" s="319" t="s">
        <v>190</v>
      </c>
      <c r="ER381" s="319" t="s">
        <v>190</v>
      </c>
      <c r="ES381" s="319" t="s">
        <v>190</v>
      </c>
      <c r="ET381" s="319" t="s">
        <v>190</v>
      </c>
      <c r="EU381" s="319" t="s">
        <v>190</v>
      </c>
      <c r="EV381" s="319" t="s">
        <v>190</v>
      </c>
      <c r="EW381" s="319" t="s">
        <v>190</v>
      </c>
      <c r="EX381" s="319" t="s">
        <v>190</v>
      </c>
      <c r="EY381" s="319" t="s">
        <v>190</v>
      </c>
      <c r="EZ381" s="319" t="s">
        <v>190</v>
      </c>
      <c r="FA381" s="319" t="s">
        <v>428</v>
      </c>
      <c r="FB381" s="319" t="s">
        <v>190</v>
      </c>
      <c r="FC381" s="319" t="s">
        <v>190</v>
      </c>
      <c r="FD381" s="319" t="s">
        <v>190</v>
      </c>
      <c r="FE381" s="319" t="s">
        <v>190</v>
      </c>
      <c r="FF381" s="319" t="s">
        <v>190</v>
      </c>
      <c r="FG381" s="319" t="s">
        <v>190</v>
      </c>
      <c r="FH381" s="319" t="s">
        <v>190</v>
      </c>
      <c r="FI381" s="319" t="s">
        <v>190</v>
      </c>
      <c r="FJ381" s="319" t="s">
        <v>190</v>
      </c>
      <c r="FK381" s="319" t="s">
        <v>190</v>
      </c>
      <c r="FL381" s="319" t="s">
        <v>190</v>
      </c>
      <c r="FM381" s="319" t="s">
        <v>190</v>
      </c>
      <c r="FN381" s="319" t="s">
        <v>190</v>
      </c>
      <c r="FO381" s="319" t="s">
        <v>190</v>
      </c>
      <c r="FP381" s="319" t="s">
        <v>190</v>
      </c>
      <c r="FQ381" s="319" t="s">
        <v>190</v>
      </c>
      <c r="FR381" s="319" t="s">
        <v>190</v>
      </c>
      <c r="FS381" s="319" t="s">
        <v>428</v>
      </c>
      <c r="FT381" s="319" t="s">
        <v>190</v>
      </c>
      <c r="FU381" s="319" t="s">
        <v>190</v>
      </c>
      <c r="FV381" s="319" t="s">
        <v>190</v>
      </c>
      <c r="FW381" s="319" t="s">
        <v>190</v>
      </c>
      <c r="FX381" s="319" t="s">
        <v>190</v>
      </c>
      <c r="FY381" s="319" t="s">
        <v>190</v>
      </c>
      <c r="FZ381" s="319" t="s">
        <v>190</v>
      </c>
      <c r="GA381" s="319" t="s">
        <v>190</v>
      </c>
      <c r="GB381" s="319" t="s">
        <v>190</v>
      </c>
      <c r="GC381" s="319" t="s">
        <v>190</v>
      </c>
      <c r="GD381" s="319" t="s">
        <v>190</v>
      </c>
      <c r="GE381" s="319" t="s">
        <v>190</v>
      </c>
      <c r="GF381" s="319" t="s">
        <v>190</v>
      </c>
      <c r="GG381" s="319" t="s">
        <v>190</v>
      </c>
      <c r="GH381" s="319" t="s">
        <v>190</v>
      </c>
      <c r="GI381" s="319" t="s">
        <v>190</v>
      </c>
      <c r="GJ381" s="319" t="s">
        <v>190</v>
      </c>
      <c r="GK381" s="319" t="s">
        <v>428</v>
      </c>
      <c r="GL381" s="319" t="s">
        <v>190</v>
      </c>
      <c r="GM381" s="319" t="s">
        <v>190</v>
      </c>
      <c r="GN381" s="319" t="s">
        <v>190</v>
      </c>
      <c r="GO381" s="319" t="s">
        <v>190</v>
      </c>
      <c r="GP381" s="319" t="s">
        <v>190</v>
      </c>
      <c r="GQ381" s="319" t="s">
        <v>428</v>
      </c>
      <c r="GR381" s="319" t="s">
        <v>190</v>
      </c>
      <c r="GS381" s="319" t="s">
        <v>190</v>
      </c>
      <c r="GT381" s="319" t="s">
        <v>190</v>
      </c>
      <c r="GU381" s="319" t="s">
        <v>190</v>
      </c>
      <c r="GV381" s="319" t="s">
        <v>190</v>
      </c>
      <c r="GW381" s="319" t="s">
        <v>190</v>
      </c>
      <c r="GX381" s="319" t="s">
        <v>190</v>
      </c>
      <c r="GY381" s="319" t="s">
        <v>190</v>
      </c>
      <c r="GZ381" s="319" t="s">
        <v>428</v>
      </c>
      <c r="HA381" s="319" t="s">
        <v>190</v>
      </c>
      <c r="HB381" s="319" t="s">
        <v>428</v>
      </c>
      <c r="HC381" s="319" t="s">
        <v>190</v>
      </c>
      <c r="HD381" s="319" t="s">
        <v>190</v>
      </c>
      <c r="HE381" s="319" t="s">
        <v>190</v>
      </c>
      <c r="HF381" s="319" t="s">
        <v>190</v>
      </c>
      <c r="HG381" s="319" t="s">
        <v>190</v>
      </c>
      <c r="HH381" s="319" t="s">
        <v>190</v>
      </c>
      <c r="HI381" s="319" t="s">
        <v>190</v>
      </c>
      <c r="HJ381" s="319" t="s">
        <v>190</v>
      </c>
      <c r="HK381" s="319" t="s">
        <v>190</v>
      </c>
      <c r="HL381" s="319" t="s">
        <v>428</v>
      </c>
      <c r="HM381" s="319" t="s">
        <v>428</v>
      </c>
      <c r="HN381" s="319" t="s">
        <v>428</v>
      </c>
      <c r="HO381" s="319" t="s">
        <v>428</v>
      </c>
      <c r="HP381" s="319" t="s">
        <v>190</v>
      </c>
      <c r="HQ381" s="319" t="s">
        <v>190</v>
      </c>
      <c r="HR381" s="319" t="s">
        <v>190</v>
      </c>
      <c r="HS381" s="319" t="s">
        <v>190</v>
      </c>
      <c r="HT381" s="319" t="s">
        <v>190</v>
      </c>
      <c r="HU381" s="319" t="s">
        <v>190</v>
      </c>
      <c r="HV381" s="319" t="s">
        <v>190</v>
      </c>
      <c r="HW381" s="319" t="s">
        <v>190</v>
      </c>
      <c r="HX381" s="319" t="s">
        <v>190</v>
      </c>
      <c r="HY381" s="319" t="s">
        <v>190</v>
      </c>
      <c r="HZ381" s="319" t="s">
        <v>190</v>
      </c>
      <c r="IA381" s="319" t="s">
        <v>190</v>
      </c>
      <c r="IB381" s="319" t="s">
        <v>190</v>
      </c>
      <c r="IC381" s="319" t="s">
        <v>190</v>
      </c>
      <c r="ID381" s="319" t="s">
        <v>190</v>
      </c>
      <c r="IE381" s="319" t="s">
        <v>190</v>
      </c>
      <c r="IF381" s="319" t="s">
        <v>190</v>
      </c>
      <c r="IG381" s="319" t="s">
        <v>190</v>
      </c>
      <c r="IH381" s="319" t="s">
        <v>190</v>
      </c>
      <c r="II381" s="319" t="s">
        <v>190</v>
      </c>
      <c r="IJ381" s="319">
        <v>10006013</v>
      </c>
      <c r="IK381" s="321">
        <v>42626</v>
      </c>
      <c r="IL381" s="321">
        <v>42628</v>
      </c>
      <c r="IM381" s="321">
        <v>42655</v>
      </c>
      <c r="IN381" s="319">
        <v>2</v>
      </c>
      <c r="IO381" s="319" t="s">
        <v>173</v>
      </c>
      <c r="IP381" s="319" t="s">
        <v>173</v>
      </c>
      <c r="IQ381" s="321" t="s">
        <v>173</v>
      </c>
      <c r="IR381" s="320" t="s">
        <v>173</v>
      </c>
      <c r="IS381" s="322" t="s">
        <v>173</v>
      </c>
      <c r="IT381" s="319" t="s">
        <v>173</v>
      </c>
    </row>
    <row r="382" spans="1:254" s="271" customFormat="1" x14ac:dyDescent="0.25">
      <c r="A382" s="318" t="str">
        <f>HYPERLINK("http://www.ofsted.gov.uk/inspection-reports/find-inspection-report/provider/ELS/132774 ","Ofsted School Webpage")</f>
        <v>Ofsted School Webpage</v>
      </c>
      <c r="B382" s="319">
        <v>132774</v>
      </c>
      <c r="C382" s="319">
        <v>8016021</v>
      </c>
      <c r="D382" s="319" t="s">
        <v>657</v>
      </c>
      <c r="E382" s="319" t="s">
        <v>167</v>
      </c>
      <c r="F382" s="319" t="s">
        <v>81</v>
      </c>
      <c r="G382" s="319" t="s">
        <v>59</v>
      </c>
      <c r="H382" s="319" t="s">
        <v>59</v>
      </c>
      <c r="I382" s="319" t="s">
        <v>59</v>
      </c>
      <c r="J382" s="319" t="s">
        <v>424</v>
      </c>
      <c r="K382" s="319" t="s">
        <v>422</v>
      </c>
      <c r="L382" s="319" t="s">
        <v>422</v>
      </c>
      <c r="M382" s="319" t="s">
        <v>498</v>
      </c>
      <c r="N382" s="319" t="s">
        <v>2896</v>
      </c>
      <c r="O382" s="319" t="s">
        <v>658</v>
      </c>
      <c r="P382" s="319">
        <v>43</v>
      </c>
      <c r="Q382" s="319" t="s">
        <v>2776</v>
      </c>
      <c r="R382" s="320">
        <v>10053775</v>
      </c>
      <c r="S382" s="321">
        <v>43417</v>
      </c>
      <c r="T382" s="321">
        <v>43419</v>
      </c>
      <c r="U382" s="321">
        <v>43475</v>
      </c>
      <c r="V382" s="319" t="s">
        <v>425</v>
      </c>
      <c r="W382" s="319" t="s">
        <v>2767</v>
      </c>
      <c r="X382" s="319">
        <v>4</v>
      </c>
      <c r="Y382" s="319" t="s">
        <v>173</v>
      </c>
      <c r="Z382" s="319" t="s">
        <v>173</v>
      </c>
      <c r="AA382" s="319" t="s">
        <v>173</v>
      </c>
      <c r="AB382" s="319">
        <v>4</v>
      </c>
      <c r="AC382" s="319" t="s">
        <v>170</v>
      </c>
      <c r="AD382" s="319" t="s">
        <v>173</v>
      </c>
      <c r="AE382" s="319" t="s">
        <v>173</v>
      </c>
      <c r="AF382" s="319" t="s">
        <v>427</v>
      </c>
      <c r="AG382" s="319" t="s">
        <v>172</v>
      </c>
      <c r="AH382" s="319" t="s">
        <v>479</v>
      </c>
      <c r="AI382" s="319" t="s">
        <v>190</v>
      </c>
      <c r="AJ382" s="319" t="s">
        <v>479</v>
      </c>
      <c r="AK382" s="319" t="s">
        <v>190</v>
      </c>
      <c r="AL382" s="319" t="s">
        <v>190</v>
      </c>
      <c r="AM382" s="319" t="s">
        <v>190</v>
      </c>
      <c r="AN382" s="319" t="s">
        <v>190</v>
      </c>
      <c r="AO382" s="319" t="s">
        <v>479</v>
      </c>
      <c r="AP382" s="319" t="s">
        <v>191</v>
      </c>
      <c r="AQ382" s="319" t="s">
        <v>191</v>
      </c>
      <c r="AR382" s="319" t="s">
        <v>191</v>
      </c>
      <c r="AS382" s="319" t="s">
        <v>191</v>
      </c>
      <c r="AT382" s="319" t="s">
        <v>190</v>
      </c>
      <c r="AU382" s="319" t="s">
        <v>191</v>
      </c>
      <c r="AV382" s="319" t="s">
        <v>190</v>
      </c>
      <c r="AW382" s="319" t="s">
        <v>190</v>
      </c>
      <c r="AX382" s="319" t="s">
        <v>428</v>
      </c>
      <c r="AY382" s="319" t="s">
        <v>190</v>
      </c>
      <c r="AZ382" s="319" t="s">
        <v>190</v>
      </c>
      <c r="BA382" s="319" t="s">
        <v>190</v>
      </c>
      <c r="BB382" s="319" t="s">
        <v>190</v>
      </c>
      <c r="BC382" s="319" t="s">
        <v>190</v>
      </c>
      <c r="BD382" s="319" t="s">
        <v>190</v>
      </c>
      <c r="BE382" s="319" t="s">
        <v>190</v>
      </c>
      <c r="BF382" s="319" t="s">
        <v>191</v>
      </c>
      <c r="BG382" s="319" t="s">
        <v>190</v>
      </c>
      <c r="BH382" s="319" t="s">
        <v>190</v>
      </c>
      <c r="BI382" s="319" t="s">
        <v>190</v>
      </c>
      <c r="BJ382" s="319" t="s">
        <v>191</v>
      </c>
      <c r="BK382" s="319" t="s">
        <v>191</v>
      </c>
      <c r="BL382" s="319" t="s">
        <v>190</v>
      </c>
      <c r="BM382" s="319" t="s">
        <v>191</v>
      </c>
      <c r="BN382" s="319" t="s">
        <v>191</v>
      </c>
      <c r="BO382" s="319" t="s">
        <v>190</v>
      </c>
      <c r="BP382" s="319" t="s">
        <v>191</v>
      </c>
      <c r="BQ382" s="319" t="s">
        <v>191</v>
      </c>
      <c r="BR382" s="319" t="s">
        <v>190</v>
      </c>
      <c r="BS382" s="319" t="s">
        <v>190</v>
      </c>
      <c r="BT382" s="319" t="s">
        <v>190</v>
      </c>
      <c r="BU382" s="319" t="s">
        <v>190</v>
      </c>
      <c r="BV382" s="319" t="s">
        <v>190</v>
      </c>
      <c r="BW382" s="319" t="s">
        <v>190</v>
      </c>
      <c r="BX382" s="319" t="s">
        <v>190</v>
      </c>
      <c r="BY382" s="319" t="s">
        <v>190</v>
      </c>
      <c r="BZ382" s="319" t="s">
        <v>190</v>
      </c>
      <c r="CA382" s="319" t="s">
        <v>190</v>
      </c>
      <c r="CB382" s="319" t="s">
        <v>190</v>
      </c>
      <c r="CC382" s="319" t="s">
        <v>190</v>
      </c>
      <c r="CD382" s="319" t="s">
        <v>190</v>
      </c>
      <c r="CE382" s="319" t="s">
        <v>190</v>
      </c>
      <c r="CF382" s="319" t="s">
        <v>190</v>
      </c>
      <c r="CG382" s="319" t="s">
        <v>190</v>
      </c>
      <c r="CH382" s="319" t="s">
        <v>190</v>
      </c>
      <c r="CI382" s="319" t="s">
        <v>190</v>
      </c>
      <c r="CJ382" s="319" t="s">
        <v>190</v>
      </c>
      <c r="CK382" s="319" t="s">
        <v>191</v>
      </c>
      <c r="CL382" s="319" t="s">
        <v>191</v>
      </c>
      <c r="CM382" s="319" t="s">
        <v>191</v>
      </c>
      <c r="CN382" s="319" t="s">
        <v>428</v>
      </c>
      <c r="CO382" s="319" t="s">
        <v>428</v>
      </c>
      <c r="CP382" s="319" t="s">
        <v>428</v>
      </c>
      <c r="CQ382" s="319" t="s">
        <v>190</v>
      </c>
      <c r="CR382" s="319" t="s">
        <v>190</v>
      </c>
      <c r="CS382" s="319" t="s">
        <v>190</v>
      </c>
      <c r="CT382" s="319" t="s">
        <v>190</v>
      </c>
      <c r="CU382" s="319" t="s">
        <v>190</v>
      </c>
      <c r="CV382" s="319" t="s">
        <v>190</v>
      </c>
      <c r="CW382" s="319" t="s">
        <v>191</v>
      </c>
      <c r="CX382" s="319" t="s">
        <v>190</v>
      </c>
      <c r="CY382" s="319" t="s">
        <v>190</v>
      </c>
      <c r="CZ382" s="319" t="s">
        <v>190</v>
      </c>
      <c r="DA382" s="319" t="s">
        <v>191</v>
      </c>
      <c r="DB382" s="319" t="s">
        <v>191</v>
      </c>
      <c r="DC382" s="319" t="s">
        <v>191</v>
      </c>
      <c r="DD382" s="319" t="s">
        <v>190</v>
      </c>
      <c r="DE382" s="319" t="s">
        <v>190</v>
      </c>
      <c r="DF382" s="319" t="s">
        <v>190</v>
      </c>
      <c r="DG382" s="319" t="s">
        <v>190</v>
      </c>
      <c r="DH382" s="319" t="s">
        <v>190</v>
      </c>
      <c r="DI382" s="319" t="s">
        <v>190</v>
      </c>
      <c r="DJ382" s="319" t="s">
        <v>190</v>
      </c>
      <c r="DK382" s="319" t="s">
        <v>190</v>
      </c>
      <c r="DL382" s="319" t="s">
        <v>190</v>
      </c>
      <c r="DM382" s="319" t="s">
        <v>190</v>
      </c>
      <c r="DN382" s="319" t="s">
        <v>190</v>
      </c>
      <c r="DO382" s="319" t="s">
        <v>190</v>
      </c>
      <c r="DP382" s="319" t="s">
        <v>190</v>
      </c>
      <c r="DQ382" s="319" t="s">
        <v>190</v>
      </c>
      <c r="DR382" s="319" t="s">
        <v>190</v>
      </c>
      <c r="DS382" s="319" t="s">
        <v>190</v>
      </c>
      <c r="DT382" s="319" t="s">
        <v>190</v>
      </c>
      <c r="DU382" s="319" t="s">
        <v>190</v>
      </c>
      <c r="DV382" s="319" t="s">
        <v>173</v>
      </c>
      <c r="DW382" s="319" t="s">
        <v>190</v>
      </c>
      <c r="DX382" s="319" t="s">
        <v>190</v>
      </c>
      <c r="DY382" s="319" t="s">
        <v>190</v>
      </c>
      <c r="DZ382" s="319" t="s">
        <v>190</v>
      </c>
      <c r="EA382" s="319" t="s">
        <v>190</v>
      </c>
      <c r="EB382" s="319" t="s">
        <v>190</v>
      </c>
      <c r="EC382" s="319" t="s">
        <v>190</v>
      </c>
      <c r="ED382" s="319" t="s">
        <v>190</v>
      </c>
      <c r="EE382" s="319" t="s">
        <v>190</v>
      </c>
      <c r="EF382" s="319" t="s">
        <v>190</v>
      </c>
      <c r="EG382" s="319" t="s">
        <v>190</v>
      </c>
      <c r="EH382" s="319" t="s">
        <v>190</v>
      </c>
      <c r="EI382" s="319" t="s">
        <v>190</v>
      </c>
      <c r="EJ382" s="319" t="s">
        <v>190</v>
      </c>
      <c r="EK382" s="319" t="s">
        <v>190</v>
      </c>
      <c r="EL382" s="319" t="s">
        <v>190</v>
      </c>
      <c r="EM382" s="319" t="s">
        <v>190</v>
      </c>
      <c r="EN382" s="319" t="s">
        <v>190</v>
      </c>
      <c r="EO382" s="319" t="s">
        <v>190</v>
      </c>
      <c r="EP382" s="319" t="s">
        <v>190</v>
      </c>
      <c r="EQ382" s="319" t="s">
        <v>190</v>
      </c>
      <c r="ER382" s="319" t="s">
        <v>190</v>
      </c>
      <c r="ES382" s="319" t="s">
        <v>190</v>
      </c>
      <c r="ET382" s="319" t="s">
        <v>190</v>
      </c>
      <c r="EU382" s="319" t="s">
        <v>190</v>
      </c>
      <c r="EV382" s="319" t="s">
        <v>190</v>
      </c>
      <c r="EW382" s="319" t="s">
        <v>190</v>
      </c>
      <c r="EX382" s="319" t="s">
        <v>190</v>
      </c>
      <c r="EY382" s="319" t="s">
        <v>190</v>
      </c>
      <c r="EZ382" s="319" t="s">
        <v>190</v>
      </c>
      <c r="FA382" s="319" t="s">
        <v>190</v>
      </c>
      <c r="FB382" s="319" t="s">
        <v>190</v>
      </c>
      <c r="FC382" s="319" t="s">
        <v>190</v>
      </c>
      <c r="FD382" s="319" t="s">
        <v>190</v>
      </c>
      <c r="FE382" s="319" t="s">
        <v>190</v>
      </c>
      <c r="FF382" s="319" t="s">
        <v>190</v>
      </c>
      <c r="FG382" s="319" t="s">
        <v>190</v>
      </c>
      <c r="FH382" s="319" t="s">
        <v>190</v>
      </c>
      <c r="FI382" s="319" t="s">
        <v>190</v>
      </c>
      <c r="FJ382" s="319" t="s">
        <v>190</v>
      </c>
      <c r="FK382" s="319" t="s">
        <v>190</v>
      </c>
      <c r="FL382" s="319" t="s">
        <v>190</v>
      </c>
      <c r="FM382" s="319" t="s">
        <v>190</v>
      </c>
      <c r="FN382" s="319" t="s">
        <v>190</v>
      </c>
      <c r="FO382" s="319" t="s">
        <v>190</v>
      </c>
      <c r="FP382" s="319" t="s">
        <v>190</v>
      </c>
      <c r="FQ382" s="319" t="s">
        <v>190</v>
      </c>
      <c r="FR382" s="319" t="s">
        <v>190</v>
      </c>
      <c r="FS382" s="319" t="s">
        <v>190</v>
      </c>
      <c r="FT382" s="319" t="s">
        <v>190</v>
      </c>
      <c r="FU382" s="319" t="s">
        <v>190</v>
      </c>
      <c r="FV382" s="319" t="s">
        <v>190</v>
      </c>
      <c r="FW382" s="319" t="s">
        <v>190</v>
      </c>
      <c r="FX382" s="319" t="s">
        <v>190</v>
      </c>
      <c r="FY382" s="319" t="s">
        <v>190</v>
      </c>
      <c r="FZ382" s="319" t="s">
        <v>190</v>
      </c>
      <c r="GA382" s="319" t="s">
        <v>190</v>
      </c>
      <c r="GB382" s="319" t="s">
        <v>190</v>
      </c>
      <c r="GC382" s="319" t="s">
        <v>190</v>
      </c>
      <c r="GD382" s="319" t="s">
        <v>190</v>
      </c>
      <c r="GE382" s="319" t="s">
        <v>190</v>
      </c>
      <c r="GF382" s="319" t="s">
        <v>190</v>
      </c>
      <c r="GG382" s="319" t="s">
        <v>190</v>
      </c>
      <c r="GH382" s="319" t="s">
        <v>190</v>
      </c>
      <c r="GI382" s="319" t="s">
        <v>190</v>
      </c>
      <c r="GJ382" s="319" t="s">
        <v>190</v>
      </c>
      <c r="GK382" s="319" t="s">
        <v>428</v>
      </c>
      <c r="GL382" s="319" t="s">
        <v>190</v>
      </c>
      <c r="GM382" s="319" t="s">
        <v>190</v>
      </c>
      <c r="GN382" s="319" t="s">
        <v>190</v>
      </c>
      <c r="GO382" s="319" t="s">
        <v>190</v>
      </c>
      <c r="GP382" s="319" t="s">
        <v>190</v>
      </c>
      <c r="GQ382" s="319" t="s">
        <v>190</v>
      </c>
      <c r="GR382" s="319" t="s">
        <v>190</v>
      </c>
      <c r="GS382" s="319" t="s">
        <v>190</v>
      </c>
      <c r="GT382" s="319" t="s">
        <v>428</v>
      </c>
      <c r="GU382" s="319" t="s">
        <v>428</v>
      </c>
      <c r="GV382" s="319" t="s">
        <v>190</v>
      </c>
      <c r="GW382" s="319" t="s">
        <v>190</v>
      </c>
      <c r="GX382" s="319" t="s">
        <v>190</v>
      </c>
      <c r="GY382" s="319" t="s">
        <v>190</v>
      </c>
      <c r="GZ382" s="319" t="s">
        <v>190</v>
      </c>
      <c r="HA382" s="319" t="s">
        <v>190</v>
      </c>
      <c r="HB382" s="319" t="s">
        <v>190</v>
      </c>
      <c r="HC382" s="319" t="s">
        <v>190</v>
      </c>
      <c r="HD382" s="319" t="s">
        <v>190</v>
      </c>
      <c r="HE382" s="319" t="s">
        <v>190</v>
      </c>
      <c r="HF382" s="319" t="s">
        <v>190</v>
      </c>
      <c r="HG382" s="319" t="s">
        <v>190</v>
      </c>
      <c r="HH382" s="319" t="s">
        <v>190</v>
      </c>
      <c r="HI382" s="319" t="s">
        <v>190</v>
      </c>
      <c r="HJ382" s="319" t="s">
        <v>190</v>
      </c>
      <c r="HK382" s="319" t="s">
        <v>190</v>
      </c>
      <c r="HL382" s="319" t="s">
        <v>428</v>
      </c>
      <c r="HM382" s="319" t="s">
        <v>428</v>
      </c>
      <c r="HN382" s="319" t="s">
        <v>428</v>
      </c>
      <c r="HO382" s="319" t="s">
        <v>428</v>
      </c>
      <c r="HP382" s="319" t="s">
        <v>190</v>
      </c>
      <c r="HQ382" s="319" t="s">
        <v>190</v>
      </c>
      <c r="HR382" s="319" t="s">
        <v>190</v>
      </c>
      <c r="HS382" s="319" t="s">
        <v>190</v>
      </c>
      <c r="HT382" s="319" t="s">
        <v>190</v>
      </c>
      <c r="HU382" s="319" t="s">
        <v>190</v>
      </c>
      <c r="HV382" s="319" t="s">
        <v>190</v>
      </c>
      <c r="HW382" s="319" t="s">
        <v>190</v>
      </c>
      <c r="HX382" s="319" t="s">
        <v>190</v>
      </c>
      <c r="HY382" s="319" t="s">
        <v>190</v>
      </c>
      <c r="HZ382" s="319" t="s">
        <v>190</v>
      </c>
      <c r="IA382" s="319" t="s">
        <v>190</v>
      </c>
      <c r="IB382" s="319" t="s">
        <v>190</v>
      </c>
      <c r="IC382" s="319" t="s">
        <v>190</v>
      </c>
      <c r="ID382" s="319" t="s">
        <v>190</v>
      </c>
      <c r="IE382" s="319" t="s">
        <v>190</v>
      </c>
      <c r="IF382" s="319" t="s">
        <v>191</v>
      </c>
      <c r="IG382" s="319" t="s">
        <v>191</v>
      </c>
      <c r="IH382" s="319" t="s">
        <v>191</v>
      </c>
      <c r="II382" s="319" t="s">
        <v>191</v>
      </c>
      <c r="IJ382" s="319">
        <v>10020750</v>
      </c>
      <c r="IK382" s="321">
        <v>42661</v>
      </c>
      <c r="IL382" s="321">
        <v>42663</v>
      </c>
      <c r="IM382" s="321">
        <v>42696</v>
      </c>
      <c r="IN382" s="319">
        <v>3</v>
      </c>
      <c r="IO382" s="319">
        <v>10109553</v>
      </c>
      <c r="IP382" s="319" t="s">
        <v>985</v>
      </c>
      <c r="IQ382" s="321">
        <v>43739</v>
      </c>
      <c r="IR382" s="320" t="s">
        <v>2771</v>
      </c>
      <c r="IS382" s="322">
        <v>43751</v>
      </c>
      <c r="IT382" s="319" t="s">
        <v>166</v>
      </c>
    </row>
    <row r="383" spans="1:254" s="271" customFormat="1" x14ac:dyDescent="0.25">
      <c r="A383" s="318" t="str">
        <f>HYPERLINK("http://www.ofsted.gov.uk/inspection-reports/find-inspection-report/provider/ELS/132775 ","Ofsted School Webpage")</f>
        <v>Ofsted School Webpage</v>
      </c>
      <c r="B383" s="319">
        <v>132775</v>
      </c>
      <c r="C383" s="319">
        <v>8656034</v>
      </c>
      <c r="D383" s="319" t="s">
        <v>1736</v>
      </c>
      <c r="E383" s="319" t="s">
        <v>168</v>
      </c>
      <c r="F383" s="319" t="s">
        <v>81</v>
      </c>
      <c r="G383" s="319" t="s">
        <v>81</v>
      </c>
      <c r="H383" s="319" t="s">
        <v>81</v>
      </c>
      <c r="I383" s="319" t="s">
        <v>78</v>
      </c>
      <c r="J383" s="319" t="s">
        <v>424</v>
      </c>
      <c r="K383" s="319" t="s">
        <v>422</v>
      </c>
      <c r="L383" s="319" t="s">
        <v>422</v>
      </c>
      <c r="M383" s="319" t="s">
        <v>702</v>
      </c>
      <c r="N383" s="319" t="s">
        <v>3159</v>
      </c>
      <c r="O383" s="319" t="s">
        <v>1737</v>
      </c>
      <c r="P383" s="319">
        <v>12</v>
      </c>
      <c r="Q383" s="319" t="s">
        <v>2766</v>
      </c>
      <c r="R383" s="320">
        <v>10053776</v>
      </c>
      <c r="S383" s="321">
        <v>43284</v>
      </c>
      <c r="T383" s="321">
        <v>43286</v>
      </c>
      <c r="U383" s="321">
        <v>43346</v>
      </c>
      <c r="V383" s="319" t="s">
        <v>425</v>
      </c>
      <c r="W383" s="319" t="s">
        <v>2767</v>
      </c>
      <c r="X383" s="319">
        <v>2</v>
      </c>
      <c r="Y383" s="319" t="s">
        <v>173</v>
      </c>
      <c r="Z383" s="319" t="s">
        <v>173</v>
      </c>
      <c r="AA383" s="319" t="s">
        <v>173</v>
      </c>
      <c r="AB383" s="319">
        <v>2</v>
      </c>
      <c r="AC383" s="319" t="s">
        <v>169</v>
      </c>
      <c r="AD383" s="319" t="s">
        <v>173</v>
      </c>
      <c r="AE383" s="319" t="s">
        <v>173</v>
      </c>
      <c r="AF383" s="319" t="s">
        <v>427</v>
      </c>
      <c r="AG383" s="319" t="s">
        <v>171</v>
      </c>
      <c r="AH383" s="319" t="s">
        <v>190</v>
      </c>
      <c r="AI383" s="319" t="s">
        <v>190</v>
      </c>
      <c r="AJ383" s="319" t="s">
        <v>190</v>
      </c>
      <c r="AK383" s="319" t="s">
        <v>190</v>
      </c>
      <c r="AL383" s="319" t="s">
        <v>190</v>
      </c>
      <c r="AM383" s="319" t="s">
        <v>190</v>
      </c>
      <c r="AN383" s="319" t="s">
        <v>190</v>
      </c>
      <c r="AO383" s="319" t="s">
        <v>190</v>
      </c>
      <c r="AP383" s="319" t="s">
        <v>190</v>
      </c>
      <c r="AQ383" s="319" t="s">
        <v>190</v>
      </c>
      <c r="AR383" s="319" t="s">
        <v>190</v>
      </c>
      <c r="AS383" s="319" t="s">
        <v>190</v>
      </c>
      <c r="AT383" s="319" t="s">
        <v>190</v>
      </c>
      <c r="AU383" s="319" t="s">
        <v>190</v>
      </c>
      <c r="AV383" s="319" t="s">
        <v>190</v>
      </c>
      <c r="AW383" s="319" t="s">
        <v>190</v>
      </c>
      <c r="AX383" s="319" t="s">
        <v>428</v>
      </c>
      <c r="AY383" s="319" t="s">
        <v>190</v>
      </c>
      <c r="AZ383" s="319" t="s">
        <v>190</v>
      </c>
      <c r="BA383" s="319" t="s">
        <v>190</v>
      </c>
      <c r="BB383" s="319" t="s">
        <v>190</v>
      </c>
      <c r="BC383" s="319" t="s">
        <v>190</v>
      </c>
      <c r="BD383" s="319" t="s">
        <v>190</v>
      </c>
      <c r="BE383" s="319" t="s">
        <v>190</v>
      </c>
      <c r="BF383" s="319" t="s">
        <v>428</v>
      </c>
      <c r="BG383" s="319" t="s">
        <v>190</v>
      </c>
      <c r="BH383" s="319" t="s">
        <v>190</v>
      </c>
      <c r="BI383" s="319" t="s">
        <v>190</v>
      </c>
      <c r="BJ383" s="319" t="s">
        <v>190</v>
      </c>
      <c r="BK383" s="319" t="s">
        <v>190</v>
      </c>
      <c r="BL383" s="319" t="s">
        <v>190</v>
      </c>
      <c r="BM383" s="319" t="s">
        <v>190</v>
      </c>
      <c r="BN383" s="319" t="s">
        <v>190</v>
      </c>
      <c r="BO383" s="319" t="s">
        <v>190</v>
      </c>
      <c r="BP383" s="319" t="s">
        <v>190</v>
      </c>
      <c r="BQ383" s="319" t="s">
        <v>190</v>
      </c>
      <c r="BR383" s="319" t="s">
        <v>190</v>
      </c>
      <c r="BS383" s="319" t="s">
        <v>190</v>
      </c>
      <c r="BT383" s="319" t="s">
        <v>190</v>
      </c>
      <c r="BU383" s="319" t="s">
        <v>190</v>
      </c>
      <c r="BV383" s="319" t="s">
        <v>190</v>
      </c>
      <c r="BW383" s="319" t="s">
        <v>190</v>
      </c>
      <c r="BX383" s="319" t="s">
        <v>190</v>
      </c>
      <c r="BY383" s="319" t="s">
        <v>190</v>
      </c>
      <c r="BZ383" s="319" t="s">
        <v>190</v>
      </c>
      <c r="CA383" s="319" t="s">
        <v>190</v>
      </c>
      <c r="CB383" s="319" t="s">
        <v>190</v>
      </c>
      <c r="CC383" s="319" t="s">
        <v>190</v>
      </c>
      <c r="CD383" s="319" t="s">
        <v>190</v>
      </c>
      <c r="CE383" s="319" t="s">
        <v>190</v>
      </c>
      <c r="CF383" s="319" t="s">
        <v>190</v>
      </c>
      <c r="CG383" s="319" t="s">
        <v>190</v>
      </c>
      <c r="CH383" s="319" t="s">
        <v>190</v>
      </c>
      <c r="CI383" s="319" t="s">
        <v>190</v>
      </c>
      <c r="CJ383" s="319" t="s">
        <v>190</v>
      </c>
      <c r="CK383" s="319" t="s">
        <v>190</v>
      </c>
      <c r="CL383" s="319" t="s">
        <v>190</v>
      </c>
      <c r="CM383" s="319" t="s">
        <v>190</v>
      </c>
      <c r="CN383" s="319" t="s">
        <v>428</v>
      </c>
      <c r="CO383" s="319" t="s">
        <v>428</v>
      </c>
      <c r="CP383" s="319" t="s">
        <v>428</v>
      </c>
      <c r="CQ383" s="319" t="s">
        <v>190</v>
      </c>
      <c r="CR383" s="319" t="s">
        <v>190</v>
      </c>
      <c r="CS383" s="319" t="s">
        <v>190</v>
      </c>
      <c r="CT383" s="319" t="s">
        <v>190</v>
      </c>
      <c r="CU383" s="319" t="s">
        <v>190</v>
      </c>
      <c r="CV383" s="319" t="s">
        <v>190</v>
      </c>
      <c r="CW383" s="319" t="s">
        <v>190</v>
      </c>
      <c r="CX383" s="319" t="s">
        <v>190</v>
      </c>
      <c r="CY383" s="319" t="s">
        <v>190</v>
      </c>
      <c r="CZ383" s="319" t="s">
        <v>190</v>
      </c>
      <c r="DA383" s="319" t="s">
        <v>190</v>
      </c>
      <c r="DB383" s="319" t="s">
        <v>190</v>
      </c>
      <c r="DC383" s="319" t="s">
        <v>190</v>
      </c>
      <c r="DD383" s="319" t="s">
        <v>190</v>
      </c>
      <c r="DE383" s="319" t="s">
        <v>190</v>
      </c>
      <c r="DF383" s="319" t="s">
        <v>190</v>
      </c>
      <c r="DG383" s="319" t="s">
        <v>190</v>
      </c>
      <c r="DH383" s="319" t="s">
        <v>190</v>
      </c>
      <c r="DI383" s="319" t="s">
        <v>190</v>
      </c>
      <c r="DJ383" s="319" t="s">
        <v>190</v>
      </c>
      <c r="DK383" s="319" t="s">
        <v>190</v>
      </c>
      <c r="DL383" s="319" t="s">
        <v>190</v>
      </c>
      <c r="DM383" s="319" t="s">
        <v>190</v>
      </c>
      <c r="DN383" s="319" t="s">
        <v>428</v>
      </c>
      <c r="DO383" s="319" t="s">
        <v>190</v>
      </c>
      <c r="DP383" s="319" t="s">
        <v>190</v>
      </c>
      <c r="DQ383" s="319" t="s">
        <v>190</v>
      </c>
      <c r="DR383" s="319" t="s">
        <v>190</v>
      </c>
      <c r="DS383" s="319" t="s">
        <v>190</v>
      </c>
      <c r="DT383" s="319" t="s">
        <v>190</v>
      </c>
      <c r="DU383" s="319" t="s">
        <v>190</v>
      </c>
      <c r="DV383" s="319" t="s">
        <v>173</v>
      </c>
      <c r="DW383" s="319" t="s">
        <v>190</v>
      </c>
      <c r="DX383" s="319" t="s">
        <v>190</v>
      </c>
      <c r="DY383" s="319" t="s">
        <v>190</v>
      </c>
      <c r="DZ383" s="319" t="s">
        <v>190</v>
      </c>
      <c r="EA383" s="319" t="s">
        <v>190</v>
      </c>
      <c r="EB383" s="319" t="s">
        <v>190</v>
      </c>
      <c r="EC383" s="319" t="s">
        <v>428</v>
      </c>
      <c r="ED383" s="319" t="s">
        <v>190</v>
      </c>
      <c r="EE383" s="319" t="s">
        <v>190</v>
      </c>
      <c r="EF383" s="319" t="s">
        <v>190</v>
      </c>
      <c r="EG383" s="319" t="s">
        <v>190</v>
      </c>
      <c r="EH383" s="319" t="s">
        <v>190</v>
      </c>
      <c r="EI383" s="319" t="s">
        <v>190</v>
      </c>
      <c r="EJ383" s="319" t="s">
        <v>190</v>
      </c>
      <c r="EK383" s="319" t="s">
        <v>190</v>
      </c>
      <c r="EL383" s="319" t="s">
        <v>190</v>
      </c>
      <c r="EM383" s="319" t="s">
        <v>190</v>
      </c>
      <c r="EN383" s="319" t="s">
        <v>190</v>
      </c>
      <c r="EO383" s="319" t="s">
        <v>190</v>
      </c>
      <c r="EP383" s="319" t="s">
        <v>190</v>
      </c>
      <c r="EQ383" s="319" t="s">
        <v>190</v>
      </c>
      <c r="ER383" s="319" t="s">
        <v>190</v>
      </c>
      <c r="ES383" s="319" t="s">
        <v>190</v>
      </c>
      <c r="ET383" s="319" t="s">
        <v>190</v>
      </c>
      <c r="EU383" s="319" t="s">
        <v>190</v>
      </c>
      <c r="EV383" s="319" t="s">
        <v>190</v>
      </c>
      <c r="EW383" s="319" t="s">
        <v>190</v>
      </c>
      <c r="EX383" s="319" t="s">
        <v>190</v>
      </c>
      <c r="EY383" s="319" t="s">
        <v>190</v>
      </c>
      <c r="EZ383" s="319" t="s">
        <v>190</v>
      </c>
      <c r="FA383" s="319" t="s">
        <v>190</v>
      </c>
      <c r="FB383" s="319" t="s">
        <v>190</v>
      </c>
      <c r="FC383" s="319" t="s">
        <v>190</v>
      </c>
      <c r="FD383" s="319" t="s">
        <v>190</v>
      </c>
      <c r="FE383" s="319" t="s">
        <v>190</v>
      </c>
      <c r="FF383" s="319" t="s">
        <v>190</v>
      </c>
      <c r="FG383" s="319" t="s">
        <v>190</v>
      </c>
      <c r="FH383" s="319" t="s">
        <v>190</v>
      </c>
      <c r="FI383" s="319" t="s">
        <v>190</v>
      </c>
      <c r="FJ383" s="319" t="s">
        <v>190</v>
      </c>
      <c r="FK383" s="319" t="s">
        <v>190</v>
      </c>
      <c r="FL383" s="319" t="s">
        <v>190</v>
      </c>
      <c r="FM383" s="319" t="s">
        <v>190</v>
      </c>
      <c r="FN383" s="319" t="s">
        <v>190</v>
      </c>
      <c r="FO383" s="319" t="s">
        <v>190</v>
      </c>
      <c r="FP383" s="319" t="s">
        <v>190</v>
      </c>
      <c r="FQ383" s="319" t="s">
        <v>190</v>
      </c>
      <c r="FR383" s="319" t="s">
        <v>190</v>
      </c>
      <c r="FS383" s="319" t="s">
        <v>190</v>
      </c>
      <c r="FT383" s="319" t="s">
        <v>190</v>
      </c>
      <c r="FU383" s="319" t="s">
        <v>190</v>
      </c>
      <c r="FV383" s="319" t="s">
        <v>190</v>
      </c>
      <c r="FW383" s="319" t="s">
        <v>190</v>
      </c>
      <c r="FX383" s="319" t="s">
        <v>190</v>
      </c>
      <c r="FY383" s="319" t="s">
        <v>190</v>
      </c>
      <c r="FZ383" s="319" t="s">
        <v>190</v>
      </c>
      <c r="GA383" s="319" t="s">
        <v>190</v>
      </c>
      <c r="GB383" s="319" t="s">
        <v>190</v>
      </c>
      <c r="GC383" s="319" t="s">
        <v>190</v>
      </c>
      <c r="GD383" s="319" t="s">
        <v>190</v>
      </c>
      <c r="GE383" s="319" t="s">
        <v>190</v>
      </c>
      <c r="GF383" s="319" t="s">
        <v>190</v>
      </c>
      <c r="GG383" s="319" t="s">
        <v>190</v>
      </c>
      <c r="GH383" s="319" t="s">
        <v>190</v>
      </c>
      <c r="GI383" s="319" t="s">
        <v>190</v>
      </c>
      <c r="GJ383" s="319" t="s">
        <v>190</v>
      </c>
      <c r="GK383" s="319" t="s">
        <v>428</v>
      </c>
      <c r="GL383" s="319" t="s">
        <v>190</v>
      </c>
      <c r="GM383" s="319" t="s">
        <v>190</v>
      </c>
      <c r="GN383" s="319" t="s">
        <v>190</v>
      </c>
      <c r="GO383" s="319" t="s">
        <v>190</v>
      </c>
      <c r="GP383" s="319" t="s">
        <v>190</v>
      </c>
      <c r="GQ383" s="319" t="s">
        <v>190</v>
      </c>
      <c r="GR383" s="319" t="s">
        <v>190</v>
      </c>
      <c r="GS383" s="319" t="s">
        <v>190</v>
      </c>
      <c r="GT383" s="319" t="s">
        <v>190</v>
      </c>
      <c r="GU383" s="319" t="s">
        <v>190</v>
      </c>
      <c r="GV383" s="319" t="s">
        <v>190</v>
      </c>
      <c r="GW383" s="319" t="s">
        <v>190</v>
      </c>
      <c r="GX383" s="319" t="s">
        <v>190</v>
      </c>
      <c r="GY383" s="319" t="s">
        <v>190</v>
      </c>
      <c r="GZ383" s="319" t="s">
        <v>190</v>
      </c>
      <c r="HA383" s="319" t="s">
        <v>190</v>
      </c>
      <c r="HB383" s="319" t="s">
        <v>190</v>
      </c>
      <c r="HC383" s="319" t="s">
        <v>190</v>
      </c>
      <c r="HD383" s="319" t="s">
        <v>190</v>
      </c>
      <c r="HE383" s="319" t="s">
        <v>190</v>
      </c>
      <c r="HF383" s="319" t="s">
        <v>190</v>
      </c>
      <c r="HG383" s="319" t="s">
        <v>190</v>
      </c>
      <c r="HH383" s="319" t="s">
        <v>190</v>
      </c>
      <c r="HI383" s="319" t="s">
        <v>190</v>
      </c>
      <c r="HJ383" s="319" t="s">
        <v>190</v>
      </c>
      <c r="HK383" s="319" t="s">
        <v>190</v>
      </c>
      <c r="HL383" s="319" t="s">
        <v>428</v>
      </c>
      <c r="HM383" s="319" t="s">
        <v>428</v>
      </c>
      <c r="HN383" s="319" t="s">
        <v>428</v>
      </c>
      <c r="HO383" s="319" t="s">
        <v>428</v>
      </c>
      <c r="HP383" s="319" t="s">
        <v>190</v>
      </c>
      <c r="HQ383" s="319" t="s">
        <v>190</v>
      </c>
      <c r="HR383" s="319" t="s">
        <v>190</v>
      </c>
      <c r="HS383" s="319" t="s">
        <v>190</v>
      </c>
      <c r="HT383" s="319" t="s">
        <v>190</v>
      </c>
      <c r="HU383" s="319" t="s">
        <v>190</v>
      </c>
      <c r="HV383" s="319" t="s">
        <v>190</v>
      </c>
      <c r="HW383" s="319" t="s">
        <v>190</v>
      </c>
      <c r="HX383" s="319" t="s">
        <v>190</v>
      </c>
      <c r="HY383" s="319" t="s">
        <v>190</v>
      </c>
      <c r="HZ383" s="319" t="s">
        <v>190</v>
      </c>
      <c r="IA383" s="319" t="s">
        <v>190</v>
      </c>
      <c r="IB383" s="319" t="s">
        <v>190</v>
      </c>
      <c r="IC383" s="319" t="s">
        <v>190</v>
      </c>
      <c r="ID383" s="319" t="s">
        <v>190</v>
      </c>
      <c r="IE383" s="319" t="s">
        <v>190</v>
      </c>
      <c r="IF383" s="319" t="s">
        <v>190</v>
      </c>
      <c r="IG383" s="319" t="s">
        <v>190</v>
      </c>
      <c r="IH383" s="319" t="s">
        <v>190</v>
      </c>
      <c r="II383" s="319" t="s">
        <v>190</v>
      </c>
      <c r="IJ383" s="319">
        <v>10006330</v>
      </c>
      <c r="IK383" s="321">
        <v>42339</v>
      </c>
      <c r="IL383" s="321">
        <v>42341</v>
      </c>
      <c r="IM383" s="321">
        <v>42395</v>
      </c>
      <c r="IN383" s="319">
        <v>2</v>
      </c>
      <c r="IO383" s="319" t="s">
        <v>173</v>
      </c>
      <c r="IP383" s="319" t="s">
        <v>173</v>
      </c>
      <c r="IQ383" s="321" t="s">
        <v>173</v>
      </c>
      <c r="IR383" s="320" t="s">
        <v>173</v>
      </c>
      <c r="IS383" s="322" t="s">
        <v>173</v>
      </c>
      <c r="IT383" s="319" t="s">
        <v>173</v>
      </c>
    </row>
    <row r="384" spans="1:254" s="271" customFormat="1" x14ac:dyDescent="0.25">
      <c r="A384" s="318" t="str">
        <f>HYPERLINK("http://www.ofsted.gov.uk/inspection-reports/find-inspection-report/provider/ELS/132776 ","Ofsted School Webpage")</f>
        <v>Ofsted School Webpage</v>
      </c>
      <c r="B384" s="319">
        <v>132776</v>
      </c>
      <c r="C384" s="319">
        <v>3066094</v>
      </c>
      <c r="D384" s="319" t="s">
        <v>1738</v>
      </c>
      <c r="E384" s="319" t="s">
        <v>167</v>
      </c>
      <c r="F384" s="319" t="s">
        <v>81</v>
      </c>
      <c r="G384" s="319" t="s">
        <v>81</v>
      </c>
      <c r="H384" s="319" t="s">
        <v>81</v>
      </c>
      <c r="I384" s="319" t="s">
        <v>78</v>
      </c>
      <c r="J384" s="319" t="s">
        <v>424</v>
      </c>
      <c r="K384" s="319" t="s">
        <v>441</v>
      </c>
      <c r="L384" s="319" t="s">
        <v>441</v>
      </c>
      <c r="M384" s="319" t="s">
        <v>734</v>
      </c>
      <c r="N384" s="319" t="s">
        <v>3160</v>
      </c>
      <c r="O384" s="319" t="s">
        <v>1739</v>
      </c>
      <c r="P384" s="319">
        <v>2</v>
      </c>
      <c r="Q384" s="319" t="s">
        <v>2766</v>
      </c>
      <c r="R384" s="320">
        <v>10055509</v>
      </c>
      <c r="S384" s="321">
        <v>43536</v>
      </c>
      <c r="T384" s="321">
        <v>43537</v>
      </c>
      <c r="U384" s="321">
        <v>43578</v>
      </c>
      <c r="V384" s="319" t="s">
        <v>425</v>
      </c>
      <c r="W384" s="319" t="s">
        <v>2767</v>
      </c>
      <c r="X384" s="319">
        <v>3</v>
      </c>
      <c r="Y384" s="319" t="s">
        <v>173</v>
      </c>
      <c r="Z384" s="319" t="s">
        <v>173</v>
      </c>
      <c r="AA384" s="319" t="s">
        <v>173</v>
      </c>
      <c r="AB384" s="319">
        <v>3</v>
      </c>
      <c r="AC384" s="319" t="s">
        <v>169</v>
      </c>
      <c r="AD384" s="319" t="s">
        <v>173</v>
      </c>
      <c r="AE384" s="319" t="s">
        <v>173</v>
      </c>
      <c r="AF384" s="319" t="s">
        <v>427</v>
      </c>
      <c r="AG384" s="319" t="s">
        <v>171</v>
      </c>
      <c r="AH384" s="319" t="s">
        <v>190</v>
      </c>
      <c r="AI384" s="319" t="s">
        <v>190</v>
      </c>
      <c r="AJ384" s="319" t="s">
        <v>190</v>
      </c>
      <c r="AK384" s="319" t="s">
        <v>190</v>
      </c>
      <c r="AL384" s="319" t="s">
        <v>190</v>
      </c>
      <c r="AM384" s="319" t="s">
        <v>190</v>
      </c>
      <c r="AN384" s="319" t="s">
        <v>190</v>
      </c>
      <c r="AO384" s="319" t="s">
        <v>190</v>
      </c>
      <c r="AP384" s="319" t="s">
        <v>190</v>
      </c>
      <c r="AQ384" s="319" t="s">
        <v>190</v>
      </c>
      <c r="AR384" s="319" t="s">
        <v>190</v>
      </c>
      <c r="AS384" s="319" t="s">
        <v>190</v>
      </c>
      <c r="AT384" s="319" t="s">
        <v>190</v>
      </c>
      <c r="AU384" s="319" t="s">
        <v>190</v>
      </c>
      <c r="AV384" s="319" t="s">
        <v>190</v>
      </c>
      <c r="AW384" s="319" t="s">
        <v>190</v>
      </c>
      <c r="AX384" s="319" t="s">
        <v>428</v>
      </c>
      <c r="AY384" s="319" t="s">
        <v>190</v>
      </c>
      <c r="AZ384" s="319" t="s">
        <v>190</v>
      </c>
      <c r="BA384" s="319" t="s">
        <v>190</v>
      </c>
      <c r="BB384" s="319" t="s">
        <v>190</v>
      </c>
      <c r="BC384" s="319" t="s">
        <v>190</v>
      </c>
      <c r="BD384" s="319" t="s">
        <v>190</v>
      </c>
      <c r="BE384" s="319" t="s">
        <v>190</v>
      </c>
      <c r="BF384" s="319" t="s">
        <v>428</v>
      </c>
      <c r="BG384" s="319" t="s">
        <v>190</v>
      </c>
      <c r="BH384" s="319" t="s">
        <v>190</v>
      </c>
      <c r="BI384" s="319" t="s">
        <v>190</v>
      </c>
      <c r="BJ384" s="319" t="s">
        <v>190</v>
      </c>
      <c r="BK384" s="319" t="s">
        <v>190</v>
      </c>
      <c r="BL384" s="319" t="s">
        <v>190</v>
      </c>
      <c r="BM384" s="319" t="s">
        <v>190</v>
      </c>
      <c r="BN384" s="319" t="s">
        <v>190</v>
      </c>
      <c r="BO384" s="319" t="s">
        <v>190</v>
      </c>
      <c r="BP384" s="319" t="s">
        <v>190</v>
      </c>
      <c r="BQ384" s="319" t="s">
        <v>190</v>
      </c>
      <c r="BR384" s="319" t="s">
        <v>190</v>
      </c>
      <c r="BS384" s="319" t="s">
        <v>190</v>
      </c>
      <c r="BT384" s="319" t="s">
        <v>190</v>
      </c>
      <c r="BU384" s="319" t="s">
        <v>190</v>
      </c>
      <c r="BV384" s="319" t="s">
        <v>190</v>
      </c>
      <c r="BW384" s="319" t="s">
        <v>190</v>
      </c>
      <c r="BX384" s="319" t="s">
        <v>190</v>
      </c>
      <c r="BY384" s="319" t="s">
        <v>190</v>
      </c>
      <c r="BZ384" s="319" t="s">
        <v>190</v>
      </c>
      <c r="CA384" s="319" t="s">
        <v>190</v>
      </c>
      <c r="CB384" s="319" t="s">
        <v>190</v>
      </c>
      <c r="CC384" s="319" t="s">
        <v>190</v>
      </c>
      <c r="CD384" s="319" t="s">
        <v>190</v>
      </c>
      <c r="CE384" s="319" t="s">
        <v>190</v>
      </c>
      <c r="CF384" s="319" t="s">
        <v>190</v>
      </c>
      <c r="CG384" s="319" t="s">
        <v>190</v>
      </c>
      <c r="CH384" s="319" t="s">
        <v>190</v>
      </c>
      <c r="CI384" s="319" t="s">
        <v>190</v>
      </c>
      <c r="CJ384" s="319" t="s">
        <v>190</v>
      </c>
      <c r="CK384" s="319" t="s">
        <v>190</v>
      </c>
      <c r="CL384" s="319" t="s">
        <v>190</v>
      </c>
      <c r="CM384" s="319" t="s">
        <v>190</v>
      </c>
      <c r="CN384" s="319" t="s">
        <v>428</v>
      </c>
      <c r="CO384" s="319" t="s">
        <v>428</v>
      </c>
      <c r="CP384" s="319" t="s">
        <v>428</v>
      </c>
      <c r="CQ384" s="319" t="s">
        <v>190</v>
      </c>
      <c r="CR384" s="319" t="s">
        <v>190</v>
      </c>
      <c r="CS384" s="319" t="s">
        <v>190</v>
      </c>
      <c r="CT384" s="319" t="s">
        <v>190</v>
      </c>
      <c r="CU384" s="319" t="s">
        <v>190</v>
      </c>
      <c r="CV384" s="319" t="s">
        <v>190</v>
      </c>
      <c r="CW384" s="319" t="s">
        <v>190</v>
      </c>
      <c r="CX384" s="319" t="s">
        <v>190</v>
      </c>
      <c r="CY384" s="319" t="s">
        <v>190</v>
      </c>
      <c r="CZ384" s="319" t="s">
        <v>190</v>
      </c>
      <c r="DA384" s="319" t="s">
        <v>190</v>
      </c>
      <c r="DB384" s="319" t="s">
        <v>190</v>
      </c>
      <c r="DC384" s="319" t="s">
        <v>190</v>
      </c>
      <c r="DD384" s="319" t="s">
        <v>190</v>
      </c>
      <c r="DE384" s="319" t="s">
        <v>190</v>
      </c>
      <c r="DF384" s="319" t="s">
        <v>190</v>
      </c>
      <c r="DG384" s="319" t="s">
        <v>190</v>
      </c>
      <c r="DH384" s="319" t="s">
        <v>190</v>
      </c>
      <c r="DI384" s="319" t="s">
        <v>190</v>
      </c>
      <c r="DJ384" s="319" t="s">
        <v>190</v>
      </c>
      <c r="DK384" s="319" t="s">
        <v>190</v>
      </c>
      <c r="DL384" s="319" t="s">
        <v>190</v>
      </c>
      <c r="DM384" s="319" t="s">
        <v>190</v>
      </c>
      <c r="DN384" s="319" t="s">
        <v>428</v>
      </c>
      <c r="DO384" s="319" t="s">
        <v>190</v>
      </c>
      <c r="DP384" s="319" t="s">
        <v>428</v>
      </c>
      <c r="DQ384" s="319" t="s">
        <v>428</v>
      </c>
      <c r="DR384" s="319" t="s">
        <v>428</v>
      </c>
      <c r="DS384" s="319" t="s">
        <v>428</v>
      </c>
      <c r="DT384" s="319" t="s">
        <v>428</v>
      </c>
      <c r="DU384" s="319" t="s">
        <v>428</v>
      </c>
      <c r="DV384" s="319" t="s">
        <v>173</v>
      </c>
      <c r="DW384" s="319" t="s">
        <v>428</v>
      </c>
      <c r="DX384" s="319" t="s">
        <v>428</v>
      </c>
      <c r="DY384" s="319" t="s">
        <v>428</v>
      </c>
      <c r="DZ384" s="319" t="s">
        <v>428</v>
      </c>
      <c r="EA384" s="319" t="s">
        <v>428</v>
      </c>
      <c r="EB384" s="319" t="s">
        <v>428</v>
      </c>
      <c r="EC384" s="319" t="s">
        <v>428</v>
      </c>
      <c r="ED384" s="319" t="s">
        <v>428</v>
      </c>
      <c r="EE384" s="319" t="s">
        <v>190</v>
      </c>
      <c r="EF384" s="319" t="s">
        <v>190</v>
      </c>
      <c r="EG384" s="319" t="s">
        <v>190</v>
      </c>
      <c r="EH384" s="319" t="s">
        <v>190</v>
      </c>
      <c r="EI384" s="319" t="s">
        <v>190</v>
      </c>
      <c r="EJ384" s="319" t="s">
        <v>190</v>
      </c>
      <c r="EK384" s="319" t="s">
        <v>190</v>
      </c>
      <c r="EL384" s="319" t="s">
        <v>190</v>
      </c>
      <c r="EM384" s="319" t="s">
        <v>428</v>
      </c>
      <c r="EN384" s="319" t="s">
        <v>190</v>
      </c>
      <c r="EO384" s="319" t="s">
        <v>190</v>
      </c>
      <c r="EP384" s="319" t="s">
        <v>190</v>
      </c>
      <c r="EQ384" s="319" t="s">
        <v>190</v>
      </c>
      <c r="ER384" s="319" t="s">
        <v>190</v>
      </c>
      <c r="ES384" s="319" t="s">
        <v>190</v>
      </c>
      <c r="ET384" s="319" t="s">
        <v>190</v>
      </c>
      <c r="EU384" s="319" t="s">
        <v>190</v>
      </c>
      <c r="EV384" s="319" t="s">
        <v>190</v>
      </c>
      <c r="EW384" s="319" t="s">
        <v>190</v>
      </c>
      <c r="EX384" s="319" t="s">
        <v>190</v>
      </c>
      <c r="EY384" s="319" t="s">
        <v>190</v>
      </c>
      <c r="EZ384" s="319" t="s">
        <v>190</v>
      </c>
      <c r="FA384" s="319" t="s">
        <v>190</v>
      </c>
      <c r="FB384" s="319" t="s">
        <v>190</v>
      </c>
      <c r="FC384" s="319" t="s">
        <v>190</v>
      </c>
      <c r="FD384" s="319" t="s">
        <v>190</v>
      </c>
      <c r="FE384" s="319" t="s">
        <v>190</v>
      </c>
      <c r="FF384" s="319" t="s">
        <v>190</v>
      </c>
      <c r="FG384" s="319" t="s">
        <v>190</v>
      </c>
      <c r="FH384" s="319" t="s">
        <v>190</v>
      </c>
      <c r="FI384" s="319" t="s">
        <v>190</v>
      </c>
      <c r="FJ384" s="319" t="s">
        <v>190</v>
      </c>
      <c r="FK384" s="319" t="s">
        <v>190</v>
      </c>
      <c r="FL384" s="319" t="s">
        <v>190</v>
      </c>
      <c r="FM384" s="319" t="s">
        <v>190</v>
      </c>
      <c r="FN384" s="319" t="s">
        <v>190</v>
      </c>
      <c r="FO384" s="319" t="s">
        <v>190</v>
      </c>
      <c r="FP384" s="319" t="s">
        <v>190</v>
      </c>
      <c r="FQ384" s="319" t="s">
        <v>190</v>
      </c>
      <c r="FR384" s="319" t="s">
        <v>190</v>
      </c>
      <c r="FS384" s="319" t="s">
        <v>428</v>
      </c>
      <c r="FT384" s="319" t="s">
        <v>190</v>
      </c>
      <c r="FU384" s="319" t="s">
        <v>190</v>
      </c>
      <c r="FV384" s="319" t="s">
        <v>190</v>
      </c>
      <c r="FW384" s="319" t="s">
        <v>190</v>
      </c>
      <c r="FX384" s="319" t="s">
        <v>190</v>
      </c>
      <c r="FY384" s="319" t="s">
        <v>190</v>
      </c>
      <c r="FZ384" s="319" t="s">
        <v>190</v>
      </c>
      <c r="GA384" s="319" t="s">
        <v>190</v>
      </c>
      <c r="GB384" s="319" t="s">
        <v>190</v>
      </c>
      <c r="GC384" s="319" t="s">
        <v>190</v>
      </c>
      <c r="GD384" s="319" t="s">
        <v>190</v>
      </c>
      <c r="GE384" s="319" t="s">
        <v>190</v>
      </c>
      <c r="GF384" s="319" t="s">
        <v>190</v>
      </c>
      <c r="GG384" s="319" t="s">
        <v>190</v>
      </c>
      <c r="GH384" s="319" t="s">
        <v>190</v>
      </c>
      <c r="GI384" s="319" t="s">
        <v>190</v>
      </c>
      <c r="GJ384" s="319" t="s">
        <v>190</v>
      </c>
      <c r="GK384" s="319" t="s">
        <v>428</v>
      </c>
      <c r="GL384" s="319" t="s">
        <v>190</v>
      </c>
      <c r="GM384" s="319" t="s">
        <v>190</v>
      </c>
      <c r="GN384" s="319" t="s">
        <v>190</v>
      </c>
      <c r="GO384" s="319" t="s">
        <v>190</v>
      </c>
      <c r="GP384" s="319" t="s">
        <v>190</v>
      </c>
      <c r="GQ384" s="319" t="s">
        <v>428</v>
      </c>
      <c r="GR384" s="319" t="s">
        <v>190</v>
      </c>
      <c r="GS384" s="319" t="s">
        <v>190</v>
      </c>
      <c r="GT384" s="319" t="s">
        <v>190</v>
      </c>
      <c r="GU384" s="319" t="s">
        <v>190</v>
      </c>
      <c r="GV384" s="319" t="s">
        <v>190</v>
      </c>
      <c r="GW384" s="319" t="s">
        <v>190</v>
      </c>
      <c r="GX384" s="319" t="s">
        <v>190</v>
      </c>
      <c r="GY384" s="319" t="s">
        <v>190</v>
      </c>
      <c r="GZ384" s="319" t="s">
        <v>428</v>
      </c>
      <c r="HA384" s="319" t="s">
        <v>190</v>
      </c>
      <c r="HB384" s="319" t="s">
        <v>190</v>
      </c>
      <c r="HC384" s="319" t="s">
        <v>190</v>
      </c>
      <c r="HD384" s="319" t="s">
        <v>190</v>
      </c>
      <c r="HE384" s="319" t="s">
        <v>190</v>
      </c>
      <c r="HF384" s="319" t="s">
        <v>190</v>
      </c>
      <c r="HG384" s="319" t="s">
        <v>190</v>
      </c>
      <c r="HH384" s="319" t="s">
        <v>190</v>
      </c>
      <c r="HI384" s="319" t="s">
        <v>190</v>
      </c>
      <c r="HJ384" s="319" t="s">
        <v>190</v>
      </c>
      <c r="HK384" s="319" t="s">
        <v>190</v>
      </c>
      <c r="HL384" s="319" t="s">
        <v>428</v>
      </c>
      <c r="HM384" s="319" t="s">
        <v>428</v>
      </c>
      <c r="HN384" s="319" t="s">
        <v>428</v>
      </c>
      <c r="HO384" s="319" t="s">
        <v>428</v>
      </c>
      <c r="HP384" s="319" t="s">
        <v>190</v>
      </c>
      <c r="HQ384" s="319" t="s">
        <v>190</v>
      </c>
      <c r="HR384" s="319" t="s">
        <v>190</v>
      </c>
      <c r="HS384" s="319" t="s">
        <v>190</v>
      </c>
      <c r="HT384" s="319" t="s">
        <v>190</v>
      </c>
      <c r="HU384" s="319" t="s">
        <v>190</v>
      </c>
      <c r="HV384" s="319" t="s">
        <v>190</v>
      </c>
      <c r="HW384" s="319" t="s">
        <v>190</v>
      </c>
      <c r="HX384" s="319" t="s">
        <v>190</v>
      </c>
      <c r="HY384" s="319" t="s">
        <v>190</v>
      </c>
      <c r="HZ384" s="319" t="s">
        <v>190</v>
      </c>
      <c r="IA384" s="319" t="s">
        <v>190</v>
      </c>
      <c r="IB384" s="319" t="s">
        <v>190</v>
      </c>
      <c r="IC384" s="319" t="s">
        <v>190</v>
      </c>
      <c r="ID384" s="319" t="s">
        <v>190</v>
      </c>
      <c r="IE384" s="319" t="s">
        <v>190</v>
      </c>
      <c r="IF384" s="319" t="s">
        <v>190</v>
      </c>
      <c r="IG384" s="319" t="s">
        <v>190</v>
      </c>
      <c r="IH384" s="319" t="s">
        <v>190</v>
      </c>
      <c r="II384" s="319" t="s">
        <v>190</v>
      </c>
      <c r="IJ384" s="319">
        <v>10020768</v>
      </c>
      <c r="IK384" s="321">
        <v>42913</v>
      </c>
      <c r="IL384" s="321">
        <v>42915</v>
      </c>
      <c r="IM384" s="321">
        <v>43052</v>
      </c>
      <c r="IN384" s="319">
        <v>4</v>
      </c>
      <c r="IO384" s="319" t="s">
        <v>173</v>
      </c>
      <c r="IP384" s="319" t="s">
        <v>173</v>
      </c>
      <c r="IQ384" s="321" t="s">
        <v>173</v>
      </c>
      <c r="IR384" s="320" t="s">
        <v>173</v>
      </c>
      <c r="IS384" s="322" t="s">
        <v>173</v>
      </c>
      <c r="IT384" s="319" t="s">
        <v>173</v>
      </c>
    </row>
    <row r="385" spans="1:254" s="271" customFormat="1" x14ac:dyDescent="0.25">
      <c r="A385" s="318" t="str">
        <f>HYPERLINK("http://www.ofsted.gov.uk/inspection-reports/find-inspection-report/provider/ELS/132788 ","Ofsted School Webpage")</f>
        <v>Ofsted School Webpage</v>
      </c>
      <c r="B385" s="319">
        <v>132788</v>
      </c>
      <c r="C385" s="319">
        <v>2076399</v>
      </c>
      <c r="D385" s="319" t="s">
        <v>1740</v>
      </c>
      <c r="E385" s="319" t="s">
        <v>167</v>
      </c>
      <c r="F385" s="319" t="s">
        <v>81</v>
      </c>
      <c r="G385" s="319" t="s">
        <v>81</v>
      </c>
      <c r="H385" s="319" t="s">
        <v>81</v>
      </c>
      <c r="I385" s="319" t="s">
        <v>78</v>
      </c>
      <c r="J385" s="319" t="s">
        <v>424</v>
      </c>
      <c r="K385" s="319" t="s">
        <v>441</v>
      </c>
      <c r="L385" s="319" t="s">
        <v>441</v>
      </c>
      <c r="M385" s="319" t="s">
        <v>567</v>
      </c>
      <c r="N385" s="319" t="s">
        <v>2790</v>
      </c>
      <c r="O385" s="319" t="s">
        <v>1741</v>
      </c>
      <c r="P385" s="319">
        <v>107</v>
      </c>
      <c r="Q385" s="319" t="s">
        <v>2766</v>
      </c>
      <c r="R385" s="320">
        <v>10026288</v>
      </c>
      <c r="S385" s="321">
        <v>43039</v>
      </c>
      <c r="T385" s="321">
        <v>43041</v>
      </c>
      <c r="U385" s="321">
        <v>43067</v>
      </c>
      <c r="V385" s="319" t="s">
        <v>425</v>
      </c>
      <c r="W385" s="319" t="s">
        <v>2767</v>
      </c>
      <c r="X385" s="319">
        <v>2</v>
      </c>
      <c r="Y385" s="319" t="s">
        <v>173</v>
      </c>
      <c r="Z385" s="319" t="s">
        <v>173</v>
      </c>
      <c r="AA385" s="319" t="s">
        <v>173</v>
      </c>
      <c r="AB385" s="319">
        <v>2</v>
      </c>
      <c r="AC385" s="319" t="s">
        <v>169</v>
      </c>
      <c r="AD385" s="319" t="s">
        <v>173</v>
      </c>
      <c r="AE385" s="319" t="s">
        <v>173</v>
      </c>
      <c r="AF385" s="319" t="s">
        <v>427</v>
      </c>
      <c r="AG385" s="319" t="s">
        <v>171</v>
      </c>
      <c r="AH385" s="319" t="s">
        <v>190</v>
      </c>
      <c r="AI385" s="319" t="s">
        <v>190</v>
      </c>
      <c r="AJ385" s="319" t="s">
        <v>190</v>
      </c>
      <c r="AK385" s="319" t="s">
        <v>190</v>
      </c>
      <c r="AL385" s="319" t="s">
        <v>190</v>
      </c>
      <c r="AM385" s="319" t="s">
        <v>190</v>
      </c>
      <c r="AN385" s="319" t="s">
        <v>190</v>
      </c>
      <c r="AO385" s="319" t="s">
        <v>190</v>
      </c>
      <c r="AP385" s="319" t="s">
        <v>190</v>
      </c>
      <c r="AQ385" s="319" t="s">
        <v>190</v>
      </c>
      <c r="AR385" s="319" t="s">
        <v>190</v>
      </c>
      <c r="AS385" s="319" t="s">
        <v>190</v>
      </c>
      <c r="AT385" s="319" t="s">
        <v>190</v>
      </c>
      <c r="AU385" s="319" t="s">
        <v>190</v>
      </c>
      <c r="AV385" s="319" t="s">
        <v>190</v>
      </c>
      <c r="AW385" s="319" t="s">
        <v>190</v>
      </c>
      <c r="AX385" s="319" t="s">
        <v>428</v>
      </c>
      <c r="AY385" s="319" t="s">
        <v>190</v>
      </c>
      <c r="AZ385" s="319" t="s">
        <v>190</v>
      </c>
      <c r="BA385" s="319" t="s">
        <v>190</v>
      </c>
      <c r="BB385" s="319" t="s">
        <v>190</v>
      </c>
      <c r="BC385" s="319" t="s">
        <v>190</v>
      </c>
      <c r="BD385" s="319" t="s">
        <v>190</v>
      </c>
      <c r="BE385" s="319" t="s">
        <v>190</v>
      </c>
      <c r="BF385" s="319" t="s">
        <v>190</v>
      </c>
      <c r="BG385" s="319" t="s">
        <v>428</v>
      </c>
      <c r="BH385" s="319" t="s">
        <v>190</v>
      </c>
      <c r="BI385" s="319" t="s">
        <v>190</v>
      </c>
      <c r="BJ385" s="319" t="s">
        <v>190</v>
      </c>
      <c r="BK385" s="319" t="s">
        <v>190</v>
      </c>
      <c r="BL385" s="319" t="s">
        <v>190</v>
      </c>
      <c r="BM385" s="319" t="s">
        <v>190</v>
      </c>
      <c r="BN385" s="319" t="s">
        <v>190</v>
      </c>
      <c r="BO385" s="319" t="s">
        <v>190</v>
      </c>
      <c r="BP385" s="319" t="s">
        <v>190</v>
      </c>
      <c r="BQ385" s="319" t="s">
        <v>190</v>
      </c>
      <c r="BR385" s="319" t="s">
        <v>190</v>
      </c>
      <c r="BS385" s="319" t="s">
        <v>190</v>
      </c>
      <c r="BT385" s="319" t="s">
        <v>190</v>
      </c>
      <c r="BU385" s="319" t="s">
        <v>190</v>
      </c>
      <c r="BV385" s="319" t="s">
        <v>190</v>
      </c>
      <c r="BW385" s="319" t="s">
        <v>190</v>
      </c>
      <c r="BX385" s="319" t="s">
        <v>190</v>
      </c>
      <c r="BY385" s="319" t="s">
        <v>190</v>
      </c>
      <c r="BZ385" s="319" t="s">
        <v>190</v>
      </c>
      <c r="CA385" s="319" t="s">
        <v>190</v>
      </c>
      <c r="CB385" s="319" t="s">
        <v>190</v>
      </c>
      <c r="CC385" s="319" t="s">
        <v>190</v>
      </c>
      <c r="CD385" s="319" t="s">
        <v>190</v>
      </c>
      <c r="CE385" s="319" t="s">
        <v>190</v>
      </c>
      <c r="CF385" s="319" t="s">
        <v>190</v>
      </c>
      <c r="CG385" s="319" t="s">
        <v>190</v>
      </c>
      <c r="CH385" s="319" t="s">
        <v>190</v>
      </c>
      <c r="CI385" s="319" t="s">
        <v>190</v>
      </c>
      <c r="CJ385" s="319" t="s">
        <v>190</v>
      </c>
      <c r="CK385" s="319" t="s">
        <v>190</v>
      </c>
      <c r="CL385" s="319" t="s">
        <v>190</v>
      </c>
      <c r="CM385" s="319" t="s">
        <v>190</v>
      </c>
      <c r="CN385" s="319" t="s">
        <v>190</v>
      </c>
      <c r="CO385" s="319" t="s">
        <v>428</v>
      </c>
      <c r="CP385" s="319" t="s">
        <v>428</v>
      </c>
      <c r="CQ385" s="319" t="s">
        <v>190</v>
      </c>
      <c r="CR385" s="319" t="s">
        <v>190</v>
      </c>
      <c r="CS385" s="319" t="s">
        <v>190</v>
      </c>
      <c r="CT385" s="319" t="s">
        <v>190</v>
      </c>
      <c r="CU385" s="319" t="s">
        <v>190</v>
      </c>
      <c r="CV385" s="319" t="s">
        <v>190</v>
      </c>
      <c r="CW385" s="319" t="s">
        <v>190</v>
      </c>
      <c r="CX385" s="319" t="s">
        <v>190</v>
      </c>
      <c r="CY385" s="319" t="s">
        <v>190</v>
      </c>
      <c r="CZ385" s="319" t="s">
        <v>190</v>
      </c>
      <c r="DA385" s="319" t="s">
        <v>190</v>
      </c>
      <c r="DB385" s="319" t="s">
        <v>190</v>
      </c>
      <c r="DC385" s="319" t="s">
        <v>190</v>
      </c>
      <c r="DD385" s="319" t="s">
        <v>190</v>
      </c>
      <c r="DE385" s="319" t="s">
        <v>190</v>
      </c>
      <c r="DF385" s="319" t="s">
        <v>190</v>
      </c>
      <c r="DG385" s="319" t="s">
        <v>190</v>
      </c>
      <c r="DH385" s="319" t="s">
        <v>190</v>
      </c>
      <c r="DI385" s="319" t="s">
        <v>190</v>
      </c>
      <c r="DJ385" s="319" t="s">
        <v>190</v>
      </c>
      <c r="DK385" s="319" t="s">
        <v>190</v>
      </c>
      <c r="DL385" s="319" t="s">
        <v>190</v>
      </c>
      <c r="DM385" s="319" t="s">
        <v>190</v>
      </c>
      <c r="DN385" s="319" t="s">
        <v>428</v>
      </c>
      <c r="DO385" s="319" t="s">
        <v>190</v>
      </c>
      <c r="DP385" s="319" t="s">
        <v>190</v>
      </c>
      <c r="DQ385" s="319" t="s">
        <v>190</v>
      </c>
      <c r="DR385" s="319" t="s">
        <v>190</v>
      </c>
      <c r="DS385" s="319" t="s">
        <v>190</v>
      </c>
      <c r="DT385" s="319" t="s">
        <v>190</v>
      </c>
      <c r="DU385" s="319" t="s">
        <v>190</v>
      </c>
      <c r="DV385" s="319" t="s">
        <v>173</v>
      </c>
      <c r="DW385" s="319" t="s">
        <v>190</v>
      </c>
      <c r="DX385" s="319" t="s">
        <v>190</v>
      </c>
      <c r="DY385" s="319" t="s">
        <v>190</v>
      </c>
      <c r="DZ385" s="319" t="s">
        <v>190</v>
      </c>
      <c r="EA385" s="319" t="s">
        <v>190</v>
      </c>
      <c r="EB385" s="319" t="s">
        <v>190</v>
      </c>
      <c r="EC385" s="319" t="s">
        <v>428</v>
      </c>
      <c r="ED385" s="319" t="s">
        <v>190</v>
      </c>
      <c r="EE385" s="319" t="s">
        <v>190</v>
      </c>
      <c r="EF385" s="319" t="s">
        <v>190</v>
      </c>
      <c r="EG385" s="319" t="s">
        <v>190</v>
      </c>
      <c r="EH385" s="319" t="s">
        <v>190</v>
      </c>
      <c r="EI385" s="319" t="s">
        <v>190</v>
      </c>
      <c r="EJ385" s="319" t="s">
        <v>190</v>
      </c>
      <c r="EK385" s="319" t="s">
        <v>190</v>
      </c>
      <c r="EL385" s="319" t="s">
        <v>190</v>
      </c>
      <c r="EM385" s="319" t="s">
        <v>190</v>
      </c>
      <c r="EN385" s="319" t="s">
        <v>190</v>
      </c>
      <c r="EO385" s="319" t="s">
        <v>190</v>
      </c>
      <c r="EP385" s="319" t="s">
        <v>190</v>
      </c>
      <c r="EQ385" s="319" t="s">
        <v>190</v>
      </c>
      <c r="ER385" s="319" t="s">
        <v>190</v>
      </c>
      <c r="ES385" s="319" t="s">
        <v>190</v>
      </c>
      <c r="ET385" s="319" t="s">
        <v>190</v>
      </c>
      <c r="EU385" s="319" t="s">
        <v>190</v>
      </c>
      <c r="EV385" s="319" t="s">
        <v>190</v>
      </c>
      <c r="EW385" s="319" t="s">
        <v>190</v>
      </c>
      <c r="EX385" s="319" t="s">
        <v>190</v>
      </c>
      <c r="EY385" s="319" t="s">
        <v>190</v>
      </c>
      <c r="EZ385" s="319" t="s">
        <v>190</v>
      </c>
      <c r="FA385" s="319" t="s">
        <v>190</v>
      </c>
      <c r="FB385" s="319" t="s">
        <v>190</v>
      </c>
      <c r="FC385" s="319" t="s">
        <v>190</v>
      </c>
      <c r="FD385" s="319" t="s">
        <v>190</v>
      </c>
      <c r="FE385" s="319" t="s">
        <v>190</v>
      </c>
      <c r="FF385" s="319" t="s">
        <v>190</v>
      </c>
      <c r="FG385" s="319" t="s">
        <v>190</v>
      </c>
      <c r="FH385" s="319" t="s">
        <v>190</v>
      </c>
      <c r="FI385" s="319" t="s">
        <v>190</v>
      </c>
      <c r="FJ385" s="319" t="s">
        <v>190</v>
      </c>
      <c r="FK385" s="319" t="s">
        <v>190</v>
      </c>
      <c r="FL385" s="319" t="s">
        <v>190</v>
      </c>
      <c r="FM385" s="319" t="s">
        <v>190</v>
      </c>
      <c r="FN385" s="319" t="s">
        <v>190</v>
      </c>
      <c r="FO385" s="319" t="s">
        <v>190</v>
      </c>
      <c r="FP385" s="319" t="s">
        <v>190</v>
      </c>
      <c r="FQ385" s="319" t="s">
        <v>190</v>
      </c>
      <c r="FR385" s="319" t="s">
        <v>190</v>
      </c>
      <c r="FS385" s="319" t="s">
        <v>190</v>
      </c>
      <c r="FT385" s="319" t="s">
        <v>190</v>
      </c>
      <c r="FU385" s="319" t="s">
        <v>190</v>
      </c>
      <c r="FV385" s="319" t="s">
        <v>190</v>
      </c>
      <c r="FW385" s="319" t="s">
        <v>190</v>
      </c>
      <c r="FX385" s="319" t="s">
        <v>190</v>
      </c>
      <c r="FY385" s="319" t="s">
        <v>190</v>
      </c>
      <c r="FZ385" s="319" t="s">
        <v>190</v>
      </c>
      <c r="GA385" s="319" t="s">
        <v>190</v>
      </c>
      <c r="GB385" s="319" t="s">
        <v>190</v>
      </c>
      <c r="GC385" s="319" t="s">
        <v>190</v>
      </c>
      <c r="GD385" s="319" t="s">
        <v>190</v>
      </c>
      <c r="GE385" s="319" t="s">
        <v>190</v>
      </c>
      <c r="GF385" s="319" t="s">
        <v>190</v>
      </c>
      <c r="GG385" s="319" t="s">
        <v>190</v>
      </c>
      <c r="GH385" s="319" t="s">
        <v>190</v>
      </c>
      <c r="GI385" s="319" t="s">
        <v>190</v>
      </c>
      <c r="GJ385" s="319" t="s">
        <v>190</v>
      </c>
      <c r="GK385" s="319" t="s">
        <v>428</v>
      </c>
      <c r="GL385" s="319" t="s">
        <v>190</v>
      </c>
      <c r="GM385" s="319" t="s">
        <v>190</v>
      </c>
      <c r="GN385" s="319" t="s">
        <v>190</v>
      </c>
      <c r="GO385" s="319" t="s">
        <v>190</v>
      </c>
      <c r="GP385" s="319" t="s">
        <v>190</v>
      </c>
      <c r="GQ385" s="319" t="s">
        <v>190</v>
      </c>
      <c r="GR385" s="319" t="s">
        <v>190</v>
      </c>
      <c r="GS385" s="319" t="s">
        <v>190</v>
      </c>
      <c r="GT385" s="319" t="s">
        <v>190</v>
      </c>
      <c r="GU385" s="319" t="s">
        <v>190</v>
      </c>
      <c r="GV385" s="319" t="s">
        <v>190</v>
      </c>
      <c r="GW385" s="319" t="s">
        <v>190</v>
      </c>
      <c r="GX385" s="319" t="s">
        <v>190</v>
      </c>
      <c r="GY385" s="319" t="s">
        <v>190</v>
      </c>
      <c r="GZ385" s="319" t="s">
        <v>190</v>
      </c>
      <c r="HA385" s="319" t="s">
        <v>428</v>
      </c>
      <c r="HB385" s="319" t="s">
        <v>428</v>
      </c>
      <c r="HC385" s="319" t="s">
        <v>190</v>
      </c>
      <c r="HD385" s="319" t="s">
        <v>190</v>
      </c>
      <c r="HE385" s="319" t="s">
        <v>190</v>
      </c>
      <c r="HF385" s="319" t="s">
        <v>190</v>
      </c>
      <c r="HG385" s="319" t="s">
        <v>190</v>
      </c>
      <c r="HH385" s="319" t="s">
        <v>190</v>
      </c>
      <c r="HI385" s="319" t="s">
        <v>190</v>
      </c>
      <c r="HJ385" s="319" t="s">
        <v>190</v>
      </c>
      <c r="HK385" s="319" t="s">
        <v>190</v>
      </c>
      <c r="HL385" s="319" t="s">
        <v>190</v>
      </c>
      <c r="HM385" s="319" t="s">
        <v>190</v>
      </c>
      <c r="HN385" s="319" t="s">
        <v>190</v>
      </c>
      <c r="HO385" s="319" t="s">
        <v>190</v>
      </c>
      <c r="HP385" s="319" t="s">
        <v>190</v>
      </c>
      <c r="HQ385" s="319" t="s">
        <v>190</v>
      </c>
      <c r="HR385" s="319" t="s">
        <v>190</v>
      </c>
      <c r="HS385" s="319" t="s">
        <v>190</v>
      </c>
      <c r="HT385" s="319" t="s">
        <v>190</v>
      </c>
      <c r="HU385" s="319" t="s">
        <v>190</v>
      </c>
      <c r="HV385" s="319" t="s">
        <v>190</v>
      </c>
      <c r="HW385" s="319" t="s">
        <v>190</v>
      </c>
      <c r="HX385" s="319" t="s">
        <v>190</v>
      </c>
      <c r="HY385" s="319" t="s">
        <v>190</v>
      </c>
      <c r="HZ385" s="319" t="s">
        <v>190</v>
      </c>
      <c r="IA385" s="319" t="s">
        <v>190</v>
      </c>
      <c r="IB385" s="319" t="s">
        <v>190</v>
      </c>
      <c r="IC385" s="319" t="s">
        <v>190</v>
      </c>
      <c r="ID385" s="319" t="s">
        <v>190</v>
      </c>
      <c r="IE385" s="319" t="s">
        <v>190</v>
      </c>
      <c r="IF385" s="319" t="s">
        <v>190</v>
      </c>
      <c r="IG385" s="319" t="s">
        <v>190</v>
      </c>
      <c r="IH385" s="319" t="s">
        <v>190</v>
      </c>
      <c r="II385" s="319" t="s">
        <v>190</v>
      </c>
      <c r="IJ385" s="319" t="s">
        <v>3161</v>
      </c>
      <c r="IK385" s="321">
        <v>40618</v>
      </c>
      <c r="IL385" s="321">
        <v>40619</v>
      </c>
      <c r="IM385" s="321">
        <v>40665</v>
      </c>
      <c r="IN385" s="319">
        <v>2</v>
      </c>
      <c r="IO385" s="319" t="s">
        <v>173</v>
      </c>
      <c r="IP385" s="319" t="s">
        <v>173</v>
      </c>
      <c r="IQ385" s="321" t="s">
        <v>173</v>
      </c>
      <c r="IR385" s="320" t="s">
        <v>173</v>
      </c>
      <c r="IS385" s="322" t="s">
        <v>173</v>
      </c>
      <c r="IT385" s="319" t="s">
        <v>173</v>
      </c>
    </row>
    <row r="386" spans="1:254" s="271" customFormat="1" x14ac:dyDescent="0.25">
      <c r="A386" s="318" t="str">
        <f>HYPERLINK("http://www.ofsted.gov.uk/inspection-reports/find-inspection-report/provider/ELS/132797 ","Ofsted School Webpage")</f>
        <v>Ofsted School Webpage</v>
      </c>
      <c r="B386" s="319">
        <v>132797</v>
      </c>
      <c r="C386" s="319">
        <v>2116390</v>
      </c>
      <c r="D386" s="319" t="s">
        <v>1742</v>
      </c>
      <c r="E386" s="319" t="s">
        <v>167</v>
      </c>
      <c r="F386" s="319" t="s">
        <v>81</v>
      </c>
      <c r="G386" s="319" t="s">
        <v>72</v>
      </c>
      <c r="H386" s="319" t="s">
        <v>72</v>
      </c>
      <c r="I386" s="319" t="s">
        <v>72</v>
      </c>
      <c r="J386" s="319" t="s">
        <v>424</v>
      </c>
      <c r="K386" s="319" t="s">
        <v>441</v>
      </c>
      <c r="L386" s="319" t="s">
        <v>441</v>
      </c>
      <c r="M386" s="319" t="s">
        <v>757</v>
      </c>
      <c r="N386" s="319" t="s">
        <v>2801</v>
      </c>
      <c r="O386" s="319" t="s">
        <v>1743</v>
      </c>
      <c r="P386" s="319">
        <v>134</v>
      </c>
      <c r="Q386" s="319" t="s">
        <v>2766</v>
      </c>
      <c r="R386" s="320">
        <v>10035795</v>
      </c>
      <c r="S386" s="321">
        <v>43166</v>
      </c>
      <c r="T386" s="321">
        <v>43168</v>
      </c>
      <c r="U386" s="321">
        <v>43224</v>
      </c>
      <c r="V386" s="319" t="s">
        <v>425</v>
      </c>
      <c r="W386" s="319" t="s">
        <v>2767</v>
      </c>
      <c r="X386" s="319">
        <v>2</v>
      </c>
      <c r="Y386" s="319" t="s">
        <v>173</v>
      </c>
      <c r="Z386" s="319" t="s">
        <v>173</v>
      </c>
      <c r="AA386" s="319" t="s">
        <v>173</v>
      </c>
      <c r="AB386" s="319">
        <v>2</v>
      </c>
      <c r="AC386" s="319" t="s">
        <v>169</v>
      </c>
      <c r="AD386" s="319" t="s">
        <v>173</v>
      </c>
      <c r="AE386" s="319" t="s">
        <v>173</v>
      </c>
      <c r="AF386" s="319" t="s">
        <v>427</v>
      </c>
      <c r="AG386" s="319" t="s">
        <v>171</v>
      </c>
      <c r="AH386" s="319" t="s">
        <v>190</v>
      </c>
      <c r="AI386" s="319" t="s">
        <v>190</v>
      </c>
      <c r="AJ386" s="319" t="s">
        <v>190</v>
      </c>
      <c r="AK386" s="319" t="s">
        <v>190</v>
      </c>
      <c r="AL386" s="319" t="s">
        <v>190</v>
      </c>
      <c r="AM386" s="319" t="s">
        <v>190</v>
      </c>
      <c r="AN386" s="319" t="s">
        <v>190</v>
      </c>
      <c r="AO386" s="319" t="s">
        <v>190</v>
      </c>
      <c r="AP386" s="319" t="s">
        <v>190</v>
      </c>
      <c r="AQ386" s="319" t="s">
        <v>190</v>
      </c>
      <c r="AR386" s="319" t="s">
        <v>190</v>
      </c>
      <c r="AS386" s="319" t="s">
        <v>190</v>
      </c>
      <c r="AT386" s="319" t="s">
        <v>190</v>
      </c>
      <c r="AU386" s="319" t="s">
        <v>190</v>
      </c>
      <c r="AV386" s="319" t="s">
        <v>190</v>
      </c>
      <c r="AW386" s="319" t="s">
        <v>190</v>
      </c>
      <c r="AX386" s="319" t="s">
        <v>190</v>
      </c>
      <c r="AY386" s="319" t="s">
        <v>190</v>
      </c>
      <c r="AZ386" s="319" t="s">
        <v>190</v>
      </c>
      <c r="BA386" s="319" t="s">
        <v>190</v>
      </c>
      <c r="BB386" s="319" t="s">
        <v>190</v>
      </c>
      <c r="BC386" s="319" t="s">
        <v>190</v>
      </c>
      <c r="BD386" s="319" t="s">
        <v>190</v>
      </c>
      <c r="BE386" s="319" t="s">
        <v>190</v>
      </c>
      <c r="BF386" s="319" t="s">
        <v>428</v>
      </c>
      <c r="BG386" s="319" t="s">
        <v>428</v>
      </c>
      <c r="BH386" s="319" t="s">
        <v>190</v>
      </c>
      <c r="BI386" s="319" t="s">
        <v>190</v>
      </c>
      <c r="BJ386" s="319" t="s">
        <v>190</v>
      </c>
      <c r="BK386" s="319" t="s">
        <v>190</v>
      </c>
      <c r="BL386" s="319" t="s">
        <v>190</v>
      </c>
      <c r="BM386" s="319" t="s">
        <v>190</v>
      </c>
      <c r="BN386" s="319" t="s">
        <v>190</v>
      </c>
      <c r="BO386" s="319" t="s">
        <v>190</v>
      </c>
      <c r="BP386" s="319" t="s">
        <v>190</v>
      </c>
      <c r="BQ386" s="319" t="s">
        <v>190</v>
      </c>
      <c r="BR386" s="319" t="s">
        <v>190</v>
      </c>
      <c r="BS386" s="319" t="s">
        <v>190</v>
      </c>
      <c r="BT386" s="319" t="s">
        <v>190</v>
      </c>
      <c r="BU386" s="319" t="s">
        <v>190</v>
      </c>
      <c r="BV386" s="319" t="s">
        <v>190</v>
      </c>
      <c r="BW386" s="319" t="s">
        <v>190</v>
      </c>
      <c r="BX386" s="319" t="s">
        <v>190</v>
      </c>
      <c r="BY386" s="319" t="s">
        <v>190</v>
      </c>
      <c r="BZ386" s="319" t="s">
        <v>190</v>
      </c>
      <c r="CA386" s="319" t="s">
        <v>190</v>
      </c>
      <c r="CB386" s="319" t="s">
        <v>190</v>
      </c>
      <c r="CC386" s="319" t="s">
        <v>190</v>
      </c>
      <c r="CD386" s="319" t="s">
        <v>190</v>
      </c>
      <c r="CE386" s="319" t="s">
        <v>190</v>
      </c>
      <c r="CF386" s="319" t="s">
        <v>190</v>
      </c>
      <c r="CG386" s="319" t="s">
        <v>190</v>
      </c>
      <c r="CH386" s="319" t="s">
        <v>190</v>
      </c>
      <c r="CI386" s="319" t="s">
        <v>190</v>
      </c>
      <c r="CJ386" s="319" t="s">
        <v>190</v>
      </c>
      <c r="CK386" s="319" t="s">
        <v>190</v>
      </c>
      <c r="CL386" s="319" t="s">
        <v>190</v>
      </c>
      <c r="CM386" s="319" t="s">
        <v>190</v>
      </c>
      <c r="CN386" s="319" t="s">
        <v>190</v>
      </c>
      <c r="CO386" s="319" t="s">
        <v>190</v>
      </c>
      <c r="CP386" s="319" t="s">
        <v>428</v>
      </c>
      <c r="CQ386" s="319" t="s">
        <v>190</v>
      </c>
      <c r="CR386" s="319" t="s">
        <v>190</v>
      </c>
      <c r="CS386" s="319" t="s">
        <v>190</v>
      </c>
      <c r="CT386" s="319" t="s">
        <v>190</v>
      </c>
      <c r="CU386" s="319" t="s">
        <v>190</v>
      </c>
      <c r="CV386" s="319" t="s">
        <v>190</v>
      </c>
      <c r="CW386" s="319" t="s">
        <v>190</v>
      </c>
      <c r="CX386" s="319" t="s">
        <v>190</v>
      </c>
      <c r="CY386" s="319" t="s">
        <v>190</v>
      </c>
      <c r="CZ386" s="319" t="s">
        <v>190</v>
      </c>
      <c r="DA386" s="319" t="s">
        <v>190</v>
      </c>
      <c r="DB386" s="319" t="s">
        <v>190</v>
      </c>
      <c r="DC386" s="319" t="s">
        <v>190</v>
      </c>
      <c r="DD386" s="319" t="s">
        <v>190</v>
      </c>
      <c r="DE386" s="319" t="s">
        <v>190</v>
      </c>
      <c r="DF386" s="319" t="s">
        <v>190</v>
      </c>
      <c r="DG386" s="319" t="s">
        <v>190</v>
      </c>
      <c r="DH386" s="319" t="s">
        <v>190</v>
      </c>
      <c r="DI386" s="319" t="s">
        <v>190</v>
      </c>
      <c r="DJ386" s="319" t="s">
        <v>190</v>
      </c>
      <c r="DK386" s="319" t="s">
        <v>190</v>
      </c>
      <c r="DL386" s="319" t="s">
        <v>190</v>
      </c>
      <c r="DM386" s="319" t="s">
        <v>190</v>
      </c>
      <c r="DN386" s="319" t="s">
        <v>428</v>
      </c>
      <c r="DO386" s="319" t="s">
        <v>190</v>
      </c>
      <c r="DP386" s="319" t="s">
        <v>190</v>
      </c>
      <c r="DQ386" s="319" t="s">
        <v>190</v>
      </c>
      <c r="DR386" s="319" t="s">
        <v>190</v>
      </c>
      <c r="DS386" s="319" t="s">
        <v>190</v>
      </c>
      <c r="DT386" s="319" t="s">
        <v>190</v>
      </c>
      <c r="DU386" s="319" t="s">
        <v>190</v>
      </c>
      <c r="DV386" s="319" t="s">
        <v>173</v>
      </c>
      <c r="DW386" s="319" t="s">
        <v>190</v>
      </c>
      <c r="DX386" s="319" t="s">
        <v>190</v>
      </c>
      <c r="DY386" s="319" t="s">
        <v>190</v>
      </c>
      <c r="DZ386" s="319" t="s">
        <v>190</v>
      </c>
      <c r="EA386" s="319" t="s">
        <v>190</v>
      </c>
      <c r="EB386" s="319" t="s">
        <v>190</v>
      </c>
      <c r="EC386" s="319" t="s">
        <v>428</v>
      </c>
      <c r="ED386" s="319" t="s">
        <v>190</v>
      </c>
      <c r="EE386" s="319" t="s">
        <v>190</v>
      </c>
      <c r="EF386" s="319" t="s">
        <v>190</v>
      </c>
      <c r="EG386" s="319" t="s">
        <v>190</v>
      </c>
      <c r="EH386" s="319" t="s">
        <v>190</v>
      </c>
      <c r="EI386" s="319" t="s">
        <v>190</v>
      </c>
      <c r="EJ386" s="319" t="s">
        <v>190</v>
      </c>
      <c r="EK386" s="319" t="s">
        <v>190</v>
      </c>
      <c r="EL386" s="319" t="s">
        <v>190</v>
      </c>
      <c r="EM386" s="319" t="s">
        <v>190</v>
      </c>
      <c r="EN386" s="319" t="s">
        <v>190</v>
      </c>
      <c r="EO386" s="319" t="s">
        <v>190</v>
      </c>
      <c r="EP386" s="319" t="s">
        <v>190</v>
      </c>
      <c r="EQ386" s="319" t="s">
        <v>190</v>
      </c>
      <c r="ER386" s="319" t="s">
        <v>190</v>
      </c>
      <c r="ES386" s="319" t="s">
        <v>190</v>
      </c>
      <c r="ET386" s="319" t="s">
        <v>190</v>
      </c>
      <c r="EU386" s="319" t="s">
        <v>190</v>
      </c>
      <c r="EV386" s="319" t="s">
        <v>190</v>
      </c>
      <c r="EW386" s="319" t="s">
        <v>190</v>
      </c>
      <c r="EX386" s="319" t="s">
        <v>190</v>
      </c>
      <c r="EY386" s="319" t="s">
        <v>190</v>
      </c>
      <c r="EZ386" s="319" t="s">
        <v>190</v>
      </c>
      <c r="FA386" s="319" t="s">
        <v>190</v>
      </c>
      <c r="FB386" s="319" t="s">
        <v>190</v>
      </c>
      <c r="FC386" s="319" t="s">
        <v>190</v>
      </c>
      <c r="FD386" s="319" t="s">
        <v>190</v>
      </c>
      <c r="FE386" s="319" t="s">
        <v>190</v>
      </c>
      <c r="FF386" s="319" t="s">
        <v>190</v>
      </c>
      <c r="FG386" s="319" t="s">
        <v>190</v>
      </c>
      <c r="FH386" s="319" t="s">
        <v>190</v>
      </c>
      <c r="FI386" s="319" t="s">
        <v>190</v>
      </c>
      <c r="FJ386" s="319" t="s">
        <v>190</v>
      </c>
      <c r="FK386" s="319" t="s">
        <v>190</v>
      </c>
      <c r="FL386" s="319" t="s">
        <v>190</v>
      </c>
      <c r="FM386" s="319" t="s">
        <v>190</v>
      </c>
      <c r="FN386" s="319" t="s">
        <v>190</v>
      </c>
      <c r="FO386" s="319" t="s">
        <v>190</v>
      </c>
      <c r="FP386" s="319" t="s">
        <v>190</v>
      </c>
      <c r="FQ386" s="319" t="s">
        <v>190</v>
      </c>
      <c r="FR386" s="319" t="s">
        <v>190</v>
      </c>
      <c r="FS386" s="319" t="s">
        <v>190</v>
      </c>
      <c r="FT386" s="319" t="s">
        <v>190</v>
      </c>
      <c r="FU386" s="319" t="s">
        <v>190</v>
      </c>
      <c r="FV386" s="319" t="s">
        <v>190</v>
      </c>
      <c r="FW386" s="319" t="s">
        <v>190</v>
      </c>
      <c r="FX386" s="319" t="s">
        <v>190</v>
      </c>
      <c r="FY386" s="319" t="s">
        <v>190</v>
      </c>
      <c r="FZ386" s="319" t="s">
        <v>190</v>
      </c>
      <c r="GA386" s="319" t="s">
        <v>190</v>
      </c>
      <c r="GB386" s="319" t="s">
        <v>190</v>
      </c>
      <c r="GC386" s="319" t="s">
        <v>190</v>
      </c>
      <c r="GD386" s="319" t="s">
        <v>190</v>
      </c>
      <c r="GE386" s="319" t="s">
        <v>190</v>
      </c>
      <c r="GF386" s="319" t="s">
        <v>190</v>
      </c>
      <c r="GG386" s="319" t="s">
        <v>190</v>
      </c>
      <c r="GH386" s="319" t="s">
        <v>190</v>
      </c>
      <c r="GI386" s="319" t="s">
        <v>190</v>
      </c>
      <c r="GJ386" s="319" t="s">
        <v>190</v>
      </c>
      <c r="GK386" s="319" t="s">
        <v>428</v>
      </c>
      <c r="GL386" s="319" t="s">
        <v>190</v>
      </c>
      <c r="GM386" s="319" t="s">
        <v>190</v>
      </c>
      <c r="GN386" s="319" t="s">
        <v>190</v>
      </c>
      <c r="GO386" s="319" t="s">
        <v>190</v>
      </c>
      <c r="GP386" s="319" t="s">
        <v>190</v>
      </c>
      <c r="GQ386" s="319" t="s">
        <v>190</v>
      </c>
      <c r="GR386" s="319" t="s">
        <v>190</v>
      </c>
      <c r="GS386" s="319" t="s">
        <v>190</v>
      </c>
      <c r="GT386" s="319" t="s">
        <v>190</v>
      </c>
      <c r="GU386" s="319" t="s">
        <v>190</v>
      </c>
      <c r="GV386" s="319" t="s">
        <v>190</v>
      </c>
      <c r="GW386" s="319" t="s">
        <v>190</v>
      </c>
      <c r="GX386" s="319" t="s">
        <v>190</v>
      </c>
      <c r="GY386" s="319" t="s">
        <v>190</v>
      </c>
      <c r="GZ386" s="319" t="s">
        <v>190</v>
      </c>
      <c r="HA386" s="319" t="s">
        <v>190</v>
      </c>
      <c r="HB386" s="319" t="s">
        <v>190</v>
      </c>
      <c r="HC386" s="319" t="s">
        <v>190</v>
      </c>
      <c r="HD386" s="319" t="s">
        <v>190</v>
      </c>
      <c r="HE386" s="319" t="s">
        <v>190</v>
      </c>
      <c r="HF386" s="319" t="s">
        <v>190</v>
      </c>
      <c r="HG386" s="319" t="s">
        <v>190</v>
      </c>
      <c r="HH386" s="319" t="s">
        <v>190</v>
      </c>
      <c r="HI386" s="319" t="s">
        <v>190</v>
      </c>
      <c r="HJ386" s="319" t="s">
        <v>190</v>
      </c>
      <c r="HK386" s="319" t="s">
        <v>190</v>
      </c>
      <c r="HL386" s="319" t="s">
        <v>190</v>
      </c>
      <c r="HM386" s="319" t="s">
        <v>190</v>
      </c>
      <c r="HN386" s="319" t="s">
        <v>190</v>
      </c>
      <c r="HO386" s="319" t="s">
        <v>190</v>
      </c>
      <c r="HP386" s="319" t="s">
        <v>190</v>
      </c>
      <c r="HQ386" s="319" t="s">
        <v>190</v>
      </c>
      <c r="HR386" s="319" t="s">
        <v>190</v>
      </c>
      <c r="HS386" s="319" t="s">
        <v>190</v>
      </c>
      <c r="HT386" s="319" t="s">
        <v>190</v>
      </c>
      <c r="HU386" s="319" t="s">
        <v>190</v>
      </c>
      <c r="HV386" s="319" t="s">
        <v>190</v>
      </c>
      <c r="HW386" s="319" t="s">
        <v>190</v>
      </c>
      <c r="HX386" s="319" t="s">
        <v>190</v>
      </c>
      <c r="HY386" s="319" t="s">
        <v>190</v>
      </c>
      <c r="HZ386" s="319" t="s">
        <v>190</v>
      </c>
      <c r="IA386" s="319" t="s">
        <v>190</v>
      </c>
      <c r="IB386" s="319" t="s">
        <v>190</v>
      </c>
      <c r="IC386" s="319" t="s">
        <v>190</v>
      </c>
      <c r="ID386" s="319" t="s">
        <v>190</v>
      </c>
      <c r="IE386" s="319" t="s">
        <v>190</v>
      </c>
      <c r="IF386" s="319" t="s">
        <v>190</v>
      </c>
      <c r="IG386" s="319" t="s">
        <v>190</v>
      </c>
      <c r="IH386" s="319" t="s">
        <v>190</v>
      </c>
      <c r="II386" s="319" t="s">
        <v>190</v>
      </c>
      <c r="IJ386" s="319" t="s">
        <v>3162</v>
      </c>
      <c r="IK386" s="321">
        <v>41723</v>
      </c>
      <c r="IL386" s="321">
        <v>41725</v>
      </c>
      <c r="IM386" s="321">
        <v>41754</v>
      </c>
      <c r="IN386" s="319">
        <v>2</v>
      </c>
      <c r="IO386" s="319" t="s">
        <v>173</v>
      </c>
      <c r="IP386" s="319" t="s">
        <v>173</v>
      </c>
      <c r="IQ386" s="319" t="s">
        <v>173</v>
      </c>
      <c r="IR386" s="320" t="s">
        <v>173</v>
      </c>
      <c r="IS386" s="320" t="s">
        <v>173</v>
      </c>
      <c r="IT386" s="319" t="s">
        <v>173</v>
      </c>
    </row>
    <row r="387" spans="1:254" s="271" customFormat="1" x14ac:dyDescent="0.25">
      <c r="A387" s="318" t="str">
        <f>HYPERLINK("http://www.ofsted.gov.uk/inspection-reports/find-inspection-report/provider/ELS/132828 ","Ofsted School Webpage")</f>
        <v>Ofsted School Webpage</v>
      </c>
      <c r="B387" s="319">
        <v>132828</v>
      </c>
      <c r="C387" s="319">
        <v>8886048</v>
      </c>
      <c r="D387" s="319" t="s">
        <v>1744</v>
      </c>
      <c r="E387" s="319" t="s">
        <v>168</v>
      </c>
      <c r="F387" s="319" t="s">
        <v>81</v>
      </c>
      <c r="G387" s="319" t="s">
        <v>81</v>
      </c>
      <c r="H387" s="319" t="s">
        <v>81</v>
      </c>
      <c r="I387" s="319" t="s">
        <v>78</v>
      </c>
      <c r="J387" s="319" t="s">
        <v>424</v>
      </c>
      <c r="K387" s="319" t="s">
        <v>431</v>
      </c>
      <c r="L387" s="319" t="s">
        <v>431</v>
      </c>
      <c r="M387" s="319" t="s">
        <v>469</v>
      </c>
      <c r="N387" s="319" t="s">
        <v>2996</v>
      </c>
      <c r="O387" s="319" t="s">
        <v>1745</v>
      </c>
      <c r="P387" s="319">
        <v>51</v>
      </c>
      <c r="Q387" s="319" t="s">
        <v>429</v>
      </c>
      <c r="R387" s="320">
        <v>10043374</v>
      </c>
      <c r="S387" s="321">
        <v>43179</v>
      </c>
      <c r="T387" s="321">
        <v>43181</v>
      </c>
      <c r="U387" s="321">
        <v>43223</v>
      </c>
      <c r="V387" s="319" t="s">
        <v>425</v>
      </c>
      <c r="W387" s="319" t="s">
        <v>2767</v>
      </c>
      <c r="X387" s="319">
        <v>1</v>
      </c>
      <c r="Y387" s="319" t="s">
        <v>173</v>
      </c>
      <c r="Z387" s="319" t="s">
        <v>173</v>
      </c>
      <c r="AA387" s="319" t="s">
        <v>173</v>
      </c>
      <c r="AB387" s="319">
        <v>1</v>
      </c>
      <c r="AC387" s="319" t="s">
        <v>169</v>
      </c>
      <c r="AD387" s="319" t="s">
        <v>173</v>
      </c>
      <c r="AE387" s="319" t="s">
        <v>173</v>
      </c>
      <c r="AF387" s="319" t="s">
        <v>427</v>
      </c>
      <c r="AG387" s="319" t="s">
        <v>171</v>
      </c>
      <c r="AH387" s="319" t="s">
        <v>190</v>
      </c>
      <c r="AI387" s="319" t="s">
        <v>190</v>
      </c>
      <c r="AJ387" s="319" t="s">
        <v>190</v>
      </c>
      <c r="AK387" s="319" t="s">
        <v>190</v>
      </c>
      <c r="AL387" s="319" t="s">
        <v>190</v>
      </c>
      <c r="AM387" s="319" t="s">
        <v>190</v>
      </c>
      <c r="AN387" s="319" t="s">
        <v>190</v>
      </c>
      <c r="AO387" s="319" t="s">
        <v>190</v>
      </c>
      <c r="AP387" s="319" t="s">
        <v>190</v>
      </c>
      <c r="AQ387" s="319" t="s">
        <v>190</v>
      </c>
      <c r="AR387" s="319" t="s">
        <v>190</v>
      </c>
      <c r="AS387" s="319" t="s">
        <v>190</v>
      </c>
      <c r="AT387" s="319" t="s">
        <v>190</v>
      </c>
      <c r="AU387" s="319" t="s">
        <v>190</v>
      </c>
      <c r="AV387" s="319" t="s">
        <v>190</v>
      </c>
      <c r="AW387" s="319" t="s">
        <v>190</v>
      </c>
      <c r="AX387" s="319" t="s">
        <v>190</v>
      </c>
      <c r="AY387" s="319" t="s">
        <v>190</v>
      </c>
      <c r="AZ387" s="319" t="s">
        <v>190</v>
      </c>
      <c r="BA387" s="319" t="s">
        <v>190</v>
      </c>
      <c r="BB387" s="319" t="s">
        <v>428</v>
      </c>
      <c r="BC387" s="319" t="s">
        <v>428</v>
      </c>
      <c r="BD387" s="319" t="s">
        <v>428</v>
      </c>
      <c r="BE387" s="319" t="s">
        <v>428</v>
      </c>
      <c r="BF387" s="319" t="s">
        <v>428</v>
      </c>
      <c r="BG387" s="319" t="s">
        <v>428</v>
      </c>
      <c r="BH387" s="319" t="s">
        <v>190</v>
      </c>
      <c r="BI387" s="319" t="s">
        <v>190</v>
      </c>
      <c r="BJ387" s="319" t="s">
        <v>190</v>
      </c>
      <c r="BK387" s="319" t="s">
        <v>190</v>
      </c>
      <c r="BL387" s="319" t="s">
        <v>190</v>
      </c>
      <c r="BM387" s="319" t="s">
        <v>190</v>
      </c>
      <c r="BN387" s="319" t="s">
        <v>190</v>
      </c>
      <c r="BO387" s="319" t="s">
        <v>190</v>
      </c>
      <c r="BP387" s="319" t="s">
        <v>190</v>
      </c>
      <c r="BQ387" s="319" t="s">
        <v>190</v>
      </c>
      <c r="BR387" s="319" t="s">
        <v>190</v>
      </c>
      <c r="BS387" s="319" t="s">
        <v>190</v>
      </c>
      <c r="BT387" s="319" t="s">
        <v>190</v>
      </c>
      <c r="BU387" s="319" t="s">
        <v>190</v>
      </c>
      <c r="BV387" s="319" t="s">
        <v>190</v>
      </c>
      <c r="BW387" s="319" t="s">
        <v>190</v>
      </c>
      <c r="BX387" s="319" t="s">
        <v>190</v>
      </c>
      <c r="BY387" s="319" t="s">
        <v>190</v>
      </c>
      <c r="BZ387" s="319" t="s">
        <v>190</v>
      </c>
      <c r="CA387" s="319" t="s">
        <v>190</v>
      </c>
      <c r="CB387" s="319" t="s">
        <v>190</v>
      </c>
      <c r="CC387" s="319" t="s">
        <v>190</v>
      </c>
      <c r="CD387" s="319" t="s">
        <v>190</v>
      </c>
      <c r="CE387" s="319" t="s">
        <v>190</v>
      </c>
      <c r="CF387" s="319" t="s">
        <v>190</v>
      </c>
      <c r="CG387" s="319" t="s">
        <v>190</v>
      </c>
      <c r="CH387" s="319" t="s">
        <v>190</v>
      </c>
      <c r="CI387" s="319" t="s">
        <v>190</v>
      </c>
      <c r="CJ387" s="319" t="s">
        <v>190</v>
      </c>
      <c r="CK387" s="319" t="s">
        <v>190</v>
      </c>
      <c r="CL387" s="319" t="s">
        <v>190</v>
      </c>
      <c r="CM387" s="319" t="s">
        <v>190</v>
      </c>
      <c r="CN387" s="319" t="s">
        <v>190</v>
      </c>
      <c r="CO387" s="319" t="s">
        <v>190</v>
      </c>
      <c r="CP387" s="319" t="s">
        <v>190</v>
      </c>
      <c r="CQ387" s="319" t="s">
        <v>190</v>
      </c>
      <c r="CR387" s="319" t="s">
        <v>190</v>
      </c>
      <c r="CS387" s="319" t="s">
        <v>190</v>
      </c>
      <c r="CT387" s="319" t="s">
        <v>190</v>
      </c>
      <c r="CU387" s="319" t="s">
        <v>190</v>
      </c>
      <c r="CV387" s="319" t="s">
        <v>190</v>
      </c>
      <c r="CW387" s="319" t="s">
        <v>190</v>
      </c>
      <c r="CX387" s="319" t="s">
        <v>190</v>
      </c>
      <c r="CY387" s="319" t="s">
        <v>190</v>
      </c>
      <c r="CZ387" s="319" t="s">
        <v>190</v>
      </c>
      <c r="DA387" s="319" t="s">
        <v>190</v>
      </c>
      <c r="DB387" s="319" t="s">
        <v>190</v>
      </c>
      <c r="DC387" s="319" t="s">
        <v>190</v>
      </c>
      <c r="DD387" s="319" t="s">
        <v>190</v>
      </c>
      <c r="DE387" s="319" t="s">
        <v>190</v>
      </c>
      <c r="DF387" s="319" t="s">
        <v>190</v>
      </c>
      <c r="DG387" s="319" t="s">
        <v>190</v>
      </c>
      <c r="DH387" s="319" t="s">
        <v>190</v>
      </c>
      <c r="DI387" s="319" t="s">
        <v>190</v>
      </c>
      <c r="DJ387" s="319" t="s">
        <v>190</v>
      </c>
      <c r="DK387" s="319" t="s">
        <v>190</v>
      </c>
      <c r="DL387" s="319" t="s">
        <v>190</v>
      </c>
      <c r="DM387" s="319" t="s">
        <v>190</v>
      </c>
      <c r="DN387" s="319" t="s">
        <v>190</v>
      </c>
      <c r="DO387" s="319" t="s">
        <v>190</v>
      </c>
      <c r="DP387" s="319" t="s">
        <v>190</v>
      </c>
      <c r="DQ387" s="319" t="s">
        <v>190</v>
      </c>
      <c r="DR387" s="319" t="s">
        <v>190</v>
      </c>
      <c r="DS387" s="319" t="s">
        <v>190</v>
      </c>
      <c r="DT387" s="319" t="s">
        <v>190</v>
      </c>
      <c r="DU387" s="319" t="s">
        <v>190</v>
      </c>
      <c r="DV387" s="319" t="s">
        <v>173</v>
      </c>
      <c r="DW387" s="319" t="s">
        <v>190</v>
      </c>
      <c r="DX387" s="319" t="s">
        <v>190</v>
      </c>
      <c r="DY387" s="319" t="s">
        <v>190</v>
      </c>
      <c r="DZ387" s="319" t="s">
        <v>190</v>
      </c>
      <c r="EA387" s="319" t="s">
        <v>190</v>
      </c>
      <c r="EB387" s="319" t="s">
        <v>190</v>
      </c>
      <c r="EC387" s="319" t="s">
        <v>428</v>
      </c>
      <c r="ED387" s="319" t="s">
        <v>190</v>
      </c>
      <c r="EE387" s="319" t="s">
        <v>190</v>
      </c>
      <c r="EF387" s="319" t="s">
        <v>190</v>
      </c>
      <c r="EG387" s="319" t="s">
        <v>190</v>
      </c>
      <c r="EH387" s="319" t="s">
        <v>190</v>
      </c>
      <c r="EI387" s="319" t="s">
        <v>190</v>
      </c>
      <c r="EJ387" s="319" t="s">
        <v>190</v>
      </c>
      <c r="EK387" s="319" t="s">
        <v>190</v>
      </c>
      <c r="EL387" s="319" t="s">
        <v>190</v>
      </c>
      <c r="EM387" s="319" t="s">
        <v>190</v>
      </c>
      <c r="EN387" s="319" t="s">
        <v>190</v>
      </c>
      <c r="EO387" s="319" t="s">
        <v>190</v>
      </c>
      <c r="EP387" s="319" t="s">
        <v>190</v>
      </c>
      <c r="EQ387" s="319" t="s">
        <v>190</v>
      </c>
      <c r="ER387" s="319" t="s">
        <v>190</v>
      </c>
      <c r="ES387" s="319" t="s">
        <v>190</v>
      </c>
      <c r="ET387" s="319" t="s">
        <v>190</v>
      </c>
      <c r="EU387" s="319" t="s">
        <v>190</v>
      </c>
      <c r="EV387" s="319" t="s">
        <v>190</v>
      </c>
      <c r="EW387" s="319" t="s">
        <v>190</v>
      </c>
      <c r="EX387" s="319" t="s">
        <v>190</v>
      </c>
      <c r="EY387" s="319" t="s">
        <v>190</v>
      </c>
      <c r="EZ387" s="319" t="s">
        <v>190</v>
      </c>
      <c r="FA387" s="319" t="s">
        <v>190</v>
      </c>
      <c r="FB387" s="319" t="s">
        <v>190</v>
      </c>
      <c r="FC387" s="319" t="s">
        <v>190</v>
      </c>
      <c r="FD387" s="319" t="s">
        <v>190</v>
      </c>
      <c r="FE387" s="319" t="s">
        <v>190</v>
      </c>
      <c r="FF387" s="319" t="s">
        <v>190</v>
      </c>
      <c r="FG387" s="319" t="s">
        <v>190</v>
      </c>
      <c r="FH387" s="319" t="s">
        <v>190</v>
      </c>
      <c r="FI387" s="319" t="s">
        <v>190</v>
      </c>
      <c r="FJ387" s="319" t="s">
        <v>190</v>
      </c>
      <c r="FK387" s="319" t="s">
        <v>190</v>
      </c>
      <c r="FL387" s="319" t="s">
        <v>190</v>
      </c>
      <c r="FM387" s="319" t="s">
        <v>190</v>
      </c>
      <c r="FN387" s="319" t="s">
        <v>190</v>
      </c>
      <c r="FO387" s="319" t="s">
        <v>190</v>
      </c>
      <c r="FP387" s="319" t="s">
        <v>190</v>
      </c>
      <c r="FQ387" s="319" t="s">
        <v>190</v>
      </c>
      <c r="FR387" s="319" t="s">
        <v>190</v>
      </c>
      <c r="FS387" s="319" t="s">
        <v>190</v>
      </c>
      <c r="FT387" s="319" t="s">
        <v>190</v>
      </c>
      <c r="FU387" s="319" t="s">
        <v>190</v>
      </c>
      <c r="FV387" s="319" t="s">
        <v>190</v>
      </c>
      <c r="FW387" s="319" t="s">
        <v>190</v>
      </c>
      <c r="FX387" s="319" t="s">
        <v>190</v>
      </c>
      <c r="FY387" s="319" t="s">
        <v>190</v>
      </c>
      <c r="FZ387" s="319" t="s">
        <v>190</v>
      </c>
      <c r="GA387" s="319" t="s">
        <v>190</v>
      </c>
      <c r="GB387" s="319" t="s">
        <v>190</v>
      </c>
      <c r="GC387" s="319" t="s">
        <v>190</v>
      </c>
      <c r="GD387" s="319" t="s">
        <v>190</v>
      </c>
      <c r="GE387" s="319" t="s">
        <v>190</v>
      </c>
      <c r="GF387" s="319" t="s">
        <v>190</v>
      </c>
      <c r="GG387" s="319" t="s">
        <v>190</v>
      </c>
      <c r="GH387" s="319" t="s">
        <v>190</v>
      </c>
      <c r="GI387" s="319" t="s">
        <v>190</v>
      </c>
      <c r="GJ387" s="319" t="s">
        <v>190</v>
      </c>
      <c r="GK387" s="319" t="s">
        <v>428</v>
      </c>
      <c r="GL387" s="319" t="s">
        <v>190</v>
      </c>
      <c r="GM387" s="319" t="s">
        <v>190</v>
      </c>
      <c r="GN387" s="319" t="s">
        <v>190</v>
      </c>
      <c r="GO387" s="319" t="s">
        <v>190</v>
      </c>
      <c r="GP387" s="319" t="s">
        <v>190</v>
      </c>
      <c r="GQ387" s="319" t="s">
        <v>190</v>
      </c>
      <c r="GR387" s="319" t="s">
        <v>190</v>
      </c>
      <c r="GS387" s="319" t="s">
        <v>190</v>
      </c>
      <c r="GT387" s="319" t="s">
        <v>190</v>
      </c>
      <c r="GU387" s="319" t="s">
        <v>190</v>
      </c>
      <c r="GV387" s="319" t="s">
        <v>190</v>
      </c>
      <c r="GW387" s="319" t="s">
        <v>190</v>
      </c>
      <c r="GX387" s="319" t="s">
        <v>190</v>
      </c>
      <c r="GY387" s="319" t="s">
        <v>190</v>
      </c>
      <c r="GZ387" s="319" t="s">
        <v>190</v>
      </c>
      <c r="HA387" s="319" t="s">
        <v>190</v>
      </c>
      <c r="HB387" s="319" t="s">
        <v>190</v>
      </c>
      <c r="HC387" s="319" t="s">
        <v>190</v>
      </c>
      <c r="HD387" s="319" t="s">
        <v>190</v>
      </c>
      <c r="HE387" s="319" t="s">
        <v>190</v>
      </c>
      <c r="HF387" s="319" t="s">
        <v>190</v>
      </c>
      <c r="HG387" s="319" t="s">
        <v>190</v>
      </c>
      <c r="HH387" s="319" t="s">
        <v>190</v>
      </c>
      <c r="HI387" s="319" t="s">
        <v>190</v>
      </c>
      <c r="HJ387" s="319" t="s">
        <v>190</v>
      </c>
      <c r="HK387" s="319" t="s">
        <v>428</v>
      </c>
      <c r="HL387" s="319" t="s">
        <v>428</v>
      </c>
      <c r="HM387" s="319" t="s">
        <v>428</v>
      </c>
      <c r="HN387" s="319" t="s">
        <v>428</v>
      </c>
      <c r="HO387" s="319" t="s">
        <v>428</v>
      </c>
      <c r="HP387" s="319" t="s">
        <v>190</v>
      </c>
      <c r="HQ387" s="319" t="s">
        <v>190</v>
      </c>
      <c r="HR387" s="319" t="s">
        <v>190</v>
      </c>
      <c r="HS387" s="319" t="s">
        <v>190</v>
      </c>
      <c r="HT387" s="319" t="s">
        <v>190</v>
      </c>
      <c r="HU387" s="319" t="s">
        <v>190</v>
      </c>
      <c r="HV387" s="319" t="s">
        <v>190</v>
      </c>
      <c r="HW387" s="319" t="s">
        <v>190</v>
      </c>
      <c r="HX387" s="319" t="s">
        <v>190</v>
      </c>
      <c r="HY387" s="319" t="s">
        <v>190</v>
      </c>
      <c r="HZ387" s="319" t="s">
        <v>190</v>
      </c>
      <c r="IA387" s="319" t="s">
        <v>190</v>
      </c>
      <c r="IB387" s="319" t="s">
        <v>190</v>
      </c>
      <c r="IC387" s="319" t="s">
        <v>190</v>
      </c>
      <c r="ID387" s="319" t="s">
        <v>190</v>
      </c>
      <c r="IE387" s="319" t="s">
        <v>190</v>
      </c>
      <c r="IF387" s="319" t="s">
        <v>190</v>
      </c>
      <c r="IG387" s="319" t="s">
        <v>190</v>
      </c>
      <c r="IH387" s="319" t="s">
        <v>190</v>
      </c>
      <c r="II387" s="319" t="s">
        <v>190</v>
      </c>
      <c r="IJ387" s="319" t="s">
        <v>3163</v>
      </c>
      <c r="IK387" s="321">
        <v>42059</v>
      </c>
      <c r="IL387" s="321">
        <v>42061</v>
      </c>
      <c r="IM387" s="321">
        <v>42096</v>
      </c>
      <c r="IN387" s="319">
        <v>1</v>
      </c>
      <c r="IO387" s="319" t="s">
        <v>173</v>
      </c>
      <c r="IP387" s="319" t="s">
        <v>173</v>
      </c>
      <c r="IQ387" s="321" t="s">
        <v>173</v>
      </c>
      <c r="IR387" s="320" t="s">
        <v>173</v>
      </c>
      <c r="IS387" s="322" t="s">
        <v>173</v>
      </c>
      <c r="IT387" s="319" t="s">
        <v>173</v>
      </c>
    </row>
    <row r="388" spans="1:254" s="271" customFormat="1" x14ac:dyDescent="0.25">
      <c r="A388" s="318" t="str">
        <f>HYPERLINK("http://www.ofsted.gov.uk/inspection-reports/find-inspection-report/provider/ELS/132848 ","Ofsted School Webpage")</f>
        <v>Ofsted School Webpage</v>
      </c>
      <c r="B388" s="319">
        <v>132848</v>
      </c>
      <c r="C388" s="319">
        <v>3206501</v>
      </c>
      <c r="D388" s="319" t="s">
        <v>823</v>
      </c>
      <c r="E388" s="319" t="s">
        <v>167</v>
      </c>
      <c r="F388" s="319" t="s">
        <v>72</v>
      </c>
      <c r="G388" s="319" t="s">
        <v>71</v>
      </c>
      <c r="H388" s="319" t="s">
        <v>72</v>
      </c>
      <c r="I388" s="319" t="s">
        <v>72</v>
      </c>
      <c r="J388" s="319" t="s">
        <v>424</v>
      </c>
      <c r="K388" s="319" t="s">
        <v>441</v>
      </c>
      <c r="L388" s="319" t="s">
        <v>441</v>
      </c>
      <c r="M388" s="319" t="s">
        <v>592</v>
      </c>
      <c r="N388" s="319" t="s">
        <v>3164</v>
      </c>
      <c r="O388" s="319" t="s">
        <v>824</v>
      </c>
      <c r="P388" s="319">
        <v>107</v>
      </c>
      <c r="Q388" s="319" t="s">
        <v>2766</v>
      </c>
      <c r="R388" s="320">
        <v>10068029</v>
      </c>
      <c r="S388" s="321">
        <v>43480</v>
      </c>
      <c r="T388" s="321">
        <v>43482</v>
      </c>
      <c r="U388" s="321">
        <v>43528</v>
      </c>
      <c r="V388" s="319" t="s">
        <v>425</v>
      </c>
      <c r="W388" s="319" t="s">
        <v>2767</v>
      </c>
      <c r="X388" s="319">
        <v>4</v>
      </c>
      <c r="Y388" s="319" t="s">
        <v>173</v>
      </c>
      <c r="Z388" s="319" t="s">
        <v>173</v>
      </c>
      <c r="AA388" s="319" t="s">
        <v>173</v>
      </c>
      <c r="AB388" s="319">
        <v>4</v>
      </c>
      <c r="AC388" s="319" t="s">
        <v>169</v>
      </c>
      <c r="AD388" s="319" t="s">
        <v>173</v>
      </c>
      <c r="AE388" s="319" t="s">
        <v>173</v>
      </c>
      <c r="AF388" s="319" t="s">
        <v>427</v>
      </c>
      <c r="AG388" s="319" t="s">
        <v>172</v>
      </c>
      <c r="AH388" s="319" t="s">
        <v>190</v>
      </c>
      <c r="AI388" s="319" t="s">
        <v>190</v>
      </c>
      <c r="AJ388" s="319" t="s">
        <v>190</v>
      </c>
      <c r="AK388" s="319" t="s">
        <v>190</v>
      </c>
      <c r="AL388" s="319" t="s">
        <v>190</v>
      </c>
      <c r="AM388" s="319" t="s">
        <v>190</v>
      </c>
      <c r="AN388" s="319" t="s">
        <v>190</v>
      </c>
      <c r="AO388" s="319" t="s">
        <v>479</v>
      </c>
      <c r="AP388" s="319" t="s">
        <v>190</v>
      </c>
      <c r="AQ388" s="319" t="s">
        <v>190</v>
      </c>
      <c r="AR388" s="319" t="s">
        <v>190</v>
      </c>
      <c r="AS388" s="319" t="s">
        <v>190</v>
      </c>
      <c r="AT388" s="319" t="s">
        <v>190</v>
      </c>
      <c r="AU388" s="319" t="s">
        <v>190</v>
      </c>
      <c r="AV388" s="319" t="s">
        <v>190</v>
      </c>
      <c r="AW388" s="319" t="s">
        <v>190</v>
      </c>
      <c r="AX388" s="319" t="s">
        <v>428</v>
      </c>
      <c r="AY388" s="319" t="s">
        <v>190</v>
      </c>
      <c r="AZ388" s="319" t="s">
        <v>190</v>
      </c>
      <c r="BA388" s="319" t="s">
        <v>190</v>
      </c>
      <c r="BB388" s="319" t="s">
        <v>190</v>
      </c>
      <c r="BC388" s="319" t="s">
        <v>190</v>
      </c>
      <c r="BD388" s="319" t="s">
        <v>190</v>
      </c>
      <c r="BE388" s="319" t="s">
        <v>190</v>
      </c>
      <c r="BF388" s="319" t="s">
        <v>428</v>
      </c>
      <c r="BG388" s="319" t="s">
        <v>428</v>
      </c>
      <c r="BH388" s="319" t="s">
        <v>190</v>
      </c>
      <c r="BI388" s="319" t="s">
        <v>190</v>
      </c>
      <c r="BJ388" s="319" t="s">
        <v>190</v>
      </c>
      <c r="BK388" s="319" t="s">
        <v>190</v>
      </c>
      <c r="BL388" s="319" t="s">
        <v>190</v>
      </c>
      <c r="BM388" s="319" t="s">
        <v>190</v>
      </c>
      <c r="BN388" s="319" t="s">
        <v>190</v>
      </c>
      <c r="BO388" s="319" t="s">
        <v>190</v>
      </c>
      <c r="BP388" s="319" t="s">
        <v>190</v>
      </c>
      <c r="BQ388" s="319" t="s">
        <v>190</v>
      </c>
      <c r="BR388" s="319" t="s">
        <v>190</v>
      </c>
      <c r="BS388" s="319" t="s">
        <v>190</v>
      </c>
      <c r="BT388" s="319" t="s">
        <v>190</v>
      </c>
      <c r="BU388" s="319" t="s">
        <v>190</v>
      </c>
      <c r="BV388" s="319" t="s">
        <v>190</v>
      </c>
      <c r="BW388" s="319" t="s">
        <v>190</v>
      </c>
      <c r="BX388" s="319" t="s">
        <v>190</v>
      </c>
      <c r="BY388" s="319" t="s">
        <v>190</v>
      </c>
      <c r="BZ388" s="319" t="s">
        <v>190</v>
      </c>
      <c r="CA388" s="319" t="s">
        <v>190</v>
      </c>
      <c r="CB388" s="319" t="s">
        <v>190</v>
      </c>
      <c r="CC388" s="319" t="s">
        <v>190</v>
      </c>
      <c r="CD388" s="319" t="s">
        <v>190</v>
      </c>
      <c r="CE388" s="319" t="s">
        <v>190</v>
      </c>
      <c r="CF388" s="319" t="s">
        <v>190</v>
      </c>
      <c r="CG388" s="319" t="s">
        <v>190</v>
      </c>
      <c r="CH388" s="319" t="s">
        <v>190</v>
      </c>
      <c r="CI388" s="319" t="s">
        <v>190</v>
      </c>
      <c r="CJ388" s="319" t="s">
        <v>190</v>
      </c>
      <c r="CK388" s="319" t="s">
        <v>190</v>
      </c>
      <c r="CL388" s="319" t="s">
        <v>190</v>
      </c>
      <c r="CM388" s="319" t="s">
        <v>190</v>
      </c>
      <c r="CN388" s="319" t="s">
        <v>190</v>
      </c>
      <c r="CO388" s="319" t="s">
        <v>428</v>
      </c>
      <c r="CP388" s="319" t="s">
        <v>428</v>
      </c>
      <c r="CQ388" s="319" t="s">
        <v>190</v>
      </c>
      <c r="CR388" s="319" t="s">
        <v>190</v>
      </c>
      <c r="CS388" s="319" t="s">
        <v>190</v>
      </c>
      <c r="CT388" s="319" t="s">
        <v>190</v>
      </c>
      <c r="CU388" s="319" t="s">
        <v>190</v>
      </c>
      <c r="CV388" s="319" t="s">
        <v>190</v>
      </c>
      <c r="CW388" s="319" t="s">
        <v>190</v>
      </c>
      <c r="CX388" s="319" t="s">
        <v>190</v>
      </c>
      <c r="CY388" s="319" t="s">
        <v>190</v>
      </c>
      <c r="CZ388" s="319" t="s">
        <v>190</v>
      </c>
      <c r="DA388" s="319" t="s">
        <v>190</v>
      </c>
      <c r="DB388" s="319" t="s">
        <v>190</v>
      </c>
      <c r="DC388" s="319" t="s">
        <v>190</v>
      </c>
      <c r="DD388" s="319" t="s">
        <v>190</v>
      </c>
      <c r="DE388" s="319" t="s">
        <v>190</v>
      </c>
      <c r="DF388" s="319" t="s">
        <v>190</v>
      </c>
      <c r="DG388" s="319" t="s">
        <v>190</v>
      </c>
      <c r="DH388" s="319" t="s">
        <v>190</v>
      </c>
      <c r="DI388" s="319" t="s">
        <v>190</v>
      </c>
      <c r="DJ388" s="319" t="s">
        <v>190</v>
      </c>
      <c r="DK388" s="319" t="s">
        <v>190</v>
      </c>
      <c r="DL388" s="319" t="s">
        <v>190</v>
      </c>
      <c r="DM388" s="319" t="s">
        <v>190</v>
      </c>
      <c r="DN388" s="319" t="s">
        <v>428</v>
      </c>
      <c r="DO388" s="319" t="s">
        <v>190</v>
      </c>
      <c r="DP388" s="319" t="s">
        <v>190</v>
      </c>
      <c r="DQ388" s="319" t="s">
        <v>190</v>
      </c>
      <c r="DR388" s="319" t="s">
        <v>190</v>
      </c>
      <c r="DS388" s="319" t="s">
        <v>190</v>
      </c>
      <c r="DT388" s="319" t="s">
        <v>190</v>
      </c>
      <c r="DU388" s="319" t="s">
        <v>190</v>
      </c>
      <c r="DV388" s="319" t="s">
        <v>173</v>
      </c>
      <c r="DW388" s="319" t="s">
        <v>190</v>
      </c>
      <c r="DX388" s="319" t="s">
        <v>190</v>
      </c>
      <c r="DY388" s="319" t="s">
        <v>190</v>
      </c>
      <c r="DZ388" s="319" t="s">
        <v>190</v>
      </c>
      <c r="EA388" s="319" t="s">
        <v>190</v>
      </c>
      <c r="EB388" s="319" t="s">
        <v>190</v>
      </c>
      <c r="EC388" s="319" t="s">
        <v>428</v>
      </c>
      <c r="ED388" s="319" t="s">
        <v>190</v>
      </c>
      <c r="EE388" s="319" t="s">
        <v>190</v>
      </c>
      <c r="EF388" s="319" t="s">
        <v>190</v>
      </c>
      <c r="EG388" s="319" t="s">
        <v>190</v>
      </c>
      <c r="EH388" s="319" t="s">
        <v>190</v>
      </c>
      <c r="EI388" s="319" t="s">
        <v>190</v>
      </c>
      <c r="EJ388" s="319" t="s">
        <v>190</v>
      </c>
      <c r="EK388" s="319" t="s">
        <v>190</v>
      </c>
      <c r="EL388" s="319" t="s">
        <v>190</v>
      </c>
      <c r="EM388" s="319" t="s">
        <v>190</v>
      </c>
      <c r="EN388" s="319" t="s">
        <v>190</v>
      </c>
      <c r="EO388" s="319" t="s">
        <v>190</v>
      </c>
      <c r="EP388" s="319" t="s">
        <v>190</v>
      </c>
      <c r="EQ388" s="319" t="s">
        <v>190</v>
      </c>
      <c r="ER388" s="319" t="s">
        <v>190</v>
      </c>
      <c r="ES388" s="319" t="s">
        <v>190</v>
      </c>
      <c r="ET388" s="319" t="s">
        <v>190</v>
      </c>
      <c r="EU388" s="319" t="s">
        <v>190</v>
      </c>
      <c r="EV388" s="319" t="s">
        <v>190</v>
      </c>
      <c r="EW388" s="319" t="s">
        <v>190</v>
      </c>
      <c r="EX388" s="319" t="s">
        <v>190</v>
      </c>
      <c r="EY388" s="319" t="s">
        <v>190</v>
      </c>
      <c r="EZ388" s="319" t="s">
        <v>190</v>
      </c>
      <c r="FA388" s="319" t="s">
        <v>190</v>
      </c>
      <c r="FB388" s="319" t="s">
        <v>190</v>
      </c>
      <c r="FC388" s="319" t="s">
        <v>190</v>
      </c>
      <c r="FD388" s="319" t="s">
        <v>190</v>
      </c>
      <c r="FE388" s="319" t="s">
        <v>190</v>
      </c>
      <c r="FF388" s="319" t="s">
        <v>190</v>
      </c>
      <c r="FG388" s="319" t="s">
        <v>190</v>
      </c>
      <c r="FH388" s="319" t="s">
        <v>190</v>
      </c>
      <c r="FI388" s="319" t="s">
        <v>190</v>
      </c>
      <c r="FJ388" s="319" t="s">
        <v>190</v>
      </c>
      <c r="FK388" s="319" t="s">
        <v>190</v>
      </c>
      <c r="FL388" s="319" t="s">
        <v>190</v>
      </c>
      <c r="FM388" s="319" t="s">
        <v>190</v>
      </c>
      <c r="FN388" s="319" t="s">
        <v>428</v>
      </c>
      <c r="FO388" s="319" t="s">
        <v>190</v>
      </c>
      <c r="FP388" s="319" t="s">
        <v>190</v>
      </c>
      <c r="FQ388" s="319" t="s">
        <v>190</v>
      </c>
      <c r="FR388" s="319" t="s">
        <v>190</v>
      </c>
      <c r="FS388" s="319" t="s">
        <v>428</v>
      </c>
      <c r="FT388" s="319" t="s">
        <v>190</v>
      </c>
      <c r="FU388" s="319" t="s">
        <v>190</v>
      </c>
      <c r="FV388" s="319" t="s">
        <v>190</v>
      </c>
      <c r="FW388" s="319" t="s">
        <v>190</v>
      </c>
      <c r="FX388" s="319" t="s">
        <v>190</v>
      </c>
      <c r="FY388" s="319" t="s">
        <v>190</v>
      </c>
      <c r="FZ388" s="319" t="s">
        <v>190</v>
      </c>
      <c r="GA388" s="319" t="s">
        <v>190</v>
      </c>
      <c r="GB388" s="319" t="s">
        <v>190</v>
      </c>
      <c r="GC388" s="319" t="s">
        <v>190</v>
      </c>
      <c r="GD388" s="319" t="s">
        <v>190</v>
      </c>
      <c r="GE388" s="319" t="s">
        <v>190</v>
      </c>
      <c r="GF388" s="319" t="s">
        <v>190</v>
      </c>
      <c r="GG388" s="319" t="s">
        <v>190</v>
      </c>
      <c r="GH388" s="319" t="s">
        <v>190</v>
      </c>
      <c r="GI388" s="319" t="s">
        <v>190</v>
      </c>
      <c r="GJ388" s="319" t="s">
        <v>190</v>
      </c>
      <c r="GK388" s="319" t="s">
        <v>428</v>
      </c>
      <c r="GL388" s="319" t="s">
        <v>190</v>
      </c>
      <c r="GM388" s="319" t="s">
        <v>190</v>
      </c>
      <c r="GN388" s="319" t="s">
        <v>190</v>
      </c>
      <c r="GO388" s="319" t="s">
        <v>190</v>
      </c>
      <c r="GP388" s="319" t="s">
        <v>190</v>
      </c>
      <c r="GQ388" s="319" t="s">
        <v>190</v>
      </c>
      <c r="GR388" s="319" t="s">
        <v>190</v>
      </c>
      <c r="GS388" s="319" t="s">
        <v>190</v>
      </c>
      <c r="GT388" s="319" t="s">
        <v>428</v>
      </c>
      <c r="GU388" s="319" t="s">
        <v>428</v>
      </c>
      <c r="GV388" s="319" t="s">
        <v>190</v>
      </c>
      <c r="GW388" s="319" t="s">
        <v>190</v>
      </c>
      <c r="GX388" s="319" t="s">
        <v>173</v>
      </c>
      <c r="GY388" s="319" t="s">
        <v>190</v>
      </c>
      <c r="GZ388" s="319" t="s">
        <v>190</v>
      </c>
      <c r="HA388" s="319" t="s">
        <v>190</v>
      </c>
      <c r="HB388" s="319" t="s">
        <v>190</v>
      </c>
      <c r="HC388" s="319" t="s">
        <v>190</v>
      </c>
      <c r="HD388" s="319" t="s">
        <v>190</v>
      </c>
      <c r="HE388" s="319" t="s">
        <v>190</v>
      </c>
      <c r="HF388" s="319" t="s">
        <v>190</v>
      </c>
      <c r="HG388" s="319" t="s">
        <v>190</v>
      </c>
      <c r="HH388" s="319" t="s">
        <v>190</v>
      </c>
      <c r="HI388" s="319" t="s">
        <v>190</v>
      </c>
      <c r="HJ388" s="319" t="s">
        <v>190</v>
      </c>
      <c r="HK388" s="319" t="s">
        <v>190</v>
      </c>
      <c r="HL388" s="319" t="s">
        <v>190</v>
      </c>
      <c r="HM388" s="319" t="s">
        <v>190</v>
      </c>
      <c r="HN388" s="319" t="s">
        <v>190</v>
      </c>
      <c r="HO388" s="319" t="s">
        <v>190</v>
      </c>
      <c r="HP388" s="319" t="s">
        <v>190</v>
      </c>
      <c r="HQ388" s="319" t="s">
        <v>190</v>
      </c>
      <c r="HR388" s="319" t="s">
        <v>190</v>
      </c>
      <c r="HS388" s="319" t="s">
        <v>190</v>
      </c>
      <c r="HT388" s="319" t="s">
        <v>190</v>
      </c>
      <c r="HU388" s="319" t="s">
        <v>190</v>
      </c>
      <c r="HV388" s="319" t="s">
        <v>190</v>
      </c>
      <c r="HW388" s="319" t="s">
        <v>190</v>
      </c>
      <c r="HX388" s="319" t="s">
        <v>190</v>
      </c>
      <c r="HY388" s="319" t="s">
        <v>190</v>
      </c>
      <c r="HZ388" s="319" t="s">
        <v>190</v>
      </c>
      <c r="IA388" s="319" t="s">
        <v>190</v>
      </c>
      <c r="IB388" s="319" t="s">
        <v>190</v>
      </c>
      <c r="IC388" s="319" t="s">
        <v>190</v>
      </c>
      <c r="ID388" s="319" t="s">
        <v>190</v>
      </c>
      <c r="IE388" s="319" t="s">
        <v>190</v>
      </c>
      <c r="IF388" s="319" t="s">
        <v>191</v>
      </c>
      <c r="IG388" s="319" t="s">
        <v>191</v>
      </c>
      <c r="IH388" s="319" t="s">
        <v>191</v>
      </c>
      <c r="II388" s="319" t="s">
        <v>191</v>
      </c>
      <c r="IJ388" s="319">
        <v>10043179</v>
      </c>
      <c r="IK388" s="321">
        <v>43081</v>
      </c>
      <c r="IL388" s="321">
        <v>43083</v>
      </c>
      <c r="IM388" s="321">
        <v>43129</v>
      </c>
      <c r="IN388" s="319">
        <v>3</v>
      </c>
      <c r="IO388" s="319">
        <v>10112304</v>
      </c>
      <c r="IP388" s="319" t="s">
        <v>985</v>
      </c>
      <c r="IQ388" s="321">
        <v>43649</v>
      </c>
      <c r="IR388" s="320" t="s">
        <v>1223</v>
      </c>
      <c r="IS388" s="322">
        <v>43718</v>
      </c>
      <c r="IT388" s="319" t="s">
        <v>165</v>
      </c>
    </row>
    <row r="389" spans="1:254" s="271" customFormat="1" x14ac:dyDescent="0.25">
      <c r="A389" s="318" t="str">
        <f>HYPERLINK("http://www.ofsted.gov.uk/inspection-reports/find-inspection-report/provider/ELS/132855 ","Ofsted School Webpage")</f>
        <v>Ofsted School Webpage</v>
      </c>
      <c r="B389" s="319">
        <v>132855</v>
      </c>
      <c r="C389" s="319">
        <v>9296046</v>
      </c>
      <c r="D389" s="319" t="s">
        <v>1746</v>
      </c>
      <c r="E389" s="319" t="s">
        <v>168</v>
      </c>
      <c r="F389" s="319" t="s">
        <v>81</v>
      </c>
      <c r="G389" s="319" t="s">
        <v>81</v>
      </c>
      <c r="H389" s="319" t="s">
        <v>81</v>
      </c>
      <c r="I389" s="319" t="s">
        <v>78</v>
      </c>
      <c r="J389" s="319" t="s">
        <v>424</v>
      </c>
      <c r="K389" s="319" t="s">
        <v>458</v>
      </c>
      <c r="L389" s="319" t="s">
        <v>474</v>
      </c>
      <c r="M389" s="319" t="s">
        <v>510</v>
      </c>
      <c r="N389" s="319" t="s">
        <v>3165</v>
      </c>
      <c r="O389" s="319" t="s">
        <v>1747</v>
      </c>
      <c r="P389" s="319">
        <v>9</v>
      </c>
      <c r="Q389" s="319" t="s">
        <v>429</v>
      </c>
      <c r="R389" s="320">
        <v>10083835</v>
      </c>
      <c r="S389" s="321">
        <v>43550</v>
      </c>
      <c r="T389" s="321">
        <v>43552</v>
      </c>
      <c r="U389" s="321">
        <v>43592</v>
      </c>
      <c r="V389" s="319" t="s">
        <v>425</v>
      </c>
      <c r="W389" s="319" t="s">
        <v>2767</v>
      </c>
      <c r="X389" s="319">
        <v>3</v>
      </c>
      <c r="Y389" s="319" t="s">
        <v>173</v>
      </c>
      <c r="Z389" s="319" t="s">
        <v>173</v>
      </c>
      <c r="AA389" s="319" t="s">
        <v>173</v>
      </c>
      <c r="AB389" s="319">
        <v>3</v>
      </c>
      <c r="AC389" s="319" t="s">
        <v>169</v>
      </c>
      <c r="AD389" s="319" t="s">
        <v>173</v>
      </c>
      <c r="AE389" s="319" t="s">
        <v>173</v>
      </c>
      <c r="AF389" s="319" t="s">
        <v>427</v>
      </c>
      <c r="AG389" s="319" t="s">
        <v>172</v>
      </c>
      <c r="AH389" s="319" t="s">
        <v>190</v>
      </c>
      <c r="AI389" s="319" t="s">
        <v>190</v>
      </c>
      <c r="AJ389" s="319" t="s">
        <v>190</v>
      </c>
      <c r="AK389" s="319" t="s">
        <v>190</v>
      </c>
      <c r="AL389" s="319" t="s">
        <v>190</v>
      </c>
      <c r="AM389" s="319" t="s">
        <v>190</v>
      </c>
      <c r="AN389" s="319" t="s">
        <v>479</v>
      </c>
      <c r="AO389" s="319" t="s">
        <v>479</v>
      </c>
      <c r="AP389" s="319" t="s">
        <v>190</v>
      </c>
      <c r="AQ389" s="319" t="s">
        <v>190</v>
      </c>
      <c r="AR389" s="319" t="s">
        <v>190</v>
      </c>
      <c r="AS389" s="319" t="s">
        <v>190</v>
      </c>
      <c r="AT389" s="319" t="s">
        <v>190</v>
      </c>
      <c r="AU389" s="319" t="s">
        <v>190</v>
      </c>
      <c r="AV389" s="319" t="s">
        <v>190</v>
      </c>
      <c r="AW389" s="319" t="s">
        <v>190</v>
      </c>
      <c r="AX389" s="319" t="s">
        <v>190</v>
      </c>
      <c r="AY389" s="319" t="s">
        <v>190</v>
      </c>
      <c r="AZ389" s="319" t="s">
        <v>190</v>
      </c>
      <c r="BA389" s="319" t="s">
        <v>190</v>
      </c>
      <c r="BB389" s="319" t="s">
        <v>190</v>
      </c>
      <c r="BC389" s="319" t="s">
        <v>190</v>
      </c>
      <c r="BD389" s="319" t="s">
        <v>190</v>
      </c>
      <c r="BE389" s="319" t="s">
        <v>190</v>
      </c>
      <c r="BF389" s="319" t="s">
        <v>428</v>
      </c>
      <c r="BG389" s="319" t="s">
        <v>190</v>
      </c>
      <c r="BH389" s="319" t="s">
        <v>190</v>
      </c>
      <c r="BI389" s="319" t="s">
        <v>190</v>
      </c>
      <c r="BJ389" s="319" t="s">
        <v>190</v>
      </c>
      <c r="BK389" s="319" t="s">
        <v>190</v>
      </c>
      <c r="BL389" s="319" t="s">
        <v>190</v>
      </c>
      <c r="BM389" s="319" t="s">
        <v>190</v>
      </c>
      <c r="BN389" s="319" t="s">
        <v>190</v>
      </c>
      <c r="BO389" s="319" t="s">
        <v>190</v>
      </c>
      <c r="BP389" s="319" t="s">
        <v>190</v>
      </c>
      <c r="BQ389" s="319" t="s">
        <v>190</v>
      </c>
      <c r="BR389" s="319" t="s">
        <v>190</v>
      </c>
      <c r="BS389" s="319" t="s">
        <v>190</v>
      </c>
      <c r="BT389" s="319" t="s">
        <v>190</v>
      </c>
      <c r="BU389" s="319" t="s">
        <v>190</v>
      </c>
      <c r="BV389" s="319" t="s">
        <v>190</v>
      </c>
      <c r="BW389" s="319" t="s">
        <v>190</v>
      </c>
      <c r="BX389" s="319" t="s">
        <v>190</v>
      </c>
      <c r="BY389" s="319" t="s">
        <v>190</v>
      </c>
      <c r="BZ389" s="319" t="s">
        <v>190</v>
      </c>
      <c r="CA389" s="319" t="s">
        <v>190</v>
      </c>
      <c r="CB389" s="319" t="s">
        <v>190</v>
      </c>
      <c r="CC389" s="319" t="s">
        <v>190</v>
      </c>
      <c r="CD389" s="319" t="s">
        <v>190</v>
      </c>
      <c r="CE389" s="319" t="s">
        <v>190</v>
      </c>
      <c r="CF389" s="319" t="s">
        <v>190</v>
      </c>
      <c r="CG389" s="319" t="s">
        <v>190</v>
      </c>
      <c r="CH389" s="319" t="s">
        <v>190</v>
      </c>
      <c r="CI389" s="319" t="s">
        <v>190</v>
      </c>
      <c r="CJ389" s="319" t="s">
        <v>190</v>
      </c>
      <c r="CK389" s="319" t="s">
        <v>190</v>
      </c>
      <c r="CL389" s="319" t="s">
        <v>190</v>
      </c>
      <c r="CM389" s="319" t="s">
        <v>190</v>
      </c>
      <c r="CN389" s="319" t="s">
        <v>428</v>
      </c>
      <c r="CO389" s="319" t="s">
        <v>428</v>
      </c>
      <c r="CP389" s="319" t="s">
        <v>428</v>
      </c>
      <c r="CQ389" s="319" t="s">
        <v>190</v>
      </c>
      <c r="CR389" s="319" t="s">
        <v>190</v>
      </c>
      <c r="CS389" s="319" t="s">
        <v>190</v>
      </c>
      <c r="CT389" s="319" t="s">
        <v>190</v>
      </c>
      <c r="CU389" s="319" t="s">
        <v>190</v>
      </c>
      <c r="CV389" s="319" t="s">
        <v>190</v>
      </c>
      <c r="CW389" s="319" t="s">
        <v>190</v>
      </c>
      <c r="CX389" s="319" t="s">
        <v>190</v>
      </c>
      <c r="CY389" s="319" t="s">
        <v>190</v>
      </c>
      <c r="CZ389" s="319" t="s">
        <v>190</v>
      </c>
      <c r="DA389" s="319" t="s">
        <v>190</v>
      </c>
      <c r="DB389" s="319" t="s">
        <v>190</v>
      </c>
      <c r="DC389" s="319" t="s">
        <v>190</v>
      </c>
      <c r="DD389" s="319" t="s">
        <v>190</v>
      </c>
      <c r="DE389" s="319" t="s">
        <v>190</v>
      </c>
      <c r="DF389" s="319" t="s">
        <v>190</v>
      </c>
      <c r="DG389" s="319" t="s">
        <v>190</v>
      </c>
      <c r="DH389" s="319" t="s">
        <v>190</v>
      </c>
      <c r="DI389" s="319" t="s">
        <v>190</v>
      </c>
      <c r="DJ389" s="319" t="s">
        <v>190</v>
      </c>
      <c r="DK389" s="319" t="s">
        <v>190</v>
      </c>
      <c r="DL389" s="319" t="s">
        <v>190</v>
      </c>
      <c r="DM389" s="319" t="s">
        <v>190</v>
      </c>
      <c r="DN389" s="319" t="s">
        <v>428</v>
      </c>
      <c r="DO389" s="319" t="s">
        <v>190</v>
      </c>
      <c r="DP389" s="319" t="s">
        <v>190</v>
      </c>
      <c r="DQ389" s="319" t="s">
        <v>190</v>
      </c>
      <c r="DR389" s="319" t="s">
        <v>190</v>
      </c>
      <c r="DS389" s="319" t="s">
        <v>190</v>
      </c>
      <c r="DT389" s="319" t="s">
        <v>190</v>
      </c>
      <c r="DU389" s="319" t="s">
        <v>190</v>
      </c>
      <c r="DV389" s="319" t="s">
        <v>173</v>
      </c>
      <c r="DW389" s="319" t="s">
        <v>190</v>
      </c>
      <c r="DX389" s="319" t="s">
        <v>190</v>
      </c>
      <c r="DY389" s="319" t="s">
        <v>190</v>
      </c>
      <c r="DZ389" s="319" t="s">
        <v>190</v>
      </c>
      <c r="EA389" s="319" t="s">
        <v>190</v>
      </c>
      <c r="EB389" s="319" t="s">
        <v>190</v>
      </c>
      <c r="EC389" s="319" t="s">
        <v>428</v>
      </c>
      <c r="ED389" s="319" t="s">
        <v>190</v>
      </c>
      <c r="EE389" s="319" t="s">
        <v>190</v>
      </c>
      <c r="EF389" s="319" t="s">
        <v>190</v>
      </c>
      <c r="EG389" s="319" t="s">
        <v>190</v>
      </c>
      <c r="EH389" s="319" t="s">
        <v>190</v>
      </c>
      <c r="EI389" s="319" t="s">
        <v>190</v>
      </c>
      <c r="EJ389" s="319" t="s">
        <v>190</v>
      </c>
      <c r="EK389" s="319" t="s">
        <v>190</v>
      </c>
      <c r="EL389" s="319" t="s">
        <v>190</v>
      </c>
      <c r="EM389" s="319" t="s">
        <v>190</v>
      </c>
      <c r="EN389" s="319" t="s">
        <v>190</v>
      </c>
      <c r="EO389" s="319" t="s">
        <v>190</v>
      </c>
      <c r="EP389" s="319" t="s">
        <v>190</v>
      </c>
      <c r="EQ389" s="319" t="s">
        <v>190</v>
      </c>
      <c r="ER389" s="319" t="s">
        <v>190</v>
      </c>
      <c r="ES389" s="319" t="s">
        <v>190</v>
      </c>
      <c r="ET389" s="319" t="s">
        <v>190</v>
      </c>
      <c r="EU389" s="319" t="s">
        <v>190</v>
      </c>
      <c r="EV389" s="319" t="s">
        <v>190</v>
      </c>
      <c r="EW389" s="319" t="s">
        <v>190</v>
      </c>
      <c r="EX389" s="319" t="s">
        <v>190</v>
      </c>
      <c r="EY389" s="319" t="s">
        <v>190</v>
      </c>
      <c r="EZ389" s="319" t="s">
        <v>190</v>
      </c>
      <c r="FA389" s="319" t="s">
        <v>190</v>
      </c>
      <c r="FB389" s="319" t="s">
        <v>190</v>
      </c>
      <c r="FC389" s="319" t="s">
        <v>190</v>
      </c>
      <c r="FD389" s="319" t="s">
        <v>190</v>
      </c>
      <c r="FE389" s="319" t="s">
        <v>190</v>
      </c>
      <c r="FF389" s="319" t="s">
        <v>190</v>
      </c>
      <c r="FG389" s="319" t="s">
        <v>190</v>
      </c>
      <c r="FH389" s="319" t="s">
        <v>190</v>
      </c>
      <c r="FI389" s="319" t="s">
        <v>190</v>
      </c>
      <c r="FJ389" s="319" t="s">
        <v>190</v>
      </c>
      <c r="FK389" s="319" t="s">
        <v>190</v>
      </c>
      <c r="FL389" s="319" t="s">
        <v>190</v>
      </c>
      <c r="FM389" s="319" t="s">
        <v>190</v>
      </c>
      <c r="FN389" s="319" t="s">
        <v>190</v>
      </c>
      <c r="FO389" s="319" t="s">
        <v>190</v>
      </c>
      <c r="FP389" s="319" t="s">
        <v>190</v>
      </c>
      <c r="FQ389" s="319" t="s">
        <v>190</v>
      </c>
      <c r="FR389" s="319" t="s">
        <v>190</v>
      </c>
      <c r="FS389" s="319" t="s">
        <v>428</v>
      </c>
      <c r="FT389" s="319" t="s">
        <v>190</v>
      </c>
      <c r="FU389" s="319" t="s">
        <v>190</v>
      </c>
      <c r="FV389" s="319" t="s">
        <v>190</v>
      </c>
      <c r="FW389" s="319" t="s">
        <v>190</v>
      </c>
      <c r="FX389" s="319" t="s">
        <v>190</v>
      </c>
      <c r="FY389" s="319" t="s">
        <v>190</v>
      </c>
      <c r="FZ389" s="319" t="s">
        <v>190</v>
      </c>
      <c r="GA389" s="319" t="s">
        <v>190</v>
      </c>
      <c r="GB389" s="319" t="s">
        <v>190</v>
      </c>
      <c r="GC389" s="319" t="s">
        <v>190</v>
      </c>
      <c r="GD389" s="319" t="s">
        <v>190</v>
      </c>
      <c r="GE389" s="319" t="s">
        <v>190</v>
      </c>
      <c r="GF389" s="319" t="s">
        <v>190</v>
      </c>
      <c r="GG389" s="319" t="s">
        <v>190</v>
      </c>
      <c r="GH389" s="319" t="s">
        <v>190</v>
      </c>
      <c r="GI389" s="319" t="s">
        <v>190</v>
      </c>
      <c r="GJ389" s="319" t="s">
        <v>190</v>
      </c>
      <c r="GK389" s="319" t="s">
        <v>428</v>
      </c>
      <c r="GL389" s="319" t="s">
        <v>190</v>
      </c>
      <c r="GM389" s="319" t="s">
        <v>190</v>
      </c>
      <c r="GN389" s="319" t="s">
        <v>190</v>
      </c>
      <c r="GO389" s="319" t="s">
        <v>190</v>
      </c>
      <c r="GP389" s="319" t="s">
        <v>190</v>
      </c>
      <c r="GQ389" s="319" t="s">
        <v>190</v>
      </c>
      <c r="GR389" s="319" t="s">
        <v>190</v>
      </c>
      <c r="GS389" s="319" t="s">
        <v>190</v>
      </c>
      <c r="GT389" s="319" t="s">
        <v>190</v>
      </c>
      <c r="GU389" s="319" t="s">
        <v>190</v>
      </c>
      <c r="GV389" s="319" t="s">
        <v>190</v>
      </c>
      <c r="GW389" s="319" t="s">
        <v>190</v>
      </c>
      <c r="GX389" s="319" t="s">
        <v>190</v>
      </c>
      <c r="GY389" s="319" t="s">
        <v>190</v>
      </c>
      <c r="GZ389" s="319" t="s">
        <v>190</v>
      </c>
      <c r="HA389" s="319" t="s">
        <v>190</v>
      </c>
      <c r="HB389" s="319" t="s">
        <v>428</v>
      </c>
      <c r="HC389" s="319" t="s">
        <v>190</v>
      </c>
      <c r="HD389" s="319" t="s">
        <v>190</v>
      </c>
      <c r="HE389" s="319" t="s">
        <v>190</v>
      </c>
      <c r="HF389" s="319" t="s">
        <v>190</v>
      </c>
      <c r="HG389" s="319" t="s">
        <v>190</v>
      </c>
      <c r="HH389" s="319" t="s">
        <v>190</v>
      </c>
      <c r="HI389" s="319" t="s">
        <v>190</v>
      </c>
      <c r="HJ389" s="319" t="s">
        <v>190</v>
      </c>
      <c r="HK389" s="319" t="s">
        <v>428</v>
      </c>
      <c r="HL389" s="319" t="s">
        <v>428</v>
      </c>
      <c r="HM389" s="319" t="s">
        <v>428</v>
      </c>
      <c r="HN389" s="319" t="s">
        <v>428</v>
      </c>
      <c r="HO389" s="319" t="s">
        <v>428</v>
      </c>
      <c r="HP389" s="319" t="s">
        <v>191</v>
      </c>
      <c r="HQ389" s="319" t="s">
        <v>190</v>
      </c>
      <c r="HR389" s="319" t="s">
        <v>190</v>
      </c>
      <c r="HS389" s="319" t="s">
        <v>190</v>
      </c>
      <c r="HT389" s="319" t="s">
        <v>190</v>
      </c>
      <c r="HU389" s="319" t="s">
        <v>191</v>
      </c>
      <c r="HV389" s="319" t="s">
        <v>191</v>
      </c>
      <c r="HW389" s="319" t="s">
        <v>190</v>
      </c>
      <c r="HX389" s="319" t="s">
        <v>190</v>
      </c>
      <c r="HY389" s="319" t="s">
        <v>191</v>
      </c>
      <c r="HZ389" s="319" t="s">
        <v>191</v>
      </c>
      <c r="IA389" s="319" t="s">
        <v>191</v>
      </c>
      <c r="IB389" s="319" t="s">
        <v>191</v>
      </c>
      <c r="IC389" s="319" t="s">
        <v>191</v>
      </c>
      <c r="ID389" s="319" t="s">
        <v>191</v>
      </c>
      <c r="IE389" s="319" t="s">
        <v>191</v>
      </c>
      <c r="IF389" s="319" t="s">
        <v>191</v>
      </c>
      <c r="IG389" s="319" t="s">
        <v>191</v>
      </c>
      <c r="IH389" s="319" t="s">
        <v>191</v>
      </c>
      <c r="II389" s="319" t="s">
        <v>190</v>
      </c>
      <c r="IJ389" s="319">
        <v>10012944</v>
      </c>
      <c r="IK389" s="321">
        <v>42675</v>
      </c>
      <c r="IL389" s="321">
        <v>42677</v>
      </c>
      <c r="IM389" s="321">
        <v>42717</v>
      </c>
      <c r="IN389" s="319">
        <v>2</v>
      </c>
      <c r="IO389" s="319" t="s">
        <v>173</v>
      </c>
      <c r="IP389" s="319" t="s">
        <v>173</v>
      </c>
      <c r="IQ389" s="321" t="s">
        <v>173</v>
      </c>
      <c r="IR389" s="320" t="s">
        <v>173</v>
      </c>
      <c r="IS389" s="322" t="s">
        <v>173</v>
      </c>
      <c r="IT389" s="319" t="s">
        <v>173</v>
      </c>
    </row>
    <row r="390" spans="1:254" s="271" customFormat="1" x14ac:dyDescent="0.25">
      <c r="A390" s="318" t="str">
        <f>HYPERLINK("http://www.ofsted.gov.uk/inspection-reports/find-inspection-report/provider/ELS/133262 ","Ofsted School Webpage")</f>
        <v>Ofsted School Webpage</v>
      </c>
      <c r="B390" s="319">
        <v>133262</v>
      </c>
      <c r="C390" s="319">
        <v>3416082</v>
      </c>
      <c r="D390" s="319" t="s">
        <v>1748</v>
      </c>
      <c r="E390" s="319" t="s">
        <v>168</v>
      </c>
      <c r="F390" s="319" t="s">
        <v>81</v>
      </c>
      <c r="G390" s="319" t="s">
        <v>81</v>
      </c>
      <c r="H390" s="319" t="s">
        <v>81</v>
      </c>
      <c r="I390" s="319" t="s">
        <v>78</v>
      </c>
      <c r="J390" s="319" t="s">
        <v>424</v>
      </c>
      <c r="K390" s="319" t="s">
        <v>431</v>
      </c>
      <c r="L390" s="319" t="s">
        <v>431</v>
      </c>
      <c r="M390" s="319" t="s">
        <v>652</v>
      </c>
      <c r="N390" s="319" t="s">
        <v>3166</v>
      </c>
      <c r="O390" s="319" t="s">
        <v>1749</v>
      </c>
      <c r="P390" s="319">
        <v>32</v>
      </c>
      <c r="Q390" s="319" t="s">
        <v>429</v>
      </c>
      <c r="R390" s="320">
        <v>10026007</v>
      </c>
      <c r="S390" s="321">
        <v>42745</v>
      </c>
      <c r="T390" s="321">
        <v>42747</v>
      </c>
      <c r="U390" s="321">
        <v>42793</v>
      </c>
      <c r="V390" s="319" t="s">
        <v>425</v>
      </c>
      <c r="W390" s="319" t="s">
        <v>2767</v>
      </c>
      <c r="X390" s="319">
        <v>1</v>
      </c>
      <c r="Y390" s="319" t="s">
        <v>173</v>
      </c>
      <c r="Z390" s="319" t="s">
        <v>173</v>
      </c>
      <c r="AA390" s="319" t="s">
        <v>173</v>
      </c>
      <c r="AB390" s="319">
        <v>1</v>
      </c>
      <c r="AC390" s="319" t="s">
        <v>169</v>
      </c>
      <c r="AD390" s="319" t="s">
        <v>173</v>
      </c>
      <c r="AE390" s="319" t="s">
        <v>173</v>
      </c>
      <c r="AF390" s="319" t="s">
        <v>173</v>
      </c>
      <c r="AG390" s="319" t="s">
        <v>171</v>
      </c>
      <c r="AH390" s="319" t="s">
        <v>190</v>
      </c>
      <c r="AI390" s="319" t="s">
        <v>190</v>
      </c>
      <c r="AJ390" s="319" t="s">
        <v>190</v>
      </c>
      <c r="AK390" s="319" t="s">
        <v>190</v>
      </c>
      <c r="AL390" s="319" t="s">
        <v>190</v>
      </c>
      <c r="AM390" s="319" t="s">
        <v>190</v>
      </c>
      <c r="AN390" s="319" t="s">
        <v>190</v>
      </c>
      <c r="AO390" s="319" t="s">
        <v>190</v>
      </c>
      <c r="AP390" s="319" t="s">
        <v>190</v>
      </c>
      <c r="AQ390" s="319" t="s">
        <v>190</v>
      </c>
      <c r="AR390" s="319" t="s">
        <v>190</v>
      </c>
      <c r="AS390" s="319" t="s">
        <v>190</v>
      </c>
      <c r="AT390" s="319" t="s">
        <v>190</v>
      </c>
      <c r="AU390" s="319" t="s">
        <v>190</v>
      </c>
      <c r="AV390" s="319" t="s">
        <v>190</v>
      </c>
      <c r="AW390" s="319" t="s">
        <v>190</v>
      </c>
      <c r="AX390" s="319" t="s">
        <v>429</v>
      </c>
      <c r="AY390" s="319" t="s">
        <v>190</v>
      </c>
      <c r="AZ390" s="319" t="s">
        <v>190</v>
      </c>
      <c r="BA390" s="319" t="s">
        <v>190</v>
      </c>
      <c r="BB390" s="319" t="s">
        <v>190</v>
      </c>
      <c r="BC390" s="319" t="s">
        <v>190</v>
      </c>
      <c r="BD390" s="319" t="s">
        <v>190</v>
      </c>
      <c r="BE390" s="319" t="s">
        <v>190</v>
      </c>
      <c r="BF390" s="319" t="s">
        <v>429</v>
      </c>
      <c r="BG390" s="319" t="s">
        <v>429</v>
      </c>
      <c r="BH390" s="319" t="s">
        <v>190</v>
      </c>
      <c r="BI390" s="319" t="s">
        <v>190</v>
      </c>
      <c r="BJ390" s="319" t="s">
        <v>190</v>
      </c>
      <c r="BK390" s="319" t="s">
        <v>190</v>
      </c>
      <c r="BL390" s="319" t="s">
        <v>190</v>
      </c>
      <c r="BM390" s="319" t="s">
        <v>190</v>
      </c>
      <c r="BN390" s="319" t="s">
        <v>190</v>
      </c>
      <c r="BO390" s="319" t="s">
        <v>190</v>
      </c>
      <c r="BP390" s="319" t="s">
        <v>190</v>
      </c>
      <c r="BQ390" s="319" t="s">
        <v>190</v>
      </c>
      <c r="BR390" s="319" t="s">
        <v>190</v>
      </c>
      <c r="BS390" s="319" t="s">
        <v>190</v>
      </c>
      <c r="BT390" s="319" t="s">
        <v>190</v>
      </c>
      <c r="BU390" s="319" t="s">
        <v>190</v>
      </c>
      <c r="BV390" s="319" t="s">
        <v>190</v>
      </c>
      <c r="BW390" s="319" t="s">
        <v>190</v>
      </c>
      <c r="BX390" s="319" t="s">
        <v>190</v>
      </c>
      <c r="BY390" s="319" t="s">
        <v>190</v>
      </c>
      <c r="BZ390" s="319" t="s">
        <v>190</v>
      </c>
      <c r="CA390" s="319" t="s">
        <v>190</v>
      </c>
      <c r="CB390" s="319" t="s">
        <v>190</v>
      </c>
      <c r="CC390" s="319" t="s">
        <v>190</v>
      </c>
      <c r="CD390" s="319" t="s">
        <v>190</v>
      </c>
      <c r="CE390" s="319" t="s">
        <v>190</v>
      </c>
      <c r="CF390" s="319" t="s">
        <v>190</v>
      </c>
      <c r="CG390" s="319" t="s">
        <v>190</v>
      </c>
      <c r="CH390" s="319" t="s">
        <v>190</v>
      </c>
      <c r="CI390" s="319" t="s">
        <v>190</v>
      </c>
      <c r="CJ390" s="319" t="s">
        <v>190</v>
      </c>
      <c r="CK390" s="319" t="s">
        <v>190</v>
      </c>
      <c r="CL390" s="319" t="s">
        <v>190</v>
      </c>
      <c r="CM390" s="319" t="s">
        <v>190</v>
      </c>
      <c r="CN390" s="319" t="s">
        <v>429</v>
      </c>
      <c r="CO390" s="319" t="s">
        <v>429</v>
      </c>
      <c r="CP390" s="319" t="s">
        <v>429</v>
      </c>
      <c r="CQ390" s="319" t="s">
        <v>190</v>
      </c>
      <c r="CR390" s="319" t="s">
        <v>190</v>
      </c>
      <c r="CS390" s="319" t="s">
        <v>190</v>
      </c>
      <c r="CT390" s="319" t="s">
        <v>190</v>
      </c>
      <c r="CU390" s="319" t="s">
        <v>190</v>
      </c>
      <c r="CV390" s="319" t="s">
        <v>190</v>
      </c>
      <c r="CW390" s="319" t="s">
        <v>190</v>
      </c>
      <c r="CX390" s="319" t="s">
        <v>190</v>
      </c>
      <c r="CY390" s="319" t="s">
        <v>190</v>
      </c>
      <c r="CZ390" s="319" t="s">
        <v>190</v>
      </c>
      <c r="DA390" s="319" t="s">
        <v>190</v>
      </c>
      <c r="DB390" s="319" t="s">
        <v>190</v>
      </c>
      <c r="DC390" s="319" t="s">
        <v>190</v>
      </c>
      <c r="DD390" s="319" t="s">
        <v>190</v>
      </c>
      <c r="DE390" s="319" t="s">
        <v>190</v>
      </c>
      <c r="DF390" s="319" t="s">
        <v>190</v>
      </c>
      <c r="DG390" s="319" t="s">
        <v>190</v>
      </c>
      <c r="DH390" s="319" t="s">
        <v>190</v>
      </c>
      <c r="DI390" s="319" t="s">
        <v>190</v>
      </c>
      <c r="DJ390" s="319" t="s">
        <v>190</v>
      </c>
      <c r="DK390" s="319" t="s">
        <v>190</v>
      </c>
      <c r="DL390" s="319" t="s">
        <v>190</v>
      </c>
      <c r="DM390" s="319" t="s">
        <v>190</v>
      </c>
      <c r="DN390" s="319" t="s">
        <v>429</v>
      </c>
      <c r="DO390" s="319" t="s">
        <v>190</v>
      </c>
      <c r="DP390" s="319" t="s">
        <v>190</v>
      </c>
      <c r="DQ390" s="319" t="s">
        <v>190</v>
      </c>
      <c r="DR390" s="319" t="s">
        <v>190</v>
      </c>
      <c r="DS390" s="319" t="s">
        <v>190</v>
      </c>
      <c r="DT390" s="319" t="s">
        <v>190</v>
      </c>
      <c r="DU390" s="319" t="s">
        <v>190</v>
      </c>
      <c r="DV390" s="319" t="s">
        <v>173</v>
      </c>
      <c r="DW390" s="319" t="s">
        <v>190</v>
      </c>
      <c r="DX390" s="319" t="s">
        <v>190</v>
      </c>
      <c r="DY390" s="319" t="s">
        <v>190</v>
      </c>
      <c r="DZ390" s="319" t="s">
        <v>190</v>
      </c>
      <c r="EA390" s="319" t="s">
        <v>190</v>
      </c>
      <c r="EB390" s="319" t="s">
        <v>190</v>
      </c>
      <c r="EC390" s="319" t="s">
        <v>429</v>
      </c>
      <c r="ED390" s="319" t="s">
        <v>190</v>
      </c>
      <c r="EE390" s="319" t="s">
        <v>190</v>
      </c>
      <c r="EF390" s="319" t="s">
        <v>190</v>
      </c>
      <c r="EG390" s="319" t="s">
        <v>190</v>
      </c>
      <c r="EH390" s="319" t="s">
        <v>190</v>
      </c>
      <c r="EI390" s="319" t="s">
        <v>190</v>
      </c>
      <c r="EJ390" s="319" t="s">
        <v>190</v>
      </c>
      <c r="EK390" s="319" t="s">
        <v>190</v>
      </c>
      <c r="EL390" s="319" t="s">
        <v>190</v>
      </c>
      <c r="EM390" s="319" t="s">
        <v>190</v>
      </c>
      <c r="EN390" s="319" t="s">
        <v>190</v>
      </c>
      <c r="EO390" s="319" t="s">
        <v>190</v>
      </c>
      <c r="EP390" s="319" t="s">
        <v>190</v>
      </c>
      <c r="EQ390" s="319" t="s">
        <v>190</v>
      </c>
      <c r="ER390" s="319" t="s">
        <v>190</v>
      </c>
      <c r="ES390" s="319" t="s">
        <v>190</v>
      </c>
      <c r="ET390" s="319" t="s">
        <v>190</v>
      </c>
      <c r="EU390" s="319" t="s">
        <v>190</v>
      </c>
      <c r="EV390" s="319" t="s">
        <v>190</v>
      </c>
      <c r="EW390" s="319" t="s">
        <v>190</v>
      </c>
      <c r="EX390" s="319" t="s">
        <v>190</v>
      </c>
      <c r="EY390" s="319" t="s">
        <v>190</v>
      </c>
      <c r="EZ390" s="319" t="s">
        <v>190</v>
      </c>
      <c r="FA390" s="319" t="s">
        <v>190</v>
      </c>
      <c r="FB390" s="319" t="s">
        <v>190</v>
      </c>
      <c r="FC390" s="319" t="s">
        <v>190</v>
      </c>
      <c r="FD390" s="319" t="s">
        <v>190</v>
      </c>
      <c r="FE390" s="319" t="s">
        <v>190</v>
      </c>
      <c r="FF390" s="319" t="s">
        <v>190</v>
      </c>
      <c r="FG390" s="319" t="s">
        <v>190</v>
      </c>
      <c r="FH390" s="319" t="s">
        <v>190</v>
      </c>
      <c r="FI390" s="319" t="s">
        <v>190</v>
      </c>
      <c r="FJ390" s="319" t="s">
        <v>190</v>
      </c>
      <c r="FK390" s="319" t="s">
        <v>190</v>
      </c>
      <c r="FL390" s="319" t="s">
        <v>190</v>
      </c>
      <c r="FM390" s="319" t="s">
        <v>190</v>
      </c>
      <c r="FN390" s="319" t="s">
        <v>190</v>
      </c>
      <c r="FO390" s="319" t="s">
        <v>190</v>
      </c>
      <c r="FP390" s="319" t="s">
        <v>190</v>
      </c>
      <c r="FQ390" s="319" t="s">
        <v>190</v>
      </c>
      <c r="FR390" s="319" t="s">
        <v>190</v>
      </c>
      <c r="FS390" s="319" t="s">
        <v>429</v>
      </c>
      <c r="FT390" s="319" t="s">
        <v>190</v>
      </c>
      <c r="FU390" s="319" t="s">
        <v>190</v>
      </c>
      <c r="FV390" s="319" t="s">
        <v>190</v>
      </c>
      <c r="FW390" s="319" t="s">
        <v>190</v>
      </c>
      <c r="FX390" s="319" t="s">
        <v>190</v>
      </c>
      <c r="FY390" s="319" t="s">
        <v>190</v>
      </c>
      <c r="FZ390" s="319" t="s">
        <v>190</v>
      </c>
      <c r="GA390" s="319" t="s">
        <v>190</v>
      </c>
      <c r="GB390" s="319" t="s">
        <v>190</v>
      </c>
      <c r="GC390" s="319" t="s">
        <v>190</v>
      </c>
      <c r="GD390" s="319" t="s">
        <v>190</v>
      </c>
      <c r="GE390" s="319" t="s">
        <v>190</v>
      </c>
      <c r="GF390" s="319" t="s">
        <v>190</v>
      </c>
      <c r="GG390" s="319" t="s">
        <v>190</v>
      </c>
      <c r="GH390" s="319" t="s">
        <v>190</v>
      </c>
      <c r="GI390" s="319" t="s">
        <v>190</v>
      </c>
      <c r="GJ390" s="319" t="s">
        <v>190</v>
      </c>
      <c r="GK390" s="319" t="s">
        <v>429</v>
      </c>
      <c r="GL390" s="319" t="s">
        <v>190</v>
      </c>
      <c r="GM390" s="319" t="s">
        <v>190</v>
      </c>
      <c r="GN390" s="319" t="s">
        <v>190</v>
      </c>
      <c r="GO390" s="319" t="s">
        <v>190</v>
      </c>
      <c r="GP390" s="319" t="s">
        <v>190</v>
      </c>
      <c r="GQ390" s="319" t="s">
        <v>429</v>
      </c>
      <c r="GR390" s="319" t="s">
        <v>190</v>
      </c>
      <c r="GS390" s="319" t="s">
        <v>190</v>
      </c>
      <c r="GT390" s="319" t="s">
        <v>190</v>
      </c>
      <c r="GU390" s="319" t="s">
        <v>190</v>
      </c>
      <c r="GV390" s="319" t="s">
        <v>429</v>
      </c>
      <c r="GW390" s="319" t="s">
        <v>190</v>
      </c>
      <c r="GX390" s="319" t="s">
        <v>190</v>
      </c>
      <c r="GY390" s="319" t="s">
        <v>190</v>
      </c>
      <c r="GZ390" s="319" t="s">
        <v>429</v>
      </c>
      <c r="HA390" s="319" t="s">
        <v>190</v>
      </c>
      <c r="HB390" s="319" t="s">
        <v>429</v>
      </c>
      <c r="HC390" s="319" t="s">
        <v>190</v>
      </c>
      <c r="HD390" s="319" t="s">
        <v>190</v>
      </c>
      <c r="HE390" s="319" t="s">
        <v>190</v>
      </c>
      <c r="HF390" s="319" t="s">
        <v>190</v>
      </c>
      <c r="HG390" s="319" t="s">
        <v>190</v>
      </c>
      <c r="HH390" s="319" t="s">
        <v>190</v>
      </c>
      <c r="HI390" s="319" t="s">
        <v>190</v>
      </c>
      <c r="HJ390" s="319" t="s">
        <v>190</v>
      </c>
      <c r="HK390" s="319" t="s">
        <v>190</v>
      </c>
      <c r="HL390" s="319" t="s">
        <v>429</v>
      </c>
      <c r="HM390" s="319" t="s">
        <v>429</v>
      </c>
      <c r="HN390" s="319" t="s">
        <v>429</v>
      </c>
      <c r="HO390" s="319" t="s">
        <v>429</v>
      </c>
      <c r="HP390" s="319" t="s">
        <v>190</v>
      </c>
      <c r="HQ390" s="319" t="s">
        <v>190</v>
      </c>
      <c r="HR390" s="319" t="s">
        <v>190</v>
      </c>
      <c r="HS390" s="319" t="s">
        <v>190</v>
      </c>
      <c r="HT390" s="319" t="s">
        <v>190</v>
      </c>
      <c r="HU390" s="319" t="s">
        <v>190</v>
      </c>
      <c r="HV390" s="319" t="s">
        <v>190</v>
      </c>
      <c r="HW390" s="319" t="s">
        <v>190</v>
      </c>
      <c r="HX390" s="319" t="s">
        <v>190</v>
      </c>
      <c r="HY390" s="319" t="s">
        <v>190</v>
      </c>
      <c r="HZ390" s="319" t="s">
        <v>190</v>
      </c>
      <c r="IA390" s="319" t="s">
        <v>190</v>
      </c>
      <c r="IB390" s="319" t="s">
        <v>190</v>
      </c>
      <c r="IC390" s="319" t="s">
        <v>190</v>
      </c>
      <c r="ID390" s="319" t="s">
        <v>190</v>
      </c>
      <c r="IE390" s="319" t="s">
        <v>190</v>
      </c>
      <c r="IF390" s="319" t="s">
        <v>190</v>
      </c>
      <c r="IG390" s="319" t="s">
        <v>190</v>
      </c>
      <c r="IH390" s="319" t="s">
        <v>190</v>
      </c>
      <c r="II390" s="319" t="s">
        <v>190</v>
      </c>
      <c r="IJ390" s="319" t="s">
        <v>3167</v>
      </c>
      <c r="IK390" s="321">
        <v>41661</v>
      </c>
      <c r="IL390" s="321">
        <v>41663</v>
      </c>
      <c r="IM390" s="321">
        <v>41684</v>
      </c>
      <c r="IN390" s="319">
        <v>1</v>
      </c>
      <c r="IO390" s="319" t="s">
        <v>173</v>
      </c>
      <c r="IP390" s="319" t="s">
        <v>173</v>
      </c>
      <c r="IQ390" s="319" t="s">
        <v>173</v>
      </c>
      <c r="IR390" s="320" t="s">
        <v>173</v>
      </c>
      <c r="IS390" s="320" t="s">
        <v>173</v>
      </c>
      <c r="IT390" s="319" t="s">
        <v>173</v>
      </c>
    </row>
    <row r="391" spans="1:254" s="271" customFormat="1" x14ac:dyDescent="0.25">
      <c r="A391" s="318" t="str">
        <f>HYPERLINK("http://www.ofsted.gov.uk/inspection-reports/find-inspection-report/provider/ELS/133285 ","Ofsted School Webpage")</f>
        <v>Ofsted School Webpage</v>
      </c>
      <c r="B391" s="319">
        <v>133285</v>
      </c>
      <c r="C391" s="319">
        <v>3506018</v>
      </c>
      <c r="D391" s="319" t="s">
        <v>1750</v>
      </c>
      <c r="E391" s="319" t="s">
        <v>167</v>
      </c>
      <c r="F391" s="319" t="s">
        <v>71</v>
      </c>
      <c r="G391" s="319" t="s">
        <v>72</v>
      </c>
      <c r="H391" s="319" t="s">
        <v>71</v>
      </c>
      <c r="I391" s="319" t="s">
        <v>72</v>
      </c>
      <c r="J391" s="319" t="s">
        <v>424</v>
      </c>
      <c r="K391" s="319" t="s">
        <v>431</v>
      </c>
      <c r="L391" s="319" t="s">
        <v>431</v>
      </c>
      <c r="M391" s="319" t="s">
        <v>1031</v>
      </c>
      <c r="N391" s="319" t="s">
        <v>3168</v>
      </c>
      <c r="O391" s="319" t="s">
        <v>1751</v>
      </c>
      <c r="P391" s="319">
        <v>121</v>
      </c>
      <c r="Q391" s="319" t="s">
        <v>2776</v>
      </c>
      <c r="R391" s="320">
        <v>10112067</v>
      </c>
      <c r="S391" s="321">
        <v>43774</v>
      </c>
      <c r="T391" s="321">
        <v>43776</v>
      </c>
      <c r="U391" s="321">
        <v>43801</v>
      </c>
      <c r="V391" s="319" t="s">
        <v>425</v>
      </c>
      <c r="W391" s="319" t="s">
        <v>2767</v>
      </c>
      <c r="X391" s="319">
        <v>2</v>
      </c>
      <c r="Y391" s="319">
        <v>2</v>
      </c>
      <c r="Z391" s="319">
        <v>1</v>
      </c>
      <c r="AA391" s="319">
        <v>2</v>
      </c>
      <c r="AB391" s="319">
        <v>2</v>
      </c>
      <c r="AC391" s="319" t="s">
        <v>169</v>
      </c>
      <c r="AD391" s="319" t="s">
        <v>173</v>
      </c>
      <c r="AE391" s="319">
        <v>2</v>
      </c>
      <c r="AF391" s="319" t="s">
        <v>427</v>
      </c>
      <c r="AG391" s="319" t="s">
        <v>171</v>
      </c>
      <c r="AH391" s="319" t="s">
        <v>190</v>
      </c>
      <c r="AI391" s="319" t="s">
        <v>190</v>
      </c>
      <c r="AJ391" s="319" t="s">
        <v>190</v>
      </c>
      <c r="AK391" s="319" t="s">
        <v>190</v>
      </c>
      <c r="AL391" s="319" t="s">
        <v>190</v>
      </c>
      <c r="AM391" s="319" t="s">
        <v>190</v>
      </c>
      <c r="AN391" s="319" t="s">
        <v>190</v>
      </c>
      <c r="AO391" s="319" t="s">
        <v>190</v>
      </c>
      <c r="AP391" s="319" t="s">
        <v>190</v>
      </c>
      <c r="AQ391" s="319" t="s">
        <v>190</v>
      </c>
      <c r="AR391" s="319" t="s">
        <v>190</v>
      </c>
      <c r="AS391" s="319" t="s">
        <v>190</v>
      </c>
      <c r="AT391" s="319" t="s">
        <v>190</v>
      </c>
      <c r="AU391" s="319" t="s">
        <v>190</v>
      </c>
      <c r="AV391" s="319" t="s">
        <v>190</v>
      </c>
      <c r="AW391" s="319" t="s">
        <v>190</v>
      </c>
      <c r="AX391" s="319" t="s">
        <v>428</v>
      </c>
      <c r="AY391" s="319" t="s">
        <v>190</v>
      </c>
      <c r="AZ391" s="319" t="s">
        <v>190</v>
      </c>
      <c r="BA391" s="319" t="s">
        <v>190</v>
      </c>
      <c r="BB391" s="319" t="s">
        <v>190</v>
      </c>
      <c r="BC391" s="319" t="s">
        <v>190</v>
      </c>
      <c r="BD391" s="319" t="s">
        <v>190</v>
      </c>
      <c r="BE391" s="319" t="s">
        <v>190</v>
      </c>
      <c r="BF391" s="319" t="s">
        <v>428</v>
      </c>
      <c r="BG391" s="319" t="s">
        <v>190</v>
      </c>
      <c r="BH391" s="319" t="s">
        <v>190</v>
      </c>
      <c r="BI391" s="319" t="s">
        <v>190</v>
      </c>
      <c r="BJ391" s="319" t="s">
        <v>190</v>
      </c>
      <c r="BK391" s="319" t="s">
        <v>190</v>
      </c>
      <c r="BL391" s="319" t="s">
        <v>190</v>
      </c>
      <c r="BM391" s="319" t="s">
        <v>190</v>
      </c>
      <c r="BN391" s="319" t="s">
        <v>190</v>
      </c>
      <c r="BO391" s="319" t="s">
        <v>190</v>
      </c>
      <c r="BP391" s="319" t="s">
        <v>190</v>
      </c>
      <c r="BQ391" s="319" t="s">
        <v>190</v>
      </c>
      <c r="BR391" s="319" t="s">
        <v>190</v>
      </c>
      <c r="BS391" s="319" t="s">
        <v>190</v>
      </c>
      <c r="BT391" s="319" t="s">
        <v>190</v>
      </c>
      <c r="BU391" s="319" t="s">
        <v>190</v>
      </c>
      <c r="BV391" s="319" t="s">
        <v>190</v>
      </c>
      <c r="BW391" s="319" t="s">
        <v>190</v>
      </c>
      <c r="BX391" s="319" t="s">
        <v>190</v>
      </c>
      <c r="BY391" s="319" t="s">
        <v>190</v>
      </c>
      <c r="BZ391" s="319" t="s">
        <v>190</v>
      </c>
      <c r="CA391" s="319" t="s">
        <v>190</v>
      </c>
      <c r="CB391" s="319" t="s">
        <v>190</v>
      </c>
      <c r="CC391" s="319" t="s">
        <v>190</v>
      </c>
      <c r="CD391" s="319" t="s">
        <v>190</v>
      </c>
      <c r="CE391" s="319" t="s">
        <v>190</v>
      </c>
      <c r="CF391" s="319" t="s">
        <v>190</v>
      </c>
      <c r="CG391" s="319" t="s">
        <v>190</v>
      </c>
      <c r="CH391" s="319" t="s">
        <v>190</v>
      </c>
      <c r="CI391" s="319" t="s">
        <v>190</v>
      </c>
      <c r="CJ391" s="319" t="s">
        <v>190</v>
      </c>
      <c r="CK391" s="319" t="s">
        <v>190</v>
      </c>
      <c r="CL391" s="319" t="s">
        <v>190</v>
      </c>
      <c r="CM391" s="319" t="s">
        <v>190</v>
      </c>
      <c r="CN391" s="319" t="s">
        <v>428</v>
      </c>
      <c r="CO391" s="319" t="s">
        <v>428</v>
      </c>
      <c r="CP391" s="319" t="s">
        <v>428</v>
      </c>
      <c r="CQ391" s="319" t="s">
        <v>190</v>
      </c>
      <c r="CR391" s="319" t="s">
        <v>190</v>
      </c>
      <c r="CS391" s="319" t="s">
        <v>190</v>
      </c>
      <c r="CT391" s="319" t="s">
        <v>190</v>
      </c>
      <c r="CU391" s="319" t="s">
        <v>190</v>
      </c>
      <c r="CV391" s="319" t="s">
        <v>190</v>
      </c>
      <c r="CW391" s="319" t="s">
        <v>190</v>
      </c>
      <c r="CX391" s="319" t="s">
        <v>190</v>
      </c>
      <c r="CY391" s="319" t="s">
        <v>190</v>
      </c>
      <c r="CZ391" s="319" t="s">
        <v>190</v>
      </c>
      <c r="DA391" s="319" t="s">
        <v>190</v>
      </c>
      <c r="DB391" s="319" t="s">
        <v>190</v>
      </c>
      <c r="DC391" s="319" t="s">
        <v>190</v>
      </c>
      <c r="DD391" s="319" t="s">
        <v>190</v>
      </c>
      <c r="DE391" s="319" t="s">
        <v>190</v>
      </c>
      <c r="DF391" s="319" t="s">
        <v>190</v>
      </c>
      <c r="DG391" s="319" t="s">
        <v>190</v>
      </c>
      <c r="DH391" s="319" t="s">
        <v>190</v>
      </c>
      <c r="DI391" s="319" t="s">
        <v>190</v>
      </c>
      <c r="DJ391" s="319" t="s">
        <v>190</v>
      </c>
      <c r="DK391" s="319" t="s">
        <v>190</v>
      </c>
      <c r="DL391" s="319" t="s">
        <v>190</v>
      </c>
      <c r="DM391" s="319" t="s">
        <v>190</v>
      </c>
      <c r="DN391" s="319" t="s">
        <v>428</v>
      </c>
      <c r="DO391" s="319" t="s">
        <v>190</v>
      </c>
      <c r="DP391" s="319" t="s">
        <v>428</v>
      </c>
      <c r="DQ391" s="319" t="s">
        <v>428</v>
      </c>
      <c r="DR391" s="319" t="s">
        <v>428</v>
      </c>
      <c r="DS391" s="319" t="s">
        <v>428</v>
      </c>
      <c r="DT391" s="319" t="s">
        <v>428</v>
      </c>
      <c r="DU391" s="319" t="s">
        <v>428</v>
      </c>
      <c r="DV391" s="319" t="s">
        <v>428</v>
      </c>
      <c r="DW391" s="319" t="s">
        <v>428</v>
      </c>
      <c r="DX391" s="319" t="s">
        <v>428</v>
      </c>
      <c r="DY391" s="319" t="s">
        <v>428</v>
      </c>
      <c r="DZ391" s="319" t="s">
        <v>428</v>
      </c>
      <c r="EA391" s="319" t="s">
        <v>428</v>
      </c>
      <c r="EB391" s="319" t="s">
        <v>428</v>
      </c>
      <c r="EC391" s="319" t="s">
        <v>428</v>
      </c>
      <c r="ED391" s="319" t="s">
        <v>428</v>
      </c>
      <c r="EE391" s="319" t="s">
        <v>190</v>
      </c>
      <c r="EF391" s="319" t="s">
        <v>190</v>
      </c>
      <c r="EG391" s="319" t="s">
        <v>190</v>
      </c>
      <c r="EH391" s="319" t="s">
        <v>190</v>
      </c>
      <c r="EI391" s="319" t="s">
        <v>190</v>
      </c>
      <c r="EJ391" s="319" t="s">
        <v>190</v>
      </c>
      <c r="EK391" s="319" t="s">
        <v>190</v>
      </c>
      <c r="EL391" s="319" t="s">
        <v>190</v>
      </c>
      <c r="EM391" s="319" t="s">
        <v>190</v>
      </c>
      <c r="EN391" s="319" t="s">
        <v>190</v>
      </c>
      <c r="EO391" s="319" t="s">
        <v>190</v>
      </c>
      <c r="EP391" s="319" t="s">
        <v>190</v>
      </c>
      <c r="EQ391" s="319" t="s">
        <v>190</v>
      </c>
      <c r="ER391" s="319" t="s">
        <v>190</v>
      </c>
      <c r="ES391" s="319" t="s">
        <v>190</v>
      </c>
      <c r="ET391" s="319" t="s">
        <v>190</v>
      </c>
      <c r="EU391" s="319" t="s">
        <v>190</v>
      </c>
      <c r="EV391" s="319" t="s">
        <v>190</v>
      </c>
      <c r="EW391" s="319" t="s">
        <v>190</v>
      </c>
      <c r="EX391" s="319" t="s">
        <v>190</v>
      </c>
      <c r="EY391" s="319" t="s">
        <v>190</v>
      </c>
      <c r="EZ391" s="319" t="s">
        <v>190</v>
      </c>
      <c r="FA391" s="319" t="s">
        <v>190</v>
      </c>
      <c r="FB391" s="319" t="s">
        <v>428</v>
      </c>
      <c r="FC391" s="319" t="s">
        <v>428</v>
      </c>
      <c r="FD391" s="319" t="s">
        <v>428</v>
      </c>
      <c r="FE391" s="319" t="s">
        <v>428</v>
      </c>
      <c r="FF391" s="319" t="s">
        <v>428</v>
      </c>
      <c r="FG391" s="319" t="s">
        <v>428</v>
      </c>
      <c r="FH391" s="319" t="s">
        <v>428</v>
      </c>
      <c r="FI391" s="319" t="s">
        <v>190</v>
      </c>
      <c r="FJ391" s="319" t="s">
        <v>190</v>
      </c>
      <c r="FK391" s="319" t="s">
        <v>190</v>
      </c>
      <c r="FL391" s="319" t="s">
        <v>190</v>
      </c>
      <c r="FM391" s="319" t="s">
        <v>190</v>
      </c>
      <c r="FN391" s="319" t="s">
        <v>428</v>
      </c>
      <c r="FO391" s="319" t="s">
        <v>190</v>
      </c>
      <c r="FP391" s="319" t="s">
        <v>190</v>
      </c>
      <c r="FQ391" s="319" t="s">
        <v>190</v>
      </c>
      <c r="FR391" s="319" t="s">
        <v>190</v>
      </c>
      <c r="FS391" s="319" t="s">
        <v>428</v>
      </c>
      <c r="FT391" s="319" t="s">
        <v>190</v>
      </c>
      <c r="FU391" s="319" t="s">
        <v>190</v>
      </c>
      <c r="FV391" s="319" t="s">
        <v>190</v>
      </c>
      <c r="FW391" s="319" t="s">
        <v>190</v>
      </c>
      <c r="FX391" s="319" t="s">
        <v>190</v>
      </c>
      <c r="FY391" s="319" t="s">
        <v>190</v>
      </c>
      <c r="FZ391" s="319" t="s">
        <v>190</v>
      </c>
      <c r="GA391" s="319" t="s">
        <v>190</v>
      </c>
      <c r="GB391" s="319" t="s">
        <v>190</v>
      </c>
      <c r="GC391" s="319" t="s">
        <v>190</v>
      </c>
      <c r="GD391" s="319" t="s">
        <v>190</v>
      </c>
      <c r="GE391" s="319" t="s">
        <v>190</v>
      </c>
      <c r="GF391" s="319" t="s">
        <v>190</v>
      </c>
      <c r="GG391" s="319" t="s">
        <v>190</v>
      </c>
      <c r="GH391" s="319" t="s">
        <v>190</v>
      </c>
      <c r="GI391" s="319" t="s">
        <v>190</v>
      </c>
      <c r="GJ391" s="319" t="s">
        <v>190</v>
      </c>
      <c r="GK391" s="319" t="s">
        <v>428</v>
      </c>
      <c r="GL391" s="319" t="s">
        <v>190</v>
      </c>
      <c r="GM391" s="319" t="s">
        <v>190</v>
      </c>
      <c r="GN391" s="319" t="s">
        <v>190</v>
      </c>
      <c r="GO391" s="319" t="s">
        <v>190</v>
      </c>
      <c r="GP391" s="319" t="s">
        <v>190</v>
      </c>
      <c r="GQ391" s="319" t="s">
        <v>428</v>
      </c>
      <c r="GR391" s="319" t="s">
        <v>190</v>
      </c>
      <c r="GS391" s="319" t="s">
        <v>190</v>
      </c>
      <c r="GT391" s="319" t="s">
        <v>190</v>
      </c>
      <c r="GU391" s="319" t="s">
        <v>190</v>
      </c>
      <c r="GV391" s="319" t="s">
        <v>190</v>
      </c>
      <c r="GW391" s="319" t="s">
        <v>190</v>
      </c>
      <c r="GX391" s="319" t="s">
        <v>190</v>
      </c>
      <c r="GY391" s="319" t="s">
        <v>190</v>
      </c>
      <c r="GZ391" s="319" t="s">
        <v>190</v>
      </c>
      <c r="HA391" s="319" t="s">
        <v>428</v>
      </c>
      <c r="HB391" s="319" t="s">
        <v>428</v>
      </c>
      <c r="HC391" s="319" t="s">
        <v>190</v>
      </c>
      <c r="HD391" s="319" t="s">
        <v>190</v>
      </c>
      <c r="HE391" s="319" t="s">
        <v>190</v>
      </c>
      <c r="HF391" s="319" t="s">
        <v>190</v>
      </c>
      <c r="HG391" s="319" t="s">
        <v>190</v>
      </c>
      <c r="HH391" s="319" t="s">
        <v>190</v>
      </c>
      <c r="HI391" s="319" t="s">
        <v>190</v>
      </c>
      <c r="HJ391" s="319" t="s">
        <v>190</v>
      </c>
      <c r="HK391" s="319" t="s">
        <v>190</v>
      </c>
      <c r="HL391" s="319" t="s">
        <v>428</v>
      </c>
      <c r="HM391" s="319" t="s">
        <v>428</v>
      </c>
      <c r="HN391" s="319" t="s">
        <v>428</v>
      </c>
      <c r="HO391" s="319" t="s">
        <v>428</v>
      </c>
      <c r="HP391" s="319" t="s">
        <v>190</v>
      </c>
      <c r="HQ391" s="319" t="s">
        <v>190</v>
      </c>
      <c r="HR391" s="319" t="s">
        <v>190</v>
      </c>
      <c r="HS391" s="319" t="s">
        <v>190</v>
      </c>
      <c r="HT391" s="319" t="s">
        <v>190</v>
      </c>
      <c r="HU391" s="319" t="s">
        <v>190</v>
      </c>
      <c r="HV391" s="319" t="s">
        <v>190</v>
      </c>
      <c r="HW391" s="319" t="s">
        <v>190</v>
      </c>
      <c r="HX391" s="319" t="s">
        <v>190</v>
      </c>
      <c r="HY391" s="319" t="s">
        <v>190</v>
      </c>
      <c r="HZ391" s="319" t="s">
        <v>190</v>
      </c>
      <c r="IA391" s="319" t="s">
        <v>190</v>
      </c>
      <c r="IB391" s="319" t="s">
        <v>190</v>
      </c>
      <c r="IC391" s="319" t="s">
        <v>190</v>
      </c>
      <c r="ID391" s="319" t="s">
        <v>190</v>
      </c>
      <c r="IE391" s="319" t="s">
        <v>190</v>
      </c>
      <c r="IF391" s="319" t="s">
        <v>190</v>
      </c>
      <c r="IG391" s="319" t="s">
        <v>190</v>
      </c>
      <c r="IH391" s="319" t="s">
        <v>190</v>
      </c>
      <c r="II391" s="319" t="s">
        <v>190</v>
      </c>
      <c r="IJ391" s="319">
        <v>10007711</v>
      </c>
      <c r="IK391" s="321">
        <v>42759</v>
      </c>
      <c r="IL391" s="321">
        <v>42761</v>
      </c>
      <c r="IM391" s="321">
        <v>42803</v>
      </c>
      <c r="IN391" s="319">
        <v>1</v>
      </c>
      <c r="IO391" s="319" t="s">
        <v>173</v>
      </c>
      <c r="IP391" s="319" t="s">
        <v>173</v>
      </c>
      <c r="IQ391" s="319" t="s">
        <v>173</v>
      </c>
      <c r="IR391" s="320" t="s">
        <v>173</v>
      </c>
      <c r="IS391" s="320" t="s">
        <v>173</v>
      </c>
      <c r="IT391" s="319" t="s">
        <v>173</v>
      </c>
    </row>
    <row r="392" spans="1:254" s="271" customFormat="1" x14ac:dyDescent="0.25">
      <c r="A392" s="318" t="str">
        <f>HYPERLINK("http://www.ofsted.gov.uk/inspection-reports/find-inspection-report/provider/ELS/133298 ","Ofsted School Webpage")</f>
        <v>Ofsted School Webpage</v>
      </c>
      <c r="B392" s="319">
        <v>133298</v>
      </c>
      <c r="C392" s="319">
        <v>8866089</v>
      </c>
      <c r="D392" s="319" t="s">
        <v>1012</v>
      </c>
      <c r="E392" s="319" t="s">
        <v>168</v>
      </c>
      <c r="F392" s="319" t="s">
        <v>81</v>
      </c>
      <c r="G392" s="319" t="s">
        <v>81</v>
      </c>
      <c r="H392" s="319" t="s">
        <v>81</v>
      </c>
      <c r="I392" s="319" t="s">
        <v>78</v>
      </c>
      <c r="J392" s="319" t="s">
        <v>424</v>
      </c>
      <c r="K392" s="319" t="s">
        <v>514</v>
      </c>
      <c r="L392" s="319" t="s">
        <v>514</v>
      </c>
      <c r="M392" s="319" t="s">
        <v>614</v>
      </c>
      <c r="N392" s="319" t="s">
        <v>3077</v>
      </c>
      <c r="O392" s="319" t="s">
        <v>1013</v>
      </c>
      <c r="P392" s="319">
        <v>16</v>
      </c>
      <c r="Q392" s="319" t="s">
        <v>429</v>
      </c>
      <c r="R392" s="320">
        <v>10056676</v>
      </c>
      <c r="S392" s="321">
        <v>43781</v>
      </c>
      <c r="T392" s="321">
        <v>43783</v>
      </c>
      <c r="U392" s="321">
        <v>43811</v>
      </c>
      <c r="V392" s="319" t="s">
        <v>425</v>
      </c>
      <c r="W392" s="319" t="s">
        <v>2767</v>
      </c>
      <c r="X392" s="319">
        <v>3</v>
      </c>
      <c r="Y392" s="319">
        <v>3</v>
      </c>
      <c r="Z392" s="319">
        <v>2</v>
      </c>
      <c r="AA392" s="319">
        <v>2</v>
      </c>
      <c r="AB392" s="319">
        <v>2</v>
      </c>
      <c r="AC392" s="319" t="s">
        <v>169</v>
      </c>
      <c r="AD392" s="319" t="s">
        <v>173</v>
      </c>
      <c r="AE392" s="319" t="s">
        <v>173</v>
      </c>
      <c r="AF392" s="319" t="s">
        <v>427</v>
      </c>
      <c r="AG392" s="319" t="s">
        <v>171</v>
      </c>
      <c r="AH392" s="319" t="s">
        <v>190</v>
      </c>
      <c r="AI392" s="319" t="s">
        <v>190</v>
      </c>
      <c r="AJ392" s="319" t="s">
        <v>190</v>
      </c>
      <c r="AK392" s="319" t="s">
        <v>190</v>
      </c>
      <c r="AL392" s="319" t="s">
        <v>190</v>
      </c>
      <c r="AM392" s="319" t="s">
        <v>190</v>
      </c>
      <c r="AN392" s="319" t="s">
        <v>190</v>
      </c>
      <c r="AO392" s="319" t="s">
        <v>190</v>
      </c>
      <c r="AP392" s="319" t="s">
        <v>190</v>
      </c>
      <c r="AQ392" s="319" t="s">
        <v>190</v>
      </c>
      <c r="AR392" s="319" t="s">
        <v>190</v>
      </c>
      <c r="AS392" s="319" t="s">
        <v>190</v>
      </c>
      <c r="AT392" s="319" t="s">
        <v>190</v>
      </c>
      <c r="AU392" s="319" t="s">
        <v>190</v>
      </c>
      <c r="AV392" s="319" t="s">
        <v>190</v>
      </c>
      <c r="AW392" s="319" t="s">
        <v>190</v>
      </c>
      <c r="AX392" s="319" t="s">
        <v>428</v>
      </c>
      <c r="AY392" s="319" t="s">
        <v>190</v>
      </c>
      <c r="AZ392" s="319" t="s">
        <v>190</v>
      </c>
      <c r="BA392" s="319" t="s">
        <v>190</v>
      </c>
      <c r="BB392" s="319" t="s">
        <v>428</v>
      </c>
      <c r="BC392" s="319" t="s">
        <v>428</v>
      </c>
      <c r="BD392" s="319" t="s">
        <v>428</v>
      </c>
      <c r="BE392" s="319" t="s">
        <v>428</v>
      </c>
      <c r="BF392" s="319" t="s">
        <v>428</v>
      </c>
      <c r="BG392" s="319" t="s">
        <v>428</v>
      </c>
      <c r="BH392" s="319" t="s">
        <v>190</v>
      </c>
      <c r="BI392" s="319" t="s">
        <v>190</v>
      </c>
      <c r="BJ392" s="319" t="s">
        <v>190</v>
      </c>
      <c r="BK392" s="319" t="s">
        <v>190</v>
      </c>
      <c r="BL392" s="319" t="s">
        <v>190</v>
      </c>
      <c r="BM392" s="319" t="s">
        <v>190</v>
      </c>
      <c r="BN392" s="319" t="s">
        <v>190</v>
      </c>
      <c r="BO392" s="319" t="s">
        <v>190</v>
      </c>
      <c r="BP392" s="319" t="s">
        <v>190</v>
      </c>
      <c r="BQ392" s="319" t="s">
        <v>190</v>
      </c>
      <c r="BR392" s="319" t="s">
        <v>190</v>
      </c>
      <c r="BS392" s="319" t="s">
        <v>190</v>
      </c>
      <c r="BT392" s="319" t="s">
        <v>190</v>
      </c>
      <c r="BU392" s="319" t="s">
        <v>190</v>
      </c>
      <c r="BV392" s="319" t="s">
        <v>190</v>
      </c>
      <c r="BW392" s="319" t="s">
        <v>190</v>
      </c>
      <c r="BX392" s="319" t="s">
        <v>190</v>
      </c>
      <c r="BY392" s="319" t="s">
        <v>190</v>
      </c>
      <c r="BZ392" s="319" t="s">
        <v>190</v>
      </c>
      <c r="CA392" s="319" t="s">
        <v>190</v>
      </c>
      <c r="CB392" s="319" t="s">
        <v>190</v>
      </c>
      <c r="CC392" s="319" t="s">
        <v>190</v>
      </c>
      <c r="CD392" s="319" t="s">
        <v>190</v>
      </c>
      <c r="CE392" s="319" t="s">
        <v>190</v>
      </c>
      <c r="CF392" s="319" t="s">
        <v>190</v>
      </c>
      <c r="CG392" s="319" t="s">
        <v>190</v>
      </c>
      <c r="CH392" s="319" t="s">
        <v>190</v>
      </c>
      <c r="CI392" s="319" t="s">
        <v>190</v>
      </c>
      <c r="CJ392" s="319" t="s">
        <v>190</v>
      </c>
      <c r="CK392" s="319" t="s">
        <v>190</v>
      </c>
      <c r="CL392" s="319" t="s">
        <v>190</v>
      </c>
      <c r="CM392" s="319" t="s">
        <v>190</v>
      </c>
      <c r="CN392" s="319" t="s">
        <v>190</v>
      </c>
      <c r="CO392" s="319" t="s">
        <v>190</v>
      </c>
      <c r="CP392" s="319" t="s">
        <v>428</v>
      </c>
      <c r="CQ392" s="319" t="s">
        <v>190</v>
      </c>
      <c r="CR392" s="319" t="s">
        <v>190</v>
      </c>
      <c r="CS392" s="319" t="s">
        <v>190</v>
      </c>
      <c r="CT392" s="319" t="s">
        <v>190</v>
      </c>
      <c r="CU392" s="319" t="s">
        <v>190</v>
      </c>
      <c r="CV392" s="319" t="s">
        <v>190</v>
      </c>
      <c r="CW392" s="319" t="s">
        <v>190</v>
      </c>
      <c r="CX392" s="319" t="s">
        <v>190</v>
      </c>
      <c r="CY392" s="319" t="s">
        <v>190</v>
      </c>
      <c r="CZ392" s="319" t="s">
        <v>190</v>
      </c>
      <c r="DA392" s="319" t="s">
        <v>190</v>
      </c>
      <c r="DB392" s="319" t="s">
        <v>190</v>
      </c>
      <c r="DC392" s="319" t="s">
        <v>190</v>
      </c>
      <c r="DD392" s="319" t="s">
        <v>190</v>
      </c>
      <c r="DE392" s="319" t="s">
        <v>190</v>
      </c>
      <c r="DF392" s="319" t="s">
        <v>190</v>
      </c>
      <c r="DG392" s="319" t="s">
        <v>190</v>
      </c>
      <c r="DH392" s="319" t="s">
        <v>190</v>
      </c>
      <c r="DI392" s="319" t="s">
        <v>190</v>
      </c>
      <c r="DJ392" s="319" t="s">
        <v>190</v>
      </c>
      <c r="DK392" s="319" t="s">
        <v>190</v>
      </c>
      <c r="DL392" s="319" t="s">
        <v>190</v>
      </c>
      <c r="DM392" s="319" t="s">
        <v>428</v>
      </c>
      <c r="DN392" s="319" t="s">
        <v>428</v>
      </c>
      <c r="DO392" s="319" t="s">
        <v>190</v>
      </c>
      <c r="DP392" s="319" t="s">
        <v>428</v>
      </c>
      <c r="DQ392" s="319" t="s">
        <v>428</v>
      </c>
      <c r="DR392" s="319" t="s">
        <v>428</v>
      </c>
      <c r="DS392" s="319" t="s">
        <v>428</v>
      </c>
      <c r="DT392" s="319" t="s">
        <v>428</v>
      </c>
      <c r="DU392" s="319" t="s">
        <v>428</v>
      </c>
      <c r="DV392" s="319" t="s">
        <v>428</v>
      </c>
      <c r="DW392" s="319" t="s">
        <v>428</v>
      </c>
      <c r="DX392" s="319" t="s">
        <v>428</v>
      </c>
      <c r="DY392" s="319" t="s">
        <v>428</v>
      </c>
      <c r="DZ392" s="319" t="s">
        <v>428</v>
      </c>
      <c r="EA392" s="319" t="s">
        <v>428</v>
      </c>
      <c r="EB392" s="319" t="s">
        <v>428</v>
      </c>
      <c r="EC392" s="319" t="s">
        <v>428</v>
      </c>
      <c r="ED392" s="319" t="s">
        <v>428</v>
      </c>
      <c r="EE392" s="319" t="s">
        <v>190</v>
      </c>
      <c r="EF392" s="319" t="s">
        <v>190</v>
      </c>
      <c r="EG392" s="319" t="s">
        <v>190</v>
      </c>
      <c r="EH392" s="319" t="s">
        <v>190</v>
      </c>
      <c r="EI392" s="319" t="s">
        <v>190</v>
      </c>
      <c r="EJ392" s="319" t="s">
        <v>190</v>
      </c>
      <c r="EK392" s="319" t="s">
        <v>190</v>
      </c>
      <c r="EL392" s="319" t="s">
        <v>428</v>
      </c>
      <c r="EM392" s="319" t="s">
        <v>190</v>
      </c>
      <c r="EN392" s="319" t="s">
        <v>190</v>
      </c>
      <c r="EO392" s="319" t="s">
        <v>190</v>
      </c>
      <c r="EP392" s="319" t="s">
        <v>190</v>
      </c>
      <c r="EQ392" s="319" t="s">
        <v>190</v>
      </c>
      <c r="ER392" s="319" t="s">
        <v>190</v>
      </c>
      <c r="ES392" s="319" t="s">
        <v>190</v>
      </c>
      <c r="ET392" s="319" t="s">
        <v>190</v>
      </c>
      <c r="EU392" s="319" t="s">
        <v>190</v>
      </c>
      <c r="EV392" s="319" t="s">
        <v>190</v>
      </c>
      <c r="EW392" s="319" t="s">
        <v>190</v>
      </c>
      <c r="EX392" s="319" t="s">
        <v>190</v>
      </c>
      <c r="EY392" s="319" t="s">
        <v>190</v>
      </c>
      <c r="EZ392" s="319" t="s">
        <v>190</v>
      </c>
      <c r="FA392" s="319" t="s">
        <v>428</v>
      </c>
      <c r="FB392" s="319" t="s">
        <v>428</v>
      </c>
      <c r="FC392" s="319" t="s">
        <v>428</v>
      </c>
      <c r="FD392" s="319" t="s">
        <v>428</v>
      </c>
      <c r="FE392" s="319" t="s">
        <v>428</v>
      </c>
      <c r="FF392" s="319" t="s">
        <v>428</v>
      </c>
      <c r="FG392" s="319" t="s">
        <v>428</v>
      </c>
      <c r="FH392" s="319" t="s">
        <v>190</v>
      </c>
      <c r="FI392" s="319" t="s">
        <v>428</v>
      </c>
      <c r="FJ392" s="319" t="s">
        <v>190</v>
      </c>
      <c r="FK392" s="319" t="s">
        <v>190</v>
      </c>
      <c r="FL392" s="319" t="s">
        <v>190</v>
      </c>
      <c r="FM392" s="319" t="s">
        <v>190</v>
      </c>
      <c r="FN392" s="319" t="s">
        <v>190</v>
      </c>
      <c r="FO392" s="319" t="s">
        <v>190</v>
      </c>
      <c r="FP392" s="319" t="s">
        <v>190</v>
      </c>
      <c r="FQ392" s="319" t="s">
        <v>190</v>
      </c>
      <c r="FR392" s="319" t="s">
        <v>190</v>
      </c>
      <c r="FS392" s="319" t="s">
        <v>428</v>
      </c>
      <c r="FT392" s="319" t="s">
        <v>190</v>
      </c>
      <c r="FU392" s="319" t="s">
        <v>190</v>
      </c>
      <c r="FV392" s="319" t="s">
        <v>190</v>
      </c>
      <c r="FW392" s="319" t="s">
        <v>190</v>
      </c>
      <c r="FX392" s="319" t="s">
        <v>190</v>
      </c>
      <c r="FY392" s="319" t="s">
        <v>190</v>
      </c>
      <c r="FZ392" s="319" t="s">
        <v>190</v>
      </c>
      <c r="GA392" s="319" t="s">
        <v>190</v>
      </c>
      <c r="GB392" s="319" t="s">
        <v>190</v>
      </c>
      <c r="GC392" s="319" t="s">
        <v>190</v>
      </c>
      <c r="GD392" s="319" t="s">
        <v>190</v>
      </c>
      <c r="GE392" s="319" t="s">
        <v>190</v>
      </c>
      <c r="GF392" s="319" t="s">
        <v>190</v>
      </c>
      <c r="GG392" s="319" t="s">
        <v>190</v>
      </c>
      <c r="GH392" s="319" t="s">
        <v>190</v>
      </c>
      <c r="GI392" s="319" t="s">
        <v>190</v>
      </c>
      <c r="GJ392" s="319" t="s">
        <v>190</v>
      </c>
      <c r="GK392" s="319" t="s">
        <v>428</v>
      </c>
      <c r="GL392" s="319" t="s">
        <v>190</v>
      </c>
      <c r="GM392" s="319" t="s">
        <v>190</v>
      </c>
      <c r="GN392" s="319" t="s">
        <v>190</v>
      </c>
      <c r="GO392" s="319" t="s">
        <v>190</v>
      </c>
      <c r="GP392" s="319" t="s">
        <v>190</v>
      </c>
      <c r="GQ392" s="319" t="s">
        <v>428</v>
      </c>
      <c r="GR392" s="319" t="s">
        <v>190</v>
      </c>
      <c r="GS392" s="319" t="s">
        <v>190</v>
      </c>
      <c r="GT392" s="319" t="s">
        <v>190</v>
      </c>
      <c r="GU392" s="319" t="s">
        <v>190</v>
      </c>
      <c r="GV392" s="319" t="s">
        <v>190</v>
      </c>
      <c r="GW392" s="319" t="s">
        <v>190</v>
      </c>
      <c r="GX392" s="319" t="s">
        <v>190</v>
      </c>
      <c r="GY392" s="319" t="s">
        <v>190</v>
      </c>
      <c r="GZ392" s="319" t="s">
        <v>190</v>
      </c>
      <c r="HA392" s="319" t="s">
        <v>190</v>
      </c>
      <c r="HB392" s="319" t="s">
        <v>428</v>
      </c>
      <c r="HC392" s="319" t="s">
        <v>190</v>
      </c>
      <c r="HD392" s="319" t="s">
        <v>190</v>
      </c>
      <c r="HE392" s="319" t="s">
        <v>190</v>
      </c>
      <c r="HF392" s="319" t="s">
        <v>190</v>
      </c>
      <c r="HG392" s="319" t="s">
        <v>190</v>
      </c>
      <c r="HH392" s="319" t="s">
        <v>190</v>
      </c>
      <c r="HI392" s="319" t="s">
        <v>428</v>
      </c>
      <c r="HJ392" s="319" t="s">
        <v>190</v>
      </c>
      <c r="HK392" s="319" t="s">
        <v>190</v>
      </c>
      <c r="HL392" s="319" t="s">
        <v>190</v>
      </c>
      <c r="HM392" s="319" t="s">
        <v>428</v>
      </c>
      <c r="HN392" s="319" t="s">
        <v>428</v>
      </c>
      <c r="HO392" s="319" t="s">
        <v>428</v>
      </c>
      <c r="HP392" s="319" t="s">
        <v>190</v>
      </c>
      <c r="HQ392" s="319" t="s">
        <v>190</v>
      </c>
      <c r="HR392" s="319" t="s">
        <v>190</v>
      </c>
      <c r="HS392" s="319" t="s">
        <v>190</v>
      </c>
      <c r="HT392" s="319" t="s">
        <v>190</v>
      </c>
      <c r="HU392" s="319" t="s">
        <v>190</v>
      </c>
      <c r="HV392" s="319" t="s">
        <v>190</v>
      </c>
      <c r="HW392" s="319" t="s">
        <v>190</v>
      </c>
      <c r="HX392" s="319" t="s">
        <v>190</v>
      </c>
      <c r="HY392" s="319" t="s">
        <v>190</v>
      </c>
      <c r="HZ392" s="319" t="s">
        <v>190</v>
      </c>
      <c r="IA392" s="319" t="s">
        <v>190</v>
      </c>
      <c r="IB392" s="319" t="s">
        <v>190</v>
      </c>
      <c r="IC392" s="319" t="s">
        <v>190</v>
      </c>
      <c r="ID392" s="319" t="s">
        <v>190</v>
      </c>
      <c r="IE392" s="319" t="s">
        <v>190</v>
      </c>
      <c r="IF392" s="319" t="s">
        <v>190</v>
      </c>
      <c r="IG392" s="319" t="s">
        <v>190</v>
      </c>
      <c r="IH392" s="319" t="s">
        <v>190</v>
      </c>
      <c r="II392" s="319" t="s">
        <v>190</v>
      </c>
      <c r="IJ392" s="319">
        <v>10012926</v>
      </c>
      <c r="IK392" s="321">
        <v>42766</v>
      </c>
      <c r="IL392" s="321">
        <v>42768</v>
      </c>
      <c r="IM392" s="321">
        <v>42797</v>
      </c>
      <c r="IN392" s="319">
        <v>3</v>
      </c>
      <c r="IO392" s="319" t="s">
        <v>173</v>
      </c>
      <c r="IP392" s="319" t="s">
        <v>173</v>
      </c>
      <c r="IQ392" s="319" t="s">
        <v>173</v>
      </c>
      <c r="IR392" s="320" t="s">
        <v>173</v>
      </c>
      <c r="IS392" s="320" t="s">
        <v>173</v>
      </c>
      <c r="IT392" s="319" t="s">
        <v>173</v>
      </c>
    </row>
    <row r="393" spans="1:254" s="271" customFormat="1" x14ac:dyDescent="0.25">
      <c r="A393" s="318" t="str">
        <f>HYPERLINK("http://www.ofsted.gov.uk/inspection-reports/find-inspection-report/provider/ELS/133307 ","Ofsted School Webpage")</f>
        <v>Ofsted School Webpage</v>
      </c>
      <c r="B393" s="319">
        <v>133307</v>
      </c>
      <c r="C393" s="319">
        <v>2116391</v>
      </c>
      <c r="D393" s="319" t="s">
        <v>756</v>
      </c>
      <c r="E393" s="319" t="s">
        <v>167</v>
      </c>
      <c r="F393" s="319" t="s">
        <v>81</v>
      </c>
      <c r="G393" s="319" t="s">
        <v>71</v>
      </c>
      <c r="H393" s="319" t="s">
        <v>71</v>
      </c>
      <c r="I393" s="319" t="s">
        <v>72</v>
      </c>
      <c r="J393" s="319" t="s">
        <v>424</v>
      </c>
      <c r="K393" s="319" t="s">
        <v>441</v>
      </c>
      <c r="L393" s="319" t="s">
        <v>441</v>
      </c>
      <c r="M393" s="319" t="s">
        <v>757</v>
      </c>
      <c r="N393" s="319" t="s">
        <v>2801</v>
      </c>
      <c r="O393" s="319" t="s">
        <v>758</v>
      </c>
      <c r="P393" s="319">
        <v>98</v>
      </c>
      <c r="Q393" s="319" t="s">
        <v>2766</v>
      </c>
      <c r="R393" s="320">
        <v>10055530</v>
      </c>
      <c r="S393" s="321">
        <v>43438</v>
      </c>
      <c r="T393" s="321">
        <v>43440</v>
      </c>
      <c r="U393" s="321">
        <v>43488</v>
      </c>
      <c r="V393" s="319" t="s">
        <v>425</v>
      </c>
      <c r="W393" s="319" t="s">
        <v>2767</v>
      </c>
      <c r="X393" s="319">
        <v>3</v>
      </c>
      <c r="Y393" s="319" t="s">
        <v>173</v>
      </c>
      <c r="Z393" s="319" t="s">
        <v>173</v>
      </c>
      <c r="AA393" s="319" t="s">
        <v>173</v>
      </c>
      <c r="AB393" s="319">
        <v>3</v>
      </c>
      <c r="AC393" s="319" t="s">
        <v>169</v>
      </c>
      <c r="AD393" s="319" t="s">
        <v>173</v>
      </c>
      <c r="AE393" s="319" t="s">
        <v>173</v>
      </c>
      <c r="AF393" s="319" t="s">
        <v>427</v>
      </c>
      <c r="AG393" s="319" t="s">
        <v>171</v>
      </c>
      <c r="AH393" s="319" t="s">
        <v>190</v>
      </c>
      <c r="AI393" s="319" t="s">
        <v>190</v>
      </c>
      <c r="AJ393" s="319" t="s">
        <v>190</v>
      </c>
      <c r="AK393" s="319" t="s">
        <v>190</v>
      </c>
      <c r="AL393" s="319" t="s">
        <v>190</v>
      </c>
      <c r="AM393" s="319" t="s">
        <v>190</v>
      </c>
      <c r="AN393" s="319" t="s">
        <v>190</v>
      </c>
      <c r="AO393" s="319" t="s">
        <v>190</v>
      </c>
      <c r="AP393" s="319" t="s">
        <v>190</v>
      </c>
      <c r="AQ393" s="319" t="s">
        <v>190</v>
      </c>
      <c r="AR393" s="319" t="s">
        <v>190</v>
      </c>
      <c r="AS393" s="319" t="s">
        <v>190</v>
      </c>
      <c r="AT393" s="319" t="s">
        <v>190</v>
      </c>
      <c r="AU393" s="319" t="s">
        <v>190</v>
      </c>
      <c r="AV393" s="319" t="s">
        <v>190</v>
      </c>
      <c r="AW393" s="319" t="s">
        <v>190</v>
      </c>
      <c r="AX393" s="319" t="s">
        <v>428</v>
      </c>
      <c r="AY393" s="319" t="s">
        <v>190</v>
      </c>
      <c r="AZ393" s="319" t="s">
        <v>190</v>
      </c>
      <c r="BA393" s="319" t="s">
        <v>190</v>
      </c>
      <c r="BB393" s="319" t="s">
        <v>190</v>
      </c>
      <c r="BC393" s="319" t="s">
        <v>190</v>
      </c>
      <c r="BD393" s="319" t="s">
        <v>190</v>
      </c>
      <c r="BE393" s="319" t="s">
        <v>190</v>
      </c>
      <c r="BF393" s="319" t="s">
        <v>428</v>
      </c>
      <c r="BG393" s="319" t="s">
        <v>428</v>
      </c>
      <c r="BH393" s="319" t="s">
        <v>190</v>
      </c>
      <c r="BI393" s="319" t="s">
        <v>190</v>
      </c>
      <c r="BJ393" s="319" t="s">
        <v>190</v>
      </c>
      <c r="BK393" s="319" t="s">
        <v>190</v>
      </c>
      <c r="BL393" s="319" t="s">
        <v>190</v>
      </c>
      <c r="BM393" s="319" t="s">
        <v>190</v>
      </c>
      <c r="BN393" s="319" t="s">
        <v>190</v>
      </c>
      <c r="BO393" s="319" t="s">
        <v>190</v>
      </c>
      <c r="BP393" s="319" t="s">
        <v>190</v>
      </c>
      <c r="BQ393" s="319" t="s">
        <v>190</v>
      </c>
      <c r="BR393" s="319" t="s">
        <v>190</v>
      </c>
      <c r="BS393" s="319" t="s">
        <v>190</v>
      </c>
      <c r="BT393" s="319" t="s">
        <v>190</v>
      </c>
      <c r="BU393" s="319" t="s">
        <v>190</v>
      </c>
      <c r="BV393" s="319" t="s">
        <v>190</v>
      </c>
      <c r="BW393" s="319" t="s">
        <v>190</v>
      </c>
      <c r="BX393" s="319" t="s">
        <v>190</v>
      </c>
      <c r="BY393" s="319" t="s">
        <v>190</v>
      </c>
      <c r="BZ393" s="319" t="s">
        <v>190</v>
      </c>
      <c r="CA393" s="319" t="s">
        <v>190</v>
      </c>
      <c r="CB393" s="319" t="s">
        <v>190</v>
      </c>
      <c r="CC393" s="319" t="s">
        <v>190</v>
      </c>
      <c r="CD393" s="319" t="s">
        <v>190</v>
      </c>
      <c r="CE393" s="319" t="s">
        <v>190</v>
      </c>
      <c r="CF393" s="319" t="s">
        <v>190</v>
      </c>
      <c r="CG393" s="319" t="s">
        <v>190</v>
      </c>
      <c r="CH393" s="319" t="s">
        <v>190</v>
      </c>
      <c r="CI393" s="319" t="s">
        <v>190</v>
      </c>
      <c r="CJ393" s="319" t="s">
        <v>190</v>
      </c>
      <c r="CK393" s="319" t="s">
        <v>190</v>
      </c>
      <c r="CL393" s="319" t="s">
        <v>190</v>
      </c>
      <c r="CM393" s="319" t="s">
        <v>190</v>
      </c>
      <c r="CN393" s="319" t="s">
        <v>428</v>
      </c>
      <c r="CO393" s="319" t="s">
        <v>428</v>
      </c>
      <c r="CP393" s="319" t="s">
        <v>428</v>
      </c>
      <c r="CQ393" s="319" t="s">
        <v>190</v>
      </c>
      <c r="CR393" s="319" t="s">
        <v>190</v>
      </c>
      <c r="CS393" s="319" t="s">
        <v>190</v>
      </c>
      <c r="CT393" s="319" t="s">
        <v>190</v>
      </c>
      <c r="CU393" s="319" t="s">
        <v>190</v>
      </c>
      <c r="CV393" s="319" t="s">
        <v>190</v>
      </c>
      <c r="CW393" s="319" t="s">
        <v>190</v>
      </c>
      <c r="CX393" s="319" t="s">
        <v>190</v>
      </c>
      <c r="CY393" s="319" t="s">
        <v>190</v>
      </c>
      <c r="CZ393" s="319" t="s">
        <v>190</v>
      </c>
      <c r="DA393" s="319" t="s">
        <v>190</v>
      </c>
      <c r="DB393" s="319" t="s">
        <v>190</v>
      </c>
      <c r="DC393" s="319" t="s">
        <v>190</v>
      </c>
      <c r="DD393" s="319" t="s">
        <v>190</v>
      </c>
      <c r="DE393" s="319" t="s">
        <v>190</v>
      </c>
      <c r="DF393" s="319" t="s">
        <v>190</v>
      </c>
      <c r="DG393" s="319" t="s">
        <v>190</v>
      </c>
      <c r="DH393" s="319" t="s">
        <v>190</v>
      </c>
      <c r="DI393" s="319" t="s">
        <v>190</v>
      </c>
      <c r="DJ393" s="319" t="s">
        <v>190</v>
      </c>
      <c r="DK393" s="319" t="s">
        <v>190</v>
      </c>
      <c r="DL393" s="319" t="s">
        <v>190</v>
      </c>
      <c r="DM393" s="319" t="s">
        <v>190</v>
      </c>
      <c r="DN393" s="319" t="s">
        <v>428</v>
      </c>
      <c r="DO393" s="319" t="s">
        <v>190</v>
      </c>
      <c r="DP393" s="319" t="s">
        <v>428</v>
      </c>
      <c r="DQ393" s="319" t="s">
        <v>428</v>
      </c>
      <c r="DR393" s="319" t="s">
        <v>428</v>
      </c>
      <c r="DS393" s="319" t="s">
        <v>428</v>
      </c>
      <c r="DT393" s="319" t="s">
        <v>428</v>
      </c>
      <c r="DU393" s="319" t="s">
        <v>428</v>
      </c>
      <c r="DV393" s="319" t="s">
        <v>173</v>
      </c>
      <c r="DW393" s="319" t="s">
        <v>428</v>
      </c>
      <c r="DX393" s="319" t="s">
        <v>428</v>
      </c>
      <c r="DY393" s="319" t="s">
        <v>428</v>
      </c>
      <c r="DZ393" s="319" t="s">
        <v>428</v>
      </c>
      <c r="EA393" s="319" t="s">
        <v>428</v>
      </c>
      <c r="EB393" s="319" t="s">
        <v>428</v>
      </c>
      <c r="EC393" s="319" t="s">
        <v>428</v>
      </c>
      <c r="ED393" s="319" t="s">
        <v>190</v>
      </c>
      <c r="EE393" s="319" t="s">
        <v>190</v>
      </c>
      <c r="EF393" s="319" t="s">
        <v>190</v>
      </c>
      <c r="EG393" s="319" t="s">
        <v>190</v>
      </c>
      <c r="EH393" s="319" t="s">
        <v>190</v>
      </c>
      <c r="EI393" s="319" t="s">
        <v>190</v>
      </c>
      <c r="EJ393" s="319" t="s">
        <v>190</v>
      </c>
      <c r="EK393" s="319" t="s">
        <v>190</v>
      </c>
      <c r="EL393" s="319" t="s">
        <v>190</v>
      </c>
      <c r="EM393" s="319" t="s">
        <v>190</v>
      </c>
      <c r="EN393" s="319" t="s">
        <v>190</v>
      </c>
      <c r="EO393" s="319" t="s">
        <v>190</v>
      </c>
      <c r="EP393" s="319" t="s">
        <v>190</v>
      </c>
      <c r="EQ393" s="319" t="s">
        <v>190</v>
      </c>
      <c r="ER393" s="319" t="s">
        <v>190</v>
      </c>
      <c r="ES393" s="319" t="s">
        <v>190</v>
      </c>
      <c r="ET393" s="319" t="s">
        <v>190</v>
      </c>
      <c r="EU393" s="319" t="s">
        <v>190</v>
      </c>
      <c r="EV393" s="319" t="s">
        <v>190</v>
      </c>
      <c r="EW393" s="319" t="s">
        <v>190</v>
      </c>
      <c r="EX393" s="319" t="s">
        <v>190</v>
      </c>
      <c r="EY393" s="319" t="s">
        <v>190</v>
      </c>
      <c r="EZ393" s="319" t="s">
        <v>190</v>
      </c>
      <c r="FA393" s="319" t="s">
        <v>190</v>
      </c>
      <c r="FB393" s="319" t="s">
        <v>428</v>
      </c>
      <c r="FC393" s="319" t="s">
        <v>428</v>
      </c>
      <c r="FD393" s="319" t="s">
        <v>428</v>
      </c>
      <c r="FE393" s="319" t="s">
        <v>428</v>
      </c>
      <c r="FF393" s="319" t="s">
        <v>428</v>
      </c>
      <c r="FG393" s="319" t="s">
        <v>428</v>
      </c>
      <c r="FH393" s="319" t="s">
        <v>190</v>
      </c>
      <c r="FI393" s="319" t="s">
        <v>190</v>
      </c>
      <c r="FJ393" s="319" t="s">
        <v>190</v>
      </c>
      <c r="FK393" s="319" t="s">
        <v>190</v>
      </c>
      <c r="FL393" s="319" t="s">
        <v>190</v>
      </c>
      <c r="FM393" s="319" t="s">
        <v>190</v>
      </c>
      <c r="FN393" s="319" t="s">
        <v>428</v>
      </c>
      <c r="FO393" s="319" t="s">
        <v>190</v>
      </c>
      <c r="FP393" s="319" t="s">
        <v>190</v>
      </c>
      <c r="FQ393" s="319" t="s">
        <v>190</v>
      </c>
      <c r="FR393" s="319" t="s">
        <v>190</v>
      </c>
      <c r="FS393" s="319" t="s">
        <v>428</v>
      </c>
      <c r="FT393" s="319" t="s">
        <v>190</v>
      </c>
      <c r="FU393" s="319" t="s">
        <v>190</v>
      </c>
      <c r="FV393" s="319" t="s">
        <v>190</v>
      </c>
      <c r="FW393" s="319" t="s">
        <v>190</v>
      </c>
      <c r="FX393" s="319" t="s">
        <v>190</v>
      </c>
      <c r="FY393" s="319" t="s">
        <v>190</v>
      </c>
      <c r="FZ393" s="319" t="s">
        <v>190</v>
      </c>
      <c r="GA393" s="319" t="s">
        <v>190</v>
      </c>
      <c r="GB393" s="319" t="s">
        <v>190</v>
      </c>
      <c r="GC393" s="319" t="s">
        <v>190</v>
      </c>
      <c r="GD393" s="319" t="s">
        <v>190</v>
      </c>
      <c r="GE393" s="319" t="s">
        <v>190</v>
      </c>
      <c r="GF393" s="319" t="s">
        <v>190</v>
      </c>
      <c r="GG393" s="319" t="s">
        <v>190</v>
      </c>
      <c r="GH393" s="319" t="s">
        <v>190</v>
      </c>
      <c r="GI393" s="319" t="s">
        <v>190</v>
      </c>
      <c r="GJ393" s="319" t="s">
        <v>190</v>
      </c>
      <c r="GK393" s="319" t="s">
        <v>428</v>
      </c>
      <c r="GL393" s="319" t="s">
        <v>190</v>
      </c>
      <c r="GM393" s="319" t="s">
        <v>190</v>
      </c>
      <c r="GN393" s="319" t="s">
        <v>190</v>
      </c>
      <c r="GO393" s="319" t="s">
        <v>190</v>
      </c>
      <c r="GP393" s="319" t="s">
        <v>190</v>
      </c>
      <c r="GQ393" s="319" t="s">
        <v>428</v>
      </c>
      <c r="GR393" s="319" t="s">
        <v>190</v>
      </c>
      <c r="GS393" s="319" t="s">
        <v>190</v>
      </c>
      <c r="GT393" s="319" t="s">
        <v>428</v>
      </c>
      <c r="GU393" s="319" t="s">
        <v>428</v>
      </c>
      <c r="GV393" s="319" t="s">
        <v>428</v>
      </c>
      <c r="GW393" s="319" t="s">
        <v>190</v>
      </c>
      <c r="GX393" s="319" t="s">
        <v>190</v>
      </c>
      <c r="GY393" s="319" t="s">
        <v>190</v>
      </c>
      <c r="GZ393" s="319" t="s">
        <v>428</v>
      </c>
      <c r="HA393" s="319" t="s">
        <v>190</v>
      </c>
      <c r="HB393" s="319" t="s">
        <v>428</v>
      </c>
      <c r="HC393" s="319" t="s">
        <v>190</v>
      </c>
      <c r="HD393" s="319" t="s">
        <v>190</v>
      </c>
      <c r="HE393" s="319" t="s">
        <v>190</v>
      </c>
      <c r="HF393" s="319" t="s">
        <v>190</v>
      </c>
      <c r="HG393" s="319" t="s">
        <v>190</v>
      </c>
      <c r="HH393" s="319" t="s">
        <v>190</v>
      </c>
      <c r="HI393" s="319" t="s">
        <v>190</v>
      </c>
      <c r="HJ393" s="319" t="s">
        <v>190</v>
      </c>
      <c r="HK393" s="319" t="s">
        <v>190</v>
      </c>
      <c r="HL393" s="319" t="s">
        <v>428</v>
      </c>
      <c r="HM393" s="319" t="s">
        <v>428</v>
      </c>
      <c r="HN393" s="319" t="s">
        <v>428</v>
      </c>
      <c r="HO393" s="319" t="s">
        <v>428</v>
      </c>
      <c r="HP393" s="319" t="s">
        <v>190</v>
      </c>
      <c r="HQ393" s="319" t="s">
        <v>190</v>
      </c>
      <c r="HR393" s="319" t="s">
        <v>190</v>
      </c>
      <c r="HS393" s="319" t="s">
        <v>190</v>
      </c>
      <c r="HT393" s="319" t="s">
        <v>190</v>
      </c>
      <c r="HU393" s="319" t="s">
        <v>190</v>
      </c>
      <c r="HV393" s="319" t="s">
        <v>190</v>
      </c>
      <c r="HW393" s="319" t="s">
        <v>190</v>
      </c>
      <c r="HX393" s="319" t="s">
        <v>190</v>
      </c>
      <c r="HY393" s="319" t="s">
        <v>190</v>
      </c>
      <c r="HZ393" s="319" t="s">
        <v>190</v>
      </c>
      <c r="IA393" s="319" t="s">
        <v>190</v>
      </c>
      <c r="IB393" s="319" t="s">
        <v>190</v>
      </c>
      <c r="IC393" s="319" t="s">
        <v>190</v>
      </c>
      <c r="ID393" s="319" t="s">
        <v>190</v>
      </c>
      <c r="IE393" s="319" t="s">
        <v>190</v>
      </c>
      <c r="IF393" s="319" t="s">
        <v>190</v>
      </c>
      <c r="IG393" s="319" t="s">
        <v>190</v>
      </c>
      <c r="IH393" s="319" t="s">
        <v>190</v>
      </c>
      <c r="II393" s="319" t="s">
        <v>190</v>
      </c>
      <c r="IJ393" s="319">
        <v>10026290</v>
      </c>
      <c r="IK393" s="321">
        <v>43011</v>
      </c>
      <c r="IL393" s="321">
        <v>43013</v>
      </c>
      <c r="IM393" s="321">
        <v>43077</v>
      </c>
      <c r="IN393" s="319">
        <v>4</v>
      </c>
      <c r="IO393" s="319" t="s">
        <v>173</v>
      </c>
      <c r="IP393" s="319" t="s">
        <v>173</v>
      </c>
      <c r="IQ393" s="319" t="s">
        <v>173</v>
      </c>
      <c r="IR393" s="320" t="s">
        <v>173</v>
      </c>
      <c r="IS393" s="320" t="s">
        <v>173</v>
      </c>
      <c r="IT393" s="319" t="s">
        <v>173</v>
      </c>
    </row>
    <row r="394" spans="1:254" s="271" customFormat="1" x14ac:dyDescent="0.25">
      <c r="A394" s="318" t="str">
        <f>HYPERLINK("http://www.ofsted.gov.uk/inspection-reports/find-inspection-report/provider/ELS/133309 ","Ofsted School Webpage")</f>
        <v>Ofsted School Webpage</v>
      </c>
      <c r="B394" s="319">
        <v>133309</v>
      </c>
      <c r="C394" s="319">
        <v>3416047</v>
      </c>
      <c r="D394" s="319" t="s">
        <v>1752</v>
      </c>
      <c r="E394" s="319" t="s">
        <v>168</v>
      </c>
      <c r="F394" s="319" t="s">
        <v>81</v>
      </c>
      <c r="G394" s="319" t="s">
        <v>81</v>
      </c>
      <c r="H394" s="319" t="s">
        <v>81</v>
      </c>
      <c r="I394" s="319" t="s">
        <v>78</v>
      </c>
      <c r="J394" s="319" t="s">
        <v>424</v>
      </c>
      <c r="K394" s="319" t="s">
        <v>431</v>
      </c>
      <c r="L394" s="319" t="s">
        <v>431</v>
      </c>
      <c r="M394" s="319" t="s">
        <v>652</v>
      </c>
      <c r="N394" s="319" t="s">
        <v>3169</v>
      </c>
      <c r="O394" s="319" t="s">
        <v>1753</v>
      </c>
      <c r="P394" s="319">
        <v>15</v>
      </c>
      <c r="Q394" s="319" t="s">
        <v>2776</v>
      </c>
      <c r="R394" s="320">
        <v>10043375</v>
      </c>
      <c r="S394" s="321">
        <v>43200</v>
      </c>
      <c r="T394" s="321">
        <v>43202</v>
      </c>
      <c r="U394" s="321">
        <v>43258</v>
      </c>
      <c r="V394" s="319" t="s">
        <v>425</v>
      </c>
      <c r="W394" s="319" t="s">
        <v>2767</v>
      </c>
      <c r="X394" s="319">
        <v>1</v>
      </c>
      <c r="Y394" s="319" t="s">
        <v>173</v>
      </c>
      <c r="Z394" s="319" t="s">
        <v>173</v>
      </c>
      <c r="AA394" s="319" t="s">
        <v>173</v>
      </c>
      <c r="AB394" s="319">
        <v>1</v>
      </c>
      <c r="AC394" s="319" t="s">
        <v>169</v>
      </c>
      <c r="AD394" s="319" t="s">
        <v>173</v>
      </c>
      <c r="AE394" s="319">
        <v>1</v>
      </c>
      <c r="AF394" s="319" t="s">
        <v>427</v>
      </c>
      <c r="AG394" s="319" t="s">
        <v>171</v>
      </c>
      <c r="AH394" s="319" t="s">
        <v>190</v>
      </c>
      <c r="AI394" s="319" t="s">
        <v>190</v>
      </c>
      <c r="AJ394" s="319" t="s">
        <v>190</v>
      </c>
      <c r="AK394" s="319" t="s">
        <v>190</v>
      </c>
      <c r="AL394" s="319" t="s">
        <v>190</v>
      </c>
      <c r="AM394" s="319" t="s">
        <v>190</v>
      </c>
      <c r="AN394" s="319" t="s">
        <v>190</v>
      </c>
      <c r="AO394" s="319" t="s">
        <v>190</v>
      </c>
      <c r="AP394" s="319" t="s">
        <v>190</v>
      </c>
      <c r="AQ394" s="319" t="s">
        <v>190</v>
      </c>
      <c r="AR394" s="319" t="s">
        <v>190</v>
      </c>
      <c r="AS394" s="319" t="s">
        <v>190</v>
      </c>
      <c r="AT394" s="319" t="s">
        <v>190</v>
      </c>
      <c r="AU394" s="319" t="s">
        <v>190</v>
      </c>
      <c r="AV394" s="319" t="s">
        <v>190</v>
      </c>
      <c r="AW394" s="319" t="s">
        <v>190</v>
      </c>
      <c r="AX394" s="319" t="s">
        <v>190</v>
      </c>
      <c r="AY394" s="319" t="s">
        <v>190</v>
      </c>
      <c r="AZ394" s="319" t="s">
        <v>190</v>
      </c>
      <c r="BA394" s="319" t="s">
        <v>190</v>
      </c>
      <c r="BB394" s="319" t="s">
        <v>190</v>
      </c>
      <c r="BC394" s="319" t="s">
        <v>190</v>
      </c>
      <c r="BD394" s="319" t="s">
        <v>190</v>
      </c>
      <c r="BE394" s="319" t="s">
        <v>190</v>
      </c>
      <c r="BF394" s="319" t="s">
        <v>428</v>
      </c>
      <c r="BG394" s="319" t="s">
        <v>190</v>
      </c>
      <c r="BH394" s="319" t="s">
        <v>190</v>
      </c>
      <c r="BI394" s="319" t="s">
        <v>190</v>
      </c>
      <c r="BJ394" s="319" t="s">
        <v>190</v>
      </c>
      <c r="BK394" s="319" t="s">
        <v>190</v>
      </c>
      <c r="BL394" s="319" t="s">
        <v>190</v>
      </c>
      <c r="BM394" s="319" t="s">
        <v>190</v>
      </c>
      <c r="BN394" s="319" t="s">
        <v>190</v>
      </c>
      <c r="BO394" s="319" t="s">
        <v>190</v>
      </c>
      <c r="BP394" s="319" t="s">
        <v>190</v>
      </c>
      <c r="BQ394" s="319" t="s">
        <v>190</v>
      </c>
      <c r="BR394" s="319" t="s">
        <v>190</v>
      </c>
      <c r="BS394" s="319" t="s">
        <v>190</v>
      </c>
      <c r="BT394" s="319" t="s">
        <v>190</v>
      </c>
      <c r="BU394" s="319" t="s">
        <v>190</v>
      </c>
      <c r="BV394" s="319" t="s">
        <v>190</v>
      </c>
      <c r="BW394" s="319" t="s">
        <v>190</v>
      </c>
      <c r="BX394" s="319" t="s">
        <v>190</v>
      </c>
      <c r="BY394" s="319" t="s">
        <v>190</v>
      </c>
      <c r="BZ394" s="319" t="s">
        <v>190</v>
      </c>
      <c r="CA394" s="319" t="s">
        <v>190</v>
      </c>
      <c r="CB394" s="319" t="s">
        <v>190</v>
      </c>
      <c r="CC394" s="319" t="s">
        <v>190</v>
      </c>
      <c r="CD394" s="319" t="s">
        <v>190</v>
      </c>
      <c r="CE394" s="319" t="s">
        <v>190</v>
      </c>
      <c r="CF394" s="319" t="s">
        <v>190</v>
      </c>
      <c r="CG394" s="319" t="s">
        <v>190</v>
      </c>
      <c r="CH394" s="319" t="s">
        <v>190</v>
      </c>
      <c r="CI394" s="319" t="s">
        <v>190</v>
      </c>
      <c r="CJ394" s="319" t="s">
        <v>190</v>
      </c>
      <c r="CK394" s="319" t="s">
        <v>190</v>
      </c>
      <c r="CL394" s="319" t="s">
        <v>190</v>
      </c>
      <c r="CM394" s="319" t="s">
        <v>190</v>
      </c>
      <c r="CN394" s="319" t="s">
        <v>428</v>
      </c>
      <c r="CO394" s="319" t="s">
        <v>428</v>
      </c>
      <c r="CP394" s="319" t="s">
        <v>428</v>
      </c>
      <c r="CQ394" s="319" t="s">
        <v>190</v>
      </c>
      <c r="CR394" s="319" t="s">
        <v>190</v>
      </c>
      <c r="CS394" s="319" t="s">
        <v>190</v>
      </c>
      <c r="CT394" s="319" t="s">
        <v>190</v>
      </c>
      <c r="CU394" s="319" t="s">
        <v>190</v>
      </c>
      <c r="CV394" s="319" t="s">
        <v>190</v>
      </c>
      <c r="CW394" s="319" t="s">
        <v>190</v>
      </c>
      <c r="CX394" s="319" t="s">
        <v>190</v>
      </c>
      <c r="CY394" s="319" t="s">
        <v>190</v>
      </c>
      <c r="CZ394" s="319" t="s">
        <v>190</v>
      </c>
      <c r="DA394" s="319" t="s">
        <v>190</v>
      </c>
      <c r="DB394" s="319" t="s">
        <v>190</v>
      </c>
      <c r="DC394" s="319" t="s">
        <v>190</v>
      </c>
      <c r="DD394" s="319" t="s">
        <v>190</v>
      </c>
      <c r="DE394" s="319" t="s">
        <v>190</v>
      </c>
      <c r="DF394" s="319" t="s">
        <v>190</v>
      </c>
      <c r="DG394" s="319" t="s">
        <v>190</v>
      </c>
      <c r="DH394" s="319" t="s">
        <v>190</v>
      </c>
      <c r="DI394" s="319" t="s">
        <v>190</v>
      </c>
      <c r="DJ394" s="319" t="s">
        <v>190</v>
      </c>
      <c r="DK394" s="319" t="s">
        <v>190</v>
      </c>
      <c r="DL394" s="319" t="s">
        <v>190</v>
      </c>
      <c r="DM394" s="319" t="s">
        <v>190</v>
      </c>
      <c r="DN394" s="319" t="s">
        <v>428</v>
      </c>
      <c r="DO394" s="319" t="s">
        <v>190</v>
      </c>
      <c r="DP394" s="319" t="s">
        <v>428</v>
      </c>
      <c r="DQ394" s="319" t="s">
        <v>428</v>
      </c>
      <c r="DR394" s="319" t="s">
        <v>428</v>
      </c>
      <c r="DS394" s="319" t="s">
        <v>428</v>
      </c>
      <c r="DT394" s="319" t="s">
        <v>428</v>
      </c>
      <c r="DU394" s="319" t="s">
        <v>428</v>
      </c>
      <c r="DV394" s="319" t="s">
        <v>173</v>
      </c>
      <c r="DW394" s="319" t="s">
        <v>428</v>
      </c>
      <c r="DX394" s="319" t="s">
        <v>428</v>
      </c>
      <c r="DY394" s="319" t="s">
        <v>428</v>
      </c>
      <c r="DZ394" s="319" t="s">
        <v>428</v>
      </c>
      <c r="EA394" s="319" t="s">
        <v>428</v>
      </c>
      <c r="EB394" s="319" t="s">
        <v>428</v>
      </c>
      <c r="EC394" s="319" t="s">
        <v>428</v>
      </c>
      <c r="ED394" s="319" t="s">
        <v>428</v>
      </c>
      <c r="EE394" s="319" t="s">
        <v>428</v>
      </c>
      <c r="EF394" s="319" t="s">
        <v>428</v>
      </c>
      <c r="EG394" s="319" t="s">
        <v>428</v>
      </c>
      <c r="EH394" s="319" t="s">
        <v>428</v>
      </c>
      <c r="EI394" s="319" t="s">
        <v>428</v>
      </c>
      <c r="EJ394" s="319" t="s">
        <v>428</v>
      </c>
      <c r="EK394" s="319" t="s">
        <v>428</v>
      </c>
      <c r="EL394" s="319" t="s">
        <v>428</v>
      </c>
      <c r="EM394" s="319" t="s">
        <v>428</v>
      </c>
      <c r="EN394" s="319" t="s">
        <v>190</v>
      </c>
      <c r="EO394" s="319" t="s">
        <v>190</v>
      </c>
      <c r="EP394" s="319" t="s">
        <v>190</v>
      </c>
      <c r="EQ394" s="319" t="s">
        <v>190</v>
      </c>
      <c r="ER394" s="319" t="s">
        <v>190</v>
      </c>
      <c r="ES394" s="319" t="s">
        <v>190</v>
      </c>
      <c r="ET394" s="319" t="s">
        <v>190</v>
      </c>
      <c r="EU394" s="319" t="s">
        <v>190</v>
      </c>
      <c r="EV394" s="319" t="s">
        <v>190</v>
      </c>
      <c r="EW394" s="319" t="s">
        <v>190</v>
      </c>
      <c r="EX394" s="319" t="s">
        <v>190</v>
      </c>
      <c r="EY394" s="319" t="s">
        <v>190</v>
      </c>
      <c r="EZ394" s="319" t="s">
        <v>190</v>
      </c>
      <c r="FA394" s="319" t="s">
        <v>190</v>
      </c>
      <c r="FB394" s="319" t="s">
        <v>428</v>
      </c>
      <c r="FC394" s="319" t="s">
        <v>428</v>
      </c>
      <c r="FD394" s="319" t="s">
        <v>428</v>
      </c>
      <c r="FE394" s="319" t="s">
        <v>428</v>
      </c>
      <c r="FF394" s="319" t="s">
        <v>428</v>
      </c>
      <c r="FG394" s="319" t="s">
        <v>428</v>
      </c>
      <c r="FH394" s="319" t="s">
        <v>428</v>
      </c>
      <c r="FI394" s="319" t="s">
        <v>428</v>
      </c>
      <c r="FJ394" s="319" t="s">
        <v>429</v>
      </c>
      <c r="FK394" s="319" t="s">
        <v>428</v>
      </c>
      <c r="FL394" s="319" t="s">
        <v>190</v>
      </c>
      <c r="FM394" s="319" t="s">
        <v>190</v>
      </c>
      <c r="FN394" s="319" t="s">
        <v>190</v>
      </c>
      <c r="FO394" s="319" t="s">
        <v>190</v>
      </c>
      <c r="FP394" s="319" t="s">
        <v>190</v>
      </c>
      <c r="FQ394" s="319" t="s">
        <v>190</v>
      </c>
      <c r="FR394" s="319" t="s">
        <v>190</v>
      </c>
      <c r="FS394" s="319" t="s">
        <v>190</v>
      </c>
      <c r="FT394" s="319" t="s">
        <v>190</v>
      </c>
      <c r="FU394" s="319" t="s">
        <v>190</v>
      </c>
      <c r="FV394" s="319" t="s">
        <v>190</v>
      </c>
      <c r="FW394" s="319" t="s">
        <v>190</v>
      </c>
      <c r="FX394" s="319" t="s">
        <v>190</v>
      </c>
      <c r="FY394" s="319" t="s">
        <v>190</v>
      </c>
      <c r="FZ394" s="319" t="s">
        <v>190</v>
      </c>
      <c r="GA394" s="319" t="s">
        <v>190</v>
      </c>
      <c r="GB394" s="319" t="s">
        <v>190</v>
      </c>
      <c r="GC394" s="319" t="s">
        <v>190</v>
      </c>
      <c r="GD394" s="319" t="s">
        <v>190</v>
      </c>
      <c r="GE394" s="319" t="s">
        <v>190</v>
      </c>
      <c r="GF394" s="319" t="s">
        <v>190</v>
      </c>
      <c r="GG394" s="319" t="s">
        <v>190</v>
      </c>
      <c r="GH394" s="319" t="s">
        <v>190</v>
      </c>
      <c r="GI394" s="319" t="s">
        <v>190</v>
      </c>
      <c r="GJ394" s="319" t="s">
        <v>190</v>
      </c>
      <c r="GK394" s="319" t="s">
        <v>190</v>
      </c>
      <c r="GL394" s="319" t="s">
        <v>190</v>
      </c>
      <c r="GM394" s="319" t="s">
        <v>190</v>
      </c>
      <c r="GN394" s="319" t="s">
        <v>190</v>
      </c>
      <c r="GO394" s="319" t="s">
        <v>190</v>
      </c>
      <c r="GP394" s="319" t="s">
        <v>190</v>
      </c>
      <c r="GQ394" s="319" t="s">
        <v>190</v>
      </c>
      <c r="GR394" s="319" t="s">
        <v>190</v>
      </c>
      <c r="GS394" s="319" t="s">
        <v>190</v>
      </c>
      <c r="GT394" s="319" t="s">
        <v>190</v>
      </c>
      <c r="GU394" s="319" t="s">
        <v>190</v>
      </c>
      <c r="GV394" s="319" t="s">
        <v>190</v>
      </c>
      <c r="GW394" s="319" t="s">
        <v>190</v>
      </c>
      <c r="GX394" s="319" t="s">
        <v>190</v>
      </c>
      <c r="GY394" s="319" t="s">
        <v>190</v>
      </c>
      <c r="GZ394" s="319" t="s">
        <v>190</v>
      </c>
      <c r="HA394" s="319" t="s">
        <v>190</v>
      </c>
      <c r="HB394" s="319" t="s">
        <v>190</v>
      </c>
      <c r="HC394" s="319" t="s">
        <v>190</v>
      </c>
      <c r="HD394" s="319" t="s">
        <v>190</v>
      </c>
      <c r="HE394" s="319" t="s">
        <v>190</v>
      </c>
      <c r="HF394" s="319" t="s">
        <v>190</v>
      </c>
      <c r="HG394" s="319" t="s">
        <v>190</v>
      </c>
      <c r="HH394" s="319" t="s">
        <v>190</v>
      </c>
      <c r="HI394" s="319" t="s">
        <v>190</v>
      </c>
      <c r="HJ394" s="319" t="s">
        <v>190</v>
      </c>
      <c r="HK394" s="319" t="s">
        <v>190</v>
      </c>
      <c r="HL394" s="319" t="s">
        <v>190</v>
      </c>
      <c r="HM394" s="319" t="s">
        <v>190</v>
      </c>
      <c r="HN394" s="319" t="s">
        <v>190</v>
      </c>
      <c r="HO394" s="319" t="s">
        <v>190</v>
      </c>
      <c r="HP394" s="319" t="s">
        <v>190</v>
      </c>
      <c r="HQ394" s="319" t="s">
        <v>190</v>
      </c>
      <c r="HR394" s="319" t="s">
        <v>190</v>
      </c>
      <c r="HS394" s="319" t="s">
        <v>190</v>
      </c>
      <c r="HT394" s="319" t="s">
        <v>190</v>
      </c>
      <c r="HU394" s="319" t="s">
        <v>190</v>
      </c>
      <c r="HV394" s="319" t="s">
        <v>190</v>
      </c>
      <c r="HW394" s="319" t="s">
        <v>190</v>
      </c>
      <c r="HX394" s="319" t="s">
        <v>190</v>
      </c>
      <c r="HY394" s="319" t="s">
        <v>190</v>
      </c>
      <c r="HZ394" s="319" t="s">
        <v>190</v>
      </c>
      <c r="IA394" s="319" t="s">
        <v>190</v>
      </c>
      <c r="IB394" s="319" t="s">
        <v>190</v>
      </c>
      <c r="IC394" s="319" t="s">
        <v>190</v>
      </c>
      <c r="ID394" s="319" t="s">
        <v>190</v>
      </c>
      <c r="IE394" s="319" t="s">
        <v>190</v>
      </c>
      <c r="IF394" s="319" t="s">
        <v>190</v>
      </c>
      <c r="IG394" s="319" t="s">
        <v>190</v>
      </c>
      <c r="IH394" s="319" t="s">
        <v>190</v>
      </c>
      <c r="II394" s="319" t="s">
        <v>190</v>
      </c>
      <c r="IJ394" s="319" t="s">
        <v>3170</v>
      </c>
      <c r="IK394" s="321">
        <v>42087</v>
      </c>
      <c r="IL394" s="321">
        <v>42089</v>
      </c>
      <c r="IM394" s="321">
        <v>42123</v>
      </c>
      <c r="IN394" s="319">
        <v>1</v>
      </c>
      <c r="IO394" s="319" t="s">
        <v>173</v>
      </c>
      <c r="IP394" s="319" t="s">
        <v>173</v>
      </c>
      <c r="IQ394" s="321" t="s">
        <v>173</v>
      </c>
      <c r="IR394" s="320" t="s">
        <v>173</v>
      </c>
      <c r="IS394" s="322" t="s">
        <v>173</v>
      </c>
      <c r="IT394" s="319" t="s">
        <v>173</v>
      </c>
    </row>
    <row r="395" spans="1:254" s="271" customFormat="1" x14ac:dyDescent="0.25">
      <c r="A395" s="318" t="str">
        <f>HYPERLINK("http://www.ofsted.gov.uk/inspection-reports/find-inspection-report/provider/ELS/133346 ","Ofsted School Webpage")</f>
        <v>Ofsted School Webpage</v>
      </c>
      <c r="B395" s="319">
        <v>133346</v>
      </c>
      <c r="C395" s="319">
        <v>9096051</v>
      </c>
      <c r="D395" s="319" t="s">
        <v>1754</v>
      </c>
      <c r="E395" s="319" t="s">
        <v>168</v>
      </c>
      <c r="F395" s="319" t="s">
        <v>81</v>
      </c>
      <c r="G395" s="319" t="s">
        <v>81</v>
      </c>
      <c r="H395" s="319" t="s">
        <v>81</v>
      </c>
      <c r="I395" s="319" t="s">
        <v>78</v>
      </c>
      <c r="J395" s="319" t="s">
        <v>424</v>
      </c>
      <c r="K395" s="319" t="s">
        <v>431</v>
      </c>
      <c r="L395" s="319" t="s">
        <v>431</v>
      </c>
      <c r="M395" s="319" t="s">
        <v>585</v>
      </c>
      <c r="N395" s="319" t="s">
        <v>2915</v>
      </c>
      <c r="O395" s="319" t="s">
        <v>1755</v>
      </c>
      <c r="P395" s="319">
        <v>8</v>
      </c>
      <c r="Q395" s="319" t="s">
        <v>429</v>
      </c>
      <c r="R395" s="320">
        <v>10033388</v>
      </c>
      <c r="S395" s="321">
        <v>42801</v>
      </c>
      <c r="T395" s="321">
        <v>42803</v>
      </c>
      <c r="U395" s="321">
        <v>42828</v>
      </c>
      <c r="V395" s="319" t="s">
        <v>425</v>
      </c>
      <c r="W395" s="319" t="s">
        <v>2767</v>
      </c>
      <c r="X395" s="319">
        <v>2</v>
      </c>
      <c r="Y395" s="319" t="s">
        <v>173</v>
      </c>
      <c r="Z395" s="319" t="s">
        <v>173</v>
      </c>
      <c r="AA395" s="319" t="s">
        <v>173</v>
      </c>
      <c r="AB395" s="319">
        <v>2</v>
      </c>
      <c r="AC395" s="319" t="s">
        <v>169</v>
      </c>
      <c r="AD395" s="319" t="s">
        <v>173</v>
      </c>
      <c r="AE395" s="319" t="s">
        <v>173</v>
      </c>
      <c r="AF395" s="319" t="s">
        <v>173</v>
      </c>
      <c r="AG395" s="319" t="s">
        <v>171</v>
      </c>
      <c r="AH395" s="319" t="s">
        <v>190</v>
      </c>
      <c r="AI395" s="319" t="s">
        <v>190</v>
      </c>
      <c r="AJ395" s="319" t="s">
        <v>190</v>
      </c>
      <c r="AK395" s="319" t="s">
        <v>190</v>
      </c>
      <c r="AL395" s="319" t="s">
        <v>190</v>
      </c>
      <c r="AM395" s="319" t="s">
        <v>190</v>
      </c>
      <c r="AN395" s="319" t="s">
        <v>190</v>
      </c>
      <c r="AO395" s="319" t="s">
        <v>190</v>
      </c>
      <c r="AP395" s="319" t="s">
        <v>190</v>
      </c>
      <c r="AQ395" s="319" t="s">
        <v>190</v>
      </c>
      <c r="AR395" s="319" t="s">
        <v>190</v>
      </c>
      <c r="AS395" s="319" t="s">
        <v>190</v>
      </c>
      <c r="AT395" s="319" t="s">
        <v>190</v>
      </c>
      <c r="AU395" s="319" t="s">
        <v>190</v>
      </c>
      <c r="AV395" s="319" t="s">
        <v>190</v>
      </c>
      <c r="AW395" s="319" t="s">
        <v>190</v>
      </c>
      <c r="AX395" s="319" t="s">
        <v>429</v>
      </c>
      <c r="AY395" s="319" t="s">
        <v>190</v>
      </c>
      <c r="AZ395" s="319" t="s">
        <v>190</v>
      </c>
      <c r="BA395" s="319" t="s">
        <v>190</v>
      </c>
      <c r="BB395" s="319" t="s">
        <v>190</v>
      </c>
      <c r="BC395" s="319" t="s">
        <v>190</v>
      </c>
      <c r="BD395" s="319" t="s">
        <v>190</v>
      </c>
      <c r="BE395" s="319" t="s">
        <v>190</v>
      </c>
      <c r="BF395" s="319" t="s">
        <v>429</v>
      </c>
      <c r="BG395" s="319" t="s">
        <v>429</v>
      </c>
      <c r="BH395" s="319" t="s">
        <v>190</v>
      </c>
      <c r="BI395" s="319" t="s">
        <v>190</v>
      </c>
      <c r="BJ395" s="319" t="s">
        <v>190</v>
      </c>
      <c r="BK395" s="319" t="s">
        <v>190</v>
      </c>
      <c r="BL395" s="319" t="s">
        <v>190</v>
      </c>
      <c r="BM395" s="319" t="s">
        <v>190</v>
      </c>
      <c r="BN395" s="319" t="s">
        <v>190</v>
      </c>
      <c r="BO395" s="319" t="s">
        <v>190</v>
      </c>
      <c r="BP395" s="319" t="s">
        <v>190</v>
      </c>
      <c r="BQ395" s="319" t="s">
        <v>190</v>
      </c>
      <c r="BR395" s="319" t="s">
        <v>190</v>
      </c>
      <c r="BS395" s="319" t="s">
        <v>190</v>
      </c>
      <c r="BT395" s="319" t="s">
        <v>190</v>
      </c>
      <c r="BU395" s="319" t="s">
        <v>190</v>
      </c>
      <c r="BV395" s="319" t="s">
        <v>190</v>
      </c>
      <c r="BW395" s="319" t="s">
        <v>190</v>
      </c>
      <c r="BX395" s="319" t="s">
        <v>190</v>
      </c>
      <c r="BY395" s="319" t="s">
        <v>190</v>
      </c>
      <c r="BZ395" s="319" t="s">
        <v>190</v>
      </c>
      <c r="CA395" s="319" t="s">
        <v>190</v>
      </c>
      <c r="CB395" s="319" t="s">
        <v>190</v>
      </c>
      <c r="CC395" s="319" t="s">
        <v>190</v>
      </c>
      <c r="CD395" s="319" t="s">
        <v>190</v>
      </c>
      <c r="CE395" s="319" t="s">
        <v>190</v>
      </c>
      <c r="CF395" s="319" t="s">
        <v>190</v>
      </c>
      <c r="CG395" s="319" t="s">
        <v>190</v>
      </c>
      <c r="CH395" s="319" t="s">
        <v>190</v>
      </c>
      <c r="CI395" s="319" t="s">
        <v>190</v>
      </c>
      <c r="CJ395" s="319" t="s">
        <v>190</v>
      </c>
      <c r="CK395" s="319" t="s">
        <v>190</v>
      </c>
      <c r="CL395" s="319" t="s">
        <v>190</v>
      </c>
      <c r="CM395" s="319" t="s">
        <v>190</v>
      </c>
      <c r="CN395" s="319" t="s">
        <v>429</v>
      </c>
      <c r="CO395" s="319" t="s">
        <v>429</v>
      </c>
      <c r="CP395" s="319" t="s">
        <v>429</v>
      </c>
      <c r="CQ395" s="319" t="s">
        <v>190</v>
      </c>
      <c r="CR395" s="319" t="s">
        <v>190</v>
      </c>
      <c r="CS395" s="319" t="s">
        <v>190</v>
      </c>
      <c r="CT395" s="319" t="s">
        <v>190</v>
      </c>
      <c r="CU395" s="319" t="s">
        <v>190</v>
      </c>
      <c r="CV395" s="319" t="s">
        <v>190</v>
      </c>
      <c r="CW395" s="319" t="s">
        <v>190</v>
      </c>
      <c r="CX395" s="319" t="s">
        <v>190</v>
      </c>
      <c r="CY395" s="319" t="s">
        <v>190</v>
      </c>
      <c r="CZ395" s="319" t="s">
        <v>190</v>
      </c>
      <c r="DA395" s="319" t="s">
        <v>190</v>
      </c>
      <c r="DB395" s="319" t="s">
        <v>190</v>
      </c>
      <c r="DC395" s="319" t="s">
        <v>190</v>
      </c>
      <c r="DD395" s="319" t="s">
        <v>190</v>
      </c>
      <c r="DE395" s="319" t="s">
        <v>190</v>
      </c>
      <c r="DF395" s="319" t="s">
        <v>190</v>
      </c>
      <c r="DG395" s="319" t="s">
        <v>190</v>
      </c>
      <c r="DH395" s="319" t="s">
        <v>190</v>
      </c>
      <c r="DI395" s="319" t="s">
        <v>190</v>
      </c>
      <c r="DJ395" s="319" t="s">
        <v>190</v>
      </c>
      <c r="DK395" s="319" t="s">
        <v>190</v>
      </c>
      <c r="DL395" s="319" t="s">
        <v>190</v>
      </c>
      <c r="DM395" s="319" t="s">
        <v>190</v>
      </c>
      <c r="DN395" s="319" t="s">
        <v>429</v>
      </c>
      <c r="DO395" s="319" t="s">
        <v>190</v>
      </c>
      <c r="DP395" s="319" t="s">
        <v>190</v>
      </c>
      <c r="DQ395" s="319" t="s">
        <v>190</v>
      </c>
      <c r="DR395" s="319" t="s">
        <v>190</v>
      </c>
      <c r="DS395" s="319" t="s">
        <v>190</v>
      </c>
      <c r="DT395" s="319" t="s">
        <v>190</v>
      </c>
      <c r="DU395" s="319" t="s">
        <v>190</v>
      </c>
      <c r="DV395" s="319" t="s">
        <v>173</v>
      </c>
      <c r="DW395" s="319" t="s">
        <v>190</v>
      </c>
      <c r="DX395" s="319" t="s">
        <v>190</v>
      </c>
      <c r="DY395" s="319" t="s">
        <v>190</v>
      </c>
      <c r="DZ395" s="319" t="s">
        <v>190</v>
      </c>
      <c r="EA395" s="319" t="s">
        <v>190</v>
      </c>
      <c r="EB395" s="319" t="s">
        <v>190</v>
      </c>
      <c r="EC395" s="319" t="s">
        <v>429</v>
      </c>
      <c r="ED395" s="319" t="s">
        <v>190</v>
      </c>
      <c r="EE395" s="319" t="s">
        <v>190</v>
      </c>
      <c r="EF395" s="319" t="s">
        <v>190</v>
      </c>
      <c r="EG395" s="319" t="s">
        <v>190</v>
      </c>
      <c r="EH395" s="319" t="s">
        <v>190</v>
      </c>
      <c r="EI395" s="319" t="s">
        <v>190</v>
      </c>
      <c r="EJ395" s="319" t="s">
        <v>190</v>
      </c>
      <c r="EK395" s="319" t="s">
        <v>190</v>
      </c>
      <c r="EL395" s="319" t="s">
        <v>190</v>
      </c>
      <c r="EM395" s="319" t="s">
        <v>190</v>
      </c>
      <c r="EN395" s="319" t="s">
        <v>190</v>
      </c>
      <c r="EO395" s="319" t="s">
        <v>190</v>
      </c>
      <c r="EP395" s="319" t="s">
        <v>190</v>
      </c>
      <c r="EQ395" s="319" t="s">
        <v>190</v>
      </c>
      <c r="ER395" s="319" t="s">
        <v>190</v>
      </c>
      <c r="ES395" s="319" t="s">
        <v>190</v>
      </c>
      <c r="ET395" s="319" t="s">
        <v>190</v>
      </c>
      <c r="EU395" s="319" t="s">
        <v>190</v>
      </c>
      <c r="EV395" s="319" t="s">
        <v>190</v>
      </c>
      <c r="EW395" s="319" t="s">
        <v>190</v>
      </c>
      <c r="EX395" s="319" t="s">
        <v>190</v>
      </c>
      <c r="EY395" s="319" t="s">
        <v>190</v>
      </c>
      <c r="EZ395" s="319" t="s">
        <v>190</v>
      </c>
      <c r="FA395" s="319" t="s">
        <v>190</v>
      </c>
      <c r="FB395" s="319" t="s">
        <v>190</v>
      </c>
      <c r="FC395" s="319" t="s">
        <v>190</v>
      </c>
      <c r="FD395" s="319" t="s">
        <v>190</v>
      </c>
      <c r="FE395" s="319" t="s">
        <v>190</v>
      </c>
      <c r="FF395" s="319" t="s">
        <v>190</v>
      </c>
      <c r="FG395" s="319" t="s">
        <v>190</v>
      </c>
      <c r="FH395" s="319" t="s">
        <v>190</v>
      </c>
      <c r="FI395" s="319" t="s">
        <v>190</v>
      </c>
      <c r="FJ395" s="319" t="s">
        <v>190</v>
      </c>
      <c r="FK395" s="319" t="s">
        <v>190</v>
      </c>
      <c r="FL395" s="319" t="s">
        <v>190</v>
      </c>
      <c r="FM395" s="319" t="s">
        <v>190</v>
      </c>
      <c r="FN395" s="319" t="s">
        <v>190</v>
      </c>
      <c r="FO395" s="319" t="s">
        <v>190</v>
      </c>
      <c r="FP395" s="319" t="s">
        <v>190</v>
      </c>
      <c r="FQ395" s="319" t="s">
        <v>190</v>
      </c>
      <c r="FR395" s="319" t="s">
        <v>190</v>
      </c>
      <c r="FS395" s="319" t="s">
        <v>190</v>
      </c>
      <c r="FT395" s="319" t="s">
        <v>190</v>
      </c>
      <c r="FU395" s="319" t="s">
        <v>190</v>
      </c>
      <c r="FV395" s="319" t="s">
        <v>190</v>
      </c>
      <c r="FW395" s="319" t="s">
        <v>190</v>
      </c>
      <c r="FX395" s="319" t="s">
        <v>190</v>
      </c>
      <c r="FY395" s="319" t="s">
        <v>190</v>
      </c>
      <c r="FZ395" s="319" t="s">
        <v>190</v>
      </c>
      <c r="GA395" s="319" t="s">
        <v>190</v>
      </c>
      <c r="GB395" s="319" t="s">
        <v>190</v>
      </c>
      <c r="GC395" s="319" t="s">
        <v>190</v>
      </c>
      <c r="GD395" s="319" t="s">
        <v>190</v>
      </c>
      <c r="GE395" s="319" t="s">
        <v>190</v>
      </c>
      <c r="GF395" s="319" t="s">
        <v>190</v>
      </c>
      <c r="GG395" s="319" t="s">
        <v>190</v>
      </c>
      <c r="GH395" s="319" t="s">
        <v>190</v>
      </c>
      <c r="GI395" s="319" t="s">
        <v>190</v>
      </c>
      <c r="GJ395" s="319" t="s">
        <v>190</v>
      </c>
      <c r="GK395" s="319" t="s">
        <v>429</v>
      </c>
      <c r="GL395" s="319" t="s">
        <v>190</v>
      </c>
      <c r="GM395" s="319" t="s">
        <v>190</v>
      </c>
      <c r="GN395" s="319" t="s">
        <v>190</v>
      </c>
      <c r="GO395" s="319" t="s">
        <v>190</v>
      </c>
      <c r="GP395" s="319" t="s">
        <v>190</v>
      </c>
      <c r="GQ395" s="319" t="s">
        <v>190</v>
      </c>
      <c r="GR395" s="319" t="s">
        <v>190</v>
      </c>
      <c r="GS395" s="319" t="s">
        <v>190</v>
      </c>
      <c r="GT395" s="319" t="s">
        <v>190</v>
      </c>
      <c r="GU395" s="319" t="s">
        <v>190</v>
      </c>
      <c r="GV395" s="319" t="s">
        <v>190</v>
      </c>
      <c r="GW395" s="319" t="s">
        <v>190</v>
      </c>
      <c r="GX395" s="319" t="s">
        <v>190</v>
      </c>
      <c r="GY395" s="319" t="s">
        <v>190</v>
      </c>
      <c r="GZ395" s="319" t="s">
        <v>190</v>
      </c>
      <c r="HA395" s="319" t="s">
        <v>190</v>
      </c>
      <c r="HB395" s="319" t="s">
        <v>190</v>
      </c>
      <c r="HC395" s="319" t="s">
        <v>190</v>
      </c>
      <c r="HD395" s="319" t="s">
        <v>190</v>
      </c>
      <c r="HE395" s="319" t="s">
        <v>190</v>
      </c>
      <c r="HF395" s="319" t="s">
        <v>190</v>
      </c>
      <c r="HG395" s="319" t="s">
        <v>190</v>
      </c>
      <c r="HH395" s="319" t="s">
        <v>190</v>
      </c>
      <c r="HI395" s="319" t="s">
        <v>190</v>
      </c>
      <c r="HJ395" s="319" t="s">
        <v>190</v>
      </c>
      <c r="HK395" s="319" t="s">
        <v>190</v>
      </c>
      <c r="HL395" s="319" t="s">
        <v>190</v>
      </c>
      <c r="HM395" s="319" t="s">
        <v>190</v>
      </c>
      <c r="HN395" s="319" t="s">
        <v>190</v>
      </c>
      <c r="HO395" s="319" t="s">
        <v>190</v>
      </c>
      <c r="HP395" s="319" t="s">
        <v>190</v>
      </c>
      <c r="HQ395" s="319" t="s">
        <v>190</v>
      </c>
      <c r="HR395" s="319" t="s">
        <v>190</v>
      </c>
      <c r="HS395" s="319" t="s">
        <v>190</v>
      </c>
      <c r="HT395" s="319" t="s">
        <v>190</v>
      </c>
      <c r="HU395" s="319" t="s">
        <v>190</v>
      </c>
      <c r="HV395" s="319" t="s">
        <v>190</v>
      </c>
      <c r="HW395" s="319" t="s">
        <v>190</v>
      </c>
      <c r="HX395" s="319" t="s">
        <v>190</v>
      </c>
      <c r="HY395" s="319" t="s">
        <v>190</v>
      </c>
      <c r="HZ395" s="319" t="s">
        <v>190</v>
      </c>
      <c r="IA395" s="319" t="s">
        <v>190</v>
      </c>
      <c r="IB395" s="319" t="s">
        <v>190</v>
      </c>
      <c r="IC395" s="319" t="s">
        <v>190</v>
      </c>
      <c r="ID395" s="319" t="s">
        <v>190</v>
      </c>
      <c r="IE395" s="319" t="s">
        <v>190</v>
      </c>
      <c r="IF395" s="319" t="s">
        <v>190</v>
      </c>
      <c r="IG395" s="319" t="s">
        <v>190</v>
      </c>
      <c r="IH395" s="319" t="s">
        <v>190</v>
      </c>
      <c r="II395" s="319" t="s">
        <v>190</v>
      </c>
      <c r="IJ395" s="319" t="s">
        <v>3171</v>
      </c>
      <c r="IK395" s="321">
        <v>42171</v>
      </c>
      <c r="IL395" s="321">
        <v>42173</v>
      </c>
      <c r="IM395" s="321">
        <v>42220</v>
      </c>
      <c r="IN395" s="319">
        <v>2</v>
      </c>
      <c r="IO395" s="319" t="s">
        <v>173</v>
      </c>
      <c r="IP395" s="319" t="s">
        <v>173</v>
      </c>
      <c r="IQ395" s="319" t="s">
        <v>173</v>
      </c>
      <c r="IR395" s="320" t="s">
        <v>173</v>
      </c>
      <c r="IS395" s="320" t="s">
        <v>173</v>
      </c>
      <c r="IT395" s="319" t="s">
        <v>173</v>
      </c>
    </row>
    <row r="396" spans="1:254" s="271" customFormat="1" x14ac:dyDescent="0.25">
      <c r="A396" s="318" t="str">
        <f>HYPERLINK("http://www.ofsted.gov.uk/inspection-reports/find-inspection-report/provider/ELS/133348 ","Ofsted School Webpage")</f>
        <v>Ofsted School Webpage</v>
      </c>
      <c r="B396" s="319">
        <v>133348</v>
      </c>
      <c r="C396" s="319">
        <v>8466023</v>
      </c>
      <c r="D396" s="319" t="s">
        <v>1756</v>
      </c>
      <c r="E396" s="319" t="s">
        <v>167</v>
      </c>
      <c r="F396" s="319" t="s">
        <v>81</v>
      </c>
      <c r="G396" s="319" t="s">
        <v>81</v>
      </c>
      <c r="H396" s="319" t="s">
        <v>81</v>
      </c>
      <c r="I396" s="319" t="s">
        <v>78</v>
      </c>
      <c r="J396" s="319" t="s">
        <v>424</v>
      </c>
      <c r="K396" s="319" t="s">
        <v>514</v>
      </c>
      <c r="L396" s="319" t="s">
        <v>514</v>
      </c>
      <c r="M396" s="319" t="s">
        <v>828</v>
      </c>
      <c r="N396" s="319" t="s">
        <v>3172</v>
      </c>
      <c r="O396" s="319" t="s">
        <v>1757</v>
      </c>
      <c r="P396" s="319">
        <v>31</v>
      </c>
      <c r="Q396" s="319" t="s">
        <v>2766</v>
      </c>
      <c r="R396" s="320">
        <v>10020938</v>
      </c>
      <c r="S396" s="321">
        <v>43256</v>
      </c>
      <c r="T396" s="321">
        <v>43258</v>
      </c>
      <c r="U396" s="321">
        <v>43277</v>
      </c>
      <c r="V396" s="319" t="s">
        <v>425</v>
      </c>
      <c r="W396" s="319" t="s">
        <v>2767</v>
      </c>
      <c r="X396" s="319">
        <v>2</v>
      </c>
      <c r="Y396" s="319" t="s">
        <v>173</v>
      </c>
      <c r="Z396" s="319" t="s">
        <v>173</v>
      </c>
      <c r="AA396" s="319" t="s">
        <v>173</v>
      </c>
      <c r="AB396" s="319">
        <v>2</v>
      </c>
      <c r="AC396" s="319" t="s">
        <v>169</v>
      </c>
      <c r="AD396" s="319">
        <v>2</v>
      </c>
      <c r="AE396" s="319" t="s">
        <v>173</v>
      </c>
      <c r="AF396" s="319" t="s">
        <v>427</v>
      </c>
      <c r="AG396" s="319" t="s">
        <v>171</v>
      </c>
      <c r="AH396" s="319" t="s">
        <v>190</v>
      </c>
      <c r="AI396" s="319" t="s">
        <v>190</v>
      </c>
      <c r="AJ396" s="319" t="s">
        <v>190</v>
      </c>
      <c r="AK396" s="319" t="s">
        <v>190</v>
      </c>
      <c r="AL396" s="319" t="s">
        <v>190</v>
      </c>
      <c r="AM396" s="319" t="s">
        <v>190</v>
      </c>
      <c r="AN396" s="319" t="s">
        <v>190</v>
      </c>
      <c r="AO396" s="319" t="s">
        <v>190</v>
      </c>
      <c r="AP396" s="319" t="s">
        <v>190</v>
      </c>
      <c r="AQ396" s="319" t="s">
        <v>190</v>
      </c>
      <c r="AR396" s="319" t="s">
        <v>190</v>
      </c>
      <c r="AS396" s="319" t="s">
        <v>190</v>
      </c>
      <c r="AT396" s="319" t="s">
        <v>190</v>
      </c>
      <c r="AU396" s="319" t="s">
        <v>190</v>
      </c>
      <c r="AV396" s="319" t="s">
        <v>190</v>
      </c>
      <c r="AW396" s="319" t="s">
        <v>190</v>
      </c>
      <c r="AX396" s="319" t="s">
        <v>428</v>
      </c>
      <c r="AY396" s="319" t="s">
        <v>190</v>
      </c>
      <c r="AZ396" s="319" t="s">
        <v>190</v>
      </c>
      <c r="BA396" s="319" t="s">
        <v>190</v>
      </c>
      <c r="BB396" s="319" t="s">
        <v>428</v>
      </c>
      <c r="BC396" s="319" t="s">
        <v>428</v>
      </c>
      <c r="BD396" s="319" t="s">
        <v>428</v>
      </c>
      <c r="BE396" s="319" t="s">
        <v>428</v>
      </c>
      <c r="BF396" s="319" t="s">
        <v>190</v>
      </c>
      <c r="BG396" s="319" t="s">
        <v>428</v>
      </c>
      <c r="BH396" s="319" t="s">
        <v>190</v>
      </c>
      <c r="BI396" s="319" t="s">
        <v>190</v>
      </c>
      <c r="BJ396" s="319" t="s">
        <v>190</v>
      </c>
      <c r="BK396" s="319" t="s">
        <v>190</v>
      </c>
      <c r="BL396" s="319" t="s">
        <v>190</v>
      </c>
      <c r="BM396" s="319" t="s">
        <v>190</v>
      </c>
      <c r="BN396" s="319" t="s">
        <v>190</v>
      </c>
      <c r="BO396" s="319" t="s">
        <v>190</v>
      </c>
      <c r="BP396" s="319" t="s">
        <v>190</v>
      </c>
      <c r="BQ396" s="319" t="s">
        <v>190</v>
      </c>
      <c r="BR396" s="319" t="s">
        <v>190</v>
      </c>
      <c r="BS396" s="319" t="s">
        <v>190</v>
      </c>
      <c r="BT396" s="319" t="s">
        <v>190</v>
      </c>
      <c r="BU396" s="319" t="s">
        <v>190</v>
      </c>
      <c r="BV396" s="319" t="s">
        <v>190</v>
      </c>
      <c r="BW396" s="319" t="s">
        <v>190</v>
      </c>
      <c r="BX396" s="319" t="s">
        <v>190</v>
      </c>
      <c r="BY396" s="319" t="s">
        <v>190</v>
      </c>
      <c r="BZ396" s="319" t="s">
        <v>190</v>
      </c>
      <c r="CA396" s="319" t="s">
        <v>190</v>
      </c>
      <c r="CB396" s="319" t="s">
        <v>190</v>
      </c>
      <c r="CC396" s="319" t="s">
        <v>190</v>
      </c>
      <c r="CD396" s="319" t="s">
        <v>190</v>
      </c>
      <c r="CE396" s="319" t="s">
        <v>190</v>
      </c>
      <c r="CF396" s="319" t="s">
        <v>190</v>
      </c>
      <c r="CG396" s="319" t="s">
        <v>190</v>
      </c>
      <c r="CH396" s="319" t="s">
        <v>190</v>
      </c>
      <c r="CI396" s="319" t="s">
        <v>190</v>
      </c>
      <c r="CJ396" s="319" t="s">
        <v>190</v>
      </c>
      <c r="CK396" s="319" t="s">
        <v>190</v>
      </c>
      <c r="CL396" s="319" t="s">
        <v>190</v>
      </c>
      <c r="CM396" s="319" t="s">
        <v>190</v>
      </c>
      <c r="CN396" s="319" t="s">
        <v>428</v>
      </c>
      <c r="CO396" s="319" t="s">
        <v>428</v>
      </c>
      <c r="CP396" s="319" t="s">
        <v>428</v>
      </c>
      <c r="CQ396" s="319" t="s">
        <v>190</v>
      </c>
      <c r="CR396" s="319" t="s">
        <v>190</v>
      </c>
      <c r="CS396" s="319" t="s">
        <v>190</v>
      </c>
      <c r="CT396" s="319" t="s">
        <v>190</v>
      </c>
      <c r="CU396" s="319" t="s">
        <v>190</v>
      </c>
      <c r="CV396" s="319" t="s">
        <v>190</v>
      </c>
      <c r="CW396" s="319" t="s">
        <v>190</v>
      </c>
      <c r="CX396" s="319" t="s">
        <v>190</v>
      </c>
      <c r="CY396" s="319" t="s">
        <v>190</v>
      </c>
      <c r="CZ396" s="319" t="s">
        <v>190</v>
      </c>
      <c r="DA396" s="319" t="s">
        <v>190</v>
      </c>
      <c r="DB396" s="319" t="s">
        <v>190</v>
      </c>
      <c r="DC396" s="319" t="s">
        <v>190</v>
      </c>
      <c r="DD396" s="319" t="s">
        <v>190</v>
      </c>
      <c r="DE396" s="319" t="s">
        <v>190</v>
      </c>
      <c r="DF396" s="319" t="s">
        <v>190</v>
      </c>
      <c r="DG396" s="319" t="s">
        <v>190</v>
      </c>
      <c r="DH396" s="319" t="s">
        <v>190</v>
      </c>
      <c r="DI396" s="319" t="s">
        <v>190</v>
      </c>
      <c r="DJ396" s="319" t="s">
        <v>190</v>
      </c>
      <c r="DK396" s="319" t="s">
        <v>190</v>
      </c>
      <c r="DL396" s="319" t="s">
        <v>190</v>
      </c>
      <c r="DM396" s="319" t="s">
        <v>190</v>
      </c>
      <c r="DN396" s="319" t="s">
        <v>428</v>
      </c>
      <c r="DO396" s="319" t="s">
        <v>190</v>
      </c>
      <c r="DP396" s="319" t="s">
        <v>428</v>
      </c>
      <c r="DQ396" s="319" t="s">
        <v>428</v>
      </c>
      <c r="DR396" s="319" t="s">
        <v>428</v>
      </c>
      <c r="DS396" s="319" t="s">
        <v>428</v>
      </c>
      <c r="DT396" s="319" t="s">
        <v>428</v>
      </c>
      <c r="DU396" s="319" t="s">
        <v>428</v>
      </c>
      <c r="DV396" s="319" t="s">
        <v>173</v>
      </c>
      <c r="DW396" s="319" t="s">
        <v>428</v>
      </c>
      <c r="DX396" s="319" t="s">
        <v>428</v>
      </c>
      <c r="DY396" s="319" t="s">
        <v>428</v>
      </c>
      <c r="DZ396" s="319" t="s">
        <v>428</v>
      </c>
      <c r="EA396" s="319" t="s">
        <v>428</v>
      </c>
      <c r="EB396" s="319" t="s">
        <v>428</v>
      </c>
      <c r="EC396" s="319" t="s">
        <v>428</v>
      </c>
      <c r="ED396" s="319" t="s">
        <v>428</v>
      </c>
      <c r="EE396" s="319" t="s">
        <v>190</v>
      </c>
      <c r="EF396" s="319" t="s">
        <v>190</v>
      </c>
      <c r="EG396" s="319" t="s">
        <v>190</v>
      </c>
      <c r="EH396" s="319" t="s">
        <v>190</v>
      </c>
      <c r="EI396" s="319" t="s">
        <v>190</v>
      </c>
      <c r="EJ396" s="319" t="s">
        <v>190</v>
      </c>
      <c r="EK396" s="319" t="s">
        <v>190</v>
      </c>
      <c r="EL396" s="319" t="s">
        <v>190</v>
      </c>
      <c r="EM396" s="319" t="s">
        <v>190</v>
      </c>
      <c r="EN396" s="319" t="s">
        <v>190</v>
      </c>
      <c r="EO396" s="319" t="s">
        <v>190</v>
      </c>
      <c r="EP396" s="319" t="s">
        <v>190</v>
      </c>
      <c r="EQ396" s="319" t="s">
        <v>190</v>
      </c>
      <c r="ER396" s="319" t="s">
        <v>190</v>
      </c>
      <c r="ES396" s="319" t="s">
        <v>190</v>
      </c>
      <c r="ET396" s="319" t="s">
        <v>190</v>
      </c>
      <c r="EU396" s="319" t="s">
        <v>190</v>
      </c>
      <c r="EV396" s="319" t="s">
        <v>190</v>
      </c>
      <c r="EW396" s="319" t="s">
        <v>190</v>
      </c>
      <c r="EX396" s="319" t="s">
        <v>190</v>
      </c>
      <c r="EY396" s="319" t="s">
        <v>190</v>
      </c>
      <c r="EZ396" s="319" t="s">
        <v>190</v>
      </c>
      <c r="FA396" s="319" t="s">
        <v>190</v>
      </c>
      <c r="FB396" s="319" t="s">
        <v>190</v>
      </c>
      <c r="FC396" s="319" t="s">
        <v>190</v>
      </c>
      <c r="FD396" s="319" t="s">
        <v>190</v>
      </c>
      <c r="FE396" s="319" t="s">
        <v>190</v>
      </c>
      <c r="FF396" s="319" t="s">
        <v>190</v>
      </c>
      <c r="FG396" s="319" t="s">
        <v>190</v>
      </c>
      <c r="FH396" s="319" t="s">
        <v>428</v>
      </c>
      <c r="FI396" s="319" t="s">
        <v>428</v>
      </c>
      <c r="FJ396" s="319" t="s">
        <v>429</v>
      </c>
      <c r="FK396" s="319" t="s">
        <v>428</v>
      </c>
      <c r="FL396" s="319" t="s">
        <v>190</v>
      </c>
      <c r="FM396" s="319" t="s">
        <v>190</v>
      </c>
      <c r="FN396" s="319" t="s">
        <v>190</v>
      </c>
      <c r="FO396" s="319" t="s">
        <v>190</v>
      </c>
      <c r="FP396" s="319" t="s">
        <v>190</v>
      </c>
      <c r="FQ396" s="319" t="s">
        <v>190</v>
      </c>
      <c r="FR396" s="319" t="s">
        <v>190</v>
      </c>
      <c r="FS396" s="319" t="s">
        <v>428</v>
      </c>
      <c r="FT396" s="319" t="s">
        <v>190</v>
      </c>
      <c r="FU396" s="319" t="s">
        <v>190</v>
      </c>
      <c r="FV396" s="319" t="s">
        <v>190</v>
      </c>
      <c r="FW396" s="319" t="s">
        <v>190</v>
      </c>
      <c r="FX396" s="319" t="s">
        <v>190</v>
      </c>
      <c r="FY396" s="319" t="s">
        <v>190</v>
      </c>
      <c r="FZ396" s="319" t="s">
        <v>190</v>
      </c>
      <c r="GA396" s="319" t="s">
        <v>190</v>
      </c>
      <c r="GB396" s="319" t="s">
        <v>190</v>
      </c>
      <c r="GC396" s="319" t="s">
        <v>190</v>
      </c>
      <c r="GD396" s="319" t="s">
        <v>190</v>
      </c>
      <c r="GE396" s="319" t="s">
        <v>190</v>
      </c>
      <c r="GF396" s="319" t="s">
        <v>190</v>
      </c>
      <c r="GG396" s="319" t="s">
        <v>190</v>
      </c>
      <c r="GH396" s="319" t="s">
        <v>190</v>
      </c>
      <c r="GI396" s="319" t="s">
        <v>190</v>
      </c>
      <c r="GJ396" s="319" t="s">
        <v>190</v>
      </c>
      <c r="GK396" s="319" t="s">
        <v>428</v>
      </c>
      <c r="GL396" s="319" t="s">
        <v>190</v>
      </c>
      <c r="GM396" s="319" t="s">
        <v>190</v>
      </c>
      <c r="GN396" s="319" t="s">
        <v>190</v>
      </c>
      <c r="GO396" s="319" t="s">
        <v>190</v>
      </c>
      <c r="GP396" s="319" t="s">
        <v>190</v>
      </c>
      <c r="GQ396" s="319" t="s">
        <v>428</v>
      </c>
      <c r="GR396" s="319" t="s">
        <v>190</v>
      </c>
      <c r="GS396" s="319" t="s">
        <v>190</v>
      </c>
      <c r="GT396" s="319" t="s">
        <v>190</v>
      </c>
      <c r="GU396" s="319" t="s">
        <v>190</v>
      </c>
      <c r="GV396" s="319" t="s">
        <v>190</v>
      </c>
      <c r="GW396" s="319" t="s">
        <v>190</v>
      </c>
      <c r="GX396" s="319" t="s">
        <v>190</v>
      </c>
      <c r="GY396" s="319" t="s">
        <v>190</v>
      </c>
      <c r="GZ396" s="319" t="s">
        <v>190</v>
      </c>
      <c r="HA396" s="319" t="s">
        <v>428</v>
      </c>
      <c r="HB396" s="319" t="s">
        <v>428</v>
      </c>
      <c r="HC396" s="319" t="s">
        <v>190</v>
      </c>
      <c r="HD396" s="319" t="s">
        <v>190</v>
      </c>
      <c r="HE396" s="319" t="s">
        <v>190</v>
      </c>
      <c r="HF396" s="319" t="s">
        <v>190</v>
      </c>
      <c r="HG396" s="319" t="s">
        <v>190</v>
      </c>
      <c r="HH396" s="319" t="s">
        <v>190</v>
      </c>
      <c r="HI396" s="319" t="s">
        <v>428</v>
      </c>
      <c r="HJ396" s="319" t="s">
        <v>190</v>
      </c>
      <c r="HK396" s="319" t="s">
        <v>190</v>
      </c>
      <c r="HL396" s="319" t="s">
        <v>190</v>
      </c>
      <c r="HM396" s="319" t="s">
        <v>190</v>
      </c>
      <c r="HN396" s="319" t="s">
        <v>190</v>
      </c>
      <c r="HO396" s="319" t="s">
        <v>190</v>
      </c>
      <c r="HP396" s="319" t="s">
        <v>190</v>
      </c>
      <c r="HQ396" s="319" t="s">
        <v>190</v>
      </c>
      <c r="HR396" s="319" t="s">
        <v>190</v>
      </c>
      <c r="HS396" s="319" t="s">
        <v>190</v>
      </c>
      <c r="HT396" s="319" t="s">
        <v>190</v>
      </c>
      <c r="HU396" s="319" t="s">
        <v>190</v>
      </c>
      <c r="HV396" s="319" t="s">
        <v>190</v>
      </c>
      <c r="HW396" s="319" t="s">
        <v>190</v>
      </c>
      <c r="HX396" s="319" t="s">
        <v>190</v>
      </c>
      <c r="HY396" s="319" t="s">
        <v>190</v>
      </c>
      <c r="HZ396" s="319" t="s">
        <v>190</v>
      </c>
      <c r="IA396" s="319" t="s">
        <v>190</v>
      </c>
      <c r="IB396" s="319" t="s">
        <v>190</v>
      </c>
      <c r="IC396" s="319" t="s">
        <v>190</v>
      </c>
      <c r="ID396" s="319" t="s">
        <v>190</v>
      </c>
      <c r="IE396" s="319" t="s">
        <v>190</v>
      </c>
      <c r="IF396" s="319" t="s">
        <v>190</v>
      </c>
      <c r="IG396" s="319" t="s">
        <v>190</v>
      </c>
      <c r="IH396" s="319" t="s">
        <v>190</v>
      </c>
      <c r="II396" s="319" t="s">
        <v>190</v>
      </c>
      <c r="IJ396" s="319" t="s">
        <v>3173</v>
      </c>
      <c r="IK396" s="321">
        <v>41542</v>
      </c>
      <c r="IL396" s="321">
        <v>41544</v>
      </c>
      <c r="IM396" s="321">
        <v>41564</v>
      </c>
      <c r="IN396" s="319">
        <v>3</v>
      </c>
      <c r="IO396" s="319" t="s">
        <v>173</v>
      </c>
      <c r="IP396" s="319" t="s">
        <v>173</v>
      </c>
      <c r="IQ396" s="321" t="s">
        <v>173</v>
      </c>
      <c r="IR396" s="320" t="s">
        <v>173</v>
      </c>
      <c r="IS396" s="322" t="s">
        <v>173</v>
      </c>
      <c r="IT396" s="319" t="s">
        <v>173</v>
      </c>
    </row>
    <row r="397" spans="1:254" s="271" customFormat="1" x14ac:dyDescent="0.25">
      <c r="A397" s="318" t="str">
        <f>HYPERLINK("http://www.ofsted.gov.uk/inspection-reports/find-inspection-report/provider/ELS/133349 ","Ofsted School Webpage")</f>
        <v>Ofsted School Webpage</v>
      </c>
      <c r="B397" s="319">
        <v>133349</v>
      </c>
      <c r="C397" s="319">
        <v>8566015</v>
      </c>
      <c r="D397" s="319" t="s">
        <v>1758</v>
      </c>
      <c r="E397" s="319" t="s">
        <v>167</v>
      </c>
      <c r="F397" s="319" t="s">
        <v>72</v>
      </c>
      <c r="G397" s="319" t="s">
        <v>72</v>
      </c>
      <c r="H397" s="319" t="s">
        <v>72</v>
      </c>
      <c r="I397" s="319" t="s">
        <v>72</v>
      </c>
      <c r="J397" s="319" t="s">
        <v>424</v>
      </c>
      <c r="K397" s="319" t="s">
        <v>506</v>
      </c>
      <c r="L397" s="319" t="s">
        <v>506</v>
      </c>
      <c r="M397" s="319" t="s">
        <v>521</v>
      </c>
      <c r="N397" s="319" t="s">
        <v>3003</v>
      </c>
      <c r="O397" s="319" t="s">
        <v>1759</v>
      </c>
      <c r="P397" s="319">
        <v>197</v>
      </c>
      <c r="Q397" s="319" t="s">
        <v>2766</v>
      </c>
      <c r="R397" s="320">
        <v>10039184</v>
      </c>
      <c r="S397" s="321">
        <v>43018</v>
      </c>
      <c r="T397" s="321">
        <v>43020</v>
      </c>
      <c r="U397" s="321">
        <v>43052</v>
      </c>
      <c r="V397" s="319" t="s">
        <v>425</v>
      </c>
      <c r="W397" s="319" t="s">
        <v>2767</v>
      </c>
      <c r="X397" s="319">
        <v>2</v>
      </c>
      <c r="Y397" s="319" t="s">
        <v>173</v>
      </c>
      <c r="Z397" s="319" t="s">
        <v>173</v>
      </c>
      <c r="AA397" s="319" t="s">
        <v>173</v>
      </c>
      <c r="AB397" s="319">
        <v>2</v>
      </c>
      <c r="AC397" s="319" t="s">
        <v>169</v>
      </c>
      <c r="AD397" s="319" t="s">
        <v>173</v>
      </c>
      <c r="AE397" s="319" t="s">
        <v>173</v>
      </c>
      <c r="AF397" s="319" t="s">
        <v>427</v>
      </c>
      <c r="AG397" s="319" t="s">
        <v>171</v>
      </c>
      <c r="AH397" s="319" t="s">
        <v>190</v>
      </c>
      <c r="AI397" s="319" t="s">
        <v>190</v>
      </c>
      <c r="AJ397" s="319" t="s">
        <v>190</v>
      </c>
      <c r="AK397" s="319" t="s">
        <v>190</v>
      </c>
      <c r="AL397" s="319" t="s">
        <v>190</v>
      </c>
      <c r="AM397" s="319" t="s">
        <v>190</v>
      </c>
      <c r="AN397" s="319" t="s">
        <v>190</v>
      </c>
      <c r="AO397" s="319" t="s">
        <v>190</v>
      </c>
      <c r="AP397" s="319" t="s">
        <v>190</v>
      </c>
      <c r="AQ397" s="319" t="s">
        <v>190</v>
      </c>
      <c r="AR397" s="319" t="s">
        <v>190</v>
      </c>
      <c r="AS397" s="319" t="s">
        <v>190</v>
      </c>
      <c r="AT397" s="319" t="s">
        <v>190</v>
      </c>
      <c r="AU397" s="319" t="s">
        <v>190</v>
      </c>
      <c r="AV397" s="319" t="s">
        <v>190</v>
      </c>
      <c r="AW397" s="319" t="s">
        <v>190</v>
      </c>
      <c r="AX397" s="319" t="s">
        <v>428</v>
      </c>
      <c r="AY397" s="319" t="s">
        <v>190</v>
      </c>
      <c r="AZ397" s="319" t="s">
        <v>190</v>
      </c>
      <c r="BA397" s="319" t="s">
        <v>190</v>
      </c>
      <c r="BB397" s="319" t="s">
        <v>190</v>
      </c>
      <c r="BC397" s="319" t="s">
        <v>190</v>
      </c>
      <c r="BD397" s="319" t="s">
        <v>190</v>
      </c>
      <c r="BE397" s="319" t="s">
        <v>190</v>
      </c>
      <c r="BF397" s="319" t="s">
        <v>428</v>
      </c>
      <c r="BG397" s="319" t="s">
        <v>428</v>
      </c>
      <c r="BH397" s="319" t="s">
        <v>190</v>
      </c>
      <c r="BI397" s="319" t="s">
        <v>190</v>
      </c>
      <c r="BJ397" s="319" t="s">
        <v>190</v>
      </c>
      <c r="BK397" s="319" t="s">
        <v>190</v>
      </c>
      <c r="BL397" s="319" t="s">
        <v>190</v>
      </c>
      <c r="BM397" s="319" t="s">
        <v>190</v>
      </c>
      <c r="BN397" s="319" t="s">
        <v>190</v>
      </c>
      <c r="BO397" s="319" t="s">
        <v>190</v>
      </c>
      <c r="BP397" s="319" t="s">
        <v>190</v>
      </c>
      <c r="BQ397" s="319" t="s">
        <v>190</v>
      </c>
      <c r="BR397" s="319" t="s">
        <v>190</v>
      </c>
      <c r="BS397" s="319" t="s">
        <v>190</v>
      </c>
      <c r="BT397" s="319" t="s">
        <v>190</v>
      </c>
      <c r="BU397" s="319" t="s">
        <v>190</v>
      </c>
      <c r="BV397" s="319" t="s">
        <v>190</v>
      </c>
      <c r="BW397" s="319" t="s">
        <v>190</v>
      </c>
      <c r="BX397" s="319" t="s">
        <v>190</v>
      </c>
      <c r="BY397" s="319" t="s">
        <v>190</v>
      </c>
      <c r="BZ397" s="319" t="s">
        <v>190</v>
      </c>
      <c r="CA397" s="319" t="s">
        <v>190</v>
      </c>
      <c r="CB397" s="319" t="s">
        <v>190</v>
      </c>
      <c r="CC397" s="319" t="s">
        <v>190</v>
      </c>
      <c r="CD397" s="319" t="s">
        <v>190</v>
      </c>
      <c r="CE397" s="319" t="s">
        <v>190</v>
      </c>
      <c r="CF397" s="319" t="s">
        <v>190</v>
      </c>
      <c r="CG397" s="319" t="s">
        <v>190</v>
      </c>
      <c r="CH397" s="319" t="s">
        <v>190</v>
      </c>
      <c r="CI397" s="319" t="s">
        <v>190</v>
      </c>
      <c r="CJ397" s="319" t="s">
        <v>190</v>
      </c>
      <c r="CK397" s="319" t="s">
        <v>190</v>
      </c>
      <c r="CL397" s="319" t="s">
        <v>190</v>
      </c>
      <c r="CM397" s="319" t="s">
        <v>190</v>
      </c>
      <c r="CN397" s="319" t="s">
        <v>428</v>
      </c>
      <c r="CO397" s="319" t="s">
        <v>428</v>
      </c>
      <c r="CP397" s="319" t="s">
        <v>428</v>
      </c>
      <c r="CQ397" s="319" t="s">
        <v>190</v>
      </c>
      <c r="CR397" s="319" t="s">
        <v>190</v>
      </c>
      <c r="CS397" s="319" t="s">
        <v>190</v>
      </c>
      <c r="CT397" s="319" t="s">
        <v>190</v>
      </c>
      <c r="CU397" s="319" t="s">
        <v>190</v>
      </c>
      <c r="CV397" s="319" t="s">
        <v>190</v>
      </c>
      <c r="CW397" s="319" t="s">
        <v>190</v>
      </c>
      <c r="CX397" s="319" t="s">
        <v>190</v>
      </c>
      <c r="CY397" s="319" t="s">
        <v>190</v>
      </c>
      <c r="CZ397" s="319" t="s">
        <v>190</v>
      </c>
      <c r="DA397" s="319" t="s">
        <v>190</v>
      </c>
      <c r="DB397" s="319" t="s">
        <v>190</v>
      </c>
      <c r="DC397" s="319" t="s">
        <v>190</v>
      </c>
      <c r="DD397" s="319" t="s">
        <v>190</v>
      </c>
      <c r="DE397" s="319" t="s">
        <v>190</v>
      </c>
      <c r="DF397" s="319" t="s">
        <v>190</v>
      </c>
      <c r="DG397" s="319" t="s">
        <v>190</v>
      </c>
      <c r="DH397" s="319" t="s">
        <v>190</v>
      </c>
      <c r="DI397" s="319" t="s">
        <v>190</v>
      </c>
      <c r="DJ397" s="319" t="s">
        <v>190</v>
      </c>
      <c r="DK397" s="319" t="s">
        <v>190</v>
      </c>
      <c r="DL397" s="319" t="s">
        <v>190</v>
      </c>
      <c r="DM397" s="319" t="s">
        <v>190</v>
      </c>
      <c r="DN397" s="319" t="s">
        <v>428</v>
      </c>
      <c r="DO397" s="319" t="s">
        <v>190</v>
      </c>
      <c r="DP397" s="319" t="s">
        <v>190</v>
      </c>
      <c r="DQ397" s="319" t="s">
        <v>190</v>
      </c>
      <c r="DR397" s="319" t="s">
        <v>190</v>
      </c>
      <c r="DS397" s="319" t="s">
        <v>190</v>
      </c>
      <c r="DT397" s="319" t="s">
        <v>190</v>
      </c>
      <c r="DU397" s="319" t="s">
        <v>190</v>
      </c>
      <c r="DV397" s="319" t="s">
        <v>173</v>
      </c>
      <c r="DW397" s="319" t="s">
        <v>190</v>
      </c>
      <c r="DX397" s="319" t="s">
        <v>190</v>
      </c>
      <c r="DY397" s="319" t="s">
        <v>190</v>
      </c>
      <c r="DZ397" s="319" t="s">
        <v>190</v>
      </c>
      <c r="EA397" s="319" t="s">
        <v>190</v>
      </c>
      <c r="EB397" s="319" t="s">
        <v>190</v>
      </c>
      <c r="EC397" s="319" t="s">
        <v>428</v>
      </c>
      <c r="ED397" s="319" t="s">
        <v>190</v>
      </c>
      <c r="EE397" s="319" t="s">
        <v>190</v>
      </c>
      <c r="EF397" s="319" t="s">
        <v>190</v>
      </c>
      <c r="EG397" s="319" t="s">
        <v>190</v>
      </c>
      <c r="EH397" s="319" t="s">
        <v>190</v>
      </c>
      <c r="EI397" s="319" t="s">
        <v>190</v>
      </c>
      <c r="EJ397" s="319" t="s">
        <v>190</v>
      </c>
      <c r="EK397" s="319" t="s">
        <v>190</v>
      </c>
      <c r="EL397" s="319" t="s">
        <v>190</v>
      </c>
      <c r="EM397" s="319" t="s">
        <v>428</v>
      </c>
      <c r="EN397" s="319" t="s">
        <v>190</v>
      </c>
      <c r="EO397" s="319" t="s">
        <v>190</v>
      </c>
      <c r="EP397" s="319" t="s">
        <v>190</v>
      </c>
      <c r="EQ397" s="319" t="s">
        <v>190</v>
      </c>
      <c r="ER397" s="319" t="s">
        <v>190</v>
      </c>
      <c r="ES397" s="319" t="s">
        <v>190</v>
      </c>
      <c r="ET397" s="319" t="s">
        <v>190</v>
      </c>
      <c r="EU397" s="319" t="s">
        <v>190</v>
      </c>
      <c r="EV397" s="319" t="s">
        <v>190</v>
      </c>
      <c r="EW397" s="319" t="s">
        <v>190</v>
      </c>
      <c r="EX397" s="319" t="s">
        <v>190</v>
      </c>
      <c r="EY397" s="319" t="s">
        <v>190</v>
      </c>
      <c r="EZ397" s="319" t="s">
        <v>190</v>
      </c>
      <c r="FA397" s="319" t="s">
        <v>190</v>
      </c>
      <c r="FB397" s="319" t="s">
        <v>190</v>
      </c>
      <c r="FC397" s="319" t="s">
        <v>190</v>
      </c>
      <c r="FD397" s="319" t="s">
        <v>190</v>
      </c>
      <c r="FE397" s="319" t="s">
        <v>190</v>
      </c>
      <c r="FF397" s="319" t="s">
        <v>190</v>
      </c>
      <c r="FG397" s="319" t="s">
        <v>190</v>
      </c>
      <c r="FH397" s="319" t="s">
        <v>190</v>
      </c>
      <c r="FI397" s="319" t="s">
        <v>190</v>
      </c>
      <c r="FJ397" s="319" t="s">
        <v>190</v>
      </c>
      <c r="FK397" s="319" t="s">
        <v>190</v>
      </c>
      <c r="FL397" s="319" t="s">
        <v>190</v>
      </c>
      <c r="FM397" s="319" t="s">
        <v>190</v>
      </c>
      <c r="FN397" s="319" t="s">
        <v>190</v>
      </c>
      <c r="FO397" s="319" t="s">
        <v>190</v>
      </c>
      <c r="FP397" s="319" t="s">
        <v>190</v>
      </c>
      <c r="FQ397" s="319" t="s">
        <v>190</v>
      </c>
      <c r="FR397" s="319" t="s">
        <v>190</v>
      </c>
      <c r="FS397" s="319" t="s">
        <v>428</v>
      </c>
      <c r="FT397" s="319" t="s">
        <v>190</v>
      </c>
      <c r="FU397" s="319" t="s">
        <v>190</v>
      </c>
      <c r="FV397" s="319" t="s">
        <v>190</v>
      </c>
      <c r="FW397" s="319" t="s">
        <v>190</v>
      </c>
      <c r="FX397" s="319" t="s">
        <v>190</v>
      </c>
      <c r="FY397" s="319" t="s">
        <v>190</v>
      </c>
      <c r="FZ397" s="319" t="s">
        <v>190</v>
      </c>
      <c r="GA397" s="319" t="s">
        <v>190</v>
      </c>
      <c r="GB397" s="319" t="s">
        <v>190</v>
      </c>
      <c r="GC397" s="319" t="s">
        <v>190</v>
      </c>
      <c r="GD397" s="319" t="s">
        <v>190</v>
      </c>
      <c r="GE397" s="319" t="s">
        <v>190</v>
      </c>
      <c r="GF397" s="319" t="s">
        <v>190</v>
      </c>
      <c r="GG397" s="319" t="s">
        <v>190</v>
      </c>
      <c r="GH397" s="319" t="s">
        <v>190</v>
      </c>
      <c r="GI397" s="319" t="s">
        <v>190</v>
      </c>
      <c r="GJ397" s="319" t="s">
        <v>190</v>
      </c>
      <c r="GK397" s="319" t="s">
        <v>428</v>
      </c>
      <c r="GL397" s="319" t="s">
        <v>190</v>
      </c>
      <c r="GM397" s="319" t="s">
        <v>190</v>
      </c>
      <c r="GN397" s="319" t="s">
        <v>190</v>
      </c>
      <c r="GO397" s="319" t="s">
        <v>190</v>
      </c>
      <c r="GP397" s="319" t="s">
        <v>190</v>
      </c>
      <c r="GQ397" s="319" t="s">
        <v>428</v>
      </c>
      <c r="GR397" s="319" t="s">
        <v>190</v>
      </c>
      <c r="GS397" s="319" t="s">
        <v>190</v>
      </c>
      <c r="GT397" s="319" t="s">
        <v>428</v>
      </c>
      <c r="GU397" s="319" t="s">
        <v>428</v>
      </c>
      <c r="GV397" s="319" t="s">
        <v>428</v>
      </c>
      <c r="GW397" s="319" t="s">
        <v>190</v>
      </c>
      <c r="GX397" s="319" t="s">
        <v>190</v>
      </c>
      <c r="GY397" s="319" t="s">
        <v>190</v>
      </c>
      <c r="GZ397" s="319" t="s">
        <v>428</v>
      </c>
      <c r="HA397" s="319" t="s">
        <v>190</v>
      </c>
      <c r="HB397" s="319" t="s">
        <v>190</v>
      </c>
      <c r="HC397" s="319" t="s">
        <v>190</v>
      </c>
      <c r="HD397" s="319" t="s">
        <v>190</v>
      </c>
      <c r="HE397" s="319" t="s">
        <v>190</v>
      </c>
      <c r="HF397" s="319" t="s">
        <v>190</v>
      </c>
      <c r="HG397" s="319" t="s">
        <v>190</v>
      </c>
      <c r="HH397" s="319" t="s">
        <v>190</v>
      </c>
      <c r="HI397" s="319" t="s">
        <v>190</v>
      </c>
      <c r="HJ397" s="319" t="s">
        <v>190</v>
      </c>
      <c r="HK397" s="319" t="s">
        <v>190</v>
      </c>
      <c r="HL397" s="319" t="s">
        <v>428</v>
      </c>
      <c r="HM397" s="319" t="s">
        <v>428</v>
      </c>
      <c r="HN397" s="319" t="s">
        <v>428</v>
      </c>
      <c r="HO397" s="319" t="s">
        <v>428</v>
      </c>
      <c r="HP397" s="319" t="s">
        <v>190</v>
      </c>
      <c r="HQ397" s="319" t="s">
        <v>190</v>
      </c>
      <c r="HR397" s="319" t="s">
        <v>190</v>
      </c>
      <c r="HS397" s="319" t="s">
        <v>190</v>
      </c>
      <c r="HT397" s="319" t="s">
        <v>190</v>
      </c>
      <c r="HU397" s="319" t="s">
        <v>190</v>
      </c>
      <c r="HV397" s="319" t="s">
        <v>190</v>
      </c>
      <c r="HW397" s="319" t="s">
        <v>190</v>
      </c>
      <c r="HX397" s="319" t="s">
        <v>190</v>
      </c>
      <c r="HY397" s="319" t="s">
        <v>190</v>
      </c>
      <c r="HZ397" s="319" t="s">
        <v>190</v>
      </c>
      <c r="IA397" s="319" t="s">
        <v>190</v>
      </c>
      <c r="IB397" s="319" t="s">
        <v>190</v>
      </c>
      <c r="IC397" s="319" t="s">
        <v>190</v>
      </c>
      <c r="ID397" s="319" t="s">
        <v>190</v>
      </c>
      <c r="IE397" s="319" t="s">
        <v>190</v>
      </c>
      <c r="IF397" s="319" t="s">
        <v>190</v>
      </c>
      <c r="IG397" s="319" t="s">
        <v>190</v>
      </c>
      <c r="IH397" s="319" t="s">
        <v>190</v>
      </c>
      <c r="II397" s="319" t="s">
        <v>190</v>
      </c>
      <c r="IJ397" s="319">
        <v>10007696</v>
      </c>
      <c r="IK397" s="321">
        <v>42283</v>
      </c>
      <c r="IL397" s="321">
        <v>42285</v>
      </c>
      <c r="IM397" s="321">
        <v>42325</v>
      </c>
      <c r="IN397" s="319">
        <v>3</v>
      </c>
      <c r="IO397" s="319" t="s">
        <v>173</v>
      </c>
      <c r="IP397" s="319" t="s">
        <v>173</v>
      </c>
      <c r="IQ397" s="321" t="s">
        <v>173</v>
      </c>
      <c r="IR397" s="320" t="s">
        <v>173</v>
      </c>
      <c r="IS397" s="322" t="s">
        <v>173</v>
      </c>
      <c r="IT397" s="319" t="s">
        <v>173</v>
      </c>
    </row>
    <row r="398" spans="1:254" s="271" customFormat="1" x14ac:dyDescent="0.25">
      <c r="A398" s="318" t="str">
        <f>HYPERLINK("http://www.ofsted.gov.uk/inspection-reports/find-inspection-report/provider/ELS/133385 ","Ofsted School Webpage")</f>
        <v>Ofsted School Webpage</v>
      </c>
      <c r="B398" s="319">
        <v>133385</v>
      </c>
      <c r="C398" s="319">
        <v>3046079</v>
      </c>
      <c r="D398" s="319" t="s">
        <v>500</v>
      </c>
      <c r="E398" s="319" t="s">
        <v>167</v>
      </c>
      <c r="F398" s="319" t="s">
        <v>81</v>
      </c>
      <c r="G398" s="319" t="s">
        <v>72</v>
      </c>
      <c r="H398" s="319" t="s">
        <v>72</v>
      </c>
      <c r="I398" s="319" t="s">
        <v>72</v>
      </c>
      <c r="J398" s="319" t="s">
        <v>424</v>
      </c>
      <c r="K398" s="319" t="s">
        <v>441</v>
      </c>
      <c r="L398" s="319" t="s">
        <v>441</v>
      </c>
      <c r="M398" s="319" t="s">
        <v>477</v>
      </c>
      <c r="N398" s="319" t="s">
        <v>2765</v>
      </c>
      <c r="O398" s="319" t="s">
        <v>501</v>
      </c>
      <c r="P398" s="319">
        <v>99</v>
      </c>
      <c r="Q398" s="319" t="s">
        <v>2766</v>
      </c>
      <c r="R398" s="320">
        <v>10054290</v>
      </c>
      <c r="S398" s="321">
        <v>43368</v>
      </c>
      <c r="T398" s="321">
        <v>43370</v>
      </c>
      <c r="U398" s="321">
        <v>43419</v>
      </c>
      <c r="V398" s="319" t="s">
        <v>425</v>
      </c>
      <c r="W398" s="319" t="s">
        <v>2767</v>
      </c>
      <c r="X398" s="319">
        <v>4</v>
      </c>
      <c r="Y398" s="319" t="s">
        <v>173</v>
      </c>
      <c r="Z398" s="319" t="s">
        <v>173</v>
      </c>
      <c r="AA398" s="319" t="s">
        <v>173</v>
      </c>
      <c r="AB398" s="319">
        <v>4</v>
      </c>
      <c r="AC398" s="319" t="s">
        <v>170</v>
      </c>
      <c r="AD398" s="319" t="s">
        <v>173</v>
      </c>
      <c r="AE398" s="319" t="s">
        <v>173</v>
      </c>
      <c r="AF398" s="319" t="s">
        <v>447</v>
      </c>
      <c r="AG398" s="319" t="s">
        <v>172</v>
      </c>
      <c r="AH398" s="319" t="s">
        <v>479</v>
      </c>
      <c r="AI398" s="319" t="s">
        <v>190</v>
      </c>
      <c r="AJ398" s="319" t="s">
        <v>479</v>
      </c>
      <c r="AK398" s="319" t="s">
        <v>479</v>
      </c>
      <c r="AL398" s="319" t="s">
        <v>190</v>
      </c>
      <c r="AM398" s="319" t="s">
        <v>190</v>
      </c>
      <c r="AN398" s="319" t="s">
        <v>190</v>
      </c>
      <c r="AO398" s="319" t="s">
        <v>479</v>
      </c>
      <c r="AP398" s="319" t="s">
        <v>191</v>
      </c>
      <c r="AQ398" s="319" t="s">
        <v>191</v>
      </c>
      <c r="AR398" s="319" t="s">
        <v>191</v>
      </c>
      <c r="AS398" s="319" t="s">
        <v>191</v>
      </c>
      <c r="AT398" s="319" t="s">
        <v>191</v>
      </c>
      <c r="AU398" s="319" t="s">
        <v>191</v>
      </c>
      <c r="AV398" s="319" t="s">
        <v>190</v>
      </c>
      <c r="AW398" s="319" t="s">
        <v>190</v>
      </c>
      <c r="AX398" s="319" t="s">
        <v>428</v>
      </c>
      <c r="AY398" s="319" t="s">
        <v>190</v>
      </c>
      <c r="AZ398" s="319" t="s">
        <v>190</v>
      </c>
      <c r="BA398" s="319" t="s">
        <v>190</v>
      </c>
      <c r="BB398" s="319" t="s">
        <v>191</v>
      </c>
      <c r="BC398" s="319" t="s">
        <v>191</v>
      </c>
      <c r="BD398" s="319" t="s">
        <v>191</v>
      </c>
      <c r="BE398" s="319" t="s">
        <v>191</v>
      </c>
      <c r="BF398" s="319" t="s">
        <v>428</v>
      </c>
      <c r="BG398" s="319" t="s">
        <v>428</v>
      </c>
      <c r="BH398" s="319" t="s">
        <v>190</v>
      </c>
      <c r="BI398" s="319" t="s">
        <v>190</v>
      </c>
      <c r="BJ398" s="319" t="s">
        <v>191</v>
      </c>
      <c r="BK398" s="319" t="s">
        <v>191</v>
      </c>
      <c r="BL398" s="319" t="s">
        <v>191</v>
      </c>
      <c r="BM398" s="319" t="s">
        <v>191</v>
      </c>
      <c r="BN398" s="319" t="s">
        <v>191</v>
      </c>
      <c r="BO398" s="319" t="s">
        <v>191</v>
      </c>
      <c r="BP398" s="319" t="s">
        <v>191</v>
      </c>
      <c r="BQ398" s="319" t="s">
        <v>191</v>
      </c>
      <c r="BR398" s="319" t="s">
        <v>190</v>
      </c>
      <c r="BS398" s="319" t="s">
        <v>190</v>
      </c>
      <c r="BT398" s="319" t="s">
        <v>190</v>
      </c>
      <c r="BU398" s="319" t="s">
        <v>190</v>
      </c>
      <c r="BV398" s="319" t="s">
        <v>190</v>
      </c>
      <c r="BW398" s="319" t="s">
        <v>190</v>
      </c>
      <c r="BX398" s="319" t="s">
        <v>190</v>
      </c>
      <c r="BY398" s="319" t="s">
        <v>190</v>
      </c>
      <c r="BZ398" s="319" t="s">
        <v>190</v>
      </c>
      <c r="CA398" s="319" t="s">
        <v>190</v>
      </c>
      <c r="CB398" s="319" t="s">
        <v>190</v>
      </c>
      <c r="CC398" s="319" t="s">
        <v>190</v>
      </c>
      <c r="CD398" s="319" t="s">
        <v>190</v>
      </c>
      <c r="CE398" s="319" t="s">
        <v>190</v>
      </c>
      <c r="CF398" s="319" t="s">
        <v>190</v>
      </c>
      <c r="CG398" s="319" t="s">
        <v>190</v>
      </c>
      <c r="CH398" s="319" t="s">
        <v>190</v>
      </c>
      <c r="CI398" s="319" t="s">
        <v>190</v>
      </c>
      <c r="CJ398" s="319" t="s">
        <v>190</v>
      </c>
      <c r="CK398" s="319" t="s">
        <v>191</v>
      </c>
      <c r="CL398" s="319" t="s">
        <v>191</v>
      </c>
      <c r="CM398" s="319" t="s">
        <v>191</v>
      </c>
      <c r="CN398" s="319" t="s">
        <v>428</v>
      </c>
      <c r="CO398" s="319" t="s">
        <v>428</v>
      </c>
      <c r="CP398" s="319" t="s">
        <v>428</v>
      </c>
      <c r="CQ398" s="319" t="s">
        <v>190</v>
      </c>
      <c r="CR398" s="319" t="s">
        <v>190</v>
      </c>
      <c r="CS398" s="319" t="s">
        <v>190</v>
      </c>
      <c r="CT398" s="319" t="s">
        <v>190</v>
      </c>
      <c r="CU398" s="319" t="s">
        <v>190</v>
      </c>
      <c r="CV398" s="319" t="s">
        <v>190</v>
      </c>
      <c r="CW398" s="319" t="s">
        <v>191</v>
      </c>
      <c r="CX398" s="319" t="s">
        <v>190</v>
      </c>
      <c r="CY398" s="319" t="s">
        <v>190</v>
      </c>
      <c r="CZ398" s="319" t="s">
        <v>191</v>
      </c>
      <c r="DA398" s="319" t="s">
        <v>190</v>
      </c>
      <c r="DB398" s="319" t="s">
        <v>190</v>
      </c>
      <c r="DC398" s="319" t="s">
        <v>190</v>
      </c>
      <c r="DD398" s="319" t="s">
        <v>191</v>
      </c>
      <c r="DE398" s="319" t="s">
        <v>191</v>
      </c>
      <c r="DF398" s="319" t="s">
        <v>191</v>
      </c>
      <c r="DG398" s="319" t="s">
        <v>190</v>
      </c>
      <c r="DH398" s="319" t="s">
        <v>190</v>
      </c>
      <c r="DI398" s="319" t="s">
        <v>190</v>
      </c>
      <c r="DJ398" s="319" t="s">
        <v>190</v>
      </c>
      <c r="DK398" s="319" t="s">
        <v>190</v>
      </c>
      <c r="DL398" s="319" t="s">
        <v>191</v>
      </c>
      <c r="DM398" s="319" t="s">
        <v>190</v>
      </c>
      <c r="DN398" s="319" t="s">
        <v>428</v>
      </c>
      <c r="DO398" s="319" t="s">
        <v>191</v>
      </c>
      <c r="DP398" s="319" t="s">
        <v>428</v>
      </c>
      <c r="DQ398" s="319" t="s">
        <v>428</v>
      </c>
      <c r="DR398" s="319" t="s">
        <v>428</v>
      </c>
      <c r="DS398" s="319" t="s">
        <v>428</v>
      </c>
      <c r="DT398" s="319" t="s">
        <v>428</v>
      </c>
      <c r="DU398" s="319" t="s">
        <v>428</v>
      </c>
      <c r="DV398" s="319" t="s">
        <v>173</v>
      </c>
      <c r="DW398" s="319" t="s">
        <v>428</v>
      </c>
      <c r="DX398" s="319" t="s">
        <v>428</v>
      </c>
      <c r="DY398" s="319" t="s">
        <v>428</v>
      </c>
      <c r="DZ398" s="319" t="s">
        <v>428</v>
      </c>
      <c r="EA398" s="319" t="s">
        <v>428</v>
      </c>
      <c r="EB398" s="319" t="s">
        <v>428</v>
      </c>
      <c r="EC398" s="319" t="s">
        <v>428</v>
      </c>
      <c r="ED398" s="319" t="s">
        <v>428</v>
      </c>
      <c r="EE398" s="319" t="s">
        <v>191</v>
      </c>
      <c r="EF398" s="319" t="s">
        <v>191</v>
      </c>
      <c r="EG398" s="319" t="s">
        <v>191</v>
      </c>
      <c r="EH398" s="319" t="s">
        <v>191</v>
      </c>
      <c r="EI398" s="319" t="s">
        <v>191</v>
      </c>
      <c r="EJ398" s="319" t="s">
        <v>191</v>
      </c>
      <c r="EK398" s="319" t="s">
        <v>191</v>
      </c>
      <c r="EL398" s="319" t="s">
        <v>191</v>
      </c>
      <c r="EM398" s="319" t="s">
        <v>428</v>
      </c>
      <c r="EN398" s="319" t="s">
        <v>191</v>
      </c>
      <c r="EO398" s="319" t="s">
        <v>190</v>
      </c>
      <c r="EP398" s="319" t="s">
        <v>191</v>
      </c>
      <c r="EQ398" s="319" t="s">
        <v>191</v>
      </c>
      <c r="ER398" s="319" t="s">
        <v>191</v>
      </c>
      <c r="ES398" s="319" t="s">
        <v>191</v>
      </c>
      <c r="ET398" s="319" t="s">
        <v>191</v>
      </c>
      <c r="EU398" s="319" t="s">
        <v>190</v>
      </c>
      <c r="EV398" s="319" t="s">
        <v>191</v>
      </c>
      <c r="EW398" s="319" t="s">
        <v>191</v>
      </c>
      <c r="EX398" s="319" t="s">
        <v>190</v>
      </c>
      <c r="EY398" s="319" t="s">
        <v>190</v>
      </c>
      <c r="EZ398" s="319" t="s">
        <v>191</v>
      </c>
      <c r="FA398" s="319" t="s">
        <v>428</v>
      </c>
      <c r="FB398" s="319" t="s">
        <v>428</v>
      </c>
      <c r="FC398" s="319" t="s">
        <v>428</v>
      </c>
      <c r="FD398" s="319" t="s">
        <v>428</v>
      </c>
      <c r="FE398" s="319" t="s">
        <v>428</v>
      </c>
      <c r="FF398" s="319" t="s">
        <v>428</v>
      </c>
      <c r="FG398" s="319" t="s">
        <v>428</v>
      </c>
      <c r="FH398" s="319" t="s">
        <v>191</v>
      </c>
      <c r="FI398" s="319" t="s">
        <v>191</v>
      </c>
      <c r="FJ398" s="319" t="s">
        <v>191</v>
      </c>
      <c r="FK398" s="319" t="s">
        <v>191</v>
      </c>
      <c r="FL398" s="319" t="s">
        <v>190</v>
      </c>
      <c r="FM398" s="319" t="s">
        <v>190</v>
      </c>
      <c r="FN398" s="319" t="s">
        <v>190</v>
      </c>
      <c r="FO398" s="319" t="s">
        <v>190</v>
      </c>
      <c r="FP398" s="319" t="s">
        <v>190</v>
      </c>
      <c r="FQ398" s="319" t="s">
        <v>190</v>
      </c>
      <c r="FR398" s="319" t="s">
        <v>190</v>
      </c>
      <c r="FS398" s="319" t="s">
        <v>428</v>
      </c>
      <c r="FT398" s="319" t="s">
        <v>190</v>
      </c>
      <c r="FU398" s="319" t="s">
        <v>190</v>
      </c>
      <c r="FV398" s="319" t="s">
        <v>190</v>
      </c>
      <c r="FW398" s="319" t="s">
        <v>190</v>
      </c>
      <c r="FX398" s="319" t="s">
        <v>190</v>
      </c>
      <c r="FY398" s="319" t="s">
        <v>190</v>
      </c>
      <c r="FZ398" s="319" t="s">
        <v>190</v>
      </c>
      <c r="GA398" s="319" t="s">
        <v>190</v>
      </c>
      <c r="GB398" s="319" t="s">
        <v>190</v>
      </c>
      <c r="GC398" s="319" t="s">
        <v>190</v>
      </c>
      <c r="GD398" s="319" t="s">
        <v>190</v>
      </c>
      <c r="GE398" s="319" t="s">
        <v>190</v>
      </c>
      <c r="GF398" s="319" t="s">
        <v>190</v>
      </c>
      <c r="GG398" s="319" t="s">
        <v>190</v>
      </c>
      <c r="GH398" s="319" t="s">
        <v>190</v>
      </c>
      <c r="GI398" s="319" t="s">
        <v>190</v>
      </c>
      <c r="GJ398" s="319" t="s">
        <v>190</v>
      </c>
      <c r="GK398" s="319" t="s">
        <v>428</v>
      </c>
      <c r="GL398" s="319" t="s">
        <v>190</v>
      </c>
      <c r="GM398" s="319" t="s">
        <v>190</v>
      </c>
      <c r="GN398" s="319" t="s">
        <v>190</v>
      </c>
      <c r="GO398" s="319" t="s">
        <v>190</v>
      </c>
      <c r="GP398" s="319" t="s">
        <v>190</v>
      </c>
      <c r="GQ398" s="319" t="s">
        <v>428</v>
      </c>
      <c r="GR398" s="319" t="s">
        <v>190</v>
      </c>
      <c r="GS398" s="319" t="s">
        <v>190</v>
      </c>
      <c r="GT398" s="319" t="s">
        <v>428</v>
      </c>
      <c r="GU398" s="319" t="s">
        <v>428</v>
      </c>
      <c r="GV398" s="319" t="s">
        <v>190</v>
      </c>
      <c r="GW398" s="319" t="s">
        <v>190</v>
      </c>
      <c r="GX398" s="319" t="s">
        <v>190</v>
      </c>
      <c r="GY398" s="319" t="s">
        <v>190</v>
      </c>
      <c r="GZ398" s="319" t="s">
        <v>428</v>
      </c>
      <c r="HA398" s="319" t="s">
        <v>190</v>
      </c>
      <c r="HB398" s="319" t="s">
        <v>190</v>
      </c>
      <c r="HC398" s="319" t="s">
        <v>190</v>
      </c>
      <c r="HD398" s="319" t="s">
        <v>190</v>
      </c>
      <c r="HE398" s="319" t="s">
        <v>190</v>
      </c>
      <c r="HF398" s="319" t="s">
        <v>428</v>
      </c>
      <c r="HG398" s="319" t="s">
        <v>190</v>
      </c>
      <c r="HH398" s="319" t="s">
        <v>190</v>
      </c>
      <c r="HI398" s="319" t="s">
        <v>190</v>
      </c>
      <c r="HJ398" s="319" t="s">
        <v>190</v>
      </c>
      <c r="HK398" s="319" t="s">
        <v>190</v>
      </c>
      <c r="HL398" s="319" t="s">
        <v>428</v>
      </c>
      <c r="HM398" s="319" t="s">
        <v>428</v>
      </c>
      <c r="HN398" s="319" t="s">
        <v>428</v>
      </c>
      <c r="HO398" s="319" t="s">
        <v>428</v>
      </c>
      <c r="HP398" s="319" t="s">
        <v>190</v>
      </c>
      <c r="HQ398" s="319" t="s">
        <v>190</v>
      </c>
      <c r="HR398" s="319" t="s">
        <v>190</v>
      </c>
      <c r="HS398" s="319" t="s">
        <v>190</v>
      </c>
      <c r="HT398" s="319" t="s">
        <v>190</v>
      </c>
      <c r="HU398" s="319" t="s">
        <v>190</v>
      </c>
      <c r="HV398" s="319" t="s">
        <v>190</v>
      </c>
      <c r="HW398" s="319" t="s">
        <v>190</v>
      </c>
      <c r="HX398" s="319" t="s">
        <v>190</v>
      </c>
      <c r="HY398" s="319" t="s">
        <v>190</v>
      </c>
      <c r="HZ398" s="319" t="s">
        <v>190</v>
      </c>
      <c r="IA398" s="319" t="s">
        <v>190</v>
      </c>
      <c r="IB398" s="319" t="s">
        <v>190</v>
      </c>
      <c r="IC398" s="319" t="s">
        <v>190</v>
      </c>
      <c r="ID398" s="319" t="s">
        <v>190</v>
      </c>
      <c r="IE398" s="319" t="s">
        <v>190</v>
      </c>
      <c r="IF398" s="319" t="s">
        <v>191</v>
      </c>
      <c r="IG398" s="319" t="s">
        <v>191</v>
      </c>
      <c r="IH398" s="319" t="s">
        <v>191</v>
      </c>
      <c r="II398" s="319" t="s">
        <v>191</v>
      </c>
      <c r="IJ398" s="319">
        <v>10012821</v>
      </c>
      <c r="IK398" s="321">
        <v>42661</v>
      </c>
      <c r="IL398" s="321">
        <v>42663</v>
      </c>
      <c r="IM398" s="321">
        <v>42751</v>
      </c>
      <c r="IN398" s="319">
        <v>4</v>
      </c>
      <c r="IO398" s="319">
        <v>10102255</v>
      </c>
      <c r="IP398" s="319" t="s">
        <v>985</v>
      </c>
      <c r="IQ398" s="321">
        <v>43593</v>
      </c>
      <c r="IR398" s="320" t="s">
        <v>1223</v>
      </c>
      <c r="IS398" s="322">
        <v>43633</v>
      </c>
      <c r="IT398" s="319" t="s">
        <v>166</v>
      </c>
    </row>
    <row r="399" spans="1:254" s="271" customFormat="1" x14ac:dyDescent="0.25">
      <c r="A399" s="318" t="str">
        <f>HYPERLINK("http://www.ofsted.gov.uk/inspection-reports/find-inspection-report/provider/ELS/133392 ","Ofsted School Webpage")</f>
        <v>Ofsted School Webpage</v>
      </c>
      <c r="B399" s="319">
        <v>133392</v>
      </c>
      <c r="C399" s="319">
        <v>8786202</v>
      </c>
      <c r="D399" s="319" t="s">
        <v>662</v>
      </c>
      <c r="E399" s="319" t="s">
        <v>168</v>
      </c>
      <c r="F399" s="319" t="s">
        <v>81</v>
      </c>
      <c r="G399" s="319" t="s">
        <v>81</v>
      </c>
      <c r="H399" s="319" t="s">
        <v>81</v>
      </c>
      <c r="I399" s="319" t="s">
        <v>78</v>
      </c>
      <c r="J399" s="319" t="s">
        <v>424</v>
      </c>
      <c r="K399" s="319" t="s">
        <v>422</v>
      </c>
      <c r="L399" s="319" t="s">
        <v>422</v>
      </c>
      <c r="M399" s="319" t="s">
        <v>663</v>
      </c>
      <c r="N399" s="319" t="s">
        <v>3174</v>
      </c>
      <c r="O399" s="319" t="s">
        <v>664</v>
      </c>
      <c r="P399" s="319">
        <v>30</v>
      </c>
      <c r="Q399" s="319" t="s">
        <v>429</v>
      </c>
      <c r="R399" s="320">
        <v>10056310</v>
      </c>
      <c r="S399" s="321">
        <v>43417</v>
      </c>
      <c r="T399" s="321">
        <v>43419</v>
      </c>
      <c r="U399" s="321">
        <v>43447</v>
      </c>
      <c r="V399" s="319" t="s">
        <v>425</v>
      </c>
      <c r="W399" s="319" t="s">
        <v>2767</v>
      </c>
      <c r="X399" s="319">
        <v>2</v>
      </c>
      <c r="Y399" s="319" t="s">
        <v>173</v>
      </c>
      <c r="Z399" s="319" t="s">
        <v>173</v>
      </c>
      <c r="AA399" s="319" t="s">
        <v>173</v>
      </c>
      <c r="AB399" s="319">
        <v>2</v>
      </c>
      <c r="AC399" s="319" t="s">
        <v>169</v>
      </c>
      <c r="AD399" s="319" t="s">
        <v>173</v>
      </c>
      <c r="AE399" s="319" t="s">
        <v>173</v>
      </c>
      <c r="AF399" s="319" t="s">
        <v>427</v>
      </c>
      <c r="AG399" s="319" t="s">
        <v>171</v>
      </c>
      <c r="AH399" s="319" t="s">
        <v>190</v>
      </c>
      <c r="AI399" s="319" t="s">
        <v>190</v>
      </c>
      <c r="AJ399" s="319" t="s">
        <v>190</v>
      </c>
      <c r="AK399" s="319" t="s">
        <v>190</v>
      </c>
      <c r="AL399" s="319" t="s">
        <v>190</v>
      </c>
      <c r="AM399" s="319" t="s">
        <v>190</v>
      </c>
      <c r="AN399" s="319" t="s">
        <v>190</v>
      </c>
      <c r="AO399" s="319" t="s">
        <v>190</v>
      </c>
      <c r="AP399" s="319" t="s">
        <v>190</v>
      </c>
      <c r="AQ399" s="319" t="s">
        <v>190</v>
      </c>
      <c r="AR399" s="319" t="s">
        <v>190</v>
      </c>
      <c r="AS399" s="319" t="s">
        <v>190</v>
      </c>
      <c r="AT399" s="319" t="s">
        <v>190</v>
      </c>
      <c r="AU399" s="319" t="s">
        <v>190</v>
      </c>
      <c r="AV399" s="319" t="s">
        <v>190</v>
      </c>
      <c r="AW399" s="319" t="s">
        <v>190</v>
      </c>
      <c r="AX399" s="319" t="s">
        <v>428</v>
      </c>
      <c r="AY399" s="319" t="s">
        <v>190</v>
      </c>
      <c r="AZ399" s="319" t="s">
        <v>190</v>
      </c>
      <c r="BA399" s="319" t="s">
        <v>190</v>
      </c>
      <c r="BB399" s="319" t="s">
        <v>190</v>
      </c>
      <c r="BC399" s="319" t="s">
        <v>190</v>
      </c>
      <c r="BD399" s="319" t="s">
        <v>190</v>
      </c>
      <c r="BE399" s="319" t="s">
        <v>190</v>
      </c>
      <c r="BF399" s="319" t="s">
        <v>428</v>
      </c>
      <c r="BG399" s="319" t="s">
        <v>428</v>
      </c>
      <c r="BH399" s="319" t="s">
        <v>190</v>
      </c>
      <c r="BI399" s="319" t="s">
        <v>190</v>
      </c>
      <c r="BJ399" s="319" t="s">
        <v>190</v>
      </c>
      <c r="BK399" s="319" t="s">
        <v>190</v>
      </c>
      <c r="BL399" s="319" t="s">
        <v>190</v>
      </c>
      <c r="BM399" s="319" t="s">
        <v>190</v>
      </c>
      <c r="BN399" s="319" t="s">
        <v>190</v>
      </c>
      <c r="BO399" s="319" t="s">
        <v>190</v>
      </c>
      <c r="BP399" s="319" t="s">
        <v>190</v>
      </c>
      <c r="BQ399" s="319" t="s">
        <v>190</v>
      </c>
      <c r="BR399" s="319" t="s">
        <v>190</v>
      </c>
      <c r="BS399" s="319" t="s">
        <v>190</v>
      </c>
      <c r="BT399" s="319" t="s">
        <v>190</v>
      </c>
      <c r="BU399" s="319" t="s">
        <v>190</v>
      </c>
      <c r="BV399" s="319" t="s">
        <v>190</v>
      </c>
      <c r="BW399" s="319" t="s">
        <v>190</v>
      </c>
      <c r="BX399" s="319" t="s">
        <v>190</v>
      </c>
      <c r="BY399" s="319" t="s">
        <v>190</v>
      </c>
      <c r="BZ399" s="319" t="s">
        <v>190</v>
      </c>
      <c r="CA399" s="319" t="s">
        <v>190</v>
      </c>
      <c r="CB399" s="319" t="s">
        <v>190</v>
      </c>
      <c r="CC399" s="319" t="s">
        <v>190</v>
      </c>
      <c r="CD399" s="319" t="s">
        <v>190</v>
      </c>
      <c r="CE399" s="319" t="s">
        <v>190</v>
      </c>
      <c r="CF399" s="319" t="s">
        <v>190</v>
      </c>
      <c r="CG399" s="319" t="s">
        <v>190</v>
      </c>
      <c r="CH399" s="319" t="s">
        <v>190</v>
      </c>
      <c r="CI399" s="319" t="s">
        <v>190</v>
      </c>
      <c r="CJ399" s="319" t="s">
        <v>190</v>
      </c>
      <c r="CK399" s="319" t="s">
        <v>190</v>
      </c>
      <c r="CL399" s="319" t="s">
        <v>190</v>
      </c>
      <c r="CM399" s="319" t="s">
        <v>190</v>
      </c>
      <c r="CN399" s="319" t="s">
        <v>428</v>
      </c>
      <c r="CO399" s="319" t="s">
        <v>428</v>
      </c>
      <c r="CP399" s="319" t="s">
        <v>428</v>
      </c>
      <c r="CQ399" s="319" t="s">
        <v>190</v>
      </c>
      <c r="CR399" s="319" t="s">
        <v>190</v>
      </c>
      <c r="CS399" s="319" t="s">
        <v>190</v>
      </c>
      <c r="CT399" s="319" t="s">
        <v>190</v>
      </c>
      <c r="CU399" s="319" t="s">
        <v>190</v>
      </c>
      <c r="CV399" s="319" t="s">
        <v>190</v>
      </c>
      <c r="CW399" s="319" t="s">
        <v>190</v>
      </c>
      <c r="CX399" s="319" t="s">
        <v>190</v>
      </c>
      <c r="CY399" s="319" t="s">
        <v>190</v>
      </c>
      <c r="CZ399" s="319" t="s">
        <v>190</v>
      </c>
      <c r="DA399" s="319" t="s">
        <v>190</v>
      </c>
      <c r="DB399" s="319" t="s">
        <v>190</v>
      </c>
      <c r="DC399" s="319" t="s">
        <v>190</v>
      </c>
      <c r="DD399" s="319" t="s">
        <v>190</v>
      </c>
      <c r="DE399" s="319" t="s">
        <v>190</v>
      </c>
      <c r="DF399" s="319" t="s">
        <v>190</v>
      </c>
      <c r="DG399" s="319" t="s">
        <v>190</v>
      </c>
      <c r="DH399" s="319" t="s">
        <v>190</v>
      </c>
      <c r="DI399" s="319" t="s">
        <v>190</v>
      </c>
      <c r="DJ399" s="319" t="s">
        <v>190</v>
      </c>
      <c r="DK399" s="319" t="s">
        <v>190</v>
      </c>
      <c r="DL399" s="319" t="s">
        <v>190</v>
      </c>
      <c r="DM399" s="319" t="s">
        <v>190</v>
      </c>
      <c r="DN399" s="319" t="s">
        <v>428</v>
      </c>
      <c r="DO399" s="319" t="s">
        <v>190</v>
      </c>
      <c r="DP399" s="319" t="s">
        <v>428</v>
      </c>
      <c r="DQ399" s="319" t="s">
        <v>428</v>
      </c>
      <c r="DR399" s="319" t="s">
        <v>428</v>
      </c>
      <c r="DS399" s="319" t="s">
        <v>428</v>
      </c>
      <c r="DT399" s="319" t="s">
        <v>428</v>
      </c>
      <c r="DU399" s="319" t="s">
        <v>428</v>
      </c>
      <c r="DV399" s="319" t="s">
        <v>173</v>
      </c>
      <c r="DW399" s="319" t="s">
        <v>428</v>
      </c>
      <c r="DX399" s="319" t="s">
        <v>428</v>
      </c>
      <c r="DY399" s="319" t="s">
        <v>428</v>
      </c>
      <c r="DZ399" s="319" t="s">
        <v>428</v>
      </c>
      <c r="EA399" s="319" t="s">
        <v>428</v>
      </c>
      <c r="EB399" s="319" t="s">
        <v>428</v>
      </c>
      <c r="EC399" s="319" t="s">
        <v>428</v>
      </c>
      <c r="ED399" s="319" t="s">
        <v>428</v>
      </c>
      <c r="EE399" s="319" t="s">
        <v>190</v>
      </c>
      <c r="EF399" s="319" t="s">
        <v>190</v>
      </c>
      <c r="EG399" s="319" t="s">
        <v>190</v>
      </c>
      <c r="EH399" s="319" t="s">
        <v>190</v>
      </c>
      <c r="EI399" s="319" t="s">
        <v>190</v>
      </c>
      <c r="EJ399" s="319" t="s">
        <v>190</v>
      </c>
      <c r="EK399" s="319" t="s">
        <v>190</v>
      </c>
      <c r="EL399" s="319" t="s">
        <v>190</v>
      </c>
      <c r="EM399" s="319" t="s">
        <v>190</v>
      </c>
      <c r="EN399" s="319" t="s">
        <v>190</v>
      </c>
      <c r="EO399" s="319" t="s">
        <v>190</v>
      </c>
      <c r="EP399" s="319" t="s">
        <v>190</v>
      </c>
      <c r="EQ399" s="319" t="s">
        <v>190</v>
      </c>
      <c r="ER399" s="319" t="s">
        <v>190</v>
      </c>
      <c r="ES399" s="319" t="s">
        <v>190</v>
      </c>
      <c r="ET399" s="319" t="s">
        <v>190</v>
      </c>
      <c r="EU399" s="319" t="s">
        <v>190</v>
      </c>
      <c r="EV399" s="319" t="s">
        <v>190</v>
      </c>
      <c r="EW399" s="319" t="s">
        <v>190</v>
      </c>
      <c r="EX399" s="319" t="s">
        <v>190</v>
      </c>
      <c r="EY399" s="319" t="s">
        <v>190</v>
      </c>
      <c r="EZ399" s="319" t="s">
        <v>190</v>
      </c>
      <c r="FA399" s="319" t="s">
        <v>190</v>
      </c>
      <c r="FB399" s="319" t="s">
        <v>428</v>
      </c>
      <c r="FC399" s="319" t="s">
        <v>428</v>
      </c>
      <c r="FD399" s="319" t="s">
        <v>428</v>
      </c>
      <c r="FE399" s="319" t="s">
        <v>428</v>
      </c>
      <c r="FF399" s="319" t="s">
        <v>428</v>
      </c>
      <c r="FG399" s="319" t="s">
        <v>428</v>
      </c>
      <c r="FH399" s="319" t="s">
        <v>190</v>
      </c>
      <c r="FI399" s="319" t="s">
        <v>190</v>
      </c>
      <c r="FJ399" s="319" t="s">
        <v>190</v>
      </c>
      <c r="FK399" s="319" t="s">
        <v>190</v>
      </c>
      <c r="FL399" s="319" t="s">
        <v>190</v>
      </c>
      <c r="FM399" s="319" t="s">
        <v>190</v>
      </c>
      <c r="FN399" s="319" t="s">
        <v>190</v>
      </c>
      <c r="FO399" s="319" t="s">
        <v>190</v>
      </c>
      <c r="FP399" s="319" t="s">
        <v>190</v>
      </c>
      <c r="FQ399" s="319" t="s">
        <v>190</v>
      </c>
      <c r="FR399" s="319" t="s">
        <v>190</v>
      </c>
      <c r="FS399" s="319" t="s">
        <v>428</v>
      </c>
      <c r="FT399" s="319" t="s">
        <v>190</v>
      </c>
      <c r="FU399" s="319" t="s">
        <v>190</v>
      </c>
      <c r="FV399" s="319" t="s">
        <v>190</v>
      </c>
      <c r="FW399" s="319" t="s">
        <v>190</v>
      </c>
      <c r="FX399" s="319" t="s">
        <v>190</v>
      </c>
      <c r="FY399" s="319" t="s">
        <v>190</v>
      </c>
      <c r="FZ399" s="319" t="s">
        <v>190</v>
      </c>
      <c r="GA399" s="319" t="s">
        <v>190</v>
      </c>
      <c r="GB399" s="319" t="s">
        <v>190</v>
      </c>
      <c r="GC399" s="319" t="s">
        <v>190</v>
      </c>
      <c r="GD399" s="319" t="s">
        <v>190</v>
      </c>
      <c r="GE399" s="319" t="s">
        <v>190</v>
      </c>
      <c r="GF399" s="319" t="s">
        <v>190</v>
      </c>
      <c r="GG399" s="319" t="s">
        <v>190</v>
      </c>
      <c r="GH399" s="319" t="s">
        <v>190</v>
      </c>
      <c r="GI399" s="319" t="s">
        <v>190</v>
      </c>
      <c r="GJ399" s="319" t="s">
        <v>190</v>
      </c>
      <c r="GK399" s="319" t="s">
        <v>428</v>
      </c>
      <c r="GL399" s="319" t="s">
        <v>190</v>
      </c>
      <c r="GM399" s="319" t="s">
        <v>190</v>
      </c>
      <c r="GN399" s="319" t="s">
        <v>190</v>
      </c>
      <c r="GO399" s="319" t="s">
        <v>190</v>
      </c>
      <c r="GP399" s="319" t="s">
        <v>190</v>
      </c>
      <c r="GQ399" s="319" t="s">
        <v>428</v>
      </c>
      <c r="GR399" s="319" t="s">
        <v>190</v>
      </c>
      <c r="GS399" s="319" t="s">
        <v>190</v>
      </c>
      <c r="GT399" s="319" t="s">
        <v>190</v>
      </c>
      <c r="GU399" s="319" t="s">
        <v>190</v>
      </c>
      <c r="GV399" s="319" t="s">
        <v>190</v>
      </c>
      <c r="GW399" s="319" t="s">
        <v>190</v>
      </c>
      <c r="GX399" s="319" t="s">
        <v>190</v>
      </c>
      <c r="GY399" s="319" t="s">
        <v>190</v>
      </c>
      <c r="GZ399" s="319" t="s">
        <v>428</v>
      </c>
      <c r="HA399" s="319" t="s">
        <v>190</v>
      </c>
      <c r="HB399" s="319" t="s">
        <v>428</v>
      </c>
      <c r="HC399" s="319" t="s">
        <v>190</v>
      </c>
      <c r="HD399" s="319" t="s">
        <v>190</v>
      </c>
      <c r="HE399" s="319" t="s">
        <v>190</v>
      </c>
      <c r="HF399" s="319" t="s">
        <v>190</v>
      </c>
      <c r="HG399" s="319" t="s">
        <v>190</v>
      </c>
      <c r="HH399" s="319" t="s">
        <v>190</v>
      </c>
      <c r="HI399" s="319" t="s">
        <v>191</v>
      </c>
      <c r="HJ399" s="319" t="s">
        <v>190</v>
      </c>
      <c r="HK399" s="319" t="s">
        <v>190</v>
      </c>
      <c r="HL399" s="319" t="s">
        <v>190</v>
      </c>
      <c r="HM399" s="319" t="s">
        <v>428</v>
      </c>
      <c r="HN399" s="319" t="s">
        <v>428</v>
      </c>
      <c r="HO399" s="319" t="s">
        <v>428</v>
      </c>
      <c r="HP399" s="319" t="s">
        <v>190</v>
      </c>
      <c r="HQ399" s="319" t="s">
        <v>190</v>
      </c>
      <c r="HR399" s="319" t="s">
        <v>190</v>
      </c>
      <c r="HS399" s="319" t="s">
        <v>190</v>
      </c>
      <c r="HT399" s="319" t="s">
        <v>190</v>
      </c>
      <c r="HU399" s="319" t="s">
        <v>190</v>
      </c>
      <c r="HV399" s="319" t="s">
        <v>190</v>
      </c>
      <c r="HW399" s="319" t="s">
        <v>190</v>
      </c>
      <c r="HX399" s="319" t="s">
        <v>190</v>
      </c>
      <c r="HY399" s="319" t="s">
        <v>190</v>
      </c>
      <c r="HZ399" s="319" t="s">
        <v>190</v>
      </c>
      <c r="IA399" s="319" t="s">
        <v>190</v>
      </c>
      <c r="IB399" s="319" t="s">
        <v>190</v>
      </c>
      <c r="IC399" s="319" t="s">
        <v>190</v>
      </c>
      <c r="ID399" s="319" t="s">
        <v>190</v>
      </c>
      <c r="IE399" s="319" t="s">
        <v>190</v>
      </c>
      <c r="IF399" s="319" t="s">
        <v>190</v>
      </c>
      <c r="IG399" s="319" t="s">
        <v>190</v>
      </c>
      <c r="IH399" s="319" t="s">
        <v>190</v>
      </c>
      <c r="II399" s="319" t="s">
        <v>190</v>
      </c>
      <c r="IJ399" s="319">
        <v>10006819</v>
      </c>
      <c r="IK399" s="321">
        <v>42389</v>
      </c>
      <c r="IL399" s="321">
        <v>42391</v>
      </c>
      <c r="IM399" s="321">
        <v>42430</v>
      </c>
      <c r="IN399" s="319">
        <v>1</v>
      </c>
      <c r="IO399" s="319" t="s">
        <v>173</v>
      </c>
      <c r="IP399" s="319" t="s">
        <v>173</v>
      </c>
      <c r="IQ399" s="319" t="s">
        <v>173</v>
      </c>
      <c r="IR399" s="320" t="s">
        <v>173</v>
      </c>
      <c r="IS399" s="320" t="s">
        <v>173</v>
      </c>
      <c r="IT399" s="319" t="s">
        <v>173</v>
      </c>
    </row>
    <row r="400" spans="1:254" s="271" customFormat="1" x14ac:dyDescent="0.25">
      <c r="A400" s="318" t="str">
        <f>HYPERLINK("http://www.ofsted.gov.uk/inspection-reports/find-inspection-report/provider/ELS/133429 ","Ofsted School Webpage")</f>
        <v>Ofsted School Webpage</v>
      </c>
      <c r="B400" s="319">
        <v>133429</v>
      </c>
      <c r="C400" s="319">
        <v>8116012</v>
      </c>
      <c r="D400" s="319" t="s">
        <v>1760</v>
      </c>
      <c r="E400" s="319" t="s">
        <v>168</v>
      </c>
      <c r="F400" s="319" t="s">
        <v>81</v>
      </c>
      <c r="G400" s="319" t="s">
        <v>81</v>
      </c>
      <c r="H400" s="319" t="s">
        <v>81</v>
      </c>
      <c r="I400" s="319" t="s">
        <v>78</v>
      </c>
      <c r="J400" s="319" t="s">
        <v>424</v>
      </c>
      <c r="K400" s="319" t="s">
        <v>458</v>
      </c>
      <c r="L400" s="319" t="s">
        <v>459</v>
      </c>
      <c r="M400" s="319" t="s">
        <v>857</v>
      </c>
      <c r="N400" s="319" t="s">
        <v>3175</v>
      </c>
      <c r="O400" s="319" t="s">
        <v>1761</v>
      </c>
      <c r="P400" s="319">
        <v>13</v>
      </c>
      <c r="Q400" s="319" t="s">
        <v>429</v>
      </c>
      <c r="R400" s="320">
        <v>10046962</v>
      </c>
      <c r="S400" s="321">
        <v>43235</v>
      </c>
      <c r="T400" s="321">
        <v>43237</v>
      </c>
      <c r="U400" s="321">
        <v>43270</v>
      </c>
      <c r="V400" s="319" t="s">
        <v>425</v>
      </c>
      <c r="W400" s="319" t="s">
        <v>2767</v>
      </c>
      <c r="X400" s="319">
        <v>2</v>
      </c>
      <c r="Y400" s="319" t="s">
        <v>173</v>
      </c>
      <c r="Z400" s="319" t="s">
        <v>173</v>
      </c>
      <c r="AA400" s="319" t="s">
        <v>173</v>
      </c>
      <c r="AB400" s="319">
        <v>2</v>
      </c>
      <c r="AC400" s="319" t="s">
        <v>169</v>
      </c>
      <c r="AD400" s="319" t="s">
        <v>173</v>
      </c>
      <c r="AE400" s="319" t="s">
        <v>173</v>
      </c>
      <c r="AF400" s="319" t="s">
        <v>427</v>
      </c>
      <c r="AG400" s="319" t="s">
        <v>171</v>
      </c>
      <c r="AH400" s="319" t="s">
        <v>190</v>
      </c>
      <c r="AI400" s="319" t="s">
        <v>190</v>
      </c>
      <c r="AJ400" s="319" t="s">
        <v>190</v>
      </c>
      <c r="AK400" s="319" t="s">
        <v>190</v>
      </c>
      <c r="AL400" s="319" t="s">
        <v>190</v>
      </c>
      <c r="AM400" s="319" t="s">
        <v>190</v>
      </c>
      <c r="AN400" s="319" t="s">
        <v>190</v>
      </c>
      <c r="AO400" s="319" t="s">
        <v>190</v>
      </c>
      <c r="AP400" s="319" t="s">
        <v>190</v>
      </c>
      <c r="AQ400" s="319" t="s">
        <v>190</v>
      </c>
      <c r="AR400" s="319" t="s">
        <v>190</v>
      </c>
      <c r="AS400" s="319" t="s">
        <v>190</v>
      </c>
      <c r="AT400" s="319" t="s">
        <v>190</v>
      </c>
      <c r="AU400" s="319" t="s">
        <v>190</v>
      </c>
      <c r="AV400" s="319" t="s">
        <v>190</v>
      </c>
      <c r="AW400" s="319" t="s">
        <v>190</v>
      </c>
      <c r="AX400" s="319" t="s">
        <v>428</v>
      </c>
      <c r="AY400" s="319" t="s">
        <v>190</v>
      </c>
      <c r="AZ400" s="319" t="s">
        <v>190</v>
      </c>
      <c r="BA400" s="319" t="s">
        <v>190</v>
      </c>
      <c r="BB400" s="319" t="s">
        <v>190</v>
      </c>
      <c r="BC400" s="319" t="s">
        <v>190</v>
      </c>
      <c r="BD400" s="319" t="s">
        <v>190</v>
      </c>
      <c r="BE400" s="319" t="s">
        <v>190</v>
      </c>
      <c r="BF400" s="319" t="s">
        <v>428</v>
      </c>
      <c r="BG400" s="319" t="s">
        <v>428</v>
      </c>
      <c r="BH400" s="319" t="s">
        <v>190</v>
      </c>
      <c r="BI400" s="319" t="s">
        <v>190</v>
      </c>
      <c r="BJ400" s="319" t="s">
        <v>190</v>
      </c>
      <c r="BK400" s="319" t="s">
        <v>190</v>
      </c>
      <c r="BL400" s="319" t="s">
        <v>190</v>
      </c>
      <c r="BM400" s="319" t="s">
        <v>190</v>
      </c>
      <c r="BN400" s="319" t="s">
        <v>190</v>
      </c>
      <c r="BO400" s="319" t="s">
        <v>190</v>
      </c>
      <c r="BP400" s="319" t="s">
        <v>190</v>
      </c>
      <c r="BQ400" s="319" t="s">
        <v>190</v>
      </c>
      <c r="BR400" s="319" t="s">
        <v>190</v>
      </c>
      <c r="BS400" s="319" t="s">
        <v>190</v>
      </c>
      <c r="BT400" s="319" t="s">
        <v>190</v>
      </c>
      <c r="BU400" s="319" t="s">
        <v>190</v>
      </c>
      <c r="BV400" s="319" t="s">
        <v>190</v>
      </c>
      <c r="BW400" s="319" t="s">
        <v>190</v>
      </c>
      <c r="BX400" s="319" t="s">
        <v>190</v>
      </c>
      <c r="BY400" s="319" t="s">
        <v>190</v>
      </c>
      <c r="BZ400" s="319" t="s">
        <v>190</v>
      </c>
      <c r="CA400" s="319" t="s">
        <v>190</v>
      </c>
      <c r="CB400" s="319" t="s">
        <v>190</v>
      </c>
      <c r="CC400" s="319" t="s">
        <v>190</v>
      </c>
      <c r="CD400" s="319" t="s">
        <v>190</v>
      </c>
      <c r="CE400" s="319" t="s">
        <v>190</v>
      </c>
      <c r="CF400" s="319" t="s">
        <v>190</v>
      </c>
      <c r="CG400" s="319" t="s">
        <v>190</v>
      </c>
      <c r="CH400" s="319" t="s">
        <v>190</v>
      </c>
      <c r="CI400" s="319" t="s">
        <v>190</v>
      </c>
      <c r="CJ400" s="319" t="s">
        <v>190</v>
      </c>
      <c r="CK400" s="319" t="s">
        <v>190</v>
      </c>
      <c r="CL400" s="319" t="s">
        <v>190</v>
      </c>
      <c r="CM400" s="319" t="s">
        <v>190</v>
      </c>
      <c r="CN400" s="319" t="s">
        <v>428</v>
      </c>
      <c r="CO400" s="319" t="s">
        <v>428</v>
      </c>
      <c r="CP400" s="319" t="s">
        <v>428</v>
      </c>
      <c r="CQ400" s="319" t="s">
        <v>190</v>
      </c>
      <c r="CR400" s="319" t="s">
        <v>190</v>
      </c>
      <c r="CS400" s="319" t="s">
        <v>190</v>
      </c>
      <c r="CT400" s="319" t="s">
        <v>190</v>
      </c>
      <c r="CU400" s="319" t="s">
        <v>190</v>
      </c>
      <c r="CV400" s="319" t="s">
        <v>190</v>
      </c>
      <c r="CW400" s="319" t="s">
        <v>190</v>
      </c>
      <c r="CX400" s="319" t="s">
        <v>190</v>
      </c>
      <c r="CY400" s="319" t="s">
        <v>190</v>
      </c>
      <c r="CZ400" s="319" t="s">
        <v>190</v>
      </c>
      <c r="DA400" s="319" t="s">
        <v>190</v>
      </c>
      <c r="DB400" s="319" t="s">
        <v>190</v>
      </c>
      <c r="DC400" s="319" t="s">
        <v>190</v>
      </c>
      <c r="DD400" s="319" t="s">
        <v>190</v>
      </c>
      <c r="DE400" s="319" t="s">
        <v>190</v>
      </c>
      <c r="DF400" s="319" t="s">
        <v>190</v>
      </c>
      <c r="DG400" s="319" t="s">
        <v>190</v>
      </c>
      <c r="DH400" s="319" t="s">
        <v>190</v>
      </c>
      <c r="DI400" s="319" t="s">
        <v>190</v>
      </c>
      <c r="DJ400" s="319" t="s">
        <v>190</v>
      </c>
      <c r="DK400" s="319" t="s">
        <v>190</v>
      </c>
      <c r="DL400" s="319" t="s">
        <v>190</v>
      </c>
      <c r="DM400" s="319" t="s">
        <v>190</v>
      </c>
      <c r="DN400" s="319" t="s">
        <v>428</v>
      </c>
      <c r="DO400" s="319" t="s">
        <v>190</v>
      </c>
      <c r="DP400" s="319" t="s">
        <v>428</v>
      </c>
      <c r="DQ400" s="319" t="s">
        <v>428</v>
      </c>
      <c r="DR400" s="319" t="s">
        <v>428</v>
      </c>
      <c r="DS400" s="319" t="s">
        <v>428</v>
      </c>
      <c r="DT400" s="319" t="s">
        <v>428</v>
      </c>
      <c r="DU400" s="319" t="s">
        <v>428</v>
      </c>
      <c r="DV400" s="319" t="s">
        <v>173</v>
      </c>
      <c r="DW400" s="319" t="s">
        <v>428</v>
      </c>
      <c r="DX400" s="319" t="s">
        <v>428</v>
      </c>
      <c r="DY400" s="319" t="s">
        <v>428</v>
      </c>
      <c r="DZ400" s="319" t="s">
        <v>428</v>
      </c>
      <c r="EA400" s="319" t="s">
        <v>428</v>
      </c>
      <c r="EB400" s="319" t="s">
        <v>428</v>
      </c>
      <c r="EC400" s="319" t="s">
        <v>428</v>
      </c>
      <c r="ED400" s="319" t="s">
        <v>428</v>
      </c>
      <c r="EE400" s="319" t="s">
        <v>190</v>
      </c>
      <c r="EF400" s="319" t="s">
        <v>190</v>
      </c>
      <c r="EG400" s="319" t="s">
        <v>190</v>
      </c>
      <c r="EH400" s="319" t="s">
        <v>190</v>
      </c>
      <c r="EI400" s="319" t="s">
        <v>190</v>
      </c>
      <c r="EJ400" s="319" t="s">
        <v>190</v>
      </c>
      <c r="EK400" s="319" t="s">
        <v>190</v>
      </c>
      <c r="EL400" s="319" t="s">
        <v>190</v>
      </c>
      <c r="EM400" s="319" t="s">
        <v>190</v>
      </c>
      <c r="EN400" s="319" t="s">
        <v>190</v>
      </c>
      <c r="EO400" s="319" t="s">
        <v>190</v>
      </c>
      <c r="EP400" s="319" t="s">
        <v>190</v>
      </c>
      <c r="EQ400" s="319" t="s">
        <v>190</v>
      </c>
      <c r="ER400" s="319" t="s">
        <v>190</v>
      </c>
      <c r="ES400" s="319" t="s">
        <v>190</v>
      </c>
      <c r="ET400" s="319" t="s">
        <v>190</v>
      </c>
      <c r="EU400" s="319" t="s">
        <v>190</v>
      </c>
      <c r="EV400" s="319" t="s">
        <v>190</v>
      </c>
      <c r="EW400" s="319" t="s">
        <v>190</v>
      </c>
      <c r="EX400" s="319" t="s">
        <v>190</v>
      </c>
      <c r="EY400" s="319" t="s">
        <v>190</v>
      </c>
      <c r="EZ400" s="319" t="s">
        <v>190</v>
      </c>
      <c r="FA400" s="319" t="s">
        <v>190</v>
      </c>
      <c r="FB400" s="319" t="s">
        <v>428</v>
      </c>
      <c r="FC400" s="319" t="s">
        <v>428</v>
      </c>
      <c r="FD400" s="319" t="s">
        <v>428</v>
      </c>
      <c r="FE400" s="319" t="s">
        <v>428</v>
      </c>
      <c r="FF400" s="319" t="s">
        <v>428</v>
      </c>
      <c r="FG400" s="319" t="s">
        <v>428</v>
      </c>
      <c r="FH400" s="319" t="s">
        <v>190</v>
      </c>
      <c r="FI400" s="319" t="s">
        <v>190</v>
      </c>
      <c r="FJ400" s="319" t="s">
        <v>190</v>
      </c>
      <c r="FK400" s="319" t="s">
        <v>190</v>
      </c>
      <c r="FL400" s="319" t="s">
        <v>190</v>
      </c>
      <c r="FM400" s="319" t="s">
        <v>190</v>
      </c>
      <c r="FN400" s="319" t="s">
        <v>190</v>
      </c>
      <c r="FO400" s="319" t="s">
        <v>190</v>
      </c>
      <c r="FP400" s="319" t="s">
        <v>190</v>
      </c>
      <c r="FQ400" s="319" t="s">
        <v>190</v>
      </c>
      <c r="FR400" s="319" t="s">
        <v>190</v>
      </c>
      <c r="FS400" s="319" t="s">
        <v>428</v>
      </c>
      <c r="FT400" s="319" t="s">
        <v>190</v>
      </c>
      <c r="FU400" s="319" t="s">
        <v>190</v>
      </c>
      <c r="FV400" s="319" t="s">
        <v>190</v>
      </c>
      <c r="FW400" s="319" t="s">
        <v>190</v>
      </c>
      <c r="FX400" s="319" t="s">
        <v>190</v>
      </c>
      <c r="FY400" s="319" t="s">
        <v>190</v>
      </c>
      <c r="FZ400" s="319" t="s">
        <v>190</v>
      </c>
      <c r="GA400" s="319" t="s">
        <v>190</v>
      </c>
      <c r="GB400" s="319" t="s">
        <v>190</v>
      </c>
      <c r="GC400" s="319" t="s">
        <v>190</v>
      </c>
      <c r="GD400" s="319" t="s">
        <v>190</v>
      </c>
      <c r="GE400" s="319" t="s">
        <v>190</v>
      </c>
      <c r="GF400" s="319" t="s">
        <v>190</v>
      </c>
      <c r="GG400" s="319" t="s">
        <v>190</v>
      </c>
      <c r="GH400" s="319" t="s">
        <v>190</v>
      </c>
      <c r="GI400" s="319" t="s">
        <v>190</v>
      </c>
      <c r="GJ400" s="319" t="s">
        <v>190</v>
      </c>
      <c r="GK400" s="319" t="s">
        <v>428</v>
      </c>
      <c r="GL400" s="319" t="s">
        <v>190</v>
      </c>
      <c r="GM400" s="319" t="s">
        <v>190</v>
      </c>
      <c r="GN400" s="319" t="s">
        <v>190</v>
      </c>
      <c r="GO400" s="319" t="s">
        <v>190</v>
      </c>
      <c r="GP400" s="319" t="s">
        <v>190</v>
      </c>
      <c r="GQ400" s="319" t="s">
        <v>428</v>
      </c>
      <c r="GR400" s="319" t="s">
        <v>190</v>
      </c>
      <c r="GS400" s="319" t="s">
        <v>190</v>
      </c>
      <c r="GT400" s="319" t="s">
        <v>190</v>
      </c>
      <c r="GU400" s="319" t="s">
        <v>190</v>
      </c>
      <c r="GV400" s="319" t="s">
        <v>190</v>
      </c>
      <c r="GW400" s="319" t="s">
        <v>190</v>
      </c>
      <c r="GX400" s="319" t="s">
        <v>190</v>
      </c>
      <c r="GY400" s="319" t="s">
        <v>190</v>
      </c>
      <c r="GZ400" s="319" t="s">
        <v>428</v>
      </c>
      <c r="HA400" s="319" t="s">
        <v>190</v>
      </c>
      <c r="HB400" s="319" t="s">
        <v>428</v>
      </c>
      <c r="HC400" s="319" t="s">
        <v>190</v>
      </c>
      <c r="HD400" s="319" t="s">
        <v>190</v>
      </c>
      <c r="HE400" s="319" t="s">
        <v>190</v>
      </c>
      <c r="HF400" s="319" t="s">
        <v>190</v>
      </c>
      <c r="HG400" s="319" t="s">
        <v>190</v>
      </c>
      <c r="HH400" s="319" t="s">
        <v>190</v>
      </c>
      <c r="HI400" s="319" t="s">
        <v>190</v>
      </c>
      <c r="HJ400" s="319" t="s">
        <v>190</v>
      </c>
      <c r="HK400" s="319" t="s">
        <v>190</v>
      </c>
      <c r="HL400" s="319" t="s">
        <v>428</v>
      </c>
      <c r="HM400" s="319" t="s">
        <v>428</v>
      </c>
      <c r="HN400" s="319" t="s">
        <v>428</v>
      </c>
      <c r="HO400" s="319" t="s">
        <v>428</v>
      </c>
      <c r="HP400" s="319" t="s">
        <v>190</v>
      </c>
      <c r="HQ400" s="319" t="s">
        <v>190</v>
      </c>
      <c r="HR400" s="319" t="s">
        <v>190</v>
      </c>
      <c r="HS400" s="319" t="s">
        <v>190</v>
      </c>
      <c r="HT400" s="319" t="s">
        <v>190</v>
      </c>
      <c r="HU400" s="319" t="s">
        <v>190</v>
      </c>
      <c r="HV400" s="319" t="s">
        <v>190</v>
      </c>
      <c r="HW400" s="319" t="s">
        <v>190</v>
      </c>
      <c r="HX400" s="319" t="s">
        <v>190</v>
      </c>
      <c r="HY400" s="319" t="s">
        <v>190</v>
      </c>
      <c r="HZ400" s="319" t="s">
        <v>190</v>
      </c>
      <c r="IA400" s="319" t="s">
        <v>190</v>
      </c>
      <c r="IB400" s="319" t="s">
        <v>190</v>
      </c>
      <c r="IC400" s="319" t="s">
        <v>190</v>
      </c>
      <c r="ID400" s="319" t="s">
        <v>190</v>
      </c>
      <c r="IE400" s="319" t="s">
        <v>190</v>
      </c>
      <c r="IF400" s="319" t="s">
        <v>190</v>
      </c>
      <c r="IG400" s="319" t="s">
        <v>190</v>
      </c>
      <c r="IH400" s="319" t="s">
        <v>190</v>
      </c>
      <c r="II400" s="319" t="s">
        <v>190</v>
      </c>
      <c r="IJ400" s="319" t="s">
        <v>3176</v>
      </c>
      <c r="IK400" s="321">
        <v>42136</v>
      </c>
      <c r="IL400" s="321">
        <v>42138</v>
      </c>
      <c r="IM400" s="321">
        <v>42171</v>
      </c>
      <c r="IN400" s="319">
        <v>2</v>
      </c>
      <c r="IO400" s="319" t="s">
        <v>173</v>
      </c>
      <c r="IP400" s="319" t="s">
        <v>173</v>
      </c>
      <c r="IQ400" s="319" t="s">
        <v>173</v>
      </c>
      <c r="IR400" s="320" t="s">
        <v>173</v>
      </c>
      <c r="IS400" s="320" t="s">
        <v>173</v>
      </c>
      <c r="IT400" s="319" t="s">
        <v>173</v>
      </c>
    </row>
    <row r="401" spans="1:254" s="271" customFormat="1" x14ac:dyDescent="0.25">
      <c r="A401" s="318" t="str">
        <f>HYPERLINK("http://www.ofsted.gov.uk/inspection-reports/find-inspection-report/provider/ELS/133438 ","Ofsted School Webpage")</f>
        <v>Ofsted School Webpage</v>
      </c>
      <c r="B401" s="319">
        <v>133438</v>
      </c>
      <c r="C401" s="319">
        <v>3066104</v>
      </c>
      <c r="D401" s="319" t="s">
        <v>1762</v>
      </c>
      <c r="E401" s="319" t="s">
        <v>168</v>
      </c>
      <c r="F401" s="319" t="s">
        <v>81</v>
      </c>
      <c r="G401" s="319" t="s">
        <v>81</v>
      </c>
      <c r="H401" s="319" t="s">
        <v>81</v>
      </c>
      <c r="I401" s="319" t="s">
        <v>78</v>
      </c>
      <c r="J401" s="319" t="s">
        <v>424</v>
      </c>
      <c r="K401" s="319" t="s">
        <v>441</v>
      </c>
      <c r="L401" s="319" t="s">
        <v>441</v>
      </c>
      <c r="M401" s="319" t="s">
        <v>734</v>
      </c>
      <c r="N401" s="319" t="s">
        <v>3177</v>
      </c>
      <c r="O401" s="319" t="s">
        <v>1763</v>
      </c>
      <c r="P401" s="319">
        <v>144</v>
      </c>
      <c r="Q401" s="319" t="s">
        <v>2776</v>
      </c>
      <c r="R401" s="320">
        <v>10026291</v>
      </c>
      <c r="S401" s="321">
        <v>43158</v>
      </c>
      <c r="T401" s="321">
        <v>43166</v>
      </c>
      <c r="U401" s="321">
        <v>43213</v>
      </c>
      <c r="V401" s="319" t="s">
        <v>425</v>
      </c>
      <c r="W401" s="319" t="s">
        <v>2767</v>
      </c>
      <c r="X401" s="319">
        <v>2</v>
      </c>
      <c r="Y401" s="319" t="s">
        <v>173</v>
      </c>
      <c r="Z401" s="319" t="s">
        <v>173</v>
      </c>
      <c r="AA401" s="319" t="s">
        <v>173</v>
      </c>
      <c r="AB401" s="319">
        <v>1</v>
      </c>
      <c r="AC401" s="319" t="s">
        <v>169</v>
      </c>
      <c r="AD401" s="319" t="s">
        <v>173</v>
      </c>
      <c r="AE401" s="319">
        <v>2</v>
      </c>
      <c r="AF401" s="319" t="s">
        <v>427</v>
      </c>
      <c r="AG401" s="319" t="s">
        <v>171</v>
      </c>
      <c r="AH401" s="319" t="s">
        <v>190</v>
      </c>
      <c r="AI401" s="319" t="s">
        <v>190</v>
      </c>
      <c r="AJ401" s="319" t="s">
        <v>190</v>
      </c>
      <c r="AK401" s="319" t="s">
        <v>190</v>
      </c>
      <c r="AL401" s="319" t="s">
        <v>190</v>
      </c>
      <c r="AM401" s="319" t="s">
        <v>190</v>
      </c>
      <c r="AN401" s="319" t="s">
        <v>190</v>
      </c>
      <c r="AO401" s="319" t="s">
        <v>190</v>
      </c>
      <c r="AP401" s="319" t="s">
        <v>190</v>
      </c>
      <c r="AQ401" s="319" t="s">
        <v>190</v>
      </c>
      <c r="AR401" s="319" t="s">
        <v>190</v>
      </c>
      <c r="AS401" s="319" t="s">
        <v>190</v>
      </c>
      <c r="AT401" s="319" t="s">
        <v>190</v>
      </c>
      <c r="AU401" s="319" t="s">
        <v>190</v>
      </c>
      <c r="AV401" s="319" t="s">
        <v>190</v>
      </c>
      <c r="AW401" s="319" t="s">
        <v>190</v>
      </c>
      <c r="AX401" s="319" t="s">
        <v>428</v>
      </c>
      <c r="AY401" s="319" t="s">
        <v>190</v>
      </c>
      <c r="AZ401" s="319" t="s">
        <v>190</v>
      </c>
      <c r="BA401" s="319" t="s">
        <v>190</v>
      </c>
      <c r="BB401" s="319" t="s">
        <v>190</v>
      </c>
      <c r="BC401" s="319" t="s">
        <v>190</v>
      </c>
      <c r="BD401" s="319" t="s">
        <v>190</v>
      </c>
      <c r="BE401" s="319" t="s">
        <v>190</v>
      </c>
      <c r="BF401" s="319" t="s">
        <v>428</v>
      </c>
      <c r="BG401" s="319" t="s">
        <v>190</v>
      </c>
      <c r="BH401" s="319" t="s">
        <v>190</v>
      </c>
      <c r="BI401" s="319" t="s">
        <v>190</v>
      </c>
      <c r="BJ401" s="319" t="s">
        <v>190</v>
      </c>
      <c r="BK401" s="319" t="s">
        <v>190</v>
      </c>
      <c r="BL401" s="319" t="s">
        <v>190</v>
      </c>
      <c r="BM401" s="319" t="s">
        <v>190</v>
      </c>
      <c r="BN401" s="319" t="s">
        <v>190</v>
      </c>
      <c r="BO401" s="319" t="s">
        <v>190</v>
      </c>
      <c r="BP401" s="319" t="s">
        <v>190</v>
      </c>
      <c r="BQ401" s="319" t="s">
        <v>190</v>
      </c>
      <c r="BR401" s="319" t="s">
        <v>190</v>
      </c>
      <c r="BS401" s="319" t="s">
        <v>190</v>
      </c>
      <c r="BT401" s="319" t="s">
        <v>190</v>
      </c>
      <c r="BU401" s="319" t="s">
        <v>190</v>
      </c>
      <c r="BV401" s="319" t="s">
        <v>190</v>
      </c>
      <c r="BW401" s="319" t="s">
        <v>190</v>
      </c>
      <c r="BX401" s="319" t="s">
        <v>190</v>
      </c>
      <c r="BY401" s="319" t="s">
        <v>190</v>
      </c>
      <c r="BZ401" s="319" t="s">
        <v>190</v>
      </c>
      <c r="CA401" s="319" t="s">
        <v>190</v>
      </c>
      <c r="CB401" s="319" t="s">
        <v>190</v>
      </c>
      <c r="CC401" s="319" t="s">
        <v>190</v>
      </c>
      <c r="CD401" s="319" t="s">
        <v>190</v>
      </c>
      <c r="CE401" s="319" t="s">
        <v>190</v>
      </c>
      <c r="CF401" s="319" t="s">
        <v>190</v>
      </c>
      <c r="CG401" s="319" t="s">
        <v>190</v>
      </c>
      <c r="CH401" s="319" t="s">
        <v>190</v>
      </c>
      <c r="CI401" s="319" t="s">
        <v>190</v>
      </c>
      <c r="CJ401" s="319" t="s">
        <v>190</v>
      </c>
      <c r="CK401" s="319" t="s">
        <v>190</v>
      </c>
      <c r="CL401" s="319" t="s">
        <v>190</v>
      </c>
      <c r="CM401" s="319" t="s">
        <v>190</v>
      </c>
      <c r="CN401" s="319" t="s">
        <v>190</v>
      </c>
      <c r="CO401" s="319" t="s">
        <v>428</v>
      </c>
      <c r="CP401" s="319" t="s">
        <v>428</v>
      </c>
      <c r="CQ401" s="319" t="s">
        <v>190</v>
      </c>
      <c r="CR401" s="319" t="s">
        <v>190</v>
      </c>
      <c r="CS401" s="319" t="s">
        <v>190</v>
      </c>
      <c r="CT401" s="319" t="s">
        <v>190</v>
      </c>
      <c r="CU401" s="319" t="s">
        <v>190</v>
      </c>
      <c r="CV401" s="319" t="s">
        <v>190</v>
      </c>
      <c r="CW401" s="319" t="s">
        <v>190</v>
      </c>
      <c r="CX401" s="319" t="s">
        <v>190</v>
      </c>
      <c r="CY401" s="319" t="s">
        <v>190</v>
      </c>
      <c r="CZ401" s="319" t="s">
        <v>190</v>
      </c>
      <c r="DA401" s="319" t="s">
        <v>190</v>
      </c>
      <c r="DB401" s="319" t="s">
        <v>190</v>
      </c>
      <c r="DC401" s="319" t="s">
        <v>190</v>
      </c>
      <c r="DD401" s="319" t="s">
        <v>190</v>
      </c>
      <c r="DE401" s="319" t="s">
        <v>190</v>
      </c>
      <c r="DF401" s="319" t="s">
        <v>190</v>
      </c>
      <c r="DG401" s="319" t="s">
        <v>190</v>
      </c>
      <c r="DH401" s="319" t="s">
        <v>190</v>
      </c>
      <c r="DI401" s="319" t="s">
        <v>190</v>
      </c>
      <c r="DJ401" s="319" t="s">
        <v>190</v>
      </c>
      <c r="DK401" s="319" t="s">
        <v>190</v>
      </c>
      <c r="DL401" s="319" t="s">
        <v>190</v>
      </c>
      <c r="DM401" s="319" t="s">
        <v>190</v>
      </c>
      <c r="DN401" s="319" t="s">
        <v>428</v>
      </c>
      <c r="DO401" s="319" t="s">
        <v>190</v>
      </c>
      <c r="DP401" s="319" t="s">
        <v>190</v>
      </c>
      <c r="DQ401" s="319" t="s">
        <v>190</v>
      </c>
      <c r="DR401" s="319" t="s">
        <v>190</v>
      </c>
      <c r="DS401" s="319" t="s">
        <v>190</v>
      </c>
      <c r="DT401" s="319" t="s">
        <v>190</v>
      </c>
      <c r="DU401" s="319" t="s">
        <v>190</v>
      </c>
      <c r="DV401" s="319" t="s">
        <v>173</v>
      </c>
      <c r="DW401" s="319" t="s">
        <v>190</v>
      </c>
      <c r="DX401" s="319" t="s">
        <v>190</v>
      </c>
      <c r="DY401" s="319" t="s">
        <v>190</v>
      </c>
      <c r="DZ401" s="319" t="s">
        <v>190</v>
      </c>
      <c r="EA401" s="319" t="s">
        <v>190</v>
      </c>
      <c r="EB401" s="319" t="s">
        <v>190</v>
      </c>
      <c r="EC401" s="319" t="s">
        <v>428</v>
      </c>
      <c r="ED401" s="319" t="s">
        <v>190</v>
      </c>
      <c r="EE401" s="319" t="s">
        <v>428</v>
      </c>
      <c r="EF401" s="319" t="s">
        <v>428</v>
      </c>
      <c r="EG401" s="319" t="s">
        <v>428</v>
      </c>
      <c r="EH401" s="319" t="s">
        <v>428</v>
      </c>
      <c r="EI401" s="319" t="s">
        <v>428</v>
      </c>
      <c r="EJ401" s="319" t="s">
        <v>428</v>
      </c>
      <c r="EK401" s="319" t="s">
        <v>428</v>
      </c>
      <c r="EL401" s="319" t="s">
        <v>428</v>
      </c>
      <c r="EM401" s="319" t="s">
        <v>428</v>
      </c>
      <c r="EN401" s="319" t="s">
        <v>190</v>
      </c>
      <c r="EO401" s="319" t="s">
        <v>190</v>
      </c>
      <c r="EP401" s="319" t="s">
        <v>190</v>
      </c>
      <c r="EQ401" s="319" t="s">
        <v>190</v>
      </c>
      <c r="ER401" s="319" t="s">
        <v>190</v>
      </c>
      <c r="ES401" s="319" t="s">
        <v>190</v>
      </c>
      <c r="ET401" s="319" t="s">
        <v>190</v>
      </c>
      <c r="EU401" s="319" t="s">
        <v>190</v>
      </c>
      <c r="EV401" s="319" t="s">
        <v>190</v>
      </c>
      <c r="EW401" s="319" t="s">
        <v>190</v>
      </c>
      <c r="EX401" s="319" t="s">
        <v>190</v>
      </c>
      <c r="EY401" s="319" t="s">
        <v>190</v>
      </c>
      <c r="EZ401" s="319" t="s">
        <v>190</v>
      </c>
      <c r="FA401" s="319" t="s">
        <v>190</v>
      </c>
      <c r="FB401" s="319" t="s">
        <v>190</v>
      </c>
      <c r="FC401" s="319" t="s">
        <v>190</v>
      </c>
      <c r="FD401" s="319" t="s">
        <v>190</v>
      </c>
      <c r="FE401" s="319" t="s">
        <v>190</v>
      </c>
      <c r="FF401" s="319" t="s">
        <v>190</v>
      </c>
      <c r="FG401" s="319" t="s">
        <v>190</v>
      </c>
      <c r="FH401" s="319" t="s">
        <v>428</v>
      </c>
      <c r="FI401" s="319" t="s">
        <v>428</v>
      </c>
      <c r="FJ401" s="319" t="s">
        <v>429</v>
      </c>
      <c r="FK401" s="319" t="s">
        <v>428</v>
      </c>
      <c r="FL401" s="319" t="s">
        <v>190</v>
      </c>
      <c r="FM401" s="319" t="s">
        <v>190</v>
      </c>
      <c r="FN401" s="319" t="s">
        <v>190</v>
      </c>
      <c r="FO401" s="319" t="s">
        <v>190</v>
      </c>
      <c r="FP401" s="319" t="s">
        <v>190</v>
      </c>
      <c r="FQ401" s="319" t="s">
        <v>190</v>
      </c>
      <c r="FR401" s="319" t="s">
        <v>190</v>
      </c>
      <c r="FS401" s="319" t="s">
        <v>428</v>
      </c>
      <c r="FT401" s="319" t="s">
        <v>190</v>
      </c>
      <c r="FU401" s="319" t="s">
        <v>190</v>
      </c>
      <c r="FV401" s="319" t="s">
        <v>190</v>
      </c>
      <c r="FW401" s="319" t="s">
        <v>190</v>
      </c>
      <c r="FX401" s="319" t="s">
        <v>190</v>
      </c>
      <c r="FY401" s="319" t="s">
        <v>190</v>
      </c>
      <c r="FZ401" s="319" t="s">
        <v>190</v>
      </c>
      <c r="GA401" s="319" t="s">
        <v>190</v>
      </c>
      <c r="GB401" s="319" t="s">
        <v>190</v>
      </c>
      <c r="GC401" s="319" t="s">
        <v>190</v>
      </c>
      <c r="GD401" s="319" t="s">
        <v>190</v>
      </c>
      <c r="GE401" s="319" t="s">
        <v>190</v>
      </c>
      <c r="GF401" s="319" t="s">
        <v>190</v>
      </c>
      <c r="GG401" s="319" t="s">
        <v>190</v>
      </c>
      <c r="GH401" s="319" t="s">
        <v>190</v>
      </c>
      <c r="GI401" s="319" t="s">
        <v>190</v>
      </c>
      <c r="GJ401" s="319" t="s">
        <v>190</v>
      </c>
      <c r="GK401" s="319" t="s">
        <v>428</v>
      </c>
      <c r="GL401" s="319" t="s">
        <v>190</v>
      </c>
      <c r="GM401" s="319" t="s">
        <v>190</v>
      </c>
      <c r="GN401" s="319" t="s">
        <v>190</v>
      </c>
      <c r="GO401" s="319" t="s">
        <v>190</v>
      </c>
      <c r="GP401" s="319" t="s">
        <v>190</v>
      </c>
      <c r="GQ401" s="319" t="s">
        <v>428</v>
      </c>
      <c r="GR401" s="319" t="s">
        <v>190</v>
      </c>
      <c r="GS401" s="319" t="s">
        <v>190</v>
      </c>
      <c r="GT401" s="319" t="s">
        <v>190</v>
      </c>
      <c r="GU401" s="319" t="s">
        <v>190</v>
      </c>
      <c r="GV401" s="319" t="s">
        <v>190</v>
      </c>
      <c r="GW401" s="319" t="s">
        <v>190</v>
      </c>
      <c r="GX401" s="319" t="s">
        <v>190</v>
      </c>
      <c r="GY401" s="319" t="s">
        <v>190</v>
      </c>
      <c r="GZ401" s="319" t="s">
        <v>190</v>
      </c>
      <c r="HA401" s="319" t="s">
        <v>428</v>
      </c>
      <c r="HB401" s="319" t="s">
        <v>190</v>
      </c>
      <c r="HC401" s="319" t="s">
        <v>190</v>
      </c>
      <c r="HD401" s="319" t="s">
        <v>190</v>
      </c>
      <c r="HE401" s="319" t="s">
        <v>190</v>
      </c>
      <c r="HF401" s="319" t="s">
        <v>190</v>
      </c>
      <c r="HG401" s="319" t="s">
        <v>190</v>
      </c>
      <c r="HH401" s="319" t="s">
        <v>190</v>
      </c>
      <c r="HI401" s="319" t="s">
        <v>190</v>
      </c>
      <c r="HJ401" s="319" t="s">
        <v>190</v>
      </c>
      <c r="HK401" s="319" t="s">
        <v>190</v>
      </c>
      <c r="HL401" s="319" t="s">
        <v>190</v>
      </c>
      <c r="HM401" s="319" t="s">
        <v>428</v>
      </c>
      <c r="HN401" s="319" t="s">
        <v>428</v>
      </c>
      <c r="HO401" s="319" t="s">
        <v>428</v>
      </c>
      <c r="HP401" s="319" t="s">
        <v>190</v>
      </c>
      <c r="HQ401" s="319" t="s">
        <v>190</v>
      </c>
      <c r="HR401" s="319" t="s">
        <v>190</v>
      </c>
      <c r="HS401" s="319" t="s">
        <v>190</v>
      </c>
      <c r="HT401" s="319" t="s">
        <v>190</v>
      </c>
      <c r="HU401" s="319" t="s">
        <v>190</v>
      </c>
      <c r="HV401" s="319" t="s">
        <v>190</v>
      </c>
      <c r="HW401" s="319" t="s">
        <v>190</v>
      </c>
      <c r="HX401" s="319" t="s">
        <v>190</v>
      </c>
      <c r="HY401" s="319" t="s">
        <v>190</v>
      </c>
      <c r="HZ401" s="319" t="s">
        <v>190</v>
      </c>
      <c r="IA401" s="319" t="s">
        <v>190</v>
      </c>
      <c r="IB401" s="319" t="s">
        <v>190</v>
      </c>
      <c r="IC401" s="319" t="s">
        <v>190</v>
      </c>
      <c r="ID401" s="319" t="s">
        <v>190</v>
      </c>
      <c r="IE401" s="319" t="s">
        <v>190</v>
      </c>
      <c r="IF401" s="319" t="s">
        <v>190</v>
      </c>
      <c r="IG401" s="319" t="s">
        <v>190</v>
      </c>
      <c r="IH401" s="319" t="s">
        <v>190</v>
      </c>
      <c r="II401" s="319" t="s">
        <v>190</v>
      </c>
      <c r="IJ401" s="319" t="s">
        <v>3178</v>
      </c>
      <c r="IK401" s="321">
        <v>41584</v>
      </c>
      <c r="IL401" s="321">
        <v>41586</v>
      </c>
      <c r="IM401" s="321">
        <v>41606</v>
      </c>
      <c r="IN401" s="319">
        <v>2</v>
      </c>
      <c r="IO401" s="319" t="s">
        <v>173</v>
      </c>
      <c r="IP401" s="319" t="s">
        <v>173</v>
      </c>
      <c r="IQ401" s="319" t="s">
        <v>173</v>
      </c>
      <c r="IR401" s="320" t="s">
        <v>173</v>
      </c>
      <c r="IS401" s="320" t="s">
        <v>173</v>
      </c>
      <c r="IT401" s="319" t="s">
        <v>173</v>
      </c>
    </row>
    <row r="402" spans="1:254" s="271" customFormat="1" x14ac:dyDescent="0.25">
      <c r="A402" s="318" t="str">
        <f>HYPERLINK("http://www.ofsted.gov.uk/inspection-reports/find-inspection-report/provider/ELS/133439 ","Ofsted School Webpage")</f>
        <v>Ofsted School Webpage</v>
      </c>
      <c r="B402" s="319">
        <v>133439</v>
      </c>
      <c r="C402" s="319">
        <v>2046409</v>
      </c>
      <c r="D402" s="319" t="s">
        <v>1764</v>
      </c>
      <c r="E402" s="319" t="s">
        <v>168</v>
      </c>
      <c r="F402" s="319" t="s">
        <v>81</v>
      </c>
      <c r="G402" s="319" t="s">
        <v>69</v>
      </c>
      <c r="H402" s="319" t="s">
        <v>69</v>
      </c>
      <c r="I402" s="319" t="s">
        <v>69</v>
      </c>
      <c r="J402" s="319" t="s">
        <v>424</v>
      </c>
      <c r="K402" s="319" t="s">
        <v>441</v>
      </c>
      <c r="L402" s="319" t="s">
        <v>441</v>
      </c>
      <c r="M402" s="319" t="s">
        <v>547</v>
      </c>
      <c r="N402" s="319" t="s">
        <v>2774</v>
      </c>
      <c r="O402" s="319" t="s">
        <v>1765</v>
      </c>
      <c r="P402" s="319">
        <v>80</v>
      </c>
      <c r="Q402" s="319" t="s">
        <v>429</v>
      </c>
      <c r="R402" s="320">
        <v>10038165</v>
      </c>
      <c r="S402" s="321">
        <v>43165</v>
      </c>
      <c r="T402" s="321">
        <v>43167</v>
      </c>
      <c r="U402" s="321">
        <v>43185</v>
      </c>
      <c r="V402" s="319" t="s">
        <v>425</v>
      </c>
      <c r="W402" s="319" t="s">
        <v>2767</v>
      </c>
      <c r="X402" s="319">
        <v>2</v>
      </c>
      <c r="Y402" s="319" t="s">
        <v>173</v>
      </c>
      <c r="Z402" s="319" t="s">
        <v>173</v>
      </c>
      <c r="AA402" s="319" t="s">
        <v>173</v>
      </c>
      <c r="AB402" s="319">
        <v>2</v>
      </c>
      <c r="AC402" s="319" t="s">
        <v>169</v>
      </c>
      <c r="AD402" s="319">
        <v>2</v>
      </c>
      <c r="AE402" s="319" t="s">
        <v>173</v>
      </c>
      <c r="AF402" s="319" t="s">
        <v>447</v>
      </c>
      <c r="AG402" s="319" t="s">
        <v>171</v>
      </c>
      <c r="AH402" s="319" t="s">
        <v>190</v>
      </c>
      <c r="AI402" s="319" t="s">
        <v>190</v>
      </c>
      <c r="AJ402" s="319" t="s">
        <v>190</v>
      </c>
      <c r="AK402" s="319" t="s">
        <v>190</v>
      </c>
      <c r="AL402" s="319" t="s">
        <v>190</v>
      </c>
      <c r="AM402" s="319" t="s">
        <v>190</v>
      </c>
      <c r="AN402" s="319" t="s">
        <v>190</v>
      </c>
      <c r="AO402" s="319" t="s">
        <v>190</v>
      </c>
      <c r="AP402" s="319" t="s">
        <v>190</v>
      </c>
      <c r="AQ402" s="319" t="s">
        <v>190</v>
      </c>
      <c r="AR402" s="319" t="s">
        <v>190</v>
      </c>
      <c r="AS402" s="319" t="s">
        <v>190</v>
      </c>
      <c r="AT402" s="319" t="s">
        <v>190</v>
      </c>
      <c r="AU402" s="319" t="s">
        <v>190</v>
      </c>
      <c r="AV402" s="319" t="s">
        <v>190</v>
      </c>
      <c r="AW402" s="319" t="s">
        <v>190</v>
      </c>
      <c r="AX402" s="319" t="s">
        <v>428</v>
      </c>
      <c r="AY402" s="319" t="s">
        <v>190</v>
      </c>
      <c r="AZ402" s="319" t="s">
        <v>190</v>
      </c>
      <c r="BA402" s="319" t="s">
        <v>190</v>
      </c>
      <c r="BB402" s="319" t="s">
        <v>190</v>
      </c>
      <c r="BC402" s="319" t="s">
        <v>190</v>
      </c>
      <c r="BD402" s="319" t="s">
        <v>190</v>
      </c>
      <c r="BE402" s="319" t="s">
        <v>190</v>
      </c>
      <c r="BF402" s="319" t="s">
        <v>190</v>
      </c>
      <c r="BG402" s="319" t="s">
        <v>190</v>
      </c>
      <c r="BH402" s="319" t="s">
        <v>190</v>
      </c>
      <c r="BI402" s="319" t="s">
        <v>190</v>
      </c>
      <c r="BJ402" s="319" t="s">
        <v>190</v>
      </c>
      <c r="BK402" s="319" t="s">
        <v>190</v>
      </c>
      <c r="BL402" s="319" t="s">
        <v>190</v>
      </c>
      <c r="BM402" s="319" t="s">
        <v>190</v>
      </c>
      <c r="BN402" s="319" t="s">
        <v>190</v>
      </c>
      <c r="BO402" s="319" t="s">
        <v>190</v>
      </c>
      <c r="BP402" s="319" t="s">
        <v>190</v>
      </c>
      <c r="BQ402" s="319" t="s">
        <v>190</v>
      </c>
      <c r="BR402" s="319" t="s">
        <v>190</v>
      </c>
      <c r="BS402" s="319" t="s">
        <v>190</v>
      </c>
      <c r="BT402" s="319" t="s">
        <v>190</v>
      </c>
      <c r="BU402" s="319" t="s">
        <v>190</v>
      </c>
      <c r="BV402" s="319" t="s">
        <v>190</v>
      </c>
      <c r="BW402" s="319" t="s">
        <v>190</v>
      </c>
      <c r="BX402" s="319" t="s">
        <v>190</v>
      </c>
      <c r="BY402" s="319" t="s">
        <v>190</v>
      </c>
      <c r="BZ402" s="319" t="s">
        <v>190</v>
      </c>
      <c r="CA402" s="319" t="s">
        <v>190</v>
      </c>
      <c r="CB402" s="319" t="s">
        <v>190</v>
      </c>
      <c r="CC402" s="319" t="s">
        <v>190</v>
      </c>
      <c r="CD402" s="319" t="s">
        <v>190</v>
      </c>
      <c r="CE402" s="319" t="s">
        <v>190</v>
      </c>
      <c r="CF402" s="319" t="s">
        <v>190</v>
      </c>
      <c r="CG402" s="319" t="s">
        <v>190</v>
      </c>
      <c r="CH402" s="319" t="s">
        <v>190</v>
      </c>
      <c r="CI402" s="319" t="s">
        <v>190</v>
      </c>
      <c r="CJ402" s="319" t="s">
        <v>190</v>
      </c>
      <c r="CK402" s="319" t="s">
        <v>190</v>
      </c>
      <c r="CL402" s="319" t="s">
        <v>190</v>
      </c>
      <c r="CM402" s="319" t="s">
        <v>190</v>
      </c>
      <c r="CN402" s="319" t="s">
        <v>428</v>
      </c>
      <c r="CO402" s="319" t="s">
        <v>428</v>
      </c>
      <c r="CP402" s="319" t="s">
        <v>428</v>
      </c>
      <c r="CQ402" s="319" t="s">
        <v>190</v>
      </c>
      <c r="CR402" s="319" t="s">
        <v>190</v>
      </c>
      <c r="CS402" s="319" t="s">
        <v>190</v>
      </c>
      <c r="CT402" s="319" t="s">
        <v>190</v>
      </c>
      <c r="CU402" s="319" t="s">
        <v>190</v>
      </c>
      <c r="CV402" s="319" t="s">
        <v>190</v>
      </c>
      <c r="CW402" s="319" t="s">
        <v>190</v>
      </c>
      <c r="CX402" s="319" t="s">
        <v>190</v>
      </c>
      <c r="CY402" s="319" t="s">
        <v>190</v>
      </c>
      <c r="CZ402" s="319" t="s">
        <v>190</v>
      </c>
      <c r="DA402" s="319" t="s">
        <v>190</v>
      </c>
      <c r="DB402" s="319" t="s">
        <v>190</v>
      </c>
      <c r="DC402" s="319" t="s">
        <v>190</v>
      </c>
      <c r="DD402" s="319" t="s">
        <v>190</v>
      </c>
      <c r="DE402" s="319" t="s">
        <v>190</v>
      </c>
      <c r="DF402" s="319" t="s">
        <v>190</v>
      </c>
      <c r="DG402" s="319" t="s">
        <v>190</v>
      </c>
      <c r="DH402" s="319" t="s">
        <v>190</v>
      </c>
      <c r="DI402" s="319" t="s">
        <v>190</v>
      </c>
      <c r="DJ402" s="319" t="s">
        <v>190</v>
      </c>
      <c r="DK402" s="319" t="s">
        <v>190</v>
      </c>
      <c r="DL402" s="319" t="s">
        <v>190</v>
      </c>
      <c r="DM402" s="319" t="s">
        <v>190</v>
      </c>
      <c r="DN402" s="319" t="s">
        <v>428</v>
      </c>
      <c r="DO402" s="319" t="s">
        <v>190</v>
      </c>
      <c r="DP402" s="319" t="s">
        <v>190</v>
      </c>
      <c r="DQ402" s="319" t="s">
        <v>190</v>
      </c>
      <c r="DR402" s="319" t="s">
        <v>190</v>
      </c>
      <c r="DS402" s="319" t="s">
        <v>190</v>
      </c>
      <c r="DT402" s="319" t="s">
        <v>190</v>
      </c>
      <c r="DU402" s="319" t="s">
        <v>190</v>
      </c>
      <c r="DV402" s="319" t="s">
        <v>173</v>
      </c>
      <c r="DW402" s="319" t="s">
        <v>190</v>
      </c>
      <c r="DX402" s="319" t="s">
        <v>190</v>
      </c>
      <c r="DY402" s="319" t="s">
        <v>190</v>
      </c>
      <c r="DZ402" s="319" t="s">
        <v>190</v>
      </c>
      <c r="EA402" s="319" t="s">
        <v>190</v>
      </c>
      <c r="EB402" s="319" t="s">
        <v>190</v>
      </c>
      <c r="EC402" s="319" t="s">
        <v>428</v>
      </c>
      <c r="ED402" s="319" t="s">
        <v>190</v>
      </c>
      <c r="EE402" s="319" t="s">
        <v>190</v>
      </c>
      <c r="EF402" s="319" t="s">
        <v>190</v>
      </c>
      <c r="EG402" s="319" t="s">
        <v>190</v>
      </c>
      <c r="EH402" s="319" t="s">
        <v>190</v>
      </c>
      <c r="EI402" s="319" t="s">
        <v>190</v>
      </c>
      <c r="EJ402" s="319" t="s">
        <v>190</v>
      </c>
      <c r="EK402" s="319" t="s">
        <v>190</v>
      </c>
      <c r="EL402" s="319" t="s">
        <v>190</v>
      </c>
      <c r="EM402" s="319" t="s">
        <v>190</v>
      </c>
      <c r="EN402" s="319" t="s">
        <v>190</v>
      </c>
      <c r="EO402" s="319" t="s">
        <v>190</v>
      </c>
      <c r="EP402" s="319" t="s">
        <v>190</v>
      </c>
      <c r="EQ402" s="319" t="s">
        <v>190</v>
      </c>
      <c r="ER402" s="319" t="s">
        <v>190</v>
      </c>
      <c r="ES402" s="319" t="s">
        <v>190</v>
      </c>
      <c r="ET402" s="319" t="s">
        <v>190</v>
      </c>
      <c r="EU402" s="319" t="s">
        <v>190</v>
      </c>
      <c r="EV402" s="319" t="s">
        <v>190</v>
      </c>
      <c r="EW402" s="319" t="s">
        <v>190</v>
      </c>
      <c r="EX402" s="319" t="s">
        <v>190</v>
      </c>
      <c r="EY402" s="319" t="s">
        <v>190</v>
      </c>
      <c r="EZ402" s="319" t="s">
        <v>190</v>
      </c>
      <c r="FA402" s="319" t="s">
        <v>190</v>
      </c>
      <c r="FB402" s="319" t="s">
        <v>190</v>
      </c>
      <c r="FC402" s="319" t="s">
        <v>190</v>
      </c>
      <c r="FD402" s="319" t="s">
        <v>190</v>
      </c>
      <c r="FE402" s="319" t="s">
        <v>190</v>
      </c>
      <c r="FF402" s="319" t="s">
        <v>190</v>
      </c>
      <c r="FG402" s="319" t="s">
        <v>190</v>
      </c>
      <c r="FH402" s="319" t="s">
        <v>190</v>
      </c>
      <c r="FI402" s="319" t="s">
        <v>190</v>
      </c>
      <c r="FJ402" s="319" t="s">
        <v>190</v>
      </c>
      <c r="FK402" s="319" t="s">
        <v>190</v>
      </c>
      <c r="FL402" s="319" t="s">
        <v>190</v>
      </c>
      <c r="FM402" s="319" t="s">
        <v>190</v>
      </c>
      <c r="FN402" s="319" t="s">
        <v>190</v>
      </c>
      <c r="FO402" s="319" t="s">
        <v>190</v>
      </c>
      <c r="FP402" s="319" t="s">
        <v>190</v>
      </c>
      <c r="FQ402" s="319" t="s">
        <v>190</v>
      </c>
      <c r="FR402" s="319" t="s">
        <v>190</v>
      </c>
      <c r="FS402" s="319" t="s">
        <v>190</v>
      </c>
      <c r="FT402" s="319" t="s">
        <v>190</v>
      </c>
      <c r="FU402" s="319" t="s">
        <v>190</v>
      </c>
      <c r="FV402" s="319" t="s">
        <v>190</v>
      </c>
      <c r="FW402" s="319" t="s">
        <v>190</v>
      </c>
      <c r="FX402" s="319" t="s">
        <v>190</v>
      </c>
      <c r="FY402" s="319" t="s">
        <v>190</v>
      </c>
      <c r="FZ402" s="319" t="s">
        <v>190</v>
      </c>
      <c r="GA402" s="319" t="s">
        <v>190</v>
      </c>
      <c r="GB402" s="319" t="s">
        <v>190</v>
      </c>
      <c r="GC402" s="319" t="s">
        <v>190</v>
      </c>
      <c r="GD402" s="319" t="s">
        <v>190</v>
      </c>
      <c r="GE402" s="319" t="s">
        <v>190</v>
      </c>
      <c r="GF402" s="319" t="s">
        <v>190</v>
      </c>
      <c r="GG402" s="319" t="s">
        <v>190</v>
      </c>
      <c r="GH402" s="319" t="s">
        <v>190</v>
      </c>
      <c r="GI402" s="319" t="s">
        <v>190</v>
      </c>
      <c r="GJ402" s="319" t="s">
        <v>190</v>
      </c>
      <c r="GK402" s="319" t="s">
        <v>428</v>
      </c>
      <c r="GL402" s="319" t="s">
        <v>190</v>
      </c>
      <c r="GM402" s="319" t="s">
        <v>190</v>
      </c>
      <c r="GN402" s="319" t="s">
        <v>190</v>
      </c>
      <c r="GO402" s="319" t="s">
        <v>190</v>
      </c>
      <c r="GP402" s="319" t="s">
        <v>190</v>
      </c>
      <c r="GQ402" s="319" t="s">
        <v>428</v>
      </c>
      <c r="GR402" s="319" t="s">
        <v>190</v>
      </c>
      <c r="GS402" s="319" t="s">
        <v>190</v>
      </c>
      <c r="GT402" s="319" t="s">
        <v>190</v>
      </c>
      <c r="GU402" s="319" t="s">
        <v>190</v>
      </c>
      <c r="GV402" s="319" t="s">
        <v>190</v>
      </c>
      <c r="GW402" s="319" t="s">
        <v>190</v>
      </c>
      <c r="GX402" s="319" t="s">
        <v>190</v>
      </c>
      <c r="GY402" s="319" t="s">
        <v>190</v>
      </c>
      <c r="GZ402" s="319" t="s">
        <v>428</v>
      </c>
      <c r="HA402" s="319" t="s">
        <v>190</v>
      </c>
      <c r="HB402" s="319" t="s">
        <v>190</v>
      </c>
      <c r="HC402" s="319" t="s">
        <v>190</v>
      </c>
      <c r="HD402" s="319" t="s">
        <v>190</v>
      </c>
      <c r="HE402" s="319" t="s">
        <v>190</v>
      </c>
      <c r="HF402" s="319" t="s">
        <v>190</v>
      </c>
      <c r="HG402" s="319" t="s">
        <v>190</v>
      </c>
      <c r="HH402" s="319" t="s">
        <v>190</v>
      </c>
      <c r="HI402" s="319" t="s">
        <v>428</v>
      </c>
      <c r="HJ402" s="319" t="s">
        <v>190</v>
      </c>
      <c r="HK402" s="319" t="s">
        <v>190</v>
      </c>
      <c r="HL402" s="319" t="s">
        <v>428</v>
      </c>
      <c r="HM402" s="319" t="s">
        <v>428</v>
      </c>
      <c r="HN402" s="319" t="s">
        <v>428</v>
      </c>
      <c r="HO402" s="319" t="s">
        <v>428</v>
      </c>
      <c r="HP402" s="319" t="s">
        <v>190</v>
      </c>
      <c r="HQ402" s="319" t="s">
        <v>190</v>
      </c>
      <c r="HR402" s="319" t="s">
        <v>190</v>
      </c>
      <c r="HS402" s="319" t="s">
        <v>190</v>
      </c>
      <c r="HT402" s="319" t="s">
        <v>190</v>
      </c>
      <c r="HU402" s="319" t="s">
        <v>190</v>
      </c>
      <c r="HV402" s="319" t="s">
        <v>190</v>
      </c>
      <c r="HW402" s="319" t="s">
        <v>190</v>
      </c>
      <c r="HX402" s="319" t="s">
        <v>190</v>
      </c>
      <c r="HY402" s="319" t="s">
        <v>190</v>
      </c>
      <c r="HZ402" s="319" t="s">
        <v>190</v>
      </c>
      <c r="IA402" s="319" t="s">
        <v>190</v>
      </c>
      <c r="IB402" s="319" t="s">
        <v>190</v>
      </c>
      <c r="IC402" s="319" t="s">
        <v>190</v>
      </c>
      <c r="ID402" s="319" t="s">
        <v>190</v>
      </c>
      <c r="IE402" s="319" t="s">
        <v>190</v>
      </c>
      <c r="IF402" s="319" t="s">
        <v>190</v>
      </c>
      <c r="IG402" s="319" t="s">
        <v>190</v>
      </c>
      <c r="IH402" s="319" t="s">
        <v>190</v>
      </c>
      <c r="II402" s="319" t="s">
        <v>190</v>
      </c>
      <c r="IJ402" s="319" t="s">
        <v>3179</v>
      </c>
      <c r="IK402" s="321">
        <v>41982</v>
      </c>
      <c r="IL402" s="321">
        <v>41984</v>
      </c>
      <c r="IM402" s="321">
        <v>42038</v>
      </c>
      <c r="IN402" s="319">
        <v>2</v>
      </c>
      <c r="IO402" s="319" t="s">
        <v>173</v>
      </c>
      <c r="IP402" s="319" t="s">
        <v>173</v>
      </c>
      <c r="IQ402" s="319" t="s">
        <v>173</v>
      </c>
      <c r="IR402" s="320" t="s">
        <v>173</v>
      </c>
      <c r="IS402" s="320" t="s">
        <v>173</v>
      </c>
      <c r="IT402" s="319" t="s">
        <v>173</v>
      </c>
    </row>
    <row r="403" spans="1:254" s="271" customFormat="1" x14ac:dyDescent="0.25">
      <c r="A403" s="318" t="str">
        <f>HYPERLINK("http://www.ofsted.gov.uk/inspection-reports/find-inspection-report/provider/ELS/133447 ","Ofsted School Webpage")</f>
        <v>Ofsted School Webpage</v>
      </c>
      <c r="B403" s="319">
        <v>133447</v>
      </c>
      <c r="C403" s="319">
        <v>2096361</v>
      </c>
      <c r="D403" s="319" t="s">
        <v>654</v>
      </c>
      <c r="E403" s="319" t="s">
        <v>167</v>
      </c>
      <c r="F403" s="319" t="s">
        <v>81</v>
      </c>
      <c r="G403" s="319" t="s">
        <v>59</v>
      </c>
      <c r="H403" s="319" t="s">
        <v>59</v>
      </c>
      <c r="I403" s="319" t="s">
        <v>59</v>
      </c>
      <c r="J403" s="319" t="s">
        <v>424</v>
      </c>
      <c r="K403" s="319" t="s">
        <v>441</v>
      </c>
      <c r="L403" s="319" t="s">
        <v>441</v>
      </c>
      <c r="M403" s="319" t="s">
        <v>655</v>
      </c>
      <c r="N403" s="319" t="s">
        <v>3180</v>
      </c>
      <c r="O403" s="319" t="s">
        <v>656</v>
      </c>
      <c r="P403" s="319">
        <v>26</v>
      </c>
      <c r="Q403" s="319" t="s">
        <v>2766</v>
      </c>
      <c r="R403" s="320">
        <v>10055402</v>
      </c>
      <c r="S403" s="321">
        <v>43417</v>
      </c>
      <c r="T403" s="321">
        <v>43419</v>
      </c>
      <c r="U403" s="321">
        <v>43444</v>
      </c>
      <c r="V403" s="319" t="s">
        <v>425</v>
      </c>
      <c r="W403" s="319" t="s">
        <v>2767</v>
      </c>
      <c r="X403" s="319">
        <v>2</v>
      </c>
      <c r="Y403" s="319" t="s">
        <v>173</v>
      </c>
      <c r="Z403" s="319" t="s">
        <v>173</v>
      </c>
      <c r="AA403" s="319" t="s">
        <v>173</v>
      </c>
      <c r="AB403" s="319">
        <v>2</v>
      </c>
      <c r="AC403" s="319" t="s">
        <v>169</v>
      </c>
      <c r="AD403" s="319">
        <v>2</v>
      </c>
      <c r="AE403" s="319" t="s">
        <v>173</v>
      </c>
      <c r="AF403" s="319" t="s">
        <v>427</v>
      </c>
      <c r="AG403" s="319" t="s">
        <v>171</v>
      </c>
      <c r="AH403" s="319" t="s">
        <v>190</v>
      </c>
      <c r="AI403" s="319" t="s">
        <v>190</v>
      </c>
      <c r="AJ403" s="319" t="s">
        <v>190</v>
      </c>
      <c r="AK403" s="319" t="s">
        <v>190</v>
      </c>
      <c r="AL403" s="319" t="s">
        <v>190</v>
      </c>
      <c r="AM403" s="319" t="s">
        <v>190</v>
      </c>
      <c r="AN403" s="319" t="s">
        <v>190</v>
      </c>
      <c r="AO403" s="319" t="s">
        <v>190</v>
      </c>
      <c r="AP403" s="319" t="s">
        <v>190</v>
      </c>
      <c r="AQ403" s="319" t="s">
        <v>190</v>
      </c>
      <c r="AR403" s="319" t="s">
        <v>190</v>
      </c>
      <c r="AS403" s="319" t="s">
        <v>190</v>
      </c>
      <c r="AT403" s="319" t="s">
        <v>190</v>
      </c>
      <c r="AU403" s="319" t="s">
        <v>428</v>
      </c>
      <c r="AV403" s="319" t="s">
        <v>428</v>
      </c>
      <c r="AW403" s="319" t="s">
        <v>190</v>
      </c>
      <c r="AX403" s="319" t="s">
        <v>428</v>
      </c>
      <c r="AY403" s="319" t="s">
        <v>190</v>
      </c>
      <c r="AZ403" s="319" t="s">
        <v>190</v>
      </c>
      <c r="BA403" s="319" t="s">
        <v>190</v>
      </c>
      <c r="BB403" s="319" t="s">
        <v>428</v>
      </c>
      <c r="BC403" s="319" t="s">
        <v>428</v>
      </c>
      <c r="BD403" s="319" t="s">
        <v>428</v>
      </c>
      <c r="BE403" s="319" t="s">
        <v>428</v>
      </c>
      <c r="BF403" s="319" t="s">
        <v>190</v>
      </c>
      <c r="BG403" s="319" t="s">
        <v>190</v>
      </c>
      <c r="BH403" s="319" t="s">
        <v>190</v>
      </c>
      <c r="BI403" s="319" t="s">
        <v>190</v>
      </c>
      <c r="BJ403" s="319" t="s">
        <v>190</v>
      </c>
      <c r="BK403" s="319" t="s">
        <v>190</v>
      </c>
      <c r="BL403" s="319" t="s">
        <v>190</v>
      </c>
      <c r="BM403" s="319" t="s">
        <v>190</v>
      </c>
      <c r="BN403" s="319" t="s">
        <v>190</v>
      </c>
      <c r="BO403" s="319" t="s">
        <v>190</v>
      </c>
      <c r="BP403" s="319" t="s">
        <v>190</v>
      </c>
      <c r="BQ403" s="319" t="s">
        <v>190</v>
      </c>
      <c r="BR403" s="319" t="s">
        <v>190</v>
      </c>
      <c r="BS403" s="319" t="s">
        <v>190</v>
      </c>
      <c r="BT403" s="319" t="s">
        <v>190</v>
      </c>
      <c r="BU403" s="319" t="s">
        <v>190</v>
      </c>
      <c r="BV403" s="319" t="s">
        <v>190</v>
      </c>
      <c r="BW403" s="319" t="s">
        <v>190</v>
      </c>
      <c r="BX403" s="319" t="s">
        <v>190</v>
      </c>
      <c r="BY403" s="319" t="s">
        <v>190</v>
      </c>
      <c r="BZ403" s="319" t="s">
        <v>190</v>
      </c>
      <c r="CA403" s="319" t="s">
        <v>190</v>
      </c>
      <c r="CB403" s="319" t="s">
        <v>190</v>
      </c>
      <c r="CC403" s="319" t="s">
        <v>190</v>
      </c>
      <c r="CD403" s="319" t="s">
        <v>190</v>
      </c>
      <c r="CE403" s="319" t="s">
        <v>190</v>
      </c>
      <c r="CF403" s="319" t="s">
        <v>190</v>
      </c>
      <c r="CG403" s="319" t="s">
        <v>190</v>
      </c>
      <c r="CH403" s="319" t="s">
        <v>190</v>
      </c>
      <c r="CI403" s="319" t="s">
        <v>190</v>
      </c>
      <c r="CJ403" s="319" t="s">
        <v>190</v>
      </c>
      <c r="CK403" s="319" t="s">
        <v>190</v>
      </c>
      <c r="CL403" s="319" t="s">
        <v>190</v>
      </c>
      <c r="CM403" s="319" t="s">
        <v>190</v>
      </c>
      <c r="CN403" s="319" t="s">
        <v>428</v>
      </c>
      <c r="CO403" s="319" t="s">
        <v>428</v>
      </c>
      <c r="CP403" s="319" t="s">
        <v>428</v>
      </c>
      <c r="CQ403" s="319" t="s">
        <v>190</v>
      </c>
      <c r="CR403" s="319" t="s">
        <v>190</v>
      </c>
      <c r="CS403" s="319" t="s">
        <v>190</v>
      </c>
      <c r="CT403" s="319" t="s">
        <v>190</v>
      </c>
      <c r="CU403" s="319" t="s">
        <v>190</v>
      </c>
      <c r="CV403" s="319" t="s">
        <v>190</v>
      </c>
      <c r="CW403" s="319" t="s">
        <v>190</v>
      </c>
      <c r="CX403" s="319" t="s">
        <v>190</v>
      </c>
      <c r="CY403" s="319" t="s">
        <v>190</v>
      </c>
      <c r="CZ403" s="319" t="s">
        <v>190</v>
      </c>
      <c r="DA403" s="319" t="s">
        <v>190</v>
      </c>
      <c r="DB403" s="319" t="s">
        <v>190</v>
      </c>
      <c r="DC403" s="319" t="s">
        <v>190</v>
      </c>
      <c r="DD403" s="319" t="s">
        <v>190</v>
      </c>
      <c r="DE403" s="319" t="s">
        <v>190</v>
      </c>
      <c r="DF403" s="319" t="s">
        <v>190</v>
      </c>
      <c r="DG403" s="319" t="s">
        <v>190</v>
      </c>
      <c r="DH403" s="319" t="s">
        <v>190</v>
      </c>
      <c r="DI403" s="319" t="s">
        <v>190</v>
      </c>
      <c r="DJ403" s="319" t="s">
        <v>190</v>
      </c>
      <c r="DK403" s="319" t="s">
        <v>190</v>
      </c>
      <c r="DL403" s="319" t="s">
        <v>190</v>
      </c>
      <c r="DM403" s="319" t="s">
        <v>190</v>
      </c>
      <c r="DN403" s="319" t="s">
        <v>428</v>
      </c>
      <c r="DO403" s="319" t="s">
        <v>190</v>
      </c>
      <c r="DP403" s="319" t="s">
        <v>190</v>
      </c>
      <c r="DQ403" s="319" t="s">
        <v>190</v>
      </c>
      <c r="DR403" s="319" t="s">
        <v>190</v>
      </c>
      <c r="DS403" s="319" t="s">
        <v>190</v>
      </c>
      <c r="DT403" s="319" t="s">
        <v>190</v>
      </c>
      <c r="DU403" s="319" t="s">
        <v>190</v>
      </c>
      <c r="DV403" s="319" t="s">
        <v>173</v>
      </c>
      <c r="DW403" s="319" t="s">
        <v>190</v>
      </c>
      <c r="DX403" s="319" t="s">
        <v>190</v>
      </c>
      <c r="DY403" s="319" t="s">
        <v>190</v>
      </c>
      <c r="DZ403" s="319" t="s">
        <v>190</v>
      </c>
      <c r="EA403" s="319" t="s">
        <v>190</v>
      </c>
      <c r="EB403" s="319" t="s">
        <v>190</v>
      </c>
      <c r="EC403" s="319" t="s">
        <v>428</v>
      </c>
      <c r="ED403" s="319" t="s">
        <v>428</v>
      </c>
      <c r="EE403" s="319" t="s">
        <v>190</v>
      </c>
      <c r="EF403" s="319" t="s">
        <v>190</v>
      </c>
      <c r="EG403" s="319" t="s">
        <v>190</v>
      </c>
      <c r="EH403" s="319" t="s">
        <v>190</v>
      </c>
      <c r="EI403" s="319" t="s">
        <v>190</v>
      </c>
      <c r="EJ403" s="319" t="s">
        <v>190</v>
      </c>
      <c r="EK403" s="319" t="s">
        <v>190</v>
      </c>
      <c r="EL403" s="319" t="s">
        <v>190</v>
      </c>
      <c r="EM403" s="319" t="s">
        <v>190</v>
      </c>
      <c r="EN403" s="319" t="s">
        <v>190</v>
      </c>
      <c r="EO403" s="319" t="s">
        <v>190</v>
      </c>
      <c r="EP403" s="319" t="s">
        <v>190</v>
      </c>
      <c r="EQ403" s="319" t="s">
        <v>190</v>
      </c>
      <c r="ER403" s="319" t="s">
        <v>190</v>
      </c>
      <c r="ES403" s="319" t="s">
        <v>190</v>
      </c>
      <c r="ET403" s="319" t="s">
        <v>190</v>
      </c>
      <c r="EU403" s="319" t="s">
        <v>190</v>
      </c>
      <c r="EV403" s="319" t="s">
        <v>190</v>
      </c>
      <c r="EW403" s="319" t="s">
        <v>190</v>
      </c>
      <c r="EX403" s="319" t="s">
        <v>190</v>
      </c>
      <c r="EY403" s="319" t="s">
        <v>190</v>
      </c>
      <c r="EZ403" s="319" t="s">
        <v>190</v>
      </c>
      <c r="FA403" s="319" t="s">
        <v>190</v>
      </c>
      <c r="FB403" s="319" t="s">
        <v>190</v>
      </c>
      <c r="FC403" s="319" t="s">
        <v>190</v>
      </c>
      <c r="FD403" s="319" t="s">
        <v>190</v>
      </c>
      <c r="FE403" s="319" t="s">
        <v>190</v>
      </c>
      <c r="FF403" s="319" t="s">
        <v>190</v>
      </c>
      <c r="FG403" s="319" t="s">
        <v>190</v>
      </c>
      <c r="FH403" s="319" t="s">
        <v>190</v>
      </c>
      <c r="FI403" s="319" t="s">
        <v>190</v>
      </c>
      <c r="FJ403" s="319" t="s">
        <v>190</v>
      </c>
      <c r="FK403" s="319" t="s">
        <v>190</v>
      </c>
      <c r="FL403" s="319" t="s">
        <v>190</v>
      </c>
      <c r="FM403" s="319" t="s">
        <v>190</v>
      </c>
      <c r="FN403" s="319" t="s">
        <v>190</v>
      </c>
      <c r="FO403" s="319" t="s">
        <v>428</v>
      </c>
      <c r="FP403" s="319" t="s">
        <v>190</v>
      </c>
      <c r="FQ403" s="319" t="s">
        <v>190</v>
      </c>
      <c r="FR403" s="319" t="s">
        <v>190</v>
      </c>
      <c r="FS403" s="319" t="s">
        <v>428</v>
      </c>
      <c r="FT403" s="319" t="s">
        <v>190</v>
      </c>
      <c r="FU403" s="319" t="s">
        <v>190</v>
      </c>
      <c r="FV403" s="319" t="s">
        <v>190</v>
      </c>
      <c r="FW403" s="319" t="s">
        <v>190</v>
      </c>
      <c r="FX403" s="319" t="s">
        <v>190</v>
      </c>
      <c r="FY403" s="319" t="s">
        <v>190</v>
      </c>
      <c r="FZ403" s="319" t="s">
        <v>190</v>
      </c>
      <c r="GA403" s="319" t="s">
        <v>190</v>
      </c>
      <c r="GB403" s="319" t="s">
        <v>190</v>
      </c>
      <c r="GC403" s="319" t="s">
        <v>190</v>
      </c>
      <c r="GD403" s="319" t="s">
        <v>190</v>
      </c>
      <c r="GE403" s="319" t="s">
        <v>190</v>
      </c>
      <c r="GF403" s="319" t="s">
        <v>190</v>
      </c>
      <c r="GG403" s="319" t="s">
        <v>190</v>
      </c>
      <c r="GH403" s="319" t="s">
        <v>190</v>
      </c>
      <c r="GI403" s="319" t="s">
        <v>190</v>
      </c>
      <c r="GJ403" s="319" t="s">
        <v>190</v>
      </c>
      <c r="GK403" s="319" t="s">
        <v>428</v>
      </c>
      <c r="GL403" s="319" t="s">
        <v>190</v>
      </c>
      <c r="GM403" s="319" t="s">
        <v>190</v>
      </c>
      <c r="GN403" s="319" t="s">
        <v>190</v>
      </c>
      <c r="GO403" s="319" t="s">
        <v>190</v>
      </c>
      <c r="GP403" s="319" t="s">
        <v>190</v>
      </c>
      <c r="GQ403" s="319" t="s">
        <v>190</v>
      </c>
      <c r="GR403" s="319" t="s">
        <v>190</v>
      </c>
      <c r="GS403" s="319" t="s">
        <v>190</v>
      </c>
      <c r="GT403" s="319" t="s">
        <v>190</v>
      </c>
      <c r="GU403" s="319" t="s">
        <v>190</v>
      </c>
      <c r="GV403" s="319" t="s">
        <v>190</v>
      </c>
      <c r="GW403" s="319" t="s">
        <v>190</v>
      </c>
      <c r="GX403" s="319" t="s">
        <v>190</v>
      </c>
      <c r="GY403" s="319" t="s">
        <v>190</v>
      </c>
      <c r="GZ403" s="319" t="s">
        <v>190</v>
      </c>
      <c r="HA403" s="319" t="s">
        <v>428</v>
      </c>
      <c r="HB403" s="319" t="s">
        <v>190</v>
      </c>
      <c r="HC403" s="319" t="s">
        <v>190</v>
      </c>
      <c r="HD403" s="319" t="s">
        <v>190</v>
      </c>
      <c r="HE403" s="319" t="s">
        <v>190</v>
      </c>
      <c r="HF403" s="319" t="s">
        <v>190</v>
      </c>
      <c r="HG403" s="319" t="s">
        <v>190</v>
      </c>
      <c r="HH403" s="319" t="s">
        <v>190</v>
      </c>
      <c r="HI403" s="319" t="s">
        <v>190</v>
      </c>
      <c r="HJ403" s="319" t="s">
        <v>190</v>
      </c>
      <c r="HK403" s="319" t="s">
        <v>190</v>
      </c>
      <c r="HL403" s="319" t="s">
        <v>190</v>
      </c>
      <c r="HM403" s="319" t="s">
        <v>428</v>
      </c>
      <c r="HN403" s="319" t="s">
        <v>428</v>
      </c>
      <c r="HO403" s="319" t="s">
        <v>428</v>
      </c>
      <c r="HP403" s="319" t="s">
        <v>190</v>
      </c>
      <c r="HQ403" s="319" t="s">
        <v>190</v>
      </c>
      <c r="HR403" s="319" t="s">
        <v>190</v>
      </c>
      <c r="HS403" s="319" t="s">
        <v>190</v>
      </c>
      <c r="HT403" s="319" t="s">
        <v>190</v>
      </c>
      <c r="HU403" s="319" t="s">
        <v>190</v>
      </c>
      <c r="HV403" s="319" t="s">
        <v>190</v>
      </c>
      <c r="HW403" s="319" t="s">
        <v>190</v>
      </c>
      <c r="HX403" s="319" t="s">
        <v>190</v>
      </c>
      <c r="HY403" s="319" t="s">
        <v>190</v>
      </c>
      <c r="HZ403" s="319" t="s">
        <v>190</v>
      </c>
      <c r="IA403" s="319" t="s">
        <v>190</v>
      </c>
      <c r="IB403" s="319" t="s">
        <v>190</v>
      </c>
      <c r="IC403" s="319" t="s">
        <v>190</v>
      </c>
      <c r="ID403" s="319" t="s">
        <v>190</v>
      </c>
      <c r="IE403" s="319" t="s">
        <v>190</v>
      </c>
      <c r="IF403" s="319" t="s">
        <v>190</v>
      </c>
      <c r="IG403" s="319" t="s">
        <v>190</v>
      </c>
      <c r="IH403" s="319" t="s">
        <v>190</v>
      </c>
      <c r="II403" s="319" t="s">
        <v>190</v>
      </c>
      <c r="IJ403" s="319">
        <v>10035796</v>
      </c>
      <c r="IK403" s="321">
        <v>43067</v>
      </c>
      <c r="IL403" s="321">
        <v>43069</v>
      </c>
      <c r="IM403" s="321">
        <v>43136</v>
      </c>
      <c r="IN403" s="319">
        <v>4</v>
      </c>
      <c r="IO403" s="319" t="s">
        <v>173</v>
      </c>
      <c r="IP403" s="319" t="s">
        <v>173</v>
      </c>
      <c r="IQ403" s="319" t="s">
        <v>173</v>
      </c>
      <c r="IR403" s="320" t="s">
        <v>173</v>
      </c>
      <c r="IS403" s="320" t="s">
        <v>173</v>
      </c>
      <c r="IT403" s="319" t="s">
        <v>173</v>
      </c>
    </row>
    <row r="404" spans="1:254" s="271" customFormat="1" x14ac:dyDescent="0.25">
      <c r="A404" s="318" t="str">
        <f>HYPERLINK("http://www.ofsted.gov.uk/inspection-reports/find-inspection-report/provider/ELS/133449 ","Ofsted School Webpage")</f>
        <v>Ofsted School Webpage</v>
      </c>
      <c r="B404" s="319">
        <v>133449</v>
      </c>
      <c r="C404" s="319">
        <v>2046410</v>
      </c>
      <c r="D404" s="319" t="s">
        <v>597</v>
      </c>
      <c r="E404" s="319" t="s">
        <v>167</v>
      </c>
      <c r="F404" s="319" t="s">
        <v>81</v>
      </c>
      <c r="G404" s="319" t="s">
        <v>72</v>
      </c>
      <c r="H404" s="319" t="s">
        <v>72</v>
      </c>
      <c r="I404" s="319" t="s">
        <v>72</v>
      </c>
      <c r="J404" s="319" t="s">
        <v>424</v>
      </c>
      <c r="K404" s="319" t="s">
        <v>441</v>
      </c>
      <c r="L404" s="319" t="s">
        <v>441</v>
      </c>
      <c r="M404" s="319" t="s">
        <v>547</v>
      </c>
      <c r="N404" s="319" t="s">
        <v>2774</v>
      </c>
      <c r="O404" s="319" t="s">
        <v>598</v>
      </c>
      <c r="P404" s="319">
        <v>80</v>
      </c>
      <c r="Q404" s="319" t="s">
        <v>2766</v>
      </c>
      <c r="R404" s="320">
        <v>10055446</v>
      </c>
      <c r="S404" s="321">
        <v>43403</v>
      </c>
      <c r="T404" s="321">
        <v>43405</v>
      </c>
      <c r="U404" s="321">
        <v>43429</v>
      </c>
      <c r="V404" s="319" t="s">
        <v>425</v>
      </c>
      <c r="W404" s="319" t="s">
        <v>2767</v>
      </c>
      <c r="X404" s="319">
        <v>3</v>
      </c>
      <c r="Y404" s="319" t="s">
        <v>173</v>
      </c>
      <c r="Z404" s="319" t="s">
        <v>173</v>
      </c>
      <c r="AA404" s="319" t="s">
        <v>173</v>
      </c>
      <c r="AB404" s="319">
        <v>3</v>
      </c>
      <c r="AC404" s="319" t="s">
        <v>169</v>
      </c>
      <c r="AD404" s="319" t="s">
        <v>173</v>
      </c>
      <c r="AE404" s="319" t="s">
        <v>173</v>
      </c>
      <c r="AF404" s="319" t="s">
        <v>427</v>
      </c>
      <c r="AG404" s="319" t="s">
        <v>171</v>
      </c>
      <c r="AH404" s="319" t="s">
        <v>190</v>
      </c>
      <c r="AI404" s="319" t="s">
        <v>190</v>
      </c>
      <c r="AJ404" s="319" t="s">
        <v>190</v>
      </c>
      <c r="AK404" s="319" t="s">
        <v>190</v>
      </c>
      <c r="AL404" s="319" t="s">
        <v>190</v>
      </c>
      <c r="AM404" s="319" t="s">
        <v>190</v>
      </c>
      <c r="AN404" s="319" t="s">
        <v>190</v>
      </c>
      <c r="AO404" s="319" t="s">
        <v>190</v>
      </c>
      <c r="AP404" s="319" t="s">
        <v>190</v>
      </c>
      <c r="AQ404" s="319" t="s">
        <v>190</v>
      </c>
      <c r="AR404" s="319" t="s">
        <v>190</v>
      </c>
      <c r="AS404" s="319" t="s">
        <v>190</v>
      </c>
      <c r="AT404" s="319" t="s">
        <v>190</v>
      </c>
      <c r="AU404" s="319" t="s">
        <v>190</v>
      </c>
      <c r="AV404" s="319" t="s">
        <v>190</v>
      </c>
      <c r="AW404" s="319" t="s">
        <v>190</v>
      </c>
      <c r="AX404" s="319" t="s">
        <v>428</v>
      </c>
      <c r="AY404" s="319" t="s">
        <v>190</v>
      </c>
      <c r="AZ404" s="319" t="s">
        <v>190</v>
      </c>
      <c r="BA404" s="319" t="s">
        <v>190</v>
      </c>
      <c r="BB404" s="319" t="s">
        <v>428</v>
      </c>
      <c r="BC404" s="319" t="s">
        <v>428</v>
      </c>
      <c r="BD404" s="319" t="s">
        <v>428</v>
      </c>
      <c r="BE404" s="319" t="s">
        <v>428</v>
      </c>
      <c r="BF404" s="319" t="s">
        <v>428</v>
      </c>
      <c r="BG404" s="319" t="s">
        <v>428</v>
      </c>
      <c r="BH404" s="319" t="s">
        <v>190</v>
      </c>
      <c r="BI404" s="319" t="s">
        <v>190</v>
      </c>
      <c r="BJ404" s="319" t="s">
        <v>190</v>
      </c>
      <c r="BK404" s="319" t="s">
        <v>190</v>
      </c>
      <c r="BL404" s="319" t="s">
        <v>190</v>
      </c>
      <c r="BM404" s="319" t="s">
        <v>190</v>
      </c>
      <c r="BN404" s="319" t="s">
        <v>190</v>
      </c>
      <c r="BO404" s="319" t="s">
        <v>190</v>
      </c>
      <c r="BP404" s="319" t="s">
        <v>190</v>
      </c>
      <c r="BQ404" s="319" t="s">
        <v>190</v>
      </c>
      <c r="BR404" s="319" t="s">
        <v>190</v>
      </c>
      <c r="BS404" s="319" t="s">
        <v>190</v>
      </c>
      <c r="BT404" s="319" t="s">
        <v>190</v>
      </c>
      <c r="BU404" s="319" t="s">
        <v>190</v>
      </c>
      <c r="BV404" s="319" t="s">
        <v>190</v>
      </c>
      <c r="BW404" s="319" t="s">
        <v>190</v>
      </c>
      <c r="BX404" s="319" t="s">
        <v>190</v>
      </c>
      <c r="BY404" s="319" t="s">
        <v>190</v>
      </c>
      <c r="BZ404" s="319" t="s">
        <v>190</v>
      </c>
      <c r="CA404" s="319" t="s">
        <v>190</v>
      </c>
      <c r="CB404" s="319" t="s">
        <v>190</v>
      </c>
      <c r="CC404" s="319" t="s">
        <v>190</v>
      </c>
      <c r="CD404" s="319" t="s">
        <v>190</v>
      </c>
      <c r="CE404" s="319" t="s">
        <v>190</v>
      </c>
      <c r="CF404" s="319" t="s">
        <v>190</v>
      </c>
      <c r="CG404" s="319" t="s">
        <v>190</v>
      </c>
      <c r="CH404" s="319" t="s">
        <v>190</v>
      </c>
      <c r="CI404" s="319" t="s">
        <v>190</v>
      </c>
      <c r="CJ404" s="319" t="s">
        <v>190</v>
      </c>
      <c r="CK404" s="319" t="s">
        <v>190</v>
      </c>
      <c r="CL404" s="319" t="s">
        <v>190</v>
      </c>
      <c r="CM404" s="319" t="s">
        <v>190</v>
      </c>
      <c r="CN404" s="319" t="s">
        <v>428</v>
      </c>
      <c r="CO404" s="319" t="s">
        <v>428</v>
      </c>
      <c r="CP404" s="319" t="s">
        <v>428</v>
      </c>
      <c r="CQ404" s="319" t="s">
        <v>190</v>
      </c>
      <c r="CR404" s="319" t="s">
        <v>190</v>
      </c>
      <c r="CS404" s="319" t="s">
        <v>190</v>
      </c>
      <c r="CT404" s="319" t="s">
        <v>190</v>
      </c>
      <c r="CU404" s="319" t="s">
        <v>190</v>
      </c>
      <c r="CV404" s="319" t="s">
        <v>190</v>
      </c>
      <c r="CW404" s="319" t="s">
        <v>190</v>
      </c>
      <c r="CX404" s="319" t="s">
        <v>190</v>
      </c>
      <c r="CY404" s="319" t="s">
        <v>190</v>
      </c>
      <c r="CZ404" s="319" t="s">
        <v>190</v>
      </c>
      <c r="DA404" s="319" t="s">
        <v>190</v>
      </c>
      <c r="DB404" s="319" t="s">
        <v>190</v>
      </c>
      <c r="DC404" s="319" t="s">
        <v>190</v>
      </c>
      <c r="DD404" s="319" t="s">
        <v>190</v>
      </c>
      <c r="DE404" s="319" t="s">
        <v>190</v>
      </c>
      <c r="DF404" s="319" t="s">
        <v>190</v>
      </c>
      <c r="DG404" s="319" t="s">
        <v>190</v>
      </c>
      <c r="DH404" s="319" t="s">
        <v>190</v>
      </c>
      <c r="DI404" s="319" t="s">
        <v>190</v>
      </c>
      <c r="DJ404" s="319" t="s">
        <v>190</v>
      </c>
      <c r="DK404" s="319" t="s">
        <v>190</v>
      </c>
      <c r="DL404" s="319" t="s">
        <v>190</v>
      </c>
      <c r="DM404" s="319" t="s">
        <v>190</v>
      </c>
      <c r="DN404" s="319" t="s">
        <v>428</v>
      </c>
      <c r="DO404" s="319" t="s">
        <v>190</v>
      </c>
      <c r="DP404" s="319" t="s">
        <v>428</v>
      </c>
      <c r="DQ404" s="319" t="s">
        <v>428</v>
      </c>
      <c r="DR404" s="319" t="s">
        <v>428</v>
      </c>
      <c r="DS404" s="319" t="s">
        <v>428</v>
      </c>
      <c r="DT404" s="319" t="s">
        <v>428</v>
      </c>
      <c r="DU404" s="319" t="s">
        <v>428</v>
      </c>
      <c r="DV404" s="319" t="s">
        <v>173</v>
      </c>
      <c r="DW404" s="319" t="s">
        <v>428</v>
      </c>
      <c r="DX404" s="319" t="s">
        <v>428</v>
      </c>
      <c r="DY404" s="319" t="s">
        <v>428</v>
      </c>
      <c r="DZ404" s="319" t="s">
        <v>428</v>
      </c>
      <c r="EA404" s="319" t="s">
        <v>428</v>
      </c>
      <c r="EB404" s="319" t="s">
        <v>428</v>
      </c>
      <c r="EC404" s="319" t="s">
        <v>428</v>
      </c>
      <c r="ED404" s="319" t="s">
        <v>428</v>
      </c>
      <c r="EE404" s="319" t="s">
        <v>190</v>
      </c>
      <c r="EF404" s="319" t="s">
        <v>190</v>
      </c>
      <c r="EG404" s="319" t="s">
        <v>190</v>
      </c>
      <c r="EH404" s="319" t="s">
        <v>190</v>
      </c>
      <c r="EI404" s="319" t="s">
        <v>190</v>
      </c>
      <c r="EJ404" s="319" t="s">
        <v>190</v>
      </c>
      <c r="EK404" s="319" t="s">
        <v>190</v>
      </c>
      <c r="EL404" s="319" t="s">
        <v>190</v>
      </c>
      <c r="EM404" s="319" t="s">
        <v>190</v>
      </c>
      <c r="EN404" s="319" t="s">
        <v>190</v>
      </c>
      <c r="EO404" s="319" t="s">
        <v>190</v>
      </c>
      <c r="EP404" s="319" t="s">
        <v>190</v>
      </c>
      <c r="EQ404" s="319" t="s">
        <v>190</v>
      </c>
      <c r="ER404" s="319" t="s">
        <v>190</v>
      </c>
      <c r="ES404" s="319" t="s">
        <v>190</v>
      </c>
      <c r="ET404" s="319" t="s">
        <v>190</v>
      </c>
      <c r="EU404" s="319" t="s">
        <v>190</v>
      </c>
      <c r="EV404" s="319" t="s">
        <v>190</v>
      </c>
      <c r="EW404" s="319" t="s">
        <v>190</v>
      </c>
      <c r="EX404" s="319" t="s">
        <v>190</v>
      </c>
      <c r="EY404" s="319" t="s">
        <v>190</v>
      </c>
      <c r="EZ404" s="319" t="s">
        <v>190</v>
      </c>
      <c r="FA404" s="319" t="s">
        <v>190</v>
      </c>
      <c r="FB404" s="319" t="s">
        <v>428</v>
      </c>
      <c r="FC404" s="319" t="s">
        <v>428</v>
      </c>
      <c r="FD404" s="319" t="s">
        <v>428</v>
      </c>
      <c r="FE404" s="319" t="s">
        <v>428</v>
      </c>
      <c r="FF404" s="319" t="s">
        <v>428</v>
      </c>
      <c r="FG404" s="319" t="s">
        <v>428</v>
      </c>
      <c r="FH404" s="319" t="s">
        <v>190</v>
      </c>
      <c r="FI404" s="319" t="s">
        <v>190</v>
      </c>
      <c r="FJ404" s="319" t="s">
        <v>190</v>
      </c>
      <c r="FK404" s="319" t="s">
        <v>190</v>
      </c>
      <c r="FL404" s="319" t="s">
        <v>190</v>
      </c>
      <c r="FM404" s="319" t="s">
        <v>190</v>
      </c>
      <c r="FN404" s="319" t="s">
        <v>190</v>
      </c>
      <c r="FO404" s="319" t="s">
        <v>428</v>
      </c>
      <c r="FP404" s="319" t="s">
        <v>190</v>
      </c>
      <c r="FQ404" s="319" t="s">
        <v>190</v>
      </c>
      <c r="FR404" s="319" t="s">
        <v>190</v>
      </c>
      <c r="FS404" s="319" t="s">
        <v>428</v>
      </c>
      <c r="FT404" s="319" t="s">
        <v>190</v>
      </c>
      <c r="FU404" s="319" t="s">
        <v>190</v>
      </c>
      <c r="FV404" s="319" t="s">
        <v>190</v>
      </c>
      <c r="FW404" s="319" t="s">
        <v>190</v>
      </c>
      <c r="FX404" s="319" t="s">
        <v>190</v>
      </c>
      <c r="FY404" s="319" t="s">
        <v>190</v>
      </c>
      <c r="FZ404" s="319" t="s">
        <v>190</v>
      </c>
      <c r="GA404" s="319" t="s">
        <v>190</v>
      </c>
      <c r="GB404" s="319" t="s">
        <v>190</v>
      </c>
      <c r="GC404" s="319" t="s">
        <v>190</v>
      </c>
      <c r="GD404" s="319" t="s">
        <v>190</v>
      </c>
      <c r="GE404" s="319" t="s">
        <v>190</v>
      </c>
      <c r="GF404" s="319" t="s">
        <v>190</v>
      </c>
      <c r="GG404" s="319" t="s">
        <v>190</v>
      </c>
      <c r="GH404" s="319" t="s">
        <v>190</v>
      </c>
      <c r="GI404" s="319" t="s">
        <v>190</v>
      </c>
      <c r="GJ404" s="319" t="s">
        <v>190</v>
      </c>
      <c r="GK404" s="319" t="s">
        <v>428</v>
      </c>
      <c r="GL404" s="319" t="s">
        <v>190</v>
      </c>
      <c r="GM404" s="319" t="s">
        <v>190</v>
      </c>
      <c r="GN404" s="319" t="s">
        <v>190</v>
      </c>
      <c r="GO404" s="319" t="s">
        <v>190</v>
      </c>
      <c r="GP404" s="319" t="s">
        <v>190</v>
      </c>
      <c r="GQ404" s="319" t="s">
        <v>428</v>
      </c>
      <c r="GR404" s="319" t="s">
        <v>190</v>
      </c>
      <c r="GS404" s="319" t="s">
        <v>190</v>
      </c>
      <c r="GT404" s="319" t="s">
        <v>428</v>
      </c>
      <c r="GU404" s="319" t="s">
        <v>428</v>
      </c>
      <c r="GV404" s="319" t="s">
        <v>428</v>
      </c>
      <c r="GW404" s="319" t="s">
        <v>190</v>
      </c>
      <c r="GX404" s="319" t="s">
        <v>190</v>
      </c>
      <c r="GY404" s="319" t="s">
        <v>190</v>
      </c>
      <c r="GZ404" s="319" t="s">
        <v>428</v>
      </c>
      <c r="HA404" s="319" t="s">
        <v>190</v>
      </c>
      <c r="HB404" s="319" t="s">
        <v>190</v>
      </c>
      <c r="HC404" s="319" t="s">
        <v>190</v>
      </c>
      <c r="HD404" s="319" t="s">
        <v>190</v>
      </c>
      <c r="HE404" s="319" t="s">
        <v>190</v>
      </c>
      <c r="HF404" s="319" t="s">
        <v>190</v>
      </c>
      <c r="HG404" s="319" t="s">
        <v>190</v>
      </c>
      <c r="HH404" s="319" t="s">
        <v>190</v>
      </c>
      <c r="HI404" s="319" t="s">
        <v>190</v>
      </c>
      <c r="HJ404" s="319" t="s">
        <v>190</v>
      </c>
      <c r="HK404" s="319" t="s">
        <v>190</v>
      </c>
      <c r="HL404" s="319" t="s">
        <v>428</v>
      </c>
      <c r="HM404" s="319" t="s">
        <v>428</v>
      </c>
      <c r="HN404" s="319" t="s">
        <v>428</v>
      </c>
      <c r="HO404" s="319" t="s">
        <v>428</v>
      </c>
      <c r="HP404" s="319" t="s">
        <v>190</v>
      </c>
      <c r="HQ404" s="319" t="s">
        <v>190</v>
      </c>
      <c r="HR404" s="319" t="s">
        <v>190</v>
      </c>
      <c r="HS404" s="319" t="s">
        <v>190</v>
      </c>
      <c r="HT404" s="319" t="s">
        <v>190</v>
      </c>
      <c r="HU404" s="319" t="s">
        <v>190</v>
      </c>
      <c r="HV404" s="319" t="s">
        <v>190</v>
      </c>
      <c r="HW404" s="319" t="s">
        <v>190</v>
      </c>
      <c r="HX404" s="319" t="s">
        <v>190</v>
      </c>
      <c r="HY404" s="319" t="s">
        <v>190</v>
      </c>
      <c r="HZ404" s="319" t="s">
        <v>190</v>
      </c>
      <c r="IA404" s="319" t="s">
        <v>190</v>
      </c>
      <c r="IB404" s="319" t="s">
        <v>190</v>
      </c>
      <c r="IC404" s="319" t="s">
        <v>190</v>
      </c>
      <c r="ID404" s="319" t="s">
        <v>190</v>
      </c>
      <c r="IE404" s="319" t="s">
        <v>190</v>
      </c>
      <c r="IF404" s="319" t="s">
        <v>190</v>
      </c>
      <c r="IG404" s="319" t="s">
        <v>190</v>
      </c>
      <c r="IH404" s="319" t="s">
        <v>190</v>
      </c>
      <c r="II404" s="319" t="s">
        <v>190</v>
      </c>
      <c r="IJ404" s="319">
        <v>10034443</v>
      </c>
      <c r="IK404" s="321">
        <v>42920</v>
      </c>
      <c r="IL404" s="321">
        <v>42922</v>
      </c>
      <c r="IM404" s="321">
        <v>43011</v>
      </c>
      <c r="IN404" s="319">
        <v>4</v>
      </c>
      <c r="IO404" s="319" t="s">
        <v>173</v>
      </c>
      <c r="IP404" s="319" t="s">
        <v>173</v>
      </c>
      <c r="IQ404" s="321" t="s">
        <v>173</v>
      </c>
      <c r="IR404" s="320" t="s">
        <v>173</v>
      </c>
      <c r="IS404" s="322" t="s">
        <v>173</v>
      </c>
      <c r="IT404" s="319" t="s">
        <v>173</v>
      </c>
    </row>
    <row r="405" spans="1:254" s="271" customFormat="1" x14ac:dyDescent="0.25">
      <c r="A405" s="318" t="str">
        <f>HYPERLINK("http://www.ofsted.gov.uk/inspection-reports/find-inspection-report/provider/ELS/133453 ","Ofsted School Webpage")</f>
        <v>Ofsted School Webpage</v>
      </c>
      <c r="B405" s="319">
        <v>133453</v>
      </c>
      <c r="C405" s="319">
        <v>3806113</v>
      </c>
      <c r="D405" s="319" t="s">
        <v>961</v>
      </c>
      <c r="E405" s="319" t="s">
        <v>167</v>
      </c>
      <c r="F405" s="319" t="s">
        <v>81</v>
      </c>
      <c r="G405" s="319" t="s">
        <v>72</v>
      </c>
      <c r="H405" s="319" t="s">
        <v>72</v>
      </c>
      <c r="I405" s="319" t="s">
        <v>72</v>
      </c>
      <c r="J405" s="319" t="s">
        <v>424</v>
      </c>
      <c r="K405" s="319" t="s">
        <v>458</v>
      </c>
      <c r="L405" s="319" t="s">
        <v>459</v>
      </c>
      <c r="M405" s="319" t="s">
        <v>595</v>
      </c>
      <c r="N405" s="319" t="s">
        <v>3181</v>
      </c>
      <c r="O405" s="319" t="s">
        <v>962</v>
      </c>
      <c r="P405" s="319">
        <v>193</v>
      </c>
      <c r="Q405" s="319" t="s">
        <v>2766</v>
      </c>
      <c r="R405" s="320">
        <v>10061261</v>
      </c>
      <c r="S405" s="321">
        <v>43522</v>
      </c>
      <c r="T405" s="321">
        <v>43524</v>
      </c>
      <c r="U405" s="321">
        <v>43549</v>
      </c>
      <c r="V405" s="319" t="s">
        <v>425</v>
      </c>
      <c r="W405" s="319" t="s">
        <v>2767</v>
      </c>
      <c r="X405" s="319">
        <v>2</v>
      </c>
      <c r="Y405" s="319" t="s">
        <v>173</v>
      </c>
      <c r="Z405" s="319" t="s">
        <v>173</v>
      </c>
      <c r="AA405" s="319" t="s">
        <v>173</v>
      </c>
      <c r="AB405" s="319">
        <v>2</v>
      </c>
      <c r="AC405" s="319" t="s">
        <v>169</v>
      </c>
      <c r="AD405" s="319">
        <v>2</v>
      </c>
      <c r="AE405" s="319" t="s">
        <v>173</v>
      </c>
      <c r="AF405" s="319" t="s">
        <v>427</v>
      </c>
      <c r="AG405" s="319" t="s">
        <v>171</v>
      </c>
      <c r="AH405" s="319" t="s">
        <v>190</v>
      </c>
      <c r="AI405" s="319" t="s">
        <v>190</v>
      </c>
      <c r="AJ405" s="319" t="s">
        <v>190</v>
      </c>
      <c r="AK405" s="319" t="s">
        <v>190</v>
      </c>
      <c r="AL405" s="319" t="s">
        <v>190</v>
      </c>
      <c r="AM405" s="319" t="s">
        <v>190</v>
      </c>
      <c r="AN405" s="319" t="s">
        <v>190</v>
      </c>
      <c r="AO405" s="319" t="s">
        <v>190</v>
      </c>
      <c r="AP405" s="319" t="s">
        <v>190</v>
      </c>
      <c r="AQ405" s="319" t="s">
        <v>190</v>
      </c>
      <c r="AR405" s="319" t="s">
        <v>190</v>
      </c>
      <c r="AS405" s="319" t="s">
        <v>190</v>
      </c>
      <c r="AT405" s="319" t="s">
        <v>190</v>
      </c>
      <c r="AU405" s="319" t="s">
        <v>190</v>
      </c>
      <c r="AV405" s="319" t="s">
        <v>190</v>
      </c>
      <c r="AW405" s="319" t="s">
        <v>190</v>
      </c>
      <c r="AX405" s="319" t="s">
        <v>428</v>
      </c>
      <c r="AY405" s="319" t="s">
        <v>190</v>
      </c>
      <c r="AZ405" s="319" t="s">
        <v>190</v>
      </c>
      <c r="BA405" s="319" t="s">
        <v>190</v>
      </c>
      <c r="BB405" s="319" t="s">
        <v>428</v>
      </c>
      <c r="BC405" s="319" t="s">
        <v>428</v>
      </c>
      <c r="BD405" s="319" t="s">
        <v>428</v>
      </c>
      <c r="BE405" s="319" t="s">
        <v>428</v>
      </c>
      <c r="BF405" s="319" t="s">
        <v>190</v>
      </c>
      <c r="BG405" s="319" t="s">
        <v>428</v>
      </c>
      <c r="BH405" s="319" t="s">
        <v>190</v>
      </c>
      <c r="BI405" s="319" t="s">
        <v>190</v>
      </c>
      <c r="BJ405" s="319" t="s">
        <v>190</v>
      </c>
      <c r="BK405" s="319" t="s">
        <v>190</v>
      </c>
      <c r="BL405" s="319" t="s">
        <v>190</v>
      </c>
      <c r="BM405" s="319" t="s">
        <v>190</v>
      </c>
      <c r="BN405" s="319" t="s">
        <v>190</v>
      </c>
      <c r="BO405" s="319" t="s">
        <v>190</v>
      </c>
      <c r="BP405" s="319" t="s">
        <v>190</v>
      </c>
      <c r="BQ405" s="319" t="s">
        <v>190</v>
      </c>
      <c r="BR405" s="319" t="s">
        <v>190</v>
      </c>
      <c r="BS405" s="319" t="s">
        <v>190</v>
      </c>
      <c r="BT405" s="319" t="s">
        <v>190</v>
      </c>
      <c r="BU405" s="319" t="s">
        <v>190</v>
      </c>
      <c r="BV405" s="319" t="s">
        <v>190</v>
      </c>
      <c r="BW405" s="319" t="s">
        <v>190</v>
      </c>
      <c r="BX405" s="319" t="s">
        <v>190</v>
      </c>
      <c r="BY405" s="319" t="s">
        <v>190</v>
      </c>
      <c r="BZ405" s="319" t="s">
        <v>190</v>
      </c>
      <c r="CA405" s="319" t="s">
        <v>190</v>
      </c>
      <c r="CB405" s="319" t="s">
        <v>190</v>
      </c>
      <c r="CC405" s="319" t="s">
        <v>190</v>
      </c>
      <c r="CD405" s="319" t="s">
        <v>190</v>
      </c>
      <c r="CE405" s="319" t="s">
        <v>190</v>
      </c>
      <c r="CF405" s="319" t="s">
        <v>190</v>
      </c>
      <c r="CG405" s="319" t="s">
        <v>190</v>
      </c>
      <c r="CH405" s="319" t="s">
        <v>190</v>
      </c>
      <c r="CI405" s="319" t="s">
        <v>190</v>
      </c>
      <c r="CJ405" s="319" t="s">
        <v>190</v>
      </c>
      <c r="CK405" s="319" t="s">
        <v>190</v>
      </c>
      <c r="CL405" s="319" t="s">
        <v>190</v>
      </c>
      <c r="CM405" s="319" t="s">
        <v>190</v>
      </c>
      <c r="CN405" s="319" t="s">
        <v>428</v>
      </c>
      <c r="CO405" s="319" t="s">
        <v>428</v>
      </c>
      <c r="CP405" s="319" t="s">
        <v>428</v>
      </c>
      <c r="CQ405" s="319" t="s">
        <v>190</v>
      </c>
      <c r="CR405" s="319" t="s">
        <v>190</v>
      </c>
      <c r="CS405" s="319" t="s">
        <v>190</v>
      </c>
      <c r="CT405" s="319" t="s">
        <v>190</v>
      </c>
      <c r="CU405" s="319" t="s">
        <v>190</v>
      </c>
      <c r="CV405" s="319" t="s">
        <v>190</v>
      </c>
      <c r="CW405" s="319" t="s">
        <v>190</v>
      </c>
      <c r="CX405" s="319" t="s">
        <v>190</v>
      </c>
      <c r="CY405" s="319" t="s">
        <v>190</v>
      </c>
      <c r="CZ405" s="319" t="s">
        <v>190</v>
      </c>
      <c r="DA405" s="319" t="s">
        <v>190</v>
      </c>
      <c r="DB405" s="319" t="s">
        <v>190</v>
      </c>
      <c r="DC405" s="319" t="s">
        <v>190</v>
      </c>
      <c r="DD405" s="319" t="s">
        <v>190</v>
      </c>
      <c r="DE405" s="319" t="s">
        <v>190</v>
      </c>
      <c r="DF405" s="319" t="s">
        <v>190</v>
      </c>
      <c r="DG405" s="319" t="s">
        <v>190</v>
      </c>
      <c r="DH405" s="319" t="s">
        <v>190</v>
      </c>
      <c r="DI405" s="319" t="s">
        <v>190</v>
      </c>
      <c r="DJ405" s="319" t="s">
        <v>190</v>
      </c>
      <c r="DK405" s="319" t="s">
        <v>190</v>
      </c>
      <c r="DL405" s="319" t="s">
        <v>190</v>
      </c>
      <c r="DM405" s="319" t="s">
        <v>428</v>
      </c>
      <c r="DN405" s="319" t="s">
        <v>428</v>
      </c>
      <c r="DO405" s="319" t="s">
        <v>428</v>
      </c>
      <c r="DP405" s="319" t="s">
        <v>428</v>
      </c>
      <c r="DQ405" s="319" t="s">
        <v>428</v>
      </c>
      <c r="DR405" s="319" t="s">
        <v>428</v>
      </c>
      <c r="DS405" s="319" t="s">
        <v>428</v>
      </c>
      <c r="DT405" s="319" t="s">
        <v>428</v>
      </c>
      <c r="DU405" s="319" t="s">
        <v>428</v>
      </c>
      <c r="DV405" s="319" t="s">
        <v>173</v>
      </c>
      <c r="DW405" s="319" t="s">
        <v>428</v>
      </c>
      <c r="DX405" s="319" t="s">
        <v>428</v>
      </c>
      <c r="DY405" s="319" t="s">
        <v>428</v>
      </c>
      <c r="DZ405" s="319" t="s">
        <v>428</v>
      </c>
      <c r="EA405" s="319" t="s">
        <v>428</v>
      </c>
      <c r="EB405" s="319" t="s">
        <v>428</v>
      </c>
      <c r="EC405" s="319" t="s">
        <v>428</v>
      </c>
      <c r="ED405" s="319" t="s">
        <v>428</v>
      </c>
      <c r="EE405" s="319" t="s">
        <v>190</v>
      </c>
      <c r="EF405" s="319" t="s">
        <v>190</v>
      </c>
      <c r="EG405" s="319" t="s">
        <v>190</v>
      </c>
      <c r="EH405" s="319" t="s">
        <v>190</v>
      </c>
      <c r="EI405" s="319" t="s">
        <v>190</v>
      </c>
      <c r="EJ405" s="319" t="s">
        <v>190</v>
      </c>
      <c r="EK405" s="319" t="s">
        <v>190</v>
      </c>
      <c r="EL405" s="319" t="s">
        <v>428</v>
      </c>
      <c r="EM405" s="319" t="s">
        <v>190</v>
      </c>
      <c r="EN405" s="319" t="s">
        <v>428</v>
      </c>
      <c r="EO405" s="319" t="s">
        <v>428</v>
      </c>
      <c r="EP405" s="319" t="s">
        <v>428</v>
      </c>
      <c r="EQ405" s="319" t="s">
        <v>428</v>
      </c>
      <c r="ER405" s="319" t="s">
        <v>428</v>
      </c>
      <c r="ES405" s="319" t="s">
        <v>428</v>
      </c>
      <c r="ET405" s="319" t="s">
        <v>428</v>
      </c>
      <c r="EU405" s="319" t="s">
        <v>428</v>
      </c>
      <c r="EV405" s="319" t="s">
        <v>428</v>
      </c>
      <c r="EW405" s="319" t="s">
        <v>428</v>
      </c>
      <c r="EX405" s="319" t="s">
        <v>428</v>
      </c>
      <c r="EY405" s="319" t="s">
        <v>428</v>
      </c>
      <c r="EZ405" s="319" t="s">
        <v>428</v>
      </c>
      <c r="FA405" s="319" t="s">
        <v>428</v>
      </c>
      <c r="FB405" s="319" t="s">
        <v>428</v>
      </c>
      <c r="FC405" s="319" t="s">
        <v>428</v>
      </c>
      <c r="FD405" s="319" t="s">
        <v>428</v>
      </c>
      <c r="FE405" s="319" t="s">
        <v>428</v>
      </c>
      <c r="FF405" s="319" t="s">
        <v>428</v>
      </c>
      <c r="FG405" s="319" t="s">
        <v>428</v>
      </c>
      <c r="FH405" s="319" t="s">
        <v>190</v>
      </c>
      <c r="FI405" s="319" t="s">
        <v>190</v>
      </c>
      <c r="FJ405" s="319" t="s">
        <v>190</v>
      </c>
      <c r="FK405" s="319" t="s">
        <v>190</v>
      </c>
      <c r="FL405" s="319" t="s">
        <v>190</v>
      </c>
      <c r="FM405" s="319" t="s">
        <v>190</v>
      </c>
      <c r="FN405" s="319" t="s">
        <v>190</v>
      </c>
      <c r="FO405" s="319" t="s">
        <v>428</v>
      </c>
      <c r="FP405" s="319" t="s">
        <v>190</v>
      </c>
      <c r="FQ405" s="319" t="s">
        <v>190</v>
      </c>
      <c r="FR405" s="319" t="s">
        <v>190</v>
      </c>
      <c r="FS405" s="319" t="s">
        <v>428</v>
      </c>
      <c r="FT405" s="319" t="s">
        <v>190</v>
      </c>
      <c r="FU405" s="319" t="s">
        <v>190</v>
      </c>
      <c r="FV405" s="319" t="s">
        <v>190</v>
      </c>
      <c r="FW405" s="319" t="s">
        <v>190</v>
      </c>
      <c r="FX405" s="319" t="s">
        <v>190</v>
      </c>
      <c r="FY405" s="319" t="s">
        <v>190</v>
      </c>
      <c r="FZ405" s="319" t="s">
        <v>190</v>
      </c>
      <c r="GA405" s="319" t="s">
        <v>190</v>
      </c>
      <c r="GB405" s="319" t="s">
        <v>190</v>
      </c>
      <c r="GC405" s="319" t="s">
        <v>190</v>
      </c>
      <c r="GD405" s="319" t="s">
        <v>190</v>
      </c>
      <c r="GE405" s="319" t="s">
        <v>190</v>
      </c>
      <c r="GF405" s="319" t="s">
        <v>190</v>
      </c>
      <c r="GG405" s="319" t="s">
        <v>190</v>
      </c>
      <c r="GH405" s="319" t="s">
        <v>190</v>
      </c>
      <c r="GI405" s="319" t="s">
        <v>190</v>
      </c>
      <c r="GJ405" s="319" t="s">
        <v>190</v>
      </c>
      <c r="GK405" s="319" t="s">
        <v>428</v>
      </c>
      <c r="GL405" s="319" t="s">
        <v>190</v>
      </c>
      <c r="GM405" s="319" t="s">
        <v>190</v>
      </c>
      <c r="GN405" s="319" t="s">
        <v>190</v>
      </c>
      <c r="GO405" s="319" t="s">
        <v>190</v>
      </c>
      <c r="GP405" s="319" t="s">
        <v>190</v>
      </c>
      <c r="GQ405" s="319" t="s">
        <v>428</v>
      </c>
      <c r="GR405" s="319" t="s">
        <v>190</v>
      </c>
      <c r="GS405" s="319" t="s">
        <v>190</v>
      </c>
      <c r="GT405" s="319" t="s">
        <v>190</v>
      </c>
      <c r="GU405" s="319" t="s">
        <v>428</v>
      </c>
      <c r="GV405" s="319" t="s">
        <v>190</v>
      </c>
      <c r="GW405" s="319" t="s">
        <v>190</v>
      </c>
      <c r="GX405" s="319" t="s">
        <v>190</v>
      </c>
      <c r="GY405" s="319" t="s">
        <v>190</v>
      </c>
      <c r="GZ405" s="319" t="s">
        <v>190</v>
      </c>
      <c r="HA405" s="319" t="s">
        <v>428</v>
      </c>
      <c r="HB405" s="319" t="s">
        <v>428</v>
      </c>
      <c r="HC405" s="319" t="s">
        <v>190</v>
      </c>
      <c r="HD405" s="319" t="s">
        <v>190</v>
      </c>
      <c r="HE405" s="319" t="s">
        <v>190</v>
      </c>
      <c r="HF405" s="319" t="s">
        <v>190</v>
      </c>
      <c r="HG405" s="319" t="s">
        <v>190</v>
      </c>
      <c r="HH405" s="319" t="s">
        <v>190</v>
      </c>
      <c r="HI405" s="319" t="s">
        <v>190</v>
      </c>
      <c r="HJ405" s="319" t="s">
        <v>190</v>
      </c>
      <c r="HK405" s="319" t="s">
        <v>190</v>
      </c>
      <c r="HL405" s="319" t="s">
        <v>190</v>
      </c>
      <c r="HM405" s="319" t="s">
        <v>428</v>
      </c>
      <c r="HN405" s="319" t="s">
        <v>428</v>
      </c>
      <c r="HO405" s="319" t="s">
        <v>428</v>
      </c>
      <c r="HP405" s="319" t="s">
        <v>190</v>
      </c>
      <c r="HQ405" s="319" t="s">
        <v>190</v>
      </c>
      <c r="HR405" s="319" t="s">
        <v>190</v>
      </c>
      <c r="HS405" s="319" t="s">
        <v>190</v>
      </c>
      <c r="HT405" s="319" t="s">
        <v>190</v>
      </c>
      <c r="HU405" s="319" t="s">
        <v>190</v>
      </c>
      <c r="HV405" s="319" t="s">
        <v>190</v>
      </c>
      <c r="HW405" s="319" t="s">
        <v>190</v>
      </c>
      <c r="HX405" s="319" t="s">
        <v>190</v>
      </c>
      <c r="HY405" s="319" t="s">
        <v>190</v>
      </c>
      <c r="HZ405" s="319" t="s">
        <v>190</v>
      </c>
      <c r="IA405" s="319" t="s">
        <v>190</v>
      </c>
      <c r="IB405" s="319" t="s">
        <v>190</v>
      </c>
      <c r="IC405" s="319" t="s">
        <v>190</v>
      </c>
      <c r="ID405" s="319" t="s">
        <v>190</v>
      </c>
      <c r="IE405" s="319" t="s">
        <v>190</v>
      </c>
      <c r="IF405" s="319" t="s">
        <v>190</v>
      </c>
      <c r="IG405" s="319" t="s">
        <v>190</v>
      </c>
      <c r="IH405" s="319" t="s">
        <v>190</v>
      </c>
      <c r="II405" s="319" t="s">
        <v>190</v>
      </c>
      <c r="IJ405" s="319">
        <v>10033917</v>
      </c>
      <c r="IK405" s="321">
        <v>42920</v>
      </c>
      <c r="IL405" s="321">
        <v>42922</v>
      </c>
      <c r="IM405" s="321">
        <v>43118</v>
      </c>
      <c r="IN405" s="319">
        <v>3</v>
      </c>
      <c r="IO405" s="319" t="s">
        <v>173</v>
      </c>
      <c r="IP405" s="319" t="s">
        <v>173</v>
      </c>
      <c r="IQ405" s="321" t="s">
        <v>173</v>
      </c>
      <c r="IR405" s="320" t="s">
        <v>173</v>
      </c>
      <c r="IS405" s="322" t="s">
        <v>173</v>
      </c>
      <c r="IT405" s="319" t="s">
        <v>173</v>
      </c>
    </row>
    <row r="406" spans="1:254" s="271" customFormat="1" x14ac:dyDescent="0.25">
      <c r="A406" s="318" t="str">
        <f>HYPERLINK("http://www.ofsted.gov.uk/inspection-reports/find-inspection-report/provider/ELS/133477 ","Ofsted School Webpage")</f>
        <v>Ofsted School Webpage</v>
      </c>
      <c r="B406" s="319">
        <v>133477</v>
      </c>
      <c r="C406" s="319">
        <v>9366581</v>
      </c>
      <c r="D406" s="319" t="s">
        <v>1766</v>
      </c>
      <c r="E406" s="319" t="s">
        <v>168</v>
      </c>
      <c r="F406" s="319" t="s">
        <v>81</v>
      </c>
      <c r="G406" s="319" t="s">
        <v>59</v>
      </c>
      <c r="H406" s="319" t="s">
        <v>59</v>
      </c>
      <c r="I406" s="319" t="s">
        <v>59</v>
      </c>
      <c r="J406" s="319" t="s">
        <v>424</v>
      </c>
      <c r="K406" s="319" t="s">
        <v>514</v>
      </c>
      <c r="L406" s="319" t="s">
        <v>514</v>
      </c>
      <c r="M406" s="319" t="s">
        <v>699</v>
      </c>
      <c r="N406" s="319" t="s">
        <v>3182</v>
      </c>
      <c r="O406" s="319" t="s">
        <v>1767</v>
      </c>
      <c r="P406" s="319">
        <v>23</v>
      </c>
      <c r="Q406" s="319" t="s">
        <v>2776</v>
      </c>
      <c r="R406" s="320">
        <v>10026023</v>
      </c>
      <c r="S406" s="321">
        <v>43158</v>
      </c>
      <c r="T406" s="321">
        <v>43160</v>
      </c>
      <c r="U406" s="321">
        <v>43185</v>
      </c>
      <c r="V406" s="319" t="s">
        <v>425</v>
      </c>
      <c r="W406" s="319" t="s">
        <v>2767</v>
      </c>
      <c r="X406" s="319">
        <v>2</v>
      </c>
      <c r="Y406" s="319" t="s">
        <v>173</v>
      </c>
      <c r="Z406" s="319" t="s">
        <v>173</v>
      </c>
      <c r="AA406" s="319" t="s">
        <v>173</v>
      </c>
      <c r="AB406" s="319">
        <v>2</v>
      </c>
      <c r="AC406" s="319" t="s">
        <v>169</v>
      </c>
      <c r="AD406" s="319" t="s">
        <v>173</v>
      </c>
      <c r="AE406" s="319">
        <v>2</v>
      </c>
      <c r="AF406" s="319" t="s">
        <v>427</v>
      </c>
      <c r="AG406" s="319" t="s">
        <v>171</v>
      </c>
      <c r="AH406" s="319" t="s">
        <v>190</v>
      </c>
      <c r="AI406" s="319" t="s">
        <v>190</v>
      </c>
      <c r="AJ406" s="319" t="s">
        <v>190</v>
      </c>
      <c r="AK406" s="319" t="s">
        <v>190</v>
      </c>
      <c r="AL406" s="319" t="s">
        <v>190</v>
      </c>
      <c r="AM406" s="319" t="s">
        <v>190</v>
      </c>
      <c r="AN406" s="319" t="s">
        <v>190</v>
      </c>
      <c r="AO406" s="319" t="s">
        <v>190</v>
      </c>
      <c r="AP406" s="319" t="s">
        <v>190</v>
      </c>
      <c r="AQ406" s="319" t="s">
        <v>190</v>
      </c>
      <c r="AR406" s="319" t="s">
        <v>190</v>
      </c>
      <c r="AS406" s="319" t="s">
        <v>190</v>
      </c>
      <c r="AT406" s="319" t="s">
        <v>190</v>
      </c>
      <c r="AU406" s="319" t="s">
        <v>190</v>
      </c>
      <c r="AV406" s="319" t="s">
        <v>190</v>
      </c>
      <c r="AW406" s="319" t="s">
        <v>190</v>
      </c>
      <c r="AX406" s="319" t="s">
        <v>428</v>
      </c>
      <c r="AY406" s="319" t="s">
        <v>190</v>
      </c>
      <c r="AZ406" s="319" t="s">
        <v>190</v>
      </c>
      <c r="BA406" s="319" t="s">
        <v>190</v>
      </c>
      <c r="BB406" s="319" t="s">
        <v>190</v>
      </c>
      <c r="BC406" s="319" t="s">
        <v>190</v>
      </c>
      <c r="BD406" s="319" t="s">
        <v>190</v>
      </c>
      <c r="BE406" s="319" t="s">
        <v>190</v>
      </c>
      <c r="BF406" s="319" t="s">
        <v>428</v>
      </c>
      <c r="BG406" s="319" t="s">
        <v>190</v>
      </c>
      <c r="BH406" s="319" t="s">
        <v>190</v>
      </c>
      <c r="BI406" s="319" t="s">
        <v>190</v>
      </c>
      <c r="BJ406" s="319" t="s">
        <v>190</v>
      </c>
      <c r="BK406" s="319" t="s">
        <v>190</v>
      </c>
      <c r="BL406" s="319" t="s">
        <v>190</v>
      </c>
      <c r="BM406" s="319" t="s">
        <v>190</v>
      </c>
      <c r="BN406" s="319" t="s">
        <v>190</v>
      </c>
      <c r="BO406" s="319" t="s">
        <v>190</v>
      </c>
      <c r="BP406" s="319" t="s">
        <v>190</v>
      </c>
      <c r="BQ406" s="319" t="s">
        <v>190</v>
      </c>
      <c r="BR406" s="319" t="s">
        <v>190</v>
      </c>
      <c r="BS406" s="319" t="s">
        <v>190</v>
      </c>
      <c r="BT406" s="319" t="s">
        <v>190</v>
      </c>
      <c r="BU406" s="319" t="s">
        <v>190</v>
      </c>
      <c r="BV406" s="319" t="s">
        <v>190</v>
      </c>
      <c r="BW406" s="319" t="s">
        <v>190</v>
      </c>
      <c r="BX406" s="319" t="s">
        <v>190</v>
      </c>
      <c r="BY406" s="319" t="s">
        <v>190</v>
      </c>
      <c r="BZ406" s="319" t="s">
        <v>190</v>
      </c>
      <c r="CA406" s="319" t="s">
        <v>190</v>
      </c>
      <c r="CB406" s="319" t="s">
        <v>190</v>
      </c>
      <c r="CC406" s="319" t="s">
        <v>190</v>
      </c>
      <c r="CD406" s="319" t="s">
        <v>190</v>
      </c>
      <c r="CE406" s="319" t="s">
        <v>190</v>
      </c>
      <c r="CF406" s="319" t="s">
        <v>190</v>
      </c>
      <c r="CG406" s="319" t="s">
        <v>190</v>
      </c>
      <c r="CH406" s="319" t="s">
        <v>190</v>
      </c>
      <c r="CI406" s="319" t="s">
        <v>190</v>
      </c>
      <c r="CJ406" s="319" t="s">
        <v>190</v>
      </c>
      <c r="CK406" s="319" t="s">
        <v>190</v>
      </c>
      <c r="CL406" s="319" t="s">
        <v>190</v>
      </c>
      <c r="CM406" s="319" t="s">
        <v>190</v>
      </c>
      <c r="CN406" s="319" t="s">
        <v>428</v>
      </c>
      <c r="CO406" s="319" t="s">
        <v>428</v>
      </c>
      <c r="CP406" s="319" t="s">
        <v>428</v>
      </c>
      <c r="CQ406" s="319" t="s">
        <v>190</v>
      </c>
      <c r="CR406" s="319" t="s">
        <v>190</v>
      </c>
      <c r="CS406" s="319" t="s">
        <v>190</v>
      </c>
      <c r="CT406" s="319" t="s">
        <v>190</v>
      </c>
      <c r="CU406" s="319" t="s">
        <v>190</v>
      </c>
      <c r="CV406" s="319" t="s">
        <v>190</v>
      </c>
      <c r="CW406" s="319" t="s">
        <v>190</v>
      </c>
      <c r="CX406" s="319" t="s">
        <v>190</v>
      </c>
      <c r="CY406" s="319" t="s">
        <v>190</v>
      </c>
      <c r="CZ406" s="319" t="s">
        <v>190</v>
      </c>
      <c r="DA406" s="319" t="s">
        <v>190</v>
      </c>
      <c r="DB406" s="319" t="s">
        <v>190</v>
      </c>
      <c r="DC406" s="319" t="s">
        <v>190</v>
      </c>
      <c r="DD406" s="319" t="s">
        <v>190</v>
      </c>
      <c r="DE406" s="319" t="s">
        <v>190</v>
      </c>
      <c r="DF406" s="319" t="s">
        <v>190</v>
      </c>
      <c r="DG406" s="319" t="s">
        <v>190</v>
      </c>
      <c r="DH406" s="319" t="s">
        <v>190</v>
      </c>
      <c r="DI406" s="319" t="s">
        <v>190</v>
      </c>
      <c r="DJ406" s="319" t="s">
        <v>190</v>
      </c>
      <c r="DK406" s="319" t="s">
        <v>190</v>
      </c>
      <c r="DL406" s="319" t="s">
        <v>190</v>
      </c>
      <c r="DM406" s="319" t="s">
        <v>190</v>
      </c>
      <c r="DN406" s="319" t="s">
        <v>428</v>
      </c>
      <c r="DO406" s="319" t="s">
        <v>190</v>
      </c>
      <c r="DP406" s="319" t="s">
        <v>190</v>
      </c>
      <c r="DQ406" s="319" t="s">
        <v>190</v>
      </c>
      <c r="DR406" s="319" t="s">
        <v>190</v>
      </c>
      <c r="DS406" s="319" t="s">
        <v>190</v>
      </c>
      <c r="DT406" s="319" t="s">
        <v>190</v>
      </c>
      <c r="DU406" s="319" t="s">
        <v>190</v>
      </c>
      <c r="DV406" s="319" t="s">
        <v>173</v>
      </c>
      <c r="DW406" s="319" t="s">
        <v>190</v>
      </c>
      <c r="DX406" s="319" t="s">
        <v>190</v>
      </c>
      <c r="DY406" s="319" t="s">
        <v>190</v>
      </c>
      <c r="DZ406" s="319" t="s">
        <v>190</v>
      </c>
      <c r="EA406" s="319" t="s">
        <v>190</v>
      </c>
      <c r="EB406" s="319" t="s">
        <v>190</v>
      </c>
      <c r="EC406" s="319" t="s">
        <v>428</v>
      </c>
      <c r="ED406" s="319" t="s">
        <v>190</v>
      </c>
      <c r="EE406" s="319" t="s">
        <v>190</v>
      </c>
      <c r="EF406" s="319" t="s">
        <v>190</v>
      </c>
      <c r="EG406" s="319" t="s">
        <v>190</v>
      </c>
      <c r="EH406" s="319" t="s">
        <v>190</v>
      </c>
      <c r="EI406" s="319" t="s">
        <v>190</v>
      </c>
      <c r="EJ406" s="319" t="s">
        <v>190</v>
      </c>
      <c r="EK406" s="319" t="s">
        <v>190</v>
      </c>
      <c r="EL406" s="319" t="s">
        <v>190</v>
      </c>
      <c r="EM406" s="319" t="s">
        <v>190</v>
      </c>
      <c r="EN406" s="319" t="s">
        <v>190</v>
      </c>
      <c r="EO406" s="319" t="s">
        <v>190</v>
      </c>
      <c r="EP406" s="319" t="s">
        <v>190</v>
      </c>
      <c r="EQ406" s="319" t="s">
        <v>190</v>
      </c>
      <c r="ER406" s="319" t="s">
        <v>190</v>
      </c>
      <c r="ES406" s="319" t="s">
        <v>190</v>
      </c>
      <c r="ET406" s="319" t="s">
        <v>190</v>
      </c>
      <c r="EU406" s="319" t="s">
        <v>190</v>
      </c>
      <c r="EV406" s="319" t="s">
        <v>190</v>
      </c>
      <c r="EW406" s="319" t="s">
        <v>190</v>
      </c>
      <c r="EX406" s="319" t="s">
        <v>190</v>
      </c>
      <c r="EY406" s="319" t="s">
        <v>190</v>
      </c>
      <c r="EZ406" s="319" t="s">
        <v>190</v>
      </c>
      <c r="FA406" s="319" t="s">
        <v>190</v>
      </c>
      <c r="FB406" s="319" t="s">
        <v>190</v>
      </c>
      <c r="FC406" s="319" t="s">
        <v>190</v>
      </c>
      <c r="FD406" s="319" t="s">
        <v>190</v>
      </c>
      <c r="FE406" s="319" t="s">
        <v>190</v>
      </c>
      <c r="FF406" s="319" t="s">
        <v>190</v>
      </c>
      <c r="FG406" s="319" t="s">
        <v>190</v>
      </c>
      <c r="FH406" s="319" t="s">
        <v>190</v>
      </c>
      <c r="FI406" s="319" t="s">
        <v>190</v>
      </c>
      <c r="FJ406" s="319" t="s">
        <v>190</v>
      </c>
      <c r="FK406" s="319" t="s">
        <v>190</v>
      </c>
      <c r="FL406" s="319" t="s">
        <v>190</v>
      </c>
      <c r="FM406" s="319" t="s">
        <v>190</v>
      </c>
      <c r="FN406" s="319" t="s">
        <v>190</v>
      </c>
      <c r="FO406" s="319" t="s">
        <v>190</v>
      </c>
      <c r="FP406" s="319" t="s">
        <v>190</v>
      </c>
      <c r="FQ406" s="319" t="s">
        <v>190</v>
      </c>
      <c r="FR406" s="319" t="s">
        <v>190</v>
      </c>
      <c r="FS406" s="319" t="s">
        <v>428</v>
      </c>
      <c r="FT406" s="319" t="s">
        <v>190</v>
      </c>
      <c r="FU406" s="319" t="s">
        <v>190</v>
      </c>
      <c r="FV406" s="319" t="s">
        <v>190</v>
      </c>
      <c r="FW406" s="319" t="s">
        <v>190</v>
      </c>
      <c r="FX406" s="319" t="s">
        <v>190</v>
      </c>
      <c r="FY406" s="319" t="s">
        <v>190</v>
      </c>
      <c r="FZ406" s="319" t="s">
        <v>190</v>
      </c>
      <c r="GA406" s="319" t="s">
        <v>190</v>
      </c>
      <c r="GB406" s="319" t="s">
        <v>190</v>
      </c>
      <c r="GC406" s="319" t="s">
        <v>190</v>
      </c>
      <c r="GD406" s="319" t="s">
        <v>190</v>
      </c>
      <c r="GE406" s="319" t="s">
        <v>190</v>
      </c>
      <c r="GF406" s="319" t="s">
        <v>190</v>
      </c>
      <c r="GG406" s="319" t="s">
        <v>190</v>
      </c>
      <c r="GH406" s="319" t="s">
        <v>190</v>
      </c>
      <c r="GI406" s="319" t="s">
        <v>190</v>
      </c>
      <c r="GJ406" s="319" t="s">
        <v>190</v>
      </c>
      <c r="GK406" s="319" t="s">
        <v>428</v>
      </c>
      <c r="GL406" s="319" t="s">
        <v>190</v>
      </c>
      <c r="GM406" s="319" t="s">
        <v>190</v>
      </c>
      <c r="GN406" s="319" t="s">
        <v>190</v>
      </c>
      <c r="GO406" s="319" t="s">
        <v>190</v>
      </c>
      <c r="GP406" s="319" t="s">
        <v>190</v>
      </c>
      <c r="GQ406" s="319" t="s">
        <v>190</v>
      </c>
      <c r="GR406" s="319" t="s">
        <v>190</v>
      </c>
      <c r="GS406" s="319" t="s">
        <v>190</v>
      </c>
      <c r="GT406" s="319" t="s">
        <v>190</v>
      </c>
      <c r="GU406" s="319" t="s">
        <v>190</v>
      </c>
      <c r="GV406" s="319" t="s">
        <v>190</v>
      </c>
      <c r="GW406" s="319" t="s">
        <v>190</v>
      </c>
      <c r="GX406" s="319" t="s">
        <v>190</v>
      </c>
      <c r="GY406" s="319" t="s">
        <v>190</v>
      </c>
      <c r="GZ406" s="319" t="s">
        <v>190</v>
      </c>
      <c r="HA406" s="319" t="s">
        <v>428</v>
      </c>
      <c r="HB406" s="319" t="s">
        <v>428</v>
      </c>
      <c r="HC406" s="319" t="s">
        <v>190</v>
      </c>
      <c r="HD406" s="319" t="s">
        <v>190</v>
      </c>
      <c r="HE406" s="319" t="s">
        <v>190</v>
      </c>
      <c r="HF406" s="319" t="s">
        <v>190</v>
      </c>
      <c r="HG406" s="319" t="s">
        <v>190</v>
      </c>
      <c r="HH406" s="319" t="s">
        <v>190</v>
      </c>
      <c r="HI406" s="319" t="s">
        <v>190</v>
      </c>
      <c r="HJ406" s="319" t="s">
        <v>190</v>
      </c>
      <c r="HK406" s="319" t="s">
        <v>190</v>
      </c>
      <c r="HL406" s="319" t="s">
        <v>190</v>
      </c>
      <c r="HM406" s="319" t="s">
        <v>428</v>
      </c>
      <c r="HN406" s="319" t="s">
        <v>428</v>
      </c>
      <c r="HO406" s="319" t="s">
        <v>428</v>
      </c>
      <c r="HP406" s="319" t="s">
        <v>190</v>
      </c>
      <c r="HQ406" s="319" t="s">
        <v>190</v>
      </c>
      <c r="HR406" s="319" t="s">
        <v>190</v>
      </c>
      <c r="HS406" s="319" t="s">
        <v>190</v>
      </c>
      <c r="HT406" s="319" t="s">
        <v>190</v>
      </c>
      <c r="HU406" s="319" t="s">
        <v>190</v>
      </c>
      <c r="HV406" s="319" t="s">
        <v>190</v>
      </c>
      <c r="HW406" s="319" t="s">
        <v>190</v>
      </c>
      <c r="HX406" s="319" t="s">
        <v>190</v>
      </c>
      <c r="HY406" s="319" t="s">
        <v>190</v>
      </c>
      <c r="HZ406" s="319" t="s">
        <v>190</v>
      </c>
      <c r="IA406" s="319" t="s">
        <v>190</v>
      </c>
      <c r="IB406" s="319" t="s">
        <v>190</v>
      </c>
      <c r="IC406" s="319" t="s">
        <v>190</v>
      </c>
      <c r="ID406" s="319" t="s">
        <v>190</v>
      </c>
      <c r="IE406" s="319" t="s">
        <v>190</v>
      </c>
      <c r="IF406" s="319" t="s">
        <v>190</v>
      </c>
      <c r="IG406" s="319" t="s">
        <v>190</v>
      </c>
      <c r="IH406" s="319" t="s">
        <v>190</v>
      </c>
      <c r="II406" s="319" t="s">
        <v>190</v>
      </c>
      <c r="IJ406" s="319" t="s">
        <v>3183</v>
      </c>
      <c r="IK406" s="321">
        <v>41590</v>
      </c>
      <c r="IL406" s="321">
        <v>41592</v>
      </c>
      <c r="IM406" s="321">
        <v>41612</v>
      </c>
      <c r="IN406" s="319">
        <v>2</v>
      </c>
      <c r="IO406" s="319" t="s">
        <v>173</v>
      </c>
      <c r="IP406" s="319" t="s">
        <v>173</v>
      </c>
      <c r="IQ406" s="319" t="s">
        <v>173</v>
      </c>
      <c r="IR406" s="320" t="s">
        <v>173</v>
      </c>
      <c r="IS406" s="320" t="s">
        <v>173</v>
      </c>
      <c r="IT406" s="319" t="s">
        <v>173</v>
      </c>
    </row>
    <row r="407" spans="1:254" s="271" customFormat="1" x14ac:dyDescent="0.25">
      <c r="A407" s="318" t="str">
        <f>HYPERLINK("http://www.ofsted.gov.uk/inspection-reports/find-inspection-report/provider/ELS/133478 ","Ofsted School Webpage")</f>
        <v>Ofsted School Webpage</v>
      </c>
      <c r="B407" s="319">
        <v>133478</v>
      </c>
      <c r="C407" s="319">
        <v>8936025</v>
      </c>
      <c r="D407" s="319" t="s">
        <v>1133</v>
      </c>
      <c r="E407" s="319" t="s">
        <v>168</v>
      </c>
      <c r="F407" s="319" t="s">
        <v>81</v>
      </c>
      <c r="G407" s="319" t="s">
        <v>81</v>
      </c>
      <c r="H407" s="319" t="s">
        <v>81</v>
      </c>
      <c r="I407" s="319" t="s">
        <v>78</v>
      </c>
      <c r="J407" s="319" t="s">
        <v>424</v>
      </c>
      <c r="K407" s="319" t="s">
        <v>437</v>
      </c>
      <c r="L407" s="319" t="s">
        <v>437</v>
      </c>
      <c r="M407" s="319" t="s">
        <v>587</v>
      </c>
      <c r="N407" s="319" t="s">
        <v>3027</v>
      </c>
      <c r="O407" s="319" t="s">
        <v>1134</v>
      </c>
      <c r="P407" s="319">
        <v>43</v>
      </c>
      <c r="Q407" s="319" t="s">
        <v>429</v>
      </c>
      <c r="R407" s="320">
        <v>10047131</v>
      </c>
      <c r="S407" s="321">
        <v>43256</v>
      </c>
      <c r="T407" s="321">
        <v>43258</v>
      </c>
      <c r="U407" s="321">
        <v>43304</v>
      </c>
      <c r="V407" s="319" t="s">
        <v>425</v>
      </c>
      <c r="W407" s="319" t="s">
        <v>2767</v>
      </c>
      <c r="X407" s="319">
        <v>2</v>
      </c>
      <c r="Y407" s="319" t="s">
        <v>173</v>
      </c>
      <c r="Z407" s="319" t="s">
        <v>173</v>
      </c>
      <c r="AA407" s="319" t="s">
        <v>173</v>
      </c>
      <c r="AB407" s="319">
        <v>2</v>
      </c>
      <c r="AC407" s="319" t="s">
        <v>169</v>
      </c>
      <c r="AD407" s="319" t="s">
        <v>173</v>
      </c>
      <c r="AE407" s="319">
        <v>2</v>
      </c>
      <c r="AF407" s="319" t="s">
        <v>427</v>
      </c>
      <c r="AG407" s="319" t="s">
        <v>171</v>
      </c>
      <c r="AH407" s="319" t="s">
        <v>190</v>
      </c>
      <c r="AI407" s="319" t="s">
        <v>190</v>
      </c>
      <c r="AJ407" s="319" t="s">
        <v>190</v>
      </c>
      <c r="AK407" s="319" t="s">
        <v>190</v>
      </c>
      <c r="AL407" s="319" t="s">
        <v>190</v>
      </c>
      <c r="AM407" s="319" t="s">
        <v>190</v>
      </c>
      <c r="AN407" s="319" t="s">
        <v>190</v>
      </c>
      <c r="AO407" s="319" t="s">
        <v>190</v>
      </c>
      <c r="AP407" s="319" t="s">
        <v>190</v>
      </c>
      <c r="AQ407" s="319" t="s">
        <v>190</v>
      </c>
      <c r="AR407" s="319" t="s">
        <v>190</v>
      </c>
      <c r="AS407" s="319" t="s">
        <v>190</v>
      </c>
      <c r="AT407" s="319" t="s">
        <v>190</v>
      </c>
      <c r="AU407" s="319" t="s">
        <v>190</v>
      </c>
      <c r="AV407" s="319" t="s">
        <v>190</v>
      </c>
      <c r="AW407" s="319" t="s">
        <v>190</v>
      </c>
      <c r="AX407" s="319" t="s">
        <v>428</v>
      </c>
      <c r="AY407" s="319" t="s">
        <v>190</v>
      </c>
      <c r="AZ407" s="319" t="s">
        <v>190</v>
      </c>
      <c r="BA407" s="319" t="s">
        <v>190</v>
      </c>
      <c r="BB407" s="319" t="s">
        <v>190</v>
      </c>
      <c r="BC407" s="319" t="s">
        <v>190</v>
      </c>
      <c r="BD407" s="319" t="s">
        <v>190</v>
      </c>
      <c r="BE407" s="319" t="s">
        <v>190</v>
      </c>
      <c r="BF407" s="319" t="s">
        <v>428</v>
      </c>
      <c r="BG407" s="319" t="s">
        <v>190</v>
      </c>
      <c r="BH407" s="319" t="s">
        <v>190</v>
      </c>
      <c r="BI407" s="319" t="s">
        <v>190</v>
      </c>
      <c r="BJ407" s="319" t="s">
        <v>190</v>
      </c>
      <c r="BK407" s="319" t="s">
        <v>190</v>
      </c>
      <c r="BL407" s="319" t="s">
        <v>190</v>
      </c>
      <c r="BM407" s="319" t="s">
        <v>190</v>
      </c>
      <c r="BN407" s="319" t="s">
        <v>190</v>
      </c>
      <c r="BO407" s="319" t="s">
        <v>190</v>
      </c>
      <c r="BP407" s="319" t="s">
        <v>190</v>
      </c>
      <c r="BQ407" s="319" t="s">
        <v>190</v>
      </c>
      <c r="BR407" s="319" t="s">
        <v>190</v>
      </c>
      <c r="BS407" s="319" t="s">
        <v>190</v>
      </c>
      <c r="BT407" s="319" t="s">
        <v>190</v>
      </c>
      <c r="BU407" s="319" t="s">
        <v>190</v>
      </c>
      <c r="BV407" s="319" t="s">
        <v>190</v>
      </c>
      <c r="BW407" s="319" t="s">
        <v>190</v>
      </c>
      <c r="BX407" s="319" t="s">
        <v>190</v>
      </c>
      <c r="BY407" s="319" t="s">
        <v>190</v>
      </c>
      <c r="BZ407" s="319" t="s">
        <v>190</v>
      </c>
      <c r="CA407" s="319" t="s">
        <v>190</v>
      </c>
      <c r="CB407" s="319" t="s">
        <v>190</v>
      </c>
      <c r="CC407" s="319" t="s">
        <v>190</v>
      </c>
      <c r="CD407" s="319" t="s">
        <v>190</v>
      </c>
      <c r="CE407" s="319" t="s">
        <v>190</v>
      </c>
      <c r="CF407" s="319" t="s">
        <v>190</v>
      </c>
      <c r="CG407" s="319" t="s">
        <v>190</v>
      </c>
      <c r="CH407" s="319" t="s">
        <v>190</v>
      </c>
      <c r="CI407" s="319" t="s">
        <v>190</v>
      </c>
      <c r="CJ407" s="319" t="s">
        <v>190</v>
      </c>
      <c r="CK407" s="319" t="s">
        <v>190</v>
      </c>
      <c r="CL407" s="319" t="s">
        <v>190</v>
      </c>
      <c r="CM407" s="319" t="s">
        <v>190</v>
      </c>
      <c r="CN407" s="319" t="s">
        <v>428</v>
      </c>
      <c r="CO407" s="319" t="s">
        <v>428</v>
      </c>
      <c r="CP407" s="319" t="s">
        <v>428</v>
      </c>
      <c r="CQ407" s="319" t="s">
        <v>190</v>
      </c>
      <c r="CR407" s="319" t="s">
        <v>190</v>
      </c>
      <c r="CS407" s="319" t="s">
        <v>190</v>
      </c>
      <c r="CT407" s="319" t="s">
        <v>190</v>
      </c>
      <c r="CU407" s="319" t="s">
        <v>190</v>
      </c>
      <c r="CV407" s="319" t="s">
        <v>190</v>
      </c>
      <c r="CW407" s="319" t="s">
        <v>190</v>
      </c>
      <c r="CX407" s="319" t="s">
        <v>190</v>
      </c>
      <c r="CY407" s="319" t="s">
        <v>190</v>
      </c>
      <c r="CZ407" s="319" t="s">
        <v>190</v>
      </c>
      <c r="DA407" s="319" t="s">
        <v>190</v>
      </c>
      <c r="DB407" s="319" t="s">
        <v>190</v>
      </c>
      <c r="DC407" s="319" t="s">
        <v>190</v>
      </c>
      <c r="DD407" s="319" t="s">
        <v>190</v>
      </c>
      <c r="DE407" s="319" t="s">
        <v>190</v>
      </c>
      <c r="DF407" s="319" t="s">
        <v>190</v>
      </c>
      <c r="DG407" s="319" t="s">
        <v>190</v>
      </c>
      <c r="DH407" s="319" t="s">
        <v>190</v>
      </c>
      <c r="DI407" s="319" t="s">
        <v>190</v>
      </c>
      <c r="DJ407" s="319" t="s">
        <v>190</v>
      </c>
      <c r="DK407" s="319" t="s">
        <v>190</v>
      </c>
      <c r="DL407" s="319" t="s">
        <v>190</v>
      </c>
      <c r="DM407" s="319" t="s">
        <v>190</v>
      </c>
      <c r="DN407" s="319" t="s">
        <v>428</v>
      </c>
      <c r="DO407" s="319" t="s">
        <v>190</v>
      </c>
      <c r="DP407" s="319" t="s">
        <v>190</v>
      </c>
      <c r="DQ407" s="319" t="s">
        <v>190</v>
      </c>
      <c r="DR407" s="319" t="s">
        <v>190</v>
      </c>
      <c r="DS407" s="319" t="s">
        <v>190</v>
      </c>
      <c r="DT407" s="319" t="s">
        <v>190</v>
      </c>
      <c r="DU407" s="319" t="s">
        <v>190</v>
      </c>
      <c r="DV407" s="319" t="s">
        <v>173</v>
      </c>
      <c r="DW407" s="319" t="s">
        <v>190</v>
      </c>
      <c r="DX407" s="319" t="s">
        <v>190</v>
      </c>
      <c r="DY407" s="319" t="s">
        <v>190</v>
      </c>
      <c r="DZ407" s="319" t="s">
        <v>190</v>
      </c>
      <c r="EA407" s="319" t="s">
        <v>190</v>
      </c>
      <c r="EB407" s="319" t="s">
        <v>190</v>
      </c>
      <c r="EC407" s="319" t="s">
        <v>428</v>
      </c>
      <c r="ED407" s="319" t="s">
        <v>190</v>
      </c>
      <c r="EE407" s="319" t="s">
        <v>190</v>
      </c>
      <c r="EF407" s="319" t="s">
        <v>190</v>
      </c>
      <c r="EG407" s="319" t="s">
        <v>190</v>
      </c>
      <c r="EH407" s="319" t="s">
        <v>190</v>
      </c>
      <c r="EI407" s="319" t="s">
        <v>190</v>
      </c>
      <c r="EJ407" s="319" t="s">
        <v>190</v>
      </c>
      <c r="EK407" s="319" t="s">
        <v>190</v>
      </c>
      <c r="EL407" s="319" t="s">
        <v>190</v>
      </c>
      <c r="EM407" s="319" t="s">
        <v>190</v>
      </c>
      <c r="EN407" s="319" t="s">
        <v>190</v>
      </c>
      <c r="EO407" s="319" t="s">
        <v>190</v>
      </c>
      <c r="EP407" s="319" t="s">
        <v>190</v>
      </c>
      <c r="EQ407" s="319" t="s">
        <v>190</v>
      </c>
      <c r="ER407" s="319" t="s">
        <v>190</v>
      </c>
      <c r="ES407" s="319" t="s">
        <v>190</v>
      </c>
      <c r="ET407" s="319" t="s">
        <v>190</v>
      </c>
      <c r="EU407" s="319" t="s">
        <v>190</v>
      </c>
      <c r="EV407" s="319" t="s">
        <v>190</v>
      </c>
      <c r="EW407" s="319" t="s">
        <v>190</v>
      </c>
      <c r="EX407" s="319" t="s">
        <v>190</v>
      </c>
      <c r="EY407" s="319" t="s">
        <v>190</v>
      </c>
      <c r="EZ407" s="319" t="s">
        <v>190</v>
      </c>
      <c r="FA407" s="319" t="s">
        <v>190</v>
      </c>
      <c r="FB407" s="319" t="s">
        <v>190</v>
      </c>
      <c r="FC407" s="319" t="s">
        <v>190</v>
      </c>
      <c r="FD407" s="319" t="s">
        <v>190</v>
      </c>
      <c r="FE407" s="319" t="s">
        <v>190</v>
      </c>
      <c r="FF407" s="319" t="s">
        <v>190</v>
      </c>
      <c r="FG407" s="319" t="s">
        <v>190</v>
      </c>
      <c r="FH407" s="319" t="s">
        <v>190</v>
      </c>
      <c r="FI407" s="319" t="s">
        <v>190</v>
      </c>
      <c r="FJ407" s="319" t="s">
        <v>190</v>
      </c>
      <c r="FK407" s="319" t="s">
        <v>190</v>
      </c>
      <c r="FL407" s="319" t="s">
        <v>190</v>
      </c>
      <c r="FM407" s="319" t="s">
        <v>190</v>
      </c>
      <c r="FN407" s="319" t="s">
        <v>190</v>
      </c>
      <c r="FO407" s="319" t="s">
        <v>190</v>
      </c>
      <c r="FP407" s="319" t="s">
        <v>190</v>
      </c>
      <c r="FQ407" s="319" t="s">
        <v>190</v>
      </c>
      <c r="FR407" s="319" t="s">
        <v>190</v>
      </c>
      <c r="FS407" s="319" t="s">
        <v>428</v>
      </c>
      <c r="FT407" s="319" t="s">
        <v>190</v>
      </c>
      <c r="FU407" s="319" t="s">
        <v>190</v>
      </c>
      <c r="FV407" s="319" t="s">
        <v>190</v>
      </c>
      <c r="FW407" s="319" t="s">
        <v>190</v>
      </c>
      <c r="FX407" s="319" t="s">
        <v>190</v>
      </c>
      <c r="FY407" s="319" t="s">
        <v>190</v>
      </c>
      <c r="FZ407" s="319" t="s">
        <v>190</v>
      </c>
      <c r="GA407" s="319" t="s">
        <v>190</v>
      </c>
      <c r="GB407" s="319" t="s">
        <v>190</v>
      </c>
      <c r="GC407" s="319" t="s">
        <v>190</v>
      </c>
      <c r="GD407" s="319" t="s">
        <v>190</v>
      </c>
      <c r="GE407" s="319" t="s">
        <v>190</v>
      </c>
      <c r="GF407" s="319" t="s">
        <v>190</v>
      </c>
      <c r="GG407" s="319" t="s">
        <v>190</v>
      </c>
      <c r="GH407" s="319" t="s">
        <v>190</v>
      </c>
      <c r="GI407" s="319" t="s">
        <v>190</v>
      </c>
      <c r="GJ407" s="319" t="s">
        <v>190</v>
      </c>
      <c r="GK407" s="319" t="s">
        <v>428</v>
      </c>
      <c r="GL407" s="319" t="s">
        <v>190</v>
      </c>
      <c r="GM407" s="319" t="s">
        <v>190</v>
      </c>
      <c r="GN407" s="319" t="s">
        <v>190</v>
      </c>
      <c r="GO407" s="319" t="s">
        <v>190</v>
      </c>
      <c r="GP407" s="319" t="s">
        <v>190</v>
      </c>
      <c r="GQ407" s="319" t="s">
        <v>190</v>
      </c>
      <c r="GR407" s="319" t="s">
        <v>190</v>
      </c>
      <c r="GS407" s="319" t="s">
        <v>190</v>
      </c>
      <c r="GT407" s="319" t="s">
        <v>190</v>
      </c>
      <c r="GU407" s="319" t="s">
        <v>190</v>
      </c>
      <c r="GV407" s="319" t="s">
        <v>190</v>
      </c>
      <c r="GW407" s="319" t="s">
        <v>190</v>
      </c>
      <c r="GX407" s="319" t="s">
        <v>190</v>
      </c>
      <c r="GY407" s="319" t="s">
        <v>190</v>
      </c>
      <c r="GZ407" s="319" t="s">
        <v>190</v>
      </c>
      <c r="HA407" s="319" t="s">
        <v>190</v>
      </c>
      <c r="HB407" s="319" t="s">
        <v>190</v>
      </c>
      <c r="HC407" s="319" t="s">
        <v>190</v>
      </c>
      <c r="HD407" s="319" t="s">
        <v>190</v>
      </c>
      <c r="HE407" s="319" t="s">
        <v>190</v>
      </c>
      <c r="HF407" s="319" t="s">
        <v>190</v>
      </c>
      <c r="HG407" s="319" t="s">
        <v>190</v>
      </c>
      <c r="HH407" s="319" t="s">
        <v>190</v>
      </c>
      <c r="HI407" s="319" t="s">
        <v>190</v>
      </c>
      <c r="HJ407" s="319" t="s">
        <v>190</v>
      </c>
      <c r="HK407" s="319" t="s">
        <v>190</v>
      </c>
      <c r="HL407" s="319" t="s">
        <v>428</v>
      </c>
      <c r="HM407" s="319" t="s">
        <v>428</v>
      </c>
      <c r="HN407" s="319" t="s">
        <v>428</v>
      </c>
      <c r="HO407" s="319" t="s">
        <v>428</v>
      </c>
      <c r="HP407" s="319" t="s">
        <v>190</v>
      </c>
      <c r="HQ407" s="319" t="s">
        <v>190</v>
      </c>
      <c r="HR407" s="319" t="s">
        <v>190</v>
      </c>
      <c r="HS407" s="319" t="s">
        <v>190</v>
      </c>
      <c r="HT407" s="319" t="s">
        <v>190</v>
      </c>
      <c r="HU407" s="319" t="s">
        <v>190</v>
      </c>
      <c r="HV407" s="319" t="s">
        <v>190</v>
      </c>
      <c r="HW407" s="319" t="s">
        <v>190</v>
      </c>
      <c r="HX407" s="319" t="s">
        <v>190</v>
      </c>
      <c r="HY407" s="319" t="s">
        <v>190</v>
      </c>
      <c r="HZ407" s="319" t="s">
        <v>190</v>
      </c>
      <c r="IA407" s="319" t="s">
        <v>190</v>
      </c>
      <c r="IB407" s="319" t="s">
        <v>190</v>
      </c>
      <c r="IC407" s="319" t="s">
        <v>190</v>
      </c>
      <c r="ID407" s="319" t="s">
        <v>190</v>
      </c>
      <c r="IE407" s="319" t="s">
        <v>190</v>
      </c>
      <c r="IF407" s="319" t="s">
        <v>190</v>
      </c>
      <c r="IG407" s="319" t="s">
        <v>190</v>
      </c>
      <c r="IH407" s="319" t="s">
        <v>190</v>
      </c>
      <c r="II407" s="319" t="s">
        <v>190</v>
      </c>
      <c r="IJ407" s="319" t="s">
        <v>3184</v>
      </c>
      <c r="IK407" s="321">
        <v>42185</v>
      </c>
      <c r="IL407" s="321">
        <v>42187</v>
      </c>
      <c r="IM407" s="321">
        <v>42212</v>
      </c>
      <c r="IN407" s="319">
        <v>2</v>
      </c>
      <c r="IO407" s="319" t="s">
        <v>173</v>
      </c>
      <c r="IP407" s="319" t="s">
        <v>173</v>
      </c>
      <c r="IQ407" s="319" t="s">
        <v>173</v>
      </c>
      <c r="IR407" s="320" t="s">
        <v>173</v>
      </c>
      <c r="IS407" s="320" t="s">
        <v>173</v>
      </c>
      <c r="IT407" s="319" t="s">
        <v>173</v>
      </c>
    </row>
    <row r="408" spans="1:254" s="271" customFormat="1" x14ac:dyDescent="0.25">
      <c r="A408" s="318" t="str">
        <f>HYPERLINK("http://www.ofsted.gov.uk/inspection-reports/find-inspection-report/provider/ELS/133485 ","Ofsted School Webpage")</f>
        <v>Ofsted School Webpage</v>
      </c>
      <c r="B408" s="319">
        <v>133485</v>
      </c>
      <c r="C408" s="319">
        <v>8766000</v>
      </c>
      <c r="D408" s="319" t="s">
        <v>1768</v>
      </c>
      <c r="E408" s="319" t="s">
        <v>168</v>
      </c>
      <c r="F408" s="319" t="s">
        <v>81</v>
      </c>
      <c r="G408" s="319" t="s">
        <v>81</v>
      </c>
      <c r="H408" s="319" t="s">
        <v>81</v>
      </c>
      <c r="I408" s="319" t="s">
        <v>78</v>
      </c>
      <c r="J408" s="319" t="s">
        <v>424</v>
      </c>
      <c r="K408" s="319" t="s">
        <v>431</v>
      </c>
      <c r="L408" s="319" t="s">
        <v>431</v>
      </c>
      <c r="M408" s="319" t="s">
        <v>572</v>
      </c>
      <c r="N408" s="319" t="s">
        <v>572</v>
      </c>
      <c r="O408" s="319" t="s">
        <v>1769</v>
      </c>
      <c r="P408" s="319">
        <v>14</v>
      </c>
      <c r="Q408" s="319" t="s">
        <v>429</v>
      </c>
      <c r="R408" s="320">
        <v>10043376</v>
      </c>
      <c r="S408" s="321">
        <v>43165</v>
      </c>
      <c r="T408" s="321">
        <v>43167</v>
      </c>
      <c r="U408" s="321">
        <v>43213</v>
      </c>
      <c r="V408" s="319" t="s">
        <v>425</v>
      </c>
      <c r="W408" s="319" t="s">
        <v>2767</v>
      </c>
      <c r="X408" s="319">
        <v>2</v>
      </c>
      <c r="Y408" s="319" t="s">
        <v>173</v>
      </c>
      <c r="Z408" s="319" t="s">
        <v>173</v>
      </c>
      <c r="AA408" s="319" t="s">
        <v>173</v>
      </c>
      <c r="AB408" s="319">
        <v>2</v>
      </c>
      <c r="AC408" s="319" t="s">
        <v>169</v>
      </c>
      <c r="AD408" s="319" t="s">
        <v>173</v>
      </c>
      <c r="AE408" s="319" t="s">
        <v>173</v>
      </c>
      <c r="AF408" s="319" t="s">
        <v>427</v>
      </c>
      <c r="AG408" s="319" t="s">
        <v>171</v>
      </c>
      <c r="AH408" s="319" t="s">
        <v>190</v>
      </c>
      <c r="AI408" s="319" t="s">
        <v>190</v>
      </c>
      <c r="AJ408" s="319" t="s">
        <v>190</v>
      </c>
      <c r="AK408" s="319" t="s">
        <v>190</v>
      </c>
      <c r="AL408" s="319" t="s">
        <v>190</v>
      </c>
      <c r="AM408" s="319" t="s">
        <v>190</v>
      </c>
      <c r="AN408" s="319" t="s">
        <v>190</v>
      </c>
      <c r="AO408" s="319" t="s">
        <v>190</v>
      </c>
      <c r="AP408" s="319" t="s">
        <v>190</v>
      </c>
      <c r="AQ408" s="319" t="s">
        <v>190</v>
      </c>
      <c r="AR408" s="319" t="s">
        <v>190</v>
      </c>
      <c r="AS408" s="319" t="s">
        <v>190</v>
      </c>
      <c r="AT408" s="319" t="s">
        <v>190</v>
      </c>
      <c r="AU408" s="319" t="s">
        <v>190</v>
      </c>
      <c r="AV408" s="319" t="s">
        <v>190</v>
      </c>
      <c r="AW408" s="319" t="s">
        <v>190</v>
      </c>
      <c r="AX408" s="319" t="s">
        <v>428</v>
      </c>
      <c r="AY408" s="319" t="s">
        <v>190</v>
      </c>
      <c r="AZ408" s="319" t="s">
        <v>190</v>
      </c>
      <c r="BA408" s="319" t="s">
        <v>190</v>
      </c>
      <c r="BB408" s="319" t="s">
        <v>190</v>
      </c>
      <c r="BC408" s="319" t="s">
        <v>190</v>
      </c>
      <c r="BD408" s="319" t="s">
        <v>190</v>
      </c>
      <c r="BE408" s="319" t="s">
        <v>190</v>
      </c>
      <c r="BF408" s="319" t="s">
        <v>428</v>
      </c>
      <c r="BG408" s="319" t="s">
        <v>428</v>
      </c>
      <c r="BH408" s="319" t="s">
        <v>190</v>
      </c>
      <c r="BI408" s="319" t="s">
        <v>190</v>
      </c>
      <c r="BJ408" s="319" t="s">
        <v>190</v>
      </c>
      <c r="BK408" s="319" t="s">
        <v>190</v>
      </c>
      <c r="BL408" s="319" t="s">
        <v>190</v>
      </c>
      <c r="BM408" s="319" t="s">
        <v>190</v>
      </c>
      <c r="BN408" s="319" t="s">
        <v>190</v>
      </c>
      <c r="BO408" s="319" t="s">
        <v>190</v>
      </c>
      <c r="BP408" s="319" t="s">
        <v>190</v>
      </c>
      <c r="BQ408" s="319" t="s">
        <v>190</v>
      </c>
      <c r="BR408" s="319" t="s">
        <v>190</v>
      </c>
      <c r="BS408" s="319" t="s">
        <v>190</v>
      </c>
      <c r="BT408" s="319" t="s">
        <v>190</v>
      </c>
      <c r="BU408" s="319" t="s">
        <v>190</v>
      </c>
      <c r="BV408" s="319" t="s">
        <v>190</v>
      </c>
      <c r="BW408" s="319" t="s">
        <v>190</v>
      </c>
      <c r="BX408" s="319" t="s">
        <v>190</v>
      </c>
      <c r="BY408" s="319" t="s">
        <v>190</v>
      </c>
      <c r="BZ408" s="319" t="s">
        <v>190</v>
      </c>
      <c r="CA408" s="319" t="s">
        <v>190</v>
      </c>
      <c r="CB408" s="319" t="s">
        <v>190</v>
      </c>
      <c r="CC408" s="319" t="s">
        <v>190</v>
      </c>
      <c r="CD408" s="319" t="s">
        <v>190</v>
      </c>
      <c r="CE408" s="319" t="s">
        <v>190</v>
      </c>
      <c r="CF408" s="319" t="s">
        <v>190</v>
      </c>
      <c r="CG408" s="319" t="s">
        <v>190</v>
      </c>
      <c r="CH408" s="319" t="s">
        <v>190</v>
      </c>
      <c r="CI408" s="319" t="s">
        <v>190</v>
      </c>
      <c r="CJ408" s="319" t="s">
        <v>190</v>
      </c>
      <c r="CK408" s="319" t="s">
        <v>190</v>
      </c>
      <c r="CL408" s="319" t="s">
        <v>190</v>
      </c>
      <c r="CM408" s="319" t="s">
        <v>190</v>
      </c>
      <c r="CN408" s="319" t="s">
        <v>428</v>
      </c>
      <c r="CO408" s="319" t="s">
        <v>428</v>
      </c>
      <c r="CP408" s="319" t="s">
        <v>428</v>
      </c>
      <c r="CQ408" s="319" t="s">
        <v>190</v>
      </c>
      <c r="CR408" s="319" t="s">
        <v>190</v>
      </c>
      <c r="CS408" s="319" t="s">
        <v>190</v>
      </c>
      <c r="CT408" s="319" t="s">
        <v>190</v>
      </c>
      <c r="CU408" s="319" t="s">
        <v>190</v>
      </c>
      <c r="CV408" s="319" t="s">
        <v>190</v>
      </c>
      <c r="CW408" s="319" t="s">
        <v>190</v>
      </c>
      <c r="CX408" s="319" t="s">
        <v>190</v>
      </c>
      <c r="CY408" s="319" t="s">
        <v>190</v>
      </c>
      <c r="CZ408" s="319" t="s">
        <v>190</v>
      </c>
      <c r="DA408" s="319" t="s">
        <v>190</v>
      </c>
      <c r="DB408" s="319" t="s">
        <v>190</v>
      </c>
      <c r="DC408" s="319" t="s">
        <v>190</v>
      </c>
      <c r="DD408" s="319" t="s">
        <v>190</v>
      </c>
      <c r="DE408" s="319" t="s">
        <v>190</v>
      </c>
      <c r="DF408" s="319" t="s">
        <v>190</v>
      </c>
      <c r="DG408" s="319" t="s">
        <v>190</v>
      </c>
      <c r="DH408" s="319" t="s">
        <v>190</v>
      </c>
      <c r="DI408" s="319" t="s">
        <v>190</v>
      </c>
      <c r="DJ408" s="319" t="s">
        <v>190</v>
      </c>
      <c r="DK408" s="319" t="s">
        <v>190</v>
      </c>
      <c r="DL408" s="319" t="s">
        <v>190</v>
      </c>
      <c r="DM408" s="319" t="s">
        <v>190</v>
      </c>
      <c r="DN408" s="319" t="s">
        <v>428</v>
      </c>
      <c r="DO408" s="319" t="s">
        <v>190</v>
      </c>
      <c r="DP408" s="319" t="s">
        <v>190</v>
      </c>
      <c r="DQ408" s="319" t="s">
        <v>190</v>
      </c>
      <c r="DR408" s="319" t="s">
        <v>190</v>
      </c>
      <c r="DS408" s="319" t="s">
        <v>190</v>
      </c>
      <c r="DT408" s="319" t="s">
        <v>190</v>
      </c>
      <c r="DU408" s="319" t="s">
        <v>190</v>
      </c>
      <c r="DV408" s="319" t="s">
        <v>173</v>
      </c>
      <c r="DW408" s="319" t="s">
        <v>190</v>
      </c>
      <c r="DX408" s="319" t="s">
        <v>190</v>
      </c>
      <c r="DY408" s="319" t="s">
        <v>190</v>
      </c>
      <c r="DZ408" s="319" t="s">
        <v>190</v>
      </c>
      <c r="EA408" s="319" t="s">
        <v>190</v>
      </c>
      <c r="EB408" s="319" t="s">
        <v>190</v>
      </c>
      <c r="EC408" s="319" t="s">
        <v>190</v>
      </c>
      <c r="ED408" s="319" t="s">
        <v>190</v>
      </c>
      <c r="EE408" s="319" t="s">
        <v>190</v>
      </c>
      <c r="EF408" s="319" t="s">
        <v>190</v>
      </c>
      <c r="EG408" s="319" t="s">
        <v>190</v>
      </c>
      <c r="EH408" s="319" t="s">
        <v>190</v>
      </c>
      <c r="EI408" s="319" t="s">
        <v>190</v>
      </c>
      <c r="EJ408" s="319" t="s">
        <v>190</v>
      </c>
      <c r="EK408" s="319" t="s">
        <v>190</v>
      </c>
      <c r="EL408" s="319" t="s">
        <v>190</v>
      </c>
      <c r="EM408" s="319" t="s">
        <v>190</v>
      </c>
      <c r="EN408" s="319" t="s">
        <v>190</v>
      </c>
      <c r="EO408" s="319" t="s">
        <v>190</v>
      </c>
      <c r="EP408" s="319" t="s">
        <v>190</v>
      </c>
      <c r="EQ408" s="319" t="s">
        <v>190</v>
      </c>
      <c r="ER408" s="319" t="s">
        <v>190</v>
      </c>
      <c r="ES408" s="319" t="s">
        <v>190</v>
      </c>
      <c r="ET408" s="319" t="s">
        <v>190</v>
      </c>
      <c r="EU408" s="319" t="s">
        <v>190</v>
      </c>
      <c r="EV408" s="319" t="s">
        <v>190</v>
      </c>
      <c r="EW408" s="319" t="s">
        <v>190</v>
      </c>
      <c r="EX408" s="319" t="s">
        <v>190</v>
      </c>
      <c r="EY408" s="319" t="s">
        <v>190</v>
      </c>
      <c r="EZ408" s="319" t="s">
        <v>190</v>
      </c>
      <c r="FA408" s="319" t="s">
        <v>190</v>
      </c>
      <c r="FB408" s="319" t="s">
        <v>190</v>
      </c>
      <c r="FC408" s="319" t="s">
        <v>190</v>
      </c>
      <c r="FD408" s="319" t="s">
        <v>190</v>
      </c>
      <c r="FE408" s="319" t="s">
        <v>190</v>
      </c>
      <c r="FF408" s="319" t="s">
        <v>190</v>
      </c>
      <c r="FG408" s="319" t="s">
        <v>190</v>
      </c>
      <c r="FH408" s="319" t="s">
        <v>190</v>
      </c>
      <c r="FI408" s="319" t="s">
        <v>190</v>
      </c>
      <c r="FJ408" s="319" t="s">
        <v>190</v>
      </c>
      <c r="FK408" s="319" t="s">
        <v>190</v>
      </c>
      <c r="FL408" s="319" t="s">
        <v>190</v>
      </c>
      <c r="FM408" s="319" t="s">
        <v>190</v>
      </c>
      <c r="FN408" s="319" t="s">
        <v>190</v>
      </c>
      <c r="FO408" s="319" t="s">
        <v>190</v>
      </c>
      <c r="FP408" s="319" t="s">
        <v>190</v>
      </c>
      <c r="FQ408" s="319" t="s">
        <v>190</v>
      </c>
      <c r="FR408" s="319" t="s">
        <v>190</v>
      </c>
      <c r="FS408" s="319" t="s">
        <v>190</v>
      </c>
      <c r="FT408" s="319" t="s">
        <v>190</v>
      </c>
      <c r="FU408" s="319" t="s">
        <v>190</v>
      </c>
      <c r="FV408" s="319" t="s">
        <v>190</v>
      </c>
      <c r="FW408" s="319" t="s">
        <v>190</v>
      </c>
      <c r="FX408" s="319" t="s">
        <v>190</v>
      </c>
      <c r="FY408" s="319" t="s">
        <v>190</v>
      </c>
      <c r="FZ408" s="319" t="s">
        <v>190</v>
      </c>
      <c r="GA408" s="319" t="s">
        <v>190</v>
      </c>
      <c r="GB408" s="319" t="s">
        <v>190</v>
      </c>
      <c r="GC408" s="319" t="s">
        <v>190</v>
      </c>
      <c r="GD408" s="319" t="s">
        <v>190</v>
      </c>
      <c r="GE408" s="319" t="s">
        <v>190</v>
      </c>
      <c r="GF408" s="319" t="s">
        <v>190</v>
      </c>
      <c r="GG408" s="319" t="s">
        <v>190</v>
      </c>
      <c r="GH408" s="319" t="s">
        <v>190</v>
      </c>
      <c r="GI408" s="319" t="s">
        <v>190</v>
      </c>
      <c r="GJ408" s="319" t="s">
        <v>190</v>
      </c>
      <c r="GK408" s="319" t="s">
        <v>428</v>
      </c>
      <c r="GL408" s="319" t="s">
        <v>190</v>
      </c>
      <c r="GM408" s="319" t="s">
        <v>190</v>
      </c>
      <c r="GN408" s="319" t="s">
        <v>190</v>
      </c>
      <c r="GO408" s="319" t="s">
        <v>190</v>
      </c>
      <c r="GP408" s="319" t="s">
        <v>190</v>
      </c>
      <c r="GQ408" s="319" t="s">
        <v>190</v>
      </c>
      <c r="GR408" s="319" t="s">
        <v>190</v>
      </c>
      <c r="GS408" s="319" t="s">
        <v>190</v>
      </c>
      <c r="GT408" s="319" t="s">
        <v>190</v>
      </c>
      <c r="GU408" s="319" t="s">
        <v>190</v>
      </c>
      <c r="GV408" s="319" t="s">
        <v>190</v>
      </c>
      <c r="GW408" s="319" t="s">
        <v>190</v>
      </c>
      <c r="GX408" s="319" t="s">
        <v>190</v>
      </c>
      <c r="GY408" s="319" t="s">
        <v>190</v>
      </c>
      <c r="GZ408" s="319" t="s">
        <v>190</v>
      </c>
      <c r="HA408" s="319" t="s">
        <v>190</v>
      </c>
      <c r="HB408" s="319" t="s">
        <v>190</v>
      </c>
      <c r="HC408" s="319" t="s">
        <v>190</v>
      </c>
      <c r="HD408" s="319" t="s">
        <v>190</v>
      </c>
      <c r="HE408" s="319" t="s">
        <v>190</v>
      </c>
      <c r="HF408" s="319" t="s">
        <v>190</v>
      </c>
      <c r="HG408" s="319" t="s">
        <v>190</v>
      </c>
      <c r="HH408" s="319" t="s">
        <v>190</v>
      </c>
      <c r="HI408" s="319" t="s">
        <v>190</v>
      </c>
      <c r="HJ408" s="319" t="s">
        <v>190</v>
      </c>
      <c r="HK408" s="319" t="s">
        <v>190</v>
      </c>
      <c r="HL408" s="319" t="s">
        <v>190</v>
      </c>
      <c r="HM408" s="319" t="s">
        <v>190</v>
      </c>
      <c r="HN408" s="319" t="s">
        <v>190</v>
      </c>
      <c r="HO408" s="319" t="s">
        <v>190</v>
      </c>
      <c r="HP408" s="319" t="s">
        <v>190</v>
      </c>
      <c r="HQ408" s="319" t="s">
        <v>190</v>
      </c>
      <c r="HR408" s="319" t="s">
        <v>190</v>
      </c>
      <c r="HS408" s="319" t="s">
        <v>190</v>
      </c>
      <c r="HT408" s="319" t="s">
        <v>190</v>
      </c>
      <c r="HU408" s="319" t="s">
        <v>190</v>
      </c>
      <c r="HV408" s="319" t="s">
        <v>190</v>
      </c>
      <c r="HW408" s="319" t="s">
        <v>190</v>
      </c>
      <c r="HX408" s="319" t="s">
        <v>190</v>
      </c>
      <c r="HY408" s="319" t="s">
        <v>190</v>
      </c>
      <c r="HZ408" s="319" t="s">
        <v>190</v>
      </c>
      <c r="IA408" s="319" t="s">
        <v>190</v>
      </c>
      <c r="IB408" s="319" t="s">
        <v>190</v>
      </c>
      <c r="IC408" s="319" t="s">
        <v>190</v>
      </c>
      <c r="ID408" s="319" t="s">
        <v>190</v>
      </c>
      <c r="IE408" s="319" t="s">
        <v>190</v>
      </c>
      <c r="IF408" s="319" t="s">
        <v>190</v>
      </c>
      <c r="IG408" s="319" t="s">
        <v>190</v>
      </c>
      <c r="IH408" s="319" t="s">
        <v>190</v>
      </c>
      <c r="II408" s="319" t="s">
        <v>190</v>
      </c>
      <c r="IJ408" s="319">
        <v>10009033</v>
      </c>
      <c r="IK408" s="321">
        <v>42332</v>
      </c>
      <c r="IL408" s="321">
        <v>42334</v>
      </c>
      <c r="IM408" s="321">
        <v>42359</v>
      </c>
      <c r="IN408" s="319">
        <v>2</v>
      </c>
      <c r="IO408" s="319" t="s">
        <v>173</v>
      </c>
      <c r="IP408" s="319" t="s">
        <v>173</v>
      </c>
      <c r="IQ408" s="321" t="s">
        <v>173</v>
      </c>
      <c r="IR408" s="320" t="s">
        <v>173</v>
      </c>
      <c r="IS408" s="322" t="s">
        <v>173</v>
      </c>
      <c r="IT408" s="319" t="s">
        <v>173</v>
      </c>
    </row>
    <row r="409" spans="1:254" s="271" customFormat="1" x14ac:dyDescent="0.25">
      <c r="A409" s="318" t="str">
        <f>HYPERLINK("http://www.ofsted.gov.uk/inspection-reports/find-inspection-report/provider/ELS/133517 ","Ofsted School Webpage")</f>
        <v>Ofsted School Webpage</v>
      </c>
      <c r="B409" s="319">
        <v>133517</v>
      </c>
      <c r="C409" s="319">
        <v>3206061</v>
      </c>
      <c r="D409" s="319" t="s">
        <v>1770</v>
      </c>
      <c r="E409" s="319" t="s">
        <v>167</v>
      </c>
      <c r="F409" s="319" t="s">
        <v>71</v>
      </c>
      <c r="G409" s="319" t="s">
        <v>72</v>
      </c>
      <c r="H409" s="319" t="s">
        <v>71</v>
      </c>
      <c r="I409" s="319" t="s">
        <v>72</v>
      </c>
      <c r="J409" s="319" t="s">
        <v>424</v>
      </c>
      <c r="K409" s="319" t="s">
        <v>441</v>
      </c>
      <c r="L409" s="319" t="s">
        <v>441</v>
      </c>
      <c r="M409" s="319" t="s">
        <v>592</v>
      </c>
      <c r="N409" s="319" t="s">
        <v>3164</v>
      </c>
      <c r="O409" s="319" t="s">
        <v>1771</v>
      </c>
      <c r="P409" s="319">
        <v>167</v>
      </c>
      <c r="Q409" s="319" t="s">
        <v>2766</v>
      </c>
      <c r="R409" s="320">
        <v>10012847</v>
      </c>
      <c r="S409" s="321">
        <v>43116</v>
      </c>
      <c r="T409" s="321">
        <v>43118</v>
      </c>
      <c r="U409" s="321">
        <v>43171</v>
      </c>
      <c r="V409" s="319" t="s">
        <v>425</v>
      </c>
      <c r="W409" s="319" t="s">
        <v>2767</v>
      </c>
      <c r="X409" s="319">
        <v>2</v>
      </c>
      <c r="Y409" s="319" t="s">
        <v>173</v>
      </c>
      <c r="Z409" s="319" t="s">
        <v>173</v>
      </c>
      <c r="AA409" s="319" t="s">
        <v>173</v>
      </c>
      <c r="AB409" s="319">
        <v>2</v>
      </c>
      <c r="AC409" s="319" t="s">
        <v>169</v>
      </c>
      <c r="AD409" s="319">
        <v>2</v>
      </c>
      <c r="AE409" s="319" t="s">
        <v>173</v>
      </c>
      <c r="AF409" s="319" t="s">
        <v>427</v>
      </c>
      <c r="AG409" s="319" t="s">
        <v>171</v>
      </c>
      <c r="AH409" s="319" t="s">
        <v>190</v>
      </c>
      <c r="AI409" s="319" t="s">
        <v>190</v>
      </c>
      <c r="AJ409" s="319" t="s">
        <v>190</v>
      </c>
      <c r="AK409" s="319" t="s">
        <v>190</v>
      </c>
      <c r="AL409" s="319" t="s">
        <v>190</v>
      </c>
      <c r="AM409" s="319" t="s">
        <v>190</v>
      </c>
      <c r="AN409" s="319" t="s">
        <v>190</v>
      </c>
      <c r="AO409" s="319" t="s">
        <v>190</v>
      </c>
      <c r="AP409" s="319" t="s">
        <v>190</v>
      </c>
      <c r="AQ409" s="319" t="s">
        <v>190</v>
      </c>
      <c r="AR409" s="319" t="s">
        <v>190</v>
      </c>
      <c r="AS409" s="319" t="s">
        <v>190</v>
      </c>
      <c r="AT409" s="319" t="s">
        <v>190</v>
      </c>
      <c r="AU409" s="319" t="s">
        <v>190</v>
      </c>
      <c r="AV409" s="319" t="s">
        <v>190</v>
      </c>
      <c r="AW409" s="319" t="s">
        <v>190</v>
      </c>
      <c r="AX409" s="319" t="s">
        <v>428</v>
      </c>
      <c r="AY409" s="319" t="s">
        <v>190</v>
      </c>
      <c r="AZ409" s="319" t="s">
        <v>190</v>
      </c>
      <c r="BA409" s="319" t="s">
        <v>190</v>
      </c>
      <c r="BB409" s="319" t="s">
        <v>428</v>
      </c>
      <c r="BC409" s="319" t="s">
        <v>428</v>
      </c>
      <c r="BD409" s="319" t="s">
        <v>428</v>
      </c>
      <c r="BE409" s="319" t="s">
        <v>428</v>
      </c>
      <c r="BF409" s="319" t="s">
        <v>428</v>
      </c>
      <c r="BG409" s="319" t="s">
        <v>428</v>
      </c>
      <c r="BH409" s="319" t="s">
        <v>190</v>
      </c>
      <c r="BI409" s="319" t="s">
        <v>190</v>
      </c>
      <c r="BJ409" s="319" t="s">
        <v>190</v>
      </c>
      <c r="BK409" s="319" t="s">
        <v>190</v>
      </c>
      <c r="BL409" s="319" t="s">
        <v>190</v>
      </c>
      <c r="BM409" s="319" t="s">
        <v>190</v>
      </c>
      <c r="BN409" s="319" t="s">
        <v>190</v>
      </c>
      <c r="BO409" s="319" t="s">
        <v>190</v>
      </c>
      <c r="BP409" s="319" t="s">
        <v>190</v>
      </c>
      <c r="BQ409" s="319" t="s">
        <v>190</v>
      </c>
      <c r="BR409" s="319" t="s">
        <v>190</v>
      </c>
      <c r="BS409" s="319" t="s">
        <v>190</v>
      </c>
      <c r="BT409" s="319" t="s">
        <v>190</v>
      </c>
      <c r="BU409" s="319" t="s">
        <v>190</v>
      </c>
      <c r="BV409" s="319" t="s">
        <v>190</v>
      </c>
      <c r="BW409" s="319" t="s">
        <v>190</v>
      </c>
      <c r="BX409" s="319" t="s">
        <v>190</v>
      </c>
      <c r="BY409" s="319" t="s">
        <v>190</v>
      </c>
      <c r="BZ409" s="319" t="s">
        <v>190</v>
      </c>
      <c r="CA409" s="319" t="s">
        <v>190</v>
      </c>
      <c r="CB409" s="319" t="s">
        <v>190</v>
      </c>
      <c r="CC409" s="319" t="s">
        <v>190</v>
      </c>
      <c r="CD409" s="319" t="s">
        <v>190</v>
      </c>
      <c r="CE409" s="319" t="s">
        <v>190</v>
      </c>
      <c r="CF409" s="319" t="s">
        <v>190</v>
      </c>
      <c r="CG409" s="319" t="s">
        <v>190</v>
      </c>
      <c r="CH409" s="319" t="s">
        <v>190</v>
      </c>
      <c r="CI409" s="319" t="s">
        <v>190</v>
      </c>
      <c r="CJ409" s="319" t="s">
        <v>190</v>
      </c>
      <c r="CK409" s="319" t="s">
        <v>190</v>
      </c>
      <c r="CL409" s="319" t="s">
        <v>190</v>
      </c>
      <c r="CM409" s="319" t="s">
        <v>190</v>
      </c>
      <c r="CN409" s="319" t="s">
        <v>428</v>
      </c>
      <c r="CO409" s="319" t="s">
        <v>428</v>
      </c>
      <c r="CP409" s="319" t="s">
        <v>428</v>
      </c>
      <c r="CQ409" s="319" t="s">
        <v>190</v>
      </c>
      <c r="CR409" s="319" t="s">
        <v>190</v>
      </c>
      <c r="CS409" s="319" t="s">
        <v>190</v>
      </c>
      <c r="CT409" s="319" t="s">
        <v>190</v>
      </c>
      <c r="CU409" s="319" t="s">
        <v>190</v>
      </c>
      <c r="CV409" s="319" t="s">
        <v>190</v>
      </c>
      <c r="CW409" s="319" t="s">
        <v>190</v>
      </c>
      <c r="CX409" s="319" t="s">
        <v>190</v>
      </c>
      <c r="CY409" s="319" t="s">
        <v>190</v>
      </c>
      <c r="CZ409" s="319" t="s">
        <v>190</v>
      </c>
      <c r="DA409" s="319" t="s">
        <v>190</v>
      </c>
      <c r="DB409" s="319" t="s">
        <v>190</v>
      </c>
      <c r="DC409" s="319" t="s">
        <v>190</v>
      </c>
      <c r="DD409" s="319" t="s">
        <v>190</v>
      </c>
      <c r="DE409" s="319" t="s">
        <v>190</v>
      </c>
      <c r="DF409" s="319" t="s">
        <v>190</v>
      </c>
      <c r="DG409" s="319" t="s">
        <v>190</v>
      </c>
      <c r="DH409" s="319" t="s">
        <v>190</v>
      </c>
      <c r="DI409" s="319" t="s">
        <v>190</v>
      </c>
      <c r="DJ409" s="319" t="s">
        <v>190</v>
      </c>
      <c r="DK409" s="319" t="s">
        <v>190</v>
      </c>
      <c r="DL409" s="319" t="s">
        <v>190</v>
      </c>
      <c r="DM409" s="319" t="s">
        <v>190</v>
      </c>
      <c r="DN409" s="319" t="s">
        <v>428</v>
      </c>
      <c r="DO409" s="319" t="s">
        <v>190</v>
      </c>
      <c r="DP409" s="319" t="s">
        <v>428</v>
      </c>
      <c r="DQ409" s="319" t="s">
        <v>428</v>
      </c>
      <c r="DR409" s="319" t="s">
        <v>428</v>
      </c>
      <c r="DS409" s="319" t="s">
        <v>428</v>
      </c>
      <c r="DT409" s="319" t="s">
        <v>428</v>
      </c>
      <c r="DU409" s="319" t="s">
        <v>428</v>
      </c>
      <c r="DV409" s="319" t="s">
        <v>173</v>
      </c>
      <c r="DW409" s="319" t="s">
        <v>428</v>
      </c>
      <c r="DX409" s="319" t="s">
        <v>428</v>
      </c>
      <c r="DY409" s="319" t="s">
        <v>428</v>
      </c>
      <c r="DZ409" s="319" t="s">
        <v>428</v>
      </c>
      <c r="EA409" s="319" t="s">
        <v>428</v>
      </c>
      <c r="EB409" s="319" t="s">
        <v>428</v>
      </c>
      <c r="EC409" s="319" t="s">
        <v>428</v>
      </c>
      <c r="ED409" s="319" t="s">
        <v>190</v>
      </c>
      <c r="EE409" s="319" t="s">
        <v>190</v>
      </c>
      <c r="EF409" s="319" t="s">
        <v>190</v>
      </c>
      <c r="EG409" s="319" t="s">
        <v>190</v>
      </c>
      <c r="EH409" s="319" t="s">
        <v>190</v>
      </c>
      <c r="EI409" s="319" t="s">
        <v>190</v>
      </c>
      <c r="EJ409" s="319" t="s">
        <v>190</v>
      </c>
      <c r="EK409" s="319" t="s">
        <v>190</v>
      </c>
      <c r="EL409" s="319" t="s">
        <v>428</v>
      </c>
      <c r="EM409" s="319" t="s">
        <v>190</v>
      </c>
      <c r="EN409" s="319" t="s">
        <v>190</v>
      </c>
      <c r="EO409" s="319" t="s">
        <v>190</v>
      </c>
      <c r="EP409" s="319" t="s">
        <v>190</v>
      </c>
      <c r="EQ409" s="319" t="s">
        <v>190</v>
      </c>
      <c r="ER409" s="319" t="s">
        <v>190</v>
      </c>
      <c r="ES409" s="319" t="s">
        <v>190</v>
      </c>
      <c r="ET409" s="319" t="s">
        <v>190</v>
      </c>
      <c r="EU409" s="319" t="s">
        <v>190</v>
      </c>
      <c r="EV409" s="319" t="s">
        <v>190</v>
      </c>
      <c r="EW409" s="319" t="s">
        <v>190</v>
      </c>
      <c r="EX409" s="319" t="s">
        <v>190</v>
      </c>
      <c r="EY409" s="319" t="s">
        <v>190</v>
      </c>
      <c r="EZ409" s="319" t="s">
        <v>190</v>
      </c>
      <c r="FA409" s="319" t="s">
        <v>190</v>
      </c>
      <c r="FB409" s="319" t="s">
        <v>428</v>
      </c>
      <c r="FC409" s="319" t="s">
        <v>428</v>
      </c>
      <c r="FD409" s="319" t="s">
        <v>428</v>
      </c>
      <c r="FE409" s="319" t="s">
        <v>428</v>
      </c>
      <c r="FF409" s="319" t="s">
        <v>428</v>
      </c>
      <c r="FG409" s="319" t="s">
        <v>428</v>
      </c>
      <c r="FH409" s="319" t="s">
        <v>428</v>
      </c>
      <c r="FI409" s="319" t="s">
        <v>428</v>
      </c>
      <c r="FJ409" s="319" t="s">
        <v>429</v>
      </c>
      <c r="FK409" s="319" t="s">
        <v>428</v>
      </c>
      <c r="FL409" s="319" t="s">
        <v>190</v>
      </c>
      <c r="FM409" s="319" t="s">
        <v>190</v>
      </c>
      <c r="FN409" s="319" t="s">
        <v>190</v>
      </c>
      <c r="FO409" s="319" t="s">
        <v>428</v>
      </c>
      <c r="FP409" s="319" t="s">
        <v>190</v>
      </c>
      <c r="FQ409" s="319" t="s">
        <v>190</v>
      </c>
      <c r="FR409" s="319" t="s">
        <v>190</v>
      </c>
      <c r="FS409" s="319" t="s">
        <v>428</v>
      </c>
      <c r="FT409" s="319" t="s">
        <v>190</v>
      </c>
      <c r="FU409" s="319" t="s">
        <v>190</v>
      </c>
      <c r="FV409" s="319" t="s">
        <v>190</v>
      </c>
      <c r="FW409" s="319" t="s">
        <v>190</v>
      </c>
      <c r="FX409" s="319" t="s">
        <v>190</v>
      </c>
      <c r="FY409" s="319" t="s">
        <v>190</v>
      </c>
      <c r="FZ409" s="319" t="s">
        <v>190</v>
      </c>
      <c r="GA409" s="319" t="s">
        <v>190</v>
      </c>
      <c r="GB409" s="319" t="s">
        <v>190</v>
      </c>
      <c r="GC409" s="319" t="s">
        <v>190</v>
      </c>
      <c r="GD409" s="319" t="s">
        <v>190</v>
      </c>
      <c r="GE409" s="319" t="s">
        <v>190</v>
      </c>
      <c r="GF409" s="319" t="s">
        <v>190</v>
      </c>
      <c r="GG409" s="319" t="s">
        <v>190</v>
      </c>
      <c r="GH409" s="319" t="s">
        <v>190</v>
      </c>
      <c r="GI409" s="319" t="s">
        <v>190</v>
      </c>
      <c r="GJ409" s="319" t="s">
        <v>190</v>
      </c>
      <c r="GK409" s="319" t="s">
        <v>428</v>
      </c>
      <c r="GL409" s="319" t="s">
        <v>190</v>
      </c>
      <c r="GM409" s="319" t="s">
        <v>190</v>
      </c>
      <c r="GN409" s="319" t="s">
        <v>190</v>
      </c>
      <c r="GO409" s="319" t="s">
        <v>190</v>
      </c>
      <c r="GP409" s="319" t="s">
        <v>190</v>
      </c>
      <c r="GQ409" s="319" t="s">
        <v>428</v>
      </c>
      <c r="GR409" s="319" t="s">
        <v>190</v>
      </c>
      <c r="GS409" s="319" t="s">
        <v>190</v>
      </c>
      <c r="GT409" s="319" t="s">
        <v>428</v>
      </c>
      <c r="GU409" s="319" t="s">
        <v>190</v>
      </c>
      <c r="GV409" s="319" t="s">
        <v>190</v>
      </c>
      <c r="GW409" s="319" t="s">
        <v>190</v>
      </c>
      <c r="GX409" s="319" t="s">
        <v>190</v>
      </c>
      <c r="GY409" s="319" t="s">
        <v>190</v>
      </c>
      <c r="GZ409" s="319" t="s">
        <v>190</v>
      </c>
      <c r="HA409" s="319" t="s">
        <v>428</v>
      </c>
      <c r="HB409" s="319" t="s">
        <v>190</v>
      </c>
      <c r="HC409" s="319" t="s">
        <v>190</v>
      </c>
      <c r="HD409" s="319" t="s">
        <v>190</v>
      </c>
      <c r="HE409" s="319" t="s">
        <v>190</v>
      </c>
      <c r="HF409" s="319" t="s">
        <v>190</v>
      </c>
      <c r="HG409" s="319" t="s">
        <v>190</v>
      </c>
      <c r="HH409" s="319" t="s">
        <v>190</v>
      </c>
      <c r="HI409" s="319" t="s">
        <v>190</v>
      </c>
      <c r="HJ409" s="319" t="s">
        <v>190</v>
      </c>
      <c r="HK409" s="319" t="s">
        <v>190</v>
      </c>
      <c r="HL409" s="319" t="s">
        <v>428</v>
      </c>
      <c r="HM409" s="319" t="s">
        <v>428</v>
      </c>
      <c r="HN409" s="319" t="s">
        <v>428</v>
      </c>
      <c r="HO409" s="319" t="s">
        <v>428</v>
      </c>
      <c r="HP409" s="319" t="s">
        <v>190</v>
      </c>
      <c r="HQ409" s="319" t="s">
        <v>190</v>
      </c>
      <c r="HR409" s="319" t="s">
        <v>190</v>
      </c>
      <c r="HS409" s="319" t="s">
        <v>190</v>
      </c>
      <c r="HT409" s="319" t="s">
        <v>190</v>
      </c>
      <c r="HU409" s="319" t="s">
        <v>190</v>
      </c>
      <c r="HV409" s="319" t="s">
        <v>190</v>
      </c>
      <c r="HW409" s="319" t="s">
        <v>190</v>
      </c>
      <c r="HX409" s="319" t="s">
        <v>190</v>
      </c>
      <c r="HY409" s="319" t="s">
        <v>190</v>
      </c>
      <c r="HZ409" s="319" t="s">
        <v>190</v>
      </c>
      <c r="IA409" s="319" t="s">
        <v>190</v>
      </c>
      <c r="IB409" s="319" t="s">
        <v>190</v>
      </c>
      <c r="IC409" s="319" t="s">
        <v>190</v>
      </c>
      <c r="ID409" s="319" t="s">
        <v>190</v>
      </c>
      <c r="IE409" s="319" t="s">
        <v>190</v>
      </c>
      <c r="IF409" s="319" t="s">
        <v>190</v>
      </c>
      <c r="IG409" s="319" t="s">
        <v>190</v>
      </c>
      <c r="IH409" s="319" t="s">
        <v>190</v>
      </c>
      <c r="II409" s="319" t="s">
        <v>190</v>
      </c>
      <c r="IJ409" s="319" t="s">
        <v>3185</v>
      </c>
      <c r="IK409" s="321">
        <v>40689</v>
      </c>
      <c r="IL409" s="321">
        <v>40689</v>
      </c>
      <c r="IM409" s="321">
        <v>40722</v>
      </c>
      <c r="IN409" s="319">
        <v>2</v>
      </c>
      <c r="IO409" s="319" t="s">
        <v>173</v>
      </c>
      <c r="IP409" s="319" t="s">
        <v>173</v>
      </c>
      <c r="IQ409" s="321" t="s">
        <v>173</v>
      </c>
      <c r="IR409" s="320" t="s">
        <v>173</v>
      </c>
      <c r="IS409" s="322" t="s">
        <v>173</v>
      </c>
      <c r="IT409" s="319" t="s">
        <v>173</v>
      </c>
    </row>
    <row r="410" spans="1:254" s="271" customFormat="1" x14ac:dyDescent="0.25">
      <c r="A410" s="318" t="str">
        <f>HYPERLINK("http://www.ofsted.gov.uk/inspection-reports/find-inspection-report/provider/ELS/133522 ","Ofsted School Webpage")</f>
        <v>Ofsted School Webpage</v>
      </c>
      <c r="B410" s="319">
        <v>133522</v>
      </c>
      <c r="C410" s="319">
        <v>9336210</v>
      </c>
      <c r="D410" s="319" t="s">
        <v>1119</v>
      </c>
      <c r="E410" s="319" t="s">
        <v>168</v>
      </c>
      <c r="F410" s="319" t="s">
        <v>81</v>
      </c>
      <c r="G410" s="319" t="s">
        <v>81</v>
      </c>
      <c r="H410" s="319" t="s">
        <v>81</v>
      </c>
      <c r="I410" s="319" t="s">
        <v>78</v>
      </c>
      <c r="J410" s="319" t="s">
        <v>424</v>
      </c>
      <c r="K410" s="319" t="s">
        <v>422</v>
      </c>
      <c r="L410" s="319" t="s">
        <v>422</v>
      </c>
      <c r="M410" s="319" t="s">
        <v>466</v>
      </c>
      <c r="N410" s="319" t="s">
        <v>3028</v>
      </c>
      <c r="O410" s="319" t="s">
        <v>1120</v>
      </c>
      <c r="P410" s="319">
        <v>11</v>
      </c>
      <c r="Q410" s="319" t="s">
        <v>429</v>
      </c>
      <c r="R410" s="320">
        <v>10041375</v>
      </c>
      <c r="S410" s="321">
        <v>43172</v>
      </c>
      <c r="T410" s="321">
        <v>43174</v>
      </c>
      <c r="U410" s="321">
        <v>43217</v>
      </c>
      <c r="V410" s="319" t="s">
        <v>425</v>
      </c>
      <c r="W410" s="319" t="s">
        <v>2767</v>
      </c>
      <c r="X410" s="319">
        <v>2</v>
      </c>
      <c r="Y410" s="319" t="s">
        <v>173</v>
      </c>
      <c r="Z410" s="319" t="s">
        <v>173</v>
      </c>
      <c r="AA410" s="319" t="s">
        <v>173</v>
      </c>
      <c r="AB410" s="319">
        <v>2</v>
      </c>
      <c r="AC410" s="319" t="s">
        <v>169</v>
      </c>
      <c r="AD410" s="319" t="s">
        <v>173</v>
      </c>
      <c r="AE410" s="319" t="s">
        <v>173</v>
      </c>
      <c r="AF410" s="319" t="s">
        <v>427</v>
      </c>
      <c r="AG410" s="319" t="s">
        <v>171</v>
      </c>
      <c r="AH410" s="319" t="s">
        <v>190</v>
      </c>
      <c r="AI410" s="319" t="s">
        <v>190</v>
      </c>
      <c r="AJ410" s="319" t="s">
        <v>190</v>
      </c>
      <c r="AK410" s="319" t="s">
        <v>190</v>
      </c>
      <c r="AL410" s="319" t="s">
        <v>190</v>
      </c>
      <c r="AM410" s="319" t="s">
        <v>190</v>
      </c>
      <c r="AN410" s="319" t="s">
        <v>190</v>
      </c>
      <c r="AO410" s="319" t="s">
        <v>190</v>
      </c>
      <c r="AP410" s="319" t="s">
        <v>190</v>
      </c>
      <c r="AQ410" s="319" t="s">
        <v>190</v>
      </c>
      <c r="AR410" s="319" t="s">
        <v>190</v>
      </c>
      <c r="AS410" s="319" t="s">
        <v>190</v>
      </c>
      <c r="AT410" s="319" t="s">
        <v>190</v>
      </c>
      <c r="AU410" s="319" t="s">
        <v>190</v>
      </c>
      <c r="AV410" s="319" t="s">
        <v>190</v>
      </c>
      <c r="AW410" s="319" t="s">
        <v>190</v>
      </c>
      <c r="AX410" s="319" t="s">
        <v>428</v>
      </c>
      <c r="AY410" s="319" t="s">
        <v>190</v>
      </c>
      <c r="AZ410" s="319" t="s">
        <v>190</v>
      </c>
      <c r="BA410" s="319" t="s">
        <v>190</v>
      </c>
      <c r="BB410" s="319" t="s">
        <v>190</v>
      </c>
      <c r="BC410" s="319" t="s">
        <v>190</v>
      </c>
      <c r="BD410" s="319" t="s">
        <v>190</v>
      </c>
      <c r="BE410" s="319" t="s">
        <v>190</v>
      </c>
      <c r="BF410" s="319" t="s">
        <v>428</v>
      </c>
      <c r="BG410" s="319" t="s">
        <v>428</v>
      </c>
      <c r="BH410" s="319" t="s">
        <v>190</v>
      </c>
      <c r="BI410" s="319" t="s">
        <v>190</v>
      </c>
      <c r="BJ410" s="319" t="s">
        <v>190</v>
      </c>
      <c r="BK410" s="319" t="s">
        <v>190</v>
      </c>
      <c r="BL410" s="319" t="s">
        <v>190</v>
      </c>
      <c r="BM410" s="319" t="s">
        <v>190</v>
      </c>
      <c r="BN410" s="319" t="s">
        <v>190</v>
      </c>
      <c r="BO410" s="319" t="s">
        <v>190</v>
      </c>
      <c r="BP410" s="319" t="s">
        <v>190</v>
      </c>
      <c r="BQ410" s="319" t="s">
        <v>190</v>
      </c>
      <c r="BR410" s="319" t="s">
        <v>190</v>
      </c>
      <c r="BS410" s="319" t="s">
        <v>190</v>
      </c>
      <c r="BT410" s="319" t="s">
        <v>190</v>
      </c>
      <c r="BU410" s="319" t="s">
        <v>190</v>
      </c>
      <c r="BV410" s="319" t="s">
        <v>190</v>
      </c>
      <c r="BW410" s="319" t="s">
        <v>190</v>
      </c>
      <c r="BX410" s="319" t="s">
        <v>190</v>
      </c>
      <c r="BY410" s="319" t="s">
        <v>190</v>
      </c>
      <c r="BZ410" s="319" t="s">
        <v>190</v>
      </c>
      <c r="CA410" s="319" t="s">
        <v>190</v>
      </c>
      <c r="CB410" s="319" t="s">
        <v>190</v>
      </c>
      <c r="CC410" s="319" t="s">
        <v>190</v>
      </c>
      <c r="CD410" s="319" t="s">
        <v>190</v>
      </c>
      <c r="CE410" s="319" t="s">
        <v>190</v>
      </c>
      <c r="CF410" s="319" t="s">
        <v>190</v>
      </c>
      <c r="CG410" s="319" t="s">
        <v>190</v>
      </c>
      <c r="CH410" s="319" t="s">
        <v>190</v>
      </c>
      <c r="CI410" s="319" t="s">
        <v>190</v>
      </c>
      <c r="CJ410" s="319" t="s">
        <v>190</v>
      </c>
      <c r="CK410" s="319" t="s">
        <v>190</v>
      </c>
      <c r="CL410" s="319" t="s">
        <v>190</v>
      </c>
      <c r="CM410" s="319" t="s">
        <v>190</v>
      </c>
      <c r="CN410" s="319" t="s">
        <v>428</v>
      </c>
      <c r="CO410" s="319" t="s">
        <v>428</v>
      </c>
      <c r="CP410" s="319" t="s">
        <v>428</v>
      </c>
      <c r="CQ410" s="319" t="s">
        <v>190</v>
      </c>
      <c r="CR410" s="319" t="s">
        <v>190</v>
      </c>
      <c r="CS410" s="319" t="s">
        <v>190</v>
      </c>
      <c r="CT410" s="319" t="s">
        <v>190</v>
      </c>
      <c r="CU410" s="319" t="s">
        <v>190</v>
      </c>
      <c r="CV410" s="319" t="s">
        <v>190</v>
      </c>
      <c r="CW410" s="319" t="s">
        <v>190</v>
      </c>
      <c r="CX410" s="319" t="s">
        <v>190</v>
      </c>
      <c r="CY410" s="319" t="s">
        <v>190</v>
      </c>
      <c r="CZ410" s="319" t="s">
        <v>190</v>
      </c>
      <c r="DA410" s="319" t="s">
        <v>190</v>
      </c>
      <c r="DB410" s="319" t="s">
        <v>190</v>
      </c>
      <c r="DC410" s="319" t="s">
        <v>190</v>
      </c>
      <c r="DD410" s="319" t="s">
        <v>190</v>
      </c>
      <c r="DE410" s="319" t="s">
        <v>190</v>
      </c>
      <c r="DF410" s="319" t="s">
        <v>190</v>
      </c>
      <c r="DG410" s="319" t="s">
        <v>190</v>
      </c>
      <c r="DH410" s="319" t="s">
        <v>190</v>
      </c>
      <c r="DI410" s="319" t="s">
        <v>190</v>
      </c>
      <c r="DJ410" s="319" t="s">
        <v>190</v>
      </c>
      <c r="DK410" s="319" t="s">
        <v>190</v>
      </c>
      <c r="DL410" s="319" t="s">
        <v>190</v>
      </c>
      <c r="DM410" s="319" t="s">
        <v>190</v>
      </c>
      <c r="DN410" s="319" t="s">
        <v>190</v>
      </c>
      <c r="DO410" s="319" t="s">
        <v>190</v>
      </c>
      <c r="DP410" s="319" t="s">
        <v>190</v>
      </c>
      <c r="DQ410" s="319" t="s">
        <v>190</v>
      </c>
      <c r="DR410" s="319" t="s">
        <v>190</v>
      </c>
      <c r="DS410" s="319" t="s">
        <v>190</v>
      </c>
      <c r="DT410" s="319" t="s">
        <v>190</v>
      </c>
      <c r="DU410" s="319" t="s">
        <v>190</v>
      </c>
      <c r="DV410" s="319" t="s">
        <v>173</v>
      </c>
      <c r="DW410" s="319" t="s">
        <v>190</v>
      </c>
      <c r="DX410" s="319" t="s">
        <v>190</v>
      </c>
      <c r="DY410" s="319" t="s">
        <v>190</v>
      </c>
      <c r="DZ410" s="319" t="s">
        <v>190</v>
      </c>
      <c r="EA410" s="319" t="s">
        <v>190</v>
      </c>
      <c r="EB410" s="319" t="s">
        <v>190</v>
      </c>
      <c r="EC410" s="319" t="s">
        <v>190</v>
      </c>
      <c r="ED410" s="319" t="s">
        <v>190</v>
      </c>
      <c r="EE410" s="319" t="s">
        <v>190</v>
      </c>
      <c r="EF410" s="319" t="s">
        <v>190</v>
      </c>
      <c r="EG410" s="319" t="s">
        <v>190</v>
      </c>
      <c r="EH410" s="319" t="s">
        <v>190</v>
      </c>
      <c r="EI410" s="319" t="s">
        <v>190</v>
      </c>
      <c r="EJ410" s="319" t="s">
        <v>190</v>
      </c>
      <c r="EK410" s="319" t="s">
        <v>190</v>
      </c>
      <c r="EL410" s="319" t="s">
        <v>190</v>
      </c>
      <c r="EM410" s="319" t="s">
        <v>190</v>
      </c>
      <c r="EN410" s="319" t="s">
        <v>190</v>
      </c>
      <c r="EO410" s="319" t="s">
        <v>190</v>
      </c>
      <c r="EP410" s="319" t="s">
        <v>190</v>
      </c>
      <c r="EQ410" s="319" t="s">
        <v>190</v>
      </c>
      <c r="ER410" s="319" t="s">
        <v>190</v>
      </c>
      <c r="ES410" s="319" t="s">
        <v>190</v>
      </c>
      <c r="ET410" s="319" t="s">
        <v>190</v>
      </c>
      <c r="EU410" s="319" t="s">
        <v>190</v>
      </c>
      <c r="EV410" s="319" t="s">
        <v>190</v>
      </c>
      <c r="EW410" s="319" t="s">
        <v>190</v>
      </c>
      <c r="EX410" s="319" t="s">
        <v>190</v>
      </c>
      <c r="EY410" s="319" t="s">
        <v>190</v>
      </c>
      <c r="EZ410" s="319" t="s">
        <v>190</v>
      </c>
      <c r="FA410" s="319" t="s">
        <v>190</v>
      </c>
      <c r="FB410" s="319" t="s">
        <v>190</v>
      </c>
      <c r="FC410" s="319" t="s">
        <v>190</v>
      </c>
      <c r="FD410" s="319" t="s">
        <v>190</v>
      </c>
      <c r="FE410" s="319" t="s">
        <v>190</v>
      </c>
      <c r="FF410" s="319" t="s">
        <v>190</v>
      </c>
      <c r="FG410" s="319" t="s">
        <v>190</v>
      </c>
      <c r="FH410" s="319" t="s">
        <v>190</v>
      </c>
      <c r="FI410" s="319" t="s">
        <v>190</v>
      </c>
      <c r="FJ410" s="319" t="s">
        <v>190</v>
      </c>
      <c r="FK410" s="319" t="s">
        <v>190</v>
      </c>
      <c r="FL410" s="319" t="s">
        <v>190</v>
      </c>
      <c r="FM410" s="319" t="s">
        <v>190</v>
      </c>
      <c r="FN410" s="319" t="s">
        <v>190</v>
      </c>
      <c r="FO410" s="319" t="s">
        <v>190</v>
      </c>
      <c r="FP410" s="319" t="s">
        <v>190</v>
      </c>
      <c r="FQ410" s="319" t="s">
        <v>190</v>
      </c>
      <c r="FR410" s="319" t="s">
        <v>190</v>
      </c>
      <c r="FS410" s="319" t="s">
        <v>190</v>
      </c>
      <c r="FT410" s="319" t="s">
        <v>190</v>
      </c>
      <c r="FU410" s="319" t="s">
        <v>190</v>
      </c>
      <c r="FV410" s="319" t="s">
        <v>190</v>
      </c>
      <c r="FW410" s="319" t="s">
        <v>190</v>
      </c>
      <c r="FX410" s="319" t="s">
        <v>190</v>
      </c>
      <c r="FY410" s="319" t="s">
        <v>190</v>
      </c>
      <c r="FZ410" s="319" t="s">
        <v>190</v>
      </c>
      <c r="GA410" s="319" t="s">
        <v>190</v>
      </c>
      <c r="GB410" s="319" t="s">
        <v>190</v>
      </c>
      <c r="GC410" s="319" t="s">
        <v>190</v>
      </c>
      <c r="GD410" s="319" t="s">
        <v>190</v>
      </c>
      <c r="GE410" s="319" t="s">
        <v>190</v>
      </c>
      <c r="GF410" s="319" t="s">
        <v>190</v>
      </c>
      <c r="GG410" s="319" t="s">
        <v>190</v>
      </c>
      <c r="GH410" s="319" t="s">
        <v>190</v>
      </c>
      <c r="GI410" s="319" t="s">
        <v>190</v>
      </c>
      <c r="GJ410" s="319" t="s">
        <v>190</v>
      </c>
      <c r="GK410" s="319" t="s">
        <v>190</v>
      </c>
      <c r="GL410" s="319" t="s">
        <v>190</v>
      </c>
      <c r="GM410" s="319" t="s">
        <v>190</v>
      </c>
      <c r="GN410" s="319" t="s">
        <v>190</v>
      </c>
      <c r="GO410" s="319" t="s">
        <v>190</v>
      </c>
      <c r="GP410" s="319" t="s">
        <v>190</v>
      </c>
      <c r="GQ410" s="319" t="s">
        <v>190</v>
      </c>
      <c r="GR410" s="319" t="s">
        <v>190</v>
      </c>
      <c r="GS410" s="319" t="s">
        <v>190</v>
      </c>
      <c r="GT410" s="319" t="s">
        <v>190</v>
      </c>
      <c r="GU410" s="319" t="s">
        <v>190</v>
      </c>
      <c r="GV410" s="319" t="s">
        <v>190</v>
      </c>
      <c r="GW410" s="319" t="s">
        <v>190</v>
      </c>
      <c r="GX410" s="319" t="s">
        <v>190</v>
      </c>
      <c r="GY410" s="319" t="s">
        <v>190</v>
      </c>
      <c r="GZ410" s="319" t="s">
        <v>190</v>
      </c>
      <c r="HA410" s="319" t="s">
        <v>190</v>
      </c>
      <c r="HB410" s="319" t="s">
        <v>190</v>
      </c>
      <c r="HC410" s="319" t="s">
        <v>190</v>
      </c>
      <c r="HD410" s="319" t="s">
        <v>190</v>
      </c>
      <c r="HE410" s="319" t="s">
        <v>190</v>
      </c>
      <c r="HF410" s="319" t="s">
        <v>190</v>
      </c>
      <c r="HG410" s="319" t="s">
        <v>190</v>
      </c>
      <c r="HH410" s="319" t="s">
        <v>190</v>
      </c>
      <c r="HI410" s="319" t="s">
        <v>190</v>
      </c>
      <c r="HJ410" s="319" t="s">
        <v>190</v>
      </c>
      <c r="HK410" s="319" t="s">
        <v>190</v>
      </c>
      <c r="HL410" s="319" t="s">
        <v>190</v>
      </c>
      <c r="HM410" s="319" t="s">
        <v>190</v>
      </c>
      <c r="HN410" s="319" t="s">
        <v>190</v>
      </c>
      <c r="HO410" s="319" t="s">
        <v>190</v>
      </c>
      <c r="HP410" s="319" t="s">
        <v>190</v>
      </c>
      <c r="HQ410" s="319" t="s">
        <v>190</v>
      </c>
      <c r="HR410" s="319" t="s">
        <v>190</v>
      </c>
      <c r="HS410" s="319" t="s">
        <v>190</v>
      </c>
      <c r="HT410" s="319" t="s">
        <v>190</v>
      </c>
      <c r="HU410" s="319" t="s">
        <v>190</v>
      </c>
      <c r="HV410" s="319" t="s">
        <v>190</v>
      </c>
      <c r="HW410" s="319" t="s">
        <v>190</v>
      </c>
      <c r="HX410" s="319" t="s">
        <v>190</v>
      </c>
      <c r="HY410" s="319" t="s">
        <v>190</v>
      </c>
      <c r="HZ410" s="319" t="s">
        <v>190</v>
      </c>
      <c r="IA410" s="319" t="s">
        <v>190</v>
      </c>
      <c r="IB410" s="319" t="s">
        <v>190</v>
      </c>
      <c r="IC410" s="319" t="s">
        <v>190</v>
      </c>
      <c r="ID410" s="319" t="s">
        <v>190</v>
      </c>
      <c r="IE410" s="319" t="s">
        <v>190</v>
      </c>
      <c r="IF410" s="319" t="s">
        <v>190</v>
      </c>
      <c r="IG410" s="319" t="s">
        <v>190</v>
      </c>
      <c r="IH410" s="319" t="s">
        <v>190</v>
      </c>
      <c r="II410" s="319" t="s">
        <v>190</v>
      </c>
      <c r="IJ410" s="319" t="s">
        <v>3186</v>
      </c>
      <c r="IK410" s="321">
        <v>42074</v>
      </c>
      <c r="IL410" s="321">
        <v>42076</v>
      </c>
      <c r="IM410" s="321">
        <v>42115</v>
      </c>
      <c r="IN410" s="319">
        <v>2</v>
      </c>
      <c r="IO410" s="319" t="s">
        <v>173</v>
      </c>
      <c r="IP410" s="319" t="s">
        <v>173</v>
      </c>
      <c r="IQ410" s="321" t="s">
        <v>173</v>
      </c>
      <c r="IR410" s="320" t="s">
        <v>173</v>
      </c>
      <c r="IS410" s="322" t="s">
        <v>173</v>
      </c>
      <c r="IT410" s="319" t="s">
        <v>173</v>
      </c>
    </row>
    <row r="411" spans="1:254" s="271" customFormat="1" x14ac:dyDescent="0.25">
      <c r="A411" s="318" t="str">
        <f>HYPERLINK("http://www.ofsted.gov.uk/inspection-reports/find-inspection-report/provider/ELS/133527 ","Ofsted School Webpage")</f>
        <v>Ofsted School Webpage</v>
      </c>
      <c r="B411" s="319">
        <v>133527</v>
      </c>
      <c r="C411" s="319">
        <v>9336203</v>
      </c>
      <c r="D411" s="319" t="s">
        <v>1772</v>
      </c>
      <c r="E411" s="319" t="s">
        <v>168</v>
      </c>
      <c r="F411" s="319" t="s">
        <v>81</v>
      </c>
      <c r="G411" s="319" t="s">
        <v>81</v>
      </c>
      <c r="H411" s="319" t="s">
        <v>81</v>
      </c>
      <c r="I411" s="319" t="s">
        <v>78</v>
      </c>
      <c r="J411" s="319" t="s">
        <v>424</v>
      </c>
      <c r="K411" s="319" t="s">
        <v>422</v>
      </c>
      <c r="L411" s="319" t="s">
        <v>422</v>
      </c>
      <c r="M411" s="319" t="s">
        <v>466</v>
      </c>
      <c r="N411" s="319" t="s">
        <v>3114</v>
      </c>
      <c r="O411" s="319" t="s">
        <v>1773</v>
      </c>
      <c r="P411" s="319">
        <v>25</v>
      </c>
      <c r="Q411" s="319" t="s">
        <v>429</v>
      </c>
      <c r="R411" s="320">
        <v>10033891</v>
      </c>
      <c r="S411" s="321">
        <v>42990</v>
      </c>
      <c r="T411" s="321">
        <v>42992</v>
      </c>
      <c r="U411" s="321">
        <v>43019</v>
      </c>
      <c r="V411" s="319" t="s">
        <v>425</v>
      </c>
      <c r="W411" s="319" t="s">
        <v>2767</v>
      </c>
      <c r="X411" s="319">
        <v>2</v>
      </c>
      <c r="Y411" s="319" t="s">
        <v>173</v>
      </c>
      <c r="Z411" s="319" t="s">
        <v>173</v>
      </c>
      <c r="AA411" s="319" t="s">
        <v>173</v>
      </c>
      <c r="AB411" s="319">
        <v>2</v>
      </c>
      <c r="AC411" s="319" t="s">
        <v>169</v>
      </c>
      <c r="AD411" s="319" t="s">
        <v>173</v>
      </c>
      <c r="AE411" s="319" t="s">
        <v>173</v>
      </c>
      <c r="AF411" s="319" t="s">
        <v>173</v>
      </c>
      <c r="AG411" s="319" t="s">
        <v>171</v>
      </c>
      <c r="AH411" s="319" t="s">
        <v>190</v>
      </c>
      <c r="AI411" s="319" t="s">
        <v>190</v>
      </c>
      <c r="AJ411" s="319" t="s">
        <v>190</v>
      </c>
      <c r="AK411" s="319" t="s">
        <v>190</v>
      </c>
      <c r="AL411" s="319" t="s">
        <v>190</v>
      </c>
      <c r="AM411" s="319" t="s">
        <v>190</v>
      </c>
      <c r="AN411" s="319" t="s">
        <v>190</v>
      </c>
      <c r="AO411" s="319" t="s">
        <v>190</v>
      </c>
      <c r="AP411" s="319" t="s">
        <v>190</v>
      </c>
      <c r="AQ411" s="319" t="s">
        <v>190</v>
      </c>
      <c r="AR411" s="319" t="s">
        <v>190</v>
      </c>
      <c r="AS411" s="319" t="s">
        <v>190</v>
      </c>
      <c r="AT411" s="319" t="s">
        <v>190</v>
      </c>
      <c r="AU411" s="319" t="s">
        <v>190</v>
      </c>
      <c r="AV411" s="319" t="s">
        <v>190</v>
      </c>
      <c r="AW411" s="319" t="s">
        <v>190</v>
      </c>
      <c r="AX411" s="319" t="s">
        <v>429</v>
      </c>
      <c r="AY411" s="319" t="s">
        <v>190</v>
      </c>
      <c r="AZ411" s="319" t="s">
        <v>190</v>
      </c>
      <c r="BA411" s="319" t="s">
        <v>190</v>
      </c>
      <c r="BB411" s="319" t="s">
        <v>190</v>
      </c>
      <c r="BC411" s="319" t="s">
        <v>190</v>
      </c>
      <c r="BD411" s="319" t="s">
        <v>190</v>
      </c>
      <c r="BE411" s="319" t="s">
        <v>190</v>
      </c>
      <c r="BF411" s="319" t="s">
        <v>429</v>
      </c>
      <c r="BG411" s="319" t="s">
        <v>190</v>
      </c>
      <c r="BH411" s="319" t="s">
        <v>190</v>
      </c>
      <c r="BI411" s="319" t="s">
        <v>190</v>
      </c>
      <c r="BJ411" s="319" t="s">
        <v>190</v>
      </c>
      <c r="BK411" s="319" t="s">
        <v>190</v>
      </c>
      <c r="BL411" s="319" t="s">
        <v>190</v>
      </c>
      <c r="BM411" s="319" t="s">
        <v>190</v>
      </c>
      <c r="BN411" s="319" t="s">
        <v>190</v>
      </c>
      <c r="BO411" s="319" t="s">
        <v>190</v>
      </c>
      <c r="BP411" s="319" t="s">
        <v>190</v>
      </c>
      <c r="BQ411" s="319" t="s">
        <v>190</v>
      </c>
      <c r="BR411" s="319" t="s">
        <v>190</v>
      </c>
      <c r="BS411" s="319" t="s">
        <v>190</v>
      </c>
      <c r="BT411" s="319" t="s">
        <v>190</v>
      </c>
      <c r="BU411" s="319" t="s">
        <v>190</v>
      </c>
      <c r="BV411" s="319" t="s">
        <v>190</v>
      </c>
      <c r="BW411" s="319" t="s">
        <v>190</v>
      </c>
      <c r="BX411" s="319" t="s">
        <v>190</v>
      </c>
      <c r="BY411" s="319" t="s">
        <v>190</v>
      </c>
      <c r="BZ411" s="319" t="s">
        <v>190</v>
      </c>
      <c r="CA411" s="319" t="s">
        <v>190</v>
      </c>
      <c r="CB411" s="319" t="s">
        <v>190</v>
      </c>
      <c r="CC411" s="319" t="s">
        <v>190</v>
      </c>
      <c r="CD411" s="319" t="s">
        <v>190</v>
      </c>
      <c r="CE411" s="319" t="s">
        <v>190</v>
      </c>
      <c r="CF411" s="319" t="s">
        <v>190</v>
      </c>
      <c r="CG411" s="319" t="s">
        <v>190</v>
      </c>
      <c r="CH411" s="319" t="s">
        <v>190</v>
      </c>
      <c r="CI411" s="319" t="s">
        <v>190</v>
      </c>
      <c r="CJ411" s="319" t="s">
        <v>429</v>
      </c>
      <c r="CK411" s="319" t="s">
        <v>190</v>
      </c>
      <c r="CL411" s="319" t="s">
        <v>190</v>
      </c>
      <c r="CM411" s="319" t="s">
        <v>190</v>
      </c>
      <c r="CN411" s="319" t="s">
        <v>190</v>
      </c>
      <c r="CO411" s="319" t="s">
        <v>190</v>
      </c>
      <c r="CP411" s="319" t="s">
        <v>190</v>
      </c>
      <c r="CQ411" s="319" t="s">
        <v>190</v>
      </c>
      <c r="CR411" s="319" t="s">
        <v>190</v>
      </c>
      <c r="CS411" s="319" t="s">
        <v>190</v>
      </c>
      <c r="CT411" s="319" t="s">
        <v>190</v>
      </c>
      <c r="CU411" s="319" t="s">
        <v>190</v>
      </c>
      <c r="CV411" s="319" t="s">
        <v>190</v>
      </c>
      <c r="CW411" s="319" t="s">
        <v>190</v>
      </c>
      <c r="CX411" s="319" t="s">
        <v>190</v>
      </c>
      <c r="CY411" s="319" t="s">
        <v>190</v>
      </c>
      <c r="CZ411" s="319" t="s">
        <v>190</v>
      </c>
      <c r="DA411" s="319" t="s">
        <v>190</v>
      </c>
      <c r="DB411" s="319" t="s">
        <v>190</v>
      </c>
      <c r="DC411" s="319" t="s">
        <v>190</v>
      </c>
      <c r="DD411" s="319" t="s">
        <v>190</v>
      </c>
      <c r="DE411" s="319" t="s">
        <v>190</v>
      </c>
      <c r="DF411" s="319" t="s">
        <v>190</v>
      </c>
      <c r="DG411" s="319" t="s">
        <v>190</v>
      </c>
      <c r="DH411" s="319" t="s">
        <v>190</v>
      </c>
      <c r="DI411" s="319" t="s">
        <v>190</v>
      </c>
      <c r="DJ411" s="319" t="s">
        <v>190</v>
      </c>
      <c r="DK411" s="319" t="s">
        <v>190</v>
      </c>
      <c r="DL411" s="319" t="s">
        <v>190</v>
      </c>
      <c r="DM411" s="319" t="s">
        <v>190</v>
      </c>
      <c r="DN411" s="319" t="s">
        <v>190</v>
      </c>
      <c r="DO411" s="319" t="s">
        <v>190</v>
      </c>
      <c r="DP411" s="319" t="s">
        <v>190</v>
      </c>
      <c r="DQ411" s="319" t="s">
        <v>190</v>
      </c>
      <c r="DR411" s="319" t="s">
        <v>190</v>
      </c>
      <c r="DS411" s="319" t="s">
        <v>190</v>
      </c>
      <c r="DT411" s="319" t="s">
        <v>190</v>
      </c>
      <c r="DU411" s="319" t="s">
        <v>190</v>
      </c>
      <c r="DV411" s="319" t="s">
        <v>173</v>
      </c>
      <c r="DW411" s="319" t="s">
        <v>190</v>
      </c>
      <c r="DX411" s="319" t="s">
        <v>190</v>
      </c>
      <c r="DY411" s="319" t="s">
        <v>190</v>
      </c>
      <c r="DZ411" s="319" t="s">
        <v>190</v>
      </c>
      <c r="EA411" s="319" t="s">
        <v>190</v>
      </c>
      <c r="EB411" s="319" t="s">
        <v>190</v>
      </c>
      <c r="EC411" s="319" t="s">
        <v>190</v>
      </c>
      <c r="ED411" s="319" t="s">
        <v>190</v>
      </c>
      <c r="EE411" s="319" t="s">
        <v>190</v>
      </c>
      <c r="EF411" s="319" t="s">
        <v>190</v>
      </c>
      <c r="EG411" s="319" t="s">
        <v>190</v>
      </c>
      <c r="EH411" s="319" t="s">
        <v>190</v>
      </c>
      <c r="EI411" s="319" t="s">
        <v>190</v>
      </c>
      <c r="EJ411" s="319" t="s">
        <v>190</v>
      </c>
      <c r="EK411" s="319" t="s">
        <v>190</v>
      </c>
      <c r="EL411" s="319" t="s">
        <v>190</v>
      </c>
      <c r="EM411" s="319" t="s">
        <v>190</v>
      </c>
      <c r="EN411" s="319" t="s">
        <v>190</v>
      </c>
      <c r="EO411" s="319" t="s">
        <v>190</v>
      </c>
      <c r="EP411" s="319" t="s">
        <v>190</v>
      </c>
      <c r="EQ411" s="319" t="s">
        <v>190</v>
      </c>
      <c r="ER411" s="319" t="s">
        <v>190</v>
      </c>
      <c r="ES411" s="319" t="s">
        <v>190</v>
      </c>
      <c r="ET411" s="319" t="s">
        <v>190</v>
      </c>
      <c r="EU411" s="319" t="s">
        <v>190</v>
      </c>
      <c r="EV411" s="319" t="s">
        <v>190</v>
      </c>
      <c r="EW411" s="319" t="s">
        <v>190</v>
      </c>
      <c r="EX411" s="319" t="s">
        <v>190</v>
      </c>
      <c r="EY411" s="319" t="s">
        <v>190</v>
      </c>
      <c r="EZ411" s="319" t="s">
        <v>190</v>
      </c>
      <c r="FA411" s="319" t="s">
        <v>190</v>
      </c>
      <c r="FB411" s="319" t="s">
        <v>190</v>
      </c>
      <c r="FC411" s="319" t="s">
        <v>190</v>
      </c>
      <c r="FD411" s="319" t="s">
        <v>190</v>
      </c>
      <c r="FE411" s="319" t="s">
        <v>190</v>
      </c>
      <c r="FF411" s="319" t="s">
        <v>190</v>
      </c>
      <c r="FG411" s="319" t="s">
        <v>190</v>
      </c>
      <c r="FH411" s="319" t="s">
        <v>429</v>
      </c>
      <c r="FI411" s="319" t="s">
        <v>429</v>
      </c>
      <c r="FJ411" s="319" t="s">
        <v>190</v>
      </c>
      <c r="FK411" s="319" t="s">
        <v>190</v>
      </c>
      <c r="FL411" s="319" t="s">
        <v>190</v>
      </c>
      <c r="FM411" s="319" t="s">
        <v>190</v>
      </c>
      <c r="FN411" s="319" t="s">
        <v>190</v>
      </c>
      <c r="FO411" s="319" t="s">
        <v>190</v>
      </c>
      <c r="FP411" s="319" t="s">
        <v>190</v>
      </c>
      <c r="FQ411" s="319" t="s">
        <v>190</v>
      </c>
      <c r="FR411" s="319" t="s">
        <v>190</v>
      </c>
      <c r="FS411" s="319" t="s">
        <v>190</v>
      </c>
      <c r="FT411" s="319" t="s">
        <v>190</v>
      </c>
      <c r="FU411" s="319" t="s">
        <v>190</v>
      </c>
      <c r="FV411" s="319" t="s">
        <v>190</v>
      </c>
      <c r="FW411" s="319" t="s">
        <v>190</v>
      </c>
      <c r="FX411" s="319" t="s">
        <v>190</v>
      </c>
      <c r="FY411" s="319" t="s">
        <v>190</v>
      </c>
      <c r="FZ411" s="319" t="s">
        <v>190</v>
      </c>
      <c r="GA411" s="319" t="s">
        <v>190</v>
      </c>
      <c r="GB411" s="319" t="s">
        <v>190</v>
      </c>
      <c r="GC411" s="319" t="s">
        <v>190</v>
      </c>
      <c r="GD411" s="319" t="s">
        <v>190</v>
      </c>
      <c r="GE411" s="319" t="s">
        <v>190</v>
      </c>
      <c r="GF411" s="319" t="s">
        <v>190</v>
      </c>
      <c r="GG411" s="319" t="s">
        <v>190</v>
      </c>
      <c r="GH411" s="319" t="s">
        <v>190</v>
      </c>
      <c r="GI411" s="319" t="s">
        <v>190</v>
      </c>
      <c r="GJ411" s="319" t="s">
        <v>190</v>
      </c>
      <c r="GK411" s="319" t="s">
        <v>429</v>
      </c>
      <c r="GL411" s="319" t="s">
        <v>190</v>
      </c>
      <c r="GM411" s="319" t="s">
        <v>190</v>
      </c>
      <c r="GN411" s="319" t="s">
        <v>190</v>
      </c>
      <c r="GO411" s="319" t="s">
        <v>190</v>
      </c>
      <c r="GP411" s="319" t="s">
        <v>190</v>
      </c>
      <c r="GQ411" s="319" t="s">
        <v>190</v>
      </c>
      <c r="GR411" s="319" t="s">
        <v>190</v>
      </c>
      <c r="GS411" s="319" t="s">
        <v>190</v>
      </c>
      <c r="GT411" s="319" t="s">
        <v>190</v>
      </c>
      <c r="GU411" s="319" t="s">
        <v>190</v>
      </c>
      <c r="GV411" s="319" t="s">
        <v>190</v>
      </c>
      <c r="GW411" s="319" t="s">
        <v>190</v>
      </c>
      <c r="GX411" s="319" t="s">
        <v>190</v>
      </c>
      <c r="GY411" s="319" t="s">
        <v>190</v>
      </c>
      <c r="GZ411" s="319" t="s">
        <v>190</v>
      </c>
      <c r="HA411" s="319" t="s">
        <v>190</v>
      </c>
      <c r="HB411" s="319" t="s">
        <v>190</v>
      </c>
      <c r="HC411" s="319" t="s">
        <v>190</v>
      </c>
      <c r="HD411" s="319" t="s">
        <v>190</v>
      </c>
      <c r="HE411" s="319" t="s">
        <v>190</v>
      </c>
      <c r="HF411" s="319" t="s">
        <v>190</v>
      </c>
      <c r="HG411" s="319" t="s">
        <v>190</v>
      </c>
      <c r="HH411" s="319" t="s">
        <v>190</v>
      </c>
      <c r="HI411" s="319" t="s">
        <v>190</v>
      </c>
      <c r="HJ411" s="319" t="s">
        <v>429</v>
      </c>
      <c r="HK411" s="319" t="s">
        <v>429</v>
      </c>
      <c r="HL411" s="319" t="s">
        <v>190</v>
      </c>
      <c r="HM411" s="319" t="s">
        <v>429</v>
      </c>
      <c r="HN411" s="319" t="s">
        <v>429</v>
      </c>
      <c r="HO411" s="319" t="s">
        <v>429</v>
      </c>
      <c r="HP411" s="319" t="s">
        <v>190</v>
      </c>
      <c r="HQ411" s="319" t="s">
        <v>190</v>
      </c>
      <c r="HR411" s="319" t="s">
        <v>190</v>
      </c>
      <c r="HS411" s="319" t="s">
        <v>190</v>
      </c>
      <c r="HT411" s="319" t="s">
        <v>190</v>
      </c>
      <c r="HU411" s="319" t="s">
        <v>190</v>
      </c>
      <c r="HV411" s="319" t="s">
        <v>190</v>
      </c>
      <c r="HW411" s="319" t="s">
        <v>190</v>
      </c>
      <c r="HX411" s="319" t="s">
        <v>190</v>
      </c>
      <c r="HY411" s="319" t="s">
        <v>190</v>
      </c>
      <c r="HZ411" s="319" t="s">
        <v>190</v>
      </c>
      <c r="IA411" s="319" t="s">
        <v>190</v>
      </c>
      <c r="IB411" s="319" t="s">
        <v>190</v>
      </c>
      <c r="IC411" s="319" t="s">
        <v>190</v>
      </c>
      <c r="ID411" s="319" t="s">
        <v>190</v>
      </c>
      <c r="IE411" s="319" t="s">
        <v>190</v>
      </c>
      <c r="IF411" s="319" t="s">
        <v>190</v>
      </c>
      <c r="IG411" s="319" t="s">
        <v>190</v>
      </c>
      <c r="IH411" s="319" t="s">
        <v>190</v>
      </c>
      <c r="II411" s="319" t="s">
        <v>190</v>
      </c>
      <c r="IJ411" s="319" t="s">
        <v>3187</v>
      </c>
      <c r="IK411" s="321">
        <v>41828</v>
      </c>
      <c r="IL411" s="321">
        <v>41830</v>
      </c>
      <c r="IM411" s="321">
        <v>41843</v>
      </c>
      <c r="IN411" s="319">
        <v>1</v>
      </c>
      <c r="IO411" s="319" t="s">
        <v>173</v>
      </c>
      <c r="IP411" s="319" t="s">
        <v>173</v>
      </c>
      <c r="IQ411" s="319" t="s">
        <v>173</v>
      </c>
      <c r="IR411" s="320" t="s">
        <v>173</v>
      </c>
      <c r="IS411" s="320" t="s">
        <v>173</v>
      </c>
      <c r="IT411" s="319" t="s">
        <v>173</v>
      </c>
    </row>
    <row r="412" spans="1:254" s="271" customFormat="1" x14ac:dyDescent="0.25">
      <c r="A412" s="318" t="str">
        <f>HYPERLINK("http://www.ofsted.gov.uk/inspection-reports/find-inspection-report/provider/ELS/133539 ","Ofsted School Webpage")</f>
        <v>Ofsted School Webpage</v>
      </c>
      <c r="B412" s="319">
        <v>133539</v>
      </c>
      <c r="C412" s="319">
        <v>8866093</v>
      </c>
      <c r="D412" s="319" t="s">
        <v>1774</v>
      </c>
      <c r="E412" s="319" t="s">
        <v>168</v>
      </c>
      <c r="F412" s="319" t="s">
        <v>81</v>
      </c>
      <c r="G412" s="319" t="s">
        <v>81</v>
      </c>
      <c r="H412" s="319" t="s">
        <v>81</v>
      </c>
      <c r="I412" s="319" t="s">
        <v>78</v>
      </c>
      <c r="J412" s="319" t="s">
        <v>424</v>
      </c>
      <c r="K412" s="319" t="s">
        <v>514</v>
      </c>
      <c r="L412" s="319" t="s">
        <v>514</v>
      </c>
      <c r="M412" s="319" t="s">
        <v>614</v>
      </c>
      <c r="N412" s="319" t="s">
        <v>2978</v>
      </c>
      <c r="O412" s="319" t="s">
        <v>1775</v>
      </c>
      <c r="P412" s="319">
        <v>28</v>
      </c>
      <c r="Q412" s="319" t="s">
        <v>429</v>
      </c>
      <c r="R412" s="320">
        <v>10033950</v>
      </c>
      <c r="S412" s="321">
        <v>43130</v>
      </c>
      <c r="T412" s="321">
        <v>43132</v>
      </c>
      <c r="U412" s="321">
        <v>43164</v>
      </c>
      <c r="V412" s="319" t="s">
        <v>425</v>
      </c>
      <c r="W412" s="319" t="s">
        <v>2767</v>
      </c>
      <c r="X412" s="319">
        <v>2</v>
      </c>
      <c r="Y412" s="319" t="s">
        <v>173</v>
      </c>
      <c r="Z412" s="319" t="s">
        <v>173</v>
      </c>
      <c r="AA412" s="319" t="s">
        <v>173</v>
      </c>
      <c r="AB412" s="319">
        <v>2</v>
      </c>
      <c r="AC412" s="319" t="s">
        <v>169</v>
      </c>
      <c r="AD412" s="319" t="s">
        <v>173</v>
      </c>
      <c r="AE412" s="319" t="s">
        <v>173</v>
      </c>
      <c r="AF412" s="319" t="s">
        <v>427</v>
      </c>
      <c r="AG412" s="319" t="s">
        <v>171</v>
      </c>
      <c r="AH412" s="319" t="s">
        <v>190</v>
      </c>
      <c r="AI412" s="319" t="s">
        <v>190</v>
      </c>
      <c r="AJ412" s="319" t="s">
        <v>190</v>
      </c>
      <c r="AK412" s="319" t="s">
        <v>190</v>
      </c>
      <c r="AL412" s="319" t="s">
        <v>190</v>
      </c>
      <c r="AM412" s="319" t="s">
        <v>190</v>
      </c>
      <c r="AN412" s="319" t="s">
        <v>190</v>
      </c>
      <c r="AO412" s="319" t="s">
        <v>190</v>
      </c>
      <c r="AP412" s="319" t="s">
        <v>190</v>
      </c>
      <c r="AQ412" s="319" t="s">
        <v>190</v>
      </c>
      <c r="AR412" s="319" t="s">
        <v>190</v>
      </c>
      <c r="AS412" s="319" t="s">
        <v>190</v>
      </c>
      <c r="AT412" s="319" t="s">
        <v>190</v>
      </c>
      <c r="AU412" s="319" t="s">
        <v>190</v>
      </c>
      <c r="AV412" s="319" t="s">
        <v>190</v>
      </c>
      <c r="AW412" s="319" t="s">
        <v>190</v>
      </c>
      <c r="AX412" s="319" t="s">
        <v>428</v>
      </c>
      <c r="AY412" s="319" t="s">
        <v>190</v>
      </c>
      <c r="AZ412" s="319" t="s">
        <v>190</v>
      </c>
      <c r="BA412" s="319" t="s">
        <v>190</v>
      </c>
      <c r="BB412" s="319" t="s">
        <v>190</v>
      </c>
      <c r="BC412" s="319" t="s">
        <v>190</v>
      </c>
      <c r="BD412" s="319" t="s">
        <v>190</v>
      </c>
      <c r="BE412" s="319" t="s">
        <v>190</v>
      </c>
      <c r="BF412" s="319" t="s">
        <v>190</v>
      </c>
      <c r="BG412" s="319" t="s">
        <v>190</v>
      </c>
      <c r="BH412" s="319" t="s">
        <v>190</v>
      </c>
      <c r="BI412" s="319" t="s">
        <v>190</v>
      </c>
      <c r="BJ412" s="319" t="s">
        <v>190</v>
      </c>
      <c r="BK412" s="319" t="s">
        <v>190</v>
      </c>
      <c r="BL412" s="319" t="s">
        <v>190</v>
      </c>
      <c r="BM412" s="319" t="s">
        <v>190</v>
      </c>
      <c r="BN412" s="319" t="s">
        <v>190</v>
      </c>
      <c r="BO412" s="319" t="s">
        <v>190</v>
      </c>
      <c r="BP412" s="319" t="s">
        <v>190</v>
      </c>
      <c r="BQ412" s="319" t="s">
        <v>190</v>
      </c>
      <c r="BR412" s="319" t="s">
        <v>190</v>
      </c>
      <c r="BS412" s="319" t="s">
        <v>190</v>
      </c>
      <c r="BT412" s="319" t="s">
        <v>190</v>
      </c>
      <c r="BU412" s="319" t="s">
        <v>190</v>
      </c>
      <c r="BV412" s="319" t="s">
        <v>190</v>
      </c>
      <c r="BW412" s="319" t="s">
        <v>190</v>
      </c>
      <c r="BX412" s="319" t="s">
        <v>190</v>
      </c>
      <c r="BY412" s="319" t="s">
        <v>190</v>
      </c>
      <c r="BZ412" s="319" t="s">
        <v>190</v>
      </c>
      <c r="CA412" s="319" t="s">
        <v>190</v>
      </c>
      <c r="CB412" s="319" t="s">
        <v>190</v>
      </c>
      <c r="CC412" s="319" t="s">
        <v>190</v>
      </c>
      <c r="CD412" s="319" t="s">
        <v>190</v>
      </c>
      <c r="CE412" s="319" t="s">
        <v>190</v>
      </c>
      <c r="CF412" s="319" t="s">
        <v>190</v>
      </c>
      <c r="CG412" s="319" t="s">
        <v>190</v>
      </c>
      <c r="CH412" s="319" t="s">
        <v>190</v>
      </c>
      <c r="CI412" s="319" t="s">
        <v>190</v>
      </c>
      <c r="CJ412" s="319" t="s">
        <v>190</v>
      </c>
      <c r="CK412" s="319" t="s">
        <v>190</v>
      </c>
      <c r="CL412" s="319" t="s">
        <v>190</v>
      </c>
      <c r="CM412" s="319" t="s">
        <v>190</v>
      </c>
      <c r="CN412" s="319" t="s">
        <v>428</v>
      </c>
      <c r="CO412" s="319" t="s">
        <v>428</v>
      </c>
      <c r="CP412" s="319" t="s">
        <v>428</v>
      </c>
      <c r="CQ412" s="319" t="s">
        <v>190</v>
      </c>
      <c r="CR412" s="319" t="s">
        <v>190</v>
      </c>
      <c r="CS412" s="319" t="s">
        <v>190</v>
      </c>
      <c r="CT412" s="319" t="s">
        <v>190</v>
      </c>
      <c r="CU412" s="319" t="s">
        <v>190</v>
      </c>
      <c r="CV412" s="319" t="s">
        <v>190</v>
      </c>
      <c r="CW412" s="319" t="s">
        <v>190</v>
      </c>
      <c r="CX412" s="319" t="s">
        <v>190</v>
      </c>
      <c r="CY412" s="319" t="s">
        <v>190</v>
      </c>
      <c r="CZ412" s="319" t="s">
        <v>190</v>
      </c>
      <c r="DA412" s="319" t="s">
        <v>190</v>
      </c>
      <c r="DB412" s="319" t="s">
        <v>190</v>
      </c>
      <c r="DC412" s="319" t="s">
        <v>190</v>
      </c>
      <c r="DD412" s="319" t="s">
        <v>190</v>
      </c>
      <c r="DE412" s="319" t="s">
        <v>190</v>
      </c>
      <c r="DF412" s="319" t="s">
        <v>190</v>
      </c>
      <c r="DG412" s="319" t="s">
        <v>190</v>
      </c>
      <c r="DH412" s="319" t="s">
        <v>190</v>
      </c>
      <c r="DI412" s="319" t="s">
        <v>190</v>
      </c>
      <c r="DJ412" s="319" t="s">
        <v>190</v>
      </c>
      <c r="DK412" s="319" t="s">
        <v>190</v>
      </c>
      <c r="DL412" s="319" t="s">
        <v>190</v>
      </c>
      <c r="DM412" s="319" t="s">
        <v>190</v>
      </c>
      <c r="DN412" s="319" t="s">
        <v>428</v>
      </c>
      <c r="DO412" s="319" t="s">
        <v>190</v>
      </c>
      <c r="DP412" s="319" t="s">
        <v>190</v>
      </c>
      <c r="DQ412" s="319" t="s">
        <v>190</v>
      </c>
      <c r="DR412" s="319" t="s">
        <v>190</v>
      </c>
      <c r="DS412" s="319" t="s">
        <v>190</v>
      </c>
      <c r="DT412" s="319" t="s">
        <v>190</v>
      </c>
      <c r="DU412" s="319" t="s">
        <v>190</v>
      </c>
      <c r="DV412" s="319" t="s">
        <v>173</v>
      </c>
      <c r="DW412" s="319" t="s">
        <v>190</v>
      </c>
      <c r="DX412" s="319" t="s">
        <v>190</v>
      </c>
      <c r="DY412" s="319" t="s">
        <v>190</v>
      </c>
      <c r="DZ412" s="319" t="s">
        <v>190</v>
      </c>
      <c r="EA412" s="319" t="s">
        <v>190</v>
      </c>
      <c r="EB412" s="319" t="s">
        <v>190</v>
      </c>
      <c r="EC412" s="319" t="s">
        <v>428</v>
      </c>
      <c r="ED412" s="319" t="s">
        <v>190</v>
      </c>
      <c r="EE412" s="319" t="s">
        <v>190</v>
      </c>
      <c r="EF412" s="319" t="s">
        <v>190</v>
      </c>
      <c r="EG412" s="319" t="s">
        <v>190</v>
      </c>
      <c r="EH412" s="319" t="s">
        <v>190</v>
      </c>
      <c r="EI412" s="319" t="s">
        <v>190</v>
      </c>
      <c r="EJ412" s="319" t="s">
        <v>190</v>
      </c>
      <c r="EK412" s="319" t="s">
        <v>190</v>
      </c>
      <c r="EL412" s="319" t="s">
        <v>190</v>
      </c>
      <c r="EM412" s="319" t="s">
        <v>190</v>
      </c>
      <c r="EN412" s="319" t="s">
        <v>190</v>
      </c>
      <c r="EO412" s="319" t="s">
        <v>190</v>
      </c>
      <c r="EP412" s="319" t="s">
        <v>190</v>
      </c>
      <c r="EQ412" s="319" t="s">
        <v>190</v>
      </c>
      <c r="ER412" s="319" t="s">
        <v>190</v>
      </c>
      <c r="ES412" s="319" t="s">
        <v>190</v>
      </c>
      <c r="ET412" s="319" t="s">
        <v>190</v>
      </c>
      <c r="EU412" s="319" t="s">
        <v>190</v>
      </c>
      <c r="EV412" s="319" t="s">
        <v>190</v>
      </c>
      <c r="EW412" s="319" t="s">
        <v>190</v>
      </c>
      <c r="EX412" s="319" t="s">
        <v>190</v>
      </c>
      <c r="EY412" s="319" t="s">
        <v>190</v>
      </c>
      <c r="EZ412" s="319" t="s">
        <v>190</v>
      </c>
      <c r="FA412" s="319" t="s">
        <v>190</v>
      </c>
      <c r="FB412" s="319" t="s">
        <v>190</v>
      </c>
      <c r="FC412" s="319" t="s">
        <v>190</v>
      </c>
      <c r="FD412" s="319" t="s">
        <v>190</v>
      </c>
      <c r="FE412" s="319" t="s">
        <v>190</v>
      </c>
      <c r="FF412" s="319" t="s">
        <v>190</v>
      </c>
      <c r="FG412" s="319" t="s">
        <v>190</v>
      </c>
      <c r="FH412" s="319" t="s">
        <v>190</v>
      </c>
      <c r="FI412" s="319" t="s">
        <v>190</v>
      </c>
      <c r="FJ412" s="319" t="s">
        <v>190</v>
      </c>
      <c r="FK412" s="319" t="s">
        <v>190</v>
      </c>
      <c r="FL412" s="319" t="s">
        <v>190</v>
      </c>
      <c r="FM412" s="319" t="s">
        <v>190</v>
      </c>
      <c r="FN412" s="319" t="s">
        <v>190</v>
      </c>
      <c r="FO412" s="319" t="s">
        <v>190</v>
      </c>
      <c r="FP412" s="319" t="s">
        <v>190</v>
      </c>
      <c r="FQ412" s="319" t="s">
        <v>190</v>
      </c>
      <c r="FR412" s="319" t="s">
        <v>190</v>
      </c>
      <c r="FS412" s="319" t="s">
        <v>428</v>
      </c>
      <c r="FT412" s="319" t="s">
        <v>190</v>
      </c>
      <c r="FU412" s="319" t="s">
        <v>190</v>
      </c>
      <c r="FV412" s="319" t="s">
        <v>190</v>
      </c>
      <c r="FW412" s="319" t="s">
        <v>190</v>
      </c>
      <c r="FX412" s="319" t="s">
        <v>190</v>
      </c>
      <c r="FY412" s="319" t="s">
        <v>190</v>
      </c>
      <c r="FZ412" s="319" t="s">
        <v>190</v>
      </c>
      <c r="GA412" s="319" t="s">
        <v>190</v>
      </c>
      <c r="GB412" s="319" t="s">
        <v>190</v>
      </c>
      <c r="GC412" s="319" t="s">
        <v>190</v>
      </c>
      <c r="GD412" s="319" t="s">
        <v>190</v>
      </c>
      <c r="GE412" s="319" t="s">
        <v>190</v>
      </c>
      <c r="GF412" s="319" t="s">
        <v>190</v>
      </c>
      <c r="GG412" s="319" t="s">
        <v>190</v>
      </c>
      <c r="GH412" s="319" t="s">
        <v>190</v>
      </c>
      <c r="GI412" s="319" t="s">
        <v>190</v>
      </c>
      <c r="GJ412" s="319" t="s">
        <v>190</v>
      </c>
      <c r="GK412" s="319" t="s">
        <v>428</v>
      </c>
      <c r="GL412" s="319" t="s">
        <v>190</v>
      </c>
      <c r="GM412" s="319" t="s">
        <v>190</v>
      </c>
      <c r="GN412" s="319" t="s">
        <v>190</v>
      </c>
      <c r="GO412" s="319" t="s">
        <v>190</v>
      </c>
      <c r="GP412" s="319" t="s">
        <v>190</v>
      </c>
      <c r="GQ412" s="319" t="s">
        <v>190</v>
      </c>
      <c r="GR412" s="319" t="s">
        <v>190</v>
      </c>
      <c r="GS412" s="319" t="s">
        <v>190</v>
      </c>
      <c r="GT412" s="319" t="s">
        <v>190</v>
      </c>
      <c r="GU412" s="319" t="s">
        <v>190</v>
      </c>
      <c r="GV412" s="319" t="s">
        <v>190</v>
      </c>
      <c r="GW412" s="319" t="s">
        <v>190</v>
      </c>
      <c r="GX412" s="319" t="s">
        <v>190</v>
      </c>
      <c r="GY412" s="319" t="s">
        <v>190</v>
      </c>
      <c r="GZ412" s="319" t="s">
        <v>428</v>
      </c>
      <c r="HA412" s="319" t="s">
        <v>190</v>
      </c>
      <c r="HB412" s="319" t="s">
        <v>190</v>
      </c>
      <c r="HC412" s="319" t="s">
        <v>190</v>
      </c>
      <c r="HD412" s="319" t="s">
        <v>190</v>
      </c>
      <c r="HE412" s="319" t="s">
        <v>190</v>
      </c>
      <c r="HF412" s="319" t="s">
        <v>190</v>
      </c>
      <c r="HG412" s="319" t="s">
        <v>190</v>
      </c>
      <c r="HH412" s="319" t="s">
        <v>190</v>
      </c>
      <c r="HI412" s="319" t="s">
        <v>190</v>
      </c>
      <c r="HJ412" s="319" t="s">
        <v>190</v>
      </c>
      <c r="HK412" s="319" t="s">
        <v>190</v>
      </c>
      <c r="HL412" s="319" t="s">
        <v>190</v>
      </c>
      <c r="HM412" s="319" t="s">
        <v>190</v>
      </c>
      <c r="HN412" s="319" t="s">
        <v>190</v>
      </c>
      <c r="HO412" s="319" t="s">
        <v>190</v>
      </c>
      <c r="HP412" s="319" t="s">
        <v>190</v>
      </c>
      <c r="HQ412" s="319" t="s">
        <v>190</v>
      </c>
      <c r="HR412" s="319" t="s">
        <v>190</v>
      </c>
      <c r="HS412" s="319" t="s">
        <v>190</v>
      </c>
      <c r="HT412" s="319" t="s">
        <v>190</v>
      </c>
      <c r="HU412" s="319" t="s">
        <v>190</v>
      </c>
      <c r="HV412" s="319" t="s">
        <v>190</v>
      </c>
      <c r="HW412" s="319" t="s">
        <v>190</v>
      </c>
      <c r="HX412" s="319" t="s">
        <v>190</v>
      </c>
      <c r="HY412" s="319" t="s">
        <v>190</v>
      </c>
      <c r="HZ412" s="319" t="s">
        <v>190</v>
      </c>
      <c r="IA412" s="319" t="s">
        <v>190</v>
      </c>
      <c r="IB412" s="319" t="s">
        <v>190</v>
      </c>
      <c r="IC412" s="319" t="s">
        <v>190</v>
      </c>
      <c r="ID412" s="319" t="s">
        <v>190</v>
      </c>
      <c r="IE412" s="319" t="s">
        <v>190</v>
      </c>
      <c r="IF412" s="319" t="s">
        <v>190</v>
      </c>
      <c r="IG412" s="319" t="s">
        <v>190</v>
      </c>
      <c r="IH412" s="319" t="s">
        <v>190</v>
      </c>
      <c r="II412" s="319" t="s">
        <v>190</v>
      </c>
      <c r="IJ412" s="319" t="s">
        <v>3188</v>
      </c>
      <c r="IK412" s="321">
        <v>41717</v>
      </c>
      <c r="IL412" s="321">
        <v>41719</v>
      </c>
      <c r="IM412" s="321">
        <v>41754</v>
      </c>
      <c r="IN412" s="319">
        <v>4</v>
      </c>
      <c r="IO412" s="319" t="s">
        <v>173</v>
      </c>
      <c r="IP412" s="319" t="s">
        <v>173</v>
      </c>
      <c r="IQ412" s="321" t="s">
        <v>173</v>
      </c>
      <c r="IR412" s="320" t="s">
        <v>173</v>
      </c>
      <c r="IS412" s="322" t="s">
        <v>173</v>
      </c>
      <c r="IT412" s="319" t="s">
        <v>173</v>
      </c>
    </row>
    <row r="413" spans="1:254" s="271" customFormat="1" x14ac:dyDescent="0.25">
      <c r="A413" s="318" t="str">
        <f>HYPERLINK("http://www.ofsted.gov.uk/inspection-reports/find-inspection-report/provider/ELS/133540 ","Ofsted School Webpage")</f>
        <v>Ofsted School Webpage</v>
      </c>
      <c r="B413" s="319">
        <v>133540</v>
      </c>
      <c r="C413" s="319">
        <v>8886050</v>
      </c>
      <c r="D413" s="319" t="s">
        <v>993</v>
      </c>
      <c r="E413" s="319" t="s">
        <v>168</v>
      </c>
      <c r="F413" s="319" t="s">
        <v>81</v>
      </c>
      <c r="G413" s="319" t="s">
        <v>81</v>
      </c>
      <c r="H413" s="319" t="s">
        <v>81</v>
      </c>
      <c r="I413" s="319" t="s">
        <v>78</v>
      </c>
      <c r="J413" s="319" t="s">
        <v>424</v>
      </c>
      <c r="K413" s="319" t="s">
        <v>431</v>
      </c>
      <c r="L413" s="319" t="s">
        <v>431</v>
      </c>
      <c r="M413" s="319" t="s">
        <v>469</v>
      </c>
      <c r="N413" s="319" t="s">
        <v>3062</v>
      </c>
      <c r="O413" s="319" t="s">
        <v>994</v>
      </c>
      <c r="P413" s="319">
        <v>107</v>
      </c>
      <c r="Q413" s="319" t="s">
        <v>2776</v>
      </c>
      <c r="R413" s="320">
        <v>10067896</v>
      </c>
      <c r="S413" s="321">
        <v>43536</v>
      </c>
      <c r="T413" s="321">
        <v>43538</v>
      </c>
      <c r="U413" s="321">
        <v>43562</v>
      </c>
      <c r="V413" s="319" t="s">
        <v>425</v>
      </c>
      <c r="W413" s="319" t="s">
        <v>2767</v>
      </c>
      <c r="X413" s="319">
        <v>1</v>
      </c>
      <c r="Y413" s="319" t="s">
        <v>173</v>
      </c>
      <c r="Z413" s="319" t="s">
        <v>173</v>
      </c>
      <c r="AA413" s="319" t="s">
        <v>173</v>
      </c>
      <c r="AB413" s="319">
        <v>1</v>
      </c>
      <c r="AC413" s="319" t="s">
        <v>169</v>
      </c>
      <c r="AD413" s="319" t="s">
        <v>173</v>
      </c>
      <c r="AE413" s="319">
        <v>1</v>
      </c>
      <c r="AF413" s="319" t="s">
        <v>427</v>
      </c>
      <c r="AG413" s="319" t="s">
        <v>171</v>
      </c>
      <c r="AH413" s="319" t="s">
        <v>190</v>
      </c>
      <c r="AI413" s="319" t="s">
        <v>190</v>
      </c>
      <c r="AJ413" s="319" t="s">
        <v>190</v>
      </c>
      <c r="AK413" s="319" t="s">
        <v>190</v>
      </c>
      <c r="AL413" s="319" t="s">
        <v>190</v>
      </c>
      <c r="AM413" s="319" t="s">
        <v>190</v>
      </c>
      <c r="AN413" s="319" t="s">
        <v>190</v>
      </c>
      <c r="AO413" s="319" t="s">
        <v>190</v>
      </c>
      <c r="AP413" s="319" t="s">
        <v>190</v>
      </c>
      <c r="AQ413" s="319" t="s">
        <v>190</v>
      </c>
      <c r="AR413" s="319" t="s">
        <v>190</v>
      </c>
      <c r="AS413" s="319" t="s">
        <v>190</v>
      </c>
      <c r="AT413" s="319" t="s">
        <v>190</v>
      </c>
      <c r="AU413" s="319" t="s">
        <v>190</v>
      </c>
      <c r="AV413" s="319" t="s">
        <v>190</v>
      </c>
      <c r="AW413" s="319" t="s">
        <v>190</v>
      </c>
      <c r="AX413" s="319" t="s">
        <v>428</v>
      </c>
      <c r="AY413" s="319" t="s">
        <v>190</v>
      </c>
      <c r="AZ413" s="319" t="s">
        <v>190</v>
      </c>
      <c r="BA413" s="319" t="s">
        <v>190</v>
      </c>
      <c r="BB413" s="319" t="s">
        <v>190</v>
      </c>
      <c r="BC413" s="319" t="s">
        <v>190</v>
      </c>
      <c r="BD413" s="319" t="s">
        <v>190</v>
      </c>
      <c r="BE413" s="319" t="s">
        <v>190</v>
      </c>
      <c r="BF413" s="319" t="s">
        <v>190</v>
      </c>
      <c r="BG413" s="319" t="s">
        <v>190</v>
      </c>
      <c r="BH413" s="319" t="s">
        <v>190</v>
      </c>
      <c r="BI413" s="319" t="s">
        <v>190</v>
      </c>
      <c r="BJ413" s="319" t="s">
        <v>190</v>
      </c>
      <c r="BK413" s="319" t="s">
        <v>190</v>
      </c>
      <c r="BL413" s="319" t="s">
        <v>190</v>
      </c>
      <c r="BM413" s="319" t="s">
        <v>190</v>
      </c>
      <c r="BN413" s="319" t="s">
        <v>190</v>
      </c>
      <c r="BO413" s="319" t="s">
        <v>190</v>
      </c>
      <c r="BP413" s="319" t="s">
        <v>190</v>
      </c>
      <c r="BQ413" s="319" t="s">
        <v>190</v>
      </c>
      <c r="BR413" s="319" t="s">
        <v>190</v>
      </c>
      <c r="BS413" s="319" t="s">
        <v>190</v>
      </c>
      <c r="BT413" s="319" t="s">
        <v>190</v>
      </c>
      <c r="BU413" s="319" t="s">
        <v>190</v>
      </c>
      <c r="BV413" s="319" t="s">
        <v>190</v>
      </c>
      <c r="BW413" s="319" t="s">
        <v>190</v>
      </c>
      <c r="BX413" s="319" t="s">
        <v>190</v>
      </c>
      <c r="BY413" s="319" t="s">
        <v>190</v>
      </c>
      <c r="BZ413" s="319" t="s">
        <v>190</v>
      </c>
      <c r="CA413" s="319" t="s">
        <v>190</v>
      </c>
      <c r="CB413" s="319" t="s">
        <v>190</v>
      </c>
      <c r="CC413" s="319" t="s">
        <v>190</v>
      </c>
      <c r="CD413" s="319" t="s">
        <v>190</v>
      </c>
      <c r="CE413" s="319" t="s">
        <v>190</v>
      </c>
      <c r="CF413" s="319" t="s">
        <v>190</v>
      </c>
      <c r="CG413" s="319" t="s">
        <v>190</v>
      </c>
      <c r="CH413" s="319" t="s">
        <v>190</v>
      </c>
      <c r="CI413" s="319" t="s">
        <v>190</v>
      </c>
      <c r="CJ413" s="319" t="s">
        <v>190</v>
      </c>
      <c r="CK413" s="319" t="s">
        <v>190</v>
      </c>
      <c r="CL413" s="319" t="s">
        <v>190</v>
      </c>
      <c r="CM413" s="319" t="s">
        <v>190</v>
      </c>
      <c r="CN413" s="319" t="s">
        <v>190</v>
      </c>
      <c r="CO413" s="319" t="s">
        <v>428</v>
      </c>
      <c r="CP413" s="319" t="s">
        <v>428</v>
      </c>
      <c r="CQ413" s="319" t="s">
        <v>190</v>
      </c>
      <c r="CR413" s="319" t="s">
        <v>190</v>
      </c>
      <c r="CS413" s="319" t="s">
        <v>190</v>
      </c>
      <c r="CT413" s="319" t="s">
        <v>190</v>
      </c>
      <c r="CU413" s="319" t="s">
        <v>190</v>
      </c>
      <c r="CV413" s="319" t="s">
        <v>190</v>
      </c>
      <c r="CW413" s="319" t="s">
        <v>190</v>
      </c>
      <c r="CX413" s="319" t="s">
        <v>190</v>
      </c>
      <c r="CY413" s="319" t="s">
        <v>190</v>
      </c>
      <c r="CZ413" s="319" t="s">
        <v>190</v>
      </c>
      <c r="DA413" s="319" t="s">
        <v>190</v>
      </c>
      <c r="DB413" s="319" t="s">
        <v>190</v>
      </c>
      <c r="DC413" s="319" t="s">
        <v>190</v>
      </c>
      <c r="DD413" s="319" t="s">
        <v>190</v>
      </c>
      <c r="DE413" s="319" t="s">
        <v>190</v>
      </c>
      <c r="DF413" s="319" t="s">
        <v>190</v>
      </c>
      <c r="DG413" s="319" t="s">
        <v>190</v>
      </c>
      <c r="DH413" s="319" t="s">
        <v>190</v>
      </c>
      <c r="DI413" s="319" t="s">
        <v>190</v>
      </c>
      <c r="DJ413" s="319" t="s">
        <v>190</v>
      </c>
      <c r="DK413" s="319" t="s">
        <v>190</v>
      </c>
      <c r="DL413" s="319" t="s">
        <v>190</v>
      </c>
      <c r="DM413" s="319" t="s">
        <v>190</v>
      </c>
      <c r="DN413" s="319" t="s">
        <v>428</v>
      </c>
      <c r="DO413" s="319" t="s">
        <v>190</v>
      </c>
      <c r="DP413" s="319" t="s">
        <v>190</v>
      </c>
      <c r="DQ413" s="319" t="s">
        <v>190</v>
      </c>
      <c r="DR413" s="319" t="s">
        <v>190</v>
      </c>
      <c r="DS413" s="319" t="s">
        <v>190</v>
      </c>
      <c r="DT413" s="319" t="s">
        <v>190</v>
      </c>
      <c r="DU413" s="319" t="s">
        <v>190</v>
      </c>
      <c r="DV413" s="319" t="s">
        <v>173</v>
      </c>
      <c r="DW413" s="319" t="s">
        <v>190</v>
      </c>
      <c r="DX413" s="319" t="s">
        <v>190</v>
      </c>
      <c r="DY413" s="319" t="s">
        <v>190</v>
      </c>
      <c r="DZ413" s="319" t="s">
        <v>190</v>
      </c>
      <c r="EA413" s="319" t="s">
        <v>190</v>
      </c>
      <c r="EB413" s="319" t="s">
        <v>190</v>
      </c>
      <c r="EC413" s="319" t="s">
        <v>428</v>
      </c>
      <c r="ED413" s="319" t="s">
        <v>190</v>
      </c>
      <c r="EE413" s="319" t="s">
        <v>190</v>
      </c>
      <c r="EF413" s="319" t="s">
        <v>190</v>
      </c>
      <c r="EG413" s="319" t="s">
        <v>190</v>
      </c>
      <c r="EH413" s="319" t="s">
        <v>190</v>
      </c>
      <c r="EI413" s="319" t="s">
        <v>190</v>
      </c>
      <c r="EJ413" s="319" t="s">
        <v>190</v>
      </c>
      <c r="EK413" s="319" t="s">
        <v>190</v>
      </c>
      <c r="EL413" s="319" t="s">
        <v>190</v>
      </c>
      <c r="EM413" s="319" t="s">
        <v>190</v>
      </c>
      <c r="EN413" s="319" t="s">
        <v>190</v>
      </c>
      <c r="EO413" s="319" t="s">
        <v>190</v>
      </c>
      <c r="EP413" s="319" t="s">
        <v>190</v>
      </c>
      <c r="EQ413" s="319" t="s">
        <v>190</v>
      </c>
      <c r="ER413" s="319" t="s">
        <v>190</v>
      </c>
      <c r="ES413" s="319" t="s">
        <v>190</v>
      </c>
      <c r="ET413" s="319" t="s">
        <v>190</v>
      </c>
      <c r="EU413" s="319" t="s">
        <v>190</v>
      </c>
      <c r="EV413" s="319" t="s">
        <v>190</v>
      </c>
      <c r="EW413" s="319" t="s">
        <v>190</v>
      </c>
      <c r="EX413" s="319" t="s">
        <v>190</v>
      </c>
      <c r="EY413" s="319" t="s">
        <v>190</v>
      </c>
      <c r="EZ413" s="319" t="s">
        <v>190</v>
      </c>
      <c r="FA413" s="319" t="s">
        <v>190</v>
      </c>
      <c r="FB413" s="319" t="s">
        <v>190</v>
      </c>
      <c r="FC413" s="319" t="s">
        <v>190</v>
      </c>
      <c r="FD413" s="319" t="s">
        <v>190</v>
      </c>
      <c r="FE413" s="319" t="s">
        <v>190</v>
      </c>
      <c r="FF413" s="319" t="s">
        <v>190</v>
      </c>
      <c r="FG413" s="319" t="s">
        <v>190</v>
      </c>
      <c r="FH413" s="319" t="s">
        <v>190</v>
      </c>
      <c r="FI413" s="319" t="s">
        <v>190</v>
      </c>
      <c r="FJ413" s="319" t="s">
        <v>190</v>
      </c>
      <c r="FK413" s="319" t="s">
        <v>190</v>
      </c>
      <c r="FL413" s="319" t="s">
        <v>190</v>
      </c>
      <c r="FM413" s="319" t="s">
        <v>190</v>
      </c>
      <c r="FN413" s="319" t="s">
        <v>190</v>
      </c>
      <c r="FO413" s="319" t="s">
        <v>190</v>
      </c>
      <c r="FP413" s="319" t="s">
        <v>190</v>
      </c>
      <c r="FQ413" s="319" t="s">
        <v>190</v>
      </c>
      <c r="FR413" s="319" t="s">
        <v>190</v>
      </c>
      <c r="FS413" s="319" t="s">
        <v>190</v>
      </c>
      <c r="FT413" s="319" t="s">
        <v>190</v>
      </c>
      <c r="FU413" s="319" t="s">
        <v>190</v>
      </c>
      <c r="FV413" s="319" t="s">
        <v>190</v>
      </c>
      <c r="FW413" s="319" t="s">
        <v>190</v>
      </c>
      <c r="FX413" s="319" t="s">
        <v>190</v>
      </c>
      <c r="FY413" s="319" t="s">
        <v>190</v>
      </c>
      <c r="FZ413" s="319" t="s">
        <v>190</v>
      </c>
      <c r="GA413" s="319" t="s">
        <v>190</v>
      </c>
      <c r="GB413" s="319" t="s">
        <v>190</v>
      </c>
      <c r="GC413" s="319" t="s">
        <v>190</v>
      </c>
      <c r="GD413" s="319" t="s">
        <v>190</v>
      </c>
      <c r="GE413" s="319" t="s">
        <v>190</v>
      </c>
      <c r="GF413" s="319" t="s">
        <v>190</v>
      </c>
      <c r="GG413" s="319" t="s">
        <v>190</v>
      </c>
      <c r="GH413" s="319" t="s">
        <v>190</v>
      </c>
      <c r="GI413" s="319" t="s">
        <v>190</v>
      </c>
      <c r="GJ413" s="319" t="s">
        <v>190</v>
      </c>
      <c r="GK413" s="319" t="s">
        <v>428</v>
      </c>
      <c r="GL413" s="319" t="s">
        <v>190</v>
      </c>
      <c r="GM413" s="319" t="s">
        <v>190</v>
      </c>
      <c r="GN413" s="319" t="s">
        <v>190</v>
      </c>
      <c r="GO413" s="319" t="s">
        <v>190</v>
      </c>
      <c r="GP413" s="319" t="s">
        <v>190</v>
      </c>
      <c r="GQ413" s="319" t="s">
        <v>190</v>
      </c>
      <c r="GR413" s="319" t="s">
        <v>190</v>
      </c>
      <c r="GS413" s="319" t="s">
        <v>190</v>
      </c>
      <c r="GT413" s="319" t="s">
        <v>190</v>
      </c>
      <c r="GU413" s="319" t="s">
        <v>190</v>
      </c>
      <c r="GV413" s="319" t="s">
        <v>190</v>
      </c>
      <c r="GW413" s="319" t="s">
        <v>190</v>
      </c>
      <c r="GX413" s="319" t="s">
        <v>190</v>
      </c>
      <c r="GY413" s="319" t="s">
        <v>190</v>
      </c>
      <c r="GZ413" s="319" t="s">
        <v>190</v>
      </c>
      <c r="HA413" s="319" t="s">
        <v>190</v>
      </c>
      <c r="HB413" s="319" t="s">
        <v>190</v>
      </c>
      <c r="HC413" s="319" t="s">
        <v>190</v>
      </c>
      <c r="HD413" s="319" t="s">
        <v>190</v>
      </c>
      <c r="HE413" s="319" t="s">
        <v>190</v>
      </c>
      <c r="HF413" s="319" t="s">
        <v>428</v>
      </c>
      <c r="HG413" s="319" t="s">
        <v>190</v>
      </c>
      <c r="HH413" s="319" t="s">
        <v>190</v>
      </c>
      <c r="HI413" s="319" t="s">
        <v>190</v>
      </c>
      <c r="HJ413" s="319" t="s">
        <v>190</v>
      </c>
      <c r="HK413" s="319" t="s">
        <v>190</v>
      </c>
      <c r="HL413" s="319" t="s">
        <v>190</v>
      </c>
      <c r="HM413" s="319" t="s">
        <v>190</v>
      </c>
      <c r="HN413" s="319" t="s">
        <v>190</v>
      </c>
      <c r="HO413" s="319" t="s">
        <v>190</v>
      </c>
      <c r="HP413" s="319" t="s">
        <v>190</v>
      </c>
      <c r="HQ413" s="319" t="s">
        <v>190</v>
      </c>
      <c r="HR413" s="319" t="s">
        <v>190</v>
      </c>
      <c r="HS413" s="319" t="s">
        <v>190</v>
      </c>
      <c r="HT413" s="319" t="s">
        <v>190</v>
      </c>
      <c r="HU413" s="319" t="s">
        <v>190</v>
      </c>
      <c r="HV413" s="319" t="s">
        <v>190</v>
      </c>
      <c r="HW413" s="319" t="s">
        <v>190</v>
      </c>
      <c r="HX413" s="319" t="s">
        <v>190</v>
      </c>
      <c r="HY413" s="319" t="s">
        <v>190</v>
      </c>
      <c r="HZ413" s="319" t="s">
        <v>190</v>
      </c>
      <c r="IA413" s="319" t="s">
        <v>190</v>
      </c>
      <c r="IB413" s="319" t="s">
        <v>190</v>
      </c>
      <c r="IC413" s="319" t="s">
        <v>190</v>
      </c>
      <c r="ID413" s="319" t="s">
        <v>190</v>
      </c>
      <c r="IE413" s="319" t="s">
        <v>190</v>
      </c>
      <c r="IF413" s="319" t="s">
        <v>190</v>
      </c>
      <c r="IG413" s="319" t="s">
        <v>190</v>
      </c>
      <c r="IH413" s="319" t="s">
        <v>190</v>
      </c>
      <c r="II413" s="319" t="s">
        <v>190</v>
      </c>
      <c r="IJ413" s="319">
        <v>10008865</v>
      </c>
      <c r="IK413" s="321">
        <v>42556</v>
      </c>
      <c r="IL413" s="321">
        <v>42558</v>
      </c>
      <c r="IM413" s="321">
        <v>42625</v>
      </c>
      <c r="IN413" s="319">
        <v>1</v>
      </c>
      <c r="IO413" s="319" t="s">
        <v>173</v>
      </c>
      <c r="IP413" s="319" t="s">
        <v>173</v>
      </c>
      <c r="IQ413" s="321" t="s">
        <v>173</v>
      </c>
      <c r="IR413" s="320" t="s">
        <v>173</v>
      </c>
      <c r="IS413" s="322" t="s">
        <v>173</v>
      </c>
      <c r="IT413" s="319" t="s">
        <v>173</v>
      </c>
    </row>
    <row r="414" spans="1:254" s="271" customFormat="1" x14ac:dyDescent="0.25">
      <c r="A414" s="318" t="str">
        <f>HYPERLINK("http://www.ofsted.gov.uk/inspection-reports/find-inspection-report/provider/ELS/133541 ","Ofsted School Webpage")</f>
        <v>Ofsted School Webpage</v>
      </c>
      <c r="B414" s="319">
        <v>133541</v>
      </c>
      <c r="C414" s="319">
        <v>8896009</v>
      </c>
      <c r="D414" s="319" t="s">
        <v>1776</v>
      </c>
      <c r="E414" s="319" t="s">
        <v>167</v>
      </c>
      <c r="F414" s="319" t="s">
        <v>71</v>
      </c>
      <c r="G414" s="319" t="s">
        <v>72</v>
      </c>
      <c r="H414" s="319" t="s">
        <v>71</v>
      </c>
      <c r="I414" s="319" t="s">
        <v>72</v>
      </c>
      <c r="J414" s="319" t="s">
        <v>424</v>
      </c>
      <c r="K414" s="319" t="s">
        <v>431</v>
      </c>
      <c r="L414" s="319" t="s">
        <v>431</v>
      </c>
      <c r="M414" s="319" t="s">
        <v>541</v>
      </c>
      <c r="N414" s="319" t="s">
        <v>2993</v>
      </c>
      <c r="O414" s="319" t="s">
        <v>1777</v>
      </c>
      <c r="P414" s="319">
        <v>176</v>
      </c>
      <c r="Q414" s="319" t="s">
        <v>2776</v>
      </c>
      <c r="R414" s="320">
        <v>10026008</v>
      </c>
      <c r="S414" s="321">
        <v>42920</v>
      </c>
      <c r="T414" s="321">
        <v>42922</v>
      </c>
      <c r="U414" s="321">
        <v>42944</v>
      </c>
      <c r="V414" s="319" t="s">
        <v>425</v>
      </c>
      <c r="W414" s="319" t="s">
        <v>2767</v>
      </c>
      <c r="X414" s="319">
        <v>2</v>
      </c>
      <c r="Y414" s="319" t="s">
        <v>173</v>
      </c>
      <c r="Z414" s="319" t="s">
        <v>173</v>
      </c>
      <c r="AA414" s="319" t="s">
        <v>173</v>
      </c>
      <c r="AB414" s="319">
        <v>2</v>
      </c>
      <c r="AC414" s="319" t="s">
        <v>169</v>
      </c>
      <c r="AD414" s="319" t="s">
        <v>173</v>
      </c>
      <c r="AE414" s="319" t="s">
        <v>173</v>
      </c>
      <c r="AF414" s="319" t="s">
        <v>173</v>
      </c>
      <c r="AG414" s="319" t="s">
        <v>171</v>
      </c>
      <c r="AH414" s="319" t="s">
        <v>190</v>
      </c>
      <c r="AI414" s="319" t="s">
        <v>190</v>
      </c>
      <c r="AJ414" s="319" t="s">
        <v>190</v>
      </c>
      <c r="AK414" s="319" t="s">
        <v>190</v>
      </c>
      <c r="AL414" s="319" t="s">
        <v>190</v>
      </c>
      <c r="AM414" s="319" t="s">
        <v>190</v>
      </c>
      <c r="AN414" s="319" t="s">
        <v>190</v>
      </c>
      <c r="AO414" s="319" t="s">
        <v>190</v>
      </c>
      <c r="AP414" s="319" t="s">
        <v>190</v>
      </c>
      <c r="AQ414" s="319" t="s">
        <v>190</v>
      </c>
      <c r="AR414" s="319" t="s">
        <v>190</v>
      </c>
      <c r="AS414" s="319" t="s">
        <v>190</v>
      </c>
      <c r="AT414" s="319" t="s">
        <v>190</v>
      </c>
      <c r="AU414" s="319" t="s">
        <v>190</v>
      </c>
      <c r="AV414" s="319" t="s">
        <v>190</v>
      </c>
      <c r="AW414" s="319" t="s">
        <v>190</v>
      </c>
      <c r="AX414" s="319" t="s">
        <v>429</v>
      </c>
      <c r="AY414" s="319" t="s">
        <v>190</v>
      </c>
      <c r="AZ414" s="319" t="s">
        <v>190</v>
      </c>
      <c r="BA414" s="319" t="s">
        <v>190</v>
      </c>
      <c r="BB414" s="319" t="s">
        <v>190</v>
      </c>
      <c r="BC414" s="319" t="s">
        <v>190</v>
      </c>
      <c r="BD414" s="319" t="s">
        <v>190</v>
      </c>
      <c r="BE414" s="319" t="s">
        <v>190</v>
      </c>
      <c r="BF414" s="319" t="s">
        <v>429</v>
      </c>
      <c r="BG414" s="319" t="s">
        <v>190</v>
      </c>
      <c r="BH414" s="319" t="s">
        <v>190</v>
      </c>
      <c r="BI414" s="319" t="s">
        <v>190</v>
      </c>
      <c r="BJ414" s="319" t="s">
        <v>190</v>
      </c>
      <c r="BK414" s="319" t="s">
        <v>190</v>
      </c>
      <c r="BL414" s="319" t="s">
        <v>190</v>
      </c>
      <c r="BM414" s="319" t="s">
        <v>190</v>
      </c>
      <c r="BN414" s="319" t="s">
        <v>190</v>
      </c>
      <c r="BO414" s="319" t="s">
        <v>190</v>
      </c>
      <c r="BP414" s="319" t="s">
        <v>190</v>
      </c>
      <c r="BQ414" s="319" t="s">
        <v>190</v>
      </c>
      <c r="BR414" s="319" t="s">
        <v>190</v>
      </c>
      <c r="BS414" s="319" t="s">
        <v>190</v>
      </c>
      <c r="BT414" s="319" t="s">
        <v>190</v>
      </c>
      <c r="BU414" s="319" t="s">
        <v>190</v>
      </c>
      <c r="BV414" s="319" t="s">
        <v>190</v>
      </c>
      <c r="BW414" s="319" t="s">
        <v>190</v>
      </c>
      <c r="BX414" s="319" t="s">
        <v>190</v>
      </c>
      <c r="BY414" s="319" t="s">
        <v>190</v>
      </c>
      <c r="BZ414" s="319" t="s">
        <v>190</v>
      </c>
      <c r="CA414" s="319" t="s">
        <v>190</v>
      </c>
      <c r="CB414" s="319" t="s">
        <v>190</v>
      </c>
      <c r="CC414" s="319" t="s">
        <v>190</v>
      </c>
      <c r="CD414" s="319" t="s">
        <v>190</v>
      </c>
      <c r="CE414" s="319" t="s">
        <v>190</v>
      </c>
      <c r="CF414" s="319" t="s">
        <v>190</v>
      </c>
      <c r="CG414" s="319" t="s">
        <v>190</v>
      </c>
      <c r="CH414" s="319" t="s">
        <v>190</v>
      </c>
      <c r="CI414" s="319" t="s">
        <v>190</v>
      </c>
      <c r="CJ414" s="319" t="s">
        <v>190</v>
      </c>
      <c r="CK414" s="319" t="s">
        <v>190</v>
      </c>
      <c r="CL414" s="319" t="s">
        <v>190</v>
      </c>
      <c r="CM414" s="319" t="s">
        <v>190</v>
      </c>
      <c r="CN414" s="319" t="s">
        <v>429</v>
      </c>
      <c r="CO414" s="319" t="s">
        <v>429</v>
      </c>
      <c r="CP414" s="319" t="s">
        <v>429</v>
      </c>
      <c r="CQ414" s="319" t="s">
        <v>190</v>
      </c>
      <c r="CR414" s="319" t="s">
        <v>190</v>
      </c>
      <c r="CS414" s="319" t="s">
        <v>190</v>
      </c>
      <c r="CT414" s="319" t="s">
        <v>190</v>
      </c>
      <c r="CU414" s="319" t="s">
        <v>190</v>
      </c>
      <c r="CV414" s="319" t="s">
        <v>190</v>
      </c>
      <c r="CW414" s="319" t="s">
        <v>190</v>
      </c>
      <c r="CX414" s="319" t="s">
        <v>190</v>
      </c>
      <c r="CY414" s="319" t="s">
        <v>190</v>
      </c>
      <c r="CZ414" s="319" t="s">
        <v>190</v>
      </c>
      <c r="DA414" s="319" t="s">
        <v>190</v>
      </c>
      <c r="DB414" s="319" t="s">
        <v>190</v>
      </c>
      <c r="DC414" s="319" t="s">
        <v>190</v>
      </c>
      <c r="DD414" s="319" t="s">
        <v>190</v>
      </c>
      <c r="DE414" s="319" t="s">
        <v>190</v>
      </c>
      <c r="DF414" s="319" t="s">
        <v>190</v>
      </c>
      <c r="DG414" s="319" t="s">
        <v>190</v>
      </c>
      <c r="DH414" s="319" t="s">
        <v>190</v>
      </c>
      <c r="DI414" s="319" t="s">
        <v>190</v>
      </c>
      <c r="DJ414" s="319" t="s">
        <v>190</v>
      </c>
      <c r="DK414" s="319" t="s">
        <v>190</v>
      </c>
      <c r="DL414" s="319" t="s">
        <v>190</v>
      </c>
      <c r="DM414" s="319" t="s">
        <v>190</v>
      </c>
      <c r="DN414" s="319" t="s">
        <v>429</v>
      </c>
      <c r="DO414" s="319" t="s">
        <v>190</v>
      </c>
      <c r="DP414" s="319" t="s">
        <v>429</v>
      </c>
      <c r="DQ414" s="319" t="s">
        <v>429</v>
      </c>
      <c r="DR414" s="319" t="s">
        <v>429</v>
      </c>
      <c r="DS414" s="319" t="s">
        <v>429</v>
      </c>
      <c r="DT414" s="319" t="s">
        <v>429</v>
      </c>
      <c r="DU414" s="319" t="s">
        <v>429</v>
      </c>
      <c r="DV414" s="319" t="s">
        <v>173</v>
      </c>
      <c r="DW414" s="319" t="s">
        <v>429</v>
      </c>
      <c r="DX414" s="319" t="s">
        <v>429</v>
      </c>
      <c r="DY414" s="319" t="s">
        <v>429</v>
      </c>
      <c r="DZ414" s="319" t="s">
        <v>429</v>
      </c>
      <c r="EA414" s="319" t="s">
        <v>429</v>
      </c>
      <c r="EB414" s="319" t="s">
        <v>429</v>
      </c>
      <c r="EC414" s="319" t="s">
        <v>429</v>
      </c>
      <c r="ED414" s="319" t="s">
        <v>429</v>
      </c>
      <c r="EE414" s="319" t="s">
        <v>190</v>
      </c>
      <c r="EF414" s="319" t="s">
        <v>190</v>
      </c>
      <c r="EG414" s="319" t="s">
        <v>190</v>
      </c>
      <c r="EH414" s="319" t="s">
        <v>190</v>
      </c>
      <c r="EI414" s="319" t="s">
        <v>190</v>
      </c>
      <c r="EJ414" s="319" t="s">
        <v>190</v>
      </c>
      <c r="EK414" s="319" t="s">
        <v>190</v>
      </c>
      <c r="EL414" s="319" t="s">
        <v>190</v>
      </c>
      <c r="EM414" s="319" t="s">
        <v>190</v>
      </c>
      <c r="EN414" s="319" t="s">
        <v>190</v>
      </c>
      <c r="EO414" s="319" t="s">
        <v>190</v>
      </c>
      <c r="EP414" s="319" t="s">
        <v>190</v>
      </c>
      <c r="EQ414" s="319" t="s">
        <v>190</v>
      </c>
      <c r="ER414" s="319" t="s">
        <v>190</v>
      </c>
      <c r="ES414" s="319" t="s">
        <v>190</v>
      </c>
      <c r="ET414" s="319" t="s">
        <v>190</v>
      </c>
      <c r="EU414" s="319" t="s">
        <v>190</v>
      </c>
      <c r="EV414" s="319" t="s">
        <v>190</v>
      </c>
      <c r="EW414" s="319" t="s">
        <v>190</v>
      </c>
      <c r="EX414" s="319" t="s">
        <v>190</v>
      </c>
      <c r="EY414" s="319" t="s">
        <v>190</v>
      </c>
      <c r="EZ414" s="319" t="s">
        <v>190</v>
      </c>
      <c r="FA414" s="319" t="s">
        <v>190</v>
      </c>
      <c r="FB414" s="319" t="s">
        <v>429</v>
      </c>
      <c r="FC414" s="319" t="s">
        <v>429</v>
      </c>
      <c r="FD414" s="319" t="s">
        <v>429</v>
      </c>
      <c r="FE414" s="319" t="s">
        <v>429</v>
      </c>
      <c r="FF414" s="319" t="s">
        <v>429</v>
      </c>
      <c r="FG414" s="319" t="s">
        <v>429</v>
      </c>
      <c r="FH414" s="319" t="s">
        <v>190</v>
      </c>
      <c r="FI414" s="319" t="s">
        <v>190</v>
      </c>
      <c r="FJ414" s="319" t="s">
        <v>190</v>
      </c>
      <c r="FK414" s="319" t="s">
        <v>190</v>
      </c>
      <c r="FL414" s="319" t="s">
        <v>190</v>
      </c>
      <c r="FM414" s="319" t="s">
        <v>190</v>
      </c>
      <c r="FN414" s="319" t="s">
        <v>190</v>
      </c>
      <c r="FO414" s="319" t="s">
        <v>190</v>
      </c>
      <c r="FP414" s="319" t="s">
        <v>190</v>
      </c>
      <c r="FQ414" s="319" t="s">
        <v>190</v>
      </c>
      <c r="FR414" s="319" t="s">
        <v>190</v>
      </c>
      <c r="FS414" s="319" t="s">
        <v>429</v>
      </c>
      <c r="FT414" s="319" t="s">
        <v>190</v>
      </c>
      <c r="FU414" s="319" t="s">
        <v>190</v>
      </c>
      <c r="FV414" s="319" t="s">
        <v>190</v>
      </c>
      <c r="FW414" s="319" t="s">
        <v>190</v>
      </c>
      <c r="FX414" s="319" t="s">
        <v>190</v>
      </c>
      <c r="FY414" s="319" t="s">
        <v>190</v>
      </c>
      <c r="FZ414" s="319" t="s">
        <v>190</v>
      </c>
      <c r="GA414" s="319" t="s">
        <v>190</v>
      </c>
      <c r="GB414" s="319" t="s">
        <v>190</v>
      </c>
      <c r="GC414" s="319" t="s">
        <v>190</v>
      </c>
      <c r="GD414" s="319" t="s">
        <v>190</v>
      </c>
      <c r="GE414" s="319" t="s">
        <v>190</v>
      </c>
      <c r="GF414" s="319" t="s">
        <v>190</v>
      </c>
      <c r="GG414" s="319" t="s">
        <v>190</v>
      </c>
      <c r="GH414" s="319" t="s">
        <v>190</v>
      </c>
      <c r="GI414" s="319" t="s">
        <v>190</v>
      </c>
      <c r="GJ414" s="319" t="s">
        <v>190</v>
      </c>
      <c r="GK414" s="319" t="s">
        <v>429</v>
      </c>
      <c r="GL414" s="319" t="s">
        <v>190</v>
      </c>
      <c r="GM414" s="319" t="s">
        <v>190</v>
      </c>
      <c r="GN414" s="319" t="s">
        <v>190</v>
      </c>
      <c r="GO414" s="319" t="s">
        <v>190</v>
      </c>
      <c r="GP414" s="319" t="s">
        <v>190</v>
      </c>
      <c r="GQ414" s="319" t="s">
        <v>429</v>
      </c>
      <c r="GR414" s="319" t="s">
        <v>190</v>
      </c>
      <c r="GS414" s="319" t="s">
        <v>190</v>
      </c>
      <c r="GT414" s="319" t="s">
        <v>429</v>
      </c>
      <c r="GU414" s="319" t="s">
        <v>429</v>
      </c>
      <c r="GV414" s="319" t="s">
        <v>190</v>
      </c>
      <c r="GW414" s="319" t="s">
        <v>190</v>
      </c>
      <c r="GX414" s="319" t="s">
        <v>190</v>
      </c>
      <c r="GY414" s="319" t="s">
        <v>190</v>
      </c>
      <c r="GZ414" s="319" t="s">
        <v>190</v>
      </c>
      <c r="HA414" s="319" t="s">
        <v>190</v>
      </c>
      <c r="HB414" s="319" t="s">
        <v>190</v>
      </c>
      <c r="HC414" s="319" t="s">
        <v>190</v>
      </c>
      <c r="HD414" s="319" t="s">
        <v>190</v>
      </c>
      <c r="HE414" s="319" t="s">
        <v>190</v>
      </c>
      <c r="HF414" s="319" t="s">
        <v>190</v>
      </c>
      <c r="HG414" s="319" t="s">
        <v>190</v>
      </c>
      <c r="HH414" s="319" t="s">
        <v>190</v>
      </c>
      <c r="HI414" s="319" t="s">
        <v>190</v>
      </c>
      <c r="HJ414" s="319" t="s">
        <v>190</v>
      </c>
      <c r="HK414" s="319" t="s">
        <v>190</v>
      </c>
      <c r="HL414" s="319" t="s">
        <v>190</v>
      </c>
      <c r="HM414" s="319" t="s">
        <v>190</v>
      </c>
      <c r="HN414" s="319" t="s">
        <v>190</v>
      </c>
      <c r="HO414" s="319" t="s">
        <v>190</v>
      </c>
      <c r="HP414" s="319" t="s">
        <v>190</v>
      </c>
      <c r="HQ414" s="319" t="s">
        <v>190</v>
      </c>
      <c r="HR414" s="319" t="s">
        <v>190</v>
      </c>
      <c r="HS414" s="319" t="s">
        <v>190</v>
      </c>
      <c r="HT414" s="319" t="s">
        <v>190</v>
      </c>
      <c r="HU414" s="319" t="s">
        <v>190</v>
      </c>
      <c r="HV414" s="319" t="s">
        <v>190</v>
      </c>
      <c r="HW414" s="319" t="s">
        <v>190</v>
      </c>
      <c r="HX414" s="319" t="s">
        <v>190</v>
      </c>
      <c r="HY414" s="319" t="s">
        <v>190</v>
      </c>
      <c r="HZ414" s="319" t="s">
        <v>190</v>
      </c>
      <c r="IA414" s="319" t="s">
        <v>190</v>
      </c>
      <c r="IB414" s="319" t="s">
        <v>190</v>
      </c>
      <c r="IC414" s="319" t="s">
        <v>190</v>
      </c>
      <c r="ID414" s="319" t="s">
        <v>190</v>
      </c>
      <c r="IE414" s="319" t="s">
        <v>190</v>
      </c>
      <c r="IF414" s="319" t="s">
        <v>190</v>
      </c>
      <c r="IG414" s="319" t="s">
        <v>190</v>
      </c>
      <c r="IH414" s="319" t="s">
        <v>190</v>
      </c>
      <c r="II414" s="319" t="s">
        <v>190</v>
      </c>
      <c r="IJ414" s="319" t="s">
        <v>3189</v>
      </c>
      <c r="IK414" s="321">
        <v>41667</v>
      </c>
      <c r="IL414" s="321">
        <v>41669</v>
      </c>
      <c r="IM414" s="321">
        <v>41697</v>
      </c>
      <c r="IN414" s="319">
        <v>2</v>
      </c>
      <c r="IO414" s="319" t="s">
        <v>173</v>
      </c>
      <c r="IP414" s="319" t="s">
        <v>173</v>
      </c>
      <c r="IQ414" s="321" t="s">
        <v>173</v>
      </c>
      <c r="IR414" s="320" t="s">
        <v>173</v>
      </c>
      <c r="IS414" s="322" t="s">
        <v>173</v>
      </c>
      <c r="IT414" s="319" t="s">
        <v>173</v>
      </c>
    </row>
    <row r="415" spans="1:254" s="271" customFormat="1" x14ac:dyDescent="0.25">
      <c r="A415" s="318" t="str">
        <f>HYPERLINK("http://www.ofsted.gov.uk/inspection-reports/find-inspection-report/provider/ELS/133553 ","Ofsted School Webpage")</f>
        <v>Ofsted School Webpage</v>
      </c>
      <c r="B415" s="319">
        <v>133553</v>
      </c>
      <c r="C415" s="319">
        <v>3026115</v>
      </c>
      <c r="D415" s="319" t="s">
        <v>543</v>
      </c>
      <c r="E415" s="319" t="s">
        <v>167</v>
      </c>
      <c r="F415" s="319" t="s">
        <v>81</v>
      </c>
      <c r="G415" s="319" t="s">
        <v>69</v>
      </c>
      <c r="H415" s="319" t="s">
        <v>69</v>
      </c>
      <c r="I415" s="319" t="s">
        <v>69</v>
      </c>
      <c r="J415" s="319" t="s">
        <v>424</v>
      </c>
      <c r="K415" s="319" t="s">
        <v>441</v>
      </c>
      <c r="L415" s="319" t="s">
        <v>441</v>
      </c>
      <c r="M415" s="319" t="s">
        <v>544</v>
      </c>
      <c r="N415" s="319" t="s">
        <v>2818</v>
      </c>
      <c r="O415" s="319" t="s">
        <v>545</v>
      </c>
      <c r="P415" s="319">
        <v>354</v>
      </c>
      <c r="Q415" s="319" t="s">
        <v>2766</v>
      </c>
      <c r="R415" s="320">
        <v>10054291</v>
      </c>
      <c r="S415" s="321">
        <v>43382</v>
      </c>
      <c r="T415" s="321">
        <v>43384</v>
      </c>
      <c r="U415" s="321">
        <v>43412</v>
      </c>
      <c r="V415" s="319" t="s">
        <v>425</v>
      </c>
      <c r="W415" s="319" t="s">
        <v>2767</v>
      </c>
      <c r="X415" s="319">
        <v>2</v>
      </c>
      <c r="Y415" s="319" t="s">
        <v>173</v>
      </c>
      <c r="Z415" s="319" t="s">
        <v>173</v>
      </c>
      <c r="AA415" s="319" t="s">
        <v>173</v>
      </c>
      <c r="AB415" s="319">
        <v>2</v>
      </c>
      <c r="AC415" s="319" t="s">
        <v>169</v>
      </c>
      <c r="AD415" s="319">
        <v>1</v>
      </c>
      <c r="AE415" s="319" t="s">
        <v>173</v>
      </c>
      <c r="AF415" s="319" t="s">
        <v>427</v>
      </c>
      <c r="AG415" s="319" t="s">
        <v>171</v>
      </c>
      <c r="AH415" s="319" t="s">
        <v>190</v>
      </c>
      <c r="AI415" s="319" t="s">
        <v>190</v>
      </c>
      <c r="AJ415" s="319" t="s">
        <v>190</v>
      </c>
      <c r="AK415" s="319" t="s">
        <v>190</v>
      </c>
      <c r="AL415" s="319" t="s">
        <v>190</v>
      </c>
      <c r="AM415" s="319" t="s">
        <v>190</v>
      </c>
      <c r="AN415" s="319" t="s">
        <v>190</v>
      </c>
      <c r="AO415" s="319" t="s">
        <v>190</v>
      </c>
      <c r="AP415" s="319" t="s">
        <v>190</v>
      </c>
      <c r="AQ415" s="319" t="s">
        <v>190</v>
      </c>
      <c r="AR415" s="319" t="s">
        <v>190</v>
      </c>
      <c r="AS415" s="319" t="s">
        <v>190</v>
      </c>
      <c r="AT415" s="319" t="s">
        <v>190</v>
      </c>
      <c r="AU415" s="319" t="s">
        <v>190</v>
      </c>
      <c r="AV415" s="319" t="s">
        <v>190</v>
      </c>
      <c r="AW415" s="319" t="s">
        <v>190</v>
      </c>
      <c r="AX415" s="319" t="s">
        <v>190</v>
      </c>
      <c r="AY415" s="319" t="s">
        <v>190</v>
      </c>
      <c r="AZ415" s="319" t="s">
        <v>190</v>
      </c>
      <c r="BA415" s="319" t="s">
        <v>190</v>
      </c>
      <c r="BB415" s="319" t="s">
        <v>190</v>
      </c>
      <c r="BC415" s="319" t="s">
        <v>190</v>
      </c>
      <c r="BD415" s="319" t="s">
        <v>190</v>
      </c>
      <c r="BE415" s="319" t="s">
        <v>190</v>
      </c>
      <c r="BF415" s="319" t="s">
        <v>190</v>
      </c>
      <c r="BG415" s="319" t="s">
        <v>190</v>
      </c>
      <c r="BH415" s="319" t="s">
        <v>190</v>
      </c>
      <c r="BI415" s="319" t="s">
        <v>190</v>
      </c>
      <c r="BJ415" s="319" t="s">
        <v>190</v>
      </c>
      <c r="BK415" s="319" t="s">
        <v>190</v>
      </c>
      <c r="BL415" s="319" t="s">
        <v>190</v>
      </c>
      <c r="BM415" s="319" t="s">
        <v>190</v>
      </c>
      <c r="BN415" s="319" t="s">
        <v>190</v>
      </c>
      <c r="BO415" s="319" t="s">
        <v>190</v>
      </c>
      <c r="BP415" s="319" t="s">
        <v>190</v>
      </c>
      <c r="BQ415" s="319" t="s">
        <v>190</v>
      </c>
      <c r="BR415" s="319" t="s">
        <v>190</v>
      </c>
      <c r="BS415" s="319" t="s">
        <v>190</v>
      </c>
      <c r="BT415" s="319" t="s">
        <v>190</v>
      </c>
      <c r="BU415" s="319" t="s">
        <v>190</v>
      </c>
      <c r="BV415" s="319" t="s">
        <v>190</v>
      </c>
      <c r="BW415" s="319" t="s">
        <v>190</v>
      </c>
      <c r="BX415" s="319" t="s">
        <v>190</v>
      </c>
      <c r="BY415" s="319" t="s">
        <v>190</v>
      </c>
      <c r="BZ415" s="319" t="s">
        <v>190</v>
      </c>
      <c r="CA415" s="319" t="s">
        <v>190</v>
      </c>
      <c r="CB415" s="319" t="s">
        <v>190</v>
      </c>
      <c r="CC415" s="319" t="s">
        <v>190</v>
      </c>
      <c r="CD415" s="319" t="s">
        <v>190</v>
      </c>
      <c r="CE415" s="319" t="s">
        <v>190</v>
      </c>
      <c r="CF415" s="319" t="s">
        <v>190</v>
      </c>
      <c r="CG415" s="319" t="s">
        <v>190</v>
      </c>
      <c r="CH415" s="319" t="s">
        <v>190</v>
      </c>
      <c r="CI415" s="319" t="s">
        <v>190</v>
      </c>
      <c r="CJ415" s="319" t="s">
        <v>190</v>
      </c>
      <c r="CK415" s="319" t="s">
        <v>190</v>
      </c>
      <c r="CL415" s="319" t="s">
        <v>190</v>
      </c>
      <c r="CM415" s="319" t="s">
        <v>190</v>
      </c>
      <c r="CN415" s="319" t="s">
        <v>428</v>
      </c>
      <c r="CO415" s="319" t="s">
        <v>428</v>
      </c>
      <c r="CP415" s="319" t="s">
        <v>428</v>
      </c>
      <c r="CQ415" s="319" t="s">
        <v>190</v>
      </c>
      <c r="CR415" s="319" t="s">
        <v>190</v>
      </c>
      <c r="CS415" s="319" t="s">
        <v>190</v>
      </c>
      <c r="CT415" s="319" t="s">
        <v>190</v>
      </c>
      <c r="CU415" s="319" t="s">
        <v>190</v>
      </c>
      <c r="CV415" s="319" t="s">
        <v>190</v>
      </c>
      <c r="CW415" s="319" t="s">
        <v>190</v>
      </c>
      <c r="CX415" s="319" t="s">
        <v>190</v>
      </c>
      <c r="CY415" s="319" t="s">
        <v>190</v>
      </c>
      <c r="CZ415" s="319" t="s">
        <v>190</v>
      </c>
      <c r="DA415" s="319" t="s">
        <v>190</v>
      </c>
      <c r="DB415" s="319" t="s">
        <v>190</v>
      </c>
      <c r="DC415" s="319" t="s">
        <v>190</v>
      </c>
      <c r="DD415" s="319" t="s">
        <v>190</v>
      </c>
      <c r="DE415" s="319" t="s">
        <v>190</v>
      </c>
      <c r="DF415" s="319" t="s">
        <v>190</v>
      </c>
      <c r="DG415" s="319" t="s">
        <v>190</v>
      </c>
      <c r="DH415" s="319" t="s">
        <v>190</v>
      </c>
      <c r="DI415" s="319" t="s">
        <v>190</v>
      </c>
      <c r="DJ415" s="319" t="s">
        <v>190</v>
      </c>
      <c r="DK415" s="319" t="s">
        <v>190</v>
      </c>
      <c r="DL415" s="319" t="s">
        <v>190</v>
      </c>
      <c r="DM415" s="319" t="s">
        <v>428</v>
      </c>
      <c r="DN415" s="319" t="s">
        <v>428</v>
      </c>
      <c r="DO415" s="319" t="s">
        <v>190</v>
      </c>
      <c r="DP415" s="319" t="s">
        <v>190</v>
      </c>
      <c r="DQ415" s="319" t="s">
        <v>190</v>
      </c>
      <c r="DR415" s="319" t="s">
        <v>190</v>
      </c>
      <c r="DS415" s="319" t="s">
        <v>190</v>
      </c>
      <c r="DT415" s="319" t="s">
        <v>190</v>
      </c>
      <c r="DU415" s="319" t="s">
        <v>190</v>
      </c>
      <c r="DV415" s="319" t="s">
        <v>173</v>
      </c>
      <c r="DW415" s="319" t="s">
        <v>190</v>
      </c>
      <c r="DX415" s="319" t="s">
        <v>190</v>
      </c>
      <c r="DY415" s="319" t="s">
        <v>190</v>
      </c>
      <c r="DZ415" s="319" t="s">
        <v>190</v>
      </c>
      <c r="EA415" s="319" t="s">
        <v>190</v>
      </c>
      <c r="EB415" s="319" t="s">
        <v>190</v>
      </c>
      <c r="EC415" s="319" t="s">
        <v>428</v>
      </c>
      <c r="ED415" s="319" t="s">
        <v>190</v>
      </c>
      <c r="EE415" s="319" t="s">
        <v>190</v>
      </c>
      <c r="EF415" s="319" t="s">
        <v>190</v>
      </c>
      <c r="EG415" s="319" t="s">
        <v>190</v>
      </c>
      <c r="EH415" s="319" t="s">
        <v>190</v>
      </c>
      <c r="EI415" s="319" t="s">
        <v>190</v>
      </c>
      <c r="EJ415" s="319" t="s">
        <v>190</v>
      </c>
      <c r="EK415" s="319" t="s">
        <v>190</v>
      </c>
      <c r="EL415" s="319" t="s">
        <v>190</v>
      </c>
      <c r="EM415" s="319" t="s">
        <v>190</v>
      </c>
      <c r="EN415" s="319" t="s">
        <v>190</v>
      </c>
      <c r="EO415" s="319" t="s">
        <v>190</v>
      </c>
      <c r="EP415" s="319" t="s">
        <v>190</v>
      </c>
      <c r="EQ415" s="319" t="s">
        <v>190</v>
      </c>
      <c r="ER415" s="319" t="s">
        <v>190</v>
      </c>
      <c r="ES415" s="319" t="s">
        <v>190</v>
      </c>
      <c r="ET415" s="319" t="s">
        <v>190</v>
      </c>
      <c r="EU415" s="319" t="s">
        <v>190</v>
      </c>
      <c r="EV415" s="319" t="s">
        <v>190</v>
      </c>
      <c r="EW415" s="319" t="s">
        <v>190</v>
      </c>
      <c r="EX415" s="319" t="s">
        <v>190</v>
      </c>
      <c r="EY415" s="319" t="s">
        <v>190</v>
      </c>
      <c r="EZ415" s="319" t="s">
        <v>190</v>
      </c>
      <c r="FA415" s="319" t="s">
        <v>190</v>
      </c>
      <c r="FB415" s="319" t="s">
        <v>190</v>
      </c>
      <c r="FC415" s="319" t="s">
        <v>190</v>
      </c>
      <c r="FD415" s="319" t="s">
        <v>190</v>
      </c>
      <c r="FE415" s="319" t="s">
        <v>190</v>
      </c>
      <c r="FF415" s="319" t="s">
        <v>190</v>
      </c>
      <c r="FG415" s="319" t="s">
        <v>190</v>
      </c>
      <c r="FH415" s="319" t="s">
        <v>190</v>
      </c>
      <c r="FI415" s="319" t="s">
        <v>190</v>
      </c>
      <c r="FJ415" s="319" t="s">
        <v>190</v>
      </c>
      <c r="FK415" s="319" t="s">
        <v>190</v>
      </c>
      <c r="FL415" s="319" t="s">
        <v>190</v>
      </c>
      <c r="FM415" s="319" t="s">
        <v>190</v>
      </c>
      <c r="FN415" s="319" t="s">
        <v>428</v>
      </c>
      <c r="FO415" s="319" t="s">
        <v>428</v>
      </c>
      <c r="FP415" s="319" t="s">
        <v>190</v>
      </c>
      <c r="FQ415" s="319" t="s">
        <v>190</v>
      </c>
      <c r="FR415" s="319" t="s">
        <v>190</v>
      </c>
      <c r="FS415" s="319" t="s">
        <v>190</v>
      </c>
      <c r="FT415" s="319" t="s">
        <v>190</v>
      </c>
      <c r="FU415" s="319" t="s">
        <v>190</v>
      </c>
      <c r="FV415" s="319" t="s">
        <v>190</v>
      </c>
      <c r="FW415" s="319" t="s">
        <v>190</v>
      </c>
      <c r="FX415" s="319" t="s">
        <v>190</v>
      </c>
      <c r="FY415" s="319" t="s">
        <v>190</v>
      </c>
      <c r="FZ415" s="319" t="s">
        <v>190</v>
      </c>
      <c r="GA415" s="319" t="s">
        <v>190</v>
      </c>
      <c r="GB415" s="319" t="s">
        <v>190</v>
      </c>
      <c r="GC415" s="319" t="s">
        <v>190</v>
      </c>
      <c r="GD415" s="319" t="s">
        <v>190</v>
      </c>
      <c r="GE415" s="319" t="s">
        <v>190</v>
      </c>
      <c r="GF415" s="319" t="s">
        <v>190</v>
      </c>
      <c r="GG415" s="319" t="s">
        <v>190</v>
      </c>
      <c r="GH415" s="319" t="s">
        <v>190</v>
      </c>
      <c r="GI415" s="319" t="s">
        <v>190</v>
      </c>
      <c r="GJ415" s="319" t="s">
        <v>190</v>
      </c>
      <c r="GK415" s="319" t="s">
        <v>428</v>
      </c>
      <c r="GL415" s="319" t="s">
        <v>190</v>
      </c>
      <c r="GM415" s="319" t="s">
        <v>190</v>
      </c>
      <c r="GN415" s="319" t="s">
        <v>190</v>
      </c>
      <c r="GO415" s="319" t="s">
        <v>190</v>
      </c>
      <c r="GP415" s="319" t="s">
        <v>190</v>
      </c>
      <c r="GQ415" s="319" t="s">
        <v>428</v>
      </c>
      <c r="GR415" s="319" t="s">
        <v>190</v>
      </c>
      <c r="GS415" s="319" t="s">
        <v>190</v>
      </c>
      <c r="GT415" s="319" t="s">
        <v>190</v>
      </c>
      <c r="GU415" s="319" t="s">
        <v>428</v>
      </c>
      <c r="GV415" s="319" t="s">
        <v>190</v>
      </c>
      <c r="GW415" s="319" t="s">
        <v>190</v>
      </c>
      <c r="GX415" s="319" t="s">
        <v>173</v>
      </c>
      <c r="GY415" s="319" t="s">
        <v>190</v>
      </c>
      <c r="GZ415" s="319" t="s">
        <v>428</v>
      </c>
      <c r="HA415" s="319" t="s">
        <v>190</v>
      </c>
      <c r="HB415" s="319" t="s">
        <v>190</v>
      </c>
      <c r="HC415" s="319" t="s">
        <v>190</v>
      </c>
      <c r="HD415" s="319" t="s">
        <v>190</v>
      </c>
      <c r="HE415" s="319" t="s">
        <v>190</v>
      </c>
      <c r="HF415" s="319" t="s">
        <v>190</v>
      </c>
      <c r="HG415" s="319" t="s">
        <v>190</v>
      </c>
      <c r="HH415" s="319" t="s">
        <v>190</v>
      </c>
      <c r="HI415" s="319" t="s">
        <v>190</v>
      </c>
      <c r="HJ415" s="319" t="s">
        <v>190</v>
      </c>
      <c r="HK415" s="319" t="s">
        <v>190</v>
      </c>
      <c r="HL415" s="319" t="s">
        <v>190</v>
      </c>
      <c r="HM415" s="319" t="s">
        <v>428</v>
      </c>
      <c r="HN415" s="319" t="s">
        <v>428</v>
      </c>
      <c r="HO415" s="319" t="s">
        <v>428</v>
      </c>
      <c r="HP415" s="319" t="s">
        <v>190</v>
      </c>
      <c r="HQ415" s="319" t="s">
        <v>190</v>
      </c>
      <c r="HR415" s="319" t="s">
        <v>190</v>
      </c>
      <c r="HS415" s="319" t="s">
        <v>190</v>
      </c>
      <c r="HT415" s="319" t="s">
        <v>190</v>
      </c>
      <c r="HU415" s="319" t="s">
        <v>190</v>
      </c>
      <c r="HV415" s="319" t="s">
        <v>190</v>
      </c>
      <c r="HW415" s="319" t="s">
        <v>190</v>
      </c>
      <c r="HX415" s="319" t="s">
        <v>190</v>
      </c>
      <c r="HY415" s="319" t="s">
        <v>190</v>
      </c>
      <c r="HZ415" s="319" t="s">
        <v>190</v>
      </c>
      <c r="IA415" s="319" t="s">
        <v>190</v>
      </c>
      <c r="IB415" s="319" t="s">
        <v>190</v>
      </c>
      <c r="IC415" s="319" t="s">
        <v>190</v>
      </c>
      <c r="ID415" s="319" t="s">
        <v>190</v>
      </c>
      <c r="IE415" s="319" t="s">
        <v>190</v>
      </c>
      <c r="IF415" s="319" t="s">
        <v>190</v>
      </c>
      <c r="IG415" s="319" t="s">
        <v>190</v>
      </c>
      <c r="IH415" s="319" t="s">
        <v>190</v>
      </c>
      <c r="II415" s="319" t="s">
        <v>190</v>
      </c>
      <c r="IJ415" s="319">
        <v>10021534</v>
      </c>
      <c r="IK415" s="321">
        <v>42675</v>
      </c>
      <c r="IL415" s="321">
        <v>42677</v>
      </c>
      <c r="IM415" s="321">
        <v>42709</v>
      </c>
      <c r="IN415" s="319">
        <v>3</v>
      </c>
      <c r="IO415" s="319" t="s">
        <v>173</v>
      </c>
      <c r="IP415" s="319" t="s">
        <v>173</v>
      </c>
      <c r="IQ415" s="319" t="s">
        <v>173</v>
      </c>
      <c r="IR415" s="320" t="s">
        <v>173</v>
      </c>
      <c r="IS415" s="320" t="s">
        <v>173</v>
      </c>
      <c r="IT415" s="319" t="s">
        <v>173</v>
      </c>
    </row>
    <row r="416" spans="1:254" s="271" customFormat="1" x14ac:dyDescent="0.25">
      <c r="A416" s="318" t="str">
        <f>HYPERLINK("http://www.ofsted.gov.uk/inspection-reports/find-inspection-report/provider/ELS/133570 ","Ofsted School Webpage")</f>
        <v>Ofsted School Webpage</v>
      </c>
      <c r="B416" s="319">
        <v>133570</v>
      </c>
      <c r="C416" s="319">
        <v>8736041</v>
      </c>
      <c r="D416" s="319" t="s">
        <v>3190</v>
      </c>
      <c r="E416" s="319" t="s">
        <v>168</v>
      </c>
      <c r="F416" s="319" t="s">
        <v>81</v>
      </c>
      <c r="G416" s="319" t="s">
        <v>81</v>
      </c>
      <c r="H416" s="319" t="s">
        <v>81</v>
      </c>
      <c r="I416" s="319" t="s">
        <v>78</v>
      </c>
      <c r="J416" s="319" t="s">
        <v>424</v>
      </c>
      <c r="K416" s="319" t="s">
        <v>451</v>
      </c>
      <c r="L416" s="319" t="s">
        <v>451</v>
      </c>
      <c r="M416" s="319" t="s">
        <v>772</v>
      </c>
      <c r="N416" s="319" t="s">
        <v>2913</v>
      </c>
      <c r="O416" s="319" t="s">
        <v>773</v>
      </c>
      <c r="P416" s="319">
        <v>14</v>
      </c>
      <c r="Q416" s="319" t="s">
        <v>2776</v>
      </c>
      <c r="R416" s="320">
        <v>10056562</v>
      </c>
      <c r="S416" s="321">
        <v>43445</v>
      </c>
      <c r="T416" s="321">
        <v>43447</v>
      </c>
      <c r="U416" s="321">
        <v>43488</v>
      </c>
      <c r="V416" s="319" t="s">
        <v>425</v>
      </c>
      <c r="W416" s="319" t="s">
        <v>2767</v>
      </c>
      <c r="X416" s="319">
        <v>2</v>
      </c>
      <c r="Y416" s="319" t="s">
        <v>173</v>
      </c>
      <c r="Z416" s="319" t="s">
        <v>173</v>
      </c>
      <c r="AA416" s="319" t="s">
        <v>173</v>
      </c>
      <c r="AB416" s="319">
        <v>2</v>
      </c>
      <c r="AC416" s="319" t="s">
        <v>169</v>
      </c>
      <c r="AD416" s="319" t="s">
        <v>173</v>
      </c>
      <c r="AE416" s="319" t="s">
        <v>173</v>
      </c>
      <c r="AF416" s="319" t="s">
        <v>427</v>
      </c>
      <c r="AG416" s="319" t="s">
        <v>171</v>
      </c>
      <c r="AH416" s="319" t="s">
        <v>190</v>
      </c>
      <c r="AI416" s="319" t="s">
        <v>190</v>
      </c>
      <c r="AJ416" s="319" t="s">
        <v>190</v>
      </c>
      <c r="AK416" s="319" t="s">
        <v>190</v>
      </c>
      <c r="AL416" s="319" t="s">
        <v>190</v>
      </c>
      <c r="AM416" s="319" t="s">
        <v>190</v>
      </c>
      <c r="AN416" s="319" t="s">
        <v>190</v>
      </c>
      <c r="AO416" s="319" t="s">
        <v>190</v>
      </c>
      <c r="AP416" s="319" t="s">
        <v>190</v>
      </c>
      <c r="AQ416" s="319" t="s">
        <v>190</v>
      </c>
      <c r="AR416" s="319" t="s">
        <v>190</v>
      </c>
      <c r="AS416" s="319" t="s">
        <v>190</v>
      </c>
      <c r="AT416" s="319" t="s">
        <v>190</v>
      </c>
      <c r="AU416" s="319" t="s">
        <v>190</v>
      </c>
      <c r="AV416" s="319" t="s">
        <v>190</v>
      </c>
      <c r="AW416" s="319" t="s">
        <v>190</v>
      </c>
      <c r="AX416" s="319" t="s">
        <v>190</v>
      </c>
      <c r="AY416" s="319" t="s">
        <v>190</v>
      </c>
      <c r="AZ416" s="319" t="s">
        <v>190</v>
      </c>
      <c r="BA416" s="319" t="s">
        <v>190</v>
      </c>
      <c r="BB416" s="319" t="s">
        <v>190</v>
      </c>
      <c r="BC416" s="319" t="s">
        <v>190</v>
      </c>
      <c r="BD416" s="319" t="s">
        <v>190</v>
      </c>
      <c r="BE416" s="319" t="s">
        <v>190</v>
      </c>
      <c r="BF416" s="319" t="s">
        <v>428</v>
      </c>
      <c r="BG416" s="319" t="s">
        <v>428</v>
      </c>
      <c r="BH416" s="319" t="s">
        <v>190</v>
      </c>
      <c r="BI416" s="319" t="s">
        <v>190</v>
      </c>
      <c r="BJ416" s="319" t="s">
        <v>190</v>
      </c>
      <c r="BK416" s="319" t="s">
        <v>190</v>
      </c>
      <c r="BL416" s="319" t="s">
        <v>190</v>
      </c>
      <c r="BM416" s="319" t="s">
        <v>190</v>
      </c>
      <c r="BN416" s="319" t="s">
        <v>190</v>
      </c>
      <c r="BO416" s="319" t="s">
        <v>190</v>
      </c>
      <c r="BP416" s="319" t="s">
        <v>190</v>
      </c>
      <c r="BQ416" s="319" t="s">
        <v>190</v>
      </c>
      <c r="BR416" s="319" t="s">
        <v>190</v>
      </c>
      <c r="BS416" s="319" t="s">
        <v>190</v>
      </c>
      <c r="BT416" s="319" t="s">
        <v>190</v>
      </c>
      <c r="BU416" s="319" t="s">
        <v>190</v>
      </c>
      <c r="BV416" s="319" t="s">
        <v>190</v>
      </c>
      <c r="BW416" s="319" t="s">
        <v>190</v>
      </c>
      <c r="BX416" s="319" t="s">
        <v>190</v>
      </c>
      <c r="BY416" s="319" t="s">
        <v>190</v>
      </c>
      <c r="BZ416" s="319" t="s">
        <v>190</v>
      </c>
      <c r="CA416" s="319" t="s">
        <v>190</v>
      </c>
      <c r="CB416" s="319" t="s">
        <v>190</v>
      </c>
      <c r="CC416" s="319" t="s">
        <v>190</v>
      </c>
      <c r="CD416" s="319" t="s">
        <v>190</v>
      </c>
      <c r="CE416" s="319" t="s">
        <v>190</v>
      </c>
      <c r="CF416" s="319" t="s">
        <v>190</v>
      </c>
      <c r="CG416" s="319" t="s">
        <v>190</v>
      </c>
      <c r="CH416" s="319" t="s">
        <v>190</v>
      </c>
      <c r="CI416" s="319" t="s">
        <v>190</v>
      </c>
      <c r="CJ416" s="319" t="s">
        <v>190</v>
      </c>
      <c r="CK416" s="319" t="s">
        <v>190</v>
      </c>
      <c r="CL416" s="319" t="s">
        <v>190</v>
      </c>
      <c r="CM416" s="319" t="s">
        <v>190</v>
      </c>
      <c r="CN416" s="319" t="s">
        <v>428</v>
      </c>
      <c r="CO416" s="319" t="s">
        <v>428</v>
      </c>
      <c r="CP416" s="319" t="s">
        <v>428</v>
      </c>
      <c r="CQ416" s="319" t="s">
        <v>190</v>
      </c>
      <c r="CR416" s="319" t="s">
        <v>190</v>
      </c>
      <c r="CS416" s="319" t="s">
        <v>190</v>
      </c>
      <c r="CT416" s="319" t="s">
        <v>190</v>
      </c>
      <c r="CU416" s="319" t="s">
        <v>190</v>
      </c>
      <c r="CV416" s="319" t="s">
        <v>190</v>
      </c>
      <c r="CW416" s="319" t="s">
        <v>190</v>
      </c>
      <c r="CX416" s="319" t="s">
        <v>190</v>
      </c>
      <c r="CY416" s="319" t="s">
        <v>190</v>
      </c>
      <c r="CZ416" s="319" t="s">
        <v>190</v>
      </c>
      <c r="DA416" s="319" t="s">
        <v>190</v>
      </c>
      <c r="DB416" s="319" t="s">
        <v>190</v>
      </c>
      <c r="DC416" s="319" t="s">
        <v>190</v>
      </c>
      <c r="DD416" s="319" t="s">
        <v>190</v>
      </c>
      <c r="DE416" s="319" t="s">
        <v>190</v>
      </c>
      <c r="DF416" s="319" t="s">
        <v>190</v>
      </c>
      <c r="DG416" s="319" t="s">
        <v>190</v>
      </c>
      <c r="DH416" s="319" t="s">
        <v>190</v>
      </c>
      <c r="DI416" s="319" t="s">
        <v>190</v>
      </c>
      <c r="DJ416" s="319" t="s">
        <v>190</v>
      </c>
      <c r="DK416" s="319" t="s">
        <v>190</v>
      </c>
      <c r="DL416" s="319" t="s">
        <v>190</v>
      </c>
      <c r="DM416" s="319" t="s">
        <v>190</v>
      </c>
      <c r="DN416" s="319" t="s">
        <v>428</v>
      </c>
      <c r="DO416" s="319" t="s">
        <v>190</v>
      </c>
      <c r="DP416" s="319" t="s">
        <v>190</v>
      </c>
      <c r="DQ416" s="319" t="s">
        <v>190</v>
      </c>
      <c r="DR416" s="319" t="s">
        <v>190</v>
      </c>
      <c r="DS416" s="319" t="s">
        <v>190</v>
      </c>
      <c r="DT416" s="319" t="s">
        <v>190</v>
      </c>
      <c r="DU416" s="319" t="s">
        <v>190</v>
      </c>
      <c r="DV416" s="319" t="s">
        <v>173</v>
      </c>
      <c r="DW416" s="319" t="s">
        <v>190</v>
      </c>
      <c r="DX416" s="319" t="s">
        <v>190</v>
      </c>
      <c r="DY416" s="319" t="s">
        <v>190</v>
      </c>
      <c r="DZ416" s="319" t="s">
        <v>190</v>
      </c>
      <c r="EA416" s="319" t="s">
        <v>190</v>
      </c>
      <c r="EB416" s="319" t="s">
        <v>190</v>
      </c>
      <c r="EC416" s="319" t="s">
        <v>428</v>
      </c>
      <c r="ED416" s="319" t="s">
        <v>190</v>
      </c>
      <c r="EE416" s="319" t="s">
        <v>190</v>
      </c>
      <c r="EF416" s="319" t="s">
        <v>190</v>
      </c>
      <c r="EG416" s="319" t="s">
        <v>190</v>
      </c>
      <c r="EH416" s="319" t="s">
        <v>190</v>
      </c>
      <c r="EI416" s="319" t="s">
        <v>190</v>
      </c>
      <c r="EJ416" s="319" t="s">
        <v>190</v>
      </c>
      <c r="EK416" s="319" t="s">
        <v>190</v>
      </c>
      <c r="EL416" s="319" t="s">
        <v>190</v>
      </c>
      <c r="EM416" s="319" t="s">
        <v>190</v>
      </c>
      <c r="EN416" s="319" t="s">
        <v>190</v>
      </c>
      <c r="EO416" s="319" t="s">
        <v>190</v>
      </c>
      <c r="EP416" s="319" t="s">
        <v>190</v>
      </c>
      <c r="EQ416" s="319" t="s">
        <v>190</v>
      </c>
      <c r="ER416" s="319" t="s">
        <v>190</v>
      </c>
      <c r="ES416" s="319" t="s">
        <v>190</v>
      </c>
      <c r="ET416" s="319" t="s">
        <v>190</v>
      </c>
      <c r="EU416" s="319" t="s">
        <v>190</v>
      </c>
      <c r="EV416" s="319" t="s">
        <v>190</v>
      </c>
      <c r="EW416" s="319" t="s">
        <v>190</v>
      </c>
      <c r="EX416" s="319" t="s">
        <v>190</v>
      </c>
      <c r="EY416" s="319" t="s">
        <v>190</v>
      </c>
      <c r="EZ416" s="319" t="s">
        <v>190</v>
      </c>
      <c r="FA416" s="319" t="s">
        <v>190</v>
      </c>
      <c r="FB416" s="319" t="s">
        <v>190</v>
      </c>
      <c r="FC416" s="319" t="s">
        <v>190</v>
      </c>
      <c r="FD416" s="319" t="s">
        <v>190</v>
      </c>
      <c r="FE416" s="319" t="s">
        <v>190</v>
      </c>
      <c r="FF416" s="319" t="s">
        <v>190</v>
      </c>
      <c r="FG416" s="319" t="s">
        <v>190</v>
      </c>
      <c r="FH416" s="319" t="s">
        <v>190</v>
      </c>
      <c r="FI416" s="319" t="s">
        <v>190</v>
      </c>
      <c r="FJ416" s="319" t="s">
        <v>190</v>
      </c>
      <c r="FK416" s="319" t="s">
        <v>190</v>
      </c>
      <c r="FL416" s="319" t="s">
        <v>190</v>
      </c>
      <c r="FM416" s="319" t="s">
        <v>190</v>
      </c>
      <c r="FN416" s="319" t="s">
        <v>190</v>
      </c>
      <c r="FO416" s="319" t="s">
        <v>190</v>
      </c>
      <c r="FP416" s="319" t="s">
        <v>190</v>
      </c>
      <c r="FQ416" s="319" t="s">
        <v>190</v>
      </c>
      <c r="FR416" s="319" t="s">
        <v>190</v>
      </c>
      <c r="FS416" s="319" t="s">
        <v>428</v>
      </c>
      <c r="FT416" s="319" t="s">
        <v>190</v>
      </c>
      <c r="FU416" s="319" t="s">
        <v>190</v>
      </c>
      <c r="FV416" s="319" t="s">
        <v>190</v>
      </c>
      <c r="FW416" s="319" t="s">
        <v>190</v>
      </c>
      <c r="FX416" s="319" t="s">
        <v>190</v>
      </c>
      <c r="FY416" s="319" t="s">
        <v>190</v>
      </c>
      <c r="FZ416" s="319" t="s">
        <v>190</v>
      </c>
      <c r="GA416" s="319" t="s">
        <v>190</v>
      </c>
      <c r="GB416" s="319" t="s">
        <v>190</v>
      </c>
      <c r="GC416" s="319" t="s">
        <v>190</v>
      </c>
      <c r="GD416" s="319" t="s">
        <v>190</v>
      </c>
      <c r="GE416" s="319" t="s">
        <v>190</v>
      </c>
      <c r="GF416" s="319" t="s">
        <v>190</v>
      </c>
      <c r="GG416" s="319" t="s">
        <v>190</v>
      </c>
      <c r="GH416" s="319" t="s">
        <v>190</v>
      </c>
      <c r="GI416" s="319" t="s">
        <v>190</v>
      </c>
      <c r="GJ416" s="319" t="s">
        <v>190</v>
      </c>
      <c r="GK416" s="319" t="s">
        <v>428</v>
      </c>
      <c r="GL416" s="319" t="s">
        <v>190</v>
      </c>
      <c r="GM416" s="319" t="s">
        <v>190</v>
      </c>
      <c r="GN416" s="319" t="s">
        <v>190</v>
      </c>
      <c r="GO416" s="319" t="s">
        <v>190</v>
      </c>
      <c r="GP416" s="319" t="s">
        <v>190</v>
      </c>
      <c r="GQ416" s="319" t="s">
        <v>428</v>
      </c>
      <c r="GR416" s="319" t="s">
        <v>190</v>
      </c>
      <c r="GS416" s="319" t="s">
        <v>190</v>
      </c>
      <c r="GT416" s="319" t="s">
        <v>190</v>
      </c>
      <c r="GU416" s="319" t="s">
        <v>190</v>
      </c>
      <c r="GV416" s="319" t="s">
        <v>190</v>
      </c>
      <c r="GW416" s="319" t="s">
        <v>190</v>
      </c>
      <c r="GX416" s="319" t="s">
        <v>190</v>
      </c>
      <c r="GY416" s="319" t="s">
        <v>190</v>
      </c>
      <c r="GZ416" s="319" t="s">
        <v>428</v>
      </c>
      <c r="HA416" s="319" t="s">
        <v>190</v>
      </c>
      <c r="HB416" s="319" t="s">
        <v>428</v>
      </c>
      <c r="HC416" s="319" t="s">
        <v>190</v>
      </c>
      <c r="HD416" s="319" t="s">
        <v>190</v>
      </c>
      <c r="HE416" s="319" t="s">
        <v>190</v>
      </c>
      <c r="HF416" s="319" t="s">
        <v>190</v>
      </c>
      <c r="HG416" s="319" t="s">
        <v>190</v>
      </c>
      <c r="HH416" s="319" t="s">
        <v>190</v>
      </c>
      <c r="HI416" s="319" t="s">
        <v>190</v>
      </c>
      <c r="HJ416" s="319" t="s">
        <v>190</v>
      </c>
      <c r="HK416" s="319" t="s">
        <v>190</v>
      </c>
      <c r="HL416" s="319" t="s">
        <v>190</v>
      </c>
      <c r="HM416" s="319" t="s">
        <v>428</v>
      </c>
      <c r="HN416" s="319" t="s">
        <v>428</v>
      </c>
      <c r="HO416" s="319" t="s">
        <v>428</v>
      </c>
      <c r="HP416" s="319" t="s">
        <v>190</v>
      </c>
      <c r="HQ416" s="319" t="s">
        <v>190</v>
      </c>
      <c r="HR416" s="319" t="s">
        <v>190</v>
      </c>
      <c r="HS416" s="319" t="s">
        <v>190</v>
      </c>
      <c r="HT416" s="319" t="s">
        <v>190</v>
      </c>
      <c r="HU416" s="319" t="s">
        <v>190</v>
      </c>
      <c r="HV416" s="319" t="s">
        <v>190</v>
      </c>
      <c r="HW416" s="319" t="s">
        <v>190</v>
      </c>
      <c r="HX416" s="319" t="s">
        <v>190</v>
      </c>
      <c r="HY416" s="319" t="s">
        <v>190</v>
      </c>
      <c r="HZ416" s="319" t="s">
        <v>190</v>
      </c>
      <c r="IA416" s="319" t="s">
        <v>190</v>
      </c>
      <c r="IB416" s="319" t="s">
        <v>190</v>
      </c>
      <c r="IC416" s="319" t="s">
        <v>190</v>
      </c>
      <c r="ID416" s="319" t="s">
        <v>190</v>
      </c>
      <c r="IE416" s="319" t="s">
        <v>190</v>
      </c>
      <c r="IF416" s="319" t="s">
        <v>190</v>
      </c>
      <c r="IG416" s="319" t="s">
        <v>190</v>
      </c>
      <c r="IH416" s="319" t="s">
        <v>190</v>
      </c>
      <c r="II416" s="319" t="s">
        <v>190</v>
      </c>
      <c r="IJ416" s="319">
        <v>10006070</v>
      </c>
      <c r="IK416" s="321">
        <v>42766</v>
      </c>
      <c r="IL416" s="321">
        <v>42768</v>
      </c>
      <c r="IM416" s="321">
        <v>42808</v>
      </c>
      <c r="IN416" s="319">
        <v>3</v>
      </c>
      <c r="IO416" s="319" t="s">
        <v>173</v>
      </c>
      <c r="IP416" s="319" t="s">
        <v>173</v>
      </c>
      <c r="IQ416" s="321" t="s">
        <v>173</v>
      </c>
      <c r="IR416" s="320" t="s">
        <v>173</v>
      </c>
      <c r="IS416" s="322" t="s">
        <v>173</v>
      </c>
      <c r="IT416" s="319" t="s">
        <v>173</v>
      </c>
    </row>
    <row r="417" spans="1:254" s="271" customFormat="1" x14ac:dyDescent="0.25">
      <c r="A417" s="318" t="str">
        <f>HYPERLINK("http://www.ofsted.gov.uk/inspection-reports/find-inspection-report/provider/ELS/133603 ","Ofsted School Webpage")</f>
        <v>Ofsted School Webpage</v>
      </c>
      <c r="B417" s="319">
        <v>133603</v>
      </c>
      <c r="C417" s="319">
        <v>3306103</v>
      </c>
      <c r="D417" s="319" t="s">
        <v>1778</v>
      </c>
      <c r="E417" s="319" t="s">
        <v>167</v>
      </c>
      <c r="F417" s="319" t="s">
        <v>71</v>
      </c>
      <c r="G417" s="319" t="s">
        <v>71</v>
      </c>
      <c r="H417" s="319" t="s">
        <v>71</v>
      </c>
      <c r="I417" s="319" t="s">
        <v>72</v>
      </c>
      <c r="J417" s="319" t="s">
        <v>424</v>
      </c>
      <c r="K417" s="319" t="s">
        <v>437</v>
      </c>
      <c r="L417" s="319" t="s">
        <v>437</v>
      </c>
      <c r="M417" s="319" t="s">
        <v>813</v>
      </c>
      <c r="N417" s="319" t="s">
        <v>2859</v>
      </c>
      <c r="O417" s="319" t="s">
        <v>1779</v>
      </c>
      <c r="P417" s="319">
        <v>144</v>
      </c>
      <c r="Q417" s="319" t="s">
        <v>2766</v>
      </c>
      <c r="R417" s="320">
        <v>10038831</v>
      </c>
      <c r="S417" s="321">
        <v>43109</v>
      </c>
      <c r="T417" s="321">
        <v>43111</v>
      </c>
      <c r="U417" s="321">
        <v>43199</v>
      </c>
      <c r="V417" s="319" t="s">
        <v>425</v>
      </c>
      <c r="W417" s="319" t="s">
        <v>2767</v>
      </c>
      <c r="X417" s="319">
        <v>4</v>
      </c>
      <c r="Y417" s="319" t="s">
        <v>173</v>
      </c>
      <c r="Z417" s="319" t="s">
        <v>173</v>
      </c>
      <c r="AA417" s="319" t="s">
        <v>173</v>
      </c>
      <c r="AB417" s="319">
        <v>4</v>
      </c>
      <c r="AC417" s="319" t="s">
        <v>169</v>
      </c>
      <c r="AD417" s="319" t="s">
        <v>173</v>
      </c>
      <c r="AE417" s="319" t="s">
        <v>173</v>
      </c>
      <c r="AF417" s="319" t="s">
        <v>447</v>
      </c>
      <c r="AG417" s="319" t="s">
        <v>172</v>
      </c>
      <c r="AH417" s="319" t="s">
        <v>479</v>
      </c>
      <c r="AI417" s="319" t="s">
        <v>190</v>
      </c>
      <c r="AJ417" s="319" t="s">
        <v>190</v>
      </c>
      <c r="AK417" s="319" t="s">
        <v>190</v>
      </c>
      <c r="AL417" s="319" t="s">
        <v>190</v>
      </c>
      <c r="AM417" s="319" t="s">
        <v>190</v>
      </c>
      <c r="AN417" s="319" t="s">
        <v>190</v>
      </c>
      <c r="AO417" s="319" t="s">
        <v>479</v>
      </c>
      <c r="AP417" s="319" t="s">
        <v>191</v>
      </c>
      <c r="AQ417" s="319" t="s">
        <v>191</v>
      </c>
      <c r="AR417" s="319" t="s">
        <v>191</v>
      </c>
      <c r="AS417" s="319" t="s">
        <v>191</v>
      </c>
      <c r="AT417" s="319" t="s">
        <v>190</v>
      </c>
      <c r="AU417" s="319" t="s">
        <v>190</v>
      </c>
      <c r="AV417" s="319" t="s">
        <v>190</v>
      </c>
      <c r="AW417" s="319" t="s">
        <v>190</v>
      </c>
      <c r="AX417" s="319" t="s">
        <v>428</v>
      </c>
      <c r="AY417" s="319" t="s">
        <v>190</v>
      </c>
      <c r="AZ417" s="319" t="s">
        <v>190</v>
      </c>
      <c r="BA417" s="319" t="s">
        <v>190</v>
      </c>
      <c r="BB417" s="319" t="s">
        <v>428</v>
      </c>
      <c r="BC417" s="319" t="s">
        <v>428</v>
      </c>
      <c r="BD417" s="319" t="s">
        <v>428</v>
      </c>
      <c r="BE417" s="319" t="s">
        <v>428</v>
      </c>
      <c r="BF417" s="319" t="s">
        <v>428</v>
      </c>
      <c r="BG417" s="319" t="s">
        <v>428</v>
      </c>
      <c r="BH417" s="319" t="s">
        <v>190</v>
      </c>
      <c r="BI417" s="319" t="s">
        <v>190</v>
      </c>
      <c r="BJ417" s="319" t="s">
        <v>191</v>
      </c>
      <c r="BK417" s="319" t="s">
        <v>191</v>
      </c>
      <c r="BL417" s="319" t="s">
        <v>190</v>
      </c>
      <c r="BM417" s="319" t="s">
        <v>191</v>
      </c>
      <c r="BN417" s="319" t="s">
        <v>191</v>
      </c>
      <c r="BO417" s="319" t="s">
        <v>190</v>
      </c>
      <c r="BP417" s="319" t="s">
        <v>190</v>
      </c>
      <c r="BQ417" s="319" t="s">
        <v>190</v>
      </c>
      <c r="BR417" s="319" t="s">
        <v>190</v>
      </c>
      <c r="BS417" s="319" t="s">
        <v>190</v>
      </c>
      <c r="BT417" s="319" t="s">
        <v>190</v>
      </c>
      <c r="BU417" s="319" t="s">
        <v>190</v>
      </c>
      <c r="BV417" s="319" t="s">
        <v>190</v>
      </c>
      <c r="BW417" s="319" t="s">
        <v>190</v>
      </c>
      <c r="BX417" s="319" t="s">
        <v>190</v>
      </c>
      <c r="BY417" s="319" t="s">
        <v>190</v>
      </c>
      <c r="BZ417" s="319" t="s">
        <v>190</v>
      </c>
      <c r="CA417" s="319" t="s">
        <v>190</v>
      </c>
      <c r="CB417" s="319" t="s">
        <v>190</v>
      </c>
      <c r="CC417" s="319" t="s">
        <v>190</v>
      </c>
      <c r="CD417" s="319" t="s">
        <v>190</v>
      </c>
      <c r="CE417" s="319" t="s">
        <v>190</v>
      </c>
      <c r="CF417" s="319" t="s">
        <v>190</v>
      </c>
      <c r="CG417" s="319" t="s">
        <v>190</v>
      </c>
      <c r="CH417" s="319" t="s">
        <v>190</v>
      </c>
      <c r="CI417" s="319" t="s">
        <v>190</v>
      </c>
      <c r="CJ417" s="319" t="s">
        <v>190</v>
      </c>
      <c r="CK417" s="319" t="s">
        <v>190</v>
      </c>
      <c r="CL417" s="319" t="s">
        <v>190</v>
      </c>
      <c r="CM417" s="319" t="s">
        <v>190</v>
      </c>
      <c r="CN417" s="319" t="s">
        <v>428</v>
      </c>
      <c r="CO417" s="319" t="s">
        <v>428</v>
      </c>
      <c r="CP417" s="319" t="s">
        <v>428</v>
      </c>
      <c r="CQ417" s="319" t="s">
        <v>190</v>
      </c>
      <c r="CR417" s="319" t="s">
        <v>190</v>
      </c>
      <c r="CS417" s="319" t="s">
        <v>190</v>
      </c>
      <c r="CT417" s="319" t="s">
        <v>190</v>
      </c>
      <c r="CU417" s="319" t="s">
        <v>190</v>
      </c>
      <c r="CV417" s="319" t="s">
        <v>190</v>
      </c>
      <c r="CW417" s="319" t="s">
        <v>190</v>
      </c>
      <c r="CX417" s="319" t="s">
        <v>190</v>
      </c>
      <c r="CY417" s="319" t="s">
        <v>190</v>
      </c>
      <c r="CZ417" s="319" t="s">
        <v>190</v>
      </c>
      <c r="DA417" s="319" t="s">
        <v>190</v>
      </c>
      <c r="DB417" s="319" t="s">
        <v>190</v>
      </c>
      <c r="DC417" s="319" t="s">
        <v>190</v>
      </c>
      <c r="DD417" s="319" t="s">
        <v>190</v>
      </c>
      <c r="DE417" s="319" t="s">
        <v>190</v>
      </c>
      <c r="DF417" s="319" t="s">
        <v>190</v>
      </c>
      <c r="DG417" s="319" t="s">
        <v>190</v>
      </c>
      <c r="DH417" s="319" t="s">
        <v>190</v>
      </c>
      <c r="DI417" s="319" t="s">
        <v>190</v>
      </c>
      <c r="DJ417" s="319" t="s">
        <v>190</v>
      </c>
      <c r="DK417" s="319" t="s">
        <v>190</v>
      </c>
      <c r="DL417" s="319" t="s">
        <v>190</v>
      </c>
      <c r="DM417" s="319" t="s">
        <v>190</v>
      </c>
      <c r="DN417" s="319" t="s">
        <v>428</v>
      </c>
      <c r="DO417" s="319" t="s">
        <v>190</v>
      </c>
      <c r="DP417" s="319" t="s">
        <v>190</v>
      </c>
      <c r="DQ417" s="319" t="s">
        <v>190</v>
      </c>
      <c r="DR417" s="319" t="s">
        <v>190</v>
      </c>
      <c r="DS417" s="319" t="s">
        <v>190</v>
      </c>
      <c r="DT417" s="319" t="s">
        <v>190</v>
      </c>
      <c r="DU417" s="319" t="s">
        <v>190</v>
      </c>
      <c r="DV417" s="319" t="s">
        <v>173</v>
      </c>
      <c r="DW417" s="319" t="s">
        <v>190</v>
      </c>
      <c r="DX417" s="319" t="s">
        <v>190</v>
      </c>
      <c r="DY417" s="319" t="s">
        <v>190</v>
      </c>
      <c r="DZ417" s="319" t="s">
        <v>190</v>
      </c>
      <c r="EA417" s="319" t="s">
        <v>190</v>
      </c>
      <c r="EB417" s="319" t="s">
        <v>190</v>
      </c>
      <c r="EC417" s="319" t="s">
        <v>428</v>
      </c>
      <c r="ED417" s="319" t="s">
        <v>190</v>
      </c>
      <c r="EE417" s="319" t="s">
        <v>190</v>
      </c>
      <c r="EF417" s="319" t="s">
        <v>190</v>
      </c>
      <c r="EG417" s="319" t="s">
        <v>190</v>
      </c>
      <c r="EH417" s="319" t="s">
        <v>190</v>
      </c>
      <c r="EI417" s="319" t="s">
        <v>190</v>
      </c>
      <c r="EJ417" s="319" t="s">
        <v>190</v>
      </c>
      <c r="EK417" s="319" t="s">
        <v>190</v>
      </c>
      <c r="EL417" s="319" t="s">
        <v>190</v>
      </c>
      <c r="EM417" s="319" t="s">
        <v>190</v>
      </c>
      <c r="EN417" s="319" t="s">
        <v>190</v>
      </c>
      <c r="EO417" s="319" t="s">
        <v>190</v>
      </c>
      <c r="EP417" s="319" t="s">
        <v>190</v>
      </c>
      <c r="EQ417" s="319" t="s">
        <v>190</v>
      </c>
      <c r="ER417" s="319" t="s">
        <v>190</v>
      </c>
      <c r="ES417" s="319" t="s">
        <v>190</v>
      </c>
      <c r="ET417" s="319" t="s">
        <v>190</v>
      </c>
      <c r="EU417" s="319" t="s">
        <v>190</v>
      </c>
      <c r="EV417" s="319" t="s">
        <v>190</v>
      </c>
      <c r="EW417" s="319" t="s">
        <v>190</v>
      </c>
      <c r="EX417" s="319" t="s">
        <v>190</v>
      </c>
      <c r="EY417" s="319" t="s">
        <v>190</v>
      </c>
      <c r="EZ417" s="319" t="s">
        <v>190</v>
      </c>
      <c r="FA417" s="319" t="s">
        <v>190</v>
      </c>
      <c r="FB417" s="319" t="s">
        <v>190</v>
      </c>
      <c r="FC417" s="319" t="s">
        <v>190</v>
      </c>
      <c r="FD417" s="319" t="s">
        <v>190</v>
      </c>
      <c r="FE417" s="319" t="s">
        <v>190</v>
      </c>
      <c r="FF417" s="319" t="s">
        <v>190</v>
      </c>
      <c r="FG417" s="319" t="s">
        <v>190</v>
      </c>
      <c r="FH417" s="319" t="s">
        <v>190</v>
      </c>
      <c r="FI417" s="319" t="s">
        <v>190</v>
      </c>
      <c r="FJ417" s="319" t="s">
        <v>190</v>
      </c>
      <c r="FK417" s="319" t="s">
        <v>190</v>
      </c>
      <c r="FL417" s="319" t="s">
        <v>190</v>
      </c>
      <c r="FM417" s="319" t="s">
        <v>190</v>
      </c>
      <c r="FN417" s="319" t="s">
        <v>190</v>
      </c>
      <c r="FO417" s="319" t="s">
        <v>190</v>
      </c>
      <c r="FP417" s="319" t="s">
        <v>190</v>
      </c>
      <c r="FQ417" s="319" t="s">
        <v>190</v>
      </c>
      <c r="FR417" s="319" t="s">
        <v>190</v>
      </c>
      <c r="FS417" s="319" t="s">
        <v>428</v>
      </c>
      <c r="FT417" s="319" t="s">
        <v>190</v>
      </c>
      <c r="FU417" s="319" t="s">
        <v>190</v>
      </c>
      <c r="FV417" s="319" t="s">
        <v>190</v>
      </c>
      <c r="FW417" s="319" t="s">
        <v>190</v>
      </c>
      <c r="FX417" s="319" t="s">
        <v>190</v>
      </c>
      <c r="FY417" s="319" t="s">
        <v>190</v>
      </c>
      <c r="FZ417" s="319" t="s">
        <v>190</v>
      </c>
      <c r="GA417" s="319" t="s">
        <v>190</v>
      </c>
      <c r="GB417" s="319" t="s">
        <v>190</v>
      </c>
      <c r="GC417" s="319" t="s">
        <v>190</v>
      </c>
      <c r="GD417" s="319" t="s">
        <v>190</v>
      </c>
      <c r="GE417" s="319" t="s">
        <v>190</v>
      </c>
      <c r="GF417" s="319" t="s">
        <v>190</v>
      </c>
      <c r="GG417" s="319" t="s">
        <v>190</v>
      </c>
      <c r="GH417" s="319" t="s">
        <v>190</v>
      </c>
      <c r="GI417" s="319" t="s">
        <v>190</v>
      </c>
      <c r="GJ417" s="319" t="s">
        <v>190</v>
      </c>
      <c r="GK417" s="319" t="s">
        <v>428</v>
      </c>
      <c r="GL417" s="319" t="s">
        <v>190</v>
      </c>
      <c r="GM417" s="319" t="s">
        <v>190</v>
      </c>
      <c r="GN417" s="319" t="s">
        <v>190</v>
      </c>
      <c r="GO417" s="319" t="s">
        <v>190</v>
      </c>
      <c r="GP417" s="319" t="s">
        <v>190</v>
      </c>
      <c r="GQ417" s="319" t="s">
        <v>190</v>
      </c>
      <c r="GR417" s="319" t="s">
        <v>190</v>
      </c>
      <c r="GS417" s="319" t="s">
        <v>190</v>
      </c>
      <c r="GT417" s="319" t="s">
        <v>190</v>
      </c>
      <c r="GU417" s="319" t="s">
        <v>190</v>
      </c>
      <c r="GV417" s="319" t="s">
        <v>190</v>
      </c>
      <c r="GW417" s="319" t="s">
        <v>190</v>
      </c>
      <c r="GX417" s="319" t="s">
        <v>190</v>
      </c>
      <c r="GY417" s="319" t="s">
        <v>190</v>
      </c>
      <c r="GZ417" s="319" t="s">
        <v>190</v>
      </c>
      <c r="HA417" s="319" t="s">
        <v>190</v>
      </c>
      <c r="HB417" s="319" t="s">
        <v>190</v>
      </c>
      <c r="HC417" s="319" t="s">
        <v>190</v>
      </c>
      <c r="HD417" s="319" t="s">
        <v>190</v>
      </c>
      <c r="HE417" s="319" t="s">
        <v>190</v>
      </c>
      <c r="HF417" s="319" t="s">
        <v>190</v>
      </c>
      <c r="HG417" s="319" t="s">
        <v>190</v>
      </c>
      <c r="HH417" s="319" t="s">
        <v>190</v>
      </c>
      <c r="HI417" s="319" t="s">
        <v>190</v>
      </c>
      <c r="HJ417" s="319" t="s">
        <v>190</v>
      </c>
      <c r="HK417" s="319" t="s">
        <v>190</v>
      </c>
      <c r="HL417" s="319" t="s">
        <v>190</v>
      </c>
      <c r="HM417" s="319" t="s">
        <v>190</v>
      </c>
      <c r="HN417" s="319" t="s">
        <v>190</v>
      </c>
      <c r="HO417" s="319" t="s">
        <v>190</v>
      </c>
      <c r="HP417" s="319" t="s">
        <v>190</v>
      </c>
      <c r="HQ417" s="319" t="s">
        <v>190</v>
      </c>
      <c r="HR417" s="319" t="s">
        <v>190</v>
      </c>
      <c r="HS417" s="319" t="s">
        <v>190</v>
      </c>
      <c r="HT417" s="319" t="s">
        <v>190</v>
      </c>
      <c r="HU417" s="319" t="s">
        <v>190</v>
      </c>
      <c r="HV417" s="319" t="s">
        <v>190</v>
      </c>
      <c r="HW417" s="319" t="s">
        <v>190</v>
      </c>
      <c r="HX417" s="319" t="s">
        <v>190</v>
      </c>
      <c r="HY417" s="319" t="s">
        <v>190</v>
      </c>
      <c r="HZ417" s="319" t="s">
        <v>190</v>
      </c>
      <c r="IA417" s="319" t="s">
        <v>190</v>
      </c>
      <c r="IB417" s="319" t="s">
        <v>190</v>
      </c>
      <c r="IC417" s="319" t="s">
        <v>190</v>
      </c>
      <c r="ID417" s="319" t="s">
        <v>190</v>
      </c>
      <c r="IE417" s="319" t="s">
        <v>190</v>
      </c>
      <c r="IF417" s="319" t="s">
        <v>191</v>
      </c>
      <c r="IG417" s="319" t="s">
        <v>191</v>
      </c>
      <c r="IH417" s="319" t="s">
        <v>191</v>
      </c>
      <c r="II417" s="319" t="s">
        <v>190</v>
      </c>
      <c r="IJ417" s="319">
        <v>10006855</v>
      </c>
      <c r="IK417" s="321">
        <v>42331</v>
      </c>
      <c r="IL417" s="321">
        <v>42333</v>
      </c>
      <c r="IM417" s="321">
        <v>42380</v>
      </c>
      <c r="IN417" s="319">
        <v>4</v>
      </c>
      <c r="IO417" s="319" t="s">
        <v>173</v>
      </c>
      <c r="IP417" s="319" t="s">
        <v>173</v>
      </c>
      <c r="IQ417" s="321" t="s">
        <v>173</v>
      </c>
      <c r="IR417" s="320" t="s">
        <v>173</v>
      </c>
      <c r="IS417" s="322" t="s">
        <v>173</v>
      </c>
      <c r="IT417" s="319" t="s">
        <v>173</v>
      </c>
    </row>
    <row r="418" spans="1:254" s="271" customFormat="1" x14ac:dyDescent="0.25">
      <c r="A418" s="318" t="str">
        <f>HYPERLINK("http://www.ofsted.gov.uk/inspection-reports/find-inspection-report/provider/ELS/133640 ","Ofsted School Webpage")</f>
        <v>Ofsted School Webpage</v>
      </c>
      <c r="B418" s="319">
        <v>133640</v>
      </c>
      <c r="C418" s="319">
        <v>8106004</v>
      </c>
      <c r="D418" s="319" t="s">
        <v>793</v>
      </c>
      <c r="E418" s="319" t="s">
        <v>168</v>
      </c>
      <c r="F418" s="319" t="s">
        <v>81</v>
      </c>
      <c r="G418" s="319" t="s">
        <v>81</v>
      </c>
      <c r="H418" s="319" t="s">
        <v>81</v>
      </c>
      <c r="I418" s="319" t="s">
        <v>78</v>
      </c>
      <c r="J418" s="319" t="s">
        <v>424</v>
      </c>
      <c r="K418" s="319" t="s">
        <v>458</v>
      </c>
      <c r="L418" s="319" t="s">
        <v>459</v>
      </c>
      <c r="M418" s="319" t="s">
        <v>794</v>
      </c>
      <c r="N418" s="319" t="s">
        <v>3175</v>
      </c>
      <c r="O418" s="319" t="s">
        <v>795</v>
      </c>
      <c r="P418" s="319">
        <v>19</v>
      </c>
      <c r="Q418" s="319" t="s">
        <v>429</v>
      </c>
      <c r="R418" s="320">
        <v>10053829</v>
      </c>
      <c r="S418" s="321">
        <v>43446</v>
      </c>
      <c r="T418" s="321">
        <v>43448</v>
      </c>
      <c r="U418" s="321">
        <v>43485</v>
      </c>
      <c r="V418" s="319" t="s">
        <v>425</v>
      </c>
      <c r="W418" s="319" t="s">
        <v>2767</v>
      </c>
      <c r="X418" s="319">
        <v>2</v>
      </c>
      <c r="Y418" s="319" t="s">
        <v>173</v>
      </c>
      <c r="Z418" s="319" t="s">
        <v>173</v>
      </c>
      <c r="AA418" s="319" t="s">
        <v>173</v>
      </c>
      <c r="AB418" s="319">
        <v>2</v>
      </c>
      <c r="AC418" s="319" t="s">
        <v>169</v>
      </c>
      <c r="AD418" s="319" t="s">
        <v>173</v>
      </c>
      <c r="AE418" s="319" t="s">
        <v>173</v>
      </c>
      <c r="AF418" s="319" t="s">
        <v>427</v>
      </c>
      <c r="AG418" s="319" t="s">
        <v>171</v>
      </c>
      <c r="AH418" s="319" t="s">
        <v>190</v>
      </c>
      <c r="AI418" s="319" t="s">
        <v>190</v>
      </c>
      <c r="AJ418" s="319" t="s">
        <v>190</v>
      </c>
      <c r="AK418" s="319" t="s">
        <v>190</v>
      </c>
      <c r="AL418" s="319" t="s">
        <v>190</v>
      </c>
      <c r="AM418" s="319" t="s">
        <v>190</v>
      </c>
      <c r="AN418" s="319" t="s">
        <v>190</v>
      </c>
      <c r="AO418" s="319" t="s">
        <v>190</v>
      </c>
      <c r="AP418" s="319" t="s">
        <v>190</v>
      </c>
      <c r="AQ418" s="319" t="s">
        <v>190</v>
      </c>
      <c r="AR418" s="319" t="s">
        <v>190</v>
      </c>
      <c r="AS418" s="319" t="s">
        <v>190</v>
      </c>
      <c r="AT418" s="319" t="s">
        <v>190</v>
      </c>
      <c r="AU418" s="319" t="s">
        <v>190</v>
      </c>
      <c r="AV418" s="319" t="s">
        <v>190</v>
      </c>
      <c r="AW418" s="319" t="s">
        <v>190</v>
      </c>
      <c r="AX418" s="319" t="s">
        <v>428</v>
      </c>
      <c r="AY418" s="319" t="s">
        <v>190</v>
      </c>
      <c r="AZ418" s="319" t="s">
        <v>190</v>
      </c>
      <c r="BA418" s="319" t="s">
        <v>190</v>
      </c>
      <c r="BB418" s="319" t="s">
        <v>190</v>
      </c>
      <c r="BC418" s="319" t="s">
        <v>190</v>
      </c>
      <c r="BD418" s="319" t="s">
        <v>190</v>
      </c>
      <c r="BE418" s="319" t="s">
        <v>190</v>
      </c>
      <c r="BF418" s="319" t="s">
        <v>428</v>
      </c>
      <c r="BG418" s="319" t="s">
        <v>428</v>
      </c>
      <c r="BH418" s="319" t="s">
        <v>190</v>
      </c>
      <c r="BI418" s="319" t="s">
        <v>190</v>
      </c>
      <c r="BJ418" s="319" t="s">
        <v>190</v>
      </c>
      <c r="BK418" s="319" t="s">
        <v>190</v>
      </c>
      <c r="BL418" s="319" t="s">
        <v>190</v>
      </c>
      <c r="BM418" s="319" t="s">
        <v>190</v>
      </c>
      <c r="BN418" s="319" t="s">
        <v>190</v>
      </c>
      <c r="BO418" s="319" t="s">
        <v>190</v>
      </c>
      <c r="BP418" s="319" t="s">
        <v>190</v>
      </c>
      <c r="BQ418" s="319" t="s">
        <v>190</v>
      </c>
      <c r="BR418" s="319" t="s">
        <v>190</v>
      </c>
      <c r="BS418" s="319" t="s">
        <v>190</v>
      </c>
      <c r="BT418" s="319" t="s">
        <v>190</v>
      </c>
      <c r="BU418" s="319" t="s">
        <v>190</v>
      </c>
      <c r="BV418" s="319" t="s">
        <v>190</v>
      </c>
      <c r="BW418" s="319" t="s">
        <v>190</v>
      </c>
      <c r="BX418" s="319" t="s">
        <v>190</v>
      </c>
      <c r="BY418" s="319" t="s">
        <v>190</v>
      </c>
      <c r="BZ418" s="319" t="s">
        <v>190</v>
      </c>
      <c r="CA418" s="319" t="s">
        <v>190</v>
      </c>
      <c r="CB418" s="319" t="s">
        <v>190</v>
      </c>
      <c r="CC418" s="319" t="s">
        <v>190</v>
      </c>
      <c r="CD418" s="319" t="s">
        <v>190</v>
      </c>
      <c r="CE418" s="319" t="s">
        <v>190</v>
      </c>
      <c r="CF418" s="319" t="s">
        <v>190</v>
      </c>
      <c r="CG418" s="319" t="s">
        <v>190</v>
      </c>
      <c r="CH418" s="319" t="s">
        <v>190</v>
      </c>
      <c r="CI418" s="319" t="s">
        <v>190</v>
      </c>
      <c r="CJ418" s="319" t="s">
        <v>190</v>
      </c>
      <c r="CK418" s="319" t="s">
        <v>190</v>
      </c>
      <c r="CL418" s="319" t="s">
        <v>190</v>
      </c>
      <c r="CM418" s="319" t="s">
        <v>190</v>
      </c>
      <c r="CN418" s="319" t="s">
        <v>428</v>
      </c>
      <c r="CO418" s="319" t="s">
        <v>428</v>
      </c>
      <c r="CP418" s="319" t="s">
        <v>428</v>
      </c>
      <c r="CQ418" s="319" t="s">
        <v>190</v>
      </c>
      <c r="CR418" s="319" t="s">
        <v>190</v>
      </c>
      <c r="CS418" s="319" t="s">
        <v>190</v>
      </c>
      <c r="CT418" s="319" t="s">
        <v>190</v>
      </c>
      <c r="CU418" s="319" t="s">
        <v>190</v>
      </c>
      <c r="CV418" s="319" t="s">
        <v>190</v>
      </c>
      <c r="CW418" s="319" t="s">
        <v>190</v>
      </c>
      <c r="CX418" s="319" t="s">
        <v>190</v>
      </c>
      <c r="CY418" s="319" t="s">
        <v>190</v>
      </c>
      <c r="CZ418" s="319" t="s">
        <v>190</v>
      </c>
      <c r="DA418" s="319" t="s">
        <v>190</v>
      </c>
      <c r="DB418" s="319" t="s">
        <v>190</v>
      </c>
      <c r="DC418" s="319" t="s">
        <v>190</v>
      </c>
      <c r="DD418" s="319" t="s">
        <v>190</v>
      </c>
      <c r="DE418" s="319" t="s">
        <v>190</v>
      </c>
      <c r="DF418" s="319" t="s">
        <v>190</v>
      </c>
      <c r="DG418" s="319" t="s">
        <v>190</v>
      </c>
      <c r="DH418" s="319" t="s">
        <v>190</v>
      </c>
      <c r="DI418" s="319" t="s">
        <v>190</v>
      </c>
      <c r="DJ418" s="319" t="s">
        <v>190</v>
      </c>
      <c r="DK418" s="319" t="s">
        <v>190</v>
      </c>
      <c r="DL418" s="319" t="s">
        <v>190</v>
      </c>
      <c r="DM418" s="319" t="s">
        <v>428</v>
      </c>
      <c r="DN418" s="319" t="s">
        <v>428</v>
      </c>
      <c r="DO418" s="319" t="s">
        <v>190</v>
      </c>
      <c r="DP418" s="319" t="s">
        <v>428</v>
      </c>
      <c r="DQ418" s="319" t="s">
        <v>428</v>
      </c>
      <c r="DR418" s="319" t="s">
        <v>428</v>
      </c>
      <c r="DS418" s="319" t="s">
        <v>428</v>
      </c>
      <c r="DT418" s="319" t="s">
        <v>428</v>
      </c>
      <c r="DU418" s="319" t="s">
        <v>428</v>
      </c>
      <c r="DV418" s="319" t="s">
        <v>173</v>
      </c>
      <c r="DW418" s="319" t="s">
        <v>428</v>
      </c>
      <c r="DX418" s="319" t="s">
        <v>428</v>
      </c>
      <c r="DY418" s="319" t="s">
        <v>428</v>
      </c>
      <c r="DZ418" s="319" t="s">
        <v>428</v>
      </c>
      <c r="EA418" s="319" t="s">
        <v>428</v>
      </c>
      <c r="EB418" s="319" t="s">
        <v>428</v>
      </c>
      <c r="EC418" s="319" t="s">
        <v>428</v>
      </c>
      <c r="ED418" s="319" t="s">
        <v>428</v>
      </c>
      <c r="EE418" s="319" t="s">
        <v>190</v>
      </c>
      <c r="EF418" s="319" t="s">
        <v>190</v>
      </c>
      <c r="EG418" s="319" t="s">
        <v>190</v>
      </c>
      <c r="EH418" s="319" t="s">
        <v>190</v>
      </c>
      <c r="EI418" s="319" t="s">
        <v>190</v>
      </c>
      <c r="EJ418" s="319" t="s">
        <v>190</v>
      </c>
      <c r="EK418" s="319" t="s">
        <v>190</v>
      </c>
      <c r="EL418" s="319" t="s">
        <v>190</v>
      </c>
      <c r="EM418" s="319" t="s">
        <v>190</v>
      </c>
      <c r="EN418" s="319" t="s">
        <v>190</v>
      </c>
      <c r="EO418" s="319" t="s">
        <v>190</v>
      </c>
      <c r="EP418" s="319" t="s">
        <v>190</v>
      </c>
      <c r="EQ418" s="319" t="s">
        <v>190</v>
      </c>
      <c r="ER418" s="319" t="s">
        <v>190</v>
      </c>
      <c r="ES418" s="319" t="s">
        <v>190</v>
      </c>
      <c r="ET418" s="319" t="s">
        <v>190</v>
      </c>
      <c r="EU418" s="319" t="s">
        <v>190</v>
      </c>
      <c r="EV418" s="319" t="s">
        <v>190</v>
      </c>
      <c r="EW418" s="319" t="s">
        <v>190</v>
      </c>
      <c r="EX418" s="319" t="s">
        <v>190</v>
      </c>
      <c r="EY418" s="319" t="s">
        <v>190</v>
      </c>
      <c r="EZ418" s="319" t="s">
        <v>190</v>
      </c>
      <c r="FA418" s="319" t="s">
        <v>190</v>
      </c>
      <c r="FB418" s="319" t="s">
        <v>190</v>
      </c>
      <c r="FC418" s="319" t="s">
        <v>190</v>
      </c>
      <c r="FD418" s="319" t="s">
        <v>190</v>
      </c>
      <c r="FE418" s="319" t="s">
        <v>190</v>
      </c>
      <c r="FF418" s="319" t="s">
        <v>190</v>
      </c>
      <c r="FG418" s="319" t="s">
        <v>190</v>
      </c>
      <c r="FH418" s="319" t="s">
        <v>190</v>
      </c>
      <c r="FI418" s="319" t="s">
        <v>190</v>
      </c>
      <c r="FJ418" s="319" t="s">
        <v>190</v>
      </c>
      <c r="FK418" s="319" t="s">
        <v>190</v>
      </c>
      <c r="FL418" s="319" t="s">
        <v>190</v>
      </c>
      <c r="FM418" s="319" t="s">
        <v>190</v>
      </c>
      <c r="FN418" s="319" t="s">
        <v>190</v>
      </c>
      <c r="FO418" s="319" t="s">
        <v>190</v>
      </c>
      <c r="FP418" s="319" t="s">
        <v>190</v>
      </c>
      <c r="FQ418" s="319" t="s">
        <v>190</v>
      </c>
      <c r="FR418" s="319" t="s">
        <v>190</v>
      </c>
      <c r="FS418" s="319" t="s">
        <v>190</v>
      </c>
      <c r="FT418" s="319" t="s">
        <v>190</v>
      </c>
      <c r="FU418" s="319" t="s">
        <v>190</v>
      </c>
      <c r="FV418" s="319" t="s">
        <v>190</v>
      </c>
      <c r="FW418" s="319" t="s">
        <v>190</v>
      </c>
      <c r="FX418" s="319" t="s">
        <v>190</v>
      </c>
      <c r="FY418" s="319" t="s">
        <v>190</v>
      </c>
      <c r="FZ418" s="319" t="s">
        <v>190</v>
      </c>
      <c r="GA418" s="319" t="s">
        <v>190</v>
      </c>
      <c r="GB418" s="319" t="s">
        <v>190</v>
      </c>
      <c r="GC418" s="319" t="s">
        <v>190</v>
      </c>
      <c r="GD418" s="319" t="s">
        <v>190</v>
      </c>
      <c r="GE418" s="319" t="s">
        <v>190</v>
      </c>
      <c r="GF418" s="319" t="s">
        <v>190</v>
      </c>
      <c r="GG418" s="319" t="s">
        <v>190</v>
      </c>
      <c r="GH418" s="319" t="s">
        <v>190</v>
      </c>
      <c r="GI418" s="319" t="s">
        <v>190</v>
      </c>
      <c r="GJ418" s="319" t="s">
        <v>190</v>
      </c>
      <c r="GK418" s="319" t="s">
        <v>428</v>
      </c>
      <c r="GL418" s="319" t="s">
        <v>190</v>
      </c>
      <c r="GM418" s="319" t="s">
        <v>190</v>
      </c>
      <c r="GN418" s="319" t="s">
        <v>190</v>
      </c>
      <c r="GO418" s="319" t="s">
        <v>190</v>
      </c>
      <c r="GP418" s="319" t="s">
        <v>190</v>
      </c>
      <c r="GQ418" s="319" t="s">
        <v>190</v>
      </c>
      <c r="GR418" s="319" t="s">
        <v>190</v>
      </c>
      <c r="GS418" s="319" t="s">
        <v>190</v>
      </c>
      <c r="GT418" s="319" t="s">
        <v>190</v>
      </c>
      <c r="GU418" s="319" t="s">
        <v>190</v>
      </c>
      <c r="GV418" s="319" t="s">
        <v>190</v>
      </c>
      <c r="GW418" s="319" t="s">
        <v>190</v>
      </c>
      <c r="GX418" s="319" t="s">
        <v>190</v>
      </c>
      <c r="GY418" s="319" t="s">
        <v>190</v>
      </c>
      <c r="GZ418" s="319" t="s">
        <v>190</v>
      </c>
      <c r="HA418" s="319" t="s">
        <v>190</v>
      </c>
      <c r="HB418" s="319" t="s">
        <v>428</v>
      </c>
      <c r="HC418" s="319" t="s">
        <v>190</v>
      </c>
      <c r="HD418" s="319" t="s">
        <v>190</v>
      </c>
      <c r="HE418" s="319" t="s">
        <v>190</v>
      </c>
      <c r="HF418" s="319" t="s">
        <v>190</v>
      </c>
      <c r="HG418" s="319" t="s">
        <v>190</v>
      </c>
      <c r="HH418" s="319" t="s">
        <v>190</v>
      </c>
      <c r="HI418" s="319" t="s">
        <v>190</v>
      </c>
      <c r="HJ418" s="319" t="s">
        <v>190</v>
      </c>
      <c r="HK418" s="319" t="s">
        <v>428</v>
      </c>
      <c r="HL418" s="319" t="s">
        <v>428</v>
      </c>
      <c r="HM418" s="319" t="s">
        <v>428</v>
      </c>
      <c r="HN418" s="319" t="s">
        <v>428</v>
      </c>
      <c r="HO418" s="319" t="s">
        <v>428</v>
      </c>
      <c r="HP418" s="319" t="s">
        <v>190</v>
      </c>
      <c r="HQ418" s="319" t="s">
        <v>190</v>
      </c>
      <c r="HR418" s="319" t="s">
        <v>190</v>
      </c>
      <c r="HS418" s="319" t="s">
        <v>190</v>
      </c>
      <c r="HT418" s="319" t="s">
        <v>190</v>
      </c>
      <c r="HU418" s="319" t="s">
        <v>190</v>
      </c>
      <c r="HV418" s="319" t="s">
        <v>190</v>
      </c>
      <c r="HW418" s="319" t="s">
        <v>190</v>
      </c>
      <c r="HX418" s="319" t="s">
        <v>190</v>
      </c>
      <c r="HY418" s="319" t="s">
        <v>190</v>
      </c>
      <c r="HZ418" s="319" t="s">
        <v>190</v>
      </c>
      <c r="IA418" s="319" t="s">
        <v>190</v>
      </c>
      <c r="IB418" s="319" t="s">
        <v>190</v>
      </c>
      <c r="IC418" s="319" t="s">
        <v>190</v>
      </c>
      <c r="ID418" s="319" t="s">
        <v>190</v>
      </c>
      <c r="IE418" s="319" t="s">
        <v>190</v>
      </c>
      <c r="IF418" s="319" t="s">
        <v>190</v>
      </c>
      <c r="IG418" s="319" t="s">
        <v>190</v>
      </c>
      <c r="IH418" s="319" t="s">
        <v>190</v>
      </c>
      <c r="II418" s="319" t="s">
        <v>190</v>
      </c>
      <c r="IJ418" s="319">
        <v>10020903</v>
      </c>
      <c r="IK418" s="321">
        <v>42696</v>
      </c>
      <c r="IL418" s="321">
        <v>42698</v>
      </c>
      <c r="IM418" s="321">
        <v>42727</v>
      </c>
      <c r="IN418" s="319">
        <v>3</v>
      </c>
      <c r="IO418" s="319" t="s">
        <v>173</v>
      </c>
      <c r="IP418" s="319" t="s">
        <v>173</v>
      </c>
      <c r="IQ418" s="319" t="s">
        <v>173</v>
      </c>
      <c r="IR418" s="320" t="s">
        <v>173</v>
      </c>
      <c r="IS418" s="320" t="s">
        <v>173</v>
      </c>
      <c r="IT418" s="319" t="s">
        <v>173</v>
      </c>
    </row>
    <row r="419" spans="1:254" s="271" customFormat="1" x14ac:dyDescent="0.25">
      <c r="A419" s="318" t="str">
        <f>HYPERLINK("http://www.ofsted.gov.uk/inspection-reports/find-inspection-report/provider/ELS/133646 ","Ofsted School Webpage")</f>
        <v>Ofsted School Webpage</v>
      </c>
      <c r="B419" s="319">
        <v>133646</v>
      </c>
      <c r="C419" s="319">
        <v>2116392</v>
      </c>
      <c r="D419" s="319" t="s">
        <v>1780</v>
      </c>
      <c r="E419" s="319" t="s">
        <v>167</v>
      </c>
      <c r="F419" s="319" t="s">
        <v>81</v>
      </c>
      <c r="G419" s="319" t="s">
        <v>72</v>
      </c>
      <c r="H419" s="319" t="s">
        <v>72</v>
      </c>
      <c r="I419" s="319" t="s">
        <v>72</v>
      </c>
      <c r="J419" s="319" t="s">
        <v>424</v>
      </c>
      <c r="K419" s="319" t="s">
        <v>441</v>
      </c>
      <c r="L419" s="319" t="s">
        <v>441</v>
      </c>
      <c r="M419" s="319" t="s">
        <v>757</v>
      </c>
      <c r="N419" s="319" t="s">
        <v>2801</v>
      </c>
      <c r="O419" s="319" t="s">
        <v>1781</v>
      </c>
      <c r="P419" s="319">
        <v>81</v>
      </c>
      <c r="Q419" s="319" t="s">
        <v>2766</v>
      </c>
      <c r="R419" s="320">
        <v>10038167</v>
      </c>
      <c r="S419" s="321">
        <v>43229</v>
      </c>
      <c r="T419" s="321">
        <v>43231</v>
      </c>
      <c r="U419" s="321">
        <v>43242</v>
      </c>
      <c r="V419" s="319" t="s">
        <v>425</v>
      </c>
      <c r="W419" s="319" t="s">
        <v>2767</v>
      </c>
      <c r="X419" s="319">
        <v>2</v>
      </c>
      <c r="Y419" s="319" t="s">
        <v>173</v>
      </c>
      <c r="Z419" s="319" t="s">
        <v>173</v>
      </c>
      <c r="AA419" s="319" t="s">
        <v>173</v>
      </c>
      <c r="AB419" s="319">
        <v>2</v>
      </c>
      <c r="AC419" s="319" t="s">
        <v>169</v>
      </c>
      <c r="AD419" s="319" t="s">
        <v>173</v>
      </c>
      <c r="AE419" s="319" t="s">
        <v>173</v>
      </c>
      <c r="AF419" s="319" t="s">
        <v>427</v>
      </c>
      <c r="AG419" s="319" t="s">
        <v>171</v>
      </c>
      <c r="AH419" s="319" t="s">
        <v>190</v>
      </c>
      <c r="AI419" s="319" t="s">
        <v>190</v>
      </c>
      <c r="AJ419" s="319" t="s">
        <v>190</v>
      </c>
      <c r="AK419" s="319" t="s">
        <v>190</v>
      </c>
      <c r="AL419" s="319" t="s">
        <v>190</v>
      </c>
      <c r="AM419" s="319" t="s">
        <v>190</v>
      </c>
      <c r="AN419" s="319" t="s">
        <v>190</v>
      </c>
      <c r="AO419" s="319" t="s">
        <v>190</v>
      </c>
      <c r="AP419" s="319" t="s">
        <v>190</v>
      </c>
      <c r="AQ419" s="319" t="s">
        <v>190</v>
      </c>
      <c r="AR419" s="319" t="s">
        <v>190</v>
      </c>
      <c r="AS419" s="319" t="s">
        <v>190</v>
      </c>
      <c r="AT419" s="319" t="s">
        <v>190</v>
      </c>
      <c r="AU419" s="319" t="s">
        <v>190</v>
      </c>
      <c r="AV419" s="319" t="s">
        <v>190</v>
      </c>
      <c r="AW419" s="319" t="s">
        <v>190</v>
      </c>
      <c r="AX419" s="319" t="s">
        <v>428</v>
      </c>
      <c r="AY419" s="319" t="s">
        <v>190</v>
      </c>
      <c r="AZ419" s="319" t="s">
        <v>190</v>
      </c>
      <c r="BA419" s="319" t="s">
        <v>190</v>
      </c>
      <c r="BB419" s="319" t="s">
        <v>428</v>
      </c>
      <c r="BC419" s="319" t="s">
        <v>428</v>
      </c>
      <c r="BD419" s="319" t="s">
        <v>428</v>
      </c>
      <c r="BE419" s="319" t="s">
        <v>428</v>
      </c>
      <c r="BF419" s="319" t="s">
        <v>428</v>
      </c>
      <c r="BG419" s="319" t="s">
        <v>428</v>
      </c>
      <c r="BH419" s="319" t="s">
        <v>190</v>
      </c>
      <c r="BI419" s="319" t="s">
        <v>190</v>
      </c>
      <c r="BJ419" s="319" t="s">
        <v>190</v>
      </c>
      <c r="BK419" s="319" t="s">
        <v>190</v>
      </c>
      <c r="BL419" s="319" t="s">
        <v>190</v>
      </c>
      <c r="BM419" s="319" t="s">
        <v>190</v>
      </c>
      <c r="BN419" s="319" t="s">
        <v>190</v>
      </c>
      <c r="BO419" s="319" t="s">
        <v>190</v>
      </c>
      <c r="BP419" s="319" t="s">
        <v>190</v>
      </c>
      <c r="BQ419" s="319" t="s">
        <v>190</v>
      </c>
      <c r="BR419" s="319" t="s">
        <v>190</v>
      </c>
      <c r="BS419" s="319" t="s">
        <v>190</v>
      </c>
      <c r="BT419" s="319" t="s">
        <v>190</v>
      </c>
      <c r="BU419" s="319" t="s">
        <v>190</v>
      </c>
      <c r="BV419" s="319" t="s">
        <v>190</v>
      </c>
      <c r="BW419" s="319" t="s">
        <v>190</v>
      </c>
      <c r="BX419" s="319" t="s">
        <v>190</v>
      </c>
      <c r="BY419" s="319" t="s">
        <v>190</v>
      </c>
      <c r="BZ419" s="319" t="s">
        <v>190</v>
      </c>
      <c r="CA419" s="319" t="s">
        <v>190</v>
      </c>
      <c r="CB419" s="319" t="s">
        <v>190</v>
      </c>
      <c r="CC419" s="319" t="s">
        <v>190</v>
      </c>
      <c r="CD419" s="319" t="s">
        <v>190</v>
      </c>
      <c r="CE419" s="319" t="s">
        <v>190</v>
      </c>
      <c r="CF419" s="319" t="s">
        <v>190</v>
      </c>
      <c r="CG419" s="319" t="s">
        <v>190</v>
      </c>
      <c r="CH419" s="319" t="s">
        <v>190</v>
      </c>
      <c r="CI419" s="319" t="s">
        <v>190</v>
      </c>
      <c r="CJ419" s="319" t="s">
        <v>190</v>
      </c>
      <c r="CK419" s="319" t="s">
        <v>190</v>
      </c>
      <c r="CL419" s="319" t="s">
        <v>190</v>
      </c>
      <c r="CM419" s="319" t="s">
        <v>190</v>
      </c>
      <c r="CN419" s="319" t="s">
        <v>428</v>
      </c>
      <c r="CO419" s="319" t="s">
        <v>428</v>
      </c>
      <c r="CP419" s="319" t="s">
        <v>428</v>
      </c>
      <c r="CQ419" s="319" t="s">
        <v>190</v>
      </c>
      <c r="CR419" s="319" t="s">
        <v>190</v>
      </c>
      <c r="CS419" s="319" t="s">
        <v>190</v>
      </c>
      <c r="CT419" s="319" t="s">
        <v>190</v>
      </c>
      <c r="CU419" s="319" t="s">
        <v>190</v>
      </c>
      <c r="CV419" s="319" t="s">
        <v>190</v>
      </c>
      <c r="CW419" s="319" t="s">
        <v>190</v>
      </c>
      <c r="CX419" s="319" t="s">
        <v>190</v>
      </c>
      <c r="CY419" s="319" t="s">
        <v>190</v>
      </c>
      <c r="CZ419" s="319" t="s">
        <v>190</v>
      </c>
      <c r="DA419" s="319" t="s">
        <v>190</v>
      </c>
      <c r="DB419" s="319" t="s">
        <v>190</v>
      </c>
      <c r="DC419" s="319" t="s">
        <v>190</v>
      </c>
      <c r="DD419" s="319" t="s">
        <v>190</v>
      </c>
      <c r="DE419" s="319" t="s">
        <v>190</v>
      </c>
      <c r="DF419" s="319" t="s">
        <v>190</v>
      </c>
      <c r="DG419" s="319" t="s">
        <v>190</v>
      </c>
      <c r="DH419" s="319" t="s">
        <v>190</v>
      </c>
      <c r="DI419" s="319" t="s">
        <v>190</v>
      </c>
      <c r="DJ419" s="319" t="s">
        <v>190</v>
      </c>
      <c r="DK419" s="319" t="s">
        <v>190</v>
      </c>
      <c r="DL419" s="319" t="s">
        <v>190</v>
      </c>
      <c r="DM419" s="319" t="s">
        <v>190</v>
      </c>
      <c r="DN419" s="319" t="s">
        <v>428</v>
      </c>
      <c r="DO419" s="319" t="s">
        <v>190</v>
      </c>
      <c r="DP419" s="319" t="s">
        <v>190</v>
      </c>
      <c r="DQ419" s="319" t="s">
        <v>190</v>
      </c>
      <c r="DR419" s="319" t="s">
        <v>190</v>
      </c>
      <c r="DS419" s="319" t="s">
        <v>190</v>
      </c>
      <c r="DT419" s="319" t="s">
        <v>190</v>
      </c>
      <c r="DU419" s="319" t="s">
        <v>190</v>
      </c>
      <c r="DV419" s="319" t="s">
        <v>173</v>
      </c>
      <c r="DW419" s="319" t="s">
        <v>190</v>
      </c>
      <c r="DX419" s="319" t="s">
        <v>190</v>
      </c>
      <c r="DY419" s="319" t="s">
        <v>190</v>
      </c>
      <c r="DZ419" s="319" t="s">
        <v>190</v>
      </c>
      <c r="EA419" s="319" t="s">
        <v>190</v>
      </c>
      <c r="EB419" s="319" t="s">
        <v>190</v>
      </c>
      <c r="EC419" s="319" t="s">
        <v>428</v>
      </c>
      <c r="ED419" s="319" t="s">
        <v>190</v>
      </c>
      <c r="EE419" s="319" t="s">
        <v>190</v>
      </c>
      <c r="EF419" s="319" t="s">
        <v>190</v>
      </c>
      <c r="EG419" s="319" t="s">
        <v>190</v>
      </c>
      <c r="EH419" s="319" t="s">
        <v>190</v>
      </c>
      <c r="EI419" s="319" t="s">
        <v>190</v>
      </c>
      <c r="EJ419" s="319" t="s">
        <v>190</v>
      </c>
      <c r="EK419" s="319" t="s">
        <v>190</v>
      </c>
      <c r="EL419" s="319" t="s">
        <v>190</v>
      </c>
      <c r="EM419" s="319" t="s">
        <v>190</v>
      </c>
      <c r="EN419" s="319" t="s">
        <v>190</v>
      </c>
      <c r="EO419" s="319" t="s">
        <v>190</v>
      </c>
      <c r="EP419" s="319" t="s">
        <v>190</v>
      </c>
      <c r="EQ419" s="319" t="s">
        <v>190</v>
      </c>
      <c r="ER419" s="319" t="s">
        <v>190</v>
      </c>
      <c r="ES419" s="319" t="s">
        <v>190</v>
      </c>
      <c r="ET419" s="319" t="s">
        <v>190</v>
      </c>
      <c r="EU419" s="319" t="s">
        <v>190</v>
      </c>
      <c r="EV419" s="319" t="s">
        <v>190</v>
      </c>
      <c r="EW419" s="319" t="s">
        <v>190</v>
      </c>
      <c r="EX419" s="319" t="s">
        <v>190</v>
      </c>
      <c r="EY419" s="319" t="s">
        <v>190</v>
      </c>
      <c r="EZ419" s="319" t="s">
        <v>190</v>
      </c>
      <c r="FA419" s="319" t="s">
        <v>190</v>
      </c>
      <c r="FB419" s="319" t="s">
        <v>190</v>
      </c>
      <c r="FC419" s="319" t="s">
        <v>190</v>
      </c>
      <c r="FD419" s="319" t="s">
        <v>190</v>
      </c>
      <c r="FE419" s="319" t="s">
        <v>190</v>
      </c>
      <c r="FF419" s="319" t="s">
        <v>190</v>
      </c>
      <c r="FG419" s="319" t="s">
        <v>190</v>
      </c>
      <c r="FH419" s="319" t="s">
        <v>190</v>
      </c>
      <c r="FI419" s="319" t="s">
        <v>190</v>
      </c>
      <c r="FJ419" s="319" t="s">
        <v>190</v>
      </c>
      <c r="FK419" s="319" t="s">
        <v>190</v>
      </c>
      <c r="FL419" s="319" t="s">
        <v>190</v>
      </c>
      <c r="FM419" s="319" t="s">
        <v>190</v>
      </c>
      <c r="FN419" s="319" t="s">
        <v>190</v>
      </c>
      <c r="FO419" s="319" t="s">
        <v>428</v>
      </c>
      <c r="FP419" s="319" t="s">
        <v>190</v>
      </c>
      <c r="FQ419" s="319" t="s">
        <v>190</v>
      </c>
      <c r="FR419" s="319" t="s">
        <v>190</v>
      </c>
      <c r="FS419" s="319" t="s">
        <v>428</v>
      </c>
      <c r="FT419" s="319" t="s">
        <v>190</v>
      </c>
      <c r="FU419" s="319" t="s">
        <v>190</v>
      </c>
      <c r="FV419" s="319" t="s">
        <v>190</v>
      </c>
      <c r="FW419" s="319" t="s">
        <v>190</v>
      </c>
      <c r="FX419" s="319" t="s">
        <v>190</v>
      </c>
      <c r="FY419" s="319" t="s">
        <v>190</v>
      </c>
      <c r="FZ419" s="319" t="s">
        <v>190</v>
      </c>
      <c r="GA419" s="319" t="s">
        <v>190</v>
      </c>
      <c r="GB419" s="319" t="s">
        <v>190</v>
      </c>
      <c r="GC419" s="319" t="s">
        <v>190</v>
      </c>
      <c r="GD419" s="319" t="s">
        <v>190</v>
      </c>
      <c r="GE419" s="319" t="s">
        <v>190</v>
      </c>
      <c r="GF419" s="319" t="s">
        <v>190</v>
      </c>
      <c r="GG419" s="319" t="s">
        <v>190</v>
      </c>
      <c r="GH419" s="319" t="s">
        <v>190</v>
      </c>
      <c r="GI419" s="319" t="s">
        <v>190</v>
      </c>
      <c r="GJ419" s="319" t="s">
        <v>190</v>
      </c>
      <c r="GK419" s="319" t="s">
        <v>428</v>
      </c>
      <c r="GL419" s="319" t="s">
        <v>190</v>
      </c>
      <c r="GM419" s="319" t="s">
        <v>190</v>
      </c>
      <c r="GN419" s="319" t="s">
        <v>190</v>
      </c>
      <c r="GO419" s="319" t="s">
        <v>190</v>
      </c>
      <c r="GP419" s="319" t="s">
        <v>190</v>
      </c>
      <c r="GQ419" s="319" t="s">
        <v>428</v>
      </c>
      <c r="GR419" s="319" t="s">
        <v>190</v>
      </c>
      <c r="GS419" s="319" t="s">
        <v>190</v>
      </c>
      <c r="GT419" s="319" t="s">
        <v>428</v>
      </c>
      <c r="GU419" s="319" t="s">
        <v>428</v>
      </c>
      <c r="GV419" s="319" t="s">
        <v>190</v>
      </c>
      <c r="GW419" s="319" t="s">
        <v>190</v>
      </c>
      <c r="GX419" s="319" t="s">
        <v>190</v>
      </c>
      <c r="GY419" s="319" t="s">
        <v>190</v>
      </c>
      <c r="GZ419" s="319" t="s">
        <v>190</v>
      </c>
      <c r="HA419" s="319" t="s">
        <v>190</v>
      </c>
      <c r="HB419" s="319" t="s">
        <v>190</v>
      </c>
      <c r="HC419" s="319" t="s">
        <v>190</v>
      </c>
      <c r="HD419" s="319" t="s">
        <v>190</v>
      </c>
      <c r="HE419" s="319" t="s">
        <v>190</v>
      </c>
      <c r="HF419" s="319" t="s">
        <v>190</v>
      </c>
      <c r="HG419" s="319" t="s">
        <v>190</v>
      </c>
      <c r="HH419" s="319" t="s">
        <v>190</v>
      </c>
      <c r="HI419" s="319" t="s">
        <v>190</v>
      </c>
      <c r="HJ419" s="319" t="s">
        <v>190</v>
      </c>
      <c r="HK419" s="319" t="s">
        <v>190</v>
      </c>
      <c r="HL419" s="319" t="s">
        <v>190</v>
      </c>
      <c r="HM419" s="319" t="s">
        <v>428</v>
      </c>
      <c r="HN419" s="319" t="s">
        <v>428</v>
      </c>
      <c r="HO419" s="319" t="s">
        <v>428</v>
      </c>
      <c r="HP419" s="319" t="s">
        <v>190</v>
      </c>
      <c r="HQ419" s="319" t="s">
        <v>190</v>
      </c>
      <c r="HR419" s="319" t="s">
        <v>190</v>
      </c>
      <c r="HS419" s="319" t="s">
        <v>190</v>
      </c>
      <c r="HT419" s="319" t="s">
        <v>190</v>
      </c>
      <c r="HU419" s="319" t="s">
        <v>190</v>
      </c>
      <c r="HV419" s="319" t="s">
        <v>190</v>
      </c>
      <c r="HW419" s="319" t="s">
        <v>190</v>
      </c>
      <c r="HX419" s="319" t="s">
        <v>190</v>
      </c>
      <c r="HY419" s="319" t="s">
        <v>190</v>
      </c>
      <c r="HZ419" s="319" t="s">
        <v>190</v>
      </c>
      <c r="IA419" s="319" t="s">
        <v>190</v>
      </c>
      <c r="IB419" s="319" t="s">
        <v>190</v>
      </c>
      <c r="IC419" s="319" t="s">
        <v>190</v>
      </c>
      <c r="ID419" s="319" t="s">
        <v>190</v>
      </c>
      <c r="IE419" s="319" t="s">
        <v>190</v>
      </c>
      <c r="IF419" s="319" t="s">
        <v>190</v>
      </c>
      <c r="IG419" s="319" t="s">
        <v>190</v>
      </c>
      <c r="IH419" s="319" t="s">
        <v>190</v>
      </c>
      <c r="II419" s="319" t="s">
        <v>190</v>
      </c>
      <c r="IJ419" s="319" t="s">
        <v>3191</v>
      </c>
      <c r="IK419" s="321">
        <v>41920</v>
      </c>
      <c r="IL419" s="321">
        <v>41922</v>
      </c>
      <c r="IM419" s="321">
        <v>42039</v>
      </c>
      <c r="IN419" s="319">
        <v>4</v>
      </c>
      <c r="IO419" s="319" t="s">
        <v>173</v>
      </c>
      <c r="IP419" s="319" t="s">
        <v>173</v>
      </c>
      <c r="IQ419" s="319" t="s">
        <v>173</v>
      </c>
      <c r="IR419" s="320" t="s">
        <v>173</v>
      </c>
      <c r="IS419" s="320" t="s">
        <v>173</v>
      </c>
      <c r="IT419" s="319" t="s">
        <v>173</v>
      </c>
    </row>
    <row r="420" spans="1:254" s="271" customFormat="1" x14ac:dyDescent="0.25">
      <c r="A420" s="318" t="str">
        <f>HYPERLINK("http://www.ofsted.gov.uk/inspection-reports/find-inspection-report/provider/ELS/133651 ","Ofsted School Webpage")</f>
        <v>Ofsted School Webpage</v>
      </c>
      <c r="B420" s="319">
        <v>133651</v>
      </c>
      <c r="C420" s="319">
        <v>8736032</v>
      </c>
      <c r="D420" s="319" t="s">
        <v>1782</v>
      </c>
      <c r="E420" s="319" t="s">
        <v>168</v>
      </c>
      <c r="F420" s="319" t="s">
        <v>81</v>
      </c>
      <c r="G420" s="319" t="s">
        <v>81</v>
      </c>
      <c r="H420" s="319" t="s">
        <v>81</v>
      </c>
      <c r="I420" s="319" t="s">
        <v>78</v>
      </c>
      <c r="J420" s="319" t="s">
        <v>424</v>
      </c>
      <c r="K420" s="319" t="s">
        <v>451</v>
      </c>
      <c r="L420" s="319" t="s">
        <v>451</v>
      </c>
      <c r="M420" s="319" t="s">
        <v>772</v>
      </c>
      <c r="N420" s="319" t="s">
        <v>2913</v>
      </c>
      <c r="O420" s="319" t="s">
        <v>1783</v>
      </c>
      <c r="P420" s="319">
        <v>5</v>
      </c>
      <c r="Q420" s="319" t="s">
        <v>429</v>
      </c>
      <c r="R420" s="320">
        <v>10038904</v>
      </c>
      <c r="S420" s="321">
        <v>42997</v>
      </c>
      <c r="T420" s="321">
        <v>42998</v>
      </c>
      <c r="U420" s="321">
        <v>43027</v>
      </c>
      <c r="V420" s="319" t="s">
        <v>425</v>
      </c>
      <c r="W420" s="319" t="s">
        <v>2767</v>
      </c>
      <c r="X420" s="319">
        <v>2</v>
      </c>
      <c r="Y420" s="319" t="s">
        <v>173</v>
      </c>
      <c r="Z420" s="319" t="s">
        <v>173</v>
      </c>
      <c r="AA420" s="319" t="s">
        <v>173</v>
      </c>
      <c r="AB420" s="319">
        <v>2</v>
      </c>
      <c r="AC420" s="319" t="s">
        <v>169</v>
      </c>
      <c r="AD420" s="319" t="s">
        <v>173</v>
      </c>
      <c r="AE420" s="319" t="s">
        <v>173</v>
      </c>
      <c r="AF420" s="319" t="s">
        <v>427</v>
      </c>
      <c r="AG420" s="319" t="s">
        <v>171</v>
      </c>
      <c r="AH420" s="319" t="s">
        <v>190</v>
      </c>
      <c r="AI420" s="319" t="s">
        <v>190</v>
      </c>
      <c r="AJ420" s="319" t="s">
        <v>190</v>
      </c>
      <c r="AK420" s="319" t="s">
        <v>190</v>
      </c>
      <c r="AL420" s="319" t="s">
        <v>190</v>
      </c>
      <c r="AM420" s="319" t="s">
        <v>190</v>
      </c>
      <c r="AN420" s="319" t="s">
        <v>190</v>
      </c>
      <c r="AO420" s="319" t="s">
        <v>190</v>
      </c>
      <c r="AP420" s="319" t="s">
        <v>190</v>
      </c>
      <c r="AQ420" s="319" t="s">
        <v>190</v>
      </c>
      <c r="AR420" s="319" t="s">
        <v>190</v>
      </c>
      <c r="AS420" s="319" t="s">
        <v>190</v>
      </c>
      <c r="AT420" s="319" t="s">
        <v>190</v>
      </c>
      <c r="AU420" s="319" t="s">
        <v>190</v>
      </c>
      <c r="AV420" s="319" t="s">
        <v>190</v>
      </c>
      <c r="AW420" s="319" t="s">
        <v>190</v>
      </c>
      <c r="AX420" s="319" t="s">
        <v>428</v>
      </c>
      <c r="AY420" s="319" t="s">
        <v>190</v>
      </c>
      <c r="AZ420" s="319" t="s">
        <v>190</v>
      </c>
      <c r="BA420" s="319" t="s">
        <v>190</v>
      </c>
      <c r="BB420" s="319" t="s">
        <v>190</v>
      </c>
      <c r="BC420" s="319" t="s">
        <v>190</v>
      </c>
      <c r="BD420" s="319" t="s">
        <v>190</v>
      </c>
      <c r="BE420" s="319" t="s">
        <v>190</v>
      </c>
      <c r="BF420" s="319" t="s">
        <v>428</v>
      </c>
      <c r="BG420" s="319" t="s">
        <v>428</v>
      </c>
      <c r="BH420" s="319" t="s">
        <v>190</v>
      </c>
      <c r="BI420" s="319" t="s">
        <v>190</v>
      </c>
      <c r="BJ420" s="319" t="s">
        <v>190</v>
      </c>
      <c r="BK420" s="319" t="s">
        <v>190</v>
      </c>
      <c r="BL420" s="319" t="s">
        <v>190</v>
      </c>
      <c r="BM420" s="319" t="s">
        <v>190</v>
      </c>
      <c r="BN420" s="319" t="s">
        <v>190</v>
      </c>
      <c r="BO420" s="319" t="s">
        <v>190</v>
      </c>
      <c r="BP420" s="319" t="s">
        <v>190</v>
      </c>
      <c r="BQ420" s="319" t="s">
        <v>190</v>
      </c>
      <c r="BR420" s="319" t="s">
        <v>190</v>
      </c>
      <c r="BS420" s="319" t="s">
        <v>190</v>
      </c>
      <c r="BT420" s="319" t="s">
        <v>190</v>
      </c>
      <c r="BU420" s="319" t="s">
        <v>190</v>
      </c>
      <c r="BV420" s="319" t="s">
        <v>190</v>
      </c>
      <c r="BW420" s="319" t="s">
        <v>190</v>
      </c>
      <c r="BX420" s="319" t="s">
        <v>190</v>
      </c>
      <c r="BY420" s="319" t="s">
        <v>190</v>
      </c>
      <c r="BZ420" s="319" t="s">
        <v>190</v>
      </c>
      <c r="CA420" s="319" t="s">
        <v>190</v>
      </c>
      <c r="CB420" s="319" t="s">
        <v>190</v>
      </c>
      <c r="CC420" s="319" t="s">
        <v>190</v>
      </c>
      <c r="CD420" s="319" t="s">
        <v>190</v>
      </c>
      <c r="CE420" s="319" t="s">
        <v>190</v>
      </c>
      <c r="CF420" s="319" t="s">
        <v>190</v>
      </c>
      <c r="CG420" s="319" t="s">
        <v>190</v>
      </c>
      <c r="CH420" s="319" t="s">
        <v>190</v>
      </c>
      <c r="CI420" s="319" t="s">
        <v>190</v>
      </c>
      <c r="CJ420" s="319" t="s">
        <v>190</v>
      </c>
      <c r="CK420" s="319" t="s">
        <v>190</v>
      </c>
      <c r="CL420" s="319" t="s">
        <v>190</v>
      </c>
      <c r="CM420" s="319" t="s">
        <v>190</v>
      </c>
      <c r="CN420" s="319" t="s">
        <v>428</v>
      </c>
      <c r="CO420" s="319" t="s">
        <v>428</v>
      </c>
      <c r="CP420" s="319" t="s">
        <v>428</v>
      </c>
      <c r="CQ420" s="319" t="s">
        <v>190</v>
      </c>
      <c r="CR420" s="319" t="s">
        <v>190</v>
      </c>
      <c r="CS420" s="319" t="s">
        <v>190</v>
      </c>
      <c r="CT420" s="319" t="s">
        <v>190</v>
      </c>
      <c r="CU420" s="319" t="s">
        <v>190</v>
      </c>
      <c r="CV420" s="319" t="s">
        <v>190</v>
      </c>
      <c r="CW420" s="319" t="s">
        <v>190</v>
      </c>
      <c r="CX420" s="319" t="s">
        <v>190</v>
      </c>
      <c r="CY420" s="319" t="s">
        <v>190</v>
      </c>
      <c r="CZ420" s="319" t="s">
        <v>190</v>
      </c>
      <c r="DA420" s="319" t="s">
        <v>190</v>
      </c>
      <c r="DB420" s="319" t="s">
        <v>190</v>
      </c>
      <c r="DC420" s="319" t="s">
        <v>190</v>
      </c>
      <c r="DD420" s="319" t="s">
        <v>190</v>
      </c>
      <c r="DE420" s="319" t="s">
        <v>190</v>
      </c>
      <c r="DF420" s="319" t="s">
        <v>190</v>
      </c>
      <c r="DG420" s="319" t="s">
        <v>190</v>
      </c>
      <c r="DH420" s="319" t="s">
        <v>190</v>
      </c>
      <c r="DI420" s="319" t="s">
        <v>190</v>
      </c>
      <c r="DJ420" s="319" t="s">
        <v>190</v>
      </c>
      <c r="DK420" s="319" t="s">
        <v>190</v>
      </c>
      <c r="DL420" s="319" t="s">
        <v>190</v>
      </c>
      <c r="DM420" s="319" t="s">
        <v>190</v>
      </c>
      <c r="DN420" s="319" t="s">
        <v>428</v>
      </c>
      <c r="DO420" s="319" t="s">
        <v>190</v>
      </c>
      <c r="DP420" s="319" t="s">
        <v>428</v>
      </c>
      <c r="DQ420" s="319" t="s">
        <v>428</v>
      </c>
      <c r="DR420" s="319" t="s">
        <v>428</v>
      </c>
      <c r="DS420" s="319" t="s">
        <v>428</v>
      </c>
      <c r="DT420" s="319" t="s">
        <v>428</v>
      </c>
      <c r="DU420" s="319" t="s">
        <v>428</v>
      </c>
      <c r="DV420" s="319" t="s">
        <v>173</v>
      </c>
      <c r="DW420" s="319" t="s">
        <v>428</v>
      </c>
      <c r="DX420" s="319" t="s">
        <v>428</v>
      </c>
      <c r="DY420" s="319" t="s">
        <v>428</v>
      </c>
      <c r="DZ420" s="319" t="s">
        <v>428</v>
      </c>
      <c r="EA420" s="319" t="s">
        <v>428</v>
      </c>
      <c r="EB420" s="319" t="s">
        <v>428</v>
      </c>
      <c r="EC420" s="319" t="s">
        <v>428</v>
      </c>
      <c r="ED420" s="319" t="s">
        <v>428</v>
      </c>
      <c r="EE420" s="319" t="s">
        <v>190</v>
      </c>
      <c r="EF420" s="319" t="s">
        <v>190</v>
      </c>
      <c r="EG420" s="319" t="s">
        <v>190</v>
      </c>
      <c r="EH420" s="319" t="s">
        <v>190</v>
      </c>
      <c r="EI420" s="319" t="s">
        <v>190</v>
      </c>
      <c r="EJ420" s="319" t="s">
        <v>190</v>
      </c>
      <c r="EK420" s="319" t="s">
        <v>190</v>
      </c>
      <c r="EL420" s="319" t="s">
        <v>190</v>
      </c>
      <c r="EM420" s="319" t="s">
        <v>190</v>
      </c>
      <c r="EN420" s="319" t="s">
        <v>190</v>
      </c>
      <c r="EO420" s="319" t="s">
        <v>190</v>
      </c>
      <c r="EP420" s="319" t="s">
        <v>190</v>
      </c>
      <c r="EQ420" s="319" t="s">
        <v>190</v>
      </c>
      <c r="ER420" s="319" t="s">
        <v>190</v>
      </c>
      <c r="ES420" s="319" t="s">
        <v>190</v>
      </c>
      <c r="ET420" s="319" t="s">
        <v>190</v>
      </c>
      <c r="EU420" s="319" t="s">
        <v>190</v>
      </c>
      <c r="EV420" s="319" t="s">
        <v>190</v>
      </c>
      <c r="EW420" s="319" t="s">
        <v>190</v>
      </c>
      <c r="EX420" s="319" t="s">
        <v>190</v>
      </c>
      <c r="EY420" s="319" t="s">
        <v>190</v>
      </c>
      <c r="EZ420" s="319" t="s">
        <v>190</v>
      </c>
      <c r="FA420" s="319" t="s">
        <v>190</v>
      </c>
      <c r="FB420" s="319" t="s">
        <v>428</v>
      </c>
      <c r="FC420" s="319" t="s">
        <v>428</v>
      </c>
      <c r="FD420" s="319" t="s">
        <v>428</v>
      </c>
      <c r="FE420" s="319" t="s">
        <v>428</v>
      </c>
      <c r="FF420" s="319" t="s">
        <v>428</v>
      </c>
      <c r="FG420" s="319" t="s">
        <v>428</v>
      </c>
      <c r="FH420" s="319" t="s">
        <v>190</v>
      </c>
      <c r="FI420" s="319" t="s">
        <v>190</v>
      </c>
      <c r="FJ420" s="319" t="s">
        <v>190</v>
      </c>
      <c r="FK420" s="319" t="s">
        <v>190</v>
      </c>
      <c r="FL420" s="319" t="s">
        <v>190</v>
      </c>
      <c r="FM420" s="319" t="s">
        <v>190</v>
      </c>
      <c r="FN420" s="319" t="s">
        <v>428</v>
      </c>
      <c r="FO420" s="319" t="s">
        <v>190</v>
      </c>
      <c r="FP420" s="319" t="s">
        <v>190</v>
      </c>
      <c r="FQ420" s="319" t="s">
        <v>190</v>
      </c>
      <c r="FR420" s="319" t="s">
        <v>190</v>
      </c>
      <c r="FS420" s="319" t="s">
        <v>428</v>
      </c>
      <c r="FT420" s="319" t="s">
        <v>190</v>
      </c>
      <c r="FU420" s="319" t="s">
        <v>190</v>
      </c>
      <c r="FV420" s="319" t="s">
        <v>190</v>
      </c>
      <c r="FW420" s="319" t="s">
        <v>190</v>
      </c>
      <c r="FX420" s="319" t="s">
        <v>190</v>
      </c>
      <c r="FY420" s="319" t="s">
        <v>190</v>
      </c>
      <c r="FZ420" s="319" t="s">
        <v>190</v>
      </c>
      <c r="GA420" s="319" t="s">
        <v>190</v>
      </c>
      <c r="GB420" s="319" t="s">
        <v>190</v>
      </c>
      <c r="GC420" s="319" t="s">
        <v>190</v>
      </c>
      <c r="GD420" s="319" t="s">
        <v>190</v>
      </c>
      <c r="GE420" s="319" t="s">
        <v>190</v>
      </c>
      <c r="GF420" s="319" t="s">
        <v>190</v>
      </c>
      <c r="GG420" s="319" t="s">
        <v>190</v>
      </c>
      <c r="GH420" s="319" t="s">
        <v>190</v>
      </c>
      <c r="GI420" s="319" t="s">
        <v>190</v>
      </c>
      <c r="GJ420" s="319" t="s">
        <v>190</v>
      </c>
      <c r="GK420" s="319" t="s">
        <v>428</v>
      </c>
      <c r="GL420" s="319" t="s">
        <v>190</v>
      </c>
      <c r="GM420" s="319" t="s">
        <v>190</v>
      </c>
      <c r="GN420" s="319" t="s">
        <v>190</v>
      </c>
      <c r="GO420" s="319" t="s">
        <v>190</v>
      </c>
      <c r="GP420" s="319" t="s">
        <v>190</v>
      </c>
      <c r="GQ420" s="319" t="s">
        <v>428</v>
      </c>
      <c r="GR420" s="319" t="s">
        <v>190</v>
      </c>
      <c r="GS420" s="319" t="s">
        <v>190</v>
      </c>
      <c r="GT420" s="319" t="s">
        <v>190</v>
      </c>
      <c r="GU420" s="319" t="s">
        <v>190</v>
      </c>
      <c r="GV420" s="319" t="s">
        <v>190</v>
      </c>
      <c r="GW420" s="319" t="s">
        <v>190</v>
      </c>
      <c r="GX420" s="319" t="s">
        <v>190</v>
      </c>
      <c r="GY420" s="319" t="s">
        <v>190</v>
      </c>
      <c r="GZ420" s="319" t="s">
        <v>190</v>
      </c>
      <c r="HA420" s="319" t="s">
        <v>428</v>
      </c>
      <c r="HB420" s="319" t="s">
        <v>428</v>
      </c>
      <c r="HC420" s="319" t="s">
        <v>190</v>
      </c>
      <c r="HD420" s="319" t="s">
        <v>190</v>
      </c>
      <c r="HE420" s="319" t="s">
        <v>190</v>
      </c>
      <c r="HF420" s="319" t="s">
        <v>190</v>
      </c>
      <c r="HG420" s="319" t="s">
        <v>190</v>
      </c>
      <c r="HH420" s="319" t="s">
        <v>190</v>
      </c>
      <c r="HI420" s="319" t="s">
        <v>190</v>
      </c>
      <c r="HJ420" s="319" t="s">
        <v>190</v>
      </c>
      <c r="HK420" s="319" t="s">
        <v>190</v>
      </c>
      <c r="HL420" s="319" t="s">
        <v>428</v>
      </c>
      <c r="HM420" s="319" t="s">
        <v>428</v>
      </c>
      <c r="HN420" s="319" t="s">
        <v>428</v>
      </c>
      <c r="HO420" s="319" t="s">
        <v>428</v>
      </c>
      <c r="HP420" s="319" t="s">
        <v>190</v>
      </c>
      <c r="HQ420" s="319" t="s">
        <v>190</v>
      </c>
      <c r="HR420" s="319" t="s">
        <v>190</v>
      </c>
      <c r="HS420" s="319" t="s">
        <v>190</v>
      </c>
      <c r="HT420" s="319" t="s">
        <v>190</v>
      </c>
      <c r="HU420" s="319" t="s">
        <v>190</v>
      </c>
      <c r="HV420" s="319" t="s">
        <v>190</v>
      </c>
      <c r="HW420" s="319" t="s">
        <v>190</v>
      </c>
      <c r="HX420" s="319" t="s">
        <v>190</v>
      </c>
      <c r="HY420" s="319" t="s">
        <v>190</v>
      </c>
      <c r="HZ420" s="319" t="s">
        <v>190</v>
      </c>
      <c r="IA420" s="319" t="s">
        <v>190</v>
      </c>
      <c r="IB420" s="319" t="s">
        <v>190</v>
      </c>
      <c r="IC420" s="319" t="s">
        <v>190</v>
      </c>
      <c r="ID420" s="319" t="s">
        <v>190</v>
      </c>
      <c r="IE420" s="319" t="s">
        <v>190</v>
      </c>
      <c r="IF420" s="319" t="s">
        <v>190</v>
      </c>
      <c r="IG420" s="319" t="s">
        <v>190</v>
      </c>
      <c r="IH420" s="319" t="s">
        <v>190</v>
      </c>
      <c r="II420" s="319" t="s">
        <v>190</v>
      </c>
      <c r="IJ420" s="319" t="s">
        <v>3192</v>
      </c>
      <c r="IK420" s="321">
        <v>41975</v>
      </c>
      <c r="IL420" s="321">
        <v>41976</v>
      </c>
      <c r="IM420" s="321">
        <v>42023</v>
      </c>
      <c r="IN420" s="319">
        <v>2</v>
      </c>
      <c r="IO420" s="319" t="s">
        <v>173</v>
      </c>
      <c r="IP420" s="319" t="s">
        <v>173</v>
      </c>
      <c r="IQ420" s="321" t="s">
        <v>173</v>
      </c>
      <c r="IR420" s="320" t="s">
        <v>173</v>
      </c>
      <c r="IS420" s="322" t="s">
        <v>173</v>
      </c>
      <c r="IT420" s="319" t="s">
        <v>173</v>
      </c>
    </row>
    <row r="421" spans="1:254" s="271" customFormat="1" x14ac:dyDescent="0.25">
      <c r="A421" s="318" t="str">
        <f>HYPERLINK("http://www.ofsted.gov.uk/inspection-reports/find-inspection-report/provider/ELS/133964 ","Ofsted School Webpage")</f>
        <v>Ofsted School Webpage</v>
      </c>
      <c r="B421" s="319">
        <v>133964</v>
      </c>
      <c r="C421" s="319">
        <v>8506079</v>
      </c>
      <c r="D421" s="319" t="s">
        <v>1784</v>
      </c>
      <c r="E421" s="319" t="s">
        <v>167</v>
      </c>
      <c r="F421" s="319" t="s">
        <v>81</v>
      </c>
      <c r="G421" s="319" t="s">
        <v>59</v>
      </c>
      <c r="H421" s="319" t="s">
        <v>59</v>
      </c>
      <c r="I421" s="319" t="s">
        <v>59</v>
      </c>
      <c r="J421" s="319" t="s">
        <v>424</v>
      </c>
      <c r="K421" s="319" t="s">
        <v>514</v>
      </c>
      <c r="L421" s="319" t="s">
        <v>514</v>
      </c>
      <c r="M421" s="319" t="s">
        <v>515</v>
      </c>
      <c r="N421" s="319" t="s">
        <v>2958</v>
      </c>
      <c r="O421" s="319" t="s">
        <v>1785</v>
      </c>
      <c r="P421" s="319">
        <v>16</v>
      </c>
      <c r="Q421" s="319" t="s">
        <v>2766</v>
      </c>
      <c r="R421" s="320">
        <v>10047027</v>
      </c>
      <c r="S421" s="321">
        <v>43221</v>
      </c>
      <c r="T421" s="321">
        <v>43223</v>
      </c>
      <c r="U421" s="321">
        <v>43249</v>
      </c>
      <c r="V421" s="319" t="s">
        <v>425</v>
      </c>
      <c r="W421" s="319" t="s">
        <v>2767</v>
      </c>
      <c r="X421" s="319">
        <v>2</v>
      </c>
      <c r="Y421" s="319" t="s">
        <v>173</v>
      </c>
      <c r="Z421" s="319" t="s">
        <v>173</v>
      </c>
      <c r="AA421" s="319" t="s">
        <v>173</v>
      </c>
      <c r="AB421" s="319">
        <v>2</v>
      </c>
      <c r="AC421" s="319" t="s">
        <v>169</v>
      </c>
      <c r="AD421" s="319" t="s">
        <v>173</v>
      </c>
      <c r="AE421" s="319" t="s">
        <v>173</v>
      </c>
      <c r="AF421" s="319" t="s">
        <v>427</v>
      </c>
      <c r="AG421" s="319" t="s">
        <v>171</v>
      </c>
      <c r="AH421" s="319" t="s">
        <v>190</v>
      </c>
      <c r="AI421" s="319" t="s">
        <v>190</v>
      </c>
      <c r="AJ421" s="319" t="s">
        <v>190</v>
      </c>
      <c r="AK421" s="319" t="s">
        <v>190</v>
      </c>
      <c r="AL421" s="319" t="s">
        <v>190</v>
      </c>
      <c r="AM421" s="319" t="s">
        <v>190</v>
      </c>
      <c r="AN421" s="319" t="s">
        <v>190</v>
      </c>
      <c r="AO421" s="319" t="s">
        <v>190</v>
      </c>
      <c r="AP421" s="319" t="s">
        <v>190</v>
      </c>
      <c r="AQ421" s="319" t="s">
        <v>190</v>
      </c>
      <c r="AR421" s="319" t="s">
        <v>190</v>
      </c>
      <c r="AS421" s="319" t="s">
        <v>190</v>
      </c>
      <c r="AT421" s="319" t="s">
        <v>190</v>
      </c>
      <c r="AU421" s="319" t="s">
        <v>190</v>
      </c>
      <c r="AV421" s="319" t="s">
        <v>190</v>
      </c>
      <c r="AW421" s="319" t="s">
        <v>190</v>
      </c>
      <c r="AX421" s="319" t="s">
        <v>428</v>
      </c>
      <c r="AY421" s="319" t="s">
        <v>190</v>
      </c>
      <c r="AZ421" s="319" t="s">
        <v>190</v>
      </c>
      <c r="BA421" s="319" t="s">
        <v>190</v>
      </c>
      <c r="BB421" s="319" t="s">
        <v>428</v>
      </c>
      <c r="BC421" s="319" t="s">
        <v>428</v>
      </c>
      <c r="BD421" s="319" t="s">
        <v>428</v>
      </c>
      <c r="BE421" s="319" t="s">
        <v>428</v>
      </c>
      <c r="BF421" s="319" t="s">
        <v>190</v>
      </c>
      <c r="BG421" s="319" t="s">
        <v>190</v>
      </c>
      <c r="BH421" s="319" t="s">
        <v>190</v>
      </c>
      <c r="BI421" s="319" t="s">
        <v>190</v>
      </c>
      <c r="BJ421" s="319" t="s">
        <v>190</v>
      </c>
      <c r="BK421" s="319" t="s">
        <v>190</v>
      </c>
      <c r="BL421" s="319" t="s">
        <v>190</v>
      </c>
      <c r="BM421" s="319" t="s">
        <v>190</v>
      </c>
      <c r="BN421" s="319" t="s">
        <v>190</v>
      </c>
      <c r="BO421" s="319" t="s">
        <v>190</v>
      </c>
      <c r="BP421" s="319" t="s">
        <v>190</v>
      </c>
      <c r="BQ421" s="319" t="s">
        <v>190</v>
      </c>
      <c r="BR421" s="319" t="s">
        <v>190</v>
      </c>
      <c r="BS421" s="319" t="s">
        <v>190</v>
      </c>
      <c r="BT421" s="319" t="s">
        <v>190</v>
      </c>
      <c r="BU421" s="319" t="s">
        <v>190</v>
      </c>
      <c r="BV421" s="319" t="s">
        <v>190</v>
      </c>
      <c r="BW421" s="319" t="s">
        <v>190</v>
      </c>
      <c r="BX421" s="319" t="s">
        <v>190</v>
      </c>
      <c r="BY421" s="319" t="s">
        <v>190</v>
      </c>
      <c r="BZ421" s="319" t="s">
        <v>190</v>
      </c>
      <c r="CA421" s="319" t="s">
        <v>190</v>
      </c>
      <c r="CB421" s="319" t="s">
        <v>190</v>
      </c>
      <c r="CC421" s="319" t="s">
        <v>190</v>
      </c>
      <c r="CD421" s="319" t="s">
        <v>190</v>
      </c>
      <c r="CE421" s="319" t="s">
        <v>190</v>
      </c>
      <c r="CF421" s="319" t="s">
        <v>190</v>
      </c>
      <c r="CG421" s="319" t="s">
        <v>190</v>
      </c>
      <c r="CH421" s="319" t="s">
        <v>190</v>
      </c>
      <c r="CI421" s="319" t="s">
        <v>190</v>
      </c>
      <c r="CJ421" s="319" t="s">
        <v>190</v>
      </c>
      <c r="CK421" s="319" t="s">
        <v>190</v>
      </c>
      <c r="CL421" s="319" t="s">
        <v>190</v>
      </c>
      <c r="CM421" s="319" t="s">
        <v>190</v>
      </c>
      <c r="CN421" s="319" t="s">
        <v>428</v>
      </c>
      <c r="CO421" s="319" t="s">
        <v>428</v>
      </c>
      <c r="CP421" s="319" t="s">
        <v>428</v>
      </c>
      <c r="CQ421" s="319" t="s">
        <v>190</v>
      </c>
      <c r="CR421" s="319" t="s">
        <v>190</v>
      </c>
      <c r="CS421" s="319" t="s">
        <v>190</v>
      </c>
      <c r="CT421" s="319" t="s">
        <v>190</v>
      </c>
      <c r="CU421" s="319" t="s">
        <v>190</v>
      </c>
      <c r="CV421" s="319" t="s">
        <v>190</v>
      </c>
      <c r="CW421" s="319" t="s">
        <v>190</v>
      </c>
      <c r="CX421" s="319" t="s">
        <v>190</v>
      </c>
      <c r="CY421" s="319" t="s">
        <v>190</v>
      </c>
      <c r="CZ421" s="319" t="s">
        <v>190</v>
      </c>
      <c r="DA421" s="319" t="s">
        <v>190</v>
      </c>
      <c r="DB421" s="319" t="s">
        <v>190</v>
      </c>
      <c r="DC421" s="319" t="s">
        <v>190</v>
      </c>
      <c r="DD421" s="319" t="s">
        <v>190</v>
      </c>
      <c r="DE421" s="319" t="s">
        <v>190</v>
      </c>
      <c r="DF421" s="319" t="s">
        <v>190</v>
      </c>
      <c r="DG421" s="319" t="s">
        <v>190</v>
      </c>
      <c r="DH421" s="319" t="s">
        <v>190</v>
      </c>
      <c r="DI421" s="319" t="s">
        <v>190</v>
      </c>
      <c r="DJ421" s="319" t="s">
        <v>190</v>
      </c>
      <c r="DK421" s="319" t="s">
        <v>190</v>
      </c>
      <c r="DL421" s="319" t="s">
        <v>190</v>
      </c>
      <c r="DM421" s="319" t="s">
        <v>190</v>
      </c>
      <c r="DN421" s="319" t="s">
        <v>428</v>
      </c>
      <c r="DO421" s="319" t="s">
        <v>190</v>
      </c>
      <c r="DP421" s="319" t="s">
        <v>428</v>
      </c>
      <c r="DQ421" s="319" t="s">
        <v>428</v>
      </c>
      <c r="DR421" s="319" t="s">
        <v>428</v>
      </c>
      <c r="DS421" s="319" t="s">
        <v>428</v>
      </c>
      <c r="DT421" s="319" t="s">
        <v>428</v>
      </c>
      <c r="DU421" s="319" t="s">
        <v>428</v>
      </c>
      <c r="DV421" s="319" t="s">
        <v>173</v>
      </c>
      <c r="DW421" s="319" t="s">
        <v>428</v>
      </c>
      <c r="DX421" s="319" t="s">
        <v>428</v>
      </c>
      <c r="DY421" s="319" t="s">
        <v>428</v>
      </c>
      <c r="DZ421" s="319" t="s">
        <v>428</v>
      </c>
      <c r="EA421" s="319" t="s">
        <v>428</v>
      </c>
      <c r="EB421" s="319" t="s">
        <v>428</v>
      </c>
      <c r="EC421" s="319" t="s">
        <v>428</v>
      </c>
      <c r="ED421" s="319" t="s">
        <v>428</v>
      </c>
      <c r="EE421" s="319" t="s">
        <v>428</v>
      </c>
      <c r="EF421" s="319" t="s">
        <v>428</v>
      </c>
      <c r="EG421" s="319" t="s">
        <v>428</v>
      </c>
      <c r="EH421" s="319" t="s">
        <v>428</v>
      </c>
      <c r="EI421" s="319" t="s">
        <v>428</v>
      </c>
      <c r="EJ421" s="319" t="s">
        <v>428</v>
      </c>
      <c r="EK421" s="319" t="s">
        <v>428</v>
      </c>
      <c r="EL421" s="319" t="s">
        <v>428</v>
      </c>
      <c r="EM421" s="319" t="s">
        <v>428</v>
      </c>
      <c r="EN421" s="319" t="s">
        <v>190</v>
      </c>
      <c r="EO421" s="319" t="s">
        <v>190</v>
      </c>
      <c r="EP421" s="319" t="s">
        <v>190</v>
      </c>
      <c r="EQ421" s="319" t="s">
        <v>190</v>
      </c>
      <c r="ER421" s="319" t="s">
        <v>190</v>
      </c>
      <c r="ES421" s="319" t="s">
        <v>190</v>
      </c>
      <c r="ET421" s="319" t="s">
        <v>190</v>
      </c>
      <c r="EU421" s="319" t="s">
        <v>190</v>
      </c>
      <c r="EV421" s="319" t="s">
        <v>190</v>
      </c>
      <c r="EW421" s="319" t="s">
        <v>190</v>
      </c>
      <c r="EX421" s="319" t="s">
        <v>190</v>
      </c>
      <c r="EY421" s="319" t="s">
        <v>190</v>
      </c>
      <c r="EZ421" s="319" t="s">
        <v>190</v>
      </c>
      <c r="FA421" s="319" t="s">
        <v>190</v>
      </c>
      <c r="FB421" s="319" t="s">
        <v>428</v>
      </c>
      <c r="FC421" s="319" t="s">
        <v>428</v>
      </c>
      <c r="FD421" s="319" t="s">
        <v>428</v>
      </c>
      <c r="FE421" s="319" t="s">
        <v>428</v>
      </c>
      <c r="FF421" s="319" t="s">
        <v>428</v>
      </c>
      <c r="FG421" s="319" t="s">
        <v>428</v>
      </c>
      <c r="FH421" s="319" t="s">
        <v>428</v>
      </c>
      <c r="FI421" s="319" t="s">
        <v>428</v>
      </c>
      <c r="FJ421" s="319" t="s">
        <v>429</v>
      </c>
      <c r="FK421" s="319" t="s">
        <v>428</v>
      </c>
      <c r="FL421" s="319" t="s">
        <v>190</v>
      </c>
      <c r="FM421" s="319" t="s">
        <v>190</v>
      </c>
      <c r="FN421" s="319" t="s">
        <v>428</v>
      </c>
      <c r="FO421" s="319" t="s">
        <v>428</v>
      </c>
      <c r="FP421" s="319" t="s">
        <v>190</v>
      </c>
      <c r="FQ421" s="319" t="s">
        <v>190</v>
      </c>
      <c r="FR421" s="319" t="s">
        <v>190</v>
      </c>
      <c r="FS421" s="319" t="s">
        <v>428</v>
      </c>
      <c r="FT421" s="319" t="s">
        <v>190</v>
      </c>
      <c r="FU421" s="319" t="s">
        <v>190</v>
      </c>
      <c r="FV421" s="319" t="s">
        <v>190</v>
      </c>
      <c r="FW421" s="319" t="s">
        <v>190</v>
      </c>
      <c r="FX421" s="319" t="s">
        <v>190</v>
      </c>
      <c r="FY421" s="319" t="s">
        <v>190</v>
      </c>
      <c r="FZ421" s="319" t="s">
        <v>190</v>
      </c>
      <c r="GA421" s="319" t="s">
        <v>190</v>
      </c>
      <c r="GB421" s="319" t="s">
        <v>190</v>
      </c>
      <c r="GC421" s="319" t="s">
        <v>190</v>
      </c>
      <c r="GD421" s="319" t="s">
        <v>190</v>
      </c>
      <c r="GE421" s="319" t="s">
        <v>190</v>
      </c>
      <c r="GF421" s="319" t="s">
        <v>190</v>
      </c>
      <c r="GG421" s="319" t="s">
        <v>190</v>
      </c>
      <c r="GH421" s="319" t="s">
        <v>190</v>
      </c>
      <c r="GI421" s="319" t="s">
        <v>190</v>
      </c>
      <c r="GJ421" s="319" t="s">
        <v>190</v>
      </c>
      <c r="GK421" s="319" t="s">
        <v>428</v>
      </c>
      <c r="GL421" s="319" t="s">
        <v>190</v>
      </c>
      <c r="GM421" s="319" t="s">
        <v>190</v>
      </c>
      <c r="GN421" s="319" t="s">
        <v>190</v>
      </c>
      <c r="GO421" s="319" t="s">
        <v>190</v>
      </c>
      <c r="GP421" s="319" t="s">
        <v>190</v>
      </c>
      <c r="GQ421" s="319" t="s">
        <v>428</v>
      </c>
      <c r="GR421" s="319" t="s">
        <v>190</v>
      </c>
      <c r="GS421" s="319" t="s">
        <v>190</v>
      </c>
      <c r="GT421" s="319" t="s">
        <v>428</v>
      </c>
      <c r="GU421" s="319" t="s">
        <v>428</v>
      </c>
      <c r="GV421" s="319" t="s">
        <v>190</v>
      </c>
      <c r="GW421" s="319" t="s">
        <v>190</v>
      </c>
      <c r="GX421" s="319" t="s">
        <v>190</v>
      </c>
      <c r="GY421" s="319" t="s">
        <v>190</v>
      </c>
      <c r="GZ421" s="319" t="s">
        <v>190</v>
      </c>
      <c r="HA421" s="319" t="s">
        <v>428</v>
      </c>
      <c r="HB421" s="319" t="s">
        <v>428</v>
      </c>
      <c r="HC421" s="319" t="s">
        <v>190</v>
      </c>
      <c r="HD421" s="319" t="s">
        <v>190</v>
      </c>
      <c r="HE421" s="319" t="s">
        <v>190</v>
      </c>
      <c r="HF421" s="319" t="s">
        <v>190</v>
      </c>
      <c r="HG421" s="319" t="s">
        <v>190</v>
      </c>
      <c r="HH421" s="319" t="s">
        <v>190</v>
      </c>
      <c r="HI421" s="319" t="s">
        <v>428</v>
      </c>
      <c r="HJ421" s="319" t="s">
        <v>190</v>
      </c>
      <c r="HK421" s="319" t="s">
        <v>190</v>
      </c>
      <c r="HL421" s="319" t="s">
        <v>190</v>
      </c>
      <c r="HM421" s="319" t="s">
        <v>428</v>
      </c>
      <c r="HN421" s="319" t="s">
        <v>428</v>
      </c>
      <c r="HO421" s="319" t="s">
        <v>428</v>
      </c>
      <c r="HP421" s="319" t="s">
        <v>190</v>
      </c>
      <c r="HQ421" s="319" t="s">
        <v>190</v>
      </c>
      <c r="HR421" s="319" t="s">
        <v>190</v>
      </c>
      <c r="HS421" s="319" t="s">
        <v>190</v>
      </c>
      <c r="HT421" s="319" t="s">
        <v>190</v>
      </c>
      <c r="HU421" s="319" t="s">
        <v>190</v>
      </c>
      <c r="HV421" s="319" t="s">
        <v>190</v>
      </c>
      <c r="HW421" s="319" t="s">
        <v>190</v>
      </c>
      <c r="HX421" s="319" t="s">
        <v>190</v>
      </c>
      <c r="HY421" s="319" t="s">
        <v>190</v>
      </c>
      <c r="HZ421" s="319" t="s">
        <v>190</v>
      </c>
      <c r="IA421" s="319" t="s">
        <v>190</v>
      </c>
      <c r="IB421" s="319" t="s">
        <v>190</v>
      </c>
      <c r="IC421" s="319" t="s">
        <v>190</v>
      </c>
      <c r="ID421" s="319" t="s">
        <v>190</v>
      </c>
      <c r="IE421" s="319" t="s">
        <v>190</v>
      </c>
      <c r="IF421" s="319" t="s">
        <v>190</v>
      </c>
      <c r="IG421" s="319" t="s">
        <v>190</v>
      </c>
      <c r="IH421" s="319" t="s">
        <v>190</v>
      </c>
      <c r="II421" s="319" t="s">
        <v>190</v>
      </c>
      <c r="IJ421" s="319">
        <v>10008560</v>
      </c>
      <c r="IK421" s="321">
        <v>42514</v>
      </c>
      <c r="IL421" s="321">
        <v>42516</v>
      </c>
      <c r="IM421" s="321">
        <v>42542</v>
      </c>
      <c r="IN421" s="319">
        <v>3</v>
      </c>
      <c r="IO421" s="319" t="s">
        <v>173</v>
      </c>
      <c r="IP421" s="319" t="s">
        <v>173</v>
      </c>
      <c r="IQ421" s="321" t="s">
        <v>173</v>
      </c>
      <c r="IR421" s="320" t="s">
        <v>173</v>
      </c>
      <c r="IS421" s="322" t="s">
        <v>173</v>
      </c>
      <c r="IT421" s="319" t="s">
        <v>173</v>
      </c>
    </row>
    <row r="422" spans="1:254" s="271" customFormat="1" x14ac:dyDescent="0.25">
      <c r="A422" s="318" t="str">
        <f>HYPERLINK("http://www.ofsted.gov.uk/inspection-reports/find-inspection-report/provider/ELS/133989 ","Ofsted School Webpage")</f>
        <v>Ofsted School Webpage</v>
      </c>
      <c r="B422" s="319">
        <v>133989</v>
      </c>
      <c r="C422" s="319">
        <v>8606026</v>
      </c>
      <c r="D422" s="319" t="s">
        <v>918</v>
      </c>
      <c r="E422" s="319" t="s">
        <v>168</v>
      </c>
      <c r="F422" s="319" t="s">
        <v>81</v>
      </c>
      <c r="G422" s="319" t="s">
        <v>81</v>
      </c>
      <c r="H422" s="319" t="s">
        <v>81</v>
      </c>
      <c r="I422" s="319" t="s">
        <v>78</v>
      </c>
      <c r="J422" s="319" t="s">
        <v>424</v>
      </c>
      <c r="K422" s="319" t="s">
        <v>437</v>
      </c>
      <c r="L422" s="319" t="s">
        <v>437</v>
      </c>
      <c r="M422" s="319" t="s">
        <v>577</v>
      </c>
      <c r="N422" s="319" t="s">
        <v>3193</v>
      </c>
      <c r="O422" s="319" t="s">
        <v>919</v>
      </c>
      <c r="P422" s="319">
        <v>22</v>
      </c>
      <c r="Q422" s="319" t="s">
        <v>429</v>
      </c>
      <c r="R422" s="320">
        <v>10056215</v>
      </c>
      <c r="S422" s="321">
        <v>43501</v>
      </c>
      <c r="T422" s="321">
        <v>43503</v>
      </c>
      <c r="U422" s="321">
        <v>43534</v>
      </c>
      <c r="V422" s="319" t="s">
        <v>425</v>
      </c>
      <c r="W422" s="319" t="s">
        <v>2767</v>
      </c>
      <c r="X422" s="319">
        <v>2</v>
      </c>
      <c r="Y422" s="319" t="s">
        <v>173</v>
      </c>
      <c r="Z422" s="319" t="s">
        <v>173</v>
      </c>
      <c r="AA422" s="319" t="s">
        <v>173</v>
      </c>
      <c r="AB422" s="319">
        <v>2</v>
      </c>
      <c r="AC422" s="319" t="s">
        <v>169</v>
      </c>
      <c r="AD422" s="319" t="s">
        <v>173</v>
      </c>
      <c r="AE422" s="319" t="s">
        <v>173</v>
      </c>
      <c r="AF422" s="319" t="s">
        <v>427</v>
      </c>
      <c r="AG422" s="319" t="s">
        <v>171</v>
      </c>
      <c r="AH422" s="319" t="s">
        <v>190</v>
      </c>
      <c r="AI422" s="319" t="s">
        <v>190</v>
      </c>
      <c r="AJ422" s="319" t="s">
        <v>190</v>
      </c>
      <c r="AK422" s="319" t="s">
        <v>190</v>
      </c>
      <c r="AL422" s="319" t="s">
        <v>190</v>
      </c>
      <c r="AM422" s="319" t="s">
        <v>190</v>
      </c>
      <c r="AN422" s="319" t="s">
        <v>190</v>
      </c>
      <c r="AO422" s="319" t="s">
        <v>190</v>
      </c>
      <c r="AP422" s="319" t="s">
        <v>190</v>
      </c>
      <c r="AQ422" s="319" t="s">
        <v>190</v>
      </c>
      <c r="AR422" s="319" t="s">
        <v>190</v>
      </c>
      <c r="AS422" s="319" t="s">
        <v>190</v>
      </c>
      <c r="AT422" s="319" t="s">
        <v>190</v>
      </c>
      <c r="AU422" s="319" t="s">
        <v>190</v>
      </c>
      <c r="AV422" s="319" t="s">
        <v>190</v>
      </c>
      <c r="AW422" s="319" t="s">
        <v>190</v>
      </c>
      <c r="AX422" s="319" t="s">
        <v>428</v>
      </c>
      <c r="AY422" s="319" t="s">
        <v>190</v>
      </c>
      <c r="AZ422" s="319" t="s">
        <v>190</v>
      </c>
      <c r="BA422" s="319" t="s">
        <v>190</v>
      </c>
      <c r="BB422" s="319" t="s">
        <v>190</v>
      </c>
      <c r="BC422" s="319" t="s">
        <v>190</v>
      </c>
      <c r="BD422" s="319" t="s">
        <v>190</v>
      </c>
      <c r="BE422" s="319" t="s">
        <v>190</v>
      </c>
      <c r="BF422" s="319" t="s">
        <v>428</v>
      </c>
      <c r="BG422" s="319" t="s">
        <v>428</v>
      </c>
      <c r="BH422" s="319" t="s">
        <v>190</v>
      </c>
      <c r="BI422" s="319" t="s">
        <v>190</v>
      </c>
      <c r="BJ422" s="319" t="s">
        <v>190</v>
      </c>
      <c r="BK422" s="319" t="s">
        <v>190</v>
      </c>
      <c r="BL422" s="319" t="s">
        <v>190</v>
      </c>
      <c r="BM422" s="319" t="s">
        <v>190</v>
      </c>
      <c r="BN422" s="319" t="s">
        <v>190</v>
      </c>
      <c r="BO422" s="319" t="s">
        <v>190</v>
      </c>
      <c r="BP422" s="319" t="s">
        <v>190</v>
      </c>
      <c r="BQ422" s="319" t="s">
        <v>190</v>
      </c>
      <c r="BR422" s="319" t="s">
        <v>190</v>
      </c>
      <c r="BS422" s="319" t="s">
        <v>190</v>
      </c>
      <c r="BT422" s="319" t="s">
        <v>190</v>
      </c>
      <c r="BU422" s="319" t="s">
        <v>190</v>
      </c>
      <c r="BV422" s="319" t="s">
        <v>190</v>
      </c>
      <c r="BW422" s="319" t="s">
        <v>190</v>
      </c>
      <c r="BX422" s="319" t="s">
        <v>190</v>
      </c>
      <c r="BY422" s="319" t="s">
        <v>190</v>
      </c>
      <c r="BZ422" s="319" t="s">
        <v>190</v>
      </c>
      <c r="CA422" s="319" t="s">
        <v>190</v>
      </c>
      <c r="CB422" s="319" t="s">
        <v>190</v>
      </c>
      <c r="CC422" s="319" t="s">
        <v>190</v>
      </c>
      <c r="CD422" s="319" t="s">
        <v>190</v>
      </c>
      <c r="CE422" s="319" t="s">
        <v>190</v>
      </c>
      <c r="CF422" s="319" t="s">
        <v>190</v>
      </c>
      <c r="CG422" s="319" t="s">
        <v>190</v>
      </c>
      <c r="CH422" s="319" t="s">
        <v>190</v>
      </c>
      <c r="CI422" s="319" t="s">
        <v>190</v>
      </c>
      <c r="CJ422" s="319" t="s">
        <v>190</v>
      </c>
      <c r="CK422" s="319" t="s">
        <v>190</v>
      </c>
      <c r="CL422" s="319" t="s">
        <v>190</v>
      </c>
      <c r="CM422" s="319" t="s">
        <v>190</v>
      </c>
      <c r="CN422" s="319" t="s">
        <v>428</v>
      </c>
      <c r="CO422" s="319" t="s">
        <v>428</v>
      </c>
      <c r="CP422" s="319" t="s">
        <v>428</v>
      </c>
      <c r="CQ422" s="319" t="s">
        <v>190</v>
      </c>
      <c r="CR422" s="319" t="s">
        <v>190</v>
      </c>
      <c r="CS422" s="319" t="s">
        <v>190</v>
      </c>
      <c r="CT422" s="319" t="s">
        <v>190</v>
      </c>
      <c r="CU422" s="319" t="s">
        <v>190</v>
      </c>
      <c r="CV422" s="319" t="s">
        <v>190</v>
      </c>
      <c r="CW422" s="319" t="s">
        <v>190</v>
      </c>
      <c r="CX422" s="319" t="s">
        <v>190</v>
      </c>
      <c r="CY422" s="319" t="s">
        <v>190</v>
      </c>
      <c r="CZ422" s="319" t="s">
        <v>190</v>
      </c>
      <c r="DA422" s="319" t="s">
        <v>190</v>
      </c>
      <c r="DB422" s="319" t="s">
        <v>190</v>
      </c>
      <c r="DC422" s="319" t="s">
        <v>190</v>
      </c>
      <c r="DD422" s="319" t="s">
        <v>190</v>
      </c>
      <c r="DE422" s="319" t="s">
        <v>190</v>
      </c>
      <c r="DF422" s="319" t="s">
        <v>190</v>
      </c>
      <c r="DG422" s="319" t="s">
        <v>190</v>
      </c>
      <c r="DH422" s="319" t="s">
        <v>190</v>
      </c>
      <c r="DI422" s="319" t="s">
        <v>190</v>
      </c>
      <c r="DJ422" s="319" t="s">
        <v>190</v>
      </c>
      <c r="DK422" s="319" t="s">
        <v>190</v>
      </c>
      <c r="DL422" s="319" t="s">
        <v>190</v>
      </c>
      <c r="DM422" s="319" t="s">
        <v>190</v>
      </c>
      <c r="DN422" s="319" t="s">
        <v>428</v>
      </c>
      <c r="DO422" s="319" t="s">
        <v>190</v>
      </c>
      <c r="DP422" s="319" t="s">
        <v>190</v>
      </c>
      <c r="DQ422" s="319" t="s">
        <v>190</v>
      </c>
      <c r="DR422" s="319" t="s">
        <v>190</v>
      </c>
      <c r="DS422" s="319" t="s">
        <v>190</v>
      </c>
      <c r="DT422" s="319" t="s">
        <v>190</v>
      </c>
      <c r="DU422" s="319" t="s">
        <v>190</v>
      </c>
      <c r="DV422" s="319" t="s">
        <v>173</v>
      </c>
      <c r="DW422" s="319" t="s">
        <v>190</v>
      </c>
      <c r="DX422" s="319" t="s">
        <v>190</v>
      </c>
      <c r="DY422" s="319" t="s">
        <v>190</v>
      </c>
      <c r="DZ422" s="319" t="s">
        <v>190</v>
      </c>
      <c r="EA422" s="319" t="s">
        <v>190</v>
      </c>
      <c r="EB422" s="319" t="s">
        <v>190</v>
      </c>
      <c r="EC422" s="319" t="s">
        <v>428</v>
      </c>
      <c r="ED422" s="319" t="s">
        <v>190</v>
      </c>
      <c r="EE422" s="319" t="s">
        <v>190</v>
      </c>
      <c r="EF422" s="319" t="s">
        <v>190</v>
      </c>
      <c r="EG422" s="319" t="s">
        <v>190</v>
      </c>
      <c r="EH422" s="319" t="s">
        <v>190</v>
      </c>
      <c r="EI422" s="319" t="s">
        <v>190</v>
      </c>
      <c r="EJ422" s="319" t="s">
        <v>190</v>
      </c>
      <c r="EK422" s="319" t="s">
        <v>190</v>
      </c>
      <c r="EL422" s="319" t="s">
        <v>190</v>
      </c>
      <c r="EM422" s="319" t="s">
        <v>190</v>
      </c>
      <c r="EN422" s="319" t="s">
        <v>190</v>
      </c>
      <c r="EO422" s="319" t="s">
        <v>190</v>
      </c>
      <c r="EP422" s="319" t="s">
        <v>190</v>
      </c>
      <c r="EQ422" s="319" t="s">
        <v>190</v>
      </c>
      <c r="ER422" s="319" t="s">
        <v>190</v>
      </c>
      <c r="ES422" s="319" t="s">
        <v>190</v>
      </c>
      <c r="ET422" s="319" t="s">
        <v>190</v>
      </c>
      <c r="EU422" s="319" t="s">
        <v>190</v>
      </c>
      <c r="EV422" s="319" t="s">
        <v>190</v>
      </c>
      <c r="EW422" s="319" t="s">
        <v>190</v>
      </c>
      <c r="EX422" s="319" t="s">
        <v>190</v>
      </c>
      <c r="EY422" s="319" t="s">
        <v>190</v>
      </c>
      <c r="EZ422" s="319" t="s">
        <v>190</v>
      </c>
      <c r="FA422" s="319" t="s">
        <v>190</v>
      </c>
      <c r="FB422" s="319" t="s">
        <v>190</v>
      </c>
      <c r="FC422" s="319" t="s">
        <v>190</v>
      </c>
      <c r="FD422" s="319" t="s">
        <v>190</v>
      </c>
      <c r="FE422" s="319" t="s">
        <v>190</v>
      </c>
      <c r="FF422" s="319" t="s">
        <v>190</v>
      </c>
      <c r="FG422" s="319" t="s">
        <v>190</v>
      </c>
      <c r="FH422" s="319" t="s">
        <v>190</v>
      </c>
      <c r="FI422" s="319" t="s">
        <v>428</v>
      </c>
      <c r="FJ422" s="319" t="s">
        <v>429</v>
      </c>
      <c r="FK422" s="319" t="s">
        <v>428</v>
      </c>
      <c r="FL422" s="319" t="s">
        <v>190</v>
      </c>
      <c r="FM422" s="319" t="s">
        <v>190</v>
      </c>
      <c r="FN422" s="319" t="s">
        <v>190</v>
      </c>
      <c r="FO422" s="319" t="s">
        <v>190</v>
      </c>
      <c r="FP422" s="319" t="s">
        <v>190</v>
      </c>
      <c r="FQ422" s="319" t="s">
        <v>190</v>
      </c>
      <c r="FR422" s="319" t="s">
        <v>190</v>
      </c>
      <c r="FS422" s="319" t="s">
        <v>428</v>
      </c>
      <c r="FT422" s="319" t="s">
        <v>428</v>
      </c>
      <c r="FU422" s="319" t="s">
        <v>190</v>
      </c>
      <c r="FV422" s="319" t="s">
        <v>190</v>
      </c>
      <c r="FW422" s="319" t="s">
        <v>190</v>
      </c>
      <c r="FX422" s="319" t="s">
        <v>190</v>
      </c>
      <c r="FY422" s="319" t="s">
        <v>190</v>
      </c>
      <c r="FZ422" s="319" t="s">
        <v>190</v>
      </c>
      <c r="GA422" s="319" t="s">
        <v>190</v>
      </c>
      <c r="GB422" s="319" t="s">
        <v>190</v>
      </c>
      <c r="GC422" s="319" t="s">
        <v>190</v>
      </c>
      <c r="GD422" s="319" t="s">
        <v>190</v>
      </c>
      <c r="GE422" s="319" t="s">
        <v>190</v>
      </c>
      <c r="GF422" s="319" t="s">
        <v>190</v>
      </c>
      <c r="GG422" s="319" t="s">
        <v>190</v>
      </c>
      <c r="GH422" s="319" t="s">
        <v>190</v>
      </c>
      <c r="GI422" s="319" t="s">
        <v>190</v>
      </c>
      <c r="GJ422" s="319" t="s">
        <v>190</v>
      </c>
      <c r="GK422" s="319" t="s">
        <v>428</v>
      </c>
      <c r="GL422" s="319" t="s">
        <v>190</v>
      </c>
      <c r="GM422" s="319" t="s">
        <v>190</v>
      </c>
      <c r="GN422" s="319" t="s">
        <v>190</v>
      </c>
      <c r="GO422" s="319" t="s">
        <v>190</v>
      </c>
      <c r="GP422" s="319" t="s">
        <v>190</v>
      </c>
      <c r="GQ422" s="319" t="s">
        <v>190</v>
      </c>
      <c r="GR422" s="319" t="s">
        <v>190</v>
      </c>
      <c r="GS422" s="319" t="s">
        <v>190</v>
      </c>
      <c r="GT422" s="319" t="s">
        <v>190</v>
      </c>
      <c r="GU422" s="319" t="s">
        <v>190</v>
      </c>
      <c r="GV422" s="319" t="s">
        <v>190</v>
      </c>
      <c r="GW422" s="319" t="s">
        <v>190</v>
      </c>
      <c r="GX422" s="319" t="s">
        <v>190</v>
      </c>
      <c r="GY422" s="319" t="s">
        <v>190</v>
      </c>
      <c r="GZ422" s="319" t="s">
        <v>190</v>
      </c>
      <c r="HA422" s="319" t="s">
        <v>428</v>
      </c>
      <c r="HB422" s="319" t="s">
        <v>428</v>
      </c>
      <c r="HC422" s="319" t="s">
        <v>190</v>
      </c>
      <c r="HD422" s="319" t="s">
        <v>190</v>
      </c>
      <c r="HE422" s="319" t="s">
        <v>190</v>
      </c>
      <c r="HF422" s="319" t="s">
        <v>190</v>
      </c>
      <c r="HG422" s="319" t="s">
        <v>190</v>
      </c>
      <c r="HH422" s="319" t="s">
        <v>190</v>
      </c>
      <c r="HI422" s="319" t="s">
        <v>190</v>
      </c>
      <c r="HJ422" s="319" t="s">
        <v>190</v>
      </c>
      <c r="HK422" s="319" t="s">
        <v>190</v>
      </c>
      <c r="HL422" s="319" t="s">
        <v>428</v>
      </c>
      <c r="HM422" s="319" t="s">
        <v>428</v>
      </c>
      <c r="HN422" s="319" t="s">
        <v>428</v>
      </c>
      <c r="HO422" s="319" t="s">
        <v>428</v>
      </c>
      <c r="HP422" s="319" t="s">
        <v>190</v>
      </c>
      <c r="HQ422" s="319" t="s">
        <v>190</v>
      </c>
      <c r="HR422" s="319" t="s">
        <v>190</v>
      </c>
      <c r="HS422" s="319" t="s">
        <v>190</v>
      </c>
      <c r="HT422" s="319" t="s">
        <v>190</v>
      </c>
      <c r="HU422" s="319" t="s">
        <v>190</v>
      </c>
      <c r="HV422" s="319" t="s">
        <v>190</v>
      </c>
      <c r="HW422" s="319" t="s">
        <v>190</v>
      </c>
      <c r="HX422" s="319" t="s">
        <v>190</v>
      </c>
      <c r="HY422" s="319" t="s">
        <v>190</v>
      </c>
      <c r="HZ422" s="319" t="s">
        <v>190</v>
      </c>
      <c r="IA422" s="319" t="s">
        <v>190</v>
      </c>
      <c r="IB422" s="319" t="s">
        <v>190</v>
      </c>
      <c r="IC422" s="319" t="s">
        <v>190</v>
      </c>
      <c r="ID422" s="319" t="s">
        <v>190</v>
      </c>
      <c r="IE422" s="319" t="s">
        <v>190</v>
      </c>
      <c r="IF422" s="319" t="s">
        <v>190</v>
      </c>
      <c r="IG422" s="319" t="s">
        <v>190</v>
      </c>
      <c r="IH422" s="319" t="s">
        <v>190</v>
      </c>
      <c r="II422" s="319" t="s">
        <v>190</v>
      </c>
      <c r="IJ422" s="319">
        <v>10006319</v>
      </c>
      <c r="IK422" s="321">
        <v>42759</v>
      </c>
      <c r="IL422" s="321">
        <v>42761</v>
      </c>
      <c r="IM422" s="321">
        <v>42816</v>
      </c>
      <c r="IN422" s="319">
        <v>4</v>
      </c>
      <c r="IO422" s="319" t="s">
        <v>173</v>
      </c>
      <c r="IP422" s="319" t="s">
        <v>173</v>
      </c>
      <c r="IQ422" s="321" t="s">
        <v>173</v>
      </c>
      <c r="IR422" s="320" t="s">
        <v>173</v>
      </c>
      <c r="IS422" s="322" t="s">
        <v>173</v>
      </c>
      <c r="IT422" s="319" t="s">
        <v>173</v>
      </c>
    </row>
    <row r="423" spans="1:254" s="271" customFormat="1" x14ac:dyDescent="0.25">
      <c r="A423" s="318" t="str">
        <f>HYPERLINK("http://www.ofsted.gov.uk/inspection-reports/find-inspection-report/provider/ELS/134000 ","Ofsted School Webpage")</f>
        <v>Ofsted School Webpage</v>
      </c>
      <c r="B423" s="319">
        <v>134000</v>
      </c>
      <c r="C423" s="319">
        <v>8936026</v>
      </c>
      <c r="D423" s="319" t="s">
        <v>1018</v>
      </c>
      <c r="E423" s="319" t="s">
        <v>168</v>
      </c>
      <c r="F423" s="319" t="s">
        <v>81</v>
      </c>
      <c r="G423" s="319" t="s">
        <v>81</v>
      </c>
      <c r="H423" s="319" t="s">
        <v>81</v>
      </c>
      <c r="I423" s="319" t="s">
        <v>78</v>
      </c>
      <c r="J423" s="319" t="s">
        <v>424</v>
      </c>
      <c r="K423" s="319" t="s">
        <v>437</v>
      </c>
      <c r="L423" s="319" t="s">
        <v>437</v>
      </c>
      <c r="M423" s="319" t="s">
        <v>587</v>
      </c>
      <c r="N423" s="319" t="s">
        <v>3023</v>
      </c>
      <c r="O423" s="319" t="s">
        <v>1019</v>
      </c>
      <c r="P423" s="319">
        <v>40</v>
      </c>
      <c r="Q423" s="319" t="s">
        <v>2776</v>
      </c>
      <c r="R423" s="320">
        <v>10012915</v>
      </c>
      <c r="S423" s="321">
        <v>42906</v>
      </c>
      <c r="T423" s="321">
        <v>42908</v>
      </c>
      <c r="U423" s="321">
        <v>42933</v>
      </c>
      <c r="V423" s="319" t="s">
        <v>425</v>
      </c>
      <c r="W423" s="319" t="s">
        <v>2767</v>
      </c>
      <c r="X423" s="319">
        <v>2</v>
      </c>
      <c r="Y423" s="319" t="s">
        <v>173</v>
      </c>
      <c r="Z423" s="319" t="s">
        <v>173</v>
      </c>
      <c r="AA423" s="319" t="s">
        <v>173</v>
      </c>
      <c r="AB423" s="319">
        <v>2</v>
      </c>
      <c r="AC423" s="319" t="s">
        <v>169</v>
      </c>
      <c r="AD423" s="319" t="s">
        <v>173</v>
      </c>
      <c r="AE423" s="319">
        <v>2</v>
      </c>
      <c r="AF423" s="319" t="s">
        <v>173</v>
      </c>
      <c r="AG423" s="319" t="s">
        <v>171</v>
      </c>
      <c r="AH423" s="319" t="s">
        <v>190</v>
      </c>
      <c r="AI423" s="319" t="s">
        <v>190</v>
      </c>
      <c r="AJ423" s="319" t="s">
        <v>190</v>
      </c>
      <c r="AK423" s="319" t="s">
        <v>190</v>
      </c>
      <c r="AL423" s="319" t="s">
        <v>190</v>
      </c>
      <c r="AM423" s="319" t="s">
        <v>190</v>
      </c>
      <c r="AN423" s="319" t="s">
        <v>190</v>
      </c>
      <c r="AO423" s="319" t="s">
        <v>190</v>
      </c>
      <c r="AP423" s="319" t="s">
        <v>190</v>
      </c>
      <c r="AQ423" s="319" t="s">
        <v>190</v>
      </c>
      <c r="AR423" s="319" t="s">
        <v>190</v>
      </c>
      <c r="AS423" s="319" t="s">
        <v>190</v>
      </c>
      <c r="AT423" s="319" t="s">
        <v>190</v>
      </c>
      <c r="AU423" s="319" t="s">
        <v>190</v>
      </c>
      <c r="AV423" s="319" t="s">
        <v>190</v>
      </c>
      <c r="AW423" s="319" t="s">
        <v>190</v>
      </c>
      <c r="AX423" s="319" t="s">
        <v>429</v>
      </c>
      <c r="AY423" s="319" t="s">
        <v>190</v>
      </c>
      <c r="AZ423" s="319" t="s">
        <v>190</v>
      </c>
      <c r="BA423" s="319" t="s">
        <v>190</v>
      </c>
      <c r="BB423" s="319" t="s">
        <v>190</v>
      </c>
      <c r="BC423" s="319" t="s">
        <v>190</v>
      </c>
      <c r="BD423" s="319" t="s">
        <v>190</v>
      </c>
      <c r="BE423" s="319" t="s">
        <v>190</v>
      </c>
      <c r="BF423" s="319" t="s">
        <v>429</v>
      </c>
      <c r="BG423" s="319" t="s">
        <v>190</v>
      </c>
      <c r="BH423" s="319" t="s">
        <v>190</v>
      </c>
      <c r="BI423" s="319" t="s">
        <v>190</v>
      </c>
      <c r="BJ423" s="319" t="s">
        <v>190</v>
      </c>
      <c r="BK423" s="319" t="s">
        <v>190</v>
      </c>
      <c r="BL423" s="319" t="s">
        <v>190</v>
      </c>
      <c r="BM423" s="319" t="s">
        <v>190</v>
      </c>
      <c r="BN423" s="319" t="s">
        <v>190</v>
      </c>
      <c r="BO423" s="319" t="s">
        <v>190</v>
      </c>
      <c r="BP423" s="319" t="s">
        <v>190</v>
      </c>
      <c r="BQ423" s="319" t="s">
        <v>190</v>
      </c>
      <c r="BR423" s="319" t="s">
        <v>190</v>
      </c>
      <c r="BS423" s="319" t="s">
        <v>190</v>
      </c>
      <c r="BT423" s="319" t="s">
        <v>190</v>
      </c>
      <c r="BU423" s="319" t="s">
        <v>190</v>
      </c>
      <c r="BV423" s="319" t="s">
        <v>190</v>
      </c>
      <c r="BW423" s="319" t="s">
        <v>190</v>
      </c>
      <c r="BX423" s="319" t="s">
        <v>190</v>
      </c>
      <c r="BY423" s="319" t="s">
        <v>190</v>
      </c>
      <c r="BZ423" s="319" t="s">
        <v>190</v>
      </c>
      <c r="CA423" s="319" t="s">
        <v>190</v>
      </c>
      <c r="CB423" s="319" t="s">
        <v>190</v>
      </c>
      <c r="CC423" s="319" t="s">
        <v>190</v>
      </c>
      <c r="CD423" s="319" t="s">
        <v>190</v>
      </c>
      <c r="CE423" s="319" t="s">
        <v>190</v>
      </c>
      <c r="CF423" s="319" t="s">
        <v>190</v>
      </c>
      <c r="CG423" s="319" t="s">
        <v>190</v>
      </c>
      <c r="CH423" s="319" t="s">
        <v>190</v>
      </c>
      <c r="CI423" s="319" t="s">
        <v>190</v>
      </c>
      <c r="CJ423" s="319" t="s">
        <v>190</v>
      </c>
      <c r="CK423" s="319" t="s">
        <v>190</v>
      </c>
      <c r="CL423" s="319" t="s">
        <v>190</v>
      </c>
      <c r="CM423" s="319" t="s">
        <v>190</v>
      </c>
      <c r="CN423" s="319" t="s">
        <v>190</v>
      </c>
      <c r="CO423" s="319" t="s">
        <v>429</v>
      </c>
      <c r="CP423" s="319" t="s">
        <v>429</v>
      </c>
      <c r="CQ423" s="319" t="s">
        <v>190</v>
      </c>
      <c r="CR423" s="319" t="s">
        <v>190</v>
      </c>
      <c r="CS423" s="319" t="s">
        <v>190</v>
      </c>
      <c r="CT423" s="319" t="s">
        <v>190</v>
      </c>
      <c r="CU423" s="319" t="s">
        <v>190</v>
      </c>
      <c r="CV423" s="319" t="s">
        <v>190</v>
      </c>
      <c r="CW423" s="319" t="s">
        <v>190</v>
      </c>
      <c r="CX423" s="319" t="s">
        <v>190</v>
      </c>
      <c r="CY423" s="319" t="s">
        <v>190</v>
      </c>
      <c r="CZ423" s="319" t="s">
        <v>190</v>
      </c>
      <c r="DA423" s="319" t="s">
        <v>190</v>
      </c>
      <c r="DB423" s="319" t="s">
        <v>190</v>
      </c>
      <c r="DC423" s="319" t="s">
        <v>190</v>
      </c>
      <c r="DD423" s="319" t="s">
        <v>190</v>
      </c>
      <c r="DE423" s="319" t="s">
        <v>190</v>
      </c>
      <c r="DF423" s="319" t="s">
        <v>190</v>
      </c>
      <c r="DG423" s="319" t="s">
        <v>190</v>
      </c>
      <c r="DH423" s="319" t="s">
        <v>190</v>
      </c>
      <c r="DI423" s="319" t="s">
        <v>190</v>
      </c>
      <c r="DJ423" s="319" t="s">
        <v>190</v>
      </c>
      <c r="DK423" s="319" t="s">
        <v>190</v>
      </c>
      <c r="DL423" s="319" t="s">
        <v>190</v>
      </c>
      <c r="DM423" s="319" t="s">
        <v>190</v>
      </c>
      <c r="DN423" s="319" t="s">
        <v>429</v>
      </c>
      <c r="DO423" s="319" t="s">
        <v>190</v>
      </c>
      <c r="DP423" s="319" t="s">
        <v>190</v>
      </c>
      <c r="DQ423" s="319" t="s">
        <v>190</v>
      </c>
      <c r="DR423" s="319" t="s">
        <v>190</v>
      </c>
      <c r="DS423" s="319" t="s">
        <v>190</v>
      </c>
      <c r="DT423" s="319" t="s">
        <v>190</v>
      </c>
      <c r="DU423" s="319" t="s">
        <v>190</v>
      </c>
      <c r="DV423" s="319" t="s">
        <v>173</v>
      </c>
      <c r="DW423" s="319" t="s">
        <v>190</v>
      </c>
      <c r="DX423" s="319" t="s">
        <v>190</v>
      </c>
      <c r="DY423" s="319" t="s">
        <v>190</v>
      </c>
      <c r="DZ423" s="319" t="s">
        <v>190</v>
      </c>
      <c r="EA423" s="319" t="s">
        <v>190</v>
      </c>
      <c r="EB423" s="319" t="s">
        <v>190</v>
      </c>
      <c r="EC423" s="319" t="s">
        <v>429</v>
      </c>
      <c r="ED423" s="319" t="s">
        <v>190</v>
      </c>
      <c r="EE423" s="319" t="s">
        <v>190</v>
      </c>
      <c r="EF423" s="319" t="s">
        <v>190</v>
      </c>
      <c r="EG423" s="319" t="s">
        <v>190</v>
      </c>
      <c r="EH423" s="319" t="s">
        <v>190</v>
      </c>
      <c r="EI423" s="319" t="s">
        <v>190</v>
      </c>
      <c r="EJ423" s="319" t="s">
        <v>190</v>
      </c>
      <c r="EK423" s="319" t="s">
        <v>190</v>
      </c>
      <c r="EL423" s="319" t="s">
        <v>190</v>
      </c>
      <c r="EM423" s="319" t="s">
        <v>190</v>
      </c>
      <c r="EN423" s="319" t="s">
        <v>190</v>
      </c>
      <c r="EO423" s="319" t="s">
        <v>190</v>
      </c>
      <c r="EP423" s="319" t="s">
        <v>190</v>
      </c>
      <c r="EQ423" s="319" t="s">
        <v>190</v>
      </c>
      <c r="ER423" s="319" t="s">
        <v>190</v>
      </c>
      <c r="ES423" s="319" t="s">
        <v>190</v>
      </c>
      <c r="ET423" s="319" t="s">
        <v>190</v>
      </c>
      <c r="EU423" s="319" t="s">
        <v>190</v>
      </c>
      <c r="EV423" s="319" t="s">
        <v>190</v>
      </c>
      <c r="EW423" s="319" t="s">
        <v>190</v>
      </c>
      <c r="EX423" s="319" t="s">
        <v>190</v>
      </c>
      <c r="EY423" s="319" t="s">
        <v>190</v>
      </c>
      <c r="EZ423" s="319" t="s">
        <v>190</v>
      </c>
      <c r="FA423" s="319" t="s">
        <v>190</v>
      </c>
      <c r="FB423" s="319" t="s">
        <v>190</v>
      </c>
      <c r="FC423" s="319" t="s">
        <v>190</v>
      </c>
      <c r="FD423" s="319" t="s">
        <v>190</v>
      </c>
      <c r="FE423" s="319" t="s">
        <v>190</v>
      </c>
      <c r="FF423" s="319" t="s">
        <v>190</v>
      </c>
      <c r="FG423" s="319" t="s">
        <v>190</v>
      </c>
      <c r="FH423" s="319" t="s">
        <v>190</v>
      </c>
      <c r="FI423" s="319" t="s">
        <v>190</v>
      </c>
      <c r="FJ423" s="319" t="s">
        <v>190</v>
      </c>
      <c r="FK423" s="319" t="s">
        <v>190</v>
      </c>
      <c r="FL423" s="319" t="s">
        <v>190</v>
      </c>
      <c r="FM423" s="319" t="s">
        <v>190</v>
      </c>
      <c r="FN423" s="319" t="s">
        <v>190</v>
      </c>
      <c r="FO423" s="319" t="s">
        <v>190</v>
      </c>
      <c r="FP423" s="319" t="s">
        <v>190</v>
      </c>
      <c r="FQ423" s="319" t="s">
        <v>190</v>
      </c>
      <c r="FR423" s="319" t="s">
        <v>190</v>
      </c>
      <c r="FS423" s="319" t="s">
        <v>429</v>
      </c>
      <c r="FT423" s="319" t="s">
        <v>190</v>
      </c>
      <c r="FU423" s="319" t="s">
        <v>190</v>
      </c>
      <c r="FV423" s="319" t="s">
        <v>190</v>
      </c>
      <c r="FW423" s="319" t="s">
        <v>190</v>
      </c>
      <c r="FX423" s="319" t="s">
        <v>190</v>
      </c>
      <c r="FY423" s="319" t="s">
        <v>190</v>
      </c>
      <c r="FZ423" s="319" t="s">
        <v>190</v>
      </c>
      <c r="GA423" s="319" t="s">
        <v>190</v>
      </c>
      <c r="GB423" s="319" t="s">
        <v>190</v>
      </c>
      <c r="GC423" s="319" t="s">
        <v>190</v>
      </c>
      <c r="GD423" s="319" t="s">
        <v>190</v>
      </c>
      <c r="GE423" s="319" t="s">
        <v>190</v>
      </c>
      <c r="GF423" s="319" t="s">
        <v>190</v>
      </c>
      <c r="GG423" s="319" t="s">
        <v>190</v>
      </c>
      <c r="GH423" s="319" t="s">
        <v>190</v>
      </c>
      <c r="GI423" s="319" t="s">
        <v>190</v>
      </c>
      <c r="GJ423" s="319" t="s">
        <v>190</v>
      </c>
      <c r="GK423" s="319" t="s">
        <v>429</v>
      </c>
      <c r="GL423" s="319" t="s">
        <v>190</v>
      </c>
      <c r="GM423" s="319" t="s">
        <v>190</v>
      </c>
      <c r="GN423" s="319" t="s">
        <v>190</v>
      </c>
      <c r="GO423" s="319" t="s">
        <v>190</v>
      </c>
      <c r="GP423" s="319" t="s">
        <v>190</v>
      </c>
      <c r="GQ423" s="319" t="s">
        <v>190</v>
      </c>
      <c r="GR423" s="319" t="s">
        <v>190</v>
      </c>
      <c r="GS423" s="319" t="s">
        <v>190</v>
      </c>
      <c r="GT423" s="319" t="s">
        <v>190</v>
      </c>
      <c r="GU423" s="319" t="s">
        <v>190</v>
      </c>
      <c r="GV423" s="319" t="s">
        <v>190</v>
      </c>
      <c r="GW423" s="319" t="s">
        <v>190</v>
      </c>
      <c r="GX423" s="319" t="s">
        <v>190</v>
      </c>
      <c r="GY423" s="319" t="s">
        <v>190</v>
      </c>
      <c r="GZ423" s="319" t="s">
        <v>190</v>
      </c>
      <c r="HA423" s="319" t="s">
        <v>190</v>
      </c>
      <c r="HB423" s="319" t="s">
        <v>190</v>
      </c>
      <c r="HC423" s="319" t="s">
        <v>190</v>
      </c>
      <c r="HD423" s="319" t="s">
        <v>190</v>
      </c>
      <c r="HE423" s="319" t="s">
        <v>190</v>
      </c>
      <c r="HF423" s="319" t="s">
        <v>190</v>
      </c>
      <c r="HG423" s="319" t="s">
        <v>190</v>
      </c>
      <c r="HH423" s="319" t="s">
        <v>190</v>
      </c>
      <c r="HI423" s="319" t="s">
        <v>190</v>
      </c>
      <c r="HJ423" s="319" t="s">
        <v>190</v>
      </c>
      <c r="HK423" s="319" t="s">
        <v>190</v>
      </c>
      <c r="HL423" s="319" t="s">
        <v>190</v>
      </c>
      <c r="HM423" s="319" t="s">
        <v>190</v>
      </c>
      <c r="HN423" s="319" t="s">
        <v>190</v>
      </c>
      <c r="HO423" s="319" t="s">
        <v>190</v>
      </c>
      <c r="HP423" s="319" t="s">
        <v>190</v>
      </c>
      <c r="HQ423" s="319" t="s">
        <v>190</v>
      </c>
      <c r="HR423" s="319" t="s">
        <v>190</v>
      </c>
      <c r="HS423" s="319" t="s">
        <v>190</v>
      </c>
      <c r="HT423" s="319" t="s">
        <v>190</v>
      </c>
      <c r="HU423" s="319" t="s">
        <v>190</v>
      </c>
      <c r="HV423" s="319" t="s">
        <v>190</v>
      </c>
      <c r="HW423" s="319" t="s">
        <v>190</v>
      </c>
      <c r="HX423" s="319" t="s">
        <v>190</v>
      </c>
      <c r="HY423" s="319" t="s">
        <v>190</v>
      </c>
      <c r="HZ423" s="319" t="s">
        <v>190</v>
      </c>
      <c r="IA423" s="319" t="s">
        <v>190</v>
      </c>
      <c r="IB423" s="319" t="s">
        <v>190</v>
      </c>
      <c r="IC423" s="319" t="s">
        <v>190</v>
      </c>
      <c r="ID423" s="319" t="s">
        <v>190</v>
      </c>
      <c r="IE423" s="319" t="s">
        <v>190</v>
      </c>
      <c r="IF423" s="319" t="s">
        <v>190</v>
      </c>
      <c r="IG423" s="319" t="s">
        <v>190</v>
      </c>
      <c r="IH423" s="319" t="s">
        <v>190</v>
      </c>
      <c r="II423" s="319" t="s">
        <v>190</v>
      </c>
      <c r="IJ423" s="319" t="s">
        <v>3194</v>
      </c>
      <c r="IK423" s="321">
        <v>41583</v>
      </c>
      <c r="IL423" s="321">
        <v>41585</v>
      </c>
      <c r="IM423" s="321">
        <v>41604</v>
      </c>
      <c r="IN423" s="319">
        <v>2</v>
      </c>
      <c r="IO423" s="319" t="s">
        <v>173</v>
      </c>
      <c r="IP423" s="319" t="s">
        <v>173</v>
      </c>
      <c r="IQ423" s="321" t="s">
        <v>173</v>
      </c>
      <c r="IR423" s="320" t="s">
        <v>173</v>
      </c>
      <c r="IS423" s="322" t="s">
        <v>173</v>
      </c>
      <c r="IT423" s="319" t="s">
        <v>173</v>
      </c>
    </row>
    <row r="424" spans="1:254" s="271" customFormat="1" x14ac:dyDescent="0.25">
      <c r="A424" s="318" t="str">
        <f>HYPERLINK("http://www.ofsted.gov.uk/inspection-reports/find-inspection-report/provider/ELS/134034 ","Ofsted School Webpage")</f>
        <v>Ofsted School Webpage</v>
      </c>
      <c r="B424" s="319">
        <v>134034</v>
      </c>
      <c r="C424" s="319">
        <v>3306104</v>
      </c>
      <c r="D424" s="319" t="s">
        <v>1786</v>
      </c>
      <c r="E424" s="319" t="s">
        <v>167</v>
      </c>
      <c r="F424" s="319" t="s">
        <v>81</v>
      </c>
      <c r="G424" s="319" t="s">
        <v>72</v>
      </c>
      <c r="H424" s="319" t="s">
        <v>72</v>
      </c>
      <c r="I424" s="319" t="s">
        <v>72</v>
      </c>
      <c r="J424" s="319" t="s">
        <v>424</v>
      </c>
      <c r="K424" s="319" t="s">
        <v>437</v>
      </c>
      <c r="L424" s="319" t="s">
        <v>437</v>
      </c>
      <c r="M424" s="319" t="s">
        <v>813</v>
      </c>
      <c r="N424" s="319" t="s">
        <v>2855</v>
      </c>
      <c r="O424" s="319" t="s">
        <v>1787</v>
      </c>
      <c r="P424" s="319">
        <v>126</v>
      </c>
      <c r="Q424" s="319" t="s">
        <v>2766</v>
      </c>
      <c r="R424" s="320">
        <v>10038833</v>
      </c>
      <c r="S424" s="321">
        <v>43165</v>
      </c>
      <c r="T424" s="321">
        <v>43172</v>
      </c>
      <c r="U424" s="321">
        <v>43214</v>
      </c>
      <c r="V424" s="319" t="s">
        <v>425</v>
      </c>
      <c r="W424" s="319" t="s">
        <v>2767</v>
      </c>
      <c r="X424" s="319">
        <v>1</v>
      </c>
      <c r="Y424" s="319" t="s">
        <v>173</v>
      </c>
      <c r="Z424" s="319" t="s">
        <v>173</v>
      </c>
      <c r="AA424" s="319" t="s">
        <v>173</v>
      </c>
      <c r="AB424" s="319">
        <v>1</v>
      </c>
      <c r="AC424" s="319" t="s">
        <v>169</v>
      </c>
      <c r="AD424" s="319" t="s">
        <v>173</v>
      </c>
      <c r="AE424" s="319" t="s">
        <v>173</v>
      </c>
      <c r="AF424" s="319" t="s">
        <v>447</v>
      </c>
      <c r="AG424" s="319" t="s">
        <v>171</v>
      </c>
      <c r="AH424" s="319" t="s">
        <v>190</v>
      </c>
      <c r="AI424" s="319" t="s">
        <v>190</v>
      </c>
      <c r="AJ424" s="319" t="s">
        <v>190</v>
      </c>
      <c r="AK424" s="319" t="s">
        <v>190</v>
      </c>
      <c r="AL424" s="319" t="s">
        <v>190</v>
      </c>
      <c r="AM424" s="319" t="s">
        <v>190</v>
      </c>
      <c r="AN424" s="319" t="s">
        <v>190</v>
      </c>
      <c r="AO424" s="319" t="s">
        <v>190</v>
      </c>
      <c r="AP424" s="319" t="s">
        <v>190</v>
      </c>
      <c r="AQ424" s="319" t="s">
        <v>190</v>
      </c>
      <c r="AR424" s="319" t="s">
        <v>190</v>
      </c>
      <c r="AS424" s="319" t="s">
        <v>190</v>
      </c>
      <c r="AT424" s="319" t="s">
        <v>190</v>
      </c>
      <c r="AU424" s="319" t="s">
        <v>190</v>
      </c>
      <c r="AV424" s="319" t="s">
        <v>190</v>
      </c>
      <c r="AW424" s="319" t="s">
        <v>190</v>
      </c>
      <c r="AX424" s="319" t="s">
        <v>428</v>
      </c>
      <c r="AY424" s="319" t="s">
        <v>190</v>
      </c>
      <c r="AZ424" s="319" t="s">
        <v>190</v>
      </c>
      <c r="BA424" s="319" t="s">
        <v>190</v>
      </c>
      <c r="BB424" s="319" t="s">
        <v>190</v>
      </c>
      <c r="BC424" s="319" t="s">
        <v>190</v>
      </c>
      <c r="BD424" s="319" t="s">
        <v>190</v>
      </c>
      <c r="BE424" s="319" t="s">
        <v>190</v>
      </c>
      <c r="BF424" s="319" t="s">
        <v>428</v>
      </c>
      <c r="BG424" s="319" t="s">
        <v>428</v>
      </c>
      <c r="BH424" s="319" t="s">
        <v>190</v>
      </c>
      <c r="BI424" s="319" t="s">
        <v>190</v>
      </c>
      <c r="BJ424" s="319" t="s">
        <v>190</v>
      </c>
      <c r="BK424" s="319" t="s">
        <v>190</v>
      </c>
      <c r="BL424" s="319" t="s">
        <v>190</v>
      </c>
      <c r="BM424" s="319" t="s">
        <v>190</v>
      </c>
      <c r="BN424" s="319" t="s">
        <v>190</v>
      </c>
      <c r="BO424" s="319" t="s">
        <v>190</v>
      </c>
      <c r="BP424" s="319" t="s">
        <v>190</v>
      </c>
      <c r="BQ424" s="319" t="s">
        <v>190</v>
      </c>
      <c r="BR424" s="319" t="s">
        <v>190</v>
      </c>
      <c r="BS424" s="319" t="s">
        <v>190</v>
      </c>
      <c r="BT424" s="319" t="s">
        <v>190</v>
      </c>
      <c r="BU424" s="319" t="s">
        <v>190</v>
      </c>
      <c r="BV424" s="319" t="s">
        <v>190</v>
      </c>
      <c r="BW424" s="319" t="s">
        <v>190</v>
      </c>
      <c r="BX424" s="319" t="s">
        <v>190</v>
      </c>
      <c r="BY424" s="319" t="s">
        <v>190</v>
      </c>
      <c r="BZ424" s="319" t="s">
        <v>190</v>
      </c>
      <c r="CA424" s="319" t="s">
        <v>190</v>
      </c>
      <c r="CB424" s="319" t="s">
        <v>190</v>
      </c>
      <c r="CC424" s="319" t="s">
        <v>190</v>
      </c>
      <c r="CD424" s="319" t="s">
        <v>190</v>
      </c>
      <c r="CE424" s="319" t="s">
        <v>190</v>
      </c>
      <c r="CF424" s="319" t="s">
        <v>190</v>
      </c>
      <c r="CG424" s="319" t="s">
        <v>190</v>
      </c>
      <c r="CH424" s="319" t="s">
        <v>190</v>
      </c>
      <c r="CI424" s="319" t="s">
        <v>190</v>
      </c>
      <c r="CJ424" s="319" t="s">
        <v>190</v>
      </c>
      <c r="CK424" s="319" t="s">
        <v>190</v>
      </c>
      <c r="CL424" s="319" t="s">
        <v>190</v>
      </c>
      <c r="CM424" s="319" t="s">
        <v>190</v>
      </c>
      <c r="CN424" s="319" t="s">
        <v>428</v>
      </c>
      <c r="CO424" s="319" t="s">
        <v>428</v>
      </c>
      <c r="CP424" s="319" t="s">
        <v>428</v>
      </c>
      <c r="CQ424" s="319" t="s">
        <v>190</v>
      </c>
      <c r="CR424" s="319" t="s">
        <v>190</v>
      </c>
      <c r="CS424" s="319" t="s">
        <v>190</v>
      </c>
      <c r="CT424" s="319" t="s">
        <v>190</v>
      </c>
      <c r="CU424" s="319" t="s">
        <v>190</v>
      </c>
      <c r="CV424" s="319" t="s">
        <v>190</v>
      </c>
      <c r="CW424" s="319" t="s">
        <v>190</v>
      </c>
      <c r="CX424" s="319" t="s">
        <v>190</v>
      </c>
      <c r="CY424" s="319" t="s">
        <v>190</v>
      </c>
      <c r="CZ424" s="319" t="s">
        <v>190</v>
      </c>
      <c r="DA424" s="319" t="s">
        <v>190</v>
      </c>
      <c r="DB424" s="319" t="s">
        <v>190</v>
      </c>
      <c r="DC424" s="319" t="s">
        <v>190</v>
      </c>
      <c r="DD424" s="319" t="s">
        <v>190</v>
      </c>
      <c r="DE424" s="319" t="s">
        <v>190</v>
      </c>
      <c r="DF424" s="319" t="s">
        <v>190</v>
      </c>
      <c r="DG424" s="319" t="s">
        <v>190</v>
      </c>
      <c r="DH424" s="319" t="s">
        <v>190</v>
      </c>
      <c r="DI424" s="319" t="s">
        <v>190</v>
      </c>
      <c r="DJ424" s="319" t="s">
        <v>190</v>
      </c>
      <c r="DK424" s="319" t="s">
        <v>190</v>
      </c>
      <c r="DL424" s="319" t="s">
        <v>190</v>
      </c>
      <c r="DM424" s="319" t="s">
        <v>190</v>
      </c>
      <c r="DN424" s="319" t="s">
        <v>428</v>
      </c>
      <c r="DO424" s="319" t="s">
        <v>190</v>
      </c>
      <c r="DP424" s="319" t="s">
        <v>428</v>
      </c>
      <c r="DQ424" s="319" t="s">
        <v>428</v>
      </c>
      <c r="DR424" s="319" t="s">
        <v>428</v>
      </c>
      <c r="DS424" s="319" t="s">
        <v>428</v>
      </c>
      <c r="DT424" s="319" t="s">
        <v>428</v>
      </c>
      <c r="DU424" s="319" t="s">
        <v>428</v>
      </c>
      <c r="DV424" s="319" t="s">
        <v>173</v>
      </c>
      <c r="DW424" s="319" t="s">
        <v>428</v>
      </c>
      <c r="DX424" s="319" t="s">
        <v>428</v>
      </c>
      <c r="DY424" s="319" t="s">
        <v>428</v>
      </c>
      <c r="DZ424" s="319" t="s">
        <v>428</v>
      </c>
      <c r="EA424" s="319" t="s">
        <v>428</v>
      </c>
      <c r="EB424" s="319" t="s">
        <v>428</v>
      </c>
      <c r="EC424" s="319" t="s">
        <v>428</v>
      </c>
      <c r="ED424" s="319" t="s">
        <v>190</v>
      </c>
      <c r="EE424" s="319" t="s">
        <v>190</v>
      </c>
      <c r="EF424" s="319" t="s">
        <v>190</v>
      </c>
      <c r="EG424" s="319" t="s">
        <v>190</v>
      </c>
      <c r="EH424" s="319" t="s">
        <v>190</v>
      </c>
      <c r="EI424" s="319" t="s">
        <v>190</v>
      </c>
      <c r="EJ424" s="319" t="s">
        <v>190</v>
      </c>
      <c r="EK424" s="319" t="s">
        <v>190</v>
      </c>
      <c r="EL424" s="319" t="s">
        <v>190</v>
      </c>
      <c r="EM424" s="319" t="s">
        <v>190</v>
      </c>
      <c r="EN424" s="319" t="s">
        <v>190</v>
      </c>
      <c r="EO424" s="319" t="s">
        <v>190</v>
      </c>
      <c r="EP424" s="319" t="s">
        <v>190</v>
      </c>
      <c r="EQ424" s="319" t="s">
        <v>190</v>
      </c>
      <c r="ER424" s="319" t="s">
        <v>190</v>
      </c>
      <c r="ES424" s="319" t="s">
        <v>190</v>
      </c>
      <c r="ET424" s="319" t="s">
        <v>190</v>
      </c>
      <c r="EU424" s="319" t="s">
        <v>190</v>
      </c>
      <c r="EV424" s="319" t="s">
        <v>190</v>
      </c>
      <c r="EW424" s="319" t="s">
        <v>190</v>
      </c>
      <c r="EX424" s="319" t="s">
        <v>190</v>
      </c>
      <c r="EY424" s="319" t="s">
        <v>190</v>
      </c>
      <c r="EZ424" s="319" t="s">
        <v>190</v>
      </c>
      <c r="FA424" s="319" t="s">
        <v>190</v>
      </c>
      <c r="FB424" s="319" t="s">
        <v>428</v>
      </c>
      <c r="FC424" s="319" t="s">
        <v>428</v>
      </c>
      <c r="FD424" s="319" t="s">
        <v>428</v>
      </c>
      <c r="FE424" s="319" t="s">
        <v>428</v>
      </c>
      <c r="FF424" s="319" t="s">
        <v>428</v>
      </c>
      <c r="FG424" s="319" t="s">
        <v>428</v>
      </c>
      <c r="FH424" s="319" t="s">
        <v>428</v>
      </c>
      <c r="FI424" s="319" t="s">
        <v>190</v>
      </c>
      <c r="FJ424" s="319" t="s">
        <v>190</v>
      </c>
      <c r="FK424" s="319" t="s">
        <v>190</v>
      </c>
      <c r="FL424" s="319" t="s">
        <v>190</v>
      </c>
      <c r="FM424" s="319" t="s">
        <v>190</v>
      </c>
      <c r="FN424" s="319" t="s">
        <v>190</v>
      </c>
      <c r="FO424" s="319" t="s">
        <v>190</v>
      </c>
      <c r="FP424" s="319" t="s">
        <v>190</v>
      </c>
      <c r="FQ424" s="319" t="s">
        <v>190</v>
      </c>
      <c r="FR424" s="319" t="s">
        <v>190</v>
      </c>
      <c r="FS424" s="319" t="s">
        <v>428</v>
      </c>
      <c r="FT424" s="319" t="s">
        <v>190</v>
      </c>
      <c r="FU424" s="319" t="s">
        <v>190</v>
      </c>
      <c r="FV424" s="319" t="s">
        <v>190</v>
      </c>
      <c r="FW424" s="319" t="s">
        <v>190</v>
      </c>
      <c r="FX424" s="319" t="s">
        <v>190</v>
      </c>
      <c r="FY424" s="319" t="s">
        <v>190</v>
      </c>
      <c r="FZ424" s="319" t="s">
        <v>190</v>
      </c>
      <c r="GA424" s="319" t="s">
        <v>190</v>
      </c>
      <c r="GB424" s="319" t="s">
        <v>190</v>
      </c>
      <c r="GC424" s="319" t="s">
        <v>190</v>
      </c>
      <c r="GD424" s="319" t="s">
        <v>190</v>
      </c>
      <c r="GE424" s="319" t="s">
        <v>190</v>
      </c>
      <c r="GF424" s="319" t="s">
        <v>190</v>
      </c>
      <c r="GG424" s="319" t="s">
        <v>190</v>
      </c>
      <c r="GH424" s="319" t="s">
        <v>190</v>
      </c>
      <c r="GI424" s="319" t="s">
        <v>190</v>
      </c>
      <c r="GJ424" s="319" t="s">
        <v>190</v>
      </c>
      <c r="GK424" s="319" t="s">
        <v>428</v>
      </c>
      <c r="GL424" s="319" t="s">
        <v>190</v>
      </c>
      <c r="GM424" s="319" t="s">
        <v>190</v>
      </c>
      <c r="GN424" s="319" t="s">
        <v>190</v>
      </c>
      <c r="GO424" s="319" t="s">
        <v>190</v>
      </c>
      <c r="GP424" s="319" t="s">
        <v>190</v>
      </c>
      <c r="GQ424" s="319" t="s">
        <v>428</v>
      </c>
      <c r="GR424" s="319" t="s">
        <v>190</v>
      </c>
      <c r="GS424" s="319" t="s">
        <v>190</v>
      </c>
      <c r="GT424" s="319" t="s">
        <v>428</v>
      </c>
      <c r="GU424" s="319" t="s">
        <v>428</v>
      </c>
      <c r="GV424" s="319" t="s">
        <v>428</v>
      </c>
      <c r="GW424" s="319" t="s">
        <v>190</v>
      </c>
      <c r="GX424" s="319" t="s">
        <v>190</v>
      </c>
      <c r="GY424" s="319" t="s">
        <v>190</v>
      </c>
      <c r="GZ424" s="319" t="s">
        <v>428</v>
      </c>
      <c r="HA424" s="319" t="s">
        <v>190</v>
      </c>
      <c r="HB424" s="319" t="s">
        <v>190</v>
      </c>
      <c r="HC424" s="319" t="s">
        <v>190</v>
      </c>
      <c r="HD424" s="319" t="s">
        <v>190</v>
      </c>
      <c r="HE424" s="319" t="s">
        <v>190</v>
      </c>
      <c r="HF424" s="319" t="s">
        <v>428</v>
      </c>
      <c r="HG424" s="319" t="s">
        <v>190</v>
      </c>
      <c r="HH424" s="319" t="s">
        <v>190</v>
      </c>
      <c r="HI424" s="319" t="s">
        <v>190</v>
      </c>
      <c r="HJ424" s="319" t="s">
        <v>190</v>
      </c>
      <c r="HK424" s="319" t="s">
        <v>190</v>
      </c>
      <c r="HL424" s="319" t="s">
        <v>428</v>
      </c>
      <c r="HM424" s="319" t="s">
        <v>428</v>
      </c>
      <c r="HN424" s="319" t="s">
        <v>428</v>
      </c>
      <c r="HO424" s="319" t="s">
        <v>428</v>
      </c>
      <c r="HP424" s="319" t="s">
        <v>190</v>
      </c>
      <c r="HQ424" s="319" t="s">
        <v>190</v>
      </c>
      <c r="HR424" s="319" t="s">
        <v>190</v>
      </c>
      <c r="HS424" s="319" t="s">
        <v>190</v>
      </c>
      <c r="HT424" s="319" t="s">
        <v>190</v>
      </c>
      <c r="HU424" s="319" t="s">
        <v>190</v>
      </c>
      <c r="HV424" s="319" t="s">
        <v>190</v>
      </c>
      <c r="HW424" s="319" t="s">
        <v>190</v>
      </c>
      <c r="HX424" s="319" t="s">
        <v>190</v>
      </c>
      <c r="HY424" s="319" t="s">
        <v>190</v>
      </c>
      <c r="HZ424" s="319" t="s">
        <v>190</v>
      </c>
      <c r="IA424" s="319" t="s">
        <v>190</v>
      </c>
      <c r="IB424" s="319" t="s">
        <v>190</v>
      </c>
      <c r="IC424" s="319" t="s">
        <v>190</v>
      </c>
      <c r="ID424" s="319" t="s">
        <v>190</v>
      </c>
      <c r="IE424" s="319" t="s">
        <v>190</v>
      </c>
      <c r="IF424" s="319" t="s">
        <v>190</v>
      </c>
      <c r="IG424" s="319" t="s">
        <v>190</v>
      </c>
      <c r="IH424" s="319" t="s">
        <v>190</v>
      </c>
      <c r="II424" s="319" t="s">
        <v>190</v>
      </c>
      <c r="IJ424" s="319" t="s">
        <v>3195</v>
      </c>
      <c r="IK424" s="321">
        <v>41947</v>
      </c>
      <c r="IL424" s="321">
        <v>41949</v>
      </c>
      <c r="IM424" s="321">
        <v>41969</v>
      </c>
      <c r="IN424" s="319">
        <v>1</v>
      </c>
      <c r="IO424" s="319" t="s">
        <v>173</v>
      </c>
      <c r="IP424" s="319" t="s">
        <v>173</v>
      </c>
      <c r="IQ424" s="321" t="s">
        <v>173</v>
      </c>
      <c r="IR424" s="320" t="s">
        <v>173</v>
      </c>
      <c r="IS424" s="322" t="s">
        <v>173</v>
      </c>
      <c r="IT424" s="319" t="s">
        <v>173</v>
      </c>
    </row>
    <row r="425" spans="1:254" s="271" customFormat="1" x14ac:dyDescent="0.25">
      <c r="A425" s="318" t="str">
        <f>HYPERLINK("http://www.ofsted.gov.uk/inspection-reports/find-inspection-report/provider/ELS/134084 ","Ofsted School Webpage")</f>
        <v>Ofsted School Webpage</v>
      </c>
      <c r="B425" s="319">
        <v>134084</v>
      </c>
      <c r="C425" s="319">
        <v>3096087</v>
      </c>
      <c r="D425" s="319" t="s">
        <v>1788</v>
      </c>
      <c r="E425" s="319" t="s">
        <v>167</v>
      </c>
      <c r="F425" s="319" t="s">
        <v>81</v>
      </c>
      <c r="G425" s="319" t="s">
        <v>72</v>
      </c>
      <c r="H425" s="319" t="s">
        <v>72</v>
      </c>
      <c r="I425" s="319" t="s">
        <v>72</v>
      </c>
      <c r="J425" s="319" t="s">
        <v>424</v>
      </c>
      <c r="K425" s="319" t="s">
        <v>441</v>
      </c>
      <c r="L425" s="319" t="s">
        <v>441</v>
      </c>
      <c r="M425" s="319" t="s">
        <v>527</v>
      </c>
      <c r="N425" s="319" t="s">
        <v>2841</v>
      </c>
      <c r="O425" s="319" t="s">
        <v>1789</v>
      </c>
      <c r="P425" s="319">
        <v>83</v>
      </c>
      <c r="Q425" s="319" t="s">
        <v>2766</v>
      </c>
      <c r="R425" s="320">
        <v>10035797</v>
      </c>
      <c r="S425" s="321">
        <v>43277</v>
      </c>
      <c r="T425" s="321">
        <v>43279</v>
      </c>
      <c r="U425" s="321">
        <v>43369</v>
      </c>
      <c r="V425" s="319" t="s">
        <v>425</v>
      </c>
      <c r="W425" s="319" t="s">
        <v>2767</v>
      </c>
      <c r="X425" s="319">
        <v>2</v>
      </c>
      <c r="Y425" s="319" t="s">
        <v>173</v>
      </c>
      <c r="Z425" s="319" t="s">
        <v>173</v>
      </c>
      <c r="AA425" s="319" t="s">
        <v>173</v>
      </c>
      <c r="AB425" s="319">
        <v>2</v>
      </c>
      <c r="AC425" s="319" t="s">
        <v>169</v>
      </c>
      <c r="AD425" s="319">
        <v>2</v>
      </c>
      <c r="AE425" s="319" t="s">
        <v>173</v>
      </c>
      <c r="AF425" s="319" t="s">
        <v>447</v>
      </c>
      <c r="AG425" s="319" t="s">
        <v>171</v>
      </c>
      <c r="AH425" s="319" t="s">
        <v>190</v>
      </c>
      <c r="AI425" s="319" t="s">
        <v>190</v>
      </c>
      <c r="AJ425" s="319" t="s">
        <v>190</v>
      </c>
      <c r="AK425" s="319" t="s">
        <v>190</v>
      </c>
      <c r="AL425" s="319" t="s">
        <v>190</v>
      </c>
      <c r="AM425" s="319" t="s">
        <v>190</v>
      </c>
      <c r="AN425" s="319" t="s">
        <v>190</v>
      </c>
      <c r="AO425" s="319" t="s">
        <v>190</v>
      </c>
      <c r="AP425" s="319" t="s">
        <v>190</v>
      </c>
      <c r="AQ425" s="319" t="s">
        <v>190</v>
      </c>
      <c r="AR425" s="319" t="s">
        <v>190</v>
      </c>
      <c r="AS425" s="319" t="s">
        <v>190</v>
      </c>
      <c r="AT425" s="319" t="s">
        <v>190</v>
      </c>
      <c r="AU425" s="319" t="s">
        <v>190</v>
      </c>
      <c r="AV425" s="319" t="s">
        <v>190</v>
      </c>
      <c r="AW425" s="319" t="s">
        <v>190</v>
      </c>
      <c r="AX425" s="319" t="s">
        <v>428</v>
      </c>
      <c r="AY425" s="319" t="s">
        <v>190</v>
      </c>
      <c r="AZ425" s="319" t="s">
        <v>190</v>
      </c>
      <c r="BA425" s="319" t="s">
        <v>190</v>
      </c>
      <c r="BB425" s="319" t="s">
        <v>428</v>
      </c>
      <c r="BC425" s="319" t="s">
        <v>428</v>
      </c>
      <c r="BD425" s="319" t="s">
        <v>428</v>
      </c>
      <c r="BE425" s="319" t="s">
        <v>428</v>
      </c>
      <c r="BF425" s="319" t="s">
        <v>190</v>
      </c>
      <c r="BG425" s="319" t="s">
        <v>428</v>
      </c>
      <c r="BH425" s="319" t="s">
        <v>190</v>
      </c>
      <c r="BI425" s="319" t="s">
        <v>190</v>
      </c>
      <c r="BJ425" s="319" t="s">
        <v>190</v>
      </c>
      <c r="BK425" s="319" t="s">
        <v>190</v>
      </c>
      <c r="BL425" s="319" t="s">
        <v>190</v>
      </c>
      <c r="BM425" s="319" t="s">
        <v>190</v>
      </c>
      <c r="BN425" s="319" t="s">
        <v>190</v>
      </c>
      <c r="BO425" s="319" t="s">
        <v>190</v>
      </c>
      <c r="BP425" s="319" t="s">
        <v>190</v>
      </c>
      <c r="BQ425" s="319" t="s">
        <v>190</v>
      </c>
      <c r="BR425" s="319" t="s">
        <v>190</v>
      </c>
      <c r="BS425" s="319" t="s">
        <v>190</v>
      </c>
      <c r="BT425" s="319" t="s">
        <v>190</v>
      </c>
      <c r="BU425" s="319" t="s">
        <v>190</v>
      </c>
      <c r="BV425" s="319" t="s">
        <v>190</v>
      </c>
      <c r="BW425" s="319" t="s">
        <v>190</v>
      </c>
      <c r="BX425" s="319" t="s">
        <v>190</v>
      </c>
      <c r="BY425" s="319" t="s">
        <v>190</v>
      </c>
      <c r="BZ425" s="319" t="s">
        <v>190</v>
      </c>
      <c r="CA425" s="319" t="s">
        <v>190</v>
      </c>
      <c r="CB425" s="319" t="s">
        <v>190</v>
      </c>
      <c r="CC425" s="319" t="s">
        <v>190</v>
      </c>
      <c r="CD425" s="319" t="s">
        <v>190</v>
      </c>
      <c r="CE425" s="319" t="s">
        <v>190</v>
      </c>
      <c r="CF425" s="319" t="s">
        <v>190</v>
      </c>
      <c r="CG425" s="319" t="s">
        <v>190</v>
      </c>
      <c r="CH425" s="319" t="s">
        <v>190</v>
      </c>
      <c r="CI425" s="319" t="s">
        <v>190</v>
      </c>
      <c r="CJ425" s="319" t="s">
        <v>190</v>
      </c>
      <c r="CK425" s="319" t="s">
        <v>190</v>
      </c>
      <c r="CL425" s="319" t="s">
        <v>190</v>
      </c>
      <c r="CM425" s="319" t="s">
        <v>190</v>
      </c>
      <c r="CN425" s="319" t="s">
        <v>428</v>
      </c>
      <c r="CO425" s="319" t="s">
        <v>428</v>
      </c>
      <c r="CP425" s="319" t="s">
        <v>428</v>
      </c>
      <c r="CQ425" s="319" t="s">
        <v>190</v>
      </c>
      <c r="CR425" s="319" t="s">
        <v>190</v>
      </c>
      <c r="CS425" s="319" t="s">
        <v>190</v>
      </c>
      <c r="CT425" s="319" t="s">
        <v>190</v>
      </c>
      <c r="CU425" s="319" t="s">
        <v>190</v>
      </c>
      <c r="CV425" s="319" t="s">
        <v>190</v>
      </c>
      <c r="CW425" s="319" t="s">
        <v>190</v>
      </c>
      <c r="CX425" s="319" t="s">
        <v>190</v>
      </c>
      <c r="CY425" s="319" t="s">
        <v>190</v>
      </c>
      <c r="CZ425" s="319" t="s">
        <v>190</v>
      </c>
      <c r="DA425" s="319" t="s">
        <v>190</v>
      </c>
      <c r="DB425" s="319" t="s">
        <v>190</v>
      </c>
      <c r="DC425" s="319" t="s">
        <v>190</v>
      </c>
      <c r="DD425" s="319" t="s">
        <v>190</v>
      </c>
      <c r="DE425" s="319" t="s">
        <v>190</v>
      </c>
      <c r="DF425" s="319" t="s">
        <v>190</v>
      </c>
      <c r="DG425" s="319" t="s">
        <v>190</v>
      </c>
      <c r="DH425" s="319" t="s">
        <v>190</v>
      </c>
      <c r="DI425" s="319" t="s">
        <v>190</v>
      </c>
      <c r="DJ425" s="319" t="s">
        <v>190</v>
      </c>
      <c r="DK425" s="319" t="s">
        <v>190</v>
      </c>
      <c r="DL425" s="319" t="s">
        <v>190</v>
      </c>
      <c r="DM425" s="319" t="s">
        <v>190</v>
      </c>
      <c r="DN425" s="319" t="s">
        <v>428</v>
      </c>
      <c r="DO425" s="319" t="s">
        <v>190</v>
      </c>
      <c r="DP425" s="319" t="s">
        <v>190</v>
      </c>
      <c r="DQ425" s="319" t="s">
        <v>190</v>
      </c>
      <c r="DR425" s="319" t="s">
        <v>190</v>
      </c>
      <c r="DS425" s="319" t="s">
        <v>190</v>
      </c>
      <c r="DT425" s="319" t="s">
        <v>190</v>
      </c>
      <c r="DU425" s="319" t="s">
        <v>190</v>
      </c>
      <c r="DV425" s="319" t="s">
        <v>173</v>
      </c>
      <c r="DW425" s="319" t="s">
        <v>190</v>
      </c>
      <c r="DX425" s="319" t="s">
        <v>190</v>
      </c>
      <c r="DY425" s="319" t="s">
        <v>190</v>
      </c>
      <c r="DZ425" s="319" t="s">
        <v>190</v>
      </c>
      <c r="EA425" s="319" t="s">
        <v>190</v>
      </c>
      <c r="EB425" s="319" t="s">
        <v>190</v>
      </c>
      <c r="EC425" s="319" t="s">
        <v>190</v>
      </c>
      <c r="ED425" s="319" t="s">
        <v>190</v>
      </c>
      <c r="EE425" s="319" t="s">
        <v>190</v>
      </c>
      <c r="EF425" s="319" t="s">
        <v>190</v>
      </c>
      <c r="EG425" s="319" t="s">
        <v>190</v>
      </c>
      <c r="EH425" s="319" t="s">
        <v>190</v>
      </c>
      <c r="EI425" s="319" t="s">
        <v>190</v>
      </c>
      <c r="EJ425" s="319" t="s">
        <v>190</v>
      </c>
      <c r="EK425" s="319" t="s">
        <v>190</v>
      </c>
      <c r="EL425" s="319" t="s">
        <v>190</v>
      </c>
      <c r="EM425" s="319" t="s">
        <v>190</v>
      </c>
      <c r="EN425" s="319" t="s">
        <v>190</v>
      </c>
      <c r="EO425" s="319" t="s">
        <v>190</v>
      </c>
      <c r="EP425" s="319" t="s">
        <v>190</v>
      </c>
      <c r="EQ425" s="319" t="s">
        <v>190</v>
      </c>
      <c r="ER425" s="319" t="s">
        <v>190</v>
      </c>
      <c r="ES425" s="319" t="s">
        <v>190</v>
      </c>
      <c r="ET425" s="319" t="s">
        <v>190</v>
      </c>
      <c r="EU425" s="319" t="s">
        <v>190</v>
      </c>
      <c r="EV425" s="319" t="s">
        <v>190</v>
      </c>
      <c r="EW425" s="319" t="s">
        <v>190</v>
      </c>
      <c r="EX425" s="319" t="s">
        <v>190</v>
      </c>
      <c r="EY425" s="319" t="s">
        <v>190</v>
      </c>
      <c r="EZ425" s="319" t="s">
        <v>190</v>
      </c>
      <c r="FA425" s="319" t="s">
        <v>190</v>
      </c>
      <c r="FB425" s="319" t="s">
        <v>190</v>
      </c>
      <c r="FC425" s="319" t="s">
        <v>190</v>
      </c>
      <c r="FD425" s="319" t="s">
        <v>190</v>
      </c>
      <c r="FE425" s="319" t="s">
        <v>190</v>
      </c>
      <c r="FF425" s="319" t="s">
        <v>190</v>
      </c>
      <c r="FG425" s="319" t="s">
        <v>190</v>
      </c>
      <c r="FH425" s="319" t="s">
        <v>190</v>
      </c>
      <c r="FI425" s="319" t="s">
        <v>190</v>
      </c>
      <c r="FJ425" s="319" t="s">
        <v>190</v>
      </c>
      <c r="FK425" s="319" t="s">
        <v>190</v>
      </c>
      <c r="FL425" s="319" t="s">
        <v>190</v>
      </c>
      <c r="FM425" s="319" t="s">
        <v>190</v>
      </c>
      <c r="FN425" s="319" t="s">
        <v>190</v>
      </c>
      <c r="FO425" s="319" t="s">
        <v>428</v>
      </c>
      <c r="FP425" s="319" t="s">
        <v>190</v>
      </c>
      <c r="FQ425" s="319" t="s">
        <v>190</v>
      </c>
      <c r="FR425" s="319" t="s">
        <v>190</v>
      </c>
      <c r="FS425" s="319" t="s">
        <v>190</v>
      </c>
      <c r="FT425" s="319" t="s">
        <v>190</v>
      </c>
      <c r="FU425" s="319" t="s">
        <v>190</v>
      </c>
      <c r="FV425" s="319" t="s">
        <v>190</v>
      </c>
      <c r="FW425" s="319" t="s">
        <v>190</v>
      </c>
      <c r="FX425" s="319" t="s">
        <v>190</v>
      </c>
      <c r="FY425" s="319" t="s">
        <v>190</v>
      </c>
      <c r="FZ425" s="319" t="s">
        <v>190</v>
      </c>
      <c r="GA425" s="319" t="s">
        <v>190</v>
      </c>
      <c r="GB425" s="319" t="s">
        <v>190</v>
      </c>
      <c r="GC425" s="319" t="s">
        <v>190</v>
      </c>
      <c r="GD425" s="319" t="s">
        <v>190</v>
      </c>
      <c r="GE425" s="319" t="s">
        <v>190</v>
      </c>
      <c r="GF425" s="319" t="s">
        <v>190</v>
      </c>
      <c r="GG425" s="319" t="s">
        <v>190</v>
      </c>
      <c r="GH425" s="319" t="s">
        <v>190</v>
      </c>
      <c r="GI425" s="319" t="s">
        <v>190</v>
      </c>
      <c r="GJ425" s="319" t="s">
        <v>190</v>
      </c>
      <c r="GK425" s="319" t="s">
        <v>428</v>
      </c>
      <c r="GL425" s="319" t="s">
        <v>190</v>
      </c>
      <c r="GM425" s="319" t="s">
        <v>190</v>
      </c>
      <c r="GN425" s="319" t="s">
        <v>190</v>
      </c>
      <c r="GO425" s="319" t="s">
        <v>190</v>
      </c>
      <c r="GP425" s="319" t="s">
        <v>190</v>
      </c>
      <c r="GQ425" s="319" t="s">
        <v>190</v>
      </c>
      <c r="GR425" s="319" t="s">
        <v>190</v>
      </c>
      <c r="GS425" s="319" t="s">
        <v>190</v>
      </c>
      <c r="GT425" s="319" t="s">
        <v>428</v>
      </c>
      <c r="GU425" s="319" t="s">
        <v>428</v>
      </c>
      <c r="GV425" s="319" t="s">
        <v>190</v>
      </c>
      <c r="GW425" s="319" t="s">
        <v>190</v>
      </c>
      <c r="GX425" s="319" t="s">
        <v>190</v>
      </c>
      <c r="GY425" s="319" t="s">
        <v>190</v>
      </c>
      <c r="GZ425" s="319" t="s">
        <v>428</v>
      </c>
      <c r="HA425" s="319" t="s">
        <v>190</v>
      </c>
      <c r="HB425" s="319" t="s">
        <v>190</v>
      </c>
      <c r="HC425" s="319" t="s">
        <v>190</v>
      </c>
      <c r="HD425" s="319" t="s">
        <v>173</v>
      </c>
      <c r="HE425" s="319" t="s">
        <v>190</v>
      </c>
      <c r="HF425" s="319" t="s">
        <v>190</v>
      </c>
      <c r="HG425" s="319" t="s">
        <v>190</v>
      </c>
      <c r="HH425" s="319" t="s">
        <v>190</v>
      </c>
      <c r="HI425" s="319" t="s">
        <v>190</v>
      </c>
      <c r="HJ425" s="319" t="s">
        <v>190</v>
      </c>
      <c r="HK425" s="319" t="s">
        <v>190</v>
      </c>
      <c r="HL425" s="319" t="s">
        <v>428</v>
      </c>
      <c r="HM425" s="319" t="s">
        <v>428</v>
      </c>
      <c r="HN425" s="319" t="s">
        <v>428</v>
      </c>
      <c r="HO425" s="319" t="s">
        <v>428</v>
      </c>
      <c r="HP425" s="319" t="s">
        <v>190</v>
      </c>
      <c r="HQ425" s="319" t="s">
        <v>190</v>
      </c>
      <c r="HR425" s="319" t="s">
        <v>190</v>
      </c>
      <c r="HS425" s="319" t="s">
        <v>190</v>
      </c>
      <c r="HT425" s="319" t="s">
        <v>190</v>
      </c>
      <c r="HU425" s="319" t="s">
        <v>190</v>
      </c>
      <c r="HV425" s="319" t="s">
        <v>190</v>
      </c>
      <c r="HW425" s="319" t="s">
        <v>190</v>
      </c>
      <c r="HX425" s="319" t="s">
        <v>190</v>
      </c>
      <c r="HY425" s="319" t="s">
        <v>190</v>
      </c>
      <c r="HZ425" s="319" t="s">
        <v>190</v>
      </c>
      <c r="IA425" s="319" t="s">
        <v>190</v>
      </c>
      <c r="IB425" s="319" t="s">
        <v>190</v>
      </c>
      <c r="IC425" s="319" t="s">
        <v>190</v>
      </c>
      <c r="ID425" s="319" t="s">
        <v>190</v>
      </c>
      <c r="IE425" s="319" t="s">
        <v>190</v>
      </c>
      <c r="IF425" s="319" t="s">
        <v>190</v>
      </c>
      <c r="IG425" s="319" t="s">
        <v>190</v>
      </c>
      <c r="IH425" s="319" t="s">
        <v>190</v>
      </c>
      <c r="II425" s="319" t="s">
        <v>190</v>
      </c>
      <c r="IJ425" s="319" t="s">
        <v>3196</v>
      </c>
      <c r="IK425" s="321">
        <v>42171</v>
      </c>
      <c r="IL425" s="321">
        <v>42173</v>
      </c>
      <c r="IM425" s="321">
        <v>42255</v>
      </c>
      <c r="IN425" s="319">
        <v>3</v>
      </c>
      <c r="IO425" s="319" t="s">
        <v>173</v>
      </c>
      <c r="IP425" s="319" t="s">
        <v>173</v>
      </c>
      <c r="IQ425" s="321" t="s">
        <v>173</v>
      </c>
      <c r="IR425" s="320" t="s">
        <v>173</v>
      </c>
      <c r="IS425" s="322" t="s">
        <v>173</v>
      </c>
      <c r="IT425" s="319" t="s">
        <v>173</v>
      </c>
    </row>
    <row r="426" spans="1:254" s="271" customFormat="1" x14ac:dyDescent="0.25">
      <c r="A426" s="318" t="str">
        <f>HYPERLINK("http://www.ofsted.gov.uk/inspection-reports/find-inspection-report/provider/ELS/134085 ","Ofsted School Webpage")</f>
        <v>Ofsted School Webpage</v>
      </c>
      <c r="B426" s="319">
        <v>134085</v>
      </c>
      <c r="C426" s="319">
        <v>8716003</v>
      </c>
      <c r="D426" s="319" t="s">
        <v>1788</v>
      </c>
      <c r="E426" s="319" t="s">
        <v>167</v>
      </c>
      <c r="F426" s="319" t="s">
        <v>81</v>
      </c>
      <c r="G426" s="319" t="s">
        <v>72</v>
      </c>
      <c r="H426" s="319" t="s">
        <v>72</v>
      </c>
      <c r="I426" s="319" t="s">
        <v>72</v>
      </c>
      <c r="J426" s="319" t="s">
        <v>424</v>
      </c>
      <c r="K426" s="319" t="s">
        <v>514</v>
      </c>
      <c r="L426" s="319" t="s">
        <v>514</v>
      </c>
      <c r="M426" s="319" t="s">
        <v>626</v>
      </c>
      <c r="N426" s="319" t="s">
        <v>626</v>
      </c>
      <c r="O426" s="319" t="s">
        <v>3197</v>
      </c>
      <c r="P426" s="319">
        <v>95</v>
      </c>
      <c r="Q426" s="319" t="s">
        <v>2766</v>
      </c>
      <c r="R426" s="320">
        <v>10039160</v>
      </c>
      <c r="S426" s="321">
        <v>43018</v>
      </c>
      <c r="T426" s="321">
        <v>43020</v>
      </c>
      <c r="U426" s="321">
        <v>43045</v>
      </c>
      <c r="V426" s="319" t="s">
        <v>425</v>
      </c>
      <c r="W426" s="319" t="s">
        <v>2767</v>
      </c>
      <c r="X426" s="319">
        <v>2</v>
      </c>
      <c r="Y426" s="319" t="s">
        <v>173</v>
      </c>
      <c r="Z426" s="319" t="s">
        <v>173</v>
      </c>
      <c r="AA426" s="319" t="s">
        <v>173</v>
      </c>
      <c r="AB426" s="319">
        <v>1</v>
      </c>
      <c r="AC426" s="319" t="s">
        <v>169</v>
      </c>
      <c r="AD426" s="319">
        <v>1</v>
      </c>
      <c r="AE426" s="319" t="s">
        <v>173</v>
      </c>
      <c r="AF426" s="319" t="s">
        <v>427</v>
      </c>
      <c r="AG426" s="319" t="s">
        <v>171</v>
      </c>
      <c r="AH426" s="319" t="s">
        <v>190</v>
      </c>
      <c r="AI426" s="319" t="s">
        <v>190</v>
      </c>
      <c r="AJ426" s="319" t="s">
        <v>190</v>
      </c>
      <c r="AK426" s="319" t="s">
        <v>190</v>
      </c>
      <c r="AL426" s="319" t="s">
        <v>190</v>
      </c>
      <c r="AM426" s="319" t="s">
        <v>190</v>
      </c>
      <c r="AN426" s="319" t="s">
        <v>190</v>
      </c>
      <c r="AO426" s="319" t="s">
        <v>190</v>
      </c>
      <c r="AP426" s="319" t="s">
        <v>190</v>
      </c>
      <c r="AQ426" s="319" t="s">
        <v>190</v>
      </c>
      <c r="AR426" s="319" t="s">
        <v>190</v>
      </c>
      <c r="AS426" s="319" t="s">
        <v>190</v>
      </c>
      <c r="AT426" s="319" t="s">
        <v>190</v>
      </c>
      <c r="AU426" s="319" t="s">
        <v>190</v>
      </c>
      <c r="AV426" s="319" t="s">
        <v>190</v>
      </c>
      <c r="AW426" s="319" t="s">
        <v>190</v>
      </c>
      <c r="AX426" s="319" t="s">
        <v>428</v>
      </c>
      <c r="AY426" s="319" t="s">
        <v>190</v>
      </c>
      <c r="AZ426" s="319" t="s">
        <v>190</v>
      </c>
      <c r="BA426" s="319" t="s">
        <v>190</v>
      </c>
      <c r="BB426" s="319" t="s">
        <v>428</v>
      </c>
      <c r="BC426" s="319" t="s">
        <v>428</v>
      </c>
      <c r="BD426" s="319" t="s">
        <v>428</v>
      </c>
      <c r="BE426" s="319" t="s">
        <v>428</v>
      </c>
      <c r="BF426" s="319" t="s">
        <v>190</v>
      </c>
      <c r="BG426" s="319" t="s">
        <v>428</v>
      </c>
      <c r="BH426" s="319" t="s">
        <v>190</v>
      </c>
      <c r="BI426" s="319" t="s">
        <v>190</v>
      </c>
      <c r="BJ426" s="319" t="s">
        <v>190</v>
      </c>
      <c r="BK426" s="319" t="s">
        <v>190</v>
      </c>
      <c r="BL426" s="319" t="s">
        <v>190</v>
      </c>
      <c r="BM426" s="319" t="s">
        <v>190</v>
      </c>
      <c r="BN426" s="319" t="s">
        <v>190</v>
      </c>
      <c r="BO426" s="319" t="s">
        <v>190</v>
      </c>
      <c r="BP426" s="319" t="s">
        <v>190</v>
      </c>
      <c r="BQ426" s="319" t="s">
        <v>190</v>
      </c>
      <c r="BR426" s="319" t="s">
        <v>190</v>
      </c>
      <c r="BS426" s="319" t="s">
        <v>190</v>
      </c>
      <c r="BT426" s="319" t="s">
        <v>190</v>
      </c>
      <c r="BU426" s="319" t="s">
        <v>190</v>
      </c>
      <c r="BV426" s="319" t="s">
        <v>190</v>
      </c>
      <c r="BW426" s="319" t="s">
        <v>190</v>
      </c>
      <c r="BX426" s="319" t="s">
        <v>190</v>
      </c>
      <c r="BY426" s="319" t="s">
        <v>190</v>
      </c>
      <c r="BZ426" s="319" t="s">
        <v>190</v>
      </c>
      <c r="CA426" s="319" t="s">
        <v>190</v>
      </c>
      <c r="CB426" s="319" t="s">
        <v>190</v>
      </c>
      <c r="CC426" s="319" t="s">
        <v>190</v>
      </c>
      <c r="CD426" s="319" t="s">
        <v>190</v>
      </c>
      <c r="CE426" s="319" t="s">
        <v>190</v>
      </c>
      <c r="CF426" s="319" t="s">
        <v>190</v>
      </c>
      <c r="CG426" s="319" t="s">
        <v>190</v>
      </c>
      <c r="CH426" s="319" t="s">
        <v>190</v>
      </c>
      <c r="CI426" s="319" t="s">
        <v>190</v>
      </c>
      <c r="CJ426" s="319" t="s">
        <v>190</v>
      </c>
      <c r="CK426" s="319" t="s">
        <v>190</v>
      </c>
      <c r="CL426" s="319" t="s">
        <v>190</v>
      </c>
      <c r="CM426" s="319" t="s">
        <v>190</v>
      </c>
      <c r="CN426" s="319" t="s">
        <v>428</v>
      </c>
      <c r="CO426" s="319" t="s">
        <v>428</v>
      </c>
      <c r="CP426" s="319" t="s">
        <v>428</v>
      </c>
      <c r="CQ426" s="319" t="s">
        <v>190</v>
      </c>
      <c r="CR426" s="319" t="s">
        <v>190</v>
      </c>
      <c r="CS426" s="319" t="s">
        <v>190</v>
      </c>
      <c r="CT426" s="319" t="s">
        <v>190</v>
      </c>
      <c r="CU426" s="319" t="s">
        <v>190</v>
      </c>
      <c r="CV426" s="319" t="s">
        <v>190</v>
      </c>
      <c r="CW426" s="319" t="s">
        <v>190</v>
      </c>
      <c r="CX426" s="319" t="s">
        <v>190</v>
      </c>
      <c r="CY426" s="319" t="s">
        <v>190</v>
      </c>
      <c r="CZ426" s="319" t="s">
        <v>190</v>
      </c>
      <c r="DA426" s="319" t="s">
        <v>190</v>
      </c>
      <c r="DB426" s="319" t="s">
        <v>190</v>
      </c>
      <c r="DC426" s="319" t="s">
        <v>190</v>
      </c>
      <c r="DD426" s="319" t="s">
        <v>190</v>
      </c>
      <c r="DE426" s="319" t="s">
        <v>190</v>
      </c>
      <c r="DF426" s="319" t="s">
        <v>190</v>
      </c>
      <c r="DG426" s="319" t="s">
        <v>190</v>
      </c>
      <c r="DH426" s="319" t="s">
        <v>190</v>
      </c>
      <c r="DI426" s="319" t="s">
        <v>190</v>
      </c>
      <c r="DJ426" s="319" t="s">
        <v>190</v>
      </c>
      <c r="DK426" s="319" t="s">
        <v>190</v>
      </c>
      <c r="DL426" s="319" t="s">
        <v>190</v>
      </c>
      <c r="DM426" s="319" t="s">
        <v>190</v>
      </c>
      <c r="DN426" s="319" t="s">
        <v>190</v>
      </c>
      <c r="DO426" s="319" t="s">
        <v>190</v>
      </c>
      <c r="DP426" s="319" t="s">
        <v>190</v>
      </c>
      <c r="DQ426" s="319" t="s">
        <v>190</v>
      </c>
      <c r="DR426" s="319" t="s">
        <v>190</v>
      </c>
      <c r="DS426" s="319" t="s">
        <v>190</v>
      </c>
      <c r="DT426" s="319" t="s">
        <v>190</v>
      </c>
      <c r="DU426" s="319" t="s">
        <v>190</v>
      </c>
      <c r="DV426" s="319" t="s">
        <v>173</v>
      </c>
      <c r="DW426" s="319" t="s">
        <v>190</v>
      </c>
      <c r="DX426" s="319" t="s">
        <v>190</v>
      </c>
      <c r="DY426" s="319" t="s">
        <v>190</v>
      </c>
      <c r="DZ426" s="319" t="s">
        <v>190</v>
      </c>
      <c r="EA426" s="319" t="s">
        <v>190</v>
      </c>
      <c r="EB426" s="319" t="s">
        <v>190</v>
      </c>
      <c r="EC426" s="319" t="s">
        <v>190</v>
      </c>
      <c r="ED426" s="319" t="s">
        <v>190</v>
      </c>
      <c r="EE426" s="319" t="s">
        <v>190</v>
      </c>
      <c r="EF426" s="319" t="s">
        <v>190</v>
      </c>
      <c r="EG426" s="319" t="s">
        <v>190</v>
      </c>
      <c r="EH426" s="319" t="s">
        <v>190</v>
      </c>
      <c r="EI426" s="319" t="s">
        <v>190</v>
      </c>
      <c r="EJ426" s="319" t="s">
        <v>190</v>
      </c>
      <c r="EK426" s="319" t="s">
        <v>190</v>
      </c>
      <c r="EL426" s="319" t="s">
        <v>190</v>
      </c>
      <c r="EM426" s="319" t="s">
        <v>190</v>
      </c>
      <c r="EN426" s="319" t="s">
        <v>190</v>
      </c>
      <c r="EO426" s="319" t="s">
        <v>190</v>
      </c>
      <c r="EP426" s="319" t="s">
        <v>190</v>
      </c>
      <c r="EQ426" s="319" t="s">
        <v>190</v>
      </c>
      <c r="ER426" s="319" t="s">
        <v>190</v>
      </c>
      <c r="ES426" s="319" t="s">
        <v>190</v>
      </c>
      <c r="ET426" s="319" t="s">
        <v>190</v>
      </c>
      <c r="EU426" s="319" t="s">
        <v>190</v>
      </c>
      <c r="EV426" s="319" t="s">
        <v>190</v>
      </c>
      <c r="EW426" s="319" t="s">
        <v>190</v>
      </c>
      <c r="EX426" s="319" t="s">
        <v>190</v>
      </c>
      <c r="EY426" s="319" t="s">
        <v>190</v>
      </c>
      <c r="EZ426" s="319" t="s">
        <v>190</v>
      </c>
      <c r="FA426" s="319" t="s">
        <v>190</v>
      </c>
      <c r="FB426" s="319" t="s">
        <v>190</v>
      </c>
      <c r="FC426" s="319" t="s">
        <v>190</v>
      </c>
      <c r="FD426" s="319" t="s">
        <v>190</v>
      </c>
      <c r="FE426" s="319" t="s">
        <v>190</v>
      </c>
      <c r="FF426" s="319" t="s">
        <v>190</v>
      </c>
      <c r="FG426" s="319" t="s">
        <v>190</v>
      </c>
      <c r="FH426" s="319" t="s">
        <v>190</v>
      </c>
      <c r="FI426" s="319" t="s">
        <v>190</v>
      </c>
      <c r="FJ426" s="319" t="s">
        <v>190</v>
      </c>
      <c r="FK426" s="319" t="s">
        <v>190</v>
      </c>
      <c r="FL426" s="319" t="s">
        <v>190</v>
      </c>
      <c r="FM426" s="319" t="s">
        <v>190</v>
      </c>
      <c r="FN426" s="319" t="s">
        <v>190</v>
      </c>
      <c r="FO426" s="319" t="s">
        <v>428</v>
      </c>
      <c r="FP426" s="319" t="s">
        <v>190</v>
      </c>
      <c r="FQ426" s="319" t="s">
        <v>190</v>
      </c>
      <c r="FR426" s="319" t="s">
        <v>190</v>
      </c>
      <c r="FS426" s="319" t="s">
        <v>428</v>
      </c>
      <c r="FT426" s="319" t="s">
        <v>190</v>
      </c>
      <c r="FU426" s="319" t="s">
        <v>190</v>
      </c>
      <c r="FV426" s="319" t="s">
        <v>190</v>
      </c>
      <c r="FW426" s="319" t="s">
        <v>190</v>
      </c>
      <c r="FX426" s="319" t="s">
        <v>190</v>
      </c>
      <c r="FY426" s="319" t="s">
        <v>190</v>
      </c>
      <c r="FZ426" s="319" t="s">
        <v>190</v>
      </c>
      <c r="GA426" s="319" t="s">
        <v>190</v>
      </c>
      <c r="GB426" s="319" t="s">
        <v>190</v>
      </c>
      <c r="GC426" s="319" t="s">
        <v>190</v>
      </c>
      <c r="GD426" s="319" t="s">
        <v>190</v>
      </c>
      <c r="GE426" s="319" t="s">
        <v>190</v>
      </c>
      <c r="GF426" s="319" t="s">
        <v>190</v>
      </c>
      <c r="GG426" s="319" t="s">
        <v>190</v>
      </c>
      <c r="GH426" s="319" t="s">
        <v>190</v>
      </c>
      <c r="GI426" s="319" t="s">
        <v>190</v>
      </c>
      <c r="GJ426" s="319" t="s">
        <v>190</v>
      </c>
      <c r="GK426" s="319" t="s">
        <v>428</v>
      </c>
      <c r="GL426" s="319" t="s">
        <v>190</v>
      </c>
      <c r="GM426" s="319" t="s">
        <v>190</v>
      </c>
      <c r="GN426" s="319" t="s">
        <v>190</v>
      </c>
      <c r="GO426" s="319" t="s">
        <v>190</v>
      </c>
      <c r="GP426" s="319" t="s">
        <v>190</v>
      </c>
      <c r="GQ426" s="319" t="s">
        <v>190</v>
      </c>
      <c r="GR426" s="319" t="s">
        <v>190</v>
      </c>
      <c r="GS426" s="319" t="s">
        <v>190</v>
      </c>
      <c r="GT426" s="319" t="s">
        <v>428</v>
      </c>
      <c r="GU426" s="319" t="s">
        <v>428</v>
      </c>
      <c r="GV426" s="319" t="s">
        <v>190</v>
      </c>
      <c r="GW426" s="319" t="s">
        <v>190</v>
      </c>
      <c r="GX426" s="319" t="s">
        <v>190</v>
      </c>
      <c r="GY426" s="319" t="s">
        <v>190</v>
      </c>
      <c r="GZ426" s="319" t="s">
        <v>190</v>
      </c>
      <c r="HA426" s="319" t="s">
        <v>190</v>
      </c>
      <c r="HB426" s="319" t="s">
        <v>190</v>
      </c>
      <c r="HC426" s="319" t="s">
        <v>190</v>
      </c>
      <c r="HD426" s="319" t="s">
        <v>190</v>
      </c>
      <c r="HE426" s="319" t="s">
        <v>190</v>
      </c>
      <c r="HF426" s="319" t="s">
        <v>190</v>
      </c>
      <c r="HG426" s="319" t="s">
        <v>190</v>
      </c>
      <c r="HH426" s="319" t="s">
        <v>190</v>
      </c>
      <c r="HI426" s="319" t="s">
        <v>190</v>
      </c>
      <c r="HJ426" s="319" t="s">
        <v>190</v>
      </c>
      <c r="HK426" s="319" t="s">
        <v>190</v>
      </c>
      <c r="HL426" s="319" t="s">
        <v>190</v>
      </c>
      <c r="HM426" s="319" t="s">
        <v>190</v>
      </c>
      <c r="HN426" s="319" t="s">
        <v>190</v>
      </c>
      <c r="HO426" s="319" t="s">
        <v>190</v>
      </c>
      <c r="HP426" s="319" t="s">
        <v>190</v>
      </c>
      <c r="HQ426" s="319" t="s">
        <v>190</v>
      </c>
      <c r="HR426" s="319" t="s">
        <v>190</v>
      </c>
      <c r="HS426" s="319" t="s">
        <v>190</v>
      </c>
      <c r="HT426" s="319" t="s">
        <v>190</v>
      </c>
      <c r="HU426" s="319" t="s">
        <v>190</v>
      </c>
      <c r="HV426" s="319" t="s">
        <v>190</v>
      </c>
      <c r="HW426" s="319" t="s">
        <v>190</v>
      </c>
      <c r="HX426" s="319" t="s">
        <v>190</v>
      </c>
      <c r="HY426" s="319" t="s">
        <v>190</v>
      </c>
      <c r="HZ426" s="319" t="s">
        <v>190</v>
      </c>
      <c r="IA426" s="319" t="s">
        <v>190</v>
      </c>
      <c r="IB426" s="319" t="s">
        <v>190</v>
      </c>
      <c r="IC426" s="319" t="s">
        <v>190</v>
      </c>
      <c r="ID426" s="319" t="s">
        <v>190</v>
      </c>
      <c r="IE426" s="319" t="s">
        <v>190</v>
      </c>
      <c r="IF426" s="319" t="s">
        <v>190</v>
      </c>
      <c r="IG426" s="319" t="s">
        <v>190</v>
      </c>
      <c r="IH426" s="319" t="s">
        <v>190</v>
      </c>
      <c r="II426" s="319" t="s">
        <v>190</v>
      </c>
      <c r="IJ426" s="319">
        <v>10006763</v>
      </c>
      <c r="IK426" s="321">
        <v>42311</v>
      </c>
      <c r="IL426" s="321">
        <v>42313</v>
      </c>
      <c r="IM426" s="321">
        <v>42339</v>
      </c>
      <c r="IN426" s="319">
        <v>3</v>
      </c>
      <c r="IO426" s="319" t="s">
        <v>173</v>
      </c>
      <c r="IP426" s="319" t="s">
        <v>173</v>
      </c>
      <c r="IQ426" s="319" t="s">
        <v>173</v>
      </c>
      <c r="IR426" s="320" t="s">
        <v>173</v>
      </c>
      <c r="IS426" s="320" t="s">
        <v>173</v>
      </c>
      <c r="IT426" s="319" t="s">
        <v>173</v>
      </c>
    </row>
    <row r="427" spans="1:254" s="271" customFormat="1" x14ac:dyDescent="0.25">
      <c r="A427" s="318" t="str">
        <f>HYPERLINK("http://www.ofsted.gov.uk/inspection-reports/find-inspection-report/provider/ELS/134087 ","Ofsted School Webpage")</f>
        <v>Ofsted School Webpage</v>
      </c>
      <c r="B427" s="319">
        <v>134087</v>
      </c>
      <c r="C427" s="319">
        <v>9196243</v>
      </c>
      <c r="D427" s="319" t="s">
        <v>1790</v>
      </c>
      <c r="E427" s="319" t="s">
        <v>167</v>
      </c>
      <c r="F427" s="319" t="s">
        <v>81</v>
      </c>
      <c r="G427" s="319" t="s">
        <v>81</v>
      </c>
      <c r="H427" s="319" t="s">
        <v>81</v>
      </c>
      <c r="I427" s="319" t="s">
        <v>78</v>
      </c>
      <c r="J427" s="319" t="s">
        <v>424</v>
      </c>
      <c r="K427" s="319" t="s">
        <v>451</v>
      </c>
      <c r="L427" s="319" t="s">
        <v>451</v>
      </c>
      <c r="M427" s="319" t="s">
        <v>489</v>
      </c>
      <c r="N427" s="319" t="s">
        <v>2970</v>
      </c>
      <c r="O427" s="319" t="s">
        <v>1791</v>
      </c>
      <c r="P427" s="319">
        <v>72</v>
      </c>
      <c r="Q427" s="319" t="s">
        <v>2776</v>
      </c>
      <c r="R427" s="320">
        <v>10033603</v>
      </c>
      <c r="S427" s="321">
        <v>42871</v>
      </c>
      <c r="T427" s="321">
        <v>42873</v>
      </c>
      <c r="U427" s="321">
        <v>42912</v>
      </c>
      <c r="V427" s="319" t="s">
        <v>425</v>
      </c>
      <c r="W427" s="319" t="s">
        <v>2767</v>
      </c>
      <c r="X427" s="319">
        <v>2</v>
      </c>
      <c r="Y427" s="319" t="s">
        <v>173</v>
      </c>
      <c r="Z427" s="319" t="s">
        <v>173</v>
      </c>
      <c r="AA427" s="319" t="s">
        <v>173</v>
      </c>
      <c r="AB427" s="319">
        <v>2</v>
      </c>
      <c r="AC427" s="319" t="s">
        <v>169</v>
      </c>
      <c r="AD427" s="319" t="s">
        <v>173</v>
      </c>
      <c r="AE427" s="319">
        <v>2</v>
      </c>
      <c r="AF427" s="319" t="s">
        <v>173</v>
      </c>
      <c r="AG427" s="319" t="s">
        <v>171</v>
      </c>
      <c r="AH427" s="319" t="s">
        <v>190</v>
      </c>
      <c r="AI427" s="319" t="s">
        <v>190</v>
      </c>
      <c r="AJ427" s="319" t="s">
        <v>190</v>
      </c>
      <c r="AK427" s="319" t="s">
        <v>190</v>
      </c>
      <c r="AL427" s="319" t="s">
        <v>190</v>
      </c>
      <c r="AM427" s="319" t="s">
        <v>190</v>
      </c>
      <c r="AN427" s="319" t="s">
        <v>190</v>
      </c>
      <c r="AO427" s="319" t="s">
        <v>190</v>
      </c>
      <c r="AP427" s="319" t="s">
        <v>190</v>
      </c>
      <c r="AQ427" s="319" t="s">
        <v>190</v>
      </c>
      <c r="AR427" s="319" t="s">
        <v>190</v>
      </c>
      <c r="AS427" s="319" t="s">
        <v>190</v>
      </c>
      <c r="AT427" s="319" t="s">
        <v>190</v>
      </c>
      <c r="AU427" s="319" t="s">
        <v>190</v>
      </c>
      <c r="AV427" s="319" t="s">
        <v>190</v>
      </c>
      <c r="AW427" s="319" t="s">
        <v>190</v>
      </c>
      <c r="AX427" s="319" t="s">
        <v>429</v>
      </c>
      <c r="AY427" s="319" t="s">
        <v>190</v>
      </c>
      <c r="AZ427" s="319" t="s">
        <v>190</v>
      </c>
      <c r="BA427" s="319" t="s">
        <v>190</v>
      </c>
      <c r="BB427" s="319" t="s">
        <v>190</v>
      </c>
      <c r="BC427" s="319" t="s">
        <v>190</v>
      </c>
      <c r="BD427" s="319" t="s">
        <v>190</v>
      </c>
      <c r="BE427" s="319" t="s">
        <v>190</v>
      </c>
      <c r="BF427" s="319" t="s">
        <v>429</v>
      </c>
      <c r="BG427" s="319" t="s">
        <v>190</v>
      </c>
      <c r="BH427" s="319" t="s">
        <v>190</v>
      </c>
      <c r="BI427" s="319" t="s">
        <v>190</v>
      </c>
      <c r="BJ427" s="319" t="s">
        <v>190</v>
      </c>
      <c r="BK427" s="319" t="s">
        <v>190</v>
      </c>
      <c r="BL427" s="319" t="s">
        <v>190</v>
      </c>
      <c r="BM427" s="319" t="s">
        <v>190</v>
      </c>
      <c r="BN427" s="319" t="s">
        <v>190</v>
      </c>
      <c r="BO427" s="319" t="s">
        <v>190</v>
      </c>
      <c r="BP427" s="319" t="s">
        <v>190</v>
      </c>
      <c r="BQ427" s="319" t="s">
        <v>190</v>
      </c>
      <c r="BR427" s="319" t="s">
        <v>190</v>
      </c>
      <c r="BS427" s="319" t="s">
        <v>190</v>
      </c>
      <c r="BT427" s="319" t="s">
        <v>190</v>
      </c>
      <c r="BU427" s="319" t="s">
        <v>190</v>
      </c>
      <c r="BV427" s="319" t="s">
        <v>190</v>
      </c>
      <c r="BW427" s="319" t="s">
        <v>190</v>
      </c>
      <c r="BX427" s="319" t="s">
        <v>190</v>
      </c>
      <c r="BY427" s="319" t="s">
        <v>190</v>
      </c>
      <c r="BZ427" s="319" t="s">
        <v>190</v>
      </c>
      <c r="CA427" s="319" t="s">
        <v>190</v>
      </c>
      <c r="CB427" s="319" t="s">
        <v>190</v>
      </c>
      <c r="CC427" s="319" t="s">
        <v>190</v>
      </c>
      <c r="CD427" s="319" t="s">
        <v>190</v>
      </c>
      <c r="CE427" s="319" t="s">
        <v>190</v>
      </c>
      <c r="CF427" s="319" t="s">
        <v>190</v>
      </c>
      <c r="CG427" s="319" t="s">
        <v>190</v>
      </c>
      <c r="CH427" s="319" t="s">
        <v>190</v>
      </c>
      <c r="CI427" s="319" t="s">
        <v>190</v>
      </c>
      <c r="CJ427" s="319" t="s">
        <v>190</v>
      </c>
      <c r="CK427" s="319" t="s">
        <v>190</v>
      </c>
      <c r="CL427" s="319" t="s">
        <v>190</v>
      </c>
      <c r="CM427" s="319" t="s">
        <v>190</v>
      </c>
      <c r="CN427" s="319" t="s">
        <v>190</v>
      </c>
      <c r="CO427" s="319" t="s">
        <v>429</v>
      </c>
      <c r="CP427" s="319" t="s">
        <v>429</v>
      </c>
      <c r="CQ427" s="319" t="s">
        <v>190</v>
      </c>
      <c r="CR427" s="319" t="s">
        <v>190</v>
      </c>
      <c r="CS427" s="319" t="s">
        <v>190</v>
      </c>
      <c r="CT427" s="319" t="s">
        <v>190</v>
      </c>
      <c r="CU427" s="319" t="s">
        <v>190</v>
      </c>
      <c r="CV427" s="319" t="s">
        <v>190</v>
      </c>
      <c r="CW427" s="319" t="s">
        <v>190</v>
      </c>
      <c r="CX427" s="319" t="s">
        <v>190</v>
      </c>
      <c r="CY427" s="319" t="s">
        <v>190</v>
      </c>
      <c r="CZ427" s="319" t="s">
        <v>190</v>
      </c>
      <c r="DA427" s="319" t="s">
        <v>190</v>
      </c>
      <c r="DB427" s="319" t="s">
        <v>190</v>
      </c>
      <c r="DC427" s="319" t="s">
        <v>190</v>
      </c>
      <c r="DD427" s="319" t="s">
        <v>190</v>
      </c>
      <c r="DE427" s="319" t="s">
        <v>190</v>
      </c>
      <c r="DF427" s="319" t="s">
        <v>190</v>
      </c>
      <c r="DG427" s="319" t="s">
        <v>190</v>
      </c>
      <c r="DH427" s="319" t="s">
        <v>190</v>
      </c>
      <c r="DI427" s="319" t="s">
        <v>190</v>
      </c>
      <c r="DJ427" s="319" t="s">
        <v>190</v>
      </c>
      <c r="DK427" s="319" t="s">
        <v>190</v>
      </c>
      <c r="DL427" s="319" t="s">
        <v>190</v>
      </c>
      <c r="DM427" s="319" t="s">
        <v>190</v>
      </c>
      <c r="DN427" s="319" t="s">
        <v>429</v>
      </c>
      <c r="DO427" s="319" t="s">
        <v>190</v>
      </c>
      <c r="DP427" s="319" t="s">
        <v>429</v>
      </c>
      <c r="DQ427" s="319" t="s">
        <v>429</v>
      </c>
      <c r="DR427" s="319" t="s">
        <v>429</v>
      </c>
      <c r="DS427" s="319" t="s">
        <v>429</v>
      </c>
      <c r="DT427" s="319" t="s">
        <v>429</v>
      </c>
      <c r="DU427" s="319" t="s">
        <v>429</v>
      </c>
      <c r="DV427" s="319" t="s">
        <v>173</v>
      </c>
      <c r="DW427" s="319" t="s">
        <v>429</v>
      </c>
      <c r="DX427" s="319" t="s">
        <v>429</v>
      </c>
      <c r="DY427" s="319" t="s">
        <v>429</v>
      </c>
      <c r="DZ427" s="319" t="s">
        <v>429</v>
      </c>
      <c r="EA427" s="319" t="s">
        <v>429</v>
      </c>
      <c r="EB427" s="319" t="s">
        <v>429</v>
      </c>
      <c r="EC427" s="319" t="s">
        <v>429</v>
      </c>
      <c r="ED427" s="319" t="s">
        <v>190</v>
      </c>
      <c r="EE427" s="319" t="s">
        <v>429</v>
      </c>
      <c r="EF427" s="319" t="s">
        <v>429</v>
      </c>
      <c r="EG427" s="319" t="s">
        <v>429</v>
      </c>
      <c r="EH427" s="319" t="s">
        <v>429</v>
      </c>
      <c r="EI427" s="319" t="s">
        <v>429</v>
      </c>
      <c r="EJ427" s="319" t="s">
        <v>429</v>
      </c>
      <c r="EK427" s="319" t="s">
        <v>429</v>
      </c>
      <c r="EL427" s="319" t="s">
        <v>429</v>
      </c>
      <c r="EM427" s="319" t="s">
        <v>429</v>
      </c>
      <c r="EN427" s="319" t="s">
        <v>190</v>
      </c>
      <c r="EO427" s="319" t="s">
        <v>190</v>
      </c>
      <c r="EP427" s="319" t="s">
        <v>190</v>
      </c>
      <c r="EQ427" s="319" t="s">
        <v>190</v>
      </c>
      <c r="ER427" s="319" t="s">
        <v>190</v>
      </c>
      <c r="ES427" s="319" t="s">
        <v>190</v>
      </c>
      <c r="ET427" s="319" t="s">
        <v>190</v>
      </c>
      <c r="EU427" s="319" t="s">
        <v>190</v>
      </c>
      <c r="EV427" s="319" t="s">
        <v>190</v>
      </c>
      <c r="EW427" s="319" t="s">
        <v>190</v>
      </c>
      <c r="EX427" s="319" t="s">
        <v>190</v>
      </c>
      <c r="EY427" s="319" t="s">
        <v>190</v>
      </c>
      <c r="EZ427" s="319" t="s">
        <v>190</v>
      </c>
      <c r="FA427" s="319" t="s">
        <v>190</v>
      </c>
      <c r="FB427" s="319" t="s">
        <v>429</v>
      </c>
      <c r="FC427" s="319" t="s">
        <v>429</v>
      </c>
      <c r="FD427" s="319" t="s">
        <v>429</v>
      </c>
      <c r="FE427" s="319" t="s">
        <v>429</v>
      </c>
      <c r="FF427" s="319" t="s">
        <v>429</v>
      </c>
      <c r="FG427" s="319" t="s">
        <v>429</v>
      </c>
      <c r="FH427" s="319" t="s">
        <v>429</v>
      </c>
      <c r="FI427" s="319" t="s">
        <v>429</v>
      </c>
      <c r="FJ427" s="319" t="s">
        <v>429</v>
      </c>
      <c r="FK427" s="319" t="s">
        <v>429</v>
      </c>
      <c r="FL427" s="319" t="s">
        <v>190</v>
      </c>
      <c r="FM427" s="319" t="s">
        <v>190</v>
      </c>
      <c r="FN427" s="319" t="s">
        <v>190</v>
      </c>
      <c r="FO427" s="319" t="s">
        <v>190</v>
      </c>
      <c r="FP427" s="319" t="s">
        <v>190</v>
      </c>
      <c r="FQ427" s="319" t="s">
        <v>190</v>
      </c>
      <c r="FR427" s="319" t="s">
        <v>190</v>
      </c>
      <c r="FS427" s="319" t="s">
        <v>190</v>
      </c>
      <c r="FT427" s="319" t="s">
        <v>190</v>
      </c>
      <c r="FU427" s="319" t="s">
        <v>190</v>
      </c>
      <c r="FV427" s="319" t="s">
        <v>190</v>
      </c>
      <c r="FW427" s="319" t="s">
        <v>190</v>
      </c>
      <c r="FX427" s="319" t="s">
        <v>190</v>
      </c>
      <c r="FY427" s="319" t="s">
        <v>190</v>
      </c>
      <c r="FZ427" s="319" t="s">
        <v>190</v>
      </c>
      <c r="GA427" s="319" t="s">
        <v>190</v>
      </c>
      <c r="GB427" s="319" t="s">
        <v>190</v>
      </c>
      <c r="GC427" s="319" t="s">
        <v>190</v>
      </c>
      <c r="GD427" s="319" t="s">
        <v>190</v>
      </c>
      <c r="GE427" s="319" t="s">
        <v>190</v>
      </c>
      <c r="GF427" s="319" t="s">
        <v>190</v>
      </c>
      <c r="GG427" s="319" t="s">
        <v>190</v>
      </c>
      <c r="GH427" s="319" t="s">
        <v>190</v>
      </c>
      <c r="GI427" s="319" t="s">
        <v>190</v>
      </c>
      <c r="GJ427" s="319" t="s">
        <v>190</v>
      </c>
      <c r="GK427" s="319" t="s">
        <v>190</v>
      </c>
      <c r="GL427" s="319" t="s">
        <v>190</v>
      </c>
      <c r="GM427" s="319" t="s">
        <v>190</v>
      </c>
      <c r="GN427" s="319" t="s">
        <v>190</v>
      </c>
      <c r="GO427" s="319" t="s">
        <v>190</v>
      </c>
      <c r="GP427" s="319" t="s">
        <v>190</v>
      </c>
      <c r="GQ427" s="319" t="s">
        <v>190</v>
      </c>
      <c r="GR427" s="319" t="s">
        <v>190</v>
      </c>
      <c r="GS427" s="319" t="s">
        <v>190</v>
      </c>
      <c r="GT427" s="319" t="s">
        <v>190</v>
      </c>
      <c r="GU427" s="319" t="s">
        <v>190</v>
      </c>
      <c r="GV427" s="319" t="s">
        <v>190</v>
      </c>
      <c r="GW427" s="319" t="s">
        <v>190</v>
      </c>
      <c r="GX427" s="319" t="s">
        <v>190</v>
      </c>
      <c r="GY427" s="319" t="s">
        <v>190</v>
      </c>
      <c r="GZ427" s="319" t="s">
        <v>190</v>
      </c>
      <c r="HA427" s="319" t="s">
        <v>429</v>
      </c>
      <c r="HB427" s="319" t="s">
        <v>190</v>
      </c>
      <c r="HC427" s="319" t="s">
        <v>190</v>
      </c>
      <c r="HD427" s="319" t="s">
        <v>190</v>
      </c>
      <c r="HE427" s="319" t="s">
        <v>190</v>
      </c>
      <c r="HF427" s="319" t="s">
        <v>190</v>
      </c>
      <c r="HG427" s="319" t="s">
        <v>190</v>
      </c>
      <c r="HH427" s="319" t="s">
        <v>190</v>
      </c>
      <c r="HI427" s="319" t="s">
        <v>190</v>
      </c>
      <c r="HJ427" s="319" t="s">
        <v>190</v>
      </c>
      <c r="HK427" s="319" t="s">
        <v>190</v>
      </c>
      <c r="HL427" s="319" t="s">
        <v>190</v>
      </c>
      <c r="HM427" s="319" t="s">
        <v>190</v>
      </c>
      <c r="HN427" s="319" t="s">
        <v>190</v>
      </c>
      <c r="HO427" s="319" t="s">
        <v>190</v>
      </c>
      <c r="HP427" s="319" t="s">
        <v>190</v>
      </c>
      <c r="HQ427" s="319" t="s">
        <v>190</v>
      </c>
      <c r="HR427" s="319" t="s">
        <v>190</v>
      </c>
      <c r="HS427" s="319" t="s">
        <v>190</v>
      </c>
      <c r="HT427" s="319" t="s">
        <v>190</v>
      </c>
      <c r="HU427" s="319" t="s">
        <v>190</v>
      </c>
      <c r="HV427" s="319" t="s">
        <v>190</v>
      </c>
      <c r="HW427" s="319" t="s">
        <v>190</v>
      </c>
      <c r="HX427" s="319" t="s">
        <v>190</v>
      </c>
      <c r="HY427" s="319" t="s">
        <v>190</v>
      </c>
      <c r="HZ427" s="319" t="s">
        <v>190</v>
      </c>
      <c r="IA427" s="319" t="s">
        <v>190</v>
      </c>
      <c r="IB427" s="319" t="s">
        <v>190</v>
      </c>
      <c r="IC427" s="319" t="s">
        <v>190</v>
      </c>
      <c r="ID427" s="319" t="s">
        <v>190</v>
      </c>
      <c r="IE427" s="319" t="s">
        <v>190</v>
      </c>
      <c r="IF427" s="319" t="s">
        <v>190</v>
      </c>
      <c r="IG427" s="319" t="s">
        <v>190</v>
      </c>
      <c r="IH427" s="319" t="s">
        <v>190</v>
      </c>
      <c r="II427" s="319" t="s">
        <v>190</v>
      </c>
      <c r="IJ427" s="319" t="s">
        <v>3198</v>
      </c>
      <c r="IK427" s="321">
        <v>41709</v>
      </c>
      <c r="IL427" s="321">
        <v>41711</v>
      </c>
      <c r="IM427" s="321">
        <v>41730</v>
      </c>
      <c r="IN427" s="319">
        <v>2</v>
      </c>
      <c r="IO427" s="319" t="s">
        <v>173</v>
      </c>
      <c r="IP427" s="319" t="s">
        <v>173</v>
      </c>
      <c r="IQ427" s="321" t="s">
        <v>173</v>
      </c>
      <c r="IR427" s="320" t="s">
        <v>173</v>
      </c>
      <c r="IS427" s="322" t="s">
        <v>173</v>
      </c>
      <c r="IT427" s="319" t="s">
        <v>173</v>
      </c>
    </row>
    <row r="428" spans="1:254" s="271" customFormat="1" x14ac:dyDescent="0.25">
      <c r="A428" s="318" t="str">
        <f>HYPERLINK("http://www.ofsted.gov.uk/inspection-reports/find-inspection-report/provider/ELS/134091 ","Ofsted School Webpage")</f>
        <v>Ofsted School Webpage</v>
      </c>
      <c r="B428" s="319">
        <v>134091</v>
      </c>
      <c r="C428" s="319">
        <v>3306105</v>
      </c>
      <c r="D428" s="319" t="s">
        <v>812</v>
      </c>
      <c r="E428" s="319" t="s">
        <v>167</v>
      </c>
      <c r="F428" s="319" t="s">
        <v>81</v>
      </c>
      <c r="G428" s="319" t="s">
        <v>59</v>
      </c>
      <c r="H428" s="319" t="s">
        <v>59</v>
      </c>
      <c r="I428" s="319" t="s">
        <v>59</v>
      </c>
      <c r="J428" s="319" t="s">
        <v>424</v>
      </c>
      <c r="K428" s="319" t="s">
        <v>437</v>
      </c>
      <c r="L428" s="319" t="s">
        <v>437</v>
      </c>
      <c r="M428" s="319" t="s">
        <v>813</v>
      </c>
      <c r="N428" s="319" t="s">
        <v>2858</v>
      </c>
      <c r="O428" s="319" t="s">
        <v>814</v>
      </c>
      <c r="P428" s="319">
        <v>39</v>
      </c>
      <c r="Q428" s="319" t="s">
        <v>2766</v>
      </c>
      <c r="R428" s="320">
        <v>10056216</v>
      </c>
      <c r="S428" s="321">
        <v>43480</v>
      </c>
      <c r="T428" s="321">
        <v>43482</v>
      </c>
      <c r="U428" s="321">
        <v>43528</v>
      </c>
      <c r="V428" s="319" t="s">
        <v>425</v>
      </c>
      <c r="W428" s="319" t="s">
        <v>2767</v>
      </c>
      <c r="X428" s="319">
        <v>1</v>
      </c>
      <c r="Y428" s="319" t="s">
        <v>173</v>
      </c>
      <c r="Z428" s="319" t="s">
        <v>173</v>
      </c>
      <c r="AA428" s="319" t="s">
        <v>173</v>
      </c>
      <c r="AB428" s="319">
        <v>1</v>
      </c>
      <c r="AC428" s="319" t="s">
        <v>169</v>
      </c>
      <c r="AD428" s="319">
        <v>1</v>
      </c>
      <c r="AE428" s="319" t="s">
        <v>173</v>
      </c>
      <c r="AF428" s="319" t="s">
        <v>427</v>
      </c>
      <c r="AG428" s="319" t="s">
        <v>171</v>
      </c>
      <c r="AH428" s="319" t="s">
        <v>190</v>
      </c>
      <c r="AI428" s="319" t="s">
        <v>190</v>
      </c>
      <c r="AJ428" s="319" t="s">
        <v>190</v>
      </c>
      <c r="AK428" s="319" t="s">
        <v>190</v>
      </c>
      <c r="AL428" s="319" t="s">
        <v>190</v>
      </c>
      <c r="AM428" s="319" t="s">
        <v>190</v>
      </c>
      <c r="AN428" s="319" t="s">
        <v>190</v>
      </c>
      <c r="AO428" s="319" t="s">
        <v>190</v>
      </c>
      <c r="AP428" s="319" t="s">
        <v>190</v>
      </c>
      <c r="AQ428" s="319" t="s">
        <v>190</v>
      </c>
      <c r="AR428" s="319" t="s">
        <v>190</v>
      </c>
      <c r="AS428" s="319" t="s">
        <v>190</v>
      </c>
      <c r="AT428" s="319" t="s">
        <v>190</v>
      </c>
      <c r="AU428" s="319" t="s">
        <v>190</v>
      </c>
      <c r="AV428" s="319" t="s">
        <v>190</v>
      </c>
      <c r="AW428" s="319" t="s">
        <v>190</v>
      </c>
      <c r="AX428" s="319" t="s">
        <v>428</v>
      </c>
      <c r="AY428" s="319" t="s">
        <v>190</v>
      </c>
      <c r="AZ428" s="319" t="s">
        <v>190</v>
      </c>
      <c r="BA428" s="319" t="s">
        <v>190</v>
      </c>
      <c r="BB428" s="319" t="s">
        <v>428</v>
      </c>
      <c r="BC428" s="319" t="s">
        <v>428</v>
      </c>
      <c r="BD428" s="319" t="s">
        <v>428</v>
      </c>
      <c r="BE428" s="319" t="s">
        <v>428</v>
      </c>
      <c r="BF428" s="319" t="s">
        <v>190</v>
      </c>
      <c r="BG428" s="319" t="s">
        <v>428</v>
      </c>
      <c r="BH428" s="319" t="s">
        <v>190</v>
      </c>
      <c r="BI428" s="319" t="s">
        <v>190</v>
      </c>
      <c r="BJ428" s="319" t="s">
        <v>190</v>
      </c>
      <c r="BK428" s="319" t="s">
        <v>190</v>
      </c>
      <c r="BL428" s="319" t="s">
        <v>190</v>
      </c>
      <c r="BM428" s="319" t="s">
        <v>190</v>
      </c>
      <c r="BN428" s="319" t="s">
        <v>190</v>
      </c>
      <c r="BO428" s="319" t="s">
        <v>190</v>
      </c>
      <c r="BP428" s="319" t="s">
        <v>190</v>
      </c>
      <c r="BQ428" s="319" t="s">
        <v>190</v>
      </c>
      <c r="BR428" s="319" t="s">
        <v>190</v>
      </c>
      <c r="BS428" s="319" t="s">
        <v>190</v>
      </c>
      <c r="BT428" s="319" t="s">
        <v>190</v>
      </c>
      <c r="BU428" s="319" t="s">
        <v>190</v>
      </c>
      <c r="BV428" s="319" t="s">
        <v>190</v>
      </c>
      <c r="BW428" s="319" t="s">
        <v>190</v>
      </c>
      <c r="BX428" s="319" t="s">
        <v>190</v>
      </c>
      <c r="BY428" s="319" t="s">
        <v>190</v>
      </c>
      <c r="BZ428" s="319" t="s">
        <v>190</v>
      </c>
      <c r="CA428" s="319" t="s">
        <v>190</v>
      </c>
      <c r="CB428" s="319" t="s">
        <v>190</v>
      </c>
      <c r="CC428" s="319" t="s">
        <v>190</v>
      </c>
      <c r="CD428" s="319" t="s">
        <v>190</v>
      </c>
      <c r="CE428" s="319" t="s">
        <v>190</v>
      </c>
      <c r="CF428" s="319" t="s">
        <v>190</v>
      </c>
      <c r="CG428" s="319" t="s">
        <v>190</v>
      </c>
      <c r="CH428" s="319" t="s">
        <v>190</v>
      </c>
      <c r="CI428" s="319" t="s">
        <v>190</v>
      </c>
      <c r="CJ428" s="319" t="s">
        <v>190</v>
      </c>
      <c r="CK428" s="319" t="s">
        <v>190</v>
      </c>
      <c r="CL428" s="319" t="s">
        <v>190</v>
      </c>
      <c r="CM428" s="319" t="s">
        <v>190</v>
      </c>
      <c r="CN428" s="319" t="s">
        <v>428</v>
      </c>
      <c r="CO428" s="319" t="s">
        <v>428</v>
      </c>
      <c r="CP428" s="319" t="s">
        <v>428</v>
      </c>
      <c r="CQ428" s="319" t="s">
        <v>190</v>
      </c>
      <c r="CR428" s="319" t="s">
        <v>190</v>
      </c>
      <c r="CS428" s="319" t="s">
        <v>190</v>
      </c>
      <c r="CT428" s="319" t="s">
        <v>190</v>
      </c>
      <c r="CU428" s="319" t="s">
        <v>190</v>
      </c>
      <c r="CV428" s="319" t="s">
        <v>190</v>
      </c>
      <c r="CW428" s="319" t="s">
        <v>190</v>
      </c>
      <c r="CX428" s="319" t="s">
        <v>190</v>
      </c>
      <c r="CY428" s="319" t="s">
        <v>190</v>
      </c>
      <c r="CZ428" s="319" t="s">
        <v>190</v>
      </c>
      <c r="DA428" s="319" t="s">
        <v>190</v>
      </c>
      <c r="DB428" s="319" t="s">
        <v>190</v>
      </c>
      <c r="DC428" s="319" t="s">
        <v>190</v>
      </c>
      <c r="DD428" s="319" t="s">
        <v>190</v>
      </c>
      <c r="DE428" s="319" t="s">
        <v>190</v>
      </c>
      <c r="DF428" s="319" t="s">
        <v>190</v>
      </c>
      <c r="DG428" s="319" t="s">
        <v>190</v>
      </c>
      <c r="DH428" s="319" t="s">
        <v>190</v>
      </c>
      <c r="DI428" s="319" t="s">
        <v>190</v>
      </c>
      <c r="DJ428" s="319" t="s">
        <v>190</v>
      </c>
      <c r="DK428" s="319" t="s">
        <v>190</v>
      </c>
      <c r="DL428" s="319" t="s">
        <v>190</v>
      </c>
      <c r="DM428" s="319" t="s">
        <v>190</v>
      </c>
      <c r="DN428" s="319" t="s">
        <v>428</v>
      </c>
      <c r="DO428" s="319" t="s">
        <v>190</v>
      </c>
      <c r="DP428" s="319" t="s">
        <v>190</v>
      </c>
      <c r="DQ428" s="319" t="s">
        <v>190</v>
      </c>
      <c r="DR428" s="319" t="s">
        <v>190</v>
      </c>
      <c r="DS428" s="319" t="s">
        <v>190</v>
      </c>
      <c r="DT428" s="319" t="s">
        <v>190</v>
      </c>
      <c r="DU428" s="319" t="s">
        <v>190</v>
      </c>
      <c r="DV428" s="319" t="s">
        <v>173</v>
      </c>
      <c r="DW428" s="319" t="s">
        <v>190</v>
      </c>
      <c r="DX428" s="319" t="s">
        <v>190</v>
      </c>
      <c r="DY428" s="319" t="s">
        <v>190</v>
      </c>
      <c r="DZ428" s="319" t="s">
        <v>190</v>
      </c>
      <c r="EA428" s="319" t="s">
        <v>190</v>
      </c>
      <c r="EB428" s="319" t="s">
        <v>190</v>
      </c>
      <c r="EC428" s="319" t="s">
        <v>428</v>
      </c>
      <c r="ED428" s="319" t="s">
        <v>190</v>
      </c>
      <c r="EE428" s="319" t="s">
        <v>190</v>
      </c>
      <c r="EF428" s="319" t="s">
        <v>190</v>
      </c>
      <c r="EG428" s="319" t="s">
        <v>190</v>
      </c>
      <c r="EH428" s="319" t="s">
        <v>190</v>
      </c>
      <c r="EI428" s="319" t="s">
        <v>190</v>
      </c>
      <c r="EJ428" s="319" t="s">
        <v>190</v>
      </c>
      <c r="EK428" s="319" t="s">
        <v>190</v>
      </c>
      <c r="EL428" s="319" t="s">
        <v>190</v>
      </c>
      <c r="EM428" s="319" t="s">
        <v>190</v>
      </c>
      <c r="EN428" s="319" t="s">
        <v>190</v>
      </c>
      <c r="EO428" s="319" t="s">
        <v>190</v>
      </c>
      <c r="EP428" s="319" t="s">
        <v>190</v>
      </c>
      <c r="EQ428" s="319" t="s">
        <v>190</v>
      </c>
      <c r="ER428" s="319" t="s">
        <v>190</v>
      </c>
      <c r="ES428" s="319" t="s">
        <v>190</v>
      </c>
      <c r="ET428" s="319" t="s">
        <v>190</v>
      </c>
      <c r="EU428" s="319" t="s">
        <v>190</v>
      </c>
      <c r="EV428" s="319" t="s">
        <v>190</v>
      </c>
      <c r="EW428" s="319" t="s">
        <v>190</v>
      </c>
      <c r="EX428" s="319" t="s">
        <v>190</v>
      </c>
      <c r="EY428" s="319" t="s">
        <v>190</v>
      </c>
      <c r="EZ428" s="319" t="s">
        <v>190</v>
      </c>
      <c r="FA428" s="319" t="s">
        <v>190</v>
      </c>
      <c r="FB428" s="319" t="s">
        <v>190</v>
      </c>
      <c r="FC428" s="319" t="s">
        <v>190</v>
      </c>
      <c r="FD428" s="319" t="s">
        <v>190</v>
      </c>
      <c r="FE428" s="319" t="s">
        <v>190</v>
      </c>
      <c r="FF428" s="319" t="s">
        <v>190</v>
      </c>
      <c r="FG428" s="319" t="s">
        <v>190</v>
      </c>
      <c r="FH428" s="319" t="s">
        <v>190</v>
      </c>
      <c r="FI428" s="319" t="s">
        <v>190</v>
      </c>
      <c r="FJ428" s="319" t="s">
        <v>190</v>
      </c>
      <c r="FK428" s="319" t="s">
        <v>190</v>
      </c>
      <c r="FL428" s="319" t="s">
        <v>190</v>
      </c>
      <c r="FM428" s="319" t="s">
        <v>190</v>
      </c>
      <c r="FN428" s="319" t="s">
        <v>190</v>
      </c>
      <c r="FO428" s="319" t="s">
        <v>428</v>
      </c>
      <c r="FP428" s="319" t="s">
        <v>190</v>
      </c>
      <c r="FQ428" s="319" t="s">
        <v>190</v>
      </c>
      <c r="FR428" s="319" t="s">
        <v>190</v>
      </c>
      <c r="FS428" s="319" t="s">
        <v>428</v>
      </c>
      <c r="FT428" s="319" t="s">
        <v>190</v>
      </c>
      <c r="FU428" s="319" t="s">
        <v>190</v>
      </c>
      <c r="FV428" s="319" t="s">
        <v>190</v>
      </c>
      <c r="FW428" s="319" t="s">
        <v>190</v>
      </c>
      <c r="FX428" s="319" t="s">
        <v>190</v>
      </c>
      <c r="FY428" s="319" t="s">
        <v>190</v>
      </c>
      <c r="FZ428" s="319" t="s">
        <v>190</v>
      </c>
      <c r="GA428" s="319" t="s">
        <v>190</v>
      </c>
      <c r="GB428" s="319" t="s">
        <v>190</v>
      </c>
      <c r="GC428" s="319" t="s">
        <v>190</v>
      </c>
      <c r="GD428" s="319" t="s">
        <v>190</v>
      </c>
      <c r="GE428" s="319" t="s">
        <v>190</v>
      </c>
      <c r="GF428" s="319" t="s">
        <v>190</v>
      </c>
      <c r="GG428" s="319" t="s">
        <v>190</v>
      </c>
      <c r="GH428" s="319" t="s">
        <v>190</v>
      </c>
      <c r="GI428" s="319" t="s">
        <v>190</v>
      </c>
      <c r="GJ428" s="319" t="s">
        <v>190</v>
      </c>
      <c r="GK428" s="319" t="s">
        <v>428</v>
      </c>
      <c r="GL428" s="319" t="s">
        <v>190</v>
      </c>
      <c r="GM428" s="319" t="s">
        <v>190</v>
      </c>
      <c r="GN428" s="319" t="s">
        <v>190</v>
      </c>
      <c r="GO428" s="319" t="s">
        <v>190</v>
      </c>
      <c r="GP428" s="319" t="s">
        <v>190</v>
      </c>
      <c r="GQ428" s="319" t="s">
        <v>428</v>
      </c>
      <c r="GR428" s="319" t="s">
        <v>190</v>
      </c>
      <c r="GS428" s="319" t="s">
        <v>190</v>
      </c>
      <c r="GT428" s="319" t="s">
        <v>190</v>
      </c>
      <c r="GU428" s="319" t="s">
        <v>428</v>
      </c>
      <c r="GV428" s="319" t="s">
        <v>190</v>
      </c>
      <c r="GW428" s="319" t="s">
        <v>190</v>
      </c>
      <c r="GX428" s="319" t="s">
        <v>190</v>
      </c>
      <c r="GY428" s="319" t="s">
        <v>190</v>
      </c>
      <c r="GZ428" s="319" t="s">
        <v>190</v>
      </c>
      <c r="HA428" s="319" t="s">
        <v>428</v>
      </c>
      <c r="HB428" s="319" t="s">
        <v>190</v>
      </c>
      <c r="HC428" s="319" t="s">
        <v>190</v>
      </c>
      <c r="HD428" s="319" t="s">
        <v>190</v>
      </c>
      <c r="HE428" s="319" t="s">
        <v>190</v>
      </c>
      <c r="HF428" s="319" t="s">
        <v>190</v>
      </c>
      <c r="HG428" s="319" t="s">
        <v>190</v>
      </c>
      <c r="HH428" s="319" t="s">
        <v>190</v>
      </c>
      <c r="HI428" s="319" t="s">
        <v>190</v>
      </c>
      <c r="HJ428" s="319" t="s">
        <v>190</v>
      </c>
      <c r="HK428" s="319" t="s">
        <v>190</v>
      </c>
      <c r="HL428" s="319" t="s">
        <v>190</v>
      </c>
      <c r="HM428" s="319" t="s">
        <v>190</v>
      </c>
      <c r="HN428" s="319" t="s">
        <v>190</v>
      </c>
      <c r="HO428" s="319" t="s">
        <v>190</v>
      </c>
      <c r="HP428" s="319" t="s">
        <v>190</v>
      </c>
      <c r="HQ428" s="319" t="s">
        <v>190</v>
      </c>
      <c r="HR428" s="319" t="s">
        <v>190</v>
      </c>
      <c r="HS428" s="319" t="s">
        <v>190</v>
      </c>
      <c r="HT428" s="319" t="s">
        <v>190</v>
      </c>
      <c r="HU428" s="319" t="s">
        <v>190</v>
      </c>
      <c r="HV428" s="319" t="s">
        <v>190</v>
      </c>
      <c r="HW428" s="319" t="s">
        <v>190</v>
      </c>
      <c r="HX428" s="319" t="s">
        <v>190</v>
      </c>
      <c r="HY428" s="319" t="s">
        <v>190</v>
      </c>
      <c r="HZ428" s="319" t="s">
        <v>190</v>
      </c>
      <c r="IA428" s="319" t="s">
        <v>190</v>
      </c>
      <c r="IB428" s="319" t="s">
        <v>190</v>
      </c>
      <c r="IC428" s="319" t="s">
        <v>190</v>
      </c>
      <c r="ID428" s="319" t="s">
        <v>190</v>
      </c>
      <c r="IE428" s="319" t="s">
        <v>190</v>
      </c>
      <c r="IF428" s="319" t="s">
        <v>190</v>
      </c>
      <c r="IG428" s="319" t="s">
        <v>190</v>
      </c>
      <c r="IH428" s="319" t="s">
        <v>190</v>
      </c>
      <c r="II428" s="319" t="s">
        <v>190</v>
      </c>
      <c r="IJ428" s="319">
        <v>10008549</v>
      </c>
      <c r="IK428" s="321">
        <v>42388</v>
      </c>
      <c r="IL428" s="321">
        <v>42390</v>
      </c>
      <c r="IM428" s="321">
        <v>42426</v>
      </c>
      <c r="IN428" s="319">
        <v>2</v>
      </c>
      <c r="IO428" s="319" t="s">
        <v>173</v>
      </c>
      <c r="IP428" s="319" t="s">
        <v>173</v>
      </c>
      <c r="IQ428" s="321" t="s">
        <v>173</v>
      </c>
      <c r="IR428" s="320" t="s">
        <v>173</v>
      </c>
      <c r="IS428" s="322" t="s">
        <v>173</v>
      </c>
      <c r="IT428" s="319" t="s">
        <v>173</v>
      </c>
    </row>
    <row r="429" spans="1:254" s="271" customFormat="1" x14ac:dyDescent="0.25">
      <c r="A429" s="318" t="str">
        <f>HYPERLINK("http://www.ofsted.gov.uk/inspection-reports/find-inspection-report/provider/ELS/134137 ","Ofsted School Webpage")</f>
        <v>Ofsted School Webpage</v>
      </c>
      <c r="B429" s="319">
        <v>134137</v>
      </c>
      <c r="C429" s="319">
        <v>9286008</v>
      </c>
      <c r="D429" s="319" t="s">
        <v>3199</v>
      </c>
      <c r="E429" s="319" t="s">
        <v>168</v>
      </c>
      <c r="F429" s="319" t="s">
        <v>81</v>
      </c>
      <c r="G429" s="319" t="s">
        <v>81</v>
      </c>
      <c r="H429" s="319" t="s">
        <v>81</v>
      </c>
      <c r="I429" s="319" t="s">
        <v>78</v>
      </c>
      <c r="J429" s="319" t="s">
        <v>424</v>
      </c>
      <c r="K429" s="319" t="s">
        <v>506</v>
      </c>
      <c r="L429" s="319" t="s">
        <v>506</v>
      </c>
      <c r="M429" s="319" t="s">
        <v>1136</v>
      </c>
      <c r="N429" s="319" t="s">
        <v>3014</v>
      </c>
      <c r="O429" s="319" t="s">
        <v>3200</v>
      </c>
      <c r="P429" s="319">
        <v>15</v>
      </c>
      <c r="Q429" s="319" t="s">
        <v>2776</v>
      </c>
      <c r="R429" s="320">
        <v>10026065</v>
      </c>
      <c r="S429" s="321">
        <v>43067</v>
      </c>
      <c r="T429" s="321">
        <v>43069</v>
      </c>
      <c r="U429" s="321">
        <v>43110</v>
      </c>
      <c r="V429" s="319" t="s">
        <v>425</v>
      </c>
      <c r="W429" s="319" t="s">
        <v>2767</v>
      </c>
      <c r="X429" s="319">
        <v>2</v>
      </c>
      <c r="Y429" s="319" t="s">
        <v>173</v>
      </c>
      <c r="Z429" s="319" t="s">
        <v>173</v>
      </c>
      <c r="AA429" s="319" t="s">
        <v>173</v>
      </c>
      <c r="AB429" s="319">
        <v>2</v>
      </c>
      <c r="AC429" s="319" t="s">
        <v>169</v>
      </c>
      <c r="AD429" s="319" t="s">
        <v>173</v>
      </c>
      <c r="AE429" s="319" t="s">
        <v>173</v>
      </c>
      <c r="AF429" s="319" t="s">
        <v>427</v>
      </c>
      <c r="AG429" s="319" t="s">
        <v>171</v>
      </c>
      <c r="AH429" s="319" t="s">
        <v>190</v>
      </c>
      <c r="AI429" s="319" t="s">
        <v>190</v>
      </c>
      <c r="AJ429" s="319" t="s">
        <v>190</v>
      </c>
      <c r="AK429" s="319" t="s">
        <v>190</v>
      </c>
      <c r="AL429" s="319" t="s">
        <v>190</v>
      </c>
      <c r="AM429" s="319" t="s">
        <v>190</v>
      </c>
      <c r="AN429" s="319" t="s">
        <v>190</v>
      </c>
      <c r="AO429" s="319" t="s">
        <v>190</v>
      </c>
      <c r="AP429" s="319" t="s">
        <v>190</v>
      </c>
      <c r="AQ429" s="319" t="s">
        <v>190</v>
      </c>
      <c r="AR429" s="319" t="s">
        <v>190</v>
      </c>
      <c r="AS429" s="319" t="s">
        <v>190</v>
      </c>
      <c r="AT429" s="319" t="s">
        <v>190</v>
      </c>
      <c r="AU429" s="319" t="s">
        <v>190</v>
      </c>
      <c r="AV429" s="319" t="s">
        <v>190</v>
      </c>
      <c r="AW429" s="319" t="s">
        <v>190</v>
      </c>
      <c r="AX429" s="319" t="s">
        <v>428</v>
      </c>
      <c r="AY429" s="319" t="s">
        <v>190</v>
      </c>
      <c r="AZ429" s="319" t="s">
        <v>190</v>
      </c>
      <c r="BA429" s="319" t="s">
        <v>190</v>
      </c>
      <c r="BB429" s="319" t="s">
        <v>190</v>
      </c>
      <c r="BC429" s="319" t="s">
        <v>190</v>
      </c>
      <c r="BD429" s="319" t="s">
        <v>190</v>
      </c>
      <c r="BE429" s="319" t="s">
        <v>190</v>
      </c>
      <c r="BF429" s="319" t="s">
        <v>428</v>
      </c>
      <c r="BG429" s="319" t="s">
        <v>190</v>
      </c>
      <c r="BH429" s="319" t="s">
        <v>190</v>
      </c>
      <c r="BI429" s="319" t="s">
        <v>190</v>
      </c>
      <c r="BJ429" s="319" t="s">
        <v>190</v>
      </c>
      <c r="BK429" s="319" t="s">
        <v>190</v>
      </c>
      <c r="BL429" s="319" t="s">
        <v>190</v>
      </c>
      <c r="BM429" s="319" t="s">
        <v>190</v>
      </c>
      <c r="BN429" s="319" t="s">
        <v>190</v>
      </c>
      <c r="BO429" s="319" t="s">
        <v>190</v>
      </c>
      <c r="BP429" s="319" t="s">
        <v>190</v>
      </c>
      <c r="BQ429" s="319" t="s">
        <v>190</v>
      </c>
      <c r="BR429" s="319" t="s">
        <v>190</v>
      </c>
      <c r="BS429" s="319" t="s">
        <v>190</v>
      </c>
      <c r="BT429" s="319" t="s">
        <v>190</v>
      </c>
      <c r="BU429" s="319" t="s">
        <v>190</v>
      </c>
      <c r="BV429" s="319" t="s">
        <v>190</v>
      </c>
      <c r="BW429" s="319" t="s">
        <v>190</v>
      </c>
      <c r="BX429" s="319" t="s">
        <v>190</v>
      </c>
      <c r="BY429" s="319" t="s">
        <v>190</v>
      </c>
      <c r="BZ429" s="319" t="s">
        <v>190</v>
      </c>
      <c r="CA429" s="319" t="s">
        <v>190</v>
      </c>
      <c r="CB429" s="319" t="s">
        <v>190</v>
      </c>
      <c r="CC429" s="319" t="s">
        <v>190</v>
      </c>
      <c r="CD429" s="319" t="s">
        <v>190</v>
      </c>
      <c r="CE429" s="319" t="s">
        <v>190</v>
      </c>
      <c r="CF429" s="319" t="s">
        <v>190</v>
      </c>
      <c r="CG429" s="319" t="s">
        <v>190</v>
      </c>
      <c r="CH429" s="319" t="s">
        <v>190</v>
      </c>
      <c r="CI429" s="319" t="s">
        <v>190</v>
      </c>
      <c r="CJ429" s="319" t="s">
        <v>190</v>
      </c>
      <c r="CK429" s="319" t="s">
        <v>190</v>
      </c>
      <c r="CL429" s="319" t="s">
        <v>190</v>
      </c>
      <c r="CM429" s="319" t="s">
        <v>190</v>
      </c>
      <c r="CN429" s="319" t="s">
        <v>190</v>
      </c>
      <c r="CO429" s="319" t="s">
        <v>428</v>
      </c>
      <c r="CP429" s="319" t="s">
        <v>428</v>
      </c>
      <c r="CQ429" s="319" t="s">
        <v>190</v>
      </c>
      <c r="CR429" s="319" t="s">
        <v>190</v>
      </c>
      <c r="CS429" s="319" t="s">
        <v>190</v>
      </c>
      <c r="CT429" s="319" t="s">
        <v>190</v>
      </c>
      <c r="CU429" s="319" t="s">
        <v>190</v>
      </c>
      <c r="CV429" s="319" t="s">
        <v>190</v>
      </c>
      <c r="CW429" s="319" t="s">
        <v>190</v>
      </c>
      <c r="CX429" s="319" t="s">
        <v>190</v>
      </c>
      <c r="CY429" s="319" t="s">
        <v>190</v>
      </c>
      <c r="CZ429" s="319" t="s">
        <v>190</v>
      </c>
      <c r="DA429" s="319" t="s">
        <v>190</v>
      </c>
      <c r="DB429" s="319" t="s">
        <v>190</v>
      </c>
      <c r="DC429" s="319" t="s">
        <v>190</v>
      </c>
      <c r="DD429" s="319" t="s">
        <v>190</v>
      </c>
      <c r="DE429" s="319" t="s">
        <v>190</v>
      </c>
      <c r="DF429" s="319" t="s">
        <v>190</v>
      </c>
      <c r="DG429" s="319" t="s">
        <v>190</v>
      </c>
      <c r="DH429" s="319" t="s">
        <v>190</v>
      </c>
      <c r="DI429" s="319" t="s">
        <v>190</v>
      </c>
      <c r="DJ429" s="319" t="s">
        <v>190</v>
      </c>
      <c r="DK429" s="319" t="s">
        <v>190</v>
      </c>
      <c r="DL429" s="319" t="s">
        <v>190</v>
      </c>
      <c r="DM429" s="319" t="s">
        <v>190</v>
      </c>
      <c r="DN429" s="319" t="s">
        <v>428</v>
      </c>
      <c r="DO429" s="319" t="s">
        <v>190</v>
      </c>
      <c r="DP429" s="319" t="s">
        <v>190</v>
      </c>
      <c r="DQ429" s="319" t="s">
        <v>190</v>
      </c>
      <c r="DR429" s="319" t="s">
        <v>190</v>
      </c>
      <c r="DS429" s="319" t="s">
        <v>190</v>
      </c>
      <c r="DT429" s="319" t="s">
        <v>190</v>
      </c>
      <c r="DU429" s="319" t="s">
        <v>190</v>
      </c>
      <c r="DV429" s="319" t="s">
        <v>173</v>
      </c>
      <c r="DW429" s="319" t="s">
        <v>190</v>
      </c>
      <c r="DX429" s="319" t="s">
        <v>190</v>
      </c>
      <c r="DY429" s="319" t="s">
        <v>190</v>
      </c>
      <c r="DZ429" s="319" t="s">
        <v>190</v>
      </c>
      <c r="EA429" s="319" t="s">
        <v>190</v>
      </c>
      <c r="EB429" s="319" t="s">
        <v>190</v>
      </c>
      <c r="EC429" s="319" t="s">
        <v>428</v>
      </c>
      <c r="ED429" s="319" t="s">
        <v>190</v>
      </c>
      <c r="EE429" s="319" t="s">
        <v>190</v>
      </c>
      <c r="EF429" s="319" t="s">
        <v>190</v>
      </c>
      <c r="EG429" s="319" t="s">
        <v>190</v>
      </c>
      <c r="EH429" s="319" t="s">
        <v>190</v>
      </c>
      <c r="EI429" s="319" t="s">
        <v>190</v>
      </c>
      <c r="EJ429" s="319" t="s">
        <v>190</v>
      </c>
      <c r="EK429" s="319" t="s">
        <v>190</v>
      </c>
      <c r="EL429" s="319" t="s">
        <v>190</v>
      </c>
      <c r="EM429" s="319" t="s">
        <v>190</v>
      </c>
      <c r="EN429" s="319" t="s">
        <v>190</v>
      </c>
      <c r="EO429" s="319" t="s">
        <v>190</v>
      </c>
      <c r="EP429" s="319" t="s">
        <v>190</v>
      </c>
      <c r="EQ429" s="319" t="s">
        <v>190</v>
      </c>
      <c r="ER429" s="319" t="s">
        <v>190</v>
      </c>
      <c r="ES429" s="319" t="s">
        <v>190</v>
      </c>
      <c r="ET429" s="319" t="s">
        <v>190</v>
      </c>
      <c r="EU429" s="319" t="s">
        <v>190</v>
      </c>
      <c r="EV429" s="319" t="s">
        <v>190</v>
      </c>
      <c r="EW429" s="319" t="s">
        <v>190</v>
      </c>
      <c r="EX429" s="319" t="s">
        <v>190</v>
      </c>
      <c r="EY429" s="319" t="s">
        <v>190</v>
      </c>
      <c r="EZ429" s="319" t="s">
        <v>190</v>
      </c>
      <c r="FA429" s="319" t="s">
        <v>190</v>
      </c>
      <c r="FB429" s="319" t="s">
        <v>190</v>
      </c>
      <c r="FC429" s="319" t="s">
        <v>190</v>
      </c>
      <c r="FD429" s="319" t="s">
        <v>190</v>
      </c>
      <c r="FE429" s="319" t="s">
        <v>190</v>
      </c>
      <c r="FF429" s="319" t="s">
        <v>190</v>
      </c>
      <c r="FG429" s="319" t="s">
        <v>190</v>
      </c>
      <c r="FH429" s="319" t="s">
        <v>190</v>
      </c>
      <c r="FI429" s="319" t="s">
        <v>190</v>
      </c>
      <c r="FJ429" s="319" t="s">
        <v>190</v>
      </c>
      <c r="FK429" s="319" t="s">
        <v>190</v>
      </c>
      <c r="FL429" s="319" t="s">
        <v>190</v>
      </c>
      <c r="FM429" s="319" t="s">
        <v>190</v>
      </c>
      <c r="FN429" s="319" t="s">
        <v>190</v>
      </c>
      <c r="FO429" s="319" t="s">
        <v>190</v>
      </c>
      <c r="FP429" s="319" t="s">
        <v>190</v>
      </c>
      <c r="FQ429" s="319" t="s">
        <v>190</v>
      </c>
      <c r="FR429" s="319" t="s">
        <v>190</v>
      </c>
      <c r="FS429" s="319" t="s">
        <v>428</v>
      </c>
      <c r="FT429" s="319" t="s">
        <v>190</v>
      </c>
      <c r="FU429" s="319" t="s">
        <v>190</v>
      </c>
      <c r="FV429" s="319" t="s">
        <v>190</v>
      </c>
      <c r="FW429" s="319" t="s">
        <v>190</v>
      </c>
      <c r="FX429" s="319" t="s">
        <v>190</v>
      </c>
      <c r="FY429" s="319" t="s">
        <v>190</v>
      </c>
      <c r="FZ429" s="319" t="s">
        <v>190</v>
      </c>
      <c r="GA429" s="319" t="s">
        <v>190</v>
      </c>
      <c r="GB429" s="319" t="s">
        <v>190</v>
      </c>
      <c r="GC429" s="319" t="s">
        <v>190</v>
      </c>
      <c r="GD429" s="319" t="s">
        <v>190</v>
      </c>
      <c r="GE429" s="319" t="s">
        <v>190</v>
      </c>
      <c r="GF429" s="319" t="s">
        <v>190</v>
      </c>
      <c r="GG429" s="319" t="s">
        <v>190</v>
      </c>
      <c r="GH429" s="319" t="s">
        <v>190</v>
      </c>
      <c r="GI429" s="319" t="s">
        <v>190</v>
      </c>
      <c r="GJ429" s="319" t="s">
        <v>190</v>
      </c>
      <c r="GK429" s="319" t="s">
        <v>428</v>
      </c>
      <c r="GL429" s="319" t="s">
        <v>190</v>
      </c>
      <c r="GM429" s="319" t="s">
        <v>190</v>
      </c>
      <c r="GN429" s="319" t="s">
        <v>190</v>
      </c>
      <c r="GO429" s="319" t="s">
        <v>190</v>
      </c>
      <c r="GP429" s="319" t="s">
        <v>190</v>
      </c>
      <c r="GQ429" s="319" t="s">
        <v>190</v>
      </c>
      <c r="GR429" s="319" t="s">
        <v>190</v>
      </c>
      <c r="GS429" s="319" t="s">
        <v>190</v>
      </c>
      <c r="GT429" s="319" t="s">
        <v>190</v>
      </c>
      <c r="GU429" s="319" t="s">
        <v>190</v>
      </c>
      <c r="GV429" s="319" t="s">
        <v>190</v>
      </c>
      <c r="GW429" s="319" t="s">
        <v>190</v>
      </c>
      <c r="GX429" s="319" t="s">
        <v>190</v>
      </c>
      <c r="GY429" s="319" t="s">
        <v>190</v>
      </c>
      <c r="GZ429" s="319" t="s">
        <v>190</v>
      </c>
      <c r="HA429" s="319" t="s">
        <v>190</v>
      </c>
      <c r="HB429" s="319" t="s">
        <v>428</v>
      </c>
      <c r="HC429" s="319" t="s">
        <v>190</v>
      </c>
      <c r="HD429" s="319" t="s">
        <v>190</v>
      </c>
      <c r="HE429" s="319" t="s">
        <v>190</v>
      </c>
      <c r="HF429" s="319" t="s">
        <v>190</v>
      </c>
      <c r="HG429" s="319" t="s">
        <v>190</v>
      </c>
      <c r="HH429" s="319" t="s">
        <v>190</v>
      </c>
      <c r="HI429" s="319" t="s">
        <v>190</v>
      </c>
      <c r="HJ429" s="319" t="s">
        <v>190</v>
      </c>
      <c r="HK429" s="319" t="s">
        <v>190</v>
      </c>
      <c r="HL429" s="319" t="s">
        <v>190</v>
      </c>
      <c r="HM429" s="319" t="s">
        <v>428</v>
      </c>
      <c r="HN429" s="319" t="s">
        <v>428</v>
      </c>
      <c r="HO429" s="319" t="s">
        <v>428</v>
      </c>
      <c r="HP429" s="319" t="s">
        <v>190</v>
      </c>
      <c r="HQ429" s="319" t="s">
        <v>190</v>
      </c>
      <c r="HR429" s="319" t="s">
        <v>190</v>
      </c>
      <c r="HS429" s="319" t="s">
        <v>190</v>
      </c>
      <c r="HT429" s="319" t="s">
        <v>190</v>
      </c>
      <c r="HU429" s="319" t="s">
        <v>190</v>
      </c>
      <c r="HV429" s="319" t="s">
        <v>190</v>
      </c>
      <c r="HW429" s="319" t="s">
        <v>190</v>
      </c>
      <c r="HX429" s="319" t="s">
        <v>190</v>
      </c>
      <c r="HY429" s="319" t="s">
        <v>190</v>
      </c>
      <c r="HZ429" s="319" t="s">
        <v>190</v>
      </c>
      <c r="IA429" s="319" t="s">
        <v>190</v>
      </c>
      <c r="IB429" s="319" t="s">
        <v>190</v>
      </c>
      <c r="IC429" s="319" t="s">
        <v>190</v>
      </c>
      <c r="ID429" s="319" t="s">
        <v>190</v>
      </c>
      <c r="IE429" s="319" t="s">
        <v>190</v>
      </c>
      <c r="IF429" s="319" t="s">
        <v>190</v>
      </c>
      <c r="IG429" s="319" t="s">
        <v>190</v>
      </c>
      <c r="IH429" s="319" t="s">
        <v>190</v>
      </c>
      <c r="II429" s="319" t="s">
        <v>190</v>
      </c>
      <c r="IJ429" s="319" t="s">
        <v>3201</v>
      </c>
      <c r="IK429" s="321">
        <v>40519</v>
      </c>
      <c r="IL429" s="321">
        <v>40519</v>
      </c>
      <c r="IM429" s="321">
        <v>40554</v>
      </c>
      <c r="IN429" s="319">
        <v>2</v>
      </c>
      <c r="IO429" s="319" t="s">
        <v>173</v>
      </c>
      <c r="IP429" s="319" t="s">
        <v>173</v>
      </c>
      <c r="IQ429" s="321" t="s">
        <v>173</v>
      </c>
      <c r="IR429" s="320" t="s">
        <v>173</v>
      </c>
      <c r="IS429" s="322" t="s">
        <v>173</v>
      </c>
      <c r="IT429" s="319" t="s">
        <v>173</v>
      </c>
    </row>
    <row r="430" spans="1:254" s="271" customFormat="1" x14ac:dyDescent="0.25">
      <c r="A430" s="318" t="str">
        <f>HYPERLINK("http://www.ofsted.gov.uk/inspection-reports/find-inspection-report/provider/ELS/134140 ","Ofsted School Webpage")</f>
        <v>Ofsted School Webpage</v>
      </c>
      <c r="B430" s="319">
        <v>134140</v>
      </c>
      <c r="C430" s="319">
        <v>3806114</v>
      </c>
      <c r="D430" s="319" t="s">
        <v>1792</v>
      </c>
      <c r="E430" s="319" t="s">
        <v>167</v>
      </c>
      <c r="F430" s="319" t="s">
        <v>71</v>
      </c>
      <c r="G430" s="319" t="s">
        <v>72</v>
      </c>
      <c r="H430" s="319" t="s">
        <v>71</v>
      </c>
      <c r="I430" s="319" t="s">
        <v>72</v>
      </c>
      <c r="J430" s="319" t="s">
        <v>424</v>
      </c>
      <c r="K430" s="319" t="s">
        <v>458</v>
      </c>
      <c r="L430" s="319" t="s">
        <v>459</v>
      </c>
      <c r="M430" s="319" t="s">
        <v>595</v>
      </c>
      <c r="N430" s="319" t="s">
        <v>3202</v>
      </c>
      <c r="O430" s="319" t="s">
        <v>1793</v>
      </c>
      <c r="P430" s="319">
        <v>167</v>
      </c>
      <c r="Q430" s="319" t="s">
        <v>2776</v>
      </c>
      <c r="R430" s="320">
        <v>10103509</v>
      </c>
      <c r="S430" s="321">
        <v>43579</v>
      </c>
      <c r="T430" s="321">
        <v>43581</v>
      </c>
      <c r="U430" s="321">
        <v>43636</v>
      </c>
      <c r="V430" s="319" t="s">
        <v>425</v>
      </c>
      <c r="W430" s="319" t="s">
        <v>2767</v>
      </c>
      <c r="X430" s="319">
        <v>2</v>
      </c>
      <c r="Y430" s="319" t="s">
        <v>173</v>
      </c>
      <c r="Z430" s="319" t="s">
        <v>173</v>
      </c>
      <c r="AA430" s="319" t="s">
        <v>173</v>
      </c>
      <c r="AB430" s="319">
        <v>2</v>
      </c>
      <c r="AC430" s="319" t="s">
        <v>169</v>
      </c>
      <c r="AD430" s="319" t="s">
        <v>173</v>
      </c>
      <c r="AE430" s="319">
        <v>2</v>
      </c>
      <c r="AF430" s="319" t="s">
        <v>427</v>
      </c>
      <c r="AG430" s="319" t="s">
        <v>171</v>
      </c>
      <c r="AH430" s="319" t="s">
        <v>190</v>
      </c>
      <c r="AI430" s="319" t="s">
        <v>190</v>
      </c>
      <c r="AJ430" s="319" t="s">
        <v>190</v>
      </c>
      <c r="AK430" s="319" t="s">
        <v>190</v>
      </c>
      <c r="AL430" s="319" t="s">
        <v>190</v>
      </c>
      <c r="AM430" s="319" t="s">
        <v>190</v>
      </c>
      <c r="AN430" s="319" t="s">
        <v>190</v>
      </c>
      <c r="AO430" s="319" t="s">
        <v>190</v>
      </c>
      <c r="AP430" s="319" t="s">
        <v>190</v>
      </c>
      <c r="AQ430" s="319" t="s">
        <v>190</v>
      </c>
      <c r="AR430" s="319" t="s">
        <v>190</v>
      </c>
      <c r="AS430" s="319" t="s">
        <v>190</v>
      </c>
      <c r="AT430" s="319" t="s">
        <v>190</v>
      </c>
      <c r="AU430" s="319" t="s">
        <v>190</v>
      </c>
      <c r="AV430" s="319" t="s">
        <v>190</v>
      </c>
      <c r="AW430" s="319" t="s">
        <v>190</v>
      </c>
      <c r="AX430" s="319" t="s">
        <v>428</v>
      </c>
      <c r="AY430" s="319" t="s">
        <v>190</v>
      </c>
      <c r="AZ430" s="319" t="s">
        <v>190</v>
      </c>
      <c r="BA430" s="319" t="s">
        <v>190</v>
      </c>
      <c r="BB430" s="319" t="s">
        <v>190</v>
      </c>
      <c r="BC430" s="319" t="s">
        <v>190</v>
      </c>
      <c r="BD430" s="319" t="s">
        <v>190</v>
      </c>
      <c r="BE430" s="319" t="s">
        <v>190</v>
      </c>
      <c r="BF430" s="319" t="s">
        <v>428</v>
      </c>
      <c r="BG430" s="319" t="s">
        <v>190</v>
      </c>
      <c r="BH430" s="319" t="s">
        <v>190</v>
      </c>
      <c r="BI430" s="319" t="s">
        <v>190</v>
      </c>
      <c r="BJ430" s="319" t="s">
        <v>190</v>
      </c>
      <c r="BK430" s="319" t="s">
        <v>190</v>
      </c>
      <c r="BL430" s="319" t="s">
        <v>190</v>
      </c>
      <c r="BM430" s="319" t="s">
        <v>190</v>
      </c>
      <c r="BN430" s="319" t="s">
        <v>190</v>
      </c>
      <c r="BO430" s="319" t="s">
        <v>190</v>
      </c>
      <c r="BP430" s="319" t="s">
        <v>190</v>
      </c>
      <c r="BQ430" s="319" t="s">
        <v>190</v>
      </c>
      <c r="BR430" s="319" t="s">
        <v>190</v>
      </c>
      <c r="BS430" s="319" t="s">
        <v>190</v>
      </c>
      <c r="BT430" s="319" t="s">
        <v>190</v>
      </c>
      <c r="BU430" s="319" t="s">
        <v>190</v>
      </c>
      <c r="BV430" s="319" t="s">
        <v>190</v>
      </c>
      <c r="BW430" s="319" t="s">
        <v>190</v>
      </c>
      <c r="BX430" s="319" t="s">
        <v>190</v>
      </c>
      <c r="BY430" s="319" t="s">
        <v>190</v>
      </c>
      <c r="BZ430" s="319" t="s">
        <v>190</v>
      </c>
      <c r="CA430" s="319" t="s">
        <v>190</v>
      </c>
      <c r="CB430" s="319" t="s">
        <v>190</v>
      </c>
      <c r="CC430" s="319" t="s">
        <v>190</v>
      </c>
      <c r="CD430" s="319" t="s">
        <v>190</v>
      </c>
      <c r="CE430" s="319" t="s">
        <v>190</v>
      </c>
      <c r="CF430" s="319" t="s">
        <v>190</v>
      </c>
      <c r="CG430" s="319" t="s">
        <v>190</v>
      </c>
      <c r="CH430" s="319" t="s">
        <v>190</v>
      </c>
      <c r="CI430" s="319" t="s">
        <v>190</v>
      </c>
      <c r="CJ430" s="319" t="s">
        <v>190</v>
      </c>
      <c r="CK430" s="319" t="s">
        <v>190</v>
      </c>
      <c r="CL430" s="319" t="s">
        <v>190</v>
      </c>
      <c r="CM430" s="319" t="s">
        <v>190</v>
      </c>
      <c r="CN430" s="319" t="s">
        <v>428</v>
      </c>
      <c r="CO430" s="319" t="s">
        <v>428</v>
      </c>
      <c r="CP430" s="319" t="s">
        <v>428</v>
      </c>
      <c r="CQ430" s="319" t="s">
        <v>190</v>
      </c>
      <c r="CR430" s="319" t="s">
        <v>190</v>
      </c>
      <c r="CS430" s="319" t="s">
        <v>190</v>
      </c>
      <c r="CT430" s="319" t="s">
        <v>190</v>
      </c>
      <c r="CU430" s="319" t="s">
        <v>190</v>
      </c>
      <c r="CV430" s="319" t="s">
        <v>190</v>
      </c>
      <c r="CW430" s="319" t="s">
        <v>190</v>
      </c>
      <c r="CX430" s="319" t="s">
        <v>190</v>
      </c>
      <c r="CY430" s="319" t="s">
        <v>190</v>
      </c>
      <c r="CZ430" s="319" t="s">
        <v>190</v>
      </c>
      <c r="DA430" s="319" t="s">
        <v>190</v>
      </c>
      <c r="DB430" s="319" t="s">
        <v>190</v>
      </c>
      <c r="DC430" s="319" t="s">
        <v>190</v>
      </c>
      <c r="DD430" s="319" t="s">
        <v>190</v>
      </c>
      <c r="DE430" s="319" t="s">
        <v>190</v>
      </c>
      <c r="DF430" s="319" t="s">
        <v>190</v>
      </c>
      <c r="DG430" s="319" t="s">
        <v>190</v>
      </c>
      <c r="DH430" s="319" t="s">
        <v>190</v>
      </c>
      <c r="DI430" s="319" t="s">
        <v>190</v>
      </c>
      <c r="DJ430" s="319" t="s">
        <v>190</v>
      </c>
      <c r="DK430" s="319" t="s">
        <v>190</v>
      </c>
      <c r="DL430" s="319" t="s">
        <v>190</v>
      </c>
      <c r="DM430" s="319" t="s">
        <v>190</v>
      </c>
      <c r="DN430" s="319" t="s">
        <v>428</v>
      </c>
      <c r="DO430" s="319" t="s">
        <v>190</v>
      </c>
      <c r="DP430" s="319" t="s">
        <v>428</v>
      </c>
      <c r="DQ430" s="319" t="s">
        <v>428</v>
      </c>
      <c r="DR430" s="319" t="s">
        <v>428</v>
      </c>
      <c r="DS430" s="319" t="s">
        <v>428</v>
      </c>
      <c r="DT430" s="319" t="s">
        <v>428</v>
      </c>
      <c r="DU430" s="319" t="s">
        <v>428</v>
      </c>
      <c r="DV430" s="319" t="s">
        <v>173</v>
      </c>
      <c r="DW430" s="319" t="s">
        <v>428</v>
      </c>
      <c r="DX430" s="319" t="s">
        <v>428</v>
      </c>
      <c r="DY430" s="319" t="s">
        <v>428</v>
      </c>
      <c r="DZ430" s="319" t="s">
        <v>428</v>
      </c>
      <c r="EA430" s="319" t="s">
        <v>428</v>
      </c>
      <c r="EB430" s="319" t="s">
        <v>428</v>
      </c>
      <c r="EC430" s="319" t="s">
        <v>428</v>
      </c>
      <c r="ED430" s="319" t="s">
        <v>428</v>
      </c>
      <c r="EE430" s="319" t="s">
        <v>190</v>
      </c>
      <c r="EF430" s="319" t="s">
        <v>190</v>
      </c>
      <c r="EG430" s="319" t="s">
        <v>190</v>
      </c>
      <c r="EH430" s="319" t="s">
        <v>190</v>
      </c>
      <c r="EI430" s="319" t="s">
        <v>190</v>
      </c>
      <c r="EJ430" s="319" t="s">
        <v>190</v>
      </c>
      <c r="EK430" s="319" t="s">
        <v>190</v>
      </c>
      <c r="EL430" s="319" t="s">
        <v>190</v>
      </c>
      <c r="EM430" s="319" t="s">
        <v>190</v>
      </c>
      <c r="EN430" s="319" t="s">
        <v>190</v>
      </c>
      <c r="EO430" s="319" t="s">
        <v>190</v>
      </c>
      <c r="EP430" s="319" t="s">
        <v>190</v>
      </c>
      <c r="EQ430" s="319" t="s">
        <v>190</v>
      </c>
      <c r="ER430" s="319" t="s">
        <v>190</v>
      </c>
      <c r="ES430" s="319" t="s">
        <v>190</v>
      </c>
      <c r="ET430" s="319" t="s">
        <v>190</v>
      </c>
      <c r="EU430" s="319" t="s">
        <v>190</v>
      </c>
      <c r="EV430" s="319" t="s">
        <v>190</v>
      </c>
      <c r="EW430" s="319" t="s">
        <v>190</v>
      </c>
      <c r="EX430" s="319" t="s">
        <v>190</v>
      </c>
      <c r="EY430" s="319" t="s">
        <v>190</v>
      </c>
      <c r="EZ430" s="319" t="s">
        <v>190</v>
      </c>
      <c r="FA430" s="319" t="s">
        <v>190</v>
      </c>
      <c r="FB430" s="319" t="s">
        <v>428</v>
      </c>
      <c r="FC430" s="319" t="s">
        <v>428</v>
      </c>
      <c r="FD430" s="319" t="s">
        <v>428</v>
      </c>
      <c r="FE430" s="319" t="s">
        <v>428</v>
      </c>
      <c r="FF430" s="319" t="s">
        <v>428</v>
      </c>
      <c r="FG430" s="319" t="s">
        <v>428</v>
      </c>
      <c r="FH430" s="319" t="s">
        <v>428</v>
      </c>
      <c r="FI430" s="319" t="s">
        <v>190</v>
      </c>
      <c r="FJ430" s="319" t="s">
        <v>190</v>
      </c>
      <c r="FK430" s="319" t="s">
        <v>190</v>
      </c>
      <c r="FL430" s="319" t="s">
        <v>190</v>
      </c>
      <c r="FM430" s="319" t="s">
        <v>190</v>
      </c>
      <c r="FN430" s="319" t="s">
        <v>428</v>
      </c>
      <c r="FO430" s="319" t="s">
        <v>190</v>
      </c>
      <c r="FP430" s="319" t="s">
        <v>190</v>
      </c>
      <c r="FQ430" s="319" t="s">
        <v>190</v>
      </c>
      <c r="FR430" s="319" t="s">
        <v>190</v>
      </c>
      <c r="FS430" s="319" t="s">
        <v>428</v>
      </c>
      <c r="FT430" s="319" t="s">
        <v>428</v>
      </c>
      <c r="FU430" s="319" t="s">
        <v>190</v>
      </c>
      <c r="FV430" s="319" t="s">
        <v>190</v>
      </c>
      <c r="FW430" s="319" t="s">
        <v>190</v>
      </c>
      <c r="FX430" s="319" t="s">
        <v>190</v>
      </c>
      <c r="FY430" s="319" t="s">
        <v>190</v>
      </c>
      <c r="FZ430" s="319" t="s">
        <v>190</v>
      </c>
      <c r="GA430" s="319" t="s">
        <v>190</v>
      </c>
      <c r="GB430" s="319" t="s">
        <v>190</v>
      </c>
      <c r="GC430" s="319" t="s">
        <v>190</v>
      </c>
      <c r="GD430" s="319" t="s">
        <v>190</v>
      </c>
      <c r="GE430" s="319" t="s">
        <v>190</v>
      </c>
      <c r="GF430" s="319" t="s">
        <v>190</v>
      </c>
      <c r="GG430" s="319" t="s">
        <v>190</v>
      </c>
      <c r="GH430" s="319" t="s">
        <v>190</v>
      </c>
      <c r="GI430" s="319" t="s">
        <v>190</v>
      </c>
      <c r="GJ430" s="319" t="s">
        <v>190</v>
      </c>
      <c r="GK430" s="319" t="s">
        <v>428</v>
      </c>
      <c r="GL430" s="319" t="s">
        <v>190</v>
      </c>
      <c r="GM430" s="319" t="s">
        <v>190</v>
      </c>
      <c r="GN430" s="319" t="s">
        <v>190</v>
      </c>
      <c r="GO430" s="319" t="s">
        <v>190</v>
      </c>
      <c r="GP430" s="319" t="s">
        <v>190</v>
      </c>
      <c r="GQ430" s="319" t="s">
        <v>428</v>
      </c>
      <c r="GR430" s="319" t="s">
        <v>190</v>
      </c>
      <c r="GS430" s="319" t="s">
        <v>190</v>
      </c>
      <c r="GT430" s="319" t="s">
        <v>428</v>
      </c>
      <c r="GU430" s="319" t="s">
        <v>428</v>
      </c>
      <c r="GV430" s="319" t="s">
        <v>428</v>
      </c>
      <c r="GW430" s="319" t="s">
        <v>190</v>
      </c>
      <c r="GX430" s="319" t="s">
        <v>190</v>
      </c>
      <c r="GY430" s="319" t="s">
        <v>190</v>
      </c>
      <c r="GZ430" s="319" t="s">
        <v>428</v>
      </c>
      <c r="HA430" s="319" t="s">
        <v>190</v>
      </c>
      <c r="HB430" s="319" t="s">
        <v>428</v>
      </c>
      <c r="HC430" s="319" t="s">
        <v>190</v>
      </c>
      <c r="HD430" s="319" t="s">
        <v>190</v>
      </c>
      <c r="HE430" s="319" t="s">
        <v>190</v>
      </c>
      <c r="HF430" s="319" t="s">
        <v>190</v>
      </c>
      <c r="HG430" s="319" t="s">
        <v>190</v>
      </c>
      <c r="HH430" s="319" t="s">
        <v>190</v>
      </c>
      <c r="HI430" s="319" t="s">
        <v>190</v>
      </c>
      <c r="HJ430" s="319" t="s">
        <v>190</v>
      </c>
      <c r="HK430" s="319" t="s">
        <v>190</v>
      </c>
      <c r="HL430" s="319" t="s">
        <v>428</v>
      </c>
      <c r="HM430" s="319" t="s">
        <v>428</v>
      </c>
      <c r="HN430" s="319" t="s">
        <v>428</v>
      </c>
      <c r="HO430" s="319" t="s">
        <v>428</v>
      </c>
      <c r="HP430" s="319" t="s">
        <v>190</v>
      </c>
      <c r="HQ430" s="319" t="s">
        <v>190</v>
      </c>
      <c r="HR430" s="319" t="s">
        <v>190</v>
      </c>
      <c r="HS430" s="319" t="s">
        <v>190</v>
      </c>
      <c r="HT430" s="319" t="s">
        <v>190</v>
      </c>
      <c r="HU430" s="319" t="s">
        <v>190</v>
      </c>
      <c r="HV430" s="319" t="s">
        <v>190</v>
      </c>
      <c r="HW430" s="319" t="s">
        <v>190</v>
      </c>
      <c r="HX430" s="319" t="s">
        <v>190</v>
      </c>
      <c r="HY430" s="319" t="s">
        <v>190</v>
      </c>
      <c r="HZ430" s="319" t="s">
        <v>190</v>
      </c>
      <c r="IA430" s="319" t="s">
        <v>190</v>
      </c>
      <c r="IB430" s="319" t="s">
        <v>190</v>
      </c>
      <c r="IC430" s="319" t="s">
        <v>190</v>
      </c>
      <c r="ID430" s="319" t="s">
        <v>190</v>
      </c>
      <c r="IE430" s="319" t="s">
        <v>190</v>
      </c>
      <c r="IF430" s="319" t="s">
        <v>190</v>
      </c>
      <c r="IG430" s="319" t="s">
        <v>190</v>
      </c>
      <c r="IH430" s="319" t="s">
        <v>190</v>
      </c>
      <c r="II430" s="319" t="s">
        <v>190</v>
      </c>
      <c r="IJ430" s="319">
        <v>10040142</v>
      </c>
      <c r="IK430" s="321">
        <v>43060</v>
      </c>
      <c r="IL430" s="321">
        <v>43062</v>
      </c>
      <c r="IM430" s="321">
        <v>43089</v>
      </c>
      <c r="IN430" s="319">
        <v>2</v>
      </c>
      <c r="IO430" s="319" t="s">
        <v>173</v>
      </c>
      <c r="IP430" s="319" t="s">
        <v>173</v>
      </c>
      <c r="IQ430" s="321" t="s">
        <v>173</v>
      </c>
      <c r="IR430" s="320" t="s">
        <v>173</v>
      </c>
      <c r="IS430" s="322" t="s">
        <v>173</v>
      </c>
      <c r="IT430" s="319" t="s">
        <v>173</v>
      </c>
    </row>
    <row r="431" spans="1:254" s="271" customFormat="1" x14ac:dyDescent="0.25">
      <c r="A431" s="318" t="str">
        <f>HYPERLINK("http://www.ofsted.gov.uk/inspection-reports/find-inspection-report/provider/ELS/134142 ","Ofsted School Webpage")</f>
        <v>Ofsted School Webpage</v>
      </c>
      <c r="B431" s="319">
        <v>134142</v>
      </c>
      <c r="C431" s="319">
        <v>2106393</v>
      </c>
      <c r="D431" s="319" t="s">
        <v>1149</v>
      </c>
      <c r="E431" s="319" t="s">
        <v>167</v>
      </c>
      <c r="F431" s="319" t="s">
        <v>81</v>
      </c>
      <c r="G431" s="319" t="s">
        <v>81</v>
      </c>
      <c r="H431" s="319" t="s">
        <v>81</v>
      </c>
      <c r="I431" s="319" t="s">
        <v>78</v>
      </c>
      <c r="J431" s="319" t="s">
        <v>424</v>
      </c>
      <c r="K431" s="319" t="s">
        <v>441</v>
      </c>
      <c r="L431" s="319" t="s">
        <v>441</v>
      </c>
      <c r="M431" s="319" t="s">
        <v>1150</v>
      </c>
      <c r="N431" s="319" t="s">
        <v>3203</v>
      </c>
      <c r="O431" s="319" t="s">
        <v>1151</v>
      </c>
      <c r="P431" s="319">
        <v>192</v>
      </c>
      <c r="Q431" s="319" t="s">
        <v>2766</v>
      </c>
      <c r="R431" s="320">
        <v>10012785</v>
      </c>
      <c r="S431" s="321">
        <v>43256</v>
      </c>
      <c r="T431" s="321">
        <v>43258</v>
      </c>
      <c r="U431" s="321">
        <v>43293</v>
      </c>
      <c r="V431" s="319" t="s">
        <v>425</v>
      </c>
      <c r="W431" s="319" t="s">
        <v>2767</v>
      </c>
      <c r="X431" s="319">
        <v>2</v>
      </c>
      <c r="Y431" s="319" t="s">
        <v>173</v>
      </c>
      <c r="Z431" s="319" t="s">
        <v>173</v>
      </c>
      <c r="AA431" s="319" t="s">
        <v>173</v>
      </c>
      <c r="AB431" s="319">
        <v>2</v>
      </c>
      <c r="AC431" s="319" t="s">
        <v>169</v>
      </c>
      <c r="AD431" s="319">
        <v>2</v>
      </c>
      <c r="AE431" s="319" t="s">
        <v>173</v>
      </c>
      <c r="AF431" s="319" t="s">
        <v>447</v>
      </c>
      <c r="AG431" s="319" t="s">
        <v>171</v>
      </c>
      <c r="AH431" s="319" t="s">
        <v>190</v>
      </c>
      <c r="AI431" s="319" t="s">
        <v>190</v>
      </c>
      <c r="AJ431" s="319" t="s">
        <v>190</v>
      </c>
      <c r="AK431" s="319" t="s">
        <v>190</v>
      </c>
      <c r="AL431" s="319" t="s">
        <v>190</v>
      </c>
      <c r="AM431" s="319" t="s">
        <v>190</v>
      </c>
      <c r="AN431" s="319" t="s">
        <v>190</v>
      </c>
      <c r="AO431" s="319" t="s">
        <v>190</v>
      </c>
      <c r="AP431" s="319" t="s">
        <v>190</v>
      </c>
      <c r="AQ431" s="319" t="s">
        <v>190</v>
      </c>
      <c r="AR431" s="319" t="s">
        <v>190</v>
      </c>
      <c r="AS431" s="319" t="s">
        <v>190</v>
      </c>
      <c r="AT431" s="319" t="s">
        <v>190</v>
      </c>
      <c r="AU431" s="319" t="s">
        <v>190</v>
      </c>
      <c r="AV431" s="319" t="s">
        <v>190</v>
      </c>
      <c r="AW431" s="319" t="s">
        <v>190</v>
      </c>
      <c r="AX431" s="319" t="s">
        <v>428</v>
      </c>
      <c r="AY431" s="319" t="s">
        <v>190</v>
      </c>
      <c r="AZ431" s="319" t="s">
        <v>190</v>
      </c>
      <c r="BA431" s="319" t="s">
        <v>190</v>
      </c>
      <c r="BB431" s="319" t="s">
        <v>428</v>
      </c>
      <c r="BC431" s="319" t="s">
        <v>428</v>
      </c>
      <c r="BD431" s="319" t="s">
        <v>428</v>
      </c>
      <c r="BE431" s="319" t="s">
        <v>428</v>
      </c>
      <c r="BF431" s="319" t="s">
        <v>190</v>
      </c>
      <c r="BG431" s="319" t="s">
        <v>428</v>
      </c>
      <c r="BH431" s="319" t="s">
        <v>190</v>
      </c>
      <c r="BI431" s="319" t="s">
        <v>190</v>
      </c>
      <c r="BJ431" s="319" t="s">
        <v>190</v>
      </c>
      <c r="BK431" s="319" t="s">
        <v>190</v>
      </c>
      <c r="BL431" s="319" t="s">
        <v>190</v>
      </c>
      <c r="BM431" s="319" t="s">
        <v>190</v>
      </c>
      <c r="BN431" s="319" t="s">
        <v>190</v>
      </c>
      <c r="BO431" s="319" t="s">
        <v>190</v>
      </c>
      <c r="BP431" s="319" t="s">
        <v>190</v>
      </c>
      <c r="BQ431" s="319" t="s">
        <v>190</v>
      </c>
      <c r="BR431" s="319" t="s">
        <v>190</v>
      </c>
      <c r="BS431" s="319" t="s">
        <v>190</v>
      </c>
      <c r="BT431" s="319" t="s">
        <v>190</v>
      </c>
      <c r="BU431" s="319" t="s">
        <v>190</v>
      </c>
      <c r="BV431" s="319" t="s">
        <v>190</v>
      </c>
      <c r="BW431" s="319" t="s">
        <v>190</v>
      </c>
      <c r="BX431" s="319" t="s">
        <v>190</v>
      </c>
      <c r="BY431" s="319" t="s">
        <v>190</v>
      </c>
      <c r="BZ431" s="319" t="s">
        <v>190</v>
      </c>
      <c r="CA431" s="319" t="s">
        <v>190</v>
      </c>
      <c r="CB431" s="319" t="s">
        <v>190</v>
      </c>
      <c r="CC431" s="319" t="s">
        <v>190</v>
      </c>
      <c r="CD431" s="319" t="s">
        <v>190</v>
      </c>
      <c r="CE431" s="319" t="s">
        <v>190</v>
      </c>
      <c r="CF431" s="319" t="s">
        <v>190</v>
      </c>
      <c r="CG431" s="319" t="s">
        <v>190</v>
      </c>
      <c r="CH431" s="319" t="s">
        <v>190</v>
      </c>
      <c r="CI431" s="319" t="s">
        <v>190</v>
      </c>
      <c r="CJ431" s="319" t="s">
        <v>190</v>
      </c>
      <c r="CK431" s="319" t="s">
        <v>190</v>
      </c>
      <c r="CL431" s="319" t="s">
        <v>190</v>
      </c>
      <c r="CM431" s="319" t="s">
        <v>190</v>
      </c>
      <c r="CN431" s="319" t="s">
        <v>428</v>
      </c>
      <c r="CO431" s="319" t="s">
        <v>428</v>
      </c>
      <c r="CP431" s="319" t="s">
        <v>428</v>
      </c>
      <c r="CQ431" s="319" t="s">
        <v>190</v>
      </c>
      <c r="CR431" s="319" t="s">
        <v>190</v>
      </c>
      <c r="CS431" s="319" t="s">
        <v>190</v>
      </c>
      <c r="CT431" s="319" t="s">
        <v>190</v>
      </c>
      <c r="CU431" s="319" t="s">
        <v>190</v>
      </c>
      <c r="CV431" s="319" t="s">
        <v>190</v>
      </c>
      <c r="CW431" s="319" t="s">
        <v>190</v>
      </c>
      <c r="CX431" s="319" t="s">
        <v>190</v>
      </c>
      <c r="CY431" s="319" t="s">
        <v>190</v>
      </c>
      <c r="CZ431" s="319" t="s">
        <v>190</v>
      </c>
      <c r="DA431" s="319" t="s">
        <v>190</v>
      </c>
      <c r="DB431" s="319" t="s">
        <v>190</v>
      </c>
      <c r="DC431" s="319" t="s">
        <v>190</v>
      </c>
      <c r="DD431" s="319" t="s">
        <v>190</v>
      </c>
      <c r="DE431" s="319" t="s">
        <v>190</v>
      </c>
      <c r="DF431" s="319" t="s">
        <v>190</v>
      </c>
      <c r="DG431" s="319" t="s">
        <v>190</v>
      </c>
      <c r="DH431" s="319" t="s">
        <v>190</v>
      </c>
      <c r="DI431" s="319" t="s">
        <v>190</v>
      </c>
      <c r="DJ431" s="319" t="s">
        <v>190</v>
      </c>
      <c r="DK431" s="319" t="s">
        <v>190</v>
      </c>
      <c r="DL431" s="319" t="s">
        <v>190</v>
      </c>
      <c r="DM431" s="319" t="s">
        <v>190</v>
      </c>
      <c r="DN431" s="319" t="s">
        <v>428</v>
      </c>
      <c r="DO431" s="319" t="s">
        <v>190</v>
      </c>
      <c r="DP431" s="319" t="s">
        <v>428</v>
      </c>
      <c r="DQ431" s="319" t="s">
        <v>428</v>
      </c>
      <c r="DR431" s="319" t="s">
        <v>428</v>
      </c>
      <c r="DS431" s="319" t="s">
        <v>428</v>
      </c>
      <c r="DT431" s="319" t="s">
        <v>428</v>
      </c>
      <c r="DU431" s="319" t="s">
        <v>428</v>
      </c>
      <c r="DV431" s="319" t="s">
        <v>173</v>
      </c>
      <c r="DW431" s="319" t="s">
        <v>428</v>
      </c>
      <c r="DX431" s="319" t="s">
        <v>428</v>
      </c>
      <c r="DY431" s="319" t="s">
        <v>428</v>
      </c>
      <c r="DZ431" s="319" t="s">
        <v>190</v>
      </c>
      <c r="EA431" s="319" t="s">
        <v>190</v>
      </c>
      <c r="EB431" s="319" t="s">
        <v>190</v>
      </c>
      <c r="EC431" s="319" t="s">
        <v>428</v>
      </c>
      <c r="ED431" s="319" t="s">
        <v>428</v>
      </c>
      <c r="EE431" s="319" t="s">
        <v>190</v>
      </c>
      <c r="EF431" s="319" t="s">
        <v>190</v>
      </c>
      <c r="EG431" s="319" t="s">
        <v>190</v>
      </c>
      <c r="EH431" s="319" t="s">
        <v>190</v>
      </c>
      <c r="EI431" s="319" t="s">
        <v>428</v>
      </c>
      <c r="EJ431" s="319" t="s">
        <v>428</v>
      </c>
      <c r="EK431" s="319" t="s">
        <v>428</v>
      </c>
      <c r="EL431" s="319" t="s">
        <v>428</v>
      </c>
      <c r="EM431" s="319" t="s">
        <v>428</v>
      </c>
      <c r="EN431" s="319" t="s">
        <v>190</v>
      </c>
      <c r="EO431" s="319" t="s">
        <v>190</v>
      </c>
      <c r="EP431" s="319" t="s">
        <v>190</v>
      </c>
      <c r="EQ431" s="319" t="s">
        <v>190</v>
      </c>
      <c r="ER431" s="319" t="s">
        <v>190</v>
      </c>
      <c r="ES431" s="319" t="s">
        <v>190</v>
      </c>
      <c r="ET431" s="319" t="s">
        <v>190</v>
      </c>
      <c r="EU431" s="319" t="s">
        <v>190</v>
      </c>
      <c r="EV431" s="319" t="s">
        <v>190</v>
      </c>
      <c r="EW431" s="319" t="s">
        <v>190</v>
      </c>
      <c r="EX431" s="319" t="s">
        <v>190</v>
      </c>
      <c r="EY431" s="319" t="s">
        <v>190</v>
      </c>
      <c r="EZ431" s="319" t="s">
        <v>190</v>
      </c>
      <c r="FA431" s="319" t="s">
        <v>190</v>
      </c>
      <c r="FB431" s="319" t="s">
        <v>428</v>
      </c>
      <c r="FC431" s="319" t="s">
        <v>428</v>
      </c>
      <c r="FD431" s="319" t="s">
        <v>190</v>
      </c>
      <c r="FE431" s="319" t="s">
        <v>190</v>
      </c>
      <c r="FF431" s="319" t="s">
        <v>428</v>
      </c>
      <c r="FG431" s="319" t="s">
        <v>190</v>
      </c>
      <c r="FH431" s="319" t="s">
        <v>190</v>
      </c>
      <c r="FI431" s="319" t="s">
        <v>190</v>
      </c>
      <c r="FJ431" s="319" t="s">
        <v>190</v>
      </c>
      <c r="FK431" s="319" t="s">
        <v>190</v>
      </c>
      <c r="FL431" s="319" t="s">
        <v>190</v>
      </c>
      <c r="FM431" s="319" t="s">
        <v>190</v>
      </c>
      <c r="FN431" s="319" t="s">
        <v>190</v>
      </c>
      <c r="FO431" s="319" t="s">
        <v>428</v>
      </c>
      <c r="FP431" s="319" t="s">
        <v>190</v>
      </c>
      <c r="FQ431" s="319" t="s">
        <v>190</v>
      </c>
      <c r="FR431" s="319" t="s">
        <v>190</v>
      </c>
      <c r="FS431" s="319" t="s">
        <v>428</v>
      </c>
      <c r="FT431" s="319" t="s">
        <v>190</v>
      </c>
      <c r="FU431" s="319" t="s">
        <v>190</v>
      </c>
      <c r="FV431" s="319" t="s">
        <v>190</v>
      </c>
      <c r="FW431" s="319" t="s">
        <v>190</v>
      </c>
      <c r="FX431" s="319" t="s">
        <v>190</v>
      </c>
      <c r="FY431" s="319" t="s">
        <v>190</v>
      </c>
      <c r="FZ431" s="319" t="s">
        <v>190</v>
      </c>
      <c r="GA431" s="319" t="s">
        <v>190</v>
      </c>
      <c r="GB431" s="319" t="s">
        <v>190</v>
      </c>
      <c r="GC431" s="319" t="s">
        <v>190</v>
      </c>
      <c r="GD431" s="319" t="s">
        <v>190</v>
      </c>
      <c r="GE431" s="319" t="s">
        <v>190</v>
      </c>
      <c r="GF431" s="319" t="s">
        <v>190</v>
      </c>
      <c r="GG431" s="319" t="s">
        <v>190</v>
      </c>
      <c r="GH431" s="319" t="s">
        <v>190</v>
      </c>
      <c r="GI431" s="319" t="s">
        <v>190</v>
      </c>
      <c r="GJ431" s="319" t="s">
        <v>190</v>
      </c>
      <c r="GK431" s="319" t="s">
        <v>428</v>
      </c>
      <c r="GL431" s="319" t="s">
        <v>190</v>
      </c>
      <c r="GM431" s="319" t="s">
        <v>190</v>
      </c>
      <c r="GN431" s="319" t="s">
        <v>190</v>
      </c>
      <c r="GO431" s="319" t="s">
        <v>190</v>
      </c>
      <c r="GP431" s="319" t="s">
        <v>190</v>
      </c>
      <c r="GQ431" s="319" t="s">
        <v>428</v>
      </c>
      <c r="GR431" s="319" t="s">
        <v>190</v>
      </c>
      <c r="GS431" s="319" t="s">
        <v>190</v>
      </c>
      <c r="GT431" s="319" t="s">
        <v>428</v>
      </c>
      <c r="GU431" s="319" t="s">
        <v>190</v>
      </c>
      <c r="GV431" s="319" t="s">
        <v>428</v>
      </c>
      <c r="GW431" s="319" t="s">
        <v>190</v>
      </c>
      <c r="GX431" s="319" t="s">
        <v>190</v>
      </c>
      <c r="GY431" s="319" t="s">
        <v>190</v>
      </c>
      <c r="GZ431" s="319" t="s">
        <v>428</v>
      </c>
      <c r="HA431" s="319" t="s">
        <v>190</v>
      </c>
      <c r="HB431" s="319" t="s">
        <v>428</v>
      </c>
      <c r="HC431" s="319" t="s">
        <v>190</v>
      </c>
      <c r="HD431" s="319" t="s">
        <v>190</v>
      </c>
      <c r="HE431" s="319" t="s">
        <v>190</v>
      </c>
      <c r="HF431" s="319" t="s">
        <v>190</v>
      </c>
      <c r="HG431" s="319" t="s">
        <v>190</v>
      </c>
      <c r="HH431" s="319" t="s">
        <v>190</v>
      </c>
      <c r="HI431" s="319" t="s">
        <v>190</v>
      </c>
      <c r="HJ431" s="319" t="s">
        <v>190</v>
      </c>
      <c r="HK431" s="319" t="s">
        <v>190</v>
      </c>
      <c r="HL431" s="319" t="s">
        <v>428</v>
      </c>
      <c r="HM431" s="319" t="s">
        <v>428</v>
      </c>
      <c r="HN431" s="319" t="s">
        <v>428</v>
      </c>
      <c r="HO431" s="319" t="s">
        <v>428</v>
      </c>
      <c r="HP431" s="319" t="s">
        <v>190</v>
      </c>
      <c r="HQ431" s="319" t="s">
        <v>190</v>
      </c>
      <c r="HR431" s="319" t="s">
        <v>190</v>
      </c>
      <c r="HS431" s="319" t="s">
        <v>190</v>
      </c>
      <c r="HT431" s="319" t="s">
        <v>190</v>
      </c>
      <c r="HU431" s="319" t="s">
        <v>190</v>
      </c>
      <c r="HV431" s="319" t="s">
        <v>190</v>
      </c>
      <c r="HW431" s="319" t="s">
        <v>190</v>
      </c>
      <c r="HX431" s="319" t="s">
        <v>190</v>
      </c>
      <c r="HY431" s="319" t="s">
        <v>190</v>
      </c>
      <c r="HZ431" s="319" t="s">
        <v>190</v>
      </c>
      <c r="IA431" s="319" t="s">
        <v>190</v>
      </c>
      <c r="IB431" s="319" t="s">
        <v>190</v>
      </c>
      <c r="IC431" s="319" t="s">
        <v>190</v>
      </c>
      <c r="ID431" s="319" t="s">
        <v>190</v>
      </c>
      <c r="IE431" s="319" t="s">
        <v>190</v>
      </c>
      <c r="IF431" s="319" t="s">
        <v>190</v>
      </c>
      <c r="IG431" s="319" t="s">
        <v>190</v>
      </c>
      <c r="IH431" s="319" t="s">
        <v>190</v>
      </c>
      <c r="II431" s="319" t="s">
        <v>190</v>
      </c>
      <c r="IJ431" s="319" t="s">
        <v>3204</v>
      </c>
      <c r="IK431" s="321">
        <v>41387</v>
      </c>
      <c r="IL431" s="321">
        <v>41389</v>
      </c>
      <c r="IM431" s="321">
        <v>41410</v>
      </c>
      <c r="IN431" s="319">
        <v>2</v>
      </c>
      <c r="IO431" s="319" t="s">
        <v>173</v>
      </c>
      <c r="IP431" s="319" t="s">
        <v>173</v>
      </c>
      <c r="IQ431" s="321" t="s">
        <v>173</v>
      </c>
      <c r="IR431" s="320" t="s">
        <v>173</v>
      </c>
      <c r="IS431" s="322" t="s">
        <v>173</v>
      </c>
      <c r="IT431" s="319" t="s">
        <v>173</v>
      </c>
    </row>
    <row r="432" spans="1:254" s="271" customFormat="1" x14ac:dyDescent="0.25">
      <c r="A432" s="318" t="str">
        <f>HYPERLINK("http://www.ofsted.gov.uk/inspection-reports/find-inspection-report/provider/ELS/134145 ","Ofsted School Webpage")</f>
        <v>Ofsted School Webpage</v>
      </c>
      <c r="B432" s="319">
        <v>134145</v>
      </c>
      <c r="C432" s="319">
        <v>2126405</v>
      </c>
      <c r="D432" s="319" t="s">
        <v>744</v>
      </c>
      <c r="E432" s="319" t="s">
        <v>168</v>
      </c>
      <c r="F432" s="319" t="s">
        <v>81</v>
      </c>
      <c r="G432" s="319" t="s">
        <v>81</v>
      </c>
      <c r="H432" s="319" t="s">
        <v>81</v>
      </c>
      <c r="I432" s="319" t="s">
        <v>78</v>
      </c>
      <c r="J432" s="319" t="s">
        <v>424</v>
      </c>
      <c r="K432" s="319" t="s">
        <v>441</v>
      </c>
      <c r="L432" s="319" t="s">
        <v>441</v>
      </c>
      <c r="M432" s="319" t="s">
        <v>745</v>
      </c>
      <c r="N432" s="319" t="s">
        <v>2793</v>
      </c>
      <c r="O432" s="319" t="s">
        <v>746</v>
      </c>
      <c r="P432" s="319">
        <v>47</v>
      </c>
      <c r="Q432" s="319" t="s">
        <v>429</v>
      </c>
      <c r="R432" s="320">
        <v>10055475</v>
      </c>
      <c r="S432" s="321">
        <v>43438</v>
      </c>
      <c r="T432" s="321">
        <v>43440</v>
      </c>
      <c r="U432" s="321">
        <v>43453</v>
      </c>
      <c r="V432" s="319" t="s">
        <v>425</v>
      </c>
      <c r="W432" s="319" t="s">
        <v>2767</v>
      </c>
      <c r="X432" s="319">
        <v>1</v>
      </c>
      <c r="Y432" s="319" t="s">
        <v>173</v>
      </c>
      <c r="Z432" s="319" t="s">
        <v>173</v>
      </c>
      <c r="AA432" s="319" t="s">
        <v>173</v>
      </c>
      <c r="AB432" s="319">
        <v>1</v>
      </c>
      <c r="AC432" s="319" t="s">
        <v>169</v>
      </c>
      <c r="AD432" s="319" t="s">
        <v>173</v>
      </c>
      <c r="AE432" s="319" t="s">
        <v>173</v>
      </c>
      <c r="AF432" s="319" t="s">
        <v>427</v>
      </c>
      <c r="AG432" s="319" t="s">
        <v>171</v>
      </c>
      <c r="AH432" s="319" t="s">
        <v>190</v>
      </c>
      <c r="AI432" s="319" t="s">
        <v>190</v>
      </c>
      <c r="AJ432" s="319" t="s">
        <v>190</v>
      </c>
      <c r="AK432" s="319" t="s">
        <v>190</v>
      </c>
      <c r="AL432" s="319" t="s">
        <v>190</v>
      </c>
      <c r="AM432" s="319" t="s">
        <v>190</v>
      </c>
      <c r="AN432" s="319" t="s">
        <v>190</v>
      </c>
      <c r="AO432" s="319" t="s">
        <v>190</v>
      </c>
      <c r="AP432" s="319" t="s">
        <v>190</v>
      </c>
      <c r="AQ432" s="319" t="s">
        <v>190</v>
      </c>
      <c r="AR432" s="319" t="s">
        <v>190</v>
      </c>
      <c r="AS432" s="319" t="s">
        <v>190</v>
      </c>
      <c r="AT432" s="319" t="s">
        <v>190</v>
      </c>
      <c r="AU432" s="319" t="s">
        <v>190</v>
      </c>
      <c r="AV432" s="319" t="s">
        <v>190</v>
      </c>
      <c r="AW432" s="319" t="s">
        <v>190</v>
      </c>
      <c r="AX432" s="319" t="s">
        <v>428</v>
      </c>
      <c r="AY432" s="319" t="s">
        <v>190</v>
      </c>
      <c r="AZ432" s="319" t="s">
        <v>190</v>
      </c>
      <c r="BA432" s="319" t="s">
        <v>190</v>
      </c>
      <c r="BB432" s="319" t="s">
        <v>190</v>
      </c>
      <c r="BC432" s="319" t="s">
        <v>190</v>
      </c>
      <c r="BD432" s="319" t="s">
        <v>190</v>
      </c>
      <c r="BE432" s="319" t="s">
        <v>190</v>
      </c>
      <c r="BF432" s="319" t="s">
        <v>428</v>
      </c>
      <c r="BG432" s="319" t="s">
        <v>428</v>
      </c>
      <c r="BH432" s="319" t="s">
        <v>190</v>
      </c>
      <c r="BI432" s="319" t="s">
        <v>190</v>
      </c>
      <c r="BJ432" s="319" t="s">
        <v>190</v>
      </c>
      <c r="BK432" s="319" t="s">
        <v>190</v>
      </c>
      <c r="BL432" s="319" t="s">
        <v>190</v>
      </c>
      <c r="BM432" s="319" t="s">
        <v>190</v>
      </c>
      <c r="BN432" s="319" t="s">
        <v>190</v>
      </c>
      <c r="BO432" s="319" t="s">
        <v>190</v>
      </c>
      <c r="BP432" s="319" t="s">
        <v>190</v>
      </c>
      <c r="BQ432" s="319" t="s">
        <v>190</v>
      </c>
      <c r="BR432" s="319" t="s">
        <v>190</v>
      </c>
      <c r="BS432" s="319" t="s">
        <v>190</v>
      </c>
      <c r="BT432" s="319" t="s">
        <v>190</v>
      </c>
      <c r="BU432" s="319" t="s">
        <v>190</v>
      </c>
      <c r="BV432" s="319" t="s">
        <v>190</v>
      </c>
      <c r="BW432" s="319" t="s">
        <v>190</v>
      </c>
      <c r="BX432" s="319" t="s">
        <v>190</v>
      </c>
      <c r="BY432" s="319" t="s">
        <v>190</v>
      </c>
      <c r="BZ432" s="319" t="s">
        <v>190</v>
      </c>
      <c r="CA432" s="319" t="s">
        <v>190</v>
      </c>
      <c r="CB432" s="319" t="s">
        <v>190</v>
      </c>
      <c r="CC432" s="319" t="s">
        <v>190</v>
      </c>
      <c r="CD432" s="319" t="s">
        <v>190</v>
      </c>
      <c r="CE432" s="319" t="s">
        <v>190</v>
      </c>
      <c r="CF432" s="319" t="s">
        <v>190</v>
      </c>
      <c r="CG432" s="319" t="s">
        <v>190</v>
      </c>
      <c r="CH432" s="319" t="s">
        <v>190</v>
      </c>
      <c r="CI432" s="319" t="s">
        <v>190</v>
      </c>
      <c r="CJ432" s="319" t="s">
        <v>190</v>
      </c>
      <c r="CK432" s="319" t="s">
        <v>190</v>
      </c>
      <c r="CL432" s="319" t="s">
        <v>190</v>
      </c>
      <c r="CM432" s="319" t="s">
        <v>190</v>
      </c>
      <c r="CN432" s="319" t="s">
        <v>428</v>
      </c>
      <c r="CO432" s="319" t="s">
        <v>428</v>
      </c>
      <c r="CP432" s="319" t="s">
        <v>428</v>
      </c>
      <c r="CQ432" s="319" t="s">
        <v>190</v>
      </c>
      <c r="CR432" s="319" t="s">
        <v>190</v>
      </c>
      <c r="CS432" s="319" t="s">
        <v>190</v>
      </c>
      <c r="CT432" s="319" t="s">
        <v>190</v>
      </c>
      <c r="CU432" s="319" t="s">
        <v>190</v>
      </c>
      <c r="CV432" s="319" t="s">
        <v>190</v>
      </c>
      <c r="CW432" s="319" t="s">
        <v>190</v>
      </c>
      <c r="CX432" s="319" t="s">
        <v>190</v>
      </c>
      <c r="CY432" s="319" t="s">
        <v>190</v>
      </c>
      <c r="CZ432" s="319" t="s">
        <v>190</v>
      </c>
      <c r="DA432" s="319" t="s">
        <v>190</v>
      </c>
      <c r="DB432" s="319" t="s">
        <v>190</v>
      </c>
      <c r="DC432" s="319" t="s">
        <v>190</v>
      </c>
      <c r="DD432" s="319" t="s">
        <v>190</v>
      </c>
      <c r="DE432" s="319" t="s">
        <v>190</v>
      </c>
      <c r="DF432" s="319" t="s">
        <v>190</v>
      </c>
      <c r="DG432" s="319" t="s">
        <v>190</v>
      </c>
      <c r="DH432" s="319" t="s">
        <v>190</v>
      </c>
      <c r="DI432" s="319" t="s">
        <v>190</v>
      </c>
      <c r="DJ432" s="319" t="s">
        <v>190</v>
      </c>
      <c r="DK432" s="319" t="s">
        <v>190</v>
      </c>
      <c r="DL432" s="319" t="s">
        <v>190</v>
      </c>
      <c r="DM432" s="319" t="s">
        <v>190</v>
      </c>
      <c r="DN432" s="319" t="s">
        <v>428</v>
      </c>
      <c r="DO432" s="319" t="s">
        <v>190</v>
      </c>
      <c r="DP432" s="319" t="s">
        <v>190</v>
      </c>
      <c r="DQ432" s="319" t="s">
        <v>190</v>
      </c>
      <c r="DR432" s="319" t="s">
        <v>190</v>
      </c>
      <c r="DS432" s="319" t="s">
        <v>190</v>
      </c>
      <c r="DT432" s="319" t="s">
        <v>190</v>
      </c>
      <c r="DU432" s="319" t="s">
        <v>190</v>
      </c>
      <c r="DV432" s="319" t="s">
        <v>173</v>
      </c>
      <c r="DW432" s="319" t="s">
        <v>190</v>
      </c>
      <c r="DX432" s="319" t="s">
        <v>190</v>
      </c>
      <c r="DY432" s="319" t="s">
        <v>190</v>
      </c>
      <c r="DZ432" s="319" t="s">
        <v>190</v>
      </c>
      <c r="EA432" s="319" t="s">
        <v>190</v>
      </c>
      <c r="EB432" s="319" t="s">
        <v>190</v>
      </c>
      <c r="EC432" s="319" t="s">
        <v>428</v>
      </c>
      <c r="ED432" s="319" t="s">
        <v>190</v>
      </c>
      <c r="EE432" s="319" t="s">
        <v>190</v>
      </c>
      <c r="EF432" s="319" t="s">
        <v>190</v>
      </c>
      <c r="EG432" s="319" t="s">
        <v>190</v>
      </c>
      <c r="EH432" s="319" t="s">
        <v>190</v>
      </c>
      <c r="EI432" s="319" t="s">
        <v>190</v>
      </c>
      <c r="EJ432" s="319" t="s">
        <v>190</v>
      </c>
      <c r="EK432" s="319" t="s">
        <v>190</v>
      </c>
      <c r="EL432" s="319" t="s">
        <v>190</v>
      </c>
      <c r="EM432" s="319" t="s">
        <v>190</v>
      </c>
      <c r="EN432" s="319" t="s">
        <v>190</v>
      </c>
      <c r="EO432" s="319" t="s">
        <v>190</v>
      </c>
      <c r="EP432" s="319" t="s">
        <v>190</v>
      </c>
      <c r="EQ432" s="319" t="s">
        <v>190</v>
      </c>
      <c r="ER432" s="319" t="s">
        <v>190</v>
      </c>
      <c r="ES432" s="319" t="s">
        <v>190</v>
      </c>
      <c r="ET432" s="319" t="s">
        <v>190</v>
      </c>
      <c r="EU432" s="319" t="s">
        <v>190</v>
      </c>
      <c r="EV432" s="319" t="s">
        <v>190</v>
      </c>
      <c r="EW432" s="319" t="s">
        <v>190</v>
      </c>
      <c r="EX432" s="319" t="s">
        <v>190</v>
      </c>
      <c r="EY432" s="319" t="s">
        <v>190</v>
      </c>
      <c r="EZ432" s="319" t="s">
        <v>190</v>
      </c>
      <c r="FA432" s="319" t="s">
        <v>190</v>
      </c>
      <c r="FB432" s="319" t="s">
        <v>190</v>
      </c>
      <c r="FC432" s="319" t="s">
        <v>190</v>
      </c>
      <c r="FD432" s="319" t="s">
        <v>190</v>
      </c>
      <c r="FE432" s="319" t="s">
        <v>190</v>
      </c>
      <c r="FF432" s="319" t="s">
        <v>190</v>
      </c>
      <c r="FG432" s="319" t="s">
        <v>190</v>
      </c>
      <c r="FH432" s="319" t="s">
        <v>190</v>
      </c>
      <c r="FI432" s="319" t="s">
        <v>190</v>
      </c>
      <c r="FJ432" s="319" t="s">
        <v>190</v>
      </c>
      <c r="FK432" s="319" t="s">
        <v>190</v>
      </c>
      <c r="FL432" s="319" t="s">
        <v>190</v>
      </c>
      <c r="FM432" s="319" t="s">
        <v>190</v>
      </c>
      <c r="FN432" s="319" t="s">
        <v>190</v>
      </c>
      <c r="FO432" s="319" t="s">
        <v>190</v>
      </c>
      <c r="FP432" s="319" t="s">
        <v>190</v>
      </c>
      <c r="FQ432" s="319" t="s">
        <v>190</v>
      </c>
      <c r="FR432" s="319" t="s">
        <v>190</v>
      </c>
      <c r="FS432" s="319" t="s">
        <v>190</v>
      </c>
      <c r="FT432" s="319" t="s">
        <v>190</v>
      </c>
      <c r="FU432" s="319" t="s">
        <v>190</v>
      </c>
      <c r="FV432" s="319" t="s">
        <v>190</v>
      </c>
      <c r="FW432" s="319" t="s">
        <v>190</v>
      </c>
      <c r="FX432" s="319" t="s">
        <v>190</v>
      </c>
      <c r="FY432" s="319" t="s">
        <v>190</v>
      </c>
      <c r="FZ432" s="319" t="s">
        <v>190</v>
      </c>
      <c r="GA432" s="319" t="s">
        <v>190</v>
      </c>
      <c r="GB432" s="319" t="s">
        <v>190</v>
      </c>
      <c r="GC432" s="319" t="s">
        <v>190</v>
      </c>
      <c r="GD432" s="319" t="s">
        <v>190</v>
      </c>
      <c r="GE432" s="319" t="s">
        <v>190</v>
      </c>
      <c r="GF432" s="319" t="s">
        <v>190</v>
      </c>
      <c r="GG432" s="319" t="s">
        <v>190</v>
      </c>
      <c r="GH432" s="319" t="s">
        <v>190</v>
      </c>
      <c r="GI432" s="319" t="s">
        <v>190</v>
      </c>
      <c r="GJ432" s="319" t="s">
        <v>190</v>
      </c>
      <c r="GK432" s="319" t="s">
        <v>428</v>
      </c>
      <c r="GL432" s="319" t="s">
        <v>190</v>
      </c>
      <c r="GM432" s="319" t="s">
        <v>190</v>
      </c>
      <c r="GN432" s="319" t="s">
        <v>190</v>
      </c>
      <c r="GO432" s="319" t="s">
        <v>190</v>
      </c>
      <c r="GP432" s="319" t="s">
        <v>190</v>
      </c>
      <c r="GQ432" s="319" t="s">
        <v>428</v>
      </c>
      <c r="GR432" s="319" t="s">
        <v>190</v>
      </c>
      <c r="GS432" s="319" t="s">
        <v>190</v>
      </c>
      <c r="GT432" s="319" t="s">
        <v>428</v>
      </c>
      <c r="GU432" s="319" t="s">
        <v>190</v>
      </c>
      <c r="GV432" s="319" t="s">
        <v>190</v>
      </c>
      <c r="GW432" s="319" t="s">
        <v>190</v>
      </c>
      <c r="GX432" s="319" t="s">
        <v>190</v>
      </c>
      <c r="GY432" s="319" t="s">
        <v>190</v>
      </c>
      <c r="GZ432" s="319" t="s">
        <v>190</v>
      </c>
      <c r="HA432" s="319" t="s">
        <v>190</v>
      </c>
      <c r="HB432" s="319" t="s">
        <v>190</v>
      </c>
      <c r="HC432" s="319" t="s">
        <v>190</v>
      </c>
      <c r="HD432" s="319" t="s">
        <v>190</v>
      </c>
      <c r="HE432" s="319" t="s">
        <v>190</v>
      </c>
      <c r="HF432" s="319" t="s">
        <v>190</v>
      </c>
      <c r="HG432" s="319" t="s">
        <v>190</v>
      </c>
      <c r="HH432" s="319" t="s">
        <v>190</v>
      </c>
      <c r="HI432" s="319" t="s">
        <v>190</v>
      </c>
      <c r="HJ432" s="319" t="s">
        <v>190</v>
      </c>
      <c r="HK432" s="319" t="s">
        <v>190</v>
      </c>
      <c r="HL432" s="319" t="s">
        <v>428</v>
      </c>
      <c r="HM432" s="319" t="s">
        <v>428</v>
      </c>
      <c r="HN432" s="319" t="s">
        <v>428</v>
      </c>
      <c r="HO432" s="319" t="s">
        <v>428</v>
      </c>
      <c r="HP432" s="319" t="s">
        <v>190</v>
      </c>
      <c r="HQ432" s="319" t="s">
        <v>190</v>
      </c>
      <c r="HR432" s="319" t="s">
        <v>190</v>
      </c>
      <c r="HS432" s="319" t="s">
        <v>190</v>
      </c>
      <c r="HT432" s="319" t="s">
        <v>190</v>
      </c>
      <c r="HU432" s="319" t="s">
        <v>190</v>
      </c>
      <c r="HV432" s="319" t="s">
        <v>190</v>
      </c>
      <c r="HW432" s="319" t="s">
        <v>190</v>
      </c>
      <c r="HX432" s="319" t="s">
        <v>190</v>
      </c>
      <c r="HY432" s="319" t="s">
        <v>190</v>
      </c>
      <c r="HZ432" s="319" t="s">
        <v>190</v>
      </c>
      <c r="IA432" s="319" t="s">
        <v>190</v>
      </c>
      <c r="IB432" s="319" t="s">
        <v>190</v>
      </c>
      <c r="IC432" s="319" t="s">
        <v>190</v>
      </c>
      <c r="ID432" s="319" t="s">
        <v>190</v>
      </c>
      <c r="IE432" s="319" t="s">
        <v>190</v>
      </c>
      <c r="IF432" s="319" t="s">
        <v>190</v>
      </c>
      <c r="IG432" s="319" t="s">
        <v>190</v>
      </c>
      <c r="IH432" s="319" t="s">
        <v>190</v>
      </c>
      <c r="II432" s="319" t="s">
        <v>190</v>
      </c>
      <c r="IJ432" s="319">
        <v>10012791</v>
      </c>
      <c r="IK432" s="321">
        <v>42542</v>
      </c>
      <c r="IL432" s="321">
        <v>42544</v>
      </c>
      <c r="IM432" s="321">
        <v>42566</v>
      </c>
      <c r="IN432" s="319">
        <v>2</v>
      </c>
      <c r="IO432" s="319" t="s">
        <v>173</v>
      </c>
      <c r="IP432" s="319" t="s">
        <v>173</v>
      </c>
      <c r="IQ432" s="321" t="s">
        <v>173</v>
      </c>
      <c r="IR432" s="320" t="s">
        <v>173</v>
      </c>
      <c r="IS432" s="322" t="s">
        <v>173</v>
      </c>
      <c r="IT432" s="319" t="s">
        <v>173</v>
      </c>
    </row>
    <row r="433" spans="1:254" s="271" customFormat="1" x14ac:dyDescent="0.25">
      <c r="A433" s="318" t="str">
        <f>HYPERLINK("http://www.ofsted.gov.uk/inspection-reports/find-inspection-report/provider/ELS/134148 ","Ofsted School Webpage")</f>
        <v>Ofsted School Webpage</v>
      </c>
      <c r="B433" s="319">
        <v>134148</v>
      </c>
      <c r="C433" s="319">
        <v>8456051</v>
      </c>
      <c r="D433" s="319" t="s">
        <v>1794</v>
      </c>
      <c r="E433" s="319" t="s">
        <v>168</v>
      </c>
      <c r="F433" s="319" t="s">
        <v>81</v>
      </c>
      <c r="G433" s="319" t="s">
        <v>81</v>
      </c>
      <c r="H433" s="319" t="s">
        <v>81</v>
      </c>
      <c r="I433" s="319" t="s">
        <v>78</v>
      </c>
      <c r="J433" s="319" t="s">
        <v>424</v>
      </c>
      <c r="K433" s="319" t="s">
        <v>514</v>
      </c>
      <c r="L433" s="319" t="s">
        <v>514</v>
      </c>
      <c r="M433" s="319" t="s">
        <v>676</v>
      </c>
      <c r="N433" s="319" t="s">
        <v>2939</v>
      </c>
      <c r="O433" s="319" t="s">
        <v>1795</v>
      </c>
      <c r="P433" s="319">
        <v>50</v>
      </c>
      <c r="Q433" s="319" t="s">
        <v>429</v>
      </c>
      <c r="R433" s="320">
        <v>10020900</v>
      </c>
      <c r="S433" s="321">
        <v>42927</v>
      </c>
      <c r="T433" s="321">
        <v>42929</v>
      </c>
      <c r="U433" s="321">
        <v>42992</v>
      </c>
      <c r="V433" s="319" t="s">
        <v>425</v>
      </c>
      <c r="W433" s="319" t="s">
        <v>2767</v>
      </c>
      <c r="X433" s="319">
        <v>2</v>
      </c>
      <c r="Y433" s="319" t="s">
        <v>173</v>
      </c>
      <c r="Z433" s="319" t="s">
        <v>173</v>
      </c>
      <c r="AA433" s="319" t="s">
        <v>173</v>
      </c>
      <c r="AB433" s="319">
        <v>2</v>
      </c>
      <c r="AC433" s="319" t="s">
        <v>169</v>
      </c>
      <c r="AD433" s="319" t="s">
        <v>173</v>
      </c>
      <c r="AE433" s="319">
        <v>2</v>
      </c>
      <c r="AF433" s="319" t="s">
        <v>173</v>
      </c>
      <c r="AG433" s="319" t="s">
        <v>171</v>
      </c>
      <c r="AH433" s="319" t="s">
        <v>190</v>
      </c>
      <c r="AI433" s="319" t="s">
        <v>190</v>
      </c>
      <c r="AJ433" s="319" t="s">
        <v>190</v>
      </c>
      <c r="AK433" s="319" t="s">
        <v>190</v>
      </c>
      <c r="AL433" s="319" t="s">
        <v>190</v>
      </c>
      <c r="AM433" s="319" t="s">
        <v>190</v>
      </c>
      <c r="AN433" s="319" t="s">
        <v>190</v>
      </c>
      <c r="AO433" s="319" t="s">
        <v>190</v>
      </c>
      <c r="AP433" s="319" t="s">
        <v>190</v>
      </c>
      <c r="AQ433" s="319" t="s">
        <v>190</v>
      </c>
      <c r="AR433" s="319" t="s">
        <v>190</v>
      </c>
      <c r="AS433" s="319" t="s">
        <v>190</v>
      </c>
      <c r="AT433" s="319" t="s">
        <v>190</v>
      </c>
      <c r="AU433" s="319" t="s">
        <v>190</v>
      </c>
      <c r="AV433" s="319" t="s">
        <v>190</v>
      </c>
      <c r="AW433" s="319" t="s">
        <v>190</v>
      </c>
      <c r="AX433" s="319" t="s">
        <v>429</v>
      </c>
      <c r="AY433" s="319" t="s">
        <v>190</v>
      </c>
      <c r="AZ433" s="319" t="s">
        <v>190</v>
      </c>
      <c r="BA433" s="319" t="s">
        <v>190</v>
      </c>
      <c r="BB433" s="319" t="s">
        <v>190</v>
      </c>
      <c r="BC433" s="319" t="s">
        <v>190</v>
      </c>
      <c r="BD433" s="319" t="s">
        <v>190</v>
      </c>
      <c r="BE433" s="319" t="s">
        <v>190</v>
      </c>
      <c r="BF433" s="319" t="s">
        <v>429</v>
      </c>
      <c r="BG433" s="319" t="s">
        <v>190</v>
      </c>
      <c r="BH433" s="319" t="s">
        <v>190</v>
      </c>
      <c r="BI433" s="319" t="s">
        <v>190</v>
      </c>
      <c r="BJ433" s="319" t="s">
        <v>190</v>
      </c>
      <c r="BK433" s="319" t="s">
        <v>190</v>
      </c>
      <c r="BL433" s="319" t="s">
        <v>190</v>
      </c>
      <c r="BM433" s="319" t="s">
        <v>190</v>
      </c>
      <c r="BN433" s="319" t="s">
        <v>190</v>
      </c>
      <c r="BO433" s="319" t="s">
        <v>190</v>
      </c>
      <c r="BP433" s="319" t="s">
        <v>190</v>
      </c>
      <c r="BQ433" s="319" t="s">
        <v>190</v>
      </c>
      <c r="BR433" s="319" t="s">
        <v>190</v>
      </c>
      <c r="BS433" s="319" t="s">
        <v>190</v>
      </c>
      <c r="BT433" s="319" t="s">
        <v>190</v>
      </c>
      <c r="BU433" s="319" t="s">
        <v>190</v>
      </c>
      <c r="BV433" s="319" t="s">
        <v>190</v>
      </c>
      <c r="BW433" s="319" t="s">
        <v>190</v>
      </c>
      <c r="BX433" s="319" t="s">
        <v>190</v>
      </c>
      <c r="BY433" s="319" t="s">
        <v>190</v>
      </c>
      <c r="BZ433" s="319" t="s">
        <v>190</v>
      </c>
      <c r="CA433" s="319" t="s">
        <v>190</v>
      </c>
      <c r="CB433" s="319" t="s">
        <v>190</v>
      </c>
      <c r="CC433" s="319" t="s">
        <v>190</v>
      </c>
      <c r="CD433" s="319" t="s">
        <v>190</v>
      </c>
      <c r="CE433" s="319" t="s">
        <v>190</v>
      </c>
      <c r="CF433" s="319" t="s">
        <v>190</v>
      </c>
      <c r="CG433" s="319" t="s">
        <v>190</v>
      </c>
      <c r="CH433" s="319" t="s">
        <v>190</v>
      </c>
      <c r="CI433" s="319" t="s">
        <v>190</v>
      </c>
      <c r="CJ433" s="319" t="s">
        <v>190</v>
      </c>
      <c r="CK433" s="319" t="s">
        <v>190</v>
      </c>
      <c r="CL433" s="319" t="s">
        <v>190</v>
      </c>
      <c r="CM433" s="319" t="s">
        <v>190</v>
      </c>
      <c r="CN433" s="319" t="s">
        <v>429</v>
      </c>
      <c r="CO433" s="319" t="s">
        <v>429</v>
      </c>
      <c r="CP433" s="319" t="s">
        <v>429</v>
      </c>
      <c r="CQ433" s="319" t="s">
        <v>190</v>
      </c>
      <c r="CR433" s="319" t="s">
        <v>190</v>
      </c>
      <c r="CS433" s="319" t="s">
        <v>190</v>
      </c>
      <c r="CT433" s="319" t="s">
        <v>190</v>
      </c>
      <c r="CU433" s="319" t="s">
        <v>190</v>
      </c>
      <c r="CV433" s="319" t="s">
        <v>190</v>
      </c>
      <c r="CW433" s="319" t="s">
        <v>190</v>
      </c>
      <c r="CX433" s="319" t="s">
        <v>190</v>
      </c>
      <c r="CY433" s="319" t="s">
        <v>190</v>
      </c>
      <c r="CZ433" s="319" t="s">
        <v>190</v>
      </c>
      <c r="DA433" s="319" t="s">
        <v>190</v>
      </c>
      <c r="DB433" s="319" t="s">
        <v>190</v>
      </c>
      <c r="DC433" s="319" t="s">
        <v>190</v>
      </c>
      <c r="DD433" s="319" t="s">
        <v>190</v>
      </c>
      <c r="DE433" s="319" t="s">
        <v>190</v>
      </c>
      <c r="DF433" s="319" t="s">
        <v>190</v>
      </c>
      <c r="DG433" s="319" t="s">
        <v>190</v>
      </c>
      <c r="DH433" s="319" t="s">
        <v>190</v>
      </c>
      <c r="DI433" s="319" t="s">
        <v>190</v>
      </c>
      <c r="DJ433" s="319" t="s">
        <v>190</v>
      </c>
      <c r="DK433" s="319" t="s">
        <v>190</v>
      </c>
      <c r="DL433" s="319" t="s">
        <v>190</v>
      </c>
      <c r="DM433" s="319" t="s">
        <v>190</v>
      </c>
      <c r="DN433" s="319" t="s">
        <v>190</v>
      </c>
      <c r="DO433" s="319" t="s">
        <v>190</v>
      </c>
      <c r="DP433" s="319" t="s">
        <v>190</v>
      </c>
      <c r="DQ433" s="319" t="s">
        <v>190</v>
      </c>
      <c r="DR433" s="319" t="s">
        <v>190</v>
      </c>
      <c r="DS433" s="319" t="s">
        <v>190</v>
      </c>
      <c r="DT433" s="319" t="s">
        <v>190</v>
      </c>
      <c r="DU433" s="319" t="s">
        <v>190</v>
      </c>
      <c r="DV433" s="319" t="s">
        <v>173</v>
      </c>
      <c r="DW433" s="319" t="s">
        <v>190</v>
      </c>
      <c r="DX433" s="319" t="s">
        <v>190</v>
      </c>
      <c r="DY433" s="319" t="s">
        <v>190</v>
      </c>
      <c r="DZ433" s="319" t="s">
        <v>190</v>
      </c>
      <c r="EA433" s="319" t="s">
        <v>190</v>
      </c>
      <c r="EB433" s="319" t="s">
        <v>190</v>
      </c>
      <c r="EC433" s="319" t="s">
        <v>429</v>
      </c>
      <c r="ED433" s="319" t="s">
        <v>429</v>
      </c>
      <c r="EE433" s="319" t="s">
        <v>190</v>
      </c>
      <c r="EF433" s="319" t="s">
        <v>190</v>
      </c>
      <c r="EG433" s="319" t="s">
        <v>190</v>
      </c>
      <c r="EH433" s="319" t="s">
        <v>190</v>
      </c>
      <c r="EI433" s="319" t="s">
        <v>190</v>
      </c>
      <c r="EJ433" s="319" t="s">
        <v>190</v>
      </c>
      <c r="EK433" s="319" t="s">
        <v>190</v>
      </c>
      <c r="EL433" s="319" t="s">
        <v>190</v>
      </c>
      <c r="EM433" s="319" t="s">
        <v>190</v>
      </c>
      <c r="EN433" s="319" t="s">
        <v>190</v>
      </c>
      <c r="EO433" s="319" t="s">
        <v>190</v>
      </c>
      <c r="EP433" s="319" t="s">
        <v>190</v>
      </c>
      <c r="EQ433" s="319" t="s">
        <v>190</v>
      </c>
      <c r="ER433" s="319" t="s">
        <v>190</v>
      </c>
      <c r="ES433" s="319" t="s">
        <v>190</v>
      </c>
      <c r="ET433" s="319" t="s">
        <v>190</v>
      </c>
      <c r="EU433" s="319" t="s">
        <v>190</v>
      </c>
      <c r="EV433" s="319" t="s">
        <v>190</v>
      </c>
      <c r="EW433" s="319" t="s">
        <v>190</v>
      </c>
      <c r="EX433" s="319" t="s">
        <v>190</v>
      </c>
      <c r="EY433" s="319" t="s">
        <v>190</v>
      </c>
      <c r="EZ433" s="319" t="s">
        <v>190</v>
      </c>
      <c r="FA433" s="319" t="s">
        <v>190</v>
      </c>
      <c r="FB433" s="319" t="s">
        <v>190</v>
      </c>
      <c r="FC433" s="319" t="s">
        <v>190</v>
      </c>
      <c r="FD433" s="319" t="s">
        <v>190</v>
      </c>
      <c r="FE433" s="319" t="s">
        <v>190</v>
      </c>
      <c r="FF433" s="319" t="s">
        <v>190</v>
      </c>
      <c r="FG433" s="319" t="s">
        <v>190</v>
      </c>
      <c r="FH433" s="319" t="s">
        <v>190</v>
      </c>
      <c r="FI433" s="319" t="s">
        <v>190</v>
      </c>
      <c r="FJ433" s="319" t="s">
        <v>190</v>
      </c>
      <c r="FK433" s="319" t="s">
        <v>190</v>
      </c>
      <c r="FL433" s="319" t="s">
        <v>190</v>
      </c>
      <c r="FM433" s="319" t="s">
        <v>190</v>
      </c>
      <c r="FN433" s="319" t="s">
        <v>190</v>
      </c>
      <c r="FO433" s="319" t="s">
        <v>190</v>
      </c>
      <c r="FP433" s="319" t="s">
        <v>190</v>
      </c>
      <c r="FQ433" s="319" t="s">
        <v>190</v>
      </c>
      <c r="FR433" s="319" t="s">
        <v>190</v>
      </c>
      <c r="FS433" s="319" t="s">
        <v>190</v>
      </c>
      <c r="FT433" s="319" t="s">
        <v>190</v>
      </c>
      <c r="FU433" s="319" t="s">
        <v>190</v>
      </c>
      <c r="FV433" s="319" t="s">
        <v>190</v>
      </c>
      <c r="FW433" s="319" t="s">
        <v>190</v>
      </c>
      <c r="FX433" s="319" t="s">
        <v>190</v>
      </c>
      <c r="FY433" s="319" t="s">
        <v>190</v>
      </c>
      <c r="FZ433" s="319" t="s">
        <v>190</v>
      </c>
      <c r="GA433" s="319" t="s">
        <v>190</v>
      </c>
      <c r="GB433" s="319" t="s">
        <v>190</v>
      </c>
      <c r="GC433" s="319" t="s">
        <v>190</v>
      </c>
      <c r="GD433" s="319" t="s">
        <v>190</v>
      </c>
      <c r="GE433" s="319" t="s">
        <v>190</v>
      </c>
      <c r="GF433" s="319" t="s">
        <v>190</v>
      </c>
      <c r="GG433" s="319" t="s">
        <v>190</v>
      </c>
      <c r="GH433" s="319" t="s">
        <v>190</v>
      </c>
      <c r="GI433" s="319" t="s">
        <v>190</v>
      </c>
      <c r="GJ433" s="319" t="s">
        <v>190</v>
      </c>
      <c r="GK433" s="319" t="s">
        <v>429</v>
      </c>
      <c r="GL433" s="319" t="s">
        <v>190</v>
      </c>
      <c r="GM433" s="319" t="s">
        <v>190</v>
      </c>
      <c r="GN433" s="319" t="s">
        <v>190</v>
      </c>
      <c r="GO433" s="319" t="s">
        <v>190</v>
      </c>
      <c r="GP433" s="319" t="s">
        <v>190</v>
      </c>
      <c r="GQ433" s="319" t="s">
        <v>190</v>
      </c>
      <c r="GR433" s="319" t="s">
        <v>190</v>
      </c>
      <c r="GS433" s="319" t="s">
        <v>190</v>
      </c>
      <c r="GT433" s="319" t="s">
        <v>190</v>
      </c>
      <c r="GU433" s="319" t="s">
        <v>190</v>
      </c>
      <c r="GV433" s="319" t="s">
        <v>190</v>
      </c>
      <c r="GW433" s="319" t="s">
        <v>190</v>
      </c>
      <c r="GX433" s="319" t="s">
        <v>190</v>
      </c>
      <c r="GY433" s="319" t="s">
        <v>190</v>
      </c>
      <c r="GZ433" s="319" t="s">
        <v>190</v>
      </c>
      <c r="HA433" s="319" t="s">
        <v>190</v>
      </c>
      <c r="HB433" s="319" t="s">
        <v>190</v>
      </c>
      <c r="HC433" s="319" t="s">
        <v>190</v>
      </c>
      <c r="HD433" s="319" t="s">
        <v>190</v>
      </c>
      <c r="HE433" s="319" t="s">
        <v>190</v>
      </c>
      <c r="HF433" s="319" t="s">
        <v>190</v>
      </c>
      <c r="HG433" s="319" t="s">
        <v>190</v>
      </c>
      <c r="HH433" s="319" t="s">
        <v>190</v>
      </c>
      <c r="HI433" s="319" t="s">
        <v>190</v>
      </c>
      <c r="HJ433" s="319" t="s">
        <v>190</v>
      </c>
      <c r="HK433" s="319" t="s">
        <v>190</v>
      </c>
      <c r="HL433" s="319" t="s">
        <v>190</v>
      </c>
      <c r="HM433" s="319" t="s">
        <v>190</v>
      </c>
      <c r="HN433" s="319" t="s">
        <v>190</v>
      </c>
      <c r="HO433" s="319" t="s">
        <v>190</v>
      </c>
      <c r="HP433" s="319" t="s">
        <v>190</v>
      </c>
      <c r="HQ433" s="319" t="s">
        <v>190</v>
      </c>
      <c r="HR433" s="319" t="s">
        <v>190</v>
      </c>
      <c r="HS433" s="319" t="s">
        <v>190</v>
      </c>
      <c r="HT433" s="319" t="s">
        <v>190</v>
      </c>
      <c r="HU433" s="319" t="s">
        <v>190</v>
      </c>
      <c r="HV433" s="319" t="s">
        <v>190</v>
      </c>
      <c r="HW433" s="319" t="s">
        <v>190</v>
      </c>
      <c r="HX433" s="319" t="s">
        <v>190</v>
      </c>
      <c r="HY433" s="319" t="s">
        <v>190</v>
      </c>
      <c r="HZ433" s="319" t="s">
        <v>190</v>
      </c>
      <c r="IA433" s="319" t="s">
        <v>190</v>
      </c>
      <c r="IB433" s="319" t="s">
        <v>190</v>
      </c>
      <c r="IC433" s="319" t="s">
        <v>190</v>
      </c>
      <c r="ID433" s="319" t="s">
        <v>190</v>
      </c>
      <c r="IE433" s="319" t="s">
        <v>190</v>
      </c>
      <c r="IF433" s="319" t="s">
        <v>190</v>
      </c>
      <c r="IG433" s="319" t="s">
        <v>190</v>
      </c>
      <c r="IH433" s="319" t="s">
        <v>190</v>
      </c>
      <c r="II433" s="319" t="s">
        <v>190</v>
      </c>
      <c r="IJ433" s="319" t="s">
        <v>3205</v>
      </c>
      <c r="IK433" s="321">
        <v>41555</v>
      </c>
      <c r="IL433" s="321">
        <v>41557</v>
      </c>
      <c r="IM433" s="321">
        <v>41646</v>
      </c>
      <c r="IN433" s="319">
        <v>2</v>
      </c>
      <c r="IO433" s="319" t="s">
        <v>173</v>
      </c>
      <c r="IP433" s="319" t="s">
        <v>173</v>
      </c>
      <c r="IQ433" s="321" t="s">
        <v>173</v>
      </c>
      <c r="IR433" s="320" t="s">
        <v>173</v>
      </c>
      <c r="IS433" s="322" t="s">
        <v>173</v>
      </c>
      <c r="IT433" s="319" t="s">
        <v>173</v>
      </c>
    </row>
    <row r="434" spans="1:254" s="271" customFormat="1" x14ac:dyDescent="0.25">
      <c r="A434" s="318" t="str">
        <f>HYPERLINK("http://www.ofsted.gov.uk/inspection-reports/find-inspection-report/provider/ELS/134179 ","Ofsted School Webpage")</f>
        <v>Ofsted School Webpage</v>
      </c>
      <c r="B434" s="319">
        <v>134179</v>
      </c>
      <c r="C434" s="319">
        <v>8736033</v>
      </c>
      <c r="D434" s="319" t="s">
        <v>873</v>
      </c>
      <c r="E434" s="319" t="s">
        <v>168</v>
      </c>
      <c r="F434" s="319" t="s">
        <v>81</v>
      </c>
      <c r="G434" s="319" t="s">
        <v>81</v>
      </c>
      <c r="H434" s="319" t="s">
        <v>81</v>
      </c>
      <c r="I434" s="319" t="s">
        <v>78</v>
      </c>
      <c r="J434" s="319" t="s">
        <v>424</v>
      </c>
      <c r="K434" s="319" t="s">
        <v>451</v>
      </c>
      <c r="L434" s="319" t="s">
        <v>451</v>
      </c>
      <c r="M434" s="319" t="s">
        <v>772</v>
      </c>
      <c r="N434" s="319" t="s">
        <v>2913</v>
      </c>
      <c r="O434" s="319" t="s">
        <v>874</v>
      </c>
      <c r="P434" s="319">
        <v>26</v>
      </c>
      <c r="Q434" s="319" t="s">
        <v>2776</v>
      </c>
      <c r="R434" s="320">
        <v>10056564</v>
      </c>
      <c r="S434" s="321">
        <v>43494</v>
      </c>
      <c r="T434" s="321">
        <v>43496</v>
      </c>
      <c r="U434" s="321">
        <v>43527</v>
      </c>
      <c r="V434" s="319" t="s">
        <v>425</v>
      </c>
      <c r="W434" s="319" t="s">
        <v>2767</v>
      </c>
      <c r="X434" s="319">
        <v>2</v>
      </c>
      <c r="Y434" s="319" t="s">
        <v>173</v>
      </c>
      <c r="Z434" s="319" t="s">
        <v>173</v>
      </c>
      <c r="AA434" s="319" t="s">
        <v>173</v>
      </c>
      <c r="AB434" s="319">
        <v>2</v>
      </c>
      <c r="AC434" s="319" t="s">
        <v>169</v>
      </c>
      <c r="AD434" s="319" t="s">
        <v>173</v>
      </c>
      <c r="AE434" s="319" t="s">
        <v>173</v>
      </c>
      <c r="AF434" s="319" t="s">
        <v>427</v>
      </c>
      <c r="AG434" s="319" t="s">
        <v>171</v>
      </c>
      <c r="AH434" s="319" t="s">
        <v>190</v>
      </c>
      <c r="AI434" s="319" t="s">
        <v>190</v>
      </c>
      <c r="AJ434" s="319" t="s">
        <v>190</v>
      </c>
      <c r="AK434" s="319" t="s">
        <v>190</v>
      </c>
      <c r="AL434" s="319" t="s">
        <v>190</v>
      </c>
      <c r="AM434" s="319" t="s">
        <v>190</v>
      </c>
      <c r="AN434" s="319" t="s">
        <v>190</v>
      </c>
      <c r="AO434" s="319" t="s">
        <v>190</v>
      </c>
      <c r="AP434" s="319" t="s">
        <v>190</v>
      </c>
      <c r="AQ434" s="319" t="s">
        <v>190</v>
      </c>
      <c r="AR434" s="319" t="s">
        <v>190</v>
      </c>
      <c r="AS434" s="319" t="s">
        <v>190</v>
      </c>
      <c r="AT434" s="319" t="s">
        <v>190</v>
      </c>
      <c r="AU434" s="319" t="s">
        <v>190</v>
      </c>
      <c r="AV434" s="319" t="s">
        <v>190</v>
      </c>
      <c r="AW434" s="319" t="s">
        <v>190</v>
      </c>
      <c r="AX434" s="319" t="s">
        <v>428</v>
      </c>
      <c r="AY434" s="319" t="s">
        <v>190</v>
      </c>
      <c r="AZ434" s="319" t="s">
        <v>190</v>
      </c>
      <c r="BA434" s="319" t="s">
        <v>190</v>
      </c>
      <c r="BB434" s="319" t="s">
        <v>190</v>
      </c>
      <c r="BC434" s="319" t="s">
        <v>190</v>
      </c>
      <c r="BD434" s="319" t="s">
        <v>190</v>
      </c>
      <c r="BE434" s="319" t="s">
        <v>190</v>
      </c>
      <c r="BF434" s="319" t="s">
        <v>428</v>
      </c>
      <c r="BG434" s="319" t="s">
        <v>428</v>
      </c>
      <c r="BH434" s="319" t="s">
        <v>190</v>
      </c>
      <c r="BI434" s="319" t="s">
        <v>190</v>
      </c>
      <c r="BJ434" s="319" t="s">
        <v>190</v>
      </c>
      <c r="BK434" s="319" t="s">
        <v>190</v>
      </c>
      <c r="BL434" s="319" t="s">
        <v>190</v>
      </c>
      <c r="BM434" s="319" t="s">
        <v>190</v>
      </c>
      <c r="BN434" s="319" t="s">
        <v>190</v>
      </c>
      <c r="BO434" s="319" t="s">
        <v>190</v>
      </c>
      <c r="BP434" s="319" t="s">
        <v>190</v>
      </c>
      <c r="BQ434" s="319" t="s">
        <v>190</v>
      </c>
      <c r="BR434" s="319" t="s">
        <v>190</v>
      </c>
      <c r="BS434" s="319" t="s">
        <v>190</v>
      </c>
      <c r="BT434" s="319" t="s">
        <v>190</v>
      </c>
      <c r="BU434" s="319" t="s">
        <v>190</v>
      </c>
      <c r="BV434" s="319" t="s">
        <v>190</v>
      </c>
      <c r="BW434" s="319" t="s">
        <v>190</v>
      </c>
      <c r="BX434" s="319" t="s">
        <v>190</v>
      </c>
      <c r="BY434" s="319" t="s">
        <v>190</v>
      </c>
      <c r="BZ434" s="319" t="s">
        <v>190</v>
      </c>
      <c r="CA434" s="319" t="s">
        <v>190</v>
      </c>
      <c r="CB434" s="319" t="s">
        <v>190</v>
      </c>
      <c r="CC434" s="319" t="s">
        <v>190</v>
      </c>
      <c r="CD434" s="319" t="s">
        <v>190</v>
      </c>
      <c r="CE434" s="319" t="s">
        <v>190</v>
      </c>
      <c r="CF434" s="319" t="s">
        <v>190</v>
      </c>
      <c r="CG434" s="319" t="s">
        <v>190</v>
      </c>
      <c r="CH434" s="319" t="s">
        <v>190</v>
      </c>
      <c r="CI434" s="319" t="s">
        <v>190</v>
      </c>
      <c r="CJ434" s="319" t="s">
        <v>190</v>
      </c>
      <c r="CK434" s="319" t="s">
        <v>190</v>
      </c>
      <c r="CL434" s="319" t="s">
        <v>190</v>
      </c>
      <c r="CM434" s="319" t="s">
        <v>190</v>
      </c>
      <c r="CN434" s="319" t="s">
        <v>428</v>
      </c>
      <c r="CO434" s="319" t="s">
        <v>428</v>
      </c>
      <c r="CP434" s="319" t="s">
        <v>428</v>
      </c>
      <c r="CQ434" s="319" t="s">
        <v>190</v>
      </c>
      <c r="CR434" s="319" t="s">
        <v>190</v>
      </c>
      <c r="CS434" s="319" t="s">
        <v>190</v>
      </c>
      <c r="CT434" s="319" t="s">
        <v>190</v>
      </c>
      <c r="CU434" s="319" t="s">
        <v>190</v>
      </c>
      <c r="CV434" s="319" t="s">
        <v>190</v>
      </c>
      <c r="CW434" s="319" t="s">
        <v>190</v>
      </c>
      <c r="CX434" s="319" t="s">
        <v>190</v>
      </c>
      <c r="CY434" s="319" t="s">
        <v>190</v>
      </c>
      <c r="CZ434" s="319" t="s">
        <v>190</v>
      </c>
      <c r="DA434" s="319" t="s">
        <v>190</v>
      </c>
      <c r="DB434" s="319" t="s">
        <v>190</v>
      </c>
      <c r="DC434" s="319" t="s">
        <v>190</v>
      </c>
      <c r="DD434" s="319" t="s">
        <v>190</v>
      </c>
      <c r="DE434" s="319" t="s">
        <v>190</v>
      </c>
      <c r="DF434" s="319" t="s">
        <v>190</v>
      </c>
      <c r="DG434" s="319" t="s">
        <v>190</v>
      </c>
      <c r="DH434" s="319" t="s">
        <v>190</v>
      </c>
      <c r="DI434" s="319" t="s">
        <v>190</v>
      </c>
      <c r="DJ434" s="319" t="s">
        <v>190</v>
      </c>
      <c r="DK434" s="319" t="s">
        <v>190</v>
      </c>
      <c r="DL434" s="319" t="s">
        <v>190</v>
      </c>
      <c r="DM434" s="319" t="s">
        <v>190</v>
      </c>
      <c r="DN434" s="319" t="s">
        <v>428</v>
      </c>
      <c r="DO434" s="319" t="s">
        <v>190</v>
      </c>
      <c r="DP434" s="319" t="s">
        <v>190</v>
      </c>
      <c r="DQ434" s="319" t="s">
        <v>190</v>
      </c>
      <c r="DR434" s="319" t="s">
        <v>190</v>
      </c>
      <c r="DS434" s="319" t="s">
        <v>190</v>
      </c>
      <c r="DT434" s="319" t="s">
        <v>190</v>
      </c>
      <c r="DU434" s="319" t="s">
        <v>190</v>
      </c>
      <c r="DV434" s="319" t="s">
        <v>173</v>
      </c>
      <c r="DW434" s="319" t="s">
        <v>190</v>
      </c>
      <c r="DX434" s="319" t="s">
        <v>190</v>
      </c>
      <c r="DY434" s="319" t="s">
        <v>190</v>
      </c>
      <c r="DZ434" s="319" t="s">
        <v>190</v>
      </c>
      <c r="EA434" s="319" t="s">
        <v>190</v>
      </c>
      <c r="EB434" s="319" t="s">
        <v>190</v>
      </c>
      <c r="EC434" s="319" t="s">
        <v>428</v>
      </c>
      <c r="ED434" s="319" t="s">
        <v>190</v>
      </c>
      <c r="EE434" s="319" t="s">
        <v>190</v>
      </c>
      <c r="EF434" s="319" t="s">
        <v>190</v>
      </c>
      <c r="EG434" s="319" t="s">
        <v>190</v>
      </c>
      <c r="EH434" s="319" t="s">
        <v>190</v>
      </c>
      <c r="EI434" s="319" t="s">
        <v>190</v>
      </c>
      <c r="EJ434" s="319" t="s">
        <v>190</v>
      </c>
      <c r="EK434" s="319" t="s">
        <v>190</v>
      </c>
      <c r="EL434" s="319" t="s">
        <v>190</v>
      </c>
      <c r="EM434" s="319" t="s">
        <v>190</v>
      </c>
      <c r="EN434" s="319" t="s">
        <v>190</v>
      </c>
      <c r="EO434" s="319" t="s">
        <v>190</v>
      </c>
      <c r="EP434" s="319" t="s">
        <v>190</v>
      </c>
      <c r="EQ434" s="319" t="s">
        <v>190</v>
      </c>
      <c r="ER434" s="319" t="s">
        <v>190</v>
      </c>
      <c r="ES434" s="319" t="s">
        <v>190</v>
      </c>
      <c r="ET434" s="319" t="s">
        <v>190</v>
      </c>
      <c r="EU434" s="319" t="s">
        <v>190</v>
      </c>
      <c r="EV434" s="319" t="s">
        <v>190</v>
      </c>
      <c r="EW434" s="319" t="s">
        <v>190</v>
      </c>
      <c r="EX434" s="319" t="s">
        <v>190</v>
      </c>
      <c r="EY434" s="319" t="s">
        <v>190</v>
      </c>
      <c r="EZ434" s="319" t="s">
        <v>190</v>
      </c>
      <c r="FA434" s="319" t="s">
        <v>190</v>
      </c>
      <c r="FB434" s="319" t="s">
        <v>190</v>
      </c>
      <c r="FC434" s="319" t="s">
        <v>190</v>
      </c>
      <c r="FD434" s="319" t="s">
        <v>190</v>
      </c>
      <c r="FE434" s="319" t="s">
        <v>190</v>
      </c>
      <c r="FF434" s="319" t="s">
        <v>190</v>
      </c>
      <c r="FG434" s="319" t="s">
        <v>190</v>
      </c>
      <c r="FH434" s="319" t="s">
        <v>190</v>
      </c>
      <c r="FI434" s="319" t="s">
        <v>190</v>
      </c>
      <c r="FJ434" s="319" t="s">
        <v>190</v>
      </c>
      <c r="FK434" s="319" t="s">
        <v>190</v>
      </c>
      <c r="FL434" s="319" t="s">
        <v>190</v>
      </c>
      <c r="FM434" s="319" t="s">
        <v>190</v>
      </c>
      <c r="FN434" s="319" t="s">
        <v>190</v>
      </c>
      <c r="FO434" s="319" t="s">
        <v>428</v>
      </c>
      <c r="FP434" s="319" t="s">
        <v>190</v>
      </c>
      <c r="FQ434" s="319" t="s">
        <v>190</v>
      </c>
      <c r="FR434" s="319" t="s">
        <v>190</v>
      </c>
      <c r="FS434" s="319" t="s">
        <v>428</v>
      </c>
      <c r="FT434" s="319" t="s">
        <v>428</v>
      </c>
      <c r="FU434" s="319" t="s">
        <v>190</v>
      </c>
      <c r="FV434" s="319" t="s">
        <v>190</v>
      </c>
      <c r="FW434" s="319" t="s">
        <v>190</v>
      </c>
      <c r="FX434" s="319" t="s">
        <v>190</v>
      </c>
      <c r="FY434" s="319" t="s">
        <v>190</v>
      </c>
      <c r="FZ434" s="319" t="s">
        <v>190</v>
      </c>
      <c r="GA434" s="319" t="s">
        <v>190</v>
      </c>
      <c r="GB434" s="319" t="s">
        <v>190</v>
      </c>
      <c r="GC434" s="319" t="s">
        <v>190</v>
      </c>
      <c r="GD434" s="319" t="s">
        <v>190</v>
      </c>
      <c r="GE434" s="319" t="s">
        <v>190</v>
      </c>
      <c r="GF434" s="319" t="s">
        <v>190</v>
      </c>
      <c r="GG434" s="319" t="s">
        <v>190</v>
      </c>
      <c r="GH434" s="319" t="s">
        <v>190</v>
      </c>
      <c r="GI434" s="319" t="s">
        <v>190</v>
      </c>
      <c r="GJ434" s="319" t="s">
        <v>190</v>
      </c>
      <c r="GK434" s="319" t="s">
        <v>428</v>
      </c>
      <c r="GL434" s="319" t="s">
        <v>190</v>
      </c>
      <c r="GM434" s="319" t="s">
        <v>190</v>
      </c>
      <c r="GN434" s="319" t="s">
        <v>190</v>
      </c>
      <c r="GO434" s="319" t="s">
        <v>190</v>
      </c>
      <c r="GP434" s="319" t="s">
        <v>190</v>
      </c>
      <c r="GQ434" s="319" t="s">
        <v>428</v>
      </c>
      <c r="GR434" s="319" t="s">
        <v>190</v>
      </c>
      <c r="GS434" s="319" t="s">
        <v>190</v>
      </c>
      <c r="GT434" s="319" t="s">
        <v>190</v>
      </c>
      <c r="GU434" s="319" t="s">
        <v>190</v>
      </c>
      <c r="GV434" s="319" t="s">
        <v>190</v>
      </c>
      <c r="GW434" s="319" t="s">
        <v>190</v>
      </c>
      <c r="GX434" s="319" t="s">
        <v>190</v>
      </c>
      <c r="GY434" s="319" t="s">
        <v>190</v>
      </c>
      <c r="GZ434" s="319" t="s">
        <v>428</v>
      </c>
      <c r="HA434" s="319" t="s">
        <v>190</v>
      </c>
      <c r="HB434" s="319" t="s">
        <v>428</v>
      </c>
      <c r="HC434" s="319" t="s">
        <v>190</v>
      </c>
      <c r="HD434" s="319" t="s">
        <v>190</v>
      </c>
      <c r="HE434" s="319" t="s">
        <v>190</v>
      </c>
      <c r="HF434" s="319" t="s">
        <v>190</v>
      </c>
      <c r="HG434" s="319" t="s">
        <v>190</v>
      </c>
      <c r="HH434" s="319" t="s">
        <v>190</v>
      </c>
      <c r="HI434" s="319" t="s">
        <v>190</v>
      </c>
      <c r="HJ434" s="319" t="s">
        <v>190</v>
      </c>
      <c r="HK434" s="319" t="s">
        <v>190</v>
      </c>
      <c r="HL434" s="319" t="s">
        <v>190</v>
      </c>
      <c r="HM434" s="319" t="s">
        <v>428</v>
      </c>
      <c r="HN434" s="319" t="s">
        <v>428</v>
      </c>
      <c r="HO434" s="319" t="s">
        <v>428</v>
      </c>
      <c r="HP434" s="319" t="s">
        <v>190</v>
      </c>
      <c r="HQ434" s="319" t="s">
        <v>190</v>
      </c>
      <c r="HR434" s="319" t="s">
        <v>190</v>
      </c>
      <c r="HS434" s="319" t="s">
        <v>190</v>
      </c>
      <c r="HT434" s="319" t="s">
        <v>190</v>
      </c>
      <c r="HU434" s="319" t="s">
        <v>190</v>
      </c>
      <c r="HV434" s="319" t="s">
        <v>190</v>
      </c>
      <c r="HW434" s="319" t="s">
        <v>190</v>
      </c>
      <c r="HX434" s="319" t="s">
        <v>190</v>
      </c>
      <c r="HY434" s="319" t="s">
        <v>190</v>
      </c>
      <c r="HZ434" s="319" t="s">
        <v>190</v>
      </c>
      <c r="IA434" s="319" t="s">
        <v>190</v>
      </c>
      <c r="IB434" s="319" t="s">
        <v>190</v>
      </c>
      <c r="IC434" s="319" t="s">
        <v>190</v>
      </c>
      <c r="ID434" s="319" t="s">
        <v>190</v>
      </c>
      <c r="IE434" s="319" t="s">
        <v>190</v>
      </c>
      <c r="IF434" s="319" t="s">
        <v>190</v>
      </c>
      <c r="IG434" s="319" t="s">
        <v>190</v>
      </c>
      <c r="IH434" s="319" t="s">
        <v>190</v>
      </c>
      <c r="II434" s="319" t="s">
        <v>190</v>
      </c>
      <c r="IJ434" s="319">
        <v>10006014</v>
      </c>
      <c r="IK434" s="321">
        <v>42745</v>
      </c>
      <c r="IL434" s="321">
        <v>42747</v>
      </c>
      <c r="IM434" s="321">
        <v>42793</v>
      </c>
      <c r="IN434" s="319">
        <v>3</v>
      </c>
      <c r="IO434" s="319" t="s">
        <v>173</v>
      </c>
      <c r="IP434" s="319" t="s">
        <v>173</v>
      </c>
      <c r="IQ434" s="321" t="s">
        <v>173</v>
      </c>
      <c r="IR434" s="320" t="s">
        <v>173</v>
      </c>
      <c r="IS434" s="322" t="s">
        <v>173</v>
      </c>
      <c r="IT434" s="319" t="s">
        <v>173</v>
      </c>
    </row>
    <row r="435" spans="1:254" s="271" customFormat="1" x14ac:dyDescent="0.25">
      <c r="A435" s="318" t="str">
        <f>HYPERLINK("http://www.ofsted.gov.uk/inspection-reports/find-inspection-report/provider/ELS/134186 ","Ofsted School Webpage")</f>
        <v>Ofsted School Webpage</v>
      </c>
      <c r="B435" s="319">
        <v>134186</v>
      </c>
      <c r="C435" s="319">
        <v>8776001</v>
      </c>
      <c r="D435" s="319" t="s">
        <v>1796</v>
      </c>
      <c r="E435" s="319" t="s">
        <v>168</v>
      </c>
      <c r="F435" s="319" t="s">
        <v>81</v>
      </c>
      <c r="G435" s="319" t="s">
        <v>81</v>
      </c>
      <c r="H435" s="319" t="s">
        <v>81</v>
      </c>
      <c r="I435" s="319" t="s">
        <v>78</v>
      </c>
      <c r="J435" s="319" t="s">
        <v>424</v>
      </c>
      <c r="K435" s="319" t="s">
        <v>431</v>
      </c>
      <c r="L435" s="319" t="s">
        <v>431</v>
      </c>
      <c r="M435" s="319" t="s">
        <v>1797</v>
      </c>
      <c r="N435" s="319" t="s">
        <v>3206</v>
      </c>
      <c r="O435" s="319" t="s">
        <v>1798</v>
      </c>
      <c r="P435" s="319">
        <v>44</v>
      </c>
      <c r="Q435" s="319" t="s">
        <v>429</v>
      </c>
      <c r="R435" s="320">
        <v>10026010</v>
      </c>
      <c r="S435" s="321">
        <v>43018</v>
      </c>
      <c r="T435" s="321">
        <v>43020</v>
      </c>
      <c r="U435" s="321">
        <v>43061</v>
      </c>
      <c r="V435" s="319" t="s">
        <v>425</v>
      </c>
      <c r="W435" s="319" t="s">
        <v>2767</v>
      </c>
      <c r="X435" s="319">
        <v>1</v>
      </c>
      <c r="Y435" s="319" t="s">
        <v>173</v>
      </c>
      <c r="Z435" s="319" t="s">
        <v>173</v>
      </c>
      <c r="AA435" s="319" t="s">
        <v>173</v>
      </c>
      <c r="AB435" s="319">
        <v>1</v>
      </c>
      <c r="AC435" s="319" t="s">
        <v>169</v>
      </c>
      <c r="AD435" s="319" t="s">
        <v>173</v>
      </c>
      <c r="AE435" s="319">
        <v>1</v>
      </c>
      <c r="AF435" s="319" t="s">
        <v>427</v>
      </c>
      <c r="AG435" s="319" t="s">
        <v>171</v>
      </c>
      <c r="AH435" s="319" t="s">
        <v>190</v>
      </c>
      <c r="AI435" s="319" t="s">
        <v>190</v>
      </c>
      <c r="AJ435" s="319" t="s">
        <v>190</v>
      </c>
      <c r="AK435" s="319" t="s">
        <v>190</v>
      </c>
      <c r="AL435" s="319" t="s">
        <v>190</v>
      </c>
      <c r="AM435" s="319" t="s">
        <v>190</v>
      </c>
      <c r="AN435" s="319" t="s">
        <v>190</v>
      </c>
      <c r="AO435" s="319" t="s">
        <v>190</v>
      </c>
      <c r="AP435" s="319" t="s">
        <v>190</v>
      </c>
      <c r="AQ435" s="319" t="s">
        <v>190</v>
      </c>
      <c r="AR435" s="319" t="s">
        <v>190</v>
      </c>
      <c r="AS435" s="319" t="s">
        <v>190</v>
      </c>
      <c r="AT435" s="319" t="s">
        <v>190</v>
      </c>
      <c r="AU435" s="319" t="s">
        <v>190</v>
      </c>
      <c r="AV435" s="319" t="s">
        <v>190</v>
      </c>
      <c r="AW435" s="319" t="s">
        <v>190</v>
      </c>
      <c r="AX435" s="319" t="s">
        <v>428</v>
      </c>
      <c r="AY435" s="319" t="s">
        <v>190</v>
      </c>
      <c r="AZ435" s="319" t="s">
        <v>190</v>
      </c>
      <c r="BA435" s="319" t="s">
        <v>190</v>
      </c>
      <c r="BB435" s="319" t="s">
        <v>190</v>
      </c>
      <c r="BC435" s="319" t="s">
        <v>190</v>
      </c>
      <c r="BD435" s="319" t="s">
        <v>190</v>
      </c>
      <c r="BE435" s="319" t="s">
        <v>190</v>
      </c>
      <c r="BF435" s="319" t="s">
        <v>428</v>
      </c>
      <c r="BG435" s="319" t="s">
        <v>190</v>
      </c>
      <c r="BH435" s="319" t="s">
        <v>190</v>
      </c>
      <c r="BI435" s="319" t="s">
        <v>190</v>
      </c>
      <c r="BJ435" s="319" t="s">
        <v>190</v>
      </c>
      <c r="BK435" s="319" t="s">
        <v>190</v>
      </c>
      <c r="BL435" s="319" t="s">
        <v>190</v>
      </c>
      <c r="BM435" s="319" t="s">
        <v>190</v>
      </c>
      <c r="BN435" s="319" t="s">
        <v>190</v>
      </c>
      <c r="BO435" s="319" t="s">
        <v>190</v>
      </c>
      <c r="BP435" s="319" t="s">
        <v>190</v>
      </c>
      <c r="BQ435" s="319" t="s">
        <v>190</v>
      </c>
      <c r="BR435" s="319" t="s">
        <v>190</v>
      </c>
      <c r="BS435" s="319" t="s">
        <v>190</v>
      </c>
      <c r="BT435" s="319" t="s">
        <v>190</v>
      </c>
      <c r="BU435" s="319" t="s">
        <v>190</v>
      </c>
      <c r="BV435" s="319" t="s">
        <v>190</v>
      </c>
      <c r="BW435" s="319" t="s">
        <v>190</v>
      </c>
      <c r="BX435" s="319" t="s">
        <v>190</v>
      </c>
      <c r="BY435" s="319" t="s">
        <v>190</v>
      </c>
      <c r="BZ435" s="319" t="s">
        <v>190</v>
      </c>
      <c r="CA435" s="319" t="s">
        <v>190</v>
      </c>
      <c r="CB435" s="319" t="s">
        <v>190</v>
      </c>
      <c r="CC435" s="319" t="s">
        <v>190</v>
      </c>
      <c r="CD435" s="319" t="s">
        <v>190</v>
      </c>
      <c r="CE435" s="319" t="s">
        <v>190</v>
      </c>
      <c r="CF435" s="319" t="s">
        <v>190</v>
      </c>
      <c r="CG435" s="319" t="s">
        <v>190</v>
      </c>
      <c r="CH435" s="319" t="s">
        <v>190</v>
      </c>
      <c r="CI435" s="319" t="s">
        <v>190</v>
      </c>
      <c r="CJ435" s="319" t="s">
        <v>190</v>
      </c>
      <c r="CK435" s="319" t="s">
        <v>190</v>
      </c>
      <c r="CL435" s="319" t="s">
        <v>190</v>
      </c>
      <c r="CM435" s="319" t="s">
        <v>190</v>
      </c>
      <c r="CN435" s="319" t="s">
        <v>428</v>
      </c>
      <c r="CO435" s="319" t="s">
        <v>428</v>
      </c>
      <c r="CP435" s="319" t="s">
        <v>428</v>
      </c>
      <c r="CQ435" s="319" t="s">
        <v>190</v>
      </c>
      <c r="CR435" s="319" t="s">
        <v>190</v>
      </c>
      <c r="CS435" s="319" t="s">
        <v>190</v>
      </c>
      <c r="CT435" s="319" t="s">
        <v>190</v>
      </c>
      <c r="CU435" s="319" t="s">
        <v>190</v>
      </c>
      <c r="CV435" s="319" t="s">
        <v>190</v>
      </c>
      <c r="CW435" s="319" t="s">
        <v>190</v>
      </c>
      <c r="CX435" s="319" t="s">
        <v>190</v>
      </c>
      <c r="CY435" s="319" t="s">
        <v>190</v>
      </c>
      <c r="CZ435" s="319" t="s">
        <v>190</v>
      </c>
      <c r="DA435" s="319" t="s">
        <v>190</v>
      </c>
      <c r="DB435" s="319" t="s">
        <v>190</v>
      </c>
      <c r="DC435" s="319" t="s">
        <v>190</v>
      </c>
      <c r="DD435" s="319" t="s">
        <v>190</v>
      </c>
      <c r="DE435" s="319" t="s">
        <v>190</v>
      </c>
      <c r="DF435" s="319" t="s">
        <v>190</v>
      </c>
      <c r="DG435" s="319" t="s">
        <v>190</v>
      </c>
      <c r="DH435" s="319" t="s">
        <v>190</v>
      </c>
      <c r="DI435" s="319" t="s">
        <v>190</v>
      </c>
      <c r="DJ435" s="319" t="s">
        <v>190</v>
      </c>
      <c r="DK435" s="319" t="s">
        <v>190</v>
      </c>
      <c r="DL435" s="319" t="s">
        <v>190</v>
      </c>
      <c r="DM435" s="319" t="s">
        <v>190</v>
      </c>
      <c r="DN435" s="319" t="s">
        <v>190</v>
      </c>
      <c r="DO435" s="319" t="s">
        <v>190</v>
      </c>
      <c r="DP435" s="319" t="s">
        <v>190</v>
      </c>
      <c r="DQ435" s="319" t="s">
        <v>190</v>
      </c>
      <c r="DR435" s="319" t="s">
        <v>190</v>
      </c>
      <c r="DS435" s="319" t="s">
        <v>190</v>
      </c>
      <c r="DT435" s="319" t="s">
        <v>190</v>
      </c>
      <c r="DU435" s="319" t="s">
        <v>190</v>
      </c>
      <c r="DV435" s="319" t="s">
        <v>173</v>
      </c>
      <c r="DW435" s="319" t="s">
        <v>190</v>
      </c>
      <c r="DX435" s="319" t="s">
        <v>190</v>
      </c>
      <c r="DY435" s="319" t="s">
        <v>190</v>
      </c>
      <c r="DZ435" s="319" t="s">
        <v>190</v>
      </c>
      <c r="EA435" s="319" t="s">
        <v>190</v>
      </c>
      <c r="EB435" s="319" t="s">
        <v>190</v>
      </c>
      <c r="EC435" s="319" t="s">
        <v>428</v>
      </c>
      <c r="ED435" s="319" t="s">
        <v>190</v>
      </c>
      <c r="EE435" s="319" t="s">
        <v>190</v>
      </c>
      <c r="EF435" s="319" t="s">
        <v>190</v>
      </c>
      <c r="EG435" s="319" t="s">
        <v>190</v>
      </c>
      <c r="EH435" s="319" t="s">
        <v>190</v>
      </c>
      <c r="EI435" s="319" t="s">
        <v>190</v>
      </c>
      <c r="EJ435" s="319" t="s">
        <v>190</v>
      </c>
      <c r="EK435" s="319" t="s">
        <v>190</v>
      </c>
      <c r="EL435" s="319" t="s">
        <v>190</v>
      </c>
      <c r="EM435" s="319" t="s">
        <v>190</v>
      </c>
      <c r="EN435" s="319" t="s">
        <v>190</v>
      </c>
      <c r="EO435" s="319" t="s">
        <v>190</v>
      </c>
      <c r="EP435" s="319" t="s">
        <v>190</v>
      </c>
      <c r="EQ435" s="319" t="s">
        <v>190</v>
      </c>
      <c r="ER435" s="319" t="s">
        <v>190</v>
      </c>
      <c r="ES435" s="319" t="s">
        <v>190</v>
      </c>
      <c r="ET435" s="319" t="s">
        <v>190</v>
      </c>
      <c r="EU435" s="319" t="s">
        <v>190</v>
      </c>
      <c r="EV435" s="319" t="s">
        <v>190</v>
      </c>
      <c r="EW435" s="319" t="s">
        <v>190</v>
      </c>
      <c r="EX435" s="319" t="s">
        <v>190</v>
      </c>
      <c r="EY435" s="319" t="s">
        <v>190</v>
      </c>
      <c r="EZ435" s="319" t="s">
        <v>190</v>
      </c>
      <c r="FA435" s="319" t="s">
        <v>190</v>
      </c>
      <c r="FB435" s="319" t="s">
        <v>190</v>
      </c>
      <c r="FC435" s="319" t="s">
        <v>190</v>
      </c>
      <c r="FD435" s="319" t="s">
        <v>190</v>
      </c>
      <c r="FE435" s="319" t="s">
        <v>190</v>
      </c>
      <c r="FF435" s="319" t="s">
        <v>190</v>
      </c>
      <c r="FG435" s="319" t="s">
        <v>190</v>
      </c>
      <c r="FH435" s="319" t="s">
        <v>190</v>
      </c>
      <c r="FI435" s="319" t="s">
        <v>190</v>
      </c>
      <c r="FJ435" s="319" t="s">
        <v>190</v>
      </c>
      <c r="FK435" s="319" t="s">
        <v>190</v>
      </c>
      <c r="FL435" s="319" t="s">
        <v>190</v>
      </c>
      <c r="FM435" s="319" t="s">
        <v>190</v>
      </c>
      <c r="FN435" s="319" t="s">
        <v>190</v>
      </c>
      <c r="FO435" s="319" t="s">
        <v>190</v>
      </c>
      <c r="FP435" s="319" t="s">
        <v>190</v>
      </c>
      <c r="FQ435" s="319" t="s">
        <v>190</v>
      </c>
      <c r="FR435" s="319" t="s">
        <v>190</v>
      </c>
      <c r="FS435" s="319" t="s">
        <v>190</v>
      </c>
      <c r="FT435" s="319" t="s">
        <v>190</v>
      </c>
      <c r="FU435" s="319" t="s">
        <v>190</v>
      </c>
      <c r="FV435" s="319" t="s">
        <v>190</v>
      </c>
      <c r="FW435" s="319" t="s">
        <v>190</v>
      </c>
      <c r="FX435" s="319" t="s">
        <v>190</v>
      </c>
      <c r="FY435" s="319" t="s">
        <v>190</v>
      </c>
      <c r="FZ435" s="319" t="s">
        <v>190</v>
      </c>
      <c r="GA435" s="319" t="s">
        <v>190</v>
      </c>
      <c r="GB435" s="319" t="s">
        <v>190</v>
      </c>
      <c r="GC435" s="319" t="s">
        <v>190</v>
      </c>
      <c r="GD435" s="319" t="s">
        <v>190</v>
      </c>
      <c r="GE435" s="319" t="s">
        <v>190</v>
      </c>
      <c r="GF435" s="319" t="s">
        <v>190</v>
      </c>
      <c r="GG435" s="319" t="s">
        <v>190</v>
      </c>
      <c r="GH435" s="319" t="s">
        <v>190</v>
      </c>
      <c r="GI435" s="319" t="s">
        <v>190</v>
      </c>
      <c r="GJ435" s="319" t="s">
        <v>190</v>
      </c>
      <c r="GK435" s="319" t="s">
        <v>428</v>
      </c>
      <c r="GL435" s="319" t="s">
        <v>190</v>
      </c>
      <c r="GM435" s="319" t="s">
        <v>190</v>
      </c>
      <c r="GN435" s="319" t="s">
        <v>190</v>
      </c>
      <c r="GO435" s="319" t="s">
        <v>190</v>
      </c>
      <c r="GP435" s="319" t="s">
        <v>190</v>
      </c>
      <c r="GQ435" s="319" t="s">
        <v>190</v>
      </c>
      <c r="GR435" s="319" t="s">
        <v>190</v>
      </c>
      <c r="GS435" s="319" t="s">
        <v>190</v>
      </c>
      <c r="GT435" s="319" t="s">
        <v>190</v>
      </c>
      <c r="GU435" s="319" t="s">
        <v>190</v>
      </c>
      <c r="GV435" s="319" t="s">
        <v>190</v>
      </c>
      <c r="GW435" s="319" t="s">
        <v>190</v>
      </c>
      <c r="GX435" s="319" t="s">
        <v>190</v>
      </c>
      <c r="GY435" s="319" t="s">
        <v>190</v>
      </c>
      <c r="GZ435" s="319" t="s">
        <v>190</v>
      </c>
      <c r="HA435" s="319" t="s">
        <v>190</v>
      </c>
      <c r="HB435" s="319" t="s">
        <v>190</v>
      </c>
      <c r="HC435" s="319" t="s">
        <v>190</v>
      </c>
      <c r="HD435" s="319" t="s">
        <v>190</v>
      </c>
      <c r="HE435" s="319" t="s">
        <v>190</v>
      </c>
      <c r="HF435" s="319" t="s">
        <v>190</v>
      </c>
      <c r="HG435" s="319" t="s">
        <v>190</v>
      </c>
      <c r="HH435" s="319" t="s">
        <v>190</v>
      </c>
      <c r="HI435" s="319" t="s">
        <v>190</v>
      </c>
      <c r="HJ435" s="319" t="s">
        <v>190</v>
      </c>
      <c r="HK435" s="319" t="s">
        <v>190</v>
      </c>
      <c r="HL435" s="319" t="s">
        <v>190</v>
      </c>
      <c r="HM435" s="319" t="s">
        <v>190</v>
      </c>
      <c r="HN435" s="319" t="s">
        <v>190</v>
      </c>
      <c r="HO435" s="319" t="s">
        <v>190</v>
      </c>
      <c r="HP435" s="319" t="s">
        <v>190</v>
      </c>
      <c r="HQ435" s="319" t="s">
        <v>190</v>
      </c>
      <c r="HR435" s="319" t="s">
        <v>190</v>
      </c>
      <c r="HS435" s="319" t="s">
        <v>190</v>
      </c>
      <c r="HT435" s="319" t="s">
        <v>190</v>
      </c>
      <c r="HU435" s="319" t="s">
        <v>190</v>
      </c>
      <c r="HV435" s="319" t="s">
        <v>190</v>
      </c>
      <c r="HW435" s="319" t="s">
        <v>190</v>
      </c>
      <c r="HX435" s="319" t="s">
        <v>190</v>
      </c>
      <c r="HY435" s="319" t="s">
        <v>190</v>
      </c>
      <c r="HZ435" s="319" t="s">
        <v>190</v>
      </c>
      <c r="IA435" s="319" t="s">
        <v>190</v>
      </c>
      <c r="IB435" s="319" t="s">
        <v>190</v>
      </c>
      <c r="IC435" s="319" t="s">
        <v>190</v>
      </c>
      <c r="ID435" s="319" t="s">
        <v>190</v>
      </c>
      <c r="IE435" s="319" t="s">
        <v>190</v>
      </c>
      <c r="IF435" s="319" t="s">
        <v>190</v>
      </c>
      <c r="IG435" s="319" t="s">
        <v>190</v>
      </c>
      <c r="IH435" s="319" t="s">
        <v>190</v>
      </c>
      <c r="II435" s="319" t="s">
        <v>190</v>
      </c>
      <c r="IJ435" s="319" t="s">
        <v>3207</v>
      </c>
      <c r="IK435" s="321">
        <v>41702</v>
      </c>
      <c r="IL435" s="321">
        <v>41704</v>
      </c>
      <c r="IM435" s="321">
        <v>41725</v>
      </c>
      <c r="IN435" s="319">
        <v>1</v>
      </c>
      <c r="IO435" s="319" t="s">
        <v>173</v>
      </c>
      <c r="IP435" s="319" t="s">
        <v>173</v>
      </c>
      <c r="IQ435" s="321" t="s">
        <v>173</v>
      </c>
      <c r="IR435" s="320" t="s">
        <v>173</v>
      </c>
      <c r="IS435" s="322" t="s">
        <v>173</v>
      </c>
      <c r="IT435" s="319" t="s">
        <v>173</v>
      </c>
    </row>
    <row r="436" spans="1:254" s="271" customFormat="1" x14ac:dyDescent="0.25">
      <c r="A436" s="318" t="str">
        <f>HYPERLINK("http://www.ofsted.gov.uk/inspection-reports/find-inspection-report/provider/ELS/134191 ","Ofsted School Webpage")</f>
        <v>Ofsted School Webpage</v>
      </c>
      <c r="B436" s="319">
        <v>134191</v>
      </c>
      <c r="C436" s="319">
        <v>9096053</v>
      </c>
      <c r="D436" s="319" t="s">
        <v>1799</v>
      </c>
      <c r="E436" s="319" t="s">
        <v>168</v>
      </c>
      <c r="F436" s="319" t="s">
        <v>81</v>
      </c>
      <c r="G436" s="319" t="s">
        <v>81</v>
      </c>
      <c r="H436" s="319" t="s">
        <v>81</v>
      </c>
      <c r="I436" s="319" t="s">
        <v>78</v>
      </c>
      <c r="J436" s="319" t="s">
        <v>424</v>
      </c>
      <c r="K436" s="319" t="s">
        <v>431</v>
      </c>
      <c r="L436" s="319" t="s">
        <v>431</v>
      </c>
      <c r="M436" s="319" t="s">
        <v>585</v>
      </c>
      <c r="N436" s="319" t="s">
        <v>3208</v>
      </c>
      <c r="O436" s="319" t="s">
        <v>881</v>
      </c>
      <c r="P436" s="319">
        <v>46</v>
      </c>
      <c r="Q436" s="319" t="s">
        <v>429</v>
      </c>
      <c r="R436" s="320">
        <v>10034047</v>
      </c>
      <c r="S436" s="321">
        <v>42899</v>
      </c>
      <c r="T436" s="321">
        <v>42901</v>
      </c>
      <c r="U436" s="321">
        <v>42928</v>
      </c>
      <c r="V436" s="319" t="s">
        <v>425</v>
      </c>
      <c r="W436" s="319" t="s">
        <v>2767</v>
      </c>
      <c r="X436" s="319">
        <v>2</v>
      </c>
      <c r="Y436" s="319" t="s">
        <v>173</v>
      </c>
      <c r="Z436" s="319" t="s">
        <v>173</v>
      </c>
      <c r="AA436" s="319" t="s">
        <v>173</v>
      </c>
      <c r="AB436" s="319">
        <v>2</v>
      </c>
      <c r="AC436" s="319" t="s">
        <v>169</v>
      </c>
      <c r="AD436" s="319" t="s">
        <v>173</v>
      </c>
      <c r="AE436" s="319">
        <v>2</v>
      </c>
      <c r="AF436" s="319" t="s">
        <v>173</v>
      </c>
      <c r="AG436" s="319" t="s">
        <v>171</v>
      </c>
      <c r="AH436" s="319" t="s">
        <v>190</v>
      </c>
      <c r="AI436" s="319" t="s">
        <v>190</v>
      </c>
      <c r="AJ436" s="319" t="s">
        <v>190</v>
      </c>
      <c r="AK436" s="319" t="s">
        <v>190</v>
      </c>
      <c r="AL436" s="319" t="s">
        <v>190</v>
      </c>
      <c r="AM436" s="319" t="s">
        <v>190</v>
      </c>
      <c r="AN436" s="319" t="s">
        <v>190</v>
      </c>
      <c r="AO436" s="319" t="s">
        <v>190</v>
      </c>
      <c r="AP436" s="319" t="s">
        <v>190</v>
      </c>
      <c r="AQ436" s="319" t="s">
        <v>190</v>
      </c>
      <c r="AR436" s="319" t="s">
        <v>190</v>
      </c>
      <c r="AS436" s="319" t="s">
        <v>190</v>
      </c>
      <c r="AT436" s="319" t="s">
        <v>190</v>
      </c>
      <c r="AU436" s="319" t="s">
        <v>190</v>
      </c>
      <c r="AV436" s="319" t="s">
        <v>190</v>
      </c>
      <c r="AW436" s="319" t="s">
        <v>190</v>
      </c>
      <c r="AX436" s="319" t="s">
        <v>190</v>
      </c>
      <c r="AY436" s="319" t="s">
        <v>190</v>
      </c>
      <c r="AZ436" s="319" t="s">
        <v>190</v>
      </c>
      <c r="BA436" s="319" t="s">
        <v>190</v>
      </c>
      <c r="BB436" s="319" t="s">
        <v>190</v>
      </c>
      <c r="BC436" s="319" t="s">
        <v>190</v>
      </c>
      <c r="BD436" s="319" t="s">
        <v>190</v>
      </c>
      <c r="BE436" s="319" t="s">
        <v>190</v>
      </c>
      <c r="BF436" s="319" t="s">
        <v>190</v>
      </c>
      <c r="BG436" s="319" t="s">
        <v>190</v>
      </c>
      <c r="BH436" s="319" t="s">
        <v>190</v>
      </c>
      <c r="BI436" s="319" t="s">
        <v>190</v>
      </c>
      <c r="BJ436" s="319" t="s">
        <v>190</v>
      </c>
      <c r="BK436" s="319" t="s">
        <v>190</v>
      </c>
      <c r="BL436" s="319" t="s">
        <v>190</v>
      </c>
      <c r="BM436" s="319" t="s">
        <v>190</v>
      </c>
      <c r="BN436" s="319" t="s">
        <v>190</v>
      </c>
      <c r="BO436" s="319" t="s">
        <v>190</v>
      </c>
      <c r="BP436" s="319" t="s">
        <v>190</v>
      </c>
      <c r="BQ436" s="319" t="s">
        <v>190</v>
      </c>
      <c r="BR436" s="319" t="s">
        <v>190</v>
      </c>
      <c r="BS436" s="319" t="s">
        <v>190</v>
      </c>
      <c r="BT436" s="319" t="s">
        <v>190</v>
      </c>
      <c r="BU436" s="319" t="s">
        <v>190</v>
      </c>
      <c r="BV436" s="319" t="s">
        <v>190</v>
      </c>
      <c r="BW436" s="319" t="s">
        <v>190</v>
      </c>
      <c r="BX436" s="319" t="s">
        <v>190</v>
      </c>
      <c r="BY436" s="319" t="s">
        <v>190</v>
      </c>
      <c r="BZ436" s="319" t="s">
        <v>190</v>
      </c>
      <c r="CA436" s="319" t="s">
        <v>190</v>
      </c>
      <c r="CB436" s="319" t="s">
        <v>190</v>
      </c>
      <c r="CC436" s="319" t="s">
        <v>190</v>
      </c>
      <c r="CD436" s="319" t="s">
        <v>190</v>
      </c>
      <c r="CE436" s="319" t="s">
        <v>190</v>
      </c>
      <c r="CF436" s="319" t="s">
        <v>190</v>
      </c>
      <c r="CG436" s="319" t="s">
        <v>190</v>
      </c>
      <c r="CH436" s="319" t="s">
        <v>190</v>
      </c>
      <c r="CI436" s="319" t="s">
        <v>190</v>
      </c>
      <c r="CJ436" s="319" t="s">
        <v>190</v>
      </c>
      <c r="CK436" s="319" t="s">
        <v>190</v>
      </c>
      <c r="CL436" s="319" t="s">
        <v>190</v>
      </c>
      <c r="CM436" s="319" t="s">
        <v>190</v>
      </c>
      <c r="CN436" s="319" t="s">
        <v>429</v>
      </c>
      <c r="CO436" s="319" t="s">
        <v>429</v>
      </c>
      <c r="CP436" s="319" t="s">
        <v>429</v>
      </c>
      <c r="CQ436" s="319" t="s">
        <v>190</v>
      </c>
      <c r="CR436" s="319" t="s">
        <v>190</v>
      </c>
      <c r="CS436" s="319" t="s">
        <v>190</v>
      </c>
      <c r="CT436" s="319" t="s">
        <v>190</v>
      </c>
      <c r="CU436" s="319" t="s">
        <v>190</v>
      </c>
      <c r="CV436" s="319" t="s">
        <v>190</v>
      </c>
      <c r="CW436" s="319" t="s">
        <v>190</v>
      </c>
      <c r="CX436" s="319" t="s">
        <v>190</v>
      </c>
      <c r="CY436" s="319" t="s">
        <v>190</v>
      </c>
      <c r="CZ436" s="319" t="s">
        <v>190</v>
      </c>
      <c r="DA436" s="319" t="s">
        <v>190</v>
      </c>
      <c r="DB436" s="319" t="s">
        <v>190</v>
      </c>
      <c r="DC436" s="319" t="s">
        <v>190</v>
      </c>
      <c r="DD436" s="319" t="s">
        <v>190</v>
      </c>
      <c r="DE436" s="319" t="s">
        <v>190</v>
      </c>
      <c r="DF436" s="319" t="s">
        <v>190</v>
      </c>
      <c r="DG436" s="319" t="s">
        <v>190</v>
      </c>
      <c r="DH436" s="319" t="s">
        <v>190</v>
      </c>
      <c r="DI436" s="319" t="s">
        <v>190</v>
      </c>
      <c r="DJ436" s="319" t="s">
        <v>190</v>
      </c>
      <c r="DK436" s="319" t="s">
        <v>190</v>
      </c>
      <c r="DL436" s="319" t="s">
        <v>190</v>
      </c>
      <c r="DM436" s="319" t="s">
        <v>190</v>
      </c>
      <c r="DN436" s="319" t="s">
        <v>429</v>
      </c>
      <c r="DO436" s="319" t="s">
        <v>190</v>
      </c>
      <c r="DP436" s="319" t="s">
        <v>190</v>
      </c>
      <c r="DQ436" s="319" t="s">
        <v>190</v>
      </c>
      <c r="DR436" s="319" t="s">
        <v>190</v>
      </c>
      <c r="DS436" s="319" t="s">
        <v>190</v>
      </c>
      <c r="DT436" s="319" t="s">
        <v>190</v>
      </c>
      <c r="DU436" s="319" t="s">
        <v>190</v>
      </c>
      <c r="DV436" s="319" t="s">
        <v>173</v>
      </c>
      <c r="DW436" s="319" t="s">
        <v>190</v>
      </c>
      <c r="DX436" s="319" t="s">
        <v>190</v>
      </c>
      <c r="DY436" s="319" t="s">
        <v>190</v>
      </c>
      <c r="DZ436" s="319" t="s">
        <v>190</v>
      </c>
      <c r="EA436" s="319" t="s">
        <v>190</v>
      </c>
      <c r="EB436" s="319" t="s">
        <v>190</v>
      </c>
      <c r="EC436" s="319" t="s">
        <v>429</v>
      </c>
      <c r="ED436" s="319" t="s">
        <v>190</v>
      </c>
      <c r="EE436" s="319" t="s">
        <v>190</v>
      </c>
      <c r="EF436" s="319" t="s">
        <v>190</v>
      </c>
      <c r="EG436" s="319" t="s">
        <v>190</v>
      </c>
      <c r="EH436" s="319" t="s">
        <v>190</v>
      </c>
      <c r="EI436" s="319" t="s">
        <v>190</v>
      </c>
      <c r="EJ436" s="319" t="s">
        <v>190</v>
      </c>
      <c r="EK436" s="319" t="s">
        <v>190</v>
      </c>
      <c r="EL436" s="319" t="s">
        <v>190</v>
      </c>
      <c r="EM436" s="319" t="s">
        <v>190</v>
      </c>
      <c r="EN436" s="319" t="s">
        <v>190</v>
      </c>
      <c r="EO436" s="319" t="s">
        <v>190</v>
      </c>
      <c r="EP436" s="319" t="s">
        <v>190</v>
      </c>
      <c r="EQ436" s="319" t="s">
        <v>190</v>
      </c>
      <c r="ER436" s="319" t="s">
        <v>190</v>
      </c>
      <c r="ES436" s="319" t="s">
        <v>190</v>
      </c>
      <c r="ET436" s="319" t="s">
        <v>190</v>
      </c>
      <c r="EU436" s="319" t="s">
        <v>190</v>
      </c>
      <c r="EV436" s="319" t="s">
        <v>190</v>
      </c>
      <c r="EW436" s="319" t="s">
        <v>190</v>
      </c>
      <c r="EX436" s="319" t="s">
        <v>190</v>
      </c>
      <c r="EY436" s="319" t="s">
        <v>190</v>
      </c>
      <c r="EZ436" s="319" t="s">
        <v>190</v>
      </c>
      <c r="FA436" s="319" t="s">
        <v>190</v>
      </c>
      <c r="FB436" s="319" t="s">
        <v>190</v>
      </c>
      <c r="FC436" s="319" t="s">
        <v>190</v>
      </c>
      <c r="FD436" s="319" t="s">
        <v>190</v>
      </c>
      <c r="FE436" s="319" t="s">
        <v>190</v>
      </c>
      <c r="FF436" s="319" t="s">
        <v>190</v>
      </c>
      <c r="FG436" s="319" t="s">
        <v>190</v>
      </c>
      <c r="FH436" s="319" t="s">
        <v>190</v>
      </c>
      <c r="FI436" s="319" t="s">
        <v>190</v>
      </c>
      <c r="FJ436" s="319" t="s">
        <v>190</v>
      </c>
      <c r="FK436" s="319" t="s">
        <v>190</v>
      </c>
      <c r="FL436" s="319" t="s">
        <v>190</v>
      </c>
      <c r="FM436" s="319" t="s">
        <v>190</v>
      </c>
      <c r="FN436" s="319" t="s">
        <v>190</v>
      </c>
      <c r="FO436" s="319" t="s">
        <v>190</v>
      </c>
      <c r="FP436" s="319" t="s">
        <v>190</v>
      </c>
      <c r="FQ436" s="319" t="s">
        <v>190</v>
      </c>
      <c r="FR436" s="319" t="s">
        <v>190</v>
      </c>
      <c r="FS436" s="319" t="s">
        <v>190</v>
      </c>
      <c r="FT436" s="319" t="s">
        <v>190</v>
      </c>
      <c r="FU436" s="319" t="s">
        <v>190</v>
      </c>
      <c r="FV436" s="319" t="s">
        <v>190</v>
      </c>
      <c r="FW436" s="319" t="s">
        <v>190</v>
      </c>
      <c r="FX436" s="319" t="s">
        <v>190</v>
      </c>
      <c r="FY436" s="319" t="s">
        <v>190</v>
      </c>
      <c r="FZ436" s="319" t="s">
        <v>190</v>
      </c>
      <c r="GA436" s="319" t="s">
        <v>190</v>
      </c>
      <c r="GB436" s="319" t="s">
        <v>190</v>
      </c>
      <c r="GC436" s="319" t="s">
        <v>190</v>
      </c>
      <c r="GD436" s="319" t="s">
        <v>190</v>
      </c>
      <c r="GE436" s="319" t="s">
        <v>190</v>
      </c>
      <c r="GF436" s="319" t="s">
        <v>190</v>
      </c>
      <c r="GG436" s="319" t="s">
        <v>190</v>
      </c>
      <c r="GH436" s="319" t="s">
        <v>190</v>
      </c>
      <c r="GI436" s="319" t="s">
        <v>190</v>
      </c>
      <c r="GJ436" s="319" t="s">
        <v>190</v>
      </c>
      <c r="GK436" s="319" t="s">
        <v>429</v>
      </c>
      <c r="GL436" s="319" t="s">
        <v>190</v>
      </c>
      <c r="GM436" s="319" t="s">
        <v>190</v>
      </c>
      <c r="GN436" s="319" t="s">
        <v>190</v>
      </c>
      <c r="GO436" s="319" t="s">
        <v>190</v>
      </c>
      <c r="GP436" s="319" t="s">
        <v>190</v>
      </c>
      <c r="GQ436" s="319" t="s">
        <v>190</v>
      </c>
      <c r="GR436" s="319" t="s">
        <v>190</v>
      </c>
      <c r="GS436" s="319" t="s">
        <v>190</v>
      </c>
      <c r="GT436" s="319" t="s">
        <v>190</v>
      </c>
      <c r="GU436" s="319" t="s">
        <v>190</v>
      </c>
      <c r="GV436" s="319" t="s">
        <v>190</v>
      </c>
      <c r="GW436" s="319" t="s">
        <v>190</v>
      </c>
      <c r="GX436" s="319" t="s">
        <v>190</v>
      </c>
      <c r="GY436" s="319" t="s">
        <v>190</v>
      </c>
      <c r="GZ436" s="319" t="s">
        <v>429</v>
      </c>
      <c r="HA436" s="319" t="s">
        <v>190</v>
      </c>
      <c r="HB436" s="319" t="s">
        <v>429</v>
      </c>
      <c r="HC436" s="319" t="s">
        <v>190</v>
      </c>
      <c r="HD436" s="319" t="s">
        <v>190</v>
      </c>
      <c r="HE436" s="319" t="s">
        <v>190</v>
      </c>
      <c r="HF436" s="319" t="s">
        <v>190</v>
      </c>
      <c r="HG436" s="319" t="s">
        <v>190</v>
      </c>
      <c r="HH436" s="319" t="s">
        <v>190</v>
      </c>
      <c r="HI436" s="319" t="s">
        <v>190</v>
      </c>
      <c r="HJ436" s="319" t="s">
        <v>190</v>
      </c>
      <c r="HK436" s="319" t="s">
        <v>190</v>
      </c>
      <c r="HL436" s="319" t="s">
        <v>190</v>
      </c>
      <c r="HM436" s="319" t="s">
        <v>190</v>
      </c>
      <c r="HN436" s="319" t="s">
        <v>190</v>
      </c>
      <c r="HO436" s="319" t="s">
        <v>190</v>
      </c>
      <c r="HP436" s="319" t="s">
        <v>190</v>
      </c>
      <c r="HQ436" s="319" t="s">
        <v>190</v>
      </c>
      <c r="HR436" s="319" t="s">
        <v>190</v>
      </c>
      <c r="HS436" s="319" t="s">
        <v>190</v>
      </c>
      <c r="HT436" s="319" t="s">
        <v>190</v>
      </c>
      <c r="HU436" s="319" t="s">
        <v>190</v>
      </c>
      <c r="HV436" s="319" t="s">
        <v>190</v>
      </c>
      <c r="HW436" s="319" t="s">
        <v>190</v>
      </c>
      <c r="HX436" s="319" t="s">
        <v>190</v>
      </c>
      <c r="HY436" s="319" t="s">
        <v>190</v>
      </c>
      <c r="HZ436" s="319" t="s">
        <v>190</v>
      </c>
      <c r="IA436" s="319" t="s">
        <v>190</v>
      </c>
      <c r="IB436" s="319" t="s">
        <v>190</v>
      </c>
      <c r="IC436" s="319" t="s">
        <v>190</v>
      </c>
      <c r="ID436" s="319" t="s">
        <v>190</v>
      </c>
      <c r="IE436" s="319" t="s">
        <v>190</v>
      </c>
      <c r="IF436" s="319" t="s">
        <v>190</v>
      </c>
      <c r="IG436" s="319" t="s">
        <v>190</v>
      </c>
      <c r="IH436" s="319" t="s">
        <v>190</v>
      </c>
      <c r="II436" s="319" t="s">
        <v>190</v>
      </c>
      <c r="IJ436" s="319" t="s">
        <v>3209</v>
      </c>
      <c r="IK436" s="321">
        <v>41765</v>
      </c>
      <c r="IL436" s="321">
        <v>41767</v>
      </c>
      <c r="IM436" s="321">
        <v>41789</v>
      </c>
      <c r="IN436" s="319">
        <v>2</v>
      </c>
      <c r="IO436" s="319" t="s">
        <v>173</v>
      </c>
      <c r="IP436" s="319" t="s">
        <v>173</v>
      </c>
      <c r="IQ436" s="321" t="s">
        <v>173</v>
      </c>
      <c r="IR436" s="320" t="s">
        <v>173</v>
      </c>
      <c r="IS436" s="322" t="s">
        <v>173</v>
      </c>
      <c r="IT436" s="319" t="s">
        <v>173</v>
      </c>
    </row>
    <row r="437" spans="1:254" s="271" customFormat="1" x14ac:dyDescent="0.25">
      <c r="A437" s="318" t="str">
        <f>HYPERLINK("http://www.ofsted.gov.uk/inspection-reports/find-inspection-report/provider/ELS/134192 ","Ofsted School Webpage")</f>
        <v>Ofsted School Webpage</v>
      </c>
      <c r="B437" s="319">
        <v>134192</v>
      </c>
      <c r="C437" s="319">
        <v>2136393</v>
      </c>
      <c r="D437" s="319" t="s">
        <v>944</v>
      </c>
      <c r="E437" s="319" t="s">
        <v>167</v>
      </c>
      <c r="F437" s="319" t="s">
        <v>81</v>
      </c>
      <c r="G437" s="319" t="s">
        <v>81</v>
      </c>
      <c r="H437" s="319" t="s">
        <v>81</v>
      </c>
      <c r="I437" s="319" t="s">
        <v>78</v>
      </c>
      <c r="J437" s="319" t="s">
        <v>424</v>
      </c>
      <c r="K437" s="319" t="s">
        <v>441</v>
      </c>
      <c r="L437" s="319" t="s">
        <v>441</v>
      </c>
      <c r="M437" s="319" t="s">
        <v>582</v>
      </c>
      <c r="N437" s="319" t="s">
        <v>2812</v>
      </c>
      <c r="O437" s="319" t="s">
        <v>945</v>
      </c>
      <c r="P437" s="319">
        <v>120</v>
      </c>
      <c r="Q437" s="319" t="s">
        <v>2766</v>
      </c>
      <c r="R437" s="320">
        <v>10067169</v>
      </c>
      <c r="S437" s="321">
        <v>43522</v>
      </c>
      <c r="T437" s="321">
        <v>43524</v>
      </c>
      <c r="U437" s="321">
        <v>43548</v>
      </c>
      <c r="V437" s="319" t="s">
        <v>425</v>
      </c>
      <c r="W437" s="319" t="s">
        <v>2767</v>
      </c>
      <c r="X437" s="319">
        <v>1</v>
      </c>
      <c r="Y437" s="319" t="s">
        <v>173</v>
      </c>
      <c r="Z437" s="319" t="s">
        <v>173</v>
      </c>
      <c r="AA437" s="319" t="s">
        <v>173</v>
      </c>
      <c r="AB437" s="319">
        <v>1</v>
      </c>
      <c r="AC437" s="319" t="s">
        <v>169</v>
      </c>
      <c r="AD437" s="319">
        <v>2</v>
      </c>
      <c r="AE437" s="319" t="s">
        <v>173</v>
      </c>
      <c r="AF437" s="319" t="s">
        <v>427</v>
      </c>
      <c r="AG437" s="319" t="s">
        <v>171</v>
      </c>
      <c r="AH437" s="319" t="s">
        <v>190</v>
      </c>
      <c r="AI437" s="319" t="s">
        <v>190</v>
      </c>
      <c r="AJ437" s="319" t="s">
        <v>190</v>
      </c>
      <c r="AK437" s="319" t="s">
        <v>190</v>
      </c>
      <c r="AL437" s="319" t="s">
        <v>190</v>
      </c>
      <c r="AM437" s="319" t="s">
        <v>190</v>
      </c>
      <c r="AN437" s="319" t="s">
        <v>190</v>
      </c>
      <c r="AO437" s="319" t="s">
        <v>190</v>
      </c>
      <c r="AP437" s="319" t="s">
        <v>190</v>
      </c>
      <c r="AQ437" s="319" t="s">
        <v>190</v>
      </c>
      <c r="AR437" s="319" t="s">
        <v>190</v>
      </c>
      <c r="AS437" s="319" t="s">
        <v>190</v>
      </c>
      <c r="AT437" s="319" t="s">
        <v>190</v>
      </c>
      <c r="AU437" s="319" t="s">
        <v>190</v>
      </c>
      <c r="AV437" s="319" t="s">
        <v>190</v>
      </c>
      <c r="AW437" s="319" t="s">
        <v>190</v>
      </c>
      <c r="AX437" s="319" t="s">
        <v>190</v>
      </c>
      <c r="AY437" s="319" t="s">
        <v>190</v>
      </c>
      <c r="AZ437" s="319" t="s">
        <v>190</v>
      </c>
      <c r="BA437" s="319" t="s">
        <v>190</v>
      </c>
      <c r="BB437" s="319" t="s">
        <v>428</v>
      </c>
      <c r="BC437" s="319" t="s">
        <v>428</v>
      </c>
      <c r="BD437" s="319" t="s">
        <v>428</v>
      </c>
      <c r="BE437" s="319" t="s">
        <v>428</v>
      </c>
      <c r="BF437" s="319" t="s">
        <v>190</v>
      </c>
      <c r="BG437" s="319" t="s">
        <v>428</v>
      </c>
      <c r="BH437" s="319" t="s">
        <v>190</v>
      </c>
      <c r="BI437" s="319" t="s">
        <v>190</v>
      </c>
      <c r="BJ437" s="319" t="s">
        <v>190</v>
      </c>
      <c r="BK437" s="319" t="s">
        <v>190</v>
      </c>
      <c r="BL437" s="319" t="s">
        <v>190</v>
      </c>
      <c r="BM437" s="319" t="s">
        <v>190</v>
      </c>
      <c r="BN437" s="319" t="s">
        <v>190</v>
      </c>
      <c r="BO437" s="319" t="s">
        <v>190</v>
      </c>
      <c r="BP437" s="319" t="s">
        <v>190</v>
      </c>
      <c r="BQ437" s="319" t="s">
        <v>190</v>
      </c>
      <c r="BR437" s="319" t="s">
        <v>190</v>
      </c>
      <c r="BS437" s="319" t="s">
        <v>190</v>
      </c>
      <c r="BT437" s="319" t="s">
        <v>190</v>
      </c>
      <c r="BU437" s="319" t="s">
        <v>190</v>
      </c>
      <c r="BV437" s="319" t="s">
        <v>190</v>
      </c>
      <c r="BW437" s="319" t="s">
        <v>190</v>
      </c>
      <c r="BX437" s="319" t="s">
        <v>190</v>
      </c>
      <c r="BY437" s="319" t="s">
        <v>190</v>
      </c>
      <c r="BZ437" s="319" t="s">
        <v>190</v>
      </c>
      <c r="CA437" s="319" t="s">
        <v>190</v>
      </c>
      <c r="CB437" s="319" t="s">
        <v>190</v>
      </c>
      <c r="CC437" s="319" t="s">
        <v>190</v>
      </c>
      <c r="CD437" s="319" t="s">
        <v>190</v>
      </c>
      <c r="CE437" s="319" t="s">
        <v>190</v>
      </c>
      <c r="CF437" s="319" t="s">
        <v>190</v>
      </c>
      <c r="CG437" s="319" t="s">
        <v>190</v>
      </c>
      <c r="CH437" s="319" t="s">
        <v>190</v>
      </c>
      <c r="CI437" s="319" t="s">
        <v>190</v>
      </c>
      <c r="CJ437" s="319" t="s">
        <v>190</v>
      </c>
      <c r="CK437" s="319" t="s">
        <v>190</v>
      </c>
      <c r="CL437" s="319" t="s">
        <v>190</v>
      </c>
      <c r="CM437" s="319" t="s">
        <v>190</v>
      </c>
      <c r="CN437" s="319" t="s">
        <v>428</v>
      </c>
      <c r="CO437" s="319" t="s">
        <v>428</v>
      </c>
      <c r="CP437" s="319" t="s">
        <v>428</v>
      </c>
      <c r="CQ437" s="319" t="s">
        <v>190</v>
      </c>
      <c r="CR437" s="319" t="s">
        <v>190</v>
      </c>
      <c r="CS437" s="319" t="s">
        <v>190</v>
      </c>
      <c r="CT437" s="319" t="s">
        <v>190</v>
      </c>
      <c r="CU437" s="319" t="s">
        <v>190</v>
      </c>
      <c r="CV437" s="319" t="s">
        <v>190</v>
      </c>
      <c r="CW437" s="319" t="s">
        <v>190</v>
      </c>
      <c r="CX437" s="319" t="s">
        <v>190</v>
      </c>
      <c r="CY437" s="319" t="s">
        <v>190</v>
      </c>
      <c r="CZ437" s="319" t="s">
        <v>190</v>
      </c>
      <c r="DA437" s="319" t="s">
        <v>190</v>
      </c>
      <c r="DB437" s="319" t="s">
        <v>190</v>
      </c>
      <c r="DC437" s="319" t="s">
        <v>190</v>
      </c>
      <c r="DD437" s="319" t="s">
        <v>190</v>
      </c>
      <c r="DE437" s="319" t="s">
        <v>190</v>
      </c>
      <c r="DF437" s="319" t="s">
        <v>190</v>
      </c>
      <c r="DG437" s="319" t="s">
        <v>190</v>
      </c>
      <c r="DH437" s="319" t="s">
        <v>190</v>
      </c>
      <c r="DI437" s="319" t="s">
        <v>190</v>
      </c>
      <c r="DJ437" s="319" t="s">
        <v>190</v>
      </c>
      <c r="DK437" s="319" t="s">
        <v>190</v>
      </c>
      <c r="DL437" s="319" t="s">
        <v>190</v>
      </c>
      <c r="DM437" s="319" t="s">
        <v>190</v>
      </c>
      <c r="DN437" s="319" t="s">
        <v>428</v>
      </c>
      <c r="DO437" s="319" t="s">
        <v>190</v>
      </c>
      <c r="DP437" s="319" t="s">
        <v>428</v>
      </c>
      <c r="DQ437" s="319" t="s">
        <v>428</v>
      </c>
      <c r="DR437" s="319" t="s">
        <v>428</v>
      </c>
      <c r="DS437" s="319" t="s">
        <v>428</v>
      </c>
      <c r="DT437" s="319" t="s">
        <v>428</v>
      </c>
      <c r="DU437" s="319" t="s">
        <v>428</v>
      </c>
      <c r="DV437" s="319" t="s">
        <v>173</v>
      </c>
      <c r="DW437" s="319" t="s">
        <v>428</v>
      </c>
      <c r="DX437" s="319" t="s">
        <v>428</v>
      </c>
      <c r="DY437" s="319" t="s">
        <v>428</v>
      </c>
      <c r="DZ437" s="319" t="s">
        <v>428</v>
      </c>
      <c r="EA437" s="319" t="s">
        <v>428</v>
      </c>
      <c r="EB437" s="319" t="s">
        <v>428</v>
      </c>
      <c r="EC437" s="319" t="s">
        <v>428</v>
      </c>
      <c r="ED437" s="319" t="s">
        <v>190</v>
      </c>
      <c r="EE437" s="319" t="s">
        <v>190</v>
      </c>
      <c r="EF437" s="319" t="s">
        <v>190</v>
      </c>
      <c r="EG437" s="319" t="s">
        <v>190</v>
      </c>
      <c r="EH437" s="319" t="s">
        <v>190</v>
      </c>
      <c r="EI437" s="319" t="s">
        <v>190</v>
      </c>
      <c r="EJ437" s="319" t="s">
        <v>190</v>
      </c>
      <c r="EK437" s="319" t="s">
        <v>190</v>
      </c>
      <c r="EL437" s="319" t="s">
        <v>190</v>
      </c>
      <c r="EM437" s="319" t="s">
        <v>190</v>
      </c>
      <c r="EN437" s="319" t="s">
        <v>190</v>
      </c>
      <c r="EO437" s="319" t="s">
        <v>190</v>
      </c>
      <c r="EP437" s="319" t="s">
        <v>190</v>
      </c>
      <c r="EQ437" s="319" t="s">
        <v>190</v>
      </c>
      <c r="ER437" s="319" t="s">
        <v>190</v>
      </c>
      <c r="ES437" s="319" t="s">
        <v>190</v>
      </c>
      <c r="ET437" s="319" t="s">
        <v>190</v>
      </c>
      <c r="EU437" s="319" t="s">
        <v>190</v>
      </c>
      <c r="EV437" s="319" t="s">
        <v>190</v>
      </c>
      <c r="EW437" s="319" t="s">
        <v>190</v>
      </c>
      <c r="EX437" s="319" t="s">
        <v>190</v>
      </c>
      <c r="EY437" s="319" t="s">
        <v>190</v>
      </c>
      <c r="EZ437" s="319" t="s">
        <v>190</v>
      </c>
      <c r="FA437" s="319" t="s">
        <v>190</v>
      </c>
      <c r="FB437" s="319" t="s">
        <v>428</v>
      </c>
      <c r="FC437" s="319" t="s">
        <v>428</v>
      </c>
      <c r="FD437" s="319" t="s">
        <v>428</v>
      </c>
      <c r="FE437" s="319" t="s">
        <v>428</v>
      </c>
      <c r="FF437" s="319" t="s">
        <v>428</v>
      </c>
      <c r="FG437" s="319" t="s">
        <v>428</v>
      </c>
      <c r="FH437" s="319" t="s">
        <v>190</v>
      </c>
      <c r="FI437" s="319" t="s">
        <v>190</v>
      </c>
      <c r="FJ437" s="319" t="s">
        <v>190</v>
      </c>
      <c r="FK437" s="319" t="s">
        <v>190</v>
      </c>
      <c r="FL437" s="319" t="s">
        <v>190</v>
      </c>
      <c r="FM437" s="319" t="s">
        <v>190</v>
      </c>
      <c r="FN437" s="319" t="s">
        <v>190</v>
      </c>
      <c r="FO437" s="319" t="s">
        <v>428</v>
      </c>
      <c r="FP437" s="319" t="s">
        <v>190</v>
      </c>
      <c r="FQ437" s="319" t="s">
        <v>190</v>
      </c>
      <c r="FR437" s="319" t="s">
        <v>190</v>
      </c>
      <c r="FS437" s="319" t="s">
        <v>428</v>
      </c>
      <c r="FT437" s="319" t="s">
        <v>190</v>
      </c>
      <c r="FU437" s="319" t="s">
        <v>190</v>
      </c>
      <c r="FV437" s="319" t="s">
        <v>190</v>
      </c>
      <c r="FW437" s="319" t="s">
        <v>190</v>
      </c>
      <c r="FX437" s="319" t="s">
        <v>190</v>
      </c>
      <c r="FY437" s="319" t="s">
        <v>190</v>
      </c>
      <c r="FZ437" s="319" t="s">
        <v>190</v>
      </c>
      <c r="GA437" s="319" t="s">
        <v>190</v>
      </c>
      <c r="GB437" s="319" t="s">
        <v>190</v>
      </c>
      <c r="GC437" s="319" t="s">
        <v>190</v>
      </c>
      <c r="GD437" s="319" t="s">
        <v>190</v>
      </c>
      <c r="GE437" s="319" t="s">
        <v>190</v>
      </c>
      <c r="GF437" s="319" t="s">
        <v>190</v>
      </c>
      <c r="GG437" s="319" t="s">
        <v>190</v>
      </c>
      <c r="GH437" s="319" t="s">
        <v>190</v>
      </c>
      <c r="GI437" s="319" t="s">
        <v>190</v>
      </c>
      <c r="GJ437" s="319" t="s">
        <v>190</v>
      </c>
      <c r="GK437" s="319" t="s">
        <v>428</v>
      </c>
      <c r="GL437" s="319" t="s">
        <v>190</v>
      </c>
      <c r="GM437" s="319" t="s">
        <v>190</v>
      </c>
      <c r="GN437" s="319" t="s">
        <v>190</v>
      </c>
      <c r="GO437" s="319" t="s">
        <v>190</v>
      </c>
      <c r="GP437" s="319" t="s">
        <v>190</v>
      </c>
      <c r="GQ437" s="319" t="s">
        <v>428</v>
      </c>
      <c r="GR437" s="319" t="s">
        <v>190</v>
      </c>
      <c r="GS437" s="319" t="s">
        <v>190</v>
      </c>
      <c r="GT437" s="319" t="s">
        <v>428</v>
      </c>
      <c r="GU437" s="319" t="s">
        <v>428</v>
      </c>
      <c r="GV437" s="319" t="s">
        <v>428</v>
      </c>
      <c r="GW437" s="319" t="s">
        <v>190</v>
      </c>
      <c r="GX437" s="319" t="s">
        <v>190</v>
      </c>
      <c r="GY437" s="319" t="s">
        <v>190</v>
      </c>
      <c r="GZ437" s="319" t="s">
        <v>428</v>
      </c>
      <c r="HA437" s="319" t="s">
        <v>190</v>
      </c>
      <c r="HB437" s="319" t="s">
        <v>428</v>
      </c>
      <c r="HC437" s="319" t="s">
        <v>190</v>
      </c>
      <c r="HD437" s="319" t="s">
        <v>190</v>
      </c>
      <c r="HE437" s="319" t="s">
        <v>190</v>
      </c>
      <c r="HF437" s="319" t="s">
        <v>190</v>
      </c>
      <c r="HG437" s="319" t="s">
        <v>190</v>
      </c>
      <c r="HH437" s="319" t="s">
        <v>190</v>
      </c>
      <c r="HI437" s="319" t="s">
        <v>190</v>
      </c>
      <c r="HJ437" s="319" t="s">
        <v>190</v>
      </c>
      <c r="HK437" s="319" t="s">
        <v>190</v>
      </c>
      <c r="HL437" s="319" t="s">
        <v>428</v>
      </c>
      <c r="HM437" s="319" t="s">
        <v>428</v>
      </c>
      <c r="HN437" s="319" t="s">
        <v>428</v>
      </c>
      <c r="HO437" s="319" t="s">
        <v>428</v>
      </c>
      <c r="HP437" s="319" t="s">
        <v>190</v>
      </c>
      <c r="HQ437" s="319" t="s">
        <v>190</v>
      </c>
      <c r="HR437" s="319" t="s">
        <v>190</v>
      </c>
      <c r="HS437" s="319" t="s">
        <v>190</v>
      </c>
      <c r="HT437" s="319" t="s">
        <v>190</v>
      </c>
      <c r="HU437" s="319" t="s">
        <v>190</v>
      </c>
      <c r="HV437" s="319" t="s">
        <v>190</v>
      </c>
      <c r="HW437" s="319" t="s">
        <v>190</v>
      </c>
      <c r="HX437" s="319" t="s">
        <v>190</v>
      </c>
      <c r="HY437" s="319" t="s">
        <v>190</v>
      </c>
      <c r="HZ437" s="319" t="s">
        <v>190</v>
      </c>
      <c r="IA437" s="319" t="s">
        <v>190</v>
      </c>
      <c r="IB437" s="319" t="s">
        <v>190</v>
      </c>
      <c r="IC437" s="319" t="s">
        <v>190</v>
      </c>
      <c r="ID437" s="319" t="s">
        <v>190</v>
      </c>
      <c r="IE437" s="319" t="s">
        <v>190</v>
      </c>
      <c r="IF437" s="319" t="s">
        <v>190</v>
      </c>
      <c r="IG437" s="319" t="s">
        <v>190</v>
      </c>
      <c r="IH437" s="319" t="s">
        <v>190</v>
      </c>
      <c r="II437" s="319" t="s">
        <v>190</v>
      </c>
      <c r="IJ437" s="319">
        <v>10008540</v>
      </c>
      <c r="IK437" s="321">
        <v>42444</v>
      </c>
      <c r="IL437" s="321">
        <v>42446</v>
      </c>
      <c r="IM437" s="321">
        <v>42493</v>
      </c>
      <c r="IN437" s="319">
        <v>1</v>
      </c>
      <c r="IO437" s="319" t="s">
        <v>173</v>
      </c>
      <c r="IP437" s="319" t="s">
        <v>173</v>
      </c>
      <c r="IQ437" s="321" t="s">
        <v>173</v>
      </c>
      <c r="IR437" s="320" t="s">
        <v>173</v>
      </c>
      <c r="IS437" s="322" t="s">
        <v>173</v>
      </c>
      <c r="IT437" s="319" t="s">
        <v>173</v>
      </c>
    </row>
    <row r="438" spans="1:254" s="271" customFormat="1" x14ac:dyDescent="0.25">
      <c r="A438" s="318" t="str">
        <f>HYPERLINK("http://www.ofsted.gov.uk/inspection-reports/find-inspection-report/provider/ELS/134244 ","Ofsted School Webpage")</f>
        <v>Ofsted School Webpage</v>
      </c>
      <c r="B438" s="319">
        <v>134244</v>
      </c>
      <c r="C438" s="319">
        <v>3176076</v>
      </c>
      <c r="D438" s="319" t="s">
        <v>1103</v>
      </c>
      <c r="E438" s="319" t="s">
        <v>167</v>
      </c>
      <c r="F438" s="319" t="s">
        <v>72</v>
      </c>
      <c r="G438" s="319" t="s">
        <v>72</v>
      </c>
      <c r="H438" s="319" t="s">
        <v>72</v>
      </c>
      <c r="I438" s="319" t="s">
        <v>72</v>
      </c>
      <c r="J438" s="319" t="s">
        <v>424</v>
      </c>
      <c r="K438" s="319" t="s">
        <v>441</v>
      </c>
      <c r="L438" s="319" t="s">
        <v>441</v>
      </c>
      <c r="M438" s="319" t="s">
        <v>648</v>
      </c>
      <c r="N438" s="319" t="s">
        <v>2847</v>
      </c>
      <c r="O438" s="319" t="s">
        <v>1104</v>
      </c>
      <c r="P438" s="319">
        <v>144</v>
      </c>
      <c r="Q438" s="319" t="s">
        <v>2766</v>
      </c>
      <c r="R438" s="320">
        <v>10092443</v>
      </c>
      <c r="S438" s="321">
        <v>43774</v>
      </c>
      <c r="T438" s="321">
        <v>43776</v>
      </c>
      <c r="U438" s="321">
        <v>43816</v>
      </c>
      <c r="V438" s="319" t="s">
        <v>425</v>
      </c>
      <c r="W438" s="319" t="s">
        <v>2767</v>
      </c>
      <c r="X438" s="319">
        <v>2</v>
      </c>
      <c r="Y438" s="319">
        <v>2</v>
      </c>
      <c r="Z438" s="319">
        <v>1</v>
      </c>
      <c r="AA438" s="319">
        <v>1</v>
      </c>
      <c r="AB438" s="319">
        <v>2</v>
      </c>
      <c r="AC438" s="319" t="s">
        <v>169</v>
      </c>
      <c r="AD438" s="319" t="s">
        <v>173</v>
      </c>
      <c r="AE438" s="319" t="s">
        <v>173</v>
      </c>
      <c r="AF438" s="319" t="s">
        <v>427</v>
      </c>
      <c r="AG438" s="319" t="s">
        <v>171</v>
      </c>
      <c r="AH438" s="319" t="s">
        <v>190</v>
      </c>
      <c r="AI438" s="319" t="s">
        <v>190</v>
      </c>
      <c r="AJ438" s="319" t="s">
        <v>190</v>
      </c>
      <c r="AK438" s="319" t="s">
        <v>190</v>
      </c>
      <c r="AL438" s="319" t="s">
        <v>190</v>
      </c>
      <c r="AM438" s="319" t="s">
        <v>190</v>
      </c>
      <c r="AN438" s="319" t="s">
        <v>190</v>
      </c>
      <c r="AO438" s="319" t="s">
        <v>190</v>
      </c>
      <c r="AP438" s="319" t="s">
        <v>190</v>
      </c>
      <c r="AQ438" s="319" t="s">
        <v>190</v>
      </c>
      <c r="AR438" s="319" t="s">
        <v>190</v>
      </c>
      <c r="AS438" s="319" t="s">
        <v>190</v>
      </c>
      <c r="AT438" s="319" t="s">
        <v>190</v>
      </c>
      <c r="AU438" s="319" t="s">
        <v>190</v>
      </c>
      <c r="AV438" s="319" t="s">
        <v>190</v>
      </c>
      <c r="AW438" s="319" t="s">
        <v>190</v>
      </c>
      <c r="AX438" s="319" t="s">
        <v>190</v>
      </c>
      <c r="AY438" s="319" t="s">
        <v>190</v>
      </c>
      <c r="AZ438" s="319" t="s">
        <v>190</v>
      </c>
      <c r="BA438" s="319" t="s">
        <v>190</v>
      </c>
      <c r="BB438" s="319" t="s">
        <v>190</v>
      </c>
      <c r="BC438" s="319" t="s">
        <v>190</v>
      </c>
      <c r="BD438" s="319" t="s">
        <v>190</v>
      </c>
      <c r="BE438" s="319" t="s">
        <v>190</v>
      </c>
      <c r="BF438" s="319" t="s">
        <v>190</v>
      </c>
      <c r="BG438" s="319" t="s">
        <v>190</v>
      </c>
      <c r="BH438" s="319" t="s">
        <v>190</v>
      </c>
      <c r="BI438" s="319" t="s">
        <v>190</v>
      </c>
      <c r="BJ438" s="319" t="s">
        <v>190</v>
      </c>
      <c r="BK438" s="319" t="s">
        <v>190</v>
      </c>
      <c r="BL438" s="319" t="s">
        <v>190</v>
      </c>
      <c r="BM438" s="319" t="s">
        <v>190</v>
      </c>
      <c r="BN438" s="319" t="s">
        <v>190</v>
      </c>
      <c r="BO438" s="319" t="s">
        <v>190</v>
      </c>
      <c r="BP438" s="319" t="s">
        <v>190</v>
      </c>
      <c r="BQ438" s="319" t="s">
        <v>190</v>
      </c>
      <c r="BR438" s="319" t="s">
        <v>190</v>
      </c>
      <c r="BS438" s="319" t="s">
        <v>190</v>
      </c>
      <c r="BT438" s="319" t="s">
        <v>190</v>
      </c>
      <c r="BU438" s="319" t="s">
        <v>190</v>
      </c>
      <c r="BV438" s="319" t="s">
        <v>190</v>
      </c>
      <c r="BW438" s="319" t="s">
        <v>190</v>
      </c>
      <c r="BX438" s="319" t="s">
        <v>190</v>
      </c>
      <c r="BY438" s="319" t="s">
        <v>190</v>
      </c>
      <c r="BZ438" s="319" t="s">
        <v>190</v>
      </c>
      <c r="CA438" s="319" t="s">
        <v>190</v>
      </c>
      <c r="CB438" s="319" t="s">
        <v>190</v>
      </c>
      <c r="CC438" s="319" t="s">
        <v>190</v>
      </c>
      <c r="CD438" s="319" t="s">
        <v>190</v>
      </c>
      <c r="CE438" s="319" t="s">
        <v>190</v>
      </c>
      <c r="CF438" s="319" t="s">
        <v>190</v>
      </c>
      <c r="CG438" s="319" t="s">
        <v>190</v>
      </c>
      <c r="CH438" s="319" t="s">
        <v>190</v>
      </c>
      <c r="CI438" s="319" t="s">
        <v>190</v>
      </c>
      <c r="CJ438" s="319" t="s">
        <v>190</v>
      </c>
      <c r="CK438" s="319" t="s">
        <v>190</v>
      </c>
      <c r="CL438" s="319" t="s">
        <v>190</v>
      </c>
      <c r="CM438" s="319" t="s">
        <v>190</v>
      </c>
      <c r="CN438" s="319" t="s">
        <v>428</v>
      </c>
      <c r="CO438" s="319" t="s">
        <v>428</v>
      </c>
      <c r="CP438" s="319" t="s">
        <v>428</v>
      </c>
      <c r="CQ438" s="319" t="s">
        <v>428</v>
      </c>
      <c r="CR438" s="319" t="s">
        <v>190</v>
      </c>
      <c r="CS438" s="319" t="s">
        <v>190</v>
      </c>
      <c r="CT438" s="319" t="s">
        <v>190</v>
      </c>
      <c r="CU438" s="319" t="s">
        <v>190</v>
      </c>
      <c r="CV438" s="319" t="s">
        <v>190</v>
      </c>
      <c r="CW438" s="319" t="s">
        <v>190</v>
      </c>
      <c r="CX438" s="319" t="s">
        <v>190</v>
      </c>
      <c r="CY438" s="319" t="s">
        <v>190</v>
      </c>
      <c r="CZ438" s="319" t="s">
        <v>190</v>
      </c>
      <c r="DA438" s="319" t="s">
        <v>190</v>
      </c>
      <c r="DB438" s="319" t="s">
        <v>190</v>
      </c>
      <c r="DC438" s="319" t="s">
        <v>190</v>
      </c>
      <c r="DD438" s="319" t="s">
        <v>190</v>
      </c>
      <c r="DE438" s="319" t="s">
        <v>190</v>
      </c>
      <c r="DF438" s="319" t="s">
        <v>190</v>
      </c>
      <c r="DG438" s="319" t="s">
        <v>190</v>
      </c>
      <c r="DH438" s="319" t="s">
        <v>190</v>
      </c>
      <c r="DI438" s="319" t="s">
        <v>190</v>
      </c>
      <c r="DJ438" s="319" t="s">
        <v>190</v>
      </c>
      <c r="DK438" s="319" t="s">
        <v>190</v>
      </c>
      <c r="DL438" s="319" t="s">
        <v>190</v>
      </c>
      <c r="DM438" s="319" t="s">
        <v>190</v>
      </c>
      <c r="DN438" s="319" t="s">
        <v>190</v>
      </c>
      <c r="DO438" s="319" t="s">
        <v>190</v>
      </c>
      <c r="DP438" s="319" t="s">
        <v>190</v>
      </c>
      <c r="DQ438" s="319" t="s">
        <v>190</v>
      </c>
      <c r="DR438" s="319" t="s">
        <v>190</v>
      </c>
      <c r="DS438" s="319" t="s">
        <v>190</v>
      </c>
      <c r="DT438" s="319" t="s">
        <v>190</v>
      </c>
      <c r="DU438" s="319" t="s">
        <v>190</v>
      </c>
      <c r="DV438" s="319" t="s">
        <v>190</v>
      </c>
      <c r="DW438" s="319" t="s">
        <v>190</v>
      </c>
      <c r="DX438" s="319" t="s">
        <v>190</v>
      </c>
      <c r="DY438" s="319" t="s">
        <v>190</v>
      </c>
      <c r="DZ438" s="319" t="s">
        <v>190</v>
      </c>
      <c r="EA438" s="319" t="s">
        <v>190</v>
      </c>
      <c r="EB438" s="319" t="s">
        <v>190</v>
      </c>
      <c r="EC438" s="319" t="s">
        <v>190</v>
      </c>
      <c r="ED438" s="319" t="s">
        <v>190</v>
      </c>
      <c r="EE438" s="319" t="s">
        <v>190</v>
      </c>
      <c r="EF438" s="319" t="s">
        <v>190</v>
      </c>
      <c r="EG438" s="319" t="s">
        <v>190</v>
      </c>
      <c r="EH438" s="319" t="s">
        <v>190</v>
      </c>
      <c r="EI438" s="319" t="s">
        <v>190</v>
      </c>
      <c r="EJ438" s="319" t="s">
        <v>190</v>
      </c>
      <c r="EK438" s="319" t="s">
        <v>190</v>
      </c>
      <c r="EL438" s="319" t="s">
        <v>190</v>
      </c>
      <c r="EM438" s="319" t="s">
        <v>190</v>
      </c>
      <c r="EN438" s="319" t="s">
        <v>190</v>
      </c>
      <c r="EO438" s="319" t="s">
        <v>190</v>
      </c>
      <c r="EP438" s="319" t="s">
        <v>190</v>
      </c>
      <c r="EQ438" s="319" t="s">
        <v>190</v>
      </c>
      <c r="ER438" s="319" t="s">
        <v>190</v>
      </c>
      <c r="ES438" s="319" t="s">
        <v>190</v>
      </c>
      <c r="ET438" s="319" t="s">
        <v>190</v>
      </c>
      <c r="EU438" s="319" t="s">
        <v>190</v>
      </c>
      <c r="EV438" s="319" t="s">
        <v>190</v>
      </c>
      <c r="EW438" s="319" t="s">
        <v>190</v>
      </c>
      <c r="EX438" s="319" t="s">
        <v>190</v>
      </c>
      <c r="EY438" s="319" t="s">
        <v>190</v>
      </c>
      <c r="EZ438" s="319" t="s">
        <v>190</v>
      </c>
      <c r="FA438" s="319" t="s">
        <v>190</v>
      </c>
      <c r="FB438" s="319" t="s">
        <v>190</v>
      </c>
      <c r="FC438" s="319" t="s">
        <v>190</v>
      </c>
      <c r="FD438" s="319" t="s">
        <v>190</v>
      </c>
      <c r="FE438" s="319" t="s">
        <v>190</v>
      </c>
      <c r="FF438" s="319" t="s">
        <v>190</v>
      </c>
      <c r="FG438" s="319" t="s">
        <v>190</v>
      </c>
      <c r="FH438" s="319" t="s">
        <v>190</v>
      </c>
      <c r="FI438" s="319" t="s">
        <v>190</v>
      </c>
      <c r="FJ438" s="319" t="s">
        <v>190</v>
      </c>
      <c r="FK438" s="319" t="s">
        <v>190</v>
      </c>
      <c r="FL438" s="319" t="s">
        <v>190</v>
      </c>
      <c r="FM438" s="319" t="s">
        <v>190</v>
      </c>
      <c r="FN438" s="319" t="s">
        <v>190</v>
      </c>
      <c r="FO438" s="319" t="s">
        <v>190</v>
      </c>
      <c r="FP438" s="319" t="s">
        <v>190</v>
      </c>
      <c r="FQ438" s="319" t="s">
        <v>190</v>
      </c>
      <c r="FR438" s="319" t="s">
        <v>190</v>
      </c>
      <c r="FS438" s="319" t="s">
        <v>190</v>
      </c>
      <c r="FT438" s="319" t="s">
        <v>190</v>
      </c>
      <c r="FU438" s="319" t="s">
        <v>190</v>
      </c>
      <c r="FV438" s="319" t="s">
        <v>190</v>
      </c>
      <c r="FW438" s="319" t="s">
        <v>190</v>
      </c>
      <c r="FX438" s="319" t="s">
        <v>190</v>
      </c>
      <c r="FY438" s="319" t="s">
        <v>190</v>
      </c>
      <c r="FZ438" s="319" t="s">
        <v>190</v>
      </c>
      <c r="GA438" s="319" t="s">
        <v>190</v>
      </c>
      <c r="GB438" s="319" t="s">
        <v>190</v>
      </c>
      <c r="GC438" s="319" t="s">
        <v>190</v>
      </c>
      <c r="GD438" s="319" t="s">
        <v>190</v>
      </c>
      <c r="GE438" s="319" t="s">
        <v>190</v>
      </c>
      <c r="GF438" s="319" t="s">
        <v>190</v>
      </c>
      <c r="GG438" s="319" t="s">
        <v>190</v>
      </c>
      <c r="GH438" s="319" t="s">
        <v>190</v>
      </c>
      <c r="GI438" s="319" t="s">
        <v>190</v>
      </c>
      <c r="GJ438" s="319" t="s">
        <v>190</v>
      </c>
      <c r="GK438" s="319" t="s">
        <v>190</v>
      </c>
      <c r="GL438" s="319" t="s">
        <v>190</v>
      </c>
      <c r="GM438" s="319" t="s">
        <v>190</v>
      </c>
      <c r="GN438" s="319" t="s">
        <v>190</v>
      </c>
      <c r="GO438" s="319" t="s">
        <v>190</v>
      </c>
      <c r="GP438" s="319" t="s">
        <v>190</v>
      </c>
      <c r="GQ438" s="319" t="s">
        <v>190</v>
      </c>
      <c r="GR438" s="319" t="s">
        <v>190</v>
      </c>
      <c r="GS438" s="319" t="s">
        <v>190</v>
      </c>
      <c r="GT438" s="319" t="s">
        <v>190</v>
      </c>
      <c r="GU438" s="319" t="s">
        <v>190</v>
      </c>
      <c r="GV438" s="319" t="s">
        <v>190</v>
      </c>
      <c r="GW438" s="319" t="s">
        <v>190</v>
      </c>
      <c r="GX438" s="319" t="s">
        <v>190</v>
      </c>
      <c r="GY438" s="319" t="s">
        <v>190</v>
      </c>
      <c r="GZ438" s="319" t="s">
        <v>190</v>
      </c>
      <c r="HA438" s="319" t="s">
        <v>190</v>
      </c>
      <c r="HB438" s="319" t="s">
        <v>190</v>
      </c>
      <c r="HC438" s="319" t="s">
        <v>190</v>
      </c>
      <c r="HD438" s="319" t="s">
        <v>190</v>
      </c>
      <c r="HE438" s="319" t="s">
        <v>190</v>
      </c>
      <c r="HF438" s="319" t="s">
        <v>190</v>
      </c>
      <c r="HG438" s="319" t="s">
        <v>190</v>
      </c>
      <c r="HH438" s="319" t="s">
        <v>190</v>
      </c>
      <c r="HI438" s="319" t="s">
        <v>190</v>
      </c>
      <c r="HJ438" s="319" t="s">
        <v>190</v>
      </c>
      <c r="HK438" s="319" t="s">
        <v>190</v>
      </c>
      <c r="HL438" s="319" t="s">
        <v>190</v>
      </c>
      <c r="HM438" s="319" t="s">
        <v>190</v>
      </c>
      <c r="HN438" s="319" t="s">
        <v>190</v>
      </c>
      <c r="HO438" s="319" t="s">
        <v>190</v>
      </c>
      <c r="HP438" s="319" t="s">
        <v>190</v>
      </c>
      <c r="HQ438" s="319" t="s">
        <v>190</v>
      </c>
      <c r="HR438" s="319" t="s">
        <v>190</v>
      </c>
      <c r="HS438" s="319" t="s">
        <v>190</v>
      </c>
      <c r="HT438" s="319" t="s">
        <v>190</v>
      </c>
      <c r="HU438" s="319" t="s">
        <v>190</v>
      </c>
      <c r="HV438" s="319" t="s">
        <v>190</v>
      </c>
      <c r="HW438" s="319" t="s">
        <v>190</v>
      </c>
      <c r="HX438" s="319" t="s">
        <v>190</v>
      </c>
      <c r="HY438" s="319" t="s">
        <v>190</v>
      </c>
      <c r="HZ438" s="319" t="s">
        <v>190</v>
      </c>
      <c r="IA438" s="319" t="s">
        <v>190</v>
      </c>
      <c r="IB438" s="319" t="s">
        <v>190</v>
      </c>
      <c r="IC438" s="319" t="s">
        <v>190</v>
      </c>
      <c r="ID438" s="319" t="s">
        <v>190</v>
      </c>
      <c r="IE438" s="319" t="s">
        <v>190</v>
      </c>
      <c r="IF438" s="319" t="s">
        <v>190</v>
      </c>
      <c r="IG438" s="319" t="s">
        <v>190</v>
      </c>
      <c r="IH438" s="319" t="s">
        <v>190</v>
      </c>
      <c r="II438" s="319" t="s">
        <v>190</v>
      </c>
      <c r="IJ438" s="319">
        <v>10012977</v>
      </c>
      <c r="IK438" s="321">
        <v>42711</v>
      </c>
      <c r="IL438" s="321">
        <v>42713</v>
      </c>
      <c r="IM438" s="321">
        <v>42739</v>
      </c>
      <c r="IN438" s="319">
        <v>2</v>
      </c>
      <c r="IO438" s="319" t="s">
        <v>173</v>
      </c>
      <c r="IP438" s="319" t="s">
        <v>173</v>
      </c>
      <c r="IQ438" s="321" t="s">
        <v>173</v>
      </c>
      <c r="IR438" s="320" t="s">
        <v>173</v>
      </c>
      <c r="IS438" s="322" t="s">
        <v>173</v>
      </c>
      <c r="IT438" s="319" t="s">
        <v>173</v>
      </c>
    </row>
    <row r="439" spans="1:254" s="271" customFormat="1" x14ac:dyDescent="0.25">
      <c r="A439" s="318" t="str">
        <f>HYPERLINK("http://www.ofsted.gov.uk/inspection-reports/find-inspection-report/provider/ELS/134289 ","Ofsted School Webpage")</f>
        <v>Ofsted School Webpage</v>
      </c>
      <c r="B439" s="319">
        <v>134289</v>
      </c>
      <c r="C439" s="319">
        <v>8216010</v>
      </c>
      <c r="D439" s="319" t="s">
        <v>1190</v>
      </c>
      <c r="E439" s="319" t="s">
        <v>167</v>
      </c>
      <c r="F439" s="319" t="s">
        <v>81</v>
      </c>
      <c r="G439" s="319" t="s">
        <v>72</v>
      </c>
      <c r="H439" s="319" t="s">
        <v>72</v>
      </c>
      <c r="I439" s="319" t="s">
        <v>72</v>
      </c>
      <c r="J439" s="319" t="s">
        <v>424</v>
      </c>
      <c r="K439" s="319" t="s">
        <v>451</v>
      </c>
      <c r="L439" s="319" t="s">
        <v>451</v>
      </c>
      <c r="M439" s="319" t="s">
        <v>452</v>
      </c>
      <c r="N439" s="319" t="s">
        <v>3070</v>
      </c>
      <c r="O439" s="319" t="s">
        <v>1191</v>
      </c>
      <c r="P439" s="319">
        <v>84</v>
      </c>
      <c r="Q439" s="319" t="s">
        <v>2766</v>
      </c>
      <c r="R439" s="320">
        <v>10043520</v>
      </c>
      <c r="S439" s="321">
        <v>43151</v>
      </c>
      <c r="T439" s="321">
        <v>43153</v>
      </c>
      <c r="U439" s="321">
        <v>43182</v>
      </c>
      <c r="V439" s="319" t="s">
        <v>425</v>
      </c>
      <c r="W439" s="319" t="s">
        <v>2767</v>
      </c>
      <c r="X439" s="319">
        <v>3</v>
      </c>
      <c r="Y439" s="319" t="s">
        <v>173</v>
      </c>
      <c r="Z439" s="319" t="s">
        <v>173</v>
      </c>
      <c r="AA439" s="319" t="s">
        <v>173</v>
      </c>
      <c r="AB439" s="319">
        <v>3</v>
      </c>
      <c r="AC439" s="319" t="s">
        <v>169</v>
      </c>
      <c r="AD439" s="319" t="s">
        <v>173</v>
      </c>
      <c r="AE439" s="319" t="s">
        <v>173</v>
      </c>
      <c r="AF439" s="319" t="s">
        <v>427</v>
      </c>
      <c r="AG439" s="319" t="s">
        <v>172</v>
      </c>
      <c r="AH439" s="319" t="s">
        <v>479</v>
      </c>
      <c r="AI439" s="319" t="s">
        <v>190</v>
      </c>
      <c r="AJ439" s="319" t="s">
        <v>190</v>
      </c>
      <c r="AK439" s="319" t="s">
        <v>190</v>
      </c>
      <c r="AL439" s="319" t="s">
        <v>190</v>
      </c>
      <c r="AM439" s="319" t="s">
        <v>190</v>
      </c>
      <c r="AN439" s="319" t="s">
        <v>190</v>
      </c>
      <c r="AO439" s="319" t="s">
        <v>479</v>
      </c>
      <c r="AP439" s="319" t="s">
        <v>191</v>
      </c>
      <c r="AQ439" s="319" t="s">
        <v>190</v>
      </c>
      <c r="AR439" s="319" t="s">
        <v>190</v>
      </c>
      <c r="AS439" s="319" t="s">
        <v>191</v>
      </c>
      <c r="AT439" s="319" t="s">
        <v>190</v>
      </c>
      <c r="AU439" s="319" t="s">
        <v>190</v>
      </c>
      <c r="AV439" s="319" t="s">
        <v>190</v>
      </c>
      <c r="AW439" s="319" t="s">
        <v>190</v>
      </c>
      <c r="AX439" s="319" t="s">
        <v>190</v>
      </c>
      <c r="AY439" s="319" t="s">
        <v>190</v>
      </c>
      <c r="AZ439" s="319" t="s">
        <v>190</v>
      </c>
      <c r="BA439" s="319" t="s">
        <v>428</v>
      </c>
      <c r="BB439" s="319" t="s">
        <v>428</v>
      </c>
      <c r="BC439" s="319" t="s">
        <v>428</v>
      </c>
      <c r="BD439" s="319" t="s">
        <v>428</v>
      </c>
      <c r="BE439" s="319" t="s">
        <v>428</v>
      </c>
      <c r="BF439" s="319" t="s">
        <v>428</v>
      </c>
      <c r="BG439" s="319" t="s">
        <v>428</v>
      </c>
      <c r="BH439" s="319" t="s">
        <v>190</v>
      </c>
      <c r="BI439" s="319" t="s">
        <v>190</v>
      </c>
      <c r="BJ439" s="319" t="s">
        <v>191</v>
      </c>
      <c r="BK439" s="319" t="s">
        <v>191</v>
      </c>
      <c r="BL439" s="319" t="s">
        <v>190</v>
      </c>
      <c r="BM439" s="319" t="s">
        <v>191</v>
      </c>
      <c r="BN439" s="319" t="s">
        <v>191</v>
      </c>
      <c r="BO439" s="319" t="s">
        <v>190</v>
      </c>
      <c r="BP439" s="319" t="s">
        <v>190</v>
      </c>
      <c r="BQ439" s="319" t="s">
        <v>191</v>
      </c>
      <c r="BR439" s="319" t="s">
        <v>190</v>
      </c>
      <c r="BS439" s="319" t="s">
        <v>190</v>
      </c>
      <c r="BT439" s="319" t="s">
        <v>190</v>
      </c>
      <c r="BU439" s="319" t="s">
        <v>190</v>
      </c>
      <c r="BV439" s="319" t="s">
        <v>190</v>
      </c>
      <c r="BW439" s="319" t="s">
        <v>190</v>
      </c>
      <c r="BX439" s="319" t="s">
        <v>190</v>
      </c>
      <c r="BY439" s="319" t="s">
        <v>190</v>
      </c>
      <c r="BZ439" s="319" t="s">
        <v>190</v>
      </c>
      <c r="CA439" s="319" t="s">
        <v>190</v>
      </c>
      <c r="CB439" s="319" t="s">
        <v>190</v>
      </c>
      <c r="CC439" s="319" t="s">
        <v>190</v>
      </c>
      <c r="CD439" s="319" t="s">
        <v>190</v>
      </c>
      <c r="CE439" s="319" t="s">
        <v>190</v>
      </c>
      <c r="CF439" s="319" t="s">
        <v>190</v>
      </c>
      <c r="CG439" s="319" t="s">
        <v>190</v>
      </c>
      <c r="CH439" s="319" t="s">
        <v>190</v>
      </c>
      <c r="CI439" s="319" t="s">
        <v>190</v>
      </c>
      <c r="CJ439" s="319" t="s">
        <v>190</v>
      </c>
      <c r="CK439" s="319" t="s">
        <v>190</v>
      </c>
      <c r="CL439" s="319" t="s">
        <v>190</v>
      </c>
      <c r="CM439" s="319" t="s">
        <v>190</v>
      </c>
      <c r="CN439" s="319" t="s">
        <v>428</v>
      </c>
      <c r="CO439" s="319" t="s">
        <v>428</v>
      </c>
      <c r="CP439" s="319" t="s">
        <v>428</v>
      </c>
      <c r="CQ439" s="319" t="s">
        <v>190</v>
      </c>
      <c r="CR439" s="319" t="s">
        <v>190</v>
      </c>
      <c r="CS439" s="319" t="s">
        <v>190</v>
      </c>
      <c r="CT439" s="319" t="s">
        <v>190</v>
      </c>
      <c r="CU439" s="319" t="s">
        <v>190</v>
      </c>
      <c r="CV439" s="319" t="s">
        <v>190</v>
      </c>
      <c r="CW439" s="319" t="s">
        <v>190</v>
      </c>
      <c r="CX439" s="319" t="s">
        <v>190</v>
      </c>
      <c r="CY439" s="319" t="s">
        <v>190</v>
      </c>
      <c r="CZ439" s="319" t="s">
        <v>190</v>
      </c>
      <c r="DA439" s="319" t="s">
        <v>190</v>
      </c>
      <c r="DB439" s="319" t="s">
        <v>190</v>
      </c>
      <c r="DC439" s="319" t="s">
        <v>190</v>
      </c>
      <c r="DD439" s="319" t="s">
        <v>190</v>
      </c>
      <c r="DE439" s="319" t="s">
        <v>190</v>
      </c>
      <c r="DF439" s="319" t="s">
        <v>190</v>
      </c>
      <c r="DG439" s="319" t="s">
        <v>190</v>
      </c>
      <c r="DH439" s="319" t="s">
        <v>190</v>
      </c>
      <c r="DI439" s="319" t="s">
        <v>190</v>
      </c>
      <c r="DJ439" s="319" t="s">
        <v>190</v>
      </c>
      <c r="DK439" s="319" t="s">
        <v>190</v>
      </c>
      <c r="DL439" s="319" t="s">
        <v>190</v>
      </c>
      <c r="DM439" s="319" t="s">
        <v>190</v>
      </c>
      <c r="DN439" s="319" t="s">
        <v>428</v>
      </c>
      <c r="DO439" s="319" t="s">
        <v>428</v>
      </c>
      <c r="DP439" s="319" t="s">
        <v>428</v>
      </c>
      <c r="DQ439" s="319" t="s">
        <v>428</v>
      </c>
      <c r="DR439" s="319" t="s">
        <v>428</v>
      </c>
      <c r="DS439" s="319" t="s">
        <v>428</v>
      </c>
      <c r="DT439" s="319" t="s">
        <v>428</v>
      </c>
      <c r="DU439" s="319" t="s">
        <v>428</v>
      </c>
      <c r="DV439" s="319" t="s">
        <v>173</v>
      </c>
      <c r="DW439" s="319" t="s">
        <v>428</v>
      </c>
      <c r="DX439" s="319" t="s">
        <v>428</v>
      </c>
      <c r="DY439" s="319" t="s">
        <v>428</v>
      </c>
      <c r="DZ439" s="319" t="s">
        <v>428</v>
      </c>
      <c r="EA439" s="319" t="s">
        <v>428</v>
      </c>
      <c r="EB439" s="319" t="s">
        <v>428</v>
      </c>
      <c r="EC439" s="319" t="s">
        <v>428</v>
      </c>
      <c r="ED439" s="319" t="s">
        <v>428</v>
      </c>
      <c r="EE439" s="319" t="s">
        <v>428</v>
      </c>
      <c r="EF439" s="319" t="s">
        <v>428</v>
      </c>
      <c r="EG439" s="319" t="s">
        <v>428</v>
      </c>
      <c r="EH439" s="319" t="s">
        <v>428</v>
      </c>
      <c r="EI439" s="319" t="s">
        <v>428</v>
      </c>
      <c r="EJ439" s="319" t="s">
        <v>428</v>
      </c>
      <c r="EK439" s="319" t="s">
        <v>428</v>
      </c>
      <c r="EL439" s="319" t="s">
        <v>428</v>
      </c>
      <c r="EM439" s="319" t="s">
        <v>428</v>
      </c>
      <c r="EN439" s="319" t="s">
        <v>190</v>
      </c>
      <c r="EO439" s="319" t="s">
        <v>190</v>
      </c>
      <c r="EP439" s="319" t="s">
        <v>190</v>
      </c>
      <c r="EQ439" s="319" t="s">
        <v>190</v>
      </c>
      <c r="ER439" s="319" t="s">
        <v>190</v>
      </c>
      <c r="ES439" s="319" t="s">
        <v>190</v>
      </c>
      <c r="ET439" s="319" t="s">
        <v>190</v>
      </c>
      <c r="EU439" s="319" t="s">
        <v>190</v>
      </c>
      <c r="EV439" s="319" t="s">
        <v>190</v>
      </c>
      <c r="EW439" s="319" t="s">
        <v>190</v>
      </c>
      <c r="EX439" s="319" t="s">
        <v>190</v>
      </c>
      <c r="EY439" s="319" t="s">
        <v>190</v>
      </c>
      <c r="EZ439" s="319" t="s">
        <v>190</v>
      </c>
      <c r="FA439" s="319" t="s">
        <v>190</v>
      </c>
      <c r="FB439" s="319" t="s">
        <v>428</v>
      </c>
      <c r="FC439" s="319" t="s">
        <v>428</v>
      </c>
      <c r="FD439" s="319" t="s">
        <v>428</v>
      </c>
      <c r="FE439" s="319" t="s">
        <v>428</v>
      </c>
      <c r="FF439" s="319" t="s">
        <v>428</v>
      </c>
      <c r="FG439" s="319" t="s">
        <v>428</v>
      </c>
      <c r="FH439" s="319" t="s">
        <v>428</v>
      </c>
      <c r="FI439" s="319" t="s">
        <v>428</v>
      </c>
      <c r="FJ439" s="319" t="s">
        <v>429</v>
      </c>
      <c r="FK439" s="319" t="s">
        <v>428</v>
      </c>
      <c r="FL439" s="319" t="s">
        <v>190</v>
      </c>
      <c r="FM439" s="319" t="s">
        <v>190</v>
      </c>
      <c r="FN439" s="319" t="s">
        <v>190</v>
      </c>
      <c r="FO439" s="319" t="s">
        <v>190</v>
      </c>
      <c r="FP439" s="319" t="s">
        <v>190</v>
      </c>
      <c r="FQ439" s="319" t="s">
        <v>190</v>
      </c>
      <c r="FR439" s="319" t="s">
        <v>190</v>
      </c>
      <c r="FS439" s="319" t="s">
        <v>190</v>
      </c>
      <c r="FT439" s="319" t="s">
        <v>190</v>
      </c>
      <c r="FU439" s="319" t="s">
        <v>190</v>
      </c>
      <c r="FV439" s="319" t="s">
        <v>190</v>
      </c>
      <c r="FW439" s="319" t="s">
        <v>190</v>
      </c>
      <c r="FX439" s="319" t="s">
        <v>190</v>
      </c>
      <c r="FY439" s="319" t="s">
        <v>190</v>
      </c>
      <c r="FZ439" s="319" t="s">
        <v>190</v>
      </c>
      <c r="GA439" s="319" t="s">
        <v>190</v>
      </c>
      <c r="GB439" s="319" t="s">
        <v>190</v>
      </c>
      <c r="GC439" s="319" t="s">
        <v>190</v>
      </c>
      <c r="GD439" s="319" t="s">
        <v>190</v>
      </c>
      <c r="GE439" s="319" t="s">
        <v>190</v>
      </c>
      <c r="GF439" s="319" t="s">
        <v>190</v>
      </c>
      <c r="GG439" s="319" t="s">
        <v>190</v>
      </c>
      <c r="GH439" s="319" t="s">
        <v>190</v>
      </c>
      <c r="GI439" s="319" t="s">
        <v>190</v>
      </c>
      <c r="GJ439" s="319" t="s">
        <v>190</v>
      </c>
      <c r="GK439" s="319" t="s">
        <v>428</v>
      </c>
      <c r="GL439" s="319" t="s">
        <v>190</v>
      </c>
      <c r="GM439" s="319" t="s">
        <v>190</v>
      </c>
      <c r="GN439" s="319" t="s">
        <v>190</v>
      </c>
      <c r="GO439" s="319" t="s">
        <v>190</v>
      </c>
      <c r="GP439" s="319" t="s">
        <v>190</v>
      </c>
      <c r="GQ439" s="319" t="s">
        <v>190</v>
      </c>
      <c r="GR439" s="319" t="s">
        <v>190</v>
      </c>
      <c r="GS439" s="319" t="s">
        <v>190</v>
      </c>
      <c r="GT439" s="319" t="s">
        <v>428</v>
      </c>
      <c r="GU439" s="319" t="s">
        <v>428</v>
      </c>
      <c r="GV439" s="319" t="s">
        <v>190</v>
      </c>
      <c r="GW439" s="319" t="s">
        <v>190</v>
      </c>
      <c r="GX439" s="319" t="s">
        <v>190</v>
      </c>
      <c r="GY439" s="319" t="s">
        <v>190</v>
      </c>
      <c r="GZ439" s="319" t="s">
        <v>190</v>
      </c>
      <c r="HA439" s="319" t="s">
        <v>190</v>
      </c>
      <c r="HB439" s="319" t="s">
        <v>190</v>
      </c>
      <c r="HC439" s="319" t="s">
        <v>190</v>
      </c>
      <c r="HD439" s="319" t="s">
        <v>190</v>
      </c>
      <c r="HE439" s="319" t="s">
        <v>190</v>
      </c>
      <c r="HF439" s="319" t="s">
        <v>190</v>
      </c>
      <c r="HG439" s="319" t="s">
        <v>190</v>
      </c>
      <c r="HH439" s="319" t="s">
        <v>190</v>
      </c>
      <c r="HI439" s="319" t="s">
        <v>190</v>
      </c>
      <c r="HJ439" s="319" t="s">
        <v>190</v>
      </c>
      <c r="HK439" s="319" t="s">
        <v>190</v>
      </c>
      <c r="HL439" s="319" t="s">
        <v>190</v>
      </c>
      <c r="HM439" s="319" t="s">
        <v>190</v>
      </c>
      <c r="HN439" s="319" t="s">
        <v>190</v>
      </c>
      <c r="HO439" s="319" t="s">
        <v>190</v>
      </c>
      <c r="HP439" s="319" t="s">
        <v>190</v>
      </c>
      <c r="HQ439" s="319" t="s">
        <v>190</v>
      </c>
      <c r="HR439" s="319" t="s">
        <v>190</v>
      </c>
      <c r="HS439" s="319" t="s">
        <v>190</v>
      </c>
      <c r="HT439" s="319" t="s">
        <v>190</v>
      </c>
      <c r="HU439" s="319" t="s">
        <v>190</v>
      </c>
      <c r="HV439" s="319" t="s">
        <v>190</v>
      </c>
      <c r="HW439" s="319" t="s">
        <v>190</v>
      </c>
      <c r="HX439" s="319" t="s">
        <v>190</v>
      </c>
      <c r="HY439" s="319" t="s">
        <v>190</v>
      </c>
      <c r="HZ439" s="319" t="s">
        <v>190</v>
      </c>
      <c r="IA439" s="319" t="s">
        <v>190</v>
      </c>
      <c r="IB439" s="319" t="s">
        <v>190</v>
      </c>
      <c r="IC439" s="319" t="s">
        <v>190</v>
      </c>
      <c r="ID439" s="319" t="s">
        <v>190</v>
      </c>
      <c r="IE439" s="319" t="s">
        <v>190</v>
      </c>
      <c r="IF439" s="319" t="s">
        <v>191</v>
      </c>
      <c r="IG439" s="319" t="s">
        <v>191</v>
      </c>
      <c r="IH439" s="319" t="s">
        <v>191</v>
      </c>
      <c r="II439" s="319" t="s">
        <v>190</v>
      </c>
      <c r="IJ439" s="319">
        <v>10010086</v>
      </c>
      <c r="IK439" s="321">
        <v>42395</v>
      </c>
      <c r="IL439" s="321">
        <v>42397</v>
      </c>
      <c r="IM439" s="321">
        <v>42433</v>
      </c>
      <c r="IN439" s="319">
        <v>4</v>
      </c>
      <c r="IO439" s="319">
        <v>10113684</v>
      </c>
      <c r="IP439" s="319" t="s">
        <v>985</v>
      </c>
      <c r="IQ439" s="321">
        <v>43656</v>
      </c>
      <c r="IR439" s="320" t="s">
        <v>1223</v>
      </c>
      <c r="IS439" s="322">
        <v>43719</v>
      </c>
      <c r="IT439" s="319" t="s">
        <v>165</v>
      </c>
    </row>
    <row r="440" spans="1:254" s="271" customFormat="1" x14ac:dyDescent="0.25">
      <c r="A440" s="318" t="str">
        <f>HYPERLINK("http://www.ofsted.gov.uk/inspection-reports/find-inspection-report/provider/ELS/134294 ","Ofsted School Webpage")</f>
        <v>Ofsted School Webpage</v>
      </c>
      <c r="B440" s="319">
        <v>134294</v>
      </c>
      <c r="C440" s="319">
        <v>8316006</v>
      </c>
      <c r="D440" s="319" t="s">
        <v>1800</v>
      </c>
      <c r="E440" s="319" t="s">
        <v>167</v>
      </c>
      <c r="F440" s="319" t="s">
        <v>71</v>
      </c>
      <c r="G440" s="319" t="s">
        <v>72</v>
      </c>
      <c r="H440" s="319" t="s">
        <v>71</v>
      </c>
      <c r="I440" s="319" t="s">
        <v>72</v>
      </c>
      <c r="J440" s="319" t="s">
        <v>424</v>
      </c>
      <c r="K440" s="319" t="s">
        <v>506</v>
      </c>
      <c r="L440" s="319" t="s">
        <v>506</v>
      </c>
      <c r="M440" s="319" t="s">
        <v>1801</v>
      </c>
      <c r="N440" s="319" t="s">
        <v>3210</v>
      </c>
      <c r="O440" s="319" t="s">
        <v>1802</v>
      </c>
      <c r="P440" s="319">
        <v>125</v>
      </c>
      <c r="Q440" s="319" t="s">
        <v>2766</v>
      </c>
      <c r="R440" s="320">
        <v>10094049</v>
      </c>
      <c r="S440" s="321">
        <v>43641</v>
      </c>
      <c r="T440" s="321">
        <v>43643</v>
      </c>
      <c r="U440" s="321">
        <v>43663</v>
      </c>
      <c r="V440" s="319" t="s">
        <v>425</v>
      </c>
      <c r="W440" s="319" t="s">
        <v>2767</v>
      </c>
      <c r="X440" s="319">
        <v>3</v>
      </c>
      <c r="Y440" s="319" t="s">
        <v>173</v>
      </c>
      <c r="Z440" s="319" t="s">
        <v>173</v>
      </c>
      <c r="AA440" s="319" t="s">
        <v>173</v>
      </c>
      <c r="AB440" s="319">
        <v>3</v>
      </c>
      <c r="AC440" s="319" t="s">
        <v>169</v>
      </c>
      <c r="AD440" s="319" t="s">
        <v>173</v>
      </c>
      <c r="AE440" s="319" t="s">
        <v>173</v>
      </c>
      <c r="AF440" s="319" t="s">
        <v>447</v>
      </c>
      <c r="AG440" s="319" t="s">
        <v>171</v>
      </c>
      <c r="AH440" s="319" t="s">
        <v>190</v>
      </c>
      <c r="AI440" s="319" t="s">
        <v>190</v>
      </c>
      <c r="AJ440" s="319" t="s">
        <v>190</v>
      </c>
      <c r="AK440" s="319" t="s">
        <v>190</v>
      </c>
      <c r="AL440" s="319" t="s">
        <v>190</v>
      </c>
      <c r="AM440" s="319" t="s">
        <v>190</v>
      </c>
      <c r="AN440" s="319" t="s">
        <v>190</v>
      </c>
      <c r="AO440" s="319" t="s">
        <v>190</v>
      </c>
      <c r="AP440" s="319" t="s">
        <v>190</v>
      </c>
      <c r="AQ440" s="319" t="s">
        <v>190</v>
      </c>
      <c r="AR440" s="319" t="s">
        <v>190</v>
      </c>
      <c r="AS440" s="319" t="s">
        <v>190</v>
      </c>
      <c r="AT440" s="319" t="s">
        <v>190</v>
      </c>
      <c r="AU440" s="319" t="s">
        <v>190</v>
      </c>
      <c r="AV440" s="319" t="s">
        <v>190</v>
      </c>
      <c r="AW440" s="319" t="s">
        <v>190</v>
      </c>
      <c r="AX440" s="319" t="s">
        <v>190</v>
      </c>
      <c r="AY440" s="319" t="s">
        <v>190</v>
      </c>
      <c r="AZ440" s="319" t="s">
        <v>190</v>
      </c>
      <c r="BA440" s="319" t="s">
        <v>190</v>
      </c>
      <c r="BB440" s="319" t="s">
        <v>190</v>
      </c>
      <c r="BC440" s="319" t="s">
        <v>190</v>
      </c>
      <c r="BD440" s="319" t="s">
        <v>190</v>
      </c>
      <c r="BE440" s="319" t="s">
        <v>190</v>
      </c>
      <c r="BF440" s="319" t="s">
        <v>428</v>
      </c>
      <c r="BG440" s="319" t="s">
        <v>428</v>
      </c>
      <c r="BH440" s="319" t="s">
        <v>190</v>
      </c>
      <c r="BI440" s="319" t="s">
        <v>190</v>
      </c>
      <c r="BJ440" s="319" t="s">
        <v>190</v>
      </c>
      <c r="BK440" s="319" t="s">
        <v>190</v>
      </c>
      <c r="BL440" s="319" t="s">
        <v>190</v>
      </c>
      <c r="BM440" s="319" t="s">
        <v>190</v>
      </c>
      <c r="BN440" s="319" t="s">
        <v>190</v>
      </c>
      <c r="BO440" s="319" t="s">
        <v>190</v>
      </c>
      <c r="BP440" s="319" t="s">
        <v>190</v>
      </c>
      <c r="BQ440" s="319" t="s">
        <v>190</v>
      </c>
      <c r="BR440" s="319" t="s">
        <v>190</v>
      </c>
      <c r="BS440" s="319" t="s">
        <v>190</v>
      </c>
      <c r="BT440" s="319" t="s">
        <v>190</v>
      </c>
      <c r="BU440" s="319" t="s">
        <v>190</v>
      </c>
      <c r="BV440" s="319" t="s">
        <v>190</v>
      </c>
      <c r="BW440" s="319" t="s">
        <v>190</v>
      </c>
      <c r="BX440" s="319" t="s">
        <v>190</v>
      </c>
      <c r="BY440" s="319" t="s">
        <v>190</v>
      </c>
      <c r="BZ440" s="319" t="s">
        <v>190</v>
      </c>
      <c r="CA440" s="319" t="s">
        <v>190</v>
      </c>
      <c r="CB440" s="319" t="s">
        <v>190</v>
      </c>
      <c r="CC440" s="319" t="s">
        <v>190</v>
      </c>
      <c r="CD440" s="319" t="s">
        <v>190</v>
      </c>
      <c r="CE440" s="319" t="s">
        <v>190</v>
      </c>
      <c r="CF440" s="319" t="s">
        <v>190</v>
      </c>
      <c r="CG440" s="319" t="s">
        <v>190</v>
      </c>
      <c r="CH440" s="319" t="s">
        <v>190</v>
      </c>
      <c r="CI440" s="319" t="s">
        <v>190</v>
      </c>
      <c r="CJ440" s="319" t="s">
        <v>190</v>
      </c>
      <c r="CK440" s="319" t="s">
        <v>190</v>
      </c>
      <c r="CL440" s="319" t="s">
        <v>190</v>
      </c>
      <c r="CM440" s="319" t="s">
        <v>190</v>
      </c>
      <c r="CN440" s="319" t="s">
        <v>428</v>
      </c>
      <c r="CO440" s="319" t="s">
        <v>428</v>
      </c>
      <c r="CP440" s="319" t="s">
        <v>428</v>
      </c>
      <c r="CQ440" s="319" t="s">
        <v>190</v>
      </c>
      <c r="CR440" s="319" t="s">
        <v>190</v>
      </c>
      <c r="CS440" s="319" t="s">
        <v>190</v>
      </c>
      <c r="CT440" s="319" t="s">
        <v>190</v>
      </c>
      <c r="CU440" s="319" t="s">
        <v>190</v>
      </c>
      <c r="CV440" s="319" t="s">
        <v>190</v>
      </c>
      <c r="CW440" s="319" t="s">
        <v>190</v>
      </c>
      <c r="CX440" s="319" t="s">
        <v>190</v>
      </c>
      <c r="CY440" s="319" t="s">
        <v>190</v>
      </c>
      <c r="CZ440" s="319" t="s">
        <v>190</v>
      </c>
      <c r="DA440" s="319" t="s">
        <v>190</v>
      </c>
      <c r="DB440" s="319" t="s">
        <v>190</v>
      </c>
      <c r="DC440" s="319" t="s">
        <v>190</v>
      </c>
      <c r="DD440" s="319" t="s">
        <v>190</v>
      </c>
      <c r="DE440" s="319" t="s">
        <v>190</v>
      </c>
      <c r="DF440" s="319" t="s">
        <v>190</v>
      </c>
      <c r="DG440" s="319" t="s">
        <v>190</v>
      </c>
      <c r="DH440" s="319" t="s">
        <v>190</v>
      </c>
      <c r="DI440" s="319" t="s">
        <v>190</v>
      </c>
      <c r="DJ440" s="319" t="s">
        <v>190</v>
      </c>
      <c r="DK440" s="319" t="s">
        <v>190</v>
      </c>
      <c r="DL440" s="319" t="s">
        <v>190</v>
      </c>
      <c r="DM440" s="319" t="s">
        <v>190</v>
      </c>
      <c r="DN440" s="319" t="s">
        <v>428</v>
      </c>
      <c r="DO440" s="319" t="s">
        <v>190</v>
      </c>
      <c r="DP440" s="319" t="s">
        <v>428</v>
      </c>
      <c r="DQ440" s="319" t="s">
        <v>428</v>
      </c>
      <c r="DR440" s="319" t="s">
        <v>428</v>
      </c>
      <c r="DS440" s="319" t="s">
        <v>428</v>
      </c>
      <c r="DT440" s="319" t="s">
        <v>428</v>
      </c>
      <c r="DU440" s="319" t="s">
        <v>428</v>
      </c>
      <c r="DV440" s="319" t="s">
        <v>173</v>
      </c>
      <c r="DW440" s="319" t="s">
        <v>428</v>
      </c>
      <c r="DX440" s="319" t="s">
        <v>428</v>
      </c>
      <c r="DY440" s="319" t="s">
        <v>428</v>
      </c>
      <c r="DZ440" s="319" t="s">
        <v>428</v>
      </c>
      <c r="EA440" s="319" t="s">
        <v>428</v>
      </c>
      <c r="EB440" s="319" t="s">
        <v>428</v>
      </c>
      <c r="EC440" s="319" t="s">
        <v>428</v>
      </c>
      <c r="ED440" s="319" t="s">
        <v>428</v>
      </c>
      <c r="EE440" s="319" t="s">
        <v>190</v>
      </c>
      <c r="EF440" s="319" t="s">
        <v>190</v>
      </c>
      <c r="EG440" s="319" t="s">
        <v>190</v>
      </c>
      <c r="EH440" s="319" t="s">
        <v>190</v>
      </c>
      <c r="EI440" s="319" t="s">
        <v>190</v>
      </c>
      <c r="EJ440" s="319" t="s">
        <v>190</v>
      </c>
      <c r="EK440" s="319" t="s">
        <v>190</v>
      </c>
      <c r="EL440" s="319" t="s">
        <v>190</v>
      </c>
      <c r="EM440" s="319" t="s">
        <v>190</v>
      </c>
      <c r="EN440" s="319" t="s">
        <v>190</v>
      </c>
      <c r="EO440" s="319" t="s">
        <v>190</v>
      </c>
      <c r="EP440" s="319" t="s">
        <v>190</v>
      </c>
      <c r="EQ440" s="319" t="s">
        <v>190</v>
      </c>
      <c r="ER440" s="319" t="s">
        <v>190</v>
      </c>
      <c r="ES440" s="319" t="s">
        <v>190</v>
      </c>
      <c r="ET440" s="319" t="s">
        <v>190</v>
      </c>
      <c r="EU440" s="319" t="s">
        <v>190</v>
      </c>
      <c r="EV440" s="319" t="s">
        <v>190</v>
      </c>
      <c r="EW440" s="319" t="s">
        <v>190</v>
      </c>
      <c r="EX440" s="319" t="s">
        <v>190</v>
      </c>
      <c r="EY440" s="319" t="s">
        <v>190</v>
      </c>
      <c r="EZ440" s="319" t="s">
        <v>190</v>
      </c>
      <c r="FA440" s="319" t="s">
        <v>428</v>
      </c>
      <c r="FB440" s="319" t="s">
        <v>428</v>
      </c>
      <c r="FC440" s="319" t="s">
        <v>428</v>
      </c>
      <c r="FD440" s="319" t="s">
        <v>428</v>
      </c>
      <c r="FE440" s="319" t="s">
        <v>428</v>
      </c>
      <c r="FF440" s="319" t="s">
        <v>428</v>
      </c>
      <c r="FG440" s="319" t="s">
        <v>428</v>
      </c>
      <c r="FH440" s="319" t="s">
        <v>428</v>
      </c>
      <c r="FI440" s="319" t="s">
        <v>190</v>
      </c>
      <c r="FJ440" s="319" t="s">
        <v>190</v>
      </c>
      <c r="FK440" s="319" t="s">
        <v>190</v>
      </c>
      <c r="FL440" s="319" t="s">
        <v>190</v>
      </c>
      <c r="FM440" s="319" t="s">
        <v>190</v>
      </c>
      <c r="FN440" s="319" t="s">
        <v>190</v>
      </c>
      <c r="FO440" s="319" t="s">
        <v>190</v>
      </c>
      <c r="FP440" s="319" t="s">
        <v>190</v>
      </c>
      <c r="FQ440" s="319" t="s">
        <v>190</v>
      </c>
      <c r="FR440" s="319" t="s">
        <v>190</v>
      </c>
      <c r="FS440" s="319" t="s">
        <v>428</v>
      </c>
      <c r="FT440" s="319" t="s">
        <v>428</v>
      </c>
      <c r="FU440" s="319" t="s">
        <v>190</v>
      </c>
      <c r="FV440" s="319" t="s">
        <v>190</v>
      </c>
      <c r="FW440" s="319" t="s">
        <v>190</v>
      </c>
      <c r="FX440" s="319" t="s">
        <v>190</v>
      </c>
      <c r="FY440" s="319" t="s">
        <v>190</v>
      </c>
      <c r="FZ440" s="319" t="s">
        <v>190</v>
      </c>
      <c r="GA440" s="319" t="s">
        <v>190</v>
      </c>
      <c r="GB440" s="319" t="s">
        <v>190</v>
      </c>
      <c r="GC440" s="319" t="s">
        <v>190</v>
      </c>
      <c r="GD440" s="319" t="s">
        <v>190</v>
      </c>
      <c r="GE440" s="319" t="s">
        <v>190</v>
      </c>
      <c r="GF440" s="319" t="s">
        <v>190</v>
      </c>
      <c r="GG440" s="319" t="s">
        <v>190</v>
      </c>
      <c r="GH440" s="319" t="s">
        <v>190</v>
      </c>
      <c r="GI440" s="319" t="s">
        <v>190</v>
      </c>
      <c r="GJ440" s="319" t="s">
        <v>190</v>
      </c>
      <c r="GK440" s="319" t="s">
        <v>428</v>
      </c>
      <c r="GL440" s="319" t="s">
        <v>190</v>
      </c>
      <c r="GM440" s="319" t="s">
        <v>190</v>
      </c>
      <c r="GN440" s="319" t="s">
        <v>190</v>
      </c>
      <c r="GO440" s="319" t="s">
        <v>190</v>
      </c>
      <c r="GP440" s="319" t="s">
        <v>190</v>
      </c>
      <c r="GQ440" s="319" t="s">
        <v>428</v>
      </c>
      <c r="GR440" s="319" t="s">
        <v>190</v>
      </c>
      <c r="GS440" s="319" t="s">
        <v>190</v>
      </c>
      <c r="GT440" s="319" t="s">
        <v>428</v>
      </c>
      <c r="GU440" s="319" t="s">
        <v>428</v>
      </c>
      <c r="GV440" s="319" t="s">
        <v>428</v>
      </c>
      <c r="GW440" s="319" t="s">
        <v>190</v>
      </c>
      <c r="GX440" s="319" t="s">
        <v>190</v>
      </c>
      <c r="GY440" s="319" t="s">
        <v>190</v>
      </c>
      <c r="GZ440" s="319" t="s">
        <v>428</v>
      </c>
      <c r="HA440" s="319" t="s">
        <v>190</v>
      </c>
      <c r="HB440" s="319" t="s">
        <v>190</v>
      </c>
      <c r="HC440" s="319" t="s">
        <v>190</v>
      </c>
      <c r="HD440" s="319" t="s">
        <v>190</v>
      </c>
      <c r="HE440" s="319" t="s">
        <v>190</v>
      </c>
      <c r="HF440" s="319" t="s">
        <v>190</v>
      </c>
      <c r="HG440" s="319" t="s">
        <v>190</v>
      </c>
      <c r="HH440" s="319" t="s">
        <v>190</v>
      </c>
      <c r="HI440" s="319" t="s">
        <v>190</v>
      </c>
      <c r="HJ440" s="319" t="s">
        <v>190</v>
      </c>
      <c r="HK440" s="319" t="s">
        <v>190</v>
      </c>
      <c r="HL440" s="319" t="s">
        <v>428</v>
      </c>
      <c r="HM440" s="319" t="s">
        <v>428</v>
      </c>
      <c r="HN440" s="319" t="s">
        <v>428</v>
      </c>
      <c r="HO440" s="319" t="s">
        <v>428</v>
      </c>
      <c r="HP440" s="319" t="s">
        <v>190</v>
      </c>
      <c r="HQ440" s="319" t="s">
        <v>190</v>
      </c>
      <c r="HR440" s="319" t="s">
        <v>190</v>
      </c>
      <c r="HS440" s="319" t="s">
        <v>190</v>
      </c>
      <c r="HT440" s="319" t="s">
        <v>190</v>
      </c>
      <c r="HU440" s="319" t="s">
        <v>190</v>
      </c>
      <c r="HV440" s="319" t="s">
        <v>190</v>
      </c>
      <c r="HW440" s="319" t="s">
        <v>190</v>
      </c>
      <c r="HX440" s="319" t="s">
        <v>190</v>
      </c>
      <c r="HY440" s="319" t="s">
        <v>190</v>
      </c>
      <c r="HZ440" s="319" t="s">
        <v>190</v>
      </c>
      <c r="IA440" s="319" t="s">
        <v>190</v>
      </c>
      <c r="IB440" s="319" t="s">
        <v>190</v>
      </c>
      <c r="IC440" s="319" t="s">
        <v>190</v>
      </c>
      <c r="ID440" s="319" t="s">
        <v>190</v>
      </c>
      <c r="IE440" s="319" t="s">
        <v>190</v>
      </c>
      <c r="IF440" s="319" t="s">
        <v>190</v>
      </c>
      <c r="IG440" s="319" t="s">
        <v>190</v>
      </c>
      <c r="IH440" s="319" t="s">
        <v>190</v>
      </c>
      <c r="II440" s="319" t="s">
        <v>190</v>
      </c>
      <c r="IJ440" s="319">
        <v>10033532</v>
      </c>
      <c r="IK440" s="321">
        <v>43025</v>
      </c>
      <c r="IL440" s="321">
        <v>43027</v>
      </c>
      <c r="IM440" s="321">
        <v>43052</v>
      </c>
      <c r="IN440" s="319">
        <v>3</v>
      </c>
      <c r="IO440" s="319" t="s">
        <v>173</v>
      </c>
      <c r="IP440" s="319" t="s">
        <v>173</v>
      </c>
      <c r="IQ440" s="321" t="s">
        <v>173</v>
      </c>
      <c r="IR440" s="320" t="s">
        <v>173</v>
      </c>
      <c r="IS440" s="322" t="s">
        <v>173</v>
      </c>
      <c r="IT440" s="319" t="s">
        <v>173</v>
      </c>
    </row>
    <row r="441" spans="1:254" s="271" customFormat="1" x14ac:dyDescent="0.25">
      <c r="A441" s="318" t="str">
        <f>HYPERLINK("http://www.ofsted.gov.uk/inspection-reports/find-inspection-report/provider/ELS/134315 ","Ofsted School Webpage")</f>
        <v>Ofsted School Webpage</v>
      </c>
      <c r="B441" s="319">
        <v>134315</v>
      </c>
      <c r="C441" s="319">
        <v>8136004</v>
      </c>
      <c r="D441" s="319" t="s">
        <v>3211</v>
      </c>
      <c r="E441" s="319" t="s">
        <v>168</v>
      </c>
      <c r="F441" s="319" t="s">
        <v>81</v>
      </c>
      <c r="G441" s="319" t="s">
        <v>81</v>
      </c>
      <c r="H441" s="319" t="s">
        <v>81</v>
      </c>
      <c r="I441" s="319" t="s">
        <v>78</v>
      </c>
      <c r="J441" s="319" t="s">
        <v>424</v>
      </c>
      <c r="K441" s="319" t="s">
        <v>458</v>
      </c>
      <c r="L441" s="319" t="s">
        <v>459</v>
      </c>
      <c r="M441" s="319" t="s">
        <v>1803</v>
      </c>
      <c r="N441" s="319" t="s">
        <v>3212</v>
      </c>
      <c r="O441" s="319" t="s">
        <v>1804</v>
      </c>
      <c r="P441" s="319">
        <v>32</v>
      </c>
      <c r="Q441" s="319" t="s">
        <v>2776</v>
      </c>
      <c r="R441" s="320">
        <v>10061262</v>
      </c>
      <c r="S441" s="321">
        <v>43550</v>
      </c>
      <c r="T441" s="321">
        <v>43552</v>
      </c>
      <c r="U441" s="321">
        <v>43570</v>
      </c>
      <c r="V441" s="319" t="s">
        <v>425</v>
      </c>
      <c r="W441" s="319" t="s">
        <v>2767</v>
      </c>
      <c r="X441" s="319">
        <v>2</v>
      </c>
      <c r="Y441" s="319" t="s">
        <v>173</v>
      </c>
      <c r="Z441" s="319" t="s">
        <v>173</v>
      </c>
      <c r="AA441" s="319" t="s">
        <v>173</v>
      </c>
      <c r="AB441" s="319">
        <v>2</v>
      </c>
      <c r="AC441" s="319" t="s">
        <v>169</v>
      </c>
      <c r="AD441" s="319" t="s">
        <v>173</v>
      </c>
      <c r="AE441" s="319">
        <v>2</v>
      </c>
      <c r="AF441" s="319" t="s">
        <v>427</v>
      </c>
      <c r="AG441" s="319" t="s">
        <v>171</v>
      </c>
      <c r="AH441" s="319" t="s">
        <v>190</v>
      </c>
      <c r="AI441" s="319" t="s">
        <v>190</v>
      </c>
      <c r="AJ441" s="319" t="s">
        <v>190</v>
      </c>
      <c r="AK441" s="319" t="s">
        <v>190</v>
      </c>
      <c r="AL441" s="319" t="s">
        <v>190</v>
      </c>
      <c r="AM441" s="319" t="s">
        <v>190</v>
      </c>
      <c r="AN441" s="319" t="s">
        <v>190</v>
      </c>
      <c r="AO441" s="319" t="s">
        <v>190</v>
      </c>
      <c r="AP441" s="319" t="s">
        <v>190</v>
      </c>
      <c r="AQ441" s="319" t="s">
        <v>190</v>
      </c>
      <c r="AR441" s="319" t="s">
        <v>190</v>
      </c>
      <c r="AS441" s="319" t="s">
        <v>190</v>
      </c>
      <c r="AT441" s="319" t="s">
        <v>190</v>
      </c>
      <c r="AU441" s="319" t="s">
        <v>190</v>
      </c>
      <c r="AV441" s="319" t="s">
        <v>190</v>
      </c>
      <c r="AW441" s="319" t="s">
        <v>190</v>
      </c>
      <c r="AX441" s="319" t="s">
        <v>428</v>
      </c>
      <c r="AY441" s="319" t="s">
        <v>190</v>
      </c>
      <c r="AZ441" s="319" t="s">
        <v>190</v>
      </c>
      <c r="BA441" s="319" t="s">
        <v>190</v>
      </c>
      <c r="BB441" s="319" t="s">
        <v>190</v>
      </c>
      <c r="BC441" s="319" t="s">
        <v>190</v>
      </c>
      <c r="BD441" s="319" t="s">
        <v>190</v>
      </c>
      <c r="BE441" s="319" t="s">
        <v>190</v>
      </c>
      <c r="BF441" s="319" t="s">
        <v>428</v>
      </c>
      <c r="BG441" s="319" t="s">
        <v>190</v>
      </c>
      <c r="BH441" s="319" t="s">
        <v>190</v>
      </c>
      <c r="BI441" s="319" t="s">
        <v>190</v>
      </c>
      <c r="BJ441" s="319" t="s">
        <v>190</v>
      </c>
      <c r="BK441" s="319" t="s">
        <v>190</v>
      </c>
      <c r="BL441" s="319" t="s">
        <v>190</v>
      </c>
      <c r="BM441" s="319" t="s">
        <v>190</v>
      </c>
      <c r="BN441" s="319" t="s">
        <v>190</v>
      </c>
      <c r="BO441" s="319" t="s">
        <v>190</v>
      </c>
      <c r="BP441" s="319" t="s">
        <v>190</v>
      </c>
      <c r="BQ441" s="319" t="s">
        <v>190</v>
      </c>
      <c r="BR441" s="319" t="s">
        <v>190</v>
      </c>
      <c r="BS441" s="319" t="s">
        <v>190</v>
      </c>
      <c r="BT441" s="319" t="s">
        <v>190</v>
      </c>
      <c r="BU441" s="319" t="s">
        <v>190</v>
      </c>
      <c r="BV441" s="319" t="s">
        <v>190</v>
      </c>
      <c r="BW441" s="319" t="s">
        <v>190</v>
      </c>
      <c r="BX441" s="319" t="s">
        <v>190</v>
      </c>
      <c r="BY441" s="319" t="s">
        <v>190</v>
      </c>
      <c r="BZ441" s="319" t="s">
        <v>190</v>
      </c>
      <c r="CA441" s="319" t="s">
        <v>190</v>
      </c>
      <c r="CB441" s="319" t="s">
        <v>190</v>
      </c>
      <c r="CC441" s="319" t="s">
        <v>190</v>
      </c>
      <c r="CD441" s="319" t="s">
        <v>190</v>
      </c>
      <c r="CE441" s="319" t="s">
        <v>190</v>
      </c>
      <c r="CF441" s="319" t="s">
        <v>190</v>
      </c>
      <c r="CG441" s="319" t="s">
        <v>190</v>
      </c>
      <c r="CH441" s="319" t="s">
        <v>190</v>
      </c>
      <c r="CI441" s="319" t="s">
        <v>190</v>
      </c>
      <c r="CJ441" s="319" t="s">
        <v>190</v>
      </c>
      <c r="CK441" s="319" t="s">
        <v>190</v>
      </c>
      <c r="CL441" s="319" t="s">
        <v>190</v>
      </c>
      <c r="CM441" s="319" t="s">
        <v>190</v>
      </c>
      <c r="CN441" s="319" t="s">
        <v>428</v>
      </c>
      <c r="CO441" s="319" t="s">
        <v>428</v>
      </c>
      <c r="CP441" s="319" t="s">
        <v>428</v>
      </c>
      <c r="CQ441" s="319" t="s">
        <v>190</v>
      </c>
      <c r="CR441" s="319" t="s">
        <v>190</v>
      </c>
      <c r="CS441" s="319" t="s">
        <v>190</v>
      </c>
      <c r="CT441" s="319" t="s">
        <v>190</v>
      </c>
      <c r="CU441" s="319" t="s">
        <v>190</v>
      </c>
      <c r="CV441" s="319" t="s">
        <v>190</v>
      </c>
      <c r="CW441" s="319" t="s">
        <v>190</v>
      </c>
      <c r="CX441" s="319" t="s">
        <v>190</v>
      </c>
      <c r="CY441" s="319" t="s">
        <v>190</v>
      </c>
      <c r="CZ441" s="319" t="s">
        <v>190</v>
      </c>
      <c r="DA441" s="319" t="s">
        <v>190</v>
      </c>
      <c r="DB441" s="319" t="s">
        <v>190</v>
      </c>
      <c r="DC441" s="319" t="s">
        <v>190</v>
      </c>
      <c r="DD441" s="319" t="s">
        <v>190</v>
      </c>
      <c r="DE441" s="319" t="s">
        <v>190</v>
      </c>
      <c r="DF441" s="319" t="s">
        <v>190</v>
      </c>
      <c r="DG441" s="319" t="s">
        <v>190</v>
      </c>
      <c r="DH441" s="319" t="s">
        <v>190</v>
      </c>
      <c r="DI441" s="319" t="s">
        <v>190</v>
      </c>
      <c r="DJ441" s="319" t="s">
        <v>190</v>
      </c>
      <c r="DK441" s="319" t="s">
        <v>190</v>
      </c>
      <c r="DL441" s="319" t="s">
        <v>190</v>
      </c>
      <c r="DM441" s="319" t="s">
        <v>190</v>
      </c>
      <c r="DN441" s="319" t="s">
        <v>428</v>
      </c>
      <c r="DO441" s="319" t="s">
        <v>428</v>
      </c>
      <c r="DP441" s="319" t="s">
        <v>190</v>
      </c>
      <c r="DQ441" s="319" t="s">
        <v>190</v>
      </c>
      <c r="DR441" s="319" t="s">
        <v>190</v>
      </c>
      <c r="DS441" s="319" t="s">
        <v>190</v>
      </c>
      <c r="DT441" s="319" t="s">
        <v>190</v>
      </c>
      <c r="DU441" s="319" t="s">
        <v>190</v>
      </c>
      <c r="DV441" s="319" t="s">
        <v>173</v>
      </c>
      <c r="DW441" s="319" t="s">
        <v>190</v>
      </c>
      <c r="DX441" s="319" t="s">
        <v>190</v>
      </c>
      <c r="DY441" s="319" t="s">
        <v>190</v>
      </c>
      <c r="DZ441" s="319" t="s">
        <v>190</v>
      </c>
      <c r="EA441" s="319" t="s">
        <v>190</v>
      </c>
      <c r="EB441" s="319" t="s">
        <v>190</v>
      </c>
      <c r="EC441" s="319" t="s">
        <v>428</v>
      </c>
      <c r="ED441" s="319" t="s">
        <v>428</v>
      </c>
      <c r="EE441" s="319" t="s">
        <v>190</v>
      </c>
      <c r="EF441" s="319" t="s">
        <v>190</v>
      </c>
      <c r="EG441" s="319" t="s">
        <v>190</v>
      </c>
      <c r="EH441" s="319" t="s">
        <v>190</v>
      </c>
      <c r="EI441" s="319" t="s">
        <v>190</v>
      </c>
      <c r="EJ441" s="319" t="s">
        <v>190</v>
      </c>
      <c r="EK441" s="319" t="s">
        <v>190</v>
      </c>
      <c r="EL441" s="319" t="s">
        <v>190</v>
      </c>
      <c r="EM441" s="319" t="s">
        <v>190</v>
      </c>
      <c r="EN441" s="319" t="s">
        <v>190</v>
      </c>
      <c r="EO441" s="319" t="s">
        <v>190</v>
      </c>
      <c r="EP441" s="319" t="s">
        <v>190</v>
      </c>
      <c r="EQ441" s="319" t="s">
        <v>190</v>
      </c>
      <c r="ER441" s="319" t="s">
        <v>190</v>
      </c>
      <c r="ES441" s="319" t="s">
        <v>190</v>
      </c>
      <c r="ET441" s="319" t="s">
        <v>190</v>
      </c>
      <c r="EU441" s="319" t="s">
        <v>190</v>
      </c>
      <c r="EV441" s="319" t="s">
        <v>190</v>
      </c>
      <c r="EW441" s="319" t="s">
        <v>190</v>
      </c>
      <c r="EX441" s="319" t="s">
        <v>190</v>
      </c>
      <c r="EY441" s="319" t="s">
        <v>190</v>
      </c>
      <c r="EZ441" s="319" t="s">
        <v>190</v>
      </c>
      <c r="FA441" s="319" t="s">
        <v>190</v>
      </c>
      <c r="FB441" s="319" t="s">
        <v>190</v>
      </c>
      <c r="FC441" s="319" t="s">
        <v>190</v>
      </c>
      <c r="FD441" s="319" t="s">
        <v>190</v>
      </c>
      <c r="FE441" s="319" t="s">
        <v>190</v>
      </c>
      <c r="FF441" s="319" t="s">
        <v>190</v>
      </c>
      <c r="FG441" s="319" t="s">
        <v>190</v>
      </c>
      <c r="FH441" s="319" t="s">
        <v>190</v>
      </c>
      <c r="FI441" s="319" t="s">
        <v>190</v>
      </c>
      <c r="FJ441" s="319" t="s">
        <v>190</v>
      </c>
      <c r="FK441" s="319" t="s">
        <v>190</v>
      </c>
      <c r="FL441" s="319" t="s">
        <v>190</v>
      </c>
      <c r="FM441" s="319" t="s">
        <v>190</v>
      </c>
      <c r="FN441" s="319" t="s">
        <v>190</v>
      </c>
      <c r="FO441" s="319" t="s">
        <v>190</v>
      </c>
      <c r="FP441" s="319" t="s">
        <v>190</v>
      </c>
      <c r="FQ441" s="319" t="s">
        <v>190</v>
      </c>
      <c r="FR441" s="319" t="s">
        <v>190</v>
      </c>
      <c r="FS441" s="319" t="s">
        <v>190</v>
      </c>
      <c r="FT441" s="319" t="s">
        <v>190</v>
      </c>
      <c r="FU441" s="319" t="s">
        <v>190</v>
      </c>
      <c r="FV441" s="319" t="s">
        <v>190</v>
      </c>
      <c r="FW441" s="319" t="s">
        <v>190</v>
      </c>
      <c r="FX441" s="319" t="s">
        <v>190</v>
      </c>
      <c r="FY441" s="319" t="s">
        <v>190</v>
      </c>
      <c r="FZ441" s="319" t="s">
        <v>190</v>
      </c>
      <c r="GA441" s="319" t="s">
        <v>190</v>
      </c>
      <c r="GB441" s="319" t="s">
        <v>190</v>
      </c>
      <c r="GC441" s="319" t="s">
        <v>190</v>
      </c>
      <c r="GD441" s="319" t="s">
        <v>190</v>
      </c>
      <c r="GE441" s="319" t="s">
        <v>190</v>
      </c>
      <c r="GF441" s="319" t="s">
        <v>190</v>
      </c>
      <c r="GG441" s="319" t="s">
        <v>190</v>
      </c>
      <c r="GH441" s="319" t="s">
        <v>190</v>
      </c>
      <c r="GI441" s="319" t="s">
        <v>190</v>
      </c>
      <c r="GJ441" s="319" t="s">
        <v>190</v>
      </c>
      <c r="GK441" s="319" t="s">
        <v>428</v>
      </c>
      <c r="GL441" s="319" t="s">
        <v>190</v>
      </c>
      <c r="GM441" s="319" t="s">
        <v>190</v>
      </c>
      <c r="GN441" s="319" t="s">
        <v>190</v>
      </c>
      <c r="GO441" s="319" t="s">
        <v>190</v>
      </c>
      <c r="GP441" s="319" t="s">
        <v>190</v>
      </c>
      <c r="GQ441" s="319" t="s">
        <v>428</v>
      </c>
      <c r="GR441" s="319" t="s">
        <v>190</v>
      </c>
      <c r="GS441" s="319" t="s">
        <v>190</v>
      </c>
      <c r="GT441" s="319" t="s">
        <v>190</v>
      </c>
      <c r="GU441" s="319" t="s">
        <v>190</v>
      </c>
      <c r="GV441" s="319" t="s">
        <v>428</v>
      </c>
      <c r="GW441" s="319" t="s">
        <v>190</v>
      </c>
      <c r="GX441" s="319" t="s">
        <v>190</v>
      </c>
      <c r="GY441" s="319" t="s">
        <v>190</v>
      </c>
      <c r="GZ441" s="319" t="s">
        <v>428</v>
      </c>
      <c r="HA441" s="319" t="s">
        <v>190</v>
      </c>
      <c r="HB441" s="319" t="s">
        <v>190</v>
      </c>
      <c r="HC441" s="319" t="s">
        <v>190</v>
      </c>
      <c r="HD441" s="319" t="s">
        <v>190</v>
      </c>
      <c r="HE441" s="319" t="s">
        <v>190</v>
      </c>
      <c r="HF441" s="319" t="s">
        <v>190</v>
      </c>
      <c r="HG441" s="319" t="s">
        <v>190</v>
      </c>
      <c r="HH441" s="319" t="s">
        <v>190</v>
      </c>
      <c r="HI441" s="319" t="s">
        <v>190</v>
      </c>
      <c r="HJ441" s="319" t="s">
        <v>190</v>
      </c>
      <c r="HK441" s="319" t="s">
        <v>190</v>
      </c>
      <c r="HL441" s="319" t="s">
        <v>428</v>
      </c>
      <c r="HM441" s="319" t="s">
        <v>428</v>
      </c>
      <c r="HN441" s="319" t="s">
        <v>428</v>
      </c>
      <c r="HO441" s="319" t="s">
        <v>428</v>
      </c>
      <c r="HP441" s="319" t="s">
        <v>190</v>
      </c>
      <c r="HQ441" s="319" t="s">
        <v>190</v>
      </c>
      <c r="HR441" s="319" t="s">
        <v>190</v>
      </c>
      <c r="HS441" s="319" t="s">
        <v>190</v>
      </c>
      <c r="HT441" s="319" t="s">
        <v>190</v>
      </c>
      <c r="HU441" s="319" t="s">
        <v>190</v>
      </c>
      <c r="HV441" s="319" t="s">
        <v>190</v>
      </c>
      <c r="HW441" s="319" t="s">
        <v>190</v>
      </c>
      <c r="HX441" s="319" t="s">
        <v>190</v>
      </c>
      <c r="HY441" s="319" t="s">
        <v>190</v>
      </c>
      <c r="HZ441" s="319" t="s">
        <v>190</v>
      </c>
      <c r="IA441" s="319" t="s">
        <v>190</v>
      </c>
      <c r="IB441" s="319" t="s">
        <v>190</v>
      </c>
      <c r="IC441" s="319" t="s">
        <v>190</v>
      </c>
      <c r="ID441" s="319" t="s">
        <v>190</v>
      </c>
      <c r="IE441" s="319" t="s">
        <v>190</v>
      </c>
      <c r="IF441" s="319" t="s">
        <v>190</v>
      </c>
      <c r="IG441" s="319" t="s">
        <v>190</v>
      </c>
      <c r="IH441" s="319" t="s">
        <v>190</v>
      </c>
      <c r="II441" s="319" t="s">
        <v>190</v>
      </c>
      <c r="IJ441" s="319">
        <v>10012920</v>
      </c>
      <c r="IK441" s="321">
        <v>42556</v>
      </c>
      <c r="IL441" s="321">
        <v>42558</v>
      </c>
      <c r="IM441" s="321">
        <v>42625</v>
      </c>
      <c r="IN441" s="319">
        <v>2</v>
      </c>
      <c r="IO441" s="319" t="s">
        <v>173</v>
      </c>
      <c r="IP441" s="319" t="s">
        <v>173</v>
      </c>
      <c r="IQ441" s="319" t="s">
        <v>173</v>
      </c>
      <c r="IR441" s="320" t="s">
        <v>173</v>
      </c>
      <c r="IS441" s="320" t="s">
        <v>173</v>
      </c>
      <c r="IT441" s="319" t="s">
        <v>173</v>
      </c>
    </row>
    <row r="442" spans="1:254" s="271" customFormat="1" x14ac:dyDescent="0.25">
      <c r="A442" s="318" t="str">
        <f>HYPERLINK("http://www.ofsted.gov.uk/inspection-reports/find-inspection-report/provider/ELS/134388 ","Ofsted School Webpage")</f>
        <v>Ofsted School Webpage</v>
      </c>
      <c r="B442" s="319">
        <v>134388</v>
      </c>
      <c r="C442" s="319">
        <v>3016002</v>
      </c>
      <c r="D442" s="319" t="s">
        <v>1805</v>
      </c>
      <c r="E442" s="319" t="s">
        <v>168</v>
      </c>
      <c r="F442" s="319" t="s">
        <v>81</v>
      </c>
      <c r="G442" s="319" t="s">
        <v>81</v>
      </c>
      <c r="H442" s="319" t="s">
        <v>81</v>
      </c>
      <c r="I442" s="319" t="s">
        <v>78</v>
      </c>
      <c r="J442" s="319" t="s">
        <v>424</v>
      </c>
      <c r="K442" s="319" t="s">
        <v>441</v>
      </c>
      <c r="L442" s="319" t="s">
        <v>441</v>
      </c>
      <c r="M442" s="319" t="s">
        <v>604</v>
      </c>
      <c r="N442" s="319" t="s">
        <v>3213</v>
      </c>
      <c r="O442" s="319" t="s">
        <v>1806</v>
      </c>
      <c r="P442" s="319">
        <v>41</v>
      </c>
      <c r="Q442" s="319" t="s">
        <v>429</v>
      </c>
      <c r="R442" s="320">
        <v>10092445</v>
      </c>
      <c r="S442" s="321">
        <v>43641</v>
      </c>
      <c r="T442" s="321">
        <v>43643</v>
      </c>
      <c r="U442" s="321">
        <v>43668</v>
      </c>
      <c r="V442" s="319" t="s">
        <v>425</v>
      </c>
      <c r="W442" s="319" t="s">
        <v>2767</v>
      </c>
      <c r="X442" s="319">
        <v>2</v>
      </c>
      <c r="Y442" s="319" t="s">
        <v>173</v>
      </c>
      <c r="Z442" s="319" t="s">
        <v>173</v>
      </c>
      <c r="AA442" s="319" t="s">
        <v>173</v>
      </c>
      <c r="AB442" s="319">
        <v>2</v>
      </c>
      <c r="AC442" s="319" t="s">
        <v>169</v>
      </c>
      <c r="AD442" s="319" t="s">
        <v>173</v>
      </c>
      <c r="AE442" s="319" t="s">
        <v>173</v>
      </c>
      <c r="AF442" s="319" t="s">
        <v>427</v>
      </c>
      <c r="AG442" s="319" t="s">
        <v>171</v>
      </c>
      <c r="AH442" s="319" t="s">
        <v>190</v>
      </c>
      <c r="AI442" s="319" t="s">
        <v>190</v>
      </c>
      <c r="AJ442" s="319" t="s">
        <v>190</v>
      </c>
      <c r="AK442" s="319" t="s">
        <v>190</v>
      </c>
      <c r="AL442" s="319" t="s">
        <v>190</v>
      </c>
      <c r="AM442" s="319" t="s">
        <v>190</v>
      </c>
      <c r="AN442" s="319" t="s">
        <v>190</v>
      </c>
      <c r="AO442" s="319" t="s">
        <v>190</v>
      </c>
      <c r="AP442" s="319" t="s">
        <v>190</v>
      </c>
      <c r="AQ442" s="319" t="s">
        <v>190</v>
      </c>
      <c r="AR442" s="319" t="s">
        <v>190</v>
      </c>
      <c r="AS442" s="319" t="s">
        <v>190</v>
      </c>
      <c r="AT442" s="319" t="s">
        <v>190</v>
      </c>
      <c r="AU442" s="319" t="s">
        <v>190</v>
      </c>
      <c r="AV442" s="319" t="s">
        <v>190</v>
      </c>
      <c r="AW442" s="319" t="s">
        <v>190</v>
      </c>
      <c r="AX442" s="319" t="s">
        <v>428</v>
      </c>
      <c r="AY442" s="319" t="s">
        <v>190</v>
      </c>
      <c r="AZ442" s="319" t="s">
        <v>190</v>
      </c>
      <c r="BA442" s="319" t="s">
        <v>190</v>
      </c>
      <c r="BB442" s="319" t="s">
        <v>190</v>
      </c>
      <c r="BC442" s="319" t="s">
        <v>190</v>
      </c>
      <c r="BD442" s="319" t="s">
        <v>190</v>
      </c>
      <c r="BE442" s="319" t="s">
        <v>190</v>
      </c>
      <c r="BF442" s="319" t="s">
        <v>428</v>
      </c>
      <c r="BG442" s="319" t="s">
        <v>428</v>
      </c>
      <c r="BH442" s="319" t="s">
        <v>190</v>
      </c>
      <c r="BI442" s="319" t="s">
        <v>190</v>
      </c>
      <c r="BJ442" s="319" t="s">
        <v>190</v>
      </c>
      <c r="BK442" s="319" t="s">
        <v>190</v>
      </c>
      <c r="BL442" s="319" t="s">
        <v>190</v>
      </c>
      <c r="BM442" s="319" t="s">
        <v>190</v>
      </c>
      <c r="BN442" s="319" t="s">
        <v>190</v>
      </c>
      <c r="BO442" s="319" t="s">
        <v>190</v>
      </c>
      <c r="BP442" s="319" t="s">
        <v>190</v>
      </c>
      <c r="BQ442" s="319" t="s">
        <v>190</v>
      </c>
      <c r="BR442" s="319" t="s">
        <v>190</v>
      </c>
      <c r="BS442" s="319" t="s">
        <v>190</v>
      </c>
      <c r="BT442" s="319" t="s">
        <v>190</v>
      </c>
      <c r="BU442" s="319" t="s">
        <v>190</v>
      </c>
      <c r="BV442" s="319" t="s">
        <v>190</v>
      </c>
      <c r="BW442" s="319" t="s">
        <v>190</v>
      </c>
      <c r="BX442" s="319" t="s">
        <v>190</v>
      </c>
      <c r="BY442" s="319" t="s">
        <v>190</v>
      </c>
      <c r="BZ442" s="319" t="s">
        <v>190</v>
      </c>
      <c r="CA442" s="319" t="s">
        <v>190</v>
      </c>
      <c r="CB442" s="319" t="s">
        <v>190</v>
      </c>
      <c r="CC442" s="319" t="s">
        <v>190</v>
      </c>
      <c r="CD442" s="319" t="s">
        <v>190</v>
      </c>
      <c r="CE442" s="319" t="s">
        <v>190</v>
      </c>
      <c r="CF442" s="319" t="s">
        <v>190</v>
      </c>
      <c r="CG442" s="319" t="s">
        <v>190</v>
      </c>
      <c r="CH442" s="319" t="s">
        <v>190</v>
      </c>
      <c r="CI442" s="319" t="s">
        <v>190</v>
      </c>
      <c r="CJ442" s="319" t="s">
        <v>190</v>
      </c>
      <c r="CK442" s="319" t="s">
        <v>190</v>
      </c>
      <c r="CL442" s="319" t="s">
        <v>190</v>
      </c>
      <c r="CM442" s="319" t="s">
        <v>190</v>
      </c>
      <c r="CN442" s="319" t="s">
        <v>190</v>
      </c>
      <c r="CO442" s="319" t="s">
        <v>428</v>
      </c>
      <c r="CP442" s="319" t="s">
        <v>428</v>
      </c>
      <c r="CQ442" s="319" t="s">
        <v>190</v>
      </c>
      <c r="CR442" s="319" t="s">
        <v>190</v>
      </c>
      <c r="CS442" s="319" t="s">
        <v>190</v>
      </c>
      <c r="CT442" s="319" t="s">
        <v>190</v>
      </c>
      <c r="CU442" s="319" t="s">
        <v>190</v>
      </c>
      <c r="CV442" s="319" t="s">
        <v>190</v>
      </c>
      <c r="CW442" s="319" t="s">
        <v>190</v>
      </c>
      <c r="CX442" s="319" t="s">
        <v>190</v>
      </c>
      <c r="CY442" s="319" t="s">
        <v>190</v>
      </c>
      <c r="CZ442" s="319" t="s">
        <v>190</v>
      </c>
      <c r="DA442" s="319" t="s">
        <v>190</v>
      </c>
      <c r="DB442" s="319" t="s">
        <v>190</v>
      </c>
      <c r="DC442" s="319" t="s">
        <v>190</v>
      </c>
      <c r="DD442" s="319" t="s">
        <v>190</v>
      </c>
      <c r="DE442" s="319" t="s">
        <v>190</v>
      </c>
      <c r="DF442" s="319" t="s">
        <v>190</v>
      </c>
      <c r="DG442" s="319" t="s">
        <v>190</v>
      </c>
      <c r="DH442" s="319" t="s">
        <v>190</v>
      </c>
      <c r="DI442" s="319" t="s">
        <v>190</v>
      </c>
      <c r="DJ442" s="319" t="s">
        <v>190</v>
      </c>
      <c r="DK442" s="319" t="s">
        <v>190</v>
      </c>
      <c r="DL442" s="319" t="s">
        <v>190</v>
      </c>
      <c r="DM442" s="319" t="s">
        <v>190</v>
      </c>
      <c r="DN442" s="319" t="s">
        <v>428</v>
      </c>
      <c r="DO442" s="319" t="s">
        <v>190</v>
      </c>
      <c r="DP442" s="319" t="s">
        <v>190</v>
      </c>
      <c r="DQ442" s="319" t="s">
        <v>190</v>
      </c>
      <c r="DR442" s="319" t="s">
        <v>190</v>
      </c>
      <c r="DS442" s="319" t="s">
        <v>190</v>
      </c>
      <c r="DT442" s="319" t="s">
        <v>190</v>
      </c>
      <c r="DU442" s="319" t="s">
        <v>190</v>
      </c>
      <c r="DV442" s="319" t="s">
        <v>173</v>
      </c>
      <c r="DW442" s="319" t="s">
        <v>190</v>
      </c>
      <c r="DX442" s="319" t="s">
        <v>190</v>
      </c>
      <c r="DY442" s="319" t="s">
        <v>190</v>
      </c>
      <c r="DZ442" s="319" t="s">
        <v>190</v>
      </c>
      <c r="EA442" s="319" t="s">
        <v>190</v>
      </c>
      <c r="EB442" s="319" t="s">
        <v>190</v>
      </c>
      <c r="EC442" s="319" t="s">
        <v>428</v>
      </c>
      <c r="ED442" s="319" t="s">
        <v>190</v>
      </c>
      <c r="EE442" s="319" t="s">
        <v>190</v>
      </c>
      <c r="EF442" s="319" t="s">
        <v>190</v>
      </c>
      <c r="EG442" s="319" t="s">
        <v>190</v>
      </c>
      <c r="EH442" s="319" t="s">
        <v>190</v>
      </c>
      <c r="EI442" s="319" t="s">
        <v>190</v>
      </c>
      <c r="EJ442" s="319" t="s">
        <v>190</v>
      </c>
      <c r="EK442" s="319" t="s">
        <v>190</v>
      </c>
      <c r="EL442" s="319" t="s">
        <v>190</v>
      </c>
      <c r="EM442" s="319" t="s">
        <v>190</v>
      </c>
      <c r="EN442" s="319" t="s">
        <v>190</v>
      </c>
      <c r="EO442" s="319" t="s">
        <v>190</v>
      </c>
      <c r="EP442" s="319" t="s">
        <v>190</v>
      </c>
      <c r="EQ442" s="319" t="s">
        <v>190</v>
      </c>
      <c r="ER442" s="319" t="s">
        <v>190</v>
      </c>
      <c r="ES442" s="319" t="s">
        <v>190</v>
      </c>
      <c r="ET442" s="319" t="s">
        <v>190</v>
      </c>
      <c r="EU442" s="319" t="s">
        <v>190</v>
      </c>
      <c r="EV442" s="319" t="s">
        <v>190</v>
      </c>
      <c r="EW442" s="319" t="s">
        <v>190</v>
      </c>
      <c r="EX442" s="319" t="s">
        <v>190</v>
      </c>
      <c r="EY442" s="319" t="s">
        <v>190</v>
      </c>
      <c r="EZ442" s="319" t="s">
        <v>190</v>
      </c>
      <c r="FA442" s="319" t="s">
        <v>190</v>
      </c>
      <c r="FB442" s="319" t="s">
        <v>190</v>
      </c>
      <c r="FC442" s="319" t="s">
        <v>190</v>
      </c>
      <c r="FD442" s="319" t="s">
        <v>190</v>
      </c>
      <c r="FE442" s="319" t="s">
        <v>190</v>
      </c>
      <c r="FF442" s="319" t="s">
        <v>190</v>
      </c>
      <c r="FG442" s="319" t="s">
        <v>190</v>
      </c>
      <c r="FH442" s="319" t="s">
        <v>190</v>
      </c>
      <c r="FI442" s="319" t="s">
        <v>190</v>
      </c>
      <c r="FJ442" s="319" t="s">
        <v>190</v>
      </c>
      <c r="FK442" s="319" t="s">
        <v>190</v>
      </c>
      <c r="FL442" s="319" t="s">
        <v>190</v>
      </c>
      <c r="FM442" s="319" t="s">
        <v>190</v>
      </c>
      <c r="FN442" s="319" t="s">
        <v>190</v>
      </c>
      <c r="FO442" s="319" t="s">
        <v>190</v>
      </c>
      <c r="FP442" s="319" t="s">
        <v>190</v>
      </c>
      <c r="FQ442" s="319" t="s">
        <v>190</v>
      </c>
      <c r="FR442" s="319" t="s">
        <v>190</v>
      </c>
      <c r="FS442" s="319" t="s">
        <v>428</v>
      </c>
      <c r="FT442" s="319" t="s">
        <v>190</v>
      </c>
      <c r="FU442" s="319" t="s">
        <v>190</v>
      </c>
      <c r="FV442" s="319" t="s">
        <v>190</v>
      </c>
      <c r="FW442" s="319" t="s">
        <v>190</v>
      </c>
      <c r="FX442" s="319" t="s">
        <v>190</v>
      </c>
      <c r="FY442" s="319" t="s">
        <v>190</v>
      </c>
      <c r="FZ442" s="319" t="s">
        <v>190</v>
      </c>
      <c r="GA442" s="319" t="s">
        <v>190</v>
      </c>
      <c r="GB442" s="319" t="s">
        <v>190</v>
      </c>
      <c r="GC442" s="319" t="s">
        <v>190</v>
      </c>
      <c r="GD442" s="319" t="s">
        <v>190</v>
      </c>
      <c r="GE442" s="319" t="s">
        <v>190</v>
      </c>
      <c r="GF442" s="319" t="s">
        <v>190</v>
      </c>
      <c r="GG442" s="319" t="s">
        <v>190</v>
      </c>
      <c r="GH442" s="319" t="s">
        <v>190</v>
      </c>
      <c r="GI442" s="319" t="s">
        <v>190</v>
      </c>
      <c r="GJ442" s="319" t="s">
        <v>190</v>
      </c>
      <c r="GK442" s="319" t="s">
        <v>428</v>
      </c>
      <c r="GL442" s="319" t="s">
        <v>190</v>
      </c>
      <c r="GM442" s="319" t="s">
        <v>190</v>
      </c>
      <c r="GN442" s="319" t="s">
        <v>190</v>
      </c>
      <c r="GO442" s="319" t="s">
        <v>190</v>
      </c>
      <c r="GP442" s="319" t="s">
        <v>190</v>
      </c>
      <c r="GQ442" s="319" t="s">
        <v>190</v>
      </c>
      <c r="GR442" s="319" t="s">
        <v>190</v>
      </c>
      <c r="GS442" s="319" t="s">
        <v>190</v>
      </c>
      <c r="GT442" s="319" t="s">
        <v>190</v>
      </c>
      <c r="GU442" s="319" t="s">
        <v>190</v>
      </c>
      <c r="GV442" s="319" t="s">
        <v>190</v>
      </c>
      <c r="GW442" s="319" t="s">
        <v>190</v>
      </c>
      <c r="GX442" s="319" t="s">
        <v>190</v>
      </c>
      <c r="GY442" s="319" t="s">
        <v>190</v>
      </c>
      <c r="GZ442" s="319" t="s">
        <v>190</v>
      </c>
      <c r="HA442" s="319" t="s">
        <v>428</v>
      </c>
      <c r="HB442" s="319" t="s">
        <v>190</v>
      </c>
      <c r="HC442" s="319" t="s">
        <v>190</v>
      </c>
      <c r="HD442" s="319" t="s">
        <v>190</v>
      </c>
      <c r="HE442" s="319" t="s">
        <v>190</v>
      </c>
      <c r="HF442" s="319" t="s">
        <v>190</v>
      </c>
      <c r="HG442" s="319" t="s">
        <v>190</v>
      </c>
      <c r="HH442" s="319" t="s">
        <v>190</v>
      </c>
      <c r="HI442" s="319" t="s">
        <v>190</v>
      </c>
      <c r="HJ442" s="319" t="s">
        <v>190</v>
      </c>
      <c r="HK442" s="319" t="s">
        <v>190</v>
      </c>
      <c r="HL442" s="319" t="s">
        <v>190</v>
      </c>
      <c r="HM442" s="319" t="s">
        <v>428</v>
      </c>
      <c r="HN442" s="319" t="s">
        <v>428</v>
      </c>
      <c r="HO442" s="319" t="s">
        <v>428</v>
      </c>
      <c r="HP442" s="319" t="s">
        <v>190</v>
      </c>
      <c r="HQ442" s="319" t="s">
        <v>190</v>
      </c>
      <c r="HR442" s="319" t="s">
        <v>190</v>
      </c>
      <c r="HS442" s="319" t="s">
        <v>190</v>
      </c>
      <c r="HT442" s="319" t="s">
        <v>190</v>
      </c>
      <c r="HU442" s="319" t="s">
        <v>190</v>
      </c>
      <c r="HV442" s="319" t="s">
        <v>190</v>
      </c>
      <c r="HW442" s="319" t="s">
        <v>190</v>
      </c>
      <c r="HX442" s="319" t="s">
        <v>190</v>
      </c>
      <c r="HY442" s="319" t="s">
        <v>190</v>
      </c>
      <c r="HZ442" s="319" t="s">
        <v>190</v>
      </c>
      <c r="IA442" s="319" t="s">
        <v>190</v>
      </c>
      <c r="IB442" s="319" t="s">
        <v>190</v>
      </c>
      <c r="IC442" s="319" t="s">
        <v>190</v>
      </c>
      <c r="ID442" s="319" t="s">
        <v>190</v>
      </c>
      <c r="IE442" s="319" t="s">
        <v>190</v>
      </c>
      <c r="IF442" s="319" t="s">
        <v>190</v>
      </c>
      <c r="IG442" s="319" t="s">
        <v>190</v>
      </c>
      <c r="IH442" s="319" t="s">
        <v>190</v>
      </c>
      <c r="II442" s="319" t="s">
        <v>190</v>
      </c>
      <c r="IJ442" s="319">
        <v>10038168</v>
      </c>
      <c r="IK442" s="321">
        <v>43054</v>
      </c>
      <c r="IL442" s="321">
        <v>43056</v>
      </c>
      <c r="IM442" s="321">
        <v>43097</v>
      </c>
      <c r="IN442" s="319">
        <v>3</v>
      </c>
      <c r="IO442" s="319" t="s">
        <v>173</v>
      </c>
      <c r="IP442" s="319" t="s">
        <v>173</v>
      </c>
      <c r="IQ442" s="319" t="s">
        <v>173</v>
      </c>
      <c r="IR442" s="320" t="s">
        <v>173</v>
      </c>
      <c r="IS442" s="320" t="s">
        <v>173</v>
      </c>
      <c r="IT442" s="319" t="s">
        <v>173</v>
      </c>
    </row>
    <row r="443" spans="1:254" s="271" customFormat="1" x14ac:dyDescent="0.25">
      <c r="A443" s="318" t="str">
        <f>HYPERLINK("http://www.ofsted.gov.uk/inspection-reports/find-inspection-report/provider/ELS/134395 ","Ofsted School Webpage")</f>
        <v>Ofsted School Webpage</v>
      </c>
      <c r="B443" s="319">
        <v>134395</v>
      </c>
      <c r="C443" s="319">
        <v>8306027</v>
      </c>
      <c r="D443" s="319" t="s">
        <v>1807</v>
      </c>
      <c r="E443" s="319" t="s">
        <v>168</v>
      </c>
      <c r="F443" s="319" t="s">
        <v>81</v>
      </c>
      <c r="G443" s="319" t="s">
        <v>81</v>
      </c>
      <c r="H443" s="319" t="s">
        <v>81</v>
      </c>
      <c r="I443" s="319" t="s">
        <v>78</v>
      </c>
      <c r="J443" s="319" t="s">
        <v>424</v>
      </c>
      <c r="K443" s="319" t="s">
        <v>506</v>
      </c>
      <c r="L443" s="319" t="s">
        <v>506</v>
      </c>
      <c r="M443" s="319" t="s">
        <v>507</v>
      </c>
      <c r="N443" s="319" t="s">
        <v>3214</v>
      </c>
      <c r="O443" s="319" t="s">
        <v>1808</v>
      </c>
      <c r="P443" s="319">
        <v>5</v>
      </c>
      <c r="Q443" s="319" t="s">
        <v>429</v>
      </c>
      <c r="R443" s="320">
        <v>10006102</v>
      </c>
      <c r="S443" s="321">
        <v>42899</v>
      </c>
      <c r="T443" s="321">
        <v>42900</v>
      </c>
      <c r="U443" s="321">
        <v>42923</v>
      </c>
      <c r="V443" s="319" t="s">
        <v>425</v>
      </c>
      <c r="W443" s="319" t="s">
        <v>2767</v>
      </c>
      <c r="X443" s="319">
        <v>3</v>
      </c>
      <c r="Y443" s="319" t="s">
        <v>173</v>
      </c>
      <c r="Z443" s="319" t="s">
        <v>173</v>
      </c>
      <c r="AA443" s="319" t="s">
        <v>173</v>
      </c>
      <c r="AB443" s="319">
        <v>3</v>
      </c>
      <c r="AC443" s="319" t="s">
        <v>169</v>
      </c>
      <c r="AD443" s="319" t="s">
        <v>173</v>
      </c>
      <c r="AE443" s="319" t="s">
        <v>173</v>
      </c>
      <c r="AF443" s="319" t="s">
        <v>173</v>
      </c>
      <c r="AG443" s="319" t="s">
        <v>172</v>
      </c>
      <c r="AH443" s="319" t="s">
        <v>479</v>
      </c>
      <c r="AI443" s="319" t="s">
        <v>190</v>
      </c>
      <c r="AJ443" s="319" t="s">
        <v>190</v>
      </c>
      <c r="AK443" s="319" t="s">
        <v>190</v>
      </c>
      <c r="AL443" s="319" t="s">
        <v>190</v>
      </c>
      <c r="AM443" s="319" t="s">
        <v>190</v>
      </c>
      <c r="AN443" s="319" t="s">
        <v>190</v>
      </c>
      <c r="AO443" s="319" t="s">
        <v>479</v>
      </c>
      <c r="AP443" s="319" t="s">
        <v>190</v>
      </c>
      <c r="AQ443" s="319" t="s">
        <v>190</v>
      </c>
      <c r="AR443" s="319" t="s">
        <v>190</v>
      </c>
      <c r="AS443" s="319" t="s">
        <v>190</v>
      </c>
      <c r="AT443" s="319" t="s">
        <v>190</v>
      </c>
      <c r="AU443" s="319" t="s">
        <v>190</v>
      </c>
      <c r="AV443" s="319" t="s">
        <v>190</v>
      </c>
      <c r="AW443" s="319" t="s">
        <v>190</v>
      </c>
      <c r="AX443" s="319" t="s">
        <v>429</v>
      </c>
      <c r="AY443" s="319" t="s">
        <v>190</v>
      </c>
      <c r="AZ443" s="319" t="s">
        <v>190</v>
      </c>
      <c r="BA443" s="319" t="s">
        <v>190</v>
      </c>
      <c r="BB443" s="319" t="s">
        <v>190</v>
      </c>
      <c r="BC443" s="319" t="s">
        <v>190</v>
      </c>
      <c r="BD443" s="319" t="s">
        <v>190</v>
      </c>
      <c r="BE443" s="319" t="s">
        <v>190</v>
      </c>
      <c r="BF443" s="319" t="s">
        <v>429</v>
      </c>
      <c r="BG443" s="319" t="s">
        <v>429</v>
      </c>
      <c r="BH443" s="319" t="s">
        <v>190</v>
      </c>
      <c r="BI443" s="319" t="s">
        <v>190</v>
      </c>
      <c r="BJ443" s="319" t="s">
        <v>191</v>
      </c>
      <c r="BK443" s="319" t="s">
        <v>190</v>
      </c>
      <c r="BL443" s="319" t="s">
        <v>190</v>
      </c>
      <c r="BM443" s="319" t="s">
        <v>190</v>
      </c>
      <c r="BN443" s="319" t="s">
        <v>190</v>
      </c>
      <c r="BO443" s="319" t="s">
        <v>190</v>
      </c>
      <c r="BP443" s="319" t="s">
        <v>190</v>
      </c>
      <c r="BQ443" s="319" t="s">
        <v>191</v>
      </c>
      <c r="BR443" s="319" t="s">
        <v>190</v>
      </c>
      <c r="BS443" s="319" t="s">
        <v>190</v>
      </c>
      <c r="BT443" s="319" t="s">
        <v>190</v>
      </c>
      <c r="BU443" s="319" t="s">
        <v>190</v>
      </c>
      <c r="BV443" s="319" t="s">
        <v>190</v>
      </c>
      <c r="BW443" s="319" t="s">
        <v>190</v>
      </c>
      <c r="BX443" s="319" t="s">
        <v>190</v>
      </c>
      <c r="BY443" s="319" t="s">
        <v>190</v>
      </c>
      <c r="BZ443" s="319" t="s">
        <v>190</v>
      </c>
      <c r="CA443" s="319" t="s">
        <v>190</v>
      </c>
      <c r="CB443" s="319" t="s">
        <v>190</v>
      </c>
      <c r="CC443" s="319" t="s">
        <v>190</v>
      </c>
      <c r="CD443" s="319" t="s">
        <v>190</v>
      </c>
      <c r="CE443" s="319" t="s">
        <v>190</v>
      </c>
      <c r="CF443" s="319" t="s">
        <v>190</v>
      </c>
      <c r="CG443" s="319" t="s">
        <v>190</v>
      </c>
      <c r="CH443" s="319" t="s">
        <v>190</v>
      </c>
      <c r="CI443" s="319" t="s">
        <v>190</v>
      </c>
      <c r="CJ443" s="319" t="s">
        <v>190</v>
      </c>
      <c r="CK443" s="319" t="s">
        <v>190</v>
      </c>
      <c r="CL443" s="319" t="s">
        <v>190</v>
      </c>
      <c r="CM443" s="319" t="s">
        <v>190</v>
      </c>
      <c r="CN443" s="319" t="s">
        <v>429</v>
      </c>
      <c r="CO443" s="319" t="s">
        <v>429</v>
      </c>
      <c r="CP443" s="319" t="s">
        <v>429</v>
      </c>
      <c r="CQ443" s="319" t="s">
        <v>190</v>
      </c>
      <c r="CR443" s="319" t="s">
        <v>190</v>
      </c>
      <c r="CS443" s="319" t="s">
        <v>190</v>
      </c>
      <c r="CT443" s="319" t="s">
        <v>190</v>
      </c>
      <c r="CU443" s="319" t="s">
        <v>190</v>
      </c>
      <c r="CV443" s="319" t="s">
        <v>190</v>
      </c>
      <c r="CW443" s="319" t="s">
        <v>190</v>
      </c>
      <c r="CX443" s="319" t="s">
        <v>190</v>
      </c>
      <c r="CY443" s="319" t="s">
        <v>190</v>
      </c>
      <c r="CZ443" s="319" t="s">
        <v>190</v>
      </c>
      <c r="DA443" s="319" t="s">
        <v>190</v>
      </c>
      <c r="DB443" s="319" t="s">
        <v>190</v>
      </c>
      <c r="DC443" s="319" t="s">
        <v>190</v>
      </c>
      <c r="DD443" s="319" t="s">
        <v>190</v>
      </c>
      <c r="DE443" s="319" t="s">
        <v>190</v>
      </c>
      <c r="DF443" s="319" t="s">
        <v>190</v>
      </c>
      <c r="DG443" s="319" t="s">
        <v>190</v>
      </c>
      <c r="DH443" s="319" t="s">
        <v>190</v>
      </c>
      <c r="DI443" s="319" t="s">
        <v>190</v>
      </c>
      <c r="DJ443" s="319" t="s">
        <v>190</v>
      </c>
      <c r="DK443" s="319" t="s">
        <v>190</v>
      </c>
      <c r="DL443" s="319" t="s">
        <v>190</v>
      </c>
      <c r="DM443" s="319" t="s">
        <v>190</v>
      </c>
      <c r="DN443" s="319" t="s">
        <v>429</v>
      </c>
      <c r="DO443" s="319" t="s">
        <v>190</v>
      </c>
      <c r="DP443" s="319" t="s">
        <v>429</v>
      </c>
      <c r="DQ443" s="319" t="s">
        <v>429</v>
      </c>
      <c r="DR443" s="319" t="s">
        <v>429</v>
      </c>
      <c r="DS443" s="319" t="s">
        <v>429</v>
      </c>
      <c r="DT443" s="319" t="s">
        <v>429</v>
      </c>
      <c r="DU443" s="319" t="s">
        <v>429</v>
      </c>
      <c r="DV443" s="319" t="s">
        <v>173</v>
      </c>
      <c r="DW443" s="319" t="s">
        <v>429</v>
      </c>
      <c r="DX443" s="319" t="s">
        <v>429</v>
      </c>
      <c r="DY443" s="319" t="s">
        <v>429</v>
      </c>
      <c r="DZ443" s="319" t="s">
        <v>429</v>
      </c>
      <c r="EA443" s="319" t="s">
        <v>429</v>
      </c>
      <c r="EB443" s="319" t="s">
        <v>429</v>
      </c>
      <c r="EC443" s="319" t="s">
        <v>429</v>
      </c>
      <c r="ED443" s="319" t="s">
        <v>429</v>
      </c>
      <c r="EE443" s="319" t="s">
        <v>429</v>
      </c>
      <c r="EF443" s="319" t="s">
        <v>429</v>
      </c>
      <c r="EG443" s="319" t="s">
        <v>429</v>
      </c>
      <c r="EH443" s="319" t="s">
        <v>429</v>
      </c>
      <c r="EI443" s="319" t="s">
        <v>429</v>
      </c>
      <c r="EJ443" s="319" t="s">
        <v>429</v>
      </c>
      <c r="EK443" s="319" t="s">
        <v>429</v>
      </c>
      <c r="EL443" s="319" t="s">
        <v>429</v>
      </c>
      <c r="EM443" s="319" t="s">
        <v>429</v>
      </c>
      <c r="EN443" s="319" t="s">
        <v>190</v>
      </c>
      <c r="EO443" s="319" t="s">
        <v>190</v>
      </c>
      <c r="EP443" s="319" t="s">
        <v>190</v>
      </c>
      <c r="EQ443" s="319" t="s">
        <v>190</v>
      </c>
      <c r="ER443" s="319" t="s">
        <v>190</v>
      </c>
      <c r="ES443" s="319" t="s">
        <v>190</v>
      </c>
      <c r="ET443" s="319" t="s">
        <v>190</v>
      </c>
      <c r="EU443" s="319" t="s">
        <v>190</v>
      </c>
      <c r="EV443" s="319" t="s">
        <v>190</v>
      </c>
      <c r="EW443" s="319" t="s">
        <v>190</v>
      </c>
      <c r="EX443" s="319" t="s">
        <v>190</v>
      </c>
      <c r="EY443" s="319" t="s">
        <v>190</v>
      </c>
      <c r="EZ443" s="319" t="s">
        <v>190</v>
      </c>
      <c r="FA443" s="319" t="s">
        <v>190</v>
      </c>
      <c r="FB443" s="319" t="s">
        <v>429</v>
      </c>
      <c r="FC443" s="319" t="s">
        <v>429</v>
      </c>
      <c r="FD443" s="319" t="s">
        <v>429</v>
      </c>
      <c r="FE443" s="319" t="s">
        <v>429</v>
      </c>
      <c r="FF443" s="319" t="s">
        <v>429</v>
      </c>
      <c r="FG443" s="319" t="s">
        <v>429</v>
      </c>
      <c r="FH443" s="319" t="s">
        <v>429</v>
      </c>
      <c r="FI443" s="319" t="s">
        <v>429</v>
      </c>
      <c r="FJ443" s="319" t="s">
        <v>429</v>
      </c>
      <c r="FK443" s="319" t="s">
        <v>429</v>
      </c>
      <c r="FL443" s="319" t="s">
        <v>190</v>
      </c>
      <c r="FM443" s="319" t="s">
        <v>190</v>
      </c>
      <c r="FN443" s="319" t="s">
        <v>190</v>
      </c>
      <c r="FO443" s="319" t="s">
        <v>190</v>
      </c>
      <c r="FP443" s="319" t="s">
        <v>190</v>
      </c>
      <c r="FQ443" s="319" t="s">
        <v>190</v>
      </c>
      <c r="FR443" s="319" t="s">
        <v>190</v>
      </c>
      <c r="FS443" s="319" t="s">
        <v>429</v>
      </c>
      <c r="FT443" s="319" t="s">
        <v>190</v>
      </c>
      <c r="FU443" s="319" t="s">
        <v>190</v>
      </c>
      <c r="FV443" s="319" t="s">
        <v>190</v>
      </c>
      <c r="FW443" s="319" t="s">
        <v>190</v>
      </c>
      <c r="FX443" s="319" t="s">
        <v>190</v>
      </c>
      <c r="FY443" s="319" t="s">
        <v>190</v>
      </c>
      <c r="FZ443" s="319" t="s">
        <v>190</v>
      </c>
      <c r="GA443" s="319" t="s">
        <v>190</v>
      </c>
      <c r="GB443" s="319" t="s">
        <v>190</v>
      </c>
      <c r="GC443" s="319" t="s">
        <v>190</v>
      </c>
      <c r="GD443" s="319" t="s">
        <v>190</v>
      </c>
      <c r="GE443" s="319" t="s">
        <v>190</v>
      </c>
      <c r="GF443" s="319" t="s">
        <v>190</v>
      </c>
      <c r="GG443" s="319" t="s">
        <v>190</v>
      </c>
      <c r="GH443" s="319" t="s">
        <v>190</v>
      </c>
      <c r="GI443" s="319" t="s">
        <v>190</v>
      </c>
      <c r="GJ443" s="319" t="s">
        <v>190</v>
      </c>
      <c r="GK443" s="319" t="s">
        <v>429</v>
      </c>
      <c r="GL443" s="319" t="s">
        <v>190</v>
      </c>
      <c r="GM443" s="319" t="s">
        <v>190</v>
      </c>
      <c r="GN443" s="319" t="s">
        <v>190</v>
      </c>
      <c r="GO443" s="319" t="s">
        <v>190</v>
      </c>
      <c r="GP443" s="319" t="s">
        <v>190</v>
      </c>
      <c r="GQ443" s="319" t="s">
        <v>429</v>
      </c>
      <c r="GR443" s="319" t="s">
        <v>190</v>
      </c>
      <c r="GS443" s="319" t="s">
        <v>190</v>
      </c>
      <c r="GT443" s="319" t="s">
        <v>190</v>
      </c>
      <c r="GU443" s="319" t="s">
        <v>190</v>
      </c>
      <c r="GV443" s="319" t="s">
        <v>429</v>
      </c>
      <c r="GW443" s="319" t="s">
        <v>190</v>
      </c>
      <c r="GX443" s="319" t="s">
        <v>190</v>
      </c>
      <c r="GY443" s="319" t="s">
        <v>190</v>
      </c>
      <c r="GZ443" s="319" t="s">
        <v>190</v>
      </c>
      <c r="HA443" s="319" t="s">
        <v>429</v>
      </c>
      <c r="HB443" s="319" t="s">
        <v>429</v>
      </c>
      <c r="HC443" s="319" t="s">
        <v>190</v>
      </c>
      <c r="HD443" s="319" t="s">
        <v>190</v>
      </c>
      <c r="HE443" s="319" t="s">
        <v>190</v>
      </c>
      <c r="HF443" s="319" t="s">
        <v>190</v>
      </c>
      <c r="HG443" s="319" t="s">
        <v>190</v>
      </c>
      <c r="HH443" s="319" t="s">
        <v>190</v>
      </c>
      <c r="HI443" s="319" t="s">
        <v>190</v>
      </c>
      <c r="HJ443" s="319" t="s">
        <v>190</v>
      </c>
      <c r="HK443" s="319" t="s">
        <v>190</v>
      </c>
      <c r="HL443" s="319" t="s">
        <v>429</v>
      </c>
      <c r="HM443" s="319" t="s">
        <v>429</v>
      </c>
      <c r="HN443" s="319" t="s">
        <v>429</v>
      </c>
      <c r="HO443" s="319" t="s">
        <v>429</v>
      </c>
      <c r="HP443" s="319" t="s">
        <v>190</v>
      </c>
      <c r="HQ443" s="319" t="s">
        <v>190</v>
      </c>
      <c r="HR443" s="319" t="s">
        <v>190</v>
      </c>
      <c r="HS443" s="319" t="s">
        <v>190</v>
      </c>
      <c r="HT443" s="319" t="s">
        <v>190</v>
      </c>
      <c r="HU443" s="319" t="s">
        <v>190</v>
      </c>
      <c r="HV443" s="319" t="s">
        <v>190</v>
      </c>
      <c r="HW443" s="319" t="s">
        <v>190</v>
      </c>
      <c r="HX443" s="319" t="s">
        <v>190</v>
      </c>
      <c r="HY443" s="319" t="s">
        <v>190</v>
      </c>
      <c r="HZ443" s="319" t="s">
        <v>190</v>
      </c>
      <c r="IA443" s="319" t="s">
        <v>190</v>
      </c>
      <c r="IB443" s="319" t="s">
        <v>190</v>
      </c>
      <c r="IC443" s="319" t="s">
        <v>190</v>
      </c>
      <c r="ID443" s="319" t="s">
        <v>190</v>
      </c>
      <c r="IE443" s="319" t="s">
        <v>190</v>
      </c>
      <c r="IF443" s="319" t="s">
        <v>191</v>
      </c>
      <c r="IG443" s="319" t="s">
        <v>191</v>
      </c>
      <c r="IH443" s="319" t="s">
        <v>191</v>
      </c>
      <c r="II443" s="319" t="s">
        <v>190</v>
      </c>
      <c r="IJ443" s="319" t="s">
        <v>3215</v>
      </c>
      <c r="IK443" s="321">
        <v>41171</v>
      </c>
      <c r="IL443" s="321">
        <v>41172</v>
      </c>
      <c r="IM443" s="321">
        <v>41190</v>
      </c>
      <c r="IN443" s="319">
        <v>3</v>
      </c>
      <c r="IO443" s="319" t="s">
        <v>173</v>
      </c>
      <c r="IP443" s="319" t="s">
        <v>173</v>
      </c>
      <c r="IQ443" s="321" t="s">
        <v>173</v>
      </c>
      <c r="IR443" s="320" t="s">
        <v>173</v>
      </c>
      <c r="IS443" s="322" t="s">
        <v>173</v>
      </c>
      <c r="IT443" s="319" t="s">
        <v>173</v>
      </c>
    </row>
    <row r="444" spans="1:254" s="271" customFormat="1" x14ac:dyDescent="0.25">
      <c r="A444" s="318" t="str">
        <f>HYPERLINK("http://www.ofsted.gov.uk/inspection-reports/find-inspection-report/provider/ELS/134398 ","Ofsted School Webpage")</f>
        <v>Ofsted School Webpage</v>
      </c>
      <c r="B444" s="319">
        <v>134398</v>
      </c>
      <c r="C444" s="319">
        <v>8816048</v>
      </c>
      <c r="D444" s="319" t="s">
        <v>1009</v>
      </c>
      <c r="E444" s="319" t="s">
        <v>168</v>
      </c>
      <c r="F444" s="319" t="s">
        <v>81</v>
      </c>
      <c r="G444" s="319" t="s">
        <v>81</v>
      </c>
      <c r="H444" s="319" t="s">
        <v>81</v>
      </c>
      <c r="I444" s="319" t="s">
        <v>78</v>
      </c>
      <c r="J444" s="319" t="s">
        <v>424</v>
      </c>
      <c r="K444" s="319" t="s">
        <v>451</v>
      </c>
      <c r="L444" s="319" t="s">
        <v>451</v>
      </c>
      <c r="M444" s="319" t="s">
        <v>679</v>
      </c>
      <c r="N444" s="319" t="s">
        <v>3216</v>
      </c>
      <c r="O444" s="319" t="s">
        <v>1010</v>
      </c>
      <c r="P444" s="319">
        <v>20</v>
      </c>
      <c r="Q444" s="319" t="s">
        <v>2776</v>
      </c>
      <c r="R444" s="320">
        <v>10093914</v>
      </c>
      <c r="S444" s="321">
        <v>43620</v>
      </c>
      <c r="T444" s="321">
        <v>43622</v>
      </c>
      <c r="U444" s="321">
        <v>43647</v>
      </c>
      <c r="V444" s="319" t="s">
        <v>425</v>
      </c>
      <c r="W444" s="319" t="s">
        <v>2767</v>
      </c>
      <c r="X444" s="319">
        <v>2</v>
      </c>
      <c r="Y444" s="319" t="s">
        <v>173</v>
      </c>
      <c r="Z444" s="319" t="s">
        <v>173</v>
      </c>
      <c r="AA444" s="319" t="s">
        <v>173</v>
      </c>
      <c r="AB444" s="319">
        <v>2</v>
      </c>
      <c r="AC444" s="319" t="s">
        <v>169</v>
      </c>
      <c r="AD444" s="319" t="s">
        <v>173</v>
      </c>
      <c r="AE444" s="319">
        <v>0</v>
      </c>
      <c r="AF444" s="319" t="s">
        <v>427</v>
      </c>
      <c r="AG444" s="319" t="s">
        <v>171</v>
      </c>
      <c r="AH444" s="319" t="s">
        <v>190</v>
      </c>
      <c r="AI444" s="319" t="s">
        <v>190</v>
      </c>
      <c r="AJ444" s="319" t="s">
        <v>190</v>
      </c>
      <c r="AK444" s="319" t="s">
        <v>190</v>
      </c>
      <c r="AL444" s="319" t="s">
        <v>190</v>
      </c>
      <c r="AM444" s="319" t="s">
        <v>190</v>
      </c>
      <c r="AN444" s="319" t="s">
        <v>190</v>
      </c>
      <c r="AO444" s="319" t="s">
        <v>190</v>
      </c>
      <c r="AP444" s="319" t="s">
        <v>190</v>
      </c>
      <c r="AQ444" s="319" t="s">
        <v>190</v>
      </c>
      <c r="AR444" s="319" t="s">
        <v>190</v>
      </c>
      <c r="AS444" s="319" t="s">
        <v>190</v>
      </c>
      <c r="AT444" s="319" t="s">
        <v>190</v>
      </c>
      <c r="AU444" s="319" t="s">
        <v>190</v>
      </c>
      <c r="AV444" s="319" t="s">
        <v>190</v>
      </c>
      <c r="AW444" s="319" t="s">
        <v>190</v>
      </c>
      <c r="AX444" s="319" t="s">
        <v>428</v>
      </c>
      <c r="AY444" s="319" t="s">
        <v>190</v>
      </c>
      <c r="AZ444" s="319" t="s">
        <v>190</v>
      </c>
      <c r="BA444" s="319" t="s">
        <v>190</v>
      </c>
      <c r="BB444" s="319" t="s">
        <v>190</v>
      </c>
      <c r="BC444" s="319" t="s">
        <v>190</v>
      </c>
      <c r="BD444" s="319" t="s">
        <v>190</v>
      </c>
      <c r="BE444" s="319" t="s">
        <v>190</v>
      </c>
      <c r="BF444" s="319" t="s">
        <v>428</v>
      </c>
      <c r="BG444" s="319" t="s">
        <v>190</v>
      </c>
      <c r="BH444" s="319" t="s">
        <v>190</v>
      </c>
      <c r="BI444" s="319" t="s">
        <v>190</v>
      </c>
      <c r="BJ444" s="319" t="s">
        <v>190</v>
      </c>
      <c r="BK444" s="319" t="s">
        <v>190</v>
      </c>
      <c r="BL444" s="319" t="s">
        <v>190</v>
      </c>
      <c r="BM444" s="319" t="s">
        <v>190</v>
      </c>
      <c r="BN444" s="319" t="s">
        <v>190</v>
      </c>
      <c r="BO444" s="319" t="s">
        <v>190</v>
      </c>
      <c r="BP444" s="319" t="s">
        <v>190</v>
      </c>
      <c r="BQ444" s="319" t="s">
        <v>190</v>
      </c>
      <c r="BR444" s="319" t="s">
        <v>190</v>
      </c>
      <c r="BS444" s="319" t="s">
        <v>190</v>
      </c>
      <c r="BT444" s="319" t="s">
        <v>190</v>
      </c>
      <c r="BU444" s="319" t="s">
        <v>190</v>
      </c>
      <c r="BV444" s="319" t="s">
        <v>190</v>
      </c>
      <c r="BW444" s="319" t="s">
        <v>190</v>
      </c>
      <c r="BX444" s="319" t="s">
        <v>190</v>
      </c>
      <c r="BY444" s="319" t="s">
        <v>190</v>
      </c>
      <c r="BZ444" s="319" t="s">
        <v>190</v>
      </c>
      <c r="CA444" s="319" t="s">
        <v>190</v>
      </c>
      <c r="CB444" s="319" t="s">
        <v>190</v>
      </c>
      <c r="CC444" s="319" t="s">
        <v>190</v>
      </c>
      <c r="CD444" s="319" t="s">
        <v>190</v>
      </c>
      <c r="CE444" s="319" t="s">
        <v>190</v>
      </c>
      <c r="CF444" s="319" t="s">
        <v>190</v>
      </c>
      <c r="CG444" s="319" t="s">
        <v>190</v>
      </c>
      <c r="CH444" s="319" t="s">
        <v>190</v>
      </c>
      <c r="CI444" s="319" t="s">
        <v>190</v>
      </c>
      <c r="CJ444" s="319" t="s">
        <v>190</v>
      </c>
      <c r="CK444" s="319" t="s">
        <v>190</v>
      </c>
      <c r="CL444" s="319" t="s">
        <v>190</v>
      </c>
      <c r="CM444" s="319" t="s">
        <v>190</v>
      </c>
      <c r="CN444" s="319" t="s">
        <v>428</v>
      </c>
      <c r="CO444" s="319" t="s">
        <v>428</v>
      </c>
      <c r="CP444" s="319" t="s">
        <v>428</v>
      </c>
      <c r="CQ444" s="319" t="s">
        <v>190</v>
      </c>
      <c r="CR444" s="319" t="s">
        <v>190</v>
      </c>
      <c r="CS444" s="319" t="s">
        <v>190</v>
      </c>
      <c r="CT444" s="319" t="s">
        <v>190</v>
      </c>
      <c r="CU444" s="319" t="s">
        <v>190</v>
      </c>
      <c r="CV444" s="319" t="s">
        <v>190</v>
      </c>
      <c r="CW444" s="319" t="s">
        <v>190</v>
      </c>
      <c r="CX444" s="319" t="s">
        <v>190</v>
      </c>
      <c r="CY444" s="319" t="s">
        <v>190</v>
      </c>
      <c r="CZ444" s="319" t="s">
        <v>190</v>
      </c>
      <c r="DA444" s="319" t="s">
        <v>190</v>
      </c>
      <c r="DB444" s="319" t="s">
        <v>190</v>
      </c>
      <c r="DC444" s="319" t="s">
        <v>190</v>
      </c>
      <c r="DD444" s="319" t="s">
        <v>190</v>
      </c>
      <c r="DE444" s="319" t="s">
        <v>190</v>
      </c>
      <c r="DF444" s="319" t="s">
        <v>190</v>
      </c>
      <c r="DG444" s="319" t="s">
        <v>190</v>
      </c>
      <c r="DH444" s="319" t="s">
        <v>190</v>
      </c>
      <c r="DI444" s="319" t="s">
        <v>190</v>
      </c>
      <c r="DJ444" s="319" t="s">
        <v>190</v>
      </c>
      <c r="DK444" s="319" t="s">
        <v>190</v>
      </c>
      <c r="DL444" s="319" t="s">
        <v>190</v>
      </c>
      <c r="DM444" s="319" t="s">
        <v>190</v>
      </c>
      <c r="DN444" s="319" t="s">
        <v>428</v>
      </c>
      <c r="DO444" s="319" t="s">
        <v>190</v>
      </c>
      <c r="DP444" s="319" t="s">
        <v>428</v>
      </c>
      <c r="DQ444" s="319" t="s">
        <v>428</v>
      </c>
      <c r="DR444" s="319" t="s">
        <v>428</v>
      </c>
      <c r="DS444" s="319" t="s">
        <v>428</v>
      </c>
      <c r="DT444" s="319" t="s">
        <v>428</v>
      </c>
      <c r="DU444" s="319" t="s">
        <v>428</v>
      </c>
      <c r="DV444" s="319" t="s">
        <v>173</v>
      </c>
      <c r="DW444" s="319" t="s">
        <v>428</v>
      </c>
      <c r="DX444" s="319" t="s">
        <v>428</v>
      </c>
      <c r="DY444" s="319" t="s">
        <v>428</v>
      </c>
      <c r="DZ444" s="319" t="s">
        <v>428</v>
      </c>
      <c r="EA444" s="319" t="s">
        <v>428</v>
      </c>
      <c r="EB444" s="319" t="s">
        <v>428</v>
      </c>
      <c r="EC444" s="319" t="s">
        <v>428</v>
      </c>
      <c r="ED444" s="319" t="s">
        <v>428</v>
      </c>
      <c r="EE444" s="319" t="s">
        <v>428</v>
      </c>
      <c r="EF444" s="319" t="s">
        <v>428</v>
      </c>
      <c r="EG444" s="319" t="s">
        <v>428</v>
      </c>
      <c r="EH444" s="319" t="s">
        <v>428</v>
      </c>
      <c r="EI444" s="319" t="s">
        <v>428</v>
      </c>
      <c r="EJ444" s="319" t="s">
        <v>428</v>
      </c>
      <c r="EK444" s="319" t="s">
        <v>428</v>
      </c>
      <c r="EL444" s="319" t="s">
        <v>428</v>
      </c>
      <c r="EM444" s="319" t="s">
        <v>428</v>
      </c>
      <c r="EN444" s="319" t="s">
        <v>190</v>
      </c>
      <c r="EO444" s="319" t="s">
        <v>190</v>
      </c>
      <c r="EP444" s="319" t="s">
        <v>190</v>
      </c>
      <c r="EQ444" s="319" t="s">
        <v>190</v>
      </c>
      <c r="ER444" s="319" t="s">
        <v>190</v>
      </c>
      <c r="ES444" s="319" t="s">
        <v>190</v>
      </c>
      <c r="ET444" s="319" t="s">
        <v>190</v>
      </c>
      <c r="EU444" s="319" t="s">
        <v>190</v>
      </c>
      <c r="EV444" s="319" t="s">
        <v>190</v>
      </c>
      <c r="EW444" s="319" t="s">
        <v>190</v>
      </c>
      <c r="EX444" s="319" t="s">
        <v>190</v>
      </c>
      <c r="EY444" s="319" t="s">
        <v>190</v>
      </c>
      <c r="EZ444" s="319" t="s">
        <v>190</v>
      </c>
      <c r="FA444" s="319" t="s">
        <v>190</v>
      </c>
      <c r="FB444" s="319" t="s">
        <v>428</v>
      </c>
      <c r="FC444" s="319" t="s">
        <v>428</v>
      </c>
      <c r="FD444" s="319" t="s">
        <v>428</v>
      </c>
      <c r="FE444" s="319" t="s">
        <v>428</v>
      </c>
      <c r="FF444" s="319" t="s">
        <v>428</v>
      </c>
      <c r="FG444" s="319" t="s">
        <v>428</v>
      </c>
      <c r="FH444" s="319" t="s">
        <v>428</v>
      </c>
      <c r="FI444" s="319" t="s">
        <v>428</v>
      </c>
      <c r="FJ444" s="319" t="s">
        <v>429</v>
      </c>
      <c r="FK444" s="319" t="s">
        <v>428</v>
      </c>
      <c r="FL444" s="319" t="s">
        <v>190</v>
      </c>
      <c r="FM444" s="319" t="s">
        <v>190</v>
      </c>
      <c r="FN444" s="319" t="s">
        <v>190</v>
      </c>
      <c r="FO444" s="319" t="s">
        <v>190</v>
      </c>
      <c r="FP444" s="319" t="s">
        <v>190</v>
      </c>
      <c r="FQ444" s="319" t="s">
        <v>190</v>
      </c>
      <c r="FR444" s="319" t="s">
        <v>190</v>
      </c>
      <c r="FS444" s="319" t="s">
        <v>428</v>
      </c>
      <c r="FT444" s="319" t="s">
        <v>190</v>
      </c>
      <c r="FU444" s="319" t="s">
        <v>190</v>
      </c>
      <c r="FV444" s="319" t="s">
        <v>190</v>
      </c>
      <c r="FW444" s="319" t="s">
        <v>190</v>
      </c>
      <c r="FX444" s="319" t="s">
        <v>190</v>
      </c>
      <c r="FY444" s="319" t="s">
        <v>190</v>
      </c>
      <c r="FZ444" s="319" t="s">
        <v>190</v>
      </c>
      <c r="GA444" s="319" t="s">
        <v>190</v>
      </c>
      <c r="GB444" s="319" t="s">
        <v>190</v>
      </c>
      <c r="GC444" s="319" t="s">
        <v>190</v>
      </c>
      <c r="GD444" s="319" t="s">
        <v>190</v>
      </c>
      <c r="GE444" s="319" t="s">
        <v>190</v>
      </c>
      <c r="GF444" s="319" t="s">
        <v>190</v>
      </c>
      <c r="GG444" s="319" t="s">
        <v>190</v>
      </c>
      <c r="GH444" s="319" t="s">
        <v>190</v>
      </c>
      <c r="GI444" s="319" t="s">
        <v>190</v>
      </c>
      <c r="GJ444" s="319" t="s">
        <v>190</v>
      </c>
      <c r="GK444" s="319" t="s">
        <v>428</v>
      </c>
      <c r="GL444" s="319" t="s">
        <v>190</v>
      </c>
      <c r="GM444" s="319" t="s">
        <v>190</v>
      </c>
      <c r="GN444" s="319" t="s">
        <v>190</v>
      </c>
      <c r="GO444" s="319" t="s">
        <v>190</v>
      </c>
      <c r="GP444" s="319" t="s">
        <v>190</v>
      </c>
      <c r="GQ444" s="319" t="s">
        <v>428</v>
      </c>
      <c r="GR444" s="319" t="s">
        <v>190</v>
      </c>
      <c r="GS444" s="319" t="s">
        <v>190</v>
      </c>
      <c r="GT444" s="319" t="s">
        <v>190</v>
      </c>
      <c r="GU444" s="319" t="s">
        <v>190</v>
      </c>
      <c r="GV444" s="319" t="s">
        <v>190</v>
      </c>
      <c r="GW444" s="319" t="s">
        <v>190</v>
      </c>
      <c r="GX444" s="319" t="s">
        <v>190</v>
      </c>
      <c r="GY444" s="319" t="s">
        <v>190</v>
      </c>
      <c r="GZ444" s="319" t="s">
        <v>190</v>
      </c>
      <c r="HA444" s="319" t="s">
        <v>428</v>
      </c>
      <c r="HB444" s="319" t="s">
        <v>428</v>
      </c>
      <c r="HC444" s="319" t="s">
        <v>190</v>
      </c>
      <c r="HD444" s="319" t="s">
        <v>190</v>
      </c>
      <c r="HE444" s="319" t="s">
        <v>190</v>
      </c>
      <c r="HF444" s="319" t="s">
        <v>190</v>
      </c>
      <c r="HG444" s="319" t="s">
        <v>190</v>
      </c>
      <c r="HH444" s="319" t="s">
        <v>190</v>
      </c>
      <c r="HI444" s="319" t="s">
        <v>190</v>
      </c>
      <c r="HJ444" s="319" t="s">
        <v>190</v>
      </c>
      <c r="HK444" s="319" t="s">
        <v>190</v>
      </c>
      <c r="HL444" s="319" t="s">
        <v>428</v>
      </c>
      <c r="HM444" s="319" t="s">
        <v>428</v>
      </c>
      <c r="HN444" s="319" t="s">
        <v>428</v>
      </c>
      <c r="HO444" s="319" t="s">
        <v>428</v>
      </c>
      <c r="HP444" s="319" t="s">
        <v>190</v>
      </c>
      <c r="HQ444" s="319" t="s">
        <v>190</v>
      </c>
      <c r="HR444" s="319" t="s">
        <v>190</v>
      </c>
      <c r="HS444" s="319" t="s">
        <v>190</v>
      </c>
      <c r="HT444" s="319" t="s">
        <v>190</v>
      </c>
      <c r="HU444" s="319" t="s">
        <v>190</v>
      </c>
      <c r="HV444" s="319" t="s">
        <v>190</v>
      </c>
      <c r="HW444" s="319" t="s">
        <v>190</v>
      </c>
      <c r="HX444" s="319" t="s">
        <v>190</v>
      </c>
      <c r="HY444" s="319" t="s">
        <v>190</v>
      </c>
      <c r="HZ444" s="319" t="s">
        <v>190</v>
      </c>
      <c r="IA444" s="319" t="s">
        <v>190</v>
      </c>
      <c r="IB444" s="319" t="s">
        <v>190</v>
      </c>
      <c r="IC444" s="319" t="s">
        <v>190</v>
      </c>
      <c r="ID444" s="319" t="s">
        <v>190</v>
      </c>
      <c r="IE444" s="319" t="s">
        <v>190</v>
      </c>
      <c r="IF444" s="319" t="s">
        <v>190</v>
      </c>
      <c r="IG444" s="319" t="s">
        <v>190</v>
      </c>
      <c r="IH444" s="319" t="s">
        <v>190</v>
      </c>
      <c r="II444" s="319" t="s">
        <v>190</v>
      </c>
      <c r="IJ444" s="319">
        <v>10026066</v>
      </c>
      <c r="IK444" s="321">
        <v>43067</v>
      </c>
      <c r="IL444" s="321">
        <v>43069</v>
      </c>
      <c r="IM444" s="321">
        <v>43117</v>
      </c>
      <c r="IN444" s="319">
        <v>3</v>
      </c>
      <c r="IO444" s="319" t="s">
        <v>173</v>
      </c>
      <c r="IP444" s="319" t="s">
        <v>173</v>
      </c>
      <c r="IQ444" s="319" t="s">
        <v>173</v>
      </c>
      <c r="IR444" s="320" t="s">
        <v>173</v>
      </c>
      <c r="IS444" s="320" t="s">
        <v>173</v>
      </c>
      <c r="IT444" s="319" t="s">
        <v>173</v>
      </c>
    </row>
    <row r="445" spans="1:254" s="271" customFormat="1" x14ac:dyDescent="0.25">
      <c r="A445" s="318" t="str">
        <f>HYPERLINK("http://www.ofsted.gov.uk/inspection-reports/find-inspection-report/provider/ELS/134402 ","Ofsted School Webpage")</f>
        <v>Ofsted School Webpage</v>
      </c>
      <c r="B445" s="319">
        <v>134402</v>
      </c>
      <c r="C445" s="319">
        <v>2036300</v>
      </c>
      <c r="D445" s="319" t="s">
        <v>1809</v>
      </c>
      <c r="E445" s="319" t="s">
        <v>167</v>
      </c>
      <c r="F445" s="319" t="s">
        <v>81</v>
      </c>
      <c r="G445" s="319" t="s">
        <v>81</v>
      </c>
      <c r="H445" s="319" t="s">
        <v>81</v>
      </c>
      <c r="I445" s="319" t="s">
        <v>78</v>
      </c>
      <c r="J445" s="319" t="s">
        <v>424</v>
      </c>
      <c r="K445" s="319" t="s">
        <v>441</v>
      </c>
      <c r="L445" s="319" t="s">
        <v>441</v>
      </c>
      <c r="M445" s="319" t="s">
        <v>731</v>
      </c>
      <c r="N445" s="319" t="s">
        <v>3145</v>
      </c>
      <c r="O445" s="319" t="s">
        <v>1810</v>
      </c>
      <c r="P445" s="319">
        <v>39</v>
      </c>
      <c r="Q445" s="319" t="s">
        <v>2776</v>
      </c>
      <c r="R445" s="320">
        <v>10035802</v>
      </c>
      <c r="S445" s="321">
        <v>43256</v>
      </c>
      <c r="T445" s="321">
        <v>43258</v>
      </c>
      <c r="U445" s="321">
        <v>43285</v>
      </c>
      <c r="V445" s="319" t="s">
        <v>425</v>
      </c>
      <c r="W445" s="319" t="s">
        <v>2767</v>
      </c>
      <c r="X445" s="319">
        <v>2</v>
      </c>
      <c r="Y445" s="319" t="s">
        <v>173</v>
      </c>
      <c r="Z445" s="319" t="s">
        <v>173</v>
      </c>
      <c r="AA445" s="319" t="s">
        <v>173</v>
      </c>
      <c r="AB445" s="319">
        <v>2</v>
      </c>
      <c r="AC445" s="319" t="s">
        <v>169</v>
      </c>
      <c r="AD445" s="319" t="s">
        <v>173</v>
      </c>
      <c r="AE445" s="319">
        <v>0</v>
      </c>
      <c r="AF445" s="319" t="s">
        <v>427</v>
      </c>
      <c r="AG445" s="319" t="s">
        <v>171</v>
      </c>
      <c r="AH445" s="319" t="s">
        <v>190</v>
      </c>
      <c r="AI445" s="319" t="s">
        <v>190</v>
      </c>
      <c r="AJ445" s="319" t="s">
        <v>190</v>
      </c>
      <c r="AK445" s="319" t="s">
        <v>190</v>
      </c>
      <c r="AL445" s="319" t="s">
        <v>190</v>
      </c>
      <c r="AM445" s="319" t="s">
        <v>190</v>
      </c>
      <c r="AN445" s="319" t="s">
        <v>190</v>
      </c>
      <c r="AO445" s="319" t="s">
        <v>190</v>
      </c>
      <c r="AP445" s="319" t="s">
        <v>190</v>
      </c>
      <c r="AQ445" s="319" t="s">
        <v>190</v>
      </c>
      <c r="AR445" s="319" t="s">
        <v>190</v>
      </c>
      <c r="AS445" s="319" t="s">
        <v>190</v>
      </c>
      <c r="AT445" s="319" t="s">
        <v>190</v>
      </c>
      <c r="AU445" s="319" t="s">
        <v>190</v>
      </c>
      <c r="AV445" s="319" t="s">
        <v>190</v>
      </c>
      <c r="AW445" s="319" t="s">
        <v>190</v>
      </c>
      <c r="AX445" s="319" t="s">
        <v>428</v>
      </c>
      <c r="AY445" s="319" t="s">
        <v>190</v>
      </c>
      <c r="AZ445" s="319" t="s">
        <v>190</v>
      </c>
      <c r="BA445" s="319" t="s">
        <v>190</v>
      </c>
      <c r="BB445" s="319" t="s">
        <v>190</v>
      </c>
      <c r="BC445" s="319" t="s">
        <v>190</v>
      </c>
      <c r="BD445" s="319" t="s">
        <v>190</v>
      </c>
      <c r="BE445" s="319" t="s">
        <v>190</v>
      </c>
      <c r="BF445" s="319" t="s">
        <v>428</v>
      </c>
      <c r="BG445" s="319" t="s">
        <v>190</v>
      </c>
      <c r="BH445" s="319" t="s">
        <v>190</v>
      </c>
      <c r="BI445" s="319" t="s">
        <v>190</v>
      </c>
      <c r="BJ445" s="319" t="s">
        <v>190</v>
      </c>
      <c r="BK445" s="319" t="s">
        <v>190</v>
      </c>
      <c r="BL445" s="319" t="s">
        <v>190</v>
      </c>
      <c r="BM445" s="319" t="s">
        <v>190</v>
      </c>
      <c r="BN445" s="319" t="s">
        <v>190</v>
      </c>
      <c r="BO445" s="319" t="s">
        <v>190</v>
      </c>
      <c r="BP445" s="319" t="s">
        <v>190</v>
      </c>
      <c r="BQ445" s="319" t="s">
        <v>190</v>
      </c>
      <c r="BR445" s="319" t="s">
        <v>190</v>
      </c>
      <c r="BS445" s="319" t="s">
        <v>190</v>
      </c>
      <c r="BT445" s="319" t="s">
        <v>190</v>
      </c>
      <c r="BU445" s="319" t="s">
        <v>190</v>
      </c>
      <c r="BV445" s="319" t="s">
        <v>190</v>
      </c>
      <c r="BW445" s="319" t="s">
        <v>190</v>
      </c>
      <c r="BX445" s="319" t="s">
        <v>190</v>
      </c>
      <c r="BY445" s="319" t="s">
        <v>190</v>
      </c>
      <c r="BZ445" s="319" t="s">
        <v>190</v>
      </c>
      <c r="CA445" s="319" t="s">
        <v>190</v>
      </c>
      <c r="CB445" s="319" t="s">
        <v>190</v>
      </c>
      <c r="CC445" s="319" t="s">
        <v>190</v>
      </c>
      <c r="CD445" s="319" t="s">
        <v>190</v>
      </c>
      <c r="CE445" s="319" t="s">
        <v>190</v>
      </c>
      <c r="CF445" s="319" t="s">
        <v>190</v>
      </c>
      <c r="CG445" s="319" t="s">
        <v>190</v>
      </c>
      <c r="CH445" s="319" t="s">
        <v>190</v>
      </c>
      <c r="CI445" s="319" t="s">
        <v>190</v>
      </c>
      <c r="CJ445" s="319" t="s">
        <v>190</v>
      </c>
      <c r="CK445" s="319" t="s">
        <v>190</v>
      </c>
      <c r="CL445" s="319" t="s">
        <v>190</v>
      </c>
      <c r="CM445" s="319" t="s">
        <v>190</v>
      </c>
      <c r="CN445" s="319" t="s">
        <v>190</v>
      </c>
      <c r="CO445" s="319" t="s">
        <v>428</v>
      </c>
      <c r="CP445" s="319" t="s">
        <v>428</v>
      </c>
      <c r="CQ445" s="319" t="s">
        <v>190</v>
      </c>
      <c r="CR445" s="319" t="s">
        <v>190</v>
      </c>
      <c r="CS445" s="319" t="s">
        <v>190</v>
      </c>
      <c r="CT445" s="319" t="s">
        <v>190</v>
      </c>
      <c r="CU445" s="319" t="s">
        <v>190</v>
      </c>
      <c r="CV445" s="319" t="s">
        <v>190</v>
      </c>
      <c r="CW445" s="319" t="s">
        <v>190</v>
      </c>
      <c r="CX445" s="319" t="s">
        <v>190</v>
      </c>
      <c r="CY445" s="319" t="s">
        <v>190</v>
      </c>
      <c r="CZ445" s="319" t="s">
        <v>190</v>
      </c>
      <c r="DA445" s="319" t="s">
        <v>190</v>
      </c>
      <c r="DB445" s="319" t="s">
        <v>190</v>
      </c>
      <c r="DC445" s="319" t="s">
        <v>190</v>
      </c>
      <c r="DD445" s="319" t="s">
        <v>190</v>
      </c>
      <c r="DE445" s="319" t="s">
        <v>190</v>
      </c>
      <c r="DF445" s="319" t="s">
        <v>190</v>
      </c>
      <c r="DG445" s="319" t="s">
        <v>190</v>
      </c>
      <c r="DH445" s="319" t="s">
        <v>190</v>
      </c>
      <c r="DI445" s="319" t="s">
        <v>190</v>
      </c>
      <c r="DJ445" s="319" t="s">
        <v>190</v>
      </c>
      <c r="DK445" s="319" t="s">
        <v>190</v>
      </c>
      <c r="DL445" s="319" t="s">
        <v>190</v>
      </c>
      <c r="DM445" s="319" t="s">
        <v>190</v>
      </c>
      <c r="DN445" s="319" t="s">
        <v>428</v>
      </c>
      <c r="DO445" s="319" t="s">
        <v>190</v>
      </c>
      <c r="DP445" s="319" t="s">
        <v>190</v>
      </c>
      <c r="DQ445" s="319" t="s">
        <v>190</v>
      </c>
      <c r="DR445" s="319" t="s">
        <v>190</v>
      </c>
      <c r="DS445" s="319" t="s">
        <v>190</v>
      </c>
      <c r="DT445" s="319" t="s">
        <v>190</v>
      </c>
      <c r="DU445" s="319" t="s">
        <v>190</v>
      </c>
      <c r="DV445" s="319" t="s">
        <v>173</v>
      </c>
      <c r="DW445" s="319" t="s">
        <v>190</v>
      </c>
      <c r="DX445" s="319" t="s">
        <v>190</v>
      </c>
      <c r="DY445" s="319" t="s">
        <v>190</v>
      </c>
      <c r="DZ445" s="319" t="s">
        <v>190</v>
      </c>
      <c r="EA445" s="319" t="s">
        <v>190</v>
      </c>
      <c r="EB445" s="319" t="s">
        <v>190</v>
      </c>
      <c r="EC445" s="319" t="s">
        <v>428</v>
      </c>
      <c r="ED445" s="319" t="s">
        <v>190</v>
      </c>
      <c r="EE445" s="319" t="s">
        <v>190</v>
      </c>
      <c r="EF445" s="319" t="s">
        <v>190</v>
      </c>
      <c r="EG445" s="319" t="s">
        <v>190</v>
      </c>
      <c r="EH445" s="319" t="s">
        <v>190</v>
      </c>
      <c r="EI445" s="319" t="s">
        <v>190</v>
      </c>
      <c r="EJ445" s="319" t="s">
        <v>190</v>
      </c>
      <c r="EK445" s="319" t="s">
        <v>190</v>
      </c>
      <c r="EL445" s="319" t="s">
        <v>190</v>
      </c>
      <c r="EM445" s="319" t="s">
        <v>190</v>
      </c>
      <c r="EN445" s="319" t="s">
        <v>190</v>
      </c>
      <c r="EO445" s="319" t="s">
        <v>190</v>
      </c>
      <c r="EP445" s="319" t="s">
        <v>190</v>
      </c>
      <c r="EQ445" s="319" t="s">
        <v>190</v>
      </c>
      <c r="ER445" s="319" t="s">
        <v>190</v>
      </c>
      <c r="ES445" s="319" t="s">
        <v>190</v>
      </c>
      <c r="ET445" s="319" t="s">
        <v>190</v>
      </c>
      <c r="EU445" s="319" t="s">
        <v>190</v>
      </c>
      <c r="EV445" s="319" t="s">
        <v>190</v>
      </c>
      <c r="EW445" s="319" t="s">
        <v>190</v>
      </c>
      <c r="EX445" s="319" t="s">
        <v>190</v>
      </c>
      <c r="EY445" s="319" t="s">
        <v>190</v>
      </c>
      <c r="EZ445" s="319" t="s">
        <v>190</v>
      </c>
      <c r="FA445" s="319" t="s">
        <v>190</v>
      </c>
      <c r="FB445" s="319" t="s">
        <v>190</v>
      </c>
      <c r="FC445" s="319" t="s">
        <v>190</v>
      </c>
      <c r="FD445" s="319" t="s">
        <v>190</v>
      </c>
      <c r="FE445" s="319" t="s">
        <v>190</v>
      </c>
      <c r="FF445" s="319" t="s">
        <v>190</v>
      </c>
      <c r="FG445" s="319" t="s">
        <v>190</v>
      </c>
      <c r="FH445" s="319" t="s">
        <v>190</v>
      </c>
      <c r="FI445" s="319" t="s">
        <v>190</v>
      </c>
      <c r="FJ445" s="319" t="s">
        <v>190</v>
      </c>
      <c r="FK445" s="319" t="s">
        <v>190</v>
      </c>
      <c r="FL445" s="319" t="s">
        <v>190</v>
      </c>
      <c r="FM445" s="319" t="s">
        <v>190</v>
      </c>
      <c r="FN445" s="319" t="s">
        <v>190</v>
      </c>
      <c r="FO445" s="319" t="s">
        <v>190</v>
      </c>
      <c r="FP445" s="319" t="s">
        <v>190</v>
      </c>
      <c r="FQ445" s="319" t="s">
        <v>190</v>
      </c>
      <c r="FR445" s="319" t="s">
        <v>190</v>
      </c>
      <c r="FS445" s="319" t="s">
        <v>428</v>
      </c>
      <c r="FT445" s="319" t="s">
        <v>190</v>
      </c>
      <c r="FU445" s="319" t="s">
        <v>190</v>
      </c>
      <c r="FV445" s="319" t="s">
        <v>190</v>
      </c>
      <c r="FW445" s="319" t="s">
        <v>190</v>
      </c>
      <c r="FX445" s="319" t="s">
        <v>190</v>
      </c>
      <c r="FY445" s="319" t="s">
        <v>190</v>
      </c>
      <c r="FZ445" s="319" t="s">
        <v>190</v>
      </c>
      <c r="GA445" s="319" t="s">
        <v>190</v>
      </c>
      <c r="GB445" s="319" t="s">
        <v>190</v>
      </c>
      <c r="GC445" s="319" t="s">
        <v>190</v>
      </c>
      <c r="GD445" s="319" t="s">
        <v>190</v>
      </c>
      <c r="GE445" s="319" t="s">
        <v>190</v>
      </c>
      <c r="GF445" s="319" t="s">
        <v>190</v>
      </c>
      <c r="GG445" s="319" t="s">
        <v>190</v>
      </c>
      <c r="GH445" s="319" t="s">
        <v>190</v>
      </c>
      <c r="GI445" s="319" t="s">
        <v>190</v>
      </c>
      <c r="GJ445" s="319" t="s">
        <v>190</v>
      </c>
      <c r="GK445" s="319" t="s">
        <v>428</v>
      </c>
      <c r="GL445" s="319" t="s">
        <v>190</v>
      </c>
      <c r="GM445" s="319" t="s">
        <v>190</v>
      </c>
      <c r="GN445" s="319" t="s">
        <v>190</v>
      </c>
      <c r="GO445" s="319" t="s">
        <v>190</v>
      </c>
      <c r="GP445" s="319" t="s">
        <v>190</v>
      </c>
      <c r="GQ445" s="319" t="s">
        <v>190</v>
      </c>
      <c r="GR445" s="319" t="s">
        <v>190</v>
      </c>
      <c r="GS445" s="319" t="s">
        <v>190</v>
      </c>
      <c r="GT445" s="319" t="s">
        <v>190</v>
      </c>
      <c r="GU445" s="319" t="s">
        <v>190</v>
      </c>
      <c r="GV445" s="319" t="s">
        <v>190</v>
      </c>
      <c r="GW445" s="319" t="s">
        <v>190</v>
      </c>
      <c r="GX445" s="319" t="s">
        <v>190</v>
      </c>
      <c r="GY445" s="319" t="s">
        <v>190</v>
      </c>
      <c r="GZ445" s="319" t="s">
        <v>190</v>
      </c>
      <c r="HA445" s="319" t="s">
        <v>428</v>
      </c>
      <c r="HB445" s="319" t="s">
        <v>428</v>
      </c>
      <c r="HC445" s="319" t="s">
        <v>190</v>
      </c>
      <c r="HD445" s="319" t="s">
        <v>190</v>
      </c>
      <c r="HE445" s="319" t="s">
        <v>190</v>
      </c>
      <c r="HF445" s="319" t="s">
        <v>190</v>
      </c>
      <c r="HG445" s="319" t="s">
        <v>190</v>
      </c>
      <c r="HH445" s="319" t="s">
        <v>190</v>
      </c>
      <c r="HI445" s="319" t="s">
        <v>190</v>
      </c>
      <c r="HJ445" s="319" t="s">
        <v>190</v>
      </c>
      <c r="HK445" s="319" t="s">
        <v>190</v>
      </c>
      <c r="HL445" s="319" t="s">
        <v>190</v>
      </c>
      <c r="HM445" s="319" t="s">
        <v>190</v>
      </c>
      <c r="HN445" s="319" t="s">
        <v>190</v>
      </c>
      <c r="HO445" s="319" t="s">
        <v>190</v>
      </c>
      <c r="HP445" s="319" t="s">
        <v>190</v>
      </c>
      <c r="HQ445" s="319" t="s">
        <v>190</v>
      </c>
      <c r="HR445" s="319" t="s">
        <v>190</v>
      </c>
      <c r="HS445" s="319" t="s">
        <v>190</v>
      </c>
      <c r="HT445" s="319" t="s">
        <v>190</v>
      </c>
      <c r="HU445" s="319" t="s">
        <v>190</v>
      </c>
      <c r="HV445" s="319" t="s">
        <v>190</v>
      </c>
      <c r="HW445" s="319" t="s">
        <v>190</v>
      </c>
      <c r="HX445" s="319" t="s">
        <v>190</v>
      </c>
      <c r="HY445" s="319" t="s">
        <v>190</v>
      </c>
      <c r="HZ445" s="319" t="s">
        <v>190</v>
      </c>
      <c r="IA445" s="319" t="s">
        <v>190</v>
      </c>
      <c r="IB445" s="319" t="s">
        <v>190</v>
      </c>
      <c r="IC445" s="319" t="s">
        <v>190</v>
      </c>
      <c r="ID445" s="319" t="s">
        <v>190</v>
      </c>
      <c r="IE445" s="319" t="s">
        <v>190</v>
      </c>
      <c r="IF445" s="319" t="s">
        <v>190</v>
      </c>
      <c r="IG445" s="319" t="s">
        <v>190</v>
      </c>
      <c r="IH445" s="319" t="s">
        <v>190</v>
      </c>
      <c r="II445" s="319" t="s">
        <v>190</v>
      </c>
      <c r="IJ445" s="319" t="s">
        <v>3217</v>
      </c>
      <c r="IK445" s="321">
        <v>41716</v>
      </c>
      <c r="IL445" s="321">
        <v>41718</v>
      </c>
      <c r="IM445" s="321">
        <v>41754</v>
      </c>
      <c r="IN445" s="319">
        <v>2</v>
      </c>
      <c r="IO445" s="319" t="s">
        <v>173</v>
      </c>
      <c r="IP445" s="319" t="s">
        <v>173</v>
      </c>
      <c r="IQ445" s="321" t="s">
        <v>173</v>
      </c>
      <c r="IR445" s="320" t="s">
        <v>173</v>
      </c>
      <c r="IS445" s="322" t="s">
        <v>173</v>
      </c>
      <c r="IT445" s="319" t="s">
        <v>173</v>
      </c>
    </row>
    <row r="446" spans="1:254" s="271" customFormat="1" x14ac:dyDescent="0.25">
      <c r="A446" s="318" t="str">
        <f>HYPERLINK("http://www.ofsted.gov.uk/inspection-reports/find-inspection-report/provider/ELS/134417 ","Ofsted School Webpage")</f>
        <v>Ofsted School Webpage</v>
      </c>
      <c r="B446" s="319">
        <v>134417</v>
      </c>
      <c r="C446" s="319">
        <v>3166064</v>
      </c>
      <c r="D446" s="319" t="s">
        <v>1811</v>
      </c>
      <c r="E446" s="319" t="s">
        <v>167</v>
      </c>
      <c r="F446" s="319" t="s">
        <v>81</v>
      </c>
      <c r="G446" s="319" t="s">
        <v>72</v>
      </c>
      <c r="H446" s="319" t="s">
        <v>72</v>
      </c>
      <c r="I446" s="319" t="s">
        <v>72</v>
      </c>
      <c r="J446" s="319" t="s">
        <v>424</v>
      </c>
      <c r="K446" s="319" t="s">
        <v>441</v>
      </c>
      <c r="L446" s="319" t="s">
        <v>441</v>
      </c>
      <c r="M446" s="319" t="s">
        <v>709</v>
      </c>
      <c r="N446" s="319" t="s">
        <v>3081</v>
      </c>
      <c r="O446" s="319" t="s">
        <v>1812</v>
      </c>
      <c r="P446" s="319">
        <v>375</v>
      </c>
      <c r="Q446" s="319" t="s">
        <v>2766</v>
      </c>
      <c r="R446" s="320">
        <v>10045225</v>
      </c>
      <c r="S446" s="321">
        <v>43173</v>
      </c>
      <c r="T446" s="321">
        <v>43175</v>
      </c>
      <c r="U446" s="321">
        <v>43220</v>
      </c>
      <c r="V446" s="319" t="s">
        <v>425</v>
      </c>
      <c r="W446" s="319" t="s">
        <v>2767</v>
      </c>
      <c r="X446" s="319">
        <v>2</v>
      </c>
      <c r="Y446" s="319" t="s">
        <v>173</v>
      </c>
      <c r="Z446" s="319" t="s">
        <v>173</v>
      </c>
      <c r="AA446" s="319" t="s">
        <v>173</v>
      </c>
      <c r="AB446" s="319">
        <v>2</v>
      </c>
      <c r="AC446" s="319" t="s">
        <v>169</v>
      </c>
      <c r="AD446" s="319">
        <v>2</v>
      </c>
      <c r="AE446" s="319" t="s">
        <v>173</v>
      </c>
      <c r="AF446" s="319" t="s">
        <v>427</v>
      </c>
      <c r="AG446" s="319" t="s">
        <v>171</v>
      </c>
      <c r="AH446" s="319" t="s">
        <v>190</v>
      </c>
      <c r="AI446" s="319" t="s">
        <v>190</v>
      </c>
      <c r="AJ446" s="319" t="s">
        <v>190</v>
      </c>
      <c r="AK446" s="319" t="s">
        <v>190</v>
      </c>
      <c r="AL446" s="319" t="s">
        <v>190</v>
      </c>
      <c r="AM446" s="319" t="s">
        <v>190</v>
      </c>
      <c r="AN446" s="319" t="s">
        <v>190</v>
      </c>
      <c r="AO446" s="319" t="s">
        <v>190</v>
      </c>
      <c r="AP446" s="319" t="s">
        <v>190</v>
      </c>
      <c r="AQ446" s="319" t="s">
        <v>190</v>
      </c>
      <c r="AR446" s="319" t="s">
        <v>190</v>
      </c>
      <c r="AS446" s="319" t="s">
        <v>190</v>
      </c>
      <c r="AT446" s="319" t="s">
        <v>190</v>
      </c>
      <c r="AU446" s="319" t="s">
        <v>190</v>
      </c>
      <c r="AV446" s="319" t="s">
        <v>190</v>
      </c>
      <c r="AW446" s="319" t="s">
        <v>190</v>
      </c>
      <c r="AX446" s="319" t="s">
        <v>428</v>
      </c>
      <c r="AY446" s="319" t="s">
        <v>190</v>
      </c>
      <c r="AZ446" s="319" t="s">
        <v>190</v>
      </c>
      <c r="BA446" s="319" t="s">
        <v>190</v>
      </c>
      <c r="BB446" s="319" t="s">
        <v>190</v>
      </c>
      <c r="BC446" s="319" t="s">
        <v>190</v>
      </c>
      <c r="BD446" s="319" t="s">
        <v>190</v>
      </c>
      <c r="BE446" s="319" t="s">
        <v>190</v>
      </c>
      <c r="BF446" s="319" t="s">
        <v>190</v>
      </c>
      <c r="BG446" s="319" t="s">
        <v>428</v>
      </c>
      <c r="BH446" s="319" t="s">
        <v>190</v>
      </c>
      <c r="BI446" s="319" t="s">
        <v>190</v>
      </c>
      <c r="BJ446" s="319" t="s">
        <v>190</v>
      </c>
      <c r="BK446" s="319" t="s">
        <v>190</v>
      </c>
      <c r="BL446" s="319" t="s">
        <v>190</v>
      </c>
      <c r="BM446" s="319" t="s">
        <v>190</v>
      </c>
      <c r="BN446" s="319" t="s">
        <v>190</v>
      </c>
      <c r="BO446" s="319" t="s">
        <v>190</v>
      </c>
      <c r="BP446" s="319" t="s">
        <v>190</v>
      </c>
      <c r="BQ446" s="319" t="s">
        <v>190</v>
      </c>
      <c r="BR446" s="319" t="s">
        <v>190</v>
      </c>
      <c r="BS446" s="319" t="s">
        <v>190</v>
      </c>
      <c r="BT446" s="319" t="s">
        <v>190</v>
      </c>
      <c r="BU446" s="319" t="s">
        <v>190</v>
      </c>
      <c r="BV446" s="319" t="s">
        <v>190</v>
      </c>
      <c r="BW446" s="319" t="s">
        <v>190</v>
      </c>
      <c r="BX446" s="319" t="s">
        <v>190</v>
      </c>
      <c r="BY446" s="319" t="s">
        <v>190</v>
      </c>
      <c r="BZ446" s="319" t="s">
        <v>190</v>
      </c>
      <c r="CA446" s="319" t="s">
        <v>190</v>
      </c>
      <c r="CB446" s="319" t="s">
        <v>190</v>
      </c>
      <c r="CC446" s="319" t="s">
        <v>190</v>
      </c>
      <c r="CD446" s="319" t="s">
        <v>190</v>
      </c>
      <c r="CE446" s="319" t="s">
        <v>190</v>
      </c>
      <c r="CF446" s="319" t="s">
        <v>190</v>
      </c>
      <c r="CG446" s="319" t="s">
        <v>190</v>
      </c>
      <c r="CH446" s="319" t="s">
        <v>190</v>
      </c>
      <c r="CI446" s="319" t="s">
        <v>190</v>
      </c>
      <c r="CJ446" s="319" t="s">
        <v>190</v>
      </c>
      <c r="CK446" s="319" t="s">
        <v>190</v>
      </c>
      <c r="CL446" s="319" t="s">
        <v>190</v>
      </c>
      <c r="CM446" s="319" t="s">
        <v>190</v>
      </c>
      <c r="CN446" s="319" t="s">
        <v>428</v>
      </c>
      <c r="CO446" s="319" t="s">
        <v>428</v>
      </c>
      <c r="CP446" s="319" t="s">
        <v>428</v>
      </c>
      <c r="CQ446" s="319" t="s">
        <v>190</v>
      </c>
      <c r="CR446" s="319" t="s">
        <v>190</v>
      </c>
      <c r="CS446" s="319" t="s">
        <v>190</v>
      </c>
      <c r="CT446" s="319" t="s">
        <v>190</v>
      </c>
      <c r="CU446" s="319" t="s">
        <v>190</v>
      </c>
      <c r="CV446" s="319" t="s">
        <v>190</v>
      </c>
      <c r="CW446" s="319" t="s">
        <v>190</v>
      </c>
      <c r="CX446" s="319" t="s">
        <v>190</v>
      </c>
      <c r="CY446" s="319" t="s">
        <v>190</v>
      </c>
      <c r="CZ446" s="319" t="s">
        <v>190</v>
      </c>
      <c r="DA446" s="319" t="s">
        <v>190</v>
      </c>
      <c r="DB446" s="319" t="s">
        <v>190</v>
      </c>
      <c r="DC446" s="319" t="s">
        <v>190</v>
      </c>
      <c r="DD446" s="319" t="s">
        <v>190</v>
      </c>
      <c r="DE446" s="319" t="s">
        <v>190</v>
      </c>
      <c r="DF446" s="319" t="s">
        <v>190</v>
      </c>
      <c r="DG446" s="319" t="s">
        <v>190</v>
      </c>
      <c r="DH446" s="319" t="s">
        <v>190</v>
      </c>
      <c r="DI446" s="319" t="s">
        <v>190</v>
      </c>
      <c r="DJ446" s="319" t="s">
        <v>190</v>
      </c>
      <c r="DK446" s="319" t="s">
        <v>190</v>
      </c>
      <c r="DL446" s="319" t="s">
        <v>190</v>
      </c>
      <c r="DM446" s="319" t="s">
        <v>190</v>
      </c>
      <c r="DN446" s="319" t="s">
        <v>190</v>
      </c>
      <c r="DO446" s="319" t="s">
        <v>190</v>
      </c>
      <c r="DP446" s="319" t="s">
        <v>190</v>
      </c>
      <c r="DQ446" s="319" t="s">
        <v>190</v>
      </c>
      <c r="DR446" s="319" t="s">
        <v>190</v>
      </c>
      <c r="DS446" s="319" t="s">
        <v>190</v>
      </c>
      <c r="DT446" s="319" t="s">
        <v>190</v>
      </c>
      <c r="DU446" s="319" t="s">
        <v>190</v>
      </c>
      <c r="DV446" s="319" t="s">
        <v>173</v>
      </c>
      <c r="DW446" s="319" t="s">
        <v>190</v>
      </c>
      <c r="DX446" s="319" t="s">
        <v>190</v>
      </c>
      <c r="DY446" s="319" t="s">
        <v>190</v>
      </c>
      <c r="DZ446" s="319" t="s">
        <v>190</v>
      </c>
      <c r="EA446" s="319" t="s">
        <v>190</v>
      </c>
      <c r="EB446" s="319" t="s">
        <v>190</v>
      </c>
      <c r="EC446" s="319" t="s">
        <v>428</v>
      </c>
      <c r="ED446" s="319" t="s">
        <v>190</v>
      </c>
      <c r="EE446" s="319" t="s">
        <v>190</v>
      </c>
      <c r="EF446" s="319" t="s">
        <v>190</v>
      </c>
      <c r="EG446" s="319" t="s">
        <v>190</v>
      </c>
      <c r="EH446" s="319" t="s">
        <v>190</v>
      </c>
      <c r="EI446" s="319" t="s">
        <v>190</v>
      </c>
      <c r="EJ446" s="319" t="s">
        <v>190</v>
      </c>
      <c r="EK446" s="319" t="s">
        <v>190</v>
      </c>
      <c r="EL446" s="319" t="s">
        <v>190</v>
      </c>
      <c r="EM446" s="319" t="s">
        <v>190</v>
      </c>
      <c r="EN446" s="319" t="s">
        <v>190</v>
      </c>
      <c r="EO446" s="319" t="s">
        <v>190</v>
      </c>
      <c r="EP446" s="319" t="s">
        <v>190</v>
      </c>
      <c r="EQ446" s="319" t="s">
        <v>190</v>
      </c>
      <c r="ER446" s="319" t="s">
        <v>190</v>
      </c>
      <c r="ES446" s="319" t="s">
        <v>190</v>
      </c>
      <c r="ET446" s="319" t="s">
        <v>190</v>
      </c>
      <c r="EU446" s="319" t="s">
        <v>190</v>
      </c>
      <c r="EV446" s="319" t="s">
        <v>190</v>
      </c>
      <c r="EW446" s="319" t="s">
        <v>190</v>
      </c>
      <c r="EX446" s="319" t="s">
        <v>190</v>
      </c>
      <c r="EY446" s="319" t="s">
        <v>190</v>
      </c>
      <c r="EZ446" s="319" t="s">
        <v>190</v>
      </c>
      <c r="FA446" s="319" t="s">
        <v>190</v>
      </c>
      <c r="FB446" s="319" t="s">
        <v>190</v>
      </c>
      <c r="FC446" s="319" t="s">
        <v>190</v>
      </c>
      <c r="FD446" s="319" t="s">
        <v>190</v>
      </c>
      <c r="FE446" s="319" t="s">
        <v>190</v>
      </c>
      <c r="FF446" s="319" t="s">
        <v>190</v>
      </c>
      <c r="FG446" s="319" t="s">
        <v>190</v>
      </c>
      <c r="FH446" s="319" t="s">
        <v>190</v>
      </c>
      <c r="FI446" s="319" t="s">
        <v>190</v>
      </c>
      <c r="FJ446" s="319" t="s">
        <v>190</v>
      </c>
      <c r="FK446" s="319" t="s">
        <v>190</v>
      </c>
      <c r="FL446" s="319" t="s">
        <v>190</v>
      </c>
      <c r="FM446" s="319" t="s">
        <v>190</v>
      </c>
      <c r="FN446" s="319" t="s">
        <v>428</v>
      </c>
      <c r="FO446" s="319" t="s">
        <v>190</v>
      </c>
      <c r="FP446" s="319" t="s">
        <v>190</v>
      </c>
      <c r="FQ446" s="319" t="s">
        <v>190</v>
      </c>
      <c r="FR446" s="319" t="s">
        <v>190</v>
      </c>
      <c r="FS446" s="319" t="s">
        <v>428</v>
      </c>
      <c r="FT446" s="319" t="s">
        <v>190</v>
      </c>
      <c r="FU446" s="319" t="s">
        <v>190</v>
      </c>
      <c r="FV446" s="319" t="s">
        <v>190</v>
      </c>
      <c r="FW446" s="319" t="s">
        <v>190</v>
      </c>
      <c r="FX446" s="319" t="s">
        <v>190</v>
      </c>
      <c r="FY446" s="319" t="s">
        <v>190</v>
      </c>
      <c r="FZ446" s="319" t="s">
        <v>190</v>
      </c>
      <c r="GA446" s="319" t="s">
        <v>190</v>
      </c>
      <c r="GB446" s="319" t="s">
        <v>190</v>
      </c>
      <c r="GC446" s="319" t="s">
        <v>190</v>
      </c>
      <c r="GD446" s="319" t="s">
        <v>190</v>
      </c>
      <c r="GE446" s="319" t="s">
        <v>190</v>
      </c>
      <c r="GF446" s="319" t="s">
        <v>190</v>
      </c>
      <c r="GG446" s="319" t="s">
        <v>190</v>
      </c>
      <c r="GH446" s="319" t="s">
        <v>190</v>
      </c>
      <c r="GI446" s="319" t="s">
        <v>190</v>
      </c>
      <c r="GJ446" s="319" t="s">
        <v>190</v>
      </c>
      <c r="GK446" s="319" t="s">
        <v>428</v>
      </c>
      <c r="GL446" s="319" t="s">
        <v>190</v>
      </c>
      <c r="GM446" s="319" t="s">
        <v>190</v>
      </c>
      <c r="GN446" s="319" t="s">
        <v>190</v>
      </c>
      <c r="GO446" s="319" t="s">
        <v>190</v>
      </c>
      <c r="GP446" s="319" t="s">
        <v>190</v>
      </c>
      <c r="GQ446" s="319" t="s">
        <v>428</v>
      </c>
      <c r="GR446" s="319" t="s">
        <v>190</v>
      </c>
      <c r="GS446" s="319" t="s">
        <v>190</v>
      </c>
      <c r="GT446" s="319" t="s">
        <v>190</v>
      </c>
      <c r="GU446" s="319" t="s">
        <v>190</v>
      </c>
      <c r="GV446" s="319" t="s">
        <v>190</v>
      </c>
      <c r="GW446" s="319" t="s">
        <v>190</v>
      </c>
      <c r="GX446" s="319" t="s">
        <v>190</v>
      </c>
      <c r="GY446" s="319" t="s">
        <v>190</v>
      </c>
      <c r="GZ446" s="319" t="s">
        <v>190</v>
      </c>
      <c r="HA446" s="319" t="s">
        <v>190</v>
      </c>
      <c r="HB446" s="319" t="s">
        <v>190</v>
      </c>
      <c r="HC446" s="319" t="s">
        <v>190</v>
      </c>
      <c r="HD446" s="319" t="s">
        <v>190</v>
      </c>
      <c r="HE446" s="319" t="s">
        <v>190</v>
      </c>
      <c r="HF446" s="319" t="s">
        <v>190</v>
      </c>
      <c r="HG446" s="319" t="s">
        <v>190</v>
      </c>
      <c r="HH446" s="319" t="s">
        <v>190</v>
      </c>
      <c r="HI446" s="319" t="s">
        <v>190</v>
      </c>
      <c r="HJ446" s="319" t="s">
        <v>190</v>
      </c>
      <c r="HK446" s="319" t="s">
        <v>190</v>
      </c>
      <c r="HL446" s="319" t="s">
        <v>190</v>
      </c>
      <c r="HM446" s="319" t="s">
        <v>190</v>
      </c>
      <c r="HN446" s="319" t="s">
        <v>190</v>
      </c>
      <c r="HO446" s="319" t="s">
        <v>190</v>
      </c>
      <c r="HP446" s="319" t="s">
        <v>190</v>
      </c>
      <c r="HQ446" s="319" t="s">
        <v>190</v>
      </c>
      <c r="HR446" s="319" t="s">
        <v>190</v>
      </c>
      <c r="HS446" s="319" t="s">
        <v>190</v>
      </c>
      <c r="HT446" s="319" t="s">
        <v>190</v>
      </c>
      <c r="HU446" s="319" t="s">
        <v>190</v>
      </c>
      <c r="HV446" s="319" t="s">
        <v>190</v>
      </c>
      <c r="HW446" s="319" t="s">
        <v>190</v>
      </c>
      <c r="HX446" s="319" t="s">
        <v>190</v>
      </c>
      <c r="HY446" s="319" t="s">
        <v>190</v>
      </c>
      <c r="HZ446" s="319" t="s">
        <v>190</v>
      </c>
      <c r="IA446" s="319" t="s">
        <v>190</v>
      </c>
      <c r="IB446" s="319" t="s">
        <v>190</v>
      </c>
      <c r="IC446" s="319" t="s">
        <v>190</v>
      </c>
      <c r="ID446" s="319" t="s">
        <v>190</v>
      </c>
      <c r="IE446" s="319" t="s">
        <v>190</v>
      </c>
      <c r="IF446" s="319" t="s">
        <v>190</v>
      </c>
      <c r="IG446" s="319" t="s">
        <v>190</v>
      </c>
      <c r="IH446" s="319" t="s">
        <v>190</v>
      </c>
      <c r="II446" s="319" t="s">
        <v>190</v>
      </c>
      <c r="IJ446" s="319">
        <v>10007702</v>
      </c>
      <c r="IK446" s="321">
        <v>42451</v>
      </c>
      <c r="IL446" s="321">
        <v>42453</v>
      </c>
      <c r="IM446" s="321">
        <v>42502</v>
      </c>
      <c r="IN446" s="319">
        <v>2</v>
      </c>
      <c r="IO446" s="319" t="s">
        <v>173</v>
      </c>
      <c r="IP446" s="319" t="s">
        <v>173</v>
      </c>
      <c r="IQ446" s="321" t="s">
        <v>173</v>
      </c>
      <c r="IR446" s="320" t="s">
        <v>173</v>
      </c>
      <c r="IS446" s="322" t="s">
        <v>173</v>
      </c>
      <c r="IT446" s="319" t="s">
        <v>173</v>
      </c>
    </row>
    <row r="447" spans="1:254" s="271" customFormat="1" x14ac:dyDescent="0.25">
      <c r="A447" s="318" t="str">
        <f>HYPERLINK("http://www.ofsted.gov.uk/inspection-reports/find-inspection-report/provider/ELS/134424 ","Ofsted School Webpage")</f>
        <v>Ofsted School Webpage</v>
      </c>
      <c r="B447" s="319">
        <v>134424</v>
      </c>
      <c r="C447" s="319">
        <v>8726013</v>
      </c>
      <c r="D447" s="319" t="s">
        <v>1813</v>
      </c>
      <c r="E447" s="319" t="s">
        <v>167</v>
      </c>
      <c r="F447" s="319" t="s">
        <v>59</v>
      </c>
      <c r="G447" s="319" t="s">
        <v>59</v>
      </c>
      <c r="H447" s="319" t="s">
        <v>59</v>
      </c>
      <c r="I447" s="319" t="s">
        <v>59</v>
      </c>
      <c r="J447" s="319" t="s">
        <v>424</v>
      </c>
      <c r="K447" s="319" t="s">
        <v>514</v>
      </c>
      <c r="L447" s="319" t="s">
        <v>514</v>
      </c>
      <c r="M447" s="319" t="s">
        <v>1814</v>
      </c>
      <c r="N447" s="319" t="s">
        <v>1814</v>
      </c>
      <c r="O447" s="319" t="s">
        <v>1815</v>
      </c>
      <c r="P447" s="319">
        <v>28</v>
      </c>
      <c r="Q447" s="319" t="s">
        <v>2776</v>
      </c>
      <c r="R447" s="320">
        <v>10091645</v>
      </c>
      <c r="S447" s="321">
        <v>43641</v>
      </c>
      <c r="T447" s="321">
        <v>43643</v>
      </c>
      <c r="U447" s="321">
        <v>43730</v>
      </c>
      <c r="V447" s="319" t="s">
        <v>425</v>
      </c>
      <c r="W447" s="319" t="s">
        <v>2767</v>
      </c>
      <c r="X447" s="319">
        <v>4</v>
      </c>
      <c r="Y447" s="319" t="s">
        <v>173</v>
      </c>
      <c r="Z447" s="319" t="s">
        <v>173</v>
      </c>
      <c r="AA447" s="319" t="s">
        <v>173</v>
      </c>
      <c r="AB447" s="319">
        <v>4</v>
      </c>
      <c r="AC447" s="319" t="s">
        <v>170</v>
      </c>
      <c r="AD447" s="319">
        <v>4</v>
      </c>
      <c r="AE447" s="319" t="s">
        <v>173</v>
      </c>
      <c r="AF447" s="319" t="s">
        <v>427</v>
      </c>
      <c r="AG447" s="319" t="s">
        <v>172</v>
      </c>
      <c r="AH447" s="319" t="s">
        <v>479</v>
      </c>
      <c r="AI447" s="319" t="s">
        <v>190</v>
      </c>
      <c r="AJ447" s="319" t="s">
        <v>479</v>
      </c>
      <c r="AK447" s="319" t="s">
        <v>190</v>
      </c>
      <c r="AL447" s="319" t="s">
        <v>190</v>
      </c>
      <c r="AM447" s="319" t="s">
        <v>190</v>
      </c>
      <c r="AN447" s="319" t="s">
        <v>190</v>
      </c>
      <c r="AO447" s="319" t="s">
        <v>479</v>
      </c>
      <c r="AP447" s="319" t="s">
        <v>191</v>
      </c>
      <c r="AQ447" s="319" t="s">
        <v>191</v>
      </c>
      <c r="AR447" s="319" t="s">
        <v>191</v>
      </c>
      <c r="AS447" s="319" t="s">
        <v>191</v>
      </c>
      <c r="AT447" s="319" t="s">
        <v>190</v>
      </c>
      <c r="AU447" s="319" t="s">
        <v>190</v>
      </c>
      <c r="AV447" s="319" t="s">
        <v>190</v>
      </c>
      <c r="AW447" s="319" t="s">
        <v>190</v>
      </c>
      <c r="AX447" s="319" t="s">
        <v>428</v>
      </c>
      <c r="AY447" s="319" t="s">
        <v>190</v>
      </c>
      <c r="AZ447" s="319" t="s">
        <v>190</v>
      </c>
      <c r="BA447" s="319" t="s">
        <v>190</v>
      </c>
      <c r="BB447" s="319" t="s">
        <v>190</v>
      </c>
      <c r="BC447" s="319" t="s">
        <v>190</v>
      </c>
      <c r="BD447" s="319" t="s">
        <v>190</v>
      </c>
      <c r="BE447" s="319" t="s">
        <v>190</v>
      </c>
      <c r="BF447" s="319" t="s">
        <v>190</v>
      </c>
      <c r="BG447" s="319" t="s">
        <v>190</v>
      </c>
      <c r="BH447" s="319" t="s">
        <v>190</v>
      </c>
      <c r="BI447" s="319" t="s">
        <v>190</v>
      </c>
      <c r="BJ447" s="319" t="s">
        <v>191</v>
      </c>
      <c r="BK447" s="319" t="s">
        <v>190</v>
      </c>
      <c r="BL447" s="319" t="s">
        <v>190</v>
      </c>
      <c r="BM447" s="319" t="s">
        <v>191</v>
      </c>
      <c r="BN447" s="319" t="s">
        <v>191</v>
      </c>
      <c r="BO447" s="319" t="s">
        <v>191</v>
      </c>
      <c r="BP447" s="319" t="s">
        <v>190</v>
      </c>
      <c r="BQ447" s="319" t="s">
        <v>191</v>
      </c>
      <c r="BR447" s="319" t="s">
        <v>190</v>
      </c>
      <c r="BS447" s="319" t="s">
        <v>190</v>
      </c>
      <c r="BT447" s="319" t="s">
        <v>190</v>
      </c>
      <c r="BU447" s="319" t="s">
        <v>191</v>
      </c>
      <c r="BV447" s="319" t="s">
        <v>190</v>
      </c>
      <c r="BW447" s="319" t="s">
        <v>190</v>
      </c>
      <c r="BX447" s="319" t="s">
        <v>190</v>
      </c>
      <c r="BY447" s="319" t="s">
        <v>190</v>
      </c>
      <c r="BZ447" s="319" t="s">
        <v>190</v>
      </c>
      <c r="CA447" s="319" t="s">
        <v>190</v>
      </c>
      <c r="CB447" s="319" t="s">
        <v>190</v>
      </c>
      <c r="CC447" s="319" t="s">
        <v>190</v>
      </c>
      <c r="CD447" s="319" t="s">
        <v>190</v>
      </c>
      <c r="CE447" s="319" t="s">
        <v>190</v>
      </c>
      <c r="CF447" s="319" t="s">
        <v>190</v>
      </c>
      <c r="CG447" s="319" t="s">
        <v>190</v>
      </c>
      <c r="CH447" s="319" t="s">
        <v>190</v>
      </c>
      <c r="CI447" s="319" t="s">
        <v>190</v>
      </c>
      <c r="CJ447" s="319" t="s">
        <v>190</v>
      </c>
      <c r="CK447" s="319" t="s">
        <v>191</v>
      </c>
      <c r="CL447" s="319" t="s">
        <v>191</v>
      </c>
      <c r="CM447" s="319" t="s">
        <v>191</v>
      </c>
      <c r="CN447" s="319" t="s">
        <v>428</v>
      </c>
      <c r="CO447" s="319" t="s">
        <v>428</v>
      </c>
      <c r="CP447" s="319" t="s">
        <v>428</v>
      </c>
      <c r="CQ447" s="319" t="s">
        <v>190</v>
      </c>
      <c r="CR447" s="319" t="s">
        <v>190</v>
      </c>
      <c r="CS447" s="319" t="s">
        <v>190</v>
      </c>
      <c r="CT447" s="319" t="s">
        <v>190</v>
      </c>
      <c r="CU447" s="319" t="s">
        <v>190</v>
      </c>
      <c r="CV447" s="319" t="s">
        <v>190</v>
      </c>
      <c r="CW447" s="319" t="s">
        <v>190</v>
      </c>
      <c r="CX447" s="319" t="s">
        <v>190</v>
      </c>
      <c r="CY447" s="319" t="s">
        <v>190</v>
      </c>
      <c r="CZ447" s="319" t="s">
        <v>190</v>
      </c>
      <c r="DA447" s="319" t="s">
        <v>190</v>
      </c>
      <c r="DB447" s="319" t="s">
        <v>190</v>
      </c>
      <c r="DC447" s="319" t="s">
        <v>190</v>
      </c>
      <c r="DD447" s="319" t="s">
        <v>190</v>
      </c>
      <c r="DE447" s="319" t="s">
        <v>190</v>
      </c>
      <c r="DF447" s="319" t="s">
        <v>190</v>
      </c>
      <c r="DG447" s="319" t="s">
        <v>190</v>
      </c>
      <c r="DH447" s="319" t="s">
        <v>190</v>
      </c>
      <c r="DI447" s="319" t="s">
        <v>190</v>
      </c>
      <c r="DJ447" s="319" t="s">
        <v>190</v>
      </c>
      <c r="DK447" s="319" t="s">
        <v>190</v>
      </c>
      <c r="DL447" s="319" t="s">
        <v>190</v>
      </c>
      <c r="DM447" s="319" t="s">
        <v>190</v>
      </c>
      <c r="DN447" s="319" t="s">
        <v>428</v>
      </c>
      <c r="DO447" s="319" t="s">
        <v>190</v>
      </c>
      <c r="DP447" s="319" t="s">
        <v>428</v>
      </c>
      <c r="DQ447" s="319" t="s">
        <v>428</v>
      </c>
      <c r="DR447" s="319" t="s">
        <v>428</v>
      </c>
      <c r="DS447" s="319" t="s">
        <v>428</v>
      </c>
      <c r="DT447" s="319" t="s">
        <v>428</v>
      </c>
      <c r="DU447" s="319" t="s">
        <v>428</v>
      </c>
      <c r="DV447" s="319" t="s">
        <v>173</v>
      </c>
      <c r="DW447" s="319" t="s">
        <v>428</v>
      </c>
      <c r="DX447" s="319" t="s">
        <v>428</v>
      </c>
      <c r="DY447" s="319" t="s">
        <v>428</v>
      </c>
      <c r="DZ447" s="319" t="s">
        <v>428</v>
      </c>
      <c r="EA447" s="319" t="s">
        <v>428</v>
      </c>
      <c r="EB447" s="319" t="s">
        <v>428</v>
      </c>
      <c r="EC447" s="319" t="s">
        <v>428</v>
      </c>
      <c r="ED447" s="319" t="s">
        <v>428</v>
      </c>
      <c r="EE447" s="319" t="s">
        <v>190</v>
      </c>
      <c r="EF447" s="319" t="s">
        <v>190</v>
      </c>
      <c r="EG447" s="319" t="s">
        <v>190</v>
      </c>
      <c r="EH447" s="319" t="s">
        <v>190</v>
      </c>
      <c r="EI447" s="319" t="s">
        <v>190</v>
      </c>
      <c r="EJ447" s="319" t="s">
        <v>190</v>
      </c>
      <c r="EK447" s="319" t="s">
        <v>190</v>
      </c>
      <c r="EL447" s="319" t="s">
        <v>190</v>
      </c>
      <c r="EM447" s="319" t="s">
        <v>190</v>
      </c>
      <c r="EN447" s="319" t="s">
        <v>190</v>
      </c>
      <c r="EO447" s="319" t="s">
        <v>190</v>
      </c>
      <c r="EP447" s="319" t="s">
        <v>190</v>
      </c>
      <c r="EQ447" s="319" t="s">
        <v>190</v>
      </c>
      <c r="ER447" s="319" t="s">
        <v>190</v>
      </c>
      <c r="ES447" s="319" t="s">
        <v>190</v>
      </c>
      <c r="ET447" s="319" t="s">
        <v>190</v>
      </c>
      <c r="EU447" s="319" t="s">
        <v>190</v>
      </c>
      <c r="EV447" s="319" t="s">
        <v>190</v>
      </c>
      <c r="EW447" s="319" t="s">
        <v>190</v>
      </c>
      <c r="EX447" s="319" t="s">
        <v>190</v>
      </c>
      <c r="EY447" s="319" t="s">
        <v>190</v>
      </c>
      <c r="EZ447" s="319" t="s">
        <v>190</v>
      </c>
      <c r="FA447" s="319" t="s">
        <v>190</v>
      </c>
      <c r="FB447" s="319" t="s">
        <v>428</v>
      </c>
      <c r="FC447" s="319" t="s">
        <v>428</v>
      </c>
      <c r="FD447" s="319" t="s">
        <v>428</v>
      </c>
      <c r="FE447" s="319" t="s">
        <v>428</v>
      </c>
      <c r="FF447" s="319" t="s">
        <v>428</v>
      </c>
      <c r="FG447" s="319" t="s">
        <v>428</v>
      </c>
      <c r="FH447" s="319" t="s">
        <v>428</v>
      </c>
      <c r="FI447" s="319" t="s">
        <v>428</v>
      </c>
      <c r="FJ447" s="319" t="s">
        <v>429</v>
      </c>
      <c r="FK447" s="319" t="s">
        <v>428</v>
      </c>
      <c r="FL447" s="319" t="s">
        <v>190</v>
      </c>
      <c r="FM447" s="319" t="s">
        <v>190</v>
      </c>
      <c r="FN447" s="319" t="s">
        <v>190</v>
      </c>
      <c r="FO447" s="319" t="s">
        <v>190</v>
      </c>
      <c r="FP447" s="319" t="s">
        <v>190</v>
      </c>
      <c r="FQ447" s="319" t="s">
        <v>190</v>
      </c>
      <c r="FR447" s="319" t="s">
        <v>190</v>
      </c>
      <c r="FS447" s="319" t="s">
        <v>428</v>
      </c>
      <c r="FT447" s="319" t="s">
        <v>190</v>
      </c>
      <c r="FU447" s="319" t="s">
        <v>190</v>
      </c>
      <c r="FV447" s="319" t="s">
        <v>190</v>
      </c>
      <c r="FW447" s="319" t="s">
        <v>190</v>
      </c>
      <c r="FX447" s="319" t="s">
        <v>190</v>
      </c>
      <c r="FY447" s="319" t="s">
        <v>190</v>
      </c>
      <c r="FZ447" s="319" t="s">
        <v>190</v>
      </c>
      <c r="GA447" s="319" t="s">
        <v>190</v>
      </c>
      <c r="GB447" s="319" t="s">
        <v>190</v>
      </c>
      <c r="GC447" s="319" t="s">
        <v>190</v>
      </c>
      <c r="GD447" s="319" t="s">
        <v>190</v>
      </c>
      <c r="GE447" s="319" t="s">
        <v>190</v>
      </c>
      <c r="GF447" s="319" t="s">
        <v>190</v>
      </c>
      <c r="GG447" s="319" t="s">
        <v>190</v>
      </c>
      <c r="GH447" s="319" t="s">
        <v>190</v>
      </c>
      <c r="GI447" s="319" t="s">
        <v>190</v>
      </c>
      <c r="GJ447" s="319" t="s">
        <v>190</v>
      </c>
      <c r="GK447" s="319" t="s">
        <v>428</v>
      </c>
      <c r="GL447" s="319" t="s">
        <v>190</v>
      </c>
      <c r="GM447" s="319" t="s">
        <v>190</v>
      </c>
      <c r="GN447" s="319" t="s">
        <v>190</v>
      </c>
      <c r="GO447" s="319" t="s">
        <v>190</v>
      </c>
      <c r="GP447" s="319" t="s">
        <v>190</v>
      </c>
      <c r="GQ447" s="319" t="s">
        <v>428</v>
      </c>
      <c r="GR447" s="319" t="s">
        <v>190</v>
      </c>
      <c r="GS447" s="319" t="s">
        <v>190</v>
      </c>
      <c r="GT447" s="319" t="s">
        <v>428</v>
      </c>
      <c r="GU447" s="319" t="s">
        <v>428</v>
      </c>
      <c r="GV447" s="319" t="s">
        <v>190</v>
      </c>
      <c r="GW447" s="319" t="s">
        <v>190</v>
      </c>
      <c r="GX447" s="319" t="s">
        <v>190</v>
      </c>
      <c r="GY447" s="319" t="s">
        <v>190</v>
      </c>
      <c r="GZ447" s="319" t="s">
        <v>428</v>
      </c>
      <c r="HA447" s="319" t="s">
        <v>190</v>
      </c>
      <c r="HB447" s="319" t="s">
        <v>190</v>
      </c>
      <c r="HC447" s="319" t="s">
        <v>190</v>
      </c>
      <c r="HD447" s="319" t="s">
        <v>190</v>
      </c>
      <c r="HE447" s="319" t="s">
        <v>190</v>
      </c>
      <c r="HF447" s="319" t="s">
        <v>190</v>
      </c>
      <c r="HG447" s="319" t="s">
        <v>190</v>
      </c>
      <c r="HH447" s="319" t="s">
        <v>190</v>
      </c>
      <c r="HI447" s="319" t="s">
        <v>190</v>
      </c>
      <c r="HJ447" s="319" t="s">
        <v>190</v>
      </c>
      <c r="HK447" s="319" t="s">
        <v>190</v>
      </c>
      <c r="HL447" s="319" t="s">
        <v>428</v>
      </c>
      <c r="HM447" s="319" t="s">
        <v>428</v>
      </c>
      <c r="HN447" s="319" t="s">
        <v>428</v>
      </c>
      <c r="HO447" s="319" t="s">
        <v>428</v>
      </c>
      <c r="HP447" s="319" t="s">
        <v>190</v>
      </c>
      <c r="HQ447" s="319" t="s">
        <v>190</v>
      </c>
      <c r="HR447" s="319" t="s">
        <v>190</v>
      </c>
      <c r="HS447" s="319" t="s">
        <v>190</v>
      </c>
      <c r="HT447" s="319" t="s">
        <v>190</v>
      </c>
      <c r="HU447" s="319" t="s">
        <v>190</v>
      </c>
      <c r="HV447" s="319" t="s">
        <v>190</v>
      </c>
      <c r="HW447" s="319" t="s">
        <v>190</v>
      </c>
      <c r="HX447" s="319" t="s">
        <v>190</v>
      </c>
      <c r="HY447" s="319" t="s">
        <v>190</v>
      </c>
      <c r="HZ447" s="319" t="s">
        <v>190</v>
      </c>
      <c r="IA447" s="319" t="s">
        <v>190</v>
      </c>
      <c r="IB447" s="319" t="s">
        <v>190</v>
      </c>
      <c r="IC447" s="319" t="s">
        <v>190</v>
      </c>
      <c r="ID447" s="319" t="s">
        <v>190</v>
      </c>
      <c r="IE447" s="319" t="s">
        <v>190</v>
      </c>
      <c r="IF447" s="319" t="s">
        <v>191</v>
      </c>
      <c r="IG447" s="319" t="s">
        <v>191</v>
      </c>
      <c r="IH447" s="319" t="s">
        <v>191</v>
      </c>
      <c r="II447" s="319" t="s">
        <v>191</v>
      </c>
      <c r="IJ447" s="319">
        <v>10033951</v>
      </c>
      <c r="IK447" s="321">
        <v>43025</v>
      </c>
      <c r="IL447" s="321">
        <v>43027</v>
      </c>
      <c r="IM447" s="321">
        <v>43053</v>
      </c>
      <c r="IN447" s="319">
        <v>3</v>
      </c>
      <c r="IO447" s="319" t="s">
        <v>173</v>
      </c>
      <c r="IP447" s="319" t="s">
        <v>173</v>
      </c>
      <c r="IQ447" s="321" t="s">
        <v>173</v>
      </c>
      <c r="IR447" s="320" t="s">
        <v>173</v>
      </c>
      <c r="IS447" s="322" t="s">
        <v>173</v>
      </c>
      <c r="IT447" s="319" t="s">
        <v>173</v>
      </c>
    </row>
    <row r="448" spans="1:254" s="271" customFormat="1" x14ac:dyDescent="0.25">
      <c r="A448" s="318" t="str">
        <f>HYPERLINK("http://www.ofsted.gov.uk/inspection-reports/find-inspection-report/provider/ELS/134427 ","Ofsted School Webpage")</f>
        <v>Ofsted School Webpage</v>
      </c>
      <c r="B448" s="319">
        <v>134427</v>
      </c>
      <c r="C448" s="319">
        <v>3806118</v>
      </c>
      <c r="D448" s="319" t="s">
        <v>875</v>
      </c>
      <c r="E448" s="319" t="s">
        <v>167</v>
      </c>
      <c r="F448" s="319" t="s">
        <v>81</v>
      </c>
      <c r="G448" s="319" t="s">
        <v>59</v>
      </c>
      <c r="H448" s="319" t="s">
        <v>59</v>
      </c>
      <c r="I448" s="319" t="s">
        <v>59</v>
      </c>
      <c r="J448" s="319" t="s">
        <v>424</v>
      </c>
      <c r="K448" s="319" t="s">
        <v>458</v>
      </c>
      <c r="L448" s="319" t="s">
        <v>459</v>
      </c>
      <c r="M448" s="319" t="s">
        <v>595</v>
      </c>
      <c r="N448" s="319" t="s">
        <v>3181</v>
      </c>
      <c r="O448" s="319" t="s">
        <v>876</v>
      </c>
      <c r="P448" s="319">
        <v>10</v>
      </c>
      <c r="Q448" s="319" t="s">
        <v>2766</v>
      </c>
      <c r="R448" s="320">
        <v>10061263</v>
      </c>
      <c r="S448" s="321">
        <v>43494</v>
      </c>
      <c r="T448" s="321">
        <v>43496</v>
      </c>
      <c r="U448" s="321">
        <v>43528</v>
      </c>
      <c r="V448" s="319" t="s">
        <v>425</v>
      </c>
      <c r="W448" s="319" t="s">
        <v>2767</v>
      </c>
      <c r="X448" s="319">
        <v>2</v>
      </c>
      <c r="Y448" s="319" t="s">
        <v>173</v>
      </c>
      <c r="Z448" s="319" t="s">
        <v>173</v>
      </c>
      <c r="AA448" s="319" t="s">
        <v>173</v>
      </c>
      <c r="AB448" s="319">
        <v>2</v>
      </c>
      <c r="AC448" s="319" t="s">
        <v>169</v>
      </c>
      <c r="AD448" s="319" t="s">
        <v>173</v>
      </c>
      <c r="AE448" s="319" t="s">
        <v>173</v>
      </c>
      <c r="AF448" s="319" t="s">
        <v>427</v>
      </c>
      <c r="AG448" s="319" t="s">
        <v>171</v>
      </c>
      <c r="AH448" s="319" t="s">
        <v>190</v>
      </c>
      <c r="AI448" s="319" t="s">
        <v>190</v>
      </c>
      <c r="AJ448" s="319" t="s">
        <v>190</v>
      </c>
      <c r="AK448" s="319" t="s">
        <v>190</v>
      </c>
      <c r="AL448" s="319" t="s">
        <v>190</v>
      </c>
      <c r="AM448" s="319" t="s">
        <v>190</v>
      </c>
      <c r="AN448" s="319" t="s">
        <v>190</v>
      </c>
      <c r="AO448" s="319" t="s">
        <v>190</v>
      </c>
      <c r="AP448" s="319" t="s">
        <v>190</v>
      </c>
      <c r="AQ448" s="319" t="s">
        <v>190</v>
      </c>
      <c r="AR448" s="319" t="s">
        <v>190</v>
      </c>
      <c r="AS448" s="319" t="s">
        <v>190</v>
      </c>
      <c r="AT448" s="319" t="s">
        <v>190</v>
      </c>
      <c r="AU448" s="319" t="s">
        <v>190</v>
      </c>
      <c r="AV448" s="319" t="s">
        <v>190</v>
      </c>
      <c r="AW448" s="319" t="s">
        <v>190</v>
      </c>
      <c r="AX448" s="319" t="s">
        <v>428</v>
      </c>
      <c r="AY448" s="319" t="s">
        <v>190</v>
      </c>
      <c r="AZ448" s="319" t="s">
        <v>190</v>
      </c>
      <c r="BA448" s="319" t="s">
        <v>190</v>
      </c>
      <c r="BB448" s="319" t="s">
        <v>190</v>
      </c>
      <c r="BC448" s="319" t="s">
        <v>190</v>
      </c>
      <c r="BD448" s="319" t="s">
        <v>190</v>
      </c>
      <c r="BE448" s="319" t="s">
        <v>190</v>
      </c>
      <c r="BF448" s="319" t="s">
        <v>190</v>
      </c>
      <c r="BG448" s="319" t="s">
        <v>428</v>
      </c>
      <c r="BH448" s="319" t="s">
        <v>190</v>
      </c>
      <c r="BI448" s="319" t="s">
        <v>190</v>
      </c>
      <c r="BJ448" s="319" t="s">
        <v>190</v>
      </c>
      <c r="BK448" s="319" t="s">
        <v>190</v>
      </c>
      <c r="BL448" s="319" t="s">
        <v>190</v>
      </c>
      <c r="BM448" s="319" t="s">
        <v>190</v>
      </c>
      <c r="BN448" s="319" t="s">
        <v>190</v>
      </c>
      <c r="BO448" s="319" t="s">
        <v>190</v>
      </c>
      <c r="BP448" s="319" t="s">
        <v>190</v>
      </c>
      <c r="BQ448" s="319" t="s">
        <v>190</v>
      </c>
      <c r="BR448" s="319" t="s">
        <v>190</v>
      </c>
      <c r="BS448" s="319" t="s">
        <v>190</v>
      </c>
      <c r="BT448" s="319" t="s">
        <v>190</v>
      </c>
      <c r="BU448" s="319" t="s">
        <v>190</v>
      </c>
      <c r="BV448" s="319" t="s">
        <v>190</v>
      </c>
      <c r="BW448" s="319" t="s">
        <v>190</v>
      </c>
      <c r="BX448" s="319" t="s">
        <v>190</v>
      </c>
      <c r="BY448" s="319" t="s">
        <v>190</v>
      </c>
      <c r="BZ448" s="319" t="s">
        <v>190</v>
      </c>
      <c r="CA448" s="319" t="s">
        <v>190</v>
      </c>
      <c r="CB448" s="319" t="s">
        <v>190</v>
      </c>
      <c r="CC448" s="319" t="s">
        <v>190</v>
      </c>
      <c r="CD448" s="319" t="s">
        <v>190</v>
      </c>
      <c r="CE448" s="319" t="s">
        <v>190</v>
      </c>
      <c r="CF448" s="319" t="s">
        <v>190</v>
      </c>
      <c r="CG448" s="319" t="s">
        <v>190</v>
      </c>
      <c r="CH448" s="319" t="s">
        <v>190</v>
      </c>
      <c r="CI448" s="319" t="s">
        <v>190</v>
      </c>
      <c r="CJ448" s="319" t="s">
        <v>190</v>
      </c>
      <c r="CK448" s="319" t="s">
        <v>190</v>
      </c>
      <c r="CL448" s="319" t="s">
        <v>190</v>
      </c>
      <c r="CM448" s="319" t="s">
        <v>190</v>
      </c>
      <c r="CN448" s="319" t="s">
        <v>428</v>
      </c>
      <c r="CO448" s="319" t="s">
        <v>428</v>
      </c>
      <c r="CP448" s="319" t="s">
        <v>428</v>
      </c>
      <c r="CQ448" s="319" t="s">
        <v>190</v>
      </c>
      <c r="CR448" s="319" t="s">
        <v>190</v>
      </c>
      <c r="CS448" s="319" t="s">
        <v>190</v>
      </c>
      <c r="CT448" s="319" t="s">
        <v>190</v>
      </c>
      <c r="CU448" s="319" t="s">
        <v>190</v>
      </c>
      <c r="CV448" s="319" t="s">
        <v>190</v>
      </c>
      <c r="CW448" s="319" t="s">
        <v>190</v>
      </c>
      <c r="CX448" s="319" t="s">
        <v>190</v>
      </c>
      <c r="CY448" s="319" t="s">
        <v>190</v>
      </c>
      <c r="CZ448" s="319" t="s">
        <v>190</v>
      </c>
      <c r="DA448" s="319" t="s">
        <v>190</v>
      </c>
      <c r="DB448" s="319" t="s">
        <v>190</v>
      </c>
      <c r="DC448" s="319" t="s">
        <v>190</v>
      </c>
      <c r="DD448" s="319" t="s">
        <v>190</v>
      </c>
      <c r="DE448" s="319" t="s">
        <v>190</v>
      </c>
      <c r="DF448" s="319" t="s">
        <v>190</v>
      </c>
      <c r="DG448" s="319" t="s">
        <v>190</v>
      </c>
      <c r="DH448" s="319" t="s">
        <v>190</v>
      </c>
      <c r="DI448" s="319" t="s">
        <v>190</v>
      </c>
      <c r="DJ448" s="319" t="s">
        <v>190</v>
      </c>
      <c r="DK448" s="319" t="s">
        <v>190</v>
      </c>
      <c r="DL448" s="319" t="s">
        <v>190</v>
      </c>
      <c r="DM448" s="319" t="s">
        <v>190</v>
      </c>
      <c r="DN448" s="319" t="s">
        <v>428</v>
      </c>
      <c r="DO448" s="319" t="s">
        <v>190</v>
      </c>
      <c r="DP448" s="319" t="s">
        <v>428</v>
      </c>
      <c r="DQ448" s="319" t="s">
        <v>428</v>
      </c>
      <c r="DR448" s="319" t="s">
        <v>428</v>
      </c>
      <c r="DS448" s="319" t="s">
        <v>428</v>
      </c>
      <c r="DT448" s="319" t="s">
        <v>428</v>
      </c>
      <c r="DU448" s="319" t="s">
        <v>428</v>
      </c>
      <c r="DV448" s="319" t="s">
        <v>173</v>
      </c>
      <c r="DW448" s="319" t="s">
        <v>428</v>
      </c>
      <c r="DX448" s="319" t="s">
        <v>428</v>
      </c>
      <c r="DY448" s="319" t="s">
        <v>428</v>
      </c>
      <c r="DZ448" s="319" t="s">
        <v>428</v>
      </c>
      <c r="EA448" s="319" t="s">
        <v>428</v>
      </c>
      <c r="EB448" s="319" t="s">
        <v>428</v>
      </c>
      <c r="EC448" s="319" t="s">
        <v>428</v>
      </c>
      <c r="ED448" s="319" t="s">
        <v>428</v>
      </c>
      <c r="EE448" s="319" t="s">
        <v>190</v>
      </c>
      <c r="EF448" s="319" t="s">
        <v>190</v>
      </c>
      <c r="EG448" s="319" t="s">
        <v>190</v>
      </c>
      <c r="EH448" s="319" t="s">
        <v>190</v>
      </c>
      <c r="EI448" s="319" t="s">
        <v>190</v>
      </c>
      <c r="EJ448" s="319" t="s">
        <v>190</v>
      </c>
      <c r="EK448" s="319" t="s">
        <v>190</v>
      </c>
      <c r="EL448" s="319" t="s">
        <v>190</v>
      </c>
      <c r="EM448" s="319" t="s">
        <v>190</v>
      </c>
      <c r="EN448" s="319" t="s">
        <v>190</v>
      </c>
      <c r="EO448" s="319" t="s">
        <v>190</v>
      </c>
      <c r="EP448" s="319" t="s">
        <v>190</v>
      </c>
      <c r="EQ448" s="319" t="s">
        <v>190</v>
      </c>
      <c r="ER448" s="319" t="s">
        <v>190</v>
      </c>
      <c r="ES448" s="319" t="s">
        <v>190</v>
      </c>
      <c r="ET448" s="319" t="s">
        <v>190</v>
      </c>
      <c r="EU448" s="319" t="s">
        <v>190</v>
      </c>
      <c r="EV448" s="319" t="s">
        <v>190</v>
      </c>
      <c r="EW448" s="319" t="s">
        <v>190</v>
      </c>
      <c r="EX448" s="319" t="s">
        <v>190</v>
      </c>
      <c r="EY448" s="319" t="s">
        <v>190</v>
      </c>
      <c r="EZ448" s="319" t="s">
        <v>190</v>
      </c>
      <c r="FA448" s="319" t="s">
        <v>428</v>
      </c>
      <c r="FB448" s="319" t="s">
        <v>428</v>
      </c>
      <c r="FC448" s="319" t="s">
        <v>428</v>
      </c>
      <c r="FD448" s="319" t="s">
        <v>428</v>
      </c>
      <c r="FE448" s="319" t="s">
        <v>428</v>
      </c>
      <c r="FF448" s="319" t="s">
        <v>428</v>
      </c>
      <c r="FG448" s="319" t="s">
        <v>428</v>
      </c>
      <c r="FH448" s="319" t="s">
        <v>190</v>
      </c>
      <c r="FI448" s="319" t="s">
        <v>428</v>
      </c>
      <c r="FJ448" s="319" t="s">
        <v>429</v>
      </c>
      <c r="FK448" s="319" t="s">
        <v>428</v>
      </c>
      <c r="FL448" s="319" t="s">
        <v>190</v>
      </c>
      <c r="FM448" s="319" t="s">
        <v>190</v>
      </c>
      <c r="FN448" s="319" t="s">
        <v>190</v>
      </c>
      <c r="FO448" s="319" t="s">
        <v>190</v>
      </c>
      <c r="FP448" s="319" t="s">
        <v>190</v>
      </c>
      <c r="FQ448" s="319" t="s">
        <v>190</v>
      </c>
      <c r="FR448" s="319" t="s">
        <v>190</v>
      </c>
      <c r="FS448" s="319" t="s">
        <v>428</v>
      </c>
      <c r="FT448" s="319" t="s">
        <v>190</v>
      </c>
      <c r="FU448" s="319" t="s">
        <v>190</v>
      </c>
      <c r="FV448" s="319" t="s">
        <v>190</v>
      </c>
      <c r="FW448" s="319" t="s">
        <v>190</v>
      </c>
      <c r="FX448" s="319" t="s">
        <v>190</v>
      </c>
      <c r="FY448" s="319" t="s">
        <v>190</v>
      </c>
      <c r="FZ448" s="319" t="s">
        <v>190</v>
      </c>
      <c r="GA448" s="319" t="s">
        <v>190</v>
      </c>
      <c r="GB448" s="319" t="s">
        <v>190</v>
      </c>
      <c r="GC448" s="319" t="s">
        <v>190</v>
      </c>
      <c r="GD448" s="319" t="s">
        <v>190</v>
      </c>
      <c r="GE448" s="319" t="s">
        <v>190</v>
      </c>
      <c r="GF448" s="319" t="s">
        <v>190</v>
      </c>
      <c r="GG448" s="319" t="s">
        <v>190</v>
      </c>
      <c r="GH448" s="319" t="s">
        <v>190</v>
      </c>
      <c r="GI448" s="319" t="s">
        <v>190</v>
      </c>
      <c r="GJ448" s="319" t="s">
        <v>190</v>
      </c>
      <c r="GK448" s="319" t="s">
        <v>428</v>
      </c>
      <c r="GL448" s="319" t="s">
        <v>190</v>
      </c>
      <c r="GM448" s="319" t="s">
        <v>190</v>
      </c>
      <c r="GN448" s="319" t="s">
        <v>190</v>
      </c>
      <c r="GO448" s="319" t="s">
        <v>190</v>
      </c>
      <c r="GP448" s="319" t="s">
        <v>190</v>
      </c>
      <c r="GQ448" s="319" t="s">
        <v>428</v>
      </c>
      <c r="GR448" s="319" t="s">
        <v>190</v>
      </c>
      <c r="GS448" s="319" t="s">
        <v>190</v>
      </c>
      <c r="GT448" s="319" t="s">
        <v>190</v>
      </c>
      <c r="GU448" s="319" t="s">
        <v>190</v>
      </c>
      <c r="GV448" s="319" t="s">
        <v>428</v>
      </c>
      <c r="GW448" s="319" t="s">
        <v>190</v>
      </c>
      <c r="GX448" s="319" t="s">
        <v>190</v>
      </c>
      <c r="GY448" s="319" t="s">
        <v>190</v>
      </c>
      <c r="GZ448" s="319" t="s">
        <v>190</v>
      </c>
      <c r="HA448" s="319" t="s">
        <v>190</v>
      </c>
      <c r="HB448" s="319" t="s">
        <v>190</v>
      </c>
      <c r="HC448" s="319" t="s">
        <v>190</v>
      </c>
      <c r="HD448" s="319" t="s">
        <v>190</v>
      </c>
      <c r="HE448" s="319" t="s">
        <v>190</v>
      </c>
      <c r="HF448" s="319" t="s">
        <v>190</v>
      </c>
      <c r="HG448" s="319" t="s">
        <v>190</v>
      </c>
      <c r="HH448" s="319" t="s">
        <v>190</v>
      </c>
      <c r="HI448" s="319" t="s">
        <v>190</v>
      </c>
      <c r="HJ448" s="319" t="s">
        <v>190</v>
      </c>
      <c r="HK448" s="319" t="s">
        <v>190</v>
      </c>
      <c r="HL448" s="319" t="s">
        <v>190</v>
      </c>
      <c r="HM448" s="319" t="s">
        <v>428</v>
      </c>
      <c r="HN448" s="319" t="s">
        <v>428</v>
      </c>
      <c r="HO448" s="319" t="s">
        <v>428</v>
      </c>
      <c r="HP448" s="319" t="s">
        <v>190</v>
      </c>
      <c r="HQ448" s="319" t="s">
        <v>190</v>
      </c>
      <c r="HR448" s="319" t="s">
        <v>190</v>
      </c>
      <c r="HS448" s="319" t="s">
        <v>190</v>
      </c>
      <c r="HT448" s="319" t="s">
        <v>190</v>
      </c>
      <c r="HU448" s="319" t="s">
        <v>190</v>
      </c>
      <c r="HV448" s="319" t="s">
        <v>190</v>
      </c>
      <c r="HW448" s="319" t="s">
        <v>190</v>
      </c>
      <c r="HX448" s="319" t="s">
        <v>190</v>
      </c>
      <c r="HY448" s="319" t="s">
        <v>190</v>
      </c>
      <c r="HZ448" s="319" t="s">
        <v>190</v>
      </c>
      <c r="IA448" s="319" t="s">
        <v>190</v>
      </c>
      <c r="IB448" s="319" t="s">
        <v>190</v>
      </c>
      <c r="IC448" s="319" t="s">
        <v>190</v>
      </c>
      <c r="ID448" s="319" t="s">
        <v>190</v>
      </c>
      <c r="IE448" s="319" t="s">
        <v>190</v>
      </c>
      <c r="IF448" s="319" t="s">
        <v>190</v>
      </c>
      <c r="IG448" s="319" t="s">
        <v>190</v>
      </c>
      <c r="IH448" s="319" t="s">
        <v>190</v>
      </c>
      <c r="II448" s="319" t="s">
        <v>190</v>
      </c>
      <c r="IJ448" s="319">
        <v>10008553</v>
      </c>
      <c r="IK448" s="321">
        <v>42451</v>
      </c>
      <c r="IL448" s="321">
        <v>42453</v>
      </c>
      <c r="IM448" s="321">
        <v>42489</v>
      </c>
      <c r="IN448" s="319">
        <v>2</v>
      </c>
      <c r="IO448" s="319" t="s">
        <v>173</v>
      </c>
      <c r="IP448" s="319" t="s">
        <v>173</v>
      </c>
      <c r="IQ448" s="321" t="s">
        <v>173</v>
      </c>
      <c r="IR448" s="320" t="s">
        <v>173</v>
      </c>
      <c r="IS448" s="322" t="s">
        <v>173</v>
      </c>
      <c r="IT448" s="319" t="s">
        <v>173</v>
      </c>
    </row>
    <row r="449" spans="1:254" s="271" customFormat="1" x14ac:dyDescent="0.25">
      <c r="A449" s="318" t="str">
        <f>HYPERLINK("http://www.ofsted.gov.uk/inspection-reports/find-inspection-report/provider/ELS/134429 ","Ofsted School Webpage")</f>
        <v>Ofsted School Webpage</v>
      </c>
      <c r="B449" s="319">
        <v>134429</v>
      </c>
      <c r="C449" s="319">
        <v>3806117</v>
      </c>
      <c r="D449" s="319" t="s">
        <v>1816</v>
      </c>
      <c r="E449" s="319" t="s">
        <v>167</v>
      </c>
      <c r="F449" s="319" t="s">
        <v>81</v>
      </c>
      <c r="G449" s="319" t="s">
        <v>72</v>
      </c>
      <c r="H449" s="319" t="s">
        <v>72</v>
      </c>
      <c r="I449" s="319" t="s">
        <v>72</v>
      </c>
      <c r="J449" s="319" t="s">
        <v>424</v>
      </c>
      <c r="K449" s="319" t="s">
        <v>458</v>
      </c>
      <c r="L449" s="319" t="s">
        <v>459</v>
      </c>
      <c r="M449" s="319" t="s">
        <v>595</v>
      </c>
      <c r="N449" s="319" t="s">
        <v>3181</v>
      </c>
      <c r="O449" s="319" t="s">
        <v>1817</v>
      </c>
      <c r="P449" s="319">
        <v>191</v>
      </c>
      <c r="Q449" s="319" t="s">
        <v>2776</v>
      </c>
      <c r="R449" s="320">
        <v>10061265</v>
      </c>
      <c r="S449" s="321">
        <v>43536</v>
      </c>
      <c r="T449" s="321">
        <v>43538</v>
      </c>
      <c r="U449" s="321">
        <v>43670</v>
      </c>
      <c r="V449" s="319" t="s">
        <v>425</v>
      </c>
      <c r="W449" s="319" t="s">
        <v>2767</v>
      </c>
      <c r="X449" s="319">
        <v>3</v>
      </c>
      <c r="Y449" s="319" t="s">
        <v>173</v>
      </c>
      <c r="Z449" s="319" t="s">
        <v>173</v>
      </c>
      <c r="AA449" s="319" t="s">
        <v>173</v>
      </c>
      <c r="AB449" s="319">
        <v>3</v>
      </c>
      <c r="AC449" s="319" t="s">
        <v>169</v>
      </c>
      <c r="AD449" s="319">
        <v>2</v>
      </c>
      <c r="AE449" s="319" t="s">
        <v>173</v>
      </c>
      <c r="AF449" s="319" t="s">
        <v>427</v>
      </c>
      <c r="AG449" s="319" t="s">
        <v>171</v>
      </c>
      <c r="AH449" s="319" t="s">
        <v>190</v>
      </c>
      <c r="AI449" s="319" t="s">
        <v>190</v>
      </c>
      <c r="AJ449" s="319" t="s">
        <v>190</v>
      </c>
      <c r="AK449" s="319" t="s">
        <v>190</v>
      </c>
      <c r="AL449" s="319" t="s">
        <v>190</v>
      </c>
      <c r="AM449" s="319" t="s">
        <v>190</v>
      </c>
      <c r="AN449" s="319" t="s">
        <v>190</v>
      </c>
      <c r="AO449" s="319" t="s">
        <v>190</v>
      </c>
      <c r="AP449" s="319" t="s">
        <v>190</v>
      </c>
      <c r="AQ449" s="319" t="s">
        <v>190</v>
      </c>
      <c r="AR449" s="319" t="s">
        <v>190</v>
      </c>
      <c r="AS449" s="319" t="s">
        <v>190</v>
      </c>
      <c r="AT449" s="319" t="s">
        <v>190</v>
      </c>
      <c r="AU449" s="319" t="s">
        <v>190</v>
      </c>
      <c r="AV449" s="319" t="s">
        <v>190</v>
      </c>
      <c r="AW449" s="319" t="s">
        <v>190</v>
      </c>
      <c r="AX449" s="319" t="s">
        <v>428</v>
      </c>
      <c r="AY449" s="319" t="s">
        <v>190</v>
      </c>
      <c r="AZ449" s="319" t="s">
        <v>190</v>
      </c>
      <c r="BA449" s="319" t="s">
        <v>190</v>
      </c>
      <c r="BB449" s="319" t="s">
        <v>190</v>
      </c>
      <c r="BC449" s="319" t="s">
        <v>190</v>
      </c>
      <c r="BD449" s="319" t="s">
        <v>190</v>
      </c>
      <c r="BE449" s="319" t="s">
        <v>190</v>
      </c>
      <c r="BF449" s="319" t="s">
        <v>190</v>
      </c>
      <c r="BG449" s="319" t="s">
        <v>428</v>
      </c>
      <c r="BH449" s="319" t="s">
        <v>190</v>
      </c>
      <c r="BI449" s="319" t="s">
        <v>190</v>
      </c>
      <c r="BJ449" s="319" t="s">
        <v>190</v>
      </c>
      <c r="BK449" s="319" t="s">
        <v>190</v>
      </c>
      <c r="BL449" s="319" t="s">
        <v>190</v>
      </c>
      <c r="BM449" s="319" t="s">
        <v>190</v>
      </c>
      <c r="BN449" s="319" t="s">
        <v>190</v>
      </c>
      <c r="BO449" s="319" t="s">
        <v>190</v>
      </c>
      <c r="BP449" s="319" t="s">
        <v>190</v>
      </c>
      <c r="BQ449" s="319" t="s">
        <v>190</v>
      </c>
      <c r="BR449" s="319" t="s">
        <v>190</v>
      </c>
      <c r="BS449" s="319" t="s">
        <v>190</v>
      </c>
      <c r="BT449" s="319" t="s">
        <v>190</v>
      </c>
      <c r="BU449" s="319" t="s">
        <v>190</v>
      </c>
      <c r="BV449" s="319" t="s">
        <v>190</v>
      </c>
      <c r="BW449" s="319" t="s">
        <v>190</v>
      </c>
      <c r="BX449" s="319" t="s">
        <v>190</v>
      </c>
      <c r="BY449" s="319" t="s">
        <v>190</v>
      </c>
      <c r="BZ449" s="319" t="s">
        <v>190</v>
      </c>
      <c r="CA449" s="319" t="s">
        <v>190</v>
      </c>
      <c r="CB449" s="319" t="s">
        <v>190</v>
      </c>
      <c r="CC449" s="319" t="s">
        <v>190</v>
      </c>
      <c r="CD449" s="319" t="s">
        <v>190</v>
      </c>
      <c r="CE449" s="319" t="s">
        <v>190</v>
      </c>
      <c r="CF449" s="319" t="s">
        <v>190</v>
      </c>
      <c r="CG449" s="319" t="s">
        <v>190</v>
      </c>
      <c r="CH449" s="319" t="s">
        <v>190</v>
      </c>
      <c r="CI449" s="319" t="s">
        <v>190</v>
      </c>
      <c r="CJ449" s="319" t="s">
        <v>190</v>
      </c>
      <c r="CK449" s="319" t="s">
        <v>190</v>
      </c>
      <c r="CL449" s="319" t="s">
        <v>190</v>
      </c>
      <c r="CM449" s="319" t="s">
        <v>190</v>
      </c>
      <c r="CN449" s="319" t="s">
        <v>428</v>
      </c>
      <c r="CO449" s="319" t="s">
        <v>428</v>
      </c>
      <c r="CP449" s="319" t="s">
        <v>428</v>
      </c>
      <c r="CQ449" s="319" t="s">
        <v>190</v>
      </c>
      <c r="CR449" s="319" t="s">
        <v>190</v>
      </c>
      <c r="CS449" s="319" t="s">
        <v>190</v>
      </c>
      <c r="CT449" s="319" t="s">
        <v>190</v>
      </c>
      <c r="CU449" s="319" t="s">
        <v>190</v>
      </c>
      <c r="CV449" s="319" t="s">
        <v>190</v>
      </c>
      <c r="CW449" s="319" t="s">
        <v>190</v>
      </c>
      <c r="CX449" s="319" t="s">
        <v>190</v>
      </c>
      <c r="CY449" s="319" t="s">
        <v>190</v>
      </c>
      <c r="CZ449" s="319" t="s">
        <v>190</v>
      </c>
      <c r="DA449" s="319" t="s">
        <v>190</v>
      </c>
      <c r="DB449" s="319" t="s">
        <v>190</v>
      </c>
      <c r="DC449" s="319" t="s">
        <v>190</v>
      </c>
      <c r="DD449" s="319" t="s">
        <v>190</v>
      </c>
      <c r="DE449" s="319" t="s">
        <v>190</v>
      </c>
      <c r="DF449" s="319" t="s">
        <v>190</v>
      </c>
      <c r="DG449" s="319" t="s">
        <v>190</v>
      </c>
      <c r="DH449" s="319" t="s">
        <v>190</v>
      </c>
      <c r="DI449" s="319" t="s">
        <v>190</v>
      </c>
      <c r="DJ449" s="319" t="s">
        <v>190</v>
      </c>
      <c r="DK449" s="319" t="s">
        <v>190</v>
      </c>
      <c r="DL449" s="319" t="s">
        <v>190</v>
      </c>
      <c r="DM449" s="319" t="s">
        <v>428</v>
      </c>
      <c r="DN449" s="319" t="s">
        <v>428</v>
      </c>
      <c r="DO449" s="319" t="s">
        <v>190</v>
      </c>
      <c r="DP449" s="319" t="s">
        <v>428</v>
      </c>
      <c r="DQ449" s="319" t="s">
        <v>428</v>
      </c>
      <c r="DR449" s="319" t="s">
        <v>428</v>
      </c>
      <c r="DS449" s="319" t="s">
        <v>428</v>
      </c>
      <c r="DT449" s="319" t="s">
        <v>428</v>
      </c>
      <c r="DU449" s="319" t="s">
        <v>428</v>
      </c>
      <c r="DV449" s="319" t="s">
        <v>173</v>
      </c>
      <c r="DW449" s="319" t="s">
        <v>428</v>
      </c>
      <c r="DX449" s="319" t="s">
        <v>428</v>
      </c>
      <c r="DY449" s="319" t="s">
        <v>428</v>
      </c>
      <c r="DZ449" s="319" t="s">
        <v>428</v>
      </c>
      <c r="EA449" s="319" t="s">
        <v>428</v>
      </c>
      <c r="EB449" s="319" t="s">
        <v>428</v>
      </c>
      <c r="EC449" s="319" t="s">
        <v>428</v>
      </c>
      <c r="ED449" s="319" t="s">
        <v>428</v>
      </c>
      <c r="EE449" s="319" t="s">
        <v>428</v>
      </c>
      <c r="EF449" s="319" t="s">
        <v>428</v>
      </c>
      <c r="EG449" s="319" t="s">
        <v>428</v>
      </c>
      <c r="EH449" s="319" t="s">
        <v>428</v>
      </c>
      <c r="EI449" s="319" t="s">
        <v>428</v>
      </c>
      <c r="EJ449" s="319" t="s">
        <v>428</v>
      </c>
      <c r="EK449" s="319" t="s">
        <v>428</v>
      </c>
      <c r="EL449" s="319" t="s">
        <v>428</v>
      </c>
      <c r="EM449" s="319" t="s">
        <v>428</v>
      </c>
      <c r="EN449" s="319" t="s">
        <v>190</v>
      </c>
      <c r="EO449" s="319" t="s">
        <v>190</v>
      </c>
      <c r="EP449" s="319" t="s">
        <v>190</v>
      </c>
      <c r="EQ449" s="319" t="s">
        <v>190</v>
      </c>
      <c r="ER449" s="319" t="s">
        <v>190</v>
      </c>
      <c r="ES449" s="319" t="s">
        <v>190</v>
      </c>
      <c r="ET449" s="319" t="s">
        <v>190</v>
      </c>
      <c r="EU449" s="319" t="s">
        <v>190</v>
      </c>
      <c r="EV449" s="319" t="s">
        <v>190</v>
      </c>
      <c r="EW449" s="319" t="s">
        <v>190</v>
      </c>
      <c r="EX449" s="319" t="s">
        <v>190</v>
      </c>
      <c r="EY449" s="319" t="s">
        <v>190</v>
      </c>
      <c r="EZ449" s="319" t="s">
        <v>190</v>
      </c>
      <c r="FA449" s="319" t="s">
        <v>190</v>
      </c>
      <c r="FB449" s="319" t="s">
        <v>428</v>
      </c>
      <c r="FC449" s="319" t="s">
        <v>428</v>
      </c>
      <c r="FD449" s="319" t="s">
        <v>428</v>
      </c>
      <c r="FE449" s="319" t="s">
        <v>428</v>
      </c>
      <c r="FF449" s="319" t="s">
        <v>428</v>
      </c>
      <c r="FG449" s="319" t="s">
        <v>428</v>
      </c>
      <c r="FH449" s="319" t="s">
        <v>428</v>
      </c>
      <c r="FI449" s="319" t="s">
        <v>428</v>
      </c>
      <c r="FJ449" s="319" t="s">
        <v>429</v>
      </c>
      <c r="FK449" s="319" t="s">
        <v>428</v>
      </c>
      <c r="FL449" s="319" t="s">
        <v>190</v>
      </c>
      <c r="FM449" s="319" t="s">
        <v>190</v>
      </c>
      <c r="FN449" s="319" t="s">
        <v>190</v>
      </c>
      <c r="FO449" s="319" t="s">
        <v>190</v>
      </c>
      <c r="FP449" s="319" t="s">
        <v>190</v>
      </c>
      <c r="FQ449" s="319" t="s">
        <v>190</v>
      </c>
      <c r="FR449" s="319" t="s">
        <v>190</v>
      </c>
      <c r="FS449" s="319" t="s">
        <v>428</v>
      </c>
      <c r="FT449" s="319" t="s">
        <v>190</v>
      </c>
      <c r="FU449" s="319" t="s">
        <v>190</v>
      </c>
      <c r="FV449" s="319" t="s">
        <v>190</v>
      </c>
      <c r="FW449" s="319" t="s">
        <v>190</v>
      </c>
      <c r="FX449" s="319" t="s">
        <v>190</v>
      </c>
      <c r="FY449" s="319" t="s">
        <v>190</v>
      </c>
      <c r="FZ449" s="319" t="s">
        <v>190</v>
      </c>
      <c r="GA449" s="319" t="s">
        <v>190</v>
      </c>
      <c r="GB449" s="319" t="s">
        <v>190</v>
      </c>
      <c r="GC449" s="319" t="s">
        <v>190</v>
      </c>
      <c r="GD449" s="319" t="s">
        <v>190</v>
      </c>
      <c r="GE449" s="319" t="s">
        <v>190</v>
      </c>
      <c r="GF449" s="319" t="s">
        <v>190</v>
      </c>
      <c r="GG449" s="319" t="s">
        <v>190</v>
      </c>
      <c r="GH449" s="319" t="s">
        <v>190</v>
      </c>
      <c r="GI449" s="319" t="s">
        <v>190</v>
      </c>
      <c r="GJ449" s="319" t="s">
        <v>190</v>
      </c>
      <c r="GK449" s="319" t="s">
        <v>428</v>
      </c>
      <c r="GL449" s="319" t="s">
        <v>190</v>
      </c>
      <c r="GM449" s="319" t="s">
        <v>190</v>
      </c>
      <c r="GN449" s="319" t="s">
        <v>190</v>
      </c>
      <c r="GO449" s="319" t="s">
        <v>190</v>
      </c>
      <c r="GP449" s="319" t="s">
        <v>190</v>
      </c>
      <c r="GQ449" s="319" t="s">
        <v>428</v>
      </c>
      <c r="GR449" s="319" t="s">
        <v>190</v>
      </c>
      <c r="GS449" s="319" t="s">
        <v>190</v>
      </c>
      <c r="GT449" s="319" t="s">
        <v>428</v>
      </c>
      <c r="GU449" s="319" t="s">
        <v>428</v>
      </c>
      <c r="GV449" s="319" t="s">
        <v>190</v>
      </c>
      <c r="GW449" s="319" t="s">
        <v>190</v>
      </c>
      <c r="GX449" s="319" t="s">
        <v>190</v>
      </c>
      <c r="GY449" s="319" t="s">
        <v>190</v>
      </c>
      <c r="GZ449" s="319" t="s">
        <v>190</v>
      </c>
      <c r="HA449" s="319" t="s">
        <v>428</v>
      </c>
      <c r="HB449" s="319" t="s">
        <v>428</v>
      </c>
      <c r="HC449" s="319" t="s">
        <v>190</v>
      </c>
      <c r="HD449" s="319" t="s">
        <v>190</v>
      </c>
      <c r="HE449" s="319" t="s">
        <v>190</v>
      </c>
      <c r="HF449" s="319" t="s">
        <v>190</v>
      </c>
      <c r="HG449" s="319" t="s">
        <v>190</v>
      </c>
      <c r="HH449" s="319" t="s">
        <v>190</v>
      </c>
      <c r="HI449" s="319" t="s">
        <v>190</v>
      </c>
      <c r="HJ449" s="319" t="s">
        <v>190</v>
      </c>
      <c r="HK449" s="319" t="s">
        <v>190</v>
      </c>
      <c r="HL449" s="319" t="s">
        <v>428</v>
      </c>
      <c r="HM449" s="319" t="s">
        <v>428</v>
      </c>
      <c r="HN449" s="319" t="s">
        <v>428</v>
      </c>
      <c r="HO449" s="319" t="s">
        <v>428</v>
      </c>
      <c r="HP449" s="319" t="s">
        <v>190</v>
      </c>
      <c r="HQ449" s="319" t="s">
        <v>190</v>
      </c>
      <c r="HR449" s="319" t="s">
        <v>190</v>
      </c>
      <c r="HS449" s="319" t="s">
        <v>190</v>
      </c>
      <c r="HT449" s="319" t="s">
        <v>190</v>
      </c>
      <c r="HU449" s="319" t="s">
        <v>190</v>
      </c>
      <c r="HV449" s="319" t="s">
        <v>190</v>
      </c>
      <c r="HW449" s="319" t="s">
        <v>190</v>
      </c>
      <c r="HX449" s="319" t="s">
        <v>190</v>
      </c>
      <c r="HY449" s="319" t="s">
        <v>190</v>
      </c>
      <c r="HZ449" s="319" t="s">
        <v>190</v>
      </c>
      <c r="IA449" s="319" t="s">
        <v>190</v>
      </c>
      <c r="IB449" s="319" t="s">
        <v>190</v>
      </c>
      <c r="IC449" s="319" t="s">
        <v>190</v>
      </c>
      <c r="ID449" s="319" t="s">
        <v>190</v>
      </c>
      <c r="IE449" s="319" t="s">
        <v>190</v>
      </c>
      <c r="IF449" s="319" t="s">
        <v>190</v>
      </c>
      <c r="IG449" s="319" t="s">
        <v>190</v>
      </c>
      <c r="IH449" s="319" t="s">
        <v>191</v>
      </c>
      <c r="II449" s="319" t="s">
        <v>190</v>
      </c>
      <c r="IJ449" s="319">
        <v>10025955</v>
      </c>
      <c r="IK449" s="321">
        <v>42752</v>
      </c>
      <c r="IL449" s="321">
        <v>42754</v>
      </c>
      <c r="IM449" s="321">
        <v>42781</v>
      </c>
      <c r="IN449" s="319">
        <v>3</v>
      </c>
      <c r="IO449" s="319" t="s">
        <v>173</v>
      </c>
      <c r="IP449" s="319" t="s">
        <v>173</v>
      </c>
      <c r="IQ449" s="321" t="s">
        <v>173</v>
      </c>
      <c r="IR449" s="320" t="s">
        <v>173</v>
      </c>
      <c r="IS449" s="322" t="s">
        <v>173</v>
      </c>
      <c r="IT449" s="319" t="s">
        <v>173</v>
      </c>
    </row>
    <row r="450" spans="1:254" s="271" customFormat="1" x14ac:dyDescent="0.25">
      <c r="A450" s="318" t="str">
        <f>HYPERLINK("http://www.ofsted.gov.uk/inspection-reports/find-inspection-report/provider/ELS/134438 ","Ofsted School Webpage")</f>
        <v>Ofsted School Webpage</v>
      </c>
      <c r="B450" s="319">
        <v>134438</v>
      </c>
      <c r="C450" s="319">
        <v>8556020</v>
      </c>
      <c r="D450" s="319" t="s">
        <v>1818</v>
      </c>
      <c r="E450" s="319" t="s">
        <v>168</v>
      </c>
      <c r="F450" s="319" t="s">
        <v>81</v>
      </c>
      <c r="G450" s="319" t="s">
        <v>81</v>
      </c>
      <c r="H450" s="319" t="s">
        <v>81</v>
      </c>
      <c r="I450" s="319" t="s">
        <v>78</v>
      </c>
      <c r="J450" s="319" t="s">
        <v>424</v>
      </c>
      <c r="K450" s="319" t="s">
        <v>506</v>
      </c>
      <c r="L450" s="319" t="s">
        <v>506</v>
      </c>
      <c r="M450" s="319" t="s">
        <v>862</v>
      </c>
      <c r="N450" s="319" t="s">
        <v>3218</v>
      </c>
      <c r="O450" s="319" t="s">
        <v>1819</v>
      </c>
      <c r="P450" s="319">
        <v>53</v>
      </c>
      <c r="Q450" s="319" t="s">
        <v>2776</v>
      </c>
      <c r="R450" s="320">
        <v>10094052</v>
      </c>
      <c r="S450" s="321">
        <v>43605</v>
      </c>
      <c r="T450" s="321">
        <v>43607</v>
      </c>
      <c r="U450" s="321">
        <v>43662</v>
      </c>
      <c r="V450" s="319" t="s">
        <v>425</v>
      </c>
      <c r="W450" s="319" t="s">
        <v>2767</v>
      </c>
      <c r="X450" s="319">
        <v>4</v>
      </c>
      <c r="Y450" s="319" t="s">
        <v>173</v>
      </c>
      <c r="Z450" s="319" t="s">
        <v>173</v>
      </c>
      <c r="AA450" s="319" t="s">
        <v>173</v>
      </c>
      <c r="AB450" s="319">
        <v>4</v>
      </c>
      <c r="AC450" s="319" t="s">
        <v>170</v>
      </c>
      <c r="AD450" s="319" t="s">
        <v>173</v>
      </c>
      <c r="AE450" s="319">
        <v>4</v>
      </c>
      <c r="AF450" s="319" t="s">
        <v>427</v>
      </c>
      <c r="AG450" s="319" t="s">
        <v>172</v>
      </c>
      <c r="AH450" s="319" t="s">
        <v>190</v>
      </c>
      <c r="AI450" s="319" t="s">
        <v>190</v>
      </c>
      <c r="AJ450" s="319" t="s">
        <v>479</v>
      </c>
      <c r="AK450" s="319" t="s">
        <v>190</v>
      </c>
      <c r="AL450" s="319" t="s">
        <v>190</v>
      </c>
      <c r="AM450" s="319" t="s">
        <v>190</v>
      </c>
      <c r="AN450" s="319" t="s">
        <v>190</v>
      </c>
      <c r="AO450" s="319" t="s">
        <v>479</v>
      </c>
      <c r="AP450" s="319" t="s">
        <v>190</v>
      </c>
      <c r="AQ450" s="319" t="s">
        <v>190</v>
      </c>
      <c r="AR450" s="319" t="s">
        <v>190</v>
      </c>
      <c r="AS450" s="319" t="s">
        <v>190</v>
      </c>
      <c r="AT450" s="319" t="s">
        <v>190</v>
      </c>
      <c r="AU450" s="319" t="s">
        <v>190</v>
      </c>
      <c r="AV450" s="319" t="s">
        <v>190</v>
      </c>
      <c r="AW450" s="319" t="s">
        <v>190</v>
      </c>
      <c r="AX450" s="319" t="s">
        <v>428</v>
      </c>
      <c r="AY450" s="319" t="s">
        <v>190</v>
      </c>
      <c r="AZ450" s="319" t="s">
        <v>190</v>
      </c>
      <c r="BA450" s="319" t="s">
        <v>190</v>
      </c>
      <c r="BB450" s="319" t="s">
        <v>190</v>
      </c>
      <c r="BC450" s="319" t="s">
        <v>190</v>
      </c>
      <c r="BD450" s="319" t="s">
        <v>190</v>
      </c>
      <c r="BE450" s="319" t="s">
        <v>190</v>
      </c>
      <c r="BF450" s="319" t="s">
        <v>428</v>
      </c>
      <c r="BG450" s="319" t="s">
        <v>190</v>
      </c>
      <c r="BH450" s="319" t="s">
        <v>190</v>
      </c>
      <c r="BI450" s="319" t="s">
        <v>190</v>
      </c>
      <c r="BJ450" s="319" t="s">
        <v>190</v>
      </c>
      <c r="BK450" s="319" t="s">
        <v>190</v>
      </c>
      <c r="BL450" s="319" t="s">
        <v>190</v>
      </c>
      <c r="BM450" s="319" t="s">
        <v>190</v>
      </c>
      <c r="BN450" s="319" t="s">
        <v>190</v>
      </c>
      <c r="BO450" s="319" t="s">
        <v>190</v>
      </c>
      <c r="BP450" s="319" t="s">
        <v>190</v>
      </c>
      <c r="BQ450" s="319" t="s">
        <v>190</v>
      </c>
      <c r="BR450" s="319" t="s">
        <v>190</v>
      </c>
      <c r="BS450" s="319" t="s">
        <v>190</v>
      </c>
      <c r="BT450" s="319" t="s">
        <v>190</v>
      </c>
      <c r="BU450" s="319" t="s">
        <v>190</v>
      </c>
      <c r="BV450" s="319" t="s">
        <v>190</v>
      </c>
      <c r="BW450" s="319" t="s">
        <v>190</v>
      </c>
      <c r="BX450" s="319" t="s">
        <v>190</v>
      </c>
      <c r="BY450" s="319" t="s">
        <v>190</v>
      </c>
      <c r="BZ450" s="319" t="s">
        <v>190</v>
      </c>
      <c r="CA450" s="319" t="s">
        <v>190</v>
      </c>
      <c r="CB450" s="319" t="s">
        <v>190</v>
      </c>
      <c r="CC450" s="319" t="s">
        <v>190</v>
      </c>
      <c r="CD450" s="319" t="s">
        <v>190</v>
      </c>
      <c r="CE450" s="319" t="s">
        <v>190</v>
      </c>
      <c r="CF450" s="319" t="s">
        <v>190</v>
      </c>
      <c r="CG450" s="319" t="s">
        <v>190</v>
      </c>
      <c r="CH450" s="319" t="s">
        <v>190</v>
      </c>
      <c r="CI450" s="319" t="s">
        <v>190</v>
      </c>
      <c r="CJ450" s="319" t="s">
        <v>190</v>
      </c>
      <c r="CK450" s="319" t="s">
        <v>191</v>
      </c>
      <c r="CL450" s="319" t="s">
        <v>191</v>
      </c>
      <c r="CM450" s="319" t="s">
        <v>191</v>
      </c>
      <c r="CN450" s="319" t="s">
        <v>428</v>
      </c>
      <c r="CO450" s="319" t="s">
        <v>428</v>
      </c>
      <c r="CP450" s="319" t="s">
        <v>428</v>
      </c>
      <c r="CQ450" s="319" t="s">
        <v>190</v>
      </c>
      <c r="CR450" s="319" t="s">
        <v>190</v>
      </c>
      <c r="CS450" s="319" t="s">
        <v>190</v>
      </c>
      <c r="CT450" s="319" t="s">
        <v>190</v>
      </c>
      <c r="CU450" s="319" t="s">
        <v>190</v>
      </c>
      <c r="CV450" s="319" t="s">
        <v>191</v>
      </c>
      <c r="CW450" s="319" t="s">
        <v>190</v>
      </c>
      <c r="CX450" s="319" t="s">
        <v>190</v>
      </c>
      <c r="CY450" s="319" t="s">
        <v>190</v>
      </c>
      <c r="CZ450" s="319" t="s">
        <v>190</v>
      </c>
      <c r="DA450" s="319" t="s">
        <v>191</v>
      </c>
      <c r="DB450" s="319" t="s">
        <v>191</v>
      </c>
      <c r="DC450" s="319" t="s">
        <v>191</v>
      </c>
      <c r="DD450" s="319" t="s">
        <v>190</v>
      </c>
      <c r="DE450" s="319" t="s">
        <v>190</v>
      </c>
      <c r="DF450" s="319" t="s">
        <v>190</v>
      </c>
      <c r="DG450" s="319" t="s">
        <v>190</v>
      </c>
      <c r="DH450" s="319" t="s">
        <v>190</v>
      </c>
      <c r="DI450" s="319" t="s">
        <v>190</v>
      </c>
      <c r="DJ450" s="319" t="s">
        <v>190</v>
      </c>
      <c r="DK450" s="319" t="s">
        <v>190</v>
      </c>
      <c r="DL450" s="319" t="s">
        <v>190</v>
      </c>
      <c r="DM450" s="319" t="s">
        <v>190</v>
      </c>
      <c r="DN450" s="319" t="s">
        <v>428</v>
      </c>
      <c r="DO450" s="319" t="s">
        <v>190</v>
      </c>
      <c r="DP450" s="319" t="s">
        <v>428</v>
      </c>
      <c r="DQ450" s="319" t="s">
        <v>428</v>
      </c>
      <c r="DR450" s="319" t="s">
        <v>428</v>
      </c>
      <c r="DS450" s="319" t="s">
        <v>428</v>
      </c>
      <c r="DT450" s="319" t="s">
        <v>428</v>
      </c>
      <c r="DU450" s="319" t="s">
        <v>428</v>
      </c>
      <c r="DV450" s="319" t="s">
        <v>173</v>
      </c>
      <c r="DW450" s="319" t="s">
        <v>428</v>
      </c>
      <c r="DX450" s="319" t="s">
        <v>428</v>
      </c>
      <c r="DY450" s="319" t="s">
        <v>428</v>
      </c>
      <c r="DZ450" s="319" t="s">
        <v>428</v>
      </c>
      <c r="EA450" s="319" t="s">
        <v>428</v>
      </c>
      <c r="EB450" s="319" t="s">
        <v>428</v>
      </c>
      <c r="EC450" s="319" t="s">
        <v>428</v>
      </c>
      <c r="ED450" s="319" t="s">
        <v>428</v>
      </c>
      <c r="EE450" s="319" t="s">
        <v>190</v>
      </c>
      <c r="EF450" s="319" t="s">
        <v>190</v>
      </c>
      <c r="EG450" s="319" t="s">
        <v>190</v>
      </c>
      <c r="EH450" s="319" t="s">
        <v>190</v>
      </c>
      <c r="EI450" s="319" t="s">
        <v>190</v>
      </c>
      <c r="EJ450" s="319" t="s">
        <v>190</v>
      </c>
      <c r="EK450" s="319" t="s">
        <v>190</v>
      </c>
      <c r="EL450" s="319" t="s">
        <v>190</v>
      </c>
      <c r="EM450" s="319" t="s">
        <v>190</v>
      </c>
      <c r="EN450" s="319" t="s">
        <v>190</v>
      </c>
      <c r="EO450" s="319" t="s">
        <v>190</v>
      </c>
      <c r="EP450" s="319" t="s">
        <v>190</v>
      </c>
      <c r="EQ450" s="319" t="s">
        <v>190</v>
      </c>
      <c r="ER450" s="319" t="s">
        <v>190</v>
      </c>
      <c r="ES450" s="319" t="s">
        <v>190</v>
      </c>
      <c r="ET450" s="319" t="s">
        <v>190</v>
      </c>
      <c r="EU450" s="319" t="s">
        <v>190</v>
      </c>
      <c r="EV450" s="319" t="s">
        <v>190</v>
      </c>
      <c r="EW450" s="319" t="s">
        <v>190</v>
      </c>
      <c r="EX450" s="319" t="s">
        <v>190</v>
      </c>
      <c r="EY450" s="319" t="s">
        <v>190</v>
      </c>
      <c r="EZ450" s="319" t="s">
        <v>190</v>
      </c>
      <c r="FA450" s="319" t="s">
        <v>190</v>
      </c>
      <c r="FB450" s="319" t="s">
        <v>428</v>
      </c>
      <c r="FC450" s="319" t="s">
        <v>428</v>
      </c>
      <c r="FD450" s="319" t="s">
        <v>428</v>
      </c>
      <c r="FE450" s="319" t="s">
        <v>428</v>
      </c>
      <c r="FF450" s="319" t="s">
        <v>428</v>
      </c>
      <c r="FG450" s="319" t="s">
        <v>428</v>
      </c>
      <c r="FH450" s="319" t="s">
        <v>190</v>
      </c>
      <c r="FI450" s="319" t="s">
        <v>428</v>
      </c>
      <c r="FJ450" s="319" t="s">
        <v>429</v>
      </c>
      <c r="FK450" s="319" t="s">
        <v>428</v>
      </c>
      <c r="FL450" s="319" t="s">
        <v>190</v>
      </c>
      <c r="FM450" s="319" t="s">
        <v>190</v>
      </c>
      <c r="FN450" s="319" t="s">
        <v>190</v>
      </c>
      <c r="FO450" s="319" t="s">
        <v>190</v>
      </c>
      <c r="FP450" s="319" t="s">
        <v>190</v>
      </c>
      <c r="FQ450" s="319" t="s">
        <v>190</v>
      </c>
      <c r="FR450" s="319" t="s">
        <v>190</v>
      </c>
      <c r="FS450" s="319" t="s">
        <v>428</v>
      </c>
      <c r="FT450" s="319" t="s">
        <v>190</v>
      </c>
      <c r="FU450" s="319" t="s">
        <v>190</v>
      </c>
      <c r="FV450" s="319" t="s">
        <v>190</v>
      </c>
      <c r="FW450" s="319" t="s">
        <v>190</v>
      </c>
      <c r="FX450" s="319" t="s">
        <v>190</v>
      </c>
      <c r="FY450" s="319" t="s">
        <v>190</v>
      </c>
      <c r="FZ450" s="319" t="s">
        <v>190</v>
      </c>
      <c r="GA450" s="319" t="s">
        <v>190</v>
      </c>
      <c r="GB450" s="319" t="s">
        <v>190</v>
      </c>
      <c r="GC450" s="319" t="s">
        <v>190</v>
      </c>
      <c r="GD450" s="319" t="s">
        <v>190</v>
      </c>
      <c r="GE450" s="319" t="s">
        <v>190</v>
      </c>
      <c r="GF450" s="319" t="s">
        <v>190</v>
      </c>
      <c r="GG450" s="319" t="s">
        <v>190</v>
      </c>
      <c r="GH450" s="319" t="s">
        <v>190</v>
      </c>
      <c r="GI450" s="319" t="s">
        <v>190</v>
      </c>
      <c r="GJ450" s="319" t="s">
        <v>190</v>
      </c>
      <c r="GK450" s="319" t="s">
        <v>428</v>
      </c>
      <c r="GL450" s="319" t="s">
        <v>190</v>
      </c>
      <c r="GM450" s="319" t="s">
        <v>190</v>
      </c>
      <c r="GN450" s="319" t="s">
        <v>190</v>
      </c>
      <c r="GO450" s="319" t="s">
        <v>190</v>
      </c>
      <c r="GP450" s="319" t="s">
        <v>190</v>
      </c>
      <c r="GQ450" s="319" t="s">
        <v>428</v>
      </c>
      <c r="GR450" s="319" t="s">
        <v>190</v>
      </c>
      <c r="GS450" s="319" t="s">
        <v>190</v>
      </c>
      <c r="GT450" s="319" t="s">
        <v>190</v>
      </c>
      <c r="GU450" s="319" t="s">
        <v>190</v>
      </c>
      <c r="GV450" s="319" t="s">
        <v>428</v>
      </c>
      <c r="GW450" s="319" t="s">
        <v>190</v>
      </c>
      <c r="GX450" s="319" t="s">
        <v>190</v>
      </c>
      <c r="GY450" s="319" t="s">
        <v>190</v>
      </c>
      <c r="GZ450" s="319" t="s">
        <v>428</v>
      </c>
      <c r="HA450" s="319" t="s">
        <v>190</v>
      </c>
      <c r="HB450" s="319" t="s">
        <v>190</v>
      </c>
      <c r="HC450" s="319" t="s">
        <v>190</v>
      </c>
      <c r="HD450" s="319" t="s">
        <v>190</v>
      </c>
      <c r="HE450" s="319" t="s">
        <v>190</v>
      </c>
      <c r="HF450" s="319" t="s">
        <v>190</v>
      </c>
      <c r="HG450" s="319" t="s">
        <v>190</v>
      </c>
      <c r="HH450" s="319" t="s">
        <v>190</v>
      </c>
      <c r="HI450" s="319" t="s">
        <v>190</v>
      </c>
      <c r="HJ450" s="319" t="s">
        <v>190</v>
      </c>
      <c r="HK450" s="319" t="s">
        <v>190</v>
      </c>
      <c r="HL450" s="319" t="s">
        <v>428</v>
      </c>
      <c r="HM450" s="319" t="s">
        <v>428</v>
      </c>
      <c r="HN450" s="319" t="s">
        <v>428</v>
      </c>
      <c r="HO450" s="319" t="s">
        <v>428</v>
      </c>
      <c r="HP450" s="319" t="s">
        <v>190</v>
      </c>
      <c r="HQ450" s="319" t="s">
        <v>190</v>
      </c>
      <c r="HR450" s="319" t="s">
        <v>190</v>
      </c>
      <c r="HS450" s="319" t="s">
        <v>190</v>
      </c>
      <c r="HT450" s="319" t="s">
        <v>190</v>
      </c>
      <c r="HU450" s="319" t="s">
        <v>190</v>
      </c>
      <c r="HV450" s="319" t="s">
        <v>190</v>
      </c>
      <c r="HW450" s="319" t="s">
        <v>190</v>
      </c>
      <c r="HX450" s="319" t="s">
        <v>190</v>
      </c>
      <c r="HY450" s="319" t="s">
        <v>190</v>
      </c>
      <c r="HZ450" s="319" t="s">
        <v>190</v>
      </c>
      <c r="IA450" s="319" t="s">
        <v>190</v>
      </c>
      <c r="IB450" s="319" t="s">
        <v>190</v>
      </c>
      <c r="IC450" s="319" t="s">
        <v>190</v>
      </c>
      <c r="ID450" s="319" t="s">
        <v>190</v>
      </c>
      <c r="IE450" s="319" t="s">
        <v>190</v>
      </c>
      <c r="IF450" s="319" t="s">
        <v>191</v>
      </c>
      <c r="IG450" s="319" t="s">
        <v>191</v>
      </c>
      <c r="IH450" s="319" t="s">
        <v>191</v>
      </c>
      <c r="II450" s="319" t="s">
        <v>191</v>
      </c>
      <c r="IJ450" s="319">
        <v>10040612</v>
      </c>
      <c r="IK450" s="321">
        <v>42990</v>
      </c>
      <c r="IL450" s="321">
        <v>42992</v>
      </c>
      <c r="IM450" s="321">
        <v>43020</v>
      </c>
      <c r="IN450" s="319">
        <v>3</v>
      </c>
      <c r="IO450" s="319" t="s">
        <v>173</v>
      </c>
      <c r="IP450" s="319" t="s">
        <v>173</v>
      </c>
      <c r="IQ450" s="321" t="s">
        <v>173</v>
      </c>
      <c r="IR450" s="320" t="s">
        <v>173</v>
      </c>
      <c r="IS450" s="322" t="s">
        <v>173</v>
      </c>
      <c r="IT450" s="319" t="s">
        <v>173</v>
      </c>
    </row>
    <row r="451" spans="1:254" s="271" customFormat="1" x14ac:dyDescent="0.25">
      <c r="A451" s="318" t="str">
        <f>HYPERLINK("http://www.ofsted.gov.uk/inspection-reports/find-inspection-report/provider/ELS/134440 ","Ofsted School Webpage")</f>
        <v>Ofsted School Webpage</v>
      </c>
      <c r="B451" s="319">
        <v>134440</v>
      </c>
      <c r="C451" s="319">
        <v>9266150</v>
      </c>
      <c r="D451" s="319" t="s">
        <v>1820</v>
      </c>
      <c r="E451" s="319" t="s">
        <v>167</v>
      </c>
      <c r="F451" s="319" t="s">
        <v>81</v>
      </c>
      <c r="G451" s="319" t="s">
        <v>81</v>
      </c>
      <c r="H451" s="319" t="s">
        <v>81</v>
      </c>
      <c r="I451" s="319" t="s">
        <v>78</v>
      </c>
      <c r="J451" s="319" t="s">
        <v>424</v>
      </c>
      <c r="K451" s="319" t="s">
        <v>451</v>
      </c>
      <c r="L451" s="319" t="s">
        <v>451</v>
      </c>
      <c r="M451" s="319" t="s">
        <v>463</v>
      </c>
      <c r="N451" s="319" t="s">
        <v>3219</v>
      </c>
      <c r="O451" s="319" t="s">
        <v>1821</v>
      </c>
      <c r="P451" s="319">
        <v>85</v>
      </c>
      <c r="Q451" s="319" t="s">
        <v>2766</v>
      </c>
      <c r="R451" s="320">
        <v>10056565</v>
      </c>
      <c r="S451" s="321">
        <v>43536</v>
      </c>
      <c r="T451" s="321">
        <v>43538</v>
      </c>
      <c r="U451" s="321">
        <v>43587</v>
      </c>
      <c r="V451" s="319" t="s">
        <v>425</v>
      </c>
      <c r="W451" s="319" t="s">
        <v>2767</v>
      </c>
      <c r="X451" s="319">
        <v>3</v>
      </c>
      <c r="Y451" s="319" t="s">
        <v>173</v>
      </c>
      <c r="Z451" s="319" t="s">
        <v>173</v>
      </c>
      <c r="AA451" s="319" t="s">
        <v>173</v>
      </c>
      <c r="AB451" s="319">
        <v>3</v>
      </c>
      <c r="AC451" s="319" t="s">
        <v>169</v>
      </c>
      <c r="AD451" s="319" t="s">
        <v>173</v>
      </c>
      <c r="AE451" s="319" t="s">
        <v>173</v>
      </c>
      <c r="AF451" s="319" t="s">
        <v>427</v>
      </c>
      <c r="AG451" s="319" t="s">
        <v>172</v>
      </c>
      <c r="AH451" s="319" t="s">
        <v>479</v>
      </c>
      <c r="AI451" s="319" t="s">
        <v>190</v>
      </c>
      <c r="AJ451" s="319" t="s">
        <v>479</v>
      </c>
      <c r="AK451" s="319" t="s">
        <v>190</v>
      </c>
      <c r="AL451" s="319" t="s">
        <v>190</v>
      </c>
      <c r="AM451" s="319" t="s">
        <v>190</v>
      </c>
      <c r="AN451" s="319" t="s">
        <v>190</v>
      </c>
      <c r="AO451" s="319" t="s">
        <v>479</v>
      </c>
      <c r="AP451" s="319" t="s">
        <v>190</v>
      </c>
      <c r="AQ451" s="319" t="s">
        <v>190</v>
      </c>
      <c r="AR451" s="319" t="s">
        <v>190</v>
      </c>
      <c r="AS451" s="319" t="s">
        <v>190</v>
      </c>
      <c r="AT451" s="319" t="s">
        <v>190</v>
      </c>
      <c r="AU451" s="319" t="s">
        <v>190</v>
      </c>
      <c r="AV451" s="319" t="s">
        <v>190</v>
      </c>
      <c r="AW451" s="319" t="s">
        <v>190</v>
      </c>
      <c r="AX451" s="319" t="s">
        <v>190</v>
      </c>
      <c r="AY451" s="319" t="s">
        <v>190</v>
      </c>
      <c r="AZ451" s="319" t="s">
        <v>190</v>
      </c>
      <c r="BA451" s="319" t="s">
        <v>190</v>
      </c>
      <c r="BB451" s="319" t="s">
        <v>190</v>
      </c>
      <c r="BC451" s="319" t="s">
        <v>190</v>
      </c>
      <c r="BD451" s="319" t="s">
        <v>190</v>
      </c>
      <c r="BE451" s="319" t="s">
        <v>190</v>
      </c>
      <c r="BF451" s="319" t="s">
        <v>428</v>
      </c>
      <c r="BG451" s="319" t="s">
        <v>428</v>
      </c>
      <c r="BH451" s="319" t="s">
        <v>190</v>
      </c>
      <c r="BI451" s="319" t="s">
        <v>190</v>
      </c>
      <c r="BJ451" s="319" t="s">
        <v>191</v>
      </c>
      <c r="BK451" s="319" t="s">
        <v>191</v>
      </c>
      <c r="BL451" s="319" t="s">
        <v>191</v>
      </c>
      <c r="BM451" s="319" t="s">
        <v>191</v>
      </c>
      <c r="BN451" s="319" t="s">
        <v>191</v>
      </c>
      <c r="BO451" s="319" t="s">
        <v>190</v>
      </c>
      <c r="BP451" s="319" t="s">
        <v>190</v>
      </c>
      <c r="BQ451" s="319" t="s">
        <v>191</v>
      </c>
      <c r="BR451" s="319" t="s">
        <v>191</v>
      </c>
      <c r="BS451" s="319" t="s">
        <v>190</v>
      </c>
      <c r="BT451" s="319" t="s">
        <v>190</v>
      </c>
      <c r="BU451" s="319" t="s">
        <v>190</v>
      </c>
      <c r="BV451" s="319" t="s">
        <v>190</v>
      </c>
      <c r="BW451" s="319" t="s">
        <v>190</v>
      </c>
      <c r="BX451" s="319" t="s">
        <v>190</v>
      </c>
      <c r="BY451" s="319" t="s">
        <v>190</v>
      </c>
      <c r="BZ451" s="319" t="s">
        <v>190</v>
      </c>
      <c r="CA451" s="319" t="s">
        <v>190</v>
      </c>
      <c r="CB451" s="319" t="s">
        <v>190</v>
      </c>
      <c r="CC451" s="319" t="s">
        <v>190</v>
      </c>
      <c r="CD451" s="319" t="s">
        <v>190</v>
      </c>
      <c r="CE451" s="319" t="s">
        <v>190</v>
      </c>
      <c r="CF451" s="319" t="s">
        <v>190</v>
      </c>
      <c r="CG451" s="319" t="s">
        <v>190</v>
      </c>
      <c r="CH451" s="319" t="s">
        <v>190</v>
      </c>
      <c r="CI451" s="319" t="s">
        <v>190</v>
      </c>
      <c r="CJ451" s="319" t="s">
        <v>190</v>
      </c>
      <c r="CK451" s="319" t="s">
        <v>190</v>
      </c>
      <c r="CL451" s="319" t="s">
        <v>190</v>
      </c>
      <c r="CM451" s="319" t="s">
        <v>190</v>
      </c>
      <c r="CN451" s="319" t="s">
        <v>428</v>
      </c>
      <c r="CO451" s="319" t="s">
        <v>428</v>
      </c>
      <c r="CP451" s="319" t="s">
        <v>428</v>
      </c>
      <c r="CQ451" s="319" t="s">
        <v>191</v>
      </c>
      <c r="CR451" s="319" t="s">
        <v>190</v>
      </c>
      <c r="CS451" s="319" t="s">
        <v>191</v>
      </c>
      <c r="CT451" s="319" t="s">
        <v>190</v>
      </c>
      <c r="CU451" s="319" t="s">
        <v>190</v>
      </c>
      <c r="CV451" s="319" t="s">
        <v>190</v>
      </c>
      <c r="CW451" s="319" t="s">
        <v>190</v>
      </c>
      <c r="CX451" s="319" t="s">
        <v>190</v>
      </c>
      <c r="CY451" s="319" t="s">
        <v>190</v>
      </c>
      <c r="CZ451" s="319" t="s">
        <v>190</v>
      </c>
      <c r="DA451" s="319" t="s">
        <v>190</v>
      </c>
      <c r="DB451" s="319" t="s">
        <v>190</v>
      </c>
      <c r="DC451" s="319" t="s">
        <v>190</v>
      </c>
      <c r="DD451" s="319" t="s">
        <v>190</v>
      </c>
      <c r="DE451" s="319" t="s">
        <v>190</v>
      </c>
      <c r="DF451" s="319" t="s">
        <v>190</v>
      </c>
      <c r="DG451" s="319" t="s">
        <v>190</v>
      </c>
      <c r="DH451" s="319" t="s">
        <v>190</v>
      </c>
      <c r="DI451" s="319" t="s">
        <v>190</v>
      </c>
      <c r="DJ451" s="319" t="s">
        <v>190</v>
      </c>
      <c r="DK451" s="319" t="s">
        <v>190</v>
      </c>
      <c r="DL451" s="319" t="s">
        <v>190</v>
      </c>
      <c r="DM451" s="319" t="s">
        <v>190</v>
      </c>
      <c r="DN451" s="319" t="s">
        <v>428</v>
      </c>
      <c r="DO451" s="319" t="s">
        <v>190</v>
      </c>
      <c r="DP451" s="319" t="s">
        <v>190</v>
      </c>
      <c r="DQ451" s="319" t="s">
        <v>190</v>
      </c>
      <c r="DR451" s="319" t="s">
        <v>190</v>
      </c>
      <c r="DS451" s="319" t="s">
        <v>190</v>
      </c>
      <c r="DT451" s="319" t="s">
        <v>190</v>
      </c>
      <c r="DU451" s="319" t="s">
        <v>190</v>
      </c>
      <c r="DV451" s="319" t="s">
        <v>173</v>
      </c>
      <c r="DW451" s="319" t="s">
        <v>190</v>
      </c>
      <c r="DX451" s="319" t="s">
        <v>190</v>
      </c>
      <c r="DY451" s="319" t="s">
        <v>190</v>
      </c>
      <c r="DZ451" s="319" t="s">
        <v>190</v>
      </c>
      <c r="EA451" s="319" t="s">
        <v>190</v>
      </c>
      <c r="EB451" s="319" t="s">
        <v>190</v>
      </c>
      <c r="EC451" s="319" t="s">
        <v>428</v>
      </c>
      <c r="ED451" s="319" t="s">
        <v>190</v>
      </c>
      <c r="EE451" s="319" t="s">
        <v>190</v>
      </c>
      <c r="EF451" s="319" t="s">
        <v>190</v>
      </c>
      <c r="EG451" s="319" t="s">
        <v>190</v>
      </c>
      <c r="EH451" s="319" t="s">
        <v>190</v>
      </c>
      <c r="EI451" s="319" t="s">
        <v>190</v>
      </c>
      <c r="EJ451" s="319" t="s">
        <v>190</v>
      </c>
      <c r="EK451" s="319" t="s">
        <v>190</v>
      </c>
      <c r="EL451" s="319" t="s">
        <v>190</v>
      </c>
      <c r="EM451" s="319" t="s">
        <v>190</v>
      </c>
      <c r="EN451" s="319" t="s">
        <v>190</v>
      </c>
      <c r="EO451" s="319" t="s">
        <v>190</v>
      </c>
      <c r="EP451" s="319" t="s">
        <v>190</v>
      </c>
      <c r="EQ451" s="319" t="s">
        <v>190</v>
      </c>
      <c r="ER451" s="319" t="s">
        <v>190</v>
      </c>
      <c r="ES451" s="319" t="s">
        <v>190</v>
      </c>
      <c r="ET451" s="319" t="s">
        <v>190</v>
      </c>
      <c r="EU451" s="319" t="s">
        <v>190</v>
      </c>
      <c r="EV451" s="319" t="s">
        <v>190</v>
      </c>
      <c r="EW451" s="319" t="s">
        <v>190</v>
      </c>
      <c r="EX451" s="319" t="s">
        <v>190</v>
      </c>
      <c r="EY451" s="319" t="s">
        <v>190</v>
      </c>
      <c r="EZ451" s="319" t="s">
        <v>190</v>
      </c>
      <c r="FA451" s="319" t="s">
        <v>190</v>
      </c>
      <c r="FB451" s="319" t="s">
        <v>190</v>
      </c>
      <c r="FC451" s="319" t="s">
        <v>190</v>
      </c>
      <c r="FD451" s="319" t="s">
        <v>190</v>
      </c>
      <c r="FE451" s="319" t="s">
        <v>190</v>
      </c>
      <c r="FF451" s="319" t="s">
        <v>190</v>
      </c>
      <c r="FG451" s="319" t="s">
        <v>190</v>
      </c>
      <c r="FH451" s="319" t="s">
        <v>190</v>
      </c>
      <c r="FI451" s="319" t="s">
        <v>190</v>
      </c>
      <c r="FJ451" s="319" t="s">
        <v>190</v>
      </c>
      <c r="FK451" s="319" t="s">
        <v>190</v>
      </c>
      <c r="FL451" s="319" t="s">
        <v>190</v>
      </c>
      <c r="FM451" s="319" t="s">
        <v>190</v>
      </c>
      <c r="FN451" s="319" t="s">
        <v>190</v>
      </c>
      <c r="FO451" s="319" t="s">
        <v>190</v>
      </c>
      <c r="FP451" s="319" t="s">
        <v>190</v>
      </c>
      <c r="FQ451" s="319" t="s">
        <v>190</v>
      </c>
      <c r="FR451" s="319" t="s">
        <v>190</v>
      </c>
      <c r="FS451" s="319" t="s">
        <v>190</v>
      </c>
      <c r="FT451" s="319" t="s">
        <v>190</v>
      </c>
      <c r="FU451" s="319" t="s">
        <v>190</v>
      </c>
      <c r="FV451" s="319" t="s">
        <v>190</v>
      </c>
      <c r="FW451" s="319" t="s">
        <v>190</v>
      </c>
      <c r="FX451" s="319" t="s">
        <v>190</v>
      </c>
      <c r="FY451" s="319" t="s">
        <v>190</v>
      </c>
      <c r="FZ451" s="319" t="s">
        <v>190</v>
      </c>
      <c r="GA451" s="319" t="s">
        <v>190</v>
      </c>
      <c r="GB451" s="319" t="s">
        <v>190</v>
      </c>
      <c r="GC451" s="319" t="s">
        <v>190</v>
      </c>
      <c r="GD451" s="319" t="s">
        <v>190</v>
      </c>
      <c r="GE451" s="319" t="s">
        <v>190</v>
      </c>
      <c r="GF451" s="319" t="s">
        <v>190</v>
      </c>
      <c r="GG451" s="319" t="s">
        <v>190</v>
      </c>
      <c r="GH451" s="319" t="s">
        <v>190</v>
      </c>
      <c r="GI451" s="319" t="s">
        <v>190</v>
      </c>
      <c r="GJ451" s="319" t="s">
        <v>190</v>
      </c>
      <c r="GK451" s="319" t="s">
        <v>190</v>
      </c>
      <c r="GL451" s="319" t="s">
        <v>190</v>
      </c>
      <c r="GM451" s="319" t="s">
        <v>190</v>
      </c>
      <c r="GN451" s="319" t="s">
        <v>190</v>
      </c>
      <c r="GO451" s="319" t="s">
        <v>190</v>
      </c>
      <c r="GP451" s="319" t="s">
        <v>190</v>
      </c>
      <c r="GQ451" s="319" t="s">
        <v>190</v>
      </c>
      <c r="GR451" s="319" t="s">
        <v>190</v>
      </c>
      <c r="GS451" s="319" t="s">
        <v>190</v>
      </c>
      <c r="GT451" s="319" t="s">
        <v>190</v>
      </c>
      <c r="GU451" s="319" t="s">
        <v>190</v>
      </c>
      <c r="GV451" s="319" t="s">
        <v>190</v>
      </c>
      <c r="GW451" s="319" t="s">
        <v>190</v>
      </c>
      <c r="GX451" s="319" t="s">
        <v>190</v>
      </c>
      <c r="GY451" s="319" t="s">
        <v>190</v>
      </c>
      <c r="GZ451" s="319" t="s">
        <v>190</v>
      </c>
      <c r="HA451" s="319" t="s">
        <v>190</v>
      </c>
      <c r="HB451" s="319" t="s">
        <v>190</v>
      </c>
      <c r="HC451" s="319" t="s">
        <v>190</v>
      </c>
      <c r="HD451" s="319" t="s">
        <v>190</v>
      </c>
      <c r="HE451" s="319" t="s">
        <v>190</v>
      </c>
      <c r="HF451" s="319" t="s">
        <v>190</v>
      </c>
      <c r="HG451" s="319" t="s">
        <v>190</v>
      </c>
      <c r="HH451" s="319" t="s">
        <v>190</v>
      </c>
      <c r="HI451" s="319" t="s">
        <v>190</v>
      </c>
      <c r="HJ451" s="319" t="s">
        <v>190</v>
      </c>
      <c r="HK451" s="319" t="s">
        <v>190</v>
      </c>
      <c r="HL451" s="319" t="s">
        <v>190</v>
      </c>
      <c r="HM451" s="319" t="s">
        <v>190</v>
      </c>
      <c r="HN451" s="319" t="s">
        <v>190</v>
      </c>
      <c r="HO451" s="319" t="s">
        <v>190</v>
      </c>
      <c r="HP451" s="319" t="s">
        <v>190</v>
      </c>
      <c r="HQ451" s="319" t="s">
        <v>190</v>
      </c>
      <c r="HR451" s="319" t="s">
        <v>190</v>
      </c>
      <c r="HS451" s="319" t="s">
        <v>190</v>
      </c>
      <c r="HT451" s="319" t="s">
        <v>190</v>
      </c>
      <c r="HU451" s="319" t="s">
        <v>190</v>
      </c>
      <c r="HV451" s="319" t="s">
        <v>190</v>
      </c>
      <c r="HW451" s="319" t="s">
        <v>190</v>
      </c>
      <c r="HX451" s="319" t="s">
        <v>190</v>
      </c>
      <c r="HY451" s="319" t="s">
        <v>190</v>
      </c>
      <c r="HZ451" s="319" t="s">
        <v>190</v>
      </c>
      <c r="IA451" s="319" t="s">
        <v>190</v>
      </c>
      <c r="IB451" s="319" t="s">
        <v>190</v>
      </c>
      <c r="IC451" s="319" t="s">
        <v>190</v>
      </c>
      <c r="ID451" s="319" t="s">
        <v>190</v>
      </c>
      <c r="IE451" s="319" t="s">
        <v>190</v>
      </c>
      <c r="IF451" s="319" t="s">
        <v>191</v>
      </c>
      <c r="IG451" s="319" t="s">
        <v>191</v>
      </c>
      <c r="IH451" s="319" t="s">
        <v>191</v>
      </c>
      <c r="II451" s="319" t="s">
        <v>190</v>
      </c>
      <c r="IJ451" s="319">
        <v>10020816</v>
      </c>
      <c r="IK451" s="321">
        <v>42864</v>
      </c>
      <c r="IL451" s="321">
        <v>42866</v>
      </c>
      <c r="IM451" s="321">
        <v>42907</v>
      </c>
      <c r="IN451" s="319">
        <v>3</v>
      </c>
      <c r="IO451" s="319">
        <v>10123916</v>
      </c>
      <c r="IP451" s="319" t="s">
        <v>985</v>
      </c>
      <c r="IQ451" s="321">
        <v>43746</v>
      </c>
      <c r="IR451" s="320" t="s">
        <v>2771</v>
      </c>
      <c r="IS451" s="322">
        <v>43780</v>
      </c>
      <c r="IT451" s="319" t="s">
        <v>166</v>
      </c>
    </row>
    <row r="452" spans="1:254" s="271" customFormat="1" x14ac:dyDescent="0.25">
      <c r="A452" s="318" t="str">
        <f>HYPERLINK("http://www.ofsted.gov.uk/inspection-reports/find-inspection-report/provider/ELS/134469 ","Ofsted School Webpage")</f>
        <v>Ofsted School Webpage</v>
      </c>
      <c r="B452" s="319">
        <v>134469</v>
      </c>
      <c r="C452" s="319">
        <v>3586018</v>
      </c>
      <c r="D452" s="319" t="s">
        <v>1822</v>
      </c>
      <c r="E452" s="319" t="s">
        <v>167</v>
      </c>
      <c r="F452" s="319" t="s">
        <v>72</v>
      </c>
      <c r="G452" s="319" t="s">
        <v>72</v>
      </c>
      <c r="H452" s="319" t="s">
        <v>72</v>
      </c>
      <c r="I452" s="319" t="s">
        <v>72</v>
      </c>
      <c r="J452" s="319" t="s">
        <v>424</v>
      </c>
      <c r="K452" s="319" t="s">
        <v>431</v>
      </c>
      <c r="L452" s="319" t="s">
        <v>431</v>
      </c>
      <c r="M452" s="319" t="s">
        <v>1145</v>
      </c>
      <c r="N452" s="319" t="s">
        <v>3220</v>
      </c>
      <c r="O452" s="319" t="s">
        <v>1823</v>
      </c>
      <c r="P452" s="319">
        <v>205</v>
      </c>
      <c r="Q452" s="319" t="s">
        <v>2766</v>
      </c>
      <c r="R452" s="320">
        <v>10112069</v>
      </c>
      <c r="S452" s="321">
        <v>43774</v>
      </c>
      <c r="T452" s="321">
        <v>43776</v>
      </c>
      <c r="U452" s="321">
        <v>43811</v>
      </c>
      <c r="V452" s="319" t="s">
        <v>425</v>
      </c>
      <c r="W452" s="319" t="s">
        <v>2767</v>
      </c>
      <c r="X452" s="319">
        <v>2</v>
      </c>
      <c r="Y452" s="319">
        <v>2</v>
      </c>
      <c r="Z452" s="319">
        <v>2</v>
      </c>
      <c r="AA452" s="319">
        <v>2</v>
      </c>
      <c r="AB452" s="319">
        <v>2</v>
      </c>
      <c r="AC452" s="319" t="s">
        <v>169</v>
      </c>
      <c r="AD452" s="319">
        <v>2</v>
      </c>
      <c r="AE452" s="319" t="s">
        <v>173</v>
      </c>
      <c r="AF452" s="319" t="s">
        <v>447</v>
      </c>
      <c r="AG452" s="319" t="s">
        <v>171</v>
      </c>
      <c r="AH452" s="319" t="s">
        <v>190</v>
      </c>
      <c r="AI452" s="319" t="s">
        <v>190</v>
      </c>
      <c r="AJ452" s="319" t="s">
        <v>190</v>
      </c>
      <c r="AK452" s="319" t="s">
        <v>190</v>
      </c>
      <c r="AL452" s="319" t="s">
        <v>190</v>
      </c>
      <c r="AM452" s="319" t="s">
        <v>190</v>
      </c>
      <c r="AN452" s="319" t="s">
        <v>190</v>
      </c>
      <c r="AO452" s="319" t="s">
        <v>190</v>
      </c>
      <c r="AP452" s="319" t="s">
        <v>190</v>
      </c>
      <c r="AQ452" s="319" t="s">
        <v>190</v>
      </c>
      <c r="AR452" s="319" t="s">
        <v>190</v>
      </c>
      <c r="AS452" s="319" t="s">
        <v>190</v>
      </c>
      <c r="AT452" s="319" t="s">
        <v>190</v>
      </c>
      <c r="AU452" s="319" t="s">
        <v>190</v>
      </c>
      <c r="AV452" s="319" t="s">
        <v>190</v>
      </c>
      <c r="AW452" s="319" t="s">
        <v>190</v>
      </c>
      <c r="AX452" s="319" t="s">
        <v>428</v>
      </c>
      <c r="AY452" s="319" t="s">
        <v>190</v>
      </c>
      <c r="AZ452" s="319" t="s">
        <v>190</v>
      </c>
      <c r="BA452" s="319" t="s">
        <v>190</v>
      </c>
      <c r="BB452" s="319" t="s">
        <v>190</v>
      </c>
      <c r="BC452" s="319" t="s">
        <v>190</v>
      </c>
      <c r="BD452" s="319" t="s">
        <v>190</v>
      </c>
      <c r="BE452" s="319" t="s">
        <v>190</v>
      </c>
      <c r="BF452" s="319" t="s">
        <v>190</v>
      </c>
      <c r="BG452" s="319" t="s">
        <v>428</v>
      </c>
      <c r="BH452" s="319" t="s">
        <v>190</v>
      </c>
      <c r="BI452" s="319" t="s">
        <v>190</v>
      </c>
      <c r="BJ452" s="319" t="s">
        <v>190</v>
      </c>
      <c r="BK452" s="319" t="s">
        <v>190</v>
      </c>
      <c r="BL452" s="319" t="s">
        <v>190</v>
      </c>
      <c r="BM452" s="319" t="s">
        <v>190</v>
      </c>
      <c r="BN452" s="319" t="s">
        <v>190</v>
      </c>
      <c r="BO452" s="319" t="s">
        <v>190</v>
      </c>
      <c r="BP452" s="319" t="s">
        <v>190</v>
      </c>
      <c r="BQ452" s="319" t="s">
        <v>190</v>
      </c>
      <c r="BR452" s="319" t="s">
        <v>190</v>
      </c>
      <c r="BS452" s="319" t="s">
        <v>190</v>
      </c>
      <c r="BT452" s="319" t="s">
        <v>190</v>
      </c>
      <c r="BU452" s="319" t="s">
        <v>190</v>
      </c>
      <c r="BV452" s="319" t="s">
        <v>190</v>
      </c>
      <c r="BW452" s="319" t="s">
        <v>190</v>
      </c>
      <c r="BX452" s="319" t="s">
        <v>190</v>
      </c>
      <c r="BY452" s="319" t="s">
        <v>190</v>
      </c>
      <c r="BZ452" s="319" t="s">
        <v>190</v>
      </c>
      <c r="CA452" s="319" t="s">
        <v>190</v>
      </c>
      <c r="CB452" s="319" t="s">
        <v>190</v>
      </c>
      <c r="CC452" s="319" t="s">
        <v>190</v>
      </c>
      <c r="CD452" s="319" t="s">
        <v>190</v>
      </c>
      <c r="CE452" s="319" t="s">
        <v>190</v>
      </c>
      <c r="CF452" s="319" t="s">
        <v>190</v>
      </c>
      <c r="CG452" s="319" t="s">
        <v>190</v>
      </c>
      <c r="CH452" s="319" t="s">
        <v>190</v>
      </c>
      <c r="CI452" s="319" t="s">
        <v>190</v>
      </c>
      <c r="CJ452" s="319" t="s">
        <v>190</v>
      </c>
      <c r="CK452" s="319" t="s">
        <v>190</v>
      </c>
      <c r="CL452" s="319" t="s">
        <v>190</v>
      </c>
      <c r="CM452" s="319" t="s">
        <v>190</v>
      </c>
      <c r="CN452" s="319" t="s">
        <v>428</v>
      </c>
      <c r="CO452" s="319" t="s">
        <v>428</v>
      </c>
      <c r="CP452" s="319" t="s">
        <v>428</v>
      </c>
      <c r="CQ452" s="319" t="s">
        <v>190</v>
      </c>
      <c r="CR452" s="319" t="s">
        <v>190</v>
      </c>
      <c r="CS452" s="319" t="s">
        <v>190</v>
      </c>
      <c r="CT452" s="319" t="s">
        <v>190</v>
      </c>
      <c r="CU452" s="319" t="s">
        <v>190</v>
      </c>
      <c r="CV452" s="319" t="s">
        <v>190</v>
      </c>
      <c r="CW452" s="319" t="s">
        <v>190</v>
      </c>
      <c r="CX452" s="319" t="s">
        <v>190</v>
      </c>
      <c r="CY452" s="319" t="s">
        <v>190</v>
      </c>
      <c r="CZ452" s="319" t="s">
        <v>190</v>
      </c>
      <c r="DA452" s="319" t="s">
        <v>190</v>
      </c>
      <c r="DB452" s="319" t="s">
        <v>190</v>
      </c>
      <c r="DC452" s="319" t="s">
        <v>190</v>
      </c>
      <c r="DD452" s="319" t="s">
        <v>190</v>
      </c>
      <c r="DE452" s="319" t="s">
        <v>190</v>
      </c>
      <c r="DF452" s="319" t="s">
        <v>190</v>
      </c>
      <c r="DG452" s="319" t="s">
        <v>190</v>
      </c>
      <c r="DH452" s="319" t="s">
        <v>190</v>
      </c>
      <c r="DI452" s="319" t="s">
        <v>190</v>
      </c>
      <c r="DJ452" s="319" t="s">
        <v>190</v>
      </c>
      <c r="DK452" s="319" t="s">
        <v>190</v>
      </c>
      <c r="DL452" s="319" t="s">
        <v>190</v>
      </c>
      <c r="DM452" s="319" t="s">
        <v>190</v>
      </c>
      <c r="DN452" s="319" t="s">
        <v>428</v>
      </c>
      <c r="DO452" s="319" t="s">
        <v>190</v>
      </c>
      <c r="DP452" s="319" t="s">
        <v>190</v>
      </c>
      <c r="DQ452" s="319" t="s">
        <v>190</v>
      </c>
      <c r="DR452" s="319" t="s">
        <v>190</v>
      </c>
      <c r="DS452" s="319" t="s">
        <v>190</v>
      </c>
      <c r="DT452" s="319" t="s">
        <v>190</v>
      </c>
      <c r="DU452" s="319" t="s">
        <v>190</v>
      </c>
      <c r="DV452" s="319" t="s">
        <v>190</v>
      </c>
      <c r="DW452" s="319" t="s">
        <v>190</v>
      </c>
      <c r="DX452" s="319" t="s">
        <v>190</v>
      </c>
      <c r="DY452" s="319" t="s">
        <v>190</v>
      </c>
      <c r="DZ452" s="319" t="s">
        <v>190</v>
      </c>
      <c r="EA452" s="319" t="s">
        <v>190</v>
      </c>
      <c r="EB452" s="319" t="s">
        <v>190</v>
      </c>
      <c r="EC452" s="319" t="s">
        <v>428</v>
      </c>
      <c r="ED452" s="319" t="s">
        <v>428</v>
      </c>
      <c r="EE452" s="319" t="s">
        <v>190</v>
      </c>
      <c r="EF452" s="319" t="s">
        <v>190</v>
      </c>
      <c r="EG452" s="319" t="s">
        <v>190</v>
      </c>
      <c r="EH452" s="319" t="s">
        <v>190</v>
      </c>
      <c r="EI452" s="319" t="s">
        <v>190</v>
      </c>
      <c r="EJ452" s="319" t="s">
        <v>190</v>
      </c>
      <c r="EK452" s="319" t="s">
        <v>190</v>
      </c>
      <c r="EL452" s="319" t="s">
        <v>428</v>
      </c>
      <c r="EM452" s="319" t="s">
        <v>428</v>
      </c>
      <c r="EN452" s="319" t="s">
        <v>190</v>
      </c>
      <c r="EO452" s="319" t="s">
        <v>190</v>
      </c>
      <c r="EP452" s="319" t="s">
        <v>190</v>
      </c>
      <c r="EQ452" s="319" t="s">
        <v>190</v>
      </c>
      <c r="ER452" s="319" t="s">
        <v>190</v>
      </c>
      <c r="ES452" s="319" t="s">
        <v>190</v>
      </c>
      <c r="ET452" s="319" t="s">
        <v>190</v>
      </c>
      <c r="EU452" s="319" t="s">
        <v>190</v>
      </c>
      <c r="EV452" s="319" t="s">
        <v>190</v>
      </c>
      <c r="EW452" s="319" t="s">
        <v>190</v>
      </c>
      <c r="EX452" s="319" t="s">
        <v>190</v>
      </c>
      <c r="EY452" s="319" t="s">
        <v>190</v>
      </c>
      <c r="EZ452" s="319" t="s">
        <v>190</v>
      </c>
      <c r="FA452" s="319" t="s">
        <v>190</v>
      </c>
      <c r="FB452" s="319" t="s">
        <v>190</v>
      </c>
      <c r="FC452" s="319" t="s">
        <v>190</v>
      </c>
      <c r="FD452" s="319" t="s">
        <v>190</v>
      </c>
      <c r="FE452" s="319" t="s">
        <v>190</v>
      </c>
      <c r="FF452" s="319" t="s">
        <v>190</v>
      </c>
      <c r="FG452" s="319" t="s">
        <v>190</v>
      </c>
      <c r="FH452" s="319" t="s">
        <v>190</v>
      </c>
      <c r="FI452" s="319" t="s">
        <v>190</v>
      </c>
      <c r="FJ452" s="319" t="s">
        <v>190</v>
      </c>
      <c r="FK452" s="319" t="s">
        <v>190</v>
      </c>
      <c r="FL452" s="319" t="s">
        <v>190</v>
      </c>
      <c r="FM452" s="319" t="s">
        <v>190</v>
      </c>
      <c r="FN452" s="319" t="s">
        <v>190</v>
      </c>
      <c r="FO452" s="319" t="s">
        <v>190</v>
      </c>
      <c r="FP452" s="319" t="s">
        <v>190</v>
      </c>
      <c r="FQ452" s="319" t="s">
        <v>190</v>
      </c>
      <c r="FR452" s="319" t="s">
        <v>190</v>
      </c>
      <c r="FS452" s="319" t="s">
        <v>190</v>
      </c>
      <c r="FT452" s="319" t="s">
        <v>428</v>
      </c>
      <c r="FU452" s="319" t="s">
        <v>190</v>
      </c>
      <c r="FV452" s="319" t="s">
        <v>190</v>
      </c>
      <c r="FW452" s="319" t="s">
        <v>190</v>
      </c>
      <c r="FX452" s="319" t="s">
        <v>190</v>
      </c>
      <c r="FY452" s="319" t="s">
        <v>190</v>
      </c>
      <c r="FZ452" s="319" t="s">
        <v>190</v>
      </c>
      <c r="GA452" s="319" t="s">
        <v>190</v>
      </c>
      <c r="GB452" s="319" t="s">
        <v>190</v>
      </c>
      <c r="GC452" s="319" t="s">
        <v>190</v>
      </c>
      <c r="GD452" s="319" t="s">
        <v>190</v>
      </c>
      <c r="GE452" s="319" t="s">
        <v>190</v>
      </c>
      <c r="GF452" s="319" t="s">
        <v>190</v>
      </c>
      <c r="GG452" s="319" t="s">
        <v>190</v>
      </c>
      <c r="GH452" s="319" t="s">
        <v>190</v>
      </c>
      <c r="GI452" s="319" t="s">
        <v>190</v>
      </c>
      <c r="GJ452" s="319" t="s">
        <v>190</v>
      </c>
      <c r="GK452" s="319" t="s">
        <v>428</v>
      </c>
      <c r="GL452" s="319" t="s">
        <v>190</v>
      </c>
      <c r="GM452" s="319" t="s">
        <v>190</v>
      </c>
      <c r="GN452" s="319" t="s">
        <v>190</v>
      </c>
      <c r="GO452" s="319" t="s">
        <v>190</v>
      </c>
      <c r="GP452" s="319" t="s">
        <v>190</v>
      </c>
      <c r="GQ452" s="319" t="s">
        <v>190</v>
      </c>
      <c r="GR452" s="319" t="s">
        <v>190</v>
      </c>
      <c r="GS452" s="319" t="s">
        <v>190</v>
      </c>
      <c r="GT452" s="319" t="s">
        <v>190</v>
      </c>
      <c r="GU452" s="319" t="s">
        <v>190</v>
      </c>
      <c r="GV452" s="319" t="s">
        <v>190</v>
      </c>
      <c r="GW452" s="319" t="s">
        <v>190</v>
      </c>
      <c r="GX452" s="319" t="s">
        <v>190</v>
      </c>
      <c r="GY452" s="319" t="s">
        <v>190</v>
      </c>
      <c r="GZ452" s="319" t="s">
        <v>428</v>
      </c>
      <c r="HA452" s="319" t="s">
        <v>190</v>
      </c>
      <c r="HB452" s="319" t="s">
        <v>190</v>
      </c>
      <c r="HC452" s="319" t="s">
        <v>190</v>
      </c>
      <c r="HD452" s="319" t="s">
        <v>190</v>
      </c>
      <c r="HE452" s="319" t="s">
        <v>190</v>
      </c>
      <c r="HF452" s="319" t="s">
        <v>190</v>
      </c>
      <c r="HG452" s="319" t="s">
        <v>190</v>
      </c>
      <c r="HH452" s="319" t="s">
        <v>190</v>
      </c>
      <c r="HI452" s="319" t="s">
        <v>190</v>
      </c>
      <c r="HJ452" s="319" t="s">
        <v>190</v>
      </c>
      <c r="HK452" s="319" t="s">
        <v>190</v>
      </c>
      <c r="HL452" s="319" t="s">
        <v>428</v>
      </c>
      <c r="HM452" s="319" t="s">
        <v>428</v>
      </c>
      <c r="HN452" s="319" t="s">
        <v>428</v>
      </c>
      <c r="HO452" s="319" t="s">
        <v>428</v>
      </c>
      <c r="HP452" s="319" t="s">
        <v>190</v>
      </c>
      <c r="HQ452" s="319" t="s">
        <v>190</v>
      </c>
      <c r="HR452" s="319" t="s">
        <v>190</v>
      </c>
      <c r="HS452" s="319" t="s">
        <v>190</v>
      </c>
      <c r="HT452" s="319" t="s">
        <v>190</v>
      </c>
      <c r="HU452" s="319" t="s">
        <v>190</v>
      </c>
      <c r="HV452" s="319" t="s">
        <v>190</v>
      </c>
      <c r="HW452" s="319" t="s">
        <v>190</v>
      </c>
      <c r="HX452" s="319" t="s">
        <v>190</v>
      </c>
      <c r="HY452" s="319" t="s">
        <v>190</v>
      </c>
      <c r="HZ452" s="319" t="s">
        <v>190</v>
      </c>
      <c r="IA452" s="319" t="s">
        <v>190</v>
      </c>
      <c r="IB452" s="319" t="s">
        <v>190</v>
      </c>
      <c r="IC452" s="319" t="s">
        <v>190</v>
      </c>
      <c r="ID452" s="319" t="s">
        <v>190</v>
      </c>
      <c r="IE452" s="319" t="s">
        <v>190</v>
      </c>
      <c r="IF452" s="319" t="s">
        <v>190</v>
      </c>
      <c r="IG452" s="319" t="s">
        <v>190</v>
      </c>
      <c r="IH452" s="319" t="s">
        <v>190</v>
      </c>
      <c r="II452" s="319" t="s">
        <v>190</v>
      </c>
      <c r="IJ452" s="319">
        <v>10026011</v>
      </c>
      <c r="IK452" s="321">
        <v>42808</v>
      </c>
      <c r="IL452" s="321">
        <v>42810</v>
      </c>
      <c r="IM452" s="321">
        <v>42830</v>
      </c>
      <c r="IN452" s="319">
        <v>2</v>
      </c>
      <c r="IO452" s="319" t="s">
        <v>173</v>
      </c>
      <c r="IP452" s="319" t="s">
        <v>173</v>
      </c>
      <c r="IQ452" s="321" t="s">
        <v>173</v>
      </c>
      <c r="IR452" s="320" t="s">
        <v>173</v>
      </c>
      <c r="IS452" s="322" t="s">
        <v>173</v>
      </c>
      <c r="IT452" s="319" t="s">
        <v>173</v>
      </c>
    </row>
    <row r="453" spans="1:254" s="271" customFormat="1" x14ac:dyDescent="0.25">
      <c r="A453" s="318" t="str">
        <f>HYPERLINK("http://www.ofsted.gov.uk/inspection-reports/find-inspection-report/provider/ELS/134571 ","Ofsted School Webpage")</f>
        <v>Ofsted School Webpage</v>
      </c>
      <c r="B453" s="319">
        <v>134571</v>
      </c>
      <c r="C453" s="319">
        <v>3306106</v>
      </c>
      <c r="D453" s="319" t="s">
        <v>1824</v>
      </c>
      <c r="E453" s="319" t="s">
        <v>167</v>
      </c>
      <c r="F453" s="319" t="s">
        <v>81</v>
      </c>
      <c r="G453" s="319" t="s">
        <v>72</v>
      </c>
      <c r="H453" s="319" t="s">
        <v>72</v>
      </c>
      <c r="I453" s="319" t="s">
        <v>72</v>
      </c>
      <c r="J453" s="319" t="s">
        <v>424</v>
      </c>
      <c r="K453" s="319" t="s">
        <v>437</v>
      </c>
      <c r="L453" s="319" t="s">
        <v>437</v>
      </c>
      <c r="M453" s="319" t="s">
        <v>813</v>
      </c>
      <c r="N453" s="319" t="s">
        <v>2853</v>
      </c>
      <c r="O453" s="319" t="s">
        <v>1825</v>
      </c>
      <c r="P453" s="319">
        <v>140</v>
      </c>
      <c r="Q453" s="319" t="s">
        <v>2776</v>
      </c>
      <c r="R453" s="320">
        <v>10092451</v>
      </c>
      <c r="S453" s="321">
        <v>43627</v>
      </c>
      <c r="T453" s="321">
        <v>43629</v>
      </c>
      <c r="U453" s="321">
        <v>43662</v>
      </c>
      <c r="V453" s="319" t="s">
        <v>425</v>
      </c>
      <c r="W453" s="319" t="s">
        <v>2767</v>
      </c>
      <c r="X453" s="319">
        <v>4</v>
      </c>
      <c r="Y453" s="319" t="s">
        <v>173</v>
      </c>
      <c r="Z453" s="319" t="s">
        <v>173</v>
      </c>
      <c r="AA453" s="319" t="s">
        <v>173</v>
      </c>
      <c r="AB453" s="319">
        <v>4</v>
      </c>
      <c r="AC453" s="319" t="s">
        <v>170</v>
      </c>
      <c r="AD453" s="319" t="s">
        <v>173</v>
      </c>
      <c r="AE453" s="319">
        <v>4</v>
      </c>
      <c r="AF453" s="319" t="s">
        <v>427</v>
      </c>
      <c r="AG453" s="319" t="s">
        <v>172</v>
      </c>
      <c r="AH453" s="319" t="s">
        <v>479</v>
      </c>
      <c r="AI453" s="319" t="s">
        <v>479</v>
      </c>
      <c r="AJ453" s="319" t="s">
        <v>479</v>
      </c>
      <c r="AK453" s="319" t="s">
        <v>190</v>
      </c>
      <c r="AL453" s="319" t="s">
        <v>479</v>
      </c>
      <c r="AM453" s="319" t="s">
        <v>190</v>
      </c>
      <c r="AN453" s="319" t="s">
        <v>190</v>
      </c>
      <c r="AO453" s="319" t="s">
        <v>479</v>
      </c>
      <c r="AP453" s="319" t="s">
        <v>191</v>
      </c>
      <c r="AQ453" s="319" t="s">
        <v>191</v>
      </c>
      <c r="AR453" s="319" t="s">
        <v>191</v>
      </c>
      <c r="AS453" s="319" t="s">
        <v>191</v>
      </c>
      <c r="AT453" s="319" t="s">
        <v>190</v>
      </c>
      <c r="AU453" s="319" t="s">
        <v>191</v>
      </c>
      <c r="AV453" s="319" t="s">
        <v>191</v>
      </c>
      <c r="AW453" s="319" t="s">
        <v>191</v>
      </c>
      <c r="AX453" s="319" t="s">
        <v>428</v>
      </c>
      <c r="AY453" s="319" t="s">
        <v>191</v>
      </c>
      <c r="AZ453" s="319" t="s">
        <v>191</v>
      </c>
      <c r="BA453" s="319" t="s">
        <v>191</v>
      </c>
      <c r="BB453" s="319" t="s">
        <v>191</v>
      </c>
      <c r="BC453" s="319" t="s">
        <v>191</v>
      </c>
      <c r="BD453" s="319" t="s">
        <v>191</v>
      </c>
      <c r="BE453" s="319" t="s">
        <v>191</v>
      </c>
      <c r="BF453" s="319" t="s">
        <v>428</v>
      </c>
      <c r="BG453" s="319" t="s">
        <v>191</v>
      </c>
      <c r="BH453" s="319" t="s">
        <v>191</v>
      </c>
      <c r="BI453" s="319" t="s">
        <v>191</v>
      </c>
      <c r="BJ453" s="319" t="s">
        <v>191</v>
      </c>
      <c r="BK453" s="319" t="s">
        <v>191</v>
      </c>
      <c r="BL453" s="319" t="s">
        <v>191</v>
      </c>
      <c r="BM453" s="319" t="s">
        <v>191</v>
      </c>
      <c r="BN453" s="319" t="s">
        <v>191</v>
      </c>
      <c r="BO453" s="319" t="s">
        <v>191</v>
      </c>
      <c r="BP453" s="319" t="s">
        <v>191</v>
      </c>
      <c r="BQ453" s="319" t="s">
        <v>191</v>
      </c>
      <c r="BR453" s="319" t="s">
        <v>190</v>
      </c>
      <c r="BS453" s="319" t="s">
        <v>190</v>
      </c>
      <c r="BT453" s="319" t="s">
        <v>191</v>
      </c>
      <c r="BU453" s="319" t="s">
        <v>190</v>
      </c>
      <c r="BV453" s="319" t="s">
        <v>191</v>
      </c>
      <c r="BW453" s="319" t="s">
        <v>191</v>
      </c>
      <c r="BX453" s="319" t="s">
        <v>191</v>
      </c>
      <c r="BY453" s="319" t="s">
        <v>191</v>
      </c>
      <c r="BZ453" s="319" t="s">
        <v>191</v>
      </c>
      <c r="CA453" s="319" t="s">
        <v>191</v>
      </c>
      <c r="CB453" s="319" t="s">
        <v>191</v>
      </c>
      <c r="CC453" s="319" t="s">
        <v>191</v>
      </c>
      <c r="CD453" s="319" t="s">
        <v>191</v>
      </c>
      <c r="CE453" s="319" t="s">
        <v>191</v>
      </c>
      <c r="CF453" s="319" t="s">
        <v>191</v>
      </c>
      <c r="CG453" s="319" t="s">
        <v>191</v>
      </c>
      <c r="CH453" s="319" t="s">
        <v>191</v>
      </c>
      <c r="CI453" s="319" t="s">
        <v>191</v>
      </c>
      <c r="CJ453" s="319" t="s">
        <v>191</v>
      </c>
      <c r="CK453" s="319" t="s">
        <v>191</v>
      </c>
      <c r="CL453" s="319" t="s">
        <v>191</v>
      </c>
      <c r="CM453" s="319" t="s">
        <v>191</v>
      </c>
      <c r="CN453" s="319" t="s">
        <v>428</v>
      </c>
      <c r="CO453" s="319" t="s">
        <v>428</v>
      </c>
      <c r="CP453" s="319" t="s">
        <v>428</v>
      </c>
      <c r="CQ453" s="319" t="s">
        <v>191</v>
      </c>
      <c r="CR453" s="319" t="s">
        <v>190</v>
      </c>
      <c r="CS453" s="319" t="s">
        <v>191</v>
      </c>
      <c r="CT453" s="319" t="s">
        <v>191</v>
      </c>
      <c r="CU453" s="319" t="s">
        <v>190</v>
      </c>
      <c r="CV453" s="319" t="s">
        <v>191</v>
      </c>
      <c r="CW453" s="319" t="s">
        <v>190</v>
      </c>
      <c r="CX453" s="319" t="s">
        <v>190</v>
      </c>
      <c r="CY453" s="319" t="s">
        <v>190</v>
      </c>
      <c r="CZ453" s="319" t="s">
        <v>191</v>
      </c>
      <c r="DA453" s="319" t="s">
        <v>191</v>
      </c>
      <c r="DB453" s="319" t="s">
        <v>191</v>
      </c>
      <c r="DC453" s="319" t="s">
        <v>191</v>
      </c>
      <c r="DD453" s="319" t="s">
        <v>190</v>
      </c>
      <c r="DE453" s="319" t="s">
        <v>190</v>
      </c>
      <c r="DF453" s="319" t="s">
        <v>190</v>
      </c>
      <c r="DG453" s="319" t="s">
        <v>190</v>
      </c>
      <c r="DH453" s="319" t="s">
        <v>190</v>
      </c>
      <c r="DI453" s="319" t="s">
        <v>190</v>
      </c>
      <c r="DJ453" s="319" t="s">
        <v>190</v>
      </c>
      <c r="DK453" s="319" t="s">
        <v>190</v>
      </c>
      <c r="DL453" s="319" t="s">
        <v>190</v>
      </c>
      <c r="DM453" s="319" t="s">
        <v>190</v>
      </c>
      <c r="DN453" s="319" t="s">
        <v>428</v>
      </c>
      <c r="DO453" s="319" t="s">
        <v>190</v>
      </c>
      <c r="DP453" s="319" t="s">
        <v>428</v>
      </c>
      <c r="DQ453" s="319" t="s">
        <v>428</v>
      </c>
      <c r="DR453" s="319" t="s">
        <v>428</v>
      </c>
      <c r="DS453" s="319" t="s">
        <v>428</v>
      </c>
      <c r="DT453" s="319" t="s">
        <v>428</v>
      </c>
      <c r="DU453" s="319" t="s">
        <v>428</v>
      </c>
      <c r="DV453" s="319" t="s">
        <v>173</v>
      </c>
      <c r="DW453" s="319" t="s">
        <v>428</v>
      </c>
      <c r="DX453" s="319" t="s">
        <v>428</v>
      </c>
      <c r="DY453" s="319" t="s">
        <v>428</v>
      </c>
      <c r="DZ453" s="319" t="s">
        <v>428</v>
      </c>
      <c r="EA453" s="319" t="s">
        <v>428</v>
      </c>
      <c r="EB453" s="319" t="s">
        <v>428</v>
      </c>
      <c r="EC453" s="319" t="s">
        <v>428</v>
      </c>
      <c r="ED453" s="319" t="s">
        <v>428</v>
      </c>
      <c r="EE453" s="319" t="s">
        <v>190</v>
      </c>
      <c r="EF453" s="319" t="s">
        <v>190</v>
      </c>
      <c r="EG453" s="319" t="s">
        <v>190</v>
      </c>
      <c r="EH453" s="319" t="s">
        <v>190</v>
      </c>
      <c r="EI453" s="319" t="s">
        <v>190</v>
      </c>
      <c r="EJ453" s="319" t="s">
        <v>190</v>
      </c>
      <c r="EK453" s="319" t="s">
        <v>190</v>
      </c>
      <c r="EL453" s="319" t="s">
        <v>190</v>
      </c>
      <c r="EM453" s="319" t="s">
        <v>190</v>
      </c>
      <c r="EN453" s="319" t="s">
        <v>190</v>
      </c>
      <c r="EO453" s="319" t="s">
        <v>190</v>
      </c>
      <c r="EP453" s="319" t="s">
        <v>190</v>
      </c>
      <c r="EQ453" s="319" t="s">
        <v>190</v>
      </c>
      <c r="ER453" s="319" t="s">
        <v>190</v>
      </c>
      <c r="ES453" s="319" t="s">
        <v>190</v>
      </c>
      <c r="ET453" s="319" t="s">
        <v>190</v>
      </c>
      <c r="EU453" s="319" t="s">
        <v>191</v>
      </c>
      <c r="EV453" s="319" t="s">
        <v>190</v>
      </c>
      <c r="EW453" s="319" t="s">
        <v>190</v>
      </c>
      <c r="EX453" s="319" t="s">
        <v>190</v>
      </c>
      <c r="EY453" s="319" t="s">
        <v>190</v>
      </c>
      <c r="EZ453" s="319" t="s">
        <v>190</v>
      </c>
      <c r="FA453" s="319" t="s">
        <v>190</v>
      </c>
      <c r="FB453" s="319" t="s">
        <v>428</v>
      </c>
      <c r="FC453" s="319" t="s">
        <v>428</v>
      </c>
      <c r="FD453" s="319" t="s">
        <v>428</v>
      </c>
      <c r="FE453" s="319" t="s">
        <v>428</v>
      </c>
      <c r="FF453" s="319" t="s">
        <v>428</v>
      </c>
      <c r="FG453" s="319" t="s">
        <v>428</v>
      </c>
      <c r="FH453" s="319" t="s">
        <v>428</v>
      </c>
      <c r="FI453" s="319" t="s">
        <v>428</v>
      </c>
      <c r="FJ453" s="319" t="s">
        <v>429</v>
      </c>
      <c r="FK453" s="319" t="s">
        <v>428</v>
      </c>
      <c r="FL453" s="319" t="s">
        <v>190</v>
      </c>
      <c r="FM453" s="319" t="s">
        <v>190</v>
      </c>
      <c r="FN453" s="319" t="s">
        <v>190</v>
      </c>
      <c r="FO453" s="319" t="s">
        <v>191</v>
      </c>
      <c r="FP453" s="319" t="s">
        <v>190</v>
      </c>
      <c r="FQ453" s="319" t="s">
        <v>190</v>
      </c>
      <c r="FR453" s="319" t="s">
        <v>190</v>
      </c>
      <c r="FS453" s="319" t="s">
        <v>428</v>
      </c>
      <c r="FT453" s="319" t="s">
        <v>190</v>
      </c>
      <c r="FU453" s="319" t="s">
        <v>191</v>
      </c>
      <c r="FV453" s="319" t="s">
        <v>190</v>
      </c>
      <c r="FW453" s="319" t="s">
        <v>191</v>
      </c>
      <c r="FX453" s="319" t="s">
        <v>190</v>
      </c>
      <c r="FY453" s="319" t="s">
        <v>191</v>
      </c>
      <c r="FZ453" s="319" t="s">
        <v>190</v>
      </c>
      <c r="GA453" s="319" t="s">
        <v>190</v>
      </c>
      <c r="GB453" s="319" t="s">
        <v>190</v>
      </c>
      <c r="GC453" s="319" t="s">
        <v>190</v>
      </c>
      <c r="GD453" s="319" t="s">
        <v>190</v>
      </c>
      <c r="GE453" s="319" t="s">
        <v>190</v>
      </c>
      <c r="GF453" s="319" t="s">
        <v>190</v>
      </c>
      <c r="GG453" s="319" t="s">
        <v>190</v>
      </c>
      <c r="GH453" s="319" t="s">
        <v>191</v>
      </c>
      <c r="GI453" s="319" t="s">
        <v>191</v>
      </c>
      <c r="GJ453" s="319" t="s">
        <v>191</v>
      </c>
      <c r="GK453" s="319" t="s">
        <v>428</v>
      </c>
      <c r="GL453" s="319" t="s">
        <v>190</v>
      </c>
      <c r="GM453" s="319" t="s">
        <v>190</v>
      </c>
      <c r="GN453" s="319" t="s">
        <v>190</v>
      </c>
      <c r="GO453" s="319" t="s">
        <v>190</v>
      </c>
      <c r="GP453" s="319" t="s">
        <v>190</v>
      </c>
      <c r="GQ453" s="319" t="s">
        <v>428</v>
      </c>
      <c r="GR453" s="319" t="s">
        <v>190</v>
      </c>
      <c r="GS453" s="319" t="s">
        <v>190</v>
      </c>
      <c r="GT453" s="319" t="s">
        <v>428</v>
      </c>
      <c r="GU453" s="319" t="s">
        <v>428</v>
      </c>
      <c r="GV453" s="319" t="s">
        <v>428</v>
      </c>
      <c r="GW453" s="319" t="s">
        <v>190</v>
      </c>
      <c r="GX453" s="319" t="s">
        <v>190</v>
      </c>
      <c r="GY453" s="319" t="s">
        <v>190</v>
      </c>
      <c r="GZ453" s="319" t="s">
        <v>428</v>
      </c>
      <c r="HA453" s="319" t="s">
        <v>190</v>
      </c>
      <c r="HB453" s="319" t="s">
        <v>190</v>
      </c>
      <c r="HC453" s="319" t="s">
        <v>190</v>
      </c>
      <c r="HD453" s="319" t="s">
        <v>190</v>
      </c>
      <c r="HE453" s="319" t="s">
        <v>190</v>
      </c>
      <c r="HF453" s="319" t="s">
        <v>428</v>
      </c>
      <c r="HG453" s="319" t="s">
        <v>190</v>
      </c>
      <c r="HH453" s="319" t="s">
        <v>190</v>
      </c>
      <c r="HI453" s="319" t="s">
        <v>190</v>
      </c>
      <c r="HJ453" s="319" t="s">
        <v>190</v>
      </c>
      <c r="HK453" s="319" t="s">
        <v>190</v>
      </c>
      <c r="HL453" s="319" t="s">
        <v>428</v>
      </c>
      <c r="HM453" s="319" t="s">
        <v>428</v>
      </c>
      <c r="HN453" s="319" t="s">
        <v>428</v>
      </c>
      <c r="HO453" s="319" t="s">
        <v>428</v>
      </c>
      <c r="HP453" s="319" t="s">
        <v>190</v>
      </c>
      <c r="HQ453" s="319" t="s">
        <v>190</v>
      </c>
      <c r="HR453" s="319" t="s">
        <v>190</v>
      </c>
      <c r="HS453" s="319" t="s">
        <v>190</v>
      </c>
      <c r="HT453" s="319" t="s">
        <v>190</v>
      </c>
      <c r="HU453" s="319" t="s">
        <v>190</v>
      </c>
      <c r="HV453" s="319" t="s">
        <v>190</v>
      </c>
      <c r="HW453" s="319" t="s">
        <v>190</v>
      </c>
      <c r="HX453" s="319" t="s">
        <v>190</v>
      </c>
      <c r="HY453" s="319" t="s">
        <v>190</v>
      </c>
      <c r="HZ453" s="319" t="s">
        <v>190</v>
      </c>
      <c r="IA453" s="319" t="s">
        <v>190</v>
      </c>
      <c r="IB453" s="319" t="s">
        <v>190</v>
      </c>
      <c r="IC453" s="319" t="s">
        <v>190</v>
      </c>
      <c r="ID453" s="319" t="s">
        <v>190</v>
      </c>
      <c r="IE453" s="319" t="s">
        <v>190</v>
      </c>
      <c r="IF453" s="319" t="s">
        <v>191</v>
      </c>
      <c r="IG453" s="319" t="s">
        <v>191</v>
      </c>
      <c r="IH453" s="319" t="s">
        <v>191</v>
      </c>
      <c r="II453" s="319" t="s">
        <v>191</v>
      </c>
      <c r="IJ453" s="319">
        <v>10033569</v>
      </c>
      <c r="IK453" s="321">
        <v>42927</v>
      </c>
      <c r="IL453" s="321">
        <v>42929</v>
      </c>
      <c r="IM453" s="321">
        <v>42999</v>
      </c>
      <c r="IN453" s="319">
        <v>3</v>
      </c>
      <c r="IO453" s="319">
        <v>10129565</v>
      </c>
      <c r="IP453" s="319" t="s">
        <v>985</v>
      </c>
      <c r="IQ453" s="321">
        <v>43782</v>
      </c>
      <c r="IR453" s="320" t="s">
        <v>2771</v>
      </c>
      <c r="IS453" s="322">
        <v>43809</v>
      </c>
      <c r="IT453" s="319" t="s">
        <v>166</v>
      </c>
    </row>
    <row r="454" spans="1:254" s="271" customFormat="1" x14ac:dyDescent="0.25">
      <c r="A454" s="318" t="str">
        <f>HYPERLINK("http://www.ofsted.gov.uk/inspection-reports/find-inspection-report/provider/ELS/134573 ","Ofsted School Webpage")</f>
        <v>Ofsted School Webpage</v>
      </c>
      <c r="B454" s="319">
        <v>134573</v>
      </c>
      <c r="C454" s="319">
        <v>2106394</v>
      </c>
      <c r="D454" s="319" t="s">
        <v>1826</v>
      </c>
      <c r="E454" s="319" t="s">
        <v>167</v>
      </c>
      <c r="F454" s="319" t="s">
        <v>81</v>
      </c>
      <c r="G454" s="319" t="s">
        <v>81</v>
      </c>
      <c r="H454" s="319" t="s">
        <v>81</v>
      </c>
      <c r="I454" s="319" t="s">
        <v>78</v>
      </c>
      <c r="J454" s="319" t="s">
        <v>424</v>
      </c>
      <c r="K454" s="319" t="s">
        <v>441</v>
      </c>
      <c r="L454" s="319" t="s">
        <v>441</v>
      </c>
      <c r="M454" s="319" t="s">
        <v>1150</v>
      </c>
      <c r="N454" s="319" t="s">
        <v>3203</v>
      </c>
      <c r="O454" s="319" t="s">
        <v>1827</v>
      </c>
      <c r="P454" s="319">
        <v>0</v>
      </c>
      <c r="Q454" s="319" t="s">
        <v>2776</v>
      </c>
      <c r="R454" s="320" t="s">
        <v>1828</v>
      </c>
      <c r="S454" s="321">
        <v>40862</v>
      </c>
      <c r="T454" s="321">
        <v>40863</v>
      </c>
      <c r="U454" s="321">
        <v>40886</v>
      </c>
      <c r="V454" s="319" t="s">
        <v>425</v>
      </c>
      <c r="W454" s="319" t="s">
        <v>2767</v>
      </c>
      <c r="X454" s="319">
        <v>2</v>
      </c>
      <c r="Y454" s="319" t="s">
        <v>173</v>
      </c>
      <c r="Z454" s="319" t="s">
        <v>173</v>
      </c>
      <c r="AA454" s="319" t="s">
        <v>173</v>
      </c>
      <c r="AB454" s="319" t="s">
        <v>173</v>
      </c>
      <c r="AC454" s="319" t="s">
        <v>173</v>
      </c>
      <c r="AD454" s="319">
        <v>8</v>
      </c>
      <c r="AE454" s="319" t="s">
        <v>173</v>
      </c>
      <c r="AF454" s="319" t="s">
        <v>173</v>
      </c>
      <c r="AG454" s="319" t="s">
        <v>172</v>
      </c>
      <c r="AH454" s="319" t="s">
        <v>173</v>
      </c>
      <c r="AI454" s="319" t="s">
        <v>173</v>
      </c>
      <c r="AJ454" s="319" t="s">
        <v>173</v>
      </c>
      <c r="AK454" s="319" t="s">
        <v>173</v>
      </c>
      <c r="AL454" s="319" t="s">
        <v>173</v>
      </c>
      <c r="AM454" s="319" t="s">
        <v>173</v>
      </c>
      <c r="AN454" s="319" t="s">
        <v>173</v>
      </c>
      <c r="AO454" s="319" t="s">
        <v>173</v>
      </c>
      <c r="AP454" s="319" t="s">
        <v>173</v>
      </c>
      <c r="AQ454" s="319" t="s">
        <v>173</v>
      </c>
      <c r="AR454" s="319" t="s">
        <v>173</v>
      </c>
      <c r="AS454" s="319" t="s">
        <v>173</v>
      </c>
      <c r="AT454" s="319" t="s">
        <v>173</v>
      </c>
      <c r="AU454" s="319" t="s">
        <v>173</v>
      </c>
      <c r="AV454" s="319" t="s">
        <v>173</v>
      </c>
      <c r="AW454" s="319" t="s">
        <v>173</v>
      </c>
      <c r="AX454" s="319" t="s">
        <v>173</v>
      </c>
      <c r="AY454" s="319" t="s">
        <v>173</v>
      </c>
      <c r="AZ454" s="319" t="s">
        <v>173</v>
      </c>
      <c r="BA454" s="319" t="s">
        <v>173</v>
      </c>
      <c r="BB454" s="319" t="s">
        <v>173</v>
      </c>
      <c r="BC454" s="319" t="s">
        <v>173</v>
      </c>
      <c r="BD454" s="319" t="s">
        <v>173</v>
      </c>
      <c r="BE454" s="319" t="s">
        <v>173</v>
      </c>
      <c r="BF454" s="319" t="s">
        <v>173</v>
      </c>
      <c r="BG454" s="319" t="s">
        <v>173</v>
      </c>
      <c r="BH454" s="319" t="s">
        <v>173</v>
      </c>
      <c r="BI454" s="319" t="s">
        <v>173</v>
      </c>
      <c r="BJ454" s="319" t="s">
        <v>173</v>
      </c>
      <c r="BK454" s="319" t="s">
        <v>173</v>
      </c>
      <c r="BL454" s="319" t="s">
        <v>173</v>
      </c>
      <c r="BM454" s="319" t="s">
        <v>173</v>
      </c>
      <c r="BN454" s="319" t="s">
        <v>173</v>
      </c>
      <c r="BO454" s="319" t="s">
        <v>173</v>
      </c>
      <c r="BP454" s="319" t="s">
        <v>173</v>
      </c>
      <c r="BQ454" s="319" t="s">
        <v>173</v>
      </c>
      <c r="BR454" s="319" t="s">
        <v>173</v>
      </c>
      <c r="BS454" s="319" t="s">
        <v>173</v>
      </c>
      <c r="BT454" s="319" t="s">
        <v>173</v>
      </c>
      <c r="BU454" s="319" t="s">
        <v>173</v>
      </c>
      <c r="BV454" s="319" t="s">
        <v>173</v>
      </c>
      <c r="BW454" s="319" t="s">
        <v>173</v>
      </c>
      <c r="BX454" s="319" t="s">
        <v>173</v>
      </c>
      <c r="BY454" s="319" t="s">
        <v>173</v>
      </c>
      <c r="BZ454" s="319" t="s">
        <v>173</v>
      </c>
      <c r="CA454" s="319" t="s">
        <v>173</v>
      </c>
      <c r="CB454" s="319" t="s">
        <v>173</v>
      </c>
      <c r="CC454" s="319" t="s">
        <v>173</v>
      </c>
      <c r="CD454" s="319" t="s">
        <v>173</v>
      </c>
      <c r="CE454" s="319" t="s">
        <v>173</v>
      </c>
      <c r="CF454" s="319" t="s">
        <v>173</v>
      </c>
      <c r="CG454" s="319" t="s">
        <v>173</v>
      </c>
      <c r="CH454" s="319" t="s">
        <v>173</v>
      </c>
      <c r="CI454" s="319" t="s">
        <v>173</v>
      </c>
      <c r="CJ454" s="319" t="s">
        <v>173</v>
      </c>
      <c r="CK454" s="319" t="s">
        <v>173</v>
      </c>
      <c r="CL454" s="319" t="s">
        <v>173</v>
      </c>
      <c r="CM454" s="319" t="s">
        <v>173</v>
      </c>
      <c r="CN454" s="319" t="s">
        <v>173</v>
      </c>
      <c r="CO454" s="319" t="s">
        <v>173</v>
      </c>
      <c r="CP454" s="319" t="s">
        <v>173</v>
      </c>
      <c r="CQ454" s="319" t="s">
        <v>173</v>
      </c>
      <c r="CR454" s="319" t="s">
        <v>173</v>
      </c>
      <c r="CS454" s="319" t="s">
        <v>173</v>
      </c>
      <c r="CT454" s="319" t="s">
        <v>173</v>
      </c>
      <c r="CU454" s="319" t="s">
        <v>173</v>
      </c>
      <c r="CV454" s="319" t="s">
        <v>173</v>
      </c>
      <c r="CW454" s="319" t="s">
        <v>173</v>
      </c>
      <c r="CX454" s="319" t="s">
        <v>173</v>
      </c>
      <c r="CY454" s="319" t="s">
        <v>173</v>
      </c>
      <c r="CZ454" s="319" t="s">
        <v>173</v>
      </c>
      <c r="DA454" s="319" t="s">
        <v>173</v>
      </c>
      <c r="DB454" s="319" t="s">
        <v>173</v>
      </c>
      <c r="DC454" s="319" t="s">
        <v>173</v>
      </c>
      <c r="DD454" s="319" t="s">
        <v>173</v>
      </c>
      <c r="DE454" s="319" t="s">
        <v>173</v>
      </c>
      <c r="DF454" s="319" t="s">
        <v>173</v>
      </c>
      <c r="DG454" s="319" t="s">
        <v>173</v>
      </c>
      <c r="DH454" s="319" t="s">
        <v>173</v>
      </c>
      <c r="DI454" s="319" t="s">
        <v>173</v>
      </c>
      <c r="DJ454" s="319" t="s">
        <v>173</v>
      </c>
      <c r="DK454" s="319" t="s">
        <v>173</v>
      </c>
      <c r="DL454" s="319" t="s">
        <v>173</v>
      </c>
      <c r="DM454" s="319" t="s">
        <v>173</v>
      </c>
      <c r="DN454" s="319" t="s">
        <v>173</v>
      </c>
      <c r="DO454" s="319" t="s">
        <v>173</v>
      </c>
      <c r="DP454" s="319" t="s">
        <v>173</v>
      </c>
      <c r="DQ454" s="319" t="s">
        <v>173</v>
      </c>
      <c r="DR454" s="319" t="s">
        <v>173</v>
      </c>
      <c r="DS454" s="319" t="s">
        <v>173</v>
      </c>
      <c r="DT454" s="319" t="s">
        <v>173</v>
      </c>
      <c r="DU454" s="319" t="s">
        <v>173</v>
      </c>
      <c r="DV454" s="319" t="s">
        <v>173</v>
      </c>
      <c r="DW454" s="319" t="s">
        <v>173</v>
      </c>
      <c r="DX454" s="319" t="s">
        <v>173</v>
      </c>
      <c r="DY454" s="319" t="s">
        <v>173</v>
      </c>
      <c r="DZ454" s="319" t="s">
        <v>173</v>
      </c>
      <c r="EA454" s="319" t="s">
        <v>173</v>
      </c>
      <c r="EB454" s="319" t="s">
        <v>173</v>
      </c>
      <c r="EC454" s="319" t="s">
        <v>173</v>
      </c>
      <c r="ED454" s="319" t="s">
        <v>173</v>
      </c>
      <c r="EE454" s="319" t="s">
        <v>173</v>
      </c>
      <c r="EF454" s="319" t="s">
        <v>173</v>
      </c>
      <c r="EG454" s="319" t="s">
        <v>173</v>
      </c>
      <c r="EH454" s="319" t="s">
        <v>173</v>
      </c>
      <c r="EI454" s="319" t="s">
        <v>173</v>
      </c>
      <c r="EJ454" s="319" t="s">
        <v>173</v>
      </c>
      <c r="EK454" s="319" t="s">
        <v>173</v>
      </c>
      <c r="EL454" s="319" t="s">
        <v>173</v>
      </c>
      <c r="EM454" s="319" t="s">
        <v>173</v>
      </c>
      <c r="EN454" s="319" t="s">
        <v>173</v>
      </c>
      <c r="EO454" s="319" t="s">
        <v>173</v>
      </c>
      <c r="EP454" s="319" t="s">
        <v>173</v>
      </c>
      <c r="EQ454" s="319" t="s">
        <v>173</v>
      </c>
      <c r="ER454" s="319" t="s">
        <v>173</v>
      </c>
      <c r="ES454" s="319" t="s">
        <v>173</v>
      </c>
      <c r="ET454" s="319" t="s">
        <v>173</v>
      </c>
      <c r="EU454" s="319" t="s">
        <v>173</v>
      </c>
      <c r="EV454" s="319" t="s">
        <v>173</v>
      </c>
      <c r="EW454" s="319" t="s">
        <v>173</v>
      </c>
      <c r="EX454" s="319" t="s">
        <v>173</v>
      </c>
      <c r="EY454" s="319" t="s">
        <v>173</v>
      </c>
      <c r="EZ454" s="319" t="s">
        <v>173</v>
      </c>
      <c r="FA454" s="319" t="s">
        <v>173</v>
      </c>
      <c r="FB454" s="319" t="s">
        <v>173</v>
      </c>
      <c r="FC454" s="319" t="s">
        <v>173</v>
      </c>
      <c r="FD454" s="319" t="s">
        <v>173</v>
      </c>
      <c r="FE454" s="319" t="s">
        <v>173</v>
      </c>
      <c r="FF454" s="319" t="s">
        <v>173</v>
      </c>
      <c r="FG454" s="319" t="s">
        <v>173</v>
      </c>
      <c r="FH454" s="319" t="s">
        <v>173</v>
      </c>
      <c r="FI454" s="319" t="s">
        <v>173</v>
      </c>
      <c r="FJ454" s="319" t="s">
        <v>173</v>
      </c>
      <c r="FK454" s="319" t="s">
        <v>173</v>
      </c>
      <c r="FL454" s="319" t="s">
        <v>173</v>
      </c>
      <c r="FM454" s="319" t="s">
        <v>173</v>
      </c>
      <c r="FN454" s="319" t="s">
        <v>173</v>
      </c>
      <c r="FO454" s="319" t="s">
        <v>173</v>
      </c>
      <c r="FP454" s="319" t="s">
        <v>173</v>
      </c>
      <c r="FQ454" s="319" t="s">
        <v>173</v>
      </c>
      <c r="FR454" s="319" t="s">
        <v>173</v>
      </c>
      <c r="FS454" s="319" t="s">
        <v>173</v>
      </c>
      <c r="FT454" s="319" t="s">
        <v>173</v>
      </c>
      <c r="FU454" s="319" t="s">
        <v>173</v>
      </c>
      <c r="FV454" s="319" t="s">
        <v>173</v>
      </c>
      <c r="FW454" s="319" t="s">
        <v>173</v>
      </c>
      <c r="FX454" s="319" t="s">
        <v>173</v>
      </c>
      <c r="FY454" s="319" t="s">
        <v>173</v>
      </c>
      <c r="FZ454" s="319" t="s">
        <v>173</v>
      </c>
      <c r="GA454" s="319" t="s">
        <v>173</v>
      </c>
      <c r="GB454" s="319" t="s">
        <v>173</v>
      </c>
      <c r="GC454" s="319" t="s">
        <v>173</v>
      </c>
      <c r="GD454" s="319" t="s">
        <v>173</v>
      </c>
      <c r="GE454" s="319" t="s">
        <v>173</v>
      </c>
      <c r="GF454" s="319" t="s">
        <v>173</v>
      </c>
      <c r="GG454" s="319" t="s">
        <v>173</v>
      </c>
      <c r="GH454" s="319" t="s">
        <v>173</v>
      </c>
      <c r="GI454" s="319" t="s">
        <v>173</v>
      </c>
      <c r="GJ454" s="319" t="s">
        <v>173</v>
      </c>
      <c r="GK454" s="319" t="s">
        <v>173</v>
      </c>
      <c r="GL454" s="319" t="s">
        <v>173</v>
      </c>
      <c r="GM454" s="319" t="s">
        <v>173</v>
      </c>
      <c r="GN454" s="319" t="s">
        <v>173</v>
      </c>
      <c r="GO454" s="319" t="s">
        <v>173</v>
      </c>
      <c r="GP454" s="319" t="s">
        <v>173</v>
      </c>
      <c r="GQ454" s="319" t="s">
        <v>173</v>
      </c>
      <c r="GR454" s="319" t="s">
        <v>173</v>
      </c>
      <c r="GS454" s="319" t="s">
        <v>173</v>
      </c>
      <c r="GT454" s="319" t="s">
        <v>173</v>
      </c>
      <c r="GU454" s="319" t="s">
        <v>173</v>
      </c>
      <c r="GV454" s="319" t="s">
        <v>173</v>
      </c>
      <c r="GW454" s="319" t="s">
        <v>173</v>
      </c>
      <c r="GX454" s="319" t="s">
        <v>173</v>
      </c>
      <c r="GY454" s="319" t="s">
        <v>173</v>
      </c>
      <c r="GZ454" s="319" t="s">
        <v>173</v>
      </c>
      <c r="HA454" s="319" t="s">
        <v>173</v>
      </c>
      <c r="HB454" s="319" t="s">
        <v>173</v>
      </c>
      <c r="HC454" s="319" t="s">
        <v>173</v>
      </c>
      <c r="HD454" s="319" t="s">
        <v>173</v>
      </c>
      <c r="HE454" s="319" t="s">
        <v>173</v>
      </c>
      <c r="HF454" s="319" t="s">
        <v>173</v>
      </c>
      <c r="HG454" s="319" t="s">
        <v>173</v>
      </c>
      <c r="HH454" s="319" t="s">
        <v>173</v>
      </c>
      <c r="HI454" s="319" t="s">
        <v>173</v>
      </c>
      <c r="HJ454" s="319" t="s">
        <v>173</v>
      </c>
      <c r="HK454" s="319" t="s">
        <v>173</v>
      </c>
      <c r="HL454" s="319" t="s">
        <v>173</v>
      </c>
      <c r="HM454" s="319" t="s">
        <v>173</v>
      </c>
      <c r="HN454" s="319" t="s">
        <v>173</v>
      </c>
      <c r="HO454" s="319" t="s">
        <v>173</v>
      </c>
      <c r="HP454" s="319" t="s">
        <v>173</v>
      </c>
      <c r="HQ454" s="319" t="s">
        <v>173</v>
      </c>
      <c r="HR454" s="319" t="s">
        <v>173</v>
      </c>
      <c r="HS454" s="319" t="s">
        <v>173</v>
      </c>
      <c r="HT454" s="319" t="s">
        <v>173</v>
      </c>
      <c r="HU454" s="319" t="s">
        <v>173</v>
      </c>
      <c r="HV454" s="319" t="s">
        <v>173</v>
      </c>
      <c r="HW454" s="319" t="s">
        <v>173</v>
      </c>
      <c r="HX454" s="319" t="s">
        <v>173</v>
      </c>
      <c r="HY454" s="319" t="s">
        <v>173</v>
      </c>
      <c r="HZ454" s="319" t="s">
        <v>173</v>
      </c>
      <c r="IA454" s="319" t="s">
        <v>173</v>
      </c>
      <c r="IB454" s="319" t="s">
        <v>173</v>
      </c>
      <c r="IC454" s="319" t="s">
        <v>173</v>
      </c>
      <c r="ID454" s="319" t="s">
        <v>173</v>
      </c>
      <c r="IE454" s="319" t="s">
        <v>173</v>
      </c>
      <c r="IF454" s="319" t="s">
        <v>173</v>
      </c>
      <c r="IG454" s="319" t="s">
        <v>173</v>
      </c>
      <c r="IH454" s="319" t="s">
        <v>173</v>
      </c>
      <c r="II454" s="319" t="s">
        <v>173</v>
      </c>
      <c r="IJ454" s="319" t="s">
        <v>3221</v>
      </c>
      <c r="IK454" s="321">
        <v>39259</v>
      </c>
      <c r="IL454" s="321">
        <v>39260</v>
      </c>
      <c r="IM454" s="321">
        <v>39289</v>
      </c>
      <c r="IN454" s="319">
        <v>2</v>
      </c>
      <c r="IO454" s="319" t="s">
        <v>173</v>
      </c>
      <c r="IP454" s="319" t="s">
        <v>173</v>
      </c>
      <c r="IQ454" s="321" t="s">
        <v>173</v>
      </c>
      <c r="IR454" s="320" t="s">
        <v>173</v>
      </c>
      <c r="IS454" s="322" t="s">
        <v>173</v>
      </c>
      <c r="IT454" s="319" t="s">
        <v>173</v>
      </c>
    </row>
    <row r="455" spans="1:254" s="271" customFormat="1" x14ac:dyDescent="0.25">
      <c r="A455" s="318" t="str">
        <f>HYPERLINK("http://www.ofsted.gov.uk/inspection-reports/find-inspection-report/provider/ELS/134574 ","Ofsted School Webpage")</f>
        <v>Ofsted School Webpage</v>
      </c>
      <c r="B455" s="319">
        <v>134574</v>
      </c>
      <c r="C455" s="319">
        <v>3736030</v>
      </c>
      <c r="D455" s="319" t="s">
        <v>1829</v>
      </c>
      <c r="E455" s="319" t="s">
        <v>167</v>
      </c>
      <c r="F455" s="319" t="s">
        <v>72</v>
      </c>
      <c r="G455" s="319" t="s">
        <v>72</v>
      </c>
      <c r="H455" s="319" t="s">
        <v>72</v>
      </c>
      <c r="I455" s="319" t="s">
        <v>72</v>
      </c>
      <c r="J455" s="319" t="s">
        <v>424</v>
      </c>
      <c r="K455" s="319" t="s">
        <v>458</v>
      </c>
      <c r="L455" s="319" t="s">
        <v>459</v>
      </c>
      <c r="M455" s="319" t="s">
        <v>486</v>
      </c>
      <c r="N455" s="319" t="s">
        <v>3087</v>
      </c>
      <c r="O455" s="319" t="s">
        <v>1830</v>
      </c>
      <c r="P455" s="319">
        <v>21</v>
      </c>
      <c r="Q455" s="319" t="s">
        <v>2776</v>
      </c>
      <c r="R455" s="320">
        <v>10033918</v>
      </c>
      <c r="S455" s="321">
        <v>43081</v>
      </c>
      <c r="T455" s="321">
        <v>43083</v>
      </c>
      <c r="U455" s="321">
        <v>43129</v>
      </c>
      <c r="V455" s="319" t="s">
        <v>425</v>
      </c>
      <c r="W455" s="319" t="s">
        <v>2767</v>
      </c>
      <c r="X455" s="319">
        <v>2</v>
      </c>
      <c r="Y455" s="319" t="s">
        <v>173</v>
      </c>
      <c r="Z455" s="319" t="s">
        <v>173</v>
      </c>
      <c r="AA455" s="319" t="s">
        <v>173</v>
      </c>
      <c r="AB455" s="319">
        <v>2</v>
      </c>
      <c r="AC455" s="319" t="s">
        <v>169</v>
      </c>
      <c r="AD455" s="319" t="s">
        <v>173</v>
      </c>
      <c r="AE455" s="319" t="s">
        <v>173</v>
      </c>
      <c r="AF455" s="319" t="s">
        <v>427</v>
      </c>
      <c r="AG455" s="319" t="s">
        <v>171</v>
      </c>
      <c r="AH455" s="319" t="s">
        <v>190</v>
      </c>
      <c r="AI455" s="319" t="s">
        <v>190</v>
      </c>
      <c r="AJ455" s="319" t="s">
        <v>190</v>
      </c>
      <c r="AK455" s="319" t="s">
        <v>190</v>
      </c>
      <c r="AL455" s="319" t="s">
        <v>190</v>
      </c>
      <c r="AM455" s="319" t="s">
        <v>190</v>
      </c>
      <c r="AN455" s="319" t="s">
        <v>190</v>
      </c>
      <c r="AO455" s="319" t="s">
        <v>190</v>
      </c>
      <c r="AP455" s="319" t="s">
        <v>190</v>
      </c>
      <c r="AQ455" s="319" t="s">
        <v>190</v>
      </c>
      <c r="AR455" s="319" t="s">
        <v>190</v>
      </c>
      <c r="AS455" s="319" t="s">
        <v>190</v>
      </c>
      <c r="AT455" s="319" t="s">
        <v>190</v>
      </c>
      <c r="AU455" s="319" t="s">
        <v>190</v>
      </c>
      <c r="AV455" s="319" t="s">
        <v>190</v>
      </c>
      <c r="AW455" s="319" t="s">
        <v>190</v>
      </c>
      <c r="AX455" s="319" t="s">
        <v>428</v>
      </c>
      <c r="AY455" s="319" t="s">
        <v>190</v>
      </c>
      <c r="AZ455" s="319" t="s">
        <v>190</v>
      </c>
      <c r="BA455" s="319" t="s">
        <v>190</v>
      </c>
      <c r="BB455" s="319" t="s">
        <v>190</v>
      </c>
      <c r="BC455" s="319" t="s">
        <v>190</v>
      </c>
      <c r="BD455" s="319" t="s">
        <v>190</v>
      </c>
      <c r="BE455" s="319" t="s">
        <v>190</v>
      </c>
      <c r="BF455" s="319" t="s">
        <v>428</v>
      </c>
      <c r="BG455" s="319" t="s">
        <v>428</v>
      </c>
      <c r="BH455" s="319" t="s">
        <v>190</v>
      </c>
      <c r="BI455" s="319" t="s">
        <v>190</v>
      </c>
      <c r="BJ455" s="319" t="s">
        <v>190</v>
      </c>
      <c r="BK455" s="319" t="s">
        <v>190</v>
      </c>
      <c r="BL455" s="319" t="s">
        <v>190</v>
      </c>
      <c r="BM455" s="319" t="s">
        <v>190</v>
      </c>
      <c r="BN455" s="319" t="s">
        <v>190</v>
      </c>
      <c r="BO455" s="319" t="s">
        <v>190</v>
      </c>
      <c r="BP455" s="319" t="s">
        <v>190</v>
      </c>
      <c r="BQ455" s="319" t="s">
        <v>190</v>
      </c>
      <c r="BR455" s="319" t="s">
        <v>190</v>
      </c>
      <c r="BS455" s="319" t="s">
        <v>190</v>
      </c>
      <c r="BT455" s="319" t="s">
        <v>190</v>
      </c>
      <c r="BU455" s="319" t="s">
        <v>190</v>
      </c>
      <c r="BV455" s="319" t="s">
        <v>190</v>
      </c>
      <c r="BW455" s="319" t="s">
        <v>190</v>
      </c>
      <c r="BX455" s="319" t="s">
        <v>190</v>
      </c>
      <c r="BY455" s="319" t="s">
        <v>190</v>
      </c>
      <c r="BZ455" s="319" t="s">
        <v>190</v>
      </c>
      <c r="CA455" s="319" t="s">
        <v>190</v>
      </c>
      <c r="CB455" s="319" t="s">
        <v>190</v>
      </c>
      <c r="CC455" s="319" t="s">
        <v>190</v>
      </c>
      <c r="CD455" s="319" t="s">
        <v>190</v>
      </c>
      <c r="CE455" s="319" t="s">
        <v>190</v>
      </c>
      <c r="CF455" s="319" t="s">
        <v>190</v>
      </c>
      <c r="CG455" s="319" t="s">
        <v>190</v>
      </c>
      <c r="CH455" s="319" t="s">
        <v>190</v>
      </c>
      <c r="CI455" s="319" t="s">
        <v>190</v>
      </c>
      <c r="CJ455" s="319" t="s">
        <v>190</v>
      </c>
      <c r="CK455" s="319" t="s">
        <v>190</v>
      </c>
      <c r="CL455" s="319" t="s">
        <v>190</v>
      </c>
      <c r="CM455" s="319" t="s">
        <v>190</v>
      </c>
      <c r="CN455" s="319" t="s">
        <v>428</v>
      </c>
      <c r="CO455" s="319" t="s">
        <v>428</v>
      </c>
      <c r="CP455" s="319" t="s">
        <v>428</v>
      </c>
      <c r="CQ455" s="319" t="s">
        <v>190</v>
      </c>
      <c r="CR455" s="319" t="s">
        <v>190</v>
      </c>
      <c r="CS455" s="319" t="s">
        <v>190</v>
      </c>
      <c r="CT455" s="319" t="s">
        <v>190</v>
      </c>
      <c r="CU455" s="319" t="s">
        <v>190</v>
      </c>
      <c r="CV455" s="319" t="s">
        <v>190</v>
      </c>
      <c r="CW455" s="319" t="s">
        <v>190</v>
      </c>
      <c r="CX455" s="319" t="s">
        <v>190</v>
      </c>
      <c r="CY455" s="319" t="s">
        <v>190</v>
      </c>
      <c r="CZ455" s="319" t="s">
        <v>190</v>
      </c>
      <c r="DA455" s="319" t="s">
        <v>190</v>
      </c>
      <c r="DB455" s="319" t="s">
        <v>190</v>
      </c>
      <c r="DC455" s="319" t="s">
        <v>190</v>
      </c>
      <c r="DD455" s="319" t="s">
        <v>190</v>
      </c>
      <c r="DE455" s="319" t="s">
        <v>190</v>
      </c>
      <c r="DF455" s="319" t="s">
        <v>190</v>
      </c>
      <c r="DG455" s="319" t="s">
        <v>190</v>
      </c>
      <c r="DH455" s="319" t="s">
        <v>190</v>
      </c>
      <c r="DI455" s="319" t="s">
        <v>190</v>
      </c>
      <c r="DJ455" s="319" t="s">
        <v>190</v>
      </c>
      <c r="DK455" s="319" t="s">
        <v>190</v>
      </c>
      <c r="DL455" s="319" t="s">
        <v>190</v>
      </c>
      <c r="DM455" s="319" t="s">
        <v>428</v>
      </c>
      <c r="DN455" s="319" t="s">
        <v>428</v>
      </c>
      <c r="DO455" s="319" t="s">
        <v>190</v>
      </c>
      <c r="DP455" s="319" t="s">
        <v>428</v>
      </c>
      <c r="DQ455" s="319" t="s">
        <v>428</v>
      </c>
      <c r="DR455" s="319" t="s">
        <v>428</v>
      </c>
      <c r="DS455" s="319" t="s">
        <v>428</v>
      </c>
      <c r="DT455" s="319" t="s">
        <v>428</v>
      </c>
      <c r="DU455" s="319" t="s">
        <v>428</v>
      </c>
      <c r="DV455" s="319" t="s">
        <v>173</v>
      </c>
      <c r="DW455" s="319" t="s">
        <v>428</v>
      </c>
      <c r="DX455" s="319" t="s">
        <v>428</v>
      </c>
      <c r="DY455" s="319" t="s">
        <v>428</v>
      </c>
      <c r="DZ455" s="319" t="s">
        <v>428</v>
      </c>
      <c r="EA455" s="319" t="s">
        <v>428</v>
      </c>
      <c r="EB455" s="319" t="s">
        <v>428</v>
      </c>
      <c r="EC455" s="319" t="s">
        <v>428</v>
      </c>
      <c r="ED455" s="319" t="s">
        <v>428</v>
      </c>
      <c r="EE455" s="319" t="s">
        <v>190</v>
      </c>
      <c r="EF455" s="319" t="s">
        <v>190</v>
      </c>
      <c r="EG455" s="319" t="s">
        <v>190</v>
      </c>
      <c r="EH455" s="319" t="s">
        <v>190</v>
      </c>
      <c r="EI455" s="319" t="s">
        <v>190</v>
      </c>
      <c r="EJ455" s="319" t="s">
        <v>190</v>
      </c>
      <c r="EK455" s="319" t="s">
        <v>190</v>
      </c>
      <c r="EL455" s="319" t="s">
        <v>428</v>
      </c>
      <c r="EM455" s="319" t="s">
        <v>190</v>
      </c>
      <c r="EN455" s="319" t="s">
        <v>190</v>
      </c>
      <c r="EO455" s="319" t="s">
        <v>190</v>
      </c>
      <c r="EP455" s="319" t="s">
        <v>190</v>
      </c>
      <c r="EQ455" s="319" t="s">
        <v>190</v>
      </c>
      <c r="ER455" s="319" t="s">
        <v>190</v>
      </c>
      <c r="ES455" s="319" t="s">
        <v>190</v>
      </c>
      <c r="ET455" s="319" t="s">
        <v>190</v>
      </c>
      <c r="EU455" s="319" t="s">
        <v>190</v>
      </c>
      <c r="EV455" s="319" t="s">
        <v>190</v>
      </c>
      <c r="EW455" s="319" t="s">
        <v>190</v>
      </c>
      <c r="EX455" s="319" t="s">
        <v>190</v>
      </c>
      <c r="EY455" s="319" t="s">
        <v>428</v>
      </c>
      <c r="EZ455" s="319" t="s">
        <v>190</v>
      </c>
      <c r="FA455" s="319" t="s">
        <v>190</v>
      </c>
      <c r="FB455" s="319" t="s">
        <v>428</v>
      </c>
      <c r="FC455" s="319" t="s">
        <v>428</v>
      </c>
      <c r="FD455" s="319" t="s">
        <v>428</v>
      </c>
      <c r="FE455" s="319" t="s">
        <v>428</v>
      </c>
      <c r="FF455" s="319" t="s">
        <v>428</v>
      </c>
      <c r="FG455" s="319" t="s">
        <v>428</v>
      </c>
      <c r="FH455" s="319" t="s">
        <v>428</v>
      </c>
      <c r="FI455" s="319" t="s">
        <v>190</v>
      </c>
      <c r="FJ455" s="319" t="s">
        <v>190</v>
      </c>
      <c r="FK455" s="319" t="s">
        <v>190</v>
      </c>
      <c r="FL455" s="319" t="s">
        <v>190</v>
      </c>
      <c r="FM455" s="319" t="s">
        <v>190</v>
      </c>
      <c r="FN455" s="319" t="s">
        <v>190</v>
      </c>
      <c r="FO455" s="319" t="s">
        <v>190</v>
      </c>
      <c r="FP455" s="319" t="s">
        <v>190</v>
      </c>
      <c r="FQ455" s="319" t="s">
        <v>190</v>
      </c>
      <c r="FR455" s="319" t="s">
        <v>190</v>
      </c>
      <c r="FS455" s="319" t="s">
        <v>428</v>
      </c>
      <c r="FT455" s="319" t="s">
        <v>190</v>
      </c>
      <c r="FU455" s="319" t="s">
        <v>190</v>
      </c>
      <c r="FV455" s="319" t="s">
        <v>190</v>
      </c>
      <c r="FW455" s="319" t="s">
        <v>190</v>
      </c>
      <c r="FX455" s="319" t="s">
        <v>190</v>
      </c>
      <c r="FY455" s="319" t="s">
        <v>190</v>
      </c>
      <c r="FZ455" s="319" t="s">
        <v>190</v>
      </c>
      <c r="GA455" s="319" t="s">
        <v>190</v>
      </c>
      <c r="GB455" s="319" t="s">
        <v>190</v>
      </c>
      <c r="GC455" s="319" t="s">
        <v>190</v>
      </c>
      <c r="GD455" s="319" t="s">
        <v>190</v>
      </c>
      <c r="GE455" s="319" t="s">
        <v>190</v>
      </c>
      <c r="GF455" s="319" t="s">
        <v>190</v>
      </c>
      <c r="GG455" s="319" t="s">
        <v>190</v>
      </c>
      <c r="GH455" s="319" t="s">
        <v>190</v>
      </c>
      <c r="GI455" s="319" t="s">
        <v>190</v>
      </c>
      <c r="GJ455" s="319" t="s">
        <v>190</v>
      </c>
      <c r="GK455" s="319" t="s">
        <v>428</v>
      </c>
      <c r="GL455" s="319" t="s">
        <v>190</v>
      </c>
      <c r="GM455" s="319" t="s">
        <v>190</v>
      </c>
      <c r="GN455" s="319" t="s">
        <v>190</v>
      </c>
      <c r="GO455" s="319" t="s">
        <v>190</v>
      </c>
      <c r="GP455" s="319" t="s">
        <v>190</v>
      </c>
      <c r="GQ455" s="319" t="s">
        <v>428</v>
      </c>
      <c r="GR455" s="319" t="s">
        <v>190</v>
      </c>
      <c r="GS455" s="319" t="s">
        <v>190</v>
      </c>
      <c r="GT455" s="319" t="s">
        <v>428</v>
      </c>
      <c r="GU455" s="319" t="s">
        <v>428</v>
      </c>
      <c r="GV455" s="319" t="s">
        <v>428</v>
      </c>
      <c r="GW455" s="319" t="s">
        <v>190</v>
      </c>
      <c r="GX455" s="319" t="s">
        <v>190</v>
      </c>
      <c r="GY455" s="319" t="s">
        <v>190</v>
      </c>
      <c r="GZ455" s="319" t="s">
        <v>428</v>
      </c>
      <c r="HA455" s="319" t="s">
        <v>190</v>
      </c>
      <c r="HB455" s="319" t="s">
        <v>190</v>
      </c>
      <c r="HC455" s="319" t="s">
        <v>190</v>
      </c>
      <c r="HD455" s="319" t="s">
        <v>190</v>
      </c>
      <c r="HE455" s="319" t="s">
        <v>190</v>
      </c>
      <c r="HF455" s="319" t="s">
        <v>428</v>
      </c>
      <c r="HG455" s="319" t="s">
        <v>190</v>
      </c>
      <c r="HH455" s="319" t="s">
        <v>190</v>
      </c>
      <c r="HI455" s="319" t="s">
        <v>190</v>
      </c>
      <c r="HJ455" s="319" t="s">
        <v>190</v>
      </c>
      <c r="HK455" s="319" t="s">
        <v>190</v>
      </c>
      <c r="HL455" s="319" t="s">
        <v>428</v>
      </c>
      <c r="HM455" s="319" t="s">
        <v>428</v>
      </c>
      <c r="HN455" s="319" t="s">
        <v>428</v>
      </c>
      <c r="HO455" s="319" t="s">
        <v>428</v>
      </c>
      <c r="HP455" s="319" t="s">
        <v>190</v>
      </c>
      <c r="HQ455" s="319" t="s">
        <v>190</v>
      </c>
      <c r="HR455" s="319" t="s">
        <v>190</v>
      </c>
      <c r="HS455" s="319" t="s">
        <v>190</v>
      </c>
      <c r="HT455" s="319" t="s">
        <v>190</v>
      </c>
      <c r="HU455" s="319" t="s">
        <v>190</v>
      </c>
      <c r="HV455" s="319" t="s">
        <v>190</v>
      </c>
      <c r="HW455" s="319" t="s">
        <v>190</v>
      </c>
      <c r="HX455" s="319" t="s">
        <v>190</v>
      </c>
      <c r="HY455" s="319" t="s">
        <v>190</v>
      </c>
      <c r="HZ455" s="319" t="s">
        <v>190</v>
      </c>
      <c r="IA455" s="319" t="s">
        <v>190</v>
      </c>
      <c r="IB455" s="319" t="s">
        <v>190</v>
      </c>
      <c r="IC455" s="319" t="s">
        <v>190</v>
      </c>
      <c r="ID455" s="319" t="s">
        <v>190</v>
      </c>
      <c r="IE455" s="319" t="s">
        <v>190</v>
      </c>
      <c r="IF455" s="319" t="s">
        <v>190</v>
      </c>
      <c r="IG455" s="319" t="s">
        <v>190</v>
      </c>
      <c r="IH455" s="319" t="s">
        <v>190</v>
      </c>
      <c r="II455" s="319" t="s">
        <v>190</v>
      </c>
      <c r="IJ455" s="319" t="s">
        <v>3222</v>
      </c>
      <c r="IK455" s="321">
        <v>42123</v>
      </c>
      <c r="IL455" s="321">
        <v>42125</v>
      </c>
      <c r="IM455" s="321">
        <v>42208</v>
      </c>
      <c r="IN455" s="319">
        <v>4</v>
      </c>
      <c r="IO455" s="319" t="s">
        <v>173</v>
      </c>
      <c r="IP455" s="319" t="s">
        <v>173</v>
      </c>
      <c r="IQ455" s="321" t="s">
        <v>173</v>
      </c>
      <c r="IR455" s="320" t="s">
        <v>173</v>
      </c>
      <c r="IS455" s="322" t="s">
        <v>173</v>
      </c>
      <c r="IT455" s="319" t="s">
        <v>173</v>
      </c>
    </row>
    <row r="456" spans="1:254" s="271" customFormat="1" x14ac:dyDescent="0.25">
      <c r="A456" s="318" t="str">
        <f>HYPERLINK("http://www.ofsted.gov.uk/inspection-reports/find-inspection-report/provider/ELS/134575 ","Ofsted School Webpage")</f>
        <v>Ofsted School Webpage</v>
      </c>
      <c r="B456" s="319">
        <v>134575</v>
      </c>
      <c r="C456" s="319">
        <v>3546006</v>
      </c>
      <c r="D456" s="319" t="s">
        <v>1831</v>
      </c>
      <c r="E456" s="319" t="s">
        <v>167</v>
      </c>
      <c r="F456" s="319" t="s">
        <v>81</v>
      </c>
      <c r="G456" s="319" t="s">
        <v>72</v>
      </c>
      <c r="H456" s="319" t="s">
        <v>72</v>
      </c>
      <c r="I456" s="319" t="s">
        <v>72</v>
      </c>
      <c r="J456" s="319" t="s">
        <v>424</v>
      </c>
      <c r="K456" s="319" t="s">
        <v>431</v>
      </c>
      <c r="L456" s="319" t="s">
        <v>431</v>
      </c>
      <c r="M456" s="319" t="s">
        <v>536</v>
      </c>
      <c r="N456" s="319" t="s">
        <v>536</v>
      </c>
      <c r="O456" s="319" t="s">
        <v>1832</v>
      </c>
      <c r="P456" s="319">
        <v>192</v>
      </c>
      <c r="Q456" s="319" t="s">
        <v>2766</v>
      </c>
      <c r="R456" s="320">
        <v>10034026</v>
      </c>
      <c r="S456" s="321">
        <v>42906</v>
      </c>
      <c r="T456" s="321">
        <v>42908</v>
      </c>
      <c r="U456" s="321">
        <v>42930</v>
      </c>
      <c r="V456" s="319" t="s">
        <v>425</v>
      </c>
      <c r="W456" s="319" t="s">
        <v>2767</v>
      </c>
      <c r="X456" s="319">
        <v>2</v>
      </c>
      <c r="Y456" s="319" t="s">
        <v>173</v>
      </c>
      <c r="Z456" s="319" t="s">
        <v>173</v>
      </c>
      <c r="AA456" s="319" t="s">
        <v>173</v>
      </c>
      <c r="AB456" s="319">
        <v>2</v>
      </c>
      <c r="AC456" s="319" t="s">
        <v>169</v>
      </c>
      <c r="AD456" s="319" t="s">
        <v>173</v>
      </c>
      <c r="AE456" s="319" t="s">
        <v>173</v>
      </c>
      <c r="AF456" s="319" t="s">
        <v>173</v>
      </c>
      <c r="AG456" s="319" t="s">
        <v>171</v>
      </c>
      <c r="AH456" s="319" t="s">
        <v>190</v>
      </c>
      <c r="AI456" s="319" t="s">
        <v>190</v>
      </c>
      <c r="AJ456" s="319" t="s">
        <v>190</v>
      </c>
      <c r="AK456" s="319" t="s">
        <v>190</v>
      </c>
      <c r="AL456" s="319" t="s">
        <v>190</v>
      </c>
      <c r="AM456" s="319" t="s">
        <v>190</v>
      </c>
      <c r="AN456" s="319" t="s">
        <v>190</v>
      </c>
      <c r="AO456" s="319" t="s">
        <v>190</v>
      </c>
      <c r="AP456" s="319" t="s">
        <v>190</v>
      </c>
      <c r="AQ456" s="319" t="s">
        <v>190</v>
      </c>
      <c r="AR456" s="319" t="s">
        <v>190</v>
      </c>
      <c r="AS456" s="319" t="s">
        <v>190</v>
      </c>
      <c r="AT456" s="319" t="s">
        <v>190</v>
      </c>
      <c r="AU456" s="319" t="s">
        <v>190</v>
      </c>
      <c r="AV456" s="319" t="s">
        <v>190</v>
      </c>
      <c r="AW456" s="319" t="s">
        <v>190</v>
      </c>
      <c r="AX456" s="319" t="s">
        <v>190</v>
      </c>
      <c r="AY456" s="319" t="s">
        <v>190</v>
      </c>
      <c r="AZ456" s="319" t="s">
        <v>190</v>
      </c>
      <c r="BA456" s="319" t="s">
        <v>190</v>
      </c>
      <c r="BB456" s="319" t="s">
        <v>190</v>
      </c>
      <c r="BC456" s="319" t="s">
        <v>190</v>
      </c>
      <c r="BD456" s="319" t="s">
        <v>190</v>
      </c>
      <c r="BE456" s="319" t="s">
        <v>190</v>
      </c>
      <c r="BF456" s="319" t="s">
        <v>429</v>
      </c>
      <c r="BG456" s="319" t="s">
        <v>429</v>
      </c>
      <c r="BH456" s="319" t="s">
        <v>190</v>
      </c>
      <c r="BI456" s="319" t="s">
        <v>190</v>
      </c>
      <c r="BJ456" s="319" t="s">
        <v>190</v>
      </c>
      <c r="BK456" s="319" t="s">
        <v>190</v>
      </c>
      <c r="BL456" s="319" t="s">
        <v>190</v>
      </c>
      <c r="BM456" s="319" t="s">
        <v>190</v>
      </c>
      <c r="BN456" s="319" t="s">
        <v>190</v>
      </c>
      <c r="BO456" s="319" t="s">
        <v>190</v>
      </c>
      <c r="BP456" s="319" t="s">
        <v>190</v>
      </c>
      <c r="BQ456" s="319" t="s">
        <v>190</v>
      </c>
      <c r="BR456" s="319" t="s">
        <v>190</v>
      </c>
      <c r="BS456" s="319" t="s">
        <v>190</v>
      </c>
      <c r="BT456" s="319" t="s">
        <v>190</v>
      </c>
      <c r="BU456" s="319" t="s">
        <v>190</v>
      </c>
      <c r="BV456" s="319" t="s">
        <v>190</v>
      </c>
      <c r="BW456" s="319" t="s">
        <v>190</v>
      </c>
      <c r="BX456" s="319" t="s">
        <v>190</v>
      </c>
      <c r="BY456" s="319" t="s">
        <v>190</v>
      </c>
      <c r="BZ456" s="319" t="s">
        <v>190</v>
      </c>
      <c r="CA456" s="319" t="s">
        <v>190</v>
      </c>
      <c r="CB456" s="319" t="s">
        <v>190</v>
      </c>
      <c r="CC456" s="319" t="s">
        <v>190</v>
      </c>
      <c r="CD456" s="319" t="s">
        <v>190</v>
      </c>
      <c r="CE456" s="319" t="s">
        <v>190</v>
      </c>
      <c r="CF456" s="319" t="s">
        <v>190</v>
      </c>
      <c r="CG456" s="319" t="s">
        <v>190</v>
      </c>
      <c r="CH456" s="319" t="s">
        <v>190</v>
      </c>
      <c r="CI456" s="319" t="s">
        <v>190</v>
      </c>
      <c r="CJ456" s="319" t="s">
        <v>190</v>
      </c>
      <c r="CK456" s="319" t="s">
        <v>190</v>
      </c>
      <c r="CL456" s="319" t="s">
        <v>190</v>
      </c>
      <c r="CM456" s="319" t="s">
        <v>190</v>
      </c>
      <c r="CN456" s="319" t="s">
        <v>190</v>
      </c>
      <c r="CO456" s="319" t="s">
        <v>429</v>
      </c>
      <c r="CP456" s="319" t="s">
        <v>429</v>
      </c>
      <c r="CQ456" s="319" t="s">
        <v>190</v>
      </c>
      <c r="CR456" s="319" t="s">
        <v>190</v>
      </c>
      <c r="CS456" s="319" t="s">
        <v>190</v>
      </c>
      <c r="CT456" s="319" t="s">
        <v>190</v>
      </c>
      <c r="CU456" s="319" t="s">
        <v>190</v>
      </c>
      <c r="CV456" s="319" t="s">
        <v>190</v>
      </c>
      <c r="CW456" s="319" t="s">
        <v>190</v>
      </c>
      <c r="CX456" s="319" t="s">
        <v>190</v>
      </c>
      <c r="CY456" s="319" t="s">
        <v>190</v>
      </c>
      <c r="CZ456" s="319" t="s">
        <v>190</v>
      </c>
      <c r="DA456" s="319" t="s">
        <v>190</v>
      </c>
      <c r="DB456" s="319" t="s">
        <v>190</v>
      </c>
      <c r="DC456" s="319" t="s">
        <v>190</v>
      </c>
      <c r="DD456" s="319" t="s">
        <v>190</v>
      </c>
      <c r="DE456" s="319" t="s">
        <v>190</v>
      </c>
      <c r="DF456" s="319" t="s">
        <v>190</v>
      </c>
      <c r="DG456" s="319" t="s">
        <v>190</v>
      </c>
      <c r="DH456" s="319" t="s">
        <v>190</v>
      </c>
      <c r="DI456" s="319" t="s">
        <v>190</v>
      </c>
      <c r="DJ456" s="319" t="s">
        <v>190</v>
      </c>
      <c r="DK456" s="319" t="s">
        <v>190</v>
      </c>
      <c r="DL456" s="319" t="s">
        <v>190</v>
      </c>
      <c r="DM456" s="319" t="s">
        <v>190</v>
      </c>
      <c r="DN456" s="319" t="s">
        <v>190</v>
      </c>
      <c r="DO456" s="319" t="s">
        <v>190</v>
      </c>
      <c r="DP456" s="319" t="s">
        <v>190</v>
      </c>
      <c r="DQ456" s="319" t="s">
        <v>190</v>
      </c>
      <c r="DR456" s="319" t="s">
        <v>190</v>
      </c>
      <c r="DS456" s="319" t="s">
        <v>190</v>
      </c>
      <c r="DT456" s="319" t="s">
        <v>190</v>
      </c>
      <c r="DU456" s="319" t="s">
        <v>190</v>
      </c>
      <c r="DV456" s="319" t="s">
        <v>173</v>
      </c>
      <c r="DW456" s="319" t="s">
        <v>190</v>
      </c>
      <c r="DX456" s="319" t="s">
        <v>190</v>
      </c>
      <c r="DY456" s="319" t="s">
        <v>190</v>
      </c>
      <c r="DZ456" s="319" t="s">
        <v>190</v>
      </c>
      <c r="EA456" s="319" t="s">
        <v>190</v>
      </c>
      <c r="EB456" s="319" t="s">
        <v>190</v>
      </c>
      <c r="EC456" s="319" t="s">
        <v>190</v>
      </c>
      <c r="ED456" s="319" t="s">
        <v>190</v>
      </c>
      <c r="EE456" s="319" t="s">
        <v>190</v>
      </c>
      <c r="EF456" s="319" t="s">
        <v>190</v>
      </c>
      <c r="EG456" s="319" t="s">
        <v>190</v>
      </c>
      <c r="EH456" s="319" t="s">
        <v>190</v>
      </c>
      <c r="EI456" s="319" t="s">
        <v>190</v>
      </c>
      <c r="EJ456" s="319" t="s">
        <v>190</v>
      </c>
      <c r="EK456" s="319" t="s">
        <v>190</v>
      </c>
      <c r="EL456" s="319" t="s">
        <v>190</v>
      </c>
      <c r="EM456" s="319" t="s">
        <v>190</v>
      </c>
      <c r="EN456" s="319" t="s">
        <v>190</v>
      </c>
      <c r="EO456" s="319" t="s">
        <v>190</v>
      </c>
      <c r="EP456" s="319" t="s">
        <v>190</v>
      </c>
      <c r="EQ456" s="319" t="s">
        <v>190</v>
      </c>
      <c r="ER456" s="319" t="s">
        <v>190</v>
      </c>
      <c r="ES456" s="319" t="s">
        <v>190</v>
      </c>
      <c r="ET456" s="319" t="s">
        <v>190</v>
      </c>
      <c r="EU456" s="319" t="s">
        <v>190</v>
      </c>
      <c r="EV456" s="319" t="s">
        <v>190</v>
      </c>
      <c r="EW456" s="319" t="s">
        <v>190</v>
      </c>
      <c r="EX456" s="319" t="s">
        <v>190</v>
      </c>
      <c r="EY456" s="319" t="s">
        <v>190</v>
      </c>
      <c r="EZ456" s="319" t="s">
        <v>190</v>
      </c>
      <c r="FA456" s="319" t="s">
        <v>190</v>
      </c>
      <c r="FB456" s="319" t="s">
        <v>190</v>
      </c>
      <c r="FC456" s="319" t="s">
        <v>190</v>
      </c>
      <c r="FD456" s="319" t="s">
        <v>190</v>
      </c>
      <c r="FE456" s="319" t="s">
        <v>190</v>
      </c>
      <c r="FF456" s="319" t="s">
        <v>190</v>
      </c>
      <c r="FG456" s="319" t="s">
        <v>190</v>
      </c>
      <c r="FH456" s="319" t="s">
        <v>190</v>
      </c>
      <c r="FI456" s="319" t="s">
        <v>190</v>
      </c>
      <c r="FJ456" s="319" t="s">
        <v>190</v>
      </c>
      <c r="FK456" s="319" t="s">
        <v>190</v>
      </c>
      <c r="FL456" s="319" t="s">
        <v>190</v>
      </c>
      <c r="FM456" s="319" t="s">
        <v>190</v>
      </c>
      <c r="FN456" s="319" t="s">
        <v>190</v>
      </c>
      <c r="FO456" s="319" t="s">
        <v>190</v>
      </c>
      <c r="FP456" s="319" t="s">
        <v>190</v>
      </c>
      <c r="FQ456" s="319" t="s">
        <v>190</v>
      </c>
      <c r="FR456" s="319" t="s">
        <v>190</v>
      </c>
      <c r="FS456" s="319" t="s">
        <v>190</v>
      </c>
      <c r="FT456" s="319" t="s">
        <v>190</v>
      </c>
      <c r="FU456" s="319" t="s">
        <v>190</v>
      </c>
      <c r="FV456" s="319" t="s">
        <v>190</v>
      </c>
      <c r="FW456" s="319" t="s">
        <v>190</v>
      </c>
      <c r="FX456" s="319" t="s">
        <v>190</v>
      </c>
      <c r="FY456" s="319" t="s">
        <v>190</v>
      </c>
      <c r="FZ456" s="319" t="s">
        <v>190</v>
      </c>
      <c r="GA456" s="319" t="s">
        <v>190</v>
      </c>
      <c r="GB456" s="319" t="s">
        <v>190</v>
      </c>
      <c r="GC456" s="319" t="s">
        <v>190</v>
      </c>
      <c r="GD456" s="319" t="s">
        <v>190</v>
      </c>
      <c r="GE456" s="319" t="s">
        <v>190</v>
      </c>
      <c r="GF456" s="319" t="s">
        <v>190</v>
      </c>
      <c r="GG456" s="319" t="s">
        <v>190</v>
      </c>
      <c r="GH456" s="319" t="s">
        <v>190</v>
      </c>
      <c r="GI456" s="319" t="s">
        <v>190</v>
      </c>
      <c r="GJ456" s="319" t="s">
        <v>190</v>
      </c>
      <c r="GK456" s="319" t="s">
        <v>429</v>
      </c>
      <c r="GL456" s="319" t="s">
        <v>190</v>
      </c>
      <c r="GM456" s="319" t="s">
        <v>190</v>
      </c>
      <c r="GN456" s="319" t="s">
        <v>190</v>
      </c>
      <c r="GO456" s="319" t="s">
        <v>190</v>
      </c>
      <c r="GP456" s="319" t="s">
        <v>190</v>
      </c>
      <c r="GQ456" s="319" t="s">
        <v>190</v>
      </c>
      <c r="GR456" s="319" t="s">
        <v>190</v>
      </c>
      <c r="GS456" s="319" t="s">
        <v>190</v>
      </c>
      <c r="GT456" s="319" t="s">
        <v>429</v>
      </c>
      <c r="GU456" s="319" t="s">
        <v>429</v>
      </c>
      <c r="GV456" s="319" t="s">
        <v>190</v>
      </c>
      <c r="GW456" s="319" t="s">
        <v>190</v>
      </c>
      <c r="GX456" s="319" t="s">
        <v>190</v>
      </c>
      <c r="GY456" s="319" t="s">
        <v>190</v>
      </c>
      <c r="GZ456" s="319" t="s">
        <v>429</v>
      </c>
      <c r="HA456" s="319" t="s">
        <v>190</v>
      </c>
      <c r="HB456" s="319" t="s">
        <v>190</v>
      </c>
      <c r="HC456" s="319" t="s">
        <v>190</v>
      </c>
      <c r="HD456" s="319" t="s">
        <v>190</v>
      </c>
      <c r="HE456" s="319" t="s">
        <v>190</v>
      </c>
      <c r="HF456" s="319" t="s">
        <v>429</v>
      </c>
      <c r="HG456" s="319" t="s">
        <v>190</v>
      </c>
      <c r="HH456" s="319" t="s">
        <v>190</v>
      </c>
      <c r="HI456" s="319" t="s">
        <v>190</v>
      </c>
      <c r="HJ456" s="319" t="s">
        <v>190</v>
      </c>
      <c r="HK456" s="319" t="s">
        <v>190</v>
      </c>
      <c r="HL456" s="319" t="s">
        <v>190</v>
      </c>
      <c r="HM456" s="319" t="s">
        <v>190</v>
      </c>
      <c r="HN456" s="319" t="s">
        <v>190</v>
      </c>
      <c r="HO456" s="319" t="s">
        <v>190</v>
      </c>
      <c r="HP456" s="319" t="s">
        <v>190</v>
      </c>
      <c r="HQ456" s="319" t="s">
        <v>190</v>
      </c>
      <c r="HR456" s="319" t="s">
        <v>190</v>
      </c>
      <c r="HS456" s="319" t="s">
        <v>190</v>
      </c>
      <c r="HT456" s="319" t="s">
        <v>190</v>
      </c>
      <c r="HU456" s="319" t="s">
        <v>190</v>
      </c>
      <c r="HV456" s="319" t="s">
        <v>190</v>
      </c>
      <c r="HW456" s="319" t="s">
        <v>190</v>
      </c>
      <c r="HX456" s="319" t="s">
        <v>190</v>
      </c>
      <c r="HY456" s="319" t="s">
        <v>190</v>
      </c>
      <c r="HZ456" s="319" t="s">
        <v>190</v>
      </c>
      <c r="IA456" s="319" t="s">
        <v>190</v>
      </c>
      <c r="IB456" s="319" t="s">
        <v>190</v>
      </c>
      <c r="IC456" s="319" t="s">
        <v>190</v>
      </c>
      <c r="ID456" s="319" t="s">
        <v>190</v>
      </c>
      <c r="IE456" s="319" t="s">
        <v>190</v>
      </c>
      <c r="IF456" s="319" t="s">
        <v>190</v>
      </c>
      <c r="IG456" s="319" t="s">
        <v>190</v>
      </c>
      <c r="IH456" s="319" t="s">
        <v>190</v>
      </c>
      <c r="II456" s="319" t="s">
        <v>190</v>
      </c>
      <c r="IJ456" s="319" t="s">
        <v>3223</v>
      </c>
      <c r="IK456" s="321">
        <v>42136</v>
      </c>
      <c r="IL456" s="321">
        <v>42138</v>
      </c>
      <c r="IM456" s="321">
        <v>42173</v>
      </c>
      <c r="IN456" s="319">
        <v>3</v>
      </c>
      <c r="IO456" s="319" t="s">
        <v>173</v>
      </c>
      <c r="IP456" s="319" t="s">
        <v>173</v>
      </c>
      <c r="IQ456" s="321" t="s">
        <v>173</v>
      </c>
      <c r="IR456" s="320" t="s">
        <v>173</v>
      </c>
      <c r="IS456" s="322" t="s">
        <v>173</v>
      </c>
      <c r="IT456" s="319" t="s">
        <v>173</v>
      </c>
    </row>
    <row r="457" spans="1:254" s="271" customFormat="1" x14ac:dyDescent="0.25">
      <c r="A457" s="318" t="str">
        <f>HYPERLINK("http://www.ofsted.gov.uk/inspection-reports/find-inspection-report/provider/ELS/134577 ","Ofsted School Webpage")</f>
        <v>Ofsted School Webpage</v>
      </c>
      <c r="B457" s="319">
        <v>134577</v>
      </c>
      <c r="C457" s="319">
        <v>3166063</v>
      </c>
      <c r="D457" s="319" t="s">
        <v>1833</v>
      </c>
      <c r="E457" s="319" t="s">
        <v>167</v>
      </c>
      <c r="F457" s="319" t="s">
        <v>72</v>
      </c>
      <c r="G457" s="319" t="s">
        <v>72</v>
      </c>
      <c r="H457" s="319" t="s">
        <v>72</v>
      </c>
      <c r="I457" s="319" t="s">
        <v>72</v>
      </c>
      <c r="J457" s="319" t="s">
        <v>424</v>
      </c>
      <c r="K457" s="319" t="s">
        <v>441</v>
      </c>
      <c r="L457" s="319" t="s">
        <v>441</v>
      </c>
      <c r="M457" s="319" t="s">
        <v>709</v>
      </c>
      <c r="N457" s="319" t="s">
        <v>3081</v>
      </c>
      <c r="O457" s="319" t="s">
        <v>938</v>
      </c>
      <c r="P457" s="319">
        <v>91</v>
      </c>
      <c r="Q457" s="319" t="s">
        <v>2766</v>
      </c>
      <c r="R457" s="320">
        <v>10055496</v>
      </c>
      <c r="S457" s="321">
        <v>43508</v>
      </c>
      <c r="T457" s="321">
        <v>43510</v>
      </c>
      <c r="U457" s="321">
        <v>43636</v>
      </c>
      <c r="V457" s="319" t="s">
        <v>425</v>
      </c>
      <c r="W457" s="319" t="s">
        <v>2767</v>
      </c>
      <c r="X457" s="319">
        <v>4</v>
      </c>
      <c r="Y457" s="319" t="s">
        <v>173</v>
      </c>
      <c r="Z457" s="319" t="s">
        <v>173</v>
      </c>
      <c r="AA457" s="319" t="s">
        <v>173</v>
      </c>
      <c r="AB457" s="319">
        <v>4</v>
      </c>
      <c r="AC457" s="319" t="s">
        <v>170</v>
      </c>
      <c r="AD457" s="319" t="s">
        <v>173</v>
      </c>
      <c r="AE457" s="319" t="s">
        <v>173</v>
      </c>
      <c r="AF457" s="319" t="s">
        <v>427</v>
      </c>
      <c r="AG457" s="319" t="s">
        <v>172</v>
      </c>
      <c r="AH457" s="319" t="s">
        <v>479</v>
      </c>
      <c r="AI457" s="319" t="s">
        <v>479</v>
      </c>
      <c r="AJ457" s="319" t="s">
        <v>479</v>
      </c>
      <c r="AK457" s="319" t="s">
        <v>190</v>
      </c>
      <c r="AL457" s="319" t="s">
        <v>479</v>
      </c>
      <c r="AM457" s="319" t="s">
        <v>190</v>
      </c>
      <c r="AN457" s="319" t="s">
        <v>190</v>
      </c>
      <c r="AO457" s="319" t="s">
        <v>479</v>
      </c>
      <c r="AP457" s="319" t="s">
        <v>190</v>
      </c>
      <c r="AQ457" s="319" t="s">
        <v>190</v>
      </c>
      <c r="AR457" s="319" t="s">
        <v>190</v>
      </c>
      <c r="AS457" s="319" t="s">
        <v>190</v>
      </c>
      <c r="AT457" s="319" t="s">
        <v>190</v>
      </c>
      <c r="AU457" s="319" t="s">
        <v>190</v>
      </c>
      <c r="AV457" s="319" t="s">
        <v>190</v>
      </c>
      <c r="AW457" s="319" t="s">
        <v>190</v>
      </c>
      <c r="AX457" s="319" t="s">
        <v>428</v>
      </c>
      <c r="AY457" s="319" t="s">
        <v>190</v>
      </c>
      <c r="AZ457" s="319" t="s">
        <v>190</v>
      </c>
      <c r="BA457" s="319" t="s">
        <v>190</v>
      </c>
      <c r="BB457" s="319" t="s">
        <v>428</v>
      </c>
      <c r="BC457" s="319" t="s">
        <v>428</v>
      </c>
      <c r="BD457" s="319" t="s">
        <v>428</v>
      </c>
      <c r="BE457" s="319" t="s">
        <v>428</v>
      </c>
      <c r="BF457" s="319" t="s">
        <v>428</v>
      </c>
      <c r="BG457" s="319" t="s">
        <v>428</v>
      </c>
      <c r="BH457" s="319" t="s">
        <v>190</v>
      </c>
      <c r="BI457" s="319" t="s">
        <v>190</v>
      </c>
      <c r="BJ457" s="319" t="s">
        <v>191</v>
      </c>
      <c r="BK457" s="319" t="s">
        <v>190</v>
      </c>
      <c r="BL457" s="319" t="s">
        <v>190</v>
      </c>
      <c r="BM457" s="319" t="s">
        <v>190</v>
      </c>
      <c r="BN457" s="319" t="s">
        <v>191</v>
      </c>
      <c r="BO457" s="319" t="s">
        <v>190</v>
      </c>
      <c r="BP457" s="319" t="s">
        <v>190</v>
      </c>
      <c r="BQ457" s="319" t="s">
        <v>190</v>
      </c>
      <c r="BR457" s="319" t="s">
        <v>190</v>
      </c>
      <c r="BS457" s="319" t="s">
        <v>190</v>
      </c>
      <c r="BT457" s="319" t="s">
        <v>190</v>
      </c>
      <c r="BU457" s="319" t="s">
        <v>190</v>
      </c>
      <c r="BV457" s="319" t="s">
        <v>191</v>
      </c>
      <c r="BW457" s="319" t="s">
        <v>191</v>
      </c>
      <c r="BX457" s="319" t="s">
        <v>191</v>
      </c>
      <c r="BY457" s="319" t="s">
        <v>190</v>
      </c>
      <c r="BZ457" s="319" t="s">
        <v>191</v>
      </c>
      <c r="CA457" s="319" t="s">
        <v>190</v>
      </c>
      <c r="CB457" s="319" t="s">
        <v>190</v>
      </c>
      <c r="CC457" s="319" t="s">
        <v>190</v>
      </c>
      <c r="CD457" s="319" t="s">
        <v>191</v>
      </c>
      <c r="CE457" s="319" t="s">
        <v>190</v>
      </c>
      <c r="CF457" s="319" t="s">
        <v>190</v>
      </c>
      <c r="CG457" s="319" t="s">
        <v>191</v>
      </c>
      <c r="CH457" s="319" t="s">
        <v>190</v>
      </c>
      <c r="CI457" s="319" t="s">
        <v>190</v>
      </c>
      <c r="CJ457" s="319" t="s">
        <v>191</v>
      </c>
      <c r="CK457" s="319" t="s">
        <v>191</v>
      </c>
      <c r="CL457" s="319" t="s">
        <v>191</v>
      </c>
      <c r="CM457" s="319" t="s">
        <v>191</v>
      </c>
      <c r="CN457" s="319" t="s">
        <v>428</v>
      </c>
      <c r="CO457" s="319" t="s">
        <v>428</v>
      </c>
      <c r="CP457" s="319" t="s">
        <v>428</v>
      </c>
      <c r="CQ457" s="319" t="s">
        <v>190</v>
      </c>
      <c r="CR457" s="319" t="s">
        <v>190</v>
      </c>
      <c r="CS457" s="319" t="s">
        <v>190</v>
      </c>
      <c r="CT457" s="319" t="s">
        <v>190</v>
      </c>
      <c r="CU457" s="319" t="s">
        <v>190</v>
      </c>
      <c r="CV457" s="319" t="s">
        <v>191</v>
      </c>
      <c r="CW457" s="319" t="s">
        <v>191</v>
      </c>
      <c r="CX457" s="319" t="s">
        <v>190</v>
      </c>
      <c r="CY457" s="319" t="s">
        <v>190</v>
      </c>
      <c r="CZ457" s="319" t="s">
        <v>190</v>
      </c>
      <c r="DA457" s="319" t="s">
        <v>191</v>
      </c>
      <c r="DB457" s="319" t="s">
        <v>191</v>
      </c>
      <c r="DC457" s="319" t="s">
        <v>191</v>
      </c>
      <c r="DD457" s="319" t="s">
        <v>190</v>
      </c>
      <c r="DE457" s="319" t="s">
        <v>190</v>
      </c>
      <c r="DF457" s="319" t="s">
        <v>190</v>
      </c>
      <c r="DG457" s="319" t="s">
        <v>190</v>
      </c>
      <c r="DH457" s="319" t="s">
        <v>190</v>
      </c>
      <c r="DI457" s="319" t="s">
        <v>190</v>
      </c>
      <c r="DJ457" s="319" t="s">
        <v>190</v>
      </c>
      <c r="DK457" s="319" t="s">
        <v>190</v>
      </c>
      <c r="DL457" s="319" t="s">
        <v>190</v>
      </c>
      <c r="DM457" s="319" t="s">
        <v>190</v>
      </c>
      <c r="DN457" s="319" t="s">
        <v>428</v>
      </c>
      <c r="DO457" s="319" t="s">
        <v>190</v>
      </c>
      <c r="DP457" s="319" t="s">
        <v>428</v>
      </c>
      <c r="DQ457" s="319" t="s">
        <v>428</v>
      </c>
      <c r="DR457" s="319" t="s">
        <v>428</v>
      </c>
      <c r="DS457" s="319" t="s">
        <v>428</v>
      </c>
      <c r="DT457" s="319" t="s">
        <v>428</v>
      </c>
      <c r="DU457" s="319" t="s">
        <v>428</v>
      </c>
      <c r="DV457" s="319" t="s">
        <v>173</v>
      </c>
      <c r="DW457" s="319" t="s">
        <v>428</v>
      </c>
      <c r="DX457" s="319" t="s">
        <v>428</v>
      </c>
      <c r="DY457" s="319" t="s">
        <v>428</v>
      </c>
      <c r="DZ457" s="319" t="s">
        <v>428</v>
      </c>
      <c r="EA457" s="319" t="s">
        <v>428</v>
      </c>
      <c r="EB457" s="319" t="s">
        <v>428</v>
      </c>
      <c r="EC457" s="319" t="s">
        <v>428</v>
      </c>
      <c r="ED457" s="319" t="s">
        <v>428</v>
      </c>
      <c r="EE457" s="319" t="s">
        <v>428</v>
      </c>
      <c r="EF457" s="319" t="s">
        <v>428</v>
      </c>
      <c r="EG457" s="319" t="s">
        <v>428</v>
      </c>
      <c r="EH457" s="319" t="s">
        <v>428</v>
      </c>
      <c r="EI457" s="319" t="s">
        <v>428</v>
      </c>
      <c r="EJ457" s="319" t="s">
        <v>428</v>
      </c>
      <c r="EK457" s="319" t="s">
        <v>428</v>
      </c>
      <c r="EL457" s="319" t="s">
        <v>428</v>
      </c>
      <c r="EM457" s="319" t="s">
        <v>428</v>
      </c>
      <c r="EN457" s="319" t="s">
        <v>190</v>
      </c>
      <c r="EO457" s="319" t="s">
        <v>190</v>
      </c>
      <c r="EP457" s="319" t="s">
        <v>190</v>
      </c>
      <c r="EQ457" s="319" t="s">
        <v>190</v>
      </c>
      <c r="ER457" s="319" t="s">
        <v>190</v>
      </c>
      <c r="ES457" s="319" t="s">
        <v>190</v>
      </c>
      <c r="ET457" s="319" t="s">
        <v>190</v>
      </c>
      <c r="EU457" s="319" t="s">
        <v>190</v>
      </c>
      <c r="EV457" s="319" t="s">
        <v>190</v>
      </c>
      <c r="EW457" s="319" t="s">
        <v>190</v>
      </c>
      <c r="EX457" s="319" t="s">
        <v>190</v>
      </c>
      <c r="EY457" s="319" t="s">
        <v>190</v>
      </c>
      <c r="EZ457" s="319" t="s">
        <v>190</v>
      </c>
      <c r="FA457" s="319" t="s">
        <v>190</v>
      </c>
      <c r="FB457" s="319" t="s">
        <v>428</v>
      </c>
      <c r="FC457" s="319" t="s">
        <v>428</v>
      </c>
      <c r="FD457" s="319" t="s">
        <v>428</v>
      </c>
      <c r="FE457" s="319" t="s">
        <v>428</v>
      </c>
      <c r="FF457" s="319" t="s">
        <v>428</v>
      </c>
      <c r="FG457" s="319" t="s">
        <v>428</v>
      </c>
      <c r="FH457" s="319" t="s">
        <v>190</v>
      </c>
      <c r="FI457" s="319" t="s">
        <v>190</v>
      </c>
      <c r="FJ457" s="319" t="s">
        <v>190</v>
      </c>
      <c r="FK457" s="319" t="s">
        <v>190</v>
      </c>
      <c r="FL457" s="319" t="s">
        <v>190</v>
      </c>
      <c r="FM457" s="319" t="s">
        <v>190</v>
      </c>
      <c r="FN457" s="319" t="s">
        <v>190</v>
      </c>
      <c r="FO457" s="319" t="s">
        <v>428</v>
      </c>
      <c r="FP457" s="319" t="s">
        <v>190</v>
      </c>
      <c r="FQ457" s="319" t="s">
        <v>190</v>
      </c>
      <c r="FR457" s="319" t="s">
        <v>190</v>
      </c>
      <c r="FS457" s="319" t="s">
        <v>428</v>
      </c>
      <c r="FT457" s="319" t="s">
        <v>190</v>
      </c>
      <c r="FU457" s="319" t="s">
        <v>191</v>
      </c>
      <c r="FV457" s="319" t="s">
        <v>190</v>
      </c>
      <c r="FW457" s="319" t="s">
        <v>190</v>
      </c>
      <c r="FX457" s="319" t="s">
        <v>190</v>
      </c>
      <c r="FY457" s="319" t="s">
        <v>190</v>
      </c>
      <c r="FZ457" s="319" t="s">
        <v>190</v>
      </c>
      <c r="GA457" s="319" t="s">
        <v>190</v>
      </c>
      <c r="GB457" s="319" t="s">
        <v>190</v>
      </c>
      <c r="GC457" s="319" t="s">
        <v>190</v>
      </c>
      <c r="GD457" s="319" t="s">
        <v>190</v>
      </c>
      <c r="GE457" s="319" t="s">
        <v>190</v>
      </c>
      <c r="GF457" s="319" t="s">
        <v>190</v>
      </c>
      <c r="GG457" s="319" t="s">
        <v>190</v>
      </c>
      <c r="GH457" s="319" t="s">
        <v>190</v>
      </c>
      <c r="GI457" s="319" t="s">
        <v>190</v>
      </c>
      <c r="GJ457" s="319" t="s">
        <v>190</v>
      </c>
      <c r="GK457" s="319" t="s">
        <v>428</v>
      </c>
      <c r="GL457" s="319" t="s">
        <v>190</v>
      </c>
      <c r="GM457" s="319" t="s">
        <v>190</v>
      </c>
      <c r="GN457" s="319" t="s">
        <v>190</v>
      </c>
      <c r="GO457" s="319" t="s">
        <v>190</v>
      </c>
      <c r="GP457" s="319" t="s">
        <v>190</v>
      </c>
      <c r="GQ457" s="319" t="s">
        <v>428</v>
      </c>
      <c r="GR457" s="319" t="s">
        <v>190</v>
      </c>
      <c r="GS457" s="319" t="s">
        <v>190</v>
      </c>
      <c r="GT457" s="319" t="s">
        <v>428</v>
      </c>
      <c r="GU457" s="319" t="s">
        <v>428</v>
      </c>
      <c r="GV457" s="319" t="s">
        <v>428</v>
      </c>
      <c r="GW457" s="319" t="s">
        <v>190</v>
      </c>
      <c r="GX457" s="319" t="s">
        <v>190</v>
      </c>
      <c r="GY457" s="319" t="s">
        <v>190</v>
      </c>
      <c r="GZ457" s="319" t="s">
        <v>190</v>
      </c>
      <c r="HA457" s="319" t="s">
        <v>428</v>
      </c>
      <c r="HB457" s="319" t="s">
        <v>190</v>
      </c>
      <c r="HC457" s="319" t="s">
        <v>190</v>
      </c>
      <c r="HD457" s="319" t="s">
        <v>190</v>
      </c>
      <c r="HE457" s="319" t="s">
        <v>190</v>
      </c>
      <c r="HF457" s="319" t="s">
        <v>190</v>
      </c>
      <c r="HG457" s="319" t="s">
        <v>190</v>
      </c>
      <c r="HH457" s="319" t="s">
        <v>190</v>
      </c>
      <c r="HI457" s="319" t="s">
        <v>190</v>
      </c>
      <c r="HJ457" s="319" t="s">
        <v>190</v>
      </c>
      <c r="HK457" s="319" t="s">
        <v>190</v>
      </c>
      <c r="HL457" s="319" t="s">
        <v>428</v>
      </c>
      <c r="HM457" s="319" t="s">
        <v>428</v>
      </c>
      <c r="HN457" s="319" t="s">
        <v>428</v>
      </c>
      <c r="HO457" s="319" t="s">
        <v>428</v>
      </c>
      <c r="HP457" s="319" t="s">
        <v>190</v>
      </c>
      <c r="HQ457" s="319" t="s">
        <v>190</v>
      </c>
      <c r="HR457" s="319" t="s">
        <v>190</v>
      </c>
      <c r="HS457" s="319" t="s">
        <v>190</v>
      </c>
      <c r="HT457" s="319" t="s">
        <v>190</v>
      </c>
      <c r="HU457" s="319" t="s">
        <v>190</v>
      </c>
      <c r="HV457" s="319" t="s">
        <v>190</v>
      </c>
      <c r="HW457" s="319" t="s">
        <v>190</v>
      </c>
      <c r="HX457" s="319" t="s">
        <v>190</v>
      </c>
      <c r="HY457" s="319" t="s">
        <v>190</v>
      </c>
      <c r="HZ457" s="319" t="s">
        <v>190</v>
      </c>
      <c r="IA457" s="319" t="s">
        <v>190</v>
      </c>
      <c r="IB457" s="319" t="s">
        <v>190</v>
      </c>
      <c r="IC457" s="319" t="s">
        <v>190</v>
      </c>
      <c r="ID457" s="319" t="s">
        <v>190</v>
      </c>
      <c r="IE457" s="319" t="s">
        <v>190</v>
      </c>
      <c r="IF457" s="319" t="s">
        <v>191</v>
      </c>
      <c r="IG457" s="319" t="s">
        <v>191</v>
      </c>
      <c r="IH457" s="319" t="s">
        <v>191</v>
      </c>
      <c r="II457" s="319" t="s">
        <v>191</v>
      </c>
      <c r="IJ457" s="319">
        <v>10034448</v>
      </c>
      <c r="IK457" s="321">
        <v>42920</v>
      </c>
      <c r="IL457" s="321">
        <v>42922</v>
      </c>
      <c r="IM457" s="321">
        <v>43018</v>
      </c>
      <c r="IN457" s="319">
        <v>4</v>
      </c>
      <c r="IO457" s="319">
        <v>10123546</v>
      </c>
      <c r="IP457" s="319" t="s">
        <v>985</v>
      </c>
      <c r="IQ457" s="321">
        <v>43781</v>
      </c>
      <c r="IR457" s="320" t="s">
        <v>2771</v>
      </c>
      <c r="IS457" s="322">
        <v>43817</v>
      </c>
      <c r="IT457" s="319" t="s">
        <v>166</v>
      </c>
    </row>
    <row r="458" spans="1:254" s="271" customFormat="1" x14ac:dyDescent="0.25">
      <c r="A458" s="318" t="str">
        <f>HYPERLINK("http://www.ofsted.gov.uk/inspection-reports/find-inspection-report/provider/ELS/134579 ","Ofsted School Webpage")</f>
        <v>Ofsted School Webpage</v>
      </c>
      <c r="B458" s="319">
        <v>134579</v>
      </c>
      <c r="C458" s="319">
        <v>3206064</v>
      </c>
      <c r="D458" s="319" t="s">
        <v>591</v>
      </c>
      <c r="E458" s="319" t="s">
        <v>167</v>
      </c>
      <c r="F458" s="319" t="s">
        <v>81</v>
      </c>
      <c r="G458" s="319" t="s">
        <v>81</v>
      </c>
      <c r="H458" s="319" t="s">
        <v>81</v>
      </c>
      <c r="I458" s="319" t="s">
        <v>78</v>
      </c>
      <c r="J458" s="319" t="s">
        <v>424</v>
      </c>
      <c r="K458" s="319" t="s">
        <v>441</v>
      </c>
      <c r="L458" s="319" t="s">
        <v>441</v>
      </c>
      <c r="M458" s="319" t="s">
        <v>592</v>
      </c>
      <c r="N458" s="319" t="s">
        <v>3224</v>
      </c>
      <c r="O458" s="319" t="s">
        <v>593</v>
      </c>
      <c r="P458" s="319">
        <v>123</v>
      </c>
      <c r="Q458" s="319" t="s">
        <v>2766</v>
      </c>
      <c r="R458" s="320">
        <v>10055505</v>
      </c>
      <c r="S458" s="321">
        <v>43403</v>
      </c>
      <c r="T458" s="321">
        <v>43405</v>
      </c>
      <c r="U458" s="321">
        <v>43432</v>
      </c>
      <c r="V458" s="319" t="s">
        <v>425</v>
      </c>
      <c r="W458" s="319" t="s">
        <v>2767</v>
      </c>
      <c r="X458" s="319">
        <v>3</v>
      </c>
      <c r="Y458" s="319" t="s">
        <v>173</v>
      </c>
      <c r="Z458" s="319" t="s">
        <v>173</v>
      </c>
      <c r="AA458" s="319" t="s">
        <v>173</v>
      </c>
      <c r="AB458" s="319">
        <v>3</v>
      </c>
      <c r="AC458" s="319" t="s">
        <v>169</v>
      </c>
      <c r="AD458" s="319">
        <v>2</v>
      </c>
      <c r="AE458" s="319" t="s">
        <v>173</v>
      </c>
      <c r="AF458" s="319" t="s">
        <v>427</v>
      </c>
      <c r="AG458" s="319" t="s">
        <v>171</v>
      </c>
      <c r="AH458" s="319" t="s">
        <v>190</v>
      </c>
      <c r="AI458" s="319" t="s">
        <v>190</v>
      </c>
      <c r="AJ458" s="319" t="s">
        <v>190</v>
      </c>
      <c r="AK458" s="319" t="s">
        <v>190</v>
      </c>
      <c r="AL458" s="319" t="s">
        <v>190</v>
      </c>
      <c r="AM458" s="319" t="s">
        <v>190</v>
      </c>
      <c r="AN458" s="319" t="s">
        <v>190</v>
      </c>
      <c r="AO458" s="319" t="s">
        <v>190</v>
      </c>
      <c r="AP458" s="319" t="s">
        <v>190</v>
      </c>
      <c r="AQ458" s="319" t="s">
        <v>190</v>
      </c>
      <c r="AR458" s="319" t="s">
        <v>190</v>
      </c>
      <c r="AS458" s="319" t="s">
        <v>190</v>
      </c>
      <c r="AT458" s="319" t="s">
        <v>190</v>
      </c>
      <c r="AU458" s="319" t="s">
        <v>190</v>
      </c>
      <c r="AV458" s="319" t="s">
        <v>190</v>
      </c>
      <c r="AW458" s="319" t="s">
        <v>190</v>
      </c>
      <c r="AX458" s="319" t="s">
        <v>428</v>
      </c>
      <c r="AY458" s="319" t="s">
        <v>190</v>
      </c>
      <c r="AZ458" s="319" t="s">
        <v>190</v>
      </c>
      <c r="BA458" s="319" t="s">
        <v>190</v>
      </c>
      <c r="BB458" s="319" t="s">
        <v>428</v>
      </c>
      <c r="BC458" s="319" t="s">
        <v>428</v>
      </c>
      <c r="BD458" s="319" t="s">
        <v>428</v>
      </c>
      <c r="BE458" s="319" t="s">
        <v>428</v>
      </c>
      <c r="BF458" s="319" t="s">
        <v>190</v>
      </c>
      <c r="BG458" s="319" t="s">
        <v>428</v>
      </c>
      <c r="BH458" s="319" t="s">
        <v>190</v>
      </c>
      <c r="BI458" s="319" t="s">
        <v>190</v>
      </c>
      <c r="BJ458" s="319" t="s">
        <v>190</v>
      </c>
      <c r="BK458" s="319" t="s">
        <v>190</v>
      </c>
      <c r="BL458" s="319" t="s">
        <v>190</v>
      </c>
      <c r="BM458" s="319" t="s">
        <v>190</v>
      </c>
      <c r="BN458" s="319" t="s">
        <v>190</v>
      </c>
      <c r="BO458" s="319" t="s">
        <v>190</v>
      </c>
      <c r="BP458" s="319" t="s">
        <v>190</v>
      </c>
      <c r="BQ458" s="319" t="s">
        <v>190</v>
      </c>
      <c r="BR458" s="319" t="s">
        <v>190</v>
      </c>
      <c r="BS458" s="319" t="s">
        <v>190</v>
      </c>
      <c r="BT458" s="319" t="s">
        <v>190</v>
      </c>
      <c r="BU458" s="319" t="s">
        <v>190</v>
      </c>
      <c r="BV458" s="319" t="s">
        <v>190</v>
      </c>
      <c r="BW458" s="319" t="s">
        <v>190</v>
      </c>
      <c r="BX458" s="319" t="s">
        <v>190</v>
      </c>
      <c r="BY458" s="319" t="s">
        <v>190</v>
      </c>
      <c r="BZ458" s="319" t="s">
        <v>190</v>
      </c>
      <c r="CA458" s="319" t="s">
        <v>190</v>
      </c>
      <c r="CB458" s="319" t="s">
        <v>190</v>
      </c>
      <c r="CC458" s="319" t="s">
        <v>190</v>
      </c>
      <c r="CD458" s="319" t="s">
        <v>190</v>
      </c>
      <c r="CE458" s="319" t="s">
        <v>190</v>
      </c>
      <c r="CF458" s="319" t="s">
        <v>190</v>
      </c>
      <c r="CG458" s="319" t="s">
        <v>190</v>
      </c>
      <c r="CH458" s="319" t="s">
        <v>190</v>
      </c>
      <c r="CI458" s="319" t="s">
        <v>190</v>
      </c>
      <c r="CJ458" s="319" t="s">
        <v>190</v>
      </c>
      <c r="CK458" s="319" t="s">
        <v>190</v>
      </c>
      <c r="CL458" s="319" t="s">
        <v>190</v>
      </c>
      <c r="CM458" s="319" t="s">
        <v>190</v>
      </c>
      <c r="CN458" s="319" t="s">
        <v>428</v>
      </c>
      <c r="CO458" s="319" t="s">
        <v>428</v>
      </c>
      <c r="CP458" s="319" t="s">
        <v>428</v>
      </c>
      <c r="CQ458" s="319" t="s">
        <v>190</v>
      </c>
      <c r="CR458" s="319" t="s">
        <v>190</v>
      </c>
      <c r="CS458" s="319" t="s">
        <v>190</v>
      </c>
      <c r="CT458" s="319" t="s">
        <v>190</v>
      </c>
      <c r="CU458" s="319" t="s">
        <v>190</v>
      </c>
      <c r="CV458" s="319" t="s">
        <v>190</v>
      </c>
      <c r="CW458" s="319" t="s">
        <v>190</v>
      </c>
      <c r="CX458" s="319" t="s">
        <v>190</v>
      </c>
      <c r="CY458" s="319" t="s">
        <v>190</v>
      </c>
      <c r="CZ458" s="319" t="s">
        <v>190</v>
      </c>
      <c r="DA458" s="319" t="s">
        <v>190</v>
      </c>
      <c r="DB458" s="319" t="s">
        <v>190</v>
      </c>
      <c r="DC458" s="319" t="s">
        <v>190</v>
      </c>
      <c r="DD458" s="319" t="s">
        <v>190</v>
      </c>
      <c r="DE458" s="319" t="s">
        <v>190</v>
      </c>
      <c r="DF458" s="319" t="s">
        <v>190</v>
      </c>
      <c r="DG458" s="319" t="s">
        <v>190</v>
      </c>
      <c r="DH458" s="319" t="s">
        <v>190</v>
      </c>
      <c r="DI458" s="319" t="s">
        <v>190</v>
      </c>
      <c r="DJ458" s="319" t="s">
        <v>190</v>
      </c>
      <c r="DK458" s="319" t="s">
        <v>190</v>
      </c>
      <c r="DL458" s="319" t="s">
        <v>190</v>
      </c>
      <c r="DM458" s="319" t="s">
        <v>190</v>
      </c>
      <c r="DN458" s="319" t="s">
        <v>428</v>
      </c>
      <c r="DO458" s="319" t="s">
        <v>190</v>
      </c>
      <c r="DP458" s="319" t="s">
        <v>428</v>
      </c>
      <c r="DQ458" s="319" t="s">
        <v>428</v>
      </c>
      <c r="DR458" s="319" t="s">
        <v>428</v>
      </c>
      <c r="DS458" s="319" t="s">
        <v>428</v>
      </c>
      <c r="DT458" s="319" t="s">
        <v>428</v>
      </c>
      <c r="DU458" s="319" t="s">
        <v>428</v>
      </c>
      <c r="DV458" s="319" t="s">
        <v>173</v>
      </c>
      <c r="DW458" s="319" t="s">
        <v>428</v>
      </c>
      <c r="DX458" s="319" t="s">
        <v>428</v>
      </c>
      <c r="DY458" s="319" t="s">
        <v>428</v>
      </c>
      <c r="DZ458" s="319" t="s">
        <v>428</v>
      </c>
      <c r="EA458" s="319" t="s">
        <v>428</v>
      </c>
      <c r="EB458" s="319" t="s">
        <v>428</v>
      </c>
      <c r="EC458" s="319" t="s">
        <v>428</v>
      </c>
      <c r="ED458" s="319" t="s">
        <v>190</v>
      </c>
      <c r="EE458" s="319" t="s">
        <v>190</v>
      </c>
      <c r="EF458" s="319" t="s">
        <v>190</v>
      </c>
      <c r="EG458" s="319" t="s">
        <v>190</v>
      </c>
      <c r="EH458" s="319" t="s">
        <v>190</v>
      </c>
      <c r="EI458" s="319" t="s">
        <v>190</v>
      </c>
      <c r="EJ458" s="319" t="s">
        <v>190</v>
      </c>
      <c r="EK458" s="319" t="s">
        <v>190</v>
      </c>
      <c r="EL458" s="319" t="s">
        <v>190</v>
      </c>
      <c r="EM458" s="319" t="s">
        <v>190</v>
      </c>
      <c r="EN458" s="319" t="s">
        <v>190</v>
      </c>
      <c r="EO458" s="319" t="s">
        <v>190</v>
      </c>
      <c r="EP458" s="319" t="s">
        <v>190</v>
      </c>
      <c r="EQ458" s="319" t="s">
        <v>190</v>
      </c>
      <c r="ER458" s="319" t="s">
        <v>190</v>
      </c>
      <c r="ES458" s="319" t="s">
        <v>190</v>
      </c>
      <c r="ET458" s="319" t="s">
        <v>190</v>
      </c>
      <c r="EU458" s="319" t="s">
        <v>190</v>
      </c>
      <c r="EV458" s="319" t="s">
        <v>190</v>
      </c>
      <c r="EW458" s="319" t="s">
        <v>190</v>
      </c>
      <c r="EX458" s="319" t="s">
        <v>190</v>
      </c>
      <c r="EY458" s="319" t="s">
        <v>190</v>
      </c>
      <c r="EZ458" s="319" t="s">
        <v>190</v>
      </c>
      <c r="FA458" s="319" t="s">
        <v>190</v>
      </c>
      <c r="FB458" s="319" t="s">
        <v>190</v>
      </c>
      <c r="FC458" s="319" t="s">
        <v>190</v>
      </c>
      <c r="FD458" s="319" t="s">
        <v>190</v>
      </c>
      <c r="FE458" s="319" t="s">
        <v>190</v>
      </c>
      <c r="FF458" s="319" t="s">
        <v>190</v>
      </c>
      <c r="FG458" s="319" t="s">
        <v>190</v>
      </c>
      <c r="FH458" s="319" t="s">
        <v>190</v>
      </c>
      <c r="FI458" s="319" t="s">
        <v>190</v>
      </c>
      <c r="FJ458" s="319" t="s">
        <v>190</v>
      </c>
      <c r="FK458" s="319" t="s">
        <v>190</v>
      </c>
      <c r="FL458" s="319" t="s">
        <v>190</v>
      </c>
      <c r="FM458" s="319" t="s">
        <v>190</v>
      </c>
      <c r="FN458" s="319" t="s">
        <v>190</v>
      </c>
      <c r="FO458" s="319" t="s">
        <v>428</v>
      </c>
      <c r="FP458" s="319" t="s">
        <v>190</v>
      </c>
      <c r="FQ458" s="319" t="s">
        <v>190</v>
      </c>
      <c r="FR458" s="319" t="s">
        <v>190</v>
      </c>
      <c r="FS458" s="319" t="s">
        <v>428</v>
      </c>
      <c r="FT458" s="319" t="s">
        <v>428</v>
      </c>
      <c r="FU458" s="319" t="s">
        <v>190</v>
      </c>
      <c r="FV458" s="319" t="s">
        <v>190</v>
      </c>
      <c r="FW458" s="319" t="s">
        <v>190</v>
      </c>
      <c r="FX458" s="319" t="s">
        <v>190</v>
      </c>
      <c r="FY458" s="319" t="s">
        <v>190</v>
      </c>
      <c r="FZ458" s="319" t="s">
        <v>190</v>
      </c>
      <c r="GA458" s="319" t="s">
        <v>190</v>
      </c>
      <c r="GB458" s="319" t="s">
        <v>190</v>
      </c>
      <c r="GC458" s="319" t="s">
        <v>190</v>
      </c>
      <c r="GD458" s="319" t="s">
        <v>190</v>
      </c>
      <c r="GE458" s="319" t="s">
        <v>190</v>
      </c>
      <c r="GF458" s="319" t="s">
        <v>190</v>
      </c>
      <c r="GG458" s="319" t="s">
        <v>190</v>
      </c>
      <c r="GH458" s="319" t="s">
        <v>190</v>
      </c>
      <c r="GI458" s="319" t="s">
        <v>190</v>
      </c>
      <c r="GJ458" s="319" t="s">
        <v>190</v>
      </c>
      <c r="GK458" s="319" t="s">
        <v>428</v>
      </c>
      <c r="GL458" s="319" t="s">
        <v>190</v>
      </c>
      <c r="GM458" s="319" t="s">
        <v>190</v>
      </c>
      <c r="GN458" s="319" t="s">
        <v>190</v>
      </c>
      <c r="GO458" s="319" t="s">
        <v>190</v>
      </c>
      <c r="GP458" s="319" t="s">
        <v>190</v>
      </c>
      <c r="GQ458" s="319" t="s">
        <v>190</v>
      </c>
      <c r="GR458" s="319" t="s">
        <v>190</v>
      </c>
      <c r="GS458" s="319" t="s">
        <v>190</v>
      </c>
      <c r="GT458" s="319" t="s">
        <v>428</v>
      </c>
      <c r="GU458" s="319" t="s">
        <v>428</v>
      </c>
      <c r="GV458" s="319" t="s">
        <v>190</v>
      </c>
      <c r="GW458" s="319" t="s">
        <v>190</v>
      </c>
      <c r="GX458" s="319" t="s">
        <v>190</v>
      </c>
      <c r="GY458" s="319" t="s">
        <v>190</v>
      </c>
      <c r="GZ458" s="319" t="s">
        <v>190</v>
      </c>
      <c r="HA458" s="319" t="s">
        <v>428</v>
      </c>
      <c r="HB458" s="319" t="s">
        <v>428</v>
      </c>
      <c r="HC458" s="319" t="s">
        <v>190</v>
      </c>
      <c r="HD458" s="319" t="s">
        <v>190</v>
      </c>
      <c r="HE458" s="319" t="s">
        <v>190</v>
      </c>
      <c r="HF458" s="319" t="s">
        <v>190</v>
      </c>
      <c r="HG458" s="319" t="s">
        <v>190</v>
      </c>
      <c r="HH458" s="319" t="s">
        <v>190</v>
      </c>
      <c r="HI458" s="319" t="s">
        <v>190</v>
      </c>
      <c r="HJ458" s="319" t="s">
        <v>190</v>
      </c>
      <c r="HK458" s="319" t="s">
        <v>190</v>
      </c>
      <c r="HL458" s="319" t="s">
        <v>428</v>
      </c>
      <c r="HM458" s="319" t="s">
        <v>428</v>
      </c>
      <c r="HN458" s="319" t="s">
        <v>428</v>
      </c>
      <c r="HO458" s="319" t="s">
        <v>428</v>
      </c>
      <c r="HP458" s="319" t="s">
        <v>190</v>
      </c>
      <c r="HQ458" s="319" t="s">
        <v>190</v>
      </c>
      <c r="HR458" s="319" t="s">
        <v>190</v>
      </c>
      <c r="HS458" s="319" t="s">
        <v>190</v>
      </c>
      <c r="HT458" s="319" t="s">
        <v>190</v>
      </c>
      <c r="HU458" s="319" t="s">
        <v>190</v>
      </c>
      <c r="HV458" s="319" t="s">
        <v>190</v>
      </c>
      <c r="HW458" s="319" t="s">
        <v>190</v>
      </c>
      <c r="HX458" s="319" t="s">
        <v>190</v>
      </c>
      <c r="HY458" s="319" t="s">
        <v>190</v>
      </c>
      <c r="HZ458" s="319" t="s">
        <v>190</v>
      </c>
      <c r="IA458" s="319" t="s">
        <v>190</v>
      </c>
      <c r="IB458" s="319" t="s">
        <v>190</v>
      </c>
      <c r="IC458" s="319" t="s">
        <v>190</v>
      </c>
      <c r="ID458" s="319" t="s">
        <v>190</v>
      </c>
      <c r="IE458" s="319" t="s">
        <v>190</v>
      </c>
      <c r="IF458" s="319" t="s">
        <v>190</v>
      </c>
      <c r="IG458" s="319" t="s">
        <v>190</v>
      </c>
      <c r="IH458" s="319" t="s">
        <v>190</v>
      </c>
      <c r="II458" s="319" t="s">
        <v>190</v>
      </c>
      <c r="IJ458" s="319">
        <v>10008548</v>
      </c>
      <c r="IK458" s="321">
        <v>42893</v>
      </c>
      <c r="IL458" s="321">
        <v>42895</v>
      </c>
      <c r="IM458" s="321">
        <v>42990</v>
      </c>
      <c r="IN458" s="319">
        <v>4</v>
      </c>
      <c r="IO458" s="319" t="s">
        <v>173</v>
      </c>
      <c r="IP458" s="319" t="s">
        <v>173</v>
      </c>
      <c r="IQ458" s="321" t="s">
        <v>173</v>
      </c>
      <c r="IR458" s="320" t="s">
        <v>173</v>
      </c>
      <c r="IS458" s="322" t="s">
        <v>173</v>
      </c>
      <c r="IT458" s="319" t="s">
        <v>173</v>
      </c>
    </row>
    <row r="459" spans="1:254" s="271" customFormat="1" x14ac:dyDescent="0.25">
      <c r="A459" s="318" t="str">
        <f>HYPERLINK("http://www.ofsted.gov.uk/inspection-reports/find-inspection-report/provider/ELS/134580 ","Ofsted School Webpage")</f>
        <v>Ofsted School Webpage</v>
      </c>
      <c r="B459" s="319">
        <v>134580</v>
      </c>
      <c r="C459" s="319">
        <v>3086068</v>
      </c>
      <c r="D459" s="319" t="s">
        <v>789</v>
      </c>
      <c r="E459" s="319" t="s">
        <v>167</v>
      </c>
      <c r="F459" s="319" t="s">
        <v>81</v>
      </c>
      <c r="G459" s="319" t="s">
        <v>59</v>
      </c>
      <c r="H459" s="319" t="s">
        <v>59</v>
      </c>
      <c r="I459" s="319" t="s">
        <v>59</v>
      </c>
      <c r="J459" s="319" t="s">
        <v>424</v>
      </c>
      <c r="K459" s="319" t="s">
        <v>441</v>
      </c>
      <c r="L459" s="319" t="s">
        <v>441</v>
      </c>
      <c r="M459" s="319" t="s">
        <v>561</v>
      </c>
      <c r="N459" s="319" t="s">
        <v>3225</v>
      </c>
      <c r="O459" s="319" t="s">
        <v>1834</v>
      </c>
      <c r="P459" s="319">
        <v>23</v>
      </c>
      <c r="Q459" s="319" t="s">
        <v>2776</v>
      </c>
      <c r="R459" s="320">
        <v>10038169</v>
      </c>
      <c r="S459" s="321">
        <v>43081</v>
      </c>
      <c r="T459" s="321">
        <v>43083</v>
      </c>
      <c r="U459" s="321">
        <v>43126</v>
      </c>
      <c r="V459" s="319" t="s">
        <v>425</v>
      </c>
      <c r="W459" s="319" t="s">
        <v>2767</v>
      </c>
      <c r="X459" s="319">
        <v>3</v>
      </c>
      <c r="Y459" s="319" t="s">
        <v>173</v>
      </c>
      <c r="Z459" s="319" t="s">
        <v>173</v>
      </c>
      <c r="AA459" s="319" t="s">
        <v>173</v>
      </c>
      <c r="AB459" s="319">
        <v>3</v>
      </c>
      <c r="AC459" s="319" t="s">
        <v>169</v>
      </c>
      <c r="AD459" s="319" t="s">
        <v>173</v>
      </c>
      <c r="AE459" s="319" t="s">
        <v>173</v>
      </c>
      <c r="AF459" s="319" t="s">
        <v>427</v>
      </c>
      <c r="AG459" s="319" t="s">
        <v>172</v>
      </c>
      <c r="AH459" s="319" t="s">
        <v>479</v>
      </c>
      <c r="AI459" s="319" t="s">
        <v>190</v>
      </c>
      <c r="AJ459" s="319" t="s">
        <v>190</v>
      </c>
      <c r="AK459" s="319" t="s">
        <v>190</v>
      </c>
      <c r="AL459" s="319" t="s">
        <v>190</v>
      </c>
      <c r="AM459" s="319" t="s">
        <v>190</v>
      </c>
      <c r="AN459" s="319" t="s">
        <v>190</v>
      </c>
      <c r="AO459" s="319" t="s">
        <v>479</v>
      </c>
      <c r="AP459" s="319" t="s">
        <v>190</v>
      </c>
      <c r="AQ459" s="319" t="s">
        <v>190</v>
      </c>
      <c r="AR459" s="319" t="s">
        <v>190</v>
      </c>
      <c r="AS459" s="319" t="s">
        <v>190</v>
      </c>
      <c r="AT459" s="319" t="s">
        <v>190</v>
      </c>
      <c r="AU459" s="319" t="s">
        <v>190</v>
      </c>
      <c r="AV459" s="319" t="s">
        <v>190</v>
      </c>
      <c r="AW459" s="319" t="s">
        <v>190</v>
      </c>
      <c r="AX459" s="319" t="s">
        <v>190</v>
      </c>
      <c r="AY459" s="319" t="s">
        <v>190</v>
      </c>
      <c r="AZ459" s="319" t="s">
        <v>190</v>
      </c>
      <c r="BA459" s="319" t="s">
        <v>190</v>
      </c>
      <c r="BB459" s="319" t="s">
        <v>190</v>
      </c>
      <c r="BC459" s="319" t="s">
        <v>190</v>
      </c>
      <c r="BD459" s="319" t="s">
        <v>190</v>
      </c>
      <c r="BE459" s="319" t="s">
        <v>190</v>
      </c>
      <c r="BF459" s="319" t="s">
        <v>428</v>
      </c>
      <c r="BG459" s="319" t="s">
        <v>190</v>
      </c>
      <c r="BH459" s="319" t="s">
        <v>190</v>
      </c>
      <c r="BI459" s="319" t="s">
        <v>190</v>
      </c>
      <c r="BJ459" s="319" t="s">
        <v>191</v>
      </c>
      <c r="BK459" s="319" t="s">
        <v>190</v>
      </c>
      <c r="BL459" s="319" t="s">
        <v>190</v>
      </c>
      <c r="BM459" s="319" t="s">
        <v>190</v>
      </c>
      <c r="BN459" s="319" t="s">
        <v>190</v>
      </c>
      <c r="BO459" s="319" t="s">
        <v>190</v>
      </c>
      <c r="BP459" s="319" t="s">
        <v>191</v>
      </c>
      <c r="BQ459" s="319" t="s">
        <v>190</v>
      </c>
      <c r="BR459" s="319" t="s">
        <v>190</v>
      </c>
      <c r="BS459" s="319" t="s">
        <v>190</v>
      </c>
      <c r="BT459" s="319" t="s">
        <v>190</v>
      </c>
      <c r="BU459" s="319" t="s">
        <v>190</v>
      </c>
      <c r="BV459" s="319" t="s">
        <v>190</v>
      </c>
      <c r="BW459" s="319" t="s">
        <v>190</v>
      </c>
      <c r="BX459" s="319" t="s">
        <v>190</v>
      </c>
      <c r="BY459" s="319" t="s">
        <v>190</v>
      </c>
      <c r="BZ459" s="319" t="s">
        <v>190</v>
      </c>
      <c r="CA459" s="319" t="s">
        <v>190</v>
      </c>
      <c r="CB459" s="319" t="s">
        <v>190</v>
      </c>
      <c r="CC459" s="319" t="s">
        <v>190</v>
      </c>
      <c r="CD459" s="319" t="s">
        <v>190</v>
      </c>
      <c r="CE459" s="319" t="s">
        <v>190</v>
      </c>
      <c r="CF459" s="319" t="s">
        <v>190</v>
      </c>
      <c r="CG459" s="319" t="s">
        <v>190</v>
      </c>
      <c r="CH459" s="319" t="s">
        <v>190</v>
      </c>
      <c r="CI459" s="319" t="s">
        <v>190</v>
      </c>
      <c r="CJ459" s="319" t="s">
        <v>190</v>
      </c>
      <c r="CK459" s="319" t="s">
        <v>190</v>
      </c>
      <c r="CL459" s="319" t="s">
        <v>190</v>
      </c>
      <c r="CM459" s="319" t="s">
        <v>190</v>
      </c>
      <c r="CN459" s="319" t="s">
        <v>428</v>
      </c>
      <c r="CO459" s="319" t="s">
        <v>428</v>
      </c>
      <c r="CP459" s="319" t="s">
        <v>428</v>
      </c>
      <c r="CQ459" s="319" t="s">
        <v>190</v>
      </c>
      <c r="CR459" s="319" t="s">
        <v>190</v>
      </c>
      <c r="CS459" s="319" t="s">
        <v>190</v>
      </c>
      <c r="CT459" s="319" t="s">
        <v>190</v>
      </c>
      <c r="CU459" s="319" t="s">
        <v>190</v>
      </c>
      <c r="CV459" s="319" t="s">
        <v>190</v>
      </c>
      <c r="CW459" s="319" t="s">
        <v>190</v>
      </c>
      <c r="CX459" s="319" t="s">
        <v>190</v>
      </c>
      <c r="CY459" s="319" t="s">
        <v>190</v>
      </c>
      <c r="CZ459" s="319" t="s">
        <v>190</v>
      </c>
      <c r="DA459" s="319" t="s">
        <v>190</v>
      </c>
      <c r="DB459" s="319" t="s">
        <v>190</v>
      </c>
      <c r="DC459" s="319" t="s">
        <v>190</v>
      </c>
      <c r="DD459" s="319" t="s">
        <v>190</v>
      </c>
      <c r="DE459" s="319" t="s">
        <v>190</v>
      </c>
      <c r="DF459" s="319" t="s">
        <v>190</v>
      </c>
      <c r="DG459" s="319" t="s">
        <v>190</v>
      </c>
      <c r="DH459" s="319" t="s">
        <v>190</v>
      </c>
      <c r="DI459" s="319" t="s">
        <v>190</v>
      </c>
      <c r="DJ459" s="319" t="s">
        <v>190</v>
      </c>
      <c r="DK459" s="319" t="s">
        <v>190</v>
      </c>
      <c r="DL459" s="319" t="s">
        <v>190</v>
      </c>
      <c r="DM459" s="319" t="s">
        <v>428</v>
      </c>
      <c r="DN459" s="319" t="s">
        <v>428</v>
      </c>
      <c r="DO459" s="319" t="s">
        <v>190</v>
      </c>
      <c r="DP459" s="319" t="s">
        <v>190</v>
      </c>
      <c r="DQ459" s="319" t="s">
        <v>190</v>
      </c>
      <c r="DR459" s="319" t="s">
        <v>190</v>
      </c>
      <c r="DS459" s="319" t="s">
        <v>190</v>
      </c>
      <c r="DT459" s="319" t="s">
        <v>190</v>
      </c>
      <c r="DU459" s="319" t="s">
        <v>190</v>
      </c>
      <c r="DV459" s="319" t="s">
        <v>173</v>
      </c>
      <c r="DW459" s="319" t="s">
        <v>190</v>
      </c>
      <c r="DX459" s="319" t="s">
        <v>190</v>
      </c>
      <c r="DY459" s="319" t="s">
        <v>190</v>
      </c>
      <c r="DZ459" s="319" t="s">
        <v>190</v>
      </c>
      <c r="EA459" s="319" t="s">
        <v>190</v>
      </c>
      <c r="EB459" s="319" t="s">
        <v>190</v>
      </c>
      <c r="EC459" s="319" t="s">
        <v>428</v>
      </c>
      <c r="ED459" s="319" t="s">
        <v>190</v>
      </c>
      <c r="EE459" s="319" t="s">
        <v>190</v>
      </c>
      <c r="EF459" s="319" t="s">
        <v>190</v>
      </c>
      <c r="EG459" s="319" t="s">
        <v>190</v>
      </c>
      <c r="EH459" s="319" t="s">
        <v>190</v>
      </c>
      <c r="EI459" s="319" t="s">
        <v>190</v>
      </c>
      <c r="EJ459" s="319" t="s">
        <v>190</v>
      </c>
      <c r="EK459" s="319" t="s">
        <v>190</v>
      </c>
      <c r="EL459" s="319" t="s">
        <v>190</v>
      </c>
      <c r="EM459" s="319" t="s">
        <v>190</v>
      </c>
      <c r="EN459" s="319" t="s">
        <v>190</v>
      </c>
      <c r="EO459" s="319" t="s">
        <v>190</v>
      </c>
      <c r="EP459" s="319" t="s">
        <v>190</v>
      </c>
      <c r="EQ459" s="319" t="s">
        <v>190</v>
      </c>
      <c r="ER459" s="319" t="s">
        <v>190</v>
      </c>
      <c r="ES459" s="319" t="s">
        <v>190</v>
      </c>
      <c r="ET459" s="319" t="s">
        <v>190</v>
      </c>
      <c r="EU459" s="319" t="s">
        <v>190</v>
      </c>
      <c r="EV459" s="319" t="s">
        <v>190</v>
      </c>
      <c r="EW459" s="319" t="s">
        <v>190</v>
      </c>
      <c r="EX459" s="319" t="s">
        <v>190</v>
      </c>
      <c r="EY459" s="319" t="s">
        <v>190</v>
      </c>
      <c r="EZ459" s="319" t="s">
        <v>190</v>
      </c>
      <c r="FA459" s="319" t="s">
        <v>190</v>
      </c>
      <c r="FB459" s="319" t="s">
        <v>428</v>
      </c>
      <c r="FC459" s="319" t="s">
        <v>428</v>
      </c>
      <c r="FD459" s="319" t="s">
        <v>428</v>
      </c>
      <c r="FE459" s="319" t="s">
        <v>428</v>
      </c>
      <c r="FF459" s="319" t="s">
        <v>428</v>
      </c>
      <c r="FG459" s="319" t="s">
        <v>428</v>
      </c>
      <c r="FH459" s="319" t="s">
        <v>190</v>
      </c>
      <c r="FI459" s="319" t="s">
        <v>190</v>
      </c>
      <c r="FJ459" s="319" t="s">
        <v>190</v>
      </c>
      <c r="FK459" s="319" t="s">
        <v>190</v>
      </c>
      <c r="FL459" s="319" t="s">
        <v>190</v>
      </c>
      <c r="FM459" s="319" t="s">
        <v>190</v>
      </c>
      <c r="FN459" s="319" t="s">
        <v>190</v>
      </c>
      <c r="FO459" s="319" t="s">
        <v>190</v>
      </c>
      <c r="FP459" s="319" t="s">
        <v>190</v>
      </c>
      <c r="FQ459" s="319" t="s">
        <v>190</v>
      </c>
      <c r="FR459" s="319" t="s">
        <v>190</v>
      </c>
      <c r="FS459" s="319" t="s">
        <v>428</v>
      </c>
      <c r="FT459" s="319" t="s">
        <v>190</v>
      </c>
      <c r="FU459" s="319" t="s">
        <v>190</v>
      </c>
      <c r="FV459" s="319" t="s">
        <v>190</v>
      </c>
      <c r="FW459" s="319" t="s">
        <v>190</v>
      </c>
      <c r="FX459" s="319" t="s">
        <v>190</v>
      </c>
      <c r="FY459" s="319" t="s">
        <v>190</v>
      </c>
      <c r="FZ459" s="319" t="s">
        <v>190</v>
      </c>
      <c r="GA459" s="319" t="s">
        <v>190</v>
      </c>
      <c r="GB459" s="319" t="s">
        <v>190</v>
      </c>
      <c r="GC459" s="319" t="s">
        <v>190</v>
      </c>
      <c r="GD459" s="319" t="s">
        <v>190</v>
      </c>
      <c r="GE459" s="319" t="s">
        <v>190</v>
      </c>
      <c r="GF459" s="319" t="s">
        <v>190</v>
      </c>
      <c r="GG459" s="319" t="s">
        <v>190</v>
      </c>
      <c r="GH459" s="319" t="s">
        <v>190</v>
      </c>
      <c r="GI459" s="319" t="s">
        <v>190</v>
      </c>
      <c r="GJ459" s="319" t="s">
        <v>190</v>
      </c>
      <c r="GK459" s="319" t="s">
        <v>428</v>
      </c>
      <c r="GL459" s="319" t="s">
        <v>190</v>
      </c>
      <c r="GM459" s="319" t="s">
        <v>190</v>
      </c>
      <c r="GN459" s="319" t="s">
        <v>190</v>
      </c>
      <c r="GO459" s="319" t="s">
        <v>190</v>
      </c>
      <c r="GP459" s="319" t="s">
        <v>190</v>
      </c>
      <c r="GQ459" s="319" t="s">
        <v>428</v>
      </c>
      <c r="GR459" s="319" t="s">
        <v>190</v>
      </c>
      <c r="GS459" s="319" t="s">
        <v>190</v>
      </c>
      <c r="GT459" s="319" t="s">
        <v>428</v>
      </c>
      <c r="GU459" s="319" t="s">
        <v>428</v>
      </c>
      <c r="GV459" s="319" t="s">
        <v>428</v>
      </c>
      <c r="GW459" s="319" t="s">
        <v>190</v>
      </c>
      <c r="GX459" s="319" t="s">
        <v>190</v>
      </c>
      <c r="GY459" s="319" t="s">
        <v>190</v>
      </c>
      <c r="GZ459" s="319" t="s">
        <v>190</v>
      </c>
      <c r="HA459" s="319" t="s">
        <v>190</v>
      </c>
      <c r="HB459" s="319" t="s">
        <v>428</v>
      </c>
      <c r="HC459" s="319" t="s">
        <v>190</v>
      </c>
      <c r="HD459" s="319" t="s">
        <v>190</v>
      </c>
      <c r="HE459" s="319" t="s">
        <v>190</v>
      </c>
      <c r="HF459" s="319" t="s">
        <v>190</v>
      </c>
      <c r="HG459" s="319" t="s">
        <v>190</v>
      </c>
      <c r="HH459" s="319" t="s">
        <v>190</v>
      </c>
      <c r="HI459" s="319" t="s">
        <v>190</v>
      </c>
      <c r="HJ459" s="319" t="s">
        <v>190</v>
      </c>
      <c r="HK459" s="319" t="s">
        <v>190</v>
      </c>
      <c r="HL459" s="319" t="s">
        <v>190</v>
      </c>
      <c r="HM459" s="319" t="s">
        <v>428</v>
      </c>
      <c r="HN459" s="319" t="s">
        <v>428</v>
      </c>
      <c r="HO459" s="319" t="s">
        <v>428</v>
      </c>
      <c r="HP459" s="319" t="s">
        <v>190</v>
      </c>
      <c r="HQ459" s="319" t="s">
        <v>190</v>
      </c>
      <c r="HR459" s="319" t="s">
        <v>190</v>
      </c>
      <c r="HS459" s="319" t="s">
        <v>190</v>
      </c>
      <c r="HT459" s="319" t="s">
        <v>190</v>
      </c>
      <c r="HU459" s="319" t="s">
        <v>190</v>
      </c>
      <c r="HV459" s="319" t="s">
        <v>190</v>
      </c>
      <c r="HW459" s="319" t="s">
        <v>190</v>
      </c>
      <c r="HX459" s="319" t="s">
        <v>190</v>
      </c>
      <c r="HY459" s="319" t="s">
        <v>190</v>
      </c>
      <c r="HZ459" s="319" t="s">
        <v>190</v>
      </c>
      <c r="IA459" s="319" t="s">
        <v>190</v>
      </c>
      <c r="IB459" s="319" t="s">
        <v>190</v>
      </c>
      <c r="IC459" s="319" t="s">
        <v>190</v>
      </c>
      <c r="ID459" s="319" t="s">
        <v>190</v>
      </c>
      <c r="IE459" s="319" t="s">
        <v>190</v>
      </c>
      <c r="IF459" s="319" t="s">
        <v>191</v>
      </c>
      <c r="IG459" s="319" t="s">
        <v>191</v>
      </c>
      <c r="IH459" s="319" t="s">
        <v>191</v>
      </c>
      <c r="II459" s="319" t="s">
        <v>190</v>
      </c>
      <c r="IJ459" s="319" t="s">
        <v>3226</v>
      </c>
      <c r="IK459" s="321">
        <v>41947</v>
      </c>
      <c r="IL459" s="321">
        <v>41949</v>
      </c>
      <c r="IM459" s="321">
        <v>41978</v>
      </c>
      <c r="IN459" s="319">
        <v>2</v>
      </c>
      <c r="IO459" s="319" t="s">
        <v>173</v>
      </c>
      <c r="IP459" s="319" t="s">
        <v>173</v>
      </c>
      <c r="IQ459" s="321" t="s">
        <v>173</v>
      </c>
      <c r="IR459" s="320" t="s">
        <v>173</v>
      </c>
      <c r="IS459" s="322" t="s">
        <v>173</v>
      </c>
      <c r="IT459" s="319" t="s">
        <v>173</v>
      </c>
    </row>
    <row r="460" spans="1:254" s="271" customFormat="1" x14ac:dyDescent="0.25">
      <c r="A460" s="318" t="str">
        <f>HYPERLINK("http://www.ofsted.gov.uk/inspection-reports/find-inspection-report/provider/ELS/134585 ","Ofsted School Webpage")</f>
        <v>Ofsted School Webpage</v>
      </c>
      <c r="B460" s="319">
        <v>134585</v>
      </c>
      <c r="C460" s="319">
        <v>3066096</v>
      </c>
      <c r="D460" s="319" t="s">
        <v>2702</v>
      </c>
      <c r="E460" s="319" t="s">
        <v>167</v>
      </c>
      <c r="F460" s="319" t="s">
        <v>81</v>
      </c>
      <c r="G460" s="319" t="s">
        <v>72</v>
      </c>
      <c r="H460" s="319" t="s">
        <v>72</v>
      </c>
      <c r="I460" s="319" t="s">
        <v>72</v>
      </c>
      <c r="J460" s="319" t="s">
        <v>424</v>
      </c>
      <c r="K460" s="319" t="s">
        <v>441</v>
      </c>
      <c r="L460" s="319" t="s">
        <v>441</v>
      </c>
      <c r="M460" s="319" t="s">
        <v>734</v>
      </c>
      <c r="N460" s="319" t="s">
        <v>3177</v>
      </c>
      <c r="O460" s="319" t="s">
        <v>868</v>
      </c>
      <c r="P460" s="319">
        <v>390</v>
      </c>
      <c r="Q460" s="319" t="s">
        <v>2766</v>
      </c>
      <c r="R460" s="320">
        <v>10054292</v>
      </c>
      <c r="S460" s="321">
        <v>43494</v>
      </c>
      <c r="T460" s="321">
        <v>43496</v>
      </c>
      <c r="U460" s="321">
        <v>43541</v>
      </c>
      <c r="V460" s="319" t="s">
        <v>425</v>
      </c>
      <c r="W460" s="319" t="s">
        <v>2767</v>
      </c>
      <c r="X460" s="319">
        <v>4</v>
      </c>
      <c r="Y460" s="319" t="s">
        <v>173</v>
      </c>
      <c r="Z460" s="319" t="s">
        <v>173</v>
      </c>
      <c r="AA460" s="319" t="s">
        <v>173</v>
      </c>
      <c r="AB460" s="319">
        <v>4</v>
      </c>
      <c r="AC460" s="319" t="s">
        <v>170</v>
      </c>
      <c r="AD460" s="319">
        <v>4</v>
      </c>
      <c r="AE460" s="319" t="s">
        <v>173</v>
      </c>
      <c r="AF460" s="319" t="s">
        <v>427</v>
      </c>
      <c r="AG460" s="319" t="s">
        <v>172</v>
      </c>
      <c r="AH460" s="319" t="s">
        <v>479</v>
      </c>
      <c r="AI460" s="319" t="s">
        <v>190</v>
      </c>
      <c r="AJ460" s="319" t="s">
        <v>479</v>
      </c>
      <c r="AK460" s="319" t="s">
        <v>479</v>
      </c>
      <c r="AL460" s="319" t="s">
        <v>190</v>
      </c>
      <c r="AM460" s="319" t="s">
        <v>190</v>
      </c>
      <c r="AN460" s="319" t="s">
        <v>190</v>
      </c>
      <c r="AO460" s="319" t="s">
        <v>479</v>
      </c>
      <c r="AP460" s="319" t="s">
        <v>190</v>
      </c>
      <c r="AQ460" s="319" t="s">
        <v>190</v>
      </c>
      <c r="AR460" s="319" t="s">
        <v>190</v>
      </c>
      <c r="AS460" s="319" t="s">
        <v>190</v>
      </c>
      <c r="AT460" s="319" t="s">
        <v>190</v>
      </c>
      <c r="AU460" s="319" t="s">
        <v>190</v>
      </c>
      <c r="AV460" s="319" t="s">
        <v>190</v>
      </c>
      <c r="AW460" s="319" t="s">
        <v>190</v>
      </c>
      <c r="AX460" s="319" t="s">
        <v>428</v>
      </c>
      <c r="AY460" s="319" t="s">
        <v>190</v>
      </c>
      <c r="AZ460" s="319" t="s">
        <v>190</v>
      </c>
      <c r="BA460" s="319" t="s">
        <v>190</v>
      </c>
      <c r="BB460" s="319" t="s">
        <v>190</v>
      </c>
      <c r="BC460" s="319" t="s">
        <v>190</v>
      </c>
      <c r="BD460" s="319" t="s">
        <v>190</v>
      </c>
      <c r="BE460" s="319" t="s">
        <v>190</v>
      </c>
      <c r="BF460" s="319" t="s">
        <v>190</v>
      </c>
      <c r="BG460" s="319" t="s">
        <v>428</v>
      </c>
      <c r="BH460" s="319" t="s">
        <v>190</v>
      </c>
      <c r="BI460" s="319" t="s">
        <v>190</v>
      </c>
      <c r="BJ460" s="319" t="s">
        <v>191</v>
      </c>
      <c r="BK460" s="319" t="s">
        <v>190</v>
      </c>
      <c r="BL460" s="319" t="s">
        <v>190</v>
      </c>
      <c r="BM460" s="319" t="s">
        <v>190</v>
      </c>
      <c r="BN460" s="319" t="s">
        <v>190</v>
      </c>
      <c r="BO460" s="319" t="s">
        <v>190</v>
      </c>
      <c r="BP460" s="319" t="s">
        <v>190</v>
      </c>
      <c r="BQ460" s="319" t="s">
        <v>190</v>
      </c>
      <c r="BR460" s="319" t="s">
        <v>190</v>
      </c>
      <c r="BS460" s="319" t="s">
        <v>190</v>
      </c>
      <c r="BT460" s="319" t="s">
        <v>191</v>
      </c>
      <c r="BU460" s="319" t="s">
        <v>190</v>
      </c>
      <c r="BV460" s="319" t="s">
        <v>190</v>
      </c>
      <c r="BW460" s="319" t="s">
        <v>190</v>
      </c>
      <c r="BX460" s="319" t="s">
        <v>190</v>
      </c>
      <c r="BY460" s="319" t="s">
        <v>190</v>
      </c>
      <c r="BZ460" s="319" t="s">
        <v>190</v>
      </c>
      <c r="CA460" s="319" t="s">
        <v>190</v>
      </c>
      <c r="CB460" s="319" t="s">
        <v>190</v>
      </c>
      <c r="CC460" s="319" t="s">
        <v>190</v>
      </c>
      <c r="CD460" s="319" t="s">
        <v>190</v>
      </c>
      <c r="CE460" s="319" t="s">
        <v>190</v>
      </c>
      <c r="CF460" s="319" t="s">
        <v>190</v>
      </c>
      <c r="CG460" s="319" t="s">
        <v>190</v>
      </c>
      <c r="CH460" s="319" t="s">
        <v>190</v>
      </c>
      <c r="CI460" s="319" t="s">
        <v>190</v>
      </c>
      <c r="CJ460" s="319" t="s">
        <v>190</v>
      </c>
      <c r="CK460" s="319" t="s">
        <v>191</v>
      </c>
      <c r="CL460" s="319" t="s">
        <v>191</v>
      </c>
      <c r="CM460" s="319" t="s">
        <v>191</v>
      </c>
      <c r="CN460" s="319" t="s">
        <v>428</v>
      </c>
      <c r="CO460" s="319" t="s">
        <v>428</v>
      </c>
      <c r="CP460" s="319" t="s">
        <v>428</v>
      </c>
      <c r="CQ460" s="319" t="s">
        <v>190</v>
      </c>
      <c r="CR460" s="319" t="s">
        <v>190</v>
      </c>
      <c r="CS460" s="319" t="s">
        <v>190</v>
      </c>
      <c r="CT460" s="319" t="s">
        <v>190</v>
      </c>
      <c r="CU460" s="319" t="s">
        <v>190</v>
      </c>
      <c r="CV460" s="319" t="s">
        <v>190</v>
      </c>
      <c r="CW460" s="319" t="s">
        <v>190</v>
      </c>
      <c r="CX460" s="319" t="s">
        <v>190</v>
      </c>
      <c r="CY460" s="319" t="s">
        <v>190</v>
      </c>
      <c r="CZ460" s="319" t="s">
        <v>190</v>
      </c>
      <c r="DA460" s="319" t="s">
        <v>190</v>
      </c>
      <c r="DB460" s="319" t="s">
        <v>190</v>
      </c>
      <c r="DC460" s="319" t="s">
        <v>190</v>
      </c>
      <c r="DD460" s="319" t="s">
        <v>190</v>
      </c>
      <c r="DE460" s="319" t="s">
        <v>190</v>
      </c>
      <c r="DF460" s="319" t="s">
        <v>190</v>
      </c>
      <c r="DG460" s="319" t="s">
        <v>190</v>
      </c>
      <c r="DH460" s="319" t="s">
        <v>190</v>
      </c>
      <c r="DI460" s="319" t="s">
        <v>190</v>
      </c>
      <c r="DJ460" s="319" t="s">
        <v>190</v>
      </c>
      <c r="DK460" s="319" t="s">
        <v>190</v>
      </c>
      <c r="DL460" s="319" t="s">
        <v>190</v>
      </c>
      <c r="DM460" s="319" t="s">
        <v>190</v>
      </c>
      <c r="DN460" s="319" t="s">
        <v>428</v>
      </c>
      <c r="DO460" s="319" t="s">
        <v>190</v>
      </c>
      <c r="DP460" s="319" t="s">
        <v>191</v>
      </c>
      <c r="DQ460" s="319" t="s">
        <v>190</v>
      </c>
      <c r="DR460" s="319" t="s">
        <v>190</v>
      </c>
      <c r="DS460" s="319" t="s">
        <v>190</v>
      </c>
      <c r="DT460" s="319" t="s">
        <v>190</v>
      </c>
      <c r="DU460" s="319" t="s">
        <v>191</v>
      </c>
      <c r="DV460" s="319" t="s">
        <v>173</v>
      </c>
      <c r="DW460" s="319" t="s">
        <v>190</v>
      </c>
      <c r="DX460" s="319" t="s">
        <v>190</v>
      </c>
      <c r="DY460" s="319" t="s">
        <v>191</v>
      </c>
      <c r="DZ460" s="319" t="s">
        <v>190</v>
      </c>
      <c r="EA460" s="319" t="s">
        <v>190</v>
      </c>
      <c r="EB460" s="319" t="s">
        <v>190</v>
      </c>
      <c r="EC460" s="319" t="s">
        <v>428</v>
      </c>
      <c r="ED460" s="319" t="s">
        <v>190</v>
      </c>
      <c r="EE460" s="319" t="s">
        <v>190</v>
      </c>
      <c r="EF460" s="319" t="s">
        <v>190</v>
      </c>
      <c r="EG460" s="319" t="s">
        <v>190</v>
      </c>
      <c r="EH460" s="319" t="s">
        <v>190</v>
      </c>
      <c r="EI460" s="319" t="s">
        <v>190</v>
      </c>
      <c r="EJ460" s="319" t="s">
        <v>190</v>
      </c>
      <c r="EK460" s="319" t="s">
        <v>190</v>
      </c>
      <c r="EL460" s="319" t="s">
        <v>190</v>
      </c>
      <c r="EM460" s="319" t="s">
        <v>190</v>
      </c>
      <c r="EN460" s="319" t="s">
        <v>190</v>
      </c>
      <c r="EO460" s="319" t="s">
        <v>190</v>
      </c>
      <c r="EP460" s="319" t="s">
        <v>190</v>
      </c>
      <c r="EQ460" s="319" t="s">
        <v>190</v>
      </c>
      <c r="ER460" s="319" t="s">
        <v>190</v>
      </c>
      <c r="ES460" s="319" t="s">
        <v>190</v>
      </c>
      <c r="ET460" s="319" t="s">
        <v>190</v>
      </c>
      <c r="EU460" s="319" t="s">
        <v>190</v>
      </c>
      <c r="EV460" s="319" t="s">
        <v>190</v>
      </c>
      <c r="EW460" s="319" t="s">
        <v>190</v>
      </c>
      <c r="EX460" s="319" t="s">
        <v>190</v>
      </c>
      <c r="EY460" s="319" t="s">
        <v>190</v>
      </c>
      <c r="EZ460" s="319" t="s">
        <v>190</v>
      </c>
      <c r="FA460" s="319" t="s">
        <v>190</v>
      </c>
      <c r="FB460" s="319" t="s">
        <v>191</v>
      </c>
      <c r="FC460" s="319" t="s">
        <v>190</v>
      </c>
      <c r="FD460" s="319" t="s">
        <v>191</v>
      </c>
      <c r="FE460" s="319" t="s">
        <v>190</v>
      </c>
      <c r="FF460" s="319" t="s">
        <v>428</v>
      </c>
      <c r="FG460" s="319" t="s">
        <v>190</v>
      </c>
      <c r="FH460" s="319" t="s">
        <v>190</v>
      </c>
      <c r="FI460" s="319" t="s">
        <v>190</v>
      </c>
      <c r="FJ460" s="319" t="s">
        <v>190</v>
      </c>
      <c r="FK460" s="319" t="s">
        <v>190</v>
      </c>
      <c r="FL460" s="319" t="s">
        <v>190</v>
      </c>
      <c r="FM460" s="319" t="s">
        <v>190</v>
      </c>
      <c r="FN460" s="319" t="s">
        <v>190</v>
      </c>
      <c r="FO460" s="319" t="s">
        <v>190</v>
      </c>
      <c r="FP460" s="319" t="s">
        <v>190</v>
      </c>
      <c r="FQ460" s="319" t="s">
        <v>190</v>
      </c>
      <c r="FR460" s="319" t="s">
        <v>190</v>
      </c>
      <c r="FS460" s="319" t="s">
        <v>428</v>
      </c>
      <c r="FT460" s="319" t="s">
        <v>190</v>
      </c>
      <c r="FU460" s="319" t="s">
        <v>190</v>
      </c>
      <c r="FV460" s="319" t="s">
        <v>190</v>
      </c>
      <c r="FW460" s="319" t="s">
        <v>190</v>
      </c>
      <c r="FX460" s="319" t="s">
        <v>190</v>
      </c>
      <c r="FY460" s="319" t="s">
        <v>190</v>
      </c>
      <c r="FZ460" s="319" t="s">
        <v>190</v>
      </c>
      <c r="GA460" s="319" t="s">
        <v>190</v>
      </c>
      <c r="GB460" s="319" t="s">
        <v>190</v>
      </c>
      <c r="GC460" s="319" t="s">
        <v>190</v>
      </c>
      <c r="GD460" s="319" t="s">
        <v>190</v>
      </c>
      <c r="GE460" s="319" t="s">
        <v>190</v>
      </c>
      <c r="GF460" s="319" t="s">
        <v>190</v>
      </c>
      <c r="GG460" s="319" t="s">
        <v>190</v>
      </c>
      <c r="GH460" s="319" t="s">
        <v>190</v>
      </c>
      <c r="GI460" s="319" t="s">
        <v>190</v>
      </c>
      <c r="GJ460" s="319" t="s">
        <v>190</v>
      </c>
      <c r="GK460" s="319" t="s">
        <v>428</v>
      </c>
      <c r="GL460" s="319" t="s">
        <v>190</v>
      </c>
      <c r="GM460" s="319" t="s">
        <v>190</v>
      </c>
      <c r="GN460" s="319" t="s">
        <v>190</v>
      </c>
      <c r="GO460" s="319" t="s">
        <v>190</v>
      </c>
      <c r="GP460" s="319" t="s">
        <v>190</v>
      </c>
      <c r="GQ460" s="319" t="s">
        <v>190</v>
      </c>
      <c r="GR460" s="319" t="s">
        <v>190</v>
      </c>
      <c r="GS460" s="319" t="s">
        <v>190</v>
      </c>
      <c r="GT460" s="319" t="s">
        <v>190</v>
      </c>
      <c r="GU460" s="319" t="s">
        <v>190</v>
      </c>
      <c r="GV460" s="319" t="s">
        <v>190</v>
      </c>
      <c r="GW460" s="319" t="s">
        <v>190</v>
      </c>
      <c r="GX460" s="319" t="s">
        <v>190</v>
      </c>
      <c r="GY460" s="319" t="s">
        <v>190</v>
      </c>
      <c r="GZ460" s="319" t="s">
        <v>190</v>
      </c>
      <c r="HA460" s="319" t="s">
        <v>428</v>
      </c>
      <c r="HB460" s="319" t="s">
        <v>428</v>
      </c>
      <c r="HC460" s="319" t="s">
        <v>190</v>
      </c>
      <c r="HD460" s="319" t="s">
        <v>190</v>
      </c>
      <c r="HE460" s="319" t="s">
        <v>190</v>
      </c>
      <c r="HF460" s="319" t="s">
        <v>190</v>
      </c>
      <c r="HG460" s="319" t="s">
        <v>190</v>
      </c>
      <c r="HH460" s="319" t="s">
        <v>190</v>
      </c>
      <c r="HI460" s="319" t="s">
        <v>190</v>
      </c>
      <c r="HJ460" s="319" t="s">
        <v>190</v>
      </c>
      <c r="HK460" s="319" t="s">
        <v>190</v>
      </c>
      <c r="HL460" s="319" t="s">
        <v>190</v>
      </c>
      <c r="HM460" s="319" t="s">
        <v>190</v>
      </c>
      <c r="HN460" s="319" t="s">
        <v>190</v>
      </c>
      <c r="HO460" s="319" t="s">
        <v>190</v>
      </c>
      <c r="HP460" s="319" t="s">
        <v>190</v>
      </c>
      <c r="HQ460" s="319" t="s">
        <v>190</v>
      </c>
      <c r="HR460" s="319" t="s">
        <v>190</v>
      </c>
      <c r="HS460" s="319" t="s">
        <v>190</v>
      </c>
      <c r="HT460" s="319" t="s">
        <v>190</v>
      </c>
      <c r="HU460" s="319" t="s">
        <v>190</v>
      </c>
      <c r="HV460" s="319" t="s">
        <v>190</v>
      </c>
      <c r="HW460" s="319" t="s">
        <v>190</v>
      </c>
      <c r="HX460" s="319" t="s">
        <v>190</v>
      </c>
      <c r="HY460" s="319" t="s">
        <v>190</v>
      </c>
      <c r="HZ460" s="319" t="s">
        <v>190</v>
      </c>
      <c r="IA460" s="319" t="s">
        <v>190</v>
      </c>
      <c r="IB460" s="319" t="s">
        <v>190</v>
      </c>
      <c r="IC460" s="319" t="s">
        <v>190</v>
      </c>
      <c r="ID460" s="319" t="s">
        <v>190</v>
      </c>
      <c r="IE460" s="319" t="s">
        <v>190</v>
      </c>
      <c r="IF460" s="319" t="s">
        <v>191</v>
      </c>
      <c r="IG460" s="319" t="s">
        <v>191</v>
      </c>
      <c r="IH460" s="319" t="s">
        <v>191</v>
      </c>
      <c r="II460" s="319" t="s">
        <v>191</v>
      </c>
      <c r="IJ460" s="319">
        <v>10007698</v>
      </c>
      <c r="IK460" s="321">
        <v>42277</v>
      </c>
      <c r="IL460" s="321">
        <v>42278</v>
      </c>
      <c r="IM460" s="321">
        <v>42331</v>
      </c>
      <c r="IN460" s="319">
        <v>2</v>
      </c>
      <c r="IO460" s="319">
        <v>10120964</v>
      </c>
      <c r="IP460" s="319" t="s">
        <v>985</v>
      </c>
      <c r="IQ460" s="321">
        <v>43719</v>
      </c>
      <c r="IR460" s="320" t="s">
        <v>2771</v>
      </c>
      <c r="IS460" s="322">
        <v>43748</v>
      </c>
      <c r="IT460" s="319" t="s">
        <v>165</v>
      </c>
    </row>
    <row r="461" spans="1:254" s="271" customFormat="1" x14ac:dyDescent="0.25">
      <c r="A461" s="318" t="str">
        <f>HYPERLINK("http://www.ofsted.gov.uk/inspection-reports/find-inspection-report/provider/ELS/134587 ","Ofsted School Webpage")</f>
        <v>Ofsted School Webpage</v>
      </c>
      <c r="B461" s="319">
        <v>134587</v>
      </c>
      <c r="C461" s="319">
        <v>3806116</v>
      </c>
      <c r="D461" s="319" t="s">
        <v>957</v>
      </c>
      <c r="E461" s="319" t="s">
        <v>167</v>
      </c>
      <c r="F461" s="319" t="s">
        <v>81</v>
      </c>
      <c r="G461" s="319" t="s">
        <v>72</v>
      </c>
      <c r="H461" s="319" t="s">
        <v>72</v>
      </c>
      <c r="I461" s="319" t="s">
        <v>72</v>
      </c>
      <c r="J461" s="319" t="s">
        <v>424</v>
      </c>
      <c r="K461" s="319" t="s">
        <v>458</v>
      </c>
      <c r="L461" s="319" t="s">
        <v>459</v>
      </c>
      <c r="M461" s="319" t="s">
        <v>595</v>
      </c>
      <c r="N461" s="319" t="s">
        <v>3064</v>
      </c>
      <c r="O461" s="319" t="s">
        <v>958</v>
      </c>
      <c r="P461" s="319">
        <v>108</v>
      </c>
      <c r="Q461" s="319" t="s">
        <v>2766</v>
      </c>
      <c r="R461" s="320">
        <v>10061267</v>
      </c>
      <c r="S461" s="321">
        <v>43522</v>
      </c>
      <c r="T461" s="321">
        <v>43524</v>
      </c>
      <c r="U461" s="321">
        <v>43550</v>
      </c>
      <c r="V461" s="319" t="s">
        <v>425</v>
      </c>
      <c r="W461" s="319" t="s">
        <v>2767</v>
      </c>
      <c r="X461" s="319">
        <v>3</v>
      </c>
      <c r="Y461" s="319" t="s">
        <v>173</v>
      </c>
      <c r="Z461" s="319" t="s">
        <v>173</v>
      </c>
      <c r="AA461" s="319" t="s">
        <v>173</v>
      </c>
      <c r="AB461" s="319">
        <v>3</v>
      </c>
      <c r="AC461" s="319" t="s">
        <v>169</v>
      </c>
      <c r="AD461" s="319" t="s">
        <v>173</v>
      </c>
      <c r="AE461" s="319" t="s">
        <v>173</v>
      </c>
      <c r="AF461" s="319" t="s">
        <v>427</v>
      </c>
      <c r="AG461" s="319" t="s">
        <v>171</v>
      </c>
      <c r="AH461" s="319" t="s">
        <v>190</v>
      </c>
      <c r="AI461" s="319" t="s">
        <v>190</v>
      </c>
      <c r="AJ461" s="319" t="s">
        <v>190</v>
      </c>
      <c r="AK461" s="319" t="s">
        <v>190</v>
      </c>
      <c r="AL461" s="319" t="s">
        <v>190</v>
      </c>
      <c r="AM461" s="319" t="s">
        <v>190</v>
      </c>
      <c r="AN461" s="319" t="s">
        <v>190</v>
      </c>
      <c r="AO461" s="319" t="s">
        <v>190</v>
      </c>
      <c r="AP461" s="319" t="s">
        <v>190</v>
      </c>
      <c r="AQ461" s="319" t="s">
        <v>190</v>
      </c>
      <c r="AR461" s="319" t="s">
        <v>190</v>
      </c>
      <c r="AS461" s="319" t="s">
        <v>190</v>
      </c>
      <c r="AT461" s="319" t="s">
        <v>190</v>
      </c>
      <c r="AU461" s="319" t="s">
        <v>190</v>
      </c>
      <c r="AV461" s="319" t="s">
        <v>190</v>
      </c>
      <c r="AW461" s="319" t="s">
        <v>190</v>
      </c>
      <c r="AX461" s="319" t="s">
        <v>428</v>
      </c>
      <c r="AY461" s="319" t="s">
        <v>190</v>
      </c>
      <c r="AZ461" s="319" t="s">
        <v>190</v>
      </c>
      <c r="BA461" s="319" t="s">
        <v>190</v>
      </c>
      <c r="BB461" s="319" t="s">
        <v>190</v>
      </c>
      <c r="BC461" s="319" t="s">
        <v>190</v>
      </c>
      <c r="BD461" s="319" t="s">
        <v>190</v>
      </c>
      <c r="BE461" s="319" t="s">
        <v>190</v>
      </c>
      <c r="BF461" s="319" t="s">
        <v>428</v>
      </c>
      <c r="BG461" s="319" t="s">
        <v>428</v>
      </c>
      <c r="BH461" s="319" t="s">
        <v>190</v>
      </c>
      <c r="BI461" s="319" t="s">
        <v>190</v>
      </c>
      <c r="BJ461" s="319" t="s">
        <v>190</v>
      </c>
      <c r="BK461" s="319" t="s">
        <v>190</v>
      </c>
      <c r="BL461" s="319" t="s">
        <v>190</v>
      </c>
      <c r="BM461" s="319" t="s">
        <v>190</v>
      </c>
      <c r="BN461" s="319" t="s">
        <v>190</v>
      </c>
      <c r="BO461" s="319" t="s">
        <v>190</v>
      </c>
      <c r="BP461" s="319" t="s">
        <v>190</v>
      </c>
      <c r="BQ461" s="319" t="s">
        <v>190</v>
      </c>
      <c r="BR461" s="319" t="s">
        <v>190</v>
      </c>
      <c r="BS461" s="319" t="s">
        <v>190</v>
      </c>
      <c r="BT461" s="319" t="s">
        <v>190</v>
      </c>
      <c r="BU461" s="319" t="s">
        <v>190</v>
      </c>
      <c r="BV461" s="319" t="s">
        <v>190</v>
      </c>
      <c r="BW461" s="319" t="s">
        <v>190</v>
      </c>
      <c r="BX461" s="319" t="s">
        <v>190</v>
      </c>
      <c r="BY461" s="319" t="s">
        <v>190</v>
      </c>
      <c r="BZ461" s="319" t="s">
        <v>190</v>
      </c>
      <c r="CA461" s="319" t="s">
        <v>190</v>
      </c>
      <c r="CB461" s="319" t="s">
        <v>190</v>
      </c>
      <c r="CC461" s="319" t="s">
        <v>190</v>
      </c>
      <c r="CD461" s="319" t="s">
        <v>190</v>
      </c>
      <c r="CE461" s="319" t="s">
        <v>190</v>
      </c>
      <c r="CF461" s="319" t="s">
        <v>190</v>
      </c>
      <c r="CG461" s="319" t="s">
        <v>190</v>
      </c>
      <c r="CH461" s="319" t="s">
        <v>190</v>
      </c>
      <c r="CI461" s="319" t="s">
        <v>190</v>
      </c>
      <c r="CJ461" s="319" t="s">
        <v>190</v>
      </c>
      <c r="CK461" s="319" t="s">
        <v>190</v>
      </c>
      <c r="CL461" s="319" t="s">
        <v>190</v>
      </c>
      <c r="CM461" s="319" t="s">
        <v>190</v>
      </c>
      <c r="CN461" s="319" t="s">
        <v>428</v>
      </c>
      <c r="CO461" s="319" t="s">
        <v>428</v>
      </c>
      <c r="CP461" s="319" t="s">
        <v>428</v>
      </c>
      <c r="CQ461" s="319" t="s">
        <v>190</v>
      </c>
      <c r="CR461" s="319" t="s">
        <v>190</v>
      </c>
      <c r="CS461" s="319" t="s">
        <v>190</v>
      </c>
      <c r="CT461" s="319" t="s">
        <v>190</v>
      </c>
      <c r="CU461" s="319" t="s">
        <v>190</v>
      </c>
      <c r="CV461" s="319" t="s">
        <v>190</v>
      </c>
      <c r="CW461" s="319" t="s">
        <v>190</v>
      </c>
      <c r="CX461" s="319" t="s">
        <v>190</v>
      </c>
      <c r="CY461" s="319" t="s">
        <v>190</v>
      </c>
      <c r="CZ461" s="319" t="s">
        <v>190</v>
      </c>
      <c r="DA461" s="319" t="s">
        <v>190</v>
      </c>
      <c r="DB461" s="319" t="s">
        <v>190</v>
      </c>
      <c r="DC461" s="319" t="s">
        <v>190</v>
      </c>
      <c r="DD461" s="319" t="s">
        <v>190</v>
      </c>
      <c r="DE461" s="319" t="s">
        <v>190</v>
      </c>
      <c r="DF461" s="319" t="s">
        <v>190</v>
      </c>
      <c r="DG461" s="319" t="s">
        <v>190</v>
      </c>
      <c r="DH461" s="319" t="s">
        <v>190</v>
      </c>
      <c r="DI461" s="319" t="s">
        <v>190</v>
      </c>
      <c r="DJ461" s="319" t="s">
        <v>190</v>
      </c>
      <c r="DK461" s="319" t="s">
        <v>190</v>
      </c>
      <c r="DL461" s="319" t="s">
        <v>190</v>
      </c>
      <c r="DM461" s="319" t="s">
        <v>428</v>
      </c>
      <c r="DN461" s="319" t="s">
        <v>428</v>
      </c>
      <c r="DO461" s="319" t="s">
        <v>190</v>
      </c>
      <c r="DP461" s="319" t="s">
        <v>428</v>
      </c>
      <c r="DQ461" s="319" t="s">
        <v>428</v>
      </c>
      <c r="DR461" s="319" t="s">
        <v>428</v>
      </c>
      <c r="DS461" s="319" t="s">
        <v>428</v>
      </c>
      <c r="DT461" s="319" t="s">
        <v>428</v>
      </c>
      <c r="DU461" s="319" t="s">
        <v>428</v>
      </c>
      <c r="DV461" s="319" t="s">
        <v>173</v>
      </c>
      <c r="DW461" s="319" t="s">
        <v>428</v>
      </c>
      <c r="DX461" s="319" t="s">
        <v>428</v>
      </c>
      <c r="DY461" s="319" t="s">
        <v>428</v>
      </c>
      <c r="DZ461" s="319" t="s">
        <v>428</v>
      </c>
      <c r="EA461" s="319" t="s">
        <v>428</v>
      </c>
      <c r="EB461" s="319" t="s">
        <v>428</v>
      </c>
      <c r="EC461" s="319" t="s">
        <v>428</v>
      </c>
      <c r="ED461" s="319" t="s">
        <v>428</v>
      </c>
      <c r="EE461" s="319" t="s">
        <v>428</v>
      </c>
      <c r="EF461" s="319" t="s">
        <v>428</v>
      </c>
      <c r="EG461" s="319" t="s">
        <v>428</v>
      </c>
      <c r="EH461" s="319" t="s">
        <v>428</v>
      </c>
      <c r="EI461" s="319" t="s">
        <v>428</v>
      </c>
      <c r="EJ461" s="319" t="s">
        <v>428</v>
      </c>
      <c r="EK461" s="319" t="s">
        <v>428</v>
      </c>
      <c r="EL461" s="319" t="s">
        <v>428</v>
      </c>
      <c r="EM461" s="319" t="s">
        <v>428</v>
      </c>
      <c r="EN461" s="319" t="s">
        <v>190</v>
      </c>
      <c r="EO461" s="319" t="s">
        <v>190</v>
      </c>
      <c r="EP461" s="319" t="s">
        <v>190</v>
      </c>
      <c r="EQ461" s="319" t="s">
        <v>190</v>
      </c>
      <c r="ER461" s="319" t="s">
        <v>190</v>
      </c>
      <c r="ES461" s="319" t="s">
        <v>190</v>
      </c>
      <c r="ET461" s="319" t="s">
        <v>190</v>
      </c>
      <c r="EU461" s="319" t="s">
        <v>190</v>
      </c>
      <c r="EV461" s="319" t="s">
        <v>190</v>
      </c>
      <c r="EW461" s="319" t="s">
        <v>190</v>
      </c>
      <c r="EX461" s="319" t="s">
        <v>190</v>
      </c>
      <c r="EY461" s="319" t="s">
        <v>190</v>
      </c>
      <c r="EZ461" s="319" t="s">
        <v>190</v>
      </c>
      <c r="FA461" s="319" t="s">
        <v>190</v>
      </c>
      <c r="FB461" s="319" t="s">
        <v>428</v>
      </c>
      <c r="FC461" s="319" t="s">
        <v>428</v>
      </c>
      <c r="FD461" s="319" t="s">
        <v>428</v>
      </c>
      <c r="FE461" s="319" t="s">
        <v>428</v>
      </c>
      <c r="FF461" s="319" t="s">
        <v>428</v>
      </c>
      <c r="FG461" s="319" t="s">
        <v>428</v>
      </c>
      <c r="FH461" s="319" t="s">
        <v>428</v>
      </c>
      <c r="FI461" s="319" t="s">
        <v>428</v>
      </c>
      <c r="FJ461" s="319" t="s">
        <v>429</v>
      </c>
      <c r="FK461" s="319" t="s">
        <v>428</v>
      </c>
      <c r="FL461" s="319" t="s">
        <v>190</v>
      </c>
      <c r="FM461" s="319" t="s">
        <v>190</v>
      </c>
      <c r="FN461" s="319" t="s">
        <v>428</v>
      </c>
      <c r="FO461" s="319" t="s">
        <v>190</v>
      </c>
      <c r="FP461" s="319" t="s">
        <v>190</v>
      </c>
      <c r="FQ461" s="319" t="s">
        <v>190</v>
      </c>
      <c r="FR461" s="319" t="s">
        <v>190</v>
      </c>
      <c r="FS461" s="319" t="s">
        <v>428</v>
      </c>
      <c r="FT461" s="319" t="s">
        <v>190</v>
      </c>
      <c r="FU461" s="319" t="s">
        <v>190</v>
      </c>
      <c r="FV461" s="319" t="s">
        <v>190</v>
      </c>
      <c r="FW461" s="319" t="s">
        <v>190</v>
      </c>
      <c r="FX461" s="319" t="s">
        <v>190</v>
      </c>
      <c r="FY461" s="319" t="s">
        <v>190</v>
      </c>
      <c r="FZ461" s="319" t="s">
        <v>190</v>
      </c>
      <c r="GA461" s="319" t="s">
        <v>190</v>
      </c>
      <c r="GB461" s="319" t="s">
        <v>190</v>
      </c>
      <c r="GC461" s="319" t="s">
        <v>190</v>
      </c>
      <c r="GD461" s="319" t="s">
        <v>190</v>
      </c>
      <c r="GE461" s="319" t="s">
        <v>190</v>
      </c>
      <c r="GF461" s="319" t="s">
        <v>190</v>
      </c>
      <c r="GG461" s="319" t="s">
        <v>190</v>
      </c>
      <c r="GH461" s="319" t="s">
        <v>190</v>
      </c>
      <c r="GI461" s="319" t="s">
        <v>190</v>
      </c>
      <c r="GJ461" s="319" t="s">
        <v>190</v>
      </c>
      <c r="GK461" s="319" t="s">
        <v>428</v>
      </c>
      <c r="GL461" s="319" t="s">
        <v>190</v>
      </c>
      <c r="GM461" s="319" t="s">
        <v>190</v>
      </c>
      <c r="GN461" s="319" t="s">
        <v>190</v>
      </c>
      <c r="GO461" s="319" t="s">
        <v>190</v>
      </c>
      <c r="GP461" s="319" t="s">
        <v>190</v>
      </c>
      <c r="GQ461" s="319" t="s">
        <v>428</v>
      </c>
      <c r="GR461" s="319" t="s">
        <v>190</v>
      </c>
      <c r="GS461" s="319" t="s">
        <v>190</v>
      </c>
      <c r="GT461" s="319" t="s">
        <v>428</v>
      </c>
      <c r="GU461" s="319" t="s">
        <v>428</v>
      </c>
      <c r="GV461" s="319" t="s">
        <v>190</v>
      </c>
      <c r="GW461" s="319" t="s">
        <v>190</v>
      </c>
      <c r="GX461" s="319" t="s">
        <v>190</v>
      </c>
      <c r="GY461" s="319" t="s">
        <v>190</v>
      </c>
      <c r="GZ461" s="319" t="s">
        <v>190</v>
      </c>
      <c r="HA461" s="319" t="s">
        <v>190</v>
      </c>
      <c r="HB461" s="319" t="s">
        <v>428</v>
      </c>
      <c r="HC461" s="319" t="s">
        <v>190</v>
      </c>
      <c r="HD461" s="319" t="s">
        <v>190</v>
      </c>
      <c r="HE461" s="319" t="s">
        <v>190</v>
      </c>
      <c r="HF461" s="319" t="s">
        <v>428</v>
      </c>
      <c r="HG461" s="319" t="s">
        <v>190</v>
      </c>
      <c r="HH461" s="319" t="s">
        <v>190</v>
      </c>
      <c r="HI461" s="319" t="s">
        <v>190</v>
      </c>
      <c r="HJ461" s="319" t="s">
        <v>190</v>
      </c>
      <c r="HK461" s="319" t="s">
        <v>190</v>
      </c>
      <c r="HL461" s="319" t="s">
        <v>428</v>
      </c>
      <c r="HM461" s="319" t="s">
        <v>428</v>
      </c>
      <c r="HN461" s="319" t="s">
        <v>428</v>
      </c>
      <c r="HO461" s="319" t="s">
        <v>428</v>
      </c>
      <c r="HP461" s="319" t="s">
        <v>190</v>
      </c>
      <c r="HQ461" s="319" t="s">
        <v>190</v>
      </c>
      <c r="HR461" s="319" t="s">
        <v>190</v>
      </c>
      <c r="HS461" s="319" t="s">
        <v>190</v>
      </c>
      <c r="HT461" s="319" t="s">
        <v>190</v>
      </c>
      <c r="HU461" s="319" t="s">
        <v>190</v>
      </c>
      <c r="HV461" s="319" t="s">
        <v>190</v>
      </c>
      <c r="HW461" s="319" t="s">
        <v>190</v>
      </c>
      <c r="HX461" s="319" t="s">
        <v>190</v>
      </c>
      <c r="HY461" s="319" t="s">
        <v>190</v>
      </c>
      <c r="HZ461" s="319" t="s">
        <v>190</v>
      </c>
      <c r="IA461" s="319" t="s">
        <v>190</v>
      </c>
      <c r="IB461" s="319" t="s">
        <v>190</v>
      </c>
      <c r="IC461" s="319" t="s">
        <v>190</v>
      </c>
      <c r="ID461" s="319" t="s">
        <v>190</v>
      </c>
      <c r="IE461" s="319" t="s">
        <v>190</v>
      </c>
      <c r="IF461" s="319" t="s">
        <v>190</v>
      </c>
      <c r="IG461" s="319" t="s">
        <v>190</v>
      </c>
      <c r="IH461" s="319" t="s">
        <v>190</v>
      </c>
      <c r="II461" s="319" t="s">
        <v>190</v>
      </c>
      <c r="IJ461" s="319">
        <v>10026034</v>
      </c>
      <c r="IK461" s="321">
        <v>42752</v>
      </c>
      <c r="IL461" s="321">
        <v>42754</v>
      </c>
      <c r="IM461" s="321">
        <v>42781</v>
      </c>
      <c r="IN461" s="319">
        <v>3</v>
      </c>
      <c r="IO461" s="319" t="s">
        <v>173</v>
      </c>
      <c r="IP461" s="319" t="s">
        <v>173</v>
      </c>
      <c r="IQ461" s="321" t="s">
        <v>173</v>
      </c>
      <c r="IR461" s="320" t="s">
        <v>173</v>
      </c>
      <c r="IS461" s="322" t="s">
        <v>173</v>
      </c>
      <c r="IT461" s="319" t="s">
        <v>173</v>
      </c>
    </row>
    <row r="462" spans="1:254" s="271" customFormat="1" x14ac:dyDescent="0.25">
      <c r="A462" s="318" t="str">
        <f>HYPERLINK("http://www.ofsted.gov.uk/inspection-reports/find-inspection-report/provider/ELS/134591 ","Ofsted School Webpage")</f>
        <v>Ofsted School Webpage</v>
      </c>
      <c r="B462" s="319">
        <v>134591</v>
      </c>
      <c r="C462" s="319">
        <v>3166065</v>
      </c>
      <c r="D462" s="319" t="s">
        <v>708</v>
      </c>
      <c r="E462" s="319" t="s">
        <v>167</v>
      </c>
      <c r="F462" s="319" t="s">
        <v>81</v>
      </c>
      <c r="G462" s="319" t="s">
        <v>72</v>
      </c>
      <c r="H462" s="319" t="s">
        <v>72</v>
      </c>
      <c r="I462" s="319" t="s">
        <v>72</v>
      </c>
      <c r="J462" s="319" t="s">
        <v>424</v>
      </c>
      <c r="K462" s="319" t="s">
        <v>441</v>
      </c>
      <c r="L462" s="319" t="s">
        <v>441</v>
      </c>
      <c r="M462" s="319" t="s">
        <v>709</v>
      </c>
      <c r="N462" s="319" t="s">
        <v>3227</v>
      </c>
      <c r="O462" s="319" t="s">
        <v>710</v>
      </c>
      <c r="P462" s="319">
        <v>8</v>
      </c>
      <c r="Q462" s="319" t="s">
        <v>2766</v>
      </c>
      <c r="R462" s="320">
        <v>10054293</v>
      </c>
      <c r="S462" s="321">
        <v>43431</v>
      </c>
      <c r="T462" s="321">
        <v>43433</v>
      </c>
      <c r="U462" s="321">
        <v>43481</v>
      </c>
      <c r="V462" s="319" t="s">
        <v>425</v>
      </c>
      <c r="W462" s="319" t="s">
        <v>2767</v>
      </c>
      <c r="X462" s="319">
        <v>2</v>
      </c>
      <c r="Y462" s="319" t="s">
        <v>173</v>
      </c>
      <c r="Z462" s="319" t="s">
        <v>173</v>
      </c>
      <c r="AA462" s="319" t="s">
        <v>173</v>
      </c>
      <c r="AB462" s="319">
        <v>1</v>
      </c>
      <c r="AC462" s="319" t="s">
        <v>169</v>
      </c>
      <c r="AD462" s="319" t="s">
        <v>173</v>
      </c>
      <c r="AE462" s="319" t="s">
        <v>173</v>
      </c>
      <c r="AF462" s="319" t="s">
        <v>427</v>
      </c>
      <c r="AG462" s="319" t="s">
        <v>171</v>
      </c>
      <c r="AH462" s="319" t="s">
        <v>190</v>
      </c>
      <c r="AI462" s="319" t="s">
        <v>190</v>
      </c>
      <c r="AJ462" s="319" t="s">
        <v>190</v>
      </c>
      <c r="AK462" s="319" t="s">
        <v>190</v>
      </c>
      <c r="AL462" s="319" t="s">
        <v>190</v>
      </c>
      <c r="AM462" s="319" t="s">
        <v>190</v>
      </c>
      <c r="AN462" s="319" t="s">
        <v>190</v>
      </c>
      <c r="AO462" s="319" t="s">
        <v>190</v>
      </c>
      <c r="AP462" s="319" t="s">
        <v>190</v>
      </c>
      <c r="AQ462" s="319" t="s">
        <v>190</v>
      </c>
      <c r="AR462" s="319" t="s">
        <v>190</v>
      </c>
      <c r="AS462" s="319" t="s">
        <v>190</v>
      </c>
      <c r="AT462" s="319" t="s">
        <v>190</v>
      </c>
      <c r="AU462" s="319" t="s">
        <v>190</v>
      </c>
      <c r="AV462" s="319" t="s">
        <v>190</v>
      </c>
      <c r="AW462" s="319" t="s">
        <v>190</v>
      </c>
      <c r="AX462" s="319" t="s">
        <v>428</v>
      </c>
      <c r="AY462" s="319" t="s">
        <v>190</v>
      </c>
      <c r="AZ462" s="319" t="s">
        <v>190</v>
      </c>
      <c r="BA462" s="319" t="s">
        <v>190</v>
      </c>
      <c r="BB462" s="319" t="s">
        <v>428</v>
      </c>
      <c r="BC462" s="319" t="s">
        <v>428</v>
      </c>
      <c r="BD462" s="319" t="s">
        <v>428</v>
      </c>
      <c r="BE462" s="319" t="s">
        <v>428</v>
      </c>
      <c r="BF462" s="319" t="s">
        <v>428</v>
      </c>
      <c r="BG462" s="319" t="s">
        <v>190</v>
      </c>
      <c r="BH462" s="319" t="s">
        <v>190</v>
      </c>
      <c r="BI462" s="319" t="s">
        <v>190</v>
      </c>
      <c r="BJ462" s="319" t="s">
        <v>190</v>
      </c>
      <c r="BK462" s="319" t="s">
        <v>190</v>
      </c>
      <c r="BL462" s="319" t="s">
        <v>190</v>
      </c>
      <c r="BM462" s="319" t="s">
        <v>190</v>
      </c>
      <c r="BN462" s="319" t="s">
        <v>190</v>
      </c>
      <c r="BO462" s="319" t="s">
        <v>190</v>
      </c>
      <c r="BP462" s="319" t="s">
        <v>190</v>
      </c>
      <c r="BQ462" s="319" t="s">
        <v>190</v>
      </c>
      <c r="BR462" s="319" t="s">
        <v>190</v>
      </c>
      <c r="BS462" s="319" t="s">
        <v>190</v>
      </c>
      <c r="BT462" s="319" t="s">
        <v>190</v>
      </c>
      <c r="BU462" s="319" t="s">
        <v>190</v>
      </c>
      <c r="BV462" s="319" t="s">
        <v>190</v>
      </c>
      <c r="BW462" s="319" t="s">
        <v>190</v>
      </c>
      <c r="BX462" s="319" t="s">
        <v>190</v>
      </c>
      <c r="BY462" s="319" t="s">
        <v>190</v>
      </c>
      <c r="BZ462" s="319" t="s">
        <v>190</v>
      </c>
      <c r="CA462" s="319" t="s">
        <v>190</v>
      </c>
      <c r="CB462" s="319" t="s">
        <v>190</v>
      </c>
      <c r="CC462" s="319" t="s">
        <v>190</v>
      </c>
      <c r="CD462" s="319" t="s">
        <v>190</v>
      </c>
      <c r="CE462" s="319" t="s">
        <v>190</v>
      </c>
      <c r="CF462" s="319" t="s">
        <v>190</v>
      </c>
      <c r="CG462" s="319" t="s">
        <v>190</v>
      </c>
      <c r="CH462" s="319" t="s">
        <v>190</v>
      </c>
      <c r="CI462" s="319" t="s">
        <v>190</v>
      </c>
      <c r="CJ462" s="319" t="s">
        <v>190</v>
      </c>
      <c r="CK462" s="319" t="s">
        <v>190</v>
      </c>
      <c r="CL462" s="319" t="s">
        <v>190</v>
      </c>
      <c r="CM462" s="319" t="s">
        <v>190</v>
      </c>
      <c r="CN462" s="319" t="s">
        <v>428</v>
      </c>
      <c r="CO462" s="319" t="s">
        <v>428</v>
      </c>
      <c r="CP462" s="319" t="s">
        <v>428</v>
      </c>
      <c r="CQ462" s="319" t="s">
        <v>190</v>
      </c>
      <c r="CR462" s="319" t="s">
        <v>190</v>
      </c>
      <c r="CS462" s="319" t="s">
        <v>190</v>
      </c>
      <c r="CT462" s="319" t="s">
        <v>190</v>
      </c>
      <c r="CU462" s="319" t="s">
        <v>190</v>
      </c>
      <c r="CV462" s="319" t="s">
        <v>190</v>
      </c>
      <c r="CW462" s="319" t="s">
        <v>190</v>
      </c>
      <c r="CX462" s="319" t="s">
        <v>190</v>
      </c>
      <c r="CY462" s="319" t="s">
        <v>190</v>
      </c>
      <c r="CZ462" s="319" t="s">
        <v>190</v>
      </c>
      <c r="DA462" s="319" t="s">
        <v>190</v>
      </c>
      <c r="DB462" s="319" t="s">
        <v>190</v>
      </c>
      <c r="DC462" s="319" t="s">
        <v>190</v>
      </c>
      <c r="DD462" s="319" t="s">
        <v>190</v>
      </c>
      <c r="DE462" s="319" t="s">
        <v>190</v>
      </c>
      <c r="DF462" s="319" t="s">
        <v>190</v>
      </c>
      <c r="DG462" s="319" t="s">
        <v>190</v>
      </c>
      <c r="DH462" s="319" t="s">
        <v>190</v>
      </c>
      <c r="DI462" s="319" t="s">
        <v>190</v>
      </c>
      <c r="DJ462" s="319" t="s">
        <v>190</v>
      </c>
      <c r="DK462" s="319" t="s">
        <v>190</v>
      </c>
      <c r="DL462" s="319" t="s">
        <v>190</v>
      </c>
      <c r="DM462" s="319" t="s">
        <v>428</v>
      </c>
      <c r="DN462" s="319" t="s">
        <v>428</v>
      </c>
      <c r="DO462" s="319" t="s">
        <v>190</v>
      </c>
      <c r="DP462" s="319" t="s">
        <v>190</v>
      </c>
      <c r="DQ462" s="319" t="s">
        <v>190</v>
      </c>
      <c r="DR462" s="319" t="s">
        <v>190</v>
      </c>
      <c r="DS462" s="319" t="s">
        <v>190</v>
      </c>
      <c r="DT462" s="319" t="s">
        <v>190</v>
      </c>
      <c r="DU462" s="319" t="s">
        <v>190</v>
      </c>
      <c r="DV462" s="319" t="s">
        <v>173</v>
      </c>
      <c r="DW462" s="319" t="s">
        <v>190</v>
      </c>
      <c r="DX462" s="319" t="s">
        <v>190</v>
      </c>
      <c r="DY462" s="319" t="s">
        <v>190</v>
      </c>
      <c r="DZ462" s="319" t="s">
        <v>190</v>
      </c>
      <c r="EA462" s="319" t="s">
        <v>190</v>
      </c>
      <c r="EB462" s="319" t="s">
        <v>190</v>
      </c>
      <c r="EC462" s="319" t="s">
        <v>428</v>
      </c>
      <c r="ED462" s="319" t="s">
        <v>190</v>
      </c>
      <c r="EE462" s="319" t="s">
        <v>190</v>
      </c>
      <c r="EF462" s="319" t="s">
        <v>190</v>
      </c>
      <c r="EG462" s="319" t="s">
        <v>190</v>
      </c>
      <c r="EH462" s="319" t="s">
        <v>190</v>
      </c>
      <c r="EI462" s="319" t="s">
        <v>190</v>
      </c>
      <c r="EJ462" s="319" t="s">
        <v>190</v>
      </c>
      <c r="EK462" s="319" t="s">
        <v>190</v>
      </c>
      <c r="EL462" s="319" t="s">
        <v>428</v>
      </c>
      <c r="EM462" s="319" t="s">
        <v>190</v>
      </c>
      <c r="EN462" s="319" t="s">
        <v>190</v>
      </c>
      <c r="EO462" s="319" t="s">
        <v>190</v>
      </c>
      <c r="EP462" s="319" t="s">
        <v>190</v>
      </c>
      <c r="EQ462" s="319" t="s">
        <v>190</v>
      </c>
      <c r="ER462" s="319" t="s">
        <v>190</v>
      </c>
      <c r="ES462" s="319" t="s">
        <v>190</v>
      </c>
      <c r="ET462" s="319" t="s">
        <v>190</v>
      </c>
      <c r="EU462" s="319" t="s">
        <v>190</v>
      </c>
      <c r="EV462" s="319" t="s">
        <v>190</v>
      </c>
      <c r="EW462" s="319" t="s">
        <v>173</v>
      </c>
      <c r="EX462" s="319" t="s">
        <v>190</v>
      </c>
      <c r="EY462" s="319" t="s">
        <v>190</v>
      </c>
      <c r="EZ462" s="319" t="s">
        <v>190</v>
      </c>
      <c r="FA462" s="319" t="s">
        <v>190</v>
      </c>
      <c r="FB462" s="319" t="s">
        <v>190</v>
      </c>
      <c r="FC462" s="319" t="s">
        <v>190</v>
      </c>
      <c r="FD462" s="319" t="s">
        <v>190</v>
      </c>
      <c r="FE462" s="319" t="s">
        <v>190</v>
      </c>
      <c r="FF462" s="319" t="s">
        <v>190</v>
      </c>
      <c r="FG462" s="319" t="s">
        <v>190</v>
      </c>
      <c r="FH462" s="319" t="s">
        <v>190</v>
      </c>
      <c r="FI462" s="319" t="s">
        <v>190</v>
      </c>
      <c r="FJ462" s="319" t="s">
        <v>190</v>
      </c>
      <c r="FK462" s="319" t="s">
        <v>190</v>
      </c>
      <c r="FL462" s="319" t="s">
        <v>190</v>
      </c>
      <c r="FM462" s="319" t="s">
        <v>190</v>
      </c>
      <c r="FN462" s="319" t="s">
        <v>190</v>
      </c>
      <c r="FO462" s="319" t="s">
        <v>428</v>
      </c>
      <c r="FP462" s="319" t="s">
        <v>190</v>
      </c>
      <c r="FQ462" s="319" t="s">
        <v>190</v>
      </c>
      <c r="FR462" s="319" t="s">
        <v>190</v>
      </c>
      <c r="FS462" s="319" t="s">
        <v>428</v>
      </c>
      <c r="FT462" s="319" t="s">
        <v>190</v>
      </c>
      <c r="FU462" s="319" t="s">
        <v>190</v>
      </c>
      <c r="FV462" s="319" t="s">
        <v>190</v>
      </c>
      <c r="FW462" s="319" t="s">
        <v>190</v>
      </c>
      <c r="FX462" s="319" t="s">
        <v>190</v>
      </c>
      <c r="FY462" s="319" t="s">
        <v>190</v>
      </c>
      <c r="FZ462" s="319" t="s">
        <v>190</v>
      </c>
      <c r="GA462" s="319" t="s">
        <v>190</v>
      </c>
      <c r="GB462" s="319" t="s">
        <v>190</v>
      </c>
      <c r="GC462" s="319" t="s">
        <v>190</v>
      </c>
      <c r="GD462" s="319" t="s">
        <v>190</v>
      </c>
      <c r="GE462" s="319" t="s">
        <v>190</v>
      </c>
      <c r="GF462" s="319" t="s">
        <v>190</v>
      </c>
      <c r="GG462" s="319" t="s">
        <v>190</v>
      </c>
      <c r="GH462" s="319" t="s">
        <v>190</v>
      </c>
      <c r="GI462" s="319" t="s">
        <v>190</v>
      </c>
      <c r="GJ462" s="319" t="s">
        <v>190</v>
      </c>
      <c r="GK462" s="319" t="s">
        <v>428</v>
      </c>
      <c r="GL462" s="319" t="s">
        <v>190</v>
      </c>
      <c r="GM462" s="319" t="s">
        <v>190</v>
      </c>
      <c r="GN462" s="319" t="s">
        <v>190</v>
      </c>
      <c r="GO462" s="319" t="s">
        <v>190</v>
      </c>
      <c r="GP462" s="319" t="s">
        <v>190</v>
      </c>
      <c r="GQ462" s="319" t="s">
        <v>190</v>
      </c>
      <c r="GR462" s="319" t="s">
        <v>190</v>
      </c>
      <c r="GS462" s="319" t="s">
        <v>190</v>
      </c>
      <c r="GT462" s="319" t="s">
        <v>428</v>
      </c>
      <c r="GU462" s="319" t="s">
        <v>428</v>
      </c>
      <c r="GV462" s="319" t="s">
        <v>190</v>
      </c>
      <c r="GW462" s="319" t="s">
        <v>190</v>
      </c>
      <c r="GX462" s="319" t="s">
        <v>190</v>
      </c>
      <c r="GY462" s="319" t="s">
        <v>190</v>
      </c>
      <c r="GZ462" s="319" t="s">
        <v>190</v>
      </c>
      <c r="HA462" s="319" t="s">
        <v>190</v>
      </c>
      <c r="HB462" s="319" t="s">
        <v>190</v>
      </c>
      <c r="HC462" s="319" t="s">
        <v>190</v>
      </c>
      <c r="HD462" s="319" t="s">
        <v>190</v>
      </c>
      <c r="HE462" s="319" t="s">
        <v>190</v>
      </c>
      <c r="HF462" s="319" t="s">
        <v>428</v>
      </c>
      <c r="HG462" s="319" t="s">
        <v>190</v>
      </c>
      <c r="HH462" s="319" t="s">
        <v>190</v>
      </c>
      <c r="HI462" s="319" t="s">
        <v>190</v>
      </c>
      <c r="HJ462" s="319" t="s">
        <v>190</v>
      </c>
      <c r="HK462" s="319" t="s">
        <v>190</v>
      </c>
      <c r="HL462" s="319" t="s">
        <v>428</v>
      </c>
      <c r="HM462" s="319" t="s">
        <v>428</v>
      </c>
      <c r="HN462" s="319" t="s">
        <v>428</v>
      </c>
      <c r="HO462" s="319" t="s">
        <v>428</v>
      </c>
      <c r="HP462" s="319" t="s">
        <v>190</v>
      </c>
      <c r="HQ462" s="319" t="s">
        <v>190</v>
      </c>
      <c r="HR462" s="319" t="s">
        <v>190</v>
      </c>
      <c r="HS462" s="319" t="s">
        <v>190</v>
      </c>
      <c r="HT462" s="319" t="s">
        <v>190</v>
      </c>
      <c r="HU462" s="319" t="s">
        <v>190</v>
      </c>
      <c r="HV462" s="319" t="s">
        <v>190</v>
      </c>
      <c r="HW462" s="319" t="s">
        <v>190</v>
      </c>
      <c r="HX462" s="319" t="s">
        <v>190</v>
      </c>
      <c r="HY462" s="319" t="s">
        <v>190</v>
      </c>
      <c r="HZ462" s="319" t="s">
        <v>190</v>
      </c>
      <c r="IA462" s="319" t="s">
        <v>190</v>
      </c>
      <c r="IB462" s="319" t="s">
        <v>190</v>
      </c>
      <c r="IC462" s="319" t="s">
        <v>190</v>
      </c>
      <c r="ID462" s="319" t="s">
        <v>190</v>
      </c>
      <c r="IE462" s="319" t="s">
        <v>190</v>
      </c>
      <c r="IF462" s="319" t="s">
        <v>190</v>
      </c>
      <c r="IG462" s="319" t="s">
        <v>190</v>
      </c>
      <c r="IH462" s="319" t="s">
        <v>190</v>
      </c>
      <c r="II462" s="319" t="s">
        <v>190</v>
      </c>
      <c r="IJ462" s="319">
        <v>10006015</v>
      </c>
      <c r="IK462" s="321">
        <v>42633</v>
      </c>
      <c r="IL462" s="321">
        <v>42635</v>
      </c>
      <c r="IM462" s="321">
        <v>42675</v>
      </c>
      <c r="IN462" s="319">
        <v>4</v>
      </c>
      <c r="IO462" s="319" t="s">
        <v>173</v>
      </c>
      <c r="IP462" s="319" t="s">
        <v>173</v>
      </c>
      <c r="IQ462" s="321" t="s">
        <v>173</v>
      </c>
      <c r="IR462" s="320" t="s">
        <v>173</v>
      </c>
      <c r="IS462" s="322" t="s">
        <v>173</v>
      </c>
      <c r="IT462" s="319" t="s">
        <v>173</v>
      </c>
    </row>
    <row r="463" spans="1:254" s="271" customFormat="1" x14ac:dyDescent="0.25">
      <c r="A463" s="318" t="str">
        <f>HYPERLINK("http://www.ofsted.gov.uk/inspection-reports/find-inspection-report/provider/ELS/134594 ","Ofsted School Webpage")</f>
        <v>Ofsted School Webpage</v>
      </c>
      <c r="B463" s="319">
        <v>134594</v>
      </c>
      <c r="C463" s="319">
        <v>3156081</v>
      </c>
      <c r="D463" s="319" t="s">
        <v>1835</v>
      </c>
      <c r="E463" s="319" t="s">
        <v>168</v>
      </c>
      <c r="F463" s="319" t="s">
        <v>81</v>
      </c>
      <c r="G463" s="319" t="s">
        <v>81</v>
      </c>
      <c r="H463" s="319" t="s">
        <v>81</v>
      </c>
      <c r="I463" s="319" t="s">
        <v>78</v>
      </c>
      <c r="J463" s="319" t="s">
        <v>424</v>
      </c>
      <c r="K463" s="319" t="s">
        <v>441</v>
      </c>
      <c r="L463" s="319" t="s">
        <v>441</v>
      </c>
      <c r="M463" s="319" t="s">
        <v>1193</v>
      </c>
      <c r="N463" s="319" t="s">
        <v>2905</v>
      </c>
      <c r="O463" s="319" t="s">
        <v>1836</v>
      </c>
      <c r="P463" s="319">
        <v>62</v>
      </c>
      <c r="Q463" s="319" t="s">
        <v>429</v>
      </c>
      <c r="R463" s="320">
        <v>10119990</v>
      </c>
      <c r="S463" s="321">
        <v>43775</v>
      </c>
      <c r="T463" s="321">
        <v>43777</v>
      </c>
      <c r="U463" s="321">
        <v>43802</v>
      </c>
      <c r="V463" s="319" t="s">
        <v>425</v>
      </c>
      <c r="W463" s="319" t="s">
        <v>2767</v>
      </c>
      <c r="X463" s="319">
        <v>2</v>
      </c>
      <c r="Y463" s="319">
        <v>2</v>
      </c>
      <c r="Z463" s="319">
        <v>2</v>
      </c>
      <c r="AA463" s="319">
        <v>2</v>
      </c>
      <c r="AB463" s="319">
        <v>2</v>
      </c>
      <c r="AC463" s="319" t="s">
        <v>169</v>
      </c>
      <c r="AD463" s="319">
        <v>0</v>
      </c>
      <c r="AE463" s="319">
        <v>0</v>
      </c>
      <c r="AF463" s="319" t="s">
        <v>427</v>
      </c>
      <c r="AG463" s="319" t="s">
        <v>171</v>
      </c>
      <c r="AH463" s="319" t="s">
        <v>190</v>
      </c>
      <c r="AI463" s="319" t="s">
        <v>190</v>
      </c>
      <c r="AJ463" s="319" t="s">
        <v>190</v>
      </c>
      <c r="AK463" s="319" t="s">
        <v>190</v>
      </c>
      <c r="AL463" s="319" t="s">
        <v>190</v>
      </c>
      <c r="AM463" s="319" t="s">
        <v>190</v>
      </c>
      <c r="AN463" s="319" t="s">
        <v>190</v>
      </c>
      <c r="AO463" s="319" t="s">
        <v>190</v>
      </c>
      <c r="AP463" s="319" t="s">
        <v>190</v>
      </c>
      <c r="AQ463" s="319" t="s">
        <v>190</v>
      </c>
      <c r="AR463" s="319" t="s">
        <v>190</v>
      </c>
      <c r="AS463" s="319" t="s">
        <v>190</v>
      </c>
      <c r="AT463" s="319" t="s">
        <v>190</v>
      </c>
      <c r="AU463" s="319" t="s">
        <v>190</v>
      </c>
      <c r="AV463" s="319" t="s">
        <v>190</v>
      </c>
      <c r="AW463" s="319" t="s">
        <v>190</v>
      </c>
      <c r="AX463" s="319" t="s">
        <v>428</v>
      </c>
      <c r="AY463" s="319" t="s">
        <v>190</v>
      </c>
      <c r="AZ463" s="319" t="s">
        <v>190</v>
      </c>
      <c r="BA463" s="319" t="s">
        <v>190</v>
      </c>
      <c r="BB463" s="319" t="s">
        <v>428</v>
      </c>
      <c r="BC463" s="319" t="s">
        <v>428</v>
      </c>
      <c r="BD463" s="319" t="s">
        <v>428</v>
      </c>
      <c r="BE463" s="319" t="s">
        <v>428</v>
      </c>
      <c r="BF463" s="319" t="s">
        <v>428</v>
      </c>
      <c r="BG463" s="319" t="s">
        <v>428</v>
      </c>
      <c r="BH463" s="319" t="s">
        <v>190</v>
      </c>
      <c r="BI463" s="319" t="s">
        <v>190</v>
      </c>
      <c r="BJ463" s="319" t="s">
        <v>190</v>
      </c>
      <c r="BK463" s="319" t="s">
        <v>190</v>
      </c>
      <c r="BL463" s="319" t="s">
        <v>190</v>
      </c>
      <c r="BM463" s="319" t="s">
        <v>190</v>
      </c>
      <c r="BN463" s="319" t="s">
        <v>190</v>
      </c>
      <c r="BO463" s="319" t="s">
        <v>190</v>
      </c>
      <c r="BP463" s="319" t="s">
        <v>190</v>
      </c>
      <c r="BQ463" s="319" t="s">
        <v>190</v>
      </c>
      <c r="BR463" s="319" t="s">
        <v>190</v>
      </c>
      <c r="BS463" s="319" t="s">
        <v>190</v>
      </c>
      <c r="BT463" s="319" t="s">
        <v>190</v>
      </c>
      <c r="BU463" s="319" t="s">
        <v>190</v>
      </c>
      <c r="BV463" s="319" t="s">
        <v>190</v>
      </c>
      <c r="BW463" s="319" t="s">
        <v>190</v>
      </c>
      <c r="BX463" s="319" t="s">
        <v>190</v>
      </c>
      <c r="BY463" s="319" t="s">
        <v>190</v>
      </c>
      <c r="BZ463" s="319" t="s">
        <v>190</v>
      </c>
      <c r="CA463" s="319" t="s">
        <v>190</v>
      </c>
      <c r="CB463" s="319" t="s">
        <v>190</v>
      </c>
      <c r="CC463" s="319" t="s">
        <v>190</v>
      </c>
      <c r="CD463" s="319" t="s">
        <v>190</v>
      </c>
      <c r="CE463" s="319" t="s">
        <v>190</v>
      </c>
      <c r="CF463" s="319" t="s">
        <v>190</v>
      </c>
      <c r="CG463" s="319" t="s">
        <v>190</v>
      </c>
      <c r="CH463" s="319" t="s">
        <v>190</v>
      </c>
      <c r="CI463" s="319" t="s">
        <v>190</v>
      </c>
      <c r="CJ463" s="319" t="s">
        <v>190</v>
      </c>
      <c r="CK463" s="319" t="s">
        <v>190</v>
      </c>
      <c r="CL463" s="319" t="s">
        <v>190</v>
      </c>
      <c r="CM463" s="319" t="s">
        <v>190</v>
      </c>
      <c r="CN463" s="319" t="s">
        <v>428</v>
      </c>
      <c r="CO463" s="319" t="s">
        <v>428</v>
      </c>
      <c r="CP463" s="319" t="s">
        <v>428</v>
      </c>
      <c r="CQ463" s="319" t="s">
        <v>190</v>
      </c>
      <c r="CR463" s="319" t="s">
        <v>190</v>
      </c>
      <c r="CS463" s="319" t="s">
        <v>190</v>
      </c>
      <c r="CT463" s="319" t="s">
        <v>190</v>
      </c>
      <c r="CU463" s="319" t="s">
        <v>190</v>
      </c>
      <c r="CV463" s="319" t="s">
        <v>190</v>
      </c>
      <c r="CW463" s="319" t="s">
        <v>190</v>
      </c>
      <c r="CX463" s="319" t="s">
        <v>190</v>
      </c>
      <c r="CY463" s="319" t="s">
        <v>190</v>
      </c>
      <c r="CZ463" s="319" t="s">
        <v>190</v>
      </c>
      <c r="DA463" s="319" t="s">
        <v>190</v>
      </c>
      <c r="DB463" s="319" t="s">
        <v>190</v>
      </c>
      <c r="DC463" s="319" t="s">
        <v>190</v>
      </c>
      <c r="DD463" s="319" t="s">
        <v>190</v>
      </c>
      <c r="DE463" s="319" t="s">
        <v>190</v>
      </c>
      <c r="DF463" s="319" t="s">
        <v>190</v>
      </c>
      <c r="DG463" s="319" t="s">
        <v>190</v>
      </c>
      <c r="DH463" s="319" t="s">
        <v>190</v>
      </c>
      <c r="DI463" s="319" t="s">
        <v>190</v>
      </c>
      <c r="DJ463" s="319" t="s">
        <v>190</v>
      </c>
      <c r="DK463" s="319" t="s">
        <v>190</v>
      </c>
      <c r="DL463" s="319" t="s">
        <v>190</v>
      </c>
      <c r="DM463" s="319" t="s">
        <v>190</v>
      </c>
      <c r="DN463" s="319" t="s">
        <v>190</v>
      </c>
      <c r="DO463" s="319" t="s">
        <v>190</v>
      </c>
      <c r="DP463" s="319" t="s">
        <v>190</v>
      </c>
      <c r="DQ463" s="319" t="s">
        <v>190</v>
      </c>
      <c r="DR463" s="319" t="s">
        <v>190</v>
      </c>
      <c r="DS463" s="319" t="s">
        <v>190</v>
      </c>
      <c r="DT463" s="319" t="s">
        <v>190</v>
      </c>
      <c r="DU463" s="319" t="s">
        <v>190</v>
      </c>
      <c r="DV463" s="319" t="s">
        <v>190</v>
      </c>
      <c r="DW463" s="319" t="s">
        <v>190</v>
      </c>
      <c r="DX463" s="319" t="s">
        <v>190</v>
      </c>
      <c r="DY463" s="319" t="s">
        <v>190</v>
      </c>
      <c r="DZ463" s="319" t="s">
        <v>190</v>
      </c>
      <c r="EA463" s="319" t="s">
        <v>190</v>
      </c>
      <c r="EB463" s="319" t="s">
        <v>190</v>
      </c>
      <c r="EC463" s="319" t="s">
        <v>428</v>
      </c>
      <c r="ED463" s="319" t="s">
        <v>190</v>
      </c>
      <c r="EE463" s="319" t="s">
        <v>190</v>
      </c>
      <c r="EF463" s="319" t="s">
        <v>190</v>
      </c>
      <c r="EG463" s="319" t="s">
        <v>190</v>
      </c>
      <c r="EH463" s="319" t="s">
        <v>190</v>
      </c>
      <c r="EI463" s="319" t="s">
        <v>190</v>
      </c>
      <c r="EJ463" s="319" t="s">
        <v>190</v>
      </c>
      <c r="EK463" s="319" t="s">
        <v>190</v>
      </c>
      <c r="EL463" s="319" t="s">
        <v>190</v>
      </c>
      <c r="EM463" s="319" t="s">
        <v>190</v>
      </c>
      <c r="EN463" s="319" t="s">
        <v>190</v>
      </c>
      <c r="EO463" s="319" t="s">
        <v>190</v>
      </c>
      <c r="EP463" s="319" t="s">
        <v>190</v>
      </c>
      <c r="EQ463" s="319" t="s">
        <v>190</v>
      </c>
      <c r="ER463" s="319" t="s">
        <v>190</v>
      </c>
      <c r="ES463" s="319" t="s">
        <v>190</v>
      </c>
      <c r="ET463" s="319" t="s">
        <v>190</v>
      </c>
      <c r="EU463" s="319" t="s">
        <v>190</v>
      </c>
      <c r="EV463" s="319" t="s">
        <v>190</v>
      </c>
      <c r="EW463" s="319" t="s">
        <v>190</v>
      </c>
      <c r="EX463" s="319" t="s">
        <v>190</v>
      </c>
      <c r="EY463" s="319" t="s">
        <v>190</v>
      </c>
      <c r="EZ463" s="319" t="s">
        <v>190</v>
      </c>
      <c r="FA463" s="319" t="s">
        <v>190</v>
      </c>
      <c r="FB463" s="319" t="s">
        <v>190</v>
      </c>
      <c r="FC463" s="319" t="s">
        <v>190</v>
      </c>
      <c r="FD463" s="319" t="s">
        <v>190</v>
      </c>
      <c r="FE463" s="319" t="s">
        <v>190</v>
      </c>
      <c r="FF463" s="319" t="s">
        <v>190</v>
      </c>
      <c r="FG463" s="319" t="s">
        <v>190</v>
      </c>
      <c r="FH463" s="319" t="s">
        <v>428</v>
      </c>
      <c r="FI463" s="319" t="s">
        <v>428</v>
      </c>
      <c r="FJ463" s="319" t="s">
        <v>429</v>
      </c>
      <c r="FK463" s="319" t="s">
        <v>428</v>
      </c>
      <c r="FL463" s="319" t="s">
        <v>190</v>
      </c>
      <c r="FM463" s="319" t="s">
        <v>190</v>
      </c>
      <c r="FN463" s="319" t="s">
        <v>190</v>
      </c>
      <c r="FO463" s="319" t="s">
        <v>190</v>
      </c>
      <c r="FP463" s="319" t="s">
        <v>190</v>
      </c>
      <c r="FQ463" s="319" t="s">
        <v>190</v>
      </c>
      <c r="FR463" s="319" t="s">
        <v>190</v>
      </c>
      <c r="FS463" s="319" t="s">
        <v>190</v>
      </c>
      <c r="FT463" s="319" t="s">
        <v>190</v>
      </c>
      <c r="FU463" s="319" t="s">
        <v>190</v>
      </c>
      <c r="FV463" s="319" t="s">
        <v>190</v>
      </c>
      <c r="FW463" s="319" t="s">
        <v>190</v>
      </c>
      <c r="FX463" s="319" t="s">
        <v>190</v>
      </c>
      <c r="FY463" s="319" t="s">
        <v>190</v>
      </c>
      <c r="FZ463" s="319" t="s">
        <v>190</v>
      </c>
      <c r="GA463" s="319" t="s">
        <v>190</v>
      </c>
      <c r="GB463" s="319" t="s">
        <v>190</v>
      </c>
      <c r="GC463" s="319" t="s">
        <v>190</v>
      </c>
      <c r="GD463" s="319" t="s">
        <v>190</v>
      </c>
      <c r="GE463" s="319" t="s">
        <v>190</v>
      </c>
      <c r="GF463" s="319" t="s">
        <v>190</v>
      </c>
      <c r="GG463" s="319" t="s">
        <v>190</v>
      </c>
      <c r="GH463" s="319" t="s">
        <v>190</v>
      </c>
      <c r="GI463" s="319" t="s">
        <v>190</v>
      </c>
      <c r="GJ463" s="319" t="s">
        <v>190</v>
      </c>
      <c r="GK463" s="319" t="s">
        <v>428</v>
      </c>
      <c r="GL463" s="319" t="s">
        <v>190</v>
      </c>
      <c r="GM463" s="319" t="s">
        <v>190</v>
      </c>
      <c r="GN463" s="319" t="s">
        <v>190</v>
      </c>
      <c r="GO463" s="319" t="s">
        <v>190</v>
      </c>
      <c r="GP463" s="319" t="s">
        <v>190</v>
      </c>
      <c r="GQ463" s="319" t="s">
        <v>428</v>
      </c>
      <c r="GR463" s="319" t="s">
        <v>190</v>
      </c>
      <c r="GS463" s="319" t="s">
        <v>190</v>
      </c>
      <c r="GT463" s="319" t="s">
        <v>190</v>
      </c>
      <c r="GU463" s="319" t="s">
        <v>190</v>
      </c>
      <c r="GV463" s="319" t="s">
        <v>190</v>
      </c>
      <c r="GW463" s="319" t="s">
        <v>190</v>
      </c>
      <c r="GX463" s="319" t="s">
        <v>190</v>
      </c>
      <c r="GY463" s="319" t="s">
        <v>190</v>
      </c>
      <c r="GZ463" s="319" t="s">
        <v>190</v>
      </c>
      <c r="HA463" s="319" t="s">
        <v>428</v>
      </c>
      <c r="HB463" s="319" t="s">
        <v>190</v>
      </c>
      <c r="HC463" s="319" t="s">
        <v>190</v>
      </c>
      <c r="HD463" s="319" t="s">
        <v>190</v>
      </c>
      <c r="HE463" s="319" t="s">
        <v>190</v>
      </c>
      <c r="HF463" s="319" t="s">
        <v>190</v>
      </c>
      <c r="HG463" s="319" t="s">
        <v>190</v>
      </c>
      <c r="HH463" s="319" t="s">
        <v>190</v>
      </c>
      <c r="HI463" s="319" t="s">
        <v>190</v>
      </c>
      <c r="HJ463" s="319" t="s">
        <v>190</v>
      </c>
      <c r="HK463" s="319" t="s">
        <v>190</v>
      </c>
      <c r="HL463" s="319" t="s">
        <v>190</v>
      </c>
      <c r="HM463" s="319" t="s">
        <v>428</v>
      </c>
      <c r="HN463" s="319" t="s">
        <v>428</v>
      </c>
      <c r="HO463" s="319" t="s">
        <v>428</v>
      </c>
      <c r="HP463" s="319" t="s">
        <v>190</v>
      </c>
      <c r="HQ463" s="319" t="s">
        <v>190</v>
      </c>
      <c r="HR463" s="319" t="s">
        <v>190</v>
      </c>
      <c r="HS463" s="319" t="s">
        <v>190</v>
      </c>
      <c r="HT463" s="319" t="s">
        <v>190</v>
      </c>
      <c r="HU463" s="319" t="s">
        <v>190</v>
      </c>
      <c r="HV463" s="319" t="s">
        <v>190</v>
      </c>
      <c r="HW463" s="319" t="s">
        <v>190</v>
      </c>
      <c r="HX463" s="319" t="s">
        <v>190</v>
      </c>
      <c r="HY463" s="319" t="s">
        <v>190</v>
      </c>
      <c r="HZ463" s="319" t="s">
        <v>190</v>
      </c>
      <c r="IA463" s="319" t="s">
        <v>190</v>
      </c>
      <c r="IB463" s="319" t="s">
        <v>190</v>
      </c>
      <c r="IC463" s="319" t="s">
        <v>190</v>
      </c>
      <c r="ID463" s="319" t="s">
        <v>190</v>
      </c>
      <c r="IE463" s="319" t="s">
        <v>190</v>
      </c>
      <c r="IF463" s="319" t="s">
        <v>190</v>
      </c>
      <c r="IG463" s="319" t="s">
        <v>190</v>
      </c>
      <c r="IH463" s="319" t="s">
        <v>190</v>
      </c>
      <c r="II463" s="319" t="s">
        <v>190</v>
      </c>
      <c r="IJ463" s="319">
        <v>10038170</v>
      </c>
      <c r="IK463" s="321">
        <v>43053</v>
      </c>
      <c r="IL463" s="321">
        <v>43055</v>
      </c>
      <c r="IM463" s="321">
        <v>43089</v>
      </c>
      <c r="IN463" s="319">
        <v>2</v>
      </c>
      <c r="IO463" s="319" t="s">
        <v>173</v>
      </c>
      <c r="IP463" s="319" t="s">
        <v>173</v>
      </c>
      <c r="IQ463" s="321" t="s">
        <v>173</v>
      </c>
      <c r="IR463" s="320" t="s">
        <v>173</v>
      </c>
      <c r="IS463" s="322" t="s">
        <v>173</v>
      </c>
      <c r="IT463" s="319" t="s">
        <v>173</v>
      </c>
    </row>
    <row r="464" spans="1:254" s="271" customFormat="1" x14ac:dyDescent="0.25">
      <c r="A464" s="318" t="str">
        <f>HYPERLINK("http://www.ofsted.gov.uk/inspection-reports/find-inspection-report/provider/ELS/134595 ","Ofsted School Webpage")</f>
        <v>Ofsted School Webpage</v>
      </c>
      <c r="B464" s="319">
        <v>134595</v>
      </c>
      <c r="C464" s="319">
        <v>8566018</v>
      </c>
      <c r="D464" s="319" t="s">
        <v>1837</v>
      </c>
      <c r="E464" s="319" t="s">
        <v>167</v>
      </c>
      <c r="F464" s="319" t="s">
        <v>81</v>
      </c>
      <c r="G464" s="319" t="s">
        <v>59</v>
      </c>
      <c r="H464" s="319" t="s">
        <v>59</v>
      </c>
      <c r="I464" s="319" t="s">
        <v>59</v>
      </c>
      <c r="J464" s="319" t="s">
        <v>424</v>
      </c>
      <c r="K464" s="319" t="s">
        <v>506</v>
      </c>
      <c r="L464" s="319" t="s">
        <v>506</v>
      </c>
      <c r="M464" s="319" t="s">
        <v>521</v>
      </c>
      <c r="N464" s="319" t="s">
        <v>3228</v>
      </c>
      <c r="O464" s="319" t="s">
        <v>1838</v>
      </c>
      <c r="P464" s="319">
        <v>55</v>
      </c>
      <c r="Q464" s="319" t="s">
        <v>2766</v>
      </c>
      <c r="R464" s="320">
        <v>10039185</v>
      </c>
      <c r="S464" s="321">
        <v>43256</v>
      </c>
      <c r="T464" s="321">
        <v>43258</v>
      </c>
      <c r="U464" s="321">
        <v>43278</v>
      </c>
      <c r="V464" s="319" t="s">
        <v>425</v>
      </c>
      <c r="W464" s="319" t="s">
        <v>2767</v>
      </c>
      <c r="X464" s="319">
        <v>2</v>
      </c>
      <c r="Y464" s="319" t="s">
        <v>173</v>
      </c>
      <c r="Z464" s="319" t="s">
        <v>173</v>
      </c>
      <c r="AA464" s="319" t="s">
        <v>173</v>
      </c>
      <c r="AB464" s="319">
        <v>2</v>
      </c>
      <c r="AC464" s="319" t="s">
        <v>169</v>
      </c>
      <c r="AD464" s="319">
        <v>2</v>
      </c>
      <c r="AE464" s="319" t="s">
        <v>173</v>
      </c>
      <c r="AF464" s="319" t="s">
        <v>427</v>
      </c>
      <c r="AG464" s="319" t="s">
        <v>171</v>
      </c>
      <c r="AH464" s="319" t="s">
        <v>190</v>
      </c>
      <c r="AI464" s="319" t="s">
        <v>190</v>
      </c>
      <c r="AJ464" s="319" t="s">
        <v>190</v>
      </c>
      <c r="AK464" s="319" t="s">
        <v>190</v>
      </c>
      <c r="AL464" s="319" t="s">
        <v>190</v>
      </c>
      <c r="AM464" s="319" t="s">
        <v>190</v>
      </c>
      <c r="AN464" s="319" t="s">
        <v>190</v>
      </c>
      <c r="AO464" s="319" t="s">
        <v>190</v>
      </c>
      <c r="AP464" s="319" t="s">
        <v>190</v>
      </c>
      <c r="AQ464" s="319" t="s">
        <v>190</v>
      </c>
      <c r="AR464" s="319" t="s">
        <v>190</v>
      </c>
      <c r="AS464" s="319" t="s">
        <v>190</v>
      </c>
      <c r="AT464" s="319" t="s">
        <v>190</v>
      </c>
      <c r="AU464" s="319" t="s">
        <v>190</v>
      </c>
      <c r="AV464" s="319" t="s">
        <v>190</v>
      </c>
      <c r="AW464" s="319" t="s">
        <v>190</v>
      </c>
      <c r="AX464" s="319" t="s">
        <v>428</v>
      </c>
      <c r="AY464" s="319" t="s">
        <v>190</v>
      </c>
      <c r="AZ464" s="319" t="s">
        <v>190</v>
      </c>
      <c r="BA464" s="319" t="s">
        <v>190</v>
      </c>
      <c r="BB464" s="319" t="s">
        <v>190</v>
      </c>
      <c r="BC464" s="319" t="s">
        <v>190</v>
      </c>
      <c r="BD464" s="319" t="s">
        <v>190</v>
      </c>
      <c r="BE464" s="319" t="s">
        <v>190</v>
      </c>
      <c r="BF464" s="319" t="s">
        <v>428</v>
      </c>
      <c r="BG464" s="319" t="s">
        <v>190</v>
      </c>
      <c r="BH464" s="319" t="s">
        <v>190</v>
      </c>
      <c r="BI464" s="319" t="s">
        <v>190</v>
      </c>
      <c r="BJ464" s="319" t="s">
        <v>190</v>
      </c>
      <c r="BK464" s="319" t="s">
        <v>190</v>
      </c>
      <c r="BL464" s="319" t="s">
        <v>190</v>
      </c>
      <c r="BM464" s="319" t="s">
        <v>190</v>
      </c>
      <c r="BN464" s="319" t="s">
        <v>190</v>
      </c>
      <c r="BO464" s="319" t="s">
        <v>190</v>
      </c>
      <c r="BP464" s="319" t="s">
        <v>190</v>
      </c>
      <c r="BQ464" s="319" t="s">
        <v>190</v>
      </c>
      <c r="BR464" s="319" t="s">
        <v>190</v>
      </c>
      <c r="BS464" s="319" t="s">
        <v>190</v>
      </c>
      <c r="BT464" s="319" t="s">
        <v>190</v>
      </c>
      <c r="BU464" s="319" t="s">
        <v>190</v>
      </c>
      <c r="BV464" s="319" t="s">
        <v>190</v>
      </c>
      <c r="BW464" s="319" t="s">
        <v>190</v>
      </c>
      <c r="BX464" s="319" t="s">
        <v>190</v>
      </c>
      <c r="BY464" s="319" t="s">
        <v>190</v>
      </c>
      <c r="BZ464" s="319" t="s">
        <v>190</v>
      </c>
      <c r="CA464" s="319" t="s">
        <v>190</v>
      </c>
      <c r="CB464" s="319" t="s">
        <v>190</v>
      </c>
      <c r="CC464" s="319" t="s">
        <v>190</v>
      </c>
      <c r="CD464" s="319" t="s">
        <v>190</v>
      </c>
      <c r="CE464" s="319" t="s">
        <v>190</v>
      </c>
      <c r="CF464" s="319" t="s">
        <v>190</v>
      </c>
      <c r="CG464" s="319" t="s">
        <v>190</v>
      </c>
      <c r="CH464" s="319" t="s">
        <v>190</v>
      </c>
      <c r="CI464" s="319" t="s">
        <v>190</v>
      </c>
      <c r="CJ464" s="319" t="s">
        <v>190</v>
      </c>
      <c r="CK464" s="319" t="s">
        <v>190</v>
      </c>
      <c r="CL464" s="319" t="s">
        <v>190</v>
      </c>
      <c r="CM464" s="319" t="s">
        <v>190</v>
      </c>
      <c r="CN464" s="319" t="s">
        <v>190</v>
      </c>
      <c r="CO464" s="319" t="s">
        <v>428</v>
      </c>
      <c r="CP464" s="319" t="s">
        <v>428</v>
      </c>
      <c r="CQ464" s="319" t="s">
        <v>190</v>
      </c>
      <c r="CR464" s="319" t="s">
        <v>190</v>
      </c>
      <c r="CS464" s="319" t="s">
        <v>190</v>
      </c>
      <c r="CT464" s="319" t="s">
        <v>190</v>
      </c>
      <c r="CU464" s="319" t="s">
        <v>190</v>
      </c>
      <c r="CV464" s="319" t="s">
        <v>190</v>
      </c>
      <c r="CW464" s="319" t="s">
        <v>190</v>
      </c>
      <c r="CX464" s="319" t="s">
        <v>190</v>
      </c>
      <c r="CY464" s="319" t="s">
        <v>190</v>
      </c>
      <c r="CZ464" s="319" t="s">
        <v>190</v>
      </c>
      <c r="DA464" s="319" t="s">
        <v>190</v>
      </c>
      <c r="DB464" s="319" t="s">
        <v>190</v>
      </c>
      <c r="DC464" s="319" t="s">
        <v>190</v>
      </c>
      <c r="DD464" s="319" t="s">
        <v>190</v>
      </c>
      <c r="DE464" s="319" t="s">
        <v>190</v>
      </c>
      <c r="DF464" s="319" t="s">
        <v>190</v>
      </c>
      <c r="DG464" s="319" t="s">
        <v>190</v>
      </c>
      <c r="DH464" s="319" t="s">
        <v>190</v>
      </c>
      <c r="DI464" s="319" t="s">
        <v>190</v>
      </c>
      <c r="DJ464" s="319" t="s">
        <v>190</v>
      </c>
      <c r="DK464" s="319" t="s">
        <v>190</v>
      </c>
      <c r="DL464" s="319" t="s">
        <v>190</v>
      </c>
      <c r="DM464" s="319" t="s">
        <v>190</v>
      </c>
      <c r="DN464" s="319" t="s">
        <v>428</v>
      </c>
      <c r="DO464" s="319" t="s">
        <v>428</v>
      </c>
      <c r="DP464" s="319" t="s">
        <v>190</v>
      </c>
      <c r="DQ464" s="319" t="s">
        <v>190</v>
      </c>
      <c r="DR464" s="319" t="s">
        <v>190</v>
      </c>
      <c r="DS464" s="319" t="s">
        <v>190</v>
      </c>
      <c r="DT464" s="319" t="s">
        <v>190</v>
      </c>
      <c r="DU464" s="319" t="s">
        <v>190</v>
      </c>
      <c r="DV464" s="319" t="s">
        <v>173</v>
      </c>
      <c r="DW464" s="319" t="s">
        <v>190</v>
      </c>
      <c r="DX464" s="319" t="s">
        <v>190</v>
      </c>
      <c r="DY464" s="319" t="s">
        <v>190</v>
      </c>
      <c r="DZ464" s="319" t="s">
        <v>190</v>
      </c>
      <c r="EA464" s="319" t="s">
        <v>190</v>
      </c>
      <c r="EB464" s="319" t="s">
        <v>190</v>
      </c>
      <c r="EC464" s="319" t="s">
        <v>428</v>
      </c>
      <c r="ED464" s="319" t="s">
        <v>190</v>
      </c>
      <c r="EE464" s="319" t="s">
        <v>190</v>
      </c>
      <c r="EF464" s="319" t="s">
        <v>190</v>
      </c>
      <c r="EG464" s="319" t="s">
        <v>190</v>
      </c>
      <c r="EH464" s="319" t="s">
        <v>190</v>
      </c>
      <c r="EI464" s="319" t="s">
        <v>190</v>
      </c>
      <c r="EJ464" s="319" t="s">
        <v>190</v>
      </c>
      <c r="EK464" s="319" t="s">
        <v>190</v>
      </c>
      <c r="EL464" s="319" t="s">
        <v>190</v>
      </c>
      <c r="EM464" s="319" t="s">
        <v>190</v>
      </c>
      <c r="EN464" s="319" t="s">
        <v>190</v>
      </c>
      <c r="EO464" s="319" t="s">
        <v>190</v>
      </c>
      <c r="EP464" s="319" t="s">
        <v>190</v>
      </c>
      <c r="EQ464" s="319" t="s">
        <v>190</v>
      </c>
      <c r="ER464" s="319" t="s">
        <v>190</v>
      </c>
      <c r="ES464" s="319" t="s">
        <v>190</v>
      </c>
      <c r="ET464" s="319" t="s">
        <v>190</v>
      </c>
      <c r="EU464" s="319" t="s">
        <v>190</v>
      </c>
      <c r="EV464" s="319" t="s">
        <v>190</v>
      </c>
      <c r="EW464" s="319" t="s">
        <v>190</v>
      </c>
      <c r="EX464" s="319" t="s">
        <v>190</v>
      </c>
      <c r="EY464" s="319" t="s">
        <v>190</v>
      </c>
      <c r="EZ464" s="319" t="s">
        <v>190</v>
      </c>
      <c r="FA464" s="319" t="s">
        <v>190</v>
      </c>
      <c r="FB464" s="319" t="s">
        <v>190</v>
      </c>
      <c r="FC464" s="319" t="s">
        <v>190</v>
      </c>
      <c r="FD464" s="319" t="s">
        <v>190</v>
      </c>
      <c r="FE464" s="319" t="s">
        <v>190</v>
      </c>
      <c r="FF464" s="319" t="s">
        <v>190</v>
      </c>
      <c r="FG464" s="319" t="s">
        <v>190</v>
      </c>
      <c r="FH464" s="319" t="s">
        <v>190</v>
      </c>
      <c r="FI464" s="319" t="s">
        <v>190</v>
      </c>
      <c r="FJ464" s="319" t="s">
        <v>190</v>
      </c>
      <c r="FK464" s="319" t="s">
        <v>190</v>
      </c>
      <c r="FL464" s="319" t="s">
        <v>190</v>
      </c>
      <c r="FM464" s="319" t="s">
        <v>190</v>
      </c>
      <c r="FN464" s="319" t="s">
        <v>190</v>
      </c>
      <c r="FO464" s="319" t="s">
        <v>190</v>
      </c>
      <c r="FP464" s="319" t="s">
        <v>190</v>
      </c>
      <c r="FQ464" s="319" t="s">
        <v>190</v>
      </c>
      <c r="FR464" s="319" t="s">
        <v>190</v>
      </c>
      <c r="FS464" s="319" t="s">
        <v>428</v>
      </c>
      <c r="FT464" s="319" t="s">
        <v>190</v>
      </c>
      <c r="FU464" s="319" t="s">
        <v>190</v>
      </c>
      <c r="FV464" s="319" t="s">
        <v>190</v>
      </c>
      <c r="FW464" s="319" t="s">
        <v>190</v>
      </c>
      <c r="FX464" s="319" t="s">
        <v>190</v>
      </c>
      <c r="FY464" s="319" t="s">
        <v>190</v>
      </c>
      <c r="FZ464" s="319" t="s">
        <v>190</v>
      </c>
      <c r="GA464" s="319" t="s">
        <v>190</v>
      </c>
      <c r="GB464" s="319" t="s">
        <v>190</v>
      </c>
      <c r="GC464" s="319" t="s">
        <v>190</v>
      </c>
      <c r="GD464" s="319" t="s">
        <v>190</v>
      </c>
      <c r="GE464" s="319" t="s">
        <v>190</v>
      </c>
      <c r="GF464" s="319" t="s">
        <v>190</v>
      </c>
      <c r="GG464" s="319" t="s">
        <v>190</v>
      </c>
      <c r="GH464" s="319" t="s">
        <v>190</v>
      </c>
      <c r="GI464" s="319" t="s">
        <v>190</v>
      </c>
      <c r="GJ464" s="319" t="s">
        <v>190</v>
      </c>
      <c r="GK464" s="319" t="s">
        <v>428</v>
      </c>
      <c r="GL464" s="319" t="s">
        <v>190</v>
      </c>
      <c r="GM464" s="319" t="s">
        <v>190</v>
      </c>
      <c r="GN464" s="319" t="s">
        <v>190</v>
      </c>
      <c r="GO464" s="319" t="s">
        <v>190</v>
      </c>
      <c r="GP464" s="319" t="s">
        <v>190</v>
      </c>
      <c r="GQ464" s="319" t="s">
        <v>190</v>
      </c>
      <c r="GR464" s="319" t="s">
        <v>190</v>
      </c>
      <c r="GS464" s="319" t="s">
        <v>190</v>
      </c>
      <c r="GT464" s="319" t="s">
        <v>190</v>
      </c>
      <c r="GU464" s="319" t="s">
        <v>190</v>
      </c>
      <c r="GV464" s="319" t="s">
        <v>190</v>
      </c>
      <c r="GW464" s="319" t="s">
        <v>190</v>
      </c>
      <c r="GX464" s="319" t="s">
        <v>190</v>
      </c>
      <c r="GY464" s="319" t="s">
        <v>190</v>
      </c>
      <c r="GZ464" s="319" t="s">
        <v>428</v>
      </c>
      <c r="HA464" s="319" t="s">
        <v>428</v>
      </c>
      <c r="HB464" s="319" t="s">
        <v>190</v>
      </c>
      <c r="HC464" s="319" t="s">
        <v>190</v>
      </c>
      <c r="HD464" s="319" t="s">
        <v>190</v>
      </c>
      <c r="HE464" s="319" t="s">
        <v>190</v>
      </c>
      <c r="HF464" s="319" t="s">
        <v>190</v>
      </c>
      <c r="HG464" s="319" t="s">
        <v>190</v>
      </c>
      <c r="HH464" s="319" t="s">
        <v>190</v>
      </c>
      <c r="HI464" s="319" t="s">
        <v>428</v>
      </c>
      <c r="HJ464" s="319" t="s">
        <v>190</v>
      </c>
      <c r="HK464" s="319" t="s">
        <v>190</v>
      </c>
      <c r="HL464" s="319" t="s">
        <v>428</v>
      </c>
      <c r="HM464" s="319" t="s">
        <v>428</v>
      </c>
      <c r="HN464" s="319" t="s">
        <v>428</v>
      </c>
      <c r="HO464" s="319" t="s">
        <v>428</v>
      </c>
      <c r="HP464" s="319" t="s">
        <v>190</v>
      </c>
      <c r="HQ464" s="319" t="s">
        <v>190</v>
      </c>
      <c r="HR464" s="319" t="s">
        <v>190</v>
      </c>
      <c r="HS464" s="319" t="s">
        <v>190</v>
      </c>
      <c r="HT464" s="319" t="s">
        <v>190</v>
      </c>
      <c r="HU464" s="319" t="s">
        <v>190</v>
      </c>
      <c r="HV464" s="319" t="s">
        <v>190</v>
      </c>
      <c r="HW464" s="319" t="s">
        <v>190</v>
      </c>
      <c r="HX464" s="319" t="s">
        <v>190</v>
      </c>
      <c r="HY464" s="319" t="s">
        <v>190</v>
      </c>
      <c r="HZ464" s="319" t="s">
        <v>190</v>
      </c>
      <c r="IA464" s="319" t="s">
        <v>190</v>
      </c>
      <c r="IB464" s="319" t="s">
        <v>190</v>
      </c>
      <c r="IC464" s="319" t="s">
        <v>190</v>
      </c>
      <c r="ID464" s="319" t="s">
        <v>190</v>
      </c>
      <c r="IE464" s="319" t="s">
        <v>190</v>
      </c>
      <c r="IF464" s="319" t="s">
        <v>190</v>
      </c>
      <c r="IG464" s="319" t="s">
        <v>190</v>
      </c>
      <c r="IH464" s="319" t="s">
        <v>190</v>
      </c>
      <c r="II464" s="319" t="s">
        <v>190</v>
      </c>
      <c r="IJ464" s="319">
        <v>10007859</v>
      </c>
      <c r="IK464" s="321">
        <v>42277</v>
      </c>
      <c r="IL464" s="321">
        <v>42279</v>
      </c>
      <c r="IM464" s="321">
        <v>42327</v>
      </c>
      <c r="IN464" s="319">
        <v>3</v>
      </c>
      <c r="IO464" s="319" t="s">
        <v>173</v>
      </c>
      <c r="IP464" s="319" t="s">
        <v>173</v>
      </c>
      <c r="IQ464" s="321" t="s">
        <v>173</v>
      </c>
      <c r="IR464" s="320" t="s">
        <v>173</v>
      </c>
      <c r="IS464" s="322" t="s">
        <v>173</v>
      </c>
      <c r="IT464" s="319" t="s">
        <v>173</v>
      </c>
    </row>
    <row r="465" spans="1:254" s="271" customFormat="1" x14ac:dyDescent="0.25">
      <c r="A465" s="318" t="str">
        <f>HYPERLINK("http://www.ofsted.gov.uk/inspection-reports/find-inspection-report/provider/ELS/134605 ","Ofsted School Webpage")</f>
        <v>Ofsted School Webpage</v>
      </c>
      <c r="B465" s="319">
        <v>134605</v>
      </c>
      <c r="C465" s="319">
        <v>8866108</v>
      </c>
      <c r="D465" s="319" t="s">
        <v>1839</v>
      </c>
      <c r="E465" s="319" t="s">
        <v>168</v>
      </c>
      <c r="F465" s="319" t="s">
        <v>81</v>
      </c>
      <c r="G465" s="319" t="s">
        <v>81</v>
      </c>
      <c r="H465" s="319" t="s">
        <v>81</v>
      </c>
      <c r="I465" s="319" t="s">
        <v>78</v>
      </c>
      <c r="J465" s="319" t="s">
        <v>424</v>
      </c>
      <c r="K465" s="319" t="s">
        <v>514</v>
      </c>
      <c r="L465" s="319" t="s">
        <v>514</v>
      </c>
      <c r="M465" s="319" t="s">
        <v>614</v>
      </c>
      <c r="N465" s="319" t="s">
        <v>2977</v>
      </c>
      <c r="O465" s="319" t="s">
        <v>1840</v>
      </c>
      <c r="P465" s="319">
        <v>19</v>
      </c>
      <c r="Q465" s="319" t="s">
        <v>2776</v>
      </c>
      <c r="R465" s="320">
        <v>10008609</v>
      </c>
      <c r="S465" s="321">
        <v>43172</v>
      </c>
      <c r="T465" s="321">
        <v>43174</v>
      </c>
      <c r="U465" s="321">
        <v>43228</v>
      </c>
      <c r="V465" s="319" t="s">
        <v>425</v>
      </c>
      <c r="W465" s="319" t="s">
        <v>2767</v>
      </c>
      <c r="X465" s="319">
        <v>1</v>
      </c>
      <c r="Y465" s="319" t="s">
        <v>173</v>
      </c>
      <c r="Z465" s="319" t="s">
        <v>173</v>
      </c>
      <c r="AA465" s="319" t="s">
        <v>173</v>
      </c>
      <c r="AB465" s="319">
        <v>1</v>
      </c>
      <c r="AC465" s="319" t="s">
        <v>169</v>
      </c>
      <c r="AD465" s="319" t="s">
        <v>173</v>
      </c>
      <c r="AE465" s="319" t="s">
        <v>173</v>
      </c>
      <c r="AF465" s="319" t="s">
        <v>427</v>
      </c>
      <c r="AG465" s="319" t="s">
        <v>171</v>
      </c>
      <c r="AH465" s="319" t="s">
        <v>190</v>
      </c>
      <c r="AI465" s="319" t="s">
        <v>190</v>
      </c>
      <c r="AJ465" s="319" t="s">
        <v>190</v>
      </c>
      <c r="AK465" s="319" t="s">
        <v>190</v>
      </c>
      <c r="AL465" s="319" t="s">
        <v>190</v>
      </c>
      <c r="AM465" s="319" t="s">
        <v>190</v>
      </c>
      <c r="AN465" s="319" t="s">
        <v>190</v>
      </c>
      <c r="AO465" s="319" t="s">
        <v>190</v>
      </c>
      <c r="AP465" s="319" t="s">
        <v>190</v>
      </c>
      <c r="AQ465" s="319" t="s">
        <v>190</v>
      </c>
      <c r="AR465" s="319" t="s">
        <v>190</v>
      </c>
      <c r="AS465" s="319" t="s">
        <v>190</v>
      </c>
      <c r="AT465" s="319" t="s">
        <v>190</v>
      </c>
      <c r="AU465" s="319" t="s">
        <v>190</v>
      </c>
      <c r="AV465" s="319" t="s">
        <v>190</v>
      </c>
      <c r="AW465" s="319" t="s">
        <v>190</v>
      </c>
      <c r="AX465" s="319" t="s">
        <v>428</v>
      </c>
      <c r="AY465" s="319" t="s">
        <v>190</v>
      </c>
      <c r="AZ465" s="319" t="s">
        <v>190</v>
      </c>
      <c r="BA465" s="319" t="s">
        <v>190</v>
      </c>
      <c r="BB465" s="319" t="s">
        <v>190</v>
      </c>
      <c r="BC465" s="319" t="s">
        <v>190</v>
      </c>
      <c r="BD465" s="319" t="s">
        <v>190</v>
      </c>
      <c r="BE465" s="319" t="s">
        <v>190</v>
      </c>
      <c r="BF465" s="319" t="s">
        <v>190</v>
      </c>
      <c r="BG465" s="319" t="s">
        <v>190</v>
      </c>
      <c r="BH465" s="319" t="s">
        <v>190</v>
      </c>
      <c r="BI465" s="319" t="s">
        <v>190</v>
      </c>
      <c r="BJ465" s="319" t="s">
        <v>190</v>
      </c>
      <c r="BK465" s="319" t="s">
        <v>190</v>
      </c>
      <c r="BL465" s="319" t="s">
        <v>190</v>
      </c>
      <c r="BM465" s="319" t="s">
        <v>190</v>
      </c>
      <c r="BN465" s="319" t="s">
        <v>190</v>
      </c>
      <c r="BO465" s="319" t="s">
        <v>190</v>
      </c>
      <c r="BP465" s="319" t="s">
        <v>190</v>
      </c>
      <c r="BQ465" s="319" t="s">
        <v>190</v>
      </c>
      <c r="BR465" s="319" t="s">
        <v>190</v>
      </c>
      <c r="BS465" s="319" t="s">
        <v>190</v>
      </c>
      <c r="BT465" s="319" t="s">
        <v>190</v>
      </c>
      <c r="BU465" s="319" t="s">
        <v>190</v>
      </c>
      <c r="BV465" s="319" t="s">
        <v>190</v>
      </c>
      <c r="BW465" s="319" t="s">
        <v>190</v>
      </c>
      <c r="BX465" s="319" t="s">
        <v>190</v>
      </c>
      <c r="BY465" s="319" t="s">
        <v>190</v>
      </c>
      <c r="BZ465" s="319" t="s">
        <v>190</v>
      </c>
      <c r="CA465" s="319" t="s">
        <v>190</v>
      </c>
      <c r="CB465" s="319" t="s">
        <v>190</v>
      </c>
      <c r="CC465" s="319" t="s">
        <v>190</v>
      </c>
      <c r="CD465" s="319" t="s">
        <v>190</v>
      </c>
      <c r="CE465" s="319" t="s">
        <v>190</v>
      </c>
      <c r="CF465" s="319" t="s">
        <v>190</v>
      </c>
      <c r="CG465" s="319" t="s">
        <v>190</v>
      </c>
      <c r="CH465" s="319" t="s">
        <v>190</v>
      </c>
      <c r="CI465" s="319" t="s">
        <v>190</v>
      </c>
      <c r="CJ465" s="319" t="s">
        <v>190</v>
      </c>
      <c r="CK465" s="319" t="s">
        <v>190</v>
      </c>
      <c r="CL465" s="319" t="s">
        <v>190</v>
      </c>
      <c r="CM465" s="319" t="s">
        <v>190</v>
      </c>
      <c r="CN465" s="319" t="s">
        <v>428</v>
      </c>
      <c r="CO465" s="319" t="s">
        <v>428</v>
      </c>
      <c r="CP465" s="319" t="s">
        <v>428</v>
      </c>
      <c r="CQ465" s="319" t="s">
        <v>190</v>
      </c>
      <c r="CR465" s="319" t="s">
        <v>190</v>
      </c>
      <c r="CS465" s="319" t="s">
        <v>190</v>
      </c>
      <c r="CT465" s="319" t="s">
        <v>190</v>
      </c>
      <c r="CU465" s="319" t="s">
        <v>190</v>
      </c>
      <c r="CV465" s="319" t="s">
        <v>190</v>
      </c>
      <c r="CW465" s="319" t="s">
        <v>190</v>
      </c>
      <c r="CX465" s="319" t="s">
        <v>190</v>
      </c>
      <c r="CY465" s="319" t="s">
        <v>190</v>
      </c>
      <c r="CZ465" s="319" t="s">
        <v>190</v>
      </c>
      <c r="DA465" s="319" t="s">
        <v>190</v>
      </c>
      <c r="DB465" s="319" t="s">
        <v>190</v>
      </c>
      <c r="DC465" s="319" t="s">
        <v>190</v>
      </c>
      <c r="DD465" s="319" t="s">
        <v>190</v>
      </c>
      <c r="DE465" s="319" t="s">
        <v>190</v>
      </c>
      <c r="DF465" s="319" t="s">
        <v>190</v>
      </c>
      <c r="DG465" s="319" t="s">
        <v>190</v>
      </c>
      <c r="DH465" s="319" t="s">
        <v>190</v>
      </c>
      <c r="DI465" s="319" t="s">
        <v>190</v>
      </c>
      <c r="DJ465" s="319" t="s">
        <v>190</v>
      </c>
      <c r="DK465" s="319" t="s">
        <v>190</v>
      </c>
      <c r="DL465" s="319" t="s">
        <v>190</v>
      </c>
      <c r="DM465" s="319" t="s">
        <v>190</v>
      </c>
      <c r="DN465" s="319" t="s">
        <v>428</v>
      </c>
      <c r="DO465" s="319" t="s">
        <v>190</v>
      </c>
      <c r="DP465" s="319" t="s">
        <v>428</v>
      </c>
      <c r="DQ465" s="319" t="s">
        <v>428</v>
      </c>
      <c r="DR465" s="319" t="s">
        <v>428</v>
      </c>
      <c r="DS465" s="319" t="s">
        <v>428</v>
      </c>
      <c r="DT465" s="319" t="s">
        <v>428</v>
      </c>
      <c r="DU465" s="319" t="s">
        <v>428</v>
      </c>
      <c r="DV465" s="319" t="s">
        <v>173</v>
      </c>
      <c r="DW465" s="319" t="s">
        <v>428</v>
      </c>
      <c r="DX465" s="319" t="s">
        <v>428</v>
      </c>
      <c r="DY465" s="319" t="s">
        <v>428</v>
      </c>
      <c r="DZ465" s="319" t="s">
        <v>428</v>
      </c>
      <c r="EA465" s="319" t="s">
        <v>428</v>
      </c>
      <c r="EB465" s="319" t="s">
        <v>428</v>
      </c>
      <c r="EC465" s="319" t="s">
        <v>428</v>
      </c>
      <c r="ED465" s="319" t="s">
        <v>190</v>
      </c>
      <c r="EE465" s="319" t="s">
        <v>190</v>
      </c>
      <c r="EF465" s="319" t="s">
        <v>190</v>
      </c>
      <c r="EG465" s="319" t="s">
        <v>190</v>
      </c>
      <c r="EH465" s="319" t="s">
        <v>190</v>
      </c>
      <c r="EI465" s="319" t="s">
        <v>190</v>
      </c>
      <c r="EJ465" s="319" t="s">
        <v>190</v>
      </c>
      <c r="EK465" s="319" t="s">
        <v>190</v>
      </c>
      <c r="EL465" s="319" t="s">
        <v>190</v>
      </c>
      <c r="EM465" s="319" t="s">
        <v>190</v>
      </c>
      <c r="EN465" s="319" t="s">
        <v>190</v>
      </c>
      <c r="EO465" s="319" t="s">
        <v>190</v>
      </c>
      <c r="EP465" s="319" t="s">
        <v>190</v>
      </c>
      <c r="EQ465" s="319" t="s">
        <v>190</v>
      </c>
      <c r="ER465" s="319" t="s">
        <v>190</v>
      </c>
      <c r="ES465" s="319" t="s">
        <v>190</v>
      </c>
      <c r="ET465" s="319" t="s">
        <v>190</v>
      </c>
      <c r="EU465" s="319" t="s">
        <v>190</v>
      </c>
      <c r="EV465" s="319" t="s">
        <v>190</v>
      </c>
      <c r="EW465" s="319" t="s">
        <v>190</v>
      </c>
      <c r="EX465" s="319" t="s">
        <v>190</v>
      </c>
      <c r="EY465" s="319" t="s">
        <v>190</v>
      </c>
      <c r="EZ465" s="319" t="s">
        <v>190</v>
      </c>
      <c r="FA465" s="319" t="s">
        <v>190</v>
      </c>
      <c r="FB465" s="319" t="s">
        <v>428</v>
      </c>
      <c r="FC465" s="319" t="s">
        <v>428</v>
      </c>
      <c r="FD465" s="319" t="s">
        <v>428</v>
      </c>
      <c r="FE465" s="319" t="s">
        <v>428</v>
      </c>
      <c r="FF465" s="319" t="s">
        <v>428</v>
      </c>
      <c r="FG465" s="319" t="s">
        <v>428</v>
      </c>
      <c r="FH465" s="319" t="s">
        <v>428</v>
      </c>
      <c r="FI465" s="319" t="s">
        <v>190</v>
      </c>
      <c r="FJ465" s="319" t="s">
        <v>190</v>
      </c>
      <c r="FK465" s="319" t="s">
        <v>190</v>
      </c>
      <c r="FL465" s="319" t="s">
        <v>190</v>
      </c>
      <c r="FM465" s="319" t="s">
        <v>190</v>
      </c>
      <c r="FN465" s="319" t="s">
        <v>190</v>
      </c>
      <c r="FO465" s="319" t="s">
        <v>190</v>
      </c>
      <c r="FP465" s="319" t="s">
        <v>190</v>
      </c>
      <c r="FQ465" s="319" t="s">
        <v>190</v>
      </c>
      <c r="FR465" s="319" t="s">
        <v>190</v>
      </c>
      <c r="FS465" s="319" t="s">
        <v>428</v>
      </c>
      <c r="FT465" s="319" t="s">
        <v>190</v>
      </c>
      <c r="FU465" s="319" t="s">
        <v>190</v>
      </c>
      <c r="FV465" s="319" t="s">
        <v>190</v>
      </c>
      <c r="FW465" s="319" t="s">
        <v>190</v>
      </c>
      <c r="FX465" s="319" t="s">
        <v>190</v>
      </c>
      <c r="FY465" s="319" t="s">
        <v>190</v>
      </c>
      <c r="FZ465" s="319" t="s">
        <v>190</v>
      </c>
      <c r="GA465" s="319" t="s">
        <v>190</v>
      </c>
      <c r="GB465" s="319" t="s">
        <v>190</v>
      </c>
      <c r="GC465" s="319" t="s">
        <v>190</v>
      </c>
      <c r="GD465" s="319" t="s">
        <v>190</v>
      </c>
      <c r="GE465" s="319" t="s">
        <v>190</v>
      </c>
      <c r="GF465" s="319" t="s">
        <v>190</v>
      </c>
      <c r="GG465" s="319" t="s">
        <v>190</v>
      </c>
      <c r="GH465" s="319" t="s">
        <v>190</v>
      </c>
      <c r="GI465" s="319" t="s">
        <v>190</v>
      </c>
      <c r="GJ465" s="319" t="s">
        <v>190</v>
      </c>
      <c r="GK465" s="319" t="s">
        <v>428</v>
      </c>
      <c r="GL465" s="319" t="s">
        <v>190</v>
      </c>
      <c r="GM465" s="319" t="s">
        <v>190</v>
      </c>
      <c r="GN465" s="319" t="s">
        <v>190</v>
      </c>
      <c r="GO465" s="319" t="s">
        <v>190</v>
      </c>
      <c r="GP465" s="319" t="s">
        <v>190</v>
      </c>
      <c r="GQ465" s="319" t="s">
        <v>190</v>
      </c>
      <c r="GR465" s="319" t="s">
        <v>190</v>
      </c>
      <c r="GS465" s="319" t="s">
        <v>190</v>
      </c>
      <c r="GT465" s="319" t="s">
        <v>190</v>
      </c>
      <c r="GU465" s="319" t="s">
        <v>190</v>
      </c>
      <c r="GV465" s="319" t="s">
        <v>190</v>
      </c>
      <c r="GW465" s="319" t="s">
        <v>190</v>
      </c>
      <c r="GX465" s="319" t="s">
        <v>190</v>
      </c>
      <c r="GY465" s="319" t="s">
        <v>190</v>
      </c>
      <c r="GZ465" s="319" t="s">
        <v>190</v>
      </c>
      <c r="HA465" s="319" t="s">
        <v>190</v>
      </c>
      <c r="HB465" s="319" t="s">
        <v>190</v>
      </c>
      <c r="HC465" s="319" t="s">
        <v>190</v>
      </c>
      <c r="HD465" s="319" t="s">
        <v>190</v>
      </c>
      <c r="HE465" s="319" t="s">
        <v>190</v>
      </c>
      <c r="HF465" s="319" t="s">
        <v>190</v>
      </c>
      <c r="HG465" s="319" t="s">
        <v>190</v>
      </c>
      <c r="HH465" s="319" t="s">
        <v>190</v>
      </c>
      <c r="HI465" s="319" t="s">
        <v>190</v>
      </c>
      <c r="HJ465" s="319" t="s">
        <v>190</v>
      </c>
      <c r="HK465" s="319" t="s">
        <v>190</v>
      </c>
      <c r="HL465" s="319" t="s">
        <v>190</v>
      </c>
      <c r="HM465" s="319" t="s">
        <v>190</v>
      </c>
      <c r="HN465" s="319" t="s">
        <v>190</v>
      </c>
      <c r="HO465" s="319" t="s">
        <v>190</v>
      </c>
      <c r="HP465" s="319" t="s">
        <v>190</v>
      </c>
      <c r="HQ465" s="319" t="s">
        <v>190</v>
      </c>
      <c r="HR465" s="319" t="s">
        <v>190</v>
      </c>
      <c r="HS465" s="319" t="s">
        <v>190</v>
      </c>
      <c r="HT465" s="319" t="s">
        <v>190</v>
      </c>
      <c r="HU465" s="319" t="s">
        <v>190</v>
      </c>
      <c r="HV465" s="319" t="s">
        <v>190</v>
      </c>
      <c r="HW465" s="319" t="s">
        <v>190</v>
      </c>
      <c r="HX465" s="319" t="s">
        <v>190</v>
      </c>
      <c r="HY465" s="319" t="s">
        <v>190</v>
      </c>
      <c r="HZ465" s="319" t="s">
        <v>190</v>
      </c>
      <c r="IA465" s="319" t="s">
        <v>190</v>
      </c>
      <c r="IB465" s="319" t="s">
        <v>190</v>
      </c>
      <c r="IC465" s="319" t="s">
        <v>190</v>
      </c>
      <c r="ID465" s="319" t="s">
        <v>190</v>
      </c>
      <c r="IE465" s="319" t="s">
        <v>190</v>
      </c>
      <c r="IF465" s="319" t="s">
        <v>190</v>
      </c>
      <c r="IG465" s="319" t="s">
        <v>190</v>
      </c>
      <c r="IH465" s="319" t="s">
        <v>190</v>
      </c>
      <c r="II465" s="319" t="s">
        <v>190</v>
      </c>
      <c r="IJ465" s="319" t="s">
        <v>3229</v>
      </c>
      <c r="IK465" s="321">
        <v>41080</v>
      </c>
      <c r="IL465" s="321">
        <v>41081</v>
      </c>
      <c r="IM465" s="321">
        <v>41102</v>
      </c>
      <c r="IN465" s="319">
        <v>1</v>
      </c>
      <c r="IO465" s="319" t="s">
        <v>173</v>
      </c>
      <c r="IP465" s="319" t="s">
        <v>173</v>
      </c>
      <c r="IQ465" s="321" t="s">
        <v>173</v>
      </c>
      <c r="IR465" s="320" t="s">
        <v>173</v>
      </c>
      <c r="IS465" s="322" t="s">
        <v>173</v>
      </c>
      <c r="IT465" s="319" t="s">
        <v>173</v>
      </c>
    </row>
    <row r="466" spans="1:254" s="271" customFormat="1" x14ac:dyDescent="0.25">
      <c r="A466" s="318" t="str">
        <f>HYPERLINK("http://www.ofsted.gov.uk/inspection-reports/find-inspection-report/provider/ELS/134614 ","Ofsted School Webpage")</f>
        <v>Ofsted School Webpage</v>
      </c>
      <c r="B466" s="319">
        <v>134614</v>
      </c>
      <c r="C466" s="319">
        <v>9376104</v>
      </c>
      <c r="D466" s="319" t="s">
        <v>1841</v>
      </c>
      <c r="E466" s="319" t="s">
        <v>168</v>
      </c>
      <c r="F466" s="319" t="s">
        <v>81</v>
      </c>
      <c r="G466" s="319" t="s">
        <v>81</v>
      </c>
      <c r="H466" s="319" t="s">
        <v>81</v>
      </c>
      <c r="I466" s="319" t="s">
        <v>78</v>
      </c>
      <c r="J466" s="319" t="s">
        <v>424</v>
      </c>
      <c r="K466" s="319" t="s">
        <v>437</v>
      </c>
      <c r="L466" s="319" t="s">
        <v>437</v>
      </c>
      <c r="M466" s="319" t="s">
        <v>438</v>
      </c>
      <c r="N466" s="319" t="s">
        <v>3230</v>
      </c>
      <c r="O466" s="319" t="s">
        <v>1842</v>
      </c>
      <c r="P466" s="319">
        <v>12</v>
      </c>
      <c r="Q466" s="319" t="s">
        <v>429</v>
      </c>
      <c r="R466" s="320">
        <v>10047132</v>
      </c>
      <c r="S466" s="321">
        <v>43291</v>
      </c>
      <c r="T466" s="321">
        <v>43293</v>
      </c>
      <c r="U466" s="321">
        <v>43362</v>
      </c>
      <c r="V466" s="319" t="s">
        <v>425</v>
      </c>
      <c r="W466" s="319" t="s">
        <v>2767</v>
      </c>
      <c r="X466" s="319">
        <v>3</v>
      </c>
      <c r="Y466" s="319" t="s">
        <v>173</v>
      </c>
      <c r="Z466" s="319" t="s">
        <v>173</v>
      </c>
      <c r="AA466" s="319" t="s">
        <v>173</v>
      </c>
      <c r="AB466" s="319">
        <v>3</v>
      </c>
      <c r="AC466" s="319" t="s">
        <v>169</v>
      </c>
      <c r="AD466" s="319" t="s">
        <v>173</v>
      </c>
      <c r="AE466" s="319" t="s">
        <v>173</v>
      </c>
      <c r="AF466" s="319" t="s">
        <v>447</v>
      </c>
      <c r="AG466" s="319" t="s">
        <v>172</v>
      </c>
      <c r="AH466" s="319" t="s">
        <v>479</v>
      </c>
      <c r="AI466" s="319" t="s">
        <v>190</v>
      </c>
      <c r="AJ466" s="319" t="s">
        <v>190</v>
      </c>
      <c r="AK466" s="319" t="s">
        <v>190</v>
      </c>
      <c r="AL466" s="319" t="s">
        <v>479</v>
      </c>
      <c r="AM466" s="319" t="s">
        <v>190</v>
      </c>
      <c r="AN466" s="319" t="s">
        <v>190</v>
      </c>
      <c r="AO466" s="319" t="s">
        <v>479</v>
      </c>
      <c r="AP466" s="319" t="s">
        <v>190</v>
      </c>
      <c r="AQ466" s="319" t="s">
        <v>190</v>
      </c>
      <c r="AR466" s="319" t="s">
        <v>190</v>
      </c>
      <c r="AS466" s="319" t="s">
        <v>190</v>
      </c>
      <c r="AT466" s="319" t="s">
        <v>190</v>
      </c>
      <c r="AU466" s="319" t="s">
        <v>191</v>
      </c>
      <c r="AV466" s="319" t="s">
        <v>190</v>
      </c>
      <c r="AW466" s="319" t="s">
        <v>190</v>
      </c>
      <c r="AX466" s="319" t="s">
        <v>428</v>
      </c>
      <c r="AY466" s="319" t="s">
        <v>190</v>
      </c>
      <c r="AZ466" s="319" t="s">
        <v>190</v>
      </c>
      <c r="BA466" s="319" t="s">
        <v>190</v>
      </c>
      <c r="BB466" s="319" t="s">
        <v>190</v>
      </c>
      <c r="BC466" s="319" t="s">
        <v>190</v>
      </c>
      <c r="BD466" s="319" t="s">
        <v>190</v>
      </c>
      <c r="BE466" s="319" t="s">
        <v>190</v>
      </c>
      <c r="BF466" s="319" t="s">
        <v>428</v>
      </c>
      <c r="BG466" s="319" t="s">
        <v>428</v>
      </c>
      <c r="BH466" s="319" t="s">
        <v>191</v>
      </c>
      <c r="BI466" s="319" t="s">
        <v>190</v>
      </c>
      <c r="BJ466" s="319" t="s">
        <v>191</v>
      </c>
      <c r="BK466" s="319" t="s">
        <v>191</v>
      </c>
      <c r="BL466" s="319" t="s">
        <v>190</v>
      </c>
      <c r="BM466" s="319" t="s">
        <v>190</v>
      </c>
      <c r="BN466" s="319" t="s">
        <v>190</v>
      </c>
      <c r="BO466" s="319" t="s">
        <v>190</v>
      </c>
      <c r="BP466" s="319" t="s">
        <v>190</v>
      </c>
      <c r="BQ466" s="319" t="s">
        <v>190</v>
      </c>
      <c r="BR466" s="319" t="s">
        <v>190</v>
      </c>
      <c r="BS466" s="319" t="s">
        <v>190</v>
      </c>
      <c r="BT466" s="319" t="s">
        <v>190</v>
      </c>
      <c r="BU466" s="319" t="s">
        <v>190</v>
      </c>
      <c r="BV466" s="319" t="s">
        <v>190</v>
      </c>
      <c r="BW466" s="319" t="s">
        <v>190</v>
      </c>
      <c r="BX466" s="319" t="s">
        <v>190</v>
      </c>
      <c r="BY466" s="319" t="s">
        <v>190</v>
      </c>
      <c r="BZ466" s="319" t="s">
        <v>190</v>
      </c>
      <c r="CA466" s="319" t="s">
        <v>190</v>
      </c>
      <c r="CB466" s="319" t="s">
        <v>190</v>
      </c>
      <c r="CC466" s="319" t="s">
        <v>190</v>
      </c>
      <c r="CD466" s="319" t="s">
        <v>190</v>
      </c>
      <c r="CE466" s="319" t="s">
        <v>190</v>
      </c>
      <c r="CF466" s="319" t="s">
        <v>190</v>
      </c>
      <c r="CG466" s="319" t="s">
        <v>190</v>
      </c>
      <c r="CH466" s="319" t="s">
        <v>190</v>
      </c>
      <c r="CI466" s="319" t="s">
        <v>190</v>
      </c>
      <c r="CJ466" s="319" t="s">
        <v>190</v>
      </c>
      <c r="CK466" s="319" t="s">
        <v>190</v>
      </c>
      <c r="CL466" s="319" t="s">
        <v>190</v>
      </c>
      <c r="CM466" s="319" t="s">
        <v>190</v>
      </c>
      <c r="CN466" s="319" t="s">
        <v>428</v>
      </c>
      <c r="CO466" s="319" t="s">
        <v>428</v>
      </c>
      <c r="CP466" s="319" t="s">
        <v>428</v>
      </c>
      <c r="CQ466" s="319" t="s">
        <v>190</v>
      </c>
      <c r="CR466" s="319" t="s">
        <v>190</v>
      </c>
      <c r="CS466" s="319" t="s">
        <v>190</v>
      </c>
      <c r="CT466" s="319" t="s">
        <v>190</v>
      </c>
      <c r="CU466" s="319" t="s">
        <v>190</v>
      </c>
      <c r="CV466" s="319" t="s">
        <v>190</v>
      </c>
      <c r="CW466" s="319" t="s">
        <v>190</v>
      </c>
      <c r="CX466" s="319" t="s">
        <v>190</v>
      </c>
      <c r="CY466" s="319" t="s">
        <v>190</v>
      </c>
      <c r="CZ466" s="319" t="s">
        <v>190</v>
      </c>
      <c r="DA466" s="319" t="s">
        <v>190</v>
      </c>
      <c r="DB466" s="319" t="s">
        <v>190</v>
      </c>
      <c r="DC466" s="319" t="s">
        <v>190</v>
      </c>
      <c r="DD466" s="319" t="s">
        <v>190</v>
      </c>
      <c r="DE466" s="319" t="s">
        <v>190</v>
      </c>
      <c r="DF466" s="319" t="s">
        <v>190</v>
      </c>
      <c r="DG466" s="319" t="s">
        <v>190</v>
      </c>
      <c r="DH466" s="319" t="s">
        <v>190</v>
      </c>
      <c r="DI466" s="319" t="s">
        <v>190</v>
      </c>
      <c r="DJ466" s="319" t="s">
        <v>190</v>
      </c>
      <c r="DK466" s="319" t="s">
        <v>190</v>
      </c>
      <c r="DL466" s="319" t="s">
        <v>190</v>
      </c>
      <c r="DM466" s="319" t="s">
        <v>190</v>
      </c>
      <c r="DN466" s="319" t="s">
        <v>428</v>
      </c>
      <c r="DO466" s="319" t="s">
        <v>190</v>
      </c>
      <c r="DP466" s="319" t="s">
        <v>190</v>
      </c>
      <c r="DQ466" s="319" t="s">
        <v>190</v>
      </c>
      <c r="DR466" s="319" t="s">
        <v>190</v>
      </c>
      <c r="DS466" s="319" t="s">
        <v>190</v>
      </c>
      <c r="DT466" s="319" t="s">
        <v>190</v>
      </c>
      <c r="DU466" s="319" t="s">
        <v>190</v>
      </c>
      <c r="DV466" s="319" t="s">
        <v>173</v>
      </c>
      <c r="DW466" s="319" t="s">
        <v>190</v>
      </c>
      <c r="DX466" s="319" t="s">
        <v>190</v>
      </c>
      <c r="DY466" s="319" t="s">
        <v>190</v>
      </c>
      <c r="DZ466" s="319" t="s">
        <v>190</v>
      </c>
      <c r="EA466" s="319" t="s">
        <v>190</v>
      </c>
      <c r="EB466" s="319" t="s">
        <v>190</v>
      </c>
      <c r="EC466" s="319" t="s">
        <v>428</v>
      </c>
      <c r="ED466" s="319" t="s">
        <v>190</v>
      </c>
      <c r="EE466" s="319" t="s">
        <v>190</v>
      </c>
      <c r="EF466" s="319" t="s">
        <v>190</v>
      </c>
      <c r="EG466" s="319" t="s">
        <v>190</v>
      </c>
      <c r="EH466" s="319" t="s">
        <v>190</v>
      </c>
      <c r="EI466" s="319" t="s">
        <v>190</v>
      </c>
      <c r="EJ466" s="319" t="s">
        <v>190</v>
      </c>
      <c r="EK466" s="319" t="s">
        <v>190</v>
      </c>
      <c r="EL466" s="319" t="s">
        <v>190</v>
      </c>
      <c r="EM466" s="319" t="s">
        <v>190</v>
      </c>
      <c r="EN466" s="319" t="s">
        <v>190</v>
      </c>
      <c r="EO466" s="319" t="s">
        <v>190</v>
      </c>
      <c r="EP466" s="319" t="s">
        <v>190</v>
      </c>
      <c r="EQ466" s="319" t="s">
        <v>190</v>
      </c>
      <c r="ER466" s="319" t="s">
        <v>190</v>
      </c>
      <c r="ES466" s="319" t="s">
        <v>190</v>
      </c>
      <c r="ET466" s="319" t="s">
        <v>190</v>
      </c>
      <c r="EU466" s="319" t="s">
        <v>190</v>
      </c>
      <c r="EV466" s="319" t="s">
        <v>190</v>
      </c>
      <c r="EW466" s="319" t="s">
        <v>190</v>
      </c>
      <c r="EX466" s="319" t="s">
        <v>190</v>
      </c>
      <c r="EY466" s="319" t="s">
        <v>190</v>
      </c>
      <c r="EZ466" s="319" t="s">
        <v>190</v>
      </c>
      <c r="FA466" s="319" t="s">
        <v>190</v>
      </c>
      <c r="FB466" s="319" t="s">
        <v>190</v>
      </c>
      <c r="FC466" s="319" t="s">
        <v>190</v>
      </c>
      <c r="FD466" s="319" t="s">
        <v>190</v>
      </c>
      <c r="FE466" s="319" t="s">
        <v>190</v>
      </c>
      <c r="FF466" s="319" t="s">
        <v>190</v>
      </c>
      <c r="FG466" s="319" t="s">
        <v>190</v>
      </c>
      <c r="FH466" s="319" t="s">
        <v>190</v>
      </c>
      <c r="FI466" s="319" t="s">
        <v>190</v>
      </c>
      <c r="FJ466" s="319" t="s">
        <v>190</v>
      </c>
      <c r="FK466" s="319" t="s">
        <v>190</v>
      </c>
      <c r="FL466" s="319" t="s">
        <v>190</v>
      </c>
      <c r="FM466" s="319" t="s">
        <v>190</v>
      </c>
      <c r="FN466" s="319" t="s">
        <v>190</v>
      </c>
      <c r="FO466" s="319" t="s">
        <v>190</v>
      </c>
      <c r="FP466" s="319" t="s">
        <v>190</v>
      </c>
      <c r="FQ466" s="319" t="s">
        <v>190</v>
      </c>
      <c r="FR466" s="319" t="s">
        <v>190</v>
      </c>
      <c r="FS466" s="319" t="s">
        <v>190</v>
      </c>
      <c r="FT466" s="319" t="s">
        <v>190</v>
      </c>
      <c r="FU466" s="319" t="s">
        <v>428</v>
      </c>
      <c r="FV466" s="319" t="s">
        <v>190</v>
      </c>
      <c r="FW466" s="319" t="s">
        <v>190</v>
      </c>
      <c r="FX466" s="319" t="s">
        <v>190</v>
      </c>
      <c r="FY466" s="319" t="s">
        <v>190</v>
      </c>
      <c r="FZ466" s="319" t="s">
        <v>191</v>
      </c>
      <c r="GA466" s="319" t="s">
        <v>190</v>
      </c>
      <c r="GB466" s="319" t="s">
        <v>190</v>
      </c>
      <c r="GC466" s="319" t="s">
        <v>190</v>
      </c>
      <c r="GD466" s="319" t="s">
        <v>191</v>
      </c>
      <c r="GE466" s="319" t="s">
        <v>190</v>
      </c>
      <c r="GF466" s="319" t="s">
        <v>190</v>
      </c>
      <c r="GG466" s="319" t="s">
        <v>190</v>
      </c>
      <c r="GH466" s="319" t="s">
        <v>190</v>
      </c>
      <c r="GI466" s="319" t="s">
        <v>190</v>
      </c>
      <c r="GJ466" s="319" t="s">
        <v>190</v>
      </c>
      <c r="GK466" s="319" t="s">
        <v>428</v>
      </c>
      <c r="GL466" s="319" t="s">
        <v>190</v>
      </c>
      <c r="GM466" s="319" t="s">
        <v>190</v>
      </c>
      <c r="GN466" s="319" t="s">
        <v>190</v>
      </c>
      <c r="GO466" s="319" t="s">
        <v>190</v>
      </c>
      <c r="GP466" s="319" t="s">
        <v>190</v>
      </c>
      <c r="GQ466" s="319" t="s">
        <v>190</v>
      </c>
      <c r="GR466" s="319" t="s">
        <v>190</v>
      </c>
      <c r="GS466" s="319" t="s">
        <v>190</v>
      </c>
      <c r="GT466" s="319" t="s">
        <v>190</v>
      </c>
      <c r="GU466" s="319" t="s">
        <v>190</v>
      </c>
      <c r="GV466" s="319" t="s">
        <v>190</v>
      </c>
      <c r="GW466" s="319" t="s">
        <v>190</v>
      </c>
      <c r="GX466" s="319" t="s">
        <v>190</v>
      </c>
      <c r="GY466" s="319" t="s">
        <v>190</v>
      </c>
      <c r="GZ466" s="319" t="s">
        <v>428</v>
      </c>
      <c r="HA466" s="319" t="s">
        <v>190</v>
      </c>
      <c r="HB466" s="319" t="s">
        <v>190</v>
      </c>
      <c r="HC466" s="319" t="s">
        <v>190</v>
      </c>
      <c r="HD466" s="319" t="s">
        <v>190</v>
      </c>
      <c r="HE466" s="319" t="s">
        <v>190</v>
      </c>
      <c r="HF466" s="319" t="s">
        <v>190</v>
      </c>
      <c r="HG466" s="319" t="s">
        <v>190</v>
      </c>
      <c r="HH466" s="319" t="s">
        <v>190</v>
      </c>
      <c r="HI466" s="319" t="s">
        <v>190</v>
      </c>
      <c r="HJ466" s="319" t="s">
        <v>190</v>
      </c>
      <c r="HK466" s="319" t="s">
        <v>190</v>
      </c>
      <c r="HL466" s="319" t="s">
        <v>190</v>
      </c>
      <c r="HM466" s="319" t="s">
        <v>428</v>
      </c>
      <c r="HN466" s="319" t="s">
        <v>190</v>
      </c>
      <c r="HO466" s="319" t="s">
        <v>190</v>
      </c>
      <c r="HP466" s="319" t="s">
        <v>190</v>
      </c>
      <c r="HQ466" s="319" t="s">
        <v>190</v>
      </c>
      <c r="HR466" s="319" t="s">
        <v>190</v>
      </c>
      <c r="HS466" s="319" t="s">
        <v>190</v>
      </c>
      <c r="HT466" s="319" t="s">
        <v>190</v>
      </c>
      <c r="HU466" s="319" t="s">
        <v>190</v>
      </c>
      <c r="HV466" s="319" t="s">
        <v>190</v>
      </c>
      <c r="HW466" s="319" t="s">
        <v>190</v>
      </c>
      <c r="HX466" s="319" t="s">
        <v>190</v>
      </c>
      <c r="HY466" s="319" t="s">
        <v>190</v>
      </c>
      <c r="HZ466" s="319" t="s">
        <v>190</v>
      </c>
      <c r="IA466" s="319" t="s">
        <v>190</v>
      </c>
      <c r="IB466" s="319" t="s">
        <v>190</v>
      </c>
      <c r="IC466" s="319" t="s">
        <v>190</v>
      </c>
      <c r="ID466" s="319" t="s">
        <v>190</v>
      </c>
      <c r="IE466" s="319" t="s">
        <v>190</v>
      </c>
      <c r="IF466" s="319" t="s">
        <v>191</v>
      </c>
      <c r="IG466" s="319" t="s">
        <v>191</v>
      </c>
      <c r="IH466" s="319" t="s">
        <v>191</v>
      </c>
      <c r="II466" s="319" t="s">
        <v>190</v>
      </c>
      <c r="IJ466" s="319">
        <v>10006016</v>
      </c>
      <c r="IK466" s="321">
        <v>42486</v>
      </c>
      <c r="IL466" s="321">
        <v>42488</v>
      </c>
      <c r="IM466" s="321">
        <v>42549</v>
      </c>
      <c r="IN466" s="319">
        <v>4</v>
      </c>
      <c r="IO466" s="319">
        <v>10093685</v>
      </c>
      <c r="IP466" s="319" t="s">
        <v>985</v>
      </c>
      <c r="IQ466" s="321">
        <v>43557</v>
      </c>
      <c r="IR466" s="320" t="s">
        <v>1223</v>
      </c>
      <c r="IS466" s="322">
        <v>43597</v>
      </c>
      <c r="IT466" s="319" t="s">
        <v>165</v>
      </c>
    </row>
    <row r="467" spans="1:254" s="271" customFormat="1" x14ac:dyDescent="0.25">
      <c r="A467" s="318" t="str">
        <f>HYPERLINK("http://www.ofsted.gov.uk/inspection-reports/find-inspection-report/provider/ELS/134627 ","Ofsted School Webpage")</f>
        <v>Ofsted School Webpage</v>
      </c>
      <c r="B467" s="319">
        <v>134627</v>
      </c>
      <c r="C467" s="319">
        <v>3166066</v>
      </c>
      <c r="D467" s="319" t="s">
        <v>1843</v>
      </c>
      <c r="E467" s="319" t="s">
        <v>167</v>
      </c>
      <c r="F467" s="319" t="s">
        <v>81</v>
      </c>
      <c r="G467" s="319" t="s">
        <v>72</v>
      </c>
      <c r="H467" s="319" t="s">
        <v>72</v>
      </c>
      <c r="I467" s="319" t="s">
        <v>72</v>
      </c>
      <c r="J467" s="319" t="s">
        <v>424</v>
      </c>
      <c r="K467" s="319" t="s">
        <v>441</v>
      </c>
      <c r="L467" s="319" t="s">
        <v>441</v>
      </c>
      <c r="M467" s="319" t="s">
        <v>709</v>
      </c>
      <c r="N467" s="319" t="s">
        <v>3081</v>
      </c>
      <c r="O467" s="319" t="s">
        <v>1844</v>
      </c>
      <c r="P467" s="319">
        <v>244</v>
      </c>
      <c r="Q467" s="319" t="s">
        <v>2766</v>
      </c>
      <c r="R467" s="320">
        <v>10026293</v>
      </c>
      <c r="S467" s="321">
        <v>43214</v>
      </c>
      <c r="T467" s="321">
        <v>43216</v>
      </c>
      <c r="U467" s="321">
        <v>43238</v>
      </c>
      <c r="V467" s="319" t="s">
        <v>425</v>
      </c>
      <c r="W467" s="319" t="s">
        <v>2767</v>
      </c>
      <c r="X467" s="319">
        <v>2</v>
      </c>
      <c r="Y467" s="319" t="s">
        <v>173</v>
      </c>
      <c r="Z467" s="319" t="s">
        <v>173</v>
      </c>
      <c r="AA467" s="319" t="s">
        <v>173</v>
      </c>
      <c r="AB467" s="319">
        <v>2</v>
      </c>
      <c r="AC467" s="319" t="s">
        <v>169</v>
      </c>
      <c r="AD467" s="319">
        <v>3</v>
      </c>
      <c r="AE467" s="319" t="s">
        <v>173</v>
      </c>
      <c r="AF467" s="319" t="s">
        <v>427</v>
      </c>
      <c r="AG467" s="319" t="s">
        <v>171</v>
      </c>
      <c r="AH467" s="319" t="s">
        <v>190</v>
      </c>
      <c r="AI467" s="319" t="s">
        <v>190</v>
      </c>
      <c r="AJ467" s="319" t="s">
        <v>190</v>
      </c>
      <c r="AK467" s="319" t="s">
        <v>190</v>
      </c>
      <c r="AL467" s="319" t="s">
        <v>190</v>
      </c>
      <c r="AM467" s="319" t="s">
        <v>190</v>
      </c>
      <c r="AN467" s="319" t="s">
        <v>190</v>
      </c>
      <c r="AO467" s="319" t="s">
        <v>190</v>
      </c>
      <c r="AP467" s="319" t="s">
        <v>190</v>
      </c>
      <c r="AQ467" s="319" t="s">
        <v>190</v>
      </c>
      <c r="AR467" s="319" t="s">
        <v>190</v>
      </c>
      <c r="AS467" s="319" t="s">
        <v>190</v>
      </c>
      <c r="AT467" s="319" t="s">
        <v>190</v>
      </c>
      <c r="AU467" s="319" t="s">
        <v>190</v>
      </c>
      <c r="AV467" s="319" t="s">
        <v>190</v>
      </c>
      <c r="AW467" s="319" t="s">
        <v>190</v>
      </c>
      <c r="AX467" s="319" t="s">
        <v>428</v>
      </c>
      <c r="AY467" s="319" t="s">
        <v>190</v>
      </c>
      <c r="AZ467" s="319" t="s">
        <v>190</v>
      </c>
      <c r="BA467" s="319" t="s">
        <v>190</v>
      </c>
      <c r="BB467" s="319" t="s">
        <v>190</v>
      </c>
      <c r="BC467" s="319" t="s">
        <v>190</v>
      </c>
      <c r="BD467" s="319" t="s">
        <v>190</v>
      </c>
      <c r="BE467" s="319" t="s">
        <v>190</v>
      </c>
      <c r="BF467" s="319" t="s">
        <v>190</v>
      </c>
      <c r="BG467" s="319" t="s">
        <v>428</v>
      </c>
      <c r="BH467" s="319" t="s">
        <v>190</v>
      </c>
      <c r="BI467" s="319" t="s">
        <v>190</v>
      </c>
      <c r="BJ467" s="319" t="s">
        <v>190</v>
      </c>
      <c r="BK467" s="319" t="s">
        <v>190</v>
      </c>
      <c r="BL467" s="319" t="s">
        <v>190</v>
      </c>
      <c r="BM467" s="319" t="s">
        <v>190</v>
      </c>
      <c r="BN467" s="319" t="s">
        <v>190</v>
      </c>
      <c r="BO467" s="319" t="s">
        <v>190</v>
      </c>
      <c r="BP467" s="319" t="s">
        <v>190</v>
      </c>
      <c r="BQ467" s="319" t="s">
        <v>190</v>
      </c>
      <c r="BR467" s="319" t="s">
        <v>190</v>
      </c>
      <c r="BS467" s="319" t="s">
        <v>190</v>
      </c>
      <c r="BT467" s="319" t="s">
        <v>190</v>
      </c>
      <c r="BU467" s="319" t="s">
        <v>190</v>
      </c>
      <c r="BV467" s="319" t="s">
        <v>190</v>
      </c>
      <c r="BW467" s="319" t="s">
        <v>190</v>
      </c>
      <c r="BX467" s="319" t="s">
        <v>190</v>
      </c>
      <c r="BY467" s="319" t="s">
        <v>190</v>
      </c>
      <c r="BZ467" s="319" t="s">
        <v>190</v>
      </c>
      <c r="CA467" s="319" t="s">
        <v>190</v>
      </c>
      <c r="CB467" s="319" t="s">
        <v>190</v>
      </c>
      <c r="CC467" s="319" t="s">
        <v>190</v>
      </c>
      <c r="CD467" s="319" t="s">
        <v>190</v>
      </c>
      <c r="CE467" s="319" t="s">
        <v>190</v>
      </c>
      <c r="CF467" s="319" t="s">
        <v>190</v>
      </c>
      <c r="CG467" s="319" t="s">
        <v>190</v>
      </c>
      <c r="CH467" s="319" t="s">
        <v>190</v>
      </c>
      <c r="CI467" s="319" t="s">
        <v>190</v>
      </c>
      <c r="CJ467" s="319" t="s">
        <v>190</v>
      </c>
      <c r="CK467" s="319" t="s">
        <v>190</v>
      </c>
      <c r="CL467" s="319" t="s">
        <v>190</v>
      </c>
      <c r="CM467" s="319" t="s">
        <v>190</v>
      </c>
      <c r="CN467" s="319" t="s">
        <v>190</v>
      </c>
      <c r="CO467" s="319" t="s">
        <v>428</v>
      </c>
      <c r="CP467" s="319" t="s">
        <v>428</v>
      </c>
      <c r="CQ467" s="319" t="s">
        <v>190</v>
      </c>
      <c r="CR467" s="319" t="s">
        <v>190</v>
      </c>
      <c r="CS467" s="319" t="s">
        <v>190</v>
      </c>
      <c r="CT467" s="319" t="s">
        <v>190</v>
      </c>
      <c r="CU467" s="319" t="s">
        <v>190</v>
      </c>
      <c r="CV467" s="319" t="s">
        <v>190</v>
      </c>
      <c r="CW467" s="319" t="s">
        <v>190</v>
      </c>
      <c r="CX467" s="319" t="s">
        <v>190</v>
      </c>
      <c r="CY467" s="319" t="s">
        <v>190</v>
      </c>
      <c r="CZ467" s="319" t="s">
        <v>190</v>
      </c>
      <c r="DA467" s="319" t="s">
        <v>190</v>
      </c>
      <c r="DB467" s="319" t="s">
        <v>190</v>
      </c>
      <c r="DC467" s="319" t="s">
        <v>190</v>
      </c>
      <c r="DD467" s="319" t="s">
        <v>190</v>
      </c>
      <c r="DE467" s="319" t="s">
        <v>190</v>
      </c>
      <c r="DF467" s="319" t="s">
        <v>190</v>
      </c>
      <c r="DG467" s="319" t="s">
        <v>190</v>
      </c>
      <c r="DH467" s="319" t="s">
        <v>190</v>
      </c>
      <c r="DI467" s="319" t="s">
        <v>190</v>
      </c>
      <c r="DJ467" s="319" t="s">
        <v>190</v>
      </c>
      <c r="DK467" s="319" t="s">
        <v>190</v>
      </c>
      <c r="DL467" s="319" t="s">
        <v>190</v>
      </c>
      <c r="DM467" s="319" t="s">
        <v>190</v>
      </c>
      <c r="DN467" s="319" t="s">
        <v>428</v>
      </c>
      <c r="DO467" s="319" t="s">
        <v>190</v>
      </c>
      <c r="DP467" s="319" t="s">
        <v>428</v>
      </c>
      <c r="DQ467" s="319" t="s">
        <v>428</v>
      </c>
      <c r="DR467" s="319" t="s">
        <v>428</v>
      </c>
      <c r="DS467" s="319" t="s">
        <v>428</v>
      </c>
      <c r="DT467" s="319" t="s">
        <v>428</v>
      </c>
      <c r="DU467" s="319" t="s">
        <v>428</v>
      </c>
      <c r="DV467" s="319" t="s">
        <v>173</v>
      </c>
      <c r="DW467" s="319" t="s">
        <v>428</v>
      </c>
      <c r="DX467" s="319" t="s">
        <v>428</v>
      </c>
      <c r="DY467" s="319" t="s">
        <v>428</v>
      </c>
      <c r="DZ467" s="319" t="s">
        <v>428</v>
      </c>
      <c r="EA467" s="319" t="s">
        <v>428</v>
      </c>
      <c r="EB467" s="319" t="s">
        <v>428</v>
      </c>
      <c r="EC467" s="319" t="s">
        <v>428</v>
      </c>
      <c r="ED467" s="319" t="s">
        <v>190</v>
      </c>
      <c r="EE467" s="319" t="s">
        <v>190</v>
      </c>
      <c r="EF467" s="319" t="s">
        <v>190</v>
      </c>
      <c r="EG467" s="319" t="s">
        <v>190</v>
      </c>
      <c r="EH467" s="319" t="s">
        <v>190</v>
      </c>
      <c r="EI467" s="319" t="s">
        <v>190</v>
      </c>
      <c r="EJ467" s="319" t="s">
        <v>190</v>
      </c>
      <c r="EK467" s="319" t="s">
        <v>190</v>
      </c>
      <c r="EL467" s="319" t="s">
        <v>190</v>
      </c>
      <c r="EM467" s="319" t="s">
        <v>190</v>
      </c>
      <c r="EN467" s="319" t="s">
        <v>190</v>
      </c>
      <c r="EO467" s="319" t="s">
        <v>190</v>
      </c>
      <c r="EP467" s="319" t="s">
        <v>190</v>
      </c>
      <c r="EQ467" s="319" t="s">
        <v>190</v>
      </c>
      <c r="ER467" s="319" t="s">
        <v>190</v>
      </c>
      <c r="ES467" s="319" t="s">
        <v>190</v>
      </c>
      <c r="ET467" s="319" t="s">
        <v>190</v>
      </c>
      <c r="EU467" s="319" t="s">
        <v>190</v>
      </c>
      <c r="EV467" s="319" t="s">
        <v>190</v>
      </c>
      <c r="EW467" s="319" t="s">
        <v>190</v>
      </c>
      <c r="EX467" s="319" t="s">
        <v>190</v>
      </c>
      <c r="EY467" s="319" t="s">
        <v>190</v>
      </c>
      <c r="EZ467" s="319" t="s">
        <v>190</v>
      </c>
      <c r="FA467" s="319" t="s">
        <v>190</v>
      </c>
      <c r="FB467" s="319" t="s">
        <v>428</v>
      </c>
      <c r="FC467" s="319" t="s">
        <v>428</v>
      </c>
      <c r="FD467" s="319" t="s">
        <v>428</v>
      </c>
      <c r="FE467" s="319" t="s">
        <v>428</v>
      </c>
      <c r="FF467" s="319" t="s">
        <v>428</v>
      </c>
      <c r="FG467" s="319" t="s">
        <v>428</v>
      </c>
      <c r="FH467" s="319" t="s">
        <v>190</v>
      </c>
      <c r="FI467" s="319" t="s">
        <v>190</v>
      </c>
      <c r="FJ467" s="319" t="s">
        <v>190</v>
      </c>
      <c r="FK467" s="319" t="s">
        <v>190</v>
      </c>
      <c r="FL467" s="319" t="s">
        <v>190</v>
      </c>
      <c r="FM467" s="319" t="s">
        <v>190</v>
      </c>
      <c r="FN467" s="319" t="s">
        <v>190</v>
      </c>
      <c r="FO467" s="319" t="s">
        <v>190</v>
      </c>
      <c r="FP467" s="319" t="s">
        <v>190</v>
      </c>
      <c r="FQ467" s="319" t="s">
        <v>190</v>
      </c>
      <c r="FR467" s="319" t="s">
        <v>190</v>
      </c>
      <c r="FS467" s="319" t="s">
        <v>428</v>
      </c>
      <c r="FT467" s="319" t="s">
        <v>190</v>
      </c>
      <c r="FU467" s="319" t="s">
        <v>190</v>
      </c>
      <c r="FV467" s="319" t="s">
        <v>190</v>
      </c>
      <c r="FW467" s="319" t="s">
        <v>190</v>
      </c>
      <c r="FX467" s="319" t="s">
        <v>190</v>
      </c>
      <c r="FY467" s="319" t="s">
        <v>190</v>
      </c>
      <c r="FZ467" s="319" t="s">
        <v>190</v>
      </c>
      <c r="GA467" s="319" t="s">
        <v>190</v>
      </c>
      <c r="GB467" s="319" t="s">
        <v>190</v>
      </c>
      <c r="GC467" s="319" t="s">
        <v>190</v>
      </c>
      <c r="GD467" s="319" t="s">
        <v>190</v>
      </c>
      <c r="GE467" s="319" t="s">
        <v>190</v>
      </c>
      <c r="GF467" s="319" t="s">
        <v>190</v>
      </c>
      <c r="GG467" s="319" t="s">
        <v>190</v>
      </c>
      <c r="GH467" s="319" t="s">
        <v>190</v>
      </c>
      <c r="GI467" s="319" t="s">
        <v>190</v>
      </c>
      <c r="GJ467" s="319" t="s">
        <v>190</v>
      </c>
      <c r="GK467" s="319" t="s">
        <v>428</v>
      </c>
      <c r="GL467" s="319" t="s">
        <v>190</v>
      </c>
      <c r="GM467" s="319" t="s">
        <v>190</v>
      </c>
      <c r="GN467" s="319" t="s">
        <v>190</v>
      </c>
      <c r="GO467" s="319" t="s">
        <v>190</v>
      </c>
      <c r="GP467" s="319" t="s">
        <v>190</v>
      </c>
      <c r="GQ467" s="319" t="s">
        <v>428</v>
      </c>
      <c r="GR467" s="319" t="s">
        <v>190</v>
      </c>
      <c r="GS467" s="319" t="s">
        <v>190</v>
      </c>
      <c r="GT467" s="319" t="s">
        <v>428</v>
      </c>
      <c r="GU467" s="319" t="s">
        <v>190</v>
      </c>
      <c r="GV467" s="319" t="s">
        <v>190</v>
      </c>
      <c r="GW467" s="319" t="s">
        <v>190</v>
      </c>
      <c r="GX467" s="319" t="s">
        <v>190</v>
      </c>
      <c r="GY467" s="319" t="s">
        <v>190</v>
      </c>
      <c r="GZ467" s="319" t="s">
        <v>428</v>
      </c>
      <c r="HA467" s="319" t="s">
        <v>190</v>
      </c>
      <c r="HB467" s="319" t="s">
        <v>190</v>
      </c>
      <c r="HC467" s="319" t="s">
        <v>190</v>
      </c>
      <c r="HD467" s="319" t="s">
        <v>190</v>
      </c>
      <c r="HE467" s="319" t="s">
        <v>190</v>
      </c>
      <c r="HF467" s="319" t="s">
        <v>190</v>
      </c>
      <c r="HG467" s="319" t="s">
        <v>190</v>
      </c>
      <c r="HH467" s="319" t="s">
        <v>190</v>
      </c>
      <c r="HI467" s="319" t="s">
        <v>190</v>
      </c>
      <c r="HJ467" s="319" t="s">
        <v>190</v>
      </c>
      <c r="HK467" s="319" t="s">
        <v>190</v>
      </c>
      <c r="HL467" s="319" t="s">
        <v>190</v>
      </c>
      <c r="HM467" s="319" t="s">
        <v>428</v>
      </c>
      <c r="HN467" s="319" t="s">
        <v>428</v>
      </c>
      <c r="HO467" s="319" t="s">
        <v>428</v>
      </c>
      <c r="HP467" s="319" t="s">
        <v>190</v>
      </c>
      <c r="HQ467" s="319" t="s">
        <v>190</v>
      </c>
      <c r="HR467" s="319" t="s">
        <v>190</v>
      </c>
      <c r="HS467" s="319" t="s">
        <v>190</v>
      </c>
      <c r="HT467" s="319" t="s">
        <v>190</v>
      </c>
      <c r="HU467" s="319" t="s">
        <v>190</v>
      </c>
      <c r="HV467" s="319" t="s">
        <v>190</v>
      </c>
      <c r="HW467" s="319" t="s">
        <v>190</v>
      </c>
      <c r="HX467" s="319" t="s">
        <v>190</v>
      </c>
      <c r="HY467" s="319" t="s">
        <v>190</v>
      </c>
      <c r="HZ467" s="319" t="s">
        <v>190</v>
      </c>
      <c r="IA467" s="319" t="s">
        <v>190</v>
      </c>
      <c r="IB467" s="319" t="s">
        <v>190</v>
      </c>
      <c r="IC467" s="319" t="s">
        <v>190</v>
      </c>
      <c r="ID467" s="319" t="s">
        <v>190</v>
      </c>
      <c r="IE467" s="319" t="s">
        <v>190</v>
      </c>
      <c r="IF467" s="319" t="s">
        <v>190</v>
      </c>
      <c r="IG467" s="319" t="s">
        <v>190</v>
      </c>
      <c r="IH467" s="319" t="s">
        <v>190</v>
      </c>
      <c r="II467" s="319" t="s">
        <v>190</v>
      </c>
      <c r="IJ467" s="319" t="s">
        <v>3231</v>
      </c>
      <c r="IK467" s="321">
        <v>41667</v>
      </c>
      <c r="IL467" s="321">
        <v>41669</v>
      </c>
      <c r="IM467" s="321">
        <v>41697</v>
      </c>
      <c r="IN467" s="319">
        <v>2</v>
      </c>
      <c r="IO467" s="319" t="s">
        <v>173</v>
      </c>
      <c r="IP467" s="319" t="s">
        <v>173</v>
      </c>
      <c r="IQ467" s="321" t="s">
        <v>173</v>
      </c>
      <c r="IR467" s="320" t="s">
        <v>173</v>
      </c>
      <c r="IS467" s="322" t="s">
        <v>173</v>
      </c>
      <c r="IT467" s="319" t="s">
        <v>173</v>
      </c>
    </row>
    <row r="468" spans="1:254" s="271" customFormat="1" x14ac:dyDescent="0.25">
      <c r="A468" s="318" t="str">
        <f>HYPERLINK("http://www.ofsted.gov.uk/inspection-reports/find-inspection-report/provider/ELS/134634 ","Ofsted School Webpage")</f>
        <v>Ofsted School Webpage</v>
      </c>
      <c r="B468" s="319">
        <v>134634</v>
      </c>
      <c r="C468" s="319">
        <v>8456054</v>
      </c>
      <c r="D468" s="319" t="s">
        <v>1845</v>
      </c>
      <c r="E468" s="319" t="s">
        <v>168</v>
      </c>
      <c r="F468" s="319" t="s">
        <v>81</v>
      </c>
      <c r="G468" s="319" t="s">
        <v>81</v>
      </c>
      <c r="H468" s="319" t="s">
        <v>81</v>
      </c>
      <c r="I468" s="319" t="s">
        <v>78</v>
      </c>
      <c r="J468" s="319" t="s">
        <v>424</v>
      </c>
      <c r="K468" s="319" t="s">
        <v>514</v>
      </c>
      <c r="L468" s="319" t="s">
        <v>514</v>
      </c>
      <c r="M468" s="319" t="s">
        <v>676</v>
      </c>
      <c r="N468" s="319" t="s">
        <v>3053</v>
      </c>
      <c r="O468" s="319" t="s">
        <v>1846</v>
      </c>
      <c r="P468" s="319">
        <v>27</v>
      </c>
      <c r="Q468" s="319" t="s">
        <v>429</v>
      </c>
      <c r="R468" s="320">
        <v>10047020</v>
      </c>
      <c r="S468" s="321">
        <v>43277</v>
      </c>
      <c r="T468" s="321">
        <v>43279</v>
      </c>
      <c r="U468" s="321">
        <v>43299</v>
      </c>
      <c r="V468" s="319" t="s">
        <v>425</v>
      </c>
      <c r="W468" s="319" t="s">
        <v>2767</v>
      </c>
      <c r="X468" s="319">
        <v>2</v>
      </c>
      <c r="Y468" s="319" t="s">
        <v>173</v>
      </c>
      <c r="Z468" s="319" t="s">
        <v>173</v>
      </c>
      <c r="AA468" s="319" t="s">
        <v>173</v>
      </c>
      <c r="AB468" s="319">
        <v>2</v>
      </c>
      <c r="AC468" s="319" t="s">
        <v>169</v>
      </c>
      <c r="AD468" s="319" t="s">
        <v>173</v>
      </c>
      <c r="AE468" s="319" t="s">
        <v>173</v>
      </c>
      <c r="AF468" s="319" t="s">
        <v>427</v>
      </c>
      <c r="AG468" s="319" t="s">
        <v>171</v>
      </c>
      <c r="AH468" s="319" t="s">
        <v>190</v>
      </c>
      <c r="AI468" s="319" t="s">
        <v>190</v>
      </c>
      <c r="AJ468" s="319" t="s">
        <v>190</v>
      </c>
      <c r="AK468" s="319" t="s">
        <v>190</v>
      </c>
      <c r="AL468" s="319" t="s">
        <v>190</v>
      </c>
      <c r="AM468" s="319" t="s">
        <v>190</v>
      </c>
      <c r="AN468" s="319" t="s">
        <v>190</v>
      </c>
      <c r="AO468" s="319" t="s">
        <v>190</v>
      </c>
      <c r="AP468" s="319" t="s">
        <v>190</v>
      </c>
      <c r="AQ468" s="319" t="s">
        <v>190</v>
      </c>
      <c r="AR468" s="319" t="s">
        <v>190</v>
      </c>
      <c r="AS468" s="319" t="s">
        <v>190</v>
      </c>
      <c r="AT468" s="319" t="s">
        <v>190</v>
      </c>
      <c r="AU468" s="319" t="s">
        <v>190</v>
      </c>
      <c r="AV468" s="319" t="s">
        <v>190</v>
      </c>
      <c r="AW468" s="319" t="s">
        <v>190</v>
      </c>
      <c r="AX468" s="319" t="s">
        <v>428</v>
      </c>
      <c r="AY468" s="319" t="s">
        <v>190</v>
      </c>
      <c r="AZ468" s="319" t="s">
        <v>190</v>
      </c>
      <c r="BA468" s="319" t="s">
        <v>190</v>
      </c>
      <c r="BB468" s="319" t="s">
        <v>190</v>
      </c>
      <c r="BC468" s="319" t="s">
        <v>190</v>
      </c>
      <c r="BD468" s="319" t="s">
        <v>190</v>
      </c>
      <c r="BE468" s="319" t="s">
        <v>190</v>
      </c>
      <c r="BF468" s="319" t="s">
        <v>190</v>
      </c>
      <c r="BG468" s="319" t="s">
        <v>190</v>
      </c>
      <c r="BH468" s="319" t="s">
        <v>190</v>
      </c>
      <c r="BI468" s="319" t="s">
        <v>190</v>
      </c>
      <c r="BJ468" s="319" t="s">
        <v>190</v>
      </c>
      <c r="BK468" s="319" t="s">
        <v>190</v>
      </c>
      <c r="BL468" s="319" t="s">
        <v>190</v>
      </c>
      <c r="BM468" s="319" t="s">
        <v>190</v>
      </c>
      <c r="BN468" s="319" t="s">
        <v>190</v>
      </c>
      <c r="BO468" s="319" t="s">
        <v>190</v>
      </c>
      <c r="BP468" s="319" t="s">
        <v>190</v>
      </c>
      <c r="BQ468" s="319" t="s">
        <v>190</v>
      </c>
      <c r="BR468" s="319" t="s">
        <v>190</v>
      </c>
      <c r="BS468" s="319" t="s">
        <v>190</v>
      </c>
      <c r="BT468" s="319" t="s">
        <v>190</v>
      </c>
      <c r="BU468" s="319" t="s">
        <v>190</v>
      </c>
      <c r="BV468" s="319" t="s">
        <v>190</v>
      </c>
      <c r="BW468" s="319" t="s">
        <v>190</v>
      </c>
      <c r="BX468" s="319" t="s">
        <v>190</v>
      </c>
      <c r="BY468" s="319" t="s">
        <v>190</v>
      </c>
      <c r="BZ468" s="319" t="s">
        <v>190</v>
      </c>
      <c r="CA468" s="319" t="s">
        <v>190</v>
      </c>
      <c r="CB468" s="319" t="s">
        <v>190</v>
      </c>
      <c r="CC468" s="319" t="s">
        <v>190</v>
      </c>
      <c r="CD468" s="319" t="s">
        <v>190</v>
      </c>
      <c r="CE468" s="319" t="s">
        <v>190</v>
      </c>
      <c r="CF468" s="319" t="s">
        <v>190</v>
      </c>
      <c r="CG468" s="319" t="s">
        <v>190</v>
      </c>
      <c r="CH468" s="319" t="s">
        <v>190</v>
      </c>
      <c r="CI468" s="319" t="s">
        <v>190</v>
      </c>
      <c r="CJ468" s="319" t="s">
        <v>190</v>
      </c>
      <c r="CK468" s="319" t="s">
        <v>190</v>
      </c>
      <c r="CL468" s="319" t="s">
        <v>190</v>
      </c>
      <c r="CM468" s="319" t="s">
        <v>190</v>
      </c>
      <c r="CN468" s="319" t="s">
        <v>428</v>
      </c>
      <c r="CO468" s="319" t="s">
        <v>428</v>
      </c>
      <c r="CP468" s="319" t="s">
        <v>428</v>
      </c>
      <c r="CQ468" s="319" t="s">
        <v>190</v>
      </c>
      <c r="CR468" s="319" t="s">
        <v>190</v>
      </c>
      <c r="CS468" s="319" t="s">
        <v>190</v>
      </c>
      <c r="CT468" s="319" t="s">
        <v>190</v>
      </c>
      <c r="CU468" s="319" t="s">
        <v>190</v>
      </c>
      <c r="CV468" s="319" t="s">
        <v>190</v>
      </c>
      <c r="CW468" s="319" t="s">
        <v>190</v>
      </c>
      <c r="CX468" s="319" t="s">
        <v>190</v>
      </c>
      <c r="CY468" s="319" t="s">
        <v>190</v>
      </c>
      <c r="CZ468" s="319" t="s">
        <v>190</v>
      </c>
      <c r="DA468" s="319" t="s">
        <v>190</v>
      </c>
      <c r="DB468" s="319" t="s">
        <v>190</v>
      </c>
      <c r="DC468" s="319" t="s">
        <v>190</v>
      </c>
      <c r="DD468" s="319" t="s">
        <v>190</v>
      </c>
      <c r="DE468" s="319" t="s">
        <v>190</v>
      </c>
      <c r="DF468" s="319" t="s">
        <v>190</v>
      </c>
      <c r="DG468" s="319" t="s">
        <v>190</v>
      </c>
      <c r="DH468" s="319" t="s">
        <v>190</v>
      </c>
      <c r="DI468" s="319" t="s">
        <v>190</v>
      </c>
      <c r="DJ468" s="319" t="s">
        <v>190</v>
      </c>
      <c r="DK468" s="319" t="s">
        <v>190</v>
      </c>
      <c r="DL468" s="319" t="s">
        <v>190</v>
      </c>
      <c r="DM468" s="319" t="s">
        <v>190</v>
      </c>
      <c r="DN468" s="319" t="s">
        <v>428</v>
      </c>
      <c r="DO468" s="319" t="s">
        <v>190</v>
      </c>
      <c r="DP468" s="319" t="s">
        <v>190</v>
      </c>
      <c r="DQ468" s="319" t="s">
        <v>190</v>
      </c>
      <c r="DR468" s="319" t="s">
        <v>190</v>
      </c>
      <c r="DS468" s="319" t="s">
        <v>190</v>
      </c>
      <c r="DT468" s="319" t="s">
        <v>190</v>
      </c>
      <c r="DU468" s="319" t="s">
        <v>190</v>
      </c>
      <c r="DV468" s="319" t="s">
        <v>173</v>
      </c>
      <c r="DW468" s="319" t="s">
        <v>190</v>
      </c>
      <c r="DX468" s="319" t="s">
        <v>190</v>
      </c>
      <c r="DY468" s="319" t="s">
        <v>190</v>
      </c>
      <c r="DZ468" s="319" t="s">
        <v>190</v>
      </c>
      <c r="EA468" s="319" t="s">
        <v>190</v>
      </c>
      <c r="EB468" s="319" t="s">
        <v>190</v>
      </c>
      <c r="EC468" s="319" t="s">
        <v>428</v>
      </c>
      <c r="ED468" s="319" t="s">
        <v>190</v>
      </c>
      <c r="EE468" s="319" t="s">
        <v>190</v>
      </c>
      <c r="EF468" s="319" t="s">
        <v>190</v>
      </c>
      <c r="EG468" s="319" t="s">
        <v>190</v>
      </c>
      <c r="EH468" s="319" t="s">
        <v>190</v>
      </c>
      <c r="EI468" s="319" t="s">
        <v>190</v>
      </c>
      <c r="EJ468" s="319" t="s">
        <v>190</v>
      </c>
      <c r="EK468" s="319" t="s">
        <v>190</v>
      </c>
      <c r="EL468" s="319" t="s">
        <v>190</v>
      </c>
      <c r="EM468" s="319" t="s">
        <v>190</v>
      </c>
      <c r="EN468" s="319" t="s">
        <v>190</v>
      </c>
      <c r="EO468" s="319" t="s">
        <v>190</v>
      </c>
      <c r="EP468" s="319" t="s">
        <v>190</v>
      </c>
      <c r="EQ468" s="319" t="s">
        <v>190</v>
      </c>
      <c r="ER468" s="319" t="s">
        <v>190</v>
      </c>
      <c r="ES468" s="319" t="s">
        <v>190</v>
      </c>
      <c r="ET468" s="319" t="s">
        <v>190</v>
      </c>
      <c r="EU468" s="319" t="s">
        <v>190</v>
      </c>
      <c r="EV468" s="319" t="s">
        <v>190</v>
      </c>
      <c r="EW468" s="319" t="s">
        <v>190</v>
      </c>
      <c r="EX468" s="319" t="s">
        <v>190</v>
      </c>
      <c r="EY468" s="319" t="s">
        <v>190</v>
      </c>
      <c r="EZ468" s="319" t="s">
        <v>190</v>
      </c>
      <c r="FA468" s="319" t="s">
        <v>190</v>
      </c>
      <c r="FB468" s="319" t="s">
        <v>190</v>
      </c>
      <c r="FC468" s="319" t="s">
        <v>190</v>
      </c>
      <c r="FD468" s="319" t="s">
        <v>190</v>
      </c>
      <c r="FE468" s="319" t="s">
        <v>190</v>
      </c>
      <c r="FF468" s="319" t="s">
        <v>190</v>
      </c>
      <c r="FG468" s="319" t="s">
        <v>190</v>
      </c>
      <c r="FH468" s="319" t="s">
        <v>190</v>
      </c>
      <c r="FI468" s="319" t="s">
        <v>190</v>
      </c>
      <c r="FJ468" s="319" t="s">
        <v>190</v>
      </c>
      <c r="FK468" s="319" t="s">
        <v>190</v>
      </c>
      <c r="FL468" s="319" t="s">
        <v>190</v>
      </c>
      <c r="FM468" s="319" t="s">
        <v>190</v>
      </c>
      <c r="FN468" s="319" t="s">
        <v>190</v>
      </c>
      <c r="FO468" s="319" t="s">
        <v>190</v>
      </c>
      <c r="FP468" s="319" t="s">
        <v>190</v>
      </c>
      <c r="FQ468" s="319" t="s">
        <v>190</v>
      </c>
      <c r="FR468" s="319" t="s">
        <v>190</v>
      </c>
      <c r="FS468" s="319" t="s">
        <v>190</v>
      </c>
      <c r="FT468" s="319" t="s">
        <v>190</v>
      </c>
      <c r="FU468" s="319" t="s">
        <v>190</v>
      </c>
      <c r="FV468" s="319" t="s">
        <v>190</v>
      </c>
      <c r="FW468" s="319" t="s">
        <v>190</v>
      </c>
      <c r="FX468" s="319" t="s">
        <v>190</v>
      </c>
      <c r="FY468" s="319" t="s">
        <v>190</v>
      </c>
      <c r="FZ468" s="319" t="s">
        <v>190</v>
      </c>
      <c r="GA468" s="319" t="s">
        <v>190</v>
      </c>
      <c r="GB468" s="319" t="s">
        <v>190</v>
      </c>
      <c r="GC468" s="319" t="s">
        <v>190</v>
      </c>
      <c r="GD468" s="319" t="s">
        <v>190</v>
      </c>
      <c r="GE468" s="319" t="s">
        <v>190</v>
      </c>
      <c r="GF468" s="319" t="s">
        <v>190</v>
      </c>
      <c r="GG468" s="319" t="s">
        <v>190</v>
      </c>
      <c r="GH468" s="319" t="s">
        <v>190</v>
      </c>
      <c r="GI468" s="319" t="s">
        <v>190</v>
      </c>
      <c r="GJ468" s="319" t="s">
        <v>190</v>
      </c>
      <c r="GK468" s="319" t="s">
        <v>428</v>
      </c>
      <c r="GL468" s="319" t="s">
        <v>190</v>
      </c>
      <c r="GM468" s="319" t="s">
        <v>190</v>
      </c>
      <c r="GN468" s="319" t="s">
        <v>190</v>
      </c>
      <c r="GO468" s="319" t="s">
        <v>190</v>
      </c>
      <c r="GP468" s="319" t="s">
        <v>190</v>
      </c>
      <c r="GQ468" s="319" t="s">
        <v>190</v>
      </c>
      <c r="GR468" s="319" t="s">
        <v>190</v>
      </c>
      <c r="GS468" s="319" t="s">
        <v>190</v>
      </c>
      <c r="GT468" s="319" t="s">
        <v>190</v>
      </c>
      <c r="GU468" s="319" t="s">
        <v>190</v>
      </c>
      <c r="GV468" s="319" t="s">
        <v>190</v>
      </c>
      <c r="GW468" s="319" t="s">
        <v>190</v>
      </c>
      <c r="GX468" s="319" t="s">
        <v>190</v>
      </c>
      <c r="GY468" s="319" t="s">
        <v>190</v>
      </c>
      <c r="GZ468" s="319" t="s">
        <v>190</v>
      </c>
      <c r="HA468" s="319" t="s">
        <v>428</v>
      </c>
      <c r="HB468" s="319" t="s">
        <v>190</v>
      </c>
      <c r="HC468" s="319" t="s">
        <v>190</v>
      </c>
      <c r="HD468" s="319" t="s">
        <v>190</v>
      </c>
      <c r="HE468" s="319" t="s">
        <v>190</v>
      </c>
      <c r="HF468" s="319" t="s">
        <v>190</v>
      </c>
      <c r="HG468" s="319" t="s">
        <v>190</v>
      </c>
      <c r="HH468" s="319" t="s">
        <v>190</v>
      </c>
      <c r="HI468" s="319" t="s">
        <v>190</v>
      </c>
      <c r="HJ468" s="319" t="s">
        <v>190</v>
      </c>
      <c r="HK468" s="319" t="s">
        <v>190</v>
      </c>
      <c r="HL468" s="319" t="s">
        <v>190</v>
      </c>
      <c r="HM468" s="319" t="s">
        <v>190</v>
      </c>
      <c r="HN468" s="319" t="s">
        <v>190</v>
      </c>
      <c r="HO468" s="319" t="s">
        <v>190</v>
      </c>
      <c r="HP468" s="319" t="s">
        <v>190</v>
      </c>
      <c r="HQ468" s="319" t="s">
        <v>190</v>
      </c>
      <c r="HR468" s="319" t="s">
        <v>190</v>
      </c>
      <c r="HS468" s="319" t="s">
        <v>190</v>
      </c>
      <c r="HT468" s="319" t="s">
        <v>190</v>
      </c>
      <c r="HU468" s="319" t="s">
        <v>190</v>
      </c>
      <c r="HV468" s="319" t="s">
        <v>190</v>
      </c>
      <c r="HW468" s="319" t="s">
        <v>190</v>
      </c>
      <c r="HX468" s="319" t="s">
        <v>190</v>
      </c>
      <c r="HY468" s="319" t="s">
        <v>190</v>
      </c>
      <c r="HZ468" s="319" t="s">
        <v>190</v>
      </c>
      <c r="IA468" s="319" t="s">
        <v>190</v>
      </c>
      <c r="IB468" s="319" t="s">
        <v>190</v>
      </c>
      <c r="IC468" s="319" t="s">
        <v>190</v>
      </c>
      <c r="ID468" s="319" t="s">
        <v>190</v>
      </c>
      <c r="IE468" s="319" t="s">
        <v>190</v>
      </c>
      <c r="IF468" s="319" t="s">
        <v>190</v>
      </c>
      <c r="IG468" s="319" t="s">
        <v>190</v>
      </c>
      <c r="IH468" s="319" t="s">
        <v>190</v>
      </c>
      <c r="II468" s="319" t="s">
        <v>190</v>
      </c>
      <c r="IJ468" s="319" t="s">
        <v>3232</v>
      </c>
      <c r="IK468" s="321">
        <v>42164</v>
      </c>
      <c r="IL468" s="321">
        <v>42166</v>
      </c>
      <c r="IM468" s="321">
        <v>42198</v>
      </c>
      <c r="IN468" s="319">
        <v>2</v>
      </c>
      <c r="IO468" s="319" t="s">
        <v>173</v>
      </c>
      <c r="IP468" s="319" t="s">
        <v>173</v>
      </c>
      <c r="IQ468" s="319" t="s">
        <v>173</v>
      </c>
      <c r="IR468" s="320" t="s">
        <v>173</v>
      </c>
      <c r="IS468" s="320" t="s">
        <v>173</v>
      </c>
      <c r="IT468" s="319" t="s">
        <v>173</v>
      </c>
    </row>
    <row r="469" spans="1:254" s="271" customFormat="1" x14ac:dyDescent="0.25">
      <c r="A469" s="318" t="str">
        <f>HYPERLINK("http://www.ofsted.gov.uk/inspection-reports/find-inspection-report/provider/ELS/134649 ","Ofsted School Webpage")</f>
        <v>Ofsted School Webpage</v>
      </c>
      <c r="B469" s="319">
        <v>134649</v>
      </c>
      <c r="C469" s="319">
        <v>8916022</v>
      </c>
      <c r="D469" s="319" t="s">
        <v>1847</v>
      </c>
      <c r="E469" s="319" t="s">
        <v>168</v>
      </c>
      <c r="F469" s="319" t="s">
        <v>81</v>
      </c>
      <c r="G469" s="319" t="s">
        <v>81</v>
      </c>
      <c r="H469" s="319" t="s">
        <v>81</v>
      </c>
      <c r="I469" s="319" t="s">
        <v>78</v>
      </c>
      <c r="J469" s="319" t="s">
        <v>424</v>
      </c>
      <c r="K469" s="319" t="s">
        <v>506</v>
      </c>
      <c r="L469" s="319" t="s">
        <v>506</v>
      </c>
      <c r="M469" s="319" t="s">
        <v>760</v>
      </c>
      <c r="N469" s="319" t="s">
        <v>3233</v>
      </c>
      <c r="O469" s="319" t="s">
        <v>1848</v>
      </c>
      <c r="P469" s="319">
        <v>5</v>
      </c>
      <c r="Q469" s="319" t="s">
        <v>429</v>
      </c>
      <c r="R469" s="320">
        <v>10039186</v>
      </c>
      <c r="S469" s="321">
        <v>43285</v>
      </c>
      <c r="T469" s="321">
        <v>43286</v>
      </c>
      <c r="U469" s="321">
        <v>43348</v>
      </c>
      <c r="V469" s="319" t="s">
        <v>425</v>
      </c>
      <c r="W469" s="319" t="s">
        <v>2767</v>
      </c>
      <c r="X469" s="319">
        <v>2</v>
      </c>
      <c r="Y469" s="319" t="s">
        <v>173</v>
      </c>
      <c r="Z469" s="319" t="s">
        <v>173</v>
      </c>
      <c r="AA469" s="319" t="s">
        <v>173</v>
      </c>
      <c r="AB469" s="319">
        <v>2</v>
      </c>
      <c r="AC469" s="319" t="s">
        <v>169</v>
      </c>
      <c r="AD469" s="319" t="s">
        <v>173</v>
      </c>
      <c r="AE469" s="319" t="s">
        <v>173</v>
      </c>
      <c r="AF469" s="319" t="s">
        <v>427</v>
      </c>
      <c r="AG469" s="319" t="s">
        <v>171</v>
      </c>
      <c r="AH469" s="319" t="s">
        <v>190</v>
      </c>
      <c r="AI469" s="319" t="s">
        <v>190</v>
      </c>
      <c r="AJ469" s="319" t="s">
        <v>190</v>
      </c>
      <c r="AK469" s="319" t="s">
        <v>190</v>
      </c>
      <c r="AL469" s="319" t="s">
        <v>190</v>
      </c>
      <c r="AM469" s="319" t="s">
        <v>190</v>
      </c>
      <c r="AN469" s="319" t="s">
        <v>190</v>
      </c>
      <c r="AO469" s="319" t="s">
        <v>190</v>
      </c>
      <c r="AP469" s="319" t="s">
        <v>190</v>
      </c>
      <c r="AQ469" s="319" t="s">
        <v>190</v>
      </c>
      <c r="AR469" s="319" t="s">
        <v>190</v>
      </c>
      <c r="AS469" s="319" t="s">
        <v>190</v>
      </c>
      <c r="AT469" s="319" t="s">
        <v>190</v>
      </c>
      <c r="AU469" s="319" t="s">
        <v>190</v>
      </c>
      <c r="AV469" s="319" t="s">
        <v>190</v>
      </c>
      <c r="AW469" s="319" t="s">
        <v>190</v>
      </c>
      <c r="AX469" s="319" t="s">
        <v>428</v>
      </c>
      <c r="AY469" s="319" t="s">
        <v>190</v>
      </c>
      <c r="AZ469" s="319" t="s">
        <v>190</v>
      </c>
      <c r="BA469" s="319" t="s">
        <v>190</v>
      </c>
      <c r="BB469" s="319" t="s">
        <v>190</v>
      </c>
      <c r="BC469" s="319" t="s">
        <v>190</v>
      </c>
      <c r="BD469" s="319" t="s">
        <v>190</v>
      </c>
      <c r="BE469" s="319" t="s">
        <v>190</v>
      </c>
      <c r="BF469" s="319" t="s">
        <v>428</v>
      </c>
      <c r="BG469" s="319" t="s">
        <v>190</v>
      </c>
      <c r="BH469" s="319" t="s">
        <v>190</v>
      </c>
      <c r="BI469" s="319" t="s">
        <v>190</v>
      </c>
      <c r="BJ469" s="319" t="s">
        <v>190</v>
      </c>
      <c r="BK469" s="319" t="s">
        <v>190</v>
      </c>
      <c r="BL469" s="319" t="s">
        <v>190</v>
      </c>
      <c r="BM469" s="319" t="s">
        <v>190</v>
      </c>
      <c r="BN469" s="319" t="s">
        <v>190</v>
      </c>
      <c r="BO469" s="319" t="s">
        <v>190</v>
      </c>
      <c r="BP469" s="319" t="s">
        <v>190</v>
      </c>
      <c r="BQ469" s="319" t="s">
        <v>190</v>
      </c>
      <c r="BR469" s="319" t="s">
        <v>190</v>
      </c>
      <c r="BS469" s="319" t="s">
        <v>190</v>
      </c>
      <c r="BT469" s="319" t="s">
        <v>190</v>
      </c>
      <c r="BU469" s="319" t="s">
        <v>190</v>
      </c>
      <c r="BV469" s="319" t="s">
        <v>190</v>
      </c>
      <c r="BW469" s="319" t="s">
        <v>190</v>
      </c>
      <c r="BX469" s="319" t="s">
        <v>190</v>
      </c>
      <c r="BY469" s="319" t="s">
        <v>190</v>
      </c>
      <c r="BZ469" s="319" t="s">
        <v>190</v>
      </c>
      <c r="CA469" s="319" t="s">
        <v>190</v>
      </c>
      <c r="CB469" s="319" t="s">
        <v>190</v>
      </c>
      <c r="CC469" s="319" t="s">
        <v>190</v>
      </c>
      <c r="CD469" s="319" t="s">
        <v>190</v>
      </c>
      <c r="CE469" s="319" t="s">
        <v>190</v>
      </c>
      <c r="CF469" s="319" t="s">
        <v>190</v>
      </c>
      <c r="CG469" s="319" t="s">
        <v>190</v>
      </c>
      <c r="CH469" s="319" t="s">
        <v>190</v>
      </c>
      <c r="CI469" s="319" t="s">
        <v>190</v>
      </c>
      <c r="CJ469" s="319" t="s">
        <v>190</v>
      </c>
      <c r="CK469" s="319" t="s">
        <v>190</v>
      </c>
      <c r="CL469" s="319" t="s">
        <v>190</v>
      </c>
      <c r="CM469" s="319" t="s">
        <v>190</v>
      </c>
      <c r="CN469" s="319" t="s">
        <v>428</v>
      </c>
      <c r="CO469" s="319" t="s">
        <v>428</v>
      </c>
      <c r="CP469" s="319" t="s">
        <v>428</v>
      </c>
      <c r="CQ469" s="319" t="s">
        <v>190</v>
      </c>
      <c r="CR469" s="319" t="s">
        <v>190</v>
      </c>
      <c r="CS469" s="319" t="s">
        <v>190</v>
      </c>
      <c r="CT469" s="319" t="s">
        <v>190</v>
      </c>
      <c r="CU469" s="319" t="s">
        <v>190</v>
      </c>
      <c r="CV469" s="319" t="s">
        <v>190</v>
      </c>
      <c r="CW469" s="319" t="s">
        <v>190</v>
      </c>
      <c r="CX469" s="319" t="s">
        <v>190</v>
      </c>
      <c r="CY469" s="319" t="s">
        <v>190</v>
      </c>
      <c r="CZ469" s="319" t="s">
        <v>190</v>
      </c>
      <c r="DA469" s="319" t="s">
        <v>190</v>
      </c>
      <c r="DB469" s="319" t="s">
        <v>190</v>
      </c>
      <c r="DC469" s="319" t="s">
        <v>190</v>
      </c>
      <c r="DD469" s="319" t="s">
        <v>190</v>
      </c>
      <c r="DE469" s="319" t="s">
        <v>190</v>
      </c>
      <c r="DF469" s="319" t="s">
        <v>190</v>
      </c>
      <c r="DG469" s="319" t="s">
        <v>190</v>
      </c>
      <c r="DH469" s="319" t="s">
        <v>190</v>
      </c>
      <c r="DI469" s="319" t="s">
        <v>190</v>
      </c>
      <c r="DJ469" s="319" t="s">
        <v>190</v>
      </c>
      <c r="DK469" s="319" t="s">
        <v>190</v>
      </c>
      <c r="DL469" s="319" t="s">
        <v>190</v>
      </c>
      <c r="DM469" s="319" t="s">
        <v>190</v>
      </c>
      <c r="DN469" s="319" t="s">
        <v>428</v>
      </c>
      <c r="DO469" s="319" t="s">
        <v>190</v>
      </c>
      <c r="DP469" s="319" t="s">
        <v>190</v>
      </c>
      <c r="DQ469" s="319" t="s">
        <v>190</v>
      </c>
      <c r="DR469" s="319" t="s">
        <v>190</v>
      </c>
      <c r="DS469" s="319" t="s">
        <v>190</v>
      </c>
      <c r="DT469" s="319" t="s">
        <v>190</v>
      </c>
      <c r="DU469" s="319" t="s">
        <v>190</v>
      </c>
      <c r="DV469" s="319" t="s">
        <v>173</v>
      </c>
      <c r="DW469" s="319" t="s">
        <v>190</v>
      </c>
      <c r="DX469" s="319" t="s">
        <v>190</v>
      </c>
      <c r="DY469" s="319" t="s">
        <v>190</v>
      </c>
      <c r="DZ469" s="319" t="s">
        <v>190</v>
      </c>
      <c r="EA469" s="319" t="s">
        <v>190</v>
      </c>
      <c r="EB469" s="319" t="s">
        <v>190</v>
      </c>
      <c r="EC469" s="319" t="s">
        <v>428</v>
      </c>
      <c r="ED469" s="319" t="s">
        <v>190</v>
      </c>
      <c r="EE469" s="319" t="s">
        <v>190</v>
      </c>
      <c r="EF469" s="319" t="s">
        <v>190</v>
      </c>
      <c r="EG469" s="319" t="s">
        <v>190</v>
      </c>
      <c r="EH469" s="319" t="s">
        <v>190</v>
      </c>
      <c r="EI469" s="319" t="s">
        <v>190</v>
      </c>
      <c r="EJ469" s="319" t="s">
        <v>190</v>
      </c>
      <c r="EK469" s="319" t="s">
        <v>190</v>
      </c>
      <c r="EL469" s="319" t="s">
        <v>190</v>
      </c>
      <c r="EM469" s="319" t="s">
        <v>190</v>
      </c>
      <c r="EN469" s="319" t="s">
        <v>190</v>
      </c>
      <c r="EO469" s="319" t="s">
        <v>190</v>
      </c>
      <c r="EP469" s="319" t="s">
        <v>190</v>
      </c>
      <c r="EQ469" s="319" t="s">
        <v>190</v>
      </c>
      <c r="ER469" s="319" t="s">
        <v>190</v>
      </c>
      <c r="ES469" s="319" t="s">
        <v>190</v>
      </c>
      <c r="ET469" s="319" t="s">
        <v>190</v>
      </c>
      <c r="EU469" s="319" t="s">
        <v>190</v>
      </c>
      <c r="EV469" s="319" t="s">
        <v>190</v>
      </c>
      <c r="EW469" s="319" t="s">
        <v>190</v>
      </c>
      <c r="EX469" s="319" t="s">
        <v>190</v>
      </c>
      <c r="EY469" s="319" t="s">
        <v>190</v>
      </c>
      <c r="EZ469" s="319" t="s">
        <v>190</v>
      </c>
      <c r="FA469" s="319" t="s">
        <v>190</v>
      </c>
      <c r="FB469" s="319" t="s">
        <v>190</v>
      </c>
      <c r="FC469" s="319" t="s">
        <v>190</v>
      </c>
      <c r="FD469" s="319" t="s">
        <v>190</v>
      </c>
      <c r="FE469" s="319" t="s">
        <v>190</v>
      </c>
      <c r="FF469" s="319" t="s">
        <v>428</v>
      </c>
      <c r="FG469" s="319" t="s">
        <v>190</v>
      </c>
      <c r="FH469" s="319" t="s">
        <v>190</v>
      </c>
      <c r="FI469" s="319" t="s">
        <v>190</v>
      </c>
      <c r="FJ469" s="319" t="s">
        <v>190</v>
      </c>
      <c r="FK469" s="319" t="s">
        <v>190</v>
      </c>
      <c r="FL469" s="319" t="s">
        <v>190</v>
      </c>
      <c r="FM469" s="319" t="s">
        <v>190</v>
      </c>
      <c r="FN469" s="319" t="s">
        <v>190</v>
      </c>
      <c r="FO469" s="319" t="s">
        <v>190</v>
      </c>
      <c r="FP469" s="319" t="s">
        <v>190</v>
      </c>
      <c r="FQ469" s="319" t="s">
        <v>190</v>
      </c>
      <c r="FR469" s="319" t="s">
        <v>190</v>
      </c>
      <c r="FS469" s="319" t="s">
        <v>428</v>
      </c>
      <c r="FT469" s="319" t="s">
        <v>190</v>
      </c>
      <c r="FU469" s="319" t="s">
        <v>190</v>
      </c>
      <c r="FV469" s="319" t="s">
        <v>190</v>
      </c>
      <c r="FW469" s="319" t="s">
        <v>190</v>
      </c>
      <c r="FX469" s="319" t="s">
        <v>190</v>
      </c>
      <c r="FY469" s="319" t="s">
        <v>190</v>
      </c>
      <c r="FZ469" s="319" t="s">
        <v>190</v>
      </c>
      <c r="GA469" s="319" t="s">
        <v>190</v>
      </c>
      <c r="GB469" s="319" t="s">
        <v>190</v>
      </c>
      <c r="GC469" s="319" t="s">
        <v>190</v>
      </c>
      <c r="GD469" s="319" t="s">
        <v>190</v>
      </c>
      <c r="GE469" s="319" t="s">
        <v>190</v>
      </c>
      <c r="GF469" s="319" t="s">
        <v>190</v>
      </c>
      <c r="GG469" s="319" t="s">
        <v>190</v>
      </c>
      <c r="GH469" s="319" t="s">
        <v>190</v>
      </c>
      <c r="GI469" s="319" t="s">
        <v>190</v>
      </c>
      <c r="GJ469" s="319" t="s">
        <v>190</v>
      </c>
      <c r="GK469" s="319" t="s">
        <v>428</v>
      </c>
      <c r="GL469" s="319" t="s">
        <v>190</v>
      </c>
      <c r="GM469" s="319" t="s">
        <v>190</v>
      </c>
      <c r="GN469" s="319" t="s">
        <v>190</v>
      </c>
      <c r="GO469" s="319" t="s">
        <v>190</v>
      </c>
      <c r="GP469" s="319" t="s">
        <v>190</v>
      </c>
      <c r="GQ469" s="319" t="s">
        <v>428</v>
      </c>
      <c r="GR469" s="319" t="s">
        <v>190</v>
      </c>
      <c r="GS469" s="319" t="s">
        <v>190</v>
      </c>
      <c r="GT469" s="319" t="s">
        <v>190</v>
      </c>
      <c r="GU469" s="319" t="s">
        <v>428</v>
      </c>
      <c r="GV469" s="319" t="s">
        <v>190</v>
      </c>
      <c r="GW469" s="319" t="s">
        <v>190</v>
      </c>
      <c r="GX469" s="319" t="s">
        <v>190</v>
      </c>
      <c r="GY469" s="319" t="s">
        <v>190</v>
      </c>
      <c r="GZ469" s="319" t="s">
        <v>428</v>
      </c>
      <c r="HA469" s="319" t="s">
        <v>190</v>
      </c>
      <c r="HB469" s="319" t="s">
        <v>190</v>
      </c>
      <c r="HC469" s="319" t="s">
        <v>190</v>
      </c>
      <c r="HD469" s="319" t="s">
        <v>190</v>
      </c>
      <c r="HE469" s="319" t="s">
        <v>190</v>
      </c>
      <c r="HF469" s="319" t="s">
        <v>190</v>
      </c>
      <c r="HG469" s="319" t="s">
        <v>190</v>
      </c>
      <c r="HH469" s="319" t="s">
        <v>190</v>
      </c>
      <c r="HI469" s="319" t="s">
        <v>190</v>
      </c>
      <c r="HJ469" s="319" t="s">
        <v>190</v>
      </c>
      <c r="HK469" s="319" t="s">
        <v>190</v>
      </c>
      <c r="HL469" s="319" t="s">
        <v>428</v>
      </c>
      <c r="HM469" s="319" t="s">
        <v>428</v>
      </c>
      <c r="HN469" s="319" t="s">
        <v>428</v>
      </c>
      <c r="HO469" s="319" t="s">
        <v>428</v>
      </c>
      <c r="HP469" s="319" t="s">
        <v>190</v>
      </c>
      <c r="HQ469" s="319" t="s">
        <v>190</v>
      </c>
      <c r="HR469" s="319" t="s">
        <v>190</v>
      </c>
      <c r="HS469" s="319" t="s">
        <v>190</v>
      </c>
      <c r="HT469" s="319" t="s">
        <v>190</v>
      </c>
      <c r="HU469" s="319" t="s">
        <v>190</v>
      </c>
      <c r="HV469" s="319" t="s">
        <v>190</v>
      </c>
      <c r="HW469" s="319" t="s">
        <v>190</v>
      </c>
      <c r="HX469" s="319" t="s">
        <v>190</v>
      </c>
      <c r="HY469" s="319" t="s">
        <v>190</v>
      </c>
      <c r="HZ469" s="319" t="s">
        <v>190</v>
      </c>
      <c r="IA469" s="319" t="s">
        <v>190</v>
      </c>
      <c r="IB469" s="319" t="s">
        <v>190</v>
      </c>
      <c r="IC469" s="319" t="s">
        <v>190</v>
      </c>
      <c r="ID469" s="319" t="s">
        <v>190</v>
      </c>
      <c r="IE469" s="319" t="s">
        <v>190</v>
      </c>
      <c r="IF469" s="319" t="s">
        <v>190</v>
      </c>
      <c r="IG469" s="319" t="s">
        <v>190</v>
      </c>
      <c r="IH469" s="319" t="s">
        <v>190</v>
      </c>
      <c r="II469" s="319" t="s">
        <v>190</v>
      </c>
      <c r="IJ469" s="319" t="s">
        <v>3234</v>
      </c>
      <c r="IK469" s="321">
        <v>41898</v>
      </c>
      <c r="IL469" s="321">
        <v>41900</v>
      </c>
      <c r="IM469" s="321">
        <v>41921</v>
      </c>
      <c r="IN469" s="319">
        <v>2</v>
      </c>
      <c r="IO469" s="319" t="s">
        <v>173</v>
      </c>
      <c r="IP469" s="319" t="s">
        <v>173</v>
      </c>
      <c r="IQ469" s="321" t="s">
        <v>173</v>
      </c>
      <c r="IR469" s="320" t="s">
        <v>173</v>
      </c>
      <c r="IS469" s="322" t="s">
        <v>173</v>
      </c>
      <c r="IT469" s="319" t="s">
        <v>173</v>
      </c>
    </row>
    <row r="470" spans="1:254" s="271" customFormat="1" x14ac:dyDescent="0.25">
      <c r="A470" s="318" t="str">
        <f>HYPERLINK("http://www.ofsted.gov.uk/inspection-reports/find-inspection-report/provider/ELS/134660 ","Ofsted School Webpage")</f>
        <v>Ofsted School Webpage</v>
      </c>
      <c r="B470" s="319">
        <v>134660</v>
      </c>
      <c r="C470" s="319">
        <v>8156036</v>
      </c>
      <c r="D470" s="319" t="s">
        <v>1849</v>
      </c>
      <c r="E470" s="319" t="s">
        <v>168</v>
      </c>
      <c r="F470" s="319" t="s">
        <v>81</v>
      </c>
      <c r="G470" s="319" t="s">
        <v>81</v>
      </c>
      <c r="H470" s="319" t="s">
        <v>81</v>
      </c>
      <c r="I470" s="319" t="s">
        <v>78</v>
      </c>
      <c r="J470" s="319" t="s">
        <v>424</v>
      </c>
      <c r="K470" s="319" t="s">
        <v>458</v>
      </c>
      <c r="L470" s="319" t="s">
        <v>459</v>
      </c>
      <c r="M470" s="319" t="s">
        <v>754</v>
      </c>
      <c r="N470" s="319" t="s">
        <v>3010</v>
      </c>
      <c r="O470" s="319" t="s">
        <v>1850</v>
      </c>
      <c r="P470" s="319">
        <v>17</v>
      </c>
      <c r="Q470" s="319" t="s">
        <v>2776</v>
      </c>
      <c r="R470" s="320">
        <v>10046963</v>
      </c>
      <c r="S470" s="321">
        <v>43229</v>
      </c>
      <c r="T470" s="321">
        <v>43231</v>
      </c>
      <c r="U470" s="321">
        <v>43252</v>
      </c>
      <c r="V470" s="319" t="s">
        <v>425</v>
      </c>
      <c r="W470" s="319" t="s">
        <v>2767</v>
      </c>
      <c r="X470" s="319">
        <v>2</v>
      </c>
      <c r="Y470" s="319" t="s">
        <v>173</v>
      </c>
      <c r="Z470" s="319" t="s">
        <v>173</v>
      </c>
      <c r="AA470" s="319" t="s">
        <v>173</v>
      </c>
      <c r="AB470" s="319">
        <v>2</v>
      </c>
      <c r="AC470" s="319" t="s">
        <v>169</v>
      </c>
      <c r="AD470" s="319" t="s">
        <v>173</v>
      </c>
      <c r="AE470" s="319" t="s">
        <v>173</v>
      </c>
      <c r="AF470" s="319" t="s">
        <v>427</v>
      </c>
      <c r="AG470" s="319" t="s">
        <v>171</v>
      </c>
      <c r="AH470" s="319" t="s">
        <v>190</v>
      </c>
      <c r="AI470" s="319" t="s">
        <v>190</v>
      </c>
      <c r="AJ470" s="319" t="s">
        <v>190</v>
      </c>
      <c r="AK470" s="319" t="s">
        <v>190</v>
      </c>
      <c r="AL470" s="319" t="s">
        <v>190</v>
      </c>
      <c r="AM470" s="319" t="s">
        <v>190</v>
      </c>
      <c r="AN470" s="319" t="s">
        <v>190</v>
      </c>
      <c r="AO470" s="319" t="s">
        <v>190</v>
      </c>
      <c r="AP470" s="319" t="s">
        <v>190</v>
      </c>
      <c r="AQ470" s="319" t="s">
        <v>190</v>
      </c>
      <c r="AR470" s="319" t="s">
        <v>190</v>
      </c>
      <c r="AS470" s="319" t="s">
        <v>190</v>
      </c>
      <c r="AT470" s="319" t="s">
        <v>190</v>
      </c>
      <c r="AU470" s="319" t="s">
        <v>190</v>
      </c>
      <c r="AV470" s="319" t="s">
        <v>190</v>
      </c>
      <c r="AW470" s="319" t="s">
        <v>190</v>
      </c>
      <c r="AX470" s="319" t="s">
        <v>428</v>
      </c>
      <c r="AY470" s="319" t="s">
        <v>190</v>
      </c>
      <c r="AZ470" s="319" t="s">
        <v>190</v>
      </c>
      <c r="BA470" s="319" t="s">
        <v>190</v>
      </c>
      <c r="BB470" s="319" t="s">
        <v>190</v>
      </c>
      <c r="BC470" s="319" t="s">
        <v>190</v>
      </c>
      <c r="BD470" s="319" t="s">
        <v>190</v>
      </c>
      <c r="BE470" s="319" t="s">
        <v>190</v>
      </c>
      <c r="BF470" s="319" t="s">
        <v>428</v>
      </c>
      <c r="BG470" s="319" t="s">
        <v>428</v>
      </c>
      <c r="BH470" s="319" t="s">
        <v>190</v>
      </c>
      <c r="BI470" s="319" t="s">
        <v>190</v>
      </c>
      <c r="BJ470" s="319" t="s">
        <v>190</v>
      </c>
      <c r="BK470" s="319" t="s">
        <v>190</v>
      </c>
      <c r="BL470" s="319" t="s">
        <v>190</v>
      </c>
      <c r="BM470" s="319" t="s">
        <v>190</v>
      </c>
      <c r="BN470" s="319" t="s">
        <v>190</v>
      </c>
      <c r="BO470" s="319" t="s">
        <v>190</v>
      </c>
      <c r="BP470" s="319" t="s">
        <v>190</v>
      </c>
      <c r="BQ470" s="319" t="s">
        <v>190</v>
      </c>
      <c r="BR470" s="319" t="s">
        <v>190</v>
      </c>
      <c r="BS470" s="319" t="s">
        <v>190</v>
      </c>
      <c r="BT470" s="319" t="s">
        <v>190</v>
      </c>
      <c r="BU470" s="319" t="s">
        <v>190</v>
      </c>
      <c r="BV470" s="319" t="s">
        <v>190</v>
      </c>
      <c r="BW470" s="319" t="s">
        <v>190</v>
      </c>
      <c r="BX470" s="319" t="s">
        <v>190</v>
      </c>
      <c r="BY470" s="319" t="s">
        <v>190</v>
      </c>
      <c r="BZ470" s="319" t="s">
        <v>190</v>
      </c>
      <c r="CA470" s="319" t="s">
        <v>190</v>
      </c>
      <c r="CB470" s="319" t="s">
        <v>190</v>
      </c>
      <c r="CC470" s="319" t="s">
        <v>190</v>
      </c>
      <c r="CD470" s="319" t="s">
        <v>190</v>
      </c>
      <c r="CE470" s="319" t="s">
        <v>190</v>
      </c>
      <c r="CF470" s="319" t="s">
        <v>190</v>
      </c>
      <c r="CG470" s="319" t="s">
        <v>190</v>
      </c>
      <c r="CH470" s="319" t="s">
        <v>190</v>
      </c>
      <c r="CI470" s="319" t="s">
        <v>190</v>
      </c>
      <c r="CJ470" s="319" t="s">
        <v>190</v>
      </c>
      <c r="CK470" s="319" t="s">
        <v>190</v>
      </c>
      <c r="CL470" s="319" t="s">
        <v>190</v>
      </c>
      <c r="CM470" s="319" t="s">
        <v>190</v>
      </c>
      <c r="CN470" s="319" t="s">
        <v>428</v>
      </c>
      <c r="CO470" s="319" t="s">
        <v>428</v>
      </c>
      <c r="CP470" s="319" t="s">
        <v>428</v>
      </c>
      <c r="CQ470" s="319" t="s">
        <v>190</v>
      </c>
      <c r="CR470" s="319" t="s">
        <v>190</v>
      </c>
      <c r="CS470" s="319" t="s">
        <v>190</v>
      </c>
      <c r="CT470" s="319" t="s">
        <v>190</v>
      </c>
      <c r="CU470" s="319" t="s">
        <v>190</v>
      </c>
      <c r="CV470" s="319" t="s">
        <v>190</v>
      </c>
      <c r="CW470" s="319" t="s">
        <v>190</v>
      </c>
      <c r="CX470" s="319" t="s">
        <v>190</v>
      </c>
      <c r="CY470" s="319" t="s">
        <v>190</v>
      </c>
      <c r="CZ470" s="319" t="s">
        <v>190</v>
      </c>
      <c r="DA470" s="319" t="s">
        <v>190</v>
      </c>
      <c r="DB470" s="319" t="s">
        <v>190</v>
      </c>
      <c r="DC470" s="319" t="s">
        <v>190</v>
      </c>
      <c r="DD470" s="319" t="s">
        <v>190</v>
      </c>
      <c r="DE470" s="319" t="s">
        <v>190</v>
      </c>
      <c r="DF470" s="319" t="s">
        <v>190</v>
      </c>
      <c r="DG470" s="319" t="s">
        <v>190</v>
      </c>
      <c r="DH470" s="319" t="s">
        <v>190</v>
      </c>
      <c r="DI470" s="319" t="s">
        <v>190</v>
      </c>
      <c r="DJ470" s="319" t="s">
        <v>190</v>
      </c>
      <c r="DK470" s="319" t="s">
        <v>190</v>
      </c>
      <c r="DL470" s="319" t="s">
        <v>190</v>
      </c>
      <c r="DM470" s="319" t="s">
        <v>190</v>
      </c>
      <c r="DN470" s="319" t="s">
        <v>428</v>
      </c>
      <c r="DO470" s="319" t="s">
        <v>190</v>
      </c>
      <c r="DP470" s="319" t="s">
        <v>190</v>
      </c>
      <c r="DQ470" s="319" t="s">
        <v>190</v>
      </c>
      <c r="DR470" s="319" t="s">
        <v>190</v>
      </c>
      <c r="DS470" s="319" t="s">
        <v>190</v>
      </c>
      <c r="DT470" s="319" t="s">
        <v>190</v>
      </c>
      <c r="DU470" s="319" t="s">
        <v>190</v>
      </c>
      <c r="DV470" s="319" t="s">
        <v>173</v>
      </c>
      <c r="DW470" s="319" t="s">
        <v>190</v>
      </c>
      <c r="DX470" s="319" t="s">
        <v>190</v>
      </c>
      <c r="DY470" s="319" t="s">
        <v>190</v>
      </c>
      <c r="DZ470" s="319" t="s">
        <v>190</v>
      </c>
      <c r="EA470" s="319" t="s">
        <v>190</v>
      </c>
      <c r="EB470" s="319" t="s">
        <v>190</v>
      </c>
      <c r="EC470" s="319" t="s">
        <v>428</v>
      </c>
      <c r="ED470" s="319" t="s">
        <v>190</v>
      </c>
      <c r="EE470" s="319" t="s">
        <v>190</v>
      </c>
      <c r="EF470" s="319" t="s">
        <v>190</v>
      </c>
      <c r="EG470" s="319" t="s">
        <v>190</v>
      </c>
      <c r="EH470" s="319" t="s">
        <v>190</v>
      </c>
      <c r="EI470" s="319" t="s">
        <v>190</v>
      </c>
      <c r="EJ470" s="319" t="s">
        <v>190</v>
      </c>
      <c r="EK470" s="319" t="s">
        <v>190</v>
      </c>
      <c r="EL470" s="319" t="s">
        <v>190</v>
      </c>
      <c r="EM470" s="319" t="s">
        <v>190</v>
      </c>
      <c r="EN470" s="319" t="s">
        <v>190</v>
      </c>
      <c r="EO470" s="319" t="s">
        <v>190</v>
      </c>
      <c r="EP470" s="319" t="s">
        <v>190</v>
      </c>
      <c r="EQ470" s="319" t="s">
        <v>190</v>
      </c>
      <c r="ER470" s="319" t="s">
        <v>190</v>
      </c>
      <c r="ES470" s="319" t="s">
        <v>190</v>
      </c>
      <c r="ET470" s="319" t="s">
        <v>190</v>
      </c>
      <c r="EU470" s="319" t="s">
        <v>190</v>
      </c>
      <c r="EV470" s="319" t="s">
        <v>190</v>
      </c>
      <c r="EW470" s="319" t="s">
        <v>190</v>
      </c>
      <c r="EX470" s="319" t="s">
        <v>190</v>
      </c>
      <c r="EY470" s="319" t="s">
        <v>190</v>
      </c>
      <c r="EZ470" s="319" t="s">
        <v>190</v>
      </c>
      <c r="FA470" s="319" t="s">
        <v>190</v>
      </c>
      <c r="FB470" s="319" t="s">
        <v>190</v>
      </c>
      <c r="FC470" s="319" t="s">
        <v>190</v>
      </c>
      <c r="FD470" s="319" t="s">
        <v>190</v>
      </c>
      <c r="FE470" s="319" t="s">
        <v>190</v>
      </c>
      <c r="FF470" s="319" t="s">
        <v>190</v>
      </c>
      <c r="FG470" s="319" t="s">
        <v>190</v>
      </c>
      <c r="FH470" s="319" t="s">
        <v>190</v>
      </c>
      <c r="FI470" s="319" t="s">
        <v>190</v>
      </c>
      <c r="FJ470" s="319" t="s">
        <v>190</v>
      </c>
      <c r="FK470" s="319" t="s">
        <v>190</v>
      </c>
      <c r="FL470" s="319" t="s">
        <v>190</v>
      </c>
      <c r="FM470" s="319" t="s">
        <v>190</v>
      </c>
      <c r="FN470" s="319" t="s">
        <v>190</v>
      </c>
      <c r="FO470" s="319" t="s">
        <v>190</v>
      </c>
      <c r="FP470" s="319" t="s">
        <v>190</v>
      </c>
      <c r="FQ470" s="319" t="s">
        <v>190</v>
      </c>
      <c r="FR470" s="319" t="s">
        <v>190</v>
      </c>
      <c r="FS470" s="319" t="s">
        <v>428</v>
      </c>
      <c r="FT470" s="319" t="s">
        <v>190</v>
      </c>
      <c r="FU470" s="319" t="s">
        <v>190</v>
      </c>
      <c r="FV470" s="319" t="s">
        <v>190</v>
      </c>
      <c r="FW470" s="319" t="s">
        <v>190</v>
      </c>
      <c r="FX470" s="319" t="s">
        <v>190</v>
      </c>
      <c r="FY470" s="319" t="s">
        <v>190</v>
      </c>
      <c r="FZ470" s="319" t="s">
        <v>190</v>
      </c>
      <c r="GA470" s="319" t="s">
        <v>190</v>
      </c>
      <c r="GB470" s="319" t="s">
        <v>190</v>
      </c>
      <c r="GC470" s="319" t="s">
        <v>190</v>
      </c>
      <c r="GD470" s="319" t="s">
        <v>190</v>
      </c>
      <c r="GE470" s="319" t="s">
        <v>190</v>
      </c>
      <c r="GF470" s="319" t="s">
        <v>190</v>
      </c>
      <c r="GG470" s="319" t="s">
        <v>190</v>
      </c>
      <c r="GH470" s="319" t="s">
        <v>190</v>
      </c>
      <c r="GI470" s="319" t="s">
        <v>190</v>
      </c>
      <c r="GJ470" s="319" t="s">
        <v>190</v>
      </c>
      <c r="GK470" s="319" t="s">
        <v>428</v>
      </c>
      <c r="GL470" s="319" t="s">
        <v>190</v>
      </c>
      <c r="GM470" s="319" t="s">
        <v>190</v>
      </c>
      <c r="GN470" s="319" t="s">
        <v>190</v>
      </c>
      <c r="GO470" s="319" t="s">
        <v>190</v>
      </c>
      <c r="GP470" s="319" t="s">
        <v>190</v>
      </c>
      <c r="GQ470" s="319" t="s">
        <v>428</v>
      </c>
      <c r="GR470" s="319" t="s">
        <v>190</v>
      </c>
      <c r="GS470" s="319" t="s">
        <v>190</v>
      </c>
      <c r="GT470" s="319" t="s">
        <v>190</v>
      </c>
      <c r="GU470" s="319" t="s">
        <v>190</v>
      </c>
      <c r="GV470" s="319" t="s">
        <v>190</v>
      </c>
      <c r="GW470" s="319" t="s">
        <v>190</v>
      </c>
      <c r="GX470" s="319" t="s">
        <v>190</v>
      </c>
      <c r="GY470" s="319" t="s">
        <v>190</v>
      </c>
      <c r="GZ470" s="319" t="s">
        <v>428</v>
      </c>
      <c r="HA470" s="319" t="s">
        <v>190</v>
      </c>
      <c r="HB470" s="319" t="s">
        <v>190</v>
      </c>
      <c r="HC470" s="319" t="s">
        <v>190</v>
      </c>
      <c r="HD470" s="319" t="s">
        <v>190</v>
      </c>
      <c r="HE470" s="319" t="s">
        <v>190</v>
      </c>
      <c r="HF470" s="319" t="s">
        <v>190</v>
      </c>
      <c r="HG470" s="319" t="s">
        <v>190</v>
      </c>
      <c r="HH470" s="319" t="s">
        <v>190</v>
      </c>
      <c r="HI470" s="319" t="s">
        <v>190</v>
      </c>
      <c r="HJ470" s="319" t="s">
        <v>190</v>
      </c>
      <c r="HK470" s="319" t="s">
        <v>190</v>
      </c>
      <c r="HL470" s="319" t="s">
        <v>190</v>
      </c>
      <c r="HM470" s="319" t="s">
        <v>428</v>
      </c>
      <c r="HN470" s="319" t="s">
        <v>428</v>
      </c>
      <c r="HO470" s="319" t="s">
        <v>428</v>
      </c>
      <c r="HP470" s="319" t="s">
        <v>190</v>
      </c>
      <c r="HQ470" s="319" t="s">
        <v>190</v>
      </c>
      <c r="HR470" s="319" t="s">
        <v>190</v>
      </c>
      <c r="HS470" s="319" t="s">
        <v>190</v>
      </c>
      <c r="HT470" s="319" t="s">
        <v>190</v>
      </c>
      <c r="HU470" s="319" t="s">
        <v>190</v>
      </c>
      <c r="HV470" s="319" t="s">
        <v>190</v>
      </c>
      <c r="HW470" s="319" t="s">
        <v>190</v>
      </c>
      <c r="HX470" s="319" t="s">
        <v>190</v>
      </c>
      <c r="HY470" s="319" t="s">
        <v>190</v>
      </c>
      <c r="HZ470" s="319" t="s">
        <v>190</v>
      </c>
      <c r="IA470" s="319" t="s">
        <v>190</v>
      </c>
      <c r="IB470" s="319" t="s">
        <v>190</v>
      </c>
      <c r="IC470" s="319" t="s">
        <v>190</v>
      </c>
      <c r="ID470" s="319" t="s">
        <v>190</v>
      </c>
      <c r="IE470" s="319" t="s">
        <v>190</v>
      </c>
      <c r="IF470" s="319" t="s">
        <v>190</v>
      </c>
      <c r="IG470" s="319" t="s">
        <v>190</v>
      </c>
      <c r="IH470" s="319" t="s">
        <v>190</v>
      </c>
      <c r="II470" s="319" t="s">
        <v>190</v>
      </c>
      <c r="IJ470" s="319" t="s">
        <v>3235</v>
      </c>
      <c r="IK470" s="321">
        <v>42122</v>
      </c>
      <c r="IL470" s="321">
        <v>42124</v>
      </c>
      <c r="IM470" s="321">
        <v>42160</v>
      </c>
      <c r="IN470" s="319">
        <v>2</v>
      </c>
      <c r="IO470" s="319" t="s">
        <v>173</v>
      </c>
      <c r="IP470" s="319" t="s">
        <v>173</v>
      </c>
      <c r="IQ470" s="321" t="s">
        <v>173</v>
      </c>
      <c r="IR470" s="320" t="s">
        <v>173</v>
      </c>
      <c r="IS470" s="322" t="s">
        <v>173</v>
      </c>
      <c r="IT470" s="319" t="s">
        <v>173</v>
      </c>
    </row>
    <row r="471" spans="1:254" s="271" customFormat="1" x14ac:dyDescent="0.25">
      <c r="A471" s="318" t="str">
        <f>HYPERLINK("http://www.ofsted.gov.uk/inspection-reports/find-inspection-report/provider/ELS/134764 ","Ofsted School Webpage")</f>
        <v>Ofsted School Webpage</v>
      </c>
      <c r="B471" s="319">
        <v>134764</v>
      </c>
      <c r="C471" s="319">
        <v>3026086</v>
      </c>
      <c r="D471" s="319" t="s">
        <v>1851</v>
      </c>
      <c r="E471" s="319" t="s">
        <v>167</v>
      </c>
      <c r="F471" s="319" t="s">
        <v>81</v>
      </c>
      <c r="G471" s="319" t="s">
        <v>81</v>
      </c>
      <c r="H471" s="319" t="s">
        <v>81</v>
      </c>
      <c r="I471" s="319" t="s">
        <v>78</v>
      </c>
      <c r="J471" s="319" t="s">
        <v>424</v>
      </c>
      <c r="K471" s="319" t="s">
        <v>441</v>
      </c>
      <c r="L471" s="319" t="s">
        <v>441</v>
      </c>
      <c r="M471" s="319" t="s">
        <v>544</v>
      </c>
      <c r="N471" s="319" t="s">
        <v>2818</v>
      </c>
      <c r="O471" s="319" t="s">
        <v>1852</v>
      </c>
      <c r="P471" s="319">
        <v>142</v>
      </c>
      <c r="Q471" s="319" t="s">
        <v>2776</v>
      </c>
      <c r="R471" s="320">
        <v>10026294</v>
      </c>
      <c r="S471" s="321">
        <v>43214</v>
      </c>
      <c r="T471" s="321">
        <v>43216</v>
      </c>
      <c r="U471" s="321">
        <v>43244</v>
      </c>
      <c r="V471" s="319" t="s">
        <v>425</v>
      </c>
      <c r="W471" s="319" t="s">
        <v>2767</v>
      </c>
      <c r="X471" s="319">
        <v>1</v>
      </c>
      <c r="Y471" s="319" t="s">
        <v>173</v>
      </c>
      <c r="Z471" s="319" t="s">
        <v>173</v>
      </c>
      <c r="AA471" s="319" t="s">
        <v>173</v>
      </c>
      <c r="AB471" s="319">
        <v>1</v>
      </c>
      <c r="AC471" s="319" t="s">
        <v>169</v>
      </c>
      <c r="AD471" s="319" t="s">
        <v>173</v>
      </c>
      <c r="AE471" s="319">
        <v>1</v>
      </c>
      <c r="AF471" s="319" t="s">
        <v>427</v>
      </c>
      <c r="AG471" s="319" t="s">
        <v>171</v>
      </c>
      <c r="AH471" s="319" t="s">
        <v>190</v>
      </c>
      <c r="AI471" s="319" t="s">
        <v>190</v>
      </c>
      <c r="AJ471" s="319" t="s">
        <v>190</v>
      </c>
      <c r="AK471" s="319" t="s">
        <v>190</v>
      </c>
      <c r="AL471" s="319" t="s">
        <v>190</v>
      </c>
      <c r="AM471" s="319" t="s">
        <v>190</v>
      </c>
      <c r="AN471" s="319" t="s">
        <v>190</v>
      </c>
      <c r="AO471" s="319" t="s">
        <v>190</v>
      </c>
      <c r="AP471" s="319" t="s">
        <v>190</v>
      </c>
      <c r="AQ471" s="319" t="s">
        <v>190</v>
      </c>
      <c r="AR471" s="319" t="s">
        <v>190</v>
      </c>
      <c r="AS471" s="319" t="s">
        <v>190</v>
      </c>
      <c r="AT471" s="319" t="s">
        <v>190</v>
      </c>
      <c r="AU471" s="319" t="s">
        <v>190</v>
      </c>
      <c r="AV471" s="319" t="s">
        <v>190</v>
      </c>
      <c r="AW471" s="319" t="s">
        <v>190</v>
      </c>
      <c r="AX471" s="319" t="s">
        <v>428</v>
      </c>
      <c r="AY471" s="319" t="s">
        <v>190</v>
      </c>
      <c r="AZ471" s="319" t="s">
        <v>190</v>
      </c>
      <c r="BA471" s="319" t="s">
        <v>190</v>
      </c>
      <c r="BB471" s="319" t="s">
        <v>190</v>
      </c>
      <c r="BC471" s="319" t="s">
        <v>190</v>
      </c>
      <c r="BD471" s="319" t="s">
        <v>190</v>
      </c>
      <c r="BE471" s="319" t="s">
        <v>190</v>
      </c>
      <c r="BF471" s="319" t="s">
        <v>428</v>
      </c>
      <c r="BG471" s="319" t="s">
        <v>190</v>
      </c>
      <c r="BH471" s="319" t="s">
        <v>190</v>
      </c>
      <c r="BI471" s="319" t="s">
        <v>190</v>
      </c>
      <c r="BJ471" s="319" t="s">
        <v>190</v>
      </c>
      <c r="BK471" s="319" t="s">
        <v>190</v>
      </c>
      <c r="BL471" s="319" t="s">
        <v>190</v>
      </c>
      <c r="BM471" s="319" t="s">
        <v>190</v>
      </c>
      <c r="BN471" s="319" t="s">
        <v>190</v>
      </c>
      <c r="BO471" s="319" t="s">
        <v>190</v>
      </c>
      <c r="BP471" s="319" t="s">
        <v>190</v>
      </c>
      <c r="BQ471" s="319" t="s">
        <v>190</v>
      </c>
      <c r="BR471" s="319" t="s">
        <v>190</v>
      </c>
      <c r="BS471" s="319" t="s">
        <v>190</v>
      </c>
      <c r="BT471" s="319" t="s">
        <v>190</v>
      </c>
      <c r="BU471" s="319" t="s">
        <v>190</v>
      </c>
      <c r="BV471" s="319" t="s">
        <v>190</v>
      </c>
      <c r="BW471" s="319" t="s">
        <v>190</v>
      </c>
      <c r="BX471" s="319" t="s">
        <v>190</v>
      </c>
      <c r="BY471" s="319" t="s">
        <v>190</v>
      </c>
      <c r="BZ471" s="319" t="s">
        <v>190</v>
      </c>
      <c r="CA471" s="319" t="s">
        <v>190</v>
      </c>
      <c r="CB471" s="319" t="s">
        <v>190</v>
      </c>
      <c r="CC471" s="319" t="s">
        <v>190</v>
      </c>
      <c r="CD471" s="319" t="s">
        <v>190</v>
      </c>
      <c r="CE471" s="319" t="s">
        <v>190</v>
      </c>
      <c r="CF471" s="319" t="s">
        <v>190</v>
      </c>
      <c r="CG471" s="319" t="s">
        <v>190</v>
      </c>
      <c r="CH471" s="319" t="s">
        <v>190</v>
      </c>
      <c r="CI471" s="319" t="s">
        <v>190</v>
      </c>
      <c r="CJ471" s="319" t="s">
        <v>190</v>
      </c>
      <c r="CK471" s="319" t="s">
        <v>190</v>
      </c>
      <c r="CL471" s="319" t="s">
        <v>190</v>
      </c>
      <c r="CM471" s="319" t="s">
        <v>190</v>
      </c>
      <c r="CN471" s="319" t="s">
        <v>190</v>
      </c>
      <c r="CO471" s="319" t="s">
        <v>428</v>
      </c>
      <c r="CP471" s="319" t="s">
        <v>428</v>
      </c>
      <c r="CQ471" s="319" t="s">
        <v>190</v>
      </c>
      <c r="CR471" s="319" t="s">
        <v>190</v>
      </c>
      <c r="CS471" s="319" t="s">
        <v>190</v>
      </c>
      <c r="CT471" s="319" t="s">
        <v>190</v>
      </c>
      <c r="CU471" s="319" t="s">
        <v>190</v>
      </c>
      <c r="CV471" s="319" t="s">
        <v>190</v>
      </c>
      <c r="CW471" s="319" t="s">
        <v>190</v>
      </c>
      <c r="CX471" s="319" t="s">
        <v>190</v>
      </c>
      <c r="CY471" s="319" t="s">
        <v>190</v>
      </c>
      <c r="CZ471" s="319" t="s">
        <v>190</v>
      </c>
      <c r="DA471" s="319" t="s">
        <v>190</v>
      </c>
      <c r="DB471" s="319" t="s">
        <v>190</v>
      </c>
      <c r="DC471" s="319" t="s">
        <v>190</v>
      </c>
      <c r="DD471" s="319" t="s">
        <v>190</v>
      </c>
      <c r="DE471" s="319" t="s">
        <v>190</v>
      </c>
      <c r="DF471" s="319" t="s">
        <v>190</v>
      </c>
      <c r="DG471" s="319" t="s">
        <v>190</v>
      </c>
      <c r="DH471" s="319" t="s">
        <v>190</v>
      </c>
      <c r="DI471" s="319" t="s">
        <v>190</v>
      </c>
      <c r="DJ471" s="319" t="s">
        <v>190</v>
      </c>
      <c r="DK471" s="319" t="s">
        <v>190</v>
      </c>
      <c r="DL471" s="319" t="s">
        <v>190</v>
      </c>
      <c r="DM471" s="319" t="s">
        <v>190</v>
      </c>
      <c r="DN471" s="319" t="s">
        <v>428</v>
      </c>
      <c r="DO471" s="319" t="s">
        <v>190</v>
      </c>
      <c r="DP471" s="319" t="s">
        <v>190</v>
      </c>
      <c r="DQ471" s="319" t="s">
        <v>190</v>
      </c>
      <c r="DR471" s="319" t="s">
        <v>190</v>
      </c>
      <c r="DS471" s="319" t="s">
        <v>190</v>
      </c>
      <c r="DT471" s="319" t="s">
        <v>190</v>
      </c>
      <c r="DU471" s="319" t="s">
        <v>190</v>
      </c>
      <c r="DV471" s="319" t="s">
        <v>173</v>
      </c>
      <c r="DW471" s="319" t="s">
        <v>190</v>
      </c>
      <c r="DX471" s="319" t="s">
        <v>190</v>
      </c>
      <c r="DY471" s="319" t="s">
        <v>190</v>
      </c>
      <c r="DZ471" s="319" t="s">
        <v>190</v>
      </c>
      <c r="EA471" s="319" t="s">
        <v>190</v>
      </c>
      <c r="EB471" s="319" t="s">
        <v>190</v>
      </c>
      <c r="EC471" s="319" t="s">
        <v>428</v>
      </c>
      <c r="ED471" s="319" t="s">
        <v>190</v>
      </c>
      <c r="EE471" s="319" t="s">
        <v>190</v>
      </c>
      <c r="EF471" s="319" t="s">
        <v>190</v>
      </c>
      <c r="EG471" s="319" t="s">
        <v>190</v>
      </c>
      <c r="EH471" s="319" t="s">
        <v>190</v>
      </c>
      <c r="EI471" s="319" t="s">
        <v>190</v>
      </c>
      <c r="EJ471" s="319" t="s">
        <v>190</v>
      </c>
      <c r="EK471" s="319" t="s">
        <v>190</v>
      </c>
      <c r="EL471" s="319" t="s">
        <v>190</v>
      </c>
      <c r="EM471" s="319" t="s">
        <v>190</v>
      </c>
      <c r="EN471" s="319" t="s">
        <v>190</v>
      </c>
      <c r="EO471" s="319" t="s">
        <v>190</v>
      </c>
      <c r="EP471" s="319" t="s">
        <v>190</v>
      </c>
      <c r="EQ471" s="319" t="s">
        <v>190</v>
      </c>
      <c r="ER471" s="319" t="s">
        <v>190</v>
      </c>
      <c r="ES471" s="319" t="s">
        <v>190</v>
      </c>
      <c r="ET471" s="319" t="s">
        <v>190</v>
      </c>
      <c r="EU471" s="319" t="s">
        <v>190</v>
      </c>
      <c r="EV471" s="319" t="s">
        <v>190</v>
      </c>
      <c r="EW471" s="319" t="s">
        <v>190</v>
      </c>
      <c r="EX471" s="319" t="s">
        <v>190</v>
      </c>
      <c r="EY471" s="319" t="s">
        <v>190</v>
      </c>
      <c r="EZ471" s="319" t="s">
        <v>190</v>
      </c>
      <c r="FA471" s="319" t="s">
        <v>190</v>
      </c>
      <c r="FB471" s="319" t="s">
        <v>190</v>
      </c>
      <c r="FC471" s="319" t="s">
        <v>190</v>
      </c>
      <c r="FD471" s="319" t="s">
        <v>190</v>
      </c>
      <c r="FE471" s="319" t="s">
        <v>190</v>
      </c>
      <c r="FF471" s="319" t="s">
        <v>190</v>
      </c>
      <c r="FG471" s="319" t="s">
        <v>190</v>
      </c>
      <c r="FH471" s="319" t="s">
        <v>190</v>
      </c>
      <c r="FI471" s="319" t="s">
        <v>190</v>
      </c>
      <c r="FJ471" s="319" t="s">
        <v>190</v>
      </c>
      <c r="FK471" s="319" t="s">
        <v>190</v>
      </c>
      <c r="FL471" s="319" t="s">
        <v>190</v>
      </c>
      <c r="FM471" s="319" t="s">
        <v>190</v>
      </c>
      <c r="FN471" s="319" t="s">
        <v>190</v>
      </c>
      <c r="FO471" s="319" t="s">
        <v>190</v>
      </c>
      <c r="FP471" s="319" t="s">
        <v>190</v>
      </c>
      <c r="FQ471" s="319" t="s">
        <v>190</v>
      </c>
      <c r="FR471" s="319" t="s">
        <v>190</v>
      </c>
      <c r="FS471" s="319" t="s">
        <v>428</v>
      </c>
      <c r="FT471" s="319" t="s">
        <v>190</v>
      </c>
      <c r="FU471" s="319" t="s">
        <v>190</v>
      </c>
      <c r="FV471" s="319" t="s">
        <v>190</v>
      </c>
      <c r="FW471" s="319" t="s">
        <v>190</v>
      </c>
      <c r="FX471" s="319" t="s">
        <v>190</v>
      </c>
      <c r="FY471" s="319" t="s">
        <v>190</v>
      </c>
      <c r="FZ471" s="319" t="s">
        <v>190</v>
      </c>
      <c r="GA471" s="319" t="s">
        <v>190</v>
      </c>
      <c r="GB471" s="319" t="s">
        <v>190</v>
      </c>
      <c r="GC471" s="319" t="s">
        <v>190</v>
      </c>
      <c r="GD471" s="319" t="s">
        <v>190</v>
      </c>
      <c r="GE471" s="319" t="s">
        <v>190</v>
      </c>
      <c r="GF471" s="319" t="s">
        <v>190</v>
      </c>
      <c r="GG471" s="319" t="s">
        <v>190</v>
      </c>
      <c r="GH471" s="319" t="s">
        <v>190</v>
      </c>
      <c r="GI471" s="319" t="s">
        <v>190</v>
      </c>
      <c r="GJ471" s="319" t="s">
        <v>190</v>
      </c>
      <c r="GK471" s="319" t="s">
        <v>428</v>
      </c>
      <c r="GL471" s="319" t="s">
        <v>190</v>
      </c>
      <c r="GM471" s="319" t="s">
        <v>190</v>
      </c>
      <c r="GN471" s="319" t="s">
        <v>190</v>
      </c>
      <c r="GO471" s="319" t="s">
        <v>190</v>
      </c>
      <c r="GP471" s="319" t="s">
        <v>190</v>
      </c>
      <c r="GQ471" s="319" t="s">
        <v>190</v>
      </c>
      <c r="GR471" s="319" t="s">
        <v>190</v>
      </c>
      <c r="GS471" s="319" t="s">
        <v>190</v>
      </c>
      <c r="GT471" s="319" t="s">
        <v>190</v>
      </c>
      <c r="GU471" s="319" t="s">
        <v>190</v>
      </c>
      <c r="GV471" s="319" t="s">
        <v>190</v>
      </c>
      <c r="GW471" s="319" t="s">
        <v>190</v>
      </c>
      <c r="GX471" s="319" t="s">
        <v>190</v>
      </c>
      <c r="GY471" s="319" t="s">
        <v>190</v>
      </c>
      <c r="GZ471" s="319" t="s">
        <v>428</v>
      </c>
      <c r="HA471" s="319" t="s">
        <v>190</v>
      </c>
      <c r="HB471" s="319" t="s">
        <v>190</v>
      </c>
      <c r="HC471" s="319" t="s">
        <v>190</v>
      </c>
      <c r="HD471" s="319" t="s">
        <v>190</v>
      </c>
      <c r="HE471" s="319" t="s">
        <v>190</v>
      </c>
      <c r="HF471" s="319" t="s">
        <v>190</v>
      </c>
      <c r="HG471" s="319" t="s">
        <v>190</v>
      </c>
      <c r="HH471" s="319" t="s">
        <v>190</v>
      </c>
      <c r="HI471" s="319" t="s">
        <v>190</v>
      </c>
      <c r="HJ471" s="319" t="s">
        <v>190</v>
      </c>
      <c r="HK471" s="319" t="s">
        <v>190</v>
      </c>
      <c r="HL471" s="319" t="s">
        <v>190</v>
      </c>
      <c r="HM471" s="319" t="s">
        <v>428</v>
      </c>
      <c r="HN471" s="319" t="s">
        <v>428</v>
      </c>
      <c r="HO471" s="319" t="s">
        <v>428</v>
      </c>
      <c r="HP471" s="319" t="s">
        <v>190</v>
      </c>
      <c r="HQ471" s="319" t="s">
        <v>190</v>
      </c>
      <c r="HR471" s="319" t="s">
        <v>190</v>
      </c>
      <c r="HS471" s="319" t="s">
        <v>190</v>
      </c>
      <c r="HT471" s="319" t="s">
        <v>190</v>
      </c>
      <c r="HU471" s="319" t="s">
        <v>190</v>
      </c>
      <c r="HV471" s="319" t="s">
        <v>190</v>
      </c>
      <c r="HW471" s="319" t="s">
        <v>190</v>
      </c>
      <c r="HX471" s="319" t="s">
        <v>190</v>
      </c>
      <c r="HY471" s="319" t="s">
        <v>190</v>
      </c>
      <c r="HZ471" s="319" t="s">
        <v>190</v>
      </c>
      <c r="IA471" s="319" t="s">
        <v>190</v>
      </c>
      <c r="IB471" s="319" t="s">
        <v>190</v>
      </c>
      <c r="IC471" s="319" t="s">
        <v>190</v>
      </c>
      <c r="ID471" s="319" t="s">
        <v>190</v>
      </c>
      <c r="IE471" s="319" t="s">
        <v>190</v>
      </c>
      <c r="IF471" s="319" t="s">
        <v>190</v>
      </c>
      <c r="IG471" s="319" t="s">
        <v>190</v>
      </c>
      <c r="IH471" s="319" t="s">
        <v>190</v>
      </c>
      <c r="II471" s="319" t="s">
        <v>190</v>
      </c>
      <c r="IJ471" s="319" t="s">
        <v>3236</v>
      </c>
      <c r="IK471" s="321">
        <v>41605</v>
      </c>
      <c r="IL471" s="321">
        <v>41607</v>
      </c>
      <c r="IM471" s="321">
        <v>41627</v>
      </c>
      <c r="IN471" s="319">
        <v>2</v>
      </c>
      <c r="IO471" s="319" t="s">
        <v>173</v>
      </c>
      <c r="IP471" s="319" t="s">
        <v>173</v>
      </c>
      <c r="IQ471" s="321" t="s">
        <v>173</v>
      </c>
      <c r="IR471" s="320" t="s">
        <v>173</v>
      </c>
      <c r="IS471" s="322" t="s">
        <v>173</v>
      </c>
      <c r="IT471" s="319" t="s">
        <v>173</v>
      </c>
    </row>
    <row r="472" spans="1:254" s="271" customFormat="1" x14ac:dyDescent="0.25">
      <c r="A472" s="318" t="str">
        <f>HYPERLINK("http://www.ofsted.gov.uk/inspection-reports/find-inspection-report/provider/ELS/134781 ","Ofsted School Webpage")</f>
        <v>Ofsted School Webpage</v>
      </c>
      <c r="B472" s="319">
        <v>134781</v>
      </c>
      <c r="C472" s="319">
        <v>9096054</v>
      </c>
      <c r="D472" s="319" t="s">
        <v>1853</v>
      </c>
      <c r="E472" s="319" t="s">
        <v>168</v>
      </c>
      <c r="F472" s="319" t="s">
        <v>81</v>
      </c>
      <c r="G472" s="319" t="s">
        <v>81</v>
      </c>
      <c r="H472" s="319" t="s">
        <v>81</v>
      </c>
      <c r="I472" s="319" t="s">
        <v>78</v>
      </c>
      <c r="J472" s="319" t="s">
        <v>424</v>
      </c>
      <c r="K472" s="319" t="s">
        <v>431</v>
      </c>
      <c r="L472" s="319" t="s">
        <v>431</v>
      </c>
      <c r="M472" s="319" t="s">
        <v>585</v>
      </c>
      <c r="N472" s="319" t="s">
        <v>2915</v>
      </c>
      <c r="O472" s="319" t="s">
        <v>1854</v>
      </c>
      <c r="P472" s="319">
        <v>15</v>
      </c>
      <c r="Q472" s="319" t="s">
        <v>2776</v>
      </c>
      <c r="R472" s="320">
        <v>10043377</v>
      </c>
      <c r="S472" s="321">
        <v>43235</v>
      </c>
      <c r="T472" s="321">
        <v>43237</v>
      </c>
      <c r="U472" s="321">
        <v>43292</v>
      </c>
      <c r="V472" s="319" t="s">
        <v>425</v>
      </c>
      <c r="W472" s="319" t="s">
        <v>2767</v>
      </c>
      <c r="X472" s="319">
        <v>1</v>
      </c>
      <c r="Y472" s="319" t="s">
        <v>173</v>
      </c>
      <c r="Z472" s="319" t="s">
        <v>173</v>
      </c>
      <c r="AA472" s="319" t="s">
        <v>173</v>
      </c>
      <c r="AB472" s="319">
        <v>1</v>
      </c>
      <c r="AC472" s="319" t="s">
        <v>169</v>
      </c>
      <c r="AD472" s="319" t="s">
        <v>173</v>
      </c>
      <c r="AE472" s="319">
        <v>1</v>
      </c>
      <c r="AF472" s="319" t="s">
        <v>427</v>
      </c>
      <c r="AG472" s="319" t="s">
        <v>171</v>
      </c>
      <c r="AH472" s="319" t="s">
        <v>190</v>
      </c>
      <c r="AI472" s="319" t="s">
        <v>190</v>
      </c>
      <c r="AJ472" s="319" t="s">
        <v>190</v>
      </c>
      <c r="AK472" s="319" t="s">
        <v>190</v>
      </c>
      <c r="AL472" s="319" t="s">
        <v>190</v>
      </c>
      <c r="AM472" s="319" t="s">
        <v>190</v>
      </c>
      <c r="AN472" s="319" t="s">
        <v>190</v>
      </c>
      <c r="AO472" s="319" t="s">
        <v>190</v>
      </c>
      <c r="AP472" s="319" t="s">
        <v>190</v>
      </c>
      <c r="AQ472" s="319" t="s">
        <v>190</v>
      </c>
      <c r="AR472" s="319" t="s">
        <v>190</v>
      </c>
      <c r="AS472" s="319" t="s">
        <v>190</v>
      </c>
      <c r="AT472" s="319" t="s">
        <v>190</v>
      </c>
      <c r="AU472" s="319" t="s">
        <v>190</v>
      </c>
      <c r="AV472" s="319" t="s">
        <v>190</v>
      </c>
      <c r="AW472" s="319" t="s">
        <v>190</v>
      </c>
      <c r="AX472" s="319" t="s">
        <v>428</v>
      </c>
      <c r="AY472" s="319" t="s">
        <v>190</v>
      </c>
      <c r="AZ472" s="319" t="s">
        <v>190</v>
      </c>
      <c r="BA472" s="319" t="s">
        <v>190</v>
      </c>
      <c r="BB472" s="319" t="s">
        <v>190</v>
      </c>
      <c r="BC472" s="319" t="s">
        <v>190</v>
      </c>
      <c r="BD472" s="319" t="s">
        <v>190</v>
      </c>
      <c r="BE472" s="319" t="s">
        <v>190</v>
      </c>
      <c r="BF472" s="319" t="s">
        <v>428</v>
      </c>
      <c r="BG472" s="319" t="s">
        <v>190</v>
      </c>
      <c r="BH472" s="319" t="s">
        <v>190</v>
      </c>
      <c r="BI472" s="319" t="s">
        <v>190</v>
      </c>
      <c r="BJ472" s="319" t="s">
        <v>190</v>
      </c>
      <c r="BK472" s="319" t="s">
        <v>190</v>
      </c>
      <c r="BL472" s="319" t="s">
        <v>190</v>
      </c>
      <c r="BM472" s="319" t="s">
        <v>190</v>
      </c>
      <c r="BN472" s="319" t="s">
        <v>190</v>
      </c>
      <c r="BO472" s="319" t="s">
        <v>190</v>
      </c>
      <c r="BP472" s="319" t="s">
        <v>190</v>
      </c>
      <c r="BQ472" s="319" t="s">
        <v>190</v>
      </c>
      <c r="BR472" s="319" t="s">
        <v>190</v>
      </c>
      <c r="BS472" s="319" t="s">
        <v>190</v>
      </c>
      <c r="BT472" s="319" t="s">
        <v>190</v>
      </c>
      <c r="BU472" s="319" t="s">
        <v>190</v>
      </c>
      <c r="BV472" s="319" t="s">
        <v>190</v>
      </c>
      <c r="BW472" s="319" t="s">
        <v>190</v>
      </c>
      <c r="BX472" s="319" t="s">
        <v>190</v>
      </c>
      <c r="BY472" s="319" t="s">
        <v>190</v>
      </c>
      <c r="BZ472" s="319" t="s">
        <v>190</v>
      </c>
      <c r="CA472" s="319" t="s">
        <v>190</v>
      </c>
      <c r="CB472" s="319" t="s">
        <v>190</v>
      </c>
      <c r="CC472" s="319" t="s">
        <v>190</v>
      </c>
      <c r="CD472" s="319" t="s">
        <v>190</v>
      </c>
      <c r="CE472" s="319" t="s">
        <v>190</v>
      </c>
      <c r="CF472" s="319" t="s">
        <v>190</v>
      </c>
      <c r="CG472" s="319" t="s">
        <v>190</v>
      </c>
      <c r="CH472" s="319" t="s">
        <v>190</v>
      </c>
      <c r="CI472" s="319" t="s">
        <v>190</v>
      </c>
      <c r="CJ472" s="319" t="s">
        <v>190</v>
      </c>
      <c r="CK472" s="319" t="s">
        <v>190</v>
      </c>
      <c r="CL472" s="319" t="s">
        <v>190</v>
      </c>
      <c r="CM472" s="319" t="s">
        <v>190</v>
      </c>
      <c r="CN472" s="319" t="s">
        <v>428</v>
      </c>
      <c r="CO472" s="319" t="s">
        <v>428</v>
      </c>
      <c r="CP472" s="319" t="s">
        <v>428</v>
      </c>
      <c r="CQ472" s="319" t="s">
        <v>190</v>
      </c>
      <c r="CR472" s="319" t="s">
        <v>190</v>
      </c>
      <c r="CS472" s="319" t="s">
        <v>190</v>
      </c>
      <c r="CT472" s="319" t="s">
        <v>190</v>
      </c>
      <c r="CU472" s="319" t="s">
        <v>190</v>
      </c>
      <c r="CV472" s="319" t="s">
        <v>190</v>
      </c>
      <c r="CW472" s="319" t="s">
        <v>190</v>
      </c>
      <c r="CX472" s="319" t="s">
        <v>190</v>
      </c>
      <c r="CY472" s="319" t="s">
        <v>190</v>
      </c>
      <c r="CZ472" s="319" t="s">
        <v>190</v>
      </c>
      <c r="DA472" s="319" t="s">
        <v>190</v>
      </c>
      <c r="DB472" s="319" t="s">
        <v>190</v>
      </c>
      <c r="DC472" s="319" t="s">
        <v>190</v>
      </c>
      <c r="DD472" s="319" t="s">
        <v>190</v>
      </c>
      <c r="DE472" s="319" t="s">
        <v>190</v>
      </c>
      <c r="DF472" s="319" t="s">
        <v>190</v>
      </c>
      <c r="DG472" s="319" t="s">
        <v>190</v>
      </c>
      <c r="DH472" s="319" t="s">
        <v>190</v>
      </c>
      <c r="DI472" s="319" t="s">
        <v>190</v>
      </c>
      <c r="DJ472" s="319" t="s">
        <v>190</v>
      </c>
      <c r="DK472" s="319" t="s">
        <v>190</v>
      </c>
      <c r="DL472" s="319" t="s">
        <v>190</v>
      </c>
      <c r="DM472" s="319" t="s">
        <v>190</v>
      </c>
      <c r="DN472" s="319" t="s">
        <v>428</v>
      </c>
      <c r="DO472" s="319" t="s">
        <v>190</v>
      </c>
      <c r="DP472" s="319" t="s">
        <v>190</v>
      </c>
      <c r="DQ472" s="319" t="s">
        <v>190</v>
      </c>
      <c r="DR472" s="319" t="s">
        <v>190</v>
      </c>
      <c r="DS472" s="319" t="s">
        <v>190</v>
      </c>
      <c r="DT472" s="319" t="s">
        <v>190</v>
      </c>
      <c r="DU472" s="319" t="s">
        <v>190</v>
      </c>
      <c r="DV472" s="319" t="s">
        <v>173</v>
      </c>
      <c r="DW472" s="319" t="s">
        <v>190</v>
      </c>
      <c r="DX472" s="319" t="s">
        <v>190</v>
      </c>
      <c r="DY472" s="319" t="s">
        <v>190</v>
      </c>
      <c r="DZ472" s="319" t="s">
        <v>190</v>
      </c>
      <c r="EA472" s="319" t="s">
        <v>190</v>
      </c>
      <c r="EB472" s="319" t="s">
        <v>190</v>
      </c>
      <c r="EC472" s="319" t="s">
        <v>428</v>
      </c>
      <c r="ED472" s="319" t="s">
        <v>190</v>
      </c>
      <c r="EE472" s="319" t="s">
        <v>190</v>
      </c>
      <c r="EF472" s="319" t="s">
        <v>190</v>
      </c>
      <c r="EG472" s="319" t="s">
        <v>190</v>
      </c>
      <c r="EH472" s="319" t="s">
        <v>190</v>
      </c>
      <c r="EI472" s="319" t="s">
        <v>190</v>
      </c>
      <c r="EJ472" s="319" t="s">
        <v>190</v>
      </c>
      <c r="EK472" s="319" t="s">
        <v>190</v>
      </c>
      <c r="EL472" s="319" t="s">
        <v>190</v>
      </c>
      <c r="EM472" s="319" t="s">
        <v>190</v>
      </c>
      <c r="EN472" s="319" t="s">
        <v>190</v>
      </c>
      <c r="EO472" s="319" t="s">
        <v>190</v>
      </c>
      <c r="EP472" s="319" t="s">
        <v>190</v>
      </c>
      <c r="EQ472" s="319" t="s">
        <v>190</v>
      </c>
      <c r="ER472" s="319" t="s">
        <v>190</v>
      </c>
      <c r="ES472" s="319" t="s">
        <v>190</v>
      </c>
      <c r="ET472" s="319" t="s">
        <v>190</v>
      </c>
      <c r="EU472" s="319" t="s">
        <v>190</v>
      </c>
      <c r="EV472" s="319" t="s">
        <v>190</v>
      </c>
      <c r="EW472" s="319" t="s">
        <v>190</v>
      </c>
      <c r="EX472" s="319" t="s">
        <v>190</v>
      </c>
      <c r="EY472" s="319" t="s">
        <v>190</v>
      </c>
      <c r="EZ472" s="319" t="s">
        <v>190</v>
      </c>
      <c r="FA472" s="319" t="s">
        <v>190</v>
      </c>
      <c r="FB472" s="319" t="s">
        <v>190</v>
      </c>
      <c r="FC472" s="319" t="s">
        <v>190</v>
      </c>
      <c r="FD472" s="319" t="s">
        <v>190</v>
      </c>
      <c r="FE472" s="319" t="s">
        <v>190</v>
      </c>
      <c r="FF472" s="319" t="s">
        <v>190</v>
      </c>
      <c r="FG472" s="319" t="s">
        <v>190</v>
      </c>
      <c r="FH472" s="319" t="s">
        <v>190</v>
      </c>
      <c r="FI472" s="319" t="s">
        <v>190</v>
      </c>
      <c r="FJ472" s="319" t="s">
        <v>190</v>
      </c>
      <c r="FK472" s="319" t="s">
        <v>190</v>
      </c>
      <c r="FL472" s="319" t="s">
        <v>190</v>
      </c>
      <c r="FM472" s="319" t="s">
        <v>190</v>
      </c>
      <c r="FN472" s="319" t="s">
        <v>428</v>
      </c>
      <c r="FO472" s="319" t="s">
        <v>190</v>
      </c>
      <c r="FP472" s="319" t="s">
        <v>190</v>
      </c>
      <c r="FQ472" s="319" t="s">
        <v>190</v>
      </c>
      <c r="FR472" s="319" t="s">
        <v>190</v>
      </c>
      <c r="FS472" s="319" t="s">
        <v>428</v>
      </c>
      <c r="FT472" s="319" t="s">
        <v>190</v>
      </c>
      <c r="FU472" s="319" t="s">
        <v>190</v>
      </c>
      <c r="FV472" s="319" t="s">
        <v>190</v>
      </c>
      <c r="FW472" s="319" t="s">
        <v>190</v>
      </c>
      <c r="FX472" s="319" t="s">
        <v>190</v>
      </c>
      <c r="FY472" s="319" t="s">
        <v>190</v>
      </c>
      <c r="FZ472" s="319" t="s">
        <v>190</v>
      </c>
      <c r="GA472" s="319" t="s">
        <v>190</v>
      </c>
      <c r="GB472" s="319" t="s">
        <v>190</v>
      </c>
      <c r="GC472" s="319" t="s">
        <v>190</v>
      </c>
      <c r="GD472" s="319" t="s">
        <v>190</v>
      </c>
      <c r="GE472" s="319" t="s">
        <v>190</v>
      </c>
      <c r="GF472" s="319" t="s">
        <v>190</v>
      </c>
      <c r="GG472" s="319" t="s">
        <v>190</v>
      </c>
      <c r="GH472" s="319" t="s">
        <v>190</v>
      </c>
      <c r="GI472" s="319" t="s">
        <v>190</v>
      </c>
      <c r="GJ472" s="319" t="s">
        <v>190</v>
      </c>
      <c r="GK472" s="319" t="s">
        <v>428</v>
      </c>
      <c r="GL472" s="319" t="s">
        <v>190</v>
      </c>
      <c r="GM472" s="319" t="s">
        <v>190</v>
      </c>
      <c r="GN472" s="319" t="s">
        <v>190</v>
      </c>
      <c r="GO472" s="319" t="s">
        <v>190</v>
      </c>
      <c r="GP472" s="319" t="s">
        <v>190</v>
      </c>
      <c r="GQ472" s="319" t="s">
        <v>190</v>
      </c>
      <c r="GR472" s="319" t="s">
        <v>190</v>
      </c>
      <c r="GS472" s="319" t="s">
        <v>190</v>
      </c>
      <c r="GT472" s="319" t="s">
        <v>190</v>
      </c>
      <c r="GU472" s="319" t="s">
        <v>190</v>
      </c>
      <c r="GV472" s="319" t="s">
        <v>190</v>
      </c>
      <c r="GW472" s="319" t="s">
        <v>190</v>
      </c>
      <c r="GX472" s="319" t="s">
        <v>190</v>
      </c>
      <c r="GY472" s="319" t="s">
        <v>190</v>
      </c>
      <c r="GZ472" s="319" t="s">
        <v>190</v>
      </c>
      <c r="HA472" s="319" t="s">
        <v>190</v>
      </c>
      <c r="HB472" s="319" t="s">
        <v>190</v>
      </c>
      <c r="HC472" s="319" t="s">
        <v>190</v>
      </c>
      <c r="HD472" s="319" t="s">
        <v>190</v>
      </c>
      <c r="HE472" s="319" t="s">
        <v>190</v>
      </c>
      <c r="HF472" s="319" t="s">
        <v>190</v>
      </c>
      <c r="HG472" s="319" t="s">
        <v>190</v>
      </c>
      <c r="HH472" s="319" t="s">
        <v>190</v>
      </c>
      <c r="HI472" s="319" t="s">
        <v>190</v>
      </c>
      <c r="HJ472" s="319" t="s">
        <v>190</v>
      </c>
      <c r="HK472" s="319" t="s">
        <v>190</v>
      </c>
      <c r="HL472" s="319" t="s">
        <v>190</v>
      </c>
      <c r="HM472" s="319" t="s">
        <v>428</v>
      </c>
      <c r="HN472" s="319" t="s">
        <v>428</v>
      </c>
      <c r="HO472" s="319" t="s">
        <v>428</v>
      </c>
      <c r="HP472" s="319" t="s">
        <v>190</v>
      </c>
      <c r="HQ472" s="319" t="s">
        <v>190</v>
      </c>
      <c r="HR472" s="319" t="s">
        <v>190</v>
      </c>
      <c r="HS472" s="319" t="s">
        <v>190</v>
      </c>
      <c r="HT472" s="319" t="s">
        <v>190</v>
      </c>
      <c r="HU472" s="319" t="s">
        <v>190</v>
      </c>
      <c r="HV472" s="319" t="s">
        <v>190</v>
      </c>
      <c r="HW472" s="319" t="s">
        <v>190</v>
      </c>
      <c r="HX472" s="319" t="s">
        <v>190</v>
      </c>
      <c r="HY472" s="319" t="s">
        <v>190</v>
      </c>
      <c r="HZ472" s="319" t="s">
        <v>190</v>
      </c>
      <c r="IA472" s="319" t="s">
        <v>190</v>
      </c>
      <c r="IB472" s="319" t="s">
        <v>190</v>
      </c>
      <c r="IC472" s="319" t="s">
        <v>190</v>
      </c>
      <c r="ID472" s="319" t="s">
        <v>190</v>
      </c>
      <c r="IE472" s="319" t="s">
        <v>190</v>
      </c>
      <c r="IF472" s="319" t="s">
        <v>190</v>
      </c>
      <c r="IG472" s="319" t="s">
        <v>190</v>
      </c>
      <c r="IH472" s="319" t="s">
        <v>190</v>
      </c>
      <c r="II472" s="319" t="s">
        <v>190</v>
      </c>
      <c r="IJ472" s="319" t="s">
        <v>3237</v>
      </c>
      <c r="IK472" s="321">
        <v>42185</v>
      </c>
      <c r="IL472" s="321">
        <v>42187</v>
      </c>
      <c r="IM472" s="321">
        <v>42219</v>
      </c>
      <c r="IN472" s="319">
        <v>1</v>
      </c>
      <c r="IO472" s="319" t="s">
        <v>173</v>
      </c>
      <c r="IP472" s="319" t="s">
        <v>173</v>
      </c>
      <c r="IQ472" s="319" t="s">
        <v>173</v>
      </c>
      <c r="IR472" s="320" t="s">
        <v>173</v>
      </c>
      <c r="IS472" s="320" t="s">
        <v>173</v>
      </c>
      <c r="IT472" s="319" t="s">
        <v>173</v>
      </c>
    </row>
    <row r="473" spans="1:254" s="271" customFormat="1" x14ac:dyDescent="0.25">
      <c r="A473" s="318" t="str">
        <f>HYPERLINK("http://www.ofsted.gov.uk/inspection-reports/find-inspection-report/provider/ELS/134805 ","Ofsted School Webpage")</f>
        <v>Ofsted School Webpage</v>
      </c>
      <c r="B473" s="319">
        <v>134805</v>
      </c>
      <c r="C473" s="319">
        <v>8216006</v>
      </c>
      <c r="D473" s="319" t="s">
        <v>1855</v>
      </c>
      <c r="E473" s="319" t="s">
        <v>167</v>
      </c>
      <c r="F473" s="319" t="s">
        <v>81</v>
      </c>
      <c r="G473" s="319" t="s">
        <v>72</v>
      </c>
      <c r="H473" s="319" t="s">
        <v>72</v>
      </c>
      <c r="I473" s="319" t="s">
        <v>72</v>
      </c>
      <c r="J473" s="319" t="s">
        <v>424</v>
      </c>
      <c r="K473" s="319" t="s">
        <v>451</v>
      </c>
      <c r="L473" s="319" t="s">
        <v>451</v>
      </c>
      <c r="M473" s="319" t="s">
        <v>452</v>
      </c>
      <c r="N473" s="319" t="s">
        <v>3238</v>
      </c>
      <c r="O473" s="319" t="s">
        <v>1856</v>
      </c>
      <c r="P473" s="319">
        <v>75</v>
      </c>
      <c r="Q473" s="319" t="s">
        <v>2766</v>
      </c>
      <c r="R473" s="320">
        <v>10039334</v>
      </c>
      <c r="S473" s="321">
        <v>43018</v>
      </c>
      <c r="T473" s="321">
        <v>43020</v>
      </c>
      <c r="U473" s="321">
        <v>43055</v>
      </c>
      <c r="V473" s="319" t="s">
        <v>425</v>
      </c>
      <c r="W473" s="319" t="s">
        <v>2767</v>
      </c>
      <c r="X473" s="319">
        <v>2</v>
      </c>
      <c r="Y473" s="319" t="s">
        <v>173</v>
      </c>
      <c r="Z473" s="319" t="s">
        <v>173</v>
      </c>
      <c r="AA473" s="319" t="s">
        <v>173</v>
      </c>
      <c r="AB473" s="319">
        <v>2</v>
      </c>
      <c r="AC473" s="319" t="s">
        <v>169</v>
      </c>
      <c r="AD473" s="319" t="s">
        <v>173</v>
      </c>
      <c r="AE473" s="319" t="s">
        <v>173</v>
      </c>
      <c r="AF473" s="319" t="s">
        <v>427</v>
      </c>
      <c r="AG473" s="319" t="s">
        <v>171</v>
      </c>
      <c r="AH473" s="319" t="s">
        <v>190</v>
      </c>
      <c r="AI473" s="319" t="s">
        <v>190</v>
      </c>
      <c r="AJ473" s="319" t="s">
        <v>190</v>
      </c>
      <c r="AK473" s="319" t="s">
        <v>190</v>
      </c>
      <c r="AL473" s="319" t="s">
        <v>190</v>
      </c>
      <c r="AM473" s="319" t="s">
        <v>190</v>
      </c>
      <c r="AN473" s="319" t="s">
        <v>190</v>
      </c>
      <c r="AO473" s="319" t="s">
        <v>190</v>
      </c>
      <c r="AP473" s="319" t="s">
        <v>190</v>
      </c>
      <c r="AQ473" s="319" t="s">
        <v>190</v>
      </c>
      <c r="AR473" s="319" t="s">
        <v>190</v>
      </c>
      <c r="AS473" s="319" t="s">
        <v>190</v>
      </c>
      <c r="AT473" s="319" t="s">
        <v>190</v>
      </c>
      <c r="AU473" s="319" t="s">
        <v>190</v>
      </c>
      <c r="AV473" s="319" t="s">
        <v>190</v>
      </c>
      <c r="AW473" s="319" t="s">
        <v>190</v>
      </c>
      <c r="AX473" s="319" t="s">
        <v>428</v>
      </c>
      <c r="AY473" s="319" t="s">
        <v>190</v>
      </c>
      <c r="AZ473" s="319" t="s">
        <v>190</v>
      </c>
      <c r="BA473" s="319" t="s">
        <v>190</v>
      </c>
      <c r="BB473" s="319" t="s">
        <v>190</v>
      </c>
      <c r="BC473" s="319" t="s">
        <v>190</v>
      </c>
      <c r="BD473" s="319" t="s">
        <v>190</v>
      </c>
      <c r="BE473" s="319" t="s">
        <v>190</v>
      </c>
      <c r="BF473" s="319" t="s">
        <v>428</v>
      </c>
      <c r="BG473" s="319" t="s">
        <v>428</v>
      </c>
      <c r="BH473" s="319" t="s">
        <v>190</v>
      </c>
      <c r="BI473" s="319" t="s">
        <v>190</v>
      </c>
      <c r="BJ473" s="319" t="s">
        <v>190</v>
      </c>
      <c r="BK473" s="319" t="s">
        <v>190</v>
      </c>
      <c r="BL473" s="319" t="s">
        <v>190</v>
      </c>
      <c r="BM473" s="319" t="s">
        <v>190</v>
      </c>
      <c r="BN473" s="319" t="s">
        <v>190</v>
      </c>
      <c r="BO473" s="319" t="s">
        <v>190</v>
      </c>
      <c r="BP473" s="319" t="s">
        <v>190</v>
      </c>
      <c r="BQ473" s="319" t="s">
        <v>190</v>
      </c>
      <c r="BR473" s="319" t="s">
        <v>190</v>
      </c>
      <c r="BS473" s="319" t="s">
        <v>190</v>
      </c>
      <c r="BT473" s="319" t="s">
        <v>190</v>
      </c>
      <c r="BU473" s="319" t="s">
        <v>190</v>
      </c>
      <c r="BV473" s="319" t="s">
        <v>190</v>
      </c>
      <c r="BW473" s="319" t="s">
        <v>190</v>
      </c>
      <c r="BX473" s="319" t="s">
        <v>190</v>
      </c>
      <c r="BY473" s="319" t="s">
        <v>190</v>
      </c>
      <c r="BZ473" s="319" t="s">
        <v>190</v>
      </c>
      <c r="CA473" s="319" t="s">
        <v>190</v>
      </c>
      <c r="CB473" s="319" t="s">
        <v>190</v>
      </c>
      <c r="CC473" s="319" t="s">
        <v>190</v>
      </c>
      <c r="CD473" s="319" t="s">
        <v>190</v>
      </c>
      <c r="CE473" s="319" t="s">
        <v>190</v>
      </c>
      <c r="CF473" s="319" t="s">
        <v>190</v>
      </c>
      <c r="CG473" s="319" t="s">
        <v>190</v>
      </c>
      <c r="CH473" s="319" t="s">
        <v>190</v>
      </c>
      <c r="CI473" s="319" t="s">
        <v>190</v>
      </c>
      <c r="CJ473" s="319" t="s">
        <v>190</v>
      </c>
      <c r="CK473" s="319" t="s">
        <v>190</v>
      </c>
      <c r="CL473" s="319" t="s">
        <v>190</v>
      </c>
      <c r="CM473" s="319" t="s">
        <v>190</v>
      </c>
      <c r="CN473" s="319" t="s">
        <v>428</v>
      </c>
      <c r="CO473" s="319" t="s">
        <v>428</v>
      </c>
      <c r="CP473" s="319" t="s">
        <v>428</v>
      </c>
      <c r="CQ473" s="319" t="s">
        <v>190</v>
      </c>
      <c r="CR473" s="319" t="s">
        <v>190</v>
      </c>
      <c r="CS473" s="319" t="s">
        <v>190</v>
      </c>
      <c r="CT473" s="319" t="s">
        <v>190</v>
      </c>
      <c r="CU473" s="319" t="s">
        <v>190</v>
      </c>
      <c r="CV473" s="319" t="s">
        <v>190</v>
      </c>
      <c r="CW473" s="319" t="s">
        <v>190</v>
      </c>
      <c r="CX473" s="319" t="s">
        <v>190</v>
      </c>
      <c r="CY473" s="319" t="s">
        <v>190</v>
      </c>
      <c r="CZ473" s="319" t="s">
        <v>190</v>
      </c>
      <c r="DA473" s="319" t="s">
        <v>190</v>
      </c>
      <c r="DB473" s="319" t="s">
        <v>190</v>
      </c>
      <c r="DC473" s="319" t="s">
        <v>190</v>
      </c>
      <c r="DD473" s="319" t="s">
        <v>190</v>
      </c>
      <c r="DE473" s="319" t="s">
        <v>190</v>
      </c>
      <c r="DF473" s="319" t="s">
        <v>190</v>
      </c>
      <c r="DG473" s="319" t="s">
        <v>190</v>
      </c>
      <c r="DH473" s="319" t="s">
        <v>190</v>
      </c>
      <c r="DI473" s="319" t="s">
        <v>190</v>
      </c>
      <c r="DJ473" s="319" t="s">
        <v>190</v>
      </c>
      <c r="DK473" s="319" t="s">
        <v>190</v>
      </c>
      <c r="DL473" s="319" t="s">
        <v>190</v>
      </c>
      <c r="DM473" s="319" t="s">
        <v>190</v>
      </c>
      <c r="DN473" s="319" t="s">
        <v>428</v>
      </c>
      <c r="DO473" s="319" t="s">
        <v>190</v>
      </c>
      <c r="DP473" s="319" t="s">
        <v>428</v>
      </c>
      <c r="DQ473" s="319" t="s">
        <v>428</v>
      </c>
      <c r="DR473" s="319" t="s">
        <v>428</v>
      </c>
      <c r="DS473" s="319" t="s">
        <v>428</v>
      </c>
      <c r="DT473" s="319" t="s">
        <v>428</v>
      </c>
      <c r="DU473" s="319" t="s">
        <v>428</v>
      </c>
      <c r="DV473" s="319" t="s">
        <v>173</v>
      </c>
      <c r="DW473" s="319" t="s">
        <v>428</v>
      </c>
      <c r="DX473" s="319" t="s">
        <v>428</v>
      </c>
      <c r="DY473" s="319" t="s">
        <v>428</v>
      </c>
      <c r="DZ473" s="319" t="s">
        <v>428</v>
      </c>
      <c r="EA473" s="319" t="s">
        <v>428</v>
      </c>
      <c r="EB473" s="319" t="s">
        <v>428</v>
      </c>
      <c r="EC473" s="319" t="s">
        <v>428</v>
      </c>
      <c r="ED473" s="319" t="s">
        <v>428</v>
      </c>
      <c r="EE473" s="319" t="s">
        <v>428</v>
      </c>
      <c r="EF473" s="319" t="s">
        <v>428</v>
      </c>
      <c r="EG473" s="319" t="s">
        <v>428</v>
      </c>
      <c r="EH473" s="319" t="s">
        <v>428</v>
      </c>
      <c r="EI473" s="319" t="s">
        <v>428</v>
      </c>
      <c r="EJ473" s="319" t="s">
        <v>428</v>
      </c>
      <c r="EK473" s="319" t="s">
        <v>428</v>
      </c>
      <c r="EL473" s="319" t="s">
        <v>428</v>
      </c>
      <c r="EM473" s="319" t="s">
        <v>190</v>
      </c>
      <c r="EN473" s="319" t="s">
        <v>190</v>
      </c>
      <c r="EO473" s="319" t="s">
        <v>190</v>
      </c>
      <c r="EP473" s="319" t="s">
        <v>190</v>
      </c>
      <c r="EQ473" s="319" t="s">
        <v>190</v>
      </c>
      <c r="ER473" s="319" t="s">
        <v>190</v>
      </c>
      <c r="ES473" s="319" t="s">
        <v>190</v>
      </c>
      <c r="ET473" s="319" t="s">
        <v>190</v>
      </c>
      <c r="EU473" s="319" t="s">
        <v>190</v>
      </c>
      <c r="EV473" s="319" t="s">
        <v>190</v>
      </c>
      <c r="EW473" s="319" t="s">
        <v>190</v>
      </c>
      <c r="EX473" s="319" t="s">
        <v>190</v>
      </c>
      <c r="EY473" s="319" t="s">
        <v>190</v>
      </c>
      <c r="EZ473" s="319" t="s">
        <v>190</v>
      </c>
      <c r="FA473" s="319" t="s">
        <v>190</v>
      </c>
      <c r="FB473" s="319" t="s">
        <v>428</v>
      </c>
      <c r="FC473" s="319" t="s">
        <v>428</v>
      </c>
      <c r="FD473" s="319" t="s">
        <v>428</v>
      </c>
      <c r="FE473" s="319" t="s">
        <v>428</v>
      </c>
      <c r="FF473" s="319" t="s">
        <v>428</v>
      </c>
      <c r="FG473" s="319" t="s">
        <v>428</v>
      </c>
      <c r="FH473" s="319" t="s">
        <v>428</v>
      </c>
      <c r="FI473" s="319" t="s">
        <v>428</v>
      </c>
      <c r="FJ473" s="319" t="s">
        <v>429</v>
      </c>
      <c r="FK473" s="319" t="s">
        <v>428</v>
      </c>
      <c r="FL473" s="319" t="s">
        <v>190</v>
      </c>
      <c r="FM473" s="319" t="s">
        <v>190</v>
      </c>
      <c r="FN473" s="319" t="s">
        <v>190</v>
      </c>
      <c r="FO473" s="319" t="s">
        <v>190</v>
      </c>
      <c r="FP473" s="319" t="s">
        <v>190</v>
      </c>
      <c r="FQ473" s="319" t="s">
        <v>190</v>
      </c>
      <c r="FR473" s="319" t="s">
        <v>190</v>
      </c>
      <c r="FS473" s="319" t="s">
        <v>428</v>
      </c>
      <c r="FT473" s="319" t="s">
        <v>190</v>
      </c>
      <c r="FU473" s="319" t="s">
        <v>190</v>
      </c>
      <c r="FV473" s="319" t="s">
        <v>190</v>
      </c>
      <c r="FW473" s="319" t="s">
        <v>190</v>
      </c>
      <c r="FX473" s="319" t="s">
        <v>190</v>
      </c>
      <c r="FY473" s="319" t="s">
        <v>190</v>
      </c>
      <c r="FZ473" s="319" t="s">
        <v>190</v>
      </c>
      <c r="GA473" s="319" t="s">
        <v>190</v>
      </c>
      <c r="GB473" s="319" t="s">
        <v>190</v>
      </c>
      <c r="GC473" s="319" t="s">
        <v>190</v>
      </c>
      <c r="GD473" s="319" t="s">
        <v>190</v>
      </c>
      <c r="GE473" s="319" t="s">
        <v>190</v>
      </c>
      <c r="GF473" s="319" t="s">
        <v>190</v>
      </c>
      <c r="GG473" s="319" t="s">
        <v>190</v>
      </c>
      <c r="GH473" s="319" t="s">
        <v>190</v>
      </c>
      <c r="GI473" s="319" t="s">
        <v>190</v>
      </c>
      <c r="GJ473" s="319" t="s">
        <v>190</v>
      </c>
      <c r="GK473" s="319" t="s">
        <v>428</v>
      </c>
      <c r="GL473" s="319" t="s">
        <v>190</v>
      </c>
      <c r="GM473" s="319" t="s">
        <v>190</v>
      </c>
      <c r="GN473" s="319" t="s">
        <v>190</v>
      </c>
      <c r="GO473" s="319" t="s">
        <v>190</v>
      </c>
      <c r="GP473" s="319" t="s">
        <v>190</v>
      </c>
      <c r="GQ473" s="319" t="s">
        <v>428</v>
      </c>
      <c r="GR473" s="319" t="s">
        <v>190</v>
      </c>
      <c r="GS473" s="319" t="s">
        <v>190</v>
      </c>
      <c r="GT473" s="319" t="s">
        <v>428</v>
      </c>
      <c r="GU473" s="319" t="s">
        <v>428</v>
      </c>
      <c r="GV473" s="319" t="s">
        <v>190</v>
      </c>
      <c r="GW473" s="319" t="s">
        <v>190</v>
      </c>
      <c r="GX473" s="319" t="s">
        <v>190</v>
      </c>
      <c r="GY473" s="319" t="s">
        <v>190</v>
      </c>
      <c r="GZ473" s="319" t="s">
        <v>190</v>
      </c>
      <c r="HA473" s="319" t="s">
        <v>428</v>
      </c>
      <c r="HB473" s="319" t="s">
        <v>190</v>
      </c>
      <c r="HC473" s="319" t="s">
        <v>190</v>
      </c>
      <c r="HD473" s="319" t="s">
        <v>190</v>
      </c>
      <c r="HE473" s="319" t="s">
        <v>190</v>
      </c>
      <c r="HF473" s="319" t="s">
        <v>190</v>
      </c>
      <c r="HG473" s="319" t="s">
        <v>190</v>
      </c>
      <c r="HH473" s="319" t="s">
        <v>190</v>
      </c>
      <c r="HI473" s="319" t="s">
        <v>190</v>
      </c>
      <c r="HJ473" s="319" t="s">
        <v>190</v>
      </c>
      <c r="HK473" s="319" t="s">
        <v>190</v>
      </c>
      <c r="HL473" s="319" t="s">
        <v>190</v>
      </c>
      <c r="HM473" s="319" t="s">
        <v>190</v>
      </c>
      <c r="HN473" s="319" t="s">
        <v>190</v>
      </c>
      <c r="HO473" s="319" t="s">
        <v>190</v>
      </c>
      <c r="HP473" s="319" t="s">
        <v>190</v>
      </c>
      <c r="HQ473" s="319" t="s">
        <v>190</v>
      </c>
      <c r="HR473" s="319" t="s">
        <v>190</v>
      </c>
      <c r="HS473" s="319" t="s">
        <v>190</v>
      </c>
      <c r="HT473" s="319" t="s">
        <v>190</v>
      </c>
      <c r="HU473" s="319" t="s">
        <v>190</v>
      </c>
      <c r="HV473" s="319" t="s">
        <v>190</v>
      </c>
      <c r="HW473" s="319" t="s">
        <v>190</v>
      </c>
      <c r="HX473" s="319" t="s">
        <v>190</v>
      </c>
      <c r="HY473" s="319" t="s">
        <v>190</v>
      </c>
      <c r="HZ473" s="319" t="s">
        <v>190</v>
      </c>
      <c r="IA473" s="319" t="s">
        <v>190</v>
      </c>
      <c r="IB473" s="319" t="s">
        <v>190</v>
      </c>
      <c r="IC473" s="319" t="s">
        <v>190</v>
      </c>
      <c r="ID473" s="319" t="s">
        <v>190</v>
      </c>
      <c r="IE473" s="319" t="s">
        <v>190</v>
      </c>
      <c r="IF473" s="319" t="s">
        <v>190</v>
      </c>
      <c r="IG473" s="319" t="s">
        <v>190</v>
      </c>
      <c r="IH473" s="319" t="s">
        <v>190</v>
      </c>
      <c r="II473" s="319" t="s">
        <v>190</v>
      </c>
      <c r="IJ473" s="319" t="s">
        <v>3239</v>
      </c>
      <c r="IK473" s="321">
        <v>42024</v>
      </c>
      <c r="IL473" s="321">
        <v>42026</v>
      </c>
      <c r="IM473" s="321">
        <v>42046</v>
      </c>
      <c r="IN473" s="319">
        <v>2</v>
      </c>
      <c r="IO473" s="319" t="s">
        <v>173</v>
      </c>
      <c r="IP473" s="319" t="s">
        <v>173</v>
      </c>
      <c r="IQ473" s="321" t="s">
        <v>173</v>
      </c>
      <c r="IR473" s="320" t="s">
        <v>173</v>
      </c>
      <c r="IS473" s="322" t="s">
        <v>173</v>
      </c>
      <c r="IT473" s="319" t="s">
        <v>173</v>
      </c>
    </row>
    <row r="474" spans="1:254" s="271" customFormat="1" x14ac:dyDescent="0.25">
      <c r="A474" s="318" t="str">
        <f>HYPERLINK("http://www.ofsted.gov.uk/inspection-reports/find-inspection-report/provider/ELS/134809 ","Ofsted School Webpage")</f>
        <v>Ofsted School Webpage</v>
      </c>
      <c r="B474" s="319">
        <v>134809</v>
      </c>
      <c r="C474" s="319">
        <v>8566017</v>
      </c>
      <c r="D474" s="319" t="s">
        <v>1857</v>
      </c>
      <c r="E474" s="319" t="s">
        <v>167</v>
      </c>
      <c r="F474" s="319" t="s">
        <v>71</v>
      </c>
      <c r="G474" s="319" t="s">
        <v>71</v>
      </c>
      <c r="H474" s="319" t="s">
        <v>71</v>
      </c>
      <c r="I474" s="319" t="s">
        <v>72</v>
      </c>
      <c r="J474" s="319" t="s">
        <v>424</v>
      </c>
      <c r="K474" s="319" t="s">
        <v>506</v>
      </c>
      <c r="L474" s="319" t="s">
        <v>506</v>
      </c>
      <c r="M474" s="319" t="s">
        <v>521</v>
      </c>
      <c r="N474" s="319" t="s">
        <v>3003</v>
      </c>
      <c r="O474" s="319" t="s">
        <v>1858</v>
      </c>
      <c r="P474" s="319">
        <v>306</v>
      </c>
      <c r="Q474" s="319" t="s">
        <v>2766</v>
      </c>
      <c r="R474" s="320">
        <v>10039187</v>
      </c>
      <c r="S474" s="321">
        <v>43067</v>
      </c>
      <c r="T474" s="321">
        <v>43069</v>
      </c>
      <c r="U474" s="321">
        <v>43110</v>
      </c>
      <c r="V474" s="319" t="s">
        <v>425</v>
      </c>
      <c r="W474" s="319" t="s">
        <v>2767</v>
      </c>
      <c r="X474" s="319">
        <v>2</v>
      </c>
      <c r="Y474" s="319" t="s">
        <v>173</v>
      </c>
      <c r="Z474" s="319" t="s">
        <v>173</v>
      </c>
      <c r="AA474" s="319" t="s">
        <v>173</v>
      </c>
      <c r="AB474" s="319">
        <v>2</v>
      </c>
      <c r="AC474" s="319" t="s">
        <v>169</v>
      </c>
      <c r="AD474" s="319">
        <v>2</v>
      </c>
      <c r="AE474" s="319" t="s">
        <v>173</v>
      </c>
      <c r="AF474" s="319" t="s">
        <v>427</v>
      </c>
      <c r="AG474" s="319" t="s">
        <v>171</v>
      </c>
      <c r="AH474" s="319" t="s">
        <v>190</v>
      </c>
      <c r="AI474" s="319" t="s">
        <v>190</v>
      </c>
      <c r="AJ474" s="319" t="s">
        <v>190</v>
      </c>
      <c r="AK474" s="319" t="s">
        <v>190</v>
      </c>
      <c r="AL474" s="319" t="s">
        <v>190</v>
      </c>
      <c r="AM474" s="319" t="s">
        <v>190</v>
      </c>
      <c r="AN474" s="319" t="s">
        <v>190</v>
      </c>
      <c r="AO474" s="319" t="s">
        <v>190</v>
      </c>
      <c r="AP474" s="319" t="s">
        <v>190</v>
      </c>
      <c r="AQ474" s="319" t="s">
        <v>190</v>
      </c>
      <c r="AR474" s="319" t="s">
        <v>190</v>
      </c>
      <c r="AS474" s="319" t="s">
        <v>190</v>
      </c>
      <c r="AT474" s="319" t="s">
        <v>190</v>
      </c>
      <c r="AU474" s="319" t="s">
        <v>190</v>
      </c>
      <c r="AV474" s="319" t="s">
        <v>190</v>
      </c>
      <c r="AW474" s="319" t="s">
        <v>190</v>
      </c>
      <c r="AX474" s="319" t="s">
        <v>428</v>
      </c>
      <c r="AY474" s="319" t="s">
        <v>190</v>
      </c>
      <c r="AZ474" s="319" t="s">
        <v>190</v>
      </c>
      <c r="BA474" s="319" t="s">
        <v>190</v>
      </c>
      <c r="BB474" s="319" t="s">
        <v>190</v>
      </c>
      <c r="BC474" s="319" t="s">
        <v>190</v>
      </c>
      <c r="BD474" s="319" t="s">
        <v>190</v>
      </c>
      <c r="BE474" s="319" t="s">
        <v>190</v>
      </c>
      <c r="BF474" s="319" t="s">
        <v>190</v>
      </c>
      <c r="BG474" s="319" t="s">
        <v>428</v>
      </c>
      <c r="BH474" s="319" t="s">
        <v>190</v>
      </c>
      <c r="BI474" s="319" t="s">
        <v>190</v>
      </c>
      <c r="BJ474" s="319" t="s">
        <v>190</v>
      </c>
      <c r="BK474" s="319" t="s">
        <v>190</v>
      </c>
      <c r="BL474" s="319" t="s">
        <v>190</v>
      </c>
      <c r="BM474" s="319" t="s">
        <v>190</v>
      </c>
      <c r="BN474" s="319" t="s">
        <v>190</v>
      </c>
      <c r="BO474" s="319" t="s">
        <v>190</v>
      </c>
      <c r="BP474" s="319" t="s">
        <v>190</v>
      </c>
      <c r="BQ474" s="319" t="s">
        <v>190</v>
      </c>
      <c r="BR474" s="319" t="s">
        <v>190</v>
      </c>
      <c r="BS474" s="319" t="s">
        <v>190</v>
      </c>
      <c r="BT474" s="319" t="s">
        <v>190</v>
      </c>
      <c r="BU474" s="319" t="s">
        <v>190</v>
      </c>
      <c r="BV474" s="319" t="s">
        <v>190</v>
      </c>
      <c r="BW474" s="319" t="s">
        <v>190</v>
      </c>
      <c r="BX474" s="319" t="s">
        <v>190</v>
      </c>
      <c r="BY474" s="319" t="s">
        <v>190</v>
      </c>
      <c r="BZ474" s="319" t="s">
        <v>190</v>
      </c>
      <c r="CA474" s="319" t="s">
        <v>190</v>
      </c>
      <c r="CB474" s="319" t="s">
        <v>190</v>
      </c>
      <c r="CC474" s="319" t="s">
        <v>190</v>
      </c>
      <c r="CD474" s="319" t="s">
        <v>190</v>
      </c>
      <c r="CE474" s="319" t="s">
        <v>190</v>
      </c>
      <c r="CF474" s="319" t="s">
        <v>190</v>
      </c>
      <c r="CG474" s="319" t="s">
        <v>190</v>
      </c>
      <c r="CH474" s="319" t="s">
        <v>190</v>
      </c>
      <c r="CI474" s="319" t="s">
        <v>190</v>
      </c>
      <c r="CJ474" s="319" t="s">
        <v>190</v>
      </c>
      <c r="CK474" s="319" t="s">
        <v>190</v>
      </c>
      <c r="CL474" s="319" t="s">
        <v>190</v>
      </c>
      <c r="CM474" s="319" t="s">
        <v>190</v>
      </c>
      <c r="CN474" s="319" t="s">
        <v>190</v>
      </c>
      <c r="CO474" s="319" t="s">
        <v>428</v>
      </c>
      <c r="CP474" s="319" t="s">
        <v>428</v>
      </c>
      <c r="CQ474" s="319" t="s">
        <v>190</v>
      </c>
      <c r="CR474" s="319" t="s">
        <v>190</v>
      </c>
      <c r="CS474" s="319" t="s">
        <v>190</v>
      </c>
      <c r="CT474" s="319" t="s">
        <v>190</v>
      </c>
      <c r="CU474" s="319" t="s">
        <v>190</v>
      </c>
      <c r="CV474" s="319" t="s">
        <v>190</v>
      </c>
      <c r="CW474" s="319" t="s">
        <v>190</v>
      </c>
      <c r="CX474" s="319" t="s">
        <v>190</v>
      </c>
      <c r="CY474" s="319" t="s">
        <v>190</v>
      </c>
      <c r="CZ474" s="319" t="s">
        <v>190</v>
      </c>
      <c r="DA474" s="319" t="s">
        <v>190</v>
      </c>
      <c r="DB474" s="319" t="s">
        <v>190</v>
      </c>
      <c r="DC474" s="319" t="s">
        <v>190</v>
      </c>
      <c r="DD474" s="319" t="s">
        <v>190</v>
      </c>
      <c r="DE474" s="319" t="s">
        <v>190</v>
      </c>
      <c r="DF474" s="319" t="s">
        <v>190</v>
      </c>
      <c r="DG474" s="319" t="s">
        <v>190</v>
      </c>
      <c r="DH474" s="319" t="s">
        <v>190</v>
      </c>
      <c r="DI474" s="319" t="s">
        <v>190</v>
      </c>
      <c r="DJ474" s="319" t="s">
        <v>190</v>
      </c>
      <c r="DK474" s="319" t="s">
        <v>190</v>
      </c>
      <c r="DL474" s="319" t="s">
        <v>190</v>
      </c>
      <c r="DM474" s="319" t="s">
        <v>190</v>
      </c>
      <c r="DN474" s="319" t="s">
        <v>428</v>
      </c>
      <c r="DO474" s="319" t="s">
        <v>190</v>
      </c>
      <c r="DP474" s="319" t="s">
        <v>428</v>
      </c>
      <c r="DQ474" s="319" t="s">
        <v>428</v>
      </c>
      <c r="DR474" s="319" t="s">
        <v>428</v>
      </c>
      <c r="DS474" s="319" t="s">
        <v>428</v>
      </c>
      <c r="DT474" s="319" t="s">
        <v>428</v>
      </c>
      <c r="DU474" s="319" t="s">
        <v>428</v>
      </c>
      <c r="DV474" s="319" t="s">
        <v>173</v>
      </c>
      <c r="DW474" s="319" t="s">
        <v>428</v>
      </c>
      <c r="DX474" s="319" t="s">
        <v>428</v>
      </c>
      <c r="DY474" s="319" t="s">
        <v>428</v>
      </c>
      <c r="DZ474" s="319" t="s">
        <v>428</v>
      </c>
      <c r="EA474" s="319" t="s">
        <v>428</v>
      </c>
      <c r="EB474" s="319" t="s">
        <v>428</v>
      </c>
      <c r="EC474" s="319" t="s">
        <v>428</v>
      </c>
      <c r="ED474" s="319" t="s">
        <v>190</v>
      </c>
      <c r="EE474" s="319" t="s">
        <v>190</v>
      </c>
      <c r="EF474" s="319" t="s">
        <v>190</v>
      </c>
      <c r="EG474" s="319" t="s">
        <v>190</v>
      </c>
      <c r="EH474" s="319" t="s">
        <v>190</v>
      </c>
      <c r="EI474" s="319" t="s">
        <v>190</v>
      </c>
      <c r="EJ474" s="319" t="s">
        <v>190</v>
      </c>
      <c r="EK474" s="319" t="s">
        <v>190</v>
      </c>
      <c r="EL474" s="319" t="s">
        <v>190</v>
      </c>
      <c r="EM474" s="319" t="s">
        <v>190</v>
      </c>
      <c r="EN474" s="319" t="s">
        <v>190</v>
      </c>
      <c r="EO474" s="319" t="s">
        <v>190</v>
      </c>
      <c r="EP474" s="319" t="s">
        <v>190</v>
      </c>
      <c r="EQ474" s="319" t="s">
        <v>190</v>
      </c>
      <c r="ER474" s="319" t="s">
        <v>190</v>
      </c>
      <c r="ES474" s="319" t="s">
        <v>190</v>
      </c>
      <c r="ET474" s="319" t="s">
        <v>190</v>
      </c>
      <c r="EU474" s="319" t="s">
        <v>190</v>
      </c>
      <c r="EV474" s="319" t="s">
        <v>190</v>
      </c>
      <c r="EW474" s="319" t="s">
        <v>190</v>
      </c>
      <c r="EX474" s="319" t="s">
        <v>190</v>
      </c>
      <c r="EY474" s="319" t="s">
        <v>190</v>
      </c>
      <c r="EZ474" s="319" t="s">
        <v>190</v>
      </c>
      <c r="FA474" s="319" t="s">
        <v>190</v>
      </c>
      <c r="FB474" s="319" t="s">
        <v>428</v>
      </c>
      <c r="FC474" s="319" t="s">
        <v>428</v>
      </c>
      <c r="FD474" s="319" t="s">
        <v>428</v>
      </c>
      <c r="FE474" s="319" t="s">
        <v>428</v>
      </c>
      <c r="FF474" s="319" t="s">
        <v>428</v>
      </c>
      <c r="FG474" s="319" t="s">
        <v>428</v>
      </c>
      <c r="FH474" s="319" t="s">
        <v>190</v>
      </c>
      <c r="FI474" s="319" t="s">
        <v>190</v>
      </c>
      <c r="FJ474" s="319" t="s">
        <v>190</v>
      </c>
      <c r="FK474" s="319" t="s">
        <v>190</v>
      </c>
      <c r="FL474" s="319" t="s">
        <v>190</v>
      </c>
      <c r="FM474" s="319" t="s">
        <v>190</v>
      </c>
      <c r="FN474" s="319" t="s">
        <v>190</v>
      </c>
      <c r="FO474" s="319" t="s">
        <v>190</v>
      </c>
      <c r="FP474" s="319" t="s">
        <v>190</v>
      </c>
      <c r="FQ474" s="319" t="s">
        <v>190</v>
      </c>
      <c r="FR474" s="319" t="s">
        <v>190</v>
      </c>
      <c r="FS474" s="319" t="s">
        <v>428</v>
      </c>
      <c r="FT474" s="319" t="s">
        <v>190</v>
      </c>
      <c r="FU474" s="319" t="s">
        <v>190</v>
      </c>
      <c r="FV474" s="319" t="s">
        <v>190</v>
      </c>
      <c r="FW474" s="319" t="s">
        <v>190</v>
      </c>
      <c r="FX474" s="319" t="s">
        <v>190</v>
      </c>
      <c r="FY474" s="319" t="s">
        <v>190</v>
      </c>
      <c r="FZ474" s="319" t="s">
        <v>190</v>
      </c>
      <c r="GA474" s="319" t="s">
        <v>190</v>
      </c>
      <c r="GB474" s="319" t="s">
        <v>190</v>
      </c>
      <c r="GC474" s="319" t="s">
        <v>190</v>
      </c>
      <c r="GD474" s="319" t="s">
        <v>190</v>
      </c>
      <c r="GE474" s="319" t="s">
        <v>190</v>
      </c>
      <c r="GF474" s="319" t="s">
        <v>190</v>
      </c>
      <c r="GG474" s="319" t="s">
        <v>190</v>
      </c>
      <c r="GH474" s="319" t="s">
        <v>190</v>
      </c>
      <c r="GI474" s="319" t="s">
        <v>190</v>
      </c>
      <c r="GJ474" s="319" t="s">
        <v>190</v>
      </c>
      <c r="GK474" s="319" t="s">
        <v>428</v>
      </c>
      <c r="GL474" s="319" t="s">
        <v>190</v>
      </c>
      <c r="GM474" s="319" t="s">
        <v>190</v>
      </c>
      <c r="GN474" s="319" t="s">
        <v>190</v>
      </c>
      <c r="GO474" s="319" t="s">
        <v>190</v>
      </c>
      <c r="GP474" s="319" t="s">
        <v>190</v>
      </c>
      <c r="GQ474" s="319" t="s">
        <v>428</v>
      </c>
      <c r="GR474" s="319" t="s">
        <v>190</v>
      </c>
      <c r="GS474" s="319" t="s">
        <v>190</v>
      </c>
      <c r="GT474" s="319" t="s">
        <v>428</v>
      </c>
      <c r="GU474" s="319" t="s">
        <v>190</v>
      </c>
      <c r="GV474" s="319" t="s">
        <v>428</v>
      </c>
      <c r="GW474" s="319" t="s">
        <v>190</v>
      </c>
      <c r="GX474" s="319" t="s">
        <v>190</v>
      </c>
      <c r="GY474" s="319" t="s">
        <v>190</v>
      </c>
      <c r="GZ474" s="319" t="s">
        <v>428</v>
      </c>
      <c r="HA474" s="319" t="s">
        <v>190</v>
      </c>
      <c r="HB474" s="319" t="s">
        <v>190</v>
      </c>
      <c r="HC474" s="319" t="s">
        <v>190</v>
      </c>
      <c r="HD474" s="319" t="s">
        <v>190</v>
      </c>
      <c r="HE474" s="319" t="s">
        <v>190</v>
      </c>
      <c r="HF474" s="319" t="s">
        <v>190</v>
      </c>
      <c r="HG474" s="319" t="s">
        <v>190</v>
      </c>
      <c r="HH474" s="319" t="s">
        <v>190</v>
      </c>
      <c r="HI474" s="319" t="s">
        <v>190</v>
      </c>
      <c r="HJ474" s="319" t="s">
        <v>190</v>
      </c>
      <c r="HK474" s="319" t="s">
        <v>190</v>
      </c>
      <c r="HL474" s="319" t="s">
        <v>428</v>
      </c>
      <c r="HM474" s="319" t="s">
        <v>428</v>
      </c>
      <c r="HN474" s="319" t="s">
        <v>428</v>
      </c>
      <c r="HO474" s="319" t="s">
        <v>428</v>
      </c>
      <c r="HP474" s="319" t="s">
        <v>190</v>
      </c>
      <c r="HQ474" s="319" t="s">
        <v>190</v>
      </c>
      <c r="HR474" s="319" t="s">
        <v>190</v>
      </c>
      <c r="HS474" s="319" t="s">
        <v>190</v>
      </c>
      <c r="HT474" s="319" t="s">
        <v>190</v>
      </c>
      <c r="HU474" s="319" t="s">
        <v>190</v>
      </c>
      <c r="HV474" s="319" t="s">
        <v>190</v>
      </c>
      <c r="HW474" s="319" t="s">
        <v>190</v>
      </c>
      <c r="HX474" s="319" t="s">
        <v>190</v>
      </c>
      <c r="HY474" s="319" t="s">
        <v>190</v>
      </c>
      <c r="HZ474" s="319" t="s">
        <v>190</v>
      </c>
      <c r="IA474" s="319" t="s">
        <v>190</v>
      </c>
      <c r="IB474" s="319" t="s">
        <v>190</v>
      </c>
      <c r="IC474" s="319" t="s">
        <v>190</v>
      </c>
      <c r="ID474" s="319" t="s">
        <v>190</v>
      </c>
      <c r="IE474" s="319" t="s">
        <v>190</v>
      </c>
      <c r="IF474" s="319" t="s">
        <v>190</v>
      </c>
      <c r="IG474" s="319" t="s">
        <v>190</v>
      </c>
      <c r="IH474" s="319" t="s">
        <v>190</v>
      </c>
      <c r="II474" s="319" t="s">
        <v>190</v>
      </c>
      <c r="IJ474" s="319">
        <v>10007700</v>
      </c>
      <c r="IK474" s="321">
        <v>42292</v>
      </c>
      <c r="IL474" s="321">
        <v>42293</v>
      </c>
      <c r="IM474" s="321">
        <v>42459</v>
      </c>
      <c r="IN474" s="319">
        <v>3</v>
      </c>
      <c r="IO474" s="319" t="s">
        <v>173</v>
      </c>
      <c r="IP474" s="319" t="s">
        <v>173</v>
      </c>
      <c r="IQ474" s="321" t="s">
        <v>173</v>
      </c>
      <c r="IR474" s="320" t="s">
        <v>173</v>
      </c>
      <c r="IS474" s="322" t="s">
        <v>173</v>
      </c>
      <c r="IT474" s="319" t="s">
        <v>173</v>
      </c>
    </row>
    <row r="475" spans="1:254" s="271" customFormat="1" x14ac:dyDescent="0.25">
      <c r="A475" s="318" t="str">
        <f>HYPERLINK("http://www.ofsted.gov.uk/inspection-reports/find-inspection-report/provider/ELS/134810 ","Ofsted School Webpage")</f>
        <v>Ofsted School Webpage</v>
      </c>
      <c r="B475" s="319">
        <v>134810</v>
      </c>
      <c r="C475" s="319">
        <v>2116394</v>
      </c>
      <c r="D475" s="319" t="s">
        <v>1859</v>
      </c>
      <c r="E475" s="319" t="s">
        <v>167</v>
      </c>
      <c r="F475" s="319" t="s">
        <v>81</v>
      </c>
      <c r="G475" s="319" t="s">
        <v>72</v>
      </c>
      <c r="H475" s="319" t="s">
        <v>72</v>
      </c>
      <c r="I475" s="319" t="s">
        <v>72</v>
      </c>
      <c r="J475" s="319" t="s">
        <v>424</v>
      </c>
      <c r="K475" s="319" t="s">
        <v>441</v>
      </c>
      <c r="L475" s="319" t="s">
        <v>441</v>
      </c>
      <c r="M475" s="319" t="s">
        <v>757</v>
      </c>
      <c r="N475" s="319" t="s">
        <v>2801</v>
      </c>
      <c r="O475" s="319" t="s">
        <v>1781</v>
      </c>
      <c r="P475" s="319">
        <v>140</v>
      </c>
      <c r="Q475" s="319" t="s">
        <v>2766</v>
      </c>
      <c r="R475" s="320">
        <v>10033689</v>
      </c>
      <c r="S475" s="321">
        <v>42927</v>
      </c>
      <c r="T475" s="321">
        <v>42929</v>
      </c>
      <c r="U475" s="321">
        <v>42992</v>
      </c>
      <c r="V475" s="319" t="s">
        <v>425</v>
      </c>
      <c r="W475" s="319" t="s">
        <v>2767</v>
      </c>
      <c r="X475" s="319">
        <v>2</v>
      </c>
      <c r="Y475" s="319" t="s">
        <v>173</v>
      </c>
      <c r="Z475" s="319" t="s">
        <v>173</v>
      </c>
      <c r="AA475" s="319" t="s">
        <v>173</v>
      </c>
      <c r="AB475" s="319">
        <v>2</v>
      </c>
      <c r="AC475" s="319" t="s">
        <v>169</v>
      </c>
      <c r="AD475" s="319" t="s">
        <v>173</v>
      </c>
      <c r="AE475" s="319" t="s">
        <v>173</v>
      </c>
      <c r="AF475" s="319" t="s">
        <v>173</v>
      </c>
      <c r="AG475" s="319" t="s">
        <v>171</v>
      </c>
      <c r="AH475" s="319" t="s">
        <v>190</v>
      </c>
      <c r="AI475" s="319" t="s">
        <v>190</v>
      </c>
      <c r="AJ475" s="319" t="s">
        <v>190</v>
      </c>
      <c r="AK475" s="319" t="s">
        <v>190</v>
      </c>
      <c r="AL475" s="319" t="s">
        <v>190</v>
      </c>
      <c r="AM475" s="319" t="s">
        <v>190</v>
      </c>
      <c r="AN475" s="319" t="s">
        <v>190</v>
      </c>
      <c r="AO475" s="319" t="s">
        <v>190</v>
      </c>
      <c r="AP475" s="319" t="s">
        <v>190</v>
      </c>
      <c r="AQ475" s="319" t="s">
        <v>190</v>
      </c>
      <c r="AR475" s="319" t="s">
        <v>190</v>
      </c>
      <c r="AS475" s="319" t="s">
        <v>190</v>
      </c>
      <c r="AT475" s="319" t="s">
        <v>190</v>
      </c>
      <c r="AU475" s="319" t="s">
        <v>190</v>
      </c>
      <c r="AV475" s="319" t="s">
        <v>190</v>
      </c>
      <c r="AW475" s="319" t="s">
        <v>190</v>
      </c>
      <c r="AX475" s="319" t="s">
        <v>429</v>
      </c>
      <c r="AY475" s="319" t="s">
        <v>190</v>
      </c>
      <c r="AZ475" s="319" t="s">
        <v>190</v>
      </c>
      <c r="BA475" s="319" t="s">
        <v>190</v>
      </c>
      <c r="BB475" s="319" t="s">
        <v>190</v>
      </c>
      <c r="BC475" s="319" t="s">
        <v>190</v>
      </c>
      <c r="BD475" s="319" t="s">
        <v>190</v>
      </c>
      <c r="BE475" s="319" t="s">
        <v>190</v>
      </c>
      <c r="BF475" s="319" t="s">
        <v>429</v>
      </c>
      <c r="BG475" s="319" t="s">
        <v>429</v>
      </c>
      <c r="BH475" s="319" t="s">
        <v>190</v>
      </c>
      <c r="BI475" s="319" t="s">
        <v>190</v>
      </c>
      <c r="BJ475" s="319" t="s">
        <v>190</v>
      </c>
      <c r="BK475" s="319" t="s">
        <v>190</v>
      </c>
      <c r="BL475" s="319" t="s">
        <v>190</v>
      </c>
      <c r="BM475" s="319" t="s">
        <v>190</v>
      </c>
      <c r="BN475" s="319" t="s">
        <v>190</v>
      </c>
      <c r="BO475" s="319" t="s">
        <v>190</v>
      </c>
      <c r="BP475" s="319" t="s">
        <v>190</v>
      </c>
      <c r="BQ475" s="319" t="s">
        <v>190</v>
      </c>
      <c r="BR475" s="319" t="s">
        <v>190</v>
      </c>
      <c r="BS475" s="319" t="s">
        <v>190</v>
      </c>
      <c r="BT475" s="319" t="s">
        <v>190</v>
      </c>
      <c r="BU475" s="319" t="s">
        <v>190</v>
      </c>
      <c r="BV475" s="319" t="s">
        <v>190</v>
      </c>
      <c r="BW475" s="319" t="s">
        <v>190</v>
      </c>
      <c r="BX475" s="319" t="s">
        <v>190</v>
      </c>
      <c r="BY475" s="319" t="s">
        <v>190</v>
      </c>
      <c r="BZ475" s="319" t="s">
        <v>190</v>
      </c>
      <c r="CA475" s="319" t="s">
        <v>190</v>
      </c>
      <c r="CB475" s="319" t="s">
        <v>190</v>
      </c>
      <c r="CC475" s="319" t="s">
        <v>190</v>
      </c>
      <c r="CD475" s="319" t="s">
        <v>190</v>
      </c>
      <c r="CE475" s="319" t="s">
        <v>190</v>
      </c>
      <c r="CF475" s="319" t="s">
        <v>190</v>
      </c>
      <c r="CG475" s="319" t="s">
        <v>190</v>
      </c>
      <c r="CH475" s="319" t="s">
        <v>190</v>
      </c>
      <c r="CI475" s="319" t="s">
        <v>190</v>
      </c>
      <c r="CJ475" s="319" t="s">
        <v>190</v>
      </c>
      <c r="CK475" s="319" t="s">
        <v>190</v>
      </c>
      <c r="CL475" s="319" t="s">
        <v>190</v>
      </c>
      <c r="CM475" s="319" t="s">
        <v>190</v>
      </c>
      <c r="CN475" s="319" t="s">
        <v>429</v>
      </c>
      <c r="CO475" s="319" t="s">
        <v>429</v>
      </c>
      <c r="CP475" s="319" t="s">
        <v>429</v>
      </c>
      <c r="CQ475" s="319" t="s">
        <v>190</v>
      </c>
      <c r="CR475" s="319" t="s">
        <v>190</v>
      </c>
      <c r="CS475" s="319" t="s">
        <v>190</v>
      </c>
      <c r="CT475" s="319" t="s">
        <v>190</v>
      </c>
      <c r="CU475" s="319" t="s">
        <v>190</v>
      </c>
      <c r="CV475" s="319" t="s">
        <v>190</v>
      </c>
      <c r="CW475" s="319" t="s">
        <v>190</v>
      </c>
      <c r="CX475" s="319" t="s">
        <v>190</v>
      </c>
      <c r="CY475" s="319" t="s">
        <v>190</v>
      </c>
      <c r="CZ475" s="319" t="s">
        <v>190</v>
      </c>
      <c r="DA475" s="319" t="s">
        <v>190</v>
      </c>
      <c r="DB475" s="319" t="s">
        <v>190</v>
      </c>
      <c r="DC475" s="319" t="s">
        <v>190</v>
      </c>
      <c r="DD475" s="319" t="s">
        <v>190</v>
      </c>
      <c r="DE475" s="319" t="s">
        <v>190</v>
      </c>
      <c r="DF475" s="319" t="s">
        <v>190</v>
      </c>
      <c r="DG475" s="319" t="s">
        <v>190</v>
      </c>
      <c r="DH475" s="319" t="s">
        <v>190</v>
      </c>
      <c r="DI475" s="319" t="s">
        <v>190</v>
      </c>
      <c r="DJ475" s="319" t="s">
        <v>190</v>
      </c>
      <c r="DK475" s="319" t="s">
        <v>190</v>
      </c>
      <c r="DL475" s="319" t="s">
        <v>190</v>
      </c>
      <c r="DM475" s="319" t="s">
        <v>190</v>
      </c>
      <c r="DN475" s="319" t="s">
        <v>190</v>
      </c>
      <c r="DO475" s="319" t="s">
        <v>190</v>
      </c>
      <c r="DP475" s="319" t="s">
        <v>190</v>
      </c>
      <c r="DQ475" s="319" t="s">
        <v>190</v>
      </c>
      <c r="DR475" s="319" t="s">
        <v>190</v>
      </c>
      <c r="DS475" s="319" t="s">
        <v>190</v>
      </c>
      <c r="DT475" s="319" t="s">
        <v>190</v>
      </c>
      <c r="DU475" s="319" t="s">
        <v>190</v>
      </c>
      <c r="DV475" s="319" t="s">
        <v>173</v>
      </c>
      <c r="DW475" s="319" t="s">
        <v>190</v>
      </c>
      <c r="DX475" s="319" t="s">
        <v>190</v>
      </c>
      <c r="DY475" s="319" t="s">
        <v>190</v>
      </c>
      <c r="DZ475" s="319" t="s">
        <v>190</v>
      </c>
      <c r="EA475" s="319" t="s">
        <v>190</v>
      </c>
      <c r="EB475" s="319" t="s">
        <v>190</v>
      </c>
      <c r="EC475" s="319" t="s">
        <v>190</v>
      </c>
      <c r="ED475" s="319" t="s">
        <v>190</v>
      </c>
      <c r="EE475" s="319" t="s">
        <v>190</v>
      </c>
      <c r="EF475" s="319" t="s">
        <v>190</v>
      </c>
      <c r="EG475" s="319" t="s">
        <v>190</v>
      </c>
      <c r="EH475" s="319" t="s">
        <v>190</v>
      </c>
      <c r="EI475" s="319" t="s">
        <v>190</v>
      </c>
      <c r="EJ475" s="319" t="s">
        <v>190</v>
      </c>
      <c r="EK475" s="319" t="s">
        <v>190</v>
      </c>
      <c r="EL475" s="319" t="s">
        <v>190</v>
      </c>
      <c r="EM475" s="319" t="s">
        <v>190</v>
      </c>
      <c r="EN475" s="319" t="s">
        <v>190</v>
      </c>
      <c r="EO475" s="319" t="s">
        <v>190</v>
      </c>
      <c r="EP475" s="319" t="s">
        <v>190</v>
      </c>
      <c r="EQ475" s="319" t="s">
        <v>190</v>
      </c>
      <c r="ER475" s="319" t="s">
        <v>190</v>
      </c>
      <c r="ES475" s="319" t="s">
        <v>190</v>
      </c>
      <c r="ET475" s="319" t="s">
        <v>190</v>
      </c>
      <c r="EU475" s="319" t="s">
        <v>190</v>
      </c>
      <c r="EV475" s="319" t="s">
        <v>190</v>
      </c>
      <c r="EW475" s="319" t="s">
        <v>190</v>
      </c>
      <c r="EX475" s="319" t="s">
        <v>190</v>
      </c>
      <c r="EY475" s="319" t="s">
        <v>190</v>
      </c>
      <c r="EZ475" s="319" t="s">
        <v>190</v>
      </c>
      <c r="FA475" s="319" t="s">
        <v>190</v>
      </c>
      <c r="FB475" s="319" t="s">
        <v>190</v>
      </c>
      <c r="FC475" s="319" t="s">
        <v>190</v>
      </c>
      <c r="FD475" s="319" t="s">
        <v>190</v>
      </c>
      <c r="FE475" s="319" t="s">
        <v>190</v>
      </c>
      <c r="FF475" s="319" t="s">
        <v>190</v>
      </c>
      <c r="FG475" s="319" t="s">
        <v>190</v>
      </c>
      <c r="FH475" s="319" t="s">
        <v>190</v>
      </c>
      <c r="FI475" s="319" t="s">
        <v>190</v>
      </c>
      <c r="FJ475" s="319" t="s">
        <v>190</v>
      </c>
      <c r="FK475" s="319" t="s">
        <v>190</v>
      </c>
      <c r="FL475" s="319" t="s">
        <v>190</v>
      </c>
      <c r="FM475" s="319" t="s">
        <v>190</v>
      </c>
      <c r="FN475" s="319" t="s">
        <v>190</v>
      </c>
      <c r="FO475" s="319" t="s">
        <v>190</v>
      </c>
      <c r="FP475" s="319" t="s">
        <v>190</v>
      </c>
      <c r="FQ475" s="319" t="s">
        <v>190</v>
      </c>
      <c r="FR475" s="319" t="s">
        <v>190</v>
      </c>
      <c r="FS475" s="319" t="s">
        <v>429</v>
      </c>
      <c r="FT475" s="319" t="s">
        <v>190</v>
      </c>
      <c r="FU475" s="319" t="s">
        <v>190</v>
      </c>
      <c r="FV475" s="319" t="s">
        <v>190</v>
      </c>
      <c r="FW475" s="319" t="s">
        <v>190</v>
      </c>
      <c r="FX475" s="319" t="s">
        <v>190</v>
      </c>
      <c r="FY475" s="319" t="s">
        <v>190</v>
      </c>
      <c r="FZ475" s="319" t="s">
        <v>190</v>
      </c>
      <c r="GA475" s="319" t="s">
        <v>190</v>
      </c>
      <c r="GB475" s="319" t="s">
        <v>190</v>
      </c>
      <c r="GC475" s="319" t="s">
        <v>190</v>
      </c>
      <c r="GD475" s="319" t="s">
        <v>190</v>
      </c>
      <c r="GE475" s="319" t="s">
        <v>190</v>
      </c>
      <c r="GF475" s="319" t="s">
        <v>190</v>
      </c>
      <c r="GG475" s="319" t="s">
        <v>190</v>
      </c>
      <c r="GH475" s="319" t="s">
        <v>190</v>
      </c>
      <c r="GI475" s="319" t="s">
        <v>190</v>
      </c>
      <c r="GJ475" s="319" t="s">
        <v>190</v>
      </c>
      <c r="GK475" s="319" t="s">
        <v>429</v>
      </c>
      <c r="GL475" s="319" t="s">
        <v>190</v>
      </c>
      <c r="GM475" s="319" t="s">
        <v>190</v>
      </c>
      <c r="GN475" s="319" t="s">
        <v>190</v>
      </c>
      <c r="GO475" s="319" t="s">
        <v>190</v>
      </c>
      <c r="GP475" s="319" t="s">
        <v>190</v>
      </c>
      <c r="GQ475" s="319" t="s">
        <v>190</v>
      </c>
      <c r="GR475" s="319" t="s">
        <v>190</v>
      </c>
      <c r="GS475" s="319" t="s">
        <v>190</v>
      </c>
      <c r="GT475" s="319" t="s">
        <v>190</v>
      </c>
      <c r="GU475" s="319" t="s">
        <v>190</v>
      </c>
      <c r="GV475" s="319" t="s">
        <v>190</v>
      </c>
      <c r="GW475" s="319" t="s">
        <v>190</v>
      </c>
      <c r="GX475" s="319" t="s">
        <v>190</v>
      </c>
      <c r="GY475" s="319" t="s">
        <v>190</v>
      </c>
      <c r="GZ475" s="319" t="s">
        <v>429</v>
      </c>
      <c r="HA475" s="319" t="s">
        <v>190</v>
      </c>
      <c r="HB475" s="319" t="s">
        <v>190</v>
      </c>
      <c r="HC475" s="319" t="s">
        <v>190</v>
      </c>
      <c r="HD475" s="319" t="s">
        <v>190</v>
      </c>
      <c r="HE475" s="319" t="s">
        <v>190</v>
      </c>
      <c r="HF475" s="319" t="s">
        <v>190</v>
      </c>
      <c r="HG475" s="319" t="s">
        <v>190</v>
      </c>
      <c r="HH475" s="319" t="s">
        <v>190</v>
      </c>
      <c r="HI475" s="319" t="s">
        <v>190</v>
      </c>
      <c r="HJ475" s="319" t="s">
        <v>190</v>
      </c>
      <c r="HK475" s="319" t="s">
        <v>190</v>
      </c>
      <c r="HL475" s="319" t="s">
        <v>190</v>
      </c>
      <c r="HM475" s="319" t="s">
        <v>190</v>
      </c>
      <c r="HN475" s="319" t="s">
        <v>190</v>
      </c>
      <c r="HO475" s="319" t="s">
        <v>190</v>
      </c>
      <c r="HP475" s="319" t="s">
        <v>190</v>
      </c>
      <c r="HQ475" s="319" t="s">
        <v>190</v>
      </c>
      <c r="HR475" s="319" t="s">
        <v>190</v>
      </c>
      <c r="HS475" s="319" t="s">
        <v>190</v>
      </c>
      <c r="HT475" s="319" t="s">
        <v>190</v>
      </c>
      <c r="HU475" s="319" t="s">
        <v>190</v>
      </c>
      <c r="HV475" s="319" t="s">
        <v>190</v>
      </c>
      <c r="HW475" s="319" t="s">
        <v>190</v>
      </c>
      <c r="HX475" s="319" t="s">
        <v>190</v>
      </c>
      <c r="HY475" s="319" t="s">
        <v>190</v>
      </c>
      <c r="HZ475" s="319" t="s">
        <v>190</v>
      </c>
      <c r="IA475" s="319" t="s">
        <v>190</v>
      </c>
      <c r="IB475" s="319" t="s">
        <v>190</v>
      </c>
      <c r="IC475" s="319" t="s">
        <v>190</v>
      </c>
      <c r="ID475" s="319" t="s">
        <v>190</v>
      </c>
      <c r="IE475" s="319" t="s">
        <v>190</v>
      </c>
      <c r="IF475" s="319" t="s">
        <v>190</v>
      </c>
      <c r="IG475" s="319" t="s">
        <v>190</v>
      </c>
      <c r="IH475" s="319" t="s">
        <v>190</v>
      </c>
      <c r="II475" s="319" t="s">
        <v>190</v>
      </c>
      <c r="IJ475" s="319" t="s">
        <v>3240</v>
      </c>
      <c r="IK475" s="321">
        <v>41920</v>
      </c>
      <c r="IL475" s="321">
        <v>41922</v>
      </c>
      <c r="IM475" s="321">
        <v>42039</v>
      </c>
      <c r="IN475" s="319">
        <v>4</v>
      </c>
      <c r="IO475" s="319" t="s">
        <v>173</v>
      </c>
      <c r="IP475" s="319" t="s">
        <v>173</v>
      </c>
      <c r="IQ475" s="321" t="s">
        <v>173</v>
      </c>
      <c r="IR475" s="320" t="s">
        <v>173</v>
      </c>
      <c r="IS475" s="322" t="s">
        <v>173</v>
      </c>
      <c r="IT475" s="319" t="s">
        <v>173</v>
      </c>
    </row>
    <row r="476" spans="1:254" s="271" customFormat="1" x14ac:dyDescent="0.25">
      <c r="A476" s="318" t="str">
        <f>HYPERLINK("http://www.ofsted.gov.uk/inspection-reports/find-inspection-report/provider/ELS/134833 ","Ofsted School Webpage")</f>
        <v>Ofsted School Webpage</v>
      </c>
      <c r="B476" s="319">
        <v>134833</v>
      </c>
      <c r="C476" s="319">
        <v>9366584</v>
      </c>
      <c r="D476" s="319" t="s">
        <v>1860</v>
      </c>
      <c r="E476" s="319" t="s">
        <v>168</v>
      </c>
      <c r="F476" s="319" t="s">
        <v>81</v>
      </c>
      <c r="G476" s="319" t="s">
        <v>81</v>
      </c>
      <c r="H476" s="319" t="s">
        <v>81</v>
      </c>
      <c r="I476" s="319" t="s">
        <v>78</v>
      </c>
      <c r="J476" s="319" t="s">
        <v>424</v>
      </c>
      <c r="K476" s="319" t="s">
        <v>514</v>
      </c>
      <c r="L476" s="319" t="s">
        <v>514</v>
      </c>
      <c r="M476" s="319" t="s">
        <v>699</v>
      </c>
      <c r="N476" s="319" t="s">
        <v>3041</v>
      </c>
      <c r="O476" s="319" t="s">
        <v>1861</v>
      </c>
      <c r="P476" s="319">
        <v>89</v>
      </c>
      <c r="Q476" s="319" t="s">
        <v>429</v>
      </c>
      <c r="R476" s="320">
        <v>10056677</v>
      </c>
      <c r="S476" s="321">
        <v>43641</v>
      </c>
      <c r="T476" s="321">
        <v>43643</v>
      </c>
      <c r="U476" s="321">
        <v>43660</v>
      </c>
      <c r="V476" s="319" t="s">
        <v>425</v>
      </c>
      <c r="W476" s="319" t="s">
        <v>2767</v>
      </c>
      <c r="X476" s="319">
        <v>2</v>
      </c>
      <c r="Y476" s="319" t="s">
        <v>173</v>
      </c>
      <c r="Z476" s="319" t="s">
        <v>173</v>
      </c>
      <c r="AA476" s="319" t="s">
        <v>173</v>
      </c>
      <c r="AB476" s="319">
        <v>2</v>
      </c>
      <c r="AC476" s="319" t="s">
        <v>169</v>
      </c>
      <c r="AD476" s="319" t="s">
        <v>173</v>
      </c>
      <c r="AE476" s="319">
        <v>1</v>
      </c>
      <c r="AF476" s="319" t="s">
        <v>427</v>
      </c>
      <c r="AG476" s="319" t="s">
        <v>171</v>
      </c>
      <c r="AH476" s="319" t="s">
        <v>190</v>
      </c>
      <c r="AI476" s="319" t="s">
        <v>190</v>
      </c>
      <c r="AJ476" s="319" t="s">
        <v>190</v>
      </c>
      <c r="AK476" s="319" t="s">
        <v>190</v>
      </c>
      <c r="AL476" s="319" t="s">
        <v>190</v>
      </c>
      <c r="AM476" s="319" t="s">
        <v>190</v>
      </c>
      <c r="AN476" s="319" t="s">
        <v>190</v>
      </c>
      <c r="AO476" s="319" t="s">
        <v>190</v>
      </c>
      <c r="AP476" s="319" t="s">
        <v>190</v>
      </c>
      <c r="AQ476" s="319" t="s">
        <v>190</v>
      </c>
      <c r="AR476" s="319" t="s">
        <v>190</v>
      </c>
      <c r="AS476" s="319" t="s">
        <v>190</v>
      </c>
      <c r="AT476" s="319" t="s">
        <v>190</v>
      </c>
      <c r="AU476" s="319" t="s">
        <v>190</v>
      </c>
      <c r="AV476" s="319" t="s">
        <v>190</v>
      </c>
      <c r="AW476" s="319" t="s">
        <v>190</v>
      </c>
      <c r="AX476" s="319" t="s">
        <v>428</v>
      </c>
      <c r="AY476" s="319" t="s">
        <v>190</v>
      </c>
      <c r="AZ476" s="319" t="s">
        <v>190</v>
      </c>
      <c r="BA476" s="319" t="s">
        <v>190</v>
      </c>
      <c r="BB476" s="319" t="s">
        <v>190</v>
      </c>
      <c r="BC476" s="319" t="s">
        <v>190</v>
      </c>
      <c r="BD476" s="319" t="s">
        <v>190</v>
      </c>
      <c r="BE476" s="319" t="s">
        <v>190</v>
      </c>
      <c r="BF476" s="319" t="s">
        <v>428</v>
      </c>
      <c r="BG476" s="319" t="s">
        <v>190</v>
      </c>
      <c r="BH476" s="319" t="s">
        <v>190</v>
      </c>
      <c r="BI476" s="319" t="s">
        <v>190</v>
      </c>
      <c r="BJ476" s="319" t="s">
        <v>190</v>
      </c>
      <c r="BK476" s="319" t="s">
        <v>190</v>
      </c>
      <c r="BL476" s="319" t="s">
        <v>190</v>
      </c>
      <c r="BM476" s="319" t="s">
        <v>190</v>
      </c>
      <c r="BN476" s="319" t="s">
        <v>190</v>
      </c>
      <c r="BO476" s="319" t="s">
        <v>190</v>
      </c>
      <c r="BP476" s="319" t="s">
        <v>190</v>
      </c>
      <c r="BQ476" s="319" t="s">
        <v>190</v>
      </c>
      <c r="BR476" s="319" t="s">
        <v>190</v>
      </c>
      <c r="BS476" s="319" t="s">
        <v>190</v>
      </c>
      <c r="BT476" s="319" t="s">
        <v>190</v>
      </c>
      <c r="BU476" s="319" t="s">
        <v>190</v>
      </c>
      <c r="BV476" s="319" t="s">
        <v>190</v>
      </c>
      <c r="BW476" s="319" t="s">
        <v>190</v>
      </c>
      <c r="BX476" s="319" t="s">
        <v>190</v>
      </c>
      <c r="BY476" s="319" t="s">
        <v>190</v>
      </c>
      <c r="BZ476" s="319" t="s">
        <v>190</v>
      </c>
      <c r="CA476" s="319" t="s">
        <v>190</v>
      </c>
      <c r="CB476" s="319" t="s">
        <v>190</v>
      </c>
      <c r="CC476" s="319" t="s">
        <v>190</v>
      </c>
      <c r="CD476" s="319" t="s">
        <v>190</v>
      </c>
      <c r="CE476" s="319" t="s">
        <v>190</v>
      </c>
      <c r="CF476" s="319" t="s">
        <v>190</v>
      </c>
      <c r="CG476" s="319" t="s">
        <v>190</v>
      </c>
      <c r="CH476" s="319" t="s">
        <v>190</v>
      </c>
      <c r="CI476" s="319" t="s">
        <v>190</v>
      </c>
      <c r="CJ476" s="319" t="s">
        <v>190</v>
      </c>
      <c r="CK476" s="319" t="s">
        <v>190</v>
      </c>
      <c r="CL476" s="319" t="s">
        <v>190</v>
      </c>
      <c r="CM476" s="319" t="s">
        <v>190</v>
      </c>
      <c r="CN476" s="319" t="s">
        <v>428</v>
      </c>
      <c r="CO476" s="319" t="s">
        <v>428</v>
      </c>
      <c r="CP476" s="319" t="s">
        <v>428</v>
      </c>
      <c r="CQ476" s="319" t="s">
        <v>190</v>
      </c>
      <c r="CR476" s="319" t="s">
        <v>190</v>
      </c>
      <c r="CS476" s="319" t="s">
        <v>190</v>
      </c>
      <c r="CT476" s="319" t="s">
        <v>190</v>
      </c>
      <c r="CU476" s="319" t="s">
        <v>190</v>
      </c>
      <c r="CV476" s="319" t="s">
        <v>428</v>
      </c>
      <c r="CW476" s="319" t="s">
        <v>190</v>
      </c>
      <c r="CX476" s="319" t="s">
        <v>190</v>
      </c>
      <c r="CY476" s="319" t="s">
        <v>190</v>
      </c>
      <c r="CZ476" s="319" t="s">
        <v>190</v>
      </c>
      <c r="DA476" s="319" t="s">
        <v>190</v>
      </c>
      <c r="DB476" s="319" t="s">
        <v>190</v>
      </c>
      <c r="DC476" s="319" t="s">
        <v>190</v>
      </c>
      <c r="DD476" s="319" t="s">
        <v>190</v>
      </c>
      <c r="DE476" s="319" t="s">
        <v>190</v>
      </c>
      <c r="DF476" s="319" t="s">
        <v>190</v>
      </c>
      <c r="DG476" s="319" t="s">
        <v>190</v>
      </c>
      <c r="DH476" s="319" t="s">
        <v>190</v>
      </c>
      <c r="DI476" s="319" t="s">
        <v>190</v>
      </c>
      <c r="DJ476" s="319" t="s">
        <v>190</v>
      </c>
      <c r="DK476" s="319" t="s">
        <v>190</v>
      </c>
      <c r="DL476" s="319" t="s">
        <v>190</v>
      </c>
      <c r="DM476" s="319" t="s">
        <v>190</v>
      </c>
      <c r="DN476" s="319" t="s">
        <v>428</v>
      </c>
      <c r="DO476" s="319" t="s">
        <v>190</v>
      </c>
      <c r="DP476" s="319" t="s">
        <v>428</v>
      </c>
      <c r="DQ476" s="319" t="s">
        <v>428</v>
      </c>
      <c r="DR476" s="319" t="s">
        <v>428</v>
      </c>
      <c r="DS476" s="319" t="s">
        <v>428</v>
      </c>
      <c r="DT476" s="319" t="s">
        <v>428</v>
      </c>
      <c r="DU476" s="319" t="s">
        <v>428</v>
      </c>
      <c r="DV476" s="319" t="s">
        <v>173</v>
      </c>
      <c r="DW476" s="319" t="s">
        <v>428</v>
      </c>
      <c r="DX476" s="319" t="s">
        <v>428</v>
      </c>
      <c r="DY476" s="319" t="s">
        <v>428</v>
      </c>
      <c r="DZ476" s="319" t="s">
        <v>428</v>
      </c>
      <c r="EA476" s="319" t="s">
        <v>428</v>
      </c>
      <c r="EB476" s="319" t="s">
        <v>428</v>
      </c>
      <c r="EC476" s="319" t="s">
        <v>428</v>
      </c>
      <c r="ED476" s="319" t="s">
        <v>428</v>
      </c>
      <c r="EE476" s="319" t="s">
        <v>190</v>
      </c>
      <c r="EF476" s="319" t="s">
        <v>190</v>
      </c>
      <c r="EG476" s="319" t="s">
        <v>190</v>
      </c>
      <c r="EH476" s="319" t="s">
        <v>190</v>
      </c>
      <c r="EI476" s="319" t="s">
        <v>190</v>
      </c>
      <c r="EJ476" s="319" t="s">
        <v>190</v>
      </c>
      <c r="EK476" s="319" t="s">
        <v>190</v>
      </c>
      <c r="EL476" s="319" t="s">
        <v>190</v>
      </c>
      <c r="EM476" s="319" t="s">
        <v>190</v>
      </c>
      <c r="EN476" s="319" t="s">
        <v>190</v>
      </c>
      <c r="EO476" s="319" t="s">
        <v>190</v>
      </c>
      <c r="EP476" s="319" t="s">
        <v>190</v>
      </c>
      <c r="EQ476" s="319" t="s">
        <v>190</v>
      </c>
      <c r="ER476" s="319" t="s">
        <v>190</v>
      </c>
      <c r="ES476" s="319" t="s">
        <v>190</v>
      </c>
      <c r="ET476" s="319" t="s">
        <v>190</v>
      </c>
      <c r="EU476" s="319" t="s">
        <v>190</v>
      </c>
      <c r="EV476" s="319" t="s">
        <v>190</v>
      </c>
      <c r="EW476" s="319" t="s">
        <v>190</v>
      </c>
      <c r="EX476" s="319" t="s">
        <v>190</v>
      </c>
      <c r="EY476" s="319" t="s">
        <v>190</v>
      </c>
      <c r="EZ476" s="319" t="s">
        <v>190</v>
      </c>
      <c r="FA476" s="319" t="s">
        <v>190</v>
      </c>
      <c r="FB476" s="319" t="s">
        <v>428</v>
      </c>
      <c r="FC476" s="319" t="s">
        <v>428</v>
      </c>
      <c r="FD476" s="319" t="s">
        <v>428</v>
      </c>
      <c r="FE476" s="319" t="s">
        <v>428</v>
      </c>
      <c r="FF476" s="319" t="s">
        <v>428</v>
      </c>
      <c r="FG476" s="319" t="s">
        <v>428</v>
      </c>
      <c r="FH476" s="319" t="s">
        <v>190</v>
      </c>
      <c r="FI476" s="319" t="s">
        <v>190</v>
      </c>
      <c r="FJ476" s="319" t="s">
        <v>190</v>
      </c>
      <c r="FK476" s="319" t="s">
        <v>190</v>
      </c>
      <c r="FL476" s="319" t="s">
        <v>190</v>
      </c>
      <c r="FM476" s="319" t="s">
        <v>190</v>
      </c>
      <c r="FN476" s="319" t="s">
        <v>190</v>
      </c>
      <c r="FO476" s="319" t="s">
        <v>190</v>
      </c>
      <c r="FP476" s="319" t="s">
        <v>190</v>
      </c>
      <c r="FQ476" s="319" t="s">
        <v>190</v>
      </c>
      <c r="FR476" s="319" t="s">
        <v>190</v>
      </c>
      <c r="FS476" s="319" t="s">
        <v>190</v>
      </c>
      <c r="FT476" s="319" t="s">
        <v>190</v>
      </c>
      <c r="FU476" s="319" t="s">
        <v>190</v>
      </c>
      <c r="FV476" s="319" t="s">
        <v>190</v>
      </c>
      <c r="FW476" s="319" t="s">
        <v>190</v>
      </c>
      <c r="FX476" s="319" t="s">
        <v>190</v>
      </c>
      <c r="FY476" s="319" t="s">
        <v>190</v>
      </c>
      <c r="FZ476" s="319" t="s">
        <v>190</v>
      </c>
      <c r="GA476" s="319" t="s">
        <v>190</v>
      </c>
      <c r="GB476" s="319" t="s">
        <v>190</v>
      </c>
      <c r="GC476" s="319" t="s">
        <v>190</v>
      </c>
      <c r="GD476" s="319" t="s">
        <v>190</v>
      </c>
      <c r="GE476" s="319" t="s">
        <v>190</v>
      </c>
      <c r="GF476" s="319" t="s">
        <v>190</v>
      </c>
      <c r="GG476" s="319" t="s">
        <v>190</v>
      </c>
      <c r="GH476" s="319" t="s">
        <v>190</v>
      </c>
      <c r="GI476" s="319" t="s">
        <v>190</v>
      </c>
      <c r="GJ476" s="319" t="s">
        <v>190</v>
      </c>
      <c r="GK476" s="319" t="s">
        <v>428</v>
      </c>
      <c r="GL476" s="319" t="s">
        <v>190</v>
      </c>
      <c r="GM476" s="319" t="s">
        <v>190</v>
      </c>
      <c r="GN476" s="319" t="s">
        <v>190</v>
      </c>
      <c r="GO476" s="319" t="s">
        <v>190</v>
      </c>
      <c r="GP476" s="319" t="s">
        <v>190</v>
      </c>
      <c r="GQ476" s="319" t="s">
        <v>428</v>
      </c>
      <c r="GR476" s="319" t="s">
        <v>584</v>
      </c>
      <c r="GS476" s="319" t="s">
        <v>190</v>
      </c>
      <c r="GT476" s="319" t="s">
        <v>190</v>
      </c>
      <c r="GU476" s="319" t="s">
        <v>190</v>
      </c>
      <c r="GV476" s="319" t="s">
        <v>190</v>
      </c>
      <c r="GW476" s="319" t="s">
        <v>190</v>
      </c>
      <c r="GX476" s="319" t="s">
        <v>190</v>
      </c>
      <c r="GY476" s="319" t="s">
        <v>190</v>
      </c>
      <c r="GZ476" s="319" t="s">
        <v>428</v>
      </c>
      <c r="HA476" s="319" t="s">
        <v>190</v>
      </c>
      <c r="HB476" s="319" t="s">
        <v>190</v>
      </c>
      <c r="HC476" s="319" t="s">
        <v>190</v>
      </c>
      <c r="HD476" s="319" t="s">
        <v>190</v>
      </c>
      <c r="HE476" s="319" t="s">
        <v>190</v>
      </c>
      <c r="HF476" s="319" t="s">
        <v>190</v>
      </c>
      <c r="HG476" s="319" t="s">
        <v>190</v>
      </c>
      <c r="HH476" s="319" t="s">
        <v>190</v>
      </c>
      <c r="HI476" s="319" t="s">
        <v>190</v>
      </c>
      <c r="HJ476" s="319" t="s">
        <v>190</v>
      </c>
      <c r="HK476" s="319" t="s">
        <v>190</v>
      </c>
      <c r="HL476" s="319" t="s">
        <v>190</v>
      </c>
      <c r="HM476" s="319" t="s">
        <v>190</v>
      </c>
      <c r="HN476" s="319" t="s">
        <v>190</v>
      </c>
      <c r="HO476" s="319" t="s">
        <v>190</v>
      </c>
      <c r="HP476" s="319" t="s">
        <v>190</v>
      </c>
      <c r="HQ476" s="319" t="s">
        <v>190</v>
      </c>
      <c r="HR476" s="319" t="s">
        <v>190</v>
      </c>
      <c r="HS476" s="319" t="s">
        <v>190</v>
      </c>
      <c r="HT476" s="319" t="s">
        <v>190</v>
      </c>
      <c r="HU476" s="319" t="s">
        <v>190</v>
      </c>
      <c r="HV476" s="319" t="s">
        <v>190</v>
      </c>
      <c r="HW476" s="319" t="s">
        <v>190</v>
      </c>
      <c r="HX476" s="319" t="s">
        <v>190</v>
      </c>
      <c r="HY476" s="319" t="s">
        <v>190</v>
      </c>
      <c r="HZ476" s="319" t="s">
        <v>190</v>
      </c>
      <c r="IA476" s="319" t="s">
        <v>190</v>
      </c>
      <c r="IB476" s="319" t="s">
        <v>190</v>
      </c>
      <c r="IC476" s="319" t="s">
        <v>190</v>
      </c>
      <c r="ID476" s="319" t="s">
        <v>190</v>
      </c>
      <c r="IE476" s="319" t="s">
        <v>190</v>
      </c>
      <c r="IF476" s="319" t="s">
        <v>190</v>
      </c>
      <c r="IG476" s="319" t="s">
        <v>190</v>
      </c>
      <c r="IH476" s="319" t="s">
        <v>190</v>
      </c>
      <c r="II476" s="319" t="s">
        <v>190</v>
      </c>
      <c r="IJ476" s="319">
        <v>10006326</v>
      </c>
      <c r="IK476" s="321">
        <v>42535</v>
      </c>
      <c r="IL476" s="321">
        <v>42537</v>
      </c>
      <c r="IM476" s="321">
        <v>42557</v>
      </c>
      <c r="IN476" s="319">
        <v>2</v>
      </c>
      <c r="IO476" s="319" t="s">
        <v>173</v>
      </c>
      <c r="IP476" s="319" t="s">
        <v>173</v>
      </c>
      <c r="IQ476" s="319" t="s">
        <v>173</v>
      </c>
      <c r="IR476" s="320" t="s">
        <v>173</v>
      </c>
      <c r="IS476" s="320" t="s">
        <v>173</v>
      </c>
      <c r="IT476" s="319" t="s">
        <v>173</v>
      </c>
    </row>
    <row r="477" spans="1:254" s="271" customFormat="1" x14ac:dyDescent="0.25">
      <c r="A477" s="318" t="str">
        <f>HYPERLINK("http://www.ofsted.gov.uk/inspection-reports/find-inspection-report/provider/ELS/134909 ","Ofsted School Webpage")</f>
        <v>Ofsted School Webpage</v>
      </c>
      <c r="B477" s="319">
        <v>134909</v>
      </c>
      <c r="C477" s="319">
        <v>9336207</v>
      </c>
      <c r="D477" s="319" t="s">
        <v>1862</v>
      </c>
      <c r="E477" s="319" t="s">
        <v>168</v>
      </c>
      <c r="F477" s="319" t="s">
        <v>81</v>
      </c>
      <c r="G477" s="319" t="s">
        <v>81</v>
      </c>
      <c r="H477" s="319" t="s">
        <v>81</v>
      </c>
      <c r="I477" s="319" t="s">
        <v>78</v>
      </c>
      <c r="J477" s="319" t="s">
        <v>424</v>
      </c>
      <c r="K477" s="319" t="s">
        <v>422</v>
      </c>
      <c r="L477" s="319" t="s">
        <v>422</v>
      </c>
      <c r="M477" s="319" t="s">
        <v>466</v>
      </c>
      <c r="N477" s="319" t="s">
        <v>3241</v>
      </c>
      <c r="O477" s="319" t="s">
        <v>1863</v>
      </c>
      <c r="P477" s="319">
        <v>12</v>
      </c>
      <c r="Q477" s="319" t="s">
        <v>429</v>
      </c>
      <c r="R477" s="320">
        <v>10047184</v>
      </c>
      <c r="S477" s="321">
        <v>43270</v>
      </c>
      <c r="T477" s="321">
        <v>43272</v>
      </c>
      <c r="U477" s="321">
        <v>43304</v>
      </c>
      <c r="V477" s="319" t="s">
        <v>425</v>
      </c>
      <c r="W477" s="319" t="s">
        <v>2767</v>
      </c>
      <c r="X477" s="319">
        <v>2</v>
      </c>
      <c r="Y477" s="319" t="s">
        <v>173</v>
      </c>
      <c r="Z477" s="319" t="s">
        <v>173</v>
      </c>
      <c r="AA477" s="319" t="s">
        <v>173</v>
      </c>
      <c r="AB477" s="319">
        <v>2</v>
      </c>
      <c r="AC477" s="319" t="s">
        <v>169</v>
      </c>
      <c r="AD477" s="319" t="s">
        <v>173</v>
      </c>
      <c r="AE477" s="319" t="s">
        <v>173</v>
      </c>
      <c r="AF477" s="319" t="s">
        <v>427</v>
      </c>
      <c r="AG477" s="319" t="s">
        <v>171</v>
      </c>
      <c r="AH477" s="319" t="s">
        <v>190</v>
      </c>
      <c r="AI477" s="319" t="s">
        <v>190</v>
      </c>
      <c r="AJ477" s="319" t="s">
        <v>190</v>
      </c>
      <c r="AK477" s="319" t="s">
        <v>190</v>
      </c>
      <c r="AL477" s="319" t="s">
        <v>190</v>
      </c>
      <c r="AM477" s="319" t="s">
        <v>190</v>
      </c>
      <c r="AN477" s="319" t="s">
        <v>190</v>
      </c>
      <c r="AO477" s="319" t="s">
        <v>190</v>
      </c>
      <c r="AP477" s="319" t="s">
        <v>190</v>
      </c>
      <c r="AQ477" s="319" t="s">
        <v>190</v>
      </c>
      <c r="AR477" s="319" t="s">
        <v>190</v>
      </c>
      <c r="AS477" s="319" t="s">
        <v>190</v>
      </c>
      <c r="AT477" s="319" t="s">
        <v>190</v>
      </c>
      <c r="AU477" s="319" t="s">
        <v>190</v>
      </c>
      <c r="AV477" s="319" t="s">
        <v>190</v>
      </c>
      <c r="AW477" s="319" t="s">
        <v>190</v>
      </c>
      <c r="AX477" s="319" t="s">
        <v>428</v>
      </c>
      <c r="AY477" s="319" t="s">
        <v>190</v>
      </c>
      <c r="AZ477" s="319" t="s">
        <v>190</v>
      </c>
      <c r="BA477" s="319" t="s">
        <v>190</v>
      </c>
      <c r="BB477" s="319" t="s">
        <v>190</v>
      </c>
      <c r="BC477" s="319" t="s">
        <v>190</v>
      </c>
      <c r="BD477" s="319" t="s">
        <v>190</v>
      </c>
      <c r="BE477" s="319" t="s">
        <v>190</v>
      </c>
      <c r="BF477" s="319" t="s">
        <v>428</v>
      </c>
      <c r="BG477" s="319" t="s">
        <v>428</v>
      </c>
      <c r="BH477" s="319" t="s">
        <v>190</v>
      </c>
      <c r="BI477" s="319" t="s">
        <v>190</v>
      </c>
      <c r="BJ477" s="319" t="s">
        <v>190</v>
      </c>
      <c r="BK477" s="319" t="s">
        <v>190</v>
      </c>
      <c r="BL477" s="319" t="s">
        <v>190</v>
      </c>
      <c r="BM477" s="319" t="s">
        <v>190</v>
      </c>
      <c r="BN477" s="319" t="s">
        <v>190</v>
      </c>
      <c r="BO477" s="319" t="s">
        <v>190</v>
      </c>
      <c r="BP477" s="319" t="s">
        <v>190</v>
      </c>
      <c r="BQ477" s="319" t="s">
        <v>190</v>
      </c>
      <c r="BR477" s="319" t="s">
        <v>190</v>
      </c>
      <c r="BS477" s="319" t="s">
        <v>190</v>
      </c>
      <c r="BT477" s="319" t="s">
        <v>190</v>
      </c>
      <c r="BU477" s="319" t="s">
        <v>190</v>
      </c>
      <c r="BV477" s="319" t="s">
        <v>190</v>
      </c>
      <c r="BW477" s="319" t="s">
        <v>190</v>
      </c>
      <c r="BX477" s="319" t="s">
        <v>190</v>
      </c>
      <c r="BY477" s="319" t="s">
        <v>190</v>
      </c>
      <c r="BZ477" s="319" t="s">
        <v>190</v>
      </c>
      <c r="CA477" s="319" t="s">
        <v>190</v>
      </c>
      <c r="CB477" s="319" t="s">
        <v>190</v>
      </c>
      <c r="CC477" s="319" t="s">
        <v>190</v>
      </c>
      <c r="CD477" s="319" t="s">
        <v>190</v>
      </c>
      <c r="CE477" s="319" t="s">
        <v>190</v>
      </c>
      <c r="CF477" s="319" t="s">
        <v>190</v>
      </c>
      <c r="CG477" s="319" t="s">
        <v>190</v>
      </c>
      <c r="CH477" s="319" t="s">
        <v>190</v>
      </c>
      <c r="CI477" s="319" t="s">
        <v>190</v>
      </c>
      <c r="CJ477" s="319" t="s">
        <v>190</v>
      </c>
      <c r="CK477" s="319" t="s">
        <v>190</v>
      </c>
      <c r="CL477" s="319" t="s">
        <v>190</v>
      </c>
      <c r="CM477" s="319" t="s">
        <v>190</v>
      </c>
      <c r="CN477" s="319" t="s">
        <v>428</v>
      </c>
      <c r="CO477" s="319" t="s">
        <v>428</v>
      </c>
      <c r="CP477" s="319" t="s">
        <v>428</v>
      </c>
      <c r="CQ477" s="319" t="s">
        <v>190</v>
      </c>
      <c r="CR477" s="319" t="s">
        <v>190</v>
      </c>
      <c r="CS477" s="319" t="s">
        <v>190</v>
      </c>
      <c r="CT477" s="319" t="s">
        <v>190</v>
      </c>
      <c r="CU477" s="319" t="s">
        <v>190</v>
      </c>
      <c r="CV477" s="319" t="s">
        <v>190</v>
      </c>
      <c r="CW477" s="319" t="s">
        <v>190</v>
      </c>
      <c r="CX477" s="319" t="s">
        <v>190</v>
      </c>
      <c r="CY477" s="319" t="s">
        <v>190</v>
      </c>
      <c r="CZ477" s="319" t="s">
        <v>190</v>
      </c>
      <c r="DA477" s="319" t="s">
        <v>190</v>
      </c>
      <c r="DB477" s="319" t="s">
        <v>190</v>
      </c>
      <c r="DC477" s="319" t="s">
        <v>190</v>
      </c>
      <c r="DD477" s="319" t="s">
        <v>190</v>
      </c>
      <c r="DE477" s="319" t="s">
        <v>190</v>
      </c>
      <c r="DF477" s="319" t="s">
        <v>190</v>
      </c>
      <c r="DG477" s="319" t="s">
        <v>190</v>
      </c>
      <c r="DH477" s="319" t="s">
        <v>190</v>
      </c>
      <c r="DI477" s="319" t="s">
        <v>190</v>
      </c>
      <c r="DJ477" s="319" t="s">
        <v>190</v>
      </c>
      <c r="DK477" s="319" t="s">
        <v>190</v>
      </c>
      <c r="DL477" s="319" t="s">
        <v>190</v>
      </c>
      <c r="DM477" s="319" t="s">
        <v>190</v>
      </c>
      <c r="DN477" s="319" t="s">
        <v>428</v>
      </c>
      <c r="DO477" s="319" t="s">
        <v>190</v>
      </c>
      <c r="DP477" s="319" t="s">
        <v>190</v>
      </c>
      <c r="DQ477" s="319" t="s">
        <v>190</v>
      </c>
      <c r="DR477" s="319" t="s">
        <v>190</v>
      </c>
      <c r="DS477" s="319" t="s">
        <v>190</v>
      </c>
      <c r="DT477" s="319" t="s">
        <v>190</v>
      </c>
      <c r="DU477" s="319" t="s">
        <v>190</v>
      </c>
      <c r="DV477" s="319" t="s">
        <v>173</v>
      </c>
      <c r="DW477" s="319" t="s">
        <v>190</v>
      </c>
      <c r="DX477" s="319" t="s">
        <v>190</v>
      </c>
      <c r="DY477" s="319" t="s">
        <v>190</v>
      </c>
      <c r="DZ477" s="319" t="s">
        <v>190</v>
      </c>
      <c r="EA477" s="319" t="s">
        <v>190</v>
      </c>
      <c r="EB477" s="319" t="s">
        <v>190</v>
      </c>
      <c r="EC477" s="319" t="s">
        <v>428</v>
      </c>
      <c r="ED477" s="319" t="s">
        <v>190</v>
      </c>
      <c r="EE477" s="319" t="s">
        <v>190</v>
      </c>
      <c r="EF477" s="319" t="s">
        <v>190</v>
      </c>
      <c r="EG477" s="319" t="s">
        <v>190</v>
      </c>
      <c r="EH477" s="319" t="s">
        <v>190</v>
      </c>
      <c r="EI477" s="319" t="s">
        <v>190</v>
      </c>
      <c r="EJ477" s="319" t="s">
        <v>190</v>
      </c>
      <c r="EK477" s="319" t="s">
        <v>190</v>
      </c>
      <c r="EL477" s="319" t="s">
        <v>190</v>
      </c>
      <c r="EM477" s="319" t="s">
        <v>190</v>
      </c>
      <c r="EN477" s="319" t="s">
        <v>190</v>
      </c>
      <c r="EO477" s="319" t="s">
        <v>190</v>
      </c>
      <c r="EP477" s="319" t="s">
        <v>190</v>
      </c>
      <c r="EQ477" s="319" t="s">
        <v>190</v>
      </c>
      <c r="ER477" s="319" t="s">
        <v>190</v>
      </c>
      <c r="ES477" s="319" t="s">
        <v>190</v>
      </c>
      <c r="ET477" s="319" t="s">
        <v>190</v>
      </c>
      <c r="EU477" s="319" t="s">
        <v>190</v>
      </c>
      <c r="EV477" s="319" t="s">
        <v>190</v>
      </c>
      <c r="EW477" s="319" t="s">
        <v>190</v>
      </c>
      <c r="EX477" s="319" t="s">
        <v>190</v>
      </c>
      <c r="EY477" s="319" t="s">
        <v>190</v>
      </c>
      <c r="EZ477" s="319" t="s">
        <v>190</v>
      </c>
      <c r="FA477" s="319" t="s">
        <v>428</v>
      </c>
      <c r="FB477" s="319" t="s">
        <v>190</v>
      </c>
      <c r="FC477" s="319" t="s">
        <v>190</v>
      </c>
      <c r="FD477" s="319" t="s">
        <v>190</v>
      </c>
      <c r="FE477" s="319" t="s">
        <v>190</v>
      </c>
      <c r="FF477" s="319" t="s">
        <v>190</v>
      </c>
      <c r="FG477" s="319" t="s">
        <v>190</v>
      </c>
      <c r="FH477" s="319" t="s">
        <v>190</v>
      </c>
      <c r="FI477" s="319" t="s">
        <v>428</v>
      </c>
      <c r="FJ477" s="319" t="s">
        <v>190</v>
      </c>
      <c r="FK477" s="319" t="s">
        <v>190</v>
      </c>
      <c r="FL477" s="319" t="s">
        <v>190</v>
      </c>
      <c r="FM477" s="319" t="s">
        <v>190</v>
      </c>
      <c r="FN477" s="319" t="s">
        <v>190</v>
      </c>
      <c r="FO477" s="319" t="s">
        <v>190</v>
      </c>
      <c r="FP477" s="319" t="s">
        <v>190</v>
      </c>
      <c r="FQ477" s="319" t="s">
        <v>190</v>
      </c>
      <c r="FR477" s="319" t="s">
        <v>190</v>
      </c>
      <c r="FS477" s="319" t="s">
        <v>428</v>
      </c>
      <c r="FT477" s="319" t="s">
        <v>190</v>
      </c>
      <c r="FU477" s="319" t="s">
        <v>190</v>
      </c>
      <c r="FV477" s="319" t="s">
        <v>190</v>
      </c>
      <c r="FW477" s="319" t="s">
        <v>190</v>
      </c>
      <c r="FX477" s="319" t="s">
        <v>190</v>
      </c>
      <c r="FY477" s="319" t="s">
        <v>190</v>
      </c>
      <c r="FZ477" s="319" t="s">
        <v>190</v>
      </c>
      <c r="GA477" s="319" t="s">
        <v>190</v>
      </c>
      <c r="GB477" s="319" t="s">
        <v>190</v>
      </c>
      <c r="GC477" s="319" t="s">
        <v>190</v>
      </c>
      <c r="GD477" s="319" t="s">
        <v>190</v>
      </c>
      <c r="GE477" s="319" t="s">
        <v>190</v>
      </c>
      <c r="GF477" s="319" t="s">
        <v>190</v>
      </c>
      <c r="GG477" s="319" t="s">
        <v>190</v>
      </c>
      <c r="GH477" s="319" t="s">
        <v>190</v>
      </c>
      <c r="GI477" s="319" t="s">
        <v>190</v>
      </c>
      <c r="GJ477" s="319" t="s">
        <v>190</v>
      </c>
      <c r="GK477" s="319" t="s">
        <v>428</v>
      </c>
      <c r="GL477" s="319" t="s">
        <v>190</v>
      </c>
      <c r="GM477" s="319" t="s">
        <v>190</v>
      </c>
      <c r="GN477" s="319" t="s">
        <v>190</v>
      </c>
      <c r="GO477" s="319" t="s">
        <v>190</v>
      </c>
      <c r="GP477" s="319" t="s">
        <v>190</v>
      </c>
      <c r="GQ477" s="319" t="s">
        <v>190</v>
      </c>
      <c r="GR477" s="319" t="s">
        <v>190</v>
      </c>
      <c r="GS477" s="319" t="s">
        <v>190</v>
      </c>
      <c r="GT477" s="319" t="s">
        <v>190</v>
      </c>
      <c r="GU477" s="319" t="s">
        <v>190</v>
      </c>
      <c r="GV477" s="319" t="s">
        <v>190</v>
      </c>
      <c r="GW477" s="319" t="s">
        <v>190</v>
      </c>
      <c r="GX477" s="319" t="s">
        <v>190</v>
      </c>
      <c r="GY477" s="319" t="s">
        <v>190</v>
      </c>
      <c r="GZ477" s="319" t="s">
        <v>428</v>
      </c>
      <c r="HA477" s="319" t="s">
        <v>190</v>
      </c>
      <c r="HB477" s="319" t="s">
        <v>428</v>
      </c>
      <c r="HC477" s="319" t="s">
        <v>190</v>
      </c>
      <c r="HD477" s="319" t="s">
        <v>190</v>
      </c>
      <c r="HE477" s="319" t="s">
        <v>190</v>
      </c>
      <c r="HF477" s="319" t="s">
        <v>190</v>
      </c>
      <c r="HG477" s="319" t="s">
        <v>190</v>
      </c>
      <c r="HH477" s="319" t="s">
        <v>190</v>
      </c>
      <c r="HI477" s="319" t="s">
        <v>190</v>
      </c>
      <c r="HJ477" s="319" t="s">
        <v>190</v>
      </c>
      <c r="HK477" s="319" t="s">
        <v>190</v>
      </c>
      <c r="HL477" s="319" t="s">
        <v>190</v>
      </c>
      <c r="HM477" s="319" t="s">
        <v>190</v>
      </c>
      <c r="HN477" s="319" t="s">
        <v>190</v>
      </c>
      <c r="HO477" s="319" t="s">
        <v>190</v>
      </c>
      <c r="HP477" s="319" t="s">
        <v>190</v>
      </c>
      <c r="HQ477" s="319" t="s">
        <v>190</v>
      </c>
      <c r="HR477" s="319" t="s">
        <v>190</v>
      </c>
      <c r="HS477" s="319" t="s">
        <v>190</v>
      </c>
      <c r="HT477" s="319" t="s">
        <v>190</v>
      </c>
      <c r="HU477" s="319" t="s">
        <v>190</v>
      </c>
      <c r="HV477" s="319" t="s">
        <v>190</v>
      </c>
      <c r="HW477" s="319" t="s">
        <v>190</v>
      </c>
      <c r="HX477" s="319" t="s">
        <v>190</v>
      </c>
      <c r="HY477" s="319" t="s">
        <v>190</v>
      </c>
      <c r="HZ477" s="319" t="s">
        <v>190</v>
      </c>
      <c r="IA477" s="319" t="s">
        <v>190</v>
      </c>
      <c r="IB477" s="319" t="s">
        <v>190</v>
      </c>
      <c r="IC477" s="319" t="s">
        <v>190</v>
      </c>
      <c r="ID477" s="319" t="s">
        <v>190</v>
      </c>
      <c r="IE477" s="319" t="s">
        <v>190</v>
      </c>
      <c r="IF477" s="319" t="s">
        <v>190</v>
      </c>
      <c r="IG477" s="319" t="s">
        <v>190</v>
      </c>
      <c r="IH477" s="319" t="s">
        <v>190</v>
      </c>
      <c r="II477" s="319" t="s">
        <v>190</v>
      </c>
      <c r="IJ477" s="319" t="s">
        <v>3242</v>
      </c>
      <c r="IK477" s="321">
        <v>42122</v>
      </c>
      <c r="IL477" s="321">
        <v>42124</v>
      </c>
      <c r="IM477" s="321">
        <v>42164</v>
      </c>
      <c r="IN477" s="319">
        <v>2</v>
      </c>
      <c r="IO477" s="319" t="s">
        <v>173</v>
      </c>
      <c r="IP477" s="319" t="s">
        <v>173</v>
      </c>
      <c r="IQ477" s="321" t="s">
        <v>173</v>
      </c>
      <c r="IR477" s="320" t="s">
        <v>173</v>
      </c>
      <c r="IS477" s="322" t="s">
        <v>173</v>
      </c>
      <c r="IT477" s="319" t="s">
        <v>173</v>
      </c>
    </row>
    <row r="478" spans="1:254" s="271" customFormat="1" x14ac:dyDescent="0.25">
      <c r="A478" s="318" t="str">
        <f>HYPERLINK("http://www.ofsted.gov.uk/inspection-reports/find-inspection-report/provider/ELS/134938 ","Ofsted School Webpage")</f>
        <v>Ofsted School Webpage</v>
      </c>
      <c r="B478" s="319">
        <v>134938</v>
      </c>
      <c r="C478" s="319">
        <v>8576005</v>
      </c>
      <c r="D478" s="319" t="s">
        <v>986</v>
      </c>
      <c r="E478" s="319" t="s">
        <v>168</v>
      </c>
      <c r="F478" s="319" t="s">
        <v>81</v>
      </c>
      <c r="G478" s="319" t="s">
        <v>81</v>
      </c>
      <c r="H478" s="319" t="s">
        <v>81</v>
      </c>
      <c r="I478" s="319" t="s">
        <v>78</v>
      </c>
      <c r="J478" s="319" t="s">
        <v>424</v>
      </c>
      <c r="K478" s="319" t="s">
        <v>506</v>
      </c>
      <c r="L478" s="319" t="s">
        <v>506</v>
      </c>
      <c r="M478" s="319" t="s">
        <v>987</v>
      </c>
      <c r="N478" s="319" t="s">
        <v>2999</v>
      </c>
      <c r="O478" s="319" t="s">
        <v>988</v>
      </c>
      <c r="P478" s="319">
        <v>90</v>
      </c>
      <c r="Q478" s="319" t="s">
        <v>429</v>
      </c>
      <c r="R478" s="320">
        <v>10116633</v>
      </c>
      <c r="S478" s="321">
        <v>43774</v>
      </c>
      <c r="T478" s="321">
        <v>43776</v>
      </c>
      <c r="U478" s="321">
        <v>43803</v>
      </c>
      <c r="V478" s="319" t="s">
        <v>554</v>
      </c>
      <c r="W478" s="319" t="s">
        <v>2767</v>
      </c>
      <c r="X478" s="319">
        <v>1</v>
      </c>
      <c r="Y478" s="319">
        <v>1</v>
      </c>
      <c r="Z478" s="319">
        <v>1</v>
      </c>
      <c r="AA478" s="319">
        <v>1</v>
      </c>
      <c r="AB478" s="319">
        <v>1</v>
      </c>
      <c r="AC478" s="319" t="s">
        <v>169</v>
      </c>
      <c r="AD478" s="319" t="s">
        <v>173</v>
      </c>
      <c r="AE478" s="319">
        <v>1</v>
      </c>
      <c r="AF478" s="319" t="s">
        <v>427</v>
      </c>
      <c r="AG478" s="319" t="s">
        <v>171</v>
      </c>
      <c r="AH478" s="319" t="s">
        <v>190</v>
      </c>
      <c r="AI478" s="319" t="s">
        <v>190</v>
      </c>
      <c r="AJ478" s="319" t="s">
        <v>190</v>
      </c>
      <c r="AK478" s="319" t="s">
        <v>190</v>
      </c>
      <c r="AL478" s="319" t="s">
        <v>190</v>
      </c>
      <c r="AM478" s="319" t="s">
        <v>190</v>
      </c>
      <c r="AN478" s="319" t="s">
        <v>190</v>
      </c>
      <c r="AO478" s="319" t="s">
        <v>190</v>
      </c>
      <c r="AP478" s="319" t="s">
        <v>190</v>
      </c>
      <c r="AQ478" s="319" t="s">
        <v>190</v>
      </c>
      <c r="AR478" s="319" t="s">
        <v>190</v>
      </c>
      <c r="AS478" s="319" t="s">
        <v>190</v>
      </c>
      <c r="AT478" s="319" t="s">
        <v>190</v>
      </c>
      <c r="AU478" s="319" t="s">
        <v>190</v>
      </c>
      <c r="AV478" s="319" t="s">
        <v>190</v>
      </c>
      <c r="AW478" s="319" t="s">
        <v>190</v>
      </c>
      <c r="AX478" s="319" t="s">
        <v>428</v>
      </c>
      <c r="AY478" s="319" t="s">
        <v>190</v>
      </c>
      <c r="AZ478" s="319" t="s">
        <v>190</v>
      </c>
      <c r="BA478" s="319" t="s">
        <v>190</v>
      </c>
      <c r="BB478" s="319" t="s">
        <v>190</v>
      </c>
      <c r="BC478" s="319" t="s">
        <v>190</v>
      </c>
      <c r="BD478" s="319" t="s">
        <v>190</v>
      </c>
      <c r="BE478" s="319" t="s">
        <v>190</v>
      </c>
      <c r="BF478" s="319" t="s">
        <v>428</v>
      </c>
      <c r="BG478" s="319" t="s">
        <v>190</v>
      </c>
      <c r="BH478" s="319" t="s">
        <v>190</v>
      </c>
      <c r="BI478" s="319" t="s">
        <v>190</v>
      </c>
      <c r="BJ478" s="319" t="s">
        <v>190</v>
      </c>
      <c r="BK478" s="319" t="s">
        <v>190</v>
      </c>
      <c r="BL478" s="319" t="s">
        <v>190</v>
      </c>
      <c r="BM478" s="319" t="s">
        <v>190</v>
      </c>
      <c r="BN478" s="319" t="s">
        <v>190</v>
      </c>
      <c r="BO478" s="319" t="s">
        <v>190</v>
      </c>
      <c r="BP478" s="319" t="s">
        <v>190</v>
      </c>
      <c r="BQ478" s="319" t="s">
        <v>190</v>
      </c>
      <c r="BR478" s="319" t="s">
        <v>190</v>
      </c>
      <c r="BS478" s="319" t="s">
        <v>190</v>
      </c>
      <c r="BT478" s="319" t="s">
        <v>190</v>
      </c>
      <c r="BU478" s="319" t="s">
        <v>190</v>
      </c>
      <c r="BV478" s="319" t="s">
        <v>190</v>
      </c>
      <c r="BW478" s="319" t="s">
        <v>190</v>
      </c>
      <c r="BX478" s="319" t="s">
        <v>190</v>
      </c>
      <c r="BY478" s="319" t="s">
        <v>190</v>
      </c>
      <c r="BZ478" s="319" t="s">
        <v>190</v>
      </c>
      <c r="CA478" s="319" t="s">
        <v>190</v>
      </c>
      <c r="CB478" s="319" t="s">
        <v>190</v>
      </c>
      <c r="CC478" s="319" t="s">
        <v>190</v>
      </c>
      <c r="CD478" s="319" t="s">
        <v>190</v>
      </c>
      <c r="CE478" s="319" t="s">
        <v>190</v>
      </c>
      <c r="CF478" s="319" t="s">
        <v>190</v>
      </c>
      <c r="CG478" s="319" t="s">
        <v>190</v>
      </c>
      <c r="CH478" s="319" t="s">
        <v>190</v>
      </c>
      <c r="CI478" s="319" t="s">
        <v>190</v>
      </c>
      <c r="CJ478" s="319" t="s">
        <v>190</v>
      </c>
      <c r="CK478" s="319" t="s">
        <v>190</v>
      </c>
      <c r="CL478" s="319" t="s">
        <v>190</v>
      </c>
      <c r="CM478" s="319" t="s">
        <v>190</v>
      </c>
      <c r="CN478" s="319" t="s">
        <v>584</v>
      </c>
      <c r="CO478" s="319" t="s">
        <v>584</v>
      </c>
      <c r="CP478" s="319" t="s">
        <v>584</v>
      </c>
      <c r="CQ478" s="319" t="s">
        <v>190</v>
      </c>
      <c r="CR478" s="319" t="s">
        <v>190</v>
      </c>
      <c r="CS478" s="319" t="s">
        <v>190</v>
      </c>
      <c r="CT478" s="319" t="s">
        <v>190</v>
      </c>
      <c r="CU478" s="319" t="s">
        <v>190</v>
      </c>
      <c r="CV478" s="319" t="s">
        <v>190</v>
      </c>
      <c r="CW478" s="319" t="s">
        <v>190</v>
      </c>
      <c r="CX478" s="319" t="s">
        <v>190</v>
      </c>
      <c r="CY478" s="319" t="s">
        <v>190</v>
      </c>
      <c r="CZ478" s="319" t="s">
        <v>190</v>
      </c>
      <c r="DA478" s="319" t="s">
        <v>190</v>
      </c>
      <c r="DB478" s="319" t="s">
        <v>190</v>
      </c>
      <c r="DC478" s="319" t="s">
        <v>190</v>
      </c>
      <c r="DD478" s="319" t="s">
        <v>190</v>
      </c>
      <c r="DE478" s="319" t="s">
        <v>190</v>
      </c>
      <c r="DF478" s="319" t="s">
        <v>190</v>
      </c>
      <c r="DG478" s="319" t="s">
        <v>190</v>
      </c>
      <c r="DH478" s="319" t="s">
        <v>190</v>
      </c>
      <c r="DI478" s="319" t="s">
        <v>190</v>
      </c>
      <c r="DJ478" s="319" t="s">
        <v>190</v>
      </c>
      <c r="DK478" s="319" t="s">
        <v>190</v>
      </c>
      <c r="DL478" s="319" t="s">
        <v>190</v>
      </c>
      <c r="DM478" s="319" t="s">
        <v>190</v>
      </c>
      <c r="DN478" s="319" t="s">
        <v>584</v>
      </c>
      <c r="DO478" s="319" t="s">
        <v>190</v>
      </c>
      <c r="DP478" s="319" t="s">
        <v>428</v>
      </c>
      <c r="DQ478" s="319" t="s">
        <v>428</v>
      </c>
      <c r="DR478" s="319" t="s">
        <v>428</v>
      </c>
      <c r="DS478" s="319" t="s">
        <v>428</v>
      </c>
      <c r="DT478" s="319" t="s">
        <v>428</v>
      </c>
      <c r="DU478" s="319" t="s">
        <v>428</v>
      </c>
      <c r="DV478" s="319" t="s">
        <v>428</v>
      </c>
      <c r="DW478" s="319" t="s">
        <v>428</v>
      </c>
      <c r="DX478" s="319" t="s">
        <v>428</v>
      </c>
      <c r="DY478" s="319" t="s">
        <v>428</v>
      </c>
      <c r="DZ478" s="319" t="s">
        <v>428</v>
      </c>
      <c r="EA478" s="319" t="s">
        <v>428</v>
      </c>
      <c r="EB478" s="319" t="s">
        <v>428</v>
      </c>
      <c r="EC478" s="319" t="s">
        <v>584</v>
      </c>
      <c r="ED478" s="319" t="s">
        <v>428</v>
      </c>
      <c r="EE478" s="319" t="s">
        <v>190</v>
      </c>
      <c r="EF478" s="319" t="s">
        <v>190</v>
      </c>
      <c r="EG478" s="319" t="s">
        <v>190</v>
      </c>
      <c r="EH478" s="319" t="s">
        <v>190</v>
      </c>
      <c r="EI478" s="319" t="s">
        <v>190</v>
      </c>
      <c r="EJ478" s="319" t="s">
        <v>190</v>
      </c>
      <c r="EK478" s="319" t="s">
        <v>190</v>
      </c>
      <c r="EL478" s="319" t="s">
        <v>190</v>
      </c>
      <c r="EM478" s="319" t="s">
        <v>190</v>
      </c>
      <c r="EN478" s="319" t="s">
        <v>190</v>
      </c>
      <c r="EO478" s="319" t="s">
        <v>190</v>
      </c>
      <c r="EP478" s="319" t="s">
        <v>190</v>
      </c>
      <c r="EQ478" s="319" t="s">
        <v>190</v>
      </c>
      <c r="ER478" s="319" t="s">
        <v>190</v>
      </c>
      <c r="ES478" s="319" t="s">
        <v>190</v>
      </c>
      <c r="ET478" s="319" t="s">
        <v>190</v>
      </c>
      <c r="EU478" s="319" t="s">
        <v>190</v>
      </c>
      <c r="EV478" s="319" t="s">
        <v>190</v>
      </c>
      <c r="EW478" s="319" t="s">
        <v>190</v>
      </c>
      <c r="EX478" s="319" t="s">
        <v>190</v>
      </c>
      <c r="EY478" s="319" t="s">
        <v>190</v>
      </c>
      <c r="EZ478" s="319" t="s">
        <v>190</v>
      </c>
      <c r="FA478" s="319" t="s">
        <v>190</v>
      </c>
      <c r="FB478" s="319" t="s">
        <v>428</v>
      </c>
      <c r="FC478" s="319" t="s">
        <v>428</v>
      </c>
      <c r="FD478" s="319" t="s">
        <v>428</v>
      </c>
      <c r="FE478" s="319" t="s">
        <v>428</v>
      </c>
      <c r="FF478" s="319" t="s">
        <v>584</v>
      </c>
      <c r="FG478" s="319" t="s">
        <v>428</v>
      </c>
      <c r="FH478" s="319" t="s">
        <v>428</v>
      </c>
      <c r="FI478" s="319" t="s">
        <v>190</v>
      </c>
      <c r="FJ478" s="319" t="s">
        <v>190</v>
      </c>
      <c r="FK478" s="319" t="s">
        <v>190</v>
      </c>
      <c r="FL478" s="319" t="s">
        <v>190</v>
      </c>
      <c r="FM478" s="319" t="s">
        <v>190</v>
      </c>
      <c r="FN478" s="319" t="s">
        <v>190</v>
      </c>
      <c r="FO478" s="319" t="s">
        <v>190</v>
      </c>
      <c r="FP478" s="319" t="s">
        <v>190</v>
      </c>
      <c r="FQ478" s="319" t="s">
        <v>190</v>
      </c>
      <c r="FR478" s="319" t="s">
        <v>190</v>
      </c>
      <c r="FS478" s="319" t="s">
        <v>428</v>
      </c>
      <c r="FT478" s="319" t="s">
        <v>428</v>
      </c>
      <c r="FU478" s="319" t="s">
        <v>190</v>
      </c>
      <c r="FV478" s="319" t="s">
        <v>190</v>
      </c>
      <c r="FW478" s="319" t="s">
        <v>190</v>
      </c>
      <c r="FX478" s="319" t="s">
        <v>190</v>
      </c>
      <c r="FY478" s="319" t="s">
        <v>190</v>
      </c>
      <c r="FZ478" s="319" t="s">
        <v>190</v>
      </c>
      <c r="GA478" s="319" t="s">
        <v>190</v>
      </c>
      <c r="GB478" s="319" t="s">
        <v>190</v>
      </c>
      <c r="GC478" s="319" t="s">
        <v>190</v>
      </c>
      <c r="GD478" s="319" t="s">
        <v>190</v>
      </c>
      <c r="GE478" s="319" t="s">
        <v>190</v>
      </c>
      <c r="GF478" s="319" t="s">
        <v>190</v>
      </c>
      <c r="GG478" s="319" t="s">
        <v>190</v>
      </c>
      <c r="GH478" s="319" t="s">
        <v>190</v>
      </c>
      <c r="GI478" s="319" t="s">
        <v>190</v>
      </c>
      <c r="GJ478" s="319" t="s">
        <v>190</v>
      </c>
      <c r="GK478" s="319" t="s">
        <v>584</v>
      </c>
      <c r="GL478" s="319" t="s">
        <v>190</v>
      </c>
      <c r="GM478" s="319" t="s">
        <v>190</v>
      </c>
      <c r="GN478" s="319" t="s">
        <v>190</v>
      </c>
      <c r="GO478" s="319" t="s">
        <v>190</v>
      </c>
      <c r="GP478" s="319" t="s">
        <v>190</v>
      </c>
      <c r="GQ478" s="319" t="s">
        <v>190</v>
      </c>
      <c r="GR478" s="319" t="s">
        <v>190</v>
      </c>
      <c r="GS478" s="319" t="s">
        <v>190</v>
      </c>
      <c r="GT478" s="319" t="s">
        <v>190</v>
      </c>
      <c r="GU478" s="319" t="s">
        <v>190</v>
      </c>
      <c r="GV478" s="319" t="s">
        <v>428</v>
      </c>
      <c r="GW478" s="319" t="s">
        <v>190</v>
      </c>
      <c r="GX478" s="319" t="s">
        <v>190</v>
      </c>
      <c r="GY478" s="319" t="s">
        <v>190</v>
      </c>
      <c r="GZ478" s="319" t="s">
        <v>428</v>
      </c>
      <c r="HA478" s="319" t="s">
        <v>190</v>
      </c>
      <c r="HB478" s="319" t="s">
        <v>428</v>
      </c>
      <c r="HC478" s="319" t="s">
        <v>190</v>
      </c>
      <c r="HD478" s="319" t="s">
        <v>190</v>
      </c>
      <c r="HE478" s="319" t="s">
        <v>190</v>
      </c>
      <c r="HF478" s="319" t="s">
        <v>190</v>
      </c>
      <c r="HG478" s="319" t="s">
        <v>190</v>
      </c>
      <c r="HH478" s="319" t="s">
        <v>190</v>
      </c>
      <c r="HI478" s="319" t="s">
        <v>190</v>
      </c>
      <c r="HJ478" s="319" t="s">
        <v>190</v>
      </c>
      <c r="HK478" s="319" t="s">
        <v>190</v>
      </c>
      <c r="HL478" s="319" t="s">
        <v>428</v>
      </c>
      <c r="HM478" s="319" t="s">
        <v>428</v>
      </c>
      <c r="HN478" s="319" t="s">
        <v>428</v>
      </c>
      <c r="HO478" s="319" t="s">
        <v>428</v>
      </c>
      <c r="HP478" s="319" t="s">
        <v>190</v>
      </c>
      <c r="HQ478" s="319" t="s">
        <v>190</v>
      </c>
      <c r="HR478" s="319" t="s">
        <v>190</v>
      </c>
      <c r="HS478" s="319" t="s">
        <v>190</v>
      </c>
      <c r="HT478" s="319" t="s">
        <v>190</v>
      </c>
      <c r="HU478" s="319" t="s">
        <v>190</v>
      </c>
      <c r="HV478" s="319" t="s">
        <v>190</v>
      </c>
      <c r="HW478" s="319" t="s">
        <v>190</v>
      </c>
      <c r="HX478" s="319" t="s">
        <v>190</v>
      </c>
      <c r="HY478" s="319" t="s">
        <v>190</v>
      </c>
      <c r="HZ478" s="319" t="s">
        <v>190</v>
      </c>
      <c r="IA478" s="319" t="s">
        <v>190</v>
      </c>
      <c r="IB478" s="319" t="s">
        <v>190</v>
      </c>
      <c r="IC478" s="319" t="s">
        <v>190</v>
      </c>
      <c r="ID478" s="319" t="s">
        <v>190</v>
      </c>
      <c r="IE478" s="319" t="s">
        <v>190</v>
      </c>
      <c r="IF478" s="319" t="s">
        <v>190</v>
      </c>
      <c r="IG478" s="319" t="s">
        <v>190</v>
      </c>
      <c r="IH478" s="319" t="s">
        <v>190</v>
      </c>
      <c r="II478" s="319" t="s">
        <v>190</v>
      </c>
      <c r="IJ478" s="319">
        <v>10026049</v>
      </c>
      <c r="IK478" s="321">
        <v>42752</v>
      </c>
      <c r="IL478" s="321">
        <v>42754</v>
      </c>
      <c r="IM478" s="321">
        <v>42794</v>
      </c>
      <c r="IN478" s="319">
        <v>1</v>
      </c>
      <c r="IO478" s="319" t="s">
        <v>173</v>
      </c>
      <c r="IP478" s="319" t="s">
        <v>173</v>
      </c>
      <c r="IQ478" s="321" t="s">
        <v>173</v>
      </c>
      <c r="IR478" s="320" t="s">
        <v>173</v>
      </c>
      <c r="IS478" s="322" t="s">
        <v>173</v>
      </c>
      <c r="IT478" s="319" t="s">
        <v>173</v>
      </c>
    </row>
    <row r="479" spans="1:254" s="271" customFormat="1" x14ac:dyDescent="0.25">
      <c r="A479" s="318" t="str">
        <f>HYPERLINK("http://www.ofsted.gov.uk/inspection-reports/find-inspection-report/provider/ELS/134940 ","Ofsted School Webpage")</f>
        <v>Ofsted School Webpage</v>
      </c>
      <c r="B479" s="319">
        <v>134940</v>
      </c>
      <c r="C479" s="319">
        <v>8826053</v>
      </c>
      <c r="D479" s="319" t="s">
        <v>1864</v>
      </c>
      <c r="E479" s="319" t="s">
        <v>168</v>
      </c>
      <c r="F479" s="319" t="s">
        <v>81</v>
      </c>
      <c r="G479" s="319" t="s">
        <v>81</v>
      </c>
      <c r="H479" s="319" t="s">
        <v>81</v>
      </c>
      <c r="I479" s="319" t="s">
        <v>78</v>
      </c>
      <c r="J479" s="319" t="s">
        <v>424</v>
      </c>
      <c r="K479" s="319" t="s">
        <v>451</v>
      </c>
      <c r="L479" s="319" t="s">
        <v>451</v>
      </c>
      <c r="M479" s="319" t="s">
        <v>885</v>
      </c>
      <c r="N479" s="319" t="s">
        <v>3243</v>
      </c>
      <c r="O479" s="319" t="s">
        <v>1865</v>
      </c>
      <c r="P479" s="319">
        <v>8</v>
      </c>
      <c r="Q479" s="319" t="s">
        <v>2776</v>
      </c>
      <c r="R479" s="320">
        <v>10046986</v>
      </c>
      <c r="S479" s="321">
        <v>43221</v>
      </c>
      <c r="T479" s="321">
        <v>43223</v>
      </c>
      <c r="U479" s="321">
        <v>43264</v>
      </c>
      <c r="V479" s="319" t="s">
        <v>425</v>
      </c>
      <c r="W479" s="319" t="s">
        <v>2767</v>
      </c>
      <c r="X479" s="319">
        <v>2</v>
      </c>
      <c r="Y479" s="319" t="s">
        <v>173</v>
      </c>
      <c r="Z479" s="319" t="s">
        <v>173</v>
      </c>
      <c r="AA479" s="319" t="s">
        <v>173</v>
      </c>
      <c r="AB479" s="319">
        <v>2</v>
      </c>
      <c r="AC479" s="319" t="s">
        <v>169</v>
      </c>
      <c r="AD479" s="319" t="s">
        <v>173</v>
      </c>
      <c r="AE479" s="319">
        <v>0</v>
      </c>
      <c r="AF479" s="319" t="s">
        <v>427</v>
      </c>
      <c r="AG479" s="319" t="s">
        <v>171</v>
      </c>
      <c r="AH479" s="319" t="s">
        <v>190</v>
      </c>
      <c r="AI479" s="319" t="s">
        <v>190</v>
      </c>
      <c r="AJ479" s="319" t="s">
        <v>190</v>
      </c>
      <c r="AK479" s="319" t="s">
        <v>190</v>
      </c>
      <c r="AL479" s="319" t="s">
        <v>190</v>
      </c>
      <c r="AM479" s="319" t="s">
        <v>190</v>
      </c>
      <c r="AN479" s="319" t="s">
        <v>190</v>
      </c>
      <c r="AO479" s="319" t="s">
        <v>190</v>
      </c>
      <c r="AP479" s="319" t="s">
        <v>190</v>
      </c>
      <c r="AQ479" s="319" t="s">
        <v>190</v>
      </c>
      <c r="AR479" s="319" t="s">
        <v>190</v>
      </c>
      <c r="AS479" s="319" t="s">
        <v>190</v>
      </c>
      <c r="AT479" s="319" t="s">
        <v>190</v>
      </c>
      <c r="AU479" s="319" t="s">
        <v>190</v>
      </c>
      <c r="AV479" s="319" t="s">
        <v>190</v>
      </c>
      <c r="AW479" s="319" t="s">
        <v>190</v>
      </c>
      <c r="AX479" s="319" t="s">
        <v>428</v>
      </c>
      <c r="AY479" s="319" t="s">
        <v>190</v>
      </c>
      <c r="AZ479" s="319" t="s">
        <v>190</v>
      </c>
      <c r="BA479" s="319" t="s">
        <v>190</v>
      </c>
      <c r="BB479" s="319" t="s">
        <v>190</v>
      </c>
      <c r="BC479" s="319" t="s">
        <v>190</v>
      </c>
      <c r="BD479" s="319" t="s">
        <v>190</v>
      </c>
      <c r="BE479" s="319" t="s">
        <v>190</v>
      </c>
      <c r="BF479" s="319" t="s">
        <v>428</v>
      </c>
      <c r="BG479" s="319" t="s">
        <v>190</v>
      </c>
      <c r="BH479" s="319" t="s">
        <v>190</v>
      </c>
      <c r="BI479" s="319" t="s">
        <v>190</v>
      </c>
      <c r="BJ479" s="319" t="s">
        <v>190</v>
      </c>
      <c r="BK479" s="319" t="s">
        <v>190</v>
      </c>
      <c r="BL479" s="319" t="s">
        <v>190</v>
      </c>
      <c r="BM479" s="319" t="s">
        <v>190</v>
      </c>
      <c r="BN479" s="319" t="s">
        <v>190</v>
      </c>
      <c r="BO479" s="319" t="s">
        <v>190</v>
      </c>
      <c r="BP479" s="319" t="s">
        <v>190</v>
      </c>
      <c r="BQ479" s="319" t="s">
        <v>190</v>
      </c>
      <c r="BR479" s="319" t="s">
        <v>190</v>
      </c>
      <c r="BS479" s="319" t="s">
        <v>190</v>
      </c>
      <c r="BT479" s="319" t="s">
        <v>190</v>
      </c>
      <c r="BU479" s="319" t="s">
        <v>190</v>
      </c>
      <c r="BV479" s="319" t="s">
        <v>190</v>
      </c>
      <c r="BW479" s="319" t="s">
        <v>190</v>
      </c>
      <c r="BX479" s="319" t="s">
        <v>190</v>
      </c>
      <c r="BY479" s="319" t="s">
        <v>190</v>
      </c>
      <c r="BZ479" s="319" t="s">
        <v>190</v>
      </c>
      <c r="CA479" s="319" t="s">
        <v>190</v>
      </c>
      <c r="CB479" s="319" t="s">
        <v>190</v>
      </c>
      <c r="CC479" s="319" t="s">
        <v>190</v>
      </c>
      <c r="CD479" s="319" t="s">
        <v>190</v>
      </c>
      <c r="CE479" s="319" t="s">
        <v>190</v>
      </c>
      <c r="CF479" s="319" t="s">
        <v>190</v>
      </c>
      <c r="CG479" s="319" t="s">
        <v>190</v>
      </c>
      <c r="CH479" s="319" t="s">
        <v>190</v>
      </c>
      <c r="CI479" s="319" t="s">
        <v>190</v>
      </c>
      <c r="CJ479" s="319" t="s">
        <v>190</v>
      </c>
      <c r="CK479" s="319" t="s">
        <v>190</v>
      </c>
      <c r="CL479" s="319" t="s">
        <v>190</v>
      </c>
      <c r="CM479" s="319" t="s">
        <v>190</v>
      </c>
      <c r="CN479" s="319" t="s">
        <v>190</v>
      </c>
      <c r="CO479" s="319" t="s">
        <v>428</v>
      </c>
      <c r="CP479" s="319" t="s">
        <v>428</v>
      </c>
      <c r="CQ479" s="319" t="s">
        <v>190</v>
      </c>
      <c r="CR479" s="319" t="s">
        <v>190</v>
      </c>
      <c r="CS479" s="319" t="s">
        <v>190</v>
      </c>
      <c r="CT479" s="319" t="s">
        <v>190</v>
      </c>
      <c r="CU479" s="319" t="s">
        <v>190</v>
      </c>
      <c r="CV479" s="319" t="s">
        <v>190</v>
      </c>
      <c r="CW479" s="319" t="s">
        <v>190</v>
      </c>
      <c r="CX479" s="319" t="s">
        <v>190</v>
      </c>
      <c r="CY479" s="319" t="s">
        <v>190</v>
      </c>
      <c r="CZ479" s="319" t="s">
        <v>190</v>
      </c>
      <c r="DA479" s="319" t="s">
        <v>190</v>
      </c>
      <c r="DB479" s="319" t="s">
        <v>190</v>
      </c>
      <c r="DC479" s="319" t="s">
        <v>190</v>
      </c>
      <c r="DD479" s="319" t="s">
        <v>190</v>
      </c>
      <c r="DE479" s="319" t="s">
        <v>190</v>
      </c>
      <c r="DF479" s="319" t="s">
        <v>190</v>
      </c>
      <c r="DG479" s="319" t="s">
        <v>190</v>
      </c>
      <c r="DH479" s="319" t="s">
        <v>190</v>
      </c>
      <c r="DI479" s="319" t="s">
        <v>190</v>
      </c>
      <c r="DJ479" s="319" t="s">
        <v>190</v>
      </c>
      <c r="DK479" s="319" t="s">
        <v>190</v>
      </c>
      <c r="DL479" s="319" t="s">
        <v>190</v>
      </c>
      <c r="DM479" s="319" t="s">
        <v>190</v>
      </c>
      <c r="DN479" s="319" t="s">
        <v>428</v>
      </c>
      <c r="DO479" s="319" t="s">
        <v>190</v>
      </c>
      <c r="DP479" s="319" t="s">
        <v>428</v>
      </c>
      <c r="DQ479" s="319" t="s">
        <v>428</v>
      </c>
      <c r="DR479" s="319" t="s">
        <v>428</v>
      </c>
      <c r="DS479" s="319" t="s">
        <v>428</v>
      </c>
      <c r="DT479" s="319" t="s">
        <v>428</v>
      </c>
      <c r="DU479" s="319" t="s">
        <v>428</v>
      </c>
      <c r="DV479" s="319" t="s">
        <v>173</v>
      </c>
      <c r="DW479" s="319" t="s">
        <v>428</v>
      </c>
      <c r="DX479" s="319" t="s">
        <v>428</v>
      </c>
      <c r="DY479" s="319" t="s">
        <v>428</v>
      </c>
      <c r="DZ479" s="319" t="s">
        <v>190</v>
      </c>
      <c r="EA479" s="319" t="s">
        <v>190</v>
      </c>
      <c r="EB479" s="319" t="s">
        <v>190</v>
      </c>
      <c r="EC479" s="319" t="s">
        <v>428</v>
      </c>
      <c r="ED479" s="319" t="s">
        <v>428</v>
      </c>
      <c r="EE479" s="319" t="s">
        <v>190</v>
      </c>
      <c r="EF479" s="319" t="s">
        <v>190</v>
      </c>
      <c r="EG479" s="319" t="s">
        <v>190</v>
      </c>
      <c r="EH479" s="319" t="s">
        <v>190</v>
      </c>
      <c r="EI479" s="319" t="s">
        <v>190</v>
      </c>
      <c r="EJ479" s="319" t="s">
        <v>190</v>
      </c>
      <c r="EK479" s="319" t="s">
        <v>190</v>
      </c>
      <c r="EL479" s="319" t="s">
        <v>428</v>
      </c>
      <c r="EM479" s="319" t="s">
        <v>428</v>
      </c>
      <c r="EN479" s="319" t="s">
        <v>190</v>
      </c>
      <c r="EO479" s="319" t="s">
        <v>190</v>
      </c>
      <c r="EP479" s="319" t="s">
        <v>190</v>
      </c>
      <c r="EQ479" s="319" t="s">
        <v>190</v>
      </c>
      <c r="ER479" s="319" t="s">
        <v>190</v>
      </c>
      <c r="ES479" s="319" t="s">
        <v>190</v>
      </c>
      <c r="ET479" s="319" t="s">
        <v>190</v>
      </c>
      <c r="EU479" s="319" t="s">
        <v>190</v>
      </c>
      <c r="EV479" s="319" t="s">
        <v>190</v>
      </c>
      <c r="EW479" s="319" t="s">
        <v>190</v>
      </c>
      <c r="EX479" s="319" t="s">
        <v>190</v>
      </c>
      <c r="EY479" s="319" t="s">
        <v>190</v>
      </c>
      <c r="EZ479" s="319" t="s">
        <v>190</v>
      </c>
      <c r="FA479" s="319" t="s">
        <v>190</v>
      </c>
      <c r="FB479" s="319" t="s">
        <v>428</v>
      </c>
      <c r="FC479" s="319" t="s">
        <v>428</v>
      </c>
      <c r="FD479" s="319" t="s">
        <v>428</v>
      </c>
      <c r="FE479" s="319" t="s">
        <v>428</v>
      </c>
      <c r="FF479" s="319" t="s">
        <v>428</v>
      </c>
      <c r="FG479" s="319" t="s">
        <v>428</v>
      </c>
      <c r="FH479" s="319" t="s">
        <v>428</v>
      </c>
      <c r="FI479" s="319" t="s">
        <v>428</v>
      </c>
      <c r="FJ479" s="319" t="s">
        <v>429</v>
      </c>
      <c r="FK479" s="319" t="s">
        <v>428</v>
      </c>
      <c r="FL479" s="319" t="s">
        <v>190</v>
      </c>
      <c r="FM479" s="319" t="s">
        <v>190</v>
      </c>
      <c r="FN479" s="319" t="s">
        <v>190</v>
      </c>
      <c r="FO479" s="319" t="s">
        <v>190</v>
      </c>
      <c r="FP479" s="319" t="s">
        <v>190</v>
      </c>
      <c r="FQ479" s="319" t="s">
        <v>190</v>
      </c>
      <c r="FR479" s="319" t="s">
        <v>190</v>
      </c>
      <c r="FS479" s="319" t="s">
        <v>190</v>
      </c>
      <c r="FT479" s="319" t="s">
        <v>190</v>
      </c>
      <c r="FU479" s="319" t="s">
        <v>428</v>
      </c>
      <c r="FV479" s="319" t="s">
        <v>190</v>
      </c>
      <c r="FW479" s="319" t="s">
        <v>190</v>
      </c>
      <c r="FX479" s="319" t="s">
        <v>190</v>
      </c>
      <c r="FY479" s="319" t="s">
        <v>190</v>
      </c>
      <c r="FZ479" s="319" t="s">
        <v>190</v>
      </c>
      <c r="GA479" s="319" t="s">
        <v>190</v>
      </c>
      <c r="GB479" s="319" t="s">
        <v>190</v>
      </c>
      <c r="GC479" s="319" t="s">
        <v>190</v>
      </c>
      <c r="GD479" s="319" t="s">
        <v>190</v>
      </c>
      <c r="GE479" s="319" t="s">
        <v>190</v>
      </c>
      <c r="GF479" s="319" t="s">
        <v>190</v>
      </c>
      <c r="GG479" s="319" t="s">
        <v>190</v>
      </c>
      <c r="GH479" s="319" t="s">
        <v>190</v>
      </c>
      <c r="GI479" s="319" t="s">
        <v>190</v>
      </c>
      <c r="GJ479" s="319" t="s">
        <v>190</v>
      </c>
      <c r="GK479" s="319" t="s">
        <v>428</v>
      </c>
      <c r="GL479" s="319" t="s">
        <v>190</v>
      </c>
      <c r="GM479" s="319" t="s">
        <v>190</v>
      </c>
      <c r="GN479" s="319" t="s">
        <v>190</v>
      </c>
      <c r="GO479" s="319" t="s">
        <v>190</v>
      </c>
      <c r="GP479" s="319" t="s">
        <v>190</v>
      </c>
      <c r="GQ479" s="319" t="s">
        <v>190</v>
      </c>
      <c r="GR479" s="319" t="s">
        <v>190</v>
      </c>
      <c r="GS479" s="319" t="s">
        <v>190</v>
      </c>
      <c r="GT479" s="319" t="s">
        <v>190</v>
      </c>
      <c r="GU479" s="319" t="s">
        <v>190</v>
      </c>
      <c r="GV479" s="319" t="s">
        <v>190</v>
      </c>
      <c r="GW479" s="319" t="s">
        <v>190</v>
      </c>
      <c r="GX479" s="319" t="s">
        <v>190</v>
      </c>
      <c r="GY479" s="319" t="s">
        <v>190</v>
      </c>
      <c r="GZ479" s="319" t="s">
        <v>190</v>
      </c>
      <c r="HA479" s="319" t="s">
        <v>190</v>
      </c>
      <c r="HB479" s="319" t="s">
        <v>428</v>
      </c>
      <c r="HC479" s="319" t="s">
        <v>190</v>
      </c>
      <c r="HD479" s="319" t="s">
        <v>190</v>
      </c>
      <c r="HE479" s="319" t="s">
        <v>190</v>
      </c>
      <c r="HF479" s="319" t="s">
        <v>190</v>
      </c>
      <c r="HG479" s="319" t="s">
        <v>190</v>
      </c>
      <c r="HH479" s="319" t="s">
        <v>190</v>
      </c>
      <c r="HI479" s="319" t="s">
        <v>584</v>
      </c>
      <c r="HJ479" s="319" t="s">
        <v>190</v>
      </c>
      <c r="HK479" s="319" t="s">
        <v>190</v>
      </c>
      <c r="HL479" s="319" t="s">
        <v>428</v>
      </c>
      <c r="HM479" s="319" t="s">
        <v>428</v>
      </c>
      <c r="HN479" s="319" t="s">
        <v>428</v>
      </c>
      <c r="HO479" s="319" t="s">
        <v>428</v>
      </c>
      <c r="HP479" s="319" t="s">
        <v>190</v>
      </c>
      <c r="HQ479" s="319" t="s">
        <v>190</v>
      </c>
      <c r="HR479" s="319" t="s">
        <v>190</v>
      </c>
      <c r="HS479" s="319" t="s">
        <v>190</v>
      </c>
      <c r="HT479" s="319" t="s">
        <v>190</v>
      </c>
      <c r="HU479" s="319" t="s">
        <v>190</v>
      </c>
      <c r="HV479" s="319" t="s">
        <v>190</v>
      </c>
      <c r="HW479" s="319" t="s">
        <v>190</v>
      </c>
      <c r="HX479" s="319" t="s">
        <v>190</v>
      </c>
      <c r="HY479" s="319" t="s">
        <v>190</v>
      </c>
      <c r="HZ479" s="319" t="s">
        <v>190</v>
      </c>
      <c r="IA479" s="319" t="s">
        <v>190</v>
      </c>
      <c r="IB479" s="319" t="s">
        <v>190</v>
      </c>
      <c r="IC479" s="319" t="s">
        <v>190</v>
      </c>
      <c r="ID479" s="319" t="s">
        <v>190</v>
      </c>
      <c r="IE479" s="319" t="s">
        <v>190</v>
      </c>
      <c r="IF479" s="319" t="s">
        <v>190</v>
      </c>
      <c r="IG479" s="319" t="s">
        <v>190</v>
      </c>
      <c r="IH479" s="319" t="s">
        <v>190</v>
      </c>
      <c r="II479" s="319" t="s">
        <v>190</v>
      </c>
      <c r="IJ479" s="319" t="s">
        <v>3244</v>
      </c>
      <c r="IK479" s="321">
        <v>42172</v>
      </c>
      <c r="IL479" s="321">
        <v>42174</v>
      </c>
      <c r="IM479" s="321">
        <v>42202</v>
      </c>
      <c r="IN479" s="319">
        <v>2</v>
      </c>
      <c r="IO479" s="319" t="s">
        <v>173</v>
      </c>
      <c r="IP479" s="319" t="s">
        <v>173</v>
      </c>
      <c r="IQ479" s="321" t="s">
        <v>173</v>
      </c>
      <c r="IR479" s="320" t="s">
        <v>173</v>
      </c>
      <c r="IS479" s="322" t="s">
        <v>173</v>
      </c>
      <c r="IT479" s="319" t="s">
        <v>173</v>
      </c>
    </row>
    <row r="480" spans="1:254" s="271" customFormat="1" x14ac:dyDescent="0.25">
      <c r="A480" s="318" t="str">
        <f>HYPERLINK("http://www.ofsted.gov.uk/inspection-reports/find-inspection-report/provider/ELS/134978 ","Ofsted School Webpage")</f>
        <v>Ofsted School Webpage</v>
      </c>
      <c r="B480" s="319">
        <v>134978</v>
      </c>
      <c r="C480" s="319">
        <v>9266419</v>
      </c>
      <c r="D480" s="319" t="s">
        <v>1866</v>
      </c>
      <c r="E480" s="319" t="s">
        <v>168</v>
      </c>
      <c r="F480" s="319" t="s">
        <v>81</v>
      </c>
      <c r="G480" s="319" t="s">
        <v>81</v>
      </c>
      <c r="H480" s="319" t="s">
        <v>81</v>
      </c>
      <c r="I480" s="319" t="s">
        <v>78</v>
      </c>
      <c r="J480" s="319" t="s">
        <v>424</v>
      </c>
      <c r="K480" s="319" t="s">
        <v>451</v>
      </c>
      <c r="L480" s="319" t="s">
        <v>451</v>
      </c>
      <c r="M480" s="319" t="s">
        <v>463</v>
      </c>
      <c r="N480" s="319" t="s">
        <v>3245</v>
      </c>
      <c r="O480" s="319" t="s">
        <v>1867</v>
      </c>
      <c r="P480" s="319">
        <v>8</v>
      </c>
      <c r="Q480" s="319" t="s">
        <v>429</v>
      </c>
      <c r="R480" s="320">
        <v>10008940</v>
      </c>
      <c r="S480" s="321">
        <v>42864</v>
      </c>
      <c r="T480" s="321">
        <v>42866</v>
      </c>
      <c r="U480" s="321">
        <v>42921</v>
      </c>
      <c r="V480" s="319" t="s">
        <v>425</v>
      </c>
      <c r="W480" s="319" t="s">
        <v>2767</v>
      </c>
      <c r="X480" s="319">
        <v>1</v>
      </c>
      <c r="Y480" s="319" t="s">
        <v>173</v>
      </c>
      <c r="Z480" s="319" t="s">
        <v>173</v>
      </c>
      <c r="AA480" s="319" t="s">
        <v>173</v>
      </c>
      <c r="AB480" s="319">
        <v>1</v>
      </c>
      <c r="AC480" s="319" t="s">
        <v>169</v>
      </c>
      <c r="AD480" s="319" t="s">
        <v>173</v>
      </c>
      <c r="AE480" s="319" t="s">
        <v>173</v>
      </c>
      <c r="AF480" s="319" t="s">
        <v>173</v>
      </c>
      <c r="AG480" s="319" t="s">
        <v>171</v>
      </c>
      <c r="AH480" s="319" t="s">
        <v>190</v>
      </c>
      <c r="AI480" s="319" t="s">
        <v>190</v>
      </c>
      <c r="AJ480" s="319" t="s">
        <v>190</v>
      </c>
      <c r="AK480" s="319" t="s">
        <v>190</v>
      </c>
      <c r="AL480" s="319" t="s">
        <v>190</v>
      </c>
      <c r="AM480" s="319" t="s">
        <v>190</v>
      </c>
      <c r="AN480" s="319" t="s">
        <v>190</v>
      </c>
      <c r="AO480" s="319" t="s">
        <v>190</v>
      </c>
      <c r="AP480" s="319" t="s">
        <v>190</v>
      </c>
      <c r="AQ480" s="319" t="s">
        <v>190</v>
      </c>
      <c r="AR480" s="319" t="s">
        <v>190</v>
      </c>
      <c r="AS480" s="319" t="s">
        <v>190</v>
      </c>
      <c r="AT480" s="319" t="s">
        <v>190</v>
      </c>
      <c r="AU480" s="319" t="s">
        <v>190</v>
      </c>
      <c r="AV480" s="319" t="s">
        <v>190</v>
      </c>
      <c r="AW480" s="319" t="s">
        <v>190</v>
      </c>
      <c r="AX480" s="319" t="s">
        <v>429</v>
      </c>
      <c r="AY480" s="319" t="s">
        <v>190</v>
      </c>
      <c r="AZ480" s="319" t="s">
        <v>190</v>
      </c>
      <c r="BA480" s="319" t="s">
        <v>190</v>
      </c>
      <c r="BB480" s="319" t="s">
        <v>190</v>
      </c>
      <c r="BC480" s="319" t="s">
        <v>190</v>
      </c>
      <c r="BD480" s="319" t="s">
        <v>190</v>
      </c>
      <c r="BE480" s="319" t="s">
        <v>190</v>
      </c>
      <c r="BF480" s="319" t="s">
        <v>429</v>
      </c>
      <c r="BG480" s="319" t="s">
        <v>190</v>
      </c>
      <c r="BH480" s="319" t="s">
        <v>190</v>
      </c>
      <c r="BI480" s="319" t="s">
        <v>190</v>
      </c>
      <c r="BJ480" s="319" t="s">
        <v>190</v>
      </c>
      <c r="BK480" s="319" t="s">
        <v>190</v>
      </c>
      <c r="BL480" s="319" t="s">
        <v>190</v>
      </c>
      <c r="BM480" s="319" t="s">
        <v>190</v>
      </c>
      <c r="BN480" s="319" t="s">
        <v>190</v>
      </c>
      <c r="BO480" s="319" t="s">
        <v>190</v>
      </c>
      <c r="BP480" s="319" t="s">
        <v>190</v>
      </c>
      <c r="BQ480" s="319" t="s">
        <v>190</v>
      </c>
      <c r="BR480" s="319" t="s">
        <v>190</v>
      </c>
      <c r="BS480" s="319" t="s">
        <v>190</v>
      </c>
      <c r="BT480" s="319" t="s">
        <v>190</v>
      </c>
      <c r="BU480" s="319" t="s">
        <v>190</v>
      </c>
      <c r="BV480" s="319" t="s">
        <v>190</v>
      </c>
      <c r="BW480" s="319" t="s">
        <v>190</v>
      </c>
      <c r="BX480" s="319" t="s">
        <v>190</v>
      </c>
      <c r="BY480" s="319" t="s">
        <v>190</v>
      </c>
      <c r="BZ480" s="319" t="s">
        <v>190</v>
      </c>
      <c r="CA480" s="319" t="s">
        <v>190</v>
      </c>
      <c r="CB480" s="319" t="s">
        <v>190</v>
      </c>
      <c r="CC480" s="319" t="s">
        <v>190</v>
      </c>
      <c r="CD480" s="319" t="s">
        <v>190</v>
      </c>
      <c r="CE480" s="319" t="s">
        <v>190</v>
      </c>
      <c r="CF480" s="319" t="s">
        <v>190</v>
      </c>
      <c r="CG480" s="319" t="s">
        <v>190</v>
      </c>
      <c r="CH480" s="319" t="s">
        <v>190</v>
      </c>
      <c r="CI480" s="319" t="s">
        <v>190</v>
      </c>
      <c r="CJ480" s="319" t="s">
        <v>190</v>
      </c>
      <c r="CK480" s="319" t="s">
        <v>190</v>
      </c>
      <c r="CL480" s="319" t="s">
        <v>190</v>
      </c>
      <c r="CM480" s="319" t="s">
        <v>190</v>
      </c>
      <c r="CN480" s="319" t="s">
        <v>190</v>
      </c>
      <c r="CO480" s="319" t="s">
        <v>190</v>
      </c>
      <c r="CP480" s="319" t="s">
        <v>190</v>
      </c>
      <c r="CQ480" s="319" t="s">
        <v>190</v>
      </c>
      <c r="CR480" s="319" t="s">
        <v>190</v>
      </c>
      <c r="CS480" s="319" t="s">
        <v>190</v>
      </c>
      <c r="CT480" s="319" t="s">
        <v>190</v>
      </c>
      <c r="CU480" s="319" t="s">
        <v>190</v>
      </c>
      <c r="CV480" s="319" t="s">
        <v>190</v>
      </c>
      <c r="CW480" s="319" t="s">
        <v>190</v>
      </c>
      <c r="CX480" s="319" t="s">
        <v>190</v>
      </c>
      <c r="CY480" s="319" t="s">
        <v>190</v>
      </c>
      <c r="CZ480" s="319" t="s">
        <v>190</v>
      </c>
      <c r="DA480" s="319" t="s">
        <v>190</v>
      </c>
      <c r="DB480" s="319" t="s">
        <v>190</v>
      </c>
      <c r="DC480" s="319" t="s">
        <v>190</v>
      </c>
      <c r="DD480" s="319" t="s">
        <v>190</v>
      </c>
      <c r="DE480" s="319" t="s">
        <v>190</v>
      </c>
      <c r="DF480" s="319" t="s">
        <v>190</v>
      </c>
      <c r="DG480" s="319" t="s">
        <v>190</v>
      </c>
      <c r="DH480" s="319" t="s">
        <v>190</v>
      </c>
      <c r="DI480" s="319" t="s">
        <v>190</v>
      </c>
      <c r="DJ480" s="319" t="s">
        <v>190</v>
      </c>
      <c r="DK480" s="319" t="s">
        <v>190</v>
      </c>
      <c r="DL480" s="319" t="s">
        <v>190</v>
      </c>
      <c r="DM480" s="319" t="s">
        <v>190</v>
      </c>
      <c r="DN480" s="319" t="s">
        <v>190</v>
      </c>
      <c r="DO480" s="319" t="s">
        <v>190</v>
      </c>
      <c r="DP480" s="319" t="s">
        <v>429</v>
      </c>
      <c r="DQ480" s="319" t="s">
        <v>429</v>
      </c>
      <c r="DR480" s="319" t="s">
        <v>429</v>
      </c>
      <c r="DS480" s="319" t="s">
        <v>429</v>
      </c>
      <c r="DT480" s="319" t="s">
        <v>429</v>
      </c>
      <c r="DU480" s="319" t="s">
        <v>429</v>
      </c>
      <c r="DV480" s="319" t="s">
        <v>173</v>
      </c>
      <c r="DW480" s="319" t="s">
        <v>429</v>
      </c>
      <c r="DX480" s="319" t="s">
        <v>429</v>
      </c>
      <c r="DY480" s="319" t="s">
        <v>429</v>
      </c>
      <c r="DZ480" s="319" t="s">
        <v>429</v>
      </c>
      <c r="EA480" s="319" t="s">
        <v>429</v>
      </c>
      <c r="EB480" s="319" t="s">
        <v>429</v>
      </c>
      <c r="EC480" s="319" t="s">
        <v>429</v>
      </c>
      <c r="ED480" s="319" t="s">
        <v>429</v>
      </c>
      <c r="EE480" s="319" t="s">
        <v>190</v>
      </c>
      <c r="EF480" s="319" t="s">
        <v>190</v>
      </c>
      <c r="EG480" s="319" t="s">
        <v>190</v>
      </c>
      <c r="EH480" s="319" t="s">
        <v>190</v>
      </c>
      <c r="EI480" s="319" t="s">
        <v>190</v>
      </c>
      <c r="EJ480" s="319" t="s">
        <v>190</v>
      </c>
      <c r="EK480" s="319" t="s">
        <v>190</v>
      </c>
      <c r="EL480" s="319" t="s">
        <v>190</v>
      </c>
      <c r="EM480" s="319" t="s">
        <v>190</v>
      </c>
      <c r="EN480" s="319" t="s">
        <v>190</v>
      </c>
      <c r="EO480" s="319" t="s">
        <v>190</v>
      </c>
      <c r="EP480" s="319" t="s">
        <v>190</v>
      </c>
      <c r="EQ480" s="319" t="s">
        <v>190</v>
      </c>
      <c r="ER480" s="319" t="s">
        <v>190</v>
      </c>
      <c r="ES480" s="319" t="s">
        <v>190</v>
      </c>
      <c r="ET480" s="319" t="s">
        <v>190</v>
      </c>
      <c r="EU480" s="319" t="s">
        <v>190</v>
      </c>
      <c r="EV480" s="319" t="s">
        <v>190</v>
      </c>
      <c r="EW480" s="319" t="s">
        <v>190</v>
      </c>
      <c r="EX480" s="319" t="s">
        <v>190</v>
      </c>
      <c r="EY480" s="319" t="s">
        <v>190</v>
      </c>
      <c r="EZ480" s="319" t="s">
        <v>190</v>
      </c>
      <c r="FA480" s="319" t="s">
        <v>190</v>
      </c>
      <c r="FB480" s="319" t="s">
        <v>429</v>
      </c>
      <c r="FC480" s="319" t="s">
        <v>429</v>
      </c>
      <c r="FD480" s="319" t="s">
        <v>429</v>
      </c>
      <c r="FE480" s="319" t="s">
        <v>429</v>
      </c>
      <c r="FF480" s="319" t="s">
        <v>429</v>
      </c>
      <c r="FG480" s="319" t="s">
        <v>429</v>
      </c>
      <c r="FH480" s="319" t="s">
        <v>190</v>
      </c>
      <c r="FI480" s="319" t="s">
        <v>190</v>
      </c>
      <c r="FJ480" s="319" t="s">
        <v>190</v>
      </c>
      <c r="FK480" s="319" t="s">
        <v>190</v>
      </c>
      <c r="FL480" s="319" t="s">
        <v>190</v>
      </c>
      <c r="FM480" s="319" t="s">
        <v>190</v>
      </c>
      <c r="FN480" s="319" t="s">
        <v>190</v>
      </c>
      <c r="FO480" s="319" t="s">
        <v>190</v>
      </c>
      <c r="FP480" s="319" t="s">
        <v>190</v>
      </c>
      <c r="FQ480" s="319" t="s">
        <v>190</v>
      </c>
      <c r="FR480" s="319" t="s">
        <v>190</v>
      </c>
      <c r="FS480" s="319" t="s">
        <v>190</v>
      </c>
      <c r="FT480" s="319" t="s">
        <v>190</v>
      </c>
      <c r="FU480" s="319" t="s">
        <v>190</v>
      </c>
      <c r="FV480" s="319" t="s">
        <v>190</v>
      </c>
      <c r="FW480" s="319" t="s">
        <v>190</v>
      </c>
      <c r="FX480" s="319" t="s">
        <v>190</v>
      </c>
      <c r="FY480" s="319" t="s">
        <v>190</v>
      </c>
      <c r="FZ480" s="319" t="s">
        <v>190</v>
      </c>
      <c r="GA480" s="319" t="s">
        <v>190</v>
      </c>
      <c r="GB480" s="319" t="s">
        <v>190</v>
      </c>
      <c r="GC480" s="319" t="s">
        <v>190</v>
      </c>
      <c r="GD480" s="319" t="s">
        <v>190</v>
      </c>
      <c r="GE480" s="319" t="s">
        <v>190</v>
      </c>
      <c r="GF480" s="319" t="s">
        <v>190</v>
      </c>
      <c r="GG480" s="319" t="s">
        <v>190</v>
      </c>
      <c r="GH480" s="319" t="s">
        <v>190</v>
      </c>
      <c r="GI480" s="319" t="s">
        <v>190</v>
      </c>
      <c r="GJ480" s="319" t="s">
        <v>190</v>
      </c>
      <c r="GK480" s="319" t="s">
        <v>429</v>
      </c>
      <c r="GL480" s="319" t="s">
        <v>190</v>
      </c>
      <c r="GM480" s="319" t="s">
        <v>190</v>
      </c>
      <c r="GN480" s="319" t="s">
        <v>190</v>
      </c>
      <c r="GO480" s="319" t="s">
        <v>190</v>
      </c>
      <c r="GP480" s="319" t="s">
        <v>190</v>
      </c>
      <c r="GQ480" s="319" t="s">
        <v>190</v>
      </c>
      <c r="GR480" s="319" t="s">
        <v>190</v>
      </c>
      <c r="GS480" s="319" t="s">
        <v>190</v>
      </c>
      <c r="GT480" s="319" t="s">
        <v>190</v>
      </c>
      <c r="GU480" s="319" t="s">
        <v>190</v>
      </c>
      <c r="GV480" s="319" t="s">
        <v>190</v>
      </c>
      <c r="GW480" s="319" t="s">
        <v>190</v>
      </c>
      <c r="GX480" s="319" t="s">
        <v>190</v>
      </c>
      <c r="GY480" s="319" t="s">
        <v>190</v>
      </c>
      <c r="GZ480" s="319" t="s">
        <v>429</v>
      </c>
      <c r="HA480" s="319" t="s">
        <v>190</v>
      </c>
      <c r="HB480" s="319" t="s">
        <v>190</v>
      </c>
      <c r="HC480" s="319" t="s">
        <v>190</v>
      </c>
      <c r="HD480" s="319" t="s">
        <v>190</v>
      </c>
      <c r="HE480" s="319" t="s">
        <v>190</v>
      </c>
      <c r="HF480" s="319" t="s">
        <v>190</v>
      </c>
      <c r="HG480" s="319" t="s">
        <v>190</v>
      </c>
      <c r="HH480" s="319" t="s">
        <v>190</v>
      </c>
      <c r="HI480" s="319" t="s">
        <v>190</v>
      </c>
      <c r="HJ480" s="319" t="s">
        <v>190</v>
      </c>
      <c r="HK480" s="319" t="s">
        <v>190</v>
      </c>
      <c r="HL480" s="319" t="s">
        <v>190</v>
      </c>
      <c r="HM480" s="319" t="s">
        <v>190</v>
      </c>
      <c r="HN480" s="319" t="s">
        <v>190</v>
      </c>
      <c r="HO480" s="319" t="s">
        <v>190</v>
      </c>
      <c r="HP480" s="319" t="s">
        <v>190</v>
      </c>
      <c r="HQ480" s="319" t="s">
        <v>190</v>
      </c>
      <c r="HR480" s="319" t="s">
        <v>190</v>
      </c>
      <c r="HS480" s="319" t="s">
        <v>190</v>
      </c>
      <c r="HT480" s="319" t="s">
        <v>190</v>
      </c>
      <c r="HU480" s="319" t="s">
        <v>190</v>
      </c>
      <c r="HV480" s="319" t="s">
        <v>190</v>
      </c>
      <c r="HW480" s="319" t="s">
        <v>190</v>
      </c>
      <c r="HX480" s="319" t="s">
        <v>190</v>
      </c>
      <c r="HY480" s="319" t="s">
        <v>190</v>
      </c>
      <c r="HZ480" s="319" t="s">
        <v>190</v>
      </c>
      <c r="IA480" s="319" t="s">
        <v>190</v>
      </c>
      <c r="IB480" s="319" t="s">
        <v>190</v>
      </c>
      <c r="IC480" s="319" t="s">
        <v>190</v>
      </c>
      <c r="ID480" s="319" t="s">
        <v>190</v>
      </c>
      <c r="IE480" s="319" t="s">
        <v>190</v>
      </c>
      <c r="IF480" s="319" t="s">
        <v>190</v>
      </c>
      <c r="IG480" s="319" t="s">
        <v>190</v>
      </c>
      <c r="IH480" s="319" t="s">
        <v>190</v>
      </c>
      <c r="II480" s="319" t="s">
        <v>190</v>
      </c>
      <c r="IJ480" s="319" t="s">
        <v>3246</v>
      </c>
      <c r="IK480" s="321">
        <v>41086</v>
      </c>
      <c r="IL480" s="321">
        <v>41087</v>
      </c>
      <c r="IM480" s="321">
        <v>41108</v>
      </c>
      <c r="IN480" s="319">
        <v>1</v>
      </c>
      <c r="IO480" s="319" t="s">
        <v>173</v>
      </c>
      <c r="IP480" s="319" t="s">
        <v>173</v>
      </c>
      <c r="IQ480" s="321" t="s">
        <v>173</v>
      </c>
      <c r="IR480" s="320" t="s">
        <v>173</v>
      </c>
      <c r="IS480" s="322" t="s">
        <v>173</v>
      </c>
      <c r="IT480" s="319" t="s">
        <v>173</v>
      </c>
    </row>
    <row r="481" spans="1:254" s="271" customFormat="1" x14ac:dyDescent="0.25">
      <c r="A481" s="318" t="str">
        <f>HYPERLINK("http://www.ofsted.gov.uk/inspection-reports/find-inspection-report/provider/ELS/134982 ","Ofsted School Webpage")</f>
        <v>Ofsted School Webpage</v>
      </c>
      <c r="B481" s="319">
        <v>134982</v>
      </c>
      <c r="C481" s="319">
        <v>3306112</v>
      </c>
      <c r="D481" s="319" t="s">
        <v>1096</v>
      </c>
      <c r="E481" s="319" t="s">
        <v>168</v>
      </c>
      <c r="F481" s="319" t="s">
        <v>81</v>
      </c>
      <c r="G481" s="319" t="s">
        <v>81</v>
      </c>
      <c r="H481" s="319" t="s">
        <v>81</v>
      </c>
      <c r="I481" s="319" t="s">
        <v>78</v>
      </c>
      <c r="J481" s="319" t="s">
        <v>424</v>
      </c>
      <c r="K481" s="319" t="s">
        <v>437</v>
      </c>
      <c r="L481" s="319" t="s">
        <v>437</v>
      </c>
      <c r="M481" s="319" t="s">
        <v>813</v>
      </c>
      <c r="N481" s="319" t="s">
        <v>3247</v>
      </c>
      <c r="O481" s="319" t="s">
        <v>1097</v>
      </c>
      <c r="P481" s="319">
        <v>20</v>
      </c>
      <c r="Q481" s="319" t="s">
        <v>2776</v>
      </c>
      <c r="R481" s="320">
        <v>10026237</v>
      </c>
      <c r="S481" s="321">
        <v>43263</v>
      </c>
      <c r="T481" s="321">
        <v>43265</v>
      </c>
      <c r="U481" s="321">
        <v>43383</v>
      </c>
      <c r="V481" s="319" t="s">
        <v>425</v>
      </c>
      <c r="W481" s="319" t="s">
        <v>2767</v>
      </c>
      <c r="X481" s="319">
        <v>4</v>
      </c>
      <c r="Y481" s="319" t="s">
        <v>173</v>
      </c>
      <c r="Z481" s="319" t="s">
        <v>173</v>
      </c>
      <c r="AA481" s="319" t="s">
        <v>173</v>
      </c>
      <c r="AB481" s="319">
        <v>4</v>
      </c>
      <c r="AC481" s="319" t="s">
        <v>170</v>
      </c>
      <c r="AD481" s="319" t="s">
        <v>173</v>
      </c>
      <c r="AE481" s="319">
        <v>4</v>
      </c>
      <c r="AF481" s="319" t="s">
        <v>427</v>
      </c>
      <c r="AG481" s="319" t="s">
        <v>172</v>
      </c>
      <c r="AH481" s="319" t="s">
        <v>190</v>
      </c>
      <c r="AI481" s="319" t="s">
        <v>190</v>
      </c>
      <c r="AJ481" s="319" t="s">
        <v>479</v>
      </c>
      <c r="AK481" s="319" t="s">
        <v>190</v>
      </c>
      <c r="AL481" s="319" t="s">
        <v>479</v>
      </c>
      <c r="AM481" s="319" t="s">
        <v>190</v>
      </c>
      <c r="AN481" s="319" t="s">
        <v>190</v>
      </c>
      <c r="AO481" s="319" t="s">
        <v>479</v>
      </c>
      <c r="AP481" s="319" t="s">
        <v>190</v>
      </c>
      <c r="AQ481" s="319" t="s">
        <v>190</v>
      </c>
      <c r="AR481" s="319" t="s">
        <v>190</v>
      </c>
      <c r="AS481" s="319" t="s">
        <v>190</v>
      </c>
      <c r="AT481" s="319" t="s">
        <v>190</v>
      </c>
      <c r="AU481" s="319" t="s">
        <v>190</v>
      </c>
      <c r="AV481" s="319" t="s">
        <v>190</v>
      </c>
      <c r="AW481" s="319" t="s">
        <v>190</v>
      </c>
      <c r="AX481" s="319" t="s">
        <v>428</v>
      </c>
      <c r="AY481" s="319" t="s">
        <v>190</v>
      </c>
      <c r="AZ481" s="319" t="s">
        <v>190</v>
      </c>
      <c r="BA481" s="319" t="s">
        <v>190</v>
      </c>
      <c r="BB481" s="319" t="s">
        <v>190</v>
      </c>
      <c r="BC481" s="319" t="s">
        <v>190</v>
      </c>
      <c r="BD481" s="319" t="s">
        <v>190</v>
      </c>
      <c r="BE481" s="319" t="s">
        <v>190</v>
      </c>
      <c r="BF481" s="319" t="s">
        <v>428</v>
      </c>
      <c r="BG481" s="319" t="s">
        <v>190</v>
      </c>
      <c r="BH481" s="319" t="s">
        <v>190</v>
      </c>
      <c r="BI481" s="319" t="s">
        <v>190</v>
      </c>
      <c r="BJ481" s="319" t="s">
        <v>190</v>
      </c>
      <c r="BK481" s="319" t="s">
        <v>190</v>
      </c>
      <c r="BL481" s="319" t="s">
        <v>190</v>
      </c>
      <c r="BM481" s="319" t="s">
        <v>190</v>
      </c>
      <c r="BN481" s="319" t="s">
        <v>190</v>
      </c>
      <c r="BO481" s="319" t="s">
        <v>190</v>
      </c>
      <c r="BP481" s="319" t="s">
        <v>190</v>
      </c>
      <c r="BQ481" s="319" t="s">
        <v>190</v>
      </c>
      <c r="BR481" s="319" t="s">
        <v>190</v>
      </c>
      <c r="BS481" s="319" t="s">
        <v>190</v>
      </c>
      <c r="BT481" s="319" t="s">
        <v>190</v>
      </c>
      <c r="BU481" s="319" t="s">
        <v>190</v>
      </c>
      <c r="BV481" s="319" t="s">
        <v>190</v>
      </c>
      <c r="BW481" s="319" t="s">
        <v>190</v>
      </c>
      <c r="BX481" s="319" t="s">
        <v>190</v>
      </c>
      <c r="BY481" s="319" t="s">
        <v>190</v>
      </c>
      <c r="BZ481" s="319" t="s">
        <v>190</v>
      </c>
      <c r="CA481" s="319" t="s">
        <v>190</v>
      </c>
      <c r="CB481" s="319" t="s">
        <v>190</v>
      </c>
      <c r="CC481" s="319" t="s">
        <v>190</v>
      </c>
      <c r="CD481" s="319" t="s">
        <v>190</v>
      </c>
      <c r="CE481" s="319" t="s">
        <v>190</v>
      </c>
      <c r="CF481" s="319" t="s">
        <v>190</v>
      </c>
      <c r="CG481" s="319" t="s">
        <v>190</v>
      </c>
      <c r="CH481" s="319" t="s">
        <v>190</v>
      </c>
      <c r="CI481" s="319" t="s">
        <v>190</v>
      </c>
      <c r="CJ481" s="319" t="s">
        <v>190</v>
      </c>
      <c r="CK481" s="319" t="s">
        <v>191</v>
      </c>
      <c r="CL481" s="319" t="s">
        <v>191</v>
      </c>
      <c r="CM481" s="319" t="s">
        <v>191</v>
      </c>
      <c r="CN481" s="319" t="s">
        <v>428</v>
      </c>
      <c r="CO481" s="319" t="s">
        <v>428</v>
      </c>
      <c r="CP481" s="319" t="s">
        <v>428</v>
      </c>
      <c r="CQ481" s="319" t="s">
        <v>190</v>
      </c>
      <c r="CR481" s="319" t="s">
        <v>190</v>
      </c>
      <c r="CS481" s="319" t="s">
        <v>190</v>
      </c>
      <c r="CT481" s="319" t="s">
        <v>190</v>
      </c>
      <c r="CU481" s="319" t="s">
        <v>190</v>
      </c>
      <c r="CV481" s="319" t="s">
        <v>190</v>
      </c>
      <c r="CW481" s="319" t="s">
        <v>191</v>
      </c>
      <c r="CX481" s="319" t="s">
        <v>190</v>
      </c>
      <c r="CY481" s="319" t="s">
        <v>190</v>
      </c>
      <c r="CZ481" s="319" t="s">
        <v>190</v>
      </c>
      <c r="DA481" s="319" t="s">
        <v>190</v>
      </c>
      <c r="DB481" s="319" t="s">
        <v>190</v>
      </c>
      <c r="DC481" s="319" t="s">
        <v>190</v>
      </c>
      <c r="DD481" s="319" t="s">
        <v>190</v>
      </c>
      <c r="DE481" s="319" t="s">
        <v>190</v>
      </c>
      <c r="DF481" s="319" t="s">
        <v>190</v>
      </c>
      <c r="DG481" s="319" t="s">
        <v>190</v>
      </c>
      <c r="DH481" s="319" t="s">
        <v>190</v>
      </c>
      <c r="DI481" s="319" t="s">
        <v>190</v>
      </c>
      <c r="DJ481" s="319" t="s">
        <v>190</v>
      </c>
      <c r="DK481" s="319" t="s">
        <v>190</v>
      </c>
      <c r="DL481" s="319" t="s">
        <v>190</v>
      </c>
      <c r="DM481" s="319" t="s">
        <v>190</v>
      </c>
      <c r="DN481" s="319" t="s">
        <v>428</v>
      </c>
      <c r="DO481" s="319" t="s">
        <v>190</v>
      </c>
      <c r="DP481" s="319" t="s">
        <v>190</v>
      </c>
      <c r="DQ481" s="319" t="s">
        <v>190</v>
      </c>
      <c r="DR481" s="319" t="s">
        <v>190</v>
      </c>
      <c r="DS481" s="319" t="s">
        <v>190</v>
      </c>
      <c r="DT481" s="319" t="s">
        <v>190</v>
      </c>
      <c r="DU481" s="319" t="s">
        <v>190</v>
      </c>
      <c r="DV481" s="319" t="s">
        <v>173</v>
      </c>
      <c r="DW481" s="319" t="s">
        <v>190</v>
      </c>
      <c r="DX481" s="319" t="s">
        <v>190</v>
      </c>
      <c r="DY481" s="319" t="s">
        <v>190</v>
      </c>
      <c r="DZ481" s="319" t="s">
        <v>190</v>
      </c>
      <c r="EA481" s="319" t="s">
        <v>190</v>
      </c>
      <c r="EB481" s="319" t="s">
        <v>190</v>
      </c>
      <c r="EC481" s="319" t="s">
        <v>428</v>
      </c>
      <c r="ED481" s="319" t="s">
        <v>190</v>
      </c>
      <c r="EE481" s="319" t="s">
        <v>190</v>
      </c>
      <c r="EF481" s="319" t="s">
        <v>190</v>
      </c>
      <c r="EG481" s="319" t="s">
        <v>190</v>
      </c>
      <c r="EH481" s="319" t="s">
        <v>190</v>
      </c>
      <c r="EI481" s="319" t="s">
        <v>190</v>
      </c>
      <c r="EJ481" s="319" t="s">
        <v>190</v>
      </c>
      <c r="EK481" s="319" t="s">
        <v>190</v>
      </c>
      <c r="EL481" s="319" t="s">
        <v>190</v>
      </c>
      <c r="EM481" s="319" t="s">
        <v>190</v>
      </c>
      <c r="EN481" s="319" t="s">
        <v>190</v>
      </c>
      <c r="EO481" s="319" t="s">
        <v>190</v>
      </c>
      <c r="EP481" s="319" t="s">
        <v>190</v>
      </c>
      <c r="EQ481" s="319" t="s">
        <v>190</v>
      </c>
      <c r="ER481" s="319" t="s">
        <v>190</v>
      </c>
      <c r="ES481" s="319" t="s">
        <v>190</v>
      </c>
      <c r="ET481" s="319" t="s">
        <v>190</v>
      </c>
      <c r="EU481" s="319" t="s">
        <v>190</v>
      </c>
      <c r="EV481" s="319" t="s">
        <v>190</v>
      </c>
      <c r="EW481" s="319" t="s">
        <v>190</v>
      </c>
      <c r="EX481" s="319" t="s">
        <v>190</v>
      </c>
      <c r="EY481" s="319" t="s">
        <v>190</v>
      </c>
      <c r="EZ481" s="319" t="s">
        <v>190</v>
      </c>
      <c r="FA481" s="319" t="s">
        <v>190</v>
      </c>
      <c r="FB481" s="319" t="s">
        <v>190</v>
      </c>
      <c r="FC481" s="319" t="s">
        <v>190</v>
      </c>
      <c r="FD481" s="319" t="s">
        <v>190</v>
      </c>
      <c r="FE481" s="319" t="s">
        <v>190</v>
      </c>
      <c r="FF481" s="319" t="s">
        <v>190</v>
      </c>
      <c r="FG481" s="319" t="s">
        <v>190</v>
      </c>
      <c r="FH481" s="319" t="s">
        <v>190</v>
      </c>
      <c r="FI481" s="319" t="s">
        <v>190</v>
      </c>
      <c r="FJ481" s="319" t="s">
        <v>190</v>
      </c>
      <c r="FK481" s="319" t="s">
        <v>190</v>
      </c>
      <c r="FL481" s="319" t="s">
        <v>190</v>
      </c>
      <c r="FM481" s="319" t="s">
        <v>190</v>
      </c>
      <c r="FN481" s="319" t="s">
        <v>190</v>
      </c>
      <c r="FO481" s="319" t="s">
        <v>190</v>
      </c>
      <c r="FP481" s="319" t="s">
        <v>191</v>
      </c>
      <c r="FQ481" s="319" t="s">
        <v>191</v>
      </c>
      <c r="FR481" s="319" t="s">
        <v>191</v>
      </c>
      <c r="FS481" s="319" t="s">
        <v>428</v>
      </c>
      <c r="FT481" s="319" t="s">
        <v>191</v>
      </c>
      <c r="FU481" s="319" t="s">
        <v>191</v>
      </c>
      <c r="FV481" s="319" t="s">
        <v>190</v>
      </c>
      <c r="FW481" s="319" t="s">
        <v>190</v>
      </c>
      <c r="FX481" s="319" t="s">
        <v>190</v>
      </c>
      <c r="FY481" s="319" t="s">
        <v>190</v>
      </c>
      <c r="FZ481" s="319" t="s">
        <v>190</v>
      </c>
      <c r="GA481" s="319" t="s">
        <v>190</v>
      </c>
      <c r="GB481" s="319" t="s">
        <v>190</v>
      </c>
      <c r="GC481" s="319" t="s">
        <v>190</v>
      </c>
      <c r="GD481" s="319" t="s">
        <v>190</v>
      </c>
      <c r="GE481" s="319" t="s">
        <v>190</v>
      </c>
      <c r="GF481" s="319" t="s">
        <v>190</v>
      </c>
      <c r="GG481" s="319" t="s">
        <v>190</v>
      </c>
      <c r="GH481" s="319" t="s">
        <v>190</v>
      </c>
      <c r="GI481" s="319" t="s">
        <v>190</v>
      </c>
      <c r="GJ481" s="319" t="s">
        <v>190</v>
      </c>
      <c r="GK481" s="319" t="s">
        <v>428</v>
      </c>
      <c r="GL481" s="319" t="s">
        <v>190</v>
      </c>
      <c r="GM481" s="319" t="s">
        <v>190</v>
      </c>
      <c r="GN481" s="319" t="s">
        <v>190</v>
      </c>
      <c r="GO481" s="319" t="s">
        <v>190</v>
      </c>
      <c r="GP481" s="319" t="s">
        <v>190</v>
      </c>
      <c r="GQ481" s="319" t="s">
        <v>190</v>
      </c>
      <c r="GR481" s="319" t="s">
        <v>190</v>
      </c>
      <c r="GS481" s="319" t="s">
        <v>190</v>
      </c>
      <c r="GT481" s="319" t="s">
        <v>190</v>
      </c>
      <c r="GU481" s="319" t="s">
        <v>190</v>
      </c>
      <c r="GV481" s="319" t="s">
        <v>190</v>
      </c>
      <c r="GW481" s="319" t="s">
        <v>190</v>
      </c>
      <c r="GX481" s="319" t="s">
        <v>190</v>
      </c>
      <c r="GY481" s="319" t="s">
        <v>190</v>
      </c>
      <c r="GZ481" s="319" t="s">
        <v>190</v>
      </c>
      <c r="HA481" s="319" t="s">
        <v>190</v>
      </c>
      <c r="HB481" s="319" t="s">
        <v>190</v>
      </c>
      <c r="HC481" s="319" t="s">
        <v>190</v>
      </c>
      <c r="HD481" s="319" t="s">
        <v>190</v>
      </c>
      <c r="HE481" s="319" t="s">
        <v>190</v>
      </c>
      <c r="HF481" s="319" t="s">
        <v>190</v>
      </c>
      <c r="HG481" s="319" t="s">
        <v>190</v>
      </c>
      <c r="HH481" s="319" t="s">
        <v>190</v>
      </c>
      <c r="HI481" s="319" t="s">
        <v>190</v>
      </c>
      <c r="HJ481" s="319" t="s">
        <v>190</v>
      </c>
      <c r="HK481" s="319" t="s">
        <v>190</v>
      </c>
      <c r="HL481" s="319" t="s">
        <v>190</v>
      </c>
      <c r="HM481" s="319" t="s">
        <v>190</v>
      </c>
      <c r="HN481" s="319" t="s">
        <v>190</v>
      </c>
      <c r="HO481" s="319" t="s">
        <v>190</v>
      </c>
      <c r="HP481" s="319" t="s">
        <v>190</v>
      </c>
      <c r="HQ481" s="319" t="s">
        <v>190</v>
      </c>
      <c r="HR481" s="319" t="s">
        <v>190</v>
      </c>
      <c r="HS481" s="319" t="s">
        <v>190</v>
      </c>
      <c r="HT481" s="319" t="s">
        <v>190</v>
      </c>
      <c r="HU481" s="319" t="s">
        <v>190</v>
      </c>
      <c r="HV481" s="319" t="s">
        <v>190</v>
      </c>
      <c r="HW481" s="319" t="s">
        <v>190</v>
      </c>
      <c r="HX481" s="319" t="s">
        <v>190</v>
      </c>
      <c r="HY481" s="319" t="s">
        <v>190</v>
      </c>
      <c r="HZ481" s="319" t="s">
        <v>190</v>
      </c>
      <c r="IA481" s="319" t="s">
        <v>190</v>
      </c>
      <c r="IB481" s="319" t="s">
        <v>190</v>
      </c>
      <c r="IC481" s="319" t="s">
        <v>190</v>
      </c>
      <c r="ID481" s="319" t="s">
        <v>190</v>
      </c>
      <c r="IE481" s="319" t="s">
        <v>190</v>
      </c>
      <c r="IF481" s="319" t="s">
        <v>191</v>
      </c>
      <c r="IG481" s="319" t="s">
        <v>191</v>
      </c>
      <c r="IH481" s="319" t="s">
        <v>191</v>
      </c>
      <c r="II481" s="319" t="s">
        <v>191</v>
      </c>
      <c r="IJ481" s="319" t="s">
        <v>3248</v>
      </c>
      <c r="IK481" s="321">
        <v>42045</v>
      </c>
      <c r="IL481" s="321">
        <v>42047</v>
      </c>
      <c r="IM481" s="321">
        <v>42080</v>
      </c>
      <c r="IN481" s="319">
        <v>2</v>
      </c>
      <c r="IO481" s="319">
        <v>10105054</v>
      </c>
      <c r="IP481" s="319" t="s">
        <v>985</v>
      </c>
      <c r="IQ481" s="321">
        <v>43760</v>
      </c>
      <c r="IR481" s="320" t="s">
        <v>2771</v>
      </c>
      <c r="IS481" s="322">
        <v>43786</v>
      </c>
      <c r="IT481" s="319" t="s">
        <v>165</v>
      </c>
    </row>
    <row r="482" spans="1:254" s="271" customFormat="1" x14ac:dyDescent="0.25">
      <c r="A482" s="318" t="str">
        <f>HYPERLINK("http://www.ofsted.gov.uk/inspection-reports/find-inspection-report/provider/ELS/135001 ","Ofsted School Webpage")</f>
        <v>Ofsted School Webpage</v>
      </c>
      <c r="B482" s="319">
        <v>135001</v>
      </c>
      <c r="C482" s="319">
        <v>3926011</v>
      </c>
      <c r="D482" s="319" t="s">
        <v>1868</v>
      </c>
      <c r="E482" s="319" t="s">
        <v>168</v>
      </c>
      <c r="F482" s="319" t="s">
        <v>81</v>
      </c>
      <c r="G482" s="319" t="s">
        <v>81</v>
      </c>
      <c r="H482" s="319" t="s">
        <v>81</v>
      </c>
      <c r="I482" s="319" t="s">
        <v>78</v>
      </c>
      <c r="J482" s="319" t="s">
        <v>424</v>
      </c>
      <c r="K482" s="319" t="s">
        <v>458</v>
      </c>
      <c r="L482" s="319" t="s">
        <v>474</v>
      </c>
      <c r="M482" s="319" t="s">
        <v>564</v>
      </c>
      <c r="N482" s="319" t="s">
        <v>3249</v>
      </c>
      <c r="O482" s="319" t="s">
        <v>1869</v>
      </c>
      <c r="P482" s="319">
        <v>33</v>
      </c>
      <c r="Q482" s="319" t="s">
        <v>429</v>
      </c>
      <c r="R482" s="320">
        <v>10046964</v>
      </c>
      <c r="S482" s="321">
        <v>43277</v>
      </c>
      <c r="T482" s="321">
        <v>43279</v>
      </c>
      <c r="U482" s="321">
        <v>43304</v>
      </c>
      <c r="V482" s="319" t="s">
        <v>425</v>
      </c>
      <c r="W482" s="319" t="s">
        <v>2767</v>
      </c>
      <c r="X482" s="319">
        <v>3</v>
      </c>
      <c r="Y482" s="319" t="s">
        <v>173</v>
      </c>
      <c r="Z482" s="319" t="s">
        <v>173</v>
      </c>
      <c r="AA482" s="319" t="s">
        <v>173</v>
      </c>
      <c r="AB482" s="319">
        <v>3</v>
      </c>
      <c r="AC482" s="319" t="s">
        <v>169</v>
      </c>
      <c r="AD482" s="319" t="s">
        <v>173</v>
      </c>
      <c r="AE482" s="319" t="s">
        <v>173</v>
      </c>
      <c r="AF482" s="319" t="s">
        <v>427</v>
      </c>
      <c r="AG482" s="319" t="s">
        <v>172</v>
      </c>
      <c r="AH482" s="319" t="s">
        <v>190</v>
      </c>
      <c r="AI482" s="319" t="s">
        <v>190</v>
      </c>
      <c r="AJ482" s="319" t="s">
        <v>479</v>
      </c>
      <c r="AK482" s="319" t="s">
        <v>190</v>
      </c>
      <c r="AL482" s="319" t="s">
        <v>190</v>
      </c>
      <c r="AM482" s="319" t="s">
        <v>190</v>
      </c>
      <c r="AN482" s="319" t="s">
        <v>190</v>
      </c>
      <c r="AO482" s="319" t="s">
        <v>479</v>
      </c>
      <c r="AP482" s="319" t="s">
        <v>190</v>
      </c>
      <c r="AQ482" s="319" t="s">
        <v>190</v>
      </c>
      <c r="AR482" s="319" t="s">
        <v>190</v>
      </c>
      <c r="AS482" s="319" t="s">
        <v>190</v>
      </c>
      <c r="AT482" s="319" t="s">
        <v>190</v>
      </c>
      <c r="AU482" s="319" t="s">
        <v>190</v>
      </c>
      <c r="AV482" s="319" t="s">
        <v>190</v>
      </c>
      <c r="AW482" s="319" t="s">
        <v>190</v>
      </c>
      <c r="AX482" s="319" t="s">
        <v>428</v>
      </c>
      <c r="AY482" s="319" t="s">
        <v>190</v>
      </c>
      <c r="AZ482" s="319" t="s">
        <v>190</v>
      </c>
      <c r="BA482" s="319" t="s">
        <v>190</v>
      </c>
      <c r="BB482" s="319" t="s">
        <v>190</v>
      </c>
      <c r="BC482" s="319" t="s">
        <v>190</v>
      </c>
      <c r="BD482" s="319" t="s">
        <v>190</v>
      </c>
      <c r="BE482" s="319" t="s">
        <v>190</v>
      </c>
      <c r="BF482" s="319" t="s">
        <v>428</v>
      </c>
      <c r="BG482" s="319" t="s">
        <v>190</v>
      </c>
      <c r="BH482" s="319" t="s">
        <v>190</v>
      </c>
      <c r="BI482" s="319" t="s">
        <v>190</v>
      </c>
      <c r="BJ482" s="319" t="s">
        <v>190</v>
      </c>
      <c r="BK482" s="319" t="s">
        <v>190</v>
      </c>
      <c r="BL482" s="319" t="s">
        <v>190</v>
      </c>
      <c r="BM482" s="319" t="s">
        <v>190</v>
      </c>
      <c r="BN482" s="319" t="s">
        <v>190</v>
      </c>
      <c r="BO482" s="319" t="s">
        <v>190</v>
      </c>
      <c r="BP482" s="319" t="s">
        <v>190</v>
      </c>
      <c r="BQ482" s="319" t="s">
        <v>190</v>
      </c>
      <c r="BR482" s="319" t="s">
        <v>190</v>
      </c>
      <c r="BS482" s="319" t="s">
        <v>190</v>
      </c>
      <c r="BT482" s="319" t="s">
        <v>190</v>
      </c>
      <c r="BU482" s="319" t="s">
        <v>190</v>
      </c>
      <c r="BV482" s="319" t="s">
        <v>190</v>
      </c>
      <c r="BW482" s="319" t="s">
        <v>190</v>
      </c>
      <c r="BX482" s="319" t="s">
        <v>190</v>
      </c>
      <c r="BY482" s="319" t="s">
        <v>190</v>
      </c>
      <c r="BZ482" s="319" t="s">
        <v>190</v>
      </c>
      <c r="CA482" s="319" t="s">
        <v>190</v>
      </c>
      <c r="CB482" s="319" t="s">
        <v>190</v>
      </c>
      <c r="CC482" s="319" t="s">
        <v>190</v>
      </c>
      <c r="CD482" s="319" t="s">
        <v>190</v>
      </c>
      <c r="CE482" s="319" t="s">
        <v>190</v>
      </c>
      <c r="CF482" s="319" t="s">
        <v>190</v>
      </c>
      <c r="CG482" s="319" t="s">
        <v>190</v>
      </c>
      <c r="CH482" s="319" t="s">
        <v>190</v>
      </c>
      <c r="CI482" s="319" t="s">
        <v>190</v>
      </c>
      <c r="CJ482" s="319" t="s">
        <v>190</v>
      </c>
      <c r="CK482" s="319" t="s">
        <v>190</v>
      </c>
      <c r="CL482" s="319" t="s">
        <v>190</v>
      </c>
      <c r="CM482" s="319" t="s">
        <v>190</v>
      </c>
      <c r="CN482" s="319" t="s">
        <v>428</v>
      </c>
      <c r="CO482" s="319" t="s">
        <v>428</v>
      </c>
      <c r="CP482" s="319" t="s">
        <v>428</v>
      </c>
      <c r="CQ482" s="319" t="s">
        <v>190</v>
      </c>
      <c r="CR482" s="319" t="s">
        <v>190</v>
      </c>
      <c r="CS482" s="319" t="s">
        <v>190</v>
      </c>
      <c r="CT482" s="319" t="s">
        <v>190</v>
      </c>
      <c r="CU482" s="319" t="s">
        <v>190</v>
      </c>
      <c r="CV482" s="319" t="s">
        <v>190</v>
      </c>
      <c r="CW482" s="319" t="s">
        <v>190</v>
      </c>
      <c r="CX482" s="319" t="s">
        <v>190</v>
      </c>
      <c r="CY482" s="319" t="s">
        <v>190</v>
      </c>
      <c r="CZ482" s="319" t="s">
        <v>191</v>
      </c>
      <c r="DA482" s="319" t="s">
        <v>190</v>
      </c>
      <c r="DB482" s="319" t="s">
        <v>190</v>
      </c>
      <c r="DC482" s="319" t="s">
        <v>190</v>
      </c>
      <c r="DD482" s="319" t="s">
        <v>190</v>
      </c>
      <c r="DE482" s="319" t="s">
        <v>190</v>
      </c>
      <c r="DF482" s="319" t="s">
        <v>190</v>
      </c>
      <c r="DG482" s="319" t="s">
        <v>190</v>
      </c>
      <c r="DH482" s="319" t="s">
        <v>190</v>
      </c>
      <c r="DI482" s="319" t="s">
        <v>190</v>
      </c>
      <c r="DJ482" s="319" t="s">
        <v>190</v>
      </c>
      <c r="DK482" s="319" t="s">
        <v>190</v>
      </c>
      <c r="DL482" s="319" t="s">
        <v>190</v>
      </c>
      <c r="DM482" s="319" t="s">
        <v>190</v>
      </c>
      <c r="DN482" s="319" t="s">
        <v>428</v>
      </c>
      <c r="DO482" s="319" t="s">
        <v>190</v>
      </c>
      <c r="DP482" s="319" t="s">
        <v>428</v>
      </c>
      <c r="DQ482" s="319" t="s">
        <v>428</v>
      </c>
      <c r="DR482" s="319" t="s">
        <v>428</v>
      </c>
      <c r="DS482" s="319" t="s">
        <v>428</v>
      </c>
      <c r="DT482" s="319" t="s">
        <v>428</v>
      </c>
      <c r="DU482" s="319" t="s">
        <v>428</v>
      </c>
      <c r="DV482" s="319" t="s">
        <v>173</v>
      </c>
      <c r="DW482" s="319" t="s">
        <v>428</v>
      </c>
      <c r="DX482" s="319" t="s">
        <v>428</v>
      </c>
      <c r="DY482" s="319" t="s">
        <v>428</v>
      </c>
      <c r="DZ482" s="319" t="s">
        <v>428</v>
      </c>
      <c r="EA482" s="319" t="s">
        <v>428</v>
      </c>
      <c r="EB482" s="319" t="s">
        <v>428</v>
      </c>
      <c r="EC482" s="319" t="s">
        <v>428</v>
      </c>
      <c r="ED482" s="319" t="s">
        <v>190</v>
      </c>
      <c r="EE482" s="319" t="s">
        <v>190</v>
      </c>
      <c r="EF482" s="319" t="s">
        <v>190</v>
      </c>
      <c r="EG482" s="319" t="s">
        <v>190</v>
      </c>
      <c r="EH482" s="319" t="s">
        <v>190</v>
      </c>
      <c r="EI482" s="319" t="s">
        <v>190</v>
      </c>
      <c r="EJ482" s="319" t="s">
        <v>190</v>
      </c>
      <c r="EK482" s="319" t="s">
        <v>190</v>
      </c>
      <c r="EL482" s="319" t="s">
        <v>190</v>
      </c>
      <c r="EM482" s="319" t="s">
        <v>190</v>
      </c>
      <c r="EN482" s="319" t="s">
        <v>190</v>
      </c>
      <c r="EO482" s="319" t="s">
        <v>190</v>
      </c>
      <c r="EP482" s="319" t="s">
        <v>190</v>
      </c>
      <c r="EQ482" s="319" t="s">
        <v>190</v>
      </c>
      <c r="ER482" s="319" t="s">
        <v>190</v>
      </c>
      <c r="ES482" s="319" t="s">
        <v>190</v>
      </c>
      <c r="ET482" s="319" t="s">
        <v>190</v>
      </c>
      <c r="EU482" s="319" t="s">
        <v>190</v>
      </c>
      <c r="EV482" s="319" t="s">
        <v>190</v>
      </c>
      <c r="EW482" s="319" t="s">
        <v>190</v>
      </c>
      <c r="EX482" s="319" t="s">
        <v>190</v>
      </c>
      <c r="EY482" s="319" t="s">
        <v>190</v>
      </c>
      <c r="EZ482" s="319" t="s">
        <v>190</v>
      </c>
      <c r="FA482" s="319" t="s">
        <v>190</v>
      </c>
      <c r="FB482" s="319" t="s">
        <v>428</v>
      </c>
      <c r="FC482" s="319" t="s">
        <v>428</v>
      </c>
      <c r="FD482" s="319" t="s">
        <v>428</v>
      </c>
      <c r="FE482" s="319" t="s">
        <v>428</v>
      </c>
      <c r="FF482" s="319" t="s">
        <v>428</v>
      </c>
      <c r="FG482" s="319" t="s">
        <v>428</v>
      </c>
      <c r="FH482" s="319" t="s">
        <v>190</v>
      </c>
      <c r="FI482" s="319" t="s">
        <v>190</v>
      </c>
      <c r="FJ482" s="319" t="s">
        <v>190</v>
      </c>
      <c r="FK482" s="319" t="s">
        <v>190</v>
      </c>
      <c r="FL482" s="319" t="s">
        <v>190</v>
      </c>
      <c r="FM482" s="319" t="s">
        <v>190</v>
      </c>
      <c r="FN482" s="319" t="s">
        <v>190</v>
      </c>
      <c r="FO482" s="319" t="s">
        <v>190</v>
      </c>
      <c r="FP482" s="319" t="s">
        <v>190</v>
      </c>
      <c r="FQ482" s="319" t="s">
        <v>190</v>
      </c>
      <c r="FR482" s="319" t="s">
        <v>190</v>
      </c>
      <c r="FS482" s="319" t="s">
        <v>428</v>
      </c>
      <c r="FT482" s="319" t="s">
        <v>190</v>
      </c>
      <c r="FU482" s="319" t="s">
        <v>190</v>
      </c>
      <c r="FV482" s="319" t="s">
        <v>190</v>
      </c>
      <c r="FW482" s="319" t="s">
        <v>190</v>
      </c>
      <c r="FX482" s="319" t="s">
        <v>190</v>
      </c>
      <c r="FY482" s="319" t="s">
        <v>190</v>
      </c>
      <c r="FZ482" s="319" t="s">
        <v>190</v>
      </c>
      <c r="GA482" s="319" t="s">
        <v>190</v>
      </c>
      <c r="GB482" s="319" t="s">
        <v>190</v>
      </c>
      <c r="GC482" s="319" t="s">
        <v>190</v>
      </c>
      <c r="GD482" s="319" t="s">
        <v>190</v>
      </c>
      <c r="GE482" s="319" t="s">
        <v>190</v>
      </c>
      <c r="GF482" s="319" t="s">
        <v>190</v>
      </c>
      <c r="GG482" s="319" t="s">
        <v>190</v>
      </c>
      <c r="GH482" s="319" t="s">
        <v>190</v>
      </c>
      <c r="GI482" s="319" t="s">
        <v>190</v>
      </c>
      <c r="GJ482" s="319" t="s">
        <v>190</v>
      </c>
      <c r="GK482" s="319" t="s">
        <v>428</v>
      </c>
      <c r="GL482" s="319" t="s">
        <v>190</v>
      </c>
      <c r="GM482" s="319" t="s">
        <v>190</v>
      </c>
      <c r="GN482" s="319" t="s">
        <v>190</v>
      </c>
      <c r="GO482" s="319" t="s">
        <v>190</v>
      </c>
      <c r="GP482" s="319" t="s">
        <v>190</v>
      </c>
      <c r="GQ482" s="319" t="s">
        <v>428</v>
      </c>
      <c r="GR482" s="319" t="s">
        <v>190</v>
      </c>
      <c r="GS482" s="319" t="s">
        <v>190</v>
      </c>
      <c r="GT482" s="319" t="s">
        <v>190</v>
      </c>
      <c r="GU482" s="319" t="s">
        <v>190</v>
      </c>
      <c r="GV482" s="319" t="s">
        <v>190</v>
      </c>
      <c r="GW482" s="319" t="s">
        <v>190</v>
      </c>
      <c r="GX482" s="319" t="s">
        <v>190</v>
      </c>
      <c r="GY482" s="319" t="s">
        <v>190</v>
      </c>
      <c r="GZ482" s="319" t="s">
        <v>190</v>
      </c>
      <c r="HA482" s="319" t="s">
        <v>428</v>
      </c>
      <c r="HB482" s="319" t="s">
        <v>190</v>
      </c>
      <c r="HC482" s="319" t="s">
        <v>190</v>
      </c>
      <c r="HD482" s="319" t="s">
        <v>190</v>
      </c>
      <c r="HE482" s="319" t="s">
        <v>190</v>
      </c>
      <c r="HF482" s="319" t="s">
        <v>190</v>
      </c>
      <c r="HG482" s="319" t="s">
        <v>190</v>
      </c>
      <c r="HH482" s="319" t="s">
        <v>190</v>
      </c>
      <c r="HI482" s="319" t="s">
        <v>190</v>
      </c>
      <c r="HJ482" s="319" t="s">
        <v>190</v>
      </c>
      <c r="HK482" s="319" t="s">
        <v>190</v>
      </c>
      <c r="HL482" s="319" t="s">
        <v>428</v>
      </c>
      <c r="HM482" s="319" t="s">
        <v>428</v>
      </c>
      <c r="HN482" s="319" t="s">
        <v>428</v>
      </c>
      <c r="HO482" s="319" t="s">
        <v>428</v>
      </c>
      <c r="HP482" s="319" t="s">
        <v>190</v>
      </c>
      <c r="HQ482" s="319" t="s">
        <v>190</v>
      </c>
      <c r="HR482" s="319" t="s">
        <v>190</v>
      </c>
      <c r="HS482" s="319" t="s">
        <v>190</v>
      </c>
      <c r="HT482" s="319" t="s">
        <v>190</v>
      </c>
      <c r="HU482" s="319" t="s">
        <v>190</v>
      </c>
      <c r="HV482" s="319" t="s">
        <v>190</v>
      </c>
      <c r="HW482" s="319" t="s">
        <v>190</v>
      </c>
      <c r="HX482" s="319" t="s">
        <v>190</v>
      </c>
      <c r="HY482" s="319" t="s">
        <v>190</v>
      </c>
      <c r="HZ482" s="319" t="s">
        <v>190</v>
      </c>
      <c r="IA482" s="319" t="s">
        <v>190</v>
      </c>
      <c r="IB482" s="319" t="s">
        <v>190</v>
      </c>
      <c r="IC482" s="319" t="s">
        <v>190</v>
      </c>
      <c r="ID482" s="319" t="s">
        <v>190</v>
      </c>
      <c r="IE482" s="319" t="s">
        <v>190</v>
      </c>
      <c r="IF482" s="319" t="s">
        <v>191</v>
      </c>
      <c r="IG482" s="319" t="s">
        <v>191</v>
      </c>
      <c r="IH482" s="319" t="s">
        <v>191</v>
      </c>
      <c r="II482" s="319" t="s">
        <v>190</v>
      </c>
      <c r="IJ482" s="319" t="s">
        <v>3250</v>
      </c>
      <c r="IK482" s="321">
        <v>42122</v>
      </c>
      <c r="IL482" s="321">
        <v>42124</v>
      </c>
      <c r="IM482" s="321">
        <v>42151</v>
      </c>
      <c r="IN482" s="319">
        <v>2</v>
      </c>
      <c r="IO482" s="319">
        <v>10118834</v>
      </c>
      <c r="IP482" s="319" t="s">
        <v>985</v>
      </c>
      <c r="IQ482" s="321">
        <v>43740</v>
      </c>
      <c r="IR482" s="320" t="s">
        <v>2771</v>
      </c>
      <c r="IS482" s="322">
        <v>43760</v>
      </c>
      <c r="IT482" s="319" t="s">
        <v>165</v>
      </c>
    </row>
    <row r="483" spans="1:254" s="271" customFormat="1" x14ac:dyDescent="0.25">
      <c r="A483" s="318" t="str">
        <f>HYPERLINK("http://www.ofsted.gov.uk/inspection-reports/find-inspection-report/provider/ELS/135018 ","Ofsted School Webpage")</f>
        <v>Ofsted School Webpage</v>
      </c>
      <c r="B483" s="319">
        <v>135018</v>
      </c>
      <c r="C483" s="319">
        <v>8866103</v>
      </c>
      <c r="D483" s="319" t="s">
        <v>1870</v>
      </c>
      <c r="E483" s="319" t="s">
        <v>168</v>
      </c>
      <c r="F483" s="319" t="s">
        <v>81</v>
      </c>
      <c r="G483" s="319" t="s">
        <v>59</v>
      </c>
      <c r="H483" s="319" t="s">
        <v>59</v>
      </c>
      <c r="I483" s="319" t="s">
        <v>59</v>
      </c>
      <c r="J483" s="319" t="s">
        <v>424</v>
      </c>
      <c r="K483" s="319" t="s">
        <v>514</v>
      </c>
      <c r="L483" s="319" t="s">
        <v>514</v>
      </c>
      <c r="M483" s="319" t="s">
        <v>614</v>
      </c>
      <c r="N483" s="319" t="s">
        <v>3077</v>
      </c>
      <c r="O483" s="319" t="s">
        <v>1871</v>
      </c>
      <c r="P483" s="319">
        <v>34</v>
      </c>
      <c r="Q483" s="319" t="s">
        <v>429</v>
      </c>
      <c r="R483" s="320">
        <v>10008607</v>
      </c>
      <c r="S483" s="321">
        <v>43046</v>
      </c>
      <c r="T483" s="321">
        <v>43048</v>
      </c>
      <c r="U483" s="321">
        <v>43073</v>
      </c>
      <c r="V483" s="319" t="s">
        <v>425</v>
      </c>
      <c r="W483" s="319" t="s">
        <v>2767</v>
      </c>
      <c r="X483" s="319">
        <v>2</v>
      </c>
      <c r="Y483" s="319" t="s">
        <v>173</v>
      </c>
      <c r="Z483" s="319" t="s">
        <v>173</v>
      </c>
      <c r="AA483" s="319" t="s">
        <v>173</v>
      </c>
      <c r="AB483" s="319">
        <v>2</v>
      </c>
      <c r="AC483" s="319" t="s">
        <v>169</v>
      </c>
      <c r="AD483" s="319" t="s">
        <v>173</v>
      </c>
      <c r="AE483" s="319" t="s">
        <v>173</v>
      </c>
      <c r="AF483" s="319" t="s">
        <v>173</v>
      </c>
      <c r="AG483" s="319" t="s">
        <v>171</v>
      </c>
      <c r="AH483" s="319" t="s">
        <v>190</v>
      </c>
      <c r="AI483" s="319" t="s">
        <v>190</v>
      </c>
      <c r="AJ483" s="319" t="s">
        <v>190</v>
      </c>
      <c r="AK483" s="319" t="s">
        <v>190</v>
      </c>
      <c r="AL483" s="319" t="s">
        <v>190</v>
      </c>
      <c r="AM483" s="319" t="s">
        <v>190</v>
      </c>
      <c r="AN483" s="319" t="s">
        <v>190</v>
      </c>
      <c r="AO483" s="319" t="s">
        <v>190</v>
      </c>
      <c r="AP483" s="319" t="s">
        <v>190</v>
      </c>
      <c r="AQ483" s="319" t="s">
        <v>190</v>
      </c>
      <c r="AR483" s="319" t="s">
        <v>190</v>
      </c>
      <c r="AS483" s="319" t="s">
        <v>190</v>
      </c>
      <c r="AT483" s="319" t="s">
        <v>190</v>
      </c>
      <c r="AU483" s="319" t="s">
        <v>190</v>
      </c>
      <c r="AV483" s="319" t="s">
        <v>190</v>
      </c>
      <c r="AW483" s="319" t="s">
        <v>190</v>
      </c>
      <c r="AX483" s="319" t="s">
        <v>429</v>
      </c>
      <c r="AY483" s="319" t="s">
        <v>190</v>
      </c>
      <c r="AZ483" s="319" t="s">
        <v>190</v>
      </c>
      <c r="BA483" s="319" t="s">
        <v>190</v>
      </c>
      <c r="BB483" s="319" t="s">
        <v>190</v>
      </c>
      <c r="BC483" s="319" t="s">
        <v>190</v>
      </c>
      <c r="BD483" s="319" t="s">
        <v>190</v>
      </c>
      <c r="BE483" s="319" t="s">
        <v>190</v>
      </c>
      <c r="BF483" s="319" t="s">
        <v>429</v>
      </c>
      <c r="BG483" s="319" t="s">
        <v>429</v>
      </c>
      <c r="BH483" s="319" t="s">
        <v>190</v>
      </c>
      <c r="BI483" s="319" t="s">
        <v>190</v>
      </c>
      <c r="BJ483" s="319" t="s">
        <v>190</v>
      </c>
      <c r="BK483" s="319" t="s">
        <v>190</v>
      </c>
      <c r="BL483" s="319" t="s">
        <v>190</v>
      </c>
      <c r="BM483" s="319" t="s">
        <v>190</v>
      </c>
      <c r="BN483" s="319" t="s">
        <v>190</v>
      </c>
      <c r="BO483" s="319" t="s">
        <v>190</v>
      </c>
      <c r="BP483" s="319" t="s">
        <v>190</v>
      </c>
      <c r="BQ483" s="319" t="s">
        <v>190</v>
      </c>
      <c r="BR483" s="319" t="s">
        <v>190</v>
      </c>
      <c r="BS483" s="319" t="s">
        <v>190</v>
      </c>
      <c r="BT483" s="319" t="s">
        <v>190</v>
      </c>
      <c r="BU483" s="319" t="s">
        <v>190</v>
      </c>
      <c r="BV483" s="319" t="s">
        <v>190</v>
      </c>
      <c r="BW483" s="319" t="s">
        <v>190</v>
      </c>
      <c r="BX483" s="319" t="s">
        <v>190</v>
      </c>
      <c r="BY483" s="319" t="s">
        <v>190</v>
      </c>
      <c r="BZ483" s="319" t="s">
        <v>190</v>
      </c>
      <c r="CA483" s="319" t="s">
        <v>190</v>
      </c>
      <c r="CB483" s="319" t="s">
        <v>190</v>
      </c>
      <c r="CC483" s="319" t="s">
        <v>190</v>
      </c>
      <c r="CD483" s="319" t="s">
        <v>190</v>
      </c>
      <c r="CE483" s="319" t="s">
        <v>190</v>
      </c>
      <c r="CF483" s="319" t="s">
        <v>190</v>
      </c>
      <c r="CG483" s="319" t="s">
        <v>190</v>
      </c>
      <c r="CH483" s="319" t="s">
        <v>190</v>
      </c>
      <c r="CI483" s="319" t="s">
        <v>190</v>
      </c>
      <c r="CJ483" s="319" t="s">
        <v>190</v>
      </c>
      <c r="CK483" s="319" t="s">
        <v>190</v>
      </c>
      <c r="CL483" s="319" t="s">
        <v>190</v>
      </c>
      <c r="CM483" s="319" t="s">
        <v>190</v>
      </c>
      <c r="CN483" s="319" t="s">
        <v>190</v>
      </c>
      <c r="CO483" s="319" t="s">
        <v>190</v>
      </c>
      <c r="CP483" s="319" t="s">
        <v>429</v>
      </c>
      <c r="CQ483" s="319" t="s">
        <v>190</v>
      </c>
      <c r="CR483" s="319" t="s">
        <v>190</v>
      </c>
      <c r="CS483" s="319" t="s">
        <v>190</v>
      </c>
      <c r="CT483" s="319" t="s">
        <v>190</v>
      </c>
      <c r="CU483" s="319" t="s">
        <v>190</v>
      </c>
      <c r="CV483" s="319" t="s">
        <v>190</v>
      </c>
      <c r="CW483" s="319" t="s">
        <v>190</v>
      </c>
      <c r="CX483" s="319" t="s">
        <v>190</v>
      </c>
      <c r="CY483" s="319" t="s">
        <v>190</v>
      </c>
      <c r="CZ483" s="319" t="s">
        <v>190</v>
      </c>
      <c r="DA483" s="319" t="s">
        <v>190</v>
      </c>
      <c r="DB483" s="319" t="s">
        <v>190</v>
      </c>
      <c r="DC483" s="319" t="s">
        <v>190</v>
      </c>
      <c r="DD483" s="319" t="s">
        <v>190</v>
      </c>
      <c r="DE483" s="319" t="s">
        <v>190</v>
      </c>
      <c r="DF483" s="319" t="s">
        <v>190</v>
      </c>
      <c r="DG483" s="319" t="s">
        <v>190</v>
      </c>
      <c r="DH483" s="319" t="s">
        <v>190</v>
      </c>
      <c r="DI483" s="319" t="s">
        <v>190</v>
      </c>
      <c r="DJ483" s="319" t="s">
        <v>190</v>
      </c>
      <c r="DK483" s="319" t="s">
        <v>190</v>
      </c>
      <c r="DL483" s="319" t="s">
        <v>190</v>
      </c>
      <c r="DM483" s="319" t="s">
        <v>190</v>
      </c>
      <c r="DN483" s="319" t="s">
        <v>429</v>
      </c>
      <c r="DO483" s="319" t="s">
        <v>190</v>
      </c>
      <c r="DP483" s="319" t="s">
        <v>190</v>
      </c>
      <c r="DQ483" s="319" t="s">
        <v>190</v>
      </c>
      <c r="DR483" s="319" t="s">
        <v>190</v>
      </c>
      <c r="DS483" s="319" t="s">
        <v>190</v>
      </c>
      <c r="DT483" s="319" t="s">
        <v>190</v>
      </c>
      <c r="DU483" s="319" t="s">
        <v>190</v>
      </c>
      <c r="DV483" s="319" t="s">
        <v>173</v>
      </c>
      <c r="DW483" s="319" t="s">
        <v>190</v>
      </c>
      <c r="DX483" s="319" t="s">
        <v>190</v>
      </c>
      <c r="DY483" s="319" t="s">
        <v>190</v>
      </c>
      <c r="DZ483" s="319" t="s">
        <v>190</v>
      </c>
      <c r="EA483" s="319" t="s">
        <v>190</v>
      </c>
      <c r="EB483" s="319" t="s">
        <v>190</v>
      </c>
      <c r="EC483" s="319" t="s">
        <v>429</v>
      </c>
      <c r="ED483" s="319" t="s">
        <v>190</v>
      </c>
      <c r="EE483" s="319" t="s">
        <v>190</v>
      </c>
      <c r="EF483" s="319" t="s">
        <v>190</v>
      </c>
      <c r="EG483" s="319" t="s">
        <v>190</v>
      </c>
      <c r="EH483" s="319" t="s">
        <v>190</v>
      </c>
      <c r="EI483" s="319" t="s">
        <v>190</v>
      </c>
      <c r="EJ483" s="319" t="s">
        <v>190</v>
      </c>
      <c r="EK483" s="319" t="s">
        <v>190</v>
      </c>
      <c r="EL483" s="319" t="s">
        <v>190</v>
      </c>
      <c r="EM483" s="319" t="s">
        <v>190</v>
      </c>
      <c r="EN483" s="319" t="s">
        <v>190</v>
      </c>
      <c r="EO483" s="319" t="s">
        <v>190</v>
      </c>
      <c r="EP483" s="319" t="s">
        <v>190</v>
      </c>
      <c r="EQ483" s="319" t="s">
        <v>190</v>
      </c>
      <c r="ER483" s="319" t="s">
        <v>190</v>
      </c>
      <c r="ES483" s="319" t="s">
        <v>190</v>
      </c>
      <c r="ET483" s="319" t="s">
        <v>190</v>
      </c>
      <c r="EU483" s="319" t="s">
        <v>190</v>
      </c>
      <c r="EV483" s="319" t="s">
        <v>190</v>
      </c>
      <c r="EW483" s="319" t="s">
        <v>190</v>
      </c>
      <c r="EX483" s="319" t="s">
        <v>190</v>
      </c>
      <c r="EY483" s="319" t="s">
        <v>190</v>
      </c>
      <c r="EZ483" s="319" t="s">
        <v>190</v>
      </c>
      <c r="FA483" s="319" t="s">
        <v>190</v>
      </c>
      <c r="FB483" s="319" t="s">
        <v>190</v>
      </c>
      <c r="FC483" s="319" t="s">
        <v>190</v>
      </c>
      <c r="FD483" s="319" t="s">
        <v>190</v>
      </c>
      <c r="FE483" s="319" t="s">
        <v>190</v>
      </c>
      <c r="FF483" s="319" t="s">
        <v>190</v>
      </c>
      <c r="FG483" s="319" t="s">
        <v>190</v>
      </c>
      <c r="FH483" s="319" t="s">
        <v>190</v>
      </c>
      <c r="FI483" s="319" t="s">
        <v>190</v>
      </c>
      <c r="FJ483" s="319" t="s">
        <v>190</v>
      </c>
      <c r="FK483" s="319" t="s">
        <v>190</v>
      </c>
      <c r="FL483" s="319" t="s">
        <v>190</v>
      </c>
      <c r="FM483" s="319" t="s">
        <v>190</v>
      </c>
      <c r="FN483" s="319" t="s">
        <v>190</v>
      </c>
      <c r="FO483" s="319" t="s">
        <v>190</v>
      </c>
      <c r="FP483" s="319" t="s">
        <v>190</v>
      </c>
      <c r="FQ483" s="319" t="s">
        <v>190</v>
      </c>
      <c r="FR483" s="319" t="s">
        <v>190</v>
      </c>
      <c r="FS483" s="319" t="s">
        <v>429</v>
      </c>
      <c r="FT483" s="319" t="s">
        <v>190</v>
      </c>
      <c r="FU483" s="319" t="s">
        <v>190</v>
      </c>
      <c r="FV483" s="319" t="s">
        <v>190</v>
      </c>
      <c r="FW483" s="319" t="s">
        <v>190</v>
      </c>
      <c r="FX483" s="319" t="s">
        <v>190</v>
      </c>
      <c r="FY483" s="319" t="s">
        <v>190</v>
      </c>
      <c r="FZ483" s="319" t="s">
        <v>190</v>
      </c>
      <c r="GA483" s="319" t="s">
        <v>190</v>
      </c>
      <c r="GB483" s="319" t="s">
        <v>190</v>
      </c>
      <c r="GC483" s="319" t="s">
        <v>190</v>
      </c>
      <c r="GD483" s="319" t="s">
        <v>190</v>
      </c>
      <c r="GE483" s="319" t="s">
        <v>190</v>
      </c>
      <c r="GF483" s="319" t="s">
        <v>190</v>
      </c>
      <c r="GG483" s="319" t="s">
        <v>190</v>
      </c>
      <c r="GH483" s="319" t="s">
        <v>190</v>
      </c>
      <c r="GI483" s="319" t="s">
        <v>190</v>
      </c>
      <c r="GJ483" s="319" t="s">
        <v>190</v>
      </c>
      <c r="GK483" s="319" t="s">
        <v>429</v>
      </c>
      <c r="GL483" s="319" t="s">
        <v>190</v>
      </c>
      <c r="GM483" s="319" t="s">
        <v>190</v>
      </c>
      <c r="GN483" s="319" t="s">
        <v>190</v>
      </c>
      <c r="GO483" s="319" t="s">
        <v>190</v>
      </c>
      <c r="GP483" s="319" t="s">
        <v>190</v>
      </c>
      <c r="GQ483" s="319" t="s">
        <v>190</v>
      </c>
      <c r="GR483" s="319" t="s">
        <v>190</v>
      </c>
      <c r="GS483" s="319" t="s">
        <v>190</v>
      </c>
      <c r="GT483" s="319" t="s">
        <v>190</v>
      </c>
      <c r="GU483" s="319" t="s">
        <v>190</v>
      </c>
      <c r="GV483" s="319" t="s">
        <v>190</v>
      </c>
      <c r="GW483" s="319" t="s">
        <v>190</v>
      </c>
      <c r="GX483" s="319" t="s">
        <v>190</v>
      </c>
      <c r="GY483" s="319" t="s">
        <v>190</v>
      </c>
      <c r="GZ483" s="319" t="s">
        <v>190</v>
      </c>
      <c r="HA483" s="319" t="s">
        <v>190</v>
      </c>
      <c r="HB483" s="319" t="s">
        <v>190</v>
      </c>
      <c r="HC483" s="319" t="s">
        <v>190</v>
      </c>
      <c r="HD483" s="319" t="s">
        <v>190</v>
      </c>
      <c r="HE483" s="319" t="s">
        <v>190</v>
      </c>
      <c r="HF483" s="319" t="s">
        <v>190</v>
      </c>
      <c r="HG483" s="319" t="s">
        <v>190</v>
      </c>
      <c r="HH483" s="319" t="s">
        <v>190</v>
      </c>
      <c r="HI483" s="319" t="s">
        <v>190</v>
      </c>
      <c r="HJ483" s="319" t="s">
        <v>190</v>
      </c>
      <c r="HK483" s="319" t="s">
        <v>190</v>
      </c>
      <c r="HL483" s="319" t="s">
        <v>190</v>
      </c>
      <c r="HM483" s="319" t="s">
        <v>190</v>
      </c>
      <c r="HN483" s="319" t="s">
        <v>190</v>
      </c>
      <c r="HO483" s="319" t="s">
        <v>190</v>
      </c>
      <c r="HP483" s="319" t="s">
        <v>190</v>
      </c>
      <c r="HQ483" s="319" t="s">
        <v>190</v>
      </c>
      <c r="HR483" s="319" t="s">
        <v>190</v>
      </c>
      <c r="HS483" s="319" t="s">
        <v>190</v>
      </c>
      <c r="HT483" s="319" t="s">
        <v>190</v>
      </c>
      <c r="HU483" s="319" t="s">
        <v>190</v>
      </c>
      <c r="HV483" s="319" t="s">
        <v>190</v>
      </c>
      <c r="HW483" s="319" t="s">
        <v>190</v>
      </c>
      <c r="HX483" s="319" t="s">
        <v>190</v>
      </c>
      <c r="HY483" s="319" t="s">
        <v>190</v>
      </c>
      <c r="HZ483" s="319" t="s">
        <v>190</v>
      </c>
      <c r="IA483" s="319" t="s">
        <v>190</v>
      </c>
      <c r="IB483" s="319" t="s">
        <v>190</v>
      </c>
      <c r="IC483" s="319" t="s">
        <v>190</v>
      </c>
      <c r="ID483" s="319" t="s">
        <v>190</v>
      </c>
      <c r="IE483" s="319" t="s">
        <v>190</v>
      </c>
      <c r="IF483" s="319" t="s">
        <v>190</v>
      </c>
      <c r="IG483" s="319" t="s">
        <v>190</v>
      </c>
      <c r="IH483" s="319" t="s">
        <v>190</v>
      </c>
      <c r="II483" s="319" t="s">
        <v>190</v>
      </c>
      <c r="IJ483" s="319" t="s">
        <v>3251</v>
      </c>
      <c r="IK483" s="321">
        <v>41093</v>
      </c>
      <c r="IL483" s="321">
        <v>41094</v>
      </c>
      <c r="IM483" s="321">
        <v>41116</v>
      </c>
      <c r="IN483" s="319">
        <v>2</v>
      </c>
      <c r="IO483" s="319" t="s">
        <v>173</v>
      </c>
      <c r="IP483" s="319" t="s">
        <v>173</v>
      </c>
      <c r="IQ483" s="321" t="s">
        <v>173</v>
      </c>
      <c r="IR483" s="320" t="s">
        <v>173</v>
      </c>
      <c r="IS483" s="322" t="s">
        <v>173</v>
      </c>
      <c r="IT483" s="319" t="s">
        <v>173</v>
      </c>
    </row>
    <row r="484" spans="1:254" s="271" customFormat="1" x14ac:dyDescent="0.25">
      <c r="A484" s="318" t="str">
        <f>HYPERLINK("http://www.ofsted.gov.uk/inspection-reports/find-inspection-report/provider/ELS/135027 ","Ofsted School Webpage")</f>
        <v>Ofsted School Webpage</v>
      </c>
      <c r="B484" s="319">
        <v>135027</v>
      </c>
      <c r="C484" s="319">
        <v>3526062</v>
      </c>
      <c r="D484" s="319" t="s">
        <v>690</v>
      </c>
      <c r="E484" s="319" t="s">
        <v>168</v>
      </c>
      <c r="F484" s="319" t="s">
        <v>81</v>
      </c>
      <c r="G484" s="319" t="s">
        <v>69</v>
      </c>
      <c r="H484" s="319" t="s">
        <v>69</v>
      </c>
      <c r="I484" s="319" t="s">
        <v>69</v>
      </c>
      <c r="J484" s="319" t="s">
        <v>424</v>
      </c>
      <c r="K484" s="319" t="s">
        <v>431</v>
      </c>
      <c r="L484" s="319" t="s">
        <v>431</v>
      </c>
      <c r="M484" s="319" t="s">
        <v>660</v>
      </c>
      <c r="N484" s="319" t="s">
        <v>2874</v>
      </c>
      <c r="O484" s="319" t="s">
        <v>691</v>
      </c>
      <c r="P484" s="319">
        <v>15</v>
      </c>
      <c r="Q484" s="319" t="s">
        <v>429</v>
      </c>
      <c r="R484" s="320">
        <v>10053727</v>
      </c>
      <c r="S484" s="321">
        <v>43424</v>
      </c>
      <c r="T484" s="321">
        <v>43426</v>
      </c>
      <c r="U484" s="321">
        <v>43457</v>
      </c>
      <c r="V484" s="319" t="s">
        <v>425</v>
      </c>
      <c r="W484" s="319" t="s">
        <v>2767</v>
      </c>
      <c r="X484" s="319">
        <v>2</v>
      </c>
      <c r="Y484" s="319" t="s">
        <v>173</v>
      </c>
      <c r="Z484" s="319" t="s">
        <v>173</v>
      </c>
      <c r="AA484" s="319" t="s">
        <v>173</v>
      </c>
      <c r="AB484" s="319">
        <v>2</v>
      </c>
      <c r="AC484" s="319" t="s">
        <v>169</v>
      </c>
      <c r="AD484" s="319" t="s">
        <v>173</v>
      </c>
      <c r="AE484" s="319" t="s">
        <v>173</v>
      </c>
      <c r="AF484" s="319" t="s">
        <v>427</v>
      </c>
      <c r="AG484" s="319" t="s">
        <v>171</v>
      </c>
      <c r="AH484" s="319" t="s">
        <v>190</v>
      </c>
      <c r="AI484" s="319" t="s">
        <v>190</v>
      </c>
      <c r="AJ484" s="319" t="s">
        <v>190</v>
      </c>
      <c r="AK484" s="319" t="s">
        <v>190</v>
      </c>
      <c r="AL484" s="319" t="s">
        <v>190</v>
      </c>
      <c r="AM484" s="319" t="s">
        <v>190</v>
      </c>
      <c r="AN484" s="319" t="s">
        <v>190</v>
      </c>
      <c r="AO484" s="319" t="s">
        <v>190</v>
      </c>
      <c r="AP484" s="319" t="s">
        <v>190</v>
      </c>
      <c r="AQ484" s="319" t="s">
        <v>190</v>
      </c>
      <c r="AR484" s="319" t="s">
        <v>190</v>
      </c>
      <c r="AS484" s="319" t="s">
        <v>190</v>
      </c>
      <c r="AT484" s="319" t="s">
        <v>190</v>
      </c>
      <c r="AU484" s="319" t="s">
        <v>190</v>
      </c>
      <c r="AV484" s="319" t="s">
        <v>190</v>
      </c>
      <c r="AW484" s="319" t="s">
        <v>190</v>
      </c>
      <c r="AX484" s="319" t="s">
        <v>428</v>
      </c>
      <c r="AY484" s="319" t="s">
        <v>190</v>
      </c>
      <c r="AZ484" s="319" t="s">
        <v>190</v>
      </c>
      <c r="BA484" s="319" t="s">
        <v>190</v>
      </c>
      <c r="BB484" s="319" t="s">
        <v>190</v>
      </c>
      <c r="BC484" s="319" t="s">
        <v>190</v>
      </c>
      <c r="BD484" s="319" t="s">
        <v>190</v>
      </c>
      <c r="BE484" s="319" t="s">
        <v>190</v>
      </c>
      <c r="BF484" s="319" t="s">
        <v>428</v>
      </c>
      <c r="BG484" s="319" t="s">
        <v>190</v>
      </c>
      <c r="BH484" s="319" t="s">
        <v>190</v>
      </c>
      <c r="BI484" s="319" t="s">
        <v>190</v>
      </c>
      <c r="BJ484" s="319" t="s">
        <v>190</v>
      </c>
      <c r="BK484" s="319" t="s">
        <v>190</v>
      </c>
      <c r="BL484" s="319" t="s">
        <v>190</v>
      </c>
      <c r="BM484" s="319" t="s">
        <v>190</v>
      </c>
      <c r="BN484" s="319" t="s">
        <v>190</v>
      </c>
      <c r="BO484" s="319" t="s">
        <v>190</v>
      </c>
      <c r="BP484" s="319" t="s">
        <v>190</v>
      </c>
      <c r="BQ484" s="319" t="s">
        <v>190</v>
      </c>
      <c r="BR484" s="319" t="s">
        <v>190</v>
      </c>
      <c r="BS484" s="319" t="s">
        <v>190</v>
      </c>
      <c r="BT484" s="319" t="s">
        <v>190</v>
      </c>
      <c r="BU484" s="319" t="s">
        <v>190</v>
      </c>
      <c r="BV484" s="319" t="s">
        <v>190</v>
      </c>
      <c r="BW484" s="319" t="s">
        <v>190</v>
      </c>
      <c r="BX484" s="319" t="s">
        <v>190</v>
      </c>
      <c r="BY484" s="319" t="s">
        <v>190</v>
      </c>
      <c r="BZ484" s="319" t="s">
        <v>190</v>
      </c>
      <c r="CA484" s="319" t="s">
        <v>190</v>
      </c>
      <c r="CB484" s="319" t="s">
        <v>190</v>
      </c>
      <c r="CC484" s="319" t="s">
        <v>190</v>
      </c>
      <c r="CD484" s="319" t="s">
        <v>190</v>
      </c>
      <c r="CE484" s="319" t="s">
        <v>190</v>
      </c>
      <c r="CF484" s="319" t="s">
        <v>190</v>
      </c>
      <c r="CG484" s="319" t="s">
        <v>190</v>
      </c>
      <c r="CH484" s="319" t="s">
        <v>190</v>
      </c>
      <c r="CI484" s="319" t="s">
        <v>190</v>
      </c>
      <c r="CJ484" s="319" t="s">
        <v>190</v>
      </c>
      <c r="CK484" s="319" t="s">
        <v>190</v>
      </c>
      <c r="CL484" s="319" t="s">
        <v>190</v>
      </c>
      <c r="CM484" s="319" t="s">
        <v>190</v>
      </c>
      <c r="CN484" s="319" t="s">
        <v>428</v>
      </c>
      <c r="CO484" s="319" t="s">
        <v>428</v>
      </c>
      <c r="CP484" s="319" t="s">
        <v>428</v>
      </c>
      <c r="CQ484" s="319" t="s">
        <v>190</v>
      </c>
      <c r="CR484" s="319" t="s">
        <v>190</v>
      </c>
      <c r="CS484" s="319" t="s">
        <v>190</v>
      </c>
      <c r="CT484" s="319" t="s">
        <v>190</v>
      </c>
      <c r="CU484" s="319" t="s">
        <v>190</v>
      </c>
      <c r="CV484" s="319" t="s">
        <v>190</v>
      </c>
      <c r="CW484" s="319" t="s">
        <v>190</v>
      </c>
      <c r="CX484" s="319" t="s">
        <v>190</v>
      </c>
      <c r="CY484" s="319" t="s">
        <v>190</v>
      </c>
      <c r="CZ484" s="319" t="s">
        <v>190</v>
      </c>
      <c r="DA484" s="319" t="s">
        <v>190</v>
      </c>
      <c r="DB484" s="319" t="s">
        <v>190</v>
      </c>
      <c r="DC484" s="319" t="s">
        <v>190</v>
      </c>
      <c r="DD484" s="319" t="s">
        <v>190</v>
      </c>
      <c r="DE484" s="319" t="s">
        <v>190</v>
      </c>
      <c r="DF484" s="319" t="s">
        <v>190</v>
      </c>
      <c r="DG484" s="319" t="s">
        <v>190</v>
      </c>
      <c r="DH484" s="319" t="s">
        <v>190</v>
      </c>
      <c r="DI484" s="319" t="s">
        <v>190</v>
      </c>
      <c r="DJ484" s="319" t="s">
        <v>190</v>
      </c>
      <c r="DK484" s="319" t="s">
        <v>190</v>
      </c>
      <c r="DL484" s="319" t="s">
        <v>190</v>
      </c>
      <c r="DM484" s="319" t="s">
        <v>190</v>
      </c>
      <c r="DN484" s="319" t="s">
        <v>428</v>
      </c>
      <c r="DO484" s="319" t="s">
        <v>190</v>
      </c>
      <c r="DP484" s="319" t="s">
        <v>428</v>
      </c>
      <c r="DQ484" s="319" t="s">
        <v>428</v>
      </c>
      <c r="DR484" s="319" t="s">
        <v>428</v>
      </c>
      <c r="DS484" s="319" t="s">
        <v>428</v>
      </c>
      <c r="DT484" s="319" t="s">
        <v>428</v>
      </c>
      <c r="DU484" s="319" t="s">
        <v>428</v>
      </c>
      <c r="DV484" s="319" t="s">
        <v>173</v>
      </c>
      <c r="DW484" s="319" t="s">
        <v>428</v>
      </c>
      <c r="DX484" s="319" t="s">
        <v>428</v>
      </c>
      <c r="DY484" s="319" t="s">
        <v>428</v>
      </c>
      <c r="DZ484" s="319" t="s">
        <v>428</v>
      </c>
      <c r="EA484" s="319" t="s">
        <v>428</v>
      </c>
      <c r="EB484" s="319" t="s">
        <v>428</v>
      </c>
      <c r="EC484" s="319" t="s">
        <v>428</v>
      </c>
      <c r="ED484" s="319" t="s">
        <v>428</v>
      </c>
      <c r="EE484" s="319" t="s">
        <v>190</v>
      </c>
      <c r="EF484" s="319" t="s">
        <v>190</v>
      </c>
      <c r="EG484" s="319" t="s">
        <v>190</v>
      </c>
      <c r="EH484" s="319" t="s">
        <v>190</v>
      </c>
      <c r="EI484" s="319" t="s">
        <v>190</v>
      </c>
      <c r="EJ484" s="319" t="s">
        <v>190</v>
      </c>
      <c r="EK484" s="319" t="s">
        <v>190</v>
      </c>
      <c r="EL484" s="319" t="s">
        <v>190</v>
      </c>
      <c r="EM484" s="319" t="s">
        <v>190</v>
      </c>
      <c r="EN484" s="319" t="s">
        <v>190</v>
      </c>
      <c r="EO484" s="319" t="s">
        <v>190</v>
      </c>
      <c r="EP484" s="319" t="s">
        <v>190</v>
      </c>
      <c r="EQ484" s="319" t="s">
        <v>190</v>
      </c>
      <c r="ER484" s="319" t="s">
        <v>190</v>
      </c>
      <c r="ES484" s="319" t="s">
        <v>190</v>
      </c>
      <c r="ET484" s="319" t="s">
        <v>190</v>
      </c>
      <c r="EU484" s="319" t="s">
        <v>190</v>
      </c>
      <c r="EV484" s="319" t="s">
        <v>190</v>
      </c>
      <c r="EW484" s="319" t="s">
        <v>190</v>
      </c>
      <c r="EX484" s="319" t="s">
        <v>190</v>
      </c>
      <c r="EY484" s="319" t="s">
        <v>190</v>
      </c>
      <c r="EZ484" s="319" t="s">
        <v>190</v>
      </c>
      <c r="FA484" s="319" t="s">
        <v>190</v>
      </c>
      <c r="FB484" s="319" t="s">
        <v>428</v>
      </c>
      <c r="FC484" s="319" t="s">
        <v>428</v>
      </c>
      <c r="FD484" s="319" t="s">
        <v>428</v>
      </c>
      <c r="FE484" s="319" t="s">
        <v>428</v>
      </c>
      <c r="FF484" s="319" t="s">
        <v>428</v>
      </c>
      <c r="FG484" s="319" t="s">
        <v>428</v>
      </c>
      <c r="FH484" s="319" t="s">
        <v>190</v>
      </c>
      <c r="FI484" s="319" t="s">
        <v>190</v>
      </c>
      <c r="FJ484" s="319" t="s">
        <v>190</v>
      </c>
      <c r="FK484" s="319" t="s">
        <v>190</v>
      </c>
      <c r="FL484" s="319" t="s">
        <v>190</v>
      </c>
      <c r="FM484" s="319" t="s">
        <v>190</v>
      </c>
      <c r="FN484" s="319" t="s">
        <v>190</v>
      </c>
      <c r="FO484" s="319" t="s">
        <v>190</v>
      </c>
      <c r="FP484" s="319" t="s">
        <v>190</v>
      </c>
      <c r="FQ484" s="319" t="s">
        <v>190</v>
      </c>
      <c r="FR484" s="319" t="s">
        <v>190</v>
      </c>
      <c r="FS484" s="319" t="s">
        <v>190</v>
      </c>
      <c r="FT484" s="319" t="s">
        <v>190</v>
      </c>
      <c r="FU484" s="319" t="s">
        <v>190</v>
      </c>
      <c r="FV484" s="319" t="s">
        <v>190</v>
      </c>
      <c r="FW484" s="319" t="s">
        <v>190</v>
      </c>
      <c r="FX484" s="319" t="s">
        <v>190</v>
      </c>
      <c r="FY484" s="319" t="s">
        <v>190</v>
      </c>
      <c r="FZ484" s="319" t="s">
        <v>190</v>
      </c>
      <c r="GA484" s="319" t="s">
        <v>190</v>
      </c>
      <c r="GB484" s="319" t="s">
        <v>190</v>
      </c>
      <c r="GC484" s="319" t="s">
        <v>190</v>
      </c>
      <c r="GD484" s="319" t="s">
        <v>190</v>
      </c>
      <c r="GE484" s="319" t="s">
        <v>190</v>
      </c>
      <c r="GF484" s="319" t="s">
        <v>190</v>
      </c>
      <c r="GG484" s="319" t="s">
        <v>190</v>
      </c>
      <c r="GH484" s="319" t="s">
        <v>190</v>
      </c>
      <c r="GI484" s="319" t="s">
        <v>190</v>
      </c>
      <c r="GJ484" s="319" t="s">
        <v>190</v>
      </c>
      <c r="GK484" s="319" t="s">
        <v>428</v>
      </c>
      <c r="GL484" s="319" t="s">
        <v>190</v>
      </c>
      <c r="GM484" s="319" t="s">
        <v>190</v>
      </c>
      <c r="GN484" s="319" t="s">
        <v>190</v>
      </c>
      <c r="GO484" s="319" t="s">
        <v>190</v>
      </c>
      <c r="GP484" s="319" t="s">
        <v>190</v>
      </c>
      <c r="GQ484" s="319" t="s">
        <v>428</v>
      </c>
      <c r="GR484" s="319" t="s">
        <v>190</v>
      </c>
      <c r="GS484" s="319" t="s">
        <v>190</v>
      </c>
      <c r="GT484" s="319" t="s">
        <v>190</v>
      </c>
      <c r="GU484" s="319" t="s">
        <v>190</v>
      </c>
      <c r="GV484" s="319" t="s">
        <v>190</v>
      </c>
      <c r="GW484" s="319" t="s">
        <v>190</v>
      </c>
      <c r="GX484" s="319" t="s">
        <v>190</v>
      </c>
      <c r="GY484" s="319" t="s">
        <v>190</v>
      </c>
      <c r="GZ484" s="319" t="s">
        <v>190</v>
      </c>
      <c r="HA484" s="319" t="s">
        <v>190</v>
      </c>
      <c r="HB484" s="319" t="s">
        <v>190</v>
      </c>
      <c r="HC484" s="319" t="s">
        <v>190</v>
      </c>
      <c r="HD484" s="319" t="s">
        <v>190</v>
      </c>
      <c r="HE484" s="319" t="s">
        <v>190</v>
      </c>
      <c r="HF484" s="319" t="s">
        <v>190</v>
      </c>
      <c r="HG484" s="319" t="s">
        <v>190</v>
      </c>
      <c r="HH484" s="319" t="s">
        <v>190</v>
      </c>
      <c r="HI484" s="319" t="s">
        <v>190</v>
      </c>
      <c r="HJ484" s="319" t="s">
        <v>190</v>
      </c>
      <c r="HK484" s="319" t="s">
        <v>190</v>
      </c>
      <c r="HL484" s="319" t="s">
        <v>428</v>
      </c>
      <c r="HM484" s="319" t="s">
        <v>428</v>
      </c>
      <c r="HN484" s="319" t="s">
        <v>428</v>
      </c>
      <c r="HO484" s="319" t="s">
        <v>428</v>
      </c>
      <c r="HP484" s="319" t="s">
        <v>190</v>
      </c>
      <c r="HQ484" s="319" t="s">
        <v>190</v>
      </c>
      <c r="HR484" s="319" t="s">
        <v>190</v>
      </c>
      <c r="HS484" s="319" t="s">
        <v>190</v>
      </c>
      <c r="HT484" s="319" t="s">
        <v>190</v>
      </c>
      <c r="HU484" s="319" t="s">
        <v>190</v>
      </c>
      <c r="HV484" s="319" t="s">
        <v>190</v>
      </c>
      <c r="HW484" s="319" t="s">
        <v>190</v>
      </c>
      <c r="HX484" s="319" t="s">
        <v>190</v>
      </c>
      <c r="HY484" s="319" t="s">
        <v>190</v>
      </c>
      <c r="HZ484" s="319" t="s">
        <v>190</v>
      </c>
      <c r="IA484" s="319" t="s">
        <v>190</v>
      </c>
      <c r="IB484" s="319" t="s">
        <v>190</v>
      </c>
      <c r="IC484" s="319" t="s">
        <v>190</v>
      </c>
      <c r="ID484" s="319" t="s">
        <v>190</v>
      </c>
      <c r="IE484" s="319" t="s">
        <v>190</v>
      </c>
      <c r="IF484" s="319" t="s">
        <v>190</v>
      </c>
      <c r="IG484" s="319" t="s">
        <v>190</v>
      </c>
      <c r="IH484" s="319" t="s">
        <v>190</v>
      </c>
      <c r="II484" s="319" t="s">
        <v>190</v>
      </c>
      <c r="IJ484" s="319">
        <v>10006316</v>
      </c>
      <c r="IK484" s="321">
        <v>42682</v>
      </c>
      <c r="IL484" s="321">
        <v>42684</v>
      </c>
      <c r="IM484" s="321">
        <v>42725</v>
      </c>
      <c r="IN484" s="319">
        <v>4</v>
      </c>
      <c r="IO484" s="319" t="s">
        <v>173</v>
      </c>
      <c r="IP484" s="319" t="s">
        <v>173</v>
      </c>
      <c r="IQ484" s="321" t="s">
        <v>173</v>
      </c>
      <c r="IR484" s="320" t="s">
        <v>173</v>
      </c>
      <c r="IS484" s="322" t="s">
        <v>173</v>
      </c>
      <c r="IT484" s="319" t="s">
        <v>173</v>
      </c>
    </row>
    <row r="485" spans="1:254" s="271" customFormat="1" x14ac:dyDescent="0.25">
      <c r="A485" s="318" t="str">
        <f>HYPERLINK("http://www.ofsted.gov.uk/inspection-reports/find-inspection-report/provider/ELS/135065 ","Ofsted School Webpage")</f>
        <v>Ofsted School Webpage</v>
      </c>
      <c r="B485" s="319">
        <v>135065</v>
      </c>
      <c r="C485" s="319">
        <v>8136003</v>
      </c>
      <c r="D485" s="319" t="s">
        <v>1872</v>
      </c>
      <c r="E485" s="319" t="s">
        <v>167</v>
      </c>
      <c r="F485" s="319" t="s">
        <v>81</v>
      </c>
      <c r="G485" s="319" t="s">
        <v>81</v>
      </c>
      <c r="H485" s="319" t="s">
        <v>81</v>
      </c>
      <c r="I485" s="319" t="s">
        <v>78</v>
      </c>
      <c r="J485" s="319" t="s">
        <v>424</v>
      </c>
      <c r="K485" s="319" t="s">
        <v>458</v>
      </c>
      <c r="L485" s="319" t="s">
        <v>459</v>
      </c>
      <c r="M485" s="319" t="s">
        <v>1803</v>
      </c>
      <c r="N485" s="319" t="s">
        <v>3252</v>
      </c>
      <c r="O485" s="319" t="s">
        <v>1873</v>
      </c>
      <c r="P485" s="319">
        <v>47</v>
      </c>
      <c r="Q485" s="319" t="s">
        <v>2776</v>
      </c>
      <c r="R485" s="320">
        <v>10046965</v>
      </c>
      <c r="S485" s="321">
        <v>43235</v>
      </c>
      <c r="T485" s="321">
        <v>43237</v>
      </c>
      <c r="U485" s="321">
        <v>43270</v>
      </c>
      <c r="V485" s="319" t="s">
        <v>425</v>
      </c>
      <c r="W485" s="319" t="s">
        <v>2767</v>
      </c>
      <c r="X485" s="319">
        <v>2</v>
      </c>
      <c r="Y485" s="319" t="s">
        <v>173</v>
      </c>
      <c r="Z485" s="319" t="s">
        <v>173</v>
      </c>
      <c r="AA485" s="319" t="s">
        <v>173</v>
      </c>
      <c r="AB485" s="319">
        <v>2</v>
      </c>
      <c r="AC485" s="319" t="s">
        <v>169</v>
      </c>
      <c r="AD485" s="319" t="s">
        <v>173</v>
      </c>
      <c r="AE485" s="319" t="s">
        <v>173</v>
      </c>
      <c r="AF485" s="319" t="s">
        <v>427</v>
      </c>
      <c r="AG485" s="319" t="s">
        <v>171</v>
      </c>
      <c r="AH485" s="319" t="s">
        <v>190</v>
      </c>
      <c r="AI485" s="319" t="s">
        <v>190</v>
      </c>
      <c r="AJ485" s="319" t="s">
        <v>190</v>
      </c>
      <c r="AK485" s="319" t="s">
        <v>190</v>
      </c>
      <c r="AL485" s="319" t="s">
        <v>190</v>
      </c>
      <c r="AM485" s="319" t="s">
        <v>190</v>
      </c>
      <c r="AN485" s="319" t="s">
        <v>190</v>
      </c>
      <c r="AO485" s="319" t="s">
        <v>190</v>
      </c>
      <c r="AP485" s="319" t="s">
        <v>190</v>
      </c>
      <c r="AQ485" s="319" t="s">
        <v>190</v>
      </c>
      <c r="AR485" s="319" t="s">
        <v>190</v>
      </c>
      <c r="AS485" s="319" t="s">
        <v>190</v>
      </c>
      <c r="AT485" s="319" t="s">
        <v>190</v>
      </c>
      <c r="AU485" s="319" t="s">
        <v>190</v>
      </c>
      <c r="AV485" s="319" t="s">
        <v>190</v>
      </c>
      <c r="AW485" s="319" t="s">
        <v>190</v>
      </c>
      <c r="AX485" s="319" t="s">
        <v>428</v>
      </c>
      <c r="AY485" s="319" t="s">
        <v>190</v>
      </c>
      <c r="AZ485" s="319" t="s">
        <v>190</v>
      </c>
      <c r="BA485" s="319" t="s">
        <v>190</v>
      </c>
      <c r="BB485" s="319" t="s">
        <v>190</v>
      </c>
      <c r="BC485" s="319" t="s">
        <v>190</v>
      </c>
      <c r="BD485" s="319" t="s">
        <v>190</v>
      </c>
      <c r="BE485" s="319" t="s">
        <v>190</v>
      </c>
      <c r="BF485" s="319" t="s">
        <v>428</v>
      </c>
      <c r="BG485" s="319" t="s">
        <v>428</v>
      </c>
      <c r="BH485" s="319" t="s">
        <v>190</v>
      </c>
      <c r="BI485" s="319" t="s">
        <v>190</v>
      </c>
      <c r="BJ485" s="319" t="s">
        <v>190</v>
      </c>
      <c r="BK485" s="319" t="s">
        <v>190</v>
      </c>
      <c r="BL485" s="319" t="s">
        <v>190</v>
      </c>
      <c r="BM485" s="319" t="s">
        <v>190</v>
      </c>
      <c r="BN485" s="319" t="s">
        <v>190</v>
      </c>
      <c r="BO485" s="319" t="s">
        <v>190</v>
      </c>
      <c r="BP485" s="319" t="s">
        <v>190</v>
      </c>
      <c r="BQ485" s="319" t="s">
        <v>190</v>
      </c>
      <c r="BR485" s="319" t="s">
        <v>190</v>
      </c>
      <c r="BS485" s="319" t="s">
        <v>190</v>
      </c>
      <c r="BT485" s="319" t="s">
        <v>190</v>
      </c>
      <c r="BU485" s="319" t="s">
        <v>190</v>
      </c>
      <c r="BV485" s="319" t="s">
        <v>190</v>
      </c>
      <c r="BW485" s="319" t="s">
        <v>190</v>
      </c>
      <c r="BX485" s="319" t="s">
        <v>190</v>
      </c>
      <c r="BY485" s="319" t="s">
        <v>190</v>
      </c>
      <c r="BZ485" s="319" t="s">
        <v>190</v>
      </c>
      <c r="CA485" s="319" t="s">
        <v>190</v>
      </c>
      <c r="CB485" s="319" t="s">
        <v>190</v>
      </c>
      <c r="CC485" s="319" t="s">
        <v>190</v>
      </c>
      <c r="CD485" s="319" t="s">
        <v>190</v>
      </c>
      <c r="CE485" s="319" t="s">
        <v>190</v>
      </c>
      <c r="CF485" s="319" t="s">
        <v>190</v>
      </c>
      <c r="CG485" s="319" t="s">
        <v>190</v>
      </c>
      <c r="CH485" s="319" t="s">
        <v>190</v>
      </c>
      <c r="CI485" s="319" t="s">
        <v>190</v>
      </c>
      <c r="CJ485" s="319" t="s">
        <v>190</v>
      </c>
      <c r="CK485" s="319" t="s">
        <v>190</v>
      </c>
      <c r="CL485" s="319" t="s">
        <v>190</v>
      </c>
      <c r="CM485" s="319" t="s">
        <v>190</v>
      </c>
      <c r="CN485" s="319" t="s">
        <v>428</v>
      </c>
      <c r="CO485" s="319" t="s">
        <v>428</v>
      </c>
      <c r="CP485" s="319" t="s">
        <v>428</v>
      </c>
      <c r="CQ485" s="319" t="s">
        <v>190</v>
      </c>
      <c r="CR485" s="319" t="s">
        <v>190</v>
      </c>
      <c r="CS485" s="319" t="s">
        <v>190</v>
      </c>
      <c r="CT485" s="319" t="s">
        <v>190</v>
      </c>
      <c r="CU485" s="319" t="s">
        <v>190</v>
      </c>
      <c r="CV485" s="319" t="s">
        <v>190</v>
      </c>
      <c r="CW485" s="319" t="s">
        <v>190</v>
      </c>
      <c r="CX485" s="319" t="s">
        <v>190</v>
      </c>
      <c r="CY485" s="319" t="s">
        <v>190</v>
      </c>
      <c r="CZ485" s="319" t="s">
        <v>190</v>
      </c>
      <c r="DA485" s="319" t="s">
        <v>190</v>
      </c>
      <c r="DB485" s="319" t="s">
        <v>190</v>
      </c>
      <c r="DC485" s="319" t="s">
        <v>190</v>
      </c>
      <c r="DD485" s="319" t="s">
        <v>190</v>
      </c>
      <c r="DE485" s="319" t="s">
        <v>190</v>
      </c>
      <c r="DF485" s="319" t="s">
        <v>190</v>
      </c>
      <c r="DG485" s="319" t="s">
        <v>190</v>
      </c>
      <c r="DH485" s="319" t="s">
        <v>190</v>
      </c>
      <c r="DI485" s="319" t="s">
        <v>190</v>
      </c>
      <c r="DJ485" s="319" t="s">
        <v>190</v>
      </c>
      <c r="DK485" s="319" t="s">
        <v>190</v>
      </c>
      <c r="DL485" s="319" t="s">
        <v>190</v>
      </c>
      <c r="DM485" s="319" t="s">
        <v>428</v>
      </c>
      <c r="DN485" s="319" t="s">
        <v>428</v>
      </c>
      <c r="DO485" s="319" t="s">
        <v>190</v>
      </c>
      <c r="DP485" s="319" t="s">
        <v>190</v>
      </c>
      <c r="DQ485" s="319" t="s">
        <v>190</v>
      </c>
      <c r="DR485" s="319" t="s">
        <v>190</v>
      </c>
      <c r="DS485" s="319" t="s">
        <v>190</v>
      </c>
      <c r="DT485" s="319" t="s">
        <v>190</v>
      </c>
      <c r="DU485" s="319" t="s">
        <v>190</v>
      </c>
      <c r="DV485" s="319" t="s">
        <v>173</v>
      </c>
      <c r="DW485" s="319" t="s">
        <v>190</v>
      </c>
      <c r="DX485" s="319" t="s">
        <v>190</v>
      </c>
      <c r="DY485" s="319" t="s">
        <v>190</v>
      </c>
      <c r="DZ485" s="319" t="s">
        <v>190</v>
      </c>
      <c r="EA485" s="319" t="s">
        <v>190</v>
      </c>
      <c r="EB485" s="319" t="s">
        <v>190</v>
      </c>
      <c r="EC485" s="319" t="s">
        <v>428</v>
      </c>
      <c r="ED485" s="319" t="s">
        <v>190</v>
      </c>
      <c r="EE485" s="319" t="s">
        <v>190</v>
      </c>
      <c r="EF485" s="319" t="s">
        <v>190</v>
      </c>
      <c r="EG485" s="319" t="s">
        <v>190</v>
      </c>
      <c r="EH485" s="319" t="s">
        <v>190</v>
      </c>
      <c r="EI485" s="319" t="s">
        <v>190</v>
      </c>
      <c r="EJ485" s="319" t="s">
        <v>190</v>
      </c>
      <c r="EK485" s="319" t="s">
        <v>190</v>
      </c>
      <c r="EL485" s="319" t="s">
        <v>428</v>
      </c>
      <c r="EM485" s="319" t="s">
        <v>190</v>
      </c>
      <c r="EN485" s="319" t="s">
        <v>190</v>
      </c>
      <c r="EO485" s="319" t="s">
        <v>190</v>
      </c>
      <c r="EP485" s="319" t="s">
        <v>190</v>
      </c>
      <c r="EQ485" s="319" t="s">
        <v>190</v>
      </c>
      <c r="ER485" s="319" t="s">
        <v>190</v>
      </c>
      <c r="ES485" s="319" t="s">
        <v>190</v>
      </c>
      <c r="ET485" s="319" t="s">
        <v>190</v>
      </c>
      <c r="EU485" s="319" t="s">
        <v>190</v>
      </c>
      <c r="EV485" s="319" t="s">
        <v>190</v>
      </c>
      <c r="EW485" s="319" t="s">
        <v>190</v>
      </c>
      <c r="EX485" s="319" t="s">
        <v>190</v>
      </c>
      <c r="EY485" s="319" t="s">
        <v>190</v>
      </c>
      <c r="EZ485" s="319" t="s">
        <v>190</v>
      </c>
      <c r="FA485" s="319" t="s">
        <v>428</v>
      </c>
      <c r="FB485" s="319" t="s">
        <v>428</v>
      </c>
      <c r="FC485" s="319" t="s">
        <v>428</v>
      </c>
      <c r="FD485" s="319" t="s">
        <v>428</v>
      </c>
      <c r="FE485" s="319" t="s">
        <v>428</v>
      </c>
      <c r="FF485" s="319" t="s">
        <v>428</v>
      </c>
      <c r="FG485" s="319" t="s">
        <v>428</v>
      </c>
      <c r="FH485" s="319" t="s">
        <v>428</v>
      </c>
      <c r="FI485" s="319" t="s">
        <v>428</v>
      </c>
      <c r="FJ485" s="319" t="s">
        <v>429</v>
      </c>
      <c r="FK485" s="319" t="s">
        <v>428</v>
      </c>
      <c r="FL485" s="319" t="s">
        <v>190</v>
      </c>
      <c r="FM485" s="319" t="s">
        <v>190</v>
      </c>
      <c r="FN485" s="319" t="s">
        <v>190</v>
      </c>
      <c r="FO485" s="319" t="s">
        <v>190</v>
      </c>
      <c r="FP485" s="319" t="s">
        <v>190</v>
      </c>
      <c r="FQ485" s="319" t="s">
        <v>190</v>
      </c>
      <c r="FR485" s="319" t="s">
        <v>190</v>
      </c>
      <c r="FS485" s="319" t="s">
        <v>428</v>
      </c>
      <c r="FT485" s="319" t="s">
        <v>428</v>
      </c>
      <c r="FU485" s="319" t="s">
        <v>190</v>
      </c>
      <c r="FV485" s="319" t="s">
        <v>190</v>
      </c>
      <c r="FW485" s="319" t="s">
        <v>190</v>
      </c>
      <c r="FX485" s="319" t="s">
        <v>190</v>
      </c>
      <c r="FY485" s="319" t="s">
        <v>190</v>
      </c>
      <c r="FZ485" s="319" t="s">
        <v>190</v>
      </c>
      <c r="GA485" s="319" t="s">
        <v>190</v>
      </c>
      <c r="GB485" s="319" t="s">
        <v>190</v>
      </c>
      <c r="GC485" s="319" t="s">
        <v>190</v>
      </c>
      <c r="GD485" s="319" t="s">
        <v>190</v>
      </c>
      <c r="GE485" s="319" t="s">
        <v>190</v>
      </c>
      <c r="GF485" s="319" t="s">
        <v>190</v>
      </c>
      <c r="GG485" s="319" t="s">
        <v>190</v>
      </c>
      <c r="GH485" s="319" t="s">
        <v>190</v>
      </c>
      <c r="GI485" s="319" t="s">
        <v>190</v>
      </c>
      <c r="GJ485" s="319" t="s">
        <v>190</v>
      </c>
      <c r="GK485" s="319" t="s">
        <v>428</v>
      </c>
      <c r="GL485" s="319" t="s">
        <v>190</v>
      </c>
      <c r="GM485" s="319" t="s">
        <v>190</v>
      </c>
      <c r="GN485" s="319" t="s">
        <v>190</v>
      </c>
      <c r="GO485" s="319" t="s">
        <v>190</v>
      </c>
      <c r="GP485" s="319" t="s">
        <v>190</v>
      </c>
      <c r="GQ485" s="319" t="s">
        <v>428</v>
      </c>
      <c r="GR485" s="319" t="s">
        <v>190</v>
      </c>
      <c r="GS485" s="319" t="s">
        <v>190</v>
      </c>
      <c r="GT485" s="319" t="s">
        <v>190</v>
      </c>
      <c r="GU485" s="319" t="s">
        <v>190</v>
      </c>
      <c r="GV485" s="319" t="s">
        <v>190</v>
      </c>
      <c r="GW485" s="319" t="s">
        <v>190</v>
      </c>
      <c r="GX485" s="319" t="s">
        <v>190</v>
      </c>
      <c r="GY485" s="319" t="s">
        <v>190</v>
      </c>
      <c r="GZ485" s="319" t="s">
        <v>428</v>
      </c>
      <c r="HA485" s="319" t="s">
        <v>190</v>
      </c>
      <c r="HB485" s="319" t="s">
        <v>190</v>
      </c>
      <c r="HC485" s="319" t="s">
        <v>190</v>
      </c>
      <c r="HD485" s="319" t="s">
        <v>190</v>
      </c>
      <c r="HE485" s="319" t="s">
        <v>190</v>
      </c>
      <c r="HF485" s="319" t="s">
        <v>190</v>
      </c>
      <c r="HG485" s="319" t="s">
        <v>190</v>
      </c>
      <c r="HH485" s="319" t="s">
        <v>190</v>
      </c>
      <c r="HI485" s="319" t="s">
        <v>190</v>
      </c>
      <c r="HJ485" s="319" t="s">
        <v>190</v>
      </c>
      <c r="HK485" s="319" t="s">
        <v>190</v>
      </c>
      <c r="HL485" s="319" t="s">
        <v>428</v>
      </c>
      <c r="HM485" s="319" t="s">
        <v>428</v>
      </c>
      <c r="HN485" s="319" t="s">
        <v>428</v>
      </c>
      <c r="HO485" s="319" t="s">
        <v>428</v>
      </c>
      <c r="HP485" s="319" t="s">
        <v>190</v>
      </c>
      <c r="HQ485" s="319" t="s">
        <v>190</v>
      </c>
      <c r="HR485" s="319" t="s">
        <v>190</v>
      </c>
      <c r="HS485" s="319" t="s">
        <v>190</v>
      </c>
      <c r="HT485" s="319" t="s">
        <v>190</v>
      </c>
      <c r="HU485" s="319" t="s">
        <v>190</v>
      </c>
      <c r="HV485" s="319" t="s">
        <v>190</v>
      </c>
      <c r="HW485" s="319" t="s">
        <v>190</v>
      </c>
      <c r="HX485" s="319" t="s">
        <v>190</v>
      </c>
      <c r="HY485" s="319" t="s">
        <v>190</v>
      </c>
      <c r="HZ485" s="319" t="s">
        <v>190</v>
      </c>
      <c r="IA485" s="319" t="s">
        <v>190</v>
      </c>
      <c r="IB485" s="319" t="s">
        <v>190</v>
      </c>
      <c r="IC485" s="319" t="s">
        <v>190</v>
      </c>
      <c r="ID485" s="319" t="s">
        <v>190</v>
      </c>
      <c r="IE485" s="319" t="s">
        <v>190</v>
      </c>
      <c r="IF485" s="319" t="s">
        <v>190</v>
      </c>
      <c r="IG485" s="319" t="s">
        <v>190</v>
      </c>
      <c r="IH485" s="319" t="s">
        <v>190</v>
      </c>
      <c r="II485" s="319" t="s">
        <v>190</v>
      </c>
      <c r="IJ485" s="319" t="s">
        <v>3253</v>
      </c>
      <c r="IK485" s="321">
        <v>42143</v>
      </c>
      <c r="IL485" s="321">
        <v>42145</v>
      </c>
      <c r="IM485" s="321">
        <v>42181</v>
      </c>
      <c r="IN485" s="319">
        <v>2</v>
      </c>
      <c r="IO485" s="319" t="s">
        <v>173</v>
      </c>
      <c r="IP485" s="319" t="s">
        <v>173</v>
      </c>
      <c r="IQ485" s="321" t="s">
        <v>173</v>
      </c>
      <c r="IR485" s="320" t="s">
        <v>173</v>
      </c>
      <c r="IS485" s="322" t="s">
        <v>173</v>
      </c>
      <c r="IT485" s="319" t="s">
        <v>173</v>
      </c>
    </row>
    <row r="486" spans="1:254" s="271" customFormat="1" x14ac:dyDescent="0.25">
      <c r="A486" s="318" t="str">
        <f>HYPERLINK("http://www.ofsted.gov.uk/inspection-reports/find-inspection-report/provider/ELS/135066 ","Ofsted School Webpage")</f>
        <v>Ofsted School Webpage</v>
      </c>
      <c r="B486" s="319">
        <v>135066</v>
      </c>
      <c r="C486" s="319">
        <v>9266152</v>
      </c>
      <c r="D486" s="319" t="s">
        <v>1874</v>
      </c>
      <c r="E486" s="319" t="s">
        <v>168</v>
      </c>
      <c r="F486" s="319" t="s">
        <v>81</v>
      </c>
      <c r="G486" s="319" t="s">
        <v>81</v>
      </c>
      <c r="H486" s="319" t="s">
        <v>81</v>
      </c>
      <c r="I486" s="319" t="s">
        <v>78</v>
      </c>
      <c r="J486" s="319" t="s">
        <v>424</v>
      </c>
      <c r="K486" s="319" t="s">
        <v>451</v>
      </c>
      <c r="L486" s="319" t="s">
        <v>451</v>
      </c>
      <c r="M486" s="319" t="s">
        <v>463</v>
      </c>
      <c r="N486" s="319" t="s">
        <v>3008</v>
      </c>
      <c r="O486" s="319" t="s">
        <v>1875</v>
      </c>
      <c r="P486" s="319">
        <v>66</v>
      </c>
      <c r="Q486" s="319" t="s">
        <v>2776</v>
      </c>
      <c r="R486" s="320">
        <v>10046995</v>
      </c>
      <c r="S486" s="321">
        <v>43229</v>
      </c>
      <c r="T486" s="321">
        <v>43231</v>
      </c>
      <c r="U486" s="321">
        <v>43266</v>
      </c>
      <c r="V486" s="319" t="s">
        <v>425</v>
      </c>
      <c r="W486" s="319" t="s">
        <v>2767</v>
      </c>
      <c r="X486" s="319">
        <v>2</v>
      </c>
      <c r="Y486" s="319" t="s">
        <v>173</v>
      </c>
      <c r="Z486" s="319" t="s">
        <v>173</v>
      </c>
      <c r="AA486" s="319" t="s">
        <v>173</v>
      </c>
      <c r="AB486" s="319">
        <v>2</v>
      </c>
      <c r="AC486" s="319" t="s">
        <v>169</v>
      </c>
      <c r="AD486" s="319" t="s">
        <v>173</v>
      </c>
      <c r="AE486" s="319">
        <v>2</v>
      </c>
      <c r="AF486" s="319" t="s">
        <v>427</v>
      </c>
      <c r="AG486" s="319" t="s">
        <v>171</v>
      </c>
      <c r="AH486" s="319" t="s">
        <v>190</v>
      </c>
      <c r="AI486" s="319" t="s">
        <v>190</v>
      </c>
      <c r="AJ486" s="319" t="s">
        <v>190</v>
      </c>
      <c r="AK486" s="319" t="s">
        <v>190</v>
      </c>
      <c r="AL486" s="319" t="s">
        <v>190</v>
      </c>
      <c r="AM486" s="319" t="s">
        <v>190</v>
      </c>
      <c r="AN486" s="319" t="s">
        <v>190</v>
      </c>
      <c r="AO486" s="319" t="s">
        <v>190</v>
      </c>
      <c r="AP486" s="319" t="s">
        <v>190</v>
      </c>
      <c r="AQ486" s="319" t="s">
        <v>190</v>
      </c>
      <c r="AR486" s="319" t="s">
        <v>190</v>
      </c>
      <c r="AS486" s="319" t="s">
        <v>190</v>
      </c>
      <c r="AT486" s="319" t="s">
        <v>190</v>
      </c>
      <c r="AU486" s="319" t="s">
        <v>190</v>
      </c>
      <c r="AV486" s="319" t="s">
        <v>190</v>
      </c>
      <c r="AW486" s="319" t="s">
        <v>190</v>
      </c>
      <c r="AX486" s="319" t="s">
        <v>428</v>
      </c>
      <c r="AY486" s="319" t="s">
        <v>190</v>
      </c>
      <c r="AZ486" s="319" t="s">
        <v>190</v>
      </c>
      <c r="BA486" s="319" t="s">
        <v>190</v>
      </c>
      <c r="BB486" s="319" t="s">
        <v>190</v>
      </c>
      <c r="BC486" s="319" t="s">
        <v>190</v>
      </c>
      <c r="BD486" s="319" t="s">
        <v>190</v>
      </c>
      <c r="BE486" s="319" t="s">
        <v>190</v>
      </c>
      <c r="BF486" s="319" t="s">
        <v>428</v>
      </c>
      <c r="BG486" s="319" t="s">
        <v>190</v>
      </c>
      <c r="BH486" s="319" t="s">
        <v>190</v>
      </c>
      <c r="BI486" s="319" t="s">
        <v>190</v>
      </c>
      <c r="BJ486" s="319" t="s">
        <v>190</v>
      </c>
      <c r="BK486" s="319" t="s">
        <v>190</v>
      </c>
      <c r="BL486" s="319" t="s">
        <v>190</v>
      </c>
      <c r="BM486" s="319" t="s">
        <v>190</v>
      </c>
      <c r="BN486" s="319" t="s">
        <v>190</v>
      </c>
      <c r="BO486" s="319" t="s">
        <v>190</v>
      </c>
      <c r="BP486" s="319" t="s">
        <v>190</v>
      </c>
      <c r="BQ486" s="319" t="s">
        <v>190</v>
      </c>
      <c r="BR486" s="319" t="s">
        <v>190</v>
      </c>
      <c r="BS486" s="319" t="s">
        <v>190</v>
      </c>
      <c r="BT486" s="319" t="s">
        <v>190</v>
      </c>
      <c r="BU486" s="319" t="s">
        <v>190</v>
      </c>
      <c r="BV486" s="319" t="s">
        <v>190</v>
      </c>
      <c r="BW486" s="319" t="s">
        <v>190</v>
      </c>
      <c r="BX486" s="319" t="s">
        <v>190</v>
      </c>
      <c r="BY486" s="319" t="s">
        <v>190</v>
      </c>
      <c r="BZ486" s="319" t="s">
        <v>190</v>
      </c>
      <c r="CA486" s="319" t="s">
        <v>190</v>
      </c>
      <c r="CB486" s="319" t="s">
        <v>190</v>
      </c>
      <c r="CC486" s="319" t="s">
        <v>190</v>
      </c>
      <c r="CD486" s="319" t="s">
        <v>190</v>
      </c>
      <c r="CE486" s="319" t="s">
        <v>190</v>
      </c>
      <c r="CF486" s="319" t="s">
        <v>190</v>
      </c>
      <c r="CG486" s="319" t="s">
        <v>190</v>
      </c>
      <c r="CH486" s="319" t="s">
        <v>190</v>
      </c>
      <c r="CI486" s="319" t="s">
        <v>190</v>
      </c>
      <c r="CJ486" s="319" t="s">
        <v>190</v>
      </c>
      <c r="CK486" s="319" t="s">
        <v>190</v>
      </c>
      <c r="CL486" s="319" t="s">
        <v>190</v>
      </c>
      <c r="CM486" s="319" t="s">
        <v>190</v>
      </c>
      <c r="CN486" s="319" t="s">
        <v>428</v>
      </c>
      <c r="CO486" s="319" t="s">
        <v>428</v>
      </c>
      <c r="CP486" s="319" t="s">
        <v>428</v>
      </c>
      <c r="CQ486" s="319" t="s">
        <v>190</v>
      </c>
      <c r="CR486" s="319" t="s">
        <v>190</v>
      </c>
      <c r="CS486" s="319" t="s">
        <v>190</v>
      </c>
      <c r="CT486" s="319" t="s">
        <v>190</v>
      </c>
      <c r="CU486" s="319" t="s">
        <v>190</v>
      </c>
      <c r="CV486" s="319" t="s">
        <v>190</v>
      </c>
      <c r="CW486" s="319" t="s">
        <v>190</v>
      </c>
      <c r="CX486" s="319" t="s">
        <v>190</v>
      </c>
      <c r="CY486" s="319" t="s">
        <v>190</v>
      </c>
      <c r="CZ486" s="319" t="s">
        <v>190</v>
      </c>
      <c r="DA486" s="319" t="s">
        <v>190</v>
      </c>
      <c r="DB486" s="319" t="s">
        <v>190</v>
      </c>
      <c r="DC486" s="319" t="s">
        <v>190</v>
      </c>
      <c r="DD486" s="319" t="s">
        <v>190</v>
      </c>
      <c r="DE486" s="319" t="s">
        <v>190</v>
      </c>
      <c r="DF486" s="319" t="s">
        <v>190</v>
      </c>
      <c r="DG486" s="319" t="s">
        <v>190</v>
      </c>
      <c r="DH486" s="319" t="s">
        <v>190</v>
      </c>
      <c r="DI486" s="319" t="s">
        <v>190</v>
      </c>
      <c r="DJ486" s="319" t="s">
        <v>190</v>
      </c>
      <c r="DK486" s="319" t="s">
        <v>190</v>
      </c>
      <c r="DL486" s="319" t="s">
        <v>190</v>
      </c>
      <c r="DM486" s="319" t="s">
        <v>190</v>
      </c>
      <c r="DN486" s="319" t="s">
        <v>428</v>
      </c>
      <c r="DO486" s="319" t="s">
        <v>190</v>
      </c>
      <c r="DP486" s="319" t="s">
        <v>190</v>
      </c>
      <c r="DQ486" s="319" t="s">
        <v>190</v>
      </c>
      <c r="DR486" s="319" t="s">
        <v>190</v>
      </c>
      <c r="DS486" s="319" t="s">
        <v>190</v>
      </c>
      <c r="DT486" s="319" t="s">
        <v>190</v>
      </c>
      <c r="DU486" s="319" t="s">
        <v>190</v>
      </c>
      <c r="DV486" s="319" t="s">
        <v>173</v>
      </c>
      <c r="DW486" s="319" t="s">
        <v>190</v>
      </c>
      <c r="DX486" s="319" t="s">
        <v>190</v>
      </c>
      <c r="DY486" s="319" t="s">
        <v>190</v>
      </c>
      <c r="DZ486" s="319" t="s">
        <v>190</v>
      </c>
      <c r="EA486" s="319" t="s">
        <v>190</v>
      </c>
      <c r="EB486" s="319" t="s">
        <v>190</v>
      </c>
      <c r="EC486" s="319" t="s">
        <v>428</v>
      </c>
      <c r="ED486" s="319" t="s">
        <v>190</v>
      </c>
      <c r="EE486" s="319" t="s">
        <v>190</v>
      </c>
      <c r="EF486" s="319" t="s">
        <v>190</v>
      </c>
      <c r="EG486" s="319" t="s">
        <v>190</v>
      </c>
      <c r="EH486" s="319" t="s">
        <v>190</v>
      </c>
      <c r="EI486" s="319" t="s">
        <v>190</v>
      </c>
      <c r="EJ486" s="319" t="s">
        <v>190</v>
      </c>
      <c r="EK486" s="319" t="s">
        <v>190</v>
      </c>
      <c r="EL486" s="319" t="s">
        <v>190</v>
      </c>
      <c r="EM486" s="319" t="s">
        <v>190</v>
      </c>
      <c r="EN486" s="319" t="s">
        <v>190</v>
      </c>
      <c r="EO486" s="319" t="s">
        <v>190</v>
      </c>
      <c r="EP486" s="319" t="s">
        <v>190</v>
      </c>
      <c r="EQ486" s="319" t="s">
        <v>190</v>
      </c>
      <c r="ER486" s="319" t="s">
        <v>190</v>
      </c>
      <c r="ES486" s="319" t="s">
        <v>190</v>
      </c>
      <c r="ET486" s="319" t="s">
        <v>190</v>
      </c>
      <c r="EU486" s="319" t="s">
        <v>190</v>
      </c>
      <c r="EV486" s="319" t="s">
        <v>190</v>
      </c>
      <c r="EW486" s="319" t="s">
        <v>190</v>
      </c>
      <c r="EX486" s="319" t="s">
        <v>190</v>
      </c>
      <c r="EY486" s="319" t="s">
        <v>190</v>
      </c>
      <c r="EZ486" s="319" t="s">
        <v>190</v>
      </c>
      <c r="FA486" s="319" t="s">
        <v>428</v>
      </c>
      <c r="FB486" s="319" t="s">
        <v>190</v>
      </c>
      <c r="FC486" s="319" t="s">
        <v>190</v>
      </c>
      <c r="FD486" s="319" t="s">
        <v>190</v>
      </c>
      <c r="FE486" s="319" t="s">
        <v>190</v>
      </c>
      <c r="FF486" s="319" t="s">
        <v>190</v>
      </c>
      <c r="FG486" s="319" t="s">
        <v>190</v>
      </c>
      <c r="FH486" s="319" t="s">
        <v>190</v>
      </c>
      <c r="FI486" s="319" t="s">
        <v>428</v>
      </c>
      <c r="FJ486" s="319" t="s">
        <v>190</v>
      </c>
      <c r="FK486" s="319" t="s">
        <v>190</v>
      </c>
      <c r="FL486" s="319" t="s">
        <v>190</v>
      </c>
      <c r="FM486" s="319" t="s">
        <v>190</v>
      </c>
      <c r="FN486" s="319" t="s">
        <v>190</v>
      </c>
      <c r="FO486" s="319" t="s">
        <v>190</v>
      </c>
      <c r="FP486" s="319" t="s">
        <v>190</v>
      </c>
      <c r="FQ486" s="319" t="s">
        <v>190</v>
      </c>
      <c r="FR486" s="319" t="s">
        <v>190</v>
      </c>
      <c r="FS486" s="319" t="s">
        <v>428</v>
      </c>
      <c r="FT486" s="319" t="s">
        <v>190</v>
      </c>
      <c r="FU486" s="319" t="s">
        <v>190</v>
      </c>
      <c r="FV486" s="319" t="s">
        <v>190</v>
      </c>
      <c r="FW486" s="319" t="s">
        <v>190</v>
      </c>
      <c r="FX486" s="319" t="s">
        <v>190</v>
      </c>
      <c r="FY486" s="319" t="s">
        <v>190</v>
      </c>
      <c r="FZ486" s="319" t="s">
        <v>190</v>
      </c>
      <c r="GA486" s="319" t="s">
        <v>190</v>
      </c>
      <c r="GB486" s="319" t="s">
        <v>190</v>
      </c>
      <c r="GC486" s="319" t="s">
        <v>190</v>
      </c>
      <c r="GD486" s="319" t="s">
        <v>190</v>
      </c>
      <c r="GE486" s="319" t="s">
        <v>190</v>
      </c>
      <c r="GF486" s="319" t="s">
        <v>190</v>
      </c>
      <c r="GG486" s="319" t="s">
        <v>190</v>
      </c>
      <c r="GH486" s="319" t="s">
        <v>190</v>
      </c>
      <c r="GI486" s="319" t="s">
        <v>190</v>
      </c>
      <c r="GJ486" s="319" t="s">
        <v>190</v>
      </c>
      <c r="GK486" s="319" t="s">
        <v>428</v>
      </c>
      <c r="GL486" s="319" t="s">
        <v>190</v>
      </c>
      <c r="GM486" s="319" t="s">
        <v>190</v>
      </c>
      <c r="GN486" s="319" t="s">
        <v>190</v>
      </c>
      <c r="GO486" s="319" t="s">
        <v>190</v>
      </c>
      <c r="GP486" s="319" t="s">
        <v>190</v>
      </c>
      <c r="GQ486" s="319" t="s">
        <v>428</v>
      </c>
      <c r="GR486" s="319" t="s">
        <v>190</v>
      </c>
      <c r="GS486" s="319" t="s">
        <v>190</v>
      </c>
      <c r="GT486" s="319" t="s">
        <v>190</v>
      </c>
      <c r="GU486" s="319" t="s">
        <v>190</v>
      </c>
      <c r="GV486" s="319" t="s">
        <v>428</v>
      </c>
      <c r="GW486" s="319" t="s">
        <v>190</v>
      </c>
      <c r="GX486" s="319" t="s">
        <v>190</v>
      </c>
      <c r="GY486" s="319" t="s">
        <v>190</v>
      </c>
      <c r="GZ486" s="319" t="s">
        <v>428</v>
      </c>
      <c r="HA486" s="319" t="s">
        <v>190</v>
      </c>
      <c r="HB486" s="319" t="s">
        <v>190</v>
      </c>
      <c r="HC486" s="319" t="s">
        <v>190</v>
      </c>
      <c r="HD486" s="319" t="s">
        <v>190</v>
      </c>
      <c r="HE486" s="319" t="s">
        <v>190</v>
      </c>
      <c r="HF486" s="319" t="s">
        <v>190</v>
      </c>
      <c r="HG486" s="319" t="s">
        <v>190</v>
      </c>
      <c r="HH486" s="319" t="s">
        <v>190</v>
      </c>
      <c r="HI486" s="319" t="s">
        <v>190</v>
      </c>
      <c r="HJ486" s="319" t="s">
        <v>190</v>
      </c>
      <c r="HK486" s="319" t="s">
        <v>190</v>
      </c>
      <c r="HL486" s="319" t="s">
        <v>428</v>
      </c>
      <c r="HM486" s="319" t="s">
        <v>428</v>
      </c>
      <c r="HN486" s="319" t="s">
        <v>428</v>
      </c>
      <c r="HO486" s="319" t="s">
        <v>428</v>
      </c>
      <c r="HP486" s="319" t="s">
        <v>190</v>
      </c>
      <c r="HQ486" s="319" t="s">
        <v>190</v>
      </c>
      <c r="HR486" s="319" t="s">
        <v>190</v>
      </c>
      <c r="HS486" s="319" t="s">
        <v>190</v>
      </c>
      <c r="HT486" s="319" t="s">
        <v>190</v>
      </c>
      <c r="HU486" s="319" t="s">
        <v>190</v>
      </c>
      <c r="HV486" s="319" t="s">
        <v>190</v>
      </c>
      <c r="HW486" s="319" t="s">
        <v>190</v>
      </c>
      <c r="HX486" s="319" t="s">
        <v>190</v>
      </c>
      <c r="HY486" s="319" t="s">
        <v>190</v>
      </c>
      <c r="HZ486" s="319" t="s">
        <v>190</v>
      </c>
      <c r="IA486" s="319" t="s">
        <v>190</v>
      </c>
      <c r="IB486" s="319" t="s">
        <v>190</v>
      </c>
      <c r="IC486" s="319" t="s">
        <v>190</v>
      </c>
      <c r="ID486" s="319" t="s">
        <v>190</v>
      </c>
      <c r="IE486" s="319" t="s">
        <v>190</v>
      </c>
      <c r="IF486" s="319" t="s">
        <v>190</v>
      </c>
      <c r="IG486" s="319" t="s">
        <v>190</v>
      </c>
      <c r="IH486" s="319" t="s">
        <v>190</v>
      </c>
      <c r="II486" s="319" t="s">
        <v>190</v>
      </c>
      <c r="IJ486" s="319">
        <v>10006086</v>
      </c>
      <c r="IK486" s="321">
        <v>42486</v>
      </c>
      <c r="IL486" s="321">
        <v>42488</v>
      </c>
      <c r="IM486" s="321">
        <v>42534</v>
      </c>
      <c r="IN486" s="319">
        <v>3</v>
      </c>
      <c r="IO486" s="319" t="s">
        <v>173</v>
      </c>
      <c r="IP486" s="319" t="s">
        <v>173</v>
      </c>
      <c r="IQ486" s="321" t="s">
        <v>173</v>
      </c>
      <c r="IR486" s="320" t="s">
        <v>173</v>
      </c>
      <c r="IS486" s="322" t="s">
        <v>173</v>
      </c>
      <c r="IT486" s="319" t="s">
        <v>173</v>
      </c>
    </row>
    <row r="487" spans="1:254" s="271" customFormat="1" x14ac:dyDescent="0.25">
      <c r="A487" s="318" t="str">
        <f>HYPERLINK("http://www.ofsted.gov.uk/inspection-reports/find-inspection-report/provider/ELS/135072 ","Ofsted School Webpage")</f>
        <v>Ofsted School Webpage</v>
      </c>
      <c r="B487" s="319">
        <v>135072</v>
      </c>
      <c r="C487" s="319">
        <v>3026118</v>
      </c>
      <c r="D487" s="319" t="s">
        <v>1876</v>
      </c>
      <c r="E487" s="319" t="s">
        <v>167</v>
      </c>
      <c r="F487" s="319" t="s">
        <v>81</v>
      </c>
      <c r="G487" s="319" t="s">
        <v>81</v>
      </c>
      <c r="H487" s="319" t="s">
        <v>81</v>
      </c>
      <c r="I487" s="319" t="s">
        <v>78</v>
      </c>
      <c r="J487" s="319" t="s">
        <v>424</v>
      </c>
      <c r="K487" s="319" t="s">
        <v>441</v>
      </c>
      <c r="L487" s="319" t="s">
        <v>441</v>
      </c>
      <c r="M487" s="319" t="s">
        <v>544</v>
      </c>
      <c r="N487" s="319" t="s">
        <v>2818</v>
      </c>
      <c r="O487" s="319" t="s">
        <v>1877</v>
      </c>
      <c r="P487" s="319">
        <v>28</v>
      </c>
      <c r="Q487" s="319" t="s">
        <v>2776</v>
      </c>
      <c r="R487" s="320">
        <v>10038171</v>
      </c>
      <c r="S487" s="321">
        <v>43123</v>
      </c>
      <c r="T487" s="321">
        <v>43125</v>
      </c>
      <c r="U487" s="321">
        <v>43164</v>
      </c>
      <c r="V487" s="319" t="s">
        <v>425</v>
      </c>
      <c r="W487" s="319" t="s">
        <v>2767</v>
      </c>
      <c r="X487" s="319">
        <v>1</v>
      </c>
      <c r="Y487" s="319" t="s">
        <v>173</v>
      </c>
      <c r="Z487" s="319" t="s">
        <v>173</v>
      </c>
      <c r="AA487" s="319" t="s">
        <v>173</v>
      </c>
      <c r="AB487" s="319">
        <v>1</v>
      </c>
      <c r="AC487" s="319" t="s">
        <v>169</v>
      </c>
      <c r="AD487" s="319" t="s">
        <v>173</v>
      </c>
      <c r="AE487" s="319">
        <v>1</v>
      </c>
      <c r="AF487" s="319" t="s">
        <v>427</v>
      </c>
      <c r="AG487" s="319" t="s">
        <v>171</v>
      </c>
      <c r="AH487" s="319" t="s">
        <v>190</v>
      </c>
      <c r="AI487" s="319" t="s">
        <v>190</v>
      </c>
      <c r="AJ487" s="319" t="s">
        <v>190</v>
      </c>
      <c r="AK487" s="319" t="s">
        <v>190</v>
      </c>
      <c r="AL487" s="319" t="s">
        <v>190</v>
      </c>
      <c r="AM487" s="319" t="s">
        <v>190</v>
      </c>
      <c r="AN487" s="319" t="s">
        <v>190</v>
      </c>
      <c r="AO487" s="319" t="s">
        <v>190</v>
      </c>
      <c r="AP487" s="319" t="s">
        <v>190</v>
      </c>
      <c r="AQ487" s="319" t="s">
        <v>190</v>
      </c>
      <c r="AR487" s="319" t="s">
        <v>190</v>
      </c>
      <c r="AS487" s="319" t="s">
        <v>190</v>
      </c>
      <c r="AT487" s="319" t="s">
        <v>190</v>
      </c>
      <c r="AU487" s="319" t="s">
        <v>190</v>
      </c>
      <c r="AV487" s="319" t="s">
        <v>190</v>
      </c>
      <c r="AW487" s="319" t="s">
        <v>190</v>
      </c>
      <c r="AX487" s="319" t="s">
        <v>428</v>
      </c>
      <c r="AY487" s="319" t="s">
        <v>190</v>
      </c>
      <c r="AZ487" s="319" t="s">
        <v>190</v>
      </c>
      <c r="BA487" s="319" t="s">
        <v>190</v>
      </c>
      <c r="BB487" s="319" t="s">
        <v>190</v>
      </c>
      <c r="BC487" s="319" t="s">
        <v>190</v>
      </c>
      <c r="BD487" s="319" t="s">
        <v>190</v>
      </c>
      <c r="BE487" s="319" t="s">
        <v>190</v>
      </c>
      <c r="BF487" s="319" t="s">
        <v>428</v>
      </c>
      <c r="BG487" s="319" t="s">
        <v>190</v>
      </c>
      <c r="BH487" s="319" t="s">
        <v>190</v>
      </c>
      <c r="BI487" s="319" t="s">
        <v>190</v>
      </c>
      <c r="BJ487" s="319" t="s">
        <v>190</v>
      </c>
      <c r="BK487" s="319" t="s">
        <v>190</v>
      </c>
      <c r="BL487" s="319" t="s">
        <v>190</v>
      </c>
      <c r="BM487" s="319" t="s">
        <v>190</v>
      </c>
      <c r="BN487" s="319" t="s">
        <v>190</v>
      </c>
      <c r="BO487" s="319" t="s">
        <v>190</v>
      </c>
      <c r="BP487" s="319" t="s">
        <v>190</v>
      </c>
      <c r="BQ487" s="319" t="s">
        <v>190</v>
      </c>
      <c r="BR487" s="319" t="s">
        <v>190</v>
      </c>
      <c r="BS487" s="319" t="s">
        <v>190</v>
      </c>
      <c r="BT487" s="319" t="s">
        <v>190</v>
      </c>
      <c r="BU487" s="319" t="s">
        <v>190</v>
      </c>
      <c r="BV487" s="319" t="s">
        <v>190</v>
      </c>
      <c r="BW487" s="319" t="s">
        <v>190</v>
      </c>
      <c r="BX487" s="319" t="s">
        <v>190</v>
      </c>
      <c r="BY487" s="319" t="s">
        <v>190</v>
      </c>
      <c r="BZ487" s="319" t="s">
        <v>190</v>
      </c>
      <c r="CA487" s="319" t="s">
        <v>190</v>
      </c>
      <c r="CB487" s="319" t="s">
        <v>190</v>
      </c>
      <c r="CC487" s="319" t="s">
        <v>190</v>
      </c>
      <c r="CD487" s="319" t="s">
        <v>190</v>
      </c>
      <c r="CE487" s="319" t="s">
        <v>190</v>
      </c>
      <c r="CF487" s="319" t="s">
        <v>190</v>
      </c>
      <c r="CG487" s="319" t="s">
        <v>190</v>
      </c>
      <c r="CH487" s="319" t="s">
        <v>190</v>
      </c>
      <c r="CI487" s="319" t="s">
        <v>190</v>
      </c>
      <c r="CJ487" s="319" t="s">
        <v>190</v>
      </c>
      <c r="CK487" s="319" t="s">
        <v>190</v>
      </c>
      <c r="CL487" s="319" t="s">
        <v>190</v>
      </c>
      <c r="CM487" s="319" t="s">
        <v>190</v>
      </c>
      <c r="CN487" s="319" t="s">
        <v>428</v>
      </c>
      <c r="CO487" s="319" t="s">
        <v>428</v>
      </c>
      <c r="CP487" s="319" t="s">
        <v>428</v>
      </c>
      <c r="CQ487" s="319" t="s">
        <v>190</v>
      </c>
      <c r="CR487" s="319" t="s">
        <v>190</v>
      </c>
      <c r="CS487" s="319" t="s">
        <v>190</v>
      </c>
      <c r="CT487" s="319" t="s">
        <v>190</v>
      </c>
      <c r="CU487" s="319" t="s">
        <v>190</v>
      </c>
      <c r="CV487" s="319" t="s">
        <v>190</v>
      </c>
      <c r="CW487" s="319" t="s">
        <v>190</v>
      </c>
      <c r="CX487" s="319" t="s">
        <v>190</v>
      </c>
      <c r="CY487" s="319" t="s">
        <v>190</v>
      </c>
      <c r="CZ487" s="319" t="s">
        <v>190</v>
      </c>
      <c r="DA487" s="319" t="s">
        <v>190</v>
      </c>
      <c r="DB487" s="319" t="s">
        <v>190</v>
      </c>
      <c r="DC487" s="319" t="s">
        <v>190</v>
      </c>
      <c r="DD487" s="319" t="s">
        <v>190</v>
      </c>
      <c r="DE487" s="319" t="s">
        <v>190</v>
      </c>
      <c r="DF487" s="319" t="s">
        <v>190</v>
      </c>
      <c r="DG487" s="319" t="s">
        <v>190</v>
      </c>
      <c r="DH487" s="319" t="s">
        <v>190</v>
      </c>
      <c r="DI487" s="319" t="s">
        <v>190</v>
      </c>
      <c r="DJ487" s="319" t="s">
        <v>190</v>
      </c>
      <c r="DK487" s="319" t="s">
        <v>190</v>
      </c>
      <c r="DL487" s="319" t="s">
        <v>190</v>
      </c>
      <c r="DM487" s="319" t="s">
        <v>190</v>
      </c>
      <c r="DN487" s="319" t="s">
        <v>428</v>
      </c>
      <c r="DO487" s="319" t="s">
        <v>190</v>
      </c>
      <c r="DP487" s="319" t="s">
        <v>190</v>
      </c>
      <c r="DQ487" s="319" t="s">
        <v>190</v>
      </c>
      <c r="DR487" s="319" t="s">
        <v>190</v>
      </c>
      <c r="DS487" s="319" t="s">
        <v>190</v>
      </c>
      <c r="DT487" s="319" t="s">
        <v>190</v>
      </c>
      <c r="DU487" s="319" t="s">
        <v>190</v>
      </c>
      <c r="DV487" s="319" t="s">
        <v>173</v>
      </c>
      <c r="DW487" s="319" t="s">
        <v>190</v>
      </c>
      <c r="DX487" s="319" t="s">
        <v>190</v>
      </c>
      <c r="DY487" s="319" t="s">
        <v>190</v>
      </c>
      <c r="DZ487" s="319" t="s">
        <v>190</v>
      </c>
      <c r="EA487" s="319" t="s">
        <v>190</v>
      </c>
      <c r="EB487" s="319" t="s">
        <v>190</v>
      </c>
      <c r="EC487" s="319" t="s">
        <v>428</v>
      </c>
      <c r="ED487" s="319" t="s">
        <v>190</v>
      </c>
      <c r="EE487" s="319" t="s">
        <v>190</v>
      </c>
      <c r="EF487" s="319" t="s">
        <v>190</v>
      </c>
      <c r="EG487" s="319" t="s">
        <v>190</v>
      </c>
      <c r="EH487" s="319" t="s">
        <v>190</v>
      </c>
      <c r="EI487" s="319" t="s">
        <v>190</v>
      </c>
      <c r="EJ487" s="319" t="s">
        <v>190</v>
      </c>
      <c r="EK487" s="319" t="s">
        <v>190</v>
      </c>
      <c r="EL487" s="319" t="s">
        <v>190</v>
      </c>
      <c r="EM487" s="319" t="s">
        <v>190</v>
      </c>
      <c r="EN487" s="319" t="s">
        <v>190</v>
      </c>
      <c r="EO487" s="319" t="s">
        <v>190</v>
      </c>
      <c r="EP487" s="319" t="s">
        <v>190</v>
      </c>
      <c r="EQ487" s="319" t="s">
        <v>190</v>
      </c>
      <c r="ER487" s="319" t="s">
        <v>190</v>
      </c>
      <c r="ES487" s="319" t="s">
        <v>190</v>
      </c>
      <c r="ET487" s="319" t="s">
        <v>190</v>
      </c>
      <c r="EU487" s="319" t="s">
        <v>190</v>
      </c>
      <c r="EV487" s="319" t="s">
        <v>190</v>
      </c>
      <c r="EW487" s="319" t="s">
        <v>190</v>
      </c>
      <c r="EX487" s="319" t="s">
        <v>190</v>
      </c>
      <c r="EY487" s="319" t="s">
        <v>190</v>
      </c>
      <c r="EZ487" s="319" t="s">
        <v>190</v>
      </c>
      <c r="FA487" s="319" t="s">
        <v>190</v>
      </c>
      <c r="FB487" s="319" t="s">
        <v>190</v>
      </c>
      <c r="FC487" s="319" t="s">
        <v>190</v>
      </c>
      <c r="FD487" s="319" t="s">
        <v>190</v>
      </c>
      <c r="FE487" s="319" t="s">
        <v>190</v>
      </c>
      <c r="FF487" s="319" t="s">
        <v>190</v>
      </c>
      <c r="FG487" s="319" t="s">
        <v>190</v>
      </c>
      <c r="FH487" s="319" t="s">
        <v>190</v>
      </c>
      <c r="FI487" s="319" t="s">
        <v>190</v>
      </c>
      <c r="FJ487" s="319" t="s">
        <v>190</v>
      </c>
      <c r="FK487" s="319" t="s">
        <v>190</v>
      </c>
      <c r="FL487" s="319" t="s">
        <v>190</v>
      </c>
      <c r="FM487" s="319" t="s">
        <v>190</v>
      </c>
      <c r="FN487" s="319" t="s">
        <v>190</v>
      </c>
      <c r="FO487" s="319" t="s">
        <v>190</v>
      </c>
      <c r="FP487" s="319" t="s">
        <v>190</v>
      </c>
      <c r="FQ487" s="319" t="s">
        <v>190</v>
      </c>
      <c r="FR487" s="319" t="s">
        <v>190</v>
      </c>
      <c r="FS487" s="319" t="s">
        <v>190</v>
      </c>
      <c r="FT487" s="319" t="s">
        <v>190</v>
      </c>
      <c r="FU487" s="319" t="s">
        <v>190</v>
      </c>
      <c r="FV487" s="319" t="s">
        <v>190</v>
      </c>
      <c r="FW487" s="319" t="s">
        <v>190</v>
      </c>
      <c r="FX487" s="319" t="s">
        <v>190</v>
      </c>
      <c r="FY487" s="319" t="s">
        <v>190</v>
      </c>
      <c r="FZ487" s="319" t="s">
        <v>190</v>
      </c>
      <c r="GA487" s="319" t="s">
        <v>190</v>
      </c>
      <c r="GB487" s="319" t="s">
        <v>190</v>
      </c>
      <c r="GC487" s="319" t="s">
        <v>190</v>
      </c>
      <c r="GD487" s="319" t="s">
        <v>190</v>
      </c>
      <c r="GE487" s="319" t="s">
        <v>190</v>
      </c>
      <c r="GF487" s="319" t="s">
        <v>190</v>
      </c>
      <c r="GG487" s="319" t="s">
        <v>190</v>
      </c>
      <c r="GH487" s="319" t="s">
        <v>190</v>
      </c>
      <c r="GI487" s="319" t="s">
        <v>190</v>
      </c>
      <c r="GJ487" s="319" t="s">
        <v>190</v>
      </c>
      <c r="GK487" s="319" t="s">
        <v>428</v>
      </c>
      <c r="GL487" s="319" t="s">
        <v>190</v>
      </c>
      <c r="GM487" s="319" t="s">
        <v>190</v>
      </c>
      <c r="GN487" s="319" t="s">
        <v>190</v>
      </c>
      <c r="GO487" s="319" t="s">
        <v>190</v>
      </c>
      <c r="GP487" s="319" t="s">
        <v>190</v>
      </c>
      <c r="GQ487" s="319" t="s">
        <v>428</v>
      </c>
      <c r="GR487" s="319" t="s">
        <v>190</v>
      </c>
      <c r="GS487" s="319" t="s">
        <v>190</v>
      </c>
      <c r="GT487" s="319" t="s">
        <v>190</v>
      </c>
      <c r="GU487" s="319" t="s">
        <v>190</v>
      </c>
      <c r="GV487" s="319" t="s">
        <v>190</v>
      </c>
      <c r="GW487" s="319" t="s">
        <v>190</v>
      </c>
      <c r="GX487" s="319" t="s">
        <v>190</v>
      </c>
      <c r="GY487" s="319" t="s">
        <v>190</v>
      </c>
      <c r="GZ487" s="319" t="s">
        <v>190</v>
      </c>
      <c r="HA487" s="319" t="s">
        <v>428</v>
      </c>
      <c r="HB487" s="319" t="s">
        <v>428</v>
      </c>
      <c r="HC487" s="319" t="s">
        <v>190</v>
      </c>
      <c r="HD487" s="319" t="s">
        <v>190</v>
      </c>
      <c r="HE487" s="319" t="s">
        <v>190</v>
      </c>
      <c r="HF487" s="319" t="s">
        <v>190</v>
      </c>
      <c r="HG487" s="319" t="s">
        <v>190</v>
      </c>
      <c r="HH487" s="319" t="s">
        <v>190</v>
      </c>
      <c r="HI487" s="319" t="s">
        <v>190</v>
      </c>
      <c r="HJ487" s="319" t="s">
        <v>190</v>
      </c>
      <c r="HK487" s="319" t="s">
        <v>190</v>
      </c>
      <c r="HL487" s="319" t="s">
        <v>428</v>
      </c>
      <c r="HM487" s="319" t="s">
        <v>428</v>
      </c>
      <c r="HN487" s="319" t="s">
        <v>428</v>
      </c>
      <c r="HO487" s="319" t="s">
        <v>428</v>
      </c>
      <c r="HP487" s="319" t="s">
        <v>190</v>
      </c>
      <c r="HQ487" s="319" t="s">
        <v>190</v>
      </c>
      <c r="HR487" s="319" t="s">
        <v>190</v>
      </c>
      <c r="HS487" s="319" t="s">
        <v>190</v>
      </c>
      <c r="HT487" s="319" t="s">
        <v>190</v>
      </c>
      <c r="HU487" s="319" t="s">
        <v>190</v>
      </c>
      <c r="HV487" s="319" t="s">
        <v>190</v>
      </c>
      <c r="HW487" s="319" t="s">
        <v>190</v>
      </c>
      <c r="HX487" s="319" t="s">
        <v>190</v>
      </c>
      <c r="HY487" s="319" t="s">
        <v>190</v>
      </c>
      <c r="HZ487" s="319" t="s">
        <v>190</v>
      </c>
      <c r="IA487" s="319" t="s">
        <v>190</v>
      </c>
      <c r="IB487" s="319" t="s">
        <v>190</v>
      </c>
      <c r="IC487" s="319" t="s">
        <v>190</v>
      </c>
      <c r="ID487" s="319" t="s">
        <v>190</v>
      </c>
      <c r="IE487" s="319" t="s">
        <v>190</v>
      </c>
      <c r="IF487" s="319" t="s">
        <v>190</v>
      </c>
      <c r="IG487" s="319" t="s">
        <v>190</v>
      </c>
      <c r="IH487" s="319" t="s">
        <v>190</v>
      </c>
      <c r="II487" s="319" t="s">
        <v>190</v>
      </c>
      <c r="IJ487" s="319" t="s">
        <v>3254</v>
      </c>
      <c r="IK487" s="321">
        <v>41920</v>
      </c>
      <c r="IL487" s="321">
        <v>41922</v>
      </c>
      <c r="IM487" s="321">
        <v>41958</v>
      </c>
      <c r="IN487" s="319">
        <v>1</v>
      </c>
      <c r="IO487" s="319" t="s">
        <v>173</v>
      </c>
      <c r="IP487" s="319" t="s">
        <v>173</v>
      </c>
      <c r="IQ487" s="321" t="s">
        <v>173</v>
      </c>
      <c r="IR487" s="320" t="s">
        <v>173</v>
      </c>
      <c r="IS487" s="322" t="s">
        <v>173</v>
      </c>
      <c r="IT487" s="319" t="s">
        <v>173</v>
      </c>
    </row>
    <row r="488" spans="1:254" s="271" customFormat="1" x14ac:dyDescent="0.25">
      <c r="A488" s="318" t="str">
        <f>HYPERLINK("http://www.ofsted.gov.uk/inspection-reports/find-inspection-report/provider/ELS/135090 ","Ofsted School Webpage")</f>
        <v>Ofsted School Webpage</v>
      </c>
      <c r="B488" s="319">
        <v>135090</v>
      </c>
      <c r="C488" s="319">
        <v>3136081</v>
      </c>
      <c r="D488" s="319" t="s">
        <v>720</v>
      </c>
      <c r="E488" s="319" t="s">
        <v>167</v>
      </c>
      <c r="F488" s="319" t="s">
        <v>81</v>
      </c>
      <c r="G488" s="319" t="s">
        <v>81</v>
      </c>
      <c r="H488" s="319" t="s">
        <v>81</v>
      </c>
      <c r="I488" s="319" t="s">
        <v>78</v>
      </c>
      <c r="J488" s="319" t="s">
        <v>424</v>
      </c>
      <c r="K488" s="319" t="s">
        <v>441</v>
      </c>
      <c r="L488" s="319" t="s">
        <v>441</v>
      </c>
      <c r="M488" s="319" t="s">
        <v>721</v>
      </c>
      <c r="N488" s="319" t="s">
        <v>2838</v>
      </c>
      <c r="O488" s="319" t="s">
        <v>722</v>
      </c>
      <c r="P488" s="319">
        <v>76</v>
      </c>
      <c r="Q488" s="319" t="s">
        <v>2766</v>
      </c>
      <c r="R488" s="320">
        <v>10055429</v>
      </c>
      <c r="S488" s="321">
        <v>43431</v>
      </c>
      <c r="T488" s="321">
        <v>43433</v>
      </c>
      <c r="U488" s="321">
        <v>43450</v>
      </c>
      <c r="V488" s="319" t="s">
        <v>425</v>
      </c>
      <c r="W488" s="319" t="s">
        <v>2767</v>
      </c>
      <c r="X488" s="319">
        <v>2</v>
      </c>
      <c r="Y488" s="319" t="s">
        <v>173</v>
      </c>
      <c r="Z488" s="319" t="s">
        <v>173</v>
      </c>
      <c r="AA488" s="319" t="s">
        <v>173</v>
      </c>
      <c r="AB488" s="319">
        <v>2</v>
      </c>
      <c r="AC488" s="319" t="s">
        <v>169</v>
      </c>
      <c r="AD488" s="319" t="s">
        <v>173</v>
      </c>
      <c r="AE488" s="319" t="s">
        <v>173</v>
      </c>
      <c r="AF488" s="319" t="s">
        <v>427</v>
      </c>
      <c r="AG488" s="319" t="s">
        <v>171</v>
      </c>
      <c r="AH488" s="319" t="s">
        <v>190</v>
      </c>
      <c r="AI488" s="319" t="s">
        <v>190</v>
      </c>
      <c r="AJ488" s="319" t="s">
        <v>190</v>
      </c>
      <c r="AK488" s="319" t="s">
        <v>190</v>
      </c>
      <c r="AL488" s="319" t="s">
        <v>190</v>
      </c>
      <c r="AM488" s="319" t="s">
        <v>190</v>
      </c>
      <c r="AN488" s="319" t="s">
        <v>190</v>
      </c>
      <c r="AO488" s="319" t="s">
        <v>190</v>
      </c>
      <c r="AP488" s="319" t="s">
        <v>190</v>
      </c>
      <c r="AQ488" s="319" t="s">
        <v>190</v>
      </c>
      <c r="AR488" s="319" t="s">
        <v>190</v>
      </c>
      <c r="AS488" s="319" t="s">
        <v>190</v>
      </c>
      <c r="AT488" s="319" t="s">
        <v>190</v>
      </c>
      <c r="AU488" s="319" t="s">
        <v>190</v>
      </c>
      <c r="AV488" s="319" t="s">
        <v>190</v>
      </c>
      <c r="AW488" s="319" t="s">
        <v>190</v>
      </c>
      <c r="AX488" s="319" t="s">
        <v>428</v>
      </c>
      <c r="AY488" s="319" t="s">
        <v>190</v>
      </c>
      <c r="AZ488" s="319" t="s">
        <v>190</v>
      </c>
      <c r="BA488" s="319" t="s">
        <v>190</v>
      </c>
      <c r="BB488" s="319" t="s">
        <v>190</v>
      </c>
      <c r="BC488" s="319" t="s">
        <v>190</v>
      </c>
      <c r="BD488" s="319" t="s">
        <v>190</v>
      </c>
      <c r="BE488" s="319" t="s">
        <v>190</v>
      </c>
      <c r="BF488" s="319" t="s">
        <v>428</v>
      </c>
      <c r="BG488" s="319" t="s">
        <v>428</v>
      </c>
      <c r="BH488" s="319" t="s">
        <v>190</v>
      </c>
      <c r="BI488" s="319" t="s">
        <v>190</v>
      </c>
      <c r="BJ488" s="319" t="s">
        <v>190</v>
      </c>
      <c r="BK488" s="319" t="s">
        <v>190</v>
      </c>
      <c r="BL488" s="319" t="s">
        <v>190</v>
      </c>
      <c r="BM488" s="319" t="s">
        <v>190</v>
      </c>
      <c r="BN488" s="319" t="s">
        <v>190</v>
      </c>
      <c r="BO488" s="319" t="s">
        <v>190</v>
      </c>
      <c r="BP488" s="319" t="s">
        <v>190</v>
      </c>
      <c r="BQ488" s="319" t="s">
        <v>190</v>
      </c>
      <c r="BR488" s="319" t="s">
        <v>190</v>
      </c>
      <c r="BS488" s="319" t="s">
        <v>190</v>
      </c>
      <c r="BT488" s="319" t="s">
        <v>190</v>
      </c>
      <c r="BU488" s="319" t="s">
        <v>190</v>
      </c>
      <c r="BV488" s="319" t="s">
        <v>190</v>
      </c>
      <c r="BW488" s="319" t="s">
        <v>190</v>
      </c>
      <c r="BX488" s="319" t="s">
        <v>190</v>
      </c>
      <c r="BY488" s="319" t="s">
        <v>190</v>
      </c>
      <c r="BZ488" s="319" t="s">
        <v>190</v>
      </c>
      <c r="CA488" s="319" t="s">
        <v>190</v>
      </c>
      <c r="CB488" s="319" t="s">
        <v>190</v>
      </c>
      <c r="CC488" s="319" t="s">
        <v>190</v>
      </c>
      <c r="CD488" s="319" t="s">
        <v>190</v>
      </c>
      <c r="CE488" s="319" t="s">
        <v>190</v>
      </c>
      <c r="CF488" s="319" t="s">
        <v>190</v>
      </c>
      <c r="CG488" s="319" t="s">
        <v>190</v>
      </c>
      <c r="CH488" s="319" t="s">
        <v>190</v>
      </c>
      <c r="CI488" s="319" t="s">
        <v>190</v>
      </c>
      <c r="CJ488" s="319" t="s">
        <v>190</v>
      </c>
      <c r="CK488" s="319" t="s">
        <v>190</v>
      </c>
      <c r="CL488" s="319" t="s">
        <v>190</v>
      </c>
      <c r="CM488" s="319" t="s">
        <v>190</v>
      </c>
      <c r="CN488" s="319" t="s">
        <v>428</v>
      </c>
      <c r="CO488" s="319" t="s">
        <v>428</v>
      </c>
      <c r="CP488" s="319" t="s">
        <v>428</v>
      </c>
      <c r="CQ488" s="319" t="s">
        <v>190</v>
      </c>
      <c r="CR488" s="319" t="s">
        <v>190</v>
      </c>
      <c r="CS488" s="319" t="s">
        <v>190</v>
      </c>
      <c r="CT488" s="319" t="s">
        <v>190</v>
      </c>
      <c r="CU488" s="319" t="s">
        <v>190</v>
      </c>
      <c r="CV488" s="319" t="s">
        <v>190</v>
      </c>
      <c r="CW488" s="319" t="s">
        <v>190</v>
      </c>
      <c r="CX488" s="319" t="s">
        <v>190</v>
      </c>
      <c r="CY488" s="319" t="s">
        <v>190</v>
      </c>
      <c r="CZ488" s="319" t="s">
        <v>190</v>
      </c>
      <c r="DA488" s="319" t="s">
        <v>190</v>
      </c>
      <c r="DB488" s="319" t="s">
        <v>190</v>
      </c>
      <c r="DC488" s="319" t="s">
        <v>190</v>
      </c>
      <c r="DD488" s="319" t="s">
        <v>190</v>
      </c>
      <c r="DE488" s="319" t="s">
        <v>190</v>
      </c>
      <c r="DF488" s="319" t="s">
        <v>190</v>
      </c>
      <c r="DG488" s="319" t="s">
        <v>190</v>
      </c>
      <c r="DH488" s="319" t="s">
        <v>190</v>
      </c>
      <c r="DI488" s="319" t="s">
        <v>190</v>
      </c>
      <c r="DJ488" s="319" t="s">
        <v>190</v>
      </c>
      <c r="DK488" s="319" t="s">
        <v>190</v>
      </c>
      <c r="DL488" s="319" t="s">
        <v>190</v>
      </c>
      <c r="DM488" s="319" t="s">
        <v>190</v>
      </c>
      <c r="DN488" s="319" t="s">
        <v>428</v>
      </c>
      <c r="DO488" s="319" t="s">
        <v>190</v>
      </c>
      <c r="DP488" s="319" t="s">
        <v>190</v>
      </c>
      <c r="DQ488" s="319" t="s">
        <v>190</v>
      </c>
      <c r="DR488" s="319" t="s">
        <v>190</v>
      </c>
      <c r="DS488" s="319" t="s">
        <v>190</v>
      </c>
      <c r="DT488" s="319" t="s">
        <v>190</v>
      </c>
      <c r="DU488" s="319" t="s">
        <v>190</v>
      </c>
      <c r="DV488" s="319" t="s">
        <v>173</v>
      </c>
      <c r="DW488" s="319" t="s">
        <v>190</v>
      </c>
      <c r="DX488" s="319" t="s">
        <v>190</v>
      </c>
      <c r="DY488" s="319" t="s">
        <v>190</v>
      </c>
      <c r="DZ488" s="319" t="s">
        <v>190</v>
      </c>
      <c r="EA488" s="319" t="s">
        <v>190</v>
      </c>
      <c r="EB488" s="319" t="s">
        <v>190</v>
      </c>
      <c r="EC488" s="319" t="s">
        <v>428</v>
      </c>
      <c r="ED488" s="319" t="s">
        <v>190</v>
      </c>
      <c r="EE488" s="319" t="s">
        <v>190</v>
      </c>
      <c r="EF488" s="319" t="s">
        <v>190</v>
      </c>
      <c r="EG488" s="319" t="s">
        <v>190</v>
      </c>
      <c r="EH488" s="319" t="s">
        <v>190</v>
      </c>
      <c r="EI488" s="319" t="s">
        <v>190</v>
      </c>
      <c r="EJ488" s="319" t="s">
        <v>190</v>
      </c>
      <c r="EK488" s="319" t="s">
        <v>190</v>
      </c>
      <c r="EL488" s="319" t="s">
        <v>190</v>
      </c>
      <c r="EM488" s="319" t="s">
        <v>190</v>
      </c>
      <c r="EN488" s="319" t="s">
        <v>190</v>
      </c>
      <c r="EO488" s="319" t="s">
        <v>190</v>
      </c>
      <c r="EP488" s="319" t="s">
        <v>190</v>
      </c>
      <c r="EQ488" s="319" t="s">
        <v>190</v>
      </c>
      <c r="ER488" s="319" t="s">
        <v>190</v>
      </c>
      <c r="ES488" s="319" t="s">
        <v>190</v>
      </c>
      <c r="ET488" s="319" t="s">
        <v>190</v>
      </c>
      <c r="EU488" s="319" t="s">
        <v>190</v>
      </c>
      <c r="EV488" s="319" t="s">
        <v>190</v>
      </c>
      <c r="EW488" s="319" t="s">
        <v>190</v>
      </c>
      <c r="EX488" s="319" t="s">
        <v>190</v>
      </c>
      <c r="EY488" s="319" t="s">
        <v>190</v>
      </c>
      <c r="EZ488" s="319" t="s">
        <v>190</v>
      </c>
      <c r="FA488" s="319" t="s">
        <v>190</v>
      </c>
      <c r="FB488" s="319" t="s">
        <v>190</v>
      </c>
      <c r="FC488" s="319" t="s">
        <v>190</v>
      </c>
      <c r="FD488" s="319" t="s">
        <v>190</v>
      </c>
      <c r="FE488" s="319" t="s">
        <v>190</v>
      </c>
      <c r="FF488" s="319" t="s">
        <v>190</v>
      </c>
      <c r="FG488" s="319" t="s">
        <v>190</v>
      </c>
      <c r="FH488" s="319" t="s">
        <v>190</v>
      </c>
      <c r="FI488" s="319" t="s">
        <v>190</v>
      </c>
      <c r="FJ488" s="319" t="s">
        <v>190</v>
      </c>
      <c r="FK488" s="319" t="s">
        <v>190</v>
      </c>
      <c r="FL488" s="319" t="s">
        <v>190</v>
      </c>
      <c r="FM488" s="319" t="s">
        <v>190</v>
      </c>
      <c r="FN488" s="319" t="s">
        <v>190</v>
      </c>
      <c r="FO488" s="319" t="s">
        <v>190</v>
      </c>
      <c r="FP488" s="319" t="s">
        <v>190</v>
      </c>
      <c r="FQ488" s="319" t="s">
        <v>190</v>
      </c>
      <c r="FR488" s="319" t="s">
        <v>190</v>
      </c>
      <c r="FS488" s="319" t="s">
        <v>428</v>
      </c>
      <c r="FT488" s="319" t="s">
        <v>190</v>
      </c>
      <c r="FU488" s="319" t="s">
        <v>190</v>
      </c>
      <c r="FV488" s="319" t="s">
        <v>190</v>
      </c>
      <c r="FW488" s="319" t="s">
        <v>190</v>
      </c>
      <c r="FX488" s="319" t="s">
        <v>190</v>
      </c>
      <c r="FY488" s="319" t="s">
        <v>190</v>
      </c>
      <c r="FZ488" s="319" t="s">
        <v>190</v>
      </c>
      <c r="GA488" s="319" t="s">
        <v>190</v>
      </c>
      <c r="GB488" s="319" t="s">
        <v>190</v>
      </c>
      <c r="GC488" s="319" t="s">
        <v>190</v>
      </c>
      <c r="GD488" s="319" t="s">
        <v>190</v>
      </c>
      <c r="GE488" s="319" t="s">
        <v>190</v>
      </c>
      <c r="GF488" s="319" t="s">
        <v>190</v>
      </c>
      <c r="GG488" s="319" t="s">
        <v>190</v>
      </c>
      <c r="GH488" s="319" t="s">
        <v>190</v>
      </c>
      <c r="GI488" s="319" t="s">
        <v>190</v>
      </c>
      <c r="GJ488" s="319" t="s">
        <v>190</v>
      </c>
      <c r="GK488" s="319" t="s">
        <v>428</v>
      </c>
      <c r="GL488" s="319" t="s">
        <v>190</v>
      </c>
      <c r="GM488" s="319" t="s">
        <v>190</v>
      </c>
      <c r="GN488" s="319" t="s">
        <v>190</v>
      </c>
      <c r="GO488" s="319" t="s">
        <v>190</v>
      </c>
      <c r="GP488" s="319" t="s">
        <v>190</v>
      </c>
      <c r="GQ488" s="319" t="s">
        <v>190</v>
      </c>
      <c r="GR488" s="319" t="s">
        <v>190</v>
      </c>
      <c r="GS488" s="319" t="s">
        <v>190</v>
      </c>
      <c r="GT488" s="319" t="s">
        <v>428</v>
      </c>
      <c r="GU488" s="319" t="s">
        <v>190</v>
      </c>
      <c r="GV488" s="319" t="s">
        <v>190</v>
      </c>
      <c r="GW488" s="319" t="s">
        <v>190</v>
      </c>
      <c r="GX488" s="319" t="s">
        <v>190</v>
      </c>
      <c r="GY488" s="319" t="s">
        <v>190</v>
      </c>
      <c r="GZ488" s="319" t="s">
        <v>190</v>
      </c>
      <c r="HA488" s="319" t="s">
        <v>428</v>
      </c>
      <c r="HB488" s="319" t="s">
        <v>190</v>
      </c>
      <c r="HC488" s="319" t="s">
        <v>190</v>
      </c>
      <c r="HD488" s="319" t="s">
        <v>190</v>
      </c>
      <c r="HE488" s="319" t="s">
        <v>190</v>
      </c>
      <c r="HF488" s="319" t="s">
        <v>190</v>
      </c>
      <c r="HG488" s="319" t="s">
        <v>190</v>
      </c>
      <c r="HH488" s="319" t="s">
        <v>190</v>
      </c>
      <c r="HI488" s="319" t="s">
        <v>190</v>
      </c>
      <c r="HJ488" s="319" t="s">
        <v>190</v>
      </c>
      <c r="HK488" s="319" t="s">
        <v>190</v>
      </c>
      <c r="HL488" s="319" t="s">
        <v>428</v>
      </c>
      <c r="HM488" s="319" t="s">
        <v>428</v>
      </c>
      <c r="HN488" s="319" t="s">
        <v>428</v>
      </c>
      <c r="HO488" s="319" t="s">
        <v>428</v>
      </c>
      <c r="HP488" s="319" t="s">
        <v>190</v>
      </c>
      <c r="HQ488" s="319" t="s">
        <v>190</v>
      </c>
      <c r="HR488" s="319" t="s">
        <v>190</v>
      </c>
      <c r="HS488" s="319" t="s">
        <v>190</v>
      </c>
      <c r="HT488" s="319" t="s">
        <v>190</v>
      </c>
      <c r="HU488" s="319" t="s">
        <v>190</v>
      </c>
      <c r="HV488" s="319" t="s">
        <v>190</v>
      </c>
      <c r="HW488" s="319" t="s">
        <v>190</v>
      </c>
      <c r="HX488" s="319" t="s">
        <v>190</v>
      </c>
      <c r="HY488" s="319" t="s">
        <v>190</v>
      </c>
      <c r="HZ488" s="319" t="s">
        <v>190</v>
      </c>
      <c r="IA488" s="319" t="s">
        <v>190</v>
      </c>
      <c r="IB488" s="319" t="s">
        <v>190</v>
      </c>
      <c r="IC488" s="319" t="s">
        <v>190</v>
      </c>
      <c r="ID488" s="319" t="s">
        <v>190</v>
      </c>
      <c r="IE488" s="319" t="s">
        <v>190</v>
      </c>
      <c r="IF488" s="319" t="s">
        <v>190</v>
      </c>
      <c r="IG488" s="319" t="s">
        <v>190</v>
      </c>
      <c r="IH488" s="319" t="s">
        <v>190</v>
      </c>
      <c r="II488" s="319" t="s">
        <v>190</v>
      </c>
      <c r="IJ488" s="319">
        <v>10012837</v>
      </c>
      <c r="IK488" s="321">
        <v>42507</v>
      </c>
      <c r="IL488" s="321">
        <v>42509</v>
      </c>
      <c r="IM488" s="321">
        <v>42544</v>
      </c>
      <c r="IN488" s="319">
        <v>2</v>
      </c>
      <c r="IO488" s="319" t="s">
        <v>173</v>
      </c>
      <c r="IP488" s="319" t="s">
        <v>173</v>
      </c>
      <c r="IQ488" s="321" t="s">
        <v>173</v>
      </c>
      <c r="IR488" s="320" t="s">
        <v>173</v>
      </c>
      <c r="IS488" s="322" t="s">
        <v>173</v>
      </c>
      <c r="IT488" s="319" t="s">
        <v>173</v>
      </c>
    </row>
    <row r="489" spans="1:254" s="271" customFormat="1" x14ac:dyDescent="0.25">
      <c r="A489" s="318" t="str">
        <f>HYPERLINK("http://www.ofsted.gov.uk/inspection-reports/find-inspection-report/provider/ELS/135092 ","Ofsted School Webpage")</f>
        <v>Ofsted School Webpage</v>
      </c>
      <c r="B489" s="319">
        <v>135092</v>
      </c>
      <c r="C489" s="319">
        <v>8886095</v>
      </c>
      <c r="D489" s="319" t="s">
        <v>1878</v>
      </c>
      <c r="E489" s="319" t="s">
        <v>168</v>
      </c>
      <c r="F489" s="319" t="s">
        <v>81</v>
      </c>
      <c r="G489" s="319" t="s">
        <v>81</v>
      </c>
      <c r="H489" s="319" t="s">
        <v>81</v>
      </c>
      <c r="I489" s="319" t="s">
        <v>78</v>
      </c>
      <c r="J489" s="319" t="s">
        <v>424</v>
      </c>
      <c r="K489" s="319" t="s">
        <v>431</v>
      </c>
      <c r="L489" s="319" t="s">
        <v>431</v>
      </c>
      <c r="M489" s="319" t="s">
        <v>469</v>
      </c>
      <c r="N489" s="319" t="s">
        <v>2996</v>
      </c>
      <c r="O489" s="319" t="s">
        <v>1879</v>
      </c>
      <c r="P489" s="319">
        <v>39</v>
      </c>
      <c r="Q489" s="319" t="s">
        <v>429</v>
      </c>
      <c r="R489" s="320">
        <v>10092581</v>
      </c>
      <c r="S489" s="321">
        <v>43599</v>
      </c>
      <c r="T489" s="321">
        <v>43601</v>
      </c>
      <c r="U489" s="321">
        <v>43633</v>
      </c>
      <c r="V489" s="319" t="s">
        <v>425</v>
      </c>
      <c r="W489" s="319" t="s">
        <v>2767</v>
      </c>
      <c r="X489" s="319">
        <v>2</v>
      </c>
      <c r="Y489" s="319" t="s">
        <v>173</v>
      </c>
      <c r="Z489" s="319" t="s">
        <v>173</v>
      </c>
      <c r="AA489" s="319" t="s">
        <v>173</v>
      </c>
      <c r="AB489" s="319">
        <v>2</v>
      </c>
      <c r="AC489" s="319" t="s">
        <v>169</v>
      </c>
      <c r="AD489" s="319" t="s">
        <v>173</v>
      </c>
      <c r="AE489" s="319">
        <v>2</v>
      </c>
      <c r="AF489" s="319" t="s">
        <v>427</v>
      </c>
      <c r="AG489" s="319" t="s">
        <v>171</v>
      </c>
      <c r="AH489" s="319" t="s">
        <v>190</v>
      </c>
      <c r="AI489" s="319" t="s">
        <v>190</v>
      </c>
      <c r="AJ489" s="319" t="s">
        <v>190</v>
      </c>
      <c r="AK489" s="319" t="s">
        <v>190</v>
      </c>
      <c r="AL489" s="319" t="s">
        <v>190</v>
      </c>
      <c r="AM489" s="319" t="s">
        <v>190</v>
      </c>
      <c r="AN489" s="319" t="s">
        <v>190</v>
      </c>
      <c r="AO489" s="319" t="s">
        <v>190</v>
      </c>
      <c r="AP489" s="319" t="s">
        <v>190</v>
      </c>
      <c r="AQ489" s="319" t="s">
        <v>190</v>
      </c>
      <c r="AR489" s="319" t="s">
        <v>190</v>
      </c>
      <c r="AS489" s="319" t="s">
        <v>190</v>
      </c>
      <c r="AT489" s="319" t="s">
        <v>190</v>
      </c>
      <c r="AU489" s="319" t="s">
        <v>190</v>
      </c>
      <c r="AV489" s="319" t="s">
        <v>190</v>
      </c>
      <c r="AW489" s="319" t="s">
        <v>190</v>
      </c>
      <c r="AX489" s="319" t="s">
        <v>428</v>
      </c>
      <c r="AY489" s="319" t="s">
        <v>190</v>
      </c>
      <c r="AZ489" s="319" t="s">
        <v>190</v>
      </c>
      <c r="BA489" s="319" t="s">
        <v>190</v>
      </c>
      <c r="BB489" s="319" t="s">
        <v>190</v>
      </c>
      <c r="BC489" s="319" t="s">
        <v>190</v>
      </c>
      <c r="BD489" s="319" t="s">
        <v>190</v>
      </c>
      <c r="BE489" s="319" t="s">
        <v>190</v>
      </c>
      <c r="BF489" s="319" t="s">
        <v>428</v>
      </c>
      <c r="BG489" s="319" t="s">
        <v>190</v>
      </c>
      <c r="BH489" s="319" t="s">
        <v>190</v>
      </c>
      <c r="BI489" s="319" t="s">
        <v>190</v>
      </c>
      <c r="BJ489" s="319" t="s">
        <v>190</v>
      </c>
      <c r="BK489" s="319" t="s">
        <v>190</v>
      </c>
      <c r="BL489" s="319" t="s">
        <v>190</v>
      </c>
      <c r="BM489" s="319" t="s">
        <v>190</v>
      </c>
      <c r="BN489" s="319" t="s">
        <v>190</v>
      </c>
      <c r="BO489" s="319" t="s">
        <v>190</v>
      </c>
      <c r="BP489" s="319" t="s">
        <v>190</v>
      </c>
      <c r="BQ489" s="319" t="s">
        <v>190</v>
      </c>
      <c r="BR489" s="319" t="s">
        <v>190</v>
      </c>
      <c r="BS489" s="319" t="s">
        <v>190</v>
      </c>
      <c r="BT489" s="319" t="s">
        <v>190</v>
      </c>
      <c r="BU489" s="319" t="s">
        <v>190</v>
      </c>
      <c r="BV489" s="319" t="s">
        <v>190</v>
      </c>
      <c r="BW489" s="319" t="s">
        <v>190</v>
      </c>
      <c r="BX489" s="319" t="s">
        <v>190</v>
      </c>
      <c r="BY489" s="319" t="s">
        <v>190</v>
      </c>
      <c r="BZ489" s="319" t="s">
        <v>190</v>
      </c>
      <c r="CA489" s="319" t="s">
        <v>190</v>
      </c>
      <c r="CB489" s="319" t="s">
        <v>190</v>
      </c>
      <c r="CC489" s="319" t="s">
        <v>190</v>
      </c>
      <c r="CD489" s="319" t="s">
        <v>190</v>
      </c>
      <c r="CE489" s="319" t="s">
        <v>190</v>
      </c>
      <c r="CF489" s="319" t="s">
        <v>190</v>
      </c>
      <c r="CG489" s="319" t="s">
        <v>190</v>
      </c>
      <c r="CH489" s="319" t="s">
        <v>190</v>
      </c>
      <c r="CI489" s="319" t="s">
        <v>190</v>
      </c>
      <c r="CJ489" s="319" t="s">
        <v>190</v>
      </c>
      <c r="CK489" s="319" t="s">
        <v>190</v>
      </c>
      <c r="CL489" s="319" t="s">
        <v>190</v>
      </c>
      <c r="CM489" s="319" t="s">
        <v>190</v>
      </c>
      <c r="CN489" s="319" t="s">
        <v>190</v>
      </c>
      <c r="CO489" s="319" t="s">
        <v>428</v>
      </c>
      <c r="CP489" s="319" t="s">
        <v>428</v>
      </c>
      <c r="CQ489" s="319" t="s">
        <v>190</v>
      </c>
      <c r="CR489" s="319" t="s">
        <v>190</v>
      </c>
      <c r="CS489" s="319" t="s">
        <v>190</v>
      </c>
      <c r="CT489" s="319" t="s">
        <v>190</v>
      </c>
      <c r="CU489" s="319" t="s">
        <v>190</v>
      </c>
      <c r="CV489" s="319" t="s">
        <v>190</v>
      </c>
      <c r="CW489" s="319" t="s">
        <v>190</v>
      </c>
      <c r="CX489" s="319" t="s">
        <v>190</v>
      </c>
      <c r="CY489" s="319" t="s">
        <v>190</v>
      </c>
      <c r="CZ489" s="319" t="s">
        <v>190</v>
      </c>
      <c r="DA489" s="319" t="s">
        <v>190</v>
      </c>
      <c r="DB489" s="319" t="s">
        <v>190</v>
      </c>
      <c r="DC489" s="319" t="s">
        <v>190</v>
      </c>
      <c r="DD489" s="319" t="s">
        <v>190</v>
      </c>
      <c r="DE489" s="319" t="s">
        <v>190</v>
      </c>
      <c r="DF489" s="319" t="s">
        <v>190</v>
      </c>
      <c r="DG489" s="319" t="s">
        <v>190</v>
      </c>
      <c r="DH489" s="319" t="s">
        <v>190</v>
      </c>
      <c r="DI489" s="319" t="s">
        <v>190</v>
      </c>
      <c r="DJ489" s="319" t="s">
        <v>190</v>
      </c>
      <c r="DK489" s="319" t="s">
        <v>190</v>
      </c>
      <c r="DL489" s="319" t="s">
        <v>190</v>
      </c>
      <c r="DM489" s="319" t="s">
        <v>190</v>
      </c>
      <c r="DN489" s="319" t="s">
        <v>190</v>
      </c>
      <c r="DO489" s="319" t="s">
        <v>190</v>
      </c>
      <c r="DP489" s="319" t="s">
        <v>190</v>
      </c>
      <c r="DQ489" s="319" t="s">
        <v>190</v>
      </c>
      <c r="DR489" s="319" t="s">
        <v>190</v>
      </c>
      <c r="DS489" s="319" t="s">
        <v>190</v>
      </c>
      <c r="DT489" s="319" t="s">
        <v>190</v>
      </c>
      <c r="DU489" s="319" t="s">
        <v>190</v>
      </c>
      <c r="DV489" s="319" t="s">
        <v>173</v>
      </c>
      <c r="DW489" s="319" t="s">
        <v>190</v>
      </c>
      <c r="DX489" s="319" t="s">
        <v>190</v>
      </c>
      <c r="DY489" s="319" t="s">
        <v>190</v>
      </c>
      <c r="DZ489" s="319" t="s">
        <v>190</v>
      </c>
      <c r="EA489" s="319" t="s">
        <v>190</v>
      </c>
      <c r="EB489" s="319" t="s">
        <v>190</v>
      </c>
      <c r="EC489" s="319" t="s">
        <v>428</v>
      </c>
      <c r="ED489" s="319" t="s">
        <v>190</v>
      </c>
      <c r="EE489" s="319" t="s">
        <v>190</v>
      </c>
      <c r="EF489" s="319" t="s">
        <v>190</v>
      </c>
      <c r="EG489" s="319" t="s">
        <v>190</v>
      </c>
      <c r="EH489" s="319" t="s">
        <v>190</v>
      </c>
      <c r="EI489" s="319" t="s">
        <v>190</v>
      </c>
      <c r="EJ489" s="319" t="s">
        <v>190</v>
      </c>
      <c r="EK489" s="319" t="s">
        <v>190</v>
      </c>
      <c r="EL489" s="319" t="s">
        <v>190</v>
      </c>
      <c r="EM489" s="319" t="s">
        <v>190</v>
      </c>
      <c r="EN489" s="319" t="s">
        <v>190</v>
      </c>
      <c r="EO489" s="319" t="s">
        <v>190</v>
      </c>
      <c r="EP489" s="319" t="s">
        <v>190</v>
      </c>
      <c r="EQ489" s="319" t="s">
        <v>190</v>
      </c>
      <c r="ER489" s="319" t="s">
        <v>190</v>
      </c>
      <c r="ES489" s="319" t="s">
        <v>190</v>
      </c>
      <c r="ET489" s="319" t="s">
        <v>190</v>
      </c>
      <c r="EU489" s="319" t="s">
        <v>190</v>
      </c>
      <c r="EV489" s="319" t="s">
        <v>190</v>
      </c>
      <c r="EW489" s="319" t="s">
        <v>190</v>
      </c>
      <c r="EX489" s="319" t="s">
        <v>190</v>
      </c>
      <c r="EY489" s="319" t="s">
        <v>190</v>
      </c>
      <c r="EZ489" s="319" t="s">
        <v>190</v>
      </c>
      <c r="FA489" s="319" t="s">
        <v>190</v>
      </c>
      <c r="FB489" s="319" t="s">
        <v>190</v>
      </c>
      <c r="FC489" s="319" t="s">
        <v>190</v>
      </c>
      <c r="FD489" s="319" t="s">
        <v>190</v>
      </c>
      <c r="FE489" s="319" t="s">
        <v>190</v>
      </c>
      <c r="FF489" s="319" t="s">
        <v>190</v>
      </c>
      <c r="FG489" s="319" t="s">
        <v>190</v>
      </c>
      <c r="FH489" s="319" t="s">
        <v>190</v>
      </c>
      <c r="FI489" s="319" t="s">
        <v>190</v>
      </c>
      <c r="FJ489" s="319" t="s">
        <v>190</v>
      </c>
      <c r="FK489" s="319" t="s">
        <v>190</v>
      </c>
      <c r="FL489" s="319" t="s">
        <v>190</v>
      </c>
      <c r="FM489" s="319" t="s">
        <v>190</v>
      </c>
      <c r="FN489" s="319" t="s">
        <v>190</v>
      </c>
      <c r="FO489" s="319" t="s">
        <v>190</v>
      </c>
      <c r="FP489" s="319" t="s">
        <v>190</v>
      </c>
      <c r="FQ489" s="319" t="s">
        <v>190</v>
      </c>
      <c r="FR489" s="319" t="s">
        <v>190</v>
      </c>
      <c r="FS489" s="319" t="s">
        <v>190</v>
      </c>
      <c r="FT489" s="319" t="s">
        <v>190</v>
      </c>
      <c r="FU489" s="319" t="s">
        <v>190</v>
      </c>
      <c r="FV489" s="319" t="s">
        <v>190</v>
      </c>
      <c r="FW489" s="319" t="s">
        <v>190</v>
      </c>
      <c r="FX489" s="319" t="s">
        <v>190</v>
      </c>
      <c r="FY489" s="319" t="s">
        <v>190</v>
      </c>
      <c r="FZ489" s="319" t="s">
        <v>190</v>
      </c>
      <c r="GA489" s="319" t="s">
        <v>190</v>
      </c>
      <c r="GB489" s="319" t="s">
        <v>190</v>
      </c>
      <c r="GC489" s="319" t="s">
        <v>190</v>
      </c>
      <c r="GD489" s="319" t="s">
        <v>190</v>
      </c>
      <c r="GE489" s="319" t="s">
        <v>190</v>
      </c>
      <c r="GF489" s="319" t="s">
        <v>190</v>
      </c>
      <c r="GG489" s="319" t="s">
        <v>190</v>
      </c>
      <c r="GH489" s="319" t="s">
        <v>190</v>
      </c>
      <c r="GI489" s="319" t="s">
        <v>190</v>
      </c>
      <c r="GJ489" s="319" t="s">
        <v>190</v>
      </c>
      <c r="GK489" s="319" t="s">
        <v>190</v>
      </c>
      <c r="GL489" s="319" t="s">
        <v>190</v>
      </c>
      <c r="GM489" s="319" t="s">
        <v>190</v>
      </c>
      <c r="GN489" s="319" t="s">
        <v>190</v>
      </c>
      <c r="GO489" s="319" t="s">
        <v>190</v>
      </c>
      <c r="GP489" s="319" t="s">
        <v>190</v>
      </c>
      <c r="GQ489" s="319" t="s">
        <v>190</v>
      </c>
      <c r="GR489" s="319" t="s">
        <v>190</v>
      </c>
      <c r="GS489" s="319" t="s">
        <v>190</v>
      </c>
      <c r="GT489" s="319" t="s">
        <v>190</v>
      </c>
      <c r="GU489" s="319" t="s">
        <v>190</v>
      </c>
      <c r="GV489" s="319" t="s">
        <v>190</v>
      </c>
      <c r="GW489" s="319" t="s">
        <v>190</v>
      </c>
      <c r="GX489" s="319" t="s">
        <v>190</v>
      </c>
      <c r="GY489" s="319" t="s">
        <v>190</v>
      </c>
      <c r="GZ489" s="319" t="s">
        <v>190</v>
      </c>
      <c r="HA489" s="319" t="s">
        <v>190</v>
      </c>
      <c r="HB489" s="319" t="s">
        <v>190</v>
      </c>
      <c r="HC489" s="319" t="s">
        <v>190</v>
      </c>
      <c r="HD489" s="319" t="s">
        <v>190</v>
      </c>
      <c r="HE489" s="319" t="s">
        <v>190</v>
      </c>
      <c r="HF489" s="319" t="s">
        <v>190</v>
      </c>
      <c r="HG489" s="319" t="s">
        <v>190</v>
      </c>
      <c r="HH489" s="319" t="s">
        <v>190</v>
      </c>
      <c r="HI489" s="319" t="s">
        <v>190</v>
      </c>
      <c r="HJ489" s="319" t="s">
        <v>190</v>
      </c>
      <c r="HK489" s="319" t="s">
        <v>190</v>
      </c>
      <c r="HL489" s="319" t="s">
        <v>190</v>
      </c>
      <c r="HM489" s="319" t="s">
        <v>428</v>
      </c>
      <c r="HN489" s="319" t="s">
        <v>428</v>
      </c>
      <c r="HO489" s="319" t="s">
        <v>428</v>
      </c>
      <c r="HP489" s="319" t="s">
        <v>190</v>
      </c>
      <c r="HQ489" s="319" t="s">
        <v>190</v>
      </c>
      <c r="HR489" s="319" t="s">
        <v>190</v>
      </c>
      <c r="HS489" s="319" t="s">
        <v>190</v>
      </c>
      <c r="HT489" s="319" t="s">
        <v>190</v>
      </c>
      <c r="HU489" s="319" t="s">
        <v>190</v>
      </c>
      <c r="HV489" s="319" t="s">
        <v>190</v>
      </c>
      <c r="HW489" s="319" t="s">
        <v>190</v>
      </c>
      <c r="HX489" s="319" t="s">
        <v>190</v>
      </c>
      <c r="HY489" s="319" t="s">
        <v>190</v>
      </c>
      <c r="HZ489" s="319" t="s">
        <v>190</v>
      </c>
      <c r="IA489" s="319" t="s">
        <v>190</v>
      </c>
      <c r="IB489" s="319" t="s">
        <v>190</v>
      </c>
      <c r="IC489" s="319" t="s">
        <v>190</v>
      </c>
      <c r="ID489" s="319" t="s">
        <v>190</v>
      </c>
      <c r="IE489" s="319" t="s">
        <v>190</v>
      </c>
      <c r="IF489" s="319" t="s">
        <v>190</v>
      </c>
      <c r="IG489" s="319" t="s">
        <v>190</v>
      </c>
      <c r="IH489" s="319" t="s">
        <v>190</v>
      </c>
      <c r="II489" s="319" t="s">
        <v>190</v>
      </c>
      <c r="IJ489" s="319">
        <v>10020813</v>
      </c>
      <c r="IK489" s="321">
        <v>42710</v>
      </c>
      <c r="IL489" s="321">
        <v>42712</v>
      </c>
      <c r="IM489" s="321">
        <v>42746</v>
      </c>
      <c r="IN489" s="319">
        <v>2</v>
      </c>
      <c r="IO489" s="319" t="s">
        <v>173</v>
      </c>
      <c r="IP489" s="319" t="s">
        <v>173</v>
      </c>
      <c r="IQ489" s="321" t="s">
        <v>173</v>
      </c>
      <c r="IR489" s="320" t="s">
        <v>173</v>
      </c>
      <c r="IS489" s="322" t="s">
        <v>173</v>
      </c>
      <c r="IT489" s="319" t="s">
        <v>173</v>
      </c>
    </row>
    <row r="490" spans="1:254" s="271" customFormat="1" x14ac:dyDescent="0.25">
      <c r="A490" s="318" t="str">
        <f>HYPERLINK("http://www.ofsted.gov.uk/inspection-reports/find-inspection-report/provider/ELS/135097 ","Ofsted School Webpage")</f>
        <v>Ofsted School Webpage</v>
      </c>
      <c r="B490" s="319">
        <v>135097</v>
      </c>
      <c r="C490" s="319">
        <v>9166081</v>
      </c>
      <c r="D490" s="319" t="s">
        <v>1129</v>
      </c>
      <c r="E490" s="319" t="s">
        <v>167</v>
      </c>
      <c r="F490" s="319" t="s">
        <v>81</v>
      </c>
      <c r="G490" s="319" t="s">
        <v>72</v>
      </c>
      <c r="H490" s="319" t="s">
        <v>72</v>
      </c>
      <c r="I490" s="319" t="s">
        <v>72</v>
      </c>
      <c r="J490" s="319" t="s">
        <v>424</v>
      </c>
      <c r="K490" s="319" t="s">
        <v>422</v>
      </c>
      <c r="L490" s="319" t="s">
        <v>422</v>
      </c>
      <c r="M490" s="319" t="s">
        <v>846</v>
      </c>
      <c r="N490" s="319" t="s">
        <v>2951</v>
      </c>
      <c r="O490" s="319" t="s">
        <v>1130</v>
      </c>
      <c r="P490" s="319">
        <v>180</v>
      </c>
      <c r="Q490" s="319" t="s">
        <v>2766</v>
      </c>
      <c r="R490" s="320">
        <v>10033892</v>
      </c>
      <c r="S490" s="321">
        <v>43053</v>
      </c>
      <c r="T490" s="321">
        <v>43055</v>
      </c>
      <c r="U490" s="321">
        <v>43109</v>
      </c>
      <c r="V490" s="319" t="s">
        <v>425</v>
      </c>
      <c r="W490" s="319" t="s">
        <v>2767</v>
      </c>
      <c r="X490" s="319">
        <v>4</v>
      </c>
      <c r="Y490" s="319" t="s">
        <v>173</v>
      </c>
      <c r="Z490" s="319" t="s">
        <v>173</v>
      </c>
      <c r="AA490" s="319" t="s">
        <v>173</v>
      </c>
      <c r="AB490" s="319">
        <v>4</v>
      </c>
      <c r="AC490" s="319" t="s">
        <v>170</v>
      </c>
      <c r="AD490" s="319">
        <v>4</v>
      </c>
      <c r="AE490" s="319" t="s">
        <v>173</v>
      </c>
      <c r="AF490" s="319" t="s">
        <v>173</v>
      </c>
      <c r="AG490" s="319" t="s">
        <v>172</v>
      </c>
      <c r="AH490" s="319" t="s">
        <v>479</v>
      </c>
      <c r="AI490" s="319" t="s">
        <v>190</v>
      </c>
      <c r="AJ490" s="319" t="s">
        <v>479</v>
      </c>
      <c r="AK490" s="319" t="s">
        <v>190</v>
      </c>
      <c r="AL490" s="319" t="s">
        <v>479</v>
      </c>
      <c r="AM490" s="319" t="s">
        <v>190</v>
      </c>
      <c r="AN490" s="319" t="s">
        <v>190</v>
      </c>
      <c r="AO490" s="319" t="s">
        <v>479</v>
      </c>
      <c r="AP490" s="319" t="s">
        <v>190</v>
      </c>
      <c r="AQ490" s="319" t="s">
        <v>190</v>
      </c>
      <c r="AR490" s="319" t="s">
        <v>190</v>
      </c>
      <c r="AS490" s="319" t="s">
        <v>190</v>
      </c>
      <c r="AT490" s="319" t="s">
        <v>190</v>
      </c>
      <c r="AU490" s="319" t="s">
        <v>190</v>
      </c>
      <c r="AV490" s="319" t="s">
        <v>190</v>
      </c>
      <c r="AW490" s="319" t="s">
        <v>190</v>
      </c>
      <c r="AX490" s="319" t="s">
        <v>190</v>
      </c>
      <c r="AY490" s="319" t="s">
        <v>190</v>
      </c>
      <c r="AZ490" s="319" t="s">
        <v>190</v>
      </c>
      <c r="BA490" s="319" t="s">
        <v>190</v>
      </c>
      <c r="BB490" s="319" t="s">
        <v>429</v>
      </c>
      <c r="BC490" s="319" t="s">
        <v>429</v>
      </c>
      <c r="BD490" s="319" t="s">
        <v>429</v>
      </c>
      <c r="BE490" s="319" t="s">
        <v>429</v>
      </c>
      <c r="BF490" s="319" t="s">
        <v>190</v>
      </c>
      <c r="BG490" s="319" t="s">
        <v>190</v>
      </c>
      <c r="BH490" s="319" t="s">
        <v>190</v>
      </c>
      <c r="BI490" s="319" t="s">
        <v>190</v>
      </c>
      <c r="BJ490" s="319" t="s">
        <v>191</v>
      </c>
      <c r="BK490" s="319" t="s">
        <v>191</v>
      </c>
      <c r="BL490" s="319" t="s">
        <v>190</v>
      </c>
      <c r="BM490" s="319" t="s">
        <v>190</v>
      </c>
      <c r="BN490" s="319" t="s">
        <v>190</v>
      </c>
      <c r="BO490" s="319" t="s">
        <v>190</v>
      </c>
      <c r="BP490" s="319" t="s">
        <v>191</v>
      </c>
      <c r="BQ490" s="319" t="s">
        <v>190</v>
      </c>
      <c r="BR490" s="319" t="s">
        <v>190</v>
      </c>
      <c r="BS490" s="319" t="s">
        <v>190</v>
      </c>
      <c r="BT490" s="319" t="s">
        <v>190</v>
      </c>
      <c r="BU490" s="319" t="s">
        <v>190</v>
      </c>
      <c r="BV490" s="319" t="s">
        <v>190</v>
      </c>
      <c r="BW490" s="319" t="s">
        <v>190</v>
      </c>
      <c r="BX490" s="319" t="s">
        <v>190</v>
      </c>
      <c r="BY490" s="319" t="s">
        <v>190</v>
      </c>
      <c r="BZ490" s="319" t="s">
        <v>190</v>
      </c>
      <c r="CA490" s="319" t="s">
        <v>190</v>
      </c>
      <c r="CB490" s="319" t="s">
        <v>190</v>
      </c>
      <c r="CC490" s="319" t="s">
        <v>190</v>
      </c>
      <c r="CD490" s="319" t="s">
        <v>190</v>
      </c>
      <c r="CE490" s="319" t="s">
        <v>190</v>
      </c>
      <c r="CF490" s="319" t="s">
        <v>190</v>
      </c>
      <c r="CG490" s="319" t="s">
        <v>190</v>
      </c>
      <c r="CH490" s="319" t="s">
        <v>190</v>
      </c>
      <c r="CI490" s="319" t="s">
        <v>190</v>
      </c>
      <c r="CJ490" s="319" t="s">
        <v>190</v>
      </c>
      <c r="CK490" s="319" t="s">
        <v>191</v>
      </c>
      <c r="CL490" s="319" t="s">
        <v>191</v>
      </c>
      <c r="CM490" s="319" t="s">
        <v>191</v>
      </c>
      <c r="CN490" s="319" t="s">
        <v>429</v>
      </c>
      <c r="CO490" s="319" t="s">
        <v>429</v>
      </c>
      <c r="CP490" s="319" t="s">
        <v>429</v>
      </c>
      <c r="CQ490" s="319" t="s">
        <v>190</v>
      </c>
      <c r="CR490" s="319" t="s">
        <v>190</v>
      </c>
      <c r="CS490" s="319" t="s">
        <v>190</v>
      </c>
      <c r="CT490" s="319" t="s">
        <v>190</v>
      </c>
      <c r="CU490" s="319" t="s">
        <v>190</v>
      </c>
      <c r="CV490" s="319" t="s">
        <v>190</v>
      </c>
      <c r="CW490" s="319" t="s">
        <v>191</v>
      </c>
      <c r="CX490" s="319" t="s">
        <v>190</v>
      </c>
      <c r="CY490" s="319" t="s">
        <v>190</v>
      </c>
      <c r="CZ490" s="319" t="s">
        <v>190</v>
      </c>
      <c r="DA490" s="319" t="s">
        <v>191</v>
      </c>
      <c r="DB490" s="319" t="s">
        <v>191</v>
      </c>
      <c r="DC490" s="319" t="s">
        <v>191</v>
      </c>
      <c r="DD490" s="319" t="s">
        <v>190</v>
      </c>
      <c r="DE490" s="319" t="s">
        <v>190</v>
      </c>
      <c r="DF490" s="319" t="s">
        <v>190</v>
      </c>
      <c r="DG490" s="319" t="s">
        <v>190</v>
      </c>
      <c r="DH490" s="319" t="s">
        <v>190</v>
      </c>
      <c r="DI490" s="319" t="s">
        <v>190</v>
      </c>
      <c r="DJ490" s="319" t="s">
        <v>190</v>
      </c>
      <c r="DK490" s="319" t="s">
        <v>190</v>
      </c>
      <c r="DL490" s="319" t="s">
        <v>190</v>
      </c>
      <c r="DM490" s="319" t="s">
        <v>190</v>
      </c>
      <c r="DN490" s="319" t="s">
        <v>190</v>
      </c>
      <c r="DO490" s="319" t="s">
        <v>190</v>
      </c>
      <c r="DP490" s="319" t="s">
        <v>190</v>
      </c>
      <c r="DQ490" s="319" t="s">
        <v>190</v>
      </c>
      <c r="DR490" s="319" t="s">
        <v>190</v>
      </c>
      <c r="DS490" s="319" t="s">
        <v>190</v>
      </c>
      <c r="DT490" s="319" t="s">
        <v>190</v>
      </c>
      <c r="DU490" s="319" t="s">
        <v>190</v>
      </c>
      <c r="DV490" s="319" t="s">
        <v>173</v>
      </c>
      <c r="DW490" s="319" t="s">
        <v>190</v>
      </c>
      <c r="DX490" s="319" t="s">
        <v>190</v>
      </c>
      <c r="DY490" s="319" t="s">
        <v>190</v>
      </c>
      <c r="DZ490" s="319" t="s">
        <v>190</v>
      </c>
      <c r="EA490" s="319" t="s">
        <v>190</v>
      </c>
      <c r="EB490" s="319" t="s">
        <v>190</v>
      </c>
      <c r="EC490" s="319" t="s">
        <v>190</v>
      </c>
      <c r="ED490" s="319" t="s">
        <v>190</v>
      </c>
      <c r="EE490" s="319" t="s">
        <v>190</v>
      </c>
      <c r="EF490" s="319" t="s">
        <v>190</v>
      </c>
      <c r="EG490" s="319" t="s">
        <v>190</v>
      </c>
      <c r="EH490" s="319" t="s">
        <v>190</v>
      </c>
      <c r="EI490" s="319" t="s">
        <v>190</v>
      </c>
      <c r="EJ490" s="319" t="s">
        <v>190</v>
      </c>
      <c r="EK490" s="319" t="s">
        <v>190</v>
      </c>
      <c r="EL490" s="319" t="s">
        <v>190</v>
      </c>
      <c r="EM490" s="319" t="s">
        <v>190</v>
      </c>
      <c r="EN490" s="319" t="s">
        <v>190</v>
      </c>
      <c r="EO490" s="319" t="s">
        <v>190</v>
      </c>
      <c r="EP490" s="319" t="s">
        <v>190</v>
      </c>
      <c r="EQ490" s="319" t="s">
        <v>190</v>
      </c>
      <c r="ER490" s="319" t="s">
        <v>190</v>
      </c>
      <c r="ES490" s="319" t="s">
        <v>190</v>
      </c>
      <c r="ET490" s="319" t="s">
        <v>190</v>
      </c>
      <c r="EU490" s="319" t="s">
        <v>190</v>
      </c>
      <c r="EV490" s="319" t="s">
        <v>190</v>
      </c>
      <c r="EW490" s="319" t="s">
        <v>190</v>
      </c>
      <c r="EX490" s="319" t="s">
        <v>190</v>
      </c>
      <c r="EY490" s="319" t="s">
        <v>190</v>
      </c>
      <c r="EZ490" s="319" t="s">
        <v>190</v>
      </c>
      <c r="FA490" s="319" t="s">
        <v>190</v>
      </c>
      <c r="FB490" s="319" t="s">
        <v>190</v>
      </c>
      <c r="FC490" s="319" t="s">
        <v>190</v>
      </c>
      <c r="FD490" s="319" t="s">
        <v>190</v>
      </c>
      <c r="FE490" s="319" t="s">
        <v>190</v>
      </c>
      <c r="FF490" s="319" t="s">
        <v>190</v>
      </c>
      <c r="FG490" s="319" t="s">
        <v>190</v>
      </c>
      <c r="FH490" s="319" t="s">
        <v>190</v>
      </c>
      <c r="FI490" s="319" t="s">
        <v>190</v>
      </c>
      <c r="FJ490" s="319" t="s">
        <v>190</v>
      </c>
      <c r="FK490" s="319" t="s">
        <v>190</v>
      </c>
      <c r="FL490" s="319" t="s">
        <v>190</v>
      </c>
      <c r="FM490" s="319" t="s">
        <v>190</v>
      </c>
      <c r="FN490" s="319" t="s">
        <v>190</v>
      </c>
      <c r="FO490" s="319" t="s">
        <v>190</v>
      </c>
      <c r="FP490" s="319" t="s">
        <v>190</v>
      </c>
      <c r="FQ490" s="319" t="s">
        <v>190</v>
      </c>
      <c r="FR490" s="319" t="s">
        <v>190</v>
      </c>
      <c r="FS490" s="319" t="s">
        <v>190</v>
      </c>
      <c r="FT490" s="319" t="s">
        <v>190</v>
      </c>
      <c r="FU490" s="319" t="s">
        <v>191</v>
      </c>
      <c r="FV490" s="319" t="s">
        <v>190</v>
      </c>
      <c r="FW490" s="319" t="s">
        <v>190</v>
      </c>
      <c r="FX490" s="319" t="s">
        <v>190</v>
      </c>
      <c r="FY490" s="319" t="s">
        <v>190</v>
      </c>
      <c r="FZ490" s="319" t="s">
        <v>190</v>
      </c>
      <c r="GA490" s="319" t="s">
        <v>190</v>
      </c>
      <c r="GB490" s="319" t="s">
        <v>190</v>
      </c>
      <c r="GC490" s="319" t="s">
        <v>190</v>
      </c>
      <c r="GD490" s="319" t="s">
        <v>190</v>
      </c>
      <c r="GE490" s="319" t="s">
        <v>190</v>
      </c>
      <c r="GF490" s="319" t="s">
        <v>190</v>
      </c>
      <c r="GG490" s="319" t="s">
        <v>190</v>
      </c>
      <c r="GH490" s="319" t="s">
        <v>190</v>
      </c>
      <c r="GI490" s="319" t="s">
        <v>190</v>
      </c>
      <c r="GJ490" s="319" t="s">
        <v>190</v>
      </c>
      <c r="GK490" s="319" t="s">
        <v>429</v>
      </c>
      <c r="GL490" s="319" t="s">
        <v>190</v>
      </c>
      <c r="GM490" s="319" t="s">
        <v>190</v>
      </c>
      <c r="GN490" s="319" t="s">
        <v>190</v>
      </c>
      <c r="GO490" s="319" t="s">
        <v>190</v>
      </c>
      <c r="GP490" s="319" t="s">
        <v>190</v>
      </c>
      <c r="GQ490" s="319" t="s">
        <v>190</v>
      </c>
      <c r="GR490" s="319" t="s">
        <v>190</v>
      </c>
      <c r="GS490" s="319" t="s">
        <v>190</v>
      </c>
      <c r="GT490" s="319" t="s">
        <v>190</v>
      </c>
      <c r="GU490" s="319" t="s">
        <v>190</v>
      </c>
      <c r="GV490" s="319" t="s">
        <v>190</v>
      </c>
      <c r="GW490" s="319" t="s">
        <v>190</v>
      </c>
      <c r="GX490" s="319" t="s">
        <v>190</v>
      </c>
      <c r="GY490" s="319" t="s">
        <v>190</v>
      </c>
      <c r="GZ490" s="319" t="s">
        <v>190</v>
      </c>
      <c r="HA490" s="319" t="s">
        <v>190</v>
      </c>
      <c r="HB490" s="319" t="s">
        <v>190</v>
      </c>
      <c r="HC490" s="319" t="s">
        <v>190</v>
      </c>
      <c r="HD490" s="319" t="s">
        <v>190</v>
      </c>
      <c r="HE490" s="319" t="s">
        <v>190</v>
      </c>
      <c r="HF490" s="319" t="s">
        <v>190</v>
      </c>
      <c r="HG490" s="319" t="s">
        <v>190</v>
      </c>
      <c r="HH490" s="319" t="s">
        <v>190</v>
      </c>
      <c r="HI490" s="319" t="s">
        <v>190</v>
      </c>
      <c r="HJ490" s="319" t="s">
        <v>190</v>
      </c>
      <c r="HK490" s="319" t="s">
        <v>190</v>
      </c>
      <c r="HL490" s="319" t="s">
        <v>190</v>
      </c>
      <c r="HM490" s="319" t="s">
        <v>190</v>
      </c>
      <c r="HN490" s="319" t="s">
        <v>190</v>
      </c>
      <c r="HO490" s="319" t="s">
        <v>190</v>
      </c>
      <c r="HP490" s="319" t="s">
        <v>190</v>
      </c>
      <c r="HQ490" s="319" t="s">
        <v>190</v>
      </c>
      <c r="HR490" s="319" t="s">
        <v>190</v>
      </c>
      <c r="HS490" s="319" t="s">
        <v>190</v>
      </c>
      <c r="HT490" s="319" t="s">
        <v>190</v>
      </c>
      <c r="HU490" s="319" t="s">
        <v>190</v>
      </c>
      <c r="HV490" s="319" t="s">
        <v>190</v>
      </c>
      <c r="HW490" s="319" t="s">
        <v>190</v>
      </c>
      <c r="HX490" s="319" t="s">
        <v>190</v>
      </c>
      <c r="HY490" s="319" t="s">
        <v>190</v>
      </c>
      <c r="HZ490" s="319" t="s">
        <v>190</v>
      </c>
      <c r="IA490" s="319" t="s">
        <v>190</v>
      </c>
      <c r="IB490" s="319" t="s">
        <v>190</v>
      </c>
      <c r="IC490" s="319" t="s">
        <v>190</v>
      </c>
      <c r="ID490" s="319" t="s">
        <v>190</v>
      </c>
      <c r="IE490" s="319" t="s">
        <v>190</v>
      </c>
      <c r="IF490" s="319" t="s">
        <v>191</v>
      </c>
      <c r="IG490" s="319" t="s">
        <v>191</v>
      </c>
      <c r="IH490" s="319" t="s">
        <v>191</v>
      </c>
      <c r="II490" s="319" t="s">
        <v>191</v>
      </c>
      <c r="IJ490" s="319" t="s">
        <v>3255</v>
      </c>
      <c r="IK490" s="321">
        <v>41807</v>
      </c>
      <c r="IL490" s="321">
        <v>41809</v>
      </c>
      <c r="IM490" s="321">
        <v>41828</v>
      </c>
      <c r="IN490" s="319">
        <v>2</v>
      </c>
      <c r="IO490" s="319">
        <v>10101575</v>
      </c>
      <c r="IP490" s="319" t="s">
        <v>985</v>
      </c>
      <c r="IQ490" s="321">
        <v>43629</v>
      </c>
      <c r="IR490" s="320" t="s">
        <v>1223</v>
      </c>
      <c r="IS490" s="322">
        <v>43660</v>
      </c>
      <c r="IT490" s="319" t="s">
        <v>165</v>
      </c>
    </row>
    <row r="491" spans="1:254" s="271" customFormat="1" x14ac:dyDescent="0.25">
      <c r="A491" s="318" t="str">
        <f>HYPERLINK("http://www.ofsted.gov.uk/inspection-reports/find-inspection-report/provider/ELS/135105 ","Ofsted School Webpage")</f>
        <v>Ofsted School Webpage</v>
      </c>
      <c r="B491" s="319">
        <v>135105</v>
      </c>
      <c r="C491" s="319">
        <v>8506086</v>
      </c>
      <c r="D491" s="319" t="s">
        <v>1880</v>
      </c>
      <c r="E491" s="319" t="s">
        <v>168</v>
      </c>
      <c r="F491" s="319" t="s">
        <v>81</v>
      </c>
      <c r="G491" s="319" t="s">
        <v>81</v>
      </c>
      <c r="H491" s="319" t="s">
        <v>81</v>
      </c>
      <c r="I491" s="319" t="s">
        <v>78</v>
      </c>
      <c r="J491" s="319" t="s">
        <v>424</v>
      </c>
      <c r="K491" s="319" t="s">
        <v>514</v>
      </c>
      <c r="L491" s="319" t="s">
        <v>514</v>
      </c>
      <c r="M491" s="319" t="s">
        <v>515</v>
      </c>
      <c r="N491" s="319" t="s">
        <v>3256</v>
      </c>
      <c r="O491" s="319" t="s">
        <v>1881</v>
      </c>
      <c r="P491" s="319">
        <v>36</v>
      </c>
      <c r="Q491" s="319" t="s">
        <v>429</v>
      </c>
      <c r="R491" s="320">
        <v>10033961</v>
      </c>
      <c r="S491" s="321">
        <v>43004</v>
      </c>
      <c r="T491" s="321">
        <v>43006</v>
      </c>
      <c r="U491" s="321">
        <v>43052</v>
      </c>
      <c r="V491" s="319" t="s">
        <v>425</v>
      </c>
      <c r="W491" s="319" t="s">
        <v>2767</v>
      </c>
      <c r="X491" s="319">
        <v>1</v>
      </c>
      <c r="Y491" s="319" t="s">
        <v>173</v>
      </c>
      <c r="Z491" s="319" t="s">
        <v>173</v>
      </c>
      <c r="AA491" s="319" t="s">
        <v>173</v>
      </c>
      <c r="AB491" s="319">
        <v>1</v>
      </c>
      <c r="AC491" s="319" t="s">
        <v>169</v>
      </c>
      <c r="AD491" s="319" t="s">
        <v>173</v>
      </c>
      <c r="AE491" s="319" t="s">
        <v>173</v>
      </c>
      <c r="AF491" s="319" t="s">
        <v>427</v>
      </c>
      <c r="AG491" s="319" t="s">
        <v>171</v>
      </c>
      <c r="AH491" s="319" t="s">
        <v>190</v>
      </c>
      <c r="AI491" s="319" t="s">
        <v>190</v>
      </c>
      <c r="AJ491" s="319" t="s">
        <v>190</v>
      </c>
      <c r="AK491" s="319" t="s">
        <v>190</v>
      </c>
      <c r="AL491" s="319" t="s">
        <v>190</v>
      </c>
      <c r="AM491" s="319" t="s">
        <v>190</v>
      </c>
      <c r="AN491" s="319" t="s">
        <v>190</v>
      </c>
      <c r="AO491" s="319" t="s">
        <v>190</v>
      </c>
      <c r="AP491" s="319" t="s">
        <v>190</v>
      </c>
      <c r="AQ491" s="319" t="s">
        <v>190</v>
      </c>
      <c r="AR491" s="319" t="s">
        <v>190</v>
      </c>
      <c r="AS491" s="319" t="s">
        <v>190</v>
      </c>
      <c r="AT491" s="319" t="s">
        <v>190</v>
      </c>
      <c r="AU491" s="319" t="s">
        <v>190</v>
      </c>
      <c r="AV491" s="319" t="s">
        <v>190</v>
      </c>
      <c r="AW491" s="319" t="s">
        <v>190</v>
      </c>
      <c r="AX491" s="319" t="s">
        <v>428</v>
      </c>
      <c r="AY491" s="319" t="s">
        <v>190</v>
      </c>
      <c r="AZ491" s="319" t="s">
        <v>190</v>
      </c>
      <c r="BA491" s="319" t="s">
        <v>190</v>
      </c>
      <c r="BB491" s="319" t="s">
        <v>190</v>
      </c>
      <c r="BC491" s="319" t="s">
        <v>190</v>
      </c>
      <c r="BD491" s="319" t="s">
        <v>190</v>
      </c>
      <c r="BE491" s="319" t="s">
        <v>190</v>
      </c>
      <c r="BF491" s="319" t="s">
        <v>428</v>
      </c>
      <c r="BG491" s="319" t="s">
        <v>428</v>
      </c>
      <c r="BH491" s="319" t="s">
        <v>190</v>
      </c>
      <c r="BI491" s="319" t="s">
        <v>190</v>
      </c>
      <c r="BJ491" s="319" t="s">
        <v>190</v>
      </c>
      <c r="BK491" s="319" t="s">
        <v>190</v>
      </c>
      <c r="BL491" s="319" t="s">
        <v>190</v>
      </c>
      <c r="BM491" s="319" t="s">
        <v>190</v>
      </c>
      <c r="BN491" s="319" t="s">
        <v>190</v>
      </c>
      <c r="BO491" s="319" t="s">
        <v>190</v>
      </c>
      <c r="BP491" s="319" t="s">
        <v>190</v>
      </c>
      <c r="BQ491" s="319" t="s">
        <v>190</v>
      </c>
      <c r="BR491" s="319" t="s">
        <v>190</v>
      </c>
      <c r="BS491" s="319" t="s">
        <v>190</v>
      </c>
      <c r="BT491" s="319" t="s">
        <v>190</v>
      </c>
      <c r="BU491" s="319" t="s">
        <v>190</v>
      </c>
      <c r="BV491" s="319" t="s">
        <v>190</v>
      </c>
      <c r="BW491" s="319" t="s">
        <v>190</v>
      </c>
      <c r="BX491" s="319" t="s">
        <v>190</v>
      </c>
      <c r="BY491" s="319" t="s">
        <v>190</v>
      </c>
      <c r="BZ491" s="319" t="s">
        <v>190</v>
      </c>
      <c r="CA491" s="319" t="s">
        <v>190</v>
      </c>
      <c r="CB491" s="319" t="s">
        <v>190</v>
      </c>
      <c r="CC491" s="319" t="s">
        <v>190</v>
      </c>
      <c r="CD491" s="319" t="s">
        <v>190</v>
      </c>
      <c r="CE491" s="319" t="s">
        <v>190</v>
      </c>
      <c r="CF491" s="319" t="s">
        <v>190</v>
      </c>
      <c r="CG491" s="319" t="s">
        <v>190</v>
      </c>
      <c r="CH491" s="319" t="s">
        <v>190</v>
      </c>
      <c r="CI491" s="319" t="s">
        <v>190</v>
      </c>
      <c r="CJ491" s="319" t="s">
        <v>190</v>
      </c>
      <c r="CK491" s="319" t="s">
        <v>190</v>
      </c>
      <c r="CL491" s="319" t="s">
        <v>190</v>
      </c>
      <c r="CM491" s="319" t="s">
        <v>190</v>
      </c>
      <c r="CN491" s="319" t="s">
        <v>428</v>
      </c>
      <c r="CO491" s="319" t="s">
        <v>428</v>
      </c>
      <c r="CP491" s="319" t="s">
        <v>428</v>
      </c>
      <c r="CQ491" s="319" t="s">
        <v>190</v>
      </c>
      <c r="CR491" s="319" t="s">
        <v>190</v>
      </c>
      <c r="CS491" s="319" t="s">
        <v>190</v>
      </c>
      <c r="CT491" s="319" t="s">
        <v>190</v>
      </c>
      <c r="CU491" s="319" t="s">
        <v>190</v>
      </c>
      <c r="CV491" s="319" t="s">
        <v>190</v>
      </c>
      <c r="CW491" s="319" t="s">
        <v>190</v>
      </c>
      <c r="CX491" s="319" t="s">
        <v>190</v>
      </c>
      <c r="CY491" s="319" t="s">
        <v>190</v>
      </c>
      <c r="CZ491" s="319" t="s">
        <v>190</v>
      </c>
      <c r="DA491" s="319" t="s">
        <v>190</v>
      </c>
      <c r="DB491" s="319" t="s">
        <v>190</v>
      </c>
      <c r="DC491" s="319" t="s">
        <v>190</v>
      </c>
      <c r="DD491" s="319" t="s">
        <v>190</v>
      </c>
      <c r="DE491" s="319" t="s">
        <v>190</v>
      </c>
      <c r="DF491" s="319" t="s">
        <v>190</v>
      </c>
      <c r="DG491" s="319" t="s">
        <v>190</v>
      </c>
      <c r="DH491" s="319" t="s">
        <v>190</v>
      </c>
      <c r="DI491" s="319" t="s">
        <v>190</v>
      </c>
      <c r="DJ491" s="319" t="s">
        <v>190</v>
      </c>
      <c r="DK491" s="319" t="s">
        <v>190</v>
      </c>
      <c r="DL491" s="319" t="s">
        <v>190</v>
      </c>
      <c r="DM491" s="319" t="s">
        <v>190</v>
      </c>
      <c r="DN491" s="319" t="s">
        <v>428</v>
      </c>
      <c r="DO491" s="319" t="s">
        <v>190</v>
      </c>
      <c r="DP491" s="319" t="s">
        <v>190</v>
      </c>
      <c r="DQ491" s="319" t="s">
        <v>190</v>
      </c>
      <c r="DR491" s="319" t="s">
        <v>190</v>
      </c>
      <c r="DS491" s="319" t="s">
        <v>190</v>
      </c>
      <c r="DT491" s="319" t="s">
        <v>190</v>
      </c>
      <c r="DU491" s="319" t="s">
        <v>190</v>
      </c>
      <c r="DV491" s="319" t="s">
        <v>173</v>
      </c>
      <c r="DW491" s="319" t="s">
        <v>190</v>
      </c>
      <c r="DX491" s="319" t="s">
        <v>190</v>
      </c>
      <c r="DY491" s="319" t="s">
        <v>190</v>
      </c>
      <c r="DZ491" s="319" t="s">
        <v>190</v>
      </c>
      <c r="EA491" s="319" t="s">
        <v>190</v>
      </c>
      <c r="EB491" s="319" t="s">
        <v>190</v>
      </c>
      <c r="EC491" s="319" t="s">
        <v>428</v>
      </c>
      <c r="ED491" s="319" t="s">
        <v>190</v>
      </c>
      <c r="EE491" s="319" t="s">
        <v>190</v>
      </c>
      <c r="EF491" s="319" t="s">
        <v>190</v>
      </c>
      <c r="EG491" s="319" t="s">
        <v>190</v>
      </c>
      <c r="EH491" s="319" t="s">
        <v>190</v>
      </c>
      <c r="EI491" s="319" t="s">
        <v>190</v>
      </c>
      <c r="EJ491" s="319" t="s">
        <v>190</v>
      </c>
      <c r="EK491" s="319" t="s">
        <v>190</v>
      </c>
      <c r="EL491" s="319" t="s">
        <v>190</v>
      </c>
      <c r="EM491" s="319" t="s">
        <v>190</v>
      </c>
      <c r="EN491" s="319" t="s">
        <v>190</v>
      </c>
      <c r="EO491" s="319" t="s">
        <v>190</v>
      </c>
      <c r="EP491" s="319" t="s">
        <v>190</v>
      </c>
      <c r="EQ491" s="319" t="s">
        <v>190</v>
      </c>
      <c r="ER491" s="319" t="s">
        <v>190</v>
      </c>
      <c r="ES491" s="319" t="s">
        <v>190</v>
      </c>
      <c r="ET491" s="319" t="s">
        <v>190</v>
      </c>
      <c r="EU491" s="319" t="s">
        <v>190</v>
      </c>
      <c r="EV491" s="319" t="s">
        <v>190</v>
      </c>
      <c r="EW491" s="319" t="s">
        <v>190</v>
      </c>
      <c r="EX491" s="319" t="s">
        <v>190</v>
      </c>
      <c r="EY491" s="319" t="s">
        <v>190</v>
      </c>
      <c r="EZ491" s="319" t="s">
        <v>190</v>
      </c>
      <c r="FA491" s="319" t="s">
        <v>190</v>
      </c>
      <c r="FB491" s="319" t="s">
        <v>190</v>
      </c>
      <c r="FC491" s="319" t="s">
        <v>190</v>
      </c>
      <c r="FD491" s="319" t="s">
        <v>190</v>
      </c>
      <c r="FE491" s="319" t="s">
        <v>190</v>
      </c>
      <c r="FF491" s="319" t="s">
        <v>190</v>
      </c>
      <c r="FG491" s="319" t="s">
        <v>190</v>
      </c>
      <c r="FH491" s="319" t="s">
        <v>190</v>
      </c>
      <c r="FI491" s="319" t="s">
        <v>190</v>
      </c>
      <c r="FJ491" s="319" t="s">
        <v>190</v>
      </c>
      <c r="FK491" s="319" t="s">
        <v>190</v>
      </c>
      <c r="FL491" s="319" t="s">
        <v>190</v>
      </c>
      <c r="FM491" s="319" t="s">
        <v>190</v>
      </c>
      <c r="FN491" s="319" t="s">
        <v>190</v>
      </c>
      <c r="FO491" s="319" t="s">
        <v>190</v>
      </c>
      <c r="FP491" s="319" t="s">
        <v>190</v>
      </c>
      <c r="FQ491" s="319" t="s">
        <v>190</v>
      </c>
      <c r="FR491" s="319" t="s">
        <v>190</v>
      </c>
      <c r="FS491" s="319" t="s">
        <v>428</v>
      </c>
      <c r="FT491" s="319" t="s">
        <v>190</v>
      </c>
      <c r="FU491" s="319" t="s">
        <v>190</v>
      </c>
      <c r="FV491" s="319" t="s">
        <v>190</v>
      </c>
      <c r="FW491" s="319" t="s">
        <v>190</v>
      </c>
      <c r="FX491" s="319" t="s">
        <v>190</v>
      </c>
      <c r="FY491" s="319" t="s">
        <v>190</v>
      </c>
      <c r="FZ491" s="319" t="s">
        <v>190</v>
      </c>
      <c r="GA491" s="319" t="s">
        <v>190</v>
      </c>
      <c r="GB491" s="319" t="s">
        <v>190</v>
      </c>
      <c r="GC491" s="319" t="s">
        <v>190</v>
      </c>
      <c r="GD491" s="319" t="s">
        <v>190</v>
      </c>
      <c r="GE491" s="319" t="s">
        <v>190</v>
      </c>
      <c r="GF491" s="319" t="s">
        <v>190</v>
      </c>
      <c r="GG491" s="319" t="s">
        <v>190</v>
      </c>
      <c r="GH491" s="319" t="s">
        <v>190</v>
      </c>
      <c r="GI491" s="319" t="s">
        <v>190</v>
      </c>
      <c r="GJ491" s="319" t="s">
        <v>190</v>
      </c>
      <c r="GK491" s="319" t="s">
        <v>428</v>
      </c>
      <c r="GL491" s="319" t="s">
        <v>190</v>
      </c>
      <c r="GM491" s="319" t="s">
        <v>190</v>
      </c>
      <c r="GN491" s="319" t="s">
        <v>190</v>
      </c>
      <c r="GO491" s="319" t="s">
        <v>190</v>
      </c>
      <c r="GP491" s="319" t="s">
        <v>190</v>
      </c>
      <c r="GQ491" s="319" t="s">
        <v>190</v>
      </c>
      <c r="GR491" s="319" t="s">
        <v>190</v>
      </c>
      <c r="GS491" s="319" t="s">
        <v>190</v>
      </c>
      <c r="GT491" s="319" t="s">
        <v>190</v>
      </c>
      <c r="GU491" s="319" t="s">
        <v>190</v>
      </c>
      <c r="GV491" s="319" t="s">
        <v>190</v>
      </c>
      <c r="GW491" s="319" t="s">
        <v>190</v>
      </c>
      <c r="GX491" s="319" t="s">
        <v>190</v>
      </c>
      <c r="GY491" s="319" t="s">
        <v>190</v>
      </c>
      <c r="GZ491" s="319" t="s">
        <v>190</v>
      </c>
      <c r="HA491" s="319" t="s">
        <v>190</v>
      </c>
      <c r="HB491" s="319" t="s">
        <v>190</v>
      </c>
      <c r="HC491" s="319" t="s">
        <v>190</v>
      </c>
      <c r="HD491" s="319" t="s">
        <v>190</v>
      </c>
      <c r="HE491" s="319" t="s">
        <v>190</v>
      </c>
      <c r="HF491" s="319" t="s">
        <v>190</v>
      </c>
      <c r="HG491" s="319" t="s">
        <v>190</v>
      </c>
      <c r="HH491" s="319" t="s">
        <v>190</v>
      </c>
      <c r="HI491" s="319" t="s">
        <v>190</v>
      </c>
      <c r="HJ491" s="319" t="s">
        <v>190</v>
      </c>
      <c r="HK491" s="319" t="s">
        <v>190</v>
      </c>
      <c r="HL491" s="319" t="s">
        <v>190</v>
      </c>
      <c r="HM491" s="319" t="s">
        <v>190</v>
      </c>
      <c r="HN491" s="319" t="s">
        <v>190</v>
      </c>
      <c r="HO491" s="319" t="s">
        <v>190</v>
      </c>
      <c r="HP491" s="319" t="s">
        <v>190</v>
      </c>
      <c r="HQ491" s="319" t="s">
        <v>190</v>
      </c>
      <c r="HR491" s="319" t="s">
        <v>190</v>
      </c>
      <c r="HS491" s="319" t="s">
        <v>190</v>
      </c>
      <c r="HT491" s="319" t="s">
        <v>190</v>
      </c>
      <c r="HU491" s="319" t="s">
        <v>190</v>
      </c>
      <c r="HV491" s="319" t="s">
        <v>190</v>
      </c>
      <c r="HW491" s="319" t="s">
        <v>190</v>
      </c>
      <c r="HX491" s="319" t="s">
        <v>190</v>
      </c>
      <c r="HY491" s="319" t="s">
        <v>190</v>
      </c>
      <c r="HZ491" s="319" t="s">
        <v>190</v>
      </c>
      <c r="IA491" s="319" t="s">
        <v>190</v>
      </c>
      <c r="IB491" s="319" t="s">
        <v>190</v>
      </c>
      <c r="IC491" s="319" t="s">
        <v>190</v>
      </c>
      <c r="ID491" s="319" t="s">
        <v>190</v>
      </c>
      <c r="IE491" s="319" t="s">
        <v>190</v>
      </c>
      <c r="IF491" s="319" t="s">
        <v>190</v>
      </c>
      <c r="IG491" s="319" t="s">
        <v>190</v>
      </c>
      <c r="IH491" s="319" t="s">
        <v>190</v>
      </c>
      <c r="II491" s="319" t="s">
        <v>190</v>
      </c>
      <c r="IJ491" s="319" t="s">
        <v>3257</v>
      </c>
      <c r="IK491" s="321">
        <v>41835</v>
      </c>
      <c r="IL491" s="321">
        <v>41837</v>
      </c>
      <c r="IM491" s="321">
        <v>41891</v>
      </c>
      <c r="IN491" s="319">
        <v>2</v>
      </c>
      <c r="IO491" s="319" t="s">
        <v>173</v>
      </c>
      <c r="IP491" s="319" t="s">
        <v>173</v>
      </c>
      <c r="IQ491" s="321" t="s">
        <v>173</v>
      </c>
      <c r="IR491" s="320" t="s">
        <v>173</v>
      </c>
      <c r="IS491" s="322" t="s">
        <v>173</v>
      </c>
      <c r="IT491" s="319" t="s">
        <v>173</v>
      </c>
    </row>
    <row r="492" spans="1:254" s="271" customFormat="1" x14ac:dyDescent="0.25">
      <c r="A492" s="318" t="str">
        <f>HYPERLINK("http://www.ofsted.gov.uk/inspection-reports/find-inspection-report/provider/ELS/135111 ","Ofsted School Webpage")</f>
        <v>Ofsted School Webpage</v>
      </c>
      <c r="B492" s="319">
        <v>135111</v>
      </c>
      <c r="C492" s="319">
        <v>9386272</v>
      </c>
      <c r="D492" s="319" t="s">
        <v>1882</v>
      </c>
      <c r="E492" s="319" t="s">
        <v>168</v>
      </c>
      <c r="F492" s="319" t="s">
        <v>81</v>
      </c>
      <c r="G492" s="319" t="s">
        <v>81</v>
      </c>
      <c r="H492" s="319" t="s">
        <v>81</v>
      </c>
      <c r="I492" s="319" t="s">
        <v>78</v>
      </c>
      <c r="J492" s="319" t="s">
        <v>424</v>
      </c>
      <c r="K492" s="319" t="s">
        <v>514</v>
      </c>
      <c r="L492" s="319" t="s">
        <v>514</v>
      </c>
      <c r="M492" s="319" t="s">
        <v>737</v>
      </c>
      <c r="N492" s="319" t="s">
        <v>3118</v>
      </c>
      <c r="O492" s="319" t="s">
        <v>1883</v>
      </c>
      <c r="P492" s="319">
        <v>12</v>
      </c>
      <c r="Q492" s="319" t="s">
        <v>429</v>
      </c>
      <c r="R492" s="320">
        <v>10128863</v>
      </c>
      <c r="S492" s="321">
        <v>43788</v>
      </c>
      <c r="T492" s="321">
        <v>43790</v>
      </c>
      <c r="U492" s="321">
        <v>43807</v>
      </c>
      <c r="V492" s="319" t="s">
        <v>425</v>
      </c>
      <c r="W492" s="319" t="s">
        <v>2767</v>
      </c>
      <c r="X492" s="319">
        <v>3</v>
      </c>
      <c r="Y492" s="319">
        <v>3</v>
      </c>
      <c r="Z492" s="319">
        <v>3</v>
      </c>
      <c r="AA492" s="319">
        <v>2</v>
      </c>
      <c r="AB492" s="319">
        <v>3</v>
      </c>
      <c r="AC492" s="319" t="s">
        <v>169</v>
      </c>
      <c r="AD492" s="319" t="s">
        <v>173</v>
      </c>
      <c r="AE492" s="319" t="s">
        <v>173</v>
      </c>
      <c r="AF492" s="319" t="s">
        <v>427</v>
      </c>
      <c r="AG492" s="319" t="s">
        <v>171</v>
      </c>
      <c r="AH492" s="319" t="s">
        <v>190</v>
      </c>
      <c r="AI492" s="319" t="s">
        <v>190</v>
      </c>
      <c r="AJ492" s="319" t="s">
        <v>190</v>
      </c>
      <c r="AK492" s="319" t="s">
        <v>190</v>
      </c>
      <c r="AL492" s="319" t="s">
        <v>190</v>
      </c>
      <c r="AM492" s="319" t="s">
        <v>190</v>
      </c>
      <c r="AN492" s="319" t="s">
        <v>190</v>
      </c>
      <c r="AO492" s="319" t="s">
        <v>190</v>
      </c>
      <c r="AP492" s="319" t="s">
        <v>190</v>
      </c>
      <c r="AQ492" s="319" t="s">
        <v>190</v>
      </c>
      <c r="AR492" s="319" t="s">
        <v>190</v>
      </c>
      <c r="AS492" s="319" t="s">
        <v>190</v>
      </c>
      <c r="AT492" s="319" t="s">
        <v>190</v>
      </c>
      <c r="AU492" s="319" t="s">
        <v>190</v>
      </c>
      <c r="AV492" s="319" t="s">
        <v>190</v>
      </c>
      <c r="AW492" s="319" t="s">
        <v>190</v>
      </c>
      <c r="AX492" s="319" t="s">
        <v>428</v>
      </c>
      <c r="AY492" s="319" t="s">
        <v>190</v>
      </c>
      <c r="AZ492" s="319" t="s">
        <v>190</v>
      </c>
      <c r="BA492" s="319" t="s">
        <v>190</v>
      </c>
      <c r="BB492" s="319" t="s">
        <v>190</v>
      </c>
      <c r="BC492" s="319" t="s">
        <v>190</v>
      </c>
      <c r="BD492" s="319" t="s">
        <v>190</v>
      </c>
      <c r="BE492" s="319" t="s">
        <v>190</v>
      </c>
      <c r="BF492" s="319" t="s">
        <v>428</v>
      </c>
      <c r="BG492" s="319" t="s">
        <v>428</v>
      </c>
      <c r="BH492" s="319" t="s">
        <v>190</v>
      </c>
      <c r="BI492" s="319" t="s">
        <v>190</v>
      </c>
      <c r="BJ492" s="319" t="s">
        <v>190</v>
      </c>
      <c r="BK492" s="319" t="s">
        <v>190</v>
      </c>
      <c r="BL492" s="319" t="s">
        <v>190</v>
      </c>
      <c r="BM492" s="319" t="s">
        <v>190</v>
      </c>
      <c r="BN492" s="319" t="s">
        <v>190</v>
      </c>
      <c r="BO492" s="319" t="s">
        <v>190</v>
      </c>
      <c r="BP492" s="319" t="s">
        <v>190</v>
      </c>
      <c r="BQ492" s="319" t="s">
        <v>190</v>
      </c>
      <c r="BR492" s="319" t="s">
        <v>190</v>
      </c>
      <c r="BS492" s="319" t="s">
        <v>190</v>
      </c>
      <c r="BT492" s="319" t="s">
        <v>190</v>
      </c>
      <c r="BU492" s="319" t="s">
        <v>190</v>
      </c>
      <c r="BV492" s="319" t="s">
        <v>190</v>
      </c>
      <c r="BW492" s="319" t="s">
        <v>190</v>
      </c>
      <c r="BX492" s="319" t="s">
        <v>190</v>
      </c>
      <c r="BY492" s="319" t="s">
        <v>190</v>
      </c>
      <c r="BZ492" s="319" t="s">
        <v>190</v>
      </c>
      <c r="CA492" s="319" t="s">
        <v>190</v>
      </c>
      <c r="CB492" s="319" t="s">
        <v>190</v>
      </c>
      <c r="CC492" s="319" t="s">
        <v>190</v>
      </c>
      <c r="CD492" s="319" t="s">
        <v>190</v>
      </c>
      <c r="CE492" s="319" t="s">
        <v>190</v>
      </c>
      <c r="CF492" s="319" t="s">
        <v>190</v>
      </c>
      <c r="CG492" s="319" t="s">
        <v>190</v>
      </c>
      <c r="CH492" s="319" t="s">
        <v>190</v>
      </c>
      <c r="CI492" s="319" t="s">
        <v>190</v>
      </c>
      <c r="CJ492" s="319" t="s">
        <v>190</v>
      </c>
      <c r="CK492" s="319" t="s">
        <v>190</v>
      </c>
      <c r="CL492" s="319" t="s">
        <v>190</v>
      </c>
      <c r="CM492" s="319" t="s">
        <v>190</v>
      </c>
      <c r="CN492" s="319" t="s">
        <v>428</v>
      </c>
      <c r="CO492" s="319" t="s">
        <v>428</v>
      </c>
      <c r="CP492" s="319" t="s">
        <v>428</v>
      </c>
      <c r="CQ492" s="319" t="s">
        <v>190</v>
      </c>
      <c r="CR492" s="319" t="s">
        <v>190</v>
      </c>
      <c r="CS492" s="319" t="s">
        <v>190</v>
      </c>
      <c r="CT492" s="319" t="s">
        <v>190</v>
      </c>
      <c r="CU492" s="319" t="s">
        <v>190</v>
      </c>
      <c r="CV492" s="319" t="s">
        <v>190</v>
      </c>
      <c r="CW492" s="319" t="s">
        <v>190</v>
      </c>
      <c r="CX492" s="319" t="s">
        <v>190</v>
      </c>
      <c r="CY492" s="319" t="s">
        <v>190</v>
      </c>
      <c r="CZ492" s="319" t="s">
        <v>190</v>
      </c>
      <c r="DA492" s="319" t="s">
        <v>190</v>
      </c>
      <c r="DB492" s="319" t="s">
        <v>190</v>
      </c>
      <c r="DC492" s="319" t="s">
        <v>190</v>
      </c>
      <c r="DD492" s="319" t="s">
        <v>190</v>
      </c>
      <c r="DE492" s="319" t="s">
        <v>190</v>
      </c>
      <c r="DF492" s="319" t="s">
        <v>190</v>
      </c>
      <c r="DG492" s="319" t="s">
        <v>190</v>
      </c>
      <c r="DH492" s="319" t="s">
        <v>190</v>
      </c>
      <c r="DI492" s="319" t="s">
        <v>190</v>
      </c>
      <c r="DJ492" s="319" t="s">
        <v>190</v>
      </c>
      <c r="DK492" s="319" t="s">
        <v>190</v>
      </c>
      <c r="DL492" s="319" t="s">
        <v>190</v>
      </c>
      <c r="DM492" s="319" t="s">
        <v>190</v>
      </c>
      <c r="DN492" s="319" t="s">
        <v>428</v>
      </c>
      <c r="DO492" s="319" t="s">
        <v>190</v>
      </c>
      <c r="DP492" s="319" t="s">
        <v>190</v>
      </c>
      <c r="DQ492" s="319" t="s">
        <v>190</v>
      </c>
      <c r="DR492" s="319" t="s">
        <v>190</v>
      </c>
      <c r="DS492" s="319" t="s">
        <v>190</v>
      </c>
      <c r="DT492" s="319" t="s">
        <v>190</v>
      </c>
      <c r="DU492" s="319" t="s">
        <v>190</v>
      </c>
      <c r="DV492" s="319" t="s">
        <v>190</v>
      </c>
      <c r="DW492" s="319" t="s">
        <v>190</v>
      </c>
      <c r="DX492" s="319" t="s">
        <v>190</v>
      </c>
      <c r="DY492" s="319" t="s">
        <v>190</v>
      </c>
      <c r="DZ492" s="319" t="s">
        <v>190</v>
      </c>
      <c r="EA492" s="319" t="s">
        <v>190</v>
      </c>
      <c r="EB492" s="319" t="s">
        <v>190</v>
      </c>
      <c r="EC492" s="319" t="s">
        <v>428</v>
      </c>
      <c r="ED492" s="319" t="s">
        <v>190</v>
      </c>
      <c r="EE492" s="319" t="s">
        <v>190</v>
      </c>
      <c r="EF492" s="319" t="s">
        <v>190</v>
      </c>
      <c r="EG492" s="319" t="s">
        <v>190</v>
      </c>
      <c r="EH492" s="319" t="s">
        <v>190</v>
      </c>
      <c r="EI492" s="319" t="s">
        <v>190</v>
      </c>
      <c r="EJ492" s="319" t="s">
        <v>190</v>
      </c>
      <c r="EK492" s="319" t="s">
        <v>190</v>
      </c>
      <c r="EL492" s="319" t="s">
        <v>190</v>
      </c>
      <c r="EM492" s="319" t="s">
        <v>190</v>
      </c>
      <c r="EN492" s="319" t="s">
        <v>190</v>
      </c>
      <c r="EO492" s="319" t="s">
        <v>190</v>
      </c>
      <c r="EP492" s="319" t="s">
        <v>190</v>
      </c>
      <c r="EQ492" s="319" t="s">
        <v>190</v>
      </c>
      <c r="ER492" s="319" t="s">
        <v>190</v>
      </c>
      <c r="ES492" s="319" t="s">
        <v>190</v>
      </c>
      <c r="ET492" s="319" t="s">
        <v>190</v>
      </c>
      <c r="EU492" s="319" t="s">
        <v>190</v>
      </c>
      <c r="EV492" s="319" t="s">
        <v>190</v>
      </c>
      <c r="EW492" s="319" t="s">
        <v>190</v>
      </c>
      <c r="EX492" s="319" t="s">
        <v>190</v>
      </c>
      <c r="EY492" s="319" t="s">
        <v>190</v>
      </c>
      <c r="EZ492" s="319" t="s">
        <v>190</v>
      </c>
      <c r="FA492" s="319" t="s">
        <v>428</v>
      </c>
      <c r="FB492" s="319" t="s">
        <v>190</v>
      </c>
      <c r="FC492" s="319" t="s">
        <v>190</v>
      </c>
      <c r="FD492" s="319" t="s">
        <v>190</v>
      </c>
      <c r="FE492" s="319" t="s">
        <v>190</v>
      </c>
      <c r="FF492" s="319" t="s">
        <v>190</v>
      </c>
      <c r="FG492" s="319" t="s">
        <v>190</v>
      </c>
      <c r="FH492" s="319" t="s">
        <v>190</v>
      </c>
      <c r="FI492" s="319" t="s">
        <v>190</v>
      </c>
      <c r="FJ492" s="319" t="s">
        <v>190</v>
      </c>
      <c r="FK492" s="319" t="s">
        <v>190</v>
      </c>
      <c r="FL492" s="319" t="s">
        <v>190</v>
      </c>
      <c r="FM492" s="319" t="s">
        <v>190</v>
      </c>
      <c r="FN492" s="319" t="s">
        <v>190</v>
      </c>
      <c r="FO492" s="319" t="s">
        <v>190</v>
      </c>
      <c r="FP492" s="319" t="s">
        <v>190</v>
      </c>
      <c r="FQ492" s="319" t="s">
        <v>190</v>
      </c>
      <c r="FR492" s="319" t="s">
        <v>190</v>
      </c>
      <c r="FS492" s="319" t="s">
        <v>428</v>
      </c>
      <c r="FT492" s="319" t="s">
        <v>190</v>
      </c>
      <c r="FU492" s="319" t="s">
        <v>190</v>
      </c>
      <c r="FV492" s="319" t="s">
        <v>190</v>
      </c>
      <c r="FW492" s="319" t="s">
        <v>190</v>
      </c>
      <c r="FX492" s="319" t="s">
        <v>190</v>
      </c>
      <c r="FY492" s="319" t="s">
        <v>190</v>
      </c>
      <c r="FZ492" s="319" t="s">
        <v>190</v>
      </c>
      <c r="GA492" s="319" t="s">
        <v>190</v>
      </c>
      <c r="GB492" s="319" t="s">
        <v>190</v>
      </c>
      <c r="GC492" s="319" t="s">
        <v>190</v>
      </c>
      <c r="GD492" s="319" t="s">
        <v>190</v>
      </c>
      <c r="GE492" s="319" t="s">
        <v>190</v>
      </c>
      <c r="GF492" s="319" t="s">
        <v>190</v>
      </c>
      <c r="GG492" s="319" t="s">
        <v>190</v>
      </c>
      <c r="GH492" s="319" t="s">
        <v>190</v>
      </c>
      <c r="GI492" s="319" t="s">
        <v>190</v>
      </c>
      <c r="GJ492" s="319" t="s">
        <v>190</v>
      </c>
      <c r="GK492" s="319" t="s">
        <v>428</v>
      </c>
      <c r="GL492" s="319" t="s">
        <v>190</v>
      </c>
      <c r="GM492" s="319" t="s">
        <v>190</v>
      </c>
      <c r="GN492" s="319" t="s">
        <v>190</v>
      </c>
      <c r="GO492" s="319" t="s">
        <v>190</v>
      </c>
      <c r="GP492" s="319" t="s">
        <v>190</v>
      </c>
      <c r="GQ492" s="319" t="s">
        <v>428</v>
      </c>
      <c r="GR492" s="319" t="s">
        <v>190</v>
      </c>
      <c r="GS492" s="319" t="s">
        <v>190</v>
      </c>
      <c r="GT492" s="319" t="s">
        <v>190</v>
      </c>
      <c r="GU492" s="319" t="s">
        <v>190</v>
      </c>
      <c r="GV492" s="319" t="s">
        <v>190</v>
      </c>
      <c r="GW492" s="319" t="s">
        <v>190</v>
      </c>
      <c r="GX492" s="319" t="s">
        <v>190</v>
      </c>
      <c r="GY492" s="319" t="s">
        <v>190</v>
      </c>
      <c r="GZ492" s="319" t="s">
        <v>428</v>
      </c>
      <c r="HA492" s="319" t="s">
        <v>190</v>
      </c>
      <c r="HB492" s="319" t="s">
        <v>428</v>
      </c>
      <c r="HC492" s="319" t="s">
        <v>190</v>
      </c>
      <c r="HD492" s="319" t="s">
        <v>190</v>
      </c>
      <c r="HE492" s="319" t="s">
        <v>190</v>
      </c>
      <c r="HF492" s="319" t="s">
        <v>190</v>
      </c>
      <c r="HG492" s="319" t="s">
        <v>190</v>
      </c>
      <c r="HH492" s="319" t="s">
        <v>190</v>
      </c>
      <c r="HI492" s="319" t="s">
        <v>190</v>
      </c>
      <c r="HJ492" s="319" t="s">
        <v>190</v>
      </c>
      <c r="HK492" s="319" t="s">
        <v>190</v>
      </c>
      <c r="HL492" s="319" t="s">
        <v>190</v>
      </c>
      <c r="HM492" s="319" t="s">
        <v>190</v>
      </c>
      <c r="HN492" s="319" t="s">
        <v>190</v>
      </c>
      <c r="HO492" s="319" t="s">
        <v>190</v>
      </c>
      <c r="HP492" s="319" t="s">
        <v>190</v>
      </c>
      <c r="HQ492" s="319" t="s">
        <v>190</v>
      </c>
      <c r="HR492" s="319" t="s">
        <v>190</v>
      </c>
      <c r="HS492" s="319" t="s">
        <v>190</v>
      </c>
      <c r="HT492" s="319" t="s">
        <v>190</v>
      </c>
      <c r="HU492" s="319" t="s">
        <v>190</v>
      </c>
      <c r="HV492" s="319" t="s">
        <v>190</v>
      </c>
      <c r="HW492" s="319" t="s">
        <v>190</v>
      </c>
      <c r="HX492" s="319" t="s">
        <v>190</v>
      </c>
      <c r="HY492" s="319" t="s">
        <v>190</v>
      </c>
      <c r="HZ492" s="319" t="s">
        <v>190</v>
      </c>
      <c r="IA492" s="319" t="s">
        <v>190</v>
      </c>
      <c r="IB492" s="319" t="s">
        <v>190</v>
      </c>
      <c r="IC492" s="319" t="s">
        <v>190</v>
      </c>
      <c r="ID492" s="319" t="s">
        <v>190</v>
      </c>
      <c r="IE492" s="319" t="s">
        <v>190</v>
      </c>
      <c r="IF492" s="319" t="s">
        <v>190</v>
      </c>
      <c r="IG492" s="319" t="s">
        <v>190</v>
      </c>
      <c r="IH492" s="319" t="s">
        <v>190</v>
      </c>
      <c r="II492" s="319" t="s">
        <v>190</v>
      </c>
      <c r="IJ492" s="319">
        <v>10026024</v>
      </c>
      <c r="IK492" s="321">
        <v>42997</v>
      </c>
      <c r="IL492" s="321">
        <v>42999</v>
      </c>
      <c r="IM492" s="321">
        <v>43020</v>
      </c>
      <c r="IN492" s="319">
        <v>2</v>
      </c>
      <c r="IO492" s="319" t="s">
        <v>173</v>
      </c>
      <c r="IP492" s="319" t="s">
        <v>173</v>
      </c>
      <c r="IQ492" s="321" t="s">
        <v>173</v>
      </c>
      <c r="IR492" s="320" t="s">
        <v>173</v>
      </c>
      <c r="IS492" s="322" t="s">
        <v>173</v>
      </c>
      <c r="IT492" s="319" t="s">
        <v>173</v>
      </c>
    </row>
    <row r="493" spans="1:254" s="271" customFormat="1" x14ac:dyDescent="0.25">
      <c r="A493" s="318" t="str">
        <f>HYPERLINK("http://www.ofsted.gov.uk/inspection-reports/find-inspection-report/provider/ELS/135113 ","Ofsted School Webpage")</f>
        <v>Ofsted School Webpage</v>
      </c>
      <c r="B493" s="319">
        <v>135113</v>
      </c>
      <c r="C493" s="319">
        <v>8416003</v>
      </c>
      <c r="D493" s="319" t="s">
        <v>1884</v>
      </c>
      <c r="E493" s="319" t="s">
        <v>168</v>
      </c>
      <c r="F493" s="319" t="s">
        <v>81</v>
      </c>
      <c r="G493" s="319" t="s">
        <v>81</v>
      </c>
      <c r="H493" s="319" t="s">
        <v>81</v>
      </c>
      <c r="I493" s="319" t="s">
        <v>78</v>
      </c>
      <c r="J493" s="319" t="s">
        <v>424</v>
      </c>
      <c r="K493" s="319" t="s">
        <v>458</v>
      </c>
      <c r="L493" s="319" t="s">
        <v>474</v>
      </c>
      <c r="M493" s="319" t="s">
        <v>475</v>
      </c>
      <c r="N493" s="319" t="s">
        <v>3258</v>
      </c>
      <c r="O493" s="319" t="s">
        <v>1885</v>
      </c>
      <c r="P493" s="319">
        <v>17</v>
      </c>
      <c r="Q493" s="319" t="s">
        <v>2776</v>
      </c>
      <c r="R493" s="320">
        <v>10093644</v>
      </c>
      <c r="S493" s="321">
        <v>43634</v>
      </c>
      <c r="T493" s="321">
        <v>43636</v>
      </c>
      <c r="U493" s="321">
        <v>43656</v>
      </c>
      <c r="V493" s="319" t="s">
        <v>425</v>
      </c>
      <c r="W493" s="319" t="s">
        <v>2767</v>
      </c>
      <c r="X493" s="319">
        <v>1</v>
      </c>
      <c r="Y493" s="319" t="s">
        <v>173</v>
      </c>
      <c r="Z493" s="319" t="s">
        <v>173</v>
      </c>
      <c r="AA493" s="319" t="s">
        <v>173</v>
      </c>
      <c r="AB493" s="319">
        <v>1</v>
      </c>
      <c r="AC493" s="319" t="s">
        <v>169</v>
      </c>
      <c r="AD493" s="319" t="s">
        <v>173</v>
      </c>
      <c r="AE493" s="319" t="s">
        <v>173</v>
      </c>
      <c r="AF493" s="319" t="s">
        <v>427</v>
      </c>
      <c r="AG493" s="319" t="s">
        <v>171</v>
      </c>
      <c r="AH493" s="319" t="s">
        <v>190</v>
      </c>
      <c r="AI493" s="319" t="s">
        <v>190</v>
      </c>
      <c r="AJ493" s="319" t="s">
        <v>190</v>
      </c>
      <c r="AK493" s="319" t="s">
        <v>190</v>
      </c>
      <c r="AL493" s="319" t="s">
        <v>190</v>
      </c>
      <c r="AM493" s="319" t="s">
        <v>190</v>
      </c>
      <c r="AN493" s="319" t="s">
        <v>190</v>
      </c>
      <c r="AO493" s="319" t="s">
        <v>190</v>
      </c>
      <c r="AP493" s="319" t="s">
        <v>190</v>
      </c>
      <c r="AQ493" s="319" t="s">
        <v>190</v>
      </c>
      <c r="AR493" s="319" t="s">
        <v>190</v>
      </c>
      <c r="AS493" s="319" t="s">
        <v>190</v>
      </c>
      <c r="AT493" s="319" t="s">
        <v>190</v>
      </c>
      <c r="AU493" s="319" t="s">
        <v>190</v>
      </c>
      <c r="AV493" s="319" t="s">
        <v>190</v>
      </c>
      <c r="AW493" s="319" t="s">
        <v>190</v>
      </c>
      <c r="AX493" s="319" t="s">
        <v>190</v>
      </c>
      <c r="AY493" s="319" t="s">
        <v>190</v>
      </c>
      <c r="AZ493" s="319" t="s">
        <v>190</v>
      </c>
      <c r="BA493" s="319" t="s">
        <v>190</v>
      </c>
      <c r="BB493" s="319" t="s">
        <v>190</v>
      </c>
      <c r="BC493" s="319" t="s">
        <v>190</v>
      </c>
      <c r="BD493" s="319" t="s">
        <v>190</v>
      </c>
      <c r="BE493" s="319" t="s">
        <v>190</v>
      </c>
      <c r="BF493" s="319" t="s">
        <v>428</v>
      </c>
      <c r="BG493" s="319" t="s">
        <v>190</v>
      </c>
      <c r="BH493" s="319" t="s">
        <v>190</v>
      </c>
      <c r="BI493" s="319" t="s">
        <v>190</v>
      </c>
      <c r="BJ493" s="319" t="s">
        <v>190</v>
      </c>
      <c r="BK493" s="319" t="s">
        <v>190</v>
      </c>
      <c r="BL493" s="319" t="s">
        <v>190</v>
      </c>
      <c r="BM493" s="319" t="s">
        <v>190</v>
      </c>
      <c r="BN493" s="319" t="s">
        <v>190</v>
      </c>
      <c r="BO493" s="319" t="s">
        <v>190</v>
      </c>
      <c r="BP493" s="319" t="s">
        <v>190</v>
      </c>
      <c r="BQ493" s="319" t="s">
        <v>190</v>
      </c>
      <c r="BR493" s="319" t="s">
        <v>190</v>
      </c>
      <c r="BS493" s="319" t="s">
        <v>190</v>
      </c>
      <c r="BT493" s="319" t="s">
        <v>190</v>
      </c>
      <c r="BU493" s="319" t="s">
        <v>190</v>
      </c>
      <c r="BV493" s="319" t="s">
        <v>190</v>
      </c>
      <c r="BW493" s="319" t="s">
        <v>190</v>
      </c>
      <c r="BX493" s="319" t="s">
        <v>190</v>
      </c>
      <c r="BY493" s="319" t="s">
        <v>190</v>
      </c>
      <c r="BZ493" s="319" t="s">
        <v>190</v>
      </c>
      <c r="CA493" s="319" t="s">
        <v>190</v>
      </c>
      <c r="CB493" s="319" t="s">
        <v>190</v>
      </c>
      <c r="CC493" s="319" t="s">
        <v>190</v>
      </c>
      <c r="CD493" s="319" t="s">
        <v>190</v>
      </c>
      <c r="CE493" s="319" t="s">
        <v>190</v>
      </c>
      <c r="CF493" s="319" t="s">
        <v>190</v>
      </c>
      <c r="CG493" s="319" t="s">
        <v>190</v>
      </c>
      <c r="CH493" s="319" t="s">
        <v>190</v>
      </c>
      <c r="CI493" s="319" t="s">
        <v>190</v>
      </c>
      <c r="CJ493" s="319" t="s">
        <v>190</v>
      </c>
      <c r="CK493" s="319" t="s">
        <v>190</v>
      </c>
      <c r="CL493" s="319" t="s">
        <v>190</v>
      </c>
      <c r="CM493" s="319" t="s">
        <v>190</v>
      </c>
      <c r="CN493" s="319" t="s">
        <v>190</v>
      </c>
      <c r="CO493" s="319" t="s">
        <v>428</v>
      </c>
      <c r="CP493" s="319" t="s">
        <v>428</v>
      </c>
      <c r="CQ493" s="319" t="s">
        <v>190</v>
      </c>
      <c r="CR493" s="319" t="s">
        <v>190</v>
      </c>
      <c r="CS493" s="319" t="s">
        <v>190</v>
      </c>
      <c r="CT493" s="319" t="s">
        <v>190</v>
      </c>
      <c r="CU493" s="319" t="s">
        <v>190</v>
      </c>
      <c r="CV493" s="319" t="s">
        <v>190</v>
      </c>
      <c r="CW493" s="319" t="s">
        <v>190</v>
      </c>
      <c r="CX493" s="319" t="s">
        <v>190</v>
      </c>
      <c r="CY493" s="319" t="s">
        <v>190</v>
      </c>
      <c r="CZ493" s="319" t="s">
        <v>190</v>
      </c>
      <c r="DA493" s="319" t="s">
        <v>190</v>
      </c>
      <c r="DB493" s="319" t="s">
        <v>190</v>
      </c>
      <c r="DC493" s="319" t="s">
        <v>190</v>
      </c>
      <c r="DD493" s="319" t="s">
        <v>190</v>
      </c>
      <c r="DE493" s="319" t="s">
        <v>190</v>
      </c>
      <c r="DF493" s="319" t="s">
        <v>190</v>
      </c>
      <c r="DG493" s="319" t="s">
        <v>190</v>
      </c>
      <c r="DH493" s="319" t="s">
        <v>190</v>
      </c>
      <c r="DI493" s="319" t="s">
        <v>190</v>
      </c>
      <c r="DJ493" s="319" t="s">
        <v>190</v>
      </c>
      <c r="DK493" s="319" t="s">
        <v>190</v>
      </c>
      <c r="DL493" s="319" t="s">
        <v>190</v>
      </c>
      <c r="DM493" s="319" t="s">
        <v>190</v>
      </c>
      <c r="DN493" s="319" t="s">
        <v>428</v>
      </c>
      <c r="DO493" s="319" t="s">
        <v>190</v>
      </c>
      <c r="DP493" s="319" t="s">
        <v>428</v>
      </c>
      <c r="DQ493" s="319" t="s">
        <v>428</v>
      </c>
      <c r="DR493" s="319" t="s">
        <v>428</v>
      </c>
      <c r="DS493" s="319" t="s">
        <v>428</v>
      </c>
      <c r="DT493" s="319" t="s">
        <v>428</v>
      </c>
      <c r="DU493" s="319" t="s">
        <v>428</v>
      </c>
      <c r="DV493" s="319" t="s">
        <v>173</v>
      </c>
      <c r="DW493" s="319" t="s">
        <v>428</v>
      </c>
      <c r="DX493" s="319" t="s">
        <v>428</v>
      </c>
      <c r="DY493" s="319" t="s">
        <v>428</v>
      </c>
      <c r="DZ493" s="319" t="s">
        <v>428</v>
      </c>
      <c r="EA493" s="319" t="s">
        <v>428</v>
      </c>
      <c r="EB493" s="319" t="s">
        <v>428</v>
      </c>
      <c r="EC493" s="319" t="s">
        <v>428</v>
      </c>
      <c r="ED493" s="319" t="s">
        <v>428</v>
      </c>
      <c r="EE493" s="319" t="s">
        <v>428</v>
      </c>
      <c r="EF493" s="319" t="s">
        <v>428</v>
      </c>
      <c r="EG493" s="319" t="s">
        <v>428</v>
      </c>
      <c r="EH493" s="319" t="s">
        <v>428</v>
      </c>
      <c r="EI493" s="319" t="s">
        <v>428</v>
      </c>
      <c r="EJ493" s="319" t="s">
        <v>428</v>
      </c>
      <c r="EK493" s="319" t="s">
        <v>428</v>
      </c>
      <c r="EL493" s="319" t="s">
        <v>428</v>
      </c>
      <c r="EM493" s="319" t="s">
        <v>428</v>
      </c>
      <c r="EN493" s="319" t="s">
        <v>190</v>
      </c>
      <c r="EO493" s="319" t="s">
        <v>190</v>
      </c>
      <c r="EP493" s="319" t="s">
        <v>190</v>
      </c>
      <c r="EQ493" s="319" t="s">
        <v>190</v>
      </c>
      <c r="ER493" s="319" t="s">
        <v>190</v>
      </c>
      <c r="ES493" s="319" t="s">
        <v>190</v>
      </c>
      <c r="ET493" s="319" t="s">
        <v>190</v>
      </c>
      <c r="EU493" s="319" t="s">
        <v>190</v>
      </c>
      <c r="EV493" s="319" t="s">
        <v>190</v>
      </c>
      <c r="EW493" s="319" t="s">
        <v>190</v>
      </c>
      <c r="EX493" s="319" t="s">
        <v>190</v>
      </c>
      <c r="EY493" s="319" t="s">
        <v>190</v>
      </c>
      <c r="EZ493" s="319" t="s">
        <v>190</v>
      </c>
      <c r="FA493" s="319" t="s">
        <v>190</v>
      </c>
      <c r="FB493" s="319" t="s">
        <v>428</v>
      </c>
      <c r="FC493" s="319" t="s">
        <v>428</v>
      </c>
      <c r="FD493" s="319" t="s">
        <v>428</v>
      </c>
      <c r="FE493" s="319" t="s">
        <v>428</v>
      </c>
      <c r="FF493" s="319" t="s">
        <v>428</v>
      </c>
      <c r="FG493" s="319" t="s">
        <v>428</v>
      </c>
      <c r="FH493" s="319" t="s">
        <v>428</v>
      </c>
      <c r="FI493" s="319" t="s">
        <v>428</v>
      </c>
      <c r="FJ493" s="319" t="s">
        <v>429</v>
      </c>
      <c r="FK493" s="319" t="s">
        <v>428</v>
      </c>
      <c r="FL493" s="319" t="s">
        <v>190</v>
      </c>
      <c r="FM493" s="319" t="s">
        <v>190</v>
      </c>
      <c r="FN493" s="319" t="s">
        <v>190</v>
      </c>
      <c r="FO493" s="319" t="s">
        <v>190</v>
      </c>
      <c r="FP493" s="319" t="s">
        <v>190</v>
      </c>
      <c r="FQ493" s="319" t="s">
        <v>190</v>
      </c>
      <c r="FR493" s="319" t="s">
        <v>190</v>
      </c>
      <c r="FS493" s="319" t="s">
        <v>428</v>
      </c>
      <c r="FT493" s="319" t="s">
        <v>190</v>
      </c>
      <c r="FU493" s="319" t="s">
        <v>190</v>
      </c>
      <c r="FV493" s="319" t="s">
        <v>190</v>
      </c>
      <c r="FW493" s="319" t="s">
        <v>190</v>
      </c>
      <c r="FX493" s="319" t="s">
        <v>190</v>
      </c>
      <c r="FY493" s="319" t="s">
        <v>190</v>
      </c>
      <c r="FZ493" s="319" t="s">
        <v>190</v>
      </c>
      <c r="GA493" s="319" t="s">
        <v>190</v>
      </c>
      <c r="GB493" s="319" t="s">
        <v>190</v>
      </c>
      <c r="GC493" s="319" t="s">
        <v>190</v>
      </c>
      <c r="GD493" s="319" t="s">
        <v>190</v>
      </c>
      <c r="GE493" s="319" t="s">
        <v>190</v>
      </c>
      <c r="GF493" s="319" t="s">
        <v>190</v>
      </c>
      <c r="GG493" s="319" t="s">
        <v>190</v>
      </c>
      <c r="GH493" s="319" t="s">
        <v>190</v>
      </c>
      <c r="GI493" s="319" t="s">
        <v>190</v>
      </c>
      <c r="GJ493" s="319" t="s">
        <v>190</v>
      </c>
      <c r="GK493" s="319" t="s">
        <v>428</v>
      </c>
      <c r="GL493" s="319" t="s">
        <v>190</v>
      </c>
      <c r="GM493" s="319" t="s">
        <v>190</v>
      </c>
      <c r="GN493" s="319" t="s">
        <v>190</v>
      </c>
      <c r="GO493" s="319" t="s">
        <v>190</v>
      </c>
      <c r="GP493" s="319" t="s">
        <v>190</v>
      </c>
      <c r="GQ493" s="319" t="s">
        <v>428</v>
      </c>
      <c r="GR493" s="319" t="s">
        <v>190</v>
      </c>
      <c r="GS493" s="319" t="s">
        <v>190</v>
      </c>
      <c r="GT493" s="319" t="s">
        <v>190</v>
      </c>
      <c r="GU493" s="319" t="s">
        <v>190</v>
      </c>
      <c r="GV493" s="319" t="s">
        <v>428</v>
      </c>
      <c r="GW493" s="319" t="s">
        <v>190</v>
      </c>
      <c r="GX493" s="319" t="s">
        <v>190</v>
      </c>
      <c r="GY493" s="319" t="s">
        <v>190</v>
      </c>
      <c r="GZ493" s="319" t="s">
        <v>190</v>
      </c>
      <c r="HA493" s="319" t="s">
        <v>428</v>
      </c>
      <c r="HB493" s="319" t="s">
        <v>428</v>
      </c>
      <c r="HC493" s="319" t="s">
        <v>190</v>
      </c>
      <c r="HD493" s="319" t="s">
        <v>190</v>
      </c>
      <c r="HE493" s="319" t="s">
        <v>190</v>
      </c>
      <c r="HF493" s="319" t="s">
        <v>190</v>
      </c>
      <c r="HG493" s="319" t="s">
        <v>190</v>
      </c>
      <c r="HH493" s="319" t="s">
        <v>190</v>
      </c>
      <c r="HI493" s="319" t="s">
        <v>190</v>
      </c>
      <c r="HJ493" s="319" t="s">
        <v>190</v>
      </c>
      <c r="HK493" s="319" t="s">
        <v>190</v>
      </c>
      <c r="HL493" s="319" t="s">
        <v>428</v>
      </c>
      <c r="HM493" s="319" t="s">
        <v>428</v>
      </c>
      <c r="HN493" s="319" t="s">
        <v>428</v>
      </c>
      <c r="HO493" s="319" t="s">
        <v>428</v>
      </c>
      <c r="HP493" s="319" t="s">
        <v>190</v>
      </c>
      <c r="HQ493" s="319" t="s">
        <v>190</v>
      </c>
      <c r="HR493" s="319" t="s">
        <v>190</v>
      </c>
      <c r="HS493" s="319" t="s">
        <v>190</v>
      </c>
      <c r="HT493" s="319" t="s">
        <v>190</v>
      </c>
      <c r="HU493" s="319" t="s">
        <v>190</v>
      </c>
      <c r="HV493" s="319" t="s">
        <v>190</v>
      </c>
      <c r="HW493" s="319" t="s">
        <v>190</v>
      </c>
      <c r="HX493" s="319" t="s">
        <v>190</v>
      </c>
      <c r="HY493" s="319" t="s">
        <v>190</v>
      </c>
      <c r="HZ493" s="319" t="s">
        <v>190</v>
      </c>
      <c r="IA493" s="319" t="s">
        <v>190</v>
      </c>
      <c r="IB493" s="319" t="s">
        <v>190</v>
      </c>
      <c r="IC493" s="319" t="s">
        <v>190</v>
      </c>
      <c r="ID493" s="319" t="s">
        <v>190</v>
      </c>
      <c r="IE493" s="319" t="s">
        <v>190</v>
      </c>
      <c r="IF493" s="319" t="s">
        <v>190</v>
      </c>
      <c r="IG493" s="319" t="s">
        <v>190</v>
      </c>
      <c r="IH493" s="319" t="s">
        <v>190</v>
      </c>
      <c r="II493" s="319" t="s">
        <v>190</v>
      </c>
      <c r="IJ493" s="319">
        <v>10025958</v>
      </c>
      <c r="IK493" s="321">
        <v>42773</v>
      </c>
      <c r="IL493" s="321">
        <v>42775</v>
      </c>
      <c r="IM493" s="321">
        <v>42807</v>
      </c>
      <c r="IN493" s="319">
        <v>1</v>
      </c>
      <c r="IO493" s="319" t="s">
        <v>173</v>
      </c>
      <c r="IP493" s="319" t="s">
        <v>173</v>
      </c>
      <c r="IQ493" s="321" t="s">
        <v>173</v>
      </c>
      <c r="IR493" s="320" t="s">
        <v>173</v>
      </c>
      <c r="IS493" s="322" t="s">
        <v>173</v>
      </c>
      <c r="IT493" s="319" t="s">
        <v>173</v>
      </c>
    </row>
    <row r="494" spans="1:254" s="271" customFormat="1" x14ac:dyDescent="0.25">
      <c r="A494" s="318" t="str">
        <f>HYPERLINK("http://www.ofsted.gov.uk/inspection-reports/find-inspection-report/provider/ELS/135150 ","Ofsted School Webpage")</f>
        <v>Ofsted School Webpage</v>
      </c>
      <c r="B494" s="319">
        <v>135150</v>
      </c>
      <c r="C494" s="319">
        <v>8816056</v>
      </c>
      <c r="D494" s="319" t="s">
        <v>841</v>
      </c>
      <c r="E494" s="319" t="s">
        <v>168</v>
      </c>
      <c r="F494" s="319" t="s">
        <v>81</v>
      </c>
      <c r="G494" s="319" t="s">
        <v>81</v>
      </c>
      <c r="H494" s="319" t="s">
        <v>81</v>
      </c>
      <c r="I494" s="319" t="s">
        <v>78</v>
      </c>
      <c r="J494" s="319" t="s">
        <v>424</v>
      </c>
      <c r="K494" s="319" t="s">
        <v>451</v>
      </c>
      <c r="L494" s="319" t="s">
        <v>451</v>
      </c>
      <c r="M494" s="319" t="s">
        <v>679</v>
      </c>
      <c r="N494" s="319" t="s">
        <v>3259</v>
      </c>
      <c r="O494" s="319" t="s">
        <v>842</v>
      </c>
      <c r="P494" s="319">
        <v>66</v>
      </c>
      <c r="Q494" s="319" t="s">
        <v>429</v>
      </c>
      <c r="R494" s="320">
        <v>10056566</v>
      </c>
      <c r="S494" s="321">
        <v>43480</v>
      </c>
      <c r="T494" s="321">
        <v>43482</v>
      </c>
      <c r="U494" s="321">
        <v>43522</v>
      </c>
      <c r="V494" s="319" t="s">
        <v>425</v>
      </c>
      <c r="W494" s="319" t="s">
        <v>2767</v>
      </c>
      <c r="X494" s="319">
        <v>2</v>
      </c>
      <c r="Y494" s="319" t="s">
        <v>173</v>
      </c>
      <c r="Z494" s="319" t="s">
        <v>173</v>
      </c>
      <c r="AA494" s="319" t="s">
        <v>173</v>
      </c>
      <c r="AB494" s="319">
        <v>2</v>
      </c>
      <c r="AC494" s="319" t="s">
        <v>169</v>
      </c>
      <c r="AD494" s="319" t="s">
        <v>173</v>
      </c>
      <c r="AE494" s="319">
        <v>2</v>
      </c>
      <c r="AF494" s="319" t="s">
        <v>427</v>
      </c>
      <c r="AG494" s="319" t="s">
        <v>171</v>
      </c>
      <c r="AH494" s="319" t="s">
        <v>190</v>
      </c>
      <c r="AI494" s="319" t="s">
        <v>190</v>
      </c>
      <c r="AJ494" s="319" t="s">
        <v>190</v>
      </c>
      <c r="AK494" s="319" t="s">
        <v>190</v>
      </c>
      <c r="AL494" s="319" t="s">
        <v>190</v>
      </c>
      <c r="AM494" s="319" t="s">
        <v>190</v>
      </c>
      <c r="AN494" s="319" t="s">
        <v>190</v>
      </c>
      <c r="AO494" s="319" t="s">
        <v>190</v>
      </c>
      <c r="AP494" s="319" t="s">
        <v>190</v>
      </c>
      <c r="AQ494" s="319" t="s">
        <v>190</v>
      </c>
      <c r="AR494" s="319" t="s">
        <v>190</v>
      </c>
      <c r="AS494" s="319" t="s">
        <v>190</v>
      </c>
      <c r="AT494" s="319" t="s">
        <v>190</v>
      </c>
      <c r="AU494" s="319" t="s">
        <v>190</v>
      </c>
      <c r="AV494" s="319" t="s">
        <v>190</v>
      </c>
      <c r="AW494" s="319" t="s">
        <v>190</v>
      </c>
      <c r="AX494" s="319" t="s">
        <v>428</v>
      </c>
      <c r="AY494" s="319" t="s">
        <v>190</v>
      </c>
      <c r="AZ494" s="319" t="s">
        <v>190</v>
      </c>
      <c r="BA494" s="319" t="s">
        <v>190</v>
      </c>
      <c r="BB494" s="319" t="s">
        <v>190</v>
      </c>
      <c r="BC494" s="319" t="s">
        <v>190</v>
      </c>
      <c r="BD494" s="319" t="s">
        <v>190</v>
      </c>
      <c r="BE494" s="319" t="s">
        <v>190</v>
      </c>
      <c r="BF494" s="319" t="s">
        <v>428</v>
      </c>
      <c r="BG494" s="319" t="s">
        <v>428</v>
      </c>
      <c r="BH494" s="319" t="s">
        <v>190</v>
      </c>
      <c r="BI494" s="319" t="s">
        <v>190</v>
      </c>
      <c r="BJ494" s="319" t="s">
        <v>190</v>
      </c>
      <c r="BK494" s="319" t="s">
        <v>190</v>
      </c>
      <c r="BL494" s="319" t="s">
        <v>190</v>
      </c>
      <c r="BM494" s="319" t="s">
        <v>190</v>
      </c>
      <c r="BN494" s="319" t="s">
        <v>190</v>
      </c>
      <c r="BO494" s="319" t="s">
        <v>190</v>
      </c>
      <c r="BP494" s="319" t="s">
        <v>190</v>
      </c>
      <c r="BQ494" s="319" t="s">
        <v>190</v>
      </c>
      <c r="BR494" s="319" t="s">
        <v>190</v>
      </c>
      <c r="BS494" s="319" t="s">
        <v>190</v>
      </c>
      <c r="BT494" s="319" t="s">
        <v>190</v>
      </c>
      <c r="BU494" s="319" t="s">
        <v>190</v>
      </c>
      <c r="BV494" s="319" t="s">
        <v>190</v>
      </c>
      <c r="BW494" s="319" t="s">
        <v>190</v>
      </c>
      <c r="BX494" s="319" t="s">
        <v>190</v>
      </c>
      <c r="BY494" s="319" t="s">
        <v>190</v>
      </c>
      <c r="BZ494" s="319" t="s">
        <v>190</v>
      </c>
      <c r="CA494" s="319" t="s">
        <v>190</v>
      </c>
      <c r="CB494" s="319" t="s">
        <v>190</v>
      </c>
      <c r="CC494" s="319" t="s">
        <v>190</v>
      </c>
      <c r="CD494" s="319" t="s">
        <v>190</v>
      </c>
      <c r="CE494" s="319" t="s">
        <v>190</v>
      </c>
      <c r="CF494" s="319" t="s">
        <v>190</v>
      </c>
      <c r="CG494" s="319" t="s">
        <v>190</v>
      </c>
      <c r="CH494" s="319" t="s">
        <v>190</v>
      </c>
      <c r="CI494" s="319" t="s">
        <v>190</v>
      </c>
      <c r="CJ494" s="319" t="s">
        <v>190</v>
      </c>
      <c r="CK494" s="319" t="s">
        <v>190</v>
      </c>
      <c r="CL494" s="319" t="s">
        <v>190</v>
      </c>
      <c r="CM494" s="319" t="s">
        <v>190</v>
      </c>
      <c r="CN494" s="319" t="s">
        <v>428</v>
      </c>
      <c r="CO494" s="319" t="s">
        <v>428</v>
      </c>
      <c r="CP494" s="319" t="s">
        <v>428</v>
      </c>
      <c r="CQ494" s="319" t="s">
        <v>428</v>
      </c>
      <c r="CR494" s="319" t="s">
        <v>190</v>
      </c>
      <c r="CS494" s="319" t="s">
        <v>190</v>
      </c>
      <c r="CT494" s="319" t="s">
        <v>190</v>
      </c>
      <c r="CU494" s="319" t="s">
        <v>190</v>
      </c>
      <c r="CV494" s="319" t="s">
        <v>190</v>
      </c>
      <c r="CW494" s="319" t="s">
        <v>190</v>
      </c>
      <c r="CX494" s="319" t="s">
        <v>190</v>
      </c>
      <c r="CY494" s="319" t="s">
        <v>190</v>
      </c>
      <c r="CZ494" s="319" t="s">
        <v>190</v>
      </c>
      <c r="DA494" s="319" t="s">
        <v>190</v>
      </c>
      <c r="DB494" s="319" t="s">
        <v>190</v>
      </c>
      <c r="DC494" s="319" t="s">
        <v>190</v>
      </c>
      <c r="DD494" s="319" t="s">
        <v>190</v>
      </c>
      <c r="DE494" s="319" t="s">
        <v>190</v>
      </c>
      <c r="DF494" s="319" t="s">
        <v>190</v>
      </c>
      <c r="DG494" s="319" t="s">
        <v>190</v>
      </c>
      <c r="DH494" s="319" t="s">
        <v>190</v>
      </c>
      <c r="DI494" s="319" t="s">
        <v>190</v>
      </c>
      <c r="DJ494" s="319" t="s">
        <v>190</v>
      </c>
      <c r="DK494" s="319" t="s">
        <v>190</v>
      </c>
      <c r="DL494" s="319" t="s">
        <v>190</v>
      </c>
      <c r="DM494" s="319" t="s">
        <v>190</v>
      </c>
      <c r="DN494" s="319" t="s">
        <v>428</v>
      </c>
      <c r="DO494" s="319" t="s">
        <v>190</v>
      </c>
      <c r="DP494" s="319" t="s">
        <v>190</v>
      </c>
      <c r="DQ494" s="319" t="s">
        <v>190</v>
      </c>
      <c r="DR494" s="319" t="s">
        <v>190</v>
      </c>
      <c r="DS494" s="319" t="s">
        <v>190</v>
      </c>
      <c r="DT494" s="319" t="s">
        <v>190</v>
      </c>
      <c r="DU494" s="319" t="s">
        <v>190</v>
      </c>
      <c r="DV494" s="319" t="s">
        <v>173</v>
      </c>
      <c r="DW494" s="319" t="s">
        <v>190</v>
      </c>
      <c r="DX494" s="319" t="s">
        <v>190</v>
      </c>
      <c r="DY494" s="319" t="s">
        <v>190</v>
      </c>
      <c r="DZ494" s="319" t="s">
        <v>190</v>
      </c>
      <c r="EA494" s="319" t="s">
        <v>190</v>
      </c>
      <c r="EB494" s="319" t="s">
        <v>190</v>
      </c>
      <c r="EC494" s="319" t="s">
        <v>428</v>
      </c>
      <c r="ED494" s="319" t="s">
        <v>190</v>
      </c>
      <c r="EE494" s="319" t="s">
        <v>190</v>
      </c>
      <c r="EF494" s="319" t="s">
        <v>190</v>
      </c>
      <c r="EG494" s="319" t="s">
        <v>190</v>
      </c>
      <c r="EH494" s="319" t="s">
        <v>190</v>
      </c>
      <c r="EI494" s="319" t="s">
        <v>190</v>
      </c>
      <c r="EJ494" s="319" t="s">
        <v>190</v>
      </c>
      <c r="EK494" s="319" t="s">
        <v>190</v>
      </c>
      <c r="EL494" s="319" t="s">
        <v>190</v>
      </c>
      <c r="EM494" s="319" t="s">
        <v>190</v>
      </c>
      <c r="EN494" s="319" t="s">
        <v>190</v>
      </c>
      <c r="EO494" s="319" t="s">
        <v>190</v>
      </c>
      <c r="EP494" s="319" t="s">
        <v>190</v>
      </c>
      <c r="EQ494" s="319" t="s">
        <v>190</v>
      </c>
      <c r="ER494" s="319" t="s">
        <v>190</v>
      </c>
      <c r="ES494" s="319" t="s">
        <v>190</v>
      </c>
      <c r="ET494" s="319" t="s">
        <v>190</v>
      </c>
      <c r="EU494" s="319" t="s">
        <v>190</v>
      </c>
      <c r="EV494" s="319" t="s">
        <v>190</v>
      </c>
      <c r="EW494" s="319" t="s">
        <v>190</v>
      </c>
      <c r="EX494" s="319" t="s">
        <v>190</v>
      </c>
      <c r="EY494" s="319" t="s">
        <v>190</v>
      </c>
      <c r="EZ494" s="319" t="s">
        <v>190</v>
      </c>
      <c r="FA494" s="319" t="s">
        <v>190</v>
      </c>
      <c r="FB494" s="319" t="s">
        <v>190</v>
      </c>
      <c r="FC494" s="319" t="s">
        <v>190</v>
      </c>
      <c r="FD494" s="319" t="s">
        <v>190</v>
      </c>
      <c r="FE494" s="319" t="s">
        <v>190</v>
      </c>
      <c r="FF494" s="319" t="s">
        <v>190</v>
      </c>
      <c r="FG494" s="319" t="s">
        <v>190</v>
      </c>
      <c r="FH494" s="319" t="s">
        <v>190</v>
      </c>
      <c r="FI494" s="319" t="s">
        <v>190</v>
      </c>
      <c r="FJ494" s="319" t="s">
        <v>190</v>
      </c>
      <c r="FK494" s="319" t="s">
        <v>190</v>
      </c>
      <c r="FL494" s="319" t="s">
        <v>190</v>
      </c>
      <c r="FM494" s="319" t="s">
        <v>190</v>
      </c>
      <c r="FN494" s="319" t="s">
        <v>190</v>
      </c>
      <c r="FO494" s="319" t="s">
        <v>190</v>
      </c>
      <c r="FP494" s="319" t="s">
        <v>190</v>
      </c>
      <c r="FQ494" s="319" t="s">
        <v>190</v>
      </c>
      <c r="FR494" s="319" t="s">
        <v>190</v>
      </c>
      <c r="FS494" s="319" t="s">
        <v>428</v>
      </c>
      <c r="FT494" s="319" t="s">
        <v>190</v>
      </c>
      <c r="FU494" s="319" t="s">
        <v>190</v>
      </c>
      <c r="FV494" s="319" t="s">
        <v>190</v>
      </c>
      <c r="FW494" s="319" t="s">
        <v>190</v>
      </c>
      <c r="FX494" s="319" t="s">
        <v>190</v>
      </c>
      <c r="FY494" s="319" t="s">
        <v>190</v>
      </c>
      <c r="FZ494" s="319" t="s">
        <v>190</v>
      </c>
      <c r="GA494" s="319" t="s">
        <v>190</v>
      </c>
      <c r="GB494" s="319" t="s">
        <v>190</v>
      </c>
      <c r="GC494" s="319" t="s">
        <v>190</v>
      </c>
      <c r="GD494" s="319" t="s">
        <v>190</v>
      </c>
      <c r="GE494" s="319" t="s">
        <v>190</v>
      </c>
      <c r="GF494" s="319" t="s">
        <v>190</v>
      </c>
      <c r="GG494" s="319" t="s">
        <v>190</v>
      </c>
      <c r="GH494" s="319" t="s">
        <v>190</v>
      </c>
      <c r="GI494" s="319" t="s">
        <v>190</v>
      </c>
      <c r="GJ494" s="319" t="s">
        <v>190</v>
      </c>
      <c r="GK494" s="319" t="s">
        <v>428</v>
      </c>
      <c r="GL494" s="319" t="s">
        <v>190</v>
      </c>
      <c r="GM494" s="319" t="s">
        <v>190</v>
      </c>
      <c r="GN494" s="319" t="s">
        <v>190</v>
      </c>
      <c r="GO494" s="319" t="s">
        <v>190</v>
      </c>
      <c r="GP494" s="319" t="s">
        <v>190</v>
      </c>
      <c r="GQ494" s="319" t="s">
        <v>190</v>
      </c>
      <c r="GR494" s="319" t="s">
        <v>190</v>
      </c>
      <c r="GS494" s="319" t="s">
        <v>190</v>
      </c>
      <c r="GT494" s="319" t="s">
        <v>190</v>
      </c>
      <c r="GU494" s="319" t="s">
        <v>190</v>
      </c>
      <c r="GV494" s="319" t="s">
        <v>190</v>
      </c>
      <c r="GW494" s="319" t="s">
        <v>190</v>
      </c>
      <c r="GX494" s="319" t="s">
        <v>190</v>
      </c>
      <c r="GY494" s="319" t="s">
        <v>190</v>
      </c>
      <c r="GZ494" s="319" t="s">
        <v>190</v>
      </c>
      <c r="HA494" s="319" t="s">
        <v>428</v>
      </c>
      <c r="HB494" s="319" t="s">
        <v>190</v>
      </c>
      <c r="HC494" s="319" t="s">
        <v>190</v>
      </c>
      <c r="HD494" s="319" t="s">
        <v>190</v>
      </c>
      <c r="HE494" s="319" t="s">
        <v>190</v>
      </c>
      <c r="HF494" s="319" t="s">
        <v>190</v>
      </c>
      <c r="HG494" s="319" t="s">
        <v>190</v>
      </c>
      <c r="HH494" s="319" t="s">
        <v>190</v>
      </c>
      <c r="HI494" s="319" t="s">
        <v>190</v>
      </c>
      <c r="HJ494" s="319" t="s">
        <v>190</v>
      </c>
      <c r="HK494" s="319" t="s">
        <v>190</v>
      </c>
      <c r="HL494" s="319" t="s">
        <v>428</v>
      </c>
      <c r="HM494" s="319" t="s">
        <v>428</v>
      </c>
      <c r="HN494" s="319" t="s">
        <v>428</v>
      </c>
      <c r="HO494" s="319" t="s">
        <v>428</v>
      </c>
      <c r="HP494" s="319" t="s">
        <v>190</v>
      </c>
      <c r="HQ494" s="319" t="s">
        <v>190</v>
      </c>
      <c r="HR494" s="319" t="s">
        <v>190</v>
      </c>
      <c r="HS494" s="319" t="s">
        <v>190</v>
      </c>
      <c r="HT494" s="319" t="s">
        <v>190</v>
      </c>
      <c r="HU494" s="319" t="s">
        <v>190</v>
      </c>
      <c r="HV494" s="319" t="s">
        <v>190</v>
      </c>
      <c r="HW494" s="319" t="s">
        <v>190</v>
      </c>
      <c r="HX494" s="319" t="s">
        <v>190</v>
      </c>
      <c r="HY494" s="319" t="s">
        <v>190</v>
      </c>
      <c r="HZ494" s="319" t="s">
        <v>190</v>
      </c>
      <c r="IA494" s="319" t="s">
        <v>190</v>
      </c>
      <c r="IB494" s="319" t="s">
        <v>190</v>
      </c>
      <c r="IC494" s="319" t="s">
        <v>190</v>
      </c>
      <c r="ID494" s="319" t="s">
        <v>190</v>
      </c>
      <c r="IE494" s="319" t="s">
        <v>190</v>
      </c>
      <c r="IF494" s="319" t="s">
        <v>190</v>
      </c>
      <c r="IG494" s="319" t="s">
        <v>190</v>
      </c>
      <c r="IH494" s="319" t="s">
        <v>190</v>
      </c>
      <c r="II494" s="319" t="s">
        <v>190</v>
      </c>
      <c r="IJ494" s="319">
        <v>10034755</v>
      </c>
      <c r="IK494" s="321">
        <v>42892</v>
      </c>
      <c r="IL494" s="321">
        <v>42894</v>
      </c>
      <c r="IM494" s="321">
        <v>42933</v>
      </c>
      <c r="IN494" s="319">
        <v>3</v>
      </c>
      <c r="IO494" s="319" t="s">
        <v>173</v>
      </c>
      <c r="IP494" s="319" t="s">
        <v>173</v>
      </c>
      <c r="IQ494" s="321" t="s">
        <v>173</v>
      </c>
      <c r="IR494" s="320" t="s">
        <v>173</v>
      </c>
      <c r="IS494" s="322" t="s">
        <v>173</v>
      </c>
      <c r="IT494" s="319" t="s">
        <v>173</v>
      </c>
    </row>
    <row r="495" spans="1:254" s="271" customFormat="1" x14ac:dyDescent="0.25">
      <c r="A495" s="318" t="str">
        <f>HYPERLINK("http://www.ofsted.gov.uk/inspection-reports/find-inspection-report/provider/ELS/135155 ","Ofsted School Webpage")</f>
        <v>Ofsted School Webpage</v>
      </c>
      <c r="B495" s="319">
        <v>135155</v>
      </c>
      <c r="C495" s="319">
        <v>3076338</v>
      </c>
      <c r="D495" s="319" t="s">
        <v>1886</v>
      </c>
      <c r="E495" s="319" t="s">
        <v>167</v>
      </c>
      <c r="F495" s="319" t="s">
        <v>81</v>
      </c>
      <c r="G495" s="319" t="s">
        <v>72</v>
      </c>
      <c r="H495" s="319" t="s">
        <v>72</v>
      </c>
      <c r="I495" s="319" t="s">
        <v>72</v>
      </c>
      <c r="J495" s="319" t="s">
        <v>424</v>
      </c>
      <c r="K495" s="319" t="s">
        <v>441</v>
      </c>
      <c r="L495" s="319" t="s">
        <v>441</v>
      </c>
      <c r="M495" s="319" t="s">
        <v>442</v>
      </c>
      <c r="N495" s="319" t="s">
        <v>2834</v>
      </c>
      <c r="O495" s="319" t="s">
        <v>1887</v>
      </c>
      <c r="P495" s="319">
        <v>71</v>
      </c>
      <c r="Q495" s="319" t="s">
        <v>2776</v>
      </c>
      <c r="R495" s="320">
        <v>10035803</v>
      </c>
      <c r="S495" s="321">
        <v>43165</v>
      </c>
      <c r="T495" s="321">
        <v>43167</v>
      </c>
      <c r="U495" s="321">
        <v>43208</v>
      </c>
      <c r="V495" s="319" t="s">
        <v>425</v>
      </c>
      <c r="W495" s="319" t="s">
        <v>2767</v>
      </c>
      <c r="X495" s="319">
        <v>2</v>
      </c>
      <c r="Y495" s="319" t="s">
        <v>173</v>
      </c>
      <c r="Z495" s="319" t="s">
        <v>173</v>
      </c>
      <c r="AA495" s="319" t="s">
        <v>173</v>
      </c>
      <c r="AB495" s="319">
        <v>2</v>
      </c>
      <c r="AC495" s="319" t="s">
        <v>169</v>
      </c>
      <c r="AD495" s="319" t="s">
        <v>173</v>
      </c>
      <c r="AE495" s="319" t="s">
        <v>173</v>
      </c>
      <c r="AF495" s="319" t="s">
        <v>427</v>
      </c>
      <c r="AG495" s="319" t="s">
        <v>171</v>
      </c>
      <c r="AH495" s="319" t="s">
        <v>190</v>
      </c>
      <c r="AI495" s="319" t="s">
        <v>190</v>
      </c>
      <c r="AJ495" s="319" t="s">
        <v>190</v>
      </c>
      <c r="AK495" s="319" t="s">
        <v>190</v>
      </c>
      <c r="AL495" s="319" t="s">
        <v>190</v>
      </c>
      <c r="AM495" s="319" t="s">
        <v>190</v>
      </c>
      <c r="AN495" s="319" t="s">
        <v>190</v>
      </c>
      <c r="AO495" s="319" t="s">
        <v>190</v>
      </c>
      <c r="AP495" s="319" t="s">
        <v>190</v>
      </c>
      <c r="AQ495" s="319" t="s">
        <v>190</v>
      </c>
      <c r="AR495" s="319" t="s">
        <v>190</v>
      </c>
      <c r="AS495" s="319" t="s">
        <v>190</v>
      </c>
      <c r="AT495" s="319" t="s">
        <v>190</v>
      </c>
      <c r="AU495" s="319" t="s">
        <v>190</v>
      </c>
      <c r="AV495" s="319" t="s">
        <v>190</v>
      </c>
      <c r="AW495" s="319" t="s">
        <v>190</v>
      </c>
      <c r="AX495" s="319" t="s">
        <v>428</v>
      </c>
      <c r="AY495" s="319" t="s">
        <v>190</v>
      </c>
      <c r="AZ495" s="319" t="s">
        <v>190</v>
      </c>
      <c r="BA495" s="319" t="s">
        <v>190</v>
      </c>
      <c r="BB495" s="319" t="s">
        <v>190</v>
      </c>
      <c r="BC495" s="319" t="s">
        <v>190</v>
      </c>
      <c r="BD495" s="319" t="s">
        <v>190</v>
      </c>
      <c r="BE495" s="319" t="s">
        <v>190</v>
      </c>
      <c r="BF495" s="319" t="s">
        <v>428</v>
      </c>
      <c r="BG495" s="319" t="s">
        <v>428</v>
      </c>
      <c r="BH495" s="319" t="s">
        <v>190</v>
      </c>
      <c r="BI495" s="319" t="s">
        <v>190</v>
      </c>
      <c r="BJ495" s="319" t="s">
        <v>190</v>
      </c>
      <c r="BK495" s="319" t="s">
        <v>190</v>
      </c>
      <c r="BL495" s="319" t="s">
        <v>190</v>
      </c>
      <c r="BM495" s="319" t="s">
        <v>190</v>
      </c>
      <c r="BN495" s="319" t="s">
        <v>190</v>
      </c>
      <c r="BO495" s="319" t="s">
        <v>190</v>
      </c>
      <c r="BP495" s="319" t="s">
        <v>190</v>
      </c>
      <c r="BQ495" s="319" t="s">
        <v>190</v>
      </c>
      <c r="BR495" s="319" t="s">
        <v>190</v>
      </c>
      <c r="BS495" s="319" t="s">
        <v>190</v>
      </c>
      <c r="BT495" s="319" t="s">
        <v>190</v>
      </c>
      <c r="BU495" s="319" t="s">
        <v>190</v>
      </c>
      <c r="BV495" s="319" t="s">
        <v>190</v>
      </c>
      <c r="BW495" s="319" t="s">
        <v>190</v>
      </c>
      <c r="BX495" s="319" t="s">
        <v>190</v>
      </c>
      <c r="BY495" s="319" t="s">
        <v>190</v>
      </c>
      <c r="BZ495" s="319" t="s">
        <v>190</v>
      </c>
      <c r="CA495" s="319" t="s">
        <v>190</v>
      </c>
      <c r="CB495" s="319" t="s">
        <v>190</v>
      </c>
      <c r="CC495" s="319" t="s">
        <v>190</v>
      </c>
      <c r="CD495" s="319" t="s">
        <v>190</v>
      </c>
      <c r="CE495" s="319" t="s">
        <v>190</v>
      </c>
      <c r="CF495" s="319" t="s">
        <v>190</v>
      </c>
      <c r="CG495" s="319" t="s">
        <v>190</v>
      </c>
      <c r="CH495" s="319" t="s">
        <v>190</v>
      </c>
      <c r="CI495" s="319" t="s">
        <v>190</v>
      </c>
      <c r="CJ495" s="319" t="s">
        <v>190</v>
      </c>
      <c r="CK495" s="319" t="s">
        <v>190</v>
      </c>
      <c r="CL495" s="319" t="s">
        <v>190</v>
      </c>
      <c r="CM495" s="319" t="s">
        <v>190</v>
      </c>
      <c r="CN495" s="319" t="s">
        <v>190</v>
      </c>
      <c r="CO495" s="319" t="s">
        <v>428</v>
      </c>
      <c r="CP495" s="319" t="s">
        <v>428</v>
      </c>
      <c r="CQ495" s="319" t="s">
        <v>190</v>
      </c>
      <c r="CR495" s="319" t="s">
        <v>190</v>
      </c>
      <c r="CS495" s="319" t="s">
        <v>190</v>
      </c>
      <c r="CT495" s="319" t="s">
        <v>190</v>
      </c>
      <c r="CU495" s="319" t="s">
        <v>190</v>
      </c>
      <c r="CV495" s="319" t="s">
        <v>190</v>
      </c>
      <c r="CW495" s="319" t="s">
        <v>190</v>
      </c>
      <c r="CX495" s="319" t="s">
        <v>190</v>
      </c>
      <c r="CY495" s="319" t="s">
        <v>190</v>
      </c>
      <c r="CZ495" s="319" t="s">
        <v>190</v>
      </c>
      <c r="DA495" s="319" t="s">
        <v>190</v>
      </c>
      <c r="DB495" s="319" t="s">
        <v>190</v>
      </c>
      <c r="DC495" s="319" t="s">
        <v>190</v>
      </c>
      <c r="DD495" s="319" t="s">
        <v>190</v>
      </c>
      <c r="DE495" s="319" t="s">
        <v>190</v>
      </c>
      <c r="DF495" s="319" t="s">
        <v>190</v>
      </c>
      <c r="DG495" s="319" t="s">
        <v>190</v>
      </c>
      <c r="DH495" s="319" t="s">
        <v>190</v>
      </c>
      <c r="DI495" s="319" t="s">
        <v>190</v>
      </c>
      <c r="DJ495" s="319" t="s">
        <v>190</v>
      </c>
      <c r="DK495" s="319" t="s">
        <v>190</v>
      </c>
      <c r="DL495" s="319" t="s">
        <v>190</v>
      </c>
      <c r="DM495" s="319" t="s">
        <v>190</v>
      </c>
      <c r="DN495" s="319" t="s">
        <v>428</v>
      </c>
      <c r="DO495" s="319" t="s">
        <v>190</v>
      </c>
      <c r="DP495" s="319" t="s">
        <v>428</v>
      </c>
      <c r="DQ495" s="319" t="s">
        <v>428</v>
      </c>
      <c r="DR495" s="319" t="s">
        <v>428</v>
      </c>
      <c r="DS495" s="319" t="s">
        <v>428</v>
      </c>
      <c r="DT495" s="319" t="s">
        <v>428</v>
      </c>
      <c r="DU495" s="319" t="s">
        <v>428</v>
      </c>
      <c r="DV495" s="319" t="s">
        <v>173</v>
      </c>
      <c r="DW495" s="319" t="s">
        <v>428</v>
      </c>
      <c r="DX495" s="319" t="s">
        <v>428</v>
      </c>
      <c r="DY495" s="319" t="s">
        <v>428</v>
      </c>
      <c r="DZ495" s="319" t="s">
        <v>428</v>
      </c>
      <c r="EA495" s="319" t="s">
        <v>428</v>
      </c>
      <c r="EB495" s="319" t="s">
        <v>428</v>
      </c>
      <c r="EC495" s="319" t="s">
        <v>428</v>
      </c>
      <c r="ED495" s="319" t="s">
        <v>428</v>
      </c>
      <c r="EE495" s="319" t="s">
        <v>190</v>
      </c>
      <c r="EF495" s="319" t="s">
        <v>190</v>
      </c>
      <c r="EG495" s="319" t="s">
        <v>190</v>
      </c>
      <c r="EH495" s="319" t="s">
        <v>190</v>
      </c>
      <c r="EI495" s="319" t="s">
        <v>190</v>
      </c>
      <c r="EJ495" s="319" t="s">
        <v>190</v>
      </c>
      <c r="EK495" s="319" t="s">
        <v>190</v>
      </c>
      <c r="EL495" s="319" t="s">
        <v>190</v>
      </c>
      <c r="EM495" s="319" t="s">
        <v>190</v>
      </c>
      <c r="EN495" s="319" t="s">
        <v>190</v>
      </c>
      <c r="EO495" s="319" t="s">
        <v>190</v>
      </c>
      <c r="EP495" s="319" t="s">
        <v>190</v>
      </c>
      <c r="EQ495" s="319" t="s">
        <v>190</v>
      </c>
      <c r="ER495" s="319" t="s">
        <v>190</v>
      </c>
      <c r="ES495" s="319" t="s">
        <v>190</v>
      </c>
      <c r="ET495" s="319" t="s">
        <v>190</v>
      </c>
      <c r="EU495" s="319" t="s">
        <v>190</v>
      </c>
      <c r="EV495" s="319" t="s">
        <v>190</v>
      </c>
      <c r="EW495" s="319" t="s">
        <v>190</v>
      </c>
      <c r="EX495" s="319" t="s">
        <v>190</v>
      </c>
      <c r="EY495" s="319" t="s">
        <v>190</v>
      </c>
      <c r="EZ495" s="319" t="s">
        <v>190</v>
      </c>
      <c r="FA495" s="319" t="s">
        <v>190</v>
      </c>
      <c r="FB495" s="319" t="s">
        <v>428</v>
      </c>
      <c r="FC495" s="319" t="s">
        <v>428</v>
      </c>
      <c r="FD495" s="319" t="s">
        <v>428</v>
      </c>
      <c r="FE495" s="319" t="s">
        <v>428</v>
      </c>
      <c r="FF495" s="319" t="s">
        <v>428</v>
      </c>
      <c r="FG495" s="319" t="s">
        <v>428</v>
      </c>
      <c r="FH495" s="319" t="s">
        <v>190</v>
      </c>
      <c r="FI495" s="319" t="s">
        <v>190</v>
      </c>
      <c r="FJ495" s="319" t="s">
        <v>190</v>
      </c>
      <c r="FK495" s="319" t="s">
        <v>190</v>
      </c>
      <c r="FL495" s="319" t="s">
        <v>190</v>
      </c>
      <c r="FM495" s="319" t="s">
        <v>190</v>
      </c>
      <c r="FN495" s="319" t="s">
        <v>190</v>
      </c>
      <c r="FO495" s="319" t="s">
        <v>190</v>
      </c>
      <c r="FP495" s="319" t="s">
        <v>190</v>
      </c>
      <c r="FQ495" s="319" t="s">
        <v>190</v>
      </c>
      <c r="FR495" s="319" t="s">
        <v>190</v>
      </c>
      <c r="FS495" s="319" t="s">
        <v>190</v>
      </c>
      <c r="FT495" s="319" t="s">
        <v>190</v>
      </c>
      <c r="FU495" s="319" t="s">
        <v>190</v>
      </c>
      <c r="FV495" s="319" t="s">
        <v>190</v>
      </c>
      <c r="FW495" s="319" t="s">
        <v>190</v>
      </c>
      <c r="FX495" s="319" t="s">
        <v>190</v>
      </c>
      <c r="FY495" s="319" t="s">
        <v>190</v>
      </c>
      <c r="FZ495" s="319" t="s">
        <v>190</v>
      </c>
      <c r="GA495" s="319" t="s">
        <v>190</v>
      </c>
      <c r="GB495" s="319" t="s">
        <v>190</v>
      </c>
      <c r="GC495" s="319" t="s">
        <v>190</v>
      </c>
      <c r="GD495" s="319" t="s">
        <v>190</v>
      </c>
      <c r="GE495" s="319" t="s">
        <v>190</v>
      </c>
      <c r="GF495" s="319" t="s">
        <v>190</v>
      </c>
      <c r="GG495" s="319" t="s">
        <v>190</v>
      </c>
      <c r="GH495" s="319" t="s">
        <v>190</v>
      </c>
      <c r="GI495" s="319" t="s">
        <v>190</v>
      </c>
      <c r="GJ495" s="319" t="s">
        <v>190</v>
      </c>
      <c r="GK495" s="319" t="s">
        <v>428</v>
      </c>
      <c r="GL495" s="319" t="s">
        <v>190</v>
      </c>
      <c r="GM495" s="319" t="s">
        <v>190</v>
      </c>
      <c r="GN495" s="319" t="s">
        <v>190</v>
      </c>
      <c r="GO495" s="319" t="s">
        <v>190</v>
      </c>
      <c r="GP495" s="319" t="s">
        <v>190</v>
      </c>
      <c r="GQ495" s="319" t="s">
        <v>190</v>
      </c>
      <c r="GR495" s="319" t="s">
        <v>190</v>
      </c>
      <c r="GS495" s="319" t="s">
        <v>190</v>
      </c>
      <c r="GT495" s="319" t="s">
        <v>190</v>
      </c>
      <c r="GU495" s="319" t="s">
        <v>190</v>
      </c>
      <c r="GV495" s="319" t="s">
        <v>190</v>
      </c>
      <c r="GW495" s="319" t="s">
        <v>190</v>
      </c>
      <c r="GX495" s="319" t="s">
        <v>190</v>
      </c>
      <c r="GY495" s="319" t="s">
        <v>190</v>
      </c>
      <c r="GZ495" s="319" t="s">
        <v>190</v>
      </c>
      <c r="HA495" s="319" t="s">
        <v>428</v>
      </c>
      <c r="HB495" s="319" t="s">
        <v>190</v>
      </c>
      <c r="HC495" s="319" t="s">
        <v>190</v>
      </c>
      <c r="HD495" s="319" t="s">
        <v>190</v>
      </c>
      <c r="HE495" s="319" t="s">
        <v>190</v>
      </c>
      <c r="HF495" s="319" t="s">
        <v>190</v>
      </c>
      <c r="HG495" s="319" t="s">
        <v>190</v>
      </c>
      <c r="HH495" s="319" t="s">
        <v>190</v>
      </c>
      <c r="HI495" s="319" t="s">
        <v>190</v>
      </c>
      <c r="HJ495" s="319" t="s">
        <v>190</v>
      </c>
      <c r="HK495" s="319" t="s">
        <v>190</v>
      </c>
      <c r="HL495" s="319" t="s">
        <v>190</v>
      </c>
      <c r="HM495" s="319" t="s">
        <v>428</v>
      </c>
      <c r="HN495" s="319" t="s">
        <v>428</v>
      </c>
      <c r="HO495" s="319" t="s">
        <v>428</v>
      </c>
      <c r="HP495" s="319" t="s">
        <v>190</v>
      </c>
      <c r="HQ495" s="319" t="s">
        <v>190</v>
      </c>
      <c r="HR495" s="319" t="s">
        <v>190</v>
      </c>
      <c r="HS495" s="319" t="s">
        <v>190</v>
      </c>
      <c r="HT495" s="319" t="s">
        <v>190</v>
      </c>
      <c r="HU495" s="319" t="s">
        <v>190</v>
      </c>
      <c r="HV495" s="319" t="s">
        <v>190</v>
      </c>
      <c r="HW495" s="319" t="s">
        <v>190</v>
      </c>
      <c r="HX495" s="319" t="s">
        <v>190</v>
      </c>
      <c r="HY495" s="319" t="s">
        <v>190</v>
      </c>
      <c r="HZ495" s="319" t="s">
        <v>190</v>
      </c>
      <c r="IA495" s="319" t="s">
        <v>190</v>
      </c>
      <c r="IB495" s="319" t="s">
        <v>190</v>
      </c>
      <c r="IC495" s="319" t="s">
        <v>190</v>
      </c>
      <c r="ID495" s="319" t="s">
        <v>190</v>
      </c>
      <c r="IE495" s="319" t="s">
        <v>190</v>
      </c>
      <c r="IF495" s="319" t="s">
        <v>190</v>
      </c>
      <c r="IG495" s="319" t="s">
        <v>190</v>
      </c>
      <c r="IH495" s="319" t="s">
        <v>190</v>
      </c>
      <c r="II495" s="319" t="s">
        <v>190</v>
      </c>
      <c r="IJ495" s="319" t="s">
        <v>3260</v>
      </c>
      <c r="IK495" s="321">
        <v>41681</v>
      </c>
      <c r="IL495" s="321">
        <v>41683</v>
      </c>
      <c r="IM495" s="321">
        <v>41701</v>
      </c>
      <c r="IN495" s="319">
        <v>2</v>
      </c>
      <c r="IO495" s="319" t="s">
        <v>173</v>
      </c>
      <c r="IP495" s="319" t="s">
        <v>173</v>
      </c>
      <c r="IQ495" s="321" t="s">
        <v>173</v>
      </c>
      <c r="IR495" s="320" t="s">
        <v>173</v>
      </c>
      <c r="IS495" s="322" t="s">
        <v>173</v>
      </c>
      <c r="IT495" s="319" t="s">
        <v>173</v>
      </c>
    </row>
    <row r="496" spans="1:254" s="271" customFormat="1" x14ac:dyDescent="0.25">
      <c r="A496" s="318" t="str">
        <f>HYPERLINK("http://www.ofsted.gov.uk/inspection-reports/find-inspection-report/provider/ELS/135167 ","Ofsted School Webpage")</f>
        <v>Ofsted School Webpage</v>
      </c>
      <c r="B496" s="319">
        <v>135167</v>
      </c>
      <c r="C496" s="319">
        <v>2026401</v>
      </c>
      <c r="D496" s="319" t="s">
        <v>1888</v>
      </c>
      <c r="E496" s="319" t="s">
        <v>168</v>
      </c>
      <c r="F496" s="319" t="s">
        <v>81</v>
      </c>
      <c r="G496" s="319" t="s">
        <v>81</v>
      </c>
      <c r="H496" s="319" t="s">
        <v>81</v>
      </c>
      <c r="I496" s="319" t="s">
        <v>78</v>
      </c>
      <c r="J496" s="319" t="s">
        <v>424</v>
      </c>
      <c r="K496" s="319" t="s">
        <v>441</v>
      </c>
      <c r="L496" s="319" t="s">
        <v>441</v>
      </c>
      <c r="M496" s="319" t="s">
        <v>1039</v>
      </c>
      <c r="N496" s="319" t="s">
        <v>2765</v>
      </c>
      <c r="O496" s="319" t="s">
        <v>1889</v>
      </c>
      <c r="P496" s="319">
        <v>16</v>
      </c>
      <c r="Q496" s="319" t="s">
        <v>429</v>
      </c>
      <c r="R496" s="320">
        <v>10035804</v>
      </c>
      <c r="S496" s="321">
        <v>43053</v>
      </c>
      <c r="T496" s="321">
        <v>43055</v>
      </c>
      <c r="U496" s="321">
        <v>43112</v>
      </c>
      <c r="V496" s="319" t="s">
        <v>425</v>
      </c>
      <c r="W496" s="319" t="s">
        <v>2767</v>
      </c>
      <c r="X496" s="319">
        <v>2</v>
      </c>
      <c r="Y496" s="319" t="s">
        <v>173</v>
      </c>
      <c r="Z496" s="319" t="s">
        <v>173</v>
      </c>
      <c r="AA496" s="319" t="s">
        <v>173</v>
      </c>
      <c r="AB496" s="319">
        <v>2</v>
      </c>
      <c r="AC496" s="319" t="s">
        <v>169</v>
      </c>
      <c r="AD496" s="319" t="s">
        <v>173</v>
      </c>
      <c r="AE496" s="319" t="s">
        <v>173</v>
      </c>
      <c r="AF496" s="319" t="s">
        <v>427</v>
      </c>
      <c r="AG496" s="319" t="s">
        <v>171</v>
      </c>
      <c r="AH496" s="319" t="s">
        <v>190</v>
      </c>
      <c r="AI496" s="319" t="s">
        <v>190</v>
      </c>
      <c r="AJ496" s="319" t="s">
        <v>190</v>
      </c>
      <c r="AK496" s="319" t="s">
        <v>190</v>
      </c>
      <c r="AL496" s="319" t="s">
        <v>190</v>
      </c>
      <c r="AM496" s="319" t="s">
        <v>190</v>
      </c>
      <c r="AN496" s="319" t="s">
        <v>190</v>
      </c>
      <c r="AO496" s="319" t="s">
        <v>190</v>
      </c>
      <c r="AP496" s="319" t="s">
        <v>190</v>
      </c>
      <c r="AQ496" s="319" t="s">
        <v>190</v>
      </c>
      <c r="AR496" s="319" t="s">
        <v>190</v>
      </c>
      <c r="AS496" s="319" t="s">
        <v>190</v>
      </c>
      <c r="AT496" s="319" t="s">
        <v>190</v>
      </c>
      <c r="AU496" s="319" t="s">
        <v>190</v>
      </c>
      <c r="AV496" s="319" t="s">
        <v>190</v>
      </c>
      <c r="AW496" s="319" t="s">
        <v>190</v>
      </c>
      <c r="AX496" s="319" t="s">
        <v>428</v>
      </c>
      <c r="AY496" s="319" t="s">
        <v>190</v>
      </c>
      <c r="AZ496" s="319" t="s">
        <v>190</v>
      </c>
      <c r="BA496" s="319" t="s">
        <v>190</v>
      </c>
      <c r="BB496" s="319" t="s">
        <v>190</v>
      </c>
      <c r="BC496" s="319" t="s">
        <v>190</v>
      </c>
      <c r="BD496" s="319" t="s">
        <v>190</v>
      </c>
      <c r="BE496" s="319" t="s">
        <v>190</v>
      </c>
      <c r="BF496" s="319" t="s">
        <v>428</v>
      </c>
      <c r="BG496" s="319" t="s">
        <v>428</v>
      </c>
      <c r="BH496" s="319" t="s">
        <v>190</v>
      </c>
      <c r="BI496" s="319" t="s">
        <v>190</v>
      </c>
      <c r="BJ496" s="319" t="s">
        <v>190</v>
      </c>
      <c r="BK496" s="319" t="s">
        <v>190</v>
      </c>
      <c r="BL496" s="319" t="s">
        <v>190</v>
      </c>
      <c r="BM496" s="319" t="s">
        <v>190</v>
      </c>
      <c r="BN496" s="319" t="s">
        <v>190</v>
      </c>
      <c r="BO496" s="319" t="s">
        <v>190</v>
      </c>
      <c r="BP496" s="319" t="s">
        <v>190</v>
      </c>
      <c r="BQ496" s="319" t="s">
        <v>190</v>
      </c>
      <c r="BR496" s="319" t="s">
        <v>190</v>
      </c>
      <c r="BS496" s="319" t="s">
        <v>190</v>
      </c>
      <c r="BT496" s="319" t="s">
        <v>190</v>
      </c>
      <c r="BU496" s="319" t="s">
        <v>190</v>
      </c>
      <c r="BV496" s="319" t="s">
        <v>190</v>
      </c>
      <c r="BW496" s="319" t="s">
        <v>190</v>
      </c>
      <c r="BX496" s="319" t="s">
        <v>190</v>
      </c>
      <c r="BY496" s="319" t="s">
        <v>190</v>
      </c>
      <c r="BZ496" s="319" t="s">
        <v>190</v>
      </c>
      <c r="CA496" s="319" t="s">
        <v>190</v>
      </c>
      <c r="CB496" s="319" t="s">
        <v>190</v>
      </c>
      <c r="CC496" s="319" t="s">
        <v>190</v>
      </c>
      <c r="CD496" s="319" t="s">
        <v>190</v>
      </c>
      <c r="CE496" s="319" t="s">
        <v>190</v>
      </c>
      <c r="CF496" s="319" t="s">
        <v>190</v>
      </c>
      <c r="CG496" s="319" t="s">
        <v>190</v>
      </c>
      <c r="CH496" s="319" t="s">
        <v>190</v>
      </c>
      <c r="CI496" s="319" t="s">
        <v>190</v>
      </c>
      <c r="CJ496" s="319" t="s">
        <v>190</v>
      </c>
      <c r="CK496" s="319" t="s">
        <v>190</v>
      </c>
      <c r="CL496" s="319" t="s">
        <v>190</v>
      </c>
      <c r="CM496" s="319" t="s">
        <v>190</v>
      </c>
      <c r="CN496" s="319" t="s">
        <v>428</v>
      </c>
      <c r="CO496" s="319" t="s">
        <v>428</v>
      </c>
      <c r="CP496" s="319" t="s">
        <v>428</v>
      </c>
      <c r="CQ496" s="319" t="s">
        <v>190</v>
      </c>
      <c r="CR496" s="319" t="s">
        <v>190</v>
      </c>
      <c r="CS496" s="319" t="s">
        <v>190</v>
      </c>
      <c r="CT496" s="319" t="s">
        <v>190</v>
      </c>
      <c r="CU496" s="319" t="s">
        <v>190</v>
      </c>
      <c r="CV496" s="319" t="s">
        <v>190</v>
      </c>
      <c r="CW496" s="319" t="s">
        <v>190</v>
      </c>
      <c r="CX496" s="319" t="s">
        <v>190</v>
      </c>
      <c r="CY496" s="319" t="s">
        <v>190</v>
      </c>
      <c r="CZ496" s="319" t="s">
        <v>190</v>
      </c>
      <c r="DA496" s="319" t="s">
        <v>190</v>
      </c>
      <c r="DB496" s="319" t="s">
        <v>190</v>
      </c>
      <c r="DC496" s="319" t="s">
        <v>190</v>
      </c>
      <c r="DD496" s="319" t="s">
        <v>190</v>
      </c>
      <c r="DE496" s="319" t="s">
        <v>190</v>
      </c>
      <c r="DF496" s="319" t="s">
        <v>190</v>
      </c>
      <c r="DG496" s="319" t="s">
        <v>190</v>
      </c>
      <c r="DH496" s="319" t="s">
        <v>190</v>
      </c>
      <c r="DI496" s="319" t="s">
        <v>190</v>
      </c>
      <c r="DJ496" s="319" t="s">
        <v>190</v>
      </c>
      <c r="DK496" s="319" t="s">
        <v>190</v>
      </c>
      <c r="DL496" s="319" t="s">
        <v>190</v>
      </c>
      <c r="DM496" s="319" t="s">
        <v>190</v>
      </c>
      <c r="DN496" s="319" t="s">
        <v>428</v>
      </c>
      <c r="DO496" s="319" t="s">
        <v>190</v>
      </c>
      <c r="DP496" s="319" t="s">
        <v>190</v>
      </c>
      <c r="DQ496" s="319" t="s">
        <v>190</v>
      </c>
      <c r="DR496" s="319" t="s">
        <v>190</v>
      </c>
      <c r="DS496" s="319" t="s">
        <v>190</v>
      </c>
      <c r="DT496" s="319" t="s">
        <v>190</v>
      </c>
      <c r="DU496" s="319" t="s">
        <v>190</v>
      </c>
      <c r="DV496" s="319" t="s">
        <v>173</v>
      </c>
      <c r="DW496" s="319" t="s">
        <v>190</v>
      </c>
      <c r="DX496" s="319" t="s">
        <v>190</v>
      </c>
      <c r="DY496" s="319" t="s">
        <v>190</v>
      </c>
      <c r="DZ496" s="319" t="s">
        <v>190</v>
      </c>
      <c r="EA496" s="319" t="s">
        <v>190</v>
      </c>
      <c r="EB496" s="319" t="s">
        <v>190</v>
      </c>
      <c r="EC496" s="319" t="s">
        <v>428</v>
      </c>
      <c r="ED496" s="319" t="s">
        <v>190</v>
      </c>
      <c r="EE496" s="319" t="s">
        <v>190</v>
      </c>
      <c r="EF496" s="319" t="s">
        <v>190</v>
      </c>
      <c r="EG496" s="319" t="s">
        <v>190</v>
      </c>
      <c r="EH496" s="319" t="s">
        <v>190</v>
      </c>
      <c r="EI496" s="319" t="s">
        <v>190</v>
      </c>
      <c r="EJ496" s="319" t="s">
        <v>190</v>
      </c>
      <c r="EK496" s="319" t="s">
        <v>190</v>
      </c>
      <c r="EL496" s="319" t="s">
        <v>190</v>
      </c>
      <c r="EM496" s="319" t="s">
        <v>190</v>
      </c>
      <c r="EN496" s="319" t="s">
        <v>190</v>
      </c>
      <c r="EO496" s="319" t="s">
        <v>190</v>
      </c>
      <c r="EP496" s="319" t="s">
        <v>190</v>
      </c>
      <c r="EQ496" s="319" t="s">
        <v>190</v>
      </c>
      <c r="ER496" s="319" t="s">
        <v>190</v>
      </c>
      <c r="ES496" s="319" t="s">
        <v>190</v>
      </c>
      <c r="ET496" s="319" t="s">
        <v>190</v>
      </c>
      <c r="EU496" s="319" t="s">
        <v>190</v>
      </c>
      <c r="EV496" s="319" t="s">
        <v>190</v>
      </c>
      <c r="EW496" s="319" t="s">
        <v>190</v>
      </c>
      <c r="EX496" s="319" t="s">
        <v>190</v>
      </c>
      <c r="EY496" s="319" t="s">
        <v>190</v>
      </c>
      <c r="EZ496" s="319" t="s">
        <v>190</v>
      </c>
      <c r="FA496" s="319" t="s">
        <v>190</v>
      </c>
      <c r="FB496" s="319" t="s">
        <v>190</v>
      </c>
      <c r="FC496" s="319" t="s">
        <v>190</v>
      </c>
      <c r="FD496" s="319" t="s">
        <v>190</v>
      </c>
      <c r="FE496" s="319" t="s">
        <v>190</v>
      </c>
      <c r="FF496" s="319" t="s">
        <v>190</v>
      </c>
      <c r="FG496" s="319" t="s">
        <v>190</v>
      </c>
      <c r="FH496" s="319" t="s">
        <v>190</v>
      </c>
      <c r="FI496" s="319" t="s">
        <v>190</v>
      </c>
      <c r="FJ496" s="319" t="s">
        <v>190</v>
      </c>
      <c r="FK496" s="319" t="s">
        <v>190</v>
      </c>
      <c r="FL496" s="319" t="s">
        <v>190</v>
      </c>
      <c r="FM496" s="319" t="s">
        <v>190</v>
      </c>
      <c r="FN496" s="319" t="s">
        <v>190</v>
      </c>
      <c r="FO496" s="319" t="s">
        <v>190</v>
      </c>
      <c r="FP496" s="319" t="s">
        <v>190</v>
      </c>
      <c r="FQ496" s="319" t="s">
        <v>190</v>
      </c>
      <c r="FR496" s="319" t="s">
        <v>190</v>
      </c>
      <c r="FS496" s="319" t="s">
        <v>428</v>
      </c>
      <c r="FT496" s="319" t="s">
        <v>190</v>
      </c>
      <c r="FU496" s="319" t="s">
        <v>190</v>
      </c>
      <c r="FV496" s="319" t="s">
        <v>190</v>
      </c>
      <c r="FW496" s="319" t="s">
        <v>190</v>
      </c>
      <c r="FX496" s="319" t="s">
        <v>190</v>
      </c>
      <c r="FY496" s="319" t="s">
        <v>190</v>
      </c>
      <c r="FZ496" s="319" t="s">
        <v>190</v>
      </c>
      <c r="GA496" s="319" t="s">
        <v>190</v>
      </c>
      <c r="GB496" s="319" t="s">
        <v>190</v>
      </c>
      <c r="GC496" s="319" t="s">
        <v>190</v>
      </c>
      <c r="GD496" s="319" t="s">
        <v>190</v>
      </c>
      <c r="GE496" s="319" t="s">
        <v>190</v>
      </c>
      <c r="GF496" s="319" t="s">
        <v>190</v>
      </c>
      <c r="GG496" s="319" t="s">
        <v>190</v>
      </c>
      <c r="GH496" s="319" t="s">
        <v>190</v>
      </c>
      <c r="GI496" s="319" t="s">
        <v>190</v>
      </c>
      <c r="GJ496" s="319" t="s">
        <v>190</v>
      </c>
      <c r="GK496" s="319" t="s">
        <v>428</v>
      </c>
      <c r="GL496" s="319" t="s">
        <v>190</v>
      </c>
      <c r="GM496" s="319" t="s">
        <v>190</v>
      </c>
      <c r="GN496" s="319" t="s">
        <v>190</v>
      </c>
      <c r="GO496" s="319" t="s">
        <v>190</v>
      </c>
      <c r="GP496" s="319" t="s">
        <v>190</v>
      </c>
      <c r="GQ496" s="319" t="s">
        <v>190</v>
      </c>
      <c r="GR496" s="319" t="s">
        <v>190</v>
      </c>
      <c r="GS496" s="319" t="s">
        <v>190</v>
      </c>
      <c r="GT496" s="319" t="s">
        <v>428</v>
      </c>
      <c r="GU496" s="319" t="s">
        <v>428</v>
      </c>
      <c r="GV496" s="319" t="s">
        <v>428</v>
      </c>
      <c r="GW496" s="319" t="s">
        <v>190</v>
      </c>
      <c r="GX496" s="319" t="s">
        <v>190</v>
      </c>
      <c r="GY496" s="319" t="s">
        <v>190</v>
      </c>
      <c r="GZ496" s="319" t="s">
        <v>190</v>
      </c>
      <c r="HA496" s="319" t="s">
        <v>190</v>
      </c>
      <c r="HB496" s="319" t="s">
        <v>190</v>
      </c>
      <c r="HC496" s="319" t="s">
        <v>190</v>
      </c>
      <c r="HD496" s="319" t="s">
        <v>190</v>
      </c>
      <c r="HE496" s="319" t="s">
        <v>190</v>
      </c>
      <c r="HF496" s="319" t="s">
        <v>190</v>
      </c>
      <c r="HG496" s="319" t="s">
        <v>190</v>
      </c>
      <c r="HH496" s="319" t="s">
        <v>190</v>
      </c>
      <c r="HI496" s="319" t="s">
        <v>190</v>
      </c>
      <c r="HJ496" s="319" t="s">
        <v>190</v>
      </c>
      <c r="HK496" s="319" t="s">
        <v>190</v>
      </c>
      <c r="HL496" s="319" t="s">
        <v>190</v>
      </c>
      <c r="HM496" s="319" t="s">
        <v>190</v>
      </c>
      <c r="HN496" s="319" t="s">
        <v>190</v>
      </c>
      <c r="HO496" s="319" t="s">
        <v>190</v>
      </c>
      <c r="HP496" s="319" t="s">
        <v>190</v>
      </c>
      <c r="HQ496" s="319" t="s">
        <v>190</v>
      </c>
      <c r="HR496" s="319" t="s">
        <v>190</v>
      </c>
      <c r="HS496" s="319" t="s">
        <v>190</v>
      </c>
      <c r="HT496" s="319" t="s">
        <v>190</v>
      </c>
      <c r="HU496" s="319" t="s">
        <v>190</v>
      </c>
      <c r="HV496" s="319" t="s">
        <v>190</v>
      </c>
      <c r="HW496" s="319" t="s">
        <v>190</v>
      </c>
      <c r="HX496" s="319" t="s">
        <v>190</v>
      </c>
      <c r="HY496" s="319" t="s">
        <v>190</v>
      </c>
      <c r="HZ496" s="319" t="s">
        <v>190</v>
      </c>
      <c r="IA496" s="319" t="s">
        <v>190</v>
      </c>
      <c r="IB496" s="319" t="s">
        <v>190</v>
      </c>
      <c r="IC496" s="319" t="s">
        <v>190</v>
      </c>
      <c r="ID496" s="319" t="s">
        <v>190</v>
      </c>
      <c r="IE496" s="319" t="s">
        <v>190</v>
      </c>
      <c r="IF496" s="319" t="s">
        <v>190</v>
      </c>
      <c r="IG496" s="319" t="s">
        <v>190</v>
      </c>
      <c r="IH496" s="319" t="s">
        <v>190</v>
      </c>
      <c r="II496" s="319" t="s">
        <v>190</v>
      </c>
      <c r="IJ496" s="319" t="s">
        <v>3261</v>
      </c>
      <c r="IK496" s="321">
        <v>41681</v>
      </c>
      <c r="IL496" s="321">
        <v>41683</v>
      </c>
      <c r="IM496" s="321">
        <v>41703</v>
      </c>
      <c r="IN496" s="319">
        <v>1</v>
      </c>
      <c r="IO496" s="319" t="s">
        <v>173</v>
      </c>
      <c r="IP496" s="319" t="s">
        <v>173</v>
      </c>
      <c r="IQ496" s="321" t="s">
        <v>173</v>
      </c>
      <c r="IR496" s="320" t="s">
        <v>173</v>
      </c>
      <c r="IS496" s="322" t="s">
        <v>173</v>
      </c>
      <c r="IT496" s="319" t="s">
        <v>173</v>
      </c>
    </row>
    <row r="497" spans="1:254" s="271" customFormat="1" x14ac:dyDescent="0.25">
      <c r="A497" s="318" t="str">
        <f>HYPERLINK("http://www.ofsted.gov.uk/inspection-reports/find-inspection-report/provider/ELS/135168 ","Ofsted School Webpage")</f>
        <v>Ofsted School Webpage</v>
      </c>
      <c r="B497" s="319">
        <v>135168</v>
      </c>
      <c r="C497" s="319">
        <v>3556054</v>
      </c>
      <c r="D497" s="319" t="s">
        <v>1890</v>
      </c>
      <c r="E497" s="319" t="s">
        <v>167</v>
      </c>
      <c r="F497" s="319" t="s">
        <v>81</v>
      </c>
      <c r="G497" s="319" t="s">
        <v>70</v>
      </c>
      <c r="H497" s="319" t="s">
        <v>70</v>
      </c>
      <c r="I497" s="319" t="s">
        <v>69</v>
      </c>
      <c r="J497" s="319" t="s">
        <v>424</v>
      </c>
      <c r="K497" s="319" t="s">
        <v>431</v>
      </c>
      <c r="L497" s="319" t="s">
        <v>431</v>
      </c>
      <c r="M497" s="319" t="s">
        <v>533</v>
      </c>
      <c r="N497" s="319" t="s">
        <v>2874</v>
      </c>
      <c r="O497" s="319" t="s">
        <v>1891</v>
      </c>
      <c r="P497" s="319">
        <v>96</v>
      </c>
      <c r="Q497" s="319" t="s">
        <v>2766</v>
      </c>
      <c r="R497" s="320">
        <v>10034027</v>
      </c>
      <c r="S497" s="321">
        <v>42892</v>
      </c>
      <c r="T497" s="321">
        <v>42894</v>
      </c>
      <c r="U497" s="321">
        <v>42920</v>
      </c>
      <c r="V497" s="319" t="s">
        <v>425</v>
      </c>
      <c r="W497" s="319" t="s">
        <v>2767</v>
      </c>
      <c r="X497" s="319">
        <v>2</v>
      </c>
      <c r="Y497" s="319" t="s">
        <v>173</v>
      </c>
      <c r="Z497" s="319" t="s">
        <v>173</v>
      </c>
      <c r="AA497" s="319" t="s">
        <v>173</v>
      </c>
      <c r="AB497" s="319">
        <v>2</v>
      </c>
      <c r="AC497" s="319" t="s">
        <v>169</v>
      </c>
      <c r="AD497" s="319" t="s">
        <v>173</v>
      </c>
      <c r="AE497" s="319" t="s">
        <v>173</v>
      </c>
      <c r="AF497" s="319" t="s">
        <v>173</v>
      </c>
      <c r="AG497" s="319" t="s">
        <v>171</v>
      </c>
      <c r="AH497" s="319" t="s">
        <v>190</v>
      </c>
      <c r="AI497" s="319" t="s">
        <v>190</v>
      </c>
      <c r="AJ497" s="319" t="s">
        <v>190</v>
      </c>
      <c r="AK497" s="319" t="s">
        <v>190</v>
      </c>
      <c r="AL497" s="319" t="s">
        <v>190</v>
      </c>
      <c r="AM497" s="319" t="s">
        <v>190</v>
      </c>
      <c r="AN497" s="319" t="s">
        <v>190</v>
      </c>
      <c r="AO497" s="319" t="s">
        <v>190</v>
      </c>
      <c r="AP497" s="319" t="s">
        <v>190</v>
      </c>
      <c r="AQ497" s="319" t="s">
        <v>190</v>
      </c>
      <c r="AR497" s="319" t="s">
        <v>190</v>
      </c>
      <c r="AS497" s="319" t="s">
        <v>190</v>
      </c>
      <c r="AT497" s="319" t="s">
        <v>190</v>
      </c>
      <c r="AU497" s="319" t="s">
        <v>190</v>
      </c>
      <c r="AV497" s="319" t="s">
        <v>190</v>
      </c>
      <c r="AW497" s="319" t="s">
        <v>190</v>
      </c>
      <c r="AX497" s="319" t="s">
        <v>429</v>
      </c>
      <c r="AY497" s="319" t="s">
        <v>190</v>
      </c>
      <c r="AZ497" s="319" t="s">
        <v>190</v>
      </c>
      <c r="BA497" s="319" t="s">
        <v>190</v>
      </c>
      <c r="BB497" s="319" t="s">
        <v>190</v>
      </c>
      <c r="BC497" s="319" t="s">
        <v>190</v>
      </c>
      <c r="BD497" s="319" t="s">
        <v>190</v>
      </c>
      <c r="BE497" s="319" t="s">
        <v>190</v>
      </c>
      <c r="BF497" s="319" t="s">
        <v>429</v>
      </c>
      <c r="BG497" s="319" t="s">
        <v>429</v>
      </c>
      <c r="BH497" s="319" t="s">
        <v>190</v>
      </c>
      <c r="BI497" s="319" t="s">
        <v>190</v>
      </c>
      <c r="BJ497" s="319" t="s">
        <v>190</v>
      </c>
      <c r="BK497" s="319" t="s">
        <v>190</v>
      </c>
      <c r="BL497" s="319" t="s">
        <v>190</v>
      </c>
      <c r="BM497" s="319" t="s">
        <v>190</v>
      </c>
      <c r="BN497" s="319" t="s">
        <v>190</v>
      </c>
      <c r="BO497" s="319" t="s">
        <v>190</v>
      </c>
      <c r="BP497" s="319" t="s">
        <v>190</v>
      </c>
      <c r="BQ497" s="319" t="s">
        <v>190</v>
      </c>
      <c r="BR497" s="319" t="s">
        <v>190</v>
      </c>
      <c r="BS497" s="319" t="s">
        <v>190</v>
      </c>
      <c r="BT497" s="319" t="s">
        <v>190</v>
      </c>
      <c r="BU497" s="319" t="s">
        <v>190</v>
      </c>
      <c r="BV497" s="319" t="s">
        <v>190</v>
      </c>
      <c r="BW497" s="319" t="s">
        <v>190</v>
      </c>
      <c r="BX497" s="319" t="s">
        <v>190</v>
      </c>
      <c r="BY497" s="319" t="s">
        <v>190</v>
      </c>
      <c r="BZ497" s="319" t="s">
        <v>190</v>
      </c>
      <c r="CA497" s="319" t="s">
        <v>190</v>
      </c>
      <c r="CB497" s="319" t="s">
        <v>190</v>
      </c>
      <c r="CC497" s="319" t="s">
        <v>190</v>
      </c>
      <c r="CD497" s="319" t="s">
        <v>190</v>
      </c>
      <c r="CE497" s="319" t="s">
        <v>190</v>
      </c>
      <c r="CF497" s="319" t="s">
        <v>190</v>
      </c>
      <c r="CG497" s="319" t="s">
        <v>190</v>
      </c>
      <c r="CH497" s="319" t="s">
        <v>190</v>
      </c>
      <c r="CI497" s="319" t="s">
        <v>190</v>
      </c>
      <c r="CJ497" s="319" t="s">
        <v>190</v>
      </c>
      <c r="CK497" s="319" t="s">
        <v>190</v>
      </c>
      <c r="CL497" s="319" t="s">
        <v>190</v>
      </c>
      <c r="CM497" s="319" t="s">
        <v>190</v>
      </c>
      <c r="CN497" s="319" t="s">
        <v>429</v>
      </c>
      <c r="CO497" s="319" t="s">
        <v>429</v>
      </c>
      <c r="CP497" s="319" t="s">
        <v>429</v>
      </c>
      <c r="CQ497" s="319" t="s">
        <v>190</v>
      </c>
      <c r="CR497" s="319" t="s">
        <v>190</v>
      </c>
      <c r="CS497" s="319" t="s">
        <v>190</v>
      </c>
      <c r="CT497" s="319" t="s">
        <v>190</v>
      </c>
      <c r="CU497" s="319" t="s">
        <v>190</v>
      </c>
      <c r="CV497" s="319" t="s">
        <v>190</v>
      </c>
      <c r="CW497" s="319" t="s">
        <v>190</v>
      </c>
      <c r="CX497" s="319" t="s">
        <v>190</v>
      </c>
      <c r="CY497" s="319" t="s">
        <v>190</v>
      </c>
      <c r="CZ497" s="319" t="s">
        <v>190</v>
      </c>
      <c r="DA497" s="319" t="s">
        <v>190</v>
      </c>
      <c r="DB497" s="319" t="s">
        <v>190</v>
      </c>
      <c r="DC497" s="319" t="s">
        <v>190</v>
      </c>
      <c r="DD497" s="319" t="s">
        <v>190</v>
      </c>
      <c r="DE497" s="319" t="s">
        <v>190</v>
      </c>
      <c r="DF497" s="319" t="s">
        <v>190</v>
      </c>
      <c r="DG497" s="319" t="s">
        <v>190</v>
      </c>
      <c r="DH497" s="319" t="s">
        <v>190</v>
      </c>
      <c r="DI497" s="319" t="s">
        <v>190</v>
      </c>
      <c r="DJ497" s="319" t="s">
        <v>190</v>
      </c>
      <c r="DK497" s="319" t="s">
        <v>190</v>
      </c>
      <c r="DL497" s="319" t="s">
        <v>190</v>
      </c>
      <c r="DM497" s="319" t="s">
        <v>190</v>
      </c>
      <c r="DN497" s="319" t="s">
        <v>190</v>
      </c>
      <c r="DO497" s="319" t="s">
        <v>190</v>
      </c>
      <c r="DP497" s="319" t="s">
        <v>190</v>
      </c>
      <c r="DQ497" s="319" t="s">
        <v>190</v>
      </c>
      <c r="DR497" s="319" t="s">
        <v>190</v>
      </c>
      <c r="DS497" s="319" t="s">
        <v>190</v>
      </c>
      <c r="DT497" s="319" t="s">
        <v>190</v>
      </c>
      <c r="DU497" s="319" t="s">
        <v>190</v>
      </c>
      <c r="DV497" s="319" t="s">
        <v>173</v>
      </c>
      <c r="DW497" s="319" t="s">
        <v>190</v>
      </c>
      <c r="DX497" s="319" t="s">
        <v>190</v>
      </c>
      <c r="DY497" s="319" t="s">
        <v>190</v>
      </c>
      <c r="DZ497" s="319" t="s">
        <v>190</v>
      </c>
      <c r="EA497" s="319" t="s">
        <v>190</v>
      </c>
      <c r="EB497" s="319" t="s">
        <v>190</v>
      </c>
      <c r="EC497" s="319" t="s">
        <v>190</v>
      </c>
      <c r="ED497" s="319" t="s">
        <v>190</v>
      </c>
      <c r="EE497" s="319" t="s">
        <v>190</v>
      </c>
      <c r="EF497" s="319" t="s">
        <v>190</v>
      </c>
      <c r="EG497" s="319" t="s">
        <v>190</v>
      </c>
      <c r="EH497" s="319" t="s">
        <v>190</v>
      </c>
      <c r="EI497" s="319" t="s">
        <v>190</v>
      </c>
      <c r="EJ497" s="319" t="s">
        <v>190</v>
      </c>
      <c r="EK497" s="319" t="s">
        <v>190</v>
      </c>
      <c r="EL497" s="319" t="s">
        <v>190</v>
      </c>
      <c r="EM497" s="319" t="s">
        <v>190</v>
      </c>
      <c r="EN497" s="319" t="s">
        <v>190</v>
      </c>
      <c r="EO497" s="319" t="s">
        <v>190</v>
      </c>
      <c r="EP497" s="319" t="s">
        <v>190</v>
      </c>
      <c r="EQ497" s="319" t="s">
        <v>190</v>
      </c>
      <c r="ER497" s="319" t="s">
        <v>190</v>
      </c>
      <c r="ES497" s="319" t="s">
        <v>190</v>
      </c>
      <c r="ET497" s="319" t="s">
        <v>190</v>
      </c>
      <c r="EU497" s="319" t="s">
        <v>190</v>
      </c>
      <c r="EV497" s="319" t="s">
        <v>190</v>
      </c>
      <c r="EW497" s="319" t="s">
        <v>190</v>
      </c>
      <c r="EX497" s="319" t="s">
        <v>190</v>
      </c>
      <c r="EY497" s="319" t="s">
        <v>190</v>
      </c>
      <c r="EZ497" s="319" t="s">
        <v>190</v>
      </c>
      <c r="FA497" s="319" t="s">
        <v>190</v>
      </c>
      <c r="FB497" s="319" t="s">
        <v>190</v>
      </c>
      <c r="FC497" s="319" t="s">
        <v>190</v>
      </c>
      <c r="FD497" s="319" t="s">
        <v>190</v>
      </c>
      <c r="FE497" s="319" t="s">
        <v>190</v>
      </c>
      <c r="FF497" s="319" t="s">
        <v>190</v>
      </c>
      <c r="FG497" s="319" t="s">
        <v>190</v>
      </c>
      <c r="FH497" s="319" t="s">
        <v>190</v>
      </c>
      <c r="FI497" s="319" t="s">
        <v>190</v>
      </c>
      <c r="FJ497" s="319" t="s">
        <v>190</v>
      </c>
      <c r="FK497" s="319" t="s">
        <v>190</v>
      </c>
      <c r="FL497" s="319" t="s">
        <v>190</v>
      </c>
      <c r="FM497" s="319" t="s">
        <v>190</v>
      </c>
      <c r="FN497" s="319" t="s">
        <v>190</v>
      </c>
      <c r="FO497" s="319" t="s">
        <v>190</v>
      </c>
      <c r="FP497" s="319" t="s">
        <v>190</v>
      </c>
      <c r="FQ497" s="319" t="s">
        <v>190</v>
      </c>
      <c r="FR497" s="319" t="s">
        <v>190</v>
      </c>
      <c r="FS497" s="319" t="s">
        <v>190</v>
      </c>
      <c r="FT497" s="319" t="s">
        <v>190</v>
      </c>
      <c r="FU497" s="319" t="s">
        <v>190</v>
      </c>
      <c r="FV497" s="319" t="s">
        <v>190</v>
      </c>
      <c r="FW497" s="319" t="s">
        <v>190</v>
      </c>
      <c r="FX497" s="319" t="s">
        <v>190</v>
      </c>
      <c r="FY497" s="319" t="s">
        <v>190</v>
      </c>
      <c r="FZ497" s="319" t="s">
        <v>190</v>
      </c>
      <c r="GA497" s="319" t="s">
        <v>190</v>
      </c>
      <c r="GB497" s="319" t="s">
        <v>190</v>
      </c>
      <c r="GC497" s="319" t="s">
        <v>190</v>
      </c>
      <c r="GD497" s="319" t="s">
        <v>190</v>
      </c>
      <c r="GE497" s="319" t="s">
        <v>190</v>
      </c>
      <c r="GF497" s="319" t="s">
        <v>190</v>
      </c>
      <c r="GG497" s="319" t="s">
        <v>190</v>
      </c>
      <c r="GH497" s="319" t="s">
        <v>190</v>
      </c>
      <c r="GI497" s="319" t="s">
        <v>190</v>
      </c>
      <c r="GJ497" s="319" t="s">
        <v>190</v>
      </c>
      <c r="GK497" s="319" t="s">
        <v>190</v>
      </c>
      <c r="GL497" s="319" t="s">
        <v>190</v>
      </c>
      <c r="GM497" s="319" t="s">
        <v>190</v>
      </c>
      <c r="GN497" s="319" t="s">
        <v>190</v>
      </c>
      <c r="GO497" s="319" t="s">
        <v>190</v>
      </c>
      <c r="GP497" s="319" t="s">
        <v>190</v>
      </c>
      <c r="GQ497" s="319" t="s">
        <v>190</v>
      </c>
      <c r="GR497" s="319" t="s">
        <v>190</v>
      </c>
      <c r="GS497" s="319" t="s">
        <v>190</v>
      </c>
      <c r="GT497" s="319" t="s">
        <v>190</v>
      </c>
      <c r="GU497" s="319" t="s">
        <v>190</v>
      </c>
      <c r="GV497" s="319" t="s">
        <v>190</v>
      </c>
      <c r="GW497" s="319" t="s">
        <v>190</v>
      </c>
      <c r="GX497" s="319" t="s">
        <v>190</v>
      </c>
      <c r="GY497" s="319" t="s">
        <v>190</v>
      </c>
      <c r="GZ497" s="319" t="s">
        <v>190</v>
      </c>
      <c r="HA497" s="319" t="s">
        <v>190</v>
      </c>
      <c r="HB497" s="319" t="s">
        <v>190</v>
      </c>
      <c r="HC497" s="319" t="s">
        <v>190</v>
      </c>
      <c r="HD497" s="319" t="s">
        <v>190</v>
      </c>
      <c r="HE497" s="319" t="s">
        <v>190</v>
      </c>
      <c r="HF497" s="319" t="s">
        <v>190</v>
      </c>
      <c r="HG497" s="319" t="s">
        <v>190</v>
      </c>
      <c r="HH497" s="319" t="s">
        <v>190</v>
      </c>
      <c r="HI497" s="319" t="s">
        <v>190</v>
      </c>
      <c r="HJ497" s="319" t="s">
        <v>190</v>
      </c>
      <c r="HK497" s="319" t="s">
        <v>190</v>
      </c>
      <c r="HL497" s="319" t="s">
        <v>190</v>
      </c>
      <c r="HM497" s="319" t="s">
        <v>190</v>
      </c>
      <c r="HN497" s="319" t="s">
        <v>190</v>
      </c>
      <c r="HO497" s="319" t="s">
        <v>190</v>
      </c>
      <c r="HP497" s="319" t="s">
        <v>190</v>
      </c>
      <c r="HQ497" s="319" t="s">
        <v>190</v>
      </c>
      <c r="HR497" s="319" t="s">
        <v>190</v>
      </c>
      <c r="HS497" s="319" t="s">
        <v>190</v>
      </c>
      <c r="HT497" s="319" t="s">
        <v>190</v>
      </c>
      <c r="HU497" s="319" t="s">
        <v>190</v>
      </c>
      <c r="HV497" s="319" t="s">
        <v>190</v>
      </c>
      <c r="HW497" s="319" t="s">
        <v>190</v>
      </c>
      <c r="HX497" s="319" t="s">
        <v>190</v>
      </c>
      <c r="HY497" s="319" t="s">
        <v>190</v>
      </c>
      <c r="HZ497" s="319" t="s">
        <v>190</v>
      </c>
      <c r="IA497" s="319" t="s">
        <v>190</v>
      </c>
      <c r="IB497" s="319" t="s">
        <v>190</v>
      </c>
      <c r="IC497" s="319" t="s">
        <v>190</v>
      </c>
      <c r="ID497" s="319" t="s">
        <v>190</v>
      </c>
      <c r="IE497" s="319" t="s">
        <v>190</v>
      </c>
      <c r="IF497" s="319" t="s">
        <v>190</v>
      </c>
      <c r="IG497" s="319" t="s">
        <v>190</v>
      </c>
      <c r="IH497" s="319" t="s">
        <v>190</v>
      </c>
      <c r="II497" s="319" t="s">
        <v>190</v>
      </c>
      <c r="IJ497" s="319" t="s">
        <v>3262</v>
      </c>
      <c r="IK497" s="321">
        <v>42171</v>
      </c>
      <c r="IL497" s="321">
        <v>42173</v>
      </c>
      <c r="IM497" s="321">
        <v>42200</v>
      </c>
      <c r="IN497" s="319">
        <v>3</v>
      </c>
      <c r="IO497" s="319" t="s">
        <v>173</v>
      </c>
      <c r="IP497" s="319" t="s">
        <v>173</v>
      </c>
      <c r="IQ497" s="321" t="s">
        <v>173</v>
      </c>
      <c r="IR497" s="320" t="s">
        <v>173</v>
      </c>
      <c r="IS497" s="322" t="s">
        <v>173</v>
      </c>
      <c r="IT497" s="319" t="s">
        <v>173</v>
      </c>
    </row>
    <row r="498" spans="1:254" s="271" customFormat="1" x14ac:dyDescent="0.25">
      <c r="A498" s="318" t="str">
        <f>HYPERLINK("http://www.ofsted.gov.uk/inspection-reports/find-inspection-report/provider/ELS/135180 ","Ofsted School Webpage")</f>
        <v>Ofsted School Webpage</v>
      </c>
      <c r="B498" s="319">
        <v>135180</v>
      </c>
      <c r="C498" s="319">
        <v>9386050</v>
      </c>
      <c r="D498" s="319" t="s">
        <v>1892</v>
      </c>
      <c r="E498" s="319" t="s">
        <v>168</v>
      </c>
      <c r="F498" s="319" t="s">
        <v>81</v>
      </c>
      <c r="G498" s="319" t="s">
        <v>81</v>
      </c>
      <c r="H498" s="319" t="s">
        <v>81</v>
      </c>
      <c r="I498" s="319" t="s">
        <v>78</v>
      </c>
      <c r="J498" s="319" t="s">
        <v>424</v>
      </c>
      <c r="K498" s="319" t="s">
        <v>514</v>
      </c>
      <c r="L498" s="319" t="s">
        <v>514</v>
      </c>
      <c r="M498" s="319" t="s">
        <v>737</v>
      </c>
      <c r="N498" s="319" t="s">
        <v>3263</v>
      </c>
      <c r="O498" s="319" t="s">
        <v>1893</v>
      </c>
      <c r="P498" s="319">
        <v>18</v>
      </c>
      <c r="Q498" s="319" t="s">
        <v>429</v>
      </c>
      <c r="R498" s="320">
        <v>10091647</v>
      </c>
      <c r="S498" s="321">
        <v>43599</v>
      </c>
      <c r="T498" s="321">
        <v>43601</v>
      </c>
      <c r="U498" s="321">
        <v>43625</v>
      </c>
      <c r="V498" s="319" t="s">
        <v>425</v>
      </c>
      <c r="W498" s="319" t="s">
        <v>2767</v>
      </c>
      <c r="X498" s="319">
        <v>3</v>
      </c>
      <c r="Y498" s="319" t="s">
        <v>173</v>
      </c>
      <c r="Z498" s="319" t="s">
        <v>173</v>
      </c>
      <c r="AA498" s="319" t="s">
        <v>173</v>
      </c>
      <c r="AB498" s="319">
        <v>3</v>
      </c>
      <c r="AC498" s="319" t="s">
        <v>169</v>
      </c>
      <c r="AD498" s="319" t="s">
        <v>173</v>
      </c>
      <c r="AE498" s="319" t="s">
        <v>173</v>
      </c>
      <c r="AF498" s="319" t="s">
        <v>427</v>
      </c>
      <c r="AG498" s="319" t="s">
        <v>171</v>
      </c>
      <c r="AH498" s="319" t="s">
        <v>190</v>
      </c>
      <c r="AI498" s="319" t="s">
        <v>190</v>
      </c>
      <c r="AJ498" s="319" t="s">
        <v>190</v>
      </c>
      <c r="AK498" s="319" t="s">
        <v>190</v>
      </c>
      <c r="AL498" s="319" t="s">
        <v>190</v>
      </c>
      <c r="AM498" s="319" t="s">
        <v>190</v>
      </c>
      <c r="AN498" s="319" t="s">
        <v>190</v>
      </c>
      <c r="AO498" s="319" t="s">
        <v>190</v>
      </c>
      <c r="AP498" s="319" t="s">
        <v>190</v>
      </c>
      <c r="AQ498" s="319" t="s">
        <v>190</v>
      </c>
      <c r="AR498" s="319" t="s">
        <v>190</v>
      </c>
      <c r="AS498" s="319" t="s">
        <v>190</v>
      </c>
      <c r="AT498" s="319" t="s">
        <v>190</v>
      </c>
      <c r="AU498" s="319" t="s">
        <v>190</v>
      </c>
      <c r="AV498" s="319" t="s">
        <v>190</v>
      </c>
      <c r="AW498" s="319" t="s">
        <v>190</v>
      </c>
      <c r="AX498" s="319" t="s">
        <v>428</v>
      </c>
      <c r="AY498" s="319" t="s">
        <v>190</v>
      </c>
      <c r="AZ498" s="319" t="s">
        <v>190</v>
      </c>
      <c r="BA498" s="319" t="s">
        <v>190</v>
      </c>
      <c r="BB498" s="319" t="s">
        <v>190</v>
      </c>
      <c r="BC498" s="319" t="s">
        <v>190</v>
      </c>
      <c r="BD498" s="319" t="s">
        <v>190</v>
      </c>
      <c r="BE498" s="319" t="s">
        <v>190</v>
      </c>
      <c r="BF498" s="319" t="s">
        <v>428</v>
      </c>
      <c r="BG498" s="319" t="s">
        <v>428</v>
      </c>
      <c r="BH498" s="319" t="s">
        <v>190</v>
      </c>
      <c r="BI498" s="319" t="s">
        <v>190</v>
      </c>
      <c r="BJ498" s="319" t="s">
        <v>190</v>
      </c>
      <c r="BK498" s="319" t="s">
        <v>190</v>
      </c>
      <c r="BL498" s="319" t="s">
        <v>190</v>
      </c>
      <c r="BM498" s="319" t="s">
        <v>190</v>
      </c>
      <c r="BN498" s="319" t="s">
        <v>190</v>
      </c>
      <c r="BO498" s="319" t="s">
        <v>190</v>
      </c>
      <c r="BP498" s="319" t="s">
        <v>190</v>
      </c>
      <c r="BQ498" s="319" t="s">
        <v>190</v>
      </c>
      <c r="BR498" s="319" t="s">
        <v>190</v>
      </c>
      <c r="BS498" s="319" t="s">
        <v>190</v>
      </c>
      <c r="BT498" s="319" t="s">
        <v>190</v>
      </c>
      <c r="BU498" s="319" t="s">
        <v>190</v>
      </c>
      <c r="BV498" s="319" t="s">
        <v>190</v>
      </c>
      <c r="BW498" s="319" t="s">
        <v>190</v>
      </c>
      <c r="BX498" s="319" t="s">
        <v>190</v>
      </c>
      <c r="BY498" s="319" t="s">
        <v>190</v>
      </c>
      <c r="BZ498" s="319" t="s">
        <v>190</v>
      </c>
      <c r="CA498" s="319" t="s">
        <v>190</v>
      </c>
      <c r="CB498" s="319" t="s">
        <v>190</v>
      </c>
      <c r="CC498" s="319" t="s">
        <v>190</v>
      </c>
      <c r="CD498" s="319" t="s">
        <v>190</v>
      </c>
      <c r="CE498" s="319" t="s">
        <v>190</v>
      </c>
      <c r="CF498" s="319" t="s">
        <v>190</v>
      </c>
      <c r="CG498" s="319" t="s">
        <v>190</v>
      </c>
      <c r="CH498" s="319" t="s">
        <v>190</v>
      </c>
      <c r="CI498" s="319" t="s">
        <v>190</v>
      </c>
      <c r="CJ498" s="319" t="s">
        <v>190</v>
      </c>
      <c r="CK498" s="319" t="s">
        <v>190</v>
      </c>
      <c r="CL498" s="319" t="s">
        <v>190</v>
      </c>
      <c r="CM498" s="319" t="s">
        <v>190</v>
      </c>
      <c r="CN498" s="319" t="s">
        <v>428</v>
      </c>
      <c r="CO498" s="319" t="s">
        <v>428</v>
      </c>
      <c r="CP498" s="319" t="s">
        <v>428</v>
      </c>
      <c r="CQ498" s="319" t="s">
        <v>190</v>
      </c>
      <c r="CR498" s="319" t="s">
        <v>190</v>
      </c>
      <c r="CS498" s="319" t="s">
        <v>190</v>
      </c>
      <c r="CT498" s="319" t="s">
        <v>190</v>
      </c>
      <c r="CU498" s="319" t="s">
        <v>190</v>
      </c>
      <c r="CV498" s="319" t="s">
        <v>190</v>
      </c>
      <c r="CW498" s="319" t="s">
        <v>190</v>
      </c>
      <c r="CX498" s="319" t="s">
        <v>190</v>
      </c>
      <c r="CY498" s="319" t="s">
        <v>190</v>
      </c>
      <c r="CZ498" s="319" t="s">
        <v>190</v>
      </c>
      <c r="DA498" s="319" t="s">
        <v>190</v>
      </c>
      <c r="DB498" s="319" t="s">
        <v>190</v>
      </c>
      <c r="DC498" s="319" t="s">
        <v>190</v>
      </c>
      <c r="DD498" s="319" t="s">
        <v>190</v>
      </c>
      <c r="DE498" s="319" t="s">
        <v>190</v>
      </c>
      <c r="DF498" s="319" t="s">
        <v>190</v>
      </c>
      <c r="DG498" s="319" t="s">
        <v>190</v>
      </c>
      <c r="DH498" s="319" t="s">
        <v>190</v>
      </c>
      <c r="DI498" s="319" t="s">
        <v>190</v>
      </c>
      <c r="DJ498" s="319" t="s">
        <v>190</v>
      </c>
      <c r="DK498" s="319" t="s">
        <v>190</v>
      </c>
      <c r="DL498" s="319" t="s">
        <v>190</v>
      </c>
      <c r="DM498" s="319" t="s">
        <v>190</v>
      </c>
      <c r="DN498" s="319" t="s">
        <v>428</v>
      </c>
      <c r="DO498" s="319" t="s">
        <v>190</v>
      </c>
      <c r="DP498" s="319" t="s">
        <v>190</v>
      </c>
      <c r="DQ498" s="319" t="s">
        <v>190</v>
      </c>
      <c r="DR498" s="319" t="s">
        <v>190</v>
      </c>
      <c r="DS498" s="319" t="s">
        <v>190</v>
      </c>
      <c r="DT498" s="319" t="s">
        <v>190</v>
      </c>
      <c r="DU498" s="319" t="s">
        <v>190</v>
      </c>
      <c r="DV498" s="319" t="s">
        <v>173</v>
      </c>
      <c r="DW498" s="319" t="s">
        <v>190</v>
      </c>
      <c r="DX498" s="319" t="s">
        <v>190</v>
      </c>
      <c r="DY498" s="319" t="s">
        <v>190</v>
      </c>
      <c r="DZ498" s="319" t="s">
        <v>190</v>
      </c>
      <c r="EA498" s="319" t="s">
        <v>190</v>
      </c>
      <c r="EB498" s="319" t="s">
        <v>190</v>
      </c>
      <c r="EC498" s="319" t="s">
        <v>428</v>
      </c>
      <c r="ED498" s="319" t="s">
        <v>190</v>
      </c>
      <c r="EE498" s="319" t="s">
        <v>190</v>
      </c>
      <c r="EF498" s="319" t="s">
        <v>190</v>
      </c>
      <c r="EG498" s="319" t="s">
        <v>190</v>
      </c>
      <c r="EH498" s="319" t="s">
        <v>190</v>
      </c>
      <c r="EI498" s="319" t="s">
        <v>190</v>
      </c>
      <c r="EJ498" s="319" t="s">
        <v>190</v>
      </c>
      <c r="EK498" s="319" t="s">
        <v>190</v>
      </c>
      <c r="EL498" s="319" t="s">
        <v>190</v>
      </c>
      <c r="EM498" s="319" t="s">
        <v>190</v>
      </c>
      <c r="EN498" s="319" t="s">
        <v>190</v>
      </c>
      <c r="EO498" s="319" t="s">
        <v>190</v>
      </c>
      <c r="EP498" s="319" t="s">
        <v>190</v>
      </c>
      <c r="EQ498" s="319" t="s">
        <v>190</v>
      </c>
      <c r="ER498" s="319" t="s">
        <v>190</v>
      </c>
      <c r="ES498" s="319" t="s">
        <v>190</v>
      </c>
      <c r="ET498" s="319" t="s">
        <v>190</v>
      </c>
      <c r="EU498" s="319" t="s">
        <v>190</v>
      </c>
      <c r="EV498" s="319" t="s">
        <v>190</v>
      </c>
      <c r="EW498" s="319" t="s">
        <v>190</v>
      </c>
      <c r="EX498" s="319" t="s">
        <v>190</v>
      </c>
      <c r="EY498" s="319" t="s">
        <v>190</v>
      </c>
      <c r="EZ498" s="319" t="s">
        <v>190</v>
      </c>
      <c r="FA498" s="319" t="s">
        <v>190</v>
      </c>
      <c r="FB498" s="319" t="s">
        <v>190</v>
      </c>
      <c r="FC498" s="319" t="s">
        <v>190</v>
      </c>
      <c r="FD498" s="319" t="s">
        <v>190</v>
      </c>
      <c r="FE498" s="319" t="s">
        <v>190</v>
      </c>
      <c r="FF498" s="319" t="s">
        <v>190</v>
      </c>
      <c r="FG498" s="319" t="s">
        <v>190</v>
      </c>
      <c r="FH498" s="319" t="s">
        <v>190</v>
      </c>
      <c r="FI498" s="319" t="s">
        <v>190</v>
      </c>
      <c r="FJ498" s="319" t="s">
        <v>190</v>
      </c>
      <c r="FK498" s="319" t="s">
        <v>190</v>
      </c>
      <c r="FL498" s="319" t="s">
        <v>190</v>
      </c>
      <c r="FM498" s="319" t="s">
        <v>190</v>
      </c>
      <c r="FN498" s="319" t="s">
        <v>190</v>
      </c>
      <c r="FO498" s="319" t="s">
        <v>190</v>
      </c>
      <c r="FP498" s="319" t="s">
        <v>190</v>
      </c>
      <c r="FQ498" s="319" t="s">
        <v>190</v>
      </c>
      <c r="FR498" s="319" t="s">
        <v>190</v>
      </c>
      <c r="FS498" s="319" t="s">
        <v>190</v>
      </c>
      <c r="FT498" s="319" t="s">
        <v>190</v>
      </c>
      <c r="FU498" s="319" t="s">
        <v>190</v>
      </c>
      <c r="FV498" s="319" t="s">
        <v>190</v>
      </c>
      <c r="FW498" s="319" t="s">
        <v>190</v>
      </c>
      <c r="FX498" s="319" t="s">
        <v>190</v>
      </c>
      <c r="FY498" s="319" t="s">
        <v>190</v>
      </c>
      <c r="FZ498" s="319" t="s">
        <v>190</v>
      </c>
      <c r="GA498" s="319" t="s">
        <v>190</v>
      </c>
      <c r="GB498" s="319" t="s">
        <v>190</v>
      </c>
      <c r="GC498" s="319" t="s">
        <v>190</v>
      </c>
      <c r="GD498" s="319" t="s">
        <v>190</v>
      </c>
      <c r="GE498" s="319" t="s">
        <v>190</v>
      </c>
      <c r="GF498" s="319" t="s">
        <v>190</v>
      </c>
      <c r="GG498" s="319" t="s">
        <v>190</v>
      </c>
      <c r="GH498" s="319" t="s">
        <v>190</v>
      </c>
      <c r="GI498" s="319" t="s">
        <v>190</v>
      </c>
      <c r="GJ498" s="319" t="s">
        <v>190</v>
      </c>
      <c r="GK498" s="319" t="s">
        <v>428</v>
      </c>
      <c r="GL498" s="319" t="s">
        <v>190</v>
      </c>
      <c r="GM498" s="319" t="s">
        <v>190</v>
      </c>
      <c r="GN498" s="319" t="s">
        <v>190</v>
      </c>
      <c r="GO498" s="319" t="s">
        <v>190</v>
      </c>
      <c r="GP498" s="319" t="s">
        <v>190</v>
      </c>
      <c r="GQ498" s="319" t="s">
        <v>428</v>
      </c>
      <c r="GR498" s="319" t="s">
        <v>190</v>
      </c>
      <c r="GS498" s="319" t="s">
        <v>190</v>
      </c>
      <c r="GT498" s="319" t="s">
        <v>190</v>
      </c>
      <c r="GU498" s="319" t="s">
        <v>190</v>
      </c>
      <c r="GV498" s="319" t="s">
        <v>190</v>
      </c>
      <c r="GW498" s="319" t="s">
        <v>190</v>
      </c>
      <c r="GX498" s="319" t="s">
        <v>190</v>
      </c>
      <c r="GY498" s="319" t="s">
        <v>190</v>
      </c>
      <c r="GZ498" s="319" t="s">
        <v>428</v>
      </c>
      <c r="HA498" s="319" t="s">
        <v>190</v>
      </c>
      <c r="HB498" s="319" t="s">
        <v>428</v>
      </c>
      <c r="HC498" s="319" t="s">
        <v>190</v>
      </c>
      <c r="HD498" s="319" t="s">
        <v>190</v>
      </c>
      <c r="HE498" s="319" t="s">
        <v>190</v>
      </c>
      <c r="HF498" s="319" t="s">
        <v>190</v>
      </c>
      <c r="HG498" s="319" t="s">
        <v>190</v>
      </c>
      <c r="HH498" s="319" t="s">
        <v>190</v>
      </c>
      <c r="HI498" s="319" t="s">
        <v>190</v>
      </c>
      <c r="HJ498" s="319" t="s">
        <v>190</v>
      </c>
      <c r="HK498" s="319" t="s">
        <v>190</v>
      </c>
      <c r="HL498" s="319" t="s">
        <v>428</v>
      </c>
      <c r="HM498" s="319" t="s">
        <v>428</v>
      </c>
      <c r="HN498" s="319" t="s">
        <v>428</v>
      </c>
      <c r="HO498" s="319" t="s">
        <v>428</v>
      </c>
      <c r="HP498" s="319" t="s">
        <v>190</v>
      </c>
      <c r="HQ498" s="319" t="s">
        <v>190</v>
      </c>
      <c r="HR498" s="319" t="s">
        <v>190</v>
      </c>
      <c r="HS498" s="319" t="s">
        <v>190</v>
      </c>
      <c r="HT498" s="319" t="s">
        <v>190</v>
      </c>
      <c r="HU498" s="319" t="s">
        <v>190</v>
      </c>
      <c r="HV498" s="319" t="s">
        <v>190</v>
      </c>
      <c r="HW498" s="319" t="s">
        <v>190</v>
      </c>
      <c r="HX498" s="319" t="s">
        <v>190</v>
      </c>
      <c r="HY498" s="319" t="s">
        <v>190</v>
      </c>
      <c r="HZ498" s="319" t="s">
        <v>190</v>
      </c>
      <c r="IA498" s="319" t="s">
        <v>190</v>
      </c>
      <c r="IB498" s="319" t="s">
        <v>190</v>
      </c>
      <c r="IC498" s="319" t="s">
        <v>190</v>
      </c>
      <c r="ID498" s="319" t="s">
        <v>190</v>
      </c>
      <c r="IE498" s="319" t="s">
        <v>190</v>
      </c>
      <c r="IF498" s="319" t="s">
        <v>190</v>
      </c>
      <c r="IG498" s="319" t="s">
        <v>190</v>
      </c>
      <c r="IH498" s="319" t="s">
        <v>190</v>
      </c>
      <c r="II498" s="319" t="s">
        <v>190</v>
      </c>
      <c r="IJ498" s="319">
        <v>10020930</v>
      </c>
      <c r="IK498" s="321">
        <v>43060</v>
      </c>
      <c r="IL498" s="321">
        <v>43062</v>
      </c>
      <c r="IM498" s="321">
        <v>43080</v>
      </c>
      <c r="IN498" s="319">
        <v>3</v>
      </c>
      <c r="IO498" s="319" t="s">
        <v>173</v>
      </c>
      <c r="IP498" s="319" t="s">
        <v>173</v>
      </c>
      <c r="IQ498" s="321" t="s">
        <v>173</v>
      </c>
      <c r="IR498" s="320" t="s">
        <v>173</v>
      </c>
      <c r="IS498" s="322" t="s">
        <v>173</v>
      </c>
      <c r="IT498" s="319" t="s">
        <v>173</v>
      </c>
    </row>
    <row r="499" spans="1:254" s="271" customFormat="1" x14ac:dyDescent="0.25">
      <c r="A499" s="318" t="str">
        <f>HYPERLINK("http://www.ofsted.gov.uk/inspection-reports/find-inspection-report/provider/ELS/135185 ","Ofsted School Webpage")</f>
        <v>Ofsted School Webpage</v>
      </c>
      <c r="B499" s="319">
        <v>135185</v>
      </c>
      <c r="C499" s="319">
        <v>8556023</v>
      </c>
      <c r="D499" s="319" t="s">
        <v>1171</v>
      </c>
      <c r="E499" s="319" t="s">
        <v>167</v>
      </c>
      <c r="F499" s="319" t="s">
        <v>81</v>
      </c>
      <c r="G499" s="319" t="s">
        <v>81</v>
      </c>
      <c r="H499" s="319" t="s">
        <v>81</v>
      </c>
      <c r="I499" s="319" t="s">
        <v>78</v>
      </c>
      <c r="J499" s="319" t="s">
        <v>424</v>
      </c>
      <c r="K499" s="319" t="s">
        <v>506</v>
      </c>
      <c r="L499" s="319" t="s">
        <v>506</v>
      </c>
      <c r="M499" s="319" t="s">
        <v>862</v>
      </c>
      <c r="N499" s="319" t="s">
        <v>3264</v>
      </c>
      <c r="O499" s="319" t="s">
        <v>1172</v>
      </c>
      <c r="P499" s="319">
        <v>83</v>
      </c>
      <c r="Q499" s="319" t="s">
        <v>2766</v>
      </c>
      <c r="R499" s="320">
        <v>10008561</v>
      </c>
      <c r="S499" s="321">
        <v>42542</v>
      </c>
      <c r="T499" s="321">
        <v>42544</v>
      </c>
      <c r="U499" s="321">
        <v>42639</v>
      </c>
      <c r="V499" s="319" t="s">
        <v>425</v>
      </c>
      <c r="W499" s="319" t="s">
        <v>2767</v>
      </c>
      <c r="X499" s="319">
        <v>2</v>
      </c>
      <c r="Y499" s="319" t="s">
        <v>173</v>
      </c>
      <c r="Z499" s="319" t="s">
        <v>173</v>
      </c>
      <c r="AA499" s="319" t="s">
        <v>173</v>
      </c>
      <c r="AB499" s="319">
        <v>2</v>
      </c>
      <c r="AC499" s="319" t="s">
        <v>169</v>
      </c>
      <c r="AD499" s="319">
        <v>2</v>
      </c>
      <c r="AE499" s="319" t="s">
        <v>173</v>
      </c>
      <c r="AF499" s="319" t="s">
        <v>173</v>
      </c>
      <c r="AG499" s="319" t="s">
        <v>171</v>
      </c>
      <c r="AH499" s="319" t="s">
        <v>190</v>
      </c>
      <c r="AI499" s="319" t="s">
        <v>190</v>
      </c>
      <c r="AJ499" s="319" t="s">
        <v>190</v>
      </c>
      <c r="AK499" s="319" t="s">
        <v>190</v>
      </c>
      <c r="AL499" s="319" t="s">
        <v>190</v>
      </c>
      <c r="AM499" s="319" t="s">
        <v>190</v>
      </c>
      <c r="AN499" s="319" t="s">
        <v>190</v>
      </c>
      <c r="AO499" s="319" t="s">
        <v>190</v>
      </c>
      <c r="AP499" s="319" t="s">
        <v>190</v>
      </c>
      <c r="AQ499" s="319" t="s">
        <v>190</v>
      </c>
      <c r="AR499" s="319" t="s">
        <v>173</v>
      </c>
      <c r="AS499" s="319" t="s">
        <v>190</v>
      </c>
      <c r="AT499" s="319" t="s">
        <v>190</v>
      </c>
      <c r="AU499" s="319" t="s">
        <v>173</v>
      </c>
      <c r="AV499" s="319" t="s">
        <v>190</v>
      </c>
      <c r="AW499" s="319" t="s">
        <v>190</v>
      </c>
      <c r="AX499" s="319" t="s">
        <v>429</v>
      </c>
      <c r="AY499" s="319" t="s">
        <v>190</v>
      </c>
      <c r="AZ499" s="319" t="s">
        <v>190</v>
      </c>
      <c r="BA499" s="319" t="s">
        <v>190</v>
      </c>
      <c r="BB499" s="319" t="s">
        <v>190</v>
      </c>
      <c r="BC499" s="319" t="s">
        <v>190</v>
      </c>
      <c r="BD499" s="319" t="s">
        <v>190</v>
      </c>
      <c r="BE499" s="319" t="s">
        <v>190</v>
      </c>
      <c r="BF499" s="319" t="s">
        <v>190</v>
      </c>
      <c r="BG499" s="319" t="s">
        <v>429</v>
      </c>
      <c r="BH499" s="319" t="s">
        <v>190</v>
      </c>
      <c r="BI499" s="319" t="s">
        <v>190</v>
      </c>
      <c r="BJ499" s="319" t="s">
        <v>190</v>
      </c>
      <c r="BK499" s="319" t="s">
        <v>190</v>
      </c>
      <c r="BL499" s="319" t="s">
        <v>190</v>
      </c>
      <c r="BM499" s="319" t="s">
        <v>190</v>
      </c>
      <c r="BN499" s="319" t="s">
        <v>190</v>
      </c>
      <c r="BO499" s="319" t="s">
        <v>190</v>
      </c>
      <c r="BP499" s="319" t="s">
        <v>190</v>
      </c>
      <c r="BQ499" s="319" t="s">
        <v>190</v>
      </c>
      <c r="BR499" s="319" t="s">
        <v>190</v>
      </c>
      <c r="BS499" s="319" t="s">
        <v>190</v>
      </c>
      <c r="BT499" s="319" t="s">
        <v>190</v>
      </c>
      <c r="BU499" s="319" t="s">
        <v>190</v>
      </c>
      <c r="BV499" s="319" t="s">
        <v>190</v>
      </c>
      <c r="BW499" s="319" t="s">
        <v>190</v>
      </c>
      <c r="BX499" s="319" t="s">
        <v>190</v>
      </c>
      <c r="BY499" s="319" t="s">
        <v>190</v>
      </c>
      <c r="BZ499" s="319" t="s">
        <v>190</v>
      </c>
      <c r="CA499" s="319" t="s">
        <v>190</v>
      </c>
      <c r="CB499" s="319" t="s">
        <v>190</v>
      </c>
      <c r="CC499" s="319" t="s">
        <v>190</v>
      </c>
      <c r="CD499" s="319" t="s">
        <v>190</v>
      </c>
      <c r="CE499" s="319" t="s">
        <v>190</v>
      </c>
      <c r="CF499" s="319" t="s">
        <v>190</v>
      </c>
      <c r="CG499" s="319" t="s">
        <v>190</v>
      </c>
      <c r="CH499" s="319" t="s">
        <v>190</v>
      </c>
      <c r="CI499" s="319" t="s">
        <v>190</v>
      </c>
      <c r="CJ499" s="319" t="s">
        <v>190</v>
      </c>
      <c r="CK499" s="319" t="s">
        <v>190</v>
      </c>
      <c r="CL499" s="319" t="s">
        <v>190</v>
      </c>
      <c r="CM499" s="319" t="s">
        <v>190</v>
      </c>
      <c r="CN499" s="319" t="s">
        <v>429</v>
      </c>
      <c r="CO499" s="319" t="s">
        <v>429</v>
      </c>
      <c r="CP499" s="319" t="s">
        <v>429</v>
      </c>
      <c r="CQ499" s="319" t="s">
        <v>190</v>
      </c>
      <c r="CR499" s="319" t="s">
        <v>190</v>
      </c>
      <c r="CS499" s="319" t="s">
        <v>190</v>
      </c>
      <c r="CT499" s="319" t="s">
        <v>190</v>
      </c>
      <c r="CU499" s="319" t="s">
        <v>190</v>
      </c>
      <c r="CV499" s="319" t="s">
        <v>190</v>
      </c>
      <c r="CW499" s="319" t="s">
        <v>190</v>
      </c>
      <c r="CX499" s="319" t="s">
        <v>190</v>
      </c>
      <c r="CY499" s="319" t="s">
        <v>190</v>
      </c>
      <c r="CZ499" s="319" t="s">
        <v>190</v>
      </c>
      <c r="DA499" s="319" t="s">
        <v>190</v>
      </c>
      <c r="DB499" s="319" t="s">
        <v>190</v>
      </c>
      <c r="DC499" s="319" t="s">
        <v>190</v>
      </c>
      <c r="DD499" s="319" t="s">
        <v>190</v>
      </c>
      <c r="DE499" s="319" t="s">
        <v>190</v>
      </c>
      <c r="DF499" s="319" t="s">
        <v>190</v>
      </c>
      <c r="DG499" s="319" t="s">
        <v>190</v>
      </c>
      <c r="DH499" s="319" t="s">
        <v>190</v>
      </c>
      <c r="DI499" s="319" t="s">
        <v>190</v>
      </c>
      <c r="DJ499" s="319" t="s">
        <v>190</v>
      </c>
      <c r="DK499" s="319" t="s">
        <v>190</v>
      </c>
      <c r="DL499" s="319" t="s">
        <v>190</v>
      </c>
      <c r="DM499" s="319" t="s">
        <v>429</v>
      </c>
      <c r="DN499" s="319" t="s">
        <v>429</v>
      </c>
      <c r="DO499" s="319" t="s">
        <v>190</v>
      </c>
      <c r="DP499" s="319" t="s">
        <v>429</v>
      </c>
      <c r="DQ499" s="319" t="s">
        <v>429</v>
      </c>
      <c r="DR499" s="319" t="s">
        <v>429</v>
      </c>
      <c r="DS499" s="319" t="s">
        <v>429</v>
      </c>
      <c r="DT499" s="319" t="s">
        <v>429</v>
      </c>
      <c r="DU499" s="319" t="s">
        <v>429</v>
      </c>
      <c r="DV499" s="319" t="s">
        <v>173</v>
      </c>
      <c r="DW499" s="319" t="s">
        <v>429</v>
      </c>
      <c r="DX499" s="319" t="s">
        <v>429</v>
      </c>
      <c r="DY499" s="319" t="s">
        <v>429</v>
      </c>
      <c r="DZ499" s="319" t="s">
        <v>429</v>
      </c>
      <c r="EA499" s="319" t="s">
        <v>429</v>
      </c>
      <c r="EB499" s="319" t="s">
        <v>429</v>
      </c>
      <c r="EC499" s="319" t="s">
        <v>429</v>
      </c>
      <c r="ED499" s="319" t="s">
        <v>190</v>
      </c>
      <c r="EE499" s="319" t="s">
        <v>429</v>
      </c>
      <c r="EF499" s="319" t="s">
        <v>173</v>
      </c>
      <c r="EG499" s="319" t="s">
        <v>429</v>
      </c>
      <c r="EH499" s="319" t="s">
        <v>429</v>
      </c>
      <c r="EI499" s="319" t="s">
        <v>429</v>
      </c>
      <c r="EJ499" s="319" t="s">
        <v>429</v>
      </c>
      <c r="EK499" s="319" t="s">
        <v>429</v>
      </c>
      <c r="EL499" s="319" t="s">
        <v>429</v>
      </c>
      <c r="EM499" s="319" t="s">
        <v>429</v>
      </c>
      <c r="EN499" s="319" t="s">
        <v>190</v>
      </c>
      <c r="EO499" s="319" t="s">
        <v>190</v>
      </c>
      <c r="EP499" s="319" t="s">
        <v>190</v>
      </c>
      <c r="EQ499" s="319" t="s">
        <v>190</v>
      </c>
      <c r="ER499" s="319" t="s">
        <v>190</v>
      </c>
      <c r="ES499" s="319" t="s">
        <v>190</v>
      </c>
      <c r="ET499" s="319" t="s">
        <v>190</v>
      </c>
      <c r="EU499" s="319" t="s">
        <v>190</v>
      </c>
      <c r="EV499" s="319" t="s">
        <v>190</v>
      </c>
      <c r="EW499" s="319" t="s">
        <v>190</v>
      </c>
      <c r="EX499" s="319" t="s">
        <v>190</v>
      </c>
      <c r="EY499" s="319" t="s">
        <v>429</v>
      </c>
      <c r="EZ499" s="319" t="s">
        <v>190</v>
      </c>
      <c r="FA499" s="319" t="s">
        <v>190</v>
      </c>
      <c r="FB499" s="319" t="s">
        <v>429</v>
      </c>
      <c r="FC499" s="319" t="s">
        <v>429</v>
      </c>
      <c r="FD499" s="319" t="s">
        <v>429</v>
      </c>
      <c r="FE499" s="319" t="s">
        <v>429</v>
      </c>
      <c r="FF499" s="319" t="s">
        <v>429</v>
      </c>
      <c r="FG499" s="319" t="s">
        <v>429</v>
      </c>
      <c r="FH499" s="319" t="s">
        <v>429</v>
      </c>
      <c r="FI499" s="319" t="s">
        <v>429</v>
      </c>
      <c r="FJ499" s="319" t="s">
        <v>429</v>
      </c>
      <c r="FK499" s="319" t="s">
        <v>429</v>
      </c>
      <c r="FL499" s="319" t="s">
        <v>190</v>
      </c>
      <c r="FM499" s="319" t="s">
        <v>190</v>
      </c>
      <c r="FN499" s="319" t="s">
        <v>190</v>
      </c>
      <c r="FO499" s="319" t="s">
        <v>190</v>
      </c>
      <c r="FP499" s="319" t="s">
        <v>190</v>
      </c>
      <c r="FQ499" s="319" t="s">
        <v>190</v>
      </c>
      <c r="FR499" s="319" t="s">
        <v>190</v>
      </c>
      <c r="FS499" s="319" t="s">
        <v>429</v>
      </c>
      <c r="FT499" s="319" t="s">
        <v>173</v>
      </c>
      <c r="FU499" s="319" t="s">
        <v>190</v>
      </c>
      <c r="FV499" s="319" t="s">
        <v>190</v>
      </c>
      <c r="FW499" s="319" t="s">
        <v>190</v>
      </c>
      <c r="FX499" s="319" t="s">
        <v>190</v>
      </c>
      <c r="FY499" s="319" t="s">
        <v>190</v>
      </c>
      <c r="FZ499" s="319" t="s">
        <v>190</v>
      </c>
      <c r="GA499" s="319" t="s">
        <v>190</v>
      </c>
      <c r="GB499" s="319" t="s">
        <v>190</v>
      </c>
      <c r="GC499" s="319" t="s">
        <v>190</v>
      </c>
      <c r="GD499" s="319" t="s">
        <v>190</v>
      </c>
      <c r="GE499" s="319" t="s">
        <v>173</v>
      </c>
      <c r="GF499" s="319" t="s">
        <v>173</v>
      </c>
      <c r="GG499" s="319" t="s">
        <v>173</v>
      </c>
      <c r="GH499" s="319" t="s">
        <v>190</v>
      </c>
      <c r="GI499" s="319" t="s">
        <v>190</v>
      </c>
      <c r="GJ499" s="319" t="s">
        <v>190</v>
      </c>
      <c r="GK499" s="319" t="s">
        <v>429</v>
      </c>
      <c r="GL499" s="319" t="s">
        <v>190</v>
      </c>
      <c r="GM499" s="319" t="s">
        <v>190</v>
      </c>
      <c r="GN499" s="319" t="s">
        <v>190</v>
      </c>
      <c r="GO499" s="319" t="s">
        <v>190</v>
      </c>
      <c r="GP499" s="319" t="s">
        <v>190</v>
      </c>
      <c r="GQ499" s="319" t="s">
        <v>429</v>
      </c>
      <c r="GR499" s="319" t="s">
        <v>190</v>
      </c>
      <c r="GS499" s="319" t="s">
        <v>190</v>
      </c>
      <c r="GT499" s="319" t="s">
        <v>429</v>
      </c>
      <c r="GU499" s="319" t="s">
        <v>429</v>
      </c>
      <c r="GV499" s="319" t="s">
        <v>429</v>
      </c>
      <c r="GW499" s="319" t="s">
        <v>173</v>
      </c>
      <c r="GX499" s="319" t="s">
        <v>173</v>
      </c>
      <c r="GY499" s="319" t="s">
        <v>173</v>
      </c>
      <c r="GZ499" s="319" t="s">
        <v>173</v>
      </c>
      <c r="HA499" s="319" t="s">
        <v>173</v>
      </c>
      <c r="HB499" s="319" t="s">
        <v>173</v>
      </c>
      <c r="HC499" s="319" t="s">
        <v>173</v>
      </c>
      <c r="HD499" s="319" t="s">
        <v>173</v>
      </c>
      <c r="HE499" s="319" t="s">
        <v>173</v>
      </c>
      <c r="HF499" s="319" t="s">
        <v>173</v>
      </c>
      <c r="HG499" s="319" t="s">
        <v>173</v>
      </c>
      <c r="HH499" s="319" t="s">
        <v>173</v>
      </c>
      <c r="HI499" s="319" t="s">
        <v>173</v>
      </c>
      <c r="HJ499" s="319" t="s">
        <v>173</v>
      </c>
      <c r="HK499" s="319" t="s">
        <v>173</v>
      </c>
      <c r="HL499" s="319" t="s">
        <v>173</v>
      </c>
      <c r="HM499" s="319" t="s">
        <v>173</v>
      </c>
      <c r="HN499" s="319" t="s">
        <v>173</v>
      </c>
      <c r="HO499" s="319" t="s">
        <v>173</v>
      </c>
      <c r="HP499" s="319" t="s">
        <v>190</v>
      </c>
      <c r="HQ499" s="319" t="s">
        <v>190</v>
      </c>
      <c r="HR499" s="319" t="s">
        <v>190</v>
      </c>
      <c r="HS499" s="319" t="s">
        <v>190</v>
      </c>
      <c r="HT499" s="319" t="s">
        <v>190</v>
      </c>
      <c r="HU499" s="319" t="s">
        <v>190</v>
      </c>
      <c r="HV499" s="319" t="s">
        <v>190</v>
      </c>
      <c r="HW499" s="319" t="s">
        <v>190</v>
      </c>
      <c r="HX499" s="319" t="s">
        <v>190</v>
      </c>
      <c r="HY499" s="319" t="s">
        <v>190</v>
      </c>
      <c r="HZ499" s="319" t="s">
        <v>190</v>
      </c>
      <c r="IA499" s="319" t="s">
        <v>190</v>
      </c>
      <c r="IB499" s="319" t="s">
        <v>190</v>
      </c>
      <c r="IC499" s="319" t="s">
        <v>190</v>
      </c>
      <c r="ID499" s="319" t="s">
        <v>190</v>
      </c>
      <c r="IE499" s="319" t="s">
        <v>190</v>
      </c>
      <c r="IF499" s="319" t="s">
        <v>190</v>
      </c>
      <c r="IG499" s="319" t="s">
        <v>190</v>
      </c>
      <c r="IH499" s="319" t="s">
        <v>190</v>
      </c>
      <c r="II499" s="319" t="s">
        <v>190</v>
      </c>
      <c r="IJ499" s="319" t="s">
        <v>3265</v>
      </c>
      <c r="IK499" s="321">
        <v>40254</v>
      </c>
      <c r="IL499" s="321">
        <v>40254</v>
      </c>
      <c r="IM499" s="321">
        <v>40291</v>
      </c>
      <c r="IN499" s="319">
        <v>2</v>
      </c>
      <c r="IO499" s="319" t="s">
        <v>173</v>
      </c>
      <c r="IP499" s="319" t="s">
        <v>173</v>
      </c>
      <c r="IQ499" s="321" t="s">
        <v>173</v>
      </c>
      <c r="IR499" s="320" t="s">
        <v>173</v>
      </c>
      <c r="IS499" s="322" t="s">
        <v>173</v>
      </c>
      <c r="IT499" s="319" t="s">
        <v>173</v>
      </c>
    </row>
    <row r="500" spans="1:254" s="271" customFormat="1" x14ac:dyDescent="0.25">
      <c r="A500" s="318" t="str">
        <f>HYPERLINK("http://www.ofsted.gov.uk/inspection-reports/find-inspection-report/provider/ELS/135187 ","Ofsted School Webpage")</f>
        <v>Ofsted School Webpage</v>
      </c>
      <c r="B500" s="319">
        <v>135187</v>
      </c>
      <c r="C500" s="319">
        <v>8306034</v>
      </c>
      <c r="D500" s="319" t="s">
        <v>1894</v>
      </c>
      <c r="E500" s="319" t="s">
        <v>168</v>
      </c>
      <c r="F500" s="319" t="s">
        <v>81</v>
      </c>
      <c r="G500" s="319" t="s">
        <v>81</v>
      </c>
      <c r="H500" s="319" t="s">
        <v>81</v>
      </c>
      <c r="I500" s="319" t="s">
        <v>78</v>
      </c>
      <c r="J500" s="319" t="s">
        <v>424</v>
      </c>
      <c r="K500" s="319" t="s">
        <v>506</v>
      </c>
      <c r="L500" s="319" t="s">
        <v>506</v>
      </c>
      <c r="M500" s="319" t="s">
        <v>507</v>
      </c>
      <c r="N500" s="319" t="s">
        <v>3266</v>
      </c>
      <c r="O500" s="319" t="s">
        <v>1895</v>
      </c>
      <c r="P500" s="319">
        <v>8</v>
      </c>
      <c r="Q500" s="319" t="s">
        <v>429</v>
      </c>
      <c r="R500" s="320">
        <v>10020753</v>
      </c>
      <c r="S500" s="321">
        <v>42661</v>
      </c>
      <c r="T500" s="321">
        <v>42663</v>
      </c>
      <c r="U500" s="321">
        <v>42697</v>
      </c>
      <c r="V500" s="319" t="s">
        <v>425</v>
      </c>
      <c r="W500" s="319" t="s">
        <v>2767</v>
      </c>
      <c r="X500" s="319">
        <v>2</v>
      </c>
      <c r="Y500" s="319" t="s">
        <v>173</v>
      </c>
      <c r="Z500" s="319" t="s">
        <v>173</v>
      </c>
      <c r="AA500" s="319" t="s">
        <v>173</v>
      </c>
      <c r="AB500" s="319">
        <v>2</v>
      </c>
      <c r="AC500" s="319" t="s">
        <v>169</v>
      </c>
      <c r="AD500" s="319" t="s">
        <v>173</v>
      </c>
      <c r="AE500" s="319" t="s">
        <v>173</v>
      </c>
      <c r="AF500" s="319" t="s">
        <v>173</v>
      </c>
      <c r="AG500" s="319" t="s">
        <v>171</v>
      </c>
      <c r="AH500" s="319" t="s">
        <v>190</v>
      </c>
      <c r="AI500" s="319" t="s">
        <v>190</v>
      </c>
      <c r="AJ500" s="319" t="s">
        <v>190</v>
      </c>
      <c r="AK500" s="319" t="s">
        <v>190</v>
      </c>
      <c r="AL500" s="319" t="s">
        <v>190</v>
      </c>
      <c r="AM500" s="319" t="s">
        <v>190</v>
      </c>
      <c r="AN500" s="319" t="s">
        <v>190</v>
      </c>
      <c r="AO500" s="319" t="s">
        <v>190</v>
      </c>
      <c r="AP500" s="319" t="s">
        <v>190</v>
      </c>
      <c r="AQ500" s="319" t="s">
        <v>190</v>
      </c>
      <c r="AR500" s="319" t="s">
        <v>190</v>
      </c>
      <c r="AS500" s="319" t="s">
        <v>190</v>
      </c>
      <c r="AT500" s="319" t="s">
        <v>190</v>
      </c>
      <c r="AU500" s="319" t="s">
        <v>190</v>
      </c>
      <c r="AV500" s="319" t="s">
        <v>190</v>
      </c>
      <c r="AW500" s="319" t="s">
        <v>190</v>
      </c>
      <c r="AX500" s="319" t="s">
        <v>429</v>
      </c>
      <c r="AY500" s="319" t="s">
        <v>190</v>
      </c>
      <c r="AZ500" s="319" t="s">
        <v>190</v>
      </c>
      <c r="BA500" s="319" t="s">
        <v>190</v>
      </c>
      <c r="BB500" s="319" t="s">
        <v>190</v>
      </c>
      <c r="BC500" s="319" t="s">
        <v>190</v>
      </c>
      <c r="BD500" s="319" t="s">
        <v>190</v>
      </c>
      <c r="BE500" s="319" t="s">
        <v>190</v>
      </c>
      <c r="BF500" s="319" t="s">
        <v>429</v>
      </c>
      <c r="BG500" s="319" t="s">
        <v>429</v>
      </c>
      <c r="BH500" s="319" t="s">
        <v>190</v>
      </c>
      <c r="BI500" s="319" t="s">
        <v>190</v>
      </c>
      <c r="BJ500" s="319" t="s">
        <v>190</v>
      </c>
      <c r="BK500" s="319" t="s">
        <v>190</v>
      </c>
      <c r="BL500" s="319" t="s">
        <v>190</v>
      </c>
      <c r="BM500" s="319" t="s">
        <v>190</v>
      </c>
      <c r="BN500" s="319" t="s">
        <v>190</v>
      </c>
      <c r="BO500" s="319" t="s">
        <v>190</v>
      </c>
      <c r="BP500" s="319" t="s">
        <v>190</v>
      </c>
      <c r="BQ500" s="319" t="s">
        <v>190</v>
      </c>
      <c r="BR500" s="319" t="s">
        <v>190</v>
      </c>
      <c r="BS500" s="319" t="s">
        <v>190</v>
      </c>
      <c r="BT500" s="319" t="s">
        <v>190</v>
      </c>
      <c r="BU500" s="319" t="s">
        <v>190</v>
      </c>
      <c r="BV500" s="319" t="s">
        <v>190</v>
      </c>
      <c r="BW500" s="319" t="s">
        <v>190</v>
      </c>
      <c r="BX500" s="319" t="s">
        <v>190</v>
      </c>
      <c r="BY500" s="319" t="s">
        <v>190</v>
      </c>
      <c r="BZ500" s="319" t="s">
        <v>190</v>
      </c>
      <c r="CA500" s="319" t="s">
        <v>190</v>
      </c>
      <c r="CB500" s="319" t="s">
        <v>190</v>
      </c>
      <c r="CC500" s="319" t="s">
        <v>190</v>
      </c>
      <c r="CD500" s="319" t="s">
        <v>190</v>
      </c>
      <c r="CE500" s="319" t="s">
        <v>190</v>
      </c>
      <c r="CF500" s="319" t="s">
        <v>190</v>
      </c>
      <c r="CG500" s="319" t="s">
        <v>190</v>
      </c>
      <c r="CH500" s="319" t="s">
        <v>190</v>
      </c>
      <c r="CI500" s="319" t="s">
        <v>190</v>
      </c>
      <c r="CJ500" s="319" t="s">
        <v>190</v>
      </c>
      <c r="CK500" s="319" t="s">
        <v>190</v>
      </c>
      <c r="CL500" s="319" t="s">
        <v>190</v>
      </c>
      <c r="CM500" s="319" t="s">
        <v>190</v>
      </c>
      <c r="CN500" s="319" t="s">
        <v>429</v>
      </c>
      <c r="CO500" s="319" t="s">
        <v>429</v>
      </c>
      <c r="CP500" s="319" t="s">
        <v>429</v>
      </c>
      <c r="CQ500" s="319" t="s">
        <v>190</v>
      </c>
      <c r="CR500" s="319" t="s">
        <v>190</v>
      </c>
      <c r="CS500" s="319" t="s">
        <v>190</v>
      </c>
      <c r="CT500" s="319" t="s">
        <v>190</v>
      </c>
      <c r="CU500" s="319" t="s">
        <v>190</v>
      </c>
      <c r="CV500" s="319" t="s">
        <v>190</v>
      </c>
      <c r="CW500" s="319" t="s">
        <v>190</v>
      </c>
      <c r="CX500" s="319" t="s">
        <v>190</v>
      </c>
      <c r="CY500" s="319" t="s">
        <v>190</v>
      </c>
      <c r="CZ500" s="319" t="s">
        <v>190</v>
      </c>
      <c r="DA500" s="319" t="s">
        <v>190</v>
      </c>
      <c r="DB500" s="319" t="s">
        <v>190</v>
      </c>
      <c r="DC500" s="319" t="s">
        <v>190</v>
      </c>
      <c r="DD500" s="319" t="s">
        <v>190</v>
      </c>
      <c r="DE500" s="319" t="s">
        <v>190</v>
      </c>
      <c r="DF500" s="319" t="s">
        <v>190</v>
      </c>
      <c r="DG500" s="319" t="s">
        <v>190</v>
      </c>
      <c r="DH500" s="319" t="s">
        <v>190</v>
      </c>
      <c r="DI500" s="319" t="s">
        <v>190</v>
      </c>
      <c r="DJ500" s="319" t="s">
        <v>190</v>
      </c>
      <c r="DK500" s="319" t="s">
        <v>190</v>
      </c>
      <c r="DL500" s="319" t="s">
        <v>190</v>
      </c>
      <c r="DM500" s="319" t="s">
        <v>429</v>
      </c>
      <c r="DN500" s="319" t="s">
        <v>429</v>
      </c>
      <c r="DO500" s="319" t="s">
        <v>190</v>
      </c>
      <c r="DP500" s="319" t="s">
        <v>429</v>
      </c>
      <c r="DQ500" s="319" t="s">
        <v>429</v>
      </c>
      <c r="DR500" s="319" t="s">
        <v>429</v>
      </c>
      <c r="DS500" s="319" t="s">
        <v>429</v>
      </c>
      <c r="DT500" s="319" t="s">
        <v>429</v>
      </c>
      <c r="DU500" s="319" t="s">
        <v>429</v>
      </c>
      <c r="DV500" s="319" t="s">
        <v>173</v>
      </c>
      <c r="DW500" s="319" t="s">
        <v>429</v>
      </c>
      <c r="DX500" s="319" t="s">
        <v>429</v>
      </c>
      <c r="DY500" s="319" t="s">
        <v>429</v>
      </c>
      <c r="DZ500" s="319" t="s">
        <v>429</v>
      </c>
      <c r="EA500" s="319" t="s">
        <v>429</v>
      </c>
      <c r="EB500" s="319" t="s">
        <v>429</v>
      </c>
      <c r="EC500" s="319" t="s">
        <v>429</v>
      </c>
      <c r="ED500" s="319" t="s">
        <v>429</v>
      </c>
      <c r="EE500" s="319" t="s">
        <v>429</v>
      </c>
      <c r="EF500" s="319" t="s">
        <v>429</v>
      </c>
      <c r="EG500" s="319" t="s">
        <v>429</v>
      </c>
      <c r="EH500" s="319" t="s">
        <v>429</v>
      </c>
      <c r="EI500" s="319" t="s">
        <v>429</v>
      </c>
      <c r="EJ500" s="319" t="s">
        <v>429</v>
      </c>
      <c r="EK500" s="319" t="s">
        <v>429</v>
      </c>
      <c r="EL500" s="319" t="s">
        <v>429</v>
      </c>
      <c r="EM500" s="319" t="s">
        <v>429</v>
      </c>
      <c r="EN500" s="319" t="s">
        <v>190</v>
      </c>
      <c r="EO500" s="319" t="s">
        <v>190</v>
      </c>
      <c r="EP500" s="319" t="s">
        <v>190</v>
      </c>
      <c r="EQ500" s="319" t="s">
        <v>190</v>
      </c>
      <c r="ER500" s="319" t="s">
        <v>190</v>
      </c>
      <c r="ES500" s="319" t="s">
        <v>190</v>
      </c>
      <c r="ET500" s="319" t="s">
        <v>190</v>
      </c>
      <c r="EU500" s="319" t="s">
        <v>190</v>
      </c>
      <c r="EV500" s="319" t="s">
        <v>190</v>
      </c>
      <c r="EW500" s="319" t="s">
        <v>190</v>
      </c>
      <c r="EX500" s="319" t="s">
        <v>190</v>
      </c>
      <c r="EY500" s="319" t="s">
        <v>429</v>
      </c>
      <c r="EZ500" s="319" t="s">
        <v>190</v>
      </c>
      <c r="FA500" s="319" t="s">
        <v>429</v>
      </c>
      <c r="FB500" s="319" t="s">
        <v>429</v>
      </c>
      <c r="FC500" s="319" t="s">
        <v>429</v>
      </c>
      <c r="FD500" s="319" t="s">
        <v>429</v>
      </c>
      <c r="FE500" s="319" t="s">
        <v>429</v>
      </c>
      <c r="FF500" s="319" t="s">
        <v>429</v>
      </c>
      <c r="FG500" s="319" t="s">
        <v>429</v>
      </c>
      <c r="FH500" s="319" t="s">
        <v>429</v>
      </c>
      <c r="FI500" s="319" t="s">
        <v>429</v>
      </c>
      <c r="FJ500" s="319" t="s">
        <v>429</v>
      </c>
      <c r="FK500" s="319" t="s">
        <v>429</v>
      </c>
      <c r="FL500" s="319" t="s">
        <v>190</v>
      </c>
      <c r="FM500" s="319" t="s">
        <v>190</v>
      </c>
      <c r="FN500" s="319" t="s">
        <v>190</v>
      </c>
      <c r="FO500" s="319" t="s">
        <v>190</v>
      </c>
      <c r="FP500" s="319" t="s">
        <v>190</v>
      </c>
      <c r="FQ500" s="319" t="s">
        <v>190</v>
      </c>
      <c r="FR500" s="319" t="s">
        <v>190</v>
      </c>
      <c r="FS500" s="319" t="s">
        <v>429</v>
      </c>
      <c r="FT500" s="319" t="s">
        <v>190</v>
      </c>
      <c r="FU500" s="319" t="s">
        <v>190</v>
      </c>
      <c r="FV500" s="319" t="s">
        <v>190</v>
      </c>
      <c r="FW500" s="319" t="s">
        <v>190</v>
      </c>
      <c r="FX500" s="319" t="s">
        <v>190</v>
      </c>
      <c r="FY500" s="319" t="s">
        <v>190</v>
      </c>
      <c r="FZ500" s="319" t="s">
        <v>190</v>
      </c>
      <c r="GA500" s="319" t="s">
        <v>190</v>
      </c>
      <c r="GB500" s="319" t="s">
        <v>190</v>
      </c>
      <c r="GC500" s="319" t="s">
        <v>190</v>
      </c>
      <c r="GD500" s="319" t="s">
        <v>190</v>
      </c>
      <c r="GE500" s="319" t="s">
        <v>190</v>
      </c>
      <c r="GF500" s="319" t="s">
        <v>190</v>
      </c>
      <c r="GG500" s="319" t="s">
        <v>190</v>
      </c>
      <c r="GH500" s="319" t="s">
        <v>190</v>
      </c>
      <c r="GI500" s="319" t="s">
        <v>190</v>
      </c>
      <c r="GJ500" s="319" t="s">
        <v>190</v>
      </c>
      <c r="GK500" s="319" t="s">
        <v>429</v>
      </c>
      <c r="GL500" s="319" t="s">
        <v>190</v>
      </c>
      <c r="GM500" s="319" t="s">
        <v>190</v>
      </c>
      <c r="GN500" s="319" t="s">
        <v>190</v>
      </c>
      <c r="GO500" s="319" t="s">
        <v>190</v>
      </c>
      <c r="GP500" s="319" t="s">
        <v>190</v>
      </c>
      <c r="GQ500" s="319" t="s">
        <v>429</v>
      </c>
      <c r="GR500" s="319" t="s">
        <v>190</v>
      </c>
      <c r="GS500" s="319" t="s">
        <v>190</v>
      </c>
      <c r="GT500" s="319" t="s">
        <v>190</v>
      </c>
      <c r="GU500" s="319" t="s">
        <v>190</v>
      </c>
      <c r="GV500" s="319" t="s">
        <v>429</v>
      </c>
      <c r="GW500" s="319" t="s">
        <v>190</v>
      </c>
      <c r="GX500" s="319" t="s">
        <v>190</v>
      </c>
      <c r="GY500" s="319" t="s">
        <v>190</v>
      </c>
      <c r="GZ500" s="319" t="s">
        <v>190</v>
      </c>
      <c r="HA500" s="319" t="s">
        <v>429</v>
      </c>
      <c r="HB500" s="319" t="s">
        <v>190</v>
      </c>
      <c r="HC500" s="319" t="s">
        <v>190</v>
      </c>
      <c r="HD500" s="319" t="s">
        <v>190</v>
      </c>
      <c r="HE500" s="319" t="s">
        <v>190</v>
      </c>
      <c r="HF500" s="319" t="s">
        <v>190</v>
      </c>
      <c r="HG500" s="319" t="s">
        <v>190</v>
      </c>
      <c r="HH500" s="319" t="s">
        <v>190</v>
      </c>
      <c r="HI500" s="319" t="s">
        <v>190</v>
      </c>
      <c r="HJ500" s="319" t="s">
        <v>190</v>
      </c>
      <c r="HK500" s="319" t="s">
        <v>190</v>
      </c>
      <c r="HL500" s="319" t="s">
        <v>190</v>
      </c>
      <c r="HM500" s="319" t="s">
        <v>429</v>
      </c>
      <c r="HN500" s="319" t="s">
        <v>429</v>
      </c>
      <c r="HO500" s="319" t="s">
        <v>429</v>
      </c>
      <c r="HP500" s="319" t="s">
        <v>190</v>
      </c>
      <c r="HQ500" s="319" t="s">
        <v>190</v>
      </c>
      <c r="HR500" s="319" t="s">
        <v>190</v>
      </c>
      <c r="HS500" s="319" t="s">
        <v>190</v>
      </c>
      <c r="HT500" s="319" t="s">
        <v>190</v>
      </c>
      <c r="HU500" s="319" t="s">
        <v>190</v>
      </c>
      <c r="HV500" s="319" t="s">
        <v>190</v>
      </c>
      <c r="HW500" s="319" t="s">
        <v>190</v>
      </c>
      <c r="HX500" s="319" t="s">
        <v>190</v>
      </c>
      <c r="HY500" s="319" t="s">
        <v>190</v>
      </c>
      <c r="HZ500" s="319" t="s">
        <v>190</v>
      </c>
      <c r="IA500" s="319" t="s">
        <v>190</v>
      </c>
      <c r="IB500" s="319" t="s">
        <v>190</v>
      </c>
      <c r="IC500" s="319" t="s">
        <v>190</v>
      </c>
      <c r="ID500" s="319" t="s">
        <v>190</v>
      </c>
      <c r="IE500" s="319" t="s">
        <v>190</v>
      </c>
      <c r="IF500" s="319" t="s">
        <v>190</v>
      </c>
      <c r="IG500" s="319" t="s">
        <v>190</v>
      </c>
      <c r="IH500" s="319" t="s">
        <v>190</v>
      </c>
      <c r="II500" s="319" t="s">
        <v>190</v>
      </c>
      <c r="IJ500" s="319" t="s">
        <v>3267</v>
      </c>
      <c r="IK500" s="321">
        <v>41597</v>
      </c>
      <c r="IL500" s="321">
        <v>41599</v>
      </c>
      <c r="IM500" s="321">
        <v>41618</v>
      </c>
      <c r="IN500" s="319">
        <v>3</v>
      </c>
      <c r="IO500" s="319" t="s">
        <v>173</v>
      </c>
      <c r="IP500" s="319" t="s">
        <v>173</v>
      </c>
      <c r="IQ500" s="321" t="s">
        <v>173</v>
      </c>
      <c r="IR500" s="320" t="s">
        <v>173</v>
      </c>
      <c r="IS500" s="322" t="s">
        <v>173</v>
      </c>
      <c r="IT500" s="319" t="s">
        <v>173</v>
      </c>
    </row>
    <row r="501" spans="1:254" s="271" customFormat="1" x14ac:dyDescent="0.25">
      <c r="A501" s="318" t="str">
        <f>HYPERLINK("http://www.ofsted.gov.uk/inspection-reports/find-inspection-report/provider/ELS/135198 ","Ofsted School Webpage")</f>
        <v>Ofsted School Webpage</v>
      </c>
      <c r="B501" s="319">
        <v>135198</v>
      </c>
      <c r="C501" s="319">
        <v>8866122</v>
      </c>
      <c r="D501" s="319" t="s">
        <v>1896</v>
      </c>
      <c r="E501" s="319" t="s">
        <v>168</v>
      </c>
      <c r="F501" s="319" t="s">
        <v>81</v>
      </c>
      <c r="G501" s="319" t="s">
        <v>81</v>
      </c>
      <c r="H501" s="319" t="s">
        <v>81</v>
      </c>
      <c r="I501" s="319" t="s">
        <v>78</v>
      </c>
      <c r="J501" s="319" t="s">
        <v>424</v>
      </c>
      <c r="K501" s="319" t="s">
        <v>514</v>
      </c>
      <c r="L501" s="319" t="s">
        <v>514</v>
      </c>
      <c r="M501" s="319" t="s">
        <v>614</v>
      </c>
      <c r="N501" s="319" t="s">
        <v>3127</v>
      </c>
      <c r="O501" s="319" t="s">
        <v>1897</v>
      </c>
      <c r="P501" s="319">
        <v>5</v>
      </c>
      <c r="Q501" s="319" t="s">
        <v>429</v>
      </c>
      <c r="R501" s="320">
        <v>10026025</v>
      </c>
      <c r="S501" s="321">
        <v>42907</v>
      </c>
      <c r="T501" s="321">
        <v>42908</v>
      </c>
      <c r="U501" s="321">
        <v>42928</v>
      </c>
      <c r="V501" s="319" t="s">
        <v>425</v>
      </c>
      <c r="W501" s="319" t="s">
        <v>2767</v>
      </c>
      <c r="X501" s="319">
        <v>2</v>
      </c>
      <c r="Y501" s="319" t="s">
        <v>173</v>
      </c>
      <c r="Z501" s="319" t="s">
        <v>173</v>
      </c>
      <c r="AA501" s="319" t="s">
        <v>173</v>
      </c>
      <c r="AB501" s="319">
        <v>2</v>
      </c>
      <c r="AC501" s="319" t="s">
        <v>169</v>
      </c>
      <c r="AD501" s="319" t="s">
        <v>173</v>
      </c>
      <c r="AE501" s="319" t="s">
        <v>173</v>
      </c>
      <c r="AF501" s="319" t="s">
        <v>173</v>
      </c>
      <c r="AG501" s="319" t="s">
        <v>171</v>
      </c>
      <c r="AH501" s="319" t="s">
        <v>190</v>
      </c>
      <c r="AI501" s="319" t="s">
        <v>190</v>
      </c>
      <c r="AJ501" s="319" t="s">
        <v>190</v>
      </c>
      <c r="AK501" s="319" t="s">
        <v>190</v>
      </c>
      <c r="AL501" s="319" t="s">
        <v>190</v>
      </c>
      <c r="AM501" s="319" t="s">
        <v>190</v>
      </c>
      <c r="AN501" s="319" t="s">
        <v>190</v>
      </c>
      <c r="AO501" s="319" t="s">
        <v>190</v>
      </c>
      <c r="AP501" s="319" t="s">
        <v>190</v>
      </c>
      <c r="AQ501" s="319" t="s">
        <v>190</v>
      </c>
      <c r="AR501" s="319" t="s">
        <v>190</v>
      </c>
      <c r="AS501" s="319" t="s">
        <v>190</v>
      </c>
      <c r="AT501" s="319" t="s">
        <v>190</v>
      </c>
      <c r="AU501" s="319" t="s">
        <v>190</v>
      </c>
      <c r="AV501" s="319" t="s">
        <v>190</v>
      </c>
      <c r="AW501" s="319" t="s">
        <v>190</v>
      </c>
      <c r="AX501" s="319" t="s">
        <v>429</v>
      </c>
      <c r="AY501" s="319" t="s">
        <v>190</v>
      </c>
      <c r="AZ501" s="319" t="s">
        <v>190</v>
      </c>
      <c r="BA501" s="319" t="s">
        <v>190</v>
      </c>
      <c r="BB501" s="319" t="s">
        <v>190</v>
      </c>
      <c r="BC501" s="319" t="s">
        <v>190</v>
      </c>
      <c r="BD501" s="319" t="s">
        <v>190</v>
      </c>
      <c r="BE501" s="319" t="s">
        <v>190</v>
      </c>
      <c r="BF501" s="319" t="s">
        <v>429</v>
      </c>
      <c r="BG501" s="319" t="s">
        <v>429</v>
      </c>
      <c r="BH501" s="319" t="s">
        <v>190</v>
      </c>
      <c r="BI501" s="319" t="s">
        <v>190</v>
      </c>
      <c r="BJ501" s="319" t="s">
        <v>190</v>
      </c>
      <c r="BK501" s="319" t="s">
        <v>190</v>
      </c>
      <c r="BL501" s="319" t="s">
        <v>190</v>
      </c>
      <c r="BM501" s="319" t="s">
        <v>190</v>
      </c>
      <c r="BN501" s="319" t="s">
        <v>190</v>
      </c>
      <c r="BO501" s="319" t="s">
        <v>190</v>
      </c>
      <c r="BP501" s="319" t="s">
        <v>190</v>
      </c>
      <c r="BQ501" s="319" t="s">
        <v>190</v>
      </c>
      <c r="BR501" s="319" t="s">
        <v>190</v>
      </c>
      <c r="BS501" s="319" t="s">
        <v>190</v>
      </c>
      <c r="BT501" s="319" t="s">
        <v>190</v>
      </c>
      <c r="BU501" s="319" t="s">
        <v>190</v>
      </c>
      <c r="BV501" s="319" t="s">
        <v>190</v>
      </c>
      <c r="BW501" s="319" t="s">
        <v>190</v>
      </c>
      <c r="BX501" s="319" t="s">
        <v>190</v>
      </c>
      <c r="BY501" s="319" t="s">
        <v>190</v>
      </c>
      <c r="BZ501" s="319" t="s">
        <v>190</v>
      </c>
      <c r="CA501" s="319" t="s">
        <v>190</v>
      </c>
      <c r="CB501" s="319" t="s">
        <v>190</v>
      </c>
      <c r="CC501" s="319" t="s">
        <v>190</v>
      </c>
      <c r="CD501" s="319" t="s">
        <v>190</v>
      </c>
      <c r="CE501" s="319" t="s">
        <v>190</v>
      </c>
      <c r="CF501" s="319" t="s">
        <v>190</v>
      </c>
      <c r="CG501" s="319" t="s">
        <v>190</v>
      </c>
      <c r="CH501" s="319" t="s">
        <v>190</v>
      </c>
      <c r="CI501" s="319" t="s">
        <v>190</v>
      </c>
      <c r="CJ501" s="319" t="s">
        <v>190</v>
      </c>
      <c r="CK501" s="319" t="s">
        <v>190</v>
      </c>
      <c r="CL501" s="319" t="s">
        <v>190</v>
      </c>
      <c r="CM501" s="319" t="s">
        <v>190</v>
      </c>
      <c r="CN501" s="319" t="s">
        <v>190</v>
      </c>
      <c r="CO501" s="319" t="s">
        <v>429</v>
      </c>
      <c r="CP501" s="319" t="s">
        <v>429</v>
      </c>
      <c r="CQ501" s="319" t="s">
        <v>190</v>
      </c>
      <c r="CR501" s="319" t="s">
        <v>190</v>
      </c>
      <c r="CS501" s="319" t="s">
        <v>190</v>
      </c>
      <c r="CT501" s="319" t="s">
        <v>190</v>
      </c>
      <c r="CU501" s="319" t="s">
        <v>190</v>
      </c>
      <c r="CV501" s="319" t="s">
        <v>190</v>
      </c>
      <c r="CW501" s="319" t="s">
        <v>190</v>
      </c>
      <c r="CX501" s="319" t="s">
        <v>190</v>
      </c>
      <c r="CY501" s="319" t="s">
        <v>190</v>
      </c>
      <c r="CZ501" s="319" t="s">
        <v>190</v>
      </c>
      <c r="DA501" s="319" t="s">
        <v>190</v>
      </c>
      <c r="DB501" s="319" t="s">
        <v>190</v>
      </c>
      <c r="DC501" s="319" t="s">
        <v>190</v>
      </c>
      <c r="DD501" s="319" t="s">
        <v>190</v>
      </c>
      <c r="DE501" s="319" t="s">
        <v>190</v>
      </c>
      <c r="DF501" s="319" t="s">
        <v>190</v>
      </c>
      <c r="DG501" s="319" t="s">
        <v>190</v>
      </c>
      <c r="DH501" s="319" t="s">
        <v>190</v>
      </c>
      <c r="DI501" s="319" t="s">
        <v>190</v>
      </c>
      <c r="DJ501" s="319" t="s">
        <v>190</v>
      </c>
      <c r="DK501" s="319" t="s">
        <v>190</v>
      </c>
      <c r="DL501" s="319" t="s">
        <v>190</v>
      </c>
      <c r="DM501" s="319" t="s">
        <v>190</v>
      </c>
      <c r="DN501" s="319" t="s">
        <v>429</v>
      </c>
      <c r="DO501" s="319" t="s">
        <v>190</v>
      </c>
      <c r="DP501" s="319" t="s">
        <v>190</v>
      </c>
      <c r="DQ501" s="319" t="s">
        <v>190</v>
      </c>
      <c r="DR501" s="319" t="s">
        <v>190</v>
      </c>
      <c r="DS501" s="319" t="s">
        <v>190</v>
      </c>
      <c r="DT501" s="319" t="s">
        <v>190</v>
      </c>
      <c r="DU501" s="319" t="s">
        <v>190</v>
      </c>
      <c r="DV501" s="319" t="s">
        <v>173</v>
      </c>
      <c r="DW501" s="319" t="s">
        <v>190</v>
      </c>
      <c r="DX501" s="319" t="s">
        <v>190</v>
      </c>
      <c r="DY501" s="319" t="s">
        <v>190</v>
      </c>
      <c r="DZ501" s="319" t="s">
        <v>190</v>
      </c>
      <c r="EA501" s="319" t="s">
        <v>190</v>
      </c>
      <c r="EB501" s="319" t="s">
        <v>190</v>
      </c>
      <c r="EC501" s="319" t="s">
        <v>429</v>
      </c>
      <c r="ED501" s="319" t="s">
        <v>190</v>
      </c>
      <c r="EE501" s="319" t="s">
        <v>190</v>
      </c>
      <c r="EF501" s="319" t="s">
        <v>190</v>
      </c>
      <c r="EG501" s="319" t="s">
        <v>190</v>
      </c>
      <c r="EH501" s="319" t="s">
        <v>190</v>
      </c>
      <c r="EI501" s="319" t="s">
        <v>190</v>
      </c>
      <c r="EJ501" s="319" t="s">
        <v>190</v>
      </c>
      <c r="EK501" s="319" t="s">
        <v>190</v>
      </c>
      <c r="EL501" s="319" t="s">
        <v>190</v>
      </c>
      <c r="EM501" s="319" t="s">
        <v>190</v>
      </c>
      <c r="EN501" s="319" t="s">
        <v>190</v>
      </c>
      <c r="EO501" s="319" t="s">
        <v>190</v>
      </c>
      <c r="EP501" s="319" t="s">
        <v>190</v>
      </c>
      <c r="EQ501" s="319" t="s">
        <v>190</v>
      </c>
      <c r="ER501" s="319" t="s">
        <v>190</v>
      </c>
      <c r="ES501" s="319" t="s">
        <v>190</v>
      </c>
      <c r="ET501" s="319" t="s">
        <v>190</v>
      </c>
      <c r="EU501" s="319" t="s">
        <v>190</v>
      </c>
      <c r="EV501" s="319" t="s">
        <v>190</v>
      </c>
      <c r="EW501" s="319" t="s">
        <v>190</v>
      </c>
      <c r="EX501" s="319" t="s">
        <v>190</v>
      </c>
      <c r="EY501" s="319" t="s">
        <v>190</v>
      </c>
      <c r="EZ501" s="319" t="s">
        <v>190</v>
      </c>
      <c r="FA501" s="319" t="s">
        <v>190</v>
      </c>
      <c r="FB501" s="319" t="s">
        <v>190</v>
      </c>
      <c r="FC501" s="319" t="s">
        <v>190</v>
      </c>
      <c r="FD501" s="319" t="s">
        <v>190</v>
      </c>
      <c r="FE501" s="319" t="s">
        <v>190</v>
      </c>
      <c r="FF501" s="319" t="s">
        <v>190</v>
      </c>
      <c r="FG501" s="319" t="s">
        <v>190</v>
      </c>
      <c r="FH501" s="319" t="s">
        <v>190</v>
      </c>
      <c r="FI501" s="319" t="s">
        <v>190</v>
      </c>
      <c r="FJ501" s="319" t="s">
        <v>190</v>
      </c>
      <c r="FK501" s="319" t="s">
        <v>190</v>
      </c>
      <c r="FL501" s="319" t="s">
        <v>190</v>
      </c>
      <c r="FM501" s="319" t="s">
        <v>190</v>
      </c>
      <c r="FN501" s="319" t="s">
        <v>190</v>
      </c>
      <c r="FO501" s="319" t="s">
        <v>190</v>
      </c>
      <c r="FP501" s="319" t="s">
        <v>190</v>
      </c>
      <c r="FQ501" s="319" t="s">
        <v>190</v>
      </c>
      <c r="FR501" s="319" t="s">
        <v>190</v>
      </c>
      <c r="FS501" s="319" t="s">
        <v>429</v>
      </c>
      <c r="FT501" s="319" t="s">
        <v>190</v>
      </c>
      <c r="FU501" s="319" t="s">
        <v>190</v>
      </c>
      <c r="FV501" s="319" t="s">
        <v>190</v>
      </c>
      <c r="FW501" s="319" t="s">
        <v>190</v>
      </c>
      <c r="FX501" s="319" t="s">
        <v>190</v>
      </c>
      <c r="FY501" s="319" t="s">
        <v>190</v>
      </c>
      <c r="FZ501" s="319" t="s">
        <v>190</v>
      </c>
      <c r="GA501" s="319" t="s">
        <v>190</v>
      </c>
      <c r="GB501" s="319" t="s">
        <v>190</v>
      </c>
      <c r="GC501" s="319" t="s">
        <v>190</v>
      </c>
      <c r="GD501" s="319" t="s">
        <v>190</v>
      </c>
      <c r="GE501" s="319" t="s">
        <v>190</v>
      </c>
      <c r="GF501" s="319" t="s">
        <v>190</v>
      </c>
      <c r="GG501" s="319" t="s">
        <v>190</v>
      </c>
      <c r="GH501" s="319" t="s">
        <v>190</v>
      </c>
      <c r="GI501" s="319" t="s">
        <v>190</v>
      </c>
      <c r="GJ501" s="319" t="s">
        <v>190</v>
      </c>
      <c r="GK501" s="319" t="s">
        <v>429</v>
      </c>
      <c r="GL501" s="319" t="s">
        <v>190</v>
      </c>
      <c r="GM501" s="319" t="s">
        <v>190</v>
      </c>
      <c r="GN501" s="319" t="s">
        <v>190</v>
      </c>
      <c r="GO501" s="319" t="s">
        <v>190</v>
      </c>
      <c r="GP501" s="319" t="s">
        <v>190</v>
      </c>
      <c r="GQ501" s="319" t="s">
        <v>190</v>
      </c>
      <c r="GR501" s="319" t="s">
        <v>190</v>
      </c>
      <c r="GS501" s="319" t="s">
        <v>190</v>
      </c>
      <c r="GT501" s="319" t="s">
        <v>190</v>
      </c>
      <c r="GU501" s="319" t="s">
        <v>190</v>
      </c>
      <c r="GV501" s="319" t="s">
        <v>190</v>
      </c>
      <c r="GW501" s="319" t="s">
        <v>190</v>
      </c>
      <c r="GX501" s="319" t="s">
        <v>190</v>
      </c>
      <c r="GY501" s="319" t="s">
        <v>190</v>
      </c>
      <c r="GZ501" s="319" t="s">
        <v>190</v>
      </c>
      <c r="HA501" s="319" t="s">
        <v>429</v>
      </c>
      <c r="HB501" s="319" t="s">
        <v>429</v>
      </c>
      <c r="HC501" s="319" t="s">
        <v>190</v>
      </c>
      <c r="HD501" s="319" t="s">
        <v>190</v>
      </c>
      <c r="HE501" s="319" t="s">
        <v>190</v>
      </c>
      <c r="HF501" s="319" t="s">
        <v>190</v>
      </c>
      <c r="HG501" s="319" t="s">
        <v>190</v>
      </c>
      <c r="HH501" s="319" t="s">
        <v>190</v>
      </c>
      <c r="HI501" s="319" t="s">
        <v>190</v>
      </c>
      <c r="HJ501" s="319" t="s">
        <v>190</v>
      </c>
      <c r="HK501" s="319" t="s">
        <v>190</v>
      </c>
      <c r="HL501" s="319" t="s">
        <v>190</v>
      </c>
      <c r="HM501" s="319" t="s">
        <v>429</v>
      </c>
      <c r="HN501" s="319" t="s">
        <v>429</v>
      </c>
      <c r="HO501" s="319" t="s">
        <v>429</v>
      </c>
      <c r="HP501" s="319" t="s">
        <v>190</v>
      </c>
      <c r="HQ501" s="319" t="s">
        <v>190</v>
      </c>
      <c r="HR501" s="319" t="s">
        <v>190</v>
      </c>
      <c r="HS501" s="319" t="s">
        <v>190</v>
      </c>
      <c r="HT501" s="319" t="s">
        <v>190</v>
      </c>
      <c r="HU501" s="319" t="s">
        <v>190</v>
      </c>
      <c r="HV501" s="319" t="s">
        <v>190</v>
      </c>
      <c r="HW501" s="319" t="s">
        <v>190</v>
      </c>
      <c r="HX501" s="319" t="s">
        <v>190</v>
      </c>
      <c r="HY501" s="319" t="s">
        <v>190</v>
      </c>
      <c r="HZ501" s="319" t="s">
        <v>190</v>
      </c>
      <c r="IA501" s="319" t="s">
        <v>190</v>
      </c>
      <c r="IB501" s="319" t="s">
        <v>190</v>
      </c>
      <c r="IC501" s="319" t="s">
        <v>190</v>
      </c>
      <c r="ID501" s="319" t="s">
        <v>190</v>
      </c>
      <c r="IE501" s="319" t="s">
        <v>190</v>
      </c>
      <c r="IF501" s="319" t="s">
        <v>190</v>
      </c>
      <c r="IG501" s="319" t="s">
        <v>190</v>
      </c>
      <c r="IH501" s="319" t="s">
        <v>190</v>
      </c>
      <c r="II501" s="319" t="s">
        <v>190</v>
      </c>
      <c r="IJ501" s="319" t="s">
        <v>3268</v>
      </c>
      <c r="IK501" s="321">
        <v>41583</v>
      </c>
      <c r="IL501" s="321">
        <v>41585</v>
      </c>
      <c r="IM501" s="321">
        <v>41619</v>
      </c>
      <c r="IN501" s="319">
        <v>3</v>
      </c>
      <c r="IO501" s="319" t="s">
        <v>173</v>
      </c>
      <c r="IP501" s="319" t="s">
        <v>173</v>
      </c>
      <c r="IQ501" s="321" t="s">
        <v>173</v>
      </c>
      <c r="IR501" s="320" t="s">
        <v>173</v>
      </c>
      <c r="IS501" s="322" t="s">
        <v>173</v>
      </c>
      <c r="IT501" s="319" t="s">
        <v>173</v>
      </c>
    </row>
    <row r="502" spans="1:254" s="271" customFormat="1" x14ac:dyDescent="0.25">
      <c r="A502" s="318" t="str">
        <f>HYPERLINK("http://www.ofsted.gov.uk/inspection-reports/find-inspection-report/provider/ELS/135208 ","Ofsted School Webpage")</f>
        <v>Ofsted School Webpage</v>
      </c>
      <c r="B502" s="319">
        <v>135208</v>
      </c>
      <c r="C502" s="319">
        <v>3306115</v>
      </c>
      <c r="D502" s="319" t="s">
        <v>1898</v>
      </c>
      <c r="E502" s="319" t="s">
        <v>168</v>
      </c>
      <c r="F502" s="319" t="s">
        <v>81</v>
      </c>
      <c r="G502" s="319" t="s">
        <v>81</v>
      </c>
      <c r="H502" s="319" t="s">
        <v>81</v>
      </c>
      <c r="I502" s="319" t="s">
        <v>78</v>
      </c>
      <c r="J502" s="319" t="s">
        <v>424</v>
      </c>
      <c r="K502" s="319" t="s">
        <v>437</v>
      </c>
      <c r="L502" s="319" t="s">
        <v>437</v>
      </c>
      <c r="M502" s="319" t="s">
        <v>813</v>
      </c>
      <c r="N502" s="319" t="s">
        <v>2853</v>
      </c>
      <c r="O502" s="319" t="s">
        <v>1899</v>
      </c>
      <c r="P502" s="319">
        <v>27</v>
      </c>
      <c r="Q502" s="319" t="s">
        <v>2776</v>
      </c>
      <c r="R502" s="320">
        <v>10092452</v>
      </c>
      <c r="S502" s="321">
        <v>43655</v>
      </c>
      <c r="T502" s="321">
        <v>43657</v>
      </c>
      <c r="U502" s="321">
        <v>43718</v>
      </c>
      <c r="V502" s="319" t="s">
        <v>425</v>
      </c>
      <c r="W502" s="319" t="s">
        <v>2767</v>
      </c>
      <c r="X502" s="319">
        <v>2</v>
      </c>
      <c r="Y502" s="319" t="s">
        <v>173</v>
      </c>
      <c r="Z502" s="319" t="s">
        <v>173</v>
      </c>
      <c r="AA502" s="319" t="s">
        <v>173</v>
      </c>
      <c r="AB502" s="319">
        <v>2</v>
      </c>
      <c r="AC502" s="319" t="s">
        <v>169</v>
      </c>
      <c r="AD502" s="319" t="s">
        <v>173</v>
      </c>
      <c r="AE502" s="319" t="s">
        <v>173</v>
      </c>
      <c r="AF502" s="319" t="s">
        <v>427</v>
      </c>
      <c r="AG502" s="319" t="s">
        <v>171</v>
      </c>
      <c r="AH502" s="319" t="s">
        <v>190</v>
      </c>
      <c r="AI502" s="319" t="s">
        <v>190</v>
      </c>
      <c r="AJ502" s="319" t="s">
        <v>190</v>
      </c>
      <c r="AK502" s="319" t="s">
        <v>190</v>
      </c>
      <c r="AL502" s="319" t="s">
        <v>190</v>
      </c>
      <c r="AM502" s="319" t="s">
        <v>190</v>
      </c>
      <c r="AN502" s="319" t="s">
        <v>190</v>
      </c>
      <c r="AO502" s="319" t="s">
        <v>190</v>
      </c>
      <c r="AP502" s="319" t="s">
        <v>190</v>
      </c>
      <c r="AQ502" s="319" t="s">
        <v>190</v>
      </c>
      <c r="AR502" s="319" t="s">
        <v>190</v>
      </c>
      <c r="AS502" s="319" t="s">
        <v>190</v>
      </c>
      <c r="AT502" s="319" t="s">
        <v>190</v>
      </c>
      <c r="AU502" s="319" t="s">
        <v>190</v>
      </c>
      <c r="AV502" s="319" t="s">
        <v>190</v>
      </c>
      <c r="AW502" s="319" t="s">
        <v>190</v>
      </c>
      <c r="AX502" s="319" t="s">
        <v>428</v>
      </c>
      <c r="AY502" s="319" t="s">
        <v>190</v>
      </c>
      <c r="AZ502" s="319" t="s">
        <v>190</v>
      </c>
      <c r="BA502" s="319" t="s">
        <v>190</v>
      </c>
      <c r="BB502" s="319" t="s">
        <v>190</v>
      </c>
      <c r="BC502" s="319" t="s">
        <v>190</v>
      </c>
      <c r="BD502" s="319" t="s">
        <v>190</v>
      </c>
      <c r="BE502" s="319" t="s">
        <v>190</v>
      </c>
      <c r="BF502" s="319" t="s">
        <v>428</v>
      </c>
      <c r="BG502" s="319" t="s">
        <v>428</v>
      </c>
      <c r="BH502" s="319" t="s">
        <v>190</v>
      </c>
      <c r="BI502" s="319" t="s">
        <v>190</v>
      </c>
      <c r="BJ502" s="319" t="s">
        <v>190</v>
      </c>
      <c r="BK502" s="319" t="s">
        <v>190</v>
      </c>
      <c r="BL502" s="319" t="s">
        <v>190</v>
      </c>
      <c r="BM502" s="319" t="s">
        <v>190</v>
      </c>
      <c r="BN502" s="319" t="s">
        <v>190</v>
      </c>
      <c r="BO502" s="319" t="s">
        <v>190</v>
      </c>
      <c r="BP502" s="319" t="s">
        <v>190</v>
      </c>
      <c r="BQ502" s="319" t="s">
        <v>190</v>
      </c>
      <c r="BR502" s="319" t="s">
        <v>190</v>
      </c>
      <c r="BS502" s="319" t="s">
        <v>190</v>
      </c>
      <c r="BT502" s="319" t="s">
        <v>190</v>
      </c>
      <c r="BU502" s="319" t="s">
        <v>190</v>
      </c>
      <c r="BV502" s="319" t="s">
        <v>190</v>
      </c>
      <c r="BW502" s="319" t="s">
        <v>190</v>
      </c>
      <c r="BX502" s="319" t="s">
        <v>190</v>
      </c>
      <c r="BY502" s="319" t="s">
        <v>190</v>
      </c>
      <c r="BZ502" s="319" t="s">
        <v>190</v>
      </c>
      <c r="CA502" s="319" t="s">
        <v>190</v>
      </c>
      <c r="CB502" s="319" t="s">
        <v>190</v>
      </c>
      <c r="CC502" s="319" t="s">
        <v>190</v>
      </c>
      <c r="CD502" s="319" t="s">
        <v>190</v>
      </c>
      <c r="CE502" s="319" t="s">
        <v>190</v>
      </c>
      <c r="CF502" s="319" t="s">
        <v>190</v>
      </c>
      <c r="CG502" s="319" t="s">
        <v>190</v>
      </c>
      <c r="CH502" s="319" t="s">
        <v>190</v>
      </c>
      <c r="CI502" s="319" t="s">
        <v>190</v>
      </c>
      <c r="CJ502" s="319" t="s">
        <v>190</v>
      </c>
      <c r="CK502" s="319" t="s">
        <v>190</v>
      </c>
      <c r="CL502" s="319" t="s">
        <v>190</v>
      </c>
      <c r="CM502" s="319" t="s">
        <v>190</v>
      </c>
      <c r="CN502" s="319" t="s">
        <v>428</v>
      </c>
      <c r="CO502" s="319" t="s">
        <v>428</v>
      </c>
      <c r="CP502" s="319" t="s">
        <v>428</v>
      </c>
      <c r="CQ502" s="319" t="s">
        <v>190</v>
      </c>
      <c r="CR502" s="319" t="s">
        <v>190</v>
      </c>
      <c r="CS502" s="319" t="s">
        <v>190</v>
      </c>
      <c r="CT502" s="319" t="s">
        <v>190</v>
      </c>
      <c r="CU502" s="319" t="s">
        <v>190</v>
      </c>
      <c r="CV502" s="319" t="s">
        <v>190</v>
      </c>
      <c r="CW502" s="319" t="s">
        <v>190</v>
      </c>
      <c r="CX502" s="319" t="s">
        <v>190</v>
      </c>
      <c r="CY502" s="319" t="s">
        <v>190</v>
      </c>
      <c r="CZ502" s="319" t="s">
        <v>190</v>
      </c>
      <c r="DA502" s="319" t="s">
        <v>190</v>
      </c>
      <c r="DB502" s="319" t="s">
        <v>190</v>
      </c>
      <c r="DC502" s="319" t="s">
        <v>190</v>
      </c>
      <c r="DD502" s="319" t="s">
        <v>190</v>
      </c>
      <c r="DE502" s="319" t="s">
        <v>190</v>
      </c>
      <c r="DF502" s="319" t="s">
        <v>190</v>
      </c>
      <c r="DG502" s="319" t="s">
        <v>190</v>
      </c>
      <c r="DH502" s="319" t="s">
        <v>190</v>
      </c>
      <c r="DI502" s="319" t="s">
        <v>190</v>
      </c>
      <c r="DJ502" s="319" t="s">
        <v>190</v>
      </c>
      <c r="DK502" s="319" t="s">
        <v>190</v>
      </c>
      <c r="DL502" s="319" t="s">
        <v>190</v>
      </c>
      <c r="DM502" s="319" t="s">
        <v>190</v>
      </c>
      <c r="DN502" s="319" t="s">
        <v>428</v>
      </c>
      <c r="DO502" s="319" t="s">
        <v>190</v>
      </c>
      <c r="DP502" s="319" t="s">
        <v>190</v>
      </c>
      <c r="DQ502" s="319" t="s">
        <v>190</v>
      </c>
      <c r="DR502" s="319" t="s">
        <v>190</v>
      </c>
      <c r="DS502" s="319" t="s">
        <v>190</v>
      </c>
      <c r="DT502" s="319" t="s">
        <v>190</v>
      </c>
      <c r="DU502" s="319" t="s">
        <v>190</v>
      </c>
      <c r="DV502" s="319" t="s">
        <v>173</v>
      </c>
      <c r="DW502" s="319" t="s">
        <v>190</v>
      </c>
      <c r="DX502" s="319" t="s">
        <v>190</v>
      </c>
      <c r="DY502" s="319" t="s">
        <v>190</v>
      </c>
      <c r="DZ502" s="319" t="s">
        <v>190</v>
      </c>
      <c r="EA502" s="319" t="s">
        <v>190</v>
      </c>
      <c r="EB502" s="319" t="s">
        <v>190</v>
      </c>
      <c r="EC502" s="319" t="s">
        <v>428</v>
      </c>
      <c r="ED502" s="319" t="s">
        <v>190</v>
      </c>
      <c r="EE502" s="319" t="s">
        <v>190</v>
      </c>
      <c r="EF502" s="319" t="s">
        <v>190</v>
      </c>
      <c r="EG502" s="319" t="s">
        <v>190</v>
      </c>
      <c r="EH502" s="319" t="s">
        <v>190</v>
      </c>
      <c r="EI502" s="319" t="s">
        <v>190</v>
      </c>
      <c r="EJ502" s="319" t="s">
        <v>190</v>
      </c>
      <c r="EK502" s="319" t="s">
        <v>190</v>
      </c>
      <c r="EL502" s="319" t="s">
        <v>190</v>
      </c>
      <c r="EM502" s="319" t="s">
        <v>190</v>
      </c>
      <c r="EN502" s="319" t="s">
        <v>190</v>
      </c>
      <c r="EO502" s="319" t="s">
        <v>190</v>
      </c>
      <c r="EP502" s="319" t="s">
        <v>190</v>
      </c>
      <c r="EQ502" s="319" t="s">
        <v>190</v>
      </c>
      <c r="ER502" s="319" t="s">
        <v>190</v>
      </c>
      <c r="ES502" s="319" t="s">
        <v>190</v>
      </c>
      <c r="ET502" s="319" t="s">
        <v>190</v>
      </c>
      <c r="EU502" s="319" t="s">
        <v>190</v>
      </c>
      <c r="EV502" s="319" t="s">
        <v>190</v>
      </c>
      <c r="EW502" s="319" t="s">
        <v>190</v>
      </c>
      <c r="EX502" s="319" t="s">
        <v>190</v>
      </c>
      <c r="EY502" s="319" t="s">
        <v>190</v>
      </c>
      <c r="EZ502" s="319" t="s">
        <v>190</v>
      </c>
      <c r="FA502" s="319" t="s">
        <v>190</v>
      </c>
      <c r="FB502" s="319" t="s">
        <v>190</v>
      </c>
      <c r="FC502" s="319" t="s">
        <v>190</v>
      </c>
      <c r="FD502" s="319" t="s">
        <v>190</v>
      </c>
      <c r="FE502" s="319" t="s">
        <v>190</v>
      </c>
      <c r="FF502" s="319" t="s">
        <v>190</v>
      </c>
      <c r="FG502" s="319" t="s">
        <v>190</v>
      </c>
      <c r="FH502" s="319" t="s">
        <v>190</v>
      </c>
      <c r="FI502" s="319" t="s">
        <v>190</v>
      </c>
      <c r="FJ502" s="319" t="s">
        <v>190</v>
      </c>
      <c r="FK502" s="319" t="s">
        <v>190</v>
      </c>
      <c r="FL502" s="319" t="s">
        <v>190</v>
      </c>
      <c r="FM502" s="319" t="s">
        <v>190</v>
      </c>
      <c r="FN502" s="319" t="s">
        <v>190</v>
      </c>
      <c r="FO502" s="319" t="s">
        <v>190</v>
      </c>
      <c r="FP502" s="319" t="s">
        <v>190</v>
      </c>
      <c r="FQ502" s="319" t="s">
        <v>190</v>
      </c>
      <c r="FR502" s="319" t="s">
        <v>190</v>
      </c>
      <c r="FS502" s="319" t="s">
        <v>428</v>
      </c>
      <c r="FT502" s="319" t="s">
        <v>190</v>
      </c>
      <c r="FU502" s="319" t="s">
        <v>190</v>
      </c>
      <c r="FV502" s="319" t="s">
        <v>190</v>
      </c>
      <c r="FW502" s="319" t="s">
        <v>190</v>
      </c>
      <c r="FX502" s="319" t="s">
        <v>190</v>
      </c>
      <c r="FY502" s="319" t="s">
        <v>190</v>
      </c>
      <c r="FZ502" s="319" t="s">
        <v>190</v>
      </c>
      <c r="GA502" s="319" t="s">
        <v>190</v>
      </c>
      <c r="GB502" s="319" t="s">
        <v>190</v>
      </c>
      <c r="GC502" s="319" t="s">
        <v>190</v>
      </c>
      <c r="GD502" s="319" t="s">
        <v>190</v>
      </c>
      <c r="GE502" s="319" t="s">
        <v>190</v>
      </c>
      <c r="GF502" s="319" t="s">
        <v>190</v>
      </c>
      <c r="GG502" s="319" t="s">
        <v>190</v>
      </c>
      <c r="GH502" s="319" t="s">
        <v>190</v>
      </c>
      <c r="GI502" s="319" t="s">
        <v>190</v>
      </c>
      <c r="GJ502" s="319" t="s">
        <v>190</v>
      </c>
      <c r="GK502" s="319" t="s">
        <v>428</v>
      </c>
      <c r="GL502" s="319" t="s">
        <v>190</v>
      </c>
      <c r="GM502" s="319" t="s">
        <v>190</v>
      </c>
      <c r="GN502" s="319" t="s">
        <v>190</v>
      </c>
      <c r="GO502" s="319" t="s">
        <v>190</v>
      </c>
      <c r="GP502" s="319" t="s">
        <v>190</v>
      </c>
      <c r="GQ502" s="319" t="s">
        <v>428</v>
      </c>
      <c r="GR502" s="319" t="s">
        <v>190</v>
      </c>
      <c r="GS502" s="319" t="s">
        <v>190</v>
      </c>
      <c r="GT502" s="319" t="s">
        <v>190</v>
      </c>
      <c r="GU502" s="319" t="s">
        <v>190</v>
      </c>
      <c r="GV502" s="319" t="s">
        <v>190</v>
      </c>
      <c r="GW502" s="319" t="s">
        <v>190</v>
      </c>
      <c r="GX502" s="319" t="s">
        <v>190</v>
      </c>
      <c r="GY502" s="319" t="s">
        <v>190</v>
      </c>
      <c r="GZ502" s="319" t="s">
        <v>428</v>
      </c>
      <c r="HA502" s="319" t="s">
        <v>190</v>
      </c>
      <c r="HB502" s="319" t="s">
        <v>190</v>
      </c>
      <c r="HC502" s="319" t="s">
        <v>190</v>
      </c>
      <c r="HD502" s="319" t="s">
        <v>190</v>
      </c>
      <c r="HE502" s="319" t="s">
        <v>190</v>
      </c>
      <c r="HF502" s="319" t="s">
        <v>190</v>
      </c>
      <c r="HG502" s="319" t="s">
        <v>190</v>
      </c>
      <c r="HH502" s="319" t="s">
        <v>190</v>
      </c>
      <c r="HI502" s="319" t="s">
        <v>190</v>
      </c>
      <c r="HJ502" s="319" t="s">
        <v>190</v>
      </c>
      <c r="HK502" s="319" t="s">
        <v>190</v>
      </c>
      <c r="HL502" s="319" t="s">
        <v>190</v>
      </c>
      <c r="HM502" s="319" t="s">
        <v>428</v>
      </c>
      <c r="HN502" s="319" t="s">
        <v>428</v>
      </c>
      <c r="HO502" s="319" t="s">
        <v>428</v>
      </c>
      <c r="HP502" s="319" t="s">
        <v>190</v>
      </c>
      <c r="HQ502" s="319" t="s">
        <v>190</v>
      </c>
      <c r="HR502" s="319" t="s">
        <v>190</v>
      </c>
      <c r="HS502" s="319" t="s">
        <v>190</v>
      </c>
      <c r="HT502" s="319" t="s">
        <v>190</v>
      </c>
      <c r="HU502" s="319" t="s">
        <v>190</v>
      </c>
      <c r="HV502" s="319" t="s">
        <v>190</v>
      </c>
      <c r="HW502" s="319" t="s">
        <v>190</v>
      </c>
      <c r="HX502" s="319" t="s">
        <v>190</v>
      </c>
      <c r="HY502" s="319" t="s">
        <v>190</v>
      </c>
      <c r="HZ502" s="319" t="s">
        <v>190</v>
      </c>
      <c r="IA502" s="319" t="s">
        <v>190</v>
      </c>
      <c r="IB502" s="319" t="s">
        <v>190</v>
      </c>
      <c r="IC502" s="319" t="s">
        <v>190</v>
      </c>
      <c r="ID502" s="319" t="s">
        <v>190</v>
      </c>
      <c r="IE502" s="319" t="s">
        <v>190</v>
      </c>
      <c r="IF502" s="319" t="s">
        <v>190</v>
      </c>
      <c r="IG502" s="319" t="s">
        <v>190</v>
      </c>
      <c r="IH502" s="319" t="s">
        <v>190</v>
      </c>
      <c r="II502" s="319" t="s">
        <v>190</v>
      </c>
      <c r="IJ502" s="319">
        <v>10033570</v>
      </c>
      <c r="IK502" s="321">
        <v>42892</v>
      </c>
      <c r="IL502" s="321">
        <v>42894</v>
      </c>
      <c r="IM502" s="321">
        <v>42916</v>
      </c>
      <c r="IN502" s="319">
        <v>3</v>
      </c>
      <c r="IO502" s="319" t="s">
        <v>173</v>
      </c>
      <c r="IP502" s="319" t="s">
        <v>173</v>
      </c>
      <c r="IQ502" s="321" t="s">
        <v>173</v>
      </c>
      <c r="IR502" s="320" t="s">
        <v>173</v>
      </c>
      <c r="IS502" s="322" t="s">
        <v>173</v>
      </c>
      <c r="IT502" s="319" t="s">
        <v>173</v>
      </c>
    </row>
    <row r="503" spans="1:254" s="271" customFormat="1" x14ac:dyDescent="0.25">
      <c r="A503" s="318" t="str">
        <f>HYPERLINK("http://www.ofsted.gov.uk/inspection-reports/find-inspection-report/provider/ELS/135216 ","Ofsted School Webpage")</f>
        <v>Ofsted School Webpage</v>
      </c>
      <c r="B503" s="319">
        <v>135216</v>
      </c>
      <c r="C503" s="319">
        <v>3846348</v>
      </c>
      <c r="D503" s="319" t="s">
        <v>1091</v>
      </c>
      <c r="E503" s="319" t="s">
        <v>168</v>
      </c>
      <c r="F503" s="319" t="s">
        <v>81</v>
      </c>
      <c r="G503" s="319" t="s">
        <v>81</v>
      </c>
      <c r="H503" s="319" t="s">
        <v>81</v>
      </c>
      <c r="I503" s="319" t="s">
        <v>78</v>
      </c>
      <c r="J503" s="319" t="s">
        <v>424</v>
      </c>
      <c r="K503" s="319" t="s">
        <v>458</v>
      </c>
      <c r="L503" s="319" t="s">
        <v>459</v>
      </c>
      <c r="M503" s="319" t="s">
        <v>460</v>
      </c>
      <c r="N503" s="319" t="s">
        <v>2887</v>
      </c>
      <c r="O503" s="319" t="s">
        <v>1092</v>
      </c>
      <c r="P503" s="319">
        <v>63</v>
      </c>
      <c r="Q503" s="319" t="s">
        <v>2776</v>
      </c>
      <c r="R503" s="320">
        <v>10093645</v>
      </c>
      <c r="S503" s="321">
        <v>43606</v>
      </c>
      <c r="T503" s="321">
        <v>43608</v>
      </c>
      <c r="U503" s="321">
        <v>43647</v>
      </c>
      <c r="V503" s="319" t="s">
        <v>425</v>
      </c>
      <c r="W503" s="319" t="s">
        <v>2767</v>
      </c>
      <c r="X503" s="319">
        <v>3</v>
      </c>
      <c r="Y503" s="319" t="s">
        <v>173</v>
      </c>
      <c r="Z503" s="319" t="s">
        <v>173</v>
      </c>
      <c r="AA503" s="319" t="s">
        <v>173</v>
      </c>
      <c r="AB503" s="319">
        <v>3</v>
      </c>
      <c r="AC503" s="319" t="s">
        <v>169</v>
      </c>
      <c r="AD503" s="319" t="s">
        <v>173</v>
      </c>
      <c r="AE503" s="319" t="s">
        <v>173</v>
      </c>
      <c r="AF503" s="319" t="s">
        <v>427</v>
      </c>
      <c r="AG503" s="319" t="s">
        <v>172</v>
      </c>
      <c r="AH503" s="319" t="s">
        <v>190</v>
      </c>
      <c r="AI503" s="319" t="s">
        <v>190</v>
      </c>
      <c r="AJ503" s="319" t="s">
        <v>479</v>
      </c>
      <c r="AK503" s="319" t="s">
        <v>190</v>
      </c>
      <c r="AL503" s="319" t="s">
        <v>190</v>
      </c>
      <c r="AM503" s="319" t="s">
        <v>190</v>
      </c>
      <c r="AN503" s="319" t="s">
        <v>190</v>
      </c>
      <c r="AO503" s="319" t="s">
        <v>479</v>
      </c>
      <c r="AP503" s="319" t="s">
        <v>190</v>
      </c>
      <c r="AQ503" s="319" t="s">
        <v>190</v>
      </c>
      <c r="AR503" s="319" t="s">
        <v>190</v>
      </c>
      <c r="AS503" s="319" t="s">
        <v>190</v>
      </c>
      <c r="AT503" s="319" t="s">
        <v>190</v>
      </c>
      <c r="AU503" s="319" t="s">
        <v>190</v>
      </c>
      <c r="AV503" s="319" t="s">
        <v>190</v>
      </c>
      <c r="AW503" s="319" t="s">
        <v>190</v>
      </c>
      <c r="AX503" s="319" t="s">
        <v>428</v>
      </c>
      <c r="AY503" s="319" t="s">
        <v>190</v>
      </c>
      <c r="AZ503" s="319" t="s">
        <v>190</v>
      </c>
      <c r="BA503" s="319" t="s">
        <v>190</v>
      </c>
      <c r="BB503" s="319" t="s">
        <v>190</v>
      </c>
      <c r="BC503" s="319" t="s">
        <v>190</v>
      </c>
      <c r="BD503" s="319" t="s">
        <v>190</v>
      </c>
      <c r="BE503" s="319" t="s">
        <v>190</v>
      </c>
      <c r="BF503" s="319" t="s">
        <v>428</v>
      </c>
      <c r="BG503" s="319" t="s">
        <v>428</v>
      </c>
      <c r="BH503" s="319" t="s">
        <v>190</v>
      </c>
      <c r="BI503" s="319" t="s">
        <v>190</v>
      </c>
      <c r="BJ503" s="319" t="s">
        <v>190</v>
      </c>
      <c r="BK503" s="319" t="s">
        <v>190</v>
      </c>
      <c r="BL503" s="319" t="s">
        <v>190</v>
      </c>
      <c r="BM503" s="319" t="s">
        <v>190</v>
      </c>
      <c r="BN503" s="319" t="s">
        <v>190</v>
      </c>
      <c r="BO503" s="319" t="s">
        <v>190</v>
      </c>
      <c r="BP503" s="319" t="s">
        <v>190</v>
      </c>
      <c r="BQ503" s="319" t="s">
        <v>190</v>
      </c>
      <c r="BR503" s="319" t="s">
        <v>190</v>
      </c>
      <c r="BS503" s="319" t="s">
        <v>190</v>
      </c>
      <c r="BT503" s="319" t="s">
        <v>190</v>
      </c>
      <c r="BU503" s="319" t="s">
        <v>190</v>
      </c>
      <c r="BV503" s="319" t="s">
        <v>190</v>
      </c>
      <c r="BW503" s="319" t="s">
        <v>190</v>
      </c>
      <c r="BX503" s="319" t="s">
        <v>190</v>
      </c>
      <c r="BY503" s="319" t="s">
        <v>190</v>
      </c>
      <c r="BZ503" s="319" t="s">
        <v>190</v>
      </c>
      <c r="CA503" s="319" t="s">
        <v>190</v>
      </c>
      <c r="CB503" s="319" t="s">
        <v>190</v>
      </c>
      <c r="CC503" s="319" t="s">
        <v>190</v>
      </c>
      <c r="CD503" s="319" t="s">
        <v>190</v>
      </c>
      <c r="CE503" s="319" t="s">
        <v>190</v>
      </c>
      <c r="CF503" s="319" t="s">
        <v>190</v>
      </c>
      <c r="CG503" s="319" t="s">
        <v>190</v>
      </c>
      <c r="CH503" s="319" t="s">
        <v>190</v>
      </c>
      <c r="CI503" s="319" t="s">
        <v>190</v>
      </c>
      <c r="CJ503" s="319" t="s">
        <v>190</v>
      </c>
      <c r="CK503" s="319" t="s">
        <v>190</v>
      </c>
      <c r="CL503" s="319" t="s">
        <v>190</v>
      </c>
      <c r="CM503" s="319" t="s">
        <v>190</v>
      </c>
      <c r="CN503" s="319" t="s">
        <v>428</v>
      </c>
      <c r="CO503" s="319" t="s">
        <v>428</v>
      </c>
      <c r="CP503" s="319" t="s">
        <v>428</v>
      </c>
      <c r="CQ503" s="319" t="s">
        <v>190</v>
      </c>
      <c r="CR503" s="319" t="s">
        <v>190</v>
      </c>
      <c r="CS503" s="319" t="s">
        <v>190</v>
      </c>
      <c r="CT503" s="319" t="s">
        <v>190</v>
      </c>
      <c r="CU503" s="319" t="s">
        <v>190</v>
      </c>
      <c r="CV503" s="319" t="s">
        <v>190</v>
      </c>
      <c r="CW503" s="319" t="s">
        <v>190</v>
      </c>
      <c r="CX503" s="319" t="s">
        <v>190</v>
      </c>
      <c r="CY503" s="319" t="s">
        <v>190</v>
      </c>
      <c r="CZ503" s="319" t="s">
        <v>190</v>
      </c>
      <c r="DA503" s="319" t="s">
        <v>191</v>
      </c>
      <c r="DB503" s="319" t="s">
        <v>191</v>
      </c>
      <c r="DC503" s="319" t="s">
        <v>191</v>
      </c>
      <c r="DD503" s="319" t="s">
        <v>190</v>
      </c>
      <c r="DE503" s="319" t="s">
        <v>190</v>
      </c>
      <c r="DF503" s="319" t="s">
        <v>190</v>
      </c>
      <c r="DG503" s="319" t="s">
        <v>190</v>
      </c>
      <c r="DH503" s="319" t="s">
        <v>190</v>
      </c>
      <c r="DI503" s="319" t="s">
        <v>190</v>
      </c>
      <c r="DJ503" s="319" t="s">
        <v>190</v>
      </c>
      <c r="DK503" s="319" t="s">
        <v>190</v>
      </c>
      <c r="DL503" s="319" t="s">
        <v>190</v>
      </c>
      <c r="DM503" s="319" t="s">
        <v>190</v>
      </c>
      <c r="DN503" s="319" t="s">
        <v>428</v>
      </c>
      <c r="DO503" s="319" t="s">
        <v>190</v>
      </c>
      <c r="DP503" s="319" t="s">
        <v>190</v>
      </c>
      <c r="DQ503" s="319" t="s">
        <v>190</v>
      </c>
      <c r="DR503" s="319" t="s">
        <v>190</v>
      </c>
      <c r="DS503" s="319" t="s">
        <v>190</v>
      </c>
      <c r="DT503" s="319" t="s">
        <v>190</v>
      </c>
      <c r="DU503" s="319" t="s">
        <v>190</v>
      </c>
      <c r="DV503" s="319" t="s">
        <v>173</v>
      </c>
      <c r="DW503" s="319" t="s">
        <v>190</v>
      </c>
      <c r="DX503" s="319" t="s">
        <v>190</v>
      </c>
      <c r="DY503" s="319" t="s">
        <v>190</v>
      </c>
      <c r="DZ503" s="319" t="s">
        <v>190</v>
      </c>
      <c r="EA503" s="319" t="s">
        <v>190</v>
      </c>
      <c r="EB503" s="319" t="s">
        <v>190</v>
      </c>
      <c r="EC503" s="319" t="s">
        <v>428</v>
      </c>
      <c r="ED503" s="319" t="s">
        <v>190</v>
      </c>
      <c r="EE503" s="319" t="s">
        <v>190</v>
      </c>
      <c r="EF503" s="319" t="s">
        <v>190</v>
      </c>
      <c r="EG503" s="319" t="s">
        <v>190</v>
      </c>
      <c r="EH503" s="319" t="s">
        <v>190</v>
      </c>
      <c r="EI503" s="319" t="s">
        <v>190</v>
      </c>
      <c r="EJ503" s="319" t="s">
        <v>190</v>
      </c>
      <c r="EK503" s="319" t="s">
        <v>190</v>
      </c>
      <c r="EL503" s="319" t="s">
        <v>190</v>
      </c>
      <c r="EM503" s="319" t="s">
        <v>190</v>
      </c>
      <c r="EN503" s="319" t="s">
        <v>190</v>
      </c>
      <c r="EO503" s="319" t="s">
        <v>190</v>
      </c>
      <c r="EP503" s="319" t="s">
        <v>190</v>
      </c>
      <c r="EQ503" s="319" t="s">
        <v>190</v>
      </c>
      <c r="ER503" s="319" t="s">
        <v>190</v>
      </c>
      <c r="ES503" s="319" t="s">
        <v>190</v>
      </c>
      <c r="ET503" s="319" t="s">
        <v>190</v>
      </c>
      <c r="EU503" s="319" t="s">
        <v>190</v>
      </c>
      <c r="EV503" s="319" t="s">
        <v>190</v>
      </c>
      <c r="EW503" s="319" t="s">
        <v>190</v>
      </c>
      <c r="EX503" s="319" t="s">
        <v>190</v>
      </c>
      <c r="EY503" s="319" t="s">
        <v>190</v>
      </c>
      <c r="EZ503" s="319" t="s">
        <v>190</v>
      </c>
      <c r="FA503" s="319" t="s">
        <v>190</v>
      </c>
      <c r="FB503" s="319" t="s">
        <v>190</v>
      </c>
      <c r="FC503" s="319" t="s">
        <v>190</v>
      </c>
      <c r="FD503" s="319" t="s">
        <v>190</v>
      </c>
      <c r="FE503" s="319" t="s">
        <v>190</v>
      </c>
      <c r="FF503" s="319" t="s">
        <v>190</v>
      </c>
      <c r="FG503" s="319" t="s">
        <v>190</v>
      </c>
      <c r="FH503" s="319" t="s">
        <v>190</v>
      </c>
      <c r="FI503" s="319" t="s">
        <v>190</v>
      </c>
      <c r="FJ503" s="319" t="s">
        <v>190</v>
      </c>
      <c r="FK503" s="319" t="s">
        <v>190</v>
      </c>
      <c r="FL503" s="319" t="s">
        <v>190</v>
      </c>
      <c r="FM503" s="319" t="s">
        <v>190</v>
      </c>
      <c r="FN503" s="319" t="s">
        <v>190</v>
      </c>
      <c r="FO503" s="319" t="s">
        <v>190</v>
      </c>
      <c r="FP503" s="319" t="s">
        <v>190</v>
      </c>
      <c r="FQ503" s="319" t="s">
        <v>190</v>
      </c>
      <c r="FR503" s="319" t="s">
        <v>190</v>
      </c>
      <c r="FS503" s="319" t="s">
        <v>428</v>
      </c>
      <c r="FT503" s="319" t="s">
        <v>190</v>
      </c>
      <c r="FU503" s="319" t="s">
        <v>190</v>
      </c>
      <c r="FV503" s="319" t="s">
        <v>190</v>
      </c>
      <c r="FW503" s="319" t="s">
        <v>190</v>
      </c>
      <c r="FX503" s="319" t="s">
        <v>190</v>
      </c>
      <c r="FY503" s="319" t="s">
        <v>190</v>
      </c>
      <c r="FZ503" s="319" t="s">
        <v>190</v>
      </c>
      <c r="GA503" s="319" t="s">
        <v>190</v>
      </c>
      <c r="GB503" s="319" t="s">
        <v>190</v>
      </c>
      <c r="GC503" s="319" t="s">
        <v>190</v>
      </c>
      <c r="GD503" s="319" t="s">
        <v>190</v>
      </c>
      <c r="GE503" s="319" t="s">
        <v>190</v>
      </c>
      <c r="GF503" s="319" t="s">
        <v>190</v>
      </c>
      <c r="GG503" s="319" t="s">
        <v>190</v>
      </c>
      <c r="GH503" s="319" t="s">
        <v>190</v>
      </c>
      <c r="GI503" s="319" t="s">
        <v>190</v>
      </c>
      <c r="GJ503" s="319" t="s">
        <v>190</v>
      </c>
      <c r="GK503" s="319" t="s">
        <v>428</v>
      </c>
      <c r="GL503" s="319" t="s">
        <v>190</v>
      </c>
      <c r="GM503" s="319" t="s">
        <v>190</v>
      </c>
      <c r="GN503" s="319" t="s">
        <v>190</v>
      </c>
      <c r="GO503" s="319" t="s">
        <v>190</v>
      </c>
      <c r="GP503" s="319" t="s">
        <v>190</v>
      </c>
      <c r="GQ503" s="319" t="s">
        <v>190</v>
      </c>
      <c r="GR503" s="319" t="s">
        <v>190</v>
      </c>
      <c r="GS503" s="319" t="s">
        <v>190</v>
      </c>
      <c r="GT503" s="319" t="s">
        <v>190</v>
      </c>
      <c r="GU503" s="319" t="s">
        <v>190</v>
      </c>
      <c r="GV503" s="319" t="s">
        <v>190</v>
      </c>
      <c r="GW503" s="319" t="s">
        <v>190</v>
      </c>
      <c r="GX503" s="319" t="s">
        <v>190</v>
      </c>
      <c r="GY503" s="319" t="s">
        <v>190</v>
      </c>
      <c r="GZ503" s="319" t="s">
        <v>428</v>
      </c>
      <c r="HA503" s="319" t="s">
        <v>190</v>
      </c>
      <c r="HB503" s="319" t="s">
        <v>190</v>
      </c>
      <c r="HC503" s="319" t="s">
        <v>190</v>
      </c>
      <c r="HD503" s="319" t="s">
        <v>190</v>
      </c>
      <c r="HE503" s="319" t="s">
        <v>190</v>
      </c>
      <c r="HF503" s="319" t="s">
        <v>190</v>
      </c>
      <c r="HG503" s="319" t="s">
        <v>190</v>
      </c>
      <c r="HH503" s="319" t="s">
        <v>190</v>
      </c>
      <c r="HI503" s="319" t="s">
        <v>190</v>
      </c>
      <c r="HJ503" s="319" t="s">
        <v>190</v>
      </c>
      <c r="HK503" s="319" t="s">
        <v>190</v>
      </c>
      <c r="HL503" s="319" t="s">
        <v>428</v>
      </c>
      <c r="HM503" s="319" t="s">
        <v>428</v>
      </c>
      <c r="HN503" s="319" t="s">
        <v>428</v>
      </c>
      <c r="HO503" s="319" t="s">
        <v>428</v>
      </c>
      <c r="HP503" s="319" t="s">
        <v>190</v>
      </c>
      <c r="HQ503" s="319" t="s">
        <v>190</v>
      </c>
      <c r="HR503" s="319" t="s">
        <v>190</v>
      </c>
      <c r="HS503" s="319" t="s">
        <v>190</v>
      </c>
      <c r="HT503" s="319" t="s">
        <v>190</v>
      </c>
      <c r="HU503" s="319" t="s">
        <v>190</v>
      </c>
      <c r="HV503" s="319" t="s">
        <v>190</v>
      </c>
      <c r="HW503" s="319" t="s">
        <v>190</v>
      </c>
      <c r="HX503" s="319" t="s">
        <v>190</v>
      </c>
      <c r="HY503" s="319" t="s">
        <v>190</v>
      </c>
      <c r="HZ503" s="319" t="s">
        <v>190</v>
      </c>
      <c r="IA503" s="319" t="s">
        <v>190</v>
      </c>
      <c r="IB503" s="319" t="s">
        <v>190</v>
      </c>
      <c r="IC503" s="319" t="s">
        <v>190</v>
      </c>
      <c r="ID503" s="319" t="s">
        <v>190</v>
      </c>
      <c r="IE503" s="319" t="s">
        <v>190</v>
      </c>
      <c r="IF503" s="319" t="s">
        <v>191</v>
      </c>
      <c r="IG503" s="319" t="s">
        <v>191</v>
      </c>
      <c r="IH503" s="319" t="s">
        <v>191</v>
      </c>
      <c r="II503" s="319" t="s">
        <v>191</v>
      </c>
      <c r="IJ503" s="319">
        <v>10025959</v>
      </c>
      <c r="IK503" s="321">
        <v>42787</v>
      </c>
      <c r="IL503" s="321">
        <v>42789</v>
      </c>
      <c r="IM503" s="321">
        <v>42816</v>
      </c>
      <c r="IN503" s="319">
        <v>2</v>
      </c>
      <c r="IO503" s="319" t="s">
        <v>173</v>
      </c>
      <c r="IP503" s="319" t="s">
        <v>173</v>
      </c>
      <c r="IQ503" s="321" t="s">
        <v>173</v>
      </c>
      <c r="IR503" s="320" t="s">
        <v>173</v>
      </c>
      <c r="IS503" s="322" t="s">
        <v>173</v>
      </c>
      <c r="IT503" s="319" t="s">
        <v>173</v>
      </c>
    </row>
    <row r="504" spans="1:254" s="271" customFormat="1" x14ac:dyDescent="0.25">
      <c r="A504" s="318" t="str">
        <f>HYPERLINK("http://www.ofsted.gov.uk/inspection-reports/find-inspection-report/provider/ELS/135217 ","Ofsted School Webpage")</f>
        <v>Ofsted School Webpage</v>
      </c>
      <c r="B504" s="319">
        <v>135217</v>
      </c>
      <c r="C504" s="319">
        <v>8556026</v>
      </c>
      <c r="D504" s="319" t="s">
        <v>1900</v>
      </c>
      <c r="E504" s="319" t="s">
        <v>168</v>
      </c>
      <c r="F504" s="319" t="s">
        <v>81</v>
      </c>
      <c r="G504" s="319" t="s">
        <v>81</v>
      </c>
      <c r="H504" s="319" t="s">
        <v>81</v>
      </c>
      <c r="I504" s="319" t="s">
        <v>78</v>
      </c>
      <c r="J504" s="319" t="s">
        <v>424</v>
      </c>
      <c r="K504" s="319" t="s">
        <v>506</v>
      </c>
      <c r="L504" s="319" t="s">
        <v>506</v>
      </c>
      <c r="M504" s="319" t="s">
        <v>862</v>
      </c>
      <c r="N504" s="319" t="s">
        <v>3000</v>
      </c>
      <c r="O504" s="319" t="s">
        <v>1901</v>
      </c>
      <c r="P504" s="319">
        <v>60</v>
      </c>
      <c r="Q504" s="319" t="s">
        <v>429</v>
      </c>
      <c r="R504" s="320">
        <v>10078669</v>
      </c>
      <c r="S504" s="321">
        <v>43501</v>
      </c>
      <c r="T504" s="321">
        <v>43503</v>
      </c>
      <c r="U504" s="321">
        <v>43555</v>
      </c>
      <c r="V504" s="319" t="s">
        <v>425</v>
      </c>
      <c r="W504" s="319" t="s">
        <v>2767</v>
      </c>
      <c r="X504" s="319">
        <v>2</v>
      </c>
      <c r="Y504" s="319" t="s">
        <v>173</v>
      </c>
      <c r="Z504" s="319" t="s">
        <v>173</v>
      </c>
      <c r="AA504" s="319" t="s">
        <v>173</v>
      </c>
      <c r="AB504" s="319">
        <v>2</v>
      </c>
      <c r="AC504" s="319" t="s">
        <v>169</v>
      </c>
      <c r="AD504" s="319" t="s">
        <v>173</v>
      </c>
      <c r="AE504" s="319">
        <v>1</v>
      </c>
      <c r="AF504" s="319" t="s">
        <v>427</v>
      </c>
      <c r="AG504" s="319" t="s">
        <v>171</v>
      </c>
      <c r="AH504" s="319" t="s">
        <v>190</v>
      </c>
      <c r="AI504" s="319" t="s">
        <v>190</v>
      </c>
      <c r="AJ504" s="319" t="s">
        <v>190</v>
      </c>
      <c r="AK504" s="319" t="s">
        <v>190</v>
      </c>
      <c r="AL504" s="319" t="s">
        <v>190</v>
      </c>
      <c r="AM504" s="319" t="s">
        <v>190</v>
      </c>
      <c r="AN504" s="319" t="s">
        <v>190</v>
      </c>
      <c r="AO504" s="319" t="s">
        <v>190</v>
      </c>
      <c r="AP504" s="319" t="s">
        <v>190</v>
      </c>
      <c r="AQ504" s="319" t="s">
        <v>190</v>
      </c>
      <c r="AR504" s="319" t="s">
        <v>190</v>
      </c>
      <c r="AS504" s="319" t="s">
        <v>190</v>
      </c>
      <c r="AT504" s="319" t="s">
        <v>190</v>
      </c>
      <c r="AU504" s="319" t="s">
        <v>190</v>
      </c>
      <c r="AV504" s="319" t="s">
        <v>190</v>
      </c>
      <c r="AW504" s="319" t="s">
        <v>190</v>
      </c>
      <c r="AX504" s="319" t="s">
        <v>428</v>
      </c>
      <c r="AY504" s="319" t="s">
        <v>190</v>
      </c>
      <c r="AZ504" s="319" t="s">
        <v>190</v>
      </c>
      <c r="BA504" s="319" t="s">
        <v>190</v>
      </c>
      <c r="BB504" s="319" t="s">
        <v>190</v>
      </c>
      <c r="BC504" s="319" t="s">
        <v>190</v>
      </c>
      <c r="BD504" s="319" t="s">
        <v>190</v>
      </c>
      <c r="BE504" s="319" t="s">
        <v>190</v>
      </c>
      <c r="BF504" s="319" t="s">
        <v>428</v>
      </c>
      <c r="BG504" s="319" t="s">
        <v>190</v>
      </c>
      <c r="BH504" s="319" t="s">
        <v>190</v>
      </c>
      <c r="BI504" s="319" t="s">
        <v>190</v>
      </c>
      <c r="BJ504" s="319" t="s">
        <v>190</v>
      </c>
      <c r="BK504" s="319" t="s">
        <v>190</v>
      </c>
      <c r="BL504" s="319" t="s">
        <v>190</v>
      </c>
      <c r="BM504" s="319" t="s">
        <v>190</v>
      </c>
      <c r="BN504" s="319" t="s">
        <v>190</v>
      </c>
      <c r="BO504" s="319" t="s">
        <v>190</v>
      </c>
      <c r="BP504" s="319" t="s">
        <v>190</v>
      </c>
      <c r="BQ504" s="319" t="s">
        <v>190</v>
      </c>
      <c r="BR504" s="319" t="s">
        <v>190</v>
      </c>
      <c r="BS504" s="319" t="s">
        <v>190</v>
      </c>
      <c r="BT504" s="319" t="s">
        <v>190</v>
      </c>
      <c r="BU504" s="319" t="s">
        <v>190</v>
      </c>
      <c r="BV504" s="319" t="s">
        <v>190</v>
      </c>
      <c r="BW504" s="319" t="s">
        <v>190</v>
      </c>
      <c r="BX504" s="319" t="s">
        <v>190</v>
      </c>
      <c r="BY504" s="319" t="s">
        <v>190</v>
      </c>
      <c r="BZ504" s="319" t="s">
        <v>190</v>
      </c>
      <c r="CA504" s="319" t="s">
        <v>190</v>
      </c>
      <c r="CB504" s="319" t="s">
        <v>190</v>
      </c>
      <c r="CC504" s="319" t="s">
        <v>190</v>
      </c>
      <c r="CD504" s="319" t="s">
        <v>190</v>
      </c>
      <c r="CE504" s="319" t="s">
        <v>190</v>
      </c>
      <c r="CF504" s="319" t="s">
        <v>190</v>
      </c>
      <c r="CG504" s="319" t="s">
        <v>190</v>
      </c>
      <c r="CH504" s="319" t="s">
        <v>190</v>
      </c>
      <c r="CI504" s="319" t="s">
        <v>190</v>
      </c>
      <c r="CJ504" s="319" t="s">
        <v>190</v>
      </c>
      <c r="CK504" s="319" t="s">
        <v>190</v>
      </c>
      <c r="CL504" s="319" t="s">
        <v>190</v>
      </c>
      <c r="CM504" s="319" t="s">
        <v>190</v>
      </c>
      <c r="CN504" s="319" t="s">
        <v>428</v>
      </c>
      <c r="CO504" s="319" t="s">
        <v>428</v>
      </c>
      <c r="CP504" s="319" t="s">
        <v>428</v>
      </c>
      <c r="CQ504" s="319" t="s">
        <v>190</v>
      </c>
      <c r="CR504" s="319" t="s">
        <v>190</v>
      </c>
      <c r="CS504" s="319" t="s">
        <v>190</v>
      </c>
      <c r="CT504" s="319" t="s">
        <v>190</v>
      </c>
      <c r="CU504" s="319" t="s">
        <v>190</v>
      </c>
      <c r="CV504" s="319" t="s">
        <v>190</v>
      </c>
      <c r="CW504" s="319" t="s">
        <v>190</v>
      </c>
      <c r="CX504" s="319" t="s">
        <v>190</v>
      </c>
      <c r="CY504" s="319" t="s">
        <v>190</v>
      </c>
      <c r="CZ504" s="319" t="s">
        <v>190</v>
      </c>
      <c r="DA504" s="319" t="s">
        <v>190</v>
      </c>
      <c r="DB504" s="319" t="s">
        <v>190</v>
      </c>
      <c r="DC504" s="319" t="s">
        <v>190</v>
      </c>
      <c r="DD504" s="319" t="s">
        <v>190</v>
      </c>
      <c r="DE504" s="319" t="s">
        <v>190</v>
      </c>
      <c r="DF504" s="319" t="s">
        <v>190</v>
      </c>
      <c r="DG504" s="319" t="s">
        <v>190</v>
      </c>
      <c r="DH504" s="319" t="s">
        <v>190</v>
      </c>
      <c r="DI504" s="319" t="s">
        <v>190</v>
      </c>
      <c r="DJ504" s="319" t="s">
        <v>190</v>
      </c>
      <c r="DK504" s="319" t="s">
        <v>190</v>
      </c>
      <c r="DL504" s="319" t="s">
        <v>190</v>
      </c>
      <c r="DM504" s="319" t="s">
        <v>190</v>
      </c>
      <c r="DN504" s="319" t="s">
        <v>428</v>
      </c>
      <c r="DO504" s="319" t="s">
        <v>190</v>
      </c>
      <c r="DP504" s="319" t="s">
        <v>190</v>
      </c>
      <c r="DQ504" s="319" t="s">
        <v>190</v>
      </c>
      <c r="DR504" s="319" t="s">
        <v>190</v>
      </c>
      <c r="DS504" s="319" t="s">
        <v>190</v>
      </c>
      <c r="DT504" s="319" t="s">
        <v>190</v>
      </c>
      <c r="DU504" s="319" t="s">
        <v>190</v>
      </c>
      <c r="DV504" s="319" t="s">
        <v>173</v>
      </c>
      <c r="DW504" s="319" t="s">
        <v>190</v>
      </c>
      <c r="DX504" s="319" t="s">
        <v>190</v>
      </c>
      <c r="DY504" s="319" t="s">
        <v>190</v>
      </c>
      <c r="DZ504" s="319" t="s">
        <v>190</v>
      </c>
      <c r="EA504" s="319" t="s">
        <v>190</v>
      </c>
      <c r="EB504" s="319" t="s">
        <v>190</v>
      </c>
      <c r="EC504" s="319" t="s">
        <v>428</v>
      </c>
      <c r="ED504" s="319" t="s">
        <v>190</v>
      </c>
      <c r="EE504" s="319" t="s">
        <v>190</v>
      </c>
      <c r="EF504" s="319" t="s">
        <v>190</v>
      </c>
      <c r="EG504" s="319" t="s">
        <v>190</v>
      </c>
      <c r="EH504" s="319" t="s">
        <v>190</v>
      </c>
      <c r="EI504" s="319" t="s">
        <v>190</v>
      </c>
      <c r="EJ504" s="319" t="s">
        <v>190</v>
      </c>
      <c r="EK504" s="319" t="s">
        <v>190</v>
      </c>
      <c r="EL504" s="319" t="s">
        <v>190</v>
      </c>
      <c r="EM504" s="319" t="s">
        <v>190</v>
      </c>
      <c r="EN504" s="319" t="s">
        <v>190</v>
      </c>
      <c r="EO504" s="319" t="s">
        <v>190</v>
      </c>
      <c r="EP504" s="319" t="s">
        <v>190</v>
      </c>
      <c r="EQ504" s="319" t="s">
        <v>190</v>
      </c>
      <c r="ER504" s="319" t="s">
        <v>190</v>
      </c>
      <c r="ES504" s="319" t="s">
        <v>190</v>
      </c>
      <c r="ET504" s="319" t="s">
        <v>190</v>
      </c>
      <c r="EU504" s="319" t="s">
        <v>190</v>
      </c>
      <c r="EV504" s="319" t="s">
        <v>190</v>
      </c>
      <c r="EW504" s="319" t="s">
        <v>190</v>
      </c>
      <c r="EX504" s="319" t="s">
        <v>190</v>
      </c>
      <c r="EY504" s="319" t="s">
        <v>190</v>
      </c>
      <c r="EZ504" s="319" t="s">
        <v>190</v>
      </c>
      <c r="FA504" s="319" t="s">
        <v>190</v>
      </c>
      <c r="FB504" s="319" t="s">
        <v>190</v>
      </c>
      <c r="FC504" s="319" t="s">
        <v>190</v>
      </c>
      <c r="FD504" s="319" t="s">
        <v>190</v>
      </c>
      <c r="FE504" s="319" t="s">
        <v>190</v>
      </c>
      <c r="FF504" s="319" t="s">
        <v>190</v>
      </c>
      <c r="FG504" s="319" t="s">
        <v>190</v>
      </c>
      <c r="FH504" s="319" t="s">
        <v>190</v>
      </c>
      <c r="FI504" s="319" t="s">
        <v>190</v>
      </c>
      <c r="FJ504" s="319" t="s">
        <v>190</v>
      </c>
      <c r="FK504" s="319" t="s">
        <v>190</v>
      </c>
      <c r="FL504" s="319" t="s">
        <v>190</v>
      </c>
      <c r="FM504" s="319" t="s">
        <v>190</v>
      </c>
      <c r="FN504" s="319" t="s">
        <v>190</v>
      </c>
      <c r="FO504" s="319" t="s">
        <v>190</v>
      </c>
      <c r="FP504" s="319" t="s">
        <v>190</v>
      </c>
      <c r="FQ504" s="319" t="s">
        <v>190</v>
      </c>
      <c r="FR504" s="319" t="s">
        <v>190</v>
      </c>
      <c r="FS504" s="319" t="s">
        <v>428</v>
      </c>
      <c r="FT504" s="319" t="s">
        <v>190</v>
      </c>
      <c r="FU504" s="319" t="s">
        <v>190</v>
      </c>
      <c r="FV504" s="319" t="s">
        <v>190</v>
      </c>
      <c r="FW504" s="319" t="s">
        <v>190</v>
      </c>
      <c r="FX504" s="319" t="s">
        <v>190</v>
      </c>
      <c r="FY504" s="319" t="s">
        <v>190</v>
      </c>
      <c r="FZ504" s="319" t="s">
        <v>190</v>
      </c>
      <c r="GA504" s="319" t="s">
        <v>190</v>
      </c>
      <c r="GB504" s="319" t="s">
        <v>190</v>
      </c>
      <c r="GC504" s="319" t="s">
        <v>190</v>
      </c>
      <c r="GD504" s="319" t="s">
        <v>190</v>
      </c>
      <c r="GE504" s="319" t="s">
        <v>190</v>
      </c>
      <c r="GF504" s="319" t="s">
        <v>190</v>
      </c>
      <c r="GG504" s="319" t="s">
        <v>190</v>
      </c>
      <c r="GH504" s="319" t="s">
        <v>190</v>
      </c>
      <c r="GI504" s="319" t="s">
        <v>190</v>
      </c>
      <c r="GJ504" s="319" t="s">
        <v>190</v>
      </c>
      <c r="GK504" s="319" t="s">
        <v>428</v>
      </c>
      <c r="GL504" s="319" t="s">
        <v>190</v>
      </c>
      <c r="GM504" s="319" t="s">
        <v>190</v>
      </c>
      <c r="GN504" s="319" t="s">
        <v>190</v>
      </c>
      <c r="GO504" s="319" t="s">
        <v>190</v>
      </c>
      <c r="GP504" s="319" t="s">
        <v>190</v>
      </c>
      <c r="GQ504" s="319" t="s">
        <v>428</v>
      </c>
      <c r="GR504" s="319" t="s">
        <v>190</v>
      </c>
      <c r="GS504" s="319" t="s">
        <v>190</v>
      </c>
      <c r="GT504" s="319" t="s">
        <v>190</v>
      </c>
      <c r="GU504" s="319" t="s">
        <v>190</v>
      </c>
      <c r="GV504" s="319" t="s">
        <v>190</v>
      </c>
      <c r="GW504" s="319" t="s">
        <v>190</v>
      </c>
      <c r="GX504" s="319" t="s">
        <v>190</v>
      </c>
      <c r="GY504" s="319" t="s">
        <v>190</v>
      </c>
      <c r="GZ504" s="319" t="s">
        <v>428</v>
      </c>
      <c r="HA504" s="319" t="s">
        <v>190</v>
      </c>
      <c r="HB504" s="319" t="s">
        <v>190</v>
      </c>
      <c r="HC504" s="319" t="s">
        <v>190</v>
      </c>
      <c r="HD504" s="319" t="s">
        <v>190</v>
      </c>
      <c r="HE504" s="319" t="s">
        <v>190</v>
      </c>
      <c r="HF504" s="319" t="s">
        <v>190</v>
      </c>
      <c r="HG504" s="319" t="s">
        <v>190</v>
      </c>
      <c r="HH504" s="319" t="s">
        <v>190</v>
      </c>
      <c r="HI504" s="319" t="s">
        <v>190</v>
      </c>
      <c r="HJ504" s="319" t="s">
        <v>190</v>
      </c>
      <c r="HK504" s="319" t="s">
        <v>190</v>
      </c>
      <c r="HL504" s="319" t="s">
        <v>428</v>
      </c>
      <c r="HM504" s="319" t="s">
        <v>428</v>
      </c>
      <c r="HN504" s="319" t="s">
        <v>428</v>
      </c>
      <c r="HO504" s="319" t="s">
        <v>428</v>
      </c>
      <c r="HP504" s="319" t="s">
        <v>190</v>
      </c>
      <c r="HQ504" s="319" t="s">
        <v>190</v>
      </c>
      <c r="HR504" s="319" t="s">
        <v>190</v>
      </c>
      <c r="HS504" s="319" t="s">
        <v>190</v>
      </c>
      <c r="HT504" s="319" t="s">
        <v>190</v>
      </c>
      <c r="HU504" s="319" t="s">
        <v>190</v>
      </c>
      <c r="HV504" s="319" t="s">
        <v>190</v>
      </c>
      <c r="HW504" s="319" t="s">
        <v>190</v>
      </c>
      <c r="HX504" s="319" t="s">
        <v>190</v>
      </c>
      <c r="HY504" s="319" t="s">
        <v>190</v>
      </c>
      <c r="HZ504" s="319" t="s">
        <v>190</v>
      </c>
      <c r="IA504" s="319" t="s">
        <v>190</v>
      </c>
      <c r="IB504" s="319" t="s">
        <v>190</v>
      </c>
      <c r="IC504" s="319" t="s">
        <v>190</v>
      </c>
      <c r="ID504" s="319" t="s">
        <v>190</v>
      </c>
      <c r="IE504" s="319" t="s">
        <v>190</v>
      </c>
      <c r="IF504" s="319" t="s">
        <v>190</v>
      </c>
      <c r="IG504" s="319" t="s">
        <v>190</v>
      </c>
      <c r="IH504" s="319" t="s">
        <v>190</v>
      </c>
      <c r="II504" s="319" t="s">
        <v>190</v>
      </c>
      <c r="IJ504" s="319">
        <v>10012936</v>
      </c>
      <c r="IK504" s="321">
        <v>42500</v>
      </c>
      <c r="IL504" s="321">
        <v>42502</v>
      </c>
      <c r="IM504" s="321">
        <v>42563</v>
      </c>
      <c r="IN504" s="319">
        <v>1</v>
      </c>
      <c r="IO504" s="319" t="s">
        <v>173</v>
      </c>
      <c r="IP504" s="319" t="s">
        <v>173</v>
      </c>
      <c r="IQ504" s="319" t="s">
        <v>173</v>
      </c>
      <c r="IR504" s="320" t="s">
        <v>173</v>
      </c>
      <c r="IS504" s="320" t="s">
        <v>173</v>
      </c>
      <c r="IT504" s="319" t="s">
        <v>173</v>
      </c>
    </row>
    <row r="505" spans="1:254" s="271" customFormat="1" x14ac:dyDescent="0.25">
      <c r="A505" s="318" t="str">
        <f>HYPERLINK("http://www.ofsted.gov.uk/inspection-reports/find-inspection-report/provider/ELS/135218 ","Ofsted School Webpage")</f>
        <v>Ofsted School Webpage</v>
      </c>
      <c r="B505" s="319">
        <v>135218</v>
      </c>
      <c r="C505" s="319">
        <v>8556025</v>
      </c>
      <c r="D505" s="319" t="s">
        <v>1902</v>
      </c>
      <c r="E505" s="319" t="s">
        <v>168</v>
      </c>
      <c r="F505" s="319" t="s">
        <v>81</v>
      </c>
      <c r="G505" s="319" t="s">
        <v>81</v>
      </c>
      <c r="H505" s="319" t="s">
        <v>81</v>
      </c>
      <c r="I505" s="319" t="s">
        <v>78</v>
      </c>
      <c r="J505" s="319" t="s">
        <v>424</v>
      </c>
      <c r="K505" s="319" t="s">
        <v>506</v>
      </c>
      <c r="L505" s="319" t="s">
        <v>506</v>
      </c>
      <c r="M505" s="319" t="s">
        <v>862</v>
      </c>
      <c r="N505" s="319" t="s">
        <v>3269</v>
      </c>
      <c r="O505" s="319" t="s">
        <v>1903</v>
      </c>
      <c r="P505" s="319">
        <v>14</v>
      </c>
      <c r="Q505" s="319" t="s">
        <v>429</v>
      </c>
      <c r="R505" s="320">
        <v>10026050</v>
      </c>
      <c r="S505" s="321">
        <v>42926</v>
      </c>
      <c r="T505" s="321">
        <v>42928</v>
      </c>
      <c r="U505" s="321">
        <v>42991</v>
      </c>
      <c r="V505" s="319" t="s">
        <v>425</v>
      </c>
      <c r="W505" s="319" t="s">
        <v>2767</v>
      </c>
      <c r="X505" s="319">
        <v>2</v>
      </c>
      <c r="Y505" s="319" t="s">
        <v>173</v>
      </c>
      <c r="Z505" s="319" t="s">
        <v>173</v>
      </c>
      <c r="AA505" s="319" t="s">
        <v>173</v>
      </c>
      <c r="AB505" s="319">
        <v>2</v>
      </c>
      <c r="AC505" s="319" t="s">
        <v>169</v>
      </c>
      <c r="AD505" s="319" t="s">
        <v>173</v>
      </c>
      <c r="AE505" s="319" t="s">
        <v>173</v>
      </c>
      <c r="AF505" s="319" t="s">
        <v>173</v>
      </c>
      <c r="AG505" s="319" t="s">
        <v>171</v>
      </c>
      <c r="AH505" s="319" t="s">
        <v>190</v>
      </c>
      <c r="AI505" s="319" t="s">
        <v>190</v>
      </c>
      <c r="AJ505" s="319" t="s">
        <v>190</v>
      </c>
      <c r="AK505" s="319" t="s">
        <v>190</v>
      </c>
      <c r="AL505" s="319" t="s">
        <v>190</v>
      </c>
      <c r="AM505" s="319" t="s">
        <v>190</v>
      </c>
      <c r="AN505" s="319" t="s">
        <v>190</v>
      </c>
      <c r="AO505" s="319" t="s">
        <v>190</v>
      </c>
      <c r="AP505" s="319" t="s">
        <v>190</v>
      </c>
      <c r="AQ505" s="319" t="s">
        <v>190</v>
      </c>
      <c r="AR505" s="319" t="s">
        <v>190</v>
      </c>
      <c r="AS505" s="319" t="s">
        <v>190</v>
      </c>
      <c r="AT505" s="319" t="s">
        <v>190</v>
      </c>
      <c r="AU505" s="319" t="s">
        <v>190</v>
      </c>
      <c r="AV505" s="319" t="s">
        <v>190</v>
      </c>
      <c r="AW505" s="319" t="s">
        <v>190</v>
      </c>
      <c r="AX505" s="319" t="s">
        <v>429</v>
      </c>
      <c r="AY505" s="319" t="s">
        <v>190</v>
      </c>
      <c r="AZ505" s="319" t="s">
        <v>190</v>
      </c>
      <c r="BA505" s="319" t="s">
        <v>190</v>
      </c>
      <c r="BB505" s="319" t="s">
        <v>190</v>
      </c>
      <c r="BC505" s="319" t="s">
        <v>190</v>
      </c>
      <c r="BD505" s="319" t="s">
        <v>190</v>
      </c>
      <c r="BE505" s="319" t="s">
        <v>190</v>
      </c>
      <c r="BF505" s="319" t="s">
        <v>429</v>
      </c>
      <c r="BG505" s="319" t="s">
        <v>429</v>
      </c>
      <c r="BH505" s="319" t="s">
        <v>190</v>
      </c>
      <c r="BI505" s="319" t="s">
        <v>190</v>
      </c>
      <c r="BJ505" s="319" t="s">
        <v>190</v>
      </c>
      <c r="BK505" s="319" t="s">
        <v>190</v>
      </c>
      <c r="BL505" s="319" t="s">
        <v>190</v>
      </c>
      <c r="BM505" s="319" t="s">
        <v>190</v>
      </c>
      <c r="BN505" s="319" t="s">
        <v>190</v>
      </c>
      <c r="BO505" s="319" t="s">
        <v>190</v>
      </c>
      <c r="BP505" s="319" t="s">
        <v>190</v>
      </c>
      <c r="BQ505" s="319" t="s">
        <v>190</v>
      </c>
      <c r="BR505" s="319" t="s">
        <v>190</v>
      </c>
      <c r="BS505" s="319" t="s">
        <v>190</v>
      </c>
      <c r="BT505" s="319" t="s">
        <v>190</v>
      </c>
      <c r="BU505" s="319" t="s">
        <v>190</v>
      </c>
      <c r="BV505" s="319" t="s">
        <v>190</v>
      </c>
      <c r="BW505" s="319" t="s">
        <v>190</v>
      </c>
      <c r="BX505" s="319" t="s">
        <v>190</v>
      </c>
      <c r="BY505" s="319" t="s">
        <v>190</v>
      </c>
      <c r="BZ505" s="319" t="s">
        <v>190</v>
      </c>
      <c r="CA505" s="319" t="s">
        <v>190</v>
      </c>
      <c r="CB505" s="319" t="s">
        <v>190</v>
      </c>
      <c r="CC505" s="319" t="s">
        <v>190</v>
      </c>
      <c r="CD505" s="319" t="s">
        <v>190</v>
      </c>
      <c r="CE505" s="319" t="s">
        <v>190</v>
      </c>
      <c r="CF505" s="319" t="s">
        <v>190</v>
      </c>
      <c r="CG505" s="319" t="s">
        <v>190</v>
      </c>
      <c r="CH505" s="319" t="s">
        <v>190</v>
      </c>
      <c r="CI505" s="319" t="s">
        <v>190</v>
      </c>
      <c r="CJ505" s="319" t="s">
        <v>190</v>
      </c>
      <c r="CK505" s="319" t="s">
        <v>190</v>
      </c>
      <c r="CL505" s="319" t="s">
        <v>190</v>
      </c>
      <c r="CM505" s="319" t="s">
        <v>190</v>
      </c>
      <c r="CN505" s="319" t="s">
        <v>429</v>
      </c>
      <c r="CO505" s="319" t="s">
        <v>429</v>
      </c>
      <c r="CP505" s="319" t="s">
        <v>429</v>
      </c>
      <c r="CQ505" s="319" t="s">
        <v>190</v>
      </c>
      <c r="CR505" s="319" t="s">
        <v>190</v>
      </c>
      <c r="CS505" s="319" t="s">
        <v>190</v>
      </c>
      <c r="CT505" s="319" t="s">
        <v>190</v>
      </c>
      <c r="CU505" s="319" t="s">
        <v>190</v>
      </c>
      <c r="CV505" s="319" t="s">
        <v>190</v>
      </c>
      <c r="CW505" s="319" t="s">
        <v>190</v>
      </c>
      <c r="CX505" s="319" t="s">
        <v>190</v>
      </c>
      <c r="CY505" s="319" t="s">
        <v>190</v>
      </c>
      <c r="CZ505" s="319" t="s">
        <v>190</v>
      </c>
      <c r="DA505" s="319" t="s">
        <v>190</v>
      </c>
      <c r="DB505" s="319" t="s">
        <v>190</v>
      </c>
      <c r="DC505" s="319" t="s">
        <v>190</v>
      </c>
      <c r="DD505" s="319" t="s">
        <v>190</v>
      </c>
      <c r="DE505" s="319" t="s">
        <v>190</v>
      </c>
      <c r="DF505" s="319" t="s">
        <v>190</v>
      </c>
      <c r="DG505" s="319" t="s">
        <v>190</v>
      </c>
      <c r="DH505" s="319" t="s">
        <v>190</v>
      </c>
      <c r="DI505" s="319" t="s">
        <v>190</v>
      </c>
      <c r="DJ505" s="319" t="s">
        <v>190</v>
      </c>
      <c r="DK505" s="319" t="s">
        <v>190</v>
      </c>
      <c r="DL505" s="319" t="s">
        <v>190</v>
      </c>
      <c r="DM505" s="319" t="s">
        <v>190</v>
      </c>
      <c r="DN505" s="319" t="s">
        <v>429</v>
      </c>
      <c r="DO505" s="319" t="s">
        <v>190</v>
      </c>
      <c r="DP505" s="319" t="s">
        <v>190</v>
      </c>
      <c r="DQ505" s="319" t="s">
        <v>190</v>
      </c>
      <c r="DR505" s="319" t="s">
        <v>190</v>
      </c>
      <c r="DS505" s="319" t="s">
        <v>190</v>
      </c>
      <c r="DT505" s="319" t="s">
        <v>190</v>
      </c>
      <c r="DU505" s="319" t="s">
        <v>190</v>
      </c>
      <c r="DV505" s="319" t="s">
        <v>173</v>
      </c>
      <c r="DW505" s="319" t="s">
        <v>190</v>
      </c>
      <c r="DX505" s="319" t="s">
        <v>190</v>
      </c>
      <c r="DY505" s="319" t="s">
        <v>190</v>
      </c>
      <c r="DZ505" s="319" t="s">
        <v>190</v>
      </c>
      <c r="EA505" s="319" t="s">
        <v>190</v>
      </c>
      <c r="EB505" s="319" t="s">
        <v>190</v>
      </c>
      <c r="EC505" s="319" t="s">
        <v>429</v>
      </c>
      <c r="ED505" s="319" t="s">
        <v>190</v>
      </c>
      <c r="EE505" s="319" t="s">
        <v>429</v>
      </c>
      <c r="EF505" s="319" t="s">
        <v>429</v>
      </c>
      <c r="EG505" s="319" t="s">
        <v>429</v>
      </c>
      <c r="EH505" s="319" t="s">
        <v>429</v>
      </c>
      <c r="EI505" s="319" t="s">
        <v>429</v>
      </c>
      <c r="EJ505" s="319" t="s">
        <v>429</v>
      </c>
      <c r="EK505" s="319" t="s">
        <v>429</v>
      </c>
      <c r="EL505" s="319" t="s">
        <v>429</v>
      </c>
      <c r="EM505" s="319" t="s">
        <v>429</v>
      </c>
      <c r="EN505" s="319" t="s">
        <v>190</v>
      </c>
      <c r="EO505" s="319" t="s">
        <v>190</v>
      </c>
      <c r="EP505" s="319" t="s">
        <v>190</v>
      </c>
      <c r="EQ505" s="319" t="s">
        <v>190</v>
      </c>
      <c r="ER505" s="319" t="s">
        <v>190</v>
      </c>
      <c r="ES505" s="319" t="s">
        <v>190</v>
      </c>
      <c r="ET505" s="319" t="s">
        <v>190</v>
      </c>
      <c r="EU505" s="319" t="s">
        <v>190</v>
      </c>
      <c r="EV505" s="319" t="s">
        <v>190</v>
      </c>
      <c r="EW505" s="319" t="s">
        <v>190</v>
      </c>
      <c r="EX505" s="319" t="s">
        <v>190</v>
      </c>
      <c r="EY505" s="319" t="s">
        <v>190</v>
      </c>
      <c r="EZ505" s="319" t="s">
        <v>190</v>
      </c>
      <c r="FA505" s="319" t="s">
        <v>429</v>
      </c>
      <c r="FB505" s="319" t="s">
        <v>190</v>
      </c>
      <c r="FC505" s="319" t="s">
        <v>190</v>
      </c>
      <c r="FD505" s="319" t="s">
        <v>190</v>
      </c>
      <c r="FE505" s="319" t="s">
        <v>190</v>
      </c>
      <c r="FF505" s="319" t="s">
        <v>429</v>
      </c>
      <c r="FG505" s="319" t="s">
        <v>190</v>
      </c>
      <c r="FH505" s="319" t="s">
        <v>190</v>
      </c>
      <c r="FI505" s="319" t="s">
        <v>429</v>
      </c>
      <c r="FJ505" s="319" t="s">
        <v>429</v>
      </c>
      <c r="FK505" s="319" t="s">
        <v>429</v>
      </c>
      <c r="FL505" s="319" t="s">
        <v>190</v>
      </c>
      <c r="FM505" s="319" t="s">
        <v>190</v>
      </c>
      <c r="FN505" s="319" t="s">
        <v>190</v>
      </c>
      <c r="FO505" s="319" t="s">
        <v>190</v>
      </c>
      <c r="FP505" s="319" t="s">
        <v>190</v>
      </c>
      <c r="FQ505" s="319" t="s">
        <v>190</v>
      </c>
      <c r="FR505" s="319" t="s">
        <v>190</v>
      </c>
      <c r="FS505" s="319" t="s">
        <v>429</v>
      </c>
      <c r="FT505" s="319" t="s">
        <v>190</v>
      </c>
      <c r="FU505" s="319" t="s">
        <v>190</v>
      </c>
      <c r="FV505" s="319" t="s">
        <v>190</v>
      </c>
      <c r="FW505" s="319" t="s">
        <v>190</v>
      </c>
      <c r="FX505" s="319" t="s">
        <v>190</v>
      </c>
      <c r="FY505" s="319" t="s">
        <v>190</v>
      </c>
      <c r="FZ505" s="319" t="s">
        <v>190</v>
      </c>
      <c r="GA505" s="319" t="s">
        <v>190</v>
      </c>
      <c r="GB505" s="319" t="s">
        <v>190</v>
      </c>
      <c r="GC505" s="319" t="s">
        <v>190</v>
      </c>
      <c r="GD505" s="319" t="s">
        <v>190</v>
      </c>
      <c r="GE505" s="319" t="s">
        <v>190</v>
      </c>
      <c r="GF505" s="319" t="s">
        <v>190</v>
      </c>
      <c r="GG505" s="319" t="s">
        <v>190</v>
      </c>
      <c r="GH505" s="319" t="s">
        <v>190</v>
      </c>
      <c r="GI505" s="319" t="s">
        <v>190</v>
      </c>
      <c r="GJ505" s="319" t="s">
        <v>190</v>
      </c>
      <c r="GK505" s="319" t="s">
        <v>429</v>
      </c>
      <c r="GL505" s="319" t="s">
        <v>190</v>
      </c>
      <c r="GM505" s="319" t="s">
        <v>190</v>
      </c>
      <c r="GN505" s="319" t="s">
        <v>190</v>
      </c>
      <c r="GO505" s="319" t="s">
        <v>190</v>
      </c>
      <c r="GP505" s="319" t="s">
        <v>190</v>
      </c>
      <c r="GQ505" s="319" t="s">
        <v>429</v>
      </c>
      <c r="GR505" s="319" t="s">
        <v>190</v>
      </c>
      <c r="GS505" s="319" t="s">
        <v>190</v>
      </c>
      <c r="GT505" s="319" t="s">
        <v>190</v>
      </c>
      <c r="GU505" s="319" t="s">
        <v>190</v>
      </c>
      <c r="GV505" s="319" t="s">
        <v>429</v>
      </c>
      <c r="GW505" s="319" t="s">
        <v>190</v>
      </c>
      <c r="GX505" s="319" t="s">
        <v>190</v>
      </c>
      <c r="GY505" s="319" t="s">
        <v>190</v>
      </c>
      <c r="GZ505" s="319" t="s">
        <v>190</v>
      </c>
      <c r="HA505" s="319" t="s">
        <v>429</v>
      </c>
      <c r="HB505" s="319" t="s">
        <v>190</v>
      </c>
      <c r="HC505" s="319" t="s">
        <v>190</v>
      </c>
      <c r="HD505" s="319" t="s">
        <v>190</v>
      </c>
      <c r="HE505" s="319" t="s">
        <v>190</v>
      </c>
      <c r="HF505" s="319" t="s">
        <v>190</v>
      </c>
      <c r="HG505" s="319" t="s">
        <v>190</v>
      </c>
      <c r="HH505" s="319" t="s">
        <v>190</v>
      </c>
      <c r="HI505" s="319" t="s">
        <v>190</v>
      </c>
      <c r="HJ505" s="319" t="s">
        <v>190</v>
      </c>
      <c r="HK505" s="319" t="s">
        <v>190</v>
      </c>
      <c r="HL505" s="319" t="s">
        <v>429</v>
      </c>
      <c r="HM505" s="319" t="s">
        <v>429</v>
      </c>
      <c r="HN505" s="319" t="s">
        <v>429</v>
      </c>
      <c r="HO505" s="319" t="s">
        <v>429</v>
      </c>
      <c r="HP505" s="319" t="s">
        <v>190</v>
      </c>
      <c r="HQ505" s="319" t="s">
        <v>190</v>
      </c>
      <c r="HR505" s="319" t="s">
        <v>190</v>
      </c>
      <c r="HS505" s="319" t="s">
        <v>190</v>
      </c>
      <c r="HT505" s="319" t="s">
        <v>190</v>
      </c>
      <c r="HU505" s="319" t="s">
        <v>190</v>
      </c>
      <c r="HV505" s="319" t="s">
        <v>190</v>
      </c>
      <c r="HW505" s="319" t="s">
        <v>190</v>
      </c>
      <c r="HX505" s="319" t="s">
        <v>190</v>
      </c>
      <c r="HY505" s="319" t="s">
        <v>190</v>
      </c>
      <c r="HZ505" s="319" t="s">
        <v>190</v>
      </c>
      <c r="IA505" s="319" t="s">
        <v>190</v>
      </c>
      <c r="IB505" s="319" t="s">
        <v>190</v>
      </c>
      <c r="IC505" s="319" t="s">
        <v>190</v>
      </c>
      <c r="ID505" s="319" t="s">
        <v>190</v>
      </c>
      <c r="IE505" s="319" t="s">
        <v>190</v>
      </c>
      <c r="IF505" s="319" t="s">
        <v>190</v>
      </c>
      <c r="IG505" s="319" t="s">
        <v>190</v>
      </c>
      <c r="IH505" s="319" t="s">
        <v>190</v>
      </c>
      <c r="II505" s="319" t="s">
        <v>190</v>
      </c>
      <c r="IJ505" s="319" t="s">
        <v>3270</v>
      </c>
      <c r="IK505" s="321">
        <v>41668</v>
      </c>
      <c r="IL505" s="321">
        <v>41670</v>
      </c>
      <c r="IM505" s="321">
        <v>41695</v>
      </c>
      <c r="IN505" s="319">
        <v>2</v>
      </c>
      <c r="IO505" s="319" t="s">
        <v>173</v>
      </c>
      <c r="IP505" s="319" t="s">
        <v>173</v>
      </c>
      <c r="IQ505" s="321" t="s">
        <v>173</v>
      </c>
      <c r="IR505" s="320" t="s">
        <v>173</v>
      </c>
      <c r="IS505" s="322" t="s">
        <v>173</v>
      </c>
      <c r="IT505" s="319" t="s">
        <v>173</v>
      </c>
    </row>
    <row r="506" spans="1:254" s="271" customFormat="1" x14ac:dyDescent="0.25">
      <c r="A506" s="318" t="str">
        <f>HYPERLINK("http://www.ofsted.gov.uk/inspection-reports/find-inspection-report/provider/ELS/135219 ","Ofsted School Webpage")</f>
        <v>Ofsted School Webpage</v>
      </c>
      <c r="B506" s="319">
        <v>135219</v>
      </c>
      <c r="C506" s="319">
        <v>8886097</v>
      </c>
      <c r="D506" s="319" t="s">
        <v>468</v>
      </c>
      <c r="E506" s="319" t="s">
        <v>167</v>
      </c>
      <c r="F506" s="319" t="s">
        <v>81</v>
      </c>
      <c r="G506" s="319" t="s">
        <v>72</v>
      </c>
      <c r="H506" s="319" t="s">
        <v>72</v>
      </c>
      <c r="I506" s="319" t="s">
        <v>72</v>
      </c>
      <c r="J506" s="319" t="s">
        <v>424</v>
      </c>
      <c r="K506" s="319" t="s">
        <v>431</v>
      </c>
      <c r="L506" s="319" t="s">
        <v>431</v>
      </c>
      <c r="M506" s="319" t="s">
        <v>469</v>
      </c>
      <c r="N506" s="319" t="s">
        <v>3148</v>
      </c>
      <c r="O506" s="319" t="s">
        <v>470</v>
      </c>
      <c r="P506" s="319">
        <v>99</v>
      </c>
      <c r="Q506" s="319" t="s">
        <v>2766</v>
      </c>
      <c r="R506" s="320">
        <v>10048593</v>
      </c>
      <c r="S506" s="321">
        <v>43368</v>
      </c>
      <c r="T506" s="321">
        <v>43370</v>
      </c>
      <c r="U506" s="321">
        <v>43395</v>
      </c>
      <c r="V506" s="319" t="s">
        <v>425</v>
      </c>
      <c r="W506" s="319" t="s">
        <v>2767</v>
      </c>
      <c r="X506" s="319">
        <v>2</v>
      </c>
      <c r="Y506" s="319" t="s">
        <v>173</v>
      </c>
      <c r="Z506" s="319" t="s">
        <v>173</v>
      </c>
      <c r="AA506" s="319" t="s">
        <v>173</v>
      </c>
      <c r="AB506" s="319">
        <v>2</v>
      </c>
      <c r="AC506" s="319" t="s">
        <v>169</v>
      </c>
      <c r="AD506" s="319">
        <v>2</v>
      </c>
      <c r="AE506" s="319" t="s">
        <v>173</v>
      </c>
      <c r="AF506" s="319" t="s">
        <v>427</v>
      </c>
      <c r="AG506" s="319" t="s">
        <v>171</v>
      </c>
      <c r="AH506" s="319" t="s">
        <v>190</v>
      </c>
      <c r="AI506" s="319" t="s">
        <v>190</v>
      </c>
      <c r="AJ506" s="319" t="s">
        <v>190</v>
      </c>
      <c r="AK506" s="319" t="s">
        <v>190</v>
      </c>
      <c r="AL506" s="319" t="s">
        <v>190</v>
      </c>
      <c r="AM506" s="319" t="s">
        <v>190</v>
      </c>
      <c r="AN506" s="319" t="s">
        <v>190</v>
      </c>
      <c r="AO506" s="319" t="s">
        <v>190</v>
      </c>
      <c r="AP506" s="319" t="s">
        <v>190</v>
      </c>
      <c r="AQ506" s="319" t="s">
        <v>190</v>
      </c>
      <c r="AR506" s="319" t="s">
        <v>190</v>
      </c>
      <c r="AS506" s="319" t="s">
        <v>190</v>
      </c>
      <c r="AT506" s="319" t="s">
        <v>190</v>
      </c>
      <c r="AU506" s="319" t="s">
        <v>190</v>
      </c>
      <c r="AV506" s="319" t="s">
        <v>190</v>
      </c>
      <c r="AW506" s="319" t="s">
        <v>190</v>
      </c>
      <c r="AX506" s="319" t="s">
        <v>190</v>
      </c>
      <c r="AY506" s="319" t="s">
        <v>190</v>
      </c>
      <c r="AZ506" s="319" t="s">
        <v>190</v>
      </c>
      <c r="BA506" s="319" t="s">
        <v>190</v>
      </c>
      <c r="BB506" s="319" t="s">
        <v>428</v>
      </c>
      <c r="BC506" s="319" t="s">
        <v>428</v>
      </c>
      <c r="BD506" s="319" t="s">
        <v>428</v>
      </c>
      <c r="BE506" s="319" t="s">
        <v>428</v>
      </c>
      <c r="BF506" s="319" t="s">
        <v>190</v>
      </c>
      <c r="BG506" s="319" t="s">
        <v>428</v>
      </c>
      <c r="BH506" s="319" t="s">
        <v>190</v>
      </c>
      <c r="BI506" s="319" t="s">
        <v>190</v>
      </c>
      <c r="BJ506" s="319" t="s">
        <v>190</v>
      </c>
      <c r="BK506" s="319" t="s">
        <v>190</v>
      </c>
      <c r="BL506" s="319" t="s">
        <v>190</v>
      </c>
      <c r="BM506" s="319" t="s">
        <v>190</v>
      </c>
      <c r="BN506" s="319" t="s">
        <v>190</v>
      </c>
      <c r="BO506" s="319" t="s">
        <v>190</v>
      </c>
      <c r="BP506" s="319" t="s">
        <v>190</v>
      </c>
      <c r="BQ506" s="319" t="s">
        <v>190</v>
      </c>
      <c r="BR506" s="319" t="s">
        <v>190</v>
      </c>
      <c r="BS506" s="319" t="s">
        <v>190</v>
      </c>
      <c r="BT506" s="319" t="s">
        <v>190</v>
      </c>
      <c r="BU506" s="319" t="s">
        <v>190</v>
      </c>
      <c r="BV506" s="319" t="s">
        <v>190</v>
      </c>
      <c r="BW506" s="319" t="s">
        <v>190</v>
      </c>
      <c r="BX506" s="319" t="s">
        <v>190</v>
      </c>
      <c r="BY506" s="319" t="s">
        <v>190</v>
      </c>
      <c r="BZ506" s="319" t="s">
        <v>190</v>
      </c>
      <c r="CA506" s="319" t="s">
        <v>190</v>
      </c>
      <c r="CB506" s="319" t="s">
        <v>190</v>
      </c>
      <c r="CC506" s="319" t="s">
        <v>190</v>
      </c>
      <c r="CD506" s="319" t="s">
        <v>190</v>
      </c>
      <c r="CE506" s="319" t="s">
        <v>190</v>
      </c>
      <c r="CF506" s="319" t="s">
        <v>190</v>
      </c>
      <c r="CG506" s="319" t="s">
        <v>190</v>
      </c>
      <c r="CH506" s="319" t="s">
        <v>190</v>
      </c>
      <c r="CI506" s="319" t="s">
        <v>190</v>
      </c>
      <c r="CJ506" s="319" t="s">
        <v>190</v>
      </c>
      <c r="CK506" s="319" t="s">
        <v>190</v>
      </c>
      <c r="CL506" s="319" t="s">
        <v>190</v>
      </c>
      <c r="CM506" s="319" t="s">
        <v>190</v>
      </c>
      <c r="CN506" s="319" t="s">
        <v>428</v>
      </c>
      <c r="CO506" s="319" t="s">
        <v>428</v>
      </c>
      <c r="CP506" s="319" t="s">
        <v>428</v>
      </c>
      <c r="CQ506" s="319" t="s">
        <v>190</v>
      </c>
      <c r="CR506" s="319" t="s">
        <v>190</v>
      </c>
      <c r="CS506" s="319" t="s">
        <v>190</v>
      </c>
      <c r="CT506" s="319" t="s">
        <v>190</v>
      </c>
      <c r="CU506" s="319" t="s">
        <v>190</v>
      </c>
      <c r="CV506" s="319" t="s">
        <v>190</v>
      </c>
      <c r="CW506" s="319" t="s">
        <v>190</v>
      </c>
      <c r="CX506" s="319" t="s">
        <v>190</v>
      </c>
      <c r="CY506" s="319" t="s">
        <v>190</v>
      </c>
      <c r="CZ506" s="319" t="s">
        <v>190</v>
      </c>
      <c r="DA506" s="319" t="s">
        <v>190</v>
      </c>
      <c r="DB506" s="319" t="s">
        <v>190</v>
      </c>
      <c r="DC506" s="319" t="s">
        <v>190</v>
      </c>
      <c r="DD506" s="319" t="s">
        <v>190</v>
      </c>
      <c r="DE506" s="319" t="s">
        <v>190</v>
      </c>
      <c r="DF506" s="319" t="s">
        <v>190</v>
      </c>
      <c r="DG506" s="319" t="s">
        <v>190</v>
      </c>
      <c r="DH506" s="319" t="s">
        <v>190</v>
      </c>
      <c r="DI506" s="319" t="s">
        <v>190</v>
      </c>
      <c r="DJ506" s="319" t="s">
        <v>190</v>
      </c>
      <c r="DK506" s="319" t="s">
        <v>190</v>
      </c>
      <c r="DL506" s="319" t="s">
        <v>190</v>
      </c>
      <c r="DM506" s="319" t="s">
        <v>428</v>
      </c>
      <c r="DN506" s="319" t="s">
        <v>428</v>
      </c>
      <c r="DO506" s="319" t="s">
        <v>190</v>
      </c>
      <c r="DP506" s="319" t="s">
        <v>428</v>
      </c>
      <c r="DQ506" s="319" t="s">
        <v>428</v>
      </c>
      <c r="DR506" s="319" t="s">
        <v>428</v>
      </c>
      <c r="DS506" s="319" t="s">
        <v>428</v>
      </c>
      <c r="DT506" s="319" t="s">
        <v>428</v>
      </c>
      <c r="DU506" s="319" t="s">
        <v>428</v>
      </c>
      <c r="DV506" s="319" t="s">
        <v>173</v>
      </c>
      <c r="DW506" s="319" t="s">
        <v>428</v>
      </c>
      <c r="DX506" s="319" t="s">
        <v>428</v>
      </c>
      <c r="DY506" s="319" t="s">
        <v>428</v>
      </c>
      <c r="DZ506" s="319" t="s">
        <v>428</v>
      </c>
      <c r="EA506" s="319" t="s">
        <v>428</v>
      </c>
      <c r="EB506" s="319" t="s">
        <v>428</v>
      </c>
      <c r="EC506" s="319" t="s">
        <v>428</v>
      </c>
      <c r="ED506" s="319" t="s">
        <v>428</v>
      </c>
      <c r="EE506" s="319" t="s">
        <v>428</v>
      </c>
      <c r="EF506" s="319" t="s">
        <v>428</v>
      </c>
      <c r="EG506" s="319" t="s">
        <v>428</v>
      </c>
      <c r="EH506" s="319" t="s">
        <v>428</v>
      </c>
      <c r="EI506" s="319" t="s">
        <v>428</v>
      </c>
      <c r="EJ506" s="319" t="s">
        <v>428</v>
      </c>
      <c r="EK506" s="319" t="s">
        <v>428</v>
      </c>
      <c r="EL506" s="319" t="s">
        <v>428</v>
      </c>
      <c r="EM506" s="319" t="s">
        <v>428</v>
      </c>
      <c r="EN506" s="319" t="s">
        <v>190</v>
      </c>
      <c r="EO506" s="319" t="s">
        <v>190</v>
      </c>
      <c r="EP506" s="319" t="s">
        <v>190</v>
      </c>
      <c r="EQ506" s="319" t="s">
        <v>190</v>
      </c>
      <c r="ER506" s="319" t="s">
        <v>190</v>
      </c>
      <c r="ES506" s="319" t="s">
        <v>190</v>
      </c>
      <c r="ET506" s="319" t="s">
        <v>190</v>
      </c>
      <c r="EU506" s="319" t="s">
        <v>190</v>
      </c>
      <c r="EV506" s="319" t="s">
        <v>190</v>
      </c>
      <c r="EW506" s="319" t="s">
        <v>190</v>
      </c>
      <c r="EX506" s="319" t="s">
        <v>190</v>
      </c>
      <c r="EY506" s="319" t="s">
        <v>428</v>
      </c>
      <c r="EZ506" s="319" t="s">
        <v>190</v>
      </c>
      <c r="FA506" s="319" t="s">
        <v>190</v>
      </c>
      <c r="FB506" s="319" t="s">
        <v>428</v>
      </c>
      <c r="FC506" s="319" t="s">
        <v>428</v>
      </c>
      <c r="FD506" s="319" t="s">
        <v>428</v>
      </c>
      <c r="FE506" s="319" t="s">
        <v>428</v>
      </c>
      <c r="FF506" s="319" t="s">
        <v>428</v>
      </c>
      <c r="FG506" s="319" t="s">
        <v>428</v>
      </c>
      <c r="FH506" s="319" t="s">
        <v>428</v>
      </c>
      <c r="FI506" s="319" t="s">
        <v>428</v>
      </c>
      <c r="FJ506" s="319" t="s">
        <v>429</v>
      </c>
      <c r="FK506" s="319" t="s">
        <v>428</v>
      </c>
      <c r="FL506" s="319" t="s">
        <v>190</v>
      </c>
      <c r="FM506" s="319" t="s">
        <v>190</v>
      </c>
      <c r="FN506" s="319" t="s">
        <v>190</v>
      </c>
      <c r="FO506" s="319" t="s">
        <v>428</v>
      </c>
      <c r="FP506" s="319" t="s">
        <v>190</v>
      </c>
      <c r="FQ506" s="319" t="s">
        <v>190</v>
      </c>
      <c r="FR506" s="319" t="s">
        <v>190</v>
      </c>
      <c r="FS506" s="319" t="s">
        <v>428</v>
      </c>
      <c r="FT506" s="319" t="s">
        <v>190</v>
      </c>
      <c r="FU506" s="319" t="s">
        <v>190</v>
      </c>
      <c r="FV506" s="319" t="s">
        <v>190</v>
      </c>
      <c r="FW506" s="319" t="s">
        <v>190</v>
      </c>
      <c r="FX506" s="319" t="s">
        <v>190</v>
      </c>
      <c r="FY506" s="319" t="s">
        <v>190</v>
      </c>
      <c r="FZ506" s="319" t="s">
        <v>190</v>
      </c>
      <c r="GA506" s="319" t="s">
        <v>190</v>
      </c>
      <c r="GB506" s="319" t="s">
        <v>190</v>
      </c>
      <c r="GC506" s="319" t="s">
        <v>190</v>
      </c>
      <c r="GD506" s="319" t="s">
        <v>190</v>
      </c>
      <c r="GE506" s="319" t="s">
        <v>190</v>
      </c>
      <c r="GF506" s="319" t="s">
        <v>190</v>
      </c>
      <c r="GG506" s="319" t="s">
        <v>190</v>
      </c>
      <c r="GH506" s="319" t="s">
        <v>190</v>
      </c>
      <c r="GI506" s="319" t="s">
        <v>190</v>
      </c>
      <c r="GJ506" s="319" t="s">
        <v>190</v>
      </c>
      <c r="GK506" s="319" t="s">
        <v>428</v>
      </c>
      <c r="GL506" s="319" t="s">
        <v>190</v>
      </c>
      <c r="GM506" s="319" t="s">
        <v>190</v>
      </c>
      <c r="GN506" s="319" t="s">
        <v>190</v>
      </c>
      <c r="GO506" s="319" t="s">
        <v>190</v>
      </c>
      <c r="GP506" s="319" t="s">
        <v>190</v>
      </c>
      <c r="GQ506" s="319" t="s">
        <v>428</v>
      </c>
      <c r="GR506" s="319" t="s">
        <v>190</v>
      </c>
      <c r="GS506" s="319" t="s">
        <v>190</v>
      </c>
      <c r="GT506" s="319" t="s">
        <v>428</v>
      </c>
      <c r="GU506" s="319" t="s">
        <v>428</v>
      </c>
      <c r="GV506" s="319" t="s">
        <v>428</v>
      </c>
      <c r="GW506" s="319" t="s">
        <v>190</v>
      </c>
      <c r="GX506" s="319" t="s">
        <v>190</v>
      </c>
      <c r="GY506" s="319" t="s">
        <v>190</v>
      </c>
      <c r="GZ506" s="319" t="s">
        <v>190</v>
      </c>
      <c r="HA506" s="319" t="s">
        <v>428</v>
      </c>
      <c r="HB506" s="319" t="s">
        <v>428</v>
      </c>
      <c r="HC506" s="319" t="s">
        <v>190</v>
      </c>
      <c r="HD506" s="319" t="s">
        <v>190</v>
      </c>
      <c r="HE506" s="319" t="s">
        <v>190</v>
      </c>
      <c r="HF506" s="319" t="s">
        <v>428</v>
      </c>
      <c r="HG506" s="319" t="s">
        <v>190</v>
      </c>
      <c r="HH506" s="319" t="s">
        <v>190</v>
      </c>
      <c r="HI506" s="319" t="s">
        <v>190</v>
      </c>
      <c r="HJ506" s="319" t="s">
        <v>190</v>
      </c>
      <c r="HK506" s="319" t="s">
        <v>190</v>
      </c>
      <c r="HL506" s="319" t="s">
        <v>428</v>
      </c>
      <c r="HM506" s="319" t="s">
        <v>428</v>
      </c>
      <c r="HN506" s="319" t="s">
        <v>428</v>
      </c>
      <c r="HO506" s="319" t="s">
        <v>428</v>
      </c>
      <c r="HP506" s="319" t="s">
        <v>190</v>
      </c>
      <c r="HQ506" s="319" t="s">
        <v>190</v>
      </c>
      <c r="HR506" s="319" t="s">
        <v>190</v>
      </c>
      <c r="HS506" s="319" t="s">
        <v>190</v>
      </c>
      <c r="HT506" s="319" t="s">
        <v>190</v>
      </c>
      <c r="HU506" s="319" t="s">
        <v>190</v>
      </c>
      <c r="HV506" s="319" t="s">
        <v>190</v>
      </c>
      <c r="HW506" s="319" t="s">
        <v>190</v>
      </c>
      <c r="HX506" s="319" t="s">
        <v>190</v>
      </c>
      <c r="HY506" s="319" t="s">
        <v>190</v>
      </c>
      <c r="HZ506" s="319" t="s">
        <v>190</v>
      </c>
      <c r="IA506" s="319" t="s">
        <v>190</v>
      </c>
      <c r="IB506" s="319" t="s">
        <v>190</v>
      </c>
      <c r="IC506" s="319" t="s">
        <v>190</v>
      </c>
      <c r="ID506" s="319" t="s">
        <v>190</v>
      </c>
      <c r="IE506" s="319" t="s">
        <v>190</v>
      </c>
      <c r="IF506" s="319" t="s">
        <v>190</v>
      </c>
      <c r="IG506" s="319" t="s">
        <v>190</v>
      </c>
      <c r="IH506" s="319" t="s">
        <v>190</v>
      </c>
      <c r="II506" s="319" t="s">
        <v>190</v>
      </c>
      <c r="IJ506" s="319" t="s">
        <v>3271</v>
      </c>
      <c r="IK506" s="321">
        <v>41723</v>
      </c>
      <c r="IL506" s="321">
        <v>41725</v>
      </c>
      <c r="IM506" s="321">
        <v>41760</v>
      </c>
      <c r="IN506" s="319">
        <v>3</v>
      </c>
      <c r="IO506" s="319" t="s">
        <v>173</v>
      </c>
      <c r="IP506" s="319" t="s">
        <v>173</v>
      </c>
      <c r="IQ506" s="321" t="s">
        <v>173</v>
      </c>
      <c r="IR506" s="320" t="s">
        <v>173</v>
      </c>
      <c r="IS506" s="322" t="s">
        <v>173</v>
      </c>
      <c r="IT506" s="319" t="s">
        <v>173</v>
      </c>
    </row>
    <row r="507" spans="1:254" s="271" customFormat="1" x14ac:dyDescent="0.25">
      <c r="A507" s="318" t="str">
        <f>HYPERLINK("http://www.ofsted.gov.uk/inspection-reports/find-inspection-report/provider/ELS/135240 ","Ofsted School Webpage")</f>
        <v>Ofsted School Webpage</v>
      </c>
      <c r="B507" s="319">
        <v>135240</v>
      </c>
      <c r="C507" s="319">
        <v>8506088</v>
      </c>
      <c r="D507" s="319" t="s">
        <v>1904</v>
      </c>
      <c r="E507" s="319" t="s">
        <v>167</v>
      </c>
      <c r="F507" s="319" t="s">
        <v>81</v>
      </c>
      <c r="G507" s="319" t="s">
        <v>81</v>
      </c>
      <c r="H507" s="319" t="s">
        <v>81</v>
      </c>
      <c r="I507" s="319" t="s">
        <v>78</v>
      </c>
      <c r="J507" s="319" t="s">
        <v>424</v>
      </c>
      <c r="K507" s="319" t="s">
        <v>514</v>
      </c>
      <c r="L507" s="319" t="s">
        <v>514</v>
      </c>
      <c r="M507" s="319" t="s">
        <v>515</v>
      </c>
      <c r="N507" s="319" t="s">
        <v>3272</v>
      </c>
      <c r="O507" s="319" t="s">
        <v>1905</v>
      </c>
      <c r="P507" s="319">
        <v>46</v>
      </c>
      <c r="Q507" s="319" t="s">
        <v>2776</v>
      </c>
      <c r="R507" s="320">
        <v>10033952</v>
      </c>
      <c r="S507" s="321">
        <v>43123</v>
      </c>
      <c r="T507" s="321">
        <v>43125</v>
      </c>
      <c r="U507" s="321">
        <v>43166</v>
      </c>
      <c r="V507" s="319" t="s">
        <v>425</v>
      </c>
      <c r="W507" s="319" t="s">
        <v>2767</v>
      </c>
      <c r="X507" s="319">
        <v>1</v>
      </c>
      <c r="Y507" s="319" t="s">
        <v>173</v>
      </c>
      <c r="Z507" s="319" t="s">
        <v>173</v>
      </c>
      <c r="AA507" s="319" t="s">
        <v>173</v>
      </c>
      <c r="AB507" s="319">
        <v>1</v>
      </c>
      <c r="AC507" s="319" t="s">
        <v>169</v>
      </c>
      <c r="AD507" s="319" t="s">
        <v>173</v>
      </c>
      <c r="AE507" s="319">
        <v>1</v>
      </c>
      <c r="AF507" s="319" t="s">
        <v>427</v>
      </c>
      <c r="AG507" s="319" t="s">
        <v>171</v>
      </c>
      <c r="AH507" s="319" t="s">
        <v>190</v>
      </c>
      <c r="AI507" s="319" t="s">
        <v>190</v>
      </c>
      <c r="AJ507" s="319" t="s">
        <v>190</v>
      </c>
      <c r="AK507" s="319" t="s">
        <v>190</v>
      </c>
      <c r="AL507" s="319" t="s">
        <v>190</v>
      </c>
      <c r="AM507" s="319" t="s">
        <v>190</v>
      </c>
      <c r="AN507" s="319" t="s">
        <v>190</v>
      </c>
      <c r="AO507" s="319" t="s">
        <v>190</v>
      </c>
      <c r="AP507" s="319" t="s">
        <v>190</v>
      </c>
      <c r="AQ507" s="319" t="s">
        <v>190</v>
      </c>
      <c r="AR507" s="319" t="s">
        <v>190</v>
      </c>
      <c r="AS507" s="319" t="s">
        <v>190</v>
      </c>
      <c r="AT507" s="319" t="s">
        <v>190</v>
      </c>
      <c r="AU507" s="319" t="s">
        <v>190</v>
      </c>
      <c r="AV507" s="319" t="s">
        <v>190</v>
      </c>
      <c r="AW507" s="319" t="s">
        <v>190</v>
      </c>
      <c r="AX507" s="319" t="s">
        <v>428</v>
      </c>
      <c r="AY507" s="319" t="s">
        <v>190</v>
      </c>
      <c r="AZ507" s="319" t="s">
        <v>190</v>
      </c>
      <c r="BA507" s="319" t="s">
        <v>190</v>
      </c>
      <c r="BB507" s="319" t="s">
        <v>190</v>
      </c>
      <c r="BC507" s="319" t="s">
        <v>190</v>
      </c>
      <c r="BD507" s="319" t="s">
        <v>190</v>
      </c>
      <c r="BE507" s="319" t="s">
        <v>190</v>
      </c>
      <c r="BF507" s="319" t="s">
        <v>428</v>
      </c>
      <c r="BG507" s="319" t="s">
        <v>190</v>
      </c>
      <c r="BH507" s="319" t="s">
        <v>190</v>
      </c>
      <c r="BI507" s="319" t="s">
        <v>190</v>
      </c>
      <c r="BJ507" s="319" t="s">
        <v>190</v>
      </c>
      <c r="BK507" s="319" t="s">
        <v>190</v>
      </c>
      <c r="BL507" s="319" t="s">
        <v>190</v>
      </c>
      <c r="BM507" s="319" t="s">
        <v>190</v>
      </c>
      <c r="BN507" s="319" t="s">
        <v>190</v>
      </c>
      <c r="BO507" s="319" t="s">
        <v>190</v>
      </c>
      <c r="BP507" s="319" t="s">
        <v>190</v>
      </c>
      <c r="BQ507" s="319" t="s">
        <v>190</v>
      </c>
      <c r="BR507" s="319" t="s">
        <v>190</v>
      </c>
      <c r="BS507" s="319" t="s">
        <v>190</v>
      </c>
      <c r="BT507" s="319" t="s">
        <v>190</v>
      </c>
      <c r="BU507" s="319" t="s">
        <v>190</v>
      </c>
      <c r="BV507" s="319" t="s">
        <v>190</v>
      </c>
      <c r="BW507" s="319" t="s">
        <v>190</v>
      </c>
      <c r="BX507" s="319" t="s">
        <v>190</v>
      </c>
      <c r="BY507" s="319" t="s">
        <v>190</v>
      </c>
      <c r="BZ507" s="319" t="s">
        <v>190</v>
      </c>
      <c r="CA507" s="319" t="s">
        <v>190</v>
      </c>
      <c r="CB507" s="319" t="s">
        <v>190</v>
      </c>
      <c r="CC507" s="319" t="s">
        <v>190</v>
      </c>
      <c r="CD507" s="319" t="s">
        <v>190</v>
      </c>
      <c r="CE507" s="319" t="s">
        <v>190</v>
      </c>
      <c r="CF507" s="319" t="s">
        <v>190</v>
      </c>
      <c r="CG507" s="319" t="s">
        <v>190</v>
      </c>
      <c r="CH507" s="319" t="s">
        <v>190</v>
      </c>
      <c r="CI507" s="319" t="s">
        <v>190</v>
      </c>
      <c r="CJ507" s="319" t="s">
        <v>190</v>
      </c>
      <c r="CK507" s="319" t="s">
        <v>190</v>
      </c>
      <c r="CL507" s="319" t="s">
        <v>190</v>
      </c>
      <c r="CM507" s="319" t="s">
        <v>190</v>
      </c>
      <c r="CN507" s="319" t="s">
        <v>190</v>
      </c>
      <c r="CO507" s="319" t="s">
        <v>190</v>
      </c>
      <c r="CP507" s="319" t="s">
        <v>190</v>
      </c>
      <c r="CQ507" s="319" t="s">
        <v>190</v>
      </c>
      <c r="CR507" s="319" t="s">
        <v>190</v>
      </c>
      <c r="CS507" s="319" t="s">
        <v>190</v>
      </c>
      <c r="CT507" s="319" t="s">
        <v>190</v>
      </c>
      <c r="CU507" s="319" t="s">
        <v>190</v>
      </c>
      <c r="CV507" s="319" t="s">
        <v>190</v>
      </c>
      <c r="CW507" s="319" t="s">
        <v>190</v>
      </c>
      <c r="CX507" s="319" t="s">
        <v>190</v>
      </c>
      <c r="CY507" s="319" t="s">
        <v>190</v>
      </c>
      <c r="CZ507" s="319" t="s">
        <v>190</v>
      </c>
      <c r="DA507" s="319" t="s">
        <v>190</v>
      </c>
      <c r="DB507" s="319" t="s">
        <v>190</v>
      </c>
      <c r="DC507" s="319" t="s">
        <v>190</v>
      </c>
      <c r="DD507" s="319" t="s">
        <v>190</v>
      </c>
      <c r="DE507" s="319" t="s">
        <v>190</v>
      </c>
      <c r="DF507" s="319" t="s">
        <v>190</v>
      </c>
      <c r="DG507" s="319" t="s">
        <v>190</v>
      </c>
      <c r="DH507" s="319" t="s">
        <v>190</v>
      </c>
      <c r="DI507" s="319" t="s">
        <v>190</v>
      </c>
      <c r="DJ507" s="319" t="s">
        <v>190</v>
      </c>
      <c r="DK507" s="319" t="s">
        <v>190</v>
      </c>
      <c r="DL507" s="319" t="s">
        <v>190</v>
      </c>
      <c r="DM507" s="319" t="s">
        <v>190</v>
      </c>
      <c r="DN507" s="319" t="s">
        <v>428</v>
      </c>
      <c r="DO507" s="319" t="s">
        <v>190</v>
      </c>
      <c r="DP507" s="319" t="s">
        <v>190</v>
      </c>
      <c r="DQ507" s="319" t="s">
        <v>190</v>
      </c>
      <c r="DR507" s="319" t="s">
        <v>190</v>
      </c>
      <c r="DS507" s="319" t="s">
        <v>190</v>
      </c>
      <c r="DT507" s="319" t="s">
        <v>190</v>
      </c>
      <c r="DU507" s="319" t="s">
        <v>190</v>
      </c>
      <c r="DV507" s="319" t="s">
        <v>173</v>
      </c>
      <c r="DW507" s="319" t="s">
        <v>190</v>
      </c>
      <c r="DX507" s="319" t="s">
        <v>190</v>
      </c>
      <c r="DY507" s="319" t="s">
        <v>190</v>
      </c>
      <c r="DZ507" s="319" t="s">
        <v>190</v>
      </c>
      <c r="EA507" s="319" t="s">
        <v>190</v>
      </c>
      <c r="EB507" s="319" t="s">
        <v>190</v>
      </c>
      <c r="EC507" s="319" t="s">
        <v>428</v>
      </c>
      <c r="ED507" s="319" t="s">
        <v>190</v>
      </c>
      <c r="EE507" s="319" t="s">
        <v>190</v>
      </c>
      <c r="EF507" s="319" t="s">
        <v>190</v>
      </c>
      <c r="EG507" s="319" t="s">
        <v>190</v>
      </c>
      <c r="EH507" s="319" t="s">
        <v>190</v>
      </c>
      <c r="EI507" s="319" t="s">
        <v>190</v>
      </c>
      <c r="EJ507" s="319" t="s">
        <v>190</v>
      </c>
      <c r="EK507" s="319" t="s">
        <v>190</v>
      </c>
      <c r="EL507" s="319" t="s">
        <v>190</v>
      </c>
      <c r="EM507" s="319" t="s">
        <v>190</v>
      </c>
      <c r="EN507" s="319" t="s">
        <v>190</v>
      </c>
      <c r="EO507" s="319" t="s">
        <v>190</v>
      </c>
      <c r="EP507" s="319" t="s">
        <v>190</v>
      </c>
      <c r="EQ507" s="319" t="s">
        <v>190</v>
      </c>
      <c r="ER507" s="319" t="s">
        <v>190</v>
      </c>
      <c r="ES507" s="319" t="s">
        <v>190</v>
      </c>
      <c r="ET507" s="319" t="s">
        <v>190</v>
      </c>
      <c r="EU507" s="319" t="s">
        <v>190</v>
      </c>
      <c r="EV507" s="319" t="s">
        <v>190</v>
      </c>
      <c r="EW507" s="319" t="s">
        <v>190</v>
      </c>
      <c r="EX507" s="319" t="s">
        <v>190</v>
      </c>
      <c r="EY507" s="319" t="s">
        <v>190</v>
      </c>
      <c r="EZ507" s="319" t="s">
        <v>190</v>
      </c>
      <c r="FA507" s="319" t="s">
        <v>190</v>
      </c>
      <c r="FB507" s="319" t="s">
        <v>190</v>
      </c>
      <c r="FC507" s="319" t="s">
        <v>190</v>
      </c>
      <c r="FD507" s="319" t="s">
        <v>190</v>
      </c>
      <c r="FE507" s="319" t="s">
        <v>190</v>
      </c>
      <c r="FF507" s="319" t="s">
        <v>190</v>
      </c>
      <c r="FG507" s="319" t="s">
        <v>190</v>
      </c>
      <c r="FH507" s="319" t="s">
        <v>190</v>
      </c>
      <c r="FI507" s="319" t="s">
        <v>190</v>
      </c>
      <c r="FJ507" s="319" t="s">
        <v>190</v>
      </c>
      <c r="FK507" s="319" t="s">
        <v>190</v>
      </c>
      <c r="FL507" s="319" t="s">
        <v>190</v>
      </c>
      <c r="FM507" s="319" t="s">
        <v>190</v>
      </c>
      <c r="FN507" s="319" t="s">
        <v>190</v>
      </c>
      <c r="FO507" s="319" t="s">
        <v>190</v>
      </c>
      <c r="FP507" s="319" t="s">
        <v>190</v>
      </c>
      <c r="FQ507" s="319" t="s">
        <v>190</v>
      </c>
      <c r="FR507" s="319" t="s">
        <v>190</v>
      </c>
      <c r="FS507" s="319" t="s">
        <v>190</v>
      </c>
      <c r="FT507" s="319" t="s">
        <v>190</v>
      </c>
      <c r="FU507" s="319" t="s">
        <v>190</v>
      </c>
      <c r="FV507" s="319" t="s">
        <v>190</v>
      </c>
      <c r="FW507" s="319" t="s">
        <v>190</v>
      </c>
      <c r="FX507" s="319" t="s">
        <v>190</v>
      </c>
      <c r="FY507" s="319" t="s">
        <v>190</v>
      </c>
      <c r="FZ507" s="319" t="s">
        <v>190</v>
      </c>
      <c r="GA507" s="319" t="s">
        <v>190</v>
      </c>
      <c r="GB507" s="319" t="s">
        <v>190</v>
      </c>
      <c r="GC507" s="319" t="s">
        <v>190</v>
      </c>
      <c r="GD507" s="319" t="s">
        <v>190</v>
      </c>
      <c r="GE507" s="319" t="s">
        <v>190</v>
      </c>
      <c r="GF507" s="319" t="s">
        <v>190</v>
      </c>
      <c r="GG507" s="319" t="s">
        <v>190</v>
      </c>
      <c r="GH507" s="319" t="s">
        <v>190</v>
      </c>
      <c r="GI507" s="319" t="s">
        <v>190</v>
      </c>
      <c r="GJ507" s="319" t="s">
        <v>190</v>
      </c>
      <c r="GK507" s="319" t="s">
        <v>190</v>
      </c>
      <c r="GL507" s="319" t="s">
        <v>190</v>
      </c>
      <c r="GM507" s="319" t="s">
        <v>190</v>
      </c>
      <c r="GN507" s="319" t="s">
        <v>190</v>
      </c>
      <c r="GO507" s="319" t="s">
        <v>190</v>
      </c>
      <c r="GP507" s="319" t="s">
        <v>190</v>
      </c>
      <c r="GQ507" s="319" t="s">
        <v>190</v>
      </c>
      <c r="GR507" s="319" t="s">
        <v>190</v>
      </c>
      <c r="GS507" s="319" t="s">
        <v>190</v>
      </c>
      <c r="GT507" s="319" t="s">
        <v>190</v>
      </c>
      <c r="GU507" s="319" t="s">
        <v>190</v>
      </c>
      <c r="GV507" s="319" t="s">
        <v>190</v>
      </c>
      <c r="GW507" s="319" t="s">
        <v>190</v>
      </c>
      <c r="GX507" s="319" t="s">
        <v>190</v>
      </c>
      <c r="GY507" s="319" t="s">
        <v>190</v>
      </c>
      <c r="GZ507" s="319" t="s">
        <v>190</v>
      </c>
      <c r="HA507" s="319" t="s">
        <v>190</v>
      </c>
      <c r="HB507" s="319" t="s">
        <v>190</v>
      </c>
      <c r="HC507" s="319" t="s">
        <v>190</v>
      </c>
      <c r="HD507" s="319" t="s">
        <v>190</v>
      </c>
      <c r="HE507" s="319" t="s">
        <v>190</v>
      </c>
      <c r="HF507" s="319" t="s">
        <v>190</v>
      </c>
      <c r="HG507" s="319" t="s">
        <v>190</v>
      </c>
      <c r="HH507" s="319" t="s">
        <v>190</v>
      </c>
      <c r="HI507" s="319" t="s">
        <v>190</v>
      </c>
      <c r="HJ507" s="319" t="s">
        <v>190</v>
      </c>
      <c r="HK507" s="319" t="s">
        <v>190</v>
      </c>
      <c r="HL507" s="319" t="s">
        <v>190</v>
      </c>
      <c r="HM507" s="319" t="s">
        <v>190</v>
      </c>
      <c r="HN507" s="319" t="s">
        <v>190</v>
      </c>
      <c r="HO507" s="319" t="s">
        <v>190</v>
      </c>
      <c r="HP507" s="319" t="s">
        <v>190</v>
      </c>
      <c r="HQ507" s="319" t="s">
        <v>190</v>
      </c>
      <c r="HR507" s="319" t="s">
        <v>190</v>
      </c>
      <c r="HS507" s="319" t="s">
        <v>190</v>
      </c>
      <c r="HT507" s="319" t="s">
        <v>190</v>
      </c>
      <c r="HU507" s="319" t="s">
        <v>190</v>
      </c>
      <c r="HV507" s="319" t="s">
        <v>190</v>
      </c>
      <c r="HW507" s="319" t="s">
        <v>190</v>
      </c>
      <c r="HX507" s="319" t="s">
        <v>190</v>
      </c>
      <c r="HY507" s="319" t="s">
        <v>190</v>
      </c>
      <c r="HZ507" s="319" t="s">
        <v>190</v>
      </c>
      <c r="IA507" s="319" t="s">
        <v>190</v>
      </c>
      <c r="IB507" s="319" t="s">
        <v>190</v>
      </c>
      <c r="IC507" s="319" t="s">
        <v>190</v>
      </c>
      <c r="ID507" s="319" t="s">
        <v>190</v>
      </c>
      <c r="IE507" s="319" t="s">
        <v>190</v>
      </c>
      <c r="IF507" s="319" t="s">
        <v>190</v>
      </c>
      <c r="IG507" s="319" t="s">
        <v>190</v>
      </c>
      <c r="IH507" s="319" t="s">
        <v>190</v>
      </c>
      <c r="II507" s="319" t="s">
        <v>190</v>
      </c>
      <c r="IJ507" s="319" t="s">
        <v>3273</v>
      </c>
      <c r="IK507" s="321">
        <v>41710</v>
      </c>
      <c r="IL507" s="321">
        <v>41712</v>
      </c>
      <c r="IM507" s="321">
        <v>41732</v>
      </c>
      <c r="IN507" s="319">
        <v>2</v>
      </c>
      <c r="IO507" s="319" t="s">
        <v>173</v>
      </c>
      <c r="IP507" s="319" t="s">
        <v>173</v>
      </c>
      <c r="IQ507" s="321" t="s">
        <v>173</v>
      </c>
      <c r="IR507" s="320" t="s">
        <v>173</v>
      </c>
      <c r="IS507" s="322" t="s">
        <v>173</v>
      </c>
      <c r="IT507" s="319" t="s">
        <v>173</v>
      </c>
    </row>
    <row r="508" spans="1:254" s="271" customFormat="1" x14ac:dyDescent="0.25">
      <c r="A508" s="318" t="str">
        <f>HYPERLINK("http://www.ofsted.gov.uk/inspection-reports/find-inspection-report/provider/ELS/135241 ","Ofsted School Webpage")</f>
        <v>Ofsted School Webpage</v>
      </c>
      <c r="B508" s="319">
        <v>135241</v>
      </c>
      <c r="C508" s="319">
        <v>8306035</v>
      </c>
      <c r="D508" s="319" t="s">
        <v>505</v>
      </c>
      <c r="E508" s="319" t="s">
        <v>168</v>
      </c>
      <c r="F508" s="319" t="s">
        <v>81</v>
      </c>
      <c r="G508" s="319" t="s">
        <v>81</v>
      </c>
      <c r="H508" s="319" t="s">
        <v>81</v>
      </c>
      <c r="I508" s="319" t="s">
        <v>78</v>
      </c>
      <c r="J508" s="319" t="s">
        <v>424</v>
      </c>
      <c r="K508" s="319" t="s">
        <v>506</v>
      </c>
      <c r="L508" s="319" t="s">
        <v>506</v>
      </c>
      <c r="M508" s="319" t="s">
        <v>507</v>
      </c>
      <c r="N508" s="319" t="s">
        <v>3274</v>
      </c>
      <c r="O508" s="319" t="s">
        <v>508</v>
      </c>
      <c r="P508" s="319">
        <v>5</v>
      </c>
      <c r="Q508" s="319" t="s">
        <v>429</v>
      </c>
      <c r="R508" s="320">
        <v>10053978</v>
      </c>
      <c r="S508" s="321">
        <v>43375</v>
      </c>
      <c r="T508" s="321">
        <v>43377</v>
      </c>
      <c r="U508" s="321">
        <v>43415</v>
      </c>
      <c r="V508" s="319" t="s">
        <v>425</v>
      </c>
      <c r="W508" s="319" t="s">
        <v>2767</v>
      </c>
      <c r="X508" s="319">
        <v>1</v>
      </c>
      <c r="Y508" s="319" t="s">
        <v>173</v>
      </c>
      <c r="Z508" s="319" t="s">
        <v>173</v>
      </c>
      <c r="AA508" s="319" t="s">
        <v>173</v>
      </c>
      <c r="AB508" s="319">
        <v>1</v>
      </c>
      <c r="AC508" s="319" t="s">
        <v>169</v>
      </c>
      <c r="AD508" s="319" t="s">
        <v>173</v>
      </c>
      <c r="AE508" s="319" t="s">
        <v>173</v>
      </c>
      <c r="AF508" s="319" t="s">
        <v>427</v>
      </c>
      <c r="AG508" s="319" t="s">
        <v>171</v>
      </c>
      <c r="AH508" s="319" t="s">
        <v>190</v>
      </c>
      <c r="AI508" s="319" t="s">
        <v>190</v>
      </c>
      <c r="AJ508" s="319" t="s">
        <v>190</v>
      </c>
      <c r="AK508" s="319" t="s">
        <v>190</v>
      </c>
      <c r="AL508" s="319" t="s">
        <v>190</v>
      </c>
      <c r="AM508" s="319" t="s">
        <v>190</v>
      </c>
      <c r="AN508" s="319" t="s">
        <v>190</v>
      </c>
      <c r="AO508" s="319" t="s">
        <v>190</v>
      </c>
      <c r="AP508" s="319" t="s">
        <v>190</v>
      </c>
      <c r="AQ508" s="319" t="s">
        <v>190</v>
      </c>
      <c r="AR508" s="319" t="s">
        <v>190</v>
      </c>
      <c r="AS508" s="319" t="s">
        <v>190</v>
      </c>
      <c r="AT508" s="319" t="s">
        <v>190</v>
      </c>
      <c r="AU508" s="319" t="s">
        <v>190</v>
      </c>
      <c r="AV508" s="319" t="s">
        <v>190</v>
      </c>
      <c r="AW508" s="319" t="s">
        <v>190</v>
      </c>
      <c r="AX508" s="319" t="s">
        <v>428</v>
      </c>
      <c r="AY508" s="319" t="s">
        <v>190</v>
      </c>
      <c r="AZ508" s="319" t="s">
        <v>190</v>
      </c>
      <c r="BA508" s="319" t="s">
        <v>190</v>
      </c>
      <c r="BB508" s="319" t="s">
        <v>190</v>
      </c>
      <c r="BC508" s="319" t="s">
        <v>190</v>
      </c>
      <c r="BD508" s="319" t="s">
        <v>190</v>
      </c>
      <c r="BE508" s="319" t="s">
        <v>190</v>
      </c>
      <c r="BF508" s="319" t="s">
        <v>428</v>
      </c>
      <c r="BG508" s="319" t="s">
        <v>190</v>
      </c>
      <c r="BH508" s="319" t="s">
        <v>190</v>
      </c>
      <c r="BI508" s="319" t="s">
        <v>190</v>
      </c>
      <c r="BJ508" s="319" t="s">
        <v>190</v>
      </c>
      <c r="BK508" s="319" t="s">
        <v>190</v>
      </c>
      <c r="BL508" s="319" t="s">
        <v>190</v>
      </c>
      <c r="BM508" s="319" t="s">
        <v>190</v>
      </c>
      <c r="BN508" s="319" t="s">
        <v>190</v>
      </c>
      <c r="BO508" s="319" t="s">
        <v>190</v>
      </c>
      <c r="BP508" s="319" t="s">
        <v>190</v>
      </c>
      <c r="BQ508" s="319" t="s">
        <v>190</v>
      </c>
      <c r="BR508" s="319" t="s">
        <v>190</v>
      </c>
      <c r="BS508" s="319" t="s">
        <v>190</v>
      </c>
      <c r="BT508" s="319" t="s">
        <v>190</v>
      </c>
      <c r="BU508" s="319" t="s">
        <v>190</v>
      </c>
      <c r="BV508" s="319" t="s">
        <v>190</v>
      </c>
      <c r="BW508" s="319" t="s">
        <v>190</v>
      </c>
      <c r="BX508" s="319" t="s">
        <v>190</v>
      </c>
      <c r="BY508" s="319" t="s">
        <v>190</v>
      </c>
      <c r="BZ508" s="319" t="s">
        <v>190</v>
      </c>
      <c r="CA508" s="319" t="s">
        <v>190</v>
      </c>
      <c r="CB508" s="319" t="s">
        <v>190</v>
      </c>
      <c r="CC508" s="319" t="s">
        <v>190</v>
      </c>
      <c r="CD508" s="319" t="s">
        <v>190</v>
      </c>
      <c r="CE508" s="319" t="s">
        <v>190</v>
      </c>
      <c r="CF508" s="319" t="s">
        <v>190</v>
      </c>
      <c r="CG508" s="319" t="s">
        <v>190</v>
      </c>
      <c r="CH508" s="319" t="s">
        <v>190</v>
      </c>
      <c r="CI508" s="319" t="s">
        <v>190</v>
      </c>
      <c r="CJ508" s="319" t="s">
        <v>190</v>
      </c>
      <c r="CK508" s="319" t="s">
        <v>190</v>
      </c>
      <c r="CL508" s="319" t="s">
        <v>190</v>
      </c>
      <c r="CM508" s="319" t="s">
        <v>190</v>
      </c>
      <c r="CN508" s="319" t="s">
        <v>428</v>
      </c>
      <c r="CO508" s="319" t="s">
        <v>428</v>
      </c>
      <c r="CP508" s="319" t="s">
        <v>428</v>
      </c>
      <c r="CQ508" s="319" t="s">
        <v>190</v>
      </c>
      <c r="CR508" s="319" t="s">
        <v>190</v>
      </c>
      <c r="CS508" s="319" t="s">
        <v>190</v>
      </c>
      <c r="CT508" s="319" t="s">
        <v>190</v>
      </c>
      <c r="CU508" s="319" t="s">
        <v>190</v>
      </c>
      <c r="CV508" s="319" t="s">
        <v>190</v>
      </c>
      <c r="CW508" s="319" t="s">
        <v>190</v>
      </c>
      <c r="CX508" s="319" t="s">
        <v>190</v>
      </c>
      <c r="CY508" s="319" t="s">
        <v>190</v>
      </c>
      <c r="CZ508" s="319" t="s">
        <v>190</v>
      </c>
      <c r="DA508" s="319" t="s">
        <v>190</v>
      </c>
      <c r="DB508" s="319" t="s">
        <v>190</v>
      </c>
      <c r="DC508" s="319" t="s">
        <v>190</v>
      </c>
      <c r="DD508" s="319" t="s">
        <v>190</v>
      </c>
      <c r="DE508" s="319" t="s">
        <v>190</v>
      </c>
      <c r="DF508" s="319" t="s">
        <v>190</v>
      </c>
      <c r="DG508" s="319" t="s">
        <v>190</v>
      </c>
      <c r="DH508" s="319" t="s">
        <v>190</v>
      </c>
      <c r="DI508" s="319" t="s">
        <v>190</v>
      </c>
      <c r="DJ508" s="319" t="s">
        <v>190</v>
      </c>
      <c r="DK508" s="319" t="s">
        <v>190</v>
      </c>
      <c r="DL508" s="319" t="s">
        <v>190</v>
      </c>
      <c r="DM508" s="319" t="s">
        <v>190</v>
      </c>
      <c r="DN508" s="319" t="s">
        <v>428</v>
      </c>
      <c r="DO508" s="319" t="s">
        <v>190</v>
      </c>
      <c r="DP508" s="319" t="s">
        <v>428</v>
      </c>
      <c r="DQ508" s="319" t="s">
        <v>428</v>
      </c>
      <c r="DR508" s="319" t="s">
        <v>428</v>
      </c>
      <c r="DS508" s="319" t="s">
        <v>428</v>
      </c>
      <c r="DT508" s="319" t="s">
        <v>428</v>
      </c>
      <c r="DU508" s="319" t="s">
        <v>428</v>
      </c>
      <c r="DV508" s="319" t="s">
        <v>173</v>
      </c>
      <c r="DW508" s="319" t="s">
        <v>428</v>
      </c>
      <c r="DX508" s="319" t="s">
        <v>428</v>
      </c>
      <c r="DY508" s="319" t="s">
        <v>428</v>
      </c>
      <c r="DZ508" s="319" t="s">
        <v>428</v>
      </c>
      <c r="EA508" s="319" t="s">
        <v>428</v>
      </c>
      <c r="EB508" s="319" t="s">
        <v>428</v>
      </c>
      <c r="EC508" s="319" t="s">
        <v>428</v>
      </c>
      <c r="ED508" s="319" t="s">
        <v>428</v>
      </c>
      <c r="EE508" s="319" t="s">
        <v>190</v>
      </c>
      <c r="EF508" s="319" t="s">
        <v>190</v>
      </c>
      <c r="EG508" s="319" t="s">
        <v>190</v>
      </c>
      <c r="EH508" s="319" t="s">
        <v>190</v>
      </c>
      <c r="EI508" s="319" t="s">
        <v>190</v>
      </c>
      <c r="EJ508" s="319" t="s">
        <v>190</v>
      </c>
      <c r="EK508" s="319" t="s">
        <v>190</v>
      </c>
      <c r="EL508" s="319" t="s">
        <v>190</v>
      </c>
      <c r="EM508" s="319" t="s">
        <v>190</v>
      </c>
      <c r="EN508" s="319" t="s">
        <v>190</v>
      </c>
      <c r="EO508" s="319" t="s">
        <v>190</v>
      </c>
      <c r="EP508" s="319" t="s">
        <v>190</v>
      </c>
      <c r="EQ508" s="319" t="s">
        <v>190</v>
      </c>
      <c r="ER508" s="319" t="s">
        <v>190</v>
      </c>
      <c r="ES508" s="319" t="s">
        <v>190</v>
      </c>
      <c r="ET508" s="319" t="s">
        <v>190</v>
      </c>
      <c r="EU508" s="319" t="s">
        <v>190</v>
      </c>
      <c r="EV508" s="319" t="s">
        <v>190</v>
      </c>
      <c r="EW508" s="319" t="s">
        <v>190</v>
      </c>
      <c r="EX508" s="319" t="s">
        <v>190</v>
      </c>
      <c r="EY508" s="319" t="s">
        <v>190</v>
      </c>
      <c r="EZ508" s="319" t="s">
        <v>190</v>
      </c>
      <c r="FA508" s="319" t="s">
        <v>190</v>
      </c>
      <c r="FB508" s="319" t="s">
        <v>428</v>
      </c>
      <c r="FC508" s="319" t="s">
        <v>428</v>
      </c>
      <c r="FD508" s="319" t="s">
        <v>428</v>
      </c>
      <c r="FE508" s="319" t="s">
        <v>428</v>
      </c>
      <c r="FF508" s="319" t="s">
        <v>428</v>
      </c>
      <c r="FG508" s="319" t="s">
        <v>428</v>
      </c>
      <c r="FH508" s="319" t="s">
        <v>428</v>
      </c>
      <c r="FI508" s="319" t="s">
        <v>190</v>
      </c>
      <c r="FJ508" s="319" t="s">
        <v>190</v>
      </c>
      <c r="FK508" s="319" t="s">
        <v>190</v>
      </c>
      <c r="FL508" s="319" t="s">
        <v>190</v>
      </c>
      <c r="FM508" s="319" t="s">
        <v>190</v>
      </c>
      <c r="FN508" s="319" t="s">
        <v>428</v>
      </c>
      <c r="FO508" s="319" t="s">
        <v>190</v>
      </c>
      <c r="FP508" s="319" t="s">
        <v>190</v>
      </c>
      <c r="FQ508" s="319" t="s">
        <v>190</v>
      </c>
      <c r="FR508" s="319" t="s">
        <v>190</v>
      </c>
      <c r="FS508" s="319" t="s">
        <v>190</v>
      </c>
      <c r="FT508" s="319" t="s">
        <v>190</v>
      </c>
      <c r="FU508" s="319" t="s">
        <v>190</v>
      </c>
      <c r="FV508" s="319" t="s">
        <v>190</v>
      </c>
      <c r="FW508" s="319" t="s">
        <v>190</v>
      </c>
      <c r="FX508" s="319" t="s">
        <v>190</v>
      </c>
      <c r="FY508" s="319" t="s">
        <v>190</v>
      </c>
      <c r="FZ508" s="319" t="s">
        <v>190</v>
      </c>
      <c r="GA508" s="319" t="s">
        <v>190</v>
      </c>
      <c r="GB508" s="319" t="s">
        <v>190</v>
      </c>
      <c r="GC508" s="319" t="s">
        <v>190</v>
      </c>
      <c r="GD508" s="319" t="s">
        <v>190</v>
      </c>
      <c r="GE508" s="319" t="s">
        <v>190</v>
      </c>
      <c r="GF508" s="319" t="s">
        <v>190</v>
      </c>
      <c r="GG508" s="319" t="s">
        <v>190</v>
      </c>
      <c r="GH508" s="319" t="s">
        <v>190</v>
      </c>
      <c r="GI508" s="319" t="s">
        <v>190</v>
      </c>
      <c r="GJ508" s="319" t="s">
        <v>190</v>
      </c>
      <c r="GK508" s="319" t="s">
        <v>428</v>
      </c>
      <c r="GL508" s="319" t="s">
        <v>190</v>
      </c>
      <c r="GM508" s="319" t="s">
        <v>190</v>
      </c>
      <c r="GN508" s="319" t="s">
        <v>190</v>
      </c>
      <c r="GO508" s="319" t="s">
        <v>190</v>
      </c>
      <c r="GP508" s="319" t="s">
        <v>190</v>
      </c>
      <c r="GQ508" s="319" t="s">
        <v>428</v>
      </c>
      <c r="GR508" s="319" t="s">
        <v>190</v>
      </c>
      <c r="GS508" s="319" t="s">
        <v>190</v>
      </c>
      <c r="GT508" s="319" t="s">
        <v>190</v>
      </c>
      <c r="GU508" s="319" t="s">
        <v>428</v>
      </c>
      <c r="GV508" s="319" t="s">
        <v>190</v>
      </c>
      <c r="GW508" s="319" t="s">
        <v>190</v>
      </c>
      <c r="GX508" s="319" t="s">
        <v>190</v>
      </c>
      <c r="GY508" s="319" t="s">
        <v>190</v>
      </c>
      <c r="GZ508" s="319" t="s">
        <v>428</v>
      </c>
      <c r="HA508" s="319" t="s">
        <v>190</v>
      </c>
      <c r="HB508" s="319" t="s">
        <v>428</v>
      </c>
      <c r="HC508" s="319" t="s">
        <v>190</v>
      </c>
      <c r="HD508" s="319" t="s">
        <v>190</v>
      </c>
      <c r="HE508" s="319" t="s">
        <v>190</v>
      </c>
      <c r="HF508" s="319" t="s">
        <v>428</v>
      </c>
      <c r="HG508" s="319" t="s">
        <v>190</v>
      </c>
      <c r="HH508" s="319" t="s">
        <v>190</v>
      </c>
      <c r="HI508" s="319" t="s">
        <v>190</v>
      </c>
      <c r="HJ508" s="319" t="s">
        <v>190</v>
      </c>
      <c r="HK508" s="319" t="s">
        <v>190</v>
      </c>
      <c r="HL508" s="319" t="s">
        <v>428</v>
      </c>
      <c r="HM508" s="319" t="s">
        <v>428</v>
      </c>
      <c r="HN508" s="319" t="s">
        <v>428</v>
      </c>
      <c r="HO508" s="319" t="s">
        <v>428</v>
      </c>
      <c r="HP508" s="319" t="s">
        <v>190</v>
      </c>
      <c r="HQ508" s="319" t="s">
        <v>190</v>
      </c>
      <c r="HR508" s="319" t="s">
        <v>190</v>
      </c>
      <c r="HS508" s="319" t="s">
        <v>190</v>
      </c>
      <c r="HT508" s="319" t="s">
        <v>190</v>
      </c>
      <c r="HU508" s="319" t="s">
        <v>190</v>
      </c>
      <c r="HV508" s="319" t="s">
        <v>190</v>
      </c>
      <c r="HW508" s="319" t="s">
        <v>190</v>
      </c>
      <c r="HX508" s="319" t="s">
        <v>190</v>
      </c>
      <c r="HY508" s="319" t="s">
        <v>190</v>
      </c>
      <c r="HZ508" s="319" t="s">
        <v>190</v>
      </c>
      <c r="IA508" s="319" t="s">
        <v>190</v>
      </c>
      <c r="IB508" s="319" t="s">
        <v>190</v>
      </c>
      <c r="IC508" s="319" t="s">
        <v>190</v>
      </c>
      <c r="ID508" s="319" t="s">
        <v>190</v>
      </c>
      <c r="IE508" s="319" t="s">
        <v>190</v>
      </c>
      <c r="IF508" s="319" t="s">
        <v>190</v>
      </c>
      <c r="IG508" s="319" t="s">
        <v>190</v>
      </c>
      <c r="IH508" s="319" t="s">
        <v>190</v>
      </c>
      <c r="II508" s="319" t="s">
        <v>190</v>
      </c>
      <c r="IJ508" s="319">
        <v>10006017</v>
      </c>
      <c r="IK508" s="321">
        <v>42332</v>
      </c>
      <c r="IL508" s="321">
        <v>42333</v>
      </c>
      <c r="IM508" s="321">
        <v>42355</v>
      </c>
      <c r="IN508" s="319">
        <v>1</v>
      </c>
      <c r="IO508" s="319" t="s">
        <v>173</v>
      </c>
      <c r="IP508" s="319" t="s">
        <v>173</v>
      </c>
      <c r="IQ508" s="321" t="s">
        <v>173</v>
      </c>
      <c r="IR508" s="320" t="s">
        <v>173</v>
      </c>
      <c r="IS508" s="322" t="s">
        <v>173</v>
      </c>
      <c r="IT508" s="319" t="s">
        <v>173</v>
      </c>
    </row>
    <row r="509" spans="1:254" s="271" customFormat="1" x14ac:dyDescent="0.25">
      <c r="A509" s="318" t="str">
        <f>HYPERLINK("http://www.ofsted.gov.uk/inspection-reports/find-inspection-report/provider/ELS/135247 ","Ofsted School Webpage")</f>
        <v>Ofsted School Webpage</v>
      </c>
      <c r="B509" s="319">
        <v>135247</v>
      </c>
      <c r="C509" s="319">
        <v>8136005</v>
      </c>
      <c r="D509" s="319" t="s">
        <v>1906</v>
      </c>
      <c r="E509" s="319" t="s">
        <v>168</v>
      </c>
      <c r="F509" s="319" t="s">
        <v>81</v>
      </c>
      <c r="G509" s="319" t="s">
        <v>81</v>
      </c>
      <c r="H509" s="319" t="s">
        <v>81</v>
      </c>
      <c r="I509" s="319" t="s">
        <v>78</v>
      </c>
      <c r="J509" s="319" t="s">
        <v>424</v>
      </c>
      <c r="K509" s="319" t="s">
        <v>458</v>
      </c>
      <c r="L509" s="319" t="s">
        <v>459</v>
      </c>
      <c r="M509" s="319" t="s">
        <v>1803</v>
      </c>
      <c r="N509" s="319" t="s">
        <v>3275</v>
      </c>
      <c r="O509" s="319" t="s">
        <v>1907</v>
      </c>
      <c r="P509" s="319">
        <v>64</v>
      </c>
      <c r="Q509" s="319" t="s">
        <v>429</v>
      </c>
      <c r="R509" s="320">
        <v>10077928</v>
      </c>
      <c r="S509" s="321">
        <v>43599</v>
      </c>
      <c r="T509" s="321">
        <v>43601</v>
      </c>
      <c r="U509" s="321">
        <v>43627</v>
      </c>
      <c r="V509" s="319" t="s">
        <v>425</v>
      </c>
      <c r="W509" s="319" t="s">
        <v>2767</v>
      </c>
      <c r="X509" s="319">
        <v>2</v>
      </c>
      <c r="Y509" s="319" t="s">
        <v>173</v>
      </c>
      <c r="Z509" s="319" t="s">
        <v>173</v>
      </c>
      <c r="AA509" s="319" t="s">
        <v>173</v>
      </c>
      <c r="AB509" s="319">
        <v>2</v>
      </c>
      <c r="AC509" s="319" t="s">
        <v>169</v>
      </c>
      <c r="AD509" s="319" t="s">
        <v>173</v>
      </c>
      <c r="AE509" s="319" t="s">
        <v>173</v>
      </c>
      <c r="AF509" s="319" t="s">
        <v>427</v>
      </c>
      <c r="AG509" s="319" t="s">
        <v>171</v>
      </c>
      <c r="AH509" s="319" t="s">
        <v>190</v>
      </c>
      <c r="AI509" s="319" t="s">
        <v>190</v>
      </c>
      <c r="AJ509" s="319" t="s">
        <v>190</v>
      </c>
      <c r="AK509" s="319" t="s">
        <v>190</v>
      </c>
      <c r="AL509" s="319" t="s">
        <v>190</v>
      </c>
      <c r="AM509" s="319" t="s">
        <v>190</v>
      </c>
      <c r="AN509" s="319" t="s">
        <v>190</v>
      </c>
      <c r="AO509" s="319" t="s">
        <v>190</v>
      </c>
      <c r="AP509" s="319" t="s">
        <v>190</v>
      </c>
      <c r="AQ509" s="319" t="s">
        <v>190</v>
      </c>
      <c r="AR509" s="319" t="s">
        <v>190</v>
      </c>
      <c r="AS509" s="319" t="s">
        <v>190</v>
      </c>
      <c r="AT509" s="319" t="s">
        <v>190</v>
      </c>
      <c r="AU509" s="319" t="s">
        <v>190</v>
      </c>
      <c r="AV509" s="319" t="s">
        <v>190</v>
      </c>
      <c r="AW509" s="319" t="s">
        <v>190</v>
      </c>
      <c r="AX509" s="319" t="s">
        <v>190</v>
      </c>
      <c r="AY509" s="319" t="s">
        <v>190</v>
      </c>
      <c r="AZ509" s="319" t="s">
        <v>190</v>
      </c>
      <c r="BA509" s="319" t="s">
        <v>190</v>
      </c>
      <c r="BB509" s="319" t="s">
        <v>190</v>
      </c>
      <c r="BC509" s="319" t="s">
        <v>190</v>
      </c>
      <c r="BD509" s="319" t="s">
        <v>190</v>
      </c>
      <c r="BE509" s="319" t="s">
        <v>190</v>
      </c>
      <c r="BF509" s="319" t="s">
        <v>428</v>
      </c>
      <c r="BG509" s="319" t="s">
        <v>190</v>
      </c>
      <c r="BH509" s="319" t="s">
        <v>190</v>
      </c>
      <c r="BI509" s="319" t="s">
        <v>190</v>
      </c>
      <c r="BJ509" s="319" t="s">
        <v>190</v>
      </c>
      <c r="BK509" s="319" t="s">
        <v>190</v>
      </c>
      <c r="BL509" s="319" t="s">
        <v>190</v>
      </c>
      <c r="BM509" s="319" t="s">
        <v>190</v>
      </c>
      <c r="BN509" s="319" t="s">
        <v>190</v>
      </c>
      <c r="BO509" s="319" t="s">
        <v>190</v>
      </c>
      <c r="BP509" s="319" t="s">
        <v>190</v>
      </c>
      <c r="BQ509" s="319" t="s">
        <v>190</v>
      </c>
      <c r="BR509" s="319" t="s">
        <v>190</v>
      </c>
      <c r="BS509" s="319" t="s">
        <v>190</v>
      </c>
      <c r="BT509" s="319" t="s">
        <v>190</v>
      </c>
      <c r="BU509" s="319" t="s">
        <v>190</v>
      </c>
      <c r="BV509" s="319" t="s">
        <v>190</v>
      </c>
      <c r="BW509" s="319" t="s">
        <v>190</v>
      </c>
      <c r="BX509" s="319" t="s">
        <v>190</v>
      </c>
      <c r="BY509" s="319" t="s">
        <v>190</v>
      </c>
      <c r="BZ509" s="319" t="s">
        <v>190</v>
      </c>
      <c r="CA509" s="319" t="s">
        <v>190</v>
      </c>
      <c r="CB509" s="319" t="s">
        <v>190</v>
      </c>
      <c r="CC509" s="319" t="s">
        <v>190</v>
      </c>
      <c r="CD509" s="319" t="s">
        <v>190</v>
      </c>
      <c r="CE509" s="319" t="s">
        <v>190</v>
      </c>
      <c r="CF509" s="319" t="s">
        <v>190</v>
      </c>
      <c r="CG509" s="319" t="s">
        <v>190</v>
      </c>
      <c r="CH509" s="319" t="s">
        <v>190</v>
      </c>
      <c r="CI509" s="319" t="s">
        <v>190</v>
      </c>
      <c r="CJ509" s="319" t="s">
        <v>190</v>
      </c>
      <c r="CK509" s="319" t="s">
        <v>190</v>
      </c>
      <c r="CL509" s="319" t="s">
        <v>190</v>
      </c>
      <c r="CM509" s="319" t="s">
        <v>190</v>
      </c>
      <c r="CN509" s="319" t="s">
        <v>428</v>
      </c>
      <c r="CO509" s="319" t="s">
        <v>428</v>
      </c>
      <c r="CP509" s="319" t="s">
        <v>428</v>
      </c>
      <c r="CQ509" s="319" t="s">
        <v>190</v>
      </c>
      <c r="CR509" s="319" t="s">
        <v>190</v>
      </c>
      <c r="CS509" s="319" t="s">
        <v>190</v>
      </c>
      <c r="CT509" s="319" t="s">
        <v>190</v>
      </c>
      <c r="CU509" s="319" t="s">
        <v>190</v>
      </c>
      <c r="CV509" s="319" t="s">
        <v>190</v>
      </c>
      <c r="CW509" s="319" t="s">
        <v>190</v>
      </c>
      <c r="CX509" s="319" t="s">
        <v>190</v>
      </c>
      <c r="CY509" s="319" t="s">
        <v>190</v>
      </c>
      <c r="CZ509" s="319" t="s">
        <v>190</v>
      </c>
      <c r="DA509" s="319" t="s">
        <v>190</v>
      </c>
      <c r="DB509" s="319" t="s">
        <v>190</v>
      </c>
      <c r="DC509" s="319" t="s">
        <v>190</v>
      </c>
      <c r="DD509" s="319" t="s">
        <v>190</v>
      </c>
      <c r="DE509" s="319" t="s">
        <v>190</v>
      </c>
      <c r="DF509" s="319" t="s">
        <v>190</v>
      </c>
      <c r="DG509" s="319" t="s">
        <v>190</v>
      </c>
      <c r="DH509" s="319" t="s">
        <v>190</v>
      </c>
      <c r="DI509" s="319" t="s">
        <v>190</v>
      </c>
      <c r="DJ509" s="319" t="s">
        <v>190</v>
      </c>
      <c r="DK509" s="319" t="s">
        <v>190</v>
      </c>
      <c r="DL509" s="319" t="s">
        <v>190</v>
      </c>
      <c r="DM509" s="319" t="s">
        <v>190</v>
      </c>
      <c r="DN509" s="319" t="s">
        <v>190</v>
      </c>
      <c r="DO509" s="319" t="s">
        <v>190</v>
      </c>
      <c r="DP509" s="319" t="s">
        <v>190</v>
      </c>
      <c r="DQ509" s="319" t="s">
        <v>190</v>
      </c>
      <c r="DR509" s="319" t="s">
        <v>190</v>
      </c>
      <c r="DS509" s="319" t="s">
        <v>190</v>
      </c>
      <c r="DT509" s="319" t="s">
        <v>190</v>
      </c>
      <c r="DU509" s="319" t="s">
        <v>190</v>
      </c>
      <c r="DV509" s="319" t="s">
        <v>173</v>
      </c>
      <c r="DW509" s="319" t="s">
        <v>190</v>
      </c>
      <c r="DX509" s="319" t="s">
        <v>190</v>
      </c>
      <c r="DY509" s="319" t="s">
        <v>190</v>
      </c>
      <c r="DZ509" s="319" t="s">
        <v>190</v>
      </c>
      <c r="EA509" s="319" t="s">
        <v>190</v>
      </c>
      <c r="EB509" s="319" t="s">
        <v>190</v>
      </c>
      <c r="EC509" s="319" t="s">
        <v>428</v>
      </c>
      <c r="ED509" s="319" t="s">
        <v>190</v>
      </c>
      <c r="EE509" s="319" t="s">
        <v>190</v>
      </c>
      <c r="EF509" s="319" t="s">
        <v>190</v>
      </c>
      <c r="EG509" s="319" t="s">
        <v>190</v>
      </c>
      <c r="EH509" s="319" t="s">
        <v>190</v>
      </c>
      <c r="EI509" s="319" t="s">
        <v>190</v>
      </c>
      <c r="EJ509" s="319" t="s">
        <v>190</v>
      </c>
      <c r="EK509" s="319" t="s">
        <v>190</v>
      </c>
      <c r="EL509" s="319" t="s">
        <v>190</v>
      </c>
      <c r="EM509" s="319" t="s">
        <v>190</v>
      </c>
      <c r="EN509" s="319" t="s">
        <v>190</v>
      </c>
      <c r="EO509" s="319" t="s">
        <v>190</v>
      </c>
      <c r="EP509" s="319" t="s">
        <v>190</v>
      </c>
      <c r="EQ509" s="319" t="s">
        <v>190</v>
      </c>
      <c r="ER509" s="319" t="s">
        <v>190</v>
      </c>
      <c r="ES509" s="319" t="s">
        <v>190</v>
      </c>
      <c r="ET509" s="319" t="s">
        <v>190</v>
      </c>
      <c r="EU509" s="319" t="s">
        <v>190</v>
      </c>
      <c r="EV509" s="319" t="s">
        <v>190</v>
      </c>
      <c r="EW509" s="319" t="s">
        <v>190</v>
      </c>
      <c r="EX509" s="319" t="s">
        <v>190</v>
      </c>
      <c r="EY509" s="319" t="s">
        <v>190</v>
      </c>
      <c r="EZ509" s="319" t="s">
        <v>190</v>
      </c>
      <c r="FA509" s="319" t="s">
        <v>190</v>
      </c>
      <c r="FB509" s="319" t="s">
        <v>190</v>
      </c>
      <c r="FC509" s="319" t="s">
        <v>190</v>
      </c>
      <c r="FD509" s="319" t="s">
        <v>190</v>
      </c>
      <c r="FE509" s="319" t="s">
        <v>190</v>
      </c>
      <c r="FF509" s="319" t="s">
        <v>190</v>
      </c>
      <c r="FG509" s="319" t="s">
        <v>190</v>
      </c>
      <c r="FH509" s="319" t="s">
        <v>190</v>
      </c>
      <c r="FI509" s="319" t="s">
        <v>190</v>
      </c>
      <c r="FJ509" s="319" t="s">
        <v>190</v>
      </c>
      <c r="FK509" s="319" t="s">
        <v>190</v>
      </c>
      <c r="FL509" s="319" t="s">
        <v>190</v>
      </c>
      <c r="FM509" s="319" t="s">
        <v>190</v>
      </c>
      <c r="FN509" s="319" t="s">
        <v>190</v>
      </c>
      <c r="FO509" s="319" t="s">
        <v>190</v>
      </c>
      <c r="FP509" s="319" t="s">
        <v>190</v>
      </c>
      <c r="FQ509" s="319" t="s">
        <v>190</v>
      </c>
      <c r="FR509" s="319" t="s">
        <v>190</v>
      </c>
      <c r="FS509" s="319" t="s">
        <v>428</v>
      </c>
      <c r="FT509" s="319" t="s">
        <v>190</v>
      </c>
      <c r="FU509" s="319" t="s">
        <v>190</v>
      </c>
      <c r="FV509" s="319" t="s">
        <v>190</v>
      </c>
      <c r="FW509" s="319" t="s">
        <v>190</v>
      </c>
      <c r="FX509" s="319" t="s">
        <v>190</v>
      </c>
      <c r="FY509" s="319" t="s">
        <v>190</v>
      </c>
      <c r="FZ509" s="319" t="s">
        <v>190</v>
      </c>
      <c r="GA509" s="319" t="s">
        <v>190</v>
      </c>
      <c r="GB509" s="319" t="s">
        <v>190</v>
      </c>
      <c r="GC509" s="319" t="s">
        <v>190</v>
      </c>
      <c r="GD509" s="319" t="s">
        <v>190</v>
      </c>
      <c r="GE509" s="319" t="s">
        <v>190</v>
      </c>
      <c r="GF509" s="319" t="s">
        <v>190</v>
      </c>
      <c r="GG509" s="319" t="s">
        <v>190</v>
      </c>
      <c r="GH509" s="319" t="s">
        <v>190</v>
      </c>
      <c r="GI509" s="319" t="s">
        <v>190</v>
      </c>
      <c r="GJ509" s="319" t="s">
        <v>190</v>
      </c>
      <c r="GK509" s="319" t="s">
        <v>428</v>
      </c>
      <c r="GL509" s="319" t="s">
        <v>190</v>
      </c>
      <c r="GM509" s="319" t="s">
        <v>190</v>
      </c>
      <c r="GN509" s="319" t="s">
        <v>190</v>
      </c>
      <c r="GO509" s="319" t="s">
        <v>190</v>
      </c>
      <c r="GP509" s="319" t="s">
        <v>190</v>
      </c>
      <c r="GQ509" s="319" t="s">
        <v>428</v>
      </c>
      <c r="GR509" s="319" t="s">
        <v>190</v>
      </c>
      <c r="GS509" s="319" t="s">
        <v>190</v>
      </c>
      <c r="GT509" s="319" t="s">
        <v>190</v>
      </c>
      <c r="GU509" s="319" t="s">
        <v>190</v>
      </c>
      <c r="GV509" s="319" t="s">
        <v>190</v>
      </c>
      <c r="GW509" s="319" t="s">
        <v>190</v>
      </c>
      <c r="GX509" s="319" t="s">
        <v>190</v>
      </c>
      <c r="GY509" s="319" t="s">
        <v>190</v>
      </c>
      <c r="GZ509" s="319" t="s">
        <v>190</v>
      </c>
      <c r="HA509" s="319" t="s">
        <v>190</v>
      </c>
      <c r="HB509" s="319" t="s">
        <v>428</v>
      </c>
      <c r="HC509" s="319" t="s">
        <v>190</v>
      </c>
      <c r="HD509" s="319" t="s">
        <v>190</v>
      </c>
      <c r="HE509" s="319" t="s">
        <v>190</v>
      </c>
      <c r="HF509" s="319" t="s">
        <v>190</v>
      </c>
      <c r="HG509" s="319" t="s">
        <v>190</v>
      </c>
      <c r="HH509" s="319" t="s">
        <v>190</v>
      </c>
      <c r="HI509" s="319" t="s">
        <v>190</v>
      </c>
      <c r="HJ509" s="319" t="s">
        <v>190</v>
      </c>
      <c r="HK509" s="319" t="s">
        <v>190</v>
      </c>
      <c r="HL509" s="319" t="s">
        <v>190</v>
      </c>
      <c r="HM509" s="319" t="s">
        <v>190</v>
      </c>
      <c r="HN509" s="319" t="s">
        <v>190</v>
      </c>
      <c r="HO509" s="319" t="s">
        <v>190</v>
      </c>
      <c r="HP509" s="319" t="s">
        <v>190</v>
      </c>
      <c r="HQ509" s="319" t="s">
        <v>190</v>
      </c>
      <c r="HR509" s="319" t="s">
        <v>190</v>
      </c>
      <c r="HS509" s="319" t="s">
        <v>190</v>
      </c>
      <c r="HT509" s="319" t="s">
        <v>190</v>
      </c>
      <c r="HU509" s="319" t="s">
        <v>190</v>
      </c>
      <c r="HV509" s="319" t="s">
        <v>190</v>
      </c>
      <c r="HW509" s="319" t="s">
        <v>190</v>
      </c>
      <c r="HX509" s="319" t="s">
        <v>190</v>
      </c>
      <c r="HY509" s="319" t="s">
        <v>190</v>
      </c>
      <c r="HZ509" s="319" t="s">
        <v>190</v>
      </c>
      <c r="IA509" s="319" t="s">
        <v>190</v>
      </c>
      <c r="IB509" s="319" t="s">
        <v>190</v>
      </c>
      <c r="IC509" s="319" t="s">
        <v>190</v>
      </c>
      <c r="ID509" s="319" t="s">
        <v>190</v>
      </c>
      <c r="IE509" s="319" t="s">
        <v>190</v>
      </c>
      <c r="IF509" s="319" t="s">
        <v>190</v>
      </c>
      <c r="IG509" s="319" t="s">
        <v>190</v>
      </c>
      <c r="IH509" s="319" t="s">
        <v>190</v>
      </c>
      <c r="II509" s="319" t="s">
        <v>190</v>
      </c>
      <c r="IJ509" s="319">
        <v>10020916</v>
      </c>
      <c r="IK509" s="321">
        <v>42710</v>
      </c>
      <c r="IL509" s="321">
        <v>42712</v>
      </c>
      <c r="IM509" s="321">
        <v>42767</v>
      </c>
      <c r="IN509" s="319">
        <v>2</v>
      </c>
      <c r="IO509" s="319" t="s">
        <v>173</v>
      </c>
      <c r="IP509" s="319" t="s">
        <v>173</v>
      </c>
      <c r="IQ509" s="319" t="s">
        <v>173</v>
      </c>
      <c r="IR509" s="320" t="s">
        <v>173</v>
      </c>
      <c r="IS509" s="320" t="s">
        <v>173</v>
      </c>
      <c r="IT509" s="319" t="s">
        <v>173</v>
      </c>
    </row>
    <row r="510" spans="1:254" s="271" customFormat="1" x14ac:dyDescent="0.25">
      <c r="A510" s="318" t="str">
        <f>HYPERLINK("http://www.ofsted.gov.uk/inspection-reports/find-inspection-report/provider/ELS/135252 ","Ofsted School Webpage")</f>
        <v>Ofsted School Webpage</v>
      </c>
      <c r="B510" s="319">
        <v>135252</v>
      </c>
      <c r="C510" s="319">
        <v>9356086</v>
      </c>
      <c r="D510" s="319" t="s">
        <v>1908</v>
      </c>
      <c r="E510" s="319" t="s">
        <v>168</v>
      </c>
      <c r="F510" s="319" t="s">
        <v>81</v>
      </c>
      <c r="G510" s="319" t="s">
        <v>81</v>
      </c>
      <c r="H510" s="319" t="s">
        <v>81</v>
      </c>
      <c r="I510" s="319" t="s">
        <v>78</v>
      </c>
      <c r="J510" s="319" t="s">
        <v>424</v>
      </c>
      <c r="K510" s="319" t="s">
        <v>451</v>
      </c>
      <c r="L510" s="319" t="s">
        <v>451</v>
      </c>
      <c r="M510" s="319" t="s">
        <v>839</v>
      </c>
      <c r="N510" s="319" t="s">
        <v>3058</v>
      </c>
      <c r="O510" s="319" t="s">
        <v>1909</v>
      </c>
      <c r="P510" s="319">
        <v>17</v>
      </c>
      <c r="Q510" s="319" t="s">
        <v>429</v>
      </c>
      <c r="R510" s="320">
        <v>10030847</v>
      </c>
      <c r="S510" s="321">
        <v>42864</v>
      </c>
      <c r="T510" s="321">
        <v>42866</v>
      </c>
      <c r="U510" s="321">
        <v>42907</v>
      </c>
      <c r="V510" s="319" t="s">
        <v>425</v>
      </c>
      <c r="W510" s="319" t="s">
        <v>2767</v>
      </c>
      <c r="X510" s="319">
        <v>2</v>
      </c>
      <c r="Y510" s="319" t="s">
        <v>173</v>
      </c>
      <c r="Z510" s="319" t="s">
        <v>173</v>
      </c>
      <c r="AA510" s="319" t="s">
        <v>173</v>
      </c>
      <c r="AB510" s="319">
        <v>2</v>
      </c>
      <c r="AC510" s="319" t="s">
        <v>169</v>
      </c>
      <c r="AD510" s="319" t="s">
        <v>173</v>
      </c>
      <c r="AE510" s="319">
        <v>2</v>
      </c>
      <c r="AF510" s="319" t="s">
        <v>173</v>
      </c>
      <c r="AG510" s="319" t="s">
        <v>171</v>
      </c>
      <c r="AH510" s="319" t="s">
        <v>190</v>
      </c>
      <c r="AI510" s="319" t="s">
        <v>190</v>
      </c>
      <c r="AJ510" s="319" t="s">
        <v>190</v>
      </c>
      <c r="AK510" s="319" t="s">
        <v>190</v>
      </c>
      <c r="AL510" s="319" t="s">
        <v>190</v>
      </c>
      <c r="AM510" s="319" t="s">
        <v>190</v>
      </c>
      <c r="AN510" s="319" t="s">
        <v>190</v>
      </c>
      <c r="AO510" s="319" t="s">
        <v>190</v>
      </c>
      <c r="AP510" s="319" t="s">
        <v>190</v>
      </c>
      <c r="AQ510" s="319" t="s">
        <v>190</v>
      </c>
      <c r="AR510" s="319" t="s">
        <v>190</v>
      </c>
      <c r="AS510" s="319" t="s">
        <v>190</v>
      </c>
      <c r="AT510" s="319" t="s">
        <v>190</v>
      </c>
      <c r="AU510" s="319" t="s">
        <v>190</v>
      </c>
      <c r="AV510" s="319" t="s">
        <v>190</v>
      </c>
      <c r="AW510" s="319" t="s">
        <v>190</v>
      </c>
      <c r="AX510" s="319" t="s">
        <v>429</v>
      </c>
      <c r="AY510" s="319" t="s">
        <v>190</v>
      </c>
      <c r="AZ510" s="319" t="s">
        <v>190</v>
      </c>
      <c r="BA510" s="319" t="s">
        <v>190</v>
      </c>
      <c r="BB510" s="319" t="s">
        <v>190</v>
      </c>
      <c r="BC510" s="319" t="s">
        <v>190</v>
      </c>
      <c r="BD510" s="319" t="s">
        <v>190</v>
      </c>
      <c r="BE510" s="319" t="s">
        <v>190</v>
      </c>
      <c r="BF510" s="319" t="s">
        <v>429</v>
      </c>
      <c r="BG510" s="319" t="s">
        <v>190</v>
      </c>
      <c r="BH510" s="319" t="s">
        <v>190</v>
      </c>
      <c r="BI510" s="319" t="s">
        <v>190</v>
      </c>
      <c r="BJ510" s="319" t="s">
        <v>190</v>
      </c>
      <c r="BK510" s="319" t="s">
        <v>190</v>
      </c>
      <c r="BL510" s="319" t="s">
        <v>190</v>
      </c>
      <c r="BM510" s="319" t="s">
        <v>190</v>
      </c>
      <c r="BN510" s="319" t="s">
        <v>190</v>
      </c>
      <c r="BO510" s="319" t="s">
        <v>190</v>
      </c>
      <c r="BP510" s="319" t="s">
        <v>190</v>
      </c>
      <c r="BQ510" s="319" t="s">
        <v>190</v>
      </c>
      <c r="BR510" s="319" t="s">
        <v>190</v>
      </c>
      <c r="BS510" s="319" t="s">
        <v>190</v>
      </c>
      <c r="BT510" s="319" t="s">
        <v>190</v>
      </c>
      <c r="BU510" s="319" t="s">
        <v>190</v>
      </c>
      <c r="BV510" s="319" t="s">
        <v>190</v>
      </c>
      <c r="BW510" s="319" t="s">
        <v>190</v>
      </c>
      <c r="BX510" s="319" t="s">
        <v>190</v>
      </c>
      <c r="BY510" s="319" t="s">
        <v>190</v>
      </c>
      <c r="BZ510" s="319" t="s">
        <v>190</v>
      </c>
      <c r="CA510" s="319" t="s">
        <v>190</v>
      </c>
      <c r="CB510" s="319" t="s">
        <v>190</v>
      </c>
      <c r="CC510" s="319" t="s">
        <v>190</v>
      </c>
      <c r="CD510" s="319" t="s">
        <v>190</v>
      </c>
      <c r="CE510" s="319" t="s">
        <v>190</v>
      </c>
      <c r="CF510" s="319" t="s">
        <v>190</v>
      </c>
      <c r="CG510" s="319" t="s">
        <v>190</v>
      </c>
      <c r="CH510" s="319" t="s">
        <v>190</v>
      </c>
      <c r="CI510" s="319" t="s">
        <v>190</v>
      </c>
      <c r="CJ510" s="319" t="s">
        <v>190</v>
      </c>
      <c r="CK510" s="319" t="s">
        <v>190</v>
      </c>
      <c r="CL510" s="319" t="s">
        <v>190</v>
      </c>
      <c r="CM510" s="319" t="s">
        <v>190</v>
      </c>
      <c r="CN510" s="319" t="s">
        <v>429</v>
      </c>
      <c r="CO510" s="319" t="s">
        <v>429</v>
      </c>
      <c r="CP510" s="319" t="s">
        <v>429</v>
      </c>
      <c r="CQ510" s="319" t="s">
        <v>190</v>
      </c>
      <c r="CR510" s="319" t="s">
        <v>190</v>
      </c>
      <c r="CS510" s="319" t="s">
        <v>190</v>
      </c>
      <c r="CT510" s="319" t="s">
        <v>190</v>
      </c>
      <c r="CU510" s="319" t="s">
        <v>190</v>
      </c>
      <c r="CV510" s="319" t="s">
        <v>190</v>
      </c>
      <c r="CW510" s="319" t="s">
        <v>190</v>
      </c>
      <c r="CX510" s="319" t="s">
        <v>190</v>
      </c>
      <c r="CY510" s="319" t="s">
        <v>190</v>
      </c>
      <c r="CZ510" s="319" t="s">
        <v>190</v>
      </c>
      <c r="DA510" s="319" t="s">
        <v>190</v>
      </c>
      <c r="DB510" s="319" t="s">
        <v>190</v>
      </c>
      <c r="DC510" s="319" t="s">
        <v>190</v>
      </c>
      <c r="DD510" s="319" t="s">
        <v>190</v>
      </c>
      <c r="DE510" s="319" t="s">
        <v>190</v>
      </c>
      <c r="DF510" s="319" t="s">
        <v>190</v>
      </c>
      <c r="DG510" s="319" t="s">
        <v>190</v>
      </c>
      <c r="DH510" s="319" t="s">
        <v>190</v>
      </c>
      <c r="DI510" s="319" t="s">
        <v>190</v>
      </c>
      <c r="DJ510" s="319" t="s">
        <v>190</v>
      </c>
      <c r="DK510" s="319" t="s">
        <v>190</v>
      </c>
      <c r="DL510" s="319" t="s">
        <v>190</v>
      </c>
      <c r="DM510" s="319" t="s">
        <v>190</v>
      </c>
      <c r="DN510" s="319" t="s">
        <v>429</v>
      </c>
      <c r="DO510" s="319" t="s">
        <v>190</v>
      </c>
      <c r="DP510" s="319" t="s">
        <v>429</v>
      </c>
      <c r="DQ510" s="319" t="s">
        <v>429</v>
      </c>
      <c r="DR510" s="319" t="s">
        <v>429</v>
      </c>
      <c r="DS510" s="319" t="s">
        <v>429</v>
      </c>
      <c r="DT510" s="319" t="s">
        <v>429</v>
      </c>
      <c r="DU510" s="319" t="s">
        <v>429</v>
      </c>
      <c r="DV510" s="319" t="s">
        <v>173</v>
      </c>
      <c r="DW510" s="319" t="s">
        <v>429</v>
      </c>
      <c r="DX510" s="319" t="s">
        <v>429</v>
      </c>
      <c r="DY510" s="319" t="s">
        <v>429</v>
      </c>
      <c r="DZ510" s="319" t="s">
        <v>429</v>
      </c>
      <c r="EA510" s="319" t="s">
        <v>429</v>
      </c>
      <c r="EB510" s="319" t="s">
        <v>429</v>
      </c>
      <c r="EC510" s="319" t="s">
        <v>429</v>
      </c>
      <c r="ED510" s="319" t="s">
        <v>429</v>
      </c>
      <c r="EE510" s="319" t="s">
        <v>429</v>
      </c>
      <c r="EF510" s="319" t="s">
        <v>429</v>
      </c>
      <c r="EG510" s="319" t="s">
        <v>429</v>
      </c>
      <c r="EH510" s="319" t="s">
        <v>429</v>
      </c>
      <c r="EI510" s="319" t="s">
        <v>429</v>
      </c>
      <c r="EJ510" s="319" t="s">
        <v>429</v>
      </c>
      <c r="EK510" s="319" t="s">
        <v>429</v>
      </c>
      <c r="EL510" s="319" t="s">
        <v>429</v>
      </c>
      <c r="EM510" s="319" t="s">
        <v>429</v>
      </c>
      <c r="EN510" s="319" t="s">
        <v>190</v>
      </c>
      <c r="EO510" s="319" t="s">
        <v>190</v>
      </c>
      <c r="EP510" s="319" t="s">
        <v>190</v>
      </c>
      <c r="EQ510" s="319" t="s">
        <v>190</v>
      </c>
      <c r="ER510" s="319" t="s">
        <v>190</v>
      </c>
      <c r="ES510" s="319" t="s">
        <v>190</v>
      </c>
      <c r="ET510" s="319" t="s">
        <v>190</v>
      </c>
      <c r="EU510" s="319" t="s">
        <v>190</v>
      </c>
      <c r="EV510" s="319" t="s">
        <v>190</v>
      </c>
      <c r="EW510" s="319" t="s">
        <v>190</v>
      </c>
      <c r="EX510" s="319" t="s">
        <v>190</v>
      </c>
      <c r="EY510" s="319" t="s">
        <v>190</v>
      </c>
      <c r="EZ510" s="319" t="s">
        <v>190</v>
      </c>
      <c r="FA510" s="319" t="s">
        <v>190</v>
      </c>
      <c r="FB510" s="319" t="s">
        <v>429</v>
      </c>
      <c r="FC510" s="319" t="s">
        <v>429</v>
      </c>
      <c r="FD510" s="319" t="s">
        <v>429</v>
      </c>
      <c r="FE510" s="319" t="s">
        <v>429</v>
      </c>
      <c r="FF510" s="319" t="s">
        <v>429</v>
      </c>
      <c r="FG510" s="319" t="s">
        <v>429</v>
      </c>
      <c r="FH510" s="319" t="s">
        <v>429</v>
      </c>
      <c r="FI510" s="319" t="s">
        <v>429</v>
      </c>
      <c r="FJ510" s="319" t="s">
        <v>429</v>
      </c>
      <c r="FK510" s="319" t="s">
        <v>429</v>
      </c>
      <c r="FL510" s="319" t="s">
        <v>190</v>
      </c>
      <c r="FM510" s="319" t="s">
        <v>190</v>
      </c>
      <c r="FN510" s="319" t="s">
        <v>429</v>
      </c>
      <c r="FO510" s="319" t="s">
        <v>190</v>
      </c>
      <c r="FP510" s="319" t="s">
        <v>190</v>
      </c>
      <c r="FQ510" s="319" t="s">
        <v>190</v>
      </c>
      <c r="FR510" s="319" t="s">
        <v>190</v>
      </c>
      <c r="FS510" s="319" t="s">
        <v>190</v>
      </c>
      <c r="FT510" s="319" t="s">
        <v>190</v>
      </c>
      <c r="FU510" s="319" t="s">
        <v>190</v>
      </c>
      <c r="FV510" s="319" t="s">
        <v>190</v>
      </c>
      <c r="FW510" s="319" t="s">
        <v>190</v>
      </c>
      <c r="FX510" s="319" t="s">
        <v>190</v>
      </c>
      <c r="FY510" s="319" t="s">
        <v>190</v>
      </c>
      <c r="FZ510" s="319" t="s">
        <v>190</v>
      </c>
      <c r="GA510" s="319" t="s">
        <v>190</v>
      </c>
      <c r="GB510" s="319" t="s">
        <v>190</v>
      </c>
      <c r="GC510" s="319" t="s">
        <v>190</v>
      </c>
      <c r="GD510" s="319" t="s">
        <v>190</v>
      </c>
      <c r="GE510" s="319" t="s">
        <v>190</v>
      </c>
      <c r="GF510" s="319" t="s">
        <v>190</v>
      </c>
      <c r="GG510" s="319" t="s">
        <v>190</v>
      </c>
      <c r="GH510" s="319" t="s">
        <v>190</v>
      </c>
      <c r="GI510" s="319" t="s">
        <v>190</v>
      </c>
      <c r="GJ510" s="319" t="s">
        <v>190</v>
      </c>
      <c r="GK510" s="319" t="s">
        <v>190</v>
      </c>
      <c r="GL510" s="319" t="s">
        <v>190</v>
      </c>
      <c r="GM510" s="319" t="s">
        <v>190</v>
      </c>
      <c r="GN510" s="319" t="s">
        <v>190</v>
      </c>
      <c r="GO510" s="319" t="s">
        <v>190</v>
      </c>
      <c r="GP510" s="319" t="s">
        <v>190</v>
      </c>
      <c r="GQ510" s="319" t="s">
        <v>190</v>
      </c>
      <c r="GR510" s="319" t="s">
        <v>190</v>
      </c>
      <c r="GS510" s="319" t="s">
        <v>190</v>
      </c>
      <c r="GT510" s="319" t="s">
        <v>190</v>
      </c>
      <c r="GU510" s="319" t="s">
        <v>190</v>
      </c>
      <c r="GV510" s="319" t="s">
        <v>190</v>
      </c>
      <c r="GW510" s="319" t="s">
        <v>190</v>
      </c>
      <c r="GX510" s="319" t="s">
        <v>190</v>
      </c>
      <c r="GY510" s="319" t="s">
        <v>190</v>
      </c>
      <c r="GZ510" s="319" t="s">
        <v>190</v>
      </c>
      <c r="HA510" s="319" t="s">
        <v>429</v>
      </c>
      <c r="HB510" s="319" t="s">
        <v>429</v>
      </c>
      <c r="HC510" s="319" t="s">
        <v>190</v>
      </c>
      <c r="HD510" s="319" t="s">
        <v>190</v>
      </c>
      <c r="HE510" s="319" t="s">
        <v>190</v>
      </c>
      <c r="HF510" s="319" t="s">
        <v>190</v>
      </c>
      <c r="HG510" s="319" t="s">
        <v>190</v>
      </c>
      <c r="HH510" s="319" t="s">
        <v>190</v>
      </c>
      <c r="HI510" s="319" t="s">
        <v>190</v>
      </c>
      <c r="HJ510" s="319" t="s">
        <v>190</v>
      </c>
      <c r="HK510" s="319" t="s">
        <v>190</v>
      </c>
      <c r="HL510" s="319" t="s">
        <v>429</v>
      </c>
      <c r="HM510" s="319" t="s">
        <v>429</v>
      </c>
      <c r="HN510" s="319" t="s">
        <v>429</v>
      </c>
      <c r="HO510" s="319" t="s">
        <v>429</v>
      </c>
      <c r="HP510" s="319" t="s">
        <v>190</v>
      </c>
      <c r="HQ510" s="319" t="s">
        <v>190</v>
      </c>
      <c r="HR510" s="319" t="s">
        <v>190</v>
      </c>
      <c r="HS510" s="319" t="s">
        <v>190</v>
      </c>
      <c r="HT510" s="319" t="s">
        <v>190</v>
      </c>
      <c r="HU510" s="319" t="s">
        <v>190</v>
      </c>
      <c r="HV510" s="319" t="s">
        <v>190</v>
      </c>
      <c r="HW510" s="319" t="s">
        <v>190</v>
      </c>
      <c r="HX510" s="319" t="s">
        <v>190</v>
      </c>
      <c r="HY510" s="319" t="s">
        <v>190</v>
      </c>
      <c r="HZ510" s="319" t="s">
        <v>190</v>
      </c>
      <c r="IA510" s="319" t="s">
        <v>190</v>
      </c>
      <c r="IB510" s="319" t="s">
        <v>190</v>
      </c>
      <c r="IC510" s="319" t="s">
        <v>190</v>
      </c>
      <c r="ID510" s="319" t="s">
        <v>190</v>
      </c>
      <c r="IE510" s="319" t="s">
        <v>190</v>
      </c>
      <c r="IF510" s="319" t="s">
        <v>190</v>
      </c>
      <c r="IG510" s="319" t="s">
        <v>190</v>
      </c>
      <c r="IH510" s="319" t="s">
        <v>190</v>
      </c>
      <c r="II510" s="319" t="s">
        <v>190</v>
      </c>
      <c r="IJ510" s="319" t="s">
        <v>3276</v>
      </c>
      <c r="IK510" s="321">
        <v>41968</v>
      </c>
      <c r="IL510" s="321">
        <v>41970</v>
      </c>
      <c r="IM510" s="321">
        <v>42017</v>
      </c>
      <c r="IN510" s="319">
        <v>4</v>
      </c>
      <c r="IO510" s="319" t="s">
        <v>173</v>
      </c>
      <c r="IP510" s="319" t="s">
        <v>173</v>
      </c>
      <c r="IQ510" s="321" t="s">
        <v>173</v>
      </c>
      <c r="IR510" s="320" t="s">
        <v>173</v>
      </c>
      <c r="IS510" s="322" t="s">
        <v>173</v>
      </c>
      <c r="IT510" s="319" t="s">
        <v>173</v>
      </c>
    </row>
    <row r="511" spans="1:254" s="271" customFormat="1" x14ac:dyDescent="0.25">
      <c r="A511" s="318" t="str">
        <f>HYPERLINK("http://www.ofsted.gov.uk/inspection-reports/find-inspection-report/provider/ELS/135259 ","Ofsted School Webpage")</f>
        <v>Ofsted School Webpage</v>
      </c>
      <c r="B511" s="319">
        <v>135259</v>
      </c>
      <c r="C511" s="319">
        <v>9376105</v>
      </c>
      <c r="D511" s="319" t="s">
        <v>1910</v>
      </c>
      <c r="E511" s="319" t="s">
        <v>168</v>
      </c>
      <c r="F511" s="319" t="s">
        <v>81</v>
      </c>
      <c r="G511" s="319" t="s">
        <v>81</v>
      </c>
      <c r="H511" s="319" t="s">
        <v>81</v>
      </c>
      <c r="I511" s="319" t="s">
        <v>78</v>
      </c>
      <c r="J511" s="319" t="s">
        <v>424</v>
      </c>
      <c r="K511" s="319" t="s">
        <v>437</v>
      </c>
      <c r="L511" s="319" t="s">
        <v>437</v>
      </c>
      <c r="M511" s="319" t="s">
        <v>438</v>
      </c>
      <c r="N511" s="319" t="s">
        <v>3230</v>
      </c>
      <c r="O511" s="319" t="s">
        <v>1088</v>
      </c>
      <c r="P511" s="319">
        <v>6</v>
      </c>
      <c r="Q511" s="319" t="s">
        <v>429</v>
      </c>
      <c r="R511" s="320">
        <v>10006087</v>
      </c>
      <c r="S511" s="321">
        <v>43011</v>
      </c>
      <c r="T511" s="321">
        <v>43013</v>
      </c>
      <c r="U511" s="321">
        <v>43052</v>
      </c>
      <c r="V511" s="319" t="s">
        <v>425</v>
      </c>
      <c r="W511" s="319" t="s">
        <v>2767</v>
      </c>
      <c r="X511" s="319">
        <v>2</v>
      </c>
      <c r="Y511" s="319" t="s">
        <v>173</v>
      </c>
      <c r="Z511" s="319" t="s">
        <v>173</v>
      </c>
      <c r="AA511" s="319" t="s">
        <v>173</v>
      </c>
      <c r="AB511" s="319">
        <v>2</v>
      </c>
      <c r="AC511" s="319" t="s">
        <v>169</v>
      </c>
      <c r="AD511" s="319" t="s">
        <v>173</v>
      </c>
      <c r="AE511" s="319">
        <v>2</v>
      </c>
      <c r="AF511" s="319" t="s">
        <v>173</v>
      </c>
      <c r="AG511" s="319" t="s">
        <v>171</v>
      </c>
      <c r="AH511" s="319" t="s">
        <v>190</v>
      </c>
      <c r="AI511" s="319" t="s">
        <v>190</v>
      </c>
      <c r="AJ511" s="319" t="s">
        <v>190</v>
      </c>
      <c r="AK511" s="319" t="s">
        <v>190</v>
      </c>
      <c r="AL511" s="319" t="s">
        <v>190</v>
      </c>
      <c r="AM511" s="319" t="s">
        <v>190</v>
      </c>
      <c r="AN511" s="319" t="s">
        <v>190</v>
      </c>
      <c r="AO511" s="319" t="s">
        <v>190</v>
      </c>
      <c r="AP511" s="319" t="s">
        <v>190</v>
      </c>
      <c r="AQ511" s="319" t="s">
        <v>190</v>
      </c>
      <c r="AR511" s="319" t="s">
        <v>190</v>
      </c>
      <c r="AS511" s="319" t="s">
        <v>190</v>
      </c>
      <c r="AT511" s="319" t="s">
        <v>190</v>
      </c>
      <c r="AU511" s="319" t="s">
        <v>190</v>
      </c>
      <c r="AV511" s="319" t="s">
        <v>190</v>
      </c>
      <c r="AW511" s="319" t="s">
        <v>190</v>
      </c>
      <c r="AX511" s="319" t="s">
        <v>429</v>
      </c>
      <c r="AY511" s="319" t="s">
        <v>190</v>
      </c>
      <c r="AZ511" s="319" t="s">
        <v>190</v>
      </c>
      <c r="BA511" s="319" t="s">
        <v>190</v>
      </c>
      <c r="BB511" s="319" t="s">
        <v>190</v>
      </c>
      <c r="BC511" s="319" t="s">
        <v>190</v>
      </c>
      <c r="BD511" s="319" t="s">
        <v>190</v>
      </c>
      <c r="BE511" s="319" t="s">
        <v>190</v>
      </c>
      <c r="BF511" s="319" t="s">
        <v>429</v>
      </c>
      <c r="BG511" s="319" t="s">
        <v>190</v>
      </c>
      <c r="BH511" s="319" t="s">
        <v>190</v>
      </c>
      <c r="BI511" s="319" t="s">
        <v>190</v>
      </c>
      <c r="BJ511" s="319" t="s">
        <v>190</v>
      </c>
      <c r="BK511" s="319" t="s">
        <v>190</v>
      </c>
      <c r="BL511" s="319" t="s">
        <v>190</v>
      </c>
      <c r="BM511" s="319" t="s">
        <v>190</v>
      </c>
      <c r="BN511" s="319" t="s">
        <v>190</v>
      </c>
      <c r="BO511" s="319" t="s">
        <v>190</v>
      </c>
      <c r="BP511" s="319" t="s">
        <v>190</v>
      </c>
      <c r="BQ511" s="319" t="s">
        <v>190</v>
      </c>
      <c r="BR511" s="319" t="s">
        <v>190</v>
      </c>
      <c r="BS511" s="319" t="s">
        <v>190</v>
      </c>
      <c r="BT511" s="319" t="s">
        <v>190</v>
      </c>
      <c r="BU511" s="319" t="s">
        <v>190</v>
      </c>
      <c r="BV511" s="319" t="s">
        <v>190</v>
      </c>
      <c r="BW511" s="319" t="s">
        <v>190</v>
      </c>
      <c r="BX511" s="319" t="s">
        <v>190</v>
      </c>
      <c r="BY511" s="319" t="s">
        <v>190</v>
      </c>
      <c r="BZ511" s="319" t="s">
        <v>190</v>
      </c>
      <c r="CA511" s="319" t="s">
        <v>190</v>
      </c>
      <c r="CB511" s="319" t="s">
        <v>190</v>
      </c>
      <c r="CC511" s="319" t="s">
        <v>190</v>
      </c>
      <c r="CD511" s="319" t="s">
        <v>190</v>
      </c>
      <c r="CE511" s="319" t="s">
        <v>190</v>
      </c>
      <c r="CF511" s="319" t="s">
        <v>190</v>
      </c>
      <c r="CG511" s="319" t="s">
        <v>190</v>
      </c>
      <c r="CH511" s="319" t="s">
        <v>190</v>
      </c>
      <c r="CI511" s="319" t="s">
        <v>190</v>
      </c>
      <c r="CJ511" s="319" t="s">
        <v>190</v>
      </c>
      <c r="CK511" s="319" t="s">
        <v>190</v>
      </c>
      <c r="CL511" s="319" t="s">
        <v>190</v>
      </c>
      <c r="CM511" s="319" t="s">
        <v>190</v>
      </c>
      <c r="CN511" s="319" t="s">
        <v>429</v>
      </c>
      <c r="CO511" s="319" t="s">
        <v>429</v>
      </c>
      <c r="CP511" s="319" t="s">
        <v>429</v>
      </c>
      <c r="CQ511" s="319" t="s">
        <v>190</v>
      </c>
      <c r="CR511" s="319" t="s">
        <v>190</v>
      </c>
      <c r="CS511" s="319" t="s">
        <v>190</v>
      </c>
      <c r="CT511" s="319" t="s">
        <v>190</v>
      </c>
      <c r="CU511" s="319" t="s">
        <v>190</v>
      </c>
      <c r="CV511" s="319" t="s">
        <v>190</v>
      </c>
      <c r="CW511" s="319" t="s">
        <v>190</v>
      </c>
      <c r="CX511" s="319" t="s">
        <v>190</v>
      </c>
      <c r="CY511" s="319" t="s">
        <v>190</v>
      </c>
      <c r="CZ511" s="319" t="s">
        <v>190</v>
      </c>
      <c r="DA511" s="319" t="s">
        <v>190</v>
      </c>
      <c r="DB511" s="319" t="s">
        <v>190</v>
      </c>
      <c r="DC511" s="319" t="s">
        <v>190</v>
      </c>
      <c r="DD511" s="319" t="s">
        <v>190</v>
      </c>
      <c r="DE511" s="319" t="s">
        <v>190</v>
      </c>
      <c r="DF511" s="319" t="s">
        <v>190</v>
      </c>
      <c r="DG511" s="319" t="s">
        <v>190</v>
      </c>
      <c r="DH511" s="319" t="s">
        <v>190</v>
      </c>
      <c r="DI511" s="319" t="s">
        <v>190</v>
      </c>
      <c r="DJ511" s="319" t="s">
        <v>190</v>
      </c>
      <c r="DK511" s="319" t="s">
        <v>190</v>
      </c>
      <c r="DL511" s="319" t="s">
        <v>190</v>
      </c>
      <c r="DM511" s="319" t="s">
        <v>429</v>
      </c>
      <c r="DN511" s="319" t="s">
        <v>429</v>
      </c>
      <c r="DO511" s="319" t="s">
        <v>190</v>
      </c>
      <c r="DP511" s="319" t="s">
        <v>190</v>
      </c>
      <c r="DQ511" s="319" t="s">
        <v>190</v>
      </c>
      <c r="DR511" s="319" t="s">
        <v>190</v>
      </c>
      <c r="DS511" s="319" t="s">
        <v>190</v>
      </c>
      <c r="DT511" s="319" t="s">
        <v>190</v>
      </c>
      <c r="DU511" s="319" t="s">
        <v>190</v>
      </c>
      <c r="DV511" s="319" t="s">
        <v>173</v>
      </c>
      <c r="DW511" s="319" t="s">
        <v>190</v>
      </c>
      <c r="DX511" s="319" t="s">
        <v>190</v>
      </c>
      <c r="DY511" s="319" t="s">
        <v>190</v>
      </c>
      <c r="DZ511" s="319" t="s">
        <v>190</v>
      </c>
      <c r="EA511" s="319" t="s">
        <v>190</v>
      </c>
      <c r="EB511" s="319" t="s">
        <v>190</v>
      </c>
      <c r="EC511" s="319" t="s">
        <v>429</v>
      </c>
      <c r="ED511" s="319" t="s">
        <v>429</v>
      </c>
      <c r="EE511" s="319" t="s">
        <v>190</v>
      </c>
      <c r="EF511" s="319" t="s">
        <v>190</v>
      </c>
      <c r="EG511" s="319" t="s">
        <v>190</v>
      </c>
      <c r="EH511" s="319" t="s">
        <v>190</v>
      </c>
      <c r="EI511" s="319" t="s">
        <v>190</v>
      </c>
      <c r="EJ511" s="319" t="s">
        <v>190</v>
      </c>
      <c r="EK511" s="319" t="s">
        <v>190</v>
      </c>
      <c r="EL511" s="319" t="s">
        <v>190</v>
      </c>
      <c r="EM511" s="319" t="s">
        <v>190</v>
      </c>
      <c r="EN511" s="319" t="s">
        <v>190</v>
      </c>
      <c r="EO511" s="319" t="s">
        <v>190</v>
      </c>
      <c r="EP511" s="319" t="s">
        <v>190</v>
      </c>
      <c r="EQ511" s="319" t="s">
        <v>190</v>
      </c>
      <c r="ER511" s="319" t="s">
        <v>190</v>
      </c>
      <c r="ES511" s="319" t="s">
        <v>190</v>
      </c>
      <c r="ET511" s="319" t="s">
        <v>190</v>
      </c>
      <c r="EU511" s="319" t="s">
        <v>190</v>
      </c>
      <c r="EV511" s="319" t="s">
        <v>190</v>
      </c>
      <c r="EW511" s="319" t="s">
        <v>190</v>
      </c>
      <c r="EX511" s="319" t="s">
        <v>190</v>
      </c>
      <c r="EY511" s="319" t="s">
        <v>190</v>
      </c>
      <c r="EZ511" s="319" t="s">
        <v>190</v>
      </c>
      <c r="FA511" s="319" t="s">
        <v>190</v>
      </c>
      <c r="FB511" s="319" t="s">
        <v>190</v>
      </c>
      <c r="FC511" s="319" t="s">
        <v>190</v>
      </c>
      <c r="FD511" s="319" t="s">
        <v>190</v>
      </c>
      <c r="FE511" s="319" t="s">
        <v>190</v>
      </c>
      <c r="FF511" s="319" t="s">
        <v>190</v>
      </c>
      <c r="FG511" s="319" t="s">
        <v>190</v>
      </c>
      <c r="FH511" s="319" t="s">
        <v>190</v>
      </c>
      <c r="FI511" s="319" t="s">
        <v>190</v>
      </c>
      <c r="FJ511" s="319" t="s">
        <v>190</v>
      </c>
      <c r="FK511" s="319" t="s">
        <v>190</v>
      </c>
      <c r="FL511" s="319" t="s">
        <v>190</v>
      </c>
      <c r="FM511" s="319" t="s">
        <v>190</v>
      </c>
      <c r="FN511" s="319" t="s">
        <v>190</v>
      </c>
      <c r="FO511" s="319" t="s">
        <v>190</v>
      </c>
      <c r="FP511" s="319" t="s">
        <v>190</v>
      </c>
      <c r="FQ511" s="319" t="s">
        <v>190</v>
      </c>
      <c r="FR511" s="319" t="s">
        <v>190</v>
      </c>
      <c r="FS511" s="319" t="s">
        <v>190</v>
      </c>
      <c r="FT511" s="319" t="s">
        <v>190</v>
      </c>
      <c r="FU511" s="319" t="s">
        <v>190</v>
      </c>
      <c r="FV511" s="319" t="s">
        <v>190</v>
      </c>
      <c r="FW511" s="319" t="s">
        <v>190</v>
      </c>
      <c r="FX511" s="319" t="s">
        <v>190</v>
      </c>
      <c r="FY511" s="319" t="s">
        <v>190</v>
      </c>
      <c r="FZ511" s="319" t="s">
        <v>190</v>
      </c>
      <c r="GA511" s="319" t="s">
        <v>190</v>
      </c>
      <c r="GB511" s="319" t="s">
        <v>190</v>
      </c>
      <c r="GC511" s="319" t="s">
        <v>190</v>
      </c>
      <c r="GD511" s="319" t="s">
        <v>190</v>
      </c>
      <c r="GE511" s="319" t="s">
        <v>190</v>
      </c>
      <c r="GF511" s="319" t="s">
        <v>190</v>
      </c>
      <c r="GG511" s="319" t="s">
        <v>190</v>
      </c>
      <c r="GH511" s="319" t="s">
        <v>190</v>
      </c>
      <c r="GI511" s="319" t="s">
        <v>190</v>
      </c>
      <c r="GJ511" s="319" t="s">
        <v>190</v>
      </c>
      <c r="GK511" s="319" t="s">
        <v>429</v>
      </c>
      <c r="GL511" s="319" t="s">
        <v>190</v>
      </c>
      <c r="GM511" s="319" t="s">
        <v>190</v>
      </c>
      <c r="GN511" s="319" t="s">
        <v>190</v>
      </c>
      <c r="GO511" s="319" t="s">
        <v>190</v>
      </c>
      <c r="GP511" s="319" t="s">
        <v>190</v>
      </c>
      <c r="GQ511" s="319" t="s">
        <v>190</v>
      </c>
      <c r="GR511" s="319" t="s">
        <v>190</v>
      </c>
      <c r="GS511" s="319" t="s">
        <v>190</v>
      </c>
      <c r="GT511" s="319" t="s">
        <v>190</v>
      </c>
      <c r="GU511" s="319" t="s">
        <v>190</v>
      </c>
      <c r="GV511" s="319" t="s">
        <v>190</v>
      </c>
      <c r="GW511" s="319" t="s">
        <v>190</v>
      </c>
      <c r="GX511" s="319" t="s">
        <v>190</v>
      </c>
      <c r="GY511" s="319" t="s">
        <v>190</v>
      </c>
      <c r="GZ511" s="319" t="s">
        <v>190</v>
      </c>
      <c r="HA511" s="319" t="s">
        <v>190</v>
      </c>
      <c r="HB511" s="319" t="s">
        <v>190</v>
      </c>
      <c r="HC511" s="319" t="s">
        <v>190</v>
      </c>
      <c r="HD511" s="319" t="s">
        <v>190</v>
      </c>
      <c r="HE511" s="319" t="s">
        <v>190</v>
      </c>
      <c r="HF511" s="319" t="s">
        <v>190</v>
      </c>
      <c r="HG511" s="319" t="s">
        <v>190</v>
      </c>
      <c r="HH511" s="319" t="s">
        <v>190</v>
      </c>
      <c r="HI511" s="319" t="s">
        <v>190</v>
      </c>
      <c r="HJ511" s="319" t="s">
        <v>190</v>
      </c>
      <c r="HK511" s="319" t="s">
        <v>190</v>
      </c>
      <c r="HL511" s="319" t="s">
        <v>190</v>
      </c>
      <c r="HM511" s="319" t="s">
        <v>190</v>
      </c>
      <c r="HN511" s="319" t="s">
        <v>190</v>
      </c>
      <c r="HO511" s="319" t="s">
        <v>190</v>
      </c>
      <c r="HP511" s="319" t="s">
        <v>190</v>
      </c>
      <c r="HQ511" s="319" t="s">
        <v>190</v>
      </c>
      <c r="HR511" s="319" t="s">
        <v>190</v>
      </c>
      <c r="HS511" s="319" t="s">
        <v>190</v>
      </c>
      <c r="HT511" s="319" t="s">
        <v>190</v>
      </c>
      <c r="HU511" s="319" t="s">
        <v>190</v>
      </c>
      <c r="HV511" s="319" t="s">
        <v>190</v>
      </c>
      <c r="HW511" s="319" t="s">
        <v>190</v>
      </c>
      <c r="HX511" s="319" t="s">
        <v>190</v>
      </c>
      <c r="HY511" s="319" t="s">
        <v>190</v>
      </c>
      <c r="HZ511" s="319" t="s">
        <v>190</v>
      </c>
      <c r="IA511" s="319" t="s">
        <v>190</v>
      </c>
      <c r="IB511" s="319" t="s">
        <v>190</v>
      </c>
      <c r="IC511" s="319" t="s">
        <v>190</v>
      </c>
      <c r="ID511" s="319" t="s">
        <v>190</v>
      </c>
      <c r="IE511" s="319" t="s">
        <v>190</v>
      </c>
      <c r="IF511" s="319" t="s">
        <v>190</v>
      </c>
      <c r="IG511" s="319" t="s">
        <v>190</v>
      </c>
      <c r="IH511" s="319" t="s">
        <v>190</v>
      </c>
      <c r="II511" s="319" t="s">
        <v>190</v>
      </c>
      <c r="IJ511" s="319" t="s">
        <v>3277</v>
      </c>
      <c r="IK511" s="321">
        <v>41220</v>
      </c>
      <c r="IL511" s="321">
        <v>41221</v>
      </c>
      <c r="IM511" s="321">
        <v>41243</v>
      </c>
      <c r="IN511" s="319">
        <v>3</v>
      </c>
      <c r="IO511" s="319" t="s">
        <v>173</v>
      </c>
      <c r="IP511" s="319" t="s">
        <v>173</v>
      </c>
      <c r="IQ511" s="321" t="s">
        <v>173</v>
      </c>
      <c r="IR511" s="320" t="s">
        <v>173</v>
      </c>
      <c r="IS511" s="322" t="s">
        <v>173</v>
      </c>
      <c r="IT511" s="319" t="s">
        <v>173</v>
      </c>
    </row>
    <row r="512" spans="1:254" s="271" customFormat="1" x14ac:dyDescent="0.25">
      <c r="A512" s="318" t="str">
        <f>HYPERLINK("http://www.ofsted.gov.uk/inspection-reports/find-inspection-report/provider/ELS/135277 ","Ofsted School Webpage")</f>
        <v>Ofsted School Webpage</v>
      </c>
      <c r="B512" s="319">
        <v>135277</v>
      </c>
      <c r="C512" s="319">
        <v>2126411</v>
      </c>
      <c r="D512" s="319" t="s">
        <v>1911</v>
      </c>
      <c r="E512" s="319" t="s">
        <v>167</v>
      </c>
      <c r="F512" s="319" t="s">
        <v>81</v>
      </c>
      <c r="G512" s="319" t="s">
        <v>81</v>
      </c>
      <c r="H512" s="319" t="s">
        <v>81</v>
      </c>
      <c r="I512" s="319" t="s">
        <v>78</v>
      </c>
      <c r="J512" s="319" t="s">
        <v>424</v>
      </c>
      <c r="K512" s="319" t="s">
        <v>441</v>
      </c>
      <c r="L512" s="319" t="s">
        <v>441</v>
      </c>
      <c r="M512" s="319" t="s">
        <v>745</v>
      </c>
      <c r="N512" s="319" t="s">
        <v>2793</v>
      </c>
      <c r="O512" s="319" t="s">
        <v>1912</v>
      </c>
      <c r="P512" s="319">
        <v>255</v>
      </c>
      <c r="Q512" s="319" t="s">
        <v>2766</v>
      </c>
      <c r="R512" s="320">
        <v>10048716</v>
      </c>
      <c r="S512" s="321">
        <v>43283</v>
      </c>
      <c r="T512" s="321">
        <v>43285</v>
      </c>
      <c r="U512" s="321">
        <v>43346</v>
      </c>
      <c r="V512" s="319" t="s">
        <v>425</v>
      </c>
      <c r="W512" s="319" t="s">
        <v>2767</v>
      </c>
      <c r="X512" s="319">
        <v>1</v>
      </c>
      <c r="Y512" s="319" t="s">
        <v>173</v>
      </c>
      <c r="Z512" s="319" t="s">
        <v>173</v>
      </c>
      <c r="AA512" s="319" t="s">
        <v>173</v>
      </c>
      <c r="AB512" s="319">
        <v>1</v>
      </c>
      <c r="AC512" s="319" t="s">
        <v>169</v>
      </c>
      <c r="AD512" s="319">
        <v>1</v>
      </c>
      <c r="AE512" s="319" t="s">
        <v>173</v>
      </c>
      <c r="AF512" s="319" t="s">
        <v>427</v>
      </c>
      <c r="AG512" s="319" t="s">
        <v>171</v>
      </c>
      <c r="AH512" s="319" t="s">
        <v>190</v>
      </c>
      <c r="AI512" s="319" t="s">
        <v>190</v>
      </c>
      <c r="AJ512" s="319" t="s">
        <v>190</v>
      </c>
      <c r="AK512" s="319" t="s">
        <v>190</v>
      </c>
      <c r="AL512" s="319" t="s">
        <v>190</v>
      </c>
      <c r="AM512" s="319" t="s">
        <v>190</v>
      </c>
      <c r="AN512" s="319" t="s">
        <v>190</v>
      </c>
      <c r="AO512" s="319" t="s">
        <v>190</v>
      </c>
      <c r="AP512" s="319" t="s">
        <v>190</v>
      </c>
      <c r="AQ512" s="319" t="s">
        <v>190</v>
      </c>
      <c r="AR512" s="319" t="s">
        <v>190</v>
      </c>
      <c r="AS512" s="319" t="s">
        <v>190</v>
      </c>
      <c r="AT512" s="319" t="s">
        <v>190</v>
      </c>
      <c r="AU512" s="319" t="s">
        <v>190</v>
      </c>
      <c r="AV512" s="319" t="s">
        <v>190</v>
      </c>
      <c r="AW512" s="319" t="s">
        <v>190</v>
      </c>
      <c r="AX512" s="319" t="s">
        <v>190</v>
      </c>
      <c r="AY512" s="319" t="s">
        <v>190</v>
      </c>
      <c r="AZ512" s="319" t="s">
        <v>190</v>
      </c>
      <c r="BA512" s="319" t="s">
        <v>190</v>
      </c>
      <c r="BB512" s="319" t="s">
        <v>428</v>
      </c>
      <c r="BC512" s="319" t="s">
        <v>190</v>
      </c>
      <c r="BD512" s="319" t="s">
        <v>428</v>
      </c>
      <c r="BE512" s="319" t="s">
        <v>428</v>
      </c>
      <c r="BF512" s="319" t="s">
        <v>190</v>
      </c>
      <c r="BG512" s="319" t="s">
        <v>428</v>
      </c>
      <c r="BH512" s="319" t="s">
        <v>190</v>
      </c>
      <c r="BI512" s="319" t="s">
        <v>190</v>
      </c>
      <c r="BJ512" s="319" t="s">
        <v>190</v>
      </c>
      <c r="BK512" s="319" t="s">
        <v>190</v>
      </c>
      <c r="BL512" s="319" t="s">
        <v>190</v>
      </c>
      <c r="BM512" s="319" t="s">
        <v>190</v>
      </c>
      <c r="BN512" s="319" t="s">
        <v>190</v>
      </c>
      <c r="BO512" s="319" t="s">
        <v>190</v>
      </c>
      <c r="BP512" s="319" t="s">
        <v>190</v>
      </c>
      <c r="BQ512" s="319" t="s">
        <v>190</v>
      </c>
      <c r="BR512" s="319" t="s">
        <v>190</v>
      </c>
      <c r="BS512" s="319" t="s">
        <v>190</v>
      </c>
      <c r="BT512" s="319" t="s">
        <v>190</v>
      </c>
      <c r="BU512" s="319" t="s">
        <v>190</v>
      </c>
      <c r="BV512" s="319" t="s">
        <v>190</v>
      </c>
      <c r="BW512" s="319" t="s">
        <v>190</v>
      </c>
      <c r="BX512" s="319" t="s">
        <v>190</v>
      </c>
      <c r="BY512" s="319" t="s">
        <v>190</v>
      </c>
      <c r="BZ512" s="319" t="s">
        <v>190</v>
      </c>
      <c r="CA512" s="319" t="s">
        <v>190</v>
      </c>
      <c r="CB512" s="319" t="s">
        <v>190</v>
      </c>
      <c r="CC512" s="319" t="s">
        <v>190</v>
      </c>
      <c r="CD512" s="319" t="s">
        <v>190</v>
      </c>
      <c r="CE512" s="319" t="s">
        <v>190</v>
      </c>
      <c r="CF512" s="319" t="s">
        <v>190</v>
      </c>
      <c r="CG512" s="319" t="s">
        <v>190</v>
      </c>
      <c r="CH512" s="319" t="s">
        <v>190</v>
      </c>
      <c r="CI512" s="319" t="s">
        <v>190</v>
      </c>
      <c r="CJ512" s="319" t="s">
        <v>190</v>
      </c>
      <c r="CK512" s="319" t="s">
        <v>190</v>
      </c>
      <c r="CL512" s="319" t="s">
        <v>190</v>
      </c>
      <c r="CM512" s="319" t="s">
        <v>190</v>
      </c>
      <c r="CN512" s="319" t="s">
        <v>428</v>
      </c>
      <c r="CO512" s="319" t="s">
        <v>428</v>
      </c>
      <c r="CP512" s="319" t="s">
        <v>428</v>
      </c>
      <c r="CQ512" s="319" t="s">
        <v>190</v>
      </c>
      <c r="CR512" s="319" t="s">
        <v>190</v>
      </c>
      <c r="CS512" s="319" t="s">
        <v>190</v>
      </c>
      <c r="CT512" s="319" t="s">
        <v>190</v>
      </c>
      <c r="CU512" s="319" t="s">
        <v>190</v>
      </c>
      <c r="CV512" s="319" t="s">
        <v>190</v>
      </c>
      <c r="CW512" s="319" t="s">
        <v>190</v>
      </c>
      <c r="CX512" s="319" t="s">
        <v>190</v>
      </c>
      <c r="CY512" s="319" t="s">
        <v>190</v>
      </c>
      <c r="CZ512" s="319" t="s">
        <v>190</v>
      </c>
      <c r="DA512" s="319" t="s">
        <v>190</v>
      </c>
      <c r="DB512" s="319" t="s">
        <v>190</v>
      </c>
      <c r="DC512" s="319" t="s">
        <v>190</v>
      </c>
      <c r="DD512" s="319" t="s">
        <v>190</v>
      </c>
      <c r="DE512" s="319" t="s">
        <v>190</v>
      </c>
      <c r="DF512" s="319" t="s">
        <v>190</v>
      </c>
      <c r="DG512" s="319" t="s">
        <v>190</v>
      </c>
      <c r="DH512" s="319" t="s">
        <v>190</v>
      </c>
      <c r="DI512" s="319" t="s">
        <v>190</v>
      </c>
      <c r="DJ512" s="319" t="s">
        <v>190</v>
      </c>
      <c r="DK512" s="319" t="s">
        <v>190</v>
      </c>
      <c r="DL512" s="319" t="s">
        <v>190</v>
      </c>
      <c r="DM512" s="319" t="s">
        <v>190</v>
      </c>
      <c r="DN512" s="319" t="s">
        <v>428</v>
      </c>
      <c r="DO512" s="319" t="s">
        <v>190</v>
      </c>
      <c r="DP512" s="319" t="s">
        <v>190</v>
      </c>
      <c r="DQ512" s="319" t="s">
        <v>190</v>
      </c>
      <c r="DR512" s="319" t="s">
        <v>190</v>
      </c>
      <c r="DS512" s="319" t="s">
        <v>190</v>
      </c>
      <c r="DT512" s="319" t="s">
        <v>190</v>
      </c>
      <c r="DU512" s="319" t="s">
        <v>190</v>
      </c>
      <c r="DV512" s="319" t="s">
        <v>173</v>
      </c>
      <c r="DW512" s="319" t="s">
        <v>190</v>
      </c>
      <c r="DX512" s="319" t="s">
        <v>190</v>
      </c>
      <c r="DY512" s="319" t="s">
        <v>190</v>
      </c>
      <c r="DZ512" s="319" t="s">
        <v>190</v>
      </c>
      <c r="EA512" s="319" t="s">
        <v>190</v>
      </c>
      <c r="EB512" s="319" t="s">
        <v>190</v>
      </c>
      <c r="EC512" s="319" t="s">
        <v>428</v>
      </c>
      <c r="ED512" s="319" t="s">
        <v>190</v>
      </c>
      <c r="EE512" s="319" t="s">
        <v>190</v>
      </c>
      <c r="EF512" s="319" t="s">
        <v>190</v>
      </c>
      <c r="EG512" s="319" t="s">
        <v>190</v>
      </c>
      <c r="EH512" s="319" t="s">
        <v>190</v>
      </c>
      <c r="EI512" s="319" t="s">
        <v>428</v>
      </c>
      <c r="EJ512" s="319" t="s">
        <v>428</v>
      </c>
      <c r="EK512" s="319" t="s">
        <v>428</v>
      </c>
      <c r="EL512" s="319" t="s">
        <v>428</v>
      </c>
      <c r="EM512" s="319" t="s">
        <v>190</v>
      </c>
      <c r="EN512" s="319" t="s">
        <v>190</v>
      </c>
      <c r="EO512" s="319" t="s">
        <v>190</v>
      </c>
      <c r="EP512" s="319" t="s">
        <v>190</v>
      </c>
      <c r="EQ512" s="319" t="s">
        <v>190</v>
      </c>
      <c r="ER512" s="319" t="s">
        <v>190</v>
      </c>
      <c r="ES512" s="319" t="s">
        <v>190</v>
      </c>
      <c r="ET512" s="319" t="s">
        <v>190</v>
      </c>
      <c r="EU512" s="319" t="s">
        <v>190</v>
      </c>
      <c r="EV512" s="319" t="s">
        <v>190</v>
      </c>
      <c r="EW512" s="319" t="s">
        <v>190</v>
      </c>
      <c r="EX512" s="319" t="s">
        <v>190</v>
      </c>
      <c r="EY512" s="319" t="s">
        <v>190</v>
      </c>
      <c r="EZ512" s="319" t="s">
        <v>190</v>
      </c>
      <c r="FA512" s="319" t="s">
        <v>190</v>
      </c>
      <c r="FB512" s="319" t="s">
        <v>190</v>
      </c>
      <c r="FC512" s="319" t="s">
        <v>190</v>
      </c>
      <c r="FD512" s="319" t="s">
        <v>190</v>
      </c>
      <c r="FE512" s="319" t="s">
        <v>190</v>
      </c>
      <c r="FF512" s="319" t="s">
        <v>190</v>
      </c>
      <c r="FG512" s="319" t="s">
        <v>190</v>
      </c>
      <c r="FH512" s="319" t="s">
        <v>190</v>
      </c>
      <c r="FI512" s="319" t="s">
        <v>190</v>
      </c>
      <c r="FJ512" s="319" t="s">
        <v>190</v>
      </c>
      <c r="FK512" s="319" t="s">
        <v>190</v>
      </c>
      <c r="FL512" s="319" t="s">
        <v>190</v>
      </c>
      <c r="FM512" s="319" t="s">
        <v>190</v>
      </c>
      <c r="FN512" s="319" t="s">
        <v>190</v>
      </c>
      <c r="FO512" s="319" t="s">
        <v>190</v>
      </c>
      <c r="FP512" s="319" t="s">
        <v>190</v>
      </c>
      <c r="FQ512" s="319" t="s">
        <v>190</v>
      </c>
      <c r="FR512" s="319" t="s">
        <v>190</v>
      </c>
      <c r="FS512" s="319" t="s">
        <v>190</v>
      </c>
      <c r="FT512" s="319" t="s">
        <v>190</v>
      </c>
      <c r="FU512" s="319" t="s">
        <v>190</v>
      </c>
      <c r="FV512" s="319" t="s">
        <v>190</v>
      </c>
      <c r="FW512" s="319" t="s">
        <v>190</v>
      </c>
      <c r="FX512" s="319" t="s">
        <v>190</v>
      </c>
      <c r="FY512" s="319" t="s">
        <v>190</v>
      </c>
      <c r="FZ512" s="319" t="s">
        <v>190</v>
      </c>
      <c r="GA512" s="319" t="s">
        <v>190</v>
      </c>
      <c r="GB512" s="319" t="s">
        <v>190</v>
      </c>
      <c r="GC512" s="319" t="s">
        <v>190</v>
      </c>
      <c r="GD512" s="319" t="s">
        <v>190</v>
      </c>
      <c r="GE512" s="319" t="s">
        <v>190</v>
      </c>
      <c r="GF512" s="319" t="s">
        <v>190</v>
      </c>
      <c r="GG512" s="319" t="s">
        <v>190</v>
      </c>
      <c r="GH512" s="319" t="s">
        <v>190</v>
      </c>
      <c r="GI512" s="319" t="s">
        <v>190</v>
      </c>
      <c r="GJ512" s="319" t="s">
        <v>190</v>
      </c>
      <c r="GK512" s="319" t="s">
        <v>428</v>
      </c>
      <c r="GL512" s="319" t="s">
        <v>190</v>
      </c>
      <c r="GM512" s="319" t="s">
        <v>190</v>
      </c>
      <c r="GN512" s="319" t="s">
        <v>190</v>
      </c>
      <c r="GO512" s="319" t="s">
        <v>190</v>
      </c>
      <c r="GP512" s="319" t="s">
        <v>190</v>
      </c>
      <c r="GQ512" s="319" t="s">
        <v>428</v>
      </c>
      <c r="GR512" s="319" t="s">
        <v>190</v>
      </c>
      <c r="GS512" s="319" t="s">
        <v>190</v>
      </c>
      <c r="GT512" s="319" t="s">
        <v>428</v>
      </c>
      <c r="GU512" s="319" t="s">
        <v>428</v>
      </c>
      <c r="GV512" s="319" t="s">
        <v>190</v>
      </c>
      <c r="GW512" s="319" t="s">
        <v>190</v>
      </c>
      <c r="GX512" s="319" t="s">
        <v>190</v>
      </c>
      <c r="GY512" s="319" t="s">
        <v>190</v>
      </c>
      <c r="GZ512" s="319" t="s">
        <v>428</v>
      </c>
      <c r="HA512" s="319" t="s">
        <v>190</v>
      </c>
      <c r="HB512" s="319" t="s">
        <v>428</v>
      </c>
      <c r="HC512" s="319" t="s">
        <v>190</v>
      </c>
      <c r="HD512" s="319" t="s">
        <v>190</v>
      </c>
      <c r="HE512" s="319" t="s">
        <v>190</v>
      </c>
      <c r="HF512" s="319" t="s">
        <v>190</v>
      </c>
      <c r="HG512" s="319" t="s">
        <v>190</v>
      </c>
      <c r="HH512" s="319" t="s">
        <v>190</v>
      </c>
      <c r="HI512" s="319" t="s">
        <v>190</v>
      </c>
      <c r="HJ512" s="319" t="s">
        <v>190</v>
      </c>
      <c r="HK512" s="319" t="s">
        <v>190</v>
      </c>
      <c r="HL512" s="319" t="s">
        <v>428</v>
      </c>
      <c r="HM512" s="319" t="s">
        <v>428</v>
      </c>
      <c r="HN512" s="319" t="s">
        <v>428</v>
      </c>
      <c r="HO512" s="319" t="s">
        <v>428</v>
      </c>
      <c r="HP512" s="319" t="s">
        <v>190</v>
      </c>
      <c r="HQ512" s="319" t="s">
        <v>190</v>
      </c>
      <c r="HR512" s="319" t="s">
        <v>190</v>
      </c>
      <c r="HS512" s="319" t="s">
        <v>190</v>
      </c>
      <c r="HT512" s="319" t="s">
        <v>190</v>
      </c>
      <c r="HU512" s="319" t="s">
        <v>190</v>
      </c>
      <c r="HV512" s="319" t="s">
        <v>190</v>
      </c>
      <c r="HW512" s="319" t="s">
        <v>190</v>
      </c>
      <c r="HX512" s="319" t="s">
        <v>190</v>
      </c>
      <c r="HY512" s="319" t="s">
        <v>190</v>
      </c>
      <c r="HZ512" s="319" t="s">
        <v>190</v>
      </c>
      <c r="IA512" s="319" t="s">
        <v>190</v>
      </c>
      <c r="IB512" s="319" t="s">
        <v>190</v>
      </c>
      <c r="IC512" s="319" t="s">
        <v>190</v>
      </c>
      <c r="ID512" s="319" t="s">
        <v>190</v>
      </c>
      <c r="IE512" s="319" t="s">
        <v>190</v>
      </c>
      <c r="IF512" s="319" t="s">
        <v>190</v>
      </c>
      <c r="IG512" s="319" t="s">
        <v>190</v>
      </c>
      <c r="IH512" s="319" t="s">
        <v>190</v>
      </c>
      <c r="II512" s="319" t="s">
        <v>190</v>
      </c>
      <c r="IJ512" s="319" t="s">
        <v>3278</v>
      </c>
      <c r="IK512" s="321">
        <v>42130</v>
      </c>
      <c r="IL512" s="321">
        <v>42132</v>
      </c>
      <c r="IM512" s="321">
        <v>42185</v>
      </c>
      <c r="IN512" s="319">
        <v>1</v>
      </c>
      <c r="IO512" s="319" t="s">
        <v>173</v>
      </c>
      <c r="IP512" s="319" t="s">
        <v>173</v>
      </c>
      <c r="IQ512" s="321" t="s">
        <v>173</v>
      </c>
      <c r="IR512" s="320" t="s">
        <v>173</v>
      </c>
      <c r="IS512" s="322" t="s">
        <v>173</v>
      </c>
      <c r="IT512" s="319" t="s">
        <v>173</v>
      </c>
    </row>
    <row r="513" spans="1:254" s="271" customFormat="1" x14ac:dyDescent="0.25">
      <c r="A513" s="318" t="str">
        <f>HYPERLINK("http://www.ofsted.gov.uk/inspection-reports/find-inspection-report/provider/ELS/135278 ","Ofsted School Webpage")</f>
        <v>Ofsted School Webpage</v>
      </c>
      <c r="B513" s="319">
        <v>135278</v>
      </c>
      <c r="C513" s="319">
        <v>9336215</v>
      </c>
      <c r="D513" s="319" t="s">
        <v>3279</v>
      </c>
      <c r="E513" s="319" t="s">
        <v>168</v>
      </c>
      <c r="F513" s="319" t="s">
        <v>81</v>
      </c>
      <c r="G513" s="319" t="s">
        <v>81</v>
      </c>
      <c r="H513" s="319" t="s">
        <v>81</v>
      </c>
      <c r="I513" s="319" t="s">
        <v>78</v>
      </c>
      <c r="J513" s="319" t="s">
        <v>424</v>
      </c>
      <c r="K513" s="319" t="s">
        <v>422</v>
      </c>
      <c r="L513" s="319" t="s">
        <v>422</v>
      </c>
      <c r="M513" s="319" t="s">
        <v>466</v>
      </c>
      <c r="N513" s="319" t="s">
        <v>3114</v>
      </c>
      <c r="O513" s="319" t="s">
        <v>1006</v>
      </c>
      <c r="P513" s="319">
        <v>5</v>
      </c>
      <c r="Q513" s="319" t="s">
        <v>429</v>
      </c>
      <c r="R513" s="320">
        <v>10041376</v>
      </c>
      <c r="S513" s="321">
        <v>43116</v>
      </c>
      <c r="T513" s="321">
        <v>43118</v>
      </c>
      <c r="U513" s="321">
        <v>43171</v>
      </c>
      <c r="V513" s="319" t="s">
        <v>425</v>
      </c>
      <c r="W513" s="319" t="s">
        <v>2767</v>
      </c>
      <c r="X513" s="319">
        <v>4</v>
      </c>
      <c r="Y513" s="319" t="s">
        <v>173</v>
      </c>
      <c r="Z513" s="319" t="s">
        <v>173</v>
      </c>
      <c r="AA513" s="319" t="s">
        <v>173</v>
      </c>
      <c r="AB513" s="319">
        <v>4</v>
      </c>
      <c r="AC513" s="319" t="s">
        <v>169</v>
      </c>
      <c r="AD513" s="319" t="s">
        <v>173</v>
      </c>
      <c r="AE513" s="319" t="s">
        <v>173</v>
      </c>
      <c r="AF513" s="319" t="s">
        <v>427</v>
      </c>
      <c r="AG513" s="319" t="s">
        <v>172</v>
      </c>
      <c r="AH513" s="319" t="s">
        <v>479</v>
      </c>
      <c r="AI513" s="319" t="s">
        <v>479</v>
      </c>
      <c r="AJ513" s="319" t="s">
        <v>479</v>
      </c>
      <c r="AK513" s="319" t="s">
        <v>190</v>
      </c>
      <c r="AL513" s="319" t="s">
        <v>190</v>
      </c>
      <c r="AM513" s="319" t="s">
        <v>190</v>
      </c>
      <c r="AN513" s="319" t="s">
        <v>190</v>
      </c>
      <c r="AO513" s="319" t="s">
        <v>479</v>
      </c>
      <c r="AP513" s="319" t="s">
        <v>191</v>
      </c>
      <c r="AQ513" s="319" t="s">
        <v>191</v>
      </c>
      <c r="AR513" s="319" t="s">
        <v>190</v>
      </c>
      <c r="AS513" s="319" t="s">
        <v>190</v>
      </c>
      <c r="AT513" s="319" t="s">
        <v>190</v>
      </c>
      <c r="AU513" s="319" t="s">
        <v>191</v>
      </c>
      <c r="AV513" s="319" t="s">
        <v>190</v>
      </c>
      <c r="AW513" s="319" t="s">
        <v>190</v>
      </c>
      <c r="AX513" s="319" t="s">
        <v>428</v>
      </c>
      <c r="AY513" s="319" t="s">
        <v>190</v>
      </c>
      <c r="AZ513" s="319" t="s">
        <v>190</v>
      </c>
      <c r="BA513" s="319" t="s">
        <v>190</v>
      </c>
      <c r="BB513" s="319" t="s">
        <v>191</v>
      </c>
      <c r="BC513" s="319" t="s">
        <v>191</v>
      </c>
      <c r="BD513" s="319" t="s">
        <v>191</v>
      </c>
      <c r="BE513" s="319" t="s">
        <v>190</v>
      </c>
      <c r="BF513" s="319" t="s">
        <v>428</v>
      </c>
      <c r="BG513" s="319" t="s">
        <v>428</v>
      </c>
      <c r="BH513" s="319" t="s">
        <v>190</v>
      </c>
      <c r="BI513" s="319" t="s">
        <v>190</v>
      </c>
      <c r="BJ513" s="319" t="s">
        <v>191</v>
      </c>
      <c r="BK513" s="319" t="s">
        <v>191</v>
      </c>
      <c r="BL513" s="319" t="s">
        <v>190</v>
      </c>
      <c r="BM513" s="319" t="s">
        <v>191</v>
      </c>
      <c r="BN513" s="319" t="s">
        <v>191</v>
      </c>
      <c r="BO513" s="319" t="s">
        <v>191</v>
      </c>
      <c r="BP513" s="319" t="s">
        <v>191</v>
      </c>
      <c r="BQ513" s="319" t="s">
        <v>191</v>
      </c>
      <c r="BR513" s="319" t="s">
        <v>190</v>
      </c>
      <c r="BS513" s="319" t="s">
        <v>190</v>
      </c>
      <c r="BT513" s="319" t="s">
        <v>190</v>
      </c>
      <c r="BU513" s="319" t="s">
        <v>191</v>
      </c>
      <c r="BV513" s="319" t="s">
        <v>191</v>
      </c>
      <c r="BW513" s="319" t="s">
        <v>190</v>
      </c>
      <c r="BX513" s="319" t="s">
        <v>191</v>
      </c>
      <c r="BY513" s="319" t="s">
        <v>190</v>
      </c>
      <c r="BZ513" s="319" t="s">
        <v>190</v>
      </c>
      <c r="CA513" s="319" t="s">
        <v>190</v>
      </c>
      <c r="CB513" s="319" t="s">
        <v>190</v>
      </c>
      <c r="CC513" s="319" t="s">
        <v>191</v>
      </c>
      <c r="CD513" s="319" t="s">
        <v>190</v>
      </c>
      <c r="CE513" s="319" t="s">
        <v>190</v>
      </c>
      <c r="CF513" s="319" t="s">
        <v>190</v>
      </c>
      <c r="CG513" s="319" t="s">
        <v>190</v>
      </c>
      <c r="CH513" s="319" t="s">
        <v>190</v>
      </c>
      <c r="CI513" s="319" t="s">
        <v>190</v>
      </c>
      <c r="CJ513" s="319" t="s">
        <v>190</v>
      </c>
      <c r="CK513" s="319" t="s">
        <v>190</v>
      </c>
      <c r="CL513" s="319" t="s">
        <v>190</v>
      </c>
      <c r="CM513" s="319" t="s">
        <v>190</v>
      </c>
      <c r="CN513" s="319" t="s">
        <v>190</v>
      </c>
      <c r="CO513" s="319" t="s">
        <v>190</v>
      </c>
      <c r="CP513" s="319" t="s">
        <v>190</v>
      </c>
      <c r="CQ513" s="319" t="s">
        <v>190</v>
      </c>
      <c r="CR513" s="319" t="s">
        <v>190</v>
      </c>
      <c r="CS513" s="319" t="s">
        <v>190</v>
      </c>
      <c r="CT513" s="319" t="s">
        <v>190</v>
      </c>
      <c r="CU513" s="319" t="s">
        <v>190</v>
      </c>
      <c r="CV513" s="319" t="s">
        <v>190</v>
      </c>
      <c r="CW513" s="319" t="s">
        <v>190</v>
      </c>
      <c r="CX513" s="319" t="s">
        <v>190</v>
      </c>
      <c r="CY513" s="319" t="s">
        <v>190</v>
      </c>
      <c r="CZ513" s="319" t="s">
        <v>190</v>
      </c>
      <c r="DA513" s="319" t="s">
        <v>191</v>
      </c>
      <c r="DB513" s="319" t="s">
        <v>191</v>
      </c>
      <c r="DC513" s="319" t="s">
        <v>191</v>
      </c>
      <c r="DD513" s="319" t="s">
        <v>190</v>
      </c>
      <c r="DE513" s="319" t="s">
        <v>190</v>
      </c>
      <c r="DF513" s="319" t="s">
        <v>190</v>
      </c>
      <c r="DG513" s="319" t="s">
        <v>190</v>
      </c>
      <c r="DH513" s="319" t="s">
        <v>190</v>
      </c>
      <c r="DI513" s="319" t="s">
        <v>190</v>
      </c>
      <c r="DJ513" s="319" t="s">
        <v>190</v>
      </c>
      <c r="DK513" s="319" t="s">
        <v>190</v>
      </c>
      <c r="DL513" s="319" t="s">
        <v>190</v>
      </c>
      <c r="DM513" s="319" t="s">
        <v>190</v>
      </c>
      <c r="DN513" s="319" t="s">
        <v>190</v>
      </c>
      <c r="DO513" s="319" t="s">
        <v>190</v>
      </c>
      <c r="DP513" s="319" t="s">
        <v>190</v>
      </c>
      <c r="DQ513" s="319" t="s">
        <v>190</v>
      </c>
      <c r="DR513" s="319" t="s">
        <v>190</v>
      </c>
      <c r="DS513" s="319" t="s">
        <v>190</v>
      </c>
      <c r="DT513" s="319" t="s">
        <v>190</v>
      </c>
      <c r="DU513" s="319" t="s">
        <v>190</v>
      </c>
      <c r="DV513" s="319" t="s">
        <v>173</v>
      </c>
      <c r="DW513" s="319" t="s">
        <v>190</v>
      </c>
      <c r="DX513" s="319" t="s">
        <v>190</v>
      </c>
      <c r="DY513" s="319" t="s">
        <v>190</v>
      </c>
      <c r="DZ513" s="319" t="s">
        <v>190</v>
      </c>
      <c r="EA513" s="319" t="s">
        <v>190</v>
      </c>
      <c r="EB513" s="319" t="s">
        <v>190</v>
      </c>
      <c r="EC513" s="319" t="s">
        <v>190</v>
      </c>
      <c r="ED513" s="319" t="s">
        <v>190</v>
      </c>
      <c r="EE513" s="319" t="s">
        <v>190</v>
      </c>
      <c r="EF513" s="319" t="s">
        <v>190</v>
      </c>
      <c r="EG513" s="319" t="s">
        <v>190</v>
      </c>
      <c r="EH513" s="319" t="s">
        <v>190</v>
      </c>
      <c r="EI513" s="319" t="s">
        <v>190</v>
      </c>
      <c r="EJ513" s="319" t="s">
        <v>190</v>
      </c>
      <c r="EK513" s="319" t="s">
        <v>190</v>
      </c>
      <c r="EL513" s="319" t="s">
        <v>190</v>
      </c>
      <c r="EM513" s="319" t="s">
        <v>190</v>
      </c>
      <c r="EN513" s="319" t="s">
        <v>190</v>
      </c>
      <c r="EO513" s="319" t="s">
        <v>190</v>
      </c>
      <c r="EP513" s="319" t="s">
        <v>190</v>
      </c>
      <c r="EQ513" s="319" t="s">
        <v>190</v>
      </c>
      <c r="ER513" s="319" t="s">
        <v>190</v>
      </c>
      <c r="ES513" s="319" t="s">
        <v>190</v>
      </c>
      <c r="ET513" s="319" t="s">
        <v>190</v>
      </c>
      <c r="EU513" s="319" t="s">
        <v>190</v>
      </c>
      <c r="EV513" s="319" t="s">
        <v>190</v>
      </c>
      <c r="EW513" s="319" t="s">
        <v>190</v>
      </c>
      <c r="EX513" s="319" t="s">
        <v>190</v>
      </c>
      <c r="EY513" s="319" t="s">
        <v>190</v>
      </c>
      <c r="EZ513" s="319" t="s">
        <v>190</v>
      </c>
      <c r="FA513" s="319" t="s">
        <v>190</v>
      </c>
      <c r="FB513" s="319" t="s">
        <v>190</v>
      </c>
      <c r="FC513" s="319" t="s">
        <v>190</v>
      </c>
      <c r="FD513" s="319" t="s">
        <v>190</v>
      </c>
      <c r="FE513" s="319" t="s">
        <v>190</v>
      </c>
      <c r="FF513" s="319" t="s">
        <v>190</v>
      </c>
      <c r="FG513" s="319" t="s">
        <v>190</v>
      </c>
      <c r="FH513" s="319" t="s">
        <v>190</v>
      </c>
      <c r="FI513" s="319" t="s">
        <v>190</v>
      </c>
      <c r="FJ513" s="319" t="s">
        <v>190</v>
      </c>
      <c r="FK513" s="319" t="s">
        <v>190</v>
      </c>
      <c r="FL513" s="319" t="s">
        <v>190</v>
      </c>
      <c r="FM513" s="319" t="s">
        <v>190</v>
      </c>
      <c r="FN513" s="319" t="s">
        <v>190</v>
      </c>
      <c r="FO513" s="319" t="s">
        <v>190</v>
      </c>
      <c r="FP513" s="319" t="s">
        <v>190</v>
      </c>
      <c r="FQ513" s="319" t="s">
        <v>190</v>
      </c>
      <c r="FR513" s="319" t="s">
        <v>190</v>
      </c>
      <c r="FS513" s="319" t="s">
        <v>190</v>
      </c>
      <c r="FT513" s="319" t="s">
        <v>190</v>
      </c>
      <c r="FU513" s="319" t="s">
        <v>190</v>
      </c>
      <c r="FV513" s="319" t="s">
        <v>190</v>
      </c>
      <c r="FW513" s="319" t="s">
        <v>190</v>
      </c>
      <c r="FX513" s="319" t="s">
        <v>190</v>
      </c>
      <c r="FY513" s="319" t="s">
        <v>190</v>
      </c>
      <c r="FZ513" s="319" t="s">
        <v>190</v>
      </c>
      <c r="GA513" s="319" t="s">
        <v>190</v>
      </c>
      <c r="GB513" s="319" t="s">
        <v>190</v>
      </c>
      <c r="GC513" s="319" t="s">
        <v>190</v>
      </c>
      <c r="GD513" s="319" t="s">
        <v>190</v>
      </c>
      <c r="GE513" s="319" t="s">
        <v>190</v>
      </c>
      <c r="GF513" s="319" t="s">
        <v>190</v>
      </c>
      <c r="GG513" s="319" t="s">
        <v>190</v>
      </c>
      <c r="GH513" s="319" t="s">
        <v>190</v>
      </c>
      <c r="GI513" s="319" t="s">
        <v>190</v>
      </c>
      <c r="GJ513" s="319" t="s">
        <v>190</v>
      </c>
      <c r="GK513" s="319" t="s">
        <v>190</v>
      </c>
      <c r="GL513" s="319" t="s">
        <v>190</v>
      </c>
      <c r="GM513" s="319" t="s">
        <v>190</v>
      </c>
      <c r="GN513" s="319" t="s">
        <v>190</v>
      </c>
      <c r="GO513" s="319" t="s">
        <v>190</v>
      </c>
      <c r="GP513" s="319" t="s">
        <v>190</v>
      </c>
      <c r="GQ513" s="319" t="s">
        <v>190</v>
      </c>
      <c r="GR513" s="319" t="s">
        <v>190</v>
      </c>
      <c r="GS513" s="319" t="s">
        <v>190</v>
      </c>
      <c r="GT513" s="319" t="s">
        <v>190</v>
      </c>
      <c r="GU513" s="319" t="s">
        <v>190</v>
      </c>
      <c r="GV513" s="319" t="s">
        <v>190</v>
      </c>
      <c r="GW513" s="319" t="s">
        <v>190</v>
      </c>
      <c r="GX513" s="319" t="s">
        <v>190</v>
      </c>
      <c r="GY513" s="319" t="s">
        <v>190</v>
      </c>
      <c r="GZ513" s="319" t="s">
        <v>190</v>
      </c>
      <c r="HA513" s="319" t="s">
        <v>190</v>
      </c>
      <c r="HB513" s="319" t="s">
        <v>190</v>
      </c>
      <c r="HC513" s="319" t="s">
        <v>190</v>
      </c>
      <c r="HD513" s="319" t="s">
        <v>190</v>
      </c>
      <c r="HE513" s="319" t="s">
        <v>190</v>
      </c>
      <c r="HF513" s="319" t="s">
        <v>190</v>
      </c>
      <c r="HG513" s="319" t="s">
        <v>190</v>
      </c>
      <c r="HH513" s="319" t="s">
        <v>190</v>
      </c>
      <c r="HI513" s="319" t="s">
        <v>190</v>
      </c>
      <c r="HJ513" s="319" t="s">
        <v>190</v>
      </c>
      <c r="HK513" s="319" t="s">
        <v>190</v>
      </c>
      <c r="HL513" s="319" t="s">
        <v>190</v>
      </c>
      <c r="HM513" s="319" t="s">
        <v>190</v>
      </c>
      <c r="HN513" s="319" t="s">
        <v>190</v>
      </c>
      <c r="HO513" s="319" t="s">
        <v>190</v>
      </c>
      <c r="HP513" s="319" t="s">
        <v>190</v>
      </c>
      <c r="HQ513" s="319" t="s">
        <v>190</v>
      </c>
      <c r="HR513" s="319" t="s">
        <v>190</v>
      </c>
      <c r="HS513" s="319" t="s">
        <v>190</v>
      </c>
      <c r="HT513" s="319" t="s">
        <v>190</v>
      </c>
      <c r="HU513" s="319" t="s">
        <v>190</v>
      </c>
      <c r="HV513" s="319" t="s">
        <v>190</v>
      </c>
      <c r="HW513" s="319" t="s">
        <v>190</v>
      </c>
      <c r="HX513" s="319" t="s">
        <v>190</v>
      </c>
      <c r="HY513" s="319" t="s">
        <v>190</v>
      </c>
      <c r="HZ513" s="319" t="s">
        <v>190</v>
      </c>
      <c r="IA513" s="319" t="s">
        <v>190</v>
      </c>
      <c r="IB513" s="319" t="s">
        <v>190</v>
      </c>
      <c r="IC513" s="319" t="s">
        <v>190</v>
      </c>
      <c r="ID513" s="319" t="s">
        <v>190</v>
      </c>
      <c r="IE513" s="319" t="s">
        <v>190</v>
      </c>
      <c r="IF513" s="319" t="s">
        <v>191</v>
      </c>
      <c r="IG513" s="319" t="s">
        <v>191</v>
      </c>
      <c r="IH513" s="319" t="s">
        <v>191</v>
      </c>
      <c r="II513" s="319" t="s">
        <v>190</v>
      </c>
      <c r="IJ513" s="319" t="s">
        <v>3280</v>
      </c>
      <c r="IK513" s="321">
        <v>42025</v>
      </c>
      <c r="IL513" s="321">
        <v>42027</v>
      </c>
      <c r="IM513" s="321">
        <v>42066</v>
      </c>
      <c r="IN513" s="319">
        <v>2</v>
      </c>
      <c r="IO513" s="319">
        <v>10094027</v>
      </c>
      <c r="IP513" s="319" t="s">
        <v>985</v>
      </c>
      <c r="IQ513" s="321">
        <v>43669</v>
      </c>
      <c r="IR513" s="320" t="s">
        <v>1223</v>
      </c>
      <c r="IS513" s="322">
        <v>43711</v>
      </c>
      <c r="IT513" s="319" t="s">
        <v>166</v>
      </c>
    </row>
    <row r="514" spans="1:254" s="271" customFormat="1" x14ac:dyDescent="0.25">
      <c r="A514" s="318" t="str">
        <f>HYPERLINK("http://www.ofsted.gov.uk/inspection-reports/find-inspection-report/provider/ELS/135292 ","Ofsted School Webpage")</f>
        <v>Ofsted School Webpage</v>
      </c>
      <c r="B514" s="319">
        <v>135292</v>
      </c>
      <c r="C514" s="319">
        <v>8886098</v>
      </c>
      <c r="D514" s="319" t="s">
        <v>1913</v>
      </c>
      <c r="E514" s="319" t="s">
        <v>168</v>
      </c>
      <c r="F514" s="319" t="s">
        <v>81</v>
      </c>
      <c r="G514" s="319" t="s">
        <v>77</v>
      </c>
      <c r="H514" s="319" t="s">
        <v>77</v>
      </c>
      <c r="I514" s="319" t="s">
        <v>78</v>
      </c>
      <c r="J514" s="319" t="s">
        <v>424</v>
      </c>
      <c r="K514" s="319" t="s">
        <v>431</v>
      </c>
      <c r="L514" s="319" t="s">
        <v>431</v>
      </c>
      <c r="M514" s="319" t="s">
        <v>469</v>
      </c>
      <c r="N514" s="319" t="s">
        <v>2916</v>
      </c>
      <c r="O514" s="319" t="s">
        <v>1914</v>
      </c>
      <c r="P514" s="319">
        <v>7</v>
      </c>
      <c r="Q514" s="319" t="s">
        <v>429</v>
      </c>
      <c r="R514" s="320">
        <v>10038844</v>
      </c>
      <c r="S514" s="321">
        <v>43109</v>
      </c>
      <c r="T514" s="321">
        <v>43110</v>
      </c>
      <c r="U514" s="321">
        <v>43130</v>
      </c>
      <c r="V514" s="319" t="s">
        <v>425</v>
      </c>
      <c r="W514" s="319" t="s">
        <v>2767</v>
      </c>
      <c r="X514" s="319">
        <v>2</v>
      </c>
      <c r="Y514" s="319" t="s">
        <v>173</v>
      </c>
      <c r="Z514" s="319" t="s">
        <v>173</v>
      </c>
      <c r="AA514" s="319" t="s">
        <v>173</v>
      </c>
      <c r="AB514" s="319">
        <v>2</v>
      </c>
      <c r="AC514" s="319" t="s">
        <v>169</v>
      </c>
      <c r="AD514" s="319" t="s">
        <v>173</v>
      </c>
      <c r="AE514" s="319" t="s">
        <v>173</v>
      </c>
      <c r="AF514" s="319" t="s">
        <v>427</v>
      </c>
      <c r="AG514" s="319" t="s">
        <v>171</v>
      </c>
      <c r="AH514" s="319" t="s">
        <v>190</v>
      </c>
      <c r="AI514" s="319" t="s">
        <v>190</v>
      </c>
      <c r="AJ514" s="319" t="s">
        <v>190</v>
      </c>
      <c r="AK514" s="319" t="s">
        <v>190</v>
      </c>
      <c r="AL514" s="319" t="s">
        <v>190</v>
      </c>
      <c r="AM514" s="319" t="s">
        <v>190</v>
      </c>
      <c r="AN514" s="319" t="s">
        <v>190</v>
      </c>
      <c r="AO514" s="319" t="s">
        <v>190</v>
      </c>
      <c r="AP514" s="319" t="s">
        <v>190</v>
      </c>
      <c r="AQ514" s="319" t="s">
        <v>190</v>
      </c>
      <c r="AR514" s="319" t="s">
        <v>190</v>
      </c>
      <c r="AS514" s="319" t="s">
        <v>190</v>
      </c>
      <c r="AT514" s="319" t="s">
        <v>190</v>
      </c>
      <c r="AU514" s="319" t="s">
        <v>190</v>
      </c>
      <c r="AV514" s="319" t="s">
        <v>190</v>
      </c>
      <c r="AW514" s="319" t="s">
        <v>190</v>
      </c>
      <c r="AX514" s="319" t="s">
        <v>428</v>
      </c>
      <c r="AY514" s="319" t="s">
        <v>190</v>
      </c>
      <c r="AZ514" s="319" t="s">
        <v>190</v>
      </c>
      <c r="BA514" s="319" t="s">
        <v>190</v>
      </c>
      <c r="BB514" s="319" t="s">
        <v>190</v>
      </c>
      <c r="BC514" s="319" t="s">
        <v>190</v>
      </c>
      <c r="BD514" s="319" t="s">
        <v>190</v>
      </c>
      <c r="BE514" s="319" t="s">
        <v>190</v>
      </c>
      <c r="BF514" s="319" t="s">
        <v>428</v>
      </c>
      <c r="BG514" s="319" t="s">
        <v>428</v>
      </c>
      <c r="BH514" s="319" t="s">
        <v>190</v>
      </c>
      <c r="BI514" s="319" t="s">
        <v>190</v>
      </c>
      <c r="BJ514" s="319" t="s">
        <v>190</v>
      </c>
      <c r="BK514" s="319" t="s">
        <v>190</v>
      </c>
      <c r="BL514" s="319" t="s">
        <v>190</v>
      </c>
      <c r="BM514" s="319" t="s">
        <v>190</v>
      </c>
      <c r="BN514" s="319" t="s">
        <v>190</v>
      </c>
      <c r="BO514" s="319" t="s">
        <v>190</v>
      </c>
      <c r="BP514" s="319" t="s">
        <v>190</v>
      </c>
      <c r="BQ514" s="319" t="s">
        <v>190</v>
      </c>
      <c r="BR514" s="319" t="s">
        <v>190</v>
      </c>
      <c r="BS514" s="319" t="s">
        <v>190</v>
      </c>
      <c r="BT514" s="319" t="s">
        <v>190</v>
      </c>
      <c r="BU514" s="319" t="s">
        <v>190</v>
      </c>
      <c r="BV514" s="319" t="s">
        <v>190</v>
      </c>
      <c r="BW514" s="319" t="s">
        <v>190</v>
      </c>
      <c r="BX514" s="319" t="s">
        <v>190</v>
      </c>
      <c r="BY514" s="319" t="s">
        <v>190</v>
      </c>
      <c r="BZ514" s="319" t="s">
        <v>190</v>
      </c>
      <c r="CA514" s="319" t="s">
        <v>190</v>
      </c>
      <c r="CB514" s="319" t="s">
        <v>190</v>
      </c>
      <c r="CC514" s="319" t="s">
        <v>190</v>
      </c>
      <c r="CD514" s="319" t="s">
        <v>190</v>
      </c>
      <c r="CE514" s="319" t="s">
        <v>190</v>
      </c>
      <c r="CF514" s="319" t="s">
        <v>190</v>
      </c>
      <c r="CG514" s="319" t="s">
        <v>190</v>
      </c>
      <c r="CH514" s="319" t="s">
        <v>190</v>
      </c>
      <c r="CI514" s="319" t="s">
        <v>190</v>
      </c>
      <c r="CJ514" s="319" t="s">
        <v>190</v>
      </c>
      <c r="CK514" s="319" t="s">
        <v>190</v>
      </c>
      <c r="CL514" s="319" t="s">
        <v>190</v>
      </c>
      <c r="CM514" s="319" t="s">
        <v>190</v>
      </c>
      <c r="CN514" s="319" t="s">
        <v>190</v>
      </c>
      <c r="CO514" s="319" t="s">
        <v>190</v>
      </c>
      <c r="CP514" s="319" t="s">
        <v>190</v>
      </c>
      <c r="CQ514" s="319" t="s">
        <v>190</v>
      </c>
      <c r="CR514" s="319" t="s">
        <v>190</v>
      </c>
      <c r="CS514" s="319" t="s">
        <v>190</v>
      </c>
      <c r="CT514" s="319" t="s">
        <v>190</v>
      </c>
      <c r="CU514" s="319" t="s">
        <v>190</v>
      </c>
      <c r="CV514" s="319" t="s">
        <v>190</v>
      </c>
      <c r="CW514" s="319" t="s">
        <v>190</v>
      </c>
      <c r="CX514" s="319" t="s">
        <v>190</v>
      </c>
      <c r="CY514" s="319" t="s">
        <v>190</v>
      </c>
      <c r="CZ514" s="319" t="s">
        <v>190</v>
      </c>
      <c r="DA514" s="319" t="s">
        <v>190</v>
      </c>
      <c r="DB514" s="319" t="s">
        <v>190</v>
      </c>
      <c r="DC514" s="319" t="s">
        <v>190</v>
      </c>
      <c r="DD514" s="319" t="s">
        <v>190</v>
      </c>
      <c r="DE514" s="319" t="s">
        <v>190</v>
      </c>
      <c r="DF514" s="319" t="s">
        <v>190</v>
      </c>
      <c r="DG514" s="319" t="s">
        <v>190</v>
      </c>
      <c r="DH514" s="319" t="s">
        <v>190</v>
      </c>
      <c r="DI514" s="319" t="s">
        <v>190</v>
      </c>
      <c r="DJ514" s="319" t="s">
        <v>190</v>
      </c>
      <c r="DK514" s="319" t="s">
        <v>190</v>
      </c>
      <c r="DL514" s="319" t="s">
        <v>190</v>
      </c>
      <c r="DM514" s="319" t="s">
        <v>190</v>
      </c>
      <c r="DN514" s="319" t="s">
        <v>428</v>
      </c>
      <c r="DO514" s="319" t="s">
        <v>190</v>
      </c>
      <c r="DP514" s="319" t="s">
        <v>428</v>
      </c>
      <c r="DQ514" s="319" t="s">
        <v>428</v>
      </c>
      <c r="DR514" s="319" t="s">
        <v>428</v>
      </c>
      <c r="DS514" s="319" t="s">
        <v>428</v>
      </c>
      <c r="DT514" s="319" t="s">
        <v>428</v>
      </c>
      <c r="DU514" s="319" t="s">
        <v>428</v>
      </c>
      <c r="DV514" s="319" t="s">
        <v>173</v>
      </c>
      <c r="DW514" s="319" t="s">
        <v>428</v>
      </c>
      <c r="DX514" s="319" t="s">
        <v>428</v>
      </c>
      <c r="DY514" s="319" t="s">
        <v>428</v>
      </c>
      <c r="DZ514" s="319" t="s">
        <v>428</v>
      </c>
      <c r="EA514" s="319" t="s">
        <v>428</v>
      </c>
      <c r="EB514" s="319" t="s">
        <v>428</v>
      </c>
      <c r="EC514" s="319" t="s">
        <v>428</v>
      </c>
      <c r="ED514" s="319" t="s">
        <v>428</v>
      </c>
      <c r="EE514" s="319" t="s">
        <v>190</v>
      </c>
      <c r="EF514" s="319" t="s">
        <v>190</v>
      </c>
      <c r="EG514" s="319" t="s">
        <v>190</v>
      </c>
      <c r="EH514" s="319" t="s">
        <v>190</v>
      </c>
      <c r="EI514" s="319" t="s">
        <v>190</v>
      </c>
      <c r="EJ514" s="319" t="s">
        <v>190</v>
      </c>
      <c r="EK514" s="319" t="s">
        <v>190</v>
      </c>
      <c r="EL514" s="319" t="s">
        <v>190</v>
      </c>
      <c r="EM514" s="319" t="s">
        <v>190</v>
      </c>
      <c r="EN514" s="319" t="s">
        <v>190</v>
      </c>
      <c r="EO514" s="319" t="s">
        <v>190</v>
      </c>
      <c r="EP514" s="319" t="s">
        <v>190</v>
      </c>
      <c r="EQ514" s="319" t="s">
        <v>190</v>
      </c>
      <c r="ER514" s="319" t="s">
        <v>190</v>
      </c>
      <c r="ES514" s="319" t="s">
        <v>190</v>
      </c>
      <c r="ET514" s="319" t="s">
        <v>190</v>
      </c>
      <c r="EU514" s="319" t="s">
        <v>190</v>
      </c>
      <c r="EV514" s="319" t="s">
        <v>190</v>
      </c>
      <c r="EW514" s="319" t="s">
        <v>190</v>
      </c>
      <c r="EX514" s="319" t="s">
        <v>190</v>
      </c>
      <c r="EY514" s="319" t="s">
        <v>190</v>
      </c>
      <c r="EZ514" s="319" t="s">
        <v>190</v>
      </c>
      <c r="FA514" s="319" t="s">
        <v>190</v>
      </c>
      <c r="FB514" s="319" t="s">
        <v>428</v>
      </c>
      <c r="FC514" s="319" t="s">
        <v>428</v>
      </c>
      <c r="FD514" s="319" t="s">
        <v>428</v>
      </c>
      <c r="FE514" s="319" t="s">
        <v>428</v>
      </c>
      <c r="FF514" s="319" t="s">
        <v>428</v>
      </c>
      <c r="FG514" s="319" t="s">
        <v>428</v>
      </c>
      <c r="FH514" s="319" t="s">
        <v>190</v>
      </c>
      <c r="FI514" s="319" t="s">
        <v>190</v>
      </c>
      <c r="FJ514" s="319" t="s">
        <v>190</v>
      </c>
      <c r="FK514" s="319" t="s">
        <v>190</v>
      </c>
      <c r="FL514" s="319" t="s">
        <v>190</v>
      </c>
      <c r="FM514" s="319" t="s">
        <v>190</v>
      </c>
      <c r="FN514" s="319" t="s">
        <v>428</v>
      </c>
      <c r="FO514" s="319" t="s">
        <v>190</v>
      </c>
      <c r="FP514" s="319" t="s">
        <v>190</v>
      </c>
      <c r="FQ514" s="319" t="s">
        <v>190</v>
      </c>
      <c r="FR514" s="319" t="s">
        <v>190</v>
      </c>
      <c r="FS514" s="319" t="s">
        <v>428</v>
      </c>
      <c r="FT514" s="319" t="s">
        <v>190</v>
      </c>
      <c r="FU514" s="319" t="s">
        <v>190</v>
      </c>
      <c r="FV514" s="319" t="s">
        <v>190</v>
      </c>
      <c r="FW514" s="319" t="s">
        <v>190</v>
      </c>
      <c r="FX514" s="319" t="s">
        <v>190</v>
      </c>
      <c r="FY514" s="319" t="s">
        <v>190</v>
      </c>
      <c r="FZ514" s="319" t="s">
        <v>190</v>
      </c>
      <c r="GA514" s="319" t="s">
        <v>190</v>
      </c>
      <c r="GB514" s="319" t="s">
        <v>190</v>
      </c>
      <c r="GC514" s="319" t="s">
        <v>190</v>
      </c>
      <c r="GD514" s="319" t="s">
        <v>190</v>
      </c>
      <c r="GE514" s="319" t="s">
        <v>190</v>
      </c>
      <c r="GF514" s="319" t="s">
        <v>190</v>
      </c>
      <c r="GG514" s="319" t="s">
        <v>190</v>
      </c>
      <c r="GH514" s="319" t="s">
        <v>190</v>
      </c>
      <c r="GI514" s="319" t="s">
        <v>190</v>
      </c>
      <c r="GJ514" s="319" t="s">
        <v>190</v>
      </c>
      <c r="GK514" s="319" t="s">
        <v>428</v>
      </c>
      <c r="GL514" s="319" t="s">
        <v>190</v>
      </c>
      <c r="GM514" s="319" t="s">
        <v>190</v>
      </c>
      <c r="GN514" s="319" t="s">
        <v>190</v>
      </c>
      <c r="GO514" s="319" t="s">
        <v>190</v>
      </c>
      <c r="GP514" s="319" t="s">
        <v>190</v>
      </c>
      <c r="GQ514" s="319" t="s">
        <v>190</v>
      </c>
      <c r="GR514" s="319" t="s">
        <v>190</v>
      </c>
      <c r="GS514" s="319" t="s">
        <v>190</v>
      </c>
      <c r="GT514" s="319" t="s">
        <v>190</v>
      </c>
      <c r="GU514" s="319" t="s">
        <v>190</v>
      </c>
      <c r="GV514" s="319" t="s">
        <v>190</v>
      </c>
      <c r="GW514" s="319" t="s">
        <v>190</v>
      </c>
      <c r="GX514" s="319" t="s">
        <v>190</v>
      </c>
      <c r="GY514" s="319" t="s">
        <v>190</v>
      </c>
      <c r="GZ514" s="319" t="s">
        <v>190</v>
      </c>
      <c r="HA514" s="319" t="s">
        <v>190</v>
      </c>
      <c r="HB514" s="319" t="s">
        <v>190</v>
      </c>
      <c r="HC514" s="319" t="s">
        <v>190</v>
      </c>
      <c r="HD514" s="319" t="s">
        <v>190</v>
      </c>
      <c r="HE514" s="319" t="s">
        <v>190</v>
      </c>
      <c r="HF514" s="319" t="s">
        <v>190</v>
      </c>
      <c r="HG514" s="319" t="s">
        <v>190</v>
      </c>
      <c r="HH514" s="319" t="s">
        <v>190</v>
      </c>
      <c r="HI514" s="319" t="s">
        <v>190</v>
      </c>
      <c r="HJ514" s="319" t="s">
        <v>190</v>
      </c>
      <c r="HK514" s="319" t="s">
        <v>190</v>
      </c>
      <c r="HL514" s="319" t="s">
        <v>428</v>
      </c>
      <c r="HM514" s="319" t="s">
        <v>428</v>
      </c>
      <c r="HN514" s="319" t="s">
        <v>428</v>
      </c>
      <c r="HO514" s="319" t="s">
        <v>428</v>
      </c>
      <c r="HP514" s="319" t="s">
        <v>190</v>
      </c>
      <c r="HQ514" s="319" t="s">
        <v>190</v>
      </c>
      <c r="HR514" s="319" t="s">
        <v>190</v>
      </c>
      <c r="HS514" s="319" t="s">
        <v>190</v>
      </c>
      <c r="HT514" s="319" t="s">
        <v>190</v>
      </c>
      <c r="HU514" s="319" t="s">
        <v>190</v>
      </c>
      <c r="HV514" s="319" t="s">
        <v>190</v>
      </c>
      <c r="HW514" s="319" t="s">
        <v>190</v>
      </c>
      <c r="HX514" s="319" t="s">
        <v>190</v>
      </c>
      <c r="HY514" s="319" t="s">
        <v>190</v>
      </c>
      <c r="HZ514" s="319" t="s">
        <v>190</v>
      </c>
      <c r="IA514" s="319" t="s">
        <v>190</v>
      </c>
      <c r="IB514" s="319" t="s">
        <v>190</v>
      </c>
      <c r="IC514" s="319" t="s">
        <v>190</v>
      </c>
      <c r="ID514" s="319" t="s">
        <v>190</v>
      </c>
      <c r="IE514" s="319" t="s">
        <v>190</v>
      </c>
      <c r="IF514" s="319" t="s">
        <v>190</v>
      </c>
      <c r="IG514" s="319" t="s">
        <v>190</v>
      </c>
      <c r="IH514" s="319" t="s">
        <v>190</v>
      </c>
      <c r="II514" s="319" t="s">
        <v>190</v>
      </c>
      <c r="IJ514" s="319" t="s">
        <v>3281</v>
      </c>
      <c r="IK514" s="321">
        <v>41912</v>
      </c>
      <c r="IL514" s="321">
        <v>41913</v>
      </c>
      <c r="IM514" s="321">
        <v>41956</v>
      </c>
      <c r="IN514" s="319">
        <v>3</v>
      </c>
      <c r="IO514" s="319" t="s">
        <v>173</v>
      </c>
      <c r="IP514" s="319" t="s">
        <v>173</v>
      </c>
      <c r="IQ514" s="321" t="s">
        <v>173</v>
      </c>
      <c r="IR514" s="320" t="s">
        <v>173</v>
      </c>
      <c r="IS514" s="322" t="s">
        <v>173</v>
      </c>
      <c r="IT514" s="319" t="s">
        <v>173</v>
      </c>
    </row>
    <row r="515" spans="1:254" s="271" customFormat="1" x14ac:dyDescent="0.25">
      <c r="A515" s="318" t="str">
        <f>HYPERLINK("http://www.ofsted.gov.uk/inspection-reports/find-inspection-report/provider/ELS/135366 ","Ofsted School Webpage")</f>
        <v>Ofsted School Webpage</v>
      </c>
      <c r="B515" s="319">
        <v>135366</v>
      </c>
      <c r="C515" s="319">
        <v>8916031</v>
      </c>
      <c r="D515" s="319" t="s">
        <v>1915</v>
      </c>
      <c r="E515" s="319" t="s">
        <v>167</v>
      </c>
      <c r="F515" s="319" t="s">
        <v>81</v>
      </c>
      <c r="G515" s="319" t="s">
        <v>81</v>
      </c>
      <c r="H515" s="319" t="s">
        <v>81</v>
      </c>
      <c r="I515" s="319" t="s">
        <v>78</v>
      </c>
      <c r="J515" s="319" t="s">
        <v>424</v>
      </c>
      <c r="K515" s="319" t="s">
        <v>506</v>
      </c>
      <c r="L515" s="319" t="s">
        <v>506</v>
      </c>
      <c r="M515" s="319" t="s">
        <v>760</v>
      </c>
      <c r="N515" s="319" t="s">
        <v>3282</v>
      </c>
      <c r="O515" s="319" t="s">
        <v>1916</v>
      </c>
      <c r="P515" s="319">
        <v>28</v>
      </c>
      <c r="Q515" s="319" t="s">
        <v>2766</v>
      </c>
      <c r="R515" s="320">
        <v>10116634</v>
      </c>
      <c r="S515" s="321">
        <v>43788</v>
      </c>
      <c r="T515" s="321">
        <v>43790</v>
      </c>
      <c r="U515" s="321">
        <v>43809</v>
      </c>
      <c r="V515" s="319" t="s">
        <v>425</v>
      </c>
      <c r="W515" s="319" t="s">
        <v>2767</v>
      </c>
      <c r="X515" s="319">
        <v>2</v>
      </c>
      <c r="Y515" s="319">
        <v>2</v>
      </c>
      <c r="Z515" s="319">
        <v>2</v>
      </c>
      <c r="AA515" s="319">
        <v>2</v>
      </c>
      <c r="AB515" s="319">
        <v>2</v>
      </c>
      <c r="AC515" s="319" t="s">
        <v>169</v>
      </c>
      <c r="AD515" s="319">
        <v>2</v>
      </c>
      <c r="AE515" s="319" t="s">
        <v>173</v>
      </c>
      <c r="AF515" s="319" t="s">
        <v>427</v>
      </c>
      <c r="AG515" s="319" t="s">
        <v>171</v>
      </c>
      <c r="AH515" s="319" t="s">
        <v>190</v>
      </c>
      <c r="AI515" s="319" t="s">
        <v>190</v>
      </c>
      <c r="AJ515" s="319" t="s">
        <v>190</v>
      </c>
      <c r="AK515" s="319" t="s">
        <v>190</v>
      </c>
      <c r="AL515" s="319" t="s">
        <v>190</v>
      </c>
      <c r="AM515" s="319" t="s">
        <v>190</v>
      </c>
      <c r="AN515" s="319" t="s">
        <v>190</v>
      </c>
      <c r="AO515" s="319" t="s">
        <v>190</v>
      </c>
      <c r="AP515" s="319" t="s">
        <v>190</v>
      </c>
      <c r="AQ515" s="319" t="s">
        <v>190</v>
      </c>
      <c r="AR515" s="319" t="s">
        <v>190</v>
      </c>
      <c r="AS515" s="319" t="s">
        <v>190</v>
      </c>
      <c r="AT515" s="319" t="s">
        <v>190</v>
      </c>
      <c r="AU515" s="319" t="s">
        <v>190</v>
      </c>
      <c r="AV515" s="319" t="s">
        <v>190</v>
      </c>
      <c r="AW515" s="319" t="s">
        <v>190</v>
      </c>
      <c r="AX515" s="319" t="s">
        <v>428</v>
      </c>
      <c r="AY515" s="319" t="s">
        <v>190</v>
      </c>
      <c r="AZ515" s="319" t="s">
        <v>190</v>
      </c>
      <c r="BA515" s="319" t="s">
        <v>190</v>
      </c>
      <c r="BB515" s="319" t="s">
        <v>428</v>
      </c>
      <c r="BC515" s="319" t="s">
        <v>428</v>
      </c>
      <c r="BD515" s="319" t="s">
        <v>428</v>
      </c>
      <c r="BE515" s="319" t="s">
        <v>428</v>
      </c>
      <c r="BF515" s="319" t="s">
        <v>190</v>
      </c>
      <c r="BG515" s="319" t="s">
        <v>428</v>
      </c>
      <c r="BH515" s="319" t="s">
        <v>190</v>
      </c>
      <c r="BI515" s="319" t="s">
        <v>190</v>
      </c>
      <c r="BJ515" s="319" t="s">
        <v>190</v>
      </c>
      <c r="BK515" s="319" t="s">
        <v>190</v>
      </c>
      <c r="BL515" s="319" t="s">
        <v>190</v>
      </c>
      <c r="BM515" s="319" t="s">
        <v>190</v>
      </c>
      <c r="BN515" s="319" t="s">
        <v>190</v>
      </c>
      <c r="BO515" s="319" t="s">
        <v>190</v>
      </c>
      <c r="BP515" s="319" t="s">
        <v>190</v>
      </c>
      <c r="BQ515" s="319" t="s">
        <v>190</v>
      </c>
      <c r="BR515" s="319" t="s">
        <v>190</v>
      </c>
      <c r="BS515" s="319" t="s">
        <v>190</v>
      </c>
      <c r="BT515" s="319" t="s">
        <v>190</v>
      </c>
      <c r="BU515" s="319" t="s">
        <v>190</v>
      </c>
      <c r="BV515" s="319" t="s">
        <v>190</v>
      </c>
      <c r="BW515" s="319" t="s">
        <v>190</v>
      </c>
      <c r="BX515" s="319" t="s">
        <v>190</v>
      </c>
      <c r="BY515" s="319" t="s">
        <v>190</v>
      </c>
      <c r="BZ515" s="319" t="s">
        <v>190</v>
      </c>
      <c r="CA515" s="319" t="s">
        <v>190</v>
      </c>
      <c r="CB515" s="319" t="s">
        <v>190</v>
      </c>
      <c r="CC515" s="319" t="s">
        <v>190</v>
      </c>
      <c r="CD515" s="319" t="s">
        <v>190</v>
      </c>
      <c r="CE515" s="319" t="s">
        <v>190</v>
      </c>
      <c r="CF515" s="319" t="s">
        <v>190</v>
      </c>
      <c r="CG515" s="319" t="s">
        <v>190</v>
      </c>
      <c r="CH515" s="319" t="s">
        <v>190</v>
      </c>
      <c r="CI515" s="319" t="s">
        <v>190</v>
      </c>
      <c r="CJ515" s="319" t="s">
        <v>190</v>
      </c>
      <c r="CK515" s="319" t="s">
        <v>190</v>
      </c>
      <c r="CL515" s="319" t="s">
        <v>190</v>
      </c>
      <c r="CM515" s="319" t="s">
        <v>190</v>
      </c>
      <c r="CN515" s="319" t="s">
        <v>428</v>
      </c>
      <c r="CO515" s="319" t="s">
        <v>428</v>
      </c>
      <c r="CP515" s="319" t="s">
        <v>428</v>
      </c>
      <c r="CQ515" s="319" t="s">
        <v>190</v>
      </c>
      <c r="CR515" s="319" t="s">
        <v>190</v>
      </c>
      <c r="CS515" s="319" t="s">
        <v>190</v>
      </c>
      <c r="CT515" s="319" t="s">
        <v>190</v>
      </c>
      <c r="CU515" s="319" t="s">
        <v>190</v>
      </c>
      <c r="CV515" s="319" t="s">
        <v>190</v>
      </c>
      <c r="CW515" s="319" t="s">
        <v>190</v>
      </c>
      <c r="CX515" s="319" t="s">
        <v>190</v>
      </c>
      <c r="CY515" s="319" t="s">
        <v>190</v>
      </c>
      <c r="CZ515" s="319" t="s">
        <v>190</v>
      </c>
      <c r="DA515" s="319" t="s">
        <v>190</v>
      </c>
      <c r="DB515" s="319" t="s">
        <v>190</v>
      </c>
      <c r="DC515" s="319" t="s">
        <v>190</v>
      </c>
      <c r="DD515" s="319" t="s">
        <v>190</v>
      </c>
      <c r="DE515" s="319" t="s">
        <v>190</v>
      </c>
      <c r="DF515" s="319" t="s">
        <v>190</v>
      </c>
      <c r="DG515" s="319" t="s">
        <v>190</v>
      </c>
      <c r="DH515" s="319" t="s">
        <v>190</v>
      </c>
      <c r="DI515" s="319" t="s">
        <v>190</v>
      </c>
      <c r="DJ515" s="319" t="s">
        <v>190</v>
      </c>
      <c r="DK515" s="319" t="s">
        <v>190</v>
      </c>
      <c r="DL515" s="319" t="s">
        <v>190</v>
      </c>
      <c r="DM515" s="319" t="s">
        <v>428</v>
      </c>
      <c r="DN515" s="319" t="s">
        <v>428</v>
      </c>
      <c r="DO515" s="319" t="s">
        <v>190</v>
      </c>
      <c r="DP515" s="319" t="s">
        <v>428</v>
      </c>
      <c r="DQ515" s="319" t="s">
        <v>428</v>
      </c>
      <c r="DR515" s="319" t="s">
        <v>428</v>
      </c>
      <c r="DS515" s="319" t="s">
        <v>428</v>
      </c>
      <c r="DT515" s="319" t="s">
        <v>428</v>
      </c>
      <c r="DU515" s="319" t="s">
        <v>428</v>
      </c>
      <c r="DV515" s="319" t="s">
        <v>428</v>
      </c>
      <c r="DW515" s="319" t="s">
        <v>428</v>
      </c>
      <c r="DX515" s="319" t="s">
        <v>428</v>
      </c>
      <c r="DY515" s="319" t="s">
        <v>428</v>
      </c>
      <c r="DZ515" s="319" t="s">
        <v>428</v>
      </c>
      <c r="EA515" s="319" t="s">
        <v>428</v>
      </c>
      <c r="EB515" s="319" t="s">
        <v>428</v>
      </c>
      <c r="EC515" s="319" t="s">
        <v>428</v>
      </c>
      <c r="ED515" s="319" t="s">
        <v>428</v>
      </c>
      <c r="EE515" s="319" t="s">
        <v>428</v>
      </c>
      <c r="EF515" s="319" t="s">
        <v>428</v>
      </c>
      <c r="EG515" s="319" t="s">
        <v>428</v>
      </c>
      <c r="EH515" s="319" t="s">
        <v>428</v>
      </c>
      <c r="EI515" s="319" t="s">
        <v>428</v>
      </c>
      <c r="EJ515" s="319" t="s">
        <v>428</v>
      </c>
      <c r="EK515" s="319" t="s">
        <v>428</v>
      </c>
      <c r="EL515" s="319" t="s">
        <v>428</v>
      </c>
      <c r="EM515" s="319" t="s">
        <v>428</v>
      </c>
      <c r="EN515" s="319" t="s">
        <v>190</v>
      </c>
      <c r="EO515" s="319" t="s">
        <v>190</v>
      </c>
      <c r="EP515" s="319" t="s">
        <v>190</v>
      </c>
      <c r="EQ515" s="319" t="s">
        <v>190</v>
      </c>
      <c r="ER515" s="319" t="s">
        <v>190</v>
      </c>
      <c r="ES515" s="319" t="s">
        <v>190</v>
      </c>
      <c r="ET515" s="319" t="s">
        <v>190</v>
      </c>
      <c r="EU515" s="319" t="s">
        <v>190</v>
      </c>
      <c r="EV515" s="319" t="s">
        <v>190</v>
      </c>
      <c r="EW515" s="319" t="s">
        <v>190</v>
      </c>
      <c r="EX515" s="319" t="s">
        <v>190</v>
      </c>
      <c r="EY515" s="319" t="s">
        <v>190</v>
      </c>
      <c r="EZ515" s="319" t="s">
        <v>190</v>
      </c>
      <c r="FA515" s="319" t="s">
        <v>428</v>
      </c>
      <c r="FB515" s="319" t="s">
        <v>428</v>
      </c>
      <c r="FC515" s="319" t="s">
        <v>428</v>
      </c>
      <c r="FD515" s="319" t="s">
        <v>428</v>
      </c>
      <c r="FE515" s="319" t="s">
        <v>428</v>
      </c>
      <c r="FF515" s="319" t="s">
        <v>428</v>
      </c>
      <c r="FG515" s="319" t="s">
        <v>428</v>
      </c>
      <c r="FH515" s="319" t="s">
        <v>190</v>
      </c>
      <c r="FI515" s="319" t="s">
        <v>428</v>
      </c>
      <c r="FJ515" s="319" t="s">
        <v>429</v>
      </c>
      <c r="FK515" s="319" t="s">
        <v>428</v>
      </c>
      <c r="FL515" s="319" t="s">
        <v>190</v>
      </c>
      <c r="FM515" s="319" t="s">
        <v>190</v>
      </c>
      <c r="FN515" s="319" t="s">
        <v>190</v>
      </c>
      <c r="FO515" s="319" t="s">
        <v>428</v>
      </c>
      <c r="FP515" s="319" t="s">
        <v>190</v>
      </c>
      <c r="FQ515" s="319" t="s">
        <v>190</v>
      </c>
      <c r="FR515" s="319" t="s">
        <v>190</v>
      </c>
      <c r="FS515" s="319" t="s">
        <v>428</v>
      </c>
      <c r="FT515" s="319" t="s">
        <v>190</v>
      </c>
      <c r="FU515" s="319" t="s">
        <v>190</v>
      </c>
      <c r="FV515" s="319" t="s">
        <v>190</v>
      </c>
      <c r="FW515" s="319" t="s">
        <v>190</v>
      </c>
      <c r="FX515" s="319" t="s">
        <v>190</v>
      </c>
      <c r="FY515" s="319" t="s">
        <v>190</v>
      </c>
      <c r="FZ515" s="319" t="s">
        <v>190</v>
      </c>
      <c r="GA515" s="319" t="s">
        <v>190</v>
      </c>
      <c r="GB515" s="319" t="s">
        <v>190</v>
      </c>
      <c r="GC515" s="319" t="s">
        <v>190</v>
      </c>
      <c r="GD515" s="319" t="s">
        <v>190</v>
      </c>
      <c r="GE515" s="319" t="s">
        <v>190</v>
      </c>
      <c r="GF515" s="319" t="s">
        <v>190</v>
      </c>
      <c r="GG515" s="319" t="s">
        <v>190</v>
      </c>
      <c r="GH515" s="319" t="s">
        <v>190</v>
      </c>
      <c r="GI515" s="319" t="s">
        <v>190</v>
      </c>
      <c r="GJ515" s="319" t="s">
        <v>190</v>
      </c>
      <c r="GK515" s="319" t="s">
        <v>428</v>
      </c>
      <c r="GL515" s="319" t="s">
        <v>190</v>
      </c>
      <c r="GM515" s="319" t="s">
        <v>190</v>
      </c>
      <c r="GN515" s="319" t="s">
        <v>190</v>
      </c>
      <c r="GO515" s="319" t="s">
        <v>190</v>
      </c>
      <c r="GP515" s="319" t="s">
        <v>190</v>
      </c>
      <c r="GQ515" s="319" t="s">
        <v>428</v>
      </c>
      <c r="GR515" s="319" t="s">
        <v>190</v>
      </c>
      <c r="GS515" s="319" t="s">
        <v>190</v>
      </c>
      <c r="GT515" s="319" t="s">
        <v>428</v>
      </c>
      <c r="GU515" s="319" t="s">
        <v>428</v>
      </c>
      <c r="GV515" s="319" t="s">
        <v>428</v>
      </c>
      <c r="GW515" s="319" t="s">
        <v>428</v>
      </c>
      <c r="GX515" s="319" t="s">
        <v>190</v>
      </c>
      <c r="GY515" s="319" t="s">
        <v>190</v>
      </c>
      <c r="GZ515" s="319" t="s">
        <v>190</v>
      </c>
      <c r="HA515" s="319" t="s">
        <v>190</v>
      </c>
      <c r="HB515" s="319" t="s">
        <v>428</v>
      </c>
      <c r="HC515" s="319" t="s">
        <v>190</v>
      </c>
      <c r="HD515" s="319" t="s">
        <v>190</v>
      </c>
      <c r="HE515" s="319" t="s">
        <v>190</v>
      </c>
      <c r="HF515" s="319" t="s">
        <v>428</v>
      </c>
      <c r="HG515" s="319" t="s">
        <v>190</v>
      </c>
      <c r="HH515" s="319" t="s">
        <v>190</v>
      </c>
      <c r="HI515" s="319" t="s">
        <v>190</v>
      </c>
      <c r="HJ515" s="319" t="s">
        <v>190</v>
      </c>
      <c r="HK515" s="319" t="s">
        <v>190</v>
      </c>
      <c r="HL515" s="319" t="s">
        <v>190</v>
      </c>
      <c r="HM515" s="319" t="s">
        <v>428</v>
      </c>
      <c r="HN515" s="319" t="s">
        <v>428</v>
      </c>
      <c r="HO515" s="319" t="s">
        <v>428</v>
      </c>
      <c r="HP515" s="319" t="s">
        <v>190</v>
      </c>
      <c r="HQ515" s="319" t="s">
        <v>190</v>
      </c>
      <c r="HR515" s="319" t="s">
        <v>190</v>
      </c>
      <c r="HS515" s="319" t="s">
        <v>190</v>
      </c>
      <c r="HT515" s="319" t="s">
        <v>190</v>
      </c>
      <c r="HU515" s="319" t="s">
        <v>190</v>
      </c>
      <c r="HV515" s="319" t="s">
        <v>190</v>
      </c>
      <c r="HW515" s="319" t="s">
        <v>190</v>
      </c>
      <c r="HX515" s="319" t="s">
        <v>190</v>
      </c>
      <c r="HY515" s="319" t="s">
        <v>190</v>
      </c>
      <c r="HZ515" s="319" t="s">
        <v>190</v>
      </c>
      <c r="IA515" s="319" t="s">
        <v>190</v>
      </c>
      <c r="IB515" s="319" t="s">
        <v>190</v>
      </c>
      <c r="IC515" s="319" t="s">
        <v>190</v>
      </c>
      <c r="ID515" s="319" t="s">
        <v>190</v>
      </c>
      <c r="IE515" s="319" t="s">
        <v>190</v>
      </c>
      <c r="IF515" s="319" t="s">
        <v>190</v>
      </c>
      <c r="IG515" s="319" t="s">
        <v>190</v>
      </c>
      <c r="IH515" s="319" t="s">
        <v>190</v>
      </c>
      <c r="II515" s="319" t="s">
        <v>190</v>
      </c>
      <c r="IJ515" s="319">
        <v>10020945</v>
      </c>
      <c r="IK515" s="321">
        <v>42808</v>
      </c>
      <c r="IL515" s="321">
        <v>42810</v>
      </c>
      <c r="IM515" s="321">
        <v>42852</v>
      </c>
      <c r="IN515" s="319">
        <v>2</v>
      </c>
      <c r="IO515" s="319" t="s">
        <v>173</v>
      </c>
      <c r="IP515" s="319" t="s">
        <v>173</v>
      </c>
      <c r="IQ515" s="321" t="s">
        <v>173</v>
      </c>
      <c r="IR515" s="320" t="s">
        <v>173</v>
      </c>
      <c r="IS515" s="322" t="s">
        <v>173</v>
      </c>
      <c r="IT515" s="319" t="s">
        <v>173</v>
      </c>
    </row>
    <row r="516" spans="1:254" s="271" customFormat="1" x14ac:dyDescent="0.25">
      <c r="A516" s="318" t="str">
        <f>HYPERLINK("http://www.ofsted.gov.uk/inspection-reports/find-inspection-report/provider/ELS/135373 ","Ofsted School Webpage")</f>
        <v>Ofsted School Webpage</v>
      </c>
      <c r="B516" s="319">
        <v>135373</v>
      </c>
      <c r="C516" s="319">
        <v>3046121</v>
      </c>
      <c r="D516" s="319" t="s">
        <v>1917</v>
      </c>
      <c r="E516" s="319" t="s">
        <v>168</v>
      </c>
      <c r="F516" s="319" t="s">
        <v>81</v>
      </c>
      <c r="G516" s="319" t="s">
        <v>81</v>
      </c>
      <c r="H516" s="319" t="s">
        <v>81</v>
      </c>
      <c r="I516" s="319" t="s">
        <v>78</v>
      </c>
      <c r="J516" s="319" t="s">
        <v>424</v>
      </c>
      <c r="K516" s="319" t="s">
        <v>441</v>
      </c>
      <c r="L516" s="319" t="s">
        <v>441</v>
      </c>
      <c r="M516" s="319" t="s">
        <v>477</v>
      </c>
      <c r="N516" s="319" t="s">
        <v>3283</v>
      </c>
      <c r="O516" s="319" t="s">
        <v>1918</v>
      </c>
      <c r="P516" s="319">
        <v>37</v>
      </c>
      <c r="Q516" s="319" t="s">
        <v>429</v>
      </c>
      <c r="R516" s="320">
        <v>10041399</v>
      </c>
      <c r="S516" s="321">
        <v>43137</v>
      </c>
      <c r="T516" s="321">
        <v>43139</v>
      </c>
      <c r="U516" s="321">
        <v>43166</v>
      </c>
      <c r="V516" s="319" t="s">
        <v>425</v>
      </c>
      <c r="W516" s="319" t="s">
        <v>2767</v>
      </c>
      <c r="X516" s="319">
        <v>2</v>
      </c>
      <c r="Y516" s="319" t="s">
        <v>173</v>
      </c>
      <c r="Z516" s="319" t="s">
        <v>173</v>
      </c>
      <c r="AA516" s="319" t="s">
        <v>173</v>
      </c>
      <c r="AB516" s="319">
        <v>2</v>
      </c>
      <c r="AC516" s="319" t="s">
        <v>169</v>
      </c>
      <c r="AD516" s="319" t="s">
        <v>173</v>
      </c>
      <c r="AE516" s="319" t="s">
        <v>173</v>
      </c>
      <c r="AF516" s="319" t="s">
        <v>427</v>
      </c>
      <c r="AG516" s="319" t="s">
        <v>171</v>
      </c>
      <c r="AH516" s="319" t="s">
        <v>190</v>
      </c>
      <c r="AI516" s="319" t="s">
        <v>190</v>
      </c>
      <c r="AJ516" s="319" t="s">
        <v>190</v>
      </c>
      <c r="AK516" s="319" t="s">
        <v>190</v>
      </c>
      <c r="AL516" s="319" t="s">
        <v>190</v>
      </c>
      <c r="AM516" s="319" t="s">
        <v>190</v>
      </c>
      <c r="AN516" s="319" t="s">
        <v>190</v>
      </c>
      <c r="AO516" s="319" t="s">
        <v>190</v>
      </c>
      <c r="AP516" s="319" t="s">
        <v>190</v>
      </c>
      <c r="AQ516" s="319" t="s">
        <v>190</v>
      </c>
      <c r="AR516" s="319" t="s">
        <v>190</v>
      </c>
      <c r="AS516" s="319" t="s">
        <v>190</v>
      </c>
      <c r="AT516" s="319" t="s">
        <v>190</v>
      </c>
      <c r="AU516" s="319" t="s">
        <v>190</v>
      </c>
      <c r="AV516" s="319" t="s">
        <v>190</v>
      </c>
      <c r="AW516" s="319" t="s">
        <v>190</v>
      </c>
      <c r="AX516" s="319" t="s">
        <v>428</v>
      </c>
      <c r="AY516" s="319" t="s">
        <v>190</v>
      </c>
      <c r="AZ516" s="319" t="s">
        <v>190</v>
      </c>
      <c r="BA516" s="319" t="s">
        <v>190</v>
      </c>
      <c r="BB516" s="319" t="s">
        <v>190</v>
      </c>
      <c r="BC516" s="319" t="s">
        <v>190</v>
      </c>
      <c r="BD516" s="319" t="s">
        <v>190</v>
      </c>
      <c r="BE516" s="319" t="s">
        <v>190</v>
      </c>
      <c r="BF516" s="319" t="s">
        <v>428</v>
      </c>
      <c r="BG516" s="319" t="s">
        <v>190</v>
      </c>
      <c r="BH516" s="319" t="s">
        <v>190</v>
      </c>
      <c r="BI516" s="319" t="s">
        <v>190</v>
      </c>
      <c r="BJ516" s="319" t="s">
        <v>190</v>
      </c>
      <c r="BK516" s="319" t="s">
        <v>190</v>
      </c>
      <c r="BL516" s="319" t="s">
        <v>190</v>
      </c>
      <c r="BM516" s="319" t="s">
        <v>190</v>
      </c>
      <c r="BN516" s="319" t="s">
        <v>190</v>
      </c>
      <c r="BO516" s="319" t="s">
        <v>190</v>
      </c>
      <c r="BP516" s="319" t="s">
        <v>190</v>
      </c>
      <c r="BQ516" s="319" t="s">
        <v>190</v>
      </c>
      <c r="BR516" s="319" t="s">
        <v>190</v>
      </c>
      <c r="BS516" s="319" t="s">
        <v>190</v>
      </c>
      <c r="BT516" s="319" t="s">
        <v>190</v>
      </c>
      <c r="BU516" s="319" t="s">
        <v>190</v>
      </c>
      <c r="BV516" s="319" t="s">
        <v>190</v>
      </c>
      <c r="BW516" s="319" t="s">
        <v>190</v>
      </c>
      <c r="BX516" s="319" t="s">
        <v>190</v>
      </c>
      <c r="BY516" s="319" t="s">
        <v>190</v>
      </c>
      <c r="BZ516" s="319" t="s">
        <v>190</v>
      </c>
      <c r="CA516" s="319" t="s">
        <v>190</v>
      </c>
      <c r="CB516" s="319" t="s">
        <v>190</v>
      </c>
      <c r="CC516" s="319" t="s">
        <v>190</v>
      </c>
      <c r="CD516" s="319" t="s">
        <v>190</v>
      </c>
      <c r="CE516" s="319" t="s">
        <v>190</v>
      </c>
      <c r="CF516" s="319" t="s">
        <v>190</v>
      </c>
      <c r="CG516" s="319" t="s">
        <v>190</v>
      </c>
      <c r="CH516" s="319" t="s">
        <v>190</v>
      </c>
      <c r="CI516" s="319" t="s">
        <v>190</v>
      </c>
      <c r="CJ516" s="319" t="s">
        <v>190</v>
      </c>
      <c r="CK516" s="319" t="s">
        <v>190</v>
      </c>
      <c r="CL516" s="319" t="s">
        <v>190</v>
      </c>
      <c r="CM516" s="319" t="s">
        <v>190</v>
      </c>
      <c r="CN516" s="319" t="s">
        <v>428</v>
      </c>
      <c r="CO516" s="319" t="s">
        <v>428</v>
      </c>
      <c r="CP516" s="319" t="s">
        <v>428</v>
      </c>
      <c r="CQ516" s="319" t="s">
        <v>190</v>
      </c>
      <c r="CR516" s="319" t="s">
        <v>190</v>
      </c>
      <c r="CS516" s="319" t="s">
        <v>190</v>
      </c>
      <c r="CT516" s="319" t="s">
        <v>190</v>
      </c>
      <c r="CU516" s="319" t="s">
        <v>190</v>
      </c>
      <c r="CV516" s="319" t="s">
        <v>190</v>
      </c>
      <c r="CW516" s="319" t="s">
        <v>190</v>
      </c>
      <c r="CX516" s="319" t="s">
        <v>190</v>
      </c>
      <c r="CY516" s="319" t="s">
        <v>190</v>
      </c>
      <c r="CZ516" s="319" t="s">
        <v>190</v>
      </c>
      <c r="DA516" s="319" t="s">
        <v>190</v>
      </c>
      <c r="DB516" s="319" t="s">
        <v>190</v>
      </c>
      <c r="DC516" s="319" t="s">
        <v>190</v>
      </c>
      <c r="DD516" s="319" t="s">
        <v>190</v>
      </c>
      <c r="DE516" s="319" t="s">
        <v>190</v>
      </c>
      <c r="DF516" s="319" t="s">
        <v>190</v>
      </c>
      <c r="DG516" s="319" t="s">
        <v>190</v>
      </c>
      <c r="DH516" s="319" t="s">
        <v>190</v>
      </c>
      <c r="DI516" s="319" t="s">
        <v>190</v>
      </c>
      <c r="DJ516" s="319" t="s">
        <v>190</v>
      </c>
      <c r="DK516" s="319" t="s">
        <v>190</v>
      </c>
      <c r="DL516" s="319" t="s">
        <v>190</v>
      </c>
      <c r="DM516" s="319" t="s">
        <v>190</v>
      </c>
      <c r="DN516" s="319" t="s">
        <v>428</v>
      </c>
      <c r="DO516" s="319" t="s">
        <v>190</v>
      </c>
      <c r="DP516" s="319" t="s">
        <v>428</v>
      </c>
      <c r="DQ516" s="319" t="s">
        <v>428</v>
      </c>
      <c r="DR516" s="319" t="s">
        <v>428</v>
      </c>
      <c r="DS516" s="319" t="s">
        <v>428</v>
      </c>
      <c r="DT516" s="319" t="s">
        <v>428</v>
      </c>
      <c r="DU516" s="319" t="s">
        <v>428</v>
      </c>
      <c r="DV516" s="319" t="s">
        <v>173</v>
      </c>
      <c r="DW516" s="319" t="s">
        <v>428</v>
      </c>
      <c r="DX516" s="319" t="s">
        <v>428</v>
      </c>
      <c r="DY516" s="319" t="s">
        <v>428</v>
      </c>
      <c r="DZ516" s="319" t="s">
        <v>428</v>
      </c>
      <c r="EA516" s="319" t="s">
        <v>428</v>
      </c>
      <c r="EB516" s="319" t="s">
        <v>428</v>
      </c>
      <c r="EC516" s="319" t="s">
        <v>428</v>
      </c>
      <c r="ED516" s="319" t="s">
        <v>428</v>
      </c>
      <c r="EE516" s="319" t="s">
        <v>190</v>
      </c>
      <c r="EF516" s="319" t="s">
        <v>190</v>
      </c>
      <c r="EG516" s="319" t="s">
        <v>190</v>
      </c>
      <c r="EH516" s="319" t="s">
        <v>190</v>
      </c>
      <c r="EI516" s="319" t="s">
        <v>190</v>
      </c>
      <c r="EJ516" s="319" t="s">
        <v>190</v>
      </c>
      <c r="EK516" s="319" t="s">
        <v>190</v>
      </c>
      <c r="EL516" s="319" t="s">
        <v>190</v>
      </c>
      <c r="EM516" s="319" t="s">
        <v>190</v>
      </c>
      <c r="EN516" s="319" t="s">
        <v>190</v>
      </c>
      <c r="EO516" s="319" t="s">
        <v>190</v>
      </c>
      <c r="EP516" s="319" t="s">
        <v>190</v>
      </c>
      <c r="EQ516" s="319" t="s">
        <v>190</v>
      </c>
      <c r="ER516" s="319" t="s">
        <v>190</v>
      </c>
      <c r="ES516" s="319" t="s">
        <v>190</v>
      </c>
      <c r="ET516" s="319" t="s">
        <v>190</v>
      </c>
      <c r="EU516" s="319" t="s">
        <v>190</v>
      </c>
      <c r="EV516" s="319" t="s">
        <v>190</v>
      </c>
      <c r="EW516" s="319" t="s">
        <v>190</v>
      </c>
      <c r="EX516" s="319" t="s">
        <v>190</v>
      </c>
      <c r="EY516" s="319" t="s">
        <v>190</v>
      </c>
      <c r="EZ516" s="319" t="s">
        <v>190</v>
      </c>
      <c r="FA516" s="319" t="s">
        <v>190</v>
      </c>
      <c r="FB516" s="319" t="s">
        <v>428</v>
      </c>
      <c r="FC516" s="319" t="s">
        <v>428</v>
      </c>
      <c r="FD516" s="319" t="s">
        <v>428</v>
      </c>
      <c r="FE516" s="319" t="s">
        <v>428</v>
      </c>
      <c r="FF516" s="319" t="s">
        <v>428</v>
      </c>
      <c r="FG516" s="319" t="s">
        <v>428</v>
      </c>
      <c r="FH516" s="319" t="s">
        <v>190</v>
      </c>
      <c r="FI516" s="319" t="s">
        <v>428</v>
      </c>
      <c r="FJ516" s="319" t="s">
        <v>429</v>
      </c>
      <c r="FK516" s="319" t="s">
        <v>428</v>
      </c>
      <c r="FL516" s="319" t="s">
        <v>190</v>
      </c>
      <c r="FM516" s="319" t="s">
        <v>190</v>
      </c>
      <c r="FN516" s="319" t="s">
        <v>190</v>
      </c>
      <c r="FO516" s="319" t="s">
        <v>190</v>
      </c>
      <c r="FP516" s="319" t="s">
        <v>190</v>
      </c>
      <c r="FQ516" s="319" t="s">
        <v>190</v>
      </c>
      <c r="FR516" s="319" t="s">
        <v>190</v>
      </c>
      <c r="FS516" s="319" t="s">
        <v>428</v>
      </c>
      <c r="FT516" s="319" t="s">
        <v>190</v>
      </c>
      <c r="FU516" s="319" t="s">
        <v>190</v>
      </c>
      <c r="FV516" s="319" t="s">
        <v>190</v>
      </c>
      <c r="FW516" s="319" t="s">
        <v>190</v>
      </c>
      <c r="FX516" s="319" t="s">
        <v>190</v>
      </c>
      <c r="FY516" s="319" t="s">
        <v>190</v>
      </c>
      <c r="FZ516" s="319" t="s">
        <v>190</v>
      </c>
      <c r="GA516" s="319" t="s">
        <v>190</v>
      </c>
      <c r="GB516" s="319" t="s">
        <v>190</v>
      </c>
      <c r="GC516" s="319" t="s">
        <v>190</v>
      </c>
      <c r="GD516" s="319" t="s">
        <v>190</v>
      </c>
      <c r="GE516" s="319" t="s">
        <v>190</v>
      </c>
      <c r="GF516" s="319" t="s">
        <v>190</v>
      </c>
      <c r="GG516" s="319" t="s">
        <v>190</v>
      </c>
      <c r="GH516" s="319" t="s">
        <v>190</v>
      </c>
      <c r="GI516" s="319" t="s">
        <v>190</v>
      </c>
      <c r="GJ516" s="319" t="s">
        <v>190</v>
      </c>
      <c r="GK516" s="319" t="s">
        <v>428</v>
      </c>
      <c r="GL516" s="319" t="s">
        <v>190</v>
      </c>
      <c r="GM516" s="319" t="s">
        <v>190</v>
      </c>
      <c r="GN516" s="319" t="s">
        <v>190</v>
      </c>
      <c r="GO516" s="319" t="s">
        <v>190</v>
      </c>
      <c r="GP516" s="319" t="s">
        <v>190</v>
      </c>
      <c r="GQ516" s="319" t="s">
        <v>428</v>
      </c>
      <c r="GR516" s="319" t="s">
        <v>190</v>
      </c>
      <c r="GS516" s="319" t="s">
        <v>190</v>
      </c>
      <c r="GT516" s="319" t="s">
        <v>190</v>
      </c>
      <c r="GU516" s="319" t="s">
        <v>190</v>
      </c>
      <c r="GV516" s="319" t="s">
        <v>190</v>
      </c>
      <c r="GW516" s="319" t="s">
        <v>190</v>
      </c>
      <c r="GX516" s="319" t="s">
        <v>190</v>
      </c>
      <c r="GY516" s="319" t="s">
        <v>190</v>
      </c>
      <c r="GZ516" s="319" t="s">
        <v>428</v>
      </c>
      <c r="HA516" s="319" t="s">
        <v>190</v>
      </c>
      <c r="HB516" s="319" t="s">
        <v>190</v>
      </c>
      <c r="HC516" s="319" t="s">
        <v>190</v>
      </c>
      <c r="HD516" s="319" t="s">
        <v>190</v>
      </c>
      <c r="HE516" s="319" t="s">
        <v>190</v>
      </c>
      <c r="HF516" s="319" t="s">
        <v>190</v>
      </c>
      <c r="HG516" s="319" t="s">
        <v>190</v>
      </c>
      <c r="HH516" s="319" t="s">
        <v>190</v>
      </c>
      <c r="HI516" s="319" t="s">
        <v>190</v>
      </c>
      <c r="HJ516" s="319" t="s">
        <v>190</v>
      </c>
      <c r="HK516" s="319" t="s">
        <v>190</v>
      </c>
      <c r="HL516" s="319" t="s">
        <v>428</v>
      </c>
      <c r="HM516" s="319" t="s">
        <v>428</v>
      </c>
      <c r="HN516" s="319" t="s">
        <v>428</v>
      </c>
      <c r="HO516" s="319" t="s">
        <v>428</v>
      </c>
      <c r="HP516" s="319" t="s">
        <v>190</v>
      </c>
      <c r="HQ516" s="319" t="s">
        <v>190</v>
      </c>
      <c r="HR516" s="319" t="s">
        <v>190</v>
      </c>
      <c r="HS516" s="319" t="s">
        <v>190</v>
      </c>
      <c r="HT516" s="319" t="s">
        <v>190</v>
      </c>
      <c r="HU516" s="319" t="s">
        <v>190</v>
      </c>
      <c r="HV516" s="319" t="s">
        <v>190</v>
      </c>
      <c r="HW516" s="319" t="s">
        <v>190</v>
      </c>
      <c r="HX516" s="319" t="s">
        <v>190</v>
      </c>
      <c r="HY516" s="319" t="s">
        <v>190</v>
      </c>
      <c r="HZ516" s="319" t="s">
        <v>190</v>
      </c>
      <c r="IA516" s="319" t="s">
        <v>190</v>
      </c>
      <c r="IB516" s="319" t="s">
        <v>190</v>
      </c>
      <c r="IC516" s="319" t="s">
        <v>190</v>
      </c>
      <c r="ID516" s="319" t="s">
        <v>190</v>
      </c>
      <c r="IE516" s="319" t="s">
        <v>190</v>
      </c>
      <c r="IF516" s="319" t="s">
        <v>190</v>
      </c>
      <c r="IG516" s="319" t="s">
        <v>190</v>
      </c>
      <c r="IH516" s="319" t="s">
        <v>190</v>
      </c>
      <c r="II516" s="319" t="s">
        <v>190</v>
      </c>
      <c r="IJ516" s="319" t="s">
        <v>3284</v>
      </c>
      <c r="IK516" s="321">
        <v>42032</v>
      </c>
      <c r="IL516" s="321">
        <v>42034</v>
      </c>
      <c r="IM516" s="321">
        <v>42069</v>
      </c>
      <c r="IN516" s="319">
        <v>2</v>
      </c>
      <c r="IO516" s="319" t="s">
        <v>173</v>
      </c>
      <c r="IP516" s="319" t="s">
        <v>173</v>
      </c>
      <c r="IQ516" s="319" t="s">
        <v>173</v>
      </c>
      <c r="IR516" s="320" t="s">
        <v>173</v>
      </c>
      <c r="IS516" s="320" t="s">
        <v>173</v>
      </c>
      <c r="IT516" s="319" t="s">
        <v>173</v>
      </c>
    </row>
    <row r="517" spans="1:254" s="271" customFormat="1" x14ac:dyDescent="0.25">
      <c r="A517" s="318" t="str">
        <f>HYPERLINK("http://www.ofsted.gov.uk/inspection-reports/find-inspection-report/provider/ELS/135376 ","Ofsted School Webpage")</f>
        <v>Ofsted School Webpage</v>
      </c>
      <c r="B517" s="319">
        <v>135376</v>
      </c>
      <c r="C517" s="319">
        <v>3706005</v>
      </c>
      <c r="D517" s="319" t="s">
        <v>1919</v>
      </c>
      <c r="E517" s="319" t="s">
        <v>168</v>
      </c>
      <c r="F517" s="319" t="s">
        <v>81</v>
      </c>
      <c r="G517" s="319" t="s">
        <v>81</v>
      </c>
      <c r="H517" s="319" t="s">
        <v>81</v>
      </c>
      <c r="I517" s="319" t="s">
        <v>78</v>
      </c>
      <c r="J517" s="319" t="s">
        <v>424</v>
      </c>
      <c r="K517" s="319" t="s">
        <v>458</v>
      </c>
      <c r="L517" s="319" t="s">
        <v>459</v>
      </c>
      <c r="M517" s="319" t="s">
        <v>973</v>
      </c>
      <c r="N517" s="319" t="s">
        <v>3285</v>
      </c>
      <c r="O517" s="319" t="s">
        <v>1920</v>
      </c>
      <c r="P517" s="319">
        <v>4</v>
      </c>
      <c r="Q517" s="319" t="s">
        <v>429</v>
      </c>
      <c r="R517" s="320">
        <v>10043655</v>
      </c>
      <c r="S517" s="321">
        <v>43137</v>
      </c>
      <c r="T517" s="321">
        <v>43138</v>
      </c>
      <c r="U517" s="321">
        <v>43168</v>
      </c>
      <c r="V517" s="319" t="s">
        <v>425</v>
      </c>
      <c r="W517" s="319" t="s">
        <v>2767</v>
      </c>
      <c r="X517" s="319">
        <v>3</v>
      </c>
      <c r="Y517" s="319" t="s">
        <v>173</v>
      </c>
      <c r="Z517" s="319" t="s">
        <v>173</v>
      </c>
      <c r="AA517" s="319" t="s">
        <v>173</v>
      </c>
      <c r="AB517" s="319">
        <v>3</v>
      </c>
      <c r="AC517" s="319" t="s">
        <v>169</v>
      </c>
      <c r="AD517" s="319" t="s">
        <v>173</v>
      </c>
      <c r="AE517" s="319" t="s">
        <v>173</v>
      </c>
      <c r="AF517" s="319" t="s">
        <v>427</v>
      </c>
      <c r="AG517" s="319" t="s">
        <v>172</v>
      </c>
      <c r="AH517" s="319" t="s">
        <v>479</v>
      </c>
      <c r="AI517" s="319" t="s">
        <v>479</v>
      </c>
      <c r="AJ517" s="319" t="s">
        <v>190</v>
      </c>
      <c r="AK517" s="319" t="s">
        <v>190</v>
      </c>
      <c r="AL517" s="319" t="s">
        <v>479</v>
      </c>
      <c r="AM517" s="319" t="s">
        <v>190</v>
      </c>
      <c r="AN517" s="319" t="s">
        <v>190</v>
      </c>
      <c r="AO517" s="319" t="s">
        <v>479</v>
      </c>
      <c r="AP517" s="319" t="s">
        <v>191</v>
      </c>
      <c r="AQ517" s="319" t="s">
        <v>191</v>
      </c>
      <c r="AR517" s="319" t="s">
        <v>190</v>
      </c>
      <c r="AS517" s="319" t="s">
        <v>190</v>
      </c>
      <c r="AT517" s="319" t="s">
        <v>190</v>
      </c>
      <c r="AU517" s="319" t="s">
        <v>190</v>
      </c>
      <c r="AV517" s="319" t="s">
        <v>190</v>
      </c>
      <c r="AW517" s="319" t="s">
        <v>190</v>
      </c>
      <c r="AX517" s="319" t="s">
        <v>428</v>
      </c>
      <c r="AY517" s="319" t="s">
        <v>191</v>
      </c>
      <c r="AZ517" s="319" t="s">
        <v>190</v>
      </c>
      <c r="BA517" s="319" t="s">
        <v>191</v>
      </c>
      <c r="BB517" s="319" t="s">
        <v>190</v>
      </c>
      <c r="BC517" s="319" t="s">
        <v>190</v>
      </c>
      <c r="BD517" s="319" t="s">
        <v>190</v>
      </c>
      <c r="BE517" s="319" t="s">
        <v>190</v>
      </c>
      <c r="BF517" s="319" t="s">
        <v>190</v>
      </c>
      <c r="BG517" s="319" t="s">
        <v>191</v>
      </c>
      <c r="BH517" s="319" t="s">
        <v>190</v>
      </c>
      <c r="BI517" s="319" t="s">
        <v>190</v>
      </c>
      <c r="BJ517" s="319" t="s">
        <v>190</v>
      </c>
      <c r="BK517" s="319" t="s">
        <v>190</v>
      </c>
      <c r="BL517" s="319" t="s">
        <v>190</v>
      </c>
      <c r="BM517" s="319" t="s">
        <v>190</v>
      </c>
      <c r="BN517" s="319" t="s">
        <v>190</v>
      </c>
      <c r="BO517" s="319" t="s">
        <v>190</v>
      </c>
      <c r="BP517" s="319" t="s">
        <v>190</v>
      </c>
      <c r="BQ517" s="319" t="s">
        <v>190</v>
      </c>
      <c r="BR517" s="319" t="s">
        <v>190</v>
      </c>
      <c r="BS517" s="319" t="s">
        <v>190</v>
      </c>
      <c r="BT517" s="319" t="s">
        <v>190</v>
      </c>
      <c r="BU517" s="319" t="s">
        <v>190</v>
      </c>
      <c r="BV517" s="319" t="s">
        <v>191</v>
      </c>
      <c r="BW517" s="319" t="s">
        <v>191</v>
      </c>
      <c r="BX517" s="319" t="s">
        <v>191</v>
      </c>
      <c r="BY517" s="319" t="s">
        <v>190</v>
      </c>
      <c r="BZ517" s="319" t="s">
        <v>191</v>
      </c>
      <c r="CA517" s="319" t="s">
        <v>190</v>
      </c>
      <c r="CB517" s="319" t="s">
        <v>191</v>
      </c>
      <c r="CC517" s="319" t="s">
        <v>190</v>
      </c>
      <c r="CD517" s="319" t="s">
        <v>191</v>
      </c>
      <c r="CE517" s="319" t="s">
        <v>191</v>
      </c>
      <c r="CF517" s="319" t="s">
        <v>190</v>
      </c>
      <c r="CG517" s="319" t="s">
        <v>190</v>
      </c>
      <c r="CH517" s="319" t="s">
        <v>190</v>
      </c>
      <c r="CI517" s="319" t="s">
        <v>190</v>
      </c>
      <c r="CJ517" s="319" t="s">
        <v>190</v>
      </c>
      <c r="CK517" s="319" t="s">
        <v>190</v>
      </c>
      <c r="CL517" s="319" t="s">
        <v>190</v>
      </c>
      <c r="CM517" s="319" t="s">
        <v>190</v>
      </c>
      <c r="CN517" s="319" t="s">
        <v>190</v>
      </c>
      <c r="CO517" s="319" t="s">
        <v>190</v>
      </c>
      <c r="CP517" s="319" t="s">
        <v>428</v>
      </c>
      <c r="CQ517" s="319" t="s">
        <v>190</v>
      </c>
      <c r="CR517" s="319" t="s">
        <v>190</v>
      </c>
      <c r="CS517" s="319" t="s">
        <v>190</v>
      </c>
      <c r="CT517" s="319" t="s">
        <v>190</v>
      </c>
      <c r="CU517" s="319" t="s">
        <v>190</v>
      </c>
      <c r="CV517" s="319" t="s">
        <v>190</v>
      </c>
      <c r="CW517" s="319" t="s">
        <v>190</v>
      </c>
      <c r="CX517" s="319" t="s">
        <v>190</v>
      </c>
      <c r="CY517" s="319" t="s">
        <v>190</v>
      </c>
      <c r="CZ517" s="319" t="s">
        <v>190</v>
      </c>
      <c r="DA517" s="319" t="s">
        <v>190</v>
      </c>
      <c r="DB517" s="319" t="s">
        <v>190</v>
      </c>
      <c r="DC517" s="319" t="s">
        <v>190</v>
      </c>
      <c r="DD517" s="319" t="s">
        <v>190</v>
      </c>
      <c r="DE517" s="319" t="s">
        <v>190</v>
      </c>
      <c r="DF517" s="319" t="s">
        <v>190</v>
      </c>
      <c r="DG517" s="319" t="s">
        <v>190</v>
      </c>
      <c r="DH517" s="319" t="s">
        <v>190</v>
      </c>
      <c r="DI517" s="319" t="s">
        <v>190</v>
      </c>
      <c r="DJ517" s="319" t="s">
        <v>190</v>
      </c>
      <c r="DK517" s="319" t="s">
        <v>190</v>
      </c>
      <c r="DL517" s="319" t="s">
        <v>190</v>
      </c>
      <c r="DM517" s="319" t="s">
        <v>190</v>
      </c>
      <c r="DN517" s="319" t="s">
        <v>190</v>
      </c>
      <c r="DO517" s="319" t="s">
        <v>190</v>
      </c>
      <c r="DP517" s="319" t="s">
        <v>190</v>
      </c>
      <c r="DQ517" s="319" t="s">
        <v>190</v>
      </c>
      <c r="DR517" s="319" t="s">
        <v>190</v>
      </c>
      <c r="DS517" s="319" t="s">
        <v>190</v>
      </c>
      <c r="DT517" s="319" t="s">
        <v>190</v>
      </c>
      <c r="DU517" s="319" t="s">
        <v>190</v>
      </c>
      <c r="DV517" s="319" t="s">
        <v>173</v>
      </c>
      <c r="DW517" s="319" t="s">
        <v>190</v>
      </c>
      <c r="DX517" s="319" t="s">
        <v>190</v>
      </c>
      <c r="DY517" s="319" t="s">
        <v>190</v>
      </c>
      <c r="DZ517" s="319" t="s">
        <v>190</v>
      </c>
      <c r="EA517" s="319" t="s">
        <v>190</v>
      </c>
      <c r="EB517" s="319" t="s">
        <v>190</v>
      </c>
      <c r="EC517" s="319" t="s">
        <v>428</v>
      </c>
      <c r="ED517" s="319" t="s">
        <v>190</v>
      </c>
      <c r="EE517" s="319" t="s">
        <v>190</v>
      </c>
      <c r="EF517" s="319" t="s">
        <v>190</v>
      </c>
      <c r="EG517" s="319" t="s">
        <v>190</v>
      </c>
      <c r="EH517" s="319" t="s">
        <v>190</v>
      </c>
      <c r="EI517" s="319" t="s">
        <v>190</v>
      </c>
      <c r="EJ517" s="319" t="s">
        <v>190</v>
      </c>
      <c r="EK517" s="319" t="s">
        <v>190</v>
      </c>
      <c r="EL517" s="319" t="s">
        <v>190</v>
      </c>
      <c r="EM517" s="319" t="s">
        <v>190</v>
      </c>
      <c r="EN517" s="319" t="s">
        <v>190</v>
      </c>
      <c r="EO517" s="319" t="s">
        <v>190</v>
      </c>
      <c r="EP517" s="319" t="s">
        <v>190</v>
      </c>
      <c r="EQ517" s="319" t="s">
        <v>190</v>
      </c>
      <c r="ER517" s="319" t="s">
        <v>190</v>
      </c>
      <c r="ES517" s="319" t="s">
        <v>190</v>
      </c>
      <c r="ET517" s="319" t="s">
        <v>190</v>
      </c>
      <c r="EU517" s="319" t="s">
        <v>190</v>
      </c>
      <c r="EV517" s="319" t="s">
        <v>190</v>
      </c>
      <c r="EW517" s="319" t="s">
        <v>190</v>
      </c>
      <c r="EX517" s="319" t="s">
        <v>190</v>
      </c>
      <c r="EY517" s="319" t="s">
        <v>190</v>
      </c>
      <c r="EZ517" s="319" t="s">
        <v>190</v>
      </c>
      <c r="FA517" s="319" t="s">
        <v>190</v>
      </c>
      <c r="FB517" s="319" t="s">
        <v>190</v>
      </c>
      <c r="FC517" s="319" t="s">
        <v>190</v>
      </c>
      <c r="FD517" s="319" t="s">
        <v>190</v>
      </c>
      <c r="FE517" s="319" t="s">
        <v>190</v>
      </c>
      <c r="FF517" s="319" t="s">
        <v>190</v>
      </c>
      <c r="FG517" s="319" t="s">
        <v>190</v>
      </c>
      <c r="FH517" s="319" t="s">
        <v>190</v>
      </c>
      <c r="FI517" s="319" t="s">
        <v>190</v>
      </c>
      <c r="FJ517" s="319" t="s">
        <v>190</v>
      </c>
      <c r="FK517" s="319" t="s">
        <v>190</v>
      </c>
      <c r="FL517" s="319" t="s">
        <v>190</v>
      </c>
      <c r="FM517" s="319" t="s">
        <v>190</v>
      </c>
      <c r="FN517" s="319" t="s">
        <v>190</v>
      </c>
      <c r="FO517" s="319" t="s">
        <v>428</v>
      </c>
      <c r="FP517" s="319" t="s">
        <v>190</v>
      </c>
      <c r="FQ517" s="319" t="s">
        <v>190</v>
      </c>
      <c r="FR517" s="319" t="s">
        <v>190</v>
      </c>
      <c r="FS517" s="319" t="s">
        <v>428</v>
      </c>
      <c r="FT517" s="319" t="s">
        <v>190</v>
      </c>
      <c r="FU517" s="319" t="s">
        <v>190</v>
      </c>
      <c r="FV517" s="319" t="s">
        <v>190</v>
      </c>
      <c r="FW517" s="319" t="s">
        <v>190</v>
      </c>
      <c r="FX517" s="319" t="s">
        <v>190</v>
      </c>
      <c r="FY517" s="319" t="s">
        <v>191</v>
      </c>
      <c r="FZ517" s="319" t="s">
        <v>190</v>
      </c>
      <c r="GA517" s="319" t="s">
        <v>190</v>
      </c>
      <c r="GB517" s="319" t="s">
        <v>190</v>
      </c>
      <c r="GC517" s="319" t="s">
        <v>190</v>
      </c>
      <c r="GD517" s="319" t="s">
        <v>190</v>
      </c>
      <c r="GE517" s="319" t="s">
        <v>190</v>
      </c>
      <c r="GF517" s="319" t="s">
        <v>190</v>
      </c>
      <c r="GG517" s="319" t="s">
        <v>190</v>
      </c>
      <c r="GH517" s="319" t="s">
        <v>191</v>
      </c>
      <c r="GI517" s="319" t="s">
        <v>428</v>
      </c>
      <c r="GJ517" s="319" t="s">
        <v>191</v>
      </c>
      <c r="GK517" s="319" t="s">
        <v>428</v>
      </c>
      <c r="GL517" s="319" t="s">
        <v>190</v>
      </c>
      <c r="GM517" s="319" t="s">
        <v>190</v>
      </c>
      <c r="GN517" s="319" t="s">
        <v>190</v>
      </c>
      <c r="GO517" s="319" t="s">
        <v>190</v>
      </c>
      <c r="GP517" s="319" t="s">
        <v>190</v>
      </c>
      <c r="GQ517" s="319" t="s">
        <v>190</v>
      </c>
      <c r="GR517" s="319" t="s">
        <v>190</v>
      </c>
      <c r="GS517" s="319" t="s">
        <v>190</v>
      </c>
      <c r="GT517" s="319" t="s">
        <v>190</v>
      </c>
      <c r="GU517" s="319" t="s">
        <v>190</v>
      </c>
      <c r="GV517" s="319" t="s">
        <v>190</v>
      </c>
      <c r="GW517" s="319" t="s">
        <v>190</v>
      </c>
      <c r="GX517" s="319" t="s">
        <v>190</v>
      </c>
      <c r="GY517" s="319" t="s">
        <v>190</v>
      </c>
      <c r="GZ517" s="319" t="s">
        <v>190</v>
      </c>
      <c r="HA517" s="319" t="s">
        <v>190</v>
      </c>
      <c r="HB517" s="319" t="s">
        <v>190</v>
      </c>
      <c r="HC517" s="319" t="s">
        <v>190</v>
      </c>
      <c r="HD517" s="319" t="s">
        <v>190</v>
      </c>
      <c r="HE517" s="319" t="s">
        <v>190</v>
      </c>
      <c r="HF517" s="319" t="s">
        <v>190</v>
      </c>
      <c r="HG517" s="319" t="s">
        <v>190</v>
      </c>
      <c r="HH517" s="319" t="s">
        <v>190</v>
      </c>
      <c r="HI517" s="319" t="s">
        <v>190</v>
      </c>
      <c r="HJ517" s="319" t="s">
        <v>190</v>
      </c>
      <c r="HK517" s="319" t="s">
        <v>190</v>
      </c>
      <c r="HL517" s="319" t="s">
        <v>190</v>
      </c>
      <c r="HM517" s="319" t="s">
        <v>190</v>
      </c>
      <c r="HN517" s="319" t="s">
        <v>190</v>
      </c>
      <c r="HO517" s="319" t="s">
        <v>190</v>
      </c>
      <c r="HP517" s="319" t="s">
        <v>190</v>
      </c>
      <c r="HQ517" s="319" t="s">
        <v>190</v>
      </c>
      <c r="HR517" s="319" t="s">
        <v>190</v>
      </c>
      <c r="HS517" s="319" t="s">
        <v>190</v>
      </c>
      <c r="HT517" s="319" t="s">
        <v>190</v>
      </c>
      <c r="HU517" s="319" t="s">
        <v>190</v>
      </c>
      <c r="HV517" s="319" t="s">
        <v>190</v>
      </c>
      <c r="HW517" s="319" t="s">
        <v>190</v>
      </c>
      <c r="HX517" s="319" t="s">
        <v>190</v>
      </c>
      <c r="HY517" s="319" t="s">
        <v>190</v>
      </c>
      <c r="HZ517" s="319" t="s">
        <v>190</v>
      </c>
      <c r="IA517" s="319" t="s">
        <v>190</v>
      </c>
      <c r="IB517" s="319" t="s">
        <v>190</v>
      </c>
      <c r="IC517" s="319" t="s">
        <v>190</v>
      </c>
      <c r="ID517" s="319" t="s">
        <v>190</v>
      </c>
      <c r="IE517" s="319" t="s">
        <v>190</v>
      </c>
      <c r="IF517" s="319" t="s">
        <v>191</v>
      </c>
      <c r="IG517" s="319" t="s">
        <v>191</v>
      </c>
      <c r="IH517" s="319" t="s">
        <v>191</v>
      </c>
      <c r="II517" s="319" t="s">
        <v>190</v>
      </c>
      <c r="IJ517" s="319" t="s">
        <v>3286</v>
      </c>
      <c r="IK517" s="321">
        <v>42045</v>
      </c>
      <c r="IL517" s="321">
        <v>42047</v>
      </c>
      <c r="IM517" s="321">
        <v>42082</v>
      </c>
      <c r="IN517" s="319">
        <v>2</v>
      </c>
      <c r="IO517" s="319">
        <v>10109112</v>
      </c>
      <c r="IP517" s="319" t="s">
        <v>985</v>
      </c>
      <c r="IQ517" s="321">
        <v>43621</v>
      </c>
      <c r="IR517" s="320" t="s">
        <v>1223</v>
      </c>
      <c r="IS517" s="322">
        <v>43646</v>
      </c>
      <c r="IT517" s="319" t="s">
        <v>165</v>
      </c>
    </row>
    <row r="518" spans="1:254" s="271" customFormat="1" x14ac:dyDescent="0.25">
      <c r="A518" s="318" t="str">
        <f>HYPERLINK("http://www.ofsted.gov.uk/inspection-reports/find-inspection-report/provider/ELS/135380 ","Ofsted School Webpage")</f>
        <v>Ofsted School Webpage</v>
      </c>
      <c r="B518" s="319">
        <v>135380</v>
      </c>
      <c r="C518" s="319">
        <v>8736044</v>
      </c>
      <c r="D518" s="319" t="s">
        <v>1921</v>
      </c>
      <c r="E518" s="319" t="s">
        <v>168</v>
      </c>
      <c r="F518" s="319" t="s">
        <v>81</v>
      </c>
      <c r="G518" s="319" t="s">
        <v>81</v>
      </c>
      <c r="H518" s="319" t="s">
        <v>81</v>
      </c>
      <c r="I518" s="319" t="s">
        <v>78</v>
      </c>
      <c r="J518" s="319" t="s">
        <v>424</v>
      </c>
      <c r="K518" s="319" t="s">
        <v>451</v>
      </c>
      <c r="L518" s="319" t="s">
        <v>451</v>
      </c>
      <c r="M518" s="319" t="s">
        <v>772</v>
      </c>
      <c r="N518" s="319" t="s">
        <v>2913</v>
      </c>
      <c r="O518" s="319" t="s">
        <v>1922</v>
      </c>
      <c r="P518" s="319">
        <v>5</v>
      </c>
      <c r="Q518" s="319" t="s">
        <v>429</v>
      </c>
      <c r="R518" s="320">
        <v>10046988</v>
      </c>
      <c r="S518" s="321">
        <v>43235</v>
      </c>
      <c r="T518" s="321">
        <v>43237</v>
      </c>
      <c r="U518" s="321">
        <v>43270</v>
      </c>
      <c r="V518" s="319" t="s">
        <v>425</v>
      </c>
      <c r="W518" s="319" t="s">
        <v>2767</v>
      </c>
      <c r="X518" s="319">
        <v>2</v>
      </c>
      <c r="Y518" s="319" t="s">
        <v>173</v>
      </c>
      <c r="Z518" s="319" t="s">
        <v>173</v>
      </c>
      <c r="AA518" s="319" t="s">
        <v>173</v>
      </c>
      <c r="AB518" s="319">
        <v>2</v>
      </c>
      <c r="AC518" s="319" t="s">
        <v>169</v>
      </c>
      <c r="AD518" s="319" t="s">
        <v>173</v>
      </c>
      <c r="AE518" s="319" t="s">
        <v>173</v>
      </c>
      <c r="AF518" s="319" t="s">
        <v>427</v>
      </c>
      <c r="AG518" s="319" t="s">
        <v>171</v>
      </c>
      <c r="AH518" s="319" t="s">
        <v>190</v>
      </c>
      <c r="AI518" s="319" t="s">
        <v>190</v>
      </c>
      <c r="AJ518" s="319" t="s">
        <v>190</v>
      </c>
      <c r="AK518" s="319" t="s">
        <v>190</v>
      </c>
      <c r="AL518" s="319" t="s">
        <v>190</v>
      </c>
      <c r="AM518" s="319" t="s">
        <v>190</v>
      </c>
      <c r="AN518" s="319" t="s">
        <v>190</v>
      </c>
      <c r="AO518" s="319" t="s">
        <v>190</v>
      </c>
      <c r="AP518" s="319" t="s">
        <v>190</v>
      </c>
      <c r="AQ518" s="319" t="s">
        <v>190</v>
      </c>
      <c r="AR518" s="319" t="s">
        <v>190</v>
      </c>
      <c r="AS518" s="319" t="s">
        <v>190</v>
      </c>
      <c r="AT518" s="319" t="s">
        <v>190</v>
      </c>
      <c r="AU518" s="319" t="s">
        <v>190</v>
      </c>
      <c r="AV518" s="319" t="s">
        <v>190</v>
      </c>
      <c r="AW518" s="319" t="s">
        <v>190</v>
      </c>
      <c r="AX518" s="319" t="s">
        <v>428</v>
      </c>
      <c r="AY518" s="319" t="s">
        <v>190</v>
      </c>
      <c r="AZ518" s="319" t="s">
        <v>190</v>
      </c>
      <c r="BA518" s="319" t="s">
        <v>190</v>
      </c>
      <c r="BB518" s="319" t="s">
        <v>190</v>
      </c>
      <c r="BC518" s="319" t="s">
        <v>190</v>
      </c>
      <c r="BD518" s="319" t="s">
        <v>190</v>
      </c>
      <c r="BE518" s="319" t="s">
        <v>190</v>
      </c>
      <c r="BF518" s="319" t="s">
        <v>428</v>
      </c>
      <c r="BG518" s="319" t="s">
        <v>428</v>
      </c>
      <c r="BH518" s="319" t="s">
        <v>190</v>
      </c>
      <c r="BI518" s="319" t="s">
        <v>190</v>
      </c>
      <c r="BJ518" s="319" t="s">
        <v>190</v>
      </c>
      <c r="BK518" s="319" t="s">
        <v>190</v>
      </c>
      <c r="BL518" s="319" t="s">
        <v>190</v>
      </c>
      <c r="BM518" s="319" t="s">
        <v>190</v>
      </c>
      <c r="BN518" s="319" t="s">
        <v>190</v>
      </c>
      <c r="BO518" s="319" t="s">
        <v>190</v>
      </c>
      <c r="BP518" s="319" t="s">
        <v>190</v>
      </c>
      <c r="BQ518" s="319" t="s">
        <v>190</v>
      </c>
      <c r="BR518" s="319" t="s">
        <v>190</v>
      </c>
      <c r="BS518" s="319" t="s">
        <v>190</v>
      </c>
      <c r="BT518" s="319" t="s">
        <v>190</v>
      </c>
      <c r="BU518" s="319" t="s">
        <v>190</v>
      </c>
      <c r="BV518" s="319" t="s">
        <v>190</v>
      </c>
      <c r="BW518" s="319" t="s">
        <v>190</v>
      </c>
      <c r="BX518" s="319" t="s">
        <v>190</v>
      </c>
      <c r="BY518" s="319" t="s">
        <v>190</v>
      </c>
      <c r="BZ518" s="319" t="s">
        <v>190</v>
      </c>
      <c r="CA518" s="319" t="s">
        <v>190</v>
      </c>
      <c r="CB518" s="319" t="s">
        <v>190</v>
      </c>
      <c r="CC518" s="319" t="s">
        <v>190</v>
      </c>
      <c r="CD518" s="319" t="s">
        <v>190</v>
      </c>
      <c r="CE518" s="319" t="s">
        <v>190</v>
      </c>
      <c r="CF518" s="319" t="s">
        <v>190</v>
      </c>
      <c r="CG518" s="319" t="s">
        <v>190</v>
      </c>
      <c r="CH518" s="319" t="s">
        <v>190</v>
      </c>
      <c r="CI518" s="319" t="s">
        <v>190</v>
      </c>
      <c r="CJ518" s="319" t="s">
        <v>190</v>
      </c>
      <c r="CK518" s="319" t="s">
        <v>190</v>
      </c>
      <c r="CL518" s="319" t="s">
        <v>190</v>
      </c>
      <c r="CM518" s="319" t="s">
        <v>190</v>
      </c>
      <c r="CN518" s="319" t="s">
        <v>428</v>
      </c>
      <c r="CO518" s="319" t="s">
        <v>428</v>
      </c>
      <c r="CP518" s="319" t="s">
        <v>428</v>
      </c>
      <c r="CQ518" s="319" t="s">
        <v>190</v>
      </c>
      <c r="CR518" s="319" t="s">
        <v>190</v>
      </c>
      <c r="CS518" s="319" t="s">
        <v>190</v>
      </c>
      <c r="CT518" s="319" t="s">
        <v>190</v>
      </c>
      <c r="CU518" s="319" t="s">
        <v>190</v>
      </c>
      <c r="CV518" s="319" t="s">
        <v>190</v>
      </c>
      <c r="CW518" s="319" t="s">
        <v>190</v>
      </c>
      <c r="CX518" s="319" t="s">
        <v>190</v>
      </c>
      <c r="CY518" s="319" t="s">
        <v>190</v>
      </c>
      <c r="CZ518" s="319" t="s">
        <v>190</v>
      </c>
      <c r="DA518" s="319" t="s">
        <v>190</v>
      </c>
      <c r="DB518" s="319" t="s">
        <v>190</v>
      </c>
      <c r="DC518" s="319" t="s">
        <v>190</v>
      </c>
      <c r="DD518" s="319" t="s">
        <v>190</v>
      </c>
      <c r="DE518" s="319" t="s">
        <v>190</v>
      </c>
      <c r="DF518" s="319" t="s">
        <v>190</v>
      </c>
      <c r="DG518" s="319" t="s">
        <v>190</v>
      </c>
      <c r="DH518" s="319" t="s">
        <v>190</v>
      </c>
      <c r="DI518" s="319" t="s">
        <v>190</v>
      </c>
      <c r="DJ518" s="319" t="s">
        <v>190</v>
      </c>
      <c r="DK518" s="319" t="s">
        <v>190</v>
      </c>
      <c r="DL518" s="319" t="s">
        <v>190</v>
      </c>
      <c r="DM518" s="319" t="s">
        <v>190</v>
      </c>
      <c r="DN518" s="319" t="s">
        <v>428</v>
      </c>
      <c r="DO518" s="319" t="s">
        <v>190</v>
      </c>
      <c r="DP518" s="319" t="s">
        <v>428</v>
      </c>
      <c r="DQ518" s="319" t="s">
        <v>428</v>
      </c>
      <c r="DR518" s="319" t="s">
        <v>428</v>
      </c>
      <c r="DS518" s="319" t="s">
        <v>428</v>
      </c>
      <c r="DT518" s="319" t="s">
        <v>428</v>
      </c>
      <c r="DU518" s="319" t="s">
        <v>428</v>
      </c>
      <c r="DV518" s="319" t="s">
        <v>173</v>
      </c>
      <c r="DW518" s="319" t="s">
        <v>428</v>
      </c>
      <c r="DX518" s="319" t="s">
        <v>428</v>
      </c>
      <c r="DY518" s="319" t="s">
        <v>428</v>
      </c>
      <c r="DZ518" s="319" t="s">
        <v>428</v>
      </c>
      <c r="EA518" s="319" t="s">
        <v>428</v>
      </c>
      <c r="EB518" s="319" t="s">
        <v>428</v>
      </c>
      <c r="EC518" s="319" t="s">
        <v>428</v>
      </c>
      <c r="ED518" s="319" t="s">
        <v>428</v>
      </c>
      <c r="EE518" s="319" t="s">
        <v>190</v>
      </c>
      <c r="EF518" s="319" t="s">
        <v>190</v>
      </c>
      <c r="EG518" s="319" t="s">
        <v>190</v>
      </c>
      <c r="EH518" s="319" t="s">
        <v>190</v>
      </c>
      <c r="EI518" s="319" t="s">
        <v>190</v>
      </c>
      <c r="EJ518" s="319" t="s">
        <v>190</v>
      </c>
      <c r="EK518" s="319" t="s">
        <v>190</v>
      </c>
      <c r="EL518" s="319" t="s">
        <v>190</v>
      </c>
      <c r="EM518" s="319" t="s">
        <v>190</v>
      </c>
      <c r="EN518" s="319" t="s">
        <v>190</v>
      </c>
      <c r="EO518" s="319" t="s">
        <v>190</v>
      </c>
      <c r="EP518" s="319" t="s">
        <v>190</v>
      </c>
      <c r="EQ518" s="319" t="s">
        <v>190</v>
      </c>
      <c r="ER518" s="319" t="s">
        <v>190</v>
      </c>
      <c r="ES518" s="319" t="s">
        <v>190</v>
      </c>
      <c r="ET518" s="319" t="s">
        <v>190</v>
      </c>
      <c r="EU518" s="319" t="s">
        <v>190</v>
      </c>
      <c r="EV518" s="319" t="s">
        <v>190</v>
      </c>
      <c r="EW518" s="319" t="s">
        <v>190</v>
      </c>
      <c r="EX518" s="319" t="s">
        <v>190</v>
      </c>
      <c r="EY518" s="319" t="s">
        <v>190</v>
      </c>
      <c r="EZ518" s="319" t="s">
        <v>190</v>
      </c>
      <c r="FA518" s="319" t="s">
        <v>428</v>
      </c>
      <c r="FB518" s="319" t="s">
        <v>428</v>
      </c>
      <c r="FC518" s="319" t="s">
        <v>428</v>
      </c>
      <c r="FD518" s="319" t="s">
        <v>428</v>
      </c>
      <c r="FE518" s="319" t="s">
        <v>428</v>
      </c>
      <c r="FF518" s="319" t="s">
        <v>428</v>
      </c>
      <c r="FG518" s="319" t="s">
        <v>428</v>
      </c>
      <c r="FH518" s="319" t="s">
        <v>190</v>
      </c>
      <c r="FI518" s="319" t="s">
        <v>428</v>
      </c>
      <c r="FJ518" s="319" t="s">
        <v>190</v>
      </c>
      <c r="FK518" s="319" t="s">
        <v>190</v>
      </c>
      <c r="FL518" s="319" t="s">
        <v>190</v>
      </c>
      <c r="FM518" s="319" t="s">
        <v>190</v>
      </c>
      <c r="FN518" s="319" t="s">
        <v>190</v>
      </c>
      <c r="FO518" s="319" t="s">
        <v>190</v>
      </c>
      <c r="FP518" s="319" t="s">
        <v>190</v>
      </c>
      <c r="FQ518" s="319" t="s">
        <v>190</v>
      </c>
      <c r="FR518" s="319" t="s">
        <v>190</v>
      </c>
      <c r="FS518" s="319" t="s">
        <v>428</v>
      </c>
      <c r="FT518" s="319" t="s">
        <v>190</v>
      </c>
      <c r="FU518" s="319" t="s">
        <v>190</v>
      </c>
      <c r="FV518" s="319" t="s">
        <v>190</v>
      </c>
      <c r="FW518" s="319" t="s">
        <v>190</v>
      </c>
      <c r="FX518" s="319" t="s">
        <v>190</v>
      </c>
      <c r="FY518" s="319" t="s">
        <v>190</v>
      </c>
      <c r="FZ518" s="319" t="s">
        <v>190</v>
      </c>
      <c r="GA518" s="319" t="s">
        <v>190</v>
      </c>
      <c r="GB518" s="319" t="s">
        <v>190</v>
      </c>
      <c r="GC518" s="319" t="s">
        <v>190</v>
      </c>
      <c r="GD518" s="319" t="s">
        <v>190</v>
      </c>
      <c r="GE518" s="319" t="s">
        <v>190</v>
      </c>
      <c r="GF518" s="319" t="s">
        <v>190</v>
      </c>
      <c r="GG518" s="319" t="s">
        <v>190</v>
      </c>
      <c r="GH518" s="319" t="s">
        <v>190</v>
      </c>
      <c r="GI518" s="319" t="s">
        <v>190</v>
      </c>
      <c r="GJ518" s="319" t="s">
        <v>190</v>
      </c>
      <c r="GK518" s="319" t="s">
        <v>428</v>
      </c>
      <c r="GL518" s="319" t="s">
        <v>190</v>
      </c>
      <c r="GM518" s="319" t="s">
        <v>190</v>
      </c>
      <c r="GN518" s="319" t="s">
        <v>190</v>
      </c>
      <c r="GO518" s="319" t="s">
        <v>190</v>
      </c>
      <c r="GP518" s="319" t="s">
        <v>190</v>
      </c>
      <c r="GQ518" s="319" t="s">
        <v>428</v>
      </c>
      <c r="GR518" s="319" t="s">
        <v>190</v>
      </c>
      <c r="GS518" s="319" t="s">
        <v>190</v>
      </c>
      <c r="GT518" s="319" t="s">
        <v>190</v>
      </c>
      <c r="GU518" s="319" t="s">
        <v>190</v>
      </c>
      <c r="GV518" s="319" t="s">
        <v>428</v>
      </c>
      <c r="GW518" s="319" t="s">
        <v>190</v>
      </c>
      <c r="GX518" s="319" t="s">
        <v>190</v>
      </c>
      <c r="GY518" s="319" t="s">
        <v>190</v>
      </c>
      <c r="GZ518" s="319" t="s">
        <v>428</v>
      </c>
      <c r="HA518" s="319" t="s">
        <v>190</v>
      </c>
      <c r="HB518" s="319" t="s">
        <v>428</v>
      </c>
      <c r="HC518" s="319" t="s">
        <v>190</v>
      </c>
      <c r="HD518" s="319" t="s">
        <v>190</v>
      </c>
      <c r="HE518" s="319" t="s">
        <v>190</v>
      </c>
      <c r="HF518" s="319" t="s">
        <v>190</v>
      </c>
      <c r="HG518" s="319" t="s">
        <v>190</v>
      </c>
      <c r="HH518" s="319" t="s">
        <v>190</v>
      </c>
      <c r="HI518" s="319" t="s">
        <v>190</v>
      </c>
      <c r="HJ518" s="319" t="s">
        <v>190</v>
      </c>
      <c r="HK518" s="319" t="s">
        <v>190</v>
      </c>
      <c r="HL518" s="319" t="s">
        <v>428</v>
      </c>
      <c r="HM518" s="319" t="s">
        <v>428</v>
      </c>
      <c r="HN518" s="319" t="s">
        <v>428</v>
      </c>
      <c r="HO518" s="319" t="s">
        <v>428</v>
      </c>
      <c r="HP518" s="319" t="s">
        <v>190</v>
      </c>
      <c r="HQ518" s="319" t="s">
        <v>190</v>
      </c>
      <c r="HR518" s="319" t="s">
        <v>190</v>
      </c>
      <c r="HS518" s="319" t="s">
        <v>190</v>
      </c>
      <c r="HT518" s="319" t="s">
        <v>190</v>
      </c>
      <c r="HU518" s="319" t="s">
        <v>190</v>
      </c>
      <c r="HV518" s="319" t="s">
        <v>190</v>
      </c>
      <c r="HW518" s="319" t="s">
        <v>190</v>
      </c>
      <c r="HX518" s="319" t="s">
        <v>190</v>
      </c>
      <c r="HY518" s="319" t="s">
        <v>190</v>
      </c>
      <c r="HZ518" s="319" t="s">
        <v>190</v>
      </c>
      <c r="IA518" s="319" t="s">
        <v>190</v>
      </c>
      <c r="IB518" s="319" t="s">
        <v>190</v>
      </c>
      <c r="IC518" s="319" t="s">
        <v>190</v>
      </c>
      <c r="ID518" s="319" t="s">
        <v>190</v>
      </c>
      <c r="IE518" s="319" t="s">
        <v>190</v>
      </c>
      <c r="IF518" s="319" t="s">
        <v>190</v>
      </c>
      <c r="IG518" s="319" t="s">
        <v>190</v>
      </c>
      <c r="IH518" s="319" t="s">
        <v>190</v>
      </c>
      <c r="II518" s="319" t="s">
        <v>190</v>
      </c>
      <c r="IJ518" s="319" t="s">
        <v>3287</v>
      </c>
      <c r="IK518" s="321">
        <v>42115</v>
      </c>
      <c r="IL518" s="321">
        <v>42117</v>
      </c>
      <c r="IM518" s="321">
        <v>42158</v>
      </c>
      <c r="IN518" s="319">
        <v>2</v>
      </c>
      <c r="IO518" s="319" t="s">
        <v>173</v>
      </c>
      <c r="IP518" s="319" t="s">
        <v>173</v>
      </c>
      <c r="IQ518" s="319" t="s">
        <v>173</v>
      </c>
      <c r="IR518" s="320" t="s">
        <v>173</v>
      </c>
      <c r="IS518" s="320" t="s">
        <v>173</v>
      </c>
      <c r="IT518" s="319" t="s">
        <v>173</v>
      </c>
    </row>
    <row r="519" spans="1:254" s="271" customFormat="1" x14ac:dyDescent="0.25">
      <c r="A519" s="318" t="str">
        <f>HYPERLINK("http://www.ofsted.gov.uk/inspection-reports/find-inspection-report/provider/ELS/135390 ","Ofsted School Webpage")</f>
        <v>Ofsted School Webpage</v>
      </c>
      <c r="B519" s="319">
        <v>135390</v>
      </c>
      <c r="C519" s="319">
        <v>8566020</v>
      </c>
      <c r="D519" s="319" t="s">
        <v>1923</v>
      </c>
      <c r="E519" s="319" t="s">
        <v>167</v>
      </c>
      <c r="F519" s="319" t="s">
        <v>81</v>
      </c>
      <c r="G519" s="319" t="s">
        <v>72</v>
      </c>
      <c r="H519" s="319" t="s">
        <v>72</v>
      </c>
      <c r="I519" s="319" t="s">
        <v>72</v>
      </c>
      <c r="J519" s="319" t="s">
        <v>424</v>
      </c>
      <c r="K519" s="319" t="s">
        <v>506</v>
      </c>
      <c r="L519" s="319" t="s">
        <v>506</v>
      </c>
      <c r="M519" s="319" t="s">
        <v>521</v>
      </c>
      <c r="N519" s="319" t="s">
        <v>2997</v>
      </c>
      <c r="O519" s="319" t="s">
        <v>1924</v>
      </c>
      <c r="P519" s="319">
        <v>148</v>
      </c>
      <c r="Q519" s="319" t="s">
        <v>2766</v>
      </c>
      <c r="R519" s="320">
        <v>10007686</v>
      </c>
      <c r="S519" s="321">
        <v>42402</v>
      </c>
      <c r="T519" s="321">
        <v>42404</v>
      </c>
      <c r="U519" s="321">
        <v>42431</v>
      </c>
      <c r="V519" s="319" t="s">
        <v>425</v>
      </c>
      <c r="W519" s="319" t="s">
        <v>2767</v>
      </c>
      <c r="X519" s="319">
        <v>2</v>
      </c>
      <c r="Y519" s="319" t="s">
        <v>173</v>
      </c>
      <c r="Z519" s="319" t="s">
        <v>173</v>
      </c>
      <c r="AA519" s="319" t="s">
        <v>173</v>
      </c>
      <c r="AB519" s="319">
        <v>2</v>
      </c>
      <c r="AC519" s="319" t="s">
        <v>169</v>
      </c>
      <c r="AD519" s="319" t="s">
        <v>173</v>
      </c>
      <c r="AE519" s="319" t="s">
        <v>173</v>
      </c>
      <c r="AF519" s="319" t="s">
        <v>173</v>
      </c>
      <c r="AG519" s="319" t="s">
        <v>171</v>
      </c>
      <c r="AH519" s="319" t="s">
        <v>190</v>
      </c>
      <c r="AI519" s="319" t="s">
        <v>190</v>
      </c>
      <c r="AJ519" s="319" t="s">
        <v>190</v>
      </c>
      <c r="AK519" s="319" t="s">
        <v>190</v>
      </c>
      <c r="AL519" s="319" t="s">
        <v>190</v>
      </c>
      <c r="AM519" s="319" t="s">
        <v>190</v>
      </c>
      <c r="AN519" s="319" t="s">
        <v>190</v>
      </c>
      <c r="AO519" s="319" t="s">
        <v>190</v>
      </c>
      <c r="AP519" s="319" t="s">
        <v>190</v>
      </c>
      <c r="AQ519" s="319" t="s">
        <v>190</v>
      </c>
      <c r="AR519" s="319" t="s">
        <v>173</v>
      </c>
      <c r="AS519" s="319" t="s">
        <v>190</v>
      </c>
      <c r="AT519" s="319" t="s">
        <v>190</v>
      </c>
      <c r="AU519" s="319" t="s">
        <v>173</v>
      </c>
      <c r="AV519" s="319" t="s">
        <v>190</v>
      </c>
      <c r="AW519" s="319" t="s">
        <v>190</v>
      </c>
      <c r="AX519" s="319" t="s">
        <v>429</v>
      </c>
      <c r="AY519" s="319" t="s">
        <v>190</v>
      </c>
      <c r="AZ519" s="319" t="s">
        <v>190</v>
      </c>
      <c r="BA519" s="319" t="s">
        <v>190</v>
      </c>
      <c r="BB519" s="319" t="s">
        <v>429</v>
      </c>
      <c r="BC519" s="319" t="s">
        <v>429</v>
      </c>
      <c r="BD519" s="319" t="s">
        <v>429</v>
      </c>
      <c r="BE519" s="319" t="s">
        <v>429</v>
      </c>
      <c r="BF519" s="319" t="s">
        <v>429</v>
      </c>
      <c r="BG519" s="319" t="s">
        <v>429</v>
      </c>
      <c r="BH519" s="319" t="s">
        <v>529</v>
      </c>
      <c r="BI519" s="319" t="s">
        <v>190</v>
      </c>
      <c r="BJ519" s="319" t="s">
        <v>529</v>
      </c>
      <c r="BK519" s="319" t="s">
        <v>190</v>
      </c>
      <c r="BL519" s="319" t="s">
        <v>190</v>
      </c>
      <c r="BM519" s="319" t="s">
        <v>190</v>
      </c>
      <c r="BN519" s="319" t="s">
        <v>190</v>
      </c>
      <c r="BO519" s="319" t="s">
        <v>190</v>
      </c>
      <c r="BP519" s="319" t="s">
        <v>190</v>
      </c>
      <c r="BQ519" s="319" t="s">
        <v>190</v>
      </c>
      <c r="BR519" s="319" t="s">
        <v>190</v>
      </c>
      <c r="BS519" s="319" t="s">
        <v>190</v>
      </c>
      <c r="BT519" s="319" t="s">
        <v>190</v>
      </c>
      <c r="BU519" s="319" t="s">
        <v>190</v>
      </c>
      <c r="BV519" s="319" t="s">
        <v>190</v>
      </c>
      <c r="BW519" s="319" t="s">
        <v>190</v>
      </c>
      <c r="BX519" s="319" t="s">
        <v>190</v>
      </c>
      <c r="BY519" s="319" t="s">
        <v>190</v>
      </c>
      <c r="BZ519" s="319" t="s">
        <v>190</v>
      </c>
      <c r="CA519" s="319" t="s">
        <v>190</v>
      </c>
      <c r="CB519" s="319" t="s">
        <v>190</v>
      </c>
      <c r="CC519" s="319" t="s">
        <v>190</v>
      </c>
      <c r="CD519" s="319" t="s">
        <v>190</v>
      </c>
      <c r="CE519" s="319" t="s">
        <v>190</v>
      </c>
      <c r="CF519" s="319" t="s">
        <v>190</v>
      </c>
      <c r="CG519" s="319" t="s">
        <v>190</v>
      </c>
      <c r="CH519" s="319" t="s">
        <v>190</v>
      </c>
      <c r="CI519" s="319" t="s">
        <v>190</v>
      </c>
      <c r="CJ519" s="319" t="s">
        <v>190</v>
      </c>
      <c r="CK519" s="319" t="s">
        <v>190</v>
      </c>
      <c r="CL519" s="319" t="s">
        <v>190</v>
      </c>
      <c r="CM519" s="319" t="s">
        <v>190</v>
      </c>
      <c r="CN519" s="319" t="s">
        <v>429</v>
      </c>
      <c r="CO519" s="319" t="s">
        <v>429</v>
      </c>
      <c r="CP519" s="319" t="s">
        <v>429</v>
      </c>
      <c r="CQ519" s="319" t="s">
        <v>190</v>
      </c>
      <c r="CR519" s="319" t="s">
        <v>190</v>
      </c>
      <c r="CS519" s="319" t="s">
        <v>190</v>
      </c>
      <c r="CT519" s="319" t="s">
        <v>190</v>
      </c>
      <c r="CU519" s="319" t="s">
        <v>190</v>
      </c>
      <c r="CV519" s="319" t="s">
        <v>190</v>
      </c>
      <c r="CW519" s="319" t="s">
        <v>190</v>
      </c>
      <c r="CX519" s="319" t="s">
        <v>190</v>
      </c>
      <c r="CY519" s="319" t="s">
        <v>190</v>
      </c>
      <c r="CZ519" s="319" t="s">
        <v>190</v>
      </c>
      <c r="DA519" s="319" t="s">
        <v>190</v>
      </c>
      <c r="DB519" s="319" t="s">
        <v>190</v>
      </c>
      <c r="DC519" s="319" t="s">
        <v>190</v>
      </c>
      <c r="DD519" s="319" t="s">
        <v>190</v>
      </c>
      <c r="DE519" s="319" t="s">
        <v>190</v>
      </c>
      <c r="DF519" s="319" t="s">
        <v>190</v>
      </c>
      <c r="DG519" s="319" t="s">
        <v>190</v>
      </c>
      <c r="DH519" s="319" t="s">
        <v>190</v>
      </c>
      <c r="DI519" s="319" t="s">
        <v>190</v>
      </c>
      <c r="DJ519" s="319" t="s">
        <v>190</v>
      </c>
      <c r="DK519" s="319" t="s">
        <v>190</v>
      </c>
      <c r="DL519" s="319" t="s">
        <v>190</v>
      </c>
      <c r="DM519" s="319" t="s">
        <v>429</v>
      </c>
      <c r="DN519" s="319" t="s">
        <v>429</v>
      </c>
      <c r="DO519" s="319" t="s">
        <v>190</v>
      </c>
      <c r="DP519" s="319" t="s">
        <v>429</v>
      </c>
      <c r="DQ519" s="319" t="s">
        <v>429</v>
      </c>
      <c r="DR519" s="319" t="s">
        <v>429</v>
      </c>
      <c r="DS519" s="319" t="s">
        <v>529</v>
      </c>
      <c r="DT519" s="319" t="s">
        <v>529</v>
      </c>
      <c r="DU519" s="319" t="s">
        <v>429</v>
      </c>
      <c r="DV519" s="319" t="s">
        <v>173</v>
      </c>
      <c r="DW519" s="319" t="s">
        <v>429</v>
      </c>
      <c r="DX519" s="319" t="s">
        <v>429</v>
      </c>
      <c r="DY519" s="319" t="s">
        <v>429</v>
      </c>
      <c r="DZ519" s="319" t="s">
        <v>429</v>
      </c>
      <c r="EA519" s="319" t="s">
        <v>429</v>
      </c>
      <c r="EB519" s="319" t="s">
        <v>429</v>
      </c>
      <c r="EC519" s="319" t="s">
        <v>429</v>
      </c>
      <c r="ED519" s="319" t="s">
        <v>429</v>
      </c>
      <c r="EE519" s="319" t="s">
        <v>190</v>
      </c>
      <c r="EF519" s="319" t="s">
        <v>173</v>
      </c>
      <c r="EG519" s="319" t="s">
        <v>190</v>
      </c>
      <c r="EH519" s="319" t="s">
        <v>190</v>
      </c>
      <c r="EI519" s="319" t="s">
        <v>190</v>
      </c>
      <c r="EJ519" s="319" t="s">
        <v>190</v>
      </c>
      <c r="EK519" s="319" t="s">
        <v>190</v>
      </c>
      <c r="EL519" s="319" t="s">
        <v>429</v>
      </c>
      <c r="EM519" s="319" t="s">
        <v>429</v>
      </c>
      <c r="EN519" s="319" t="s">
        <v>190</v>
      </c>
      <c r="EO519" s="319" t="s">
        <v>190</v>
      </c>
      <c r="EP519" s="319" t="s">
        <v>190</v>
      </c>
      <c r="EQ519" s="319" t="s">
        <v>190</v>
      </c>
      <c r="ER519" s="319" t="s">
        <v>190</v>
      </c>
      <c r="ES519" s="319" t="s">
        <v>190</v>
      </c>
      <c r="ET519" s="319" t="s">
        <v>190</v>
      </c>
      <c r="EU519" s="319" t="s">
        <v>190</v>
      </c>
      <c r="EV519" s="319" t="s">
        <v>190</v>
      </c>
      <c r="EW519" s="319" t="s">
        <v>190</v>
      </c>
      <c r="EX519" s="319" t="s">
        <v>190</v>
      </c>
      <c r="EY519" s="319" t="s">
        <v>429</v>
      </c>
      <c r="EZ519" s="319" t="s">
        <v>190</v>
      </c>
      <c r="FA519" s="319" t="s">
        <v>429</v>
      </c>
      <c r="FB519" s="319" t="s">
        <v>429</v>
      </c>
      <c r="FC519" s="319" t="s">
        <v>429</v>
      </c>
      <c r="FD519" s="319" t="s">
        <v>429</v>
      </c>
      <c r="FE519" s="319" t="s">
        <v>429</v>
      </c>
      <c r="FF519" s="319" t="s">
        <v>429</v>
      </c>
      <c r="FG519" s="319" t="s">
        <v>429</v>
      </c>
      <c r="FH519" s="319" t="s">
        <v>190</v>
      </c>
      <c r="FI519" s="319" t="s">
        <v>429</v>
      </c>
      <c r="FJ519" s="319" t="s">
        <v>190</v>
      </c>
      <c r="FK519" s="319" t="s">
        <v>190</v>
      </c>
      <c r="FL519" s="319" t="s">
        <v>190</v>
      </c>
      <c r="FM519" s="319" t="s">
        <v>190</v>
      </c>
      <c r="FN519" s="319" t="s">
        <v>190</v>
      </c>
      <c r="FO519" s="319" t="s">
        <v>429</v>
      </c>
      <c r="FP519" s="319" t="s">
        <v>190</v>
      </c>
      <c r="FQ519" s="319" t="s">
        <v>190</v>
      </c>
      <c r="FR519" s="319" t="s">
        <v>190</v>
      </c>
      <c r="FS519" s="319" t="s">
        <v>429</v>
      </c>
      <c r="FT519" s="319" t="s">
        <v>173</v>
      </c>
      <c r="FU519" s="319" t="s">
        <v>190</v>
      </c>
      <c r="FV519" s="319" t="s">
        <v>190</v>
      </c>
      <c r="FW519" s="319" t="s">
        <v>190</v>
      </c>
      <c r="FX519" s="319" t="s">
        <v>190</v>
      </c>
      <c r="FY519" s="319" t="s">
        <v>190</v>
      </c>
      <c r="FZ519" s="319" t="s">
        <v>190</v>
      </c>
      <c r="GA519" s="319" t="s">
        <v>190</v>
      </c>
      <c r="GB519" s="319" t="s">
        <v>190</v>
      </c>
      <c r="GC519" s="319" t="s">
        <v>190</v>
      </c>
      <c r="GD519" s="319" t="s">
        <v>190</v>
      </c>
      <c r="GE519" s="319" t="s">
        <v>173</v>
      </c>
      <c r="GF519" s="319" t="s">
        <v>173</v>
      </c>
      <c r="GG519" s="319" t="s">
        <v>173</v>
      </c>
      <c r="GH519" s="319" t="s">
        <v>190</v>
      </c>
      <c r="GI519" s="319" t="s">
        <v>190</v>
      </c>
      <c r="GJ519" s="319" t="s">
        <v>190</v>
      </c>
      <c r="GK519" s="319" t="s">
        <v>429</v>
      </c>
      <c r="GL519" s="319" t="s">
        <v>190</v>
      </c>
      <c r="GM519" s="319" t="s">
        <v>190</v>
      </c>
      <c r="GN519" s="319" t="s">
        <v>190</v>
      </c>
      <c r="GO519" s="319" t="s">
        <v>190</v>
      </c>
      <c r="GP519" s="319" t="s">
        <v>529</v>
      </c>
      <c r="GQ519" s="319" t="s">
        <v>429</v>
      </c>
      <c r="GR519" s="319" t="s">
        <v>190</v>
      </c>
      <c r="GS519" s="319" t="s">
        <v>190</v>
      </c>
      <c r="GT519" s="319" t="s">
        <v>429</v>
      </c>
      <c r="GU519" s="319" t="s">
        <v>429</v>
      </c>
      <c r="GV519" s="319" t="s">
        <v>529</v>
      </c>
      <c r="GW519" s="319" t="s">
        <v>173</v>
      </c>
      <c r="GX519" s="319" t="s">
        <v>173</v>
      </c>
      <c r="GY519" s="319" t="s">
        <v>173</v>
      </c>
      <c r="GZ519" s="319" t="s">
        <v>173</v>
      </c>
      <c r="HA519" s="319" t="s">
        <v>173</v>
      </c>
      <c r="HB519" s="319" t="s">
        <v>173</v>
      </c>
      <c r="HC519" s="319" t="s">
        <v>173</v>
      </c>
      <c r="HD519" s="319" t="s">
        <v>173</v>
      </c>
      <c r="HE519" s="319" t="s">
        <v>173</v>
      </c>
      <c r="HF519" s="319" t="s">
        <v>173</v>
      </c>
      <c r="HG519" s="319" t="s">
        <v>173</v>
      </c>
      <c r="HH519" s="319" t="s">
        <v>173</v>
      </c>
      <c r="HI519" s="319" t="s">
        <v>173</v>
      </c>
      <c r="HJ519" s="319" t="s">
        <v>173</v>
      </c>
      <c r="HK519" s="319" t="s">
        <v>173</v>
      </c>
      <c r="HL519" s="319" t="s">
        <v>173</v>
      </c>
      <c r="HM519" s="319" t="s">
        <v>173</v>
      </c>
      <c r="HN519" s="319" t="s">
        <v>173</v>
      </c>
      <c r="HO519" s="319" t="s">
        <v>173</v>
      </c>
      <c r="HP519" s="319" t="s">
        <v>190</v>
      </c>
      <c r="HQ519" s="319" t="s">
        <v>190</v>
      </c>
      <c r="HR519" s="319" t="s">
        <v>190</v>
      </c>
      <c r="HS519" s="319" t="s">
        <v>190</v>
      </c>
      <c r="HT519" s="319" t="s">
        <v>190</v>
      </c>
      <c r="HU519" s="319" t="s">
        <v>190</v>
      </c>
      <c r="HV519" s="319" t="s">
        <v>190</v>
      </c>
      <c r="HW519" s="319" t="s">
        <v>190</v>
      </c>
      <c r="HX519" s="319" t="s">
        <v>190</v>
      </c>
      <c r="HY519" s="319" t="s">
        <v>190</v>
      </c>
      <c r="HZ519" s="319" t="s">
        <v>190</v>
      </c>
      <c r="IA519" s="319" t="s">
        <v>190</v>
      </c>
      <c r="IB519" s="319" t="s">
        <v>190</v>
      </c>
      <c r="IC519" s="319" t="s">
        <v>190</v>
      </c>
      <c r="ID519" s="319" t="s">
        <v>190</v>
      </c>
      <c r="IE519" s="319" t="s">
        <v>190</v>
      </c>
      <c r="IF519" s="319" t="s">
        <v>190</v>
      </c>
      <c r="IG519" s="319" t="s">
        <v>190</v>
      </c>
      <c r="IH519" s="319" t="s">
        <v>190</v>
      </c>
      <c r="II519" s="319" t="s">
        <v>190</v>
      </c>
      <c r="IJ519" s="319" t="s">
        <v>3288</v>
      </c>
      <c r="IK519" s="321">
        <v>40820</v>
      </c>
      <c r="IL519" s="321">
        <v>40821</v>
      </c>
      <c r="IM519" s="321">
        <v>40847</v>
      </c>
      <c r="IN519" s="319">
        <v>2</v>
      </c>
      <c r="IO519" s="319" t="s">
        <v>173</v>
      </c>
      <c r="IP519" s="319" t="s">
        <v>173</v>
      </c>
      <c r="IQ519" s="321" t="s">
        <v>173</v>
      </c>
      <c r="IR519" s="320" t="s">
        <v>173</v>
      </c>
      <c r="IS519" s="322" t="s">
        <v>173</v>
      </c>
      <c r="IT519" s="319" t="s">
        <v>173</v>
      </c>
    </row>
    <row r="520" spans="1:254" s="271" customFormat="1" x14ac:dyDescent="0.25">
      <c r="A520" s="318" t="str">
        <f>HYPERLINK("http://www.ofsted.gov.uk/inspection-reports/find-inspection-report/provider/ELS/135393 ","Ofsted School Webpage")</f>
        <v>Ofsted School Webpage</v>
      </c>
      <c r="B520" s="319">
        <v>135393</v>
      </c>
      <c r="C520" s="319">
        <v>8916032</v>
      </c>
      <c r="D520" s="319" t="s">
        <v>1925</v>
      </c>
      <c r="E520" s="319" t="s">
        <v>168</v>
      </c>
      <c r="F520" s="319" t="s">
        <v>81</v>
      </c>
      <c r="G520" s="319" t="s">
        <v>81</v>
      </c>
      <c r="H520" s="319" t="s">
        <v>81</v>
      </c>
      <c r="I520" s="319" t="s">
        <v>78</v>
      </c>
      <c r="J520" s="319" t="s">
        <v>424</v>
      </c>
      <c r="K520" s="319" t="s">
        <v>506</v>
      </c>
      <c r="L520" s="319" t="s">
        <v>506</v>
      </c>
      <c r="M520" s="319" t="s">
        <v>760</v>
      </c>
      <c r="N520" s="319" t="s">
        <v>3017</v>
      </c>
      <c r="O520" s="319" t="s">
        <v>1926</v>
      </c>
      <c r="P520" s="319">
        <v>25</v>
      </c>
      <c r="Q520" s="319" t="s">
        <v>429</v>
      </c>
      <c r="R520" s="320">
        <v>10026051</v>
      </c>
      <c r="S520" s="321">
        <v>42850</v>
      </c>
      <c r="T520" s="321">
        <v>42852</v>
      </c>
      <c r="U520" s="321">
        <v>42872</v>
      </c>
      <c r="V520" s="319" t="s">
        <v>425</v>
      </c>
      <c r="W520" s="319" t="s">
        <v>2767</v>
      </c>
      <c r="X520" s="319">
        <v>2</v>
      </c>
      <c r="Y520" s="319" t="s">
        <v>173</v>
      </c>
      <c r="Z520" s="319" t="s">
        <v>173</v>
      </c>
      <c r="AA520" s="319" t="s">
        <v>173</v>
      </c>
      <c r="AB520" s="319">
        <v>2</v>
      </c>
      <c r="AC520" s="319" t="s">
        <v>169</v>
      </c>
      <c r="AD520" s="319" t="s">
        <v>173</v>
      </c>
      <c r="AE520" s="319">
        <v>2</v>
      </c>
      <c r="AF520" s="319" t="s">
        <v>173</v>
      </c>
      <c r="AG520" s="319" t="s">
        <v>171</v>
      </c>
      <c r="AH520" s="319" t="s">
        <v>190</v>
      </c>
      <c r="AI520" s="319" t="s">
        <v>190</v>
      </c>
      <c r="AJ520" s="319" t="s">
        <v>190</v>
      </c>
      <c r="AK520" s="319" t="s">
        <v>190</v>
      </c>
      <c r="AL520" s="319" t="s">
        <v>190</v>
      </c>
      <c r="AM520" s="319" t="s">
        <v>190</v>
      </c>
      <c r="AN520" s="319" t="s">
        <v>190</v>
      </c>
      <c r="AO520" s="319" t="s">
        <v>190</v>
      </c>
      <c r="AP520" s="319" t="s">
        <v>190</v>
      </c>
      <c r="AQ520" s="319" t="s">
        <v>190</v>
      </c>
      <c r="AR520" s="319" t="s">
        <v>190</v>
      </c>
      <c r="AS520" s="319" t="s">
        <v>190</v>
      </c>
      <c r="AT520" s="319" t="s">
        <v>190</v>
      </c>
      <c r="AU520" s="319" t="s">
        <v>190</v>
      </c>
      <c r="AV520" s="319" t="s">
        <v>190</v>
      </c>
      <c r="AW520" s="319" t="s">
        <v>190</v>
      </c>
      <c r="AX520" s="319" t="s">
        <v>429</v>
      </c>
      <c r="AY520" s="319" t="s">
        <v>190</v>
      </c>
      <c r="AZ520" s="319" t="s">
        <v>190</v>
      </c>
      <c r="BA520" s="319" t="s">
        <v>190</v>
      </c>
      <c r="BB520" s="319" t="s">
        <v>190</v>
      </c>
      <c r="BC520" s="319" t="s">
        <v>190</v>
      </c>
      <c r="BD520" s="319" t="s">
        <v>190</v>
      </c>
      <c r="BE520" s="319" t="s">
        <v>190</v>
      </c>
      <c r="BF520" s="319" t="s">
        <v>429</v>
      </c>
      <c r="BG520" s="319" t="s">
        <v>190</v>
      </c>
      <c r="BH520" s="319" t="s">
        <v>190</v>
      </c>
      <c r="BI520" s="319" t="s">
        <v>190</v>
      </c>
      <c r="BJ520" s="319" t="s">
        <v>190</v>
      </c>
      <c r="BK520" s="319" t="s">
        <v>190</v>
      </c>
      <c r="BL520" s="319" t="s">
        <v>190</v>
      </c>
      <c r="BM520" s="319" t="s">
        <v>190</v>
      </c>
      <c r="BN520" s="319" t="s">
        <v>190</v>
      </c>
      <c r="BO520" s="319" t="s">
        <v>190</v>
      </c>
      <c r="BP520" s="319" t="s">
        <v>190</v>
      </c>
      <c r="BQ520" s="319" t="s">
        <v>190</v>
      </c>
      <c r="BR520" s="319" t="s">
        <v>190</v>
      </c>
      <c r="BS520" s="319" t="s">
        <v>190</v>
      </c>
      <c r="BT520" s="319" t="s">
        <v>190</v>
      </c>
      <c r="BU520" s="319" t="s">
        <v>190</v>
      </c>
      <c r="BV520" s="319" t="s">
        <v>190</v>
      </c>
      <c r="BW520" s="319" t="s">
        <v>190</v>
      </c>
      <c r="BX520" s="319" t="s">
        <v>190</v>
      </c>
      <c r="BY520" s="319" t="s">
        <v>190</v>
      </c>
      <c r="BZ520" s="319" t="s">
        <v>190</v>
      </c>
      <c r="CA520" s="319" t="s">
        <v>190</v>
      </c>
      <c r="CB520" s="319" t="s">
        <v>190</v>
      </c>
      <c r="CC520" s="319" t="s">
        <v>190</v>
      </c>
      <c r="CD520" s="319" t="s">
        <v>190</v>
      </c>
      <c r="CE520" s="319" t="s">
        <v>190</v>
      </c>
      <c r="CF520" s="319" t="s">
        <v>190</v>
      </c>
      <c r="CG520" s="319" t="s">
        <v>190</v>
      </c>
      <c r="CH520" s="319" t="s">
        <v>190</v>
      </c>
      <c r="CI520" s="319" t="s">
        <v>190</v>
      </c>
      <c r="CJ520" s="319" t="s">
        <v>190</v>
      </c>
      <c r="CK520" s="319" t="s">
        <v>190</v>
      </c>
      <c r="CL520" s="319" t="s">
        <v>190</v>
      </c>
      <c r="CM520" s="319" t="s">
        <v>190</v>
      </c>
      <c r="CN520" s="319" t="s">
        <v>429</v>
      </c>
      <c r="CO520" s="319" t="s">
        <v>429</v>
      </c>
      <c r="CP520" s="319" t="s">
        <v>429</v>
      </c>
      <c r="CQ520" s="319" t="s">
        <v>190</v>
      </c>
      <c r="CR520" s="319" t="s">
        <v>190</v>
      </c>
      <c r="CS520" s="319" t="s">
        <v>190</v>
      </c>
      <c r="CT520" s="319" t="s">
        <v>190</v>
      </c>
      <c r="CU520" s="319" t="s">
        <v>190</v>
      </c>
      <c r="CV520" s="319" t="s">
        <v>190</v>
      </c>
      <c r="CW520" s="319" t="s">
        <v>190</v>
      </c>
      <c r="CX520" s="319" t="s">
        <v>190</v>
      </c>
      <c r="CY520" s="319" t="s">
        <v>190</v>
      </c>
      <c r="CZ520" s="319" t="s">
        <v>190</v>
      </c>
      <c r="DA520" s="319" t="s">
        <v>190</v>
      </c>
      <c r="DB520" s="319" t="s">
        <v>190</v>
      </c>
      <c r="DC520" s="319" t="s">
        <v>190</v>
      </c>
      <c r="DD520" s="319" t="s">
        <v>190</v>
      </c>
      <c r="DE520" s="319" t="s">
        <v>190</v>
      </c>
      <c r="DF520" s="319" t="s">
        <v>190</v>
      </c>
      <c r="DG520" s="319" t="s">
        <v>190</v>
      </c>
      <c r="DH520" s="319" t="s">
        <v>190</v>
      </c>
      <c r="DI520" s="319" t="s">
        <v>190</v>
      </c>
      <c r="DJ520" s="319" t="s">
        <v>190</v>
      </c>
      <c r="DK520" s="319" t="s">
        <v>190</v>
      </c>
      <c r="DL520" s="319" t="s">
        <v>190</v>
      </c>
      <c r="DM520" s="319" t="s">
        <v>190</v>
      </c>
      <c r="DN520" s="319" t="s">
        <v>429</v>
      </c>
      <c r="DO520" s="319" t="s">
        <v>190</v>
      </c>
      <c r="DP520" s="319" t="s">
        <v>429</v>
      </c>
      <c r="DQ520" s="319" t="s">
        <v>429</v>
      </c>
      <c r="DR520" s="319" t="s">
        <v>429</v>
      </c>
      <c r="DS520" s="319" t="s">
        <v>429</v>
      </c>
      <c r="DT520" s="319" t="s">
        <v>429</v>
      </c>
      <c r="DU520" s="319" t="s">
        <v>429</v>
      </c>
      <c r="DV520" s="319" t="s">
        <v>173</v>
      </c>
      <c r="DW520" s="319" t="s">
        <v>429</v>
      </c>
      <c r="DX520" s="319" t="s">
        <v>429</v>
      </c>
      <c r="DY520" s="319" t="s">
        <v>429</v>
      </c>
      <c r="DZ520" s="319" t="s">
        <v>429</v>
      </c>
      <c r="EA520" s="319" t="s">
        <v>429</v>
      </c>
      <c r="EB520" s="319" t="s">
        <v>429</v>
      </c>
      <c r="EC520" s="319" t="s">
        <v>429</v>
      </c>
      <c r="ED520" s="319" t="s">
        <v>429</v>
      </c>
      <c r="EE520" s="319" t="s">
        <v>190</v>
      </c>
      <c r="EF520" s="319" t="s">
        <v>190</v>
      </c>
      <c r="EG520" s="319" t="s">
        <v>190</v>
      </c>
      <c r="EH520" s="319" t="s">
        <v>190</v>
      </c>
      <c r="EI520" s="319" t="s">
        <v>190</v>
      </c>
      <c r="EJ520" s="319" t="s">
        <v>190</v>
      </c>
      <c r="EK520" s="319" t="s">
        <v>190</v>
      </c>
      <c r="EL520" s="319" t="s">
        <v>190</v>
      </c>
      <c r="EM520" s="319" t="s">
        <v>429</v>
      </c>
      <c r="EN520" s="319" t="s">
        <v>190</v>
      </c>
      <c r="EO520" s="319" t="s">
        <v>190</v>
      </c>
      <c r="EP520" s="319" t="s">
        <v>190</v>
      </c>
      <c r="EQ520" s="319" t="s">
        <v>190</v>
      </c>
      <c r="ER520" s="319" t="s">
        <v>190</v>
      </c>
      <c r="ES520" s="319" t="s">
        <v>190</v>
      </c>
      <c r="ET520" s="319" t="s">
        <v>190</v>
      </c>
      <c r="EU520" s="319" t="s">
        <v>190</v>
      </c>
      <c r="EV520" s="319" t="s">
        <v>190</v>
      </c>
      <c r="EW520" s="319" t="s">
        <v>190</v>
      </c>
      <c r="EX520" s="319" t="s">
        <v>190</v>
      </c>
      <c r="EY520" s="319" t="s">
        <v>190</v>
      </c>
      <c r="EZ520" s="319" t="s">
        <v>190</v>
      </c>
      <c r="FA520" s="319" t="s">
        <v>429</v>
      </c>
      <c r="FB520" s="319" t="s">
        <v>429</v>
      </c>
      <c r="FC520" s="319" t="s">
        <v>429</v>
      </c>
      <c r="FD520" s="319" t="s">
        <v>429</v>
      </c>
      <c r="FE520" s="319" t="s">
        <v>429</v>
      </c>
      <c r="FF520" s="319" t="s">
        <v>429</v>
      </c>
      <c r="FG520" s="319" t="s">
        <v>429</v>
      </c>
      <c r="FH520" s="319" t="s">
        <v>190</v>
      </c>
      <c r="FI520" s="319" t="s">
        <v>190</v>
      </c>
      <c r="FJ520" s="319" t="s">
        <v>190</v>
      </c>
      <c r="FK520" s="319" t="s">
        <v>190</v>
      </c>
      <c r="FL520" s="319" t="s">
        <v>190</v>
      </c>
      <c r="FM520" s="319" t="s">
        <v>190</v>
      </c>
      <c r="FN520" s="319" t="s">
        <v>190</v>
      </c>
      <c r="FO520" s="319" t="s">
        <v>190</v>
      </c>
      <c r="FP520" s="319" t="s">
        <v>190</v>
      </c>
      <c r="FQ520" s="319" t="s">
        <v>190</v>
      </c>
      <c r="FR520" s="319" t="s">
        <v>190</v>
      </c>
      <c r="FS520" s="319" t="s">
        <v>429</v>
      </c>
      <c r="FT520" s="319" t="s">
        <v>190</v>
      </c>
      <c r="FU520" s="319" t="s">
        <v>190</v>
      </c>
      <c r="FV520" s="319" t="s">
        <v>190</v>
      </c>
      <c r="FW520" s="319" t="s">
        <v>190</v>
      </c>
      <c r="FX520" s="319" t="s">
        <v>190</v>
      </c>
      <c r="FY520" s="319" t="s">
        <v>190</v>
      </c>
      <c r="FZ520" s="319" t="s">
        <v>190</v>
      </c>
      <c r="GA520" s="319" t="s">
        <v>190</v>
      </c>
      <c r="GB520" s="319" t="s">
        <v>190</v>
      </c>
      <c r="GC520" s="319" t="s">
        <v>190</v>
      </c>
      <c r="GD520" s="319" t="s">
        <v>190</v>
      </c>
      <c r="GE520" s="319" t="s">
        <v>190</v>
      </c>
      <c r="GF520" s="319" t="s">
        <v>190</v>
      </c>
      <c r="GG520" s="319" t="s">
        <v>190</v>
      </c>
      <c r="GH520" s="319" t="s">
        <v>190</v>
      </c>
      <c r="GI520" s="319" t="s">
        <v>190</v>
      </c>
      <c r="GJ520" s="319" t="s">
        <v>190</v>
      </c>
      <c r="GK520" s="319" t="s">
        <v>429</v>
      </c>
      <c r="GL520" s="319" t="s">
        <v>190</v>
      </c>
      <c r="GM520" s="319" t="s">
        <v>190</v>
      </c>
      <c r="GN520" s="319" t="s">
        <v>190</v>
      </c>
      <c r="GO520" s="319" t="s">
        <v>190</v>
      </c>
      <c r="GP520" s="319" t="s">
        <v>190</v>
      </c>
      <c r="GQ520" s="319" t="s">
        <v>429</v>
      </c>
      <c r="GR520" s="319" t="s">
        <v>190</v>
      </c>
      <c r="GS520" s="319" t="s">
        <v>190</v>
      </c>
      <c r="GT520" s="319" t="s">
        <v>190</v>
      </c>
      <c r="GU520" s="319" t="s">
        <v>190</v>
      </c>
      <c r="GV520" s="319" t="s">
        <v>190</v>
      </c>
      <c r="GW520" s="319" t="s">
        <v>190</v>
      </c>
      <c r="GX520" s="319" t="s">
        <v>190</v>
      </c>
      <c r="GY520" s="319" t="s">
        <v>190</v>
      </c>
      <c r="GZ520" s="319" t="s">
        <v>429</v>
      </c>
      <c r="HA520" s="319" t="s">
        <v>190</v>
      </c>
      <c r="HB520" s="319" t="s">
        <v>190</v>
      </c>
      <c r="HC520" s="319" t="s">
        <v>190</v>
      </c>
      <c r="HD520" s="319" t="s">
        <v>190</v>
      </c>
      <c r="HE520" s="319" t="s">
        <v>190</v>
      </c>
      <c r="HF520" s="319" t="s">
        <v>190</v>
      </c>
      <c r="HG520" s="319" t="s">
        <v>190</v>
      </c>
      <c r="HH520" s="319" t="s">
        <v>190</v>
      </c>
      <c r="HI520" s="319" t="s">
        <v>190</v>
      </c>
      <c r="HJ520" s="319" t="s">
        <v>190</v>
      </c>
      <c r="HK520" s="319" t="s">
        <v>190</v>
      </c>
      <c r="HL520" s="319" t="s">
        <v>429</v>
      </c>
      <c r="HM520" s="319" t="s">
        <v>429</v>
      </c>
      <c r="HN520" s="319" t="s">
        <v>429</v>
      </c>
      <c r="HO520" s="319" t="s">
        <v>429</v>
      </c>
      <c r="HP520" s="319" t="s">
        <v>190</v>
      </c>
      <c r="HQ520" s="319" t="s">
        <v>190</v>
      </c>
      <c r="HR520" s="319" t="s">
        <v>190</v>
      </c>
      <c r="HS520" s="319" t="s">
        <v>190</v>
      </c>
      <c r="HT520" s="319" t="s">
        <v>190</v>
      </c>
      <c r="HU520" s="319" t="s">
        <v>190</v>
      </c>
      <c r="HV520" s="319" t="s">
        <v>190</v>
      </c>
      <c r="HW520" s="319" t="s">
        <v>190</v>
      </c>
      <c r="HX520" s="319" t="s">
        <v>190</v>
      </c>
      <c r="HY520" s="319" t="s">
        <v>190</v>
      </c>
      <c r="HZ520" s="319" t="s">
        <v>190</v>
      </c>
      <c r="IA520" s="319" t="s">
        <v>190</v>
      </c>
      <c r="IB520" s="319" t="s">
        <v>190</v>
      </c>
      <c r="IC520" s="319" t="s">
        <v>190</v>
      </c>
      <c r="ID520" s="319" t="s">
        <v>190</v>
      </c>
      <c r="IE520" s="319" t="s">
        <v>190</v>
      </c>
      <c r="IF520" s="319" t="s">
        <v>190</v>
      </c>
      <c r="IG520" s="319" t="s">
        <v>190</v>
      </c>
      <c r="IH520" s="319" t="s">
        <v>190</v>
      </c>
      <c r="II520" s="319" t="s">
        <v>190</v>
      </c>
      <c r="IJ520" s="319" t="s">
        <v>3289</v>
      </c>
      <c r="IK520" s="321">
        <v>41681</v>
      </c>
      <c r="IL520" s="321">
        <v>41683</v>
      </c>
      <c r="IM520" s="321">
        <v>41704</v>
      </c>
      <c r="IN520" s="319">
        <v>2</v>
      </c>
      <c r="IO520" s="319" t="s">
        <v>173</v>
      </c>
      <c r="IP520" s="319" t="s">
        <v>173</v>
      </c>
      <c r="IQ520" s="319" t="s">
        <v>173</v>
      </c>
      <c r="IR520" s="320" t="s">
        <v>173</v>
      </c>
      <c r="IS520" s="320" t="s">
        <v>173</v>
      </c>
      <c r="IT520" s="319" t="s">
        <v>173</v>
      </c>
    </row>
    <row r="521" spans="1:254" s="271" customFormat="1" x14ac:dyDescent="0.25">
      <c r="A521" s="318" t="str">
        <f>HYPERLINK("http://www.ofsted.gov.uk/inspection-reports/find-inspection-report/provider/ELS/135405 ","Ofsted School Webpage")</f>
        <v>Ofsted School Webpage</v>
      </c>
      <c r="B521" s="319">
        <v>135405</v>
      </c>
      <c r="C521" s="319">
        <v>9086096</v>
      </c>
      <c r="D521" s="319" t="s">
        <v>1203</v>
      </c>
      <c r="E521" s="319" t="s">
        <v>168</v>
      </c>
      <c r="F521" s="319" t="s">
        <v>81</v>
      </c>
      <c r="G521" s="319" t="s">
        <v>81</v>
      </c>
      <c r="H521" s="319" t="s">
        <v>81</v>
      </c>
      <c r="I521" s="319" t="s">
        <v>78</v>
      </c>
      <c r="J521" s="319" t="s">
        <v>424</v>
      </c>
      <c r="K521" s="319" t="s">
        <v>422</v>
      </c>
      <c r="L521" s="319" t="s">
        <v>422</v>
      </c>
      <c r="M521" s="319" t="s">
        <v>1204</v>
      </c>
      <c r="N521" s="319" t="s">
        <v>3290</v>
      </c>
      <c r="O521" s="319" t="s">
        <v>1205</v>
      </c>
      <c r="P521" s="319">
        <v>13</v>
      </c>
      <c r="Q521" s="319" t="s">
        <v>429</v>
      </c>
      <c r="R521" s="320">
        <v>10107538</v>
      </c>
      <c r="S521" s="321">
        <v>43754</v>
      </c>
      <c r="T521" s="321">
        <v>43756</v>
      </c>
      <c r="U521" s="321">
        <v>43793</v>
      </c>
      <c r="V521" s="319" t="s">
        <v>425</v>
      </c>
      <c r="W521" s="319" t="s">
        <v>2767</v>
      </c>
      <c r="X521" s="319">
        <v>3</v>
      </c>
      <c r="Y521" s="319">
        <v>3</v>
      </c>
      <c r="Z521" s="319">
        <v>2</v>
      </c>
      <c r="AA521" s="319">
        <v>2</v>
      </c>
      <c r="AB521" s="319">
        <v>3</v>
      </c>
      <c r="AC521" s="319" t="s">
        <v>169</v>
      </c>
      <c r="AD521" s="319" t="s">
        <v>173</v>
      </c>
      <c r="AE521" s="319" t="s">
        <v>173</v>
      </c>
      <c r="AF521" s="319" t="s">
        <v>427</v>
      </c>
      <c r="AG521" s="319" t="s">
        <v>171</v>
      </c>
      <c r="AH521" s="319" t="s">
        <v>190</v>
      </c>
      <c r="AI521" s="319" t="s">
        <v>190</v>
      </c>
      <c r="AJ521" s="319" t="s">
        <v>190</v>
      </c>
      <c r="AK521" s="319" t="s">
        <v>190</v>
      </c>
      <c r="AL521" s="319" t="s">
        <v>190</v>
      </c>
      <c r="AM521" s="319" t="s">
        <v>190</v>
      </c>
      <c r="AN521" s="319" t="s">
        <v>190</v>
      </c>
      <c r="AO521" s="319" t="s">
        <v>190</v>
      </c>
      <c r="AP521" s="319" t="s">
        <v>190</v>
      </c>
      <c r="AQ521" s="319" t="s">
        <v>190</v>
      </c>
      <c r="AR521" s="319" t="s">
        <v>190</v>
      </c>
      <c r="AS521" s="319" t="s">
        <v>190</v>
      </c>
      <c r="AT521" s="319" t="s">
        <v>190</v>
      </c>
      <c r="AU521" s="319" t="s">
        <v>190</v>
      </c>
      <c r="AV521" s="319" t="s">
        <v>190</v>
      </c>
      <c r="AW521" s="319" t="s">
        <v>190</v>
      </c>
      <c r="AX521" s="319" t="s">
        <v>190</v>
      </c>
      <c r="AY521" s="319" t="s">
        <v>190</v>
      </c>
      <c r="AZ521" s="319" t="s">
        <v>190</v>
      </c>
      <c r="BA521" s="319" t="s">
        <v>190</v>
      </c>
      <c r="BB521" s="319" t="s">
        <v>190</v>
      </c>
      <c r="BC521" s="319" t="s">
        <v>190</v>
      </c>
      <c r="BD521" s="319" t="s">
        <v>190</v>
      </c>
      <c r="BE521" s="319" t="s">
        <v>190</v>
      </c>
      <c r="BF521" s="319" t="s">
        <v>190</v>
      </c>
      <c r="BG521" s="319" t="s">
        <v>190</v>
      </c>
      <c r="BH521" s="319" t="s">
        <v>190</v>
      </c>
      <c r="BI521" s="319" t="s">
        <v>190</v>
      </c>
      <c r="BJ521" s="319" t="s">
        <v>190</v>
      </c>
      <c r="BK521" s="319" t="s">
        <v>190</v>
      </c>
      <c r="BL521" s="319" t="s">
        <v>190</v>
      </c>
      <c r="BM521" s="319" t="s">
        <v>190</v>
      </c>
      <c r="BN521" s="319" t="s">
        <v>190</v>
      </c>
      <c r="BO521" s="319" t="s">
        <v>190</v>
      </c>
      <c r="BP521" s="319" t="s">
        <v>190</v>
      </c>
      <c r="BQ521" s="319" t="s">
        <v>190</v>
      </c>
      <c r="BR521" s="319" t="s">
        <v>190</v>
      </c>
      <c r="BS521" s="319" t="s">
        <v>190</v>
      </c>
      <c r="BT521" s="319" t="s">
        <v>190</v>
      </c>
      <c r="BU521" s="319" t="s">
        <v>190</v>
      </c>
      <c r="BV521" s="319" t="s">
        <v>190</v>
      </c>
      <c r="BW521" s="319" t="s">
        <v>190</v>
      </c>
      <c r="BX521" s="319" t="s">
        <v>190</v>
      </c>
      <c r="BY521" s="319" t="s">
        <v>190</v>
      </c>
      <c r="BZ521" s="319" t="s">
        <v>190</v>
      </c>
      <c r="CA521" s="319" t="s">
        <v>190</v>
      </c>
      <c r="CB521" s="319" t="s">
        <v>190</v>
      </c>
      <c r="CC521" s="319" t="s">
        <v>190</v>
      </c>
      <c r="CD521" s="319" t="s">
        <v>190</v>
      </c>
      <c r="CE521" s="319" t="s">
        <v>190</v>
      </c>
      <c r="CF521" s="319" t="s">
        <v>190</v>
      </c>
      <c r="CG521" s="319" t="s">
        <v>190</v>
      </c>
      <c r="CH521" s="319" t="s">
        <v>190</v>
      </c>
      <c r="CI521" s="319" t="s">
        <v>190</v>
      </c>
      <c r="CJ521" s="319" t="s">
        <v>190</v>
      </c>
      <c r="CK521" s="319" t="s">
        <v>190</v>
      </c>
      <c r="CL521" s="319" t="s">
        <v>190</v>
      </c>
      <c r="CM521" s="319" t="s">
        <v>190</v>
      </c>
      <c r="CN521" s="319" t="s">
        <v>428</v>
      </c>
      <c r="CO521" s="319" t="s">
        <v>428</v>
      </c>
      <c r="CP521" s="319" t="s">
        <v>428</v>
      </c>
      <c r="CQ521" s="319" t="s">
        <v>190</v>
      </c>
      <c r="CR521" s="319" t="s">
        <v>190</v>
      </c>
      <c r="CS521" s="319" t="s">
        <v>190</v>
      </c>
      <c r="CT521" s="319" t="s">
        <v>190</v>
      </c>
      <c r="CU521" s="319" t="s">
        <v>190</v>
      </c>
      <c r="CV521" s="319" t="s">
        <v>190</v>
      </c>
      <c r="CW521" s="319" t="s">
        <v>190</v>
      </c>
      <c r="CX521" s="319" t="s">
        <v>190</v>
      </c>
      <c r="CY521" s="319" t="s">
        <v>190</v>
      </c>
      <c r="CZ521" s="319" t="s">
        <v>190</v>
      </c>
      <c r="DA521" s="319" t="s">
        <v>190</v>
      </c>
      <c r="DB521" s="319" t="s">
        <v>190</v>
      </c>
      <c r="DC521" s="319" t="s">
        <v>190</v>
      </c>
      <c r="DD521" s="319" t="s">
        <v>190</v>
      </c>
      <c r="DE521" s="319" t="s">
        <v>190</v>
      </c>
      <c r="DF521" s="319" t="s">
        <v>190</v>
      </c>
      <c r="DG521" s="319" t="s">
        <v>190</v>
      </c>
      <c r="DH521" s="319" t="s">
        <v>190</v>
      </c>
      <c r="DI521" s="319" t="s">
        <v>190</v>
      </c>
      <c r="DJ521" s="319" t="s">
        <v>190</v>
      </c>
      <c r="DK521" s="319" t="s">
        <v>190</v>
      </c>
      <c r="DL521" s="319" t="s">
        <v>190</v>
      </c>
      <c r="DM521" s="319" t="s">
        <v>190</v>
      </c>
      <c r="DN521" s="319" t="s">
        <v>428</v>
      </c>
      <c r="DO521" s="319" t="s">
        <v>190</v>
      </c>
      <c r="DP521" s="319" t="s">
        <v>190</v>
      </c>
      <c r="DQ521" s="319" t="s">
        <v>190</v>
      </c>
      <c r="DR521" s="319" t="s">
        <v>190</v>
      </c>
      <c r="DS521" s="319" t="s">
        <v>190</v>
      </c>
      <c r="DT521" s="319" t="s">
        <v>190</v>
      </c>
      <c r="DU521" s="319" t="s">
        <v>190</v>
      </c>
      <c r="DV521" s="319" t="s">
        <v>190</v>
      </c>
      <c r="DW521" s="319" t="s">
        <v>190</v>
      </c>
      <c r="DX521" s="319" t="s">
        <v>190</v>
      </c>
      <c r="DY521" s="319" t="s">
        <v>190</v>
      </c>
      <c r="DZ521" s="319" t="s">
        <v>190</v>
      </c>
      <c r="EA521" s="319" t="s">
        <v>190</v>
      </c>
      <c r="EB521" s="319" t="s">
        <v>190</v>
      </c>
      <c r="EC521" s="319" t="s">
        <v>428</v>
      </c>
      <c r="ED521" s="319" t="s">
        <v>190</v>
      </c>
      <c r="EE521" s="319" t="s">
        <v>190</v>
      </c>
      <c r="EF521" s="319" t="s">
        <v>190</v>
      </c>
      <c r="EG521" s="319" t="s">
        <v>190</v>
      </c>
      <c r="EH521" s="319" t="s">
        <v>190</v>
      </c>
      <c r="EI521" s="319" t="s">
        <v>190</v>
      </c>
      <c r="EJ521" s="319" t="s">
        <v>190</v>
      </c>
      <c r="EK521" s="319" t="s">
        <v>190</v>
      </c>
      <c r="EL521" s="319" t="s">
        <v>190</v>
      </c>
      <c r="EM521" s="319" t="s">
        <v>190</v>
      </c>
      <c r="EN521" s="319" t="s">
        <v>190</v>
      </c>
      <c r="EO521" s="319" t="s">
        <v>190</v>
      </c>
      <c r="EP521" s="319" t="s">
        <v>190</v>
      </c>
      <c r="EQ521" s="319" t="s">
        <v>190</v>
      </c>
      <c r="ER521" s="319" t="s">
        <v>190</v>
      </c>
      <c r="ES521" s="319" t="s">
        <v>190</v>
      </c>
      <c r="ET521" s="319" t="s">
        <v>190</v>
      </c>
      <c r="EU521" s="319" t="s">
        <v>190</v>
      </c>
      <c r="EV521" s="319" t="s">
        <v>190</v>
      </c>
      <c r="EW521" s="319" t="s">
        <v>190</v>
      </c>
      <c r="EX521" s="319" t="s">
        <v>190</v>
      </c>
      <c r="EY521" s="319" t="s">
        <v>190</v>
      </c>
      <c r="EZ521" s="319" t="s">
        <v>190</v>
      </c>
      <c r="FA521" s="319" t="s">
        <v>190</v>
      </c>
      <c r="FB521" s="319" t="s">
        <v>190</v>
      </c>
      <c r="FC521" s="319" t="s">
        <v>190</v>
      </c>
      <c r="FD521" s="319" t="s">
        <v>190</v>
      </c>
      <c r="FE521" s="319" t="s">
        <v>190</v>
      </c>
      <c r="FF521" s="319" t="s">
        <v>190</v>
      </c>
      <c r="FG521" s="319" t="s">
        <v>190</v>
      </c>
      <c r="FH521" s="319" t="s">
        <v>190</v>
      </c>
      <c r="FI521" s="319" t="s">
        <v>190</v>
      </c>
      <c r="FJ521" s="319" t="s">
        <v>190</v>
      </c>
      <c r="FK521" s="319" t="s">
        <v>190</v>
      </c>
      <c r="FL521" s="319" t="s">
        <v>190</v>
      </c>
      <c r="FM521" s="319" t="s">
        <v>190</v>
      </c>
      <c r="FN521" s="319" t="s">
        <v>190</v>
      </c>
      <c r="FO521" s="319" t="s">
        <v>190</v>
      </c>
      <c r="FP521" s="319" t="s">
        <v>190</v>
      </c>
      <c r="FQ521" s="319" t="s">
        <v>190</v>
      </c>
      <c r="FR521" s="319" t="s">
        <v>190</v>
      </c>
      <c r="FS521" s="319" t="s">
        <v>190</v>
      </c>
      <c r="FT521" s="319" t="s">
        <v>190</v>
      </c>
      <c r="FU521" s="319" t="s">
        <v>190</v>
      </c>
      <c r="FV521" s="319" t="s">
        <v>190</v>
      </c>
      <c r="FW521" s="319" t="s">
        <v>190</v>
      </c>
      <c r="FX521" s="319" t="s">
        <v>190</v>
      </c>
      <c r="FY521" s="319" t="s">
        <v>190</v>
      </c>
      <c r="FZ521" s="319" t="s">
        <v>190</v>
      </c>
      <c r="GA521" s="319" t="s">
        <v>190</v>
      </c>
      <c r="GB521" s="319" t="s">
        <v>190</v>
      </c>
      <c r="GC521" s="319" t="s">
        <v>190</v>
      </c>
      <c r="GD521" s="319" t="s">
        <v>190</v>
      </c>
      <c r="GE521" s="319" t="s">
        <v>190</v>
      </c>
      <c r="GF521" s="319" t="s">
        <v>190</v>
      </c>
      <c r="GG521" s="319" t="s">
        <v>190</v>
      </c>
      <c r="GH521" s="319" t="s">
        <v>190</v>
      </c>
      <c r="GI521" s="319" t="s">
        <v>190</v>
      </c>
      <c r="GJ521" s="319" t="s">
        <v>190</v>
      </c>
      <c r="GK521" s="319" t="s">
        <v>428</v>
      </c>
      <c r="GL521" s="319" t="s">
        <v>190</v>
      </c>
      <c r="GM521" s="319" t="s">
        <v>190</v>
      </c>
      <c r="GN521" s="319" t="s">
        <v>190</v>
      </c>
      <c r="GO521" s="319" t="s">
        <v>190</v>
      </c>
      <c r="GP521" s="319" t="s">
        <v>190</v>
      </c>
      <c r="GQ521" s="319" t="s">
        <v>190</v>
      </c>
      <c r="GR521" s="319" t="s">
        <v>190</v>
      </c>
      <c r="GS521" s="319" t="s">
        <v>190</v>
      </c>
      <c r="GT521" s="319" t="s">
        <v>190</v>
      </c>
      <c r="GU521" s="319" t="s">
        <v>190</v>
      </c>
      <c r="GV521" s="319" t="s">
        <v>190</v>
      </c>
      <c r="GW521" s="319" t="s">
        <v>190</v>
      </c>
      <c r="GX521" s="319" t="s">
        <v>190</v>
      </c>
      <c r="GY521" s="319" t="s">
        <v>190</v>
      </c>
      <c r="GZ521" s="319" t="s">
        <v>190</v>
      </c>
      <c r="HA521" s="319" t="s">
        <v>190</v>
      </c>
      <c r="HB521" s="319" t="s">
        <v>190</v>
      </c>
      <c r="HC521" s="319" t="s">
        <v>190</v>
      </c>
      <c r="HD521" s="319" t="s">
        <v>190</v>
      </c>
      <c r="HE521" s="319" t="s">
        <v>190</v>
      </c>
      <c r="HF521" s="319" t="s">
        <v>190</v>
      </c>
      <c r="HG521" s="319" t="s">
        <v>190</v>
      </c>
      <c r="HH521" s="319" t="s">
        <v>190</v>
      </c>
      <c r="HI521" s="319" t="s">
        <v>190</v>
      </c>
      <c r="HJ521" s="319" t="s">
        <v>190</v>
      </c>
      <c r="HK521" s="319" t="s">
        <v>190</v>
      </c>
      <c r="HL521" s="319" t="s">
        <v>190</v>
      </c>
      <c r="HM521" s="319" t="s">
        <v>190</v>
      </c>
      <c r="HN521" s="319" t="s">
        <v>190</v>
      </c>
      <c r="HO521" s="319" t="s">
        <v>190</v>
      </c>
      <c r="HP521" s="319" t="s">
        <v>190</v>
      </c>
      <c r="HQ521" s="319" t="s">
        <v>190</v>
      </c>
      <c r="HR521" s="319" t="s">
        <v>190</v>
      </c>
      <c r="HS521" s="319" t="s">
        <v>190</v>
      </c>
      <c r="HT521" s="319" t="s">
        <v>190</v>
      </c>
      <c r="HU521" s="319" t="s">
        <v>190</v>
      </c>
      <c r="HV521" s="319" t="s">
        <v>190</v>
      </c>
      <c r="HW521" s="319" t="s">
        <v>190</v>
      </c>
      <c r="HX521" s="319" t="s">
        <v>190</v>
      </c>
      <c r="HY521" s="319" t="s">
        <v>190</v>
      </c>
      <c r="HZ521" s="319" t="s">
        <v>190</v>
      </c>
      <c r="IA521" s="319" t="s">
        <v>190</v>
      </c>
      <c r="IB521" s="319" t="s">
        <v>190</v>
      </c>
      <c r="IC521" s="319" t="s">
        <v>190</v>
      </c>
      <c r="ID521" s="319" t="s">
        <v>190</v>
      </c>
      <c r="IE521" s="319" t="s">
        <v>190</v>
      </c>
      <c r="IF521" s="319" t="s">
        <v>190</v>
      </c>
      <c r="IG521" s="319" t="s">
        <v>190</v>
      </c>
      <c r="IH521" s="319" t="s">
        <v>190</v>
      </c>
      <c r="II521" s="319" t="s">
        <v>190</v>
      </c>
      <c r="IJ521" s="319">
        <v>10041377</v>
      </c>
      <c r="IK521" s="321">
        <v>43180</v>
      </c>
      <c r="IL521" s="321">
        <v>43182</v>
      </c>
      <c r="IM521" s="321">
        <v>43221</v>
      </c>
      <c r="IN521" s="319">
        <v>4</v>
      </c>
      <c r="IO521" s="319" t="s">
        <v>173</v>
      </c>
      <c r="IP521" s="319" t="s">
        <v>173</v>
      </c>
      <c r="IQ521" s="319" t="s">
        <v>173</v>
      </c>
      <c r="IR521" s="320" t="s">
        <v>173</v>
      </c>
      <c r="IS521" s="320" t="s">
        <v>173</v>
      </c>
      <c r="IT521" s="319" t="s">
        <v>173</v>
      </c>
    </row>
    <row r="522" spans="1:254" s="271" customFormat="1" x14ac:dyDescent="0.25">
      <c r="A522" s="318" t="str">
        <f>HYPERLINK("http://www.ofsted.gov.uk/inspection-reports/find-inspection-report/provider/ELS/135407 ","Ofsted School Webpage")</f>
        <v>Ofsted School Webpage</v>
      </c>
      <c r="B522" s="319">
        <v>135407</v>
      </c>
      <c r="C522" s="319">
        <v>9366590</v>
      </c>
      <c r="D522" s="319" t="s">
        <v>1927</v>
      </c>
      <c r="E522" s="319" t="s">
        <v>168</v>
      </c>
      <c r="F522" s="319" t="s">
        <v>81</v>
      </c>
      <c r="G522" s="319" t="s">
        <v>81</v>
      </c>
      <c r="H522" s="319" t="s">
        <v>81</v>
      </c>
      <c r="I522" s="319" t="s">
        <v>78</v>
      </c>
      <c r="J522" s="319" t="s">
        <v>424</v>
      </c>
      <c r="K522" s="319" t="s">
        <v>514</v>
      </c>
      <c r="L522" s="319" t="s">
        <v>514</v>
      </c>
      <c r="M522" s="319" t="s">
        <v>699</v>
      </c>
      <c r="N522" s="319" t="s">
        <v>3182</v>
      </c>
      <c r="O522" s="319" t="s">
        <v>1928</v>
      </c>
      <c r="P522" s="319">
        <v>39</v>
      </c>
      <c r="Q522" s="319" t="s">
        <v>429</v>
      </c>
      <c r="R522" s="320">
        <v>10047021</v>
      </c>
      <c r="S522" s="321">
        <v>43277</v>
      </c>
      <c r="T522" s="321">
        <v>43279</v>
      </c>
      <c r="U522" s="321">
        <v>43353</v>
      </c>
      <c r="V522" s="319" t="s">
        <v>425</v>
      </c>
      <c r="W522" s="319" t="s">
        <v>2767</v>
      </c>
      <c r="X522" s="319">
        <v>1</v>
      </c>
      <c r="Y522" s="319" t="s">
        <v>173</v>
      </c>
      <c r="Z522" s="319" t="s">
        <v>173</v>
      </c>
      <c r="AA522" s="319" t="s">
        <v>173</v>
      </c>
      <c r="AB522" s="319">
        <v>1</v>
      </c>
      <c r="AC522" s="319" t="s">
        <v>169</v>
      </c>
      <c r="AD522" s="319" t="s">
        <v>173</v>
      </c>
      <c r="AE522" s="319" t="s">
        <v>173</v>
      </c>
      <c r="AF522" s="319" t="s">
        <v>427</v>
      </c>
      <c r="AG522" s="319" t="s">
        <v>171</v>
      </c>
      <c r="AH522" s="319" t="s">
        <v>190</v>
      </c>
      <c r="AI522" s="319" t="s">
        <v>190</v>
      </c>
      <c r="AJ522" s="319" t="s">
        <v>190</v>
      </c>
      <c r="AK522" s="319" t="s">
        <v>190</v>
      </c>
      <c r="AL522" s="319" t="s">
        <v>190</v>
      </c>
      <c r="AM522" s="319" t="s">
        <v>190</v>
      </c>
      <c r="AN522" s="319" t="s">
        <v>190</v>
      </c>
      <c r="AO522" s="319" t="s">
        <v>190</v>
      </c>
      <c r="AP522" s="319" t="s">
        <v>190</v>
      </c>
      <c r="AQ522" s="319" t="s">
        <v>190</v>
      </c>
      <c r="AR522" s="319" t="s">
        <v>190</v>
      </c>
      <c r="AS522" s="319" t="s">
        <v>190</v>
      </c>
      <c r="AT522" s="319" t="s">
        <v>190</v>
      </c>
      <c r="AU522" s="319" t="s">
        <v>190</v>
      </c>
      <c r="AV522" s="319" t="s">
        <v>190</v>
      </c>
      <c r="AW522" s="319" t="s">
        <v>190</v>
      </c>
      <c r="AX522" s="319" t="s">
        <v>428</v>
      </c>
      <c r="AY522" s="319" t="s">
        <v>190</v>
      </c>
      <c r="AZ522" s="319" t="s">
        <v>190</v>
      </c>
      <c r="BA522" s="319" t="s">
        <v>190</v>
      </c>
      <c r="BB522" s="319" t="s">
        <v>190</v>
      </c>
      <c r="BC522" s="319" t="s">
        <v>190</v>
      </c>
      <c r="BD522" s="319" t="s">
        <v>190</v>
      </c>
      <c r="BE522" s="319" t="s">
        <v>190</v>
      </c>
      <c r="BF522" s="319" t="s">
        <v>428</v>
      </c>
      <c r="BG522" s="319" t="s">
        <v>190</v>
      </c>
      <c r="BH522" s="319" t="s">
        <v>190</v>
      </c>
      <c r="BI522" s="319" t="s">
        <v>190</v>
      </c>
      <c r="BJ522" s="319" t="s">
        <v>190</v>
      </c>
      <c r="BK522" s="319" t="s">
        <v>190</v>
      </c>
      <c r="BL522" s="319" t="s">
        <v>190</v>
      </c>
      <c r="BM522" s="319" t="s">
        <v>190</v>
      </c>
      <c r="BN522" s="319" t="s">
        <v>190</v>
      </c>
      <c r="BO522" s="319" t="s">
        <v>190</v>
      </c>
      <c r="BP522" s="319" t="s">
        <v>190</v>
      </c>
      <c r="BQ522" s="319" t="s">
        <v>190</v>
      </c>
      <c r="BR522" s="319" t="s">
        <v>190</v>
      </c>
      <c r="BS522" s="319" t="s">
        <v>190</v>
      </c>
      <c r="BT522" s="319" t="s">
        <v>190</v>
      </c>
      <c r="BU522" s="319" t="s">
        <v>190</v>
      </c>
      <c r="BV522" s="319" t="s">
        <v>190</v>
      </c>
      <c r="BW522" s="319" t="s">
        <v>190</v>
      </c>
      <c r="BX522" s="319" t="s">
        <v>190</v>
      </c>
      <c r="BY522" s="319" t="s">
        <v>190</v>
      </c>
      <c r="BZ522" s="319" t="s">
        <v>190</v>
      </c>
      <c r="CA522" s="319" t="s">
        <v>190</v>
      </c>
      <c r="CB522" s="319" t="s">
        <v>190</v>
      </c>
      <c r="CC522" s="319" t="s">
        <v>190</v>
      </c>
      <c r="CD522" s="319" t="s">
        <v>190</v>
      </c>
      <c r="CE522" s="319" t="s">
        <v>190</v>
      </c>
      <c r="CF522" s="319" t="s">
        <v>190</v>
      </c>
      <c r="CG522" s="319" t="s">
        <v>190</v>
      </c>
      <c r="CH522" s="319" t="s">
        <v>190</v>
      </c>
      <c r="CI522" s="319" t="s">
        <v>190</v>
      </c>
      <c r="CJ522" s="319" t="s">
        <v>190</v>
      </c>
      <c r="CK522" s="319" t="s">
        <v>190</v>
      </c>
      <c r="CL522" s="319" t="s">
        <v>190</v>
      </c>
      <c r="CM522" s="319" t="s">
        <v>190</v>
      </c>
      <c r="CN522" s="319" t="s">
        <v>190</v>
      </c>
      <c r="CO522" s="319" t="s">
        <v>428</v>
      </c>
      <c r="CP522" s="319" t="s">
        <v>428</v>
      </c>
      <c r="CQ522" s="319" t="s">
        <v>190</v>
      </c>
      <c r="CR522" s="319" t="s">
        <v>190</v>
      </c>
      <c r="CS522" s="319" t="s">
        <v>190</v>
      </c>
      <c r="CT522" s="319" t="s">
        <v>190</v>
      </c>
      <c r="CU522" s="319" t="s">
        <v>190</v>
      </c>
      <c r="CV522" s="319" t="s">
        <v>190</v>
      </c>
      <c r="CW522" s="319" t="s">
        <v>190</v>
      </c>
      <c r="CX522" s="319" t="s">
        <v>190</v>
      </c>
      <c r="CY522" s="319" t="s">
        <v>190</v>
      </c>
      <c r="CZ522" s="319" t="s">
        <v>190</v>
      </c>
      <c r="DA522" s="319" t="s">
        <v>190</v>
      </c>
      <c r="DB522" s="319" t="s">
        <v>190</v>
      </c>
      <c r="DC522" s="319" t="s">
        <v>190</v>
      </c>
      <c r="DD522" s="319" t="s">
        <v>190</v>
      </c>
      <c r="DE522" s="319" t="s">
        <v>190</v>
      </c>
      <c r="DF522" s="319" t="s">
        <v>190</v>
      </c>
      <c r="DG522" s="319" t="s">
        <v>190</v>
      </c>
      <c r="DH522" s="319" t="s">
        <v>190</v>
      </c>
      <c r="DI522" s="319" t="s">
        <v>190</v>
      </c>
      <c r="DJ522" s="319" t="s">
        <v>190</v>
      </c>
      <c r="DK522" s="319" t="s">
        <v>190</v>
      </c>
      <c r="DL522" s="319" t="s">
        <v>190</v>
      </c>
      <c r="DM522" s="319" t="s">
        <v>190</v>
      </c>
      <c r="DN522" s="319" t="s">
        <v>428</v>
      </c>
      <c r="DO522" s="319" t="s">
        <v>190</v>
      </c>
      <c r="DP522" s="319" t="s">
        <v>190</v>
      </c>
      <c r="DQ522" s="319" t="s">
        <v>190</v>
      </c>
      <c r="DR522" s="319" t="s">
        <v>190</v>
      </c>
      <c r="DS522" s="319" t="s">
        <v>190</v>
      </c>
      <c r="DT522" s="319" t="s">
        <v>190</v>
      </c>
      <c r="DU522" s="319" t="s">
        <v>190</v>
      </c>
      <c r="DV522" s="319" t="s">
        <v>173</v>
      </c>
      <c r="DW522" s="319" t="s">
        <v>190</v>
      </c>
      <c r="DX522" s="319" t="s">
        <v>190</v>
      </c>
      <c r="DY522" s="319" t="s">
        <v>190</v>
      </c>
      <c r="DZ522" s="319" t="s">
        <v>190</v>
      </c>
      <c r="EA522" s="319" t="s">
        <v>190</v>
      </c>
      <c r="EB522" s="319" t="s">
        <v>190</v>
      </c>
      <c r="EC522" s="319" t="s">
        <v>428</v>
      </c>
      <c r="ED522" s="319" t="s">
        <v>190</v>
      </c>
      <c r="EE522" s="319" t="s">
        <v>428</v>
      </c>
      <c r="EF522" s="319" t="s">
        <v>428</v>
      </c>
      <c r="EG522" s="319" t="s">
        <v>428</v>
      </c>
      <c r="EH522" s="319" t="s">
        <v>428</v>
      </c>
      <c r="EI522" s="319" t="s">
        <v>428</v>
      </c>
      <c r="EJ522" s="319" t="s">
        <v>428</v>
      </c>
      <c r="EK522" s="319" t="s">
        <v>428</v>
      </c>
      <c r="EL522" s="319" t="s">
        <v>428</v>
      </c>
      <c r="EM522" s="319" t="s">
        <v>428</v>
      </c>
      <c r="EN522" s="319" t="s">
        <v>190</v>
      </c>
      <c r="EO522" s="319" t="s">
        <v>190</v>
      </c>
      <c r="EP522" s="319" t="s">
        <v>190</v>
      </c>
      <c r="EQ522" s="319" t="s">
        <v>190</v>
      </c>
      <c r="ER522" s="319" t="s">
        <v>190</v>
      </c>
      <c r="ES522" s="319" t="s">
        <v>190</v>
      </c>
      <c r="ET522" s="319" t="s">
        <v>190</v>
      </c>
      <c r="EU522" s="319" t="s">
        <v>190</v>
      </c>
      <c r="EV522" s="319" t="s">
        <v>190</v>
      </c>
      <c r="EW522" s="319" t="s">
        <v>190</v>
      </c>
      <c r="EX522" s="319" t="s">
        <v>190</v>
      </c>
      <c r="EY522" s="319" t="s">
        <v>190</v>
      </c>
      <c r="EZ522" s="319" t="s">
        <v>190</v>
      </c>
      <c r="FA522" s="319" t="s">
        <v>190</v>
      </c>
      <c r="FB522" s="319" t="s">
        <v>190</v>
      </c>
      <c r="FC522" s="319" t="s">
        <v>190</v>
      </c>
      <c r="FD522" s="319" t="s">
        <v>190</v>
      </c>
      <c r="FE522" s="319" t="s">
        <v>190</v>
      </c>
      <c r="FF522" s="319" t="s">
        <v>190</v>
      </c>
      <c r="FG522" s="319" t="s">
        <v>190</v>
      </c>
      <c r="FH522" s="319" t="s">
        <v>428</v>
      </c>
      <c r="FI522" s="319" t="s">
        <v>428</v>
      </c>
      <c r="FJ522" s="319" t="s">
        <v>429</v>
      </c>
      <c r="FK522" s="319" t="s">
        <v>428</v>
      </c>
      <c r="FL522" s="319" t="s">
        <v>190</v>
      </c>
      <c r="FM522" s="319" t="s">
        <v>190</v>
      </c>
      <c r="FN522" s="319" t="s">
        <v>190</v>
      </c>
      <c r="FO522" s="319" t="s">
        <v>190</v>
      </c>
      <c r="FP522" s="319" t="s">
        <v>190</v>
      </c>
      <c r="FQ522" s="319" t="s">
        <v>190</v>
      </c>
      <c r="FR522" s="319" t="s">
        <v>190</v>
      </c>
      <c r="FS522" s="319" t="s">
        <v>190</v>
      </c>
      <c r="FT522" s="319" t="s">
        <v>190</v>
      </c>
      <c r="FU522" s="319" t="s">
        <v>190</v>
      </c>
      <c r="FV522" s="319" t="s">
        <v>190</v>
      </c>
      <c r="FW522" s="319" t="s">
        <v>190</v>
      </c>
      <c r="FX522" s="319" t="s">
        <v>190</v>
      </c>
      <c r="FY522" s="319" t="s">
        <v>190</v>
      </c>
      <c r="FZ522" s="319" t="s">
        <v>190</v>
      </c>
      <c r="GA522" s="319" t="s">
        <v>190</v>
      </c>
      <c r="GB522" s="319" t="s">
        <v>190</v>
      </c>
      <c r="GC522" s="319" t="s">
        <v>190</v>
      </c>
      <c r="GD522" s="319" t="s">
        <v>190</v>
      </c>
      <c r="GE522" s="319" t="s">
        <v>190</v>
      </c>
      <c r="GF522" s="319" t="s">
        <v>190</v>
      </c>
      <c r="GG522" s="319" t="s">
        <v>190</v>
      </c>
      <c r="GH522" s="319" t="s">
        <v>190</v>
      </c>
      <c r="GI522" s="319" t="s">
        <v>190</v>
      </c>
      <c r="GJ522" s="319" t="s">
        <v>190</v>
      </c>
      <c r="GK522" s="319" t="s">
        <v>428</v>
      </c>
      <c r="GL522" s="319" t="s">
        <v>190</v>
      </c>
      <c r="GM522" s="319" t="s">
        <v>190</v>
      </c>
      <c r="GN522" s="319" t="s">
        <v>190</v>
      </c>
      <c r="GO522" s="319" t="s">
        <v>190</v>
      </c>
      <c r="GP522" s="319" t="s">
        <v>190</v>
      </c>
      <c r="GQ522" s="319" t="s">
        <v>428</v>
      </c>
      <c r="GR522" s="319" t="s">
        <v>190</v>
      </c>
      <c r="GS522" s="319" t="s">
        <v>190</v>
      </c>
      <c r="GT522" s="319" t="s">
        <v>190</v>
      </c>
      <c r="GU522" s="319" t="s">
        <v>190</v>
      </c>
      <c r="GV522" s="319" t="s">
        <v>190</v>
      </c>
      <c r="GW522" s="319" t="s">
        <v>190</v>
      </c>
      <c r="GX522" s="319" t="s">
        <v>190</v>
      </c>
      <c r="GY522" s="319" t="s">
        <v>190</v>
      </c>
      <c r="GZ522" s="319" t="s">
        <v>190</v>
      </c>
      <c r="HA522" s="319" t="s">
        <v>428</v>
      </c>
      <c r="HB522" s="319" t="s">
        <v>428</v>
      </c>
      <c r="HC522" s="319" t="s">
        <v>190</v>
      </c>
      <c r="HD522" s="319" t="s">
        <v>190</v>
      </c>
      <c r="HE522" s="319" t="s">
        <v>190</v>
      </c>
      <c r="HF522" s="319" t="s">
        <v>190</v>
      </c>
      <c r="HG522" s="319" t="s">
        <v>190</v>
      </c>
      <c r="HH522" s="319" t="s">
        <v>190</v>
      </c>
      <c r="HI522" s="319" t="s">
        <v>190</v>
      </c>
      <c r="HJ522" s="319" t="s">
        <v>190</v>
      </c>
      <c r="HK522" s="319" t="s">
        <v>190</v>
      </c>
      <c r="HL522" s="319" t="s">
        <v>190</v>
      </c>
      <c r="HM522" s="319" t="s">
        <v>428</v>
      </c>
      <c r="HN522" s="319" t="s">
        <v>428</v>
      </c>
      <c r="HO522" s="319" t="s">
        <v>428</v>
      </c>
      <c r="HP522" s="319" t="s">
        <v>190</v>
      </c>
      <c r="HQ522" s="319" t="s">
        <v>190</v>
      </c>
      <c r="HR522" s="319" t="s">
        <v>190</v>
      </c>
      <c r="HS522" s="319" t="s">
        <v>190</v>
      </c>
      <c r="HT522" s="319" t="s">
        <v>190</v>
      </c>
      <c r="HU522" s="319" t="s">
        <v>190</v>
      </c>
      <c r="HV522" s="319" t="s">
        <v>190</v>
      </c>
      <c r="HW522" s="319" t="s">
        <v>190</v>
      </c>
      <c r="HX522" s="319" t="s">
        <v>190</v>
      </c>
      <c r="HY522" s="319" t="s">
        <v>190</v>
      </c>
      <c r="HZ522" s="319" t="s">
        <v>190</v>
      </c>
      <c r="IA522" s="319" t="s">
        <v>190</v>
      </c>
      <c r="IB522" s="319" t="s">
        <v>190</v>
      </c>
      <c r="IC522" s="319" t="s">
        <v>190</v>
      </c>
      <c r="ID522" s="319" t="s">
        <v>190</v>
      </c>
      <c r="IE522" s="319" t="s">
        <v>190</v>
      </c>
      <c r="IF522" s="319" t="s">
        <v>190</v>
      </c>
      <c r="IG522" s="319" t="s">
        <v>190</v>
      </c>
      <c r="IH522" s="319" t="s">
        <v>190</v>
      </c>
      <c r="II522" s="319" t="s">
        <v>190</v>
      </c>
      <c r="IJ522" s="319" t="s">
        <v>3291</v>
      </c>
      <c r="IK522" s="321">
        <v>42136</v>
      </c>
      <c r="IL522" s="321">
        <v>42138</v>
      </c>
      <c r="IM522" s="321">
        <v>42174</v>
      </c>
      <c r="IN522" s="319">
        <v>2</v>
      </c>
      <c r="IO522" s="319" t="s">
        <v>173</v>
      </c>
      <c r="IP522" s="319" t="s">
        <v>173</v>
      </c>
      <c r="IQ522" s="321" t="s">
        <v>173</v>
      </c>
      <c r="IR522" s="320" t="s">
        <v>173</v>
      </c>
      <c r="IS522" s="322" t="s">
        <v>173</v>
      </c>
      <c r="IT522" s="319" t="s">
        <v>173</v>
      </c>
    </row>
    <row r="523" spans="1:254" s="271" customFormat="1" x14ac:dyDescent="0.25">
      <c r="A523" s="318" t="str">
        <f>HYPERLINK("http://www.ofsted.gov.uk/inspection-reports/find-inspection-report/provider/ELS/135410 ","Ofsted School Webpage")</f>
        <v>Ofsted School Webpage</v>
      </c>
      <c r="B523" s="319">
        <v>135410</v>
      </c>
      <c r="C523" s="319">
        <v>9096056</v>
      </c>
      <c r="D523" s="319" t="s">
        <v>1929</v>
      </c>
      <c r="E523" s="319" t="s">
        <v>168</v>
      </c>
      <c r="F523" s="319" t="s">
        <v>81</v>
      </c>
      <c r="G523" s="319" t="s">
        <v>81</v>
      </c>
      <c r="H523" s="319" t="s">
        <v>81</v>
      </c>
      <c r="I523" s="319" t="s">
        <v>78</v>
      </c>
      <c r="J523" s="319" t="s">
        <v>424</v>
      </c>
      <c r="K523" s="319" t="s">
        <v>431</v>
      </c>
      <c r="L523" s="319" t="s">
        <v>431</v>
      </c>
      <c r="M523" s="319" t="s">
        <v>585</v>
      </c>
      <c r="N523" s="319" t="s">
        <v>3292</v>
      </c>
      <c r="O523" s="319" t="s">
        <v>1930</v>
      </c>
      <c r="P523" s="319">
        <v>42</v>
      </c>
      <c r="Q523" s="319" t="s">
        <v>429</v>
      </c>
      <c r="R523" s="320">
        <v>10038929</v>
      </c>
      <c r="S523" s="321">
        <v>43081</v>
      </c>
      <c r="T523" s="321">
        <v>43083</v>
      </c>
      <c r="U523" s="321">
        <v>43129</v>
      </c>
      <c r="V523" s="319" t="s">
        <v>425</v>
      </c>
      <c r="W523" s="319" t="s">
        <v>2767</v>
      </c>
      <c r="X523" s="319">
        <v>1</v>
      </c>
      <c r="Y523" s="319" t="s">
        <v>173</v>
      </c>
      <c r="Z523" s="319" t="s">
        <v>173</v>
      </c>
      <c r="AA523" s="319" t="s">
        <v>173</v>
      </c>
      <c r="AB523" s="319">
        <v>1</v>
      </c>
      <c r="AC523" s="319" t="s">
        <v>169</v>
      </c>
      <c r="AD523" s="319" t="s">
        <v>173</v>
      </c>
      <c r="AE523" s="319" t="s">
        <v>173</v>
      </c>
      <c r="AF523" s="319" t="s">
        <v>427</v>
      </c>
      <c r="AG523" s="319" t="s">
        <v>171</v>
      </c>
      <c r="AH523" s="319" t="s">
        <v>190</v>
      </c>
      <c r="AI523" s="319" t="s">
        <v>190</v>
      </c>
      <c r="AJ523" s="319" t="s">
        <v>190</v>
      </c>
      <c r="AK523" s="319" t="s">
        <v>190</v>
      </c>
      <c r="AL523" s="319" t="s">
        <v>190</v>
      </c>
      <c r="AM523" s="319" t="s">
        <v>190</v>
      </c>
      <c r="AN523" s="319" t="s">
        <v>190</v>
      </c>
      <c r="AO523" s="319" t="s">
        <v>190</v>
      </c>
      <c r="AP523" s="319" t="s">
        <v>190</v>
      </c>
      <c r="AQ523" s="319" t="s">
        <v>190</v>
      </c>
      <c r="AR523" s="319" t="s">
        <v>190</v>
      </c>
      <c r="AS523" s="319" t="s">
        <v>190</v>
      </c>
      <c r="AT523" s="319" t="s">
        <v>190</v>
      </c>
      <c r="AU523" s="319" t="s">
        <v>190</v>
      </c>
      <c r="AV523" s="319" t="s">
        <v>190</v>
      </c>
      <c r="AW523" s="319" t="s">
        <v>190</v>
      </c>
      <c r="AX523" s="319" t="s">
        <v>428</v>
      </c>
      <c r="AY523" s="319" t="s">
        <v>190</v>
      </c>
      <c r="AZ523" s="319" t="s">
        <v>190</v>
      </c>
      <c r="BA523" s="319" t="s">
        <v>190</v>
      </c>
      <c r="BB523" s="319" t="s">
        <v>190</v>
      </c>
      <c r="BC523" s="319" t="s">
        <v>190</v>
      </c>
      <c r="BD523" s="319" t="s">
        <v>190</v>
      </c>
      <c r="BE523" s="319" t="s">
        <v>190</v>
      </c>
      <c r="BF523" s="319" t="s">
        <v>428</v>
      </c>
      <c r="BG523" s="319" t="s">
        <v>428</v>
      </c>
      <c r="BH523" s="319" t="s">
        <v>190</v>
      </c>
      <c r="BI523" s="319" t="s">
        <v>190</v>
      </c>
      <c r="BJ523" s="319" t="s">
        <v>190</v>
      </c>
      <c r="BK523" s="319" t="s">
        <v>190</v>
      </c>
      <c r="BL523" s="319" t="s">
        <v>190</v>
      </c>
      <c r="BM523" s="319" t="s">
        <v>190</v>
      </c>
      <c r="BN523" s="319" t="s">
        <v>190</v>
      </c>
      <c r="BO523" s="319" t="s">
        <v>190</v>
      </c>
      <c r="BP523" s="319" t="s">
        <v>190</v>
      </c>
      <c r="BQ523" s="319" t="s">
        <v>190</v>
      </c>
      <c r="BR523" s="319" t="s">
        <v>190</v>
      </c>
      <c r="BS523" s="319" t="s">
        <v>190</v>
      </c>
      <c r="BT523" s="319" t="s">
        <v>190</v>
      </c>
      <c r="BU523" s="319" t="s">
        <v>190</v>
      </c>
      <c r="BV523" s="319" t="s">
        <v>190</v>
      </c>
      <c r="BW523" s="319" t="s">
        <v>190</v>
      </c>
      <c r="BX523" s="319" t="s">
        <v>190</v>
      </c>
      <c r="BY523" s="319" t="s">
        <v>190</v>
      </c>
      <c r="BZ523" s="319" t="s">
        <v>190</v>
      </c>
      <c r="CA523" s="319" t="s">
        <v>190</v>
      </c>
      <c r="CB523" s="319" t="s">
        <v>190</v>
      </c>
      <c r="CC523" s="319" t="s">
        <v>190</v>
      </c>
      <c r="CD523" s="319" t="s">
        <v>190</v>
      </c>
      <c r="CE523" s="319" t="s">
        <v>190</v>
      </c>
      <c r="CF523" s="319" t="s">
        <v>190</v>
      </c>
      <c r="CG523" s="319" t="s">
        <v>190</v>
      </c>
      <c r="CH523" s="319" t="s">
        <v>190</v>
      </c>
      <c r="CI523" s="319" t="s">
        <v>190</v>
      </c>
      <c r="CJ523" s="319" t="s">
        <v>190</v>
      </c>
      <c r="CK523" s="319" t="s">
        <v>190</v>
      </c>
      <c r="CL523" s="319" t="s">
        <v>190</v>
      </c>
      <c r="CM523" s="319" t="s">
        <v>190</v>
      </c>
      <c r="CN523" s="319" t="s">
        <v>428</v>
      </c>
      <c r="CO523" s="319" t="s">
        <v>428</v>
      </c>
      <c r="CP523" s="319" t="s">
        <v>428</v>
      </c>
      <c r="CQ523" s="319" t="s">
        <v>190</v>
      </c>
      <c r="CR523" s="319" t="s">
        <v>190</v>
      </c>
      <c r="CS523" s="319" t="s">
        <v>190</v>
      </c>
      <c r="CT523" s="319" t="s">
        <v>190</v>
      </c>
      <c r="CU523" s="319" t="s">
        <v>190</v>
      </c>
      <c r="CV523" s="319" t="s">
        <v>190</v>
      </c>
      <c r="CW523" s="319" t="s">
        <v>190</v>
      </c>
      <c r="CX523" s="319" t="s">
        <v>190</v>
      </c>
      <c r="CY523" s="319" t="s">
        <v>190</v>
      </c>
      <c r="CZ523" s="319" t="s">
        <v>190</v>
      </c>
      <c r="DA523" s="319" t="s">
        <v>190</v>
      </c>
      <c r="DB523" s="319" t="s">
        <v>190</v>
      </c>
      <c r="DC523" s="319" t="s">
        <v>190</v>
      </c>
      <c r="DD523" s="319" t="s">
        <v>190</v>
      </c>
      <c r="DE523" s="319" t="s">
        <v>190</v>
      </c>
      <c r="DF523" s="319" t="s">
        <v>190</v>
      </c>
      <c r="DG523" s="319" t="s">
        <v>190</v>
      </c>
      <c r="DH523" s="319" t="s">
        <v>190</v>
      </c>
      <c r="DI523" s="319" t="s">
        <v>190</v>
      </c>
      <c r="DJ523" s="319" t="s">
        <v>190</v>
      </c>
      <c r="DK523" s="319" t="s">
        <v>190</v>
      </c>
      <c r="DL523" s="319" t="s">
        <v>190</v>
      </c>
      <c r="DM523" s="319" t="s">
        <v>428</v>
      </c>
      <c r="DN523" s="319" t="s">
        <v>428</v>
      </c>
      <c r="DO523" s="319" t="s">
        <v>190</v>
      </c>
      <c r="DP523" s="319" t="s">
        <v>190</v>
      </c>
      <c r="DQ523" s="319" t="s">
        <v>190</v>
      </c>
      <c r="DR523" s="319" t="s">
        <v>190</v>
      </c>
      <c r="DS523" s="319" t="s">
        <v>190</v>
      </c>
      <c r="DT523" s="319" t="s">
        <v>190</v>
      </c>
      <c r="DU523" s="319" t="s">
        <v>190</v>
      </c>
      <c r="DV523" s="319" t="s">
        <v>173</v>
      </c>
      <c r="DW523" s="319" t="s">
        <v>190</v>
      </c>
      <c r="DX523" s="319" t="s">
        <v>190</v>
      </c>
      <c r="DY523" s="319" t="s">
        <v>190</v>
      </c>
      <c r="DZ523" s="319" t="s">
        <v>190</v>
      </c>
      <c r="EA523" s="319" t="s">
        <v>190</v>
      </c>
      <c r="EB523" s="319" t="s">
        <v>190</v>
      </c>
      <c r="EC523" s="319" t="s">
        <v>428</v>
      </c>
      <c r="ED523" s="319" t="s">
        <v>190</v>
      </c>
      <c r="EE523" s="319" t="s">
        <v>190</v>
      </c>
      <c r="EF523" s="319" t="s">
        <v>190</v>
      </c>
      <c r="EG523" s="319" t="s">
        <v>190</v>
      </c>
      <c r="EH523" s="319" t="s">
        <v>190</v>
      </c>
      <c r="EI523" s="319" t="s">
        <v>190</v>
      </c>
      <c r="EJ523" s="319" t="s">
        <v>190</v>
      </c>
      <c r="EK523" s="319" t="s">
        <v>190</v>
      </c>
      <c r="EL523" s="319" t="s">
        <v>428</v>
      </c>
      <c r="EM523" s="319" t="s">
        <v>190</v>
      </c>
      <c r="EN523" s="319" t="s">
        <v>190</v>
      </c>
      <c r="EO523" s="319" t="s">
        <v>190</v>
      </c>
      <c r="EP523" s="319" t="s">
        <v>190</v>
      </c>
      <c r="EQ523" s="319" t="s">
        <v>190</v>
      </c>
      <c r="ER523" s="319" t="s">
        <v>190</v>
      </c>
      <c r="ES523" s="319" t="s">
        <v>190</v>
      </c>
      <c r="ET523" s="319" t="s">
        <v>190</v>
      </c>
      <c r="EU523" s="319" t="s">
        <v>190</v>
      </c>
      <c r="EV523" s="319" t="s">
        <v>190</v>
      </c>
      <c r="EW523" s="319" t="s">
        <v>190</v>
      </c>
      <c r="EX523" s="319" t="s">
        <v>190</v>
      </c>
      <c r="EY523" s="319" t="s">
        <v>428</v>
      </c>
      <c r="EZ523" s="319" t="s">
        <v>190</v>
      </c>
      <c r="FA523" s="319" t="s">
        <v>190</v>
      </c>
      <c r="FB523" s="319" t="s">
        <v>190</v>
      </c>
      <c r="FC523" s="319" t="s">
        <v>190</v>
      </c>
      <c r="FD523" s="319" t="s">
        <v>190</v>
      </c>
      <c r="FE523" s="319" t="s">
        <v>190</v>
      </c>
      <c r="FF523" s="319" t="s">
        <v>190</v>
      </c>
      <c r="FG523" s="319" t="s">
        <v>190</v>
      </c>
      <c r="FH523" s="319" t="s">
        <v>190</v>
      </c>
      <c r="FI523" s="319" t="s">
        <v>190</v>
      </c>
      <c r="FJ523" s="319" t="s">
        <v>190</v>
      </c>
      <c r="FK523" s="319" t="s">
        <v>190</v>
      </c>
      <c r="FL523" s="319" t="s">
        <v>190</v>
      </c>
      <c r="FM523" s="319" t="s">
        <v>190</v>
      </c>
      <c r="FN523" s="319" t="s">
        <v>190</v>
      </c>
      <c r="FO523" s="319" t="s">
        <v>190</v>
      </c>
      <c r="FP523" s="319" t="s">
        <v>190</v>
      </c>
      <c r="FQ523" s="319" t="s">
        <v>190</v>
      </c>
      <c r="FR523" s="319" t="s">
        <v>190</v>
      </c>
      <c r="FS523" s="319" t="s">
        <v>190</v>
      </c>
      <c r="FT523" s="319" t="s">
        <v>190</v>
      </c>
      <c r="FU523" s="319" t="s">
        <v>190</v>
      </c>
      <c r="FV523" s="319" t="s">
        <v>190</v>
      </c>
      <c r="FW523" s="319" t="s">
        <v>190</v>
      </c>
      <c r="FX523" s="319" t="s">
        <v>190</v>
      </c>
      <c r="FY523" s="319" t="s">
        <v>190</v>
      </c>
      <c r="FZ523" s="319" t="s">
        <v>190</v>
      </c>
      <c r="GA523" s="319" t="s">
        <v>190</v>
      </c>
      <c r="GB523" s="319" t="s">
        <v>190</v>
      </c>
      <c r="GC523" s="319" t="s">
        <v>190</v>
      </c>
      <c r="GD523" s="319" t="s">
        <v>190</v>
      </c>
      <c r="GE523" s="319" t="s">
        <v>190</v>
      </c>
      <c r="GF523" s="319" t="s">
        <v>190</v>
      </c>
      <c r="GG523" s="319" t="s">
        <v>190</v>
      </c>
      <c r="GH523" s="319" t="s">
        <v>190</v>
      </c>
      <c r="GI523" s="319" t="s">
        <v>190</v>
      </c>
      <c r="GJ523" s="319" t="s">
        <v>190</v>
      </c>
      <c r="GK523" s="319" t="s">
        <v>428</v>
      </c>
      <c r="GL523" s="319" t="s">
        <v>190</v>
      </c>
      <c r="GM523" s="319" t="s">
        <v>190</v>
      </c>
      <c r="GN523" s="319" t="s">
        <v>190</v>
      </c>
      <c r="GO523" s="319" t="s">
        <v>190</v>
      </c>
      <c r="GP523" s="319" t="s">
        <v>190</v>
      </c>
      <c r="GQ523" s="319" t="s">
        <v>428</v>
      </c>
      <c r="GR523" s="319" t="s">
        <v>190</v>
      </c>
      <c r="GS523" s="319" t="s">
        <v>190</v>
      </c>
      <c r="GT523" s="319" t="s">
        <v>190</v>
      </c>
      <c r="GU523" s="319" t="s">
        <v>190</v>
      </c>
      <c r="GV523" s="319" t="s">
        <v>190</v>
      </c>
      <c r="GW523" s="319" t="s">
        <v>190</v>
      </c>
      <c r="GX523" s="319" t="s">
        <v>190</v>
      </c>
      <c r="GY523" s="319" t="s">
        <v>190</v>
      </c>
      <c r="GZ523" s="319" t="s">
        <v>428</v>
      </c>
      <c r="HA523" s="319" t="s">
        <v>190</v>
      </c>
      <c r="HB523" s="319" t="s">
        <v>190</v>
      </c>
      <c r="HC523" s="319" t="s">
        <v>190</v>
      </c>
      <c r="HD523" s="319" t="s">
        <v>190</v>
      </c>
      <c r="HE523" s="319" t="s">
        <v>190</v>
      </c>
      <c r="HF523" s="319" t="s">
        <v>190</v>
      </c>
      <c r="HG523" s="319" t="s">
        <v>190</v>
      </c>
      <c r="HH523" s="319" t="s">
        <v>190</v>
      </c>
      <c r="HI523" s="319" t="s">
        <v>190</v>
      </c>
      <c r="HJ523" s="319" t="s">
        <v>190</v>
      </c>
      <c r="HK523" s="319" t="s">
        <v>190</v>
      </c>
      <c r="HL523" s="319" t="s">
        <v>428</v>
      </c>
      <c r="HM523" s="319" t="s">
        <v>428</v>
      </c>
      <c r="HN523" s="319" t="s">
        <v>428</v>
      </c>
      <c r="HO523" s="319" t="s">
        <v>428</v>
      </c>
      <c r="HP523" s="319" t="s">
        <v>190</v>
      </c>
      <c r="HQ523" s="319" t="s">
        <v>190</v>
      </c>
      <c r="HR523" s="319" t="s">
        <v>190</v>
      </c>
      <c r="HS523" s="319" t="s">
        <v>190</v>
      </c>
      <c r="HT523" s="319" t="s">
        <v>190</v>
      </c>
      <c r="HU523" s="319" t="s">
        <v>190</v>
      </c>
      <c r="HV523" s="319" t="s">
        <v>190</v>
      </c>
      <c r="HW523" s="319" t="s">
        <v>190</v>
      </c>
      <c r="HX523" s="319" t="s">
        <v>190</v>
      </c>
      <c r="HY523" s="319" t="s">
        <v>190</v>
      </c>
      <c r="HZ523" s="319" t="s">
        <v>190</v>
      </c>
      <c r="IA523" s="319" t="s">
        <v>190</v>
      </c>
      <c r="IB523" s="319" t="s">
        <v>190</v>
      </c>
      <c r="IC523" s="319" t="s">
        <v>190</v>
      </c>
      <c r="ID523" s="319" t="s">
        <v>190</v>
      </c>
      <c r="IE523" s="319" t="s">
        <v>190</v>
      </c>
      <c r="IF523" s="319" t="s">
        <v>190</v>
      </c>
      <c r="IG523" s="319" t="s">
        <v>190</v>
      </c>
      <c r="IH523" s="319" t="s">
        <v>190</v>
      </c>
      <c r="II523" s="319" t="s">
        <v>190</v>
      </c>
      <c r="IJ523" s="319" t="s">
        <v>3293</v>
      </c>
      <c r="IK523" s="321">
        <v>41926</v>
      </c>
      <c r="IL523" s="321">
        <v>41928</v>
      </c>
      <c r="IM523" s="321">
        <v>41962</v>
      </c>
      <c r="IN523" s="319">
        <v>1</v>
      </c>
      <c r="IO523" s="319" t="s">
        <v>173</v>
      </c>
      <c r="IP523" s="319" t="s">
        <v>173</v>
      </c>
      <c r="IQ523" s="321" t="s">
        <v>173</v>
      </c>
      <c r="IR523" s="320" t="s">
        <v>173</v>
      </c>
      <c r="IS523" s="322" t="s">
        <v>173</v>
      </c>
      <c r="IT523" s="319" t="s">
        <v>173</v>
      </c>
    </row>
    <row r="524" spans="1:254" s="271" customFormat="1" x14ac:dyDescent="0.25">
      <c r="A524" s="318" t="str">
        <f>HYPERLINK("http://www.ofsted.gov.uk/inspection-reports/find-inspection-report/provider/ELS/135419 ","Ofsted School Webpage")</f>
        <v>Ofsted School Webpage</v>
      </c>
      <c r="B524" s="319">
        <v>135419</v>
      </c>
      <c r="C524" s="319">
        <v>9366592</v>
      </c>
      <c r="D524" s="319" t="s">
        <v>1931</v>
      </c>
      <c r="E524" s="319" t="s">
        <v>168</v>
      </c>
      <c r="F524" s="319" t="s">
        <v>81</v>
      </c>
      <c r="G524" s="319" t="s">
        <v>81</v>
      </c>
      <c r="H524" s="319" t="s">
        <v>81</v>
      </c>
      <c r="I524" s="319" t="s">
        <v>78</v>
      </c>
      <c r="J524" s="319" t="s">
        <v>424</v>
      </c>
      <c r="K524" s="319" t="s">
        <v>514</v>
      </c>
      <c r="L524" s="319" t="s">
        <v>514</v>
      </c>
      <c r="M524" s="319" t="s">
        <v>699</v>
      </c>
      <c r="N524" s="319" t="s">
        <v>3041</v>
      </c>
      <c r="O524" s="319" t="s">
        <v>1932</v>
      </c>
      <c r="P524" s="319">
        <v>69</v>
      </c>
      <c r="Q524" s="319" t="s">
        <v>429</v>
      </c>
      <c r="R524" s="320">
        <v>10076613</v>
      </c>
      <c r="S524" s="321">
        <v>43585</v>
      </c>
      <c r="T524" s="321">
        <v>43587</v>
      </c>
      <c r="U524" s="321">
        <v>43607</v>
      </c>
      <c r="V524" s="319" t="s">
        <v>425</v>
      </c>
      <c r="W524" s="319" t="s">
        <v>2767</v>
      </c>
      <c r="X524" s="319">
        <v>2</v>
      </c>
      <c r="Y524" s="319" t="s">
        <v>173</v>
      </c>
      <c r="Z524" s="319" t="s">
        <v>173</v>
      </c>
      <c r="AA524" s="319" t="s">
        <v>173</v>
      </c>
      <c r="AB524" s="319">
        <v>2</v>
      </c>
      <c r="AC524" s="319" t="s">
        <v>169</v>
      </c>
      <c r="AD524" s="319" t="s">
        <v>173</v>
      </c>
      <c r="AE524" s="319">
        <v>2</v>
      </c>
      <c r="AF524" s="319" t="s">
        <v>427</v>
      </c>
      <c r="AG524" s="319" t="s">
        <v>171</v>
      </c>
      <c r="AH524" s="319" t="s">
        <v>190</v>
      </c>
      <c r="AI524" s="319" t="s">
        <v>190</v>
      </c>
      <c r="AJ524" s="319" t="s">
        <v>190</v>
      </c>
      <c r="AK524" s="319" t="s">
        <v>190</v>
      </c>
      <c r="AL524" s="319" t="s">
        <v>190</v>
      </c>
      <c r="AM524" s="319" t="s">
        <v>190</v>
      </c>
      <c r="AN524" s="319" t="s">
        <v>190</v>
      </c>
      <c r="AO524" s="319" t="s">
        <v>190</v>
      </c>
      <c r="AP524" s="319" t="s">
        <v>190</v>
      </c>
      <c r="AQ524" s="319" t="s">
        <v>190</v>
      </c>
      <c r="AR524" s="319" t="s">
        <v>190</v>
      </c>
      <c r="AS524" s="319" t="s">
        <v>190</v>
      </c>
      <c r="AT524" s="319" t="s">
        <v>190</v>
      </c>
      <c r="AU524" s="319" t="s">
        <v>190</v>
      </c>
      <c r="AV524" s="319" t="s">
        <v>190</v>
      </c>
      <c r="AW524" s="319" t="s">
        <v>190</v>
      </c>
      <c r="AX524" s="319" t="s">
        <v>428</v>
      </c>
      <c r="AY524" s="319" t="s">
        <v>190</v>
      </c>
      <c r="AZ524" s="319" t="s">
        <v>190</v>
      </c>
      <c r="BA524" s="319" t="s">
        <v>190</v>
      </c>
      <c r="BB524" s="319" t="s">
        <v>190</v>
      </c>
      <c r="BC524" s="319" t="s">
        <v>190</v>
      </c>
      <c r="BD524" s="319" t="s">
        <v>190</v>
      </c>
      <c r="BE524" s="319" t="s">
        <v>190</v>
      </c>
      <c r="BF524" s="319" t="s">
        <v>190</v>
      </c>
      <c r="BG524" s="319" t="s">
        <v>190</v>
      </c>
      <c r="BH524" s="319" t="s">
        <v>190</v>
      </c>
      <c r="BI524" s="319" t="s">
        <v>190</v>
      </c>
      <c r="BJ524" s="319" t="s">
        <v>190</v>
      </c>
      <c r="BK524" s="319" t="s">
        <v>190</v>
      </c>
      <c r="BL524" s="319" t="s">
        <v>190</v>
      </c>
      <c r="BM524" s="319" t="s">
        <v>190</v>
      </c>
      <c r="BN524" s="319" t="s">
        <v>190</v>
      </c>
      <c r="BO524" s="319" t="s">
        <v>190</v>
      </c>
      <c r="BP524" s="319" t="s">
        <v>190</v>
      </c>
      <c r="BQ524" s="319" t="s">
        <v>190</v>
      </c>
      <c r="BR524" s="319" t="s">
        <v>190</v>
      </c>
      <c r="BS524" s="319" t="s">
        <v>190</v>
      </c>
      <c r="BT524" s="319" t="s">
        <v>190</v>
      </c>
      <c r="BU524" s="319" t="s">
        <v>190</v>
      </c>
      <c r="BV524" s="319" t="s">
        <v>190</v>
      </c>
      <c r="BW524" s="319" t="s">
        <v>190</v>
      </c>
      <c r="BX524" s="319" t="s">
        <v>190</v>
      </c>
      <c r="BY524" s="319" t="s">
        <v>190</v>
      </c>
      <c r="BZ524" s="319" t="s">
        <v>190</v>
      </c>
      <c r="CA524" s="319" t="s">
        <v>190</v>
      </c>
      <c r="CB524" s="319" t="s">
        <v>190</v>
      </c>
      <c r="CC524" s="319" t="s">
        <v>190</v>
      </c>
      <c r="CD524" s="319" t="s">
        <v>190</v>
      </c>
      <c r="CE524" s="319" t="s">
        <v>190</v>
      </c>
      <c r="CF524" s="319" t="s">
        <v>190</v>
      </c>
      <c r="CG524" s="319" t="s">
        <v>190</v>
      </c>
      <c r="CH524" s="319" t="s">
        <v>190</v>
      </c>
      <c r="CI524" s="319" t="s">
        <v>190</v>
      </c>
      <c r="CJ524" s="319" t="s">
        <v>190</v>
      </c>
      <c r="CK524" s="319" t="s">
        <v>190</v>
      </c>
      <c r="CL524" s="319" t="s">
        <v>190</v>
      </c>
      <c r="CM524" s="319" t="s">
        <v>190</v>
      </c>
      <c r="CN524" s="319" t="s">
        <v>428</v>
      </c>
      <c r="CO524" s="319" t="s">
        <v>428</v>
      </c>
      <c r="CP524" s="319" t="s">
        <v>428</v>
      </c>
      <c r="CQ524" s="319" t="s">
        <v>190</v>
      </c>
      <c r="CR524" s="319" t="s">
        <v>190</v>
      </c>
      <c r="CS524" s="319" t="s">
        <v>190</v>
      </c>
      <c r="CT524" s="319" t="s">
        <v>190</v>
      </c>
      <c r="CU524" s="319" t="s">
        <v>190</v>
      </c>
      <c r="CV524" s="319" t="s">
        <v>190</v>
      </c>
      <c r="CW524" s="319" t="s">
        <v>190</v>
      </c>
      <c r="CX524" s="319" t="s">
        <v>190</v>
      </c>
      <c r="CY524" s="319" t="s">
        <v>190</v>
      </c>
      <c r="CZ524" s="319" t="s">
        <v>190</v>
      </c>
      <c r="DA524" s="319" t="s">
        <v>190</v>
      </c>
      <c r="DB524" s="319" t="s">
        <v>190</v>
      </c>
      <c r="DC524" s="319" t="s">
        <v>190</v>
      </c>
      <c r="DD524" s="319" t="s">
        <v>190</v>
      </c>
      <c r="DE524" s="319" t="s">
        <v>190</v>
      </c>
      <c r="DF524" s="319" t="s">
        <v>190</v>
      </c>
      <c r="DG524" s="319" t="s">
        <v>190</v>
      </c>
      <c r="DH524" s="319" t="s">
        <v>190</v>
      </c>
      <c r="DI524" s="319" t="s">
        <v>190</v>
      </c>
      <c r="DJ524" s="319" t="s">
        <v>190</v>
      </c>
      <c r="DK524" s="319" t="s">
        <v>190</v>
      </c>
      <c r="DL524" s="319" t="s">
        <v>190</v>
      </c>
      <c r="DM524" s="319" t="s">
        <v>190</v>
      </c>
      <c r="DN524" s="319" t="s">
        <v>428</v>
      </c>
      <c r="DO524" s="319" t="s">
        <v>190</v>
      </c>
      <c r="DP524" s="319" t="s">
        <v>428</v>
      </c>
      <c r="DQ524" s="319" t="s">
        <v>428</v>
      </c>
      <c r="DR524" s="319" t="s">
        <v>428</v>
      </c>
      <c r="DS524" s="319" t="s">
        <v>428</v>
      </c>
      <c r="DT524" s="319" t="s">
        <v>428</v>
      </c>
      <c r="DU524" s="319" t="s">
        <v>428</v>
      </c>
      <c r="DV524" s="319" t="s">
        <v>173</v>
      </c>
      <c r="DW524" s="319" t="s">
        <v>428</v>
      </c>
      <c r="DX524" s="319" t="s">
        <v>428</v>
      </c>
      <c r="DY524" s="319" t="s">
        <v>428</v>
      </c>
      <c r="DZ524" s="319" t="s">
        <v>428</v>
      </c>
      <c r="EA524" s="319" t="s">
        <v>428</v>
      </c>
      <c r="EB524" s="319" t="s">
        <v>428</v>
      </c>
      <c r="EC524" s="319" t="s">
        <v>428</v>
      </c>
      <c r="ED524" s="319" t="s">
        <v>428</v>
      </c>
      <c r="EE524" s="319" t="s">
        <v>190</v>
      </c>
      <c r="EF524" s="319" t="s">
        <v>190</v>
      </c>
      <c r="EG524" s="319" t="s">
        <v>190</v>
      </c>
      <c r="EH524" s="319" t="s">
        <v>190</v>
      </c>
      <c r="EI524" s="319" t="s">
        <v>190</v>
      </c>
      <c r="EJ524" s="319" t="s">
        <v>190</v>
      </c>
      <c r="EK524" s="319" t="s">
        <v>190</v>
      </c>
      <c r="EL524" s="319" t="s">
        <v>190</v>
      </c>
      <c r="EM524" s="319" t="s">
        <v>190</v>
      </c>
      <c r="EN524" s="319" t="s">
        <v>190</v>
      </c>
      <c r="EO524" s="319" t="s">
        <v>190</v>
      </c>
      <c r="EP524" s="319" t="s">
        <v>190</v>
      </c>
      <c r="EQ524" s="319" t="s">
        <v>190</v>
      </c>
      <c r="ER524" s="319" t="s">
        <v>190</v>
      </c>
      <c r="ES524" s="319" t="s">
        <v>190</v>
      </c>
      <c r="ET524" s="319" t="s">
        <v>190</v>
      </c>
      <c r="EU524" s="319" t="s">
        <v>190</v>
      </c>
      <c r="EV524" s="319" t="s">
        <v>190</v>
      </c>
      <c r="EW524" s="319" t="s">
        <v>190</v>
      </c>
      <c r="EX524" s="319" t="s">
        <v>190</v>
      </c>
      <c r="EY524" s="319" t="s">
        <v>190</v>
      </c>
      <c r="EZ524" s="319" t="s">
        <v>190</v>
      </c>
      <c r="FA524" s="319" t="s">
        <v>190</v>
      </c>
      <c r="FB524" s="319" t="s">
        <v>428</v>
      </c>
      <c r="FC524" s="319" t="s">
        <v>428</v>
      </c>
      <c r="FD524" s="319" t="s">
        <v>428</v>
      </c>
      <c r="FE524" s="319" t="s">
        <v>428</v>
      </c>
      <c r="FF524" s="319" t="s">
        <v>428</v>
      </c>
      <c r="FG524" s="319" t="s">
        <v>428</v>
      </c>
      <c r="FH524" s="319" t="s">
        <v>428</v>
      </c>
      <c r="FI524" s="319" t="s">
        <v>428</v>
      </c>
      <c r="FJ524" s="319" t="s">
        <v>429</v>
      </c>
      <c r="FK524" s="319" t="s">
        <v>428</v>
      </c>
      <c r="FL524" s="319" t="s">
        <v>190</v>
      </c>
      <c r="FM524" s="319" t="s">
        <v>190</v>
      </c>
      <c r="FN524" s="319" t="s">
        <v>190</v>
      </c>
      <c r="FO524" s="319" t="s">
        <v>190</v>
      </c>
      <c r="FP524" s="319" t="s">
        <v>190</v>
      </c>
      <c r="FQ524" s="319" t="s">
        <v>190</v>
      </c>
      <c r="FR524" s="319" t="s">
        <v>190</v>
      </c>
      <c r="FS524" s="319" t="s">
        <v>190</v>
      </c>
      <c r="FT524" s="319" t="s">
        <v>190</v>
      </c>
      <c r="FU524" s="319" t="s">
        <v>190</v>
      </c>
      <c r="FV524" s="319" t="s">
        <v>190</v>
      </c>
      <c r="FW524" s="319" t="s">
        <v>190</v>
      </c>
      <c r="FX524" s="319" t="s">
        <v>190</v>
      </c>
      <c r="FY524" s="319" t="s">
        <v>190</v>
      </c>
      <c r="FZ524" s="319" t="s">
        <v>190</v>
      </c>
      <c r="GA524" s="319" t="s">
        <v>190</v>
      </c>
      <c r="GB524" s="319" t="s">
        <v>190</v>
      </c>
      <c r="GC524" s="319" t="s">
        <v>190</v>
      </c>
      <c r="GD524" s="319" t="s">
        <v>190</v>
      </c>
      <c r="GE524" s="319" t="s">
        <v>190</v>
      </c>
      <c r="GF524" s="319" t="s">
        <v>190</v>
      </c>
      <c r="GG524" s="319" t="s">
        <v>190</v>
      </c>
      <c r="GH524" s="319" t="s">
        <v>190</v>
      </c>
      <c r="GI524" s="319" t="s">
        <v>190</v>
      </c>
      <c r="GJ524" s="319" t="s">
        <v>190</v>
      </c>
      <c r="GK524" s="319" t="s">
        <v>428</v>
      </c>
      <c r="GL524" s="319" t="s">
        <v>190</v>
      </c>
      <c r="GM524" s="319" t="s">
        <v>190</v>
      </c>
      <c r="GN524" s="319" t="s">
        <v>190</v>
      </c>
      <c r="GO524" s="319" t="s">
        <v>190</v>
      </c>
      <c r="GP524" s="319" t="s">
        <v>190</v>
      </c>
      <c r="GQ524" s="319" t="s">
        <v>190</v>
      </c>
      <c r="GR524" s="319" t="s">
        <v>190</v>
      </c>
      <c r="GS524" s="319" t="s">
        <v>190</v>
      </c>
      <c r="GT524" s="319" t="s">
        <v>190</v>
      </c>
      <c r="GU524" s="319" t="s">
        <v>190</v>
      </c>
      <c r="GV524" s="319" t="s">
        <v>190</v>
      </c>
      <c r="GW524" s="319" t="s">
        <v>190</v>
      </c>
      <c r="GX524" s="319" t="s">
        <v>190</v>
      </c>
      <c r="GY524" s="319" t="s">
        <v>190</v>
      </c>
      <c r="GZ524" s="319" t="s">
        <v>428</v>
      </c>
      <c r="HA524" s="319" t="s">
        <v>190</v>
      </c>
      <c r="HB524" s="319" t="s">
        <v>190</v>
      </c>
      <c r="HC524" s="319" t="s">
        <v>190</v>
      </c>
      <c r="HD524" s="319" t="s">
        <v>190</v>
      </c>
      <c r="HE524" s="319" t="s">
        <v>190</v>
      </c>
      <c r="HF524" s="319" t="s">
        <v>190</v>
      </c>
      <c r="HG524" s="319" t="s">
        <v>190</v>
      </c>
      <c r="HH524" s="319" t="s">
        <v>190</v>
      </c>
      <c r="HI524" s="319" t="s">
        <v>190</v>
      </c>
      <c r="HJ524" s="319" t="s">
        <v>190</v>
      </c>
      <c r="HK524" s="319" t="s">
        <v>190</v>
      </c>
      <c r="HL524" s="319" t="s">
        <v>190</v>
      </c>
      <c r="HM524" s="319" t="s">
        <v>428</v>
      </c>
      <c r="HN524" s="319" t="s">
        <v>428</v>
      </c>
      <c r="HO524" s="319" t="s">
        <v>428</v>
      </c>
      <c r="HP524" s="319" t="s">
        <v>190</v>
      </c>
      <c r="HQ524" s="319" t="s">
        <v>190</v>
      </c>
      <c r="HR524" s="319" t="s">
        <v>190</v>
      </c>
      <c r="HS524" s="319" t="s">
        <v>190</v>
      </c>
      <c r="HT524" s="319" t="s">
        <v>190</v>
      </c>
      <c r="HU524" s="319" t="s">
        <v>190</v>
      </c>
      <c r="HV524" s="319" t="s">
        <v>190</v>
      </c>
      <c r="HW524" s="319" t="s">
        <v>190</v>
      </c>
      <c r="HX524" s="319" t="s">
        <v>190</v>
      </c>
      <c r="HY524" s="319" t="s">
        <v>190</v>
      </c>
      <c r="HZ524" s="319" t="s">
        <v>190</v>
      </c>
      <c r="IA524" s="319" t="s">
        <v>190</v>
      </c>
      <c r="IB524" s="319" t="s">
        <v>190</v>
      </c>
      <c r="IC524" s="319" t="s">
        <v>190</v>
      </c>
      <c r="ID524" s="319" t="s">
        <v>190</v>
      </c>
      <c r="IE524" s="319" t="s">
        <v>190</v>
      </c>
      <c r="IF524" s="319" t="s">
        <v>190</v>
      </c>
      <c r="IG524" s="319" t="s">
        <v>190</v>
      </c>
      <c r="IH524" s="319" t="s">
        <v>190</v>
      </c>
      <c r="II524" s="319" t="s">
        <v>190</v>
      </c>
      <c r="IJ524" s="319">
        <v>10017962</v>
      </c>
      <c r="IK524" s="321">
        <v>42500</v>
      </c>
      <c r="IL524" s="321">
        <v>42502</v>
      </c>
      <c r="IM524" s="321">
        <v>42534</v>
      </c>
      <c r="IN524" s="319">
        <v>2</v>
      </c>
      <c r="IO524" s="319" t="s">
        <v>173</v>
      </c>
      <c r="IP524" s="319" t="s">
        <v>173</v>
      </c>
      <c r="IQ524" s="321" t="s">
        <v>173</v>
      </c>
      <c r="IR524" s="320" t="s">
        <v>173</v>
      </c>
      <c r="IS524" s="322" t="s">
        <v>173</v>
      </c>
      <c r="IT524" s="319" t="s">
        <v>173</v>
      </c>
    </row>
    <row r="525" spans="1:254" s="271" customFormat="1" x14ac:dyDescent="0.25">
      <c r="A525" s="318" t="str">
        <f>HYPERLINK("http://www.ofsted.gov.uk/inspection-reports/find-inspection-report/provider/ELS/135422 ","Ofsted School Webpage")</f>
        <v>Ofsted School Webpage</v>
      </c>
      <c r="B525" s="319">
        <v>135422</v>
      </c>
      <c r="C525" s="319">
        <v>3306121</v>
      </c>
      <c r="D525" s="319" t="s">
        <v>1933</v>
      </c>
      <c r="E525" s="319" t="s">
        <v>167</v>
      </c>
      <c r="F525" s="319" t="s">
        <v>81</v>
      </c>
      <c r="G525" s="319" t="s">
        <v>81</v>
      </c>
      <c r="H525" s="319" t="s">
        <v>81</v>
      </c>
      <c r="I525" s="319" t="s">
        <v>78</v>
      </c>
      <c r="J525" s="319" t="s">
        <v>424</v>
      </c>
      <c r="K525" s="319" t="s">
        <v>437</v>
      </c>
      <c r="L525" s="319" t="s">
        <v>437</v>
      </c>
      <c r="M525" s="319" t="s">
        <v>813</v>
      </c>
      <c r="N525" s="319" t="s">
        <v>2858</v>
      </c>
      <c r="O525" s="319" t="s">
        <v>1934</v>
      </c>
      <c r="P525" s="319">
        <v>9</v>
      </c>
      <c r="Q525" s="319" t="s">
        <v>2776</v>
      </c>
      <c r="R525" s="320">
        <v>10020740</v>
      </c>
      <c r="S525" s="321">
        <v>43060</v>
      </c>
      <c r="T525" s="321">
        <v>43062</v>
      </c>
      <c r="U525" s="321">
        <v>43084</v>
      </c>
      <c r="V525" s="319" t="s">
        <v>425</v>
      </c>
      <c r="W525" s="319" t="s">
        <v>2767</v>
      </c>
      <c r="X525" s="319">
        <v>2</v>
      </c>
      <c r="Y525" s="319" t="s">
        <v>173</v>
      </c>
      <c r="Z525" s="319" t="s">
        <v>173</v>
      </c>
      <c r="AA525" s="319" t="s">
        <v>173</v>
      </c>
      <c r="AB525" s="319">
        <v>2</v>
      </c>
      <c r="AC525" s="319" t="s">
        <v>169</v>
      </c>
      <c r="AD525" s="319" t="s">
        <v>173</v>
      </c>
      <c r="AE525" s="319" t="s">
        <v>173</v>
      </c>
      <c r="AF525" s="319" t="s">
        <v>173</v>
      </c>
      <c r="AG525" s="319" t="s">
        <v>171</v>
      </c>
      <c r="AH525" s="319" t="s">
        <v>190</v>
      </c>
      <c r="AI525" s="319" t="s">
        <v>190</v>
      </c>
      <c r="AJ525" s="319" t="s">
        <v>190</v>
      </c>
      <c r="AK525" s="319" t="s">
        <v>190</v>
      </c>
      <c r="AL525" s="319" t="s">
        <v>190</v>
      </c>
      <c r="AM525" s="319" t="s">
        <v>190</v>
      </c>
      <c r="AN525" s="319" t="s">
        <v>190</v>
      </c>
      <c r="AO525" s="319" t="s">
        <v>190</v>
      </c>
      <c r="AP525" s="319" t="s">
        <v>190</v>
      </c>
      <c r="AQ525" s="319" t="s">
        <v>190</v>
      </c>
      <c r="AR525" s="319" t="s">
        <v>190</v>
      </c>
      <c r="AS525" s="319" t="s">
        <v>190</v>
      </c>
      <c r="AT525" s="319" t="s">
        <v>190</v>
      </c>
      <c r="AU525" s="319" t="s">
        <v>190</v>
      </c>
      <c r="AV525" s="319" t="s">
        <v>190</v>
      </c>
      <c r="AW525" s="319" t="s">
        <v>190</v>
      </c>
      <c r="AX525" s="319" t="s">
        <v>190</v>
      </c>
      <c r="AY525" s="319" t="s">
        <v>190</v>
      </c>
      <c r="AZ525" s="319" t="s">
        <v>190</v>
      </c>
      <c r="BA525" s="319" t="s">
        <v>190</v>
      </c>
      <c r="BB525" s="319" t="s">
        <v>190</v>
      </c>
      <c r="BC525" s="319" t="s">
        <v>190</v>
      </c>
      <c r="BD525" s="319" t="s">
        <v>190</v>
      </c>
      <c r="BE525" s="319" t="s">
        <v>190</v>
      </c>
      <c r="BF525" s="319" t="s">
        <v>190</v>
      </c>
      <c r="BG525" s="319" t="s">
        <v>190</v>
      </c>
      <c r="BH525" s="319" t="s">
        <v>190</v>
      </c>
      <c r="BI525" s="319" t="s">
        <v>190</v>
      </c>
      <c r="BJ525" s="319" t="s">
        <v>190</v>
      </c>
      <c r="BK525" s="319" t="s">
        <v>190</v>
      </c>
      <c r="BL525" s="319" t="s">
        <v>190</v>
      </c>
      <c r="BM525" s="319" t="s">
        <v>190</v>
      </c>
      <c r="BN525" s="319" t="s">
        <v>190</v>
      </c>
      <c r="BO525" s="319" t="s">
        <v>190</v>
      </c>
      <c r="BP525" s="319" t="s">
        <v>190</v>
      </c>
      <c r="BQ525" s="319" t="s">
        <v>190</v>
      </c>
      <c r="BR525" s="319" t="s">
        <v>190</v>
      </c>
      <c r="BS525" s="319" t="s">
        <v>190</v>
      </c>
      <c r="BT525" s="319" t="s">
        <v>190</v>
      </c>
      <c r="BU525" s="319" t="s">
        <v>190</v>
      </c>
      <c r="BV525" s="319" t="s">
        <v>190</v>
      </c>
      <c r="BW525" s="319" t="s">
        <v>190</v>
      </c>
      <c r="BX525" s="319" t="s">
        <v>190</v>
      </c>
      <c r="BY525" s="319" t="s">
        <v>190</v>
      </c>
      <c r="BZ525" s="319" t="s">
        <v>190</v>
      </c>
      <c r="CA525" s="319" t="s">
        <v>190</v>
      </c>
      <c r="CB525" s="319" t="s">
        <v>190</v>
      </c>
      <c r="CC525" s="319" t="s">
        <v>190</v>
      </c>
      <c r="CD525" s="319" t="s">
        <v>190</v>
      </c>
      <c r="CE525" s="319" t="s">
        <v>190</v>
      </c>
      <c r="CF525" s="319" t="s">
        <v>190</v>
      </c>
      <c r="CG525" s="319" t="s">
        <v>190</v>
      </c>
      <c r="CH525" s="319" t="s">
        <v>190</v>
      </c>
      <c r="CI525" s="319" t="s">
        <v>190</v>
      </c>
      <c r="CJ525" s="319" t="s">
        <v>190</v>
      </c>
      <c r="CK525" s="319" t="s">
        <v>190</v>
      </c>
      <c r="CL525" s="319" t="s">
        <v>190</v>
      </c>
      <c r="CM525" s="319" t="s">
        <v>190</v>
      </c>
      <c r="CN525" s="319" t="s">
        <v>429</v>
      </c>
      <c r="CO525" s="319" t="s">
        <v>429</v>
      </c>
      <c r="CP525" s="319" t="s">
        <v>429</v>
      </c>
      <c r="CQ525" s="319" t="s">
        <v>190</v>
      </c>
      <c r="CR525" s="319" t="s">
        <v>190</v>
      </c>
      <c r="CS525" s="319" t="s">
        <v>190</v>
      </c>
      <c r="CT525" s="319" t="s">
        <v>190</v>
      </c>
      <c r="CU525" s="319" t="s">
        <v>190</v>
      </c>
      <c r="CV525" s="319" t="s">
        <v>190</v>
      </c>
      <c r="CW525" s="319" t="s">
        <v>190</v>
      </c>
      <c r="CX525" s="319" t="s">
        <v>190</v>
      </c>
      <c r="CY525" s="319" t="s">
        <v>190</v>
      </c>
      <c r="CZ525" s="319" t="s">
        <v>190</v>
      </c>
      <c r="DA525" s="319" t="s">
        <v>190</v>
      </c>
      <c r="DB525" s="319" t="s">
        <v>190</v>
      </c>
      <c r="DC525" s="319" t="s">
        <v>190</v>
      </c>
      <c r="DD525" s="319" t="s">
        <v>190</v>
      </c>
      <c r="DE525" s="319" t="s">
        <v>190</v>
      </c>
      <c r="DF525" s="319" t="s">
        <v>190</v>
      </c>
      <c r="DG525" s="319" t="s">
        <v>190</v>
      </c>
      <c r="DH525" s="319" t="s">
        <v>190</v>
      </c>
      <c r="DI525" s="319" t="s">
        <v>190</v>
      </c>
      <c r="DJ525" s="319" t="s">
        <v>190</v>
      </c>
      <c r="DK525" s="319" t="s">
        <v>190</v>
      </c>
      <c r="DL525" s="319" t="s">
        <v>190</v>
      </c>
      <c r="DM525" s="319" t="s">
        <v>190</v>
      </c>
      <c r="DN525" s="319" t="s">
        <v>429</v>
      </c>
      <c r="DO525" s="319" t="s">
        <v>190</v>
      </c>
      <c r="DP525" s="319" t="s">
        <v>429</v>
      </c>
      <c r="DQ525" s="319" t="s">
        <v>429</v>
      </c>
      <c r="DR525" s="319" t="s">
        <v>429</v>
      </c>
      <c r="DS525" s="319" t="s">
        <v>429</v>
      </c>
      <c r="DT525" s="319" t="s">
        <v>429</v>
      </c>
      <c r="DU525" s="319" t="s">
        <v>429</v>
      </c>
      <c r="DV525" s="319" t="s">
        <v>173</v>
      </c>
      <c r="DW525" s="319" t="s">
        <v>429</v>
      </c>
      <c r="DX525" s="319" t="s">
        <v>429</v>
      </c>
      <c r="DY525" s="319" t="s">
        <v>429</v>
      </c>
      <c r="DZ525" s="319" t="s">
        <v>429</v>
      </c>
      <c r="EA525" s="319" t="s">
        <v>429</v>
      </c>
      <c r="EB525" s="319" t="s">
        <v>529</v>
      </c>
      <c r="EC525" s="319" t="s">
        <v>429</v>
      </c>
      <c r="ED525" s="319" t="s">
        <v>529</v>
      </c>
      <c r="EE525" s="319" t="s">
        <v>190</v>
      </c>
      <c r="EF525" s="319" t="s">
        <v>190</v>
      </c>
      <c r="EG525" s="319" t="s">
        <v>190</v>
      </c>
      <c r="EH525" s="319" t="s">
        <v>190</v>
      </c>
      <c r="EI525" s="319" t="s">
        <v>190</v>
      </c>
      <c r="EJ525" s="319" t="s">
        <v>190</v>
      </c>
      <c r="EK525" s="319" t="s">
        <v>190</v>
      </c>
      <c r="EL525" s="319" t="s">
        <v>190</v>
      </c>
      <c r="EM525" s="319" t="s">
        <v>190</v>
      </c>
      <c r="EN525" s="319" t="s">
        <v>190</v>
      </c>
      <c r="EO525" s="319" t="s">
        <v>190</v>
      </c>
      <c r="EP525" s="319" t="s">
        <v>190</v>
      </c>
      <c r="EQ525" s="319" t="s">
        <v>190</v>
      </c>
      <c r="ER525" s="319" t="s">
        <v>190</v>
      </c>
      <c r="ES525" s="319" t="s">
        <v>190</v>
      </c>
      <c r="ET525" s="319" t="s">
        <v>190</v>
      </c>
      <c r="EU525" s="319" t="s">
        <v>190</v>
      </c>
      <c r="EV525" s="319" t="s">
        <v>190</v>
      </c>
      <c r="EW525" s="319" t="s">
        <v>190</v>
      </c>
      <c r="EX525" s="319" t="s">
        <v>190</v>
      </c>
      <c r="EY525" s="319" t="s">
        <v>190</v>
      </c>
      <c r="EZ525" s="319" t="s">
        <v>190</v>
      </c>
      <c r="FA525" s="319" t="s">
        <v>190</v>
      </c>
      <c r="FB525" s="319" t="s">
        <v>429</v>
      </c>
      <c r="FC525" s="319" t="s">
        <v>429</v>
      </c>
      <c r="FD525" s="319" t="s">
        <v>429</v>
      </c>
      <c r="FE525" s="319" t="s">
        <v>429</v>
      </c>
      <c r="FF525" s="319" t="s">
        <v>429</v>
      </c>
      <c r="FG525" s="319" t="s">
        <v>429</v>
      </c>
      <c r="FH525" s="319" t="s">
        <v>190</v>
      </c>
      <c r="FI525" s="319" t="s">
        <v>190</v>
      </c>
      <c r="FJ525" s="319" t="s">
        <v>190</v>
      </c>
      <c r="FK525" s="319" t="s">
        <v>190</v>
      </c>
      <c r="FL525" s="319" t="s">
        <v>190</v>
      </c>
      <c r="FM525" s="319" t="s">
        <v>190</v>
      </c>
      <c r="FN525" s="319" t="s">
        <v>190</v>
      </c>
      <c r="FO525" s="319" t="s">
        <v>190</v>
      </c>
      <c r="FP525" s="319" t="s">
        <v>190</v>
      </c>
      <c r="FQ525" s="319" t="s">
        <v>190</v>
      </c>
      <c r="FR525" s="319" t="s">
        <v>190</v>
      </c>
      <c r="FS525" s="319" t="s">
        <v>429</v>
      </c>
      <c r="FT525" s="319" t="s">
        <v>190</v>
      </c>
      <c r="FU525" s="319" t="s">
        <v>190</v>
      </c>
      <c r="FV525" s="319" t="s">
        <v>190</v>
      </c>
      <c r="FW525" s="319" t="s">
        <v>190</v>
      </c>
      <c r="FX525" s="319" t="s">
        <v>190</v>
      </c>
      <c r="FY525" s="319" t="s">
        <v>190</v>
      </c>
      <c r="FZ525" s="319" t="s">
        <v>190</v>
      </c>
      <c r="GA525" s="319" t="s">
        <v>190</v>
      </c>
      <c r="GB525" s="319" t="s">
        <v>190</v>
      </c>
      <c r="GC525" s="319" t="s">
        <v>190</v>
      </c>
      <c r="GD525" s="319" t="s">
        <v>190</v>
      </c>
      <c r="GE525" s="319" t="s">
        <v>190</v>
      </c>
      <c r="GF525" s="319" t="s">
        <v>190</v>
      </c>
      <c r="GG525" s="319" t="s">
        <v>190</v>
      </c>
      <c r="GH525" s="319" t="s">
        <v>190</v>
      </c>
      <c r="GI525" s="319" t="s">
        <v>190</v>
      </c>
      <c r="GJ525" s="319" t="s">
        <v>190</v>
      </c>
      <c r="GK525" s="319" t="s">
        <v>429</v>
      </c>
      <c r="GL525" s="319" t="s">
        <v>190</v>
      </c>
      <c r="GM525" s="319" t="s">
        <v>190</v>
      </c>
      <c r="GN525" s="319" t="s">
        <v>190</v>
      </c>
      <c r="GO525" s="319" t="s">
        <v>190</v>
      </c>
      <c r="GP525" s="319" t="s">
        <v>190</v>
      </c>
      <c r="GQ525" s="319" t="s">
        <v>190</v>
      </c>
      <c r="GR525" s="319" t="s">
        <v>190</v>
      </c>
      <c r="GS525" s="319" t="s">
        <v>190</v>
      </c>
      <c r="GT525" s="319" t="s">
        <v>190</v>
      </c>
      <c r="GU525" s="319" t="s">
        <v>190</v>
      </c>
      <c r="GV525" s="319" t="s">
        <v>190</v>
      </c>
      <c r="GW525" s="319" t="s">
        <v>190</v>
      </c>
      <c r="GX525" s="319" t="s">
        <v>190</v>
      </c>
      <c r="GY525" s="319" t="s">
        <v>190</v>
      </c>
      <c r="GZ525" s="319" t="s">
        <v>190</v>
      </c>
      <c r="HA525" s="319" t="s">
        <v>429</v>
      </c>
      <c r="HB525" s="319" t="s">
        <v>190</v>
      </c>
      <c r="HC525" s="319" t="s">
        <v>190</v>
      </c>
      <c r="HD525" s="319" t="s">
        <v>190</v>
      </c>
      <c r="HE525" s="319" t="s">
        <v>190</v>
      </c>
      <c r="HF525" s="319" t="s">
        <v>190</v>
      </c>
      <c r="HG525" s="319" t="s">
        <v>190</v>
      </c>
      <c r="HH525" s="319" t="s">
        <v>190</v>
      </c>
      <c r="HI525" s="319" t="s">
        <v>190</v>
      </c>
      <c r="HJ525" s="319" t="s">
        <v>190</v>
      </c>
      <c r="HK525" s="319" t="s">
        <v>190</v>
      </c>
      <c r="HL525" s="319" t="s">
        <v>190</v>
      </c>
      <c r="HM525" s="319" t="s">
        <v>429</v>
      </c>
      <c r="HN525" s="319" t="s">
        <v>429</v>
      </c>
      <c r="HO525" s="319" t="s">
        <v>429</v>
      </c>
      <c r="HP525" s="319" t="s">
        <v>190</v>
      </c>
      <c r="HQ525" s="319" t="s">
        <v>190</v>
      </c>
      <c r="HR525" s="319" t="s">
        <v>190</v>
      </c>
      <c r="HS525" s="319" t="s">
        <v>190</v>
      </c>
      <c r="HT525" s="319" t="s">
        <v>190</v>
      </c>
      <c r="HU525" s="319" t="s">
        <v>190</v>
      </c>
      <c r="HV525" s="319" t="s">
        <v>190</v>
      </c>
      <c r="HW525" s="319" t="s">
        <v>190</v>
      </c>
      <c r="HX525" s="319" t="s">
        <v>190</v>
      </c>
      <c r="HY525" s="319" t="s">
        <v>190</v>
      </c>
      <c r="HZ525" s="319" t="s">
        <v>190</v>
      </c>
      <c r="IA525" s="319" t="s">
        <v>190</v>
      </c>
      <c r="IB525" s="319" t="s">
        <v>190</v>
      </c>
      <c r="IC525" s="319" t="s">
        <v>190</v>
      </c>
      <c r="ID525" s="319" t="s">
        <v>190</v>
      </c>
      <c r="IE525" s="319" t="s">
        <v>190</v>
      </c>
      <c r="IF525" s="319" t="s">
        <v>190</v>
      </c>
      <c r="IG525" s="319" t="s">
        <v>190</v>
      </c>
      <c r="IH525" s="319" t="s">
        <v>190</v>
      </c>
      <c r="II525" s="319" t="s">
        <v>190</v>
      </c>
      <c r="IJ525" s="319" t="s">
        <v>3294</v>
      </c>
      <c r="IK525" s="321">
        <v>40918</v>
      </c>
      <c r="IL525" s="321">
        <v>40919</v>
      </c>
      <c r="IM525" s="321">
        <v>40941</v>
      </c>
      <c r="IN525" s="319">
        <v>2</v>
      </c>
      <c r="IO525" s="319" t="s">
        <v>173</v>
      </c>
      <c r="IP525" s="319" t="s">
        <v>173</v>
      </c>
      <c r="IQ525" s="321" t="s">
        <v>173</v>
      </c>
      <c r="IR525" s="320" t="s">
        <v>173</v>
      </c>
      <c r="IS525" s="322" t="s">
        <v>173</v>
      </c>
      <c r="IT525" s="319" t="s">
        <v>173</v>
      </c>
    </row>
    <row r="526" spans="1:254" s="271" customFormat="1" x14ac:dyDescent="0.25">
      <c r="A526" s="318" t="str">
        <f>HYPERLINK("http://www.ofsted.gov.uk/inspection-reports/find-inspection-report/provider/ELS/135424 ","Ofsted School Webpage")</f>
        <v>Ofsted School Webpage</v>
      </c>
      <c r="B526" s="319">
        <v>135424</v>
      </c>
      <c r="C526" s="319">
        <v>8056002</v>
      </c>
      <c r="D526" s="319" t="s">
        <v>1935</v>
      </c>
      <c r="E526" s="319" t="s">
        <v>168</v>
      </c>
      <c r="F526" s="319" t="s">
        <v>81</v>
      </c>
      <c r="G526" s="319" t="s">
        <v>81</v>
      </c>
      <c r="H526" s="319" t="s">
        <v>81</v>
      </c>
      <c r="I526" s="319" t="s">
        <v>78</v>
      </c>
      <c r="J526" s="319" t="s">
        <v>424</v>
      </c>
      <c r="K526" s="319" t="s">
        <v>458</v>
      </c>
      <c r="L526" s="319" t="s">
        <v>474</v>
      </c>
      <c r="M526" s="319" t="s">
        <v>1936</v>
      </c>
      <c r="N526" s="319" t="s">
        <v>1936</v>
      </c>
      <c r="O526" s="319" t="s">
        <v>1937</v>
      </c>
      <c r="P526" s="319">
        <v>15</v>
      </c>
      <c r="Q526" s="319" t="s">
        <v>429</v>
      </c>
      <c r="R526" s="320">
        <v>10043656</v>
      </c>
      <c r="S526" s="321">
        <v>43137</v>
      </c>
      <c r="T526" s="321">
        <v>43139</v>
      </c>
      <c r="U526" s="321">
        <v>43165</v>
      </c>
      <c r="V526" s="319" t="s">
        <v>425</v>
      </c>
      <c r="W526" s="319" t="s">
        <v>2767</v>
      </c>
      <c r="X526" s="319">
        <v>2</v>
      </c>
      <c r="Y526" s="319" t="s">
        <v>173</v>
      </c>
      <c r="Z526" s="319" t="s">
        <v>173</v>
      </c>
      <c r="AA526" s="319" t="s">
        <v>173</v>
      </c>
      <c r="AB526" s="319">
        <v>2</v>
      </c>
      <c r="AC526" s="319" t="s">
        <v>169</v>
      </c>
      <c r="AD526" s="319" t="s">
        <v>173</v>
      </c>
      <c r="AE526" s="319" t="s">
        <v>173</v>
      </c>
      <c r="AF526" s="319" t="s">
        <v>427</v>
      </c>
      <c r="AG526" s="319" t="s">
        <v>171</v>
      </c>
      <c r="AH526" s="319" t="s">
        <v>190</v>
      </c>
      <c r="AI526" s="319" t="s">
        <v>190</v>
      </c>
      <c r="AJ526" s="319" t="s">
        <v>190</v>
      </c>
      <c r="AK526" s="319" t="s">
        <v>190</v>
      </c>
      <c r="AL526" s="319" t="s">
        <v>190</v>
      </c>
      <c r="AM526" s="319" t="s">
        <v>190</v>
      </c>
      <c r="AN526" s="319" t="s">
        <v>190</v>
      </c>
      <c r="AO526" s="319" t="s">
        <v>190</v>
      </c>
      <c r="AP526" s="319" t="s">
        <v>190</v>
      </c>
      <c r="AQ526" s="319" t="s">
        <v>190</v>
      </c>
      <c r="AR526" s="319" t="s">
        <v>190</v>
      </c>
      <c r="AS526" s="319" t="s">
        <v>190</v>
      </c>
      <c r="AT526" s="319" t="s">
        <v>190</v>
      </c>
      <c r="AU526" s="319" t="s">
        <v>190</v>
      </c>
      <c r="AV526" s="319" t="s">
        <v>190</v>
      </c>
      <c r="AW526" s="319" t="s">
        <v>190</v>
      </c>
      <c r="AX526" s="319" t="s">
        <v>428</v>
      </c>
      <c r="AY526" s="319" t="s">
        <v>190</v>
      </c>
      <c r="AZ526" s="319" t="s">
        <v>190</v>
      </c>
      <c r="BA526" s="319" t="s">
        <v>190</v>
      </c>
      <c r="BB526" s="319" t="s">
        <v>190</v>
      </c>
      <c r="BC526" s="319" t="s">
        <v>190</v>
      </c>
      <c r="BD526" s="319" t="s">
        <v>190</v>
      </c>
      <c r="BE526" s="319" t="s">
        <v>190</v>
      </c>
      <c r="BF526" s="319" t="s">
        <v>428</v>
      </c>
      <c r="BG526" s="319" t="s">
        <v>428</v>
      </c>
      <c r="BH526" s="319" t="s">
        <v>190</v>
      </c>
      <c r="BI526" s="319" t="s">
        <v>190</v>
      </c>
      <c r="BJ526" s="319" t="s">
        <v>190</v>
      </c>
      <c r="BK526" s="319" t="s">
        <v>190</v>
      </c>
      <c r="BL526" s="319" t="s">
        <v>190</v>
      </c>
      <c r="BM526" s="319" t="s">
        <v>190</v>
      </c>
      <c r="BN526" s="319" t="s">
        <v>190</v>
      </c>
      <c r="BO526" s="319" t="s">
        <v>190</v>
      </c>
      <c r="BP526" s="319" t="s">
        <v>190</v>
      </c>
      <c r="BQ526" s="319" t="s">
        <v>190</v>
      </c>
      <c r="BR526" s="319" t="s">
        <v>190</v>
      </c>
      <c r="BS526" s="319" t="s">
        <v>190</v>
      </c>
      <c r="BT526" s="319" t="s">
        <v>190</v>
      </c>
      <c r="BU526" s="319" t="s">
        <v>190</v>
      </c>
      <c r="BV526" s="319" t="s">
        <v>190</v>
      </c>
      <c r="BW526" s="319" t="s">
        <v>190</v>
      </c>
      <c r="BX526" s="319" t="s">
        <v>190</v>
      </c>
      <c r="BY526" s="319" t="s">
        <v>190</v>
      </c>
      <c r="BZ526" s="319" t="s">
        <v>190</v>
      </c>
      <c r="CA526" s="319" t="s">
        <v>190</v>
      </c>
      <c r="CB526" s="319" t="s">
        <v>190</v>
      </c>
      <c r="CC526" s="319" t="s">
        <v>190</v>
      </c>
      <c r="CD526" s="319" t="s">
        <v>190</v>
      </c>
      <c r="CE526" s="319" t="s">
        <v>190</v>
      </c>
      <c r="CF526" s="319" t="s">
        <v>190</v>
      </c>
      <c r="CG526" s="319" t="s">
        <v>190</v>
      </c>
      <c r="CH526" s="319" t="s">
        <v>190</v>
      </c>
      <c r="CI526" s="319" t="s">
        <v>190</v>
      </c>
      <c r="CJ526" s="319" t="s">
        <v>190</v>
      </c>
      <c r="CK526" s="319" t="s">
        <v>190</v>
      </c>
      <c r="CL526" s="319" t="s">
        <v>190</v>
      </c>
      <c r="CM526" s="319" t="s">
        <v>190</v>
      </c>
      <c r="CN526" s="319" t="s">
        <v>428</v>
      </c>
      <c r="CO526" s="319" t="s">
        <v>428</v>
      </c>
      <c r="CP526" s="319" t="s">
        <v>428</v>
      </c>
      <c r="CQ526" s="319" t="s">
        <v>190</v>
      </c>
      <c r="CR526" s="319" t="s">
        <v>190</v>
      </c>
      <c r="CS526" s="319" t="s">
        <v>190</v>
      </c>
      <c r="CT526" s="319" t="s">
        <v>190</v>
      </c>
      <c r="CU526" s="319" t="s">
        <v>190</v>
      </c>
      <c r="CV526" s="319" t="s">
        <v>190</v>
      </c>
      <c r="CW526" s="319" t="s">
        <v>190</v>
      </c>
      <c r="CX526" s="319" t="s">
        <v>190</v>
      </c>
      <c r="CY526" s="319" t="s">
        <v>190</v>
      </c>
      <c r="CZ526" s="319" t="s">
        <v>190</v>
      </c>
      <c r="DA526" s="319" t="s">
        <v>190</v>
      </c>
      <c r="DB526" s="319" t="s">
        <v>190</v>
      </c>
      <c r="DC526" s="319" t="s">
        <v>190</v>
      </c>
      <c r="DD526" s="319" t="s">
        <v>190</v>
      </c>
      <c r="DE526" s="319" t="s">
        <v>190</v>
      </c>
      <c r="DF526" s="319" t="s">
        <v>190</v>
      </c>
      <c r="DG526" s="319" t="s">
        <v>190</v>
      </c>
      <c r="DH526" s="319" t="s">
        <v>190</v>
      </c>
      <c r="DI526" s="319" t="s">
        <v>190</v>
      </c>
      <c r="DJ526" s="319" t="s">
        <v>190</v>
      </c>
      <c r="DK526" s="319" t="s">
        <v>190</v>
      </c>
      <c r="DL526" s="319" t="s">
        <v>190</v>
      </c>
      <c r="DM526" s="319" t="s">
        <v>190</v>
      </c>
      <c r="DN526" s="319" t="s">
        <v>428</v>
      </c>
      <c r="DO526" s="319" t="s">
        <v>190</v>
      </c>
      <c r="DP526" s="319" t="s">
        <v>190</v>
      </c>
      <c r="DQ526" s="319" t="s">
        <v>190</v>
      </c>
      <c r="DR526" s="319" t="s">
        <v>190</v>
      </c>
      <c r="DS526" s="319" t="s">
        <v>190</v>
      </c>
      <c r="DT526" s="319" t="s">
        <v>190</v>
      </c>
      <c r="DU526" s="319" t="s">
        <v>190</v>
      </c>
      <c r="DV526" s="319" t="s">
        <v>173</v>
      </c>
      <c r="DW526" s="319" t="s">
        <v>190</v>
      </c>
      <c r="DX526" s="319" t="s">
        <v>190</v>
      </c>
      <c r="DY526" s="319" t="s">
        <v>190</v>
      </c>
      <c r="DZ526" s="319" t="s">
        <v>190</v>
      </c>
      <c r="EA526" s="319" t="s">
        <v>190</v>
      </c>
      <c r="EB526" s="319" t="s">
        <v>190</v>
      </c>
      <c r="EC526" s="319" t="s">
        <v>428</v>
      </c>
      <c r="ED526" s="319" t="s">
        <v>190</v>
      </c>
      <c r="EE526" s="319" t="s">
        <v>190</v>
      </c>
      <c r="EF526" s="319" t="s">
        <v>190</v>
      </c>
      <c r="EG526" s="319" t="s">
        <v>190</v>
      </c>
      <c r="EH526" s="319" t="s">
        <v>190</v>
      </c>
      <c r="EI526" s="319" t="s">
        <v>190</v>
      </c>
      <c r="EJ526" s="319" t="s">
        <v>190</v>
      </c>
      <c r="EK526" s="319" t="s">
        <v>190</v>
      </c>
      <c r="EL526" s="319" t="s">
        <v>190</v>
      </c>
      <c r="EM526" s="319" t="s">
        <v>190</v>
      </c>
      <c r="EN526" s="319" t="s">
        <v>190</v>
      </c>
      <c r="EO526" s="319" t="s">
        <v>190</v>
      </c>
      <c r="EP526" s="319" t="s">
        <v>190</v>
      </c>
      <c r="EQ526" s="319" t="s">
        <v>190</v>
      </c>
      <c r="ER526" s="319" t="s">
        <v>190</v>
      </c>
      <c r="ES526" s="319" t="s">
        <v>190</v>
      </c>
      <c r="ET526" s="319" t="s">
        <v>190</v>
      </c>
      <c r="EU526" s="319" t="s">
        <v>190</v>
      </c>
      <c r="EV526" s="319" t="s">
        <v>190</v>
      </c>
      <c r="EW526" s="319" t="s">
        <v>190</v>
      </c>
      <c r="EX526" s="319" t="s">
        <v>190</v>
      </c>
      <c r="EY526" s="319" t="s">
        <v>190</v>
      </c>
      <c r="EZ526" s="319" t="s">
        <v>190</v>
      </c>
      <c r="FA526" s="319" t="s">
        <v>190</v>
      </c>
      <c r="FB526" s="319" t="s">
        <v>190</v>
      </c>
      <c r="FC526" s="319" t="s">
        <v>190</v>
      </c>
      <c r="FD526" s="319" t="s">
        <v>190</v>
      </c>
      <c r="FE526" s="319" t="s">
        <v>190</v>
      </c>
      <c r="FF526" s="319" t="s">
        <v>190</v>
      </c>
      <c r="FG526" s="319" t="s">
        <v>190</v>
      </c>
      <c r="FH526" s="319" t="s">
        <v>190</v>
      </c>
      <c r="FI526" s="319" t="s">
        <v>190</v>
      </c>
      <c r="FJ526" s="319" t="s">
        <v>190</v>
      </c>
      <c r="FK526" s="319" t="s">
        <v>190</v>
      </c>
      <c r="FL526" s="319" t="s">
        <v>190</v>
      </c>
      <c r="FM526" s="319" t="s">
        <v>190</v>
      </c>
      <c r="FN526" s="319" t="s">
        <v>190</v>
      </c>
      <c r="FO526" s="319" t="s">
        <v>190</v>
      </c>
      <c r="FP526" s="319" t="s">
        <v>190</v>
      </c>
      <c r="FQ526" s="319" t="s">
        <v>190</v>
      </c>
      <c r="FR526" s="319" t="s">
        <v>190</v>
      </c>
      <c r="FS526" s="319" t="s">
        <v>428</v>
      </c>
      <c r="FT526" s="319" t="s">
        <v>190</v>
      </c>
      <c r="FU526" s="319" t="s">
        <v>190</v>
      </c>
      <c r="FV526" s="319" t="s">
        <v>190</v>
      </c>
      <c r="FW526" s="319" t="s">
        <v>190</v>
      </c>
      <c r="FX526" s="319" t="s">
        <v>190</v>
      </c>
      <c r="FY526" s="319" t="s">
        <v>190</v>
      </c>
      <c r="FZ526" s="319" t="s">
        <v>190</v>
      </c>
      <c r="GA526" s="319" t="s">
        <v>190</v>
      </c>
      <c r="GB526" s="319" t="s">
        <v>190</v>
      </c>
      <c r="GC526" s="319" t="s">
        <v>190</v>
      </c>
      <c r="GD526" s="319" t="s">
        <v>190</v>
      </c>
      <c r="GE526" s="319" t="s">
        <v>190</v>
      </c>
      <c r="GF526" s="319" t="s">
        <v>190</v>
      </c>
      <c r="GG526" s="319" t="s">
        <v>190</v>
      </c>
      <c r="GH526" s="319" t="s">
        <v>190</v>
      </c>
      <c r="GI526" s="319" t="s">
        <v>190</v>
      </c>
      <c r="GJ526" s="319" t="s">
        <v>190</v>
      </c>
      <c r="GK526" s="319" t="s">
        <v>428</v>
      </c>
      <c r="GL526" s="319" t="s">
        <v>190</v>
      </c>
      <c r="GM526" s="319" t="s">
        <v>190</v>
      </c>
      <c r="GN526" s="319" t="s">
        <v>190</v>
      </c>
      <c r="GO526" s="319" t="s">
        <v>190</v>
      </c>
      <c r="GP526" s="319" t="s">
        <v>190</v>
      </c>
      <c r="GQ526" s="319" t="s">
        <v>428</v>
      </c>
      <c r="GR526" s="319" t="s">
        <v>190</v>
      </c>
      <c r="GS526" s="319" t="s">
        <v>190</v>
      </c>
      <c r="GT526" s="319" t="s">
        <v>190</v>
      </c>
      <c r="GU526" s="319" t="s">
        <v>190</v>
      </c>
      <c r="GV526" s="319" t="s">
        <v>190</v>
      </c>
      <c r="GW526" s="319" t="s">
        <v>190</v>
      </c>
      <c r="GX526" s="319" t="s">
        <v>190</v>
      </c>
      <c r="GY526" s="319" t="s">
        <v>190</v>
      </c>
      <c r="GZ526" s="319" t="s">
        <v>428</v>
      </c>
      <c r="HA526" s="319" t="s">
        <v>190</v>
      </c>
      <c r="HB526" s="319" t="s">
        <v>190</v>
      </c>
      <c r="HC526" s="319" t="s">
        <v>190</v>
      </c>
      <c r="HD526" s="319" t="s">
        <v>190</v>
      </c>
      <c r="HE526" s="319" t="s">
        <v>190</v>
      </c>
      <c r="HF526" s="319" t="s">
        <v>190</v>
      </c>
      <c r="HG526" s="319" t="s">
        <v>190</v>
      </c>
      <c r="HH526" s="319" t="s">
        <v>190</v>
      </c>
      <c r="HI526" s="319" t="s">
        <v>190</v>
      </c>
      <c r="HJ526" s="319" t="s">
        <v>190</v>
      </c>
      <c r="HK526" s="319" t="s">
        <v>190</v>
      </c>
      <c r="HL526" s="319" t="s">
        <v>428</v>
      </c>
      <c r="HM526" s="319" t="s">
        <v>428</v>
      </c>
      <c r="HN526" s="319" t="s">
        <v>428</v>
      </c>
      <c r="HO526" s="319" t="s">
        <v>428</v>
      </c>
      <c r="HP526" s="319" t="s">
        <v>190</v>
      </c>
      <c r="HQ526" s="319" t="s">
        <v>190</v>
      </c>
      <c r="HR526" s="319" t="s">
        <v>190</v>
      </c>
      <c r="HS526" s="319" t="s">
        <v>190</v>
      </c>
      <c r="HT526" s="319" t="s">
        <v>190</v>
      </c>
      <c r="HU526" s="319" t="s">
        <v>190</v>
      </c>
      <c r="HV526" s="319" t="s">
        <v>190</v>
      </c>
      <c r="HW526" s="319" t="s">
        <v>190</v>
      </c>
      <c r="HX526" s="319" t="s">
        <v>190</v>
      </c>
      <c r="HY526" s="319" t="s">
        <v>190</v>
      </c>
      <c r="HZ526" s="319" t="s">
        <v>190</v>
      </c>
      <c r="IA526" s="319" t="s">
        <v>190</v>
      </c>
      <c r="IB526" s="319" t="s">
        <v>190</v>
      </c>
      <c r="IC526" s="319" t="s">
        <v>190</v>
      </c>
      <c r="ID526" s="319" t="s">
        <v>190</v>
      </c>
      <c r="IE526" s="319" t="s">
        <v>190</v>
      </c>
      <c r="IF526" s="319" t="s">
        <v>190</v>
      </c>
      <c r="IG526" s="319" t="s">
        <v>190</v>
      </c>
      <c r="IH526" s="319" t="s">
        <v>190</v>
      </c>
      <c r="II526" s="319" t="s">
        <v>190</v>
      </c>
      <c r="IJ526" s="319" t="s">
        <v>3295</v>
      </c>
      <c r="IK526" s="321">
        <v>42024</v>
      </c>
      <c r="IL526" s="321">
        <v>42026</v>
      </c>
      <c r="IM526" s="321">
        <v>42069</v>
      </c>
      <c r="IN526" s="319">
        <v>2</v>
      </c>
      <c r="IO526" s="319" t="s">
        <v>173</v>
      </c>
      <c r="IP526" s="319" t="s">
        <v>173</v>
      </c>
      <c r="IQ526" s="321" t="s">
        <v>173</v>
      </c>
      <c r="IR526" s="320" t="s">
        <v>173</v>
      </c>
      <c r="IS526" s="322" t="s">
        <v>173</v>
      </c>
      <c r="IT526" s="319" t="s">
        <v>173</v>
      </c>
    </row>
    <row r="527" spans="1:254" s="271" customFormat="1" x14ac:dyDescent="0.25">
      <c r="A527" s="318" t="str">
        <f>HYPERLINK("http://www.ofsted.gov.uk/inspection-reports/find-inspection-report/provider/ELS/135438 ","Ofsted School Webpage")</f>
        <v>Ofsted School Webpage</v>
      </c>
      <c r="B527" s="319">
        <v>135438</v>
      </c>
      <c r="C527" s="319">
        <v>8866123</v>
      </c>
      <c r="D527" s="319" t="s">
        <v>1938</v>
      </c>
      <c r="E527" s="319" t="s">
        <v>168</v>
      </c>
      <c r="F527" s="319" t="s">
        <v>81</v>
      </c>
      <c r="G527" s="319" t="s">
        <v>81</v>
      </c>
      <c r="H527" s="319" t="s">
        <v>81</v>
      </c>
      <c r="I527" s="319" t="s">
        <v>78</v>
      </c>
      <c r="J527" s="319" t="s">
        <v>424</v>
      </c>
      <c r="K527" s="319" t="s">
        <v>514</v>
      </c>
      <c r="L527" s="319" t="s">
        <v>514</v>
      </c>
      <c r="M527" s="319" t="s">
        <v>614</v>
      </c>
      <c r="N527" s="319" t="s">
        <v>2986</v>
      </c>
      <c r="O527" s="319" t="s">
        <v>1939</v>
      </c>
      <c r="P527" s="319">
        <v>60</v>
      </c>
      <c r="Q527" s="319" t="s">
        <v>429</v>
      </c>
      <c r="R527" s="320">
        <v>10091642</v>
      </c>
      <c r="S527" s="321">
        <v>43641</v>
      </c>
      <c r="T527" s="321">
        <v>43643</v>
      </c>
      <c r="U527" s="321">
        <v>43663</v>
      </c>
      <c r="V527" s="319" t="s">
        <v>425</v>
      </c>
      <c r="W527" s="319" t="s">
        <v>2767</v>
      </c>
      <c r="X527" s="319">
        <v>2</v>
      </c>
      <c r="Y527" s="319" t="s">
        <v>173</v>
      </c>
      <c r="Z527" s="319" t="s">
        <v>173</v>
      </c>
      <c r="AA527" s="319" t="s">
        <v>173</v>
      </c>
      <c r="AB527" s="319">
        <v>2</v>
      </c>
      <c r="AC527" s="319" t="s">
        <v>169</v>
      </c>
      <c r="AD527" s="319" t="s">
        <v>173</v>
      </c>
      <c r="AE527" s="319">
        <v>2</v>
      </c>
      <c r="AF527" s="319" t="s">
        <v>427</v>
      </c>
      <c r="AG527" s="319" t="s">
        <v>171</v>
      </c>
      <c r="AH527" s="319" t="s">
        <v>190</v>
      </c>
      <c r="AI527" s="319" t="s">
        <v>190</v>
      </c>
      <c r="AJ527" s="319" t="s">
        <v>190</v>
      </c>
      <c r="AK527" s="319" t="s">
        <v>190</v>
      </c>
      <c r="AL527" s="319" t="s">
        <v>190</v>
      </c>
      <c r="AM527" s="319" t="s">
        <v>190</v>
      </c>
      <c r="AN527" s="319" t="s">
        <v>190</v>
      </c>
      <c r="AO527" s="319" t="s">
        <v>190</v>
      </c>
      <c r="AP527" s="319" t="s">
        <v>190</v>
      </c>
      <c r="AQ527" s="319" t="s">
        <v>190</v>
      </c>
      <c r="AR527" s="319" t="s">
        <v>190</v>
      </c>
      <c r="AS527" s="319" t="s">
        <v>190</v>
      </c>
      <c r="AT527" s="319" t="s">
        <v>190</v>
      </c>
      <c r="AU527" s="319" t="s">
        <v>190</v>
      </c>
      <c r="AV527" s="319" t="s">
        <v>190</v>
      </c>
      <c r="AW527" s="319" t="s">
        <v>190</v>
      </c>
      <c r="AX527" s="319" t="s">
        <v>428</v>
      </c>
      <c r="AY527" s="319" t="s">
        <v>190</v>
      </c>
      <c r="AZ527" s="319" t="s">
        <v>190</v>
      </c>
      <c r="BA527" s="319" t="s">
        <v>190</v>
      </c>
      <c r="BB527" s="319" t="s">
        <v>190</v>
      </c>
      <c r="BC527" s="319" t="s">
        <v>190</v>
      </c>
      <c r="BD527" s="319" t="s">
        <v>190</v>
      </c>
      <c r="BE527" s="319" t="s">
        <v>190</v>
      </c>
      <c r="BF527" s="319" t="s">
        <v>428</v>
      </c>
      <c r="BG527" s="319" t="s">
        <v>190</v>
      </c>
      <c r="BH527" s="319" t="s">
        <v>190</v>
      </c>
      <c r="BI527" s="319" t="s">
        <v>190</v>
      </c>
      <c r="BJ527" s="319" t="s">
        <v>190</v>
      </c>
      <c r="BK527" s="319" t="s">
        <v>190</v>
      </c>
      <c r="BL527" s="319" t="s">
        <v>190</v>
      </c>
      <c r="BM527" s="319" t="s">
        <v>190</v>
      </c>
      <c r="BN527" s="319" t="s">
        <v>190</v>
      </c>
      <c r="BO527" s="319" t="s">
        <v>190</v>
      </c>
      <c r="BP527" s="319" t="s">
        <v>190</v>
      </c>
      <c r="BQ527" s="319" t="s">
        <v>190</v>
      </c>
      <c r="BR527" s="319" t="s">
        <v>190</v>
      </c>
      <c r="BS527" s="319" t="s">
        <v>190</v>
      </c>
      <c r="BT527" s="319" t="s">
        <v>190</v>
      </c>
      <c r="BU527" s="319" t="s">
        <v>190</v>
      </c>
      <c r="BV527" s="319" t="s">
        <v>190</v>
      </c>
      <c r="BW527" s="319" t="s">
        <v>190</v>
      </c>
      <c r="BX527" s="319" t="s">
        <v>190</v>
      </c>
      <c r="BY527" s="319" t="s">
        <v>190</v>
      </c>
      <c r="BZ527" s="319" t="s">
        <v>190</v>
      </c>
      <c r="CA527" s="319" t="s">
        <v>190</v>
      </c>
      <c r="CB527" s="319" t="s">
        <v>190</v>
      </c>
      <c r="CC527" s="319" t="s">
        <v>190</v>
      </c>
      <c r="CD527" s="319" t="s">
        <v>190</v>
      </c>
      <c r="CE527" s="319" t="s">
        <v>190</v>
      </c>
      <c r="CF527" s="319" t="s">
        <v>190</v>
      </c>
      <c r="CG527" s="319" t="s">
        <v>190</v>
      </c>
      <c r="CH527" s="319" t="s">
        <v>190</v>
      </c>
      <c r="CI527" s="319" t="s">
        <v>190</v>
      </c>
      <c r="CJ527" s="319" t="s">
        <v>190</v>
      </c>
      <c r="CK527" s="319" t="s">
        <v>190</v>
      </c>
      <c r="CL527" s="319" t="s">
        <v>190</v>
      </c>
      <c r="CM527" s="319" t="s">
        <v>190</v>
      </c>
      <c r="CN527" s="319" t="s">
        <v>428</v>
      </c>
      <c r="CO527" s="319" t="s">
        <v>428</v>
      </c>
      <c r="CP527" s="319" t="s">
        <v>428</v>
      </c>
      <c r="CQ527" s="319" t="s">
        <v>190</v>
      </c>
      <c r="CR527" s="319" t="s">
        <v>190</v>
      </c>
      <c r="CS527" s="319" t="s">
        <v>190</v>
      </c>
      <c r="CT527" s="319" t="s">
        <v>190</v>
      </c>
      <c r="CU527" s="319" t="s">
        <v>190</v>
      </c>
      <c r="CV527" s="319" t="s">
        <v>190</v>
      </c>
      <c r="CW527" s="319" t="s">
        <v>190</v>
      </c>
      <c r="CX527" s="319" t="s">
        <v>190</v>
      </c>
      <c r="CY527" s="319" t="s">
        <v>190</v>
      </c>
      <c r="CZ527" s="319" t="s">
        <v>190</v>
      </c>
      <c r="DA527" s="319" t="s">
        <v>190</v>
      </c>
      <c r="DB527" s="319" t="s">
        <v>190</v>
      </c>
      <c r="DC527" s="319" t="s">
        <v>190</v>
      </c>
      <c r="DD527" s="319" t="s">
        <v>190</v>
      </c>
      <c r="DE527" s="319" t="s">
        <v>190</v>
      </c>
      <c r="DF527" s="319" t="s">
        <v>190</v>
      </c>
      <c r="DG527" s="319" t="s">
        <v>190</v>
      </c>
      <c r="DH527" s="319" t="s">
        <v>190</v>
      </c>
      <c r="DI527" s="319" t="s">
        <v>190</v>
      </c>
      <c r="DJ527" s="319" t="s">
        <v>190</v>
      </c>
      <c r="DK527" s="319" t="s">
        <v>190</v>
      </c>
      <c r="DL527" s="319" t="s">
        <v>190</v>
      </c>
      <c r="DM527" s="319" t="s">
        <v>190</v>
      </c>
      <c r="DN527" s="319" t="s">
        <v>428</v>
      </c>
      <c r="DO527" s="319" t="s">
        <v>190</v>
      </c>
      <c r="DP527" s="319" t="s">
        <v>190</v>
      </c>
      <c r="DQ527" s="319" t="s">
        <v>190</v>
      </c>
      <c r="DR527" s="319" t="s">
        <v>190</v>
      </c>
      <c r="DS527" s="319" t="s">
        <v>190</v>
      </c>
      <c r="DT527" s="319" t="s">
        <v>190</v>
      </c>
      <c r="DU527" s="319" t="s">
        <v>190</v>
      </c>
      <c r="DV527" s="319" t="s">
        <v>173</v>
      </c>
      <c r="DW527" s="319" t="s">
        <v>190</v>
      </c>
      <c r="DX527" s="319" t="s">
        <v>190</v>
      </c>
      <c r="DY527" s="319" t="s">
        <v>190</v>
      </c>
      <c r="DZ527" s="319" t="s">
        <v>190</v>
      </c>
      <c r="EA527" s="319" t="s">
        <v>190</v>
      </c>
      <c r="EB527" s="319" t="s">
        <v>190</v>
      </c>
      <c r="EC527" s="319" t="s">
        <v>428</v>
      </c>
      <c r="ED527" s="319" t="s">
        <v>190</v>
      </c>
      <c r="EE527" s="319" t="s">
        <v>190</v>
      </c>
      <c r="EF527" s="319" t="s">
        <v>190</v>
      </c>
      <c r="EG527" s="319" t="s">
        <v>190</v>
      </c>
      <c r="EH527" s="319" t="s">
        <v>190</v>
      </c>
      <c r="EI527" s="319" t="s">
        <v>190</v>
      </c>
      <c r="EJ527" s="319" t="s">
        <v>190</v>
      </c>
      <c r="EK527" s="319" t="s">
        <v>190</v>
      </c>
      <c r="EL527" s="319" t="s">
        <v>190</v>
      </c>
      <c r="EM527" s="319" t="s">
        <v>190</v>
      </c>
      <c r="EN527" s="319" t="s">
        <v>190</v>
      </c>
      <c r="EO527" s="319" t="s">
        <v>190</v>
      </c>
      <c r="EP527" s="319" t="s">
        <v>190</v>
      </c>
      <c r="EQ527" s="319" t="s">
        <v>190</v>
      </c>
      <c r="ER527" s="319" t="s">
        <v>190</v>
      </c>
      <c r="ES527" s="319" t="s">
        <v>190</v>
      </c>
      <c r="ET527" s="319" t="s">
        <v>190</v>
      </c>
      <c r="EU527" s="319" t="s">
        <v>190</v>
      </c>
      <c r="EV527" s="319" t="s">
        <v>190</v>
      </c>
      <c r="EW527" s="319" t="s">
        <v>190</v>
      </c>
      <c r="EX527" s="319" t="s">
        <v>190</v>
      </c>
      <c r="EY527" s="319" t="s">
        <v>190</v>
      </c>
      <c r="EZ527" s="319" t="s">
        <v>190</v>
      </c>
      <c r="FA527" s="319" t="s">
        <v>190</v>
      </c>
      <c r="FB527" s="319" t="s">
        <v>190</v>
      </c>
      <c r="FC527" s="319" t="s">
        <v>190</v>
      </c>
      <c r="FD527" s="319" t="s">
        <v>190</v>
      </c>
      <c r="FE527" s="319" t="s">
        <v>190</v>
      </c>
      <c r="FF527" s="319" t="s">
        <v>190</v>
      </c>
      <c r="FG527" s="319" t="s">
        <v>190</v>
      </c>
      <c r="FH527" s="319" t="s">
        <v>190</v>
      </c>
      <c r="FI527" s="319" t="s">
        <v>190</v>
      </c>
      <c r="FJ527" s="319" t="s">
        <v>190</v>
      </c>
      <c r="FK527" s="319" t="s">
        <v>190</v>
      </c>
      <c r="FL527" s="319" t="s">
        <v>190</v>
      </c>
      <c r="FM527" s="319" t="s">
        <v>190</v>
      </c>
      <c r="FN527" s="319" t="s">
        <v>190</v>
      </c>
      <c r="FO527" s="319" t="s">
        <v>190</v>
      </c>
      <c r="FP527" s="319" t="s">
        <v>190</v>
      </c>
      <c r="FQ527" s="319" t="s">
        <v>190</v>
      </c>
      <c r="FR527" s="319" t="s">
        <v>190</v>
      </c>
      <c r="FS527" s="319" t="s">
        <v>190</v>
      </c>
      <c r="FT527" s="319" t="s">
        <v>190</v>
      </c>
      <c r="FU527" s="319" t="s">
        <v>190</v>
      </c>
      <c r="FV527" s="319" t="s">
        <v>190</v>
      </c>
      <c r="FW527" s="319" t="s">
        <v>190</v>
      </c>
      <c r="FX527" s="319" t="s">
        <v>190</v>
      </c>
      <c r="FY527" s="319" t="s">
        <v>190</v>
      </c>
      <c r="FZ527" s="319" t="s">
        <v>190</v>
      </c>
      <c r="GA527" s="319" t="s">
        <v>190</v>
      </c>
      <c r="GB527" s="319" t="s">
        <v>190</v>
      </c>
      <c r="GC527" s="319" t="s">
        <v>190</v>
      </c>
      <c r="GD527" s="319" t="s">
        <v>190</v>
      </c>
      <c r="GE527" s="319" t="s">
        <v>190</v>
      </c>
      <c r="GF527" s="319" t="s">
        <v>190</v>
      </c>
      <c r="GG527" s="319" t="s">
        <v>190</v>
      </c>
      <c r="GH527" s="319" t="s">
        <v>190</v>
      </c>
      <c r="GI527" s="319" t="s">
        <v>190</v>
      </c>
      <c r="GJ527" s="319" t="s">
        <v>190</v>
      </c>
      <c r="GK527" s="319" t="s">
        <v>428</v>
      </c>
      <c r="GL527" s="319" t="s">
        <v>190</v>
      </c>
      <c r="GM527" s="319" t="s">
        <v>190</v>
      </c>
      <c r="GN527" s="319" t="s">
        <v>190</v>
      </c>
      <c r="GO527" s="319" t="s">
        <v>190</v>
      </c>
      <c r="GP527" s="319" t="s">
        <v>190</v>
      </c>
      <c r="GQ527" s="319" t="s">
        <v>428</v>
      </c>
      <c r="GR527" s="319" t="s">
        <v>190</v>
      </c>
      <c r="GS527" s="319" t="s">
        <v>190</v>
      </c>
      <c r="GT527" s="319" t="s">
        <v>190</v>
      </c>
      <c r="GU527" s="319" t="s">
        <v>190</v>
      </c>
      <c r="GV527" s="319" t="s">
        <v>190</v>
      </c>
      <c r="GW527" s="319" t="s">
        <v>190</v>
      </c>
      <c r="GX527" s="319" t="s">
        <v>190</v>
      </c>
      <c r="GY527" s="319" t="s">
        <v>173</v>
      </c>
      <c r="GZ527" s="319" t="s">
        <v>428</v>
      </c>
      <c r="HA527" s="319" t="s">
        <v>190</v>
      </c>
      <c r="HB527" s="319" t="s">
        <v>190</v>
      </c>
      <c r="HC527" s="319" t="s">
        <v>190</v>
      </c>
      <c r="HD527" s="319" t="s">
        <v>190</v>
      </c>
      <c r="HE527" s="319" t="s">
        <v>190</v>
      </c>
      <c r="HF527" s="319" t="s">
        <v>190</v>
      </c>
      <c r="HG527" s="319" t="s">
        <v>190</v>
      </c>
      <c r="HH527" s="319" t="s">
        <v>190</v>
      </c>
      <c r="HI527" s="319" t="s">
        <v>190</v>
      </c>
      <c r="HJ527" s="319" t="s">
        <v>190</v>
      </c>
      <c r="HK527" s="319" t="s">
        <v>190</v>
      </c>
      <c r="HL527" s="319" t="s">
        <v>190</v>
      </c>
      <c r="HM527" s="319" t="s">
        <v>428</v>
      </c>
      <c r="HN527" s="319" t="s">
        <v>428</v>
      </c>
      <c r="HO527" s="319" t="s">
        <v>428</v>
      </c>
      <c r="HP527" s="319" t="s">
        <v>190</v>
      </c>
      <c r="HQ527" s="319" t="s">
        <v>190</v>
      </c>
      <c r="HR527" s="319" t="s">
        <v>190</v>
      </c>
      <c r="HS527" s="319" t="s">
        <v>190</v>
      </c>
      <c r="HT527" s="319" t="s">
        <v>190</v>
      </c>
      <c r="HU527" s="319" t="s">
        <v>190</v>
      </c>
      <c r="HV527" s="319" t="s">
        <v>190</v>
      </c>
      <c r="HW527" s="319" t="s">
        <v>190</v>
      </c>
      <c r="HX527" s="319" t="s">
        <v>190</v>
      </c>
      <c r="HY527" s="319" t="s">
        <v>190</v>
      </c>
      <c r="HZ527" s="319" t="s">
        <v>190</v>
      </c>
      <c r="IA527" s="319" t="s">
        <v>190</v>
      </c>
      <c r="IB527" s="319" t="s">
        <v>190</v>
      </c>
      <c r="IC527" s="319" t="s">
        <v>190</v>
      </c>
      <c r="ID527" s="319" t="s">
        <v>190</v>
      </c>
      <c r="IE527" s="319" t="s">
        <v>190</v>
      </c>
      <c r="IF527" s="319" t="s">
        <v>190</v>
      </c>
      <c r="IG527" s="319" t="s">
        <v>190</v>
      </c>
      <c r="IH527" s="319" t="s">
        <v>190</v>
      </c>
      <c r="II527" s="319" t="s">
        <v>190</v>
      </c>
      <c r="IJ527" s="319">
        <v>10021176</v>
      </c>
      <c r="IK527" s="321">
        <v>42626</v>
      </c>
      <c r="IL527" s="321">
        <v>42628</v>
      </c>
      <c r="IM527" s="321">
        <v>42654</v>
      </c>
      <c r="IN527" s="319">
        <v>2</v>
      </c>
      <c r="IO527" s="319" t="s">
        <v>173</v>
      </c>
      <c r="IP527" s="319" t="s">
        <v>173</v>
      </c>
      <c r="IQ527" s="319" t="s">
        <v>173</v>
      </c>
      <c r="IR527" s="320" t="s">
        <v>173</v>
      </c>
      <c r="IS527" s="320" t="s">
        <v>173</v>
      </c>
      <c r="IT527" s="319" t="s">
        <v>173</v>
      </c>
    </row>
    <row r="528" spans="1:254" s="271" customFormat="1" x14ac:dyDescent="0.25">
      <c r="A528" s="318" t="str">
        <f>HYPERLINK("http://www.ofsted.gov.uk/inspection-reports/find-inspection-report/provider/ELS/135445 ","Ofsted School Webpage")</f>
        <v>Ofsted School Webpage</v>
      </c>
      <c r="B528" s="319">
        <v>135445</v>
      </c>
      <c r="C528" s="319">
        <v>8936106</v>
      </c>
      <c r="D528" s="319" t="s">
        <v>3296</v>
      </c>
      <c r="E528" s="319" t="s">
        <v>168</v>
      </c>
      <c r="F528" s="319" t="s">
        <v>81</v>
      </c>
      <c r="G528" s="319" t="s">
        <v>81</v>
      </c>
      <c r="H528" s="319" t="s">
        <v>81</v>
      </c>
      <c r="I528" s="319" t="s">
        <v>78</v>
      </c>
      <c r="J528" s="319" t="s">
        <v>424</v>
      </c>
      <c r="K528" s="319" t="s">
        <v>437</v>
      </c>
      <c r="L528" s="319" t="s">
        <v>437</v>
      </c>
      <c r="M528" s="319" t="s">
        <v>587</v>
      </c>
      <c r="N528" s="319" t="s">
        <v>3297</v>
      </c>
      <c r="O528" s="319" t="s">
        <v>1940</v>
      </c>
      <c r="P528" s="319">
        <v>27</v>
      </c>
      <c r="Q528" s="319" t="s">
        <v>2776</v>
      </c>
      <c r="R528" s="320">
        <v>10047133</v>
      </c>
      <c r="S528" s="321">
        <v>43277</v>
      </c>
      <c r="T528" s="321">
        <v>43279</v>
      </c>
      <c r="U528" s="321">
        <v>43298</v>
      </c>
      <c r="V528" s="319" t="s">
        <v>425</v>
      </c>
      <c r="W528" s="319" t="s">
        <v>2767</v>
      </c>
      <c r="X528" s="319">
        <v>2</v>
      </c>
      <c r="Y528" s="319" t="s">
        <v>173</v>
      </c>
      <c r="Z528" s="319" t="s">
        <v>173</v>
      </c>
      <c r="AA528" s="319" t="s">
        <v>173</v>
      </c>
      <c r="AB528" s="319">
        <v>2</v>
      </c>
      <c r="AC528" s="319" t="s">
        <v>169</v>
      </c>
      <c r="AD528" s="319" t="s">
        <v>173</v>
      </c>
      <c r="AE528" s="319">
        <v>2</v>
      </c>
      <c r="AF528" s="319" t="s">
        <v>427</v>
      </c>
      <c r="AG528" s="319" t="s">
        <v>171</v>
      </c>
      <c r="AH528" s="319" t="s">
        <v>190</v>
      </c>
      <c r="AI528" s="319" t="s">
        <v>190</v>
      </c>
      <c r="AJ528" s="319" t="s">
        <v>190</v>
      </c>
      <c r="AK528" s="319" t="s">
        <v>190</v>
      </c>
      <c r="AL528" s="319" t="s">
        <v>190</v>
      </c>
      <c r="AM528" s="319" t="s">
        <v>190</v>
      </c>
      <c r="AN528" s="319" t="s">
        <v>190</v>
      </c>
      <c r="AO528" s="319" t="s">
        <v>190</v>
      </c>
      <c r="AP528" s="319" t="s">
        <v>190</v>
      </c>
      <c r="AQ528" s="319" t="s">
        <v>190</v>
      </c>
      <c r="AR528" s="319" t="s">
        <v>190</v>
      </c>
      <c r="AS528" s="319" t="s">
        <v>190</v>
      </c>
      <c r="AT528" s="319" t="s">
        <v>190</v>
      </c>
      <c r="AU528" s="319" t="s">
        <v>190</v>
      </c>
      <c r="AV528" s="319" t="s">
        <v>190</v>
      </c>
      <c r="AW528" s="319" t="s">
        <v>190</v>
      </c>
      <c r="AX528" s="319" t="s">
        <v>190</v>
      </c>
      <c r="AY528" s="319" t="s">
        <v>190</v>
      </c>
      <c r="AZ528" s="319" t="s">
        <v>190</v>
      </c>
      <c r="BA528" s="319" t="s">
        <v>190</v>
      </c>
      <c r="BB528" s="319" t="s">
        <v>190</v>
      </c>
      <c r="BC528" s="319" t="s">
        <v>190</v>
      </c>
      <c r="BD528" s="319" t="s">
        <v>190</v>
      </c>
      <c r="BE528" s="319" t="s">
        <v>190</v>
      </c>
      <c r="BF528" s="319" t="s">
        <v>428</v>
      </c>
      <c r="BG528" s="319" t="s">
        <v>190</v>
      </c>
      <c r="BH528" s="319" t="s">
        <v>190</v>
      </c>
      <c r="BI528" s="319" t="s">
        <v>190</v>
      </c>
      <c r="BJ528" s="319" t="s">
        <v>190</v>
      </c>
      <c r="BK528" s="319" t="s">
        <v>190</v>
      </c>
      <c r="BL528" s="319" t="s">
        <v>190</v>
      </c>
      <c r="BM528" s="319" t="s">
        <v>190</v>
      </c>
      <c r="BN528" s="319" t="s">
        <v>190</v>
      </c>
      <c r="BO528" s="319" t="s">
        <v>190</v>
      </c>
      <c r="BP528" s="319" t="s">
        <v>190</v>
      </c>
      <c r="BQ528" s="319" t="s">
        <v>190</v>
      </c>
      <c r="BR528" s="319" t="s">
        <v>190</v>
      </c>
      <c r="BS528" s="319" t="s">
        <v>190</v>
      </c>
      <c r="BT528" s="319" t="s">
        <v>190</v>
      </c>
      <c r="BU528" s="319" t="s">
        <v>190</v>
      </c>
      <c r="BV528" s="319" t="s">
        <v>190</v>
      </c>
      <c r="BW528" s="319" t="s">
        <v>190</v>
      </c>
      <c r="BX528" s="319" t="s">
        <v>190</v>
      </c>
      <c r="BY528" s="319" t="s">
        <v>190</v>
      </c>
      <c r="BZ528" s="319" t="s">
        <v>190</v>
      </c>
      <c r="CA528" s="319" t="s">
        <v>190</v>
      </c>
      <c r="CB528" s="319" t="s">
        <v>190</v>
      </c>
      <c r="CC528" s="319" t="s">
        <v>190</v>
      </c>
      <c r="CD528" s="319" t="s">
        <v>190</v>
      </c>
      <c r="CE528" s="319" t="s">
        <v>190</v>
      </c>
      <c r="CF528" s="319" t="s">
        <v>190</v>
      </c>
      <c r="CG528" s="319" t="s">
        <v>190</v>
      </c>
      <c r="CH528" s="319" t="s">
        <v>190</v>
      </c>
      <c r="CI528" s="319" t="s">
        <v>190</v>
      </c>
      <c r="CJ528" s="319" t="s">
        <v>190</v>
      </c>
      <c r="CK528" s="319" t="s">
        <v>190</v>
      </c>
      <c r="CL528" s="319" t="s">
        <v>190</v>
      </c>
      <c r="CM528" s="319" t="s">
        <v>190</v>
      </c>
      <c r="CN528" s="319" t="s">
        <v>428</v>
      </c>
      <c r="CO528" s="319" t="s">
        <v>428</v>
      </c>
      <c r="CP528" s="319" t="s">
        <v>428</v>
      </c>
      <c r="CQ528" s="319" t="s">
        <v>190</v>
      </c>
      <c r="CR528" s="319" t="s">
        <v>190</v>
      </c>
      <c r="CS528" s="319" t="s">
        <v>190</v>
      </c>
      <c r="CT528" s="319" t="s">
        <v>190</v>
      </c>
      <c r="CU528" s="319" t="s">
        <v>190</v>
      </c>
      <c r="CV528" s="319" t="s">
        <v>190</v>
      </c>
      <c r="CW528" s="319" t="s">
        <v>190</v>
      </c>
      <c r="CX528" s="319" t="s">
        <v>190</v>
      </c>
      <c r="CY528" s="319" t="s">
        <v>190</v>
      </c>
      <c r="CZ528" s="319" t="s">
        <v>190</v>
      </c>
      <c r="DA528" s="319" t="s">
        <v>190</v>
      </c>
      <c r="DB528" s="319" t="s">
        <v>190</v>
      </c>
      <c r="DC528" s="319" t="s">
        <v>190</v>
      </c>
      <c r="DD528" s="319" t="s">
        <v>190</v>
      </c>
      <c r="DE528" s="319" t="s">
        <v>190</v>
      </c>
      <c r="DF528" s="319" t="s">
        <v>190</v>
      </c>
      <c r="DG528" s="319" t="s">
        <v>190</v>
      </c>
      <c r="DH528" s="319" t="s">
        <v>190</v>
      </c>
      <c r="DI528" s="319" t="s">
        <v>190</v>
      </c>
      <c r="DJ528" s="319" t="s">
        <v>190</v>
      </c>
      <c r="DK528" s="319" t="s">
        <v>190</v>
      </c>
      <c r="DL528" s="319" t="s">
        <v>190</v>
      </c>
      <c r="DM528" s="319" t="s">
        <v>428</v>
      </c>
      <c r="DN528" s="319" t="s">
        <v>428</v>
      </c>
      <c r="DO528" s="319" t="s">
        <v>190</v>
      </c>
      <c r="DP528" s="319" t="s">
        <v>190</v>
      </c>
      <c r="DQ528" s="319" t="s">
        <v>190</v>
      </c>
      <c r="DR528" s="319" t="s">
        <v>190</v>
      </c>
      <c r="DS528" s="319" t="s">
        <v>190</v>
      </c>
      <c r="DT528" s="319" t="s">
        <v>190</v>
      </c>
      <c r="DU528" s="319" t="s">
        <v>190</v>
      </c>
      <c r="DV528" s="319" t="s">
        <v>173</v>
      </c>
      <c r="DW528" s="319" t="s">
        <v>190</v>
      </c>
      <c r="DX528" s="319" t="s">
        <v>190</v>
      </c>
      <c r="DY528" s="319" t="s">
        <v>190</v>
      </c>
      <c r="DZ528" s="319" t="s">
        <v>190</v>
      </c>
      <c r="EA528" s="319" t="s">
        <v>190</v>
      </c>
      <c r="EB528" s="319" t="s">
        <v>190</v>
      </c>
      <c r="EC528" s="319" t="s">
        <v>190</v>
      </c>
      <c r="ED528" s="319" t="s">
        <v>190</v>
      </c>
      <c r="EE528" s="319" t="s">
        <v>190</v>
      </c>
      <c r="EF528" s="319" t="s">
        <v>190</v>
      </c>
      <c r="EG528" s="319" t="s">
        <v>190</v>
      </c>
      <c r="EH528" s="319" t="s">
        <v>190</v>
      </c>
      <c r="EI528" s="319" t="s">
        <v>190</v>
      </c>
      <c r="EJ528" s="319" t="s">
        <v>190</v>
      </c>
      <c r="EK528" s="319" t="s">
        <v>190</v>
      </c>
      <c r="EL528" s="319" t="s">
        <v>190</v>
      </c>
      <c r="EM528" s="319" t="s">
        <v>428</v>
      </c>
      <c r="EN528" s="319" t="s">
        <v>190</v>
      </c>
      <c r="EO528" s="319" t="s">
        <v>190</v>
      </c>
      <c r="EP528" s="319" t="s">
        <v>190</v>
      </c>
      <c r="EQ528" s="319" t="s">
        <v>190</v>
      </c>
      <c r="ER528" s="319" t="s">
        <v>190</v>
      </c>
      <c r="ES528" s="319" t="s">
        <v>190</v>
      </c>
      <c r="ET528" s="319" t="s">
        <v>190</v>
      </c>
      <c r="EU528" s="319" t="s">
        <v>190</v>
      </c>
      <c r="EV528" s="319" t="s">
        <v>190</v>
      </c>
      <c r="EW528" s="319" t="s">
        <v>190</v>
      </c>
      <c r="EX528" s="319" t="s">
        <v>190</v>
      </c>
      <c r="EY528" s="319" t="s">
        <v>190</v>
      </c>
      <c r="EZ528" s="319" t="s">
        <v>190</v>
      </c>
      <c r="FA528" s="319" t="s">
        <v>428</v>
      </c>
      <c r="FB528" s="319" t="s">
        <v>190</v>
      </c>
      <c r="FC528" s="319" t="s">
        <v>190</v>
      </c>
      <c r="FD528" s="319" t="s">
        <v>190</v>
      </c>
      <c r="FE528" s="319" t="s">
        <v>190</v>
      </c>
      <c r="FF528" s="319" t="s">
        <v>190</v>
      </c>
      <c r="FG528" s="319" t="s">
        <v>190</v>
      </c>
      <c r="FH528" s="319" t="s">
        <v>190</v>
      </c>
      <c r="FI528" s="319" t="s">
        <v>428</v>
      </c>
      <c r="FJ528" s="319" t="s">
        <v>429</v>
      </c>
      <c r="FK528" s="319" t="s">
        <v>428</v>
      </c>
      <c r="FL528" s="319" t="s">
        <v>190</v>
      </c>
      <c r="FM528" s="319" t="s">
        <v>190</v>
      </c>
      <c r="FN528" s="319" t="s">
        <v>190</v>
      </c>
      <c r="FO528" s="319" t="s">
        <v>190</v>
      </c>
      <c r="FP528" s="319" t="s">
        <v>190</v>
      </c>
      <c r="FQ528" s="319" t="s">
        <v>190</v>
      </c>
      <c r="FR528" s="319" t="s">
        <v>190</v>
      </c>
      <c r="FS528" s="319" t="s">
        <v>190</v>
      </c>
      <c r="FT528" s="319" t="s">
        <v>190</v>
      </c>
      <c r="FU528" s="319" t="s">
        <v>190</v>
      </c>
      <c r="FV528" s="319" t="s">
        <v>190</v>
      </c>
      <c r="FW528" s="319" t="s">
        <v>190</v>
      </c>
      <c r="FX528" s="319" t="s">
        <v>190</v>
      </c>
      <c r="FY528" s="319" t="s">
        <v>190</v>
      </c>
      <c r="FZ528" s="319" t="s">
        <v>190</v>
      </c>
      <c r="GA528" s="319" t="s">
        <v>190</v>
      </c>
      <c r="GB528" s="319" t="s">
        <v>190</v>
      </c>
      <c r="GC528" s="319" t="s">
        <v>190</v>
      </c>
      <c r="GD528" s="319" t="s">
        <v>190</v>
      </c>
      <c r="GE528" s="319" t="s">
        <v>190</v>
      </c>
      <c r="GF528" s="319" t="s">
        <v>190</v>
      </c>
      <c r="GG528" s="319" t="s">
        <v>190</v>
      </c>
      <c r="GH528" s="319" t="s">
        <v>190</v>
      </c>
      <c r="GI528" s="319" t="s">
        <v>190</v>
      </c>
      <c r="GJ528" s="319" t="s">
        <v>190</v>
      </c>
      <c r="GK528" s="319" t="s">
        <v>428</v>
      </c>
      <c r="GL528" s="319" t="s">
        <v>190</v>
      </c>
      <c r="GM528" s="319" t="s">
        <v>190</v>
      </c>
      <c r="GN528" s="319" t="s">
        <v>190</v>
      </c>
      <c r="GO528" s="319" t="s">
        <v>190</v>
      </c>
      <c r="GP528" s="319" t="s">
        <v>190</v>
      </c>
      <c r="GQ528" s="319" t="s">
        <v>428</v>
      </c>
      <c r="GR528" s="319" t="s">
        <v>190</v>
      </c>
      <c r="GS528" s="319" t="s">
        <v>190</v>
      </c>
      <c r="GT528" s="319" t="s">
        <v>190</v>
      </c>
      <c r="GU528" s="319" t="s">
        <v>190</v>
      </c>
      <c r="GV528" s="319" t="s">
        <v>190</v>
      </c>
      <c r="GW528" s="319" t="s">
        <v>190</v>
      </c>
      <c r="GX528" s="319" t="s">
        <v>190</v>
      </c>
      <c r="GY528" s="319" t="s">
        <v>190</v>
      </c>
      <c r="GZ528" s="319" t="s">
        <v>190</v>
      </c>
      <c r="HA528" s="319" t="s">
        <v>190</v>
      </c>
      <c r="HB528" s="319" t="s">
        <v>190</v>
      </c>
      <c r="HC528" s="319" t="s">
        <v>190</v>
      </c>
      <c r="HD528" s="319" t="s">
        <v>190</v>
      </c>
      <c r="HE528" s="319" t="s">
        <v>190</v>
      </c>
      <c r="HF528" s="319" t="s">
        <v>190</v>
      </c>
      <c r="HG528" s="319" t="s">
        <v>190</v>
      </c>
      <c r="HH528" s="319" t="s">
        <v>190</v>
      </c>
      <c r="HI528" s="319" t="s">
        <v>190</v>
      </c>
      <c r="HJ528" s="319" t="s">
        <v>190</v>
      </c>
      <c r="HK528" s="319" t="s">
        <v>190</v>
      </c>
      <c r="HL528" s="319" t="s">
        <v>428</v>
      </c>
      <c r="HM528" s="319" t="s">
        <v>428</v>
      </c>
      <c r="HN528" s="319" t="s">
        <v>428</v>
      </c>
      <c r="HO528" s="319" t="s">
        <v>428</v>
      </c>
      <c r="HP528" s="319" t="s">
        <v>190</v>
      </c>
      <c r="HQ528" s="319" t="s">
        <v>190</v>
      </c>
      <c r="HR528" s="319" t="s">
        <v>190</v>
      </c>
      <c r="HS528" s="319" t="s">
        <v>190</v>
      </c>
      <c r="HT528" s="319" t="s">
        <v>190</v>
      </c>
      <c r="HU528" s="319" t="s">
        <v>190</v>
      </c>
      <c r="HV528" s="319" t="s">
        <v>190</v>
      </c>
      <c r="HW528" s="319" t="s">
        <v>190</v>
      </c>
      <c r="HX528" s="319" t="s">
        <v>190</v>
      </c>
      <c r="HY528" s="319" t="s">
        <v>190</v>
      </c>
      <c r="HZ528" s="319" t="s">
        <v>190</v>
      </c>
      <c r="IA528" s="319" t="s">
        <v>190</v>
      </c>
      <c r="IB528" s="319" t="s">
        <v>190</v>
      </c>
      <c r="IC528" s="319" t="s">
        <v>190</v>
      </c>
      <c r="ID528" s="319" t="s">
        <v>190</v>
      </c>
      <c r="IE528" s="319" t="s">
        <v>190</v>
      </c>
      <c r="IF528" s="319" t="s">
        <v>190</v>
      </c>
      <c r="IG528" s="319" t="s">
        <v>190</v>
      </c>
      <c r="IH528" s="319" t="s">
        <v>190</v>
      </c>
      <c r="II528" s="319" t="s">
        <v>190</v>
      </c>
      <c r="IJ528" s="319" t="s">
        <v>3298</v>
      </c>
      <c r="IK528" s="321">
        <v>42179</v>
      </c>
      <c r="IL528" s="321">
        <v>42181</v>
      </c>
      <c r="IM528" s="321">
        <v>42249</v>
      </c>
      <c r="IN528" s="319">
        <v>2</v>
      </c>
      <c r="IO528" s="319" t="s">
        <v>173</v>
      </c>
      <c r="IP528" s="319" t="s">
        <v>173</v>
      </c>
      <c r="IQ528" s="321" t="s">
        <v>173</v>
      </c>
      <c r="IR528" s="320" t="s">
        <v>173</v>
      </c>
      <c r="IS528" s="322" t="s">
        <v>173</v>
      </c>
      <c r="IT528" s="319" t="s">
        <v>173</v>
      </c>
    </row>
    <row r="529" spans="1:254" s="271" customFormat="1" x14ac:dyDescent="0.25">
      <c r="A529" s="318" t="str">
        <f>HYPERLINK("http://www.ofsted.gov.uk/inspection-reports/find-inspection-report/provider/ELS/135453 ","Ofsted School Webpage")</f>
        <v>Ofsted School Webpage</v>
      </c>
      <c r="B529" s="319">
        <v>135453</v>
      </c>
      <c r="C529" s="319">
        <v>3346010</v>
      </c>
      <c r="D529" s="319" t="s">
        <v>1941</v>
      </c>
      <c r="E529" s="319" t="s">
        <v>168</v>
      </c>
      <c r="F529" s="319" t="s">
        <v>81</v>
      </c>
      <c r="G529" s="319" t="s">
        <v>81</v>
      </c>
      <c r="H529" s="319" t="s">
        <v>81</v>
      </c>
      <c r="I529" s="319" t="s">
        <v>78</v>
      </c>
      <c r="J529" s="319" t="s">
        <v>424</v>
      </c>
      <c r="K529" s="319" t="s">
        <v>437</v>
      </c>
      <c r="L529" s="319" t="s">
        <v>437</v>
      </c>
      <c r="M529" s="319" t="s">
        <v>1333</v>
      </c>
      <c r="N529" s="319" t="s">
        <v>3299</v>
      </c>
      <c r="O529" s="319" t="s">
        <v>1942</v>
      </c>
      <c r="P529" s="319">
        <v>20</v>
      </c>
      <c r="Q529" s="319" t="s">
        <v>2776</v>
      </c>
      <c r="R529" s="320">
        <v>10026106</v>
      </c>
      <c r="S529" s="321">
        <v>43242</v>
      </c>
      <c r="T529" s="321">
        <v>43244</v>
      </c>
      <c r="U529" s="321">
        <v>43304</v>
      </c>
      <c r="V529" s="319" t="s">
        <v>425</v>
      </c>
      <c r="W529" s="319" t="s">
        <v>2767</v>
      </c>
      <c r="X529" s="319">
        <v>4</v>
      </c>
      <c r="Y529" s="319" t="s">
        <v>173</v>
      </c>
      <c r="Z529" s="319" t="s">
        <v>173</v>
      </c>
      <c r="AA529" s="319" t="s">
        <v>173</v>
      </c>
      <c r="AB529" s="319">
        <v>4</v>
      </c>
      <c r="AC529" s="319" t="s">
        <v>170</v>
      </c>
      <c r="AD529" s="319" t="s">
        <v>173</v>
      </c>
      <c r="AE529" s="319">
        <v>4</v>
      </c>
      <c r="AF529" s="319" t="s">
        <v>427</v>
      </c>
      <c r="AG529" s="319" t="s">
        <v>172</v>
      </c>
      <c r="AH529" s="319" t="s">
        <v>190</v>
      </c>
      <c r="AI529" s="319" t="s">
        <v>190</v>
      </c>
      <c r="AJ529" s="319" t="s">
        <v>479</v>
      </c>
      <c r="AK529" s="319" t="s">
        <v>190</v>
      </c>
      <c r="AL529" s="319" t="s">
        <v>479</v>
      </c>
      <c r="AM529" s="319" t="s">
        <v>190</v>
      </c>
      <c r="AN529" s="319" t="s">
        <v>190</v>
      </c>
      <c r="AO529" s="319" t="s">
        <v>479</v>
      </c>
      <c r="AP529" s="319" t="s">
        <v>190</v>
      </c>
      <c r="AQ529" s="319" t="s">
        <v>190</v>
      </c>
      <c r="AR529" s="319" t="s">
        <v>190</v>
      </c>
      <c r="AS529" s="319" t="s">
        <v>190</v>
      </c>
      <c r="AT529" s="319" t="s">
        <v>190</v>
      </c>
      <c r="AU529" s="319" t="s">
        <v>190</v>
      </c>
      <c r="AV529" s="319" t="s">
        <v>190</v>
      </c>
      <c r="AW529" s="319" t="s">
        <v>190</v>
      </c>
      <c r="AX529" s="319" t="s">
        <v>428</v>
      </c>
      <c r="AY529" s="319" t="s">
        <v>190</v>
      </c>
      <c r="AZ529" s="319" t="s">
        <v>190</v>
      </c>
      <c r="BA529" s="319" t="s">
        <v>190</v>
      </c>
      <c r="BB529" s="319" t="s">
        <v>190</v>
      </c>
      <c r="BC529" s="319" t="s">
        <v>190</v>
      </c>
      <c r="BD529" s="319" t="s">
        <v>190</v>
      </c>
      <c r="BE529" s="319" t="s">
        <v>190</v>
      </c>
      <c r="BF529" s="319" t="s">
        <v>428</v>
      </c>
      <c r="BG529" s="319" t="s">
        <v>190</v>
      </c>
      <c r="BH529" s="319" t="s">
        <v>190</v>
      </c>
      <c r="BI529" s="319" t="s">
        <v>190</v>
      </c>
      <c r="BJ529" s="319" t="s">
        <v>190</v>
      </c>
      <c r="BK529" s="319" t="s">
        <v>190</v>
      </c>
      <c r="BL529" s="319" t="s">
        <v>190</v>
      </c>
      <c r="BM529" s="319" t="s">
        <v>190</v>
      </c>
      <c r="BN529" s="319" t="s">
        <v>190</v>
      </c>
      <c r="BO529" s="319" t="s">
        <v>190</v>
      </c>
      <c r="BP529" s="319" t="s">
        <v>190</v>
      </c>
      <c r="BQ529" s="319" t="s">
        <v>190</v>
      </c>
      <c r="BR529" s="319" t="s">
        <v>190</v>
      </c>
      <c r="BS529" s="319" t="s">
        <v>190</v>
      </c>
      <c r="BT529" s="319" t="s">
        <v>190</v>
      </c>
      <c r="BU529" s="319" t="s">
        <v>190</v>
      </c>
      <c r="BV529" s="319" t="s">
        <v>190</v>
      </c>
      <c r="BW529" s="319" t="s">
        <v>190</v>
      </c>
      <c r="BX529" s="319" t="s">
        <v>190</v>
      </c>
      <c r="BY529" s="319" t="s">
        <v>190</v>
      </c>
      <c r="BZ529" s="319" t="s">
        <v>190</v>
      </c>
      <c r="CA529" s="319" t="s">
        <v>190</v>
      </c>
      <c r="CB529" s="319" t="s">
        <v>190</v>
      </c>
      <c r="CC529" s="319" t="s">
        <v>190</v>
      </c>
      <c r="CD529" s="319" t="s">
        <v>190</v>
      </c>
      <c r="CE529" s="319" t="s">
        <v>190</v>
      </c>
      <c r="CF529" s="319" t="s">
        <v>190</v>
      </c>
      <c r="CG529" s="319" t="s">
        <v>190</v>
      </c>
      <c r="CH529" s="319" t="s">
        <v>190</v>
      </c>
      <c r="CI529" s="319" t="s">
        <v>190</v>
      </c>
      <c r="CJ529" s="319" t="s">
        <v>190</v>
      </c>
      <c r="CK529" s="319" t="s">
        <v>191</v>
      </c>
      <c r="CL529" s="319" t="s">
        <v>191</v>
      </c>
      <c r="CM529" s="319" t="s">
        <v>191</v>
      </c>
      <c r="CN529" s="319" t="s">
        <v>428</v>
      </c>
      <c r="CO529" s="319" t="s">
        <v>428</v>
      </c>
      <c r="CP529" s="319" t="s">
        <v>428</v>
      </c>
      <c r="CQ529" s="319" t="s">
        <v>190</v>
      </c>
      <c r="CR529" s="319" t="s">
        <v>190</v>
      </c>
      <c r="CS529" s="319" t="s">
        <v>190</v>
      </c>
      <c r="CT529" s="319" t="s">
        <v>190</v>
      </c>
      <c r="CU529" s="319" t="s">
        <v>190</v>
      </c>
      <c r="CV529" s="319" t="s">
        <v>191</v>
      </c>
      <c r="CW529" s="319" t="s">
        <v>191</v>
      </c>
      <c r="CX529" s="319" t="s">
        <v>190</v>
      </c>
      <c r="CY529" s="319" t="s">
        <v>190</v>
      </c>
      <c r="CZ529" s="319" t="s">
        <v>190</v>
      </c>
      <c r="DA529" s="319" t="s">
        <v>191</v>
      </c>
      <c r="DB529" s="319" t="s">
        <v>191</v>
      </c>
      <c r="DC529" s="319" t="s">
        <v>191</v>
      </c>
      <c r="DD529" s="319" t="s">
        <v>190</v>
      </c>
      <c r="DE529" s="319" t="s">
        <v>190</v>
      </c>
      <c r="DF529" s="319" t="s">
        <v>190</v>
      </c>
      <c r="DG529" s="319" t="s">
        <v>190</v>
      </c>
      <c r="DH529" s="319" t="s">
        <v>190</v>
      </c>
      <c r="DI529" s="319" t="s">
        <v>190</v>
      </c>
      <c r="DJ529" s="319" t="s">
        <v>190</v>
      </c>
      <c r="DK529" s="319" t="s">
        <v>190</v>
      </c>
      <c r="DL529" s="319" t="s">
        <v>190</v>
      </c>
      <c r="DM529" s="319" t="s">
        <v>190</v>
      </c>
      <c r="DN529" s="319" t="s">
        <v>428</v>
      </c>
      <c r="DO529" s="319" t="s">
        <v>190</v>
      </c>
      <c r="DP529" s="319" t="s">
        <v>428</v>
      </c>
      <c r="DQ529" s="319" t="s">
        <v>428</v>
      </c>
      <c r="DR529" s="319" t="s">
        <v>428</v>
      </c>
      <c r="DS529" s="319" t="s">
        <v>428</v>
      </c>
      <c r="DT529" s="319" t="s">
        <v>428</v>
      </c>
      <c r="DU529" s="319" t="s">
        <v>428</v>
      </c>
      <c r="DV529" s="319" t="s">
        <v>173</v>
      </c>
      <c r="DW529" s="319" t="s">
        <v>428</v>
      </c>
      <c r="DX529" s="319" t="s">
        <v>428</v>
      </c>
      <c r="DY529" s="319" t="s">
        <v>428</v>
      </c>
      <c r="DZ529" s="319" t="s">
        <v>428</v>
      </c>
      <c r="EA529" s="319" t="s">
        <v>428</v>
      </c>
      <c r="EB529" s="319" t="s">
        <v>428</v>
      </c>
      <c r="EC529" s="319" t="s">
        <v>428</v>
      </c>
      <c r="ED529" s="319" t="s">
        <v>428</v>
      </c>
      <c r="EE529" s="319" t="s">
        <v>190</v>
      </c>
      <c r="EF529" s="319" t="s">
        <v>190</v>
      </c>
      <c r="EG529" s="319" t="s">
        <v>190</v>
      </c>
      <c r="EH529" s="319" t="s">
        <v>190</v>
      </c>
      <c r="EI529" s="319" t="s">
        <v>190</v>
      </c>
      <c r="EJ529" s="319" t="s">
        <v>190</v>
      </c>
      <c r="EK529" s="319" t="s">
        <v>190</v>
      </c>
      <c r="EL529" s="319" t="s">
        <v>428</v>
      </c>
      <c r="EM529" s="319" t="s">
        <v>428</v>
      </c>
      <c r="EN529" s="319" t="s">
        <v>190</v>
      </c>
      <c r="EO529" s="319" t="s">
        <v>190</v>
      </c>
      <c r="EP529" s="319" t="s">
        <v>190</v>
      </c>
      <c r="EQ529" s="319" t="s">
        <v>190</v>
      </c>
      <c r="ER529" s="319" t="s">
        <v>190</v>
      </c>
      <c r="ES529" s="319" t="s">
        <v>190</v>
      </c>
      <c r="ET529" s="319" t="s">
        <v>190</v>
      </c>
      <c r="EU529" s="319" t="s">
        <v>190</v>
      </c>
      <c r="EV529" s="319" t="s">
        <v>190</v>
      </c>
      <c r="EW529" s="319" t="s">
        <v>190</v>
      </c>
      <c r="EX529" s="319" t="s">
        <v>190</v>
      </c>
      <c r="EY529" s="319" t="s">
        <v>190</v>
      </c>
      <c r="EZ529" s="319" t="s">
        <v>190</v>
      </c>
      <c r="FA529" s="319" t="s">
        <v>190</v>
      </c>
      <c r="FB529" s="319" t="s">
        <v>428</v>
      </c>
      <c r="FC529" s="319" t="s">
        <v>428</v>
      </c>
      <c r="FD529" s="319" t="s">
        <v>428</v>
      </c>
      <c r="FE529" s="319" t="s">
        <v>428</v>
      </c>
      <c r="FF529" s="319" t="s">
        <v>428</v>
      </c>
      <c r="FG529" s="319" t="s">
        <v>428</v>
      </c>
      <c r="FH529" s="319" t="s">
        <v>428</v>
      </c>
      <c r="FI529" s="319" t="s">
        <v>428</v>
      </c>
      <c r="FJ529" s="319" t="s">
        <v>429</v>
      </c>
      <c r="FK529" s="319" t="s">
        <v>428</v>
      </c>
      <c r="FL529" s="319" t="s">
        <v>190</v>
      </c>
      <c r="FM529" s="319" t="s">
        <v>190</v>
      </c>
      <c r="FN529" s="319" t="s">
        <v>190</v>
      </c>
      <c r="FO529" s="319" t="s">
        <v>190</v>
      </c>
      <c r="FP529" s="319" t="s">
        <v>191</v>
      </c>
      <c r="FQ529" s="319" t="s">
        <v>191</v>
      </c>
      <c r="FR529" s="319" t="s">
        <v>191</v>
      </c>
      <c r="FS529" s="319" t="s">
        <v>191</v>
      </c>
      <c r="FT529" s="319" t="s">
        <v>191</v>
      </c>
      <c r="FU529" s="319" t="s">
        <v>191</v>
      </c>
      <c r="FV529" s="319" t="s">
        <v>190</v>
      </c>
      <c r="FW529" s="319" t="s">
        <v>190</v>
      </c>
      <c r="FX529" s="319" t="s">
        <v>190</v>
      </c>
      <c r="FY529" s="319" t="s">
        <v>190</v>
      </c>
      <c r="FZ529" s="319" t="s">
        <v>191</v>
      </c>
      <c r="GA529" s="319" t="s">
        <v>190</v>
      </c>
      <c r="GB529" s="319" t="s">
        <v>191</v>
      </c>
      <c r="GC529" s="319" t="s">
        <v>190</v>
      </c>
      <c r="GD529" s="319" t="s">
        <v>190</v>
      </c>
      <c r="GE529" s="319" t="s">
        <v>190</v>
      </c>
      <c r="GF529" s="319" t="s">
        <v>190</v>
      </c>
      <c r="GG529" s="319" t="s">
        <v>190</v>
      </c>
      <c r="GH529" s="319" t="s">
        <v>190</v>
      </c>
      <c r="GI529" s="319" t="s">
        <v>190</v>
      </c>
      <c r="GJ529" s="319" t="s">
        <v>190</v>
      </c>
      <c r="GK529" s="319" t="s">
        <v>428</v>
      </c>
      <c r="GL529" s="319" t="s">
        <v>190</v>
      </c>
      <c r="GM529" s="319" t="s">
        <v>190</v>
      </c>
      <c r="GN529" s="319" t="s">
        <v>190</v>
      </c>
      <c r="GO529" s="319" t="s">
        <v>190</v>
      </c>
      <c r="GP529" s="319" t="s">
        <v>190</v>
      </c>
      <c r="GQ529" s="319" t="s">
        <v>428</v>
      </c>
      <c r="GR529" s="319" t="s">
        <v>190</v>
      </c>
      <c r="GS529" s="319" t="s">
        <v>190</v>
      </c>
      <c r="GT529" s="319" t="s">
        <v>190</v>
      </c>
      <c r="GU529" s="319" t="s">
        <v>190</v>
      </c>
      <c r="GV529" s="319" t="s">
        <v>190</v>
      </c>
      <c r="GW529" s="319" t="s">
        <v>190</v>
      </c>
      <c r="GX529" s="319" t="s">
        <v>190</v>
      </c>
      <c r="GY529" s="319" t="s">
        <v>190</v>
      </c>
      <c r="GZ529" s="319" t="s">
        <v>190</v>
      </c>
      <c r="HA529" s="319" t="s">
        <v>428</v>
      </c>
      <c r="HB529" s="319" t="s">
        <v>190</v>
      </c>
      <c r="HC529" s="319" t="s">
        <v>190</v>
      </c>
      <c r="HD529" s="319" t="s">
        <v>190</v>
      </c>
      <c r="HE529" s="319" t="s">
        <v>190</v>
      </c>
      <c r="HF529" s="319" t="s">
        <v>190</v>
      </c>
      <c r="HG529" s="319" t="s">
        <v>190</v>
      </c>
      <c r="HH529" s="319" t="s">
        <v>190</v>
      </c>
      <c r="HI529" s="319" t="s">
        <v>190</v>
      </c>
      <c r="HJ529" s="319" t="s">
        <v>190</v>
      </c>
      <c r="HK529" s="319" t="s">
        <v>190</v>
      </c>
      <c r="HL529" s="319" t="s">
        <v>190</v>
      </c>
      <c r="HM529" s="319" t="s">
        <v>428</v>
      </c>
      <c r="HN529" s="319" t="s">
        <v>428</v>
      </c>
      <c r="HO529" s="319" t="s">
        <v>428</v>
      </c>
      <c r="HP529" s="319" t="s">
        <v>190</v>
      </c>
      <c r="HQ529" s="319" t="s">
        <v>190</v>
      </c>
      <c r="HR529" s="319" t="s">
        <v>190</v>
      </c>
      <c r="HS529" s="319" t="s">
        <v>190</v>
      </c>
      <c r="HT529" s="319" t="s">
        <v>190</v>
      </c>
      <c r="HU529" s="319" t="s">
        <v>190</v>
      </c>
      <c r="HV529" s="319" t="s">
        <v>190</v>
      </c>
      <c r="HW529" s="319" t="s">
        <v>190</v>
      </c>
      <c r="HX529" s="319" t="s">
        <v>190</v>
      </c>
      <c r="HY529" s="319" t="s">
        <v>190</v>
      </c>
      <c r="HZ529" s="319" t="s">
        <v>190</v>
      </c>
      <c r="IA529" s="319" t="s">
        <v>190</v>
      </c>
      <c r="IB529" s="319" t="s">
        <v>190</v>
      </c>
      <c r="IC529" s="319" t="s">
        <v>190</v>
      </c>
      <c r="ID529" s="319" t="s">
        <v>190</v>
      </c>
      <c r="IE529" s="319" t="s">
        <v>190</v>
      </c>
      <c r="IF529" s="319" t="s">
        <v>191</v>
      </c>
      <c r="IG529" s="319" t="s">
        <v>191</v>
      </c>
      <c r="IH529" s="319" t="s">
        <v>191</v>
      </c>
      <c r="II529" s="319" t="s">
        <v>191</v>
      </c>
      <c r="IJ529" s="319" t="s">
        <v>3300</v>
      </c>
      <c r="IK529" s="321">
        <v>42024</v>
      </c>
      <c r="IL529" s="321">
        <v>42026</v>
      </c>
      <c r="IM529" s="321">
        <v>42048</v>
      </c>
      <c r="IN529" s="319">
        <v>2</v>
      </c>
      <c r="IO529" s="319">
        <v>10100616</v>
      </c>
      <c r="IP529" s="319" t="s">
        <v>985</v>
      </c>
      <c r="IQ529" s="321">
        <v>43648</v>
      </c>
      <c r="IR529" s="320" t="s">
        <v>1223</v>
      </c>
      <c r="IS529" s="322">
        <v>43681</v>
      </c>
      <c r="IT529" s="319" t="s">
        <v>165</v>
      </c>
    </row>
    <row r="530" spans="1:254" s="271" customFormat="1" x14ac:dyDescent="0.25">
      <c r="A530" s="318" t="str">
        <f>HYPERLINK("http://www.ofsted.gov.uk/inspection-reports/find-inspection-report/provider/ELS/135483 ","Ofsted School Webpage")</f>
        <v>Ofsted School Webpage</v>
      </c>
      <c r="B530" s="319">
        <v>135483</v>
      </c>
      <c r="C530" s="319">
        <v>3356013</v>
      </c>
      <c r="D530" s="319" t="s">
        <v>1943</v>
      </c>
      <c r="E530" s="319" t="s">
        <v>167</v>
      </c>
      <c r="F530" s="319" t="s">
        <v>81</v>
      </c>
      <c r="G530" s="319" t="s">
        <v>72</v>
      </c>
      <c r="H530" s="319" t="s">
        <v>72</v>
      </c>
      <c r="I530" s="319" t="s">
        <v>72</v>
      </c>
      <c r="J530" s="319" t="s">
        <v>424</v>
      </c>
      <c r="K530" s="319" t="s">
        <v>437</v>
      </c>
      <c r="L530" s="319" t="s">
        <v>437</v>
      </c>
      <c r="M530" s="319" t="s">
        <v>1580</v>
      </c>
      <c r="N530" s="319" t="s">
        <v>3301</v>
      </c>
      <c r="O530" s="319" t="s">
        <v>1944</v>
      </c>
      <c r="P530" s="319">
        <v>190</v>
      </c>
      <c r="Q530" s="319" t="s">
        <v>2766</v>
      </c>
      <c r="R530" s="320">
        <v>10038834</v>
      </c>
      <c r="S530" s="321">
        <v>43229</v>
      </c>
      <c r="T530" s="321">
        <v>43231</v>
      </c>
      <c r="U530" s="321">
        <v>43262</v>
      </c>
      <c r="V530" s="319" t="s">
        <v>425</v>
      </c>
      <c r="W530" s="319" t="s">
        <v>2767</v>
      </c>
      <c r="X530" s="319">
        <v>2</v>
      </c>
      <c r="Y530" s="319" t="s">
        <v>173</v>
      </c>
      <c r="Z530" s="319" t="s">
        <v>173</v>
      </c>
      <c r="AA530" s="319" t="s">
        <v>173</v>
      </c>
      <c r="AB530" s="319">
        <v>2</v>
      </c>
      <c r="AC530" s="319" t="s">
        <v>169</v>
      </c>
      <c r="AD530" s="319" t="s">
        <v>173</v>
      </c>
      <c r="AE530" s="319" t="s">
        <v>173</v>
      </c>
      <c r="AF530" s="319" t="s">
        <v>427</v>
      </c>
      <c r="AG530" s="319" t="s">
        <v>171</v>
      </c>
      <c r="AH530" s="319" t="s">
        <v>190</v>
      </c>
      <c r="AI530" s="319" t="s">
        <v>190</v>
      </c>
      <c r="AJ530" s="319" t="s">
        <v>190</v>
      </c>
      <c r="AK530" s="319" t="s">
        <v>190</v>
      </c>
      <c r="AL530" s="319" t="s">
        <v>190</v>
      </c>
      <c r="AM530" s="319" t="s">
        <v>190</v>
      </c>
      <c r="AN530" s="319" t="s">
        <v>190</v>
      </c>
      <c r="AO530" s="319" t="s">
        <v>190</v>
      </c>
      <c r="AP530" s="319" t="s">
        <v>190</v>
      </c>
      <c r="AQ530" s="319" t="s">
        <v>190</v>
      </c>
      <c r="AR530" s="319" t="s">
        <v>190</v>
      </c>
      <c r="AS530" s="319" t="s">
        <v>190</v>
      </c>
      <c r="AT530" s="319" t="s">
        <v>190</v>
      </c>
      <c r="AU530" s="319" t="s">
        <v>190</v>
      </c>
      <c r="AV530" s="319" t="s">
        <v>190</v>
      </c>
      <c r="AW530" s="319" t="s">
        <v>190</v>
      </c>
      <c r="AX530" s="319" t="s">
        <v>428</v>
      </c>
      <c r="AY530" s="319" t="s">
        <v>190</v>
      </c>
      <c r="AZ530" s="319" t="s">
        <v>190</v>
      </c>
      <c r="BA530" s="319" t="s">
        <v>190</v>
      </c>
      <c r="BB530" s="319" t="s">
        <v>190</v>
      </c>
      <c r="BC530" s="319" t="s">
        <v>190</v>
      </c>
      <c r="BD530" s="319" t="s">
        <v>190</v>
      </c>
      <c r="BE530" s="319" t="s">
        <v>190</v>
      </c>
      <c r="BF530" s="319" t="s">
        <v>428</v>
      </c>
      <c r="BG530" s="319" t="s">
        <v>428</v>
      </c>
      <c r="BH530" s="319" t="s">
        <v>190</v>
      </c>
      <c r="BI530" s="319" t="s">
        <v>190</v>
      </c>
      <c r="BJ530" s="319" t="s">
        <v>190</v>
      </c>
      <c r="BK530" s="319" t="s">
        <v>190</v>
      </c>
      <c r="BL530" s="319" t="s">
        <v>190</v>
      </c>
      <c r="BM530" s="319" t="s">
        <v>190</v>
      </c>
      <c r="BN530" s="319" t="s">
        <v>190</v>
      </c>
      <c r="BO530" s="319" t="s">
        <v>190</v>
      </c>
      <c r="BP530" s="319" t="s">
        <v>190</v>
      </c>
      <c r="BQ530" s="319" t="s">
        <v>190</v>
      </c>
      <c r="BR530" s="319" t="s">
        <v>190</v>
      </c>
      <c r="BS530" s="319" t="s">
        <v>190</v>
      </c>
      <c r="BT530" s="319" t="s">
        <v>190</v>
      </c>
      <c r="BU530" s="319" t="s">
        <v>190</v>
      </c>
      <c r="BV530" s="319" t="s">
        <v>190</v>
      </c>
      <c r="BW530" s="319" t="s">
        <v>190</v>
      </c>
      <c r="BX530" s="319" t="s">
        <v>190</v>
      </c>
      <c r="BY530" s="319" t="s">
        <v>190</v>
      </c>
      <c r="BZ530" s="319" t="s">
        <v>190</v>
      </c>
      <c r="CA530" s="319" t="s">
        <v>190</v>
      </c>
      <c r="CB530" s="319" t="s">
        <v>190</v>
      </c>
      <c r="CC530" s="319" t="s">
        <v>190</v>
      </c>
      <c r="CD530" s="319" t="s">
        <v>190</v>
      </c>
      <c r="CE530" s="319" t="s">
        <v>190</v>
      </c>
      <c r="CF530" s="319" t="s">
        <v>190</v>
      </c>
      <c r="CG530" s="319" t="s">
        <v>190</v>
      </c>
      <c r="CH530" s="319" t="s">
        <v>190</v>
      </c>
      <c r="CI530" s="319" t="s">
        <v>190</v>
      </c>
      <c r="CJ530" s="319" t="s">
        <v>190</v>
      </c>
      <c r="CK530" s="319" t="s">
        <v>190</v>
      </c>
      <c r="CL530" s="319" t="s">
        <v>190</v>
      </c>
      <c r="CM530" s="319" t="s">
        <v>190</v>
      </c>
      <c r="CN530" s="319" t="s">
        <v>428</v>
      </c>
      <c r="CO530" s="319" t="s">
        <v>428</v>
      </c>
      <c r="CP530" s="319" t="s">
        <v>428</v>
      </c>
      <c r="CQ530" s="319" t="s">
        <v>190</v>
      </c>
      <c r="CR530" s="319" t="s">
        <v>190</v>
      </c>
      <c r="CS530" s="319" t="s">
        <v>190</v>
      </c>
      <c r="CT530" s="319" t="s">
        <v>190</v>
      </c>
      <c r="CU530" s="319" t="s">
        <v>190</v>
      </c>
      <c r="CV530" s="319" t="s">
        <v>190</v>
      </c>
      <c r="CW530" s="319" t="s">
        <v>190</v>
      </c>
      <c r="CX530" s="319" t="s">
        <v>190</v>
      </c>
      <c r="CY530" s="319" t="s">
        <v>190</v>
      </c>
      <c r="CZ530" s="319" t="s">
        <v>190</v>
      </c>
      <c r="DA530" s="319" t="s">
        <v>190</v>
      </c>
      <c r="DB530" s="319" t="s">
        <v>190</v>
      </c>
      <c r="DC530" s="319" t="s">
        <v>190</v>
      </c>
      <c r="DD530" s="319" t="s">
        <v>190</v>
      </c>
      <c r="DE530" s="319" t="s">
        <v>190</v>
      </c>
      <c r="DF530" s="319" t="s">
        <v>190</v>
      </c>
      <c r="DG530" s="319" t="s">
        <v>190</v>
      </c>
      <c r="DH530" s="319" t="s">
        <v>190</v>
      </c>
      <c r="DI530" s="319" t="s">
        <v>190</v>
      </c>
      <c r="DJ530" s="319" t="s">
        <v>190</v>
      </c>
      <c r="DK530" s="319" t="s">
        <v>190</v>
      </c>
      <c r="DL530" s="319" t="s">
        <v>190</v>
      </c>
      <c r="DM530" s="319" t="s">
        <v>190</v>
      </c>
      <c r="DN530" s="319" t="s">
        <v>428</v>
      </c>
      <c r="DO530" s="319" t="s">
        <v>190</v>
      </c>
      <c r="DP530" s="319" t="s">
        <v>428</v>
      </c>
      <c r="DQ530" s="319" t="s">
        <v>428</v>
      </c>
      <c r="DR530" s="319" t="s">
        <v>428</v>
      </c>
      <c r="DS530" s="319" t="s">
        <v>428</v>
      </c>
      <c r="DT530" s="319" t="s">
        <v>428</v>
      </c>
      <c r="DU530" s="319" t="s">
        <v>428</v>
      </c>
      <c r="DV530" s="319" t="s">
        <v>173</v>
      </c>
      <c r="DW530" s="319" t="s">
        <v>428</v>
      </c>
      <c r="DX530" s="319" t="s">
        <v>428</v>
      </c>
      <c r="DY530" s="319" t="s">
        <v>428</v>
      </c>
      <c r="DZ530" s="319" t="s">
        <v>428</v>
      </c>
      <c r="EA530" s="319" t="s">
        <v>428</v>
      </c>
      <c r="EB530" s="319" t="s">
        <v>428</v>
      </c>
      <c r="EC530" s="319" t="s">
        <v>428</v>
      </c>
      <c r="ED530" s="319" t="s">
        <v>428</v>
      </c>
      <c r="EE530" s="319" t="s">
        <v>428</v>
      </c>
      <c r="EF530" s="319" t="s">
        <v>428</v>
      </c>
      <c r="EG530" s="319" t="s">
        <v>428</v>
      </c>
      <c r="EH530" s="319" t="s">
        <v>428</v>
      </c>
      <c r="EI530" s="319" t="s">
        <v>428</v>
      </c>
      <c r="EJ530" s="319" t="s">
        <v>428</v>
      </c>
      <c r="EK530" s="319" t="s">
        <v>428</v>
      </c>
      <c r="EL530" s="319" t="s">
        <v>428</v>
      </c>
      <c r="EM530" s="319" t="s">
        <v>190</v>
      </c>
      <c r="EN530" s="319" t="s">
        <v>190</v>
      </c>
      <c r="EO530" s="319" t="s">
        <v>190</v>
      </c>
      <c r="EP530" s="319" t="s">
        <v>190</v>
      </c>
      <c r="EQ530" s="319" t="s">
        <v>190</v>
      </c>
      <c r="ER530" s="319" t="s">
        <v>190</v>
      </c>
      <c r="ES530" s="319" t="s">
        <v>190</v>
      </c>
      <c r="ET530" s="319" t="s">
        <v>190</v>
      </c>
      <c r="EU530" s="319" t="s">
        <v>190</v>
      </c>
      <c r="EV530" s="319" t="s">
        <v>190</v>
      </c>
      <c r="EW530" s="319" t="s">
        <v>190</v>
      </c>
      <c r="EX530" s="319" t="s">
        <v>190</v>
      </c>
      <c r="EY530" s="319" t="s">
        <v>190</v>
      </c>
      <c r="EZ530" s="319" t="s">
        <v>190</v>
      </c>
      <c r="FA530" s="319" t="s">
        <v>190</v>
      </c>
      <c r="FB530" s="319" t="s">
        <v>428</v>
      </c>
      <c r="FC530" s="319" t="s">
        <v>428</v>
      </c>
      <c r="FD530" s="319" t="s">
        <v>428</v>
      </c>
      <c r="FE530" s="319" t="s">
        <v>428</v>
      </c>
      <c r="FF530" s="319" t="s">
        <v>428</v>
      </c>
      <c r="FG530" s="319" t="s">
        <v>428</v>
      </c>
      <c r="FH530" s="319" t="s">
        <v>428</v>
      </c>
      <c r="FI530" s="319" t="s">
        <v>428</v>
      </c>
      <c r="FJ530" s="319" t="s">
        <v>429</v>
      </c>
      <c r="FK530" s="319" t="s">
        <v>428</v>
      </c>
      <c r="FL530" s="319" t="s">
        <v>190</v>
      </c>
      <c r="FM530" s="319" t="s">
        <v>190</v>
      </c>
      <c r="FN530" s="319" t="s">
        <v>190</v>
      </c>
      <c r="FO530" s="319" t="s">
        <v>190</v>
      </c>
      <c r="FP530" s="319" t="s">
        <v>190</v>
      </c>
      <c r="FQ530" s="319" t="s">
        <v>190</v>
      </c>
      <c r="FR530" s="319" t="s">
        <v>190</v>
      </c>
      <c r="FS530" s="319" t="s">
        <v>428</v>
      </c>
      <c r="FT530" s="319" t="s">
        <v>428</v>
      </c>
      <c r="FU530" s="319" t="s">
        <v>190</v>
      </c>
      <c r="FV530" s="319" t="s">
        <v>190</v>
      </c>
      <c r="FW530" s="319" t="s">
        <v>190</v>
      </c>
      <c r="FX530" s="319" t="s">
        <v>190</v>
      </c>
      <c r="FY530" s="319" t="s">
        <v>190</v>
      </c>
      <c r="FZ530" s="319" t="s">
        <v>190</v>
      </c>
      <c r="GA530" s="319" t="s">
        <v>190</v>
      </c>
      <c r="GB530" s="319" t="s">
        <v>190</v>
      </c>
      <c r="GC530" s="319" t="s">
        <v>190</v>
      </c>
      <c r="GD530" s="319" t="s">
        <v>190</v>
      </c>
      <c r="GE530" s="319" t="s">
        <v>190</v>
      </c>
      <c r="GF530" s="319" t="s">
        <v>190</v>
      </c>
      <c r="GG530" s="319" t="s">
        <v>190</v>
      </c>
      <c r="GH530" s="319" t="s">
        <v>190</v>
      </c>
      <c r="GI530" s="319" t="s">
        <v>190</v>
      </c>
      <c r="GJ530" s="319" t="s">
        <v>190</v>
      </c>
      <c r="GK530" s="319" t="s">
        <v>428</v>
      </c>
      <c r="GL530" s="319" t="s">
        <v>190</v>
      </c>
      <c r="GM530" s="319" t="s">
        <v>190</v>
      </c>
      <c r="GN530" s="319" t="s">
        <v>190</v>
      </c>
      <c r="GO530" s="319" t="s">
        <v>190</v>
      </c>
      <c r="GP530" s="319" t="s">
        <v>190</v>
      </c>
      <c r="GQ530" s="319" t="s">
        <v>428</v>
      </c>
      <c r="GR530" s="319" t="s">
        <v>190</v>
      </c>
      <c r="GS530" s="319" t="s">
        <v>190</v>
      </c>
      <c r="GT530" s="319" t="s">
        <v>428</v>
      </c>
      <c r="GU530" s="319" t="s">
        <v>428</v>
      </c>
      <c r="GV530" s="319" t="s">
        <v>190</v>
      </c>
      <c r="GW530" s="319" t="s">
        <v>190</v>
      </c>
      <c r="GX530" s="319" t="s">
        <v>190</v>
      </c>
      <c r="GY530" s="319" t="s">
        <v>190</v>
      </c>
      <c r="GZ530" s="319" t="s">
        <v>190</v>
      </c>
      <c r="HA530" s="319" t="s">
        <v>428</v>
      </c>
      <c r="HB530" s="319" t="s">
        <v>190</v>
      </c>
      <c r="HC530" s="319" t="s">
        <v>190</v>
      </c>
      <c r="HD530" s="319" t="s">
        <v>190</v>
      </c>
      <c r="HE530" s="319" t="s">
        <v>190</v>
      </c>
      <c r="HF530" s="319" t="s">
        <v>190</v>
      </c>
      <c r="HG530" s="319" t="s">
        <v>190</v>
      </c>
      <c r="HH530" s="319" t="s">
        <v>190</v>
      </c>
      <c r="HI530" s="319" t="s">
        <v>190</v>
      </c>
      <c r="HJ530" s="319" t="s">
        <v>190</v>
      </c>
      <c r="HK530" s="319" t="s">
        <v>190</v>
      </c>
      <c r="HL530" s="319" t="s">
        <v>428</v>
      </c>
      <c r="HM530" s="319" t="s">
        <v>428</v>
      </c>
      <c r="HN530" s="319" t="s">
        <v>428</v>
      </c>
      <c r="HO530" s="319" t="s">
        <v>428</v>
      </c>
      <c r="HP530" s="319" t="s">
        <v>190</v>
      </c>
      <c r="HQ530" s="319" t="s">
        <v>190</v>
      </c>
      <c r="HR530" s="319" t="s">
        <v>190</v>
      </c>
      <c r="HS530" s="319" t="s">
        <v>190</v>
      </c>
      <c r="HT530" s="319" t="s">
        <v>190</v>
      </c>
      <c r="HU530" s="319" t="s">
        <v>190</v>
      </c>
      <c r="HV530" s="319" t="s">
        <v>190</v>
      </c>
      <c r="HW530" s="319" t="s">
        <v>190</v>
      </c>
      <c r="HX530" s="319" t="s">
        <v>190</v>
      </c>
      <c r="HY530" s="319" t="s">
        <v>190</v>
      </c>
      <c r="HZ530" s="319" t="s">
        <v>190</v>
      </c>
      <c r="IA530" s="319" t="s">
        <v>190</v>
      </c>
      <c r="IB530" s="319" t="s">
        <v>190</v>
      </c>
      <c r="IC530" s="319" t="s">
        <v>190</v>
      </c>
      <c r="ID530" s="319" t="s">
        <v>190</v>
      </c>
      <c r="IE530" s="319" t="s">
        <v>190</v>
      </c>
      <c r="IF530" s="319" t="s">
        <v>190</v>
      </c>
      <c r="IG530" s="319" t="s">
        <v>190</v>
      </c>
      <c r="IH530" s="319" t="s">
        <v>190</v>
      </c>
      <c r="II530" s="319" t="s">
        <v>190</v>
      </c>
      <c r="IJ530" s="319" t="s">
        <v>3302</v>
      </c>
      <c r="IK530" s="321">
        <v>41947</v>
      </c>
      <c r="IL530" s="321">
        <v>41949</v>
      </c>
      <c r="IM530" s="321">
        <v>41978</v>
      </c>
      <c r="IN530" s="319">
        <v>2</v>
      </c>
      <c r="IO530" s="319" t="s">
        <v>173</v>
      </c>
      <c r="IP530" s="319" t="s">
        <v>173</v>
      </c>
      <c r="IQ530" s="321" t="s">
        <v>173</v>
      </c>
      <c r="IR530" s="320" t="s">
        <v>173</v>
      </c>
      <c r="IS530" s="322" t="s">
        <v>173</v>
      </c>
      <c r="IT530" s="319" t="s">
        <v>173</v>
      </c>
    </row>
    <row r="531" spans="1:254" s="271" customFormat="1" x14ac:dyDescent="0.25">
      <c r="A531" s="318" t="str">
        <f>HYPERLINK("http://www.ofsted.gov.uk/inspection-reports/find-inspection-report/provider/ELS/135493 ","Ofsted School Webpage")</f>
        <v>Ofsted School Webpage</v>
      </c>
      <c r="B531" s="319">
        <v>135493</v>
      </c>
      <c r="C531" s="319">
        <v>3076339</v>
      </c>
      <c r="D531" s="319" t="s">
        <v>440</v>
      </c>
      <c r="E531" s="319" t="s">
        <v>168</v>
      </c>
      <c r="F531" s="319" t="s">
        <v>81</v>
      </c>
      <c r="G531" s="319" t="s">
        <v>81</v>
      </c>
      <c r="H531" s="319" t="s">
        <v>81</v>
      </c>
      <c r="I531" s="319" t="s">
        <v>78</v>
      </c>
      <c r="J531" s="319" t="s">
        <v>424</v>
      </c>
      <c r="K531" s="319" t="s">
        <v>441</v>
      </c>
      <c r="L531" s="319" t="s">
        <v>441</v>
      </c>
      <c r="M531" s="319" t="s">
        <v>442</v>
      </c>
      <c r="N531" s="319" t="s">
        <v>2834</v>
      </c>
      <c r="O531" s="319" t="s">
        <v>443</v>
      </c>
      <c r="P531" s="319">
        <v>48</v>
      </c>
      <c r="Q531" s="319" t="s">
        <v>429</v>
      </c>
      <c r="R531" s="320">
        <v>10054295</v>
      </c>
      <c r="S531" s="321">
        <v>43361</v>
      </c>
      <c r="T531" s="321">
        <v>43363</v>
      </c>
      <c r="U531" s="321">
        <v>43385</v>
      </c>
      <c r="V531" s="319" t="s">
        <v>425</v>
      </c>
      <c r="W531" s="319" t="s">
        <v>2767</v>
      </c>
      <c r="X531" s="319">
        <v>2</v>
      </c>
      <c r="Y531" s="319" t="s">
        <v>173</v>
      </c>
      <c r="Z531" s="319" t="s">
        <v>173</v>
      </c>
      <c r="AA531" s="319" t="s">
        <v>173</v>
      </c>
      <c r="AB531" s="319">
        <v>2</v>
      </c>
      <c r="AC531" s="319" t="s">
        <v>169</v>
      </c>
      <c r="AD531" s="319" t="s">
        <v>173</v>
      </c>
      <c r="AE531" s="319" t="s">
        <v>173</v>
      </c>
      <c r="AF531" s="319" t="s">
        <v>427</v>
      </c>
      <c r="AG531" s="319" t="s">
        <v>171</v>
      </c>
      <c r="AH531" s="319" t="s">
        <v>190</v>
      </c>
      <c r="AI531" s="319" t="s">
        <v>190</v>
      </c>
      <c r="AJ531" s="319" t="s">
        <v>190</v>
      </c>
      <c r="AK531" s="319" t="s">
        <v>190</v>
      </c>
      <c r="AL531" s="319" t="s">
        <v>190</v>
      </c>
      <c r="AM531" s="319" t="s">
        <v>190</v>
      </c>
      <c r="AN531" s="319" t="s">
        <v>190</v>
      </c>
      <c r="AO531" s="319" t="s">
        <v>190</v>
      </c>
      <c r="AP531" s="319" t="s">
        <v>190</v>
      </c>
      <c r="AQ531" s="319" t="s">
        <v>190</v>
      </c>
      <c r="AR531" s="319" t="s">
        <v>190</v>
      </c>
      <c r="AS531" s="319" t="s">
        <v>190</v>
      </c>
      <c r="AT531" s="319" t="s">
        <v>190</v>
      </c>
      <c r="AU531" s="319" t="s">
        <v>190</v>
      </c>
      <c r="AV531" s="319" t="s">
        <v>190</v>
      </c>
      <c r="AW531" s="319" t="s">
        <v>190</v>
      </c>
      <c r="AX531" s="319" t="s">
        <v>428</v>
      </c>
      <c r="AY531" s="319" t="s">
        <v>190</v>
      </c>
      <c r="AZ531" s="319" t="s">
        <v>190</v>
      </c>
      <c r="BA531" s="319" t="s">
        <v>190</v>
      </c>
      <c r="BB531" s="319" t="s">
        <v>190</v>
      </c>
      <c r="BC531" s="319" t="s">
        <v>190</v>
      </c>
      <c r="BD531" s="319" t="s">
        <v>190</v>
      </c>
      <c r="BE531" s="319" t="s">
        <v>190</v>
      </c>
      <c r="BF531" s="319" t="s">
        <v>428</v>
      </c>
      <c r="BG531" s="319" t="s">
        <v>190</v>
      </c>
      <c r="BH531" s="319" t="s">
        <v>190</v>
      </c>
      <c r="BI531" s="319" t="s">
        <v>190</v>
      </c>
      <c r="BJ531" s="319" t="s">
        <v>190</v>
      </c>
      <c r="BK531" s="319" t="s">
        <v>190</v>
      </c>
      <c r="BL531" s="319" t="s">
        <v>190</v>
      </c>
      <c r="BM531" s="319" t="s">
        <v>190</v>
      </c>
      <c r="BN531" s="319" t="s">
        <v>190</v>
      </c>
      <c r="BO531" s="319" t="s">
        <v>190</v>
      </c>
      <c r="BP531" s="319" t="s">
        <v>190</v>
      </c>
      <c r="BQ531" s="319" t="s">
        <v>190</v>
      </c>
      <c r="BR531" s="319" t="s">
        <v>190</v>
      </c>
      <c r="BS531" s="319" t="s">
        <v>190</v>
      </c>
      <c r="BT531" s="319" t="s">
        <v>190</v>
      </c>
      <c r="BU531" s="319" t="s">
        <v>190</v>
      </c>
      <c r="BV531" s="319" t="s">
        <v>190</v>
      </c>
      <c r="BW531" s="319" t="s">
        <v>190</v>
      </c>
      <c r="BX531" s="319" t="s">
        <v>190</v>
      </c>
      <c r="BY531" s="319" t="s">
        <v>190</v>
      </c>
      <c r="BZ531" s="319" t="s">
        <v>190</v>
      </c>
      <c r="CA531" s="319" t="s">
        <v>190</v>
      </c>
      <c r="CB531" s="319" t="s">
        <v>190</v>
      </c>
      <c r="CC531" s="319" t="s">
        <v>190</v>
      </c>
      <c r="CD531" s="319" t="s">
        <v>190</v>
      </c>
      <c r="CE531" s="319" t="s">
        <v>190</v>
      </c>
      <c r="CF531" s="319" t="s">
        <v>190</v>
      </c>
      <c r="CG531" s="319" t="s">
        <v>190</v>
      </c>
      <c r="CH531" s="319" t="s">
        <v>190</v>
      </c>
      <c r="CI531" s="319" t="s">
        <v>190</v>
      </c>
      <c r="CJ531" s="319" t="s">
        <v>190</v>
      </c>
      <c r="CK531" s="319" t="s">
        <v>190</v>
      </c>
      <c r="CL531" s="319" t="s">
        <v>190</v>
      </c>
      <c r="CM531" s="319" t="s">
        <v>190</v>
      </c>
      <c r="CN531" s="319" t="s">
        <v>428</v>
      </c>
      <c r="CO531" s="319" t="s">
        <v>428</v>
      </c>
      <c r="CP531" s="319" t="s">
        <v>428</v>
      </c>
      <c r="CQ531" s="319" t="s">
        <v>190</v>
      </c>
      <c r="CR531" s="319" t="s">
        <v>190</v>
      </c>
      <c r="CS531" s="319" t="s">
        <v>190</v>
      </c>
      <c r="CT531" s="319" t="s">
        <v>190</v>
      </c>
      <c r="CU531" s="319" t="s">
        <v>190</v>
      </c>
      <c r="CV531" s="319" t="s">
        <v>190</v>
      </c>
      <c r="CW531" s="319" t="s">
        <v>190</v>
      </c>
      <c r="CX531" s="319" t="s">
        <v>190</v>
      </c>
      <c r="CY531" s="319" t="s">
        <v>190</v>
      </c>
      <c r="CZ531" s="319" t="s">
        <v>190</v>
      </c>
      <c r="DA531" s="319" t="s">
        <v>190</v>
      </c>
      <c r="DB531" s="319" t="s">
        <v>190</v>
      </c>
      <c r="DC531" s="319" t="s">
        <v>190</v>
      </c>
      <c r="DD531" s="319" t="s">
        <v>190</v>
      </c>
      <c r="DE531" s="319" t="s">
        <v>190</v>
      </c>
      <c r="DF531" s="319" t="s">
        <v>190</v>
      </c>
      <c r="DG531" s="319" t="s">
        <v>190</v>
      </c>
      <c r="DH531" s="319" t="s">
        <v>190</v>
      </c>
      <c r="DI531" s="319" t="s">
        <v>190</v>
      </c>
      <c r="DJ531" s="319" t="s">
        <v>190</v>
      </c>
      <c r="DK531" s="319" t="s">
        <v>190</v>
      </c>
      <c r="DL531" s="319" t="s">
        <v>190</v>
      </c>
      <c r="DM531" s="319" t="s">
        <v>190</v>
      </c>
      <c r="DN531" s="319" t="s">
        <v>428</v>
      </c>
      <c r="DO531" s="319" t="s">
        <v>190</v>
      </c>
      <c r="DP531" s="319" t="s">
        <v>190</v>
      </c>
      <c r="DQ531" s="319" t="s">
        <v>190</v>
      </c>
      <c r="DR531" s="319" t="s">
        <v>190</v>
      </c>
      <c r="DS531" s="319" t="s">
        <v>190</v>
      </c>
      <c r="DT531" s="319" t="s">
        <v>190</v>
      </c>
      <c r="DU531" s="319" t="s">
        <v>190</v>
      </c>
      <c r="DV531" s="319" t="s">
        <v>173</v>
      </c>
      <c r="DW531" s="319" t="s">
        <v>190</v>
      </c>
      <c r="DX531" s="319" t="s">
        <v>190</v>
      </c>
      <c r="DY531" s="319" t="s">
        <v>190</v>
      </c>
      <c r="DZ531" s="319" t="s">
        <v>190</v>
      </c>
      <c r="EA531" s="319" t="s">
        <v>190</v>
      </c>
      <c r="EB531" s="319" t="s">
        <v>190</v>
      </c>
      <c r="EC531" s="319" t="s">
        <v>428</v>
      </c>
      <c r="ED531" s="319" t="s">
        <v>190</v>
      </c>
      <c r="EE531" s="319" t="s">
        <v>428</v>
      </c>
      <c r="EF531" s="319" t="s">
        <v>428</v>
      </c>
      <c r="EG531" s="319" t="s">
        <v>428</v>
      </c>
      <c r="EH531" s="319" t="s">
        <v>428</v>
      </c>
      <c r="EI531" s="319" t="s">
        <v>428</v>
      </c>
      <c r="EJ531" s="319" t="s">
        <v>428</v>
      </c>
      <c r="EK531" s="319" t="s">
        <v>428</v>
      </c>
      <c r="EL531" s="319" t="s">
        <v>428</v>
      </c>
      <c r="EM531" s="319" t="s">
        <v>428</v>
      </c>
      <c r="EN531" s="319" t="s">
        <v>190</v>
      </c>
      <c r="EO531" s="319" t="s">
        <v>190</v>
      </c>
      <c r="EP531" s="319" t="s">
        <v>190</v>
      </c>
      <c r="EQ531" s="319" t="s">
        <v>190</v>
      </c>
      <c r="ER531" s="319" t="s">
        <v>190</v>
      </c>
      <c r="ES531" s="319" t="s">
        <v>190</v>
      </c>
      <c r="ET531" s="319" t="s">
        <v>190</v>
      </c>
      <c r="EU531" s="319" t="s">
        <v>190</v>
      </c>
      <c r="EV531" s="319" t="s">
        <v>190</v>
      </c>
      <c r="EW531" s="319" t="s">
        <v>190</v>
      </c>
      <c r="EX531" s="319" t="s">
        <v>190</v>
      </c>
      <c r="EY531" s="319" t="s">
        <v>190</v>
      </c>
      <c r="EZ531" s="319" t="s">
        <v>190</v>
      </c>
      <c r="FA531" s="319" t="s">
        <v>190</v>
      </c>
      <c r="FB531" s="319" t="s">
        <v>190</v>
      </c>
      <c r="FC531" s="319" t="s">
        <v>190</v>
      </c>
      <c r="FD531" s="319" t="s">
        <v>190</v>
      </c>
      <c r="FE531" s="319" t="s">
        <v>190</v>
      </c>
      <c r="FF531" s="319" t="s">
        <v>190</v>
      </c>
      <c r="FG531" s="319" t="s">
        <v>190</v>
      </c>
      <c r="FH531" s="319" t="s">
        <v>428</v>
      </c>
      <c r="FI531" s="319" t="s">
        <v>428</v>
      </c>
      <c r="FJ531" s="319" t="s">
        <v>429</v>
      </c>
      <c r="FK531" s="319" t="s">
        <v>428</v>
      </c>
      <c r="FL531" s="319" t="s">
        <v>190</v>
      </c>
      <c r="FM531" s="319" t="s">
        <v>190</v>
      </c>
      <c r="FN531" s="319" t="s">
        <v>190</v>
      </c>
      <c r="FO531" s="319" t="s">
        <v>190</v>
      </c>
      <c r="FP531" s="319" t="s">
        <v>190</v>
      </c>
      <c r="FQ531" s="319" t="s">
        <v>190</v>
      </c>
      <c r="FR531" s="319" t="s">
        <v>190</v>
      </c>
      <c r="FS531" s="319" t="s">
        <v>190</v>
      </c>
      <c r="FT531" s="319" t="s">
        <v>190</v>
      </c>
      <c r="FU531" s="319" t="s">
        <v>190</v>
      </c>
      <c r="FV531" s="319" t="s">
        <v>190</v>
      </c>
      <c r="FW531" s="319" t="s">
        <v>190</v>
      </c>
      <c r="FX531" s="319" t="s">
        <v>190</v>
      </c>
      <c r="FY531" s="319" t="s">
        <v>190</v>
      </c>
      <c r="FZ531" s="319" t="s">
        <v>190</v>
      </c>
      <c r="GA531" s="319" t="s">
        <v>190</v>
      </c>
      <c r="GB531" s="319" t="s">
        <v>190</v>
      </c>
      <c r="GC531" s="319" t="s">
        <v>190</v>
      </c>
      <c r="GD531" s="319" t="s">
        <v>190</v>
      </c>
      <c r="GE531" s="319" t="s">
        <v>190</v>
      </c>
      <c r="GF531" s="319" t="s">
        <v>190</v>
      </c>
      <c r="GG531" s="319" t="s">
        <v>190</v>
      </c>
      <c r="GH531" s="319" t="s">
        <v>190</v>
      </c>
      <c r="GI531" s="319" t="s">
        <v>190</v>
      </c>
      <c r="GJ531" s="319" t="s">
        <v>190</v>
      </c>
      <c r="GK531" s="319" t="s">
        <v>428</v>
      </c>
      <c r="GL531" s="319" t="s">
        <v>190</v>
      </c>
      <c r="GM531" s="319" t="s">
        <v>190</v>
      </c>
      <c r="GN531" s="319" t="s">
        <v>190</v>
      </c>
      <c r="GO531" s="319" t="s">
        <v>190</v>
      </c>
      <c r="GP531" s="319" t="s">
        <v>190</v>
      </c>
      <c r="GQ531" s="319" t="s">
        <v>428</v>
      </c>
      <c r="GR531" s="319" t="s">
        <v>190</v>
      </c>
      <c r="GS531" s="319" t="s">
        <v>190</v>
      </c>
      <c r="GT531" s="319" t="s">
        <v>190</v>
      </c>
      <c r="GU531" s="319" t="s">
        <v>190</v>
      </c>
      <c r="GV531" s="319" t="s">
        <v>428</v>
      </c>
      <c r="GW531" s="319" t="s">
        <v>190</v>
      </c>
      <c r="GX531" s="319" t="s">
        <v>190</v>
      </c>
      <c r="GY531" s="319" t="s">
        <v>190</v>
      </c>
      <c r="GZ531" s="319" t="s">
        <v>190</v>
      </c>
      <c r="HA531" s="319" t="s">
        <v>428</v>
      </c>
      <c r="HB531" s="319" t="s">
        <v>428</v>
      </c>
      <c r="HC531" s="319" t="s">
        <v>190</v>
      </c>
      <c r="HD531" s="319" t="s">
        <v>190</v>
      </c>
      <c r="HE531" s="319" t="s">
        <v>190</v>
      </c>
      <c r="HF531" s="319" t="s">
        <v>190</v>
      </c>
      <c r="HG531" s="319" t="s">
        <v>190</v>
      </c>
      <c r="HH531" s="319" t="s">
        <v>190</v>
      </c>
      <c r="HI531" s="319" t="s">
        <v>190</v>
      </c>
      <c r="HJ531" s="319" t="s">
        <v>190</v>
      </c>
      <c r="HK531" s="319" t="s">
        <v>190</v>
      </c>
      <c r="HL531" s="319" t="s">
        <v>428</v>
      </c>
      <c r="HM531" s="319" t="s">
        <v>428</v>
      </c>
      <c r="HN531" s="319" t="s">
        <v>428</v>
      </c>
      <c r="HO531" s="319" t="s">
        <v>428</v>
      </c>
      <c r="HP531" s="319" t="s">
        <v>190</v>
      </c>
      <c r="HQ531" s="319" t="s">
        <v>190</v>
      </c>
      <c r="HR531" s="319" t="s">
        <v>190</v>
      </c>
      <c r="HS531" s="319" t="s">
        <v>190</v>
      </c>
      <c r="HT531" s="319" t="s">
        <v>190</v>
      </c>
      <c r="HU531" s="319" t="s">
        <v>190</v>
      </c>
      <c r="HV531" s="319" t="s">
        <v>190</v>
      </c>
      <c r="HW531" s="319" t="s">
        <v>190</v>
      </c>
      <c r="HX531" s="319" t="s">
        <v>190</v>
      </c>
      <c r="HY531" s="319" t="s">
        <v>190</v>
      </c>
      <c r="HZ531" s="319" t="s">
        <v>190</v>
      </c>
      <c r="IA531" s="319" t="s">
        <v>190</v>
      </c>
      <c r="IB531" s="319" t="s">
        <v>190</v>
      </c>
      <c r="IC531" s="319" t="s">
        <v>190</v>
      </c>
      <c r="ID531" s="319" t="s">
        <v>190</v>
      </c>
      <c r="IE531" s="319" t="s">
        <v>190</v>
      </c>
      <c r="IF531" s="319" t="s">
        <v>190</v>
      </c>
      <c r="IG531" s="319" t="s">
        <v>190</v>
      </c>
      <c r="IH531" s="319" t="s">
        <v>190</v>
      </c>
      <c r="II531" s="319" t="s">
        <v>190</v>
      </c>
      <c r="IJ531" s="319">
        <v>10006315</v>
      </c>
      <c r="IK531" s="321">
        <v>42311</v>
      </c>
      <c r="IL531" s="321">
        <v>42313</v>
      </c>
      <c r="IM531" s="321">
        <v>42340</v>
      </c>
      <c r="IN531" s="319">
        <v>1</v>
      </c>
      <c r="IO531" s="319" t="s">
        <v>173</v>
      </c>
      <c r="IP531" s="319" t="s">
        <v>173</v>
      </c>
      <c r="IQ531" s="321" t="s">
        <v>173</v>
      </c>
      <c r="IR531" s="320" t="s">
        <v>173</v>
      </c>
      <c r="IS531" s="322" t="s">
        <v>173</v>
      </c>
      <c r="IT531" s="319" t="s">
        <v>173</v>
      </c>
    </row>
    <row r="532" spans="1:254" s="271" customFormat="1" x14ac:dyDescent="0.25">
      <c r="A532" s="318" t="str">
        <f>HYPERLINK("http://www.ofsted.gov.uk/inspection-reports/find-inspection-report/provider/ELS/135510 ","Ofsted School Webpage")</f>
        <v>Ofsted School Webpage</v>
      </c>
      <c r="B532" s="319">
        <v>135510</v>
      </c>
      <c r="C532" s="319">
        <v>8866126</v>
      </c>
      <c r="D532" s="319" t="s">
        <v>1945</v>
      </c>
      <c r="E532" s="319" t="s">
        <v>168</v>
      </c>
      <c r="F532" s="319" t="s">
        <v>81</v>
      </c>
      <c r="G532" s="319" t="s">
        <v>81</v>
      </c>
      <c r="H532" s="319" t="s">
        <v>81</v>
      </c>
      <c r="I532" s="319" t="s">
        <v>78</v>
      </c>
      <c r="J532" s="319" t="s">
        <v>424</v>
      </c>
      <c r="K532" s="319" t="s">
        <v>514</v>
      </c>
      <c r="L532" s="319" t="s">
        <v>514</v>
      </c>
      <c r="M532" s="319" t="s">
        <v>614</v>
      </c>
      <c r="N532" s="319" t="s">
        <v>3303</v>
      </c>
      <c r="O532" s="319" t="s">
        <v>1946</v>
      </c>
      <c r="P532" s="319">
        <v>27</v>
      </c>
      <c r="Q532" s="319" t="s">
        <v>429</v>
      </c>
      <c r="R532" s="320">
        <v>10008937</v>
      </c>
      <c r="S532" s="321">
        <v>42626</v>
      </c>
      <c r="T532" s="321">
        <v>42628</v>
      </c>
      <c r="U532" s="321">
        <v>42649</v>
      </c>
      <c r="V532" s="319" t="s">
        <v>425</v>
      </c>
      <c r="W532" s="319" t="s">
        <v>2767</v>
      </c>
      <c r="X532" s="319">
        <v>2</v>
      </c>
      <c r="Y532" s="319" t="s">
        <v>173</v>
      </c>
      <c r="Z532" s="319" t="s">
        <v>173</v>
      </c>
      <c r="AA532" s="319" t="s">
        <v>173</v>
      </c>
      <c r="AB532" s="319">
        <v>2</v>
      </c>
      <c r="AC532" s="319" t="s">
        <v>169</v>
      </c>
      <c r="AD532" s="319" t="s">
        <v>173</v>
      </c>
      <c r="AE532" s="319" t="s">
        <v>173</v>
      </c>
      <c r="AF532" s="319" t="s">
        <v>173</v>
      </c>
      <c r="AG532" s="319" t="s">
        <v>171</v>
      </c>
      <c r="AH532" s="319" t="s">
        <v>190</v>
      </c>
      <c r="AI532" s="319" t="s">
        <v>190</v>
      </c>
      <c r="AJ532" s="319" t="s">
        <v>190</v>
      </c>
      <c r="AK532" s="319" t="s">
        <v>190</v>
      </c>
      <c r="AL532" s="319" t="s">
        <v>190</v>
      </c>
      <c r="AM532" s="319" t="s">
        <v>190</v>
      </c>
      <c r="AN532" s="319" t="s">
        <v>190</v>
      </c>
      <c r="AO532" s="319" t="s">
        <v>190</v>
      </c>
      <c r="AP532" s="319" t="s">
        <v>190</v>
      </c>
      <c r="AQ532" s="319" t="s">
        <v>190</v>
      </c>
      <c r="AR532" s="319" t="s">
        <v>190</v>
      </c>
      <c r="AS532" s="319" t="s">
        <v>190</v>
      </c>
      <c r="AT532" s="319" t="s">
        <v>190</v>
      </c>
      <c r="AU532" s="319" t="s">
        <v>190</v>
      </c>
      <c r="AV532" s="319" t="s">
        <v>190</v>
      </c>
      <c r="AW532" s="319" t="s">
        <v>190</v>
      </c>
      <c r="AX532" s="319" t="s">
        <v>429</v>
      </c>
      <c r="AY532" s="319" t="s">
        <v>190</v>
      </c>
      <c r="AZ532" s="319" t="s">
        <v>190</v>
      </c>
      <c r="BA532" s="319" t="s">
        <v>190</v>
      </c>
      <c r="BB532" s="319" t="s">
        <v>190</v>
      </c>
      <c r="BC532" s="319" t="s">
        <v>190</v>
      </c>
      <c r="BD532" s="319" t="s">
        <v>190</v>
      </c>
      <c r="BE532" s="319" t="s">
        <v>190</v>
      </c>
      <c r="BF532" s="319" t="s">
        <v>429</v>
      </c>
      <c r="BG532" s="319" t="s">
        <v>190</v>
      </c>
      <c r="BH532" s="319" t="s">
        <v>190</v>
      </c>
      <c r="BI532" s="319" t="s">
        <v>190</v>
      </c>
      <c r="BJ532" s="319" t="s">
        <v>190</v>
      </c>
      <c r="BK532" s="319" t="s">
        <v>190</v>
      </c>
      <c r="BL532" s="319" t="s">
        <v>190</v>
      </c>
      <c r="BM532" s="319" t="s">
        <v>190</v>
      </c>
      <c r="BN532" s="319" t="s">
        <v>190</v>
      </c>
      <c r="BO532" s="319" t="s">
        <v>190</v>
      </c>
      <c r="BP532" s="319" t="s">
        <v>190</v>
      </c>
      <c r="BQ532" s="319" t="s">
        <v>190</v>
      </c>
      <c r="BR532" s="319" t="s">
        <v>190</v>
      </c>
      <c r="BS532" s="319" t="s">
        <v>190</v>
      </c>
      <c r="BT532" s="319" t="s">
        <v>190</v>
      </c>
      <c r="BU532" s="319" t="s">
        <v>190</v>
      </c>
      <c r="BV532" s="319" t="s">
        <v>190</v>
      </c>
      <c r="BW532" s="319" t="s">
        <v>190</v>
      </c>
      <c r="BX532" s="319" t="s">
        <v>190</v>
      </c>
      <c r="BY532" s="319" t="s">
        <v>190</v>
      </c>
      <c r="BZ532" s="319" t="s">
        <v>190</v>
      </c>
      <c r="CA532" s="319" t="s">
        <v>190</v>
      </c>
      <c r="CB532" s="319" t="s">
        <v>190</v>
      </c>
      <c r="CC532" s="319" t="s">
        <v>190</v>
      </c>
      <c r="CD532" s="319" t="s">
        <v>190</v>
      </c>
      <c r="CE532" s="319" t="s">
        <v>190</v>
      </c>
      <c r="CF532" s="319" t="s">
        <v>190</v>
      </c>
      <c r="CG532" s="319" t="s">
        <v>190</v>
      </c>
      <c r="CH532" s="319" t="s">
        <v>190</v>
      </c>
      <c r="CI532" s="319" t="s">
        <v>190</v>
      </c>
      <c r="CJ532" s="319" t="s">
        <v>190</v>
      </c>
      <c r="CK532" s="319" t="s">
        <v>190</v>
      </c>
      <c r="CL532" s="319" t="s">
        <v>190</v>
      </c>
      <c r="CM532" s="319" t="s">
        <v>190</v>
      </c>
      <c r="CN532" s="319" t="s">
        <v>190</v>
      </c>
      <c r="CO532" s="319" t="s">
        <v>190</v>
      </c>
      <c r="CP532" s="319" t="s">
        <v>190</v>
      </c>
      <c r="CQ532" s="319" t="s">
        <v>190</v>
      </c>
      <c r="CR532" s="319" t="s">
        <v>190</v>
      </c>
      <c r="CS532" s="319" t="s">
        <v>190</v>
      </c>
      <c r="CT532" s="319" t="s">
        <v>190</v>
      </c>
      <c r="CU532" s="319" t="s">
        <v>190</v>
      </c>
      <c r="CV532" s="319" t="s">
        <v>190</v>
      </c>
      <c r="CW532" s="319" t="s">
        <v>190</v>
      </c>
      <c r="CX532" s="319" t="s">
        <v>190</v>
      </c>
      <c r="CY532" s="319" t="s">
        <v>190</v>
      </c>
      <c r="CZ532" s="319" t="s">
        <v>190</v>
      </c>
      <c r="DA532" s="319" t="s">
        <v>190</v>
      </c>
      <c r="DB532" s="319" t="s">
        <v>190</v>
      </c>
      <c r="DC532" s="319" t="s">
        <v>190</v>
      </c>
      <c r="DD532" s="319" t="s">
        <v>190</v>
      </c>
      <c r="DE532" s="319" t="s">
        <v>190</v>
      </c>
      <c r="DF532" s="319" t="s">
        <v>190</v>
      </c>
      <c r="DG532" s="319" t="s">
        <v>190</v>
      </c>
      <c r="DH532" s="319" t="s">
        <v>190</v>
      </c>
      <c r="DI532" s="319" t="s">
        <v>190</v>
      </c>
      <c r="DJ532" s="319" t="s">
        <v>190</v>
      </c>
      <c r="DK532" s="319" t="s">
        <v>190</v>
      </c>
      <c r="DL532" s="319" t="s">
        <v>190</v>
      </c>
      <c r="DM532" s="319" t="s">
        <v>190</v>
      </c>
      <c r="DN532" s="319" t="s">
        <v>429</v>
      </c>
      <c r="DO532" s="319" t="s">
        <v>190</v>
      </c>
      <c r="DP532" s="319" t="s">
        <v>429</v>
      </c>
      <c r="DQ532" s="319" t="s">
        <v>429</v>
      </c>
      <c r="DR532" s="319" t="s">
        <v>429</v>
      </c>
      <c r="DS532" s="319" t="s">
        <v>429</v>
      </c>
      <c r="DT532" s="319" t="s">
        <v>429</v>
      </c>
      <c r="DU532" s="319" t="s">
        <v>429</v>
      </c>
      <c r="DV532" s="319" t="s">
        <v>173</v>
      </c>
      <c r="DW532" s="319" t="s">
        <v>429</v>
      </c>
      <c r="DX532" s="319" t="s">
        <v>429</v>
      </c>
      <c r="DY532" s="319" t="s">
        <v>429</v>
      </c>
      <c r="DZ532" s="319" t="s">
        <v>429</v>
      </c>
      <c r="EA532" s="319" t="s">
        <v>429</v>
      </c>
      <c r="EB532" s="319" t="s">
        <v>429</v>
      </c>
      <c r="EC532" s="319" t="s">
        <v>429</v>
      </c>
      <c r="ED532" s="319" t="s">
        <v>429</v>
      </c>
      <c r="EE532" s="319" t="s">
        <v>190</v>
      </c>
      <c r="EF532" s="319" t="s">
        <v>190</v>
      </c>
      <c r="EG532" s="319" t="s">
        <v>190</v>
      </c>
      <c r="EH532" s="319" t="s">
        <v>190</v>
      </c>
      <c r="EI532" s="319" t="s">
        <v>190</v>
      </c>
      <c r="EJ532" s="319" t="s">
        <v>190</v>
      </c>
      <c r="EK532" s="319" t="s">
        <v>190</v>
      </c>
      <c r="EL532" s="319" t="s">
        <v>429</v>
      </c>
      <c r="EM532" s="319" t="s">
        <v>190</v>
      </c>
      <c r="EN532" s="319" t="s">
        <v>190</v>
      </c>
      <c r="EO532" s="319" t="s">
        <v>190</v>
      </c>
      <c r="EP532" s="319" t="s">
        <v>190</v>
      </c>
      <c r="EQ532" s="319" t="s">
        <v>190</v>
      </c>
      <c r="ER532" s="319" t="s">
        <v>190</v>
      </c>
      <c r="ES532" s="319" t="s">
        <v>190</v>
      </c>
      <c r="ET532" s="319" t="s">
        <v>429</v>
      </c>
      <c r="EU532" s="319" t="s">
        <v>190</v>
      </c>
      <c r="EV532" s="319" t="s">
        <v>190</v>
      </c>
      <c r="EW532" s="319" t="s">
        <v>190</v>
      </c>
      <c r="EX532" s="319" t="s">
        <v>190</v>
      </c>
      <c r="EY532" s="319" t="s">
        <v>190</v>
      </c>
      <c r="EZ532" s="319" t="s">
        <v>190</v>
      </c>
      <c r="FA532" s="319" t="s">
        <v>190</v>
      </c>
      <c r="FB532" s="319" t="s">
        <v>190</v>
      </c>
      <c r="FC532" s="319" t="s">
        <v>190</v>
      </c>
      <c r="FD532" s="319" t="s">
        <v>190</v>
      </c>
      <c r="FE532" s="319" t="s">
        <v>190</v>
      </c>
      <c r="FF532" s="319" t="s">
        <v>190</v>
      </c>
      <c r="FG532" s="319" t="s">
        <v>429</v>
      </c>
      <c r="FH532" s="319" t="s">
        <v>190</v>
      </c>
      <c r="FI532" s="319" t="s">
        <v>190</v>
      </c>
      <c r="FJ532" s="319" t="s">
        <v>190</v>
      </c>
      <c r="FK532" s="319" t="s">
        <v>190</v>
      </c>
      <c r="FL532" s="319" t="s">
        <v>190</v>
      </c>
      <c r="FM532" s="319" t="s">
        <v>190</v>
      </c>
      <c r="FN532" s="319" t="s">
        <v>190</v>
      </c>
      <c r="FO532" s="319" t="s">
        <v>429</v>
      </c>
      <c r="FP532" s="319" t="s">
        <v>190</v>
      </c>
      <c r="FQ532" s="319" t="s">
        <v>190</v>
      </c>
      <c r="FR532" s="319" t="s">
        <v>190</v>
      </c>
      <c r="FS532" s="319" t="s">
        <v>429</v>
      </c>
      <c r="FT532" s="319" t="s">
        <v>190</v>
      </c>
      <c r="FU532" s="319" t="s">
        <v>190</v>
      </c>
      <c r="FV532" s="319" t="s">
        <v>190</v>
      </c>
      <c r="FW532" s="319" t="s">
        <v>190</v>
      </c>
      <c r="FX532" s="319" t="s">
        <v>190</v>
      </c>
      <c r="FY532" s="319" t="s">
        <v>190</v>
      </c>
      <c r="FZ532" s="319" t="s">
        <v>190</v>
      </c>
      <c r="GA532" s="319" t="s">
        <v>190</v>
      </c>
      <c r="GB532" s="319" t="s">
        <v>190</v>
      </c>
      <c r="GC532" s="319" t="s">
        <v>190</v>
      </c>
      <c r="GD532" s="319" t="s">
        <v>190</v>
      </c>
      <c r="GE532" s="319" t="s">
        <v>190</v>
      </c>
      <c r="GF532" s="319" t="s">
        <v>190</v>
      </c>
      <c r="GG532" s="319" t="s">
        <v>190</v>
      </c>
      <c r="GH532" s="319" t="s">
        <v>190</v>
      </c>
      <c r="GI532" s="319" t="s">
        <v>190</v>
      </c>
      <c r="GJ532" s="319" t="s">
        <v>190</v>
      </c>
      <c r="GK532" s="319" t="s">
        <v>190</v>
      </c>
      <c r="GL532" s="319" t="s">
        <v>190</v>
      </c>
      <c r="GM532" s="319" t="s">
        <v>190</v>
      </c>
      <c r="GN532" s="319" t="s">
        <v>190</v>
      </c>
      <c r="GO532" s="319" t="s">
        <v>190</v>
      </c>
      <c r="GP532" s="319" t="s">
        <v>190</v>
      </c>
      <c r="GQ532" s="319" t="s">
        <v>190</v>
      </c>
      <c r="GR532" s="319" t="s">
        <v>190</v>
      </c>
      <c r="GS532" s="319" t="s">
        <v>190</v>
      </c>
      <c r="GT532" s="319" t="s">
        <v>190</v>
      </c>
      <c r="GU532" s="319" t="s">
        <v>190</v>
      </c>
      <c r="GV532" s="319" t="s">
        <v>190</v>
      </c>
      <c r="GW532" s="319" t="s">
        <v>190</v>
      </c>
      <c r="GX532" s="319" t="s">
        <v>190</v>
      </c>
      <c r="GY532" s="319" t="s">
        <v>190</v>
      </c>
      <c r="GZ532" s="319" t="s">
        <v>190</v>
      </c>
      <c r="HA532" s="319" t="s">
        <v>190</v>
      </c>
      <c r="HB532" s="319" t="s">
        <v>190</v>
      </c>
      <c r="HC532" s="319" t="s">
        <v>190</v>
      </c>
      <c r="HD532" s="319" t="s">
        <v>190</v>
      </c>
      <c r="HE532" s="319" t="s">
        <v>190</v>
      </c>
      <c r="HF532" s="319" t="s">
        <v>190</v>
      </c>
      <c r="HG532" s="319" t="s">
        <v>190</v>
      </c>
      <c r="HH532" s="319" t="s">
        <v>190</v>
      </c>
      <c r="HI532" s="319" t="s">
        <v>190</v>
      </c>
      <c r="HJ532" s="319" t="s">
        <v>190</v>
      </c>
      <c r="HK532" s="319" t="s">
        <v>190</v>
      </c>
      <c r="HL532" s="319" t="s">
        <v>429</v>
      </c>
      <c r="HM532" s="319" t="s">
        <v>429</v>
      </c>
      <c r="HN532" s="319" t="s">
        <v>429</v>
      </c>
      <c r="HO532" s="319" t="s">
        <v>429</v>
      </c>
      <c r="HP532" s="319" t="s">
        <v>190</v>
      </c>
      <c r="HQ532" s="319" t="s">
        <v>190</v>
      </c>
      <c r="HR532" s="319" t="s">
        <v>190</v>
      </c>
      <c r="HS532" s="319" t="s">
        <v>190</v>
      </c>
      <c r="HT532" s="319" t="s">
        <v>190</v>
      </c>
      <c r="HU532" s="319" t="s">
        <v>190</v>
      </c>
      <c r="HV532" s="319" t="s">
        <v>190</v>
      </c>
      <c r="HW532" s="319" t="s">
        <v>190</v>
      </c>
      <c r="HX532" s="319" t="s">
        <v>190</v>
      </c>
      <c r="HY532" s="319" t="s">
        <v>190</v>
      </c>
      <c r="HZ532" s="319" t="s">
        <v>190</v>
      </c>
      <c r="IA532" s="319" t="s">
        <v>190</v>
      </c>
      <c r="IB532" s="319" t="s">
        <v>190</v>
      </c>
      <c r="IC532" s="319" t="s">
        <v>190</v>
      </c>
      <c r="ID532" s="319" t="s">
        <v>190</v>
      </c>
      <c r="IE532" s="319" t="s">
        <v>190</v>
      </c>
      <c r="IF532" s="319" t="s">
        <v>190</v>
      </c>
      <c r="IG532" s="319" t="s">
        <v>190</v>
      </c>
      <c r="IH532" s="319" t="s">
        <v>190</v>
      </c>
      <c r="II532" s="319" t="s">
        <v>190</v>
      </c>
      <c r="IJ532" s="319" t="s">
        <v>3304</v>
      </c>
      <c r="IK532" s="321">
        <v>41086</v>
      </c>
      <c r="IL532" s="321">
        <v>41087</v>
      </c>
      <c r="IM532" s="321">
        <v>41108</v>
      </c>
      <c r="IN532" s="319">
        <v>2</v>
      </c>
      <c r="IO532" s="319" t="s">
        <v>173</v>
      </c>
      <c r="IP532" s="319" t="s">
        <v>173</v>
      </c>
      <c r="IQ532" s="319" t="s">
        <v>173</v>
      </c>
      <c r="IR532" s="320" t="s">
        <v>173</v>
      </c>
      <c r="IS532" s="320" t="s">
        <v>173</v>
      </c>
      <c r="IT532" s="319" t="s">
        <v>173</v>
      </c>
    </row>
    <row r="533" spans="1:254" s="271" customFormat="1" x14ac:dyDescent="0.25">
      <c r="A533" s="318" t="str">
        <f>HYPERLINK("http://www.ofsted.gov.uk/inspection-reports/find-inspection-report/provider/ELS/135511 ","Ofsted School Webpage")</f>
        <v>Ofsted School Webpage</v>
      </c>
      <c r="B533" s="319">
        <v>135511</v>
      </c>
      <c r="C533" s="319">
        <v>8936107</v>
      </c>
      <c r="D533" s="319" t="s">
        <v>1947</v>
      </c>
      <c r="E533" s="319" t="s">
        <v>168</v>
      </c>
      <c r="F533" s="319" t="s">
        <v>81</v>
      </c>
      <c r="G533" s="319" t="s">
        <v>81</v>
      </c>
      <c r="H533" s="319" t="s">
        <v>81</v>
      </c>
      <c r="I533" s="319" t="s">
        <v>78</v>
      </c>
      <c r="J533" s="319" t="s">
        <v>424</v>
      </c>
      <c r="K533" s="319" t="s">
        <v>437</v>
      </c>
      <c r="L533" s="319" t="s">
        <v>437</v>
      </c>
      <c r="M533" s="319" t="s">
        <v>587</v>
      </c>
      <c r="N533" s="319" t="s">
        <v>3026</v>
      </c>
      <c r="O533" s="319" t="s">
        <v>1948</v>
      </c>
      <c r="P533" s="319">
        <v>14</v>
      </c>
      <c r="Q533" s="319" t="s">
        <v>2776</v>
      </c>
      <c r="R533" s="320">
        <v>10092455</v>
      </c>
      <c r="S533" s="321">
        <v>43550</v>
      </c>
      <c r="T533" s="321">
        <v>43552</v>
      </c>
      <c r="U533" s="321">
        <v>43601</v>
      </c>
      <c r="V533" s="319" t="s">
        <v>425</v>
      </c>
      <c r="W533" s="319" t="s">
        <v>2767</v>
      </c>
      <c r="X533" s="319">
        <v>1</v>
      </c>
      <c r="Y533" s="319" t="s">
        <v>173</v>
      </c>
      <c r="Z533" s="319" t="s">
        <v>173</v>
      </c>
      <c r="AA533" s="319" t="s">
        <v>173</v>
      </c>
      <c r="AB533" s="319">
        <v>1</v>
      </c>
      <c r="AC533" s="319" t="s">
        <v>169</v>
      </c>
      <c r="AD533" s="319" t="s">
        <v>173</v>
      </c>
      <c r="AE533" s="319">
        <v>0</v>
      </c>
      <c r="AF533" s="319" t="s">
        <v>427</v>
      </c>
      <c r="AG533" s="319" t="s">
        <v>171</v>
      </c>
      <c r="AH533" s="319" t="s">
        <v>190</v>
      </c>
      <c r="AI533" s="319" t="s">
        <v>190</v>
      </c>
      <c r="AJ533" s="319" t="s">
        <v>190</v>
      </c>
      <c r="AK533" s="319" t="s">
        <v>190</v>
      </c>
      <c r="AL533" s="319" t="s">
        <v>190</v>
      </c>
      <c r="AM533" s="319" t="s">
        <v>190</v>
      </c>
      <c r="AN533" s="319" t="s">
        <v>190</v>
      </c>
      <c r="AO533" s="319" t="s">
        <v>190</v>
      </c>
      <c r="AP533" s="319" t="s">
        <v>190</v>
      </c>
      <c r="AQ533" s="319" t="s">
        <v>190</v>
      </c>
      <c r="AR533" s="319" t="s">
        <v>190</v>
      </c>
      <c r="AS533" s="319" t="s">
        <v>190</v>
      </c>
      <c r="AT533" s="319" t="s">
        <v>190</v>
      </c>
      <c r="AU533" s="319" t="s">
        <v>190</v>
      </c>
      <c r="AV533" s="319" t="s">
        <v>190</v>
      </c>
      <c r="AW533" s="319" t="s">
        <v>190</v>
      </c>
      <c r="AX533" s="319" t="s">
        <v>428</v>
      </c>
      <c r="AY533" s="319" t="s">
        <v>190</v>
      </c>
      <c r="AZ533" s="319" t="s">
        <v>190</v>
      </c>
      <c r="BA533" s="319" t="s">
        <v>190</v>
      </c>
      <c r="BB533" s="319" t="s">
        <v>190</v>
      </c>
      <c r="BC533" s="319" t="s">
        <v>190</v>
      </c>
      <c r="BD533" s="319" t="s">
        <v>190</v>
      </c>
      <c r="BE533" s="319" t="s">
        <v>190</v>
      </c>
      <c r="BF533" s="319" t="s">
        <v>428</v>
      </c>
      <c r="BG533" s="319" t="s">
        <v>190</v>
      </c>
      <c r="BH533" s="319" t="s">
        <v>190</v>
      </c>
      <c r="BI533" s="319" t="s">
        <v>190</v>
      </c>
      <c r="BJ533" s="319" t="s">
        <v>190</v>
      </c>
      <c r="BK533" s="319" t="s">
        <v>190</v>
      </c>
      <c r="BL533" s="319" t="s">
        <v>190</v>
      </c>
      <c r="BM533" s="319" t="s">
        <v>190</v>
      </c>
      <c r="BN533" s="319" t="s">
        <v>190</v>
      </c>
      <c r="BO533" s="319" t="s">
        <v>190</v>
      </c>
      <c r="BP533" s="319" t="s">
        <v>190</v>
      </c>
      <c r="BQ533" s="319" t="s">
        <v>190</v>
      </c>
      <c r="BR533" s="319" t="s">
        <v>190</v>
      </c>
      <c r="BS533" s="319" t="s">
        <v>190</v>
      </c>
      <c r="BT533" s="319" t="s">
        <v>190</v>
      </c>
      <c r="BU533" s="319" t="s">
        <v>190</v>
      </c>
      <c r="BV533" s="319" t="s">
        <v>190</v>
      </c>
      <c r="BW533" s="319" t="s">
        <v>190</v>
      </c>
      <c r="BX533" s="319" t="s">
        <v>190</v>
      </c>
      <c r="BY533" s="319" t="s">
        <v>190</v>
      </c>
      <c r="BZ533" s="319" t="s">
        <v>190</v>
      </c>
      <c r="CA533" s="319" t="s">
        <v>190</v>
      </c>
      <c r="CB533" s="319" t="s">
        <v>190</v>
      </c>
      <c r="CC533" s="319" t="s">
        <v>190</v>
      </c>
      <c r="CD533" s="319" t="s">
        <v>190</v>
      </c>
      <c r="CE533" s="319" t="s">
        <v>190</v>
      </c>
      <c r="CF533" s="319" t="s">
        <v>190</v>
      </c>
      <c r="CG533" s="319" t="s">
        <v>190</v>
      </c>
      <c r="CH533" s="319" t="s">
        <v>190</v>
      </c>
      <c r="CI533" s="319" t="s">
        <v>190</v>
      </c>
      <c r="CJ533" s="319" t="s">
        <v>190</v>
      </c>
      <c r="CK533" s="319" t="s">
        <v>190</v>
      </c>
      <c r="CL533" s="319" t="s">
        <v>190</v>
      </c>
      <c r="CM533" s="319" t="s">
        <v>190</v>
      </c>
      <c r="CN533" s="319" t="s">
        <v>428</v>
      </c>
      <c r="CO533" s="319" t="s">
        <v>428</v>
      </c>
      <c r="CP533" s="319" t="s">
        <v>428</v>
      </c>
      <c r="CQ533" s="319" t="s">
        <v>190</v>
      </c>
      <c r="CR533" s="319" t="s">
        <v>190</v>
      </c>
      <c r="CS533" s="319" t="s">
        <v>190</v>
      </c>
      <c r="CT533" s="319" t="s">
        <v>190</v>
      </c>
      <c r="CU533" s="319" t="s">
        <v>190</v>
      </c>
      <c r="CV533" s="319" t="s">
        <v>190</v>
      </c>
      <c r="CW533" s="319" t="s">
        <v>190</v>
      </c>
      <c r="CX533" s="319" t="s">
        <v>190</v>
      </c>
      <c r="CY533" s="319" t="s">
        <v>190</v>
      </c>
      <c r="CZ533" s="319" t="s">
        <v>190</v>
      </c>
      <c r="DA533" s="319" t="s">
        <v>190</v>
      </c>
      <c r="DB533" s="319" t="s">
        <v>190</v>
      </c>
      <c r="DC533" s="319" t="s">
        <v>190</v>
      </c>
      <c r="DD533" s="319" t="s">
        <v>190</v>
      </c>
      <c r="DE533" s="319" t="s">
        <v>190</v>
      </c>
      <c r="DF533" s="319" t="s">
        <v>190</v>
      </c>
      <c r="DG533" s="319" t="s">
        <v>190</v>
      </c>
      <c r="DH533" s="319" t="s">
        <v>190</v>
      </c>
      <c r="DI533" s="319" t="s">
        <v>190</v>
      </c>
      <c r="DJ533" s="319" t="s">
        <v>190</v>
      </c>
      <c r="DK533" s="319" t="s">
        <v>190</v>
      </c>
      <c r="DL533" s="319" t="s">
        <v>190</v>
      </c>
      <c r="DM533" s="319" t="s">
        <v>190</v>
      </c>
      <c r="DN533" s="319" t="s">
        <v>428</v>
      </c>
      <c r="DO533" s="319" t="s">
        <v>190</v>
      </c>
      <c r="DP533" s="319" t="s">
        <v>190</v>
      </c>
      <c r="DQ533" s="319" t="s">
        <v>190</v>
      </c>
      <c r="DR533" s="319" t="s">
        <v>190</v>
      </c>
      <c r="DS533" s="319" t="s">
        <v>190</v>
      </c>
      <c r="DT533" s="319" t="s">
        <v>190</v>
      </c>
      <c r="DU533" s="319" t="s">
        <v>190</v>
      </c>
      <c r="DV533" s="319" t="s">
        <v>173</v>
      </c>
      <c r="DW533" s="319" t="s">
        <v>190</v>
      </c>
      <c r="DX533" s="319" t="s">
        <v>190</v>
      </c>
      <c r="DY533" s="319" t="s">
        <v>190</v>
      </c>
      <c r="DZ533" s="319" t="s">
        <v>190</v>
      </c>
      <c r="EA533" s="319" t="s">
        <v>190</v>
      </c>
      <c r="EB533" s="319" t="s">
        <v>190</v>
      </c>
      <c r="EC533" s="319" t="s">
        <v>428</v>
      </c>
      <c r="ED533" s="319" t="s">
        <v>190</v>
      </c>
      <c r="EE533" s="319" t="s">
        <v>190</v>
      </c>
      <c r="EF533" s="319" t="s">
        <v>190</v>
      </c>
      <c r="EG533" s="319" t="s">
        <v>190</v>
      </c>
      <c r="EH533" s="319" t="s">
        <v>190</v>
      </c>
      <c r="EI533" s="319" t="s">
        <v>190</v>
      </c>
      <c r="EJ533" s="319" t="s">
        <v>190</v>
      </c>
      <c r="EK533" s="319" t="s">
        <v>190</v>
      </c>
      <c r="EL533" s="319" t="s">
        <v>190</v>
      </c>
      <c r="EM533" s="319" t="s">
        <v>190</v>
      </c>
      <c r="EN533" s="319" t="s">
        <v>190</v>
      </c>
      <c r="EO533" s="319" t="s">
        <v>190</v>
      </c>
      <c r="EP533" s="319" t="s">
        <v>190</v>
      </c>
      <c r="EQ533" s="319" t="s">
        <v>190</v>
      </c>
      <c r="ER533" s="319" t="s">
        <v>190</v>
      </c>
      <c r="ES533" s="319" t="s">
        <v>190</v>
      </c>
      <c r="ET533" s="319" t="s">
        <v>190</v>
      </c>
      <c r="EU533" s="319" t="s">
        <v>190</v>
      </c>
      <c r="EV533" s="319" t="s">
        <v>190</v>
      </c>
      <c r="EW533" s="319" t="s">
        <v>190</v>
      </c>
      <c r="EX533" s="319" t="s">
        <v>190</v>
      </c>
      <c r="EY533" s="319" t="s">
        <v>190</v>
      </c>
      <c r="EZ533" s="319" t="s">
        <v>190</v>
      </c>
      <c r="FA533" s="319" t="s">
        <v>190</v>
      </c>
      <c r="FB533" s="319" t="s">
        <v>190</v>
      </c>
      <c r="FC533" s="319" t="s">
        <v>190</v>
      </c>
      <c r="FD533" s="319" t="s">
        <v>190</v>
      </c>
      <c r="FE533" s="319" t="s">
        <v>190</v>
      </c>
      <c r="FF533" s="319" t="s">
        <v>190</v>
      </c>
      <c r="FG533" s="319" t="s">
        <v>190</v>
      </c>
      <c r="FH533" s="319" t="s">
        <v>190</v>
      </c>
      <c r="FI533" s="319" t="s">
        <v>190</v>
      </c>
      <c r="FJ533" s="319" t="s">
        <v>190</v>
      </c>
      <c r="FK533" s="319" t="s">
        <v>190</v>
      </c>
      <c r="FL533" s="319" t="s">
        <v>190</v>
      </c>
      <c r="FM533" s="319" t="s">
        <v>190</v>
      </c>
      <c r="FN533" s="319" t="s">
        <v>190</v>
      </c>
      <c r="FO533" s="319" t="s">
        <v>190</v>
      </c>
      <c r="FP533" s="319" t="s">
        <v>190</v>
      </c>
      <c r="FQ533" s="319" t="s">
        <v>190</v>
      </c>
      <c r="FR533" s="319" t="s">
        <v>190</v>
      </c>
      <c r="FS533" s="319" t="s">
        <v>428</v>
      </c>
      <c r="FT533" s="319" t="s">
        <v>190</v>
      </c>
      <c r="FU533" s="319" t="s">
        <v>190</v>
      </c>
      <c r="FV533" s="319" t="s">
        <v>190</v>
      </c>
      <c r="FW533" s="319" t="s">
        <v>190</v>
      </c>
      <c r="FX533" s="319" t="s">
        <v>190</v>
      </c>
      <c r="FY533" s="319" t="s">
        <v>190</v>
      </c>
      <c r="FZ533" s="319" t="s">
        <v>190</v>
      </c>
      <c r="GA533" s="319" t="s">
        <v>190</v>
      </c>
      <c r="GB533" s="319" t="s">
        <v>190</v>
      </c>
      <c r="GC533" s="319" t="s">
        <v>190</v>
      </c>
      <c r="GD533" s="319" t="s">
        <v>190</v>
      </c>
      <c r="GE533" s="319" t="s">
        <v>190</v>
      </c>
      <c r="GF533" s="319" t="s">
        <v>190</v>
      </c>
      <c r="GG533" s="319" t="s">
        <v>190</v>
      </c>
      <c r="GH533" s="319" t="s">
        <v>190</v>
      </c>
      <c r="GI533" s="319" t="s">
        <v>190</v>
      </c>
      <c r="GJ533" s="319" t="s">
        <v>190</v>
      </c>
      <c r="GK533" s="319" t="s">
        <v>428</v>
      </c>
      <c r="GL533" s="319" t="s">
        <v>190</v>
      </c>
      <c r="GM533" s="319" t="s">
        <v>190</v>
      </c>
      <c r="GN533" s="319" t="s">
        <v>190</v>
      </c>
      <c r="GO533" s="319" t="s">
        <v>190</v>
      </c>
      <c r="GP533" s="319" t="s">
        <v>190</v>
      </c>
      <c r="GQ533" s="319" t="s">
        <v>190</v>
      </c>
      <c r="GR533" s="319" t="s">
        <v>190</v>
      </c>
      <c r="GS533" s="319" t="s">
        <v>190</v>
      </c>
      <c r="GT533" s="319" t="s">
        <v>190</v>
      </c>
      <c r="GU533" s="319" t="s">
        <v>190</v>
      </c>
      <c r="GV533" s="319" t="s">
        <v>190</v>
      </c>
      <c r="GW533" s="319" t="s">
        <v>190</v>
      </c>
      <c r="GX533" s="319" t="s">
        <v>190</v>
      </c>
      <c r="GY533" s="319" t="s">
        <v>190</v>
      </c>
      <c r="GZ533" s="319" t="s">
        <v>190</v>
      </c>
      <c r="HA533" s="319" t="s">
        <v>428</v>
      </c>
      <c r="HB533" s="319" t="s">
        <v>190</v>
      </c>
      <c r="HC533" s="319" t="s">
        <v>190</v>
      </c>
      <c r="HD533" s="319" t="s">
        <v>190</v>
      </c>
      <c r="HE533" s="319" t="s">
        <v>190</v>
      </c>
      <c r="HF533" s="319" t="s">
        <v>190</v>
      </c>
      <c r="HG533" s="319" t="s">
        <v>190</v>
      </c>
      <c r="HH533" s="319" t="s">
        <v>190</v>
      </c>
      <c r="HI533" s="319" t="s">
        <v>190</v>
      </c>
      <c r="HJ533" s="319" t="s">
        <v>190</v>
      </c>
      <c r="HK533" s="319" t="s">
        <v>190</v>
      </c>
      <c r="HL533" s="319" t="s">
        <v>190</v>
      </c>
      <c r="HM533" s="319" t="s">
        <v>190</v>
      </c>
      <c r="HN533" s="319" t="s">
        <v>190</v>
      </c>
      <c r="HO533" s="319" t="s">
        <v>190</v>
      </c>
      <c r="HP533" s="319" t="s">
        <v>190</v>
      </c>
      <c r="HQ533" s="319" t="s">
        <v>190</v>
      </c>
      <c r="HR533" s="319" t="s">
        <v>190</v>
      </c>
      <c r="HS533" s="319" t="s">
        <v>190</v>
      </c>
      <c r="HT533" s="319" t="s">
        <v>190</v>
      </c>
      <c r="HU533" s="319" t="s">
        <v>190</v>
      </c>
      <c r="HV533" s="319" t="s">
        <v>190</v>
      </c>
      <c r="HW533" s="319" t="s">
        <v>190</v>
      </c>
      <c r="HX533" s="319" t="s">
        <v>190</v>
      </c>
      <c r="HY533" s="319" t="s">
        <v>190</v>
      </c>
      <c r="HZ533" s="319" t="s">
        <v>190</v>
      </c>
      <c r="IA533" s="319" t="s">
        <v>190</v>
      </c>
      <c r="IB533" s="319" t="s">
        <v>190</v>
      </c>
      <c r="IC533" s="319" t="s">
        <v>190</v>
      </c>
      <c r="ID533" s="319" t="s">
        <v>190</v>
      </c>
      <c r="IE533" s="319" t="s">
        <v>190</v>
      </c>
      <c r="IF533" s="319" t="s">
        <v>190</v>
      </c>
      <c r="IG533" s="319" t="s">
        <v>190</v>
      </c>
      <c r="IH533" s="319" t="s">
        <v>190</v>
      </c>
      <c r="II533" s="319" t="s">
        <v>190</v>
      </c>
      <c r="IJ533" s="319">
        <v>10006045</v>
      </c>
      <c r="IK533" s="321">
        <v>42486</v>
      </c>
      <c r="IL533" s="321">
        <v>42488</v>
      </c>
      <c r="IM533" s="321">
        <v>42542</v>
      </c>
      <c r="IN533" s="319">
        <v>1</v>
      </c>
      <c r="IO533" s="319" t="s">
        <v>173</v>
      </c>
      <c r="IP533" s="319" t="s">
        <v>173</v>
      </c>
      <c r="IQ533" s="321" t="s">
        <v>173</v>
      </c>
      <c r="IR533" s="320" t="s">
        <v>173</v>
      </c>
      <c r="IS533" s="322" t="s">
        <v>173</v>
      </c>
      <c r="IT533" s="319" t="s">
        <v>173</v>
      </c>
    </row>
    <row r="534" spans="1:254" s="271" customFormat="1" x14ac:dyDescent="0.25">
      <c r="A534" s="318" t="str">
        <f>HYPERLINK("http://www.ofsted.gov.uk/inspection-reports/find-inspection-report/provider/ELS/135518 ","Ofsted School Webpage")</f>
        <v>Ofsted School Webpage</v>
      </c>
      <c r="B534" s="319">
        <v>135518</v>
      </c>
      <c r="C534" s="319">
        <v>3336004</v>
      </c>
      <c r="D534" s="319" t="s">
        <v>1949</v>
      </c>
      <c r="E534" s="319" t="s">
        <v>168</v>
      </c>
      <c r="F534" s="319" t="s">
        <v>81</v>
      </c>
      <c r="G534" s="319" t="s">
        <v>81</v>
      </c>
      <c r="H534" s="319" t="s">
        <v>81</v>
      </c>
      <c r="I534" s="319" t="s">
        <v>78</v>
      </c>
      <c r="J534" s="319" t="s">
        <v>424</v>
      </c>
      <c r="K534" s="319" t="s">
        <v>437</v>
      </c>
      <c r="L534" s="319" t="s">
        <v>437</v>
      </c>
      <c r="M534" s="319" t="s">
        <v>638</v>
      </c>
      <c r="N534" s="319" t="s">
        <v>3305</v>
      </c>
      <c r="O534" s="319" t="s">
        <v>1950</v>
      </c>
      <c r="P534" s="319">
        <v>57</v>
      </c>
      <c r="Q534" s="319" t="s">
        <v>429</v>
      </c>
      <c r="R534" s="320">
        <v>10056218</v>
      </c>
      <c r="S534" s="321">
        <v>43620</v>
      </c>
      <c r="T534" s="321">
        <v>43622</v>
      </c>
      <c r="U534" s="321">
        <v>43646</v>
      </c>
      <c r="V534" s="319" t="s">
        <v>425</v>
      </c>
      <c r="W534" s="319" t="s">
        <v>2767</v>
      </c>
      <c r="X534" s="319">
        <v>2</v>
      </c>
      <c r="Y534" s="319" t="s">
        <v>173</v>
      </c>
      <c r="Z534" s="319" t="s">
        <v>173</v>
      </c>
      <c r="AA534" s="319" t="s">
        <v>173</v>
      </c>
      <c r="AB534" s="319">
        <v>2</v>
      </c>
      <c r="AC534" s="319" t="s">
        <v>169</v>
      </c>
      <c r="AD534" s="319" t="s">
        <v>173</v>
      </c>
      <c r="AE534" s="319" t="s">
        <v>173</v>
      </c>
      <c r="AF534" s="319" t="s">
        <v>427</v>
      </c>
      <c r="AG534" s="319" t="s">
        <v>171</v>
      </c>
      <c r="AH534" s="319" t="s">
        <v>190</v>
      </c>
      <c r="AI534" s="319" t="s">
        <v>190</v>
      </c>
      <c r="AJ534" s="319" t="s">
        <v>190</v>
      </c>
      <c r="AK534" s="319" t="s">
        <v>190</v>
      </c>
      <c r="AL534" s="319" t="s">
        <v>190</v>
      </c>
      <c r="AM534" s="319" t="s">
        <v>190</v>
      </c>
      <c r="AN534" s="319" t="s">
        <v>190</v>
      </c>
      <c r="AO534" s="319" t="s">
        <v>190</v>
      </c>
      <c r="AP534" s="319" t="s">
        <v>190</v>
      </c>
      <c r="AQ534" s="319" t="s">
        <v>190</v>
      </c>
      <c r="AR534" s="319" t="s">
        <v>190</v>
      </c>
      <c r="AS534" s="319" t="s">
        <v>190</v>
      </c>
      <c r="AT534" s="319" t="s">
        <v>190</v>
      </c>
      <c r="AU534" s="319" t="s">
        <v>190</v>
      </c>
      <c r="AV534" s="319" t="s">
        <v>190</v>
      </c>
      <c r="AW534" s="319" t="s">
        <v>190</v>
      </c>
      <c r="AX534" s="319" t="s">
        <v>428</v>
      </c>
      <c r="AY534" s="319" t="s">
        <v>190</v>
      </c>
      <c r="AZ534" s="319" t="s">
        <v>190</v>
      </c>
      <c r="BA534" s="319" t="s">
        <v>190</v>
      </c>
      <c r="BB534" s="319" t="s">
        <v>190</v>
      </c>
      <c r="BC534" s="319" t="s">
        <v>190</v>
      </c>
      <c r="BD534" s="319" t="s">
        <v>190</v>
      </c>
      <c r="BE534" s="319" t="s">
        <v>190</v>
      </c>
      <c r="BF534" s="319" t="s">
        <v>428</v>
      </c>
      <c r="BG534" s="319" t="s">
        <v>428</v>
      </c>
      <c r="BH534" s="319" t="s">
        <v>190</v>
      </c>
      <c r="BI534" s="319" t="s">
        <v>190</v>
      </c>
      <c r="BJ534" s="319" t="s">
        <v>190</v>
      </c>
      <c r="BK534" s="319" t="s">
        <v>190</v>
      </c>
      <c r="BL534" s="319" t="s">
        <v>190</v>
      </c>
      <c r="BM534" s="319" t="s">
        <v>190</v>
      </c>
      <c r="BN534" s="319" t="s">
        <v>190</v>
      </c>
      <c r="BO534" s="319" t="s">
        <v>190</v>
      </c>
      <c r="BP534" s="319" t="s">
        <v>190</v>
      </c>
      <c r="BQ534" s="319" t="s">
        <v>190</v>
      </c>
      <c r="BR534" s="319" t="s">
        <v>190</v>
      </c>
      <c r="BS534" s="319" t="s">
        <v>190</v>
      </c>
      <c r="BT534" s="319" t="s">
        <v>190</v>
      </c>
      <c r="BU534" s="319" t="s">
        <v>190</v>
      </c>
      <c r="BV534" s="319" t="s">
        <v>190</v>
      </c>
      <c r="BW534" s="319" t="s">
        <v>190</v>
      </c>
      <c r="BX534" s="319" t="s">
        <v>190</v>
      </c>
      <c r="BY534" s="319" t="s">
        <v>190</v>
      </c>
      <c r="BZ534" s="319" t="s">
        <v>190</v>
      </c>
      <c r="CA534" s="319" t="s">
        <v>190</v>
      </c>
      <c r="CB534" s="319" t="s">
        <v>190</v>
      </c>
      <c r="CC534" s="319" t="s">
        <v>190</v>
      </c>
      <c r="CD534" s="319" t="s">
        <v>190</v>
      </c>
      <c r="CE534" s="319" t="s">
        <v>190</v>
      </c>
      <c r="CF534" s="319" t="s">
        <v>190</v>
      </c>
      <c r="CG534" s="319" t="s">
        <v>190</v>
      </c>
      <c r="CH534" s="319" t="s">
        <v>190</v>
      </c>
      <c r="CI534" s="319" t="s">
        <v>190</v>
      </c>
      <c r="CJ534" s="319" t="s">
        <v>190</v>
      </c>
      <c r="CK534" s="319" t="s">
        <v>190</v>
      </c>
      <c r="CL534" s="319" t="s">
        <v>190</v>
      </c>
      <c r="CM534" s="319" t="s">
        <v>190</v>
      </c>
      <c r="CN534" s="319" t="s">
        <v>428</v>
      </c>
      <c r="CO534" s="319" t="s">
        <v>428</v>
      </c>
      <c r="CP534" s="319" t="s">
        <v>428</v>
      </c>
      <c r="CQ534" s="319" t="s">
        <v>190</v>
      </c>
      <c r="CR534" s="319" t="s">
        <v>190</v>
      </c>
      <c r="CS534" s="319" t="s">
        <v>190</v>
      </c>
      <c r="CT534" s="319" t="s">
        <v>190</v>
      </c>
      <c r="CU534" s="319" t="s">
        <v>190</v>
      </c>
      <c r="CV534" s="319" t="s">
        <v>190</v>
      </c>
      <c r="CW534" s="319" t="s">
        <v>190</v>
      </c>
      <c r="CX534" s="319" t="s">
        <v>190</v>
      </c>
      <c r="CY534" s="319" t="s">
        <v>190</v>
      </c>
      <c r="CZ534" s="319" t="s">
        <v>190</v>
      </c>
      <c r="DA534" s="319" t="s">
        <v>190</v>
      </c>
      <c r="DB534" s="319" t="s">
        <v>190</v>
      </c>
      <c r="DC534" s="319" t="s">
        <v>190</v>
      </c>
      <c r="DD534" s="319" t="s">
        <v>190</v>
      </c>
      <c r="DE534" s="319" t="s">
        <v>190</v>
      </c>
      <c r="DF534" s="319" t="s">
        <v>190</v>
      </c>
      <c r="DG534" s="319" t="s">
        <v>190</v>
      </c>
      <c r="DH534" s="319" t="s">
        <v>190</v>
      </c>
      <c r="DI534" s="319" t="s">
        <v>190</v>
      </c>
      <c r="DJ534" s="319" t="s">
        <v>190</v>
      </c>
      <c r="DK534" s="319" t="s">
        <v>190</v>
      </c>
      <c r="DL534" s="319" t="s">
        <v>190</v>
      </c>
      <c r="DM534" s="319" t="s">
        <v>190</v>
      </c>
      <c r="DN534" s="319" t="s">
        <v>428</v>
      </c>
      <c r="DO534" s="319" t="s">
        <v>428</v>
      </c>
      <c r="DP534" s="319" t="s">
        <v>190</v>
      </c>
      <c r="DQ534" s="319" t="s">
        <v>190</v>
      </c>
      <c r="DR534" s="319" t="s">
        <v>190</v>
      </c>
      <c r="DS534" s="319" t="s">
        <v>190</v>
      </c>
      <c r="DT534" s="319" t="s">
        <v>190</v>
      </c>
      <c r="DU534" s="319" t="s">
        <v>190</v>
      </c>
      <c r="DV534" s="319" t="s">
        <v>173</v>
      </c>
      <c r="DW534" s="319" t="s">
        <v>190</v>
      </c>
      <c r="DX534" s="319" t="s">
        <v>190</v>
      </c>
      <c r="DY534" s="319" t="s">
        <v>190</v>
      </c>
      <c r="DZ534" s="319" t="s">
        <v>190</v>
      </c>
      <c r="EA534" s="319" t="s">
        <v>190</v>
      </c>
      <c r="EB534" s="319" t="s">
        <v>190</v>
      </c>
      <c r="EC534" s="319" t="s">
        <v>428</v>
      </c>
      <c r="ED534" s="319" t="s">
        <v>190</v>
      </c>
      <c r="EE534" s="319" t="s">
        <v>190</v>
      </c>
      <c r="EF534" s="319" t="s">
        <v>190</v>
      </c>
      <c r="EG534" s="319" t="s">
        <v>190</v>
      </c>
      <c r="EH534" s="319" t="s">
        <v>190</v>
      </c>
      <c r="EI534" s="319" t="s">
        <v>190</v>
      </c>
      <c r="EJ534" s="319" t="s">
        <v>190</v>
      </c>
      <c r="EK534" s="319" t="s">
        <v>190</v>
      </c>
      <c r="EL534" s="319" t="s">
        <v>173</v>
      </c>
      <c r="EM534" s="319" t="s">
        <v>190</v>
      </c>
      <c r="EN534" s="319" t="s">
        <v>173</v>
      </c>
      <c r="EO534" s="319" t="s">
        <v>190</v>
      </c>
      <c r="EP534" s="319" t="s">
        <v>190</v>
      </c>
      <c r="EQ534" s="319" t="s">
        <v>173</v>
      </c>
      <c r="ER534" s="319" t="s">
        <v>190</v>
      </c>
      <c r="ES534" s="319" t="s">
        <v>190</v>
      </c>
      <c r="ET534" s="319" t="s">
        <v>173</v>
      </c>
      <c r="EU534" s="319" t="s">
        <v>173</v>
      </c>
      <c r="EV534" s="319" t="s">
        <v>190</v>
      </c>
      <c r="EW534" s="319" t="s">
        <v>190</v>
      </c>
      <c r="EX534" s="319" t="s">
        <v>190</v>
      </c>
      <c r="EY534" s="319" t="s">
        <v>190</v>
      </c>
      <c r="EZ534" s="319" t="s">
        <v>190</v>
      </c>
      <c r="FA534" s="319" t="s">
        <v>190</v>
      </c>
      <c r="FB534" s="319" t="s">
        <v>190</v>
      </c>
      <c r="FC534" s="319" t="s">
        <v>190</v>
      </c>
      <c r="FD534" s="319" t="s">
        <v>190</v>
      </c>
      <c r="FE534" s="319" t="s">
        <v>190</v>
      </c>
      <c r="FF534" s="319" t="s">
        <v>190</v>
      </c>
      <c r="FG534" s="319" t="s">
        <v>190</v>
      </c>
      <c r="FH534" s="319" t="s">
        <v>190</v>
      </c>
      <c r="FI534" s="319" t="s">
        <v>190</v>
      </c>
      <c r="FJ534" s="319" t="s">
        <v>190</v>
      </c>
      <c r="FK534" s="319" t="s">
        <v>190</v>
      </c>
      <c r="FL534" s="319" t="s">
        <v>190</v>
      </c>
      <c r="FM534" s="319" t="s">
        <v>190</v>
      </c>
      <c r="FN534" s="319" t="s">
        <v>190</v>
      </c>
      <c r="FO534" s="319" t="s">
        <v>190</v>
      </c>
      <c r="FP534" s="319" t="s">
        <v>190</v>
      </c>
      <c r="FQ534" s="319" t="s">
        <v>190</v>
      </c>
      <c r="FR534" s="319" t="s">
        <v>190</v>
      </c>
      <c r="FS534" s="319" t="s">
        <v>428</v>
      </c>
      <c r="FT534" s="319" t="s">
        <v>190</v>
      </c>
      <c r="FU534" s="319" t="s">
        <v>190</v>
      </c>
      <c r="FV534" s="319" t="s">
        <v>190</v>
      </c>
      <c r="FW534" s="319" t="s">
        <v>190</v>
      </c>
      <c r="FX534" s="319" t="s">
        <v>190</v>
      </c>
      <c r="FY534" s="319" t="s">
        <v>190</v>
      </c>
      <c r="FZ534" s="319" t="s">
        <v>190</v>
      </c>
      <c r="GA534" s="319" t="s">
        <v>190</v>
      </c>
      <c r="GB534" s="319" t="s">
        <v>190</v>
      </c>
      <c r="GC534" s="319" t="s">
        <v>190</v>
      </c>
      <c r="GD534" s="319" t="s">
        <v>190</v>
      </c>
      <c r="GE534" s="319" t="s">
        <v>190</v>
      </c>
      <c r="GF534" s="319" t="s">
        <v>190</v>
      </c>
      <c r="GG534" s="319" t="s">
        <v>190</v>
      </c>
      <c r="GH534" s="319" t="s">
        <v>190</v>
      </c>
      <c r="GI534" s="319" t="s">
        <v>190</v>
      </c>
      <c r="GJ534" s="319" t="s">
        <v>190</v>
      </c>
      <c r="GK534" s="319" t="s">
        <v>173</v>
      </c>
      <c r="GL534" s="319" t="s">
        <v>190</v>
      </c>
      <c r="GM534" s="319" t="s">
        <v>190</v>
      </c>
      <c r="GN534" s="319" t="s">
        <v>190</v>
      </c>
      <c r="GO534" s="319" t="s">
        <v>190</v>
      </c>
      <c r="GP534" s="319" t="s">
        <v>190</v>
      </c>
      <c r="GQ534" s="319" t="s">
        <v>190</v>
      </c>
      <c r="GR534" s="319" t="s">
        <v>190</v>
      </c>
      <c r="GS534" s="319" t="s">
        <v>190</v>
      </c>
      <c r="GT534" s="319" t="s">
        <v>190</v>
      </c>
      <c r="GU534" s="319" t="s">
        <v>190</v>
      </c>
      <c r="GV534" s="319" t="s">
        <v>190</v>
      </c>
      <c r="GW534" s="319" t="s">
        <v>190</v>
      </c>
      <c r="GX534" s="319" t="s">
        <v>190</v>
      </c>
      <c r="GY534" s="319" t="s">
        <v>190</v>
      </c>
      <c r="GZ534" s="319" t="s">
        <v>428</v>
      </c>
      <c r="HA534" s="319" t="s">
        <v>190</v>
      </c>
      <c r="HB534" s="319" t="s">
        <v>428</v>
      </c>
      <c r="HC534" s="319" t="s">
        <v>190</v>
      </c>
      <c r="HD534" s="319" t="s">
        <v>190</v>
      </c>
      <c r="HE534" s="319" t="s">
        <v>190</v>
      </c>
      <c r="HF534" s="319" t="s">
        <v>190</v>
      </c>
      <c r="HG534" s="319" t="s">
        <v>190</v>
      </c>
      <c r="HH534" s="319" t="s">
        <v>190</v>
      </c>
      <c r="HI534" s="319" t="s">
        <v>190</v>
      </c>
      <c r="HJ534" s="319" t="s">
        <v>190</v>
      </c>
      <c r="HK534" s="319" t="s">
        <v>190</v>
      </c>
      <c r="HL534" s="319" t="s">
        <v>190</v>
      </c>
      <c r="HM534" s="319" t="s">
        <v>428</v>
      </c>
      <c r="HN534" s="319" t="s">
        <v>428</v>
      </c>
      <c r="HO534" s="319" t="s">
        <v>428</v>
      </c>
      <c r="HP534" s="319" t="s">
        <v>190</v>
      </c>
      <c r="HQ534" s="319" t="s">
        <v>190</v>
      </c>
      <c r="HR534" s="319" t="s">
        <v>190</v>
      </c>
      <c r="HS534" s="319" t="s">
        <v>190</v>
      </c>
      <c r="HT534" s="319" t="s">
        <v>190</v>
      </c>
      <c r="HU534" s="319" t="s">
        <v>190</v>
      </c>
      <c r="HV534" s="319" t="s">
        <v>190</v>
      </c>
      <c r="HW534" s="319" t="s">
        <v>190</v>
      </c>
      <c r="HX534" s="319" t="s">
        <v>190</v>
      </c>
      <c r="HY534" s="319" t="s">
        <v>190</v>
      </c>
      <c r="HZ534" s="319" t="s">
        <v>190</v>
      </c>
      <c r="IA534" s="319" t="s">
        <v>190</v>
      </c>
      <c r="IB534" s="319" t="s">
        <v>190</v>
      </c>
      <c r="IC534" s="319" t="s">
        <v>190</v>
      </c>
      <c r="ID534" s="319" t="s">
        <v>190</v>
      </c>
      <c r="IE534" s="319" t="s">
        <v>190</v>
      </c>
      <c r="IF534" s="319" t="s">
        <v>190</v>
      </c>
      <c r="IG534" s="319" t="s">
        <v>190</v>
      </c>
      <c r="IH534" s="319" t="s">
        <v>190</v>
      </c>
      <c r="II534" s="319" t="s">
        <v>190</v>
      </c>
      <c r="IJ534" s="319">
        <v>10008602</v>
      </c>
      <c r="IK534" s="321">
        <v>42402</v>
      </c>
      <c r="IL534" s="321">
        <v>42404</v>
      </c>
      <c r="IM534" s="321">
        <v>42436</v>
      </c>
      <c r="IN534" s="319">
        <v>2</v>
      </c>
      <c r="IO534" s="319" t="s">
        <v>173</v>
      </c>
      <c r="IP534" s="319" t="s">
        <v>173</v>
      </c>
      <c r="IQ534" s="321" t="s">
        <v>173</v>
      </c>
      <c r="IR534" s="320" t="s">
        <v>173</v>
      </c>
      <c r="IS534" s="322" t="s">
        <v>173</v>
      </c>
      <c r="IT534" s="319" t="s">
        <v>173</v>
      </c>
    </row>
    <row r="535" spans="1:254" s="271" customFormat="1" x14ac:dyDescent="0.25">
      <c r="A535" s="318" t="str">
        <f>HYPERLINK("http://www.ofsted.gov.uk/inspection-reports/find-inspection-report/provider/ELS/135526 ","Ofsted School Webpage")</f>
        <v>Ofsted School Webpage</v>
      </c>
      <c r="B535" s="319">
        <v>135526</v>
      </c>
      <c r="C535" s="319">
        <v>3566031</v>
      </c>
      <c r="D535" s="319" t="s">
        <v>1951</v>
      </c>
      <c r="E535" s="319" t="s">
        <v>167</v>
      </c>
      <c r="F535" s="319" t="s">
        <v>81</v>
      </c>
      <c r="G535" s="319" t="s">
        <v>81</v>
      </c>
      <c r="H535" s="319" t="s">
        <v>81</v>
      </c>
      <c r="I535" s="319" t="s">
        <v>78</v>
      </c>
      <c r="J535" s="319" t="s">
        <v>424</v>
      </c>
      <c r="K535" s="319" t="s">
        <v>431</v>
      </c>
      <c r="L535" s="319" t="s">
        <v>431</v>
      </c>
      <c r="M535" s="319" t="s">
        <v>837</v>
      </c>
      <c r="N535" s="319" t="s">
        <v>3306</v>
      </c>
      <c r="O535" s="319" t="s">
        <v>1952</v>
      </c>
      <c r="P535" s="319">
        <v>11</v>
      </c>
      <c r="Q535" s="319" t="s">
        <v>2766</v>
      </c>
      <c r="R535" s="320">
        <v>10067897</v>
      </c>
      <c r="S535" s="321">
        <v>43536</v>
      </c>
      <c r="T535" s="321">
        <v>43538</v>
      </c>
      <c r="U535" s="321">
        <v>43556</v>
      </c>
      <c r="V535" s="319" t="s">
        <v>425</v>
      </c>
      <c r="W535" s="319" t="s">
        <v>2767</v>
      </c>
      <c r="X535" s="319">
        <v>2</v>
      </c>
      <c r="Y535" s="319" t="s">
        <v>173</v>
      </c>
      <c r="Z535" s="319" t="s">
        <v>173</v>
      </c>
      <c r="AA535" s="319" t="s">
        <v>173</v>
      </c>
      <c r="AB535" s="319">
        <v>2</v>
      </c>
      <c r="AC535" s="319" t="s">
        <v>169</v>
      </c>
      <c r="AD535" s="319" t="s">
        <v>173</v>
      </c>
      <c r="AE535" s="319" t="s">
        <v>173</v>
      </c>
      <c r="AF535" s="319" t="s">
        <v>427</v>
      </c>
      <c r="AG535" s="319" t="s">
        <v>171</v>
      </c>
      <c r="AH535" s="319" t="s">
        <v>190</v>
      </c>
      <c r="AI535" s="319" t="s">
        <v>190</v>
      </c>
      <c r="AJ535" s="319" t="s">
        <v>190</v>
      </c>
      <c r="AK535" s="319" t="s">
        <v>190</v>
      </c>
      <c r="AL535" s="319" t="s">
        <v>190</v>
      </c>
      <c r="AM535" s="319" t="s">
        <v>190</v>
      </c>
      <c r="AN535" s="319" t="s">
        <v>190</v>
      </c>
      <c r="AO535" s="319" t="s">
        <v>190</v>
      </c>
      <c r="AP535" s="319" t="s">
        <v>190</v>
      </c>
      <c r="AQ535" s="319" t="s">
        <v>190</v>
      </c>
      <c r="AR535" s="319" t="s">
        <v>190</v>
      </c>
      <c r="AS535" s="319" t="s">
        <v>190</v>
      </c>
      <c r="AT535" s="319" t="s">
        <v>190</v>
      </c>
      <c r="AU535" s="319" t="s">
        <v>190</v>
      </c>
      <c r="AV535" s="319" t="s">
        <v>190</v>
      </c>
      <c r="AW535" s="319" t="s">
        <v>190</v>
      </c>
      <c r="AX535" s="319" t="s">
        <v>428</v>
      </c>
      <c r="AY535" s="319" t="s">
        <v>190</v>
      </c>
      <c r="AZ535" s="319" t="s">
        <v>190</v>
      </c>
      <c r="BA535" s="319" t="s">
        <v>190</v>
      </c>
      <c r="BB535" s="319" t="s">
        <v>190</v>
      </c>
      <c r="BC535" s="319" t="s">
        <v>190</v>
      </c>
      <c r="BD535" s="319" t="s">
        <v>190</v>
      </c>
      <c r="BE535" s="319" t="s">
        <v>190</v>
      </c>
      <c r="BF535" s="319" t="s">
        <v>428</v>
      </c>
      <c r="BG535" s="319" t="s">
        <v>428</v>
      </c>
      <c r="BH535" s="319" t="s">
        <v>190</v>
      </c>
      <c r="BI535" s="319" t="s">
        <v>190</v>
      </c>
      <c r="BJ535" s="319" t="s">
        <v>190</v>
      </c>
      <c r="BK535" s="319" t="s">
        <v>190</v>
      </c>
      <c r="BL535" s="319" t="s">
        <v>190</v>
      </c>
      <c r="BM535" s="319" t="s">
        <v>190</v>
      </c>
      <c r="BN535" s="319" t="s">
        <v>190</v>
      </c>
      <c r="BO535" s="319" t="s">
        <v>190</v>
      </c>
      <c r="BP535" s="319" t="s">
        <v>190</v>
      </c>
      <c r="BQ535" s="319" t="s">
        <v>190</v>
      </c>
      <c r="BR535" s="319" t="s">
        <v>190</v>
      </c>
      <c r="BS535" s="319" t="s">
        <v>190</v>
      </c>
      <c r="BT535" s="319" t="s">
        <v>190</v>
      </c>
      <c r="BU535" s="319" t="s">
        <v>190</v>
      </c>
      <c r="BV535" s="319" t="s">
        <v>190</v>
      </c>
      <c r="BW535" s="319" t="s">
        <v>190</v>
      </c>
      <c r="BX535" s="319" t="s">
        <v>190</v>
      </c>
      <c r="BY535" s="319" t="s">
        <v>190</v>
      </c>
      <c r="BZ535" s="319" t="s">
        <v>190</v>
      </c>
      <c r="CA535" s="319" t="s">
        <v>190</v>
      </c>
      <c r="CB535" s="319" t="s">
        <v>190</v>
      </c>
      <c r="CC535" s="319" t="s">
        <v>190</v>
      </c>
      <c r="CD535" s="319" t="s">
        <v>190</v>
      </c>
      <c r="CE535" s="319" t="s">
        <v>190</v>
      </c>
      <c r="CF535" s="319" t="s">
        <v>190</v>
      </c>
      <c r="CG535" s="319" t="s">
        <v>190</v>
      </c>
      <c r="CH535" s="319" t="s">
        <v>190</v>
      </c>
      <c r="CI535" s="319" t="s">
        <v>190</v>
      </c>
      <c r="CJ535" s="319" t="s">
        <v>190</v>
      </c>
      <c r="CK535" s="319" t="s">
        <v>190</v>
      </c>
      <c r="CL535" s="319" t="s">
        <v>190</v>
      </c>
      <c r="CM535" s="319" t="s">
        <v>190</v>
      </c>
      <c r="CN535" s="319" t="s">
        <v>428</v>
      </c>
      <c r="CO535" s="319" t="s">
        <v>428</v>
      </c>
      <c r="CP535" s="319" t="s">
        <v>428</v>
      </c>
      <c r="CQ535" s="319" t="s">
        <v>190</v>
      </c>
      <c r="CR535" s="319" t="s">
        <v>190</v>
      </c>
      <c r="CS535" s="319" t="s">
        <v>190</v>
      </c>
      <c r="CT535" s="319" t="s">
        <v>190</v>
      </c>
      <c r="CU535" s="319" t="s">
        <v>190</v>
      </c>
      <c r="CV535" s="319" t="s">
        <v>190</v>
      </c>
      <c r="CW535" s="319" t="s">
        <v>190</v>
      </c>
      <c r="CX535" s="319" t="s">
        <v>190</v>
      </c>
      <c r="CY535" s="319" t="s">
        <v>190</v>
      </c>
      <c r="CZ535" s="319" t="s">
        <v>190</v>
      </c>
      <c r="DA535" s="319" t="s">
        <v>190</v>
      </c>
      <c r="DB535" s="319" t="s">
        <v>190</v>
      </c>
      <c r="DC535" s="319" t="s">
        <v>190</v>
      </c>
      <c r="DD535" s="319" t="s">
        <v>190</v>
      </c>
      <c r="DE535" s="319" t="s">
        <v>190</v>
      </c>
      <c r="DF535" s="319" t="s">
        <v>190</v>
      </c>
      <c r="DG535" s="319" t="s">
        <v>190</v>
      </c>
      <c r="DH535" s="319" t="s">
        <v>190</v>
      </c>
      <c r="DI535" s="319" t="s">
        <v>190</v>
      </c>
      <c r="DJ535" s="319" t="s">
        <v>190</v>
      </c>
      <c r="DK535" s="319" t="s">
        <v>190</v>
      </c>
      <c r="DL535" s="319" t="s">
        <v>190</v>
      </c>
      <c r="DM535" s="319" t="s">
        <v>190</v>
      </c>
      <c r="DN535" s="319" t="s">
        <v>428</v>
      </c>
      <c r="DO535" s="319" t="s">
        <v>190</v>
      </c>
      <c r="DP535" s="319" t="s">
        <v>190</v>
      </c>
      <c r="DQ535" s="319" t="s">
        <v>190</v>
      </c>
      <c r="DR535" s="319" t="s">
        <v>190</v>
      </c>
      <c r="DS535" s="319" t="s">
        <v>190</v>
      </c>
      <c r="DT535" s="319" t="s">
        <v>190</v>
      </c>
      <c r="DU535" s="319" t="s">
        <v>190</v>
      </c>
      <c r="DV535" s="319" t="s">
        <v>173</v>
      </c>
      <c r="DW535" s="319" t="s">
        <v>190</v>
      </c>
      <c r="DX535" s="319" t="s">
        <v>190</v>
      </c>
      <c r="DY535" s="319" t="s">
        <v>190</v>
      </c>
      <c r="DZ535" s="319" t="s">
        <v>190</v>
      </c>
      <c r="EA535" s="319" t="s">
        <v>190</v>
      </c>
      <c r="EB535" s="319" t="s">
        <v>190</v>
      </c>
      <c r="EC535" s="319" t="s">
        <v>428</v>
      </c>
      <c r="ED535" s="319" t="s">
        <v>190</v>
      </c>
      <c r="EE535" s="319" t="s">
        <v>428</v>
      </c>
      <c r="EF535" s="319" t="s">
        <v>428</v>
      </c>
      <c r="EG535" s="319" t="s">
        <v>428</v>
      </c>
      <c r="EH535" s="319" t="s">
        <v>428</v>
      </c>
      <c r="EI535" s="319" t="s">
        <v>428</v>
      </c>
      <c r="EJ535" s="319" t="s">
        <v>428</v>
      </c>
      <c r="EK535" s="319" t="s">
        <v>428</v>
      </c>
      <c r="EL535" s="319" t="s">
        <v>428</v>
      </c>
      <c r="EM535" s="319" t="s">
        <v>428</v>
      </c>
      <c r="EN535" s="319" t="s">
        <v>190</v>
      </c>
      <c r="EO535" s="319" t="s">
        <v>190</v>
      </c>
      <c r="EP535" s="319" t="s">
        <v>190</v>
      </c>
      <c r="EQ535" s="319" t="s">
        <v>190</v>
      </c>
      <c r="ER535" s="319" t="s">
        <v>190</v>
      </c>
      <c r="ES535" s="319" t="s">
        <v>190</v>
      </c>
      <c r="ET535" s="319" t="s">
        <v>190</v>
      </c>
      <c r="EU535" s="319" t="s">
        <v>190</v>
      </c>
      <c r="EV535" s="319" t="s">
        <v>190</v>
      </c>
      <c r="EW535" s="319" t="s">
        <v>190</v>
      </c>
      <c r="EX535" s="319" t="s">
        <v>190</v>
      </c>
      <c r="EY535" s="319" t="s">
        <v>190</v>
      </c>
      <c r="EZ535" s="319" t="s">
        <v>190</v>
      </c>
      <c r="FA535" s="319" t="s">
        <v>190</v>
      </c>
      <c r="FB535" s="319" t="s">
        <v>190</v>
      </c>
      <c r="FC535" s="319" t="s">
        <v>190</v>
      </c>
      <c r="FD535" s="319" t="s">
        <v>190</v>
      </c>
      <c r="FE535" s="319" t="s">
        <v>190</v>
      </c>
      <c r="FF535" s="319" t="s">
        <v>190</v>
      </c>
      <c r="FG535" s="319" t="s">
        <v>190</v>
      </c>
      <c r="FH535" s="319" t="s">
        <v>190</v>
      </c>
      <c r="FI535" s="319" t="s">
        <v>190</v>
      </c>
      <c r="FJ535" s="319" t="s">
        <v>190</v>
      </c>
      <c r="FK535" s="319" t="s">
        <v>190</v>
      </c>
      <c r="FL535" s="319" t="s">
        <v>190</v>
      </c>
      <c r="FM535" s="319" t="s">
        <v>190</v>
      </c>
      <c r="FN535" s="319" t="s">
        <v>190</v>
      </c>
      <c r="FO535" s="319" t="s">
        <v>190</v>
      </c>
      <c r="FP535" s="319" t="s">
        <v>190</v>
      </c>
      <c r="FQ535" s="319" t="s">
        <v>190</v>
      </c>
      <c r="FR535" s="319" t="s">
        <v>190</v>
      </c>
      <c r="FS535" s="319" t="s">
        <v>428</v>
      </c>
      <c r="FT535" s="319" t="s">
        <v>190</v>
      </c>
      <c r="FU535" s="319" t="s">
        <v>190</v>
      </c>
      <c r="FV535" s="319" t="s">
        <v>190</v>
      </c>
      <c r="FW535" s="319" t="s">
        <v>190</v>
      </c>
      <c r="FX535" s="319" t="s">
        <v>190</v>
      </c>
      <c r="FY535" s="319" t="s">
        <v>190</v>
      </c>
      <c r="FZ535" s="319" t="s">
        <v>190</v>
      </c>
      <c r="GA535" s="319" t="s">
        <v>190</v>
      </c>
      <c r="GB535" s="319" t="s">
        <v>190</v>
      </c>
      <c r="GC535" s="319" t="s">
        <v>190</v>
      </c>
      <c r="GD535" s="319" t="s">
        <v>190</v>
      </c>
      <c r="GE535" s="319" t="s">
        <v>190</v>
      </c>
      <c r="GF535" s="319" t="s">
        <v>190</v>
      </c>
      <c r="GG535" s="319" t="s">
        <v>190</v>
      </c>
      <c r="GH535" s="319" t="s">
        <v>190</v>
      </c>
      <c r="GI535" s="319" t="s">
        <v>190</v>
      </c>
      <c r="GJ535" s="319" t="s">
        <v>190</v>
      </c>
      <c r="GK535" s="319" t="s">
        <v>428</v>
      </c>
      <c r="GL535" s="319" t="s">
        <v>190</v>
      </c>
      <c r="GM535" s="319" t="s">
        <v>190</v>
      </c>
      <c r="GN535" s="319" t="s">
        <v>190</v>
      </c>
      <c r="GO535" s="319" t="s">
        <v>190</v>
      </c>
      <c r="GP535" s="319" t="s">
        <v>190</v>
      </c>
      <c r="GQ535" s="319" t="s">
        <v>428</v>
      </c>
      <c r="GR535" s="319" t="s">
        <v>190</v>
      </c>
      <c r="GS535" s="319" t="s">
        <v>190</v>
      </c>
      <c r="GT535" s="319" t="s">
        <v>190</v>
      </c>
      <c r="GU535" s="319" t="s">
        <v>190</v>
      </c>
      <c r="GV535" s="319" t="s">
        <v>190</v>
      </c>
      <c r="GW535" s="319" t="s">
        <v>190</v>
      </c>
      <c r="GX535" s="319" t="s">
        <v>190</v>
      </c>
      <c r="GY535" s="319" t="s">
        <v>190</v>
      </c>
      <c r="GZ535" s="319" t="s">
        <v>190</v>
      </c>
      <c r="HA535" s="319" t="s">
        <v>428</v>
      </c>
      <c r="HB535" s="319" t="s">
        <v>190</v>
      </c>
      <c r="HC535" s="319" t="s">
        <v>190</v>
      </c>
      <c r="HD535" s="319" t="s">
        <v>190</v>
      </c>
      <c r="HE535" s="319" t="s">
        <v>190</v>
      </c>
      <c r="HF535" s="319" t="s">
        <v>190</v>
      </c>
      <c r="HG535" s="319" t="s">
        <v>190</v>
      </c>
      <c r="HH535" s="319" t="s">
        <v>190</v>
      </c>
      <c r="HI535" s="319" t="s">
        <v>190</v>
      </c>
      <c r="HJ535" s="319" t="s">
        <v>190</v>
      </c>
      <c r="HK535" s="319" t="s">
        <v>190</v>
      </c>
      <c r="HL535" s="319" t="s">
        <v>190</v>
      </c>
      <c r="HM535" s="319" t="s">
        <v>428</v>
      </c>
      <c r="HN535" s="319" t="s">
        <v>428</v>
      </c>
      <c r="HO535" s="319" t="s">
        <v>428</v>
      </c>
      <c r="HP535" s="319" t="s">
        <v>190</v>
      </c>
      <c r="HQ535" s="319" t="s">
        <v>190</v>
      </c>
      <c r="HR535" s="319" t="s">
        <v>190</v>
      </c>
      <c r="HS535" s="319" t="s">
        <v>190</v>
      </c>
      <c r="HT535" s="319" t="s">
        <v>190</v>
      </c>
      <c r="HU535" s="319" t="s">
        <v>190</v>
      </c>
      <c r="HV535" s="319" t="s">
        <v>190</v>
      </c>
      <c r="HW535" s="319" t="s">
        <v>190</v>
      </c>
      <c r="HX535" s="319" t="s">
        <v>190</v>
      </c>
      <c r="HY535" s="319" t="s">
        <v>190</v>
      </c>
      <c r="HZ535" s="319" t="s">
        <v>190</v>
      </c>
      <c r="IA535" s="319" t="s">
        <v>190</v>
      </c>
      <c r="IB535" s="319" t="s">
        <v>190</v>
      </c>
      <c r="IC535" s="319" t="s">
        <v>190</v>
      </c>
      <c r="ID535" s="319" t="s">
        <v>190</v>
      </c>
      <c r="IE535" s="319" t="s">
        <v>190</v>
      </c>
      <c r="IF535" s="319" t="s">
        <v>190</v>
      </c>
      <c r="IG535" s="319" t="s">
        <v>190</v>
      </c>
      <c r="IH535" s="319" t="s">
        <v>190</v>
      </c>
      <c r="II535" s="319" t="s">
        <v>190</v>
      </c>
      <c r="IJ535" s="319">
        <v>10040275</v>
      </c>
      <c r="IK535" s="321">
        <v>43039</v>
      </c>
      <c r="IL535" s="321">
        <v>43041</v>
      </c>
      <c r="IM535" s="321">
        <v>43066</v>
      </c>
      <c r="IN535" s="319">
        <v>3</v>
      </c>
      <c r="IO535" s="319" t="s">
        <v>173</v>
      </c>
      <c r="IP535" s="319" t="s">
        <v>173</v>
      </c>
      <c r="IQ535" s="321" t="s">
        <v>173</v>
      </c>
      <c r="IR535" s="320" t="s">
        <v>173</v>
      </c>
      <c r="IS535" s="322" t="s">
        <v>173</v>
      </c>
      <c r="IT535" s="319" t="s">
        <v>173</v>
      </c>
    </row>
    <row r="536" spans="1:254" s="271" customFormat="1" x14ac:dyDescent="0.25">
      <c r="A536" s="318" t="str">
        <f>HYPERLINK("http://www.ofsted.gov.uk/inspection-reports/find-inspection-report/provider/ELS/135530 ","Ofsted School Webpage")</f>
        <v>Ofsted School Webpage</v>
      </c>
      <c r="B536" s="319">
        <v>135530</v>
      </c>
      <c r="C536" s="319">
        <v>8556041</v>
      </c>
      <c r="D536" s="319" t="s">
        <v>889</v>
      </c>
      <c r="E536" s="319" t="s">
        <v>168</v>
      </c>
      <c r="F536" s="319" t="s">
        <v>81</v>
      </c>
      <c r="G536" s="319" t="s">
        <v>81</v>
      </c>
      <c r="H536" s="319" t="s">
        <v>81</v>
      </c>
      <c r="I536" s="319" t="s">
        <v>78</v>
      </c>
      <c r="J536" s="319" t="s">
        <v>424</v>
      </c>
      <c r="K536" s="319" t="s">
        <v>506</v>
      </c>
      <c r="L536" s="319" t="s">
        <v>506</v>
      </c>
      <c r="M536" s="319" t="s">
        <v>862</v>
      </c>
      <c r="N536" s="319" t="s">
        <v>3269</v>
      </c>
      <c r="O536" s="319" t="s">
        <v>890</v>
      </c>
      <c r="P536" s="319">
        <v>47</v>
      </c>
      <c r="Q536" s="319" t="s">
        <v>2776</v>
      </c>
      <c r="R536" s="320">
        <v>10078672</v>
      </c>
      <c r="S536" s="321">
        <v>43494</v>
      </c>
      <c r="T536" s="321">
        <v>43496</v>
      </c>
      <c r="U536" s="321">
        <v>43529</v>
      </c>
      <c r="V536" s="319" t="s">
        <v>425</v>
      </c>
      <c r="W536" s="319" t="s">
        <v>2767</v>
      </c>
      <c r="X536" s="319">
        <v>1</v>
      </c>
      <c r="Y536" s="319" t="s">
        <v>173</v>
      </c>
      <c r="Z536" s="319" t="s">
        <v>173</v>
      </c>
      <c r="AA536" s="319" t="s">
        <v>173</v>
      </c>
      <c r="AB536" s="319">
        <v>1</v>
      </c>
      <c r="AC536" s="319" t="s">
        <v>169</v>
      </c>
      <c r="AD536" s="319" t="s">
        <v>173</v>
      </c>
      <c r="AE536" s="319" t="s">
        <v>173</v>
      </c>
      <c r="AF536" s="319" t="s">
        <v>427</v>
      </c>
      <c r="AG536" s="319" t="s">
        <v>171</v>
      </c>
      <c r="AH536" s="319" t="s">
        <v>190</v>
      </c>
      <c r="AI536" s="319" t="s">
        <v>190</v>
      </c>
      <c r="AJ536" s="319" t="s">
        <v>190</v>
      </c>
      <c r="AK536" s="319" t="s">
        <v>190</v>
      </c>
      <c r="AL536" s="319" t="s">
        <v>190</v>
      </c>
      <c r="AM536" s="319" t="s">
        <v>190</v>
      </c>
      <c r="AN536" s="319" t="s">
        <v>190</v>
      </c>
      <c r="AO536" s="319" t="s">
        <v>190</v>
      </c>
      <c r="AP536" s="319" t="s">
        <v>190</v>
      </c>
      <c r="AQ536" s="319" t="s">
        <v>190</v>
      </c>
      <c r="AR536" s="319" t="s">
        <v>190</v>
      </c>
      <c r="AS536" s="319" t="s">
        <v>190</v>
      </c>
      <c r="AT536" s="319" t="s">
        <v>190</v>
      </c>
      <c r="AU536" s="319" t="s">
        <v>190</v>
      </c>
      <c r="AV536" s="319" t="s">
        <v>190</v>
      </c>
      <c r="AW536" s="319" t="s">
        <v>190</v>
      </c>
      <c r="AX536" s="319" t="s">
        <v>428</v>
      </c>
      <c r="AY536" s="319" t="s">
        <v>190</v>
      </c>
      <c r="AZ536" s="319" t="s">
        <v>190</v>
      </c>
      <c r="BA536" s="319" t="s">
        <v>190</v>
      </c>
      <c r="BB536" s="319" t="s">
        <v>190</v>
      </c>
      <c r="BC536" s="319" t="s">
        <v>190</v>
      </c>
      <c r="BD536" s="319" t="s">
        <v>190</v>
      </c>
      <c r="BE536" s="319" t="s">
        <v>190</v>
      </c>
      <c r="BF536" s="319" t="s">
        <v>428</v>
      </c>
      <c r="BG536" s="319" t="s">
        <v>190</v>
      </c>
      <c r="BH536" s="319" t="s">
        <v>190</v>
      </c>
      <c r="BI536" s="319" t="s">
        <v>190</v>
      </c>
      <c r="BJ536" s="319" t="s">
        <v>190</v>
      </c>
      <c r="BK536" s="319" t="s">
        <v>190</v>
      </c>
      <c r="BL536" s="319" t="s">
        <v>190</v>
      </c>
      <c r="BM536" s="319" t="s">
        <v>190</v>
      </c>
      <c r="BN536" s="319" t="s">
        <v>190</v>
      </c>
      <c r="BO536" s="319" t="s">
        <v>190</v>
      </c>
      <c r="BP536" s="319" t="s">
        <v>190</v>
      </c>
      <c r="BQ536" s="319" t="s">
        <v>190</v>
      </c>
      <c r="BR536" s="319" t="s">
        <v>190</v>
      </c>
      <c r="BS536" s="319" t="s">
        <v>190</v>
      </c>
      <c r="BT536" s="319" t="s">
        <v>190</v>
      </c>
      <c r="BU536" s="319" t="s">
        <v>190</v>
      </c>
      <c r="BV536" s="319" t="s">
        <v>190</v>
      </c>
      <c r="BW536" s="319" t="s">
        <v>190</v>
      </c>
      <c r="BX536" s="319" t="s">
        <v>190</v>
      </c>
      <c r="BY536" s="319" t="s">
        <v>190</v>
      </c>
      <c r="BZ536" s="319" t="s">
        <v>190</v>
      </c>
      <c r="CA536" s="319" t="s">
        <v>190</v>
      </c>
      <c r="CB536" s="319" t="s">
        <v>190</v>
      </c>
      <c r="CC536" s="319" t="s">
        <v>190</v>
      </c>
      <c r="CD536" s="319" t="s">
        <v>190</v>
      </c>
      <c r="CE536" s="319" t="s">
        <v>190</v>
      </c>
      <c r="CF536" s="319" t="s">
        <v>190</v>
      </c>
      <c r="CG536" s="319" t="s">
        <v>190</v>
      </c>
      <c r="CH536" s="319" t="s">
        <v>190</v>
      </c>
      <c r="CI536" s="319" t="s">
        <v>190</v>
      </c>
      <c r="CJ536" s="319" t="s">
        <v>190</v>
      </c>
      <c r="CK536" s="319" t="s">
        <v>190</v>
      </c>
      <c r="CL536" s="319" t="s">
        <v>190</v>
      </c>
      <c r="CM536" s="319" t="s">
        <v>190</v>
      </c>
      <c r="CN536" s="319" t="s">
        <v>428</v>
      </c>
      <c r="CO536" s="319" t="s">
        <v>428</v>
      </c>
      <c r="CP536" s="319" t="s">
        <v>428</v>
      </c>
      <c r="CQ536" s="319" t="s">
        <v>190</v>
      </c>
      <c r="CR536" s="319" t="s">
        <v>190</v>
      </c>
      <c r="CS536" s="319" t="s">
        <v>190</v>
      </c>
      <c r="CT536" s="319" t="s">
        <v>190</v>
      </c>
      <c r="CU536" s="319" t="s">
        <v>190</v>
      </c>
      <c r="CV536" s="319" t="s">
        <v>190</v>
      </c>
      <c r="CW536" s="319" t="s">
        <v>190</v>
      </c>
      <c r="CX536" s="319" t="s">
        <v>190</v>
      </c>
      <c r="CY536" s="319" t="s">
        <v>190</v>
      </c>
      <c r="CZ536" s="319" t="s">
        <v>190</v>
      </c>
      <c r="DA536" s="319" t="s">
        <v>190</v>
      </c>
      <c r="DB536" s="319" t="s">
        <v>190</v>
      </c>
      <c r="DC536" s="319" t="s">
        <v>190</v>
      </c>
      <c r="DD536" s="319" t="s">
        <v>190</v>
      </c>
      <c r="DE536" s="319" t="s">
        <v>190</v>
      </c>
      <c r="DF536" s="319" t="s">
        <v>190</v>
      </c>
      <c r="DG536" s="319" t="s">
        <v>190</v>
      </c>
      <c r="DH536" s="319" t="s">
        <v>190</v>
      </c>
      <c r="DI536" s="319" t="s">
        <v>190</v>
      </c>
      <c r="DJ536" s="319" t="s">
        <v>190</v>
      </c>
      <c r="DK536" s="319" t="s">
        <v>190</v>
      </c>
      <c r="DL536" s="319" t="s">
        <v>190</v>
      </c>
      <c r="DM536" s="319" t="s">
        <v>190</v>
      </c>
      <c r="DN536" s="319" t="s">
        <v>428</v>
      </c>
      <c r="DO536" s="319" t="s">
        <v>190</v>
      </c>
      <c r="DP536" s="319" t="s">
        <v>428</v>
      </c>
      <c r="DQ536" s="319" t="s">
        <v>428</v>
      </c>
      <c r="DR536" s="319" t="s">
        <v>428</v>
      </c>
      <c r="DS536" s="319" t="s">
        <v>428</v>
      </c>
      <c r="DT536" s="319" t="s">
        <v>428</v>
      </c>
      <c r="DU536" s="319" t="s">
        <v>428</v>
      </c>
      <c r="DV536" s="319" t="s">
        <v>173</v>
      </c>
      <c r="DW536" s="319" t="s">
        <v>428</v>
      </c>
      <c r="DX536" s="319" t="s">
        <v>428</v>
      </c>
      <c r="DY536" s="319" t="s">
        <v>428</v>
      </c>
      <c r="DZ536" s="319" t="s">
        <v>428</v>
      </c>
      <c r="EA536" s="319" t="s">
        <v>428</v>
      </c>
      <c r="EB536" s="319" t="s">
        <v>428</v>
      </c>
      <c r="EC536" s="319" t="s">
        <v>428</v>
      </c>
      <c r="ED536" s="319" t="s">
        <v>428</v>
      </c>
      <c r="EE536" s="319" t="s">
        <v>428</v>
      </c>
      <c r="EF536" s="319" t="s">
        <v>428</v>
      </c>
      <c r="EG536" s="319" t="s">
        <v>428</v>
      </c>
      <c r="EH536" s="319" t="s">
        <v>428</v>
      </c>
      <c r="EI536" s="319" t="s">
        <v>428</v>
      </c>
      <c r="EJ536" s="319" t="s">
        <v>428</v>
      </c>
      <c r="EK536" s="319" t="s">
        <v>428</v>
      </c>
      <c r="EL536" s="319" t="s">
        <v>428</v>
      </c>
      <c r="EM536" s="319" t="s">
        <v>428</v>
      </c>
      <c r="EN536" s="319" t="s">
        <v>190</v>
      </c>
      <c r="EO536" s="319" t="s">
        <v>190</v>
      </c>
      <c r="EP536" s="319" t="s">
        <v>190</v>
      </c>
      <c r="EQ536" s="319" t="s">
        <v>190</v>
      </c>
      <c r="ER536" s="319" t="s">
        <v>190</v>
      </c>
      <c r="ES536" s="319" t="s">
        <v>190</v>
      </c>
      <c r="ET536" s="319" t="s">
        <v>190</v>
      </c>
      <c r="EU536" s="319" t="s">
        <v>190</v>
      </c>
      <c r="EV536" s="319" t="s">
        <v>190</v>
      </c>
      <c r="EW536" s="319" t="s">
        <v>190</v>
      </c>
      <c r="EX536" s="319" t="s">
        <v>190</v>
      </c>
      <c r="EY536" s="319" t="s">
        <v>190</v>
      </c>
      <c r="EZ536" s="319" t="s">
        <v>190</v>
      </c>
      <c r="FA536" s="319" t="s">
        <v>190</v>
      </c>
      <c r="FB536" s="319" t="s">
        <v>428</v>
      </c>
      <c r="FC536" s="319" t="s">
        <v>428</v>
      </c>
      <c r="FD536" s="319" t="s">
        <v>428</v>
      </c>
      <c r="FE536" s="319" t="s">
        <v>428</v>
      </c>
      <c r="FF536" s="319" t="s">
        <v>428</v>
      </c>
      <c r="FG536" s="319" t="s">
        <v>428</v>
      </c>
      <c r="FH536" s="319" t="s">
        <v>428</v>
      </c>
      <c r="FI536" s="319" t="s">
        <v>428</v>
      </c>
      <c r="FJ536" s="319" t="s">
        <v>429</v>
      </c>
      <c r="FK536" s="319" t="s">
        <v>428</v>
      </c>
      <c r="FL536" s="319" t="s">
        <v>190</v>
      </c>
      <c r="FM536" s="319" t="s">
        <v>190</v>
      </c>
      <c r="FN536" s="319" t="s">
        <v>190</v>
      </c>
      <c r="FO536" s="319" t="s">
        <v>190</v>
      </c>
      <c r="FP536" s="319" t="s">
        <v>190</v>
      </c>
      <c r="FQ536" s="319" t="s">
        <v>190</v>
      </c>
      <c r="FR536" s="319" t="s">
        <v>190</v>
      </c>
      <c r="FS536" s="319" t="s">
        <v>428</v>
      </c>
      <c r="FT536" s="319" t="s">
        <v>190</v>
      </c>
      <c r="FU536" s="319" t="s">
        <v>190</v>
      </c>
      <c r="FV536" s="319" t="s">
        <v>190</v>
      </c>
      <c r="FW536" s="319" t="s">
        <v>190</v>
      </c>
      <c r="FX536" s="319" t="s">
        <v>190</v>
      </c>
      <c r="FY536" s="319" t="s">
        <v>190</v>
      </c>
      <c r="FZ536" s="319" t="s">
        <v>190</v>
      </c>
      <c r="GA536" s="319" t="s">
        <v>190</v>
      </c>
      <c r="GB536" s="319" t="s">
        <v>190</v>
      </c>
      <c r="GC536" s="319" t="s">
        <v>190</v>
      </c>
      <c r="GD536" s="319" t="s">
        <v>190</v>
      </c>
      <c r="GE536" s="319" t="s">
        <v>190</v>
      </c>
      <c r="GF536" s="319" t="s">
        <v>190</v>
      </c>
      <c r="GG536" s="319" t="s">
        <v>190</v>
      </c>
      <c r="GH536" s="319" t="s">
        <v>190</v>
      </c>
      <c r="GI536" s="319" t="s">
        <v>190</v>
      </c>
      <c r="GJ536" s="319" t="s">
        <v>190</v>
      </c>
      <c r="GK536" s="319" t="s">
        <v>428</v>
      </c>
      <c r="GL536" s="319" t="s">
        <v>190</v>
      </c>
      <c r="GM536" s="319" t="s">
        <v>190</v>
      </c>
      <c r="GN536" s="319" t="s">
        <v>190</v>
      </c>
      <c r="GO536" s="319" t="s">
        <v>190</v>
      </c>
      <c r="GP536" s="319" t="s">
        <v>190</v>
      </c>
      <c r="GQ536" s="319" t="s">
        <v>428</v>
      </c>
      <c r="GR536" s="319" t="s">
        <v>190</v>
      </c>
      <c r="GS536" s="319" t="s">
        <v>190</v>
      </c>
      <c r="GT536" s="319" t="s">
        <v>190</v>
      </c>
      <c r="GU536" s="319" t="s">
        <v>190</v>
      </c>
      <c r="GV536" s="319" t="s">
        <v>428</v>
      </c>
      <c r="GW536" s="319" t="s">
        <v>190</v>
      </c>
      <c r="GX536" s="319" t="s">
        <v>190</v>
      </c>
      <c r="GY536" s="319" t="s">
        <v>190</v>
      </c>
      <c r="GZ536" s="319" t="s">
        <v>190</v>
      </c>
      <c r="HA536" s="319" t="s">
        <v>428</v>
      </c>
      <c r="HB536" s="319" t="s">
        <v>428</v>
      </c>
      <c r="HC536" s="319" t="s">
        <v>190</v>
      </c>
      <c r="HD536" s="319" t="s">
        <v>190</v>
      </c>
      <c r="HE536" s="319" t="s">
        <v>190</v>
      </c>
      <c r="HF536" s="319" t="s">
        <v>190</v>
      </c>
      <c r="HG536" s="319" t="s">
        <v>190</v>
      </c>
      <c r="HH536" s="319" t="s">
        <v>190</v>
      </c>
      <c r="HI536" s="319" t="s">
        <v>190</v>
      </c>
      <c r="HJ536" s="319" t="s">
        <v>190</v>
      </c>
      <c r="HK536" s="319" t="s">
        <v>190</v>
      </c>
      <c r="HL536" s="319" t="s">
        <v>190</v>
      </c>
      <c r="HM536" s="319" t="s">
        <v>428</v>
      </c>
      <c r="HN536" s="319" t="s">
        <v>428</v>
      </c>
      <c r="HO536" s="319" t="s">
        <v>428</v>
      </c>
      <c r="HP536" s="319" t="s">
        <v>190</v>
      </c>
      <c r="HQ536" s="319" t="s">
        <v>190</v>
      </c>
      <c r="HR536" s="319" t="s">
        <v>190</v>
      </c>
      <c r="HS536" s="319" t="s">
        <v>190</v>
      </c>
      <c r="HT536" s="319" t="s">
        <v>190</v>
      </c>
      <c r="HU536" s="319" t="s">
        <v>190</v>
      </c>
      <c r="HV536" s="319" t="s">
        <v>190</v>
      </c>
      <c r="HW536" s="319" t="s">
        <v>190</v>
      </c>
      <c r="HX536" s="319" t="s">
        <v>190</v>
      </c>
      <c r="HY536" s="319" t="s">
        <v>190</v>
      </c>
      <c r="HZ536" s="319" t="s">
        <v>190</v>
      </c>
      <c r="IA536" s="319" t="s">
        <v>190</v>
      </c>
      <c r="IB536" s="319" t="s">
        <v>190</v>
      </c>
      <c r="IC536" s="319" t="s">
        <v>190</v>
      </c>
      <c r="ID536" s="319" t="s">
        <v>190</v>
      </c>
      <c r="IE536" s="319" t="s">
        <v>190</v>
      </c>
      <c r="IF536" s="319" t="s">
        <v>190</v>
      </c>
      <c r="IG536" s="319" t="s">
        <v>190</v>
      </c>
      <c r="IH536" s="319" t="s">
        <v>190</v>
      </c>
      <c r="II536" s="319" t="s">
        <v>190</v>
      </c>
      <c r="IJ536" s="319">
        <v>10006067</v>
      </c>
      <c r="IK536" s="321">
        <v>42507</v>
      </c>
      <c r="IL536" s="321">
        <v>42509</v>
      </c>
      <c r="IM536" s="321">
        <v>42534</v>
      </c>
      <c r="IN536" s="319">
        <v>1</v>
      </c>
      <c r="IO536" s="319" t="s">
        <v>173</v>
      </c>
      <c r="IP536" s="319" t="s">
        <v>173</v>
      </c>
      <c r="IQ536" s="319" t="s">
        <v>173</v>
      </c>
      <c r="IR536" s="320" t="s">
        <v>173</v>
      </c>
      <c r="IS536" s="320" t="s">
        <v>173</v>
      </c>
      <c r="IT536" s="319" t="s">
        <v>173</v>
      </c>
    </row>
    <row r="537" spans="1:254" s="271" customFormat="1" x14ac:dyDescent="0.25">
      <c r="A537" s="318" t="str">
        <f>HYPERLINK("http://www.ofsted.gov.uk/inspection-reports/find-inspection-report/provider/ELS/135539 ","Ofsted School Webpage")</f>
        <v>Ofsted School Webpage</v>
      </c>
      <c r="B537" s="319">
        <v>135539</v>
      </c>
      <c r="C537" s="319">
        <v>8216011</v>
      </c>
      <c r="D537" s="319" t="s">
        <v>1953</v>
      </c>
      <c r="E537" s="319" t="s">
        <v>167</v>
      </c>
      <c r="F537" s="319" t="s">
        <v>71</v>
      </c>
      <c r="G537" s="319" t="s">
        <v>72</v>
      </c>
      <c r="H537" s="319" t="s">
        <v>71</v>
      </c>
      <c r="I537" s="319" t="s">
        <v>72</v>
      </c>
      <c r="J537" s="319" t="s">
        <v>424</v>
      </c>
      <c r="K537" s="319" t="s">
        <v>451</v>
      </c>
      <c r="L537" s="319" t="s">
        <v>451</v>
      </c>
      <c r="M537" s="319" t="s">
        <v>452</v>
      </c>
      <c r="N537" s="319" t="s">
        <v>3070</v>
      </c>
      <c r="O537" s="319" t="s">
        <v>1954</v>
      </c>
      <c r="P537" s="319">
        <v>150</v>
      </c>
      <c r="Q537" s="319" t="s">
        <v>2766</v>
      </c>
      <c r="R537" s="320">
        <v>10056567</v>
      </c>
      <c r="S537" s="321">
        <v>43536</v>
      </c>
      <c r="T537" s="321">
        <v>43538</v>
      </c>
      <c r="U537" s="321">
        <v>43776</v>
      </c>
      <c r="V537" s="319" t="s">
        <v>425</v>
      </c>
      <c r="W537" s="319" t="s">
        <v>2767</v>
      </c>
      <c r="X537" s="319">
        <v>3</v>
      </c>
      <c r="Y537" s="319" t="s">
        <v>173</v>
      </c>
      <c r="Z537" s="319" t="s">
        <v>173</v>
      </c>
      <c r="AA537" s="319" t="s">
        <v>173</v>
      </c>
      <c r="AB537" s="319">
        <v>3</v>
      </c>
      <c r="AC537" s="319" t="s">
        <v>169</v>
      </c>
      <c r="AD537" s="319">
        <v>3</v>
      </c>
      <c r="AE537" s="319" t="s">
        <v>173</v>
      </c>
      <c r="AF537" s="319" t="s">
        <v>427</v>
      </c>
      <c r="AG537" s="319" t="s">
        <v>172</v>
      </c>
      <c r="AH537" s="319" t="s">
        <v>479</v>
      </c>
      <c r="AI537" s="319" t="s">
        <v>190</v>
      </c>
      <c r="AJ537" s="319" t="s">
        <v>479</v>
      </c>
      <c r="AK537" s="319" t="s">
        <v>190</v>
      </c>
      <c r="AL537" s="319" t="s">
        <v>479</v>
      </c>
      <c r="AM537" s="319" t="s">
        <v>479</v>
      </c>
      <c r="AN537" s="319" t="s">
        <v>190</v>
      </c>
      <c r="AO537" s="319" t="s">
        <v>479</v>
      </c>
      <c r="AP537" s="319" t="s">
        <v>191</v>
      </c>
      <c r="AQ537" s="319" t="s">
        <v>190</v>
      </c>
      <c r="AR537" s="319" t="s">
        <v>191</v>
      </c>
      <c r="AS537" s="319" t="s">
        <v>191</v>
      </c>
      <c r="AT537" s="319" t="s">
        <v>190</v>
      </c>
      <c r="AU537" s="319" t="s">
        <v>190</v>
      </c>
      <c r="AV537" s="319" t="s">
        <v>190</v>
      </c>
      <c r="AW537" s="319" t="s">
        <v>190</v>
      </c>
      <c r="AX537" s="319" t="s">
        <v>428</v>
      </c>
      <c r="AY537" s="319" t="s">
        <v>190</v>
      </c>
      <c r="AZ537" s="319" t="s">
        <v>190</v>
      </c>
      <c r="BA537" s="319" t="s">
        <v>190</v>
      </c>
      <c r="BB537" s="319" t="s">
        <v>428</v>
      </c>
      <c r="BC537" s="319" t="s">
        <v>428</v>
      </c>
      <c r="BD537" s="319" t="s">
        <v>428</v>
      </c>
      <c r="BE537" s="319" t="s">
        <v>428</v>
      </c>
      <c r="BF537" s="319" t="s">
        <v>190</v>
      </c>
      <c r="BG537" s="319" t="s">
        <v>428</v>
      </c>
      <c r="BH537" s="319" t="s">
        <v>190</v>
      </c>
      <c r="BI537" s="319" t="s">
        <v>190</v>
      </c>
      <c r="BJ537" s="319" t="s">
        <v>191</v>
      </c>
      <c r="BK537" s="319" t="s">
        <v>191</v>
      </c>
      <c r="BL537" s="319" t="s">
        <v>190</v>
      </c>
      <c r="BM537" s="319" t="s">
        <v>191</v>
      </c>
      <c r="BN537" s="319" t="s">
        <v>191</v>
      </c>
      <c r="BO537" s="319" t="s">
        <v>190</v>
      </c>
      <c r="BP537" s="319" t="s">
        <v>190</v>
      </c>
      <c r="BQ537" s="319" t="s">
        <v>190</v>
      </c>
      <c r="BR537" s="319" t="s">
        <v>190</v>
      </c>
      <c r="BS537" s="319" t="s">
        <v>190</v>
      </c>
      <c r="BT537" s="319" t="s">
        <v>190</v>
      </c>
      <c r="BU537" s="319" t="s">
        <v>190</v>
      </c>
      <c r="BV537" s="319" t="s">
        <v>190</v>
      </c>
      <c r="BW537" s="319" t="s">
        <v>190</v>
      </c>
      <c r="BX537" s="319" t="s">
        <v>190</v>
      </c>
      <c r="BY537" s="319" t="s">
        <v>190</v>
      </c>
      <c r="BZ537" s="319" t="s">
        <v>190</v>
      </c>
      <c r="CA537" s="319" t="s">
        <v>190</v>
      </c>
      <c r="CB537" s="319" t="s">
        <v>190</v>
      </c>
      <c r="CC537" s="319" t="s">
        <v>190</v>
      </c>
      <c r="CD537" s="319" t="s">
        <v>190</v>
      </c>
      <c r="CE537" s="319" t="s">
        <v>190</v>
      </c>
      <c r="CF537" s="319" t="s">
        <v>190</v>
      </c>
      <c r="CG537" s="319" t="s">
        <v>190</v>
      </c>
      <c r="CH537" s="319" t="s">
        <v>190</v>
      </c>
      <c r="CI537" s="319" t="s">
        <v>190</v>
      </c>
      <c r="CJ537" s="319" t="s">
        <v>190</v>
      </c>
      <c r="CK537" s="319" t="s">
        <v>190</v>
      </c>
      <c r="CL537" s="319" t="s">
        <v>190</v>
      </c>
      <c r="CM537" s="319" t="s">
        <v>190</v>
      </c>
      <c r="CN537" s="319" t="s">
        <v>190</v>
      </c>
      <c r="CO537" s="319" t="s">
        <v>190</v>
      </c>
      <c r="CP537" s="319" t="s">
        <v>190</v>
      </c>
      <c r="CQ537" s="319" t="s">
        <v>190</v>
      </c>
      <c r="CR537" s="319" t="s">
        <v>190</v>
      </c>
      <c r="CS537" s="319" t="s">
        <v>190</v>
      </c>
      <c r="CT537" s="319" t="s">
        <v>190</v>
      </c>
      <c r="CU537" s="319" t="s">
        <v>190</v>
      </c>
      <c r="CV537" s="319" t="s">
        <v>190</v>
      </c>
      <c r="CW537" s="319" t="s">
        <v>191</v>
      </c>
      <c r="CX537" s="319" t="s">
        <v>190</v>
      </c>
      <c r="CY537" s="319" t="s">
        <v>190</v>
      </c>
      <c r="CZ537" s="319" t="s">
        <v>190</v>
      </c>
      <c r="DA537" s="319" t="s">
        <v>190</v>
      </c>
      <c r="DB537" s="319" t="s">
        <v>190</v>
      </c>
      <c r="DC537" s="319" t="s">
        <v>190</v>
      </c>
      <c r="DD537" s="319" t="s">
        <v>190</v>
      </c>
      <c r="DE537" s="319" t="s">
        <v>190</v>
      </c>
      <c r="DF537" s="319" t="s">
        <v>190</v>
      </c>
      <c r="DG537" s="319" t="s">
        <v>190</v>
      </c>
      <c r="DH537" s="319" t="s">
        <v>190</v>
      </c>
      <c r="DI537" s="319" t="s">
        <v>190</v>
      </c>
      <c r="DJ537" s="319" t="s">
        <v>190</v>
      </c>
      <c r="DK537" s="319" t="s">
        <v>190</v>
      </c>
      <c r="DL537" s="319" t="s">
        <v>190</v>
      </c>
      <c r="DM537" s="319" t="s">
        <v>190</v>
      </c>
      <c r="DN537" s="319" t="s">
        <v>190</v>
      </c>
      <c r="DO537" s="319" t="s">
        <v>190</v>
      </c>
      <c r="DP537" s="319" t="s">
        <v>190</v>
      </c>
      <c r="DQ537" s="319" t="s">
        <v>190</v>
      </c>
      <c r="DR537" s="319" t="s">
        <v>190</v>
      </c>
      <c r="DS537" s="319" t="s">
        <v>190</v>
      </c>
      <c r="DT537" s="319" t="s">
        <v>190</v>
      </c>
      <c r="DU537" s="319" t="s">
        <v>190</v>
      </c>
      <c r="DV537" s="319" t="s">
        <v>173</v>
      </c>
      <c r="DW537" s="319" t="s">
        <v>190</v>
      </c>
      <c r="DX537" s="319" t="s">
        <v>190</v>
      </c>
      <c r="DY537" s="319" t="s">
        <v>190</v>
      </c>
      <c r="DZ537" s="319" t="s">
        <v>190</v>
      </c>
      <c r="EA537" s="319" t="s">
        <v>190</v>
      </c>
      <c r="EB537" s="319" t="s">
        <v>190</v>
      </c>
      <c r="EC537" s="319" t="s">
        <v>190</v>
      </c>
      <c r="ED537" s="319" t="s">
        <v>190</v>
      </c>
      <c r="EE537" s="319" t="s">
        <v>190</v>
      </c>
      <c r="EF537" s="319" t="s">
        <v>190</v>
      </c>
      <c r="EG537" s="319" t="s">
        <v>190</v>
      </c>
      <c r="EH537" s="319" t="s">
        <v>190</v>
      </c>
      <c r="EI537" s="319" t="s">
        <v>190</v>
      </c>
      <c r="EJ537" s="319" t="s">
        <v>190</v>
      </c>
      <c r="EK537" s="319" t="s">
        <v>190</v>
      </c>
      <c r="EL537" s="319" t="s">
        <v>190</v>
      </c>
      <c r="EM537" s="319" t="s">
        <v>190</v>
      </c>
      <c r="EN537" s="319" t="s">
        <v>190</v>
      </c>
      <c r="EO537" s="319" t="s">
        <v>190</v>
      </c>
      <c r="EP537" s="319" t="s">
        <v>190</v>
      </c>
      <c r="EQ537" s="319" t="s">
        <v>190</v>
      </c>
      <c r="ER537" s="319" t="s">
        <v>190</v>
      </c>
      <c r="ES537" s="319" t="s">
        <v>190</v>
      </c>
      <c r="ET537" s="319" t="s">
        <v>190</v>
      </c>
      <c r="EU537" s="319" t="s">
        <v>190</v>
      </c>
      <c r="EV537" s="319" t="s">
        <v>190</v>
      </c>
      <c r="EW537" s="319" t="s">
        <v>190</v>
      </c>
      <c r="EX537" s="319" t="s">
        <v>190</v>
      </c>
      <c r="EY537" s="319" t="s">
        <v>190</v>
      </c>
      <c r="EZ537" s="319" t="s">
        <v>190</v>
      </c>
      <c r="FA537" s="319" t="s">
        <v>190</v>
      </c>
      <c r="FB537" s="319" t="s">
        <v>190</v>
      </c>
      <c r="FC537" s="319" t="s">
        <v>190</v>
      </c>
      <c r="FD537" s="319" t="s">
        <v>190</v>
      </c>
      <c r="FE537" s="319" t="s">
        <v>190</v>
      </c>
      <c r="FF537" s="319" t="s">
        <v>190</v>
      </c>
      <c r="FG537" s="319" t="s">
        <v>190</v>
      </c>
      <c r="FH537" s="319" t="s">
        <v>190</v>
      </c>
      <c r="FI537" s="319" t="s">
        <v>190</v>
      </c>
      <c r="FJ537" s="319" t="s">
        <v>190</v>
      </c>
      <c r="FK537" s="319" t="s">
        <v>190</v>
      </c>
      <c r="FL537" s="319" t="s">
        <v>190</v>
      </c>
      <c r="FM537" s="319" t="s">
        <v>190</v>
      </c>
      <c r="FN537" s="319" t="s">
        <v>190</v>
      </c>
      <c r="FO537" s="319" t="s">
        <v>428</v>
      </c>
      <c r="FP537" s="319" t="s">
        <v>191</v>
      </c>
      <c r="FQ537" s="319" t="s">
        <v>190</v>
      </c>
      <c r="FR537" s="319" t="s">
        <v>191</v>
      </c>
      <c r="FS537" s="319" t="s">
        <v>428</v>
      </c>
      <c r="FT537" s="319" t="s">
        <v>428</v>
      </c>
      <c r="FU537" s="319" t="s">
        <v>191</v>
      </c>
      <c r="FV537" s="319" t="s">
        <v>190</v>
      </c>
      <c r="FW537" s="319" t="s">
        <v>190</v>
      </c>
      <c r="FX537" s="319" t="s">
        <v>190</v>
      </c>
      <c r="FY537" s="319" t="s">
        <v>190</v>
      </c>
      <c r="FZ537" s="319" t="s">
        <v>190</v>
      </c>
      <c r="GA537" s="319" t="s">
        <v>190</v>
      </c>
      <c r="GB537" s="319" t="s">
        <v>190</v>
      </c>
      <c r="GC537" s="319" t="s">
        <v>190</v>
      </c>
      <c r="GD537" s="319" t="s">
        <v>190</v>
      </c>
      <c r="GE537" s="319" t="s">
        <v>190</v>
      </c>
      <c r="GF537" s="319" t="s">
        <v>190</v>
      </c>
      <c r="GG537" s="319" t="s">
        <v>190</v>
      </c>
      <c r="GH537" s="319" t="s">
        <v>190</v>
      </c>
      <c r="GI537" s="319" t="s">
        <v>190</v>
      </c>
      <c r="GJ537" s="319" t="s">
        <v>190</v>
      </c>
      <c r="GK537" s="319" t="s">
        <v>428</v>
      </c>
      <c r="GL537" s="319" t="s">
        <v>191</v>
      </c>
      <c r="GM537" s="319" t="s">
        <v>190</v>
      </c>
      <c r="GN537" s="319" t="s">
        <v>191</v>
      </c>
      <c r="GO537" s="319" t="s">
        <v>190</v>
      </c>
      <c r="GP537" s="319" t="s">
        <v>190</v>
      </c>
      <c r="GQ537" s="319" t="s">
        <v>190</v>
      </c>
      <c r="GR537" s="319" t="s">
        <v>190</v>
      </c>
      <c r="GS537" s="319" t="s">
        <v>190</v>
      </c>
      <c r="GT537" s="319" t="s">
        <v>190</v>
      </c>
      <c r="GU537" s="319" t="s">
        <v>428</v>
      </c>
      <c r="GV537" s="319" t="s">
        <v>190</v>
      </c>
      <c r="GW537" s="319" t="s">
        <v>190</v>
      </c>
      <c r="GX537" s="319" t="s">
        <v>190</v>
      </c>
      <c r="GY537" s="319" t="s">
        <v>190</v>
      </c>
      <c r="GZ537" s="319" t="s">
        <v>190</v>
      </c>
      <c r="HA537" s="319" t="s">
        <v>190</v>
      </c>
      <c r="HB537" s="319" t="s">
        <v>190</v>
      </c>
      <c r="HC537" s="319" t="s">
        <v>190</v>
      </c>
      <c r="HD537" s="319" t="s">
        <v>191</v>
      </c>
      <c r="HE537" s="319" t="s">
        <v>190</v>
      </c>
      <c r="HF537" s="319" t="s">
        <v>190</v>
      </c>
      <c r="HG537" s="319" t="s">
        <v>190</v>
      </c>
      <c r="HH537" s="319" t="s">
        <v>190</v>
      </c>
      <c r="HI537" s="319" t="s">
        <v>191</v>
      </c>
      <c r="HJ537" s="319" t="s">
        <v>191</v>
      </c>
      <c r="HK537" s="319" t="s">
        <v>190</v>
      </c>
      <c r="HL537" s="319" t="s">
        <v>190</v>
      </c>
      <c r="HM537" s="319" t="s">
        <v>190</v>
      </c>
      <c r="HN537" s="319" t="s">
        <v>190</v>
      </c>
      <c r="HO537" s="319" t="s">
        <v>190</v>
      </c>
      <c r="HP537" s="319" t="s">
        <v>190</v>
      </c>
      <c r="HQ537" s="319" t="s">
        <v>190</v>
      </c>
      <c r="HR537" s="319" t="s">
        <v>190</v>
      </c>
      <c r="HS537" s="319" t="s">
        <v>190</v>
      </c>
      <c r="HT537" s="319" t="s">
        <v>190</v>
      </c>
      <c r="HU537" s="319" t="s">
        <v>190</v>
      </c>
      <c r="HV537" s="319" t="s">
        <v>190</v>
      </c>
      <c r="HW537" s="319" t="s">
        <v>190</v>
      </c>
      <c r="HX537" s="319" t="s">
        <v>190</v>
      </c>
      <c r="HY537" s="319" t="s">
        <v>190</v>
      </c>
      <c r="HZ537" s="319" t="s">
        <v>190</v>
      </c>
      <c r="IA537" s="319" t="s">
        <v>190</v>
      </c>
      <c r="IB537" s="319" t="s">
        <v>190</v>
      </c>
      <c r="IC537" s="319" t="s">
        <v>190</v>
      </c>
      <c r="ID537" s="319" t="s">
        <v>190</v>
      </c>
      <c r="IE537" s="319" t="s">
        <v>190</v>
      </c>
      <c r="IF537" s="319" t="s">
        <v>191</v>
      </c>
      <c r="IG537" s="319" t="s">
        <v>191</v>
      </c>
      <c r="IH537" s="319" t="s">
        <v>191</v>
      </c>
      <c r="II537" s="319" t="s">
        <v>191</v>
      </c>
      <c r="IJ537" s="319">
        <v>10006065</v>
      </c>
      <c r="IK537" s="321">
        <v>42486</v>
      </c>
      <c r="IL537" s="321">
        <v>42488</v>
      </c>
      <c r="IM537" s="321">
        <v>42510</v>
      </c>
      <c r="IN537" s="319">
        <v>2</v>
      </c>
      <c r="IO537" s="319">
        <v>10124030</v>
      </c>
      <c r="IP537" s="319" t="s">
        <v>985</v>
      </c>
      <c r="IQ537" s="321">
        <v>43775</v>
      </c>
      <c r="IR537" s="320" t="s">
        <v>2771</v>
      </c>
      <c r="IS537" s="322">
        <v>43802</v>
      </c>
      <c r="IT537" s="319" t="s">
        <v>166</v>
      </c>
    </row>
    <row r="538" spans="1:254" s="271" customFormat="1" x14ac:dyDescent="0.25">
      <c r="A538" s="318" t="str">
        <f>HYPERLINK("http://www.ofsted.gov.uk/inspection-reports/find-inspection-report/provider/ELS/135541 ","Ofsted School Webpage")</f>
        <v>Ofsted School Webpage</v>
      </c>
      <c r="B538" s="319">
        <v>135541</v>
      </c>
      <c r="C538" s="319">
        <v>8886104</v>
      </c>
      <c r="D538" s="319" t="s">
        <v>1125</v>
      </c>
      <c r="E538" s="319" t="s">
        <v>168</v>
      </c>
      <c r="F538" s="319" t="s">
        <v>81</v>
      </c>
      <c r="G538" s="319" t="s">
        <v>81</v>
      </c>
      <c r="H538" s="319" t="s">
        <v>81</v>
      </c>
      <c r="I538" s="319" t="s">
        <v>78</v>
      </c>
      <c r="J538" s="319" t="s">
        <v>424</v>
      </c>
      <c r="K538" s="319" t="s">
        <v>431</v>
      </c>
      <c r="L538" s="319" t="s">
        <v>431</v>
      </c>
      <c r="M538" s="319" t="s">
        <v>469</v>
      </c>
      <c r="N538" s="319" t="s">
        <v>2996</v>
      </c>
      <c r="O538" s="319" t="s">
        <v>1126</v>
      </c>
      <c r="P538" s="319">
        <v>79</v>
      </c>
      <c r="Q538" s="319" t="s">
        <v>429</v>
      </c>
      <c r="R538" s="320">
        <v>10048594</v>
      </c>
      <c r="S538" s="321">
        <v>43277</v>
      </c>
      <c r="T538" s="321">
        <v>43279</v>
      </c>
      <c r="U538" s="321">
        <v>43304</v>
      </c>
      <c r="V538" s="319" t="s">
        <v>425</v>
      </c>
      <c r="W538" s="319" t="s">
        <v>2767</v>
      </c>
      <c r="X538" s="319">
        <v>2</v>
      </c>
      <c r="Y538" s="319" t="s">
        <v>173</v>
      </c>
      <c r="Z538" s="319" t="s">
        <v>173</v>
      </c>
      <c r="AA538" s="319" t="s">
        <v>173</v>
      </c>
      <c r="AB538" s="319">
        <v>1</v>
      </c>
      <c r="AC538" s="319" t="s">
        <v>169</v>
      </c>
      <c r="AD538" s="319" t="s">
        <v>173</v>
      </c>
      <c r="AE538" s="319" t="s">
        <v>173</v>
      </c>
      <c r="AF538" s="319" t="s">
        <v>427</v>
      </c>
      <c r="AG538" s="319" t="s">
        <v>171</v>
      </c>
      <c r="AH538" s="319" t="s">
        <v>190</v>
      </c>
      <c r="AI538" s="319" t="s">
        <v>190</v>
      </c>
      <c r="AJ538" s="319" t="s">
        <v>190</v>
      </c>
      <c r="AK538" s="319" t="s">
        <v>190</v>
      </c>
      <c r="AL538" s="319" t="s">
        <v>190</v>
      </c>
      <c r="AM538" s="319" t="s">
        <v>190</v>
      </c>
      <c r="AN538" s="319" t="s">
        <v>190</v>
      </c>
      <c r="AO538" s="319" t="s">
        <v>190</v>
      </c>
      <c r="AP538" s="319" t="s">
        <v>190</v>
      </c>
      <c r="AQ538" s="319" t="s">
        <v>190</v>
      </c>
      <c r="AR538" s="319" t="s">
        <v>190</v>
      </c>
      <c r="AS538" s="319" t="s">
        <v>190</v>
      </c>
      <c r="AT538" s="319" t="s">
        <v>190</v>
      </c>
      <c r="AU538" s="319" t="s">
        <v>190</v>
      </c>
      <c r="AV538" s="319" t="s">
        <v>190</v>
      </c>
      <c r="AW538" s="319" t="s">
        <v>190</v>
      </c>
      <c r="AX538" s="319" t="s">
        <v>428</v>
      </c>
      <c r="AY538" s="319" t="s">
        <v>190</v>
      </c>
      <c r="AZ538" s="319" t="s">
        <v>190</v>
      </c>
      <c r="BA538" s="319" t="s">
        <v>190</v>
      </c>
      <c r="BB538" s="319" t="s">
        <v>190</v>
      </c>
      <c r="BC538" s="319" t="s">
        <v>190</v>
      </c>
      <c r="BD538" s="319" t="s">
        <v>190</v>
      </c>
      <c r="BE538" s="319" t="s">
        <v>190</v>
      </c>
      <c r="BF538" s="319" t="s">
        <v>428</v>
      </c>
      <c r="BG538" s="319" t="s">
        <v>428</v>
      </c>
      <c r="BH538" s="319" t="s">
        <v>190</v>
      </c>
      <c r="BI538" s="319" t="s">
        <v>190</v>
      </c>
      <c r="BJ538" s="319" t="s">
        <v>190</v>
      </c>
      <c r="BK538" s="319" t="s">
        <v>190</v>
      </c>
      <c r="BL538" s="319" t="s">
        <v>190</v>
      </c>
      <c r="BM538" s="319" t="s">
        <v>190</v>
      </c>
      <c r="BN538" s="319" t="s">
        <v>190</v>
      </c>
      <c r="BO538" s="319" t="s">
        <v>190</v>
      </c>
      <c r="BP538" s="319" t="s">
        <v>190</v>
      </c>
      <c r="BQ538" s="319" t="s">
        <v>190</v>
      </c>
      <c r="BR538" s="319" t="s">
        <v>190</v>
      </c>
      <c r="BS538" s="319" t="s">
        <v>190</v>
      </c>
      <c r="BT538" s="319" t="s">
        <v>190</v>
      </c>
      <c r="BU538" s="319" t="s">
        <v>190</v>
      </c>
      <c r="BV538" s="319" t="s">
        <v>190</v>
      </c>
      <c r="BW538" s="319" t="s">
        <v>190</v>
      </c>
      <c r="BX538" s="319" t="s">
        <v>190</v>
      </c>
      <c r="BY538" s="319" t="s">
        <v>190</v>
      </c>
      <c r="BZ538" s="319" t="s">
        <v>190</v>
      </c>
      <c r="CA538" s="319" t="s">
        <v>190</v>
      </c>
      <c r="CB538" s="319" t="s">
        <v>190</v>
      </c>
      <c r="CC538" s="319" t="s">
        <v>190</v>
      </c>
      <c r="CD538" s="319" t="s">
        <v>190</v>
      </c>
      <c r="CE538" s="319" t="s">
        <v>190</v>
      </c>
      <c r="CF538" s="319" t="s">
        <v>190</v>
      </c>
      <c r="CG538" s="319" t="s">
        <v>190</v>
      </c>
      <c r="CH538" s="319" t="s">
        <v>190</v>
      </c>
      <c r="CI538" s="319" t="s">
        <v>190</v>
      </c>
      <c r="CJ538" s="319" t="s">
        <v>190</v>
      </c>
      <c r="CK538" s="319" t="s">
        <v>190</v>
      </c>
      <c r="CL538" s="319" t="s">
        <v>190</v>
      </c>
      <c r="CM538" s="319" t="s">
        <v>190</v>
      </c>
      <c r="CN538" s="319" t="s">
        <v>428</v>
      </c>
      <c r="CO538" s="319" t="s">
        <v>428</v>
      </c>
      <c r="CP538" s="319" t="s">
        <v>428</v>
      </c>
      <c r="CQ538" s="319" t="s">
        <v>190</v>
      </c>
      <c r="CR538" s="319" t="s">
        <v>190</v>
      </c>
      <c r="CS538" s="319" t="s">
        <v>190</v>
      </c>
      <c r="CT538" s="319" t="s">
        <v>190</v>
      </c>
      <c r="CU538" s="319" t="s">
        <v>190</v>
      </c>
      <c r="CV538" s="319" t="s">
        <v>190</v>
      </c>
      <c r="CW538" s="319" t="s">
        <v>190</v>
      </c>
      <c r="CX538" s="319" t="s">
        <v>190</v>
      </c>
      <c r="CY538" s="319" t="s">
        <v>190</v>
      </c>
      <c r="CZ538" s="319" t="s">
        <v>190</v>
      </c>
      <c r="DA538" s="319" t="s">
        <v>190</v>
      </c>
      <c r="DB538" s="319" t="s">
        <v>190</v>
      </c>
      <c r="DC538" s="319" t="s">
        <v>190</v>
      </c>
      <c r="DD538" s="319" t="s">
        <v>190</v>
      </c>
      <c r="DE538" s="319" t="s">
        <v>190</v>
      </c>
      <c r="DF538" s="319" t="s">
        <v>190</v>
      </c>
      <c r="DG538" s="319" t="s">
        <v>190</v>
      </c>
      <c r="DH538" s="319" t="s">
        <v>190</v>
      </c>
      <c r="DI538" s="319" t="s">
        <v>190</v>
      </c>
      <c r="DJ538" s="319" t="s">
        <v>190</v>
      </c>
      <c r="DK538" s="319" t="s">
        <v>190</v>
      </c>
      <c r="DL538" s="319" t="s">
        <v>190</v>
      </c>
      <c r="DM538" s="319" t="s">
        <v>190</v>
      </c>
      <c r="DN538" s="319" t="s">
        <v>428</v>
      </c>
      <c r="DO538" s="319" t="s">
        <v>428</v>
      </c>
      <c r="DP538" s="319" t="s">
        <v>190</v>
      </c>
      <c r="DQ538" s="319" t="s">
        <v>190</v>
      </c>
      <c r="DR538" s="319" t="s">
        <v>190</v>
      </c>
      <c r="DS538" s="319" t="s">
        <v>190</v>
      </c>
      <c r="DT538" s="319" t="s">
        <v>190</v>
      </c>
      <c r="DU538" s="319" t="s">
        <v>190</v>
      </c>
      <c r="DV538" s="319" t="s">
        <v>173</v>
      </c>
      <c r="DW538" s="319" t="s">
        <v>190</v>
      </c>
      <c r="DX538" s="319" t="s">
        <v>190</v>
      </c>
      <c r="DY538" s="319" t="s">
        <v>190</v>
      </c>
      <c r="DZ538" s="319" t="s">
        <v>190</v>
      </c>
      <c r="EA538" s="319" t="s">
        <v>190</v>
      </c>
      <c r="EB538" s="319" t="s">
        <v>190</v>
      </c>
      <c r="EC538" s="319" t="s">
        <v>428</v>
      </c>
      <c r="ED538" s="319" t="s">
        <v>190</v>
      </c>
      <c r="EE538" s="319" t="s">
        <v>190</v>
      </c>
      <c r="EF538" s="319" t="s">
        <v>190</v>
      </c>
      <c r="EG538" s="319" t="s">
        <v>190</v>
      </c>
      <c r="EH538" s="319" t="s">
        <v>190</v>
      </c>
      <c r="EI538" s="319" t="s">
        <v>190</v>
      </c>
      <c r="EJ538" s="319" t="s">
        <v>190</v>
      </c>
      <c r="EK538" s="319" t="s">
        <v>190</v>
      </c>
      <c r="EL538" s="319" t="s">
        <v>190</v>
      </c>
      <c r="EM538" s="319" t="s">
        <v>190</v>
      </c>
      <c r="EN538" s="319" t="s">
        <v>190</v>
      </c>
      <c r="EO538" s="319" t="s">
        <v>190</v>
      </c>
      <c r="EP538" s="319" t="s">
        <v>190</v>
      </c>
      <c r="EQ538" s="319" t="s">
        <v>190</v>
      </c>
      <c r="ER538" s="319" t="s">
        <v>190</v>
      </c>
      <c r="ES538" s="319" t="s">
        <v>190</v>
      </c>
      <c r="ET538" s="319" t="s">
        <v>190</v>
      </c>
      <c r="EU538" s="319" t="s">
        <v>190</v>
      </c>
      <c r="EV538" s="319" t="s">
        <v>190</v>
      </c>
      <c r="EW538" s="319" t="s">
        <v>190</v>
      </c>
      <c r="EX538" s="319" t="s">
        <v>190</v>
      </c>
      <c r="EY538" s="319" t="s">
        <v>190</v>
      </c>
      <c r="EZ538" s="319" t="s">
        <v>190</v>
      </c>
      <c r="FA538" s="319" t="s">
        <v>190</v>
      </c>
      <c r="FB538" s="319" t="s">
        <v>190</v>
      </c>
      <c r="FC538" s="319" t="s">
        <v>190</v>
      </c>
      <c r="FD538" s="319" t="s">
        <v>190</v>
      </c>
      <c r="FE538" s="319" t="s">
        <v>190</v>
      </c>
      <c r="FF538" s="319" t="s">
        <v>190</v>
      </c>
      <c r="FG538" s="319" t="s">
        <v>190</v>
      </c>
      <c r="FH538" s="319" t="s">
        <v>190</v>
      </c>
      <c r="FI538" s="319" t="s">
        <v>190</v>
      </c>
      <c r="FJ538" s="319" t="s">
        <v>190</v>
      </c>
      <c r="FK538" s="319" t="s">
        <v>190</v>
      </c>
      <c r="FL538" s="319" t="s">
        <v>190</v>
      </c>
      <c r="FM538" s="319" t="s">
        <v>190</v>
      </c>
      <c r="FN538" s="319" t="s">
        <v>190</v>
      </c>
      <c r="FO538" s="319" t="s">
        <v>190</v>
      </c>
      <c r="FP538" s="319" t="s">
        <v>190</v>
      </c>
      <c r="FQ538" s="319" t="s">
        <v>190</v>
      </c>
      <c r="FR538" s="319" t="s">
        <v>190</v>
      </c>
      <c r="FS538" s="319" t="s">
        <v>190</v>
      </c>
      <c r="FT538" s="319" t="s">
        <v>190</v>
      </c>
      <c r="FU538" s="319" t="s">
        <v>190</v>
      </c>
      <c r="FV538" s="319" t="s">
        <v>190</v>
      </c>
      <c r="FW538" s="319" t="s">
        <v>190</v>
      </c>
      <c r="FX538" s="319" t="s">
        <v>190</v>
      </c>
      <c r="FY538" s="319" t="s">
        <v>190</v>
      </c>
      <c r="FZ538" s="319" t="s">
        <v>190</v>
      </c>
      <c r="GA538" s="319" t="s">
        <v>190</v>
      </c>
      <c r="GB538" s="319" t="s">
        <v>190</v>
      </c>
      <c r="GC538" s="319" t="s">
        <v>190</v>
      </c>
      <c r="GD538" s="319" t="s">
        <v>190</v>
      </c>
      <c r="GE538" s="319" t="s">
        <v>190</v>
      </c>
      <c r="GF538" s="319" t="s">
        <v>190</v>
      </c>
      <c r="GG538" s="319" t="s">
        <v>190</v>
      </c>
      <c r="GH538" s="319" t="s">
        <v>190</v>
      </c>
      <c r="GI538" s="319" t="s">
        <v>190</v>
      </c>
      <c r="GJ538" s="319" t="s">
        <v>190</v>
      </c>
      <c r="GK538" s="319" t="s">
        <v>428</v>
      </c>
      <c r="GL538" s="319" t="s">
        <v>190</v>
      </c>
      <c r="GM538" s="319" t="s">
        <v>190</v>
      </c>
      <c r="GN538" s="319" t="s">
        <v>190</v>
      </c>
      <c r="GO538" s="319" t="s">
        <v>190</v>
      </c>
      <c r="GP538" s="319" t="s">
        <v>190</v>
      </c>
      <c r="GQ538" s="319" t="s">
        <v>428</v>
      </c>
      <c r="GR538" s="319" t="s">
        <v>190</v>
      </c>
      <c r="GS538" s="319" t="s">
        <v>190</v>
      </c>
      <c r="GT538" s="319" t="s">
        <v>190</v>
      </c>
      <c r="GU538" s="319" t="s">
        <v>190</v>
      </c>
      <c r="GV538" s="319" t="s">
        <v>190</v>
      </c>
      <c r="GW538" s="319" t="s">
        <v>190</v>
      </c>
      <c r="GX538" s="319" t="s">
        <v>190</v>
      </c>
      <c r="GY538" s="319" t="s">
        <v>190</v>
      </c>
      <c r="GZ538" s="319" t="s">
        <v>428</v>
      </c>
      <c r="HA538" s="319" t="s">
        <v>190</v>
      </c>
      <c r="HB538" s="319" t="s">
        <v>190</v>
      </c>
      <c r="HC538" s="319" t="s">
        <v>190</v>
      </c>
      <c r="HD538" s="319" t="s">
        <v>190</v>
      </c>
      <c r="HE538" s="319" t="s">
        <v>190</v>
      </c>
      <c r="HF538" s="319" t="s">
        <v>190</v>
      </c>
      <c r="HG538" s="319" t="s">
        <v>190</v>
      </c>
      <c r="HH538" s="319" t="s">
        <v>190</v>
      </c>
      <c r="HI538" s="319" t="s">
        <v>190</v>
      </c>
      <c r="HJ538" s="319" t="s">
        <v>190</v>
      </c>
      <c r="HK538" s="319" t="s">
        <v>428</v>
      </c>
      <c r="HL538" s="319" t="s">
        <v>190</v>
      </c>
      <c r="HM538" s="319" t="s">
        <v>428</v>
      </c>
      <c r="HN538" s="319" t="s">
        <v>428</v>
      </c>
      <c r="HO538" s="319" t="s">
        <v>428</v>
      </c>
      <c r="HP538" s="319" t="s">
        <v>190</v>
      </c>
      <c r="HQ538" s="319" t="s">
        <v>190</v>
      </c>
      <c r="HR538" s="319" t="s">
        <v>190</v>
      </c>
      <c r="HS538" s="319" t="s">
        <v>190</v>
      </c>
      <c r="HT538" s="319" t="s">
        <v>190</v>
      </c>
      <c r="HU538" s="319" t="s">
        <v>190</v>
      </c>
      <c r="HV538" s="319" t="s">
        <v>190</v>
      </c>
      <c r="HW538" s="319" t="s">
        <v>190</v>
      </c>
      <c r="HX538" s="319" t="s">
        <v>190</v>
      </c>
      <c r="HY538" s="319" t="s">
        <v>190</v>
      </c>
      <c r="HZ538" s="319" t="s">
        <v>190</v>
      </c>
      <c r="IA538" s="319" t="s">
        <v>190</v>
      </c>
      <c r="IB538" s="319" t="s">
        <v>190</v>
      </c>
      <c r="IC538" s="319" t="s">
        <v>190</v>
      </c>
      <c r="ID538" s="319" t="s">
        <v>190</v>
      </c>
      <c r="IE538" s="319" t="s">
        <v>190</v>
      </c>
      <c r="IF538" s="319" t="s">
        <v>190</v>
      </c>
      <c r="IG538" s="319" t="s">
        <v>190</v>
      </c>
      <c r="IH538" s="319" t="s">
        <v>190</v>
      </c>
      <c r="II538" s="319" t="s">
        <v>190</v>
      </c>
      <c r="IJ538" s="319" t="s">
        <v>3307</v>
      </c>
      <c r="IK538" s="321">
        <v>42171</v>
      </c>
      <c r="IL538" s="321">
        <v>42173</v>
      </c>
      <c r="IM538" s="321">
        <v>42194</v>
      </c>
      <c r="IN538" s="319">
        <v>1</v>
      </c>
      <c r="IO538" s="319" t="s">
        <v>173</v>
      </c>
      <c r="IP538" s="319" t="s">
        <v>173</v>
      </c>
      <c r="IQ538" s="321" t="s">
        <v>173</v>
      </c>
      <c r="IR538" s="320" t="s">
        <v>173</v>
      </c>
      <c r="IS538" s="322" t="s">
        <v>173</v>
      </c>
      <c r="IT538" s="319" t="s">
        <v>173</v>
      </c>
    </row>
    <row r="539" spans="1:254" s="271" customFormat="1" x14ac:dyDescent="0.25">
      <c r="A539" s="318" t="str">
        <f>HYPERLINK("http://www.ofsted.gov.uk/inspection-reports/find-inspection-report/provider/ELS/135543 ","Ofsted School Webpage")</f>
        <v>Ofsted School Webpage</v>
      </c>
      <c r="B539" s="319">
        <v>135543</v>
      </c>
      <c r="C539" s="319">
        <v>8886041</v>
      </c>
      <c r="D539" s="319" t="s">
        <v>751</v>
      </c>
      <c r="E539" s="319" t="s">
        <v>168</v>
      </c>
      <c r="F539" s="319" t="s">
        <v>81</v>
      </c>
      <c r="G539" s="319" t="s">
        <v>81</v>
      </c>
      <c r="H539" s="319" t="s">
        <v>81</v>
      </c>
      <c r="I539" s="319" t="s">
        <v>78</v>
      </c>
      <c r="J539" s="319" t="s">
        <v>424</v>
      </c>
      <c r="K539" s="319" t="s">
        <v>431</v>
      </c>
      <c r="L539" s="319" t="s">
        <v>431</v>
      </c>
      <c r="M539" s="319" t="s">
        <v>469</v>
      </c>
      <c r="N539" s="319" t="s">
        <v>2990</v>
      </c>
      <c r="O539" s="319" t="s">
        <v>752</v>
      </c>
      <c r="P539" s="319">
        <v>22</v>
      </c>
      <c r="Q539" s="319" t="s">
        <v>429</v>
      </c>
      <c r="R539" s="320">
        <v>10067899</v>
      </c>
      <c r="S539" s="321">
        <v>43438</v>
      </c>
      <c r="T539" s="321">
        <v>43440</v>
      </c>
      <c r="U539" s="321">
        <v>43460</v>
      </c>
      <c r="V539" s="319" t="s">
        <v>425</v>
      </c>
      <c r="W539" s="319" t="s">
        <v>2767</v>
      </c>
      <c r="X539" s="319">
        <v>1</v>
      </c>
      <c r="Y539" s="319" t="s">
        <v>173</v>
      </c>
      <c r="Z539" s="319" t="s">
        <v>173</v>
      </c>
      <c r="AA539" s="319" t="s">
        <v>173</v>
      </c>
      <c r="AB539" s="319">
        <v>1</v>
      </c>
      <c r="AC539" s="319" t="s">
        <v>169</v>
      </c>
      <c r="AD539" s="319" t="s">
        <v>173</v>
      </c>
      <c r="AE539" s="319" t="s">
        <v>173</v>
      </c>
      <c r="AF539" s="319" t="s">
        <v>427</v>
      </c>
      <c r="AG539" s="319" t="s">
        <v>171</v>
      </c>
      <c r="AH539" s="319" t="s">
        <v>190</v>
      </c>
      <c r="AI539" s="319" t="s">
        <v>190</v>
      </c>
      <c r="AJ539" s="319" t="s">
        <v>190</v>
      </c>
      <c r="AK539" s="319" t="s">
        <v>190</v>
      </c>
      <c r="AL539" s="319" t="s">
        <v>190</v>
      </c>
      <c r="AM539" s="319" t="s">
        <v>190</v>
      </c>
      <c r="AN539" s="319" t="s">
        <v>190</v>
      </c>
      <c r="AO539" s="319" t="s">
        <v>190</v>
      </c>
      <c r="AP539" s="319" t="s">
        <v>190</v>
      </c>
      <c r="AQ539" s="319" t="s">
        <v>190</v>
      </c>
      <c r="AR539" s="319" t="s">
        <v>190</v>
      </c>
      <c r="AS539" s="319" t="s">
        <v>190</v>
      </c>
      <c r="AT539" s="319" t="s">
        <v>190</v>
      </c>
      <c r="AU539" s="319" t="s">
        <v>190</v>
      </c>
      <c r="AV539" s="319" t="s">
        <v>190</v>
      </c>
      <c r="AW539" s="319" t="s">
        <v>190</v>
      </c>
      <c r="AX539" s="319" t="s">
        <v>428</v>
      </c>
      <c r="AY539" s="319" t="s">
        <v>190</v>
      </c>
      <c r="AZ539" s="319" t="s">
        <v>190</v>
      </c>
      <c r="BA539" s="319" t="s">
        <v>190</v>
      </c>
      <c r="BB539" s="319" t="s">
        <v>428</v>
      </c>
      <c r="BC539" s="319" t="s">
        <v>428</v>
      </c>
      <c r="BD539" s="319" t="s">
        <v>428</v>
      </c>
      <c r="BE539" s="319" t="s">
        <v>428</v>
      </c>
      <c r="BF539" s="319" t="s">
        <v>428</v>
      </c>
      <c r="BG539" s="319" t="s">
        <v>428</v>
      </c>
      <c r="BH539" s="319" t="s">
        <v>190</v>
      </c>
      <c r="BI539" s="319" t="s">
        <v>190</v>
      </c>
      <c r="BJ539" s="319" t="s">
        <v>190</v>
      </c>
      <c r="BK539" s="319" t="s">
        <v>190</v>
      </c>
      <c r="BL539" s="319" t="s">
        <v>190</v>
      </c>
      <c r="BM539" s="319" t="s">
        <v>190</v>
      </c>
      <c r="BN539" s="319" t="s">
        <v>190</v>
      </c>
      <c r="BO539" s="319" t="s">
        <v>190</v>
      </c>
      <c r="BP539" s="319" t="s">
        <v>190</v>
      </c>
      <c r="BQ539" s="319" t="s">
        <v>190</v>
      </c>
      <c r="BR539" s="319" t="s">
        <v>190</v>
      </c>
      <c r="BS539" s="319" t="s">
        <v>190</v>
      </c>
      <c r="BT539" s="319" t="s">
        <v>190</v>
      </c>
      <c r="BU539" s="319" t="s">
        <v>190</v>
      </c>
      <c r="BV539" s="319" t="s">
        <v>190</v>
      </c>
      <c r="BW539" s="319" t="s">
        <v>190</v>
      </c>
      <c r="BX539" s="319" t="s">
        <v>190</v>
      </c>
      <c r="BY539" s="319" t="s">
        <v>190</v>
      </c>
      <c r="BZ539" s="319" t="s">
        <v>190</v>
      </c>
      <c r="CA539" s="319" t="s">
        <v>190</v>
      </c>
      <c r="CB539" s="319" t="s">
        <v>190</v>
      </c>
      <c r="CC539" s="319" t="s">
        <v>190</v>
      </c>
      <c r="CD539" s="319" t="s">
        <v>190</v>
      </c>
      <c r="CE539" s="319" t="s">
        <v>190</v>
      </c>
      <c r="CF539" s="319" t="s">
        <v>190</v>
      </c>
      <c r="CG539" s="319" t="s">
        <v>190</v>
      </c>
      <c r="CH539" s="319" t="s">
        <v>190</v>
      </c>
      <c r="CI539" s="319" t="s">
        <v>190</v>
      </c>
      <c r="CJ539" s="319" t="s">
        <v>190</v>
      </c>
      <c r="CK539" s="319" t="s">
        <v>190</v>
      </c>
      <c r="CL539" s="319" t="s">
        <v>190</v>
      </c>
      <c r="CM539" s="319" t="s">
        <v>190</v>
      </c>
      <c r="CN539" s="319" t="s">
        <v>428</v>
      </c>
      <c r="CO539" s="319" t="s">
        <v>428</v>
      </c>
      <c r="CP539" s="319" t="s">
        <v>428</v>
      </c>
      <c r="CQ539" s="319" t="s">
        <v>190</v>
      </c>
      <c r="CR539" s="319" t="s">
        <v>190</v>
      </c>
      <c r="CS539" s="319" t="s">
        <v>190</v>
      </c>
      <c r="CT539" s="319" t="s">
        <v>190</v>
      </c>
      <c r="CU539" s="319" t="s">
        <v>190</v>
      </c>
      <c r="CV539" s="319" t="s">
        <v>190</v>
      </c>
      <c r="CW539" s="319" t="s">
        <v>190</v>
      </c>
      <c r="CX539" s="319" t="s">
        <v>190</v>
      </c>
      <c r="CY539" s="319" t="s">
        <v>190</v>
      </c>
      <c r="CZ539" s="319" t="s">
        <v>190</v>
      </c>
      <c r="DA539" s="319" t="s">
        <v>190</v>
      </c>
      <c r="DB539" s="319" t="s">
        <v>190</v>
      </c>
      <c r="DC539" s="319" t="s">
        <v>190</v>
      </c>
      <c r="DD539" s="319" t="s">
        <v>190</v>
      </c>
      <c r="DE539" s="319" t="s">
        <v>190</v>
      </c>
      <c r="DF539" s="319" t="s">
        <v>190</v>
      </c>
      <c r="DG539" s="319" t="s">
        <v>190</v>
      </c>
      <c r="DH539" s="319" t="s">
        <v>190</v>
      </c>
      <c r="DI539" s="319" t="s">
        <v>190</v>
      </c>
      <c r="DJ539" s="319" t="s">
        <v>190</v>
      </c>
      <c r="DK539" s="319" t="s">
        <v>190</v>
      </c>
      <c r="DL539" s="319" t="s">
        <v>190</v>
      </c>
      <c r="DM539" s="319" t="s">
        <v>190</v>
      </c>
      <c r="DN539" s="319" t="s">
        <v>428</v>
      </c>
      <c r="DO539" s="319" t="s">
        <v>190</v>
      </c>
      <c r="DP539" s="319" t="s">
        <v>190</v>
      </c>
      <c r="DQ539" s="319" t="s">
        <v>190</v>
      </c>
      <c r="DR539" s="319" t="s">
        <v>190</v>
      </c>
      <c r="DS539" s="319" t="s">
        <v>190</v>
      </c>
      <c r="DT539" s="319" t="s">
        <v>190</v>
      </c>
      <c r="DU539" s="319" t="s">
        <v>190</v>
      </c>
      <c r="DV539" s="319" t="s">
        <v>173</v>
      </c>
      <c r="DW539" s="319" t="s">
        <v>190</v>
      </c>
      <c r="DX539" s="319" t="s">
        <v>190</v>
      </c>
      <c r="DY539" s="319" t="s">
        <v>190</v>
      </c>
      <c r="DZ539" s="319" t="s">
        <v>190</v>
      </c>
      <c r="EA539" s="319" t="s">
        <v>190</v>
      </c>
      <c r="EB539" s="319" t="s">
        <v>190</v>
      </c>
      <c r="EC539" s="319" t="s">
        <v>428</v>
      </c>
      <c r="ED539" s="319" t="s">
        <v>190</v>
      </c>
      <c r="EE539" s="319" t="s">
        <v>190</v>
      </c>
      <c r="EF539" s="319" t="s">
        <v>190</v>
      </c>
      <c r="EG539" s="319" t="s">
        <v>190</v>
      </c>
      <c r="EH539" s="319" t="s">
        <v>190</v>
      </c>
      <c r="EI539" s="319" t="s">
        <v>190</v>
      </c>
      <c r="EJ539" s="319" t="s">
        <v>190</v>
      </c>
      <c r="EK539" s="319" t="s">
        <v>190</v>
      </c>
      <c r="EL539" s="319" t="s">
        <v>190</v>
      </c>
      <c r="EM539" s="319" t="s">
        <v>190</v>
      </c>
      <c r="EN539" s="319" t="s">
        <v>190</v>
      </c>
      <c r="EO539" s="319" t="s">
        <v>190</v>
      </c>
      <c r="EP539" s="319" t="s">
        <v>190</v>
      </c>
      <c r="EQ539" s="319" t="s">
        <v>190</v>
      </c>
      <c r="ER539" s="319" t="s">
        <v>190</v>
      </c>
      <c r="ES539" s="319" t="s">
        <v>190</v>
      </c>
      <c r="ET539" s="319" t="s">
        <v>190</v>
      </c>
      <c r="EU539" s="319" t="s">
        <v>190</v>
      </c>
      <c r="EV539" s="319" t="s">
        <v>190</v>
      </c>
      <c r="EW539" s="319" t="s">
        <v>190</v>
      </c>
      <c r="EX539" s="319" t="s">
        <v>190</v>
      </c>
      <c r="EY539" s="319" t="s">
        <v>190</v>
      </c>
      <c r="EZ539" s="319" t="s">
        <v>190</v>
      </c>
      <c r="FA539" s="319" t="s">
        <v>428</v>
      </c>
      <c r="FB539" s="319" t="s">
        <v>190</v>
      </c>
      <c r="FC539" s="319" t="s">
        <v>190</v>
      </c>
      <c r="FD539" s="319" t="s">
        <v>190</v>
      </c>
      <c r="FE539" s="319" t="s">
        <v>190</v>
      </c>
      <c r="FF539" s="319" t="s">
        <v>190</v>
      </c>
      <c r="FG539" s="319" t="s">
        <v>190</v>
      </c>
      <c r="FH539" s="319" t="s">
        <v>190</v>
      </c>
      <c r="FI539" s="319" t="s">
        <v>190</v>
      </c>
      <c r="FJ539" s="319" t="s">
        <v>190</v>
      </c>
      <c r="FK539" s="319" t="s">
        <v>190</v>
      </c>
      <c r="FL539" s="319" t="s">
        <v>190</v>
      </c>
      <c r="FM539" s="319" t="s">
        <v>190</v>
      </c>
      <c r="FN539" s="319" t="s">
        <v>190</v>
      </c>
      <c r="FO539" s="319" t="s">
        <v>190</v>
      </c>
      <c r="FP539" s="319" t="s">
        <v>190</v>
      </c>
      <c r="FQ539" s="319" t="s">
        <v>190</v>
      </c>
      <c r="FR539" s="319" t="s">
        <v>190</v>
      </c>
      <c r="FS539" s="319" t="s">
        <v>190</v>
      </c>
      <c r="FT539" s="319" t="s">
        <v>190</v>
      </c>
      <c r="FU539" s="319" t="s">
        <v>190</v>
      </c>
      <c r="FV539" s="319" t="s">
        <v>190</v>
      </c>
      <c r="FW539" s="319" t="s">
        <v>190</v>
      </c>
      <c r="FX539" s="319" t="s">
        <v>190</v>
      </c>
      <c r="FY539" s="319" t="s">
        <v>190</v>
      </c>
      <c r="FZ539" s="319" t="s">
        <v>190</v>
      </c>
      <c r="GA539" s="319" t="s">
        <v>190</v>
      </c>
      <c r="GB539" s="319" t="s">
        <v>190</v>
      </c>
      <c r="GC539" s="319" t="s">
        <v>190</v>
      </c>
      <c r="GD539" s="319" t="s">
        <v>190</v>
      </c>
      <c r="GE539" s="319" t="s">
        <v>190</v>
      </c>
      <c r="GF539" s="319" t="s">
        <v>190</v>
      </c>
      <c r="GG539" s="319" t="s">
        <v>190</v>
      </c>
      <c r="GH539" s="319" t="s">
        <v>190</v>
      </c>
      <c r="GI539" s="319" t="s">
        <v>190</v>
      </c>
      <c r="GJ539" s="319" t="s">
        <v>190</v>
      </c>
      <c r="GK539" s="319" t="s">
        <v>428</v>
      </c>
      <c r="GL539" s="319" t="s">
        <v>190</v>
      </c>
      <c r="GM539" s="319" t="s">
        <v>190</v>
      </c>
      <c r="GN539" s="319" t="s">
        <v>190</v>
      </c>
      <c r="GO539" s="319" t="s">
        <v>190</v>
      </c>
      <c r="GP539" s="319" t="s">
        <v>190</v>
      </c>
      <c r="GQ539" s="319" t="s">
        <v>190</v>
      </c>
      <c r="GR539" s="319" t="s">
        <v>190</v>
      </c>
      <c r="GS539" s="319" t="s">
        <v>190</v>
      </c>
      <c r="GT539" s="319" t="s">
        <v>190</v>
      </c>
      <c r="GU539" s="319" t="s">
        <v>190</v>
      </c>
      <c r="GV539" s="319" t="s">
        <v>190</v>
      </c>
      <c r="GW539" s="319" t="s">
        <v>190</v>
      </c>
      <c r="GX539" s="319" t="s">
        <v>190</v>
      </c>
      <c r="GY539" s="319" t="s">
        <v>190</v>
      </c>
      <c r="GZ539" s="319" t="s">
        <v>190</v>
      </c>
      <c r="HA539" s="319" t="s">
        <v>190</v>
      </c>
      <c r="HB539" s="319" t="s">
        <v>190</v>
      </c>
      <c r="HC539" s="319" t="s">
        <v>190</v>
      </c>
      <c r="HD539" s="319" t="s">
        <v>190</v>
      </c>
      <c r="HE539" s="319" t="s">
        <v>190</v>
      </c>
      <c r="HF539" s="319" t="s">
        <v>190</v>
      </c>
      <c r="HG539" s="319" t="s">
        <v>190</v>
      </c>
      <c r="HH539" s="319" t="s">
        <v>190</v>
      </c>
      <c r="HI539" s="319" t="s">
        <v>190</v>
      </c>
      <c r="HJ539" s="319" t="s">
        <v>190</v>
      </c>
      <c r="HK539" s="319" t="s">
        <v>190</v>
      </c>
      <c r="HL539" s="319" t="s">
        <v>428</v>
      </c>
      <c r="HM539" s="319" t="s">
        <v>428</v>
      </c>
      <c r="HN539" s="319" t="s">
        <v>428</v>
      </c>
      <c r="HO539" s="319" t="s">
        <v>428</v>
      </c>
      <c r="HP539" s="319" t="s">
        <v>190</v>
      </c>
      <c r="HQ539" s="319" t="s">
        <v>190</v>
      </c>
      <c r="HR539" s="319" t="s">
        <v>190</v>
      </c>
      <c r="HS539" s="319" t="s">
        <v>190</v>
      </c>
      <c r="HT539" s="319" t="s">
        <v>190</v>
      </c>
      <c r="HU539" s="319" t="s">
        <v>190</v>
      </c>
      <c r="HV539" s="319" t="s">
        <v>190</v>
      </c>
      <c r="HW539" s="319" t="s">
        <v>190</v>
      </c>
      <c r="HX539" s="319" t="s">
        <v>190</v>
      </c>
      <c r="HY539" s="319" t="s">
        <v>190</v>
      </c>
      <c r="HZ539" s="319" t="s">
        <v>190</v>
      </c>
      <c r="IA539" s="319" t="s">
        <v>190</v>
      </c>
      <c r="IB539" s="319" t="s">
        <v>190</v>
      </c>
      <c r="IC539" s="319" t="s">
        <v>190</v>
      </c>
      <c r="ID539" s="319" t="s">
        <v>190</v>
      </c>
      <c r="IE539" s="319" t="s">
        <v>190</v>
      </c>
      <c r="IF539" s="319" t="s">
        <v>190</v>
      </c>
      <c r="IG539" s="319" t="s">
        <v>190</v>
      </c>
      <c r="IH539" s="319" t="s">
        <v>190</v>
      </c>
      <c r="II539" s="319" t="s">
        <v>190</v>
      </c>
      <c r="IJ539" s="319">
        <v>10006075</v>
      </c>
      <c r="IK539" s="321">
        <v>42409</v>
      </c>
      <c r="IL539" s="321">
        <v>42411</v>
      </c>
      <c r="IM539" s="321">
        <v>42436</v>
      </c>
      <c r="IN539" s="319">
        <v>2</v>
      </c>
      <c r="IO539" s="319" t="s">
        <v>173</v>
      </c>
      <c r="IP539" s="319" t="s">
        <v>173</v>
      </c>
      <c r="IQ539" s="319" t="s">
        <v>173</v>
      </c>
      <c r="IR539" s="320" t="s">
        <v>173</v>
      </c>
      <c r="IS539" s="320" t="s">
        <v>173</v>
      </c>
      <c r="IT539" s="319" t="s">
        <v>173</v>
      </c>
    </row>
    <row r="540" spans="1:254" s="271" customFormat="1" x14ac:dyDescent="0.25">
      <c r="A540" s="318" t="str">
        <f>HYPERLINK("http://www.ofsted.gov.uk/inspection-reports/find-inspection-report/provider/ELS/135555 ","Ofsted School Webpage")</f>
        <v>Ofsted School Webpage</v>
      </c>
      <c r="B540" s="319">
        <v>135555</v>
      </c>
      <c r="C540" s="319">
        <v>9096097</v>
      </c>
      <c r="D540" s="319" t="s">
        <v>959</v>
      </c>
      <c r="E540" s="319" t="s">
        <v>168</v>
      </c>
      <c r="F540" s="319" t="s">
        <v>81</v>
      </c>
      <c r="G540" s="319" t="s">
        <v>81</v>
      </c>
      <c r="H540" s="319" t="s">
        <v>81</v>
      </c>
      <c r="I540" s="319" t="s">
        <v>78</v>
      </c>
      <c r="J540" s="319" t="s">
        <v>424</v>
      </c>
      <c r="K540" s="319" t="s">
        <v>431</v>
      </c>
      <c r="L540" s="319" t="s">
        <v>431</v>
      </c>
      <c r="M540" s="319" t="s">
        <v>585</v>
      </c>
      <c r="N540" s="319" t="s">
        <v>3151</v>
      </c>
      <c r="O540" s="319" t="s">
        <v>960</v>
      </c>
      <c r="P540" s="319">
        <v>9</v>
      </c>
      <c r="Q540" s="319" t="s">
        <v>429</v>
      </c>
      <c r="R540" s="320">
        <v>10067902</v>
      </c>
      <c r="S540" s="321">
        <v>43522</v>
      </c>
      <c r="T540" s="321">
        <v>43524</v>
      </c>
      <c r="U540" s="321">
        <v>43544</v>
      </c>
      <c r="V540" s="319" t="s">
        <v>425</v>
      </c>
      <c r="W540" s="319" t="s">
        <v>2767</v>
      </c>
      <c r="X540" s="319">
        <v>2</v>
      </c>
      <c r="Y540" s="319" t="s">
        <v>173</v>
      </c>
      <c r="Z540" s="319" t="s">
        <v>173</v>
      </c>
      <c r="AA540" s="319" t="s">
        <v>173</v>
      </c>
      <c r="AB540" s="319">
        <v>2</v>
      </c>
      <c r="AC540" s="319" t="s">
        <v>169</v>
      </c>
      <c r="AD540" s="319" t="s">
        <v>173</v>
      </c>
      <c r="AE540" s="319" t="s">
        <v>173</v>
      </c>
      <c r="AF540" s="319" t="s">
        <v>427</v>
      </c>
      <c r="AG540" s="319" t="s">
        <v>171</v>
      </c>
      <c r="AH540" s="319" t="s">
        <v>190</v>
      </c>
      <c r="AI540" s="319" t="s">
        <v>190</v>
      </c>
      <c r="AJ540" s="319" t="s">
        <v>190</v>
      </c>
      <c r="AK540" s="319" t="s">
        <v>190</v>
      </c>
      <c r="AL540" s="319" t="s">
        <v>190</v>
      </c>
      <c r="AM540" s="319" t="s">
        <v>190</v>
      </c>
      <c r="AN540" s="319" t="s">
        <v>190</v>
      </c>
      <c r="AO540" s="319" t="s">
        <v>190</v>
      </c>
      <c r="AP540" s="319" t="s">
        <v>190</v>
      </c>
      <c r="AQ540" s="319" t="s">
        <v>190</v>
      </c>
      <c r="AR540" s="319" t="s">
        <v>190</v>
      </c>
      <c r="AS540" s="319" t="s">
        <v>190</v>
      </c>
      <c r="AT540" s="319" t="s">
        <v>190</v>
      </c>
      <c r="AU540" s="319" t="s">
        <v>190</v>
      </c>
      <c r="AV540" s="319" t="s">
        <v>190</v>
      </c>
      <c r="AW540" s="319" t="s">
        <v>190</v>
      </c>
      <c r="AX540" s="319" t="s">
        <v>428</v>
      </c>
      <c r="AY540" s="319" t="s">
        <v>190</v>
      </c>
      <c r="AZ540" s="319" t="s">
        <v>190</v>
      </c>
      <c r="BA540" s="319" t="s">
        <v>190</v>
      </c>
      <c r="BB540" s="319" t="s">
        <v>190</v>
      </c>
      <c r="BC540" s="319" t="s">
        <v>190</v>
      </c>
      <c r="BD540" s="319" t="s">
        <v>190</v>
      </c>
      <c r="BE540" s="319" t="s">
        <v>190</v>
      </c>
      <c r="BF540" s="319" t="s">
        <v>428</v>
      </c>
      <c r="BG540" s="319" t="s">
        <v>428</v>
      </c>
      <c r="BH540" s="319" t="s">
        <v>190</v>
      </c>
      <c r="BI540" s="319" t="s">
        <v>190</v>
      </c>
      <c r="BJ540" s="319" t="s">
        <v>190</v>
      </c>
      <c r="BK540" s="319" t="s">
        <v>190</v>
      </c>
      <c r="BL540" s="319" t="s">
        <v>190</v>
      </c>
      <c r="BM540" s="319" t="s">
        <v>190</v>
      </c>
      <c r="BN540" s="319" t="s">
        <v>190</v>
      </c>
      <c r="BO540" s="319" t="s">
        <v>190</v>
      </c>
      <c r="BP540" s="319" t="s">
        <v>190</v>
      </c>
      <c r="BQ540" s="319" t="s">
        <v>190</v>
      </c>
      <c r="BR540" s="319" t="s">
        <v>190</v>
      </c>
      <c r="BS540" s="319" t="s">
        <v>190</v>
      </c>
      <c r="BT540" s="319" t="s">
        <v>190</v>
      </c>
      <c r="BU540" s="319" t="s">
        <v>190</v>
      </c>
      <c r="BV540" s="319" t="s">
        <v>190</v>
      </c>
      <c r="BW540" s="319" t="s">
        <v>190</v>
      </c>
      <c r="BX540" s="319" t="s">
        <v>190</v>
      </c>
      <c r="BY540" s="319" t="s">
        <v>190</v>
      </c>
      <c r="BZ540" s="319" t="s">
        <v>190</v>
      </c>
      <c r="CA540" s="319" t="s">
        <v>190</v>
      </c>
      <c r="CB540" s="319" t="s">
        <v>190</v>
      </c>
      <c r="CC540" s="319" t="s">
        <v>190</v>
      </c>
      <c r="CD540" s="319" t="s">
        <v>190</v>
      </c>
      <c r="CE540" s="319" t="s">
        <v>190</v>
      </c>
      <c r="CF540" s="319" t="s">
        <v>190</v>
      </c>
      <c r="CG540" s="319" t="s">
        <v>190</v>
      </c>
      <c r="CH540" s="319" t="s">
        <v>190</v>
      </c>
      <c r="CI540" s="319" t="s">
        <v>190</v>
      </c>
      <c r="CJ540" s="319" t="s">
        <v>190</v>
      </c>
      <c r="CK540" s="319" t="s">
        <v>190</v>
      </c>
      <c r="CL540" s="319" t="s">
        <v>190</v>
      </c>
      <c r="CM540" s="319" t="s">
        <v>190</v>
      </c>
      <c r="CN540" s="319" t="s">
        <v>428</v>
      </c>
      <c r="CO540" s="319" t="s">
        <v>428</v>
      </c>
      <c r="CP540" s="319" t="s">
        <v>428</v>
      </c>
      <c r="CQ540" s="319" t="s">
        <v>190</v>
      </c>
      <c r="CR540" s="319" t="s">
        <v>190</v>
      </c>
      <c r="CS540" s="319" t="s">
        <v>190</v>
      </c>
      <c r="CT540" s="319" t="s">
        <v>190</v>
      </c>
      <c r="CU540" s="319" t="s">
        <v>190</v>
      </c>
      <c r="CV540" s="319" t="s">
        <v>190</v>
      </c>
      <c r="CW540" s="319" t="s">
        <v>190</v>
      </c>
      <c r="CX540" s="319" t="s">
        <v>190</v>
      </c>
      <c r="CY540" s="319" t="s">
        <v>190</v>
      </c>
      <c r="CZ540" s="319" t="s">
        <v>190</v>
      </c>
      <c r="DA540" s="319" t="s">
        <v>190</v>
      </c>
      <c r="DB540" s="319" t="s">
        <v>190</v>
      </c>
      <c r="DC540" s="319" t="s">
        <v>190</v>
      </c>
      <c r="DD540" s="319" t="s">
        <v>190</v>
      </c>
      <c r="DE540" s="319" t="s">
        <v>190</v>
      </c>
      <c r="DF540" s="319" t="s">
        <v>190</v>
      </c>
      <c r="DG540" s="319" t="s">
        <v>190</v>
      </c>
      <c r="DH540" s="319" t="s">
        <v>190</v>
      </c>
      <c r="DI540" s="319" t="s">
        <v>190</v>
      </c>
      <c r="DJ540" s="319" t="s">
        <v>190</v>
      </c>
      <c r="DK540" s="319" t="s">
        <v>190</v>
      </c>
      <c r="DL540" s="319" t="s">
        <v>190</v>
      </c>
      <c r="DM540" s="319" t="s">
        <v>428</v>
      </c>
      <c r="DN540" s="319" t="s">
        <v>428</v>
      </c>
      <c r="DO540" s="319" t="s">
        <v>190</v>
      </c>
      <c r="DP540" s="319" t="s">
        <v>190</v>
      </c>
      <c r="DQ540" s="319" t="s">
        <v>190</v>
      </c>
      <c r="DR540" s="319" t="s">
        <v>190</v>
      </c>
      <c r="DS540" s="319" t="s">
        <v>190</v>
      </c>
      <c r="DT540" s="319" t="s">
        <v>190</v>
      </c>
      <c r="DU540" s="319" t="s">
        <v>190</v>
      </c>
      <c r="DV540" s="319" t="s">
        <v>173</v>
      </c>
      <c r="DW540" s="319" t="s">
        <v>190</v>
      </c>
      <c r="DX540" s="319" t="s">
        <v>190</v>
      </c>
      <c r="DY540" s="319" t="s">
        <v>190</v>
      </c>
      <c r="DZ540" s="319" t="s">
        <v>190</v>
      </c>
      <c r="EA540" s="319" t="s">
        <v>190</v>
      </c>
      <c r="EB540" s="319" t="s">
        <v>190</v>
      </c>
      <c r="EC540" s="319" t="s">
        <v>428</v>
      </c>
      <c r="ED540" s="319" t="s">
        <v>190</v>
      </c>
      <c r="EE540" s="319" t="s">
        <v>190</v>
      </c>
      <c r="EF540" s="319" t="s">
        <v>190</v>
      </c>
      <c r="EG540" s="319" t="s">
        <v>190</v>
      </c>
      <c r="EH540" s="319" t="s">
        <v>190</v>
      </c>
      <c r="EI540" s="319" t="s">
        <v>190</v>
      </c>
      <c r="EJ540" s="319" t="s">
        <v>190</v>
      </c>
      <c r="EK540" s="319" t="s">
        <v>190</v>
      </c>
      <c r="EL540" s="319" t="s">
        <v>428</v>
      </c>
      <c r="EM540" s="319" t="s">
        <v>190</v>
      </c>
      <c r="EN540" s="319" t="s">
        <v>190</v>
      </c>
      <c r="EO540" s="319" t="s">
        <v>190</v>
      </c>
      <c r="EP540" s="319" t="s">
        <v>190</v>
      </c>
      <c r="EQ540" s="319" t="s">
        <v>190</v>
      </c>
      <c r="ER540" s="319" t="s">
        <v>190</v>
      </c>
      <c r="ES540" s="319" t="s">
        <v>190</v>
      </c>
      <c r="ET540" s="319" t="s">
        <v>190</v>
      </c>
      <c r="EU540" s="319" t="s">
        <v>190</v>
      </c>
      <c r="EV540" s="319" t="s">
        <v>190</v>
      </c>
      <c r="EW540" s="319" t="s">
        <v>190</v>
      </c>
      <c r="EX540" s="319" t="s">
        <v>190</v>
      </c>
      <c r="EY540" s="319" t="s">
        <v>190</v>
      </c>
      <c r="EZ540" s="319" t="s">
        <v>190</v>
      </c>
      <c r="FA540" s="319" t="s">
        <v>428</v>
      </c>
      <c r="FB540" s="319" t="s">
        <v>190</v>
      </c>
      <c r="FC540" s="319" t="s">
        <v>190</v>
      </c>
      <c r="FD540" s="319" t="s">
        <v>190</v>
      </c>
      <c r="FE540" s="319" t="s">
        <v>190</v>
      </c>
      <c r="FF540" s="319" t="s">
        <v>190</v>
      </c>
      <c r="FG540" s="319" t="s">
        <v>190</v>
      </c>
      <c r="FH540" s="319" t="s">
        <v>190</v>
      </c>
      <c r="FI540" s="319" t="s">
        <v>428</v>
      </c>
      <c r="FJ540" s="319" t="s">
        <v>429</v>
      </c>
      <c r="FK540" s="319" t="s">
        <v>428</v>
      </c>
      <c r="FL540" s="319" t="s">
        <v>190</v>
      </c>
      <c r="FM540" s="319" t="s">
        <v>190</v>
      </c>
      <c r="FN540" s="319" t="s">
        <v>190</v>
      </c>
      <c r="FO540" s="319" t="s">
        <v>190</v>
      </c>
      <c r="FP540" s="319" t="s">
        <v>190</v>
      </c>
      <c r="FQ540" s="319" t="s">
        <v>190</v>
      </c>
      <c r="FR540" s="319" t="s">
        <v>190</v>
      </c>
      <c r="FS540" s="319" t="s">
        <v>428</v>
      </c>
      <c r="FT540" s="319" t="s">
        <v>190</v>
      </c>
      <c r="FU540" s="319" t="s">
        <v>190</v>
      </c>
      <c r="FV540" s="319" t="s">
        <v>190</v>
      </c>
      <c r="FW540" s="319" t="s">
        <v>190</v>
      </c>
      <c r="FX540" s="319" t="s">
        <v>190</v>
      </c>
      <c r="FY540" s="319" t="s">
        <v>190</v>
      </c>
      <c r="FZ540" s="319" t="s">
        <v>190</v>
      </c>
      <c r="GA540" s="319" t="s">
        <v>190</v>
      </c>
      <c r="GB540" s="319" t="s">
        <v>190</v>
      </c>
      <c r="GC540" s="319" t="s">
        <v>190</v>
      </c>
      <c r="GD540" s="319" t="s">
        <v>190</v>
      </c>
      <c r="GE540" s="319" t="s">
        <v>190</v>
      </c>
      <c r="GF540" s="319" t="s">
        <v>190</v>
      </c>
      <c r="GG540" s="319" t="s">
        <v>190</v>
      </c>
      <c r="GH540" s="319" t="s">
        <v>190</v>
      </c>
      <c r="GI540" s="319" t="s">
        <v>190</v>
      </c>
      <c r="GJ540" s="319" t="s">
        <v>190</v>
      </c>
      <c r="GK540" s="319" t="s">
        <v>428</v>
      </c>
      <c r="GL540" s="319" t="s">
        <v>190</v>
      </c>
      <c r="GM540" s="319" t="s">
        <v>190</v>
      </c>
      <c r="GN540" s="319" t="s">
        <v>190</v>
      </c>
      <c r="GO540" s="319" t="s">
        <v>190</v>
      </c>
      <c r="GP540" s="319" t="s">
        <v>190</v>
      </c>
      <c r="GQ540" s="319" t="s">
        <v>190</v>
      </c>
      <c r="GR540" s="319" t="s">
        <v>190</v>
      </c>
      <c r="GS540" s="319" t="s">
        <v>190</v>
      </c>
      <c r="GT540" s="319" t="s">
        <v>190</v>
      </c>
      <c r="GU540" s="319" t="s">
        <v>190</v>
      </c>
      <c r="GV540" s="319" t="s">
        <v>190</v>
      </c>
      <c r="GW540" s="319" t="s">
        <v>190</v>
      </c>
      <c r="GX540" s="319" t="s">
        <v>190</v>
      </c>
      <c r="GY540" s="319" t="s">
        <v>190</v>
      </c>
      <c r="GZ540" s="319" t="s">
        <v>190</v>
      </c>
      <c r="HA540" s="319" t="s">
        <v>190</v>
      </c>
      <c r="HB540" s="319" t="s">
        <v>190</v>
      </c>
      <c r="HC540" s="319" t="s">
        <v>190</v>
      </c>
      <c r="HD540" s="319" t="s">
        <v>190</v>
      </c>
      <c r="HE540" s="319" t="s">
        <v>190</v>
      </c>
      <c r="HF540" s="319" t="s">
        <v>190</v>
      </c>
      <c r="HG540" s="319" t="s">
        <v>190</v>
      </c>
      <c r="HH540" s="319" t="s">
        <v>190</v>
      </c>
      <c r="HI540" s="319" t="s">
        <v>190</v>
      </c>
      <c r="HJ540" s="319" t="s">
        <v>190</v>
      </c>
      <c r="HK540" s="319" t="s">
        <v>190</v>
      </c>
      <c r="HL540" s="319" t="s">
        <v>190</v>
      </c>
      <c r="HM540" s="319" t="s">
        <v>428</v>
      </c>
      <c r="HN540" s="319" t="s">
        <v>428</v>
      </c>
      <c r="HO540" s="319" t="s">
        <v>428</v>
      </c>
      <c r="HP540" s="319" t="s">
        <v>190</v>
      </c>
      <c r="HQ540" s="319" t="s">
        <v>190</v>
      </c>
      <c r="HR540" s="319" t="s">
        <v>190</v>
      </c>
      <c r="HS540" s="319" t="s">
        <v>190</v>
      </c>
      <c r="HT540" s="319" t="s">
        <v>190</v>
      </c>
      <c r="HU540" s="319" t="s">
        <v>190</v>
      </c>
      <c r="HV540" s="319" t="s">
        <v>190</v>
      </c>
      <c r="HW540" s="319" t="s">
        <v>190</v>
      </c>
      <c r="HX540" s="319" t="s">
        <v>190</v>
      </c>
      <c r="HY540" s="319" t="s">
        <v>190</v>
      </c>
      <c r="HZ540" s="319" t="s">
        <v>190</v>
      </c>
      <c r="IA540" s="319" t="s">
        <v>190</v>
      </c>
      <c r="IB540" s="319" t="s">
        <v>190</v>
      </c>
      <c r="IC540" s="319" t="s">
        <v>190</v>
      </c>
      <c r="ID540" s="319" t="s">
        <v>190</v>
      </c>
      <c r="IE540" s="319" t="s">
        <v>190</v>
      </c>
      <c r="IF540" s="319" t="s">
        <v>190</v>
      </c>
      <c r="IG540" s="319" t="s">
        <v>190</v>
      </c>
      <c r="IH540" s="319" t="s">
        <v>190</v>
      </c>
      <c r="II540" s="319" t="s">
        <v>190</v>
      </c>
      <c r="IJ540" s="319">
        <v>10006022</v>
      </c>
      <c r="IK540" s="321">
        <v>42556</v>
      </c>
      <c r="IL540" s="321">
        <v>42558</v>
      </c>
      <c r="IM540" s="321">
        <v>42671</v>
      </c>
      <c r="IN540" s="319">
        <v>2</v>
      </c>
      <c r="IO540" s="319" t="s">
        <v>173</v>
      </c>
      <c r="IP540" s="319" t="s">
        <v>173</v>
      </c>
      <c r="IQ540" s="319" t="s">
        <v>173</v>
      </c>
      <c r="IR540" s="320" t="s">
        <v>173</v>
      </c>
      <c r="IS540" s="320" t="s">
        <v>173</v>
      </c>
      <c r="IT540" s="319" t="s">
        <v>173</v>
      </c>
    </row>
    <row r="541" spans="1:254" s="271" customFormat="1" x14ac:dyDescent="0.25">
      <c r="A541" s="318" t="str">
        <f>HYPERLINK("http://www.ofsted.gov.uk/inspection-reports/find-inspection-report/provider/ELS/135557 ","Ofsted School Webpage")</f>
        <v>Ofsted School Webpage</v>
      </c>
      <c r="B541" s="319">
        <v>135557</v>
      </c>
      <c r="C541" s="319">
        <v>3596009</v>
      </c>
      <c r="D541" s="319" t="s">
        <v>630</v>
      </c>
      <c r="E541" s="319" t="s">
        <v>168</v>
      </c>
      <c r="F541" s="319" t="s">
        <v>81</v>
      </c>
      <c r="G541" s="319" t="s">
        <v>81</v>
      </c>
      <c r="H541" s="319" t="s">
        <v>81</v>
      </c>
      <c r="I541" s="319" t="s">
        <v>78</v>
      </c>
      <c r="J541" s="319" t="s">
        <v>424</v>
      </c>
      <c r="K541" s="319" t="s">
        <v>431</v>
      </c>
      <c r="L541" s="319" t="s">
        <v>431</v>
      </c>
      <c r="M541" s="319" t="s">
        <v>432</v>
      </c>
      <c r="N541" s="319" t="s">
        <v>3308</v>
      </c>
      <c r="O541" s="319" t="s">
        <v>631</v>
      </c>
      <c r="P541" s="319">
        <v>26</v>
      </c>
      <c r="Q541" s="319" t="s">
        <v>429</v>
      </c>
      <c r="R541" s="320">
        <v>10053729</v>
      </c>
      <c r="S541" s="321">
        <v>43410</v>
      </c>
      <c r="T541" s="321">
        <v>43412</v>
      </c>
      <c r="U541" s="321">
        <v>43436</v>
      </c>
      <c r="V541" s="319" t="s">
        <v>425</v>
      </c>
      <c r="W541" s="319" t="s">
        <v>2767</v>
      </c>
      <c r="X541" s="319">
        <v>2</v>
      </c>
      <c r="Y541" s="319" t="s">
        <v>173</v>
      </c>
      <c r="Z541" s="319" t="s">
        <v>173</v>
      </c>
      <c r="AA541" s="319" t="s">
        <v>173</v>
      </c>
      <c r="AB541" s="319">
        <v>2</v>
      </c>
      <c r="AC541" s="319" t="s">
        <v>169</v>
      </c>
      <c r="AD541" s="319" t="s">
        <v>173</v>
      </c>
      <c r="AE541" s="319" t="s">
        <v>173</v>
      </c>
      <c r="AF541" s="319" t="s">
        <v>427</v>
      </c>
      <c r="AG541" s="319" t="s">
        <v>171</v>
      </c>
      <c r="AH541" s="319" t="s">
        <v>190</v>
      </c>
      <c r="AI541" s="319" t="s">
        <v>190</v>
      </c>
      <c r="AJ541" s="319" t="s">
        <v>190</v>
      </c>
      <c r="AK541" s="319" t="s">
        <v>190</v>
      </c>
      <c r="AL541" s="319" t="s">
        <v>190</v>
      </c>
      <c r="AM541" s="319" t="s">
        <v>190</v>
      </c>
      <c r="AN541" s="319" t="s">
        <v>190</v>
      </c>
      <c r="AO541" s="319" t="s">
        <v>190</v>
      </c>
      <c r="AP541" s="319" t="s">
        <v>190</v>
      </c>
      <c r="AQ541" s="319" t="s">
        <v>190</v>
      </c>
      <c r="AR541" s="319" t="s">
        <v>190</v>
      </c>
      <c r="AS541" s="319" t="s">
        <v>190</v>
      </c>
      <c r="AT541" s="319" t="s">
        <v>190</v>
      </c>
      <c r="AU541" s="319" t="s">
        <v>190</v>
      </c>
      <c r="AV541" s="319" t="s">
        <v>190</v>
      </c>
      <c r="AW541" s="319" t="s">
        <v>190</v>
      </c>
      <c r="AX541" s="319" t="s">
        <v>190</v>
      </c>
      <c r="AY541" s="319" t="s">
        <v>190</v>
      </c>
      <c r="AZ541" s="319" t="s">
        <v>190</v>
      </c>
      <c r="BA541" s="319" t="s">
        <v>190</v>
      </c>
      <c r="BB541" s="319" t="s">
        <v>190</v>
      </c>
      <c r="BC541" s="319" t="s">
        <v>190</v>
      </c>
      <c r="BD541" s="319" t="s">
        <v>190</v>
      </c>
      <c r="BE541" s="319" t="s">
        <v>190</v>
      </c>
      <c r="BF541" s="319" t="s">
        <v>428</v>
      </c>
      <c r="BG541" s="319" t="s">
        <v>428</v>
      </c>
      <c r="BH541" s="319" t="s">
        <v>190</v>
      </c>
      <c r="BI541" s="319" t="s">
        <v>190</v>
      </c>
      <c r="BJ541" s="319" t="s">
        <v>190</v>
      </c>
      <c r="BK541" s="319" t="s">
        <v>190</v>
      </c>
      <c r="BL541" s="319" t="s">
        <v>190</v>
      </c>
      <c r="BM541" s="319" t="s">
        <v>190</v>
      </c>
      <c r="BN541" s="319" t="s">
        <v>190</v>
      </c>
      <c r="BO541" s="319" t="s">
        <v>190</v>
      </c>
      <c r="BP541" s="319" t="s">
        <v>190</v>
      </c>
      <c r="BQ541" s="319" t="s">
        <v>190</v>
      </c>
      <c r="BR541" s="319" t="s">
        <v>190</v>
      </c>
      <c r="BS541" s="319" t="s">
        <v>190</v>
      </c>
      <c r="BT541" s="319" t="s">
        <v>190</v>
      </c>
      <c r="BU541" s="319" t="s">
        <v>190</v>
      </c>
      <c r="BV541" s="319" t="s">
        <v>190</v>
      </c>
      <c r="BW541" s="319" t="s">
        <v>190</v>
      </c>
      <c r="BX541" s="319" t="s">
        <v>190</v>
      </c>
      <c r="BY541" s="319" t="s">
        <v>190</v>
      </c>
      <c r="BZ541" s="319" t="s">
        <v>190</v>
      </c>
      <c r="CA541" s="319" t="s">
        <v>190</v>
      </c>
      <c r="CB541" s="319" t="s">
        <v>190</v>
      </c>
      <c r="CC541" s="319" t="s">
        <v>190</v>
      </c>
      <c r="CD541" s="319" t="s">
        <v>190</v>
      </c>
      <c r="CE541" s="319" t="s">
        <v>190</v>
      </c>
      <c r="CF541" s="319" t="s">
        <v>190</v>
      </c>
      <c r="CG541" s="319" t="s">
        <v>190</v>
      </c>
      <c r="CH541" s="319" t="s">
        <v>190</v>
      </c>
      <c r="CI541" s="319" t="s">
        <v>190</v>
      </c>
      <c r="CJ541" s="319" t="s">
        <v>190</v>
      </c>
      <c r="CK541" s="319" t="s">
        <v>190</v>
      </c>
      <c r="CL541" s="319" t="s">
        <v>190</v>
      </c>
      <c r="CM541" s="319" t="s">
        <v>190</v>
      </c>
      <c r="CN541" s="319" t="s">
        <v>428</v>
      </c>
      <c r="CO541" s="319" t="s">
        <v>428</v>
      </c>
      <c r="CP541" s="319" t="s">
        <v>428</v>
      </c>
      <c r="CQ541" s="319" t="s">
        <v>190</v>
      </c>
      <c r="CR541" s="319" t="s">
        <v>190</v>
      </c>
      <c r="CS541" s="319" t="s">
        <v>190</v>
      </c>
      <c r="CT541" s="319" t="s">
        <v>190</v>
      </c>
      <c r="CU541" s="319" t="s">
        <v>190</v>
      </c>
      <c r="CV541" s="319" t="s">
        <v>190</v>
      </c>
      <c r="CW541" s="319" t="s">
        <v>190</v>
      </c>
      <c r="CX541" s="319" t="s">
        <v>190</v>
      </c>
      <c r="CY541" s="319" t="s">
        <v>190</v>
      </c>
      <c r="CZ541" s="319" t="s">
        <v>190</v>
      </c>
      <c r="DA541" s="319" t="s">
        <v>190</v>
      </c>
      <c r="DB541" s="319" t="s">
        <v>190</v>
      </c>
      <c r="DC541" s="319" t="s">
        <v>190</v>
      </c>
      <c r="DD541" s="319" t="s">
        <v>190</v>
      </c>
      <c r="DE541" s="319" t="s">
        <v>190</v>
      </c>
      <c r="DF541" s="319" t="s">
        <v>190</v>
      </c>
      <c r="DG541" s="319" t="s">
        <v>190</v>
      </c>
      <c r="DH541" s="319" t="s">
        <v>190</v>
      </c>
      <c r="DI541" s="319" t="s">
        <v>190</v>
      </c>
      <c r="DJ541" s="319" t="s">
        <v>190</v>
      </c>
      <c r="DK541" s="319" t="s">
        <v>190</v>
      </c>
      <c r="DL541" s="319" t="s">
        <v>190</v>
      </c>
      <c r="DM541" s="319" t="s">
        <v>190</v>
      </c>
      <c r="DN541" s="319" t="s">
        <v>428</v>
      </c>
      <c r="DO541" s="319" t="s">
        <v>190</v>
      </c>
      <c r="DP541" s="319" t="s">
        <v>190</v>
      </c>
      <c r="DQ541" s="319" t="s">
        <v>190</v>
      </c>
      <c r="DR541" s="319" t="s">
        <v>190</v>
      </c>
      <c r="DS541" s="319" t="s">
        <v>190</v>
      </c>
      <c r="DT541" s="319" t="s">
        <v>190</v>
      </c>
      <c r="DU541" s="319" t="s">
        <v>190</v>
      </c>
      <c r="DV541" s="319" t="s">
        <v>173</v>
      </c>
      <c r="DW541" s="319" t="s">
        <v>190</v>
      </c>
      <c r="DX541" s="319" t="s">
        <v>190</v>
      </c>
      <c r="DY541" s="319" t="s">
        <v>190</v>
      </c>
      <c r="DZ541" s="319" t="s">
        <v>190</v>
      </c>
      <c r="EA541" s="319" t="s">
        <v>190</v>
      </c>
      <c r="EB541" s="319" t="s">
        <v>190</v>
      </c>
      <c r="EC541" s="319" t="s">
        <v>428</v>
      </c>
      <c r="ED541" s="319" t="s">
        <v>190</v>
      </c>
      <c r="EE541" s="319" t="s">
        <v>190</v>
      </c>
      <c r="EF541" s="319" t="s">
        <v>190</v>
      </c>
      <c r="EG541" s="319" t="s">
        <v>190</v>
      </c>
      <c r="EH541" s="319" t="s">
        <v>190</v>
      </c>
      <c r="EI541" s="319" t="s">
        <v>190</v>
      </c>
      <c r="EJ541" s="319" t="s">
        <v>190</v>
      </c>
      <c r="EK541" s="319" t="s">
        <v>190</v>
      </c>
      <c r="EL541" s="319" t="s">
        <v>190</v>
      </c>
      <c r="EM541" s="319" t="s">
        <v>190</v>
      </c>
      <c r="EN541" s="319" t="s">
        <v>190</v>
      </c>
      <c r="EO541" s="319" t="s">
        <v>190</v>
      </c>
      <c r="EP541" s="319" t="s">
        <v>190</v>
      </c>
      <c r="EQ541" s="319" t="s">
        <v>190</v>
      </c>
      <c r="ER541" s="319" t="s">
        <v>190</v>
      </c>
      <c r="ES541" s="319" t="s">
        <v>190</v>
      </c>
      <c r="ET541" s="319" t="s">
        <v>190</v>
      </c>
      <c r="EU541" s="319" t="s">
        <v>190</v>
      </c>
      <c r="EV541" s="319" t="s">
        <v>190</v>
      </c>
      <c r="EW541" s="319" t="s">
        <v>190</v>
      </c>
      <c r="EX541" s="319" t="s">
        <v>190</v>
      </c>
      <c r="EY541" s="319" t="s">
        <v>190</v>
      </c>
      <c r="EZ541" s="319" t="s">
        <v>190</v>
      </c>
      <c r="FA541" s="319" t="s">
        <v>190</v>
      </c>
      <c r="FB541" s="319" t="s">
        <v>190</v>
      </c>
      <c r="FC541" s="319" t="s">
        <v>190</v>
      </c>
      <c r="FD541" s="319" t="s">
        <v>190</v>
      </c>
      <c r="FE541" s="319" t="s">
        <v>190</v>
      </c>
      <c r="FF541" s="319" t="s">
        <v>190</v>
      </c>
      <c r="FG541" s="319" t="s">
        <v>190</v>
      </c>
      <c r="FH541" s="319" t="s">
        <v>190</v>
      </c>
      <c r="FI541" s="319" t="s">
        <v>190</v>
      </c>
      <c r="FJ541" s="319" t="s">
        <v>190</v>
      </c>
      <c r="FK541" s="319" t="s">
        <v>190</v>
      </c>
      <c r="FL541" s="319" t="s">
        <v>190</v>
      </c>
      <c r="FM541" s="319" t="s">
        <v>190</v>
      </c>
      <c r="FN541" s="319" t="s">
        <v>190</v>
      </c>
      <c r="FO541" s="319" t="s">
        <v>190</v>
      </c>
      <c r="FP541" s="319" t="s">
        <v>190</v>
      </c>
      <c r="FQ541" s="319" t="s">
        <v>190</v>
      </c>
      <c r="FR541" s="319" t="s">
        <v>190</v>
      </c>
      <c r="FS541" s="319" t="s">
        <v>428</v>
      </c>
      <c r="FT541" s="319" t="s">
        <v>428</v>
      </c>
      <c r="FU541" s="319" t="s">
        <v>190</v>
      </c>
      <c r="FV541" s="319" t="s">
        <v>190</v>
      </c>
      <c r="FW541" s="319" t="s">
        <v>190</v>
      </c>
      <c r="FX541" s="319" t="s">
        <v>190</v>
      </c>
      <c r="FY541" s="319" t="s">
        <v>190</v>
      </c>
      <c r="FZ541" s="319" t="s">
        <v>190</v>
      </c>
      <c r="GA541" s="319" t="s">
        <v>190</v>
      </c>
      <c r="GB541" s="319" t="s">
        <v>190</v>
      </c>
      <c r="GC541" s="319" t="s">
        <v>190</v>
      </c>
      <c r="GD541" s="319" t="s">
        <v>190</v>
      </c>
      <c r="GE541" s="319" t="s">
        <v>190</v>
      </c>
      <c r="GF541" s="319" t="s">
        <v>190</v>
      </c>
      <c r="GG541" s="319" t="s">
        <v>190</v>
      </c>
      <c r="GH541" s="319" t="s">
        <v>190</v>
      </c>
      <c r="GI541" s="319" t="s">
        <v>190</v>
      </c>
      <c r="GJ541" s="319" t="s">
        <v>190</v>
      </c>
      <c r="GK541" s="319" t="s">
        <v>190</v>
      </c>
      <c r="GL541" s="319" t="s">
        <v>190</v>
      </c>
      <c r="GM541" s="319" t="s">
        <v>190</v>
      </c>
      <c r="GN541" s="319" t="s">
        <v>190</v>
      </c>
      <c r="GO541" s="319" t="s">
        <v>190</v>
      </c>
      <c r="GP541" s="319" t="s">
        <v>190</v>
      </c>
      <c r="GQ541" s="319" t="s">
        <v>190</v>
      </c>
      <c r="GR541" s="319" t="s">
        <v>190</v>
      </c>
      <c r="GS541" s="319" t="s">
        <v>190</v>
      </c>
      <c r="GT541" s="319" t="s">
        <v>190</v>
      </c>
      <c r="GU541" s="319" t="s">
        <v>190</v>
      </c>
      <c r="GV541" s="319" t="s">
        <v>190</v>
      </c>
      <c r="GW541" s="319" t="s">
        <v>190</v>
      </c>
      <c r="GX541" s="319" t="s">
        <v>190</v>
      </c>
      <c r="GY541" s="319" t="s">
        <v>190</v>
      </c>
      <c r="GZ541" s="319" t="s">
        <v>428</v>
      </c>
      <c r="HA541" s="319" t="s">
        <v>190</v>
      </c>
      <c r="HB541" s="319" t="s">
        <v>190</v>
      </c>
      <c r="HC541" s="319" t="s">
        <v>190</v>
      </c>
      <c r="HD541" s="319" t="s">
        <v>190</v>
      </c>
      <c r="HE541" s="319" t="s">
        <v>190</v>
      </c>
      <c r="HF541" s="319" t="s">
        <v>190</v>
      </c>
      <c r="HG541" s="319" t="s">
        <v>190</v>
      </c>
      <c r="HH541" s="319" t="s">
        <v>190</v>
      </c>
      <c r="HI541" s="319" t="s">
        <v>190</v>
      </c>
      <c r="HJ541" s="319" t="s">
        <v>190</v>
      </c>
      <c r="HK541" s="319" t="s">
        <v>190</v>
      </c>
      <c r="HL541" s="319" t="s">
        <v>428</v>
      </c>
      <c r="HM541" s="319" t="s">
        <v>428</v>
      </c>
      <c r="HN541" s="319" t="s">
        <v>428</v>
      </c>
      <c r="HO541" s="319" t="s">
        <v>428</v>
      </c>
      <c r="HP541" s="319" t="s">
        <v>190</v>
      </c>
      <c r="HQ541" s="319" t="s">
        <v>190</v>
      </c>
      <c r="HR541" s="319" t="s">
        <v>190</v>
      </c>
      <c r="HS541" s="319" t="s">
        <v>190</v>
      </c>
      <c r="HT541" s="319" t="s">
        <v>190</v>
      </c>
      <c r="HU541" s="319" t="s">
        <v>190</v>
      </c>
      <c r="HV541" s="319" t="s">
        <v>190</v>
      </c>
      <c r="HW541" s="319" t="s">
        <v>190</v>
      </c>
      <c r="HX541" s="319" t="s">
        <v>190</v>
      </c>
      <c r="HY541" s="319" t="s">
        <v>190</v>
      </c>
      <c r="HZ541" s="319" t="s">
        <v>190</v>
      </c>
      <c r="IA541" s="319" t="s">
        <v>190</v>
      </c>
      <c r="IB541" s="319" t="s">
        <v>190</v>
      </c>
      <c r="IC541" s="319" t="s">
        <v>190</v>
      </c>
      <c r="ID541" s="319" t="s">
        <v>190</v>
      </c>
      <c r="IE541" s="319" t="s">
        <v>190</v>
      </c>
      <c r="IF541" s="319" t="s">
        <v>190</v>
      </c>
      <c r="IG541" s="319" t="s">
        <v>190</v>
      </c>
      <c r="IH541" s="319" t="s">
        <v>190</v>
      </c>
      <c r="II541" s="319" t="s">
        <v>190</v>
      </c>
      <c r="IJ541" s="319">
        <v>10020749</v>
      </c>
      <c r="IK541" s="321">
        <v>42689</v>
      </c>
      <c r="IL541" s="321">
        <v>42691</v>
      </c>
      <c r="IM541" s="321">
        <v>42796</v>
      </c>
      <c r="IN541" s="319">
        <v>4</v>
      </c>
      <c r="IO541" s="319" t="s">
        <v>173</v>
      </c>
      <c r="IP541" s="319" t="s">
        <v>173</v>
      </c>
      <c r="IQ541" s="319" t="s">
        <v>173</v>
      </c>
      <c r="IR541" s="320" t="s">
        <v>173</v>
      </c>
      <c r="IS541" s="320" t="s">
        <v>173</v>
      </c>
      <c r="IT541" s="319" t="s">
        <v>173</v>
      </c>
    </row>
    <row r="542" spans="1:254" s="271" customFormat="1" x14ac:dyDescent="0.25">
      <c r="A542" s="318" t="str">
        <f>HYPERLINK("http://www.ofsted.gov.uk/inspection-reports/find-inspection-report/provider/ELS/135561 ","Ofsted School Webpage")</f>
        <v>Ofsted School Webpage</v>
      </c>
      <c r="B542" s="319">
        <v>135561</v>
      </c>
      <c r="C542" s="319">
        <v>3306128</v>
      </c>
      <c r="D542" s="319" t="s">
        <v>1169</v>
      </c>
      <c r="E542" s="319" t="s">
        <v>167</v>
      </c>
      <c r="F542" s="319" t="s">
        <v>81</v>
      </c>
      <c r="G542" s="319" t="s">
        <v>81</v>
      </c>
      <c r="H542" s="319" t="s">
        <v>81</v>
      </c>
      <c r="I542" s="319" t="s">
        <v>78</v>
      </c>
      <c r="J542" s="319" t="s">
        <v>424</v>
      </c>
      <c r="K542" s="319" t="s">
        <v>437</v>
      </c>
      <c r="L542" s="319" t="s">
        <v>437</v>
      </c>
      <c r="M542" s="319" t="s">
        <v>813</v>
      </c>
      <c r="N542" s="319" t="s">
        <v>3247</v>
      </c>
      <c r="O542" s="319" t="s">
        <v>1170</v>
      </c>
      <c r="P542" s="319">
        <v>75</v>
      </c>
      <c r="Q542" s="319" t="s">
        <v>2766</v>
      </c>
      <c r="R542" s="320">
        <v>10020744</v>
      </c>
      <c r="S542" s="321">
        <v>43067</v>
      </c>
      <c r="T542" s="321">
        <v>43069</v>
      </c>
      <c r="U542" s="321">
        <v>43125</v>
      </c>
      <c r="V542" s="319" t="s">
        <v>425</v>
      </c>
      <c r="W542" s="319" t="s">
        <v>2767</v>
      </c>
      <c r="X542" s="319">
        <v>2</v>
      </c>
      <c r="Y542" s="319" t="s">
        <v>173</v>
      </c>
      <c r="Z542" s="319" t="s">
        <v>173</v>
      </c>
      <c r="AA542" s="319" t="s">
        <v>173</v>
      </c>
      <c r="AB542" s="319">
        <v>2</v>
      </c>
      <c r="AC542" s="319" t="s">
        <v>169</v>
      </c>
      <c r="AD542" s="319" t="s">
        <v>173</v>
      </c>
      <c r="AE542" s="319" t="s">
        <v>173</v>
      </c>
      <c r="AF542" s="319" t="s">
        <v>173</v>
      </c>
      <c r="AG542" s="319" t="s">
        <v>171</v>
      </c>
      <c r="AH542" s="319" t="s">
        <v>190</v>
      </c>
      <c r="AI542" s="319" t="s">
        <v>190</v>
      </c>
      <c r="AJ542" s="319" t="s">
        <v>190</v>
      </c>
      <c r="AK542" s="319" t="s">
        <v>190</v>
      </c>
      <c r="AL542" s="319" t="s">
        <v>190</v>
      </c>
      <c r="AM542" s="319" t="s">
        <v>190</v>
      </c>
      <c r="AN542" s="319" t="s">
        <v>190</v>
      </c>
      <c r="AO542" s="319" t="s">
        <v>190</v>
      </c>
      <c r="AP542" s="319" t="s">
        <v>190</v>
      </c>
      <c r="AQ542" s="319" t="s">
        <v>190</v>
      </c>
      <c r="AR542" s="319" t="s">
        <v>190</v>
      </c>
      <c r="AS542" s="319" t="s">
        <v>190</v>
      </c>
      <c r="AT542" s="319" t="s">
        <v>190</v>
      </c>
      <c r="AU542" s="319" t="s">
        <v>190</v>
      </c>
      <c r="AV542" s="319" t="s">
        <v>190</v>
      </c>
      <c r="AW542" s="319" t="s">
        <v>190</v>
      </c>
      <c r="AX542" s="319" t="s">
        <v>190</v>
      </c>
      <c r="AY542" s="319" t="s">
        <v>190</v>
      </c>
      <c r="AZ542" s="319" t="s">
        <v>190</v>
      </c>
      <c r="BA542" s="319" t="s">
        <v>190</v>
      </c>
      <c r="BB542" s="319" t="s">
        <v>190</v>
      </c>
      <c r="BC542" s="319" t="s">
        <v>190</v>
      </c>
      <c r="BD542" s="319" t="s">
        <v>190</v>
      </c>
      <c r="BE542" s="319" t="s">
        <v>190</v>
      </c>
      <c r="BF542" s="319" t="s">
        <v>190</v>
      </c>
      <c r="BG542" s="319" t="s">
        <v>190</v>
      </c>
      <c r="BH542" s="319" t="s">
        <v>190</v>
      </c>
      <c r="BI542" s="319" t="s">
        <v>190</v>
      </c>
      <c r="BJ542" s="319" t="s">
        <v>190</v>
      </c>
      <c r="BK542" s="319" t="s">
        <v>190</v>
      </c>
      <c r="BL542" s="319" t="s">
        <v>190</v>
      </c>
      <c r="BM542" s="319" t="s">
        <v>190</v>
      </c>
      <c r="BN542" s="319" t="s">
        <v>190</v>
      </c>
      <c r="BO542" s="319" t="s">
        <v>190</v>
      </c>
      <c r="BP542" s="319" t="s">
        <v>190</v>
      </c>
      <c r="BQ542" s="319" t="s">
        <v>190</v>
      </c>
      <c r="BR542" s="319" t="s">
        <v>190</v>
      </c>
      <c r="BS542" s="319" t="s">
        <v>190</v>
      </c>
      <c r="BT542" s="319" t="s">
        <v>190</v>
      </c>
      <c r="BU542" s="319" t="s">
        <v>190</v>
      </c>
      <c r="BV542" s="319" t="s">
        <v>190</v>
      </c>
      <c r="BW542" s="319" t="s">
        <v>190</v>
      </c>
      <c r="BX542" s="319" t="s">
        <v>190</v>
      </c>
      <c r="BY542" s="319" t="s">
        <v>190</v>
      </c>
      <c r="BZ542" s="319" t="s">
        <v>190</v>
      </c>
      <c r="CA542" s="319" t="s">
        <v>190</v>
      </c>
      <c r="CB542" s="319" t="s">
        <v>190</v>
      </c>
      <c r="CC542" s="319" t="s">
        <v>190</v>
      </c>
      <c r="CD542" s="319" t="s">
        <v>190</v>
      </c>
      <c r="CE542" s="319" t="s">
        <v>190</v>
      </c>
      <c r="CF542" s="319" t="s">
        <v>190</v>
      </c>
      <c r="CG542" s="319" t="s">
        <v>190</v>
      </c>
      <c r="CH542" s="319" t="s">
        <v>190</v>
      </c>
      <c r="CI542" s="319" t="s">
        <v>190</v>
      </c>
      <c r="CJ542" s="319" t="s">
        <v>190</v>
      </c>
      <c r="CK542" s="319" t="s">
        <v>190</v>
      </c>
      <c r="CL542" s="319" t="s">
        <v>190</v>
      </c>
      <c r="CM542" s="319" t="s">
        <v>190</v>
      </c>
      <c r="CN542" s="319" t="s">
        <v>429</v>
      </c>
      <c r="CO542" s="319" t="s">
        <v>429</v>
      </c>
      <c r="CP542" s="319" t="s">
        <v>429</v>
      </c>
      <c r="CQ542" s="319" t="s">
        <v>190</v>
      </c>
      <c r="CR542" s="319" t="s">
        <v>190</v>
      </c>
      <c r="CS542" s="319" t="s">
        <v>190</v>
      </c>
      <c r="CT542" s="319" t="s">
        <v>190</v>
      </c>
      <c r="CU542" s="319" t="s">
        <v>190</v>
      </c>
      <c r="CV542" s="319" t="s">
        <v>190</v>
      </c>
      <c r="CW542" s="319" t="s">
        <v>190</v>
      </c>
      <c r="CX542" s="319" t="s">
        <v>190</v>
      </c>
      <c r="CY542" s="319" t="s">
        <v>190</v>
      </c>
      <c r="CZ542" s="319" t="s">
        <v>190</v>
      </c>
      <c r="DA542" s="319" t="s">
        <v>190</v>
      </c>
      <c r="DB542" s="319" t="s">
        <v>190</v>
      </c>
      <c r="DC542" s="319" t="s">
        <v>190</v>
      </c>
      <c r="DD542" s="319" t="s">
        <v>190</v>
      </c>
      <c r="DE542" s="319" t="s">
        <v>190</v>
      </c>
      <c r="DF542" s="319" t="s">
        <v>190</v>
      </c>
      <c r="DG542" s="319" t="s">
        <v>190</v>
      </c>
      <c r="DH542" s="319" t="s">
        <v>190</v>
      </c>
      <c r="DI542" s="319" t="s">
        <v>190</v>
      </c>
      <c r="DJ542" s="319" t="s">
        <v>190</v>
      </c>
      <c r="DK542" s="319" t="s">
        <v>190</v>
      </c>
      <c r="DL542" s="319" t="s">
        <v>190</v>
      </c>
      <c r="DM542" s="319" t="s">
        <v>190</v>
      </c>
      <c r="DN542" s="319" t="s">
        <v>190</v>
      </c>
      <c r="DO542" s="319" t="s">
        <v>190</v>
      </c>
      <c r="DP542" s="319" t="s">
        <v>190</v>
      </c>
      <c r="DQ542" s="319" t="s">
        <v>190</v>
      </c>
      <c r="DR542" s="319" t="s">
        <v>190</v>
      </c>
      <c r="DS542" s="319" t="s">
        <v>190</v>
      </c>
      <c r="DT542" s="319" t="s">
        <v>190</v>
      </c>
      <c r="DU542" s="319" t="s">
        <v>190</v>
      </c>
      <c r="DV542" s="319" t="s">
        <v>173</v>
      </c>
      <c r="DW542" s="319" t="s">
        <v>190</v>
      </c>
      <c r="DX542" s="319" t="s">
        <v>190</v>
      </c>
      <c r="DY542" s="319" t="s">
        <v>190</v>
      </c>
      <c r="DZ542" s="319" t="s">
        <v>190</v>
      </c>
      <c r="EA542" s="319" t="s">
        <v>190</v>
      </c>
      <c r="EB542" s="319" t="s">
        <v>190</v>
      </c>
      <c r="EC542" s="319" t="s">
        <v>429</v>
      </c>
      <c r="ED542" s="319" t="s">
        <v>190</v>
      </c>
      <c r="EE542" s="319" t="s">
        <v>190</v>
      </c>
      <c r="EF542" s="319" t="s">
        <v>190</v>
      </c>
      <c r="EG542" s="319" t="s">
        <v>190</v>
      </c>
      <c r="EH542" s="319" t="s">
        <v>190</v>
      </c>
      <c r="EI542" s="319" t="s">
        <v>190</v>
      </c>
      <c r="EJ542" s="319" t="s">
        <v>190</v>
      </c>
      <c r="EK542" s="319" t="s">
        <v>190</v>
      </c>
      <c r="EL542" s="319" t="s">
        <v>190</v>
      </c>
      <c r="EM542" s="319" t="s">
        <v>190</v>
      </c>
      <c r="EN542" s="319" t="s">
        <v>190</v>
      </c>
      <c r="EO542" s="319" t="s">
        <v>190</v>
      </c>
      <c r="EP542" s="319" t="s">
        <v>190</v>
      </c>
      <c r="EQ542" s="319" t="s">
        <v>190</v>
      </c>
      <c r="ER542" s="319" t="s">
        <v>190</v>
      </c>
      <c r="ES542" s="319" t="s">
        <v>190</v>
      </c>
      <c r="ET542" s="319" t="s">
        <v>190</v>
      </c>
      <c r="EU542" s="319" t="s">
        <v>190</v>
      </c>
      <c r="EV542" s="319" t="s">
        <v>190</v>
      </c>
      <c r="EW542" s="319" t="s">
        <v>190</v>
      </c>
      <c r="EX542" s="319" t="s">
        <v>190</v>
      </c>
      <c r="EY542" s="319" t="s">
        <v>190</v>
      </c>
      <c r="EZ542" s="319" t="s">
        <v>190</v>
      </c>
      <c r="FA542" s="319" t="s">
        <v>190</v>
      </c>
      <c r="FB542" s="319" t="s">
        <v>190</v>
      </c>
      <c r="FC542" s="319" t="s">
        <v>190</v>
      </c>
      <c r="FD542" s="319" t="s">
        <v>190</v>
      </c>
      <c r="FE542" s="319" t="s">
        <v>190</v>
      </c>
      <c r="FF542" s="319" t="s">
        <v>190</v>
      </c>
      <c r="FG542" s="319" t="s">
        <v>190</v>
      </c>
      <c r="FH542" s="319" t="s">
        <v>190</v>
      </c>
      <c r="FI542" s="319" t="s">
        <v>190</v>
      </c>
      <c r="FJ542" s="319" t="s">
        <v>190</v>
      </c>
      <c r="FK542" s="319" t="s">
        <v>190</v>
      </c>
      <c r="FL542" s="319" t="s">
        <v>190</v>
      </c>
      <c r="FM542" s="319" t="s">
        <v>190</v>
      </c>
      <c r="FN542" s="319" t="s">
        <v>190</v>
      </c>
      <c r="FO542" s="319" t="s">
        <v>190</v>
      </c>
      <c r="FP542" s="319" t="s">
        <v>190</v>
      </c>
      <c r="FQ542" s="319" t="s">
        <v>190</v>
      </c>
      <c r="FR542" s="319" t="s">
        <v>190</v>
      </c>
      <c r="FS542" s="319" t="s">
        <v>429</v>
      </c>
      <c r="FT542" s="319" t="s">
        <v>190</v>
      </c>
      <c r="FU542" s="319" t="s">
        <v>190</v>
      </c>
      <c r="FV542" s="319" t="s">
        <v>190</v>
      </c>
      <c r="FW542" s="319" t="s">
        <v>190</v>
      </c>
      <c r="FX542" s="319" t="s">
        <v>190</v>
      </c>
      <c r="FY542" s="319" t="s">
        <v>190</v>
      </c>
      <c r="FZ542" s="319" t="s">
        <v>190</v>
      </c>
      <c r="GA542" s="319" t="s">
        <v>190</v>
      </c>
      <c r="GB542" s="319" t="s">
        <v>190</v>
      </c>
      <c r="GC542" s="319" t="s">
        <v>190</v>
      </c>
      <c r="GD542" s="319" t="s">
        <v>190</v>
      </c>
      <c r="GE542" s="319" t="s">
        <v>190</v>
      </c>
      <c r="GF542" s="319" t="s">
        <v>190</v>
      </c>
      <c r="GG542" s="319" t="s">
        <v>190</v>
      </c>
      <c r="GH542" s="319" t="s">
        <v>190</v>
      </c>
      <c r="GI542" s="319" t="s">
        <v>190</v>
      </c>
      <c r="GJ542" s="319" t="s">
        <v>190</v>
      </c>
      <c r="GK542" s="319" t="s">
        <v>429</v>
      </c>
      <c r="GL542" s="319" t="s">
        <v>190</v>
      </c>
      <c r="GM542" s="319" t="s">
        <v>190</v>
      </c>
      <c r="GN542" s="319" t="s">
        <v>190</v>
      </c>
      <c r="GO542" s="319" t="s">
        <v>190</v>
      </c>
      <c r="GP542" s="319" t="s">
        <v>190</v>
      </c>
      <c r="GQ542" s="319" t="s">
        <v>429</v>
      </c>
      <c r="GR542" s="319" t="s">
        <v>190</v>
      </c>
      <c r="GS542" s="319" t="s">
        <v>190</v>
      </c>
      <c r="GT542" s="319" t="s">
        <v>190</v>
      </c>
      <c r="GU542" s="319" t="s">
        <v>190</v>
      </c>
      <c r="GV542" s="319" t="s">
        <v>190</v>
      </c>
      <c r="GW542" s="319" t="s">
        <v>190</v>
      </c>
      <c r="GX542" s="319" t="s">
        <v>190</v>
      </c>
      <c r="GY542" s="319" t="s">
        <v>190</v>
      </c>
      <c r="GZ542" s="319" t="s">
        <v>190</v>
      </c>
      <c r="HA542" s="319" t="s">
        <v>429</v>
      </c>
      <c r="HB542" s="319" t="s">
        <v>429</v>
      </c>
      <c r="HC542" s="319" t="s">
        <v>190</v>
      </c>
      <c r="HD542" s="319" t="s">
        <v>190</v>
      </c>
      <c r="HE542" s="319" t="s">
        <v>190</v>
      </c>
      <c r="HF542" s="319" t="s">
        <v>190</v>
      </c>
      <c r="HG542" s="319" t="s">
        <v>190</v>
      </c>
      <c r="HH542" s="319" t="s">
        <v>190</v>
      </c>
      <c r="HI542" s="319" t="s">
        <v>190</v>
      </c>
      <c r="HJ542" s="319" t="s">
        <v>190</v>
      </c>
      <c r="HK542" s="319" t="s">
        <v>190</v>
      </c>
      <c r="HL542" s="319" t="s">
        <v>190</v>
      </c>
      <c r="HM542" s="319" t="s">
        <v>190</v>
      </c>
      <c r="HN542" s="319" t="s">
        <v>190</v>
      </c>
      <c r="HO542" s="319" t="s">
        <v>190</v>
      </c>
      <c r="HP542" s="319" t="s">
        <v>190</v>
      </c>
      <c r="HQ542" s="319" t="s">
        <v>190</v>
      </c>
      <c r="HR542" s="319" t="s">
        <v>190</v>
      </c>
      <c r="HS542" s="319" t="s">
        <v>190</v>
      </c>
      <c r="HT542" s="319" t="s">
        <v>190</v>
      </c>
      <c r="HU542" s="319" t="s">
        <v>190</v>
      </c>
      <c r="HV542" s="319" t="s">
        <v>190</v>
      </c>
      <c r="HW542" s="319" t="s">
        <v>190</v>
      </c>
      <c r="HX542" s="319" t="s">
        <v>190</v>
      </c>
      <c r="HY542" s="319" t="s">
        <v>190</v>
      </c>
      <c r="HZ542" s="319" t="s">
        <v>190</v>
      </c>
      <c r="IA542" s="319" t="s">
        <v>190</v>
      </c>
      <c r="IB542" s="319" t="s">
        <v>190</v>
      </c>
      <c r="IC542" s="319" t="s">
        <v>190</v>
      </c>
      <c r="ID542" s="319" t="s">
        <v>190</v>
      </c>
      <c r="IE542" s="319" t="s">
        <v>190</v>
      </c>
      <c r="IF542" s="319" t="s">
        <v>190</v>
      </c>
      <c r="IG542" s="319" t="s">
        <v>190</v>
      </c>
      <c r="IH542" s="319" t="s">
        <v>190</v>
      </c>
      <c r="II542" s="319" t="s">
        <v>190</v>
      </c>
      <c r="IJ542" s="319" t="s">
        <v>3309</v>
      </c>
      <c r="IK542" s="321">
        <v>41611</v>
      </c>
      <c r="IL542" s="321">
        <v>41613</v>
      </c>
      <c r="IM542" s="321">
        <v>41646</v>
      </c>
      <c r="IN542" s="319">
        <v>4</v>
      </c>
      <c r="IO542" s="319" t="s">
        <v>173</v>
      </c>
      <c r="IP542" s="319" t="s">
        <v>173</v>
      </c>
      <c r="IQ542" s="321" t="s">
        <v>173</v>
      </c>
      <c r="IR542" s="320" t="s">
        <v>173</v>
      </c>
      <c r="IS542" s="322" t="s">
        <v>173</v>
      </c>
      <c r="IT542" s="319" t="s">
        <v>173</v>
      </c>
    </row>
    <row r="543" spans="1:254" s="271" customFormat="1" x14ac:dyDescent="0.25">
      <c r="A543" s="318" t="str">
        <f>HYPERLINK("http://www.ofsted.gov.uk/inspection-reports/find-inspection-report/provider/ELS/135576 ","Ofsted School Webpage")</f>
        <v>Ofsted School Webpage</v>
      </c>
      <c r="B543" s="319">
        <v>135576</v>
      </c>
      <c r="C543" s="319">
        <v>8876130</v>
      </c>
      <c r="D543" s="319" t="s">
        <v>1955</v>
      </c>
      <c r="E543" s="319" t="s">
        <v>168</v>
      </c>
      <c r="F543" s="319" t="s">
        <v>81</v>
      </c>
      <c r="G543" s="319" t="s">
        <v>81</v>
      </c>
      <c r="H543" s="319" t="s">
        <v>81</v>
      </c>
      <c r="I543" s="319" t="s">
        <v>78</v>
      </c>
      <c r="J543" s="319" t="s">
        <v>424</v>
      </c>
      <c r="K543" s="319" t="s">
        <v>514</v>
      </c>
      <c r="L543" s="319" t="s">
        <v>514</v>
      </c>
      <c r="M543" s="319" t="s">
        <v>704</v>
      </c>
      <c r="N543" s="319" t="s">
        <v>3310</v>
      </c>
      <c r="O543" s="319" t="s">
        <v>1956</v>
      </c>
      <c r="P543" s="319">
        <v>24</v>
      </c>
      <c r="Q543" s="319" t="s">
        <v>429</v>
      </c>
      <c r="R543" s="320">
        <v>10076614</v>
      </c>
      <c r="S543" s="321">
        <v>43767</v>
      </c>
      <c r="T543" s="321">
        <v>43769</v>
      </c>
      <c r="U543" s="321">
        <v>43800</v>
      </c>
      <c r="V543" s="319" t="s">
        <v>425</v>
      </c>
      <c r="W543" s="319" t="s">
        <v>2767</v>
      </c>
      <c r="X543" s="319">
        <v>3</v>
      </c>
      <c r="Y543" s="319">
        <v>3</v>
      </c>
      <c r="Z543" s="319">
        <v>2</v>
      </c>
      <c r="AA543" s="319">
        <v>3</v>
      </c>
      <c r="AB543" s="319">
        <v>3</v>
      </c>
      <c r="AC543" s="319" t="s">
        <v>169</v>
      </c>
      <c r="AD543" s="319" t="s">
        <v>173</v>
      </c>
      <c r="AE543" s="319">
        <v>3</v>
      </c>
      <c r="AF543" s="319" t="s">
        <v>427</v>
      </c>
      <c r="AG543" s="319" t="s">
        <v>171</v>
      </c>
      <c r="AH543" s="319" t="s">
        <v>190</v>
      </c>
      <c r="AI543" s="319" t="s">
        <v>190</v>
      </c>
      <c r="AJ543" s="319" t="s">
        <v>190</v>
      </c>
      <c r="AK543" s="319" t="s">
        <v>190</v>
      </c>
      <c r="AL543" s="319" t="s">
        <v>190</v>
      </c>
      <c r="AM543" s="319" t="s">
        <v>190</v>
      </c>
      <c r="AN543" s="319" t="s">
        <v>190</v>
      </c>
      <c r="AO543" s="319" t="s">
        <v>190</v>
      </c>
      <c r="AP543" s="319" t="s">
        <v>190</v>
      </c>
      <c r="AQ543" s="319" t="s">
        <v>190</v>
      </c>
      <c r="AR543" s="319" t="s">
        <v>190</v>
      </c>
      <c r="AS543" s="319" t="s">
        <v>190</v>
      </c>
      <c r="AT543" s="319" t="s">
        <v>190</v>
      </c>
      <c r="AU543" s="319" t="s">
        <v>190</v>
      </c>
      <c r="AV543" s="319" t="s">
        <v>190</v>
      </c>
      <c r="AW543" s="319" t="s">
        <v>190</v>
      </c>
      <c r="AX543" s="319" t="s">
        <v>428</v>
      </c>
      <c r="AY543" s="319" t="s">
        <v>190</v>
      </c>
      <c r="AZ543" s="319" t="s">
        <v>190</v>
      </c>
      <c r="BA543" s="319" t="s">
        <v>190</v>
      </c>
      <c r="BB543" s="319" t="s">
        <v>190</v>
      </c>
      <c r="BC543" s="319" t="s">
        <v>190</v>
      </c>
      <c r="BD543" s="319" t="s">
        <v>190</v>
      </c>
      <c r="BE543" s="319" t="s">
        <v>190</v>
      </c>
      <c r="BF543" s="319" t="s">
        <v>428</v>
      </c>
      <c r="BG543" s="319" t="s">
        <v>190</v>
      </c>
      <c r="BH543" s="319" t="s">
        <v>190</v>
      </c>
      <c r="BI543" s="319" t="s">
        <v>190</v>
      </c>
      <c r="BJ543" s="319" t="s">
        <v>190</v>
      </c>
      <c r="BK543" s="319" t="s">
        <v>190</v>
      </c>
      <c r="BL543" s="319" t="s">
        <v>190</v>
      </c>
      <c r="BM543" s="319" t="s">
        <v>190</v>
      </c>
      <c r="BN543" s="319" t="s">
        <v>190</v>
      </c>
      <c r="BO543" s="319" t="s">
        <v>190</v>
      </c>
      <c r="BP543" s="319" t="s">
        <v>190</v>
      </c>
      <c r="BQ543" s="319" t="s">
        <v>190</v>
      </c>
      <c r="BR543" s="319" t="s">
        <v>190</v>
      </c>
      <c r="BS543" s="319" t="s">
        <v>190</v>
      </c>
      <c r="BT543" s="319" t="s">
        <v>190</v>
      </c>
      <c r="BU543" s="319" t="s">
        <v>190</v>
      </c>
      <c r="BV543" s="319" t="s">
        <v>190</v>
      </c>
      <c r="BW543" s="319" t="s">
        <v>190</v>
      </c>
      <c r="BX543" s="319" t="s">
        <v>190</v>
      </c>
      <c r="BY543" s="319" t="s">
        <v>190</v>
      </c>
      <c r="BZ543" s="319" t="s">
        <v>190</v>
      </c>
      <c r="CA543" s="319" t="s">
        <v>190</v>
      </c>
      <c r="CB543" s="319" t="s">
        <v>190</v>
      </c>
      <c r="CC543" s="319" t="s">
        <v>190</v>
      </c>
      <c r="CD543" s="319" t="s">
        <v>190</v>
      </c>
      <c r="CE543" s="319" t="s">
        <v>190</v>
      </c>
      <c r="CF543" s="319" t="s">
        <v>190</v>
      </c>
      <c r="CG543" s="319" t="s">
        <v>190</v>
      </c>
      <c r="CH543" s="319" t="s">
        <v>190</v>
      </c>
      <c r="CI543" s="319" t="s">
        <v>190</v>
      </c>
      <c r="CJ543" s="319" t="s">
        <v>190</v>
      </c>
      <c r="CK543" s="319" t="s">
        <v>190</v>
      </c>
      <c r="CL543" s="319" t="s">
        <v>190</v>
      </c>
      <c r="CM543" s="319" t="s">
        <v>190</v>
      </c>
      <c r="CN543" s="319" t="s">
        <v>190</v>
      </c>
      <c r="CO543" s="319" t="s">
        <v>428</v>
      </c>
      <c r="CP543" s="319" t="s">
        <v>428</v>
      </c>
      <c r="CQ543" s="319" t="s">
        <v>190</v>
      </c>
      <c r="CR543" s="319" t="s">
        <v>190</v>
      </c>
      <c r="CS543" s="319" t="s">
        <v>190</v>
      </c>
      <c r="CT543" s="319" t="s">
        <v>190</v>
      </c>
      <c r="CU543" s="319" t="s">
        <v>190</v>
      </c>
      <c r="CV543" s="319" t="s">
        <v>190</v>
      </c>
      <c r="CW543" s="319" t="s">
        <v>190</v>
      </c>
      <c r="CX543" s="319" t="s">
        <v>190</v>
      </c>
      <c r="CY543" s="319" t="s">
        <v>190</v>
      </c>
      <c r="CZ543" s="319" t="s">
        <v>190</v>
      </c>
      <c r="DA543" s="319" t="s">
        <v>190</v>
      </c>
      <c r="DB543" s="319" t="s">
        <v>190</v>
      </c>
      <c r="DC543" s="319" t="s">
        <v>190</v>
      </c>
      <c r="DD543" s="319" t="s">
        <v>190</v>
      </c>
      <c r="DE543" s="319" t="s">
        <v>190</v>
      </c>
      <c r="DF543" s="319" t="s">
        <v>190</v>
      </c>
      <c r="DG543" s="319" t="s">
        <v>190</v>
      </c>
      <c r="DH543" s="319" t="s">
        <v>190</v>
      </c>
      <c r="DI543" s="319" t="s">
        <v>190</v>
      </c>
      <c r="DJ543" s="319" t="s">
        <v>190</v>
      </c>
      <c r="DK543" s="319" t="s">
        <v>190</v>
      </c>
      <c r="DL543" s="319" t="s">
        <v>190</v>
      </c>
      <c r="DM543" s="319" t="s">
        <v>190</v>
      </c>
      <c r="DN543" s="319" t="s">
        <v>428</v>
      </c>
      <c r="DO543" s="319" t="s">
        <v>190</v>
      </c>
      <c r="DP543" s="319" t="s">
        <v>190</v>
      </c>
      <c r="DQ543" s="319" t="s">
        <v>190</v>
      </c>
      <c r="DR543" s="319" t="s">
        <v>190</v>
      </c>
      <c r="DS543" s="319" t="s">
        <v>190</v>
      </c>
      <c r="DT543" s="319" t="s">
        <v>190</v>
      </c>
      <c r="DU543" s="319" t="s">
        <v>190</v>
      </c>
      <c r="DV543" s="319" t="s">
        <v>190</v>
      </c>
      <c r="DW543" s="319" t="s">
        <v>190</v>
      </c>
      <c r="DX543" s="319" t="s">
        <v>190</v>
      </c>
      <c r="DY543" s="319" t="s">
        <v>190</v>
      </c>
      <c r="DZ543" s="319" t="s">
        <v>190</v>
      </c>
      <c r="EA543" s="319" t="s">
        <v>190</v>
      </c>
      <c r="EB543" s="319" t="s">
        <v>190</v>
      </c>
      <c r="EC543" s="319" t="s">
        <v>428</v>
      </c>
      <c r="ED543" s="319" t="s">
        <v>190</v>
      </c>
      <c r="EE543" s="319" t="s">
        <v>190</v>
      </c>
      <c r="EF543" s="319" t="s">
        <v>190</v>
      </c>
      <c r="EG543" s="319" t="s">
        <v>190</v>
      </c>
      <c r="EH543" s="319" t="s">
        <v>190</v>
      </c>
      <c r="EI543" s="319" t="s">
        <v>190</v>
      </c>
      <c r="EJ543" s="319" t="s">
        <v>190</v>
      </c>
      <c r="EK543" s="319" t="s">
        <v>190</v>
      </c>
      <c r="EL543" s="319" t="s">
        <v>190</v>
      </c>
      <c r="EM543" s="319" t="s">
        <v>190</v>
      </c>
      <c r="EN543" s="319" t="s">
        <v>190</v>
      </c>
      <c r="EO543" s="319" t="s">
        <v>190</v>
      </c>
      <c r="EP543" s="319" t="s">
        <v>190</v>
      </c>
      <c r="EQ543" s="319" t="s">
        <v>190</v>
      </c>
      <c r="ER543" s="319" t="s">
        <v>190</v>
      </c>
      <c r="ES543" s="319" t="s">
        <v>190</v>
      </c>
      <c r="ET543" s="319" t="s">
        <v>190</v>
      </c>
      <c r="EU543" s="319" t="s">
        <v>190</v>
      </c>
      <c r="EV543" s="319" t="s">
        <v>190</v>
      </c>
      <c r="EW543" s="319" t="s">
        <v>190</v>
      </c>
      <c r="EX543" s="319" t="s">
        <v>190</v>
      </c>
      <c r="EY543" s="319" t="s">
        <v>190</v>
      </c>
      <c r="EZ543" s="319" t="s">
        <v>190</v>
      </c>
      <c r="FA543" s="319" t="s">
        <v>190</v>
      </c>
      <c r="FB543" s="319" t="s">
        <v>190</v>
      </c>
      <c r="FC543" s="319" t="s">
        <v>190</v>
      </c>
      <c r="FD543" s="319" t="s">
        <v>190</v>
      </c>
      <c r="FE543" s="319" t="s">
        <v>190</v>
      </c>
      <c r="FF543" s="319" t="s">
        <v>190</v>
      </c>
      <c r="FG543" s="319" t="s">
        <v>190</v>
      </c>
      <c r="FH543" s="319" t="s">
        <v>190</v>
      </c>
      <c r="FI543" s="319" t="s">
        <v>190</v>
      </c>
      <c r="FJ543" s="319" t="s">
        <v>190</v>
      </c>
      <c r="FK543" s="319" t="s">
        <v>190</v>
      </c>
      <c r="FL543" s="319" t="s">
        <v>190</v>
      </c>
      <c r="FM543" s="319" t="s">
        <v>190</v>
      </c>
      <c r="FN543" s="319" t="s">
        <v>190</v>
      </c>
      <c r="FO543" s="319" t="s">
        <v>190</v>
      </c>
      <c r="FP543" s="319" t="s">
        <v>190</v>
      </c>
      <c r="FQ543" s="319" t="s">
        <v>190</v>
      </c>
      <c r="FR543" s="319" t="s">
        <v>190</v>
      </c>
      <c r="FS543" s="319" t="s">
        <v>190</v>
      </c>
      <c r="FT543" s="319" t="s">
        <v>190</v>
      </c>
      <c r="FU543" s="319" t="s">
        <v>190</v>
      </c>
      <c r="FV543" s="319" t="s">
        <v>190</v>
      </c>
      <c r="FW543" s="319" t="s">
        <v>190</v>
      </c>
      <c r="FX543" s="319" t="s">
        <v>190</v>
      </c>
      <c r="FY543" s="319" t="s">
        <v>190</v>
      </c>
      <c r="FZ543" s="319" t="s">
        <v>190</v>
      </c>
      <c r="GA543" s="319" t="s">
        <v>190</v>
      </c>
      <c r="GB543" s="319" t="s">
        <v>190</v>
      </c>
      <c r="GC543" s="319" t="s">
        <v>190</v>
      </c>
      <c r="GD543" s="319" t="s">
        <v>190</v>
      </c>
      <c r="GE543" s="319" t="s">
        <v>190</v>
      </c>
      <c r="GF543" s="319" t="s">
        <v>190</v>
      </c>
      <c r="GG543" s="319" t="s">
        <v>190</v>
      </c>
      <c r="GH543" s="319" t="s">
        <v>190</v>
      </c>
      <c r="GI543" s="319" t="s">
        <v>190</v>
      </c>
      <c r="GJ543" s="319" t="s">
        <v>190</v>
      </c>
      <c r="GK543" s="319" t="s">
        <v>428</v>
      </c>
      <c r="GL543" s="319" t="s">
        <v>190</v>
      </c>
      <c r="GM543" s="319" t="s">
        <v>190</v>
      </c>
      <c r="GN543" s="319" t="s">
        <v>190</v>
      </c>
      <c r="GO543" s="319" t="s">
        <v>190</v>
      </c>
      <c r="GP543" s="319" t="s">
        <v>190</v>
      </c>
      <c r="GQ543" s="319" t="s">
        <v>428</v>
      </c>
      <c r="GR543" s="319" t="s">
        <v>190</v>
      </c>
      <c r="GS543" s="319" t="s">
        <v>190</v>
      </c>
      <c r="GT543" s="319" t="s">
        <v>190</v>
      </c>
      <c r="GU543" s="319" t="s">
        <v>190</v>
      </c>
      <c r="GV543" s="319" t="s">
        <v>190</v>
      </c>
      <c r="GW543" s="319" t="s">
        <v>190</v>
      </c>
      <c r="GX543" s="319" t="s">
        <v>190</v>
      </c>
      <c r="GY543" s="319" t="s">
        <v>190</v>
      </c>
      <c r="GZ543" s="319" t="s">
        <v>190</v>
      </c>
      <c r="HA543" s="319" t="s">
        <v>428</v>
      </c>
      <c r="HB543" s="319" t="s">
        <v>428</v>
      </c>
      <c r="HC543" s="319" t="s">
        <v>190</v>
      </c>
      <c r="HD543" s="319" t="s">
        <v>190</v>
      </c>
      <c r="HE543" s="319" t="s">
        <v>190</v>
      </c>
      <c r="HF543" s="319" t="s">
        <v>190</v>
      </c>
      <c r="HG543" s="319" t="s">
        <v>190</v>
      </c>
      <c r="HH543" s="319" t="s">
        <v>190</v>
      </c>
      <c r="HI543" s="319" t="s">
        <v>190</v>
      </c>
      <c r="HJ543" s="319" t="s">
        <v>190</v>
      </c>
      <c r="HK543" s="319" t="s">
        <v>190</v>
      </c>
      <c r="HL543" s="319" t="s">
        <v>428</v>
      </c>
      <c r="HM543" s="319" t="s">
        <v>428</v>
      </c>
      <c r="HN543" s="319" t="s">
        <v>428</v>
      </c>
      <c r="HO543" s="319" t="s">
        <v>428</v>
      </c>
      <c r="HP543" s="319" t="s">
        <v>190</v>
      </c>
      <c r="HQ543" s="319" t="s">
        <v>190</v>
      </c>
      <c r="HR543" s="319" t="s">
        <v>190</v>
      </c>
      <c r="HS543" s="319" t="s">
        <v>190</v>
      </c>
      <c r="HT543" s="319" t="s">
        <v>190</v>
      </c>
      <c r="HU543" s="319" t="s">
        <v>190</v>
      </c>
      <c r="HV543" s="319" t="s">
        <v>190</v>
      </c>
      <c r="HW543" s="319" t="s">
        <v>190</v>
      </c>
      <c r="HX543" s="319" t="s">
        <v>190</v>
      </c>
      <c r="HY543" s="319" t="s">
        <v>190</v>
      </c>
      <c r="HZ543" s="319" t="s">
        <v>190</v>
      </c>
      <c r="IA543" s="319" t="s">
        <v>190</v>
      </c>
      <c r="IB543" s="319" t="s">
        <v>190</v>
      </c>
      <c r="IC543" s="319" t="s">
        <v>190</v>
      </c>
      <c r="ID543" s="319" t="s">
        <v>190</v>
      </c>
      <c r="IE543" s="319" t="s">
        <v>190</v>
      </c>
      <c r="IF543" s="319" t="s">
        <v>190</v>
      </c>
      <c r="IG543" s="319" t="s">
        <v>190</v>
      </c>
      <c r="IH543" s="319" t="s">
        <v>190</v>
      </c>
      <c r="II543" s="319" t="s">
        <v>190</v>
      </c>
      <c r="IJ543" s="319">
        <v>10008610</v>
      </c>
      <c r="IK543" s="321">
        <v>42528</v>
      </c>
      <c r="IL543" s="321">
        <v>42530</v>
      </c>
      <c r="IM543" s="321">
        <v>42557</v>
      </c>
      <c r="IN543" s="319">
        <v>2</v>
      </c>
      <c r="IO543" s="319" t="s">
        <v>173</v>
      </c>
      <c r="IP543" s="319" t="s">
        <v>173</v>
      </c>
      <c r="IQ543" s="321" t="s">
        <v>173</v>
      </c>
      <c r="IR543" s="320" t="s">
        <v>173</v>
      </c>
      <c r="IS543" s="322" t="s">
        <v>173</v>
      </c>
      <c r="IT543" s="319" t="s">
        <v>173</v>
      </c>
    </row>
    <row r="544" spans="1:254" s="271" customFormat="1" x14ac:dyDescent="0.25">
      <c r="A544" s="318" t="str">
        <f>HYPERLINK("http://www.ofsted.gov.uk/inspection-reports/find-inspection-report/provider/ELS/135577 ","Ofsted School Webpage")</f>
        <v>Ofsted School Webpage</v>
      </c>
      <c r="B544" s="319">
        <v>135577</v>
      </c>
      <c r="C544" s="319">
        <v>9366593</v>
      </c>
      <c r="D544" s="319" t="s">
        <v>698</v>
      </c>
      <c r="E544" s="319" t="s">
        <v>168</v>
      </c>
      <c r="F544" s="319" t="s">
        <v>81</v>
      </c>
      <c r="G544" s="319" t="s">
        <v>81</v>
      </c>
      <c r="H544" s="319" t="s">
        <v>81</v>
      </c>
      <c r="I544" s="319" t="s">
        <v>78</v>
      </c>
      <c r="J544" s="319" t="s">
        <v>424</v>
      </c>
      <c r="K544" s="319" t="s">
        <v>514</v>
      </c>
      <c r="L544" s="319" t="s">
        <v>514</v>
      </c>
      <c r="M544" s="319" t="s">
        <v>699</v>
      </c>
      <c r="N544" s="319" t="s">
        <v>3311</v>
      </c>
      <c r="O544" s="319" t="s">
        <v>700</v>
      </c>
      <c r="P544" s="319">
        <v>69</v>
      </c>
      <c r="Q544" s="319" t="s">
        <v>2776</v>
      </c>
      <c r="R544" s="320">
        <v>10068081</v>
      </c>
      <c r="S544" s="321">
        <v>43425</v>
      </c>
      <c r="T544" s="321">
        <v>43427</v>
      </c>
      <c r="U544" s="321">
        <v>43447</v>
      </c>
      <c r="V544" s="319" t="s">
        <v>425</v>
      </c>
      <c r="W544" s="319" t="s">
        <v>2767</v>
      </c>
      <c r="X544" s="319">
        <v>2</v>
      </c>
      <c r="Y544" s="319" t="s">
        <v>173</v>
      </c>
      <c r="Z544" s="319" t="s">
        <v>173</v>
      </c>
      <c r="AA544" s="319" t="s">
        <v>173</v>
      </c>
      <c r="AB544" s="319">
        <v>2</v>
      </c>
      <c r="AC544" s="319" t="s">
        <v>169</v>
      </c>
      <c r="AD544" s="319" t="s">
        <v>173</v>
      </c>
      <c r="AE544" s="319">
        <v>2</v>
      </c>
      <c r="AF544" s="319" t="s">
        <v>427</v>
      </c>
      <c r="AG544" s="319" t="s">
        <v>171</v>
      </c>
      <c r="AH544" s="319" t="s">
        <v>190</v>
      </c>
      <c r="AI544" s="319" t="s">
        <v>190</v>
      </c>
      <c r="AJ544" s="319" t="s">
        <v>190</v>
      </c>
      <c r="AK544" s="319" t="s">
        <v>190</v>
      </c>
      <c r="AL544" s="319" t="s">
        <v>190</v>
      </c>
      <c r="AM544" s="319" t="s">
        <v>190</v>
      </c>
      <c r="AN544" s="319" t="s">
        <v>190</v>
      </c>
      <c r="AO544" s="319" t="s">
        <v>190</v>
      </c>
      <c r="AP544" s="319" t="s">
        <v>190</v>
      </c>
      <c r="AQ544" s="319" t="s">
        <v>190</v>
      </c>
      <c r="AR544" s="319" t="s">
        <v>190</v>
      </c>
      <c r="AS544" s="319" t="s">
        <v>190</v>
      </c>
      <c r="AT544" s="319" t="s">
        <v>190</v>
      </c>
      <c r="AU544" s="319" t="s">
        <v>190</v>
      </c>
      <c r="AV544" s="319" t="s">
        <v>190</v>
      </c>
      <c r="AW544" s="319" t="s">
        <v>190</v>
      </c>
      <c r="AX544" s="319" t="s">
        <v>428</v>
      </c>
      <c r="AY544" s="319" t="s">
        <v>190</v>
      </c>
      <c r="AZ544" s="319" t="s">
        <v>190</v>
      </c>
      <c r="BA544" s="319" t="s">
        <v>190</v>
      </c>
      <c r="BB544" s="319" t="s">
        <v>190</v>
      </c>
      <c r="BC544" s="319" t="s">
        <v>190</v>
      </c>
      <c r="BD544" s="319" t="s">
        <v>190</v>
      </c>
      <c r="BE544" s="319" t="s">
        <v>190</v>
      </c>
      <c r="BF544" s="319" t="s">
        <v>428</v>
      </c>
      <c r="BG544" s="319" t="s">
        <v>190</v>
      </c>
      <c r="BH544" s="319" t="s">
        <v>190</v>
      </c>
      <c r="BI544" s="319" t="s">
        <v>190</v>
      </c>
      <c r="BJ544" s="319" t="s">
        <v>190</v>
      </c>
      <c r="BK544" s="319" t="s">
        <v>190</v>
      </c>
      <c r="BL544" s="319" t="s">
        <v>190</v>
      </c>
      <c r="BM544" s="319" t="s">
        <v>190</v>
      </c>
      <c r="BN544" s="319" t="s">
        <v>190</v>
      </c>
      <c r="BO544" s="319" t="s">
        <v>190</v>
      </c>
      <c r="BP544" s="319" t="s">
        <v>190</v>
      </c>
      <c r="BQ544" s="319" t="s">
        <v>190</v>
      </c>
      <c r="BR544" s="319" t="s">
        <v>190</v>
      </c>
      <c r="BS544" s="319" t="s">
        <v>190</v>
      </c>
      <c r="BT544" s="319" t="s">
        <v>190</v>
      </c>
      <c r="BU544" s="319" t="s">
        <v>190</v>
      </c>
      <c r="BV544" s="319" t="s">
        <v>190</v>
      </c>
      <c r="BW544" s="319" t="s">
        <v>190</v>
      </c>
      <c r="BX544" s="319" t="s">
        <v>190</v>
      </c>
      <c r="BY544" s="319" t="s">
        <v>190</v>
      </c>
      <c r="BZ544" s="319" t="s">
        <v>190</v>
      </c>
      <c r="CA544" s="319" t="s">
        <v>190</v>
      </c>
      <c r="CB544" s="319" t="s">
        <v>190</v>
      </c>
      <c r="CC544" s="319" t="s">
        <v>190</v>
      </c>
      <c r="CD544" s="319" t="s">
        <v>190</v>
      </c>
      <c r="CE544" s="319" t="s">
        <v>190</v>
      </c>
      <c r="CF544" s="319" t="s">
        <v>190</v>
      </c>
      <c r="CG544" s="319" t="s">
        <v>190</v>
      </c>
      <c r="CH544" s="319" t="s">
        <v>190</v>
      </c>
      <c r="CI544" s="319" t="s">
        <v>190</v>
      </c>
      <c r="CJ544" s="319" t="s">
        <v>190</v>
      </c>
      <c r="CK544" s="319" t="s">
        <v>190</v>
      </c>
      <c r="CL544" s="319" t="s">
        <v>190</v>
      </c>
      <c r="CM544" s="319" t="s">
        <v>190</v>
      </c>
      <c r="CN544" s="319" t="s">
        <v>428</v>
      </c>
      <c r="CO544" s="319" t="s">
        <v>428</v>
      </c>
      <c r="CP544" s="319" t="s">
        <v>428</v>
      </c>
      <c r="CQ544" s="319" t="s">
        <v>190</v>
      </c>
      <c r="CR544" s="319" t="s">
        <v>190</v>
      </c>
      <c r="CS544" s="319" t="s">
        <v>190</v>
      </c>
      <c r="CT544" s="319" t="s">
        <v>190</v>
      </c>
      <c r="CU544" s="319" t="s">
        <v>190</v>
      </c>
      <c r="CV544" s="319" t="s">
        <v>190</v>
      </c>
      <c r="CW544" s="319" t="s">
        <v>190</v>
      </c>
      <c r="CX544" s="319" t="s">
        <v>190</v>
      </c>
      <c r="CY544" s="319" t="s">
        <v>190</v>
      </c>
      <c r="CZ544" s="319" t="s">
        <v>190</v>
      </c>
      <c r="DA544" s="319" t="s">
        <v>190</v>
      </c>
      <c r="DB544" s="319" t="s">
        <v>190</v>
      </c>
      <c r="DC544" s="319" t="s">
        <v>190</v>
      </c>
      <c r="DD544" s="319" t="s">
        <v>190</v>
      </c>
      <c r="DE544" s="319" t="s">
        <v>190</v>
      </c>
      <c r="DF544" s="319" t="s">
        <v>190</v>
      </c>
      <c r="DG544" s="319" t="s">
        <v>190</v>
      </c>
      <c r="DH544" s="319" t="s">
        <v>190</v>
      </c>
      <c r="DI544" s="319" t="s">
        <v>190</v>
      </c>
      <c r="DJ544" s="319" t="s">
        <v>190</v>
      </c>
      <c r="DK544" s="319" t="s">
        <v>190</v>
      </c>
      <c r="DL544" s="319" t="s">
        <v>190</v>
      </c>
      <c r="DM544" s="319" t="s">
        <v>190</v>
      </c>
      <c r="DN544" s="319" t="s">
        <v>428</v>
      </c>
      <c r="DO544" s="319" t="s">
        <v>190</v>
      </c>
      <c r="DP544" s="319" t="s">
        <v>190</v>
      </c>
      <c r="DQ544" s="319" t="s">
        <v>190</v>
      </c>
      <c r="DR544" s="319" t="s">
        <v>190</v>
      </c>
      <c r="DS544" s="319" t="s">
        <v>190</v>
      </c>
      <c r="DT544" s="319" t="s">
        <v>190</v>
      </c>
      <c r="DU544" s="319" t="s">
        <v>190</v>
      </c>
      <c r="DV544" s="319" t="s">
        <v>173</v>
      </c>
      <c r="DW544" s="319" t="s">
        <v>190</v>
      </c>
      <c r="DX544" s="319" t="s">
        <v>190</v>
      </c>
      <c r="DY544" s="319" t="s">
        <v>190</v>
      </c>
      <c r="DZ544" s="319" t="s">
        <v>190</v>
      </c>
      <c r="EA544" s="319" t="s">
        <v>190</v>
      </c>
      <c r="EB544" s="319" t="s">
        <v>190</v>
      </c>
      <c r="EC544" s="319" t="s">
        <v>428</v>
      </c>
      <c r="ED544" s="319" t="s">
        <v>190</v>
      </c>
      <c r="EE544" s="319" t="s">
        <v>190</v>
      </c>
      <c r="EF544" s="319" t="s">
        <v>190</v>
      </c>
      <c r="EG544" s="319" t="s">
        <v>190</v>
      </c>
      <c r="EH544" s="319" t="s">
        <v>190</v>
      </c>
      <c r="EI544" s="319" t="s">
        <v>190</v>
      </c>
      <c r="EJ544" s="319" t="s">
        <v>190</v>
      </c>
      <c r="EK544" s="319" t="s">
        <v>190</v>
      </c>
      <c r="EL544" s="319" t="s">
        <v>190</v>
      </c>
      <c r="EM544" s="319" t="s">
        <v>190</v>
      </c>
      <c r="EN544" s="319" t="s">
        <v>190</v>
      </c>
      <c r="EO544" s="319" t="s">
        <v>190</v>
      </c>
      <c r="EP544" s="319" t="s">
        <v>190</v>
      </c>
      <c r="EQ544" s="319" t="s">
        <v>190</v>
      </c>
      <c r="ER544" s="319" t="s">
        <v>190</v>
      </c>
      <c r="ES544" s="319" t="s">
        <v>190</v>
      </c>
      <c r="ET544" s="319" t="s">
        <v>190</v>
      </c>
      <c r="EU544" s="319" t="s">
        <v>190</v>
      </c>
      <c r="EV544" s="319" t="s">
        <v>190</v>
      </c>
      <c r="EW544" s="319" t="s">
        <v>190</v>
      </c>
      <c r="EX544" s="319" t="s">
        <v>190</v>
      </c>
      <c r="EY544" s="319" t="s">
        <v>190</v>
      </c>
      <c r="EZ544" s="319" t="s">
        <v>190</v>
      </c>
      <c r="FA544" s="319" t="s">
        <v>190</v>
      </c>
      <c r="FB544" s="319" t="s">
        <v>190</v>
      </c>
      <c r="FC544" s="319" t="s">
        <v>190</v>
      </c>
      <c r="FD544" s="319" t="s">
        <v>190</v>
      </c>
      <c r="FE544" s="319" t="s">
        <v>190</v>
      </c>
      <c r="FF544" s="319" t="s">
        <v>190</v>
      </c>
      <c r="FG544" s="319" t="s">
        <v>190</v>
      </c>
      <c r="FH544" s="319" t="s">
        <v>190</v>
      </c>
      <c r="FI544" s="319" t="s">
        <v>190</v>
      </c>
      <c r="FJ544" s="319" t="s">
        <v>190</v>
      </c>
      <c r="FK544" s="319" t="s">
        <v>190</v>
      </c>
      <c r="FL544" s="319" t="s">
        <v>190</v>
      </c>
      <c r="FM544" s="319" t="s">
        <v>190</v>
      </c>
      <c r="FN544" s="319" t="s">
        <v>190</v>
      </c>
      <c r="FO544" s="319" t="s">
        <v>190</v>
      </c>
      <c r="FP544" s="319" t="s">
        <v>190</v>
      </c>
      <c r="FQ544" s="319" t="s">
        <v>190</v>
      </c>
      <c r="FR544" s="319" t="s">
        <v>190</v>
      </c>
      <c r="FS544" s="319" t="s">
        <v>190</v>
      </c>
      <c r="FT544" s="319" t="s">
        <v>190</v>
      </c>
      <c r="FU544" s="319" t="s">
        <v>190</v>
      </c>
      <c r="FV544" s="319" t="s">
        <v>190</v>
      </c>
      <c r="FW544" s="319" t="s">
        <v>190</v>
      </c>
      <c r="FX544" s="319" t="s">
        <v>190</v>
      </c>
      <c r="FY544" s="319" t="s">
        <v>190</v>
      </c>
      <c r="FZ544" s="319" t="s">
        <v>190</v>
      </c>
      <c r="GA544" s="319" t="s">
        <v>190</v>
      </c>
      <c r="GB544" s="319" t="s">
        <v>190</v>
      </c>
      <c r="GC544" s="319" t="s">
        <v>190</v>
      </c>
      <c r="GD544" s="319" t="s">
        <v>190</v>
      </c>
      <c r="GE544" s="319" t="s">
        <v>190</v>
      </c>
      <c r="GF544" s="319" t="s">
        <v>190</v>
      </c>
      <c r="GG544" s="319" t="s">
        <v>190</v>
      </c>
      <c r="GH544" s="319" t="s">
        <v>190</v>
      </c>
      <c r="GI544" s="319" t="s">
        <v>190</v>
      </c>
      <c r="GJ544" s="319" t="s">
        <v>190</v>
      </c>
      <c r="GK544" s="319" t="s">
        <v>428</v>
      </c>
      <c r="GL544" s="319" t="s">
        <v>190</v>
      </c>
      <c r="GM544" s="319" t="s">
        <v>190</v>
      </c>
      <c r="GN544" s="319" t="s">
        <v>190</v>
      </c>
      <c r="GO544" s="319" t="s">
        <v>190</v>
      </c>
      <c r="GP544" s="319" t="s">
        <v>190</v>
      </c>
      <c r="GQ544" s="319" t="s">
        <v>428</v>
      </c>
      <c r="GR544" s="319" t="s">
        <v>190</v>
      </c>
      <c r="GS544" s="319" t="s">
        <v>190</v>
      </c>
      <c r="GT544" s="319" t="s">
        <v>190</v>
      </c>
      <c r="GU544" s="319" t="s">
        <v>190</v>
      </c>
      <c r="GV544" s="319" t="s">
        <v>190</v>
      </c>
      <c r="GW544" s="319" t="s">
        <v>190</v>
      </c>
      <c r="GX544" s="319" t="s">
        <v>190</v>
      </c>
      <c r="GY544" s="319" t="s">
        <v>190</v>
      </c>
      <c r="GZ544" s="319" t="s">
        <v>428</v>
      </c>
      <c r="HA544" s="319" t="s">
        <v>190</v>
      </c>
      <c r="HB544" s="319" t="s">
        <v>428</v>
      </c>
      <c r="HC544" s="319" t="s">
        <v>190</v>
      </c>
      <c r="HD544" s="319" t="s">
        <v>190</v>
      </c>
      <c r="HE544" s="319" t="s">
        <v>190</v>
      </c>
      <c r="HF544" s="319" t="s">
        <v>190</v>
      </c>
      <c r="HG544" s="319" t="s">
        <v>190</v>
      </c>
      <c r="HH544" s="319" t="s">
        <v>190</v>
      </c>
      <c r="HI544" s="319" t="s">
        <v>190</v>
      </c>
      <c r="HJ544" s="319" t="s">
        <v>190</v>
      </c>
      <c r="HK544" s="319" t="s">
        <v>190</v>
      </c>
      <c r="HL544" s="319" t="s">
        <v>190</v>
      </c>
      <c r="HM544" s="319" t="s">
        <v>190</v>
      </c>
      <c r="HN544" s="319" t="s">
        <v>190</v>
      </c>
      <c r="HO544" s="319" t="s">
        <v>190</v>
      </c>
      <c r="HP544" s="319" t="s">
        <v>190</v>
      </c>
      <c r="HQ544" s="319" t="s">
        <v>190</v>
      </c>
      <c r="HR544" s="319" t="s">
        <v>190</v>
      </c>
      <c r="HS544" s="319" t="s">
        <v>190</v>
      </c>
      <c r="HT544" s="319" t="s">
        <v>190</v>
      </c>
      <c r="HU544" s="319" t="s">
        <v>190</v>
      </c>
      <c r="HV544" s="319" t="s">
        <v>190</v>
      </c>
      <c r="HW544" s="319" t="s">
        <v>190</v>
      </c>
      <c r="HX544" s="319" t="s">
        <v>190</v>
      </c>
      <c r="HY544" s="319" t="s">
        <v>190</v>
      </c>
      <c r="HZ544" s="319" t="s">
        <v>190</v>
      </c>
      <c r="IA544" s="319" t="s">
        <v>190</v>
      </c>
      <c r="IB544" s="319" t="s">
        <v>190</v>
      </c>
      <c r="IC544" s="319" t="s">
        <v>190</v>
      </c>
      <c r="ID544" s="319" t="s">
        <v>190</v>
      </c>
      <c r="IE544" s="319" t="s">
        <v>190</v>
      </c>
      <c r="IF544" s="319" t="s">
        <v>190</v>
      </c>
      <c r="IG544" s="319" t="s">
        <v>190</v>
      </c>
      <c r="IH544" s="319" t="s">
        <v>190</v>
      </c>
      <c r="II544" s="319" t="s">
        <v>190</v>
      </c>
      <c r="IJ544" s="319">
        <v>10006049</v>
      </c>
      <c r="IK544" s="321">
        <v>42647</v>
      </c>
      <c r="IL544" s="321">
        <v>42649</v>
      </c>
      <c r="IM544" s="321">
        <v>42674</v>
      </c>
      <c r="IN544" s="319">
        <v>2</v>
      </c>
      <c r="IO544" s="319" t="s">
        <v>173</v>
      </c>
      <c r="IP544" s="319" t="s">
        <v>173</v>
      </c>
      <c r="IQ544" s="319" t="s">
        <v>173</v>
      </c>
      <c r="IR544" s="320" t="s">
        <v>173</v>
      </c>
      <c r="IS544" s="320" t="s">
        <v>173</v>
      </c>
      <c r="IT544" s="319" t="s">
        <v>173</v>
      </c>
    </row>
    <row r="545" spans="1:254" s="271" customFormat="1" x14ac:dyDescent="0.25">
      <c r="A545" s="318" t="str">
        <f>HYPERLINK("http://www.ofsted.gov.uk/inspection-reports/find-inspection-report/provider/ELS/135594 ","Ofsted School Webpage")</f>
        <v>Ofsted School Webpage</v>
      </c>
      <c r="B545" s="319">
        <v>135594</v>
      </c>
      <c r="C545" s="319">
        <v>8816058</v>
      </c>
      <c r="D545" s="319" t="s">
        <v>1957</v>
      </c>
      <c r="E545" s="319" t="s">
        <v>167</v>
      </c>
      <c r="F545" s="319" t="s">
        <v>81</v>
      </c>
      <c r="G545" s="319" t="s">
        <v>81</v>
      </c>
      <c r="H545" s="319" t="s">
        <v>81</v>
      </c>
      <c r="I545" s="319" t="s">
        <v>78</v>
      </c>
      <c r="J545" s="319" t="s">
        <v>424</v>
      </c>
      <c r="K545" s="319" t="s">
        <v>451</v>
      </c>
      <c r="L545" s="319" t="s">
        <v>451</v>
      </c>
      <c r="M545" s="319" t="s">
        <v>679</v>
      </c>
      <c r="N545" s="319" t="s">
        <v>3259</v>
      </c>
      <c r="O545" s="319" t="s">
        <v>1958</v>
      </c>
      <c r="P545" s="319">
        <v>50</v>
      </c>
      <c r="Q545" s="319" t="s">
        <v>2766</v>
      </c>
      <c r="R545" s="320">
        <v>10026068</v>
      </c>
      <c r="S545" s="321">
        <v>42753</v>
      </c>
      <c r="T545" s="321">
        <v>42755</v>
      </c>
      <c r="U545" s="321">
        <v>42794</v>
      </c>
      <c r="V545" s="319" t="s">
        <v>425</v>
      </c>
      <c r="W545" s="319" t="s">
        <v>2767</v>
      </c>
      <c r="X545" s="319">
        <v>2</v>
      </c>
      <c r="Y545" s="319" t="s">
        <v>173</v>
      </c>
      <c r="Z545" s="319" t="s">
        <v>173</v>
      </c>
      <c r="AA545" s="319" t="s">
        <v>173</v>
      </c>
      <c r="AB545" s="319">
        <v>2</v>
      </c>
      <c r="AC545" s="319" t="s">
        <v>169</v>
      </c>
      <c r="AD545" s="319">
        <v>2</v>
      </c>
      <c r="AE545" s="319" t="s">
        <v>173</v>
      </c>
      <c r="AF545" s="319" t="s">
        <v>173</v>
      </c>
      <c r="AG545" s="319" t="s">
        <v>171</v>
      </c>
      <c r="AH545" s="319" t="s">
        <v>190</v>
      </c>
      <c r="AI545" s="319" t="s">
        <v>190</v>
      </c>
      <c r="AJ545" s="319" t="s">
        <v>190</v>
      </c>
      <c r="AK545" s="319" t="s">
        <v>190</v>
      </c>
      <c r="AL545" s="319" t="s">
        <v>190</v>
      </c>
      <c r="AM545" s="319" t="s">
        <v>190</v>
      </c>
      <c r="AN545" s="319" t="s">
        <v>190</v>
      </c>
      <c r="AO545" s="319" t="s">
        <v>190</v>
      </c>
      <c r="AP545" s="319" t="s">
        <v>190</v>
      </c>
      <c r="AQ545" s="319" t="s">
        <v>190</v>
      </c>
      <c r="AR545" s="319" t="s">
        <v>190</v>
      </c>
      <c r="AS545" s="319" t="s">
        <v>190</v>
      </c>
      <c r="AT545" s="319" t="s">
        <v>190</v>
      </c>
      <c r="AU545" s="319" t="s">
        <v>190</v>
      </c>
      <c r="AV545" s="319" t="s">
        <v>190</v>
      </c>
      <c r="AW545" s="319" t="s">
        <v>190</v>
      </c>
      <c r="AX545" s="319" t="s">
        <v>429</v>
      </c>
      <c r="AY545" s="319" t="s">
        <v>190</v>
      </c>
      <c r="AZ545" s="319" t="s">
        <v>190</v>
      </c>
      <c r="BA545" s="319" t="s">
        <v>190</v>
      </c>
      <c r="BB545" s="319" t="s">
        <v>429</v>
      </c>
      <c r="BC545" s="319" t="s">
        <v>429</v>
      </c>
      <c r="BD545" s="319" t="s">
        <v>429</v>
      </c>
      <c r="BE545" s="319" t="s">
        <v>429</v>
      </c>
      <c r="BF545" s="319" t="s">
        <v>429</v>
      </c>
      <c r="BG545" s="319" t="s">
        <v>429</v>
      </c>
      <c r="BH545" s="319" t="s">
        <v>429</v>
      </c>
      <c r="BI545" s="319" t="s">
        <v>429</v>
      </c>
      <c r="BJ545" s="319" t="s">
        <v>190</v>
      </c>
      <c r="BK545" s="319" t="s">
        <v>190</v>
      </c>
      <c r="BL545" s="319" t="s">
        <v>190</v>
      </c>
      <c r="BM545" s="319" t="s">
        <v>190</v>
      </c>
      <c r="BN545" s="319" t="s">
        <v>190</v>
      </c>
      <c r="BO545" s="319" t="s">
        <v>190</v>
      </c>
      <c r="BP545" s="319" t="s">
        <v>190</v>
      </c>
      <c r="BQ545" s="319" t="s">
        <v>190</v>
      </c>
      <c r="BR545" s="319" t="s">
        <v>190</v>
      </c>
      <c r="BS545" s="319" t="s">
        <v>190</v>
      </c>
      <c r="BT545" s="319" t="s">
        <v>190</v>
      </c>
      <c r="BU545" s="319" t="s">
        <v>190</v>
      </c>
      <c r="BV545" s="319" t="s">
        <v>190</v>
      </c>
      <c r="BW545" s="319" t="s">
        <v>190</v>
      </c>
      <c r="BX545" s="319" t="s">
        <v>190</v>
      </c>
      <c r="BY545" s="319" t="s">
        <v>190</v>
      </c>
      <c r="BZ545" s="319" t="s">
        <v>190</v>
      </c>
      <c r="CA545" s="319" t="s">
        <v>190</v>
      </c>
      <c r="CB545" s="319" t="s">
        <v>190</v>
      </c>
      <c r="CC545" s="319" t="s">
        <v>190</v>
      </c>
      <c r="CD545" s="319" t="s">
        <v>190</v>
      </c>
      <c r="CE545" s="319" t="s">
        <v>190</v>
      </c>
      <c r="CF545" s="319" t="s">
        <v>190</v>
      </c>
      <c r="CG545" s="319" t="s">
        <v>190</v>
      </c>
      <c r="CH545" s="319" t="s">
        <v>190</v>
      </c>
      <c r="CI545" s="319" t="s">
        <v>190</v>
      </c>
      <c r="CJ545" s="319" t="s">
        <v>190</v>
      </c>
      <c r="CK545" s="319" t="s">
        <v>190</v>
      </c>
      <c r="CL545" s="319" t="s">
        <v>190</v>
      </c>
      <c r="CM545" s="319" t="s">
        <v>190</v>
      </c>
      <c r="CN545" s="319" t="s">
        <v>429</v>
      </c>
      <c r="CO545" s="319" t="s">
        <v>429</v>
      </c>
      <c r="CP545" s="319" t="s">
        <v>429</v>
      </c>
      <c r="CQ545" s="319" t="s">
        <v>190</v>
      </c>
      <c r="CR545" s="319" t="s">
        <v>190</v>
      </c>
      <c r="CS545" s="319" t="s">
        <v>190</v>
      </c>
      <c r="CT545" s="319" t="s">
        <v>190</v>
      </c>
      <c r="CU545" s="319" t="s">
        <v>190</v>
      </c>
      <c r="CV545" s="319" t="s">
        <v>190</v>
      </c>
      <c r="CW545" s="319" t="s">
        <v>190</v>
      </c>
      <c r="CX545" s="319" t="s">
        <v>190</v>
      </c>
      <c r="CY545" s="319" t="s">
        <v>190</v>
      </c>
      <c r="CZ545" s="319" t="s">
        <v>190</v>
      </c>
      <c r="DA545" s="319" t="s">
        <v>190</v>
      </c>
      <c r="DB545" s="319" t="s">
        <v>190</v>
      </c>
      <c r="DC545" s="319" t="s">
        <v>190</v>
      </c>
      <c r="DD545" s="319" t="s">
        <v>190</v>
      </c>
      <c r="DE545" s="319" t="s">
        <v>190</v>
      </c>
      <c r="DF545" s="319" t="s">
        <v>190</v>
      </c>
      <c r="DG545" s="319" t="s">
        <v>190</v>
      </c>
      <c r="DH545" s="319" t="s">
        <v>190</v>
      </c>
      <c r="DI545" s="319" t="s">
        <v>190</v>
      </c>
      <c r="DJ545" s="319" t="s">
        <v>190</v>
      </c>
      <c r="DK545" s="319" t="s">
        <v>190</v>
      </c>
      <c r="DL545" s="319" t="s">
        <v>190</v>
      </c>
      <c r="DM545" s="319" t="s">
        <v>190</v>
      </c>
      <c r="DN545" s="319" t="s">
        <v>429</v>
      </c>
      <c r="DO545" s="319" t="s">
        <v>190</v>
      </c>
      <c r="DP545" s="319" t="s">
        <v>190</v>
      </c>
      <c r="DQ545" s="319" t="s">
        <v>190</v>
      </c>
      <c r="DR545" s="319" t="s">
        <v>190</v>
      </c>
      <c r="DS545" s="319" t="s">
        <v>190</v>
      </c>
      <c r="DT545" s="319" t="s">
        <v>190</v>
      </c>
      <c r="DU545" s="319" t="s">
        <v>190</v>
      </c>
      <c r="DV545" s="319" t="s">
        <v>173</v>
      </c>
      <c r="DW545" s="319" t="s">
        <v>190</v>
      </c>
      <c r="DX545" s="319" t="s">
        <v>190</v>
      </c>
      <c r="DY545" s="319" t="s">
        <v>190</v>
      </c>
      <c r="DZ545" s="319" t="s">
        <v>190</v>
      </c>
      <c r="EA545" s="319" t="s">
        <v>190</v>
      </c>
      <c r="EB545" s="319" t="s">
        <v>190</v>
      </c>
      <c r="EC545" s="319" t="s">
        <v>429</v>
      </c>
      <c r="ED545" s="319" t="s">
        <v>190</v>
      </c>
      <c r="EE545" s="319" t="s">
        <v>429</v>
      </c>
      <c r="EF545" s="319" t="s">
        <v>429</v>
      </c>
      <c r="EG545" s="319" t="s">
        <v>429</v>
      </c>
      <c r="EH545" s="319" t="s">
        <v>429</v>
      </c>
      <c r="EI545" s="319" t="s">
        <v>429</v>
      </c>
      <c r="EJ545" s="319" t="s">
        <v>429</v>
      </c>
      <c r="EK545" s="319" t="s">
        <v>429</v>
      </c>
      <c r="EL545" s="319" t="s">
        <v>429</v>
      </c>
      <c r="EM545" s="319" t="s">
        <v>429</v>
      </c>
      <c r="EN545" s="319" t="s">
        <v>190</v>
      </c>
      <c r="EO545" s="319" t="s">
        <v>190</v>
      </c>
      <c r="EP545" s="319" t="s">
        <v>190</v>
      </c>
      <c r="EQ545" s="319" t="s">
        <v>190</v>
      </c>
      <c r="ER545" s="319" t="s">
        <v>190</v>
      </c>
      <c r="ES545" s="319" t="s">
        <v>190</v>
      </c>
      <c r="ET545" s="319" t="s">
        <v>190</v>
      </c>
      <c r="EU545" s="319" t="s">
        <v>190</v>
      </c>
      <c r="EV545" s="319" t="s">
        <v>190</v>
      </c>
      <c r="EW545" s="319" t="s">
        <v>190</v>
      </c>
      <c r="EX545" s="319" t="s">
        <v>190</v>
      </c>
      <c r="EY545" s="319" t="s">
        <v>190</v>
      </c>
      <c r="EZ545" s="319" t="s">
        <v>190</v>
      </c>
      <c r="FA545" s="319" t="s">
        <v>190</v>
      </c>
      <c r="FB545" s="319" t="s">
        <v>190</v>
      </c>
      <c r="FC545" s="319" t="s">
        <v>190</v>
      </c>
      <c r="FD545" s="319" t="s">
        <v>190</v>
      </c>
      <c r="FE545" s="319" t="s">
        <v>190</v>
      </c>
      <c r="FF545" s="319" t="s">
        <v>190</v>
      </c>
      <c r="FG545" s="319" t="s">
        <v>190</v>
      </c>
      <c r="FH545" s="319" t="s">
        <v>429</v>
      </c>
      <c r="FI545" s="319" t="s">
        <v>429</v>
      </c>
      <c r="FJ545" s="319" t="s">
        <v>429</v>
      </c>
      <c r="FK545" s="319" t="s">
        <v>429</v>
      </c>
      <c r="FL545" s="319" t="s">
        <v>190</v>
      </c>
      <c r="FM545" s="319" t="s">
        <v>190</v>
      </c>
      <c r="FN545" s="319" t="s">
        <v>190</v>
      </c>
      <c r="FO545" s="319" t="s">
        <v>429</v>
      </c>
      <c r="FP545" s="319" t="s">
        <v>190</v>
      </c>
      <c r="FQ545" s="319" t="s">
        <v>190</v>
      </c>
      <c r="FR545" s="319" t="s">
        <v>190</v>
      </c>
      <c r="FS545" s="319" t="s">
        <v>429</v>
      </c>
      <c r="FT545" s="319" t="s">
        <v>190</v>
      </c>
      <c r="FU545" s="319" t="s">
        <v>190</v>
      </c>
      <c r="FV545" s="319" t="s">
        <v>190</v>
      </c>
      <c r="FW545" s="319" t="s">
        <v>190</v>
      </c>
      <c r="FX545" s="319" t="s">
        <v>190</v>
      </c>
      <c r="FY545" s="319" t="s">
        <v>190</v>
      </c>
      <c r="FZ545" s="319" t="s">
        <v>190</v>
      </c>
      <c r="GA545" s="319" t="s">
        <v>190</v>
      </c>
      <c r="GB545" s="319" t="s">
        <v>190</v>
      </c>
      <c r="GC545" s="319" t="s">
        <v>190</v>
      </c>
      <c r="GD545" s="319" t="s">
        <v>190</v>
      </c>
      <c r="GE545" s="319" t="s">
        <v>190</v>
      </c>
      <c r="GF545" s="319" t="s">
        <v>190</v>
      </c>
      <c r="GG545" s="319" t="s">
        <v>190</v>
      </c>
      <c r="GH545" s="319" t="s">
        <v>190</v>
      </c>
      <c r="GI545" s="319" t="s">
        <v>190</v>
      </c>
      <c r="GJ545" s="319" t="s">
        <v>190</v>
      </c>
      <c r="GK545" s="319" t="s">
        <v>429</v>
      </c>
      <c r="GL545" s="319" t="s">
        <v>190</v>
      </c>
      <c r="GM545" s="319" t="s">
        <v>190</v>
      </c>
      <c r="GN545" s="319" t="s">
        <v>190</v>
      </c>
      <c r="GO545" s="319" t="s">
        <v>190</v>
      </c>
      <c r="GP545" s="319" t="s">
        <v>190</v>
      </c>
      <c r="GQ545" s="319" t="s">
        <v>190</v>
      </c>
      <c r="GR545" s="319" t="s">
        <v>190</v>
      </c>
      <c r="GS545" s="319" t="s">
        <v>190</v>
      </c>
      <c r="GT545" s="319" t="s">
        <v>429</v>
      </c>
      <c r="GU545" s="319" t="s">
        <v>429</v>
      </c>
      <c r="GV545" s="319" t="s">
        <v>190</v>
      </c>
      <c r="GW545" s="319" t="s">
        <v>190</v>
      </c>
      <c r="GX545" s="319" t="s">
        <v>190</v>
      </c>
      <c r="GY545" s="319" t="s">
        <v>190</v>
      </c>
      <c r="GZ545" s="319" t="s">
        <v>190</v>
      </c>
      <c r="HA545" s="319" t="s">
        <v>190</v>
      </c>
      <c r="HB545" s="319" t="s">
        <v>190</v>
      </c>
      <c r="HC545" s="319" t="s">
        <v>190</v>
      </c>
      <c r="HD545" s="319" t="s">
        <v>190</v>
      </c>
      <c r="HE545" s="319" t="s">
        <v>190</v>
      </c>
      <c r="HF545" s="319" t="s">
        <v>190</v>
      </c>
      <c r="HG545" s="319" t="s">
        <v>190</v>
      </c>
      <c r="HH545" s="319" t="s">
        <v>190</v>
      </c>
      <c r="HI545" s="319" t="s">
        <v>190</v>
      </c>
      <c r="HJ545" s="319" t="s">
        <v>190</v>
      </c>
      <c r="HK545" s="319" t="s">
        <v>190</v>
      </c>
      <c r="HL545" s="319" t="s">
        <v>190</v>
      </c>
      <c r="HM545" s="319" t="s">
        <v>190</v>
      </c>
      <c r="HN545" s="319" t="s">
        <v>190</v>
      </c>
      <c r="HO545" s="319" t="s">
        <v>190</v>
      </c>
      <c r="HP545" s="319" t="s">
        <v>190</v>
      </c>
      <c r="HQ545" s="319" t="s">
        <v>190</v>
      </c>
      <c r="HR545" s="319" t="s">
        <v>190</v>
      </c>
      <c r="HS545" s="319" t="s">
        <v>190</v>
      </c>
      <c r="HT545" s="319" t="s">
        <v>190</v>
      </c>
      <c r="HU545" s="319" t="s">
        <v>190</v>
      </c>
      <c r="HV545" s="319" t="s">
        <v>190</v>
      </c>
      <c r="HW545" s="319" t="s">
        <v>190</v>
      </c>
      <c r="HX545" s="319" t="s">
        <v>190</v>
      </c>
      <c r="HY545" s="319" t="s">
        <v>190</v>
      </c>
      <c r="HZ545" s="319" t="s">
        <v>190</v>
      </c>
      <c r="IA545" s="319" t="s">
        <v>190</v>
      </c>
      <c r="IB545" s="319" t="s">
        <v>190</v>
      </c>
      <c r="IC545" s="319" t="s">
        <v>190</v>
      </c>
      <c r="ID545" s="319" t="s">
        <v>190</v>
      </c>
      <c r="IE545" s="319" t="s">
        <v>190</v>
      </c>
      <c r="IF545" s="319" t="s">
        <v>190</v>
      </c>
      <c r="IG545" s="319" t="s">
        <v>190</v>
      </c>
      <c r="IH545" s="319" t="s">
        <v>190</v>
      </c>
      <c r="II545" s="319" t="s">
        <v>190</v>
      </c>
      <c r="IJ545" s="319" t="s">
        <v>3312</v>
      </c>
      <c r="IK545" s="321">
        <v>40939</v>
      </c>
      <c r="IL545" s="321">
        <v>40940</v>
      </c>
      <c r="IM545" s="321">
        <v>40970</v>
      </c>
      <c r="IN545" s="319">
        <v>2</v>
      </c>
      <c r="IO545" s="319" t="s">
        <v>173</v>
      </c>
      <c r="IP545" s="319" t="s">
        <v>173</v>
      </c>
      <c r="IQ545" s="321" t="s">
        <v>173</v>
      </c>
      <c r="IR545" s="320" t="s">
        <v>173</v>
      </c>
      <c r="IS545" s="322" t="s">
        <v>173</v>
      </c>
      <c r="IT545" s="319" t="s">
        <v>173</v>
      </c>
    </row>
    <row r="546" spans="1:254" s="271" customFormat="1" x14ac:dyDescent="0.25">
      <c r="A546" s="318" t="str">
        <f>HYPERLINK("http://www.ofsted.gov.uk/inspection-reports/find-inspection-report/provider/ELS/135596 ","Ofsted School Webpage")</f>
        <v>Ofsted School Webpage</v>
      </c>
      <c r="B546" s="319">
        <v>135596</v>
      </c>
      <c r="C546" s="319">
        <v>9196261</v>
      </c>
      <c r="D546" s="319" t="s">
        <v>1959</v>
      </c>
      <c r="E546" s="319" t="s">
        <v>167</v>
      </c>
      <c r="F546" s="319" t="s">
        <v>81</v>
      </c>
      <c r="G546" s="319" t="s">
        <v>66</v>
      </c>
      <c r="H546" s="319" t="s">
        <v>66</v>
      </c>
      <c r="I546" s="319" t="s">
        <v>59</v>
      </c>
      <c r="J546" s="319" t="s">
        <v>424</v>
      </c>
      <c r="K546" s="319" t="s">
        <v>451</v>
      </c>
      <c r="L546" s="319" t="s">
        <v>451</v>
      </c>
      <c r="M546" s="319" t="s">
        <v>489</v>
      </c>
      <c r="N546" s="319" t="s">
        <v>2972</v>
      </c>
      <c r="O546" s="319" t="s">
        <v>1960</v>
      </c>
      <c r="P546" s="319">
        <v>107</v>
      </c>
      <c r="Q546" s="319" t="s">
        <v>2766</v>
      </c>
      <c r="R546" s="320">
        <v>10056568</v>
      </c>
      <c r="S546" s="321">
        <v>43536</v>
      </c>
      <c r="T546" s="321">
        <v>43538</v>
      </c>
      <c r="U546" s="321">
        <v>43601</v>
      </c>
      <c r="V546" s="319" t="s">
        <v>425</v>
      </c>
      <c r="W546" s="319" t="s">
        <v>2767</v>
      </c>
      <c r="X546" s="319">
        <v>4</v>
      </c>
      <c r="Y546" s="319" t="s">
        <v>173</v>
      </c>
      <c r="Z546" s="319" t="s">
        <v>173</v>
      </c>
      <c r="AA546" s="319" t="s">
        <v>173</v>
      </c>
      <c r="AB546" s="319">
        <v>4</v>
      </c>
      <c r="AC546" s="319" t="s">
        <v>170</v>
      </c>
      <c r="AD546" s="319">
        <v>2</v>
      </c>
      <c r="AE546" s="319" t="s">
        <v>173</v>
      </c>
      <c r="AF546" s="319" t="s">
        <v>427</v>
      </c>
      <c r="AG546" s="319" t="s">
        <v>172</v>
      </c>
      <c r="AH546" s="319" t="s">
        <v>479</v>
      </c>
      <c r="AI546" s="319" t="s">
        <v>479</v>
      </c>
      <c r="AJ546" s="319" t="s">
        <v>479</v>
      </c>
      <c r="AK546" s="319" t="s">
        <v>190</v>
      </c>
      <c r="AL546" s="319" t="s">
        <v>190</v>
      </c>
      <c r="AM546" s="319" t="s">
        <v>479</v>
      </c>
      <c r="AN546" s="319" t="s">
        <v>190</v>
      </c>
      <c r="AO546" s="319" t="s">
        <v>479</v>
      </c>
      <c r="AP546" s="319" t="s">
        <v>191</v>
      </c>
      <c r="AQ546" s="319" t="s">
        <v>191</v>
      </c>
      <c r="AR546" s="319" t="s">
        <v>190</v>
      </c>
      <c r="AS546" s="319" t="s">
        <v>190</v>
      </c>
      <c r="AT546" s="319" t="s">
        <v>190</v>
      </c>
      <c r="AU546" s="319" t="s">
        <v>191</v>
      </c>
      <c r="AV546" s="319" t="s">
        <v>190</v>
      </c>
      <c r="AW546" s="319" t="s">
        <v>190</v>
      </c>
      <c r="AX546" s="319" t="s">
        <v>428</v>
      </c>
      <c r="AY546" s="319" t="s">
        <v>191</v>
      </c>
      <c r="AZ546" s="319" t="s">
        <v>190</v>
      </c>
      <c r="BA546" s="319" t="s">
        <v>191</v>
      </c>
      <c r="BB546" s="319" t="s">
        <v>428</v>
      </c>
      <c r="BC546" s="319" t="s">
        <v>428</v>
      </c>
      <c r="BD546" s="319" t="s">
        <v>428</v>
      </c>
      <c r="BE546" s="319" t="s">
        <v>428</v>
      </c>
      <c r="BF546" s="319" t="s">
        <v>190</v>
      </c>
      <c r="BG546" s="319" t="s">
        <v>428</v>
      </c>
      <c r="BH546" s="319" t="s">
        <v>190</v>
      </c>
      <c r="BI546" s="319" t="s">
        <v>190</v>
      </c>
      <c r="BJ546" s="319" t="s">
        <v>191</v>
      </c>
      <c r="BK546" s="319" t="s">
        <v>190</v>
      </c>
      <c r="BL546" s="319" t="s">
        <v>190</v>
      </c>
      <c r="BM546" s="319" t="s">
        <v>191</v>
      </c>
      <c r="BN546" s="319" t="s">
        <v>191</v>
      </c>
      <c r="BO546" s="319" t="s">
        <v>190</v>
      </c>
      <c r="BP546" s="319" t="s">
        <v>190</v>
      </c>
      <c r="BQ546" s="319" t="s">
        <v>190</v>
      </c>
      <c r="BR546" s="319" t="s">
        <v>191</v>
      </c>
      <c r="BS546" s="319" t="s">
        <v>190</v>
      </c>
      <c r="BT546" s="319" t="s">
        <v>190</v>
      </c>
      <c r="BU546" s="319" t="s">
        <v>190</v>
      </c>
      <c r="BV546" s="319" t="s">
        <v>191</v>
      </c>
      <c r="BW546" s="319" t="s">
        <v>190</v>
      </c>
      <c r="BX546" s="319" t="s">
        <v>191</v>
      </c>
      <c r="BY546" s="319" t="s">
        <v>190</v>
      </c>
      <c r="BZ546" s="319" t="s">
        <v>190</v>
      </c>
      <c r="CA546" s="319" t="s">
        <v>190</v>
      </c>
      <c r="CB546" s="319" t="s">
        <v>190</v>
      </c>
      <c r="CC546" s="319" t="s">
        <v>190</v>
      </c>
      <c r="CD546" s="319" t="s">
        <v>191</v>
      </c>
      <c r="CE546" s="319" t="s">
        <v>190</v>
      </c>
      <c r="CF546" s="319" t="s">
        <v>190</v>
      </c>
      <c r="CG546" s="319" t="s">
        <v>190</v>
      </c>
      <c r="CH546" s="319" t="s">
        <v>190</v>
      </c>
      <c r="CI546" s="319" t="s">
        <v>190</v>
      </c>
      <c r="CJ546" s="319" t="s">
        <v>190</v>
      </c>
      <c r="CK546" s="319" t="s">
        <v>191</v>
      </c>
      <c r="CL546" s="319" t="s">
        <v>191</v>
      </c>
      <c r="CM546" s="319" t="s">
        <v>191</v>
      </c>
      <c r="CN546" s="319" t="s">
        <v>428</v>
      </c>
      <c r="CO546" s="319" t="s">
        <v>428</v>
      </c>
      <c r="CP546" s="319" t="s">
        <v>428</v>
      </c>
      <c r="CQ546" s="319" t="s">
        <v>191</v>
      </c>
      <c r="CR546" s="319" t="s">
        <v>190</v>
      </c>
      <c r="CS546" s="319" t="s">
        <v>191</v>
      </c>
      <c r="CT546" s="319" t="s">
        <v>190</v>
      </c>
      <c r="CU546" s="319" t="s">
        <v>190</v>
      </c>
      <c r="CV546" s="319" t="s">
        <v>190</v>
      </c>
      <c r="CW546" s="319" t="s">
        <v>190</v>
      </c>
      <c r="CX546" s="319" t="s">
        <v>190</v>
      </c>
      <c r="CY546" s="319" t="s">
        <v>190</v>
      </c>
      <c r="CZ546" s="319" t="s">
        <v>190</v>
      </c>
      <c r="DA546" s="319" t="s">
        <v>190</v>
      </c>
      <c r="DB546" s="319" t="s">
        <v>190</v>
      </c>
      <c r="DC546" s="319" t="s">
        <v>190</v>
      </c>
      <c r="DD546" s="319" t="s">
        <v>190</v>
      </c>
      <c r="DE546" s="319" t="s">
        <v>190</v>
      </c>
      <c r="DF546" s="319" t="s">
        <v>190</v>
      </c>
      <c r="DG546" s="319" t="s">
        <v>190</v>
      </c>
      <c r="DH546" s="319" t="s">
        <v>190</v>
      </c>
      <c r="DI546" s="319" t="s">
        <v>190</v>
      </c>
      <c r="DJ546" s="319" t="s">
        <v>190</v>
      </c>
      <c r="DK546" s="319" t="s">
        <v>190</v>
      </c>
      <c r="DL546" s="319" t="s">
        <v>190</v>
      </c>
      <c r="DM546" s="319" t="s">
        <v>190</v>
      </c>
      <c r="DN546" s="319" t="s">
        <v>190</v>
      </c>
      <c r="DO546" s="319" t="s">
        <v>190</v>
      </c>
      <c r="DP546" s="319" t="s">
        <v>190</v>
      </c>
      <c r="DQ546" s="319" t="s">
        <v>190</v>
      </c>
      <c r="DR546" s="319" t="s">
        <v>190</v>
      </c>
      <c r="DS546" s="319" t="s">
        <v>190</v>
      </c>
      <c r="DT546" s="319" t="s">
        <v>190</v>
      </c>
      <c r="DU546" s="319" t="s">
        <v>190</v>
      </c>
      <c r="DV546" s="319" t="s">
        <v>173</v>
      </c>
      <c r="DW546" s="319" t="s">
        <v>190</v>
      </c>
      <c r="DX546" s="319" t="s">
        <v>190</v>
      </c>
      <c r="DY546" s="319" t="s">
        <v>190</v>
      </c>
      <c r="DZ546" s="319" t="s">
        <v>190</v>
      </c>
      <c r="EA546" s="319" t="s">
        <v>190</v>
      </c>
      <c r="EB546" s="319" t="s">
        <v>190</v>
      </c>
      <c r="EC546" s="319" t="s">
        <v>428</v>
      </c>
      <c r="ED546" s="319" t="s">
        <v>190</v>
      </c>
      <c r="EE546" s="319" t="s">
        <v>190</v>
      </c>
      <c r="EF546" s="319" t="s">
        <v>190</v>
      </c>
      <c r="EG546" s="319" t="s">
        <v>190</v>
      </c>
      <c r="EH546" s="319" t="s">
        <v>190</v>
      </c>
      <c r="EI546" s="319" t="s">
        <v>190</v>
      </c>
      <c r="EJ546" s="319" t="s">
        <v>190</v>
      </c>
      <c r="EK546" s="319" t="s">
        <v>190</v>
      </c>
      <c r="EL546" s="319" t="s">
        <v>190</v>
      </c>
      <c r="EM546" s="319" t="s">
        <v>190</v>
      </c>
      <c r="EN546" s="319" t="s">
        <v>190</v>
      </c>
      <c r="EO546" s="319" t="s">
        <v>190</v>
      </c>
      <c r="EP546" s="319" t="s">
        <v>190</v>
      </c>
      <c r="EQ546" s="319" t="s">
        <v>190</v>
      </c>
      <c r="ER546" s="319" t="s">
        <v>190</v>
      </c>
      <c r="ES546" s="319" t="s">
        <v>190</v>
      </c>
      <c r="ET546" s="319" t="s">
        <v>190</v>
      </c>
      <c r="EU546" s="319" t="s">
        <v>190</v>
      </c>
      <c r="EV546" s="319" t="s">
        <v>190</v>
      </c>
      <c r="EW546" s="319" t="s">
        <v>190</v>
      </c>
      <c r="EX546" s="319" t="s">
        <v>190</v>
      </c>
      <c r="EY546" s="319" t="s">
        <v>190</v>
      </c>
      <c r="EZ546" s="319" t="s">
        <v>190</v>
      </c>
      <c r="FA546" s="319" t="s">
        <v>190</v>
      </c>
      <c r="FB546" s="319" t="s">
        <v>190</v>
      </c>
      <c r="FC546" s="319" t="s">
        <v>190</v>
      </c>
      <c r="FD546" s="319" t="s">
        <v>190</v>
      </c>
      <c r="FE546" s="319" t="s">
        <v>190</v>
      </c>
      <c r="FF546" s="319" t="s">
        <v>190</v>
      </c>
      <c r="FG546" s="319" t="s">
        <v>190</v>
      </c>
      <c r="FH546" s="319" t="s">
        <v>190</v>
      </c>
      <c r="FI546" s="319" t="s">
        <v>190</v>
      </c>
      <c r="FJ546" s="319" t="s">
        <v>190</v>
      </c>
      <c r="FK546" s="319" t="s">
        <v>190</v>
      </c>
      <c r="FL546" s="319" t="s">
        <v>190</v>
      </c>
      <c r="FM546" s="319" t="s">
        <v>190</v>
      </c>
      <c r="FN546" s="319" t="s">
        <v>190</v>
      </c>
      <c r="FO546" s="319" t="s">
        <v>428</v>
      </c>
      <c r="FP546" s="319" t="s">
        <v>190</v>
      </c>
      <c r="FQ546" s="319" t="s">
        <v>190</v>
      </c>
      <c r="FR546" s="319" t="s">
        <v>190</v>
      </c>
      <c r="FS546" s="319" t="s">
        <v>428</v>
      </c>
      <c r="FT546" s="319" t="s">
        <v>190</v>
      </c>
      <c r="FU546" s="319" t="s">
        <v>190</v>
      </c>
      <c r="FV546" s="319" t="s">
        <v>190</v>
      </c>
      <c r="FW546" s="319" t="s">
        <v>190</v>
      </c>
      <c r="FX546" s="319" t="s">
        <v>190</v>
      </c>
      <c r="FY546" s="319" t="s">
        <v>190</v>
      </c>
      <c r="FZ546" s="319" t="s">
        <v>190</v>
      </c>
      <c r="GA546" s="319" t="s">
        <v>190</v>
      </c>
      <c r="GB546" s="319" t="s">
        <v>190</v>
      </c>
      <c r="GC546" s="319" t="s">
        <v>190</v>
      </c>
      <c r="GD546" s="319" t="s">
        <v>190</v>
      </c>
      <c r="GE546" s="319" t="s">
        <v>190</v>
      </c>
      <c r="GF546" s="319" t="s">
        <v>190</v>
      </c>
      <c r="GG546" s="319" t="s">
        <v>190</v>
      </c>
      <c r="GH546" s="319" t="s">
        <v>190</v>
      </c>
      <c r="GI546" s="319" t="s">
        <v>190</v>
      </c>
      <c r="GJ546" s="319" t="s">
        <v>190</v>
      </c>
      <c r="GK546" s="319" t="s">
        <v>428</v>
      </c>
      <c r="GL546" s="319" t="s">
        <v>191</v>
      </c>
      <c r="GM546" s="319" t="s">
        <v>190</v>
      </c>
      <c r="GN546" s="319" t="s">
        <v>191</v>
      </c>
      <c r="GO546" s="319" t="s">
        <v>190</v>
      </c>
      <c r="GP546" s="319" t="s">
        <v>190</v>
      </c>
      <c r="GQ546" s="319" t="s">
        <v>428</v>
      </c>
      <c r="GR546" s="319" t="s">
        <v>190</v>
      </c>
      <c r="GS546" s="319" t="s">
        <v>190</v>
      </c>
      <c r="GT546" s="319" t="s">
        <v>428</v>
      </c>
      <c r="GU546" s="319" t="s">
        <v>428</v>
      </c>
      <c r="GV546" s="319" t="s">
        <v>428</v>
      </c>
      <c r="GW546" s="319" t="s">
        <v>190</v>
      </c>
      <c r="GX546" s="319" t="s">
        <v>190</v>
      </c>
      <c r="GY546" s="319" t="s">
        <v>190</v>
      </c>
      <c r="GZ546" s="319" t="s">
        <v>428</v>
      </c>
      <c r="HA546" s="319" t="s">
        <v>190</v>
      </c>
      <c r="HB546" s="319" t="s">
        <v>190</v>
      </c>
      <c r="HC546" s="319" t="s">
        <v>190</v>
      </c>
      <c r="HD546" s="319" t="s">
        <v>191</v>
      </c>
      <c r="HE546" s="319" t="s">
        <v>190</v>
      </c>
      <c r="HF546" s="319" t="s">
        <v>428</v>
      </c>
      <c r="HG546" s="319" t="s">
        <v>190</v>
      </c>
      <c r="HH546" s="319" t="s">
        <v>190</v>
      </c>
      <c r="HI546" s="319" t="s">
        <v>190</v>
      </c>
      <c r="HJ546" s="319" t="s">
        <v>191</v>
      </c>
      <c r="HK546" s="319" t="s">
        <v>190</v>
      </c>
      <c r="HL546" s="319" t="s">
        <v>428</v>
      </c>
      <c r="HM546" s="319" t="s">
        <v>428</v>
      </c>
      <c r="HN546" s="319" t="s">
        <v>428</v>
      </c>
      <c r="HO546" s="319" t="s">
        <v>428</v>
      </c>
      <c r="HP546" s="319" t="s">
        <v>190</v>
      </c>
      <c r="HQ546" s="319" t="s">
        <v>190</v>
      </c>
      <c r="HR546" s="319" t="s">
        <v>190</v>
      </c>
      <c r="HS546" s="319" t="s">
        <v>190</v>
      </c>
      <c r="HT546" s="319" t="s">
        <v>190</v>
      </c>
      <c r="HU546" s="319" t="s">
        <v>190</v>
      </c>
      <c r="HV546" s="319" t="s">
        <v>190</v>
      </c>
      <c r="HW546" s="319" t="s">
        <v>190</v>
      </c>
      <c r="HX546" s="319" t="s">
        <v>190</v>
      </c>
      <c r="HY546" s="319" t="s">
        <v>190</v>
      </c>
      <c r="HZ546" s="319" t="s">
        <v>190</v>
      </c>
      <c r="IA546" s="319" t="s">
        <v>190</v>
      </c>
      <c r="IB546" s="319" t="s">
        <v>190</v>
      </c>
      <c r="IC546" s="319" t="s">
        <v>190</v>
      </c>
      <c r="ID546" s="319" t="s">
        <v>190</v>
      </c>
      <c r="IE546" s="319" t="s">
        <v>190</v>
      </c>
      <c r="IF546" s="319" t="s">
        <v>191</v>
      </c>
      <c r="IG546" s="319" t="s">
        <v>191</v>
      </c>
      <c r="IH546" s="319" t="s">
        <v>191</v>
      </c>
      <c r="II546" s="319" t="s">
        <v>191</v>
      </c>
      <c r="IJ546" s="319">
        <v>10026071</v>
      </c>
      <c r="IK546" s="321">
        <v>42892</v>
      </c>
      <c r="IL546" s="321">
        <v>42894</v>
      </c>
      <c r="IM546" s="321">
        <v>43013</v>
      </c>
      <c r="IN546" s="319">
        <v>3</v>
      </c>
      <c r="IO546" s="319">
        <v>10119774</v>
      </c>
      <c r="IP546" s="319" t="s">
        <v>985</v>
      </c>
      <c r="IQ546" s="321">
        <v>43734</v>
      </c>
      <c r="IR546" s="320" t="s">
        <v>2771</v>
      </c>
      <c r="IS546" s="322">
        <v>43773</v>
      </c>
      <c r="IT546" s="319" t="s">
        <v>166</v>
      </c>
    </row>
    <row r="547" spans="1:254" s="271" customFormat="1" x14ac:dyDescent="0.25">
      <c r="A547" s="318" t="str">
        <f>HYPERLINK("http://www.ofsted.gov.uk/inspection-reports/find-inspection-report/provider/ELS/135604 ","Ofsted School Webpage")</f>
        <v>Ofsted School Webpage</v>
      </c>
      <c r="B547" s="319">
        <v>135604</v>
      </c>
      <c r="C547" s="319">
        <v>8256040</v>
      </c>
      <c r="D547" s="319" t="s">
        <v>1961</v>
      </c>
      <c r="E547" s="319" t="s">
        <v>168</v>
      </c>
      <c r="F547" s="319" t="s">
        <v>81</v>
      </c>
      <c r="G547" s="319" t="s">
        <v>81</v>
      </c>
      <c r="H547" s="319" t="s">
        <v>81</v>
      </c>
      <c r="I547" s="319" t="s">
        <v>78</v>
      </c>
      <c r="J547" s="319" t="s">
        <v>424</v>
      </c>
      <c r="K547" s="319" t="s">
        <v>514</v>
      </c>
      <c r="L547" s="319" t="s">
        <v>514</v>
      </c>
      <c r="M547" s="319" t="s">
        <v>632</v>
      </c>
      <c r="N547" s="319" t="s">
        <v>2908</v>
      </c>
      <c r="O547" s="319" t="s">
        <v>1962</v>
      </c>
      <c r="P547" s="319">
        <v>14</v>
      </c>
      <c r="Q547" s="319" t="s">
        <v>429</v>
      </c>
      <c r="R547" s="320">
        <v>10006103</v>
      </c>
      <c r="S547" s="321">
        <v>42864</v>
      </c>
      <c r="T547" s="321">
        <v>42866</v>
      </c>
      <c r="U547" s="321">
        <v>42887</v>
      </c>
      <c r="V547" s="319" t="s">
        <v>425</v>
      </c>
      <c r="W547" s="319" t="s">
        <v>2767</v>
      </c>
      <c r="X547" s="319">
        <v>2</v>
      </c>
      <c r="Y547" s="319" t="s">
        <v>173</v>
      </c>
      <c r="Z547" s="319" t="s">
        <v>173</v>
      </c>
      <c r="AA547" s="319" t="s">
        <v>173</v>
      </c>
      <c r="AB547" s="319">
        <v>2</v>
      </c>
      <c r="AC547" s="319" t="s">
        <v>169</v>
      </c>
      <c r="AD547" s="319" t="s">
        <v>173</v>
      </c>
      <c r="AE547" s="319" t="s">
        <v>173</v>
      </c>
      <c r="AF547" s="319" t="s">
        <v>173</v>
      </c>
      <c r="AG547" s="319" t="s">
        <v>171</v>
      </c>
      <c r="AH547" s="319" t="s">
        <v>190</v>
      </c>
      <c r="AI547" s="319" t="s">
        <v>190</v>
      </c>
      <c r="AJ547" s="319" t="s">
        <v>190</v>
      </c>
      <c r="AK547" s="319" t="s">
        <v>190</v>
      </c>
      <c r="AL547" s="319" t="s">
        <v>190</v>
      </c>
      <c r="AM547" s="319" t="s">
        <v>190</v>
      </c>
      <c r="AN547" s="319" t="s">
        <v>190</v>
      </c>
      <c r="AO547" s="319" t="s">
        <v>190</v>
      </c>
      <c r="AP547" s="319" t="s">
        <v>190</v>
      </c>
      <c r="AQ547" s="319" t="s">
        <v>190</v>
      </c>
      <c r="AR547" s="319" t="s">
        <v>190</v>
      </c>
      <c r="AS547" s="319" t="s">
        <v>190</v>
      </c>
      <c r="AT547" s="319" t="s">
        <v>190</v>
      </c>
      <c r="AU547" s="319" t="s">
        <v>190</v>
      </c>
      <c r="AV547" s="319" t="s">
        <v>190</v>
      </c>
      <c r="AW547" s="319" t="s">
        <v>190</v>
      </c>
      <c r="AX547" s="319" t="s">
        <v>429</v>
      </c>
      <c r="AY547" s="319" t="s">
        <v>190</v>
      </c>
      <c r="AZ547" s="319" t="s">
        <v>190</v>
      </c>
      <c r="BA547" s="319" t="s">
        <v>190</v>
      </c>
      <c r="BB547" s="319" t="s">
        <v>190</v>
      </c>
      <c r="BC547" s="319" t="s">
        <v>190</v>
      </c>
      <c r="BD547" s="319" t="s">
        <v>190</v>
      </c>
      <c r="BE547" s="319" t="s">
        <v>190</v>
      </c>
      <c r="BF547" s="319" t="s">
        <v>429</v>
      </c>
      <c r="BG547" s="319" t="s">
        <v>429</v>
      </c>
      <c r="BH547" s="319" t="s">
        <v>190</v>
      </c>
      <c r="BI547" s="319" t="s">
        <v>190</v>
      </c>
      <c r="BJ547" s="319" t="s">
        <v>190</v>
      </c>
      <c r="BK547" s="319" t="s">
        <v>190</v>
      </c>
      <c r="BL547" s="319" t="s">
        <v>190</v>
      </c>
      <c r="BM547" s="319" t="s">
        <v>190</v>
      </c>
      <c r="BN547" s="319" t="s">
        <v>190</v>
      </c>
      <c r="BO547" s="319" t="s">
        <v>190</v>
      </c>
      <c r="BP547" s="319" t="s">
        <v>190</v>
      </c>
      <c r="BQ547" s="319" t="s">
        <v>190</v>
      </c>
      <c r="BR547" s="319" t="s">
        <v>190</v>
      </c>
      <c r="BS547" s="319" t="s">
        <v>190</v>
      </c>
      <c r="BT547" s="319" t="s">
        <v>190</v>
      </c>
      <c r="BU547" s="319" t="s">
        <v>190</v>
      </c>
      <c r="BV547" s="319" t="s">
        <v>190</v>
      </c>
      <c r="BW547" s="319" t="s">
        <v>190</v>
      </c>
      <c r="BX547" s="319" t="s">
        <v>190</v>
      </c>
      <c r="BY547" s="319" t="s">
        <v>190</v>
      </c>
      <c r="BZ547" s="319" t="s">
        <v>190</v>
      </c>
      <c r="CA547" s="319" t="s">
        <v>190</v>
      </c>
      <c r="CB547" s="319" t="s">
        <v>190</v>
      </c>
      <c r="CC547" s="319" t="s">
        <v>190</v>
      </c>
      <c r="CD547" s="319" t="s">
        <v>190</v>
      </c>
      <c r="CE547" s="319" t="s">
        <v>190</v>
      </c>
      <c r="CF547" s="319" t="s">
        <v>190</v>
      </c>
      <c r="CG547" s="319" t="s">
        <v>190</v>
      </c>
      <c r="CH547" s="319" t="s">
        <v>190</v>
      </c>
      <c r="CI547" s="319" t="s">
        <v>190</v>
      </c>
      <c r="CJ547" s="319" t="s">
        <v>190</v>
      </c>
      <c r="CK547" s="319" t="s">
        <v>190</v>
      </c>
      <c r="CL547" s="319" t="s">
        <v>190</v>
      </c>
      <c r="CM547" s="319" t="s">
        <v>190</v>
      </c>
      <c r="CN547" s="319" t="s">
        <v>429</v>
      </c>
      <c r="CO547" s="319" t="s">
        <v>429</v>
      </c>
      <c r="CP547" s="319" t="s">
        <v>429</v>
      </c>
      <c r="CQ547" s="319" t="s">
        <v>190</v>
      </c>
      <c r="CR547" s="319" t="s">
        <v>190</v>
      </c>
      <c r="CS547" s="319" t="s">
        <v>190</v>
      </c>
      <c r="CT547" s="319" t="s">
        <v>190</v>
      </c>
      <c r="CU547" s="319" t="s">
        <v>190</v>
      </c>
      <c r="CV547" s="319" t="s">
        <v>190</v>
      </c>
      <c r="CW547" s="319" t="s">
        <v>190</v>
      </c>
      <c r="CX547" s="319" t="s">
        <v>190</v>
      </c>
      <c r="CY547" s="319" t="s">
        <v>190</v>
      </c>
      <c r="CZ547" s="319" t="s">
        <v>190</v>
      </c>
      <c r="DA547" s="319" t="s">
        <v>190</v>
      </c>
      <c r="DB547" s="319" t="s">
        <v>190</v>
      </c>
      <c r="DC547" s="319" t="s">
        <v>190</v>
      </c>
      <c r="DD547" s="319" t="s">
        <v>190</v>
      </c>
      <c r="DE547" s="319" t="s">
        <v>190</v>
      </c>
      <c r="DF547" s="319" t="s">
        <v>190</v>
      </c>
      <c r="DG547" s="319" t="s">
        <v>190</v>
      </c>
      <c r="DH547" s="319" t="s">
        <v>190</v>
      </c>
      <c r="DI547" s="319" t="s">
        <v>190</v>
      </c>
      <c r="DJ547" s="319" t="s">
        <v>190</v>
      </c>
      <c r="DK547" s="319" t="s">
        <v>190</v>
      </c>
      <c r="DL547" s="319" t="s">
        <v>190</v>
      </c>
      <c r="DM547" s="319" t="s">
        <v>190</v>
      </c>
      <c r="DN547" s="319" t="s">
        <v>429</v>
      </c>
      <c r="DO547" s="319" t="s">
        <v>190</v>
      </c>
      <c r="DP547" s="319" t="s">
        <v>190</v>
      </c>
      <c r="DQ547" s="319" t="s">
        <v>190</v>
      </c>
      <c r="DR547" s="319" t="s">
        <v>190</v>
      </c>
      <c r="DS547" s="319" t="s">
        <v>190</v>
      </c>
      <c r="DT547" s="319" t="s">
        <v>190</v>
      </c>
      <c r="DU547" s="319" t="s">
        <v>190</v>
      </c>
      <c r="DV547" s="319" t="s">
        <v>173</v>
      </c>
      <c r="DW547" s="319" t="s">
        <v>190</v>
      </c>
      <c r="DX547" s="319" t="s">
        <v>190</v>
      </c>
      <c r="DY547" s="319" t="s">
        <v>190</v>
      </c>
      <c r="DZ547" s="319" t="s">
        <v>190</v>
      </c>
      <c r="EA547" s="319" t="s">
        <v>190</v>
      </c>
      <c r="EB547" s="319" t="s">
        <v>190</v>
      </c>
      <c r="EC547" s="319" t="s">
        <v>429</v>
      </c>
      <c r="ED547" s="319" t="s">
        <v>190</v>
      </c>
      <c r="EE547" s="319" t="s">
        <v>190</v>
      </c>
      <c r="EF547" s="319" t="s">
        <v>190</v>
      </c>
      <c r="EG547" s="319" t="s">
        <v>190</v>
      </c>
      <c r="EH547" s="319" t="s">
        <v>190</v>
      </c>
      <c r="EI547" s="319" t="s">
        <v>190</v>
      </c>
      <c r="EJ547" s="319" t="s">
        <v>190</v>
      </c>
      <c r="EK547" s="319" t="s">
        <v>190</v>
      </c>
      <c r="EL547" s="319" t="s">
        <v>190</v>
      </c>
      <c r="EM547" s="319" t="s">
        <v>190</v>
      </c>
      <c r="EN547" s="319" t="s">
        <v>190</v>
      </c>
      <c r="EO547" s="319" t="s">
        <v>190</v>
      </c>
      <c r="EP547" s="319" t="s">
        <v>190</v>
      </c>
      <c r="EQ547" s="319" t="s">
        <v>190</v>
      </c>
      <c r="ER547" s="319" t="s">
        <v>190</v>
      </c>
      <c r="ES547" s="319" t="s">
        <v>190</v>
      </c>
      <c r="ET547" s="319" t="s">
        <v>190</v>
      </c>
      <c r="EU547" s="319" t="s">
        <v>190</v>
      </c>
      <c r="EV547" s="319" t="s">
        <v>190</v>
      </c>
      <c r="EW547" s="319" t="s">
        <v>190</v>
      </c>
      <c r="EX547" s="319" t="s">
        <v>190</v>
      </c>
      <c r="EY547" s="319" t="s">
        <v>190</v>
      </c>
      <c r="EZ547" s="319" t="s">
        <v>190</v>
      </c>
      <c r="FA547" s="319" t="s">
        <v>190</v>
      </c>
      <c r="FB547" s="319" t="s">
        <v>190</v>
      </c>
      <c r="FC547" s="319" t="s">
        <v>190</v>
      </c>
      <c r="FD547" s="319" t="s">
        <v>190</v>
      </c>
      <c r="FE547" s="319" t="s">
        <v>190</v>
      </c>
      <c r="FF547" s="319" t="s">
        <v>190</v>
      </c>
      <c r="FG547" s="319" t="s">
        <v>190</v>
      </c>
      <c r="FH547" s="319" t="s">
        <v>190</v>
      </c>
      <c r="FI547" s="319" t="s">
        <v>190</v>
      </c>
      <c r="FJ547" s="319" t="s">
        <v>190</v>
      </c>
      <c r="FK547" s="319" t="s">
        <v>190</v>
      </c>
      <c r="FL547" s="319" t="s">
        <v>190</v>
      </c>
      <c r="FM547" s="319" t="s">
        <v>190</v>
      </c>
      <c r="FN547" s="319" t="s">
        <v>190</v>
      </c>
      <c r="FO547" s="319" t="s">
        <v>190</v>
      </c>
      <c r="FP547" s="319" t="s">
        <v>190</v>
      </c>
      <c r="FQ547" s="319" t="s">
        <v>190</v>
      </c>
      <c r="FR547" s="319" t="s">
        <v>190</v>
      </c>
      <c r="FS547" s="319" t="s">
        <v>429</v>
      </c>
      <c r="FT547" s="319" t="s">
        <v>190</v>
      </c>
      <c r="FU547" s="319" t="s">
        <v>190</v>
      </c>
      <c r="FV547" s="319" t="s">
        <v>190</v>
      </c>
      <c r="FW547" s="319" t="s">
        <v>190</v>
      </c>
      <c r="FX547" s="319" t="s">
        <v>190</v>
      </c>
      <c r="FY547" s="319" t="s">
        <v>190</v>
      </c>
      <c r="FZ547" s="319" t="s">
        <v>190</v>
      </c>
      <c r="GA547" s="319" t="s">
        <v>190</v>
      </c>
      <c r="GB547" s="319" t="s">
        <v>190</v>
      </c>
      <c r="GC547" s="319" t="s">
        <v>190</v>
      </c>
      <c r="GD547" s="319" t="s">
        <v>190</v>
      </c>
      <c r="GE547" s="319" t="s">
        <v>190</v>
      </c>
      <c r="GF547" s="319" t="s">
        <v>190</v>
      </c>
      <c r="GG547" s="319" t="s">
        <v>190</v>
      </c>
      <c r="GH547" s="319" t="s">
        <v>190</v>
      </c>
      <c r="GI547" s="319" t="s">
        <v>190</v>
      </c>
      <c r="GJ547" s="319" t="s">
        <v>190</v>
      </c>
      <c r="GK547" s="319" t="s">
        <v>429</v>
      </c>
      <c r="GL547" s="319" t="s">
        <v>190</v>
      </c>
      <c r="GM547" s="319" t="s">
        <v>190</v>
      </c>
      <c r="GN547" s="319" t="s">
        <v>190</v>
      </c>
      <c r="GO547" s="319" t="s">
        <v>190</v>
      </c>
      <c r="GP547" s="319" t="s">
        <v>190</v>
      </c>
      <c r="GQ547" s="319" t="s">
        <v>429</v>
      </c>
      <c r="GR547" s="319" t="s">
        <v>190</v>
      </c>
      <c r="GS547" s="319" t="s">
        <v>190</v>
      </c>
      <c r="GT547" s="319" t="s">
        <v>190</v>
      </c>
      <c r="GU547" s="319" t="s">
        <v>190</v>
      </c>
      <c r="GV547" s="319" t="s">
        <v>190</v>
      </c>
      <c r="GW547" s="319" t="s">
        <v>190</v>
      </c>
      <c r="GX547" s="319" t="s">
        <v>190</v>
      </c>
      <c r="GY547" s="319" t="s">
        <v>190</v>
      </c>
      <c r="GZ547" s="319" t="s">
        <v>429</v>
      </c>
      <c r="HA547" s="319" t="s">
        <v>190</v>
      </c>
      <c r="HB547" s="319" t="s">
        <v>190</v>
      </c>
      <c r="HC547" s="319" t="s">
        <v>190</v>
      </c>
      <c r="HD547" s="319" t="s">
        <v>190</v>
      </c>
      <c r="HE547" s="319" t="s">
        <v>190</v>
      </c>
      <c r="HF547" s="319" t="s">
        <v>190</v>
      </c>
      <c r="HG547" s="319" t="s">
        <v>190</v>
      </c>
      <c r="HH547" s="319" t="s">
        <v>190</v>
      </c>
      <c r="HI547" s="319" t="s">
        <v>190</v>
      </c>
      <c r="HJ547" s="319" t="s">
        <v>190</v>
      </c>
      <c r="HK547" s="319" t="s">
        <v>190</v>
      </c>
      <c r="HL547" s="319" t="s">
        <v>429</v>
      </c>
      <c r="HM547" s="319" t="s">
        <v>429</v>
      </c>
      <c r="HN547" s="319" t="s">
        <v>429</v>
      </c>
      <c r="HO547" s="319" t="s">
        <v>429</v>
      </c>
      <c r="HP547" s="319" t="s">
        <v>190</v>
      </c>
      <c r="HQ547" s="319" t="s">
        <v>190</v>
      </c>
      <c r="HR547" s="319" t="s">
        <v>190</v>
      </c>
      <c r="HS547" s="319" t="s">
        <v>190</v>
      </c>
      <c r="HT547" s="319" t="s">
        <v>190</v>
      </c>
      <c r="HU547" s="319" t="s">
        <v>190</v>
      </c>
      <c r="HV547" s="319" t="s">
        <v>190</v>
      </c>
      <c r="HW547" s="319" t="s">
        <v>190</v>
      </c>
      <c r="HX547" s="319" t="s">
        <v>190</v>
      </c>
      <c r="HY547" s="319" t="s">
        <v>190</v>
      </c>
      <c r="HZ547" s="319" t="s">
        <v>190</v>
      </c>
      <c r="IA547" s="319" t="s">
        <v>190</v>
      </c>
      <c r="IB547" s="319" t="s">
        <v>190</v>
      </c>
      <c r="IC547" s="319" t="s">
        <v>190</v>
      </c>
      <c r="ID547" s="319" t="s">
        <v>190</v>
      </c>
      <c r="IE547" s="319" t="s">
        <v>190</v>
      </c>
      <c r="IF547" s="319" t="s">
        <v>190</v>
      </c>
      <c r="IG547" s="319" t="s">
        <v>190</v>
      </c>
      <c r="IH547" s="319" t="s">
        <v>190</v>
      </c>
      <c r="II547" s="319" t="s">
        <v>190</v>
      </c>
      <c r="IJ547" s="319" t="s">
        <v>3313</v>
      </c>
      <c r="IK547" s="321">
        <v>41191</v>
      </c>
      <c r="IL547" s="321">
        <v>41192</v>
      </c>
      <c r="IM547" s="321">
        <v>41213</v>
      </c>
      <c r="IN547" s="319">
        <v>3</v>
      </c>
      <c r="IO547" s="319" t="s">
        <v>173</v>
      </c>
      <c r="IP547" s="319" t="s">
        <v>173</v>
      </c>
      <c r="IQ547" s="321" t="s">
        <v>173</v>
      </c>
      <c r="IR547" s="320" t="s">
        <v>173</v>
      </c>
      <c r="IS547" s="322" t="s">
        <v>173</v>
      </c>
      <c r="IT547" s="319" t="s">
        <v>173</v>
      </c>
    </row>
    <row r="548" spans="1:254" s="271" customFormat="1" x14ac:dyDescent="0.25">
      <c r="A548" s="318" t="str">
        <f>HYPERLINK("http://www.ofsted.gov.uk/inspection-reports/find-inspection-report/provider/ELS/135608 ","Ofsted School Webpage")</f>
        <v>Ofsted School Webpage</v>
      </c>
      <c r="B548" s="319">
        <v>135608</v>
      </c>
      <c r="C548" s="319">
        <v>3306129</v>
      </c>
      <c r="D548" s="319" t="s">
        <v>1115</v>
      </c>
      <c r="E548" s="319" t="s">
        <v>167</v>
      </c>
      <c r="F548" s="319" t="s">
        <v>81</v>
      </c>
      <c r="G548" s="319" t="s">
        <v>59</v>
      </c>
      <c r="H548" s="319" t="s">
        <v>59</v>
      </c>
      <c r="I548" s="319" t="s">
        <v>59</v>
      </c>
      <c r="J548" s="319" t="s">
        <v>424</v>
      </c>
      <c r="K548" s="319" t="s">
        <v>437</v>
      </c>
      <c r="L548" s="319" t="s">
        <v>437</v>
      </c>
      <c r="M548" s="319" t="s">
        <v>813</v>
      </c>
      <c r="N548" s="319" t="s">
        <v>3314</v>
      </c>
      <c r="O548" s="319" t="s">
        <v>1116</v>
      </c>
      <c r="P548" s="319">
        <v>8</v>
      </c>
      <c r="Q548" s="319" t="s">
        <v>2766</v>
      </c>
      <c r="R548" s="320">
        <v>10006093</v>
      </c>
      <c r="S548" s="321">
        <v>43011</v>
      </c>
      <c r="T548" s="321">
        <v>43013</v>
      </c>
      <c r="U548" s="321">
        <v>43045</v>
      </c>
      <c r="V548" s="319" t="s">
        <v>425</v>
      </c>
      <c r="W548" s="319" t="s">
        <v>2767</v>
      </c>
      <c r="X548" s="319">
        <v>2</v>
      </c>
      <c r="Y548" s="319" t="s">
        <v>173</v>
      </c>
      <c r="Z548" s="319" t="s">
        <v>173</v>
      </c>
      <c r="AA548" s="319" t="s">
        <v>173</v>
      </c>
      <c r="AB548" s="319">
        <v>2</v>
      </c>
      <c r="AC548" s="319" t="s">
        <v>169</v>
      </c>
      <c r="AD548" s="319" t="s">
        <v>173</v>
      </c>
      <c r="AE548" s="319" t="s">
        <v>173</v>
      </c>
      <c r="AF548" s="319" t="s">
        <v>173</v>
      </c>
      <c r="AG548" s="319" t="s">
        <v>171</v>
      </c>
      <c r="AH548" s="319" t="s">
        <v>190</v>
      </c>
      <c r="AI548" s="319" t="s">
        <v>190</v>
      </c>
      <c r="AJ548" s="319" t="s">
        <v>190</v>
      </c>
      <c r="AK548" s="319" t="s">
        <v>190</v>
      </c>
      <c r="AL548" s="319" t="s">
        <v>190</v>
      </c>
      <c r="AM548" s="319" t="s">
        <v>190</v>
      </c>
      <c r="AN548" s="319" t="s">
        <v>190</v>
      </c>
      <c r="AO548" s="319" t="s">
        <v>190</v>
      </c>
      <c r="AP548" s="319" t="s">
        <v>190</v>
      </c>
      <c r="AQ548" s="319" t="s">
        <v>190</v>
      </c>
      <c r="AR548" s="319" t="s">
        <v>190</v>
      </c>
      <c r="AS548" s="319" t="s">
        <v>190</v>
      </c>
      <c r="AT548" s="319" t="s">
        <v>190</v>
      </c>
      <c r="AU548" s="319" t="s">
        <v>190</v>
      </c>
      <c r="AV548" s="319" t="s">
        <v>190</v>
      </c>
      <c r="AW548" s="319" t="s">
        <v>190</v>
      </c>
      <c r="AX548" s="319" t="s">
        <v>429</v>
      </c>
      <c r="AY548" s="319" t="s">
        <v>190</v>
      </c>
      <c r="AZ548" s="319" t="s">
        <v>190</v>
      </c>
      <c r="BA548" s="319" t="s">
        <v>190</v>
      </c>
      <c r="BB548" s="319" t="s">
        <v>190</v>
      </c>
      <c r="BC548" s="319" t="s">
        <v>190</v>
      </c>
      <c r="BD548" s="319" t="s">
        <v>190</v>
      </c>
      <c r="BE548" s="319" t="s">
        <v>190</v>
      </c>
      <c r="BF548" s="319" t="s">
        <v>429</v>
      </c>
      <c r="BG548" s="319" t="s">
        <v>429</v>
      </c>
      <c r="BH548" s="319" t="s">
        <v>190</v>
      </c>
      <c r="BI548" s="319" t="s">
        <v>190</v>
      </c>
      <c r="BJ548" s="319" t="s">
        <v>190</v>
      </c>
      <c r="BK548" s="319" t="s">
        <v>190</v>
      </c>
      <c r="BL548" s="319" t="s">
        <v>190</v>
      </c>
      <c r="BM548" s="319" t="s">
        <v>190</v>
      </c>
      <c r="BN548" s="319" t="s">
        <v>190</v>
      </c>
      <c r="BO548" s="319" t="s">
        <v>190</v>
      </c>
      <c r="BP548" s="319" t="s">
        <v>190</v>
      </c>
      <c r="BQ548" s="319" t="s">
        <v>190</v>
      </c>
      <c r="BR548" s="319" t="s">
        <v>190</v>
      </c>
      <c r="BS548" s="319" t="s">
        <v>190</v>
      </c>
      <c r="BT548" s="319" t="s">
        <v>190</v>
      </c>
      <c r="BU548" s="319" t="s">
        <v>190</v>
      </c>
      <c r="BV548" s="319" t="s">
        <v>190</v>
      </c>
      <c r="BW548" s="319" t="s">
        <v>190</v>
      </c>
      <c r="BX548" s="319" t="s">
        <v>190</v>
      </c>
      <c r="BY548" s="319" t="s">
        <v>190</v>
      </c>
      <c r="BZ548" s="319" t="s">
        <v>190</v>
      </c>
      <c r="CA548" s="319" t="s">
        <v>190</v>
      </c>
      <c r="CB548" s="319" t="s">
        <v>190</v>
      </c>
      <c r="CC548" s="319" t="s">
        <v>190</v>
      </c>
      <c r="CD548" s="319" t="s">
        <v>190</v>
      </c>
      <c r="CE548" s="319" t="s">
        <v>190</v>
      </c>
      <c r="CF548" s="319" t="s">
        <v>190</v>
      </c>
      <c r="CG548" s="319" t="s">
        <v>190</v>
      </c>
      <c r="CH548" s="319" t="s">
        <v>190</v>
      </c>
      <c r="CI548" s="319" t="s">
        <v>190</v>
      </c>
      <c r="CJ548" s="319" t="s">
        <v>190</v>
      </c>
      <c r="CK548" s="319" t="s">
        <v>190</v>
      </c>
      <c r="CL548" s="319" t="s">
        <v>190</v>
      </c>
      <c r="CM548" s="319" t="s">
        <v>190</v>
      </c>
      <c r="CN548" s="319" t="s">
        <v>429</v>
      </c>
      <c r="CO548" s="319" t="s">
        <v>429</v>
      </c>
      <c r="CP548" s="319" t="s">
        <v>429</v>
      </c>
      <c r="CQ548" s="319" t="s">
        <v>190</v>
      </c>
      <c r="CR548" s="319" t="s">
        <v>190</v>
      </c>
      <c r="CS548" s="319" t="s">
        <v>190</v>
      </c>
      <c r="CT548" s="319" t="s">
        <v>190</v>
      </c>
      <c r="CU548" s="319" t="s">
        <v>190</v>
      </c>
      <c r="CV548" s="319" t="s">
        <v>190</v>
      </c>
      <c r="CW548" s="319" t="s">
        <v>190</v>
      </c>
      <c r="CX548" s="319" t="s">
        <v>190</v>
      </c>
      <c r="CY548" s="319" t="s">
        <v>190</v>
      </c>
      <c r="CZ548" s="319" t="s">
        <v>190</v>
      </c>
      <c r="DA548" s="319" t="s">
        <v>190</v>
      </c>
      <c r="DB548" s="319" t="s">
        <v>190</v>
      </c>
      <c r="DC548" s="319" t="s">
        <v>190</v>
      </c>
      <c r="DD548" s="319" t="s">
        <v>190</v>
      </c>
      <c r="DE548" s="319" t="s">
        <v>190</v>
      </c>
      <c r="DF548" s="319" t="s">
        <v>190</v>
      </c>
      <c r="DG548" s="319" t="s">
        <v>190</v>
      </c>
      <c r="DH548" s="319" t="s">
        <v>190</v>
      </c>
      <c r="DI548" s="319" t="s">
        <v>190</v>
      </c>
      <c r="DJ548" s="319" t="s">
        <v>190</v>
      </c>
      <c r="DK548" s="319" t="s">
        <v>190</v>
      </c>
      <c r="DL548" s="319" t="s">
        <v>190</v>
      </c>
      <c r="DM548" s="319" t="s">
        <v>190</v>
      </c>
      <c r="DN548" s="319" t="s">
        <v>429</v>
      </c>
      <c r="DO548" s="319" t="s">
        <v>190</v>
      </c>
      <c r="DP548" s="319" t="s">
        <v>429</v>
      </c>
      <c r="DQ548" s="319" t="s">
        <v>429</v>
      </c>
      <c r="DR548" s="319" t="s">
        <v>429</v>
      </c>
      <c r="DS548" s="319" t="s">
        <v>429</v>
      </c>
      <c r="DT548" s="319" t="s">
        <v>429</v>
      </c>
      <c r="DU548" s="319" t="s">
        <v>429</v>
      </c>
      <c r="DV548" s="319" t="s">
        <v>173</v>
      </c>
      <c r="DW548" s="319" t="s">
        <v>429</v>
      </c>
      <c r="DX548" s="319" t="s">
        <v>429</v>
      </c>
      <c r="DY548" s="319" t="s">
        <v>429</v>
      </c>
      <c r="DZ548" s="319" t="s">
        <v>429</v>
      </c>
      <c r="EA548" s="319" t="s">
        <v>429</v>
      </c>
      <c r="EB548" s="319" t="s">
        <v>429</v>
      </c>
      <c r="EC548" s="319" t="s">
        <v>429</v>
      </c>
      <c r="ED548" s="319" t="s">
        <v>190</v>
      </c>
      <c r="EE548" s="319" t="s">
        <v>190</v>
      </c>
      <c r="EF548" s="319" t="s">
        <v>190</v>
      </c>
      <c r="EG548" s="319" t="s">
        <v>190</v>
      </c>
      <c r="EH548" s="319" t="s">
        <v>190</v>
      </c>
      <c r="EI548" s="319" t="s">
        <v>190</v>
      </c>
      <c r="EJ548" s="319" t="s">
        <v>190</v>
      </c>
      <c r="EK548" s="319" t="s">
        <v>190</v>
      </c>
      <c r="EL548" s="319" t="s">
        <v>190</v>
      </c>
      <c r="EM548" s="319" t="s">
        <v>190</v>
      </c>
      <c r="EN548" s="319" t="s">
        <v>190</v>
      </c>
      <c r="EO548" s="319" t="s">
        <v>190</v>
      </c>
      <c r="EP548" s="319" t="s">
        <v>190</v>
      </c>
      <c r="EQ548" s="319" t="s">
        <v>190</v>
      </c>
      <c r="ER548" s="319" t="s">
        <v>190</v>
      </c>
      <c r="ES548" s="319" t="s">
        <v>190</v>
      </c>
      <c r="ET548" s="319" t="s">
        <v>190</v>
      </c>
      <c r="EU548" s="319" t="s">
        <v>190</v>
      </c>
      <c r="EV548" s="319" t="s">
        <v>190</v>
      </c>
      <c r="EW548" s="319" t="s">
        <v>190</v>
      </c>
      <c r="EX548" s="319" t="s">
        <v>190</v>
      </c>
      <c r="EY548" s="319" t="s">
        <v>190</v>
      </c>
      <c r="EZ548" s="319" t="s">
        <v>190</v>
      </c>
      <c r="FA548" s="319" t="s">
        <v>429</v>
      </c>
      <c r="FB548" s="319" t="s">
        <v>429</v>
      </c>
      <c r="FC548" s="319" t="s">
        <v>429</v>
      </c>
      <c r="FD548" s="319" t="s">
        <v>429</v>
      </c>
      <c r="FE548" s="319" t="s">
        <v>429</v>
      </c>
      <c r="FF548" s="319" t="s">
        <v>429</v>
      </c>
      <c r="FG548" s="319" t="s">
        <v>429</v>
      </c>
      <c r="FH548" s="319" t="s">
        <v>429</v>
      </c>
      <c r="FI548" s="319" t="s">
        <v>429</v>
      </c>
      <c r="FJ548" s="319" t="s">
        <v>429</v>
      </c>
      <c r="FK548" s="319" t="s">
        <v>429</v>
      </c>
      <c r="FL548" s="319" t="s">
        <v>190</v>
      </c>
      <c r="FM548" s="319" t="s">
        <v>190</v>
      </c>
      <c r="FN548" s="319" t="s">
        <v>190</v>
      </c>
      <c r="FO548" s="319" t="s">
        <v>190</v>
      </c>
      <c r="FP548" s="319" t="s">
        <v>190</v>
      </c>
      <c r="FQ548" s="319" t="s">
        <v>190</v>
      </c>
      <c r="FR548" s="319" t="s">
        <v>190</v>
      </c>
      <c r="FS548" s="319" t="s">
        <v>429</v>
      </c>
      <c r="FT548" s="319" t="s">
        <v>190</v>
      </c>
      <c r="FU548" s="319" t="s">
        <v>190</v>
      </c>
      <c r="FV548" s="319" t="s">
        <v>190</v>
      </c>
      <c r="FW548" s="319" t="s">
        <v>190</v>
      </c>
      <c r="FX548" s="319" t="s">
        <v>190</v>
      </c>
      <c r="FY548" s="319" t="s">
        <v>190</v>
      </c>
      <c r="FZ548" s="319" t="s">
        <v>190</v>
      </c>
      <c r="GA548" s="319" t="s">
        <v>190</v>
      </c>
      <c r="GB548" s="319" t="s">
        <v>190</v>
      </c>
      <c r="GC548" s="319" t="s">
        <v>190</v>
      </c>
      <c r="GD548" s="319" t="s">
        <v>190</v>
      </c>
      <c r="GE548" s="319" t="s">
        <v>190</v>
      </c>
      <c r="GF548" s="319" t="s">
        <v>190</v>
      </c>
      <c r="GG548" s="319" t="s">
        <v>190</v>
      </c>
      <c r="GH548" s="319" t="s">
        <v>190</v>
      </c>
      <c r="GI548" s="319" t="s">
        <v>190</v>
      </c>
      <c r="GJ548" s="319" t="s">
        <v>190</v>
      </c>
      <c r="GK548" s="319" t="s">
        <v>429</v>
      </c>
      <c r="GL548" s="319" t="s">
        <v>190</v>
      </c>
      <c r="GM548" s="319" t="s">
        <v>190</v>
      </c>
      <c r="GN548" s="319" t="s">
        <v>190</v>
      </c>
      <c r="GO548" s="319" t="s">
        <v>190</v>
      </c>
      <c r="GP548" s="319" t="s">
        <v>190</v>
      </c>
      <c r="GQ548" s="319" t="s">
        <v>429</v>
      </c>
      <c r="GR548" s="319" t="s">
        <v>190</v>
      </c>
      <c r="GS548" s="319" t="s">
        <v>190</v>
      </c>
      <c r="GT548" s="319" t="s">
        <v>429</v>
      </c>
      <c r="GU548" s="319" t="s">
        <v>190</v>
      </c>
      <c r="GV548" s="319" t="s">
        <v>190</v>
      </c>
      <c r="GW548" s="319" t="s">
        <v>190</v>
      </c>
      <c r="GX548" s="319" t="s">
        <v>190</v>
      </c>
      <c r="GY548" s="319" t="s">
        <v>190</v>
      </c>
      <c r="GZ548" s="319" t="s">
        <v>429</v>
      </c>
      <c r="HA548" s="319" t="s">
        <v>190</v>
      </c>
      <c r="HB548" s="319" t="s">
        <v>190</v>
      </c>
      <c r="HC548" s="319" t="s">
        <v>190</v>
      </c>
      <c r="HD548" s="319" t="s">
        <v>190</v>
      </c>
      <c r="HE548" s="319" t="s">
        <v>190</v>
      </c>
      <c r="HF548" s="319" t="s">
        <v>190</v>
      </c>
      <c r="HG548" s="319" t="s">
        <v>190</v>
      </c>
      <c r="HH548" s="319" t="s">
        <v>190</v>
      </c>
      <c r="HI548" s="319" t="s">
        <v>190</v>
      </c>
      <c r="HJ548" s="319" t="s">
        <v>190</v>
      </c>
      <c r="HK548" s="319" t="s">
        <v>190</v>
      </c>
      <c r="HL548" s="319" t="s">
        <v>190</v>
      </c>
      <c r="HM548" s="319" t="s">
        <v>429</v>
      </c>
      <c r="HN548" s="319" t="s">
        <v>429</v>
      </c>
      <c r="HO548" s="319" t="s">
        <v>429</v>
      </c>
      <c r="HP548" s="319" t="s">
        <v>190</v>
      </c>
      <c r="HQ548" s="319" t="s">
        <v>190</v>
      </c>
      <c r="HR548" s="319" t="s">
        <v>190</v>
      </c>
      <c r="HS548" s="319" t="s">
        <v>190</v>
      </c>
      <c r="HT548" s="319" t="s">
        <v>190</v>
      </c>
      <c r="HU548" s="319" t="s">
        <v>190</v>
      </c>
      <c r="HV548" s="319" t="s">
        <v>190</v>
      </c>
      <c r="HW548" s="319" t="s">
        <v>190</v>
      </c>
      <c r="HX548" s="319" t="s">
        <v>190</v>
      </c>
      <c r="HY548" s="319" t="s">
        <v>190</v>
      </c>
      <c r="HZ548" s="319" t="s">
        <v>190</v>
      </c>
      <c r="IA548" s="319" t="s">
        <v>190</v>
      </c>
      <c r="IB548" s="319" t="s">
        <v>190</v>
      </c>
      <c r="IC548" s="319" t="s">
        <v>190</v>
      </c>
      <c r="ID548" s="319" t="s">
        <v>190</v>
      </c>
      <c r="IE548" s="319" t="s">
        <v>190</v>
      </c>
      <c r="IF548" s="319" t="s">
        <v>190</v>
      </c>
      <c r="IG548" s="319" t="s">
        <v>190</v>
      </c>
      <c r="IH548" s="319" t="s">
        <v>190</v>
      </c>
      <c r="II548" s="319" t="s">
        <v>190</v>
      </c>
      <c r="IJ548" s="319" t="s">
        <v>3315</v>
      </c>
      <c r="IK548" s="321">
        <v>41177</v>
      </c>
      <c r="IL548" s="321">
        <v>41178</v>
      </c>
      <c r="IM548" s="321">
        <v>41214</v>
      </c>
      <c r="IN548" s="319">
        <v>3</v>
      </c>
      <c r="IO548" s="319" t="s">
        <v>173</v>
      </c>
      <c r="IP548" s="319" t="s">
        <v>173</v>
      </c>
      <c r="IQ548" s="321" t="s">
        <v>173</v>
      </c>
      <c r="IR548" s="320" t="s">
        <v>173</v>
      </c>
      <c r="IS548" s="322" t="s">
        <v>173</v>
      </c>
      <c r="IT548" s="319" t="s">
        <v>173</v>
      </c>
    </row>
    <row r="549" spans="1:254" s="271" customFormat="1" x14ac:dyDescent="0.25">
      <c r="A549" s="318" t="str">
        <f>HYPERLINK("http://www.ofsted.gov.uk/inspection-reports/find-inspection-report/provider/ELS/135616 ","Ofsted School Webpage")</f>
        <v>Ofsted School Webpage</v>
      </c>
      <c r="B549" s="319">
        <v>135616</v>
      </c>
      <c r="C549" s="319">
        <v>2076408</v>
      </c>
      <c r="D549" s="319" t="s">
        <v>924</v>
      </c>
      <c r="E549" s="319" t="s">
        <v>168</v>
      </c>
      <c r="F549" s="319" t="s">
        <v>81</v>
      </c>
      <c r="G549" s="319" t="s">
        <v>81</v>
      </c>
      <c r="H549" s="319" t="s">
        <v>81</v>
      </c>
      <c r="I549" s="319" t="s">
        <v>78</v>
      </c>
      <c r="J549" s="319" t="s">
        <v>424</v>
      </c>
      <c r="K549" s="319" t="s">
        <v>441</v>
      </c>
      <c r="L549" s="319" t="s">
        <v>441</v>
      </c>
      <c r="M549" s="319" t="s">
        <v>567</v>
      </c>
      <c r="N549" s="319" t="s">
        <v>2790</v>
      </c>
      <c r="O549" s="319" t="s">
        <v>925</v>
      </c>
      <c r="P549" s="319">
        <v>15</v>
      </c>
      <c r="Q549" s="319" t="s">
        <v>429</v>
      </c>
      <c r="R549" s="320">
        <v>10067176</v>
      </c>
      <c r="S549" s="321">
        <v>43508</v>
      </c>
      <c r="T549" s="321">
        <v>43510</v>
      </c>
      <c r="U549" s="321">
        <v>43529</v>
      </c>
      <c r="V549" s="319" t="s">
        <v>425</v>
      </c>
      <c r="W549" s="319" t="s">
        <v>2767</v>
      </c>
      <c r="X549" s="319">
        <v>1</v>
      </c>
      <c r="Y549" s="319" t="s">
        <v>173</v>
      </c>
      <c r="Z549" s="319" t="s">
        <v>173</v>
      </c>
      <c r="AA549" s="319" t="s">
        <v>173</v>
      </c>
      <c r="AB549" s="319">
        <v>1</v>
      </c>
      <c r="AC549" s="319" t="s">
        <v>169</v>
      </c>
      <c r="AD549" s="319" t="s">
        <v>173</v>
      </c>
      <c r="AE549" s="319" t="s">
        <v>173</v>
      </c>
      <c r="AF549" s="319" t="s">
        <v>427</v>
      </c>
      <c r="AG549" s="319" t="s">
        <v>171</v>
      </c>
      <c r="AH549" s="319" t="s">
        <v>190</v>
      </c>
      <c r="AI549" s="319" t="s">
        <v>190</v>
      </c>
      <c r="AJ549" s="319" t="s">
        <v>190</v>
      </c>
      <c r="AK549" s="319" t="s">
        <v>190</v>
      </c>
      <c r="AL549" s="319" t="s">
        <v>190</v>
      </c>
      <c r="AM549" s="319" t="s">
        <v>190</v>
      </c>
      <c r="AN549" s="319" t="s">
        <v>190</v>
      </c>
      <c r="AO549" s="319" t="s">
        <v>190</v>
      </c>
      <c r="AP549" s="319" t="s">
        <v>190</v>
      </c>
      <c r="AQ549" s="319" t="s">
        <v>190</v>
      </c>
      <c r="AR549" s="319" t="s">
        <v>190</v>
      </c>
      <c r="AS549" s="319" t="s">
        <v>190</v>
      </c>
      <c r="AT549" s="319" t="s">
        <v>190</v>
      </c>
      <c r="AU549" s="319" t="s">
        <v>190</v>
      </c>
      <c r="AV549" s="319" t="s">
        <v>190</v>
      </c>
      <c r="AW549" s="319" t="s">
        <v>190</v>
      </c>
      <c r="AX549" s="319" t="s">
        <v>428</v>
      </c>
      <c r="AY549" s="319" t="s">
        <v>190</v>
      </c>
      <c r="AZ549" s="319" t="s">
        <v>190</v>
      </c>
      <c r="BA549" s="319" t="s">
        <v>190</v>
      </c>
      <c r="BB549" s="319" t="s">
        <v>190</v>
      </c>
      <c r="BC549" s="319" t="s">
        <v>190</v>
      </c>
      <c r="BD549" s="319" t="s">
        <v>190</v>
      </c>
      <c r="BE549" s="319" t="s">
        <v>190</v>
      </c>
      <c r="BF549" s="319" t="s">
        <v>428</v>
      </c>
      <c r="BG549" s="319" t="s">
        <v>428</v>
      </c>
      <c r="BH549" s="319" t="s">
        <v>190</v>
      </c>
      <c r="BI549" s="319" t="s">
        <v>190</v>
      </c>
      <c r="BJ549" s="319" t="s">
        <v>190</v>
      </c>
      <c r="BK549" s="319" t="s">
        <v>190</v>
      </c>
      <c r="BL549" s="319" t="s">
        <v>190</v>
      </c>
      <c r="BM549" s="319" t="s">
        <v>190</v>
      </c>
      <c r="BN549" s="319" t="s">
        <v>190</v>
      </c>
      <c r="BO549" s="319" t="s">
        <v>190</v>
      </c>
      <c r="BP549" s="319" t="s">
        <v>190</v>
      </c>
      <c r="BQ549" s="319" t="s">
        <v>190</v>
      </c>
      <c r="BR549" s="319" t="s">
        <v>190</v>
      </c>
      <c r="BS549" s="319" t="s">
        <v>190</v>
      </c>
      <c r="BT549" s="319" t="s">
        <v>190</v>
      </c>
      <c r="BU549" s="319" t="s">
        <v>190</v>
      </c>
      <c r="BV549" s="319" t="s">
        <v>190</v>
      </c>
      <c r="BW549" s="319" t="s">
        <v>190</v>
      </c>
      <c r="BX549" s="319" t="s">
        <v>190</v>
      </c>
      <c r="BY549" s="319" t="s">
        <v>190</v>
      </c>
      <c r="BZ549" s="319" t="s">
        <v>190</v>
      </c>
      <c r="CA549" s="319" t="s">
        <v>190</v>
      </c>
      <c r="CB549" s="319" t="s">
        <v>190</v>
      </c>
      <c r="CC549" s="319" t="s">
        <v>190</v>
      </c>
      <c r="CD549" s="319" t="s">
        <v>190</v>
      </c>
      <c r="CE549" s="319" t="s">
        <v>190</v>
      </c>
      <c r="CF549" s="319" t="s">
        <v>190</v>
      </c>
      <c r="CG549" s="319" t="s">
        <v>190</v>
      </c>
      <c r="CH549" s="319" t="s">
        <v>190</v>
      </c>
      <c r="CI549" s="319" t="s">
        <v>190</v>
      </c>
      <c r="CJ549" s="319" t="s">
        <v>190</v>
      </c>
      <c r="CK549" s="319" t="s">
        <v>190</v>
      </c>
      <c r="CL549" s="319" t="s">
        <v>190</v>
      </c>
      <c r="CM549" s="319" t="s">
        <v>190</v>
      </c>
      <c r="CN549" s="319" t="s">
        <v>428</v>
      </c>
      <c r="CO549" s="319" t="s">
        <v>428</v>
      </c>
      <c r="CP549" s="319" t="s">
        <v>428</v>
      </c>
      <c r="CQ549" s="319" t="s">
        <v>190</v>
      </c>
      <c r="CR549" s="319" t="s">
        <v>190</v>
      </c>
      <c r="CS549" s="319" t="s">
        <v>190</v>
      </c>
      <c r="CT549" s="319" t="s">
        <v>190</v>
      </c>
      <c r="CU549" s="319" t="s">
        <v>190</v>
      </c>
      <c r="CV549" s="319" t="s">
        <v>190</v>
      </c>
      <c r="CW549" s="319" t="s">
        <v>190</v>
      </c>
      <c r="CX549" s="319" t="s">
        <v>190</v>
      </c>
      <c r="CY549" s="319" t="s">
        <v>190</v>
      </c>
      <c r="CZ549" s="319" t="s">
        <v>190</v>
      </c>
      <c r="DA549" s="319" t="s">
        <v>190</v>
      </c>
      <c r="DB549" s="319" t="s">
        <v>190</v>
      </c>
      <c r="DC549" s="319" t="s">
        <v>190</v>
      </c>
      <c r="DD549" s="319" t="s">
        <v>190</v>
      </c>
      <c r="DE549" s="319" t="s">
        <v>190</v>
      </c>
      <c r="DF549" s="319" t="s">
        <v>190</v>
      </c>
      <c r="DG549" s="319" t="s">
        <v>190</v>
      </c>
      <c r="DH549" s="319" t="s">
        <v>190</v>
      </c>
      <c r="DI549" s="319" t="s">
        <v>190</v>
      </c>
      <c r="DJ549" s="319" t="s">
        <v>190</v>
      </c>
      <c r="DK549" s="319" t="s">
        <v>190</v>
      </c>
      <c r="DL549" s="319" t="s">
        <v>190</v>
      </c>
      <c r="DM549" s="319" t="s">
        <v>190</v>
      </c>
      <c r="DN549" s="319" t="s">
        <v>428</v>
      </c>
      <c r="DO549" s="319" t="s">
        <v>190</v>
      </c>
      <c r="DP549" s="319" t="s">
        <v>428</v>
      </c>
      <c r="DQ549" s="319" t="s">
        <v>428</v>
      </c>
      <c r="DR549" s="319" t="s">
        <v>428</v>
      </c>
      <c r="DS549" s="319" t="s">
        <v>428</v>
      </c>
      <c r="DT549" s="319" t="s">
        <v>428</v>
      </c>
      <c r="DU549" s="319" t="s">
        <v>428</v>
      </c>
      <c r="DV549" s="319" t="s">
        <v>173</v>
      </c>
      <c r="DW549" s="319" t="s">
        <v>428</v>
      </c>
      <c r="DX549" s="319" t="s">
        <v>428</v>
      </c>
      <c r="DY549" s="319" t="s">
        <v>428</v>
      </c>
      <c r="DZ549" s="319" t="s">
        <v>428</v>
      </c>
      <c r="EA549" s="319" t="s">
        <v>428</v>
      </c>
      <c r="EB549" s="319" t="s">
        <v>428</v>
      </c>
      <c r="EC549" s="319" t="s">
        <v>428</v>
      </c>
      <c r="ED549" s="319" t="s">
        <v>190</v>
      </c>
      <c r="EE549" s="319" t="s">
        <v>190</v>
      </c>
      <c r="EF549" s="319" t="s">
        <v>190</v>
      </c>
      <c r="EG549" s="319" t="s">
        <v>190</v>
      </c>
      <c r="EH549" s="319" t="s">
        <v>190</v>
      </c>
      <c r="EI549" s="319" t="s">
        <v>190</v>
      </c>
      <c r="EJ549" s="319" t="s">
        <v>190</v>
      </c>
      <c r="EK549" s="319" t="s">
        <v>190</v>
      </c>
      <c r="EL549" s="319" t="s">
        <v>190</v>
      </c>
      <c r="EM549" s="319" t="s">
        <v>190</v>
      </c>
      <c r="EN549" s="319" t="s">
        <v>190</v>
      </c>
      <c r="EO549" s="319" t="s">
        <v>190</v>
      </c>
      <c r="EP549" s="319" t="s">
        <v>190</v>
      </c>
      <c r="EQ549" s="319" t="s">
        <v>190</v>
      </c>
      <c r="ER549" s="319" t="s">
        <v>190</v>
      </c>
      <c r="ES549" s="319" t="s">
        <v>190</v>
      </c>
      <c r="ET549" s="319" t="s">
        <v>190</v>
      </c>
      <c r="EU549" s="319" t="s">
        <v>190</v>
      </c>
      <c r="EV549" s="319" t="s">
        <v>190</v>
      </c>
      <c r="EW549" s="319" t="s">
        <v>190</v>
      </c>
      <c r="EX549" s="319" t="s">
        <v>190</v>
      </c>
      <c r="EY549" s="319" t="s">
        <v>190</v>
      </c>
      <c r="EZ549" s="319" t="s">
        <v>190</v>
      </c>
      <c r="FA549" s="319" t="s">
        <v>190</v>
      </c>
      <c r="FB549" s="319" t="s">
        <v>428</v>
      </c>
      <c r="FC549" s="319" t="s">
        <v>428</v>
      </c>
      <c r="FD549" s="319" t="s">
        <v>428</v>
      </c>
      <c r="FE549" s="319" t="s">
        <v>428</v>
      </c>
      <c r="FF549" s="319" t="s">
        <v>428</v>
      </c>
      <c r="FG549" s="319" t="s">
        <v>428</v>
      </c>
      <c r="FH549" s="319" t="s">
        <v>190</v>
      </c>
      <c r="FI549" s="319" t="s">
        <v>190</v>
      </c>
      <c r="FJ549" s="319" t="s">
        <v>190</v>
      </c>
      <c r="FK549" s="319" t="s">
        <v>190</v>
      </c>
      <c r="FL549" s="319" t="s">
        <v>190</v>
      </c>
      <c r="FM549" s="319" t="s">
        <v>190</v>
      </c>
      <c r="FN549" s="319" t="s">
        <v>190</v>
      </c>
      <c r="FO549" s="319" t="s">
        <v>190</v>
      </c>
      <c r="FP549" s="319" t="s">
        <v>190</v>
      </c>
      <c r="FQ549" s="319" t="s">
        <v>190</v>
      </c>
      <c r="FR549" s="319" t="s">
        <v>190</v>
      </c>
      <c r="FS549" s="319" t="s">
        <v>190</v>
      </c>
      <c r="FT549" s="319" t="s">
        <v>190</v>
      </c>
      <c r="FU549" s="319" t="s">
        <v>190</v>
      </c>
      <c r="FV549" s="319" t="s">
        <v>190</v>
      </c>
      <c r="FW549" s="319" t="s">
        <v>190</v>
      </c>
      <c r="FX549" s="319" t="s">
        <v>190</v>
      </c>
      <c r="FY549" s="319" t="s">
        <v>190</v>
      </c>
      <c r="FZ549" s="319" t="s">
        <v>190</v>
      </c>
      <c r="GA549" s="319" t="s">
        <v>190</v>
      </c>
      <c r="GB549" s="319" t="s">
        <v>190</v>
      </c>
      <c r="GC549" s="319" t="s">
        <v>190</v>
      </c>
      <c r="GD549" s="319" t="s">
        <v>190</v>
      </c>
      <c r="GE549" s="319" t="s">
        <v>190</v>
      </c>
      <c r="GF549" s="319" t="s">
        <v>190</v>
      </c>
      <c r="GG549" s="319" t="s">
        <v>190</v>
      </c>
      <c r="GH549" s="319" t="s">
        <v>190</v>
      </c>
      <c r="GI549" s="319" t="s">
        <v>190</v>
      </c>
      <c r="GJ549" s="319" t="s">
        <v>190</v>
      </c>
      <c r="GK549" s="319" t="s">
        <v>428</v>
      </c>
      <c r="GL549" s="319" t="s">
        <v>190</v>
      </c>
      <c r="GM549" s="319" t="s">
        <v>190</v>
      </c>
      <c r="GN549" s="319" t="s">
        <v>190</v>
      </c>
      <c r="GO549" s="319" t="s">
        <v>190</v>
      </c>
      <c r="GP549" s="319" t="s">
        <v>190</v>
      </c>
      <c r="GQ549" s="319" t="s">
        <v>428</v>
      </c>
      <c r="GR549" s="319" t="s">
        <v>190</v>
      </c>
      <c r="GS549" s="319" t="s">
        <v>190</v>
      </c>
      <c r="GT549" s="319" t="s">
        <v>190</v>
      </c>
      <c r="GU549" s="319" t="s">
        <v>190</v>
      </c>
      <c r="GV549" s="319" t="s">
        <v>190</v>
      </c>
      <c r="GW549" s="319" t="s">
        <v>190</v>
      </c>
      <c r="GX549" s="319" t="s">
        <v>190</v>
      </c>
      <c r="GY549" s="319" t="s">
        <v>190</v>
      </c>
      <c r="GZ549" s="319" t="s">
        <v>428</v>
      </c>
      <c r="HA549" s="319" t="s">
        <v>190</v>
      </c>
      <c r="HB549" s="319" t="s">
        <v>428</v>
      </c>
      <c r="HC549" s="319" t="s">
        <v>190</v>
      </c>
      <c r="HD549" s="319" t="s">
        <v>190</v>
      </c>
      <c r="HE549" s="319" t="s">
        <v>190</v>
      </c>
      <c r="HF549" s="319" t="s">
        <v>190</v>
      </c>
      <c r="HG549" s="319" t="s">
        <v>190</v>
      </c>
      <c r="HH549" s="319" t="s">
        <v>190</v>
      </c>
      <c r="HI549" s="319" t="s">
        <v>190</v>
      </c>
      <c r="HJ549" s="319" t="s">
        <v>190</v>
      </c>
      <c r="HK549" s="319" t="s">
        <v>190</v>
      </c>
      <c r="HL549" s="319" t="s">
        <v>428</v>
      </c>
      <c r="HM549" s="319" t="s">
        <v>428</v>
      </c>
      <c r="HN549" s="319" t="s">
        <v>428</v>
      </c>
      <c r="HO549" s="319" t="s">
        <v>428</v>
      </c>
      <c r="HP549" s="319" t="s">
        <v>190</v>
      </c>
      <c r="HQ549" s="319" t="s">
        <v>190</v>
      </c>
      <c r="HR549" s="319" t="s">
        <v>190</v>
      </c>
      <c r="HS549" s="319" t="s">
        <v>190</v>
      </c>
      <c r="HT549" s="319" t="s">
        <v>190</v>
      </c>
      <c r="HU549" s="319" t="s">
        <v>190</v>
      </c>
      <c r="HV549" s="319" t="s">
        <v>190</v>
      </c>
      <c r="HW549" s="319" t="s">
        <v>190</v>
      </c>
      <c r="HX549" s="319" t="s">
        <v>190</v>
      </c>
      <c r="HY549" s="319" t="s">
        <v>190</v>
      </c>
      <c r="HZ549" s="319" t="s">
        <v>190</v>
      </c>
      <c r="IA549" s="319" t="s">
        <v>190</v>
      </c>
      <c r="IB549" s="319" t="s">
        <v>190</v>
      </c>
      <c r="IC549" s="319" t="s">
        <v>190</v>
      </c>
      <c r="ID549" s="319" t="s">
        <v>190</v>
      </c>
      <c r="IE549" s="319" t="s">
        <v>190</v>
      </c>
      <c r="IF549" s="319" t="s">
        <v>190</v>
      </c>
      <c r="IG549" s="319" t="s">
        <v>190</v>
      </c>
      <c r="IH549" s="319" t="s">
        <v>190</v>
      </c>
      <c r="II549" s="319" t="s">
        <v>190</v>
      </c>
      <c r="IJ549" s="319">
        <v>10008525</v>
      </c>
      <c r="IK549" s="321">
        <v>42381</v>
      </c>
      <c r="IL549" s="321">
        <v>42383</v>
      </c>
      <c r="IM549" s="321">
        <v>42403</v>
      </c>
      <c r="IN549" s="319">
        <v>1</v>
      </c>
      <c r="IO549" s="319" t="s">
        <v>173</v>
      </c>
      <c r="IP549" s="319" t="s">
        <v>173</v>
      </c>
      <c r="IQ549" s="319" t="s">
        <v>173</v>
      </c>
      <c r="IR549" s="320" t="s">
        <v>173</v>
      </c>
      <c r="IS549" s="320" t="s">
        <v>173</v>
      </c>
      <c r="IT549" s="319" t="s">
        <v>173</v>
      </c>
    </row>
    <row r="550" spans="1:254" s="271" customFormat="1" x14ac:dyDescent="0.25">
      <c r="A550" s="318" t="str">
        <f>HYPERLINK("http://www.ofsted.gov.uk/inspection-reports/find-inspection-report/provider/ELS/135623 ","Ofsted School Webpage")</f>
        <v>Ofsted School Webpage</v>
      </c>
      <c r="B550" s="319">
        <v>135623</v>
      </c>
      <c r="C550" s="319">
        <v>8866132</v>
      </c>
      <c r="D550" s="319" t="s">
        <v>706</v>
      </c>
      <c r="E550" s="319" t="s">
        <v>168</v>
      </c>
      <c r="F550" s="319" t="s">
        <v>81</v>
      </c>
      <c r="G550" s="319" t="s">
        <v>81</v>
      </c>
      <c r="H550" s="319" t="s">
        <v>81</v>
      </c>
      <c r="I550" s="319" t="s">
        <v>78</v>
      </c>
      <c r="J550" s="319" t="s">
        <v>424</v>
      </c>
      <c r="K550" s="319" t="s">
        <v>514</v>
      </c>
      <c r="L550" s="319" t="s">
        <v>514</v>
      </c>
      <c r="M550" s="319" t="s">
        <v>614</v>
      </c>
      <c r="N550" s="319" t="s">
        <v>2978</v>
      </c>
      <c r="O550" s="319" t="s">
        <v>707</v>
      </c>
      <c r="P550" s="319">
        <v>5</v>
      </c>
      <c r="Q550" s="319" t="s">
        <v>429</v>
      </c>
      <c r="R550" s="320">
        <v>10054079</v>
      </c>
      <c r="S550" s="321">
        <v>43431</v>
      </c>
      <c r="T550" s="321">
        <v>43433</v>
      </c>
      <c r="U550" s="321">
        <v>43480</v>
      </c>
      <c r="V550" s="319" t="s">
        <v>425</v>
      </c>
      <c r="W550" s="319" t="s">
        <v>2767</v>
      </c>
      <c r="X550" s="319">
        <v>2</v>
      </c>
      <c r="Y550" s="319" t="s">
        <v>173</v>
      </c>
      <c r="Z550" s="319" t="s">
        <v>173</v>
      </c>
      <c r="AA550" s="319" t="s">
        <v>173</v>
      </c>
      <c r="AB550" s="319">
        <v>2</v>
      </c>
      <c r="AC550" s="319" t="s">
        <v>169</v>
      </c>
      <c r="AD550" s="319" t="s">
        <v>173</v>
      </c>
      <c r="AE550" s="319" t="s">
        <v>173</v>
      </c>
      <c r="AF550" s="319" t="s">
        <v>427</v>
      </c>
      <c r="AG550" s="319" t="s">
        <v>171</v>
      </c>
      <c r="AH550" s="319" t="s">
        <v>190</v>
      </c>
      <c r="AI550" s="319" t="s">
        <v>190</v>
      </c>
      <c r="AJ550" s="319" t="s">
        <v>190</v>
      </c>
      <c r="AK550" s="319" t="s">
        <v>190</v>
      </c>
      <c r="AL550" s="319" t="s">
        <v>190</v>
      </c>
      <c r="AM550" s="319" t="s">
        <v>190</v>
      </c>
      <c r="AN550" s="319" t="s">
        <v>190</v>
      </c>
      <c r="AO550" s="319" t="s">
        <v>190</v>
      </c>
      <c r="AP550" s="319" t="s">
        <v>190</v>
      </c>
      <c r="AQ550" s="319" t="s">
        <v>190</v>
      </c>
      <c r="AR550" s="319" t="s">
        <v>190</v>
      </c>
      <c r="AS550" s="319" t="s">
        <v>190</v>
      </c>
      <c r="AT550" s="319" t="s">
        <v>190</v>
      </c>
      <c r="AU550" s="319" t="s">
        <v>190</v>
      </c>
      <c r="AV550" s="319" t="s">
        <v>190</v>
      </c>
      <c r="AW550" s="319" t="s">
        <v>190</v>
      </c>
      <c r="AX550" s="319" t="s">
        <v>428</v>
      </c>
      <c r="AY550" s="319" t="s">
        <v>190</v>
      </c>
      <c r="AZ550" s="319" t="s">
        <v>190</v>
      </c>
      <c r="BA550" s="319" t="s">
        <v>190</v>
      </c>
      <c r="BB550" s="319" t="s">
        <v>190</v>
      </c>
      <c r="BC550" s="319" t="s">
        <v>190</v>
      </c>
      <c r="BD550" s="319" t="s">
        <v>190</v>
      </c>
      <c r="BE550" s="319" t="s">
        <v>190</v>
      </c>
      <c r="BF550" s="319" t="s">
        <v>428</v>
      </c>
      <c r="BG550" s="319" t="s">
        <v>190</v>
      </c>
      <c r="BH550" s="319" t="s">
        <v>190</v>
      </c>
      <c r="BI550" s="319" t="s">
        <v>190</v>
      </c>
      <c r="BJ550" s="319" t="s">
        <v>190</v>
      </c>
      <c r="BK550" s="319" t="s">
        <v>190</v>
      </c>
      <c r="BL550" s="319" t="s">
        <v>190</v>
      </c>
      <c r="BM550" s="319" t="s">
        <v>190</v>
      </c>
      <c r="BN550" s="319" t="s">
        <v>190</v>
      </c>
      <c r="BO550" s="319" t="s">
        <v>190</v>
      </c>
      <c r="BP550" s="319" t="s">
        <v>190</v>
      </c>
      <c r="BQ550" s="319" t="s">
        <v>190</v>
      </c>
      <c r="BR550" s="319" t="s">
        <v>190</v>
      </c>
      <c r="BS550" s="319" t="s">
        <v>190</v>
      </c>
      <c r="BT550" s="319" t="s">
        <v>190</v>
      </c>
      <c r="BU550" s="319" t="s">
        <v>190</v>
      </c>
      <c r="BV550" s="319" t="s">
        <v>190</v>
      </c>
      <c r="BW550" s="319" t="s">
        <v>190</v>
      </c>
      <c r="BX550" s="319" t="s">
        <v>190</v>
      </c>
      <c r="BY550" s="319" t="s">
        <v>190</v>
      </c>
      <c r="BZ550" s="319" t="s">
        <v>190</v>
      </c>
      <c r="CA550" s="319" t="s">
        <v>190</v>
      </c>
      <c r="CB550" s="319" t="s">
        <v>190</v>
      </c>
      <c r="CC550" s="319" t="s">
        <v>190</v>
      </c>
      <c r="CD550" s="319" t="s">
        <v>190</v>
      </c>
      <c r="CE550" s="319" t="s">
        <v>190</v>
      </c>
      <c r="CF550" s="319" t="s">
        <v>190</v>
      </c>
      <c r="CG550" s="319" t="s">
        <v>190</v>
      </c>
      <c r="CH550" s="319" t="s">
        <v>190</v>
      </c>
      <c r="CI550" s="319" t="s">
        <v>190</v>
      </c>
      <c r="CJ550" s="319" t="s">
        <v>190</v>
      </c>
      <c r="CK550" s="319" t="s">
        <v>190</v>
      </c>
      <c r="CL550" s="319" t="s">
        <v>190</v>
      </c>
      <c r="CM550" s="319" t="s">
        <v>190</v>
      </c>
      <c r="CN550" s="319" t="s">
        <v>428</v>
      </c>
      <c r="CO550" s="319" t="s">
        <v>428</v>
      </c>
      <c r="CP550" s="319" t="s">
        <v>428</v>
      </c>
      <c r="CQ550" s="319" t="s">
        <v>190</v>
      </c>
      <c r="CR550" s="319" t="s">
        <v>190</v>
      </c>
      <c r="CS550" s="319" t="s">
        <v>190</v>
      </c>
      <c r="CT550" s="319" t="s">
        <v>190</v>
      </c>
      <c r="CU550" s="319" t="s">
        <v>190</v>
      </c>
      <c r="CV550" s="319" t="s">
        <v>190</v>
      </c>
      <c r="CW550" s="319" t="s">
        <v>190</v>
      </c>
      <c r="CX550" s="319" t="s">
        <v>190</v>
      </c>
      <c r="CY550" s="319" t="s">
        <v>190</v>
      </c>
      <c r="CZ550" s="319" t="s">
        <v>190</v>
      </c>
      <c r="DA550" s="319" t="s">
        <v>190</v>
      </c>
      <c r="DB550" s="319" t="s">
        <v>190</v>
      </c>
      <c r="DC550" s="319" t="s">
        <v>190</v>
      </c>
      <c r="DD550" s="319" t="s">
        <v>190</v>
      </c>
      <c r="DE550" s="319" t="s">
        <v>190</v>
      </c>
      <c r="DF550" s="319" t="s">
        <v>190</v>
      </c>
      <c r="DG550" s="319" t="s">
        <v>190</v>
      </c>
      <c r="DH550" s="319" t="s">
        <v>190</v>
      </c>
      <c r="DI550" s="319" t="s">
        <v>190</v>
      </c>
      <c r="DJ550" s="319" t="s">
        <v>190</v>
      </c>
      <c r="DK550" s="319" t="s">
        <v>190</v>
      </c>
      <c r="DL550" s="319" t="s">
        <v>190</v>
      </c>
      <c r="DM550" s="319" t="s">
        <v>190</v>
      </c>
      <c r="DN550" s="319" t="s">
        <v>428</v>
      </c>
      <c r="DO550" s="319" t="s">
        <v>190</v>
      </c>
      <c r="DP550" s="319" t="s">
        <v>428</v>
      </c>
      <c r="DQ550" s="319" t="s">
        <v>428</v>
      </c>
      <c r="DR550" s="319" t="s">
        <v>428</v>
      </c>
      <c r="DS550" s="319" t="s">
        <v>428</v>
      </c>
      <c r="DT550" s="319" t="s">
        <v>428</v>
      </c>
      <c r="DU550" s="319" t="s">
        <v>428</v>
      </c>
      <c r="DV550" s="319" t="s">
        <v>173</v>
      </c>
      <c r="DW550" s="319" t="s">
        <v>428</v>
      </c>
      <c r="DX550" s="319" t="s">
        <v>428</v>
      </c>
      <c r="DY550" s="319" t="s">
        <v>428</v>
      </c>
      <c r="DZ550" s="319" t="s">
        <v>428</v>
      </c>
      <c r="EA550" s="319" t="s">
        <v>428</v>
      </c>
      <c r="EB550" s="319" t="s">
        <v>428</v>
      </c>
      <c r="EC550" s="319" t="s">
        <v>428</v>
      </c>
      <c r="ED550" s="319" t="s">
        <v>428</v>
      </c>
      <c r="EE550" s="319" t="s">
        <v>190</v>
      </c>
      <c r="EF550" s="319" t="s">
        <v>190</v>
      </c>
      <c r="EG550" s="319" t="s">
        <v>190</v>
      </c>
      <c r="EH550" s="319" t="s">
        <v>190</v>
      </c>
      <c r="EI550" s="319" t="s">
        <v>190</v>
      </c>
      <c r="EJ550" s="319" t="s">
        <v>190</v>
      </c>
      <c r="EK550" s="319" t="s">
        <v>190</v>
      </c>
      <c r="EL550" s="319" t="s">
        <v>190</v>
      </c>
      <c r="EM550" s="319" t="s">
        <v>190</v>
      </c>
      <c r="EN550" s="319" t="s">
        <v>190</v>
      </c>
      <c r="EO550" s="319" t="s">
        <v>190</v>
      </c>
      <c r="EP550" s="319" t="s">
        <v>190</v>
      </c>
      <c r="EQ550" s="319" t="s">
        <v>190</v>
      </c>
      <c r="ER550" s="319" t="s">
        <v>190</v>
      </c>
      <c r="ES550" s="319" t="s">
        <v>190</v>
      </c>
      <c r="ET550" s="319" t="s">
        <v>190</v>
      </c>
      <c r="EU550" s="319" t="s">
        <v>190</v>
      </c>
      <c r="EV550" s="319" t="s">
        <v>190</v>
      </c>
      <c r="EW550" s="319" t="s">
        <v>190</v>
      </c>
      <c r="EX550" s="319" t="s">
        <v>190</v>
      </c>
      <c r="EY550" s="319" t="s">
        <v>190</v>
      </c>
      <c r="EZ550" s="319" t="s">
        <v>190</v>
      </c>
      <c r="FA550" s="319" t="s">
        <v>190</v>
      </c>
      <c r="FB550" s="319" t="s">
        <v>428</v>
      </c>
      <c r="FC550" s="319" t="s">
        <v>428</v>
      </c>
      <c r="FD550" s="319" t="s">
        <v>428</v>
      </c>
      <c r="FE550" s="319" t="s">
        <v>428</v>
      </c>
      <c r="FF550" s="319" t="s">
        <v>428</v>
      </c>
      <c r="FG550" s="319" t="s">
        <v>428</v>
      </c>
      <c r="FH550" s="319" t="s">
        <v>190</v>
      </c>
      <c r="FI550" s="319" t="s">
        <v>190</v>
      </c>
      <c r="FJ550" s="319" t="s">
        <v>190</v>
      </c>
      <c r="FK550" s="319" t="s">
        <v>190</v>
      </c>
      <c r="FL550" s="319" t="s">
        <v>190</v>
      </c>
      <c r="FM550" s="319" t="s">
        <v>190</v>
      </c>
      <c r="FN550" s="319" t="s">
        <v>190</v>
      </c>
      <c r="FO550" s="319" t="s">
        <v>190</v>
      </c>
      <c r="FP550" s="319" t="s">
        <v>190</v>
      </c>
      <c r="FQ550" s="319" t="s">
        <v>190</v>
      </c>
      <c r="FR550" s="319" t="s">
        <v>190</v>
      </c>
      <c r="FS550" s="319" t="s">
        <v>428</v>
      </c>
      <c r="FT550" s="319" t="s">
        <v>190</v>
      </c>
      <c r="FU550" s="319" t="s">
        <v>190</v>
      </c>
      <c r="FV550" s="319" t="s">
        <v>190</v>
      </c>
      <c r="FW550" s="319" t="s">
        <v>190</v>
      </c>
      <c r="FX550" s="319" t="s">
        <v>190</v>
      </c>
      <c r="FY550" s="319" t="s">
        <v>190</v>
      </c>
      <c r="FZ550" s="319" t="s">
        <v>190</v>
      </c>
      <c r="GA550" s="319" t="s">
        <v>190</v>
      </c>
      <c r="GB550" s="319" t="s">
        <v>190</v>
      </c>
      <c r="GC550" s="319" t="s">
        <v>190</v>
      </c>
      <c r="GD550" s="319" t="s">
        <v>190</v>
      </c>
      <c r="GE550" s="319" t="s">
        <v>190</v>
      </c>
      <c r="GF550" s="319" t="s">
        <v>190</v>
      </c>
      <c r="GG550" s="319" t="s">
        <v>190</v>
      </c>
      <c r="GH550" s="319" t="s">
        <v>190</v>
      </c>
      <c r="GI550" s="319" t="s">
        <v>190</v>
      </c>
      <c r="GJ550" s="319" t="s">
        <v>190</v>
      </c>
      <c r="GK550" s="319" t="s">
        <v>428</v>
      </c>
      <c r="GL550" s="319" t="s">
        <v>190</v>
      </c>
      <c r="GM550" s="319" t="s">
        <v>190</v>
      </c>
      <c r="GN550" s="319" t="s">
        <v>190</v>
      </c>
      <c r="GO550" s="319" t="s">
        <v>190</v>
      </c>
      <c r="GP550" s="319" t="s">
        <v>190</v>
      </c>
      <c r="GQ550" s="319" t="s">
        <v>428</v>
      </c>
      <c r="GR550" s="319" t="s">
        <v>190</v>
      </c>
      <c r="GS550" s="319" t="s">
        <v>190</v>
      </c>
      <c r="GT550" s="319" t="s">
        <v>190</v>
      </c>
      <c r="GU550" s="319" t="s">
        <v>190</v>
      </c>
      <c r="GV550" s="319" t="s">
        <v>190</v>
      </c>
      <c r="GW550" s="319" t="s">
        <v>190</v>
      </c>
      <c r="GX550" s="319" t="s">
        <v>190</v>
      </c>
      <c r="GY550" s="319" t="s">
        <v>190</v>
      </c>
      <c r="GZ550" s="319" t="s">
        <v>428</v>
      </c>
      <c r="HA550" s="319" t="s">
        <v>190</v>
      </c>
      <c r="HB550" s="319" t="s">
        <v>428</v>
      </c>
      <c r="HC550" s="319" t="s">
        <v>190</v>
      </c>
      <c r="HD550" s="319" t="s">
        <v>190</v>
      </c>
      <c r="HE550" s="319" t="s">
        <v>190</v>
      </c>
      <c r="HF550" s="319" t="s">
        <v>190</v>
      </c>
      <c r="HG550" s="319" t="s">
        <v>190</v>
      </c>
      <c r="HH550" s="319" t="s">
        <v>190</v>
      </c>
      <c r="HI550" s="319" t="s">
        <v>190</v>
      </c>
      <c r="HJ550" s="319" t="s">
        <v>190</v>
      </c>
      <c r="HK550" s="319" t="s">
        <v>190</v>
      </c>
      <c r="HL550" s="319" t="s">
        <v>190</v>
      </c>
      <c r="HM550" s="319" t="s">
        <v>190</v>
      </c>
      <c r="HN550" s="319" t="s">
        <v>190</v>
      </c>
      <c r="HO550" s="319" t="s">
        <v>190</v>
      </c>
      <c r="HP550" s="319" t="s">
        <v>190</v>
      </c>
      <c r="HQ550" s="319" t="s">
        <v>190</v>
      </c>
      <c r="HR550" s="319" t="s">
        <v>190</v>
      </c>
      <c r="HS550" s="319" t="s">
        <v>190</v>
      </c>
      <c r="HT550" s="319" t="s">
        <v>190</v>
      </c>
      <c r="HU550" s="319" t="s">
        <v>190</v>
      </c>
      <c r="HV550" s="319" t="s">
        <v>190</v>
      </c>
      <c r="HW550" s="319" t="s">
        <v>190</v>
      </c>
      <c r="HX550" s="319" t="s">
        <v>190</v>
      </c>
      <c r="HY550" s="319" t="s">
        <v>190</v>
      </c>
      <c r="HZ550" s="319" t="s">
        <v>190</v>
      </c>
      <c r="IA550" s="319" t="s">
        <v>190</v>
      </c>
      <c r="IB550" s="319" t="s">
        <v>190</v>
      </c>
      <c r="IC550" s="319" t="s">
        <v>190</v>
      </c>
      <c r="ID550" s="319" t="s">
        <v>190</v>
      </c>
      <c r="IE550" s="319" t="s">
        <v>190</v>
      </c>
      <c r="IF550" s="319" t="s">
        <v>190</v>
      </c>
      <c r="IG550" s="319" t="s">
        <v>190</v>
      </c>
      <c r="IH550" s="319" t="s">
        <v>190</v>
      </c>
      <c r="II550" s="319" t="s">
        <v>190</v>
      </c>
      <c r="IJ550" s="319">
        <v>10006350</v>
      </c>
      <c r="IK550" s="321">
        <v>42633</v>
      </c>
      <c r="IL550" s="321">
        <v>42634</v>
      </c>
      <c r="IM550" s="321">
        <v>42661</v>
      </c>
      <c r="IN550" s="319">
        <v>3</v>
      </c>
      <c r="IO550" s="319" t="s">
        <v>173</v>
      </c>
      <c r="IP550" s="319" t="s">
        <v>173</v>
      </c>
      <c r="IQ550" s="321" t="s">
        <v>173</v>
      </c>
      <c r="IR550" s="320" t="s">
        <v>173</v>
      </c>
      <c r="IS550" s="322" t="s">
        <v>173</v>
      </c>
      <c r="IT550" s="319" t="s">
        <v>173</v>
      </c>
    </row>
    <row r="551" spans="1:254" s="271" customFormat="1" x14ac:dyDescent="0.25">
      <c r="A551" s="318" t="str">
        <f>HYPERLINK("http://www.ofsted.gov.uk/inspection-reports/find-inspection-report/provider/ELS/135633 ","Ofsted School Webpage")</f>
        <v>Ofsted School Webpage</v>
      </c>
      <c r="B551" s="319">
        <v>135633</v>
      </c>
      <c r="C551" s="319">
        <v>3556056</v>
      </c>
      <c r="D551" s="319" t="s">
        <v>1963</v>
      </c>
      <c r="E551" s="319" t="s">
        <v>168</v>
      </c>
      <c r="F551" s="319" t="s">
        <v>69</v>
      </c>
      <c r="G551" s="319" t="s">
        <v>69</v>
      </c>
      <c r="H551" s="319" t="s">
        <v>69</v>
      </c>
      <c r="I551" s="319" t="s">
        <v>69</v>
      </c>
      <c r="J551" s="319" t="s">
        <v>424</v>
      </c>
      <c r="K551" s="319" t="s">
        <v>431</v>
      </c>
      <c r="L551" s="319" t="s">
        <v>431</v>
      </c>
      <c r="M551" s="319" t="s">
        <v>533</v>
      </c>
      <c r="N551" s="319" t="s">
        <v>2874</v>
      </c>
      <c r="O551" s="319" t="s">
        <v>1964</v>
      </c>
      <c r="P551" s="319">
        <v>66</v>
      </c>
      <c r="Q551" s="319" t="s">
        <v>429</v>
      </c>
      <c r="R551" s="320">
        <v>10048595</v>
      </c>
      <c r="S551" s="321">
        <v>43270</v>
      </c>
      <c r="T551" s="321">
        <v>43272</v>
      </c>
      <c r="U551" s="321">
        <v>43293</v>
      </c>
      <c r="V551" s="319" t="s">
        <v>425</v>
      </c>
      <c r="W551" s="319" t="s">
        <v>2767</v>
      </c>
      <c r="X551" s="319">
        <v>2</v>
      </c>
      <c r="Y551" s="319" t="s">
        <v>173</v>
      </c>
      <c r="Z551" s="319" t="s">
        <v>173</v>
      </c>
      <c r="AA551" s="319" t="s">
        <v>173</v>
      </c>
      <c r="AB551" s="319">
        <v>2</v>
      </c>
      <c r="AC551" s="319" t="s">
        <v>169</v>
      </c>
      <c r="AD551" s="319">
        <v>2</v>
      </c>
      <c r="AE551" s="319">
        <v>2</v>
      </c>
      <c r="AF551" s="319" t="s">
        <v>427</v>
      </c>
      <c r="AG551" s="319" t="s">
        <v>171</v>
      </c>
      <c r="AH551" s="319" t="s">
        <v>190</v>
      </c>
      <c r="AI551" s="319" t="s">
        <v>190</v>
      </c>
      <c r="AJ551" s="319" t="s">
        <v>190</v>
      </c>
      <c r="AK551" s="319" t="s">
        <v>190</v>
      </c>
      <c r="AL551" s="319" t="s">
        <v>190</v>
      </c>
      <c r="AM551" s="319" t="s">
        <v>190</v>
      </c>
      <c r="AN551" s="319" t="s">
        <v>190</v>
      </c>
      <c r="AO551" s="319" t="s">
        <v>190</v>
      </c>
      <c r="AP551" s="319" t="s">
        <v>190</v>
      </c>
      <c r="AQ551" s="319" t="s">
        <v>190</v>
      </c>
      <c r="AR551" s="319" t="s">
        <v>190</v>
      </c>
      <c r="AS551" s="319" t="s">
        <v>190</v>
      </c>
      <c r="AT551" s="319" t="s">
        <v>190</v>
      </c>
      <c r="AU551" s="319" t="s">
        <v>190</v>
      </c>
      <c r="AV551" s="319" t="s">
        <v>190</v>
      </c>
      <c r="AW551" s="319" t="s">
        <v>190</v>
      </c>
      <c r="AX551" s="319" t="s">
        <v>428</v>
      </c>
      <c r="AY551" s="319" t="s">
        <v>190</v>
      </c>
      <c r="AZ551" s="319" t="s">
        <v>190</v>
      </c>
      <c r="BA551" s="319" t="s">
        <v>190</v>
      </c>
      <c r="BB551" s="319" t="s">
        <v>190</v>
      </c>
      <c r="BC551" s="319" t="s">
        <v>190</v>
      </c>
      <c r="BD551" s="319" t="s">
        <v>190</v>
      </c>
      <c r="BE551" s="319" t="s">
        <v>190</v>
      </c>
      <c r="BF551" s="319" t="s">
        <v>190</v>
      </c>
      <c r="BG551" s="319" t="s">
        <v>190</v>
      </c>
      <c r="BH551" s="319" t="s">
        <v>190</v>
      </c>
      <c r="BI551" s="319" t="s">
        <v>190</v>
      </c>
      <c r="BJ551" s="319" t="s">
        <v>190</v>
      </c>
      <c r="BK551" s="319" t="s">
        <v>190</v>
      </c>
      <c r="BL551" s="319" t="s">
        <v>190</v>
      </c>
      <c r="BM551" s="319" t="s">
        <v>190</v>
      </c>
      <c r="BN551" s="319" t="s">
        <v>190</v>
      </c>
      <c r="BO551" s="319" t="s">
        <v>190</v>
      </c>
      <c r="BP551" s="319" t="s">
        <v>190</v>
      </c>
      <c r="BQ551" s="319" t="s">
        <v>190</v>
      </c>
      <c r="BR551" s="319" t="s">
        <v>190</v>
      </c>
      <c r="BS551" s="319" t="s">
        <v>190</v>
      </c>
      <c r="BT551" s="319" t="s">
        <v>190</v>
      </c>
      <c r="BU551" s="319" t="s">
        <v>190</v>
      </c>
      <c r="BV551" s="319" t="s">
        <v>190</v>
      </c>
      <c r="BW551" s="319" t="s">
        <v>190</v>
      </c>
      <c r="BX551" s="319" t="s">
        <v>190</v>
      </c>
      <c r="BY551" s="319" t="s">
        <v>190</v>
      </c>
      <c r="BZ551" s="319" t="s">
        <v>190</v>
      </c>
      <c r="CA551" s="319" t="s">
        <v>190</v>
      </c>
      <c r="CB551" s="319" t="s">
        <v>190</v>
      </c>
      <c r="CC551" s="319" t="s">
        <v>190</v>
      </c>
      <c r="CD551" s="319" t="s">
        <v>190</v>
      </c>
      <c r="CE551" s="319" t="s">
        <v>190</v>
      </c>
      <c r="CF551" s="319" t="s">
        <v>190</v>
      </c>
      <c r="CG551" s="319" t="s">
        <v>190</v>
      </c>
      <c r="CH551" s="319" t="s">
        <v>190</v>
      </c>
      <c r="CI551" s="319" t="s">
        <v>190</v>
      </c>
      <c r="CJ551" s="319" t="s">
        <v>190</v>
      </c>
      <c r="CK551" s="319" t="s">
        <v>190</v>
      </c>
      <c r="CL551" s="319" t="s">
        <v>190</v>
      </c>
      <c r="CM551" s="319" t="s">
        <v>190</v>
      </c>
      <c r="CN551" s="319" t="s">
        <v>190</v>
      </c>
      <c r="CO551" s="319" t="s">
        <v>428</v>
      </c>
      <c r="CP551" s="319" t="s">
        <v>428</v>
      </c>
      <c r="CQ551" s="319" t="s">
        <v>190</v>
      </c>
      <c r="CR551" s="319" t="s">
        <v>190</v>
      </c>
      <c r="CS551" s="319" t="s">
        <v>190</v>
      </c>
      <c r="CT551" s="319" t="s">
        <v>190</v>
      </c>
      <c r="CU551" s="319" t="s">
        <v>190</v>
      </c>
      <c r="CV551" s="319" t="s">
        <v>190</v>
      </c>
      <c r="CW551" s="319" t="s">
        <v>190</v>
      </c>
      <c r="CX551" s="319" t="s">
        <v>190</v>
      </c>
      <c r="CY551" s="319" t="s">
        <v>190</v>
      </c>
      <c r="CZ551" s="319" t="s">
        <v>190</v>
      </c>
      <c r="DA551" s="319" t="s">
        <v>190</v>
      </c>
      <c r="DB551" s="319" t="s">
        <v>190</v>
      </c>
      <c r="DC551" s="319" t="s">
        <v>190</v>
      </c>
      <c r="DD551" s="319" t="s">
        <v>190</v>
      </c>
      <c r="DE551" s="319" t="s">
        <v>190</v>
      </c>
      <c r="DF551" s="319" t="s">
        <v>190</v>
      </c>
      <c r="DG551" s="319" t="s">
        <v>190</v>
      </c>
      <c r="DH551" s="319" t="s">
        <v>190</v>
      </c>
      <c r="DI551" s="319" t="s">
        <v>190</v>
      </c>
      <c r="DJ551" s="319" t="s">
        <v>190</v>
      </c>
      <c r="DK551" s="319" t="s">
        <v>190</v>
      </c>
      <c r="DL551" s="319" t="s">
        <v>190</v>
      </c>
      <c r="DM551" s="319" t="s">
        <v>190</v>
      </c>
      <c r="DN551" s="319" t="s">
        <v>428</v>
      </c>
      <c r="DO551" s="319" t="s">
        <v>190</v>
      </c>
      <c r="DP551" s="319" t="s">
        <v>428</v>
      </c>
      <c r="DQ551" s="319" t="s">
        <v>428</v>
      </c>
      <c r="DR551" s="319" t="s">
        <v>428</v>
      </c>
      <c r="DS551" s="319" t="s">
        <v>428</v>
      </c>
      <c r="DT551" s="319" t="s">
        <v>428</v>
      </c>
      <c r="DU551" s="319" t="s">
        <v>428</v>
      </c>
      <c r="DV551" s="319" t="s">
        <v>173</v>
      </c>
      <c r="DW551" s="319" t="s">
        <v>428</v>
      </c>
      <c r="DX551" s="319" t="s">
        <v>428</v>
      </c>
      <c r="DY551" s="319" t="s">
        <v>428</v>
      </c>
      <c r="DZ551" s="319" t="s">
        <v>428</v>
      </c>
      <c r="EA551" s="319" t="s">
        <v>428</v>
      </c>
      <c r="EB551" s="319" t="s">
        <v>428</v>
      </c>
      <c r="EC551" s="319" t="s">
        <v>428</v>
      </c>
      <c r="ED551" s="319" t="s">
        <v>428</v>
      </c>
      <c r="EE551" s="319" t="s">
        <v>190</v>
      </c>
      <c r="EF551" s="319" t="s">
        <v>190</v>
      </c>
      <c r="EG551" s="319" t="s">
        <v>190</v>
      </c>
      <c r="EH551" s="319" t="s">
        <v>190</v>
      </c>
      <c r="EI551" s="319" t="s">
        <v>190</v>
      </c>
      <c r="EJ551" s="319" t="s">
        <v>190</v>
      </c>
      <c r="EK551" s="319" t="s">
        <v>190</v>
      </c>
      <c r="EL551" s="319" t="s">
        <v>190</v>
      </c>
      <c r="EM551" s="319" t="s">
        <v>190</v>
      </c>
      <c r="EN551" s="319" t="s">
        <v>190</v>
      </c>
      <c r="EO551" s="319" t="s">
        <v>190</v>
      </c>
      <c r="EP551" s="319" t="s">
        <v>190</v>
      </c>
      <c r="EQ551" s="319" t="s">
        <v>190</v>
      </c>
      <c r="ER551" s="319" t="s">
        <v>190</v>
      </c>
      <c r="ES551" s="319" t="s">
        <v>190</v>
      </c>
      <c r="ET551" s="319" t="s">
        <v>190</v>
      </c>
      <c r="EU551" s="319" t="s">
        <v>190</v>
      </c>
      <c r="EV551" s="319" t="s">
        <v>190</v>
      </c>
      <c r="EW551" s="319" t="s">
        <v>190</v>
      </c>
      <c r="EX551" s="319" t="s">
        <v>190</v>
      </c>
      <c r="EY551" s="319" t="s">
        <v>190</v>
      </c>
      <c r="EZ551" s="319" t="s">
        <v>190</v>
      </c>
      <c r="FA551" s="319" t="s">
        <v>428</v>
      </c>
      <c r="FB551" s="319" t="s">
        <v>428</v>
      </c>
      <c r="FC551" s="319" t="s">
        <v>428</v>
      </c>
      <c r="FD551" s="319" t="s">
        <v>428</v>
      </c>
      <c r="FE551" s="319" t="s">
        <v>428</v>
      </c>
      <c r="FF551" s="319" t="s">
        <v>428</v>
      </c>
      <c r="FG551" s="319" t="s">
        <v>428</v>
      </c>
      <c r="FH551" s="319" t="s">
        <v>190</v>
      </c>
      <c r="FI551" s="319" t="s">
        <v>428</v>
      </c>
      <c r="FJ551" s="319" t="s">
        <v>429</v>
      </c>
      <c r="FK551" s="319" t="s">
        <v>428</v>
      </c>
      <c r="FL551" s="319" t="s">
        <v>190</v>
      </c>
      <c r="FM551" s="319" t="s">
        <v>190</v>
      </c>
      <c r="FN551" s="319" t="s">
        <v>190</v>
      </c>
      <c r="FO551" s="319" t="s">
        <v>190</v>
      </c>
      <c r="FP551" s="319" t="s">
        <v>190</v>
      </c>
      <c r="FQ551" s="319" t="s">
        <v>190</v>
      </c>
      <c r="FR551" s="319" t="s">
        <v>190</v>
      </c>
      <c r="FS551" s="319" t="s">
        <v>190</v>
      </c>
      <c r="FT551" s="319" t="s">
        <v>190</v>
      </c>
      <c r="FU551" s="319" t="s">
        <v>190</v>
      </c>
      <c r="FV551" s="319" t="s">
        <v>190</v>
      </c>
      <c r="FW551" s="319" t="s">
        <v>190</v>
      </c>
      <c r="FX551" s="319" t="s">
        <v>190</v>
      </c>
      <c r="FY551" s="319" t="s">
        <v>190</v>
      </c>
      <c r="FZ551" s="319" t="s">
        <v>190</v>
      </c>
      <c r="GA551" s="319" t="s">
        <v>190</v>
      </c>
      <c r="GB551" s="319" t="s">
        <v>190</v>
      </c>
      <c r="GC551" s="319" t="s">
        <v>190</v>
      </c>
      <c r="GD551" s="319" t="s">
        <v>190</v>
      </c>
      <c r="GE551" s="319" t="s">
        <v>190</v>
      </c>
      <c r="GF551" s="319" t="s">
        <v>190</v>
      </c>
      <c r="GG551" s="319" t="s">
        <v>190</v>
      </c>
      <c r="GH551" s="319" t="s">
        <v>190</v>
      </c>
      <c r="GI551" s="319" t="s">
        <v>190</v>
      </c>
      <c r="GJ551" s="319" t="s">
        <v>190</v>
      </c>
      <c r="GK551" s="319" t="s">
        <v>428</v>
      </c>
      <c r="GL551" s="319" t="s">
        <v>190</v>
      </c>
      <c r="GM551" s="319" t="s">
        <v>190</v>
      </c>
      <c r="GN551" s="319" t="s">
        <v>190</v>
      </c>
      <c r="GO551" s="319" t="s">
        <v>190</v>
      </c>
      <c r="GP551" s="319" t="s">
        <v>190</v>
      </c>
      <c r="GQ551" s="319" t="s">
        <v>190</v>
      </c>
      <c r="GR551" s="319" t="s">
        <v>190</v>
      </c>
      <c r="GS551" s="319" t="s">
        <v>190</v>
      </c>
      <c r="GT551" s="319" t="s">
        <v>190</v>
      </c>
      <c r="GU551" s="319" t="s">
        <v>190</v>
      </c>
      <c r="GV551" s="319" t="s">
        <v>190</v>
      </c>
      <c r="GW551" s="319" t="s">
        <v>190</v>
      </c>
      <c r="GX551" s="319" t="s">
        <v>190</v>
      </c>
      <c r="GY551" s="319" t="s">
        <v>190</v>
      </c>
      <c r="GZ551" s="319" t="s">
        <v>190</v>
      </c>
      <c r="HA551" s="319" t="s">
        <v>190</v>
      </c>
      <c r="HB551" s="319" t="s">
        <v>190</v>
      </c>
      <c r="HC551" s="319" t="s">
        <v>190</v>
      </c>
      <c r="HD551" s="319" t="s">
        <v>190</v>
      </c>
      <c r="HE551" s="319" t="s">
        <v>190</v>
      </c>
      <c r="HF551" s="319" t="s">
        <v>190</v>
      </c>
      <c r="HG551" s="319" t="s">
        <v>190</v>
      </c>
      <c r="HH551" s="319" t="s">
        <v>190</v>
      </c>
      <c r="HI551" s="319" t="s">
        <v>190</v>
      </c>
      <c r="HJ551" s="319" t="s">
        <v>190</v>
      </c>
      <c r="HK551" s="319" t="s">
        <v>190</v>
      </c>
      <c r="HL551" s="319" t="s">
        <v>190</v>
      </c>
      <c r="HM551" s="319" t="s">
        <v>428</v>
      </c>
      <c r="HN551" s="319" t="s">
        <v>428</v>
      </c>
      <c r="HO551" s="319" t="s">
        <v>428</v>
      </c>
      <c r="HP551" s="319" t="s">
        <v>190</v>
      </c>
      <c r="HQ551" s="319" t="s">
        <v>190</v>
      </c>
      <c r="HR551" s="319" t="s">
        <v>190</v>
      </c>
      <c r="HS551" s="319" t="s">
        <v>190</v>
      </c>
      <c r="HT551" s="319" t="s">
        <v>190</v>
      </c>
      <c r="HU551" s="319" t="s">
        <v>190</v>
      </c>
      <c r="HV551" s="319" t="s">
        <v>190</v>
      </c>
      <c r="HW551" s="319" t="s">
        <v>190</v>
      </c>
      <c r="HX551" s="319" t="s">
        <v>190</v>
      </c>
      <c r="HY551" s="319" t="s">
        <v>190</v>
      </c>
      <c r="HZ551" s="319" t="s">
        <v>190</v>
      </c>
      <c r="IA551" s="319" t="s">
        <v>190</v>
      </c>
      <c r="IB551" s="319" t="s">
        <v>190</v>
      </c>
      <c r="IC551" s="319" t="s">
        <v>190</v>
      </c>
      <c r="ID551" s="319" t="s">
        <v>190</v>
      </c>
      <c r="IE551" s="319" t="s">
        <v>190</v>
      </c>
      <c r="IF551" s="319" t="s">
        <v>190</v>
      </c>
      <c r="IG551" s="319" t="s">
        <v>190</v>
      </c>
      <c r="IH551" s="319" t="s">
        <v>190</v>
      </c>
      <c r="II551" s="319" t="s">
        <v>190</v>
      </c>
      <c r="IJ551" s="319" t="s">
        <v>3316</v>
      </c>
      <c r="IK551" s="321">
        <v>42137</v>
      </c>
      <c r="IL551" s="321">
        <v>42139</v>
      </c>
      <c r="IM551" s="321">
        <v>42174</v>
      </c>
      <c r="IN551" s="319">
        <v>2</v>
      </c>
      <c r="IO551" s="319" t="s">
        <v>173</v>
      </c>
      <c r="IP551" s="319" t="s">
        <v>173</v>
      </c>
      <c r="IQ551" s="319" t="s">
        <v>173</v>
      </c>
      <c r="IR551" s="320" t="s">
        <v>173</v>
      </c>
      <c r="IS551" s="320" t="s">
        <v>173</v>
      </c>
      <c r="IT551" s="319" t="s">
        <v>173</v>
      </c>
    </row>
    <row r="552" spans="1:254" s="271" customFormat="1" x14ac:dyDescent="0.25">
      <c r="A552" s="318" t="str">
        <f>HYPERLINK("http://www.ofsted.gov.uk/inspection-reports/find-inspection-report/provider/ELS/135670 ","Ofsted School Webpage")</f>
        <v>Ofsted School Webpage</v>
      </c>
      <c r="B552" s="319">
        <v>135670</v>
      </c>
      <c r="C552" s="319">
        <v>3056080</v>
      </c>
      <c r="D552" s="319" t="s">
        <v>1965</v>
      </c>
      <c r="E552" s="319" t="s">
        <v>168</v>
      </c>
      <c r="F552" s="319" t="s">
        <v>81</v>
      </c>
      <c r="G552" s="319" t="s">
        <v>81</v>
      </c>
      <c r="H552" s="319" t="s">
        <v>81</v>
      </c>
      <c r="I552" s="319" t="s">
        <v>78</v>
      </c>
      <c r="J552" s="319" t="s">
        <v>424</v>
      </c>
      <c r="K552" s="319" t="s">
        <v>441</v>
      </c>
      <c r="L552" s="319" t="s">
        <v>441</v>
      </c>
      <c r="M552" s="319" t="s">
        <v>600</v>
      </c>
      <c r="N552" s="319" t="s">
        <v>2829</v>
      </c>
      <c r="O552" s="319" t="s">
        <v>1966</v>
      </c>
      <c r="P552" s="319">
        <v>55</v>
      </c>
      <c r="Q552" s="319" t="s">
        <v>2776</v>
      </c>
      <c r="R552" s="320">
        <v>10012823</v>
      </c>
      <c r="S552" s="321">
        <v>43081</v>
      </c>
      <c r="T552" s="321">
        <v>43083</v>
      </c>
      <c r="U552" s="321">
        <v>43126</v>
      </c>
      <c r="V552" s="319" t="s">
        <v>425</v>
      </c>
      <c r="W552" s="319" t="s">
        <v>2767</v>
      </c>
      <c r="X552" s="319">
        <v>2</v>
      </c>
      <c r="Y552" s="319" t="s">
        <v>173</v>
      </c>
      <c r="Z552" s="319" t="s">
        <v>173</v>
      </c>
      <c r="AA552" s="319" t="s">
        <v>173</v>
      </c>
      <c r="AB552" s="319">
        <v>2</v>
      </c>
      <c r="AC552" s="319" t="s">
        <v>169</v>
      </c>
      <c r="AD552" s="319" t="s">
        <v>173</v>
      </c>
      <c r="AE552" s="319" t="s">
        <v>173</v>
      </c>
      <c r="AF552" s="319" t="s">
        <v>173</v>
      </c>
      <c r="AG552" s="319" t="s">
        <v>171</v>
      </c>
      <c r="AH552" s="319" t="s">
        <v>190</v>
      </c>
      <c r="AI552" s="319" t="s">
        <v>190</v>
      </c>
      <c r="AJ552" s="319" t="s">
        <v>190</v>
      </c>
      <c r="AK552" s="319" t="s">
        <v>190</v>
      </c>
      <c r="AL552" s="319" t="s">
        <v>190</v>
      </c>
      <c r="AM552" s="319" t="s">
        <v>190</v>
      </c>
      <c r="AN552" s="319" t="s">
        <v>190</v>
      </c>
      <c r="AO552" s="319" t="s">
        <v>190</v>
      </c>
      <c r="AP552" s="319" t="s">
        <v>190</v>
      </c>
      <c r="AQ552" s="319" t="s">
        <v>190</v>
      </c>
      <c r="AR552" s="319" t="s">
        <v>190</v>
      </c>
      <c r="AS552" s="319" t="s">
        <v>190</v>
      </c>
      <c r="AT552" s="319" t="s">
        <v>190</v>
      </c>
      <c r="AU552" s="319" t="s">
        <v>190</v>
      </c>
      <c r="AV552" s="319" t="s">
        <v>190</v>
      </c>
      <c r="AW552" s="319" t="s">
        <v>190</v>
      </c>
      <c r="AX552" s="319" t="s">
        <v>429</v>
      </c>
      <c r="AY552" s="319" t="s">
        <v>190</v>
      </c>
      <c r="AZ552" s="319" t="s">
        <v>190</v>
      </c>
      <c r="BA552" s="319" t="s">
        <v>190</v>
      </c>
      <c r="BB552" s="319" t="s">
        <v>190</v>
      </c>
      <c r="BC552" s="319" t="s">
        <v>190</v>
      </c>
      <c r="BD552" s="319" t="s">
        <v>190</v>
      </c>
      <c r="BE552" s="319" t="s">
        <v>190</v>
      </c>
      <c r="BF552" s="319" t="s">
        <v>429</v>
      </c>
      <c r="BG552" s="319" t="s">
        <v>190</v>
      </c>
      <c r="BH552" s="319" t="s">
        <v>190</v>
      </c>
      <c r="BI552" s="319" t="s">
        <v>190</v>
      </c>
      <c r="BJ552" s="319" t="s">
        <v>190</v>
      </c>
      <c r="BK552" s="319" t="s">
        <v>190</v>
      </c>
      <c r="BL552" s="319" t="s">
        <v>190</v>
      </c>
      <c r="BM552" s="319" t="s">
        <v>190</v>
      </c>
      <c r="BN552" s="319" t="s">
        <v>190</v>
      </c>
      <c r="BO552" s="319" t="s">
        <v>190</v>
      </c>
      <c r="BP552" s="319" t="s">
        <v>190</v>
      </c>
      <c r="BQ552" s="319" t="s">
        <v>190</v>
      </c>
      <c r="BR552" s="319" t="s">
        <v>190</v>
      </c>
      <c r="BS552" s="319" t="s">
        <v>190</v>
      </c>
      <c r="BT552" s="319" t="s">
        <v>190</v>
      </c>
      <c r="BU552" s="319" t="s">
        <v>190</v>
      </c>
      <c r="BV552" s="319" t="s">
        <v>190</v>
      </c>
      <c r="BW552" s="319" t="s">
        <v>190</v>
      </c>
      <c r="BX552" s="319" t="s">
        <v>190</v>
      </c>
      <c r="BY552" s="319" t="s">
        <v>190</v>
      </c>
      <c r="BZ552" s="319" t="s">
        <v>190</v>
      </c>
      <c r="CA552" s="319" t="s">
        <v>190</v>
      </c>
      <c r="CB552" s="319" t="s">
        <v>190</v>
      </c>
      <c r="CC552" s="319" t="s">
        <v>190</v>
      </c>
      <c r="CD552" s="319" t="s">
        <v>190</v>
      </c>
      <c r="CE552" s="319" t="s">
        <v>190</v>
      </c>
      <c r="CF552" s="319" t="s">
        <v>190</v>
      </c>
      <c r="CG552" s="319" t="s">
        <v>190</v>
      </c>
      <c r="CH552" s="319" t="s">
        <v>190</v>
      </c>
      <c r="CI552" s="319" t="s">
        <v>190</v>
      </c>
      <c r="CJ552" s="319" t="s">
        <v>190</v>
      </c>
      <c r="CK552" s="319" t="s">
        <v>190</v>
      </c>
      <c r="CL552" s="319" t="s">
        <v>190</v>
      </c>
      <c r="CM552" s="319" t="s">
        <v>190</v>
      </c>
      <c r="CN552" s="319" t="s">
        <v>429</v>
      </c>
      <c r="CO552" s="319" t="s">
        <v>429</v>
      </c>
      <c r="CP552" s="319" t="s">
        <v>429</v>
      </c>
      <c r="CQ552" s="319" t="s">
        <v>190</v>
      </c>
      <c r="CR552" s="319" t="s">
        <v>190</v>
      </c>
      <c r="CS552" s="319" t="s">
        <v>190</v>
      </c>
      <c r="CT552" s="319" t="s">
        <v>190</v>
      </c>
      <c r="CU552" s="319" t="s">
        <v>190</v>
      </c>
      <c r="CV552" s="319" t="s">
        <v>190</v>
      </c>
      <c r="CW552" s="319" t="s">
        <v>190</v>
      </c>
      <c r="CX552" s="319" t="s">
        <v>190</v>
      </c>
      <c r="CY552" s="319" t="s">
        <v>190</v>
      </c>
      <c r="CZ552" s="319" t="s">
        <v>190</v>
      </c>
      <c r="DA552" s="319" t="s">
        <v>190</v>
      </c>
      <c r="DB552" s="319" t="s">
        <v>190</v>
      </c>
      <c r="DC552" s="319" t="s">
        <v>190</v>
      </c>
      <c r="DD552" s="319" t="s">
        <v>190</v>
      </c>
      <c r="DE552" s="319" t="s">
        <v>190</v>
      </c>
      <c r="DF552" s="319" t="s">
        <v>190</v>
      </c>
      <c r="DG552" s="319" t="s">
        <v>190</v>
      </c>
      <c r="DH552" s="319" t="s">
        <v>190</v>
      </c>
      <c r="DI552" s="319" t="s">
        <v>190</v>
      </c>
      <c r="DJ552" s="319" t="s">
        <v>190</v>
      </c>
      <c r="DK552" s="319" t="s">
        <v>190</v>
      </c>
      <c r="DL552" s="319" t="s">
        <v>190</v>
      </c>
      <c r="DM552" s="319" t="s">
        <v>190</v>
      </c>
      <c r="DN552" s="319" t="s">
        <v>429</v>
      </c>
      <c r="DO552" s="319" t="s">
        <v>190</v>
      </c>
      <c r="DP552" s="319" t="s">
        <v>429</v>
      </c>
      <c r="DQ552" s="319" t="s">
        <v>429</v>
      </c>
      <c r="DR552" s="319" t="s">
        <v>429</v>
      </c>
      <c r="DS552" s="319" t="s">
        <v>429</v>
      </c>
      <c r="DT552" s="319" t="s">
        <v>429</v>
      </c>
      <c r="DU552" s="319" t="s">
        <v>429</v>
      </c>
      <c r="DV552" s="319" t="s">
        <v>173</v>
      </c>
      <c r="DW552" s="319" t="s">
        <v>429</v>
      </c>
      <c r="DX552" s="319" t="s">
        <v>429</v>
      </c>
      <c r="DY552" s="319" t="s">
        <v>429</v>
      </c>
      <c r="DZ552" s="319" t="s">
        <v>429</v>
      </c>
      <c r="EA552" s="319" t="s">
        <v>429</v>
      </c>
      <c r="EB552" s="319" t="s">
        <v>429</v>
      </c>
      <c r="EC552" s="319" t="s">
        <v>429</v>
      </c>
      <c r="ED552" s="319" t="s">
        <v>190</v>
      </c>
      <c r="EE552" s="319" t="s">
        <v>190</v>
      </c>
      <c r="EF552" s="319" t="s">
        <v>190</v>
      </c>
      <c r="EG552" s="319" t="s">
        <v>190</v>
      </c>
      <c r="EH552" s="319" t="s">
        <v>190</v>
      </c>
      <c r="EI552" s="319" t="s">
        <v>190</v>
      </c>
      <c r="EJ552" s="319" t="s">
        <v>190</v>
      </c>
      <c r="EK552" s="319" t="s">
        <v>190</v>
      </c>
      <c r="EL552" s="319" t="s">
        <v>190</v>
      </c>
      <c r="EM552" s="319" t="s">
        <v>190</v>
      </c>
      <c r="EN552" s="319" t="s">
        <v>190</v>
      </c>
      <c r="EO552" s="319" t="s">
        <v>190</v>
      </c>
      <c r="EP552" s="319" t="s">
        <v>190</v>
      </c>
      <c r="EQ552" s="319" t="s">
        <v>190</v>
      </c>
      <c r="ER552" s="319" t="s">
        <v>190</v>
      </c>
      <c r="ES552" s="319" t="s">
        <v>190</v>
      </c>
      <c r="ET552" s="319" t="s">
        <v>190</v>
      </c>
      <c r="EU552" s="319" t="s">
        <v>190</v>
      </c>
      <c r="EV552" s="319" t="s">
        <v>190</v>
      </c>
      <c r="EW552" s="319" t="s">
        <v>190</v>
      </c>
      <c r="EX552" s="319" t="s">
        <v>190</v>
      </c>
      <c r="EY552" s="319" t="s">
        <v>190</v>
      </c>
      <c r="EZ552" s="319" t="s">
        <v>190</v>
      </c>
      <c r="FA552" s="319" t="s">
        <v>429</v>
      </c>
      <c r="FB552" s="319" t="s">
        <v>429</v>
      </c>
      <c r="FC552" s="319" t="s">
        <v>429</v>
      </c>
      <c r="FD552" s="319" t="s">
        <v>429</v>
      </c>
      <c r="FE552" s="319" t="s">
        <v>429</v>
      </c>
      <c r="FF552" s="319" t="s">
        <v>429</v>
      </c>
      <c r="FG552" s="319" t="s">
        <v>429</v>
      </c>
      <c r="FH552" s="319" t="s">
        <v>429</v>
      </c>
      <c r="FI552" s="319" t="s">
        <v>429</v>
      </c>
      <c r="FJ552" s="319" t="s">
        <v>429</v>
      </c>
      <c r="FK552" s="319" t="s">
        <v>429</v>
      </c>
      <c r="FL552" s="319" t="s">
        <v>190</v>
      </c>
      <c r="FM552" s="319" t="s">
        <v>190</v>
      </c>
      <c r="FN552" s="319" t="s">
        <v>190</v>
      </c>
      <c r="FO552" s="319" t="s">
        <v>190</v>
      </c>
      <c r="FP552" s="319" t="s">
        <v>190</v>
      </c>
      <c r="FQ552" s="319" t="s">
        <v>190</v>
      </c>
      <c r="FR552" s="319" t="s">
        <v>190</v>
      </c>
      <c r="FS552" s="319" t="s">
        <v>429</v>
      </c>
      <c r="FT552" s="319" t="s">
        <v>190</v>
      </c>
      <c r="FU552" s="319" t="s">
        <v>190</v>
      </c>
      <c r="FV552" s="319" t="s">
        <v>190</v>
      </c>
      <c r="FW552" s="319" t="s">
        <v>190</v>
      </c>
      <c r="FX552" s="319" t="s">
        <v>190</v>
      </c>
      <c r="FY552" s="319" t="s">
        <v>190</v>
      </c>
      <c r="FZ552" s="319" t="s">
        <v>190</v>
      </c>
      <c r="GA552" s="319" t="s">
        <v>190</v>
      </c>
      <c r="GB552" s="319" t="s">
        <v>190</v>
      </c>
      <c r="GC552" s="319" t="s">
        <v>190</v>
      </c>
      <c r="GD552" s="319" t="s">
        <v>190</v>
      </c>
      <c r="GE552" s="319" t="s">
        <v>190</v>
      </c>
      <c r="GF552" s="319" t="s">
        <v>190</v>
      </c>
      <c r="GG552" s="319" t="s">
        <v>190</v>
      </c>
      <c r="GH552" s="319" t="s">
        <v>190</v>
      </c>
      <c r="GI552" s="319" t="s">
        <v>190</v>
      </c>
      <c r="GJ552" s="319" t="s">
        <v>190</v>
      </c>
      <c r="GK552" s="319" t="s">
        <v>429</v>
      </c>
      <c r="GL552" s="319" t="s">
        <v>190</v>
      </c>
      <c r="GM552" s="319" t="s">
        <v>190</v>
      </c>
      <c r="GN552" s="319" t="s">
        <v>190</v>
      </c>
      <c r="GO552" s="319" t="s">
        <v>190</v>
      </c>
      <c r="GP552" s="319" t="s">
        <v>190</v>
      </c>
      <c r="GQ552" s="319" t="s">
        <v>429</v>
      </c>
      <c r="GR552" s="319" t="s">
        <v>190</v>
      </c>
      <c r="GS552" s="319" t="s">
        <v>190</v>
      </c>
      <c r="GT552" s="319" t="s">
        <v>190</v>
      </c>
      <c r="GU552" s="319" t="s">
        <v>190</v>
      </c>
      <c r="GV552" s="319" t="s">
        <v>190</v>
      </c>
      <c r="GW552" s="319" t="s">
        <v>190</v>
      </c>
      <c r="GX552" s="319" t="s">
        <v>190</v>
      </c>
      <c r="GY552" s="319" t="s">
        <v>190</v>
      </c>
      <c r="GZ552" s="319" t="s">
        <v>429</v>
      </c>
      <c r="HA552" s="319" t="s">
        <v>190</v>
      </c>
      <c r="HB552" s="319" t="s">
        <v>190</v>
      </c>
      <c r="HC552" s="319" t="s">
        <v>190</v>
      </c>
      <c r="HD552" s="319" t="s">
        <v>190</v>
      </c>
      <c r="HE552" s="319" t="s">
        <v>190</v>
      </c>
      <c r="HF552" s="319" t="s">
        <v>190</v>
      </c>
      <c r="HG552" s="319" t="s">
        <v>190</v>
      </c>
      <c r="HH552" s="319" t="s">
        <v>190</v>
      </c>
      <c r="HI552" s="319" t="s">
        <v>190</v>
      </c>
      <c r="HJ552" s="319" t="s">
        <v>190</v>
      </c>
      <c r="HK552" s="319" t="s">
        <v>190</v>
      </c>
      <c r="HL552" s="319" t="s">
        <v>429</v>
      </c>
      <c r="HM552" s="319" t="s">
        <v>429</v>
      </c>
      <c r="HN552" s="319" t="s">
        <v>429</v>
      </c>
      <c r="HO552" s="319" t="s">
        <v>429</v>
      </c>
      <c r="HP552" s="319" t="s">
        <v>190</v>
      </c>
      <c r="HQ552" s="319" t="s">
        <v>190</v>
      </c>
      <c r="HR552" s="319" t="s">
        <v>190</v>
      </c>
      <c r="HS552" s="319" t="s">
        <v>190</v>
      </c>
      <c r="HT552" s="319" t="s">
        <v>190</v>
      </c>
      <c r="HU552" s="319" t="s">
        <v>190</v>
      </c>
      <c r="HV552" s="319" t="s">
        <v>190</v>
      </c>
      <c r="HW552" s="319" t="s">
        <v>190</v>
      </c>
      <c r="HX552" s="319" t="s">
        <v>190</v>
      </c>
      <c r="HY552" s="319" t="s">
        <v>190</v>
      </c>
      <c r="HZ552" s="319" t="s">
        <v>190</v>
      </c>
      <c r="IA552" s="319" t="s">
        <v>190</v>
      </c>
      <c r="IB552" s="319" t="s">
        <v>190</v>
      </c>
      <c r="IC552" s="319" t="s">
        <v>190</v>
      </c>
      <c r="ID552" s="319" t="s">
        <v>190</v>
      </c>
      <c r="IE552" s="319" t="s">
        <v>190</v>
      </c>
      <c r="IF552" s="319" t="s">
        <v>190</v>
      </c>
      <c r="IG552" s="319" t="s">
        <v>190</v>
      </c>
      <c r="IH552" s="319" t="s">
        <v>190</v>
      </c>
      <c r="II552" s="319" t="s">
        <v>190</v>
      </c>
      <c r="IJ552" s="319" t="s">
        <v>3317</v>
      </c>
      <c r="IK552" s="321">
        <v>41394</v>
      </c>
      <c r="IL552" s="321">
        <v>41396</v>
      </c>
      <c r="IM552" s="321">
        <v>41421</v>
      </c>
      <c r="IN552" s="319">
        <v>2</v>
      </c>
      <c r="IO552" s="319" t="s">
        <v>173</v>
      </c>
      <c r="IP552" s="319" t="s">
        <v>173</v>
      </c>
      <c r="IQ552" s="321" t="s">
        <v>173</v>
      </c>
      <c r="IR552" s="320" t="s">
        <v>173</v>
      </c>
      <c r="IS552" s="322" t="s">
        <v>173</v>
      </c>
      <c r="IT552" s="319" t="s">
        <v>173</v>
      </c>
    </row>
    <row r="553" spans="1:254" s="271" customFormat="1" x14ac:dyDescent="0.25">
      <c r="A553" s="318" t="str">
        <f>HYPERLINK("http://www.ofsted.gov.uk/inspection-reports/find-inspection-report/provider/ELS/135673 ","Ofsted School Webpage")</f>
        <v>Ofsted School Webpage</v>
      </c>
      <c r="B553" s="319">
        <v>135673</v>
      </c>
      <c r="C553" s="319">
        <v>9336216</v>
      </c>
      <c r="D553" s="319" t="s">
        <v>789</v>
      </c>
      <c r="E553" s="319" t="s">
        <v>168</v>
      </c>
      <c r="F553" s="319" t="s">
        <v>81</v>
      </c>
      <c r="G553" s="319" t="s">
        <v>81</v>
      </c>
      <c r="H553" s="319" t="s">
        <v>81</v>
      </c>
      <c r="I553" s="319" t="s">
        <v>78</v>
      </c>
      <c r="J553" s="319" t="s">
        <v>424</v>
      </c>
      <c r="K553" s="319" t="s">
        <v>422</v>
      </c>
      <c r="L553" s="319" t="s">
        <v>422</v>
      </c>
      <c r="M553" s="319" t="s">
        <v>466</v>
      </c>
      <c r="N553" s="319" t="s">
        <v>3318</v>
      </c>
      <c r="O553" s="319" t="s">
        <v>790</v>
      </c>
      <c r="P553" s="319">
        <v>12</v>
      </c>
      <c r="Q553" s="319" t="s">
        <v>429</v>
      </c>
      <c r="R553" s="320">
        <v>10044991</v>
      </c>
      <c r="S553" s="321">
        <v>43445</v>
      </c>
      <c r="T553" s="321">
        <v>43447</v>
      </c>
      <c r="U553" s="321">
        <v>43478</v>
      </c>
      <c r="V553" s="319" t="s">
        <v>425</v>
      </c>
      <c r="W553" s="319" t="s">
        <v>2767</v>
      </c>
      <c r="X553" s="319">
        <v>3</v>
      </c>
      <c r="Y553" s="319" t="s">
        <v>173</v>
      </c>
      <c r="Z553" s="319" t="s">
        <v>173</v>
      </c>
      <c r="AA553" s="319" t="s">
        <v>173</v>
      </c>
      <c r="AB553" s="319">
        <v>3</v>
      </c>
      <c r="AC553" s="319" t="s">
        <v>169</v>
      </c>
      <c r="AD553" s="319" t="s">
        <v>173</v>
      </c>
      <c r="AE553" s="319" t="s">
        <v>173</v>
      </c>
      <c r="AF553" s="319" t="s">
        <v>427</v>
      </c>
      <c r="AG553" s="319" t="s">
        <v>172</v>
      </c>
      <c r="AH553" s="319" t="s">
        <v>479</v>
      </c>
      <c r="AI553" s="319" t="s">
        <v>190</v>
      </c>
      <c r="AJ553" s="319" t="s">
        <v>190</v>
      </c>
      <c r="AK553" s="319" t="s">
        <v>190</v>
      </c>
      <c r="AL553" s="319" t="s">
        <v>190</v>
      </c>
      <c r="AM553" s="319" t="s">
        <v>190</v>
      </c>
      <c r="AN553" s="319" t="s">
        <v>190</v>
      </c>
      <c r="AO553" s="319" t="s">
        <v>479</v>
      </c>
      <c r="AP553" s="319" t="s">
        <v>190</v>
      </c>
      <c r="AQ553" s="319" t="s">
        <v>190</v>
      </c>
      <c r="AR553" s="319" t="s">
        <v>190</v>
      </c>
      <c r="AS553" s="319" t="s">
        <v>190</v>
      </c>
      <c r="AT553" s="319" t="s">
        <v>190</v>
      </c>
      <c r="AU553" s="319" t="s">
        <v>190</v>
      </c>
      <c r="AV553" s="319" t="s">
        <v>190</v>
      </c>
      <c r="AW553" s="319" t="s">
        <v>190</v>
      </c>
      <c r="AX553" s="319" t="s">
        <v>428</v>
      </c>
      <c r="AY553" s="319" t="s">
        <v>190</v>
      </c>
      <c r="AZ553" s="319" t="s">
        <v>190</v>
      </c>
      <c r="BA553" s="319" t="s">
        <v>190</v>
      </c>
      <c r="BB553" s="319" t="s">
        <v>190</v>
      </c>
      <c r="BC553" s="319" t="s">
        <v>190</v>
      </c>
      <c r="BD553" s="319" t="s">
        <v>190</v>
      </c>
      <c r="BE553" s="319" t="s">
        <v>190</v>
      </c>
      <c r="BF553" s="319" t="s">
        <v>428</v>
      </c>
      <c r="BG553" s="319" t="s">
        <v>428</v>
      </c>
      <c r="BH553" s="319" t="s">
        <v>190</v>
      </c>
      <c r="BI553" s="319" t="s">
        <v>190</v>
      </c>
      <c r="BJ553" s="319" t="s">
        <v>191</v>
      </c>
      <c r="BK553" s="319" t="s">
        <v>190</v>
      </c>
      <c r="BL553" s="319" t="s">
        <v>190</v>
      </c>
      <c r="BM553" s="319" t="s">
        <v>191</v>
      </c>
      <c r="BN553" s="319" t="s">
        <v>191</v>
      </c>
      <c r="BO553" s="319" t="s">
        <v>190</v>
      </c>
      <c r="BP553" s="319" t="s">
        <v>190</v>
      </c>
      <c r="BQ553" s="319" t="s">
        <v>191</v>
      </c>
      <c r="BR553" s="319" t="s">
        <v>190</v>
      </c>
      <c r="BS553" s="319" t="s">
        <v>190</v>
      </c>
      <c r="BT553" s="319" t="s">
        <v>190</v>
      </c>
      <c r="BU553" s="319" t="s">
        <v>190</v>
      </c>
      <c r="BV553" s="319" t="s">
        <v>190</v>
      </c>
      <c r="BW553" s="319" t="s">
        <v>190</v>
      </c>
      <c r="BX553" s="319" t="s">
        <v>190</v>
      </c>
      <c r="BY553" s="319" t="s">
        <v>190</v>
      </c>
      <c r="BZ553" s="319" t="s">
        <v>190</v>
      </c>
      <c r="CA553" s="319" t="s">
        <v>190</v>
      </c>
      <c r="CB553" s="319" t="s">
        <v>190</v>
      </c>
      <c r="CC553" s="319" t="s">
        <v>190</v>
      </c>
      <c r="CD553" s="319" t="s">
        <v>190</v>
      </c>
      <c r="CE553" s="319" t="s">
        <v>190</v>
      </c>
      <c r="CF553" s="319" t="s">
        <v>190</v>
      </c>
      <c r="CG553" s="319" t="s">
        <v>190</v>
      </c>
      <c r="CH553" s="319" t="s">
        <v>190</v>
      </c>
      <c r="CI553" s="319" t="s">
        <v>190</v>
      </c>
      <c r="CJ553" s="319" t="s">
        <v>190</v>
      </c>
      <c r="CK553" s="319" t="s">
        <v>190</v>
      </c>
      <c r="CL553" s="319" t="s">
        <v>190</v>
      </c>
      <c r="CM553" s="319" t="s">
        <v>190</v>
      </c>
      <c r="CN553" s="319" t="s">
        <v>428</v>
      </c>
      <c r="CO553" s="319" t="s">
        <v>428</v>
      </c>
      <c r="CP553" s="319" t="s">
        <v>428</v>
      </c>
      <c r="CQ553" s="319" t="s">
        <v>190</v>
      </c>
      <c r="CR553" s="319" t="s">
        <v>190</v>
      </c>
      <c r="CS553" s="319" t="s">
        <v>190</v>
      </c>
      <c r="CT553" s="319" t="s">
        <v>190</v>
      </c>
      <c r="CU553" s="319" t="s">
        <v>190</v>
      </c>
      <c r="CV553" s="319" t="s">
        <v>190</v>
      </c>
      <c r="CW553" s="319" t="s">
        <v>190</v>
      </c>
      <c r="CX553" s="319" t="s">
        <v>190</v>
      </c>
      <c r="CY553" s="319" t="s">
        <v>190</v>
      </c>
      <c r="CZ553" s="319" t="s">
        <v>190</v>
      </c>
      <c r="DA553" s="319" t="s">
        <v>190</v>
      </c>
      <c r="DB553" s="319" t="s">
        <v>190</v>
      </c>
      <c r="DC553" s="319" t="s">
        <v>190</v>
      </c>
      <c r="DD553" s="319" t="s">
        <v>190</v>
      </c>
      <c r="DE553" s="319" t="s">
        <v>190</v>
      </c>
      <c r="DF553" s="319" t="s">
        <v>190</v>
      </c>
      <c r="DG553" s="319" t="s">
        <v>190</v>
      </c>
      <c r="DH553" s="319" t="s">
        <v>190</v>
      </c>
      <c r="DI553" s="319" t="s">
        <v>190</v>
      </c>
      <c r="DJ553" s="319" t="s">
        <v>190</v>
      </c>
      <c r="DK553" s="319" t="s">
        <v>190</v>
      </c>
      <c r="DL553" s="319" t="s">
        <v>190</v>
      </c>
      <c r="DM553" s="319" t="s">
        <v>190</v>
      </c>
      <c r="DN553" s="319" t="s">
        <v>428</v>
      </c>
      <c r="DO553" s="319" t="s">
        <v>190</v>
      </c>
      <c r="DP553" s="319" t="s">
        <v>190</v>
      </c>
      <c r="DQ553" s="319" t="s">
        <v>190</v>
      </c>
      <c r="DR553" s="319" t="s">
        <v>190</v>
      </c>
      <c r="DS553" s="319" t="s">
        <v>190</v>
      </c>
      <c r="DT553" s="319" t="s">
        <v>190</v>
      </c>
      <c r="DU553" s="319" t="s">
        <v>190</v>
      </c>
      <c r="DV553" s="319" t="s">
        <v>173</v>
      </c>
      <c r="DW553" s="319" t="s">
        <v>190</v>
      </c>
      <c r="DX553" s="319" t="s">
        <v>190</v>
      </c>
      <c r="DY553" s="319" t="s">
        <v>190</v>
      </c>
      <c r="DZ553" s="319" t="s">
        <v>190</v>
      </c>
      <c r="EA553" s="319" t="s">
        <v>190</v>
      </c>
      <c r="EB553" s="319" t="s">
        <v>190</v>
      </c>
      <c r="EC553" s="319" t="s">
        <v>428</v>
      </c>
      <c r="ED553" s="319" t="s">
        <v>190</v>
      </c>
      <c r="EE553" s="319" t="s">
        <v>190</v>
      </c>
      <c r="EF553" s="319" t="s">
        <v>190</v>
      </c>
      <c r="EG553" s="319" t="s">
        <v>190</v>
      </c>
      <c r="EH553" s="319" t="s">
        <v>190</v>
      </c>
      <c r="EI553" s="319" t="s">
        <v>190</v>
      </c>
      <c r="EJ553" s="319" t="s">
        <v>190</v>
      </c>
      <c r="EK553" s="319" t="s">
        <v>190</v>
      </c>
      <c r="EL553" s="319" t="s">
        <v>190</v>
      </c>
      <c r="EM553" s="319" t="s">
        <v>190</v>
      </c>
      <c r="EN553" s="319" t="s">
        <v>190</v>
      </c>
      <c r="EO553" s="319" t="s">
        <v>190</v>
      </c>
      <c r="EP553" s="319" t="s">
        <v>190</v>
      </c>
      <c r="EQ553" s="319" t="s">
        <v>190</v>
      </c>
      <c r="ER553" s="319" t="s">
        <v>190</v>
      </c>
      <c r="ES553" s="319" t="s">
        <v>190</v>
      </c>
      <c r="ET553" s="319" t="s">
        <v>190</v>
      </c>
      <c r="EU553" s="319" t="s">
        <v>190</v>
      </c>
      <c r="EV553" s="319" t="s">
        <v>190</v>
      </c>
      <c r="EW553" s="319" t="s">
        <v>190</v>
      </c>
      <c r="EX553" s="319" t="s">
        <v>190</v>
      </c>
      <c r="EY553" s="319" t="s">
        <v>190</v>
      </c>
      <c r="EZ553" s="319" t="s">
        <v>190</v>
      </c>
      <c r="FA553" s="319" t="s">
        <v>190</v>
      </c>
      <c r="FB553" s="319" t="s">
        <v>190</v>
      </c>
      <c r="FC553" s="319" t="s">
        <v>190</v>
      </c>
      <c r="FD553" s="319" t="s">
        <v>190</v>
      </c>
      <c r="FE553" s="319" t="s">
        <v>190</v>
      </c>
      <c r="FF553" s="319" t="s">
        <v>190</v>
      </c>
      <c r="FG553" s="319" t="s">
        <v>190</v>
      </c>
      <c r="FH553" s="319" t="s">
        <v>190</v>
      </c>
      <c r="FI553" s="319" t="s">
        <v>190</v>
      </c>
      <c r="FJ553" s="319" t="s">
        <v>190</v>
      </c>
      <c r="FK553" s="319" t="s">
        <v>190</v>
      </c>
      <c r="FL553" s="319" t="s">
        <v>190</v>
      </c>
      <c r="FM553" s="319" t="s">
        <v>190</v>
      </c>
      <c r="FN553" s="319" t="s">
        <v>190</v>
      </c>
      <c r="FO553" s="319" t="s">
        <v>190</v>
      </c>
      <c r="FP553" s="319" t="s">
        <v>190</v>
      </c>
      <c r="FQ553" s="319" t="s">
        <v>190</v>
      </c>
      <c r="FR553" s="319" t="s">
        <v>190</v>
      </c>
      <c r="FS553" s="319" t="s">
        <v>428</v>
      </c>
      <c r="FT553" s="319" t="s">
        <v>190</v>
      </c>
      <c r="FU553" s="319" t="s">
        <v>190</v>
      </c>
      <c r="FV553" s="319" t="s">
        <v>190</v>
      </c>
      <c r="FW553" s="319" t="s">
        <v>190</v>
      </c>
      <c r="FX553" s="319" t="s">
        <v>190</v>
      </c>
      <c r="FY553" s="319" t="s">
        <v>190</v>
      </c>
      <c r="FZ553" s="319" t="s">
        <v>190</v>
      </c>
      <c r="GA553" s="319" t="s">
        <v>190</v>
      </c>
      <c r="GB553" s="319" t="s">
        <v>190</v>
      </c>
      <c r="GC553" s="319" t="s">
        <v>190</v>
      </c>
      <c r="GD553" s="319" t="s">
        <v>190</v>
      </c>
      <c r="GE553" s="319" t="s">
        <v>190</v>
      </c>
      <c r="GF553" s="319" t="s">
        <v>190</v>
      </c>
      <c r="GG553" s="319" t="s">
        <v>190</v>
      </c>
      <c r="GH553" s="319" t="s">
        <v>190</v>
      </c>
      <c r="GI553" s="319" t="s">
        <v>190</v>
      </c>
      <c r="GJ553" s="319" t="s">
        <v>190</v>
      </c>
      <c r="GK553" s="319" t="s">
        <v>428</v>
      </c>
      <c r="GL553" s="319" t="s">
        <v>190</v>
      </c>
      <c r="GM553" s="319" t="s">
        <v>190</v>
      </c>
      <c r="GN553" s="319" t="s">
        <v>190</v>
      </c>
      <c r="GO553" s="319" t="s">
        <v>190</v>
      </c>
      <c r="GP553" s="319" t="s">
        <v>190</v>
      </c>
      <c r="GQ553" s="319" t="s">
        <v>428</v>
      </c>
      <c r="GR553" s="319" t="s">
        <v>190</v>
      </c>
      <c r="GS553" s="319" t="s">
        <v>190</v>
      </c>
      <c r="GT553" s="319" t="s">
        <v>190</v>
      </c>
      <c r="GU553" s="319" t="s">
        <v>190</v>
      </c>
      <c r="GV553" s="319" t="s">
        <v>190</v>
      </c>
      <c r="GW553" s="319" t="s">
        <v>190</v>
      </c>
      <c r="GX553" s="319" t="s">
        <v>190</v>
      </c>
      <c r="GY553" s="319" t="s">
        <v>190</v>
      </c>
      <c r="GZ553" s="319" t="s">
        <v>428</v>
      </c>
      <c r="HA553" s="319" t="s">
        <v>190</v>
      </c>
      <c r="HB553" s="319" t="s">
        <v>190</v>
      </c>
      <c r="HC553" s="319" t="s">
        <v>190</v>
      </c>
      <c r="HD553" s="319" t="s">
        <v>190</v>
      </c>
      <c r="HE553" s="319" t="s">
        <v>190</v>
      </c>
      <c r="HF553" s="319" t="s">
        <v>190</v>
      </c>
      <c r="HG553" s="319" t="s">
        <v>190</v>
      </c>
      <c r="HH553" s="319" t="s">
        <v>190</v>
      </c>
      <c r="HI553" s="319" t="s">
        <v>190</v>
      </c>
      <c r="HJ553" s="319" t="s">
        <v>190</v>
      </c>
      <c r="HK553" s="319" t="s">
        <v>190</v>
      </c>
      <c r="HL553" s="319" t="s">
        <v>190</v>
      </c>
      <c r="HM553" s="319" t="s">
        <v>190</v>
      </c>
      <c r="HN553" s="319" t="s">
        <v>190</v>
      </c>
      <c r="HO553" s="319" t="s">
        <v>190</v>
      </c>
      <c r="HP553" s="319" t="s">
        <v>190</v>
      </c>
      <c r="HQ553" s="319" t="s">
        <v>190</v>
      </c>
      <c r="HR553" s="319" t="s">
        <v>190</v>
      </c>
      <c r="HS553" s="319" t="s">
        <v>190</v>
      </c>
      <c r="HT553" s="319" t="s">
        <v>190</v>
      </c>
      <c r="HU553" s="319" t="s">
        <v>190</v>
      </c>
      <c r="HV553" s="319" t="s">
        <v>190</v>
      </c>
      <c r="HW553" s="319" t="s">
        <v>190</v>
      </c>
      <c r="HX553" s="319" t="s">
        <v>190</v>
      </c>
      <c r="HY553" s="319" t="s">
        <v>190</v>
      </c>
      <c r="HZ553" s="319" t="s">
        <v>190</v>
      </c>
      <c r="IA553" s="319" t="s">
        <v>190</v>
      </c>
      <c r="IB553" s="319" t="s">
        <v>190</v>
      </c>
      <c r="IC553" s="319" t="s">
        <v>190</v>
      </c>
      <c r="ID553" s="319" t="s">
        <v>190</v>
      </c>
      <c r="IE553" s="319" t="s">
        <v>190</v>
      </c>
      <c r="IF553" s="319" t="s">
        <v>191</v>
      </c>
      <c r="IG553" s="319" t="s">
        <v>191</v>
      </c>
      <c r="IH553" s="319" t="s">
        <v>191</v>
      </c>
      <c r="II553" s="319" t="s">
        <v>190</v>
      </c>
      <c r="IJ553" s="319">
        <v>10008277</v>
      </c>
      <c r="IK553" s="321">
        <v>42325</v>
      </c>
      <c r="IL553" s="321">
        <v>42327</v>
      </c>
      <c r="IM553" s="321">
        <v>42405</v>
      </c>
      <c r="IN553" s="319">
        <v>4</v>
      </c>
      <c r="IO553" s="319">
        <v>10100795</v>
      </c>
      <c r="IP553" s="319" t="s">
        <v>985</v>
      </c>
      <c r="IQ553" s="321">
        <v>43629</v>
      </c>
      <c r="IR553" s="320" t="s">
        <v>1223</v>
      </c>
      <c r="IS553" s="322">
        <v>43648</v>
      </c>
      <c r="IT553" s="319" t="s">
        <v>165</v>
      </c>
    </row>
    <row r="554" spans="1:254" s="271" customFormat="1" x14ac:dyDescent="0.25">
      <c r="A554" s="318" t="str">
        <f>HYPERLINK("http://www.ofsted.gov.uk/inspection-reports/find-inspection-report/provider/ELS/135683 ","Ofsted School Webpage")</f>
        <v>Ofsted School Webpage</v>
      </c>
      <c r="B554" s="319">
        <v>135683</v>
      </c>
      <c r="C554" s="319">
        <v>3096002</v>
      </c>
      <c r="D554" s="319" t="s">
        <v>920</v>
      </c>
      <c r="E554" s="319" t="s">
        <v>168</v>
      </c>
      <c r="F554" s="319" t="s">
        <v>81</v>
      </c>
      <c r="G554" s="319" t="s">
        <v>81</v>
      </c>
      <c r="H554" s="319" t="s">
        <v>81</v>
      </c>
      <c r="I554" s="319" t="s">
        <v>78</v>
      </c>
      <c r="J554" s="319" t="s">
        <v>424</v>
      </c>
      <c r="K554" s="319" t="s">
        <v>441</v>
      </c>
      <c r="L554" s="319" t="s">
        <v>441</v>
      </c>
      <c r="M554" s="319" t="s">
        <v>527</v>
      </c>
      <c r="N554" s="319" t="s">
        <v>2837</v>
      </c>
      <c r="O554" s="319" t="s">
        <v>921</v>
      </c>
      <c r="P554" s="319">
        <v>24</v>
      </c>
      <c r="Q554" s="319" t="s">
        <v>429</v>
      </c>
      <c r="R554" s="320">
        <v>10067177</v>
      </c>
      <c r="S554" s="321">
        <v>43501</v>
      </c>
      <c r="T554" s="321">
        <v>43503</v>
      </c>
      <c r="U554" s="321">
        <v>43530</v>
      </c>
      <c r="V554" s="319" t="s">
        <v>425</v>
      </c>
      <c r="W554" s="319" t="s">
        <v>2767</v>
      </c>
      <c r="X554" s="319">
        <v>2</v>
      </c>
      <c r="Y554" s="319" t="s">
        <v>173</v>
      </c>
      <c r="Z554" s="319" t="s">
        <v>173</v>
      </c>
      <c r="AA554" s="319" t="s">
        <v>173</v>
      </c>
      <c r="AB554" s="319">
        <v>2</v>
      </c>
      <c r="AC554" s="319" t="s">
        <v>169</v>
      </c>
      <c r="AD554" s="319" t="s">
        <v>173</v>
      </c>
      <c r="AE554" s="319" t="s">
        <v>173</v>
      </c>
      <c r="AF554" s="319" t="s">
        <v>427</v>
      </c>
      <c r="AG554" s="319" t="s">
        <v>171</v>
      </c>
      <c r="AH554" s="319" t="s">
        <v>190</v>
      </c>
      <c r="AI554" s="319" t="s">
        <v>190</v>
      </c>
      <c r="AJ554" s="319" t="s">
        <v>190</v>
      </c>
      <c r="AK554" s="319" t="s">
        <v>190</v>
      </c>
      <c r="AL554" s="319" t="s">
        <v>190</v>
      </c>
      <c r="AM554" s="319" t="s">
        <v>190</v>
      </c>
      <c r="AN554" s="319" t="s">
        <v>190</v>
      </c>
      <c r="AO554" s="319" t="s">
        <v>190</v>
      </c>
      <c r="AP554" s="319" t="s">
        <v>190</v>
      </c>
      <c r="AQ554" s="319" t="s">
        <v>190</v>
      </c>
      <c r="AR554" s="319" t="s">
        <v>190</v>
      </c>
      <c r="AS554" s="319" t="s">
        <v>190</v>
      </c>
      <c r="AT554" s="319" t="s">
        <v>190</v>
      </c>
      <c r="AU554" s="319" t="s">
        <v>190</v>
      </c>
      <c r="AV554" s="319" t="s">
        <v>190</v>
      </c>
      <c r="AW554" s="319" t="s">
        <v>190</v>
      </c>
      <c r="AX554" s="319" t="s">
        <v>428</v>
      </c>
      <c r="AY554" s="319" t="s">
        <v>190</v>
      </c>
      <c r="AZ554" s="319" t="s">
        <v>190</v>
      </c>
      <c r="BA554" s="319" t="s">
        <v>190</v>
      </c>
      <c r="BB554" s="319" t="s">
        <v>190</v>
      </c>
      <c r="BC554" s="319" t="s">
        <v>190</v>
      </c>
      <c r="BD554" s="319" t="s">
        <v>190</v>
      </c>
      <c r="BE554" s="319" t="s">
        <v>190</v>
      </c>
      <c r="BF554" s="319" t="s">
        <v>428</v>
      </c>
      <c r="BG554" s="319" t="s">
        <v>428</v>
      </c>
      <c r="BH554" s="319" t="s">
        <v>190</v>
      </c>
      <c r="BI554" s="319" t="s">
        <v>190</v>
      </c>
      <c r="BJ554" s="319" t="s">
        <v>190</v>
      </c>
      <c r="BK554" s="319" t="s">
        <v>190</v>
      </c>
      <c r="BL554" s="319" t="s">
        <v>190</v>
      </c>
      <c r="BM554" s="319" t="s">
        <v>190</v>
      </c>
      <c r="BN554" s="319" t="s">
        <v>190</v>
      </c>
      <c r="BO554" s="319" t="s">
        <v>190</v>
      </c>
      <c r="BP554" s="319" t="s">
        <v>190</v>
      </c>
      <c r="BQ554" s="319" t="s">
        <v>190</v>
      </c>
      <c r="BR554" s="319" t="s">
        <v>190</v>
      </c>
      <c r="BS554" s="319" t="s">
        <v>190</v>
      </c>
      <c r="BT554" s="319" t="s">
        <v>190</v>
      </c>
      <c r="BU554" s="319" t="s">
        <v>190</v>
      </c>
      <c r="BV554" s="319" t="s">
        <v>190</v>
      </c>
      <c r="BW554" s="319" t="s">
        <v>190</v>
      </c>
      <c r="BX554" s="319" t="s">
        <v>190</v>
      </c>
      <c r="BY554" s="319" t="s">
        <v>190</v>
      </c>
      <c r="BZ554" s="319" t="s">
        <v>190</v>
      </c>
      <c r="CA554" s="319" t="s">
        <v>190</v>
      </c>
      <c r="CB554" s="319" t="s">
        <v>190</v>
      </c>
      <c r="CC554" s="319" t="s">
        <v>190</v>
      </c>
      <c r="CD554" s="319" t="s">
        <v>190</v>
      </c>
      <c r="CE554" s="319" t="s">
        <v>190</v>
      </c>
      <c r="CF554" s="319" t="s">
        <v>190</v>
      </c>
      <c r="CG554" s="319" t="s">
        <v>190</v>
      </c>
      <c r="CH554" s="319" t="s">
        <v>190</v>
      </c>
      <c r="CI554" s="319" t="s">
        <v>190</v>
      </c>
      <c r="CJ554" s="319" t="s">
        <v>190</v>
      </c>
      <c r="CK554" s="319" t="s">
        <v>190</v>
      </c>
      <c r="CL554" s="319" t="s">
        <v>190</v>
      </c>
      <c r="CM554" s="319" t="s">
        <v>190</v>
      </c>
      <c r="CN554" s="319" t="s">
        <v>428</v>
      </c>
      <c r="CO554" s="319" t="s">
        <v>428</v>
      </c>
      <c r="CP554" s="319" t="s">
        <v>428</v>
      </c>
      <c r="CQ554" s="319" t="s">
        <v>190</v>
      </c>
      <c r="CR554" s="319" t="s">
        <v>190</v>
      </c>
      <c r="CS554" s="319" t="s">
        <v>190</v>
      </c>
      <c r="CT554" s="319" t="s">
        <v>190</v>
      </c>
      <c r="CU554" s="319" t="s">
        <v>190</v>
      </c>
      <c r="CV554" s="319" t="s">
        <v>190</v>
      </c>
      <c r="CW554" s="319" t="s">
        <v>190</v>
      </c>
      <c r="CX554" s="319" t="s">
        <v>190</v>
      </c>
      <c r="CY554" s="319" t="s">
        <v>190</v>
      </c>
      <c r="CZ554" s="319" t="s">
        <v>190</v>
      </c>
      <c r="DA554" s="319" t="s">
        <v>190</v>
      </c>
      <c r="DB554" s="319" t="s">
        <v>190</v>
      </c>
      <c r="DC554" s="319" t="s">
        <v>190</v>
      </c>
      <c r="DD554" s="319" t="s">
        <v>190</v>
      </c>
      <c r="DE554" s="319" t="s">
        <v>190</v>
      </c>
      <c r="DF554" s="319" t="s">
        <v>190</v>
      </c>
      <c r="DG554" s="319" t="s">
        <v>190</v>
      </c>
      <c r="DH554" s="319" t="s">
        <v>190</v>
      </c>
      <c r="DI554" s="319" t="s">
        <v>190</v>
      </c>
      <c r="DJ554" s="319" t="s">
        <v>190</v>
      </c>
      <c r="DK554" s="319" t="s">
        <v>190</v>
      </c>
      <c r="DL554" s="319" t="s">
        <v>190</v>
      </c>
      <c r="DM554" s="319" t="s">
        <v>190</v>
      </c>
      <c r="DN554" s="319" t="s">
        <v>428</v>
      </c>
      <c r="DO554" s="319" t="s">
        <v>190</v>
      </c>
      <c r="DP554" s="319" t="s">
        <v>190</v>
      </c>
      <c r="DQ554" s="319" t="s">
        <v>190</v>
      </c>
      <c r="DR554" s="319" t="s">
        <v>190</v>
      </c>
      <c r="DS554" s="319" t="s">
        <v>190</v>
      </c>
      <c r="DT554" s="319" t="s">
        <v>190</v>
      </c>
      <c r="DU554" s="319" t="s">
        <v>190</v>
      </c>
      <c r="DV554" s="319" t="s">
        <v>173</v>
      </c>
      <c r="DW554" s="319" t="s">
        <v>190</v>
      </c>
      <c r="DX554" s="319" t="s">
        <v>190</v>
      </c>
      <c r="DY554" s="319" t="s">
        <v>190</v>
      </c>
      <c r="DZ554" s="319" t="s">
        <v>190</v>
      </c>
      <c r="EA554" s="319" t="s">
        <v>190</v>
      </c>
      <c r="EB554" s="319" t="s">
        <v>190</v>
      </c>
      <c r="EC554" s="319" t="s">
        <v>428</v>
      </c>
      <c r="ED554" s="319" t="s">
        <v>190</v>
      </c>
      <c r="EE554" s="319" t="s">
        <v>190</v>
      </c>
      <c r="EF554" s="319" t="s">
        <v>190</v>
      </c>
      <c r="EG554" s="319" t="s">
        <v>190</v>
      </c>
      <c r="EH554" s="319" t="s">
        <v>190</v>
      </c>
      <c r="EI554" s="319" t="s">
        <v>190</v>
      </c>
      <c r="EJ554" s="319" t="s">
        <v>190</v>
      </c>
      <c r="EK554" s="319" t="s">
        <v>190</v>
      </c>
      <c r="EL554" s="319" t="s">
        <v>190</v>
      </c>
      <c r="EM554" s="319" t="s">
        <v>190</v>
      </c>
      <c r="EN554" s="319" t="s">
        <v>190</v>
      </c>
      <c r="EO554" s="319" t="s">
        <v>190</v>
      </c>
      <c r="EP554" s="319" t="s">
        <v>190</v>
      </c>
      <c r="EQ554" s="319" t="s">
        <v>190</v>
      </c>
      <c r="ER554" s="319" t="s">
        <v>190</v>
      </c>
      <c r="ES554" s="319" t="s">
        <v>190</v>
      </c>
      <c r="ET554" s="319" t="s">
        <v>190</v>
      </c>
      <c r="EU554" s="319" t="s">
        <v>190</v>
      </c>
      <c r="EV554" s="319" t="s">
        <v>190</v>
      </c>
      <c r="EW554" s="319" t="s">
        <v>190</v>
      </c>
      <c r="EX554" s="319" t="s">
        <v>190</v>
      </c>
      <c r="EY554" s="319" t="s">
        <v>190</v>
      </c>
      <c r="EZ554" s="319" t="s">
        <v>190</v>
      </c>
      <c r="FA554" s="319" t="s">
        <v>190</v>
      </c>
      <c r="FB554" s="319" t="s">
        <v>190</v>
      </c>
      <c r="FC554" s="319" t="s">
        <v>190</v>
      </c>
      <c r="FD554" s="319" t="s">
        <v>190</v>
      </c>
      <c r="FE554" s="319" t="s">
        <v>190</v>
      </c>
      <c r="FF554" s="319" t="s">
        <v>190</v>
      </c>
      <c r="FG554" s="319" t="s">
        <v>190</v>
      </c>
      <c r="FH554" s="319" t="s">
        <v>190</v>
      </c>
      <c r="FI554" s="319" t="s">
        <v>190</v>
      </c>
      <c r="FJ554" s="319" t="s">
        <v>190</v>
      </c>
      <c r="FK554" s="319" t="s">
        <v>190</v>
      </c>
      <c r="FL554" s="319" t="s">
        <v>190</v>
      </c>
      <c r="FM554" s="319" t="s">
        <v>190</v>
      </c>
      <c r="FN554" s="319" t="s">
        <v>190</v>
      </c>
      <c r="FO554" s="319" t="s">
        <v>190</v>
      </c>
      <c r="FP554" s="319" t="s">
        <v>190</v>
      </c>
      <c r="FQ554" s="319" t="s">
        <v>190</v>
      </c>
      <c r="FR554" s="319" t="s">
        <v>190</v>
      </c>
      <c r="FS554" s="319" t="s">
        <v>190</v>
      </c>
      <c r="FT554" s="319" t="s">
        <v>190</v>
      </c>
      <c r="FU554" s="319" t="s">
        <v>190</v>
      </c>
      <c r="FV554" s="319" t="s">
        <v>190</v>
      </c>
      <c r="FW554" s="319" t="s">
        <v>190</v>
      </c>
      <c r="FX554" s="319" t="s">
        <v>190</v>
      </c>
      <c r="FY554" s="319" t="s">
        <v>190</v>
      </c>
      <c r="FZ554" s="319" t="s">
        <v>190</v>
      </c>
      <c r="GA554" s="319" t="s">
        <v>190</v>
      </c>
      <c r="GB554" s="319" t="s">
        <v>190</v>
      </c>
      <c r="GC554" s="319" t="s">
        <v>190</v>
      </c>
      <c r="GD554" s="319" t="s">
        <v>190</v>
      </c>
      <c r="GE554" s="319" t="s">
        <v>190</v>
      </c>
      <c r="GF554" s="319" t="s">
        <v>190</v>
      </c>
      <c r="GG554" s="319" t="s">
        <v>190</v>
      </c>
      <c r="GH554" s="319" t="s">
        <v>190</v>
      </c>
      <c r="GI554" s="319" t="s">
        <v>190</v>
      </c>
      <c r="GJ554" s="319" t="s">
        <v>190</v>
      </c>
      <c r="GK554" s="319" t="s">
        <v>428</v>
      </c>
      <c r="GL554" s="319" t="s">
        <v>190</v>
      </c>
      <c r="GM554" s="319" t="s">
        <v>190</v>
      </c>
      <c r="GN554" s="319" t="s">
        <v>190</v>
      </c>
      <c r="GO554" s="319" t="s">
        <v>190</v>
      </c>
      <c r="GP554" s="319" t="s">
        <v>190</v>
      </c>
      <c r="GQ554" s="319" t="s">
        <v>428</v>
      </c>
      <c r="GR554" s="319" t="s">
        <v>190</v>
      </c>
      <c r="GS554" s="319" t="s">
        <v>190</v>
      </c>
      <c r="GT554" s="319" t="s">
        <v>190</v>
      </c>
      <c r="GU554" s="319" t="s">
        <v>190</v>
      </c>
      <c r="GV554" s="319" t="s">
        <v>190</v>
      </c>
      <c r="GW554" s="319" t="s">
        <v>190</v>
      </c>
      <c r="GX554" s="319" t="s">
        <v>190</v>
      </c>
      <c r="GY554" s="319" t="s">
        <v>190</v>
      </c>
      <c r="GZ554" s="319" t="s">
        <v>428</v>
      </c>
      <c r="HA554" s="319" t="s">
        <v>190</v>
      </c>
      <c r="HB554" s="319" t="s">
        <v>190</v>
      </c>
      <c r="HC554" s="319" t="s">
        <v>190</v>
      </c>
      <c r="HD554" s="319" t="s">
        <v>190</v>
      </c>
      <c r="HE554" s="319" t="s">
        <v>190</v>
      </c>
      <c r="HF554" s="319" t="s">
        <v>190</v>
      </c>
      <c r="HG554" s="319" t="s">
        <v>190</v>
      </c>
      <c r="HH554" s="319" t="s">
        <v>190</v>
      </c>
      <c r="HI554" s="319" t="s">
        <v>428</v>
      </c>
      <c r="HJ554" s="319" t="s">
        <v>190</v>
      </c>
      <c r="HK554" s="319" t="s">
        <v>190</v>
      </c>
      <c r="HL554" s="319" t="s">
        <v>428</v>
      </c>
      <c r="HM554" s="319" t="s">
        <v>428</v>
      </c>
      <c r="HN554" s="319" t="s">
        <v>428</v>
      </c>
      <c r="HO554" s="319" t="s">
        <v>428</v>
      </c>
      <c r="HP554" s="319" t="s">
        <v>190</v>
      </c>
      <c r="HQ554" s="319" t="s">
        <v>190</v>
      </c>
      <c r="HR554" s="319" t="s">
        <v>190</v>
      </c>
      <c r="HS554" s="319" t="s">
        <v>190</v>
      </c>
      <c r="HT554" s="319" t="s">
        <v>190</v>
      </c>
      <c r="HU554" s="319" t="s">
        <v>190</v>
      </c>
      <c r="HV554" s="319" t="s">
        <v>190</v>
      </c>
      <c r="HW554" s="319" t="s">
        <v>190</v>
      </c>
      <c r="HX554" s="319" t="s">
        <v>190</v>
      </c>
      <c r="HY554" s="319" t="s">
        <v>190</v>
      </c>
      <c r="HZ554" s="319" t="s">
        <v>190</v>
      </c>
      <c r="IA554" s="319" t="s">
        <v>190</v>
      </c>
      <c r="IB554" s="319" t="s">
        <v>190</v>
      </c>
      <c r="IC554" s="319" t="s">
        <v>190</v>
      </c>
      <c r="ID554" s="319" t="s">
        <v>190</v>
      </c>
      <c r="IE554" s="319" t="s">
        <v>190</v>
      </c>
      <c r="IF554" s="319" t="s">
        <v>190</v>
      </c>
      <c r="IG554" s="319" t="s">
        <v>190</v>
      </c>
      <c r="IH554" s="319" t="s">
        <v>190</v>
      </c>
      <c r="II554" s="319" t="s">
        <v>190</v>
      </c>
      <c r="IJ554" s="319">
        <v>10008529</v>
      </c>
      <c r="IK554" s="321">
        <v>42402</v>
      </c>
      <c r="IL554" s="321">
        <v>42404</v>
      </c>
      <c r="IM554" s="321">
        <v>42472</v>
      </c>
      <c r="IN554" s="319">
        <v>2</v>
      </c>
      <c r="IO554" s="319" t="s">
        <v>173</v>
      </c>
      <c r="IP554" s="319" t="s">
        <v>173</v>
      </c>
      <c r="IQ554" s="321" t="s">
        <v>173</v>
      </c>
      <c r="IR554" s="320" t="s">
        <v>173</v>
      </c>
      <c r="IS554" s="322" t="s">
        <v>173</v>
      </c>
      <c r="IT554" s="319" t="s">
        <v>173</v>
      </c>
    </row>
    <row r="555" spans="1:254" s="271" customFormat="1" x14ac:dyDescent="0.25">
      <c r="A555" s="318" t="str">
        <f>HYPERLINK("http://www.ofsted.gov.uk/inspection-reports/find-inspection-report/provider/ELS/135688 ","Ofsted School Webpage")</f>
        <v>Ofsted School Webpage</v>
      </c>
      <c r="B555" s="319">
        <v>135688</v>
      </c>
      <c r="C555" s="319">
        <v>3306205</v>
      </c>
      <c r="D555" s="319" t="s">
        <v>1967</v>
      </c>
      <c r="E555" s="319" t="s">
        <v>167</v>
      </c>
      <c r="F555" s="319" t="s">
        <v>81</v>
      </c>
      <c r="G555" s="319" t="s">
        <v>81</v>
      </c>
      <c r="H555" s="319" t="s">
        <v>81</v>
      </c>
      <c r="I555" s="319" t="s">
        <v>78</v>
      </c>
      <c r="J555" s="319" t="s">
        <v>424</v>
      </c>
      <c r="K555" s="319" t="s">
        <v>437</v>
      </c>
      <c r="L555" s="319" t="s">
        <v>437</v>
      </c>
      <c r="M555" s="319" t="s">
        <v>813</v>
      </c>
      <c r="N555" s="319" t="s">
        <v>2858</v>
      </c>
      <c r="O555" s="319" t="s">
        <v>1968</v>
      </c>
      <c r="P555" s="319">
        <v>3</v>
      </c>
      <c r="Q555" s="319" t="s">
        <v>2776</v>
      </c>
      <c r="R555" s="320">
        <v>10006060</v>
      </c>
      <c r="S555" s="321">
        <v>42871</v>
      </c>
      <c r="T555" s="321">
        <v>42873</v>
      </c>
      <c r="U555" s="321">
        <v>42913</v>
      </c>
      <c r="V555" s="319" t="s">
        <v>425</v>
      </c>
      <c r="W555" s="319" t="s">
        <v>2767</v>
      </c>
      <c r="X555" s="319">
        <v>2</v>
      </c>
      <c r="Y555" s="319" t="s">
        <v>173</v>
      </c>
      <c r="Z555" s="319" t="s">
        <v>173</v>
      </c>
      <c r="AA555" s="319" t="s">
        <v>173</v>
      </c>
      <c r="AB555" s="319">
        <v>2</v>
      </c>
      <c r="AC555" s="319" t="s">
        <v>169</v>
      </c>
      <c r="AD555" s="319" t="s">
        <v>173</v>
      </c>
      <c r="AE555" s="319" t="s">
        <v>173</v>
      </c>
      <c r="AF555" s="319" t="s">
        <v>173</v>
      </c>
      <c r="AG555" s="319" t="s">
        <v>171</v>
      </c>
      <c r="AH555" s="319" t="s">
        <v>190</v>
      </c>
      <c r="AI555" s="319" t="s">
        <v>190</v>
      </c>
      <c r="AJ555" s="319" t="s">
        <v>190</v>
      </c>
      <c r="AK555" s="319" t="s">
        <v>190</v>
      </c>
      <c r="AL555" s="319" t="s">
        <v>190</v>
      </c>
      <c r="AM555" s="319" t="s">
        <v>190</v>
      </c>
      <c r="AN555" s="319" t="s">
        <v>190</v>
      </c>
      <c r="AO555" s="319" t="s">
        <v>190</v>
      </c>
      <c r="AP555" s="319" t="s">
        <v>190</v>
      </c>
      <c r="AQ555" s="319" t="s">
        <v>190</v>
      </c>
      <c r="AR555" s="319" t="s">
        <v>190</v>
      </c>
      <c r="AS555" s="319" t="s">
        <v>190</v>
      </c>
      <c r="AT555" s="319" t="s">
        <v>190</v>
      </c>
      <c r="AU555" s="319" t="s">
        <v>190</v>
      </c>
      <c r="AV555" s="319" t="s">
        <v>190</v>
      </c>
      <c r="AW555" s="319" t="s">
        <v>190</v>
      </c>
      <c r="AX555" s="319" t="s">
        <v>190</v>
      </c>
      <c r="AY555" s="319" t="s">
        <v>190</v>
      </c>
      <c r="AZ555" s="319" t="s">
        <v>190</v>
      </c>
      <c r="BA555" s="319" t="s">
        <v>190</v>
      </c>
      <c r="BB555" s="319" t="s">
        <v>190</v>
      </c>
      <c r="BC555" s="319" t="s">
        <v>190</v>
      </c>
      <c r="BD555" s="319" t="s">
        <v>190</v>
      </c>
      <c r="BE555" s="319" t="s">
        <v>190</v>
      </c>
      <c r="BF555" s="319" t="s">
        <v>429</v>
      </c>
      <c r="BG555" s="319" t="s">
        <v>429</v>
      </c>
      <c r="BH555" s="319" t="s">
        <v>190</v>
      </c>
      <c r="BI555" s="319" t="s">
        <v>190</v>
      </c>
      <c r="BJ555" s="319" t="s">
        <v>190</v>
      </c>
      <c r="BK555" s="319" t="s">
        <v>190</v>
      </c>
      <c r="BL555" s="319" t="s">
        <v>190</v>
      </c>
      <c r="BM555" s="319" t="s">
        <v>190</v>
      </c>
      <c r="BN555" s="319" t="s">
        <v>190</v>
      </c>
      <c r="BO555" s="319" t="s">
        <v>190</v>
      </c>
      <c r="BP555" s="319" t="s">
        <v>190</v>
      </c>
      <c r="BQ555" s="319" t="s">
        <v>190</v>
      </c>
      <c r="BR555" s="319" t="s">
        <v>190</v>
      </c>
      <c r="BS555" s="319" t="s">
        <v>190</v>
      </c>
      <c r="BT555" s="319" t="s">
        <v>190</v>
      </c>
      <c r="BU555" s="319" t="s">
        <v>190</v>
      </c>
      <c r="BV555" s="319" t="s">
        <v>190</v>
      </c>
      <c r="BW555" s="319" t="s">
        <v>190</v>
      </c>
      <c r="BX555" s="319" t="s">
        <v>190</v>
      </c>
      <c r="BY555" s="319" t="s">
        <v>190</v>
      </c>
      <c r="BZ555" s="319" t="s">
        <v>190</v>
      </c>
      <c r="CA555" s="319" t="s">
        <v>190</v>
      </c>
      <c r="CB555" s="319" t="s">
        <v>190</v>
      </c>
      <c r="CC555" s="319" t="s">
        <v>190</v>
      </c>
      <c r="CD555" s="319" t="s">
        <v>190</v>
      </c>
      <c r="CE555" s="319" t="s">
        <v>190</v>
      </c>
      <c r="CF555" s="319" t="s">
        <v>190</v>
      </c>
      <c r="CG555" s="319" t="s">
        <v>190</v>
      </c>
      <c r="CH555" s="319" t="s">
        <v>190</v>
      </c>
      <c r="CI555" s="319" t="s">
        <v>190</v>
      </c>
      <c r="CJ555" s="319" t="s">
        <v>190</v>
      </c>
      <c r="CK555" s="319" t="s">
        <v>190</v>
      </c>
      <c r="CL555" s="319" t="s">
        <v>190</v>
      </c>
      <c r="CM555" s="319" t="s">
        <v>190</v>
      </c>
      <c r="CN555" s="319" t="s">
        <v>429</v>
      </c>
      <c r="CO555" s="319" t="s">
        <v>429</v>
      </c>
      <c r="CP555" s="319" t="s">
        <v>429</v>
      </c>
      <c r="CQ555" s="319" t="s">
        <v>190</v>
      </c>
      <c r="CR555" s="319" t="s">
        <v>190</v>
      </c>
      <c r="CS555" s="319" t="s">
        <v>190</v>
      </c>
      <c r="CT555" s="319" t="s">
        <v>190</v>
      </c>
      <c r="CU555" s="319" t="s">
        <v>190</v>
      </c>
      <c r="CV555" s="319" t="s">
        <v>190</v>
      </c>
      <c r="CW555" s="319" t="s">
        <v>190</v>
      </c>
      <c r="CX555" s="319" t="s">
        <v>190</v>
      </c>
      <c r="CY555" s="319" t="s">
        <v>190</v>
      </c>
      <c r="CZ555" s="319" t="s">
        <v>190</v>
      </c>
      <c r="DA555" s="319" t="s">
        <v>190</v>
      </c>
      <c r="DB555" s="319" t="s">
        <v>190</v>
      </c>
      <c r="DC555" s="319" t="s">
        <v>190</v>
      </c>
      <c r="DD555" s="319" t="s">
        <v>190</v>
      </c>
      <c r="DE555" s="319" t="s">
        <v>190</v>
      </c>
      <c r="DF555" s="319" t="s">
        <v>190</v>
      </c>
      <c r="DG555" s="319" t="s">
        <v>190</v>
      </c>
      <c r="DH555" s="319" t="s">
        <v>190</v>
      </c>
      <c r="DI555" s="319" t="s">
        <v>190</v>
      </c>
      <c r="DJ555" s="319" t="s">
        <v>190</v>
      </c>
      <c r="DK555" s="319" t="s">
        <v>190</v>
      </c>
      <c r="DL555" s="319" t="s">
        <v>190</v>
      </c>
      <c r="DM555" s="319" t="s">
        <v>190</v>
      </c>
      <c r="DN555" s="319" t="s">
        <v>429</v>
      </c>
      <c r="DO555" s="319" t="s">
        <v>190</v>
      </c>
      <c r="DP555" s="319" t="s">
        <v>429</v>
      </c>
      <c r="DQ555" s="319" t="s">
        <v>429</v>
      </c>
      <c r="DR555" s="319" t="s">
        <v>429</v>
      </c>
      <c r="DS555" s="319" t="s">
        <v>429</v>
      </c>
      <c r="DT555" s="319" t="s">
        <v>429</v>
      </c>
      <c r="DU555" s="319" t="s">
        <v>429</v>
      </c>
      <c r="DV555" s="319" t="s">
        <v>173</v>
      </c>
      <c r="DW555" s="319" t="s">
        <v>429</v>
      </c>
      <c r="DX555" s="319" t="s">
        <v>429</v>
      </c>
      <c r="DY555" s="319" t="s">
        <v>429</v>
      </c>
      <c r="DZ555" s="319" t="s">
        <v>429</v>
      </c>
      <c r="EA555" s="319" t="s">
        <v>429</v>
      </c>
      <c r="EB555" s="319" t="s">
        <v>429</v>
      </c>
      <c r="EC555" s="319" t="s">
        <v>429</v>
      </c>
      <c r="ED555" s="319" t="s">
        <v>429</v>
      </c>
      <c r="EE555" s="319" t="s">
        <v>190</v>
      </c>
      <c r="EF555" s="319" t="s">
        <v>190</v>
      </c>
      <c r="EG555" s="319" t="s">
        <v>190</v>
      </c>
      <c r="EH555" s="319" t="s">
        <v>190</v>
      </c>
      <c r="EI555" s="319" t="s">
        <v>190</v>
      </c>
      <c r="EJ555" s="319" t="s">
        <v>190</v>
      </c>
      <c r="EK555" s="319" t="s">
        <v>190</v>
      </c>
      <c r="EL555" s="319" t="s">
        <v>190</v>
      </c>
      <c r="EM555" s="319" t="s">
        <v>190</v>
      </c>
      <c r="EN555" s="319" t="s">
        <v>190</v>
      </c>
      <c r="EO555" s="319" t="s">
        <v>190</v>
      </c>
      <c r="EP555" s="319" t="s">
        <v>190</v>
      </c>
      <c r="EQ555" s="319" t="s">
        <v>190</v>
      </c>
      <c r="ER555" s="319" t="s">
        <v>190</v>
      </c>
      <c r="ES555" s="319" t="s">
        <v>190</v>
      </c>
      <c r="ET555" s="319" t="s">
        <v>190</v>
      </c>
      <c r="EU555" s="319" t="s">
        <v>190</v>
      </c>
      <c r="EV555" s="319" t="s">
        <v>190</v>
      </c>
      <c r="EW555" s="319" t="s">
        <v>190</v>
      </c>
      <c r="EX555" s="319" t="s">
        <v>190</v>
      </c>
      <c r="EY555" s="319" t="s">
        <v>190</v>
      </c>
      <c r="EZ555" s="319" t="s">
        <v>190</v>
      </c>
      <c r="FA555" s="319" t="s">
        <v>190</v>
      </c>
      <c r="FB555" s="319" t="s">
        <v>429</v>
      </c>
      <c r="FC555" s="319" t="s">
        <v>429</v>
      </c>
      <c r="FD555" s="319" t="s">
        <v>429</v>
      </c>
      <c r="FE555" s="319" t="s">
        <v>429</v>
      </c>
      <c r="FF555" s="319" t="s">
        <v>429</v>
      </c>
      <c r="FG555" s="319" t="s">
        <v>429</v>
      </c>
      <c r="FH555" s="319" t="s">
        <v>429</v>
      </c>
      <c r="FI555" s="319" t="s">
        <v>429</v>
      </c>
      <c r="FJ555" s="319" t="s">
        <v>429</v>
      </c>
      <c r="FK555" s="319" t="s">
        <v>429</v>
      </c>
      <c r="FL555" s="319" t="s">
        <v>190</v>
      </c>
      <c r="FM555" s="319" t="s">
        <v>190</v>
      </c>
      <c r="FN555" s="319" t="s">
        <v>190</v>
      </c>
      <c r="FO555" s="319" t="s">
        <v>190</v>
      </c>
      <c r="FP555" s="319" t="s">
        <v>190</v>
      </c>
      <c r="FQ555" s="319" t="s">
        <v>190</v>
      </c>
      <c r="FR555" s="319" t="s">
        <v>190</v>
      </c>
      <c r="FS555" s="319" t="s">
        <v>429</v>
      </c>
      <c r="FT555" s="319" t="s">
        <v>429</v>
      </c>
      <c r="FU555" s="319" t="s">
        <v>190</v>
      </c>
      <c r="FV555" s="319" t="s">
        <v>190</v>
      </c>
      <c r="FW555" s="319" t="s">
        <v>190</v>
      </c>
      <c r="FX555" s="319" t="s">
        <v>190</v>
      </c>
      <c r="FY555" s="319" t="s">
        <v>190</v>
      </c>
      <c r="FZ555" s="319" t="s">
        <v>190</v>
      </c>
      <c r="GA555" s="319" t="s">
        <v>190</v>
      </c>
      <c r="GB555" s="319" t="s">
        <v>190</v>
      </c>
      <c r="GC555" s="319" t="s">
        <v>190</v>
      </c>
      <c r="GD555" s="319" t="s">
        <v>190</v>
      </c>
      <c r="GE555" s="319" t="s">
        <v>190</v>
      </c>
      <c r="GF555" s="319" t="s">
        <v>190</v>
      </c>
      <c r="GG555" s="319" t="s">
        <v>190</v>
      </c>
      <c r="GH555" s="319" t="s">
        <v>190</v>
      </c>
      <c r="GI555" s="319" t="s">
        <v>190</v>
      </c>
      <c r="GJ555" s="319" t="s">
        <v>190</v>
      </c>
      <c r="GK555" s="319" t="s">
        <v>429</v>
      </c>
      <c r="GL555" s="319" t="s">
        <v>190</v>
      </c>
      <c r="GM555" s="319" t="s">
        <v>190</v>
      </c>
      <c r="GN555" s="319" t="s">
        <v>190</v>
      </c>
      <c r="GO555" s="319" t="s">
        <v>190</v>
      </c>
      <c r="GP555" s="319" t="s">
        <v>190</v>
      </c>
      <c r="GQ555" s="319" t="s">
        <v>429</v>
      </c>
      <c r="GR555" s="319" t="s">
        <v>190</v>
      </c>
      <c r="GS555" s="319" t="s">
        <v>190</v>
      </c>
      <c r="GT555" s="319" t="s">
        <v>190</v>
      </c>
      <c r="GU555" s="319" t="s">
        <v>190</v>
      </c>
      <c r="GV555" s="319" t="s">
        <v>190</v>
      </c>
      <c r="GW555" s="319" t="s">
        <v>190</v>
      </c>
      <c r="GX555" s="319" t="s">
        <v>190</v>
      </c>
      <c r="GY555" s="319" t="s">
        <v>190</v>
      </c>
      <c r="GZ555" s="319" t="s">
        <v>190</v>
      </c>
      <c r="HA555" s="319" t="s">
        <v>190</v>
      </c>
      <c r="HB555" s="319" t="s">
        <v>429</v>
      </c>
      <c r="HC555" s="319" t="s">
        <v>190</v>
      </c>
      <c r="HD555" s="319" t="s">
        <v>190</v>
      </c>
      <c r="HE555" s="319" t="s">
        <v>190</v>
      </c>
      <c r="HF555" s="319" t="s">
        <v>190</v>
      </c>
      <c r="HG555" s="319" t="s">
        <v>190</v>
      </c>
      <c r="HH555" s="319" t="s">
        <v>190</v>
      </c>
      <c r="HI555" s="319" t="s">
        <v>190</v>
      </c>
      <c r="HJ555" s="319" t="s">
        <v>190</v>
      </c>
      <c r="HK555" s="319" t="s">
        <v>190</v>
      </c>
      <c r="HL555" s="319" t="s">
        <v>429</v>
      </c>
      <c r="HM555" s="319" t="s">
        <v>429</v>
      </c>
      <c r="HN555" s="319" t="s">
        <v>429</v>
      </c>
      <c r="HO555" s="319" t="s">
        <v>429</v>
      </c>
      <c r="HP555" s="319" t="s">
        <v>190</v>
      </c>
      <c r="HQ555" s="319" t="s">
        <v>190</v>
      </c>
      <c r="HR555" s="319" t="s">
        <v>190</v>
      </c>
      <c r="HS555" s="319" t="s">
        <v>190</v>
      </c>
      <c r="HT555" s="319" t="s">
        <v>190</v>
      </c>
      <c r="HU555" s="319" t="s">
        <v>190</v>
      </c>
      <c r="HV555" s="319" t="s">
        <v>190</v>
      </c>
      <c r="HW555" s="319" t="s">
        <v>190</v>
      </c>
      <c r="HX555" s="319" t="s">
        <v>190</v>
      </c>
      <c r="HY555" s="319" t="s">
        <v>190</v>
      </c>
      <c r="HZ555" s="319" t="s">
        <v>190</v>
      </c>
      <c r="IA555" s="319" t="s">
        <v>190</v>
      </c>
      <c r="IB555" s="319" t="s">
        <v>190</v>
      </c>
      <c r="IC555" s="319" t="s">
        <v>190</v>
      </c>
      <c r="ID555" s="319" t="s">
        <v>190</v>
      </c>
      <c r="IE555" s="319" t="s">
        <v>190</v>
      </c>
      <c r="IF555" s="319" t="s">
        <v>190</v>
      </c>
      <c r="IG555" s="319" t="s">
        <v>190</v>
      </c>
      <c r="IH555" s="319" t="s">
        <v>190</v>
      </c>
      <c r="II555" s="319" t="s">
        <v>190</v>
      </c>
      <c r="IJ555" s="319" t="s">
        <v>3319</v>
      </c>
      <c r="IK555" s="321">
        <v>41172</v>
      </c>
      <c r="IL555" s="321">
        <v>41173</v>
      </c>
      <c r="IM555" s="321">
        <v>41191</v>
      </c>
      <c r="IN555" s="319">
        <v>2</v>
      </c>
      <c r="IO555" s="319" t="s">
        <v>173</v>
      </c>
      <c r="IP555" s="319" t="s">
        <v>173</v>
      </c>
      <c r="IQ555" s="321" t="s">
        <v>173</v>
      </c>
      <c r="IR555" s="320" t="s">
        <v>173</v>
      </c>
      <c r="IS555" s="322" t="s">
        <v>173</v>
      </c>
      <c r="IT555" s="319" t="s">
        <v>173</v>
      </c>
    </row>
    <row r="556" spans="1:254" s="271" customFormat="1" x14ac:dyDescent="0.25">
      <c r="A556" s="318" t="str">
        <f>HYPERLINK("http://www.ofsted.gov.uk/inspection-reports/find-inspection-report/provider/ELS/135689 ","Ofsted School Webpage")</f>
        <v>Ofsted School Webpage</v>
      </c>
      <c r="B556" s="319">
        <v>135689</v>
      </c>
      <c r="C556" s="319">
        <v>9356226</v>
      </c>
      <c r="D556" s="319" t="s">
        <v>1969</v>
      </c>
      <c r="E556" s="319" t="s">
        <v>167</v>
      </c>
      <c r="F556" s="319" t="s">
        <v>81</v>
      </c>
      <c r="G556" s="319" t="s">
        <v>81</v>
      </c>
      <c r="H556" s="319" t="s">
        <v>81</v>
      </c>
      <c r="I556" s="319" t="s">
        <v>78</v>
      </c>
      <c r="J556" s="319" t="s">
        <v>424</v>
      </c>
      <c r="K556" s="319" t="s">
        <v>451</v>
      </c>
      <c r="L556" s="319" t="s">
        <v>451</v>
      </c>
      <c r="M556" s="319" t="s">
        <v>839</v>
      </c>
      <c r="N556" s="319" t="s">
        <v>3320</v>
      </c>
      <c r="O556" s="319" t="s">
        <v>1970</v>
      </c>
      <c r="P556" s="319">
        <v>51</v>
      </c>
      <c r="Q556" s="319" t="s">
        <v>2766</v>
      </c>
      <c r="R556" s="320">
        <v>10008596</v>
      </c>
      <c r="S556" s="321">
        <v>42626</v>
      </c>
      <c r="T556" s="321">
        <v>42628</v>
      </c>
      <c r="U556" s="321">
        <v>42675</v>
      </c>
      <c r="V556" s="319" t="s">
        <v>425</v>
      </c>
      <c r="W556" s="319" t="s">
        <v>2767</v>
      </c>
      <c r="X556" s="319">
        <v>2</v>
      </c>
      <c r="Y556" s="319" t="s">
        <v>173</v>
      </c>
      <c r="Z556" s="319" t="s">
        <v>173</v>
      </c>
      <c r="AA556" s="319" t="s">
        <v>173</v>
      </c>
      <c r="AB556" s="319">
        <v>2</v>
      </c>
      <c r="AC556" s="319" t="s">
        <v>169</v>
      </c>
      <c r="AD556" s="319">
        <v>2</v>
      </c>
      <c r="AE556" s="319" t="s">
        <v>173</v>
      </c>
      <c r="AF556" s="319" t="s">
        <v>173</v>
      </c>
      <c r="AG556" s="319" t="s">
        <v>171</v>
      </c>
      <c r="AH556" s="319" t="s">
        <v>190</v>
      </c>
      <c r="AI556" s="319" t="s">
        <v>190</v>
      </c>
      <c r="AJ556" s="319" t="s">
        <v>190</v>
      </c>
      <c r="AK556" s="319" t="s">
        <v>190</v>
      </c>
      <c r="AL556" s="319" t="s">
        <v>190</v>
      </c>
      <c r="AM556" s="319" t="s">
        <v>190</v>
      </c>
      <c r="AN556" s="319" t="s">
        <v>190</v>
      </c>
      <c r="AO556" s="319" t="s">
        <v>190</v>
      </c>
      <c r="AP556" s="319" t="s">
        <v>190</v>
      </c>
      <c r="AQ556" s="319" t="s">
        <v>190</v>
      </c>
      <c r="AR556" s="319" t="s">
        <v>190</v>
      </c>
      <c r="AS556" s="319" t="s">
        <v>190</v>
      </c>
      <c r="AT556" s="319" t="s">
        <v>190</v>
      </c>
      <c r="AU556" s="319" t="s">
        <v>190</v>
      </c>
      <c r="AV556" s="319" t="s">
        <v>190</v>
      </c>
      <c r="AW556" s="319" t="s">
        <v>190</v>
      </c>
      <c r="AX556" s="319" t="s">
        <v>429</v>
      </c>
      <c r="AY556" s="319" t="s">
        <v>190</v>
      </c>
      <c r="AZ556" s="319" t="s">
        <v>190</v>
      </c>
      <c r="BA556" s="319" t="s">
        <v>190</v>
      </c>
      <c r="BB556" s="319" t="s">
        <v>429</v>
      </c>
      <c r="BC556" s="319" t="s">
        <v>429</v>
      </c>
      <c r="BD556" s="319" t="s">
        <v>429</v>
      </c>
      <c r="BE556" s="319" t="s">
        <v>429</v>
      </c>
      <c r="BF556" s="319" t="s">
        <v>190</v>
      </c>
      <c r="BG556" s="319" t="s">
        <v>429</v>
      </c>
      <c r="BH556" s="319" t="s">
        <v>190</v>
      </c>
      <c r="BI556" s="319" t="s">
        <v>190</v>
      </c>
      <c r="BJ556" s="319" t="s">
        <v>190</v>
      </c>
      <c r="BK556" s="319" t="s">
        <v>190</v>
      </c>
      <c r="BL556" s="319" t="s">
        <v>190</v>
      </c>
      <c r="BM556" s="319" t="s">
        <v>190</v>
      </c>
      <c r="BN556" s="319" t="s">
        <v>190</v>
      </c>
      <c r="BO556" s="319" t="s">
        <v>190</v>
      </c>
      <c r="BP556" s="319" t="s">
        <v>190</v>
      </c>
      <c r="BQ556" s="319" t="s">
        <v>190</v>
      </c>
      <c r="BR556" s="319" t="s">
        <v>190</v>
      </c>
      <c r="BS556" s="319" t="s">
        <v>190</v>
      </c>
      <c r="BT556" s="319" t="s">
        <v>190</v>
      </c>
      <c r="BU556" s="319" t="s">
        <v>190</v>
      </c>
      <c r="BV556" s="319" t="s">
        <v>190</v>
      </c>
      <c r="BW556" s="319" t="s">
        <v>190</v>
      </c>
      <c r="BX556" s="319" t="s">
        <v>190</v>
      </c>
      <c r="BY556" s="319" t="s">
        <v>190</v>
      </c>
      <c r="BZ556" s="319" t="s">
        <v>190</v>
      </c>
      <c r="CA556" s="319" t="s">
        <v>190</v>
      </c>
      <c r="CB556" s="319" t="s">
        <v>190</v>
      </c>
      <c r="CC556" s="319" t="s">
        <v>190</v>
      </c>
      <c r="CD556" s="319" t="s">
        <v>190</v>
      </c>
      <c r="CE556" s="319" t="s">
        <v>190</v>
      </c>
      <c r="CF556" s="319" t="s">
        <v>190</v>
      </c>
      <c r="CG556" s="319" t="s">
        <v>190</v>
      </c>
      <c r="CH556" s="319" t="s">
        <v>190</v>
      </c>
      <c r="CI556" s="319" t="s">
        <v>190</v>
      </c>
      <c r="CJ556" s="319" t="s">
        <v>190</v>
      </c>
      <c r="CK556" s="319" t="s">
        <v>190</v>
      </c>
      <c r="CL556" s="319" t="s">
        <v>190</v>
      </c>
      <c r="CM556" s="319" t="s">
        <v>190</v>
      </c>
      <c r="CN556" s="319" t="s">
        <v>429</v>
      </c>
      <c r="CO556" s="319" t="s">
        <v>429</v>
      </c>
      <c r="CP556" s="319" t="s">
        <v>429</v>
      </c>
      <c r="CQ556" s="319" t="s">
        <v>190</v>
      </c>
      <c r="CR556" s="319" t="s">
        <v>190</v>
      </c>
      <c r="CS556" s="319" t="s">
        <v>190</v>
      </c>
      <c r="CT556" s="319" t="s">
        <v>190</v>
      </c>
      <c r="CU556" s="319" t="s">
        <v>190</v>
      </c>
      <c r="CV556" s="319" t="s">
        <v>190</v>
      </c>
      <c r="CW556" s="319" t="s">
        <v>190</v>
      </c>
      <c r="CX556" s="319" t="s">
        <v>190</v>
      </c>
      <c r="CY556" s="319" t="s">
        <v>190</v>
      </c>
      <c r="CZ556" s="319" t="s">
        <v>190</v>
      </c>
      <c r="DA556" s="319" t="s">
        <v>190</v>
      </c>
      <c r="DB556" s="319" t="s">
        <v>190</v>
      </c>
      <c r="DC556" s="319" t="s">
        <v>190</v>
      </c>
      <c r="DD556" s="319" t="s">
        <v>190</v>
      </c>
      <c r="DE556" s="319" t="s">
        <v>190</v>
      </c>
      <c r="DF556" s="319" t="s">
        <v>190</v>
      </c>
      <c r="DG556" s="319" t="s">
        <v>190</v>
      </c>
      <c r="DH556" s="319" t="s">
        <v>190</v>
      </c>
      <c r="DI556" s="319" t="s">
        <v>190</v>
      </c>
      <c r="DJ556" s="319" t="s">
        <v>190</v>
      </c>
      <c r="DK556" s="319" t="s">
        <v>190</v>
      </c>
      <c r="DL556" s="319" t="s">
        <v>190</v>
      </c>
      <c r="DM556" s="319" t="s">
        <v>429</v>
      </c>
      <c r="DN556" s="319" t="s">
        <v>429</v>
      </c>
      <c r="DO556" s="319" t="s">
        <v>429</v>
      </c>
      <c r="DP556" s="319" t="s">
        <v>429</v>
      </c>
      <c r="DQ556" s="319" t="s">
        <v>429</v>
      </c>
      <c r="DR556" s="319" t="s">
        <v>429</v>
      </c>
      <c r="DS556" s="319" t="s">
        <v>429</v>
      </c>
      <c r="DT556" s="319" t="s">
        <v>429</v>
      </c>
      <c r="DU556" s="319" t="s">
        <v>429</v>
      </c>
      <c r="DV556" s="319" t="s">
        <v>173</v>
      </c>
      <c r="DW556" s="319" t="s">
        <v>429</v>
      </c>
      <c r="DX556" s="319" t="s">
        <v>429</v>
      </c>
      <c r="DY556" s="319" t="s">
        <v>429</v>
      </c>
      <c r="DZ556" s="319" t="s">
        <v>429</v>
      </c>
      <c r="EA556" s="319" t="s">
        <v>429</v>
      </c>
      <c r="EB556" s="319" t="s">
        <v>429</v>
      </c>
      <c r="EC556" s="319" t="s">
        <v>429</v>
      </c>
      <c r="ED556" s="319" t="s">
        <v>429</v>
      </c>
      <c r="EE556" s="319" t="s">
        <v>429</v>
      </c>
      <c r="EF556" s="319" t="s">
        <v>429</v>
      </c>
      <c r="EG556" s="319" t="s">
        <v>429</v>
      </c>
      <c r="EH556" s="319" t="s">
        <v>429</v>
      </c>
      <c r="EI556" s="319" t="s">
        <v>429</v>
      </c>
      <c r="EJ556" s="319" t="s">
        <v>429</v>
      </c>
      <c r="EK556" s="319" t="s">
        <v>429</v>
      </c>
      <c r="EL556" s="319" t="s">
        <v>429</v>
      </c>
      <c r="EM556" s="319" t="s">
        <v>429</v>
      </c>
      <c r="EN556" s="319" t="s">
        <v>190</v>
      </c>
      <c r="EO556" s="319" t="s">
        <v>190</v>
      </c>
      <c r="EP556" s="319" t="s">
        <v>190</v>
      </c>
      <c r="EQ556" s="319" t="s">
        <v>190</v>
      </c>
      <c r="ER556" s="319" t="s">
        <v>190</v>
      </c>
      <c r="ES556" s="319" t="s">
        <v>190</v>
      </c>
      <c r="ET556" s="319" t="s">
        <v>190</v>
      </c>
      <c r="EU556" s="319" t="s">
        <v>190</v>
      </c>
      <c r="EV556" s="319" t="s">
        <v>190</v>
      </c>
      <c r="EW556" s="319" t="s">
        <v>190</v>
      </c>
      <c r="EX556" s="319" t="s">
        <v>429</v>
      </c>
      <c r="EY556" s="319" t="s">
        <v>429</v>
      </c>
      <c r="EZ556" s="319" t="s">
        <v>190</v>
      </c>
      <c r="FA556" s="319" t="s">
        <v>429</v>
      </c>
      <c r="FB556" s="319" t="s">
        <v>429</v>
      </c>
      <c r="FC556" s="319" t="s">
        <v>429</v>
      </c>
      <c r="FD556" s="319" t="s">
        <v>429</v>
      </c>
      <c r="FE556" s="319" t="s">
        <v>429</v>
      </c>
      <c r="FF556" s="319" t="s">
        <v>429</v>
      </c>
      <c r="FG556" s="319" t="s">
        <v>429</v>
      </c>
      <c r="FH556" s="319" t="s">
        <v>429</v>
      </c>
      <c r="FI556" s="319" t="s">
        <v>429</v>
      </c>
      <c r="FJ556" s="319" t="s">
        <v>429</v>
      </c>
      <c r="FK556" s="319" t="s">
        <v>429</v>
      </c>
      <c r="FL556" s="319" t="s">
        <v>190</v>
      </c>
      <c r="FM556" s="319" t="s">
        <v>190</v>
      </c>
      <c r="FN556" s="319" t="s">
        <v>190</v>
      </c>
      <c r="FO556" s="319" t="s">
        <v>429</v>
      </c>
      <c r="FP556" s="319" t="s">
        <v>190</v>
      </c>
      <c r="FQ556" s="319" t="s">
        <v>190</v>
      </c>
      <c r="FR556" s="319" t="s">
        <v>190</v>
      </c>
      <c r="FS556" s="319" t="s">
        <v>429</v>
      </c>
      <c r="FT556" s="319" t="s">
        <v>190</v>
      </c>
      <c r="FU556" s="319" t="s">
        <v>190</v>
      </c>
      <c r="FV556" s="319" t="s">
        <v>190</v>
      </c>
      <c r="FW556" s="319" t="s">
        <v>190</v>
      </c>
      <c r="FX556" s="319" t="s">
        <v>190</v>
      </c>
      <c r="FY556" s="319" t="s">
        <v>190</v>
      </c>
      <c r="FZ556" s="319" t="s">
        <v>190</v>
      </c>
      <c r="GA556" s="319" t="s">
        <v>190</v>
      </c>
      <c r="GB556" s="319" t="s">
        <v>190</v>
      </c>
      <c r="GC556" s="319" t="s">
        <v>190</v>
      </c>
      <c r="GD556" s="319" t="s">
        <v>190</v>
      </c>
      <c r="GE556" s="319" t="s">
        <v>190</v>
      </c>
      <c r="GF556" s="319" t="s">
        <v>190</v>
      </c>
      <c r="GG556" s="319" t="s">
        <v>190</v>
      </c>
      <c r="GH556" s="319" t="s">
        <v>190</v>
      </c>
      <c r="GI556" s="319" t="s">
        <v>190</v>
      </c>
      <c r="GJ556" s="319" t="s">
        <v>190</v>
      </c>
      <c r="GK556" s="319" t="s">
        <v>429</v>
      </c>
      <c r="GL556" s="319" t="s">
        <v>190</v>
      </c>
      <c r="GM556" s="319" t="s">
        <v>190</v>
      </c>
      <c r="GN556" s="319" t="s">
        <v>190</v>
      </c>
      <c r="GO556" s="319" t="s">
        <v>190</v>
      </c>
      <c r="GP556" s="319" t="s">
        <v>190</v>
      </c>
      <c r="GQ556" s="319" t="s">
        <v>429</v>
      </c>
      <c r="GR556" s="319" t="s">
        <v>190</v>
      </c>
      <c r="GS556" s="319" t="s">
        <v>190</v>
      </c>
      <c r="GT556" s="319" t="s">
        <v>429</v>
      </c>
      <c r="GU556" s="319" t="s">
        <v>429</v>
      </c>
      <c r="GV556" s="319" t="s">
        <v>190</v>
      </c>
      <c r="GW556" s="319" t="s">
        <v>190</v>
      </c>
      <c r="GX556" s="319" t="s">
        <v>190</v>
      </c>
      <c r="GY556" s="319" t="s">
        <v>190</v>
      </c>
      <c r="GZ556" s="319" t="s">
        <v>190</v>
      </c>
      <c r="HA556" s="319" t="s">
        <v>190</v>
      </c>
      <c r="HB556" s="319" t="s">
        <v>190</v>
      </c>
      <c r="HC556" s="319" t="s">
        <v>190</v>
      </c>
      <c r="HD556" s="319" t="s">
        <v>190</v>
      </c>
      <c r="HE556" s="319" t="s">
        <v>190</v>
      </c>
      <c r="HF556" s="319" t="s">
        <v>190</v>
      </c>
      <c r="HG556" s="319" t="s">
        <v>190</v>
      </c>
      <c r="HH556" s="319" t="s">
        <v>190</v>
      </c>
      <c r="HI556" s="319" t="s">
        <v>190</v>
      </c>
      <c r="HJ556" s="319" t="s">
        <v>190</v>
      </c>
      <c r="HK556" s="319" t="s">
        <v>190</v>
      </c>
      <c r="HL556" s="319" t="s">
        <v>429</v>
      </c>
      <c r="HM556" s="319" t="s">
        <v>429</v>
      </c>
      <c r="HN556" s="319" t="s">
        <v>429</v>
      </c>
      <c r="HO556" s="319" t="s">
        <v>429</v>
      </c>
      <c r="HP556" s="319" t="s">
        <v>190</v>
      </c>
      <c r="HQ556" s="319" t="s">
        <v>190</v>
      </c>
      <c r="HR556" s="319" t="s">
        <v>190</v>
      </c>
      <c r="HS556" s="319" t="s">
        <v>190</v>
      </c>
      <c r="HT556" s="319" t="s">
        <v>190</v>
      </c>
      <c r="HU556" s="319" t="s">
        <v>190</v>
      </c>
      <c r="HV556" s="319" t="s">
        <v>190</v>
      </c>
      <c r="HW556" s="319" t="s">
        <v>190</v>
      </c>
      <c r="HX556" s="319" t="s">
        <v>190</v>
      </c>
      <c r="HY556" s="319" t="s">
        <v>190</v>
      </c>
      <c r="HZ556" s="319" t="s">
        <v>190</v>
      </c>
      <c r="IA556" s="319" t="s">
        <v>190</v>
      </c>
      <c r="IB556" s="319" t="s">
        <v>190</v>
      </c>
      <c r="IC556" s="319" t="s">
        <v>190</v>
      </c>
      <c r="ID556" s="319" t="s">
        <v>190</v>
      </c>
      <c r="IE556" s="319" t="s">
        <v>190</v>
      </c>
      <c r="IF556" s="319" t="s">
        <v>190</v>
      </c>
      <c r="IG556" s="319" t="s">
        <v>190</v>
      </c>
      <c r="IH556" s="319" t="s">
        <v>190</v>
      </c>
      <c r="II556" s="319" t="s">
        <v>190</v>
      </c>
      <c r="IJ556" s="319" t="s">
        <v>3321</v>
      </c>
      <c r="IK556" s="321">
        <v>41337</v>
      </c>
      <c r="IL556" s="321">
        <v>41339</v>
      </c>
      <c r="IM556" s="321">
        <v>41359</v>
      </c>
      <c r="IN556" s="319">
        <v>3</v>
      </c>
      <c r="IO556" s="319" t="s">
        <v>173</v>
      </c>
      <c r="IP556" s="319" t="s">
        <v>173</v>
      </c>
      <c r="IQ556" s="319" t="s">
        <v>173</v>
      </c>
      <c r="IR556" s="320" t="s">
        <v>173</v>
      </c>
      <c r="IS556" s="320" t="s">
        <v>173</v>
      </c>
      <c r="IT556" s="319" t="s">
        <v>173</v>
      </c>
    </row>
    <row r="557" spans="1:254" s="271" customFormat="1" x14ac:dyDescent="0.25">
      <c r="A557" s="318" t="str">
        <f>HYPERLINK("http://www.ofsted.gov.uk/inspection-reports/find-inspection-report/provider/ELS/135691 ","Ofsted School Webpage")</f>
        <v>Ofsted School Webpage</v>
      </c>
      <c r="B557" s="319">
        <v>135691</v>
      </c>
      <c r="C557" s="319">
        <v>9386228</v>
      </c>
      <c r="D557" s="319" t="s">
        <v>1971</v>
      </c>
      <c r="E557" s="319" t="s">
        <v>168</v>
      </c>
      <c r="F557" s="319" t="s">
        <v>81</v>
      </c>
      <c r="G557" s="319" t="s">
        <v>81</v>
      </c>
      <c r="H557" s="319" t="s">
        <v>81</v>
      </c>
      <c r="I557" s="319" t="s">
        <v>78</v>
      </c>
      <c r="J557" s="319" t="s">
        <v>424</v>
      </c>
      <c r="K557" s="319" t="s">
        <v>514</v>
      </c>
      <c r="L557" s="319" t="s">
        <v>514</v>
      </c>
      <c r="M557" s="319" t="s">
        <v>737</v>
      </c>
      <c r="N557" s="319" t="s">
        <v>3263</v>
      </c>
      <c r="O557" s="319" t="s">
        <v>1972</v>
      </c>
      <c r="P557" s="319">
        <v>30</v>
      </c>
      <c r="Q557" s="319" t="s">
        <v>429</v>
      </c>
      <c r="R557" s="320">
        <v>10098843</v>
      </c>
      <c r="S557" s="321">
        <v>43599</v>
      </c>
      <c r="T557" s="321">
        <v>43601</v>
      </c>
      <c r="U557" s="321">
        <v>43640</v>
      </c>
      <c r="V557" s="319" t="s">
        <v>425</v>
      </c>
      <c r="W557" s="319" t="s">
        <v>2767</v>
      </c>
      <c r="X557" s="319">
        <v>4</v>
      </c>
      <c r="Y557" s="319" t="s">
        <v>173</v>
      </c>
      <c r="Z557" s="319" t="s">
        <v>173</v>
      </c>
      <c r="AA557" s="319" t="s">
        <v>173</v>
      </c>
      <c r="AB557" s="319">
        <v>4</v>
      </c>
      <c r="AC557" s="319" t="s">
        <v>170</v>
      </c>
      <c r="AD557" s="319" t="s">
        <v>173</v>
      </c>
      <c r="AE557" s="319" t="s">
        <v>173</v>
      </c>
      <c r="AF557" s="319" t="s">
        <v>427</v>
      </c>
      <c r="AG557" s="319" t="s">
        <v>172</v>
      </c>
      <c r="AH557" s="319" t="s">
        <v>479</v>
      </c>
      <c r="AI557" s="319" t="s">
        <v>190</v>
      </c>
      <c r="AJ557" s="319" t="s">
        <v>479</v>
      </c>
      <c r="AK557" s="319" t="s">
        <v>479</v>
      </c>
      <c r="AL557" s="319" t="s">
        <v>190</v>
      </c>
      <c r="AM557" s="319" t="s">
        <v>479</v>
      </c>
      <c r="AN557" s="319" t="s">
        <v>190</v>
      </c>
      <c r="AO557" s="319" t="s">
        <v>479</v>
      </c>
      <c r="AP557" s="319" t="s">
        <v>191</v>
      </c>
      <c r="AQ557" s="319" t="s">
        <v>191</v>
      </c>
      <c r="AR557" s="319" t="s">
        <v>190</v>
      </c>
      <c r="AS557" s="319" t="s">
        <v>190</v>
      </c>
      <c r="AT557" s="319" t="s">
        <v>190</v>
      </c>
      <c r="AU557" s="319" t="s">
        <v>191</v>
      </c>
      <c r="AV557" s="319" t="s">
        <v>190</v>
      </c>
      <c r="AW557" s="319" t="s">
        <v>190</v>
      </c>
      <c r="AX557" s="319" t="s">
        <v>428</v>
      </c>
      <c r="AY557" s="319" t="s">
        <v>190</v>
      </c>
      <c r="AZ557" s="319" t="s">
        <v>190</v>
      </c>
      <c r="BA557" s="319" t="s">
        <v>190</v>
      </c>
      <c r="BB557" s="319" t="s">
        <v>191</v>
      </c>
      <c r="BC557" s="319" t="s">
        <v>191</v>
      </c>
      <c r="BD557" s="319" t="s">
        <v>191</v>
      </c>
      <c r="BE557" s="319" t="s">
        <v>191</v>
      </c>
      <c r="BF557" s="319" t="s">
        <v>428</v>
      </c>
      <c r="BG557" s="319" t="s">
        <v>428</v>
      </c>
      <c r="BH557" s="319" t="s">
        <v>190</v>
      </c>
      <c r="BI557" s="319" t="s">
        <v>190</v>
      </c>
      <c r="BJ557" s="319" t="s">
        <v>190</v>
      </c>
      <c r="BK557" s="319" t="s">
        <v>190</v>
      </c>
      <c r="BL557" s="319" t="s">
        <v>190</v>
      </c>
      <c r="BM557" s="319" t="s">
        <v>190</v>
      </c>
      <c r="BN557" s="319" t="s">
        <v>190</v>
      </c>
      <c r="BO557" s="319" t="s">
        <v>190</v>
      </c>
      <c r="BP557" s="319" t="s">
        <v>190</v>
      </c>
      <c r="BQ557" s="319" t="s">
        <v>190</v>
      </c>
      <c r="BR557" s="319" t="s">
        <v>190</v>
      </c>
      <c r="BS557" s="319" t="s">
        <v>190</v>
      </c>
      <c r="BT557" s="319" t="s">
        <v>190</v>
      </c>
      <c r="BU557" s="319" t="s">
        <v>190</v>
      </c>
      <c r="BV557" s="319" t="s">
        <v>190</v>
      </c>
      <c r="BW557" s="319" t="s">
        <v>190</v>
      </c>
      <c r="BX557" s="319" t="s">
        <v>190</v>
      </c>
      <c r="BY557" s="319" t="s">
        <v>190</v>
      </c>
      <c r="BZ557" s="319" t="s">
        <v>190</v>
      </c>
      <c r="CA557" s="319" t="s">
        <v>190</v>
      </c>
      <c r="CB557" s="319" t="s">
        <v>190</v>
      </c>
      <c r="CC557" s="319" t="s">
        <v>190</v>
      </c>
      <c r="CD557" s="319" t="s">
        <v>190</v>
      </c>
      <c r="CE557" s="319" t="s">
        <v>190</v>
      </c>
      <c r="CF557" s="319" t="s">
        <v>190</v>
      </c>
      <c r="CG557" s="319" t="s">
        <v>190</v>
      </c>
      <c r="CH557" s="319" t="s">
        <v>190</v>
      </c>
      <c r="CI557" s="319" t="s">
        <v>190</v>
      </c>
      <c r="CJ557" s="319" t="s">
        <v>190</v>
      </c>
      <c r="CK557" s="319" t="s">
        <v>191</v>
      </c>
      <c r="CL557" s="319" t="s">
        <v>191</v>
      </c>
      <c r="CM557" s="319" t="s">
        <v>191</v>
      </c>
      <c r="CN557" s="319" t="s">
        <v>428</v>
      </c>
      <c r="CO557" s="319" t="s">
        <v>428</v>
      </c>
      <c r="CP557" s="319" t="s">
        <v>428</v>
      </c>
      <c r="CQ557" s="319" t="s">
        <v>191</v>
      </c>
      <c r="CR557" s="319" t="s">
        <v>191</v>
      </c>
      <c r="CS557" s="319" t="s">
        <v>191</v>
      </c>
      <c r="CT557" s="319" t="s">
        <v>190</v>
      </c>
      <c r="CU557" s="319" t="s">
        <v>190</v>
      </c>
      <c r="CV557" s="319" t="s">
        <v>190</v>
      </c>
      <c r="CW557" s="319" t="s">
        <v>190</v>
      </c>
      <c r="CX557" s="319" t="s">
        <v>190</v>
      </c>
      <c r="CY557" s="319" t="s">
        <v>190</v>
      </c>
      <c r="CZ557" s="319" t="s">
        <v>191</v>
      </c>
      <c r="DA557" s="319" t="s">
        <v>191</v>
      </c>
      <c r="DB557" s="319" t="s">
        <v>191</v>
      </c>
      <c r="DC557" s="319" t="s">
        <v>190</v>
      </c>
      <c r="DD557" s="319" t="s">
        <v>191</v>
      </c>
      <c r="DE557" s="319" t="s">
        <v>190</v>
      </c>
      <c r="DF557" s="319" t="s">
        <v>191</v>
      </c>
      <c r="DG557" s="319" t="s">
        <v>190</v>
      </c>
      <c r="DH557" s="319" t="s">
        <v>190</v>
      </c>
      <c r="DI557" s="319" t="s">
        <v>190</v>
      </c>
      <c r="DJ557" s="319" t="s">
        <v>190</v>
      </c>
      <c r="DK557" s="319" t="s">
        <v>190</v>
      </c>
      <c r="DL557" s="319" t="s">
        <v>190</v>
      </c>
      <c r="DM557" s="319" t="s">
        <v>190</v>
      </c>
      <c r="DN557" s="319" t="s">
        <v>428</v>
      </c>
      <c r="DO557" s="319" t="s">
        <v>190</v>
      </c>
      <c r="DP557" s="319" t="s">
        <v>190</v>
      </c>
      <c r="DQ557" s="319" t="s">
        <v>190</v>
      </c>
      <c r="DR557" s="319" t="s">
        <v>190</v>
      </c>
      <c r="DS557" s="319" t="s">
        <v>190</v>
      </c>
      <c r="DT557" s="319" t="s">
        <v>190</v>
      </c>
      <c r="DU557" s="319" t="s">
        <v>190</v>
      </c>
      <c r="DV557" s="319" t="s">
        <v>173</v>
      </c>
      <c r="DW557" s="319" t="s">
        <v>190</v>
      </c>
      <c r="DX557" s="319" t="s">
        <v>190</v>
      </c>
      <c r="DY557" s="319" t="s">
        <v>190</v>
      </c>
      <c r="DZ557" s="319" t="s">
        <v>190</v>
      </c>
      <c r="EA557" s="319" t="s">
        <v>190</v>
      </c>
      <c r="EB557" s="319" t="s">
        <v>190</v>
      </c>
      <c r="EC557" s="319" t="s">
        <v>428</v>
      </c>
      <c r="ED557" s="319" t="s">
        <v>190</v>
      </c>
      <c r="EE557" s="319" t="s">
        <v>190</v>
      </c>
      <c r="EF557" s="319" t="s">
        <v>190</v>
      </c>
      <c r="EG557" s="319" t="s">
        <v>190</v>
      </c>
      <c r="EH557" s="319" t="s">
        <v>190</v>
      </c>
      <c r="EI557" s="319" t="s">
        <v>190</v>
      </c>
      <c r="EJ557" s="319" t="s">
        <v>190</v>
      </c>
      <c r="EK557" s="319" t="s">
        <v>190</v>
      </c>
      <c r="EL557" s="319" t="s">
        <v>190</v>
      </c>
      <c r="EM557" s="319" t="s">
        <v>190</v>
      </c>
      <c r="EN557" s="319" t="s">
        <v>191</v>
      </c>
      <c r="EO557" s="319" t="s">
        <v>190</v>
      </c>
      <c r="EP557" s="319" t="s">
        <v>191</v>
      </c>
      <c r="EQ557" s="319" t="s">
        <v>191</v>
      </c>
      <c r="ER557" s="319" t="s">
        <v>190</v>
      </c>
      <c r="ES557" s="319" t="s">
        <v>190</v>
      </c>
      <c r="ET557" s="319" t="s">
        <v>191</v>
      </c>
      <c r="EU557" s="319" t="s">
        <v>190</v>
      </c>
      <c r="EV557" s="319" t="s">
        <v>190</v>
      </c>
      <c r="EW557" s="319" t="s">
        <v>190</v>
      </c>
      <c r="EX557" s="319" t="s">
        <v>190</v>
      </c>
      <c r="EY557" s="319" t="s">
        <v>190</v>
      </c>
      <c r="EZ557" s="319" t="s">
        <v>190</v>
      </c>
      <c r="FA557" s="319" t="s">
        <v>190</v>
      </c>
      <c r="FB557" s="319" t="s">
        <v>190</v>
      </c>
      <c r="FC557" s="319" t="s">
        <v>190</v>
      </c>
      <c r="FD557" s="319" t="s">
        <v>190</v>
      </c>
      <c r="FE557" s="319" t="s">
        <v>190</v>
      </c>
      <c r="FF557" s="319" t="s">
        <v>190</v>
      </c>
      <c r="FG557" s="319" t="s">
        <v>190</v>
      </c>
      <c r="FH557" s="319" t="s">
        <v>190</v>
      </c>
      <c r="FI557" s="319" t="s">
        <v>190</v>
      </c>
      <c r="FJ557" s="319" t="s">
        <v>190</v>
      </c>
      <c r="FK557" s="319" t="s">
        <v>190</v>
      </c>
      <c r="FL557" s="319" t="s">
        <v>190</v>
      </c>
      <c r="FM557" s="319" t="s">
        <v>190</v>
      </c>
      <c r="FN557" s="319" t="s">
        <v>190</v>
      </c>
      <c r="FO557" s="319" t="s">
        <v>190</v>
      </c>
      <c r="FP557" s="319" t="s">
        <v>190</v>
      </c>
      <c r="FQ557" s="319" t="s">
        <v>190</v>
      </c>
      <c r="FR557" s="319" t="s">
        <v>190</v>
      </c>
      <c r="FS557" s="319" t="s">
        <v>428</v>
      </c>
      <c r="FT557" s="319" t="s">
        <v>190</v>
      </c>
      <c r="FU557" s="319" t="s">
        <v>190</v>
      </c>
      <c r="FV557" s="319" t="s">
        <v>190</v>
      </c>
      <c r="FW557" s="319" t="s">
        <v>190</v>
      </c>
      <c r="FX557" s="319" t="s">
        <v>190</v>
      </c>
      <c r="FY557" s="319" t="s">
        <v>190</v>
      </c>
      <c r="FZ557" s="319" t="s">
        <v>190</v>
      </c>
      <c r="GA557" s="319" t="s">
        <v>190</v>
      </c>
      <c r="GB557" s="319" t="s">
        <v>190</v>
      </c>
      <c r="GC557" s="319" t="s">
        <v>190</v>
      </c>
      <c r="GD557" s="319" t="s">
        <v>190</v>
      </c>
      <c r="GE557" s="319" t="s">
        <v>190</v>
      </c>
      <c r="GF557" s="319" t="s">
        <v>190</v>
      </c>
      <c r="GG557" s="319" t="s">
        <v>190</v>
      </c>
      <c r="GH557" s="319" t="s">
        <v>190</v>
      </c>
      <c r="GI557" s="319" t="s">
        <v>190</v>
      </c>
      <c r="GJ557" s="319" t="s">
        <v>190</v>
      </c>
      <c r="GK557" s="319" t="s">
        <v>428</v>
      </c>
      <c r="GL557" s="319" t="s">
        <v>191</v>
      </c>
      <c r="GM557" s="319" t="s">
        <v>191</v>
      </c>
      <c r="GN557" s="319" t="s">
        <v>190</v>
      </c>
      <c r="GO557" s="319" t="s">
        <v>190</v>
      </c>
      <c r="GP557" s="319" t="s">
        <v>190</v>
      </c>
      <c r="GQ557" s="319" t="s">
        <v>190</v>
      </c>
      <c r="GR557" s="319" t="s">
        <v>190</v>
      </c>
      <c r="GS557" s="319" t="s">
        <v>190</v>
      </c>
      <c r="GT557" s="319" t="s">
        <v>191</v>
      </c>
      <c r="GU557" s="319" t="s">
        <v>190</v>
      </c>
      <c r="GV557" s="319" t="s">
        <v>190</v>
      </c>
      <c r="GW557" s="319" t="s">
        <v>191</v>
      </c>
      <c r="GX557" s="319" t="s">
        <v>190</v>
      </c>
      <c r="GY557" s="319" t="s">
        <v>191</v>
      </c>
      <c r="GZ557" s="319" t="s">
        <v>191</v>
      </c>
      <c r="HA557" s="319" t="s">
        <v>428</v>
      </c>
      <c r="HB557" s="319" t="s">
        <v>191</v>
      </c>
      <c r="HC557" s="319" t="s">
        <v>190</v>
      </c>
      <c r="HD557" s="319" t="s">
        <v>190</v>
      </c>
      <c r="HE557" s="319" t="s">
        <v>190</v>
      </c>
      <c r="HF557" s="319" t="s">
        <v>190</v>
      </c>
      <c r="HG557" s="319" t="s">
        <v>190</v>
      </c>
      <c r="HH557" s="319" t="s">
        <v>190</v>
      </c>
      <c r="HI557" s="319" t="s">
        <v>190</v>
      </c>
      <c r="HJ557" s="319" t="s">
        <v>190</v>
      </c>
      <c r="HK557" s="319" t="s">
        <v>190</v>
      </c>
      <c r="HL557" s="319" t="s">
        <v>428</v>
      </c>
      <c r="HM557" s="319" t="s">
        <v>428</v>
      </c>
      <c r="HN557" s="319" t="s">
        <v>428</v>
      </c>
      <c r="HO557" s="319" t="s">
        <v>428</v>
      </c>
      <c r="HP557" s="319" t="s">
        <v>190</v>
      </c>
      <c r="HQ557" s="319" t="s">
        <v>190</v>
      </c>
      <c r="HR557" s="319" t="s">
        <v>190</v>
      </c>
      <c r="HS557" s="319" t="s">
        <v>190</v>
      </c>
      <c r="HT557" s="319" t="s">
        <v>190</v>
      </c>
      <c r="HU557" s="319" t="s">
        <v>190</v>
      </c>
      <c r="HV557" s="319" t="s">
        <v>190</v>
      </c>
      <c r="HW557" s="319" t="s">
        <v>190</v>
      </c>
      <c r="HX557" s="319" t="s">
        <v>190</v>
      </c>
      <c r="HY557" s="319" t="s">
        <v>190</v>
      </c>
      <c r="HZ557" s="319" t="s">
        <v>190</v>
      </c>
      <c r="IA557" s="319" t="s">
        <v>190</v>
      </c>
      <c r="IB557" s="319" t="s">
        <v>190</v>
      </c>
      <c r="IC557" s="319" t="s">
        <v>190</v>
      </c>
      <c r="ID557" s="319" t="s">
        <v>190</v>
      </c>
      <c r="IE557" s="319" t="s">
        <v>190</v>
      </c>
      <c r="IF557" s="319" t="s">
        <v>191</v>
      </c>
      <c r="IG557" s="319" t="s">
        <v>191</v>
      </c>
      <c r="IH557" s="319" t="s">
        <v>191</v>
      </c>
      <c r="II557" s="319" t="s">
        <v>191</v>
      </c>
      <c r="IJ557" s="319">
        <v>10006052</v>
      </c>
      <c r="IK557" s="321">
        <v>42654</v>
      </c>
      <c r="IL557" s="321">
        <v>42656</v>
      </c>
      <c r="IM557" s="321">
        <v>42690</v>
      </c>
      <c r="IN557" s="319">
        <v>2</v>
      </c>
      <c r="IO557" s="319">
        <v>10126656</v>
      </c>
      <c r="IP557" s="319" t="s">
        <v>985</v>
      </c>
      <c r="IQ557" s="321">
        <v>43789</v>
      </c>
      <c r="IR557" s="320" t="s">
        <v>2771</v>
      </c>
      <c r="IS557" s="322">
        <v>43804</v>
      </c>
      <c r="IT557" s="319" t="s">
        <v>166</v>
      </c>
    </row>
    <row r="558" spans="1:254" s="271" customFormat="1" x14ac:dyDescent="0.25">
      <c r="A558" s="318" t="str">
        <f>HYPERLINK("http://www.ofsted.gov.uk/inspection-reports/find-inspection-report/provider/ELS/135699 ","Ofsted School Webpage")</f>
        <v>Ofsted School Webpage</v>
      </c>
      <c r="B558" s="319">
        <v>135699</v>
      </c>
      <c r="C558" s="319">
        <v>8216205</v>
      </c>
      <c r="D558" s="319" t="s">
        <v>450</v>
      </c>
      <c r="E558" s="319" t="s">
        <v>167</v>
      </c>
      <c r="F558" s="319" t="s">
        <v>81</v>
      </c>
      <c r="G558" s="319" t="s">
        <v>59</v>
      </c>
      <c r="H558" s="319" t="s">
        <v>59</v>
      </c>
      <c r="I558" s="319" t="s">
        <v>59</v>
      </c>
      <c r="J558" s="319" t="s">
        <v>424</v>
      </c>
      <c r="K558" s="319" t="s">
        <v>451</v>
      </c>
      <c r="L558" s="319" t="s">
        <v>451</v>
      </c>
      <c r="M558" s="319" t="s">
        <v>452</v>
      </c>
      <c r="N558" s="319" t="s">
        <v>3070</v>
      </c>
      <c r="O558" s="319" t="s">
        <v>453</v>
      </c>
      <c r="P558" s="319">
        <v>37</v>
      </c>
      <c r="Q558" s="319" t="s">
        <v>2766</v>
      </c>
      <c r="R558" s="320">
        <v>10054009</v>
      </c>
      <c r="S558" s="321">
        <v>43361</v>
      </c>
      <c r="T558" s="321">
        <v>43363</v>
      </c>
      <c r="U558" s="321">
        <v>43408</v>
      </c>
      <c r="V558" s="319" t="s">
        <v>425</v>
      </c>
      <c r="W558" s="319" t="s">
        <v>2767</v>
      </c>
      <c r="X558" s="319">
        <v>2</v>
      </c>
      <c r="Y558" s="319" t="s">
        <v>173</v>
      </c>
      <c r="Z558" s="319" t="s">
        <v>173</v>
      </c>
      <c r="AA558" s="319" t="s">
        <v>173</v>
      </c>
      <c r="AB558" s="319">
        <v>2</v>
      </c>
      <c r="AC558" s="319" t="s">
        <v>169</v>
      </c>
      <c r="AD558" s="319">
        <v>2</v>
      </c>
      <c r="AE558" s="319" t="s">
        <v>173</v>
      </c>
      <c r="AF558" s="319" t="s">
        <v>427</v>
      </c>
      <c r="AG558" s="319" t="s">
        <v>171</v>
      </c>
      <c r="AH558" s="319" t="s">
        <v>190</v>
      </c>
      <c r="AI558" s="319" t="s">
        <v>190</v>
      </c>
      <c r="AJ558" s="319" t="s">
        <v>190</v>
      </c>
      <c r="AK558" s="319" t="s">
        <v>190</v>
      </c>
      <c r="AL558" s="319" t="s">
        <v>190</v>
      </c>
      <c r="AM558" s="319" t="s">
        <v>190</v>
      </c>
      <c r="AN558" s="319" t="s">
        <v>190</v>
      </c>
      <c r="AO558" s="319" t="s">
        <v>190</v>
      </c>
      <c r="AP558" s="319" t="s">
        <v>190</v>
      </c>
      <c r="AQ558" s="319" t="s">
        <v>190</v>
      </c>
      <c r="AR558" s="319" t="s">
        <v>190</v>
      </c>
      <c r="AS558" s="319" t="s">
        <v>190</v>
      </c>
      <c r="AT558" s="319" t="s">
        <v>190</v>
      </c>
      <c r="AU558" s="319" t="s">
        <v>190</v>
      </c>
      <c r="AV558" s="319" t="s">
        <v>190</v>
      </c>
      <c r="AW558" s="319" t="s">
        <v>190</v>
      </c>
      <c r="AX558" s="319" t="s">
        <v>428</v>
      </c>
      <c r="AY558" s="319" t="s">
        <v>190</v>
      </c>
      <c r="AZ558" s="319" t="s">
        <v>190</v>
      </c>
      <c r="BA558" s="319" t="s">
        <v>190</v>
      </c>
      <c r="BB558" s="319" t="s">
        <v>190</v>
      </c>
      <c r="BC558" s="319" t="s">
        <v>190</v>
      </c>
      <c r="BD558" s="319" t="s">
        <v>190</v>
      </c>
      <c r="BE558" s="319" t="s">
        <v>190</v>
      </c>
      <c r="BF558" s="319" t="s">
        <v>428</v>
      </c>
      <c r="BG558" s="319" t="s">
        <v>428</v>
      </c>
      <c r="BH558" s="319" t="s">
        <v>190</v>
      </c>
      <c r="BI558" s="319" t="s">
        <v>190</v>
      </c>
      <c r="BJ558" s="319" t="s">
        <v>190</v>
      </c>
      <c r="BK558" s="319" t="s">
        <v>190</v>
      </c>
      <c r="BL558" s="319" t="s">
        <v>190</v>
      </c>
      <c r="BM558" s="319" t="s">
        <v>190</v>
      </c>
      <c r="BN558" s="319" t="s">
        <v>190</v>
      </c>
      <c r="BO558" s="319" t="s">
        <v>190</v>
      </c>
      <c r="BP558" s="319" t="s">
        <v>190</v>
      </c>
      <c r="BQ558" s="319" t="s">
        <v>190</v>
      </c>
      <c r="BR558" s="319" t="s">
        <v>190</v>
      </c>
      <c r="BS558" s="319" t="s">
        <v>190</v>
      </c>
      <c r="BT558" s="319" t="s">
        <v>190</v>
      </c>
      <c r="BU558" s="319" t="s">
        <v>190</v>
      </c>
      <c r="BV558" s="319" t="s">
        <v>190</v>
      </c>
      <c r="BW558" s="319" t="s">
        <v>190</v>
      </c>
      <c r="BX558" s="319" t="s">
        <v>190</v>
      </c>
      <c r="BY558" s="319" t="s">
        <v>190</v>
      </c>
      <c r="BZ558" s="319" t="s">
        <v>190</v>
      </c>
      <c r="CA558" s="319" t="s">
        <v>190</v>
      </c>
      <c r="CB558" s="319" t="s">
        <v>190</v>
      </c>
      <c r="CC558" s="319" t="s">
        <v>190</v>
      </c>
      <c r="CD558" s="319" t="s">
        <v>190</v>
      </c>
      <c r="CE558" s="319" t="s">
        <v>190</v>
      </c>
      <c r="CF558" s="319" t="s">
        <v>190</v>
      </c>
      <c r="CG558" s="319" t="s">
        <v>190</v>
      </c>
      <c r="CH558" s="319" t="s">
        <v>190</v>
      </c>
      <c r="CI558" s="319" t="s">
        <v>190</v>
      </c>
      <c r="CJ558" s="319" t="s">
        <v>190</v>
      </c>
      <c r="CK558" s="319" t="s">
        <v>190</v>
      </c>
      <c r="CL558" s="319" t="s">
        <v>190</v>
      </c>
      <c r="CM558" s="319" t="s">
        <v>190</v>
      </c>
      <c r="CN558" s="319" t="s">
        <v>428</v>
      </c>
      <c r="CO558" s="319" t="s">
        <v>428</v>
      </c>
      <c r="CP558" s="319" t="s">
        <v>428</v>
      </c>
      <c r="CQ558" s="319" t="s">
        <v>190</v>
      </c>
      <c r="CR558" s="319" t="s">
        <v>190</v>
      </c>
      <c r="CS558" s="319" t="s">
        <v>190</v>
      </c>
      <c r="CT558" s="319" t="s">
        <v>190</v>
      </c>
      <c r="CU558" s="319" t="s">
        <v>190</v>
      </c>
      <c r="CV558" s="319" t="s">
        <v>190</v>
      </c>
      <c r="CW558" s="319" t="s">
        <v>190</v>
      </c>
      <c r="CX558" s="319" t="s">
        <v>190</v>
      </c>
      <c r="CY558" s="319" t="s">
        <v>190</v>
      </c>
      <c r="CZ558" s="319" t="s">
        <v>190</v>
      </c>
      <c r="DA558" s="319" t="s">
        <v>190</v>
      </c>
      <c r="DB558" s="319" t="s">
        <v>190</v>
      </c>
      <c r="DC558" s="319" t="s">
        <v>190</v>
      </c>
      <c r="DD558" s="319" t="s">
        <v>190</v>
      </c>
      <c r="DE558" s="319" t="s">
        <v>190</v>
      </c>
      <c r="DF558" s="319" t="s">
        <v>190</v>
      </c>
      <c r="DG558" s="319" t="s">
        <v>190</v>
      </c>
      <c r="DH558" s="319" t="s">
        <v>190</v>
      </c>
      <c r="DI558" s="319" t="s">
        <v>190</v>
      </c>
      <c r="DJ558" s="319" t="s">
        <v>190</v>
      </c>
      <c r="DK558" s="319" t="s">
        <v>190</v>
      </c>
      <c r="DL558" s="319" t="s">
        <v>190</v>
      </c>
      <c r="DM558" s="319" t="s">
        <v>428</v>
      </c>
      <c r="DN558" s="319" t="s">
        <v>428</v>
      </c>
      <c r="DO558" s="319" t="s">
        <v>190</v>
      </c>
      <c r="DP558" s="319" t="s">
        <v>428</v>
      </c>
      <c r="DQ558" s="319" t="s">
        <v>428</v>
      </c>
      <c r="DR558" s="319" t="s">
        <v>428</v>
      </c>
      <c r="DS558" s="319" t="s">
        <v>428</v>
      </c>
      <c r="DT558" s="319" t="s">
        <v>428</v>
      </c>
      <c r="DU558" s="319" t="s">
        <v>428</v>
      </c>
      <c r="DV558" s="319" t="s">
        <v>173</v>
      </c>
      <c r="DW558" s="319" t="s">
        <v>428</v>
      </c>
      <c r="DX558" s="319" t="s">
        <v>428</v>
      </c>
      <c r="DY558" s="319" t="s">
        <v>428</v>
      </c>
      <c r="DZ558" s="319" t="s">
        <v>428</v>
      </c>
      <c r="EA558" s="319" t="s">
        <v>428</v>
      </c>
      <c r="EB558" s="319" t="s">
        <v>428</v>
      </c>
      <c r="EC558" s="319" t="s">
        <v>428</v>
      </c>
      <c r="ED558" s="319" t="s">
        <v>428</v>
      </c>
      <c r="EE558" s="319" t="s">
        <v>428</v>
      </c>
      <c r="EF558" s="319" t="s">
        <v>428</v>
      </c>
      <c r="EG558" s="319" t="s">
        <v>428</v>
      </c>
      <c r="EH558" s="319" t="s">
        <v>428</v>
      </c>
      <c r="EI558" s="319" t="s">
        <v>428</v>
      </c>
      <c r="EJ558" s="319" t="s">
        <v>428</v>
      </c>
      <c r="EK558" s="319" t="s">
        <v>428</v>
      </c>
      <c r="EL558" s="319" t="s">
        <v>428</v>
      </c>
      <c r="EM558" s="319" t="s">
        <v>428</v>
      </c>
      <c r="EN558" s="319" t="s">
        <v>190</v>
      </c>
      <c r="EO558" s="319" t="s">
        <v>190</v>
      </c>
      <c r="EP558" s="319" t="s">
        <v>190</v>
      </c>
      <c r="EQ558" s="319" t="s">
        <v>190</v>
      </c>
      <c r="ER558" s="319" t="s">
        <v>190</v>
      </c>
      <c r="ES558" s="319" t="s">
        <v>190</v>
      </c>
      <c r="ET558" s="319" t="s">
        <v>190</v>
      </c>
      <c r="EU558" s="319" t="s">
        <v>190</v>
      </c>
      <c r="EV558" s="319" t="s">
        <v>190</v>
      </c>
      <c r="EW558" s="319" t="s">
        <v>190</v>
      </c>
      <c r="EX558" s="319" t="s">
        <v>190</v>
      </c>
      <c r="EY558" s="319" t="s">
        <v>190</v>
      </c>
      <c r="EZ558" s="319" t="s">
        <v>190</v>
      </c>
      <c r="FA558" s="319" t="s">
        <v>190</v>
      </c>
      <c r="FB558" s="319" t="s">
        <v>428</v>
      </c>
      <c r="FC558" s="319" t="s">
        <v>428</v>
      </c>
      <c r="FD558" s="319" t="s">
        <v>428</v>
      </c>
      <c r="FE558" s="319" t="s">
        <v>428</v>
      </c>
      <c r="FF558" s="319" t="s">
        <v>428</v>
      </c>
      <c r="FG558" s="319" t="s">
        <v>428</v>
      </c>
      <c r="FH558" s="319" t="s">
        <v>428</v>
      </c>
      <c r="FI558" s="319" t="s">
        <v>428</v>
      </c>
      <c r="FJ558" s="319" t="s">
        <v>429</v>
      </c>
      <c r="FK558" s="319" t="s">
        <v>428</v>
      </c>
      <c r="FL558" s="319" t="s">
        <v>190</v>
      </c>
      <c r="FM558" s="319" t="s">
        <v>190</v>
      </c>
      <c r="FN558" s="319" t="s">
        <v>190</v>
      </c>
      <c r="FO558" s="319" t="s">
        <v>190</v>
      </c>
      <c r="FP558" s="319" t="s">
        <v>190</v>
      </c>
      <c r="FQ558" s="319" t="s">
        <v>190</v>
      </c>
      <c r="FR558" s="319" t="s">
        <v>190</v>
      </c>
      <c r="FS558" s="319" t="s">
        <v>428</v>
      </c>
      <c r="FT558" s="319" t="s">
        <v>190</v>
      </c>
      <c r="FU558" s="319" t="s">
        <v>190</v>
      </c>
      <c r="FV558" s="319" t="s">
        <v>190</v>
      </c>
      <c r="FW558" s="319" t="s">
        <v>190</v>
      </c>
      <c r="FX558" s="319" t="s">
        <v>190</v>
      </c>
      <c r="FY558" s="319" t="s">
        <v>190</v>
      </c>
      <c r="FZ558" s="319" t="s">
        <v>190</v>
      </c>
      <c r="GA558" s="319" t="s">
        <v>190</v>
      </c>
      <c r="GB558" s="319" t="s">
        <v>190</v>
      </c>
      <c r="GC558" s="319" t="s">
        <v>190</v>
      </c>
      <c r="GD558" s="319" t="s">
        <v>190</v>
      </c>
      <c r="GE558" s="319" t="s">
        <v>190</v>
      </c>
      <c r="GF558" s="319" t="s">
        <v>190</v>
      </c>
      <c r="GG558" s="319" t="s">
        <v>190</v>
      </c>
      <c r="GH558" s="319" t="s">
        <v>190</v>
      </c>
      <c r="GI558" s="319" t="s">
        <v>190</v>
      </c>
      <c r="GJ558" s="319" t="s">
        <v>190</v>
      </c>
      <c r="GK558" s="319" t="s">
        <v>428</v>
      </c>
      <c r="GL558" s="319" t="s">
        <v>190</v>
      </c>
      <c r="GM558" s="319" t="s">
        <v>190</v>
      </c>
      <c r="GN558" s="319" t="s">
        <v>190</v>
      </c>
      <c r="GO558" s="319" t="s">
        <v>190</v>
      </c>
      <c r="GP558" s="319" t="s">
        <v>190</v>
      </c>
      <c r="GQ558" s="319" t="s">
        <v>190</v>
      </c>
      <c r="GR558" s="319" t="s">
        <v>190</v>
      </c>
      <c r="GS558" s="319" t="s">
        <v>190</v>
      </c>
      <c r="GT558" s="319" t="s">
        <v>428</v>
      </c>
      <c r="GU558" s="319" t="s">
        <v>190</v>
      </c>
      <c r="GV558" s="319" t="s">
        <v>428</v>
      </c>
      <c r="GW558" s="319" t="s">
        <v>190</v>
      </c>
      <c r="GX558" s="319" t="s">
        <v>190</v>
      </c>
      <c r="GY558" s="319" t="s">
        <v>190</v>
      </c>
      <c r="GZ558" s="319" t="s">
        <v>190</v>
      </c>
      <c r="HA558" s="319" t="s">
        <v>428</v>
      </c>
      <c r="HB558" s="319" t="s">
        <v>190</v>
      </c>
      <c r="HC558" s="319" t="s">
        <v>190</v>
      </c>
      <c r="HD558" s="319" t="s">
        <v>190</v>
      </c>
      <c r="HE558" s="319" t="s">
        <v>190</v>
      </c>
      <c r="HF558" s="319" t="s">
        <v>190</v>
      </c>
      <c r="HG558" s="319" t="s">
        <v>190</v>
      </c>
      <c r="HH558" s="319" t="s">
        <v>190</v>
      </c>
      <c r="HI558" s="319" t="s">
        <v>190</v>
      </c>
      <c r="HJ558" s="319" t="s">
        <v>190</v>
      </c>
      <c r="HK558" s="319" t="s">
        <v>190</v>
      </c>
      <c r="HL558" s="319" t="s">
        <v>190</v>
      </c>
      <c r="HM558" s="319" t="s">
        <v>428</v>
      </c>
      <c r="HN558" s="319" t="s">
        <v>428</v>
      </c>
      <c r="HO558" s="319" t="s">
        <v>428</v>
      </c>
      <c r="HP558" s="319" t="s">
        <v>190</v>
      </c>
      <c r="HQ558" s="319" t="s">
        <v>190</v>
      </c>
      <c r="HR558" s="319" t="s">
        <v>190</v>
      </c>
      <c r="HS558" s="319" t="s">
        <v>190</v>
      </c>
      <c r="HT558" s="319" t="s">
        <v>190</v>
      </c>
      <c r="HU558" s="319" t="s">
        <v>190</v>
      </c>
      <c r="HV558" s="319" t="s">
        <v>190</v>
      </c>
      <c r="HW558" s="319" t="s">
        <v>190</v>
      </c>
      <c r="HX558" s="319" t="s">
        <v>190</v>
      </c>
      <c r="HY558" s="319" t="s">
        <v>190</v>
      </c>
      <c r="HZ558" s="319" t="s">
        <v>190</v>
      </c>
      <c r="IA558" s="319" t="s">
        <v>190</v>
      </c>
      <c r="IB558" s="319" t="s">
        <v>190</v>
      </c>
      <c r="IC558" s="319" t="s">
        <v>190</v>
      </c>
      <c r="ID558" s="319" t="s">
        <v>190</v>
      </c>
      <c r="IE558" s="319" t="s">
        <v>190</v>
      </c>
      <c r="IF558" s="319" t="s">
        <v>190</v>
      </c>
      <c r="IG558" s="319" t="s">
        <v>190</v>
      </c>
      <c r="IH558" s="319" t="s">
        <v>190</v>
      </c>
      <c r="II558" s="319" t="s">
        <v>190</v>
      </c>
      <c r="IJ558" s="319">
        <v>10020921</v>
      </c>
      <c r="IK558" s="321">
        <v>42661</v>
      </c>
      <c r="IL558" s="321">
        <v>42663</v>
      </c>
      <c r="IM558" s="321">
        <v>42709</v>
      </c>
      <c r="IN558" s="319">
        <v>4</v>
      </c>
      <c r="IO558" s="319" t="s">
        <v>173</v>
      </c>
      <c r="IP558" s="319" t="s">
        <v>173</v>
      </c>
      <c r="IQ558" s="321" t="s">
        <v>173</v>
      </c>
      <c r="IR558" s="320" t="s">
        <v>173</v>
      </c>
      <c r="IS558" s="322" t="s">
        <v>173</v>
      </c>
      <c r="IT558" s="319" t="s">
        <v>173</v>
      </c>
    </row>
    <row r="559" spans="1:254" s="271" customFormat="1" x14ac:dyDescent="0.25">
      <c r="A559" s="318" t="str">
        <f>HYPERLINK("http://www.ofsted.gov.uk/inspection-reports/find-inspection-report/provider/ELS/135729 ","Ofsted School Webpage")</f>
        <v>Ofsted School Webpage</v>
      </c>
      <c r="B559" s="319">
        <v>135729</v>
      </c>
      <c r="C559" s="319">
        <v>2056200</v>
      </c>
      <c r="D559" s="319" t="s">
        <v>1973</v>
      </c>
      <c r="E559" s="319" t="s">
        <v>167</v>
      </c>
      <c r="F559" s="319" t="s">
        <v>81</v>
      </c>
      <c r="G559" s="319" t="s">
        <v>81</v>
      </c>
      <c r="H559" s="319" t="s">
        <v>81</v>
      </c>
      <c r="I559" s="319" t="s">
        <v>78</v>
      </c>
      <c r="J559" s="319" t="s">
        <v>424</v>
      </c>
      <c r="K559" s="319" t="s">
        <v>441</v>
      </c>
      <c r="L559" s="319" t="s">
        <v>441</v>
      </c>
      <c r="M559" s="319" t="s">
        <v>768</v>
      </c>
      <c r="N559" s="319" t="s">
        <v>2784</v>
      </c>
      <c r="O559" s="319" t="s">
        <v>1974</v>
      </c>
      <c r="P559" s="319">
        <v>51</v>
      </c>
      <c r="Q559" s="319" t="s">
        <v>2766</v>
      </c>
      <c r="R559" s="320">
        <v>10012783</v>
      </c>
      <c r="S559" s="321">
        <v>42899</v>
      </c>
      <c r="T559" s="321">
        <v>42901</v>
      </c>
      <c r="U559" s="321">
        <v>42929</v>
      </c>
      <c r="V559" s="319" t="s">
        <v>425</v>
      </c>
      <c r="W559" s="319" t="s">
        <v>2767</v>
      </c>
      <c r="X559" s="319">
        <v>1</v>
      </c>
      <c r="Y559" s="319" t="s">
        <v>173</v>
      </c>
      <c r="Z559" s="319" t="s">
        <v>173</v>
      </c>
      <c r="AA559" s="319" t="s">
        <v>173</v>
      </c>
      <c r="AB559" s="319">
        <v>1</v>
      </c>
      <c r="AC559" s="319" t="s">
        <v>169</v>
      </c>
      <c r="AD559" s="319" t="s">
        <v>173</v>
      </c>
      <c r="AE559" s="319" t="s">
        <v>173</v>
      </c>
      <c r="AF559" s="319" t="s">
        <v>173</v>
      </c>
      <c r="AG559" s="319" t="s">
        <v>171</v>
      </c>
      <c r="AH559" s="319" t="s">
        <v>190</v>
      </c>
      <c r="AI559" s="319" t="s">
        <v>190</v>
      </c>
      <c r="AJ559" s="319" t="s">
        <v>190</v>
      </c>
      <c r="AK559" s="319" t="s">
        <v>190</v>
      </c>
      <c r="AL559" s="319" t="s">
        <v>190</v>
      </c>
      <c r="AM559" s="319" t="s">
        <v>190</v>
      </c>
      <c r="AN559" s="319" t="s">
        <v>190</v>
      </c>
      <c r="AO559" s="319" t="s">
        <v>190</v>
      </c>
      <c r="AP559" s="319" t="s">
        <v>190</v>
      </c>
      <c r="AQ559" s="319" t="s">
        <v>190</v>
      </c>
      <c r="AR559" s="319" t="s">
        <v>190</v>
      </c>
      <c r="AS559" s="319" t="s">
        <v>190</v>
      </c>
      <c r="AT559" s="319" t="s">
        <v>190</v>
      </c>
      <c r="AU559" s="319" t="s">
        <v>190</v>
      </c>
      <c r="AV559" s="319" t="s">
        <v>190</v>
      </c>
      <c r="AW559" s="319" t="s">
        <v>190</v>
      </c>
      <c r="AX559" s="319" t="s">
        <v>429</v>
      </c>
      <c r="AY559" s="319" t="s">
        <v>190</v>
      </c>
      <c r="AZ559" s="319" t="s">
        <v>190</v>
      </c>
      <c r="BA559" s="319" t="s">
        <v>190</v>
      </c>
      <c r="BB559" s="319" t="s">
        <v>190</v>
      </c>
      <c r="BC559" s="319" t="s">
        <v>190</v>
      </c>
      <c r="BD559" s="319" t="s">
        <v>190</v>
      </c>
      <c r="BE559" s="319" t="s">
        <v>190</v>
      </c>
      <c r="BF559" s="319" t="s">
        <v>429</v>
      </c>
      <c r="BG559" s="319" t="s">
        <v>429</v>
      </c>
      <c r="BH559" s="319" t="s">
        <v>190</v>
      </c>
      <c r="BI559" s="319" t="s">
        <v>190</v>
      </c>
      <c r="BJ559" s="319" t="s">
        <v>190</v>
      </c>
      <c r="BK559" s="319" t="s">
        <v>190</v>
      </c>
      <c r="BL559" s="319" t="s">
        <v>190</v>
      </c>
      <c r="BM559" s="319" t="s">
        <v>190</v>
      </c>
      <c r="BN559" s="319" t="s">
        <v>190</v>
      </c>
      <c r="BO559" s="319" t="s">
        <v>190</v>
      </c>
      <c r="BP559" s="319" t="s">
        <v>190</v>
      </c>
      <c r="BQ559" s="319" t="s">
        <v>190</v>
      </c>
      <c r="BR559" s="319" t="s">
        <v>190</v>
      </c>
      <c r="BS559" s="319" t="s">
        <v>190</v>
      </c>
      <c r="BT559" s="319" t="s">
        <v>190</v>
      </c>
      <c r="BU559" s="319" t="s">
        <v>190</v>
      </c>
      <c r="BV559" s="319" t="s">
        <v>190</v>
      </c>
      <c r="BW559" s="319" t="s">
        <v>190</v>
      </c>
      <c r="BX559" s="319" t="s">
        <v>190</v>
      </c>
      <c r="BY559" s="319" t="s">
        <v>190</v>
      </c>
      <c r="BZ559" s="319" t="s">
        <v>190</v>
      </c>
      <c r="CA559" s="319" t="s">
        <v>190</v>
      </c>
      <c r="CB559" s="319" t="s">
        <v>190</v>
      </c>
      <c r="CC559" s="319" t="s">
        <v>190</v>
      </c>
      <c r="CD559" s="319" t="s">
        <v>190</v>
      </c>
      <c r="CE559" s="319" t="s">
        <v>190</v>
      </c>
      <c r="CF559" s="319" t="s">
        <v>190</v>
      </c>
      <c r="CG559" s="319" t="s">
        <v>190</v>
      </c>
      <c r="CH559" s="319" t="s">
        <v>190</v>
      </c>
      <c r="CI559" s="319" t="s">
        <v>190</v>
      </c>
      <c r="CJ559" s="319" t="s">
        <v>190</v>
      </c>
      <c r="CK559" s="319" t="s">
        <v>190</v>
      </c>
      <c r="CL559" s="319" t="s">
        <v>190</v>
      </c>
      <c r="CM559" s="319" t="s">
        <v>190</v>
      </c>
      <c r="CN559" s="319" t="s">
        <v>429</v>
      </c>
      <c r="CO559" s="319" t="s">
        <v>429</v>
      </c>
      <c r="CP559" s="319" t="s">
        <v>429</v>
      </c>
      <c r="CQ559" s="319" t="s">
        <v>190</v>
      </c>
      <c r="CR559" s="319" t="s">
        <v>190</v>
      </c>
      <c r="CS559" s="319" t="s">
        <v>190</v>
      </c>
      <c r="CT559" s="319" t="s">
        <v>190</v>
      </c>
      <c r="CU559" s="319" t="s">
        <v>190</v>
      </c>
      <c r="CV559" s="319" t="s">
        <v>190</v>
      </c>
      <c r="CW559" s="319" t="s">
        <v>190</v>
      </c>
      <c r="CX559" s="319" t="s">
        <v>190</v>
      </c>
      <c r="CY559" s="319" t="s">
        <v>190</v>
      </c>
      <c r="CZ559" s="319" t="s">
        <v>190</v>
      </c>
      <c r="DA559" s="319" t="s">
        <v>190</v>
      </c>
      <c r="DB559" s="319" t="s">
        <v>190</v>
      </c>
      <c r="DC559" s="319" t="s">
        <v>190</v>
      </c>
      <c r="DD559" s="319" t="s">
        <v>190</v>
      </c>
      <c r="DE559" s="319" t="s">
        <v>190</v>
      </c>
      <c r="DF559" s="319" t="s">
        <v>190</v>
      </c>
      <c r="DG559" s="319" t="s">
        <v>190</v>
      </c>
      <c r="DH559" s="319" t="s">
        <v>190</v>
      </c>
      <c r="DI559" s="319" t="s">
        <v>190</v>
      </c>
      <c r="DJ559" s="319" t="s">
        <v>190</v>
      </c>
      <c r="DK559" s="319" t="s">
        <v>190</v>
      </c>
      <c r="DL559" s="319" t="s">
        <v>190</v>
      </c>
      <c r="DM559" s="319" t="s">
        <v>190</v>
      </c>
      <c r="DN559" s="319" t="s">
        <v>429</v>
      </c>
      <c r="DO559" s="319" t="s">
        <v>190</v>
      </c>
      <c r="DP559" s="319" t="s">
        <v>190</v>
      </c>
      <c r="DQ559" s="319" t="s">
        <v>190</v>
      </c>
      <c r="DR559" s="319" t="s">
        <v>190</v>
      </c>
      <c r="DS559" s="319" t="s">
        <v>190</v>
      </c>
      <c r="DT559" s="319" t="s">
        <v>190</v>
      </c>
      <c r="DU559" s="319" t="s">
        <v>190</v>
      </c>
      <c r="DV559" s="319" t="s">
        <v>173</v>
      </c>
      <c r="DW559" s="319" t="s">
        <v>190</v>
      </c>
      <c r="DX559" s="319" t="s">
        <v>190</v>
      </c>
      <c r="DY559" s="319" t="s">
        <v>190</v>
      </c>
      <c r="DZ559" s="319" t="s">
        <v>190</v>
      </c>
      <c r="EA559" s="319" t="s">
        <v>190</v>
      </c>
      <c r="EB559" s="319" t="s">
        <v>190</v>
      </c>
      <c r="EC559" s="319" t="s">
        <v>429</v>
      </c>
      <c r="ED559" s="319" t="s">
        <v>190</v>
      </c>
      <c r="EE559" s="319" t="s">
        <v>190</v>
      </c>
      <c r="EF559" s="319" t="s">
        <v>190</v>
      </c>
      <c r="EG559" s="319" t="s">
        <v>190</v>
      </c>
      <c r="EH559" s="319" t="s">
        <v>190</v>
      </c>
      <c r="EI559" s="319" t="s">
        <v>190</v>
      </c>
      <c r="EJ559" s="319" t="s">
        <v>190</v>
      </c>
      <c r="EK559" s="319" t="s">
        <v>190</v>
      </c>
      <c r="EL559" s="319" t="s">
        <v>190</v>
      </c>
      <c r="EM559" s="319" t="s">
        <v>190</v>
      </c>
      <c r="EN559" s="319" t="s">
        <v>190</v>
      </c>
      <c r="EO559" s="319" t="s">
        <v>190</v>
      </c>
      <c r="EP559" s="319" t="s">
        <v>190</v>
      </c>
      <c r="EQ559" s="319" t="s">
        <v>190</v>
      </c>
      <c r="ER559" s="319" t="s">
        <v>190</v>
      </c>
      <c r="ES559" s="319" t="s">
        <v>190</v>
      </c>
      <c r="ET559" s="319" t="s">
        <v>190</v>
      </c>
      <c r="EU559" s="319" t="s">
        <v>190</v>
      </c>
      <c r="EV559" s="319" t="s">
        <v>190</v>
      </c>
      <c r="EW559" s="319" t="s">
        <v>190</v>
      </c>
      <c r="EX559" s="319" t="s">
        <v>190</v>
      </c>
      <c r="EY559" s="319" t="s">
        <v>190</v>
      </c>
      <c r="EZ559" s="319" t="s">
        <v>190</v>
      </c>
      <c r="FA559" s="319" t="s">
        <v>190</v>
      </c>
      <c r="FB559" s="319" t="s">
        <v>190</v>
      </c>
      <c r="FC559" s="319" t="s">
        <v>190</v>
      </c>
      <c r="FD559" s="319" t="s">
        <v>190</v>
      </c>
      <c r="FE559" s="319" t="s">
        <v>190</v>
      </c>
      <c r="FF559" s="319" t="s">
        <v>190</v>
      </c>
      <c r="FG559" s="319" t="s">
        <v>190</v>
      </c>
      <c r="FH559" s="319" t="s">
        <v>190</v>
      </c>
      <c r="FI559" s="319" t="s">
        <v>190</v>
      </c>
      <c r="FJ559" s="319" t="s">
        <v>190</v>
      </c>
      <c r="FK559" s="319" t="s">
        <v>190</v>
      </c>
      <c r="FL559" s="319" t="s">
        <v>190</v>
      </c>
      <c r="FM559" s="319" t="s">
        <v>190</v>
      </c>
      <c r="FN559" s="319" t="s">
        <v>190</v>
      </c>
      <c r="FO559" s="319" t="s">
        <v>190</v>
      </c>
      <c r="FP559" s="319" t="s">
        <v>190</v>
      </c>
      <c r="FQ559" s="319" t="s">
        <v>190</v>
      </c>
      <c r="FR559" s="319" t="s">
        <v>190</v>
      </c>
      <c r="FS559" s="319" t="s">
        <v>429</v>
      </c>
      <c r="FT559" s="319" t="s">
        <v>190</v>
      </c>
      <c r="FU559" s="319" t="s">
        <v>190</v>
      </c>
      <c r="FV559" s="319" t="s">
        <v>190</v>
      </c>
      <c r="FW559" s="319" t="s">
        <v>190</v>
      </c>
      <c r="FX559" s="319" t="s">
        <v>190</v>
      </c>
      <c r="FY559" s="319" t="s">
        <v>190</v>
      </c>
      <c r="FZ559" s="319" t="s">
        <v>190</v>
      </c>
      <c r="GA559" s="319" t="s">
        <v>190</v>
      </c>
      <c r="GB559" s="319" t="s">
        <v>190</v>
      </c>
      <c r="GC559" s="319" t="s">
        <v>190</v>
      </c>
      <c r="GD559" s="319" t="s">
        <v>190</v>
      </c>
      <c r="GE559" s="319" t="s">
        <v>190</v>
      </c>
      <c r="GF559" s="319" t="s">
        <v>190</v>
      </c>
      <c r="GG559" s="319" t="s">
        <v>190</v>
      </c>
      <c r="GH559" s="319" t="s">
        <v>190</v>
      </c>
      <c r="GI559" s="319" t="s">
        <v>190</v>
      </c>
      <c r="GJ559" s="319" t="s">
        <v>190</v>
      </c>
      <c r="GK559" s="319" t="s">
        <v>429</v>
      </c>
      <c r="GL559" s="319" t="s">
        <v>190</v>
      </c>
      <c r="GM559" s="319" t="s">
        <v>190</v>
      </c>
      <c r="GN559" s="319" t="s">
        <v>190</v>
      </c>
      <c r="GO559" s="319" t="s">
        <v>190</v>
      </c>
      <c r="GP559" s="319" t="s">
        <v>190</v>
      </c>
      <c r="GQ559" s="319" t="s">
        <v>190</v>
      </c>
      <c r="GR559" s="319" t="s">
        <v>190</v>
      </c>
      <c r="GS559" s="319" t="s">
        <v>190</v>
      </c>
      <c r="GT559" s="319" t="s">
        <v>429</v>
      </c>
      <c r="GU559" s="319" t="s">
        <v>429</v>
      </c>
      <c r="GV559" s="319" t="s">
        <v>190</v>
      </c>
      <c r="GW559" s="319" t="s">
        <v>190</v>
      </c>
      <c r="GX559" s="319" t="s">
        <v>190</v>
      </c>
      <c r="GY559" s="319" t="s">
        <v>190</v>
      </c>
      <c r="GZ559" s="319" t="s">
        <v>190</v>
      </c>
      <c r="HA559" s="319" t="s">
        <v>190</v>
      </c>
      <c r="HB559" s="319" t="s">
        <v>190</v>
      </c>
      <c r="HC559" s="319" t="s">
        <v>190</v>
      </c>
      <c r="HD559" s="319" t="s">
        <v>190</v>
      </c>
      <c r="HE559" s="319" t="s">
        <v>190</v>
      </c>
      <c r="HF559" s="319" t="s">
        <v>190</v>
      </c>
      <c r="HG559" s="319" t="s">
        <v>190</v>
      </c>
      <c r="HH559" s="319" t="s">
        <v>190</v>
      </c>
      <c r="HI559" s="319" t="s">
        <v>190</v>
      </c>
      <c r="HJ559" s="319" t="s">
        <v>190</v>
      </c>
      <c r="HK559" s="319" t="s">
        <v>190</v>
      </c>
      <c r="HL559" s="319" t="s">
        <v>429</v>
      </c>
      <c r="HM559" s="319" t="s">
        <v>429</v>
      </c>
      <c r="HN559" s="319" t="s">
        <v>429</v>
      </c>
      <c r="HO559" s="319" t="s">
        <v>429</v>
      </c>
      <c r="HP559" s="319" t="s">
        <v>190</v>
      </c>
      <c r="HQ559" s="319" t="s">
        <v>190</v>
      </c>
      <c r="HR559" s="319" t="s">
        <v>190</v>
      </c>
      <c r="HS559" s="319" t="s">
        <v>190</v>
      </c>
      <c r="HT559" s="319" t="s">
        <v>190</v>
      </c>
      <c r="HU559" s="319" t="s">
        <v>190</v>
      </c>
      <c r="HV559" s="319" t="s">
        <v>190</v>
      </c>
      <c r="HW559" s="319" t="s">
        <v>190</v>
      </c>
      <c r="HX559" s="319" t="s">
        <v>190</v>
      </c>
      <c r="HY559" s="319" t="s">
        <v>190</v>
      </c>
      <c r="HZ559" s="319" t="s">
        <v>190</v>
      </c>
      <c r="IA559" s="319" t="s">
        <v>190</v>
      </c>
      <c r="IB559" s="319" t="s">
        <v>190</v>
      </c>
      <c r="IC559" s="319" t="s">
        <v>190</v>
      </c>
      <c r="ID559" s="319" t="s">
        <v>190</v>
      </c>
      <c r="IE559" s="319" t="s">
        <v>190</v>
      </c>
      <c r="IF559" s="319" t="s">
        <v>190</v>
      </c>
      <c r="IG559" s="319" t="s">
        <v>190</v>
      </c>
      <c r="IH559" s="319" t="s">
        <v>190</v>
      </c>
      <c r="II559" s="319" t="s">
        <v>190</v>
      </c>
      <c r="IJ559" s="319" t="s">
        <v>3322</v>
      </c>
      <c r="IK559" s="321">
        <v>41429</v>
      </c>
      <c r="IL559" s="321">
        <v>41431</v>
      </c>
      <c r="IM559" s="321">
        <v>41451</v>
      </c>
      <c r="IN559" s="319">
        <v>1</v>
      </c>
      <c r="IO559" s="319" t="s">
        <v>173</v>
      </c>
      <c r="IP559" s="319" t="s">
        <v>173</v>
      </c>
      <c r="IQ559" s="321" t="s">
        <v>173</v>
      </c>
      <c r="IR559" s="320" t="s">
        <v>173</v>
      </c>
      <c r="IS559" s="322" t="s">
        <v>173</v>
      </c>
      <c r="IT559" s="319" t="s">
        <v>173</v>
      </c>
    </row>
    <row r="560" spans="1:254" s="271" customFormat="1" x14ac:dyDescent="0.25">
      <c r="A560" s="318" t="str">
        <f>HYPERLINK("http://www.ofsted.gov.uk/inspection-reports/find-inspection-report/provider/ELS/135735 ","Ofsted School Webpage")</f>
        <v>Ofsted School Webpage</v>
      </c>
      <c r="B560" s="319">
        <v>135735</v>
      </c>
      <c r="C560" s="319">
        <v>9336000</v>
      </c>
      <c r="D560" s="319" t="s">
        <v>1975</v>
      </c>
      <c r="E560" s="319" t="s">
        <v>168</v>
      </c>
      <c r="F560" s="319" t="s">
        <v>81</v>
      </c>
      <c r="G560" s="319" t="s">
        <v>81</v>
      </c>
      <c r="H560" s="319" t="s">
        <v>81</v>
      </c>
      <c r="I560" s="319" t="s">
        <v>78</v>
      </c>
      <c r="J560" s="319" t="s">
        <v>424</v>
      </c>
      <c r="K560" s="319" t="s">
        <v>422</v>
      </c>
      <c r="L560" s="319" t="s">
        <v>422</v>
      </c>
      <c r="M560" s="319" t="s">
        <v>466</v>
      </c>
      <c r="N560" s="319" t="s">
        <v>3114</v>
      </c>
      <c r="O560" s="319" t="s">
        <v>1976</v>
      </c>
      <c r="P560" s="319">
        <v>26</v>
      </c>
      <c r="Q560" s="319" t="s">
        <v>2776</v>
      </c>
      <c r="R560" s="320">
        <v>10041378</v>
      </c>
      <c r="S560" s="321">
        <v>43242</v>
      </c>
      <c r="T560" s="321">
        <v>43244</v>
      </c>
      <c r="U560" s="321">
        <v>43277</v>
      </c>
      <c r="V560" s="319" t="s">
        <v>425</v>
      </c>
      <c r="W560" s="319" t="s">
        <v>2767</v>
      </c>
      <c r="X560" s="319">
        <v>3</v>
      </c>
      <c r="Y560" s="319" t="s">
        <v>173</v>
      </c>
      <c r="Z560" s="319" t="s">
        <v>173</v>
      </c>
      <c r="AA560" s="319" t="s">
        <v>173</v>
      </c>
      <c r="AB560" s="319">
        <v>3</v>
      </c>
      <c r="AC560" s="319" t="s">
        <v>169</v>
      </c>
      <c r="AD560" s="319" t="s">
        <v>173</v>
      </c>
      <c r="AE560" s="319" t="s">
        <v>173</v>
      </c>
      <c r="AF560" s="319" t="s">
        <v>427</v>
      </c>
      <c r="AG560" s="319" t="s">
        <v>171</v>
      </c>
      <c r="AH560" s="319" t="s">
        <v>190</v>
      </c>
      <c r="AI560" s="319" t="s">
        <v>190</v>
      </c>
      <c r="AJ560" s="319" t="s">
        <v>190</v>
      </c>
      <c r="AK560" s="319" t="s">
        <v>190</v>
      </c>
      <c r="AL560" s="319" t="s">
        <v>190</v>
      </c>
      <c r="AM560" s="319" t="s">
        <v>190</v>
      </c>
      <c r="AN560" s="319" t="s">
        <v>190</v>
      </c>
      <c r="AO560" s="319" t="s">
        <v>190</v>
      </c>
      <c r="AP560" s="319" t="s">
        <v>190</v>
      </c>
      <c r="AQ560" s="319" t="s">
        <v>190</v>
      </c>
      <c r="AR560" s="319" t="s">
        <v>190</v>
      </c>
      <c r="AS560" s="319" t="s">
        <v>190</v>
      </c>
      <c r="AT560" s="319" t="s">
        <v>190</v>
      </c>
      <c r="AU560" s="319" t="s">
        <v>190</v>
      </c>
      <c r="AV560" s="319" t="s">
        <v>190</v>
      </c>
      <c r="AW560" s="319" t="s">
        <v>190</v>
      </c>
      <c r="AX560" s="319" t="s">
        <v>428</v>
      </c>
      <c r="AY560" s="319" t="s">
        <v>190</v>
      </c>
      <c r="AZ560" s="319" t="s">
        <v>190</v>
      </c>
      <c r="BA560" s="319" t="s">
        <v>190</v>
      </c>
      <c r="BB560" s="319" t="s">
        <v>190</v>
      </c>
      <c r="BC560" s="319" t="s">
        <v>190</v>
      </c>
      <c r="BD560" s="319" t="s">
        <v>190</v>
      </c>
      <c r="BE560" s="319" t="s">
        <v>190</v>
      </c>
      <c r="BF560" s="319" t="s">
        <v>428</v>
      </c>
      <c r="BG560" s="319" t="s">
        <v>190</v>
      </c>
      <c r="BH560" s="319" t="s">
        <v>190</v>
      </c>
      <c r="BI560" s="319" t="s">
        <v>190</v>
      </c>
      <c r="BJ560" s="319" t="s">
        <v>190</v>
      </c>
      <c r="BK560" s="319" t="s">
        <v>190</v>
      </c>
      <c r="BL560" s="319" t="s">
        <v>190</v>
      </c>
      <c r="BM560" s="319" t="s">
        <v>190</v>
      </c>
      <c r="BN560" s="319" t="s">
        <v>190</v>
      </c>
      <c r="BO560" s="319" t="s">
        <v>190</v>
      </c>
      <c r="BP560" s="319" t="s">
        <v>190</v>
      </c>
      <c r="BQ560" s="319" t="s">
        <v>190</v>
      </c>
      <c r="BR560" s="319" t="s">
        <v>190</v>
      </c>
      <c r="BS560" s="319" t="s">
        <v>190</v>
      </c>
      <c r="BT560" s="319" t="s">
        <v>190</v>
      </c>
      <c r="BU560" s="319" t="s">
        <v>190</v>
      </c>
      <c r="BV560" s="319" t="s">
        <v>190</v>
      </c>
      <c r="BW560" s="319" t="s">
        <v>190</v>
      </c>
      <c r="BX560" s="319" t="s">
        <v>190</v>
      </c>
      <c r="BY560" s="319" t="s">
        <v>190</v>
      </c>
      <c r="BZ560" s="319" t="s">
        <v>190</v>
      </c>
      <c r="CA560" s="319" t="s">
        <v>190</v>
      </c>
      <c r="CB560" s="319" t="s">
        <v>190</v>
      </c>
      <c r="CC560" s="319" t="s">
        <v>190</v>
      </c>
      <c r="CD560" s="319" t="s">
        <v>190</v>
      </c>
      <c r="CE560" s="319" t="s">
        <v>190</v>
      </c>
      <c r="CF560" s="319" t="s">
        <v>190</v>
      </c>
      <c r="CG560" s="319" t="s">
        <v>190</v>
      </c>
      <c r="CH560" s="319" t="s">
        <v>190</v>
      </c>
      <c r="CI560" s="319" t="s">
        <v>190</v>
      </c>
      <c r="CJ560" s="319" t="s">
        <v>190</v>
      </c>
      <c r="CK560" s="319" t="s">
        <v>190</v>
      </c>
      <c r="CL560" s="319" t="s">
        <v>190</v>
      </c>
      <c r="CM560" s="319" t="s">
        <v>190</v>
      </c>
      <c r="CN560" s="319" t="s">
        <v>428</v>
      </c>
      <c r="CO560" s="319" t="s">
        <v>428</v>
      </c>
      <c r="CP560" s="319" t="s">
        <v>428</v>
      </c>
      <c r="CQ560" s="319" t="s">
        <v>190</v>
      </c>
      <c r="CR560" s="319" t="s">
        <v>190</v>
      </c>
      <c r="CS560" s="319" t="s">
        <v>190</v>
      </c>
      <c r="CT560" s="319" t="s">
        <v>190</v>
      </c>
      <c r="CU560" s="319" t="s">
        <v>190</v>
      </c>
      <c r="CV560" s="319" t="s">
        <v>190</v>
      </c>
      <c r="CW560" s="319" t="s">
        <v>190</v>
      </c>
      <c r="CX560" s="319" t="s">
        <v>190</v>
      </c>
      <c r="CY560" s="319" t="s">
        <v>190</v>
      </c>
      <c r="CZ560" s="319" t="s">
        <v>190</v>
      </c>
      <c r="DA560" s="319" t="s">
        <v>190</v>
      </c>
      <c r="DB560" s="319" t="s">
        <v>190</v>
      </c>
      <c r="DC560" s="319" t="s">
        <v>190</v>
      </c>
      <c r="DD560" s="319" t="s">
        <v>190</v>
      </c>
      <c r="DE560" s="319" t="s">
        <v>190</v>
      </c>
      <c r="DF560" s="319" t="s">
        <v>190</v>
      </c>
      <c r="DG560" s="319" t="s">
        <v>190</v>
      </c>
      <c r="DH560" s="319" t="s">
        <v>190</v>
      </c>
      <c r="DI560" s="319" t="s">
        <v>190</v>
      </c>
      <c r="DJ560" s="319" t="s">
        <v>190</v>
      </c>
      <c r="DK560" s="319" t="s">
        <v>190</v>
      </c>
      <c r="DL560" s="319" t="s">
        <v>190</v>
      </c>
      <c r="DM560" s="319" t="s">
        <v>190</v>
      </c>
      <c r="DN560" s="319" t="s">
        <v>190</v>
      </c>
      <c r="DO560" s="319" t="s">
        <v>190</v>
      </c>
      <c r="DP560" s="319" t="s">
        <v>190</v>
      </c>
      <c r="DQ560" s="319" t="s">
        <v>190</v>
      </c>
      <c r="DR560" s="319" t="s">
        <v>190</v>
      </c>
      <c r="DS560" s="319" t="s">
        <v>190</v>
      </c>
      <c r="DT560" s="319" t="s">
        <v>190</v>
      </c>
      <c r="DU560" s="319" t="s">
        <v>190</v>
      </c>
      <c r="DV560" s="319" t="s">
        <v>173</v>
      </c>
      <c r="DW560" s="319" t="s">
        <v>190</v>
      </c>
      <c r="DX560" s="319" t="s">
        <v>190</v>
      </c>
      <c r="DY560" s="319" t="s">
        <v>190</v>
      </c>
      <c r="DZ560" s="319" t="s">
        <v>190</v>
      </c>
      <c r="EA560" s="319" t="s">
        <v>190</v>
      </c>
      <c r="EB560" s="319" t="s">
        <v>190</v>
      </c>
      <c r="EC560" s="319" t="s">
        <v>428</v>
      </c>
      <c r="ED560" s="319" t="s">
        <v>190</v>
      </c>
      <c r="EE560" s="319" t="s">
        <v>190</v>
      </c>
      <c r="EF560" s="319" t="s">
        <v>190</v>
      </c>
      <c r="EG560" s="319" t="s">
        <v>190</v>
      </c>
      <c r="EH560" s="319" t="s">
        <v>190</v>
      </c>
      <c r="EI560" s="319" t="s">
        <v>190</v>
      </c>
      <c r="EJ560" s="319" t="s">
        <v>190</v>
      </c>
      <c r="EK560" s="319" t="s">
        <v>190</v>
      </c>
      <c r="EL560" s="319" t="s">
        <v>190</v>
      </c>
      <c r="EM560" s="319" t="s">
        <v>190</v>
      </c>
      <c r="EN560" s="319" t="s">
        <v>190</v>
      </c>
      <c r="EO560" s="319" t="s">
        <v>190</v>
      </c>
      <c r="EP560" s="319" t="s">
        <v>190</v>
      </c>
      <c r="EQ560" s="319" t="s">
        <v>190</v>
      </c>
      <c r="ER560" s="319" t="s">
        <v>190</v>
      </c>
      <c r="ES560" s="319" t="s">
        <v>190</v>
      </c>
      <c r="ET560" s="319" t="s">
        <v>190</v>
      </c>
      <c r="EU560" s="319" t="s">
        <v>190</v>
      </c>
      <c r="EV560" s="319" t="s">
        <v>190</v>
      </c>
      <c r="EW560" s="319" t="s">
        <v>190</v>
      </c>
      <c r="EX560" s="319" t="s">
        <v>190</v>
      </c>
      <c r="EY560" s="319" t="s">
        <v>190</v>
      </c>
      <c r="EZ560" s="319" t="s">
        <v>190</v>
      </c>
      <c r="FA560" s="319" t="s">
        <v>190</v>
      </c>
      <c r="FB560" s="319" t="s">
        <v>190</v>
      </c>
      <c r="FC560" s="319" t="s">
        <v>190</v>
      </c>
      <c r="FD560" s="319" t="s">
        <v>190</v>
      </c>
      <c r="FE560" s="319" t="s">
        <v>190</v>
      </c>
      <c r="FF560" s="319" t="s">
        <v>190</v>
      </c>
      <c r="FG560" s="319" t="s">
        <v>190</v>
      </c>
      <c r="FH560" s="319" t="s">
        <v>190</v>
      </c>
      <c r="FI560" s="319" t="s">
        <v>190</v>
      </c>
      <c r="FJ560" s="319" t="s">
        <v>190</v>
      </c>
      <c r="FK560" s="319" t="s">
        <v>190</v>
      </c>
      <c r="FL560" s="319" t="s">
        <v>190</v>
      </c>
      <c r="FM560" s="319" t="s">
        <v>190</v>
      </c>
      <c r="FN560" s="319" t="s">
        <v>190</v>
      </c>
      <c r="FO560" s="319" t="s">
        <v>190</v>
      </c>
      <c r="FP560" s="319" t="s">
        <v>190</v>
      </c>
      <c r="FQ560" s="319" t="s">
        <v>190</v>
      </c>
      <c r="FR560" s="319" t="s">
        <v>190</v>
      </c>
      <c r="FS560" s="319" t="s">
        <v>190</v>
      </c>
      <c r="FT560" s="319" t="s">
        <v>190</v>
      </c>
      <c r="FU560" s="319" t="s">
        <v>190</v>
      </c>
      <c r="FV560" s="319" t="s">
        <v>190</v>
      </c>
      <c r="FW560" s="319" t="s">
        <v>190</v>
      </c>
      <c r="FX560" s="319" t="s">
        <v>190</v>
      </c>
      <c r="FY560" s="319" t="s">
        <v>190</v>
      </c>
      <c r="FZ560" s="319" t="s">
        <v>190</v>
      </c>
      <c r="GA560" s="319" t="s">
        <v>190</v>
      </c>
      <c r="GB560" s="319" t="s">
        <v>190</v>
      </c>
      <c r="GC560" s="319" t="s">
        <v>190</v>
      </c>
      <c r="GD560" s="319" t="s">
        <v>190</v>
      </c>
      <c r="GE560" s="319" t="s">
        <v>190</v>
      </c>
      <c r="GF560" s="319" t="s">
        <v>190</v>
      </c>
      <c r="GG560" s="319" t="s">
        <v>190</v>
      </c>
      <c r="GH560" s="319" t="s">
        <v>190</v>
      </c>
      <c r="GI560" s="319" t="s">
        <v>190</v>
      </c>
      <c r="GJ560" s="319" t="s">
        <v>190</v>
      </c>
      <c r="GK560" s="319" t="s">
        <v>428</v>
      </c>
      <c r="GL560" s="319" t="s">
        <v>190</v>
      </c>
      <c r="GM560" s="319" t="s">
        <v>190</v>
      </c>
      <c r="GN560" s="319" t="s">
        <v>190</v>
      </c>
      <c r="GO560" s="319" t="s">
        <v>190</v>
      </c>
      <c r="GP560" s="319" t="s">
        <v>190</v>
      </c>
      <c r="GQ560" s="319" t="s">
        <v>190</v>
      </c>
      <c r="GR560" s="319" t="s">
        <v>190</v>
      </c>
      <c r="GS560" s="319" t="s">
        <v>190</v>
      </c>
      <c r="GT560" s="319" t="s">
        <v>190</v>
      </c>
      <c r="GU560" s="319" t="s">
        <v>190</v>
      </c>
      <c r="GV560" s="319" t="s">
        <v>190</v>
      </c>
      <c r="GW560" s="319" t="s">
        <v>190</v>
      </c>
      <c r="GX560" s="319" t="s">
        <v>190</v>
      </c>
      <c r="GY560" s="319" t="s">
        <v>190</v>
      </c>
      <c r="GZ560" s="319" t="s">
        <v>190</v>
      </c>
      <c r="HA560" s="319" t="s">
        <v>190</v>
      </c>
      <c r="HB560" s="319" t="s">
        <v>190</v>
      </c>
      <c r="HC560" s="319" t="s">
        <v>190</v>
      </c>
      <c r="HD560" s="319" t="s">
        <v>190</v>
      </c>
      <c r="HE560" s="319" t="s">
        <v>190</v>
      </c>
      <c r="HF560" s="319" t="s">
        <v>190</v>
      </c>
      <c r="HG560" s="319" t="s">
        <v>190</v>
      </c>
      <c r="HH560" s="319" t="s">
        <v>190</v>
      </c>
      <c r="HI560" s="319" t="s">
        <v>190</v>
      </c>
      <c r="HJ560" s="319" t="s">
        <v>190</v>
      </c>
      <c r="HK560" s="319" t="s">
        <v>190</v>
      </c>
      <c r="HL560" s="319" t="s">
        <v>190</v>
      </c>
      <c r="HM560" s="319" t="s">
        <v>190</v>
      </c>
      <c r="HN560" s="319" t="s">
        <v>190</v>
      </c>
      <c r="HO560" s="319" t="s">
        <v>190</v>
      </c>
      <c r="HP560" s="319" t="s">
        <v>190</v>
      </c>
      <c r="HQ560" s="319" t="s">
        <v>190</v>
      </c>
      <c r="HR560" s="319" t="s">
        <v>190</v>
      </c>
      <c r="HS560" s="319" t="s">
        <v>190</v>
      </c>
      <c r="HT560" s="319" t="s">
        <v>190</v>
      </c>
      <c r="HU560" s="319" t="s">
        <v>190</v>
      </c>
      <c r="HV560" s="319" t="s">
        <v>190</v>
      </c>
      <c r="HW560" s="319" t="s">
        <v>190</v>
      </c>
      <c r="HX560" s="319" t="s">
        <v>190</v>
      </c>
      <c r="HY560" s="319" t="s">
        <v>190</v>
      </c>
      <c r="HZ560" s="319" t="s">
        <v>190</v>
      </c>
      <c r="IA560" s="319" t="s">
        <v>190</v>
      </c>
      <c r="IB560" s="319" t="s">
        <v>190</v>
      </c>
      <c r="IC560" s="319" t="s">
        <v>190</v>
      </c>
      <c r="ID560" s="319" t="s">
        <v>190</v>
      </c>
      <c r="IE560" s="319" t="s">
        <v>190</v>
      </c>
      <c r="IF560" s="319" t="s">
        <v>190</v>
      </c>
      <c r="IG560" s="319" t="s">
        <v>190</v>
      </c>
      <c r="IH560" s="319" t="s">
        <v>190</v>
      </c>
      <c r="II560" s="319" t="s">
        <v>190</v>
      </c>
      <c r="IJ560" s="319">
        <v>10011269</v>
      </c>
      <c r="IK560" s="321">
        <v>42395</v>
      </c>
      <c r="IL560" s="321">
        <v>42397</v>
      </c>
      <c r="IM560" s="321">
        <v>42436</v>
      </c>
      <c r="IN560" s="319">
        <v>4</v>
      </c>
      <c r="IO560" s="319" t="s">
        <v>173</v>
      </c>
      <c r="IP560" s="319" t="s">
        <v>173</v>
      </c>
      <c r="IQ560" s="321" t="s">
        <v>173</v>
      </c>
      <c r="IR560" s="320" t="s">
        <v>173</v>
      </c>
      <c r="IS560" s="322" t="s">
        <v>173</v>
      </c>
      <c r="IT560" s="319" t="s">
        <v>173</v>
      </c>
    </row>
    <row r="561" spans="1:254" s="271" customFormat="1" x14ac:dyDescent="0.25">
      <c r="A561" s="318" t="str">
        <f>HYPERLINK("http://www.ofsted.gov.uk/inspection-reports/find-inspection-report/provider/ELS/135749 ","Ofsted School Webpage")</f>
        <v>Ofsted School Webpage</v>
      </c>
      <c r="B561" s="319">
        <v>135749</v>
      </c>
      <c r="C561" s="319">
        <v>8766013</v>
      </c>
      <c r="D561" s="319" t="s">
        <v>1977</v>
      </c>
      <c r="E561" s="319" t="s">
        <v>168</v>
      </c>
      <c r="F561" s="319" t="s">
        <v>81</v>
      </c>
      <c r="G561" s="319" t="s">
        <v>81</v>
      </c>
      <c r="H561" s="319" t="s">
        <v>81</v>
      </c>
      <c r="I561" s="319" t="s">
        <v>78</v>
      </c>
      <c r="J561" s="319" t="s">
        <v>424</v>
      </c>
      <c r="K561" s="319" t="s">
        <v>431</v>
      </c>
      <c r="L561" s="319" t="s">
        <v>431</v>
      </c>
      <c r="M561" s="319" t="s">
        <v>572</v>
      </c>
      <c r="N561" s="319" t="s">
        <v>572</v>
      </c>
      <c r="O561" s="319" t="s">
        <v>1978</v>
      </c>
      <c r="P561" s="319">
        <v>24</v>
      </c>
      <c r="Q561" s="319" t="s">
        <v>429</v>
      </c>
      <c r="R561" s="320">
        <v>10103999</v>
      </c>
      <c r="S561" s="321">
        <v>43655</v>
      </c>
      <c r="T561" s="321">
        <v>43657</v>
      </c>
      <c r="U561" s="321">
        <v>43719</v>
      </c>
      <c r="V561" s="319" t="s">
        <v>425</v>
      </c>
      <c r="W561" s="319" t="s">
        <v>2767</v>
      </c>
      <c r="X561" s="319">
        <v>2</v>
      </c>
      <c r="Y561" s="319" t="s">
        <v>173</v>
      </c>
      <c r="Z561" s="319" t="s">
        <v>173</v>
      </c>
      <c r="AA561" s="319" t="s">
        <v>173</v>
      </c>
      <c r="AB561" s="319">
        <v>2</v>
      </c>
      <c r="AC561" s="319" t="s">
        <v>169</v>
      </c>
      <c r="AD561" s="319" t="s">
        <v>173</v>
      </c>
      <c r="AE561" s="319" t="s">
        <v>173</v>
      </c>
      <c r="AF561" s="319" t="s">
        <v>427</v>
      </c>
      <c r="AG561" s="319" t="s">
        <v>171</v>
      </c>
      <c r="AH561" s="319" t="s">
        <v>190</v>
      </c>
      <c r="AI561" s="319" t="s">
        <v>190</v>
      </c>
      <c r="AJ561" s="319" t="s">
        <v>190</v>
      </c>
      <c r="AK561" s="319" t="s">
        <v>190</v>
      </c>
      <c r="AL561" s="319" t="s">
        <v>190</v>
      </c>
      <c r="AM561" s="319" t="s">
        <v>190</v>
      </c>
      <c r="AN561" s="319" t="s">
        <v>190</v>
      </c>
      <c r="AO561" s="319" t="s">
        <v>190</v>
      </c>
      <c r="AP561" s="319" t="s">
        <v>190</v>
      </c>
      <c r="AQ561" s="319" t="s">
        <v>190</v>
      </c>
      <c r="AR561" s="319" t="s">
        <v>190</v>
      </c>
      <c r="AS561" s="319" t="s">
        <v>190</v>
      </c>
      <c r="AT561" s="319" t="s">
        <v>190</v>
      </c>
      <c r="AU561" s="319" t="s">
        <v>190</v>
      </c>
      <c r="AV561" s="319" t="s">
        <v>190</v>
      </c>
      <c r="AW561" s="319" t="s">
        <v>190</v>
      </c>
      <c r="AX561" s="319" t="s">
        <v>428</v>
      </c>
      <c r="AY561" s="319" t="s">
        <v>190</v>
      </c>
      <c r="AZ561" s="319" t="s">
        <v>190</v>
      </c>
      <c r="BA561" s="319" t="s">
        <v>190</v>
      </c>
      <c r="BB561" s="319" t="s">
        <v>190</v>
      </c>
      <c r="BC561" s="319" t="s">
        <v>190</v>
      </c>
      <c r="BD561" s="319" t="s">
        <v>190</v>
      </c>
      <c r="BE561" s="319" t="s">
        <v>190</v>
      </c>
      <c r="BF561" s="319" t="s">
        <v>428</v>
      </c>
      <c r="BG561" s="319" t="s">
        <v>428</v>
      </c>
      <c r="BH561" s="319" t="s">
        <v>190</v>
      </c>
      <c r="BI561" s="319" t="s">
        <v>190</v>
      </c>
      <c r="BJ561" s="319" t="s">
        <v>190</v>
      </c>
      <c r="BK561" s="319" t="s">
        <v>190</v>
      </c>
      <c r="BL561" s="319" t="s">
        <v>190</v>
      </c>
      <c r="BM561" s="319" t="s">
        <v>190</v>
      </c>
      <c r="BN561" s="319" t="s">
        <v>190</v>
      </c>
      <c r="BO561" s="319" t="s">
        <v>190</v>
      </c>
      <c r="BP561" s="319" t="s">
        <v>190</v>
      </c>
      <c r="BQ561" s="319" t="s">
        <v>190</v>
      </c>
      <c r="BR561" s="319" t="s">
        <v>190</v>
      </c>
      <c r="BS561" s="319" t="s">
        <v>190</v>
      </c>
      <c r="BT561" s="319" t="s">
        <v>190</v>
      </c>
      <c r="BU561" s="319" t="s">
        <v>190</v>
      </c>
      <c r="BV561" s="319" t="s">
        <v>190</v>
      </c>
      <c r="BW561" s="319" t="s">
        <v>190</v>
      </c>
      <c r="BX561" s="319" t="s">
        <v>190</v>
      </c>
      <c r="BY561" s="319" t="s">
        <v>190</v>
      </c>
      <c r="BZ561" s="319" t="s">
        <v>190</v>
      </c>
      <c r="CA561" s="319" t="s">
        <v>190</v>
      </c>
      <c r="CB561" s="319" t="s">
        <v>190</v>
      </c>
      <c r="CC561" s="319" t="s">
        <v>190</v>
      </c>
      <c r="CD561" s="319" t="s">
        <v>190</v>
      </c>
      <c r="CE561" s="319" t="s">
        <v>190</v>
      </c>
      <c r="CF561" s="319" t="s">
        <v>190</v>
      </c>
      <c r="CG561" s="319" t="s">
        <v>190</v>
      </c>
      <c r="CH561" s="319" t="s">
        <v>190</v>
      </c>
      <c r="CI561" s="319" t="s">
        <v>190</v>
      </c>
      <c r="CJ561" s="319" t="s">
        <v>190</v>
      </c>
      <c r="CK561" s="319" t="s">
        <v>190</v>
      </c>
      <c r="CL561" s="319" t="s">
        <v>190</v>
      </c>
      <c r="CM561" s="319" t="s">
        <v>190</v>
      </c>
      <c r="CN561" s="319" t="s">
        <v>190</v>
      </c>
      <c r="CO561" s="319" t="s">
        <v>428</v>
      </c>
      <c r="CP561" s="319" t="s">
        <v>428</v>
      </c>
      <c r="CQ561" s="319" t="s">
        <v>190</v>
      </c>
      <c r="CR561" s="319" t="s">
        <v>190</v>
      </c>
      <c r="CS561" s="319" t="s">
        <v>190</v>
      </c>
      <c r="CT561" s="319" t="s">
        <v>190</v>
      </c>
      <c r="CU561" s="319" t="s">
        <v>190</v>
      </c>
      <c r="CV561" s="319" t="s">
        <v>190</v>
      </c>
      <c r="CW561" s="319" t="s">
        <v>190</v>
      </c>
      <c r="CX561" s="319" t="s">
        <v>190</v>
      </c>
      <c r="CY561" s="319" t="s">
        <v>190</v>
      </c>
      <c r="CZ561" s="319" t="s">
        <v>190</v>
      </c>
      <c r="DA561" s="319" t="s">
        <v>190</v>
      </c>
      <c r="DB561" s="319" t="s">
        <v>190</v>
      </c>
      <c r="DC561" s="319" t="s">
        <v>190</v>
      </c>
      <c r="DD561" s="319" t="s">
        <v>190</v>
      </c>
      <c r="DE561" s="319" t="s">
        <v>190</v>
      </c>
      <c r="DF561" s="319" t="s">
        <v>190</v>
      </c>
      <c r="DG561" s="319" t="s">
        <v>190</v>
      </c>
      <c r="DH561" s="319" t="s">
        <v>190</v>
      </c>
      <c r="DI561" s="319" t="s">
        <v>190</v>
      </c>
      <c r="DJ561" s="319" t="s">
        <v>190</v>
      </c>
      <c r="DK561" s="319" t="s">
        <v>190</v>
      </c>
      <c r="DL561" s="319" t="s">
        <v>190</v>
      </c>
      <c r="DM561" s="319" t="s">
        <v>190</v>
      </c>
      <c r="DN561" s="319" t="s">
        <v>428</v>
      </c>
      <c r="DO561" s="319" t="s">
        <v>190</v>
      </c>
      <c r="DP561" s="319" t="s">
        <v>190</v>
      </c>
      <c r="DQ561" s="319" t="s">
        <v>190</v>
      </c>
      <c r="DR561" s="319" t="s">
        <v>190</v>
      </c>
      <c r="DS561" s="319" t="s">
        <v>190</v>
      </c>
      <c r="DT561" s="319" t="s">
        <v>190</v>
      </c>
      <c r="DU561" s="319" t="s">
        <v>190</v>
      </c>
      <c r="DV561" s="319" t="s">
        <v>173</v>
      </c>
      <c r="DW561" s="319" t="s">
        <v>190</v>
      </c>
      <c r="DX561" s="319" t="s">
        <v>190</v>
      </c>
      <c r="DY561" s="319" t="s">
        <v>190</v>
      </c>
      <c r="DZ561" s="319" t="s">
        <v>190</v>
      </c>
      <c r="EA561" s="319" t="s">
        <v>190</v>
      </c>
      <c r="EB561" s="319" t="s">
        <v>190</v>
      </c>
      <c r="EC561" s="319" t="s">
        <v>428</v>
      </c>
      <c r="ED561" s="319" t="s">
        <v>190</v>
      </c>
      <c r="EE561" s="319" t="s">
        <v>190</v>
      </c>
      <c r="EF561" s="319" t="s">
        <v>190</v>
      </c>
      <c r="EG561" s="319" t="s">
        <v>190</v>
      </c>
      <c r="EH561" s="319" t="s">
        <v>190</v>
      </c>
      <c r="EI561" s="319" t="s">
        <v>190</v>
      </c>
      <c r="EJ561" s="319" t="s">
        <v>190</v>
      </c>
      <c r="EK561" s="319" t="s">
        <v>190</v>
      </c>
      <c r="EL561" s="319" t="s">
        <v>190</v>
      </c>
      <c r="EM561" s="319" t="s">
        <v>190</v>
      </c>
      <c r="EN561" s="319" t="s">
        <v>190</v>
      </c>
      <c r="EO561" s="319" t="s">
        <v>190</v>
      </c>
      <c r="EP561" s="319" t="s">
        <v>190</v>
      </c>
      <c r="EQ561" s="319" t="s">
        <v>190</v>
      </c>
      <c r="ER561" s="319" t="s">
        <v>190</v>
      </c>
      <c r="ES561" s="319" t="s">
        <v>190</v>
      </c>
      <c r="ET561" s="319" t="s">
        <v>190</v>
      </c>
      <c r="EU561" s="319" t="s">
        <v>190</v>
      </c>
      <c r="EV561" s="319" t="s">
        <v>190</v>
      </c>
      <c r="EW561" s="319" t="s">
        <v>190</v>
      </c>
      <c r="EX561" s="319" t="s">
        <v>190</v>
      </c>
      <c r="EY561" s="319" t="s">
        <v>190</v>
      </c>
      <c r="EZ561" s="319" t="s">
        <v>190</v>
      </c>
      <c r="FA561" s="319" t="s">
        <v>190</v>
      </c>
      <c r="FB561" s="319" t="s">
        <v>190</v>
      </c>
      <c r="FC561" s="319" t="s">
        <v>190</v>
      </c>
      <c r="FD561" s="319" t="s">
        <v>190</v>
      </c>
      <c r="FE561" s="319" t="s">
        <v>190</v>
      </c>
      <c r="FF561" s="319" t="s">
        <v>190</v>
      </c>
      <c r="FG561" s="319" t="s">
        <v>190</v>
      </c>
      <c r="FH561" s="319" t="s">
        <v>190</v>
      </c>
      <c r="FI561" s="319" t="s">
        <v>190</v>
      </c>
      <c r="FJ561" s="319" t="s">
        <v>190</v>
      </c>
      <c r="FK561" s="319" t="s">
        <v>190</v>
      </c>
      <c r="FL561" s="319" t="s">
        <v>190</v>
      </c>
      <c r="FM561" s="319" t="s">
        <v>190</v>
      </c>
      <c r="FN561" s="319" t="s">
        <v>190</v>
      </c>
      <c r="FO561" s="319" t="s">
        <v>190</v>
      </c>
      <c r="FP561" s="319" t="s">
        <v>190</v>
      </c>
      <c r="FQ561" s="319" t="s">
        <v>190</v>
      </c>
      <c r="FR561" s="319" t="s">
        <v>190</v>
      </c>
      <c r="FS561" s="319" t="s">
        <v>190</v>
      </c>
      <c r="FT561" s="319" t="s">
        <v>190</v>
      </c>
      <c r="FU561" s="319" t="s">
        <v>190</v>
      </c>
      <c r="FV561" s="319" t="s">
        <v>190</v>
      </c>
      <c r="FW561" s="319" t="s">
        <v>190</v>
      </c>
      <c r="FX561" s="319" t="s">
        <v>190</v>
      </c>
      <c r="FY561" s="319" t="s">
        <v>190</v>
      </c>
      <c r="FZ561" s="319" t="s">
        <v>190</v>
      </c>
      <c r="GA561" s="319" t="s">
        <v>190</v>
      </c>
      <c r="GB561" s="319" t="s">
        <v>190</v>
      </c>
      <c r="GC561" s="319" t="s">
        <v>190</v>
      </c>
      <c r="GD561" s="319" t="s">
        <v>190</v>
      </c>
      <c r="GE561" s="319" t="s">
        <v>190</v>
      </c>
      <c r="GF561" s="319" t="s">
        <v>190</v>
      </c>
      <c r="GG561" s="319" t="s">
        <v>190</v>
      </c>
      <c r="GH561" s="319" t="s">
        <v>190</v>
      </c>
      <c r="GI561" s="319" t="s">
        <v>190</v>
      </c>
      <c r="GJ561" s="319" t="s">
        <v>190</v>
      </c>
      <c r="GK561" s="319" t="s">
        <v>428</v>
      </c>
      <c r="GL561" s="319" t="s">
        <v>190</v>
      </c>
      <c r="GM561" s="319" t="s">
        <v>190</v>
      </c>
      <c r="GN561" s="319" t="s">
        <v>190</v>
      </c>
      <c r="GO561" s="319" t="s">
        <v>190</v>
      </c>
      <c r="GP561" s="319" t="s">
        <v>190</v>
      </c>
      <c r="GQ561" s="319" t="s">
        <v>190</v>
      </c>
      <c r="GR561" s="319" t="s">
        <v>190</v>
      </c>
      <c r="GS561" s="319" t="s">
        <v>190</v>
      </c>
      <c r="GT561" s="319" t="s">
        <v>190</v>
      </c>
      <c r="GU561" s="319" t="s">
        <v>190</v>
      </c>
      <c r="GV561" s="319" t="s">
        <v>190</v>
      </c>
      <c r="GW561" s="319" t="s">
        <v>190</v>
      </c>
      <c r="GX561" s="319" t="s">
        <v>190</v>
      </c>
      <c r="GY561" s="319" t="s">
        <v>190</v>
      </c>
      <c r="GZ561" s="319" t="s">
        <v>190</v>
      </c>
      <c r="HA561" s="319" t="s">
        <v>190</v>
      </c>
      <c r="HB561" s="319" t="s">
        <v>190</v>
      </c>
      <c r="HC561" s="319" t="s">
        <v>190</v>
      </c>
      <c r="HD561" s="319" t="s">
        <v>190</v>
      </c>
      <c r="HE561" s="319" t="s">
        <v>190</v>
      </c>
      <c r="HF561" s="319" t="s">
        <v>190</v>
      </c>
      <c r="HG561" s="319" t="s">
        <v>190</v>
      </c>
      <c r="HH561" s="319" t="s">
        <v>190</v>
      </c>
      <c r="HI561" s="319" t="s">
        <v>190</v>
      </c>
      <c r="HJ561" s="319" t="s">
        <v>190</v>
      </c>
      <c r="HK561" s="319" t="s">
        <v>190</v>
      </c>
      <c r="HL561" s="319" t="s">
        <v>190</v>
      </c>
      <c r="HM561" s="319" t="s">
        <v>190</v>
      </c>
      <c r="HN561" s="319" t="s">
        <v>190</v>
      </c>
      <c r="HO561" s="319" t="s">
        <v>190</v>
      </c>
      <c r="HP561" s="319" t="s">
        <v>190</v>
      </c>
      <c r="HQ561" s="319" t="s">
        <v>190</v>
      </c>
      <c r="HR561" s="319" t="s">
        <v>190</v>
      </c>
      <c r="HS561" s="319" t="s">
        <v>190</v>
      </c>
      <c r="HT561" s="319" t="s">
        <v>190</v>
      </c>
      <c r="HU561" s="319" t="s">
        <v>190</v>
      </c>
      <c r="HV561" s="319" t="s">
        <v>190</v>
      </c>
      <c r="HW561" s="319" t="s">
        <v>190</v>
      </c>
      <c r="HX561" s="319" t="s">
        <v>190</v>
      </c>
      <c r="HY561" s="319" t="s">
        <v>190</v>
      </c>
      <c r="HZ561" s="319" t="s">
        <v>190</v>
      </c>
      <c r="IA561" s="319" t="s">
        <v>190</v>
      </c>
      <c r="IB561" s="319" t="s">
        <v>190</v>
      </c>
      <c r="IC561" s="319" t="s">
        <v>190</v>
      </c>
      <c r="ID561" s="319" t="s">
        <v>190</v>
      </c>
      <c r="IE561" s="319" t="s">
        <v>190</v>
      </c>
      <c r="IF561" s="319" t="s">
        <v>190</v>
      </c>
      <c r="IG561" s="319" t="s">
        <v>190</v>
      </c>
      <c r="IH561" s="319" t="s">
        <v>190</v>
      </c>
      <c r="II561" s="319" t="s">
        <v>190</v>
      </c>
      <c r="IJ561" s="319">
        <v>10008531</v>
      </c>
      <c r="IK561" s="321">
        <v>42864</v>
      </c>
      <c r="IL561" s="321">
        <v>42866</v>
      </c>
      <c r="IM561" s="321">
        <v>42892</v>
      </c>
      <c r="IN561" s="319">
        <v>2</v>
      </c>
      <c r="IO561" s="319" t="s">
        <v>173</v>
      </c>
      <c r="IP561" s="319" t="s">
        <v>173</v>
      </c>
      <c r="IQ561" s="321" t="s">
        <v>173</v>
      </c>
      <c r="IR561" s="320" t="s">
        <v>173</v>
      </c>
      <c r="IS561" s="322" t="s">
        <v>173</v>
      </c>
      <c r="IT561" s="319" t="s">
        <v>173</v>
      </c>
    </row>
    <row r="562" spans="1:254" s="271" customFormat="1" x14ac:dyDescent="0.25">
      <c r="A562" s="318" t="str">
        <f>HYPERLINK("http://www.ofsted.gov.uk/inspection-reports/find-inspection-report/provider/ELS/135753 ","Ofsted School Webpage")</f>
        <v>Ofsted School Webpage</v>
      </c>
      <c r="B562" s="319">
        <v>135753</v>
      </c>
      <c r="C562" s="319">
        <v>3546035</v>
      </c>
      <c r="D562" s="319" t="s">
        <v>1979</v>
      </c>
      <c r="E562" s="319" t="s">
        <v>168</v>
      </c>
      <c r="F562" s="319" t="s">
        <v>81</v>
      </c>
      <c r="G562" s="319" t="s">
        <v>81</v>
      </c>
      <c r="H562" s="319" t="s">
        <v>81</v>
      </c>
      <c r="I562" s="319" t="s">
        <v>78</v>
      </c>
      <c r="J562" s="319" t="s">
        <v>424</v>
      </c>
      <c r="K562" s="319" t="s">
        <v>431</v>
      </c>
      <c r="L562" s="319" t="s">
        <v>431</v>
      </c>
      <c r="M562" s="319" t="s">
        <v>536</v>
      </c>
      <c r="N562" s="319" t="s">
        <v>536</v>
      </c>
      <c r="O562" s="319" t="s">
        <v>1980</v>
      </c>
      <c r="P562" s="319">
        <v>6</v>
      </c>
      <c r="Q562" s="319" t="s">
        <v>429</v>
      </c>
      <c r="R562" s="320">
        <v>10048618</v>
      </c>
      <c r="S562" s="321">
        <v>43284</v>
      </c>
      <c r="T562" s="321">
        <v>43286</v>
      </c>
      <c r="U562" s="321">
        <v>43360</v>
      </c>
      <c r="V562" s="319" t="s">
        <v>425</v>
      </c>
      <c r="W562" s="319" t="s">
        <v>2767</v>
      </c>
      <c r="X562" s="319">
        <v>2</v>
      </c>
      <c r="Y562" s="319" t="s">
        <v>173</v>
      </c>
      <c r="Z562" s="319" t="s">
        <v>173</v>
      </c>
      <c r="AA562" s="319" t="s">
        <v>173</v>
      </c>
      <c r="AB562" s="319">
        <v>2</v>
      </c>
      <c r="AC562" s="319" t="s">
        <v>169</v>
      </c>
      <c r="AD562" s="319" t="s">
        <v>173</v>
      </c>
      <c r="AE562" s="319" t="s">
        <v>173</v>
      </c>
      <c r="AF562" s="319" t="s">
        <v>427</v>
      </c>
      <c r="AG562" s="319" t="s">
        <v>171</v>
      </c>
      <c r="AH562" s="319" t="s">
        <v>190</v>
      </c>
      <c r="AI562" s="319" t="s">
        <v>190</v>
      </c>
      <c r="AJ562" s="319" t="s">
        <v>190</v>
      </c>
      <c r="AK562" s="319" t="s">
        <v>190</v>
      </c>
      <c r="AL562" s="319" t="s">
        <v>190</v>
      </c>
      <c r="AM562" s="319" t="s">
        <v>190</v>
      </c>
      <c r="AN562" s="319" t="s">
        <v>190</v>
      </c>
      <c r="AO562" s="319" t="s">
        <v>190</v>
      </c>
      <c r="AP562" s="319" t="s">
        <v>190</v>
      </c>
      <c r="AQ562" s="319" t="s">
        <v>190</v>
      </c>
      <c r="AR562" s="319" t="s">
        <v>190</v>
      </c>
      <c r="AS562" s="319" t="s">
        <v>190</v>
      </c>
      <c r="AT562" s="319" t="s">
        <v>190</v>
      </c>
      <c r="AU562" s="319" t="s">
        <v>190</v>
      </c>
      <c r="AV562" s="319" t="s">
        <v>190</v>
      </c>
      <c r="AW562" s="319" t="s">
        <v>190</v>
      </c>
      <c r="AX562" s="319" t="s">
        <v>428</v>
      </c>
      <c r="AY562" s="319" t="s">
        <v>190</v>
      </c>
      <c r="AZ562" s="319" t="s">
        <v>190</v>
      </c>
      <c r="BA562" s="319" t="s">
        <v>190</v>
      </c>
      <c r="BB562" s="319" t="s">
        <v>190</v>
      </c>
      <c r="BC562" s="319" t="s">
        <v>190</v>
      </c>
      <c r="BD562" s="319" t="s">
        <v>190</v>
      </c>
      <c r="BE562" s="319" t="s">
        <v>190</v>
      </c>
      <c r="BF562" s="319" t="s">
        <v>428</v>
      </c>
      <c r="BG562" s="319" t="s">
        <v>428</v>
      </c>
      <c r="BH562" s="319" t="s">
        <v>190</v>
      </c>
      <c r="BI562" s="319" t="s">
        <v>190</v>
      </c>
      <c r="BJ562" s="319" t="s">
        <v>190</v>
      </c>
      <c r="BK562" s="319" t="s">
        <v>190</v>
      </c>
      <c r="BL562" s="319" t="s">
        <v>190</v>
      </c>
      <c r="BM562" s="319" t="s">
        <v>190</v>
      </c>
      <c r="BN562" s="319" t="s">
        <v>190</v>
      </c>
      <c r="BO562" s="319" t="s">
        <v>190</v>
      </c>
      <c r="BP562" s="319" t="s">
        <v>190</v>
      </c>
      <c r="BQ562" s="319" t="s">
        <v>190</v>
      </c>
      <c r="BR562" s="319" t="s">
        <v>190</v>
      </c>
      <c r="BS562" s="319" t="s">
        <v>190</v>
      </c>
      <c r="BT562" s="319" t="s">
        <v>190</v>
      </c>
      <c r="BU562" s="319" t="s">
        <v>190</v>
      </c>
      <c r="BV562" s="319" t="s">
        <v>190</v>
      </c>
      <c r="BW562" s="319" t="s">
        <v>190</v>
      </c>
      <c r="BX562" s="319" t="s">
        <v>190</v>
      </c>
      <c r="BY562" s="319" t="s">
        <v>190</v>
      </c>
      <c r="BZ562" s="319" t="s">
        <v>190</v>
      </c>
      <c r="CA562" s="319" t="s">
        <v>190</v>
      </c>
      <c r="CB562" s="319" t="s">
        <v>190</v>
      </c>
      <c r="CC562" s="319" t="s">
        <v>190</v>
      </c>
      <c r="CD562" s="319" t="s">
        <v>190</v>
      </c>
      <c r="CE562" s="319" t="s">
        <v>190</v>
      </c>
      <c r="CF562" s="319" t="s">
        <v>190</v>
      </c>
      <c r="CG562" s="319" t="s">
        <v>190</v>
      </c>
      <c r="CH562" s="319" t="s">
        <v>190</v>
      </c>
      <c r="CI562" s="319" t="s">
        <v>190</v>
      </c>
      <c r="CJ562" s="319" t="s">
        <v>190</v>
      </c>
      <c r="CK562" s="319" t="s">
        <v>190</v>
      </c>
      <c r="CL562" s="319" t="s">
        <v>190</v>
      </c>
      <c r="CM562" s="319" t="s">
        <v>190</v>
      </c>
      <c r="CN562" s="319" t="s">
        <v>428</v>
      </c>
      <c r="CO562" s="319" t="s">
        <v>428</v>
      </c>
      <c r="CP562" s="319" t="s">
        <v>428</v>
      </c>
      <c r="CQ562" s="319" t="s">
        <v>190</v>
      </c>
      <c r="CR562" s="319" t="s">
        <v>190</v>
      </c>
      <c r="CS562" s="319" t="s">
        <v>190</v>
      </c>
      <c r="CT562" s="319" t="s">
        <v>190</v>
      </c>
      <c r="CU562" s="319" t="s">
        <v>190</v>
      </c>
      <c r="CV562" s="319" t="s">
        <v>190</v>
      </c>
      <c r="CW562" s="319" t="s">
        <v>190</v>
      </c>
      <c r="CX562" s="319" t="s">
        <v>190</v>
      </c>
      <c r="CY562" s="319" t="s">
        <v>190</v>
      </c>
      <c r="CZ562" s="319" t="s">
        <v>190</v>
      </c>
      <c r="DA562" s="319" t="s">
        <v>190</v>
      </c>
      <c r="DB562" s="319" t="s">
        <v>190</v>
      </c>
      <c r="DC562" s="319" t="s">
        <v>190</v>
      </c>
      <c r="DD562" s="319" t="s">
        <v>190</v>
      </c>
      <c r="DE562" s="319" t="s">
        <v>190</v>
      </c>
      <c r="DF562" s="319" t="s">
        <v>190</v>
      </c>
      <c r="DG562" s="319" t="s">
        <v>190</v>
      </c>
      <c r="DH562" s="319" t="s">
        <v>190</v>
      </c>
      <c r="DI562" s="319" t="s">
        <v>190</v>
      </c>
      <c r="DJ562" s="319" t="s">
        <v>190</v>
      </c>
      <c r="DK562" s="319" t="s">
        <v>190</v>
      </c>
      <c r="DL562" s="319" t="s">
        <v>190</v>
      </c>
      <c r="DM562" s="319" t="s">
        <v>428</v>
      </c>
      <c r="DN562" s="319" t="s">
        <v>428</v>
      </c>
      <c r="DO562" s="319" t="s">
        <v>190</v>
      </c>
      <c r="DP562" s="319" t="s">
        <v>428</v>
      </c>
      <c r="DQ562" s="319" t="s">
        <v>428</v>
      </c>
      <c r="DR562" s="319" t="s">
        <v>428</v>
      </c>
      <c r="DS562" s="319" t="s">
        <v>428</v>
      </c>
      <c r="DT562" s="319" t="s">
        <v>428</v>
      </c>
      <c r="DU562" s="319" t="s">
        <v>428</v>
      </c>
      <c r="DV562" s="319" t="s">
        <v>173</v>
      </c>
      <c r="DW562" s="319" t="s">
        <v>428</v>
      </c>
      <c r="DX562" s="319" t="s">
        <v>428</v>
      </c>
      <c r="DY562" s="319" t="s">
        <v>428</v>
      </c>
      <c r="DZ562" s="319" t="s">
        <v>428</v>
      </c>
      <c r="EA562" s="319" t="s">
        <v>428</v>
      </c>
      <c r="EB562" s="319" t="s">
        <v>428</v>
      </c>
      <c r="EC562" s="319" t="s">
        <v>428</v>
      </c>
      <c r="ED562" s="319" t="s">
        <v>428</v>
      </c>
      <c r="EE562" s="319" t="s">
        <v>428</v>
      </c>
      <c r="EF562" s="319" t="s">
        <v>428</v>
      </c>
      <c r="EG562" s="319" t="s">
        <v>428</v>
      </c>
      <c r="EH562" s="319" t="s">
        <v>428</v>
      </c>
      <c r="EI562" s="319" t="s">
        <v>428</v>
      </c>
      <c r="EJ562" s="319" t="s">
        <v>428</v>
      </c>
      <c r="EK562" s="319" t="s">
        <v>428</v>
      </c>
      <c r="EL562" s="319" t="s">
        <v>428</v>
      </c>
      <c r="EM562" s="319" t="s">
        <v>428</v>
      </c>
      <c r="EN562" s="319" t="s">
        <v>190</v>
      </c>
      <c r="EO562" s="319" t="s">
        <v>190</v>
      </c>
      <c r="EP562" s="319" t="s">
        <v>190</v>
      </c>
      <c r="EQ562" s="319" t="s">
        <v>190</v>
      </c>
      <c r="ER562" s="319" t="s">
        <v>190</v>
      </c>
      <c r="ES562" s="319" t="s">
        <v>190</v>
      </c>
      <c r="ET562" s="319" t="s">
        <v>190</v>
      </c>
      <c r="EU562" s="319" t="s">
        <v>190</v>
      </c>
      <c r="EV562" s="319" t="s">
        <v>190</v>
      </c>
      <c r="EW562" s="319" t="s">
        <v>190</v>
      </c>
      <c r="EX562" s="319" t="s">
        <v>190</v>
      </c>
      <c r="EY562" s="319" t="s">
        <v>190</v>
      </c>
      <c r="EZ562" s="319" t="s">
        <v>190</v>
      </c>
      <c r="FA562" s="319" t="s">
        <v>428</v>
      </c>
      <c r="FB562" s="319" t="s">
        <v>428</v>
      </c>
      <c r="FC562" s="319" t="s">
        <v>428</v>
      </c>
      <c r="FD562" s="319" t="s">
        <v>428</v>
      </c>
      <c r="FE562" s="319" t="s">
        <v>428</v>
      </c>
      <c r="FF562" s="319" t="s">
        <v>428</v>
      </c>
      <c r="FG562" s="319" t="s">
        <v>428</v>
      </c>
      <c r="FH562" s="319" t="s">
        <v>428</v>
      </c>
      <c r="FI562" s="319" t="s">
        <v>428</v>
      </c>
      <c r="FJ562" s="319" t="s">
        <v>429</v>
      </c>
      <c r="FK562" s="319" t="s">
        <v>428</v>
      </c>
      <c r="FL562" s="319" t="s">
        <v>190</v>
      </c>
      <c r="FM562" s="319" t="s">
        <v>190</v>
      </c>
      <c r="FN562" s="319" t="s">
        <v>190</v>
      </c>
      <c r="FO562" s="319" t="s">
        <v>190</v>
      </c>
      <c r="FP562" s="319" t="s">
        <v>190</v>
      </c>
      <c r="FQ562" s="319" t="s">
        <v>190</v>
      </c>
      <c r="FR562" s="319" t="s">
        <v>190</v>
      </c>
      <c r="FS562" s="319" t="s">
        <v>428</v>
      </c>
      <c r="FT562" s="319" t="s">
        <v>190</v>
      </c>
      <c r="FU562" s="319" t="s">
        <v>190</v>
      </c>
      <c r="FV562" s="319" t="s">
        <v>190</v>
      </c>
      <c r="FW562" s="319" t="s">
        <v>190</v>
      </c>
      <c r="FX562" s="319" t="s">
        <v>190</v>
      </c>
      <c r="FY562" s="319" t="s">
        <v>190</v>
      </c>
      <c r="FZ562" s="319" t="s">
        <v>190</v>
      </c>
      <c r="GA562" s="319" t="s">
        <v>190</v>
      </c>
      <c r="GB562" s="319" t="s">
        <v>190</v>
      </c>
      <c r="GC562" s="319" t="s">
        <v>190</v>
      </c>
      <c r="GD562" s="319" t="s">
        <v>190</v>
      </c>
      <c r="GE562" s="319" t="s">
        <v>190</v>
      </c>
      <c r="GF562" s="319" t="s">
        <v>190</v>
      </c>
      <c r="GG562" s="319" t="s">
        <v>190</v>
      </c>
      <c r="GH562" s="319" t="s">
        <v>190</v>
      </c>
      <c r="GI562" s="319" t="s">
        <v>190</v>
      </c>
      <c r="GJ562" s="319" t="s">
        <v>190</v>
      </c>
      <c r="GK562" s="319" t="s">
        <v>428</v>
      </c>
      <c r="GL562" s="319" t="s">
        <v>190</v>
      </c>
      <c r="GM562" s="319" t="s">
        <v>190</v>
      </c>
      <c r="GN562" s="319" t="s">
        <v>190</v>
      </c>
      <c r="GO562" s="319" t="s">
        <v>190</v>
      </c>
      <c r="GP562" s="319" t="s">
        <v>190</v>
      </c>
      <c r="GQ562" s="319" t="s">
        <v>428</v>
      </c>
      <c r="GR562" s="319" t="s">
        <v>190</v>
      </c>
      <c r="GS562" s="319" t="s">
        <v>190</v>
      </c>
      <c r="GT562" s="319" t="s">
        <v>190</v>
      </c>
      <c r="GU562" s="319" t="s">
        <v>190</v>
      </c>
      <c r="GV562" s="319" t="s">
        <v>428</v>
      </c>
      <c r="GW562" s="319" t="s">
        <v>190</v>
      </c>
      <c r="GX562" s="319" t="s">
        <v>190</v>
      </c>
      <c r="GY562" s="319" t="s">
        <v>190</v>
      </c>
      <c r="GZ562" s="319" t="s">
        <v>190</v>
      </c>
      <c r="HA562" s="319" t="s">
        <v>428</v>
      </c>
      <c r="HB562" s="319" t="s">
        <v>428</v>
      </c>
      <c r="HC562" s="319" t="s">
        <v>190</v>
      </c>
      <c r="HD562" s="319" t="s">
        <v>190</v>
      </c>
      <c r="HE562" s="319" t="s">
        <v>190</v>
      </c>
      <c r="HF562" s="319" t="s">
        <v>190</v>
      </c>
      <c r="HG562" s="319" t="s">
        <v>190</v>
      </c>
      <c r="HH562" s="319" t="s">
        <v>190</v>
      </c>
      <c r="HI562" s="319" t="s">
        <v>190</v>
      </c>
      <c r="HJ562" s="319" t="s">
        <v>190</v>
      </c>
      <c r="HK562" s="319" t="s">
        <v>190</v>
      </c>
      <c r="HL562" s="319" t="s">
        <v>428</v>
      </c>
      <c r="HM562" s="319" t="s">
        <v>428</v>
      </c>
      <c r="HN562" s="319" t="s">
        <v>428</v>
      </c>
      <c r="HO562" s="319" t="s">
        <v>428</v>
      </c>
      <c r="HP562" s="319" t="s">
        <v>190</v>
      </c>
      <c r="HQ562" s="319" t="s">
        <v>190</v>
      </c>
      <c r="HR562" s="319" t="s">
        <v>190</v>
      </c>
      <c r="HS562" s="319" t="s">
        <v>190</v>
      </c>
      <c r="HT562" s="319" t="s">
        <v>190</v>
      </c>
      <c r="HU562" s="319" t="s">
        <v>190</v>
      </c>
      <c r="HV562" s="319" t="s">
        <v>190</v>
      </c>
      <c r="HW562" s="319" t="s">
        <v>190</v>
      </c>
      <c r="HX562" s="319" t="s">
        <v>190</v>
      </c>
      <c r="HY562" s="319" t="s">
        <v>190</v>
      </c>
      <c r="HZ562" s="319" t="s">
        <v>190</v>
      </c>
      <c r="IA562" s="319" t="s">
        <v>190</v>
      </c>
      <c r="IB562" s="319" t="s">
        <v>190</v>
      </c>
      <c r="IC562" s="319" t="s">
        <v>190</v>
      </c>
      <c r="ID562" s="319" t="s">
        <v>190</v>
      </c>
      <c r="IE562" s="319" t="s">
        <v>190</v>
      </c>
      <c r="IF562" s="319" t="s">
        <v>190</v>
      </c>
      <c r="IG562" s="319" t="s">
        <v>190</v>
      </c>
      <c r="IH562" s="319" t="s">
        <v>190</v>
      </c>
      <c r="II562" s="319" t="s">
        <v>190</v>
      </c>
      <c r="IJ562" s="319">
        <v>10006096</v>
      </c>
      <c r="IK562" s="321">
        <v>42500</v>
      </c>
      <c r="IL562" s="321">
        <v>42502</v>
      </c>
      <c r="IM562" s="321">
        <v>42534</v>
      </c>
      <c r="IN562" s="319">
        <v>3</v>
      </c>
      <c r="IO562" s="319" t="s">
        <v>173</v>
      </c>
      <c r="IP562" s="319" t="s">
        <v>173</v>
      </c>
      <c r="IQ562" s="321" t="s">
        <v>173</v>
      </c>
      <c r="IR562" s="320" t="s">
        <v>173</v>
      </c>
      <c r="IS562" s="322" t="s">
        <v>173</v>
      </c>
      <c r="IT562" s="319" t="s">
        <v>173</v>
      </c>
    </row>
    <row r="563" spans="1:254" s="271" customFormat="1" x14ac:dyDescent="0.25">
      <c r="A563" s="318" t="str">
        <f>HYPERLINK("http://www.ofsted.gov.uk/inspection-reports/find-inspection-report/provider/ELS/135754 ","Ofsted School Webpage")</f>
        <v>Ofsted School Webpage</v>
      </c>
      <c r="B563" s="319">
        <v>135754</v>
      </c>
      <c r="C563" s="319">
        <v>9286070</v>
      </c>
      <c r="D563" s="319" t="s">
        <v>1981</v>
      </c>
      <c r="E563" s="319" t="s">
        <v>168</v>
      </c>
      <c r="F563" s="319" t="s">
        <v>81</v>
      </c>
      <c r="G563" s="319" t="s">
        <v>81</v>
      </c>
      <c r="H563" s="319" t="s">
        <v>81</v>
      </c>
      <c r="I563" s="319" t="s">
        <v>78</v>
      </c>
      <c r="J563" s="319" t="s">
        <v>424</v>
      </c>
      <c r="K563" s="319" t="s">
        <v>506</v>
      </c>
      <c r="L563" s="319" t="s">
        <v>506</v>
      </c>
      <c r="M563" s="319" t="s">
        <v>1136</v>
      </c>
      <c r="N563" s="319" t="s">
        <v>3323</v>
      </c>
      <c r="O563" s="319" t="s">
        <v>1982</v>
      </c>
      <c r="P563" s="319">
        <v>50</v>
      </c>
      <c r="Q563" s="319" t="s">
        <v>429</v>
      </c>
      <c r="R563" s="320">
        <v>10012953</v>
      </c>
      <c r="S563" s="321">
        <v>42878</v>
      </c>
      <c r="T563" s="321">
        <v>42880</v>
      </c>
      <c r="U563" s="321">
        <v>42900</v>
      </c>
      <c r="V563" s="319" t="s">
        <v>425</v>
      </c>
      <c r="W563" s="319" t="s">
        <v>2767</v>
      </c>
      <c r="X563" s="319">
        <v>2</v>
      </c>
      <c r="Y563" s="319" t="s">
        <v>173</v>
      </c>
      <c r="Z563" s="319" t="s">
        <v>173</v>
      </c>
      <c r="AA563" s="319" t="s">
        <v>173</v>
      </c>
      <c r="AB563" s="319">
        <v>2</v>
      </c>
      <c r="AC563" s="319" t="s">
        <v>169</v>
      </c>
      <c r="AD563" s="319" t="s">
        <v>173</v>
      </c>
      <c r="AE563" s="319" t="s">
        <v>173</v>
      </c>
      <c r="AF563" s="319" t="s">
        <v>173</v>
      </c>
      <c r="AG563" s="319" t="s">
        <v>171</v>
      </c>
      <c r="AH563" s="319" t="s">
        <v>190</v>
      </c>
      <c r="AI563" s="319" t="s">
        <v>190</v>
      </c>
      <c r="AJ563" s="319" t="s">
        <v>190</v>
      </c>
      <c r="AK563" s="319" t="s">
        <v>190</v>
      </c>
      <c r="AL563" s="319" t="s">
        <v>190</v>
      </c>
      <c r="AM563" s="319" t="s">
        <v>190</v>
      </c>
      <c r="AN563" s="319" t="s">
        <v>190</v>
      </c>
      <c r="AO563" s="319" t="s">
        <v>190</v>
      </c>
      <c r="AP563" s="319" t="s">
        <v>190</v>
      </c>
      <c r="AQ563" s="319" t="s">
        <v>190</v>
      </c>
      <c r="AR563" s="319" t="s">
        <v>190</v>
      </c>
      <c r="AS563" s="319" t="s">
        <v>190</v>
      </c>
      <c r="AT563" s="319" t="s">
        <v>190</v>
      </c>
      <c r="AU563" s="319" t="s">
        <v>190</v>
      </c>
      <c r="AV563" s="319" t="s">
        <v>190</v>
      </c>
      <c r="AW563" s="319" t="s">
        <v>190</v>
      </c>
      <c r="AX563" s="319" t="s">
        <v>429</v>
      </c>
      <c r="AY563" s="319" t="s">
        <v>190</v>
      </c>
      <c r="AZ563" s="319" t="s">
        <v>190</v>
      </c>
      <c r="BA563" s="319" t="s">
        <v>190</v>
      </c>
      <c r="BB563" s="319" t="s">
        <v>190</v>
      </c>
      <c r="BC563" s="319" t="s">
        <v>190</v>
      </c>
      <c r="BD563" s="319" t="s">
        <v>190</v>
      </c>
      <c r="BE563" s="319" t="s">
        <v>190</v>
      </c>
      <c r="BF563" s="319" t="s">
        <v>429</v>
      </c>
      <c r="BG563" s="319" t="s">
        <v>429</v>
      </c>
      <c r="BH563" s="319" t="s">
        <v>190</v>
      </c>
      <c r="BI563" s="319" t="s">
        <v>190</v>
      </c>
      <c r="BJ563" s="319" t="s">
        <v>190</v>
      </c>
      <c r="BK563" s="319" t="s">
        <v>190</v>
      </c>
      <c r="BL563" s="319" t="s">
        <v>190</v>
      </c>
      <c r="BM563" s="319" t="s">
        <v>190</v>
      </c>
      <c r="BN563" s="319" t="s">
        <v>190</v>
      </c>
      <c r="BO563" s="319" t="s">
        <v>190</v>
      </c>
      <c r="BP563" s="319" t="s">
        <v>190</v>
      </c>
      <c r="BQ563" s="319" t="s">
        <v>190</v>
      </c>
      <c r="BR563" s="319" t="s">
        <v>190</v>
      </c>
      <c r="BS563" s="319" t="s">
        <v>190</v>
      </c>
      <c r="BT563" s="319" t="s">
        <v>190</v>
      </c>
      <c r="BU563" s="319" t="s">
        <v>190</v>
      </c>
      <c r="BV563" s="319" t="s">
        <v>190</v>
      </c>
      <c r="BW563" s="319" t="s">
        <v>190</v>
      </c>
      <c r="BX563" s="319" t="s">
        <v>190</v>
      </c>
      <c r="BY563" s="319" t="s">
        <v>190</v>
      </c>
      <c r="BZ563" s="319" t="s">
        <v>190</v>
      </c>
      <c r="CA563" s="319" t="s">
        <v>190</v>
      </c>
      <c r="CB563" s="319" t="s">
        <v>190</v>
      </c>
      <c r="CC563" s="319" t="s">
        <v>190</v>
      </c>
      <c r="CD563" s="319" t="s">
        <v>190</v>
      </c>
      <c r="CE563" s="319" t="s">
        <v>190</v>
      </c>
      <c r="CF563" s="319" t="s">
        <v>190</v>
      </c>
      <c r="CG563" s="319" t="s">
        <v>190</v>
      </c>
      <c r="CH563" s="319" t="s">
        <v>190</v>
      </c>
      <c r="CI563" s="319" t="s">
        <v>190</v>
      </c>
      <c r="CJ563" s="319" t="s">
        <v>190</v>
      </c>
      <c r="CK563" s="319" t="s">
        <v>190</v>
      </c>
      <c r="CL563" s="319" t="s">
        <v>190</v>
      </c>
      <c r="CM563" s="319" t="s">
        <v>190</v>
      </c>
      <c r="CN563" s="319" t="s">
        <v>429</v>
      </c>
      <c r="CO563" s="319" t="s">
        <v>429</v>
      </c>
      <c r="CP563" s="319" t="s">
        <v>429</v>
      </c>
      <c r="CQ563" s="319" t="s">
        <v>190</v>
      </c>
      <c r="CR563" s="319" t="s">
        <v>190</v>
      </c>
      <c r="CS563" s="319" t="s">
        <v>190</v>
      </c>
      <c r="CT563" s="319" t="s">
        <v>190</v>
      </c>
      <c r="CU563" s="319" t="s">
        <v>190</v>
      </c>
      <c r="CV563" s="319" t="s">
        <v>190</v>
      </c>
      <c r="CW563" s="319" t="s">
        <v>190</v>
      </c>
      <c r="CX563" s="319" t="s">
        <v>190</v>
      </c>
      <c r="CY563" s="319" t="s">
        <v>190</v>
      </c>
      <c r="CZ563" s="319" t="s">
        <v>190</v>
      </c>
      <c r="DA563" s="319" t="s">
        <v>190</v>
      </c>
      <c r="DB563" s="319" t="s">
        <v>190</v>
      </c>
      <c r="DC563" s="319" t="s">
        <v>190</v>
      </c>
      <c r="DD563" s="319" t="s">
        <v>190</v>
      </c>
      <c r="DE563" s="319" t="s">
        <v>190</v>
      </c>
      <c r="DF563" s="319" t="s">
        <v>190</v>
      </c>
      <c r="DG563" s="319" t="s">
        <v>190</v>
      </c>
      <c r="DH563" s="319" t="s">
        <v>190</v>
      </c>
      <c r="DI563" s="319" t="s">
        <v>190</v>
      </c>
      <c r="DJ563" s="319" t="s">
        <v>190</v>
      </c>
      <c r="DK563" s="319" t="s">
        <v>190</v>
      </c>
      <c r="DL563" s="319" t="s">
        <v>190</v>
      </c>
      <c r="DM563" s="319" t="s">
        <v>190</v>
      </c>
      <c r="DN563" s="319" t="s">
        <v>429</v>
      </c>
      <c r="DO563" s="319" t="s">
        <v>190</v>
      </c>
      <c r="DP563" s="319" t="s">
        <v>429</v>
      </c>
      <c r="DQ563" s="319" t="s">
        <v>429</v>
      </c>
      <c r="DR563" s="319" t="s">
        <v>429</v>
      </c>
      <c r="DS563" s="319" t="s">
        <v>429</v>
      </c>
      <c r="DT563" s="319" t="s">
        <v>429</v>
      </c>
      <c r="DU563" s="319" t="s">
        <v>429</v>
      </c>
      <c r="DV563" s="319" t="s">
        <v>173</v>
      </c>
      <c r="DW563" s="319" t="s">
        <v>429</v>
      </c>
      <c r="DX563" s="319" t="s">
        <v>429</v>
      </c>
      <c r="DY563" s="319" t="s">
        <v>429</v>
      </c>
      <c r="DZ563" s="319" t="s">
        <v>429</v>
      </c>
      <c r="EA563" s="319" t="s">
        <v>429</v>
      </c>
      <c r="EB563" s="319" t="s">
        <v>429</v>
      </c>
      <c r="EC563" s="319" t="s">
        <v>429</v>
      </c>
      <c r="ED563" s="319" t="s">
        <v>429</v>
      </c>
      <c r="EE563" s="319" t="s">
        <v>190</v>
      </c>
      <c r="EF563" s="319" t="s">
        <v>190</v>
      </c>
      <c r="EG563" s="319" t="s">
        <v>190</v>
      </c>
      <c r="EH563" s="319" t="s">
        <v>190</v>
      </c>
      <c r="EI563" s="319" t="s">
        <v>190</v>
      </c>
      <c r="EJ563" s="319" t="s">
        <v>190</v>
      </c>
      <c r="EK563" s="319" t="s">
        <v>190</v>
      </c>
      <c r="EL563" s="319" t="s">
        <v>190</v>
      </c>
      <c r="EM563" s="319" t="s">
        <v>429</v>
      </c>
      <c r="EN563" s="319" t="s">
        <v>190</v>
      </c>
      <c r="EO563" s="319" t="s">
        <v>190</v>
      </c>
      <c r="EP563" s="319" t="s">
        <v>190</v>
      </c>
      <c r="EQ563" s="319" t="s">
        <v>190</v>
      </c>
      <c r="ER563" s="319" t="s">
        <v>190</v>
      </c>
      <c r="ES563" s="319" t="s">
        <v>190</v>
      </c>
      <c r="ET563" s="319" t="s">
        <v>190</v>
      </c>
      <c r="EU563" s="319" t="s">
        <v>190</v>
      </c>
      <c r="EV563" s="319" t="s">
        <v>190</v>
      </c>
      <c r="EW563" s="319" t="s">
        <v>190</v>
      </c>
      <c r="EX563" s="319" t="s">
        <v>190</v>
      </c>
      <c r="EY563" s="319" t="s">
        <v>190</v>
      </c>
      <c r="EZ563" s="319" t="s">
        <v>190</v>
      </c>
      <c r="FA563" s="319" t="s">
        <v>429</v>
      </c>
      <c r="FB563" s="319" t="s">
        <v>429</v>
      </c>
      <c r="FC563" s="319" t="s">
        <v>429</v>
      </c>
      <c r="FD563" s="319" t="s">
        <v>429</v>
      </c>
      <c r="FE563" s="319" t="s">
        <v>429</v>
      </c>
      <c r="FF563" s="319" t="s">
        <v>429</v>
      </c>
      <c r="FG563" s="319" t="s">
        <v>429</v>
      </c>
      <c r="FH563" s="319" t="s">
        <v>190</v>
      </c>
      <c r="FI563" s="319" t="s">
        <v>190</v>
      </c>
      <c r="FJ563" s="319" t="s">
        <v>190</v>
      </c>
      <c r="FK563" s="319" t="s">
        <v>190</v>
      </c>
      <c r="FL563" s="319" t="s">
        <v>190</v>
      </c>
      <c r="FM563" s="319" t="s">
        <v>190</v>
      </c>
      <c r="FN563" s="319" t="s">
        <v>190</v>
      </c>
      <c r="FO563" s="319" t="s">
        <v>190</v>
      </c>
      <c r="FP563" s="319" t="s">
        <v>190</v>
      </c>
      <c r="FQ563" s="319" t="s">
        <v>190</v>
      </c>
      <c r="FR563" s="319" t="s">
        <v>190</v>
      </c>
      <c r="FS563" s="319" t="s">
        <v>429</v>
      </c>
      <c r="FT563" s="319" t="s">
        <v>190</v>
      </c>
      <c r="FU563" s="319" t="s">
        <v>190</v>
      </c>
      <c r="FV563" s="319" t="s">
        <v>190</v>
      </c>
      <c r="FW563" s="319" t="s">
        <v>190</v>
      </c>
      <c r="FX563" s="319" t="s">
        <v>190</v>
      </c>
      <c r="FY563" s="319" t="s">
        <v>190</v>
      </c>
      <c r="FZ563" s="319" t="s">
        <v>190</v>
      </c>
      <c r="GA563" s="319" t="s">
        <v>190</v>
      </c>
      <c r="GB563" s="319" t="s">
        <v>190</v>
      </c>
      <c r="GC563" s="319" t="s">
        <v>190</v>
      </c>
      <c r="GD563" s="319" t="s">
        <v>190</v>
      </c>
      <c r="GE563" s="319" t="s">
        <v>190</v>
      </c>
      <c r="GF563" s="319" t="s">
        <v>190</v>
      </c>
      <c r="GG563" s="319" t="s">
        <v>190</v>
      </c>
      <c r="GH563" s="319" t="s">
        <v>190</v>
      </c>
      <c r="GI563" s="319" t="s">
        <v>190</v>
      </c>
      <c r="GJ563" s="319" t="s">
        <v>190</v>
      </c>
      <c r="GK563" s="319" t="s">
        <v>429</v>
      </c>
      <c r="GL563" s="319" t="s">
        <v>190</v>
      </c>
      <c r="GM563" s="319" t="s">
        <v>190</v>
      </c>
      <c r="GN563" s="319" t="s">
        <v>190</v>
      </c>
      <c r="GO563" s="319" t="s">
        <v>190</v>
      </c>
      <c r="GP563" s="319" t="s">
        <v>190</v>
      </c>
      <c r="GQ563" s="319" t="s">
        <v>429</v>
      </c>
      <c r="GR563" s="319" t="s">
        <v>190</v>
      </c>
      <c r="GS563" s="319" t="s">
        <v>190</v>
      </c>
      <c r="GT563" s="319" t="s">
        <v>190</v>
      </c>
      <c r="GU563" s="319" t="s">
        <v>190</v>
      </c>
      <c r="GV563" s="319" t="s">
        <v>429</v>
      </c>
      <c r="GW563" s="319" t="s">
        <v>190</v>
      </c>
      <c r="GX563" s="319" t="s">
        <v>190</v>
      </c>
      <c r="GY563" s="319" t="s">
        <v>190</v>
      </c>
      <c r="GZ563" s="319" t="s">
        <v>429</v>
      </c>
      <c r="HA563" s="319" t="s">
        <v>190</v>
      </c>
      <c r="HB563" s="319" t="s">
        <v>190</v>
      </c>
      <c r="HC563" s="319" t="s">
        <v>190</v>
      </c>
      <c r="HD563" s="319" t="s">
        <v>190</v>
      </c>
      <c r="HE563" s="319" t="s">
        <v>190</v>
      </c>
      <c r="HF563" s="319" t="s">
        <v>190</v>
      </c>
      <c r="HG563" s="319" t="s">
        <v>190</v>
      </c>
      <c r="HH563" s="319" t="s">
        <v>190</v>
      </c>
      <c r="HI563" s="319" t="s">
        <v>190</v>
      </c>
      <c r="HJ563" s="319" t="s">
        <v>190</v>
      </c>
      <c r="HK563" s="319" t="s">
        <v>190</v>
      </c>
      <c r="HL563" s="319" t="s">
        <v>429</v>
      </c>
      <c r="HM563" s="319" t="s">
        <v>429</v>
      </c>
      <c r="HN563" s="319" t="s">
        <v>429</v>
      </c>
      <c r="HO563" s="319" t="s">
        <v>429</v>
      </c>
      <c r="HP563" s="319" t="s">
        <v>190</v>
      </c>
      <c r="HQ563" s="319" t="s">
        <v>190</v>
      </c>
      <c r="HR563" s="319" t="s">
        <v>190</v>
      </c>
      <c r="HS563" s="319" t="s">
        <v>190</v>
      </c>
      <c r="HT563" s="319" t="s">
        <v>190</v>
      </c>
      <c r="HU563" s="319" t="s">
        <v>190</v>
      </c>
      <c r="HV563" s="319" t="s">
        <v>190</v>
      </c>
      <c r="HW563" s="319" t="s">
        <v>190</v>
      </c>
      <c r="HX563" s="319" t="s">
        <v>190</v>
      </c>
      <c r="HY563" s="319" t="s">
        <v>190</v>
      </c>
      <c r="HZ563" s="319" t="s">
        <v>190</v>
      </c>
      <c r="IA563" s="319" t="s">
        <v>190</v>
      </c>
      <c r="IB563" s="319" t="s">
        <v>190</v>
      </c>
      <c r="IC563" s="319" t="s">
        <v>190</v>
      </c>
      <c r="ID563" s="319" t="s">
        <v>190</v>
      </c>
      <c r="IE563" s="319" t="s">
        <v>190</v>
      </c>
      <c r="IF563" s="319" t="s">
        <v>190</v>
      </c>
      <c r="IG563" s="319" t="s">
        <v>190</v>
      </c>
      <c r="IH563" s="319" t="s">
        <v>190</v>
      </c>
      <c r="II563" s="319" t="s">
        <v>190</v>
      </c>
      <c r="IJ563" s="319" t="s">
        <v>3324</v>
      </c>
      <c r="IK563" s="321">
        <v>41393</v>
      </c>
      <c r="IL563" s="321">
        <v>41394</v>
      </c>
      <c r="IM563" s="321">
        <v>41416</v>
      </c>
      <c r="IN563" s="319">
        <v>2</v>
      </c>
      <c r="IO563" s="319" t="s">
        <v>173</v>
      </c>
      <c r="IP563" s="319" t="s">
        <v>173</v>
      </c>
      <c r="IQ563" s="319" t="s">
        <v>173</v>
      </c>
      <c r="IR563" s="320" t="s">
        <v>173</v>
      </c>
      <c r="IS563" s="320" t="s">
        <v>173</v>
      </c>
      <c r="IT563" s="319" t="s">
        <v>173</v>
      </c>
    </row>
    <row r="564" spans="1:254" s="271" customFormat="1" x14ac:dyDescent="0.25">
      <c r="A564" s="318" t="str">
        <f>HYPERLINK("http://www.ofsted.gov.uk/inspection-reports/find-inspection-report/provider/ELS/135766 ","Ofsted School Webpage")</f>
        <v>Ofsted School Webpage</v>
      </c>
      <c r="B564" s="319">
        <v>135766</v>
      </c>
      <c r="C564" s="319">
        <v>8456057</v>
      </c>
      <c r="D564" s="319" t="s">
        <v>1983</v>
      </c>
      <c r="E564" s="319" t="s">
        <v>168</v>
      </c>
      <c r="F564" s="319" t="s">
        <v>81</v>
      </c>
      <c r="G564" s="319" t="s">
        <v>81</v>
      </c>
      <c r="H564" s="319" t="s">
        <v>81</v>
      </c>
      <c r="I564" s="319" t="s">
        <v>78</v>
      </c>
      <c r="J564" s="319" t="s">
        <v>424</v>
      </c>
      <c r="K564" s="319" t="s">
        <v>514</v>
      </c>
      <c r="L564" s="319" t="s">
        <v>514</v>
      </c>
      <c r="M564" s="319" t="s">
        <v>676</v>
      </c>
      <c r="N564" s="319" t="s">
        <v>3053</v>
      </c>
      <c r="O564" s="319" t="s">
        <v>1984</v>
      </c>
      <c r="P564" s="319">
        <v>4</v>
      </c>
      <c r="Q564" s="319" t="s">
        <v>429</v>
      </c>
      <c r="R564" s="320">
        <v>10020899</v>
      </c>
      <c r="S564" s="321">
        <v>42871</v>
      </c>
      <c r="T564" s="321">
        <v>42873</v>
      </c>
      <c r="U564" s="321">
        <v>42893</v>
      </c>
      <c r="V564" s="319" t="s">
        <v>425</v>
      </c>
      <c r="W564" s="319" t="s">
        <v>2767</v>
      </c>
      <c r="X564" s="319">
        <v>2</v>
      </c>
      <c r="Y564" s="319" t="s">
        <v>173</v>
      </c>
      <c r="Z564" s="319" t="s">
        <v>173</v>
      </c>
      <c r="AA564" s="319" t="s">
        <v>173</v>
      </c>
      <c r="AB564" s="319">
        <v>2</v>
      </c>
      <c r="AC564" s="319" t="s">
        <v>169</v>
      </c>
      <c r="AD564" s="319" t="s">
        <v>173</v>
      </c>
      <c r="AE564" s="319" t="s">
        <v>173</v>
      </c>
      <c r="AF564" s="319" t="s">
        <v>173</v>
      </c>
      <c r="AG564" s="319" t="s">
        <v>171</v>
      </c>
      <c r="AH564" s="319" t="s">
        <v>190</v>
      </c>
      <c r="AI564" s="319" t="s">
        <v>190</v>
      </c>
      <c r="AJ564" s="319" t="s">
        <v>190</v>
      </c>
      <c r="AK564" s="319" t="s">
        <v>190</v>
      </c>
      <c r="AL564" s="319" t="s">
        <v>190</v>
      </c>
      <c r="AM564" s="319" t="s">
        <v>190</v>
      </c>
      <c r="AN564" s="319" t="s">
        <v>190</v>
      </c>
      <c r="AO564" s="319" t="s">
        <v>190</v>
      </c>
      <c r="AP564" s="319" t="s">
        <v>190</v>
      </c>
      <c r="AQ564" s="319" t="s">
        <v>190</v>
      </c>
      <c r="AR564" s="319" t="s">
        <v>190</v>
      </c>
      <c r="AS564" s="319" t="s">
        <v>190</v>
      </c>
      <c r="AT564" s="319" t="s">
        <v>190</v>
      </c>
      <c r="AU564" s="319" t="s">
        <v>190</v>
      </c>
      <c r="AV564" s="319" t="s">
        <v>190</v>
      </c>
      <c r="AW564" s="319" t="s">
        <v>190</v>
      </c>
      <c r="AX564" s="319" t="s">
        <v>429</v>
      </c>
      <c r="AY564" s="319" t="s">
        <v>190</v>
      </c>
      <c r="AZ564" s="319" t="s">
        <v>190</v>
      </c>
      <c r="BA564" s="319" t="s">
        <v>190</v>
      </c>
      <c r="BB564" s="319" t="s">
        <v>190</v>
      </c>
      <c r="BC564" s="319" t="s">
        <v>190</v>
      </c>
      <c r="BD564" s="319" t="s">
        <v>190</v>
      </c>
      <c r="BE564" s="319" t="s">
        <v>190</v>
      </c>
      <c r="BF564" s="319" t="s">
        <v>429</v>
      </c>
      <c r="BG564" s="319" t="s">
        <v>429</v>
      </c>
      <c r="BH564" s="319" t="s">
        <v>190</v>
      </c>
      <c r="BI564" s="319" t="s">
        <v>190</v>
      </c>
      <c r="BJ564" s="319" t="s">
        <v>190</v>
      </c>
      <c r="BK564" s="319" t="s">
        <v>190</v>
      </c>
      <c r="BL564" s="319" t="s">
        <v>190</v>
      </c>
      <c r="BM564" s="319" t="s">
        <v>190</v>
      </c>
      <c r="BN564" s="319" t="s">
        <v>190</v>
      </c>
      <c r="BO564" s="319" t="s">
        <v>190</v>
      </c>
      <c r="BP564" s="319" t="s">
        <v>190</v>
      </c>
      <c r="BQ564" s="319" t="s">
        <v>190</v>
      </c>
      <c r="BR564" s="319" t="s">
        <v>190</v>
      </c>
      <c r="BS564" s="319" t="s">
        <v>190</v>
      </c>
      <c r="BT564" s="319" t="s">
        <v>190</v>
      </c>
      <c r="BU564" s="319" t="s">
        <v>190</v>
      </c>
      <c r="BV564" s="319" t="s">
        <v>190</v>
      </c>
      <c r="BW564" s="319" t="s">
        <v>190</v>
      </c>
      <c r="BX564" s="319" t="s">
        <v>190</v>
      </c>
      <c r="BY564" s="319" t="s">
        <v>190</v>
      </c>
      <c r="BZ564" s="319" t="s">
        <v>190</v>
      </c>
      <c r="CA564" s="319" t="s">
        <v>190</v>
      </c>
      <c r="CB564" s="319" t="s">
        <v>190</v>
      </c>
      <c r="CC564" s="319" t="s">
        <v>190</v>
      </c>
      <c r="CD564" s="319" t="s">
        <v>190</v>
      </c>
      <c r="CE564" s="319" t="s">
        <v>190</v>
      </c>
      <c r="CF564" s="319" t="s">
        <v>190</v>
      </c>
      <c r="CG564" s="319" t="s">
        <v>190</v>
      </c>
      <c r="CH564" s="319" t="s">
        <v>190</v>
      </c>
      <c r="CI564" s="319" t="s">
        <v>190</v>
      </c>
      <c r="CJ564" s="319" t="s">
        <v>190</v>
      </c>
      <c r="CK564" s="319" t="s">
        <v>190</v>
      </c>
      <c r="CL564" s="319" t="s">
        <v>190</v>
      </c>
      <c r="CM564" s="319" t="s">
        <v>190</v>
      </c>
      <c r="CN564" s="319" t="s">
        <v>429</v>
      </c>
      <c r="CO564" s="319" t="s">
        <v>429</v>
      </c>
      <c r="CP564" s="319" t="s">
        <v>429</v>
      </c>
      <c r="CQ564" s="319" t="s">
        <v>190</v>
      </c>
      <c r="CR564" s="319" t="s">
        <v>190</v>
      </c>
      <c r="CS564" s="319" t="s">
        <v>190</v>
      </c>
      <c r="CT564" s="319" t="s">
        <v>190</v>
      </c>
      <c r="CU564" s="319" t="s">
        <v>190</v>
      </c>
      <c r="CV564" s="319" t="s">
        <v>190</v>
      </c>
      <c r="CW564" s="319" t="s">
        <v>190</v>
      </c>
      <c r="CX564" s="319" t="s">
        <v>190</v>
      </c>
      <c r="CY564" s="319" t="s">
        <v>190</v>
      </c>
      <c r="CZ564" s="319" t="s">
        <v>190</v>
      </c>
      <c r="DA564" s="319" t="s">
        <v>190</v>
      </c>
      <c r="DB564" s="319" t="s">
        <v>190</v>
      </c>
      <c r="DC564" s="319" t="s">
        <v>190</v>
      </c>
      <c r="DD564" s="319" t="s">
        <v>190</v>
      </c>
      <c r="DE564" s="319" t="s">
        <v>190</v>
      </c>
      <c r="DF564" s="319" t="s">
        <v>190</v>
      </c>
      <c r="DG564" s="319" t="s">
        <v>190</v>
      </c>
      <c r="DH564" s="319" t="s">
        <v>190</v>
      </c>
      <c r="DI564" s="319" t="s">
        <v>190</v>
      </c>
      <c r="DJ564" s="319" t="s">
        <v>190</v>
      </c>
      <c r="DK564" s="319" t="s">
        <v>190</v>
      </c>
      <c r="DL564" s="319" t="s">
        <v>190</v>
      </c>
      <c r="DM564" s="319" t="s">
        <v>190</v>
      </c>
      <c r="DN564" s="319" t="s">
        <v>429</v>
      </c>
      <c r="DO564" s="319" t="s">
        <v>190</v>
      </c>
      <c r="DP564" s="319" t="s">
        <v>190</v>
      </c>
      <c r="DQ564" s="319" t="s">
        <v>190</v>
      </c>
      <c r="DR564" s="319" t="s">
        <v>190</v>
      </c>
      <c r="DS564" s="319" t="s">
        <v>190</v>
      </c>
      <c r="DT564" s="319" t="s">
        <v>190</v>
      </c>
      <c r="DU564" s="319" t="s">
        <v>190</v>
      </c>
      <c r="DV564" s="319" t="s">
        <v>173</v>
      </c>
      <c r="DW564" s="319" t="s">
        <v>190</v>
      </c>
      <c r="DX564" s="319" t="s">
        <v>190</v>
      </c>
      <c r="DY564" s="319" t="s">
        <v>190</v>
      </c>
      <c r="DZ564" s="319" t="s">
        <v>190</v>
      </c>
      <c r="EA564" s="319" t="s">
        <v>190</v>
      </c>
      <c r="EB564" s="319" t="s">
        <v>190</v>
      </c>
      <c r="EC564" s="319" t="s">
        <v>429</v>
      </c>
      <c r="ED564" s="319" t="s">
        <v>190</v>
      </c>
      <c r="EE564" s="319" t="s">
        <v>190</v>
      </c>
      <c r="EF564" s="319" t="s">
        <v>190</v>
      </c>
      <c r="EG564" s="319" t="s">
        <v>190</v>
      </c>
      <c r="EH564" s="319" t="s">
        <v>190</v>
      </c>
      <c r="EI564" s="319" t="s">
        <v>190</v>
      </c>
      <c r="EJ564" s="319" t="s">
        <v>190</v>
      </c>
      <c r="EK564" s="319" t="s">
        <v>190</v>
      </c>
      <c r="EL564" s="319" t="s">
        <v>190</v>
      </c>
      <c r="EM564" s="319" t="s">
        <v>190</v>
      </c>
      <c r="EN564" s="319" t="s">
        <v>190</v>
      </c>
      <c r="EO564" s="319" t="s">
        <v>190</v>
      </c>
      <c r="EP564" s="319" t="s">
        <v>190</v>
      </c>
      <c r="EQ564" s="319" t="s">
        <v>190</v>
      </c>
      <c r="ER564" s="319" t="s">
        <v>190</v>
      </c>
      <c r="ES564" s="319" t="s">
        <v>190</v>
      </c>
      <c r="ET564" s="319" t="s">
        <v>190</v>
      </c>
      <c r="EU564" s="319" t="s">
        <v>190</v>
      </c>
      <c r="EV564" s="319" t="s">
        <v>190</v>
      </c>
      <c r="EW564" s="319" t="s">
        <v>190</v>
      </c>
      <c r="EX564" s="319" t="s">
        <v>190</v>
      </c>
      <c r="EY564" s="319" t="s">
        <v>190</v>
      </c>
      <c r="EZ564" s="319" t="s">
        <v>190</v>
      </c>
      <c r="FA564" s="319" t="s">
        <v>190</v>
      </c>
      <c r="FB564" s="319" t="s">
        <v>190</v>
      </c>
      <c r="FC564" s="319" t="s">
        <v>190</v>
      </c>
      <c r="FD564" s="319" t="s">
        <v>190</v>
      </c>
      <c r="FE564" s="319" t="s">
        <v>190</v>
      </c>
      <c r="FF564" s="319" t="s">
        <v>190</v>
      </c>
      <c r="FG564" s="319" t="s">
        <v>190</v>
      </c>
      <c r="FH564" s="319" t="s">
        <v>190</v>
      </c>
      <c r="FI564" s="319" t="s">
        <v>190</v>
      </c>
      <c r="FJ564" s="319" t="s">
        <v>190</v>
      </c>
      <c r="FK564" s="319" t="s">
        <v>190</v>
      </c>
      <c r="FL564" s="319" t="s">
        <v>190</v>
      </c>
      <c r="FM564" s="319" t="s">
        <v>190</v>
      </c>
      <c r="FN564" s="319" t="s">
        <v>190</v>
      </c>
      <c r="FO564" s="319" t="s">
        <v>190</v>
      </c>
      <c r="FP564" s="319" t="s">
        <v>190</v>
      </c>
      <c r="FQ564" s="319" t="s">
        <v>190</v>
      </c>
      <c r="FR564" s="319" t="s">
        <v>190</v>
      </c>
      <c r="FS564" s="319" t="s">
        <v>429</v>
      </c>
      <c r="FT564" s="319" t="s">
        <v>190</v>
      </c>
      <c r="FU564" s="319" t="s">
        <v>190</v>
      </c>
      <c r="FV564" s="319" t="s">
        <v>190</v>
      </c>
      <c r="FW564" s="319" t="s">
        <v>190</v>
      </c>
      <c r="FX564" s="319" t="s">
        <v>190</v>
      </c>
      <c r="FY564" s="319" t="s">
        <v>190</v>
      </c>
      <c r="FZ564" s="319" t="s">
        <v>190</v>
      </c>
      <c r="GA564" s="319" t="s">
        <v>190</v>
      </c>
      <c r="GB564" s="319" t="s">
        <v>190</v>
      </c>
      <c r="GC564" s="319" t="s">
        <v>190</v>
      </c>
      <c r="GD564" s="319" t="s">
        <v>190</v>
      </c>
      <c r="GE564" s="319" t="s">
        <v>190</v>
      </c>
      <c r="GF564" s="319" t="s">
        <v>190</v>
      </c>
      <c r="GG564" s="319" t="s">
        <v>190</v>
      </c>
      <c r="GH564" s="319" t="s">
        <v>190</v>
      </c>
      <c r="GI564" s="319" t="s">
        <v>190</v>
      </c>
      <c r="GJ564" s="319" t="s">
        <v>190</v>
      </c>
      <c r="GK564" s="319" t="s">
        <v>429</v>
      </c>
      <c r="GL564" s="319" t="s">
        <v>190</v>
      </c>
      <c r="GM564" s="319" t="s">
        <v>190</v>
      </c>
      <c r="GN564" s="319" t="s">
        <v>190</v>
      </c>
      <c r="GO564" s="319" t="s">
        <v>190</v>
      </c>
      <c r="GP564" s="319" t="s">
        <v>190</v>
      </c>
      <c r="GQ564" s="319" t="s">
        <v>429</v>
      </c>
      <c r="GR564" s="319" t="s">
        <v>190</v>
      </c>
      <c r="GS564" s="319" t="s">
        <v>190</v>
      </c>
      <c r="GT564" s="319" t="s">
        <v>190</v>
      </c>
      <c r="GU564" s="319" t="s">
        <v>190</v>
      </c>
      <c r="GV564" s="319" t="s">
        <v>190</v>
      </c>
      <c r="GW564" s="319" t="s">
        <v>190</v>
      </c>
      <c r="GX564" s="319" t="s">
        <v>190</v>
      </c>
      <c r="GY564" s="319" t="s">
        <v>190</v>
      </c>
      <c r="GZ564" s="319" t="s">
        <v>190</v>
      </c>
      <c r="HA564" s="319" t="s">
        <v>190</v>
      </c>
      <c r="HB564" s="319" t="s">
        <v>429</v>
      </c>
      <c r="HC564" s="319" t="s">
        <v>190</v>
      </c>
      <c r="HD564" s="319" t="s">
        <v>190</v>
      </c>
      <c r="HE564" s="319" t="s">
        <v>190</v>
      </c>
      <c r="HF564" s="319" t="s">
        <v>190</v>
      </c>
      <c r="HG564" s="319" t="s">
        <v>190</v>
      </c>
      <c r="HH564" s="319" t="s">
        <v>190</v>
      </c>
      <c r="HI564" s="319" t="s">
        <v>190</v>
      </c>
      <c r="HJ564" s="319" t="s">
        <v>190</v>
      </c>
      <c r="HK564" s="319" t="s">
        <v>190</v>
      </c>
      <c r="HL564" s="319" t="s">
        <v>190</v>
      </c>
      <c r="HM564" s="319" t="s">
        <v>190</v>
      </c>
      <c r="HN564" s="319" t="s">
        <v>190</v>
      </c>
      <c r="HO564" s="319" t="s">
        <v>190</v>
      </c>
      <c r="HP564" s="319" t="s">
        <v>190</v>
      </c>
      <c r="HQ564" s="319" t="s">
        <v>190</v>
      </c>
      <c r="HR564" s="319" t="s">
        <v>190</v>
      </c>
      <c r="HS564" s="319" t="s">
        <v>190</v>
      </c>
      <c r="HT564" s="319" t="s">
        <v>190</v>
      </c>
      <c r="HU564" s="319" t="s">
        <v>190</v>
      </c>
      <c r="HV564" s="319" t="s">
        <v>190</v>
      </c>
      <c r="HW564" s="319" t="s">
        <v>190</v>
      </c>
      <c r="HX564" s="319" t="s">
        <v>190</v>
      </c>
      <c r="HY564" s="319" t="s">
        <v>190</v>
      </c>
      <c r="HZ564" s="319" t="s">
        <v>190</v>
      </c>
      <c r="IA564" s="319" t="s">
        <v>190</v>
      </c>
      <c r="IB564" s="319" t="s">
        <v>190</v>
      </c>
      <c r="IC564" s="319" t="s">
        <v>190</v>
      </c>
      <c r="ID564" s="319" t="s">
        <v>190</v>
      </c>
      <c r="IE564" s="319" t="s">
        <v>190</v>
      </c>
      <c r="IF564" s="319" t="s">
        <v>190</v>
      </c>
      <c r="IG564" s="319" t="s">
        <v>190</v>
      </c>
      <c r="IH564" s="319" t="s">
        <v>190</v>
      </c>
      <c r="II564" s="319" t="s">
        <v>190</v>
      </c>
      <c r="IJ564" s="319" t="s">
        <v>3325</v>
      </c>
      <c r="IK564" s="321">
        <v>41570</v>
      </c>
      <c r="IL564" s="321">
        <v>41571</v>
      </c>
      <c r="IM564" s="321">
        <v>41591</v>
      </c>
      <c r="IN564" s="319">
        <v>2</v>
      </c>
      <c r="IO564" s="319" t="s">
        <v>173</v>
      </c>
      <c r="IP564" s="319" t="s">
        <v>173</v>
      </c>
      <c r="IQ564" s="321" t="s">
        <v>173</v>
      </c>
      <c r="IR564" s="320" t="s">
        <v>173</v>
      </c>
      <c r="IS564" s="322" t="s">
        <v>173</v>
      </c>
      <c r="IT564" s="319" t="s">
        <v>173</v>
      </c>
    </row>
    <row r="565" spans="1:254" s="271" customFormat="1" x14ac:dyDescent="0.25">
      <c r="A565" s="318" t="str">
        <f>HYPERLINK("http://www.ofsted.gov.uk/inspection-reports/find-inspection-report/provider/ELS/135773 ","Ofsted School Webpage")</f>
        <v>Ofsted School Webpage</v>
      </c>
      <c r="B565" s="319">
        <v>135773</v>
      </c>
      <c r="C565" s="319">
        <v>8786061</v>
      </c>
      <c r="D565" s="319" t="s">
        <v>1173</v>
      </c>
      <c r="E565" s="319" t="s">
        <v>168</v>
      </c>
      <c r="F565" s="319" t="s">
        <v>81</v>
      </c>
      <c r="G565" s="319" t="s">
        <v>81</v>
      </c>
      <c r="H565" s="319" t="s">
        <v>81</v>
      </c>
      <c r="I565" s="319" t="s">
        <v>78</v>
      </c>
      <c r="J565" s="319" t="s">
        <v>424</v>
      </c>
      <c r="K565" s="319" t="s">
        <v>422</v>
      </c>
      <c r="L565" s="319" t="s">
        <v>422</v>
      </c>
      <c r="M565" s="319" t="s">
        <v>663</v>
      </c>
      <c r="N565" s="319" t="s">
        <v>2927</v>
      </c>
      <c r="O565" s="319" t="s">
        <v>1174</v>
      </c>
      <c r="P565" s="319">
        <v>0</v>
      </c>
      <c r="Q565" s="319" t="s">
        <v>429</v>
      </c>
      <c r="R565" s="320">
        <v>10090666</v>
      </c>
      <c r="S565" s="321">
        <v>43788</v>
      </c>
      <c r="T565" s="321">
        <v>43790</v>
      </c>
      <c r="U565" s="321">
        <v>43815</v>
      </c>
      <c r="V565" s="319" t="s">
        <v>425</v>
      </c>
      <c r="W565" s="319" t="s">
        <v>2767</v>
      </c>
      <c r="X565" s="319">
        <v>2</v>
      </c>
      <c r="Y565" s="319">
        <v>2</v>
      </c>
      <c r="Z565" s="319">
        <v>2</v>
      </c>
      <c r="AA565" s="319">
        <v>2</v>
      </c>
      <c r="AB565" s="319">
        <v>2</v>
      </c>
      <c r="AC565" s="319" t="s">
        <v>169</v>
      </c>
      <c r="AD565" s="319" t="s">
        <v>173</v>
      </c>
      <c r="AE565" s="319" t="s">
        <v>173</v>
      </c>
      <c r="AF565" s="319" t="s">
        <v>427</v>
      </c>
      <c r="AG565" s="319" t="s">
        <v>171</v>
      </c>
      <c r="AH565" s="319" t="s">
        <v>190</v>
      </c>
      <c r="AI565" s="319" t="s">
        <v>190</v>
      </c>
      <c r="AJ565" s="319" t="s">
        <v>190</v>
      </c>
      <c r="AK565" s="319" t="s">
        <v>190</v>
      </c>
      <c r="AL565" s="319" t="s">
        <v>190</v>
      </c>
      <c r="AM565" s="319" t="s">
        <v>190</v>
      </c>
      <c r="AN565" s="319" t="s">
        <v>190</v>
      </c>
      <c r="AO565" s="319" t="s">
        <v>190</v>
      </c>
      <c r="AP565" s="319" t="s">
        <v>190</v>
      </c>
      <c r="AQ565" s="319" t="s">
        <v>190</v>
      </c>
      <c r="AR565" s="319" t="s">
        <v>190</v>
      </c>
      <c r="AS565" s="319" t="s">
        <v>190</v>
      </c>
      <c r="AT565" s="319" t="s">
        <v>190</v>
      </c>
      <c r="AU565" s="319" t="s">
        <v>190</v>
      </c>
      <c r="AV565" s="319" t="s">
        <v>190</v>
      </c>
      <c r="AW565" s="319" t="s">
        <v>190</v>
      </c>
      <c r="AX565" s="319" t="s">
        <v>190</v>
      </c>
      <c r="AY565" s="319" t="s">
        <v>190</v>
      </c>
      <c r="AZ565" s="319" t="s">
        <v>190</v>
      </c>
      <c r="BA565" s="319" t="s">
        <v>190</v>
      </c>
      <c r="BB565" s="319" t="s">
        <v>190</v>
      </c>
      <c r="BC565" s="319" t="s">
        <v>190</v>
      </c>
      <c r="BD565" s="319" t="s">
        <v>190</v>
      </c>
      <c r="BE565" s="319" t="s">
        <v>190</v>
      </c>
      <c r="BF565" s="319" t="s">
        <v>190</v>
      </c>
      <c r="BG565" s="319" t="s">
        <v>190</v>
      </c>
      <c r="BH565" s="319" t="s">
        <v>190</v>
      </c>
      <c r="BI565" s="319" t="s">
        <v>190</v>
      </c>
      <c r="BJ565" s="319" t="s">
        <v>190</v>
      </c>
      <c r="BK565" s="319" t="s">
        <v>190</v>
      </c>
      <c r="BL565" s="319" t="s">
        <v>190</v>
      </c>
      <c r="BM565" s="319" t="s">
        <v>190</v>
      </c>
      <c r="BN565" s="319" t="s">
        <v>190</v>
      </c>
      <c r="BO565" s="319" t="s">
        <v>190</v>
      </c>
      <c r="BP565" s="319" t="s">
        <v>190</v>
      </c>
      <c r="BQ565" s="319" t="s">
        <v>190</v>
      </c>
      <c r="BR565" s="319" t="s">
        <v>190</v>
      </c>
      <c r="BS565" s="319" t="s">
        <v>190</v>
      </c>
      <c r="BT565" s="319" t="s">
        <v>190</v>
      </c>
      <c r="BU565" s="319" t="s">
        <v>190</v>
      </c>
      <c r="BV565" s="319" t="s">
        <v>190</v>
      </c>
      <c r="BW565" s="319" t="s">
        <v>190</v>
      </c>
      <c r="BX565" s="319" t="s">
        <v>190</v>
      </c>
      <c r="BY565" s="319" t="s">
        <v>190</v>
      </c>
      <c r="BZ565" s="319" t="s">
        <v>190</v>
      </c>
      <c r="CA565" s="319" t="s">
        <v>190</v>
      </c>
      <c r="CB565" s="319" t="s">
        <v>190</v>
      </c>
      <c r="CC565" s="319" t="s">
        <v>190</v>
      </c>
      <c r="CD565" s="319" t="s">
        <v>190</v>
      </c>
      <c r="CE565" s="319" t="s">
        <v>190</v>
      </c>
      <c r="CF565" s="319" t="s">
        <v>190</v>
      </c>
      <c r="CG565" s="319" t="s">
        <v>190</v>
      </c>
      <c r="CH565" s="319" t="s">
        <v>190</v>
      </c>
      <c r="CI565" s="319" t="s">
        <v>190</v>
      </c>
      <c r="CJ565" s="319" t="s">
        <v>190</v>
      </c>
      <c r="CK565" s="319" t="s">
        <v>190</v>
      </c>
      <c r="CL565" s="319" t="s">
        <v>190</v>
      </c>
      <c r="CM565" s="319" t="s">
        <v>190</v>
      </c>
      <c r="CN565" s="319" t="s">
        <v>428</v>
      </c>
      <c r="CO565" s="319" t="s">
        <v>428</v>
      </c>
      <c r="CP565" s="319" t="s">
        <v>428</v>
      </c>
      <c r="CQ565" s="319" t="s">
        <v>190</v>
      </c>
      <c r="CR565" s="319" t="s">
        <v>190</v>
      </c>
      <c r="CS565" s="319" t="s">
        <v>190</v>
      </c>
      <c r="CT565" s="319" t="s">
        <v>190</v>
      </c>
      <c r="CU565" s="319" t="s">
        <v>190</v>
      </c>
      <c r="CV565" s="319" t="s">
        <v>190</v>
      </c>
      <c r="CW565" s="319" t="s">
        <v>190</v>
      </c>
      <c r="CX565" s="319" t="s">
        <v>190</v>
      </c>
      <c r="CY565" s="319" t="s">
        <v>190</v>
      </c>
      <c r="CZ565" s="319" t="s">
        <v>190</v>
      </c>
      <c r="DA565" s="319" t="s">
        <v>190</v>
      </c>
      <c r="DB565" s="319" t="s">
        <v>190</v>
      </c>
      <c r="DC565" s="319" t="s">
        <v>190</v>
      </c>
      <c r="DD565" s="319" t="s">
        <v>190</v>
      </c>
      <c r="DE565" s="319" t="s">
        <v>190</v>
      </c>
      <c r="DF565" s="319" t="s">
        <v>190</v>
      </c>
      <c r="DG565" s="319" t="s">
        <v>190</v>
      </c>
      <c r="DH565" s="319" t="s">
        <v>190</v>
      </c>
      <c r="DI565" s="319" t="s">
        <v>190</v>
      </c>
      <c r="DJ565" s="319" t="s">
        <v>190</v>
      </c>
      <c r="DK565" s="319" t="s">
        <v>190</v>
      </c>
      <c r="DL565" s="319" t="s">
        <v>190</v>
      </c>
      <c r="DM565" s="319" t="s">
        <v>190</v>
      </c>
      <c r="DN565" s="319" t="s">
        <v>428</v>
      </c>
      <c r="DO565" s="319" t="s">
        <v>190</v>
      </c>
      <c r="DP565" s="319" t="s">
        <v>190</v>
      </c>
      <c r="DQ565" s="319" t="s">
        <v>190</v>
      </c>
      <c r="DR565" s="319" t="s">
        <v>190</v>
      </c>
      <c r="DS565" s="319" t="s">
        <v>190</v>
      </c>
      <c r="DT565" s="319" t="s">
        <v>190</v>
      </c>
      <c r="DU565" s="319" t="s">
        <v>190</v>
      </c>
      <c r="DV565" s="319" t="s">
        <v>190</v>
      </c>
      <c r="DW565" s="319" t="s">
        <v>190</v>
      </c>
      <c r="DX565" s="319" t="s">
        <v>190</v>
      </c>
      <c r="DY565" s="319" t="s">
        <v>190</v>
      </c>
      <c r="DZ565" s="319" t="s">
        <v>190</v>
      </c>
      <c r="EA565" s="319" t="s">
        <v>190</v>
      </c>
      <c r="EB565" s="319" t="s">
        <v>190</v>
      </c>
      <c r="EC565" s="319" t="s">
        <v>428</v>
      </c>
      <c r="ED565" s="319" t="s">
        <v>190</v>
      </c>
      <c r="EE565" s="319" t="s">
        <v>190</v>
      </c>
      <c r="EF565" s="319" t="s">
        <v>190</v>
      </c>
      <c r="EG565" s="319" t="s">
        <v>190</v>
      </c>
      <c r="EH565" s="319" t="s">
        <v>190</v>
      </c>
      <c r="EI565" s="319" t="s">
        <v>190</v>
      </c>
      <c r="EJ565" s="319" t="s">
        <v>190</v>
      </c>
      <c r="EK565" s="319" t="s">
        <v>190</v>
      </c>
      <c r="EL565" s="319" t="s">
        <v>190</v>
      </c>
      <c r="EM565" s="319" t="s">
        <v>190</v>
      </c>
      <c r="EN565" s="319" t="s">
        <v>190</v>
      </c>
      <c r="EO565" s="319" t="s">
        <v>190</v>
      </c>
      <c r="EP565" s="319" t="s">
        <v>190</v>
      </c>
      <c r="EQ565" s="319" t="s">
        <v>190</v>
      </c>
      <c r="ER565" s="319" t="s">
        <v>190</v>
      </c>
      <c r="ES565" s="319" t="s">
        <v>190</v>
      </c>
      <c r="ET565" s="319" t="s">
        <v>190</v>
      </c>
      <c r="EU565" s="319" t="s">
        <v>190</v>
      </c>
      <c r="EV565" s="319" t="s">
        <v>190</v>
      </c>
      <c r="EW565" s="319" t="s">
        <v>190</v>
      </c>
      <c r="EX565" s="319" t="s">
        <v>190</v>
      </c>
      <c r="EY565" s="319" t="s">
        <v>190</v>
      </c>
      <c r="EZ565" s="319" t="s">
        <v>190</v>
      </c>
      <c r="FA565" s="319" t="s">
        <v>190</v>
      </c>
      <c r="FB565" s="319" t="s">
        <v>190</v>
      </c>
      <c r="FC565" s="319" t="s">
        <v>190</v>
      </c>
      <c r="FD565" s="319" t="s">
        <v>190</v>
      </c>
      <c r="FE565" s="319" t="s">
        <v>190</v>
      </c>
      <c r="FF565" s="319" t="s">
        <v>190</v>
      </c>
      <c r="FG565" s="319" t="s">
        <v>190</v>
      </c>
      <c r="FH565" s="319" t="s">
        <v>190</v>
      </c>
      <c r="FI565" s="319" t="s">
        <v>190</v>
      </c>
      <c r="FJ565" s="319" t="s">
        <v>190</v>
      </c>
      <c r="FK565" s="319" t="s">
        <v>190</v>
      </c>
      <c r="FL565" s="319" t="s">
        <v>190</v>
      </c>
      <c r="FM565" s="319" t="s">
        <v>190</v>
      </c>
      <c r="FN565" s="319" t="s">
        <v>190</v>
      </c>
      <c r="FO565" s="319" t="s">
        <v>190</v>
      </c>
      <c r="FP565" s="319" t="s">
        <v>190</v>
      </c>
      <c r="FQ565" s="319" t="s">
        <v>190</v>
      </c>
      <c r="FR565" s="319" t="s">
        <v>190</v>
      </c>
      <c r="FS565" s="319" t="s">
        <v>190</v>
      </c>
      <c r="FT565" s="319" t="s">
        <v>190</v>
      </c>
      <c r="FU565" s="319" t="s">
        <v>190</v>
      </c>
      <c r="FV565" s="319" t="s">
        <v>190</v>
      </c>
      <c r="FW565" s="319" t="s">
        <v>190</v>
      </c>
      <c r="FX565" s="319" t="s">
        <v>190</v>
      </c>
      <c r="FY565" s="319" t="s">
        <v>190</v>
      </c>
      <c r="FZ565" s="319" t="s">
        <v>190</v>
      </c>
      <c r="GA565" s="319" t="s">
        <v>190</v>
      </c>
      <c r="GB565" s="319" t="s">
        <v>190</v>
      </c>
      <c r="GC565" s="319" t="s">
        <v>190</v>
      </c>
      <c r="GD565" s="319" t="s">
        <v>190</v>
      </c>
      <c r="GE565" s="319" t="s">
        <v>190</v>
      </c>
      <c r="GF565" s="319" t="s">
        <v>190</v>
      </c>
      <c r="GG565" s="319" t="s">
        <v>190</v>
      </c>
      <c r="GH565" s="319" t="s">
        <v>190</v>
      </c>
      <c r="GI565" s="319" t="s">
        <v>190</v>
      </c>
      <c r="GJ565" s="319" t="s">
        <v>190</v>
      </c>
      <c r="GK565" s="319" t="s">
        <v>428</v>
      </c>
      <c r="GL565" s="319" t="s">
        <v>190</v>
      </c>
      <c r="GM565" s="319" t="s">
        <v>190</v>
      </c>
      <c r="GN565" s="319" t="s">
        <v>190</v>
      </c>
      <c r="GO565" s="319" t="s">
        <v>190</v>
      </c>
      <c r="GP565" s="319" t="s">
        <v>190</v>
      </c>
      <c r="GQ565" s="319" t="s">
        <v>190</v>
      </c>
      <c r="GR565" s="319" t="s">
        <v>190</v>
      </c>
      <c r="GS565" s="319" t="s">
        <v>190</v>
      </c>
      <c r="GT565" s="319" t="s">
        <v>190</v>
      </c>
      <c r="GU565" s="319" t="s">
        <v>190</v>
      </c>
      <c r="GV565" s="319" t="s">
        <v>190</v>
      </c>
      <c r="GW565" s="319" t="s">
        <v>190</v>
      </c>
      <c r="GX565" s="319" t="s">
        <v>190</v>
      </c>
      <c r="GY565" s="319" t="s">
        <v>190</v>
      </c>
      <c r="GZ565" s="319" t="s">
        <v>190</v>
      </c>
      <c r="HA565" s="319" t="s">
        <v>190</v>
      </c>
      <c r="HB565" s="319" t="s">
        <v>190</v>
      </c>
      <c r="HC565" s="319" t="s">
        <v>190</v>
      </c>
      <c r="HD565" s="319" t="s">
        <v>190</v>
      </c>
      <c r="HE565" s="319" t="s">
        <v>190</v>
      </c>
      <c r="HF565" s="319" t="s">
        <v>190</v>
      </c>
      <c r="HG565" s="319" t="s">
        <v>190</v>
      </c>
      <c r="HH565" s="319" t="s">
        <v>190</v>
      </c>
      <c r="HI565" s="319" t="s">
        <v>190</v>
      </c>
      <c r="HJ565" s="319" t="s">
        <v>190</v>
      </c>
      <c r="HK565" s="319" t="s">
        <v>190</v>
      </c>
      <c r="HL565" s="319" t="s">
        <v>190</v>
      </c>
      <c r="HM565" s="319" t="s">
        <v>190</v>
      </c>
      <c r="HN565" s="319" t="s">
        <v>190</v>
      </c>
      <c r="HO565" s="319" t="s">
        <v>190</v>
      </c>
      <c r="HP565" s="319" t="s">
        <v>190</v>
      </c>
      <c r="HQ565" s="319" t="s">
        <v>190</v>
      </c>
      <c r="HR565" s="319" t="s">
        <v>190</v>
      </c>
      <c r="HS565" s="319" t="s">
        <v>190</v>
      </c>
      <c r="HT565" s="319" t="s">
        <v>190</v>
      </c>
      <c r="HU565" s="319" t="s">
        <v>190</v>
      </c>
      <c r="HV565" s="319" t="s">
        <v>190</v>
      </c>
      <c r="HW565" s="319" t="s">
        <v>190</v>
      </c>
      <c r="HX565" s="319" t="s">
        <v>190</v>
      </c>
      <c r="HY565" s="319" t="s">
        <v>190</v>
      </c>
      <c r="HZ565" s="319" t="s">
        <v>190</v>
      </c>
      <c r="IA565" s="319" t="s">
        <v>190</v>
      </c>
      <c r="IB565" s="319" t="s">
        <v>190</v>
      </c>
      <c r="IC565" s="319" t="s">
        <v>190</v>
      </c>
      <c r="ID565" s="319" t="s">
        <v>190</v>
      </c>
      <c r="IE565" s="319" t="s">
        <v>190</v>
      </c>
      <c r="IF565" s="319" t="s">
        <v>190</v>
      </c>
      <c r="IG565" s="319" t="s">
        <v>190</v>
      </c>
      <c r="IH565" s="319" t="s">
        <v>190</v>
      </c>
      <c r="II565" s="319" t="s">
        <v>190</v>
      </c>
      <c r="IJ565" s="319">
        <v>10008888</v>
      </c>
      <c r="IK565" s="321">
        <v>42647</v>
      </c>
      <c r="IL565" s="321">
        <v>42649</v>
      </c>
      <c r="IM565" s="321">
        <v>42692</v>
      </c>
      <c r="IN565" s="319">
        <v>2</v>
      </c>
      <c r="IO565" s="319" t="s">
        <v>173</v>
      </c>
      <c r="IP565" s="319" t="s">
        <v>173</v>
      </c>
      <c r="IQ565" s="321" t="s">
        <v>173</v>
      </c>
      <c r="IR565" s="320" t="s">
        <v>173</v>
      </c>
      <c r="IS565" s="322" t="s">
        <v>173</v>
      </c>
      <c r="IT565" s="319" t="s">
        <v>173</v>
      </c>
    </row>
    <row r="566" spans="1:254" s="271" customFormat="1" x14ac:dyDescent="0.25">
      <c r="A566" s="318" t="str">
        <f>HYPERLINK("http://www.ofsted.gov.uk/inspection-reports/find-inspection-report/provider/ELS/135785 ","Ofsted School Webpage")</f>
        <v>Ofsted School Webpage</v>
      </c>
      <c r="B566" s="319">
        <v>135785</v>
      </c>
      <c r="C566" s="319">
        <v>9286071</v>
      </c>
      <c r="D566" s="319" t="s">
        <v>1985</v>
      </c>
      <c r="E566" s="319" t="s">
        <v>167</v>
      </c>
      <c r="F566" s="319" t="s">
        <v>81</v>
      </c>
      <c r="G566" s="319" t="s">
        <v>81</v>
      </c>
      <c r="H566" s="319" t="s">
        <v>81</v>
      </c>
      <c r="I566" s="319" t="s">
        <v>78</v>
      </c>
      <c r="J566" s="319" t="s">
        <v>424</v>
      </c>
      <c r="K566" s="319" t="s">
        <v>506</v>
      </c>
      <c r="L566" s="319" t="s">
        <v>506</v>
      </c>
      <c r="M566" s="319" t="s">
        <v>1136</v>
      </c>
      <c r="N566" s="319" t="s">
        <v>3323</v>
      </c>
      <c r="O566" s="319" t="s">
        <v>1986</v>
      </c>
      <c r="P566" s="319">
        <v>81</v>
      </c>
      <c r="Q566" s="319" t="s">
        <v>2776</v>
      </c>
      <c r="R566" s="320">
        <v>10020808</v>
      </c>
      <c r="S566" s="321">
        <v>42696</v>
      </c>
      <c r="T566" s="321">
        <v>42698</v>
      </c>
      <c r="U566" s="321">
        <v>42748</v>
      </c>
      <c r="V566" s="319" t="s">
        <v>425</v>
      </c>
      <c r="W566" s="319" t="s">
        <v>2767</v>
      </c>
      <c r="X566" s="319">
        <v>1</v>
      </c>
      <c r="Y566" s="319" t="s">
        <v>173</v>
      </c>
      <c r="Z566" s="319" t="s">
        <v>173</v>
      </c>
      <c r="AA566" s="319" t="s">
        <v>173</v>
      </c>
      <c r="AB566" s="319">
        <v>1</v>
      </c>
      <c r="AC566" s="319" t="s">
        <v>169</v>
      </c>
      <c r="AD566" s="319" t="s">
        <v>173</v>
      </c>
      <c r="AE566" s="319">
        <v>1</v>
      </c>
      <c r="AF566" s="319" t="s">
        <v>173</v>
      </c>
      <c r="AG566" s="319" t="s">
        <v>171</v>
      </c>
      <c r="AH566" s="319" t="s">
        <v>190</v>
      </c>
      <c r="AI566" s="319" t="s">
        <v>190</v>
      </c>
      <c r="AJ566" s="319" t="s">
        <v>190</v>
      </c>
      <c r="AK566" s="319" t="s">
        <v>190</v>
      </c>
      <c r="AL566" s="319" t="s">
        <v>190</v>
      </c>
      <c r="AM566" s="319" t="s">
        <v>190</v>
      </c>
      <c r="AN566" s="319" t="s">
        <v>190</v>
      </c>
      <c r="AO566" s="319" t="s">
        <v>190</v>
      </c>
      <c r="AP566" s="319" t="s">
        <v>190</v>
      </c>
      <c r="AQ566" s="319" t="s">
        <v>190</v>
      </c>
      <c r="AR566" s="319" t="s">
        <v>190</v>
      </c>
      <c r="AS566" s="319" t="s">
        <v>190</v>
      </c>
      <c r="AT566" s="319" t="s">
        <v>190</v>
      </c>
      <c r="AU566" s="319" t="s">
        <v>190</v>
      </c>
      <c r="AV566" s="319" t="s">
        <v>190</v>
      </c>
      <c r="AW566" s="319" t="s">
        <v>190</v>
      </c>
      <c r="AX566" s="319" t="s">
        <v>429</v>
      </c>
      <c r="AY566" s="319" t="s">
        <v>190</v>
      </c>
      <c r="AZ566" s="319" t="s">
        <v>190</v>
      </c>
      <c r="BA566" s="319" t="s">
        <v>190</v>
      </c>
      <c r="BB566" s="319" t="s">
        <v>190</v>
      </c>
      <c r="BC566" s="319" t="s">
        <v>190</v>
      </c>
      <c r="BD566" s="319" t="s">
        <v>190</v>
      </c>
      <c r="BE566" s="319" t="s">
        <v>190</v>
      </c>
      <c r="BF566" s="319" t="s">
        <v>429</v>
      </c>
      <c r="BG566" s="319" t="s">
        <v>190</v>
      </c>
      <c r="BH566" s="319" t="s">
        <v>190</v>
      </c>
      <c r="BI566" s="319" t="s">
        <v>190</v>
      </c>
      <c r="BJ566" s="319" t="s">
        <v>190</v>
      </c>
      <c r="BK566" s="319" t="s">
        <v>190</v>
      </c>
      <c r="BL566" s="319" t="s">
        <v>190</v>
      </c>
      <c r="BM566" s="319" t="s">
        <v>190</v>
      </c>
      <c r="BN566" s="319" t="s">
        <v>190</v>
      </c>
      <c r="BO566" s="319" t="s">
        <v>190</v>
      </c>
      <c r="BP566" s="319" t="s">
        <v>190</v>
      </c>
      <c r="BQ566" s="319" t="s">
        <v>190</v>
      </c>
      <c r="BR566" s="319" t="s">
        <v>190</v>
      </c>
      <c r="BS566" s="319" t="s">
        <v>190</v>
      </c>
      <c r="BT566" s="319" t="s">
        <v>190</v>
      </c>
      <c r="BU566" s="319" t="s">
        <v>190</v>
      </c>
      <c r="BV566" s="319" t="s">
        <v>190</v>
      </c>
      <c r="BW566" s="319" t="s">
        <v>190</v>
      </c>
      <c r="BX566" s="319" t="s">
        <v>190</v>
      </c>
      <c r="BY566" s="319" t="s">
        <v>190</v>
      </c>
      <c r="BZ566" s="319" t="s">
        <v>190</v>
      </c>
      <c r="CA566" s="319" t="s">
        <v>190</v>
      </c>
      <c r="CB566" s="319" t="s">
        <v>190</v>
      </c>
      <c r="CC566" s="319" t="s">
        <v>190</v>
      </c>
      <c r="CD566" s="319" t="s">
        <v>190</v>
      </c>
      <c r="CE566" s="319" t="s">
        <v>190</v>
      </c>
      <c r="CF566" s="319" t="s">
        <v>190</v>
      </c>
      <c r="CG566" s="319" t="s">
        <v>190</v>
      </c>
      <c r="CH566" s="319" t="s">
        <v>190</v>
      </c>
      <c r="CI566" s="319" t="s">
        <v>190</v>
      </c>
      <c r="CJ566" s="319" t="s">
        <v>190</v>
      </c>
      <c r="CK566" s="319" t="s">
        <v>190</v>
      </c>
      <c r="CL566" s="319" t="s">
        <v>190</v>
      </c>
      <c r="CM566" s="319" t="s">
        <v>190</v>
      </c>
      <c r="CN566" s="319" t="s">
        <v>429</v>
      </c>
      <c r="CO566" s="319" t="s">
        <v>429</v>
      </c>
      <c r="CP566" s="319" t="s">
        <v>429</v>
      </c>
      <c r="CQ566" s="319" t="s">
        <v>190</v>
      </c>
      <c r="CR566" s="319" t="s">
        <v>190</v>
      </c>
      <c r="CS566" s="319" t="s">
        <v>190</v>
      </c>
      <c r="CT566" s="319" t="s">
        <v>190</v>
      </c>
      <c r="CU566" s="319" t="s">
        <v>190</v>
      </c>
      <c r="CV566" s="319" t="s">
        <v>190</v>
      </c>
      <c r="CW566" s="319" t="s">
        <v>190</v>
      </c>
      <c r="CX566" s="319" t="s">
        <v>190</v>
      </c>
      <c r="CY566" s="319" t="s">
        <v>190</v>
      </c>
      <c r="CZ566" s="319" t="s">
        <v>190</v>
      </c>
      <c r="DA566" s="319" t="s">
        <v>190</v>
      </c>
      <c r="DB566" s="319" t="s">
        <v>190</v>
      </c>
      <c r="DC566" s="319" t="s">
        <v>190</v>
      </c>
      <c r="DD566" s="319" t="s">
        <v>190</v>
      </c>
      <c r="DE566" s="319" t="s">
        <v>190</v>
      </c>
      <c r="DF566" s="319" t="s">
        <v>190</v>
      </c>
      <c r="DG566" s="319" t="s">
        <v>190</v>
      </c>
      <c r="DH566" s="319" t="s">
        <v>190</v>
      </c>
      <c r="DI566" s="319" t="s">
        <v>190</v>
      </c>
      <c r="DJ566" s="319" t="s">
        <v>190</v>
      </c>
      <c r="DK566" s="319" t="s">
        <v>190</v>
      </c>
      <c r="DL566" s="319" t="s">
        <v>190</v>
      </c>
      <c r="DM566" s="319" t="s">
        <v>429</v>
      </c>
      <c r="DN566" s="319" t="s">
        <v>429</v>
      </c>
      <c r="DO566" s="319" t="s">
        <v>190</v>
      </c>
      <c r="DP566" s="319" t="s">
        <v>429</v>
      </c>
      <c r="DQ566" s="319" t="s">
        <v>429</v>
      </c>
      <c r="DR566" s="319" t="s">
        <v>429</v>
      </c>
      <c r="DS566" s="319" t="s">
        <v>429</v>
      </c>
      <c r="DT566" s="319" t="s">
        <v>429</v>
      </c>
      <c r="DU566" s="319" t="s">
        <v>429</v>
      </c>
      <c r="DV566" s="319" t="s">
        <v>173</v>
      </c>
      <c r="DW566" s="319" t="s">
        <v>429</v>
      </c>
      <c r="DX566" s="319" t="s">
        <v>429</v>
      </c>
      <c r="DY566" s="319" t="s">
        <v>429</v>
      </c>
      <c r="DZ566" s="319" t="s">
        <v>429</v>
      </c>
      <c r="EA566" s="319" t="s">
        <v>429</v>
      </c>
      <c r="EB566" s="319" t="s">
        <v>429</v>
      </c>
      <c r="EC566" s="319" t="s">
        <v>429</v>
      </c>
      <c r="ED566" s="319" t="s">
        <v>190</v>
      </c>
      <c r="EE566" s="319" t="s">
        <v>190</v>
      </c>
      <c r="EF566" s="319" t="s">
        <v>190</v>
      </c>
      <c r="EG566" s="319" t="s">
        <v>190</v>
      </c>
      <c r="EH566" s="319" t="s">
        <v>190</v>
      </c>
      <c r="EI566" s="319" t="s">
        <v>190</v>
      </c>
      <c r="EJ566" s="319" t="s">
        <v>190</v>
      </c>
      <c r="EK566" s="319" t="s">
        <v>190</v>
      </c>
      <c r="EL566" s="319" t="s">
        <v>429</v>
      </c>
      <c r="EM566" s="319" t="s">
        <v>429</v>
      </c>
      <c r="EN566" s="319" t="s">
        <v>190</v>
      </c>
      <c r="EO566" s="319" t="s">
        <v>190</v>
      </c>
      <c r="EP566" s="319" t="s">
        <v>190</v>
      </c>
      <c r="EQ566" s="319" t="s">
        <v>190</v>
      </c>
      <c r="ER566" s="319" t="s">
        <v>190</v>
      </c>
      <c r="ES566" s="319" t="s">
        <v>190</v>
      </c>
      <c r="ET566" s="319" t="s">
        <v>190</v>
      </c>
      <c r="EU566" s="319" t="s">
        <v>190</v>
      </c>
      <c r="EV566" s="319" t="s">
        <v>190</v>
      </c>
      <c r="EW566" s="319" t="s">
        <v>190</v>
      </c>
      <c r="EX566" s="319" t="s">
        <v>190</v>
      </c>
      <c r="EY566" s="319" t="s">
        <v>429</v>
      </c>
      <c r="EZ566" s="319" t="s">
        <v>190</v>
      </c>
      <c r="FA566" s="319" t="s">
        <v>429</v>
      </c>
      <c r="FB566" s="319" t="s">
        <v>429</v>
      </c>
      <c r="FC566" s="319" t="s">
        <v>429</v>
      </c>
      <c r="FD566" s="319" t="s">
        <v>429</v>
      </c>
      <c r="FE566" s="319" t="s">
        <v>429</v>
      </c>
      <c r="FF566" s="319" t="s">
        <v>429</v>
      </c>
      <c r="FG566" s="319" t="s">
        <v>429</v>
      </c>
      <c r="FH566" s="319" t="s">
        <v>190</v>
      </c>
      <c r="FI566" s="319" t="s">
        <v>429</v>
      </c>
      <c r="FJ566" s="319" t="s">
        <v>429</v>
      </c>
      <c r="FK566" s="319" t="s">
        <v>429</v>
      </c>
      <c r="FL566" s="319" t="s">
        <v>190</v>
      </c>
      <c r="FM566" s="319" t="s">
        <v>190</v>
      </c>
      <c r="FN566" s="319" t="s">
        <v>190</v>
      </c>
      <c r="FO566" s="319" t="s">
        <v>190</v>
      </c>
      <c r="FP566" s="319" t="s">
        <v>190</v>
      </c>
      <c r="FQ566" s="319" t="s">
        <v>190</v>
      </c>
      <c r="FR566" s="319" t="s">
        <v>190</v>
      </c>
      <c r="FS566" s="319" t="s">
        <v>190</v>
      </c>
      <c r="FT566" s="319" t="s">
        <v>190</v>
      </c>
      <c r="FU566" s="319" t="s">
        <v>190</v>
      </c>
      <c r="FV566" s="319" t="s">
        <v>190</v>
      </c>
      <c r="FW566" s="319" t="s">
        <v>190</v>
      </c>
      <c r="FX566" s="319" t="s">
        <v>190</v>
      </c>
      <c r="FY566" s="319" t="s">
        <v>190</v>
      </c>
      <c r="FZ566" s="319" t="s">
        <v>190</v>
      </c>
      <c r="GA566" s="319" t="s">
        <v>190</v>
      </c>
      <c r="GB566" s="319" t="s">
        <v>190</v>
      </c>
      <c r="GC566" s="319" t="s">
        <v>190</v>
      </c>
      <c r="GD566" s="319" t="s">
        <v>190</v>
      </c>
      <c r="GE566" s="319" t="s">
        <v>190</v>
      </c>
      <c r="GF566" s="319" t="s">
        <v>190</v>
      </c>
      <c r="GG566" s="319" t="s">
        <v>190</v>
      </c>
      <c r="GH566" s="319" t="s">
        <v>190</v>
      </c>
      <c r="GI566" s="319" t="s">
        <v>190</v>
      </c>
      <c r="GJ566" s="319" t="s">
        <v>190</v>
      </c>
      <c r="GK566" s="319" t="s">
        <v>429</v>
      </c>
      <c r="GL566" s="319" t="s">
        <v>190</v>
      </c>
      <c r="GM566" s="319" t="s">
        <v>190</v>
      </c>
      <c r="GN566" s="319" t="s">
        <v>190</v>
      </c>
      <c r="GO566" s="319" t="s">
        <v>190</v>
      </c>
      <c r="GP566" s="319" t="s">
        <v>190</v>
      </c>
      <c r="GQ566" s="319" t="s">
        <v>190</v>
      </c>
      <c r="GR566" s="319" t="s">
        <v>190</v>
      </c>
      <c r="GS566" s="319" t="s">
        <v>190</v>
      </c>
      <c r="GT566" s="319" t="s">
        <v>429</v>
      </c>
      <c r="GU566" s="319" t="s">
        <v>190</v>
      </c>
      <c r="GV566" s="319" t="s">
        <v>190</v>
      </c>
      <c r="GW566" s="319" t="s">
        <v>190</v>
      </c>
      <c r="GX566" s="319" t="s">
        <v>190</v>
      </c>
      <c r="GY566" s="319" t="s">
        <v>190</v>
      </c>
      <c r="GZ566" s="319" t="s">
        <v>429</v>
      </c>
      <c r="HA566" s="319" t="s">
        <v>190</v>
      </c>
      <c r="HB566" s="319" t="s">
        <v>190</v>
      </c>
      <c r="HC566" s="319" t="s">
        <v>190</v>
      </c>
      <c r="HD566" s="319" t="s">
        <v>190</v>
      </c>
      <c r="HE566" s="319" t="s">
        <v>190</v>
      </c>
      <c r="HF566" s="319" t="s">
        <v>190</v>
      </c>
      <c r="HG566" s="319" t="s">
        <v>190</v>
      </c>
      <c r="HH566" s="319" t="s">
        <v>190</v>
      </c>
      <c r="HI566" s="319" t="s">
        <v>190</v>
      </c>
      <c r="HJ566" s="319" t="s">
        <v>190</v>
      </c>
      <c r="HK566" s="319" t="s">
        <v>190</v>
      </c>
      <c r="HL566" s="319" t="s">
        <v>429</v>
      </c>
      <c r="HM566" s="319" t="s">
        <v>429</v>
      </c>
      <c r="HN566" s="319" t="s">
        <v>429</v>
      </c>
      <c r="HO566" s="319" t="s">
        <v>429</v>
      </c>
      <c r="HP566" s="319" t="s">
        <v>190</v>
      </c>
      <c r="HQ566" s="319" t="s">
        <v>190</v>
      </c>
      <c r="HR566" s="319" t="s">
        <v>190</v>
      </c>
      <c r="HS566" s="319" t="s">
        <v>190</v>
      </c>
      <c r="HT566" s="319" t="s">
        <v>190</v>
      </c>
      <c r="HU566" s="319" t="s">
        <v>190</v>
      </c>
      <c r="HV566" s="319" t="s">
        <v>190</v>
      </c>
      <c r="HW566" s="319" t="s">
        <v>190</v>
      </c>
      <c r="HX566" s="319" t="s">
        <v>190</v>
      </c>
      <c r="HY566" s="319" t="s">
        <v>190</v>
      </c>
      <c r="HZ566" s="319" t="s">
        <v>190</v>
      </c>
      <c r="IA566" s="319" t="s">
        <v>190</v>
      </c>
      <c r="IB566" s="319" t="s">
        <v>190</v>
      </c>
      <c r="IC566" s="319" t="s">
        <v>190</v>
      </c>
      <c r="ID566" s="319" t="s">
        <v>190</v>
      </c>
      <c r="IE566" s="319" t="s">
        <v>190</v>
      </c>
      <c r="IF566" s="319" t="s">
        <v>190</v>
      </c>
      <c r="IG566" s="319" t="s">
        <v>190</v>
      </c>
      <c r="IH566" s="319" t="s">
        <v>190</v>
      </c>
      <c r="II566" s="319" t="s">
        <v>190</v>
      </c>
      <c r="IJ566" s="319" t="s">
        <v>3326</v>
      </c>
      <c r="IK566" s="321">
        <v>41605</v>
      </c>
      <c r="IL566" s="321">
        <v>41607</v>
      </c>
      <c r="IM566" s="321">
        <v>41620</v>
      </c>
      <c r="IN566" s="319">
        <v>1</v>
      </c>
      <c r="IO566" s="319" t="s">
        <v>173</v>
      </c>
      <c r="IP566" s="319" t="s">
        <v>173</v>
      </c>
      <c r="IQ566" s="319" t="s">
        <v>173</v>
      </c>
      <c r="IR566" s="320" t="s">
        <v>173</v>
      </c>
      <c r="IS566" s="320" t="s">
        <v>173</v>
      </c>
      <c r="IT566" s="319" t="s">
        <v>173</v>
      </c>
    </row>
    <row r="567" spans="1:254" s="271" customFormat="1" x14ac:dyDescent="0.25">
      <c r="A567" s="318" t="str">
        <f>HYPERLINK("http://www.ofsted.gov.uk/inspection-reports/find-inspection-report/provider/ELS/135792 ","Ofsted School Webpage")</f>
        <v>Ofsted School Webpage</v>
      </c>
      <c r="B567" s="319">
        <v>135792</v>
      </c>
      <c r="C567" s="319">
        <v>3336005</v>
      </c>
      <c r="D567" s="319" t="s">
        <v>1987</v>
      </c>
      <c r="E567" s="319" t="s">
        <v>167</v>
      </c>
      <c r="F567" s="319" t="s">
        <v>81</v>
      </c>
      <c r="G567" s="319" t="s">
        <v>72</v>
      </c>
      <c r="H567" s="319" t="s">
        <v>72</v>
      </c>
      <c r="I567" s="319" t="s">
        <v>72</v>
      </c>
      <c r="J567" s="319" t="s">
        <v>424</v>
      </c>
      <c r="K567" s="319" t="s">
        <v>437</v>
      </c>
      <c r="L567" s="319" t="s">
        <v>437</v>
      </c>
      <c r="M567" s="319" t="s">
        <v>638</v>
      </c>
      <c r="N567" s="319" t="s">
        <v>3327</v>
      </c>
      <c r="O567" s="319" t="s">
        <v>1988</v>
      </c>
      <c r="P567" s="319">
        <v>26</v>
      </c>
      <c r="Q567" s="319" t="s">
        <v>2766</v>
      </c>
      <c r="R567" s="320">
        <v>10026107</v>
      </c>
      <c r="S567" s="321">
        <v>43018</v>
      </c>
      <c r="T567" s="321">
        <v>43020</v>
      </c>
      <c r="U567" s="321">
        <v>43056</v>
      </c>
      <c r="V567" s="319" t="s">
        <v>425</v>
      </c>
      <c r="W567" s="319" t="s">
        <v>2767</v>
      </c>
      <c r="X567" s="319">
        <v>2</v>
      </c>
      <c r="Y567" s="319" t="s">
        <v>173</v>
      </c>
      <c r="Z567" s="319" t="s">
        <v>173</v>
      </c>
      <c r="AA567" s="319" t="s">
        <v>173</v>
      </c>
      <c r="AB567" s="319">
        <v>2</v>
      </c>
      <c r="AC567" s="319" t="s">
        <v>169</v>
      </c>
      <c r="AD567" s="319" t="s">
        <v>173</v>
      </c>
      <c r="AE567" s="319" t="s">
        <v>173</v>
      </c>
      <c r="AF567" s="319" t="s">
        <v>427</v>
      </c>
      <c r="AG567" s="319" t="s">
        <v>171</v>
      </c>
      <c r="AH567" s="319" t="s">
        <v>190</v>
      </c>
      <c r="AI567" s="319" t="s">
        <v>190</v>
      </c>
      <c r="AJ567" s="319" t="s">
        <v>190</v>
      </c>
      <c r="AK567" s="319" t="s">
        <v>190</v>
      </c>
      <c r="AL567" s="319" t="s">
        <v>190</v>
      </c>
      <c r="AM567" s="319" t="s">
        <v>190</v>
      </c>
      <c r="AN567" s="319" t="s">
        <v>190</v>
      </c>
      <c r="AO567" s="319" t="s">
        <v>190</v>
      </c>
      <c r="AP567" s="319" t="s">
        <v>190</v>
      </c>
      <c r="AQ567" s="319" t="s">
        <v>190</v>
      </c>
      <c r="AR567" s="319" t="s">
        <v>190</v>
      </c>
      <c r="AS567" s="319" t="s">
        <v>190</v>
      </c>
      <c r="AT567" s="319" t="s">
        <v>190</v>
      </c>
      <c r="AU567" s="319" t="s">
        <v>190</v>
      </c>
      <c r="AV567" s="319" t="s">
        <v>190</v>
      </c>
      <c r="AW567" s="319" t="s">
        <v>190</v>
      </c>
      <c r="AX567" s="319" t="s">
        <v>190</v>
      </c>
      <c r="AY567" s="319" t="s">
        <v>190</v>
      </c>
      <c r="AZ567" s="319" t="s">
        <v>190</v>
      </c>
      <c r="BA567" s="319" t="s">
        <v>190</v>
      </c>
      <c r="BB567" s="319" t="s">
        <v>190</v>
      </c>
      <c r="BC567" s="319" t="s">
        <v>190</v>
      </c>
      <c r="BD567" s="319" t="s">
        <v>190</v>
      </c>
      <c r="BE567" s="319" t="s">
        <v>190</v>
      </c>
      <c r="BF567" s="319" t="s">
        <v>428</v>
      </c>
      <c r="BG567" s="319" t="s">
        <v>428</v>
      </c>
      <c r="BH567" s="319" t="s">
        <v>190</v>
      </c>
      <c r="BI567" s="319" t="s">
        <v>190</v>
      </c>
      <c r="BJ567" s="319" t="s">
        <v>190</v>
      </c>
      <c r="BK567" s="319" t="s">
        <v>190</v>
      </c>
      <c r="BL567" s="319" t="s">
        <v>190</v>
      </c>
      <c r="BM567" s="319" t="s">
        <v>190</v>
      </c>
      <c r="BN567" s="319" t="s">
        <v>190</v>
      </c>
      <c r="BO567" s="319" t="s">
        <v>190</v>
      </c>
      <c r="BP567" s="319" t="s">
        <v>190</v>
      </c>
      <c r="BQ567" s="319" t="s">
        <v>190</v>
      </c>
      <c r="BR567" s="319" t="s">
        <v>190</v>
      </c>
      <c r="BS567" s="319" t="s">
        <v>190</v>
      </c>
      <c r="BT567" s="319" t="s">
        <v>190</v>
      </c>
      <c r="BU567" s="319" t="s">
        <v>190</v>
      </c>
      <c r="BV567" s="319" t="s">
        <v>190</v>
      </c>
      <c r="BW567" s="319" t="s">
        <v>190</v>
      </c>
      <c r="BX567" s="319" t="s">
        <v>190</v>
      </c>
      <c r="BY567" s="319" t="s">
        <v>190</v>
      </c>
      <c r="BZ567" s="319" t="s">
        <v>190</v>
      </c>
      <c r="CA567" s="319" t="s">
        <v>190</v>
      </c>
      <c r="CB567" s="319" t="s">
        <v>190</v>
      </c>
      <c r="CC567" s="319" t="s">
        <v>190</v>
      </c>
      <c r="CD567" s="319" t="s">
        <v>190</v>
      </c>
      <c r="CE567" s="319" t="s">
        <v>190</v>
      </c>
      <c r="CF567" s="319" t="s">
        <v>190</v>
      </c>
      <c r="CG567" s="319" t="s">
        <v>190</v>
      </c>
      <c r="CH567" s="319" t="s">
        <v>190</v>
      </c>
      <c r="CI567" s="319" t="s">
        <v>190</v>
      </c>
      <c r="CJ567" s="319" t="s">
        <v>190</v>
      </c>
      <c r="CK567" s="319" t="s">
        <v>190</v>
      </c>
      <c r="CL567" s="319" t="s">
        <v>190</v>
      </c>
      <c r="CM567" s="319" t="s">
        <v>190</v>
      </c>
      <c r="CN567" s="319" t="s">
        <v>428</v>
      </c>
      <c r="CO567" s="319" t="s">
        <v>428</v>
      </c>
      <c r="CP567" s="319" t="s">
        <v>428</v>
      </c>
      <c r="CQ567" s="319" t="s">
        <v>190</v>
      </c>
      <c r="CR567" s="319" t="s">
        <v>190</v>
      </c>
      <c r="CS567" s="319" t="s">
        <v>190</v>
      </c>
      <c r="CT567" s="319" t="s">
        <v>190</v>
      </c>
      <c r="CU567" s="319" t="s">
        <v>190</v>
      </c>
      <c r="CV567" s="319" t="s">
        <v>190</v>
      </c>
      <c r="CW567" s="319" t="s">
        <v>190</v>
      </c>
      <c r="CX567" s="319" t="s">
        <v>190</v>
      </c>
      <c r="CY567" s="319" t="s">
        <v>190</v>
      </c>
      <c r="CZ567" s="319" t="s">
        <v>190</v>
      </c>
      <c r="DA567" s="319" t="s">
        <v>190</v>
      </c>
      <c r="DB567" s="319" t="s">
        <v>190</v>
      </c>
      <c r="DC567" s="319" t="s">
        <v>190</v>
      </c>
      <c r="DD567" s="319" t="s">
        <v>190</v>
      </c>
      <c r="DE567" s="319" t="s">
        <v>190</v>
      </c>
      <c r="DF567" s="319" t="s">
        <v>190</v>
      </c>
      <c r="DG567" s="319" t="s">
        <v>190</v>
      </c>
      <c r="DH567" s="319" t="s">
        <v>190</v>
      </c>
      <c r="DI567" s="319" t="s">
        <v>190</v>
      </c>
      <c r="DJ567" s="319" t="s">
        <v>190</v>
      </c>
      <c r="DK567" s="319" t="s">
        <v>190</v>
      </c>
      <c r="DL567" s="319" t="s">
        <v>190</v>
      </c>
      <c r="DM567" s="319" t="s">
        <v>190</v>
      </c>
      <c r="DN567" s="319" t="s">
        <v>428</v>
      </c>
      <c r="DO567" s="319" t="s">
        <v>190</v>
      </c>
      <c r="DP567" s="319" t="s">
        <v>190</v>
      </c>
      <c r="DQ567" s="319" t="s">
        <v>190</v>
      </c>
      <c r="DR567" s="319" t="s">
        <v>190</v>
      </c>
      <c r="DS567" s="319" t="s">
        <v>190</v>
      </c>
      <c r="DT567" s="319" t="s">
        <v>190</v>
      </c>
      <c r="DU567" s="319" t="s">
        <v>190</v>
      </c>
      <c r="DV567" s="319" t="s">
        <v>173</v>
      </c>
      <c r="DW567" s="319" t="s">
        <v>190</v>
      </c>
      <c r="DX567" s="319" t="s">
        <v>190</v>
      </c>
      <c r="DY567" s="319" t="s">
        <v>190</v>
      </c>
      <c r="DZ567" s="319" t="s">
        <v>190</v>
      </c>
      <c r="EA567" s="319" t="s">
        <v>190</v>
      </c>
      <c r="EB567" s="319" t="s">
        <v>190</v>
      </c>
      <c r="EC567" s="319" t="s">
        <v>428</v>
      </c>
      <c r="ED567" s="319" t="s">
        <v>190</v>
      </c>
      <c r="EE567" s="319" t="s">
        <v>190</v>
      </c>
      <c r="EF567" s="319" t="s">
        <v>190</v>
      </c>
      <c r="EG567" s="319" t="s">
        <v>190</v>
      </c>
      <c r="EH567" s="319" t="s">
        <v>190</v>
      </c>
      <c r="EI567" s="319" t="s">
        <v>190</v>
      </c>
      <c r="EJ567" s="319" t="s">
        <v>190</v>
      </c>
      <c r="EK567" s="319" t="s">
        <v>190</v>
      </c>
      <c r="EL567" s="319" t="s">
        <v>190</v>
      </c>
      <c r="EM567" s="319" t="s">
        <v>190</v>
      </c>
      <c r="EN567" s="319" t="s">
        <v>190</v>
      </c>
      <c r="EO567" s="319" t="s">
        <v>190</v>
      </c>
      <c r="EP567" s="319" t="s">
        <v>190</v>
      </c>
      <c r="EQ567" s="319" t="s">
        <v>190</v>
      </c>
      <c r="ER567" s="319" t="s">
        <v>190</v>
      </c>
      <c r="ES567" s="319" t="s">
        <v>190</v>
      </c>
      <c r="ET567" s="319" t="s">
        <v>190</v>
      </c>
      <c r="EU567" s="319" t="s">
        <v>190</v>
      </c>
      <c r="EV567" s="319" t="s">
        <v>190</v>
      </c>
      <c r="EW567" s="319" t="s">
        <v>190</v>
      </c>
      <c r="EX567" s="319" t="s">
        <v>190</v>
      </c>
      <c r="EY567" s="319" t="s">
        <v>190</v>
      </c>
      <c r="EZ567" s="319" t="s">
        <v>190</v>
      </c>
      <c r="FA567" s="319" t="s">
        <v>190</v>
      </c>
      <c r="FB567" s="319" t="s">
        <v>190</v>
      </c>
      <c r="FC567" s="319" t="s">
        <v>190</v>
      </c>
      <c r="FD567" s="319" t="s">
        <v>190</v>
      </c>
      <c r="FE567" s="319" t="s">
        <v>190</v>
      </c>
      <c r="FF567" s="319" t="s">
        <v>190</v>
      </c>
      <c r="FG567" s="319" t="s">
        <v>190</v>
      </c>
      <c r="FH567" s="319" t="s">
        <v>190</v>
      </c>
      <c r="FI567" s="319" t="s">
        <v>190</v>
      </c>
      <c r="FJ567" s="319" t="s">
        <v>190</v>
      </c>
      <c r="FK567" s="319" t="s">
        <v>190</v>
      </c>
      <c r="FL567" s="319" t="s">
        <v>190</v>
      </c>
      <c r="FM567" s="319" t="s">
        <v>190</v>
      </c>
      <c r="FN567" s="319" t="s">
        <v>190</v>
      </c>
      <c r="FO567" s="319" t="s">
        <v>190</v>
      </c>
      <c r="FP567" s="319" t="s">
        <v>190</v>
      </c>
      <c r="FQ567" s="319" t="s">
        <v>190</v>
      </c>
      <c r="FR567" s="319" t="s">
        <v>190</v>
      </c>
      <c r="FS567" s="319" t="s">
        <v>428</v>
      </c>
      <c r="FT567" s="319" t="s">
        <v>190</v>
      </c>
      <c r="FU567" s="319" t="s">
        <v>190</v>
      </c>
      <c r="FV567" s="319" t="s">
        <v>190</v>
      </c>
      <c r="FW567" s="319" t="s">
        <v>190</v>
      </c>
      <c r="FX567" s="319" t="s">
        <v>190</v>
      </c>
      <c r="FY567" s="319" t="s">
        <v>190</v>
      </c>
      <c r="FZ567" s="319" t="s">
        <v>190</v>
      </c>
      <c r="GA567" s="319" t="s">
        <v>190</v>
      </c>
      <c r="GB567" s="319" t="s">
        <v>190</v>
      </c>
      <c r="GC567" s="319" t="s">
        <v>190</v>
      </c>
      <c r="GD567" s="319" t="s">
        <v>190</v>
      </c>
      <c r="GE567" s="319" t="s">
        <v>190</v>
      </c>
      <c r="GF567" s="319" t="s">
        <v>190</v>
      </c>
      <c r="GG567" s="319" t="s">
        <v>190</v>
      </c>
      <c r="GH567" s="319" t="s">
        <v>190</v>
      </c>
      <c r="GI567" s="319" t="s">
        <v>190</v>
      </c>
      <c r="GJ567" s="319" t="s">
        <v>190</v>
      </c>
      <c r="GK567" s="319" t="s">
        <v>428</v>
      </c>
      <c r="GL567" s="319" t="s">
        <v>190</v>
      </c>
      <c r="GM567" s="319" t="s">
        <v>190</v>
      </c>
      <c r="GN567" s="319" t="s">
        <v>190</v>
      </c>
      <c r="GO567" s="319" t="s">
        <v>190</v>
      </c>
      <c r="GP567" s="319" t="s">
        <v>190</v>
      </c>
      <c r="GQ567" s="319" t="s">
        <v>190</v>
      </c>
      <c r="GR567" s="319" t="s">
        <v>190</v>
      </c>
      <c r="GS567" s="319" t="s">
        <v>190</v>
      </c>
      <c r="GT567" s="319" t="s">
        <v>428</v>
      </c>
      <c r="GU567" s="319" t="s">
        <v>428</v>
      </c>
      <c r="GV567" s="319" t="s">
        <v>190</v>
      </c>
      <c r="GW567" s="319" t="s">
        <v>190</v>
      </c>
      <c r="GX567" s="319" t="s">
        <v>190</v>
      </c>
      <c r="GY567" s="319" t="s">
        <v>190</v>
      </c>
      <c r="GZ567" s="319" t="s">
        <v>190</v>
      </c>
      <c r="HA567" s="319" t="s">
        <v>190</v>
      </c>
      <c r="HB567" s="319" t="s">
        <v>190</v>
      </c>
      <c r="HC567" s="319" t="s">
        <v>190</v>
      </c>
      <c r="HD567" s="319" t="s">
        <v>190</v>
      </c>
      <c r="HE567" s="319" t="s">
        <v>190</v>
      </c>
      <c r="HF567" s="319" t="s">
        <v>428</v>
      </c>
      <c r="HG567" s="319" t="s">
        <v>190</v>
      </c>
      <c r="HH567" s="319" t="s">
        <v>190</v>
      </c>
      <c r="HI567" s="319" t="s">
        <v>190</v>
      </c>
      <c r="HJ567" s="319" t="s">
        <v>190</v>
      </c>
      <c r="HK567" s="319" t="s">
        <v>190</v>
      </c>
      <c r="HL567" s="319" t="s">
        <v>190</v>
      </c>
      <c r="HM567" s="319" t="s">
        <v>190</v>
      </c>
      <c r="HN567" s="319" t="s">
        <v>190</v>
      </c>
      <c r="HO567" s="319" t="s">
        <v>190</v>
      </c>
      <c r="HP567" s="319" t="s">
        <v>190</v>
      </c>
      <c r="HQ567" s="319" t="s">
        <v>190</v>
      </c>
      <c r="HR567" s="319" t="s">
        <v>190</v>
      </c>
      <c r="HS567" s="319" t="s">
        <v>190</v>
      </c>
      <c r="HT567" s="319" t="s">
        <v>190</v>
      </c>
      <c r="HU567" s="319" t="s">
        <v>190</v>
      </c>
      <c r="HV567" s="319" t="s">
        <v>190</v>
      </c>
      <c r="HW567" s="319" t="s">
        <v>190</v>
      </c>
      <c r="HX567" s="319" t="s">
        <v>190</v>
      </c>
      <c r="HY567" s="319" t="s">
        <v>190</v>
      </c>
      <c r="HZ567" s="319" t="s">
        <v>190</v>
      </c>
      <c r="IA567" s="319" t="s">
        <v>190</v>
      </c>
      <c r="IB567" s="319" t="s">
        <v>190</v>
      </c>
      <c r="IC567" s="319" t="s">
        <v>190</v>
      </c>
      <c r="ID567" s="319" t="s">
        <v>190</v>
      </c>
      <c r="IE567" s="319" t="s">
        <v>190</v>
      </c>
      <c r="IF567" s="319" t="s">
        <v>190</v>
      </c>
      <c r="IG567" s="319" t="s">
        <v>190</v>
      </c>
      <c r="IH567" s="319" t="s">
        <v>190</v>
      </c>
      <c r="II567" s="319" t="s">
        <v>190</v>
      </c>
      <c r="IJ567" s="319" t="s">
        <v>3328</v>
      </c>
      <c r="IK567" s="321">
        <v>42080</v>
      </c>
      <c r="IL567" s="321">
        <v>42082</v>
      </c>
      <c r="IM567" s="321">
        <v>42126</v>
      </c>
      <c r="IN567" s="319">
        <v>3</v>
      </c>
      <c r="IO567" s="319" t="s">
        <v>173</v>
      </c>
      <c r="IP567" s="319" t="s">
        <v>173</v>
      </c>
      <c r="IQ567" s="319" t="s">
        <v>173</v>
      </c>
      <c r="IR567" s="320" t="s">
        <v>173</v>
      </c>
      <c r="IS567" s="320" t="s">
        <v>173</v>
      </c>
      <c r="IT567" s="319" t="s">
        <v>173</v>
      </c>
    </row>
    <row r="568" spans="1:254" s="271" customFormat="1" x14ac:dyDescent="0.25">
      <c r="A568" s="318" t="str">
        <f>HYPERLINK("http://www.ofsted.gov.uk/inspection-reports/find-inspection-report/provider/ELS/135794 ","Ofsted School Webpage")</f>
        <v>Ofsted School Webpage</v>
      </c>
      <c r="B568" s="319">
        <v>135794</v>
      </c>
      <c r="C568" s="319">
        <v>3076401</v>
      </c>
      <c r="D568" s="319" t="s">
        <v>1989</v>
      </c>
      <c r="E568" s="319" t="s">
        <v>168</v>
      </c>
      <c r="F568" s="319" t="s">
        <v>81</v>
      </c>
      <c r="G568" s="319" t="s">
        <v>81</v>
      </c>
      <c r="H568" s="319" t="s">
        <v>81</v>
      </c>
      <c r="I568" s="319" t="s">
        <v>78</v>
      </c>
      <c r="J568" s="319" t="s">
        <v>424</v>
      </c>
      <c r="K568" s="319" t="s">
        <v>441</v>
      </c>
      <c r="L568" s="319" t="s">
        <v>441</v>
      </c>
      <c r="M568" s="319" t="s">
        <v>442</v>
      </c>
      <c r="N568" s="319" t="s">
        <v>2833</v>
      </c>
      <c r="O568" s="319" t="s">
        <v>1990</v>
      </c>
      <c r="P568" s="319">
        <v>49</v>
      </c>
      <c r="Q568" s="319" t="s">
        <v>429</v>
      </c>
      <c r="R568" s="320">
        <v>10115243</v>
      </c>
      <c r="S568" s="321">
        <v>43788</v>
      </c>
      <c r="T568" s="321">
        <v>43790</v>
      </c>
      <c r="U568" s="321">
        <v>43817</v>
      </c>
      <c r="V568" s="319" t="s">
        <v>425</v>
      </c>
      <c r="W568" s="319" t="s">
        <v>2767</v>
      </c>
      <c r="X568" s="319">
        <v>1</v>
      </c>
      <c r="Y568" s="319">
        <v>1</v>
      </c>
      <c r="Z568" s="319">
        <v>1</v>
      </c>
      <c r="AA568" s="319">
        <v>1</v>
      </c>
      <c r="AB568" s="319">
        <v>1</v>
      </c>
      <c r="AC568" s="319" t="s">
        <v>169</v>
      </c>
      <c r="AD568" s="319" t="s">
        <v>173</v>
      </c>
      <c r="AE568" s="319" t="s">
        <v>173</v>
      </c>
      <c r="AF568" s="319" t="s">
        <v>427</v>
      </c>
      <c r="AG568" s="319" t="s">
        <v>171</v>
      </c>
      <c r="AH568" s="319" t="s">
        <v>190</v>
      </c>
      <c r="AI568" s="319" t="s">
        <v>190</v>
      </c>
      <c r="AJ568" s="319" t="s">
        <v>190</v>
      </c>
      <c r="AK568" s="319" t="s">
        <v>190</v>
      </c>
      <c r="AL568" s="319" t="s">
        <v>190</v>
      </c>
      <c r="AM568" s="319" t="s">
        <v>190</v>
      </c>
      <c r="AN568" s="319" t="s">
        <v>190</v>
      </c>
      <c r="AO568" s="319" t="s">
        <v>190</v>
      </c>
      <c r="AP568" s="319" t="s">
        <v>190</v>
      </c>
      <c r="AQ568" s="319" t="s">
        <v>190</v>
      </c>
      <c r="AR568" s="319" t="s">
        <v>190</v>
      </c>
      <c r="AS568" s="319" t="s">
        <v>190</v>
      </c>
      <c r="AT568" s="319" t="s">
        <v>190</v>
      </c>
      <c r="AU568" s="319" t="s">
        <v>190</v>
      </c>
      <c r="AV568" s="319" t="s">
        <v>190</v>
      </c>
      <c r="AW568" s="319" t="s">
        <v>190</v>
      </c>
      <c r="AX568" s="319" t="s">
        <v>428</v>
      </c>
      <c r="AY568" s="319" t="s">
        <v>190</v>
      </c>
      <c r="AZ568" s="319" t="s">
        <v>190</v>
      </c>
      <c r="BA568" s="319" t="s">
        <v>190</v>
      </c>
      <c r="BB568" s="319" t="s">
        <v>190</v>
      </c>
      <c r="BC568" s="319" t="s">
        <v>190</v>
      </c>
      <c r="BD568" s="319" t="s">
        <v>190</v>
      </c>
      <c r="BE568" s="319" t="s">
        <v>191</v>
      </c>
      <c r="BF568" s="319" t="s">
        <v>428</v>
      </c>
      <c r="BG568" s="319" t="s">
        <v>190</v>
      </c>
      <c r="BH568" s="319" t="s">
        <v>190</v>
      </c>
      <c r="BI568" s="319" t="s">
        <v>190</v>
      </c>
      <c r="BJ568" s="319" t="s">
        <v>190</v>
      </c>
      <c r="BK568" s="319" t="s">
        <v>190</v>
      </c>
      <c r="BL568" s="319" t="s">
        <v>190</v>
      </c>
      <c r="BM568" s="319" t="s">
        <v>190</v>
      </c>
      <c r="BN568" s="319" t="s">
        <v>190</v>
      </c>
      <c r="BO568" s="319" t="s">
        <v>190</v>
      </c>
      <c r="BP568" s="319" t="s">
        <v>190</v>
      </c>
      <c r="BQ568" s="319" t="s">
        <v>190</v>
      </c>
      <c r="BR568" s="319" t="s">
        <v>190</v>
      </c>
      <c r="BS568" s="319" t="s">
        <v>190</v>
      </c>
      <c r="BT568" s="319" t="s">
        <v>190</v>
      </c>
      <c r="BU568" s="319" t="s">
        <v>190</v>
      </c>
      <c r="BV568" s="319" t="s">
        <v>190</v>
      </c>
      <c r="BW568" s="319" t="s">
        <v>190</v>
      </c>
      <c r="BX568" s="319" t="s">
        <v>190</v>
      </c>
      <c r="BY568" s="319" t="s">
        <v>190</v>
      </c>
      <c r="BZ568" s="319" t="s">
        <v>190</v>
      </c>
      <c r="CA568" s="319" t="s">
        <v>190</v>
      </c>
      <c r="CB568" s="319" t="s">
        <v>190</v>
      </c>
      <c r="CC568" s="319" t="s">
        <v>190</v>
      </c>
      <c r="CD568" s="319" t="s">
        <v>190</v>
      </c>
      <c r="CE568" s="319" t="s">
        <v>190</v>
      </c>
      <c r="CF568" s="319" t="s">
        <v>190</v>
      </c>
      <c r="CG568" s="319" t="s">
        <v>190</v>
      </c>
      <c r="CH568" s="319" t="s">
        <v>190</v>
      </c>
      <c r="CI568" s="319" t="s">
        <v>190</v>
      </c>
      <c r="CJ568" s="319" t="s">
        <v>190</v>
      </c>
      <c r="CK568" s="319" t="s">
        <v>190</v>
      </c>
      <c r="CL568" s="319" t="s">
        <v>190</v>
      </c>
      <c r="CM568" s="319" t="s">
        <v>190</v>
      </c>
      <c r="CN568" s="319" t="s">
        <v>428</v>
      </c>
      <c r="CO568" s="319" t="s">
        <v>428</v>
      </c>
      <c r="CP568" s="319" t="s">
        <v>428</v>
      </c>
      <c r="CQ568" s="319" t="s">
        <v>190</v>
      </c>
      <c r="CR568" s="319" t="s">
        <v>190</v>
      </c>
      <c r="CS568" s="319" t="s">
        <v>190</v>
      </c>
      <c r="CT568" s="319" t="s">
        <v>190</v>
      </c>
      <c r="CU568" s="319" t="s">
        <v>190</v>
      </c>
      <c r="CV568" s="319" t="s">
        <v>190</v>
      </c>
      <c r="CW568" s="319" t="s">
        <v>190</v>
      </c>
      <c r="CX568" s="319" t="s">
        <v>190</v>
      </c>
      <c r="CY568" s="319" t="s">
        <v>190</v>
      </c>
      <c r="CZ568" s="319" t="s">
        <v>190</v>
      </c>
      <c r="DA568" s="319" t="s">
        <v>190</v>
      </c>
      <c r="DB568" s="319" t="s">
        <v>190</v>
      </c>
      <c r="DC568" s="319" t="s">
        <v>190</v>
      </c>
      <c r="DD568" s="319" t="s">
        <v>190</v>
      </c>
      <c r="DE568" s="319" t="s">
        <v>190</v>
      </c>
      <c r="DF568" s="319" t="s">
        <v>190</v>
      </c>
      <c r="DG568" s="319" t="s">
        <v>190</v>
      </c>
      <c r="DH568" s="319" t="s">
        <v>190</v>
      </c>
      <c r="DI568" s="319" t="s">
        <v>190</v>
      </c>
      <c r="DJ568" s="319" t="s">
        <v>190</v>
      </c>
      <c r="DK568" s="319" t="s">
        <v>190</v>
      </c>
      <c r="DL568" s="319" t="s">
        <v>190</v>
      </c>
      <c r="DM568" s="319" t="s">
        <v>190</v>
      </c>
      <c r="DN568" s="319" t="s">
        <v>428</v>
      </c>
      <c r="DO568" s="319" t="s">
        <v>190</v>
      </c>
      <c r="DP568" s="319" t="s">
        <v>190</v>
      </c>
      <c r="DQ568" s="319" t="s">
        <v>190</v>
      </c>
      <c r="DR568" s="319" t="s">
        <v>190</v>
      </c>
      <c r="DS568" s="319" t="s">
        <v>190</v>
      </c>
      <c r="DT568" s="319" t="s">
        <v>190</v>
      </c>
      <c r="DU568" s="319" t="s">
        <v>190</v>
      </c>
      <c r="DV568" s="319" t="s">
        <v>190</v>
      </c>
      <c r="DW568" s="319" t="s">
        <v>190</v>
      </c>
      <c r="DX568" s="319" t="s">
        <v>190</v>
      </c>
      <c r="DY568" s="319" t="s">
        <v>190</v>
      </c>
      <c r="DZ568" s="319" t="s">
        <v>190</v>
      </c>
      <c r="EA568" s="319" t="s">
        <v>190</v>
      </c>
      <c r="EB568" s="319" t="s">
        <v>190</v>
      </c>
      <c r="EC568" s="319" t="s">
        <v>428</v>
      </c>
      <c r="ED568" s="319" t="s">
        <v>190</v>
      </c>
      <c r="EE568" s="319" t="s">
        <v>190</v>
      </c>
      <c r="EF568" s="319" t="s">
        <v>190</v>
      </c>
      <c r="EG568" s="319" t="s">
        <v>190</v>
      </c>
      <c r="EH568" s="319" t="s">
        <v>190</v>
      </c>
      <c r="EI568" s="319" t="s">
        <v>190</v>
      </c>
      <c r="EJ568" s="319" t="s">
        <v>190</v>
      </c>
      <c r="EK568" s="319" t="s">
        <v>190</v>
      </c>
      <c r="EL568" s="319" t="s">
        <v>190</v>
      </c>
      <c r="EM568" s="319" t="s">
        <v>190</v>
      </c>
      <c r="EN568" s="319" t="s">
        <v>190</v>
      </c>
      <c r="EO568" s="319" t="s">
        <v>190</v>
      </c>
      <c r="EP568" s="319" t="s">
        <v>190</v>
      </c>
      <c r="EQ568" s="319" t="s">
        <v>190</v>
      </c>
      <c r="ER568" s="319" t="s">
        <v>190</v>
      </c>
      <c r="ES568" s="319" t="s">
        <v>190</v>
      </c>
      <c r="ET568" s="319" t="s">
        <v>190</v>
      </c>
      <c r="EU568" s="319" t="s">
        <v>190</v>
      </c>
      <c r="EV568" s="319" t="s">
        <v>190</v>
      </c>
      <c r="EW568" s="319" t="s">
        <v>190</v>
      </c>
      <c r="EX568" s="319" t="s">
        <v>190</v>
      </c>
      <c r="EY568" s="319" t="s">
        <v>190</v>
      </c>
      <c r="EZ568" s="319" t="s">
        <v>190</v>
      </c>
      <c r="FA568" s="319" t="s">
        <v>428</v>
      </c>
      <c r="FB568" s="319" t="s">
        <v>190</v>
      </c>
      <c r="FC568" s="319" t="s">
        <v>190</v>
      </c>
      <c r="FD568" s="319" t="s">
        <v>190</v>
      </c>
      <c r="FE568" s="319" t="s">
        <v>190</v>
      </c>
      <c r="FF568" s="319" t="s">
        <v>190</v>
      </c>
      <c r="FG568" s="319" t="s">
        <v>190</v>
      </c>
      <c r="FH568" s="319" t="s">
        <v>428</v>
      </c>
      <c r="FI568" s="319" t="s">
        <v>428</v>
      </c>
      <c r="FJ568" s="319" t="s">
        <v>429</v>
      </c>
      <c r="FK568" s="319" t="s">
        <v>428</v>
      </c>
      <c r="FL568" s="319" t="s">
        <v>190</v>
      </c>
      <c r="FM568" s="319" t="s">
        <v>190</v>
      </c>
      <c r="FN568" s="319" t="s">
        <v>190</v>
      </c>
      <c r="FO568" s="319" t="s">
        <v>190</v>
      </c>
      <c r="FP568" s="319" t="s">
        <v>190</v>
      </c>
      <c r="FQ568" s="319" t="s">
        <v>190</v>
      </c>
      <c r="FR568" s="319" t="s">
        <v>190</v>
      </c>
      <c r="FS568" s="319" t="s">
        <v>190</v>
      </c>
      <c r="FT568" s="319" t="s">
        <v>190</v>
      </c>
      <c r="FU568" s="319" t="s">
        <v>190</v>
      </c>
      <c r="FV568" s="319" t="s">
        <v>190</v>
      </c>
      <c r="FW568" s="319" t="s">
        <v>190</v>
      </c>
      <c r="FX568" s="319" t="s">
        <v>190</v>
      </c>
      <c r="FY568" s="319" t="s">
        <v>190</v>
      </c>
      <c r="FZ568" s="319" t="s">
        <v>190</v>
      </c>
      <c r="GA568" s="319" t="s">
        <v>190</v>
      </c>
      <c r="GB568" s="319" t="s">
        <v>190</v>
      </c>
      <c r="GC568" s="319" t="s">
        <v>190</v>
      </c>
      <c r="GD568" s="319" t="s">
        <v>190</v>
      </c>
      <c r="GE568" s="319" t="s">
        <v>190</v>
      </c>
      <c r="GF568" s="319" t="s">
        <v>190</v>
      </c>
      <c r="GG568" s="319" t="s">
        <v>190</v>
      </c>
      <c r="GH568" s="319" t="s">
        <v>190</v>
      </c>
      <c r="GI568" s="319" t="s">
        <v>190</v>
      </c>
      <c r="GJ568" s="319" t="s">
        <v>190</v>
      </c>
      <c r="GK568" s="319" t="s">
        <v>428</v>
      </c>
      <c r="GL568" s="319" t="s">
        <v>190</v>
      </c>
      <c r="GM568" s="319" t="s">
        <v>190</v>
      </c>
      <c r="GN568" s="319" t="s">
        <v>190</v>
      </c>
      <c r="GO568" s="319" t="s">
        <v>190</v>
      </c>
      <c r="GP568" s="319" t="s">
        <v>190</v>
      </c>
      <c r="GQ568" s="319" t="s">
        <v>428</v>
      </c>
      <c r="GR568" s="319" t="s">
        <v>190</v>
      </c>
      <c r="GS568" s="319" t="s">
        <v>190</v>
      </c>
      <c r="GT568" s="319" t="s">
        <v>190</v>
      </c>
      <c r="GU568" s="319" t="s">
        <v>190</v>
      </c>
      <c r="GV568" s="319" t="s">
        <v>428</v>
      </c>
      <c r="GW568" s="319" t="s">
        <v>190</v>
      </c>
      <c r="GX568" s="319" t="s">
        <v>190</v>
      </c>
      <c r="GY568" s="319" t="s">
        <v>190</v>
      </c>
      <c r="GZ568" s="319" t="s">
        <v>190</v>
      </c>
      <c r="HA568" s="319" t="s">
        <v>428</v>
      </c>
      <c r="HB568" s="319" t="s">
        <v>190</v>
      </c>
      <c r="HC568" s="319" t="s">
        <v>190</v>
      </c>
      <c r="HD568" s="319" t="s">
        <v>190</v>
      </c>
      <c r="HE568" s="319" t="s">
        <v>190</v>
      </c>
      <c r="HF568" s="319" t="s">
        <v>190</v>
      </c>
      <c r="HG568" s="319" t="s">
        <v>190</v>
      </c>
      <c r="HH568" s="319" t="s">
        <v>190</v>
      </c>
      <c r="HI568" s="319" t="s">
        <v>190</v>
      </c>
      <c r="HJ568" s="319" t="s">
        <v>190</v>
      </c>
      <c r="HK568" s="319" t="s">
        <v>190</v>
      </c>
      <c r="HL568" s="319" t="s">
        <v>428</v>
      </c>
      <c r="HM568" s="319" t="s">
        <v>428</v>
      </c>
      <c r="HN568" s="319" t="s">
        <v>428</v>
      </c>
      <c r="HO568" s="319" t="s">
        <v>428</v>
      </c>
      <c r="HP568" s="319" t="s">
        <v>190</v>
      </c>
      <c r="HQ568" s="319" t="s">
        <v>190</v>
      </c>
      <c r="HR568" s="319" t="s">
        <v>190</v>
      </c>
      <c r="HS568" s="319" t="s">
        <v>190</v>
      </c>
      <c r="HT568" s="319" t="s">
        <v>190</v>
      </c>
      <c r="HU568" s="319" t="s">
        <v>190</v>
      </c>
      <c r="HV568" s="319" t="s">
        <v>190</v>
      </c>
      <c r="HW568" s="319" t="s">
        <v>190</v>
      </c>
      <c r="HX568" s="319" t="s">
        <v>190</v>
      </c>
      <c r="HY568" s="319" t="s">
        <v>190</v>
      </c>
      <c r="HZ568" s="319" t="s">
        <v>190</v>
      </c>
      <c r="IA568" s="319" t="s">
        <v>190</v>
      </c>
      <c r="IB568" s="319" t="s">
        <v>190</v>
      </c>
      <c r="IC568" s="319" t="s">
        <v>190</v>
      </c>
      <c r="ID568" s="319" t="s">
        <v>190</v>
      </c>
      <c r="IE568" s="319" t="s">
        <v>190</v>
      </c>
      <c r="IF568" s="319" t="s">
        <v>190</v>
      </c>
      <c r="IG568" s="319" t="s">
        <v>190</v>
      </c>
      <c r="IH568" s="319" t="s">
        <v>190</v>
      </c>
      <c r="II568" s="319" t="s">
        <v>190</v>
      </c>
      <c r="IJ568" s="319">
        <v>10012833</v>
      </c>
      <c r="IK568" s="321">
        <v>42773</v>
      </c>
      <c r="IL568" s="321">
        <v>42775</v>
      </c>
      <c r="IM568" s="321">
        <v>42818</v>
      </c>
      <c r="IN568" s="319">
        <v>1</v>
      </c>
      <c r="IO568" s="319" t="s">
        <v>173</v>
      </c>
      <c r="IP568" s="319" t="s">
        <v>173</v>
      </c>
      <c r="IQ568" s="321" t="s">
        <v>173</v>
      </c>
      <c r="IR568" s="320" t="s">
        <v>173</v>
      </c>
      <c r="IS568" s="322" t="s">
        <v>173</v>
      </c>
      <c r="IT568" s="319" t="s">
        <v>173</v>
      </c>
    </row>
    <row r="569" spans="1:254" s="271" customFormat="1" x14ac:dyDescent="0.25">
      <c r="A569" s="318" t="str">
        <f>HYPERLINK("http://www.ofsted.gov.uk/inspection-reports/find-inspection-report/provider/ELS/135801 ","Ofsted School Webpage")</f>
        <v>Ofsted School Webpage</v>
      </c>
      <c r="B569" s="319">
        <v>135801</v>
      </c>
      <c r="C569" s="319">
        <v>3196074</v>
      </c>
      <c r="D569" s="319" t="s">
        <v>1991</v>
      </c>
      <c r="E569" s="319" t="s">
        <v>168</v>
      </c>
      <c r="F569" s="319" t="s">
        <v>81</v>
      </c>
      <c r="G569" s="319" t="s">
        <v>81</v>
      </c>
      <c r="H569" s="319" t="s">
        <v>81</v>
      </c>
      <c r="I569" s="319" t="s">
        <v>78</v>
      </c>
      <c r="J569" s="319" t="s">
        <v>424</v>
      </c>
      <c r="K569" s="319" t="s">
        <v>441</v>
      </c>
      <c r="L569" s="319" t="s">
        <v>441</v>
      </c>
      <c r="M569" s="319" t="s">
        <v>524</v>
      </c>
      <c r="N569" s="319" t="s">
        <v>3329</v>
      </c>
      <c r="O569" s="319" t="s">
        <v>1992</v>
      </c>
      <c r="P569" s="319">
        <v>92</v>
      </c>
      <c r="Q569" s="319" t="s">
        <v>429</v>
      </c>
      <c r="R569" s="320">
        <v>10020779</v>
      </c>
      <c r="S569" s="321">
        <v>43284</v>
      </c>
      <c r="T569" s="321">
        <v>43286</v>
      </c>
      <c r="U569" s="321">
        <v>43304</v>
      </c>
      <c r="V569" s="319" t="s">
        <v>425</v>
      </c>
      <c r="W569" s="319" t="s">
        <v>2767</v>
      </c>
      <c r="X569" s="319">
        <v>2</v>
      </c>
      <c r="Y569" s="319" t="s">
        <v>173</v>
      </c>
      <c r="Z569" s="319" t="s">
        <v>173</v>
      </c>
      <c r="AA569" s="319" t="s">
        <v>173</v>
      </c>
      <c r="AB569" s="319">
        <v>2</v>
      </c>
      <c r="AC569" s="319" t="s">
        <v>169</v>
      </c>
      <c r="AD569" s="319" t="s">
        <v>173</v>
      </c>
      <c r="AE569" s="319">
        <v>2</v>
      </c>
      <c r="AF569" s="319" t="s">
        <v>427</v>
      </c>
      <c r="AG569" s="319" t="s">
        <v>171</v>
      </c>
      <c r="AH569" s="319" t="s">
        <v>190</v>
      </c>
      <c r="AI569" s="319" t="s">
        <v>190</v>
      </c>
      <c r="AJ569" s="319" t="s">
        <v>190</v>
      </c>
      <c r="AK569" s="319" t="s">
        <v>190</v>
      </c>
      <c r="AL569" s="319" t="s">
        <v>190</v>
      </c>
      <c r="AM569" s="319" t="s">
        <v>190</v>
      </c>
      <c r="AN569" s="319" t="s">
        <v>190</v>
      </c>
      <c r="AO569" s="319" t="s">
        <v>190</v>
      </c>
      <c r="AP569" s="319" t="s">
        <v>190</v>
      </c>
      <c r="AQ569" s="319" t="s">
        <v>190</v>
      </c>
      <c r="AR569" s="319" t="s">
        <v>190</v>
      </c>
      <c r="AS569" s="319" t="s">
        <v>190</v>
      </c>
      <c r="AT569" s="319" t="s">
        <v>190</v>
      </c>
      <c r="AU569" s="319" t="s">
        <v>190</v>
      </c>
      <c r="AV569" s="319" t="s">
        <v>190</v>
      </c>
      <c r="AW569" s="319" t="s">
        <v>190</v>
      </c>
      <c r="AX569" s="319" t="s">
        <v>428</v>
      </c>
      <c r="AY569" s="319" t="s">
        <v>190</v>
      </c>
      <c r="AZ569" s="319" t="s">
        <v>190</v>
      </c>
      <c r="BA569" s="319" t="s">
        <v>190</v>
      </c>
      <c r="BB569" s="319" t="s">
        <v>190</v>
      </c>
      <c r="BC569" s="319" t="s">
        <v>190</v>
      </c>
      <c r="BD569" s="319" t="s">
        <v>190</v>
      </c>
      <c r="BE569" s="319" t="s">
        <v>190</v>
      </c>
      <c r="BF569" s="319" t="s">
        <v>428</v>
      </c>
      <c r="BG569" s="319" t="s">
        <v>190</v>
      </c>
      <c r="BH569" s="319" t="s">
        <v>190</v>
      </c>
      <c r="BI569" s="319" t="s">
        <v>190</v>
      </c>
      <c r="BJ569" s="319" t="s">
        <v>190</v>
      </c>
      <c r="BK569" s="319" t="s">
        <v>190</v>
      </c>
      <c r="BL569" s="319" t="s">
        <v>190</v>
      </c>
      <c r="BM569" s="319" t="s">
        <v>190</v>
      </c>
      <c r="BN569" s="319" t="s">
        <v>190</v>
      </c>
      <c r="BO569" s="319" t="s">
        <v>190</v>
      </c>
      <c r="BP569" s="319" t="s">
        <v>190</v>
      </c>
      <c r="BQ569" s="319" t="s">
        <v>190</v>
      </c>
      <c r="BR569" s="319" t="s">
        <v>190</v>
      </c>
      <c r="BS569" s="319" t="s">
        <v>190</v>
      </c>
      <c r="BT569" s="319" t="s">
        <v>190</v>
      </c>
      <c r="BU569" s="319" t="s">
        <v>190</v>
      </c>
      <c r="BV569" s="319" t="s">
        <v>190</v>
      </c>
      <c r="BW569" s="319" t="s">
        <v>190</v>
      </c>
      <c r="BX569" s="319" t="s">
        <v>190</v>
      </c>
      <c r="BY569" s="319" t="s">
        <v>190</v>
      </c>
      <c r="BZ569" s="319" t="s">
        <v>190</v>
      </c>
      <c r="CA569" s="319" t="s">
        <v>190</v>
      </c>
      <c r="CB569" s="319" t="s">
        <v>190</v>
      </c>
      <c r="CC569" s="319" t="s">
        <v>190</v>
      </c>
      <c r="CD569" s="319" t="s">
        <v>190</v>
      </c>
      <c r="CE569" s="319" t="s">
        <v>190</v>
      </c>
      <c r="CF569" s="319" t="s">
        <v>190</v>
      </c>
      <c r="CG569" s="319" t="s">
        <v>190</v>
      </c>
      <c r="CH569" s="319" t="s">
        <v>190</v>
      </c>
      <c r="CI569" s="319" t="s">
        <v>190</v>
      </c>
      <c r="CJ569" s="319" t="s">
        <v>190</v>
      </c>
      <c r="CK569" s="319" t="s">
        <v>190</v>
      </c>
      <c r="CL569" s="319" t="s">
        <v>190</v>
      </c>
      <c r="CM569" s="319" t="s">
        <v>190</v>
      </c>
      <c r="CN569" s="319" t="s">
        <v>428</v>
      </c>
      <c r="CO569" s="319" t="s">
        <v>428</v>
      </c>
      <c r="CP569" s="319" t="s">
        <v>428</v>
      </c>
      <c r="CQ569" s="319" t="s">
        <v>190</v>
      </c>
      <c r="CR569" s="319" t="s">
        <v>190</v>
      </c>
      <c r="CS569" s="319" t="s">
        <v>190</v>
      </c>
      <c r="CT569" s="319" t="s">
        <v>190</v>
      </c>
      <c r="CU569" s="319" t="s">
        <v>190</v>
      </c>
      <c r="CV569" s="319" t="s">
        <v>190</v>
      </c>
      <c r="CW569" s="319" t="s">
        <v>190</v>
      </c>
      <c r="CX569" s="319" t="s">
        <v>190</v>
      </c>
      <c r="CY569" s="319" t="s">
        <v>190</v>
      </c>
      <c r="CZ569" s="319" t="s">
        <v>190</v>
      </c>
      <c r="DA569" s="319" t="s">
        <v>190</v>
      </c>
      <c r="DB569" s="319" t="s">
        <v>190</v>
      </c>
      <c r="DC569" s="319" t="s">
        <v>190</v>
      </c>
      <c r="DD569" s="319" t="s">
        <v>190</v>
      </c>
      <c r="DE569" s="319" t="s">
        <v>190</v>
      </c>
      <c r="DF569" s="319" t="s">
        <v>190</v>
      </c>
      <c r="DG569" s="319" t="s">
        <v>190</v>
      </c>
      <c r="DH569" s="319" t="s">
        <v>190</v>
      </c>
      <c r="DI569" s="319" t="s">
        <v>190</v>
      </c>
      <c r="DJ569" s="319" t="s">
        <v>190</v>
      </c>
      <c r="DK569" s="319" t="s">
        <v>190</v>
      </c>
      <c r="DL569" s="319" t="s">
        <v>190</v>
      </c>
      <c r="DM569" s="319" t="s">
        <v>190</v>
      </c>
      <c r="DN569" s="319" t="s">
        <v>428</v>
      </c>
      <c r="DO569" s="319" t="s">
        <v>190</v>
      </c>
      <c r="DP569" s="319" t="s">
        <v>190</v>
      </c>
      <c r="DQ569" s="319" t="s">
        <v>190</v>
      </c>
      <c r="DR569" s="319" t="s">
        <v>190</v>
      </c>
      <c r="DS569" s="319" t="s">
        <v>190</v>
      </c>
      <c r="DT569" s="319" t="s">
        <v>190</v>
      </c>
      <c r="DU569" s="319" t="s">
        <v>190</v>
      </c>
      <c r="DV569" s="319" t="s">
        <v>173</v>
      </c>
      <c r="DW569" s="319" t="s">
        <v>190</v>
      </c>
      <c r="DX569" s="319" t="s">
        <v>190</v>
      </c>
      <c r="DY569" s="319" t="s">
        <v>190</v>
      </c>
      <c r="DZ569" s="319" t="s">
        <v>190</v>
      </c>
      <c r="EA569" s="319" t="s">
        <v>190</v>
      </c>
      <c r="EB569" s="319" t="s">
        <v>190</v>
      </c>
      <c r="EC569" s="319" t="s">
        <v>428</v>
      </c>
      <c r="ED569" s="319" t="s">
        <v>190</v>
      </c>
      <c r="EE569" s="319" t="s">
        <v>190</v>
      </c>
      <c r="EF569" s="319" t="s">
        <v>190</v>
      </c>
      <c r="EG569" s="319" t="s">
        <v>190</v>
      </c>
      <c r="EH569" s="319" t="s">
        <v>190</v>
      </c>
      <c r="EI569" s="319" t="s">
        <v>190</v>
      </c>
      <c r="EJ569" s="319" t="s">
        <v>190</v>
      </c>
      <c r="EK569" s="319" t="s">
        <v>190</v>
      </c>
      <c r="EL569" s="319" t="s">
        <v>190</v>
      </c>
      <c r="EM569" s="319" t="s">
        <v>190</v>
      </c>
      <c r="EN569" s="319" t="s">
        <v>190</v>
      </c>
      <c r="EO569" s="319" t="s">
        <v>190</v>
      </c>
      <c r="EP569" s="319" t="s">
        <v>190</v>
      </c>
      <c r="EQ569" s="319" t="s">
        <v>190</v>
      </c>
      <c r="ER569" s="319" t="s">
        <v>190</v>
      </c>
      <c r="ES569" s="319" t="s">
        <v>190</v>
      </c>
      <c r="ET569" s="319" t="s">
        <v>190</v>
      </c>
      <c r="EU569" s="319" t="s">
        <v>190</v>
      </c>
      <c r="EV569" s="319" t="s">
        <v>190</v>
      </c>
      <c r="EW569" s="319" t="s">
        <v>190</v>
      </c>
      <c r="EX569" s="319" t="s">
        <v>190</v>
      </c>
      <c r="EY569" s="319" t="s">
        <v>190</v>
      </c>
      <c r="EZ569" s="319" t="s">
        <v>190</v>
      </c>
      <c r="FA569" s="319" t="s">
        <v>190</v>
      </c>
      <c r="FB569" s="319" t="s">
        <v>190</v>
      </c>
      <c r="FC569" s="319" t="s">
        <v>190</v>
      </c>
      <c r="FD569" s="319" t="s">
        <v>190</v>
      </c>
      <c r="FE569" s="319" t="s">
        <v>190</v>
      </c>
      <c r="FF569" s="319" t="s">
        <v>190</v>
      </c>
      <c r="FG569" s="319" t="s">
        <v>190</v>
      </c>
      <c r="FH569" s="319" t="s">
        <v>190</v>
      </c>
      <c r="FI569" s="319" t="s">
        <v>190</v>
      </c>
      <c r="FJ569" s="319" t="s">
        <v>190</v>
      </c>
      <c r="FK569" s="319" t="s">
        <v>190</v>
      </c>
      <c r="FL569" s="319" t="s">
        <v>190</v>
      </c>
      <c r="FM569" s="319" t="s">
        <v>190</v>
      </c>
      <c r="FN569" s="319" t="s">
        <v>190</v>
      </c>
      <c r="FO569" s="319" t="s">
        <v>190</v>
      </c>
      <c r="FP569" s="319" t="s">
        <v>190</v>
      </c>
      <c r="FQ569" s="319" t="s">
        <v>190</v>
      </c>
      <c r="FR569" s="319" t="s">
        <v>190</v>
      </c>
      <c r="FS569" s="319" t="s">
        <v>190</v>
      </c>
      <c r="FT569" s="319" t="s">
        <v>190</v>
      </c>
      <c r="FU569" s="319" t="s">
        <v>190</v>
      </c>
      <c r="FV569" s="319" t="s">
        <v>190</v>
      </c>
      <c r="FW569" s="319" t="s">
        <v>190</v>
      </c>
      <c r="FX569" s="319" t="s">
        <v>190</v>
      </c>
      <c r="FY569" s="319" t="s">
        <v>190</v>
      </c>
      <c r="FZ569" s="319" t="s">
        <v>190</v>
      </c>
      <c r="GA569" s="319" t="s">
        <v>190</v>
      </c>
      <c r="GB569" s="319" t="s">
        <v>190</v>
      </c>
      <c r="GC569" s="319" t="s">
        <v>190</v>
      </c>
      <c r="GD569" s="319" t="s">
        <v>190</v>
      </c>
      <c r="GE569" s="319" t="s">
        <v>190</v>
      </c>
      <c r="GF569" s="319" t="s">
        <v>190</v>
      </c>
      <c r="GG569" s="319" t="s">
        <v>190</v>
      </c>
      <c r="GH569" s="319" t="s">
        <v>190</v>
      </c>
      <c r="GI569" s="319" t="s">
        <v>190</v>
      </c>
      <c r="GJ569" s="319" t="s">
        <v>190</v>
      </c>
      <c r="GK569" s="319" t="s">
        <v>428</v>
      </c>
      <c r="GL569" s="319" t="s">
        <v>190</v>
      </c>
      <c r="GM569" s="319" t="s">
        <v>190</v>
      </c>
      <c r="GN569" s="319" t="s">
        <v>190</v>
      </c>
      <c r="GO569" s="319" t="s">
        <v>190</v>
      </c>
      <c r="GP569" s="319" t="s">
        <v>190</v>
      </c>
      <c r="GQ569" s="319" t="s">
        <v>428</v>
      </c>
      <c r="GR569" s="319" t="s">
        <v>190</v>
      </c>
      <c r="GS569" s="319" t="s">
        <v>190</v>
      </c>
      <c r="GT569" s="319" t="s">
        <v>190</v>
      </c>
      <c r="GU569" s="319" t="s">
        <v>190</v>
      </c>
      <c r="GV569" s="319" t="s">
        <v>190</v>
      </c>
      <c r="GW569" s="319" t="s">
        <v>190</v>
      </c>
      <c r="GX569" s="319" t="s">
        <v>190</v>
      </c>
      <c r="GY569" s="319" t="s">
        <v>190</v>
      </c>
      <c r="GZ569" s="319" t="s">
        <v>190</v>
      </c>
      <c r="HA569" s="319" t="s">
        <v>428</v>
      </c>
      <c r="HB569" s="319" t="s">
        <v>190</v>
      </c>
      <c r="HC569" s="319" t="s">
        <v>190</v>
      </c>
      <c r="HD569" s="319" t="s">
        <v>190</v>
      </c>
      <c r="HE569" s="319" t="s">
        <v>190</v>
      </c>
      <c r="HF569" s="319" t="s">
        <v>190</v>
      </c>
      <c r="HG569" s="319" t="s">
        <v>190</v>
      </c>
      <c r="HH569" s="319" t="s">
        <v>190</v>
      </c>
      <c r="HI569" s="319" t="s">
        <v>190</v>
      </c>
      <c r="HJ569" s="319" t="s">
        <v>190</v>
      </c>
      <c r="HK569" s="319" t="s">
        <v>190</v>
      </c>
      <c r="HL569" s="319" t="s">
        <v>190</v>
      </c>
      <c r="HM569" s="319" t="s">
        <v>428</v>
      </c>
      <c r="HN569" s="319" t="s">
        <v>428</v>
      </c>
      <c r="HO569" s="319" t="s">
        <v>428</v>
      </c>
      <c r="HP569" s="319" t="s">
        <v>190</v>
      </c>
      <c r="HQ569" s="319" t="s">
        <v>190</v>
      </c>
      <c r="HR569" s="319" t="s">
        <v>190</v>
      </c>
      <c r="HS569" s="319" t="s">
        <v>190</v>
      </c>
      <c r="HT569" s="319" t="s">
        <v>190</v>
      </c>
      <c r="HU569" s="319" t="s">
        <v>190</v>
      </c>
      <c r="HV569" s="319" t="s">
        <v>190</v>
      </c>
      <c r="HW569" s="319" t="s">
        <v>190</v>
      </c>
      <c r="HX569" s="319" t="s">
        <v>190</v>
      </c>
      <c r="HY569" s="319" t="s">
        <v>190</v>
      </c>
      <c r="HZ569" s="319" t="s">
        <v>190</v>
      </c>
      <c r="IA569" s="319" t="s">
        <v>190</v>
      </c>
      <c r="IB569" s="319" t="s">
        <v>190</v>
      </c>
      <c r="IC569" s="319" t="s">
        <v>190</v>
      </c>
      <c r="ID569" s="319" t="s">
        <v>190</v>
      </c>
      <c r="IE569" s="319" t="s">
        <v>190</v>
      </c>
      <c r="IF569" s="319" t="s">
        <v>190</v>
      </c>
      <c r="IG569" s="319" t="s">
        <v>190</v>
      </c>
      <c r="IH569" s="319" t="s">
        <v>190</v>
      </c>
      <c r="II569" s="319" t="s">
        <v>190</v>
      </c>
      <c r="IJ569" s="319" t="s">
        <v>3330</v>
      </c>
      <c r="IK569" s="321">
        <v>41527</v>
      </c>
      <c r="IL569" s="321">
        <v>41529</v>
      </c>
      <c r="IM569" s="321">
        <v>41549</v>
      </c>
      <c r="IN569" s="319">
        <v>2</v>
      </c>
      <c r="IO569" s="319" t="s">
        <v>173</v>
      </c>
      <c r="IP569" s="319" t="s">
        <v>173</v>
      </c>
      <c r="IQ569" s="321" t="s">
        <v>173</v>
      </c>
      <c r="IR569" s="320" t="s">
        <v>173</v>
      </c>
      <c r="IS569" s="322" t="s">
        <v>173</v>
      </c>
      <c r="IT569" s="319" t="s">
        <v>173</v>
      </c>
    </row>
    <row r="570" spans="1:254" s="271" customFormat="1" x14ac:dyDescent="0.25">
      <c r="A570" s="318" t="str">
        <f>HYPERLINK("http://www.ofsted.gov.uk/inspection-reports/find-inspection-report/provider/ELS/135803 ","Ofsted School Webpage")</f>
        <v>Ofsted School Webpage</v>
      </c>
      <c r="B570" s="319">
        <v>135803</v>
      </c>
      <c r="C570" s="319">
        <v>8786213</v>
      </c>
      <c r="D570" s="319" t="s">
        <v>1993</v>
      </c>
      <c r="E570" s="319" t="s">
        <v>168</v>
      </c>
      <c r="F570" s="319" t="s">
        <v>81</v>
      </c>
      <c r="G570" s="319" t="s">
        <v>81</v>
      </c>
      <c r="H570" s="319" t="s">
        <v>81</v>
      </c>
      <c r="I570" s="319" t="s">
        <v>78</v>
      </c>
      <c r="J570" s="319" t="s">
        <v>424</v>
      </c>
      <c r="K570" s="319" t="s">
        <v>422</v>
      </c>
      <c r="L570" s="319" t="s">
        <v>422</v>
      </c>
      <c r="M570" s="319" t="s">
        <v>663</v>
      </c>
      <c r="N570" s="319" t="s">
        <v>2926</v>
      </c>
      <c r="O570" s="319" t="s">
        <v>1994</v>
      </c>
      <c r="P570" s="319">
        <v>20</v>
      </c>
      <c r="Q570" s="319" t="s">
        <v>429</v>
      </c>
      <c r="R570" s="320">
        <v>10047185</v>
      </c>
      <c r="S570" s="321">
        <v>43284</v>
      </c>
      <c r="T570" s="321">
        <v>43286</v>
      </c>
      <c r="U570" s="321">
        <v>43348</v>
      </c>
      <c r="V570" s="319" t="s">
        <v>425</v>
      </c>
      <c r="W570" s="319" t="s">
        <v>2767</v>
      </c>
      <c r="X570" s="319">
        <v>2</v>
      </c>
      <c r="Y570" s="319" t="s">
        <v>173</v>
      </c>
      <c r="Z570" s="319" t="s">
        <v>173</v>
      </c>
      <c r="AA570" s="319" t="s">
        <v>173</v>
      </c>
      <c r="AB570" s="319">
        <v>2</v>
      </c>
      <c r="AC570" s="319" t="s">
        <v>169</v>
      </c>
      <c r="AD570" s="319" t="s">
        <v>173</v>
      </c>
      <c r="AE570" s="319" t="s">
        <v>173</v>
      </c>
      <c r="AF570" s="319" t="s">
        <v>427</v>
      </c>
      <c r="AG570" s="319" t="s">
        <v>171</v>
      </c>
      <c r="AH570" s="319" t="s">
        <v>190</v>
      </c>
      <c r="AI570" s="319" t="s">
        <v>190</v>
      </c>
      <c r="AJ570" s="319" t="s">
        <v>190</v>
      </c>
      <c r="AK570" s="319" t="s">
        <v>190</v>
      </c>
      <c r="AL570" s="319" t="s">
        <v>190</v>
      </c>
      <c r="AM570" s="319" t="s">
        <v>190</v>
      </c>
      <c r="AN570" s="319" t="s">
        <v>190</v>
      </c>
      <c r="AO570" s="319" t="s">
        <v>190</v>
      </c>
      <c r="AP570" s="319" t="s">
        <v>190</v>
      </c>
      <c r="AQ570" s="319" t="s">
        <v>190</v>
      </c>
      <c r="AR570" s="319" t="s">
        <v>190</v>
      </c>
      <c r="AS570" s="319" t="s">
        <v>190</v>
      </c>
      <c r="AT570" s="319" t="s">
        <v>190</v>
      </c>
      <c r="AU570" s="319" t="s">
        <v>190</v>
      </c>
      <c r="AV570" s="319" t="s">
        <v>190</v>
      </c>
      <c r="AW570" s="319" t="s">
        <v>190</v>
      </c>
      <c r="AX570" s="319" t="s">
        <v>190</v>
      </c>
      <c r="AY570" s="319" t="s">
        <v>190</v>
      </c>
      <c r="AZ570" s="319" t="s">
        <v>190</v>
      </c>
      <c r="BA570" s="319" t="s">
        <v>190</v>
      </c>
      <c r="BB570" s="319" t="s">
        <v>190</v>
      </c>
      <c r="BC570" s="319" t="s">
        <v>190</v>
      </c>
      <c r="BD570" s="319" t="s">
        <v>190</v>
      </c>
      <c r="BE570" s="319" t="s">
        <v>190</v>
      </c>
      <c r="BF570" s="319" t="s">
        <v>190</v>
      </c>
      <c r="BG570" s="319" t="s">
        <v>190</v>
      </c>
      <c r="BH570" s="319" t="s">
        <v>190</v>
      </c>
      <c r="BI570" s="319" t="s">
        <v>190</v>
      </c>
      <c r="BJ570" s="319" t="s">
        <v>190</v>
      </c>
      <c r="BK570" s="319" t="s">
        <v>190</v>
      </c>
      <c r="BL570" s="319" t="s">
        <v>190</v>
      </c>
      <c r="BM570" s="319" t="s">
        <v>190</v>
      </c>
      <c r="BN570" s="319" t="s">
        <v>190</v>
      </c>
      <c r="BO570" s="319" t="s">
        <v>190</v>
      </c>
      <c r="BP570" s="319" t="s">
        <v>190</v>
      </c>
      <c r="BQ570" s="319" t="s">
        <v>190</v>
      </c>
      <c r="BR570" s="319" t="s">
        <v>190</v>
      </c>
      <c r="BS570" s="319" t="s">
        <v>190</v>
      </c>
      <c r="BT570" s="319" t="s">
        <v>190</v>
      </c>
      <c r="BU570" s="319" t="s">
        <v>190</v>
      </c>
      <c r="BV570" s="319" t="s">
        <v>190</v>
      </c>
      <c r="BW570" s="319" t="s">
        <v>190</v>
      </c>
      <c r="BX570" s="319" t="s">
        <v>190</v>
      </c>
      <c r="BY570" s="319" t="s">
        <v>190</v>
      </c>
      <c r="BZ570" s="319" t="s">
        <v>190</v>
      </c>
      <c r="CA570" s="319" t="s">
        <v>190</v>
      </c>
      <c r="CB570" s="319" t="s">
        <v>190</v>
      </c>
      <c r="CC570" s="319" t="s">
        <v>190</v>
      </c>
      <c r="CD570" s="319" t="s">
        <v>190</v>
      </c>
      <c r="CE570" s="319" t="s">
        <v>190</v>
      </c>
      <c r="CF570" s="319" t="s">
        <v>190</v>
      </c>
      <c r="CG570" s="319" t="s">
        <v>190</v>
      </c>
      <c r="CH570" s="319" t="s">
        <v>190</v>
      </c>
      <c r="CI570" s="319" t="s">
        <v>190</v>
      </c>
      <c r="CJ570" s="319" t="s">
        <v>190</v>
      </c>
      <c r="CK570" s="319" t="s">
        <v>190</v>
      </c>
      <c r="CL570" s="319" t="s">
        <v>190</v>
      </c>
      <c r="CM570" s="319" t="s">
        <v>190</v>
      </c>
      <c r="CN570" s="319" t="s">
        <v>428</v>
      </c>
      <c r="CO570" s="319" t="s">
        <v>428</v>
      </c>
      <c r="CP570" s="319" t="s">
        <v>428</v>
      </c>
      <c r="CQ570" s="319" t="s">
        <v>190</v>
      </c>
      <c r="CR570" s="319" t="s">
        <v>190</v>
      </c>
      <c r="CS570" s="319" t="s">
        <v>190</v>
      </c>
      <c r="CT570" s="319" t="s">
        <v>190</v>
      </c>
      <c r="CU570" s="319" t="s">
        <v>190</v>
      </c>
      <c r="CV570" s="319" t="s">
        <v>190</v>
      </c>
      <c r="CW570" s="319" t="s">
        <v>190</v>
      </c>
      <c r="CX570" s="319" t="s">
        <v>190</v>
      </c>
      <c r="CY570" s="319" t="s">
        <v>190</v>
      </c>
      <c r="CZ570" s="319" t="s">
        <v>190</v>
      </c>
      <c r="DA570" s="319" t="s">
        <v>190</v>
      </c>
      <c r="DB570" s="319" t="s">
        <v>190</v>
      </c>
      <c r="DC570" s="319" t="s">
        <v>190</v>
      </c>
      <c r="DD570" s="319" t="s">
        <v>190</v>
      </c>
      <c r="DE570" s="319" t="s">
        <v>190</v>
      </c>
      <c r="DF570" s="319" t="s">
        <v>190</v>
      </c>
      <c r="DG570" s="319" t="s">
        <v>190</v>
      </c>
      <c r="DH570" s="319" t="s">
        <v>190</v>
      </c>
      <c r="DI570" s="319" t="s">
        <v>190</v>
      </c>
      <c r="DJ570" s="319" t="s">
        <v>190</v>
      </c>
      <c r="DK570" s="319" t="s">
        <v>190</v>
      </c>
      <c r="DL570" s="319" t="s">
        <v>190</v>
      </c>
      <c r="DM570" s="319" t="s">
        <v>190</v>
      </c>
      <c r="DN570" s="319" t="s">
        <v>428</v>
      </c>
      <c r="DO570" s="319" t="s">
        <v>190</v>
      </c>
      <c r="DP570" s="319" t="s">
        <v>190</v>
      </c>
      <c r="DQ570" s="319" t="s">
        <v>190</v>
      </c>
      <c r="DR570" s="319" t="s">
        <v>190</v>
      </c>
      <c r="DS570" s="319" t="s">
        <v>190</v>
      </c>
      <c r="DT570" s="319" t="s">
        <v>190</v>
      </c>
      <c r="DU570" s="319" t="s">
        <v>190</v>
      </c>
      <c r="DV570" s="319" t="s">
        <v>173</v>
      </c>
      <c r="DW570" s="319" t="s">
        <v>190</v>
      </c>
      <c r="DX570" s="319" t="s">
        <v>190</v>
      </c>
      <c r="DY570" s="319" t="s">
        <v>190</v>
      </c>
      <c r="DZ570" s="319" t="s">
        <v>190</v>
      </c>
      <c r="EA570" s="319" t="s">
        <v>190</v>
      </c>
      <c r="EB570" s="319" t="s">
        <v>428</v>
      </c>
      <c r="EC570" s="319" t="s">
        <v>428</v>
      </c>
      <c r="ED570" s="319" t="s">
        <v>190</v>
      </c>
      <c r="EE570" s="319" t="s">
        <v>190</v>
      </c>
      <c r="EF570" s="319" t="s">
        <v>190</v>
      </c>
      <c r="EG570" s="319" t="s">
        <v>190</v>
      </c>
      <c r="EH570" s="319" t="s">
        <v>190</v>
      </c>
      <c r="EI570" s="319" t="s">
        <v>190</v>
      </c>
      <c r="EJ570" s="319" t="s">
        <v>190</v>
      </c>
      <c r="EK570" s="319" t="s">
        <v>190</v>
      </c>
      <c r="EL570" s="319" t="s">
        <v>190</v>
      </c>
      <c r="EM570" s="319" t="s">
        <v>190</v>
      </c>
      <c r="EN570" s="319" t="s">
        <v>190</v>
      </c>
      <c r="EO570" s="319" t="s">
        <v>190</v>
      </c>
      <c r="EP570" s="319" t="s">
        <v>190</v>
      </c>
      <c r="EQ570" s="319" t="s">
        <v>190</v>
      </c>
      <c r="ER570" s="319" t="s">
        <v>190</v>
      </c>
      <c r="ES570" s="319" t="s">
        <v>190</v>
      </c>
      <c r="ET570" s="319" t="s">
        <v>190</v>
      </c>
      <c r="EU570" s="319" t="s">
        <v>190</v>
      </c>
      <c r="EV570" s="319" t="s">
        <v>190</v>
      </c>
      <c r="EW570" s="319" t="s">
        <v>190</v>
      </c>
      <c r="EX570" s="319" t="s">
        <v>190</v>
      </c>
      <c r="EY570" s="319" t="s">
        <v>190</v>
      </c>
      <c r="EZ570" s="319" t="s">
        <v>190</v>
      </c>
      <c r="FA570" s="319" t="s">
        <v>190</v>
      </c>
      <c r="FB570" s="319" t="s">
        <v>190</v>
      </c>
      <c r="FC570" s="319" t="s">
        <v>190</v>
      </c>
      <c r="FD570" s="319" t="s">
        <v>190</v>
      </c>
      <c r="FE570" s="319" t="s">
        <v>190</v>
      </c>
      <c r="FF570" s="319" t="s">
        <v>190</v>
      </c>
      <c r="FG570" s="319" t="s">
        <v>190</v>
      </c>
      <c r="FH570" s="319" t="s">
        <v>190</v>
      </c>
      <c r="FI570" s="319" t="s">
        <v>190</v>
      </c>
      <c r="FJ570" s="319" t="s">
        <v>190</v>
      </c>
      <c r="FK570" s="319" t="s">
        <v>190</v>
      </c>
      <c r="FL570" s="319" t="s">
        <v>190</v>
      </c>
      <c r="FM570" s="319" t="s">
        <v>190</v>
      </c>
      <c r="FN570" s="319" t="s">
        <v>190</v>
      </c>
      <c r="FO570" s="319" t="s">
        <v>190</v>
      </c>
      <c r="FP570" s="319" t="s">
        <v>190</v>
      </c>
      <c r="FQ570" s="319" t="s">
        <v>190</v>
      </c>
      <c r="FR570" s="319" t="s">
        <v>190</v>
      </c>
      <c r="FS570" s="319" t="s">
        <v>190</v>
      </c>
      <c r="FT570" s="319" t="s">
        <v>190</v>
      </c>
      <c r="FU570" s="319" t="s">
        <v>190</v>
      </c>
      <c r="FV570" s="319" t="s">
        <v>190</v>
      </c>
      <c r="FW570" s="319" t="s">
        <v>190</v>
      </c>
      <c r="FX570" s="319" t="s">
        <v>190</v>
      </c>
      <c r="FY570" s="319" t="s">
        <v>190</v>
      </c>
      <c r="FZ570" s="319" t="s">
        <v>190</v>
      </c>
      <c r="GA570" s="319" t="s">
        <v>190</v>
      </c>
      <c r="GB570" s="319" t="s">
        <v>190</v>
      </c>
      <c r="GC570" s="319" t="s">
        <v>190</v>
      </c>
      <c r="GD570" s="319" t="s">
        <v>190</v>
      </c>
      <c r="GE570" s="319" t="s">
        <v>190</v>
      </c>
      <c r="GF570" s="319" t="s">
        <v>190</v>
      </c>
      <c r="GG570" s="319" t="s">
        <v>190</v>
      </c>
      <c r="GH570" s="319" t="s">
        <v>190</v>
      </c>
      <c r="GI570" s="319" t="s">
        <v>190</v>
      </c>
      <c r="GJ570" s="319" t="s">
        <v>190</v>
      </c>
      <c r="GK570" s="319" t="s">
        <v>428</v>
      </c>
      <c r="GL570" s="319" t="s">
        <v>190</v>
      </c>
      <c r="GM570" s="319" t="s">
        <v>190</v>
      </c>
      <c r="GN570" s="319" t="s">
        <v>190</v>
      </c>
      <c r="GO570" s="319" t="s">
        <v>190</v>
      </c>
      <c r="GP570" s="319" t="s">
        <v>190</v>
      </c>
      <c r="GQ570" s="319" t="s">
        <v>428</v>
      </c>
      <c r="GR570" s="319" t="s">
        <v>190</v>
      </c>
      <c r="GS570" s="319" t="s">
        <v>190</v>
      </c>
      <c r="GT570" s="319" t="s">
        <v>190</v>
      </c>
      <c r="GU570" s="319" t="s">
        <v>190</v>
      </c>
      <c r="GV570" s="319" t="s">
        <v>190</v>
      </c>
      <c r="GW570" s="319" t="s">
        <v>190</v>
      </c>
      <c r="GX570" s="319" t="s">
        <v>190</v>
      </c>
      <c r="GY570" s="319" t="s">
        <v>190</v>
      </c>
      <c r="GZ570" s="319" t="s">
        <v>428</v>
      </c>
      <c r="HA570" s="319" t="s">
        <v>190</v>
      </c>
      <c r="HB570" s="319" t="s">
        <v>428</v>
      </c>
      <c r="HC570" s="319" t="s">
        <v>190</v>
      </c>
      <c r="HD570" s="319" t="s">
        <v>190</v>
      </c>
      <c r="HE570" s="319" t="s">
        <v>190</v>
      </c>
      <c r="HF570" s="319" t="s">
        <v>190</v>
      </c>
      <c r="HG570" s="319" t="s">
        <v>190</v>
      </c>
      <c r="HH570" s="319" t="s">
        <v>190</v>
      </c>
      <c r="HI570" s="319" t="s">
        <v>190</v>
      </c>
      <c r="HJ570" s="319" t="s">
        <v>190</v>
      </c>
      <c r="HK570" s="319" t="s">
        <v>190</v>
      </c>
      <c r="HL570" s="319" t="s">
        <v>428</v>
      </c>
      <c r="HM570" s="319" t="s">
        <v>428</v>
      </c>
      <c r="HN570" s="319" t="s">
        <v>428</v>
      </c>
      <c r="HO570" s="319" t="s">
        <v>428</v>
      </c>
      <c r="HP570" s="319" t="s">
        <v>190</v>
      </c>
      <c r="HQ570" s="319" t="s">
        <v>190</v>
      </c>
      <c r="HR570" s="319" t="s">
        <v>190</v>
      </c>
      <c r="HS570" s="319" t="s">
        <v>190</v>
      </c>
      <c r="HT570" s="319" t="s">
        <v>190</v>
      </c>
      <c r="HU570" s="319" t="s">
        <v>190</v>
      </c>
      <c r="HV570" s="319" t="s">
        <v>190</v>
      </c>
      <c r="HW570" s="319" t="s">
        <v>190</v>
      </c>
      <c r="HX570" s="319" t="s">
        <v>190</v>
      </c>
      <c r="HY570" s="319" t="s">
        <v>190</v>
      </c>
      <c r="HZ570" s="319" t="s">
        <v>190</v>
      </c>
      <c r="IA570" s="319" t="s">
        <v>190</v>
      </c>
      <c r="IB570" s="319" t="s">
        <v>190</v>
      </c>
      <c r="IC570" s="319" t="s">
        <v>190</v>
      </c>
      <c r="ID570" s="319" t="s">
        <v>190</v>
      </c>
      <c r="IE570" s="319" t="s">
        <v>190</v>
      </c>
      <c r="IF570" s="319" t="s">
        <v>190</v>
      </c>
      <c r="IG570" s="319" t="s">
        <v>190</v>
      </c>
      <c r="IH570" s="319" t="s">
        <v>190</v>
      </c>
      <c r="II570" s="319" t="s">
        <v>190</v>
      </c>
      <c r="IJ570" s="319">
        <v>10008891</v>
      </c>
      <c r="IK570" s="321">
        <v>42500</v>
      </c>
      <c r="IL570" s="321">
        <v>42502</v>
      </c>
      <c r="IM570" s="321">
        <v>42543</v>
      </c>
      <c r="IN570" s="319">
        <v>3</v>
      </c>
      <c r="IO570" s="319" t="s">
        <v>173</v>
      </c>
      <c r="IP570" s="319" t="s">
        <v>173</v>
      </c>
      <c r="IQ570" s="321" t="s">
        <v>173</v>
      </c>
      <c r="IR570" s="320" t="s">
        <v>173</v>
      </c>
      <c r="IS570" s="322" t="s">
        <v>173</v>
      </c>
      <c r="IT570" s="319" t="s">
        <v>173</v>
      </c>
    </row>
    <row r="571" spans="1:254" s="271" customFormat="1" x14ac:dyDescent="0.25">
      <c r="A571" s="318" t="str">
        <f>HYPERLINK("http://www.ofsted.gov.uk/inspection-reports/find-inspection-report/provider/ELS/135805 ","Ofsted School Webpage")</f>
        <v>Ofsted School Webpage</v>
      </c>
      <c r="B571" s="319">
        <v>135805</v>
      </c>
      <c r="C571" s="319">
        <v>8256042</v>
      </c>
      <c r="D571" s="319" t="s">
        <v>1995</v>
      </c>
      <c r="E571" s="319" t="s">
        <v>168</v>
      </c>
      <c r="F571" s="319" t="s">
        <v>81</v>
      </c>
      <c r="G571" s="319" t="s">
        <v>81</v>
      </c>
      <c r="H571" s="319" t="s">
        <v>81</v>
      </c>
      <c r="I571" s="319" t="s">
        <v>78</v>
      </c>
      <c r="J571" s="319" t="s">
        <v>424</v>
      </c>
      <c r="K571" s="319" t="s">
        <v>514</v>
      </c>
      <c r="L571" s="319" t="s">
        <v>514</v>
      </c>
      <c r="M571" s="319" t="s">
        <v>632</v>
      </c>
      <c r="N571" s="319" t="s">
        <v>3116</v>
      </c>
      <c r="O571" s="319" t="s">
        <v>1996</v>
      </c>
      <c r="P571" s="319">
        <v>12</v>
      </c>
      <c r="Q571" s="319" t="s">
        <v>2776</v>
      </c>
      <c r="R571" s="320">
        <v>10025990</v>
      </c>
      <c r="S571" s="321">
        <v>43130</v>
      </c>
      <c r="T571" s="321">
        <v>43132</v>
      </c>
      <c r="U571" s="321">
        <v>43160</v>
      </c>
      <c r="V571" s="319" t="s">
        <v>425</v>
      </c>
      <c r="W571" s="319" t="s">
        <v>2767</v>
      </c>
      <c r="X571" s="319">
        <v>2</v>
      </c>
      <c r="Y571" s="319" t="s">
        <v>173</v>
      </c>
      <c r="Z571" s="319" t="s">
        <v>173</v>
      </c>
      <c r="AA571" s="319" t="s">
        <v>173</v>
      </c>
      <c r="AB571" s="319">
        <v>2</v>
      </c>
      <c r="AC571" s="319" t="s">
        <v>169</v>
      </c>
      <c r="AD571" s="319" t="s">
        <v>173</v>
      </c>
      <c r="AE571" s="319" t="s">
        <v>173</v>
      </c>
      <c r="AF571" s="319" t="s">
        <v>427</v>
      </c>
      <c r="AG571" s="319" t="s">
        <v>171</v>
      </c>
      <c r="AH571" s="319" t="s">
        <v>190</v>
      </c>
      <c r="AI571" s="319" t="s">
        <v>190</v>
      </c>
      <c r="AJ571" s="319" t="s">
        <v>190</v>
      </c>
      <c r="AK571" s="319" t="s">
        <v>190</v>
      </c>
      <c r="AL571" s="319" t="s">
        <v>190</v>
      </c>
      <c r="AM571" s="319" t="s">
        <v>190</v>
      </c>
      <c r="AN571" s="319" t="s">
        <v>190</v>
      </c>
      <c r="AO571" s="319" t="s">
        <v>190</v>
      </c>
      <c r="AP571" s="319" t="s">
        <v>190</v>
      </c>
      <c r="AQ571" s="319" t="s">
        <v>190</v>
      </c>
      <c r="AR571" s="319" t="s">
        <v>190</v>
      </c>
      <c r="AS571" s="319" t="s">
        <v>190</v>
      </c>
      <c r="AT571" s="319" t="s">
        <v>190</v>
      </c>
      <c r="AU571" s="319" t="s">
        <v>190</v>
      </c>
      <c r="AV571" s="319" t="s">
        <v>190</v>
      </c>
      <c r="AW571" s="319" t="s">
        <v>190</v>
      </c>
      <c r="AX571" s="319" t="s">
        <v>428</v>
      </c>
      <c r="AY571" s="319" t="s">
        <v>190</v>
      </c>
      <c r="AZ571" s="319" t="s">
        <v>190</v>
      </c>
      <c r="BA571" s="319" t="s">
        <v>190</v>
      </c>
      <c r="BB571" s="319" t="s">
        <v>190</v>
      </c>
      <c r="BC571" s="319" t="s">
        <v>190</v>
      </c>
      <c r="BD571" s="319" t="s">
        <v>190</v>
      </c>
      <c r="BE571" s="319" t="s">
        <v>190</v>
      </c>
      <c r="BF571" s="319" t="s">
        <v>428</v>
      </c>
      <c r="BG571" s="319" t="s">
        <v>190</v>
      </c>
      <c r="BH571" s="319" t="s">
        <v>190</v>
      </c>
      <c r="BI571" s="319" t="s">
        <v>190</v>
      </c>
      <c r="BJ571" s="319" t="s">
        <v>190</v>
      </c>
      <c r="BK571" s="319" t="s">
        <v>190</v>
      </c>
      <c r="BL571" s="319" t="s">
        <v>190</v>
      </c>
      <c r="BM571" s="319" t="s">
        <v>190</v>
      </c>
      <c r="BN571" s="319" t="s">
        <v>190</v>
      </c>
      <c r="BO571" s="319" t="s">
        <v>190</v>
      </c>
      <c r="BP571" s="319" t="s">
        <v>190</v>
      </c>
      <c r="BQ571" s="319" t="s">
        <v>190</v>
      </c>
      <c r="BR571" s="319" t="s">
        <v>190</v>
      </c>
      <c r="BS571" s="319" t="s">
        <v>190</v>
      </c>
      <c r="BT571" s="319" t="s">
        <v>190</v>
      </c>
      <c r="BU571" s="319" t="s">
        <v>190</v>
      </c>
      <c r="BV571" s="319" t="s">
        <v>190</v>
      </c>
      <c r="BW571" s="319" t="s">
        <v>190</v>
      </c>
      <c r="BX571" s="319" t="s">
        <v>190</v>
      </c>
      <c r="BY571" s="319" t="s">
        <v>190</v>
      </c>
      <c r="BZ571" s="319" t="s">
        <v>190</v>
      </c>
      <c r="CA571" s="319" t="s">
        <v>190</v>
      </c>
      <c r="CB571" s="319" t="s">
        <v>190</v>
      </c>
      <c r="CC571" s="319" t="s">
        <v>190</v>
      </c>
      <c r="CD571" s="319" t="s">
        <v>190</v>
      </c>
      <c r="CE571" s="319" t="s">
        <v>190</v>
      </c>
      <c r="CF571" s="319" t="s">
        <v>190</v>
      </c>
      <c r="CG571" s="319" t="s">
        <v>190</v>
      </c>
      <c r="CH571" s="319" t="s">
        <v>190</v>
      </c>
      <c r="CI571" s="319" t="s">
        <v>190</v>
      </c>
      <c r="CJ571" s="319" t="s">
        <v>190</v>
      </c>
      <c r="CK571" s="319" t="s">
        <v>190</v>
      </c>
      <c r="CL571" s="319" t="s">
        <v>190</v>
      </c>
      <c r="CM571" s="319" t="s">
        <v>190</v>
      </c>
      <c r="CN571" s="319" t="s">
        <v>190</v>
      </c>
      <c r="CO571" s="319" t="s">
        <v>428</v>
      </c>
      <c r="CP571" s="319" t="s">
        <v>428</v>
      </c>
      <c r="CQ571" s="319" t="s">
        <v>190</v>
      </c>
      <c r="CR571" s="319" t="s">
        <v>190</v>
      </c>
      <c r="CS571" s="319" t="s">
        <v>190</v>
      </c>
      <c r="CT571" s="319" t="s">
        <v>190</v>
      </c>
      <c r="CU571" s="319" t="s">
        <v>190</v>
      </c>
      <c r="CV571" s="319" t="s">
        <v>190</v>
      </c>
      <c r="CW571" s="319" t="s">
        <v>190</v>
      </c>
      <c r="CX571" s="319" t="s">
        <v>190</v>
      </c>
      <c r="CY571" s="319" t="s">
        <v>190</v>
      </c>
      <c r="CZ571" s="319" t="s">
        <v>190</v>
      </c>
      <c r="DA571" s="319" t="s">
        <v>190</v>
      </c>
      <c r="DB571" s="319" t="s">
        <v>190</v>
      </c>
      <c r="DC571" s="319" t="s">
        <v>190</v>
      </c>
      <c r="DD571" s="319" t="s">
        <v>190</v>
      </c>
      <c r="DE571" s="319" t="s">
        <v>190</v>
      </c>
      <c r="DF571" s="319" t="s">
        <v>190</v>
      </c>
      <c r="DG571" s="319" t="s">
        <v>190</v>
      </c>
      <c r="DH571" s="319" t="s">
        <v>190</v>
      </c>
      <c r="DI571" s="319" t="s">
        <v>190</v>
      </c>
      <c r="DJ571" s="319" t="s">
        <v>190</v>
      </c>
      <c r="DK571" s="319" t="s">
        <v>190</v>
      </c>
      <c r="DL571" s="319" t="s">
        <v>190</v>
      </c>
      <c r="DM571" s="319" t="s">
        <v>190</v>
      </c>
      <c r="DN571" s="319" t="s">
        <v>428</v>
      </c>
      <c r="DO571" s="319" t="s">
        <v>190</v>
      </c>
      <c r="DP571" s="319" t="s">
        <v>190</v>
      </c>
      <c r="DQ571" s="319" t="s">
        <v>190</v>
      </c>
      <c r="DR571" s="319" t="s">
        <v>190</v>
      </c>
      <c r="DS571" s="319" t="s">
        <v>190</v>
      </c>
      <c r="DT571" s="319" t="s">
        <v>190</v>
      </c>
      <c r="DU571" s="319" t="s">
        <v>190</v>
      </c>
      <c r="DV571" s="319" t="s">
        <v>173</v>
      </c>
      <c r="DW571" s="319" t="s">
        <v>190</v>
      </c>
      <c r="DX571" s="319" t="s">
        <v>190</v>
      </c>
      <c r="DY571" s="319" t="s">
        <v>190</v>
      </c>
      <c r="DZ571" s="319" t="s">
        <v>190</v>
      </c>
      <c r="EA571" s="319" t="s">
        <v>190</v>
      </c>
      <c r="EB571" s="319" t="s">
        <v>190</v>
      </c>
      <c r="EC571" s="319" t="s">
        <v>428</v>
      </c>
      <c r="ED571" s="319" t="s">
        <v>190</v>
      </c>
      <c r="EE571" s="319" t="s">
        <v>190</v>
      </c>
      <c r="EF571" s="319" t="s">
        <v>190</v>
      </c>
      <c r="EG571" s="319" t="s">
        <v>190</v>
      </c>
      <c r="EH571" s="319" t="s">
        <v>190</v>
      </c>
      <c r="EI571" s="319" t="s">
        <v>190</v>
      </c>
      <c r="EJ571" s="319" t="s">
        <v>190</v>
      </c>
      <c r="EK571" s="319" t="s">
        <v>190</v>
      </c>
      <c r="EL571" s="319" t="s">
        <v>190</v>
      </c>
      <c r="EM571" s="319" t="s">
        <v>190</v>
      </c>
      <c r="EN571" s="319" t="s">
        <v>190</v>
      </c>
      <c r="EO571" s="319" t="s">
        <v>190</v>
      </c>
      <c r="EP571" s="319" t="s">
        <v>190</v>
      </c>
      <c r="EQ571" s="319" t="s">
        <v>190</v>
      </c>
      <c r="ER571" s="319" t="s">
        <v>190</v>
      </c>
      <c r="ES571" s="319" t="s">
        <v>190</v>
      </c>
      <c r="ET571" s="319" t="s">
        <v>190</v>
      </c>
      <c r="EU571" s="319" t="s">
        <v>190</v>
      </c>
      <c r="EV571" s="319" t="s">
        <v>190</v>
      </c>
      <c r="EW571" s="319" t="s">
        <v>190</v>
      </c>
      <c r="EX571" s="319" t="s">
        <v>190</v>
      </c>
      <c r="EY571" s="319" t="s">
        <v>190</v>
      </c>
      <c r="EZ571" s="319" t="s">
        <v>190</v>
      </c>
      <c r="FA571" s="319" t="s">
        <v>190</v>
      </c>
      <c r="FB571" s="319" t="s">
        <v>190</v>
      </c>
      <c r="FC571" s="319" t="s">
        <v>190</v>
      </c>
      <c r="FD571" s="319" t="s">
        <v>190</v>
      </c>
      <c r="FE571" s="319" t="s">
        <v>190</v>
      </c>
      <c r="FF571" s="319" t="s">
        <v>190</v>
      </c>
      <c r="FG571" s="319" t="s">
        <v>190</v>
      </c>
      <c r="FH571" s="319" t="s">
        <v>190</v>
      </c>
      <c r="FI571" s="319" t="s">
        <v>190</v>
      </c>
      <c r="FJ571" s="319" t="s">
        <v>190</v>
      </c>
      <c r="FK571" s="319" t="s">
        <v>190</v>
      </c>
      <c r="FL571" s="319" t="s">
        <v>190</v>
      </c>
      <c r="FM571" s="319" t="s">
        <v>190</v>
      </c>
      <c r="FN571" s="319" t="s">
        <v>190</v>
      </c>
      <c r="FO571" s="319" t="s">
        <v>190</v>
      </c>
      <c r="FP571" s="319" t="s">
        <v>190</v>
      </c>
      <c r="FQ571" s="319" t="s">
        <v>190</v>
      </c>
      <c r="FR571" s="319" t="s">
        <v>190</v>
      </c>
      <c r="FS571" s="319" t="s">
        <v>190</v>
      </c>
      <c r="FT571" s="319" t="s">
        <v>190</v>
      </c>
      <c r="FU571" s="319" t="s">
        <v>190</v>
      </c>
      <c r="FV571" s="319" t="s">
        <v>190</v>
      </c>
      <c r="FW571" s="319" t="s">
        <v>190</v>
      </c>
      <c r="FX571" s="319" t="s">
        <v>190</v>
      </c>
      <c r="FY571" s="319" t="s">
        <v>190</v>
      </c>
      <c r="FZ571" s="319" t="s">
        <v>190</v>
      </c>
      <c r="GA571" s="319" t="s">
        <v>190</v>
      </c>
      <c r="GB571" s="319" t="s">
        <v>190</v>
      </c>
      <c r="GC571" s="319" t="s">
        <v>190</v>
      </c>
      <c r="GD571" s="319" t="s">
        <v>190</v>
      </c>
      <c r="GE571" s="319" t="s">
        <v>190</v>
      </c>
      <c r="GF571" s="319" t="s">
        <v>190</v>
      </c>
      <c r="GG571" s="319" t="s">
        <v>190</v>
      </c>
      <c r="GH571" s="319" t="s">
        <v>190</v>
      </c>
      <c r="GI571" s="319" t="s">
        <v>190</v>
      </c>
      <c r="GJ571" s="319" t="s">
        <v>190</v>
      </c>
      <c r="GK571" s="319" t="s">
        <v>428</v>
      </c>
      <c r="GL571" s="319" t="s">
        <v>190</v>
      </c>
      <c r="GM571" s="319" t="s">
        <v>190</v>
      </c>
      <c r="GN571" s="319" t="s">
        <v>190</v>
      </c>
      <c r="GO571" s="319" t="s">
        <v>190</v>
      </c>
      <c r="GP571" s="319" t="s">
        <v>190</v>
      </c>
      <c r="GQ571" s="319" t="s">
        <v>190</v>
      </c>
      <c r="GR571" s="319" t="s">
        <v>190</v>
      </c>
      <c r="GS571" s="319" t="s">
        <v>190</v>
      </c>
      <c r="GT571" s="319" t="s">
        <v>190</v>
      </c>
      <c r="GU571" s="319" t="s">
        <v>190</v>
      </c>
      <c r="GV571" s="319" t="s">
        <v>190</v>
      </c>
      <c r="GW571" s="319" t="s">
        <v>190</v>
      </c>
      <c r="GX571" s="319" t="s">
        <v>190</v>
      </c>
      <c r="GY571" s="319" t="s">
        <v>190</v>
      </c>
      <c r="GZ571" s="319" t="s">
        <v>190</v>
      </c>
      <c r="HA571" s="319" t="s">
        <v>190</v>
      </c>
      <c r="HB571" s="319" t="s">
        <v>428</v>
      </c>
      <c r="HC571" s="319" t="s">
        <v>190</v>
      </c>
      <c r="HD571" s="319" t="s">
        <v>190</v>
      </c>
      <c r="HE571" s="319" t="s">
        <v>190</v>
      </c>
      <c r="HF571" s="319" t="s">
        <v>190</v>
      </c>
      <c r="HG571" s="319" t="s">
        <v>190</v>
      </c>
      <c r="HH571" s="319" t="s">
        <v>190</v>
      </c>
      <c r="HI571" s="319" t="s">
        <v>190</v>
      </c>
      <c r="HJ571" s="319" t="s">
        <v>190</v>
      </c>
      <c r="HK571" s="319" t="s">
        <v>190</v>
      </c>
      <c r="HL571" s="319" t="s">
        <v>190</v>
      </c>
      <c r="HM571" s="319" t="s">
        <v>190</v>
      </c>
      <c r="HN571" s="319" t="s">
        <v>190</v>
      </c>
      <c r="HO571" s="319" t="s">
        <v>190</v>
      </c>
      <c r="HP571" s="319" t="s">
        <v>190</v>
      </c>
      <c r="HQ571" s="319" t="s">
        <v>190</v>
      </c>
      <c r="HR571" s="319" t="s">
        <v>190</v>
      </c>
      <c r="HS571" s="319" t="s">
        <v>190</v>
      </c>
      <c r="HT571" s="319" t="s">
        <v>190</v>
      </c>
      <c r="HU571" s="319" t="s">
        <v>190</v>
      </c>
      <c r="HV571" s="319" t="s">
        <v>190</v>
      </c>
      <c r="HW571" s="319" t="s">
        <v>190</v>
      </c>
      <c r="HX571" s="319" t="s">
        <v>190</v>
      </c>
      <c r="HY571" s="319" t="s">
        <v>190</v>
      </c>
      <c r="HZ571" s="319" t="s">
        <v>190</v>
      </c>
      <c r="IA571" s="319" t="s">
        <v>190</v>
      </c>
      <c r="IB571" s="319" t="s">
        <v>190</v>
      </c>
      <c r="IC571" s="319" t="s">
        <v>190</v>
      </c>
      <c r="ID571" s="319" t="s">
        <v>190</v>
      </c>
      <c r="IE571" s="319" t="s">
        <v>190</v>
      </c>
      <c r="IF571" s="319" t="s">
        <v>190</v>
      </c>
      <c r="IG571" s="319" t="s">
        <v>190</v>
      </c>
      <c r="IH571" s="319" t="s">
        <v>190</v>
      </c>
      <c r="II571" s="319" t="s">
        <v>190</v>
      </c>
      <c r="IJ571" s="319" t="s">
        <v>3331</v>
      </c>
      <c r="IK571" s="321">
        <v>41611</v>
      </c>
      <c r="IL571" s="321">
        <v>41612</v>
      </c>
      <c r="IM571" s="321">
        <v>41632</v>
      </c>
      <c r="IN571" s="319">
        <v>2</v>
      </c>
      <c r="IO571" s="319" t="s">
        <v>173</v>
      </c>
      <c r="IP571" s="319" t="s">
        <v>173</v>
      </c>
      <c r="IQ571" s="319" t="s">
        <v>173</v>
      </c>
      <c r="IR571" s="320" t="s">
        <v>173</v>
      </c>
      <c r="IS571" s="320" t="s">
        <v>173</v>
      </c>
      <c r="IT571" s="319" t="s">
        <v>173</v>
      </c>
    </row>
    <row r="572" spans="1:254" s="271" customFormat="1" x14ac:dyDescent="0.25">
      <c r="A572" s="318" t="str">
        <f>HYPERLINK("http://www.ofsted.gov.uk/inspection-reports/find-inspection-report/provider/ELS/135834 ","Ofsted School Webpage")</f>
        <v>Ofsted School Webpage</v>
      </c>
      <c r="B572" s="319">
        <v>135834</v>
      </c>
      <c r="C572" s="319">
        <v>8406010</v>
      </c>
      <c r="D572" s="319" t="s">
        <v>1997</v>
      </c>
      <c r="E572" s="319" t="s">
        <v>168</v>
      </c>
      <c r="F572" s="319" t="s">
        <v>81</v>
      </c>
      <c r="G572" s="319" t="s">
        <v>81</v>
      </c>
      <c r="H572" s="319" t="s">
        <v>81</v>
      </c>
      <c r="I572" s="319" t="s">
        <v>78</v>
      </c>
      <c r="J572" s="319" t="s">
        <v>424</v>
      </c>
      <c r="K572" s="319" t="s">
        <v>458</v>
      </c>
      <c r="L572" s="319" t="s">
        <v>474</v>
      </c>
      <c r="M572" s="319" t="s">
        <v>574</v>
      </c>
      <c r="N572" s="319" t="s">
        <v>3332</v>
      </c>
      <c r="O572" s="319" t="s">
        <v>1998</v>
      </c>
      <c r="P572" s="319">
        <v>17</v>
      </c>
      <c r="Q572" s="319" t="s">
        <v>429</v>
      </c>
      <c r="R572" s="320">
        <v>10061269</v>
      </c>
      <c r="S572" s="321">
        <v>43537</v>
      </c>
      <c r="T572" s="321">
        <v>43539</v>
      </c>
      <c r="U572" s="321">
        <v>43557</v>
      </c>
      <c r="V572" s="319" t="s">
        <v>425</v>
      </c>
      <c r="W572" s="319" t="s">
        <v>2767</v>
      </c>
      <c r="X572" s="319">
        <v>1</v>
      </c>
      <c r="Y572" s="319" t="s">
        <v>173</v>
      </c>
      <c r="Z572" s="319" t="s">
        <v>173</v>
      </c>
      <c r="AA572" s="319" t="s">
        <v>173</v>
      </c>
      <c r="AB572" s="319">
        <v>1</v>
      </c>
      <c r="AC572" s="319" t="s">
        <v>169</v>
      </c>
      <c r="AD572" s="319" t="s">
        <v>173</v>
      </c>
      <c r="AE572" s="319" t="s">
        <v>173</v>
      </c>
      <c r="AF572" s="319" t="s">
        <v>427</v>
      </c>
      <c r="AG572" s="319" t="s">
        <v>171</v>
      </c>
      <c r="AH572" s="319" t="s">
        <v>190</v>
      </c>
      <c r="AI572" s="319" t="s">
        <v>190</v>
      </c>
      <c r="AJ572" s="319" t="s">
        <v>190</v>
      </c>
      <c r="AK572" s="319" t="s">
        <v>190</v>
      </c>
      <c r="AL572" s="319" t="s">
        <v>190</v>
      </c>
      <c r="AM572" s="319" t="s">
        <v>190</v>
      </c>
      <c r="AN572" s="319" t="s">
        <v>190</v>
      </c>
      <c r="AO572" s="319" t="s">
        <v>190</v>
      </c>
      <c r="AP572" s="319" t="s">
        <v>190</v>
      </c>
      <c r="AQ572" s="319" t="s">
        <v>190</v>
      </c>
      <c r="AR572" s="319" t="s">
        <v>190</v>
      </c>
      <c r="AS572" s="319" t="s">
        <v>190</v>
      </c>
      <c r="AT572" s="319" t="s">
        <v>190</v>
      </c>
      <c r="AU572" s="319" t="s">
        <v>190</v>
      </c>
      <c r="AV572" s="319" t="s">
        <v>190</v>
      </c>
      <c r="AW572" s="319" t="s">
        <v>190</v>
      </c>
      <c r="AX572" s="319" t="s">
        <v>428</v>
      </c>
      <c r="AY572" s="319" t="s">
        <v>190</v>
      </c>
      <c r="AZ572" s="319" t="s">
        <v>190</v>
      </c>
      <c r="BA572" s="319" t="s">
        <v>190</v>
      </c>
      <c r="BB572" s="319" t="s">
        <v>190</v>
      </c>
      <c r="BC572" s="319" t="s">
        <v>190</v>
      </c>
      <c r="BD572" s="319" t="s">
        <v>190</v>
      </c>
      <c r="BE572" s="319" t="s">
        <v>190</v>
      </c>
      <c r="BF572" s="319" t="s">
        <v>428</v>
      </c>
      <c r="BG572" s="319" t="s">
        <v>190</v>
      </c>
      <c r="BH572" s="319" t="s">
        <v>190</v>
      </c>
      <c r="BI572" s="319" t="s">
        <v>190</v>
      </c>
      <c r="BJ572" s="319" t="s">
        <v>190</v>
      </c>
      <c r="BK572" s="319" t="s">
        <v>190</v>
      </c>
      <c r="BL572" s="319" t="s">
        <v>190</v>
      </c>
      <c r="BM572" s="319" t="s">
        <v>190</v>
      </c>
      <c r="BN572" s="319" t="s">
        <v>190</v>
      </c>
      <c r="BO572" s="319" t="s">
        <v>190</v>
      </c>
      <c r="BP572" s="319" t="s">
        <v>190</v>
      </c>
      <c r="BQ572" s="319" t="s">
        <v>190</v>
      </c>
      <c r="BR572" s="319" t="s">
        <v>190</v>
      </c>
      <c r="BS572" s="319" t="s">
        <v>190</v>
      </c>
      <c r="BT572" s="319" t="s">
        <v>190</v>
      </c>
      <c r="BU572" s="319" t="s">
        <v>190</v>
      </c>
      <c r="BV572" s="319" t="s">
        <v>190</v>
      </c>
      <c r="BW572" s="319" t="s">
        <v>190</v>
      </c>
      <c r="BX572" s="319" t="s">
        <v>190</v>
      </c>
      <c r="BY572" s="319" t="s">
        <v>190</v>
      </c>
      <c r="BZ572" s="319" t="s">
        <v>190</v>
      </c>
      <c r="CA572" s="319" t="s">
        <v>190</v>
      </c>
      <c r="CB572" s="319" t="s">
        <v>190</v>
      </c>
      <c r="CC572" s="319" t="s">
        <v>190</v>
      </c>
      <c r="CD572" s="319" t="s">
        <v>190</v>
      </c>
      <c r="CE572" s="319" t="s">
        <v>190</v>
      </c>
      <c r="CF572" s="319" t="s">
        <v>190</v>
      </c>
      <c r="CG572" s="319" t="s">
        <v>190</v>
      </c>
      <c r="CH572" s="319" t="s">
        <v>190</v>
      </c>
      <c r="CI572" s="319" t="s">
        <v>190</v>
      </c>
      <c r="CJ572" s="319" t="s">
        <v>190</v>
      </c>
      <c r="CK572" s="319" t="s">
        <v>190</v>
      </c>
      <c r="CL572" s="319" t="s">
        <v>190</v>
      </c>
      <c r="CM572" s="319" t="s">
        <v>190</v>
      </c>
      <c r="CN572" s="319" t="s">
        <v>190</v>
      </c>
      <c r="CO572" s="319" t="s">
        <v>428</v>
      </c>
      <c r="CP572" s="319" t="s">
        <v>428</v>
      </c>
      <c r="CQ572" s="319" t="s">
        <v>190</v>
      </c>
      <c r="CR572" s="319" t="s">
        <v>190</v>
      </c>
      <c r="CS572" s="319" t="s">
        <v>190</v>
      </c>
      <c r="CT572" s="319" t="s">
        <v>190</v>
      </c>
      <c r="CU572" s="319" t="s">
        <v>190</v>
      </c>
      <c r="CV572" s="319" t="s">
        <v>190</v>
      </c>
      <c r="CW572" s="319" t="s">
        <v>190</v>
      </c>
      <c r="CX572" s="319" t="s">
        <v>190</v>
      </c>
      <c r="CY572" s="319" t="s">
        <v>190</v>
      </c>
      <c r="CZ572" s="319" t="s">
        <v>190</v>
      </c>
      <c r="DA572" s="319" t="s">
        <v>190</v>
      </c>
      <c r="DB572" s="319" t="s">
        <v>190</v>
      </c>
      <c r="DC572" s="319" t="s">
        <v>190</v>
      </c>
      <c r="DD572" s="319" t="s">
        <v>190</v>
      </c>
      <c r="DE572" s="319" t="s">
        <v>190</v>
      </c>
      <c r="DF572" s="319" t="s">
        <v>190</v>
      </c>
      <c r="DG572" s="319" t="s">
        <v>190</v>
      </c>
      <c r="DH572" s="319" t="s">
        <v>190</v>
      </c>
      <c r="DI572" s="319" t="s">
        <v>190</v>
      </c>
      <c r="DJ572" s="319" t="s">
        <v>190</v>
      </c>
      <c r="DK572" s="319" t="s">
        <v>190</v>
      </c>
      <c r="DL572" s="319" t="s">
        <v>190</v>
      </c>
      <c r="DM572" s="319" t="s">
        <v>428</v>
      </c>
      <c r="DN572" s="319" t="s">
        <v>428</v>
      </c>
      <c r="DO572" s="319" t="s">
        <v>190</v>
      </c>
      <c r="DP572" s="319" t="s">
        <v>428</v>
      </c>
      <c r="DQ572" s="319" t="s">
        <v>428</v>
      </c>
      <c r="DR572" s="319" t="s">
        <v>428</v>
      </c>
      <c r="DS572" s="319" t="s">
        <v>428</v>
      </c>
      <c r="DT572" s="319" t="s">
        <v>428</v>
      </c>
      <c r="DU572" s="319" t="s">
        <v>428</v>
      </c>
      <c r="DV572" s="319" t="s">
        <v>173</v>
      </c>
      <c r="DW572" s="319" t="s">
        <v>428</v>
      </c>
      <c r="DX572" s="319" t="s">
        <v>428</v>
      </c>
      <c r="DY572" s="319" t="s">
        <v>428</v>
      </c>
      <c r="DZ572" s="319" t="s">
        <v>428</v>
      </c>
      <c r="EA572" s="319" t="s">
        <v>428</v>
      </c>
      <c r="EB572" s="319" t="s">
        <v>428</v>
      </c>
      <c r="EC572" s="319" t="s">
        <v>428</v>
      </c>
      <c r="ED572" s="319" t="s">
        <v>428</v>
      </c>
      <c r="EE572" s="319" t="s">
        <v>190</v>
      </c>
      <c r="EF572" s="319" t="s">
        <v>190</v>
      </c>
      <c r="EG572" s="319" t="s">
        <v>190</v>
      </c>
      <c r="EH572" s="319" t="s">
        <v>190</v>
      </c>
      <c r="EI572" s="319" t="s">
        <v>190</v>
      </c>
      <c r="EJ572" s="319" t="s">
        <v>190</v>
      </c>
      <c r="EK572" s="319" t="s">
        <v>190</v>
      </c>
      <c r="EL572" s="319" t="s">
        <v>428</v>
      </c>
      <c r="EM572" s="319" t="s">
        <v>190</v>
      </c>
      <c r="EN572" s="319" t="s">
        <v>190</v>
      </c>
      <c r="EO572" s="319" t="s">
        <v>190</v>
      </c>
      <c r="EP572" s="319" t="s">
        <v>190</v>
      </c>
      <c r="EQ572" s="319" t="s">
        <v>190</v>
      </c>
      <c r="ER572" s="319" t="s">
        <v>190</v>
      </c>
      <c r="ES572" s="319" t="s">
        <v>190</v>
      </c>
      <c r="ET572" s="319" t="s">
        <v>190</v>
      </c>
      <c r="EU572" s="319" t="s">
        <v>190</v>
      </c>
      <c r="EV572" s="319" t="s">
        <v>190</v>
      </c>
      <c r="EW572" s="319" t="s">
        <v>190</v>
      </c>
      <c r="EX572" s="319" t="s">
        <v>190</v>
      </c>
      <c r="EY572" s="319" t="s">
        <v>190</v>
      </c>
      <c r="EZ572" s="319" t="s">
        <v>190</v>
      </c>
      <c r="FA572" s="319" t="s">
        <v>428</v>
      </c>
      <c r="FB572" s="319" t="s">
        <v>428</v>
      </c>
      <c r="FC572" s="319" t="s">
        <v>428</v>
      </c>
      <c r="FD572" s="319" t="s">
        <v>428</v>
      </c>
      <c r="FE572" s="319" t="s">
        <v>428</v>
      </c>
      <c r="FF572" s="319" t="s">
        <v>428</v>
      </c>
      <c r="FG572" s="319" t="s">
        <v>428</v>
      </c>
      <c r="FH572" s="319" t="s">
        <v>428</v>
      </c>
      <c r="FI572" s="319" t="s">
        <v>190</v>
      </c>
      <c r="FJ572" s="319" t="s">
        <v>190</v>
      </c>
      <c r="FK572" s="319" t="s">
        <v>190</v>
      </c>
      <c r="FL572" s="319" t="s">
        <v>190</v>
      </c>
      <c r="FM572" s="319" t="s">
        <v>190</v>
      </c>
      <c r="FN572" s="319" t="s">
        <v>190</v>
      </c>
      <c r="FO572" s="319" t="s">
        <v>190</v>
      </c>
      <c r="FP572" s="319" t="s">
        <v>190</v>
      </c>
      <c r="FQ572" s="319" t="s">
        <v>190</v>
      </c>
      <c r="FR572" s="319" t="s">
        <v>190</v>
      </c>
      <c r="FS572" s="319" t="s">
        <v>428</v>
      </c>
      <c r="FT572" s="319" t="s">
        <v>190</v>
      </c>
      <c r="FU572" s="319" t="s">
        <v>190</v>
      </c>
      <c r="FV572" s="319" t="s">
        <v>190</v>
      </c>
      <c r="FW572" s="319" t="s">
        <v>190</v>
      </c>
      <c r="FX572" s="319" t="s">
        <v>190</v>
      </c>
      <c r="FY572" s="319" t="s">
        <v>190</v>
      </c>
      <c r="FZ572" s="319" t="s">
        <v>190</v>
      </c>
      <c r="GA572" s="319" t="s">
        <v>190</v>
      </c>
      <c r="GB572" s="319" t="s">
        <v>190</v>
      </c>
      <c r="GC572" s="319" t="s">
        <v>190</v>
      </c>
      <c r="GD572" s="319" t="s">
        <v>190</v>
      </c>
      <c r="GE572" s="319" t="s">
        <v>190</v>
      </c>
      <c r="GF572" s="319" t="s">
        <v>190</v>
      </c>
      <c r="GG572" s="319" t="s">
        <v>190</v>
      </c>
      <c r="GH572" s="319" t="s">
        <v>190</v>
      </c>
      <c r="GI572" s="319" t="s">
        <v>190</v>
      </c>
      <c r="GJ572" s="319" t="s">
        <v>190</v>
      </c>
      <c r="GK572" s="319" t="s">
        <v>428</v>
      </c>
      <c r="GL572" s="319" t="s">
        <v>190</v>
      </c>
      <c r="GM572" s="319" t="s">
        <v>190</v>
      </c>
      <c r="GN572" s="319" t="s">
        <v>190</v>
      </c>
      <c r="GO572" s="319" t="s">
        <v>190</v>
      </c>
      <c r="GP572" s="319" t="s">
        <v>190</v>
      </c>
      <c r="GQ572" s="319" t="s">
        <v>190</v>
      </c>
      <c r="GR572" s="319" t="s">
        <v>190</v>
      </c>
      <c r="GS572" s="319" t="s">
        <v>190</v>
      </c>
      <c r="GT572" s="319" t="s">
        <v>190</v>
      </c>
      <c r="GU572" s="319" t="s">
        <v>190</v>
      </c>
      <c r="GV572" s="319" t="s">
        <v>190</v>
      </c>
      <c r="GW572" s="319" t="s">
        <v>190</v>
      </c>
      <c r="GX572" s="319" t="s">
        <v>190</v>
      </c>
      <c r="GY572" s="319" t="s">
        <v>190</v>
      </c>
      <c r="GZ572" s="319" t="s">
        <v>428</v>
      </c>
      <c r="HA572" s="319" t="s">
        <v>190</v>
      </c>
      <c r="HB572" s="319" t="s">
        <v>190</v>
      </c>
      <c r="HC572" s="319" t="s">
        <v>190</v>
      </c>
      <c r="HD572" s="319" t="s">
        <v>190</v>
      </c>
      <c r="HE572" s="319" t="s">
        <v>190</v>
      </c>
      <c r="HF572" s="319" t="s">
        <v>190</v>
      </c>
      <c r="HG572" s="319" t="s">
        <v>190</v>
      </c>
      <c r="HH572" s="319" t="s">
        <v>190</v>
      </c>
      <c r="HI572" s="319" t="s">
        <v>190</v>
      </c>
      <c r="HJ572" s="319" t="s">
        <v>190</v>
      </c>
      <c r="HK572" s="319" t="s">
        <v>190</v>
      </c>
      <c r="HL572" s="319" t="s">
        <v>190</v>
      </c>
      <c r="HM572" s="319" t="s">
        <v>428</v>
      </c>
      <c r="HN572" s="319" t="s">
        <v>428</v>
      </c>
      <c r="HO572" s="319" t="s">
        <v>428</v>
      </c>
      <c r="HP572" s="319" t="s">
        <v>190</v>
      </c>
      <c r="HQ572" s="319" t="s">
        <v>190</v>
      </c>
      <c r="HR572" s="319" t="s">
        <v>190</v>
      </c>
      <c r="HS572" s="319" t="s">
        <v>190</v>
      </c>
      <c r="HT572" s="319" t="s">
        <v>190</v>
      </c>
      <c r="HU572" s="319" t="s">
        <v>190</v>
      </c>
      <c r="HV572" s="319" t="s">
        <v>190</v>
      </c>
      <c r="HW572" s="319" t="s">
        <v>190</v>
      </c>
      <c r="HX572" s="319" t="s">
        <v>190</v>
      </c>
      <c r="HY572" s="319" t="s">
        <v>190</v>
      </c>
      <c r="HZ572" s="319" t="s">
        <v>190</v>
      </c>
      <c r="IA572" s="319" t="s">
        <v>190</v>
      </c>
      <c r="IB572" s="319" t="s">
        <v>190</v>
      </c>
      <c r="IC572" s="319" t="s">
        <v>190</v>
      </c>
      <c r="ID572" s="319" t="s">
        <v>190</v>
      </c>
      <c r="IE572" s="319" t="s">
        <v>190</v>
      </c>
      <c r="IF572" s="319" t="s">
        <v>190</v>
      </c>
      <c r="IG572" s="319" t="s">
        <v>190</v>
      </c>
      <c r="IH572" s="319" t="s">
        <v>190</v>
      </c>
      <c r="II572" s="319" t="s">
        <v>190</v>
      </c>
      <c r="IJ572" s="319">
        <v>10020940</v>
      </c>
      <c r="IK572" s="321">
        <v>42647</v>
      </c>
      <c r="IL572" s="321">
        <v>42649</v>
      </c>
      <c r="IM572" s="321">
        <v>42705</v>
      </c>
      <c r="IN572" s="319">
        <v>1</v>
      </c>
      <c r="IO572" s="319" t="s">
        <v>173</v>
      </c>
      <c r="IP572" s="319" t="s">
        <v>173</v>
      </c>
      <c r="IQ572" s="321" t="s">
        <v>173</v>
      </c>
      <c r="IR572" s="320" t="s">
        <v>173</v>
      </c>
      <c r="IS572" s="322" t="s">
        <v>173</v>
      </c>
      <c r="IT572" s="319" t="s">
        <v>173</v>
      </c>
    </row>
    <row r="573" spans="1:254" s="271" customFormat="1" x14ac:dyDescent="0.25">
      <c r="A573" s="318" t="str">
        <f>HYPERLINK("http://www.ofsted.gov.uk/inspection-reports/find-inspection-report/provider/ELS/135837 ","Ofsted School Webpage")</f>
        <v>Ofsted School Webpage</v>
      </c>
      <c r="B573" s="319">
        <v>135837</v>
      </c>
      <c r="C573" s="319">
        <v>8816060</v>
      </c>
      <c r="D573" s="319" t="s">
        <v>1999</v>
      </c>
      <c r="E573" s="319" t="s">
        <v>168</v>
      </c>
      <c r="F573" s="319" t="s">
        <v>81</v>
      </c>
      <c r="G573" s="319" t="s">
        <v>81</v>
      </c>
      <c r="H573" s="319" t="s">
        <v>81</v>
      </c>
      <c r="I573" s="319" t="s">
        <v>78</v>
      </c>
      <c r="J573" s="319" t="s">
        <v>424</v>
      </c>
      <c r="K573" s="319" t="s">
        <v>451</v>
      </c>
      <c r="L573" s="319" t="s">
        <v>451</v>
      </c>
      <c r="M573" s="319" t="s">
        <v>679</v>
      </c>
      <c r="N573" s="319" t="s">
        <v>3216</v>
      </c>
      <c r="O573" s="319" t="s">
        <v>2000</v>
      </c>
      <c r="P573" s="319">
        <v>23</v>
      </c>
      <c r="Q573" s="319" t="s">
        <v>429</v>
      </c>
      <c r="R573" s="320">
        <v>10020918</v>
      </c>
      <c r="S573" s="321">
        <v>42864</v>
      </c>
      <c r="T573" s="321">
        <v>42866</v>
      </c>
      <c r="U573" s="321">
        <v>42906</v>
      </c>
      <c r="V573" s="319" t="s">
        <v>425</v>
      </c>
      <c r="W573" s="319" t="s">
        <v>2767</v>
      </c>
      <c r="X573" s="319">
        <v>2</v>
      </c>
      <c r="Y573" s="319" t="s">
        <v>173</v>
      </c>
      <c r="Z573" s="319" t="s">
        <v>173</v>
      </c>
      <c r="AA573" s="319" t="s">
        <v>173</v>
      </c>
      <c r="AB573" s="319">
        <v>2</v>
      </c>
      <c r="AC573" s="319" t="s">
        <v>169</v>
      </c>
      <c r="AD573" s="319" t="s">
        <v>173</v>
      </c>
      <c r="AE573" s="319" t="s">
        <v>173</v>
      </c>
      <c r="AF573" s="319" t="s">
        <v>173</v>
      </c>
      <c r="AG573" s="319" t="s">
        <v>171</v>
      </c>
      <c r="AH573" s="319" t="s">
        <v>190</v>
      </c>
      <c r="AI573" s="319" t="s">
        <v>190</v>
      </c>
      <c r="AJ573" s="319" t="s">
        <v>190</v>
      </c>
      <c r="AK573" s="319" t="s">
        <v>190</v>
      </c>
      <c r="AL573" s="319" t="s">
        <v>190</v>
      </c>
      <c r="AM573" s="319" t="s">
        <v>190</v>
      </c>
      <c r="AN573" s="319" t="s">
        <v>190</v>
      </c>
      <c r="AO573" s="319" t="s">
        <v>190</v>
      </c>
      <c r="AP573" s="319" t="s">
        <v>190</v>
      </c>
      <c r="AQ573" s="319" t="s">
        <v>190</v>
      </c>
      <c r="AR573" s="319" t="s">
        <v>190</v>
      </c>
      <c r="AS573" s="319" t="s">
        <v>190</v>
      </c>
      <c r="AT573" s="319" t="s">
        <v>190</v>
      </c>
      <c r="AU573" s="319" t="s">
        <v>190</v>
      </c>
      <c r="AV573" s="319" t="s">
        <v>190</v>
      </c>
      <c r="AW573" s="319" t="s">
        <v>190</v>
      </c>
      <c r="AX573" s="319" t="s">
        <v>429</v>
      </c>
      <c r="AY573" s="319" t="s">
        <v>190</v>
      </c>
      <c r="AZ573" s="319" t="s">
        <v>190</v>
      </c>
      <c r="BA573" s="319" t="s">
        <v>190</v>
      </c>
      <c r="BB573" s="319" t="s">
        <v>190</v>
      </c>
      <c r="BC573" s="319" t="s">
        <v>190</v>
      </c>
      <c r="BD573" s="319" t="s">
        <v>190</v>
      </c>
      <c r="BE573" s="319" t="s">
        <v>190</v>
      </c>
      <c r="BF573" s="319" t="s">
        <v>429</v>
      </c>
      <c r="BG573" s="319" t="s">
        <v>190</v>
      </c>
      <c r="BH573" s="319" t="s">
        <v>190</v>
      </c>
      <c r="BI573" s="319" t="s">
        <v>190</v>
      </c>
      <c r="BJ573" s="319" t="s">
        <v>190</v>
      </c>
      <c r="BK573" s="319" t="s">
        <v>190</v>
      </c>
      <c r="BL573" s="319" t="s">
        <v>190</v>
      </c>
      <c r="BM573" s="319" t="s">
        <v>190</v>
      </c>
      <c r="BN573" s="319" t="s">
        <v>190</v>
      </c>
      <c r="BO573" s="319" t="s">
        <v>190</v>
      </c>
      <c r="BP573" s="319" t="s">
        <v>190</v>
      </c>
      <c r="BQ573" s="319" t="s">
        <v>190</v>
      </c>
      <c r="BR573" s="319" t="s">
        <v>190</v>
      </c>
      <c r="BS573" s="319" t="s">
        <v>190</v>
      </c>
      <c r="BT573" s="319" t="s">
        <v>190</v>
      </c>
      <c r="BU573" s="319" t="s">
        <v>190</v>
      </c>
      <c r="BV573" s="319" t="s">
        <v>190</v>
      </c>
      <c r="BW573" s="319" t="s">
        <v>190</v>
      </c>
      <c r="BX573" s="319" t="s">
        <v>190</v>
      </c>
      <c r="BY573" s="319" t="s">
        <v>190</v>
      </c>
      <c r="BZ573" s="319" t="s">
        <v>190</v>
      </c>
      <c r="CA573" s="319" t="s">
        <v>190</v>
      </c>
      <c r="CB573" s="319" t="s">
        <v>190</v>
      </c>
      <c r="CC573" s="319" t="s">
        <v>190</v>
      </c>
      <c r="CD573" s="319" t="s">
        <v>190</v>
      </c>
      <c r="CE573" s="319" t="s">
        <v>190</v>
      </c>
      <c r="CF573" s="319" t="s">
        <v>190</v>
      </c>
      <c r="CG573" s="319" t="s">
        <v>190</v>
      </c>
      <c r="CH573" s="319" t="s">
        <v>190</v>
      </c>
      <c r="CI573" s="319" t="s">
        <v>190</v>
      </c>
      <c r="CJ573" s="319" t="s">
        <v>190</v>
      </c>
      <c r="CK573" s="319" t="s">
        <v>190</v>
      </c>
      <c r="CL573" s="319" t="s">
        <v>190</v>
      </c>
      <c r="CM573" s="319" t="s">
        <v>190</v>
      </c>
      <c r="CN573" s="319" t="s">
        <v>190</v>
      </c>
      <c r="CO573" s="319" t="s">
        <v>429</v>
      </c>
      <c r="CP573" s="319" t="s">
        <v>429</v>
      </c>
      <c r="CQ573" s="319" t="s">
        <v>190</v>
      </c>
      <c r="CR573" s="319" t="s">
        <v>190</v>
      </c>
      <c r="CS573" s="319" t="s">
        <v>190</v>
      </c>
      <c r="CT573" s="319" t="s">
        <v>190</v>
      </c>
      <c r="CU573" s="319" t="s">
        <v>190</v>
      </c>
      <c r="CV573" s="319" t="s">
        <v>190</v>
      </c>
      <c r="CW573" s="319" t="s">
        <v>190</v>
      </c>
      <c r="CX573" s="319" t="s">
        <v>190</v>
      </c>
      <c r="CY573" s="319" t="s">
        <v>190</v>
      </c>
      <c r="CZ573" s="319" t="s">
        <v>190</v>
      </c>
      <c r="DA573" s="319" t="s">
        <v>190</v>
      </c>
      <c r="DB573" s="319" t="s">
        <v>190</v>
      </c>
      <c r="DC573" s="319" t="s">
        <v>190</v>
      </c>
      <c r="DD573" s="319" t="s">
        <v>190</v>
      </c>
      <c r="DE573" s="319" t="s">
        <v>190</v>
      </c>
      <c r="DF573" s="319" t="s">
        <v>190</v>
      </c>
      <c r="DG573" s="319" t="s">
        <v>190</v>
      </c>
      <c r="DH573" s="319" t="s">
        <v>190</v>
      </c>
      <c r="DI573" s="319" t="s">
        <v>190</v>
      </c>
      <c r="DJ573" s="319" t="s">
        <v>190</v>
      </c>
      <c r="DK573" s="319" t="s">
        <v>190</v>
      </c>
      <c r="DL573" s="319" t="s">
        <v>190</v>
      </c>
      <c r="DM573" s="319" t="s">
        <v>190</v>
      </c>
      <c r="DN573" s="319" t="s">
        <v>190</v>
      </c>
      <c r="DO573" s="319" t="s">
        <v>190</v>
      </c>
      <c r="DP573" s="319" t="s">
        <v>429</v>
      </c>
      <c r="DQ573" s="319" t="s">
        <v>429</v>
      </c>
      <c r="DR573" s="319" t="s">
        <v>429</v>
      </c>
      <c r="DS573" s="319" t="s">
        <v>429</v>
      </c>
      <c r="DT573" s="319" t="s">
        <v>429</v>
      </c>
      <c r="DU573" s="319" t="s">
        <v>429</v>
      </c>
      <c r="DV573" s="319" t="s">
        <v>173</v>
      </c>
      <c r="DW573" s="319" t="s">
        <v>429</v>
      </c>
      <c r="DX573" s="319" t="s">
        <v>429</v>
      </c>
      <c r="DY573" s="319" t="s">
        <v>429</v>
      </c>
      <c r="DZ573" s="319" t="s">
        <v>429</v>
      </c>
      <c r="EA573" s="319" t="s">
        <v>429</v>
      </c>
      <c r="EB573" s="319" t="s">
        <v>429</v>
      </c>
      <c r="EC573" s="319" t="s">
        <v>429</v>
      </c>
      <c r="ED573" s="319" t="s">
        <v>429</v>
      </c>
      <c r="EE573" s="319" t="s">
        <v>190</v>
      </c>
      <c r="EF573" s="319" t="s">
        <v>190</v>
      </c>
      <c r="EG573" s="319" t="s">
        <v>190</v>
      </c>
      <c r="EH573" s="319" t="s">
        <v>190</v>
      </c>
      <c r="EI573" s="319" t="s">
        <v>190</v>
      </c>
      <c r="EJ573" s="319" t="s">
        <v>190</v>
      </c>
      <c r="EK573" s="319" t="s">
        <v>190</v>
      </c>
      <c r="EL573" s="319" t="s">
        <v>190</v>
      </c>
      <c r="EM573" s="319" t="s">
        <v>190</v>
      </c>
      <c r="EN573" s="319" t="s">
        <v>190</v>
      </c>
      <c r="EO573" s="319" t="s">
        <v>190</v>
      </c>
      <c r="EP573" s="319" t="s">
        <v>190</v>
      </c>
      <c r="EQ573" s="319" t="s">
        <v>190</v>
      </c>
      <c r="ER573" s="319" t="s">
        <v>190</v>
      </c>
      <c r="ES573" s="319" t="s">
        <v>190</v>
      </c>
      <c r="ET573" s="319" t="s">
        <v>190</v>
      </c>
      <c r="EU573" s="319" t="s">
        <v>190</v>
      </c>
      <c r="EV573" s="319" t="s">
        <v>190</v>
      </c>
      <c r="EW573" s="319" t="s">
        <v>190</v>
      </c>
      <c r="EX573" s="319" t="s">
        <v>190</v>
      </c>
      <c r="EY573" s="319" t="s">
        <v>190</v>
      </c>
      <c r="EZ573" s="319" t="s">
        <v>190</v>
      </c>
      <c r="FA573" s="319" t="s">
        <v>190</v>
      </c>
      <c r="FB573" s="319" t="s">
        <v>429</v>
      </c>
      <c r="FC573" s="319" t="s">
        <v>429</v>
      </c>
      <c r="FD573" s="319" t="s">
        <v>429</v>
      </c>
      <c r="FE573" s="319" t="s">
        <v>429</v>
      </c>
      <c r="FF573" s="319" t="s">
        <v>429</v>
      </c>
      <c r="FG573" s="319" t="s">
        <v>429</v>
      </c>
      <c r="FH573" s="319" t="s">
        <v>190</v>
      </c>
      <c r="FI573" s="319" t="s">
        <v>190</v>
      </c>
      <c r="FJ573" s="319" t="s">
        <v>190</v>
      </c>
      <c r="FK573" s="319" t="s">
        <v>190</v>
      </c>
      <c r="FL573" s="319" t="s">
        <v>190</v>
      </c>
      <c r="FM573" s="319" t="s">
        <v>190</v>
      </c>
      <c r="FN573" s="319" t="s">
        <v>190</v>
      </c>
      <c r="FO573" s="319" t="s">
        <v>190</v>
      </c>
      <c r="FP573" s="319" t="s">
        <v>190</v>
      </c>
      <c r="FQ573" s="319" t="s">
        <v>190</v>
      </c>
      <c r="FR573" s="319" t="s">
        <v>190</v>
      </c>
      <c r="FS573" s="319" t="s">
        <v>429</v>
      </c>
      <c r="FT573" s="319" t="s">
        <v>190</v>
      </c>
      <c r="FU573" s="319" t="s">
        <v>190</v>
      </c>
      <c r="FV573" s="319" t="s">
        <v>190</v>
      </c>
      <c r="FW573" s="319" t="s">
        <v>190</v>
      </c>
      <c r="FX573" s="319" t="s">
        <v>190</v>
      </c>
      <c r="FY573" s="319" t="s">
        <v>190</v>
      </c>
      <c r="FZ573" s="319" t="s">
        <v>190</v>
      </c>
      <c r="GA573" s="319" t="s">
        <v>190</v>
      </c>
      <c r="GB573" s="319" t="s">
        <v>190</v>
      </c>
      <c r="GC573" s="319" t="s">
        <v>190</v>
      </c>
      <c r="GD573" s="319" t="s">
        <v>190</v>
      </c>
      <c r="GE573" s="319" t="s">
        <v>190</v>
      </c>
      <c r="GF573" s="319" t="s">
        <v>190</v>
      </c>
      <c r="GG573" s="319" t="s">
        <v>190</v>
      </c>
      <c r="GH573" s="319" t="s">
        <v>190</v>
      </c>
      <c r="GI573" s="319" t="s">
        <v>190</v>
      </c>
      <c r="GJ573" s="319" t="s">
        <v>190</v>
      </c>
      <c r="GK573" s="319" t="s">
        <v>429</v>
      </c>
      <c r="GL573" s="319" t="s">
        <v>190</v>
      </c>
      <c r="GM573" s="319" t="s">
        <v>190</v>
      </c>
      <c r="GN573" s="319" t="s">
        <v>190</v>
      </c>
      <c r="GO573" s="319" t="s">
        <v>190</v>
      </c>
      <c r="GP573" s="319" t="s">
        <v>190</v>
      </c>
      <c r="GQ573" s="319" t="s">
        <v>429</v>
      </c>
      <c r="GR573" s="319" t="s">
        <v>190</v>
      </c>
      <c r="GS573" s="319" t="s">
        <v>190</v>
      </c>
      <c r="GT573" s="319" t="s">
        <v>190</v>
      </c>
      <c r="GU573" s="319" t="s">
        <v>190</v>
      </c>
      <c r="GV573" s="319" t="s">
        <v>190</v>
      </c>
      <c r="GW573" s="319" t="s">
        <v>190</v>
      </c>
      <c r="GX573" s="319" t="s">
        <v>190</v>
      </c>
      <c r="GY573" s="319" t="s">
        <v>190</v>
      </c>
      <c r="GZ573" s="319" t="s">
        <v>429</v>
      </c>
      <c r="HA573" s="319" t="s">
        <v>190</v>
      </c>
      <c r="HB573" s="319" t="s">
        <v>190</v>
      </c>
      <c r="HC573" s="319" t="s">
        <v>190</v>
      </c>
      <c r="HD573" s="319" t="s">
        <v>190</v>
      </c>
      <c r="HE573" s="319" t="s">
        <v>190</v>
      </c>
      <c r="HF573" s="319" t="s">
        <v>190</v>
      </c>
      <c r="HG573" s="319" t="s">
        <v>190</v>
      </c>
      <c r="HH573" s="319" t="s">
        <v>190</v>
      </c>
      <c r="HI573" s="319" t="s">
        <v>190</v>
      </c>
      <c r="HJ573" s="319" t="s">
        <v>190</v>
      </c>
      <c r="HK573" s="319" t="s">
        <v>190</v>
      </c>
      <c r="HL573" s="319" t="s">
        <v>190</v>
      </c>
      <c r="HM573" s="319" t="s">
        <v>190</v>
      </c>
      <c r="HN573" s="319" t="s">
        <v>190</v>
      </c>
      <c r="HO573" s="319" t="s">
        <v>190</v>
      </c>
      <c r="HP573" s="319" t="s">
        <v>190</v>
      </c>
      <c r="HQ573" s="319" t="s">
        <v>190</v>
      </c>
      <c r="HR573" s="319" t="s">
        <v>190</v>
      </c>
      <c r="HS573" s="319" t="s">
        <v>190</v>
      </c>
      <c r="HT573" s="319" t="s">
        <v>190</v>
      </c>
      <c r="HU573" s="319" t="s">
        <v>190</v>
      </c>
      <c r="HV573" s="319" t="s">
        <v>190</v>
      </c>
      <c r="HW573" s="319" t="s">
        <v>190</v>
      </c>
      <c r="HX573" s="319" t="s">
        <v>190</v>
      </c>
      <c r="HY573" s="319" t="s">
        <v>190</v>
      </c>
      <c r="HZ573" s="319" t="s">
        <v>190</v>
      </c>
      <c r="IA573" s="319" t="s">
        <v>190</v>
      </c>
      <c r="IB573" s="319" t="s">
        <v>190</v>
      </c>
      <c r="IC573" s="319" t="s">
        <v>190</v>
      </c>
      <c r="ID573" s="319" t="s">
        <v>190</v>
      </c>
      <c r="IE573" s="319" t="s">
        <v>190</v>
      </c>
      <c r="IF573" s="319" t="s">
        <v>190</v>
      </c>
      <c r="IG573" s="319" t="s">
        <v>190</v>
      </c>
      <c r="IH573" s="319" t="s">
        <v>190</v>
      </c>
      <c r="II573" s="319" t="s">
        <v>190</v>
      </c>
      <c r="IJ573" s="319" t="s">
        <v>3333</v>
      </c>
      <c r="IK573" s="321">
        <v>41583</v>
      </c>
      <c r="IL573" s="321">
        <v>41585</v>
      </c>
      <c r="IM573" s="321">
        <v>41604</v>
      </c>
      <c r="IN573" s="319">
        <v>2</v>
      </c>
      <c r="IO573" s="319" t="s">
        <v>173</v>
      </c>
      <c r="IP573" s="319" t="s">
        <v>173</v>
      </c>
      <c r="IQ573" s="319" t="s">
        <v>173</v>
      </c>
      <c r="IR573" s="320" t="s">
        <v>173</v>
      </c>
      <c r="IS573" s="320" t="s">
        <v>173</v>
      </c>
      <c r="IT573" s="319" t="s">
        <v>173</v>
      </c>
    </row>
    <row r="574" spans="1:254" s="271" customFormat="1" x14ac:dyDescent="0.25">
      <c r="A574" s="318" t="str">
        <f>HYPERLINK("http://www.ofsted.gov.uk/inspection-reports/find-inspection-report/provider/ELS/135839 ","Ofsted School Webpage")</f>
        <v>Ofsted School Webpage</v>
      </c>
      <c r="B574" s="319">
        <v>135839</v>
      </c>
      <c r="C574" s="319">
        <v>3086305</v>
      </c>
      <c r="D574" s="319" t="s">
        <v>2001</v>
      </c>
      <c r="E574" s="319" t="s">
        <v>167</v>
      </c>
      <c r="F574" s="319" t="s">
        <v>81</v>
      </c>
      <c r="G574" s="319" t="s">
        <v>81</v>
      </c>
      <c r="H574" s="319" t="s">
        <v>81</v>
      </c>
      <c r="I574" s="319" t="s">
        <v>78</v>
      </c>
      <c r="J574" s="319" t="s">
        <v>424</v>
      </c>
      <c r="K574" s="319" t="s">
        <v>441</v>
      </c>
      <c r="L574" s="319" t="s">
        <v>441</v>
      </c>
      <c r="M574" s="319" t="s">
        <v>561</v>
      </c>
      <c r="N574" s="319" t="s">
        <v>2840</v>
      </c>
      <c r="O574" s="319" t="s">
        <v>3334</v>
      </c>
      <c r="P574" s="319">
        <v>22</v>
      </c>
      <c r="Q574" s="319" t="s">
        <v>2776</v>
      </c>
      <c r="R574" s="320">
        <v>10026296</v>
      </c>
      <c r="S574" s="321">
        <v>43039</v>
      </c>
      <c r="T574" s="321">
        <v>43041</v>
      </c>
      <c r="U574" s="321">
        <v>43066</v>
      </c>
      <c r="V574" s="319" t="s">
        <v>425</v>
      </c>
      <c r="W574" s="319" t="s">
        <v>2767</v>
      </c>
      <c r="X574" s="319">
        <v>1</v>
      </c>
      <c r="Y574" s="319" t="s">
        <v>173</v>
      </c>
      <c r="Z574" s="319" t="s">
        <v>173</v>
      </c>
      <c r="AA574" s="319" t="s">
        <v>173</v>
      </c>
      <c r="AB574" s="319">
        <v>1</v>
      </c>
      <c r="AC574" s="319" t="s">
        <v>169</v>
      </c>
      <c r="AD574" s="319" t="s">
        <v>173</v>
      </c>
      <c r="AE574" s="319" t="s">
        <v>173</v>
      </c>
      <c r="AF574" s="319" t="s">
        <v>173</v>
      </c>
      <c r="AG574" s="319" t="s">
        <v>171</v>
      </c>
      <c r="AH574" s="319" t="s">
        <v>190</v>
      </c>
      <c r="AI574" s="319" t="s">
        <v>190</v>
      </c>
      <c r="AJ574" s="319" t="s">
        <v>190</v>
      </c>
      <c r="AK574" s="319" t="s">
        <v>190</v>
      </c>
      <c r="AL574" s="319" t="s">
        <v>190</v>
      </c>
      <c r="AM574" s="319" t="s">
        <v>190</v>
      </c>
      <c r="AN574" s="319" t="s">
        <v>190</v>
      </c>
      <c r="AO574" s="319" t="s">
        <v>190</v>
      </c>
      <c r="AP574" s="319" t="s">
        <v>190</v>
      </c>
      <c r="AQ574" s="319" t="s">
        <v>190</v>
      </c>
      <c r="AR574" s="319" t="s">
        <v>190</v>
      </c>
      <c r="AS574" s="319" t="s">
        <v>190</v>
      </c>
      <c r="AT574" s="319" t="s">
        <v>190</v>
      </c>
      <c r="AU574" s="319" t="s">
        <v>190</v>
      </c>
      <c r="AV574" s="319" t="s">
        <v>190</v>
      </c>
      <c r="AW574" s="319" t="s">
        <v>190</v>
      </c>
      <c r="AX574" s="319" t="s">
        <v>429</v>
      </c>
      <c r="AY574" s="319" t="s">
        <v>190</v>
      </c>
      <c r="AZ574" s="319" t="s">
        <v>190</v>
      </c>
      <c r="BA574" s="319" t="s">
        <v>190</v>
      </c>
      <c r="BB574" s="319" t="s">
        <v>190</v>
      </c>
      <c r="BC574" s="319" t="s">
        <v>190</v>
      </c>
      <c r="BD574" s="319" t="s">
        <v>190</v>
      </c>
      <c r="BE574" s="319" t="s">
        <v>190</v>
      </c>
      <c r="BF574" s="319" t="s">
        <v>429</v>
      </c>
      <c r="BG574" s="319" t="s">
        <v>429</v>
      </c>
      <c r="BH574" s="319" t="s">
        <v>190</v>
      </c>
      <c r="BI574" s="319" t="s">
        <v>190</v>
      </c>
      <c r="BJ574" s="319" t="s">
        <v>190</v>
      </c>
      <c r="BK574" s="319" t="s">
        <v>190</v>
      </c>
      <c r="BL574" s="319" t="s">
        <v>190</v>
      </c>
      <c r="BM574" s="319" t="s">
        <v>190</v>
      </c>
      <c r="BN574" s="319" t="s">
        <v>190</v>
      </c>
      <c r="BO574" s="319" t="s">
        <v>190</v>
      </c>
      <c r="BP574" s="319" t="s">
        <v>190</v>
      </c>
      <c r="BQ574" s="319" t="s">
        <v>190</v>
      </c>
      <c r="BR574" s="319" t="s">
        <v>190</v>
      </c>
      <c r="BS574" s="319" t="s">
        <v>190</v>
      </c>
      <c r="BT574" s="319" t="s">
        <v>190</v>
      </c>
      <c r="BU574" s="319" t="s">
        <v>190</v>
      </c>
      <c r="BV574" s="319" t="s">
        <v>190</v>
      </c>
      <c r="BW574" s="319" t="s">
        <v>190</v>
      </c>
      <c r="BX574" s="319" t="s">
        <v>190</v>
      </c>
      <c r="BY574" s="319" t="s">
        <v>190</v>
      </c>
      <c r="BZ574" s="319" t="s">
        <v>190</v>
      </c>
      <c r="CA574" s="319" t="s">
        <v>190</v>
      </c>
      <c r="CB574" s="319" t="s">
        <v>190</v>
      </c>
      <c r="CC574" s="319" t="s">
        <v>190</v>
      </c>
      <c r="CD574" s="319" t="s">
        <v>190</v>
      </c>
      <c r="CE574" s="319" t="s">
        <v>190</v>
      </c>
      <c r="CF574" s="319" t="s">
        <v>190</v>
      </c>
      <c r="CG574" s="319" t="s">
        <v>190</v>
      </c>
      <c r="CH574" s="319" t="s">
        <v>190</v>
      </c>
      <c r="CI574" s="319" t="s">
        <v>190</v>
      </c>
      <c r="CJ574" s="319" t="s">
        <v>190</v>
      </c>
      <c r="CK574" s="319" t="s">
        <v>190</v>
      </c>
      <c r="CL574" s="319" t="s">
        <v>190</v>
      </c>
      <c r="CM574" s="319" t="s">
        <v>190</v>
      </c>
      <c r="CN574" s="319" t="s">
        <v>429</v>
      </c>
      <c r="CO574" s="319" t="s">
        <v>429</v>
      </c>
      <c r="CP574" s="319" t="s">
        <v>429</v>
      </c>
      <c r="CQ574" s="319" t="s">
        <v>190</v>
      </c>
      <c r="CR574" s="319" t="s">
        <v>190</v>
      </c>
      <c r="CS574" s="319" t="s">
        <v>190</v>
      </c>
      <c r="CT574" s="319" t="s">
        <v>190</v>
      </c>
      <c r="CU574" s="319" t="s">
        <v>190</v>
      </c>
      <c r="CV574" s="319" t="s">
        <v>190</v>
      </c>
      <c r="CW574" s="319" t="s">
        <v>190</v>
      </c>
      <c r="CX574" s="319" t="s">
        <v>190</v>
      </c>
      <c r="CY574" s="319" t="s">
        <v>190</v>
      </c>
      <c r="CZ574" s="319" t="s">
        <v>190</v>
      </c>
      <c r="DA574" s="319" t="s">
        <v>190</v>
      </c>
      <c r="DB574" s="319" t="s">
        <v>190</v>
      </c>
      <c r="DC574" s="319" t="s">
        <v>190</v>
      </c>
      <c r="DD574" s="319" t="s">
        <v>190</v>
      </c>
      <c r="DE574" s="319" t="s">
        <v>190</v>
      </c>
      <c r="DF574" s="319" t="s">
        <v>190</v>
      </c>
      <c r="DG574" s="319" t="s">
        <v>190</v>
      </c>
      <c r="DH574" s="319" t="s">
        <v>190</v>
      </c>
      <c r="DI574" s="319" t="s">
        <v>190</v>
      </c>
      <c r="DJ574" s="319" t="s">
        <v>190</v>
      </c>
      <c r="DK574" s="319" t="s">
        <v>190</v>
      </c>
      <c r="DL574" s="319" t="s">
        <v>190</v>
      </c>
      <c r="DM574" s="319" t="s">
        <v>190</v>
      </c>
      <c r="DN574" s="319" t="s">
        <v>429</v>
      </c>
      <c r="DO574" s="319" t="s">
        <v>190</v>
      </c>
      <c r="DP574" s="319" t="s">
        <v>190</v>
      </c>
      <c r="DQ574" s="319" t="s">
        <v>190</v>
      </c>
      <c r="DR574" s="319" t="s">
        <v>190</v>
      </c>
      <c r="DS574" s="319" t="s">
        <v>190</v>
      </c>
      <c r="DT574" s="319" t="s">
        <v>190</v>
      </c>
      <c r="DU574" s="319" t="s">
        <v>190</v>
      </c>
      <c r="DV574" s="319" t="s">
        <v>173</v>
      </c>
      <c r="DW574" s="319" t="s">
        <v>190</v>
      </c>
      <c r="DX574" s="319" t="s">
        <v>190</v>
      </c>
      <c r="DY574" s="319" t="s">
        <v>190</v>
      </c>
      <c r="DZ574" s="319" t="s">
        <v>190</v>
      </c>
      <c r="EA574" s="319" t="s">
        <v>190</v>
      </c>
      <c r="EB574" s="319" t="s">
        <v>190</v>
      </c>
      <c r="EC574" s="319" t="s">
        <v>429</v>
      </c>
      <c r="ED574" s="319" t="s">
        <v>190</v>
      </c>
      <c r="EE574" s="319" t="s">
        <v>190</v>
      </c>
      <c r="EF574" s="319" t="s">
        <v>190</v>
      </c>
      <c r="EG574" s="319" t="s">
        <v>190</v>
      </c>
      <c r="EH574" s="319" t="s">
        <v>190</v>
      </c>
      <c r="EI574" s="319" t="s">
        <v>190</v>
      </c>
      <c r="EJ574" s="319" t="s">
        <v>190</v>
      </c>
      <c r="EK574" s="319" t="s">
        <v>190</v>
      </c>
      <c r="EL574" s="319" t="s">
        <v>190</v>
      </c>
      <c r="EM574" s="319" t="s">
        <v>190</v>
      </c>
      <c r="EN574" s="319" t="s">
        <v>190</v>
      </c>
      <c r="EO574" s="319" t="s">
        <v>190</v>
      </c>
      <c r="EP574" s="319" t="s">
        <v>190</v>
      </c>
      <c r="EQ574" s="319" t="s">
        <v>190</v>
      </c>
      <c r="ER574" s="319" t="s">
        <v>190</v>
      </c>
      <c r="ES574" s="319" t="s">
        <v>190</v>
      </c>
      <c r="ET574" s="319" t="s">
        <v>190</v>
      </c>
      <c r="EU574" s="319" t="s">
        <v>190</v>
      </c>
      <c r="EV574" s="319" t="s">
        <v>190</v>
      </c>
      <c r="EW574" s="319" t="s">
        <v>190</v>
      </c>
      <c r="EX574" s="319" t="s">
        <v>190</v>
      </c>
      <c r="EY574" s="319" t="s">
        <v>190</v>
      </c>
      <c r="EZ574" s="319" t="s">
        <v>190</v>
      </c>
      <c r="FA574" s="319" t="s">
        <v>190</v>
      </c>
      <c r="FB574" s="319" t="s">
        <v>190</v>
      </c>
      <c r="FC574" s="319" t="s">
        <v>190</v>
      </c>
      <c r="FD574" s="319" t="s">
        <v>190</v>
      </c>
      <c r="FE574" s="319" t="s">
        <v>190</v>
      </c>
      <c r="FF574" s="319" t="s">
        <v>190</v>
      </c>
      <c r="FG574" s="319" t="s">
        <v>190</v>
      </c>
      <c r="FH574" s="319" t="s">
        <v>190</v>
      </c>
      <c r="FI574" s="319" t="s">
        <v>190</v>
      </c>
      <c r="FJ574" s="319" t="s">
        <v>190</v>
      </c>
      <c r="FK574" s="319" t="s">
        <v>190</v>
      </c>
      <c r="FL574" s="319" t="s">
        <v>190</v>
      </c>
      <c r="FM574" s="319" t="s">
        <v>190</v>
      </c>
      <c r="FN574" s="319" t="s">
        <v>190</v>
      </c>
      <c r="FO574" s="319" t="s">
        <v>190</v>
      </c>
      <c r="FP574" s="319" t="s">
        <v>190</v>
      </c>
      <c r="FQ574" s="319" t="s">
        <v>190</v>
      </c>
      <c r="FR574" s="319" t="s">
        <v>190</v>
      </c>
      <c r="FS574" s="319" t="s">
        <v>190</v>
      </c>
      <c r="FT574" s="319" t="s">
        <v>190</v>
      </c>
      <c r="FU574" s="319" t="s">
        <v>190</v>
      </c>
      <c r="FV574" s="319" t="s">
        <v>190</v>
      </c>
      <c r="FW574" s="319" t="s">
        <v>190</v>
      </c>
      <c r="FX574" s="319" t="s">
        <v>190</v>
      </c>
      <c r="FY574" s="319" t="s">
        <v>190</v>
      </c>
      <c r="FZ574" s="319" t="s">
        <v>190</v>
      </c>
      <c r="GA574" s="319" t="s">
        <v>190</v>
      </c>
      <c r="GB574" s="319" t="s">
        <v>190</v>
      </c>
      <c r="GC574" s="319" t="s">
        <v>190</v>
      </c>
      <c r="GD574" s="319" t="s">
        <v>190</v>
      </c>
      <c r="GE574" s="319" t="s">
        <v>190</v>
      </c>
      <c r="GF574" s="319" t="s">
        <v>190</v>
      </c>
      <c r="GG574" s="319" t="s">
        <v>190</v>
      </c>
      <c r="GH574" s="319" t="s">
        <v>190</v>
      </c>
      <c r="GI574" s="319" t="s">
        <v>190</v>
      </c>
      <c r="GJ574" s="319" t="s">
        <v>190</v>
      </c>
      <c r="GK574" s="319" t="s">
        <v>190</v>
      </c>
      <c r="GL574" s="319" t="s">
        <v>190</v>
      </c>
      <c r="GM574" s="319" t="s">
        <v>190</v>
      </c>
      <c r="GN574" s="319" t="s">
        <v>190</v>
      </c>
      <c r="GO574" s="319" t="s">
        <v>190</v>
      </c>
      <c r="GP574" s="319" t="s">
        <v>190</v>
      </c>
      <c r="GQ574" s="319" t="s">
        <v>429</v>
      </c>
      <c r="GR574" s="319" t="s">
        <v>190</v>
      </c>
      <c r="GS574" s="319" t="s">
        <v>190</v>
      </c>
      <c r="GT574" s="319" t="s">
        <v>190</v>
      </c>
      <c r="GU574" s="319" t="s">
        <v>190</v>
      </c>
      <c r="GV574" s="319" t="s">
        <v>190</v>
      </c>
      <c r="GW574" s="319" t="s">
        <v>190</v>
      </c>
      <c r="GX574" s="319" t="s">
        <v>190</v>
      </c>
      <c r="GY574" s="319" t="s">
        <v>190</v>
      </c>
      <c r="GZ574" s="319" t="s">
        <v>190</v>
      </c>
      <c r="HA574" s="319" t="s">
        <v>429</v>
      </c>
      <c r="HB574" s="319" t="s">
        <v>190</v>
      </c>
      <c r="HC574" s="319" t="s">
        <v>190</v>
      </c>
      <c r="HD574" s="319" t="s">
        <v>190</v>
      </c>
      <c r="HE574" s="319" t="s">
        <v>190</v>
      </c>
      <c r="HF574" s="319" t="s">
        <v>190</v>
      </c>
      <c r="HG574" s="319" t="s">
        <v>190</v>
      </c>
      <c r="HH574" s="319" t="s">
        <v>190</v>
      </c>
      <c r="HI574" s="319" t="s">
        <v>190</v>
      </c>
      <c r="HJ574" s="319" t="s">
        <v>190</v>
      </c>
      <c r="HK574" s="319" t="s">
        <v>190</v>
      </c>
      <c r="HL574" s="319" t="s">
        <v>429</v>
      </c>
      <c r="HM574" s="319" t="s">
        <v>429</v>
      </c>
      <c r="HN574" s="319" t="s">
        <v>429</v>
      </c>
      <c r="HO574" s="319" t="s">
        <v>429</v>
      </c>
      <c r="HP574" s="319" t="s">
        <v>190</v>
      </c>
      <c r="HQ574" s="319" t="s">
        <v>190</v>
      </c>
      <c r="HR574" s="319" t="s">
        <v>190</v>
      </c>
      <c r="HS574" s="319" t="s">
        <v>190</v>
      </c>
      <c r="HT574" s="319" t="s">
        <v>190</v>
      </c>
      <c r="HU574" s="319" t="s">
        <v>190</v>
      </c>
      <c r="HV574" s="319" t="s">
        <v>190</v>
      </c>
      <c r="HW574" s="319" t="s">
        <v>190</v>
      </c>
      <c r="HX574" s="319" t="s">
        <v>190</v>
      </c>
      <c r="HY574" s="319" t="s">
        <v>190</v>
      </c>
      <c r="HZ574" s="319" t="s">
        <v>190</v>
      </c>
      <c r="IA574" s="319" t="s">
        <v>190</v>
      </c>
      <c r="IB574" s="319" t="s">
        <v>190</v>
      </c>
      <c r="IC574" s="319" t="s">
        <v>190</v>
      </c>
      <c r="ID574" s="319" t="s">
        <v>190</v>
      </c>
      <c r="IE574" s="319" t="s">
        <v>190</v>
      </c>
      <c r="IF574" s="319" t="s">
        <v>190</v>
      </c>
      <c r="IG574" s="319" t="s">
        <v>190</v>
      </c>
      <c r="IH574" s="319" t="s">
        <v>190</v>
      </c>
      <c r="II574" s="319" t="s">
        <v>190</v>
      </c>
      <c r="IJ574" s="319" t="s">
        <v>3335</v>
      </c>
      <c r="IK574" s="321">
        <v>41618</v>
      </c>
      <c r="IL574" s="321">
        <v>41620</v>
      </c>
      <c r="IM574" s="321">
        <v>41648</v>
      </c>
      <c r="IN574" s="319">
        <v>2</v>
      </c>
      <c r="IO574" s="319" t="s">
        <v>173</v>
      </c>
      <c r="IP574" s="319" t="s">
        <v>173</v>
      </c>
      <c r="IQ574" s="321" t="s">
        <v>173</v>
      </c>
      <c r="IR574" s="320" t="s">
        <v>173</v>
      </c>
      <c r="IS574" s="322" t="s">
        <v>173</v>
      </c>
      <c r="IT574" s="319" t="s">
        <v>173</v>
      </c>
    </row>
    <row r="575" spans="1:254" s="271" customFormat="1" x14ac:dyDescent="0.25">
      <c r="A575" s="318" t="str">
        <f>HYPERLINK("http://www.ofsted.gov.uk/inspection-reports/find-inspection-report/provider/ELS/135858 ","Ofsted School Webpage")</f>
        <v>Ofsted School Webpage</v>
      </c>
      <c r="B575" s="319">
        <v>135858</v>
      </c>
      <c r="C575" s="319">
        <v>8566022</v>
      </c>
      <c r="D575" s="319" t="s">
        <v>520</v>
      </c>
      <c r="E575" s="319" t="s">
        <v>167</v>
      </c>
      <c r="F575" s="319" t="s">
        <v>81</v>
      </c>
      <c r="G575" s="319" t="s">
        <v>72</v>
      </c>
      <c r="H575" s="319" t="s">
        <v>72</v>
      </c>
      <c r="I575" s="319" t="s">
        <v>72</v>
      </c>
      <c r="J575" s="319" t="s">
        <v>424</v>
      </c>
      <c r="K575" s="319" t="s">
        <v>506</v>
      </c>
      <c r="L575" s="319" t="s">
        <v>506</v>
      </c>
      <c r="M575" s="319" t="s">
        <v>521</v>
      </c>
      <c r="N575" s="319" t="s">
        <v>2997</v>
      </c>
      <c r="O575" s="319" t="s">
        <v>522</v>
      </c>
      <c r="P575" s="319">
        <v>262</v>
      </c>
      <c r="Q575" s="319" t="s">
        <v>2766</v>
      </c>
      <c r="R575" s="320">
        <v>10053979</v>
      </c>
      <c r="S575" s="321">
        <v>43375</v>
      </c>
      <c r="T575" s="321">
        <v>43377</v>
      </c>
      <c r="U575" s="321">
        <v>43415</v>
      </c>
      <c r="V575" s="319" t="s">
        <v>425</v>
      </c>
      <c r="W575" s="319" t="s">
        <v>2767</v>
      </c>
      <c r="X575" s="319">
        <v>2</v>
      </c>
      <c r="Y575" s="319" t="s">
        <v>173</v>
      </c>
      <c r="Z575" s="319" t="s">
        <v>173</v>
      </c>
      <c r="AA575" s="319" t="s">
        <v>173</v>
      </c>
      <c r="AB575" s="319">
        <v>2</v>
      </c>
      <c r="AC575" s="319" t="s">
        <v>169</v>
      </c>
      <c r="AD575" s="319">
        <v>2</v>
      </c>
      <c r="AE575" s="319" t="s">
        <v>173</v>
      </c>
      <c r="AF575" s="319" t="s">
        <v>427</v>
      </c>
      <c r="AG575" s="319" t="s">
        <v>171</v>
      </c>
      <c r="AH575" s="319" t="s">
        <v>190</v>
      </c>
      <c r="AI575" s="319" t="s">
        <v>190</v>
      </c>
      <c r="AJ575" s="319" t="s">
        <v>190</v>
      </c>
      <c r="AK575" s="319" t="s">
        <v>190</v>
      </c>
      <c r="AL575" s="319" t="s">
        <v>190</v>
      </c>
      <c r="AM575" s="319" t="s">
        <v>190</v>
      </c>
      <c r="AN575" s="319" t="s">
        <v>190</v>
      </c>
      <c r="AO575" s="319" t="s">
        <v>190</v>
      </c>
      <c r="AP575" s="319" t="s">
        <v>190</v>
      </c>
      <c r="AQ575" s="319" t="s">
        <v>190</v>
      </c>
      <c r="AR575" s="319" t="s">
        <v>190</v>
      </c>
      <c r="AS575" s="319" t="s">
        <v>190</v>
      </c>
      <c r="AT575" s="319" t="s">
        <v>190</v>
      </c>
      <c r="AU575" s="319" t="s">
        <v>190</v>
      </c>
      <c r="AV575" s="319" t="s">
        <v>190</v>
      </c>
      <c r="AW575" s="319" t="s">
        <v>190</v>
      </c>
      <c r="AX575" s="319" t="s">
        <v>428</v>
      </c>
      <c r="AY575" s="319" t="s">
        <v>190</v>
      </c>
      <c r="AZ575" s="319" t="s">
        <v>190</v>
      </c>
      <c r="BA575" s="319" t="s">
        <v>190</v>
      </c>
      <c r="BB575" s="319" t="s">
        <v>428</v>
      </c>
      <c r="BC575" s="319" t="s">
        <v>428</v>
      </c>
      <c r="BD575" s="319" t="s">
        <v>428</v>
      </c>
      <c r="BE575" s="319" t="s">
        <v>428</v>
      </c>
      <c r="BF575" s="319" t="s">
        <v>190</v>
      </c>
      <c r="BG575" s="319" t="s">
        <v>428</v>
      </c>
      <c r="BH575" s="319" t="s">
        <v>190</v>
      </c>
      <c r="BI575" s="319" t="s">
        <v>190</v>
      </c>
      <c r="BJ575" s="319" t="s">
        <v>190</v>
      </c>
      <c r="BK575" s="319" t="s">
        <v>190</v>
      </c>
      <c r="BL575" s="319" t="s">
        <v>190</v>
      </c>
      <c r="BM575" s="319" t="s">
        <v>190</v>
      </c>
      <c r="BN575" s="319" t="s">
        <v>190</v>
      </c>
      <c r="BO575" s="319" t="s">
        <v>190</v>
      </c>
      <c r="BP575" s="319" t="s">
        <v>190</v>
      </c>
      <c r="BQ575" s="319" t="s">
        <v>190</v>
      </c>
      <c r="BR575" s="319" t="s">
        <v>190</v>
      </c>
      <c r="BS575" s="319" t="s">
        <v>190</v>
      </c>
      <c r="BT575" s="319" t="s">
        <v>190</v>
      </c>
      <c r="BU575" s="319" t="s">
        <v>190</v>
      </c>
      <c r="BV575" s="319" t="s">
        <v>190</v>
      </c>
      <c r="BW575" s="319" t="s">
        <v>190</v>
      </c>
      <c r="BX575" s="319" t="s">
        <v>190</v>
      </c>
      <c r="BY575" s="319" t="s">
        <v>190</v>
      </c>
      <c r="BZ575" s="319" t="s">
        <v>190</v>
      </c>
      <c r="CA575" s="319" t="s">
        <v>190</v>
      </c>
      <c r="CB575" s="319" t="s">
        <v>190</v>
      </c>
      <c r="CC575" s="319" t="s">
        <v>190</v>
      </c>
      <c r="CD575" s="319" t="s">
        <v>190</v>
      </c>
      <c r="CE575" s="319" t="s">
        <v>190</v>
      </c>
      <c r="CF575" s="319" t="s">
        <v>190</v>
      </c>
      <c r="CG575" s="319" t="s">
        <v>190</v>
      </c>
      <c r="CH575" s="319" t="s">
        <v>190</v>
      </c>
      <c r="CI575" s="319" t="s">
        <v>190</v>
      </c>
      <c r="CJ575" s="319" t="s">
        <v>190</v>
      </c>
      <c r="CK575" s="319" t="s">
        <v>190</v>
      </c>
      <c r="CL575" s="319" t="s">
        <v>190</v>
      </c>
      <c r="CM575" s="319" t="s">
        <v>190</v>
      </c>
      <c r="CN575" s="319" t="s">
        <v>428</v>
      </c>
      <c r="CO575" s="319" t="s">
        <v>428</v>
      </c>
      <c r="CP575" s="319" t="s">
        <v>428</v>
      </c>
      <c r="CQ575" s="319" t="s">
        <v>190</v>
      </c>
      <c r="CR575" s="319" t="s">
        <v>190</v>
      </c>
      <c r="CS575" s="319" t="s">
        <v>190</v>
      </c>
      <c r="CT575" s="319" t="s">
        <v>190</v>
      </c>
      <c r="CU575" s="319" t="s">
        <v>190</v>
      </c>
      <c r="CV575" s="319" t="s">
        <v>190</v>
      </c>
      <c r="CW575" s="319" t="s">
        <v>190</v>
      </c>
      <c r="CX575" s="319" t="s">
        <v>190</v>
      </c>
      <c r="CY575" s="319" t="s">
        <v>190</v>
      </c>
      <c r="CZ575" s="319" t="s">
        <v>190</v>
      </c>
      <c r="DA575" s="319" t="s">
        <v>190</v>
      </c>
      <c r="DB575" s="319" t="s">
        <v>190</v>
      </c>
      <c r="DC575" s="319" t="s">
        <v>190</v>
      </c>
      <c r="DD575" s="319" t="s">
        <v>190</v>
      </c>
      <c r="DE575" s="319" t="s">
        <v>190</v>
      </c>
      <c r="DF575" s="319" t="s">
        <v>190</v>
      </c>
      <c r="DG575" s="319" t="s">
        <v>190</v>
      </c>
      <c r="DH575" s="319" t="s">
        <v>190</v>
      </c>
      <c r="DI575" s="319" t="s">
        <v>190</v>
      </c>
      <c r="DJ575" s="319" t="s">
        <v>190</v>
      </c>
      <c r="DK575" s="319" t="s">
        <v>190</v>
      </c>
      <c r="DL575" s="319" t="s">
        <v>190</v>
      </c>
      <c r="DM575" s="319" t="s">
        <v>428</v>
      </c>
      <c r="DN575" s="319" t="s">
        <v>428</v>
      </c>
      <c r="DO575" s="319" t="s">
        <v>190</v>
      </c>
      <c r="DP575" s="319" t="s">
        <v>428</v>
      </c>
      <c r="DQ575" s="319" t="s">
        <v>428</v>
      </c>
      <c r="DR575" s="319" t="s">
        <v>428</v>
      </c>
      <c r="DS575" s="319" t="s">
        <v>428</v>
      </c>
      <c r="DT575" s="319" t="s">
        <v>428</v>
      </c>
      <c r="DU575" s="319" t="s">
        <v>428</v>
      </c>
      <c r="DV575" s="319" t="s">
        <v>173</v>
      </c>
      <c r="DW575" s="319" t="s">
        <v>428</v>
      </c>
      <c r="DX575" s="319" t="s">
        <v>428</v>
      </c>
      <c r="DY575" s="319" t="s">
        <v>428</v>
      </c>
      <c r="DZ575" s="319" t="s">
        <v>428</v>
      </c>
      <c r="EA575" s="319" t="s">
        <v>428</v>
      </c>
      <c r="EB575" s="319" t="s">
        <v>428</v>
      </c>
      <c r="EC575" s="319" t="s">
        <v>428</v>
      </c>
      <c r="ED575" s="319" t="s">
        <v>428</v>
      </c>
      <c r="EE575" s="319" t="s">
        <v>190</v>
      </c>
      <c r="EF575" s="319" t="s">
        <v>190</v>
      </c>
      <c r="EG575" s="319" t="s">
        <v>190</v>
      </c>
      <c r="EH575" s="319" t="s">
        <v>190</v>
      </c>
      <c r="EI575" s="319" t="s">
        <v>190</v>
      </c>
      <c r="EJ575" s="319" t="s">
        <v>190</v>
      </c>
      <c r="EK575" s="319" t="s">
        <v>190</v>
      </c>
      <c r="EL575" s="319" t="s">
        <v>190</v>
      </c>
      <c r="EM575" s="319" t="s">
        <v>190</v>
      </c>
      <c r="EN575" s="319" t="s">
        <v>190</v>
      </c>
      <c r="EO575" s="319" t="s">
        <v>190</v>
      </c>
      <c r="EP575" s="319" t="s">
        <v>190</v>
      </c>
      <c r="EQ575" s="319" t="s">
        <v>190</v>
      </c>
      <c r="ER575" s="319" t="s">
        <v>190</v>
      </c>
      <c r="ES575" s="319" t="s">
        <v>190</v>
      </c>
      <c r="ET575" s="319" t="s">
        <v>190</v>
      </c>
      <c r="EU575" s="319" t="s">
        <v>190</v>
      </c>
      <c r="EV575" s="319" t="s">
        <v>190</v>
      </c>
      <c r="EW575" s="319" t="s">
        <v>190</v>
      </c>
      <c r="EX575" s="319" t="s">
        <v>190</v>
      </c>
      <c r="EY575" s="319" t="s">
        <v>190</v>
      </c>
      <c r="EZ575" s="319" t="s">
        <v>190</v>
      </c>
      <c r="FA575" s="319" t="s">
        <v>428</v>
      </c>
      <c r="FB575" s="319" t="s">
        <v>428</v>
      </c>
      <c r="FC575" s="319" t="s">
        <v>428</v>
      </c>
      <c r="FD575" s="319" t="s">
        <v>428</v>
      </c>
      <c r="FE575" s="319" t="s">
        <v>428</v>
      </c>
      <c r="FF575" s="319" t="s">
        <v>428</v>
      </c>
      <c r="FG575" s="319" t="s">
        <v>428</v>
      </c>
      <c r="FH575" s="319" t="s">
        <v>190</v>
      </c>
      <c r="FI575" s="319" t="s">
        <v>428</v>
      </c>
      <c r="FJ575" s="319" t="s">
        <v>429</v>
      </c>
      <c r="FK575" s="319" t="s">
        <v>428</v>
      </c>
      <c r="FL575" s="319" t="s">
        <v>190</v>
      </c>
      <c r="FM575" s="319" t="s">
        <v>190</v>
      </c>
      <c r="FN575" s="319" t="s">
        <v>190</v>
      </c>
      <c r="FO575" s="319" t="s">
        <v>428</v>
      </c>
      <c r="FP575" s="319" t="s">
        <v>190</v>
      </c>
      <c r="FQ575" s="319" t="s">
        <v>190</v>
      </c>
      <c r="FR575" s="319" t="s">
        <v>190</v>
      </c>
      <c r="FS575" s="319" t="s">
        <v>428</v>
      </c>
      <c r="FT575" s="319" t="s">
        <v>190</v>
      </c>
      <c r="FU575" s="319" t="s">
        <v>190</v>
      </c>
      <c r="FV575" s="319" t="s">
        <v>190</v>
      </c>
      <c r="FW575" s="319" t="s">
        <v>190</v>
      </c>
      <c r="FX575" s="319" t="s">
        <v>190</v>
      </c>
      <c r="FY575" s="319" t="s">
        <v>190</v>
      </c>
      <c r="FZ575" s="319" t="s">
        <v>190</v>
      </c>
      <c r="GA575" s="319" t="s">
        <v>190</v>
      </c>
      <c r="GB575" s="319" t="s">
        <v>190</v>
      </c>
      <c r="GC575" s="319" t="s">
        <v>190</v>
      </c>
      <c r="GD575" s="319" t="s">
        <v>190</v>
      </c>
      <c r="GE575" s="319" t="s">
        <v>190</v>
      </c>
      <c r="GF575" s="319" t="s">
        <v>190</v>
      </c>
      <c r="GG575" s="319" t="s">
        <v>190</v>
      </c>
      <c r="GH575" s="319" t="s">
        <v>190</v>
      </c>
      <c r="GI575" s="319" t="s">
        <v>190</v>
      </c>
      <c r="GJ575" s="319" t="s">
        <v>190</v>
      </c>
      <c r="GK575" s="319" t="s">
        <v>428</v>
      </c>
      <c r="GL575" s="319" t="s">
        <v>190</v>
      </c>
      <c r="GM575" s="319" t="s">
        <v>190</v>
      </c>
      <c r="GN575" s="319" t="s">
        <v>190</v>
      </c>
      <c r="GO575" s="319" t="s">
        <v>190</v>
      </c>
      <c r="GP575" s="319" t="s">
        <v>190</v>
      </c>
      <c r="GQ575" s="319" t="s">
        <v>428</v>
      </c>
      <c r="GR575" s="319" t="s">
        <v>190</v>
      </c>
      <c r="GS575" s="319" t="s">
        <v>190</v>
      </c>
      <c r="GT575" s="319" t="s">
        <v>428</v>
      </c>
      <c r="GU575" s="319" t="s">
        <v>428</v>
      </c>
      <c r="GV575" s="319" t="s">
        <v>190</v>
      </c>
      <c r="GW575" s="319" t="s">
        <v>190</v>
      </c>
      <c r="GX575" s="319" t="s">
        <v>190</v>
      </c>
      <c r="GY575" s="319" t="s">
        <v>190</v>
      </c>
      <c r="GZ575" s="319" t="s">
        <v>190</v>
      </c>
      <c r="HA575" s="319" t="s">
        <v>190</v>
      </c>
      <c r="HB575" s="319" t="s">
        <v>190</v>
      </c>
      <c r="HC575" s="319" t="s">
        <v>190</v>
      </c>
      <c r="HD575" s="319" t="s">
        <v>190</v>
      </c>
      <c r="HE575" s="319" t="s">
        <v>190</v>
      </c>
      <c r="HF575" s="319" t="s">
        <v>190</v>
      </c>
      <c r="HG575" s="319" t="s">
        <v>190</v>
      </c>
      <c r="HH575" s="319" t="s">
        <v>190</v>
      </c>
      <c r="HI575" s="319" t="s">
        <v>190</v>
      </c>
      <c r="HJ575" s="319" t="s">
        <v>190</v>
      </c>
      <c r="HK575" s="319" t="s">
        <v>190</v>
      </c>
      <c r="HL575" s="319" t="s">
        <v>428</v>
      </c>
      <c r="HM575" s="319" t="s">
        <v>428</v>
      </c>
      <c r="HN575" s="319" t="s">
        <v>428</v>
      </c>
      <c r="HO575" s="319" t="s">
        <v>428</v>
      </c>
      <c r="HP575" s="319" t="s">
        <v>190</v>
      </c>
      <c r="HQ575" s="319" t="s">
        <v>190</v>
      </c>
      <c r="HR575" s="319" t="s">
        <v>190</v>
      </c>
      <c r="HS575" s="319" t="s">
        <v>190</v>
      </c>
      <c r="HT575" s="319" t="s">
        <v>190</v>
      </c>
      <c r="HU575" s="319" t="s">
        <v>190</v>
      </c>
      <c r="HV575" s="319" t="s">
        <v>190</v>
      </c>
      <c r="HW575" s="319" t="s">
        <v>190</v>
      </c>
      <c r="HX575" s="319" t="s">
        <v>190</v>
      </c>
      <c r="HY575" s="319" t="s">
        <v>190</v>
      </c>
      <c r="HZ575" s="319" t="s">
        <v>190</v>
      </c>
      <c r="IA575" s="319" t="s">
        <v>190</v>
      </c>
      <c r="IB575" s="319" t="s">
        <v>190</v>
      </c>
      <c r="IC575" s="319" t="s">
        <v>190</v>
      </c>
      <c r="ID575" s="319" t="s">
        <v>190</v>
      </c>
      <c r="IE575" s="319" t="s">
        <v>190</v>
      </c>
      <c r="IF575" s="319" t="s">
        <v>190</v>
      </c>
      <c r="IG575" s="319" t="s">
        <v>190</v>
      </c>
      <c r="IH575" s="319" t="s">
        <v>190</v>
      </c>
      <c r="II575" s="319" t="s">
        <v>190</v>
      </c>
      <c r="IJ575" s="319">
        <v>10020934</v>
      </c>
      <c r="IK575" s="321">
        <v>42710</v>
      </c>
      <c r="IL575" s="321">
        <v>42712</v>
      </c>
      <c r="IM575" s="321">
        <v>42761</v>
      </c>
      <c r="IN575" s="319">
        <v>3</v>
      </c>
      <c r="IO575" s="319" t="s">
        <v>173</v>
      </c>
      <c r="IP575" s="319" t="s">
        <v>173</v>
      </c>
      <c r="IQ575" s="319" t="s">
        <v>173</v>
      </c>
      <c r="IR575" s="320" t="s">
        <v>173</v>
      </c>
      <c r="IS575" s="320" t="s">
        <v>173</v>
      </c>
      <c r="IT575" s="319" t="s">
        <v>173</v>
      </c>
    </row>
    <row r="576" spans="1:254" s="271" customFormat="1" x14ac:dyDescent="0.25">
      <c r="A576" s="318" t="str">
        <f>HYPERLINK("http://www.ofsted.gov.uk/inspection-reports/find-inspection-report/provider/ELS/135859 ","Ofsted School Webpage")</f>
        <v>Ofsted School Webpage</v>
      </c>
      <c r="B576" s="319">
        <v>135859</v>
      </c>
      <c r="C576" s="319">
        <v>9266160</v>
      </c>
      <c r="D576" s="319" t="s">
        <v>2002</v>
      </c>
      <c r="E576" s="319" t="s">
        <v>168</v>
      </c>
      <c r="F576" s="319" t="s">
        <v>81</v>
      </c>
      <c r="G576" s="319" t="s">
        <v>81</v>
      </c>
      <c r="H576" s="319" t="s">
        <v>81</v>
      </c>
      <c r="I576" s="319" t="s">
        <v>78</v>
      </c>
      <c r="J576" s="319" t="s">
        <v>424</v>
      </c>
      <c r="K576" s="319" t="s">
        <v>451</v>
      </c>
      <c r="L576" s="319" t="s">
        <v>451</v>
      </c>
      <c r="M576" s="319" t="s">
        <v>463</v>
      </c>
      <c r="N576" s="319" t="s">
        <v>3061</v>
      </c>
      <c r="O576" s="319" t="s">
        <v>2003</v>
      </c>
      <c r="P576" s="319">
        <v>28</v>
      </c>
      <c r="Q576" s="319" t="s">
        <v>429</v>
      </c>
      <c r="R576" s="320">
        <v>10056569</v>
      </c>
      <c r="S576" s="321">
        <v>43543</v>
      </c>
      <c r="T576" s="321">
        <v>43545</v>
      </c>
      <c r="U576" s="321">
        <v>43592</v>
      </c>
      <c r="V576" s="319" t="s">
        <v>425</v>
      </c>
      <c r="W576" s="319" t="s">
        <v>2767</v>
      </c>
      <c r="X576" s="319">
        <v>3</v>
      </c>
      <c r="Y576" s="319" t="s">
        <v>173</v>
      </c>
      <c r="Z576" s="319" t="s">
        <v>173</v>
      </c>
      <c r="AA576" s="319" t="s">
        <v>173</v>
      </c>
      <c r="AB576" s="319">
        <v>3</v>
      </c>
      <c r="AC576" s="319" t="s">
        <v>169</v>
      </c>
      <c r="AD576" s="319" t="s">
        <v>173</v>
      </c>
      <c r="AE576" s="319" t="s">
        <v>173</v>
      </c>
      <c r="AF576" s="319" t="s">
        <v>427</v>
      </c>
      <c r="AG576" s="319" t="s">
        <v>172</v>
      </c>
      <c r="AH576" s="319" t="s">
        <v>479</v>
      </c>
      <c r="AI576" s="319" t="s">
        <v>479</v>
      </c>
      <c r="AJ576" s="319" t="s">
        <v>479</v>
      </c>
      <c r="AK576" s="319" t="s">
        <v>190</v>
      </c>
      <c r="AL576" s="319" t="s">
        <v>190</v>
      </c>
      <c r="AM576" s="319" t="s">
        <v>190</v>
      </c>
      <c r="AN576" s="319" t="s">
        <v>190</v>
      </c>
      <c r="AO576" s="319" t="s">
        <v>479</v>
      </c>
      <c r="AP576" s="319" t="s">
        <v>191</v>
      </c>
      <c r="AQ576" s="319" t="s">
        <v>191</v>
      </c>
      <c r="AR576" s="319" t="s">
        <v>191</v>
      </c>
      <c r="AS576" s="319" t="s">
        <v>191</v>
      </c>
      <c r="AT576" s="319" t="s">
        <v>191</v>
      </c>
      <c r="AU576" s="319" t="s">
        <v>191</v>
      </c>
      <c r="AV576" s="319" t="s">
        <v>191</v>
      </c>
      <c r="AW576" s="319" t="s">
        <v>191</v>
      </c>
      <c r="AX576" s="319" t="s">
        <v>428</v>
      </c>
      <c r="AY576" s="319" t="s">
        <v>191</v>
      </c>
      <c r="AZ576" s="319" t="s">
        <v>191</v>
      </c>
      <c r="BA576" s="319" t="s">
        <v>191</v>
      </c>
      <c r="BB576" s="319" t="s">
        <v>190</v>
      </c>
      <c r="BC576" s="319" t="s">
        <v>190</v>
      </c>
      <c r="BD576" s="319" t="s">
        <v>190</v>
      </c>
      <c r="BE576" s="319" t="s">
        <v>190</v>
      </c>
      <c r="BF576" s="319" t="s">
        <v>428</v>
      </c>
      <c r="BG576" s="319" t="s">
        <v>428</v>
      </c>
      <c r="BH576" s="319" t="s">
        <v>190</v>
      </c>
      <c r="BI576" s="319" t="s">
        <v>191</v>
      </c>
      <c r="BJ576" s="319" t="s">
        <v>191</v>
      </c>
      <c r="BK576" s="319" t="s">
        <v>191</v>
      </c>
      <c r="BL576" s="319" t="s">
        <v>190</v>
      </c>
      <c r="BM576" s="319" t="s">
        <v>191</v>
      </c>
      <c r="BN576" s="319" t="s">
        <v>191</v>
      </c>
      <c r="BO576" s="319" t="s">
        <v>191</v>
      </c>
      <c r="BP576" s="319" t="s">
        <v>191</v>
      </c>
      <c r="BQ576" s="319" t="s">
        <v>191</v>
      </c>
      <c r="BR576" s="319" t="s">
        <v>190</v>
      </c>
      <c r="BS576" s="319" t="s">
        <v>191</v>
      </c>
      <c r="BT576" s="319" t="s">
        <v>191</v>
      </c>
      <c r="BU576" s="319" t="s">
        <v>190</v>
      </c>
      <c r="BV576" s="319" t="s">
        <v>191</v>
      </c>
      <c r="BW576" s="319" t="s">
        <v>191</v>
      </c>
      <c r="BX576" s="319" t="s">
        <v>191</v>
      </c>
      <c r="BY576" s="319" t="s">
        <v>191</v>
      </c>
      <c r="BZ576" s="319" t="s">
        <v>191</v>
      </c>
      <c r="CA576" s="319" t="s">
        <v>191</v>
      </c>
      <c r="CB576" s="319" t="s">
        <v>191</v>
      </c>
      <c r="CC576" s="319" t="s">
        <v>191</v>
      </c>
      <c r="CD576" s="319" t="s">
        <v>190</v>
      </c>
      <c r="CE576" s="319" t="s">
        <v>191</v>
      </c>
      <c r="CF576" s="319" t="s">
        <v>191</v>
      </c>
      <c r="CG576" s="319" t="s">
        <v>191</v>
      </c>
      <c r="CH576" s="319" t="s">
        <v>191</v>
      </c>
      <c r="CI576" s="319" t="s">
        <v>191</v>
      </c>
      <c r="CJ576" s="319" t="s">
        <v>191</v>
      </c>
      <c r="CK576" s="319" t="s">
        <v>190</v>
      </c>
      <c r="CL576" s="319" t="s">
        <v>190</v>
      </c>
      <c r="CM576" s="319" t="s">
        <v>190</v>
      </c>
      <c r="CN576" s="319" t="s">
        <v>190</v>
      </c>
      <c r="CO576" s="319" t="s">
        <v>190</v>
      </c>
      <c r="CP576" s="319" t="s">
        <v>190</v>
      </c>
      <c r="CQ576" s="319" t="s">
        <v>191</v>
      </c>
      <c r="CR576" s="319" t="s">
        <v>190</v>
      </c>
      <c r="CS576" s="319" t="s">
        <v>191</v>
      </c>
      <c r="CT576" s="319" t="s">
        <v>190</v>
      </c>
      <c r="CU576" s="319" t="s">
        <v>190</v>
      </c>
      <c r="CV576" s="319" t="s">
        <v>190</v>
      </c>
      <c r="CW576" s="319" t="s">
        <v>190</v>
      </c>
      <c r="CX576" s="319" t="s">
        <v>190</v>
      </c>
      <c r="CY576" s="319" t="s">
        <v>190</v>
      </c>
      <c r="CZ576" s="319" t="s">
        <v>190</v>
      </c>
      <c r="DA576" s="319" t="s">
        <v>190</v>
      </c>
      <c r="DB576" s="319" t="s">
        <v>190</v>
      </c>
      <c r="DC576" s="319" t="s">
        <v>190</v>
      </c>
      <c r="DD576" s="319" t="s">
        <v>190</v>
      </c>
      <c r="DE576" s="319" t="s">
        <v>428</v>
      </c>
      <c r="DF576" s="319" t="s">
        <v>190</v>
      </c>
      <c r="DG576" s="319" t="s">
        <v>190</v>
      </c>
      <c r="DH576" s="319" t="s">
        <v>190</v>
      </c>
      <c r="DI576" s="319" t="s">
        <v>190</v>
      </c>
      <c r="DJ576" s="319" t="s">
        <v>190</v>
      </c>
      <c r="DK576" s="319" t="s">
        <v>190</v>
      </c>
      <c r="DL576" s="319" t="s">
        <v>190</v>
      </c>
      <c r="DM576" s="319" t="s">
        <v>190</v>
      </c>
      <c r="DN576" s="319" t="s">
        <v>428</v>
      </c>
      <c r="DO576" s="319" t="s">
        <v>190</v>
      </c>
      <c r="DP576" s="319" t="s">
        <v>190</v>
      </c>
      <c r="DQ576" s="319" t="s">
        <v>190</v>
      </c>
      <c r="DR576" s="319" t="s">
        <v>190</v>
      </c>
      <c r="DS576" s="319" t="s">
        <v>190</v>
      </c>
      <c r="DT576" s="319" t="s">
        <v>190</v>
      </c>
      <c r="DU576" s="319" t="s">
        <v>190</v>
      </c>
      <c r="DV576" s="319" t="s">
        <v>173</v>
      </c>
      <c r="DW576" s="319" t="s">
        <v>190</v>
      </c>
      <c r="DX576" s="319" t="s">
        <v>190</v>
      </c>
      <c r="DY576" s="319" t="s">
        <v>190</v>
      </c>
      <c r="DZ576" s="319" t="s">
        <v>190</v>
      </c>
      <c r="EA576" s="319" t="s">
        <v>190</v>
      </c>
      <c r="EB576" s="319" t="s">
        <v>190</v>
      </c>
      <c r="EC576" s="319" t="s">
        <v>190</v>
      </c>
      <c r="ED576" s="319" t="s">
        <v>190</v>
      </c>
      <c r="EE576" s="319" t="s">
        <v>190</v>
      </c>
      <c r="EF576" s="319" t="s">
        <v>190</v>
      </c>
      <c r="EG576" s="319" t="s">
        <v>190</v>
      </c>
      <c r="EH576" s="319" t="s">
        <v>190</v>
      </c>
      <c r="EI576" s="319" t="s">
        <v>190</v>
      </c>
      <c r="EJ576" s="319" t="s">
        <v>190</v>
      </c>
      <c r="EK576" s="319" t="s">
        <v>190</v>
      </c>
      <c r="EL576" s="319" t="s">
        <v>190</v>
      </c>
      <c r="EM576" s="319" t="s">
        <v>190</v>
      </c>
      <c r="EN576" s="319" t="s">
        <v>190</v>
      </c>
      <c r="EO576" s="319" t="s">
        <v>190</v>
      </c>
      <c r="EP576" s="319" t="s">
        <v>190</v>
      </c>
      <c r="EQ576" s="319" t="s">
        <v>190</v>
      </c>
      <c r="ER576" s="319" t="s">
        <v>190</v>
      </c>
      <c r="ES576" s="319" t="s">
        <v>190</v>
      </c>
      <c r="ET576" s="319" t="s">
        <v>190</v>
      </c>
      <c r="EU576" s="319" t="s">
        <v>190</v>
      </c>
      <c r="EV576" s="319" t="s">
        <v>190</v>
      </c>
      <c r="EW576" s="319" t="s">
        <v>190</v>
      </c>
      <c r="EX576" s="319" t="s">
        <v>190</v>
      </c>
      <c r="EY576" s="319" t="s">
        <v>190</v>
      </c>
      <c r="EZ576" s="319" t="s">
        <v>190</v>
      </c>
      <c r="FA576" s="319" t="s">
        <v>190</v>
      </c>
      <c r="FB576" s="319" t="s">
        <v>190</v>
      </c>
      <c r="FC576" s="319" t="s">
        <v>190</v>
      </c>
      <c r="FD576" s="319" t="s">
        <v>190</v>
      </c>
      <c r="FE576" s="319" t="s">
        <v>190</v>
      </c>
      <c r="FF576" s="319" t="s">
        <v>190</v>
      </c>
      <c r="FG576" s="319" t="s">
        <v>190</v>
      </c>
      <c r="FH576" s="319" t="s">
        <v>190</v>
      </c>
      <c r="FI576" s="319" t="s">
        <v>190</v>
      </c>
      <c r="FJ576" s="319" t="s">
        <v>190</v>
      </c>
      <c r="FK576" s="319" t="s">
        <v>190</v>
      </c>
      <c r="FL576" s="319" t="s">
        <v>190</v>
      </c>
      <c r="FM576" s="319" t="s">
        <v>190</v>
      </c>
      <c r="FN576" s="319" t="s">
        <v>190</v>
      </c>
      <c r="FO576" s="319" t="s">
        <v>190</v>
      </c>
      <c r="FP576" s="319" t="s">
        <v>190</v>
      </c>
      <c r="FQ576" s="319" t="s">
        <v>190</v>
      </c>
      <c r="FR576" s="319" t="s">
        <v>190</v>
      </c>
      <c r="FS576" s="319" t="s">
        <v>190</v>
      </c>
      <c r="FT576" s="319" t="s">
        <v>190</v>
      </c>
      <c r="FU576" s="319" t="s">
        <v>190</v>
      </c>
      <c r="FV576" s="319" t="s">
        <v>190</v>
      </c>
      <c r="FW576" s="319" t="s">
        <v>190</v>
      </c>
      <c r="FX576" s="319" t="s">
        <v>190</v>
      </c>
      <c r="FY576" s="319" t="s">
        <v>190</v>
      </c>
      <c r="FZ576" s="319" t="s">
        <v>190</v>
      </c>
      <c r="GA576" s="319" t="s">
        <v>190</v>
      </c>
      <c r="GB576" s="319" t="s">
        <v>190</v>
      </c>
      <c r="GC576" s="319" t="s">
        <v>190</v>
      </c>
      <c r="GD576" s="319" t="s">
        <v>190</v>
      </c>
      <c r="GE576" s="319" t="s">
        <v>190</v>
      </c>
      <c r="GF576" s="319" t="s">
        <v>190</v>
      </c>
      <c r="GG576" s="319" t="s">
        <v>190</v>
      </c>
      <c r="GH576" s="319" t="s">
        <v>190</v>
      </c>
      <c r="GI576" s="319" t="s">
        <v>190</v>
      </c>
      <c r="GJ576" s="319" t="s">
        <v>190</v>
      </c>
      <c r="GK576" s="319" t="s">
        <v>190</v>
      </c>
      <c r="GL576" s="319" t="s">
        <v>190</v>
      </c>
      <c r="GM576" s="319" t="s">
        <v>190</v>
      </c>
      <c r="GN576" s="319" t="s">
        <v>190</v>
      </c>
      <c r="GO576" s="319" t="s">
        <v>190</v>
      </c>
      <c r="GP576" s="319" t="s">
        <v>190</v>
      </c>
      <c r="GQ576" s="319" t="s">
        <v>190</v>
      </c>
      <c r="GR576" s="319" t="s">
        <v>190</v>
      </c>
      <c r="GS576" s="319" t="s">
        <v>190</v>
      </c>
      <c r="GT576" s="319" t="s">
        <v>190</v>
      </c>
      <c r="GU576" s="319" t="s">
        <v>190</v>
      </c>
      <c r="GV576" s="319" t="s">
        <v>190</v>
      </c>
      <c r="GW576" s="319" t="s">
        <v>190</v>
      </c>
      <c r="GX576" s="319" t="s">
        <v>190</v>
      </c>
      <c r="GY576" s="319" t="s">
        <v>190</v>
      </c>
      <c r="GZ576" s="319" t="s">
        <v>190</v>
      </c>
      <c r="HA576" s="319" t="s">
        <v>190</v>
      </c>
      <c r="HB576" s="319" t="s">
        <v>190</v>
      </c>
      <c r="HC576" s="319" t="s">
        <v>190</v>
      </c>
      <c r="HD576" s="319" t="s">
        <v>190</v>
      </c>
      <c r="HE576" s="319" t="s">
        <v>190</v>
      </c>
      <c r="HF576" s="319" t="s">
        <v>190</v>
      </c>
      <c r="HG576" s="319" t="s">
        <v>190</v>
      </c>
      <c r="HH576" s="319" t="s">
        <v>190</v>
      </c>
      <c r="HI576" s="319" t="s">
        <v>190</v>
      </c>
      <c r="HJ576" s="319" t="s">
        <v>190</v>
      </c>
      <c r="HK576" s="319" t="s">
        <v>190</v>
      </c>
      <c r="HL576" s="319" t="s">
        <v>190</v>
      </c>
      <c r="HM576" s="319" t="s">
        <v>190</v>
      </c>
      <c r="HN576" s="319" t="s">
        <v>190</v>
      </c>
      <c r="HO576" s="319" t="s">
        <v>190</v>
      </c>
      <c r="HP576" s="319" t="s">
        <v>190</v>
      </c>
      <c r="HQ576" s="319" t="s">
        <v>190</v>
      </c>
      <c r="HR576" s="319" t="s">
        <v>190</v>
      </c>
      <c r="HS576" s="319" t="s">
        <v>190</v>
      </c>
      <c r="HT576" s="319" t="s">
        <v>190</v>
      </c>
      <c r="HU576" s="319" t="s">
        <v>190</v>
      </c>
      <c r="HV576" s="319" t="s">
        <v>190</v>
      </c>
      <c r="HW576" s="319" t="s">
        <v>190</v>
      </c>
      <c r="HX576" s="319" t="s">
        <v>190</v>
      </c>
      <c r="HY576" s="319" t="s">
        <v>190</v>
      </c>
      <c r="HZ576" s="319" t="s">
        <v>190</v>
      </c>
      <c r="IA576" s="319" t="s">
        <v>190</v>
      </c>
      <c r="IB576" s="319" t="s">
        <v>190</v>
      </c>
      <c r="IC576" s="319" t="s">
        <v>190</v>
      </c>
      <c r="ID576" s="319" t="s">
        <v>190</v>
      </c>
      <c r="IE576" s="319" t="s">
        <v>190</v>
      </c>
      <c r="IF576" s="319" t="s">
        <v>191</v>
      </c>
      <c r="IG576" s="319" t="s">
        <v>191</v>
      </c>
      <c r="IH576" s="319" t="s">
        <v>191</v>
      </c>
      <c r="II576" s="319" t="s">
        <v>191</v>
      </c>
      <c r="IJ576" s="319">
        <v>10020821</v>
      </c>
      <c r="IK576" s="321">
        <v>42892</v>
      </c>
      <c r="IL576" s="321">
        <v>42894</v>
      </c>
      <c r="IM576" s="321">
        <v>42929</v>
      </c>
      <c r="IN576" s="319">
        <v>3</v>
      </c>
      <c r="IO576" s="319">
        <v>10123912</v>
      </c>
      <c r="IP576" s="319" t="s">
        <v>985</v>
      </c>
      <c r="IQ576" s="321">
        <v>43740</v>
      </c>
      <c r="IR576" s="320" t="s">
        <v>2771</v>
      </c>
      <c r="IS576" s="322">
        <v>43787</v>
      </c>
      <c r="IT576" s="319" t="s">
        <v>166</v>
      </c>
    </row>
    <row r="577" spans="1:254" s="271" customFormat="1" x14ac:dyDescent="0.25">
      <c r="A577" s="318" t="str">
        <f>HYPERLINK("http://www.ofsted.gov.uk/inspection-reports/find-inspection-report/provider/ELS/135882 ","Ofsted School Webpage")</f>
        <v>Ofsted School Webpage</v>
      </c>
      <c r="B577" s="319">
        <v>135882</v>
      </c>
      <c r="C577" s="319">
        <v>3306206</v>
      </c>
      <c r="D577" s="319" t="s">
        <v>2004</v>
      </c>
      <c r="E577" s="319" t="s">
        <v>167</v>
      </c>
      <c r="F577" s="319" t="s">
        <v>81</v>
      </c>
      <c r="G577" s="319" t="s">
        <v>72</v>
      </c>
      <c r="H577" s="319" t="s">
        <v>72</v>
      </c>
      <c r="I577" s="319" t="s">
        <v>72</v>
      </c>
      <c r="J577" s="319" t="s">
        <v>424</v>
      </c>
      <c r="K577" s="319" t="s">
        <v>437</v>
      </c>
      <c r="L577" s="319" t="s">
        <v>437</v>
      </c>
      <c r="M577" s="319" t="s">
        <v>813</v>
      </c>
      <c r="N577" s="319" t="s">
        <v>2858</v>
      </c>
      <c r="O577" s="319" t="s">
        <v>2005</v>
      </c>
      <c r="P577" s="319">
        <v>243</v>
      </c>
      <c r="Q577" s="319" t="s">
        <v>2766</v>
      </c>
      <c r="R577" s="320">
        <v>10052008</v>
      </c>
      <c r="S577" s="321">
        <v>43221</v>
      </c>
      <c r="T577" s="321">
        <v>43223</v>
      </c>
      <c r="U577" s="321">
        <v>43272</v>
      </c>
      <c r="V577" s="319" t="s">
        <v>425</v>
      </c>
      <c r="W577" s="319" t="s">
        <v>2767</v>
      </c>
      <c r="X577" s="319">
        <v>2</v>
      </c>
      <c r="Y577" s="319" t="s">
        <v>173</v>
      </c>
      <c r="Z577" s="319" t="s">
        <v>173</v>
      </c>
      <c r="AA577" s="319" t="s">
        <v>173</v>
      </c>
      <c r="AB577" s="319">
        <v>2</v>
      </c>
      <c r="AC577" s="319" t="s">
        <v>169</v>
      </c>
      <c r="AD577" s="319">
        <v>2</v>
      </c>
      <c r="AE577" s="319" t="s">
        <v>173</v>
      </c>
      <c r="AF577" s="319" t="s">
        <v>427</v>
      </c>
      <c r="AG577" s="319" t="s">
        <v>171</v>
      </c>
      <c r="AH577" s="319" t="s">
        <v>190</v>
      </c>
      <c r="AI577" s="319" t="s">
        <v>190</v>
      </c>
      <c r="AJ577" s="319" t="s">
        <v>190</v>
      </c>
      <c r="AK577" s="319" t="s">
        <v>190</v>
      </c>
      <c r="AL577" s="319" t="s">
        <v>190</v>
      </c>
      <c r="AM577" s="319" t="s">
        <v>190</v>
      </c>
      <c r="AN577" s="319" t="s">
        <v>190</v>
      </c>
      <c r="AO577" s="319" t="s">
        <v>190</v>
      </c>
      <c r="AP577" s="319" t="s">
        <v>190</v>
      </c>
      <c r="AQ577" s="319" t="s">
        <v>190</v>
      </c>
      <c r="AR577" s="319" t="s">
        <v>190</v>
      </c>
      <c r="AS577" s="319" t="s">
        <v>190</v>
      </c>
      <c r="AT577" s="319" t="s">
        <v>190</v>
      </c>
      <c r="AU577" s="319" t="s">
        <v>190</v>
      </c>
      <c r="AV577" s="319" t="s">
        <v>190</v>
      </c>
      <c r="AW577" s="319" t="s">
        <v>190</v>
      </c>
      <c r="AX577" s="319" t="s">
        <v>190</v>
      </c>
      <c r="AY577" s="319" t="s">
        <v>190</v>
      </c>
      <c r="AZ577" s="319" t="s">
        <v>190</v>
      </c>
      <c r="BA577" s="319" t="s">
        <v>190</v>
      </c>
      <c r="BB577" s="319" t="s">
        <v>190</v>
      </c>
      <c r="BC577" s="319" t="s">
        <v>190</v>
      </c>
      <c r="BD577" s="319" t="s">
        <v>190</v>
      </c>
      <c r="BE577" s="319" t="s">
        <v>190</v>
      </c>
      <c r="BF577" s="319" t="s">
        <v>190</v>
      </c>
      <c r="BG577" s="319" t="s">
        <v>428</v>
      </c>
      <c r="BH577" s="319" t="s">
        <v>190</v>
      </c>
      <c r="BI577" s="319" t="s">
        <v>190</v>
      </c>
      <c r="BJ577" s="319" t="s">
        <v>190</v>
      </c>
      <c r="BK577" s="319" t="s">
        <v>190</v>
      </c>
      <c r="BL577" s="319" t="s">
        <v>190</v>
      </c>
      <c r="BM577" s="319" t="s">
        <v>190</v>
      </c>
      <c r="BN577" s="319" t="s">
        <v>190</v>
      </c>
      <c r="BO577" s="319" t="s">
        <v>190</v>
      </c>
      <c r="BP577" s="319" t="s">
        <v>190</v>
      </c>
      <c r="BQ577" s="319" t="s">
        <v>190</v>
      </c>
      <c r="BR577" s="319" t="s">
        <v>190</v>
      </c>
      <c r="BS577" s="319" t="s">
        <v>190</v>
      </c>
      <c r="BT577" s="319" t="s">
        <v>190</v>
      </c>
      <c r="BU577" s="319" t="s">
        <v>190</v>
      </c>
      <c r="BV577" s="319" t="s">
        <v>190</v>
      </c>
      <c r="BW577" s="319" t="s">
        <v>190</v>
      </c>
      <c r="BX577" s="319" t="s">
        <v>190</v>
      </c>
      <c r="BY577" s="319" t="s">
        <v>190</v>
      </c>
      <c r="BZ577" s="319" t="s">
        <v>190</v>
      </c>
      <c r="CA577" s="319" t="s">
        <v>190</v>
      </c>
      <c r="CB577" s="319" t="s">
        <v>190</v>
      </c>
      <c r="CC577" s="319" t="s">
        <v>190</v>
      </c>
      <c r="CD577" s="319" t="s">
        <v>190</v>
      </c>
      <c r="CE577" s="319" t="s">
        <v>190</v>
      </c>
      <c r="CF577" s="319" t="s">
        <v>190</v>
      </c>
      <c r="CG577" s="319" t="s">
        <v>190</v>
      </c>
      <c r="CH577" s="319" t="s">
        <v>190</v>
      </c>
      <c r="CI577" s="319" t="s">
        <v>190</v>
      </c>
      <c r="CJ577" s="319" t="s">
        <v>190</v>
      </c>
      <c r="CK577" s="319" t="s">
        <v>190</v>
      </c>
      <c r="CL577" s="319" t="s">
        <v>190</v>
      </c>
      <c r="CM577" s="319" t="s">
        <v>190</v>
      </c>
      <c r="CN577" s="319" t="s">
        <v>190</v>
      </c>
      <c r="CO577" s="319" t="s">
        <v>190</v>
      </c>
      <c r="CP577" s="319" t="s">
        <v>190</v>
      </c>
      <c r="CQ577" s="319" t="s">
        <v>190</v>
      </c>
      <c r="CR577" s="319" t="s">
        <v>190</v>
      </c>
      <c r="CS577" s="319" t="s">
        <v>190</v>
      </c>
      <c r="CT577" s="319" t="s">
        <v>190</v>
      </c>
      <c r="CU577" s="319" t="s">
        <v>190</v>
      </c>
      <c r="CV577" s="319" t="s">
        <v>190</v>
      </c>
      <c r="CW577" s="319" t="s">
        <v>190</v>
      </c>
      <c r="CX577" s="319" t="s">
        <v>190</v>
      </c>
      <c r="CY577" s="319" t="s">
        <v>190</v>
      </c>
      <c r="CZ577" s="319" t="s">
        <v>190</v>
      </c>
      <c r="DA577" s="319" t="s">
        <v>190</v>
      </c>
      <c r="DB577" s="319" t="s">
        <v>190</v>
      </c>
      <c r="DC577" s="319" t="s">
        <v>190</v>
      </c>
      <c r="DD577" s="319" t="s">
        <v>190</v>
      </c>
      <c r="DE577" s="319" t="s">
        <v>190</v>
      </c>
      <c r="DF577" s="319" t="s">
        <v>190</v>
      </c>
      <c r="DG577" s="319" t="s">
        <v>190</v>
      </c>
      <c r="DH577" s="319" t="s">
        <v>190</v>
      </c>
      <c r="DI577" s="319" t="s">
        <v>190</v>
      </c>
      <c r="DJ577" s="319" t="s">
        <v>190</v>
      </c>
      <c r="DK577" s="319" t="s">
        <v>190</v>
      </c>
      <c r="DL577" s="319" t="s">
        <v>190</v>
      </c>
      <c r="DM577" s="319" t="s">
        <v>190</v>
      </c>
      <c r="DN577" s="319" t="s">
        <v>190</v>
      </c>
      <c r="DO577" s="319" t="s">
        <v>190</v>
      </c>
      <c r="DP577" s="319" t="s">
        <v>190</v>
      </c>
      <c r="DQ577" s="319" t="s">
        <v>190</v>
      </c>
      <c r="DR577" s="319" t="s">
        <v>190</v>
      </c>
      <c r="DS577" s="319" t="s">
        <v>190</v>
      </c>
      <c r="DT577" s="319" t="s">
        <v>190</v>
      </c>
      <c r="DU577" s="319" t="s">
        <v>190</v>
      </c>
      <c r="DV577" s="319" t="s">
        <v>173</v>
      </c>
      <c r="DW577" s="319" t="s">
        <v>190</v>
      </c>
      <c r="DX577" s="319" t="s">
        <v>190</v>
      </c>
      <c r="DY577" s="319" t="s">
        <v>190</v>
      </c>
      <c r="DZ577" s="319" t="s">
        <v>190</v>
      </c>
      <c r="EA577" s="319" t="s">
        <v>190</v>
      </c>
      <c r="EB577" s="319" t="s">
        <v>190</v>
      </c>
      <c r="EC577" s="319" t="s">
        <v>428</v>
      </c>
      <c r="ED577" s="319" t="s">
        <v>428</v>
      </c>
      <c r="EE577" s="319" t="s">
        <v>190</v>
      </c>
      <c r="EF577" s="319" t="s">
        <v>190</v>
      </c>
      <c r="EG577" s="319" t="s">
        <v>190</v>
      </c>
      <c r="EH577" s="319" t="s">
        <v>190</v>
      </c>
      <c r="EI577" s="319" t="s">
        <v>190</v>
      </c>
      <c r="EJ577" s="319" t="s">
        <v>190</v>
      </c>
      <c r="EK577" s="319" t="s">
        <v>190</v>
      </c>
      <c r="EL577" s="319" t="s">
        <v>190</v>
      </c>
      <c r="EM577" s="319" t="s">
        <v>190</v>
      </c>
      <c r="EN577" s="319" t="s">
        <v>190</v>
      </c>
      <c r="EO577" s="319" t="s">
        <v>190</v>
      </c>
      <c r="EP577" s="319" t="s">
        <v>190</v>
      </c>
      <c r="EQ577" s="319" t="s">
        <v>190</v>
      </c>
      <c r="ER577" s="319" t="s">
        <v>190</v>
      </c>
      <c r="ES577" s="319" t="s">
        <v>190</v>
      </c>
      <c r="ET577" s="319" t="s">
        <v>190</v>
      </c>
      <c r="EU577" s="319" t="s">
        <v>190</v>
      </c>
      <c r="EV577" s="319" t="s">
        <v>190</v>
      </c>
      <c r="EW577" s="319" t="s">
        <v>190</v>
      </c>
      <c r="EX577" s="319" t="s">
        <v>190</v>
      </c>
      <c r="EY577" s="319" t="s">
        <v>190</v>
      </c>
      <c r="EZ577" s="319" t="s">
        <v>190</v>
      </c>
      <c r="FA577" s="319" t="s">
        <v>190</v>
      </c>
      <c r="FB577" s="319" t="s">
        <v>190</v>
      </c>
      <c r="FC577" s="319" t="s">
        <v>190</v>
      </c>
      <c r="FD577" s="319" t="s">
        <v>190</v>
      </c>
      <c r="FE577" s="319" t="s">
        <v>190</v>
      </c>
      <c r="FF577" s="319" t="s">
        <v>190</v>
      </c>
      <c r="FG577" s="319" t="s">
        <v>190</v>
      </c>
      <c r="FH577" s="319" t="s">
        <v>190</v>
      </c>
      <c r="FI577" s="319" t="s">
        <v>190</v>
      </c>
      <c r="FJ577" s="319" t="s">
        <v>190</v>
      </c>
      <c r="FK577" s="319" t="s">
        <v>190</v>
      </c>
      <c r="FL577" s="319" t="s">
        <v>190</v>
      </c>
      <c r="FM577" s="319" t="s">
        <v>190</v>
      </c>
      <c r="FN577" s="319" t="s">
        <v>190</v>
      </c>
      <c r="FO577" s="319" t="s">
        <v>190</v>
      </c>
      <c r="FP577" s="319" t="s">
        <v>190</v>
      </c>
      <c r="FQ577" s="319" t="s">
        <v>190</v>
      </c>
      <c r="FR577" s="319" t="s">
        <v>190</v>
      </c>
      <c r="FS577" s="319" t="s">
        <v>190</v>
      </c>
      <c r="FT577" s="319" t="s">
        <v>190</v>
      </c>
      <c r="FU577" s="319" t="s">
        <v>190</v>
      </c>
      <c r="FV577" s="319" t="s">
        <v>190</v>
      </c>
      <c r="FW577" s="319" t="s">
        <v>190</v>
      </c>
      <c r="FX577" s="319" t="s">
        <v>190</v>
      </c>
      <c r="FY577" s="319" t="s">
        <v>190</v>
      </c>
      <c r="FZ577" s="319" t="s">
        <v>190</v>
      </c>
      <c r="GA577" s="319" t="s">
        <v>190</v>
      </c>
      <c r="GB577" s="319" t="s">
        <v>190</v>
      </c>
      <c r="GC577" s="319" t="s">
        <v>190</v>
      </c>
      <c r="GD577" s="319" t="s">
        <v>190</v>
      </c>
      <c r="GE577" s="319" t="s">
        <v>190</v>
      </c>
      <c r="GF577" s="319" t="s">
        <v>190</v>
      </c>
      <c r="GG577" s="319" t="s">
        <v>190</v>
      </c>
      <c r="GH577" s="319" t="s">
        <v>190</v>
      </c>
      <c r="GI577" s="319" t="s">
        <v>190</v>
      </c>
      <c r="GJ577" s="319" t="s">
        <v>190</v>
      </c>
      <c r="GK577" s="319" t="s">
        <v>428</v>
      </c>
      <c r="GL577" s="319" t="s">
        <v>190</v>
      </c>
      <c r="GM577" s="319" t="s">
        <v>190</v>
      </c>
      <c r="GN577" s="319" t="s">
        <v>190</v>
      </c>
      <c r="GO577" s="319" t="s">
        <v>190</v>
      </c>
      <c r="GP577" s="319" t="s">
        <v>428</v>
      </c>
      <c r="GQ577" s="319" t="s">
        <v>428</v>
      </c>
      <c r="GR577" s="319" t="s">
        <v>190</v>
      </c>
      <c r="GS577" s="319" t="s">
        <v>190</v>
      </c>
      <c r="GT577" s="319" t="s">
        <v>428</v>
      </c>
      <c r="GU577" s="319" t="s">
        <v>428</v>
      </c>
      <c r="GV577" s="319" t="s">
        <v>190</v>
      </c>
      <c r="GW577" s="319" t="s">
        <v>190</v>
      </c>
      <c r="GX577" s="319" t="s">
        <v>190</v>
      </c>
      <c r="GY577" s="319" t="s">
        <v>190</v>
      </c>
      <c r="GZ577" s="319" t="s">
        <v>190</v>
      </c>
      <c r="HA577" s="319" t="s">
        <v>190</v>
      </c>
      <c r="HB577" s="319" t="s">
        <v>190</v>
      </c>
      <c r="HC577" s="319" t="s">
        <v>190</v>
      </c>
      <c r="HD577" s="319" t="s">
        <v>190</v>
      </c>
      <c r="HE577" s="319" t="s">
        <v>190</v>
      </c>
      <c r="HF577" s="319" t="s">
        <v>190</v>
      </c>
      <c r="HG577" s="319" t="s">
        <v>190</v>
      </c>
      <c r="HH577" s="319" t="s">
        <v>190</v>
      </c>
      <c r="HI577" s="319" t="s">
        <v>190</v>
      </c>
      <c r="HJ577" s="319" t="s">
        <v>190</v>
      </c>
      <c r="HK577" s="319" t="s">
        <v>190</v>
      </c>
      <c r="HL577" s="319" t="s">
        <v>190</v>
      </c>
      <c r="HM577" s="319" t="s">
        <v>428</v>
      </c>
      <c r="HN577" s="319" t="s">
        <v>428</v>
      </c>
      <c r="HO577" s="319" t="s">
        <v>428</v>
      </c>
      <c r="HP577" s="319" t="s">
        <v>190</v>
      </c>
      <c r="HQ577" s="319" t="s">
        <v>190</v>
      </c>
      <c r="HR577" s="319" t="s">
        <v>190</v>
      </c>
      <c r="HS577" s="319" t="s">
        <v>190</v>
      </c>
      <c r="HT577" s="319" t="s">
        <v>190</v>
      </c>
      <c r="HU577" s="319" t="s">
        <v>190</v>
      </c>
      <c r="HV577" s="319" t="s">
        <v>190</v>
      </c>
      <c r="HW577" s="319" t="s">
        <v>190</v>
      </c>
      <c r="HX577" s="319" t="s">
        <v>190</v>
      </c>
      <c r="HY577" s="319" t="s">
        <v>190</v>
      </c>
      <c r="HZ577" s="319" t="s">
        <v>190</v>
      </c>
      <c r="IA577" s="319" t="s">
        <v>190</v>
      </c>
      <c r="IB577" s="319" t="s">
        <v>190</v>
      </c>
      <c r="IC577" s="319" t="s">
        <v>190</v>
      </c>
      <c r="ID577" s="319" t="s">
        <v>190</v>
      </c>
      <c r="IE577" s="319" t="s">
        <v>190</v>
      </c>
      <c r="IF577" s="319" t="s">
        <v>190</v>
      </c>
      <c r="IG577" s="319" t="s">
        <v>190</v>
      </c>
      <c r="IH577" s="319" t="s">
        <v>190</v>
      </c>
      <c r="II577" s="319" t="s">
        <v>190</v>
      </c>
      <c r="IJ577" s="319">
        <v>10020835</v>
      </c>
      <c r="IK577" s="321">
        <v>42627</v>
      </c>
      <c r="IL577" s="321">
        <v>42629</v>
      </c>
      <c r="IM577" s="321">
        <v>42663</v>
      </c>
      <c r="IN577" s="319">
        <v>3</v>
      </c>
      <c r="IO577" s="319" t="s">
        <v>173</v>
      </c>
      <c r="IP577" s="319" t="s">
        <v>173</v>
      </c>
      <c r="IQ577" s="321" t="s">
        <v>173</v>
      </c>
      <c r="IR577" s="320" t="s">
        <v>173</v>
      </c>
      <c r="IS577" s="322" t="s">
        <v>173</v>
      </c>
      <c r="IT577" s="319" t="s">
        <v>173</v>
      </c>
    </row>
    <row r="578" spans="1:254" s="271" customFormat="1" x14ac:dyDescent="0.25">
      <c r="A578" s="318" t="str">
        <f>HYPERLINK("http://www.ofsted.gov.uk/inspection-reports/find-inspection-report/provider/ELS/135901 ","Ofsted School Webpage")</f>
        <v>Ofsted School Webpage</v>
      </c>
      <c r="B578" s="319">
        <v>135901</v>
      </c>
      <c r="C578" s="319">
        <v>2096409</v>
      </c>
      <c r="D578" s="319" t="s">
        <v>819</v>
      </c>
      <c r="E578" s="319" t="s">
        <v>167</v>
      </c>
      <c r="F578" s="319" t="s">
        <v>81</v>
      </c>
      <c r="G578" s="319" t="s">
        <v>81</v>
      </c>
      <c r="H578" s="319" t="s">
        <v>81</v>
      </c>
      <c r="I578" s="319" t="s">
        <v>78</v>
      </c>
      <c r="J578" s="319" t="s">
        <v>424</v>
      </c>
      <c r="K578" s="319" t="s">
        <v>441</v>
      </c>
      <c r="L578" s="319" t="s">
        <v>441</v>
      </c>
      <c r="M578" s="319" t="s">
        <v>655</v>
      </c>
      <c r="N578" s="319" t="s">
        <v>3180</v>
      </c>
      <c r="O578" s="319" t="s">
        <v>820</v>
      </c>
      <c r="P578" s="319">
        <v>46</v>
      </c>
      <c r="Q578" s="319" t="s">
        <v>2776</v>
      </c>
      <c r="R578" s="320">
        <v>10067179</v>
      </c>
      <c r="S578" s="321">
        <v>43480</v>
      </c>
      <c r="T578" s="321">
        <v>43482</v>
      </c>
      <c r="U578" s="321">
        <v>43499</v>
      </c>
      <c r="V578" s="319" t="s">
        <v>425</v>
      </c>
      <c r="W578" s="319" t="s">
        <v>2767</v>
      </c>
      <c r="X578" s="319">
        <v>2</v>
      </c>
      <c r="Y578" s="319" t="s">
        <v>173</v>
      </c>
      <c r="Z578" s="319" t="s">
        <v>173</v>
      </c>
      <c r="AA578" s="319" t="s">
        <v>173</v>
      </c>
      <c r="AB578" s="319">
        <v>2</v>
      </c>
      <c r="AC578" s="319" t="s">
        <v>169</v>
      </c>
      <c r="AD578" s="319" t="s">
        <v>173</v>
      </c>
      <c r="AE578" s="319" t="s">
        <v>173</v>
      </c>
      <c r="AF578" s="319" t="s">
        <v>427</v>
      </c>
      <c r="AG578" s="319" t="s">
        <v>171</v>
      </c>
      <c r="AH578" s="319" t="s">
        <v>190</v>
      </c>
      <c r="AI578" s="319" t="s">
        <v>190</v>
      </c>
      <c r="AJ578" s="319" t="s">
        <v>190</v>
      </c>
      <c r="AK578" s="319" t="s">
        <v>190</v>
      </c>
      <c r="AL578" s="319" t="s">
        <v>190</v>
      </c>
      <c r="AM578" s="319" t="s">
        <v>190</v>
      </c>
      <c r="AN578" s="319" t="s">
        <v>190</v>
      </c>
      <c r="AO578" s="319" t="s">
        <v>190</v>
      </c>
      <c r="AP578" s="319" t="s">
        <v>190</v>
      </c>
      <c r="AQ578" s="319" t="s">
        <v>190</v>
      </c>
      <c r="AR578" s="319" t="s">
        <v>190</v>
      </c>
      <c r="AS578" s="319" t="s">
        <v>190</v>
      </c>
      <c r="AT578" s="319" t="s">
        <v>190</v>
      </c>
      <c r="AU578" s="319" t="s">
        <v>190</v>
      </c>
      <c r="AV578" s="319" t="s">
        <v>190</v>
      </c>
      <c r="AW578" s="319" t="s">
        <v>190</v>
      </c>
      <c r="AX578" s="319" t="s">
        <v>428</v>
      </c>
      <c r="AY578" s="319" t="s">
        <v>190</v>
      </c>
      <c r="AZ578" s="319" t="s">
        <v>190</v>
      </c>
      <c r="BA578" s="319" t="s">
        <v>190</v>
      </c>
      <c r="BB578" s="319" t="s">
        <v>190</v>
      </c>
      <c r="BC578" s="319" t="s">
        <v>190</v>
      </c>
      <c r="BD578" s="319" t="s">
        <v>190</v>
      </c>
      <c r="BE578" s="319" t="s">
        <v>190</v>
      </c>
      <c r="BF578" s="319" t="s">
        <v>428</v>
      </c>
      <c r="BG578" s="319" t="s">
        <v>428</v>
      </c>
      <c r="BH578" s="319" t="s">
        <v>190</v>
      </c>
      <c r="BI578" s="319" t="s">
        <v>190</v>
      </c>
      <c r="BJ578" s="319" t="s">
        <v>190</v>
      </c>
      <c r="BK578" s="319" t="s">
        <v>190</v>
      </c>
      <c r="BL578" s="319" t="s">
        <v>190</v>
      </c>
      <c r="BM578" s="319" t="s">
        <v>190</v>
      </c>
      <c r="BN578" s="319" t="s">
        <v>190</v>
      </c>
      <c r="BO578" s="319" t="s">
        <v>190</v>
      </c>
      <c r="BP578" s="319" t="s">
        <v>190</v>
      </c>
      <c r="BQ578" s="319" t="s">
        <v>190</v>
      </c>
      <c r="BR578" s="319" t="s">
        <v>190</v>
      </c>
      <c r="BS578" s="319" t="s">
        <v>190</v>
      </c>
      <c r="BT578" s="319" t="s">
        <v>190</v>
      </c>
      <c r="BU578" s="319" t="s">
        <v>190</v>
      </c>
      <c r="BV578" s="319" t="s">
        <v>190</v>
      </c>
      <c r="BW578" s="319" t="s">
        <v>190</v>
      </c>
      <c r="BX578" s="319" t="s">
        <v>190</v>
      </c>
      <c r="BY578" s="319" t="s">
        <v>190</v>
      </c>
      <c r="BZ578" s="319" t="s">
        <v>190</v>
      </c>
      <c r="CA578" s="319" t="s">
        <v>190</v>
      </c>
      <c r="CB578" s="319" t="s">
        <v>190</v>
      </c>
      <c r="CC578" s="319" t="s">
        <v>190</v>
      </c>
      <c r="CD578" s="319" t="s">
        <v>190</v>
      </c>
      <c r="CE578" s="319" t="s">
        <v>190</v>
      </c>
      <c r="CF578" s="319" t="s">
        <v>190</v>
      </c>
      <c r="CG578" s="319" t="s">
        <v>190</v>
      </c>
      <c r="CH578" s="319" t="s">
        <v>190</v>
      </c>
      <c r="CI578" s="319" t="s">
        <v>190</v>
      </c>
      <c r="CJ578" s="319" t="s">
        <v>190</v>
      </c>
      <c r="CK578" s="319" t="s">
        <v>190</v>
      </c>
      <c r="CL578" s="319" t="s">
        <v>190</v>
      </c>
      <c r="CM578" s="319" t="s">
        <v>190</v>
      </c>
      <c r="CN578" s="319" t="s">
        <v>584</v>
      </c>
      <c r="CO578" s="319" t="s">
        <v>584</v>
      </c>
      <c r="CP578" s="319" t="s">
        <v>584</v>
      </c>
      <c r="CQ578" s="319" t="s">
        <v>190</v>
      </c>
      <c r="CR578" s="319" t="s">
        <v>190</v>
      </c>
      <c r="CS578" s="319" t="s">
        <v>190</v>
      </c>
      <c r="CT578" s="319" t="s">
        <v>190</v>
      </c>
      <c r="CU578" s="319" t="s">
        <v>190</v>
      </c>
      <c r="CV578" s="319" t="s">
        <v>190</v>
      </c>
      <c r="CW578" s="319" t="s">
        <v>190</v>
      </c>
      <c r="CX578" s="319" t="s">
        <v>190</v>
      </c>
      <c r="CY578" s="319" t="s">
        <v>190</v>
      </c>
      <c r="CZ578" s="319" t="s">
        <v>190</v>
      </c>
      <c r="DA578" s="319" t="s">
        <v>190</v>
      </c>
      <c r="DB578" s="319" t="s">
        <v>190</v>
      </c>
      <c r="DC578" s="319" t="s">
        <v>190</v>
      </c>
      <c r="DD578" s="319" t="s">
        <v>190</v>
      </c>
      <c r="DE578" s="319" t="s">
        <v>190</v>
      </c>
      <c r="DF578" s="319" t="s">
        <v>190</v>
      </c>
      <c r="DG578" s="319" t="s">
        <v>190</v>
      </c>
      <c r="DH578" s="319" t="s">
        <v>190</v>
      </c>
      <c r="DI578" s="319" t="s">
        <v>190</v>
      </c>
      <c r="DJ578" s="319" t="s">
        <v>173</v>
      </c>
      <c r="DK578" s="319" t="s">
        <v>190</v>
      </c>
      <c r="DL578" s="319" t="s">
        <v>190</v>
      </c>
      <c r="DM578" s="319" t="s">
        <v>190</v>
      </c>
      <c r="DN578" s="319" t="s">
        <v>584</v>
      </c>
      <c r="DO578" s="319" t="s">
        <v>190</v>
      </c>
      <c r="DP578" s="319" t="s">
        <v>190</v>
      </c>
      <c r="DQ578" s="319" t="s">
        <v>190</v>
      </c>
      <c r="DR578" s="319" t="s">
        <v>190</v>
      </c>
      <c r="DS578" s="319" t="s">
        <v>190</v>
      </c>
      <c r="DT578" s="319" t="s">
        <v>190</v>
      </c>
      <c r="DU578" s="319" t="s">
        <v>190</v>
      </c>
      <c r="DV578" s="319" t="s">
        <v>173</v>
      </c>
      <c r="DW578" s="319" t="s">
        <v>190</v>
      </c>
      <c r="DX578" s="319" t="s">
        <v>190</v>
      </c>
      <c r="DY578" s="319" t="s">
        <v>190</v>
      </c>
      <c r="DZ578" s="319" t="s">
        <v>190</v>
      </c>
      <c r="EA578" s="319" t="s">
        <v>190</v>
      </c>
      <c r="EB578" s="319" t="s">
        <v>190</v>
      </c>
      <c r="EC578" s="319" t="s">
        <v>584</v>
      </c>
      <c r="ED578" s="319" t="s">
        <v>584</v>
      </c>
      <c r="EE578" s="319" t="s">
        <v>190</v>
      </c>
      <c r="EF578" s="319" t="s">
        <v>190</v>
      </c>
      <c r="EG578" s="319" t="s">
        <v>190</v>
      </c>
      <c r="EH578" s="319" t="s">
        <v>190</v>
      </c>
      <c r="EI578" s="319" t="s">
        <v>190</v>
      </c>
      <c r="EJ578" s="319" t="s">
        <v>190</v>
      </c>
      <c r="EK578" s="319" t="s">
        <v>190</v>
      </c>
      <c r="EL578" s="319" t="s">
        <v>190</v>
      </c>
      <c r="EM578" s="319" t="s">
        <v>190</v>
      </c>
      <c r="EN578" s="319" t="s">
        <v>190</v>
      </c>
      <c r="EO578" s="319" t="s">
        <v>190</v>
      </c>
      <c r="EP578" s="319" t="s">
        <v>190</v>
      </c>
      <c r="EQ578" s="319" t="s">
        <v>190</v>
      </c>
      <c r="ER578" s="319" t="s">
        <v>190</v>
      </c>
      <c r="ES578" s="319" t="s">
        <v>190</v>
      </c>
      <c r="ET578" s="319" t="s">
        <v>190</v>
      </c>
      <c r="EU578" s="319" t="s">
        <v>190</v>
      </c>
      <c r="EV578" s="319" t="s">
        <v>190</v>
      </c>
      <c r="EW578" s="319" t="s">
        <v>190</v>
      </c>
      <c r="EX578" s="319" t="s">
        <v>190</v>
      </c>
      <c r="EY578" s="319" t="s">
        <v>190</v>
      </c>
      <c r="EZ578" s="319" t="s">
        <v>190</v>
      </c>
      <c r="FA578" s="319" t="s">
        <v>190</v>
      </c>
      <c r="FB578" s="319" t="s">
        <v>190</v>
      </c>
      <c r="FC578" s="319" t="s">
        <v>190</v>
      </c>
      <c r="FD578" s="319" t="s">
        <v>190</v>
      </c>
      <c r="FE578" s="319" t="s">
        <v>190</v>
      </c>
      <c r="FF578" s="319" t="s">
        <v>190</v>
      </c>
      <c r="FG578" s="319" t="s">
        <v>190</v>
      </c>
      <c r="FH578" s="319" t="s">
        <v>190</v>
      </c>
      <c r="FI578" s="319" t="s">
        <v>190</v>
      </c>
      <c r="FJ578" s="319" t="s">
        <v>190</v>
      </c>
      <c r="FK578" s="319" t="s">
        <v>190</v>
      </c>
      <c r="FL578" s="319" t="s">
        <v>190</v>
      </c>
      <c r="FM578" s="319" t="s">
        <v>190</v>
      </c>
      <c r="FN578" s="319" t="s">
        <v>190</v>
      </c>
      <c r="FO578" s="319" t="s">
        <v>190</v>
      </c>
      <c r="FP578" s="319" t="s">
        <v>190</v>
      </c>
      <c r="FQ578" s="319" t="s">
        <v>190</v>
      </c>
      <c r="FR578" s="319" t="s">
        <v>190</v>
      </c>
      <c r="FS578" s="319" t="s">
        <v>428</v>
      </c>
      <c r="FT578" s="319" t="s">
        <v>190</v>
      </c>
      <c r="FU578" s="319" t="s">
        <v>190</v>
      </c>
      <c r="FV578" s="319" t="s">
        <v>190</v>
      </c>
      <c r="FW578" s="319" t="s">
        <v>190</v>
      </c>
      <c r="FX578" s="319" t="s">
        <v>190</v>
      </c>
      <c r="FY578" s="319" t="s">
        <v>190</v>
      </c>
      <c r="FZ578" s="319" t="s">
        <v>190</v>
      </c>
      <c r="GA578" s="319" t="s">
        <v>190</v>
      </c>
      <c r="GB578" s="319" t="s">
        <v>190</v>
      </c>
      <c r="GC578" s="319" t="s">
        <v>190</v>
      </c>
      <c r="GD578" s="319" t="s">
        <v>190</v>
      </c>
      <c r="GE578" s="319" t="s">
        <v>190</v>
      </c>
      <c r="GF578" s="319" t="s">
        <v>190</v>
      </c>
      <c r="GG578" s="319" t="s">
        <v>190</v>
      </c>
      <c r="GH578" s="319" t="s">
        <v>190</v>
      </c>
      <c r="GI578" s="319" t="s">
        <v>190</v>
      </c>
      <c r="GJ578" s="319" t="s">
        <v>190</v>
      </c>
      <c r="GK578" s="319" t="s">
        <v>584</v>
      </c>
      <c r="GL578" s="319" t="s">
        <v>190</v>
      </c>
      <c r="GM578" s="319" t="s">
        <v>190</v>
      </c>
      <c r="GN578" s="319" t="s">
        <v>190</v>
      </c>
      <c r="GO578" s="319" t="s">
        <v>190</v>
      </c>
      <c r="GP578" s="319" t="s">
        <v>190</v>
      </c>
      <c r="GQ578" s="319" t="s">
        <v>190</v>
      </c>
      <c r="GR578" s="319" t="s">
        <v>190</v>
      </c>
      <c r="GS578" s="319" t="s">
        <v>190</v>
      </c>
      <c r="GT578" s="319" t="s">
        <v>428</v>
      </c>
      <c r="GU578" s="319" t="s">
        <v>428</v>
      </c>
      <c r="GV578" s="319" t="s">
        <v>190</v>
      </c>
      <c r="GW578" s="319" t="s">
        <v>190</v>
      </c>
      <c r="GX578" s="319" t="s">
        <v>190</v>
      </c>
      <c r="GY578" s="319" t="s">
        <v>190</v>
      </c>
      <c r="GZ578" s="319" t="s">
        <v>428</v>
      </c>
      <c r="HA578" s="319" t="s">
        <v>190</v>
      </c>
      <c r="HB578" s="319" t="s">
        <v>190</v>
      </c>
      <c r="HC578" s="319" t="s">
        <v>190</v>
      </c>
      <c r="HD578" s="319" t="s">
        <v>190</v>
      </c>
      <c r="HE578" s="319" t="s">
        <v>190</v>
      </c>
      <c r="HF578" s="319" t="s">
        <v>190</v>
      </c>
      <c r="HG578" s="319" t="s">
        <v>190</v>
      </c>
      <c r="HH578" s="319" t="s">
        <v>190</v>
      </c>
      <c r="HI578" s="319" t="s">
        <v>190</v>
      </c>
      <c r="HJ578" s="319" t="s">
        <v>190</v>
      </c>
      <c r="HK578" s="319" t="s">
        <v>190</v>
      </c>
      <c r="HL578" s="319" t="s">
        <v>428</v>
      </c>
      <c r="HM578" s="319" t="s">
        <v>428</v>
      </c>
      <c r="HN578" s="319" t="s">
        <v>428</v>
      </c>
      <c r="HO578" s="319" t="s">
        <v>428</v>
      </c>
      <c r="HP578" s="319" t="s">
        <v>190</v>
      </c>
      <c r="HQ578" s="319" t="s">
        <v>190</v>
      </c>
      <c r="HR578" s="319" t="s">
        <v>190</v>
      </c>
      <c r="HS578" s="319" t="s">
        <v>190</v>
      </c>
      <c r="HT578" s="319" t="s">
        <v>190</v>
      </c>
      <c r="HU578" s="319" t="s">
        <v>190</v>
      </c>
      <c r="HV578" s="319" t="s">
        <v>190</v>
      </c>
      <c r="HW578" s="319" t="s">
        <v>190</v>
      </c>
      <c r="HX578" s="319" t="s">
        <v>190</v>
      </c>
      <c r="HY578" s="319" t="s">
        <v>190</v>
      </c>
      <c r="HZ578" s="319" t="s">
        <v>190</v>
      </c>
      <c r="IA578" s="319" t="s">
        <v>190</v>
      </c>
      <c r="IB578" s="319" t="s">
        <v>190</v>
      </c>
      <c r="IC578" s="319" t="s">
        <v>190</v>
      </c>
      <c r="ID578" s="319" t="s">
        <v>190</v>
      </c>
      <c r="IE578" s="319" t="s">
        <v>190</v>
      </c>
      <c r="IF578" s="319" t="s">
        <v>190</v>
      </c>
      <c r="IG578" s="319" t="s">
        <v>190</v>
      </c>
      <c r="IH578" s="319" t="s">
        <v>190</v>
      </c>
      <c r="II578" s="319" t="s">
        <v>190</v>
      </c>
      <c r="IJ578" s="319">
        <v>10020714</v>
      </c>
      <c r="IK578" s="321">
        <v>42815</v>
      </c>
      <c r="IL578" s="321">
        <v>42817</v>
      </c>
      <c r="IM578" s="321">
        <v>42905</v>
      </c>
      <c r="IN578" s="319">
        <v>3</v>
      </c>
      <c r="IO578" s="319" t="s">
        <v>173</v>
      </c>
      <c r="IP578" s="319" t="s">
        <v>173</v>
      </c>
      <c r="IQ578" s="319" t="s">
        <v>173</v>
      </c>
      <c r="IR578" s="320" t="s">
        <v>173</v>
      </c>
      <c r="IS578" s="320" t="s">
        <v>173</v>
      </c>
      <c r="IT578" s="319" t="s">
        <v>173</v>
      </c>
    </row>
    <row r="579" spans="1:254" s="271" customFormat="1" x14ac:dyDescent="0.25">
      <c r="A579" s="318" t="str">
        <f>HYPERLINK("http://www.ofsted.gov.uk/inspection-reports/find-inspection-report/provider/ELS/135975 ","Ofsted School Webpage")</f>
        <v>Ofsted School Webpage</v>
      </c>
      <c r="B579" s="319">
        <v>135975</v>
      </c>
      <c r="C579" s="319">
        <v>3576003</v>
      </c>
      <c r="D579" s="319" t="s">
        <v>899</v>
      </c>
      <c r="E579" s="319" t="s">
        <v>167</v>
      </c>
      <c r="F579" s="319" t="s">
        <v>81</v>
      </c>
      <c r="G579" s="319" t="s">
        <v>81</v>
      </c>
      <c r="H579" s="319" t="s">
        <v>81</v>
      </c>
      <c r="I579" s="319" t="s">
        <v>78</v>
      </c>
      <c r="J579" s="319" t="s">
        <v>424</v>
      </c>
      <c r="K579" s="319" t="s">
        <v>431</v>
      </c>
      <c r="L579" s="319" t="s">
        <v>431</v>
      </c>
      <c r="M579" s="319" t="s">
        <v>742</v>
      </c>
      <c r="N579" s="319" t="s">
        <v>3306</v>
      </c>
      <c r="O579" s="319" t="s">
        <v>900</v>
      </c>
      <c r="P579" s="319">
        <v>5</v>
      </c>
      <c r="Q579" s="319" t="s">
        <v>2776</v>
      </c>
      <c r="R579" s="320">
        <v>10067904</v>
      </c>
      <c r="S579" s="321">
        <v>43501</v>
      </c>
      <c r="T579" s="321">
        <v>43503</v>
      </c>
      <c r="U579" s="321">
        <v>43528</v>
      </c>
      <c r="V579" s="319" t="s">
        <v>425</v>
      </c>
      <c r="W579" s="319" t="s">
        <v>2767</v>
      </c>
      <c r="X579" s="319">
        <v>2</v>
      </c>
      <c r="Y579" s="319" t="s">
        <v>173</v>
      </c>
      <c r="Z579" s="319" t="s">
        <v>173</v>
      </c>
      <c r="AA579" s="319" t="s">
        <v>173</v>
      </c>
      <c r="AB579" s="319">
        <v>2</v>
      </c>
      <c r="AC579" s="319" t="s">
        <v>169</v>
      </c>
      <c r="AD579" s="319" t="s">
        <v>173</v>
      </c>
      <c r="AE579" s="319" t="s">
        <v>173</v>
      </c>
      <c r="AF579" s="319" t="s">
        <v>427</v>
      </c>
      <c r="AG579" s="319" t="s">
        <v>171</v>
      </c>
      <c r="AH579" s="319" t="s">
        <v>190</v>
      </c>
      <c r="AI579" s="319" t="s">
        <v>190</v>
      </c>
      <c r="AJ579" s="319" t="s">
        <v>190</v>
      </c>
      <c r="AK579" s="319" t="s">
        <v>190</v>
      </c>
      <c r="AL579" s="319" t="s">
        <v>190</v>
      </c>
      <c r="AM579" s="319" t="s">
        <v>190</v>
      </c>
      <c r="AN579" s="319" t="s">
        <v>190</v>
      </c>
      <c r="AO579" s="319" t="s">
        <v>190</v>
      </c>
      <c r="AP579" s="319" t="s">
        <v>190</v>
      </c>
      <c r="AQ579" s="319" t="s">
        <v>190</v>
      </c>
      <c r="AR579" s="319" t="s">
        <v>190</v>
      </c>
      <c r="AS579" s="319" t="s">
        <v>190</v>
      </c>
      <c r="AT579" s="319" t="s">
        <v>190</v>
      </c>
      <c r="AU579" s="319" t="s">
        <v>190</v>
      </c>
      <c r="AV579" s="319" t="s">
        <v>190</v>
      </c>
      <c r="AW579" s="319" t="s">
        <v>190</v>
      </c>
      <c r="AX579" s="319" t="s">
        <v>190</v>
      </c>
      <c r="AY579" s="319" t="s">
        <v>190</v>
      </c>
      <c r="AZ579" s="319" t="s">
        <v>190</v>
      </c>
      <c r="BA579" s="319" t="s">
        <v>190</v>
      </c>
      <c r="BB579" s="319" t="s">
        <v>190</v>
      </c>
      <c r="BC579" s="319" t="s">
        <v>190</v>
      </c>
      <c r="BD579" s="319" t="s">
        <v>190</v>
      </c>
      <c r="BE579" s="319" t="s">
        <v>190</v>
      </c>
      <c r="BF579" s="319" t="s">
        <v>428</v>
      </c>
      <c r="BG579" s="319" t="s">
        <v>190</v>
      </c>
      <c r="BH579" s="319" t="s">
        <v>190</v>
      </c>
      <c r="BI579" s="319" t="s">
        <v>190</v>
      </c>
      <c r="BJ579" s="319" t="s">
        <v>190</v>
      </c>
      <c r="BK579" s="319" t="s">
        <v>190</v>
      </c>
      <c r="BL579" s="319" t="s">
        <v>190</v>
      </c>
      <c r="BM579" s="319" t="s">
        <v>190</v>
      </c>
      <c r="BN579" s="319" t="s">
        <v>190</v>
      </c>
      <c r="BO579" s="319" t="s">
        <v>190</v>
      </c>
      <c r="BP579" s="319" t="s">
        <v>190</v>
      </c>
      <c r="BQ579" s="319" t="s">
        <v>190</v>
      </c>
      <c r="BR579" s="319" t="s">
        <v>190</v>
      </c>
      <c r="BS579" s="319" t="s">
        <v>190</v>
      </c>
      <c r="BT579" s="319" t="s">
        <v>190</v>
      </c>
      <c r="BU579" s="319" t="s">
        <v>190</v>
      </c>
      <c r="BV579" s="319" t="s">
        <v>190</v>
      </c>
      <c r="BW579" s="319" t="s">
        <v>190</v>
      </c>
      <c r="BX579" s="319" t="s">
        <v>190</v>
      </c>
      <c r="BY579" s="319" t="s">
        <v>190</v>
      </c>
      <c r="BZ579" s="319" t="s">
        <v>190</v>
      </c>
      <c r="CA579" s="319" t="s">
        <v>190</v>
      </c>
      <c r="CB579" s="319" t="s">
        <v>190</v>
      </c>
      <c r="CC579" s="319" t="s">
        <v>190</v>
      </c>
      <c r="CD579" s="319" t="s">
        <v>190</v>
      </c>
      <c r="CE579" s="319" t="s">
        <v>190</v>
      </c>
      <c r="CF579" s="319" t="s">
        <v>190</v>
      </c>
      <c r="CG579" s="319" t="s">
        <v>190</v>
      </c>
      <c r="CH579" s="319" t="s">
        <v>190</v>
      </c>
      <c r="CI579" s="319" t="s">
        <v>190</v>
      </c>
      <c r="CJ579" s="319" t="s">
        <v>190</v>
      </c>
      <c r="CK579" s="319" t="s">
        <v>190</v>
      </c>
      <c r="CL579" s="319" t="s">
        <v>190</v>
      </c>
      <c r="CM579" s="319" t="s">
        <v>190</v>
      </c>
      <c r="CN579" s="319" t="s">
        <v>428</v>
      </c>
      <c r="CO579" s="319" t="s">
        <v>428</v>
      </c>
      <c r="CP579" s="319" t="s">
        <v>428</v>
      </c>
      <c r="CQ579" s="319" t="s">
        <v>190</v>
      </c>
      <c r="CR579" s="319" t="s">
        <v>190</v>
      </c>
      <c r="CS579" s="319" t="s">
        <v>190</v>
      </c>
      <c r="CT579" s="319" t="s">
        <v>190</v>
      </c>
      <c r="CU579" s="319" t="s">
        <v>190</v>
      </c>
      <c r="CV579" s="319" t="s">
        <v>190</v>
      </c>
      <c r="CW579" s="319" t="s">
        <v>190</v>
      </c>
      <c r="CX579" s="319" t="s">
        <v>190</v>
      </c>
      <c r="CY579" s="319" t="s">
        <v>190</v>
      </c>
      <c r="CZ579" s="319" t="s">
        <v>190</v>
      </c>
      <c r="DA579" s="319" t="s">
        <v>190</v>
      </c>
      <c r="DB579" s="319" t="s">
        <v>190</v>
      </c>
      <c r="DC579" s="319" t="s">
        <v>190</v>
      </c>
      <c r="DD579" s="319" t="s">
        <v>190</v>
      </c>
      <c r="DE579" s="319" t="s">
        <v>190</v>
      </c>
      <c r="DF579" s="319" t="s">
        <v>190</v>
      </c>
      <c r="DG579" s="319" t="s">
        <v>190</v>
      </c>
      <c r="DH579" s="319" t="s">
        <v>190</v>
      </c>
      <c r="DI579" s="319" t="s">
        <v>190</v>
      </c>
      <c r="DJ579" s="319" t="s">
        <v>190</v>
      </c>
      <c r="DK579" s="319" t="s">
        <v>190</v>
      </c>
      <c r="DL579" s="319" t="s">
        <v>190</v>
      </c>
      <c r="DM579" s="319" t="s">
        <v>190</v>
      </c>
      <c r="DN579" s="319" t="s">
        <v>428</v>
      </c>
      <c r="DO579" s="319" t="s">
        <v>190</v>
      </c>
      <c r="DP579" s="319" t="s">
        <v>190</v>
      </c>
      <c r="DQ579" s="319" t="s">
        <v>190</v>
      </c>
      <c r="DR579" s="319" t="s">
        <v>190</v>
      </c>
      <c r="DS579" s="319" t="s">
        <v>190</v>
      </c>
      <c r="DT579" s="319" t="s">
        <v>190</v>
      </c>
      <c r="DU579" s="319" t="s">
        <v>190</v>
      </c>
      <c r="DV579" s="319" t="s">
        <v>173</v>
      </c>
      <c r="DW579" s="319" t="s">
        <v>190</v>
      </c>
      <c r="DX579" s="319" t="s">
        <v>190</v>
      </c>
      <c r="DY579" s="319" t="s">
        <v>190</v>
      </c>
      <c r="DZ579" s="319" t="s">
        <v>190</v>
      </c>
      <c r="EA579" s="319" t="s">
        <v>190</v>
      </c>
      <c r="EB579" s="319" t="s">
        <v>190</v>
      </c>
      <c r="EC579" s="319" t="s">
        <v>428</v>
      </c>
      <c r="ED579" s="319" t="s">
        <v>190</v>
      </c>
      <c r="EE579" s="319" t="s">
        <v>190</v>
      </c>
      <c r="EF579" s="319" t="s">
        <v>190</v>
      </c>
      <c r="EG579" s="319" t="s">
        <v>190</v>
      </c>
      <c r="EH579" s="319" t="s">
        <v>190</v>
      </c>
      <c r="EI579" s="319" t="s">
        <v>190</v>
      </c>
      <c r="EJ579" s="319" t="s">
        <v>190</v>
      </c>
      <c r="EK579" s="319" t="s">
        <v>190</v>
      </c>
      <c r="EL579" s="319" t="s">
        <v>190</v>
      </c>
      <c r="EM579" s="319" t="s">
        <v>190</v>
      </c>
      <c r="EN579" s="319" t="s">
        <v>190</v>
      </c>
      <c r="EO579" s="319" t="s">
        <v>190</v>
      </c>
      <c r="EP579" s="319" t="s">
        <v>190</v>
      </c>
      <c r="EQ579" s="319" t="s">
        <v>190</v>
      </c>
      <c r="ER579" s="319" t="s">
        <v>190</v>
      </c>
      <c r="ES579" s="319" t="s">
        <v>190</v>
      </c>
      <c r="ET579" s="319" t="s">
        <v>190</v>
      </c>
      <c r="EU579" s="319" t="s">
        <v>190</v>
      </c>
      <c r="EV579" s="319" t="s">
        <v>190</v>
      </c>
      <c r="EW579" s="319" t="s">
        <v>190</v>
      </c>
      <c r="EX579" s="319" t="s">
        <v>190</v>
      </c>
      <c r="EY579" s="319" t="s">
        <v>190</v>
      </c>
      <c r="EZ579" s="319" t="s">
        <v>190</v>
      </c>
      <c r="FA579" s="319" t="s">
        <v>190</v>
      </c>
      <c r="FB579" s="319" t="s">
        <v>190</v>
      </c>
      <c r="FC579" s="319" t="s">
        <v>190</v>
      </c>
      <c r="FD579" s="319" t="s">
        <v>190</v>
      </c>
      <c r="FE579" s="319" t="s">
        <v>190</v>
      </c>
      <c r="FF579" s="319" t="s">
        <v>190</v>
      </c>
      <c r="FG579" s="319" t="s">
        <v>190</v>
      </c>
      <c r="FH579" s="319" t="s">
        <v>190</v>
      </c>
      <c r="FI579" s="319" t="s">
        <v>190</v>
      </c>
      <c r="FJ579" s="319" t="s">
        <v>190</v>
      </c>
      <c r="FK579" s="319" t="s">
        <v>190</v>
      </c>
      <c r="FL579" s="319" t="s">
        <v>190</v>
      </c>
      <c r="FM579" s="319" t="s">
        <v>190</v>
      </c>
      <c r="FN579" s="319" t="s">
        <v>190</v>
      </c>
      <c r="FO579" s="319" t="s">
        <v>190</v>
      </c>
      <c r="FP579" s="319" t="s">
        <v>190</v>
      </c>
      <c r="FQ579" s="319" t="s">
        <v>190</v>
      </c>
      <c r="FR579" s="319" t="s">
        <v>190</v>
      </c>
      <c r="FS579" s="319" t="s">
        <v>428</v>
      </c>
      <c r="FT579" s="319" t="s">
        <v>190</v>
      </c>
      <c r="FU579" s="319" t="s">
        <v>190</v>
      </c>
      <c r="FV579" s="319" t="s">
        <v>190</v>
      </c>
      <c r="FW579" s="319" t="s">
        <v>190</v>
      </c>
      <c r="FX579" s="319" t="s">
        <v>190</v>
      </c>
      <c r="FY579" s="319" t="s">
        <v>190</v>
      </c>
      <c r="FZ579" s="319" t="s">
        <v>190</v>
      </c>
      <c r="GA579" s="319" t="s">
        <v>190</v>
      </c>
      <c r="GB579" s="319" t="s">
        <v>190</v>
      </c>
      <c r="GC579" s="319" t="s">
        <v>190</v>
      </c>
      <c r="GD579" s="319" t="s">
        <v>190</v>
      </c>
      <c r="GE579" s="319" t="s">
        <v>190</v>
      </c>
      <c r="GF579" s="319" t="s">
        <v>190</v>
      </c>
      <c r="GG579" s="319" t="s">
        <v>190</v>
      </c>
      <c r="GH579" s="319" t="s">
        <v>190</v>
      </c>
      <c r="GI579" s="319" t="s">
        <v>190</v>
      </c>
      <c r="GJ579" s="319" t="s">
        <v>190</v>
      </c>
      <c r="GK579" s="319" t="s">
        <v>428</v>
      </c>
      <c r="GL579" s="319" t="s">
        <v>190</v>
      </c>
      <c r="GM579" s="319" t="s">
        <v>190</v>
      </c>
      <c r="GN579" s="319" t="s">
        <v>190</v>
      </c>
      <c r="GO579" s="319" t="s">
        <v>190</v>
      </c>
      <c r="GP579" s="319" t="s">
        <v>190</v>
      </c>
      <c r="GQ579" s="319" t="s">
        <v>190</v>
      </c>
      <c r="GR579" s="319" t="s">
        <v>190</v>
      </c>
      <c r="GS579" s="319" t="s">
        <v>190</v>
      </c>
      <c r="GT579" s="319" t="s">
        <v>190</v>
      </c>
      <c r="GU579" s="319" t="s">
        <v>190</v>
      </c>
      <c r="GV579" s="319" t="s">
        <v>190</v>
      </c>
      <c r="GW579" s="319" t="s">
        <v>190</v>
      </c>
      <c r="GX579" s="319" t="s">
        <v>190</v>
      </c>
      <c r="GY579" s="319" t="s">
        <v>190</v>
      </c>
      <c r="GZ579" s="319" t="s">
        <v>190</v>
      </c>
      <c r="HA579" s="319" t="s">
        <v>428</v>
      </c>
      <c r="HB579" s="319" t="s">
        <v>428</v>
      </c>
      <c r="HC579" s="319" t="s">
        <v>190</v>
      </c>
      <c r="HD579" s="319" t="s">
        <v>190</v>
      </c>
      <c r="HE579" s="319" t="s">
        <v>190</v>
      </c>
      <c r="HF579" s="319" t="s">
        <v>190</v>
      </c>
      <c r="HG579" s="319" t="s">
        <v>190</v>
      </c>
      <c r="HH579" s="319" t="s">
        <v>190</v>
      </c>
      <c r="HI579" s="319" t="s">
        <v>428</v>
      </c>
      <c r="HJ579" s="319" t="s">
        <v>190</v>
      </c>
      <c r="HK579" s="319" t="s">
        <v>190</v>
      </c>
      <c r="HL579" s="319" t="s">
        <v>428</v>
      </c>
      <c r="HM579" s="319" t="s">
        <v>428</v>
      </c>
      <c r="HN579" s="319" t="s">
        <v>428</v>
      </c>
      <c r="HO579" s="319" t="s">
        <v>428</v>
      </c>
      <c r="HP579" s="319" t="s">
        <v>190</v>
      </c>
      <c r="HQ579" s="319" t="s">
        <v>190</v>
      </c>
      <c r="HR579" s="319" t="s">
        <v>190</v>
      </c>
      <c r="HS579" s="319" t="s">
        <v>190</v>
      </c>
      <c r="HT579" s="319" t="s">
        <v>190</v>
      </c>
      <c r="HU579" s="319" t="s">
        <v>190</v>
      </c>
      <c r="HV579" s="319" t="s">
        <v>190</v>
      </c>
      <c r="HW579" s="319" t="s">
        <v>190</v>
      </c>
      <c r="HX579" s="319" t="s">
        <v>190</v>
      </c>
      <c r="HY579" s="319" t="s">
        <v>190</v>
      </c>
      <c r="HZ579" s="319" t="s">
        <v>190</v>
      </c>
      <c r="IA579" s="319" t="s">
        <v>190</v>
      </c>
      <c r="IB579" s="319" t="s">
        <v>190</v>
      </c>
      <c r="IC579" s="319" t="s">
        <v>190</v>
      </c>
      <c r="ID579" s="319" t="s">
        <v>190</v>
      </c>
      <c r="IE579" s="319" t="s">
        <v>190</v>
      </c>
      <c r="IF579" s="319" t="s">
        <v>190</v>
      </c>
      <c r="IG579" s="319" t="s">
        <v>190</v>
      </c>
      <c r="IH579" s="319" t="s">
        <v>190</v>
      </c>
      <c r="II579" s="319" t="s">
        <v>190</v>
      </c>
      <c r="IJ579" s="319">
        <v>10020741</v>
      </c>
      <c r="IK579" s="321">
        <v>42626</v>
      </c>
      <c r="IL579" s="321">
        <v>42628</v>
      </c>
      <c r="IM579" s="321">
        <v>42661</v>
      </c>
      <c r="IN579" s="319">
        <v>1</v>
      </c>
      <c r="IO579" s="319" t="s">
        <v>173</v>
      </c>
      <c r="IP579" s="319" t="s">
        <v>173</v>
      </c>
      <c r="IQ579" s="321" t="s">
        <v>173</v>
      </c>
      <c r="IR579" s="320" t="s">
        <v>173</v>
      </c>
      <c r="IS579" s="322" t="s">
        <v>173</v>
      </c>
      <c r="IT579" s="319" t="s">
        <v>173</v>
      </c>
    </row>
    <row r="580" spans="1:254" s="271" customFormat="1" x14ac:dyDescent="0.25">
      <c r="A580" s="318" t="str">
        <f>HYPERLINK("http://www.ofsted.gov.uk/inspection-reports/find-inspection-report/provider/ELS/135988 ","Ofsted School Webpage")</f>
        <v>Ofsted School Webpage</v>
      </c>
      <c r="B580" s="319">
        <v>135988</v>
      </c>
      <c r="C580" s="319">
        <v>3096088</v>
      </c>
      <c r="D580" s="319" t="s">
        <v>774</v>
      </c>
      <c r="E580" s="319" t="s">
        <v>167</v>
      </c>
      <c r="F580" s="319" t="s">
        <v>81</v>
      </c>
      <c r="G580" s="319" t="s">
        <v>81</v>
      </c>
      <c r="H580" s="319" t="s">
        <v>81</v>
      </c>
      <c r="I580" s="319" t="s">
        <v>78</v>
      </c>
      <c r="J580" s="319" t="s">
        <v>424</v>
      </c>
      <c r="K580" s="319" t="s">
        <v>441</v>
      </c>
      <c r="L580" s="319" t="s">
        <v>441</v>
      </c>
      <c r="M580" s="319" t="s">
        <v>527</v>
      </c>
      <c r="N580" s="319" t="s">
        <v>2841</v>
      </c>
      <c r="O580" s="319" t="s">
        <v>775</v>
      </c>
      <c r="P580" s="319">
        <v>107</v>
      </c>
      <c r="Q580" s="319" t="s">
        <v>2766</v>
      </c>
      <c r="R580" s="320">
        <v>10055510</v>
      </c>
      <c r="S580" s="321">
        <v>43445</v>
      </c>
      <c r="T580" s="321">
        <v>43447</v>
      </c>
      <c r="U580" s="321">
        <v>43524</v>
      </c>
      <c r="V580" s="319" t="s">
        <v>425</v>
      </c>
      <c r="W580" s="319" t="s">
        <v>2767</v>
      </c>
      <c r="X580" s="319">
        <v>4</v>
      </c>
      <c r="Y580" s="319" t="s">
        <v>173</v>
      </c>
      <c r="Z580" s="319" t="s">
        <v>173</v>
      </c>
      <c r="AA580" s="319" t="s">
        <v>173</v>
      </c>
      <c r="AB580" s="319">
        <v>4</v>
      </c>
      <c r="AC580" s="319" t="s">
        <v>170</v>
      </c>
      <c r="AD580" s="319">
        <v>4</v>
      </c>
      <c r="AE580" s="319" t="s">
        <v>173</v>
      </c>
      <c r="AF580" s="319" t="s">
        <v>447</v>
      </c>
      <c r="AG580" s="319" t="s">
        <v>172</v>
      </c>
      <c r="AH580" s="319" t="s">
        <v>479</v>
      </c>
      <c r="AI580" s="319" t="s">
        <v>190</v>
      </c>
      <c r="AJ580" s="319" t="s">
        <v>479</v>
      </c>
      <c r="AK580" s="319" t="s">
        <v>190</v>
      </c>
      <c r="AL580" s="319" t="s">
        <v>190</v>
      </c>
      <c r="AM580" s="319" t="s">
        <v>190</v>
      </c>
      <c r="AN580" s="319" t="s">
        <v>479</v>
      </c>
      <c r="AO580" s="319" t="s">
        <v>479</v>
      </c>
      <c r="AP580" s="319" t="s">
        <v>190</v>
      </c>
      <c r="AQ580" s="319" t="s">
        <v>190</v>
      </c>
      <c r="AR580" s="319" t="s">
        <v>190</v>
      </c>
      <c r="AS580" s="319" t="s">
        <v>190</v>
      </c>
      <c r="AT580" s="319" t="s">
        <v>190</v>
      </c>
      <c r="AU580" s="319" t="s">
        <v>190</v>
      </c>
      <c r="AV580" s="319" t="s">
        <v>190</v>
      </c>
      <c r="AW580" s="319" t="s">
        <v>190</v>
      </c>
      <c r="AX580" s="319" t="s">
        <v>428</v>
      </c>
      <c r="AY580" s="319" t="s">
        <v>190</v>
      </c>
      <c r="AZ580" s="319" t="s">
        <v>190</v>
      </c>
      <c r="BA580" s="319" t="s">
        <v>190</v>
      </c>
      <c r="BB580" s="319" t="s">
        <v>428</v>
      </c>
      <c r="BC580" s="319" t="s">
        <v>428</v>
      </c>
      <c r="BD580" s="319" t="s">
        <v>428</v>
      </c>
      <c r="BE580" s="319" t="s">
        <v>428</v>
      </c>
      <c r="BF580" s="319" t="s">
        <v>190</v>
      </c>
      <c r="BG580" s="319" t="s">
        <v>190</v>
      </c>
      <c r="BH580" s="319" t="s">
        <v>190</v>
      </c>
      <c r="BI580" s="319" t="s">
        <v>190</v>
      </c>
      <c r="BJ580" s="319" t="s">
        <v>191</v>
      </c>
      <c r="BK580" s="319" t="s">
        <v>191</v>
      </c>
      <c r="BL580" s="319" t="s">
        <v>191</v>
      </c>
      <c r="BM580" s="319" t="s">
        <v>191</v>
      </c>
      <c r="BN580" s="319" t="s">
        <v>191</v>
      </c>
      <c r="BO580" s="319" t="s">
        <v>191</v>
      </c>
      <c r="BP580" s="319" t="s">
        <v>191</v>
      </c>
      <c r="BQ580" s="319" t="s">
        <v>191</v>
      </c>
      <c r="BR580" s="319" t="s">
        <v>191</v>
      </c>
      <c r="BS580" s="319" t="s">
        <v>190</v>
      </c>
      <c r="BT580" s="319" t="s">
        <v>190</v>
      </c>
      <c r="BU580" s="319" t="s">
        <v>190</v>
      </c>
      <c r="BV580" s="319" t="s">
        <v>190</v>
      </c>
      <c r="BW580" s="319" t="s">
        <v>190</v>
      </c>
      <c r="BX580" s="319" t="s">
        <v>190</v>
      </c>
      <c r="BY580" s="319" t="s">
        <v>190</v>
      </c>
      <c r="BZ580" s="319" t="s">
        <v>190</v>
      </c>
      <c r="CA580" s="319" t="s">
        <v>190</v>
      </c>
      <c r="CB580" s="319" t="s">
        <v>190</v>
      </c>
      <c r="CC580" s="319" t="s">
        <v>190</v>
      </c>
      <c r="CD580" s="319" t="s">
        <v>190</v>
      </c>
      <c r="CE580" s="319" t="s">
        <v>190</v>
      </c>
      <c r="CF580" s="319" t="s">
        <v>190</v>
      </c>
      <c r="CG580" s="319" t="s">
        <v>190</v>
      </c>
      <c r="CH580" s="319" t="s">
        <v>190</v>
      </c>
      <c r="CI580" s="319" t="s">
        <v>190</v>
      </c>
      <c r="CJ580" s="319" t="s">
        <v>190</v>
      </c>
      <c r="CK580" s="319" t="s">
        <v>191</v>
      </c>
      <c r="CL580" s="319" t="s">
        <v>191</v>
      </c>
      <c r="CM580" s="319" t="s">
        <v>191</v>
      </c>
      <c r="CN580" s="319" t="s">
        <v>428</v>
      </c>
      <c r="CO580" s="319" t="s">
        <v>428</v>
      </c>
      <c r="CP580" s="319" t="s">
        <v>428</v>
      </c>
      <c r="CQ580" s="319" t="s">
        <v>191</v>
      </c>
      <c r="CR580" s="319" t="s">
        <v>190</v>
      </c>
      <c r="CS580" s="319" t="s">
        <v>191</v>
      </c>
      <c r="CT580" s="319" t="s">
        <v>191</v>
      </c>
      <c r="CU580" s="319" t="s">
        <v>190</v>
      </c>
      <c r="CV580" s="319" t="s">
        <v>190</v>
      </c>
      <c r="CW580" s="319" t="s">
        <v>190</v>
      </c>
      <c r="CX580" s="319" t="s">
        <v>190</v>
      </c>
      <c r="CY580" s="319" t="s">
        <v>190</v>
      </c>
      <c r="CZ580" s="319" t="s">
        <v>191</v>
      </c>
      <c r="DA580" s="319" t="s">
        <v>191</v>
      </c>
      <c r="DB580" s="319" t="s">
        <v>191</v>
      </c>
      <c r="DC580" s="319" t="s">
        <v>191</v>
      </c>
      <c r="DD580" s="319" t="s">
        <v>190</v>
      </c>
      <c r="DE580" s="319" t="s">
        <v>190</v>
      </c>
      <c r="DF580" s="319" t="s">
        <v>190</v>
      </c>
      <c r="DG580" s="319" t="s">
        <v>190</v>
      </c>
      <c r="DH580" s="319" t="s">
        <v>190</v>
      </c>
      <c r="DI580" s="319" t="s">
        <v>190</v>
      </c>
      <c r="DJ580" s="319" t="s">
        <v>190</v>
      </c>
      <c r="DK580" s="319" t="s">
        <v>190</v>
      </c>
      <c r="DL580" s="319" t="s">
        <v>190</v>
      </c>
      <c r="DM580" s="319" t="s">
        <v>190</v>
      </c>
      <c r="DN580" s="319" t="s">
        <v>428</v>
      </c>
      <c r="DO580" s="319" t="s">
        <v>428</v>
      </c>
      <c r="DP580" s="319" t="s">
        <v>428</v>
      </c>
      <c r="DQ580" s="319" t="s">
        <v>428</v>
      </c>
      <c r="DR580" s="319" t="s">
        <v>428</v>
      </c>
      <c r="DS580" s="319" t="s">
        <v>428</v>
      </c>
      <c r="DT580" s="319" t="s">
        <v>428</v>
      </c>
      <c r="DU580" s="319" t="s">
        <v>428</v>
      </c>
      <c r="DV580" s="319" t="s">
        <v>173</v>
      </c>
      <c r="DW580" s="319" t="s">
        <v>428</v>
      </c>
      <c r="DX580" s="319" t="s">
        <v>428</v>
      </c>
      <c r="DY580" s="319" t="s">
        <v>428</v>
      </c>
      <c r="DZ580" s="319" t="s">
        <v>428</v>
      </c>
      <c r="EA580" s="319" t="s">
        <v>428</v>
      </c>
      <c r="EB580" s="319" t="s">
        <v>428</v>
      </c>
      <c r="EC580" s="319" t="s">
        <v>428</v>
      </c>
      <c r="ED580" s="319" t="s">
        <v>428</v>
      </c>
      <c r="EE580" s="319" t="s">
        <v>428</v>
      </c>
      <c r="EF580" s="319" t="s">
        <v>428</v>
      </c>
      <c r="EG580" s="319" t="s">
        <v>428</v>
      </c>
      <c r="EH580" s="319" t="s">
        <v>428</v>
      </c>
      <c r="EI580" s="319" t="s">
        <v>428</v>
      </c>
      <c r="EJ580" s="319" t="s">
        <v>428</v>
      </c>
      <c r="EK580" s="319" t="s">
        <v>428</v>
      </c>
      <c r="EL580" s="319" t="s">
        <v>428</v>
      </c>
      <c r="EM580" s="319" t="s">
        <v>428</v>
      </c>
      <c r="EN580" s="319" t="s">
        <v>428</v>
      </c>
      <c r="EO580" s="319" t="s">
        <v>428</v>
      </c>
      <c r="EP580" s="319" t="s">
        <v>428</v>
      </c>
      <c r="EQ580" s="319" t="s">
        <v>428</v>
      </c>
      <c r="ER580" s="319" t="s">
        <v>428</v>
      </c>
      <c r="ES580" s="319" t="s">
        <v>428</v>
      </c>
      <c r="ET580" s="319" t="s">
        <v>428</v>
      </c>
      <c r="EU580" s="319" t="s">
        <v>428</v>
      </c>
      <c r="EV580" s="319" t="s">
        <v>428</v>
      </c>
      <c r="EW580" s="319" t="s">
        <v>428</v>
      </c>
      <c r="EX580" s="319" t="s">
        <v>428</v>
      </c>
      <c r="EY580" s="319" t="s">
        <v>428</v>
      </c>
      <c r="EZ580" s="319" t="s">
        <v>428</v>
      </c>
      <c r="FA580" s="319" t="s">
        <v>428</v>
      </c>
      <c r="FB580" s="319" t="s">
        <v>428</v>
      </c>
      <c r="FC580" s="319" t="s">
        <v>428</v>
      </c>
      <c r="FD580" s="319" t="s">
        <v>428</v>
      </c>
      <c r="FE580" s="319" t="s">
        <v>428</v>
      </c>
      <c r="FF580" s="319" t="s">
        <v>428</v>
      </c>
      <c r="FG580" s="319" t="s">
        <v>428</v>
      </c>
      <c r="FH580" s="319" t="s">
        <v>428</v>
      </c>
      <c r="FI580" s="319" t="s">
        <v>428</v>
      </c>
      <c r="FJ580" s="319" t="s">
        <v>429</v>
      </c>
      <c r="FK580" s="319" t="s">
        <v>428</v>
      </c>
      <c r="FL580" s="319" t="s">
        <v>190</v>
      </c>
      <c r="FM580" s="319" t="s">
        <v>190</v>
      </c>
      <c r="FN580" s="319" t="s">
        <v>190</v>
      </c>
      <c r="FO580" s="319" t="s">
        <v>428</v>
      </c>
      <c r="FP580" s="319" t="s">
        <v>190</v>
      </c>
      <c r="FQ580" s="319" t="s">
        <v>190</v>
      </c>
      <c r="FR580" s="319" t="s">
        <v>190</v>
      </c>
      <c r="FS580" s="319" t="s">
        <v>428</v>
      </c>
      <c r="FT580" s="319" t="s">
        <v>190</v>
      </c>
      <c r="FU580" s="319" t="s">
        <v>190</v>
      </c>
      <c r="FV580" s="319" t="s">
        <v>190</v>
      </c>
      <c r="FW580" s="319" t="s">
        <v>190</v>
      </c>
      <c r="FX580" s="319" t="s">
        <v>190</v>
      </c>
      <c r="FY580" s="319" t="s">
        <v>190</v>
      </c>
      <c r="FZ580" s="319" t="s">
        <v>190</v>
      </c>
      <c r="GA580" s="319" t="s">
        <v>190</v>
      </c>
      <c r="GB580" s="319" t="s">
        <v>190</v>
      </c>
      <c r="GC580" s="319" t="s">
        <v>190</v>
      </c>
      <c r="GD580" s="319" t="s">
        <v>190</v>
      </c>
      <c r="GE580" s="319" t="s">
        <v>190</v>
      </c>
      <c r="GF580" s="319" t="s">
        <v>190</v>
      </c>
      <c r="GG580" s="319" t="s">
        <v>190</v>
      </c>
      <c r="GH580" s="319" t="s">
        <v>190</v>
      </c>
      <c r="GI580" s="319" t="s">
        <v>190</v>
      </c>
      <c r="GJ580" s="319" t="s">
        <v>190</v>
      </c>
      <c r="GK580" s="319" t="s">
        <v>428</v>
      </c>
      <c r="GL580" s="319" t="s">
        <v>190</v>
      </c>
      <c r="GM580" s="319" t="s">
        <v>190</v>
      </c>
      <c r="GN580" s="319" t="s">
        <v>190</v>
      </c>
      <c r="GO580" s="319" t="s">
        <v>190</v>
      </c>
      <c r="GP580" s="319" t="s">
        <v>190</v>
      </c>
      <c r="GQ580" s="319" t="s">
        <v>190</v>
      </c>
      <c r="GR580" s="319" t="s">
        <v>190</v>
      </c>
      <c r="GS580" s="319" t="s">
        <v>190</v>
      </c>
      <c r="GT580" s="319" t="s">
        <v>428</v>
      </c>
      <c r="GU580" s="319" t="s">
        <v>428</v>
      </c>
      <c r="GV580" s="319" t="s">
        <v>428</v>
      </c>
      <c r="GW580" s="319" t="s">
        <v>191</v>
      </c>
      <c r="GX580" s="319" t="s">
        <v>190</v>
      </c>
      <c r="GY580" s="319" t="s">
        <v>190</v>
      </c>
      <c r="GZ580" s="319" t="s">
        <v>190</v>
      </c>
      <c r="HA580" s="319" t="s">
        <v>428</v>
      </c>
      <c r="HB580" s="319" t="s">
        <v>191</v>
      </c>
      <c r="HC580" s="319" t="s">
        <v>190</v>
      </c>
      <c r="HD580" s="319" t="s">
        <v>190</v>
      </c>
      <c r="HE580" s="319" t="s">
        <v>190</v>
      </c>
      <c r="HF580" s="319" t="s">
        <v>190</v>
      </c>
      <c r="HG580" s="319" t="s">
        <v>190</v>
      </c>
      <c r="HH580" s="319" t="s">
        <v>190</v>
      </c>
      <c r="HI580" s="319" t="s">
        <v>190</v>
      </c>
      <c r="HJ580" s="319" t="s">
        <v>190</v>
      </c>
      <c r="HK580" s="319" t="s">
        <v>190</v>
      </c>
      <c r="HL580" s="319" t="s">
        <v>190</v>
      </c>
      <c r="HM580" s="319" t="s">
        <v>428</v>
      </c>
      <c r="HN580" s="319" t="s">
        <v>428</v>
      </c>
      <c r="HO580" s="319" t="s">
        <v>428</v>
      </c>
      <c r="HP580" s="319" t="s">
        <v>191</v>
      </c>
      <c r="HQ580" s="319" t="s">
        <v>190</v>
      </c>
      <c r="HR580" s="319" t="s">
        <v>190</v>
      </c>
      <c r="HS580" s="319" t="s">
        <v>190</v>
      </c>
      <c r="HT580" s="319" t="s">
        <v>190</v>
      </c>
      <c r="HU580" s="319" t="s">
        <v>191</v>
      </c>
      <c r="HV580" s="319" t="s">
        <v>191</v>
      </c>
      <c r="HW580" s="319" t="s">
        <v>191</v>
      </c>
      <c r="HX580" s="319" t="s">
        <v>191</v>
      </c>
      <c r="HY580" s="319" t="s">
        <v>191</v>
      </c>
      <c r="HZ580" s="319" t="s">
        <v>191</v>
      </c>
      <c r="IA580" s="319" t="s">
        <v>191</v>
      </c>
      <c r="IB580" s="319" t="s">
        <v>191</v>
      </c>
      <c r="IC580" s="319" t="s">
        <v>191</v>
      </c>
      <c r="ID580" s="319" t="s">
        <v>191</v>
      </c>
      <c r="IE580" s="319" t="s">
        <v>190</v>
      </c>
      <c r="IF580" s="319" t="s">
        <v>191</v>
      </c>
      <c r="IG580" s="319" t="s">
        <v>191</v>
      </c>
      <c r="IH580" s="319" t="s">
        <v>191</v>
      </c>
      <c r="II580" s="319" t="s">
        <v>191</v>
      </c>
      <c r="IJ580" s="319">
        <v>10012782</v>
      </c>
      <c r="IK580" s="321">
        <v>43018</v>
      </c>
      <c r="IL580" s="321">
        <v>43020</v>
      </c>
      <c r="IM580" s="321">
        <v>43112</v>
      </c>
      <c r="IN580" s="319">
        <v>3</v>
      </c>
      <c r="IO580" s="319">
        <v>10105611</v>
      </c>
      <c r="IP580" s="319" t="s">
        <v>985</v>
      </c>
      <c r="IQ580" s="321">
        <v>43654</v>
      </c>
      <c r="IR580" s="320" t="s">
        <v>1223</v>
      </c>
      <c r="IS580" s="322">
        <v>43723</v>
      </c>
      <c r="IT580" s="319" t="s">
        <v>166</v>
      </c>
    </row>
    <row r="581" spans="1:254" s="271" customFormat="1" x14ac:dyDescent="0.25">
      <c r="A581" s="318" t="str">
        <f>HYPERLINK("http://www.ofsted.gov.uk/inspection-reports/find-inspection-report/provider/ELS/135990 ","Ofsted School Webpage")</f>
        <v>Ofsted School Webpage</v>
      </c>
      <c r="B581" s="319">
        <v>135990</v>
      </c>
      <c r="C581" s="319">
        <v>8226014</v>
      </c>
      <c r="D581" s="319" t="s">
        <v>2006</v>
      </c>
      <c r="E581" s="319" t="s">
        <v>168</v>
      </c>
      <c r="F581" s="319" t="s">
        <v>81</v>
      </c>
      <c r="G581" s="319" t="s">
        <v>81</v>
      </c>
      <c r="H581" s="319" t="s">
        <v>81</v>
      </c>
      <c r="I581" s="319" t="s">
        <v>78</v>
      </c>
      <c r="J581" s="319" t="s">
        <v>424</v>
      </c>
      <c r="K581" s="319" t="s">
        <v>451</v>
      </c>
      <c r="L581" s="319" t="s">
        <v>451</v>
      </c>
      <c r="M581" s="319" t="s">
        <v>1026</v>
      </c>
      <c r="N581" s="319" t="s">
        <v>3336</v>
      </c>
      <c r="O581" s="319" t="s">
        <v>2007</v>
      </c>
      <c r="P581" s="319">
        <v>7</v>
      </c>
      <c r="Q581" s="319" t="s">
        <v>429</v>
      </c>
      <c r="R581" s="320">
        <v>10054010</v>
      </c>
      <c r="S581" s="321">
        <v>43263</v>
      </c>
      <c r="T581" s="321">
        <v>43265</v>
      </c>
      <c r="U581" s="321">
        <v>43305</v>
      </c>
      <c r="V581" s="319" t="s">
        <v>425</v>
      </c>
      <c r="W581" s="319" t="s">
        <v>2767</v>
      </c>
      <c r="X581" s="319">
        <v>3</v>
      </c>
      <c r="Y581" s="319" t="s">
        <v>173</v>
      </c>
      <c r="Z581" s="319" t="s">
        <v>173</v>
      </c>
      <c r="AA581" s="319" t="s">
        <v>173</v>
      </c>
      <c r="AB581" s="319">
        <v>3</v>
      </c>
      <c r="AC581" s="319" t="s">
        <v>169</v>
      </c>
      <c r="AD581" s="319" t="s">
        <v>173</v>
      </c>
      <c r="AE581" s="319">
        <v>3</v>
      </c>
      <c r="AF581" s="319" t="s">
        <v>427</v>
      </c>
      <c r="AG581" s="319" t="s">
        <v>172</v>
      </c>
      <c r="AH581" s="319" t="s">
        <v>479</v>
      </c>
      <c r="AI581" s="319" t="s">
        <v>190</v>
      </c>
      <c r="AJ581" s="319" t="s">
        <v>190</v>
      </c>
      <c r="AK581" s="319" t="s">
        <v>190</v>
      </c>
      <c r="AL581" s="319" t="s">
        <v>190</v>
      </c>
      <c r="AM581" s="319" t="s">
        <v>190</v>
      </c>
      <c r="AN581" s="319" t="s">
        <v>190</v>
      </c>
      <c r="AO581" s="319" t="s">
        <v>479</v>
      </c>
      <c r="AP581" s="319" t="s">
        <v>190</v>
      </c>
      <c r="AQ581" s="319" t="s">
        <v>190</v>
      </c>
      <c r="AR581" s="319" t="s">
        <v>190</v>
      </c>
      <c r="AS581" s="319" t="s">
        <v>190</v>
      </c>
      <c r="AT581" s="319" t="s">
        <v>190</v>
      </c>
      <c r="AU581" s="319" t="s">
        <v>190</v>
      </c>
      <c r="AV581" s="319" t="s">
        <v>190</v>
      </c>
      <c r="AW581" s="319" t="s">
        <v>190</v>
      </c>
      <c r="AX581" s="319" t="s">
        <v>428</v>
      </c>
      <c r="AY581" s="319" t="s">
        <v>190</v>
      </c>
      <c r="AZ581" s="319" t="s">
        <v>190</v>
      </c>
      <c r="BA581" s="319" t="s">
        <v>190</v>
      </c>
      <c r="BB581" s="319" t="s">
        <v>190</v>
      </c>
      <c r="BC581" s="319" t="s">
        <v>190</v>
      </c>
      <c r="BD581" s="319" t="s">
        <v>190</v>
      </c>
      <c r="BE581" s="319" t="s">
        <v>190</v>
      </c>
      <c r="BF581" s="319" t="s">
        <v>428</v>
      </c>
      <c r="BG581" s="319" t="s">
        <v>190</v>
      </c>
      <c r="BH581" s="319" t="s">
        <v>190</v>
      </c>
      <c r="BI581" s="319" t="s">
        <v>190</v>
      </c>
      <c r="BJ581" s="319" t="s">
        <v>191</v>
      </c>
      <c r="BK581" s="319" t="s">
        <v>191</v>
      </c>
      <c r="BL581" s="319" t="s">
        <v>191</v>
      </c>
      <c r="BM581" s="319" t="s">
        <v>191</v>
      </c>
      <c r="BN581" s="319" t="s">
        <v>191</v>
      </c>
      <c r="BO581" s="319" t="s">
        <v>191</v>
      </c>
      <c r="BP581" s="319" t="s">
        <v>190</v>
      </c>
      <c r="BQ581" s="319" t="s">
        <v>190</v>
      </c>
      <c r="BR581" s="319" t="s">
        <v>191</v>
      </c>
      <c r="BS581" s="319" t="s">
        <v>190</v>
      </c>
      <c r="BT581" s="319" t="s">
        <v>190</v>
      </c>
      <c r="BU581" s="319" t="s">
        <v>190</v>
      </c>
      <c r="BV581" s="319" t="s">
        <v>190</v>
      </c>
      <c r="BW581" s="319" t="s">
        <v>190</v>
      </c>
      <c r="BX581" s="319" t="s">
        <v>190</v>
      </c>
      <c r="BY581" s="319" t="s">
        <v>190</v>
      </c>
      <c r="BZ581" s="319" t="s">
        <v>190</v>
      </c>
      <c r="CA581" s="319" t="s">
        <v>190</v>
      </c>
      <c r="CB581" s="319" t="s">
        <v>190</v>
      </c>
      <c r="CC581" s="319" t="s">
        <v>190</v>
      </c>
      <c r="CD581" s="319" t="s">
        <v>190</v>
      </c>
      <c r="CE581" s="319" t="s">
        <v>190</v>
      </c>
      <c r="CF581" s="319" t="s">
        <v>190</v>
      </c>
      <c r="CG581" s="319" t="s">
        <v>190</v>
      </c>
      <c r="CH581" s="319" t="s">
        <v>190</v>
      </c>
      <c r="CI581" s="319" t="s">
        <v>190</v>
      </c>
      <c r="CJ581" s="319" t="s">
        <v>190</v>
      </c>
      <c r="CK581" s="319" t="s">
        <v>190</v>
      </c>
      <c r="CL581" s="319" t="s">
        <v>190</v>
      </c>
      <c r="CM581" s="319" t="s">
        <v>190</v>
      </c>
      <c r="CN581" s="319" t="s">
        <v>428</v>
      </c>
      <c r="CO581" s="319" t="s">
        <v>428</v>
      </c>
      <c r="CP581" s="319" t="s">
        <v>428</v>
      </c>
      <c r="CQ581" s="319" t="s">
        <v>190</v>
      </c>
      <c r="CR581" s="319" t="s">
        <v>190</v>
      </c>
      <c r="CS581" s="319" t="s">
        <v>190</v>
      </c>
      <c r="CT581" s="319" t="s">
        <v>190</v>
      </c>
      <c r="CU581" s="319" t="s">
        <v>190</v>
      </c>
      <c r="CV581" s="319" t="s">
        <v>190</v>
      </c>
      <c r="CW581" s="319" t="s">
        <v>190</v>
      </c>
      <c r="CX581" s="319" t="s">
        <v>190</v>
      </c>
      <c r="CY581" s="319" t="s">
        <v>190</v>
      </c>
      <c r="CZ581" s="319" t="s">
        <v>190</v>
      </c>
      <c r="DA581" s="319" t="s">
        <v>190</v>
      </c>
      <c r="DB581" s="319" t="s">
        <v>190</v>
      </c>
      <c r="DC581" s="319" t="s">
        <v>190</v>
      </c>
      <c r="DD581" s="319" t="s">
        <v>190</v>
      </c>
      <c r="DE581" s="319" t="s">
        <v>190</v>
      </c>
      <c r="DF581" s="319" t="s">
        <v>190</v>
      </c>
      <c r="DG581" s="319" t="s">
        <v>190</v>
      </c>
      <c r="DH581" s="319" t="s">
        <v>190</v>
      </c>
      <c r="DI581" s="319" t="s">
        <v>190</v>
      </c>
      <c r="DJ581" s="319" t="s">
        <v>190</v>
      </c>
      <c r="DK581" s="319" t="s">
        <v>190</v>
      </c>
      <c r="DL581" s="319" t="s">
        <v>190</v>
      </c>
      <c r="DM581" s="319" t="s">
        <v>190</v>
      </c>
      <c r="DN581" s="319" t="s">
        <v>428</v>
      </c>
      <c r="DO581" s="319" t="s">
        <v>190</v>
      </c>
      <c r="DP581" s="319" t="s">
        <v>428</v>
      </c>
      <c r="DQ581" s="319" t="s">
        <v>428</v>
      </c>
      <c r="DR581" s="319" t="s">
        <v>428</v>
      </c>
      <c r="DS581" s="319" t="s">
        <v>428</v>
      </c>
      <c r="DT581" s="319" t="s">
        <v>428</v>
      </c>
      <c r="DU581" s="319" t="s">
        <v>428</v>
      </c>
      <c r="DV581" s="319" t="s">
        <v>173</v>
      </c>
      <c r="DW581" s="319" t="s">
        <v>428</v>
      </c>
      <c r="DX581" s="319" t="s">
        <v>428</v>
      </c>
      <c r="DY581" s="319" t="s">
        <v>428</v>
      </c>
      <c r="DZ581" s="319" t="s">
        <v>428</v>
      </c>
      <c r="EA581" s="319" t="s">
        <v>428</v>
      </c>
      <c r="EB581" s="319" t="s">
        <v>428</v>
      </c>
      <c r="EC581" s="319" t="s">
        <v>428</v>
      </c>
      <c r="ED581" s="319" t="s">
        <v>428</v>
      </c>
      <c r="EE581" s="319" t="s">
        <v>190</v>
      </c>
      <c r="EF581" s="319" t="s">
        <v>190</v>
      </c>
      <c r="EG581" s="319" t="s">
        <v>190</v>
      </c>
      <c r="EH581" s="319" t="s">
        <v>190</v>
      </c>
      <c r="EI581" s="319" t="s">
        <v>190</v>
      </c>
      <c r="EJ581" s="319" t="s">
        <v>190</v>
      </c>
      <c r="EK581" s="319" t="s">
        <v>190</v>
      </c>
      <c r="EL581" s="319" t="s">
        <v>190</v>
      </c>
      <c r="EM581" s="319" t="s">
        <v>190</v>
      </c>
      <c r="EN581" s="319" t="s">
        <v>190</v>
      </c>
      <c r="EO581" s="319" t="s">
        <v>190</v>
      </c>
      <c r="EP581" s="319" t="s">
        <v>190</v>
      </c>
      <c r="EQ581" s="319" t="s">
        <v>190</v>
      </c>
      <c r="ER581" s="319" t="s">
        <v>190</v>
      </c>
      <c r="ES581" s="319" t="s">
        <v>190</v>
      </c>
      <c r="ET581" s="319" t="s">
        <v>190</v>
      </c>
      <c r="EU581" s="319" t="s">
        <v>190</v>
      </c>
      <c r="EV581" s="319" t="s">
        <v>190</v>
      </c>
      <c r="EW581" s="319" t="s">
        <v>190</v>
      </c>
      <c r="EX581" s="319" t="s">
        <v>190</v>
      </c>
      <c r="EY581" s="319" t="s">
        <v>190</v>
      </c>
      <c r="EZ581" s="319" t="s">
        <v>190</v>
      </c>
      <c r="FA581" s="319" t="s">
        <v>190</v>
      </c>
      <c r="FB581" s="319" t="s">
        <v>428</v>
      </c>
      <c r="FC581" s="319" t="s">
        <v>428</v>
      </c>
      <c r="FD581" s="319" t="s">
        <v>428</v>
      </c>
      <c r="FE581" s="319" t="s">
        <v>428</v>
      </c>
      <c r="FF581" s="319" t="s">
        <v>428</v>
      </c>
      <c r="FG581" s="319" t="s">
        <v>428</v>
      </c>
      <c r="FH581" s="319" t="s">
        <v>190</v>
      </c>
      <c r="FI581" s="319" t="s">
        <v>190</v>
      </c>
      <c r="FJ581" s="319" t="s">
        <v>190</v>
      </c>
      <c r="FK581" s="319" t="s">
        <v>190</v>
      </c>
      <c r="FL581" s="319" t="s">
        <v>190</v>
      </c>
      <c r="FM581" s="319" t="s">
        <v>190</v>
      </c>
      <c r="FN581" s="319" t="s">
        <v>190</v>
      </c>
      <c r="FO581" s="319" t="s">
        <v>190</v>
      </c>
      <c r="FP581" s="319" t="s">
        <v>190</v>
      </c>
      <c r="FQ581" s="319" t="s">
        <v>190</v>
      </c>
      <c r="FR581" s="319" t="s">
        <v>190</v>
      </c>
      <c r="FS581" s="319" t="s">
        <v>428</v>
      </c>
      <c r="FT581" s="319" t="s">
        <v>190</v>
      </c>
      <c r="FU581" s="319" t="s">
        <v>190</v>
      </c>
      <c r="FV581" s="319" t="s">
        <v>190</v>
      </c>
      <c r="FW581" s="319" t="s">
        <v>190</v>
      </c>
      <c r="FX581" s="319" t="s">
        <v>190</v>
      </c>
      <c r="FY581" s="319" t="s">
        <v>190</v>
      </c>
      <c r="FZ581" s="319" t="s">
        <v>190</v>
      </c>
      <c r="GA581" s="319" t="s">
        <v>190</v>
      </c>
      <c r="GB581" s="319" t="s">
        <v>190</v>
      </c>
      <c r="GC581" s="319" t="s">
        <v>190</v>
      </c>
      <c r="GD581" s="319" t="s">
        <v>190</v>
      </c>
      <c r="GE581" s="319" t="s">
        <v>190</v>
      </c>
      <c r="GF581" s="319" t="s">
        <v>190</v>
      </c>
      <c r="GG581" s="319" t="s">
        <v>190</v>
      </c>
      <c r="GH581" s="319" t="s">
        <v>190</v>
      </c>
      <c r="GI581" s="319" t="s">
        <v>190</v>
      </c>
      <c r="GJ581" s="319" t="s">
        <v>190</v>
      </c>
      <c r="GK581" s="319" t="s">
        <v>428</v>
      </c>
      <c r="GL581" s="319" t="s">
        <v>190</v>
      </c>
      <c r="GM581" s="319" t="s">
        <v>190</v>
      </c>
      <c r="GN581" s="319" t="s">
        <v>190</v>
      </c>
      <c r="GO581" s="319" t="s">
        <v>190</v>
      </c>
      <c r="GP581" s="319" t="s">
        <v>190</v>
      </c>
      <c r="GQ581" s="319" t="s">
        <v>190</v>
      </c>
      <c r="GR581" s="319" t="s">
        <v>190</v>
      </c>
      <c r="GS581" s="319" t="s">
        <v>190</v>
      </c>
      <c r="GT581" s="319" t="s">
        <v>190</v>
      </c>
      <c r="GU581" s="319" t="s">
        <v>190</v>
      </c>
      <c r="GV581" s="319" t="s">
        <v>190</v>
      </c>
      <c r="GW581" s="319" t="s">
        <v>190</v>
      </c>
      <c r="GX581" s="319" t="s">
        <v>190</v>
      </c>
      <c r="GY581" s="319" t="s">
        <v>190</v>
      </c>
      <c r="GZ581" s="319" t="s">
        <v>190</v>
      </c>
      <c r="HA581" s="319" t="s">
        <v>190</v>
      </c>
      <c r="HB581" s="319" t="s">
        <v>190</v>
      </c>
      <c r="HC581" s="319" t="s">
        <v>190</v>
      </c>
      <c r="HD581" s="319" t="s">
        <v>190</v>
      </c>
      <c r="HE581" s="319" t="s">
        <v>190</v>
      </c>
      <c r="HF581" s="319" t="s">
        <v>190</v>
      </c>
      <c r="HG581" s="319" t="s">
        <v>190</v>
      </c>
      <c r="HH581" s="319" t="s">
        <v>190</v>
      </c>
      <c r="HI581" s="319" t="s">
        <v>190</v>
      </c>
      <c r="HJ581" s="319" t="s">
        <v>190</v>
      </c>
      <c r="HK581" s="319" t="s">
        <v>190</v>
      </c>
      <c r="HL581" s="319" t="s">
        <v>190</v>
      </c>
      <c r="HM581" s="319" t="s">
        <v>190</v>
      </c>
      <c r="HN581" s="319" t="s">
        <v>190</v>
      </c>
      <c r="HO581" s="319" t="s">
        <v>190</v>
      </c>
      <c r="HP581" s="319" t="s">
        <v>190</v>
      </c>
      <c r="HQ581" s="319" t="s">
        <v>190</v>
      </c>
      <c r="HR581" s="319" t="s">
        <v>190</v>
      </c>
      <c r="HS581" s="319" t="s">
        <v>190</v>
      </c>
      <c r="HT581" s="319" t="s">
        <v>190</v>
      </c>
      <c r="HU581" s="319" t="s">
        <v>190</v>
      </c>
      <c r="HV581" s="319" t="s">
        <v>190</v>
      </c>
      <c r="HW581" s="319" t="s">
        <v>190</v>
      </c>
      <c r="HX581" s="319" t="s">
        <v>190</v>
      </c>
      <c r="HY581" s="319" t="s">
        <v>190</v>
      </c>
      <c r="HZ581" s="319" t="s">
        <v>190</v>
      </c>
      <c r="IA581" s="319" t="s">
        <v>190</v>
      </c>
      <c r="IB581" s="319" t="s">
        <v>190</v>
      </c>
      <c r="IC581" s="319" t="s">
        <v>190</v>
      </c>
      <c r="ID581" s="319" t="s">
        <v>190</v>
      </c>
      <c r="IE581" s="319" t="s">
        <v>190</v>
      </c>
      <c r="IF581" s="319" t="s">
        <v>191</v>
      </c>
      <c r="IG581" s="319" t="s">
        <v>191</v>
      </c>
      <c r="IH581" s="319" t="s">
        <v>191</v>
      </c>
      <c r="II581" s="319" t="s">
        <v>190</v>
      </c>
      <c r="IJ581" s="319">
        <v>10020928</v>
      </c>
      <c r="IK581" s="321">
        <v>42647</v>
      </c>
      <c r="IL581" s="321">
        <v>42649</v>
      </c>
      <c r="IM581" s="321">
        <v>42697</v>
      </c>
      <c r="IN581" s="319">
        <v>3</v>
      </c>
      <c r="IO581" s="319">
        <v>10107033</v>
      </c>
      <c r="IP581" s="319" t="s">
        <v>985</v>
      </c>
      <c r="IQ581" s="321">
        <v>43643</v>
      </c>
      <c r="IR581" s="320" t="s">
        <v>1223</v>
      </c>
      <c r="IS581" s="322">
        <v>43671</v>
      </c>
      <c r="IT581" s="319" t="s">
        <v>166</v>
      </c>
    </row>
    <row r="582" spans="1:254" s="271" customFormat="1" x14ac:dyDescent="0.25">
      <c r="A582" s="318" t="str">
        <f>HYPERLINK("http://www.ofsted.gov.uk/inspection-reports/find-inspection-report/provider/ELS/135995 ","Ofsted School Webpage")</f>
        <v>Ofsted School Webpage</v>
      </c>
      <c r="B582" s="319">
        <v>135995</v>
      </c>
      <c r="C582" s="319">
        <v>8706016</v>
      </c>
      <c r="D582" s="319" t="s">
        <v>2008</v>
      </c>
      <c r="E582" s="319" t="s">
        <v>167</v>
      </c>
      <c r="F582" s="319" t="s">
        <v>81</v>
      </c>
      <c r="G582" s="319" t="s">
        <v>81</v>
      </c>
      <c r="H582" s="319" t="s">
        <v>81</v>
      </c>
      <c r="I582" s="319" t="s">
        <v>78</v>
      </c>
      <c r="J582" s="319" t="s">
        <v>424</v>
      </c>
      <c r="K582" s="319" t="s">
        <v>514</v>
      </c>
      <c r="L582" s="319" t="s">
        <v>514</v>
      </c>
      <c r="M582" s="319" t="s">
        <v>2009</v>
      </c>
      <c r="N582" s="319" t="s">
        <v>3337</v>
      </c>
      <c r="O582" s="319" t="s">
        <v>2010</v>
      </c>
      <c r="P582" s="319">
        <v>76</v>
      </c>
      <c r="Q582" s="319" t="s">
        <v>2766</v>
      </c>
      <c r="R582" s="320">
        <v>10033953</v>
      </c>
      <c r="S582" s="321">
        <v>43130</v>
      </c>
      <c r="T582" s="321">
        <v>43132</v>
      </c>
      <c r="U582" s="321">
        <v>43164</v>
      </c>
      <c r="V582" s="319" t="s">
        <v>425</v>
      </c>
      <c r="W582" s="319" t="s">
        <v>2767</v>
      </c>
      <c r="X582" s="319">
        <v>2</v>
      </c>
      <c r="Y582" s="319" t="s">
        <v>173</v>
      </c>
      <c r="Z582" s="319" t="s">
        <v>173</v>
      </c>
      <c r="AA582" s="319" t="s">
        <v>173</v>
      </c>
      <c r="AB582" s="319">
        <v>2</v>
      </c>
      <c r="AC582" s="319" t="s">
        <v>169</v>
      </c>
      <c r="AD582" s="319">
        <v>2</v>
      </c>
      <c r="AE582" s="319" t="s">
        <v>173</v>
      </c>
      <c r="AF582" s="319" t="s">
        <v>427</v>
      </c>
      <c r="AG582" s="319" t="s">
        <v>171</v>
      </c>
      <c r="AH582" s="319" t="s">
        <v>190</v>
      </c>
      <c r="AI582" s="319" t="s">
        <v>190</v>
      </c>
      <c r="AJ582" s="319" t="s">
        <v>190</v>
      </c>
      <c r="AK582" s="319" t="s">
        <v>190</v>
      </c>
      <c r="AL582" s="319" t="s">
        <v>190</v>
      </c>
      <c r="AM582" s="319" t="s">
        <v>190</v>
      </c>
      <c r="AN582" s="319" t="s">
        <v>190</v>
      </c>
      <c r="AO582" s="319" t="s">
        <v>190</v>
      </c>
      <c r="AP582" s="319" t="s">
        <v>190</v>
      </c>
      <c r="AQ582" s="319" t="s">
        <v>190</v>
      </c>
      <c r="AR582" s="319" t="s">
        <v>190</v>
      </c>
      <c r="AS582" s="319" t="s">
        <v>190</v>
      </c>
      <c r="AT582" s="319" t="s">
        <v>190</v>
      </c>
      <c r="AU582" s="319" t="s">
        <v>190</v>
      </c>
      <c r="AV582" s="319" t="s">
        <v>190</v>
      </c>
      <c r="AW582" s="319" t="s">
        <v>190</v>
      </c>
      <c r="AX582" s="319" t="s">
        <v>428</v>
      </c>
      <c r="AY582" s="319" t="s">
        <v>190</v>
      </c>
      <c r="AZ582" s="319" t="s">
        <v>190</v>
      </c>
      <c r="BA582" s="319" t="s">
        <v>190</v>
      </c>
      <c r="BB582" s="319" t="s">
        <v>190</v>
      </c>
      <c r="BC582" s="319" t="s">
        <v>190</v>
      </c>
      <c r="BD582" s="319" t="s">
        <v>190</v>
      </c>
      <c r="BE582" s="319" t="s">
        <v>190</v>
      </c>
      <c r="BF582" s="319" t="s">
        <v>190</v>
      </c>
      <c r="BG582" s="319" t="s">
        <v>190</v>
      </c>
      <c r="BH582" s="319" t="s">
        <v>190</v>
      </c>
      <c r="BI582" s="319" t="s">
        <v>190</v>
      </c>
      <c r="BJ582" s="319" t="s">
        <v>190</v>
      </c>
      <c r="BK582" s="319" t="s">
        <v>190</v>
      </c>
      <c r="BL582" s="319" t="s">
        <v>190</v>
      </c>
      <c r="BM582" s="319" t="s">
        <v>190</v>
      </c>
      <c r="BN582" s="319" t="s">
        <v>190</v>
      </c>
      <c r="BO582" s="319" t="s">
        <v>190</v>
      </c>
      <c r="BP582" s="319" t="s">
        <v>190</v>
      </c>
      <c r="BQ582" s="319" t="s">
        <v>190</v>
      </c>
      <c r="BR582" s="319" t="s">
        <v>190</v>
      </c>
      <c r="BS582" s="319" t="s">
        <v>190</v>
      </c>
      <c r="BT582" s="319" t="s">
        <v>190</v>
      </c>
      <c r="BU582" s="319" t="s">
        <v>190</v>
      </c>
      <c r="BV582" s="319" t="s">
        <v>190</v>
      </c>
      <c r="BW582" s="319" t="s">
        <v>190</v>
      </c>
      <c r="BX582" s="319" t="s">
        <v>190</v>
      </c>
      <c r="BY582" s="319" t="s">
        <v>190</v>
      </c>
      <c r="BZ582" s="319" t="s">
        <v>190</v>
      </c>
      <c r="CA582" s="319" t="s">
        <v>190</v>
      </c>
      <c r="CB582" s="319" t="s">
        <v>190</v>
      </c>
      <c r="CC582" s="319" t="s">
        <v>190</v>
      </c>
      <c r="CD582" s="319" t="s">
        <v>190</v>
      </c>
      <c r="CE582" s="319" t="s">
        <v>190</v>
      </c>
      <c r="CF582" s="319" t="s">
        <v>190</v>
      </c>
      <c r="CG582" s="319" t="s">
        <v>190</v>
      </c>
      <c r="CH582" s="319" t="s">
        <v>190</v>
      </c>
      <c r="CI582" s="319" t="s">
        <v>190</v>
      </c>
      <c r="CJ582" s="319" t="s">
        <v>190</v>
      </c>
      <c r="CK582" s="319" t="s">
        <v>190</v>
      </c>
      <c r="CL582" s="319" t="s">
        <v>190</v>
      </c>
      <c r="CM582" s="319" t="s">
        <v>190</v>
      </c>
      <c r="CN582" s="319" t="s">
        <v>190</v>
      </c>
      <c r="CO582" s="319" t="s">
        <v>190</v>
      </c>
      <c r="CP582" s="319" t="s">
        <v>428</v>
      </c>
      <c r="CQ582" s="319" t="s">
        <v>190</v>
      </c>
      <c r="CR582" s="319" t="s">
        <v>190</v>
      </c>
      <c r="CS582" s="319" t="s">
        <v>190</v>
      </c>
      <c r="CT582" s="319" t="s">
        <v>190</v>
      </c>
      <c r="CU582" s="319" t="s">
        <v>190</v>
      </c>
      <c r="CV582" s="319" t="s">
        <v>190</v>
      </c>
      <c r="CW582" s="319" t="s">
        <v>190</v>
      </c>
      <c r="CX582" s="319" t="s">
        <v>190</v>
      </c>
      <c r="CY582" s="319" t="s">
        <v>190</v>
      </c>
      <c r="CZ582" s="319" t="s">
        <v>190</v>
      </c>
      <c r="DA582" s="319" t="s">
        <v>190</v>
      </c>
      <c r="DB582" s="319" t="s">
        <v>190</v>
      </c>
      <c r="DC582" s="319" t="s">
        <v>190</v>
      </c>
      <c r="DD582" s="319" t="s">
        <v>190</v>
      </c>
      <c r="DE582" s="319" t="s">
        <v>190</v>
      </c>
      <c r="DF582" s="319" t="s">
        <v>190</v>
      </c>
      <c r="DG582" s="319" t="s">
        <v>190</v>
      </c>
      <c r="DH582" s="319" t="s">
        <v>190</v>
      </c>
      <c r="DI582" s="319" t="s">
        <v>190</v>
      </c>
      <c r="DJ582" s="319" t="s">
        <v>190</v>
      </c>
      <c r="DK582" s="319" t="s">
        <v>190</v>
      </c>
      <c r="DL582" s="319" t="s">
        <v>190</v>
      </c>
      <c r="DM582" s="319" t="s">
        <v>190</v>
      </c>
      <c r="DN582" s="319" t="s">
        <v>428</v>
      </c>
      <c r="DO582" s="319" t="s">
        <v>190</v>
      </c>
      <c r="DP582" s="319" t="s">
        <v>190</v>
      </c>
      <c r="DQ582" s="319" t="s">
        <v>190</v>
      </c>
      <c r="DR582" s="319" t="s">
        <v>190</v>
      </c>
      <c r="DS582" s="319" t="s">
        <v>190</v>
      </c>
      <c r="DT582" s="319" t="s">
        <v>190</v>
      </c>
      <c r="DU582" s="319" t="s">
        <v>190</v>
      </c>
      <c r="DV582" s="319" t="s">
        <v>173</v>
      </c>
      <c r="DW582" s="319" t="s">
        <v>190</v>
      </c>
      <c r="DX582" s="319" t="s">
        <v>190</v>
      </c>
      <c r="DY582" s="319" t="s">
        <v>190</v>
      </c>
      <c r="DZ582" s="319" t="s">
        <v>190</v>
      </c>
      <c r="EA582" s="319" t="s">
        <v>190</v>
      </c>
      <c r="EB582" s="319" t="s">
        <v>190</v>
      </c>
      <c r="EC582" s="319" t="s">
        <v>428</v>
      </c>
      <c r="ED582" s="319" t="s">
        <v>190</v>
      </c>
      <c r="EE582" s="319" t="s">
        <v>190</v>
      </c>
      <c r="EF582" s="319" t="s">
        <v>190</v>
      </c>
      <c r="EG582" s="319" t="s">
        <v>190</v>
      </c>
      <c r="EH582" s="319" t="s">
        <v>190</v>
      </c>
      <c r="EI582" s="319" t="s">
        <v>190</v>
      </c>
      <c r="EJ582" s="319" t="s">
        <v>190</v>
      </c>
      <c r="EK582" s="319" t="s">
        <v>190</v>
      </c>
      <c r="EL582" s="319" t="s">
        <v>190</v>
      </c>
      <c r="EM582" s="319" t="s">
        <v>190</v>
      </c>
      <c r="EN582" s="319" t="s">
        <v>190</v>
      </c>
      <c r="EO582" s="319" t="s">
        <v>190</v>
      </c>
      <c r="EP582" s="319" t="s">
        <v>190</v>
      </c>
      <c r="EQ582" s="319" t="s">
        <v>190</v>
      </c>
      <c r="ER582" s="319" t="s">
        <v>190</v>
      </c>
      <c r="ES582" s="319" t="s">
        <v>190</v>
      </c>
      <c r="ET582" s="319" t="s">
        <v>190</v>
      </c>
      <c r="EU582" s="319" t="s">
        <v>190</v>
      </c>
      <c r="EV582" s="319" t="s">
        <v>190</v>
      </c>
      <c r="EW582" s="319" t="s">
        <v>190</v>
      </c>
      <c r="EX582" s="319" t="s">
        <v>190</v>
      </c>
      <c r="EY582" s="319" t="s">
        <v>190</v>
      </c>
      <c r="EZ582" s="319" t="s">
        <v>190</v>
      </c>
      <c r="FA582" s="319" t="s">
        <v>190</v>
      </c>
      <c r="FB582" s="319" t="s">
        <v>190</v>
      </c>
      <c r="FC582" s="319" t="s">
        <v>190</v>
      </c>
      <c r="FD582" s="319" t="s">
        <v>190</v>
      </c>
      <c r="FE582" s="319" t="s">
        <v>190</v>
      </c>
      <c r="FF582" s="319" t="s">
        <v>190</v>
      </c>
      <c r="FG582" s="319" t="s">
        <v>190</v>
      </c>
      <c r="FH582" s="319" t="s">
        <v>190</v>
      </c>
      <c r="FI582" s="319" t="s">
        <v>190</v>
      </c>
      <c r="FJ582" s="319" t="s">
        <v>190</v>
      </c>
      <c r="FK582" s="319" t="s">
        <v>190</v>
      </c>
      <c r="FL582" s="319" t="s">
        <v>190</v>
      </c>
      <c r="FM582" s="319" t="s">
        <v>190</v>
      </c>
      <c r="FN582" s="319" t="s">
        <v>190</v>
      </c>
      <c r="FO582" s="319" t="s">
        <v>190</v>
      </c>
      <c r="FP582" s="319" t="s">
        <v>190</v>
      </c>
      <c r="FQ582" s="319" t="s">
        <v>190</v>
      </c>
      <c r="FR582" s="319" t="s">
        <v>190</v>
      </c>
      <c r="FS582" s="319" t="s">
        <v>428</v>
      </c>
      <c r="FT582" s="319" t="s">
        <v>190</v>
      </c>
      <c r="FU582" s="319" t="s">
        <v>190</v>
      </c>
      <c r="FV582" s="319" t="s">
        <v>190</v>
      </c>
      <c r="FW582" s="319" t="s">
        <v>190</v>
      </c>
      <c r="FX582" s="319" t="s">
        <v>190</v>
      </c>
      <c r="FY582" s="319" t="s">
        <v>190</v>
      </c>
      <c r="FZ582" s="319" t="s">
        <v>190</v>
      </c>
      <c r="GA582" s="319" t="s">
        <v>190</v>
      </c>
      <c r="GB582" s="319" t="s">
        <v>190</v>
      </c>
      <c r="GC582" s="319" t="s">
        <v>190</v>
      </c>
      <c r="GD582" s="319" t="s">
        <v>190</v>
      </c>
      <c r="GE582" s="319" t="s">
        <v>190</v>
      </c>
      <c r="GF582" s="319" t="s">
        <v>190</v>
      </c>
      <c r="GG582" s="319" t="s">
        <v>190</v>
      </c>
      <c r="GH582" s="319" t="s">
        <v>190</v>
      </c>
      <c r="GI582" s="319" t="s">
        <v>190</v>
      </c>
      <c r="GJ582" s="319" t="s">
        <v>190</v>
      </c>
      <c r="GK582" s="319" t="s">
        <v>428</v>
      </c>
      <c r="GL582" s="319" t="s">
        <v>190</v>
      </c>
      <c r="GM582" s="319" t="s">
        <v>190</v>
      </c>
      <c r="GN582" s="319" t="s">
        <v>190</v>
      </c>
      <c r="GO582" s="319" t="s">
        <v>190</v>
      </c>
      <c r="GP582" s="319" t="s">
        <v>190</v>
      </c>
      <c r="GQ582" s="319" t="s">
        <v>428</v>
      </c>
      <c r="GR582" s="319" t="s">
        <v>190</v>
      </c>
      <c r="GS582" s="319" t="s">
        <v>190</v>
      </c>
      <c r="GT582" s="319" t="s">
        <v>428</v>
      </c>
      <c r="GU582" s="319" t="s">
        <v>428</v>
      </c>
      <c r="GV582" s="319" t="s">
        <v>190</v>
      </c>
      <c r="GW582" s="319" t="s">
        <v>190</v>
      </c>
      <c r="GX582" s="319" t="s">
        <v>190</v>
      </c>
      <c r="GY582" s="319" t="s">
        <v>190</v>
      </c>
      <c r="GZ582" s="319" t="s">
        <v>190</v>
      </c>
      <c r="HA582" s="319" t="s">
        <v>428</v>
      </c>
      <c r="HB582" s="319" t="s">
        <v>428</v>
      </c>
      <c r="HC582" s="319" t="s">
        <v>190</v>
      </c>
      <c r="HD582" s="319" t="s">
        <v>190</v>
      </c>
      <c r="HE582" s="319" t="s">
        <v>190</v>
      </c>
      <c r="HF582" s="319" t="s">
        <v>190</v>
      </c>
      <c r="HG582" s="319" t="s">
        <v>190</v>
      </c>
      <c r="HH582" s="319" t="s">
        <v>190</v>
      </c>
      <c r="HI582" s="319" t="s">
        <v>190</v>
      </c>
      <c r="HJ582" s="319" t="s">
        <v>190</v>
      </c>
      <c r="HK582" s="319" t="s">
        <v>190</v>
      </c>
      <c r="HL582" s="319" t="s">
        <v>190</v>
      </c>
      <c r="HM582" s="319" t="s">
        <v>428</v>
      </c>
      <c r="HN582" s="319" t="s">
        <v>428</v>
      </c>
      <c r="HO582" s="319" t="s">
        <v>428</v>
      </c>
      <c r="HP582" s="319" t="s">
        <v>190</v>
      </c>
      <c r="HQ582" s="319" t="s">
        <v>190</v>
      </c>
      <c r="HR582" s="319" t="s">
        <v>190</v>
      </c>
      <c r="HS582" s="319" t="s">
        <v>190</v>
      </c>
      <c r="HT582" s="319" t="s">
        <v>190</v>
      </c>
      <c r="HU582" s="319" t="s">
        <v>190</v>
      </c>
      <c r="HV582" s="319" t="s">
        <v>190</v>
      </c>
      <c r="HW582" s="319" t="s">
        <v>190</v>
      </c>
      <c r="HX582" s="319" t="s">
        <v>190</v>
      </c>
      <c r="HY582" s="319" t="s">
        <v>190</v>
      </c>
      <c r="HZ582" s="319" t="s">
        <v>190</v>
      </c>
      <c r="IA582" s="319" t="s">
        <v>190</v>
      </c>
      <c r="IB582" s="319" t="s">
        <v>190</v>
      </c>
      <c r="IC582" s="319" t="s">
        <v>190</v>
      </c>
      <c r="ID582" s="319" t="s">
        <v>190</v>
      </c>
      <c r="IE582" s="319" t="s">
        <v>190</v>
      </c>
      <c r="IF582" s="319" t="s">
        <v>190</v>
      </c>
      <c r="IG582" s="319" t="s">
        <v>190</v>
      </c>
      <c r="IH582" s="319" t="s">
        <v>190</v>
      </c>
      <c r="II582" s="319" t="s">
        <v>190</v>
      </c>
      <c r="IJ582" s="319" t="s">
        <v>3338</v>
      </c>
      <c r="IK582" s="321">
        <v>41674</v>
      </c>
      <c r="IL582" s="321">
        <v>41676</v>
      </c>
      <c r="IM582" s="321">
        <v>41697</v>
      </c>
      <c r="IN582" s="319">
        <v>2</v>
      </c>
      <c r="IO582" s="319" t="s">
        <v>173</v>
      </c>
      <c r="IP582" s="319" t="s">
        <v>173</v>
      </c>
      <c r="IQ582" s="321" t="s">
        <v>173</v>
      </c>
      <c r="IR582" s="320" t="s">
        <v>173</v>
      </c>
      <c r="IS582" s="322" t="s">
        <v>173</v>
      </c>
      <c r="IT582" s="319" t="s">
        <v>173</v>
      </c>
    </row>
    <row r="583" spans="1:254" s="271" customFormat="1" x14ac:dyDescent="0.25">
      <c r="A583" s="318" t="str">
        <f>HYPERLINK("http://www.ofsted.gov.uk/inspection-reports/find-inspection-report/provider/ELS/135998 ","Ofsted School Webpage")</f>
        <v>Ofsted School Webpage</v>
      </c>
      <c r="B583" s="319">
        <v>135998</v>
      </c>
      <c r="C583" s="319">
        <v>3596011</v>
      </c>
      <c r="D583" s="319" t="s">
        <v>2011</v>
      </c>
      <c r="E583" s="319" t="s">
        <v>167</v>
      </c>
      <c r="F583" s="319" t="s">
        <v>81</v>
      </c>
      <c r="G583" s="319" t="s">
        <v>81</v>
      </c>
      <c r="H583" s="319" t="s">
        <v>81</v>
      </c>
      <c r="I583" s="319" t="s">
        <v>78</v>
      </c>
      <c r="J583" s="319" t="s">
        <v>424</v>
      </c>
      <c r="K583" s="319" t="s">
        <v>431</v>
      </c>
      <c r="L583" s="319" t="s">
        <v>431</v>
      </c>
      <c r="M583" s="319" t="s">
        <v>432</v>
      </c>
      <c r="N583" s="319" t="s">
        <v>3308</v>
      </c>
      <c r="O583" s="319" t="s">
        <v>2012</v>
      </c>
      <c r="P583" s="319">
        <v>40</v>
      </c>
      <c r="Q583" s="319" t="s">
        <v>2766</v>
      </c>
      <c r="R583" s="320">
        <v>10026013</v>
      </c>
      <c r="S583" s="321">
        <v>42815</v>
      </c>
      <c r="T583" s="321">
        <v>42817</v>
      </c>
      <c r="U583" s="321">
        <v>42850</v>
      </c>
      <c r="V583" s="319" t="s">
        <v>425</v>
      </c>
      <c r="W583" s="319" t="s">
        <v>2767</v>
      </c>
      <c r="X583" s="319">
        <v>2</v>
      </c>
      <c r="Y583" s="319" t="s">
        <v>173</v>
      </c>
      <c r="Z583" s="319" t="s">
        <v>173</v>
      </c>
      <c r="AA583" s="319" t="s">
        <v>173</v>
      </c>
      <c r="AB583" s="319">
        <v>2</v>
      </c>
      <c r="AC583" s="319" t="s">
        <v>169</v>
      </c>
      <c r="AD583" s="319">
        <v>2</v>
      </c>
      <c r="AE583" s="319" t="s">
        <v>173</v>
      </c>
      <c r="AF583" s="319" t="s">
        <v>173</v>
      </c>
      <c r="AG583" s="319" t="s">
        <v>171</v>
      </c>
      <c r="AH583" s="319" t="s">
        <v>190</v>
      </c>
      <c r="AI583" s="319" t="s">
        <v>190</v>
      </c>
      <c r="AJ583" s="319" t="s">
        <v>190</v>
      </c>
      <c r="AK583" s="319" t="s">
        <v>190</v>
      </c>
      <c r="AL583" s="319" t="s">
        <v>190</v>
      </c>
      <c r="AM583" s="319" t="s">
        <v>190</v>
      </c>
      <c r="AN583" s="319" t="s">
        <v>190</v>
      </c>
      <c r="AO583" s="319" t="s">
        <v>190</v>
      </c>
      <c r="AP583" s="319" t="s">
        <v>190</v>
      </c>
      <c r="AQ583" s="319" t="s">
        <v>190</v>
      </c>
      <c r="AR583" s="319" t="s">
        <v>190</v>
      </c>
      <c r="AS583" s="319" t="s">
        <v>190</v>
      </c>
      <c r="AT583" s="319" t="s">
        <v>190</v>
      </c>
      <c r="AU583" s="319" t="s">
        <v>190</v>
      </c>
      <c r="AV583" s="319" t="s">
        <v>190</v>
      </c>
      <c r="AW583" s="319" t="s">
        <v>190</v>
      </c>
      <c r="AX583" s="319" t="s">
        <v>429</v>
      </c>
      <c r="AY583" s="319" t="s">
        <v>190</v>
      </c>
      <c r="AZ583" s="319" t="s">
        <v>190</v>
      </c>
      <c r="BA583" s="319" t="s">
        <v>190</v>
      </c>
      <c r="BB583" s="319" t="s">
        <v>429</v>
      </c>
      <c r="BC583" s="319" t="s">
        <v>429</v>
      </c>
      <c r="BD583" s="319" t="s">
        <v>429</v>
      </c>
      <c r="BE583" s="319" t="s">
        <v>429</v>
      </c>
      <c r="BF583" s="319" t="s">
        <v>190</v>
      </c>
      <c r="BG583" s="319" t="s">
        <v>429</v>
      </c>
      <c r="BH583" s="319" t="s">
        <v>190</v>
      </c>
      <c r="BI583" s="319" t="s">
        <v>190</v>
      </c>
      <c r="BJ583" s="319" t="s">
        <v>190</v>
      </c>
      <c r="BK583" s="319" t="s">
        <v>190</v>
      </c>
      <c r="BL583" s="319" t="s">
        <v>190</v>
      </c>
      <c r="BM583" s="319" t="s">
        <v>190</v>
      </c>
      <c r="BN583" s="319" t="s">
        <v>190</v>
      </c>
      <c r="BO583" s="319" t="s">
        <v>190</v>
      </c>
      <c r="BP583" s="319" t="s">
        <v>190</v>
      </c>
      <c r="BQ583" s="319" t="s">
        <v>190</v>
      </c>
      <c r="BR583" s="319" t="s">
        <v>190</v>
      </c>
      <c r="BS583" s="319" t="s">
        <v>190</v>
      </c>
      <c r="BT583" s="319" t="s">
        <v>190</v>
      </c>
      <c r="BU583" s="319" t="s">
        <v>190</v>
      </c>
      <c r="BV583" s="319" t="s">
        <v>190</v>
      </c>
      <c r="BW583" s="319" t="s">
        <v>190</v>
      </c>
      <c r="BX583" s="319" t="s">
        <v>190</v>
      </c>
      <c r="BY583" s="319" t="s">
        <v>190</v>
      </c>
      <c r="BZ583" s="319" t="s">
        <v>190</v>
      </c>
      <c r="CA583" s="319" t="s">
        <v>190</v>
      </c>
      <c r="CB583" s="319" t="s">
        <v>190</v>
      </c>
      <c r="CC583" s="319" t="s">
        <v>190</v>
      </c>
      <c r="CD583" s="319" t="s">
        <v>190</v>
      </c>
      <c r="CE583" s="319" t="s">
        <v>190</v>
      </c>
      <c r="CF583" s="319" t="s">
        <v>190</v>
      </c>
      <c r="CG583" s="319" t="s">
        <v>190</v>
      </c>
      <c r="CH583" s="319" t="s">
        <v>190</v>
      </c>
      <c r="CI583" s="319" t="s">
        <v>190</v>
      </c>
      <c r="CJ583" s="319" t="s">
        <v>190</v>
      </c>
      <c r="CK583" s="319" t="s">
        <v>190</v>
      </c>
      <c r="CL583" s="319" t="s">
        <v>190</v>
      </c>
      <c r="CM583" s="319" t="s">
        <v>190</v>
      </c>
      <c r="CN583" s="319" t="s">
        <v>429</v>
      </c>
      <c r="CO583" s="319" t="s">
        <v>429</v>
      </c>
      <c r="CP583" s="319" t="s">
        <v>429</v>
      </c>
      <c r="CQ583" s="319" t="s">
        <v>190</v>
      </c>
      <c r="CR583" s="319" t="s">
        <v>190</v>
      </c>
      <c r="CS583" s="319" t="s">
        <v>190</v>
      </c>
      <c r="CT583" s="319" t="s">
        <v>190</v>
      </c>
      <c r="CU583" s="319" t="s">
        <v>190</v>
      </c>
      <c r="CV583" s="319" t="s">
        <v>190</v>
      </c>
      <c r="CW583" s="319" t="s">
        <v>190</v>
      </c>
      <c r="CX583" s="319" t="s">
        <v>190</v>
      </c>
      <c r="CY583" s="319" t="s">
        <v>190</v>
      </c>
      <c r="CZ583" s="319" t="s">
        <v>190</v>
      </c>
      <c r="DA583" s="319" t="s">
        <v>190</v>
      </c>
      <c r="DB583" s="319" t="s">
        <v>190</v>
      </c>
      <c r="DC583" s="319" t="s">
        <v>190</v>
      </c>
      <c r="DD583" s="319" t="s">
        <v>190</v>
      </c>
      <c r="DE583" s="319" t="s">
        <v>190</v>
      </c>
      <c r="DF583" s="319" t="s">
        <v>190</v>
      </c>
      <c r="DG583" s="319" t="s">
        <v>190</v>
      </c>
      <c r="DH583" s="319" t="s">
        <v>190</v>
      </c>
      <c r="DI583" s="319" t="s">
        <v>190</v>
      </c>
      <c r="DJ583" s="319" t="s">
        <v>190</v>
      </c>
      <c r="DK583" s="319" t="s">
        <v>190</v>
      </c>
      <c r="DL583" s="319" t="s">
        <v>190</v>
      </c>
      <c r="DM583" s="319" t="s">
        <v>429</v>
      </c>
      <c r="DN583" s="319" t="s">
        <v>429</v>
      </c>
      <c r="DO583" s="319" t="s">
        <v>190</v>
      </c>
      <c r="DP583" s="319" t="s">
        <v>429</v>
      </c>
      <c r="DQ583" s="319" t="s">
        <v>429</v>
      </c>
      <c r="DR583" s="319" t="s">
        <v>429</v>
      </c>
      <c r="DS583" s="319" t="s">
        <v>429</v>
      </c>
      <c r="DT583" s="319" t="s">
        <v>429</v>
      </c>
      <c r="DU583" s="319" t="s">
        <v>429</v>
      </c>
      <c r="DV583" s="319" t="s">
        <v>173</v>
      </c>
      <c r="DW583" s="319" t="s">
        <v>429</v>
      </c>
      <c r="DX583" s="319" t="s">
        <v>429</v>
      </c>
      <c r="DY583" s="319" t="s">
        <v>429</v>
      </c>
      <c r="DZ583" s="319" t="s">
        <v>429</v>
      </c>
      <c r="EA583" s="319" t="s">
        <v>429</v>
      </c>
      <c r="EB583" s="319" t="s">
        <v>429</v>
      </c>
      <c r="EC583" s="319" t="s">
        <v>429</v>
      </c>
      <c r="ED583" s="319" t="s">
        <v>429</v>
      </c>
      <c r="EE583" s="319" t="s">
        <v>190</v>
      </c>
      <c r="EF583" s="319" t="s">
        <v>190</v>
      </c>
      <c r="EG583" s="319" t="s">
        <v>190</v>
      </c>
      <c r="EH583" s="319" t="s">
        <v>190</v>
      </c>
      <c r="EI583" s="319" t="s">
        <v>190</v>
      </c>
      <c r="EJ583" s="319" t="s">
        <v>190</v>
      </c>
      <c r="EK583" s="319" t="s">
        <v>190</v>
      </c>
      <c r="EL583" s="319" t="s">
        <v>190</v>
      </c>
      <c r="EM583" s="319" t="s">
        <v>190</v>
      </c>
      <c r="EN583" s="319" t="s">
        <v>190</v>
      </c>
      <c r="EO583" s="319" t="s">
        <v>190</v>
      </c>
      <c r="EP583" s="319" t="s">
        <v>190</v>
      </c>
      <c r="EQ583" s="319" t="s">
        <v>190</v>
      </c>
      <c r="ER583" s="319" t="s">
        <v>190</v>
      </c>
      <c r="ES583" s="319" t="s">
        <v>190</v>
      </c>
      <c r="ET583" s="319" t="s">
        <v>190</v>
      </c>
      <c r="EU583" s="319" t="s">
        <v>190</v>
      </c>
      <c r="EV583" s="319" t="s">
        <v>190</v>
      </c>
      <c r="EW583" s="319" t="s">
        <v>190</v>
      </c>
      <c r="EX583" s="319" t="s">
        <v>190</v>
      </c>
      <c r="EY583" s="319" t="s">
        <v>190</v>
      </c>
      <c r="EZ583" s="319" t="s">
        <v>190</v>
      </c>
      <c r="FA583" s="319" t="s">
        <v>190</v>
      </c>
      <c r="FB583" s="319" t="s">
        <v>429</v>
      </c>
      <c r="FC583" s="319" t="s">
        <v>429</v>
      </c>
      <c r="FD583" s="319" t="s">
        <v>429</v>
      </c>
      <c r="FE583" s="319" t="s">
        <v>429</v>
      </c>
      <c r="FF583" s="319" t="s">
        <v>429</v>
      </c>
      <c r="FG583" s="319" t="s">
        <v>429</v>
      </c>
      <c r="FH583" s="319" t="s">
        <v>429</v>
      </c>
      <c r="FI583" s="319" t="s">
        <v>429</v>
      </c>
      <c r="FJ583" s="319" t="s">
        <v>429</v>
      </c>
      <c r="FK583" s="319" t="s">
        <v>429</v>
      </c>
      <c r="FL583" s="319" t="s">
        <v>190</v>
      </c>
      <c r="FM583" s="319" t="s">
        <v>190</v>
      </c>
      <c r="FN583" s="319" t="s">
        <v>190</v>
      </c>
      <c r="FO583" s="319" t="s">
        <v>429</v>
      </c>
      <c r="FP583" s="319" t="s">
        <v>190</v>
      </c>
      <c r="FQ583" s="319" t="s">
        <v>190</v>
      </c>
      <c r="FR583" s="319" t="s">
        <v>190</v>
      </c>
      <c r="FS583" s="319" t="s">
        <v>429</v>
      </c>
      <c r="FT583" s="319" t="s">
        <v>190</v>
      </c>
      <c r="FU583" s="319" t="s">
        <v>190</v>
      </c>
      <c r="FV583" s="319" t="s">
        <v>190</v>
      </c>
      <c r="FW583" s="319" t="s">
        <v>190</v>
      </c>
      <c r="FX583" s="319" t="s">
        <v>190</v>
      </c>
      <c r="FY583" s="319" t="s">
        <v>190</v>
      </c>
      <c r="FZ583" s="319" t="s">
        <v>190</v>
      </c>
      <c r="GA583" s="319" t="s">
        <v>190</v>
      </c>
      <c r="GB583" s="319" t="s">
        <v>190</v>
      </c>
      <c r="GC583" s="319" t="s">
        <v>429</v>
      </c>
      <c r="GD583" s="319" t="s">
        <v>190</v>
      </c>
      <c r="GE583" s="319" t="s">
        <v>190</v>
      </c>
      <c r="GF583" s="319" t="s">
        <v>190</v>
      </c>
      <c r="GG583" s="319" t="s">
        <v>190</v>
      </c>
      <c r="GH583" s="319" t="s">
        <v>190</v>
      </c>
      <c r="GI583" s="319" t="s">
        <v>190</v>
      </c>
      <c r="GJ583" s="319" t="s">
        <v>190</v>
      </c>
      <c r="GK583" s="319" t="s">
        <v>429</v>
      </c>
      <c r="GL583" s="319" t="s">
        <v>190</v>
      </c>
      <c r="GM583" s="319" t="s">
        <v>190</v>
      </c>
      <c r="GN583" s="319" t="s">
        <v>190</v>
      </c>
      <c r="GO583" s="319" t="s">
        <v>190</v>
      </c>
      <c r="GP583" s="319" t="s">
        <v>190</v>
      </c>
      <c r="GQ583" s="319" t="s">
        <v>429</v>
      </c>
      <c r="GR583" s="319" t="s">
        <v>190</v>
      </c>
      <c r="GS583" s="319" t="s">
        <v>190</v>
      </c>
      <c r="GT583" s="319" t="s">
        <v>429</v>
      </c>
      <c r="GU583" s="319" t="s">
        <v>429</v>
      </c>
      <c r="GV583" s="319" t="s">
        <v>190</v>
      </c>
      <c r="GW583" s="319" t="s">
        <v>190</v>
      </c>
      <c r="GX583" s="319" t="s">
        <v>190</v>
      </c>
      <c r="GY583" s="319" t="s">
        <v>190</v>
      </c>
      <c r="GZ583" s="319" t="s">
        <v>190</v>
      </c>
      <c r="HA583" s="319" t="s">
        <v>429</v>
      </c>
      <c r="HB583" s="319" t="s">
        <v>429</v>
      </c>
      <c r="HC583" s="319" t="s">
        <v>190</v>
      </c>
      <c r="HD583" s="319" t="s">
        <v>190</v>
      </c>
      <c r="HE583" s="319" t="s">
        <v>190</v>
      </c>
      <c r="HF583" s="319" t="s">
        <v>190</v>
      </c>
      <c r="HG583" s="319" t="s">
        <v>190</v>
      </c>
      <c r="HH583" s="319" t="s">
        <v>190</v>
      </c>
      <c r="HI583" s="319" t="s">
        <v>190</v>
      </c>
      <c r="HJ583" s="319" t="s">
        <v>190</v>
      </c>
      <c r="HK583" s="319" t="s">
        <v>190</v>
      </c>
      <c r="HL583" s="319" t="s">
        <v>429</v>
      </c>
      <c r="HM583" s="319" t="s">
        <v>429</v>
      </c>
      <c r="HN583" s="319" t="s">
        <v>429</v>
      </c>
      <c r="HO583" s="319" t="s">
        <v>429</v>
      </c>
      <c r="HP583" s="319" t="s">
        <v>190</v>
      </c>
      <c r="HQ583" s="319" t="s">
        <v>190</v>
      </c>
      <c r="HR583" s="319" t="s">
        <v>190</v>
      </c>
      <c r="HS583" s="319" t="s">
        <v>190</v>
      </c>
      <c r="HT583" s="319" t="s">
        <v>190</v>
      </c>
      <c r="HU583" s="319" t="s">
        <v>190</v>
      </c>
      <c r="HV583" s="319" t="s">
        <v>190</v>
      </c>
      <c r="HW583" s="319" t="s">
        <v>190</v>
      </c>
      <c r="HX583" s="319" t="s">
        <v>190</v>
      </c>
      <c r="HY583" s="319" t="s">
        <v>190</v>
      </c>
      <c r="HZ583" s="319" t="s">
        <v>190</v>
      </c>
      <c r="IA583" s="319" t="s">
        <v>190</v>
      </c>
      <c r="IB583" s="319" t="s">
        <v>190</v>
      </c>
      <c r="IC583" s="319" t="s">
        <v>190</v>
      </c>
      <c r="ID583" s="319" t="s">
        <v>190</v>
      </c>
      <c r="IE583" s="319" t="s">
        <v>190</v>
      </c>
      <c r="IF583" s="319" t="s">
        <v>190</v>
      </c>
      <c r="IG583" s="319" t="s">
        <v>190</v>
      </c>
      <c r="IH583" s="319" t="s">
        <v>190</v>
      </c>
      <c r="II583" s="319" t="s">
        <v>190</v>
      </c>
      <c r="IJ583" s="319" t="s">
        <v>3339</v>
      </c>
      <c r="IK583" s="321">
        <v>41696</v>
      </c>
      <c r="IL583" s="321">
        <v>41698</v>
      </c>
      <c r="IM583" s="321">
        <v>41719</v>
      </c>
      <c r="IN583" s="319">
        <v>1</v>
      </c>
      <c r="IO583" s="319" t="s">
        <v>173</v>
      </c>
      <c r="IP583" s="319" t="s">
        <v>173</v>
      </c>
      <c r="IQ583" s="319" t="s">
        <v>173</v>
      </c>
      <c r="IR583" s="320" t="s">
        <v>173</v>
      </c>
      <c r="IS583" s="320" t="s">
        <v>173</v>
      </c>
      <c r="IT583" s="319" t="s">
        <v>173</v>
      </c>
    </row>
    <row r="584" spans="1:254" s="271" customFormat="1" x14ac:dyDescent="0.25">
      <c r="A584" s="318" t="str">
        <f>HYPERLINK("http://www.ofsted.gov.uk/inspection-reports/find-inspection-report/provider/ELS/136000 ","Ofsted School Webpage")</f>
        <v>Ofsted School Webpage</v>
      </c>
      <c r="B584" s="319">
        <v>136000</v>
      </c>
      <c r="C584" s="319">
        <v>3906008</v>
      </c>
      <c r="D584" s="319" t="s">
        <v>1078</v>
      </c>
      <c r="E584" s="319" t="s">
        <v>167</v>
      </c>
      <c r="F584" s="319" t="s">
        <v>81</v>
      </c>
      <c r="G584" s="319" t="s">
        <v>69</v>
      </c>
      <c r="H584" s="319" t="s">
        <v>69</v>
      </c>
      <c r="I584" s="319" t="s">
        <v>69</v>
      </c>
      <c r="J584" s="319" t="s">
        <v>424</v>
      </c>
      <c r="K584" s="319" t="s">
        <v>458</v>
      </c>
      <c r="L584" s="319" t="s">
        <v>474</v>
      </c>
      <c r="M584" s="319" t="s">
        <v>787</v>
      </c>
      <c r="N584" s="319" t="s">
        <v>787</v>
      </c>
      <c r="O584" s="319" t="s">
        <v>1079</v>
      </c>
      <c r="P584" s="319">
        <v>258</v>
      </c>
      <c r="Q584" s="319" t="s">
        <v>2766</v>
      </c>
      <c r="R584" s="320">
        <v>10093648</v>
      </c>
      <c r="S584" s="321">
        <v>43557</v>
      </c>
      <c r="T584" s="321">
        <v>43559</v>
      </c>
      <c r="U584" s="321">
        <v>43654</v>
      </c>
      <c r="V584" s="319" t="s">
        <v>425</v>
      </c>
      <c r="W584" s="319" t="s">
        <v>2767</v>
      </c>
      <c r="X584" s="319">
        <v>4</v>
      </c>
      <c r="Y584" s="319" t="s">
        <v>173</v>
      </c>
      <c r="Z584" s="319" t="s">
        <v>173</v>
      </c>
      <c r="AA584" s="319" t="s">
        <v>173</v>
      </c>
      <c r="AB584" s="319">
        <v>4</v>
      </c>
      <c r="AC584" s="319" t="s">
        <v>169</v>
      </c>
      <c r="AD584" s="319">
        <v>3</v>
      </c>
      <c r="AE584" s="319" t="s">
        <v>173</v>
      </c>
      <c r="AF584" s="319" t="s">
        <v>447</v>
      </c>
      <c r="AG584" s="319" t="s">
        <v>172</v>
      </c>
      <c r="AH584" s="319" t="s">
        <v>479</v>
      </c>
      <c r="AI584" s="319" t="s">
        <v>479</v>
      </c>
      <c r="AJ584" s="319" t="s">
        <v>190</v>
      </c>
      <c r="AK584" s="319" t="s">
        <v>190</v>
      </c>
      <c r="AL584" s="319" t="s">
        <v>190</v>
      </c>
      <c r="AM584" s="319" t="s">
        <v>190</v>
      </c>
      <c r="AN584" s="319" t="s">
        <v>190</v>
      </c>
      <c r="AO584" s="319" t="s">
        <v>479</v>
      </c>
      <c r="AP584" s="319" t="s">
        <v>191</v>
      </c>
      <c r="AQ584" s="319" t="s">
        <v>191</v>
      </c>
      <c r="AR584" s="319" t="s">
        <v>191</v>
      </c>
      <c r="AS584" s="319" t="s">
        <v>191</v>
      </c>
      <c r="AT584" s="319" t="s">
        <v>190</v>
      </c>
      <c r="AU584" s="319" t="s">
        <v>191</v>
      </c>
      <c r="AV584" s="319" t="s">
        <v>190</v>
      </c>
      <c r="AW584" s="319" t="s">
        <v>190</v>
      </c>
      <c r="AX584" s="319" t="s">
        <v>428</v>
      </c>
      <c r="AY584" s="319" t="s">
        <v>191</v>
      </c>
      <c r="AZ584" s="319" t="s">
        <v>191</v>
      </c>
      <c r="BA584" s="319" t="s">
        <v>191</v>
      </c>
      <c r="BB584" s="319" t="s">
        <v>191</v>
      </c>
      <c r="BC584" s="319" t="s">
        <v>191</v>
      </c>
      <c r="BD584" s="319" t="s">
        <v>191</v>
      </c>
      <c r="BE584" s="319" t="s">
        <v>191</v>
      </c>
      <c r="BF584" s="319" t="s">
        <v>190</v>
      </c>
      <c r="BG584" s="319" t="s">
        <v>428</v>
      </c>
      <c r="BH584" s="319" t="s">
        <v>191</v>
      </c>
      <c r="BI584" s="319" t="s">
        <v>191</v>
      </c>
      <c r="BJ584" s="319" t="s">
        <v>191</v>
      </c>
      <c r="BK584" s="319" t="s">
        <v>191</v>
      </c>
      <c r="BL584" s="319" t="s">
        <v>190</v>
      </c>
      <c r="BM584" s="319" t="s">
        <v>191</v>
      </c>
      <c r="BN584" s="319" t="s">
        <v>191</v>
      </c>
      <c r="BO584" s="319" t="s">
        <v>191</v>
      </c>
      <c r="BP584" s="319" t="s">
        <v>190</v>
      </c>
      <c r="BQ584" s="319" t="s">
        <v>191</v>
      </c>
      <c r="BR584" s="319" t="s">
        <v>190</v>
      </c>
      <c r="BS584" s="319" t="s">
        <v>190</v>
      </c>
      <c r="BT584" s="319" t="s">
        <v>191</v>
      </c>
      <c r="BU584" s="319" t="s">
        <v>191</v>
      </c>
      <c r="BV584" s="319" t="s">
        <v>191</v>
      </c>
      <c r="BW584" s="319" t="s">
        <v>191</v>
      </c>
      <c r="BX584" s="319" t="s">
        <v>190</v>
      </c>
      <c r="BY584" s="319" t="s">
        <v>190</v>
      </c>
      <c r="BZ584" s="319" t="s">
        <v>190</v>
      </c>
      <c r="CA584" s="319" t="s">
        <v>190</v>
      </c>
      <c r="CB584" s="319" t="s">
        <v>190</v>
      </c>
      <c r="CC584" s="319" t="s">
        <v>190</v>
      </c>
      <c r="CD584" s="319" t="s">
        <v>191</v>
      </c>
      <c r="CE584" s="319" t="s">
        <v>190</v>
      </c>
      <c r="CF584" s="319" t="s">
        <v>190</v>
      </c>
      <c r="CG584" s="319" t="s">
        <v>190</v>
      </c>
      <c r="CH584" s="319" t="s">
        <v>190</v>
      </c>
      <c r="CI584" s="319" t="s">
        <v>190</v>
      </c>
      <c r="CJ584" s="319" t="s">
        <v>190</v>
      </c>
      <c r="CK584" s="319" t="s">
        <v>190</v>
      </c>
      <c r="CL584" s="319" t="s">
        <v>190</v>
      </c>
      <c r="CM584" s="319" t="s">
        <v>190</v>
      </c>
      <c r="CN584" s="319" t="s">
        <v>190</v>
      </c>
      <c r="CO584" s="319" t="s">
        <v>190</v>
      </c>
      <c r="CP584" s="319" t="s">
        <v>428</v>
      </c>
      <c r="CQ584" s="319" t="s">
        <v>190</v>
      </c>
      <c r="CR584" s="319" t="s">
        <v>190</v>
      </c>
      <c r="CS584" s="319" t="s">
        <v>190</v>
      </c>
      <c r="CT584" s="319" t="s">
        <v>190</v>
      </c>
      <c r="CU584" s="319" t="s">
        <v>190</v>
      </c>
      <c r="CV584" s="319" t="s">
        <v>190</v>
      </c>
      <c r="CW584" s="319" t="s">
        <v>190</v>
      </c>
      <c r="CX584" s="319" t="s">
        <v>190</v>
      </c>
      <c r="CY584" s="319" t="s">
        <v>190</v>
      </c>
      <c r="CZ584" s="319" t="s">
        <v>190</v>
      </c>
      <c r="DA584" s="319" t="s">
        <v>190</v>
      </c>
      <c r="DB584" s="319" t="s">
        <v>190</v>
      </c>
      <c r="DC584" s="319" t="s">
        <v>190</v>
      </c>
      <c r="DD584" s="319" t="s">
        <v>190</v>
      </c>
      <c r="DE584" s="319" t="s">
        <v>190</v>
      </c>
      <c r="DF584" s="319" t="s">
        <v>190</v>
      </c>
      <c r="DG584" s="319" t="s">
        <v>190</v>
      </c>
      <c r="DH584" s="319" t="s">
        <v>190</v>
      </c>
      <c r="DI584" s="319" t="s">
        <v>190</v>
      </c>
      <c r="DJ584" s="319" t="s">
        <v>190</v>
      </c>
      <c r="DK584" s="319" t="s">
        <v>190</v>
      </c>
      <c r="DL584" s="319" t="s">
        <v>190</v>
      </c>
      <c r="DM584" s="319" t="s">
        <v>190</v>
      </c>
      <c r="DN584" s="319" t="s">
        <v>428</v>
      </c>
      <c r="DO584" s="319" t="s">
        <v>190</v>
      </c>
      <c r="DP584" s="319" t="s">
        <v>428</v>
      </c>
      <c r="DQ584" s="319" t="s">
        <v>428</v>
      </c>
      <c r="DR584" s="319" t="s">
        <v>428</v>
      </c>
      <c r="DS584" s="319" t="s">
        <v>428</v>
      </c>
      <c r="DT584" s="319" t="s">
        <v>428</v>
      </c>
      <c r="DU584" s="319" t="s">
        <v>428</v>
      </c>
      <c r="DV584" s="319" t="s">
        <v>173</v>
      </c>
      <c r="DW584" s="319" t="s">
        <v>428</v>
      </c>
      <c r="DX584" s="319" t="s">
        <v>428</v>
      </c>
      <c r="DY584" s="319" t="s">
        <v>428</v>
      </c>
      <c r="DZ584" s="319" t="s">
        <v>428</v>
      </c>
      <c r="EA584" s="319" t="s">
        <v>428</v>
      </c>
      <c r="EB584" s="319" t="s">
        <v>428</v>
      </c>
      <c r="EC584" s="319" t="s">
        <v>428</v>
      </c>
      <c r="ED584" s="319" t="s">
        <v>428</v>
      </c>
      <c r="EE584" s="319" t="s">
        <v>190</v>
      </c>
      <c r="EF584" s="319" t="s">
        <v>190</v>
      </c>
      <c r="EG584" s="319" t="s">
        <v>190</v>
      </c>
      <c r="EH584" s="319" t="s">
        <v>190</v>
      </c>
      <c r="EI584" s="319" t="s">
        <v>190</v>
      </c>
      <c r="EJ584" s="319" t="s">
        <v>190</v>
      </c>
      <c r="EK584" s="319" t="s">
        <v>190</v>
      </c>
      <c r="EL584" s="319" t="s">
        <v>428</v>
      </c>
      <c r="EM584" s="319" t="s">
        <v>190</v>
      </c>
      <c r="EN584" s="319" t="s">
        <v>190</v>
      </c>
      <c r="EO584" s="319" t="s">
        <v>190</v>
      </c>
      <c r="EP584" s="319" t="s">
        <v>190</v>
      </c>
      <c r="EQ584" s="319" t="s">
        <v>190</v>
      </c>
      <c r="ER584" s="319" t="s">
        <v>190</v>
      </c>
      <c r="ES584" s="319" t="s">
        <v>190</v>
      </c>
      <c r="ET584" s="319" t="s">
        <v>190</v>
      </c>
      <c r="EU584" s="319" t="s">
        <v>190</v>
      </c>
      <c r="EV584" s="319" t="s">
        <v>190</v>
      </c>
      <c r="EW584" s="319" t="s">
        <v>190</v>
      </c>
      <c r="EX584" s="319" t="s">
        <v>190</v>
      </c>
      <c r="EY584" s="319" t="s">
        <v>190</v>
      </c>
      <c r="EZ584" s="319" t="s">
        <v>190</v>
      </c>
      <c r="FA584" s="319" t="s">
        <v>190</v>
      </c>
      <c r="FB584" s="319" t="s">
        <v>428</v>
      </c>
      <c r="FC584" s="319" t="s">
        <v>428</v>
      </c>
      <c r="FD584" s="319" t="s">
        <v>428</v>
      </c>
      <c r="FE584" s="319" t="s">
        <v>428</v>
      </c>
      <c r="FF584" s="319" t="s">
        <v>428</v>
      </c>
      <c r="FG584" s="319" t="s">
        <v>428</v>
      </c>
      <c r="FH584" s="319" t="s">
        <v>190</v>
      </c>
      <c r="FI584" s="319" t="s">
        <v>190</v>
      </c>
      <c r="FJ584" s="319" t="s">
        <v>190</v>
      </c>
      <c r="FK584" s="319" t="s">
        <v>190</v>
      </c>
      <c r="FL584" s="319" t="s">
        <v>190</v>
      </c>
      <c r="FM584" s="319" t="s">
        <v>190</v>
      </c>
      <c r="FN584" s="319" t="s">
        <v>428</v>
      </c>
      <c r="FO584" s="319" t="s">
        <v>190</v>
      </c>
      <c r="FP584" s="319" t="s">
        <v>428</v>
      </c>
      <c r="FQ584" s="319" t="s">
        <v>190</v>
      </c>
      <c r="FR584" s="319" t="s">
        <v>190</v>
      </c>
      <c r="FS584" s="319" t="s">
        <v>428</v>
      </c>
      <c r="FT584" s="319" t="s">
        <v>190</v>
      </c>
      <c r="FU584" s="319" t="s">
        <v>190</v>
      </c>
      <c r="FV584" s="319" t="s">
        <v>190</v>
      </c>
      <c r="FW584" s="319" t="s">
        <v>190</v>
      </c>
      <c r="FX584" s="319" t="s">
        <v>190</v>
      </c>
      <c r="FY584" s="319" t="s">
        <v>190</v>
      </c>
      <c r="FZ584" s="319" t="s">
        <v>190</v>
      </c>
      <c r="GA584" s="319" t="s">
        <v>190</v>
      </c>
      <c r="GB584" s="319" t="s">
        <v>190</v>
      </c>
      <c r="GC584" s="319" t="s">
        <v>190</v>
      </c>
      <c r="GD584" s="319" t="s">
        <v>190</v>
      </c>
      <c r="GE584" s="319" t="s">
        <v>190</v>
      </c>
      <c r="GF584" s="319" t="s">
        <v>190</v>
      </c>
      <c r="GG584" s="319" t="s">
        <v>190</v>
      </c>
      <c r="GH584" s="319" t="s">
        <v>190</v>
      </c>
      <c r="GI584" s="319" t="s">
        <v>190</v>
      </c>
      <c r="GJ584" s="319" t="s">
        <v>190</v>
      </c>
      <c r="GK584" s="319" t="s">
        <v>428</v>
      </c>
      <c r="GL584" s="319" t="s">
        <v>190</v>
      </c>
      <c r="GM584" s="319" t="s">
        <v>190</v>
      </c>
      <c r="GN584" s="319" t="s">
        <v>190</v>
      </c>
      <c r="GO584" s="319" t="s">
        <v>190</v>
      </c>
      <c r="GP584" s="319" t="s">
        <v>190</v>
      </c>
      <c r="GQ584" s="319" t="s">
        <v>428</v>
      </c>
      <c r="GR584" s="319" t="s">
        <v>190</v>
      </c>
      <c r="GS584" s="319" t="s">
        <v>190</v>
      </c>
      <c r="GT584" s="319" t="s">
        <v>428</v>
      </c>
      <c r="GU584" s="319" t="s">
        <v>428</v>
      </c>
      <c r="GV584" s="319" t="s">
        <v>190</v>
      </c>
      <c r="GW584" s="319" t="s">
        <v>190</v>
      </c>
      <c r="GX584" s="319" t="s">
        <v>190</v>
      </c>
      <c r="GY584" s="319" t="s">
        <v>190</v>
      </c>
      <c r="GZ584" s="319" t="s">
        <v>190</v>
      </c>
      <c r="HA584" s="319" t="s">
        <v>428</v>
      </c>
      <c r="HB584" s="319" t="s">
        <v>190</v>
      </c>
      <c r="HC584" s="319" t="s">
        <v>190</v>
      </c>
      <c r="HD584" s="319" t="s">
        <v>190</v>
      </c>
      <c r="HE584" s="319" t="s">
        <v>190</v>
      </c>
      <c r="HF584" s="319" t="s">
        <v>190</v>
      </c>
      <c r="HG584" s="319" t="s">
        <v>190</v>
      </c>
      <c r="HH584" s="319" t="s">
        <v>190</v>
      </c>
      <c r="HI584" s="319" t="s">
        <v>190</v>
      </c>
      <c r="HJ584" s="319" t="s">
        <v>190</v>
      </c>
      <c r="HK584" s="319" t="s">
        <v>190</v>
      </c>
      <c r="HL584" s="319" t="s">
        <v>190</v>
      </c>
      <c r="HM584" s="319" t="s">
        <v>428</v>
      </c>
      <c r="HN584" s="319" t="s">
        <v>428</v>
      </c>
      <c r="HO584" s="319" t="s">
        <v>428</v>
      </c>
      <c r="HP584" s="319" t="s">
        <v>190</v>
      </c>
      <c r="HQ584" s="319" t="s">
        <v>190</v>
      </c>
      <c r="HR584" s="319" t="s">
        <v>190</v>
      </c>
      <c r="HS584" s="319" t="s">
        <v>190</v>
      </c>
      <c r="HT584" s="319" t="s">
        <v>190</v>
      </c>
      <c r="HU584" s="319" t="s">
        <v>190</v>
      </c>
      <c r="HV584" s="319" t="s">
        <v>190</v>
      </c>
      <c r="HW584" s="319" t="s">
        <v>190</v>
      </c>
      <c r="HX584" s="319" t="s">
        <v>190</v>
      </c>
      <c r="HY584" s="319" t="s">
        <v>190</v>
      </c>
      <c r="HZ584" s="319" t="s">
        <v>190</v>
      </c>
      <c r="IA584" s="319" t="s">
        <v>190</v>
      </c>
      <c r="IB584" s="319" t="s">
        <v>190</v>
      </c>
      <c r="IC584" s="319" t="s">
        <v>190</v>
      </c>
      <c r="ID584" s="319" t="s">
        <v>190</v>
      </c>
      <c r="IE584" s="319" t="s">
        <v>190</v>
      </c>
      <c r="IF584" s="319" t="s">
        <v>191</v>
      </c>
      <c r="IG584" s="319" t="s">
        <v>191</v>
      </c>
      <c r="IH584" s="319" t="s">
        <v>191</v>
      </c>
      <c r="II584" s="319" t="s">
        <v>191</v>
      </c>
      <c r="IJ584" s="319">
        <v>10025960</v>
      </c>
      <c r="IK584" s="321">
        <v>42808</v>
      </c>
      <c r="IL584" s="321">
        <v>42810</v>
      </c>
      <c r="IM584" s="321">
        <v>42829</v>
      </c>
      <c r="IN584" s="319">
        <v>2</v>
      </c>
      <c r="IO584" s="319" t="s">
        <v>173</v>
      </c>
      <c r="IP584" s="319" t="s">
        <v>173</v>
      </c>
      <c r="IQ584" s="321" t="s">
        <v>173</v>
      </c>
      <c r="IR584" s="320" t="s">
        <v>173</v>
      </c>
      <c r="IS584" s="322" t="s">
        <v>173</v>
      </c>
      <c r="IT584" s="319" t="s">
        <v>173</v>
      </c>
    </row>
    <row r="585" spans="1:254" s="271" customFormat="1" x14ac:dyDescent="0.25">
      <c r="A585" s="318" t="str">
        <f>HYPERLINK("http://www.ofsted.gov.uk/inspection-reports/find-inspection-report/provider/ELS/136003 ","Ofsted School Webpage")</f>
        <v>Ofsted School Webpage</v>
      </c>
      <c r="B585" s="319">
        <v>136003</v>
      </c>
      <c r="C585" s="319">
        <v>8886111</v>
      </c>
      <c r="D585" s="319" t="s">
        <v>2013</v>
      </c>
      <c r="E585" s="319" t="s">
        <v>168</v>
      </c>
      <c r="F585" s="319" t="s">
        <v>81</v>
      </c>
      <c r="G585" s="319" t="s">
        <v>81</v>
      </c>
      <c r="H585" s="319" t="s">
        <v>81</v>
      </c>
      <c r="I585" s="319" t="s">
        <v>78</v>
      </c>
      <c r="J585" s="319" t="s">
        <v>424</v>
      </c>
      <c r="K585" s="319" t="s">
        <v>431</v>
      </c>
      <c r="L585" s="319" t="s">
        <v>431</v>
      </c>
      <c r="M585" s="319" t="s">
        <v>469</v>
      </c>
      <c r="N585" s="319" t="s">
        <v>3340</v>
      </c>
      <c r="O585" s="319" t="s">
        <v>2014</v>
      </c>
      <c r="P585" s="319">
        <v>61</v>
      </c>
      <c r="Q585" s="319" t="s">
        <v>429</v>
      </c>
      <c r="R585" s="320">
        <v>10026014</v>
      </c>
      <c r="S585" s="321">
        <v>42990</v>
      </c>
      <c r="T585" s="321">
        <v>42992</v>
      </c>
      <c r="U585" s="321">
        <v>43027</v>
      </c>
      <c r="V585" s="319" t="s">
        <v>425</v>
      </c>
      <c r="W585" s="319" t="s">
        <v>2767</v>
      </c>
      <c r="X585" s="319">
        <v>1</v>
      </c>
      <c r="Y585" s="319" t="s">
        <v>173</v>
      </c>
      <c r="Z585" s="319" t="s">
        <v>173</v>
      </c>
      <c r="AA585" s="319" t="s">
        <v>173</v>
      </c>
      <c r="AB585" s="319">
        <v>1</v>
      </c>
      <c r="AC585" s="319" t="s">
        <v>169</v>
      </c>
      <c r="AD585" s="319" t="s">
        <v>173</v>
      </c>
      <c r="AE585" s="319" t="s">
        <v>173</v>
      </c>
      <c r="AF585" s="319" t="s">
        <v>173</v>
      </c>
      <c r="AG585" s="319" t="s">
        <v>171</v>
      </c>
      <c r="AH585" s="319" t="s">
        <v>190</v>
      </c>
      <c r="AI585" s="319" t="s">
        <v>190</v>
      </c>
      <c r="AJ585" s="319" t="s">
        <v>190</v>
      </c>
      <c r="AK585" s="319" t="s">
        <v>190</v>
      </c>
      <c r="AL585" s="319" t="s">
        <v>190</v>
      </c>
      <c r="AM585" s="319" t="s">
        <v>190</v>
      </c>
      <c r="AN585" s="319" t="s">
        <v>190</v>
      </c>
      <c r="AO585" s="319" t="s">
        <v>190</v>
      </c>
      <c r="AP585" s="319" t="s">
        <v>190</v>
      </c>
      <c r="AQ585" s="319" t="s">
        <v>190</v>
      </c>
      <c r="AR585" s="319" t="s">
        <v>190</v>
      </c>
      <c r="AS585" s="319" t="s">
        <v>190</v>
      </c>
      <c r="AT585" s="319" t="s">
        <v>190</v>
      </c>
      <c r="AU585" s="319" t="s">
        <v>190</v>
      </c>
      <c r="AV585" s="319" t="s">
        <v>190</v>
      </c>
      <c r="AW585" s="319" t="s">
        <v>190</v>
      </c>
      <c r="AX585" s="319" t="s">
        <v>429</v>
      </c>
      <c r="AY585" s="319" t="s">
        <v>190</v>
      </c>
      <c r="AZ585" s="319" t="s">
        <v>190</v>
      </c>
      <c r="BA585" s="319" t="s">
        <v>190</v>
      </c>
      <c r="BB585" s="319" t="s">
        <v>190</v>
      </c>
      <c r="BC585" s="319" t="s">
        <v>190</v>
      </c>
      <c r="BD585" s="319" t="s">
        <v>190</v>
      </c>
      <c r="BE585" s="319" t="s">
        <v>190</v>
      </c>
      <c r="BF585" s="319" t="s">
        <v>429</v>
      </c>
      <c r="BG585" s="319" t="s">
        <v>429</v>
      </c>
      <c r="BH585" s="319" t="s">
        <v>190</v>
      </c>
      <c r="BI585" s="319" t="s">
        <v>190</v>
      </c>
      <c r="BJ585" s="319" t="s">
        <v>190</v>
      </c>
      <c r="BK585" s="319" t="s">
        <v>190</v>
      </c>
      <c r="BL585" s="319" t="s">
        <v>190</v>
      </c>
      <c r="BM585" s="319" t="s">
        <v>190</v>
      </c>
      <c r="BN585" s="319" t="s">
        <v>190</v>
      </c>
      <c r="BO585" s="319" t="s">
        <v>190</v>
      </c>
      <c r="BP585" s="319" t="s">
        <v>190</v>
      </c>
      <c r="BQ585" s="319" t="s">
        <v>190</v>
      </c>
      <c r="BR585" s="319" t="s">
        <v>190</v>
      </c>
      <c r="BS585" s="319" t="s">
        <v>190</v>
      </c>
      <c r="BT585" s="319" t="s">
        <v>190</v>
      </c>
      <c r="BU585" s="319" t="s">
        <v>190</v>
      </c>
      <c r="BV585" s="319" t="s">
        <v>190</v>
      </c>
      <c r="BW585" s="319" t="s">
        <v>190</v>
      </c>
      <c r="BX585" s="319" t="s">
        <v>190</v>
      </c>
      <c r="BY585" s="319" t="s">
        <v>190</v>
      </c>
      <c r="BZ585" s="319" t="s">
        <v>190</v>
      </c>
      <c r="CA585" s="319" t="s">
        <v>190</v>
      </c>
      <c r="CB585" s="319" t="s">
        <v>190</v>
      </c>
      <c r="CC585" s="319" t="s">
        <v>190</v>
      </c>
      <c r="CD585" s="319" t="s">
        <v>190</v>
      </c>
      <c r="CE585" s="319" t="s">
        <v>190</v>
      </c>
      <c r="CF585" s="319" t="s">
        <v>190</v>
      </c>
      <c r="CG585" s="319" t="s">
        <v>190</v>
      </c>
      <c r="CH585" s="319" t="s">
        <v>190</v>
      </c>
      <c r="CI585" s="319" t="s">
        <v>190</v>
      </c>
      <c r="CJ585" s="319" t="s">
        <v>190</v>
      </c>
      <c r="CK585" s="319" t="s">
        <v>190</v>
      </c>
      <c r="CL585" s="319" t="s">
        <v>190</v>
      </c>
      <c r="CM585" s="319" t="s">
        <v>190</v>
      </c>
      <c r="CN585" s="319" t="s">
        <v>429</v>
      </c>
      <c r="CO585" s="319" t="s">
        <v>429</v>
      </c>
      <c r="CP585" s="319" t="s">
        <v>429</v>
      </c>
      <c r="CQ585" s="319" t="s">
        <v>190</v>
      </c>
      <c r="CR585" s="319" t="s">
        <v>190</v>
      </c>
      <c r="CS585" s="319" t="s">
        <v>190</v>
      </c>
      <c r="CT585" s="319" t="s">
        <v>190</v>
      </c>
      <c r="CU585" s="319" t="s">
        <v>190</v>
      </c>
      <c r="CV585" s="319" t="s">
        <v>190</v>
      </c>
      <c r="CW585" s="319" t="s">
        <v>190</v>
      </c>
      <c r="CX585" s="319" t="s">
        <v>190</v>
      </c>
      <c r="CY585" s="319" t="s">
        <v>190</v>
      </c>
      <c r="CZ585" s="319" t="s">
        <v>190</v>
      </c>
      <c r="DA585" s="319" t="s">
        <v>190</v>
      </c>
      <c r="DB585" s="319" t="s">
        <v>190</v>
      </c>
      <c r="DC585" s="319" t="s">
        <v>190</v>
      </c>
      <c r="DD585" s="319" t="s">
        <v>190</v>
      </c>
      <c r="DE585" s="319" t="s">
        <v>190</v>
      </c>
      <c r="DF585" s="319" t="s">
        <v>190</v>
      </c>
      <c r="DG585" s="319" t="s">
        <v>190</v>
      </c>
      <c r="DH585" s="319" t="s">
        <v>190</v>
      </c>
      <c r="DI585" s="319" t="s">
        <v>190</v>
      </c>
      <c r="DJ585" s="319" t="s">
        <v>190</v>
      </c>
      <c r="DK585" s="319" t="s">
        <v>190</v>
      </c>
      <c r="DL585" s="319" t="s">
        <v>190</v>
      </c>
      <c r="DM585" s="319" t="s">
        <v>429</v>
      </c>
      <c r="DN585" s="319" t="s">
        <v>429</v>
      </c>
      <c r="DO585" s="319" t="s">
        <v>190</v>
      </c>
      <c r="DP585" s="319" t="s">
        <v>190</v>
      </c>
      <c r="DQ585" s="319" t="s">
        <v>190</v>
      </c>
      <c r="DR585" s="319" t="s">
        <v>190</v>
      </c>
      <c r="DS585" s="319" t="s">
        <v>190</v>
      </c>
      <c r="DT585" s="319" t="s">
        <v>190</v>
      </c>
      <c r="DU585" s="319" t="s">
        <v>190</v>
      </c>
      <c r="DV585" s="319" t="s">
        <v>173</v>
      </c>
      <c r="DW585" s="319" t="s">
        <v>190</v>
      </c>
      <c r="DX585" s="319" t="s">
        <v>190</v>
      </c>
      <c r="DY585" s="319" t="s">
        <v>190</v>
      </c>
      <c r="DZ585" s="319" t="s">
        <v>190</v>
      </c>
      <c r="EA585" s="319" t="s">
        <v>190</v>
      </c>
      <c r="EB585" s="319" t="s">
        <v>190</v>
      </c>
      <c r="EC585" s="319" t="s">
        <v>429</v>
      </c>
      <c r="ED585" s="319" t="s">
        <v>190</v>
      </c>
      <c r="EE585" s="319" t="s">
        <v>190</v>
      </c>
      <c r="EF585" s="319" t="s">
        <v>190</v>
      </c>
      <c r="EG585" s="319" t="s">
        <v>190</v>
      </c>
      <c r="EH585" s="319" t="s">
        <v>190</v>
      </c>
      <c r="EI585" s="319" t="s">
        <v>190</v>
      </c>
      <c r="EJ585" s="319" t="s">
        <v>190</v>
      </c>
      <c r="EK585" s="319" t="s">
        <v>190</v>
      </c>
      <c r="EL585" s="319" t="s">
        <v>190</v>
      </c>
      <c r="EM585" s="319" t="s">
        <v>190</v>
      </c>
      <c r="EN585" s="319" t="s">
        <v>190</v>
      </c>
      <c r="EO585" s="319" t="s">
        <v>190</v>
      </c>
      <c r="EP585" s="319" t="s">
        <v>190</v>
      </c>
      <c r="EQ585" s="319" t="s">
        <v>190</v>
      </c>
      <c r="ER585" s="319" t="s">
        <v>190</v>
      </c>
      <c r="ES585" s="319" t="s">
        <v>190</v>
      </c>
      <c r="ET585" s="319" t="s">
        <v>190</v>
      </c>
      <c r="EU585" s="319" t="s">
        <v>190</v>
      </c>
      <c r="EV585" s="319" t="s">
        <v>190</v>
      </c>
      <c r="EW585" s="319" t="s">
        <v>190</v>
      </c>
      <c r="EX585" s="319" t="s">
        <v>429</v>
      </c>
      <c r="EY585" s="319" t="s">
        <v>190</v>
      </c>
      <c r="EZ585" s="319" t="s">
        <v>190</v>
      </c>
      <c r="FA585" s="319" t="s">
        <v>190</v>
      </c>
      <c r="FB585" s="319" t="s">
        <v>190</v>
      </c>
      <c r="FC585" s="319" t="s">
        <v>190</v>
      </c>
      <c r="FD585" s="319" t="s">
        <v>190</v>
      </c>
      <c r="FE585" s="319" t="s">
        <v>190</v>
      </c>
      <c r="FF585" s="319" t="s">
        <v>429</v>
      </c>
      <c r="FG585" s="319" t="s">
        <v>190</v>
      </c>
      <c r="FH585" s="319" t="s">
        <v>190</v>
      </c>
      <c r="FI585" s="319" t="s">
        <v>190</v>
      </c>
      <c r="FJ585" s="319" t="s">
        <v>190</v>
      </c>
      <c r="FK585" s="319" t="s">
        <v>190</v>
      </c>
      <c r="FL585" s="319" t="s">
        <v>190</v>
      </c>
      <c r="FM585" s="319" t="s">
        <v>190</v>
      </c>
      <c r="FN585" s="319" t="s">
        <v>429</v>
      </c>
      <c r="FO585" s="319" t="s">
        <v>190</v>
      </c>
      <c r="FP585" s="319" t="s">
        <v>190</v>
      </c>
      <c r="FQ585" s="319" t="s">
        <v>190</v>
      </c>
      <c r="FR585" s="319" t="s">
        <v>190</v>
      </c>
      <c r="FS585" s="319" t="s">
        <v>429</v>
      </c>
      <c r="FT585" s="319" t="s">
        <v>190</v>
      </c>
      <c r="FU585" s="319" t="s">
        <v>190</v>
      </c>
      <c r="FV585" s="319" t="s">
        <v>190</v>
      </c>
      <c r="FW585" s="319" t="s">
        <v>190</v>
      </c>
      <c r="FX585" s="319" t="s">
        <v>190</v>
      </c>
      <c r="FY585" s="319" t="s">
        <v>190</v>
      </c>
      <c r="FZ585" s="319" t="s">
        <v>190</v>
      </c>
      <c r="GA585" s="319" t="s">
        <v>190</v>
      </c>
      <c r="GB585" s="319" t="s">
        <v>190</v>
      </c>
      <c r="GC585" s="319" t="s">
        <v>190</v>
      </c>
      <c r="GD585" s="319" t="s">
        <v>190</v>
      </c>
      <c r="GE585" s="319" t="s">
        <v>190</v>
      </c>
      <c r="GF585" s="319" t="s">
        <v>190</v>
      </c>
      <c r="GG585" s="319" t="s">
        <v>190</v>
      </c>
      <c r="GH585" s="319" t="s">
        <v>190</v>
      </c>
      <c r="GI585" s="319" t="s">
        <v>190</v>
      </c>
      <c r="GJ585" s="319" t="s">
        <v>190</v>
      </c>
      <c r="GK585" s="319" t="s">
        <v>429</v>
      </c>
      <c r="GL585" s="319" t="s">
        <v>190</v>
      </c>
      <c r="GM585" s="319" t="s">
        <v>190</v>
      </c>
      <c r="GN585" s="319" t="s">
        <v>190</v>
      </c>
      <c r="GO585" s="319" t="s">
        <v>190</v>
      </c>
      <c r="GP585" s="319" t="s">
        <v>190</v>
      </c>
      <c r="GQ585" s="319" t="s">
        <v>190</v>
      </c>
      <c r="GR585" s="319" t="s">
        <v>190</v>
      </c>
      <c r="GS585" s="319" t="s">
        <v>190</v>
      </c>
      <c r="GT585" s="319" t="s">
        <v>190</v>
      </c>
      <c r="GU585" s="319" t="s">
        <v>190</v>
      </c>
      <c r="GV585" s="319" t="s">
        <v>190</v>
      </c>
      <c r="GW585" s="319" t="s">
        <v>190</v>
      </c>
      <c r="GX585" s="319" t="s">
        <v>190</v>
      </c>
      <c r="GY585" s="319" t="s">
        <v>190</v>
      </c>
      <c r="GZ585" s="319" t="s">
        <v>429</v>
      </c>
      <c r="HA585" s="319" t="s">
        <v>190</v>
      </c>
      <c r="HB585" s="319" t="s">
        <v>190</v>
      </c>
      <c r="HC585" s="319" t="s">
        <v>190</v>
      </c>
      <c r="HD585" s="319" t="s">
        <v>190</v>
      </c>
      <c r="HE585" s="319" t="s">
        <v>190</v>
      </c>
      <c r="HF585" s="319" t="s">
        <v>190</v>
      </c>
      <c r="HG585" s="319" t="s">
        <v>190</v>
      </c>
      <c r="HH585" s="319" t="s">
        <v>190</v>
      </c>
      <c r="HI585" s="319" t="s">
        <v>190</v>
      </c>
      <c r="HJ585" s="319" t="s">
        <v>190</v>
      </c>
      <c r="HK585" s="319" t="s">
        <v>190</v>
      </c>
      <c r="HL585" s="319" t="s">
        <v>190</v>
      </c>
      <c r="HM585" s="319" t="s">
        <v>429</v>
      </c>
      <c r="HN585" s="319" t="s">
        <v>429</v>
      </c>
      <c r="HO585" s="319" t="s">
        <v>429</v>
      </c>
      <c r="HP585" s="319" t="s">
        <v>190</v>
      </c>
      <c r="HQ585" s="319" t="s">
        <v>190</v>
      </c>
      <c r="HR585" s="319" t="s">
        <v>190</v>
      </c>
      <c r="HS585" s="319" t="s">
        <v>190</v>
      </c>
      <c r="HT585" s="319" t="s">
        <v>190</v>
      </c>
      <c r="HU585" s="319" t="s">
        <v>190</v>
      </c>
      <c r="HV585" s="319" t="s">
        <v>190</v>
      </c>
      <c r="HW585" s="319" t="s">
        <v>190</v>
      </c>
      <c r="HX585" s="319" t="s">
        <v>190</v>
      </c>
      <c r="HY585" s="319" t="s">
        <v>190</v>
      </c>
      <c r="HZ585" s="319" t="s">
        <v>190</v>
      </c>
      <c r="IA585" s="319" t="s">
        <v>190</v>
      </c>
      <c r="IB585" s="319" t="s">
        <v>190</v>
      </c>
      <c r="IC585" s="319" t="s">
        <v>190</v>
      </c>
      <c r="ID585" s="319" t="s">
        <v>190</v>
      </c>
      <c r="IE585" s="319" t="s">
        <v>190</v>
      </c>
      <c r="IF585" s="319" t="s">
        <v>190</v>
      </c>
      <c r="IG585" s="319" t="s">
        <v>190</v>
      </c>
      <c r="IH585" s="319" t="s">
        <v>190</v>
      </c>
      <c r="II585" s="319" t="s">
        <v>190</v>
      </c>
      <c r="IJ585" s="319" t="s">
        <v>3341</v>
      </c>
      <c r="IK585" s="321">
        <v>41667</v>
      </c>
      <c r="IL585" s="321">
        <v>41669</v>
      </c>
      <c r="IM585" s="321">
        <v>41697</v>
      </c>
      <c r="IN585" s="319">
        <v>1</v>
      </c>
      <c r="IO585" s="319" t="s">
        <v>173</v>
      </c>
      <c r="IP585" s="319" t="s">
        <v>173</v>
      </c>
      <c r="IQ585" s="321" t="s">
        <v>173</v>
      </c>
      <c r="IR585" s="320" t="s">
        <v>173</v>
      </c>
      <c r="IS585" s="322" t="s">
        <v>173</v>
      </c>
      <c r="IT585" s="319" t="s">
        <v>173</v>
      </c>
    </row>
    <row r="586" spans="1:254" s="271" customFormat="1" x14ac:dyDescent="0.25">
      <c r="A586" s="318" t="str">
        <f>HYPERLINK("http://www.ofsted.gov.uk/inspection-reports/find-inspection-report/provider/ELS/136014 ","Ofsted School Webpage")</f>
        <v>Ofsted School Webpage</v>
      </c>
      <c r="B586" s="319">
        <v>136014</v>
      </c>
      <c r="C586" s="319">
        <v>3026122</v>
      </c>
      <c r="D586" s="319" t="s">
        <v>1140</v>
      </c>
      <c r="E586" s="319" t="s">
        <v>167</v>
      </c>
      <c r="F586" s="319" t="s">
        <v>81</v>
      </c>
      <c r="G586" s="319" t="s">
        <v>69</v>
      </c>
      <c r="H586" s="319" t="s">
        <v>69</v>
      </c>
      <c r="I586" s="319" t="s">
        <v>69</v>
      </c>
      <c r="J586" s="319" t="s">
        <v>424</v>
      </c>
      <c r="K586" s="319" t="s">
        <v>441</v>
      </c>
      <c r="L586" s="319" t="s">
        <v>441</v>
      </c>
      <c r="M586" s="319" t="s">
        <v>544</v>
      </c>
      <c r="N586" s="319" t="s">
        <v>2818</v>
      </c>
      <c r="O586" s="319" t="s">
        <v>1141</v>
      </c>
      <c r="P586" s="319">
        <v>260</v>
      </c>
      <c r="Q586" s="319" t="s">
        <v>2766</v>
      </c>
      <c r="R586" s="320">
        <v>10035805</v>
      </c>
      <c r="S586" s="321">
        <v>43151</v>
      </c>
      <c r="T586" s="321">
        <v>43153</v>
      </c>
      <c r="U586" s="321">
        <v>43187</v>
      </c>
      <c r="V586" s="319" t="s">
        <v>425</v>
      </c>
      <c r="W586" s="319" t="s">
        <v>2767</v>
      </c>
      <c r="X586" s="319">
        <v>2</v>
      </c>
      <c r="Y586" s="319" t="s">
        <v>173</v>
      </c>
      <c r="Z586" s="319" t="s">
        <v>173</v>
      </c>
      <c r="AA586" s="319" t="s">
        <v>173</v>
      </c>
      <c r="AB586" s="319">
        <v>2</v>
      </c>
      <c r="AC586" s="319" t="s">
        <v>169</v>
      </c>
      <c r="AD586" s="319">
        <v>2</v>
      </c>
      <c r="AE586" s="319" t="s">
        <v>173</v>
      </c>
      <c r="AF586" s="319" t="s">
        <v>427</v>
      </c>
      <c r="AG586" s="319" t="s">
        <v>171</v>
      </c>
      <c r="AH586" s="319" t="s">
        <v>190</v>
      </c>
      <c r="AI586" s="319" t="s">
        <v>190</v>
      </c>
      <c r="AJ586" s="319" t="s">
        <v>190</v>
      </c>
      <c r="AK586" s="319" t="s">
        <v>190</v>
      </c>
      <c r="AL586" s="319" t="s">
        <v>190</v>
      </c>
      <c r="AM586" s="319" t="s">
        <v>190</v>
      </c>
      <c r="AN586" s="319" t="s">
        <v>190</v>
      </c>
      <c r="AO586" s="319" t="s">
        <v>190</v>
      </c>
      <c r="AP586" s="319" t="s">
        <v>190</v>
      </c>
      <c r="AQ586" s="319" t="s">
        <v>190</v>
      </c>
      <c r="AR586" s="319" t="s">
        <v>190</v>
      </c>
      <c r="AS586" s="319" t="s">
        <v>190</v>
      </c>
      <c r="AT586" s="319" t="s">
        <v>190</v>
      </c>
      <c r="AU586" s="319" t="s">
        <v>190</v>
      </c>
      <c r="AV586" s="319" t="s">
        <v>190</v>
      </c>
      <c r="AW586" s="319" t="s">
        <v>190</v>
      </c>
      <c r="AX586" s="319" t="s">
        <v>190</v>
      </c>
      <c r="AY586" s="319" t="s">
        <v>190</v>
      </c>
      <c r="AZ586" s="319" t="s">
        <v>190</v>
      </c>
      <c r="BA586" s="319" t="s">
        <v>190</v>
      </c>
      <c r="BB586" s="319" t="s">
        <v>428</v>
      </c>
      <c r="BC586" s="319" t="s">
        <v>428</v>
      </c>
      <c r="BD586" s="319" t="s">
        <v>428</v>
      </c>
      <c r="BE586" s="319" t="s">
        <v>428</v>
      </c>
      <c r="BF586" s="319" t="s">
        <v>190</v>
      </c>
      <c r="BG586" s="319" t="s">
        <v>428</v>
      </c>
      <c r="BH586" s="319" t="s">
        <v>190</v>
      </c>
      <c r="BI586" s="319" t="s">
        <v>190</v>
      </c>
      <c r="BJ586" s="319" t="s">
        <v>190</v>
      </c>
      <c r="BK586" s="319" t="s">
        <v>190</v>
      </c>
      <c r="BL586" s="319" t="s">
        <v>190</v>
      </c>
      <c r="BM586" s="319" t="s">
        <v>190</v>
      </c>
      <c r="BN586" s="319" t="s">
        <v>190</v>
      </c>
      <c r="BO586" s="319" t="s">
        <v>190</v>
      </c>
      <c r="BP586" s="319" t="s">
        <v>190</v>
      </c>
      <c r="BQ586" s="319" t="s">
        <v>190</v>
      </c>
      <c r="BR586" s="319" t="s">
        <v>190</v>
      </c>
      <c r="BS586" s="319" t="s">
        <v>190</v>
      </c>
      <c r="BT586" s="319" t="s">
        <v>190</v>
      </c>
      <c r="BU586" s="319" t="s">
        <v>190</v>
      </c>
      <c r="BV586" s="319" t="s">
        <v>190</v>
      </c>
      <c r="BW586" s="319" t="s">
        <v>190</v>
      </c>
      <c r="BX586" s="319" t="s">
        <v>190</v>
      </c>
      <c r="BY586" s="319" t="s">
        <v>190</v>
      </c>
      <c r="BZ586" s="319" t="s">
        <v>190</v>
      </c>
      <c r="CA586" s="319" t="s">
        <v>190</v>
      </c>
      <c r="CB586" s="319" t="s">
        <v>190</v>
      </c>
      <c r="CC586" s="319" t="s">
        <v>190</v>
      </c>
      <c r="CD586" s="319" t="s">
        <v>190</v>
      </c>
      <c r="CE586" s="319" t="s">
        <v>190</v>
      </c>
      <c r="CF586" s="319" t="s">
        <v>190</v>
      </c>
      <c r="CG586" s="319" t="s">
        <v>190</v>
      </c>
      <c r="CH586" s="319" t="s">
        <v>190</v>
      </c>
      <c r="CI586" s="319" t="s">
        <v>190</v>
      </c>
      <c r="CJ586" s="319" t="s">
        <v>190</v>
      </c>
      <c r="CK586" s="319" t="s">
        <v>190</v>
      </c>
      <c r="CL586" s="319" t="s">
        <v>190</v>
      </c>
      <c r="CM586" s="319" t="s">
        <v>190</v>
      </c>
      <c r="CN586" s="319" t="s">
        <v>428</v>
      </c>
      <c r="CO586" s="319" t="s">
        <v>428</v>
      </c>
      <c r="CP586" s="319" t="s">
        <v>428</v>
      </c>
      <c r="CQ586" s="319" t="s">
        <v>190</v>
      </c>
      <c r="CR586" s="319" t="s">
        <v>190</v>
      </c>
      <c r="CS586" s="319" t="s">
        <v>190</v>
      </c>
      <c r="CT586" s="319" t="s">
        <v>190</v>
      </c>
      <c r="CU586" s="319" t="s">
        <v>190</v>
      </c>
      <c r="CV586" s="319" t="s">
        <v>190</v>
      </c>
      <c r="CW586" s="319" t="s">
        <v>190</v>
      </c>
      <c r="CX586" s="319" t="s">
        <v>190</v>
      </c>
      <c r="CY586" s="319" t="s">
        <v>190</v>
      </c>
      <c r="CZ586" s="319" t="s">
        <v>190</v>
      </c>
      <c r="DA586" s="319" t="s">
        <v>190</v>
      </c>
      <c r="DB586" s="319" t="s">
        <v>190</v>
      </c>
      <c r="DC586" s="319" t="s">
        <v>190</v>
      </c>
      <c r="DD586" s="319" t="s">
        <v>190</v>
      </c>
      <c r="DE586" s="319" t="s">
        <v>190</v>
      </c>
      <c r="DF586" s="319" t="s">
        <v>190</v>
      </c>
      <c r="DG586" s="319" t="s">
        <v>190</v>
      </c>
      <c r="DH586" s="319" t="s">
        <v>190</v>
      </c>
      <c r="DI586" s="319" t="s">
        <v>190</v>
      </c>
      <c r="DJ586" s="319" t="s">
        <v>190</v>
      </c>
      <c r="DK586" s="319" t="s">
        <v>190</v>
      </c>
      <c r="DL586" s="319" t="s">
        <v>190</v>
      </c>
      <c r="DM586" s="319" t="s">
        <v>190</v>
      </c>
      <c r="DN586" s="319" t="s">
        <v>428</v>
      </c>
      <c r="DO586" s="319" t="s">
        <v>190</v>
      </c>
      <c r="DP586" s="319" t="s">
        <v>190</v>
      </c>
      <c r="DQ586" s="319" t="s">
        <v>190</v>
      </c>
      <c r="DR586" s="319" t="s">
        <v>190</v>
      </c>
      <c r="DS586" s="319" t="s">
        <v>190</v>
      </c>
      <c r="DT586" s="319" t="s">
        <v>190</v>
      </c>
      <c r="DU586" s="319" t="s">
        <v>190</v>
      </c>
      <c r="DV586" s="319" t="s">
        <v>173</v>
      </c>
      <c r="DW586" s="319" t="s">
        <v>190</v>
      </c>
      <c r="DX586" s="319" t="s">
        <v>190</v>
      </c>
      <c r="DY586" s="319" t="s">
        <v>190</v>
      </c>
      <c r="DZ586" s="319" t="s">
        <v>190</v>
      </c>
      <c r="EA586" s="319" t="s">
        <v>190</v>
      </c>
      <c r="EB586" s="319" t="s">
        <v>190</v>
      </c>
      <c r="EC586" s="319" t="s">
        <v>190</v>
      </c>
      <c r="ED586" s="319" t="s">
        <v>190</v>
      </c>
      <c r="EE586" s="319" t="s">
        <v>190</v>
      </c>
      <c r="EF586" s="319" t="s">
        <v>190</v>
      </c>
      <c r="EG586" s="319" t="s">
        <v>190</v>
      </c>
      <c r="EH586" s="319" t="s">
        <v>190</v>
      </c>
      <c r="EI586" s="319" t="s">
        <v>190</v>
      </c>
      <c r="EJ586" s="319" t="s">
        <v>190</v>
      </c>
      <c r="EK586" s="319" t="s">
        <v>190</v>
      </c>
      <c r="EL586" s="319" t="s">
        <v>190</v>
      </c>
      <c r="EM586" s="319" t="s">
        <v>190</v>
      </c>
      <c r="EN586" s="319" t="s">
        <v>190</v>
      </c>
      <c r="EO586" s="319" t="s">
        <v>190</v>
      </c>
      <c r="EP586" s="319" t="s">
        <v>190</v>
      </c>
      <c r="EQ586" s="319" t="s">
        <v>190</v>
      </c>
      <c r="ER586" s="319" t="s">
        <v>190</v>
      </c>
      <c r="ES586" s="319" t="s">
        <v>190</v>
      </c>
      <c r="ET586" s="319" t="s">
        <v>190</v>
      </c>
      <c r="EU586" s="319" t="s">
        <v>190</v>
      </c>
      <c r="EV586" s="319" t="s">
        <v>190</v>
      </c>
      <c r="EW586" s="319" t="s">
        <v>190</v>
      </c>
      <c r="EX586" s="319" t="s">
        <v>190</v>
      </c>
      <c r="EY586" s="319" t="s">
        <v>190</v>
      </c>
      <c r="EZ586" s="319" t="s">
        <v>190</v>
      </c>
      <c r="FA586" s="319" t="s">
        <v>190</v>
      </c>
      <c r="FB586" s="319" t="s">
        <v>190</v>
      </c>
      <c r="FC586" s="319" t="s">
        <v>190</v>
      </c>
      <c r="FD586" s="319" t="s">
        <v>190</v>
      </c>
      <c r="FE586" s="319" t="s">
        <v>190</v>
      </c>
      <c r="FF586" s="319" t="s">
        <v>190</v>
      </c>
      <c r="FG586" s="319" t="s">
        <v>190</v>
      </c>
      <c r="FH586" s="319" t="s">
        <v>190</v>
      </c>
      <c r="FI586" s="319" t="s">
        <v>190</v>
      </c>
      <c r="FJ586" s="319" t="s">
        <v>190</v>
      </c>
      <c r="FK586" s="319" t="s">
        <v>190</v>
      </c>
      <c r="FL586" s="319" t="s">
        <v>190</v>
      </c>
      <c r="FM586" s="319" t="s">
        <v>190</v>
      </c>
      <c r="FN586" s="319" t="s">
        <v>190</v>
      </c>
      <c r="FO586" s="319" t="s">
        <v>428</v>
      </c>
      <c r="FP586" s="319" t="s">
        <v>190</v>
      </c>
      <c r="FQ586" s="319" t="s">
        <v>190</v>
      </c>
      <c r="FR586" s="319" t="s">
        <v>190</v>
      </c>
      <c r="FS586" s="319" t="s">
        <v>428</v>
      </c>
      <c r="FT586" s="319" t="s">
        <v>190</v>
      </c>
      <c r="FU586" s="319" t="s">
        <v>190</v>
      </c>
      <c r="FV586" s="319" t="s">
        <v>190</v>
      </c>
      <c r="FW586" s="319" t="s">
        <v>190</v>
      </c>
      <c r="FX586" s="319" t="s">
        <v>190</v>
      </c>
      <c r="FY586" s="319" t="s">
        <v>190</v>
      </c>
      <c r="FZ586" s="319" t="s">
        <v>190</v>
      </c>
      <c r="GA586" s="319" t="s">
        <v>190</v>
      </c>
      <c r="GB586" s="319" t="s">
        <v>190</v>
      </c>
      <c r="GC586" s="319" t="s">
        <v>190</v>
      </c>
      <c r="GD586" s="319" t="s">
        <v>190</v>
      </c>
      <c r="GE586" s="319" t="s">
        <v>190</v>
      </c>
      <c r="GF586" s="319" t="s">
        <v>190</v>
      </c>
      <c r="GG586" s="319" t="s">
        <v>190</v>
      </c>
      <c r="GH586" s="319" t="s">
        <v>190</v>
      </c>
      <c r="GI586" s="319" t="s">
        <v>190</v>
      </c>
      <c r="GJ586" s="319" t="s">
        <v>190</v>
      </c>
      <c r="GK586" s="319" t="s">
        <v>428</v>
      </c>
      <c r="GL586" s="319" t="s">
        <v>190</v>
      </c>
      <c r="GM586" s="319" t="s">
        <v>190</v>
      </c>
      <c r="GN586" s="319" t="s">
        <v>190</v>
      </c>
      <c r="GO586" s="319" t="s">
        <v>190</v>
      </c>
      <c r="GP586" s="319" t="s">
        <v>190</v>
      </c>
      <c r="GQ586" s="319" t="s">
        <v>428</v>
      </c>
      <c r="GR586" s="319" t="s">
        <v>190</v>
      </c>
      <c r="GS586" s="319" t="s">
        <v>190</v>
      </c>
      <c r="GT586" s="319" t="s">
        <v>428</v>
      </c>
      <c r="GU586" s="319" t="s">
        <v>428</v>
      </c>
      <c r="GV586" s="319" t="s">
        <v>190</v>
      </c>
      <c r="GW586" s="319" t="s">
        <v>190</v>
      </c>
      <c r="GX586" s="319" t="s">
        <v>190</v>
      </c>
      <c r="GY586" s="319" t="s">
        <v>190</v>
      </c>
      <c r="GZ586" s="319" t="s">
        <v>428</v>
      </c>
      <c r="HA586" s="319" t="s">
        <v>190</v>
      </c>
      <c r="HB586" s="319" t="s">
        <v>190</v>
      </c>
      <c r="HC586" s="319" t="s">
        <v>190</v>
      </c>
      <c r="HD586" s="319" t="s">
        <v>190</v>
      </c>
      <c r="HE586" s="319" t="s">
        <v>190</v>
      </c>
      <c r="HF586" s="319" t="s">
        <v>190</v>
      </c>
      <c r="HG586" s="319" t="s">
        <v>190</v>
      </c>
      <c r="HH586" s="319" t="s">
        <v>190</v>
      </c>
      <c r="HI586" s="319" t="s">
        <v>190</v>
      </c>
      <c r="HJ586" s="319" t="s">
        <v>190</v>
      </c>
      <c r="HK586" s="319" t="s">
        <v>190</v>
      </c>
      <c r="HL586" s="319" t="s">
        <v>190</v>
      </c>
      <c r="HM586" s="319" t="s">
        <v>190</v>
      </c>
      <c r="HN586" s="319" t="s">
        <v>190</v>
      </c>
      <c r="HO586" s="319" t="s">
        <v>190</v>
      </c>
      <c r="HP586" s="319" t="s">
        <v>190</v>
      </c>
      <c r="HQ586" s="319" t="s">
        <v>190</v>
      </c>
      <c r="HR586" s="319" t="s">
        <v>190</v>
      </c>
      <c r="HS586" s="319" t="s">
        <v>190</v>
      </c>
      <c r="HT586" s="319" t="s">
        <v>190</v>
      </c>
      <c r="HU586" s="319" t="s">
        <v>190</v>
      </c>
      <c r="HV586" s="319" t="s">
        <v>190</v>
      </c>
      <c r="HW586" s="319" t="s">
        <v>190</v>
      </c>
      <c r="HX586" s="319" t="s">
        <v>190</v>
      </c>
      <c r="HY586" s="319" t="s">
        <v>190</v>
      </c>
      <c r="HZ586" s="319" t="s">
        <v>190</v>
      </c>
      <c r="IA586" s="319" t="s">
        <v>190</v>
      </c>
      <c r="IB586" s="319" t="s">
        <v>190</v>
      </c>
      <c r="IC586" s="319" t="s">
        <v>190</v>
      </c>
      <c r="ID586" s="319" t="s">
        <v>190</v>
      </c>
      <c r="IE586" s="319" t="s">
        <v>190</v>
      </c>
      <c r="IF586" s="319" t="s">
        <v>190</v>
      </c>
      <c r="IG586" s="319" t="s">
        <v>190</v>
      </c>
      <c r="IH586" s="319" t="s">
        <v>190</v>
      </c>
      <c r="II586" s="319" t="s">
        <v>190</v>
      </c>
      <c r="IJ586" s="319" t="s">
        <v>3342</v>
      </c>
      <c r="IK586" s="321">
        <v>41828</v>
      </c>
      <c r="IL586" s="321">
        <v>41830</v>
      </c>
      <c r="IM586" s="321">
        <v>41892</v>
      </c>
      <c r="IN586" s="319">
        <v>2</v>
      </c>
      <c r="IO586" s="319" t="s">
        <v>173</v>
      </c>
      <c r="IP586" s="319" t="s">
        <v>173</v>
      </c>
      <c r="IQ586" s="319" t="s">
        <v>173</v>
      </c>
      <c r="IR586" s="320" t="s">
        <v>173</v>
      </c>
      <c r="IS586" s="320" t="s">
        <v>173</v>
      </c>
      <c r="IT586" s="319" t="s">
        <v>173</v>
      </c>
    </row>
    <row r="587" spans="1:254" s="271" customFormat="1" x14ac:dyDescent="0.25">
      <c r="A587" s="318" t="str">
        <f>HYPERLINK("http://www.ofsted.gov.uk/inspection-reports/find-inspection-report/provider/ELS/136015 ","Ofsted School Webpage")</f>
        <v>Ofsted School Webpage</v>
      </c>
      <c r="B587" s="319">
        <v>136015</v>
      </c>
      <c r="C587" s="319">
        <v>2046073</v>
      </c>
      <c r="D587" s="319" t="s">
        <v>2015</v>
      </c>
      <c r="E587" s="319" t="s">
        <v>167</v>
      </c>
      <c r="F587" s="319" t="s">
        <v>70</v>
      </c>
      <c r="G587" s="319" t="s">
        <v>69</v>
      </c>
      <c r="H587" s="319" t="s">
        <v>70</v>
      </c>
      <c r="I587" s="319" t="s">
        <v>69</v>
      </c>
      <c r="J587" s="319" t="s">
        <v>424</v>
      </c>
      <c r="K587" s="319" t="s">
        <v>441</v>
      </c>
      <c r="L587" s="319" t="s">
        <v>441</v>
      </c>
      <c r="M587" s="319" t="s">
        <v>547</v>
      </c>
      <c r="N587" s="319" t="s">
        <v>2774</v>
      </c>
      <c r="O587" s="319" t="s">
        <v>689</v>
      </c>
      <c r="P587" s="319">
        <v>230</v>
      </c>
      <c r="Q587" s="319" t="s">
        <v>2766</v>
      </c>
      <c r="R587" s="320">
        <v>10101125</v>
      </c>
      <c r="S587" s="321">
        <v>43634</v>
      </c>
      <c r="T587" s="321">
        <v>43636</v>
      </c>
      <c r="U587" s="321">
        <v>43692</v>
      </c>
      <c r="V587" s="319" t="s">
        <v>425</v>
      </c>
      <c r="W587" s="319" t="s">
        <v>2767</v>
      </c>
      <c r="X587" s="319">
        <v>3</v>
      </c>
      <c r="Y587" s="319" t="s">
        <v>173</v>
      </c>
      <c r="Z587" s="319" t="s">
        <v>173</v>
      </c>
      <c r="AA587" s="319" t="s">
        <v>173</v>
      </c>
      <c r="AB587" s="319">
        <v>3</v>
      </c>
      <c r="AC587" s="319" t="s">
        <v>169</v>
      </c>
      <c r="AD587" s="319">
        <v>3</v>
      </c>
      <c r="AE587" s="319" t="s">
        <v>173</v>
      </c>
      <c r="AF587" s="319" t="s">
        <v>447</v>
      </c>
      <c r="AG587" s="319" t="s">
        <v>172</v>
      </c>
      <c r="AH587" s="319" t="s">
        <v>190</v>
      </c>
      <c r="AI587" s="319" t="s">
        <v>479</v>
      </c>
      <c r="AJ587" s="319" t="s">
        <v>190</v>
      </c>
      <c r="AK587" s="319" t="s">
        <v>190</v>
      </c>
      <c r="AL587" s="319" t="s">
        <v>190</v>
      </c>
      <c r="AM587" s="319" t="s">
        <v>190</v>
      </c>
      <c r="AN587" s="319" t="s">
        <v>190</v>
      </c>
      <c r="AO587" s="319" t="s">
        <v>479</v>
      </c>
      <c r="AP587" s="319" t="s">
        <v>190</v>
      </c>
      <c r="AQ587" s="319" t="s">
        <v>190</v>
      </c>
      <c r="AR587" s="319" t="s">
        <v>190</v>
      </c>
      <c r="AS587" s="319" t="s">
        <v>190</v>
      </c>
      <c r="AT587" s="319" t="s">
        <v>190</v>
      </c>
      <c r="AU587" s="319" t="s">
        <v>173</v>
      </c>
      <c r="AV587" s="319" t="s">
        <v>190</v>
      </c>
      <c r="AW587" s="319" t="s">
        <v>190</v>
      </c>
      <c r="AX587" s="319" t="s">
        <v>190</v>
      </c>
      <c r="AY587" s="319" t="s">
        <v>191</v>
      </c>
      <c r="AZ587" s="319" t="s">
        <v>190</v>
      </c>
      <c r="BA587" s="319" t="s">
        <v>191</v>
      </c>
      <c r="BB587" s="319" t="s">
        <v>190</v>
      </c>
      <c r="BC587" s="319" t="s">
        <v>190</v>
      </c>
      <c r="BD587" s="319" t="s">
        <v>190</v>
      </c>
      <c r="BE587" s="319" t="s">
        <v>190</v>
      </c>
      <c r="BF587" s="319" t="s">
        <v>190</v>
      </c>
      <c r="BG587" s="319" t="s">
        <v>428</v>
      </c>
      <c r="BH587" s="319" t="s">
        <v>190</v>
      </c>
      <c r="BI587" s="319" t="s">
        <v>190</v>
      </c>
      <c r="BJ587" s="319" t="s">
        <v>190</v>
      </c>
      <c r="BK587" s="319" t="s">
        <v>190</v>
      </c>
      <c r="BL587" s="319" t="s">
        <v>190</v>
      </c>
      <c r="BM587" s="319" t="s">
        <v>190</v>
      </c>
      <c r="BN587" s="319" t="s">
        <v>190</v>
      </c>
      <c r="BO587" s="319" t="s">
        <v>190</v>
      </c>
      <c r="BP587" s="319" t="s">
        <v>190</v>
      </c>
      <c r="BQ587" s="319" t="s">
        <v>190</v>
      </c>
      <c r="BR587" s="319" t="s">
        <v>190</v>
      </c>
      <c r="BS587" s="319" t="s">
        <v>190</v>
      </c>
      <c r="BT587" s="319" t="s">
        <v>190</v>
      </c>
      <c r="BU587" s="319" t="s">
        <v>190</v>
      </c>
      <c r="BV587" s="319" t="s">
        <v>191</v>
      </c>
      <c r="BW587" s="319" t="s">
        <v>190</v>
      </c>
      <c r="BX587" s="319" t="s">
        <v>190</v>
      </c>
      <c r="BY587" s="319" t="s">
        <v>190</v>
      </c>
      <c r="BZ587" s="319" t="s">
        <v>190</v>
      </c>
      <c r="CA587" s="319" t="s">
        <v>190</v>
      </c>
      <c r="CB587" s="319" t="s">
        <v>190</v>
      </c>
      <c r="CC587" s="319" t="s">
        <v>190</v>
      </c>
      <c r="CD587" s="319" t="s">
        <v>191</v>
      </c>
      <c r="CE587" s="319" t="s">
        <v>190</v>
      </c>
      <c r="CF587" s="319" t="s">
        <v>190</v>
      </c>
      <c r="CG587" s="319" t="s">
        <v>190</v>
      </c>
      <c r="CH587" s="319" t="s">
        <v>190</v>
      </c>
      <c r="CI587" s="319" t="s">
        <v>190</v>
      </c>
      <c r="CJ587" s="319" t="s">
        <v>190</v>
      </c>
      <c r="CK587" s="319" t="s">
        <v>190</v>
      </c>
      <c r="CL587" s="319" t="s">
        <v>190</v>
      </c>
      <c r="CM587" s="319" t="s">
        <v>190</v>
      </c>
      <c r="CN587" s="319" t="s">
        <v>428</v>
      </c>
      <c r="CO587" s="319" t="s">
        <v>428</v>
      </c>
      <c r="CP587" s="319" t="s">
        <v>428</v>
      </c>
      <c r="CQ587" s="319" t="s">
        <v>190</v>
      </c>
      <c r="CR587" s="319" t="s">
        <v>190</v>
      </c>
      <c r="CS587" s="319" t="s">
        <v>190</v>
      </c>
      <c r="CT587" s="319" t="s">
        <v>190</v>
      </c>
      <c r="CU587" s="319" t="s">
        <v>190</v>
      </c>
      <c r="CV587" s="319" t="s">
        <v>190</v>
      </c>
      <c r="CW587" s="319" t="s">
        <v>190</v>
      </c>
      <c r="CX587" s="319" t="s">
        <v>190</v>
      </c>
      <c r="CY587" s="319" t="s">
        <v>190</v>
      </c>
      <c r="CZ587" s="319" t="s">
        <v>190</v>
      </c>
      <c r="DA587" s="319" t="s">
        <v>190</v>
      </c>
      <c r="DB587" s="319" t="s">
        <v>190</v>
      </c>
      <c r="DC587" s="319" t="s">
        <v>190</v>
      </c>
      <c r="DD587" s="319" t="s">
        <v>190</v>
      </c>
      <c r="DE587" s="319" t="s">
        <v>190</v>
      </c>
      <c r="DF587" s="319" t="s">
        <v>190</v>
      </c>
      <c r="DG587" s="319" t="s">
        <v>190</v>
      </c>
      <c r="DH587" s="319" t="s">
        <v>190</v>
      </c>
      <c r="DI587" s="319" t="s">
        <v>190</v>
      </c>
      <c r="DJ587" s="319" t="s">
        <v>190</v>
      </c>
      <c r="DK587" s="319" t="s">
        <v>190</v>
      </c>
      <c r="DL587" s="319" t="s">
        <v>190</v>
      </c>
      <c r="DM587" s="319" t="s">
        <v>190</v>
      </c>
      <c r="DN587" s="319" t="s">
        <v>190</v>
      </c>
      <c r="DO587" s="319" t="s">
        <v>190</v>
      </c>
      <c r="DP587" s="319" t="s">
        <v>190</v>
      </c>
      <c r="DQ587" s="319" t="s">
        <v>190</v>
      </c>
      <c r="DR587" s="319" t="s">
        <v>190</v>
      </c>
      <c r="DS587" s="319" t="s">
        <v>190</v>
      </c>
      <c r="DT587" s="319" t="s">
        <v>190</v>
      </c>
      <c r="DU587" s="319" t="s">
        <v>190</v>
      </c>
      <c r="DV587" s="319" t="s">
        <v>173</v>
      </c>
      <c r="DW587" s="319" t="s">
        <v>190</v>
      </c>
      <c r="DX587" s="319" t="s">
        <v>190</v>
      </c>
      <c r="DY587" s="319" t="s">
        <v>190</v>
      </c>
      <c r="DZ587" s="319" t="s">
        <v>190</v>
      </c>
      <c r="EA587" s="319" t="s">
        <v>190</v>
      </c>
      <c r="EB587" s="319" t="s">
        <v>190</v>
      </c>
      <c r="EC587" s="319" t="s">
        <v>190</v>
      </c>
      <c r="ED587" s="319" t="s">
        <v>190</v>
      </c>
      <c r="EE587" s="319" t="s">
        <v>190</v>
      </c>
      <c r="EF587" s="319" t="s">
        <v>190</v>
      </c>
      <c r="EG587" s="319" t="s">
        <v>190</v>
      </c>
      <c r="EH587" s="319" t="s">
        <v>190</v>
      </c>
      <c r="EI587" s="319" t="s">
        <v>190</v>
      </c>
      <c r="EJ587" s="319" t="s">
        <v>190</v>
      </c>
      <c r="EK587" s="319" t="s">
        <v>190</v>
      </c>
      <c r="EL587" s="319" t="s">
        <v>190</v>
      </c>
      <c r="EM587" s="319" t="s">
        <v>190</v>
      </c>
      <c r="EN587" s="319" t="s">
        <v>190</v>
      </c>
      <c r="EO587" s="319" t="s">
        <v>190</v>
      </c>
      <c r="EP587" s="319" t="s">
        <v>190</v>
      </c>
      <c r="EQ587" s="319" t="s">
        <v>190</v>
      </c>
      <c r="ER587" s="319" t="s">
        <v>190</v>
      </c>
      <c r="ES587" s="319" t="s">
        <v>190</v>
      </c>
      <c r="ET587" s="319" t="s">
        <v>190</v>
      </c>
      <c r="EU587" s="319" t="s">
        <v>190</v>
      </c>
      <c r="EV587" s="319" t="s">
        <v>190</v>
      </c>
      <c r="EW587" s="319" t="s">
        <v>190</v>
      </c>
      <c r="EX587" s="319" t="s">
        <v>190</v>
      </c>
      <c r="EY587" s="319" t="s">
        <v>190</v>
      </c>
      <c r="EZ587" s="319" t="s">
        <v>190</v>
      </c>
      <c r="FA587" s="319" t="s">
        <v>190</v>
      </c>
      <c r="FB587" s="319" t="s">
        <v>190</v>
      </c>
      <c r="FC587" s="319" t="s">
        <v>190</v>
      </c>
      <c r="FD587" s="319" t="s">
        <v>190</v>
      </c>
      <c r="FE587" s="319" t="s">
        <v>190</v>
      </c>
      <c r="FF587" s="319" t="s">
        <v>190</v>
      </c>
      <c r="FG587" s="319" t="s">
        <v>190</v>
      </c>
      <c r="FH587" s="319" t="s">
        <v>190</v>
      </c>
      <c r="FI587" s="319" t="s">
        <v>190</v>
      </c>
      <c r="FJ587" s="319" t="s">
        <v>190</v>
      </c>
      <c r="FK587" s="319" t="s">
        <v>190</v>
      </c>
      <c r="FL587" s="319" t="s">
        <v>190</v>
      </c>
      <c r="FM587" s="319" t="s">
        <v>190</v>
      </c>
      <c r="FN587" s="319" t="s">
        <v>190</v>
      </c>
      <c r="FO587" s="319" t="s">
        <v>190</v>
      </c>
      <c r="FP587" s="319" t="s">
        <v>190</v>
      </c>
      <c r="FQ587" s="319" t="s">
        <v>190</v>
      </c>
      <c r="FR587" s="319" t="s">
        <v>190</v>
      </c>
      <c r="FS587" s="319" t="s">
        <v>190</v>
      </c>
      <c r="FT587" s="319" t="s">
        <v>190</v>
      </c>
      <c r="FU587" s="319" t="s">
        <v>190</v>
      </c>
      <c r="FV587" s="319" t="s">
        <v>190</v>
      </c>
      <c r="FW587" s="319" t="s">
        <v>190</v>
      </c>
      <c r="FX587" s="319" t="s">
        <v>190</v>
      </c>
      <c r="FY587" s="319" t="s">
        <v>190</v>
      </c>
      <c r="FZ587" s="319" t="s">
        <v>190</v>
      </c>
      <c r="GA587" s="319" t="s">
        <v>190</v>
      </c>
      <c r="GB587" s="319" t="s">
        <v>190</v>
      </c>
      <c r="GC587" s="319" t="s">
        <v>190</v>
      </c>
      <c r="GD587" s="319" t="s">
        <v>190</v>
      </c>
      <c r="GE587" s="319" t="s">
        <v>190</v>
      </c>
      <c r="GF587" s="319" t="s">
        <v>190</v>
      </c>
      <c r="GG587" s="319" t="s">
        <v>190</v>
      </c>
      <c r="GH587" s="319" t="s">
        <v>190</v>
      </c>
      <c r="GI587" s="319" t="s">
        <v>190</v>
      </c>
      <c r="GJ587" s="319" t="s">
        <v>190</v>
      </c>
      <c r="GK587" s="319" t="s">
        <v>428</v>
      </c>
      <c r="GL587" s="319" t="s">
        <v>190</v>
      </c>
      <c r="GM587" s="319" t="s">
        <v>190</v>
      </c>
      <c r="GN587" s="319" t="s">
        <v>190</v>
      </c>
      <c r="GO587" s="319" t="s">
        <v>190</v>
      </c>
      <c r="GP587" s="319" t="s">
        <v>190</v>
      </c>
      <c r="GQ587" s="319" t="s">
        <v>190</v>
      </c>
      <c r="GR587" s="319" t="s">
        <v>190</v>
      </c>
      <c r="GS587" s="319" t="s">
        <v>190</v>
      </c>
      <c r="GT587" s="319" t="s">
        <v>428</v>
      </c>
      <c r="GU587" s="319" t="s">
        <v>428</v>
      </c>
      <c r="GV587" s="319" t="s">
        <v>190</v>
      </c>
      <c r="GW587" s="319" t="s">
        <v>190</v>
      </c>
      <c r="GX587" s="319" t="s">
        <v>190</v>
      </c>
      <c r="GY587" s="319" t="s">
        <v>190</v>
      </c>
      <c r="GZ587" s="319" t="s">
        <v>190</v>
      </c>
      <c r="HA587" s="319" t="s">
        <v>428</v>
      </c>
      <c r="HB587" s="319" t="s">
        <v>190</v>
      </c>
      <c r="HC587" s="319" t="s">
        <v>190</v>
      </c>
      <c r="HD587" s="319" t="s">
        <v>190</v>
      </c>
      <c r="HE587" s="319" t="s">
        <v>190</v>
      </c>
      <c r="HF587" s="319" t="s">
        <v>190</v>
      </c>
      <c r="HG587" s="319" t="s">
        <v>190</v>
      </c>
      <c r="HH587" s="319" t="s">
        <v>190</v>
      </c>
      <c r="HI587" s="319" t="s">
        <v>190</v>
      </c>
      <c r="HJ587" s="319" t="s">
        <v>190</v>
      </c>
      <c r="HK587" s="319" t="s">
        <v>190</v>
      </c>
      <c r="HL587" s="319" t="s">
        <v>428</v>
      </c>
      <c r="HM587" s="319" t="s">
        <v>428</v>
      </c>
      <c r="HN587" s="319" t="s">
        <v>428</v>
      </c>
      <c r="HO587" s="319" t="s">
        <v>428</v>
      </c>
      <c r="HP587" s="319" t="s">
        <v>190</v>
      </c>
      <c r="HQ587" s="319" t="s">
        <v>190</v>
      </c>
      <c r="HR587" s="319" t="s">
        <v>190</v>
      </c>
      <c r="HS587" s="319" t="s">
        <v>190</v>
      </c>
      <c r="HT587" s="319" t="s">
        <v>190</v>
      </c>
      <c r="HU587" s="319" t="s">
        <v>190</v>
      </c>
      <c r="HV587" s="319" t="s">
        <v>190</v>
      </c>
      <c r="HW587" s="319" t="s">
        <v>190</v>
      </c>
      <c r="HX587" s="319" t="s">
        <v>190</v>
      </c>
      <c r="HY587" s="319" t="s">
        <v>190</v>
      </c>
      <c r="HZ587" s="319" t="s">
        <v>190</v>
      </c>
      <c r="IA587" s="319" t="s">
        <v>190</v>
      </c>
      <c r="IB587" s="319" t="s">
        <v>190</v>
      </c>
      <c r="IC587" s="319" t="s">
        <v>190</v>
      </c>
      <c r="ID587" s="319" t="s">
        <v>190</v>
      </c>
      <c r="IE587" s="319" t="s">
        <v>190</v>
      </c>
      <c r="IF587" s="319" t="s">
        <v>191</v>
      </c>
      <c r="IG587" s="319" t="s">
        <v>191</v>
      </c>
      <c r="IH587" s="319" t="s">
        <v>191</v>
      </c>
      <c r="II587" s="319" t="s">
        <v>190</v>
      </c>
      <c r="IJ587" s="319">
        <v>10035806</v>
      </c>
      <c r="IK587" s="321">
        <v>43109</v>
      </c>
      <c r="IL587" s="321">
        <v>43111</v>
      </c>
      <c r="IM587" s="321">
        <v>43557</v>
      </c>
      <c r="IN587" s="319">
        <v>4</v>
      </c>
      <c r="IO587" s="319" t="s">
        <v>173</v>
      </c>
      <c r="IP587" s="319" t="s">
        <v>173</v>
      </c>
      <c r="IQ587" s="321" t="s">
        <v>173</v>
      </c>
      <c r="IR587" s="320" t="s">
        <v>173</v>
      </c>
      <c r="IS587" s="322" t="s">
        <v>173</v>
      </c>
      <c r="IT587" s="319" t="s">
        <v>173</v>
      </c>
    </row>
    <row r="588" spans="1:254" s="271" customFormat="1" x14ac:dyDescent="0.25">
      <c r="A588" s="318" t="str">
        <f>HYPERLINK("http://www.ofsted.gov.uk/inspection-reports/find-inspection-report/provider/ELS/136019 ","Ofsted School Webpage")</f>
        <v>Ofsted School Webpage</v>
      </c>
      <c r="B588" s="319">
        <v>136019</v>
      </c>
      <c r="C588" s="319">
        <v>8656043</v>
      </c>
      <c r="D588" s="319" t="s">
        <v>3343</v>
      </c>
      <c r="E588" s="319" t="s">
        <v>168</v>
      </c>
      <c r="F588" s="319" t="s">
        <v>81</v>
      </c>
      <c r="G588" s="319" t="s">
        <v>81</v>
      </c>
      <c r="H588" s="319" t="s">
        <v>81</v>
      </c>
      <c r="I588" s="319" t="s">
        <v>78</v>
      </c>
      <c r="J588" s="319" t="s">
        <v>424</v>
      </c>
      <c r="K588" s="319" t="s">
        <v>422</v>
      </c>
      <c r="L588" s="319" t="s">
        <v>422</v>
      </c>
      <c r="M588" s="319" t="s">
        <v>702</v>
      </c>
      <c r="N588" s="319" t="s">
        <v>3159</v>
      </c>
      <c r="O588" s="319" t="s">
        <v>2016</v>
      </c>
      <c r="P588" s="319">
        <v>27</v>
      </c>
      <c r="Q588" s="319" t="s">
        <v>2776</v>
      </c>
      <c r="R588" s="320">
        <v>10033893</v>
      </c>
      <c r="S588" s="321">
        <v>42900</v>
      </c>
      <c r="T588" s="321">
        <v>42902</v>
      </c>
      <c r="U588" s="321">
        <v>42929</v>
      </c>
      <c r="V588" s="319" t="s">
        <v>425</v>
      </c>
      <c r="W588" s="319" t="s">
        <v>2767</v>
      </c>
      <c r="X588" s="319">
        <v>2</v>
      </c>
      <c r="Y588" s="319" t="s">
        <v>173</v>
      </c>
      <c r="Z588" s="319" t="s">
        <v>173</v>
      </c>
      <c r="AA588" s="319" t="s">
        <v>173</v>
      </c>
      <c r="AB588" s="319">
        <v>2</v>
      </c>
      <c r="AC588" s="319" t="s">
        <v>169</v>
      </c>
      <c r="AD588" s="319" t="s">
        <v>173</v>
      </c>
      <c r="AE588" s="319" t="s">
        <v>173</v>
      </c>
      <c r="AF588" s="319" t="s">
        <v>173</v>
      </c>
      <c r="AG588" s="319" t="s">
        <v>171</v>
      </c>
      <c r="AH588" s="319" t="s">
        <v>190</v>
      </c>
      <c r="AI588" s="319" t="s">
        <v>190</v>
      </c>
      <c r="AJ588" s="319" t="s">
        <v>190</v>
      </c>
      <c r="AK588" s="319" t="s">
        <v>190</v>
      </c>
      <c r="AL588" s="319" t="s">
        <v>190</v>
      </c>
      <c r="AM588" s="319" t="s">
        <v>190</v>
      </c>
      <c r="AN588" s="319" t="s">
        <v>190</v>
      </c>
      <c r="AO588" s="319" t="s">
        <v>190</v>
      </c>
      <c r="AP588" s="319" t="s">
        <v>190</v>
      </c>
      <c r="AQ588" s="319" t="s">
        <v>190</v>
      </c>
      <c r="AR588" s="319" t="s">
        <v>190</v>
      </c>
      <c r="AS588" s="319" t="s">
        <v>190</v>
      </c>
      <c r="AT588" s="319" t="s">
        <v>190</v>
      </c>
      <c r="AU588" s="319" t="s">
        <v>190</v>
      </c>
      <c r="AV588" s="319" t="s">
        <v>190</v>
      </c>
      <c r="AW588" s="319" t="s">
        <v>190</v>
      </c>
      <c r="AX588" s="319" t="s">
        <v>429</v>
      </c>
      <c r="AY588" s="319" t="s">
        <v>190</v>
      </c>
      <c r="AZ588" s="319" t="s">
        <v>190</v>
      </c>
      <c r="BA588" s="319" t="s">
        <v>190</v>
      </c>
      <c r="BB588" s="319" t="s">
        <v>190</v>
      </c>
      <c r="BC588" s="319" t="s">
        <v>190</v>
      </c>
      <c r="BD588" s="319" t="s">
        <v>190</v>
      </c>
      <c r="BE588" s="319" t="s">
        <v>190</v>
      </c>
      <c r="BF588" s="319" t="s">
        <v>429</v>
      </c>
      <c r="BG588" s="319" t="s">
        <v>429</v>
      </c>
      <c r="BH588" s="319" t="s">
        <v>190</v>
      </c>
      <c r="BI588" s="319" t="s">
        <v>190</v>
      </c>
      <c r="BJ588" s="319" t="s">
        <v>190</v>
      </c>
      <c r="BK588" s="319" t="s">
        <v>190</v>
      </c>
      <c r="BL588" s="319" t="s">
        <v>190</v>
      </c>
      <c r="BM588" s="319" t="s">
        <v>190</v>
      </c>
      <c r="BN588" s="319" t="s">
        <v>190</v>
      </c>
      <c r="BO588" s="319" t="s">
        <v>190</v>
      </c>
      <c r="BP588" s="319" t="s">
        <v>190</v>
      </c>
      <c r="BQ588" s="319" t="s">
        <v>190</v>
      </c>
      <c r="BR588" s="319" t="s">
        <v>190</v>
      </c>
      <c r="BS588" s="319" t="s">
        <v>190</v>
      </c>
      <c r="BT588" s="319" t="s">
        <v>190</v>
      </c>
      <c r="BU588" s="319" t="s">
        <v>190</v>
      </c>
      <c r="BV588" s="319" t="s">
        <v>190</v>
      </c>
      <c r="BW588" s="319" t="s">
        <v>190</v>
      </c>
      <c r="BX588" s="319" t="s">
        <v>190</v>
      </c>
      <c r="BY588" s="319" t="s">
        <v>190</v>
      </c>
      <c r="BZ588" s="319" t="s">
        <v>190</v>
      </c>
      <c r="CA588" s="319" t="s">
        <v>190</v>
      </c>
      <c r="CB588" s="319" t="s">
        <v>190</v>
      </c>
      <c r="CC588" s="319" t="s">
        <v>190</v>
      </c>
      <c r="CD588" s="319" t="s">
        <v>190</v>
      </c>
      <c r="CE588" s="319" t="s">
        <v>190</v>
      </c>
      <c r="CF588" s="319" t="s">
        <v>190</v>
      </c>
      <c r="CG588" s="319" t="s">
        <v>190</v>
      </c>
      <c r="CH588" s="319" t="s">
        <v>190</v>
      </c>
      <c r="CI588" s="319" t="s">
        <v>190</v>
      </c>
      <c r="CJ588" s="319" t="s">
        <v>190</v>
      </c>
      <c r="CK588" s="319" t="s">
        <v>190</v>
      </c>
      <c r="CL588" s="319" t="s">
        <v>190</v>
      </c>
      <c r="CM588" s="319" t="s">
        <v>190</v>
      </c>
      <c r="CN588" s="319" t="s">
        <v>429</v>
      </c>
      <c r="CO588" s="319" t="s">
        <v>429</v>
      </c>
      <c r="CP588" s="319" t="s">
        <v>429</v>
      </c>
      <c r="CQ588" s="319" t="s">
        <v>190</v>
      </c>
      <c r="CR588" s="319" t="s">
        <v>190</v>
      </c>
      <c r="CS588" s="319" t="s">
        <v>190</v>
      </c>
      <c r="CT588" s="319" t="s">
        <v>190</v>
      </c>
      <c r="CU588" s="319" t="s">
        <v>190</v>
      </c>
      <c r="CV588" s="319" t="s">
        <v>190</v>
      </c>
      <c r="CW588" s="319" t="s">
        <v>190</v>
      </c>
      <c r="CX588" s="319" t="s">
        <v>190</v>
      </c>
      <c r="CY588" s="319" t="s">
        <v>190</v>
      </c>
      <c r="CZ588" s="319" t="s">
        <v>190</v>
      </c>
      <c r="DA588" s="319" t="s">
        <v>190</v>
      </c>
      <c r="DB588" s="319" t="s">
        <v>190</v>
      </c>
      <c r="DC588" s="319" t="s">
        <v>190</v>
      </c>
      <c r="DD588" s="319" t="s">
        <v>190</v>
      </c>
      <c r="DE588" s="319" t="s">
        <v>190</v>
      </c>
      <c r="DF588" s="319" t="s">
        <v>190</v>
      </c>
      <c r="DG588" s="319" t="s">
        <v>190</v>
      </c>
      <c r="DH588" s="319" t="s">
        <v>190</v>
      </c>
      <c r="DI588" s="319" t="s">
        <v>190</v>
      </c>
      <c r="DJ588" s="319" t="s">
        <v>190</v>
      </c>
      <c r="DK588" s="319" t="s">
        <v>190</v>
      </c>
      <c r="DL588" s="319" t="s">
        <v>190</v>
      </c>
      <c r="DM588" s="319" t="s">
        <v>190</v>
      </c>
      <c r="DN588" s="319" t="s">
        <v>190</v>
      </c>
      <c r="DO588" s="319" t="s">
        <v>190</v>
      </c>
      <c r="DP588" s="319" t="s">
        <v>190</v>
      </c>
      <c r="DQ588" s="319" t="s">
        <v>190</v>
      </c>
      <c r="DR588" s="319" t="s">
        <v>190</v>
      </c>
      <c r="DS588" s="319" t="s">
        <v>190</v>
      </c>
      <c r="DT588" s="319" t="s">
        <v>190</v>
      </c>
      <c r="DU588" s="319" t="s">
        <v>190</v>
      </c>
      <c r="DV588" s="319" t="s">
        <v>173</v>
      </c>
      <c r="DW588" s="319" t="s">
        <v>190</v>
      </c>
      <c r="DX588" s="319" t="s">
        <v>190</v>
      </c>
      <c r="DY588" s="319" t="s">
        <v>190</v>
      </c>
      <c r="DZ588" s="319" t="s">
        <v>190</v>
      </c>
      <c r="EA588" s="319" t="s">
        <v>190</v>
      </c>
      <c r="EB588" s="319" t="s">
        <v>190</v>
      </c>
      <c r="EC588" s="319" t="s">
        <v>429</v>
      </c>
      <c r="ED588" s="319" t="s">
        <v>190</v>
      </c>
      <c r="EE588" s="319" t="s">
        <v>429</v>
      </c>
      <c r="EF588" s="319" t="s">
        <v>429</v>
      </c>
      <c r="EG588" s="319" t="s">
        <v>429</v>
      </c>
      <c r="EH588" s="319" t="s">
        <v>429</v>
      </c>
      <c r="EI588" s="319" t="s">
        <v>429</v>
      </c>
      <c r="EJ588" s="319" t="s">
        <v>429</v>
      </c>
      <c r="EK588" s="319" t="s">
        <v>429</v>
      </c>
      <c r="EL588" s="319" t="s">
        <v>429</v>
      </c>
      <c r="EM588" s="319" t="s">
        <v>429</v>
      </c>
      <c r="EN588" s="319" t="s">
        <v>190</v>
      </c>
      <c r="EO588" s="319" t="s">
        <v>190</v>
      </c>
      <c r="EP588" s="319" t="s">
        <v>190</v>
      </c>
      <c r="EQ588" s="319" t="s">
        <v>190</v>
      </c>
      <c r="ER588" s="319" t="s">
        <v>190</v>
      </c>
      <c r="ES588" s="319" t="s">
        <v>190</v>
      </c>
      <c r="ET588" s="319" t="s">
        <v>190</v>
      </c>
      <c r="EU588" s="319" t="s">
        <v>190</v>
      </c>
      <c r="EV588" s="319" t="s">
        <v>190</v>
      </c>
      <c r="EW588" s="319" t="s">
        <v>190</v>
      </c>
      <c r="EX588" s="319" t="s">
        <v>190</v>
      </c>
      <c r="EY588" s="319" t="s">
        <v>190</v>
      </c>
      <c r="EZ588" s="319" t="s">
        <v>190</v>
      </c>
      <c r="FA588" s="319" t="s">
        <v>429</v>
      </c>
      <c r="FB588" s="319" t="s">
        <v>190</v>
      </c>
      <c r="FC588" s="319" t="s">
        <v>190</v>
      </c>
      <c r="FD588" s="319" t="s">
        <v>190</v>
      </c>
      <c r="FE588" s="319" t="s">
        <v>190</v>
      </c>
      <c r="FF588" s="319" t="s">
        <v>190</v>
      </c>
      <c r="FG588" s="319" t="s">
        <v>190</v>
      </c>
      <c r="FH588" s="319" t="s">
        <v>429</v>
      </c>
      <c r="FI588" s="319" t="s">
        <v>429</v>
      </c>
      <c r="FJ588" s="319" t="s">
        <v>190</v>
      </c>
      <c r="FK588" s="319" t="s">
        <v>190</v>
      </c>
      <c r="FL588" s="319" t="s">
        <v>190</v>
      </c>
      <c r="FM588" s="319" t="s">
        <v>190</v>
      </c>
      <c r="FN588" s="319" t="s">
        <v>190</v>
      </c>
      <c r="FO588" s="319" t="s">
        <v>190</v>
      </c>
      <c r="FP588" s="319" t="s">
        <v>190</v>
      </c>
      <c r="FQ588" s="319" t="s">
        <v>190</v>
      </c>
      <c r="FR588" s="319" t="s">
        <v>190</v>
      </c>
      <c r="FS588" s="319" t="s">
        <v>190</v>
      </c>
      <c r="FT588" s="319" t="s">
        <v>429</v>
      </c>
      <c r="FU588" s="319" t="s">
        <v>190</v>
      </c>
      <c r="FV588" s="319" t="s">
        <v>190</v>
      </c>
      <c r="FW588" s="319" t="s">
        <v>190</v>
      </c>
      <c r="FX588" s="319" t="s">
        <v>190</v>
      </c>
      <c r="FY588" s="319" t="s">
        <v>190</v>
      </c>
      <c r="FZ588" s="319" t="s">
        <v>190</v>
      </c>
      <c r="GA588" s="319" t="s">
        <v>190</v>
      </c>
      <c r="GB588" s="319" t="s">
        <v>190</v>
      </c>
      <c r="GC588" s="319" t="s">
        <v>190</v>
      </c>
      <c r="GD588" s="319" t="s">
        <v>190</v>
      </c>
      <c r="GE588" s="319" t="s">
        <v>190</v>
      </c>
      <c r="GF588" s="319" t="s">
        <v>190</v>
      </c>
      <c r="GG588" s="319" t="s">
        <v>190</v>
      </c>
      <c r="GH588" s="319" t="s">
        <v>190</v>
      </c>
      <c r="GI588" s="319" t="s">
        <v>190</v>
      </c>
      <c r="GJ588" s="319" t="s">
        <v>190</v>
      </c>
      <c r="GK588" s="319" t="s">
        <v>429</v>
      </c>
      <c r="GL588" s="319" t="s">
        <v>190</v>
      </c>
      <c r="GM588" s="319" t="s">
        <v>190</v>
      </c>
      <c r="GN588" s="319" t="s">
        <v>190</v>
      </c>
      <c r="GO588" s="319" t="s">
        <v>190</v>
      </c>
      <c r="GP588" s="319" t="s">
        <v>190</v>
      </c>
      <c r="GQ588" s="319" t="s">
        <v>429</v>
      </c>
      <c r="GR588" s="319" t="s">
        <v>190</v>
      </c>
      <c r="GS588" s="319" t="s">
        <v>190</v>
      </c>
      <c r="GT588" s="319" t="s">
        <v>190</v>
      </c>
      <c r="GU588" s="319" t="s">
        <v>190</v>
      </c>
      <c r="GV588" s="319" t="s">
        <v>190</v>
      </c>
      <c r="GW588" s="319" t="s">
        <v>190</v>
      </c>
      <c r="GX588" s="319" t="s">
        <v>190</v>
      </c>
      <c r="GY588" s="319" t="s">
        <v>429</v>
      </c>
      <c r="GZ588" s="319" t="s">
        <v>429</v>
      </c>
      <c r="HA588" s="319" t="s">
        <v>190</v>
      </c>
      <c r="HB588" s="319" t="s">
        <v>429</v>
      </c>
      <c r="HC588" s="319" t="s">
        <v>190</v>
      </c>
      <c r="HD588" s="319" t="s">
        <v>190</v>
      </c>
      <c r="HE588" s="319" t="s">
        <v>190</v>
      </c>
      <c r="HF588" s="319" t="s">
        <v>190</v>
      </c>
      <c r="HG588" s="319" t="s">
        <v>190</v>
      </c>
      <c r="HH588" s="319" t="s">
        <v>190</v>
      </c>
      <c r="HI588" s="319" t="s">
        <v>190</v>
      </c>
      <c r="HJ588" s="319" t="s">
        <v>190</v>
      </c>
      <c r="HK588" s="319" t="s">
        <v>190</v>
      </c>
      <c r="HL588" s="319" t="s">
        <v>429</v>
      </c>
      <c r="HM588" s="319" t="s">
        <v>429</v>
      </c>
      <c r="HN588" s="319" t="s">
        <v>429</v>
      </c>
      <c r="HO588" s="319" t="s">
        <v>429</v>
      </c>
      <c r="HP588" s="319" t="s">
        <v>190</v>
      </c>
      <c r="HQ588" s="319" t="s">
        <v>190</v>
      </c>
      <c r="HR588" s="319" t="s">
        <v>190</v>
      </c>
      <c r="HS588" s="319" t="s">
        <v>190</v>
      </c>
      <c r="HT588" s="319" t="s">
        <v>190</v>
      </c>
      <c r="HU588" s="319" t="s">
        <v>190</v>
      </c>
      <c r="HV588" s="319" t="s">
        <v>190</v>
      </c>
      <c r="HW588" s="319" t="s">
        <v>190</v>
      </c>
      <c r="HX588" s="319" t="s">
        <v>190</v>
      </c>
      <c r="HY588" s="319" t="s">
        <v>190</v>
      </c>
      <c r="HZ588" s="319" t="s">
        <v>190</v>
      </c>
      <c r="IA588" s="319" t="s">
        <v>190</v>
      </c>
      <c r="IB588" s="319" t="s">
        <v>190</v>
      </c>
      <c r="IC588" s="319" t="s">
        <v>190</v>
      </c>
      <c r="ID588" s="319" t="s">
        <v>190</v>
      </c>
      <c r="IE588" s="319" t="s">
        <v>190</v>
      </c>
      <c r="IF588" s="319" t="s">
        <v>190</v>
      </c>
      <c r="IG588" s="319" t="s">
        <v>190</v>
      </c>
      <c r="IH588" s="319" t="s">
        <v>190</v>
      </c>
      <c r="II588" s="319" t="s">
        <v>190</v>
      </c>
      <c r="IJ588" s="319" t="s">
        <v>3344</v>
      </c>
      <c r="IK588" s="321">
        <v>41709</v>
      </c>
      <c r="IL588" s="321">
        <v>41711</v>
      </c>
      <c r="IM588" s="321">
        <v>41731</v>
      </c>
      <c r="IN588" s="319">
        <v>2</v>
      </c>
      <c r="IO588" s="319" t="s">
        <v>173</v>
      </c>
      <c r="IP588" s="319" t="s">
        <v>173</v>
      </c>
      <c r="IQ588" s="319" t="s">
        <v>173</v>
      </c>
      <c r="IR588" s="320" t="s">
        <v>173</v>
      </c>
      <c r="IS588" s="320" t="s">
        <v>173</v>
      </c>
      <c r="IT588" s="319" t="s">
        <v>173</v>
      </c>
    </row>
    <row r="589" spans="1:254" s="271" customFormat="1" x14ac:dyDescent="0.25">
      <c r="A589" s="318" t="str">
        <f>HYPERLINK("http://www.ofsted.gov.uk/inspection-reports/find-inspection-report/provider/ELS/136023 ","Ofsted School Webpage")</f>
        <v>Ofsted School Webpage</v>
      </c>
      <c r="B589" s="319">
        <v>136023</v>
      </c>
      <c r="C589" s="319">
        <v>8746003</v>
      </c>
      <c r="D589" s="319" t="s">
        <v>2017</v>
      </c>
      <c r="E589" s="319" t="s">
        <v>167</v>
      </c>
      <c r="F589" s="319" t="s">
        <v>71</v>
      </c>
      <c r="G589" s="319" t="s">
        <v>72</v>
      </c>
      <c r="H589" s="319" t="s">
        <v>71</v>
      </c>
      <c r="I589" s="319" t="s">
        <v>72</v>
      </c>
      <c r="J589" s="319" t="s">
        <v>424</v>
      </c>
      <c r="K589" s="319" t="s">
        <v>451</v>
      </c>
      <c r="L589" s="319" t="s">
        <v>451</v>
      </c>
      <c r="M589" s="319" t="s">
        <v>2018</v>
      </c>
      <c r="N589" s="319" t="s">
        <v>2018</v>
      </c>
      <c r="O589" s="319" t="s">
        <v>2019</v>
      </c>
      <c r="P589" s="319">
        <v>95</v>
      </c>
      <c r="Q589" s="319" t="s">
        <v>2776</v>
      </c>
      <c r="R589" s="320">
        <v>10033606</v>
      </c>
      <c r="S589" s="321">
        <v>42899</v>
      </c>
      <c r="T589" s="321">
        <v>42901</v>
      </c>
      <c r="U589" s="321">
        <v>42986</v>
      </c>
      <c r="V589" s="319" t="s">
        <v>425</v>
      </c>
      <c r="W589" s="319" t="s">
        <v>2767</v>
      </c>
      <c r="X589" s="319">
        <v>2</v>
      </c>
      <c r="Y589" s="319" t="s">
        <v>173</v>
      </c>
      <c r="Z589" s="319" t="s">
        <v>173</v>
      </c>
      <c r="AA589" s="319" t="s">
        <v>173</v>
      </c>
      <c r="AB589" s="319">
        <v>2</v>
      </c>
      <c r="AC589" s="319" t="s">
        <v>169</v>
      </c>
      <c r="AD589" s="319" t="s">
        <v>173</v>
      </c>
      <c r="AE589" s="319" t="s">
        <v>173</v>
      </c>
      <c r="AF589" s="319" t="s">
        <v>173</v>
      </c>
      <c r="AG589" s="319" t="s">
        <v>171</v>
      </c>
      <c r="AH589" s="319" t="s">
        <v>190</v>
      </c>
      <c r="AI589" s="319" t="s">
        <v>190</v>
      </c>
      <c r="AJ589" s="319" t="s">
        <v>190</v>
      </c>
      <c r="AK589" s="319" t="s">
        <v>190</v>
      </c>
      <c r="AL589" s="319" t="s">
        <v>190</v>
      </c>
      <c r="AM589" s="319" t="s">
        <v>190</v>
      </c>
      <c r="AN589" s="319" t="s">
        <v>190</v>
      </c>
      <c r="AO589" s="319" t="s">
        <v>190</v>
      </c>
      <c r="AP589" s="319" t="s">
        <v>190</v>
      </c>
      <c r="AQ589" s="319" t="s">
        <v>190</v>
      </c>
      <c r="AR589" s="319" t="s">
        <v>190</v>
      </c>
      <c r="AS589" s="319" t="s">
        <v>190</v>
      </c>
      <c r="AT589" s="319" t="s">
        <v>190</v>
      </c>
      <c r="AU589" s="319" t="s">
        <v>190</v>
      </c>
      <c r="AV589" s="319" t="s">
        <v>190</v>
      </c>
      <c r="AW589" s="319" t="s">
        <v>190</v>
      </c>
      <c r="AX589" s="319" t="s">
        <v>429</v>
      </c>
      <c r="AY589" s="319" t="s">
        <v>190</v>
      </c>
      <c r="AZ589" s="319" t="s">
        <v>190</v>
      </c>
      <c r="BA589" s="319" t="s">
        <v>190</v>
      </c>
      <c r="BB589" s="319" t="s">
        <v>190</v>
      </c>
      <c r="BC589" s="319" t="s">
        <v>190</v>
      </c>
      <c r="BD589" s="319" t="s">
        <v>190</v>
      </c>
      <c r="BE589" s="319" t="s">
        <v>190</v>
      </c>
      <c r="BF589" s="319" t="s">
        <v>429</v>
      </c>
      <c r="BG589" s="319" t="s">
        <v>429</v>
      </c>
      <c r="BH589" s="319" t="s">
        <v>190</v>
      </c>
      <c r="BI589" s="319" t="s">
        <v>190</v>
      </c>
      <c r="BJ589" s="319" t="s">
        <v>190</v>
      </c>
      <c r="BK589" s="319" t="s">
        <v>190</v>
      </c>
      <c r="BL589" s="319" t="s">
        <v>190</v>
      </c>
      <c r="BM589" s="319" t="s">
        <v>190</v>
      </c>
      <c r="BN589" s="319" t="s">
        <v>190</v>
      </c>
      <c r="BO589" s="319" t="s">
        <v>190</v>
      </c>
      <c r="BP589" s="319" t="s">
        <v>190</v>
      </c>
      <c r="BQ589" s="319" t="s">
        <v>190</v>
      </c>
      <c r="BR589" s="319" t="s">
        <v>190</v>
      </c>
      <c r="BS589" s="319" t="s">
        <v>190</v>
      </c>
      <c r="BT589" s="319" t="s">
        <v>190</v>
      </c>
      <c r="BU589" s="319" t="s">
        <v>190</v>
      </c>
      <c r="BV589" s="319" t="s">
        <v>190</v>
      </c>
      <c r="BW589" s="319" t="s">
        <v>190</v>
      </c>
      <c r="BX589" s="319" t="s">
        <v>190</v>
      </c>
      <c r="BY589" s="319" t="s">
        <v>190</v>
      </c>
      <c r="BZ589" s="319" t="s">
        <v>190</v>
      </c>
      <c r="CA589" s="319" t="s">
        <v>190</v>
      </c>
      <c r="CB589" s="319" t="s">
        <v>190</v>
      </c>
      <c r="CC589" s="319" t="s">
        <v>190</v>
      </c>
      <c r="CD589" s="319" t="s">
        <v>190</v>
      </c>
      <c r="CE589" s="319" t="s">
        <v>190</v>
      </c>
      <c r="CF589" s="319" t="s">
        <v>190</v>
      </c>
      <c r="CG589" s="319" t="s">
        <v>190</v>
      </c>
      <c r="CH589" s="319" t="s">
        <v>190</v>
      </c>
      <c r="CI589" s="319" t="s">
        <v>190</v>
      </c>
      <c r="CJ589" s="319" t="s">
        <v>190</v>
      </c>
      <c r="CK589" s="319" t="s">
        <v>190</v>
      </c>
      <c r="CL589" s="319" t="s">
        <v>190</v>
      </c>
      <c r="CM589" s="319" t="s">
        <v>190</v>
      </c>
      <c r="CN589" s="319" t="s">
        <v>429</v>
      </c>
      <c r="CO589" s="319" t="s">
        <v>429</v>
      </c>
      <c r="CP589" s="319" t="s">
        <v>429</v>
      </c>
      <c r="CQ589" s="319" t="s">
        <v>190</v>
      </c>
      <c r="CR589" s="319" t="s">
        <v>190</v>
      </c>
      <c r="CS589" s="319" t="s">
        <v>190</v>
      </c>
      <c r="CT589" s="319" t="s">
        <v>190</v>
      </c>
      <c r="CU589" s="319" t="s">
        <v>190</v>
      </c>
      <c r="CV589" s="319" t="s">
        <v>190</v>
      </c>
      <c r="CW589" s="319" t="s">
        <v>190</v>
      </c>
      <c r="CX589" s="319" t="s">
        <v>190</v>
      </c>
      <c r="CY589" s="319" t="s">
        <v>190</v>
      </c>
      <c r="CZ589" s="319" t="s">
        <v>190</v>
      </c>
      <c r="DA589" s="319" t="s">
        <v>190</v>
      </c>
      <c r="DB589" s="319" t="s">
        <v>190</v>
      </c>
      <c r="DC589" s="319" t="s">
        <v>190</v>
      </c>
      <c r="DD589" s="319" t="s">
        <v>190</v>
      </c>
      <c r="DE589" s="319" t="s">
        <v>190</v>
      </c>
      <c r="DF589" s="319" t="s">
        <v>190</v>
      </c>
      <c r="DG589" s="319" t="s">
        <v>190</v>
      </c>
      <c r="DH589" s="319" t="s">
        <v>190</v>
      </c>
      <c r="DI589" s="319" t="s">
        <v>190</v>
      </c>
      <c r="DJ589" s="319" t="s">
        <v>190</v>
      </c>
      <c r="DK589" s="319" t="s">
        <v>190</v>
      </c>
      <c r="DL589" s="319" t="s">
        <v>190</v>
      </c>
      <c r="DM589" s="319" t="s">
        <v>190</v>
      </c>
      <c r="DN589" s="319" t="s">
        <v>429</v>
      </c>
      <c r="DO589" s="319" t="s">
        <v>190</v>
      </c>
      <c r="DP589" s="319" t="s">
        <v>429</v>
      </c>
      <c r="DQ589" s="319" t="s">
        <v>429</v>
      </c>
      <c r="DR589" s="319" t="s">
        <v>429</v>
      </c>
      <c r="DS589" s="319" t="s">
        <v>429</v>
      </c>
      <c r="DT589" s="319" t="s">
        <v>429</v>
      </c>
      <c r="DU589" s="319" t="s">
        <v>429</v>
      </c>
      <c r="DV589" s="319" t="s">
        <v>173</v>
      </c>
      <c r="DW589" s="319" t="s">
        <v>429</v>
      </c>
      <c r="DX589" s="319" t="s">
        <v>429</v>
      </c>
      <c r="DY589" s="319" t="s">
        <v>429</v>
      </c>
      <c r="DZ589" s="319" t="s">
        <v>429</v>
      </c>
      <c r="EA589" s="319" t="s">
        <v>429</v>
      </c>
      <c r="EB589" s="319" t="s">
        <v>429</v>
      </c>
      <c r="EC589" s="319" t="s">
        <v>429</v>
      </c>
      <c r="ED589" s="319" t="s">
        <v>429</v>
      </c>
      <c r="EE589" s="319" t="s">
        <v>190</v>
      </c>
      <c r="EF589" s="319" t="s">
        <v>190</v>
      </c>
      <c r="EG589" s="319" t="s">
        <v>190</v>
      </c>
      <c r="EH589" s="319" t="s">
        <v>190</v>
      </c>
      <c r="EI589" s="319" t="s">
        <v>190</v>
      </c>
      <c r="EJ589" s="319" t="s">
        <v>190</v>
      </c>
      <c r="EK589" s="319" t="s">
        <v>190</v>
      </c>
      <c r="EL589" s="319" t="s">
        <v>190</v>
      </c>
      <c r="EM589" s="319" t="s">
        <v>190</v>
      </c>
      <c r="EN589" s="319" t="s">
        <v>190</v>
      </c>
      <c r="EO589" s="319" t="s">
        <v>190</v>
      </c>
      <c r="EP589" s="319" t="s">
        <v>190</v>
      </c>
      <c r="EQ589" s="319" t="s">
        <v>190</v>
      </c>
      <c r="ER589" s="319" t="s">
        <v>190</v>
      </c>
      <c r="ES589" s="319" t="s">
        <v>190</v>
      </c>
      <c r="ET589" s="319" t="s">
        <v>190</v>
      </c>
      <c r="EU589" s="319" t="s">
        <v>190</v>
      </c>
      <c r="EV589" s="319" t="s">
        <v>190</v>
      </c>
      <c r="EW589" s="319" t="s">
        <v>190</v>
      </c>
      <c r="EX589" s="319" t="s">
        <v>190</v>
      </c>
      <c r="EY589" s="319" t="s">
        <v>190</v>
      </c>
      <c r="EZ589" s="319" t="s">
        <v>190</v>
      </c>
      <c r="FA589" s="319" t="s">
        <v>190</v>
      </c>
      <c r="FB589" s="319" t="s">
        <v>429</v>
      </c>
      <c r="FC589" s="319" t="s">
        <v>429</v>
      </c>
      <c r="FD589" s="319" t="s">
        <v>429</v>
      </c>
      <c r="FE589" s="319" t="s">
        <v>429</v>
      </c>
      <c r="FF589" s="319" t="s">
        <v>429</v>
      </c>
      <c r="FG589" s="319" t="s">
        <v>429</v>
      </c>
      <c r="FH589" s="319" t="s">
        <v>429</v>
      </c>
      <c r="FI589" s="319" t="s">
        <v>429</v>
      </c>
      <c r="FJ589" s="319" t="s">
        <v>429</v>
      </c>
      <c r="FK589" s="319" t="s">
        <v>429</v>
      </c>
      <c r="FL589" s="319" t="s">
        <v>190</v>
      </c>
      <c r="FM589" s="319" t="s">
        <v>190</v>
      </c>
      <c r="FN589" s="319" t="s">
        <v>429</v>
      </c>
      <c r="FO589" s="319" t="s">
        <v>190</v>
      </c>
      <c r="FP589" s="319" t="s">
        <v>190</v>
      </c>
      <c r="FQ589" s="319" t="s">
        <v>190</v>
      </c>
      <c r="FR589" s="319" t="s">
        <v>190</v>
      </c>
      <c r="FS589" s="319" t="s">
        <v>429</v>
      </c>
      <c r="FT589" s="319" t="s">
        <v>190</v>
      </c>
      <c r="FU589" s="319" t="s">
        <v>190</v>
      </c>
      <c r="FV589" s="319" t="s">
        <v>190</v>
      </c>
      <c r="FW589" s="319" t="s">
        <v>190</v>
      </c>
      <c r="FX589" s="319" t="s">
        <v>190</v>
      </c>
      <c r="FY589" s="319" t="s">
        <v>190</v>
      </c>
      <c r="FZ589" s="319" t="s">
        <v>190</v>
      </c>
      <c r="GA589" s="319" t="s">
        <v>190</v>
      </c>
      <c r="GB589" s="319" t="s">
        <v>190</v>
      </c>
      <c r="GC589" s="319" t="s">
        <v>190</v>
      </c>
      <c r="GD589" s="319" t="s">
        <v>190</v>
      </c>
      <c r="GE589" s="319" t="s">
        <v>190</v>
      </c>
      <c r="GF589" s="319" t="s">
        <v>190</v>
      </c>
      <c r="GG589" s="319" t="s">
        <v>190</v>
      </c>
      <c r="GH589" s="319" t="s">
        <v>190</v>
      </c>
      <c r="GI589" s="319" t="s">
        <v>190</v>
      </c>
      <c r="GJ589" s="319" t="s">
        <v>190</v>
      </c>
      <c r="GK589" s="319" t="s">
        <v>429</v>
      </c>
      <c r="GL589" s="319" t="s">
        <v>190</v>
      </c>
      <c r="GM589" s="319" t="s">
        <v>190</v>
      </c>
      <c r="GN589" s="319" t="s">
        <v>190</v>
      </c>
      <c r="GO589" s="319" t="s">
        <v>190</v>
      </c>
      <c r="GP589" s="319" t="s">
        <v>190</v>
      </c>
      <c r="GQ589" s="319" t="s">
        <v>429</v>
      </c>
      <c r="GR589" s="319" t="s">
        <v>190</v>
      </c>
      <c r="GS589" s="319" t="s">
        <v>190</v>
      </c>
      <c r="GT589" s="319" t="s">
        <v>429</v>
      </c>
      <c r="GU589" s="319" t="s">
        <v>429</v>
      </c>
      <c r="GV589" s="319" t="s">
        <v>190</v>
      </c>
      <c r="GW589" s="319" t="s">
        <v>190</v>
      </c>
      <c r="GX589" s="319" t="s">
        <v>190</v>
      </c>
      <c r="GY589" s="319" t="s">
        <v>190</v>
      </c>
      <c r="GZ589" s="319" t="s">
        <v>190</v>
      </c>
      <c r="HA589" s="319" t="s">
        <v>429</v>
      </c>
      <c r="HB589" s="319" t="s">
        <v>190</v>
      </c>
      <c r="HC589" s="319" t="s">
        <v>190</v>
      </c>
      <c r="HD589" s="319" t="s">
        <v>190</v>
      </c>
      <c r="HE589" s="319" t="s">
        <v>190</v>
      </c>
      <c r="HF589" s="319" t="s">
        <v>190</v>
      </c>
      <c r="HG589" s="319" t="s">
        <v>190</v>
      </c>
      <c r="HH589" s="319" t="s">
        <v>190</v>
      </c>
      <c r="HI589" s="319" t="s">
        <v>190</v>
      </c>
      <c r="HJ589" s="319" t="s">
        <v>190</v>
      </c>
      <c r="HK589" s="319" t="s">
        <v>190</v>
      </c>
      <c r="HL589" s="319" t="s">
        <v>190</v>
      </c>
      <c r="HM589" s="319" t="s">
        <v>190</v>
      </c>
      <c r="HN589" s="319" t="s">
        <v>190</v>
      </c>
      <c r="HO589" s="319" t="s">
        <v>190</v>
      </c>
      <c r="HP589" s="319" t="s">
        <v>190</v>
      </c>
      <c r="HQ589" s="319" t="s">
        <v>190</v>
      </c>
      <c r="HR589" s="319" t="s">
        <v>190</v>
      </c>
      <c r="HS589" s="319" t="s">
        <v>190</v>
      </c>
      <c r="HT589" s="319" t="s">
        <v>190</v>
      </c>
      <c r="HU589" s="319" t="s">
        <v>190</v>
      </c>
      <c r="HV589" s="319" t="s">
        <v>190</v>
      </c>
      <c r="HW589" s="319" t="s">
        <v>190</v>
      </c>
      <c r="HX589" s="319" t="s">
        <v>190</v>
      </c>
      <c r="HY589" s="319" t="s">
        <v>190</v>
      </c>
      <c r="HZ589" s="319" t="s">
        <v>190</v>
      </c>
      <c r="IA589" s="319" t="s">
        <v>190</v>
      </c>
      <c r="IB589" s="319" t="s">
        <v>190</v>
      </c>
      <c r="IC589" s="319" t="s">
        <v>190</v>
      </c>
      <c r="ID589" s="319" t="s">
        <v>190</v>
      </c>
      <c r="IE589" s="319" t="s">
        <v>190</v>
      </c>
      <c r="IF589" s="319" t="s">
        <v>190</v>
      </c>
      <c r="IG589" s="319" t="s">
        <v>190</v>
      </c>
      <c r="IH589" s="319" t="s">
        <v>190</v>
      </c>
      <c r="II589" s="319" t="s">
        <v>190</v>
      </c>
      <c r="IJ589" s="319" t="s">
        <v>3345</v>
      </c>
      <c r="IK589" s="321">
        <v>41695</v>
      </c>
      <c r="IL589" s="321">
        <v>41697</v>
      </c>
      <c r="IM589" s="321">
        <v>41710</v>
      </c>
      <c r="IN589" s="319">
        <v>2</v>
      </c>
      <c r="IO589" s="319" t="s">
        <v>173</v>
      </c>
      <c r="IP589" s="319" t="s">
        <v>173</v>
      </c>
      <c r="IQ589" s="321" t="s">
        <v>173</v>
      </c>
      <c r="IR589" s="320" t="s">
        <v>173</v>
      </c>
      <c r="IS589" s="322" t="s">
        <v>173</v>
      </c>
      <c r="IT589" s="319" t="s">
        <v>173</v>
      </c>
    </row>
    <row r="590" spans="1:254" s="271" customFormat="1" x14ac:dyDescent="0.25">
      <c r="A590" s="318" t="str">
        <f>HYPERLINK("http://www.ofsted.gov.uk/inspection-reports/find-inspection-report/provider/ELS/136037 ","Ofsted School Webpage")</f>
        <v>Ofsted School Webpage</v>
      </c>
      <c r="B590" s="319">
        <v>136037</v>
      </c>
      <c r="C590" s="319">
        <v>3306130</v>
      </c>
      <c r="D590" s="319" t="s">
        <v>3346</v>
      </c>
      <c r="E590" s="319" t="s">
        <v>167</v>
      </c>
      <c r="F590" s="319" t="s">
        <v>81</v>
      </c>
      <c r="G590" s="319" t="s">
        <v>72</v>
      </c>
      <c r="H590" s="319" t="s">
        <v>72</v>
      </c>
      <c r="I590" s="319" t="s">
        <v>72</v>
      </c>
      <c r="J590" s="319" t="s">
        <v>424</v>
      </c>
      <c r="K590" s="319" t="s">
        <v>437</v>
      </c>
      <c r="L590" s="319" t="s">
        <v>437</v>
      </c>
      <c r="M590" s="319" t="s">
        <v>813</v>
      </c>
      <c r="N590" s="319" t="s">
        <v>2853</v>
      </c>
      <c r="O590" s="319" t="s">
        <v>2020</v>
      </c>
      <c r="P590" s="319">
        <v>32</v>
      </c>
      <c r="Q590" s="319" t="s">
        <v>2766</v>
      </c>
      <c r="R590" s="320">
        <v>10033572</v>
      </c>
      <c r="S590" s="321">
        <v>42920</v>
      </c>
      <c r="T590" s="321">
        <v>42922</v>
      </c>
      <c r="U590" s="321">
        <v>42986</v>
      </c>
      <c r="V590" s="319" t="s">
        <v>425</v>
      </c>
      <c r="W590" s="319" t="s">
        <v>2767</v>
      </c>
      <c r="X590" s="319">
        <v>2</v>
      </c>
      <c r="Y590" s="319" t="s">
        <v>173</v>
      </c>
      <c r="Z590" s="319" t="s">
        <v>173</v>
      </c>
      <c r="AA590" s="319" t="s">
        <v>173</v>
      </c>
      <c r="AB590" s="319">
        <v>2</v>
      </c>
      <c r="AC590" s="319" t="s">
        <v>169</v>
      </c>
      <c r="AD590" s="319" t="s">
        <v>173</v>
      </c>
      <c r="AE590" s="319" t="s">
        <v>173</v>
      </c>
      <c r="AF590" s="319" t="s">
        <v>173</v>
      </c>
      <c r="AG590" s="319" t="s">
        <v>171</v>
      </c>
      <c r="AH590" s="319" t="s">
        <v>190</v>
      </c>
      <c r="AI590" s="319" t="s">
        <v>190</v>
      </c>
      <c r="AJ590" s="319" t="s">
        <v>190</v>
      </c>
      <c r="AK590" s="319" t="s">
        <v>190</v>
      </c>
      <c r="AL590" s="319" t="s">
        <v>190</v>
      </c>
      <c r="AM590" s="319" t="s">
        <v>190</v>
      </c>
      <c r="AN590" s="319" t="s">
        <v>190</v>
      </c>
      <c r="AO590" s="319" t="s">
        <v>190</v>
      </c>
      <c r="AP590" s="319" t="s">
        <v>190</v>
      </c>
      <c r="AQ590" s="319" t="s">
        <v>190</v>
      </c>
      <c r="AR590" s="319" t="s">
        <v>190</v>
      </c>
      <c r="AS590" s="319" t="s">
        <v>190</v>
      </c>
      <c r="AT590" s="319" t="s">
        <v>190</v>
      </c>
      <c r="AU590" s="319" t="s">
        <v>190</v>
      </c>
      <c r="AV590" s="319" t="s">
        <v>190</v>
      </c>
      <c r="AW590" s="319" t="s">
        <v>190</v>
      </c>
      <c r="AX590" s="319" t="s">
        <v>190</v>
      </c>
      <c r="AY590" s="319" t="s">
        <v>190</v>
      </c>
      <c r="AZ590" s="319" t="s">
        <v>190</v>
      </c>
      <c r="BA590" s="319" t="s">
        <v>190</v>
      </c>
      <c r="BB590" s="319" t="s">
        <v>190</v>
      </c>
      <c r="BC590" s="319" t="s">
        <v>190</v>
      </c>
      <c r="BD590" s="319" t="s">
        <v>190</v>
      </c>
      <c r="BE590" s="319" t="s">
        <v>190</v>
      </c>
      <c r="BF590" s="319" t="s">
        <v>429</v>
      </c>
      <c r="BG590" s="319" t="s">
        <v>429</v>
      </c>
      <c r="BH590" s="319" t="s">
        <v>190</v>
      </c>
      <c r="BI590" s="319" t="s">
        <v>190</v>
      </c>
      <c r="BJ590" s="319" t="s">
        <v>190</v>
      </c>
      <c r="BK590" s="319" t="s">
        <v>190</v>
      </c>
      <c r="BL590" s="319" t="s">
        <v>190</v>
      </c>
      <c r="BM590" s="319" t="s">
        <v>190</v>
      </c>
      <c r="BN590" s="319" t="s">
        <v>190</v>
      </c>
      <c r="BO590" s="319" t="s">
        <v>190</v>
      </c>
      <c r="BP590" s="319" t="s">
        <v>190</v>
      </c>
      <c r="BQ590" s="319" t="s">
        <v>190</v>
      </c>
      <c r="BR590" s="319" t="s">
        <v>190</v>
      </c>
      <c r="BS590" s="319" t="s">
        <v>190</v>
      </c>
      <c r="BT590" s="319" t="s">
        <v>190</v>
      </c>
      <c r="BU590" s="319" t="s">
        <v>190</v>
      </c>
      <c r="BV590" s="319" t="s">
        <v>190</v>
      </c>
      <c r="BW590" s="319" t="s">
        <v>190</v>
      </c>
      <c r="BX590" s="319" t="s">
        <v>190</v>
      </c>
      <c r="BY590" s="319" t="s">
        <v>190</v>
      </c>
      <c r="BZ590" s="319" t="s">
        <v>190</v>
      </c>
      <c r="CA590" s="319" t="s">
        <v>190</v>
      </c>
      <c r="CB590" s="319" t="s">
        <v>190</v>
      </c>
      <c r="CC590" s="319" t="s">
        <v>190</v>
      </c>
      <c r="CD590" s="319" t="s">
        <v>190</v>
      </c>
      <c r="CE590" s="319" t="s">
        <v>190</v>
      </c>
      <c r="CF590" s="319" t="s">
        <v>190</v>
      </c>
      <c r="CG590" s="319" t="s">
        <v>190</v>
      </c>
      <c r="CH590" s="319" t="s">
        <v>190</v>
      </c>
      <c r="CI590" s="319" t="s">
        <v>190</v>
      </c>
      <c r="CJ590" s="319" t="s">
        <v>190</v>
      </c>
      <c r="CK590" s="319" t="s">
        <v>190</v>
      </c>
      <c r="CL590" s="319" t="s">
        <v>190</v>
      </c>
      <c r="CM590" s="319" t="s">
        <v>190</v>
      </c>
      <c r="CN590" s="319" t="s">
        <v>429</v>
      </c>
      <c r="CO590" s="319" t="s">
        <v>429</v>
      </c>
      <c r="CP590" s="319" t="s">
        <v>429</v>
      </c>
      <c r="CQ590" s="319" t="s">
        <v>190</v>
      </c>
      <c r="CR590" s="319" t="s">
        <v>190</v>
      </c>
      <c r="CS590" s="319" t="s">
        <v>190</v>
      </c>
      <c r="CT590" s="319" t="s">
        <v>190</v>
      </c>
      <c r="CU590" s="319" t="s">
        <v>190</v>
      </c>
      <c r="CV590" s="319" t="s">
        <v>190</v>
      </c>
      <c r="CW590" s="319" t="s">
        <v>190</v>
      </c>
      <c r="CX590" s="319" t="s">
        <v>190</v>
      </c>
      <c r="CY590" s="319" t="s">
        <v>190</v>
      </c>
      <c r="CZ590" s="319" t="s">
        <v>190</v>
      </c>
      <c r="DA590" s="319" t="s">
        <v>190</v>
      </c>
      <c r="DB590" s="319" t="s">
        <v>190</v>
      </c>
      <c r="DC590" s="319" t="s">
        <v>190</v>
      </c>
      <c r="DD590" s="319" t="s">
        <v>190</v>
      </c>
      <c r="DE590" s="319" t="s">
        <v>190</v>
      </c>
      <c r="DF590" s="319" t="s">
        <v>190</v>
      </c>
      <c r="DG590" s="319" t="s">
        <v>190</v>
      </c>
      <c r="DH590" s="319" t="s">
        <v>190</v>
      </c>
      <c r="DI590" s="319" t="s">
        <v>190</v>
      </c>
      <c r="DJ590" s="319" t="s">
        <v>190</v>
      </c>
      <c r="DK590" s="319" t="s">
        <v>190</v>
      </c>
      <c r="DL590" s="319" t="s">
        <v>190</v>
      </c>
      <c r="DM590" s="319" t="s">
        <v>190</v>
      </c>
      <c r="DN590" s="319" t="s">
        <v>429</v>
      </c>
      <c r="DO590" s="319" t="s">
        <v>429</v>
      </c>
      <c r="DP590" s="319" t="s">
        <v>190</v>
      </c>
      <c r="DQ590" s="319" t="s">
        <v>190</v>
      </c>
      <c r="DR590" s="319" t="s">
        <v>190</v>
      </c>
      <c r="DS590" s="319" t="s">
        <v>190</v>
      </c>
      <c r="DT590" s="319" t="s">
        <v>190</v>
      </c>
      <c r="DU590" s="319" t="s">
        <v>190</v>
      </c>
      <c r="DV590" s="319" t="s">
        <v>173</v>
      </c>
      <c r="DW590" s="319" t="s">
        <v>190</v>
      </c>
      <c r="DX590" s="319" t="s">
        <v>429</v>
      </c>
      <c r="DY590" s="319" t="s">
        <v>429</v>
      </c>
      <c r="DZ590" s="319" t="s">
        <v>429</v>
      </c>
      <c r="EA590" s="319" t="s">
        <v>429</v>
      </c>
      <c r="EB590" s="319" t="s">
        <v>429</v>
      </c>
      <c r="EC590" s="319" t="s">
        <v>429</v>
      </c>
      <c r="ED590" s="319" t="s">
        <v>429</v>
      </c>
      <c r="EE590" s="319" t="s">
        <v>190</v>
      </c>
      <c r="EF590" s="319" t="s">
        <v>190</v>
      </c>
      <c r="EG590" s="319" t="s">
        <v>190</v>
      </c>
      <c r="EH590" s="319" t="s">
        <v>190</v>
      </c>
      <c r="EI590" s="319" t="s">
        <v>190</v>
      </c>
      <c r="EJ590" s="319" t="s">
        <v>190</v>
      </c>
      <c r="EK590" s="319" t="s">
        <v>190</v>
      </c>
      <c r="EL590" s="319" t="s">
        <v>190</v>
      </c>
      <c r="EM590" s="319" t="s">
        <v>190</v>
      </c>
      <c r="EN590" s="319" t="s">
        <v>190</v>
      </c>
      <c r="EO590" s="319" t="s">
        <v>190</v>
      </c>
      <c r="EP590" s="319" t="s">
        <v>190</v>
      </c>
      <c r="EQ590" s="319" t="s">
        <v>190</v>
      </c>
      <c r="ER590" s="319" t="s">
        <v>190</v>
      </c>
      <c r="ES590" s="319" t="s">
        <v>190</v>
      </c>
      <c r="ET590" s="319" t="s">
        <v>190</v>
      </c>
      <c r="EU590" s="319" t="s">
        <v>190</v>
      </c>
      <c r="EV590" s="319" t="s">
        <v>190</v>
      </c>
      <c r="EW590" s="319" t="s">
        <v>190</v>
      </c>
      <c r="EX590" s="319" t="s">
        <v>190</v>
      </c>
      <c r="EY590" s="319" t="s">
        <v>190</v>
      </c>
      <c r="EZ590" s="319" t="s">
        <v>190</v>
      </c>
      <c r="FA590" s="319" t="s">
        <v>190</v>
      </c>
      <c r="FB590" s="319" t="s">
        <v>190</v>
      </c>
      <c r="FC590" s="319" t="s">
        <v>190</v>
      </c>
      <c r="FD590" s="319" t="s">
        <v>190</v>
      </c>
      <c r="FE590" s="319" t="s">
        <v>190</v>
      </c>
      <c r="FF590" s="319" t="s">
        <v>190</v>
      </c>
      <c r="FG590" s="319" t="s">
        <v>190</v>
      </c>
      <c r="FH590" s="319" t="s">
        <v>190</v>
      </c>
      <c r="FI590" s="319" t="s">
        <v>190</v>
      </c>
      <c r="FJ590" s="319" t="s">
        <v>190</v>
      </c>
      <c r="FK590" s="319" t="s">
        <v>190</v>
      </c>
      <c r="FL590" s="319" t="s">
        <v>190</v>
      </c>
      <c r="FM590" s="319" t="s">
        <v>190</v>
      </c>
      <c r="FN590" s="319" t="s">
        <v>190</v>
      </c>
      <c r="FO590" s="319" t="s">
        <v>190</v>
      </c>
      <c r="FP590" s="319" t="s">
        <v>190</v>
      </c>
      <c r="FQ590" s="319" t="s">
        <v>190</v>
      </c>
      <c r="FR590" s="319" t="s">
        <v>190</v>
      </c>
      <c r="FS590" s="319" t="s">
        <v>429</v>
      </c>
      <c r="FT590" s="319" t="s">
        <v>190</v>
      </c>
      <c r="FU590" s="319" t="s">
        <v>190</v>
      </c>
      <c r="FV590" s="319" t="s">
        <v>190</v>
      </c>
      <c r="FW590" s="319" t="s">
        <v>190</v>
      </c>
      <c r="FX590" s="319" t="s">
        <v>190</v>
      </c>
      <c r="FY590" s="319" t="s">
        <v>190</v>
      </c>
      <c r="FZ590" s="319" t="s">
        <v>190</v>
      </c>
      <c r="GA590" s="319" t="s">
        <v>190</v>
      </c>
      <c r="GB590" s="319" t="s">
        <v>190</v>
      </c>
      <c r="GC590" s="319" t="s">
        <v>190</v>
      </c>
      <c r="GD590" s="319" t="s">
        <v>190</v>
      </c>
      <c r="GE590" s="319" t="s">
        <v>190</v>
      </c>
      <c r="GF590" s="319" t="s">
        <v>190</v>
      </c>
      <c r="GG590" s="319" t="s">
        <v>190</v>
      </c>
      <c r="GH590" s="319" t="s">
        <v>190</v>
      </c>
      <c r="GI590" s="319" t="s">
        <v>190</v>
      </c>
      <c r="GJ590" s="319" t="s">
        <v>190</v>
      </c>
      <c r="GK590" s="319" t="s">
        <v>190</v>
      </c>
      <c r="GL590" s="319" t="s">
        <v>190</v>
      </c>
      <c r="GM590" s="319" t="s">
        <v>190</v>
      </c>
      <c r="GN590" s="319" t="s">
        <v>190</v>
      </c>
      <c r="GO590" s="319" t="s">
        <v>190</v>
      </c>
      <c r="GP590" s="319" t="s">
        <v>190</v>
      </c>
      <c r="GQ590" s="319" t="s">
        <v>429</v>
      </c>
      <c r="GR590" s="319" t="s">
        <v>190</v>
      </c>
      <c r="GS590" s="319" t="s">
        <v>190</v>
      </c>
      <c r="GT590" s="319" t="s">
        <v>190</v>
      </c>
      <c r="GU590" s="319" t="s">
        <v>190</v>
      </c>
      <c r="GV590" s="319" t="s">
        <v>190</v>
      </c>
      <c r="GW590" s="319" t="s">
        <v>190</v>
      </c>
      <c r="GX590" s="319" t="s">
        <v>190</v>
      </c>
      <c r="GY590" s="319" t="s">
        <v>190</v>
      </c>
      <c r="GZ590" s="319" t="s">
        <v>190</v>
      </c>
      <c r="HA590" s="319" t="s">
        <v>190</v>
      </c>
      <c r="HB590" s="319" t="s">
        <v>190</v>
      </c>
      <c r="HC590" s="319" t="s">
        <v>190</v>
      </c>
      <c r="HD590" s="319" t="s">
        <v>190</v>
      </c>
      <c r="HE590" s="319" t="s">
        <v>190</v>
      </c>
      <c r="HF590" s="319" t="s">
        <v>190</v>
      </c>
      <c r="HG590" s="319" t="s">
        <v>190</v>
      </c>
      <c r="HH590" s="319" t="s">
        <v>190</v>
      </c>
      <c r="HI590" s="319" t="s">
        <v>190</v>
      </c>
      <c r="HJ590" s="319" t="s">
        <v>190</v>
      </c>
      <c r="HK590" s="319" t="s">
        <v>190</v>
      </c>
      <c r="HL590" s="319" t="s">
        <v>190</v>
      </c>
      <c r="HM590" s="319" t="s">
        <v>429</v>
      </c>
      <c r="HN590" s="319" t="s">
        <v>429</v>
      </c>
      <c r="HO590" s="319" t="s">
        <v>429</v>
      </c>
      <c r="HP590" s="319" t="s">
        <v>190</v>
      </c>
      <c r="HQ590" s="319" t="s">
        <v>190</v>
      </c>
      <c r="HR590" s="319" t="s">
        <v>190</v>
      </c>
      <c r="HS590" s="319" t="s">
        <v>190</v>
      </c>
      <c r="HT590" s="319" t="s">
        <v>190</v>
      </c>
      <c r="HU590" s="319" t="s">
        <v>190</v>
      </c>
      <c r="HV590" s="319" t="s">
        <v>190</v>
      </c>
      <c r="HW590" s="319" t="s">
        <v>190</v>
      </c>
      <c r="HX590" s="319" t="s">
        <v>190</v>
      </c>
      <c r="HY590" s="319" t="s">
        <v>190</v>
      </c>
      <c r="HZ590" s="319" t="s">
        <v>190</v>
      </c>
      <c r="IA590" s="319" t="s">
        <v>190</v>
      </c>
      <c r="IB590" s="319" t="s">
        <v>190</v>
      </c>
      <c r="IC590" s="319" t="s">
        <v>190</v>
      </c>
      <c r="ID590" s="319" t="s">
        <v>190</v>
      </c>
      <c r="IE590" s="319" t="s">
        <v>190</v>
      </c>
      <c r="IF590" s="319" t="s">
        <v>190</v>
      </c>
      <c r="IG590" s="319" t="s">
        <v>190</v>
      </c>
      <c r="IH590" s="319" t="s">
        <v>190</v>
      </c>
      <c r="II590" s="319" t="s">
        <v>190</v>
      </c>
      <c r="IJ590" s="319" t="s">
        <v>3347</v>
      </c>
      <c r="IK590" s="321">
        <v>40674</v>
      </c>
      <c r="IL590" s="321">
        <v>40675</v>
      </c>
      <c r="IM590" s="321">
        <v>40702</v>
      </c>
      <c r="IN590" s="319">
        <v>3</v>
      </c>
      <c r="IO590" s="319" t="s">
        <v>173</v>
      </c>
      <c r="IP590" s="319" t="s">
        <v>173</v>
      </c>
      <c r="IQ590" s="321" t="s">
        <v>173</v>
      </c>
      <c r="IR590" s="320" t="s">
        <v>173</v>
      </c>
      <c r="IS590" s="322" t="s">
        <v>173</v>
      </c>
      <c r="IT590" s="319" t="s">
        <v>173</v>
      </c>
    </row>
    <row r="591" spans="1:254" s="271" customFormat="1" x14ac:dyDescent="0.25">
      <c r="A591" s="318" t="str">
        <f>HYPERLINK("http://www.ofsted.gov.uk/inspection-reports/find-inspection-report/provider/ELS/136039 ","Ofsted School Webpage")</f>
        <v>Ofsted School Webpage</v>
      </c>
      <c r="B591" s="319">
        <v>136039</v>
      </c>
      <c r="C591" s="319">
        <v>8916036</v>
      </c>
      <c r="D591" s="319" t="s">
        <v>2021</v>
      </c>
      <c r="E591" s="319" t="s">
        <v>168</v>
      </c>
      <c r="F591" s="319" t="s">
        <v>81</v>
      </c>
      <c r="G591" s="319" t="s">
        <v>81</v>
      </c>
      <c r="H591" s="319" t="s">
        <v>81</v>
      </c>
      <c r="I591" s="319" t="s">
        <v>78</v>
      </c>
      <c r="J591" s="319" t="s">
        <v>424</v>
      </c>
      <c r="K591" s="319" t="s">
        <v>506</v>
      </c>
      <c r="L591" s="319" t="s">
        <v>506</v>
      </c>
      <c r="M591" s="319" t="s">
        <v>760</v>
      </c>
      <c r="N591" s="319" t="s">
        <v>3208</v>
      </c>
      <c r="O591" s="319" t="s">
        <v>881</v>
      </c>
      <c r="P591" s="319">
        <v>39</v>
      </c>
      <c r="Q591" s="319" t="s">
        <v>429</v>
      </c>
      <c r="R591" s="320">
        <v>10092691</v>
      </c>
      <c r="S591" s="321">
        <v>43544</v>
      </c>
      <c r="T591" s="321">
        <v>43546</v>
      </c>
      <c r="U591" s="321">
        <v>43585</v>
      </c>
      <c r="V591" s="319" t="s">
        <v>425</v>
      </c>
      <c r="W591" s="319" t="s">
        <v>2767</v>
      </c>
      <c r="X591" s="319">
        <v>2</v>
      </c>
      <c r="Y591" s="319" t="s">
        <v>173</v>
      </c>
      <c r="Z591" s="319" t="s">
        <v>173</v>
      </c>
      <c r="AA591" s="319" t="s">
        <v>173</v>
      </c>
      <c r="AB591" s="319">
        <v>2</v>
      </c>
      <c r="AC591" s="319" t="s">
        <v>169</v>
      </c>
      <c r="AD591" s="319" t="s">
        <v>173</v>
      </c>
      <c r="AE591" s="319" t="s">
        <v>173</v>
      </c>
      <c r="AF591" s="319" t="s">
        <v>427</v>
      </c>
      <c r="AG591" s="319" t="s">
        <v>171</v>
      </c>
      <c r="AH591" s="319" t="s">
        <v>190</v>
      </c>
      <c r="AI591" s="319" t="s">
        <v>190</v>
      </c>
      <c r="AJ591" s="319" t="s">
        <v>190</v>
      </c>
      <c r="AK591" s="319" t="s">
        <v>190</v>
      </c>
      <c r="AL591" s="319" t="s">
        <v>190</v>
      </c>
      <c r="AM591" s="319" t="s">
        <v>190</v>
      </c>
      <c r="AN591" s="319" t="s">
        <v>190</v>
      </c>
      <c r="AO591" s="319" t="s">
        <v>190</v>
      </c>
      <c r="AP591" s="319" t="s">
        <v>190</v>
      </c>
      <c r="AQ591" s="319" t="s">
        <v>190</v>
      </c>
      <c r="AR591" s="319" t="s">
        <v>190</v>
      </c>
      <c r="AS591" s="319" t="s">
        <v>190</v>
      </c>
      <c r="AT591" s="319" t="s">
        <v>190</v>
      </c>
      <c r="AU591" s="319" t="s">
        <v>190</v>
      </c>
      <c r="AV591" s="319" t="s">
        <v>190</v>
      </c>
      <c r="AW591" s="319" t="s">
        <v>190</v>
      </c>
      <c r="AX591" s="319" t="s">
        <v>428</v>
      </c>
      <c r="AY591" s="319" t="s">
        <v>190</v>
      </c>
      <c r="AZ591" s="319" t="s">
        <v>190</v>
      </c>
      <c r="BA591" s="319" t="s">
        <v>190</v>
      </c>
      <c r="BB591" s="319" t="s">
        <v>190</v>
      </c>
      <c r="BC591" s="319" t="s">
        <v>190</v>
      </c>
      <c r="BD591" s="319" t="s">
        <v>190</v>
      </c>
      <c r="BE591" s="319" t="s">
        <v>190</v>
      </c>
      <c r="BF591" s="319" t="s">
        <v>428</v>
      </c>
      <c r="BG591" s="319" t="s">
        <v>428</v>
      </c>
      <c r="BH591" s="319" t="s">
        <v>190</v>
      </c>
      <c r="BI591" s="319" t="s">
        <v>190</v>
      </c>
      <c r="BJ591" s="319" t="s">
        <v>190</v>
      </c>
      <c r="BK591" s="319" t="s">
        <v>190</v>
      </c>
      <c r="BL591" s="319" t="s">
        <v>190</v>
      </c>
      <c r="BM591" s="319" t="s">
        <v>190</v>
      </c>
      <c r="BN591" s="319" t="s">
        <v>190</v>
      </c>
      <c r="BO591" s="319" t="s">
        <v>190</v>
      </c>
      <c r="BP591" s="319" t="s">
        <v>190</v>
      </c>
      <c r="BQ591" s="319" t="s">
        <v>190</v>
      </c>
      <c r="BR591" s="319" t="s">
        <v>190</v>
      </c>
      <c r="BS591" s="319" t="s">
        <v>190</v>
      </c>
      <c r="BT591" s="319" t="s">
        <v>190</v>
      </c>
      <c r="BU591" s="319" t="s">
        <v>190</v>
      </c>
      <c r="BV591" s="319" t="s">
        <v>190</v>
      </c>
      <c r="BW591" s="319" t="s">
        <v>190</v>
      </c>
      <c r="BX591" s="319" t="s">
        <v>190</v>
      </c>
      <c r="BY591" s="319" t="s">
        <v>190</v>
      </c>
      <c r="BZ591" s="319" t="s">
        <v>190</v>
      </c>
      <c r="CA591" s="319" t="s">
        <v>190</v>
      </c>
      <c r="CB591" s="319" t="s">
        <v>190</v>
      </c>
      <c r="CC591" s="319" t="s">
        <v>190</v>
      </c>
      <c r="CD591" s="319" t="s">
        <v>190</v>
      </c>
      <c r="CE591" s="319" t="s">
        <v>190</v>
      </c>
      <c r="CF591" s="319" t="s">
        <v>190</v>
      </c>
      <c r="CG591" s="319" t="s">
        <v>190</v>
      </c>
      <c r="CH591" s="319" t="s">
        <v>190</v>
      </c>
      <c r="CI591" s="319" t="s">
        <v>190</v>
      </c>
      <c r="CJ591" s="319" t="s">
        <v>190</v>
      </c>
      <c r="CK591" s="319" t="s">
        <v>190</v>
      </c>
      <c r="CL591" s="319" t="s">
        <v>190</v>
      </c>
      <c r="CM591" s="319" t="s">
        <v>190</v>
      </c>
      <c r="CN591" s="319" t="s">
        <v>428</v>
      </c>
      <c r="CO591" s="319" t="s">
        <v>428</v>
      </c>
      <c r="CP591" s="319" t="s">
        <v>428</v>
      </c>
      <c r="CQ591" s="319" t="s">
        <v>190</v>
      </c>
      <c r="CR591" s="319" t="s">
        <v>190</v>
      </c>
      <c r="CS591" s="319" t="s">
        <v>190</v>
      </c>
      <c r="CT591" s="319" t="s">
        <v>190</v>
      </c>
      <c r="CU591" s="319" t="s">
        <v>190</v>
      </c>
      <c r="CV591" s="319" t="s">
        <v>190</v>
      </c>
      <c r="CW591" s="319" t="s">
        <v>190</v>
      </c>
      <c r="CX591" s="319" t="s">
        <v>190</v>
      </c>
      <c r="CY591" s="319" t="s">
        <v>190</v>
      </c>
      <c r="CZ591" s="319" t="s">
        <v>190</v>
      </c>
      <c r="DA591" s="319" t="s">
        <v>190</v>
      </c>
      <c r="DB591" s="319" t="s">
        <v>190</v>
      </c>
      <c r="DC591" s="319" t="s">
        <v>190</v>
      </c>
      <c r="DD591" s="319" t="s">
        <v>190</v>
      </c>
      <c r="DE591" s="319" t="s">
        <v>190</v>
      </c>
      <c r="DF591" s="319" t="s">
        <v>190</v>
      </c>
      <c r="DG591" s="319" t="s">
        <v>190</v>
      </c>
      <c r="DH591" s="319" t="s">
        <v>190</v>
      </c>
      <c r="DI591" s="319" t="s">
        <v>190</v>
      </c>
      <c r="DJ591" s="319" t="s">
        <v>190</v>
      </c>
      <c r="DK591" s="319" t="s">
        <v>190</v>
      </c>
      <c r="DL591" s="319" t="s">
        <v>190</v>
      </c>
      <c r="DM591" s="319" t="s">
        <v>190</v>
      </c>
      <c r="DN591" s="319" t="s">
        <v>428</v>
      </c>
      <c r="DO591" s="319" t="s">
        <v>190</v>
      </c>
      <c r="DP591" s="319" t="s">
        <v>190</v>
      </c>
      <c r="DQ591" s="319" t="s">
        <v>190</v>
      </c>
      <c r="DR591" s="319" t="s">
        <v>190</v>
      </c>
      <c r="DS591" s="319" t="s">
        <v>190</v>
      </c>
      <c r="DT591" s="319" t="s">
        <v>190</v>
      </c>
      <c r="DU591" s="319" t="s">
        <v>190</v>
      </c>
      <c r="DV591" s="319" t="s">
        <v>173</v>
      </c>
      <c r="DW591" s="319" t="s">
        <v>190</v>
      </c>
      <c r="DX591" s="319" t="s">
        <v>190</v>
      </c>
      <c r="DY591" s="319" t="s">
        <v>190</v>
      </c>
      <c r="DZ591" s="319" t="s">
        <v>190</v>
      </c>
      <c r="EA591" s="319" t="s">
        <v>190</v>
      </c>
      <c r="EB591" s="319" t="s">
        <v>190</v>
      </c>
      <c r="EC591" s="319" t="s">
        <v>428</v>
      </c>
      <c r="ED591" s="319" t="s">
        <v>190</v>
      </c>
      <c r="EE591" s="319" t="s">
        <v>190</v>
      </c>
      <c r="EF591" s="319" t="s">
        <v>190</v>
      </c>
      <c r="EG591" s="319" t="s">
        <v>190</v>
      </c>
      <c r="EH591" s="319" t="s">
        <v>190</v>
      </c>
      <c r="EI591" s="319" t="s">
        <v>190</v>
      </c>
      <c r="EJ591" s="319" t="s">
        <v>190</v>
      </c>
      <c r="EK591" s="319" t="s">
        <v>190</v>
      </c>
      <c r="EL591" s="319" t="s">
        <v>190</v>
      </c>
      <c r="EM591" s="319" t="s">
        <v>190</v>
      </c>
      <c r="EN591" s="319" t="s">
        <v>190</v>
      </c>
      <c r="EO591" s="319" t="s">
        <v>190</v>
      </c>
      <c r="EP591" s="319" t="s">
        <v>190</v>
      </c>
      <c r="EQ591" s="319" t="s">
        <v>190</v>
      </c>
      <c r="ER591" s="319" t="s">
        <v>190</v>
      </c>
      <c r="ES591" s="319" t="s">
        <v>190</v>
      </c>
      <c r="ET591" s="319" t="s">
        <v>190</v>
      </c>
      <c r="EU591" s="319" t="s">
        <v>190</v>
      </c>
      <c r="EV591" s="319" t="s">
        <v>190</v>
      </c>
      <c r="EW591" s="319" t="s">
        <v>190</v>
      </c>
      <c r="EX591" s="319" t="s">
        <v>190</v>
      </c>
      <c r="EY591" s="319" t="s">
        <v>190</v>
      </c>
      <c r="EZ591" s="319" t="s">
        <v>190</v>
      </c>
      <c r="FA591" s="319" t="s">
        <v>190</v>
      </c>
      <c r="FB591" s="319" t="s">
        <v>190</v>
      </c>
      <c r="FC591" s="319" t="s">
        <v>190</v>
      </c>
      <c r="FD591" s="319" t="s">
        <v>190</v>
      </c>
      <c r="FE591" s="319" t="s">
        <v>190</v>
      </c>
      <c r="FF591" s="319" t="s">
        <v>428</v>
      </c>
      <c r="FG591" s="319" t="s">
        <v>190</v>
      </c>
      <c r="FH591" s="319" t="s">
        <v>428</v>
      </c>
      <c r="FI591" s="319" t="s">
        <v>190</v>
      </c>
      <c r="FJ591" s="319" t="s">
        <v>190</v>
      </c>
      <c r="FK591" s="319" t="s">
        <v>190</v>
      </c>
      <c r="FL591" s="319" t="s">
        <v>190</v>
      </c>
      <c r="FM591" s="319" t="s">
        <v>190</v>
      </c>
      <c r="FN591" s="319" t="s">
        <v>190</v>
      </c>
      <c r="FO591" s="319" t="s">
        <v>190</v>
      </c>
      <c r="FP591" s="319" t="s">
        <v>190</v>
      </c>
      <c r="FQ591" s="319" t="s">
        <v>190</v>
      </c>
      <c r="FR591" s="319" t="s">
        <v>190</v>
      </c>
      <c r="FS591" s="319" t="s">
        <v>428</v>
      </c>
      <c r="FT591" s="319" t="s">
        <v>190</v>
      </c>
      <c r="FU591" s="319" t="s">
        <v>190</v>
      </c>
      <c r="FV591" s="319" t="s">
        <v>190</v>
      </c>
      <c r="FW591" s="319" t="s">
        <v>190</v>
      </c>
      <c r="FX591" s="319" t="s">
        <v>190</v>
      </c>
      <c r="FY591" s="319" t="s">
        <v>190</v>
      </c>
      <c r="FZ591" s="319" t="s">
        <v>190</v>
      </c>
      <c r="GA591" s="319" t="s">
        <v>190</v>
      </c>
      <c r="GB591" s="319" t="s">
        <v>190</v>
      </c>
      <c r="GC591" s="319" t="s">
        <v>190</v>
      </c>
      <c r="GD591" s="319" t="s">
        <v>190</v>
      </c>
      <c r="GE591" s="319" t="s">
        <v>190</v>
      </c>
      <c r="GF591" s="319" t="s">
        <v>190</v>
      </c>
      <c r="GG591" s="319" t="s">
        <v>190</v>
      </c>
      <c r="GH591" s="319" t="s">
        <v>190</v>
      </c>
      <c r="GI591" s="319" t="s">
        <v>190</v>
      </c>
      <c r="GJ591" s="319" t="s">
        <v>190</v>
      </c>
      <c r="GK591" s="319" t="s">
        <v>428</v>
      </c>
      <c r="GL591" s="319" t="s">
        <v>190</v>
      </c>
      <c r="GM591" s="319" t="s">
        <v>190</v>
      </c>
      <c r="GN591" s="319" t="s">
        <v>190</v>
      </c>
      <c r="GO591" s="319" t="s">
        <v>190</v>
      </c>
      <c r="GP591" s="319" t="s">
        <v>190</v>
      </c>
      <c r="GQ591" s="319" t="s">
        <v>190</v>
      </c>
      <c r="GR591" s="319" t="s">
        <v>190</v>
      </c>
      <c r="GS591" s="319" t="s">
        <v>190</v>
      </c>
      <c r="GT591" s="319" t="s">
        <v>190</v>
      </c>
      <c r="GU591" s="319" t="s">
        <v>190</v>
      </c>
      <c r="GV591" s="319" t="s">
        <v>190</v>
      </c>
      <c r="GW591" s="319" t="s">
        <v>190</v>
      </c>
      <c r="GX591" s="319" t="s">
        <v>190</v>
      </c>
      <c r="GY591" s="319" t="s">
        <v>190</v>
      </c>
      <c r="GZ591" s="319" t="s">
        <v>190</v>
      </c>
      <c r="HA591" s="319" t="s">
        <v>428</v>
      </c>
      <c r="HB591" s="319" t="s">
        <v>190</v>
      </c>
      <c r="HC591" s="319" t="s">
        <v>190</v>
      </c>
      <c r="HD591" s="319" t="s">
        <v>190</v>
      </c>
      <c r="HE591" s="319" t="s">
        <v>190</v>
      </c>
      <c r="HF591" s="319" t="s">
        <v>190</v>
      </c>
      <c r="HG591" s="319" t="s">
        <v>190</v>
      </c>
      <c r="HH591" s="319" t="s">
        <v>190</v>
      </c>
      <c r="HI591" s="319" t="s">
        <v>190</v>
      </c>
      <c r="HJ591" s="319" t="s">
        <v>190</v>
      </c>
      <c r="HK591" s="319" t="s">
        <v>190</v>
      </c>
      <c r="HL591" s="319" t="s">
        <v>428</v>
      </c>
      <c r="HM591" s="319" t="s">
        <v>428</v>
      </c>
      <c r="HN591" s="319" t="s">
        <v>428</v>
      </c>
      <c r="HO591" s="319" t="s">
        <v>428</v>
      </c>
      <c r="HP591" s="319" t="s">
        <v>190</v>
      </c>
      <c r="HQ591" s="319" t="s">
        <v>190</v>
      </c>
      <c r="HR591" s="319" t="s">
        <v>190</v>
      </c>
      <c r="HS591" s="319" t="s">
        <v>190</v>
      </c>
      <c r="HT591" s="319" t="s">
        <v>190</v>
      </c>
      <c r="HU591" s="319" t="s">
        <v>190</v>
      </c>
      <c r="HV591" s="319" t="s">
        <v>190</v>
      </c>
      <c r="HW591" s="319" t="s">
        <v>190</v>
      </c>
      <c r="HX591" s="319" t="s">
        <v>190</v>
      </c>
      <c r="HY591" s="319" t="s">
        <v>190</v>
      </c>
      <c r="HZ591" s="319" t="s">
        <v>190</v>
      </c>
      <c r="IA591" s="319" t="s">
        <v>190</v>
      </c>
      <c r="IB591" s="319" t="s">
        <v>190</v>
      </c>
      <c r="IC591" s="319" t="s">
        <v>190</v>
      </c>
      <c r="ID591" s="319" t="s">
        <v>190</v>
      </c>
      <c r="IE591" s="319" t="s">
        <v>190</v>
      </c>
      <c r="IF591" s="319" t="s">
        <v>190</v>
      </c>
      <c r="IG591" s="319" t="s">
        <v>190</v>
      </c>
      <c r="IH591" s="319" t="s">
        <v>190</v>
      </c>
      <c r="II591" s="319" t="s">
        <v>190</v>
      </c>
      <c r="IJ591" s="319">
        <v>10012940</v>
      </c>
      <c r="IK591" s="321">
        <v>42689</v>
      </c>
      <c r="IL591" s="321">
        <v>42691</v>
      </c>
      <c r="IM591" s="321">
        <v>42748</v>
      </c>
      <c r="IN591" s="319">
        <v>2</v>
      </c>
      <c r="IO591" s="319" t="s">
        <v>173</v>
      </c>
      <c r="IP591" s="319" t="s">
        <v>173</v>
      </c>
      <c r="IQ591" s="319" t="s">
        <v>173</v>
      </c>
      <c r="IR591" s="320" t="s">
        <v>173</v>
      </c>
      <c r="IS591" s="320" t="s">
        <v>173</v>
      </c>
      <c r="IT591" s="319" t="s">
        <v>173</v>
      </c>
    </row>
    <row r="592" spans="1:254" s="271" customFormat="1" x14ac:dyDescent="0.25">
      <c r="A592" s="318" t="str">
        <f>HYPERLINK("http://www.ofsted.gov.uk/inspection-reports/find-inspection-report/provider/ELS/136040 ","Ofsted School Webpage")</f>
        <v>Ofsted School Webpage</v>
      </c>
      <c r="B592" s="319">
        <v>136040</v>
      </c>
      <c r="C592" s="319">
        <v>3846126</v>
      </c>
      <c r="D592" s="319" t="s">
        <v>2022</v>
      </c>
      <c r="E592" s="319" t="s">
        <v>168</v>
      </c>
      <c r="F592" s="319" t="s">
        <v>81</v>
      </c>
      <c r="G592" s="319" t="s">
        <v>81</v>
      </c>
      <c r="H592" s="319" t="s">
        <v>81</v>
      </c>
      <c r="I592" s="319" t="s">
        <v>78</v>
      </c>
      <c r="J592" s="319" t="s">
        <v>424</v>
      </c>
      <c r="K592" s="319" t="s">
        <v>458</v>
      </c>
      <c r="L592" s="319" t="s">
        <v>459</v>
      </c>
      <c r="M592" s="319" t="s">
        <v>460</v>
      </c>
      <c r="N592" s="319" t="s">
        <v>460</v>
      </c>
      <c r="O592" s="319" t="s">
        <v>2023</v>
      </c>
      <c r="P592" s="319">
        <v>14</v>
      </c>
      <c r="Q592" s="319" t="s">
        <v>429</v>
      </c>
      <c r="R592" s="320">
        <v>10110721</v>
      </c>
      <c r="S592" s="321">
        <v>43795</v>
      </c>
      <c r="T592" s="321">
        <v>43797</v>
      </c>
      <c r="U592" s="321">
        <v>43822</v>
      </c>
      <c r="V592" s="319" t="s">
        <v>425</v>
      </c>
      <c r="W592" s="319" t="s">
        <v>2767</v>
      </c>
      <c r="X592" s="319">
        <v>2</v>
      </c>
      <c r="Y592" s="319">
        <v>2</v>
      </c>
      <c r="Z592" s="319">
        <v>2</v>
      </c>
      <c r="AA592" s="319">
        <v>2</v>
      </c>
      <c r="AB592" s="319">
        <v>2</v>
      </c>
      <c r="AC592" s="319" t="s">
        <v>169</v>
      </c>
      <c r="AD592" s="319" t="s">
        <v>173</v>
      </c>
      <c r="AE592" s="319" t="s">
        <v>173</v>
      </c>
      <c r="AF592" s="319" t="s">
        <v>427</v>
      </c>
      <c r="AG592" s="319" t="s">
        <v>171</v>
      </c>
      <c r="AH592" s="319" t="s">
        <v>190</v>
      </c>
      <c r="AI592" s="319" t="s">
        <v>190</v>
      </c>
      <c r="AJ592" s="319" t="s">
        <v>190</v>
      </c>
      <c r="AK592" s="319" t="s">
        <v>190</v>
      </c>
      <c r="AL592" s="319" t="s">
        <v>190</v>
      </c>
      <c r="AM592" s="319" t="s">
        <v>190</v>
      </c>
      <c r="AN592" s="319" t="s">
        <v>190</v>
      </c>
      <c r="AO592" s="319" t="s">
        <v>190</v>
      </c>
      <c r="AP592" s="319" t="s">
        <v>190</v>
      </c>
      <c r="AQ592" s="319" t="s">
        <v>190</v>
      </c>
      <c r="AR592" s="319" t="s">
        <v>190</v>
      </c>
      <c r="AS592" s="319" t="s">
        <v>190</v>
      </c>
      <c r="AT592" s="319" t="s">
        <v>190</v>
      </c>
      <c r="AU592" s="319" t="s">
        <v>190</v>
      </c>
      <c r="AV592" s="319" t="s">
        <v>190</v>
      </c>
      <c r="AW592" s="319" t="s">
        <v>190</v>
      </c>
      <c r="AX592" s="319" t="s">
        <v>190</v>
      </c>
      <c r="AY592" s="319" t="s">
        <v>190</v>
      </c>
      <c r="AZ592" s="319" t="s">
        <v>190</v>
      </c>
      <c r="BA592" s="319" t="s">
        <v>190</v>
      </c>
      <c r="BB592" s="319" t="s">
        <v>190</v>
      </c>
      <c r="BC592" s="319" t="s">
        <v>190</v>
      </c>
      <c r="BD592" s="319" t="s">
        <v>190</v>
      </c>
      <c r="BE592" s="319" t="s">
        <v>190</v>
      </c>
      <c r="BF592" s="319" t="s">
        <v>428</v>
      </c>
      <c r="BG592" s="319" t="s">
        <v>428</v>
      </c>
      <c r="BH592" s="319" t="s">
        <v>190</v>
      </c>
      <c r="BI592" s="319" t="s">
        <v>190</v>
      </c>
      <c r="BJ592" s="319" t="s">
        <v>190</v>
      </c>
      <c r="BK592" s="319" t="s">
        <v>190</v>
      </c>
      <c r="BL592" s="319" t="s">
        <v>190</v>
      </c>
      <c r="BM592" s="319" t="s">
        <v>190</v>
      </c>
      <c r="BN592" s="319" t="s">
        <v>190</v>
      </c>
      <c r="BO592" s="319" t="s">
        <v>190</v>
      </c>
      <c r="BP592" s="319" t="s">
        <v>190</v>
      </c>
      <c r="BQ592" s="319" t="s">
        <v>190</v>
      </c>
      <c r="BR592" s="319" t="s">
        <v>190</v>
      </c>
      <c r="BS592" s="319" t="s">
        <v>190</v>
      </c>
      <c r="BT592" s="319" t="s">
        <v>190</v>
      </c>
      <c r="BU592" s="319" t="s">
        <v>190</v>
      </c>
      <c r="BV592" s="319" t="s">
        <v>190</v>
      </c>
      <c r="BW592" s="319" t="s">
        <v>190</v>
      </c>
      <c r="BX592" s="319" t="s">
        <v>190</v>
      </c>
      <c r="BY592" s="319" t="s">
        <v>190</v>
      </c>
      <c r="BZ592" s="319" t="s">
        <v>190</v>
      </c>
      <c r="CA592" s="319" t="s">
        <v>190</v>
      </c>
      <c r="CB592" s="319" t="s">
        <v>190</v>
      </c>
      <c r="CC592" s="319" t="s">
        <v>190</v>
      </c>
      <c r="CD592" s="319" t="s">
        <v>190</v>
      </c>
      <c r="CE592" s="319" t="s">
        <v>190</v>
      </c>
      <c r="CF592" s="319" t="s">
        <v>190</v>
      </c>
      <c r="CG592" s="319" t="s">
        <v>190</v>
      </c>
      <c r="CH592" s="319" t="s">
        <v>190</v>
      </c>
      <c r="CI592" s="319" t="s">
        <v>190</v>
      </c>
      <c r="CJ592" s="319" t="s">
        <v>190</v>
      </c>
      <c r="CK592" s="319" t="s">
        <v>190</v>
      </c>
      <c r="CL592" s="319" t="s">
        <v>190</v>
      </c>
      <c r="CM592" s="319" t="s">
        <v>428</v>
      </c>
      <c r="CN592" s="319" t="s">
        <v>428</v>
      </c>
      <c r="CO592" s="319" t="s">
        <v>428</v>
      </c>
      <c r="CP592" s="319" t="s">
        <v>428</v>
      </c>
      <c r="CQ592" s="319" t="s">
        <v>190</v>
      </c>
      <c r="CR592" s="319" t="s">
        <v>190</v>
      </c>
      <c r="CS592" s="319" t="s">
        <v>190</v>
      </c>
      <c r="CT592" s="319" t="s">
        <v>190</v>
      </c>
      <c r="CU592" s="319" t="s">
        <v>190</v>
      </c>
      <c r="CV592" s="319" t="s">
        <v>190</v>
      </c>
      <c r="CW592" s="319" t="s">
        <v>190</v>
      </c>
      <c r="CX592" s="319" t="s">
        <v>190</v>
      </c>
      <c r="CY592" s="319" t="s">
        <v>190</v>
      </c>
      <c r="CZ592" s="319" t="s">
        <v>190</v>
      </c>
      <c r="DA592" s="319" t="s">
        <v>190</v>
      </c>
      <c r="DB592" s="319" t="s">
        <v>190</v>
      </c>
      <c r="DC592" s="319" t="s">
        <v>190</v>
      </c>
      <c r="DD592" s="319" t="s">
        <v>190</v>
      </c>
      <c r="DE592" s="319" t="s">
        <v>190</v>
      </c>
      <c r="DF592" s="319" t="s">
        <v>190</v>
      </c>
      <c r="DG592" s="319" t="s">
        <v>190</v>
      </c>
      <c r="DH592" s="319" t="s">
        <v>190</v>
      </c>
      <c r="DI592" s="319" t="s">
        <v>190</v>
      </c>
      <c r="DJ592" s="319" t="s">
        <v>190</v>
      </c>
      <c r="DK592" s="319" t="s">
        <v>190</v>
      </c>
      <c r="DL592" s="319" t="s">
        <v>190</v>
      </c>
      <c r="DM592" s="319" t="s">
        <v>190</v>
      </c>
      <c r="DN592" s="319" t="s">
        <v>428</v>
      </c>
      <c r="DO592" s="319" t="s">
        <v>190</v>
      </c>
      <c r="DP592" s="319" t="s">
        <v>190</v>
      </c>
      <c r="DQ592" s="319" t="s">
        <v>190</v>
      </c>
      <c r="DR592" s="319" t="s">
        <v>190</v>
      </c>
      <c r="DS592" s="319" t="s">
        <v>190</v>
      </c>
      <c r="DT592" s="319" t="s">
        <v>190</v>
      </c>
      <c r="DU592" s="319" t="s">
        <v>190</v>
      </c>
      <c r="DV592" s="319" t="s">
        <v>190</v>
      </c>
      <c r="DW592" s="319" t="s">
        <v>190</v>
      </c>
      <c r="DX592" s="319" t="s">
        <v>190</v>
      </c>
      <c r="DY592" s="319" t="s">
        <v>190</v>
      </c>
      <c r="DZ592" s="319" t="s">
        <v>190</v>
      </c>
      <c r="EA592" s="319" t="s">
        <v>190</v>
      </c>
      <c r="EB592" s="319" t="s">
        <v>190</v>
      </c>
      <c r="EC592" s="319" t="s">
        <v>190</v>
      </c>
      <c r="ED592" s="319" t="s">
        <v>190</v>
      </c>
      <c r="EE592" s="319" t="s">
        <v>190</v>
      </c>
      <c r="EF592" s="319" t="s">
        <v>190</v>
      </c>
      <c r="EG592" s="319" t="s">
        <v>190</v>
      </c>
      <c r="EH592" s="319" t="s">
        <v>190</v>
      </c>
      <c r="EI592" s="319" t="s">
        <v>190</v>
      </c>
      <c r="EJ592" s="319" t="s">
        <v>190</v>
      </c>
      <c r="EK592" s="319" t="s">
        <v>190</v>
      </c>
      <c r="EL592" s="319" t="s">
        <v>190</v>
      </c>
      <c r="EM592" s="319" t="s">
        <v>190</v>
      </c>
      <c r="EN592" s="319" t="s">
        <v>190</v>
      </c>
      <c r="EO592" s="319" t="s">
        <v>190</v>
      </c>
      <c r="EP592" s="319" t="s">
        <v>190</v>
      </c>
      <c r="EQ592" s="319" t="s">
        <v>190</v>
      </c>
      <c r="ER592" s="319" t="s">
        <v>190</v>
      </c>
      <c r="ES592" s="319" t="s">
        <v>190</v>
      </c>
      <c r="ET592" s="319" t="s">
        <v>190</v>
      </c>
      <c r="EU592" s="319" t="s">
        <v>190</v>
      </c>
      <c r="EV592" s="319" t="s">
        <v>190</v>
      </c>
      <c r="EW592" s="319" t="s">
        <v>190</v>
      </c>
      <c r="EX592" s="319" t="s">
        <v>190</v>
      </c>
      <c r="EY592" s="319" t="s">
        <v>190</v>
      </c>
      <c r="EZ592" s="319" t="s">
        <v>190</v>
      </c>
      <c r="FA592" s="319" t="s">
        <v>190</v>
      </c>
      <c r="FB592" s="319" t="s">
        <v>190</v>
      </c>
      <c r="FC592" s="319" t="s">
        <v>190</v>
      </c>
      <c r="FD592" s="319" t="s">
        <v>190</v>
      </c>
      <c r="FE592" s="319" t="s">
        <v>190</v>
      </c>
      <c r="FF592" s="319" t="s">
        <v>190</v>
      </c>
      <c r="FG592" s="319" t="s">
        <v>190</v>
      </c>
      <c r="FH592" s="319" t="s">
        <v>190</v>
      </c>
      <c r="FI592" s="319" t="s">
        <v>190</v>
      </c>
      <c r="FJ592" s="319" t="s">
        <v>190</v>
      </c>
      <c r="FK592" s="319" t="s">
        <v>190</v>
      </c>
      <c r="FL592" s="319" t="s">
        <v>190</v>
      </c>
      <c r="FM592" s="319" t="s">
        <v>190</v>
      </c>
      <c r="FN592" s="319" t="s">
        <v>190</v>
      </c>
      <c r="FO592" s="319" t="s">
        <v>190</v>
      </c>
      <c r="FP592" s="319" t="s">
        <v>190</v>
      </c>
      <c r="FQ592" s="319" t="s">
        <v>190</v>
      </c>
      <c r="FR592" s="319" t="s">
        <v>190</v>
      </c>
      <c r="FS592" s="319" t="s">
        <v>428</v>
      </c>
      <c r="FT592" s="319" t="s">
        <v>190</v>
      </c>
      <c r="FU592" s="319" t="s">
        <v>190</v>
      </c>
      <c r="FV592" s="319" t="s">
        <v>190</v>
      </c>
      <c r="FW592" s="319" t="s">
        <v>190</v>
      </c>
      <c r="FX592" s="319" t="s">
        <v>190</v>
      </c>
      <c r="FY592" s="319" t="s">
        <v>190</v>
      </c>
      <c r="FZ592" s="319" t="s">
        <v>190</v>
      </c>
      <c r="GA592" s="319" t="s">
        <v>190</v>
      </c>
      <c r="GB592" s="319" t="s">
        <v>190</v>
      </c>
      <c r="GC592" s="319" t="s">
        <v>190</v>
      </c>
      <c r="GD592" s="319" t="s">
        <v>190</v>
      </c>
      <c r="GE592" s="319" t="s">
        <v>190</v>
      </c>
      <c r="GF592" s="319" t="s">
        <v>190</v>
      </c>
      <c r="GG592" s="319" t="s">
        <v>190</v>
      </c>
      <c r="GH592" s="319" t="s">
        <v>190</v>
      </c>
      <c r="GI592" s="319" t="s">
        <v>190</v>
      </c>
      <c r="GJ592" s="319" t="s">
        <v>190</v>
      </c>
      <c r="GK592" s="319" t="s">
        <v>428</v>
      </c>
      <c r="GL592" s="319" t="s">
        <v>190</v>
      </c>
      <c r="GM592" s="319" t="s">
        <v>190</v>
      </c>
      <c r="GN592" s="319" t="s">
        <v>190</v>
      </c>
      <c r="GO592" s="319" t="s">
        <v>190</v>
      </c>
      <c r="GP592" s="319" t="s">
        <v>190</v>
      </c>
      <c r="GQ592" s="319" t="s">
        <v>190</v>
      </c>
      <c r="GR592" s="319" t="s">
        <v>190</v>
      </c>
      <c r="GS592" s="319" t="s">
        <v>190</v>
      </c>
      <c r="GT592" s="319" t="s">
        <v>190</v>
      </c>
      <c r="GU592" s="319" t="s">
        <v>190</v>
      </c>
      <c r="GV592" s="319" t="s">
        <v>428</v>
      </c>
      <c r="GW592" s="319" t="s">
        <v>190</v>
      </c>
      <c r="GX592" s="319" t="s">
        <v>190</v>
      </c>
      <c r="GY592" s="319" t="s">
        <v>190</v>
      </c>
      <c r="GZ592" s="319" t="s">
        <v>190</v>
      </c>
      <c r="HA592" s="319" t="s">
        <v>190</v>
      </c>
      <c r="HB592" s="319" t="s">
        <v>190</v>
      </c>
      <c r="HC592" s="319" t="s">
        <v>190</v>
      </c>
      <c r="HD592" s="319" t="s">
        <v>190</v>
      </c>
      <c r="HE592" s="319" t="s">
        <v>190</v>
      </c>
      <c r="HF592" s="319" t="s">
        <v>190</v>
      </c>
      <c r="HG592" s="319" t="s">
        <v>190</v>
      </c>
      <c r="HH592" s="319" t="s">
        <v>190</v>
      </c>
      <c r="HI592" s="319" t="s">
        <v>428</v>
      </c>
      <c r="HJ592" s="319" t="s">
        <v>190</v>
      </c>
      <c r="HK592" s="319" t="s">
        <v>190</v>
      </c>
      <c r="HL592" s="319" t="s">
        <v>190</v>
      </c>
      <c r="HM592" s="319" t="s">
        <v>428</v>
      </c>
      <c r="HN592" s="319" t="s">
        <v>428</v>
      </c>
      <c r="HO592" s="319" t="s">
        <v>428</v>
      </c>
      <c r="HP592" s="319" t="s">
        <v>190</v>
      </c>
      <c r="HQ592" s="319" t="s">
        <v>190</v>
      </c>
      <c r="HR592" s="319" t="s">
        <v>190</v>
      </c>
      <c r="HS592" s="319" t="s">
        <v>190</v>
      </c>
      <c r="HT592" s="319" t="s">
        <v>190</v>
      </c>
      <c r="HU592" s="319" t="s">
        <v>190</v>
      </c>
      <c r="HV592" s="319" t="s">
        <v>190</v>
      </c>
      <c r="HW592" s="319" t="s">
        <v>190</v>
      </c>
      <c r="HX592" s="319" t="s">
        <v>190</v>
      </c>
      <c r="HY592" s="319" t="s">
        <v>190</v>
      </c>
      <c r="HZ592" s="319" t="s">
        <v>190</v>
      </c>
      <c r="IA592" s="319" t="s">
        <v>190</v>
      </c>
      <c r="IB592" s="319" t="s">
        <v>190</v>
      </c>
      <c r="IC592" s="319" t="s">
        <v>190</v>
      </c>
      <c r="ID592" s="319" t="s">
        <v>190</v>
      </c>
      <c r="IE592" s="319" t="s">
        <v>190</v>
      </c>
      <c r="IF592" s="319" t="s">
        <v>190</v>
      </c>
      <c r="IG592" s="319" t="s">
        <v>190</v>
      </c>
      <c r="IH592" s="319" t="s">
        <v>190</v>
      </c>
      <c r="II592" s="319" t="s">
        <v>190</v>
      </c>
      <c r="IJ592" s="319">
        <v>10033919</v>
      </c>
      <c r="IK592" s="321">
        <v>42823</v>
      </c>
      <c r="IL592" s="321">
        <v>42825</v>
      </c>
      <c r="IM592" s="321">
        <v>42860</v>
      </c>
      <c r="IN592" s="319">
        <v>2</v>
      </c>
      <c r="IO592" s="319" t="s">
        <v>173</v>
      </c>
      <c r="IP592" s="319" t="s">
        <v>173</v>
      </c>
      <c r="IQ592" s="321" t="s">
        <v>173</v>
      </c>
      <c r="IR592" s="320" t="s">
        <v>173</v>
      </c>
      <c r="IS592" s="322" t="s">
        <v>173</v>
      </c>
      <c r="IT592" s="319" t="s">
        <v>173</v>
      </c>
    </row>
    <row r="593" spans="1:254" s="271" customFormat="1" x14ac:dyDescent="0.25">
      <c r="A593" s="318" t="str">
        <f>HYPERLINK("http://www.ofsted.gov.uk/inspection-reports/find-inspection-report/provider/ELS/136043 ","Ofsted School Webpage")</f>
        <v>Ofsted School Webpage</v>
      </c>
      <c r="B593" s="319">
        <v>136043</v>
      </c>
      <c r="C593" s="319">
        <v>9376107</v>
      </c>
      <c r="D593" s="319" t="s">
        <v>2024</v>
      </c>
      <c r="E593" s="319" t="s">
        <v>167</v>
      </c>
      <c r="F593" s="319" t="s">
        <v>71</v>
      </c>
      <c r="G593" s="319" t="s">
        <v>72</v>
      </c>
      <c r="H593" s="319" t="s">
        <v>71</v>
      </c>
      <c r="I593" s="319" t="s">
        <v>72</v>
      </c>
      <c r="J593" s="319" t="s">
        <v>424</v>
      </c>
      <c r="K593" s="319" t="s">
        <v>437</v>
      </c>
      <c r="L593" s="319" t="s">
        <v>437</v>
      </c>
      <c r="M593" s="319" t="s">
        <v>438</v>
      </c>
      <c r="N593" s="319" t="s">
        <v>3348</v>
      </c>
      <c r="O593" s="319" t="s">
        <v>2025</v>
      </c>
      <c r="P593" s="319">
        <v>0</v>
      </c>
      <c r="Q593" s="319" t="s">
        <v>2766</v>
      </c>
      <c r="R593" s="320" t="s">
        <v>2026</v>
      </c>
      <c r="S593" s="321">
        <v>41716</v>
      </c>
      <c r="T593" s="321">
        <v>41718</v>
      </c>
      <c r="U593" s="321">
        <v>41738</v>
      </c>
      <c r="V593" s="319" t="s">
        <v>425</v>
      </c>
      <c r="W593" s="319" t="s">
        <v>2767</v>
      </c>
      <c r="X593" s="319">
        <v>2</v>
      </c>
      <c r="Y593" s="319" t="s">
        <v>173</v>
      </c>
      <c r="Z593" s="319" t="s">
        <v>173</v>
      </c>
      <c r="AA593" s="319" t="s">
        <v>173</v>
      </c>
      <c r="AB593" s="319">
        <v>2</v>
      </c>
      <c r="AC593" s="319" t="s">
        <v>173</v>
      </c>
      <c r="AD593" s="319" t="s">
        <v>173</v>
      </c>
      <c r="AE593" s="319" t="s">
        <v>173</v>
      </c>
      <c r="AF593" s="319" t="s">
        <v>173</v>
      </c>
      <c r="AG593" s="319" t="s">
        <v>172</v>
      </c>
      <c r="AH593" s="319" t="s">
        <v>173</v>
      </c>
      <c r="AI593" s="319" t="s">
        <v>173</v>
      </c>
      <c r="AJ593" s="319" t="s">
        <v>173</v>
      </c>
      <c r="AK593" s="319" t="s">
        <v>173</v>
      </c>
      <c r="AL593" s="319" t="s">
        <v>173</v>
      </c>
      <c r="AM593" s="319" t="s">
        <v>173</v>
      </c>
      <c r="AN593" s="319" t="s">
        <v>173</v>
      </c>
      <c r="AO593" s="319" t="s">
        <v>173</v>
      </c>
      <c r="AP593" s="319" t="s">
        <v>173</v>
      </c>
      <c r="AQ593" s="319" t="s">
        <v>173</v>
      </c>
      <c r="AR593" s="319" t="s">
        <v>173</v>
      </c>
      <c r="AS593" s="319" t="s">
        <v>173</v>
      </c>
      <c r="AT593" s="319" t="s">
        <v>173</v>
      </c>
      <c r="AU593" s="319" t="s">
        <v>173</v>
      </c>
      <c r="AV593" s="319" t="s">
        <v>173</v>
      </c>
      <c r="AW593" s="319" t="s">
        <v>173</v>
      </c>
      <c r="AX593" s="319" t="s">
        <v>173</v>
      </c>
      <c r="AY593" s="319" t="s">
        <v>173</v>
      </c>
      <c r="AZ593" s="319" t="s">
        <v>173</v>
      </c>
      <c r="BA593" s="319" t="s">
        <v>173</v>
      </c>
      <c r="BB593" s="319" t="s">
        <v>173</v>
      </c>
      <c r="BC593" s="319" t="s">
        <v>173</v>
      </c>
      <c r="BD593" s="319" t="s">
        <v>173</v>
      </c>
      <c r="BE593" s="319" t="s">
        <v>173</v>
      </c>
      <c r="BF593" s="319" t="s">
        <v>173</v>
      </c>
      <c r="BG593" s="319" t="s">
        <v>173</v>
      </c>
      <c r="BH593" s="319" t="s">
        <v>173</v>
      </c>
      <c r="BI593" s="319" t="s">
        <v>173</v>
      </c>
      <c r="BJ593" s="319" t="s">
        <v>173</v>
      </c>
      <c r="BK593" s="319" t="s">
        <v>173</v>
      </c>
      <c r="BL593" s="319" t="s">
        <v>173</v>
      </c>
      <c r="BM593" s="319" t="s">
        <v>173</v>
      </c>
      <c r="BN593" s="319" t="s">
        <v>173</v>
      </c>
      <c r="BO593" s="319" t="s">
        <v>173</v>
      </c>
      <c r="BP593" s="319" t="s">
        <v>173</v>
      </c>
      <c r="BQ593" s="319" t="s">
        <v>173</v>
      </c>
      <c r="BR593" s="319" t="s">
        <v>173</v>
      </c>
      <c r="BS593" s="319" t="s">
        <v>173</v>
      </c>
      <c r="BT593" s="319" t="s">
        <v>173</v>
      </c>
      <c r="BU593" s="319" t="s">
        <v>173</v>
      </c>
      <c r="BV593" s="319" t="s">
        <v>173</v>
      </c>
      <c r="BW593" s="319" t="s">
        <v>173</v>
      </c>
      <c r="BX593" s="319" t="s">
        <v>173</v>
      </c>
      <c r="BY593" s="319" t="s">
        <v>173</v>
      </c>
      <c r="BZ593" s="319" t="s">
        <v>173</v>
      </c>
      <c r="CA593" s="319" t="s">
        <v>173</v>
      </c>
      <c r="CB593" s="319" t="s">
        <v>173</v>
      </c>
      <c r="CC593" s="319" t="s">
        <v>173</v>
      </c>
      <c r="CD593" s="319" t="s">
        <v>173</v>
      </c>
      <c r="CE593" s="319" t="s">
        <v>173</v>
      </c>
      <c r="CF593" s="319" t="s">
        <v>173</v>
      </c>
      <c r="CG593" s="319" t="s">
        <v>173</v>
      </c>
      <c r="CH593" s="319" t="s">
        <v>173</v>
      </c>
      <c r="CI593" s="319" t="s">
        <v>173</v>
      </c>
      <c r="CJ593" s="319" t="s">
        <v>173</v>
      </c>
      <c r="CK593" s="319" t="s">
        <v>173</v>
      </c>
      <c r="CL593" s="319" t="s">
        <v>173</v>
      </c>
      <c r="CM593" s="319" t="s">
        <v>173</v>
      </c>
      <c r="CN593" s="319" t="s">
        <v>173</v>
      </c>
      <c r="CO593" s="319" t="s">
        <v>173</v>
      </c>
      <c r="CP593" s="319" t="s">
        <v>173</v>
      </c>
      <c r="CQ593" s="319" t="s">
        <v>173</v>
      </c>
      <c r="CR593" s="319" t="s">
        <v>173</v>
      </c>
      <c r="CS593" s="319" t="s">
        <v>173</v>
      </c>
      <c r="CT593" s="319" t="s">
        <v>173</v>
      </c>
      <c r="CU593" s="319" t="s">
        <v>173</v>
      </c>
      <c r="CV593" s="319" t="s">
        <v>173</v>
      </c>
      <c r="CW593" s="319" t="s">
        <v>173</v>
      </c>
      <c r="CX593" s="319" t="s">
        <v>173</v>
      </c>
      <c r="CY593" s="319" t="s">
        <v>173</v>
      </c>
      <c r="CZ593" s="319" t="s">
        <v>173</v>
      </c>
      <c r="DA593" s="319" t="s">
        <v>173</v>
      </c>
      <c r="DB593" s="319" t="s">
        <v>173</v>
      </c>
      <c r="DC593" s="319" t="s">
        <v>173</v>
      </c>
      <c r="DD593" s="319" t="s">
        <v>173</v>
      </c>
      <c r="DE593" s="319" t="s">
        <v>173</v>
      </c>
      <c r="DF593" s="319" t="s">
        <v>173</v>
      </c>
      <c r="DG593" s="319" t="s">
        <v>173</v>
      </c>
      <c r="DH593" s="319" t="s">
        <v>173</v>
      </c>
      <c r="DI593" s="319" t="s">
        <v>173</v>
      </c>
      <c r="DJ593" s="319" t="s">
        <v>173</v>
      </c>
      <c r="DK593" s="319" t="s">
        <v>173</v>
      </c>
      <c r="DL593" s="319" t="s">
        <v>173</v>
      </c>
      <c r="DM593" s="319" t="s">
        <v>173</v>
      </c>
      <c r="DN593" s="319" t="s">
        <v>173</v>
      </c>
      <c r="DO593" s="319" t="s">
        <v>173</v>
      </c>
      <c r="DP593" s="319" t="s">
        <v>173</v>
      </c>
      <c r="DQ593" s="319" t="s">
        <v>173</v>
      </c>
      <c r="DR593" s="319" t="s">
        <v>173</v>
      </c>
      <c r="DS593" s="319" t="s">
        <v>173</v>
      </c>
      <c r="DT593" s="319" t="s">
        <v>173</v>
      </c>
      <c r="DU593" s="319" t="s">
        <v>173</v>
      </c>
      <c r="DV593" s="319" t="s">
        <v>173</v>
      </c>
      <c r="DW593" s="319" t="s">
        <v>173</v>
      </c>
      <c r="DX593" s="319" t="s">
        <v>173</v>
      </c>
      <c r="DY593" s="319" t="s">
        <v>173</v>
      </c>
      <c r="DZ593" s="319" t="s">
        <v>173</v>
      </c>
      <c r="EA593" s="319" t="s">
        <v>173</v>
      </c>
      <c r="EB593" s="319" t="s">
        <v>173</v>
      </c>
      <c r="EC593" s="319" t="s">
        <v>173</v>
      </c>
      <c r="ED593" s="319" t="s">
        <v>173</v>
      </c>
      <c r="EE593" s="319" t="s">
        <v>173</v>
      </c>
      <c r="EF593" s="319" t="s">
        <v>173</v>
      </c>
      <c r="EG593" s="319" t="s">
        <v>173</v>
      </c>
      <c r="EH593" s="319" t="s">
        <v>173</v>
      </c>
      <c r="EI593" s="319" t="s">
        <v>173</v>
      </c>
      <c r="EJ593" s="319" t="s">
        <v>173</v>
      </c>
      <c r="EK593" s="319" t="s">
        <v>173</v>
      </c>
      <c r="EL593" s="319" t="s">
        <v>173</v>
      </c>
      <c r="EM593" s="319" t="s">
        <v>173</v>
      </c>
      <c r="EN593" s="319" t="s">
        <v>173</v>
      </c>
      <c r="EO593" s="319" t="s">
        <v>173</v>
      </c>
      <c r="EP593" s="319" t="s">
        <v>173</v>
      </c>
      <c r="EQ593" s="319" t="s">
        <v>173</v>
      </c>
      <c r="ER593" s="319" t="s">
        <v>173</v>
      </c>
      <c r="ES593" s="319" t="s">
        <v>173</v>
      </c>
      <c r="ET593" s="319" t="s">
        <v>173</v>
      </c>
      <c r="EU593" s="319" t="s">
        <v>173</v>
      </c>
      <c r="EV593" s="319" t="s">
        <v>173</v>
      </c>
      <c r="EW593" s="319" t="s">
        <v>173</v>
      </c>
      <c r="EX593" s="319" t="s">
        <v>173</v>
      </c>
      <c r="EY593" s="319" t="s">
        <v>173</v>
      </c>
      <c r="EZ593" s="319" t="s">
        <v>173</v>
      </c>
      <c r="FA593" s="319" t="s">
        <v>173</v>
      </c>
      <c r="FB593" s="319" t="s">
        <v>173</v>
      </c>
      <c r="FC593" s="319" t="s">
        <v>173</v>
      </c>
      <c r="FD593" s="319" t="s">
        <v>173</v>
      </c>
      <c r="FE593" s="319" t="s">
        <v>173</v>
      </c>
      <c r="FF593" s="319" t="s">
        <v>173</v>
      </c>
      <c r="FG593" s="319" t="s">
        <v>173</v>
      </c>
      <c r="FH593" s="319" t="s">
        <v>173</v>
      </c>
      <c r="FI593" s="319" t="s">
        <v>173</v>
      </c>
      <c r="FJ593" s="319" t="s">
        <v>173</v>
      </c>
      <c r="FK593" s="319" t="s">
        <v>173</v>
      </c>
      <c r="FL593" s="319" t="s">
        <v>173</v>
      </c>
      <c r="FM593" s="319" t="s">
        <v>173</v>
      </c>
      <c r="FN593" s="319" t="s">
        <v>173</v>
      </c>
      <c r="FO593" s="319" t="s">
        <v>173</v>
      </c>
      <c r="FP593" s="319" t="s">
        <v>173</v>
      </c>
      <c r="FQ593" s="319" t="s">
        <v>173</v>
      </c>
      <c r="FR593" s="319" t="s">
        <v>173</v>
      </c>
      <c r="FS593" s="319" t="s">
        <v>173</v>
      </c>
      <c r="FT593" s="319" t="s">
        <v>173</v>
      </c>
      <c r="FU593" s="319" t="s">
        <v>173</v>
      </c>
      <c r="FV593" s="319" t="s">
        <v>173</v>
      </c>
      <c r="FW593" s="319" t="s">
        <v>173</v>
      </c>
      <c r="FX593" s="319" t="s">
        <v>173</v>
      </c>
      <c r="FY593" s="319" t="s">
        <v>173</v>
      </c>
      <c r="FZ593" s="319" t="s">
        <v>173</v>
      </c>
      <c r="GA593" s="319" t="s">
        <v>173</v>
      </c>
      <c r="GB593" s="319" t="s">
        <v>173</v>
      </c>
      <c r="GC593" s="319" t="s">
        <v>173</v>
      </c>
      <c r="GD593" s="319" t="s">
        <v>173</v>
      </c>
      <c r="GE593" s="319" t="s">
        <v>173</v>
      </c>
      <c r="GF593" s="319" t="s">
        <v>173</v>
      </c>
      <c r="GG593" s="319" t="s">
        <v>173</v>
      </c>
      <c r="GH593" s="319" t="s">
        <v>173</v>
      </c>
      <c r="GI593" s="319" t="s">
        <v>173</v>
      </c>
      <c r="GJ593" s="319" t="s">
        <v>173</v>
      </c>
      <c r="GK593" s="319" t="s">
        <v>173</v>
      </c>
      <c r="GL593" s="319" t="s">
        <v>173</v>
      </c>
      <c r="GM593" s="319" t="s">
        <v>173</v>
      </c>
      <c r="GN593" s="319" t="s">
        <v>173</v>
      </c>
      <c r="GO593" s="319" t="s">
        <v>173</v>
      </c>
      <c r="GP593" s="319" t="s">
        <v>173</v>
      </c>
      <c r="GQ593" s="319" t="s">
        <v>173</v>
      </c>
      <c r="GR593" s="319" t="s">
        <v>173</v>
      </c>
      <c r="GS593" s="319" t="s">
        <v>173</v>
      </c>
      <c r="GT593" s="319" t="s">
        <v>173</v>
      </c>
      <c r="GU593" s="319" t="s">
        <v>173</v>
      </c>
      <c r="GV593" s="319" t="s">
        <v>173</v>
      </c>
      <c r="GW593" s="319" t="s">
        <v>173</v>
      </c>
      <c r="GX593" s="319" t="s">
        <v>173</v>
      </c>
      <c r="GY593" s="319" t="s">
        <v>173</v>
      </c>
      <c r="GZ593" s="319" t="s">
        <v>173</v>
      </c>
      <c r="HA593" s="319" t="s">
        <v>173</v>
      </c>
      <c r="HB593" s="319" t="s">
        <v>173</v>
      </c>
      <c r="HC593" s="319" t="s">
        <v>173</v>
      </c>
      <c r="HD593" s="319" t="s">
        <v>173</v>
      </c>
      <c r="HE593" s="319" t="s">
        <v>173</v>
      </c>
      <c r="HF593" s="319" t="s">
        <v>173</v>
      </c>
      <c r="HG593" s="319" t="s">
        <v>173</v>
      </c>
      <c r="HH593" s="319" t="s">
        <v>173</v>
      </c>
      <c r="HI593" s="319" t="s">
        <v>173</v>
      </c>
      <c r="HJ593" s="319" t="s">
        <v>173</v>
      </c>
      <c r="HK593" s="319" t="s">
        <v>173</v>
      </c>
      <c r="HL593" s="319" t="s">
        <v>173</v>
      </c>
      <c r="HM593" s="319" t="s">
        <v>173</v>
      </c>
      <c r="HN593" s="319" t="s">
        <v>173</v>
      </c>
      <c r="HO593" s="319" t="s">
        <v>173</v>
      </c>
      <c r="HP593" s="319" t="s">
        <v>173</v>
      </c>
      <c r="HQ593" s="319" t="s">
        <v>173</v>
      </c>
      <c r="HR593" s="319" t="s">
        <v>173</v>
      </c>
      <c r="HS593" s="319" t="s">
        <v>173</v>
      </c>
      <c r="HT593" s="319" t="s">
        <v>173</v>
      </c>
      <c r="HU593" s="319" t="s">
        <v>173</v>
      </c>
      <c r="HV593" s="319" t="s">
        <v>173</v>
      </c>
      <c r="HW593" s="319" t="s">
        <v>173</v>
      </c>
      <c r="HX593" s="319" t="s">
        <v>173</v>
      </c>
      <c r="HY593" s="319" t="s">
        <v>173</v>
      </c>
      <c r="HZ593" s="319" t="s">
        <v>173</v>
      </c>
      <c r="IA593" s="319" t="s">
        <v>173</v>
      </c>
      <c r="IB593" s="319" t="s">
        <v>173</v>
      </c>
      <c r="IC593" s="319" t="s">
        <v>173</v>
      </c>
      <c r="ID593" s="319" t="s">
        <v>173</v>
      </c>
      <c r="IE593" s="319" t="s">
        <v>173</v>
      </c>
      <c r="IF593" s="319" t="s">
        <v>173</v>
      </c>
      <c r="IG593" s="319" t="s">
        <v>173</v>
      </c>
      <c r="IH593" s="319" t="s">
        <v>173</v>
      </c>
      <c r="II593" s="319" t="s">
        <v>173</v>
      </c>
      <c r="IJ593" s="319" t="s">
        <v>3349</v>
      </c>
      <c r="IK593" s="321">
        <v>40575</v>
      </c>
      <c r="IL593" s="321">
        <v>40576</v>
      </c>
      <c r="IM593" s="321">
        <v>40605</v>
      </c>
      <c r="IN593" s="319">
        <v>3</v>
      </c>
      <c r="IO593" s="319" t="s">
        <v>173</v>
      </c>
      <c r="IP593" s="319" t="s">
        <v>173</v>
      </c>
      <c r="IQ593" s="321" t="s">
        <v>173</v>
      </c>
      <c r="IR593" s="320" t="s">
        <v>173</v>
      </c>
      <c r="IS593" s="322" t="s">
        <v>173</v>
      </c>
      <c r="IT593" s="319" t="s">
        <v>173</v>
      </c>
    </row>
    <row r="594" spans="1:254" s="271" customFormat="1" x14ac:dyDescent="0.25">
      <c r="A594" s="318" t="str">
        <f>HYPERLINK("http://www.ofsted.gov.uk/inspection-reports/find-inspection-report/provider/ELS/136046 ","Ofsted School Webpage")</f>
        <v>Ofsted School Webpage</v>
      </c>
      <c r="B594" s="319">
        <v>136046</v>
      </c>
      <c r="C594" s="319">
        <v>3126082</v>
      </c>
      <c r="D594" s="319" t="s">
        <v>2027</v>
      </c>
      <c r="E594" s="319" t="s">
        <v>167</v>
      </c>
      <c r="F594" s="319" t="s">
        <v>71</v>
      </c>
      <c r="G594" s="319" t="s">
        <v>72</v>
      </c>
      <c r="H594" s="319" t="s">
        <v>71</v>
      </c>
      <c r="I594" s="319" t="s">
        <v>72</v>
      </c>
      <c r="J594" s="319" t="s">
        <v>424</v>
      </c>
      <c r="K594" s="319" t="s">
        <v>441</v>
      </c>
      <c r="L594" s="319" t="s">
        <v>441</v>
      </c>
      <c r="M594" s="319" t="s">
        <v>1036</v>
      </c>
      <c r="N594" s="319" t="s">
        <v>3208</v>
      </c>
      <c r="O594" s="319" t="s">
        <v>2028</v>
      </c>
      <c r="P594" s="319">
        <v>55</v>
      </c>
      <c r="Q594" s="319" t="s">
        <v>2766</v>
      </c>
      <c r="R594" s="320">
        <v>10092507</v>
      </c>
      <c r="S594" s="321">
        <v>43641</v>
      </c>
      <c r="T594" s="321">
        <v>43643</v>
      </c>
      <c r="U594" s="321">
        <v>43667</v>
      </c>
      <c r="V594" s="319" t="s">
        <v>425</v>
      </c>
      <c r="W594" s="319" t="s">
        <v>2767</v>
      </c>
      <c r="X594" s="319">
        <v>2</v>
      </c>
      <c r="Y594" s="319" t="s">
        <v>173</v>
      </c>
      <c r="Z594" s="319" t="s">
        <v>173</v>
      </c>
      <c r="AA594" s="319" t="s">
        <v>173</v>
      </c>
      <c r="AB594" s="319">
        <v>2</v>
      </c>
      <c r="AC594" s="319" t="s">
        <v>169</v>
      </c>
      <c r="AD594" s="319" t="s">
        <v>173</v>
      </c>
      <c r="AE594" s="319" t="s">
        <v>173</v>
      </c>
      <c r="AF594" s="319" t="s">
        <v>427</v>
      </c>
      <c r="AG594" s="319" t="s">
        <v>171</v>
      </c>
      <c r="AH594" s="319" t="s">
        <v>190</v>
      </c>
      <c r="AI594" s="319" t="s">
        <v>190</v>
      </c>
      <c r="AJ594" s="319" t="s">
        <v>190</v>
      </c>
      <c r="AK594" s="319" t="s">
        <v>190</v>
      </c>
      <c r="AL594" s="319" t="s">
        <v>190</v>
      </c>
      <c r="AM594" s="319" t="s">
        <v>190</v>
      </c>
      <c r="AN594" s="319" t="s">
        <v>190</v>
      </c>
      <c r="AO594" s="319" t="s">
        <v>190</v>
      </c>
      <c r="AP594" s="319" t="s">
        <v>190</v>
      </c>
      <c r="AQ594" s="319" t="s">
        <v>190</v>
      </c>
      <c r="AR594" s="319" t="s">
        <v>190</v>
      </c>
      <c r="AS594" s="319" t="s">
        <v>190</v>
      </c>
      <c r="AT594" s="319" t="s">
        <v>190</v>
      </c>
      <c r="AU594" s="319" t="s">
        <v>190</v>
      </c>
      <c r="AV594" s="319" t="s">
        <v>190</v>
      </c>
      <c r="AW594" s="319" t="s">
        <v>190</v>
      </c>
      <c r="AX594" s="319" t="s">
        <v>428</v>
      </c>
      <c r="AY594" s="319" t="s">
        <v>190</v>
      </c>
      <c r="AZ594" s="319" t="s">
        <v>190</v>
      </c>
      <c r="BA594" s="319" t="s">
        <v>190</v>
      </c>
      <c r="BB594" s="319" t="s">
        <v>190</v>
      </c>
      <c r="BC594" s="319" t="s">
        <v>190</v>
      </c>
      <c r="BD594" s="319" t="s">
        <v>190</v>
      </c>
      <c r="BE594" s="319" t="s">
        <v>190</v>
      </c>
      <c r="BF594" s="319" t="s">
        <v>428</v>
      </c>
      <c r="BG594" s="319" t="s">
        <v>428</v>
      </c>
      <c r="BH594" s="319" t="s">
        <v>190</v>
      </c>
      <c r="BI594" s="319" t="s">
        <v>190</v>
      </c>
      <c r="BJ594" s="319" t="s">
        <v>190</v>
      </c>
      <c r="BK594" s="319" t="s">
        <v>190</v>
      </c>
      <c r="BL594" s="319" t="s">
        <v>190</v>
      </c>
      <c r="BM594" s="319" t="s">
        <v>190</v>
      </c>
      <c r="BN594" s="319" t="s">
        <v>190</v>
      </c>
      <c r="BO594" s="319" t="s">
        <v>190</v>
      </c>
      <c r="BP594" s="319" t="s">
        <v>190</v>
      </c>
      <c r="BQ594" s="319" t="s">
        <v>190</v>
      </c>
      <c r="BR594" s="319" t="s">
        <v>190</v>
      </c>
      <c r="BS594" s="319" t="s">
        <v>190</v>
      </c>
      <c r="BT594" s="319" t="s">
        <v>190</v>
      </c>
      <c r="BU594" s="319" t="s">
        <v>190</v>
      </c>
      <c r="BV594" s="319" t="s">
        <v>190</v>
      </c>
      <c r="BW594" s="319" t="s">
        <v>190</v>
      </c>
      <c r="BX594" s="319" t="s">
        <v>190</v>
      </c>
      <c r="BY594" s="319" t="s">
        <v>190</v>
      </c>
      <c r="BZ594" s="319" t="s">
        <v>190</v>
      </c>
      <c r="CA594" s="319" t="s">
        <v>190</v>
      </c>
      <c r="CB594" s="319" t="s">
        <v>190</v>
      </c>
      <c r="CC594" s="319" t="s">
        <v>190</v>
      </c>
      <c r="CD594" s="319" t="s">
        <v>190</v>
      </c>
      <c r="CE594" s="319" t="s">
        <v>190</v>
      </c>
      <c r="CF594" s="319" t="s">
        <v>190</v>
      </c>
      <c r="CG594" s="319" t="s">
        <v>190</v>
      </c>
      <c r="CH594" s="319" t="s">
        <v>190</v>
      </c>
      <c r="CI594" s="319" t="s">
        <v>190</v>
      </c>
      <c r="CJ594" s="319" t="s">
        <v>190</v>
      </c>
      <c r="CK594" s="319" t="s">
        <v>190</v>
      </c>
      <c r="CL594" s="319" t="s">
        <v>190</v>
      </c>
      <c r="CM594" s="319" t="s">
        <v>190</v>
      </c>
      <c r="CN594" s="319" t="s">
        <v>428</v>
      </c>
      <c r="CO594" s="319" t="s">
        <v>428</v>
      </c>
      <c r="CP594" s="319" t="s">
        <v>428</v>
      </c>
      <c r="CQ594" s="319" t="s">
        <v>190</v>
      </c>
      <c r="CR594" s="319" t="s">
        <v>190</v>
      </c>
      <c r="CS594" s="319" t="s">
        <v>190</v>
      </c>
      <c r="CT594" s="319" t="s">
        <v>190</v>
      </c>
      <c r="CU594" s="319" t="s">
        <v>190</v>
      </c>
      <c r="CV594" s="319" t="s">
        <v>190</v>
      </c>
      <c r="CW594" s="319" t="s">
        <v>190</v>
      </c>
      <c r="CX594" s="319" t="s">
        <v>190</v>
      </c>
      <c r="CY594" s="319" t="s">
        <v>190</v>
      </c>
      <c r="CZ594" s="319" t="s">
        <v>190</v>
      </c>
      <c r="DA594" s="319" t="s">
        <v>190</v>
      </c>
      <c r="DB594" s="319" t="s">
        <v>190</v>
      </c>
      <c r="DC594" s="319" t="s">
        <v>190</v>
      </c>
      <c r="DD594" s="319" t="s">
        <v>190</v>
      </c>
      <c r="DE594" s="319" t="s">
        <v>190</v>
      </c>
      <c r="DF594" s="319" t="s">
        <v>190</v>
      </c>
      <c r="DG594" s="319" t="s">
        <v>190</v>
      </c>
      <c r="DH594" s="319" t="s">
        <v>190</v>
      </c>
      <c r="DI594" s="319" t="s">
        <v>190</v>
      </c>
      <c r="DJ594" s="319" t="s">
        <v>190</v>
      </c>
      <c r="DK594" s="319" t="s">
        <v>190</v>
      </c>
      <c r="DL594" s="319" t="s">
        <v>190</v>
      </c>
      <c r="DM594" s="319" t="s">
        <v>190</v>
      </c>
      <c r="DN594" s="319" t="s">
        <v>428</v>
      </c>
      <c r="DO594" s="319" t="s">
        <v>190</v>
      </c>
      <c r="DP594" s="319" t="s">
        <v>190</v>
      </c>
      <c r="DQ594" s="319" t="s">
        <v>190</v>
      </c>
      <c r="DR594" s="319" t="s">
        <v>190</v>
      </c>
      <c r="DS594" s="319" t="s">
        <v>190</v>
      </c>
      <c r="DT594" s="319" t="s">
        <v>190</v>
      </c>
      <c r="DU594" s="319" t="s">
        <v>190</v>
      </c>
      <c r="DV594" s="319" t="s">
        <v>173</v>
      </c>
      <c r="DW594" s="319" t="s">
        <v>190</v>
      </c>
      <c r="DX594" s="319" t="s">
        <v>190</v>
      </c>
      <c r="DY594" s="319" t="s">
        <v>190</v>
      </c>
      <c r="DZ594" s="319" t="s">
        <v>190</v>
      </c>
      <c r="EA594" s="319" t="s">
        <v>190</v>
      </c>
      <c r="EB594" s="319" t="s">
        <v>190</v>
      </c>
      <c r="EC594" s="319" t="s">
        <v>428</v>
      </c>
      <c r="ED594" s="319" t="s">
        <v>190</v>
      </c>
      <c r="EE594" s="319" t="s">
        <v>190</v>
      </c>
      <c r="EF594" s="319" t="s">
        <v>190</v>
      </c>
      <c r="EG594" s="319" t="s">
        <v>190</v>
      </c>
      <c r="EH594" s="319" t="s">
        <v>190</v>
      </c>
      <c r="EI594" s="319" t="s">
        <v>190</v>
      </c>
      <c r="EJ594" s="319" t="s">
        <v>190</v>
      </c>
      <c r="EK594" s="319" t="s">
        <v>190</v>
      </c>
      <c r="EL594" s="319" t="s">
        <v>190</v>
      </c>
      <c r="EM594" s="319" t="s">
        <v>190</v>
      </c>
      <c r="EN594" s="319" t="s">
        <v>190</v>
      </c>
      <c r="EO594" s="319" t="s">
        <v>190</v>
      </c>
      <c r="EP594" s="319" t="s">
        <v>190</v>
      </c>
      <c r="EQ594" s="319" t="s">
        <v>190</v>
      </c>
      <c r="ER594" s="319" t="s">
        <v>190</v>
      </c>
      <c r="ES594" s="319" t="s">
        <v>190</v>
      </c>
      <c r="ET594" s="319" t="s">
        <v>190</v>
      </c>
      <c r="EU594" s="319" t="s">
        <v>190</v>
      </c>
      <c r="EV594" s="319" t="s">
        <v>190</v>
      </c>
      <c r="EW594" s="319" t="s">
        <v>190</v>
      </c>
      <c r="EX594" s="319" t="s">
        <v>190</v>
      </c>
      <c r="EY594" s="319" t="s">
        <v>190</v>
      </c>
      <c r="EZ594" s="319" t="s">
        <v>190</v>
      </c>
      <c r="FA594" s="319" t="s">
        <v>190</v>
      </c>
      <c r="FB594" s="319" t="s">
        <v>190</v>
      </c>
      <c r="FC594" s="319" t="s">
        <v>190</v>
      </c>
      <c r="FD594" s="319" t="s">
        <v>190</v>
      </c>
      <c r="FE594" s="319" t="s">
        <v>190</v>
      </c>
      <c r="FF594" s="319" t="s">
        <v>190</v>
      </c>
      <c r="FG594" s="319" t="s">
        <v>190</v>
      </c>
      <c r="FH594" s="319" t="s">
        <v>190</v>
      </c>
      <c r="FI594" s="319" t="s">
        <v>190</v>
      </c>
      <c r="FJ594" s="319" t="s">
        <v>190</v>
      </c>
      <c r="FK594" s="319" t="s">
        <v>190</v>
      </c>
      <c r="FL594" s="319" t="s">
        <v>190</v>
      </c>
      <c r="FM594" s="319" t="s">
        <v>190</v>
      </c>
      <c r="FN594" s="319" t="s">
        <v>190</v>
      </c>
      <c r="FO594" s="319" t="s">
        <v>190</v>
      </c>
      <c r="FP594" s="319" t="s">
        <v>190</v>
      </c>
      <c r="FQ594" s="319" t="s">
        <v>190</v>
      </c>
      <c r="FR594" s="319" t="s">
        <v>190</v>
      </c>
      <c r="FS594" s="319" t="s">
        <v>428</v>
      </c>
      <c r="FT594" s="319" t="s">
        <v>190</v>
      </c>
      <c r="FU594" s="319" t="s">
        <v>190</v>
      </c>
      <c r="FV594" s="319" t="s">
        <v>190</v>
      </c>
      <c r="FW594" s="319" t="s">
        <v>190</v>
      </c>
      <c r="FX594" s="319" t="s">
        <v>190</v>
      </c>
      <c r="FY594" s="319" t="s">
        <v>190</v>
      </c>
      <c r="FZ594" s="319" t="s">
        <v>190</v>
      </c>
      <c r="GA594" s="319" t="s">
        <v>190</v>
      </c>
      <c r="GB594" s="319" t="s">
        <v>190</v>
      </c>
      <c r="GC594" s="319" t="s">
        <v>190</v>
      </c>
      <c r="GD594" s="319" t="s">
        <v>190</v>
      </c>
      <c r="GE594" s="319" t="s">
        <v>190</v>
      </c>
      <c r="GF594" s="319" t="s">
        <v>190</v>
      </c>
      <c r="GG594" s="319" t="s">
        <v>190</v>
      </c>
      <c r="GH594" s="319" t="s">
        <v>190</v>
      </c>
      <c r="GI594" s="319" t="s">
        <v>190</v>
      </c>
      <c r="GJ594" s="319" t="s">
        <v>190</v>
      </c>
      <c r="GK594" s="319" t="s">
        <v>428</v>
      </c>
      <c r="GL594" s="319" t="s">
        <v>190</v>
      </c>
      <c r="GM594" s="319" t="s">
        <v>190</v>
      </c>
      <c r="GN594" s="319" t="s">
        <v>190</v>
      </c>
      <c r="GO594" s="319" t="s">
        <v>190</v>
      </c>
      <c r="GP594" s="319" t="s">
        <v>190</v>
      </c>
      <c r="GQ594" s="319" t="s">
        <v>428</v>
      </c>
      <c r="GR594" s="319" t="s">
        <v>190</v>
      </c>
      <c r="GS594" s="319" t="s">
        <v>190</v>
      </c>
      <c r="GT594" s="319" t="s">
        <v>190</v>
      </c>
      <c r="GU594" s="319" t="s">
        <v>190</v>
      </c>
      <c r="GV594" s="319" t="s">
        <v>190</v>
      </c>
      <c r="GW594" s="319" t="s">
        <v>190</v>
      </c>
      <c r="GX594" s="319" t="s">
        <v>190</v>
      </c>
      <c r="GY594" s="319" t="s">
        <v>190</v>
      </c>
      <c r="GZ594" s="319" t="s">
        <v>190</v>
      </c>
      <c r="HA594" s="319" t="s">
        <v>190</v>
      </c>
      <c r="HB594" s="319" t="s">
        <v>190</v>
      </c>
      <c r="HC594" s="319" t="s">
        <v>190</v>
      </c>
      <c r="HD594" s="319" t="s">
        <v>190</v>
      </c>
      <c r="HE594" s="319" t="s">
        <v>190</v>
      </c>
      <c r="HF594" s="319" t="s">
        <v>190</v>
      </c>
      <c r="HG594" s="319" t="s">
        <v>190</v>
      </c>
      <c r="HH594" s="319" t="s">
        <v>190</v>
      </c>
      <c r="HI594" s="319" t="s">
        <v>190</v>
      </c>
      <c r="HJ594" s="319" t="s">
        <v>190</v>
      </c>
      <c r="HK594" s="319" t="s">
        <v>190</v>
      </c>
      <c r="HL594" s="319" t="s">
        <v>190</v>
      </c>
      <c r="HM594" s="319" t="s">
        <v>190</v>
      </c>
      <c r="HN594" s="319" t="s">
        <v>190</v>
      </c>
      <c r="HO594" s="319" t="s">
        <v>190</v>
      </c>
      <c r="HP594" s="319" t="s">
        <v>190</v>
      </c>
      <c r="HQ594" s="319" t="s">
        <v>190</v>
      </c>
      <c r="HR594" s="319" t="s">
        <v>190</v>
      </c>
      <c r="HS594" s="319" t="s">
        <v>190</v>
      </c>
      <c r="HT594" s="319" t="s">
        <v>190</v>
      </c>
      <c r="HU594" s="319" t="s">
        <v>190</v>
      </c>
      <c r="HV594" s="319" t="s">
        <v>190</v>
      </c>
      <c r="HW594" s="319" t="s">
        <v>190</v>
      </c>
      <c r="HX594" s="319" t="s">
        <v>190</v>
      </c>
      <c r="HY594" s="319" t="s">
        <v>190</v>
      </c>
      <c r="HZ594" s="319" t="s">
        <v>190</v>
      </c>
      <c r="IA594" s="319" t="s">
        <v>190</v>
      </c>
      <c r="IB594" s="319" t="s">
        <v>190</v>
      </c>
      <c r="IC594" s="319" t="s">
        <v>190</v>
      </c>
      <c r="ID594" s="319" t="s">
        <v>190</v>
      </c>
      <c r="IE594" s="319" t="s">
        <v>190</v>
      </c>
      <c r="IF594" s="319" t="s">
        <v>190</v>
      </c>
      <c r="IG594" s="319" t="s">
        <v>190</v>
      </c>
      <c r="IH594" s="319" t="s">
        <v>190</v>
      </c>
      <c r="II594" s="319" t="s">
        <v>190</v>
      </c>
      <c r="IJ594" s="319">
        <v>10017799</v>
      </c>
      <c r="IK594" s="321">
        <v>42675</v>
      </c>
      <c r="IL594" s="321">
        <v>42677</v>
      </c>
      <c r="IM594" s="321">
        <v>42706</v>
      </c>
      <c r="IN594" s="319">
        <v>2</v>
      </c>
      <c r="IO594" s="319" t="s">
        <v>173</v>
      </c>
      <c r="IP594" s="319" t="s">
        <v>173</v>
      </c>
      <c r="IQ594" s="321" t="s">
        <v>173</v>
      </c>
      <c r="IR594" s="320" t="s">
        <v>173</v>
      </c>
      <c r="IS594" s="322" t="s">
        <v>173</v>
      </c>
      <c r="IT594" s="319" t="s">
        <v>173</v>
      </c>
    </row>
    <row r="595" spans="1:254" s="271" customFormat="1" x14ac:dyDescent="0.25">
      <c r="A595" s="318" t="str">
        <f>HYPERLINK("http://www.ofsted.gov.uk/inspection-reports/find-inspection-report/provider/ELS/136047 ","Ofsted School Webpage")</f>
        <v>Ofsted School Webpage</v>
      </c>
      <c r="B595" s="319">
        <v>136047</v>
      </c>
      <c r="C595" s="319">
        <v>8736048</v>
      </c>
      <c r="D595" s="319" t="s">
        <v>2029</v>
      </c>
      <c r="E595" s="319" t="s">
        <v>168</v>
      </c>
      <c r="F595" s="319" t="s">
        <v>81</v>
      </c>
      <c r="G595" s="319" t="s">
        <v>81</v>
      </c>
      <c r="H595" s="319" t="s">
        <v>81</v>
      </c>
      <c r="I595" s="319" t="s">
        <v>78</v>
      </c>
      <c r="J595" s="319" t="s">
        <v>424</v>
      </c>
      <c r="K595" s="319" t="s">
        <v>451</v>
      </c>
      <c r="L595" s="319" t="s">
        <v>451</v>
      </c>
      <c r="M595" s="319" t="s">
        <v>772</v>
      </c>
      <c r="N595" s="319" t="s">
        <v>2893</v>
      </c>
      <c r="O595" s="319" t="s">
        <v>2030</v>
      </c>
      <c r="P595" s="319">
        <v>105</v>
      </c>
      <c r="Q595" s="319" t="s">
        <v>429</v>
      </c>
      <c r="R595" s="320">
        <v>10020939</v>
      </c>
      <c r="S595" s="321">
        <v>42788</v>
      </c>
      <c r="T595" s="321">
        <v>42790</v>
      </c>
      <c r="U595" s="321">
        <v>42850</v>
      </c>
      <c r="V595" s="319" t="s">
        <v>554</v>
      </c>
      <c r="W595" s="319" t="s">
        <v>2767</v>
      </c>
      <c r="X595" s="319">
        <v>2</v>
      </c>
      <c r="Y595" s="319" t="s">
        <v>173</v>
      </c>
      <c r="Z595" s="319" t="s">
        <v>173</v>
      </c>
      <c r="AA595" s="319" t="s">
        <v>173</v>
      </c>
      <c r="AB595" s="319">
        <v>2</v>
      </c>
      <c r="AC595" s="319" t="s">
        <v>169</v>
      </c>
      <c r="AD595" s="319" t="s">
        <v>173</v>
      </c>
      <c r="AE595" s="319">
        <v>2</v>
      </c>
      <c r="AF595" s="319" t="s">
        <v>173</v>
      </c>
      <c r="AG595" s="319" t="s">
        <v>171</v>
      </c>
      <c r="AH595" s="319" t="s">
        <v>190</v>
      </c>
      <c r="AI595" s="319" t="s">
        <v>190</v>
      </c>
      <c r="AJ595" s="319" t="s">
        <v>190</v>
      </c>
      <c r="AK595" s="319" t="s">
        <v>190</v>
      </c>
      <c r="AL595" s="319" t="s">
        <v>190</v>
      </c>
      <c r="AM595" s="319" t="s">
        <v>190</v>
      </c>
      <c r="AN595" s="319" t="s">
        <v>190</v>
      </c>
      <c r="AO595" s="319" t="s">
        <v>190</v>
      </c>
      <c r="AP595" s="319" t="s">
        <v>190</v>
      </c>
      <c r="AQ595" s="319" t="s">
        <v>190</v>
      </c>
      <c r="AR595" s="319" t="s">
        <v>190</v>
      </c>
      <c r="AS595" s="319" t="s">
        <v>190</v>
      </c>
      <c r="AT595" s="319" t="s">
        <v>190</v>
      </c>
      <c r="AU595" s="319" t="s">
        <v>190</v>
      </c>
      <c r="AV595" s="319" t="s">
        <v>190</v>
      </c>
      <c r="AW595" s="319" t="s">
        <v>190</v>
      </c>
      <c r="AX595" s="319" t="s">
        <v>429</v>
      </c>
      <c r="AY595" s="319" t="s">
        <v>190</v>
      </c>
      <c r="AZ595" s="319" t="s">
        <v>190</v>
      </c>
      <c r="BA595" s="319" t="s">
        <v>190</v>
      </c>
      <c r="BB595" s="319" t="s">
        <v>190</v>
      </c>
      <c r="BC595" s="319" t="s">
        <v>190</v>
      </c>
      <c r="BD595" s="319" t="s">
        <v>190</v>
      </c>
      <c r="BE595" s="319" t="s">
        <v>190</v>
      </c>
      <c r="BF595" s="319" t="s">
        <v>429</v>
      </c>
      <c r="BG595" s="319" t="s">
        <v>190</v>
      </c>
      <c r="BH595" s="319" t="s">
        <v>190</v>
      </c>
      <c r="BI595" s="319" t="s">
        <v>190</v>
      </c>
      <c r="BJ595" s="319" t="s">
        <v>190</v>
      </c>
      <c r="BK595" s="319" t="s">
        <v>190</v>
      </c>
      <c r="BL595" s="319" t="s">
        <v>190</v>
      </c>
      <c r="BM595" s="319" t="s">
        <v>190</v>
      </c>
      <c r="BN595" s="319" t="s">
        <v>190</v>
      </c>
      <c r="BO595" s="319" t="s">
        <v>190</v>
      </c>
      <c r="BP595" s="319" t="s">
        <v>190</v>
      </c>
      <c r="BQ595" s="319" t="s">
        <v>190</v>
      </c>
      <c r="BR595" s="319" t="s">
        <v>190</v>
      </c>
      <c r="BS595" s="319" t="s">
        <v>190</v>
      </c>
      <c r="BT595" s="319" t="s">
        <v>190</v>
      </c>
      <c r="BU595" s="319" t="s">
        <v>190</v>
      </c>
      <c r="BV595" s="319" t="s">
        <v>190</v>
      </c>
      <c r="BW595" s="319" t="s">
        <v>190</v>
      </c>
      <c r="BX595" s="319" t="s">
        <v>190</v>
      </c>
      <c r="BY595" s="319" t="s">
        <v>190</v>
      </c>
      <c r="BZ595" s="319" t="s">
        <v>190</v>
      </c>
      <c r="CA595" s="319" t="s">
        <v>190</v>
      </c>
      <c r="CB595" s="319" t="s">
        <v>190</v>
      </c>
      <c r="CC595" s="319" t="s">
        <v>190</v>
      </c>
      <c r="CD595" s="319" t="s">
        <v>190</v>
      </c>
      <c r="CE595" s="319" t="s">
        <v>190</v>
      </c>
      <c r="CF595" s="319" t="s">
        <v>190</v>
      </c>
      <c r="CG595" s="319" t="s">
        <v>190</v>
      </c>
      <c r="CH595" s="319" t="s">
        <v>190</v>
      </c>
      <c r="CI595" s="319" t="s">
        <v>190</v>
      </c>
      <c r="CJ595" s="319" t="s">
        <v>190</v>
      </c>
      <c r="CK595" s="319" t="s">
        <v>190</v>
      </c>
      <c r="CL595" s="319" t="s">
        <v>190</v>
      </c>
      <c r="CM595" s="319" t="s">
        <v>190</v>
      </c>
      <c r="CN595" s="319" t="s">
        <v>190</v>
      </c>
      <c r="CO595" s="319" t="s">
        <v>190</v>
      </c>
      <c r="CP595" s="319" t="s">
        <v>190</v>
      </c>
      <c r="CQ595" s="319" t="s">
        <v>190</v>
      </c>
      <c r="CR595" s="319" t="s">
        <v>190</v>
      </c>
      <c r="CS595" s="319" t="s">
        <v>190</v>
      </c>
      <c r="CT595" s="319" t="s">
        <v>190</v>
      </c>
      <c r="CU595" s="319" t="s">
        <v>190</v>
      </c>
      <c r="CV595" s="319" t="s">
        <v>190</v>
      </c>
      <c r="CW595" s="319" t="s">
        <v>190</v>
      </c>
      <c r="CX595" s="319" t="s">
        <v>190</v>
      </c>
      <c r="CY595" s="319" t="s">
        <v>190</v>
      </c>
      <c r="CZ595" s="319" t="s">
        <v>190</v>
      </c>
      <c r="DA595" s="319" t="s">
        <v>190</v>
      </c>
      <c r="DB595" s="319" t="s">
        <v>190</v>
      </c>
      <c r="DC595" s="319" t="s">
        <v>190</v>
      </c>
      <c r="DD595" s="319" t="s">
        <v>190</v>
      </c>
      <c r="DE595" s="319" t="s">
        <v>190</v>
      </c>
      <c r="DF595" s="319" t="s">
        <v>190</v>
      </c>
      <c r="DG595" s="319" t="s">
        <v>190</v>
      </c>
      <c r="DH595" s="319" t="s">
        <v>190</v>
      </c>
      <c r="DI595" s="319" t="s">
        <v>190</v>
      </c>
      <c r="DJ595" s="319" t="s">
        <v>190</v>
      </c>
      <c r="DK595" s="319" t="s">
        <v>190</v>
      </c>
      <c r="DL595" s="319" t="s">
        <v>190</v>
      </c>
      <c r="DM595" s="319" t="s">
        <v>190</v>
      </c>
      <c r="DN595" s="319" t="s">
        <v>190</v>
      </c>
      <c r="DO595" s="319" t="s">
        <v>190</v>
      </c>
      <c r="DP595" s="319" t="s">
        <v>190</v>
      </c>
      <c r="DQ595" s="319" t="s">
        <v>190</v>
      </c>
      <c r="DR595" s="319" t="s">
        <v>190</v>
      </c>
      <c r="DS595" s="319" t="s">
        <v>190</v>
      </c>
      <c r="DT595" s="319" t="s">
        <v>190</v>
      </c>
      <c r="DU595" s="319" t="s">
        <v>190</v>
      </c>
      <c r="DV595" s="319" t="s">
        <v>173</v>
      </c>
      <c r="DW595" s="319" t="s">
        <v>190</v>
      </c>
      <c r="DX595" s="319" t="s">
        <v>190</v>
      </c>
      <c r="DY595" s="319" t="s">
        <v>190</v>
      </c>
      <c r="DZ595" s="319" t="s">
        <v>190</v>
      </c>
      <c r="EA595" s="319" t="s">
        <v>190</v>
      </c>
      <c r="EB595" s="319" t="s">
        <v>190</v>
      </c>
      <c r="EC595" s="319" t="s">
        <v>190</v>
      </c>
      <c r="ED595" s="319" t="s">
        <v>190</v>
      </c>
      <c r="EE595" s="319" t="s">
        <v>190</v>
      </c>
      <c r="EF595" s="319" t="s">
        <v>190</v>
      </c>
      <c r="EG595" s="319" t="s">
        <v>190</v>
      </c>
      <c r="EH595" s="319" t="s">
        <v>190</v>
      </c>
      <c r="EI595" s="319" t="s">
        <v>190</v>
      </c>
      <c r="EJ595" s="319" t="s">
        <v>190</v>
      </c>
      <c r="EK595" s="319" t="s">
        <v>190</v>
      </c>
      <c r="EL595" s="319" t="s">
        <v>190</v>
      </c>
      <c r="EM595" s="319" t="s">
        <v>190</v>
      </c>
      <c r="EN595" s="319" t="s">
        <v>190</v>
      </c>
      <c r="EO595" s="319" t="s">
        <v>190</v>
      </c>
      <c r="EP595" s="319" t="s">
        <v>190</v>
      </c>
      <c r="EQ595" s="319" t="s">
        <v>190</v>
      </c>
      <c r="ER595" s="319" t="s">
        <v>190</v>
      </c>
      <c r="ES595" s="319" t="s">
        <v>190</v>
      </c>
      <c r="ET595" s="319" t="s">
        <v>190</v>
      </c>
      <c r="EU595" s="319" t="s">
        <v>190</v>
      </c>
      <c r="EV595" s="319" t="s">
        <v>190</v>
      </c>
      <c r="EW595" s="319" t="s">
        <v>190</v>
      </c>
      <c r="EX595" s="319" t="s">
        <v>190</v>
      </c>
      <c r="EY595" s="319" t="s">
        <v>190</v>
      </c>
      <c r="EZ595" s="319" t="s">
        <v>190</v>
      </c>
      <c r="FA595" s="319" t="s">
        <v>190</v>
      </c>
      <c r="FB595" s="319" t="s">
        <v>190</v>
      </c>
      <c r="FC595" s="319" t="s">
        <v>190</v>
      </c>
      <c r="FD595" s="319" t="s">
        <v>190</v>
      </c>
      <c r="FE595" s="319" t="s">
        <v>190</v>
      </c>
      <c r="FF595" s="319" t="s">
        <v>190</v>
      </c>
      <c r="FG595" s="319" t="s">
        <v>190</v>
      </c>
      <c r="FH595" s="319" t="s">
        <v>190</v>
      </c>
      <c r="FI595" s="319" t="s">
        <v>190</v>
      </c>
      <c r="FJ595" s="319" t="s">
        <v>190</v>
      </c>
      <c r="FK595" s="319" t="s">
        <v>190</v>
      </c>
      <c r="FL595" s="319" t="s">
        <v>190</v>
      </c>
      <c r="FM595" s="319" t="s">
        <v>190</v>
      </c>
      <c r="FN595" s="319" t="s">
        <v>190</v>
      </c>
      <c r="FO595" s="319" t="s">
        <v>190</v>
      </c>
      <c r="FP595" s="319" t="s">
        <v>190</v>
      </c>
      <c r="FQ595" s="319" t="s">
        <v>190</v>
      </c>
      <c r="FR595" s="319" t="s">
        <v>190</v>
      </c>
      <c r="FS595" s="319" t="s">
        <v>429</v>
      </c>
      <c r="FT595" s="319" t="s">
        <v>190</v>
      </c>
      <c r="FU595" s="319" t="s">
        <v>190</v>
      </c>
      <c r="FV595" s="319" t="s">
        <v>190</v>
      </c>
      <c r="FW595" s="319" t="s">
        <v>190</v>
      </c>
      <c r="FX595" s="319" t="s">
        <v>190</v>
      </c>
      <c r="FY595" s="319" t="s">
        <v>190</v>
      </c>
      <c r="FZ595" s="319" t="s">
        <v>190</v>
      </c>
      <c r="GA595" s="319" t="s">
        <v>190</v>
      </c>
      <c r="GB595" s="319" t="s">
        <v>190</v>
      </c>
      <c r="GC595" s="319" t="s">
        <v>190</v>
      </c>
      <c r="GD595" s="319" t="s">
        <v>190</v>
      </c>
      <c r="GE595" s="319" t="s">
        <v>190</v>
      </c>
      <c r="GF595" s="319" t="s">
        <v>190</v>
      </c>
      <c r="GG595" s="319" t="s">
        <v>190</v>
      </c>
      <c r="GH595" s="319" t="s">
        <v>190</v>
      </c>
      <c r="GI595" s="319" t="s">
        <v>190</v>
      </c>
      <c r="GJ595" s="319" t="s">
        <v>190</v>
      </c>
      <c r="GK595" s="319" t="s">
        <v>190</v>
      </c>
      <c r="GL595" s="319" t="s">
        <v>190</v>
      </c>
      <c r="GM595" s="319" t="s">
        <v>190</v>
      </c>
      <c r="GN595" s="319" t="s">
        <v>190</v>
      </c>
      <c r="GO595" s="319" t="s">
        <v>190</v>
      </c>
      <c r="GP595" s="319" t="s">
        <v>190</v>
      </c>
      <c r="GQ595" s="319" t="s">
        <v>190</v>
      </c>
      <c r="GR595" s="319" t="s">
        <v>190</v>
      </c>
      <c r="GS595" s="319" t="s">
        <v>190</v>
      </c>
      <c r="GT595" s="319" t="s">
        <v>190</v>
      </c>
      <c r="GU595" s="319" t="s">
        <v>190</v>
      </c>
      <c r="GV595" s="319" t="s">
        <v>429</v>
      </c>
      <c r="GW595" s="319" t="s">
        <v>190</v>
      </c>
      <c r="GX595" s="319" t="s">
        <v>190</v>
      </c>
      <c r="GY595" s="319" t="s">
        <v>190</v>
      </c>
      <c r="GZ595" s="319" t="s">
        <v>429</v>
      </c>
      <c r="HA595" s="319" t="s">
        <v>190</v>
      </c>
      <c r="HB595" s="319" t="s">
        <v>190</v>
      </c>
      <c r="HC595" s="319" t="s">
        <v>190</v>
      </c>
      <c r="HD595" s="319" t="s">
        <v>190</v>
      </c>
      <c r="HE595" s="319" t="s">
        <v>190</v>
      </c>
      <c r="HF595" s="319" t="s">
        <v>190</v>
      </c>
      <c r="HG595" s="319" t="s">
        <v>190</v>
      </c>
      <c r="HH595" s="319" t="s">
        <v>190</v>
      </c>
      <c r="HI595" s="319" t="s">
        <v>190</v>
      </c>
      <c r="HJ595" s="319" t="s">
        <v>190</v>
      </c>
      <c r="HK595" s="319" t="s">
        <v>190</v>
      </c>
      <c r="HL595" s="319" t="s">
        <v>429</v>
      </c>
      <c r="HM595" s="319" t="s">
        <v>429</v>
      </c>
      <c r="HN595" s="319" t="s">
        <v>429</v>
      </c>
      <c r="HO595" s="319" t="s">
        <v>429</v>
      </c>
      <c r="HP595" s="319" t="s">
        <v>190</v>
      </c>
      <c r="HQ595" s="319" t="s">
        <v>190</v>
      </c>
      <c r="HR595" s="319" t="s">
        <v>190</v>
      </c>
      <c r="HS595" s="319" t="s">
        <v>190</v>
      </c>
      <c r="HT595" s="319" t="s">
        <v>190</v>
      </c>
      <c r="HU595" s="319" t="s">
        <v>190</v>
      </c>
      <c r="HV595" s="319" t="s">
        <v>190</v>
      </c>
      <c r="HW595" s="319" t="s">
        <v>190</v>
      </c>
      <c r="HX595" s="319" t="s">
        <v>190</v>
      </c>
      <c r="HY595" s="319" t="s">
        <v>190</v>
      </c>
      <c r="HZ595" s="319" t="s">
        <v>190</v>
      </c>
      <c r="IA595" s="319" t="s">
        <v>190</v>
      </c>
      <c r="IB595" s="319" t="s">
        <v>190</v>
      </c>
      <c r="IC595" s="319" t="s">
        <v>190</v>
      </c>
      <c r="ID595" s="319" t="s">
        <v>190</v>
      </c>
      <c r="IE595" s="319" t="s">
        <v>190</v>
      </c>
      <c r="IF595" s="319" t="s">
        <v>190</v>
      </c>
      <c r="IG595" s="319" t="s">
        <v>190</v>
      </c>
      <c r="IH595" s="319" t="s">
        <v>190</v>
      </c>
      <c r="II595" s="319" t="s">
        <v>190</v>
      </c>
      <c r="IJ595" s="319" t="s">
        <v>3350</v>
      </c>
      <c r="IK595" s="321">
        <v>41590</v>
      </c>
      <c r="IL595" s="321">
        <v>41592</v>
      </c>
      <c r="IM595" s="321">
        <v>41618</v>
      </c>
      <c r="IN595" s="319">
        <v>2</v>
      </c>
      <c r="IO595" s="319" t="s">
        <v>173</v>
      </c>
      <c r="IP595" s="319" t="s">
        <v>173</v>
      </c>
      <c r="IQ595" s="321" t="s">
        <v>173</v>
      </c>
      <c r="IR595" s="320" t="s">
        <v>173</v>
      </c>
      <c r="IS595" s="322" t="s">
        <v>173</v>
      </c>
      <c r="IT595" s="319" t="s">
        <v>173</v>
      </c>
    </row>
    <row r="596" spans="1:254" s="271" customFormat="1" x14ac:dyDescent="0.25">
      <c r="A596" s="318" t="str">
        <f>HYPERLINK("http://www.ofsted.gov.uk/inspection-reports/find-inspection-report/provider/ELS/136050 ","Ofsted School Webpage")</f>
        <v>Ofsted School Webpage</v>
      </c>
      <c r="B596" s="319">
        <v>136050</v>
      </c>
      <c r="C596" s="319">
        <v>8886112</v>
      </c>
      <c r="D596" s="319" t="s">
        <v>2031</v>
      </c>
      <c r="E596" s="319" t="s">
        <v>168</v>
      </c>
      <c r="F596" s="319" t="s">
        <v>81</v>
      </c>
      <c r="G596" s="319" t="s">
        <v>81</v>
      </c>
      <c r="H596" s="319" t="s">
        <v>81</v>
      </c>
      <c r="I596" s="319" t="s">
        <v>78</v>
      </c>
      <c r="J596" s="319" t="s">
        <v>424</v>
      </c>
      <c r="K596" s="319" t="s">
        <v>431</v>
      </c>
      <c r="L596" s="319" t="s">
        <v>431</v>
      </c>
      <c r="M596" s="319" t="s">
        <v>469</v>
      </c>
      <c r="N596" s="319" t="s">
        <v>2990</v>
      </c>
      <c r="O596" s="319" t="s">
        <v>2032</v>
      </c>
      <c r="P596" s="319">
        <v>2</v>
      </c>
      <c r="Q596" s="319" t="s">
        <v>429</v>
      </c>
      <c r="R596" s="320">
        <v>10026015</v>
      </c>
      <c r="S596" s="321">
        <v>43011</v>
      </c>
      <c r="T596" s="321">
        <v>43012</v>
      </c>
      <c r="U596" s="321">
        <v>43031</v>
      </c>
      <c r="V596" s="319" t="s">
        <v>425</v>
      </c>
      <c r="W596" s="319" t="s">
        <v>2767</v>
      </c>
      <c r="X596" s="319">
        <v>2</v>
      </c>
      <c r="Y596" s="319" t="s">
        <v>173</v>
      </c>
      <c r="Z596" s="319" t="s">
        <v>173</v>
      </c>
      <c r="AA596" s="319" t="s">
        <v>173</v>
      </c>
      <c r="AB596" s="319">
        <v>2</v>
      </c>
      <c r="AC596" s="319" t="s">
        <v>169</v>
      </c>
      <c r="AD596" s="319" t="s">
        <v>173</v>
      </c>
      <c r="AE596" s="319" t="s">
        <v>173</v>
      </c>
      <c r="AF596" s="319" t="s">
        <v>173</v>
      </c>
      <c r="AG596" s="319" t="s">
        <v>171</v>
      </c>
      <c r="AH596" s="319" t="s">
        <v>190</v>
      </c>
      <c r="AI596" s="319" t="s">
        <v>190</v>
      </c>
      <c r="AJ596" s="319" t="s">
        <v>190</v>
      </c>
      <c r="AK596" s="319" t="s">
        <v>190</v>
      </c>
      <c r="AL596" s="319" t="s">
        <v>190</v>
      </c>
      <c r="AM596" s="319" t="s">
        <v>190</v>
      </c>
      <c r="AN596" s="319" t="s">
        <v>190</v>
      </c>
      <c r="AO596" s="319" t="s">
        <v>190</v>
      </c>
      <c r="AP596" s="319" t="s">
        <v>190</v>
      </c>
      <c r="AQ596" s="319" t="s">
        <v>190</v>
      </c>
      <c r="AR596" s="319" t="s">
        <v>190</v>
      </c>
      <c r="AS596" s="319" t="s">
        <v>190</v>
      </c>
      <c r="AT596" s="319" t="s">
        <v>190</v>
      </c>
      <c r="AU596" s="319" t="s">
        <v>190</v>
      </c>
      <c r="AV596" s="319" t="s">
        <v>190</v>
      </c>
      <c r="AW596" s="319" t="s">
        <v>190</v>
      </c>
      <c r="AX596" s="319" t="s">
        <v>429</v>
      </c>
      <c r="AY596" s="319" t="s">
        <v>190</v>
      </c>
      <c r="AZ596" s="319" t="s">
        <v>190</v>
      </c>
      <c r="BA596" s="319" t="s">
        <v>190</v>
      </c>
      <c r="BB596" s="319" t="s">
        <v>190</v>
      </c>
      <c r="BC596" s="319" t="s">
        <v>190</v>
      </c>
      <c r="BD596" s="319" t="s">
        <v>190</v>
      </c>
      <c r="BE596" s="319" t="s">
        <v>190</v>
      </c>
      <c r="BF596" s="319" t="s">
        <v>429</v>
      </c>
      <c r="BG596" s="319" t="s">
        <v>429</v>
      </c>
      <c r="BH596" s="319" t="s">
        <v>190</v>
      </c>
      <c r="BI596" s="319" t="s">
        <v>190</v>
      </c>
      <c r="BJ596" s="319" t="s">
        <v>190</v>
      </c>
      <c r="BK596" s="319" t="s">
        <v>190</v>
      </c>
      <c r="BL596" s="319" t="s">
        <v>190</v>
      </c>
      <c r="BM596" s="319" t="s">
        <v>190</v>
      </c>
      <c r="BN596" s="319" t="s">
        <v>190</v>
      </c>
      <c r="BO596" s="319" t="s">
        <v>190</v>
      </c>
      <c r="BP596" s="319" t="s">
        <v>190</v>
      </c>
      <c r="BQ596" s="319" t="s">
        <v>190</v>
      </c>
      <c r="BR596" s="319" t="s">
        <v>190</v>
      </c>
      <c r="BS596" s="319" t="s">
        <v>190</v>
      </c>
      <c r="BT596" s="319" t="s">
        <v>190</v>
      </c>
      <c r="BU596" s="319" t="s">
        <v>190</v>
      </c>
      <c r="BV596" s="319" t="s">
        <v>190</v>
      </c>
      <c r="BW596" s="319" t="s">
        <v>190</v>
      </c>
      <c r="BX596" s="319" t="s">
        <v>190</v>
      </c>
      <c r="BY596" s="319" t="s">
        <v>190</v>
      </c>
      <c r="BZ596" s="319" t="s">
        <v>190</v>
      </c>
      <c r="CA596" s="319" t="s">
        <v>190</v>
      </c>
      <c r="CB596" s="319" t="s">
        <v>190</v>
      </c>
      <c r="CC596" s="319" t="s">
        <v>190</v>
      </c>
      <c r="CD596" s="319" t="s">
        <v>190</v>
      </c>
      <c r="CE596" s="319" t="s">
        <v>190</v>
      </c>
      <c r="CF596" s="319" t="s">
        <v>190</v>
      </c>
      <c r="CG596" s="319" t="s">
        <v>190</v>
      </c>
      <c r="CH596" s="319" t="s">
        <v>190</v>
      </c>
      <c r="CI596" s="319" t="s">
        <v>190</v>
      </c>
      <c r="CJ596" s="319" t="s">
        <v>190</v>
      </c>
      <c r="CK596" s="319" t="s">
        <v>190</v>
      </c>
      <c r="CL596" s="319" t="s">
        <v>190</v>
      </c>
      <c r="CM596" s="319" t="s">
        <v>190</v>
      </c>
      <c r="CN596" s="319" t="s">
        <v>429</v>
      </c>
      <c r="CO596" s="319" t="s">
        <v>429</v>
      </c>
      <c r="CP596" s="319" t="s">
        <v>429</v>
      </c>
      <c r="CQ596" s="319" t="s">
        <v>190</v>
      </c>
      <c r="CR596" s="319" t="s">
        <v>190</v>
      </c>
      <c r="CS596" s="319" t="s">
        <v>190</v>
      </c>
      <c r="CT596" s="319" t="s">
        <v>190</v>
      </c>
      <c r="CU596" s="319" t="s">
        <v>190</v>
      </c>
      <c r="CV596" s="319" t="s">
        <v>190</v>
      </c>
      <c r="CW596" s="319" t="s">
        <v>190</v>
      </c>
      <c r="CX596" s="319" t="s">
        <v>190</v>
      </c>
      <c r="CY596" s="319" t="s">
        <v>190</v>
      </c>
      <c r="CZ596" s="319" t="s">
        <v>190</v>
      </c>
      <c r="DA596" s="319" t="s">
        <v>190</v>
      </c>
      <c r="DB596" s="319" t="s">
        <v>190</v>
      </c>
      <c r="DC596" s="319" t="s">
        <v>190</v>
      </c>
      <c r="DD596" s="319" t="s">
        <v>190</v>
      </c>
      <c r="DE596" s="319" t="s">
        <v>190</v>
      </c>
      <c r="DF596" s="319" t="s">
        <v>190</v>
      </c>
      <c r="DG596" s="319" t="s">
        <v>190</v>
      </c>
      <c r="DH596" s="319" t="s">
        <v>190</v>
      </c>
      <c r="DI596" s="319" t="s">
        <v>190</v>
      </c>
      <c r="DJ596" s="319" t="s">
        <v>190</v>
      </c>
      <c r="DK596" s="319" t="s">
        <v>190</v>
      </c>
      <c r="DL596" s="319" t="s">
        <v>190</v>
      </c>
      <c r="DM596" s="319" t="s">
        <v>190</v>
      </c>
      <c r="DN596" s="319" t="s">
        <v>190</v>
      </c>
      <c r="DO596" s="319" t="s">
        <v>190</v>
      </c>
      <c r="DP596" s="319" t="s">
        <v>190</v>
      </c>
      <c r="DQ596" s="319" t="s">
        <v>190</v>
      </c>
      <c r="DR596" s="319" t="s">
        <v>190</v>
      </c>
      <c r="DS596" s="319" t="s">
        <v>190</v>
      </c>
      <c r="DT596" s="319" t="s">
        <v>190</v>
      </c>
      <c r="DU596" s="319" t="s">
        <v>190</v>
      </c>
      <c r="DV596" s="319" t="s">
        <v>173</v>
      </c>
      <c r="DW596" s="319" t="s">
        <v>190</v>
      </c>
      <c r="DX596" s="319" t="s">
        <v>190</v>
      </c>
      <c r="DY596" s="319" t="s">
        <v>190</v>
      </c>
      <c r="DZ596" s="319" t="s">
        <v>190</v>
      </c>
      <c r="EA596" s="319" t="s">
        <v>190</v>
      </c>
      <c r="EB596" s="319" t="s">
        <v>190</v>
      </c>
      <c r="EC596" s="319" t="s">
        <v>190</v>
      </c>
      <c r="ED596" s="319" t="s">
        <v>190</v>
      </c>
      <c r="EE596" s="319" t="s">
        <v>190</v>
      </c>
      <c r="EF596" s="319" t="s">
        <v>190</v>
      </c>
      <c r="EG596" s="319" t="s">
        <v>190</v>
      </c>
      <c r="EH596" s="319" t="s">
        <v>190</v>
      </c>
      <c r="EI596" s="319" t="s">
        <v>190</v>
      </c>
      <c r="EJ596" s="319" t="s">
        <v>190</v>
      </c>
      <c r="EK596" s="319" t="s">
        <v>190</v>
      </c>
      <c r="EL596" s="319" t="s">
        <v>190</v>
      </c>
      <c r="EM596" s="319" t="s">
        <v>190</v>
      </c>
      <c r="EN596" s="319" t="s">
        <v>190</v>
      </c>
      <c r="EO596" s="319" t="s">
        <v>190</v>
      </c>
      <c r="EP596" s="319" t="s">
        <v>190</v>
      </c>
      <c r="EQ596" s="319" t="s">
        <v>190</v>
      </c>
      <c r="ER596" s="319" t="s">
        <v>190</v>
      </c>
      <c r="ES596" s="319" t="s">
        <v>190</v>
      </c>
      <c r="ET596" s="319" t="s">
        <v>190</v>
      </c>
      <c r="EU596" s="319" t="s">
        <v>190</v>
      </c>
      <c r="EV596" s="319" t="s">
        <v>190</v>
      </c>
      <c r="EW596" s="319" t="s">
        <v>190</v>
      </c>
      <c r="EX596" s="319" t="s">
        <v>190</v>
      </c>
      <c r="EY596" s="319" t="s">
        <v>190</v>
      </c>
      <c r="EZ596" s="319" t="s">
        <v>190</v>
      </c>
      <c r="FA596" s="319" t="s">
        <v>190</v>
      </c>
      <c r="FB596" s="319" t="s">
        <v>190</v>
      </c>
      <c r="FC596" s="319" t="s">
        <v>190</v>
      </c>
      <c r="FD596" s="319" t="s">
        <v>190</v>
      </c>
      <c r="FE596" s="319" t="s">
        <v>190</v>
      </c>
      <c r="FF596" s="319" t="s">
        <v>190</v>
      </c>
      <c r="FG596" s="319" t="s">
        <v>190</v>
      </c>
      <c r="FH596" s="319" t="s">
        <v>190</v>
      </c>
      <c r="FI596" s="319" t="s">
        <v>190</v>
      </c>
      <c r="FJ596" s="319" t="s">
        <v>190</v>
      </c>
      <c r="FK596" s="319" t="s">
        <v>190</v>
      </c>
      <c r="FL596" s="319" t="s">
        <v>190</v>
      </c>
      <c r="FM596" s="319" t="s">
        <v>190</v>
      </c>
      <c r="FN596" s="319" t="s">
        <v>190</v>
      </c>
      <c r="FO596" s="319" t="s">
        <v>190</v>
      </c>
      <c r="FP596" s="319" t="s">
        <v>190</v>
      </c>
      <c r="FQ596" s="319" t="s">
        <v>190</v>
      </c>
      <c r="FR596" s="319" t="s">
        <v>190</v>
      </c>
      <c r="FS596" s="319" t="s">
        <v>190</v>
      </c>
      <c r="FT596" s="319" t="s">
        <v>190</v>
      </c>
      <c r="FU596" s="319" t="s">
        <v>190</v>
      </c>
      <c r="FV596" s="319" t="s">
        <v>190</v>
      </c>
      <c r="FW596" s="319" t="s">
        <v>190</v>
      </c>
      <c r="FX596" s="319" t="s">
        <v>190</v>
      </c>
      <c r="FY596" s="319" t="s">
        <v>190</v>
      </c>
      <c r="FZ596" s="319" t="s">
        <v>190</v>
      </c>
      <c r="GA596" s="319" t="s">
        <v>190</v>
      </c>
      <c r="GB596" s="319" t="s">
        <v>190</v>
      </c>
      <c r="GC596" s="319" t="s">
        <v>190</v>
      </c>
      <c r="GD596" s="319" t="s">
        <v>190</v>
      </c>
      <c r="GE596" s="319" t="s">
        <v>190</v>
      </c>
      <c r="GF596" s="319" t="s">
        <v>190</v>
      </c>
      <c r="GG596" s="319" t="s">
        <v>190</v>
      </c>
      <c r="GH596" s="319" t="s">
        <v>190</v>
      </c>
      <c r="GI596" s="319" t="s">
        <v>190</v>
      </c>
      <c r="GJ596" s="319" t="s">
        <v>190</v>
      </c>
      <c r="GK596" s="319" t="s">
        <v>429</v>
      </c>
      <c r="GL596" s="319" t="s">
        <v>190</v>
      </c>
      <c r="GM596" s="319" t="s">
        <v>190</v>
      </c>
      <c r="GN596" s="319" t="s">
        <v>190</v>
      </c>
      <c r="GO596" s="319" t="s">
        <v>190</v>
      </c>
      <c r="GP596" s="319" t="s">
        <v>190</v>
      </c>
      <c r="GQ596" s="319" t="s">
        <v>190</v>
      </c>
      <c r="GR596" s="319" t="s">
        <v>190</v>
      </c>
      <c r="GS596" s="319" t="s">
        <v>190</v>
      </c>
      <c r="GT596" s="319" t="s">
        <v>190</v>
      </c>
      <c r="GU596" s="319" t="s">
        <v>190</v>
      </c>
      <c r="GV596" s="319" t="s">
        <v>190</v>
      </c>
      <c r="GW596" s="319" t="s">
        <v>190</v>
      </c>
      <c r="GX596" s="319" t="s">
        <v>190</v>
      </c>
      <c r="GY596" s="319" t="s">
        <v>190</v>
      </c>
      <c r="GZ596" s="319" t="s">
        <v>190</v>
      </c>
      <c r="HA596" s="319" t="s">
        <v>190</v>
      </c>
      <c r="HB596" s="319" t="s">
        <v>190</v>
      </c>
      <c r="HC596" s="319" t="s">
        <v>190</v>
      </c>
      <c r="HD596" s="319" t="s">
        <v>190</v>
      </c>
      <c r="HE596" s="319" t="s">
        <v>190</v>
      </c>
      <c r="HF596" s="319" t="s">
        <v>190</v>
      </c>
      <c r="HG596" s="319" t="s">
        <v>190</v>
      </c>
      <c r="HH596" s="319" t="s">
        <v>190</v>
      </c>
      <c r="HI596" s="319" t="s">
        <v>190</v>
      </c>
      <c r="HJ596" s="319" t="s">
        <v>190</v>
      </c>
      <c r="HK596" s="319" t="s">
        <v>190</v>
      </c>
      <c r="HL596" s="319" t="s">
        <v>190</v>
      </c>
      <c r="HM596" s="319" t="s">
        <v>190</v>
      </c>
      <c r="HN596" s="319" t="s">
        <v>190</v>
      </c>
      <c r="HO596" s="319" t="s">
        <v>190</v>
      </c>
      <c r="HP596" s="319" t="s">
        <v>190</v>
      </c>
      <c r="HQ596" s="319" t="s">
        <v>190</v>
      </c>
      <c r="HR596" s="319" t="s">
        <v>190</v>
      </c>
      <c r="HS596" s="319" t="s">
        <v>190</v>
      </c>
      <c r="HT596" s="319" t="s">
        <v>190</v>
      </c>
      <c r="HU596" s="319" t="s">
        <v>190</v>
      </c>
      <c r="HV596" s="319" t="s">
        <v>190</v>
      </c>
      <c r="HW596" s="319" t="s">
        <v>190</v>
      </c>
      <c r="HX596" s="319" t="s">
        <v>190</v>
      </c>
      <c r="HY596" s="319" t="s">
        <v>190</v>
      </c>
      <c r="HZ596" s="319" t="s">
        <v>190</v>
      </c>
      <c r="IA596" s="319" t="s">
        <v>190</v>
      </c>
      <c r="IB596" s="319" t="s">
        <v>190</v>
      </c>
      <c r="IC596" s="319" t="s">
        <v>190</v>
      </c>
      <c r="ID596" s="319" t="s">
        <v>190</v>
      </c>
      <c r="IE596" s="319" t="s">
        <v>190</v>
      </c>
      <c r="IF596" s="319" t="s">
        <v>190</v>
      </c>
      <c r="IG596" s="319" t="s">
        <v>190</v>
      </c>
      <c r="IH596" s="319" t="s">
        <v>190</v>
      </c>
      <c r="II596" s="319" t="s">
        <v>190</v>
      </c>
      <c r="IJ596" s="319" t="s">
        <v>3351</v>
      </c>
      <c r="IK596" s="321">
        <v>41709</v>
      </c>
      <c r="IL596" s="321">
        <v>41710</v>
      </c>
      <c r="IM596" s="321">
        <v>41731</v>
      </c>
      <c r="IN596" s="319">
        <v>2</v>
      </c>
      <c r="IO596" s="319" t="s">
        <v>173</v>
      </c>
      <c r="IP596" s="319" t="s">
        <v>173</v>
      </c>
      <c r="IQ596" s="319" t="s">
        <v>173</v>
      </c>
      <c r="IR596" s="320" t="s">
        <v>173</v>
      </c>
      <c r="IS596" s="320" t="s">
        <v>173</v>
      </c>
      <c r="IT596" s="319" t="s">
        <v>173</v>
      </c>
    </row>
    <row r="597" spans="1:254" s="271" customFormat="1" x14ac:dyDescent="0.25">
      <c r="A597" s="318" t="str">
        <f>HYPERLINK("http://www.ofsted.gov.uk/inspection-reports/find-inspection-report/provider/ELS/136052 ","Ofsted School Webpage")</f>
        <v>Ofsted School Webpage</v>
      </c>
      <c r="B597" s="319">
        <v>136052</v>
      </c>
      <c r="C597" s="319">
        <v>3166072</v>
      </c>
      <c r="D597" s="319" t="s">
        <v>2033</v>
      </c>
      <c r="E597" s="319" t="s">
        <v>168</v>
      </c>
      <c r="F597" s="319" t="s">
        <v>81</v>
      </c>
      <c r="G597" s="319" t="s">
        <v>81</v>
      </c>
      <c r="H597" s="319" t="s">
        <v>81</v>
      </c>
      <c r="I597" s="319" t="s">
        <v>78</v>
      </c>
      <c r="J597" s="319" t="s">
        <v>424</v>
      </c>
      <c r="K597" s="319" t="s">
        <v>441</v>
      </c>
      <c r="L597" s="319" t="s">
        <v>441</v>
      </c>
      <c r="M597" s="319" t="s">
        <v>709</v>
      </c>
      <c r="N597" s="319" t="s">
        <v>3081</v>
      </c>
      <c r="O597" s="319" t="s">
        <v>2034</v>
      </c>
      <c r="P597" s="319">
        <v>47</v>
      </c>
      <c r="Q597" s="319" t="s">
        <v>429</v>
      </c>
      <c r="R597" s="320">
        <v>10035807</v>
      </c>
      <c r="S597" s="321">
        <v>43291</v>
      </c>
      <c r="T597" s="321">
        <v>43293</v>
      </c>
      <c r="U597" s="321">
        <v>43354</v>
      </c>
      <c r="V597" s="319" t="s">
        <v>425</v>
      </c>
      <c r="W597" s="319" t="s">
        <v>2767</v>
      </c>
      <c r="X597" s="319">
        <v>2</v>
      </c>
      <c r="Y597" s="319" t="s">
        <v>173</v>
      </c>
      <c r="Z597" s="319" t="s">
        <v>173</v>
      </c>
      <c r="AA597" s="319" t="s">
        <v>173</v>
      </c>
      <c r="AB597" s="319">
        <v>2</v>
      </c>
      <c r="AC597" s="319" t="s">
        <v>169</v>
      </c>
      <c r="AD597" s="319" t="s">
        <v>173</v>
      </c>
      <c r="AE597" s="319" t="s">
        <v>173</v>
      </c>
      <c r="AF597" s="319" t="s">
        <v>427</v>
      </c>
      <c r="AG597" s="319" t="s">
        <v>171</v>
      </c>
      <c r="AH597" s="319" t="s">
        <v>190</v>
      </c>
      <c r="AI597" s="319" t="s">
        <v>190</v>
      </c>
      <c r="AJ597" s="319" t="s">
        <v>190</v>
      </c>
      <c r="AK597" s="319" t="s">
        <v>190</v>
      </c>
      <c r="AL597" s="319" t="s">
        <v>190</v>
      </c>
      <c r="AM597" s="319" t="s">
        <v>190</v>
      </c>
      <c r="AN597" s="319" t="s">
        <v>190</v>
      </c>
      <c r="AO597" s="319" t="s">
        <v>190</v>
      </c>
      <c r="AP597" s="319" t="s">
        <v>190</v>
      </c>
      <c r="AQ597" s="319" t="s">
        <v>190</v>
      </c>
      <c r="AR597" s="319" t="s">
        <v>190</v>
      </c>
      <c r="AS597" s="319" t="s">
        <v>190</v>
      </c>
      <c r="AT597" s="319" t="s">
        <v>190</v>
      </c>
      <c r="AU597" s="319" t="s">
        <v>190</v>
      </c>
      <c r="AV597" s="319" t="s">
        <v>190</v>
      </c>
      <c r="AW597" s="319" t="s">
        <v>190</v>
      </c>
      <c r="AX597" s="319" t="s">
        <v>428</v>
      </c>
      <c r="AY597" s="319" t="s">
        <v>190</v>
      </c>
      <c r="AZ597" s="319" t="s">
        <v>190</v>
      </c>
      <c r="BA597" s="319" t="s">
        <v>190</v>
      </c>
      <c r="BB597" s="319" t="s">
        <v>190</v>
      </c>
      <c r="BC597" s="319" t="s">
        <v>190</v>
      </c>
      <c r="BD597" s="319" t="s">
        <v>190</v>
      </c>
      <c r="BE597" s="319" t="s">
        <v>190</v>
      </c>
      <c r="BF597" s="319" t="s">
        <v>428</v>
      </c>
      <c r="BG597" s="319" t="s">
        <v>190</v>
      </c>
      <c r="BH597" s="319" t="s">
        <v>190</v>
      </c>
      <c r="BI597" s="319" t="s">
        <v>190</v>
      </c>
      <c r="BJ597" s="319" t="s">
        <v>190</v>
      </c>
      <c r="BK597" s="319" t="s">
        <v>190</v>
      </c>
      <c r="BL597" s="319" t="s">
        <v>190</v>
      </c>
      <c r="BM597" s="319" t="s">
        <v>190</v>
      </c>
      <c r="BN597" s="319" t="s">
        <v>190</v>
      </c>
      <c r="BO597" s="319" t="s">
        <v>190</v>
      </c>
      <c r="BP597" s="319" t="s">
        <v>190</v>
      </c>
      <c r="BQ597" s="319" t="s">
        <v>190</v>
      </c>
      <c r="BR597" s="319" t="s">
        <v>190</v>
      </c>
      <c r="BS597" s="319" t="s">
        <v>190</v>
      </c>
      <c r="BT597" s="319" t="s">
        <v>190</v>
      </c>
      <c r="BU597" s="319" t="s">
        <v>190</v>
      </c>
      <c r="BV597" s="319" t="s">
        <v>190</v>
      </c>
      <c r="BW597" s="319" t="s">
        <v>190</v>
      </c>
      <c r="BX597" s="319" t="s">
        <v>190</v>
      </c>
      <c r="BY597" s="319" t="s">
        <v>190</v>
      </c>
      <c r="BZ597" s="319" t="s">
        <v>190</v>
      </c>
      <c r="CA597" s="319" t="s">
        <v>190</v>
      </c>
      <c r="CB597" s="319" t="s">
        <v>190</v>
      </c>
      <c r="CC597" s="319" t="s">
        <v>190</v>
      </c>
      <c r="CD597" s="319" t="s">
        <v>190</v>
      </c>
      <c r="CE597" s="319" t="s">
        <v>190</v>
      </c>
      <c r="CF597" s="319" t="s">
        <v>190</v>
      </c>
      <c r="CG597" s="319" t="s">
        <v>190</v>
      </c>
      <c r="CH597" s="319" t="s">
        <v>190</v>
      </c>
      <c r="CI597" s="319" t="s">
        <v>190</v>
      </c>
      <c r="CJ597" s="319" t="s">
        <v>190</v>
      </c>
      <c r="CK597" s="319" t="s">
        <v>190</v>
      </c>
      <c r="CL597" s="319" t="s">
        <v>190</v>
      </c>
      <c r="CM597" s="319" t="s">
        <v>190</v>
      </c>
      <c r="CN597" s="319" t="s">
        <v>190</v>
      </c>
      <c r="CO597" s="319" t="s">
        <v>428</v>
      </c>
      <c r="CP597" s="319" t="s">
        <v>428</v>
      </c>
      <c r="CQ597" s="319" t="s">
        <v>190</v>
      </c>
      <c r="CR597" s="319" t="s">
        <v>190</v>
      </c>
      <c r="CS597" s="319" t="s">
        <v>190</v>
      </c>
      <c r="CT597" s="319" t="s">
        <v>190</v>
      </c>
      <c r="CU597" s="319" t="s">
        <v>190</v>
      </c>
      <c r="CV597" s="319" t="s">
        <v>190</v>
      </c>
      <c r="CW597" s="319" t="s">
        <v>190</v>
      </c>
      <c r="CX597" s="319" t="s">
        <v>190</v>
      </c>
      <c r="CY597" s="319" t="s">
        <v>190</v>
      </c>
      <c r="CZ597" s="319" t="s">
        <v>190</v>
      </c>
      <c r="DA597" s="319" t="s">
        <v>190</v>
      </c>
      <c r="DB597" s="319" t="s">
        <v>190</v>
      </c>
      <c r="DC597" s="319" t="s">
        <v>190</v>
      </c>
      <c r="DD597" s="319" t="s">
        <v>190</v>
      </c>
      <c r="DE597" s="319" t="s">
        <v>190</v>
      </c>
      <c r="DF597" s="319" t="s">
        <v>190</v>
      </c>
      <c r="DG597" s="319" t="s">
        <v>190</v>
      </c>
      <c r="DH597" s="319" t="s">
        <v>190</v>
      </c>
      <c r="DI597" s="319" t="s">
        <v>190</v>
      </c>
      <c r="DJ597" s="319" t="s">
        <v>190</v>
      </c>
      <c r="DK597" s="319" t="s">
        <v>190</v>
      </c>
      <c r="DL597" s="319" t="s">
        <v>190</v>
      </c>
      <c r="DM597" s="319" t="s">
        <v>190</v>
      </c>
      <c r="DN597" s="319" t="s">
        <v>428</v>
      </c>
      <c r="DO597" s="319" t="s">
        <v>190</v>
      </c>
      <c r="DP597" s="319" t="s">
        <v>190</v>
      </c>
      <c r="DQ597" s="319" t="s">
        <v>190</v>
      </c>
      <c r="DR597" s="319" t="s">
        <v>190</v>
      </c>
      <c r="DS597" s="319" t="s">
        <v>190</v>
      </c>
      <c r="DT597" s="319" t="s">
        <v>190</v>
      </c>
      <c r="DU597" s="319" t="s">
        <v>190</v>
      </c>
      <c r="DV597" s="319" t="s">
        <v>173</v>
      </c>
      <c r="DW597" s="319" t="s">
        <v>190</v>
      </c>
      <c r="DX597" s="319" t="s">
        <v>190</v>
      </c>
      <c r="DY597" s="319" t="s">
        <v>190</v>
      </c>
      <c r="DZ597" s="319" t="s">
        <v>190</v>
      </c>
      <c r="EA597" s="319" t="s">
        <v>190</v>
      </c>
      <c r="EB597" s="319" t="s">
        <v>190</v>
      </c>
      <c r="EC597" s="319" t="s">
        <v>190</v>
      </c>
      <c r="ED597" s="319" t="s">
        <v>190</v>
      </c>
      <c r="EE597" s="319" t="s">
        <v>190</v>
      </c>
      <c r="EF597" s="319" t="s">
        <v>190</v>
      </c>
      <c r="EG597" s="319" t="s">
        <v>190</v>
      </c>
      <c r="EH597" s="319" t="s">
        <v>190</v>
      </c>
      <c r="EI597" s="319" t="s">
        <v>190</v>
      </c>
      <c r="EJ597" s="319" t="s">
        <v>190</v>
      </c>
      <c r="EK597" s="319" t="s">
        <v>190</v>
      </c>
      <c r="EL597" s="319" t="s">
        <v>190</v>
      </c>
      <c r="EM597" s="319" t="s">
        <v>190</v>
      </c>
      <c r="EN597" s="319" t="s">
        <v>190</v>
      </c>
      <c r="EO597" s="319" t="s">
        <v>190</v>
      </c>
      <c r="EP597" s="319" t="s">
        <v>190</v>
      </c>
      <c r="EQ597" s="319" t="s">
        <v>190</v>
      </c>
      <c r="ER597" s="319" t="s">
        <v>190</v>
      </c>
      <c r="ES597" s="319" t="s">
        <v>190</v>
      </c>
      <c r="ET597" s="319" t="s">
        <v>190</v>
      </c>
      <c r="EU597" s="319" t="s">
        <v>190</v>
      </c>
      <c r="EV597" s="319" t="s">
        <v>190</v>
      </c>
      <c r="EW597" s="319" t="s">
        <v>190</v>
      </c>
      <c r="EX597" s="319" t="s">
        <v>190</v>
      </c>
      <c r="EY597" s="319" t="s">
        <v>190</v>
      </c>
      <c r="EZ597" s="319" t="s">
        <v>190</v>
      </c>
      <c r="FA597" s="319" t="s">
        <v>190</v>
      </c>
      <c r="FB597" s="319" t="s">
        <v>190</v>
      </c>
      <c r="FC597" s="319" t="s">
        <v>190</v>
      </c>
      <c r="FD597" s="319" t="s">
        <v>190</v>
      </c>
      <c r="FE597" s="319" t="s">
        <v>190</v>
      </c>
      <c r="FF597" s="319" t="s">
        <v>190</v>
      </c>
      <c r="FG597" s="319" t="s">
        <v>190</v>
      </c>
      <c r="FH597" s="319" t="s">
        <v>190</v>
      </c>
      <c r="FI597" s="319" t="s">
        <v>190</v>
      </c>
      <c r="FJ597" s="319" t="s">
        <v>190</v>
      </c>
      <c r="FK597" s="319" t="s">
        <v>190</v>
      </c>
      <c r="FL597" s="319" t="s">
        <v>190</v>
      </c>
      <c r="FM597" s="319" t="s">
        <v>190</v>
      </c>
      <c r="FN597" s="319" t="s">
        <v>190</v>
      </c>
      <c r="FO597" s="319" t="s">
        <v>190</v>
      </c>
      <c r="FP597" s="319" t="s">
        <v>190</v>
      </c>
      <c r="FQ597" s="319" t="s">
        <v>190</v>
      </c>
      <c r="FR597" s="319" t="s">
        <v>190</v>
      </c>
      <c r="FS597" s="319" t="s">
        <v>190</v>
      </c>
      <c r="FT597" s="319" t="s">
        <v>190</v>
      </c>
      <c r="FU597" s="319" t="s">
        <v>190</v>
      </c>
      <c r="FV597" s="319" t="s">
        <v>190</v>
      </c>
      <c r="FW597" s="319" t="s">
        <v>190</v>
      </c>
      <c r="FX597" s="319" t="s">
        <v>190</v>
      </c>
      <c r="FY597" s="319" t="s">
        <v>190</v>
      </c>
      <c r="FZ597" s="319" t="s">
        <v>190</v>
      </c>
      <c r="GA597" s="319" t="s">
        <v>190</v>
      </c>
      <c r="GB597" s="319" t="s">
        <v>190</v>
      </c>
      <c r="GC597" s="319" t="s">
        <v>190</v>
      </c>
      <c r="GD597" s="319" t="s">
        <v>190</v>
      </c>
      <c r="GE597" s="319" t="s">
        <v>190</v>
      </c>
      <c r="GF597" s="319" t="s">
        <v>190</v>
      </c>
      <c r="GG597" s="319" t="s">
        <v>190</v>
      </c>
      <c r="GH597" s="319" t="s">
        <v>190</v>
      </c>
      <c r="GI597" s="319" t="s">
        <v>190</v>
      </c>
      <c r="GJ597" s="319" t="s">
        <v>190</v>
      </c>
      <c r="GK597" s="319" t="s">
        <v>190</v>
      </c>
      <c r="GL597" s="319" t="s">
        <v>190</v>
      </c>
      <c r="GM597" s="319" t="s">
        <v>190</v>
      </c>
      <c r="GN597" s="319" t="s">
        <v>190</v>
      </c>
      <c r="GO597" s="319" t="s">
        <v>190</v>
      </c>
      <c r="GP597" s="319" t="s">
        <v>190</v>
      </c>
      <c r="GQ597" s="319" t="s">
        <v>190</v>
      </c>
      <c r="GR597" s="319" t="s">
        <v>190</v>
      </c>
      <c r="GS597" s="319" t="s">
        <v>190</v>
      </c>
      <c r="GT597" s="319" t="s">
        <v>190</v>
      </c>
      <c r="GU597" s="319" t="s">
        <v>190</v>
      </c>
      <c r="GV597" s="319" t="s">
        <v>190</v>
      </c>
      <c r="GW597" s="319" t="s">
        <v>190</v>
      </c>
      <c r="GX597" s="319" t="s">
        <v>190</v>
      </c>
      <c r="GY597" s="319" t="s">
        <v>190</v>
      </c>
      <c r="GZ597" s="319" t="s">
        <v>190</v>
      </c>
      <c r="HA597" s="319" t="s">
        <v>190</v>
      </c>
      <c r="HB597" s="319" t="s">
        <v>190</v>
      </c>
      <c r="HC597" s="319" t="s">
        <v>190</v>
      </c>
      <c r="HD597" s="319" t="s">
        <v>190</v>
      </c>
      <c r="HE597" s="319" t="s">
        <v>190</v>
      </c>
      <c r="HF597" s="319" t="s">
        <v>190</v>
      </c>
      <c r="HG597" s="319" t="s">
        <v>190</v>
      </c>
      <c r="HH597" s="319" t="s">
        <v>190</v>
      </c>
      <c r="HI597" s="319" t="s">
        <v>190</v>
      </c>
      <c r="HJ597" s="319" t="s">
        <v>190</v>
      </c>
      <c r="HK597" s="319" t="s">
        <v>190</v>
      </c>
      <c r="HL597" s="319" t="s">
        <v>190</v>
      </c>
      <c r="HM597" s="319" t="s">
        <v>190</v>
      </c>
      <c r="HN597" s="319" t="s">
        <v>190</v>
      </c>
      <c r="HO597" s="319" t="s">
        <v>190</v>
      </c>
      <c r="HP597" s="319" t="s">
        <v>190</v>
      </c>
      <c r="HQ597" s="319" t="s">
        <v>190</v>
      </c>
      <c r="HR597" s="319" t="s">
        <v>190</v>
      </c>
      <c r="HS597" s="319" t="s">
        <v>190</v>
      </c>
      <c r="HT597" s="319" t="s">
        <v>190</v>
      </c>
      <c r="HU597" s="319" t="s">
        <v>190</v>
      </c>
      <c r="HV597" s="319" t="s">
        <v>190</v>
      </c>
      <c r="HW597" s="319" t="s">
        <v>190</v>
      </c>
      <c r="HX597" s="319" t="s">
        <v>190</v>
      </c>
      <c r="HY597" s="319" t="s">
        <v>190</v>
      </c>
      <c r="HZ597" s="319" t="s">
        <v>190</v>
      </c>
      <c r="IA597" s="319" t="s">
        <v>190</v>
      </c>
      <c r="IB597" s="319" t="s">
        <v>190</v>
      </c>
      <c r="IC597" s="319" t="s">
        <v>190</v>
      </c>
      <c r="ID597" s="319" t="s">
        <v>190</v>
      </c>
      <c r="IE597" s="319" t="s">
        <v>190</v>
      </c>
      <c r="IF597" s="319" t="s">
        <v>190</v>
      </c>
      <c r="IG597" s="319" t="s">
        <v>190</v>
      </c>
      <c r="IH597" s="319" t="s">
        <v>190</v>
      </c>
      <c r="II597" s="319" t="s">
        <v>190</v>
      </c>
      <c r="IJ597" s="319" t="s">
        <v>3352</v>
      </c>
      <c r="IK597" s="321">
        <v>41723</v>
      </c>
      <c r="IL597" s="321">
        <v>41725</v>
      </c>
      <c r="IM597" s="321">
        <v>41757</v>
      </c>
      <c r="IN597" s="319">
        <v>1</v>
      </c>
      <c r="IO597" s="319" t="s">
        <v>173</v>
      </c>
      <c r="IP597" s="319" t="s">
        <v>173</v>
      </c>
      <c r="IQ597" s="321" t="s">
        <v>173</v>
      </c>
      <c r="IR597" s="320" t="s">
        <v>173</v>
      </c>
      <c r="IS597" s="322" t="s">
        <v>173</v>
      </c>
      <c r="IT597" s="319" t="s">
        <v>173</v>
      </c>
    </row>
    <row r="598" spans="1:254" s="271" customFormat="1" x14ac:dyDescent="0.25">
      <c r="A598" s="318" t="str">
        <f>HYPERLINK("http://www.ofsted.gov.uk/inspection-reports/find-inspection-report/provider/ELS/136057 ","Ofsted School Webpage")</f>
        <v>Ofsted School Webpage</v>
      </c>
      <c r="B598" s="319">
        <v>136057</v>
      </c>
      <c r="C598" s="319">
        <v>2076005</v>
      </c>
      <c r="D598" s="319" t="s">
        <v>2035</v>
      </c>
      <c r="E598" s="319" t="s">
        <v>167</v>
      </c>
      <c r="F598" s="319" t="s">
        <v>81</v>
      </c>
      <c r="G598" s="319" t="s">
        <v>81</v>
      </c>
      <c r="H598" s="319" t="s">
        <v>81</v>
      </c>
      <c r="I598" s="319" t="s">
        <v>78</v>
      </c>
      <c r="J598" s="319" t="s">
        <v>424</v>
      </c>
      <c r="K598" s="319" t="s">
        <v>441</v>
      </c>
      <c r="L598" s="319" t="s">
        <v>441</v>
      </c>
      <c r="M598" s="319" t="s">
        <v>567</v>
      </c>
      <c r="N598" s="319" t="s">
        <v>2790</v>
      </c>
      <c r="O598" s="319" t="s">
        <v>2036</v>
      </c>
      <c r="P598" s="319">
        <v>384</v>
      </c>
      <c r="Q598" s="319" t="s">
        <v>2766</v>
      </c>
      <c r="R598" s="320">
        <v>10038172</v>
      </c>
      <c r="S598" s="321">
        <v>43109</v>
      </c>
      <c r="T598" s="321">
        <v>43111</v>
      </c>
      <c r="U598" s="321">
        <v>43140</v>
      </c>
      <c r="V598" s="319" t="s">
        <v>425</v>
      </c>
      <c r="W598" s="319" t="s">
        <v>2767</v>
      </c>
      <c r="X598" s="319">
        <v>1</v>
      </c>
      <c r="Y598" s="319" t="s">
        <v>173</v>
      </c>
      <c r="Z598" s="319" t="s">
        <v>173</v>
      </c>
      <c r="AA598" s="319" t="s">
        <v>173</v>
      </c>
      <c r="AB598" s="319">
        <v>1</v>
      </c>
      <c r="AC598" s="319" t="s">
        <v>169</v>
      </c>
      <c r="AD598" s="319">
        <v>1</v>
      </c>
      <c r="AE598" s="319" t="s">
        <v>173</v>
      </c>
      <c r="AF598" s="319" t="s">
        <v>427</v>
      </c>
      <c r="AG598" s="319" t="s">
        <v>171</v>
      </c>
      <c r="AH598" s="319" t="s">
        <v>190</v>
      </c>
      <c r="AI598" s="319" t="s">
        <v>190</v>
      </c>
      <c r="AJ598" s="319" t="s">
        <v>190</v>
      </c>
      <c r="AK598" s="319" t="s">
        <v>190</v>
      </c>
      <c r="AL598" s="319" t="s">
        <v>190</v>
      </c>
      <c r="AM598" s="319" t="s">
        <v>190</v>
      </c>
      <c r="AN598" s="319" t="s">
        <v>190</v>
      </c>
      <c r="AO598" s="319" t="s">
        <v>190</v>
      </c>
      <c r="AP598" s="319" t="s">
        <v>190</v>
      </c>
      <c r="AQ598" s="319" t="s">
        <v>190</v>
      </c>
      <c r="AR598" s="319" t="s">
        <v>190</v>
      </c>
      <c r="AS598" s="319" t="s">
        <v>190</v>
      </c>
      <c r="AT598" s="319" t="s">
        <v>190</v>
      </c>
      <c r="AU598" s="319" t="s">
        <v>190</v>
      </c>
      <c r="AV598" s="319" t="s">
        <v>190</v>
      </c>
      <c r="AW598" s="319" t="s">
        <v>190</v>
      </c>
      <c r="AX598" s="319" t="s">
        <v>428</v>
      </c>
      <c r="AY598" s="319" t="s">
        <v>190</v>
      </c>
      <c r="AZ598" s="319" t="s">
        <v>190</v>
      </c>
      <c r="BA598" s="319" t="s">
        <v>190</v>
      </c>
      <c r="BB598" s="319" t="s">
        <v>428</v>
      </c>
      <c r="BC598" s="319" t="s">
        <v>428</v>
      </c>
      <c r="BD598" s="319" t="s">
        <v>428</v>
      </c>
      <c r="BE598" s="319" t="s">
        <v>428</v>
      </c>
      <c r="BF598" s="319" t="s">
        <v>190</v>
      </c>
      <c r="BG598" s="319" t="s">
        <v>428</v>
      </c>
      <c r="BH598" s="319" t="s">
        <v>190</v>
      </c>
      <c r="BI598" s="319" t="s">
        <v>190</v>
      </c>
      <c r="BJ598" s="319" t="s">
        <v>190</v>
      </c>
      <c r="BK598" s="319" t="s">
        <v>190</v>
      </c>
      <c r="BL598" s="319" t="s">
        <v>190</v>
      </c>
      <c r="BM598" s="319" t="s">
        <v>190</v>
      </c>
      <c r="BN598" s="319" t="s">
        <v>190</v>
      </c>
      <c r="BO598" s="319" t="s">
        <v>190</v>
      </c>
      <c r="BP598" s="319" t="s">
        <v>190</v>
      </c>
      <c r="BQ598" s="319" t="s">
        <v>190</v>
      </c>
      <c r="BR598" s="319" t="s">
        <v>190</v>
      </c>
      <c r="BS598" s="319" t="s">
        <v>190</v>
      </c>
      <c r="BT598" s="319" t="s">
        <v>190</v>
      </c>
      <c r="BU598" s="319" t="s">
        <v>190</v>
      </c>
      <c r="BV598" s="319" t="s">
        <v>190</v>
      </c>
      <c r="BW598" s="319" t="s">
        <v>190</v>
      </c>
      <c r="BX598" s="319" t="s">
        <v>190</v>
      </c>
      <c r="BY598" s="319" t="s">
        <v>190</v>
      </c>
      <c r="BZ598" s="319" t="s">
        <v>190</v>
      </c>
      <c r="CA598" s="319" t="s">
        <v>190</v>
      </c>
      <c r="CB598" s="319" t="s">
        <v>190</v>
      </c>
      <c r="CC598" s="319" t="s">
        <v>190</v>
      </c>
      <c r="CD598" s="319" t="s">
        <v>190</v>
      </c>
      <c r="CE598" s="319" t="s">
        <v>190</v>
      </c>
      <c r="CF598" s="319" t="s">
        <v>190</v>
      </c>
      <c r="CG598" s="319" t="s">
        <v>190</v>
      </c>
      <c r="CH598" s="319" t="s">
        <v>190</v>
      </c>
      <c r="CI598" s="319" t="s">
        <v>190</v>
      </c>
      <c r="CJ598" s="319" t="s">
        <v>190</v>
      </c>
      <c r="CK598" s="319" t="s">
        <v>190</v>
      </c>
      <c r="CL598" s="319" t="s">
        <v>190</v>
      </c>
      <c r="CM598" s="319" t="s">
        <v>190</v>
      </c>
      <c r="CN598" s="319" t="s">
        <v>428</v>
      </c>
      <c r="CO598" s="319" t="s">
        <v>428</v>
      </c>
      <c r="CP598" s="319" t="s">
        <v>428</v>
      </c>
      <c r="CQ598" s="319" t="s">
        <v>190</v>
      </c>
      <c r="CR598" s="319" t="s">
        <v>190</v>
      </c>
      <c r="CS598" s="319" t="s">
        <v>190</v>
      </c>
      <c r="CT598" s="319" t="s">
        <v>190</v>
      </c>
      <c r="CU598" s="319" t="s">
        <v>190</v>
      </c>
      <c r="CV598" s="319" t="s">
        <v>190</v>
      </c>
      <c r="CW598" s="319" t="s">
        <v>190</v>
      </c>
      <c r="CX598" s="319" t="s">
        <v>190</v>
      </c>
      <c r="CY598" s="319" t="s">
        <v>190</v>
      </c>
      <c r="CZ598" s="319" t="s">
        <v>190</v>
      </c>
      <c r="DA598" s="319" t="s">
        <v>190</v>
      </c>
      <c r="DB598" s="319" t="s">
        <v>190</v>
      </c>
      <c r="DC598" s="319" t="s">
        <v>190</v>
      </c>
      <c r="DD598" s="319" t="s">
        <v>190</v>
      </c>
      <c r="DE598" s="319" t="s">
        <v>190</v>
      </c>
      <c r="DF598" s="319" t="s">
        <v>190</v>
      </c>
      <c r="DG598" s="319" t="s">
        <v>190</v>
      </c>
      <c r="DH598" s="319" t="s">
        <v>190</v>
      </c>
      <c r="DI598" s="319" t="s">
        <v>190</v>
      </c>
      <c r="DJ598" s="319" t="s">
        <v>190</v>
      </c>
      <c r="DK598" s="319" t="s">
        <v>190</v>
      </c>
      <c r="DL598" s="319" t="s">
        <v>190</v>
      </c>
      <c r="DM598" s="319" t="s">
        <v>190</v>
      </c>
      <c r="DN598" s="319" t="s">
        <v>428</v>
      </c>
      <c r="DO598" s="319" t="s">
        <v>190</v>
      </c>
      <c r="DP598" s="319" t="s">
        <v>190</v>
      </c>
      <c r="DQ598" s="319" t="s">
        <v>190</v>
      </c>
      <c r="DR598" s="319" t="s">
        <v>190</v>
      </c>
      <c r="DS598" s="319" t="s">
        <v>190</v>
      </c>
      <c r="DT598" s="319" t="s">
        <v>190</v>
      </c>
      <c r="DU598" s="319" t="s">
        <v>190</v>
      </c>
      <c r="DV598" s="319" t="s">
        <v>173</v>
      </c>
      <c r="DW598" s="319" t="s">
        <v>190</v>
      </c>
      <c r="DX598" s="319" t="s">
        <v>190</v>
      </c>
      <c r="DY598" s="319" t="s">
        <v>190</v>
      </c>
      <c r="DZ598" s="319" t="s">
        <v>190</v>
      </c>
      <c r="EA598" s="319" t="s">
        <v>190</v>
      </c>
      <c r="EB598" s="319" t="s">
        <v>190</v>
      </c>
      <c r="EC598" s="319" t="s">
        <v>428</v>
      </c>
      <c r="ED598" s="319" t="s">
        <v>190</v>
      </c>
      <c r="EE598" s="319" t="s">
        <v>190</v>
      </c>
      <c r="EF598" s="319" t="s">
        <v>190</v>
      </c>
      <c r="EG598" s="319" t="s">
        <v>190</v>
      </c>
      <c r="EH598" s="319" t="s">
        <v>190</v>
      </c>
      <c r="EI598" s="319" t="s">
        <v>190</v>
      </c>
      <c r="EJ598" s="319" t="s">
        <v>190</v>
      </c>
      <c r="EK598" s="319" t="s">
        <v>190</v>
      </c>
      <c r="EL598" s="319" t="s">
        <v>428</v>
      </c>
      <c r="EM598" s="319" t="s">
        <v>190</v>
      </c>
      <c r="EN598" s="319" t="s">
        <v>190</v>
      </c>
      <c r="EO598" s="319" t="s">
        <v>190</v>
      </c>
      <c r="EP598" s="319" t="s">
        <v>190</v>
      </c>
      <c r="EQ598" s="319" t="s">
        <v>190</v>
      </c>
      <c r="ER598" s="319" t="s">
        <v>190</v>
      </c>
      <c r="ES598" s="319" t="s">
        <v>190</v>
      </c>
      <c r="ET598" s="319" t="s">
        <v>190</v>
      </c>
      <c r="EU598" s="319" t="s">
        <v>190</v>
      </c>
      <c r="EV598" s="319" t="s">
        <v>190</v>
      </c>
      <c r="EW598" s="319" t="s">
        <v>190</v>
      </c>
      <c r="EX598" s="319" t="s">
        <v>190</v>
      </c>
      <c r="EY598" s="319" t="s">
        <v>190</v>
      </c>
      <c r="EZ598" s="319" t="s">
        <v>190</v>
      </c>
      <c r="FA598" s="319" t="s">
        <v>428</v>
      </c>
      <c r="FB598" s="319" t="s">
        <v>190</v>
      </c>
      <c r="FC598" s="319" t="s">
        <v>190</v>
      </c>
      <c r="FD598" s="319" t="s">
        <v>190</v>
      </c>
      <c r="FE598" s="319" t="s">
        <v>190</v>
      </c>
      <c r="FF598" s="319" t="s">
        <v>190</v>
      </c>
      <c r="FG598" s="319" t="s">
        <v>190</v>
      </c>
      <c r="FH598" s="319" t="s">
        <v>190</v>
      </c>
      <c r="FI598" s="319" t="s">
        <v>190</v>
      </c>
      <c r="FJ598" s="319" t="s">
        <v>190</v>
      </c>
      <c r="FK598" s="319" t="s">
        <v>190</v>
      </c>
      <c r="FL598" s="319" t="s">
        <v>190</v>
      </c>
      <c r="FM598" s="319" t="s">
        <v>190</v>
      </c>
      <c r="FN598" s="319" t="s">
        <v>190</v>
      </c>
      <c r="FO598" s="319" t="s">
        <v>428</v>
      </c>
      <c r="FP598" s="319" t="s">
        <v>190</v>
      </c>
      <c r="FQ598" s="319" t="s">
        <v>190</v>
      </c>
      <c r="FR598" s="319" t="s">
        <v>190</v>
      </c>
      <c r="FS598" s="319" t="s">
        <v>428</v>
      </c>
      <c r="FT598" s="319" t="s">
        <v>190</v>
      </c>
      <c r="FU598" s="319" t="s">
        <v>190</v>
      </c>
      <c r="FV598" s="319" t="s">
        <v>190</v>
      </c>
      <c r="FW598" s="319" t="s">
        <v>190</v>
      </c>
      <c r="FX598" s="319" t="s">
        <v>190</v>
      </c>
      <c r="FY598" s="319" t="s">
        <v>190</v>
      </c>
      <c r="FZ598" s="319" t="s">
        <v>190</v>
      </c>
      <c r="GA598" s="319" t="s">
        <v>190</v>
      </c>
      <c r="GB598" s="319" t="s">
        <v>190</v>
      </c>
      <c r="GC598" s="319" t="s">
        <v>190</v>
      </c>
      <c r="GD598" s="319" t="s">
        <v>190</v>
      </c>
      <c r="GE598" s="319" t="s">
        <v>190</v>
      </c>
      <c r="GF598" s="319" t="s">
        <v>190</v>
      </c>
      <c r="GG598" s="319" t="s">
        <v>190</v>
      </c>
      <c r="GH598" s="319" t="s">
        <v>190</v>
      </c>
      <c r="GI598" s="319" t="s">
        <v>190</v>
      </c>
      <c r="GJ598" s="319" t="s">
        <v>190</v>
      </c>
      <c r="GK598" s="319" t="s">
        <v>428</v>
      </c>
      <c r="GL598" s="319" t="s">
        <v>190</v>
      </c>
      <c r="GM598" s="319" t="s">
        <v>190</v>
      </c>
      <c r="GN598" s="319" t="s">
        <v>190</v>
      </c>
      <c r="GO598" s="319" t="s">
        <v>190</v>
      </c>
      <c r="GP598" s="319" t="s">
        <v>190</v>
      </c>
      <c r="GQ598" s="319" t="s">
        <v>428</v>
      </c>
      <c r="GR598" s="319" t="s">
        <v>190</v>
      </c>
      <c r="GS598" s="319" t="s">
        <v>190</v>
      </c>
      <c r="GT598" s="319" t="s">
        <v>428</v>
      </c>
      <c r="GU598" s="319" t="s">
        <v>190</v>
      </c>
      <c r="GV598" s="319" t="s">
        <v>190</v>
      </c>
      <c r="GW598" s="319" t="s">
        <v>190</v>
      </c>
      <c r="GX598" s="319" t="s">
        <v>190</v>
      </c>
      <c r="GY598" s="319" t="s">
        <v>190</v>
      </c>
      <c r="GZ598" s="319" t="s">
        <v>428</v>
      </c>
      <c r="HA598" s="319" t="s">
        <v>190</v>
      </c>
      <c r="HB598" s="319" t="s">
        <v>190</v>
      </c>
      <c r="HC598" s="319" t="s">
        <v>190</v>
      </c>
      <c r="HD598" s="319" t="s">
        <v>190</v>
      </c>
      <c r="HE598" s="319" t="s">
        <v>190</v>
      </c>
      <c r="HF598" s="319" t="s">
        <v>190</v>
      </c>
      <c r="HG598" s="319" t="s">
        <v>190</v>
      </c>
      <c r="HH598" s="319" t="s">
        <v>190</v>
      </c>
      <c r="HI598" s="319" t="s">
        <v>190</v>
      </c>
      <c r="HJ598" s="319" t="s">
        <v>190</v>
      </c>
      <c r="HK598" s="319" t="s">
        <v>190</v>
      </c>
      <c r="HL598" s="319" t="s">
        <v>190</v>
      </c>
      <c r="HM598" s="319" t="s">
        <v>428</v>
      </c>
      <c r="HN598" s="319" t="s">
        <v>428</v>
      </c>
      <c r="HO598" s="319" t="s">
        <v>428</v>
      </c>
      <c r="HP598" s="319" t="s">
        <v>190</v>
      </c>
      <c r="HQ598" s="319" t="s">
        <v>190</v>
      </c>
      <c r="HR598" s="319" t="s">
        <v>190</v>
      </c>
      <c r="HS598" s="319" t="s">
        <v>190</v>
      </c>
      <c r="HT598" s="319" t="s">
        <v>190</v>
      </c>
      <c r="HU598" s="319" t="s">
        <v>190</v>
      </c>
      <c r="HV598" s="319" t="s">
        <v>190</v>
      </c>
      <c r="HW598" s="319" t="s">
        <v>190</v>
      </c>
      <c r="HX598" s="319" t="s">
        <v>190</v>
      </c>
      <c r="HY598" s="319" t="s">
        <v>190</v>
      </c>
      <c r="HZ598" s="319" t="s">
        <v>190</v>
      </c>
      <c r="IA598" s="319" t="s">
        <v>190</v>
      </c>
      <c r="IB598" s="319" t="s">
        <v>190</v>
      </c>
      <c r="IC598" s="319" t="s">
        <v>190</v>
      </c>
      <c r="ID598" s="319" t="s">
        <v>190</v>
      </c>
      <c r="IE598" s="319" t="s">
        <v>190</v>
      </c>
      <c r="IF598" s="319" t="s">
        <v>190</v>
      </c>
      <c r="IG598" s="319" t="s">
        <v>190</v>
      </c>
      <c r="IH598" s="319" t="s">
        <v>190</v>
      </c>
      <c r="II598" s="319" t="s">
        <v>190</v>
      </c>
      <c r="IJ598" s="319" t="s">
        <v>3353</v>
      </c>
      <c r="IK598" s="321">
        <v>41968</v>
      </c>
      <c r="IL598" s="321">
        <v>41970</v>
      </c>
      <c r="IM598" s="321">
        <v>42039</v>
      </c>
      <c r="IN598" s="319">
        <v>1</v>
      </c>
      <c r="IO598" s="319" t="s">
        <v>173</v>
      </c>
      <c r="IP598" s="319" t="s">
        <v>173</v>
      </c>
      <c r="IQ598" s="321" t="s">
        <v>173</v>
      </c>
      <c r="IR598" s="320" t="s">
        <v>173</v>
      </c>
      <c r="IS598" s="322" t="s">
        <v>173</v>
      </c>
      <c r="IT598" s="319" t="s">
        <v>173</v>
      </c>
    </row>
    <row r="599" spans="1:254" s="271" customFormat="1" x14ac:dyDescent="0.25">
      <c r="A599" s="318" t="str">
        <f>HYPERLINK("http://www.ofsted.gov.uk/inspection-reports/find-inspection-report/provider/ELS/136069 ","Ofsted School Webpage")</f>
        <v>Ofsted School Webpage</v>
      </c>
      <c r="B599" s="319">
        <v>136069</v>
      </c>
      <c r="C599" s="319">
        <v>8886056</v>
      </c>
      <c r="D599" s="319" t="s">
        <v>1064</v>
      </c>
      <c r="E599" s="319" t="s">
        <v>168</v>
      </c>
      <c r="F599" s="319" t="s">
        <v>81</v>
      </c>
      <c r="G599" s="319" t="s">
        <v>81</v>
      </c>
      <c r="H599" s="319" t="s">
        <v>81</v>
      </c>
      <c r="I599" s="319" t="s">
        <v>78</v>
      </c>
      <c r="J599" s="319" t="s">
        <v>424</v>
      </c>
      <c r="K599" s="319" t="s">
        <v>431</v>
      </c>
      <c r="L599" s="319" t="s">
        <v>431</v>
      </c>
      <c r="M599" s="319" t="s">
        <v>469</v>
      </c>
      <c r="N599" s="319" t="s">
        <v>3354</v>
      </c>
      <c r="O599" s="319" t="s">
        <v>1065</v>
      </c>
      <c r="P599" s="319">
        <v>10</v>
      </c>
      <c r="Q599" s="319" t="s">
        <v>429</v>
      </c>
      <c r="R599" s="320">
        <v>10067907</v>
      </c>
      <c r="S599" s="321">
        <v>43543</v>
      </c>
      <c r="T599" s="321">
        <v>43545</v>
      </c>
      <c r="U599" s="321">
        <v>43580</v>
      </c>
      <c r="V599" s="319" t="s">
        <v>425</v>
      </c>
      <c r="W599" s="319" t="s">
        <v>2767</v>
      </c>
      <c r="X599" s="319">
        <v>2</v>
      </c>
      <c r="Y599" s="319" t="s">
        <v>173</v>
      </c>
      <c r="Z599" s="319" t="s">
        <v>173</v>
      </c>
      <c r="AA599" s="319" t="s">
        <v>173</v>
      </c>
      <c r="AB599" s="319">
        <v>2</v>
      </c>
      <c r="AC599" s="319" t="s">
        <v>169</v>
      </c>
      <c r="AD599" s="319" t="s">
        <v>173</v>
      </c>
      <c r="AE599" s="319" t="s">
        <v>173</v>
      </c>
      <c r="AF599" s="319" t="s">
        <v>427</v>
      </c>
      <c r="AG599" s="319" t="s">
        <v>171</v>
      </c>
      <c r="AH599" s="319" t="s">
        <v>190</v>
      </c>
      <c r="AI599" s="319" t="s">
        <v>190</v>
      </c>
      <c r="AJ599" s="319" t="s">
        <v>190</v>
      </c>
      <c r="AK599" s="319" t="s">
        <v>190</v>
      </c>
      <c r="AL599" s="319" t="s">
        <v>190</v>
      </c>
      <c r="AM599" s="319" t="s">
        <v>190</v>
      </c>
      <c r="AN599" s="319" t="s">
        <v>190</v>
      </c>
      <c r="AO599" s="319" t="s">
        <v>190</v>
      </c>
      <c r="AP599" s="319" t="s">
        <v>190</v>
      </c>
      <c r="AQ599" s="319" t="s">
        <v>190</v>
      </c>
      <c r="AR599" s="319" t="s">
        <v>190</v>
      </c>
      <c r="AS599" s="319" t="s">
        <v>190</v>
      </c>
      <c r="AT599" s="319" t="s">
        <v>190</v>
      </c>
      <c r="AU599" s="319" t="s">
        <v>190</v>
      </c>
      <c r="AV599" s="319" t="s">
        <v>190</v>
      </c>
      <c r="AW599" s="319" t="s">
        <v>190</v>
      </c>
      <c r="AX599" s="319" t="s">
        <v>428</v>
      </c>
      <c r="AY599" s="319" t="s">
        <v>190</v>
      </c>
      <c r="AZ599" s="319" t="s">
        <v>190</v>
      </c>
      <c r="BA599" s="319" t="s">
        <v>190</v>
      </c>
      <c r="BB599" s="319" t="s">
        <v>190</v>
      </c>
      <c r="BC599" s="319" t="s">
        <v>190</v>
      </c>
      <c r="BD599" s="319" t="s">
        <v>190</v>
      </c>
      <c r="BE599" s="319" t="s">
        <v>190</v>
      </c>
      <c r="BF599" s="319" t="s">
        <v>190</v>
      </c>
      <c r="BG599" s="319" t="s">
        <v>190</v>
      </c>
      <c r="BH599" s="319" t="s">
        <v>190</v>
      </c>
      <c r="BI599" s="319" t="s">
        <v>190</v>
      </c>
      <c r="BJ599" s="319" t="s">
        <v>190</v>
      </c>
      <c r="BK599" s="319" t="s">
        <v>190</v>
      </c>
      <c r="BL599" s="319" t="s">
        <v>190</v>
      </c>
      <c r="BM599" s="319" t="s">
        <v>190</v>
      </c>
      <c r="BN599" s="319" t="s">
        <v>190</v>
      </c>
      <c r="BO599" s="319" t="s">
        <v>190</v>
      </c>
      <c r="BP599" s="319" t="s">
        <v>190</v>
      </c>
      <c r="BQ599" s="319" t="s">
        <v>190</v>
      </c>
      <c r="BR599" s="319" t="s">
        <v>190</v>
      </c>
      <c r="BS599" s="319" t="s">
        <v>190</v>
      </c>
      <c r="BT599" s="319" t="s">
        <v>190</v>
      </c>
      <c r="BU599" s="319" t="s">
        <v>190</v>
      </c>
      <c r="BV599" s="319" t="s">
        <v>190</v>
      </c>
      <c r="BW599" s="319" t="s">
        <v>190</v>
      </c>
      <c r="BX599" s="319" t="s">
        <v>190</v>
      </c>
      <c r="BY599" s="319" t="s">
        <v>190</v>
      </c>
      <c r="BZ599" s="319" t="s">
        <v>190</v>
      </c>
      <c r="CA599" s="319" t="s">
        <v>190</v>
      </c>
      <c r="CB599" s="319" t="s">
        <v>190</v>
      </c>
      <c r="CC599" s="319" t="s">
        <v>190</v>
      </c>
      <c r="CD599" s="319" t="s">
        <v>190</v>
      </c>
      <c r="CE599" s="319" t="s">
        <v>190</v>
      </c>
      <c r="CF599" s="319" t="s">
        <v>190</v>
      </c>
      <c r="CG599" s="319" t="s">
        <v>190</v>
      </c>
      <c r="CH599" s="319" t="s">
        <v>190</v>
      </c>
      <c r="CI599" s="319" t="s">
        <v>190</v>
      </c>
      <c r="CJ599" s="319" t="s">
        <v>190</v>
      </c>
      <c r="CK599" s="319" t="s">
        <v>190</v>
      </c>
      <c r="CL599" s="319" t="s">
        <v>190</v>
      </c>
      <c r="CM599" s="319" t="s">
        <v>190</v>
      </c>
      <c r="CN599" s="319" t="s">
        <v>190</v>
      </c>
      <c r="CO599" s="319" t="s">
        <v>428</v>
      </c>
      <c r="CP599" s="319" t="s">
        <v>428</v>
      </c>
      <c r="CQ599" s="319" t="s">
        <v>190</v>
      </c>
      <c r="CR599" s="319" t="s">
        <v>190</v>
      </c>
      <c r="CS599" s="319" t="s">
        <v>190</v>
      </c>
      <c r="CT599" s="319" t="s">
        <v>190</v>
      </c>
      <c r="CU599" s="319" t="s">
        <v>190</v>
      </c>
      <c r="CV599" s="319" t="s">
        <v>190</v>
      </c>
      <c r="CW599" s="319" t="s">
        <v>190</v>
      </c>
      <c r="CX599" s="319" t="s">
        <v>190</v>
      </c>
      <c r="CY599" s="319" t="s">
        <v>190</v>
      </c>
      <c r="CZ599" s="319" t="s">
        <v>190</v>
      </c>
      <c r="DA599" s="319" t="s">
        <v>190</v>
      </c>
      <c r="DB599" s="319" t="s">
        <v>190</v>
      </c>
      <c r="DC599" s="319" t="s">
        <v>190</v>
      </c>
      <c r="DD599" s="319" t="s">
        <v>428</v>
      </c>
      <c r="DE599" s="319" t="s">
        <v>190</v>
      </c>
      <c r="DF599" s="319" t="s">
        <v>190</v>
      </c>
      <c r="DG599" s="319" t="s">
        <v>190</v>
      </c>
      <c r="DH599" s="319" t="s">
        <v>190</v>
      </c>
      <c r="DI599" s="319" t="s">
        <v>190</v>
      </c>
      <c r="DJ599" s="319" t="s">
        <v>190</v>
      </c>
      <c r="DK599" s="319" t="s">
        <v>190</v>
      </c>
      <c r="DL599" s="319" t="s">
        <v>190</v>
      </c>
      <c r="DM599" s="319" t="s">
        <v>190</v>
      </c>
      <c r="DN599" s="319" t="s">
        <v>428</v>
      </c>
      <c r="DO599" s="319" t="s">
        <v>190</v>
      </c>
      <c r="DP599" s="319" t="s">
        <v>190</v>
      </c>
      <c r="DQ599" s="319" t="s">
        <v>190</v>
      </c>
      <c r="DR599" s="319" t="s">
        <v>190</v>
      </c>
      <c r="DS599" s="319" t="s">
        <v>190</v>
      </c>
      <c r="DT599" s="319" t="s">
        <v>190</v>
      </c>
      <c r="DU599" s="319" t="s">
        <v>190</v>
      </c>
      <c r="DV599" s="319" t="s">
        <v>173</v>
      </c>
      <c r="DW599" s="319" t="s">
        <v>190</v>
      </c>
      <c r="DX599" s="319" t="s">
        <v>190</v>
      </c>
      <c r="DY599" s="319" t="s">
        <v>190</v>
      </c>
      <c r="DZ599" s="319" t="s">
        <v>190</v>
      </c>
      <c r="EA599" s="319" t="s">
        <v>190</v>
      </c>
      <c r="EB599" s="319" t="s">
        <v>190</v>
      </c>
      <c r="EC599" s="319" t="s">
        <v>428</v>
      </c>
      <c r="ED599" s="319" t="s">
        <v>190</v>
      </c>
      <c r="EE599" s="319" t="s">
        <v>190</v>
      </c>
      <c r="EF599" s="319" t="s">
        <v>190</v>
      </c>
      <c r="EG599" s="319" t="s">
        <v>190</v>
      </c>
      <c r="EH599" s="319" t="s">
        <v>190</v>
      </c>
      <c r="EI599" s="319" t="s">
        <v>190</v>
      </c>
      <c r="EJ599" s="319" t="s">
        <v>190</v>
      </c>
      <c r="EK599" s="319" t="s">
        <v>190</v>
      </c>
      <c r="EL599" s="319" t="s">
        <v>190</v>
      </c>
      <c r="EM599" s="319" t="s">
        <v>190</v>
      </c>
      <c r="EN599" s="319" t="s">
        <v>190</v>
      </c>
      <c r="EO599" s="319" t="s">
        <v>190</v>
      </c>
      <c r="EP599" s="319" t="s">
        <v>190</v>
      </c>
      <c r="EQ599" s="319" t="s">
        <v>190</v>
      </c>
      <c r="ER599" s="319" t="s">
        <v>190</v>
      </c>
      <c r="ES599" s="319" t="s">
        <v>190</v>
      </c>
      <c r="ET599" s="319" t="s">
        <v>190</v>
      </c>
      <c r="EU599" s="319" t="s">
        <v>190</v>
      </c>
      <c r="EV599" s="319" t="s">
        <v>190</v>
      </c>
      <c r="EW599" s="319" t="s">
        <v>190</v>
      </c>
      <c r="EX599" s="319" t="s">
        <v>190</v>
      </c>
      <c r="EY599" s="319" t="s">
        <v>190</v>
      </c>
      <c r="EZ599" s="319" t="s">
        <v>190</v>
      </c>
      <c r="FA599" s="319" t="s">
        <v>190</v>
      </c>
      <c r="FB599" s="319" t="s">
        <v>190</v>
      </c>
      <c r="FC599" s="319" t="s">
        <v>190</v>
      </c>
      <c r="FD599" s="319" t="s">
        <v>190</v>
      </c>
      <c r="FE599" s="319" t="s">
        <v>190</v>
      </c>
      <c r="FF599" s="319" t="s">
        <v>190</v>
      </c>
      <c r="FG599" s="319" t="s">
        <v>190</v>
      </c>
      <c r="FH599" s="319" t="s">
        <v>190</v>
      </c>
      <c r="FI599" s="319" t="s">
        <v>190</v>
      </c>
      <c r="FJ599" s="319" t="s">
        <v>190</v>
      </c>
      <c r="FK599" s="319" t="s">
        <v>190</v>
      </c>
      <c r="FL599" s="319" t="s">
        <v>190</v>
      </c>
      <c r="FM599" s="319" t="s">
        <v>190</v>
      </c>
      <c r="FN599" s="319" t="s">
        <v>190</v>
      </c>
      <c r="FO599" s="319" t="s">
        <v>190</v>
      </c>
      <c r="FP599" s="319" t="s">
        <v>190</v>
      </c>
      <c r="FQ599" s="319" t="s">
        <v>190</v>
      </c>
      <c r="FR599" s="319" t="s">
        <v>190</v>
      </c>
      <c r="FS599" s="319" t="s">
        <v>190</v>
      </c>
      <c r="FT599" s="319" t="s">
        <v>190</v>
      </c>
      <c r="FU599" s="319" t="s">
        <v>190</v>
      </c>
      <c r="FV599" s="319" t="s">
        <v>190</v>
      </c>
      <c r="FW599" s="319" t="s">
        <v>190</v>
      </c>
      <c r="FX599" s="319" t="s">
        <v>190</v>
      </c>
      <c r="FY599" s="319" t="s">
        <v>190</v>
      </c>
      <c r="FZ599" s="319" t="s">
        <v>190</v>
      </c>
      <c r="GA599" s="319" t="s">
        <v>190</v>
      </c>
      <c r="GB599" s="319" t="s">
        <v>190</v>
      </c>
      <c r="GC599" s="319" t="s">
        <v>190</v>
      </c>
      <c r="GD599" s="319" t="s">
        <v>190</v>
      </c>
      <c r="GE599" s="319" t="s">
        <v>190</v>
      </c>
      <c r="GF599" s="319" t="s">
        <v>190</v>
      </c>
      <c r="GG599" s="319" t="s">
        <v>190</v>
      </c>
      <c r="GH599" s="319" t="s">
        <v>190</v>
      </c>
      <c r="GI599" s="319" t="s">
        <v>190</v>
      </c>
      <c r="GJ599" s="319" t="s">
        <v>190</v>
      </c>
      <c r="GK599" s="319" t="s">
        <v>428</v>
      </c>
      <c r="GL599" s="319" t="s">
        <v>190</v>
      </c>
      <c r="GM599" s="319" t="s">
        <v>190</v>
      </c>
      <c r="GN599" s="319" t="s">
        <v>190</v>
      </c>
      <c r="GO599" s="319" t="s">
        <v>190</v>
      </c>
      <c r="GP599" s="319" t="s">
        <v>190</v>
      </c>
      <c r="GQ599" s="319" t="s">
        <v>190</v>
      </c>
      <c r="GR599" s="319" t="s">
        <v>190</v>
      </c>
      <c r="GS599" s="319" t="s">
        <v>190</v>
      </c>
      <c r="GT599" s="319" t="s">
        <v>190</v>
      </c>
      <c r="GU599" s="319" t="s">
        <v>190</v>
      </c>
      <c r="GV599" s="319" t="s">
        <v>190</v>
      </c>
      <c r="GW599" s="319" t="s">
        <v>190</v>
      </c>
      <c r="GX599" s="319" t="s">
        <v>190</v>
      </c>
      <c r="GY599" s="319" t="s">
        <v>190</v>
      </c>
      <c r="GZ599" s="319" t="s">
        <v>190</v>
      </c>
      <c r="HA599" s="319" t="s">
        <v>190</v>
      </c>
      <c r="HB599" s="319" t="s">
        <v>190</v>
      </c>
      <c r="HC599" s="319" t="s">
        <v>190</v>
      </c>
      <c r="HD599" s="319" t="s">
        <v>190</v>
      </c>
      <c r="HE599" s="319" t="s">
        <v>190</v>
      </c>
      <c r="HF599" s="319" t="s">
        <v>190</v>
      </c>
      <c r="HG599" s="319" t="s">
        <v>190</v>
      </c>
      <c r="HH599" s="319" t="s">
        <v>190</v>
      </c>
      <c r="HI599" s="319" t="s">
        <v>190</v>
      </c>
      <c r="HJ599" s="319" t="s">
        <v>190</v>
      </c>
      <c r="HK599" s="319" t="s">
        <v>190</v>
      </c>
      <c r="HL599" s="319" t="s">
        <v>190</v>
      </c>
      <c r="HM599" s="319" t="s">
        <v>190</v>
      </c>
      <c r="HN599" s="319" t="s">
        <v>190</v>
      </c>
      <c r="HO599" s="319" t="s">
        <v>190</v>
      </c>
      <c r="HP599" s="319" t="s">
        <v>190</v>
      </c>
      <c r="HQ599" s="319" t="s">
        <v>190</v>
      </c>
      <c r="HR599" s="319" t="s">
        <v>190</v>
      </c>
      <c r="HS599" s="319" t="s">
        <v>190</v>
      </c>
      <c r="HT599" s="319" t="s">
        <v>190</v>
      </c>
      <c r="HU599" s="319" t="s">
        <v>190</v>
      </c>
      <c r="HV599" s="319" t="s">
        <v>190</v>
      </c>
      <c r="HW599" s="319" t="s">
        <v>190</v>
      </c>
      <c r="HX599" s="319" t="s">
        <v>190</v>
      </c>
      <c r="HY599" s="319" t="s">
        <v>190</v>
      </c>
      <c r="HZ599" s="319" t="s">
        <v>190</v>
      </c>
      <c r="IA599" s="319" t="s">
        <v>190</v>
      </c>
      <c r="IB599" s="319" t="s">
        <v>190</v>
      </c>
      <c r="IC599" s="319" t="s">
        <v>190</v>
      </c>
      <c r="ID599" s="319" t="s">
        <v>190</v>
      </c>
      <c r="IE599" s="319" t="s">
        <v>190</v>
      </c>
      <c r="IF599" s="319" t="s">
        <v>190</v>
      </c>
      <c r="IG599" s="319" t="s">
        <v>190</v>
      </c>
      <c r="IH599" s="319" t="s">
        <v>190</v>
      </c>
      <c r="II599" s="319" t="s">
        <v>190</v>
      </c>
      <c r="IJ599" s="319">
        <v>10038930</v>
      </c>
      <c r="IK599" s="321">
        <v>42990</v>
      </c>
      <c r="IL599" s="321">
        <v>42992</v>
      </c>
      <c r="IM599" s="321">
        <v>43014</v>
      </c>
      <c r="IN599" s="319">
        <v>3</v>
      </c>
      <c r="IO599" s="319" t="s">
        <v>173</v>
      </c>
      <c r="IP599" s="319" t="s">
        <v>173</v>
      </c>
      <c r="IQ599" s="321" t="s">
        <v>173</v>
      </c>
      <c r="IR599" s="320" t="s">
        <v>173</v>
      </c>
      <c r="IS599" s="322" t="s">
        <v>173</v>
      </c>
      <c r="IT599" s="319" t="s">
        <v>173</v>
      </c>
    </row>
    <row r="600" spans="1:254" s="271" customFormat="1" x14ac:dyDescent="0.25">
      <c r="A600" s="318" t="str">
        <f>HYPERLINK("http://www.ofsted.gov.uk/inspection-reports/find-inspection-report/provider/ELS/136086 ","Ofsted School Webpage")</f>
        <v>Ofsted School Webpage</v>
      </c>
      <c r="B600" s="319">
        <v>136086</v>
      </c>
      <c r="C600" s="319">
        <v>3556057</v>
      </c>
      <c r="D600" s="319" t="s">
        <v>3355</v>
      </c>
      <c r="E600" s="319" t="s">
        <v>167</v>
      </c>
      <c r="F600" s="319" t="s">
        <v>81</v>
      </c>
      <c r="G600" s="319" t="s">
        <v>69</v>
      </c>
      <c r="H600" s="319" t="s">
        <v>69</v>
      </c>
      <c r="I600" s="319" t="s">
        <v>69</v>
      </c>
      <c r="J600" s="319" t="s">
        <v>424</v>
      </c>
      <c r="K600" s="319" t="s">
        <v>431</v>
      </c>
      <c r="L600" s="319" t="s">
        <v>431</v>
      </c>
      <c r="M600" s="319" t="s">
        <v>533</v>
      </c>
      <c r="N600" s="319" t="s">
        <v>2874</v>
      </c>
      <c r="O600" s="319" t="s">
        <v>2037</v>
      </c>
      <c r="P600" s="319">
        <v>134</v>
      </c>
      <c r="Q600" s="319" t="s">
        <v>2766</v>
      </c>
      <c r="R600" s="320">
        <v>10038931</v>
      </c>
      <c r="S600" s="321">
        <v>43292</v>
      </c>
      <c r="T600" s="321">
        <v>43294</v>
      </c>
      <c r="U600" s="321">
        <v>43424</v>
      </c>
      <c r="V600" s="319" t="s">
        <v>425</v>
      </c>
      <c r="W600" s="319" t="s">
        <v>2767</v>
      </c>
      <c r="X600" s="319">
        <v>3</v>
      </c>
      <c r="Y600" s="319" t="s">
        <v>173</v>
      </c>
      <c r="Z600" s="319" t="s">
        <v>173</v>
      </c>
      <c r="AA600" s="319" t="s">
        <v>173</v>
      </c>
      <c r="AB600" s="319">
        <v>3</v>
      </c>
      <c r="AC600" s="319" t="s">
        <v>169</v>
      </c>
      <c r="AD600" s="319" t="s">
        <v>173</v>
      </c>
      <c r="AE600" s="319" t="s">
        <v>173</v>
      </c>
      <c r="AF600" s="319" t="s">
        <v>427</v>
      </c>
      <c r="AG600" s="319" t="s">
        <v>172</v>
      </c>
      <c r="AH600" s="319" t="s">
        <v>479</v>
      </c>
      <c r="AI600" s="319" t="s">
        <v>479</v>
      </c>
      <c r="AJ600" s="319" t="s">
        <v>190</v>
      </c>
      <c r="AK600" s="319" t="s">
        <v>190</v>
      </c>
      <c r="AL600" s="319" t="s">
        <v>190</v>
      </c>
      <c r="AM600" s="319" t="s">
        <v>190</v>
      </c>
      <c r="AN600" s="319" t="s">
        <v>190</v>
      </c>
      <c r="AO600" s="319" t="s">
        <v>479</v>
      </c>
      <c r="AP600" s="319" t="s">
        <v>191</v>
      </c>
      <c r="AQ600" s="319" t="s">
        <v>191</v>
      </c>
      <c r="AR600" s="319" t="s">
        <v>190</v>
      </c>
      <c r="AS600" s="319" t="s">
        <v>190</v>
      </c>
      <c r="AT600" s="319" t="s">
        <v>190</v>
      </c>
      <c r="AU600" s="319" t="s">
        <v>191</v>
      </c>
      <c r="AV600" s="319" t="s">
        <v>190</v>
      </c>
      <c r="AW600" s="319" t="s">
        <v>190</v>
      </c>
      <c r="AX600" s="319" t="s">
        <v>190</v>
      </c>
      <c r="AY600" s="319" t="s">
        <v>191</v>
      </c>
      <c r="AZ600" s="319" t="s">
        <v>190</v>
      </c>
      <c r="BA600" s="319" t="s">
        <v>191</v>
      </c>
      <c r="BB600" s="319" t="s">
        <v>190</v>
      </c>
      <c r="BC600" s="319" t="s">
        <v>190</v>
      </c>
      <c r="BD600" s="319" t="s">
        <v>190</v>
      </c>
      <c r="BE600" s="319" t="s">
        <v>190</v>
      </c>
      <c r="BF600" s="319" t="s">
        <v>428</v>
      </c>
      <c r="BG600" s="319" t="s">
        <v>428</v>
      </c>
      <c r="BH600" s="319" t="s">
        <v>190</v>
      </c>
      <c r="BI600" s="319" t="s">
        <v>190</v>
      </c>
      <c r="BJ600" s="319" t="s">
        <v>190</v>
      </c>
      <c r="BK600" s="319" t="s">
        <v>190</v>
      </c>
      <c r="BL600" s="319" t="s">
        <v>190</v>
      </c>
      <c r="BM600" s="319" t="s">
        <v>190</v>
      </c>
      <c r="BN600" s="319" t="s">
        <v>190</v>
      </c>
      <c r="BO600" s="319" t="s">
        <v>190</v>
      </c>
      <c r="BP600" s="319" t="s">
        <v>190</v>
      </c>
      <c r="BQ600" s="319" t="s">
        <v>190</v>
      </c>
      <c r="BR600" s="319" t="s">
        <v>190</v>
      </c>
      <c r="BS600" s="319" t="s">
        <v>190</v>
      </c>
      <c r="BT600" s="319" t="s">
        <v>190</v>
      </c>
      <c r="BU600" s="319" t="s">
        <v>190</v>
      </c>
      <c r="BV600" s="319" t="s">
        <v>191</v>
      </c>
      <c r="BW600" s="319" t="s">
        <v>190</v>
      </c>
      <c r="BX600" s="319" t="s">
        <v>191</v>
      </c>
      <c r="BY600" s="319" t="s">
        <v>190</v>
      </c>
      <c r="BZ600" s="319" t="s">
        <v>190</v>
      </c>
      <c r="CA600" s="319" t="s">
        <v>190</v>
      </c>
      <c r="CB600" s="319" t="s">
        <v>190</v>
      </c>
      <c r="CC600" s="319" t="s">
        <v>190</v>
      </c>
      <c r="CD600" s="319" t="s">
        <v>191</v>
      </c>
      <c r="CE600" s="319" t="s">
        <v>190</v>
      </c>
      <c r="CF600" s="319" t="s">
        <v>190</v>
      </c>
      <c r="CG600" s="319" t="s">
        <v>190</v>
      </c>
      <c r="CH600" s="319" t="s">
        <v>190</v>
      </c>
      <c r="CI600" s="319" t="s">
        <v>190</v>
      </c>
      <c r="CJ600" s="319" t="s">
        <v>190</v>
      </c>
      <c r="CK600" s="319" t="s">
        <v>190</v>
      </c>
      <c r="CL600" s="319" t="s">
        <v>190</v>
      </c>
      <c r="CM600" s="319" t="s">
        <v>190</v>
      </c>
      <c r="CN600" s="319" t="s">
        <v>428</v>
      </c>
      <c r="CO600" s="319" t="s">
        <v>428</v>
      </c>
      <c r="CP600" s="319" t="s">
        <v>428</v>
      </c>
      <c r="CQ600" s="319" t="s">
        <v>190</v>
      </c>
      <c r="CR600" s="319" t="s">
        <v>190</v>
      </c>
      <c r="CS600" s="319" t="s">
        <v>190</v>
      </c>
      <c r="CT600" s="319" t="s">
        <v>190</v>
      </c>
      <c r="CU600" s="319" t="s">
        <v>190</v>
      </c>
      <c r="CV600" s="319" t="s">
        <v>190</v>
      </c>
      <c r="CW600" s="319" t="s">
        <v>190</v>
      </c>
      <c r="CX600" s="319" t="s">
        <v>190</v>
      </c>
      <c r="CY600" s="319" t="s">
        <v>190</v>
      </c>
      <c r="CZ600" s="319" t="s">
        <v>190</v>
      </c>
      <c r="DA600" s="319" t="s">
        <v>190</v>
      </c>
      <c r="DB600" s="319" t="s">
        <v>190</v>
      </c>
      <c r="DC600" s="319" t="s">
        <v>190</v>
      </c>
      <c r="DD600" s="319" t="s">
        <v>190</v>
      </c>
      <c r="DE600" s="319" t="s">
        <v>190</v>
      </c>
      <c r="DF600" s="319" t="s">
        <v>190</v>
      </c>
      <c r="DG600" s="319" t="s">
        <v>190</v>
      </c>
      <c r="DH600" s="319" t="s">
        <v>190</v>
      </c>
      <c r="DI600" s="319" t="s">
        <v>190</v>
      </c>
      <c r="DJ600" s="319" t="s">
        <v>190</v>
      </c>
      <c r="DK600" s="319" t="s">
        <v>190</v>
      </c>
      <c r="DL600" s="319" t="s">
        <v>190</v>
      </c>
      <c r="DM600" s="319" t="s">
        <v>190</v>
      </c>
      <c r="DN600" s="319" t="s">
        <v>428</v>
      </c>
      <c r="DO600" s="319" t="s">
        <v>190</v>
      </c>
      <c r="DP600" s="319" t="s">
        <v>428</v>
      </c>
      <c r="DQ600" s="319" t="s">
        <v>428</v>
      </c>
      <c r="DR600" s="319" t="s">
        <v>428</v>
      </c>
      <c r="DS600" s="319" t="s">
        <v>428</v>
      </c>
      <c r="DT600" s="319" t="s">
        <v>428</v>
      </c>
      <c r="DU600" s="319" t="s">
        <v>428</v>
      </c>
      <c r="DV600" s="319" t="s">
        <v>173</v>
      </c>
      <c r="DW600" s="319" t="s">
        <v>428</v>
      </c>
      <c r="DX600" s="319" t="s">
        <v>428</v>
      </c>
      <c r="DY600" s="319" t="s">
        <v>428</v>
      </c>
      <c r="DZ600" s="319" t="s">
        <v>428</v>
      </c>
      <c r="EA600" s="319" t="s">
        <v>428</v>
      </c>
      <c r="EB600" s="319" t="s">
        <v>428</v>
      </c>
      <c r="EC600" s="319" t="s">
        <v>428</v>
      </c>
      <c r="ED600" s="319" t="s">
        <v>428</v>
      </c>
      <c r="EE600" s="319" t="s">
        <v>190</v>
      </c>
      <c r="EF600" s="319" t="s">
        <v>190</v>
      </c>
      <c r="EG600" s="319" t="s">
        <v>190</v>
      </c>
      <c r="EH600" s="319" t="s">
        <v>190</v>
      </c>
      <c r="EI600" s="319" t="s">
        <v>190</v>
      </c>
      <c r="EJ600" s="319" t="s">
        <v>190</v>
      </c>
      <c r="EK600" s="319" t="s">
        <v>190</v>
      </c>
      <c r="EL600" s="319" t="s">
        <v>190</v>
      </c>
      <c r="EM600" s="319" t="s">
        <v>190</v>
      </c>
      <c r="EN600" s="319" t="s">
        <v>190</v>
      </c>
      <c r="EO600" s="319" t="s">
        <v>190</v>
      </c>
      <c r="EP600" s="319" t="s">
        <v>190</v>
      </c>
      <c r="EQ600" s="319" t="s">
        <v>190</v>
      </c>
      <c r="ER600" s="319" t="s">
        <v>190</v>
      </c>
      <c r="ES600" s="319" t="s">
        <v>190</v>
      </c>
      <c r="ET600" s="319" t="s">
        <v>190</v>
      </c>
      <c r="EU600" s="319" t="s">
        <v>190</v>
      </c>
      <c r="EV600" s="319" t="s">
        <v>190</v>
      </c>
      <c r="EW600" s="319" t="s">
        <v>190</v>
      </c>
      <c r="EX600" s="319" t="s">
        <v>190</v>
      </c>
      <c r="EY600" s="319" t="s">
        <v>190</v>
      </c>
      <c r="EZ600" s="319" t="s">
        <v>190</v>
      </c>
      <c r="FA600" s="319" t="s">
        <v>190</v>
      </c>
      <c r="FB600" s="319" t="s">
        <v>428</v>
      </c>
      <c r="FC600" s="319" t="s">
        <v>428</v>
      </c>
      <c r="FD600" s="319" t="s">
        <v>428</v>
      </c>
      <c r="FE600" s="319" t="s">
        <v>428</v>
      </c>
      <c r="FF600" s="319" t="s">
        <v>428</v>
      </c>
      <c r="FG600" s="319" t="s">
        <v>428</v>
      </c>
      <c r="FH600" s="319" t="s">
        <v>190</v>
      </c>
      <c r="FI600" s="319" t="s">
        <v>190</v>
      </c>
      <c r="FJ600" s="319" t="s">
        <v>190</v>
      </c>
      <c r="FK600" s="319" t="s">
        <v>190</v>
      </c>
      <c r="FL600" s="319" t="s">
        <v>190</v>
      </c>
      <c r="FM600" s="319" t="s">
        <v>190</v>
      </c>
      <c r="FN600" s="319" t="s">
        <v>190</v>
      </c>
      <c r="FO600" s="319" t="s">
        <v>190</v>
      </c>
      <c r="FP600" s="319" t="s">
        <v>190</v>
      </c>
      <c r="FQ600" s="319" t="s">
        <v>190</v>
      </c>
      <c r="FR600" s="319" t="s">
        <v>190</v>
      </c>
      <c r="FS600" s="319" t="s">
        <v>428</v>
      </c>
      <c r="FT600" s="319" t="s">
        <v>190</v>
      </c>
      <c r="FU600" s="319" t="s">
        <v>190</v>
      </c>
      <c r="FV600" s="319" t="s">
        <v>190</v>
      </c>
      <c r="FW600" s="319" t="s">
        <v>190</v>
      </c>
      <c r="FX600" s="319" t="s">
        <v>190</v>
      </c>
      <c r="FY600" s="319" t="s">
        <v>190</v>
      </c>
      <c r="FZ600" s="319" t="s">
        <v>190</v>
      </c>
      <c r="GA600" s="319" t="s">
        <v>190</v>
      </c>
      <c r="GB600" s="319" t="s">
        <v>190</v>
      </c>
      <c r="GC600" s="319" t="s">
        <v>190</v>
      </c>
      <c r="GD600" s="319" t="s">
        <v>190</v>
      </c>
      <c r="GE600" s="319" t="s">
        <v>190</v>
      </c>
      <c r="GF600" s="319" t="s">
        <v>190</v>
      </c>
      <c r="GG600" s="319" t="s">
        <v>190</v>
      </c>
      <c r="GH600" s="319" t="s">
        <v>173</v>
      </c>
      <c r="GI600" s="319" t="s">
        <v>190</v>
      </c>
      <c r="GJ600" s="319" t="s">
        <v>190</v>
      </c>
      <c r="GK600" s="319" t="s">
        <v>428</v>
      </c>
      <c r="GL600" s="319" t="s">
        <v>190</v>
      </c>
      <c r="GM600" s="319" t="s">
        <v>190</v>
      </c>
      <c r="GN600" s="319" t="s">
        <v>190</v>
      </c>
      <c r="GO600" s="319" t="s">
        <v>190</v>
      </c>
      <c r="GP600" s="319" t="s">
        <v>190</v>
      </c>
      <c r="GQ600" s="319" t="s">
        <v>428</v>
      </c>
      <c r="GR600" s="319" t="s">
        <v>190</v>
      </c>
      <c r="GS600" s="319" t="s">
        <v>190</v>
      </c>
      <c r="GT600" s="319" t="s">
        <v>428</v>
      </c>
      <c r="GU600" s="319" t="s">
        <v>190</v>
      </c>
      <c r="GV600" s="319" t="s">
        <v>190</v>
      </c>
      <c r="GW600" s="319" t="s">
        <v>190</v>
      </c>
      <c r="GX600" s="319" t="s">
        <v>190</v>
      </c>
      <c r="GY600" s="319" t="s">
        <v>190</v>
      </c>
      <c r="GZ600" s="319" t="s">
        <v>190</v>
      </c>
      <c r="HA600" s="319" t="s">
        <v>190</v>
      </c>
      <c r="HB600" s="319" t="s">
        <v>190</v>
      </c>
      <c r="HC600" s="319" t="s">
        <v>190</v>
      </c>
      <c r="HD600" s="319" t="s">
        <v>190</v>
      </c>
      <c r="HE600" s="319" t="s">
        <v>190</v>
      </c>
      <c r="HF600" s="319" t="s">
        <v>190</v>
      </c>
      <c r="HG600" s="319" t="s">
        <v>190</v>
      </c>
      <c r="HH600" s="319" t="s">
        <v>190</v>
      </c>
      <c r="HI600" s="319" t="s">
        <v>190</v>
      </c>
      <c r="HJ600" s="319" t="s">
        <v>190</v>
      </c>
      <c r="HK600" s="319" t="s">
        <v>190</v>
      </c>
      <c r="HL600" s="319" t="s">
        <v>428</v>
      </c>
      <c r="HM600" s="319" t="s">
        <v>428</v>
      </c>
      <c r="HN600" s="319" t="s">
        <v>428</v>
      </c>
      <c r="HO600" s="319" t="s">
        <v>428</v>
      </c>
      <c r="HP600" s="319" t="s">
        <v>190</v>
      </c>
      <c r="HQ600" s="319" t="s">
        <v>190</v>
      </c>
      <c r="HR600" s="319" t="s">
        <v>190</v>
      </c>
      <c r="HS600" s="319" t="s">
        <v>190</v>
      </c>
      <c r="HT600" s="319" t="s">
        <v>190</v>
      </c>
      <c r="HU600" s="319" t="s">
        <v>190</v>
      </c>
      <c r="HV600" s="319" t="s">
        <v>190</v>
      </c>
      <c r="HW600" s="319" t="s">
        <v>190</v>
      </c>
      <c r="HX600" s="319" t="s">
        <v>190</v>
      </c>
      <c r="HY600" s="319" t="s">
        <v>190</v>
      </c>
      <c r="HZ600" s="319" t="s">
        <v>190</v>
      </c>
      <c r="IA600" s="319" t="s">
        <v>190</v>
      </c>
      <c r="IB600" s="319" t="s">
        <v>190</v>
      </c>
      <c r="IC600" s="319" t="s">
        <v>190</v>
      </c>
      <c r="ID600" s="319" t="s">
        <v>190</v>
      </c>
      <c r="IE600" s="319" t="s">
        <v>190</v>
      </c>
      <c r="IF600" s="319" t="s">
        <v>191</v>
      </c>
      <c r="IG600" s="319" t="s">
        <v>191</v>
      </c>
      <c r="IH600" s="319" t="s">
        <v>191</v>
      </c>
      <c r="II600" s="319" t="s">
        <v>190</v>
      </c>
      <c r="IJ600" s="319" t="s">
        <v>3356</v>
      </c>
      <c r="IK600" s="321">
        <v>41968</v>
      </c>
      <c r="IL600" s="321">
        <v>41970</v>
      </c>
      <c r="IM600" s="321">
        <v>42013</v>
      </c>
      <c r="IN600" s="319">
        <v>2</v>
      </c>
      <c r="IO600" s="319">
        <v>10107322</v>
      </c>
      <c r="IP600" s="319" t="s">
        <v>985</v>
      </c>
      <c r="IQ600" s="321">
        <v>43650</v>
      </c>
      <c r="IR600" s="320" t="s">
        <v>1223</v>
      </c>
      <c r="IS600" s="322">
        <v>43716</v>
      </c>
      <c r="IT600" s="319" t="s">
        <v>166</v>
      </c>
    </row>
    <row r="601" spans="1:254" s="271" customFormat="1" x14ac:dyDescent="0.25">
      <c r="A601" s="318" t="str">
        <f>HYPERLINK("http://www.ofsted.gov.uk/inspection-reports/find-inspection-report/provider/ELS/136088 ","Ofsted School Webpage")</f>
        <v>Ofsted School Webpage</v>
      </c>
      <c r="B601" s="319">
        <v>136088</v>
      </c>
      <c r="C601" s="319">
        <v>3436134</v>
      </c>
      <c r="D601" s="319" t="s">
        <v>2038</v>
      </c>
      <c r="E601" s="319" t="s">
        <v>168</v>
      </c>
      <c r="F601" s="319" t="s">
        <v>81</v>
      </c>
      <c r="G601" s="319" t="s">
        <v>81</v>
      </c>
      <c r="H601" s="319" t="s">
        <v>81</v>
      </c>
      <c r="I601" s="319" t="s">
        <v>78</v>
      </c>
      <c r="J601" s="319" t="s">
        <v>424</v>
      </c>
      <c r="K601" s="319" t="s">
        <v>431</v>
      </c>
      <c r="L601" s="319" t="s">
        <v>431</v>
      </c>
      <c r="M601" s="319" t="s">
        <v>2039</v>
      </c>
      <c r="N601" s="319" t="s">
        <v>3047</v>
      </c>
      <c r="O601" s="319" t="s">
        <v>3048</v>
      </c>
      <c r="P601" s="319">
        <v>31</v>
      </c>
      <c r="Q601" s="319" t="s">
        <v>429</v>
      </c>
      <c r="R601" s="320">
        <v>10026016</v>
      </c>
      <c r="S601" s="321">
        <v>42927</v>
      </c>
      <c r="T601" s="321">
        <v>42929</v>
      </c>
      <c r="U601" s="321">
        <v>42998</v>
      </c>
      <c r="V601" s="319" t="s">
        <v>425</v>
      </c>
      <c r="W601" s="319" t="s">
        <v>2767</v>
      </c>
      <c r="X601" s="319">
        <v>2</v>
      </c>
      <c r="Y601" s="319" t="s">
        <v>173</v>
      </c>
      <c r="Z601" s="319" t="s">
        <v>173</v>
      </c>
      <c r="AA601" s="319" t="s">
        <v>173</v>
      </c>
      <c r="AB601" s="319">
        <v>2</v>
      </c>
      <c r="AC601" s="319" t="s">
        <v>169</v>
      </c>
      <c r="AD601" s="319" t="s">
        <v>173</v>
      </c>
      <c r="AE601" s="319" t="s">
        <v>173</v>
      </c>
      <c r="AF601" s="319" t="s">
        <v>173</v>
      </c>
      <c r="AG601" s="319" t="s">
        <v>171</v>
      </c>
      <c r="AH601" s="319" t="s">
        <v>190</v>
      </c>
      <c r="AI601" s="319" t="s">
        <v>190</v>
      </c>
      <c r="AJ601" s="319" t="s">
        <v>190</v>
      </c>
      <c r="AK601" s="319" t="s">
        <v>190</v>
      </c>
      <c r="AL601" s="319" t="s">
        <v>190</v>
      </c>
      <c r="AM601" s="319" t="s">
        <v>190</v>
      </c>
      <c r="AN601" s="319" t="s">
        <v>190</v>
      </c>
      <c r="AO601" s="319" t="s">
        <v>190</v>
      </c>
      <c r="AP601" s="319" t="s">
        <v>190</v>
      </c>
      <c r="AQ601" s="319" t="s">
        <v>190</v>
      </c>
      <c r="AR601" s="319" t="s">
        <v>190</v>
      </c>
      <c r="AS601" s="319" t="s">
        <v>190</v>
      </c>
      <c r="AT601" s="319" t="s">
        <v>190</v>
      </c>
      <c r="AU601" s="319" t="s">
        <v>190</v>
      </c>
      <c r="AV601" s="319" t="s">
        <v>190</v>
      </c>
      <c r="AW601" s="319" t="s">
        <v>190</v>
      </c>
      <c r="AX601" s="319" t="s">
        <v>429</v>
      </c>
      <c r="AY601" s="319" t="s">
        <v>190</v>
      </c>
      <c r="AZ601" s="319" t="s">
        <v>190</v>
      </c>
      <c r="BA601" s="319" t="s">
        <v>190</v>
      </c>
      <c r="BB601" s="319" t="s">
        <v>190</v>
      </c>
      <c r="BC601" s="319" t="s">
        <v>190</v>
      </c>
      <c r="BD601" s="319" t="s">
        <v>190</v>
      </c>
      <c r="BE601" s="319" t="s">
        <v>190</v>
      </c>
      <c r="BF601" s="319" t="s">
        <v>429</v>
      </c>
      <c r="BG601" s="319" t="s">
        <v>429</v>
      </c>
      <c r="BH601" s="319" t="s">
        <v>190</v>
      </c>
      <c r="BI601" s="319" t="s">
        <v>190</v>
      </c>
      <c r="BJ601" s="319" t="s">
        <v>190</v>
      </c>
      <c r="BK601" s="319" t="s">
        <v>190</v>
      </c>
      <c r="BL601" s="319" t="s">
        <v>190</v>
      </c>
      <c r="BM601" s="319" t="s">
        <v>190</v>
      </c>
      <c r="BN601" s="319" t="s">
        <v>190</v>
      </c>
      <c r="BO601" s="319" t="s">
        <v>190</v>
      </c>
      <c r="BP601" s="319" t="s">
        <v>190</v>
      </c>
      <c r="BQ601" s="319" t="s">
        <v>190</v>
      </c>
      <c r="BR601" s="319" t="s">
        <v>190</v>
      </c>
      <c r="BS601" s="319" t="s">
        <v>190</v>
      </c>
      <c r="BT601" s="319" t="s">
        <v>190</v>
      </c>
      <c r="BU601" s="319" t="s">
        <v>190</v>
      </c>
      <c r="BV601" s="319" t="s">
        <v>190</v>
      </c>
      <c r="BW601" s="319" t="s">
        <v>190</v>
      </c>
      <c r="BX601" s="319" t="s">
        <v>190</v>
      </c>
      <c r="BY601" s="319" t="s">
        <v>190</v>
      </c>
      <c r="BZ601" s="319" t="s">
        <v>190</v>
      </c>
      <c r="CA601" s="319" t="s">
        <v>190</v>
      </c>
      <c r="CB601" s="319" t="s">
        <v>190</v>
      </c>
      <c r="CC601" s="319" t="s">
        <v>190</v>
      </c>
      <c r="CD601" s="319" t="s">
        <v>190</v>
      </c>
      <c r="CE601" s="319" t="s">
        <v>190</v>
      </c>
      <c r="CF601" s="319" t="s">
        <v>190</v>
      </c>
      <c r="CG601" s="319" t="s">
        <v>190</v>
      </c>
      <c r="CH601" s="319" t="s">
        <v>190</v>
      </c>
      <c r="CI601" s="319" t="s">
        <v>190</v>
      </c>
      <c r="CJ601" s="319" t="s">
        <v>190</v>
      </c>
      <c r="CK601" s="319" t="s">
        <v>190</v>
      </c>
      <c r="CL601" s="319" t="s">
        <v>190</v>
      </c>
      <c r="CM601" s="319" t="s">
        <v>190</v>
      </c>
      <c r="CN601" s="319" t="s">
        <v>190</v>
      </c>
      <c r="CO601" s="319" t="s">
        <v>429</v>
      </c>
      <c r="CP601" s="319" t="s">
        <v>429</v>
      </c>
      <c r="CQ601" s="319" t="s">
        <v>190</v>
      </c>
      <c r="CR601" s="319" t="s">
        <v>190</v>
      </c>
      <c r="CS601" s="319" t="s">
        <v>190</v>
      </c>
      <c r="CT601" s="319" t="s">
        <v>190</v>
      </c>
      <c r="CU601" s="319" t="s">
        <v>190</v>
      </c>
      <c r="CV601" s="319" t="s">
        <v>190</v>
      </c>
      <c r="CW601" s="319" t="s">
        <v>190</v>
      </c>
      <c r="CX601" s="319" t="s">
        <v>190</v>
      </c>
      <c r="CY601" s="319" t="s">
        <v>190</v>
      </c>
      <c r="CZ601" s="319" t="s">
        <v>190</v>
      </c>
      <c r="DA601" s="319" t="s">
        <v>190</v>
      </c>
      <c r="DB601" s="319" t="s">
        <v>190</v>
      </c>
      <c r="DC601" s="319" t="s">
        <v>190</v>
      </c>
      <c r="DD601" s="319" t="s">
        <v>190</v>
      </c>
      <c r="DE601" s="319" t="s">
        <v>190</v>
      </c>
      <c r="DF601" s="319" t="s">
        <v>190</v>
      </c>
      <c r="DG601" s="319" t="s">
        <v>190</v>
      </c>
      <c r="DH601" s="319" t="s">
        <v>190</v>
      </c>
      <c r="DI601" s="319" t="s">
        <v>190</v>
      </c>
      <c r="DJ601" s="319" t="s">
        <v>190</v>
      </c>
      <c r="DK601" s="319" t="s">
        <v>190</v>
      </c>
      <c r="DL601" s="319" t="s">
        <v>190</v>
      </c>
      <c r="DM601" s="319" t="s">
        <v>190</v>
      </c>
      <c r="DN601" s="319" t="s">
        <v>429</v>
      </c>
      <c r="DO601" s="319" t="s">
        <v>190</v>
      </c>
      <c r="DP601" s="319" t="s">
        <v>190</v>
      </c>
      <c r="DQ601" s="319" t="s">
        <v>190</v>
      </c>
      <c r="DR601" s="319" t="s">
        <v>190</v>
      </c>
      <c r="DS601" s="319" t="s">
        <v>190</v>
      </c>
      <c r="DT601" s="319" t="s">
        <v>190</v>
      </c>
      <c r="DU601" s="319" t="s">
        <v>190</v>
      </c>
      <c r="DV601" s="319" t="s">
        <v>173</v>
      </c>
      <c r="DW601" s="319" t="s">
        <v>190</v>
      </c>
      <c r="DX601" s="319" t="s">
        <v>190</v>
      </c>
      <c r="DY601" s="319" t="s">
        <v>190</v>
      </c>
      <c r="DZ601" s="319" t="s">
        <v>190</v>
      </c>
      <c r="EA601" s="319" t="s">
        <v>190</v>
      </c>
      <c r="EB601" s="319" t="s">
        <v>190</v>
      </c>
      <c r="EC601" s="319" t="s">
        <v>429</v>
      </c>
      <c r="ED601" s="319" t="s">
        <v>190</v>
      </c>
      <c r="EE601" s="319" t="s">
        <v>190</v>
      </c>
      <c r="EF601" s="319" t="s">
        <v>190</v>
      </c>
      <c r="EG601" s="319" t="s">
        <v>190</v>
      </c>
      <c r="EH601" s="319" t="s">
        <v>190</v>
      </c>
      <c r="EI601" s="319" t="s">
        <v>190</v>
      </c>
      <c r="EJ601" s="319" t="s">
        <v>190</v>
      </c>
      <c r="EK601" s="319" t="s">
        <v>190</v>
      </c>
      <c r="EL601" s="319" t="s">
        <v>190</v>
      </c>
      <c r="EM601" s="319" t="s">
        <v>190</v>
      </c>
      <c r="EN601" s="319" t="s">
        <v>190</v>
      </c>
      <c r="EO601" s="319" t="s">
        <v>190</v>
      </c>
      <c r="EP601" s="319" t="s">
        <v>190</v>
      </c>
      <c r="EQ601" s="319" t="s">
        <v>190</v>
      </c>
      <c r="ER601" s="319" t="s">
        <v>190</v>
      </c>
      <c r="ES601" s="319" t="s">
        <v>190</v>
      </c>
      <c r="ET601" s="319" t="s">
        <v>190</v>
      </c>
      <c r="EU601" s="319" t="s">
        <v>190</v>
      </c>
      <c r="EV601" s="319" t="s">
        <v>190</v>
      </c>
      <c r="EW601" s="319" t="s">
        <v>190</v>
      </c>
      <c r="EX601" s="319" t="s">
        <v>190</v>
      </c>
      <c r="EY601" s="319" t="s">
        <v>190</v>
      </c>
      <c r="EZ601" s="319" t="s">
        <v>190</v>
      </c>
      <c r="FA601" s="319" t="s">
        <v>190</v>
      </c>
      <c r="FB601" s="319" t="s">
        <v>190</v>
      </c>
      <c r="FC601" s="319" t="s">
        <v>190</v>
      </c>
      <c r="FD601" s="319" t="s">
        <v>190</v>
      </c>
      <c r="FE601" s="319" t="s">
        <v>190</v>
      </c>
      <c r="FF601" s="319" t="s">
        <v>190</v>
      </c>
      <c r="FG601" s="319" t="s">
        <v>190</v>
      </c>
      <c r="FH601" s="319" t="s">
        <v>190</v>
      </c>
      <c r="FI601" s="319" t="s">
        <v>190</v>
      </c>
      <c r="FJ601" s="319" t="s">
        <v>190</v>
      </c>
      <c r="FK601" s="319" t="s">
        <v>190</v>
      </c>
      <c r="FL601" s="319" t="s">
        <v>190</v>
      </c>
      <c r="FM601" s="319" t="s">
        <v>190</v>
      </c>
      <c r="FN601" s="319" t="s">
        <v>190</v>
      </c>
      <c r="FO601" s="319" t="s">
        <v>190</v>
      </c>
      <c r="FP601" s="319" t="s">
        <v>190</v>
      </c>
      <c r="FQ601" s="319" t="s">
        <v>190</v>
      </c>
      <c r="FR601" s="319" t="s">
        <v>190</v>
      </c>
      <c r="FS601" s="319" t="s">
        <v>190</v>
      </c>
      <c r="FT601" s="319" t="s">
        <v>190</v>
      </c>
      <c r="FU601" s="319" t="s">
        <v>190</v>
      </c>
      <c r="FV601" s="319" t="s">
        <v>190</v>
      </c>
      <c r="FW601" s="319" t="s">
        <v>190</v>
      </c>
      <c r="FX601" s="319" t="s">
        <v>190</v>
      </c>
      <c r="FY601" s="319" t="s">
        <v>190</v>
      </c>
      <c r="FZ601" s="319" t="s">
        <v>190</v>
      </c>
      <c r="GA601" s="319" t="s">
        <v>190</v>
      </c>
      <c r="GB601" s="319" t="s">
        <v>190</v>
      </c>
      <c r="GC601" s="319" t="s">
        <v>190</v>
      </c>
      <c r="GD601" s="319" t="s">
        <v>190</v>
      </c>
      <c r="GE601" s="319" t="s">
        <v>190</v>
      </c>
      <c r="GF601" s="319" t="s">
        <v>190</v>
      </c>
      <c r="GG601" s="319" t="s">
        <v>190</v>
      </c>
      <c r="GH601" s="319" t="s">
        <v>190</v>
      </c>
      <c r="GI601" s="319" t="s">
        <v>190</v>
      </c>
      <c r="GJ601" s="319" t="s">
        <v>190</v>
      </c>
      <c r="GK601" s="319" t="s">
        <v>190</v>
      </c>
      <c r="GL601" s="319" t="s">
        <v>190</v>
      </c>
      <c r="GM601" s="319" t="s">
        <v>190</v>
      </c>
      <c r="GN601" s="319" t="s">
        <v>190</v>
      </c>
      <c r="GO601" s="319" t="s">
        <v>190</v>
      </c>
      <c r="GP601" s="319" t="s">
        <v>190</v>
      </c>
      <c r="GQ601" s="319" t="s">
        <v>190</v>
      </c>
      <c r="GR601" s="319" t="s">
        <v>190</v>
      </c>
      <c r="GS601" s="319" t="s">
        <v>190</v>
      </c>
      <c r="GT601" s="319" t="s">
        <v>190</v>
      </c>
      <c r="GU601" s="319" t="s">
        <v>190</v>
      </c>
      <c r="GV601" s="319" t="s">
        <v>190</v>
      </c>
      <c r="GW601" s="319" t="s">
        <v>190</v>
      </c>
      <c r="GX601" s="319" t="s">
        <v>190</v>
      </c>
      <c r="GY601" s="319" t="s">
        <v>190</v>
      </c>
      <c r="GZ601" s="319" t="s">
        <v>190</v>
      </c>
      <c r="HA601" s="319" t="s">
        <v>190</v>
      </c>
      <c r="HB601" s="319" t="s">
        <v>190</v>
      </c>
      <c r="HC601" s="319" t="s">
        <v>190</v>
      </c>
      <c r="HD601" s="319" t="s">
        <v>190</v>
      </c>
      <c r="HE601" s="319" t="s">
        <v>190</v>
      </c>
      <c r="HF601" s="319" t="s">
        <v>190</v>
      </c>
      <c r="HG601" s="319" t="s">
        <v>190</v>
      </c>
      <c r="HH601" s="319" t="s">
        <v>190</v>
      </c>
      <c r="HI601" s="319" t="s">
        <v>190</v>
      </c>
      <c r="HJ601" s="319" t="s">
        <v>190</v>
      </c>
      <c r="HK601" s="319" t="s">
        <v>190</v>
      </c>
      <c r="HL601" s="319" t="s">
        <v>190</v>
      </c>
      <c r="HM601" s="319" t="s">
        <v>190</v>
      </c>
      <c r="HN601" s="319" t="s">
        <v>190</v>
      </c>
      <c r="HO601" s="319" t="s">
        <v>190</v>
      </c>
      <c r="HP601" s="319" t="s">
        <v>190</v>
      </c>
      <c r="HQ601" s="319" t="s">
        <v>190</v>
      </c>
      <c r="HR601" s="319" t="s">
        <v>190</v>
      </c>
      <c r="HS601" s="319" t="s">
        <v>190</v>
      </c>
      <c r="HT601" s="319" t="s">
        <v>190</v>
      </c>
      <c r="HU601" s="319" t="s">
        <v>190</v>
      </c>
      <c r="HV601" s="319" t="s">
        <v>190</v>
      </c>
      <c r="HW601" s="319" t="s">
        <v>190</v>
      </c>
      <c r="HX601" s="319" t="s">
        <v>190</v>
      </c>
      <c r="HY601" s="319" t="s">
        <v>190</v>
      </c>
      <c r="HZ601" s="319" t="s">
        <v>190</v>
      </c>
      <c r="IA601" s="319" t="s">
        <v>190</v>
      </c>
      <c r="IB601" s="319" t="s">
        <v>190</v>
      </c>
      <c r="IC601" s="319" t="s">
        <v>190</v>
      </c>
      <c r="ID601" s="319" t="s">
        <v>190</v>
      </c>
      <c r="IE601" s="319" t="s">
        <v>190</v>
      </c>
      <c r="IF601" s="319" t="s">
        <v>190</v>
      </c>
      <c r="IG601" s="319" t="s">
        <v>190</v>
      </c>
      <c r="IH601" s="319" t="s">
        <v>190</v>
      </c>
      <c r="II601" s="319" t="s">
        <v>190</v>
      </c>
      <c r="IJ601" s="319" t="s">
        <v>3357</v>
      </c>
      <c r="IK601" s="321">
        <v>41716</v>
      </c>
      <c r="IL601" s="321">
        <v>41718</v>
      </c>
      <c r="IM601" s="321">
        <v>41758</v>
      </c>
      <c r="IN601" s="319">
        <v>3</v>
      </c>
      <c r="IO601" s="319" t="s">
        <v>173</v>
      </c>
      <c r="IP601" s="319" t="s">
        <v>173</v>
      </c>
      <c r="IQ601" s="321" t="s">
        <v>173</v>
      </c>
      <c r="IR601" s="320" t="s">
        <v>173</v>
      </c>
      <c r="IS601" s="322" t="s">
        <v>173</v>
      </c>
      <c r="IT601" s="319" t="s">
        <v>173</v>
      </c>
    </row>
    <row r="602" spans="1:254" s="271" customFormat="1" x14ac:dyDescent="0.25">
      <c r="A602" s="318" t="str">
        <f>HYPERLINK("http://www.ofsted.gov.uk/inspection-reports/find-inspection-report/provider/ELS/136092 ","Ofsted School Webpage")</f>
        <v>Ofsted School Webpage</v>
      </c>
      <c r="B602" s="319">
        <v>136092</v>
      </c>
      <c r="C602" s="319">
        <v>2036040</v>
      </c>
      <c r="D602" s="319" t="s">
        <v>2040</v>
      </c>
      <c r="E602" s="319" t="s">
        <v>168</v>
      </c>
      <c r="F602" s="319" t="s">
        <v>81</v>
      </c>
      <c r="G602" s="319" t="s">
        <v>81</v>
      </c>
      <c r="H602" s="319" t="s">
        <v>81</v>
      </c>
      <c r="I602" s="319" t="s">
        <v>78</v>
      </c>
      <c r="J602" s="319" t="s">
        <v>424</v>
      </c>
      <c r="K602" s="319" t="s">
        <v>441</v>
      </c>
      <c r="L602" s="319" t="s">
        <v>441</v>
      </c>
      <c r="M602" s="319" t="s">
        <v>731</v>
      </c>
      <c r="N602" s="319" t="s">
        <v>3358</v>
      </c>
      <c r="O602" s="319" t="s">
        <v>2041</v>
      </c>
      <c r="P602" s="319">
        <v>39</v>
      </c>
      <c r="Q602" s="319" t="s">
        <v>429</v>
      </c>
      <c r="R602" s="320">
        <v>10035808</v>
      </c>
      <c r="S602" s="321">
        <v>43025</v>
      </c>
      <c r="T602" s="321">
        <v>43027</v>
      </c>
      <c r="U602" s="321">
        <v>43063</v>
      </c>
      <c r="V602" s="319" t="s">
        <v>425</v>
      </c>
      <c r="W602" s="319" t="s">
        <v>2767</v>
      </c>
      <c r="X602" s="319">
        <v>2</v>
      </c>
      <c r="Y602" s="319" t="s">
        <v>173</v>
      </c>
      <c r="Z602" s="319" t="s">
        <v>173</v>
      </c>
      <c r="AA602" s="319" t="s">
        <v>173</v>
      </c>
      <c r="AB602" s="319">
        <v>2</v>
      </c>
      <c r="AC602" s="319" t="s">
        <v>169</v>
      </c>
      <c r="AD602" s="319" t="s">
        <v>173</v>
      </c>
      <c r="AE602" s="319" t="s">
        <v>173</v>
      </c>
      <c r="AF602" s="319" t="s">
        <v>427</v>
      </c>
      <c r="AG602" s="319" t="s">
        <v>171</v>
      </c>
      <c r="AH602" s="319" t="s">
        <v>190</v>
      </c>
      <c r="AI602" s="319" t="s">
        <v>190</v>
      </c>
      <c r="AJ602" s="319" t="s">
        <v>190</v>
      </c>
      <c r="AK602" s="319" t="s">
        <v>190</v>
      </c>
      <c r="AL602" s="319" t="s">
        <v>190</v>
      </c>
      <c r="AM602" s="319" t="s">
        <v>190</v>
      </c>
      <c r="AN602" s="319" t="s">
        <v>190</v>
      </c>
      <c r="AO602" s="319" t="s">
        <v>190</v>
      </c>
      <c r="AP602" s="319" t="s">
        <v>190</v>
      </c>
      <c r="AQ602" s="319" t="s">
        <v>190</v>
      </c>
      <c r="AR602" s="319" t="s">
        <v>190</v>
      </c>
      <c r="AS602" s="319" t="s">
        <v>190</v>
      </c>
      <c r="AT602" s="319" t="s">
        <v>190</v>
      </c>
      <c r="AU602" s="319" t="s">
        <v>190</v>
      </c>
      <c r="AV602" s="319" t="s">
        <v>190</v>
      </c>
      <c r="AW602" s="319" t="s">
        <v>190</v>
      </c>
      <c r="AX602" s="319" t="s">
        <v>428</v>
      </c>
      <c r="AY602" s="319" t="s">
        <v>190</v>
      </c>
      <c r="AZ602" s="319" t="s">
        <v>190</v>
      </c>
      <c r="BA602" s="319" t="s">
        <v>190</v>
      </c>
      <c r="BB602" s="319" t="s">
        <v>190</v>
      </c>
      <c r="BC602" s="319" t="s">
        <v>190</v>
      </c>
      <c r="BD602" s="319" t="s">
        <v>190</v>
      </c>
      <c r="BE602" s="319" t="s">
        <v>190</v>
      </c>
      <c r="BF602" s="319" t="s">
        <v>428</v>
      </c>
      <c r="BG602" s="319" t="s">
        <v>428</v>
      </c>
      <c r="BH602" s="319" t="s">
        <v>190</v>
      </c>
      <c r="BI602" s="319" t="s">
        <v>190</v>
      </c>
      <c r="BJ602" s="319" t="s">
        <v>190</v>
      </c>
      <c r="BK602" s="319" t="s">
        <v>190</v>
      </c>
      <c r="BL602" s="319" t="s">
        <v>190</v>
      </c>
      <c r="BM602" s="319" t="s">
        <v>190</v>
      </c>
      <c r="BN602" s="319" t="s">
        <v>190</v>
      </c>
      <c r="BO602" s="319" t="s">
        <v>190</v>
      </c>
      <c r="BP602" s="319" t="s">
        <v>190</v>
      </c>
      <c r="BQ602" s="319" t="s">
        <v>190</v>
      </c>
      <c r="BR602" s="319" t="s">
        <v>190</v>
      </c>
      <c r="BS602" s="319" t="s">
        <v>190</v>
      </c>
      <c r="BT602" s="319" t="s">
        <v>190</v>
      </c>
      <c r="BU602" s="319" t="s">
        <v>190</v>
      </c>
      <c r="BV602" s="319" t="s">
        <v>190</v>
      </c>
      <c r="BW602" s="319" t="s">
        <v>190</v>
      </c>
      <c r="BX602" s="319" t="s">
        <v>190</v>
      </c>
      <c r="BY602" s="319" t="s">
        <v>190</v>
      </c>
      <c r="BZ602" s="319" t="s">
        <v>190</v>
      </c>
      <c r="CA602" s="319" t="s">
        <v>190</v>
      </c>
      <c r="CB602" s="319" t="s">
        <v>190</v>
      </c>
      <c r="CC602" s="319" t="s">
        <v>190</v>
      </c>
      <c r="CD602" s="319" t="s">
        <v>190</v>
      </c>
      <c r="CE602" s="319" t="s">
        <v>190</v>
      </c>
      <c r="CF602" s="319" t="s">
        <v>190</v>
      </c>
      <c r="CG602" s="319" t="s">
        <v>190</v>
      </c>
      <c r="CH602" s="319" t="s">
        <v>190</v>
      </c>
      <c r="CI602" s="319" t="s">
        <v>190</v>
      </c>
      <c r="CJ602" s="319" t="s">
        <v>190</v>
      </c>
      <c r="CK602" s="319" t="s">
        <v>190</v>
      </c>
      <c r="CL602" s="319" t="s">
        <v>190</v>
      </c>
      <c r="CM602" s="319" t="s">
        <v>190</v>
      </c>
      <c r="CN602" s="319" t="s">
        <v>428</v>
      </c>
      <c r="CO602" s="319" t="s">
        <v>428</v>
      </c>
      <c r="CP602" s="319" t="s">
        <v>428</v>
      </c>
      <c r="CQ602" s="319" t="s">
        <v>190</v>
      </c>
      <c r="CR602" s="319" t="s">
        <v>190</v>
      </c>
      <c r="CS602" s="319" t="s">
        <v>190</v>
      </c>
      <c r="CT602" s="319" t="s">
        <v>190</v>
      </c>
      <c r="CU602" s="319" t="s">
        <v>190</v>
      </c>
      <c r="CV602" s="319" t="s">
        <v>190</v>
      </c>
      <c r="CW602" s="319" t="s">
        <v>190</v>
      </c>
      <c r="CX602" s="319" t="s">
        <v>190</v>
      </c>
      <c r="CY602" s="319" t="s">
        <v>190</v>
      </c>
      <c r="CZ602" s="319" t="s">
        <v>190</v>
      </c>
      <c r="DA602" s="319" t="s">
        <v>190</v>
      </c>
      <c r="DB602" s="319" t="s">
        <v>190</v>
      </c>
      <c r="DC602" s="319" t="s">
        <v>190</v>
      </c>
      <c r="DD602" s="319" t="s">
        <v>190</v>
      </c>
      <c r="DE602" s="319" t="s">
        <v>190</v>
      </c>
      <c r="DF602" s="319" t="s">
        <v>190</v>
      </c>
      <c r="DG602" s="319" t="s">
        <v>190</v>
      </c>
      <c r="DH602" s="319" t="s">
        <v>190</v>
      </c>
      <c r="DI602" s="319" t="s">
        <v>190</v>
      </c>
      <c r="DJ602" s="319" t="s">
        <v>190</v>
      </c>
      <c r="DK602" s="319" t="s">
        <v>190</v>
      </c>
      <c r="DL602" s="319" t="s">
        <v>190</v>
      </c>
      <c r="DM602" s="319" t="s">
        <v>190</v>
      </c>
      <c r="DN602" s="319" t="s">
        <v>428</v>
      </c>
      <c r="DO602" s="319" t="s">
        <v>190</v>
      </c>
      <c r="DP602" s="319" t="s">
        <v>190</v>
      </c>
      <c r="DQ602" s="319" t="s">
        <v>190</v>
      </c>
      <c r="DR602" s="319" t="s">
        <v>190</v>
      </c>
      <c r="DS602" s="319" t="s">
        <v>190</v>
      </c>
      <c r="DT602" s="319" t="s">
        <v>190</v>
      </c>
      <c r="DU602" s="319" t="s">
        <v>190</v>
      </c>
      <c r="DV602" s="319" t="s">
        <v>173</v>
      </c>
      <c r="DW602" s="319" t="s">
        <v>190</v>
      </c>
      <c r="DX602" s="319" t="s">
        <v>190</v>
      </c>
      <c r="DY602" s="319" t="s">
        <v>190</v>
      </c>
      <c r="DZ602" s="319" t="s">
        <v>190</v>
      </c>
      <c r="EA602" s="319" t="s">
        <v>190</v>
      </c>
      <c r="EB602" s="319" t="s">
        <v>190</v>
      </c>
      <c r="EC602" s="319" t="s">
        <v>428</v>
      </c>
      <c r="ED602" s="319" t="s">
        <v>190</v>
      </c>
      <c r="EE602" s="319" t="s">
        <v>428</v>
      </c>
      <c r="EF602" s="319" t="s">
        <v>428</v>
      </c>
      <c r="EG602" s="319" t="s">
        <v>428</v>
      </c>
      <c r="EH602" s="319" t="s">
        <v>428</v>
      </c>
      <c r="EI602" s="319" t="s">
        <v>428</v>
      </c>
      <c r="EJ602" s="319" t="s">
        <v>428</v>
      </c>
      <c r="EK602" s="319" t="s">
        <v>428</v>
      </c>
      <c r="EL602" s="319" t="s">
        <v>428</v>
      </c>
      <c r="EM602" s="319" t="s">
        <v>428</v>
      </c>
      <c r="EN602" s="319" t="s">
        <v>190</v>
      </c>
      <c r="EO602" s="319" t="s">
        <v>190</v>
      </c>
      <c r="EP602" s="319" t="s">
        <v>190</v>
      </c>
      <c r="EQ602" s="319" t="s">
        <v>190</v>
      </c>
      <c r="ER602" s="319" t="s">
        <v>190</v>
      </c>
      <c r="ES602" s="319" t="s">
        <v>190</v>
      </c>
      <c r="ET602" s="319" t="s">
        <v>190</v>
      </c>
      <c r="EU602" s="319" t="s">
        <v>190</v>
      </c>
      <c r="EV602" s="319" t="s">
        <v>190</v>
      </c>
      <c r="EW602" s="319" t="s">
        <v>190</v>
      </c>
      <c r="EX602" s="319" t="s">
        <v>190</v>
      </c>
      <c r="EY602" s="319" t="s">
        <v>190</v>
      </c>
      <c r="EZ602" s="319" t="s">
        <v>190</v>
      </c>
      <c r="FA602" s="319" t="s">
        <v>428</v>
      </c>
      <c r="FB602" s="319" t="s">
        <v>190</v>
      </c>
      <c r="FC602" s="319" t="s">
        <v>190</v>
      </c>
      <c r="FD602" s="319" t="s">
        <v>190</v>
      </c>
      <c r="FE602" s="319" t="s">
        <v>190</v>
      </c>
      <c r="FF602" s="319" t="s">
        <v>190</v>
      </c>
      <c r="FG602" s="319" t="s">
        <v>190</v>
      </c>
      <c r="FH602" s="319" t="s">
        <v>190</v>
      </c>
      <c r="FI602" s="319" t="s">
        <v>428</v>
      </c>
      <c r="FJ602" s="319" t="s">
        <v>429</v>
      </c>
      <c r="FK602" s="319" t="s">
        <v>428</v>
      </c>
      <c r="FL602" s="319" t="s">
        <v>190</v>
      </c>
      <c r="FM602" s="319" t="s">
        <v>190</v>
      </c>
      <c r="FN602" s="319" t="s">
        <v>190</v>
      </c>
      <c r="FO602" s="319" t="s">
        <v>190</v>
      </c>
      <c r="FP602" s="319" t="s">
        <v>190</v>
      </c>
      <c r="FQ602" s="319" t="s">
        <v>190</v>
      </c>
      <c r="FR602" s="319" t="s">
        <v>190</v>
      </c>
      <c r="FS602" s="319" t="s">
        <v>428</v>
      </c>
      <c r="FT602" s="319" t="s">
        <v>190</v>
      </c>
      <c r="FU602" s="319" t="s">
        <v>190</v>
      </c>
      <c r="FV602" s="319" t="s">
        <v>190</v>
      </c>
      <c r="FW602" s="319" t="s">
        <v>190</v>
      </c>
      <c r="FX602" s="319" t="s">
        <v>190</v>
      </c>
      <c r="FY602" s="319" t="s">
        <v>190</v>
      </c>
      <c r="FZ602" s="319" t="s">
        <v>190</v>
      </c>
      <c r="GA602" s="319" t="s">
        <v>190</v>
      </c>
      <c r="GB602" s="319" t="s">
        <v>190</v>
      </c>
      <c r="GC602" s="319" t="s">
        <v>190</v>
      </c>
      <c r="GD602" s="319" t="s">
        <v>190</v>
      </c>
      <c r="GE602" s="319" t="s">
        <v>190</v>
      </c>
      <c r="GF602" s="319" t="s">
        <v>190</v>
      </c>
      <c r="GG602" s="319" t="s">
        <v>190</v>
      </c>
      <c r="GH602" s="319" t="s">
        <v>190</v>
      </c>
      <c r="GI602" s="319" t="s">
        <v>190</v>
      </c>
      <c r="GJ602" s="319" t="s">
        <v>190</v>
      </c>
      <c r="GK602" s="319" t="s">
        <v>428</v>
      </c>
      <c r="GL602" s="319" t="s">
        <v>190</v>
      </c>
      <c r="GM602" s="319" t="s">
        <v>190</v>
      </c>
      <c r="GN602" s="319" t="s">
        <v>190</v>
      </c>
      <c r="GO602" s="319" t="s">
        <v>190</v>
      </c>
      <c r="GP602" s="319" t="s">
        <v>190</v>
      </c>
      <c r="GQ602" s="319" t="s">
        <v>428</v>
      </c>
      <c r="GR602" s="319" t="s">
        <v>190</v>
      </c>
      <c r="GS602" s="319" t="s">
        <v>190</v>
      </c>
      <c r="GT602" s="319" t="s">
        <v>190</v>
      </c>
      <c r="GU602" s="319" t="s">
        <v>190</v>
      </c>
      <c r="GV602" s="319" t="s">
        <v>190</v>
      </c>
      <c r="GW602" s="319" t="s">
        <v>190</v>
      </c>
      <c r="GX602" s="319" t="s">
        <v>190</v>
      </c>
      <c r="GY602" s="319" t="s">
        <v>190</v>
      </c>
      <c r="GZ602" s="319" t="s">
        <v>190</v>
      </c>
      <c r="HA602" s="319" t="s">
        <v>428</v>
      </c>
      <c r="HB602" s="319" t="s">
        <v>190</v>
      </c>
      <c r="HC602" s="319" t="s">
        <v>190</v>
      </c>
      <c r="HD602" s="319" t="s">
        <v>190</v>
      </c>
      <c r="HE602" s="319" t="s">
        <v>190</v>
      </c>
      <c r="HF602" s="319" t="s">
        <v>190</v>
      </c>
      <c r="HG602" s="319" t="s">
        <v>190</v>
      </c>
      <c r="HH602" s="319" t="s">
        <v>190</v>
      </c>
      <c r="HI602" s="319" t="s">
        <v>190</v>
      </c>
      <c r="HJ602" s="319" t="s">
        <v>190</v>
      </c>
      <c r="HK602" s="319" t="s">
        <v>190</v>
      </c>
      <c r="HL602" s="319" t="s">
        <v>428</v>
      </c>
      <c r="HM602" s="319" t="s">
        <v>428</v>
      </c>
      <c r="HN602" s="319" t="s">
        <v>428</v>
      </c>
      <c r="HO602" s="319" t="s">
        <v>428</v>
      </c>
      <c r="HP602" s="319" t="s">
        <v>190</v>
      </c>
      <c r="HQ602" s="319" t="s">
        <v>190</v>
      </c>
      <c r="HR602" s="319" t="s">
        <v>190</v>
      </c>
      <c r="HS602" s="319" t="s">
        <v>190</v>
      </c>
      <c r="HT602" s="319" t="s">
        <v>190</v>
      </c>
      <c r="HU602" s="319" t="s">
        <v>190</v>
      </c>
      <c r="HV602" s="319" t="s">
        <v>190</v>
      </c>
      <c r="HW602" s="319" t="s">
        <v>190</v>
      </c>
      <c r="HX602" s="319" t="s">
        <v>190</v>
      </c>
      <c r="HY602" s="319" t="s">
        <v>190</v>
      </c>
      <c r="HZ602" s="319" t="s">
        <v>190</v>
      </c>
      <c r="IA602" s="319" t="s">
        <v>190</v>
      </c>
      <c r="IB602" s="319" t="s">
        <v>190</v>
      </c>
      <c r="IC602" s="319" t="s">
        <v>190</v>
      </c>
      <c r="ID602" s="319" t="s">
        <v>190</v>
      </c>
      <c r="IE602" s="319" t="s">
        <v>190</v>
      </c>
      <c r="IF602" s="319" t="s">
        <v>190</v>
      </c>
      <c r="IG602" s="319" t="s">
        <v>190</v>
      </c>
      <c r="IH602" s="319" t="s">
        <v>190</v>
      </c>
      <c r="II602" s="319" t="s">
        <v>190</v>
      </c>
      <c r="IJ602" s="319" t="s">
        <v>3359</v>
      </c>
      <c r="IK602" s="321">
        <v>41709</v>
      </c>
      <c r="IL602" s="321">
        <v>41711</v>
      </c>
      <c r="IM602" s="321">
        <v>41731</v>
      </c>
      <c r="IN602" s="319">
        <v>3</v>
      </c>
      <c r="IO602" s="319" t="s">
        <v>173</v>
      </c>
      <c r="IP602" s="319" t="s">
        <v>173</v>
      </c>
      <c r="IQ602" s="321" t="s">
        <v>173</v>
      </c>
      <c r="IR602" s="320" t="s">
        <v>173</v>
      </c>
      <c r="IS602" s="322" t="s">
        <v>173</v>
      </c>
      <c r="IT602" s="319" t="s">
        <v>173</v>
      </c>
    </row>
    <row r="603" spans="1:254" s="271" customFormat="1" x14ac:dyDescent="0.25">
      <c r="A603" s="318" t="str">
        <f>HYPERLINK("http://www.ofsted.gov.uk/inspection-reports/find-inspection-report/provider/ELS/136098 ","Ofsted School Webpage")</f>
        <v>Ofsted School Webpage</v>
      </c>
      <c r="B603" s="319">
        <v>136098</v>
      </c>
      <c r="C603" s="319">
        <v>8886042</v>
      </c>
      <c r="D603" s="319" t="s">
        <v>2042</v>
      </c>
      <c r="E603" s="319" t="s">
        <v>167</v>
      </c>
      <c r="F603" s="319" t="s">
        <v>71</v>
      </c>
      <c r="G603" s="319" t="s">
        <v>72</v>
      </c>
      <c r="H603" s="319" t="s">
        <v>71</v>
      </c>
      <c r="I603" s="319" t="s">
        <v>72</v>
      </c>
      <c r="J603" s="319" t="s">
        <v>424</v>
      </c>
      <c r="K603" s="319" t="s">
        <v>431</v>
      </c>
      <c r="L603" s="319" t="s">
        <v>431</v>
      </c>
      <c r="M603" s="319" t="s">
        <v>469</v>
      </c>
      <c r="N603" s="319" t="s">
        <v>3104</v>
      </c>
      <c r="O603" s="319" t="s">
        <v>2043</v>
      </c>
      <c r="P603" s="319">
        <v>143</v>
      </c>
      <c r="Q603" s="319" t="s">
        <v>2766</v>
      </c>
      <c r="R603" s="320">
        <v>10034030</v>
      </c>
      <c r="S603" s="321">
        <v>42927</v>
      </c>
      <c r="T603" s="321">
        <v>42929</v>
      </c>
      <c r="U603" s="321">
        <v>43000</v>
      </c>
      <c r="V603" s="319" t="s">
        <v>425</v>
      </c>
      <c r="W603" s="319" t="s">
        <v>2767</v>
      </c>
      <c r="X603" s="319">
        <v>1</v>
      </c>
      <c r="Y603" s="319" t="s">
        <v>173</v>
      </c>
      <c r="Z603" s="319" t="s">
        <v>173</v>
      </c>
      <c r="AA603" s="319" t="s">
        <v>173</v>
      </c>
      <c r="AB603" s="319">
        <v>1</v>
      </c>
      <c r="AC603" s="319" t="s">
        <v>169</v>
      </c>
      <c r="AD603" s="319">
        <v>1</v>
      </c>
      <c r="AE603" s="319" t="s">
        <v>173</v>
      </c>
      <c r="AF603" s="319" t="s">
        <v>173</v>
      </c>
      <c r="AG603" s="319" t="s">
        <v>171</v>
      </c>
      <c r="AH603" s="319" t="s">
        <v>190</v>
      </c>
      <c r="AI603" s="319" t="s">
        <v>190</v>
      </c>
      <c r="AJ603" s="319" t="s">
        <v>190</v>
      </c>
      <c r="AK603" s="319" t="s">
        <v>190</v>
      </c>
      <c r="AL603" s="319" t="s">
        <v>190</v>
      </c>
      <c r="AM603" s="319" t="s">
        <v>190</v>
      </c>
      <c r="AN603" s="319" t="s">
        <v>190</v>
      </c>
      <c r="AO603" s="319" t="s">
        <v>190</v>
      </c>
      <c r="AP603" s="319" t="s">
        <v>190</v>
      </c>
      <c r="AQ603" s="319" t="s">
        <v>190</v>
      </c>
      <c r="AR603" s="319" t="s">
        <v>190</v>
      </c>
      <c r="AS603" s="319" t="s">
        <v>190</v>
      </c>
      <c r="AT603" s="319" t="s">
        <v>190</v>
      </c>
      <c r="AU603" s="319" t="s">
        <v>190</v>
      </c>
      <c r="AV603" s="319" t="s">
        <v>190</v>
      </c>
      <c r="AW603" s="319" t="s">
        <v>190</v>
      </c>
      <c r="AX603" s="319" t="s">
        <v>429</v>
      </c>
      <c r="AY603" s="319" t="s">
        <v>190</v>
      </c>
      <c r="AZ603" s="319" t="s">
        <v>190</v>
      </c>
      <c r="BA603" s="319" t="s">
        <v>190</v>
      </c>
      <c r="BB603" s="319" t="s">
        <v>429</v>
      </c>
      <c r="BC603" s="319" t="s">
        <v>429</v>
      </c>
      <c r="BD603" s="319" t="s">
        <v>429</v>
      </c>
      <c r="BE603" s="319" t="s">
        <v>429</v>
      </c>
      <c r="BF603" s="319" t="s">
        <v>190</v>
      </c>
      <c r="BG603" s="319" t="s">
        <v>429</v>
      </c>
      <c r="BH603" s="319" t="s">
        <v>190</v>
      </c>
      <c r="BI603" s="319" t="s">
        <v>190</v>
      </c>
      <c r="BJ603" s="319" t="s">
        <v>190</v>
      </c>
      <c r="BK603" s="319" t="s">
        <v>190</v>
      </c>
      <c r="BL603" s="319" t="s">
        <v>190</v>
      </c>
      <c r="BM603" s="319" t="s">
        <v>190</v>
      </c>
      <c r="BN603" s="319" t="s">
        <v>190</v>
      </c>
      <c r="BO603" s="319" t="s">
        <v>190</v>
      </c>
      <c r="BP603" s="319" t="s">
        <v>190</v>
      </c>
      <c r="BQ603" s="319" t="s">
        <v>190</v>
      </c>
      <c r="BR603" s="319" t="s">
        <v>190</v>
      </c>
      <c r="BS603" s="319" t="s">
        <v>190</v>
      </c>
      <c r="BT603" s="319" t="s">
        <v>190</v>
      </c>
      <c r="BU603" s="319" t="s">
        <v>190</v>
      </c>
      <c r="BV603" s="319" t="s">
        <v>190</v>
      </c>
      <c r="BW603" s="319" t="s">
        <v>190</v>
      </c>
      <c r="BX603" s="319" t="s">
        <v>190</v>
      </c>
      <c r="BY603" s="319" t="s">
        <v>190</v>
      </c>
      <c r="BZ603" s="319" t="s">
        <v>190</v>
      </c>
      <c r="CA603" s="319" t="s">
        <v>190</v>
      </c>
      <c r="CB603" s="319" t="s">
        <v>190</v>
      </c>
      <c r="CC603" s="319" t="s">
        <v>190</v>
      </c>
      <c r="CD603" s="319" t="s">
        <v>190</v>
      </c>
      <c r="CE603" s="319" t="s">
        <v>190</v>
      </c>
      <c r="CF603" s="319" t="s">
        <v>190</v>
      </c>
      <c r="CG603" s="319" t="s">
        <v>190</v>
      </c>
      <c r="CH603" s="319" t="s">
        <v>190</v>
      </c>
      <c r="CI603" s="319" t="s">
        <v>190</v>
      </c>
      <c r="CJ603" s="319" t="s">
        <v>190</v>
      </c>
      <c r="CK603" s="319" t="s">
        <v>190</v>
      </c>
      <c r="CL603" s="319" t="s">
        <v>190</v>
      </c>
      <c r="CM603" s="319" t="s">
        <v>190</v>
      </c>
      <c r="CN603" s="319" t="s">
        <v>429</v>
      </c>
      <c r="CO603" s="319" t="s">
        <v>429</v>
      </c>
      <c r="CP603" s="319" t="s">
        <v>429</v>
      </c>
      <c r="CQ603" s="319" t="s">
        <v>190</v>
      </c>
      <c r="CR603" s="319" t="s">
        <v>190</v>
      </c>
      <c r="CS603" s="319" t="s">
        <v>190</v>
      </c>
      <c r="CT603" s="319" t="s">
        <v>190</v>
      </c>
      <c r="CU603" s="319" t="s">
        <v>190</v>
      </c>
      <c r="CV603" s="319" t="s">
        <v>190</v>
      </c>
      <c r="CW603" s="319" t="s">
        <v>190</v>
      </c>
      <c r="CX603" s="319" t="s">
        <v>190</v>
      </c>
      <c r="CY603" s="319" t="s">
        <v>190</v>
      </c>
      <c r="CZ603" s="319" t="s">
        <v>190</v>
      </c>
      <c r="DA603" s="319" t="s">
        <v>190</v>
      </c>
      <c r="DB603" s="319" t="s">
        <v>190</v>
      </c>
      <c r="DC603" s="319" t="s">
        <v>190</v>
      </c>
      <c r="DD603" s="319" t="s">
        <v>190</v>
      </c>
      <c r="DE603" s="319" t="s">
        <v>190</v>
      </c>
      <c r="DF603" s="319" t="s">
        <v>190</v>
      </c>
      <c r="DG603" s="319" t="s">
        <v>190</v>
      </c>
      <c r="DH603" s="319" t="s">
        <v>190</v>
      </c>
      <c r="DI603" s="319" t="s">
        <v>190</v>
      </c>
      <c r="DJ603" s="319" t="s">
        <v>190</v>
      </c>
      <c r="DK603" s="319" t="s">
        <v>190</v>
      </c>
      <c r="DL603" s="319" t="s">
        <v>190</v>
      </c>
      <c r="DM603" s="319" t="s">
        <v>190</v>
      </c>
      <c r="DN603" s="319" t="s">
        <v>429</v>
      </c>
      <c r="DO603" s="319" t="s">
        <v>190</v>
      </c>
      <c r="DP603" s="319" t="s">
        <v>429</v>
      </c>
      <c r="DQ603" s="319" t="s">
        <v>429</v>
      </c>
      <c r="DR603" s="319" t="s">
        <v>429</v>
      </c>
      <c r="DS603" s="319" t="s">
        <v>429</v>
      </c>
      <c r="DT603" s="319" t="s">
        <v>429</v>
      </c>
      <c r="DU603" s="319" t="s">
        <v>429</v>
      </c>
      <c r="DV603" s="319" t="s">
        <v>173</v>
      </c>
      <c r="DW603" s="319" t="s">
        <v>429</v>
      </c>
      <c r="DX603" s="319" t="s">
        <v>429</v>
      </c>
      <c r="DY603" s="319" t="s">
        <v>429</v>
      </c>
      <c r="DZ603" s="319" t="s">
        <v>429</v>
      </c>
      <c r="EA603" s="319" t="s">
        <v>429</v>
      </c>
      <c r="EB603" s="319" t="s">
        <v>429</v>
      </c>
      <c r="EC603" s="319" t="s">
        <v>429</v>
      </c>
      <c r="ED603" s="319" t="s">
        <v>429</v>
      </c>
      <c r="EE603" s="319" t="s">
        <v>190</v>
      </c>
      <c r="EF603" s="319" t="s">
        <v>190</v>
      </c>
      <c r="EG603" s="319" t="s">
        <v>190</v>
      </c>
      <c r="EH603" s="319" t="s">
        <v>190</v>
      </c>
      <c r="EI603" s="319" t="s">
        <v>190</v>
      </c>
      <c r="EJ603" s="319" t="s">
        <v>190</v>
      </c>
      <c r="EK603" s="319" t="s">
        <v>190</v>
      </c>
      <c r="EL603" s="319" t="s">
        <v>190</v>
      </c>
      <c r="EM603" s="319" t="s">
        <v>190</v>
      </c>
      <c r="EN603" s="319" t="s">
        <v>190</v>
      </c>
      <c r="EO603" s="319" t="s">
        <v>190</v>
      </c>
      <c r="EP603" s="319" t="s">
        <v>190</v>
      </c>
      <c r="EQ603" s="319" t="s">
        <v>190</v>
      </c>
      <c r="ER603" s="319" t="s">
        <v>190</v>
      </c>
      <c r="ES603" s="319" t="s">
        <v>190</v>
      </c>
      <c r="ET603" s="319" t="s">
        <v>190</v>
      </c>
      <c r="EU603" s="319" t="s">
        <v>190</v>
      </c>
      <c r="EV603" s="319" t="s">
        <v>190</v>
      </c>
      <c r="EW603" s="319" t="s">
        <v>190</v>
      </c>
      <c r="EX603" s="319" t="s">
        <v>190</v>
      </c>
      <c r="EY603" s="319" t="s">
        <v>190</v>
      </c>
      <c r="EZ603" s="319" t="s">
        <v>190</v>
      </c>
      <c r="FA603" s="319" t="s">
        <v>190</v>
      </c>
      <c r="FB603" s="319" t="s">
        <v>190</v>
      </c>
      <c r="FC603" s="319" t="s">
        <v>190</v>
      </c>
      <c r="FD603" s="319" t="s">
        <v>190</v>
      </c>
      <c r="FE603" s="319" t="s">
        <v>190</v>
      </c>
      <c r="FF603" s="319" t="s">
        <v>190</v>
      </c>
      <c r="FG603" s="319" t="s">
        <v>190</v>
      </c>
      <c r="FH603" s="319" t="s">
        <v>190</v>
      </c>
      <c r="FI603" s="319" t="s">
        <v>190</v>
      </c>
      <c r="FJ603" s="319" t="s">
        <v>190</v>
      </c>
      <c r="FK603" s="319" t="s">
        <v>190</v>
      </c>
      <c r="FL603" s="319" t="s">
        <v>190</v>
      </c>
      <c r="FM603" s="319" t="s">
        <v>190</v>
      </c>
      <c r="FN603" s="319" t="s">
        <v>190</v>
      </c>
      <c r="FO603" s="319" t="s">
        <v>429</v>
      </c>
      <c r="FP603" s="319" t="s">
        <v>190</v>
      </c>
      <c r="FQ603" s="319" t="s">
        <v>190</v>
      </c>
      <c r="FR603" s="319" t="s">
        <v>190</v>
      </c>
      <c r="FS603" s="319" t="s">
        <v>190</v>
      </c>
      <c r="FT603" s="319" t="s">
        <v>190</v>
      </c>
      <c r="FU603" s="319" t="s">
        <v>190</v>
      </c>
      <c r="FV603" s="319" t="s">
        <v>190</v>
      </c>
      <c r="FW603" s="319" t="s">
        <v>190</v>
      </c>
      <c r="FX603" s="319" t="s">
        <v>190</v>
      </c>
      <c r="FY603" s="319" t="s">
        <v>190</v>
      </c>
      <c r="FZ603" s="319" t="s">
        <v>190</v>
      </c>
      <c r="GA603" s="319" t="s">
        <v>190</v>
      </c>
      <c r="GB603" s="319" t="s">
        <v>190</v>
      </c>
      <c r="GC603" s="319" t="s">
        <v>190</v>
      </c>
      <c r="GD603" s="319" t="s">
        <v>190</v>
      </c>
      <c r="GE603" s="319" t="s">
        <v>190</v>
      </c>
      <c r="GF603" s="319" t="s">
        <v>190</v>
      </c>
      <c r="GG603" s="319" t="s">
        <v>190</v>
      </c>
      <c r="GH603" s="319" t="s">
        <v>190</v>
      </c>
      <c r="GI603" s="319" t="s">
        <v>190</v>
      </c>
      <c r="GJ603" s="319" t="s">
        <v>190</v>
      </c>
      <c r="GK603" s="319" t="s">
        <v>429</v>
      </c>
      <c r="GL603" s="319" t="s">
        <v>190</v>
      </c>
      <c r="GM603" s="319" t="s">
        <v>190</v>
      </c>
      <c r="GN603" s="319" t="s">
        <v>190</v>
      </c>
      <c r="GO603" s="319" t="s">
        <v>190</v>
      </c>
      <c r="GP603" s="319" t="s">
        <v>190</v>
      </c>
      <c r="GQ603" s="319" t="s">
        <v>190</v>
      </c>
      <c r="GR603" s="319" t="s">
        <v>190</v>
      </c>
      <c r="GS603" s="319" t="s">
        <v>190</v>
      </c>
      <c r="GT603" s="319" t="s">
        <v>429</v>
      </c>
      <c r="GU603" s="319" t="s">
        <v>429</v>
      </c>
      <c r="GV603" s="319" t="s">
        <v>190</v>
      </c>
      <c r="GW603" s="319" t="s">
        <v>190</v>
      </c>
      <c r="GX603" s="319" t="s">
        <v>190</v>
      </c>
      <c r="GY603" s="319" t="s">
        <v>190</v>
      </c>
      <c r="GZ603" s="319" t="s">
        <v>190</v>
      </c>
      <c r="HA603" s="319" t="s">
        <v>429</v>
      </c>
      <c r="HB603" s="319" t="s">
        <v>190</v>
      </c>
      <c r="HC603" s="319" t="s">
        <v>190</v>
      </c>
      <c r="HD603" s="319" t="s">
        <v>190</v>
      </c>
      <c r="HE603" s="319" t="s">
        <v>190</v>
      </c>
      <c r="HF603" s="319" t="s">
        <v>190</v>
      </c>
      <c r="HG603" s="319" t="s">
        <v>190</v>
      </c>
      <c r="HH603" s="319" t="s">
        <v>190</v>
      </c>
      <c r="HI603" s="319" t="s">
        <v>190</v>
      </c>
      <c r="HJ603" s="319" t="s">
        <v>190</v>
      </c>
      <c r="HK603" s="319" t="s">
        <v>190</v>
      </c>
      <c r="HL603" s="319" t="s">
        <v>429</v>
      </c>
      <c r="HM603" s="319" t="s">
        <v>429</v>
      </c>
      <c r="HN603" s="319" t="s">
        <v>429</v>
      </c>
      <c r="HO603" s="319" t="s">
        <v>429</v>
      </c>
      <c r="HP603" s="319" t="s">
        <v>190</v>
      </c>
      <c r="HQ603" s="319" t="s">
        <v>190</v>
      </c>
      <c r="HR603" s="319" t="s">
        <v>190</v>
      </c>
      <c r="HS603" s="319" t="s">
        <v>190</v>
      </c>
      <c r="HT603" s="319" t="s">
        <v>190</v>
      </c>
      <c r="HU603" s="319" t="s">
        <v>190</v>
      </c>
      <c r="HV603" s="319" t="s">
        <v>190</v>
      </c>
      <c r="HW603" s="319" t="s">
        <v>190</v>
      </c>
      <c r="HX603" s="319" t="s">
        <v>190</v>
      </c>
      <c r="HY603" s="319" t="s">
        <v>190</v>
      </c>
      <c r="HZ603" s="319" t="s">
        <v>190</v>
      </c>
      <c r="IA603" s="319" t="s">
        <v>190</v>
      </c>
      <c r="IB603" s="319" t="s">
        <v>190</v>
      </c>
      <c r="IC603" s="319" t="s">
        <v>190</v>
      </c>
      <c r="ID603" s="319" t="s">
        <v>190</v>
      </c>
      <c r="IE603" s="319" t="s">
        <v>190</v>
      </c>
      <c r="IF603" s="319" t="s">
        <v>190</v>
      </c>
      <c r="IG603" s="319" t="s">
        <v>190</v>
      </c>
      <c r="IH603" s="319" t="s">
        <v>190</v>
      </c>
      <c r="II603" s="319" t="s">
        <v>190</v>
      </c>
      <c r="IJ603" s="319" t="s">
        <v>3360</v>
      </c>
      <c r="IK603" s="321">
        <v>40567</v>
      </c>
      <c r="IL603" s="321">
        <v>40568</v>
      </c>
      <c r="IM603" s="321">
        <v>40589</v>
      </c>
      <c r="IN603" s="319">
        <v>2</v>
      </c>
      <c r="IO603" s="319" t="s">
        <v>173</v>
      </c>
      <c r="IP603" s="319" t="s">
        <v>173</v>
      </c>
      <c r="IQ603" s="321" t="s">
        <v>173</v>
      </c>
      <c r="IR603" s="320" t="s">
        <v>173</v>
      </c>
      <c r="IS603" s="322" t="s">
        <v>173</v>
      </c>
      <c r="IT603" s="319" t="s">
        <v>173</v>
      </c>
    </row>
    <row r="604" spans="1:254" s="271" customFormat="1" x14ac:dyDescent="0.25">
      <c r="A604" s="318" t="str">
        <f>HYPERLINK("http://www.ofsted.gov.uk/inspection-reports/find-inspection-report/provider/ELS/136100 ","Ofsted School Webpage")</f>
        <v>Ofsted School Webpage</v>
      </c>
      <c r="B604" s="319">
        <v>136100</v>
      </c>
      <c r="C604" s="319">
        <v>2036041</v>
      </c>
      <c r="D604" s="319" t="s">
        <v>2044</v>
      </c>
      <c r="E604" s="319" t="s">
        <v>167</v>
      </c>
      <c r="F604" s="319" t="s">
        <v>81</v>
      </c>
      <c r="G604" s="319" t="s">
        <v>81</v>
      </c>
      <c r="H604" s="319" t="s">
        <v>81</v>
      </c>
      <c r="I604" s="319" t="s">
        <v>78</v>
      </c>
      <c r="J604" s="319" t="s">
        <v>424</v>
      </c>
      <c r="K604" s="319" t="s">
        <v>441</v>
      </c>
      <c r="L604" s="319" t="s">
        <v>441</v>
      </c>
      <c r="M604" s="319" t="s">
        <v>731</v>
      </c>
      <c r="N604" s="319" t="s">
        <v>3358</v>
      </c>
      <c r="O604" s="319" t="s">
        <v>2045</v>
      </c>
      <c r="P604" s="319">
        <v>36</v>
      </c>
      <c r="Q604" s="319" t="s">
        <v>2776</v>
      </c>
      <c r="R604" s="320">
        <v>10026806</v>
      </c>
      <c r="S604" s="321">
        <v>42752</v>
      </c>
      <c r="T604" s="321">
        <v>42754</v>
      </c>
      <c r="U604" s="321">
        <v>42772</v>
      </c>
      <c r="V604" s="319" t="s">
        <v>425</v>
      </c>
      <c r="W604" s="319" t="s">
        <v>2767</v>
      </c>
      <c r="X604" s="319">
        <v>2</v>
      </c>
      <c r="Y604" s="319" t="s">
        <v>173</v>
      </c>
      <c r="Z604" s="319" t="s">
        <v>173</v>
      </c>
      <c r="AA604" s="319" t="s">
        <v>173</v>
      </c>
      <c r="AB604" s="319">
        <v>2</v>
      </c>
      <c r="AC604" s="319" t="s">
        <v>169</v>
      </c>
      <c r="AD604" s="319" t="s">
        <v>173</v>
      </c>
      <c r="AE604" s="319">
        <v>2</v>
      </c>
      <c r="AF604" s="319" t="s">
        <v>173</v>
      </c>
      <c r="AG604" s="319" t="s">
        <v>171</v>
      </c>
      <c r="AH604" s="319" t="s">
        <v>190</v>
      </c>
      <c r="AI604" s="319" t="s">
        <v>190</v>
      </c>
      <c r="AJ604" s="319" t="s">
        <v>190</v>
      </c>
      <c r="AK604" s="319" t="s">
        <v>190</v>
      </c>
      <c r="AL604" s="319" t="s">
        <v>190</v>
      </c>
      <c r="AM604" s="319" t="s">
        <v>190</v>
      </c>
      <c r="AN604" s="319" t="s">
        <v>190</v>
      </c>
      <c r="AO604" s="319" t="s">
        <v>190</v>
      </c>
      <c r="AP604" s="319" t="s">
        <v>190</v>
      </c>
      <c r="AQ604" s="319" t="s">
        <v>190</v>
      </c>
      <c r="AR604" s="319" t="s">
        <v>190</v>
      </c>
      <c r="AS604" s="319" t="s">
        <v>190</v>
      </c>
      <c r="AT604" s="319" t="s">
        <v>190</v>
      </c>
      <c r="AU604" s="319" t="s">
        <v>190</v>
      </c>
      <c r="AV604" s="319" t="s">
        <v>190</v>
      </c>
      <c r="AW604" s="319" t="s">
        <v>190</v>
      </c>
      <c r="AX604" s="319" t="s">
        <v>429</v>
      </c>
      <c r="AY604" s="319" t="s">
        <v>190</v>
      </c>
      <c r="AZ604" s="319" t="s">
        <v>190</v>
      </c>
      <c r="BA604" s="319" t="s">
        <v>190</v>
      </c>
      <c r="BB604" s="319" t="s">
        <v>190</v>
      </c>
      <c r="BC604" s="319" t="s">
        <v>190</v>
      </c>
      <c r="BD604" s="319" t="s">
        <v>190</v>
      </c>
      <c r="BE604" s="319" t="s">
        <v>190</v>
      </c>
      <c r="BF604" s="319" t="s">
        <v>429</v>
      </c>
      <c r="BG604" s="319" t="s">
        <v>190</v>
      </c>
      <c r="BH604" s="319" t="s">
        <v>190</v>
      </c>
      <c r="BI604" s="319" t="s">
        <v>190</v>
      </c>
      <c r="BJ604" s="319" t="s">
        <v>190</v>
      </c>
      <c r="BK604" s="319" t="s">
        <v>190</v>
      </c>
      <c r="BL604" s="319" t="s">
        <v>190</v>
      </c>
      <c r="BM604" s="319" t="s">
        <v>190</v>
      </c>
      <c r="BN604" s="319" t="s">
        <v>190</v>
      </c>
      <c r="BO604" s="319" t="s">
        <v>190</v>
      </c>
      <c r="BP604" s="319" t="s">
        <v>190</v>
      </c>
      <c r="BQ604" s="319" t="s">
        <v>190</v>
      </c>
      <c r="BR604" s="319" t="s">
        <v>190</v>
      </c>
      <c r="BS604" s="319" t="s">
        <v>190</v>
      </c>
      <c r="BT604" s="319" t="s">
        <v>190</v>
      </c>
      <c r="BU604" s="319" t="s">
        <v>190</v>
      </c>
      <c r="BV604" s="319" t="s">
        <v>190</v>
      </c>
      <c r="BW604" s="319" t="s">
        <v>190</v>
      </c>
      <c r="BX604" s="319" t="s">
        <v>190</v>
      </c>
      <c r="BY604" s="319" t="s">
        <v>190</v>
      </c>
      <c r="BZ604" s="319" t="s">
        <v>190</v>
      </c>
      <c r="CA604" s="319" t="s">
        <v>190</v>
      </c>
      <c r="CB604" s="319" t="s">
        <v>190</v>
      </c>
      <c r="CC604" s="319" t="s">
        <v>190</v>
      </c>
      <c r="CD604" s="319" t="s">
        <v>190</v>
      </c>
      <c r="CE604" s="319" t="s">
        <v>190</v>
      </c>
      <c r="CF604" s="319" t="s">
        <v>190</v>
      </c>
      <c r="CG604" s="319" t="s">
        <v>190</v>
      </c>
      <c r="CH604" s="319" t="s">
        <v>190</v>
      </c>
      <c r="CI604" s="319" t="s">
        <v>190</v>
      </c>
      <c r="CJ604" s="319" t="s">
        <v>190</v>
      </c>
      <c r="CK604" s="319" t="s">
        <v>190</v>
      </c>
      <c r="CL604" s="319" t="s">
        <v>190</v>
      </c>
      <c r="CM604" s="319" t="s">
        <v>190</v>
      </c>
      <c r="CN604" s="319" t="s">
        <v>429</v>
      </c>
      <c r="CO604" s="319" t="s">
        <v>429</v>
      </c>
      <c r="CP604" s="319" t="s">
        <v>429</v>
      </c>
      <c r="CQ604" s="319" t="s">
        <v>190</v>
      </c>
      <c r="CR604" s="319" t="s">
        <v>190</v>
      </c>
      <c r="CS604" s="319" t="s">
        <v>190</v>
      </c>
      <c r="CT604" s="319" t="s">
        <v>190</v>
      </c>
      <c r="CU604" s="319" t="s">
        <v>190</v>
      </c>
      <c r="CV604" s="319" t="s">
        <v>190</v>
      </c>
      <c r="CW604" s="319" t="s">
        <v>190</v>
      </c>
      <c r="CX604" s="319" t="s">
        <v>190</v>
      </c>
      <c r="CY604" s="319" t="s">
        <v>190</v>
      </c>
      <c r="CZ604" s="319" t="s">
        <v>190</v>
      </c>
      <c r="DA604" s="319" t="s">
        <v>190</v>
      </c>
      <c r="DB604" s="319" t="s">
        <v>190</v>
      </c>
      <c r="DC604" s="319" t="s">
        <v>190</v>
      </c>
      <c r="DD604" s="319" t="s">
        <v>190</v>
      </c>
      <c r="DE604" s="319" t="s">
        <v>190</v>
      </c>
      <c r="DF604" s="319" t="s">
        <v>190</v>
      </c>
      <c r="DG604" s="319" t="s">
        <v>190</v>
      </c>
      <c r="DH604" s="319" t="s">
        <v>190</v>
      </c>
      <c r="DI604" s="319" t="s">
        <v>190</v>
      </c>
      <c r="DJ604" s="319" t="s">
        <v>190</v>
      </c>
      <c r="DK604" s="319" t="s">
        <v>190</v>
      </c>
      <c r="DL604" s="319" t="s">
        <v>190</v>
      </c>
      <c r="DM604" s="319" t="s">
        <v>190</v>
      </c>
      <c r="DN604" s="319" t="s">
        <v>429</v>
      </c>
      <c r="DO604" s="319" t="s">
        <v>190</v>
      </c>
      <c r="DP604" s="319" t="s">
        <v>190</v>
      </c>
      <c r="DQ604" s="319" t="s">
        <v>190</v>
      </c>
      <c r="DR604" s="319" t="s">
        <v>190</v>
      </c>
      <c r="DS604" s="319" t="s">
        <v>190</v>
      </c>
      <c r="DT604" s="319" t="s">
        <v>190</v>
      </c>
      <c r="DU604" s="319" t="s">
        <v>190</v>
      </c>
      <c r="DV604" s="319" t="s">
        <v>173</v>
      </c>
      <c r="DW604" s="319" t="s">
        <v>190</v>
      </c>
      <c r="DX604" s="319" t="s">
        <v>190</v>
      </c>
      <c r="DY604" s="319" t="s">
        <v>190</v>
      </c>
      <c r="DZ604" s="319" t="s">
        <v>190</v>
      </c>
      <c r="EA604" s="319" t="s">
        <v>190</v>
      </c>
      <c r="EB604" s="319" t="s">
        <v>190</v>
      </c>
      <c r="EC604" s="319" t="s">
        <v>190</v>
      </c>
      <c r="ED604" s="319" t="s">
        <v>190</v>
      </c>
      <c r="EE604" s="319" t="s">
        <v>190</v>
      </c>
      <c r="EF604" s="319" t="s">
        <v>190</v>
      </c>
      <c r="EG604" s="319" t="s">
        <v>190</v>
      </c>
      <c r="EH604" s="319" t="s">
        <v>190</v>
      </c>
      <c r="EI604" s="319" t="s">
        <v>190</v>
      </c>
      <c r="EJ604" s="319" t="s">
        <v>190</v>
      </c>
      <c r="EK604" s="319" t="s">
        <v>190</v>
      </c>
      <c r="EL604" s="319" t="s">
        <v>190</v>
      </c>
      <c r="EM604" s="319" t="s">
        <v>190</v>
      </c>
      <c r="EN604" s="319" t="s">
        <v>190</v>
      </c>
      <c r="EO604" s="319" t="s">
        <v>190</v>
      </c>
      <c r="EP604" s="319" t="s">
        <v>190</v>
      </c>
      <c r="EQ604" s="319" t="s">
        <v>190</v>
      </c>
      <c r="ER604" s="319" t="s">
        <v>190</v>
      </c>
      <c r="ES604" s="319" t="s">
        <v>190</v>
      </c>
      <c r="ET604" s="319" t="s">
        <v>190</v>
      </c>
      <c r="EU604" s="319" t="s">
        <v>190</v>
      </c>
      <c r="EV604" s="319" t="s">
        <v>190</v>
      </c>
      <c r="EW604" s="319" t="s">
        <v>190</v>
      </c>
      <c r="EX604" s="319" t="s">
        <v>190</v>
      </c>
      <c r="EY604" s="319" t="s">
        <v>190</v>
      </c>
      <c r="EZ604" s="319" t="s">
        <v>190</v>
      </c>
      <c r="FA604" s="319" t="s">
        <v>190</v>
      </c>
      <c r="FB604" s="319" t="s">
        <v>190</v>
      </c>
      <c r="FC604" s="319" t="s">
        <v>190</v>
      </c>
      <c r="FD604" s="319" t="s">
        <v>190</v>
      </c>
      <c r="FE604" s="319" t="s">
        <v>190</v>
      </c>
      <c r="FF604" s="319" t="s">
        <v>190</v>
      </c>
      <c r="FG604" s="319" t="s">
        <v>190</v>
      </c>
      <c r="FH604" s="319" t="s">
        <v>190</v>
      </c>
      <c r="FI604" s="319" t="s">
        <v>190</v>
      </c>
      <c r="FJ604" s="319" t="s">
        <v>190</v>
      </c>
      <c r="FK604" s="319" t="s">
        <v>190</v>
      </c>
      <c r="FL604" s="319" t="s">
        <v>190</v>
      </c>
      <c r="FM604" s="319" t="s">
        <v>190</v>
      </c>
      <c r="FN604" s="319" t="s">
        <v>190</v>
      </c>
      <c r="FO604" s="319" t="s">
        <v>190</v>
      </c>
      <c r="FP604" s="319" t="s">
        <v>190</v>
      </c>
      <c r="FQ604" s="319" t="s">
        <v>190</v>
      </c>
      <c r="FR604" s="319" t="s">
        <v>190</v>
      </c>
      <c r="FS604" s="319" t="s">
        <v>429</v>
      </c>
      <c r="FT604" s="319" t="s">
        <v>190</v>
      </c>
      <c r="FU604" s="319" t="s">
        <v>190</v>
      </c>
      <c r="FV604" s="319" t="s">
        <v>190</v>
      </c>
      <c r="FW604" s="319" t="s">
        <v>190</v>
      </c>
      <c r="FX604" s="319" t="s">
        <v>190</v>
      </c>
      <c r="FY604" s="319" t="s">
        <v>190</v>
      </c>
      <c r="FZ604" s="319" t="s">
        <v>190</v>
      </c>
      <c r="GA604" s="319" t="s">
        <v>190</v>
      </c>
      <c r="GB604" s="319" t="s">
        <v>190</v>
      </c>
      <c r="GC604" s="319" t="s">
        <v>190</v>
      </c>
      <c r="GD604" s="319" t="s">
        <v>190</v>
      </c>
      <c r="GE604" s="319" t="s">
        <v>190</v>
      </c>
      <c r="GF604" s="319" t="s">
        <v>190</v>
      </c>
      <c r="GG604" s="319" t="s">
        <v>190</v>
      </c>
      <c r="GH604" s="319" t="s">
        <v>190</v>
      </c>
      <c r="GI604" s="319" t="s">
        <v>190</v>
      </c>
      <c r="GJ604" s="319" t="s">
        <v>190</v>
      </c>
      <c r="GK604" s="319" t="s">
        <v>429</v>
      </c>
      <c r="GL604" s="319" t="s">
        <v>190</v>
      </c>
      <c r="GM604" s="319" t="s">
        <v>190</v>
      </c>
      <c r="GN604" s="319" t="s">
        <v>190</v>
      </c>
      <c r="GO604" s="319" t="s">
        <v>190</v>
      </c>
      <c r="GP604" s="319" t="s">
        <v>190</v>
      </c>
      <c r="GQ604" s="319" t="s">
        <v>429</v>
      </c>
      <c r="GR604" s="319" t="s">
        <v>190</v>
      </c>
      <c r="GS604" s="319" t="s">
        <v>190</v>
      </c>
      <c r="GT604" s="319" t="s">
        <v>190</v>
      </c>
      <c r="GU604" s="319" t="s">
        <v>190</v>
      </c>
      <c r="GV604" s="319" t="s">
        <v>190</v>
      </c>
      <c r="GW604" s="319" t="s">
        <v>190</v>
      </c>
      <c r="GX604" s="319" t="s">
        <v>190</v>
      </c>
      <c r="GY604" s="319" t="s">
        <v>190</v>
      </c>
      <c r="GZ604" s="319" t="s">
        <v>190</v>
      </c>
      <c r="HA604" s="319" t="s">
        <v>190</v>
      </c>
      <c r="HB604" s="319" t="s">
        <v>429</v>
      </c>
      <c r="HC604" s="319" t="s">
        <v>190</v>
      </c>
      <c r="HD604" s="319" t="s">
        <v>190</v>
      </c>
      <c r="HE604" s="319" t="s">
        <v>190</v>
      </c>
      <c r="HF604" s="319" t="s">
        <v>190</v>
      </c>
      <c r="HG604" s="319" t="s">
        <v>190</v>
      </c>
      <c r="HH604" s="319" t="s">
        <v>190</v>
      </c>
      <c r="HI604" s="319" t="s">
        <v>190</v>
      </c>
      <c r="HJ604" s="319" t="s">
        <v>190</v>
      </c>
      <c r="HK604" s="319" t="s">
        <v>190</v>
      </c>
      <c r="HL604" s="319" t="s">
        <v>190</v>
      </c>
      <c r="HM604" s="319" t="s">
        <v>429</v>
      </c>
      <c r="HN604" s="319" t="s">
        <v>429</v>
      </c>
      <c r="HO604" s="319" t="s">
        <v>429</v>
      </c>
      <c r="HP604" s="319" t="s">
        <v>190</v>
      </c>
      <c r="HQ604" s="319" t="s">
        <v>190</v>
      </c>
      <c r="HR604" s="319" t="s">
        <v>190</v>
      </c>
      <c r="HS604" s="319" t="s">
        <v>190</v>
      </c>
      <c r="HT604" s="319" t="s">
        <v>190</v>
      </c>
      <c r="HU604" s="319" t="s">
        <v>190</v>
      </c>
      <c r="HV604" s="319" t="s">
        <v>190</v>
      </c>
      <c r="HW604" s="319" t="s">
        <v>190</v>
      </c>
      <c r="HX604" s="319" t="s">
        <v>190</v>
      </c>
      <c r="HY604" s="319" t="s">
        <v>190</v>
      </c>
      <c r="HZ604" s="319" t="s">
        <v>190</v>
      </c>
      <c r="IA604" s="319" t="s">
        <v>190</v>
      </c>
      <c r="IB604" s="319" t="s">
        <v>190</v>
      </c>
      <c r="IC604" s="319" t="s">
        <v>190</v>
      </c>
      <c r="ID604" s="319" t="s">
        <v>190</v>
      </c>
      <c r="IE604" s="319" t="s">
        <v>190</v>
      </c>
      <c r="IF604" s="319" t="s">
        <v>190</v>
      </c>
      <c r="IG604" s="319" t="s">
        <v>190</v>
      </c>
      <c r="IH604" s="319" t="s">
        <v>190</v>
      </c>
      <c r="II604" s="319" t="s">
        <v>190</v>
      </c>
      <c r="IJ604" s="319" t="s">
        <v>3361</v>
      </c>
      <c r="IK604" s="321">
        <v>41815</v>
      </c>
      <c r="IL604" s="321">
        <v>41817</v>
      </c>
      <c r="IM604" s="321">
        <v>41836</v>
      </c>
      <c r="IN604" s="319">
        <v>2</v>
      </c>
      <c r="IO604" s="319" t="s">
        <v>173</v>
      </c>
      <c r="IP604" s="319" t="s">
        <v>173</v>
      </c>
      <c r="IQ604" s="321" t="s">
        <v>173</v>
      </c>
      <c r="IR604" s="320" t="s">
        <v>173</v>
      </c>
      <c r="IS604" s="322" t="s">
        <v>173</v>
      </c>
      <c r="IT604" s="319" t="s">
        <v>173</v>
      </c>
    </row>
    <row r="605" spans="1:254" s="271" customFormat="1" x14ac:dyDescent="0.25">
      <c r="A605" s="318" t="str">
        <f>HYPERLINK("http://www.ofsted.gov.uk/inspection-reports/find-inspection-report/provider/ELS/136110 ","Ofsted School Webpage")</f>
        <v>Ofsted School Webpage</v>
      </c>
      <c r="B605" s="319">
        <v>136110</v>
      </c>
      <c r="C605" s="319">
        <v>2126041</v>
      </c>
      <c r="D605" s="319" t="s">
        <v>2046</v>
      </c>
      <c r="E605" s="319" t="s">
        <v>168</v>
      </c>
      <c r="F605" s="319" t="s">
        <v>81</v>
      </c>
      <c r="G605" s="319" t="s">
        <v>81</v>
      </c>
      <c r="H605" s="319" t="s">
        <v>81</v>
      </c>
      <c r="I605" s="319" t="s">
        <v>78</v>
      </c>
      <c r="J605" s="319" t="s">
        <v>424</v>
      </c>
      <c r="K605" s="319" t="s">
        <v>441</v>
      </c>
      <c r="L605" s="319" t="s">
        <v>441</v>
      </c>
      <c r="M605" s="319" t="s">
        <v>745</v>
      </c>
      <c r="N605" s="319" t="s">
        <v>2803</v>
      </c>
      <c r="O605" s="319" t="s">
        <v>2047</v>
      </c>
      <c r="P605" s="319">
        <v>65</v>
      </c>
      <c r="Q605" s="319" t="s">
        <v>2776</v>
      </c>
      <c r="R605" s="320">
        <v>10092511</v>
      </c>
      <c r="S605" s="321">
        <v>43606</v>
      </c>
      <c r="T605" s="321">
        <v>43608</v>
      </c>
      <c r="U605" s="321">
        <v>43628</v>
      </c>
      <c r="V605" s="319" t="s">
        <v>425</v>
      </c>
      <c r="W605" s="319" t="s">
        <v>2767</v>
      </c>
      <c r="X605" s="319">
        <v>2</v>
      </c>
      <c r="Y605" s="319" t="s">
        <v>173</v>
      </c>
      <c r="Z605" s="319" t="s">
        <v>173</v>
      </c>
      <c r="AA605" s="319" t="s">
        <v>173</v>
      </c>
      <c r="AB605" s="319">
        <v>2</v>
      </c>
      <c r="AC605" s="319" t="s">
        <v>169</v>
      </c>
      <c r="AD605" s="319" t="s">
        <v>173</v>
      </c>
      <c r="AE605" s="319">
        <v>2</v>
      </c>
      <c r="AF605" s="319" t="s">
        <v>427</v>
      </c>
      <c r="AG605" s="319" t="s">
        <v>171</v>
      </c>
      <c r="AH605" s="319" t="s">
        <v>190</v>
      </c>
      <c r="AI605" s="319" t="s">
        <v>190</v>
      </c>
      <c r="AJ605" s="319" t="s">
        <v>190</v>
      </c>
      <c r="AK605" s="319" t="s">
        <v>190</v>
      </c>
      <c r="AL605" s="319" t="s">
        <v>190</v>
      </c>
      <c r="AM605" s="319" t="s">
        <v>190</v>
      </c>
      <c r="AN605" s="319" t="s">
        <v>190</v>
      </c>
      <c r="AO605" s="319" t="s">
        <v>190</v>
      </c>
      <c r="AP605" s="319" t="s">
        <v>190</v>
      </c>
      <c r="AQ605" s="319" t="s">
        <v>190</v>
      </c>
      <c r="AR605" s="319" t="s">
        <v>190</v>
      </c>
      <c r="AS605" s="319" t="s">
        <v>190</v>
      </c>
      <c r="AT605" s="319" t="s">
        <v>190</v>
      </c>
      <c r="AU605" s="319" t="s">
        <v>190</v>
      </c>
      <c r="AV605" s="319" t="s">
        <v>190</v>
      </c>
      <c r="AW605" s="319" t="s">
        <v>190</v>
      </c>
      <c r="AX605" s="319" t="s">
        <v>190</v>
      </c>
      <c r="AY605" s="319" t="s">
        <v>190</v>
      </c>
      <c r="AZ605" s="319" t="s">
        <v>190</v>
      </c>
      <c r="BA605" s="319" t="s">
        <v>190</v>
      </c>
      <c r="BB605" s="319" t="s">
        <v>190</v>
      </c>
      <c r="BC605" s="319" t="s">
        <v>190</v>
      </c>
      <c r="BD605" s="319" t="s">
        <v>190</v>
      </c>
      <c r="BE605" s="319" t="s">
        <v>190</v>
      </c>
      <c r="BF605" s="319" t="s">
        <v>428</v>
      </c>
      <c r="BG605" s="319" t="s">
        <v>190</v>
      </c>
      <c r="BH605" s="319" t="s">
        <v>190</v>
      </c>
      <c r="BI605" s="319" t="s">
        <v>190</v>
      </c>
      <c r="BJ605" s="319" t="s">
        <v>190</v>
      </c>
      <c r="BK605" s="319" t="s">
        <v>190</v>
      </c>
      <c r="BL605" s="319" t="s">
        <v>190</v>
      </c>
      <c r="BM605" s="319" t="s">
        <v>190</v>
      </c>
      <c r="BN605" s="319" t="s">
        <v>190</v>
      </c>
      <c r="BO605" s="319" t="s">
        <v>190</v>
      </c>
      <c r="BP605" s="319" t="s">
        <v>190</v>
      </c>
      <c r="BQ605" s="319" t="s">
        <v>190</v>
      </c>
      <c r="BR605" s="319" t="s">
        <v>190</v>
      </c>
      <c r="BS605" s="319" t="s">
        <v>190</v>
      </c>
      <c r="BT605" s="319" t="s">
        <v>190</v>
      </c>
      <c r="BU605" s="319" t="s">
        <v>190</v>
      </c>
      <c r="BV605" s="319" t="s">
        <v>190</v>
      </c>
      <c r="BW605" s="319" t="s">
        <v>190</v>
      </c>
      <c r="BX605" s="319" t="s">
        <v>190</v>
      </c>
      <c r="BY605" s="319" t="s">
        <v>190</v>
      </c>
      <c r="BZ605" s="319" t="s">
        <v>190</v>
      </c>
      <c r="CA605" s="319" t="s">
        <v>190</v>
      </c>
      <c r="CB605" s="319" t="s">
        <v>190</v>
      </c>
      <c r="CC605" s="319" t="s">
        <v>190</v>
      </c>
      <c r="CD605" s="319" t="s">
        <v>190</v>
      </c>
      <c r="CE605" s="319" t="s">
        <v>190</v>
      </c>
      <c r="CF605" s="319" t="s">
        <v>190</v>
      </c>
      <c r="CG605" s="319" t="s">
        <v>190</v>
      </c>
      <c r="CH605" s="319" t="s">
        <v>190</v>
      </c>
      <c r="CI605" s="319" t="s">
        <v>190</v>
      </c>
      <c r="CJ605" s="319" t="s">
        <v>190</v>
      </c>
      <c r="CK605" s="319" t="s">
        <v>190</v>
      </c>
      <c r="CL605" s="319" t="s">
        <v>190</v>
      </c>
      <c r="CM605" s="319" t="s">
        <v>190</v>
      </c>
      <c r="CN605" s="319" t="s">
        <v>190</v>
      </c>
      <c r="CO605" s="319" t="s">
        <v>428</v>
      </c>
      <c r="CP605" s="319" t="s">
        <v>428</v>
      </c>
      <c r="CQ605" s="319" t="s">
        <v>190</v>
      </c>
      <c r="CR605" s="319" t="s">
        <v>190</v>
      </c>
      <c r="CS605" s="319" t="s">
        <v>190</v>
      </c>
      <c r="CT605" s="319" t="s">
        <v>190</v>
      </c>
      <c r="CU605" s="319" t="s">
        <v>190</v>
      </c>
      <c r="CV605" s="319" t="s">
        <v>190</v>
      </c>
      <c r="CW605" s="319" t="s">
        <v>190</v>
      </c>
      <c r="CX605" s="319" t="s">
        <v>190</v>
      </c>
      <c r="CY605" s="319" t="s">
        <v>190</v>
      </c>
      <c r="CZ605" s="319" t="s">
        <v>190</v>
      </c>
      <c r="DA605" s="319" t="s">
        <v>190</v>
      </c>
      <c r="DB605" s="319" t="s">
        <v>190</v>
      </c>
      <c r="DC605" s="319" t="s">
        <v>190</v>
      </c>
      <c r="DD605" s="319" t="s">
        <v>190</v>
      </c>
      <c r="DE605" s="319" t="s">
        <v>190</v>
      </c>
      <c r="DF605" s="319" t="s">
        <v>190</v>
      </c>
      <c r="DG605" s="319" t="s">
        <v>190</v>
      </c>
      <c r="DH605" s="319" t="s">
        <v>190</v>
      </c>
      <c r="DI605" s="319" t="s">
        <v>190</v>
      </c>
      <c r="DJ605" s="319" t="s">
        <v>190</v>
      </c>
      <c r="DK605" s="319" t="s">
        <v>190</v>
      </c>
      <c r="DL605" s="319" t="s">
        <v>190</v>
      </c>
      <c r="DM605" s="319" t="s">
        <v>190</v>
      </c>
      <c r="DN605" s="319" t="s">
        <v>428</v>
      </c>
      <c r="DO605" s="319" t="s">
        <v>190</v>
      </c>
      <c r="DP605" s="319" t="s">
        <v>190</v>
      </c>
      <c r="DQ605" s="319" t="s">
        <v>190</v>
      </c>
      <c r="DR605" s="319" t="s">
        <v>190</v>
      </c>
      <c r="DS605" s="319" t="s">
        <v>190</v>
      </c>
      <c r="DT605" s="319" t="s">
        <v>190</v>
      </c>
      <c r="DU605" s="319" t="s">
        <v>190</v>
      </c>
      <c r="DV605" s="319" t="s">
        <v>173</v>
      </c>
      <c r="DW605" s="319" t="s">
        <v>190</v>
      </c>
      <c r="DX605" s="319" t="s">
        <v>190</v>
      </c>
      <c r="DY605" s="319" t="s">
        <v>190</v>
      </c>
      <c r="DZ605" s="319" t="s">
        <v>190</v>
      </c>
      <c r="EA605" s="319" t="s">
        <v>190</v>
      </c>
      <c r="EB605" s="319" t="s">
        <v>190</v>
      </c>
      <c r="EC605" s="319" t="s">
        <v>428</v>
      </c>
      <c r="ED605" s="319" t="s">
        <v>190</v>
      </c>
      <c r="EE605" s="319" t="s">
        <v>190</v>
      </c>
      <c r="EF605" s="319" t="s">
        <v>190</v>
      </c>
      <c r="EG605" s="319" t="s">
        <v>190</v>
      </c>
      <c r="EH605" s="319" t="s">
        <v>190</v>
      </c>
      <c r="EI605" s="319" t="s">
        <v>190</v>
      </c>
      <c r="EJ605" s="319" t="s">
        <v>190</v>
      </c>
      <c r="EK605" s="319" t="s">
        <v>190</v>
      </c>
      <c r="EL605" s="319" t="s">
        <v>190</v>
      </c>
      <c r="EM605" s="319" t="s">
        <v>190</v>
      </c>
      <c r="EN605" s="319" t="s">
        <v>190</v>
      </c>
      <c r="EO605" s="319" t="s">
        <v>190</v>
      </c>
      <c r="EP605" s="319" t="s">
        <v>190</v>
      </c>
      <c r="EQ605" s="319" t="s">
        <v>190</v>
      </c>
      <c r="ER605" s="319" t="s">
        <v>190</v>
      </c>
      <c r="ES605" s="319" t="s">
        <v>190</v>
      </c>
      <c r="ET605" s="319" t="s">
        <v>190</v>
      </c>
      <c r="EU605" s="319" t="s">
        <v>190</v>
      </c>
      <c r="EV605" s="319" t="s">
        <v>190</v>
      </c>
      <c r="EW605" s="319" t="s">
        <v>190</v>
      </c>
      <c r="EX605" s="319" t="s">
        <v>190</v>
      </c>
      <c r="EY605" s="319" t="s">
        <v>190</v>
      </c>
      <c r="EZ605" s="319" t="s">
        <v>190</v>
      </c>
      <c r="FA605" s="319" t="s">
        <v>190</v>
      </c>
      <c r="FB605" s="319" t="s">
        <v>190</v>
      </c>
      <c r="FC605" s="319" t="s">
        <v>190</v>
      </c>
      <c r="FD605" s="319" t="s">
        <v>190</v>
      </c>
      <c r="FE605" s="319" t="s">
        <v>190</v>
      </c>
      <c r="FF605" s="319" t="s">
        <v>190</v>
      </c>
      <c r="FG605" s="319" t="s">
        <v>190</v>
      </c>
      <c r="FH605" s="319" t="s">
        <v>190</v>
      </c>
      <c r="FI605" s="319" t="s">
        <v>190</v>
      </c>
      <c r="FJ605" s="319" t="s">
        <v>190</v>
      </c>
      <c r="FK605" s="319" t="s">
        <v>190</v>
      </c>
      <c r="FL605" s="319" t="s">
        <v>190</v>
      </c>
      <c r="FM605" s="319" t="s">
        <v>190</v>
      </c>
      <c r="FN605" s="319" t="s">
        <v>190</v>
      </c>
      <c r="FO605" s="319" t="s">
        <v>190</v>
      </c>
      <c r="FP605" s="319" t="s">
        <v>190</v>
      </c>
      <c r="FQ605" s="319" t="s">
        <v>190</v>
      </c>
      <c r="FR605" s="319" t="s">
        <v>190</v>
      </c>
      <c r="FS605" s="319" t="s">
        <v>428</v>
      </c>
      <c r="FT605" s="319" t="s">
        <v>428</v>
      </c>
      <c r="FU605" s="319" t="s">
        <v>190</v>
      </c>
      <c r="FV605" s="319" t="s">
        <v>190</v>
      </c>
      <c r="FW605" s="319" t="s">
        <v>190</v>
      </c>
      <c r="FX605" s="319" t="s">
        <v>190</v>
      </c>
      <c r="FY605" s="319" t="s">
        <v>190</v>
      </c>
      <c r="FZ605" s="319" t="s">
        <v>190</v>
      </c>
      <c r="GA605" s="319" t="s">
        <v>190</v>
      </c>
      <c r="GB605" s="319" t="s">
        <v>190</v>
      </c>
      <c r="GC605" s="319" t="s">
        <v>190</v>
      </c>
      <c r="GD605" s="319" t="s">
        <v>190</v>
      </c>
      <c r="GE605" s="319" t="s">
        <v>190</v>
      </c>
      <c r="GF605" s="319" t="s">
        <v>190</v>
      </c>
      <c r="GG605" s="319" t="s">
        <v>190</v>
      </c>
      <c r="GH605" s="319" t="s">
        <v>190</v>
      </c>
      <c r="GI605" s="319" t="s">
        <v>190</v>
      </c>
      <c r="GJ605" s="319" t="s">
        <v>190</v>
      </c>
      <c r="GK605" s="319" t="s">
        <v>428</v>
      </c>
      <c r="GL605" s="319" t="s">
        <v>190</v>
      </c>
      <c r="GM605" s="319" t="s">
        <v>190</v>
      </c>
      <c r="GN605" s="319" t="s">
        <v>190</v>
      </c>
      <c r="GO605" s="319" t="s">
        <v>190</v>
      </c>
      <c r="GP605" s="319" t="s">
        <v>190</v>
      </c>
      <c r="GQ605" s="319" t="s">
        <v>428</v>
      </c>
      <c r="GR605" s="319" t="s">
        <v>190</v>
      </c>
      <c r="GS605" s="319" t="s">
        <v>190</v>
      </c>
      <c r="GT605" s="319" t="s">
        <v>190</v>
      </c>
      <c r="GU605" s="319" t="s">
        <v>190</v>
      </c>
      <c r="GV605" s="319" t="s">
        <v>190</v>
      </c>
      <c r="GW605" s="319" t="s">
        <v>190</v>
      </c>
      <c r="GX605" s="319" t="s">
        <v>190</v>
      </c>
      <c r="GY605" s="319" t="s">
        <v>190</v>
      </c>
      <c r="GZ605" s="319" t="s">
        <v>428</v>
      </c>
      <c r="HA605" s="319" t="s">
        <v>190</v>
      </c>
      <c r="HB605" s="319" t="s">
        <v>428</v>
      </c>
      <c r="HC605" s="319" t="s">
        <v>190</v>
      </c>
      <c r="HD605" s="319" t="s">
        <v>190</v>
      </c>
      <c r="HE605" s="319" t="s">
        <v>190</v>
      </c>
      <c r="HF605" s="319" t="s">
        <v>190</v>
      </c>
      <c r="HG605" s="319" t="s">
        <v>190</v>
      </c>
      <c r="HH605" s="319" t="s">
        <v>190</v>
      </c>
      <c r="HI605" s="319" t="s">
        <v>190</v>
      </c>
      <c r="HJ605" s="319" t="s">
        <v>190</v>
      </c>
      <c r="HK605" s="319" t="s">
        <v>190</v>
      </c>
      <c r="HL605" s="319" t="s">
        <v>190</v>
      </c>
      <c r="HM605" s="319" t="s">
        <v>428</v>
      </c>
      <c r="HN605" s="319" t="s">
        <v>428</v>
      </c>
      <c r="HO605" s="319" t="s">
        <v>428</v>
      </c>
      <c r="HP605" s="319" t="s">
        <v>190</v>
      </c>
      <c r="HQ605" s="319" t="s">
        <v>190</v>
      </c>
      <c r="HR605" s="319" t="s">
        <v>190</v>
      </c>
      <c r="HS605" s="319" t="s">
        <v>190</v>
      </c>
      <c r="HT605" s="319" t="s">
        <v>190</v>
      </c>
      <c r="HU605" s="319" t="s">
        <v>190</v>
      </c>
      <c r="HV605" s="319" t="s">
        <v>190</v>
      </c>
      <c r="HW605" s="319" t="s">
        <v>190</v>
      </c>
      <c r="HX605" s="319" t="s">
        <v>190</v>
      </c>
      <c r="HY605" s="319" t="s">
        <v>190</v>
      </c>
      <c r="HZ605" s="319" t="s">
        <v>190</v>
      </c>
      <c r="IA605" s="319" t="s">
        <v>190</v>
      </c>
      <c r="IB605" s="319" t="s">
        <v>190</v>
      </c>
      <c r="IC605" s="319" t="s">
        <v>190</v>
      </c>
      <c r="ID605" s="319" t="s">
        <v>190</v>
      </c>
      <c r="IE605" s="319" t="s">
        <v>190</v>
      </c>
      <c r="IF605" s="319" t="s">
        <v>190</v>
      </c>
      <c r="IG605" s="319" t="s">
        <v>190</v>
      </c>
      <c r="IH605" s="319" t="s">
        <v>190</v>
      </c>
      <c r="II605" s="319" t="s">
        <v>190</v>
      </c>
      <c r="IJ605" s="319">
        <v>10026156</v>
      </c>
      <c r="IK605" s="321">
        <v>42690</v>
      </c>
      <c r="IL605" s="321">
        <v>42692</v>
      </c>
      <c r="IM605" s="321">
        <v>42724</v>
      </c>
      <c r="IN605" s="319">
        <v>2</v>
      </c>
      <c r="IO605" s="319" t="s">
        <v>173</v>
      </c>
      <c r="IP605" s="319" t="s">
        <v>173</v>
      </c>
      <c r="IQ605" s="319" t="s">
        <v>173</v>
      </c>
      <c r="IR605" s="320" t="s">
        <v>173</v>
      </c>
      <c r="IS605" s="320" t="s">
        <v>173</v>
      </c>
      <c r="IT605" s="319" t="s">
        <v>173</v>
      </c>
    </row>
    <row r="606" spans="1:254" s="271" customFormat="1" x14ac:dyDescent="0.25">
      <c r="A606" s="318" t="str">
        <f>HYPERLINK("http://www.ofsted.gov.uk/inspection-reports/find-inspection-report/provider/ELS/136112 ","Ofsted School Webpage")</f>
        <v>Ofsted School Webpage</v>
      </c>
      <c r="B606" s="319">
        <v>136112</v>
      </c>
      <c r="C606" s="319">
        <v>8506075</v>
      </c>
      <c r="D606" s="319" t="s">
        <v>2048</v>
      </c>
      <c r="E606" s="319" t="s">
        <v>167</v>
      </c>
      <c r="F606" s="319" t="s">
        <v>81</v>
      </c>
      <c r="G606" s="319" t="s">
        <v>81</v>
      </c>
      <c r="H606" s="319" t="s">
        <v>81</v>
      </c>
      <c r="I606" s="319" t="s">
        <v>78</v>
      </c>
      <c r="J606" s="319" t="s">
        <v>424</v>
      </c>
      <c r="K606" s="319" t="s">
        <v>514</v>
      </c>
      <c r="L606" s="319" t="s">
        <v>514</v>
      </c>
      <c r="M606" s="319" t="s">
        <v>515</v>
      </c>
      <c r="N606" s="319" t="s">
        <v>2952</v>
      </c>
      <c r="O606" s="319" t="s">
        <v>2049</v>
      </c>
      <c r="P606" s="319">
        <v>74</v>
      </c>
      <c r="Q606" s="319" t="s">
        <v>2766</v>
      </c>
      <c r="R606" s="320">
        <v>10039164</v>
      </c>
      <c r="S606" s="321">
        <v>43277</v>
      </c>
      <c r="T606" s="321">
        <v>43279</v>
      </c>
      <c r="U606" s="321">
        <v>43299</v>
      </c>
      <c r="V606" s="319" t="s">
        <v>425</v>
      </c>
      <c r="W606" s="319" t="s">
        <v>2767</v>
      </c>
      <c r="X606" s="319">
        <v>2</v>
      </c>
      <c r="Y606" s="319" t="s">
        <v>173</v>
      </c>
      <c r="Z606" s="319" t="s">
        <v>173</v>
      </c>
      <c r="AA606" s="319" t="s">
        <v>173</v>
      </c>
      <c r="AB606" s="319">
        <v>2</v>
      </c>
      <c r="AC606" s="319" t="s">
        <v>169</v>
      </c>
      <c r="AD606" s="319">
        <v>2</v>
      </c>
      <c r="AE606" s="319" t="s">
        <v>173</v>
      </c>
      <c r="AF606" s="319" t="s">
        <v>427</v>
      </c>
      <c r="AG606" s="319" t="s">
        <v>171</v>
      </c>
      <c r="AH606" s="319" t="s">
        <v>190</v>
      </c>
      <c r="AI606" s="319" t="s">
        <v>190</v>
      </c>
      <c r="AJ606" s="319" t="s">
        <v>190</v>
      </c>
      <c r="AK606" s="319" t="s">
        <v>190</v>
      </c>
      <c r="AL606" s="319" t="s">
        <v>190</v>
      </c>
      <c r="AM606" s="319" t="s">
        <v>190</v>
      </c>
      <c r="AN606" s="319" t="s">
        <v>190</v>
      </c>
      <c r="AO606" s="319" t="s">
        <v>190</v>
      </c>
      <c r="AP606" s="319" t="s">
        <v>190</v>
      </c>
      <c r="AQ606" s="319" t="s">
        <v>190</v>
      </c>
      <c r="AR606" s="319" t="s">
        <v>190</v>
      </c>
      <c r="AS606" s="319" t="s">
        <v>190</v>
      </c>
      <c r="AT606" s="319" t="s">
        <v>190</v>
      </c>
      <c r="AU606" s="319" t="s">
        <v>190</v>
      </c>
      <c r="AV606" s="319" t="s">
        <v>190</v>
      </c>
      <c r="AW606" s="319" t="s">
        <v>190</v>
      </c>
      <c r="AX606" s="319" t="s">
        <v>428</v>
      </c>
      <c r="AY606" s="319" t="s">
        <v>190</v>
      </c>
      <c r="AZ606" s="319" t="s">
        <v>190</v>
      </c>
      <c r="BA606" s="319" t="s">
        <v>190</v>
      </c>
      <c r="BB606" s="319" t="s">
        <v>190</v>
      </c>
      <c r="BC606" s="319" t="s">
        <v>190</v>
      </c>
      <c r="BD606" s="319" t="s">
        <v>190</v>
      </c>
      <c r="BE606" s="319" t="s">
        <v>190</v>
      </c>
      <c r="BF606" s="319" t="s">
        <v>190</v>
      </c>
      <c r="BG606" s="319" t="s">
        <v>190</v>
      </c>
      <c r="BH606" s="319" t="s">
        <v>190</v>
      </c>
      <c r="BI606" s="319" t="s">
        <v>190</v>
      </c>
      <c r="BJ606" s="319" t="s">
        <v>190</v>
      </c>
      <c r="BK606" s="319" t="s">
        <v>190</v>
      </c>
      <c r="BL606" s="319" t="s">
        <v>190</v>
      </c>
      <c r="BM606" s="319" t="s">
        <v>190</v>
      </c>
      <c r="BN606" s="319" t="s">
        <v>190</v>
      </c>
      <c r="BO606" s="319" t="s">
        <v>190</v>
      </c>
      <c r="BP606" s="319" t="s">
        <v>190</v>
      </c>
      <c r="BQ606" s="319" t="s">
        <v>190</v>
      </c>
      <c r="BR606" s="319" t="s">
        <v>190</v>
      </c>
      <c r="BS606" s="319" t="s">
        <v>190</v>
      </c>
      <c r="BT606" s="319" t="s">
        <v>190</v>
      </c>
      <c r="BU606" s="319" t="s">
        <v>190</v>
      </c>
      <c r="BV606" s="319" t="s">
        <v>190</v>
      </c>
      <c r="BW606" s="319" t="s">
        <v>190</v>
      </c>
      <c r="BX606" s="319" t="s">
        <v>190</v>
      </c>
      <c r="BY606" s="319" t="s">
        <v>190</v>
      </c>
      <c r="BZ606" s="319" t="s">
        <v>190</v>
      </c>
      <c r="CA606" s="319" t="s">
        <v>190</v>
      </c>
      <c r="CB606" s="319" t="s">
        <v>190</v>
      </c>
      <c r="CC606" s="319" t="s">
        <v>190</v>
      </c>
      <c r="CD606" s="319" t="s">
        <v>190</v>
      </c>
      <c r="CE606" s="319" t="s">
        <v>190</v>
      </c>
      <c r="CF606" s="319" t="s">
        <v>190</v>
      </c>
      <c r="CG606" s="319" t="s">
        <v>190</v>
      </c>
      <c r="CH606" s="319" t="s">
        <v>190</v>
      </c>
      <c r="CI606" s="319" t="s">
        <v>190</v>
      </c>
      <c r="CJ606" s="319" t="s">
        <v>190</v>
      </c>
      <c r="CK606" s="319" t="s">
        <v>190</v>
      </c>
      <c r="CL606" s="319" t="s">
        <v>190</v>
      </c>
      <c r="CM606" s="319" t="s">
        <v>190</v>
      </c>
      <c r="CN606" s="319" t="s">
        <v>428</v>
      </c>
      <c r="CO606" s="319" t="s">
        <v>428</v>
      </c>
      <c r="CP606" s="319" t="s">
        <v>428</v>
      </c>
      <c r="CQ606" s="319" t="s">
        <v>190</v>
      </c>
      <c r="CR606" s="319" t="s">
        <v>190</v>
      </c>
      <c r="CS606" s="319" t="s">
        <v>190</v>
      </c>
      <c r="CT606" s="319" t="s">
        <v>190</v>
      </c>
      <c r="CU606" s="319" t="s">
        <v>190</v>
      </c>
      <c r="CV606" s="319" t="s">
        <v>190</v>
      </c>
      <c r="CW606" s="319" t="s">
        <v>190</v>
      </c>
      <c r="CX606" s="319" t="s">
        <v>190</v>
      </c>
      <c r="CY606" s="319" t="s">
        <v>190</v>
      </c>
      <c r="CZ606" s="319" t="s">
        <v>190</v>
      </c>
      <c r="DA606" s="319" t="s">
        <v>190</v>
      </c>
      <c r="DB606" s="319" t="s">
        <v>190</v>
      </c>
      <c r="DC606" s="319" t="s">
        <v>190</v>
      </c>
      <c r="DD606" s="319" t="s">
        <v>190</v>
      </c>
      <c r="DE606" s="319" t="s">
        <v>190</v>
      </c>
      <c r="DF606" s="319" t="s">
        <v>190</v>
      </c>
      <c r="DG606" s="319" t="s">
        <v>190</v>
      </c>
      <c r="DH606" s="319" t="s">
        <v>190</v>
      </c>
      <c r="DI606" s="319" t="s">
        <v>190</v>
      </c>
      <c r="DJ606" s="319" t="s">
        <v>190</v>
      </c>
      <c r="DK606" s="319" t="s">
        <v>190</v>
      </c>
      <c r="DL606" s="319" t="s">
        <v>190</v>
      </c>
      <c r="DM606" s="319" t="s">
        <v>190</v>
      </c>
      <c r="DN606" s="319" t="s">
        <v>428</v>
      </c>
      <c r="DO606" s="319" t="s">
        <v>190</v>
      </c>
      <c r="DP606" s="319" t="s">
        <v>428</v>
      </c>
      <c r="DQ606" s="319" t="s">
        <v>428</v>
      </c>
      <c r="DR606" s="319" t="s">
        <v>428</v>
      </c>
      <c r="DS606" s="319" t="s">
        <v>428</v>
      </c>
      <c r="DT606" s="319" t="s">
        <v>428</v>
      </c>
      <c r="DU606" s="319" t="s">
        <v>428</v>
      </c>
      <c r="DV606" s="319" t="s">
        <v>173</v>
      </c>
      <c r="DW606" s="319" t="s">
        <v>428</v>
      </c>
      <c r="DX606" s="319" t="s">
        <v>428</v>
      </c>
      <c r="DY606" s="319" t="s">
        <v>428</v>
      </c>
      <c r="DZ606" s="319" t="s">
        <v>428</v>
      </c>
      <c r="EA606" s="319" t="s">
        <v>428</v>
      </c>
      <c r="EB606" s="319" t="s">
        <v>428</v>
      </c>
      <c r="EC606" s="319" t="s">
        <v>428</v>
      </c>
      <c r="ED606" s="319" t="s">
        <v>428</v>
      </c>
      <c r="EE606" s="319" t="s">
        <v>190</v>
      </c>
      <c r="EF606" s="319" t="s">
        <v>190</v>
      </c>
      <c r="EG606" s="319" t="s">
        <v>190</v>
      </c>
      <c r="EH606" s="319" t="s">
        <v>190</v>
      </c>
      <c r="EI606" s="319" t="s">
        <v>190</v>
      </c>
      <c r="EJ606" s="319" t="s">
        <v>190</v>
      </c>
      <c r="EK606" s="319" t="s">
        <v>190</v>
      </c>
      <c r="EL606" s="319" t="s">
        <v>190</v>
      </c>
      <c r="EM606" s="319" t="s">
        <v>190</v>
      </c>
      <c r="EN606" s="319" t="s">
        <v>190</v>
      </c>
      <c r="EO606" s="319" t="s">
        <v>190</v>
      </c>
      <c r="EP606" s="319" t="s">
        <v>190</v>
      </c>
      <c r="EQ606" s="319" t="s">
        <v>190</v>
      </c>
      <c r="ER606" s="319" t="s">
        <v>190</v>
      </c>
      <c r="ES606" s="319" t="s">
        <v>190</v>
      </c>
      <c r="ET606" s="319" t="s">
        <v>190</v>
      </c>
      <c r="EU606" s="319" t="s">
        <v>190</v>
      </c>
      <c r="EV606" s="319" t="s">
        <v>190</v>
      </c>
      <c r="EW606" s="319" t="s">
        <v>190</v>
      </c>
      <c r="EX606" s="319" t="s">
        <v>190</v>
      </c>
      <c r="EY606" s="319" t="s">
        <v>190</v>
      </c>
      <c r="EZ606" s="319" t="s">
        <v>190</v>
      </c>
      <c r="FA606" s="319" t="s">
        <v>190</v>
      </c>
      <c r="FB606" s="319" t="s">
        <v>428</v>
      </c>
      <c r="FC606" s="319" t="s">
        <v>428</v>
      </c>
      <c r="FD606" s="319" t="s">
        <v>428</v>
      </c>
      <c r="FE606" s="319" t="s">
        <v>428</v>
      </c>
      <c r="FF606" s="319" t="s">
        <v>428</v>
      </c>
      <c r="FG606" s="319" t="s">
        <v>428</v>
      </c>
      <c r="FH606" s="319" t="s">
        <v>190</v>
      </c>
      <c r="FI606" s="319" t="s">
        <v>190</v>
      </c>
      <c r="FJ606" s="319" t="s">
        <v>190</v>
      </c>
      <c r="FK606" s="319" t="s">
        <v>190</v>
      </c>
      <c r="FL606" s="319" t="s">
        <v>190</v>
      </c>
      <c r="FM606" s="319" t="s">
        <v>190</v>
      </c>
      <c r="FN606" s="319" t="s">
        <v>190</v>
      </c>
      <c r="FO606" s="319" t="s">
        <v>190</v>
      </c>
      <c r="FP606" s="319" t="s">
        <v>190</v>
      </c>
      <c r="FQ606" s="319" t="s">
        <v>190</v>
      </c>
      <c r="FR606" s="319" t="s">
        <v>190</v>
      </c>
      <c r="FS606" s="319" t="s">
        <v>428</v>
      </c>
      <c r="FT606" s="319" t="s">
        <v>190</v>
      </c>
      <c r="FU606" s="319" t="s">
        <v>190</v>
      </c>
      <c r="FV606" s="319" t="s">
        <v>190</v>
      </c>
      <c r="FW606" s="319" t="s">
        <v>190</v>
      </c>
      <c r="FX606" s="319" t="s">
        <v>190</v>
      </c>
      <c r="FY606" s="319" t="s">
        <v>190</v>
      </c>
      <c r="FZ606" s="319" t="s">
        <v>190</v>
      </c>
      <c r="GA606" s="319" t="s">
        <v>190</v>
      </c>
      <c r="GB606" s="319" t="s">
        <v>190</v>
      </c>
      <c r="GC606" s="319" t="s">
        <v>190</v>
      </c>
      <c r="GD606" s="319" t="s">
        <v>190</v>
      </c>
      <c r="GE606" s="319" t="s">
        <v>190</v>
      </c>
      <c r="GF606" s="319" t="s">
        <v>190</v>
      </c>
      <c r="GG606" s="319" t="s">
        <v>190</v>
      </c>
      <c r="GH606" s="319" t="s">
        <v>190</v>
      </c>
      <c r="GI606" s="319" t="s">
        <v>190</v>
      </c>
      <c r="GJ606" s="319" t="s">
        <v>190</v>
      </c>
      <c r="GK606" s="319" t="s">
        <v>428</v>
      </c>
      <c r="GL606" s="319" t="s">
        <v>190</v>
      </c>
      <c r="GM606" s="319" t="s">
        <v>190</v>
      </c>
      <c r="GN606" s="319" t="s">
        <v>190</v>
      </c>
      <c r="GO606" s="319" t="s">
        <v>190</v>
      </c>
      <c r="GP606" s="319" t="s">
        <v>190</v>
      </c>
      <c r="GQ606" s="319" t="s">
        <v>190</v>
      </c>
      <c r="GR606" s="319" t="s">
        <v>190</v>
      </c>
      <c r="GS606" s="319" t="s">
        <v>190</v>
      </c>
      <c r="GT606" s="319" t="s">
        <v>190</v>
      </c>
      <c r="GU606" s="319" t="s">
        <v>190</v>
      </c>
      <c r="GV606" s="319" t="s">
        <v>190</v>
      </c>
      <c r="GW606" s="319" t="s">
        <v>190</v>
      </c>
      <c r="GX606" s="319" t="s">
        <v>190</v>
      </c>
      <c r="GY606" s="319" t="s">
        <v>190</v>
      </c>
      <c r="GZ606" s="319" t="s">
        <v>190</v>
      </c>
      <c r="HA606" s="319" t="s">
        <v>190</v>
      </c>
      <c r="HB606" s="319" t="s">
        <v>428</v>
      </c>
      <c r="HC606" s="319" t="s">
        <v>190</v>
      </c>
      <c r="HD606" s="319" t="s">
        <v>190</v>
      </c>
      <c r="HE606" s="319" t="s">
        <v>190</v>
      </c>
      <c r="HF606" s="319" t="s">
        <v>190</v>
      </c>
      <c r="HG606" s="319" t="s">
        <v>190</v>
      </c>
      <c r="HH606" s="319" t="s">
        <v>190</v>
      </c>
      <c r="HI606" s="319" t="s">
        <v>190</v>
      </c>
      <c r="HJ606" s="319" t="s">
        <v>190</v>
      </c>
      <c r="HK606" s="319" t="s">
        <v>190</v>
      </c>
      <c r="HL606" s="319" t="s">
        <v>190</v>
      </c>
      <c r="HM606" s="319" t="s">
        <v>428</v>
      </c>
      <c r="HN606" s="319" t="s">
        <v>428</v>
      </c>
      <c r="HO606" s="319" t="s">
        <v>428</v>
      </c>
      <c r="HP606" s="319" t="s">
        <v>190</v>
      </c>
      <c r="HQ606" s="319" t="s">
        <v>190</v>
      </c>
      <c r="HR606" s="319" t="s">
        <v>190</v>
      </c>
      <c r="HS606" s="319" t="s">
        <v>190</v>
      </c>
      <c r="HT606" s="319" t="s">
        <v>190</v>
      </c>
      <c r="HU606" s="319" t="s">
        <v>190</v>
      </c>
      <c r="HV606" s="319" t="s">
        <v>190</v>
      </c>
      <c r="HW606" s="319" t="s">
        <v>190</v>
      </c>
      <c r="HX606" s="319" t="s">
        <v>190</v>
      </c>
      <c r="HY606" s="319" t="s">
        <v>190</v>
      </c>
      <c r="HZ606" s="319" t="s">
        <v>190</v>
      </c>
      <c r="IA606" s="319" t="s">
        <v>190</v>
      </c>
      <c r="IB606" s="319" t="s">
        <v>190</v>
      </c>
      <c r="IC606" s="319" t="s">
        <v>190</v>
      </c>
      <c r="ID606" s="319" t="s">
        <v>190</v>
      </c>
      <c r="IE606" s="319" t="s">
        <v>190</v>
      </c>
      <c r="IF606" s="319" t="s">
        <v>190</v>
      </c>
      <c r="IG606" s="319" t="s">
        <v>190</v>
      </c>
      <c r="IH606" s="319" t="s">
        <v>190</v>
      </c>
      <c r="II606" s="319" t="s">
        <v>190</v>
      </c>
      <c r="IJ606" s="319" t="s">
        <v>3362</v>
      </c>
      <c r="IK606" s="321">
        <v>41983</v>
      </c>
      <c r="IL606" s="321">
        <v>41985</v>
      </c>
      <c r="IM606" s="321">
        <v>42030</v>
      </c>
      <c r="IN606" s="319">
        <v>3</v>
      </c>
      <c r="IO606" s="319" t="s">
        <v>173</v>
      </c>
      <c r="IP606" s="319" t="s">
        <v>173</v>
      </c>
      <c r="IQ606" s="321" t="s">
        <v>173</v>
      </c>
      <c r="IR606" s="320" t="s">
        <v>173</v>
      </c>
      <c r="IS606" s="322" t="s">
        <v>173</v>
      </c>
      <c r="IT606" s="319" t="s">
        <v>173</v>
      </c>
    </row>
    <row r="607" spans="1:254" s="271" customFormat="1" x14ac:dyDescent="0.25">
      <c r="A607" s="318" t="str">
        <f>HYPERLINK("http://www.ofsted.gov.uk/inspection-reports/find-inspection-report/provider/ELS/136117 ","Ofsted School Webpage")</f>
        <v>Ofsted School Webpage</v>
      </c>
      <c r="B607" s="319">
        <v>136117</v>
      </c>
      <c r="C607" s="319">
        <v>3556006</v>
      </c>
      <c r="D607" s="319" t="s">
        <v>1117</v>
      </c>
      <c r="E607" s="319" t="s">
        <v>167</v>
      </c>
      <c r="F607" s="319" t="s">
        <v>70</v>
      </c>
      <c r="G607" s="319" t="s">
        <v>69</v>
      </c>
      <c r="H607" s="319" t="s">
        <v>70</v>
      </c>
      <c r="I607" s="319" t="s">
        <v>69</v>
      </c>
      <c r="J607" s="319" t="s">
        <v>424</v>
      </c>
      <c r="K607" s="319" t="s">
        <v>431</v>
      </c>
      <c r="L607" s="319" t="s">
        <v>431</v>
      </c>
      <c r="M607" s="319" t="s">
        <v>533</v>
      </c>
      <c r="N607" s="319" t="s">
        <v>2874</v>
      </c>
      <c r="O607" s="319" t="s">
        <v>1056</v>
      </c>
      <c r="P607" s="319">
        <v>328</v>
      </c>
      <c r="Q607" s="319" t="s">
        <v>2766</v>
      </c>
      <c r="R607" s="320">
        <v>10034031</v>
      </c>
      <c r="S607" s="321">
        <v>43053</v>
      </c>
      <c r="T607" s="321">
        <v>43055</v>
      </c>
      <c r="U607" s="321">
        <v>43090</v>
      </c>
      <c r="V607" s="319" t="s">
        <v>425</v>
      </c>
      <c r="W607" s="319" t="s">
        <v>2767</v>
      </c>
      <c r="X607" s="319">
        <v>2</v>
      </c>
      <c r="Y607" s="319" t="s">
        <v>173</v>
      </c>
      <c r="Z607" s="319" t="s">
        <v>173</v>
      </c>
      <c r="AA607" s="319" t="s">
        <v>173</v>
      </c>
      <c r="AB607" s="319">
        <v>2</v>
      </c>
      <c r="AC607" s="319" t="s">
        <v>169</v>
      </c>
      <c r="AD607" s="319">
        <v>2</v>
      </c>
      <c r="AE607" s="319" t="s">
        <v>173</v>
      </c>
      <c r="AF607" s="319" t="s">
        <v>427</v>
      </c>
      <c r="AG607" s="319" t="s">
        <v>171</v>
      </c>
      <c r="AH607" s="319" t="s">
        <v>190</v>
      </c>
      <c r="AI607" s="319" t="s">
        <v>190</v>
      </c>
      <c r="AJ607" s="319" t="s">
        <v>190</v>
      </c>
      <c r="AK607" s="319" t="s">
        <v>190</v>
      </c>
      <c r="AL607" s="319" t="s">
        <v>190</v>
      </c>
      <c r="AM607" s="319" t="s">
        <v>190</v>
      </c>
      <c r="AN607" s="319" t="s">
        <v>190</v>
      </c>
      <c r="AO607" s="319" t="s">
        <v>190</v>
      </c>
      <c r="AP607" s="319" t="s">
        <v>190</v>
      </c>
      <c r="AQ607" s="319" t="s">
        <v>190</v>
      </c>
      <c r="AR607" s="319" t="s">
        <v>190</v>
      </c>
      <c r="AS607" s="319" t="s">
        <v>190</v>
      </c>
      <c r="AT607" s="319" t="s">
        <v>190</v>
      </c>
      <c r="AU607" s="319" t="s">
        <v>190</v>
      </c>
      <c r="AV607" s="319" t="s">
        <v>190</v>
      </c>
      <c r="AW607" s="319" t="s">
        <v>190</v>
      </c>
      <c r="AX607" s="319" t="s">
        <v>428</v>
      </c>
      <c r="AY607" s="319" t="s">
        <v>190</v>
      </c>
      <c r="AZ607" s="319" t="s">
        <v>190</v>
      </c>
      <c r="BA607" s="319" t="s">
        <v>190</v>
      </c>
      <c r="BB607" s="319" t="s">
        <v>190</v>
      </c>
      <c r="BC607" s="319" t="s">
        <v>190</v>
      </c>
      <c r="BD607" s="319" t="s">
        <v>190</v>
      </c>
      <c r="BE607" s="319" t="s">
        <v>190</v>
      </c>
      <c r="BF607" s="319" t="s">
        <v>190</v>
      </c>
      <c r="BG607" s="319" t="s">
        <v>428</v>
      </c>
      <c r="BH607" s="319" t="s">
        <v>190</v>
      </c>
      <c r="BI607" s="319" t="s">
        <v>190</v>
      </c>
      <c r="BJ607" s="319" t="s">
        <v>190</v>
      </c>
      <c r="BK607" s="319" t="s">
        <v>190</v>
      </c>
      <c r="BL607" s="319" t="s">
        <v>190</v>
      </c>
      <c r="BM607" s="319" t="s">
        <v>190</v>
      </c>
      <c r="BN607" s="319" t="s">
        <v>190</v>
      </c>
      <c r="BO607" s="319" t="s">
        <v>190</v>
      </c>
      <c r="BP607" s="319" t="s">
        <v>190</v>
      </c>
      <c r="BQ607" s="319" t="s">
        <v>190</v>
      </c>
      <c r="BR607" s="319" t="s">
        <v>190</v>
      </c>
      <c r="BS607" s="319" t="s">
        <v>190</v>
      </c>
      <c r="BT607" s="319" t="s">
        <v>190</v>
      </c>
      <c r="BU607" s="319" t="s">
        <v>190</v>
      </c>
      <c r="BV607" s="319" t="s">
        <v>190</v>
      </c>
      <c r="BW607" s="319" t="s">
        <v>190</v>
      </c>
      <c r="BX607" s="319" t="s">
        <v>190</v>
      </c>
      <c r="BY607" s="319" t="s">
        <v>190</v>
      </c>
      <c r="BZ607" s="319" t="s">
        <v>190</v>
      </c>
      <c r="CA607" s="319" t="s">
        <v>190</v>
      </c>
      <c r="CB607" s="319" t="s">
        <v>190</v>
      </c>
      <c r="CC607" s="319" t="s">
        <v>190</v>
      </c>
      <c r="CD607" s="319" t="s">
        <v>190</v>
      </c>
      <c r="CE607" s="319" t="s">
        <v>190</v>
      </c>
      <c r="CF607" s="319" t="s">
        <v>190</v>
      </c>
      <c r="CG607" s="319" t="s">
        <v>190</v>
      </c>
      <c r="CH607" s="319" t="s">
        <v>190</v>
      </c>
      <c r="CI607" s="319" t="s">
        <v>190</v>
      </c>
      <c r="CJ607" s="319" t="s">
        <v>190</v>
      </c>
      <c r="CK607" s="319" t="s">
        <v>190</v>
      </c>
      <c r="CL607" s="319" t="s">
        <v>190</v>
      </c>
      <c r="CM607" s="319" t="s">
        <v>190</v>
      </c>
      <c r="CN607" s="319" t="s">
        <v>190</v>
      </c>
      <c r="CO607" s="319" t="s">
        <v>428</v>
      </c>
      <c r="CP607" s="319" t="s">
        <v>428</v>
      </c>
      <c r="CQ607" s="319" t="s">
        <v>190</v>
      </c>
      <c r="CR607" s="319" t="s">
        <v>190</v>
      </c>
      <c r="CS607" s="319" t="s">
        <v>190</v>
      </c>
      <c r="CT607" s="319" t="s">
        <v>190</v>
      </c>
      <c r="CU607" s="319" t="s">
        <v>190</v>
      </c>
      <c r="CV607" s="319" t="s">
        <v>190</v>
      </c>
      <c r="CW607" s="319" t="s">
        <v>190</v>
      </c>
      <c r="CX607" s="319" t="s">
        <v>190</v>
      </c>
      <c r="CY607" s="319" t="s">
        <v>190</v>
      </c>
      <c r="CZ607" s="319" t="s">
        <v>190</v>
      </c>
      <c r="DA607" s="319" t="s">
        <v>190</v>
      </c>
      <c r="DB607" s="319" t="s">
        <v>190</v>
      </c>
      <c r="DC607" s="319" t="s">
        <v>190</v>
      </c>
      <c r="DD607" s="319" t="s">
        <v>190</v>
      </c>
      <c r="DE607" s="319" t="s">
        <v>190</v>
      </c>
      <c r="DF607" s="319" t="s">
        <v>190</v>
      </c>
      <c r="DG607" s="319" t="s">
        <v>190</v>
      </c>
      <c r="DH607" s="319" t="s">
        <v>190</v>
      </c>
      <c r="DI607" s="319" t="s">
        <v>190</v>
      </c>
      <c r="DJ607" s="319" t="s">
        <v>190</v>
      </c>
      <c r="DK607" s="319" t="s">
        <v>190</v>
      </c>
      <c r="DL607" s="319" t="s">
        <v>190</v>
      </c>
      <c r="DM607" s="319" t="s">
        <v>190</v>
      </c>
      <c r="DN607" s="319" t="s">
        <v>428</v>
      </c>
      <c r="DO607" s="319" t="s">
        <v>190</v>
      </c>
      <c r="DP607" s="319" t="s">
        <v>190</v>
      </c>
      <c r="DQ607" s="319" t="s">
        <v>190</v>
      </c>
      <c r="DR607" s="319" t="s">
        <v>190</v>
      </c>
      <c r="DS607" s="319" t="s">
        <v>190</v>
      </c>
      <c r="DT607" s="319" t="s">
        <v>190</v>
      </c>
      <c r="DU607" s="319" t="s">
        <v>190</v>
      </c>
      <c r="DV607" s="319" t="s">
        <v>173</v>
      </c>
      <c r="DW607" s="319" t="s">
        <v>190</v>
      </c>
      <c r="DX607" s="319" t="s">
        <v>190</v>
      </c>
      <c r="DY607" s="319" t="s">
        <v>190</v>
      </c>
      <c r="DZ607" s="319" t="s">
        <v>190</v>
      </c>
      <c r="EA607" s="319" t="s">
        <v>190</v>
      </c>
      <c r="EB607" s="319" t="s">
        <v>190</v>
      </c>
      <c r="EC607" s="319" t="s">
        <v>428</v>
      </c>
      <c r="ED607" s="319" t="s">
        <v>190</v>
      </c>
      <c r="EE607" s="319" t="s">
        <v>190</v>
      </c>
      <c r="EF607" s="319" t="s">
        <v>190</v>
      </c>
      <c r="EG607" s="319" t="s">
        <v>190</v>
      </c>
      <c r="EH607" s="319" t="s">
        <v>190</v>
      </c>
      <c r="EI607" s="319" t="s">
        <v>190</v>
      </c>
      <c r="EJ607" s="319" t="s">
        <v>190</v>
      </c>
      <c r="EK607" s="319" t="s">
        <v>190</v>
      </c>
      <c r="EL607" s="319" t="s">
        <v>190</v>
      </c>
      <c r="EM607" s="319" t="s">
        <v>190</v>
      </c>
      <c r="EN607" s="319" t="s">
        <v>190</v>
      </c>
      <c r="EO607" s="319" t="s">
        <v>190</v>
      </c>
      <c r="EP607" s="319" t="s">
        <v>190</v>
      </c>
      <c r="EQ607" s="319" t="s">
        <v>190</v>
      </c>
      <c r="ER607" s="319" t="s">
        <v>190</v>
      </c>
      <c r="ES607" s="319" t="s">
        <v>190</v>
      </c>
      <c r="ET607" s="319" t="s">
        <v>190</v>
      </c>
      <c r="EU607" s="319" t="s">
        <v>190</v>
      </c>
      <c r="EV607" s="319" t="s">
        <v>190</v>
      </c>
      <c r="EW607" s="319" t="s">
        <v>190</v>
      </c>
      <c r="EX607" s="319" t="s">
        <v>190</v>
      </c>
      <c r="EY607" s="319" t="s">
        <v>190</v>
      </c>
      <c r="EZ607" s="319" t="s">
        <v>190</v>
      </c>
      <c r="FA607" s="319" t="s">
        <v>190</v>
      </c>
      <c r="FB607" s="319" t="s">
        <v>190</v>
      </c>
      <c r="FC607" s="319" t="s">
        <v>190</v>
      </c>
      <c r="FD607" s="319" t="s">
        <v>190</v>
      </c>
      <c r="FE607" s="319" t="s">
        <v>190</v>
      </c>
      <c r="FF607" s="319" t="s">
        <v>190</v>
      </c>
      <c r="FG607" s="319" t="s">
        <v>190</v>
      </c>
      <c r="FH607" s="319" t="s">
        <v>190</v>
      </c>
      <c r="FI607" s="319" t="s">
        <v>190</v>
      </c>
      <c r="FJ607" s="319" t="s">
        <v>190</v>
      </c>
      <c r="FK607" s="319" t="s">
        <v>190</v>
      </c>
      <c r="FL607" s="319" t="s">
        <v>190</v>
      </c>
      <c r="FM607" s="319" t="s">
        <v>190</v>
      </c>
      <c r="FN607" s="319" t="s">
        <v>190</v>
      </c>
      <c r="FO607" s="319" t="s">
        <v>190</v>
      </c>
      <c r="FP607" s="319" t="s">
        <v>190</v>
      </c>
      <c r="FQ607" s="319" t="s">
        <v>190</v>
      </c>
      <c r="FR607" s="319" t="s">
        <v>190</v>
      </c>
      <c r="FS607" s="319" t="s">
        <v>428</v>
      </c>
      <c r="FT607" s="319" t="s">
        <v>190</v>
      </c>
      <c r="FU607" s="319" t="s">
        <v>190</v>
      </c>
      <c r="FV607" s="319" t="s">
        <v>190</v>
      </c>
      <c r="FW607" s="319" t="s">
        <v>190</v>
      </c>
      <c r="FX607" s="319" t="s">
        <v>190</v>
      </c>
      <c r="FY607" s="319" t="s">
        <v>190</v>
      </c>
      <c r="FZ607" s="319" t="s">
        <v>190</v>
      </c>
      <c r="GA607" s="319" t="s">
        <v>190</v>
      </c>
      <c r="GB607" s="319" t="s">
        <v>190</v>
      </c>
      <c r="GC607" s="319" t="s">
        <v>190</v>
      </c>
      <c r="GD607" s="319" t="s">
        <v>190</v>
      </c>
      <c r="GE607" s="319" t="s">
        <v>190</v>
      </c>
      <c r="GF607" s="319" t="s">
        <v>190</v>
      </c>
      <c r="GG607" s="319" t="s">
        <v>190</v>
      </c>
      <c r="GH607" s="319" t="s">
        <v>190</v>
      </c>
      <c r="GI607" s="319" t="s">
        <v>190</v>
      </c>
      <c r="GJ607" s="319" t="s">
        <v>190</v>
      </c>
      <c r="GK607" s="319" t="s">
        <v>428</v>
      </c>
      <c r="GL607" s="319" t="s">
        <v>190</v>
      </c>
      <c r="GM607" s="319" t="s">
        <v>190</v>
      </c>
      <c r="GN607" s="319" t="s">
        <v>190</v>
      </c>
      <c r="GO607" s="319" t="s">
        <v>190</v>
      </c>
      <c r="GP607" s="319" t="s">
        <v>190</v>
      </c>
      <c r="GQ607" s="319" t="s">
        <v>190</v>
      </c>
      <c r="GR607" s="319" t="s">
        <v>190</v>
      </c>
      <c r="GS607" s="319" t="s">
        <v>190</v>
      </c>
      <c r="GT607" s="319" t="s">
        <v>190</v>
      </c>
      <c r="GU607" s="319" t="s">
        <v>190</v>
      </c>
      <c r="GV607" s="319" t="s">
        <v>190</v>
      </c>
      <c r="GW607" s="319" t="s">
        <v>190</v>
      </c>
      <c r="GX607" s="319" t="s">
        <v>190</v>
      </c>
      <c r="GY607" s="319" t="s">
        <v>190</v>
      </c>
      <c r="GZ607" s="319" t="s">
        <v>190</v>
      </c>
      <c r="HA607" s="319" t="s">
        <v>190</v>
      </c>
      <c r="HB607" s="319" t="s">
        <v>190</v>
      </c>
      <c r="HC607" s="319" t="s">
        <v>190</v>
      </c>
      <c r="HD607" s="319" t="s">
        <v>190</v>
      </c>
      <c r="HE607" s="319" t="s">
        <v>190</v>
      </c>
      <c r="HF607" s="319" t="s">
        <v>190</v>
      </c>
      <c r="HG607" s="319" t="s">
        <v>190</v>
      </c>
      <c r="HH607" s="319" t="s">
        <v>190</v>
      </c>
      <c r="HI607" s="319" t="s">
        <v>190</v>
      </c>
      <c r="HJ607" s="319" t="s">
        <v>190</v>
      </c>
      <c r="HK607" s="319" t="s">
        <v>190</v>
      </c>
      <c r="HL607" s="319" t="s">
        <v>190</v>
      </c>
      <c r="HM607" s="319" t="s">
        <v>428</v>
      </c>
      <c r="HN607" s="319" t="s">
        <v>428</v>
      </c>
      <c r="HO607" s="319" t="s">
        <v>428</v>
      </c>
      <c r="HP607" s="319" t="s">
        <v>190</v>
      </c>
      <c r="HQ607" s="319" t="s">
        <v>190</v>
      </c>
      <c r="HR607" s="319" t="s">
        <v>190</v>
      </c>
      <c r="HS607" s="319" t="s">
        <v>190</v>
      </c>
      <c r="HT607" s="319" t="s">
        <v>190</v>
      </c>
      <c r="HU607" s="319" t="s">
        <v>190</v>
      </c>
      <c r="HV607" s="319" t="s">
        <v>190</v>
      </c>
      <c r="HW607" s="319" t="s">
        <v>190</v>
      </c>
      <c r="HX607" s="319" t="s">
        <v>190</v>
      </c>
      <c r="HY607" s="319" t="s">
        <v>190</v>
      </c>
      <c r="HZ607" s="319" t="s">
        <v>190</v>
      </c>
      <c r="IA607" s="319" t="s">
        <v>190</v>
      </c>
      <c r="IB607" s="319" t="s">
        <v>190</v>
      </c>
      <c r="IC607" s="319" t="s">
        <v>190</v>
      </c>
      <c r="ID607" s="319" t="s">
        <v>190</v>
      </c>
      <c r="IE607" s="319" t="s">
        <v>190</v>
      </c>
      <c r="IF607" s="319" t="s">
        <v>190</v>
      </c>
      <c r="IG607" s="319" t="s">
        <v>190</v>
      </c>
      <c r="IH607" s="319" t="s">
        <v>190</v>
      </c>
      <c r="II607" s="319" t="s">
        <v>190</v>
      </c>
      <c r="IJ607" s="319" t="s">
        <v>3363</v>
      </c>
      <c r="IK607" s="321">
        <v>41828</v>
      </c>
      <c r="IL607" s="321">
        <v>41830</v>
      </c>
      <c r="IM607" s="321">
        <v>41850</v>
      </c>
      <c r="IN607" s="319">
        <v>3</v>
      </c>
      <c r="IO607" s="319" t="s">
        <v>173</v>
      </c>
      <c r="IP607" s="319" t="s">
        <v>173</v>
      </c>
      <c r="IQ607" s="321" t="s">
        <v>173</v>
      </c>
      <c r="IR607" s="320" t="s">
        <v>173</v>
      </c>
      <c r="IS607" s="322" t="s">
        <v>173</v>
      </c>
      <c r="IT607" s="319" t="s">
        <v>173</v>
      </c>
    </row>
    <row r="608" spans="1:254" s="271" customFormat="1" x14ac:dyDescent="0.25">
      <c r="A608" s="318" t="str">
        <f>HYPERLINK("http://www.ofsted.gov.uk/inspection-reports/find-inspection-report/provider/ELS/136122 ","Ofsted School Webpage")</f>
        <v>Ofsted School Webpage</v>
      </c>
      <c r="B608" s="319">
        <v>136122</v>
      </c>
      <c r="C608" s="319">
        <v>8226015</v>
      </c>
      <c r="D608" s="319" t="s">
        <v>2050</v>
      </c>
      <c r="E608" s="319" t="s">
        <v>167</v>
      </c>
      <c r="F608" s="319" t="s">
        <v>81</v>
      </c>
      <c r="G608" s="319" t="s">
        <v>81</v>
      </c>
      <c r="H608" s="319" t="s">
        <v>81</v>
      </c>
      <c r="I608" s="319" t="s">
        <v>78</v>
      </c>
      <c r="J608" s="319" t="s">
        <v>424</v>
      </c>
      <c r="K608" s="319" t="s">
        <v>451</v>
      </c>
      <c r="L608" s="319" t="s">
        <v>451</v>
      </c>
      <c r="M608" s="319" t="s">
        <v>1026</v>
      </c>
      <c r="N608" s="319" t="s">
        <v>1026</v>
      </c>
      <c r="O608" s="319" t="s">
        <v>2051</v>
      </c>
      <c r="P608" s="319">
        <v>11</v>
      </c>
      <c r="Q608" s="319" t="s">
        <v>2776</v>
      </c>
      <c r="R608" s="320">
        <v>10093915</v>
      </c>
      <c r="S608" s="321">
        <v>43649</v>
      </c>
      <c r="T608" s="321">
        <v>43651</v>
      </c>
      <c r="U608" s="321">
        <v>43716</v>
      </c>
      <c r="V608" s="319" t="s">
        <v>425</v>
      </c>
      <c r="W608" s="319" t="s">
        <v>2767</v>
      </c>
      <c r="X608" s="319">
        <v>2</v>
      </c>
      <c r="Y608" s="319" t="s">
        <v>173</v>
      </c>
      <c r="Z608" s="319" t="s">
        <v>173</v>
      </c>
      <c r="AA608" s="319" t="s">
        <v>173</v>
      </c>
      <c r="AB608" s="319">
        <v>2</v>
      </c>
      <c r="AC608" s="319" t="s">
        <v>169</v>
      </c>
      <c r="AD608" s="319" t="s">
        <v>173</v>
      </c>
      <c r="AE608" s="319" t="s">
        <v>173</v>
      </c>
      <c r="AF608" s="319" t="s">
        <v>427</v>
      </c>
      <c r="AG608" s="319" t="s">
        <v>171</v>
      </c>
      <c r="AH608" s="319" t="s">
        <v>190</v>
      </c>
      <c r="AI608" s="319" t="s">
        <v>190</v>
      </c>
      <c r="AJ608" s="319" t="s">
        <v>190</v>
      </c>
      <c r="AK608" s="319" t="s">
        <v>190</v>
      </c>
      <c r="AL608" s="319" t="s">
        <v>190</v>
      </c>
      <c r="AM608" s="319" t="s">
        <v>190</v>
      </c>
      <c r="AN608" s="319" t="s">
        <v>190</v>
      </c>
      <c r="AO608" s="319" t="s">
        <v>190</v>
      </c>
      <c r="AP608" s="319" t="s">
        <v>190</v>
      </c>
      <c r="AQ608" s="319" t="s">
        <v>190</v>
      </c>
      <c r="AR608" s="319" t="s">
        <v>190</v>
      </c>
      <c r="AS608" s="319" t="s">
        <v>190</v>
      </c>
      <c r="AT608" s="319" t="s">
        <v>190</v>
      </c>
      <c r="AU608" s="319" t="s">
        <v>190</v>
      </c>
      <c r="AV608" s="319" t="s">
        <v>190</v>
      </c>
      <c r="AW608" s="319" t="s">
        <v>190</v>
      </c>
      <c r="AX608" s="319" t="s">
        <v>190</v>
      </c>
      <c r="AY608" s="319" t="s">
        <v>190</v>
      </c>
      <c r="AZ608" s="319" t="s">
        <v>190</v>
      </c>
      <c r="BA608" s="319" t="s">
        <v>190</v>
      </c>
      <c r="BB608" s="319" t="s">
        <v>190</v>
      </c>
      <c r="BC608" s="319" t="s">
        <v>190</v>
      </c>
      <c r="BD608" s="319" t="s">
        <v>190</v>
      </c>
      <c r="BE608" s="319" t="s">
        <v>190</v>
      </c>
      <c r="BF608" s="319" t="s">
        <v>428</v>
      </c>
      <c r="BG608" s="319" t="s">
        <v>428</v>
      </c>
      <c r="BH608" s="319" t="s">
        <v>190</v>
      </c>
      <c r="BI608" s="319" t="s">
        <v>190</v>
      </c>
      <c r="BJ608" s="319" t="s">
        <v>190</v>
      </c>
      <c r="BK608" s="319" t="s">
        <v>190</v>
      </c>
      <c r="BL608" s="319" t="s">
        <v>190</v>
      </c>
      <c r="BM608" s="319" t="s">
        <v>190</v>
      </c>
      <c r="BN608" s="319" t="s">
        <v>190</v>
      </c>
      <c r="BO608" s="319" t="s">
        <v>190</v>
      </c>
      <c r="BP608" s="319" t="s">
        <v>190</v>
      </c>
      <c r="BQ608" s="319" t="s">
        <v>190</v>
      </c>
      <c r="BR608" s="319" t="s">
        <v>190</v>
      </c>
      <c r="BS608" s="319" t="s">
        <v>190</v>
      </c>
      <c r="BT608" s="319" t="s">
        <v>190</v>
      </c>
      <c r="BU608" s="319" t="s">
        <v>190</v>
      </c>
      <c r="BV608" s="319" t="s">
        <v>190</v>
      </c>
      <c r="BW608" s="319" t="s">
        <v>190</v>
      </c>
      <c r="BX608" s="319" t="s">
        <v>190</v>
      </c>
      <c r="BY608" s="319" t="s">
        <v>190</v>
      </c>
      <c r="BZ608" s="319" t="s">
        <v>190</v>
      </c>
      <c r="CA608" s="319" t="s">
        <v>190</v>
      </c>
      <c r="CB608" s="319" t="s">
        <v>190</v>
      </c>
      <c r="CC608" s="319" t="s">
        <v>190</v>
      </c>
      <c r="CD608" s="319" t="s">
        <v>190</v>
      </c>
      <c r="CE608" s="319" t="s">
        <v>190</v>
      </c>
      <c r="CF608" s="319" t="s">
        <v>190</v>
      </c>
      <c r="CG608" s="319" t="s">
        <v>190</v>
      </c>
      <c r="CH608" s="319" t="s">
        <v>190</v>
      </c>
      <c r="CI608" s="319" t="s">
        <v>190</v>
      </c>
      <c r="CJ608" s="319" t="s">
        <v>190</v>
      </c>
      <c r="CK608" s="319" t="s">
        <v>190</v>
      </c>
      <c r="CL608" s="319" t="s">
        <v>190</v>
      </c>
      <c r="CM608" s="319" t="s">
        <v>190</v>
      </c>
      <c r="CN608" s="319" t="s">
        <v>428</v>
      </c>
      <c r="CO608" s="319" t="s">
        <v>428</v>
      </c>
      <c r="CP608" s="319" t="s">
        <v>428</v>
      </c>
      <c r="CQ608" s="319" t="s">
        <v>190</v>
      </c>
      <c r="CR608" s="319" t="s">
        <v>190</v>
      </c>
      <c r="CS608" s="319" t="s">
        <v>190</v>
      </c>
      <c r="CT608" s="319" t="s">
        <v>190</v>
      </c>
      <c r="CU608" s="319" t="s">
        <v>190</v>
      </c>
      <c r="CV608" s="319" t="s">
        <v>190</v>
      </c>
      <c r="CW608" s="319" t="s">
        <v>190</v>
      </c>
      <c r="CX608" s="319" t="s">
        <v>190</v>
      </c>
      <c r="CY608" s="319" t="s">
        <v>190</v>
      </c>
      <c r="CZ608" s="319" t="s">
        <v>190</v>
      </c>
      <c r="DA608" s="319" t="s">
        <v>190</v>
      </c>
      <c r="DB608" s="319" t="s">
        <v>190</v>
      </c>
      <c r="DC608" s="319" t="s">
        <v>190</v>
      </c>
      <c r="DD608" s="319" t="s">
        <v>190</v>
      </c>
      <c r="DE608" s="319" t="s">
        <v>190</v>
      </c>
      <c r="DF608" s="319" t="s">
        <v>190</v>
      </c>
      <c r="DG608" s="319" t="s">
        <v>190</v>
      </c>
      <c r="DH608" s="319" t="s">
        <v>190</v>
      </c>
      <c r="DI608" s="319" t="s">
        <v>190</v>
      </c>
      <c r="DJ608" s="319" t="s">
        <v>190</v>
      </c>
      <c r="DK608" s="319" t="s">
        <v>190</v>
      </c>
      <c r="DL608" s="319" t="s">
        <v>190</v>
      </c>
      <c r="DM608" s="319" t="s">
        <v>190</v>
      </c>
      <c r="DN608" s="319" t="s">
        <v>428</v>
      </c>
      <c r="DO608" s="319" t="s">
        <v>190</v>
      </c>
      <c r="DP608" s="319" t="s">
        <v>428</v>
      </c>
      <c r="DQ608" s="319" t="s">
        <v>428</v>
      </c>
      <c r="DR608" s="319" t="s">
        <v>428</v>
      </c>
      <c r="DS608" s="319" t="s">
        <v>428</v>
      </c>
      <c r="DT608" s="319" t="s">
        <v>428</v>
      </c>
      <c r="DU608" s="319" t="s">
        <v>428</v>
      </c>
      <c r="DV608" s="319" t="s">
        <v>173</v>
      </c>
      <c r="DW608" s="319" t="s">
        <v>428</v>
      </c>
      <c r="DX608" s="319" t="s">
        <v>428</v>
      </c>
      <c r="DY608" s="319" t="s">
        <v>428</v>
      </c>
      <c r="DZ608" s="319" t="s">
        <v>428</v>
      </c>
      <c r="EA608" s="319" t="s">
        <v>428</v>
      </c>
      <c r="EB608" s="319" t="s">
        <v>428</v>
      </c>
      <c r="EC608" s="319" t="s">
        <v>428</v>
      </c>
      <c r="ED608" s="319" t="s">
        <v>428</v>
      </c>
      <c r="EE608" s="319" t="s">
        <v>190</v>
      </c>
      <c r="EF608" s="319" t="s">
        <v>190</v>
      </c>
      <c r="EG608" s="319" t="s">
        <v>190</v>
      </c>
      <c r="EH608" s="319" t="s">
        <v>190</v>
      </c>
      <c r="EI608" s="319" t="s">
        <v>190</v>
      </c>
      <c r="EJ608" s="319" t="s">
        <v>190</v>
      </c>
      <c r="EK608" s="319" t="s">
        <v>190</v>
      </c>
      <c r="EL608" s="319" t="s">
        <v>190</v>
      </c>
      <c r="EM608" s="319" t="s">
        <v>190</v>
      </c>
      <c r="EN608" s="319" t="s">
        <v>190</v>
      </c>
      <c r="EO608" s="319" t="s">
        <v>190</v>
      </c>
      <c r="EP608" s="319" t="s">
        <v>190</v>
      </c>
      <c r="EQ608" s="319" t="s">
        <v>190</v>
      </c>
      <c r="ER608" s="319" t="s">
        <v>190</v>
      </c>
      <c r="ES608" s="319" t="s">
        <v>190</v>
      </c>
      <c r="ET608" s="319" t="s">
        <v>190</v>
      </c>
      <c r="EU608" s="319" t="s">
        <v>190</v>
      </c>
      <c r="EV608" s="319" t="s">
        <v>190</v>
      </c>
      <c r="EW608" s="319" t="s">
        <v>190</v>
      </c>
      <c r="EX608" s="319" t="s">
        <v>190</v>
      </c>
      <c r="EY608" s="319" t="s">
        <v>190</v>
      </c>
      <c r="EZ608" s="319" t="s">
        <v>190</v>
      </c>
      <c r="FA608" s="319" t="s">
        <v>190</v>
      </c>
      <c r="FB608" s="319" t="s">
        <v>190</v>
      </c>
      <c r="FC608" s="319" t="s">
        <v>190</v>
      </c>
      <c r="FD608" s="319" t="s">
        <v>190</v>
      </c>
      <c r="FE608" s="319" t="s">
        <v>190</v>
      </c>
      <c r="FF608" s="319" t="s">
        <v>190</v>
      </c>
      <c r="FG608" s="319" t="s">
        <v>190</v>
      </c>
      <c r="FH608" s="319" t="s">
        <v>190</v>
      </c>
      <c r="FI608" s="319" t="s">
        <v>190</v>
      </c>
      <c r="FJ608" s="319" t="s">
        <v>190</v>
      </c>
      <c r="FK608" s="319" t="s">
        <v>190</v>
      </c>
      <c r="FL608" s="319" t="s">
        <v>190</v>
      </c>
      <c r="FM608" s="319" t="s">
        <v>190</v>
      </c>
      <c r="FN608" s="319" t="s">
        <v>190</v>
      </c>
      <c r="FO608" s="319" t="s">
        <v>428</v>
      </c>
      <c r="FP608" s="319" t="s">
        <v>190</v>
      </c>
      <c r="FQ608" s="319" t="s">
        <v>190</v>
      </c>
      <c r="FR608" s="319" t="s">
        <v>190</v>
      </c>
      <c r="FS608" s="319" t="s">
        <v>428</v>
      </c>
      <c r="FT608" s="319" t="s">
        <v>190</v>
      </c>
      <c r="FU608" s="319" t="s">
        <v>190</v>
      </c>
      <c r="FV608" s="319" t="s">
        <v>190</v>
      </c>
      <c r="FW608" s="319" t="s">
        <v>190</v>
      </c>
      <c r="FX608" s="319" t="s">
        <v>190</v>
      </c>
      <c r="FY608" s="319" t="s">
        <v>190</v>
      </c>
      <c r="FZ608" s="319" t="s">
        <v>190</v>
      </c>
      <c r="GA608" s="319" t="s">
        <v>190</v>
      </c>
      <c r="GB608" s="319" t="s">
        <v>190</v>
      </c>
      <c r="GC608" s="319" t="s">
        <v>190</v>
      </c>
      <c r="GD608" s="319" t="s">
        <v>190</v>
      </c>
      <c r="GE608" s="319" t="s">
        <v>190</v>
      </c>
      <c r="GF608" s="319" t="s">
        <v>190</v>
      </c>
      <c r="GG608" s="319" t="s">
        <v>190</v>
      </c>
      <c r="GH608" s="319" t="s">
        <v>190</v>
      </c>
      <c r="GI608" s="319" t="s">
        <v>190</v>
      </c>
      <c r="GJ608" s="319" t="s">
        <v>190</v>
      </c>
      <c r="GK608" s="319" t="s">
        <v>428</v>
      </c>
      <c r="GL608" s="319" t="s">
        <v>190</v>
      </c>
      <c r="GM608" s="319" t="s">
        <v>190</v>
      </c>
      <c r="GN608" s="319" t="s">
        <v>190</v>
      </c>
      <c r="GO608" s="319" t="s">
        <v>190</v>
      </c>
      <c r="GP608" s="319" t="s">
        <v>190</v>
      </c>
      <c r="GQ608" s="319" t="s">
        <v>190</v>
      </c>
      <c r="GR608" s="319" t="s">
        <v>190</v>
      </c>
      <c r="GS608" s="319" t="s">
        <v>190</v>
      </c>
      <c r="GT608" s="319" t="s">
        <v>190</v>
      </c>
      <c r="GU608" s="319" t="s">
        <v>190</v>
      </c>
      <c r="GV608" s="319" t="s">
        <v>190</v>
      </c>
      <c r="GW608" s="319" t="s">
        <v>190</v>
      </c>
      <c r="GX608" s="319" t="s">
        <v>190</v>
      </c>
      <c r="GY608" s="319" t="s">
        <v>428</v>
      </c>
      <c r="GZ608" s="319" t="s">
        <v>190</v>
      </c>
      <c r="HA608" s="319" t="s">
        <v>428</v>
      </c>
      <c r="HB608" s="319" t="s">
        <v>190</v>
      </c>
      <c r="HC608" s="319" t="s">
        <v>190</v>
      </c>
      <c r="HD608" s="319" t="s">
        <v>190</v>
      </c>
      <c r="HE608" s="319" t="s">
        <v>190</v>
      </c>
      <c r="HF608" s="319" t="s">
        <v>190</v>
      </c>
      <c r="HG608" s="319" t="s">
        <v>190</v>
      </c>
      <c r="HH608" s="319" t="s">
        <v>190</v>
      </c>
      <c r="HI608" s="319" t="s">
        <v>190</v>
      </c>
      <c r="HJ608" s="319" t="s">
        <v>190</v>
      </c>
      <c r="HK608" s="319" t="s">
        <v>190</v>
      </c>
      <c r="HL608" s="319" t="s">
        <v>190</v>
      </c>
      <c r="HM608" s="319" t="s">
        <v>428</v>
      </c>
      <c r="HN608" s="319" t="s">
        <v>428</v>
      </c>
      <c r="HO608" s="319" t="s">
        <v>428</v>
      </c>
      <c r="HP608" s="319" t="s">
        <v>190</v>
      </c>
      <c r="HQ608" s="319" t="s">
        <v>190</v>
      </c>
      <c r="HR608" s="319" t="s">
        <v>190</v>
      </c>
      <c r="HS608" s="319" t="s">
        <v>190</v>
      </c>
      <c r="HT608" s="319" t="s">
        <v>190</v>
      </c>
      <c r="HU608" s="319" t="s">
        <v>190</v>
      </c>
      <c r="HV608" s="319" t="s">
        <v>190</v>
      </c>
      <c r="HW608" s="319" t="s">
        <v>190</v>
      </c>
      <c r="HX608" s="319" t="s">
        <v>190</v>
      </c>
      <c r="HY608" s="319" t="s">
        <v>190</v>
      </c>
      <c r="HZ608" s="319" t="s">
        <v>190</v>
      </c>
      <c r="IA608" s="319" t="s">
        <v>190</v>
      </c>
      <c r="IB608" s="319" t="s">
        <v>190</v>
      </c>
      <c r="IC608" s="319" t="s">
        <v>190</v>
      </c>
      <c r="ID608" s="319" t="s">
        <v>190</v>
      </c>
      <c r="IE608" s="319" t="s">
        <v>190</v>
      </c>
      <c r="IF608" s="319" t="s">
        <v>190</v>
      </c>
      <c r="IG608" s="319" t="s">
        <v>190</v>
      </c>
      <c r="IH608" s="319" t="s">
        <v>190</v>
      </c>
      <c r="II608" s="319" t="s">
        <v>190</v>
      </c>
      <c r="IJ608" s="319">
        <v>10038907</v>
      </c>
      <c r="IK608" s="321">
        <v>43004</v>
      </c>
      <c r="IL608" s="321">
        <v>43006</v>
      </c>
      <c r="IM608" s="321">
        <v>43046</v>
      </c>
      <c r="IN608" s="319">
        <v>3</v>
      </c>
      <c r="IO608" s="319" t="s">
        <v>173</v>
      </c>
      <c r="IP608" s="319" t="s">
        <v>173</v>
      </c>
      <c r="IQ608" s="319" t="s">
        <v>173</v>
      </c>
      <c r="IR608" s="320" t="s">
        <v>173</v>
      </c>
      <c r="IS608" s="320" t="s">
        <v>173</v>
      </c>
      <c r="IT608" s="319" t="s">
        <v>173</v>
      </c>
    </row>
    <row r="609" spans="1:254" s="271" customFormat="1" x14ac:dyDescent="0.25">
      <c r="A609" s="318" t="str">
        <f>HYPERLINK("http://www.ofsted.gov.uk/inspection-reports/find-inspection-report/provider/ELS/136123 ","Ofsted School Webpage")</f>
        <v>Ofsted School Webpage</v>
      </c>
      <c r="B609" s="319">
        <v>136123</v>
      </c>
      <c r="C609" s="319">
        <v>3306170</v>
      </c>
      <c r="D609" s="319" t="s">
        <v>1068</v>
      </c>
      <c r="E609" s="319" t="s">
        <v>167</v>
      </c>
      <c r="F609" s="319" t="s">
        <v>71</v>
      </c>
      <c r="G609" s="319" t="s">
        <v>72</v>
      </c>
      <c r="H609" s="319" t="s">
        <v>71</v>
      </c>
      <c r="I609" s="319" t="s">
        <v>72</v>
      </c>
      <c r="J609" s="319" t="s">
        <v>424</v>
      </c>
      <c r="K609" s="319" t="s">
        <v>437</v>
      </c>
      <c r="L609" s="319" t="s">
        <v>437</v>
      </c>
      <c r="M609" s="319" t="s">
        <v>813</v>
      </c>
      <c r="N609" s="319" t="s">
        <v>2858</v>
      </c>
      <c r="O609" s="319" t="s">
        <v>1069</v>
      </c>
      <c r="P609" s="319">
        <v>87</v>
      </c>
      <c r="Q609" s="319" t="s">
        <v>2766</v>
      </c>
      <c r="R609" s="320">
        <v>10092457</v>
      </c>
      <c r="S609" s="321">
        <v>43599</v>
      </c>
      <c r="T609" s="321">
        <v>43601</v>
      </c>
      <c r="U609" s="321">
        <v>43633</v>
      </c>
      <c r="V609" s="319" t="s">
        <v>425</v>
      </c>
      <c r="W609" s="319" t="s">
        <v>2767</v>
      </c>
      <c r="X609" s="319">
        <v>2</v>
      </c>
      <c r="Y609" s="319" t="s">
        <v>173</v>
      </c>
      <c r="Z609" s="319" t="s">
        <v>173</v>
      </c>
      <c r="AA609" s="319" t="s">
        <v>173</v>
      </c>
      <c r="AB609" s="319">
        <v>2</v>
      </c>
      <c r="AC609" s="319" t="s">
        <v>169</v>
      </c>
      <c r="AD609" s="319" t="s">
        <v>173</v>
      </c>
      <c r="AE609" s="319" t="s">
        <v>173</v>
      </c>
      <c r="AF609" s="319" t="s">
        <v>427</v>
      </c>
      <c r="AG609" s="319" t="s">
        <v>171</v>
      </c>
      <c r="AH609" s="319" t="s">
        <v>190</v>
      </c>
      <c r="AI609" s="319" t="s">
        <v>190</v>
      </c>
      <c r="AJ609" s="319" t="s">
        <v>190</v>
      </c>
      <c r="AK609" s="319" t="s">
        <v>190</v>
      </c>
      <c r="AL609" s="319" t="s">
        <v>190</v>
      </c>
      <c r="AM609" s="319" t="s">
        <v>190</v>
      </c>
      <c r="AN609" s="319" t="s">
        <v>190</v>
      </c>
      <c r="AO609" s="319" t="s">
        <v>190</v>
      </c>
      <c r="AP609" s="319" t="s">
        <v>190</v>
      </c>
      <c r="AQ609" s="319" t="s">
        <v>190</v>
      </c>
      <c r="AR609" s="319" t="s">
        <v>190</v>
      </c>
      <c r="AS609" s="319" t="s">
        <v>190</v>
      </c>
      <c r="AT609" s="319" t="s">
        <v>190</v>
      </c>
      <c r="AU609" s="319" t="s">
        <v>190</v>
      </c>
      <c r="AV609" s="319" t="s">
        <v>190</v>
      </c>
      <c r="AW609" s="319" t="s">
        <v>190</v>
      </c>
      <c r="AX609" s="319" t="s">
        <v>428</v>
      </c>
      <c r="AY609" s="319" t="s">
        <v>190</v>
      </c>
      <c r="AZ609" s="319" t="s">
        <v>190</v>
      </c>
      <c r="BA609" s="319" t="s">
        <v>190</v>
      </c>
      <c r="BB609" s="319" t="s">
        <v>190</v>
      </c>
      <c r="BC609" s="319" t="s">
        <v>190</v>
      </c>
      <c r="BD609" s="319" t="s">
        <v>190</v>
      </c>
      <c r="BE609" s="319" t="s">
        <v>190</v>
      </c>
      <c r="BF609" s="319" t="s">
        <v>428</v>
      </c>
      <c r="BG609" s="319" t="s">
        <v>428</v>
      </c>
      <c r="BH609" s="319" t="s">
        <v>190</v>
      </c>
      <c r="BI609" s="319" t="s">
        <v>190</v>
      </c>
      <c r="BJ609" s="319" t="s">
        <v>190</v>
      </c>
      <c r="BK609" s="319" t="s">
        <v>190</v>
      </c>
      <c r="BL609" s="319" t="s">
        <v>190</v>
      </c>
      <c r="BM609" s="319" t="s">
        <v>190</v>
      </c>
      <c r="BN609" s="319" t="s">
        <v>190</v>
      </c>
      <c r="BO609" s="319" t="s">
        <v>190</v>
      </c>
      <c r="BP609" s="319" t="s">
        <v>190</v>
      </c>
      <c r="BQ609" s="319" t="s">
        <v>190</v>
      </c>
      <c r="BR609" s="319" t="s">
        <v>190</v>
      </c>
      <c r="BS609" s="319" t="s">
        <v>190</v>
      </c>
      <c r="BT609" s="319" t="s">
        <v>190</v>
      </c>
      <c r="BU609" s="319" t="s">
        <v>190</v>
      </c>
      <c r="BV609" s="319" t="s">
        <v>190</v>
      </c>
      <c r="BW609" s="319" t="s">
        <v>190</v>
      </c>
      <c r="BX609" s="319" t="s">
        <v>190</v>
      </c>
      <c r="BY609" s="319" t="s">
        <v>190</v>
      </c>
      <c r="BZ609" s="319" t="s">
        <v>190</v>
      </c>
      <c r="CA609" s="319" t="s">
        <v>190</v>
      </c>
      <c r="CB609" s="319" t="s">
        <v>190</v>
      </c>
      <c r="CC609" s="319" t="s">
        <v>190</v>
      </c>
      <c r="CD609" s="319" t="s">
        <v>190</v>
      </c>
      <c r="CE609" s="319" t="s">
        <v>190</v>
      </c>
      <c r="CF609" s="319" t="s">
        <v>190</v>
      </c>
      <c r="CG609" s="319" t="s">
        <v>190</v>
      </c>
      <c r="CH609" s="319" t="s">
        <v>190</v>
      </c>
      <c r="CI609" s="319" t="s">
        <v>190</v>
      </c>
      <c r="CJ609" s="319" t="s">
        <v>190</v>
      </c>
      <c r="CK609" s="319" t="s">
        <v>190</v>
      </c>
      <c r="CL609" s="319" t="s">
        <v>190</v>
      </c>
      <c r="CM609" s="319" t="s">
        <v>190</v>
      </c>
      <c r="CN609" s="319" t="s">
        <v>428</v>
      </c>
      <c r="CO609" s="319" t="s">
        <v>428</v>
      </c>
      <c r="CP609" s="319" t="s">
        <v>428</v>
      </c>
      <c r="CQ609" s="319" t="s">
        <v>190</v>
      </c>
      <c r="CR609" s="319" t="s">
        <v>190</v>
      </c>
      <c r="CS609" s="319" t="s">
        <v>190</v>
      </c>
      <c r="CT609" s="319" t="s">
        <v>190</v>
      </c>
      <c r="CU609" s="319" t="s">
        <v>190</v>
      </c>
      <c r="CV609" s="319" t="s">
        <v>190</v>
      </c>
      <c r="CW609" s="319" t="s">
        <v>190</v>
      </c>
      <c r="CX609" s="319" t="s">
        <v>190</v>
      </c>
      <c r="CY609" s="319" t="s">
        <v>190</v>
      </c>
      <c r="CZ609" s="319" t="s">
        <v>190</v>
      </c>
      <c r="DA609" s="319" t="s">
        <v>190</v>
      </c>
      <c r="DB609" s="319" t="s">
        <v>190</v>
      </c>
      <c r="DC609" s="319" t="s">
        <v>190</v>
      </c>
      <c r="DD609" s="319" t="s">
        <v>190</v>
      </c>
      <c r="DE609" s="319" t="s">
        <v>190</v>
      </c>
      <c r="DF609" s="319" t="s">
        <v>190</v>
      </c>
      <c r="DG609" s="319" t="s">
        <v>190</v>
      </c>
      <c r="DH609" s="319" t="s">
        <v>190</v>
      </c>
      <c r="DI609" s="319" t="s">
        <v>190</v>
      </c>
      <c r="DJ609" s="319" t="s">
        <v>190</v>
      </c>
      <c r="DK609" s="319" t="s">
        <v>190</v>
      </c>
      <c r="DL609" s="319" t="s">
        <v>190</v>
      </c>
      <c r="DM609" s="319" t="s">
        <v>190</v>
      </c>
      <c r="DN609" s="319" t="s">
        <v>428</v>
      </c>
      <c r="DO609" s="319" t="s">
        <v>190</v>
      </c>
      <c r="DP609" s="319" t="s">
        <v>428</v>
      </c>
      <c r="DQ609" s="319" t="s">
        <v>428</v>
      </c>
      <c r="DR609" s="319" t="s">
        <v>428</v>
      </c>
      <c r="DS609" s="319" t="s">
        <v>428</v>
      </c>
      <c r="DT609" s="319" t="s">
        <v>428</v>
      </c>
      <c r="DU609" s="319" t="s">
        <v>428</v>
      </c>
      <c r="DV609" s="319" t="s">
        <v>173</v>
      </c>
      <c r="DW609" s="319" t="s">
        <v>428</v>
      </c>
      <c r="DX609" s="319" t="s">
        <v>428</v>
      </c>
      <c r="DY609" s="319" t="s">
        <v>428</v>
      </c>
      <c r="DZ609" s="319" t="s">
        <v>428</v>
      </c>
      <c r="EA609" s="319" t="s">
        <v>428</v>
      </c>
      <c r="EB609" s="319" t="s">
        <v>428</v>
      </c>
      <c r="EC609" s="319" t="s">
        <v>428</v>
      </c>
      <c r="ED609" s="319" t="s">
        <v>428</v>
      </c>
      <c r="EE609" s="319" t="s">
        <v>190</v>
      </c>
      <c r="EF609" s="319" t="s">
        <v>190</v>
      </c>
      <c r="EG609" s="319" t="s">
        <v>190</v>
      </c>
      <c r="EH609" s="319" t="s">
        <v>190</v>
      </c>
      <c r="EI609" s="319" t="s">
        <v>190</v>
      </c>
      <c r="EJ609" s="319" t="s">
        <v>190</v>
      </c>
      <c r="EK609" s="319" t="s">
        <v>190</v>
      </c>
      <c r="EL609" s="319" t="s">
        <v>190</v>
      </c>
      <c r="EM609" s="319" t="s">
        <v>190</v>
      </c>
      <c r="EN609" s="319" t="s">
        <v>190</v>
      </c>
      <c r="EO609" s="319" t="s">
        <v>190</v>
      </c>
      <c r="EP609" s="319" t="s">
        <v>190</v>
      </c>
      <c r="EQ609" s="319" t="s">
        <v>190</v>
      </c>
      <c r="ER609" s="319" t="s">
        <v>190</v>
      </c>
      <c r="ES609" s="319" t="s">
        <v>190</v>
      </c>
      <c r="ET609" s="319" t="s">
        <v>190</v>
      </c>
      <c r="EU609" s="319" t="s">
        <v>190</v>
      </c>
      <c r="EV609" s="319" t="s">
        <v>190</v>
      </c>
      <c r="EW609" s="319" t="s">
        <v>190</v>
      </c>
      <c r="EX609" s="319" t="s">
        <v>190</v>
      </c>
      <c r="EY609" s="319" t="s">
        <v>190</v>
      </c>
      <c r="EZ609" s="319" t="s">
        <v>190</v>
      </c>
      <c r="FA609" s="319" t="s">
        <v>190</v>
      </c>
      <c r="FB609" s="319" t="s">
        <v>190</v>
      </c>
      <c r="FC609" s="319" t="s">
        <v>190</v>
      </c>
      <c r="FD609" s="319" t="s">
        <v>190</v>
      </c>
      <c r="FE609" s="319" t="s">
        <v>190</v>
      </c>
      <c r="FF609" s="319" t="s">
        <v>190</v>
      </c>
      <c r="FG609" s="319" t="s">
        <v>190</v>
      </c>
      <c r="FH609" s="319" t="s">
        <v>190</v>
      </c>
      <c r="FI609" s="319" t="s">
        <v>190</v>
      </c>
      <c r="FJ609" s="319" t="s">
        <v>190</v>
      </c>
      <c r="FK609" s="319" t="s">
        <v>190</v>
      </c>
      <c r="FL609" s="319" t="s">
        <v>190</v>
      </c>
      <c r="FM609" s="319" t="s">
        <v>190</v>
      </c>
      <c r="FN609" s="319" t="s">
        <v>190</v>
      </c>
      <c r="FO609" s="319" t="s">
        <v>190</v>
      </c>
      <c r="FP609" s="319" t="s">
        <v>190</v>
      </c>
      <c r="FQ609" s="319" t="s">
        <v>190</v>
      </c>
      <c r="FR609" s="319" t="s">
        <v>190</v>
      </c>
      <c r="FS609" s="319" t="s">
        <v>428</v>
      </c>
      <c r="FT609" s="319" t="s">
        <v>190</v>
      </c>
      <c r="FU609" s="319" t="s">
        <v>190</v>
      </c>
      <c r="FV609" s="319" t="s">
        <v>190</v>
      </c>
      <c r="FW609" s="319" t="s">
        <v>190</v>
      </c>
      <c r="FX609" s="319" t="s">
        <v>190</v>
      </c>
      <c r="FY609" s="319" t="s">
        <v>190</v>
      </c>
      <c r="FZ609" s="319" t="s">
        <v>190</v>
      </c>
      <c r="GA609" s="319" t="s">
        <v>190</v>
      </c>
      <c r="GB609" s="319" t="s">
        <v>190</v>
      </c>
      <c r="GC609" s="319" t="s">
        <v>190</v>
      </c>
      <c r="GD609" s="319" t="s">
        <v>190</v>
      </c>
      <c r="GE609" s="319" t="s">
        <v>190</v>
      </c>
      <c r="GF609" s="319" t="s">
        <v>190</v>
      </c>
      <c r="GG609" s="319" t="s">
        <v>190</v>
      </c>
      <c r="GH609" s="319" t="s">
        <v>190</v>
      </c>
      <c r="GI609" s="319" t="s">
        <v>190</v>
      </c>
      <c r="GJ609" s="319" t="s">
        <v>190</v>
      </c>
      <c r="GK609" s="319" t="s">
        <v>428</v>
      </c>
      <c r="GL609" s="319" t="s">
        <v>190</v>
      </c>
      <c r="GM609" s="319" t="s">
        <v>190</v>
      </c>
      <c r="GN609" s="319" t="s">
        <v>190</v>
      </c>
      <c r="GO609" s="319" t="s">
        <v>190</v>
      </c>
      <c r="GP609" s="319" t="s">
        <v>190</v>
      </c>
      <c r="GQ609" s="319" t="s">
        <v>428</v>
      </c>
      <c r="GR609" s="319" t="s">
        <v>190</v>
      </c>
      <c r="GS609" s="319" t="s">
        <v>190</v>
      </c>
      <c r="GT609" s="319" t="s">
        <v>428</v>
      </c>
      <c r="GU609" s="319" t="s">
        <v>428</v>
      </c>
      <c r="GV609" s="319" t="s">
        <v>428</v>
      </c>
      <c r="GW609" s="319" t="s">
        <v>190</v>
      </c>
      <c r="GX609" s="319" t="s">
        <v>190</v>
      </c>
      <c r="GY609" s="319" t="s">
        <v>190</v>
      </c>
      <c r="GZ609" s="319" t="s">
        <v>428</v>
      </c>
      <c r="HA609" s="319" t="s">
        <v>190</v>
      </c>
      <c r="HB609" s="319" t="s">
        <v>190</v>
      </c>
      <c r="HC609" s="319" t="s">
        <v>190</v>
      </c>
      <c r="HD609" s="319" t="s">
        <v>190</v>
      </c>
      <c r="HE609" s="319" t="s">
        <v>190</v>
      </c>
      <c r="HF609" s="319" t="s">
        <v>190</v>
      </c>
      <c r="HG609" s="319" t="s">
        <v>190</v>
      </c>
      <c r="HH609" s="319" t="s">
        <v>190</v>
      </c>
      <c r="HI609" s="319" t="s">
        <v>190</v>
      </c>
      <c r="HJ609" s="319" t="s">
        <v>190</v>
      </c>
      <c r="HK609" s="319" t="s">
        <v>190</v>
      </c>
      <c r="HL609" s="319" t="s">
        <v>428</v>
      </c>
      <c r="HM609" s="319" t="s">
        <v>428</v>
      </c>
      <c r="HN609" s="319" t="s">
        <v>428</v>
      </c>
      <c r="HO609" s="319" t="s">
        <v>428</v>
      </c>
      <c r="HP609" s="319" t="s">
        <v>190</v>
      </c>
      <c r="HQ609" s="319" t="s">
        <v>190</v>
      </c>
      <c r="HR609" s="319" t="s">
        <v>190</v>
      </c>
      <c r="HS609" s="319" t="s">
        <v>190</v>
      </c>
      <c r="HT609" s="319" t="s">
        <v>190</v>
      </c>
      <c r="HU609" s="319" t="s">
        <v>190</v>
      </c>
      <c r="HV609" s="319" t="s">
        <v>190</v>
      </c>
      <c r="HW609" s="319" t="s">
        <v>190</v>
      </c>
      <c r="HX609" s="319" t="s">
        <v>190</v>
      </c>
      <c r="HY609" s="319" t="s">
        <v>190</v>
      </c>
      <c r="HZ609" s="319" t="s">
        <v>190</v>
      </c>
      <c r="IA609" s="319" t="s">
        <v>190</v>
      </c>
      <c r="IB609" s="319" t="s">
        <v>190</v>
      </c>
      <c r="IC609" s="319" t="s">
        <v>190</v>
      </c>
      <c r="ID609" s="319" t="s">
        <v>190</v>
      </c>
      <c r="IE609" s="319" t="s">
        <v>190</v>
      </c>
      <c r="IF609" s="319" t="s">
        <v>190</v>
      </c>
      <c r="IG609" s="319" t="s">
        <v>190</v>
      </c>
      <c r="IH609" s="319" t="s">
        <v>190</v>
      </c>
      <c r="II609" s="319" t="s">
        <v>190</v>
      </c>
      <c r="IJ609" s="319">
        <v>10038841</v>
      </c>
      <c r="IK609" s="321">
        <v>43039</v>
      </c>
      <c r="IL609" s="321">
        <v>43041</v>
      </c>
      <c r="IM609" s="321">
        <v>43067</v>
      </c>
      <c r="IN609" s="319">
        <v>3</v>
      </c>
      <c r="IO609" s="319" t="s">
        <v>173</v>
      </c>
      <c r="IP609" s="319" t="s">
        <v>173</v>
      </c>
      <c r="IQ609" s="321" t="s">
        <v>173</v>
      </c>
      <c r="IR609" s="320" t="s">
        <v>173</v>
      </c>
      <c r="IS609" s="322" t="s">
        <v>173</v>
      </c>
      <c r="IT609" s="319" t="s">
        <v>173</v>
      </c>
    </row>
    <row r="610" spans="1:254" s="271" customFormat="1" x14ac:dyDescent="0.25">
      <c r="A610" s="318" t="str">
        <f>HYPERLINK("http://www.ofsted.gov.uk/inspection-reports/find-inspection-report/provider/ELS/136143 ","Ofsted School Webpage")</f>
        <v>Ofsted School Webpage</v>
      </c>
      <c r="B610" s="319">
        <v>136143</v>
      </c>
      <c r="C610" s="319">
        <v>3556039</v>
      </c>
      <c r="D610" s="319" t="s">
        <v>2052</v>
      </c>
      <c r="E610" s="319" t="s">
        <v>167</v>
      </c>
      <c r="F610" s="319" t="s">
        <v>81</v>
      </c>
      <c r="G610" s="319" t="s">
        <v>69</v>
      </c>
      <c r="H610" s="319" t="s">
        <v>69</v>
      </c>
      <c r="I610" s="319" t="s">
        <v>69</v>
      </c>
      <c r="J610" s="319" t="s">
        <v>424</v>
      </c>
      <c r="K610" s="319" t="s">
        <v>431</v>
      </c>
      <c r="L610" s="319" t="s">
        <v>431</v>
      </c>
      <c r="M610" s="319" t="s">
        <v>533</v>
      </c>
      <c r="N610" s="319" t="s">
        <v>2874</v>
      </c>
      <c r="O610" s="319" t="s">
        <v>2053</v>
      </c>
      <c r="P610" s="319">
        <v>329</v>
      </c>
      <c r="Q610" s="319" t="s">
        <v>2766</v>
      </c>
      <c r="R610" s="320">
        <v>10034032</v>
      </c>
      <c r="S610" s="321">
        <v>43110</v>
      </c>
      <c r="T610" s="321">
        <v>43112</v>
      </c>
      <c r="U610" s="321">
        <v>43136</v>
      </c>
      <c r="V610" s="319" t="s">
        <v>425</v>
      </c>
      <c r="W610" s="319" t="s">
        <v>2767</v>
      </c>
      <c r="X610" s="319">
        <v>2</v>
      </c>
      <c r="Y610" s="319" t="s">
        <v>173</v>
      </c>
      <c r="Z610" s="319" t="s">
        <v>173</v>
      </c>
      <c r="AA610" s="319" t="s">
        <v>173</v>
      </c>
      <c r="AB610" s="319">
        <v>2</v>
      </c>
      <c r="AC610" s="319" t="s">
        <v>169</v>
      </c>
      <c r="AD610" s="319">
        <v>2</v>
      </c>
      <c r="AE610" s="319" t="s">
        <v>173</v>
      </c>
      <c r="AF610" s="319" t="s">
        <v>427</v>
      </c>
      <c r="AG610" s="319" t="s">
        <v>171</v>
      </c>
      <c r="AH610" s="319" t="s">
        <v>190</v>
      </c>
      <c r="AI610" s="319" t="s">
        <v>190</v>
      </c>
      <c r="AJ610" s="319" t="s">
        <v>190</v>
      </c>
      <c r="AK610" s="319" t="s">
        <v>190</v>
      </c>
      <c r="AL610" s="319" t="s">
        <v>190</v>
      </c>
      <c r="AM610" s="319" t="s">
        <v>190</v>
      </c>
      <c r="AN610" s="319" t="s">
        <v>190</v>
      </c>
      <c r="AO610" s="319" t="s">
        <v>190</v>
      </c>
      <c r="AP610" s="319" t="s">
        <v>190</v>
      </c>
      <c r="AQ610" s="319" t="s">
        <v>190</v>
      </c>
      <c r="AR610" s="319" t="s">
        <v>190</v>
      </c>
      <c r="AS610" s="319" t="s">
        <v>190</v>
      </c>
      <c r="AT610" s="319" t="s">
        <v>190</v>
      </c>
      <c r="AU610" s="319" t="s">
        <v>190</v>
      </c>
      <c r="AV610" s="319" t="s">
        <v>190</v>
      </c>
      <c r="AW610" s="319" t="s">
        <v>190</v>
      </c>
      <c r="AX610" s="319" t="s">
        <v>428</v>
      </c>
      <c r="AY610" s="319" t="s">
        <v>190</v>
      </c>
      <c r="AZ610" s="319" t="s">
        <v>190</v>
      </c>
      <c r="BA610" s="319" t="s">
        <v>190</v>
      </c>
      <c r="BB610" s="319" t="s">
        <v>190</v>
      </c>
      <c r="BC610" s="319" t="s">
        <v>190</v>
      </c>
      <c r="BD610" s="319" t="s">
        <v>190</v>
      </c>
      <c r="BE610" s="319" t="s">
        <v>190</v>
      </c>
      <c r="BF610" s="319" t="s">
        <v>190</v>
      </c>
      <c r="BG610" s="319" t="s">
        <v>190</v>
      </c>
      <c r="BH610" s="319" t="s">
        <v>190</v>
      </c>
      <c r="BI610" s="319" t="s">
        <v>190</v>
      </c>
      <c r="BJ610" s="319" t="s">
        <v>190</v>
      </c>
      <c r="BK610" s="319" t="s">
        <v>190</v>
      </c>
      <c r="BL610" s="319" t="s">
        <v>190</v>
      </c>
      <c r="BM610" s="319" t="s">
        <v>190</v>
      </c>
      <c r="BN610" s="319" t="s">
        <v>190</v>
      </c>
      <c r="BO610" s="319" t="s">
        <v>190</v>
      </c>
      <c r="BP610" s="319" t="s">
        <v>190</v>
      </c>
      <c r="BQ610" s="319" t="s">
        <v>190</v>
      </c>
      <c r="BR610" s="319" t="s">
        <v>190</v>
      </c>
      <c r="BS610" s="319" t="s">
        <v>190</v>
      </c>
      <c r="BT610" s="319" t="s">
        <v>190</v>
      </c>
      <c r="BU610" s="319" t="s">
        <v>190</v>
      </c>
      <c r="BV610" s="319" t="s">
        <v>190</v>
      </c>
      <c r="BW610" s="319" t="s">
        <v>190</v>
      </c>
      <c r="BX610" s="319" t="s">
        <v>190</v>
      </c>
      <c r="BY610" s="319" t="s">
        <v>190</v>
      </c>
      <c r="BZ610" s="319" t="s">
        <v>190</v>
      </c>
      <c r="CA610" s="319" t="s">
        <v>190</v>
      </c>
      <c r="CB610" s="319" t="s">
        <v>190</v>
      </c>
      <c r="CC610" s="319" t="s">
        <v>190</v>
      </c>
      <c r="CD610" s="319" t="s">
        <v>190</v>
      </c>
      <c r="CE610" s="319" t="s">
        <v>190</v>
      </c>
      <c r="CF610" s="319" t="s">
        <v>190</v>
      </c>
      <c r="CG610" s="319" t="s">
        <v>190</v>
      </c>
      <c r="CH610" s="319" t="s">
        <v>190</v>
      </c>
      <c r="CI610" s="319" t="s">
        <v>190</v>
      </c>
      <c r="CJ610" s="319" t="s">
        <v>190</v>
      </c>
      <c r="CK610" s="319" t="s">
        <v>190</v>
      </c>
      <c r="CL610" s="319" t="s">
        <v>190</v>
      </c>
      <c r="CM610" s="319" t="s">
        <v>190</v>
      </c>
      <c r="CN610" s="319" t="s">
        <v>190</v>
      </c>
      <c r="CO610" s="319" t="s">
        <v>428</v>
      </c>
      <c r="CP610" s="319" t="s">
        <v>428</v>
      </c>
      <c r="CQ610" s="319" t="s">
        <v>190</v>
      </c>
      <c r="CR610" s="319" t="s">
        <v>190</v>
      </c>
      <c r="CS610" s="319" t="s">
        <v>190</v>
      </c>
      <c r="CT610" s="319" t="s">
        <v>190</v>
      </c>
      <c r="CU610" s="319" t="s">
        <v>190</v>
      </c>
      <c r="CV610" s="319" t="s">
        <v>190</v>
      </c>
      <c r="CW610" s="319" t="s">
        <v>190</v>
      </c>
      <c r="CX610" s="319" t="s">
        <v>190</v>
      </c>
      <c r="CY610" s="319" t="s">
        <v>190</v>
      </c>
      <c r="CZ610" s="319" t="s">
        <v>190</v>
      </c>
      <c r="DA610" s="319" t="s">
        <v>190</v>
      </c>
      <c r="DB610" s="319" t="s">
        <v>190</v>
      </c>
      <c r="DC610" s="319" t="s">
        <v>190</v>
      </c>
      <c r="DD610" s="319" t="s">
        <v>190</v>
      </c>
      <c r="DE610" s="319" t="s">
        <v>190</v>
      </c>
      <c r="DF610" s="319" t="s">
        <v>190</v>
      </c>
      <c r="DG610" s="319" t="s">
        <v>190</v>
      </c>
      <c r="DH610" s="319" t="s">
        <v>190</v>
      </c>
      <c r="DI610" s="319" t="s">
        <v>190</v>
      </c>
      <c r="DJ610" s="319" t="s">
        <v>190</v>
      </c>
      <c r="DK610" s="319" t="s">
        <v>190</v>
      </c>
      <c r="DL610" s="319" t="s">
        <v>190</v>
      </c>
      <c r="DM610" s="319" t="s">
        <v>190</v>
      </c>
      <c r="DN610" s="319" t="s">
        <v>428</v>
      </c>
      <c r="DO610" s="319" t="s">
        <v>190</v>
      </c>
      <c r="DP610" s="319" t="s">
        <v>190</v>
      </c>
      <c r="DQ610" s="319" t="s">
        <v>190</v>
      </c>
      <c r="DR610" s="319" t="s">
        <v>190</v>
      </c>
      <c r="DS610" s="319" t="s">
        <v>190</v>
      </c>
      <c r="DT610" s="319" t="s">
        <v>190</v>
      </c>
      <c r="DU610" s="319" t="s">
        <v>190</v>
      </c>
      <c r="DV610" s="319" t="s">
        <v>173</v>
      </c>
      <c r="DW610" s="319" t="s">
        <v>190</v>
      </c>
      <c r="DX610" s="319" t="s">
        <v>190</v>
      </c>
      <c r="DY610" s="319" t="s">
        <v>190</v>
      </c>
      <c r="DZ610" s="319" t="s">
        <v>190</v>
      </c>
      <c r="EA610" s="319" t="s">
        <v>190</v>
      </c>
      <c r="EB610" s="319" t="s">
        <v>190</v>
      </c>
      <c r="EC610" s="319" t="s">
        <v>428</v>
      </c>
      <c r="ED610" s="319" t="s">
        <v>190</v>
      </c>
      <c r="EE610" s="319" t="s">
        <v>190</v>
      </c>
      <c r="EF610" s="319" t="s">
        <v>190</v>
      </c>
      <c r="EG610" s="319" t="s">
        <v>190</v>
      </c>
      <c r="EH610" s="319" t="s">
        <v>190</v>
      </c>
      <c r="EI610" s="319" t="s">
        <v>190</v>
      </c>
      <c r="EJ610" s="319" t="s">
        <v>190</v>
      </c>
      <c r="EK610" s="319" t="s">
        <v>190</v>
      </c>
      <c r="EL610" s="319" t="s">
        <v>190</v>
      </c>
      <c r="EM610" s="319" t="s">
        <v>190</v>
      </c>
      <c r="EN610" s="319" t="s">
        <v>190</v>
      </c>
      <c r="EO610" s="319" t="s">
        <v>190</v>
      </c>
      <c r="EP610" s="319" t="s">
        <v>190</v>
      </c>
      <c r="EQ610" s="319" t="s">
        <v>190</v>
      </c>
      <c r="ER610" s="319" t="s">
        <v>190</v>
      </c>
      <c r="ES610" s="319" t="s">
        <v>190</v>
      </c>
      <c r="ET610" s="319" t="s">
        <v>190</v>
      </c>
      <c r="EU610" s="319" t="s">
        <v>190</v>
      </c>
      <c r="EV610" s="319" t="s">
        <v>190</v>
      </c>
      <c r="EW610" s="319" t="s">
        <v>190</v>
      </c>
      <c r="EX610" s="319" t="s">
        <v>190</v>
      </c>
      <c r="EY610" s="319" t="s">
        <v>190</v>
      </c>
      <c r="EZ610" s="319" t="s">
        <v>190</v>
      </c>
      <c r="FA610" s="319" t="s">
        <v>190</v>
      </c>
      <c r="FB610" s="319" t="s">
        <v>190</v>
      </c>
      <c r="FC610" s="319" t="s">
        <v>190</v>
      </c>
      <c r="FD610" s="319" t="s">
        <v>190</v>
      </c>
      <c r="FE610" s="319" t="s">
        <v>190</v>
      </c>
      <c r="FF610" s="319" t="s">
        <v>190</v>
      </c>
      <c r="FG610" s="319" t="s">
        <v>190</v>
      </c>
      <c r="FH610" s="319" t="s">
        <v>190</v>
      </c>
      <c r="FI610" s="319" t="s">
        <v>190</v>
      </c>
      <c r="FJ610" s="319" t="s">
        <v>190</v>
      </c>
      <c r="FK610" s="319" t="s">
        <v>190</v>
      </c>
      <c r="FL610" s="319" t="s">
        <v>190</v>
      </c>
      <c r="FM610" s="319" t="s">
        <v>190</v>
      </c>
      <c r="FN610" s="319" t="s">
        <v>428</v>
      </c>
      <c r="FO610" s="319" t="s">
        <v>190</v>
      </c>
      <c r="FP610" s="319" t="s">
        <v>190</v>
      </c>
      <c r="FQ610" s="319" t="s">
        <v>190</v>
      </c>
      <c r="FR610" s="319" t="s">
        <v>190</v>
      </c>
      <c r="FS610" s="319" t="s">
        <v>428</v>
      </c>
      <c r="FT610" s="319" t="s">
        <v>190</v>
      </c>
      <c r="FU610" s="319" t="s">
        <v>190</v>
      </c>
      <c r="FV610" s="319" t="s">
        <v>190</v>
      </c>
      <c r="FW610" s="319" t="s">
        <v>190</v>
      </c>
      <c r="FX610" s="319" t="s">
        <v>190</v>
      </c>
      <c r="FY610" s="319" t="s">
        <v>190</v>
      </c>
      <c r="FZ610" s="319" t="s">
        <v>190</v>
      </c>
      <c r="GA610" s="319" t="s">
        <v>190</v>
      </c>
      <c r="GB610" s="319" t="s">
        <v>190</v>
      </c>
      <c r="GC610" s="319" t="s">
        <v>190</v>
      </c>
      <c r="GD610" s="319" t="s">
        <v>190</v>
      </c>
      <c r="GE610" s="319" t="s">
        <v>190</v>
      </c>
      <c r="GF610" s="319" t="s">
        <v>190</v>
      </c>
      <c r="GG610" s="319" t="s">
        <v>190</v>
      </c>
      <c r="GH610" s="319" t="s">
        <v>190</v>
      </c>
      <c r="GI610" s="319" t="s">
        <v>190</v>
      </c>
      <c r="GJ610" s="319" t="s">
        <v>190</v>
      </c>
      <c r="GK610" s="319" t="s">
        <v>428</v>
      </c>
      <c r="GL610" s="319" t="s">
        <v>190</v>
      </c>
      <c r="GM610" s="319" t="s">
        <v>190</v>
      </c>
      <c r="GN610" s="319" t="s">
        <v>190</v>
      </c>
      <c r="GO610" s="319" t="s">
        <v>190</v>
      </c>
      <c r="GP610" s="319" t="s">
        <v>190</v>
      </c>
      <c r="GQ610" s="319" t="s">
        <v>428</v>
      </c>
      <c r="GR610" s="319" t="s">
        <v>190</v>
      </c>
      <c r="GS610" s="319" t="s">
        <v>190</v>
      </c>
      <c r="GT610" s="319" t="s">
        <v>428</v>
      </c>
      <c r="GU610" s="319" t="s">
        <v>428</v>
      </c>
      <c r="GV610" s="319" t="s">
        <v>190</v>
      </c>
      <c r="GW610" s="319" t="s">
        <v>190</v>
      </c>
      <c r="GX610" s="319" t="s">
        <v>190</v>
      </c>
      <c r="GY610" s="319" t="s">
        <v>190</v>
      </c>
      <c r="GZ610" s="319" t="s">
        <v>190</v>
      </c>
      <c r="HA610" s="319" t="s">
        <v>428</v>
      </c>
      <c r="HB610" s="319" t="s">
        <v>428</v>
      </c>
      <c r="HC610" s="319" t="s">
        <v>190</v>
      </c>
      <c r="HD610" s="319" t="s">
        <v>190</v>
      </c>
      <c r="HE610" s="319" t="s">
        <v>190</v>
      </c>
      <c r="HF610" s="319" t="s">
        <v>190</v>
      </c>
      <c r="HG610" s="319" t="s">
        <v>190</v>
      </c>
      <c r="HH610" s="319" t="s">
        <v>190</v>
      </c>
      <c r="HI610" s="319" t="s">
        <v>190</v>
      </c>
      <c r="HJ610" s="319" t="s">
        <v>190</v>
      </c>
      <c r="HK610" s="319" t="s">
        <v>190</v>
      </c>
      <c r="HL610" s="319" t="s">
        <v>190</v>
      </c>
      <c r="HM610" s="319" t="s">
        <v>428</v>
      </c>
      <c r="HN610" s="319" t="s">
        <v>428</v>
      </c>
      <c r="HO610" s="319" t="s">
        <v>428</v>
      </c>
      <c r="HP610" s="319" t="s">
        <v>190</v>
      </c>
      <c r="HQ610" s="319" t="s">
        <v>190</v>
      </c>
      <c r="HR610" s="319" t="s">
        <v>190</v>
      </c>
      <c r="HS610" s="319" t="s">
        <v>190</v>
      </c>
      <c r="HT610" s="319" t="s">
        <v>190</v>
      </c>
      <c r="HU610" s="319" t="s">
        <v>190</v>
      </c>
      <c r="HV610" s="319" t="s">
        <v>190</v>
      </c>
      <c r="HW610" s="319" t="s">
        <v>190</v>
      </c>
      <c r="HX610" s="319" t="s">
        <v>190</v>
      </c>
      <c r="HY610" s="319" t="s">
        <v>190</v>
      </c>
      <c r="HZ610" s="319" t="s">
        <v>190</v>
      </c>
      <c r="IA610" s="319" t="s">
        <v>190</v>
      </c>
      <c r="IB610" s="319" t="s">
        <v>190</v>
      </c>
      <c r="IC610" s="319" t="s">
        <v>190</v>
      </c>
      <c r="ID610" s="319" t="s">
        <v>190</v>
      </c>
      <c r="IE610" s="319" t="s">
        <v>190</v>
      </c>
      <c r="IF610" s="319" t="s">
        <v>190</v>
      </c>
      <c r="IG610" s="319" t="s">
        <v>190</v>
      </c>
      <c r="IH610" s="319" t="s">
        <v>190</v>
      </c>
      <c r="II610" s="319" t="s">
        <v>190</v>
      </c>
      <c r="IJ610" s="319" t="s">
        <v>3364</v>
      </c>
      <c r="IK610" s="321">
        <v>41801</v>
      </c>
      <c r="IL610" s="321">
        <v>41803</v>
      </c>
      <c r="IM610" s="321">
        <v>41827</v>
      </c>
      <c r="IN610" s="319">
        <v>2</v>
      </c>
      <c r="IO610" s="319" t="s">
        <v>173</v>
      </c>
      <c r="IP610" s="319" t="s">
        <v>173</v>
      </c>
      <c r="IQ610" s="321" t="s">
        <v>173</v>
      </c>
      <c r="IR610" s="320" t="s">
        <v>173</v>
      </c>
      <c r="IS610" s="322" t="s">
        <v>173</v>
      </c>
      <c r="IT610" s="319" t="s">
        <v>173</v>
      </c>
    </row>
    <row r="611" spans="1:254" s="271" customFormat="1" x14ac:dyDescent="0.25">
      <c r="A611" s="318" t="str">
        <f>HYPERLINK("http://www.ofsted.gov.uk/inspection-reports/find-inspection-report/provider/ELS/136167 ","Ofsted School Webpage")</f>
        <v>Ofsted School Webpage</v>
      </c>
      <c r="B611" s="319">
        <v>136167</v>
      </c>
      <c r="C611" s="319">
        <v>8306037</v>
      </c>
      <c r="D611" s="319" t="s">
        <v>2054</v>
      </c>
      <c r="E611" s="319" t="s">
        <v>168</v>
      </c>
      <c r="F611" s="319" t="s">
        <v>81</v>
      </c>
      <c r="G611" s="319" t="s">
        <v>81</v>
      </c>
      <c r="H611" s="319" t="s">
        <v>81</v>
      </c>
      <c r="I611" s="319" t="s">
        <v>78</v>
      </c>
      <c r="J611" s="319" t="s">
        <v>424</v>
      </c>
      <c r="K611" s="319" t="s">
        <v>506</v>
      </c>
      <c r="L611" s="319" t="s">
        <v>506</v>
      </c>
      <c r="M611" s="319" t="s">
        <v>507</v>
      </c>
      <c r="N611" s="319" t="s">
        <v>3033</v>
      </c>
      <c r="O611" s="319" t="s">
        <v>2055</v>
      </c>
      <c r="P611" s="319">
        <v>4</v>
      </c>
      <c r="Q611" s="319" t="s">
        <v>429</v>
      </c>
      <c r="R611" s="320">
        <v>10039188</v>
      </c>
      <c r="S611" s="321">
        <v>43256</v>
      </c>
      <c r="T611" s="321">
        <v>43257</v>
      </c>
      <c r="U611" s="321">
        <v>43278</v>
      </c>
      <c r="V611" s="319" t="s">
        <v>425</v>
      </c>
      <c r="W611" s="319" t="s">
        <v>2767</v>
      </c>
      <c r="X611" s="319">
        <v>2</v>
      </c>
      <c r="Y611" s="319" t="s">
        <v>173</v>
      </c>
      <c r="Z611" s="319" t="s">
        <v>173</v>
      </c>
      <c r="AA611" s="319" t="s">
        <v>173</v>
      </c>
      <c r="AB611" s="319">
        <v>2</v>
      </c>
      <c r="AC611" s="319" t="s">
        <v>169</v>
      </c>
      <c r="AD611" s="319" t="s">
        <v>173</v>
      </c>
      <c r="AE611" s="319" t="s">
        <v>173</v>
      </c>
      <c r="AF611" s="319" t="s">
        <v>427</v>
      </c>
      <c r="AG611" s="319" t="s">
        <v>171</v>
      </c>
      <c r="AH611" s="319" t="s">
        <v>190</v>
      </c>
      <c r="AI611" s="319" t="s">
        <v>190</v>
      </c>
      <c r="AJ611" s="319" t="s">
        <v>190</v>
      </c>
      <c r="AK611" s="319" t="s">
        <v>190</v>
      </c>
      <c r="AL611" s="319" t="s">
        <v>190</v>
      </c>
      <c r="AM611" s="319" t="s">
        <v>190</v>
      </c>
      <c r="AN611" s="319" t="s">
        <v>190</v>
      </c>
      <c r="AO611" s="319" t="s">
        <v>190</v>
      </c>
      <c r="AP611" s="319" t="s">
        <v>190</v>
      </c>
      <c r="AQ611" s="319" t="s">
        <v>190</v>
      </c>
      <c r="AR611" s="319" t="s">
        <v>190</v>
      </c>
      <c r="AS611" s="319" t="s">
        <v>190</v>
      </c>
      <c r="AT611" s="319" t="s">
        <v>190</v>
      </c>
      <c r="AU611" s="319" t="s">
        <v>190</v>
      </c>
      <c r="AV611" s="319" t="s">
        <v>190</v>
      </c>
      <c r="AW611" s="319" t="s">
        <v>190</v>
      </c>
      <c r="AX611" s="319" t="s">
        <v>190</v>
      </c>
      <c r="AY611" s="319" t="s">
        <v>190</v>
      </c>
      <c r="AZ611" s="319" t="s">
        <v>190</v>
      </c>
      <c r="BA611" s="319" t="s">
        <v>190</v>
      </c>
      <c r="BB611" s="319" t="s">
        <v>190</v>
      </c>
      <c r="BC611" s="319" t="s">
        <v>190</v>
      </c>
      <c r="BD611" s="319" t="s">
        <v>190</v>
      </c>
      <c r="BE611" s="319" t="s">
        <v>190</v>
      </c>
      <c r="BF611" s="319" t="s">
        <v>428</v>
      </c>
      <c r="BG611" s="319" t="s">
        <v>428</v>
      </c>
      <c r="BH611" s="319" t="s">
        <v>190</v>
      </c>
      <c r="BI611" s="319" t="s">
        <v>190</v>
      </c>
      <c r="BJ611" s="319" t="s">
        <v>190</v>
      </c>
      <c r="BK611" s="319" t="s">
        <v>190</v>
      </c>
      <c r="BL611" s="319" t="s">
        <v>190</v>
      </c>
      <c r="BM611" s="319" t="s">
        <v>190</v>
      </c>
      <c r="BN611" s="319" t="s">
        <v>190</v>
      </c>
      <c r="BO611" s="319" t="s">
        <v>190</v>
      </c>
      <c r="BP611" s="319" t="s">
        <v>190</v>
      </c>
      <c r="BQ611" s="319" t="s">
        <v>190</v>
      </c>
      <c r="BR611" s="319" t="s">
        <v>190</v>
      </c>
      <c r="BS611" s="319" t="s">
        <v>190</v>
      </c>
      <c r="BT611" s="319" t="s">
        <v>190</v>
      </c>
      <c r="BU611" s="319" t="s">
        <v>190</v>
      </c>
      <c r="BV611" s="319" t="s">
        <v>190</v>
      </c>
      <c r="BW611" s="319" t="s">
        <v>190</v>
      </c>
      <c r="BX611" s="319" t="s">
        <v>190</v>
      </c>
      <c r="BY611" s="319" t="s">
        <v>190</v>
      </c>
      <c r="BZ611" s="319" t="s">
        <v>190</v>
      </c>
      <c r="CA611" s="319" t="s">
        <v>190</v>
      </c>
      <c r="CB611" s="319" t="s">
        <v>190</v>
      </c>
      <c r="CC611" s="319" t="s">
        <v>190</v>
      </c>
      <c r="CD611" s="319" t="s">
        <v>190</v>
      </c>
      <c r="CE611" s="319" t="s">
        <v>190</v>
      </c>
      <c r="CF611" s="319" t="s">
        <v>190</v>
      </c>
      <c r="CG611" s="319" t="s">
        <v>190</v>
      </c>
      <c r="CH611" s="319" t="s">
        <v>190</v>
      </c>
      <c r="CI611" s="319" t="s">
        <v>190</v>
      </c>
      <c r="CJ611" s="319" t="s">
        <v>190</v>
      </c>
      <c r="CK611" s="319" t="s">
        <v>190</v>
      </c>
      <c r="CL611" s="319" t="s">
        <v>190</v>
      </c>
      <c r="CM611" s="319" t="s">
        <v>190</v>
      </c>
      <c r="CN611" s="319" t="s">
        <v>428</v>
      </c>
      <c r="CO611" s="319" t="s">
        <v>428</v>
      </c>
      <c r="CP611" s="319" t="s">
        <v>428</v>
      </c>
      <c r="CQ611" s="319" t="s">
        <v>190</v>
      </c>
      <c r="CR611" s="319" t="s">
        <v>190</v>
      </c>
      <c r="CS611" s="319" t="s">
        <v>190</v>
      </c>
      <c r="CT611" s="319" t="s">
        <v>190</v>
      </c>
      <c r="CU611" s="319" t="s">
        <v>190</v>
      </c>
      <c r="CV611" s="319" t="s">
        <v>190</v>
      </c>
      <c r="CW611" s="319" t="s">
        <v>190</v>
      </c>
      <c r="CX611" s="319" t="s">
        <v>190</v>
      </c>
      <c r="CY611" s="319" t="s">
        <v>190</v>
      </c>
      <c r="CZ611" s="319" t="s">
        <v>190</v>
      </c>
      <c r="DA611" s="319" t="s">
        <v>190</v>
      </c>
      <c r="DB611" s="319" t="s">
        <v>190</v>
      </c>
      <c r="DC611" s="319" t="s">
        <v>190</v>
      </c>
      <c r="DD611" s="319" t="s">
        <v>190</v>
      </c>
      <c r="DE611" s="319" t="s">
        <v>190</v>
      </c>
      <c r="DF611" s="319" t="s">
        <v>190</v>
      </c>
      <c r="DG611" s="319" t="s">
        <v>190</v>
      </c>
      <c r="DH611" s="319" t="s">
        <v>190</v>
      </c>
      <c r="DI611" s="319" t="s">
        <v>190</v>
      </c>
      <c r="DJ611" s="319" t="s">
        <v>190</v>
      </c>
      <c r="DK611" s="319" t="s">
        <v>190</v>
      </c>
      <c r="DL611" s="319" t="s">
        <v>190</v>
      </c>
      <c r="DM611" s="319" t="s">
        <v>190</v>
      </c>
      <c r="DN611" s="319" t="s">
        <v>190</v>
      </c>
      <c r="DO611" s="319" t="s">
        <v>190</v>
      </c>
      <c r="DP611" s="319" t="s">
        <v>428</v>
      </c>
      <c r="DQ611" s="319" t="s">
        <v>428</v>
      </c>
      <c r="DR611" s="319" t="s">
        <v>428</v>
      </c>
      <c r="DS611" s="319" t="s">
        <v>428</v>
      </c>
      <c r="DT611" s="319" t="s">
        <v>428</v>
      </c>
      <c r="DU611" s="319" t="s">
        <v>428</v>
      </c>
      <c r="DV611" s="319" t="s">
        <v>173</v>
      </c>
      <c r="DW611" s="319" t="s">
        <v>428</v>
      </c>
      <c r="DX611" s="319" t="s">
        <v>428</v>
      </c>
      <c r="DY611" s="319" t="s">
        <v>428</v>
      </c>
      <c r="DZ611" s="319" t="s">
        <v>428</v>
      </c>
      <c r="EA611" s="319" t="s">
        <v>428</v>
      </c>
      <c r="EB611" s="319" t="s">
        <v>428</v>
      </c>
      <c r="EC611" s="319" t="s">
        <v>428</v>
      </c>
      <c r="ED611" s="319" t="s">
        <v>190</v>
      </c>
      <c r="EE611" s="319" t="s">
        <v>190</v>
      </c>
      <c r="EF611" s="319" t="s">
        <v>190</v>
      </c>
      <c r="EG611" s="319" t="s">
        <v>190</v>
      </c>
      <c r="EH611" s="319" t="s">
        <v>190</v>
      </c>
      <c r="EI611" s="319" t="s">
        <v>190</v>
      </c>
      <c r="EJ611" s="319" t="s">
        <v>190</v>
      </c>
      <c r="EK611" s="319" t="s">
        <v>190</v>
      </c>
      <c r="EL611" s="319" t="s">
        <v>190</v>
      </c>
      <c r="EM611" s="319" t="s">
        <v>190</v>
      </c>
      <c r="EN611" s="319" t="s">
        <v>190</v>
      </c>
      <c r="EO611" s="319" t="s">
        <v>190</v>
      </c>
      <c r="EP611" s="319" t="s">
        <v>190</v>
      </c>
      <c r="EQ611" s="319" t="s">
        <v>190</v>
      </c>
      <c r="ER611" s="319" t="s">
        <v>190</v>
      </c>
      <c r="ES611" s="319" t="s">
        <v>190</v>
      </c>
      <c r="ET611" s="319" t="s">
        <v>190</v>
      </c>
      <c r="EU611" s="319" t="s">
        <v>190</v>
      </c>
      <c r="EV611" s="319" t="s">
        <v>190</v>
      </c>
      <c r="EW611" s="319" t="s">
        <v>190</v>
      </c>
      <c r="EX611" s="319" t="s">
        <v>190</v>
      </c>
      <c r="EY611" s="319" t="s">
        <v>190</v>
      </c>
      <c r="EZ611" s="319" t="s">
        <v>190</v>
      </c>
      <c r="FA611" s="319" t="s">
        <v>190</v>
      </c>
      <c r="FB611" s="319" t="s">
        <v>190</v>
      </c>
      <c r="FC611" s="319" t="s">
        <v>190</v>
      </c>
      <c r="FD611" s="319" t="s">
        <v>190</v>
      </c>
      <c r="FE611" s="319" t="s">
        <v>190</v>
      </c>
      <c r="FF611" s="319" t="s">
        <v>190</v>
      </c>
      <c r="FG611" s="319" t="s">
        <v>190</v>
      </c>
      <c r="FH611" s="319" t="s">
        <v>190</v>
      </c>
      <c r="FI611" s="319" t="s">
        <v>190</v>
      </c>
      <c r="FJ611" s="319" t="s">
        <v>190</v>
      </c>
      <c r="FK611" s="319" t="s">
        <v>190</v>
      </c>
      <c r="FL611" s="319" t="s">
        <v>190</v>
      </c>
      <c r="FM611" s="319" t="s">
        <v>190</v>
      </c>
      <c r="FN611" s="319" t="s">
        <v>190</v>
      </c>
      <c r="FO611" s="319" t="s">
        <v>190</v>
      </c>
      <c r="FP611" s="319" t="s">
        <v>190</v>
      </c>
      <c r="FQ611" s="319" t="s">
        <v>190</v>
      </c>
      <c r="FR611" s="319" t="s">
        <v>190</v>
      </c>
      <c r="FS611" s="319" t="s">
        <v>190</v>
      </c>
      <c r="FT611" s="319" t="s">
        <v>190</v>
      </c>
      <c r="FU611" s="319" t="s">
        <v>190</v>
      </c>
      <c r="FV611" s="319" t="s">
        <v>190</v>
      </c>
      <c r="FW611" s="319" t="s">
        <v>190</v>
      </c>
      <c r="FX611" s="319" t="s">
        <v>190</v>
      </c>
      <c r="FY611" s="319" t="s">
        <v>190</v>
      </c>
      <c r="FZ611" s="319" t="s">
        <v>190</v>
      </c>
      <c r="GA611" s="319" t="s">
        <v>190</v>
      </c>
      <c r="GB611" s="319" t="s">
        <v>190</v>
      </c>
      <c r="GC611" s="319" t="s">
        <v>190</v>
      </c>
      <c r="GD611" s="319" t="s">
        <v>190</v>
      </c>
      <c r="GE611" s="319" t="s">
        <v>190</v>
      </c>
      <c r="GF611" s="319" t="s">
        <v>190</v>
      </c>
      <c r="GG611" s="319" t="s">
        <v>190</v>
      </c>
      <c r="GH611" s="319" t="s">
        <v>190</v>
      </c>
      <c r="GI611" s="319" t="s">
        <v>190</v>
      </c>
      <c r="GJ611" s="319" t="s">
        <v>190</v>
      </c>
      <c r="GK611" s="319" t="s">
        <v>190</v>
      </c>
      <c r="GL611" s="319" t="s">
        <v>190</v>
      </c>
      <c r="GM611" s="319" t="s">
        <v>190</v>
      </c>
      <c r="GN611" s="319" t="s">
        <v>190</v>
      </c>
      <c r="GO611" s="319" t="s">
        <v>190</v>
      </c>
      <c r="GP611" s="319" t="s">
        <v>190</v>
      </c>
      <c r="GQ611" s="319" t="s">
        <v>190</v>
      </c>
      <c r="GR611" s="319" t="s">
        <v>190</v>
      </c>
      <c r="GS611" s="319" t="s">
        <v>190</v>
      </c>
      <c r="GT611" s="319" t="s">
        <v>190</v>
      </c>
      <c r="GU611" s="319" t="s">
        <v>190</v>
      </c>
      <c r="GV611" s="319" t="s">
        <v>190</v>
      </c>
      <c r="GW611" s="319" t="s">
        <v>190</v>
      </c>
      <c r="GX611" s="319" t="s">
        <v>190</v>
      </c>
      <c r="GY611" s="319" t="s">
        <v>190</v>
      </c>
      <c r="GZ611" s="319" t="s">
        <v>190</v>
      </c>
      <c r="HA611" s="319" t="s">
        <v>190</v>
      </c>
      <c r="HB611" s="319" t="s">
        <v>190</v>
      </c>
      <c r="HC611" s="319" t="s">
        <v>190</v>
      </c>
      <c r="HD611" s="319" t="s">
        <v>190</v>
      </c>
      <c r="HE611" s="319" t="s">
        <v>190</v>
      </c>
      <c r="HF611" s="319" t="s">
        <v>190</v>
      </c>
      <c r="HG611" s="319" t="s">
        <v>190</v>
      </c>
      <c r="HH611" s="319" t="s">
        <v>190</v>
      </c>
      <c r="HI611" s="319" t="s">
        <v>190</v>
      </c>
      <c r="HJ611" s="319" t="s">
        <v>190</v>
      </c>
      <c r="HK611" s="319" t="s">
        <v>190</v>
      </c>
      <c r="HL611" s="319" t="s">
        <v>190</v>
      </c>
      <c r="HM611" s="319" t="s">
        <v>190</v>
      </c>
      <c r="HN611" s="319" t="s">
        <v>190</v>
      </c>
      <c r="HO611" s="319" t="s">
        <v>190</v>
      </c>
      <c r="HP611" s="319" t="s">
        <v>190</v>
      </c>
      <c r="HQ611" s="319" t="s">
        <v>190</v>
      </c>
      <c r="HR611" s="319" t="s">
        <v>190</v>
      </c>
      <c r="HS611" s="319" t="s">
        <v>190</v>
      </c>
      <c r="HT611" s="319" t="s">
        <v>190</v>
      </c>
      <c r="HU611" s="319" t="s">
        <v>190</v>
      </c>
      <c r="HV611" s="319" t="s">
        <v>190</v>
      </c>
      <c r="HW611" s="319" t="s">
        <v>190</v>
      </c>
      <c r="HX611" s="319" t="s">
        <v>190</v>
      </c>
      <c r="HY611" s="319" t="s">
        <v>190</v>
      </c>
      <c r="HZ611" s="319" t="s">
        <v>190</v>
      </c>
      <c r="IA611" s="319" t="s">
        <v>190</v>
      </c>
      <c r="IB611" s="319" t="s">
        <v>190</v>
      </c>
      <c r="IC611" s="319" t="s">
        <v>190</v>
      </c>
      <c r="ID611" s="319" t="s">
        <v>190</v>
      </c>
      <c r="IE611" s="319" t="s">
        <v>190</v>
      </c>
      <c r="IF611" s="319" t="s">
        <v>190</v>
      </c>
      <c r="IG611" s="319" t="s">
        <v>190</v>
      </c>
      <c r="IH611" s="319" t="s">
        <v>190</v>
      </c>
      <c r="II611" s="319" t="s">
        <v>190</v>
      </c>
      <c r="IJ611" s="319" t="s">
        <v>3365</v>
      </c>
      <c r="IK611" s="321">
        <v>41913</v>
      </c>
      <c r="IL611" s="321">
        <v>41915</v>
      </c>
      <c r="IM611" s="321">
        <v>41962</v>
      </c>
      <c r="IN611" s="319">
        <v>2</v>
      </c>
      <c r="IO611" s="319" t="s">
        <v>173</v>
      </c>
      <c r="IP611" s="319" t="s">
        <v>173</v>
      </c>
      <c r="IQ611" s="319" t="s">
        <v>173</v>
      </c>
      <c r="IR611" s="320" t="s">
        <v>173</v>
      </c>
      <c r="IS611" s="320" t="s">
        <v>173</v>
      </c>
      <c r="IT611" s="319" t="s">
        <v>173</v>
      </c>
    </row>
    <row r="612" spans="1:254" s="271" customFormat="1" x14ac:dyDescent="0.25">
      <c r="A612" s="318" t="str">
        <f>HYPERLINK("http://www.ofsted.gov.uk/inspection-reports/find-inspection-report/provider/ELS/136168 ","Ofsted School Webpage")</f>
        <v>Ofsted School Webpage</v>
      </c>
      <c r="B612" s="319">
        <v>136168</v>
      </c>
      <c r="C612" s="319">
        <v>8306038</v>
      </c>
      <c r="D612" s="319" t="s">
        <v>2056</v>
      </c>
      <c r="E612" s="319" t="s">
        <v>168</v>
      </c>
      <c r="F612" s="319" t="s">
        <v>81</v>
      </c>
      <c r="G612" s="319" t="s">
        <v>81</v>
      </c>
      <c r="H612" s="319" t="s">
        <v>81</v>
      </c>
      <c r="I612" s="319" t="s">
        <v>78</v>
      </c>
      <c r="J612" s="319" t="s">
        <v>424</v>
      </c>
      <c r="K612" s="319" t="s">
        <v>506</v>
      </c>
      <c r="L612" s="319" t="s">
        <v>506</v>
      </c>
      <c r="M612" s="319" t="s">
        <v>507</v>
      </c>
      <c r="N612" s="319" t="s">
        <v>3033</v>
      </c>
      <c r="O612" s="319" t="s">
        <v>2057</v>
      </c>
      <c r="P612" s="319">
        <v>5</v>
      </c>
      <c r="Q612" s="319" t="s">
        <v>429</v>
      </c>
      <c r="R612" s="320">
        <v>10039189</v>
      </c>
      <c r="S612" s="321">
        <v>43284</v>
      </c>
      <c r="T612" s="321">
        <v>43286</v>
      </c>
      <c r="U612" s="321">
        <v>43348</v>
      </c>
      <c r="V612" s="319" t="s">
        <v>425</v>
      </c>
      <c r="W612" s="319" t="s">
        <v>2767</v>
      </c>
      <c r="X612" s="319">
        <v>2</v>
      </c>
      <c r="Y612" s="319" t="s">
        <v>173</v>
      </c>
      <c r="Z612" s="319" t="s">
        <v>173</v>
      </c>
      <c r="AA612" s="319" t="s">
        <v>173</v>
      </c>
      <c r="AB612" s="319">
        <v>2</v>
      </c>
      <c r="AC612" s="319" t="s">
        <v>169</v>
      </c>
      <c r="AD612" s="319" t="s">
        <v>173</v>
      </c>
      <c r="AE612" s="319" t="s">
        <v>173</v>
      </c>
      <c r="AF612" s="319" t="s">
        <v>427</v>
      </c>
      <c r="AG612" s="319" t="s">
        <v>171</v>
      </c>
      <c r="AH612" s="319" t="s">
        <v>190</v>
      </c>
      <c r="AI612" s="319" t="s">
        <v>190</v>
      </c>
      <c r="AJ612" s="319" t="s">
        <v>190</v>
      </c>
      <c r="AK612" s="319" t="s">
        <v>190</v>
      </c>
      <c r="AL612" s="319" t="s">
        <v>190</v>
      </c>
      <c r="AM612" s="319" t="s">
        <v>190</v>
      </c>
      <c r="AN612" s="319" t="s">
        <v>190</v>
      </c>
      <c r="AO612" s="319" t="s">
        <v>190</v>
      </c>
      <c r="AP612" s="319" t="s">
        <v>190</v>
      </c>
      <c r="AQ612" s="319" t="s">
        <v>190</v>
      </c>
      <c r="AR612" s="319" t="s">
        <v>190</v>
      </c>
      <c r="AS612" s="319" t="s">
        <v>190</v>
      </c>
      <c r="AT612" s="319" t="s">
        <v>190</v>
      </c>
      <c r="AU612" s="319" t="s">
        <v>190</v>
      </c>
      <c r="AV612" s="319" t="s">
        <v>190</v>
      </c>
      <c r="AW612" s="319" t="s">
        <v>190</v>
      </c>
      <c r="AX612" s="319" t="s">
        <v>428</v>
      </c>
      <c r="AY612" s="319" t="s">
        <v>190</v>
      </c>
      <c r="AZ612" s="319" t="s">
        <v>190</v>
      </c>
      <c r="BA612" s="319" t="s">
        <v>190</v>
      </c>
      <c r="BB612" s="319" t="s">
        <v>190</v>
      </c>
      <c r="BC612" s="319" t="s">
        <v>190</v>
      </c>
      <c r="BD612" s="319" t="s">
        <v>190</v>
      </c>
      <c r="BE612" s="319" t="s">
        <v>190</v>
      </c>
      <c r="BF612" s="319" t="s">
        <v>428</v>
      </c>
      <c r="BG612" s="319" t="s">
        <v>428</v>
      </c>
      <c r="BH612" s="319" t="s">
        <v>190</v>
      </c>
      <c r="BI612" s="319" t="s">
        <v>190</v>
      </c>
      <c r="BJ612" s="319" t="s">
        <v>190</v>
      </c>
      <c r="BK612" s="319" t="s">
        <v>190</v>
      </c>
      <c r="BL612" s="319" t="s">
        <v>190</v>
      </c>
      <c r="BM612" s="319" t="s">
        <v>190</v>
      </c>
      <c r="BN612" s="319" t="s">
        <v>190</v>
      </c>
      <c r="BO612" s="319" t="s">
        <v>190</v>
      </c>
      <c r="BP612" s="319" t="s">
        <v>190</v>
      </c>
      <c r="BQ612" s="319" t="s">
        <v>190</v>
      </c>
      <c r="BR612" s="319" t="s">
        <v>190</v>
      </c>
      <c r="BS612" s="319" t="s">
        <v>190</v>
      </c>
      <c r="BT612" s="319" t="s">
        <v>190</v>
      </c>
      <c r="BU612" s="319" t="s">
        <v>190</v>
      </c>
      <c r="BV612" s="319" t="s">
        <v>190</v>
      </c>
      <c r="BW612" s="319" t="s">
        <v>190</v>
      </c>
      <c r="BX612" s="319" t="s">
        <v>190</v>
      </c>
      <c r="BY612" s="319" t="s">
        <v>190</v>
      </c>
      <c r="BZ612" s="319" t="s">
        <v>190</v>
      </c>
      <c r="CA612" s="319" t="s">
        <v>190</v>
      </c>
      <c r="CB612" s="319" t="s">
        <v>190</v>
      </c>
      <c r="CC612" s="319" t="s">
        <v>190</v>
      </c>
      <c r="CD612" s="319" t="s">
        <v>190</v>
      </c>
      <c r="CE612" s="319" t="s">
        <v>190</v>
      </c>
      <c r="CF612" s="319" t="s">
        <v>190</v>
      </c>
      <c r="CG612" s="319" t="s">
        <v>190</v>
      </c>
      <c r="CH612" s="319" t="s">
        <v>190</v>
      </c>
      <c r="CI612" s="319" t="s">
        <v>190</v>
      </c>
      <c r="CJ612" s="319" t="s">
        <v>190</v>
      </c>
      <c r="CK612" s="319" t="s">
        <v>190</v>
      </c>
      <c r="CL612" s="319" t="s">
        <v>190</v>
      </c>
      <c r="CM612" s="319" t="s">
        <v>190</v>
      </c>
      <c r="CN612" s="319" t="s">
        <v>428</v>
      </c>
      <c r="CO612" s="319" t="s">
        <v>428</v>
      </c>
      <c r="CP612" s="319" t="s">
        <v>428</v>
      </c>
      <c r="CQ612" s="319" t="s">
        <v>190</v>
      </c>
      <c r="CR612" s="319" t="s">
        <v>190</v>
      </c>
      <c r="CS612" s="319" t="s">
        <v>190</v>
      </c>
      <c r="CT612" s="319" t="s">
        <v>190</v>
      </c>
      <c r="CU612" s="319" t="s">
        <v>190</v>
      </c>
      <c r="CV612" s="319" t="s">
        <v>190</v>
      </c>
      <c r="CW612" s="319" t="s">
        <v>190</v>
      </c>
      <c r="CX612" s="319" t="s">
        <v>190</v>
      </c>
      <c r="CY612" s="319" t="s">
        <v>190</v>
      </c>
      <c r="CZ612" s="319" t="s">
        <v>190</v>
      </c>
      <c r="DA612" s="319" t="s">
        <v>190</v>
      </c>
      <c r="DB612" s="319" t="s">
        <v>190</v>
      </c>
      <c r="DC612" s="319" t="s">
        <v>190</v>
      </c>
      <c r="DD612" s="319" t="s">
        <v>190</v>
      </c>
      <c r="DE612" s="319" t="s">
        <v>190</v>
      </c>
      <c r="DF612" s="319" t="s">
        <v>190</v>
      </c>
      <c r="DG612" s="319" t="s">
        <v>190</v>
      </c>
      <c r="DH612" s="319" t="s">
        <v>190</v>
      </c>
      <c r="DI612" s="319" t="s">
        <v>190</v>
      </c>
      <c r="DJ612" s="319" t="s">
        <v>190</v>
      </c>
      <c r="DK612" s="319" t="s">
        <v>190</v>
      </c>
      <c r="DL612" s="319" t="s">
        <v>190</v>
      </c>
      <c r="DM612" s="319" t="s">
        <v>190</v>
      </c>
      <c r="DN612" s="319" t="s">
        <v>428</v>
      </c>
      <c r="DO612" s="319" t="s">
        <v>190</v>
      </c>
      <c r="DP612" s="319" t="s">
        <v>428</v>
      </c>
      <c r="DQ612" s="319" t="s">
        <v>428</v>
      </c>
      <c r="DR612" s="319" t="s">
        <v>428</v>
      </c>
      <c r="DS612" s="319" t="s">
        <v>428</v>
      </c>
      <c r="DT612" s="319" t="s">
        <v>428</v>
      </c>
      <c r="DU612" s="319" t="s">
        <v>428</v>
      </c>
      <c r="DV612" s="319" t="s">
        <v>173</v>
      </c>
      <c r="DW612" s="319" t="s">
        <v>428</v>
      </c>
      <c r="DX612" s="319" t="s">
        <v>428</v>
      </c>
      <c r="DY612" s="319" t="s">
        <v>428</v>
      </c>
      <c r="DZ612" s="319" t="s">
        <v>428</v>
      </c>
      <c r="EA612" s="319" t="s">
        <v>428</v>
      </c>
      <c r="EB612" s="319" t="s">
        <v>428</v>
      </c>
      <c r="EC612" s="319" t="s">
        <v>428</v>
      </c>
      <c r="ED612" s="319" t="s">
        <v>190</v>
      </c>
      <c r="EE612" s="319" t="s">
        <v>190</v>
      </c>
      <c r="EF612" s="319" t="s">
        <v>190</v>
      </c>
      <c r="EG612" s="319" t="s">
        <v>190</v>
      </c>
      <c r="EH612" s="319" t="s">
        <v>190</v>
      </c>
      <c r="EI612" s="319" t="s">
        <v>190</v>
      </c>
      <c r="EJ612" s="319" t="s">
        <v>190</v>
      </c>
      <c r="EK612" s="319" t="s">
        <v>190</v>
      </c>
      <c r="EL612" s="319" t="s">
        <v>190</v>
      </c>
      <c r="EM612" s="319" t="s">
        <v>190</v>
      </c>
      <c r="EN612" s="319" t="s">
        <v>190</v>
      </c>
      <c r="EO612" s="319" t="s">
        <v>190</v>
      </c>
      <c r="EP612" s="319" t="s">
        <v>190</v>
      </c>
      <c r="EQ612" s="319" t="s">
        <v>190</v>
      </c>
      <c r="ER612" s="319" t="s">
        <v>190</v>
      </c>
      <c r="ES612" s="319" t="s">
        <v>190</v>
      </c>
      <c r="ET612" s="319" t="s">
        <v>190</v>
      </c>
      <c r="EU612" s="319" t="s">
        <v>190</v>
      </c>
      <c r="EV612" s="319" t="s">
        <v>190</v>
      </c>
      <c r="EW612" s="319" t="s">
        <v>190</v>
      </c>
      <c r="EX612" s="319" t="s">
        <v>190</v>
      </c>
      <c r="EY612" s="319" t="s">
        <v>190</v>
      </c>
      <c r="EZ612" s="319" t="s">
        <v>190</v>
      </c>
      <c r="FA612" s="319" t="s">
        <v>190</v>
      </c>
      <c r="FB612" s="319" t="s">
        <v>428</v>
      </c>
      <c r="FC612" s="319" t="s">
        <v>428</v>
      </c>
      <c r="FD612" s="319" t="s">
        <v>428</v>
      </c>
      <c r="FE612" s="319" t="s">
        <v>428</v>
      </c>
      <c r="FF612" s="319" t="s">
        <v>428</v>
      </c>
      <c r="FG612" s="319" t="s">
        <v>428</v>
      </c>
      <c r="FH612" s="319" t="s">
        <v>190</v>
      </c>
      <c r="FI612" s="319" t="s">
        <v>190</v>
      </c>
      <c r="FJ612" s="319" t="s">
        <v>190</v>
      </c>
      <c r="FK612" s="319" t="s">
        <v>190</v>
      </c>
      <c r="FL612" s="319" t="s">
        <v>190</v>
      </c>
      <c r="FM612" s="319" t="s">
        <v>190</v>
      </c>
      <c r="FN612" s="319" t="s">
        <v>190</v>
      </c>
      <c r="FO612" s="319" t="s">
        <v>190</v>
      </c>
      <c r="FP612" s="319" t="s">
        <v>190</v>
      </c>
      <c r="FQ612" s="319" t="s">
        <v>190</v>
      </c>
      <c r="FR612" s="319" t="s">
        <v>190</v>
      </c>
      <c r="FS612" s="319" t="s">
        <v>428</v>
      </c>
      <c r="FT612" s="319" t="s">
        <v>190</v>
      </c>
      <c r="FU612" s="319" t="s">
        <v>190</v>
      </c>
      <c r="FV612" s="319" t="s">
        <v>190</v>
      </c>
      <c r="FW612" s="319" t="s">
        <v>190</v>
      </c>
      <c r="FX612" s="319" t="s">
        <v>190</v>
      </c>
      <c r="FY612" s="319" t="s">
        <v>190</v>
      </c>
      <c r="FZ612" s="319" t="s">
        <v>190</v>
      </c>
      <c r="GA612" s="319" t="s">
        <v>190</v>
      </c>
      <c r="GB612" s="319" t="s">
        <v>190</v>
      </c>
      <c r="GC612" s="319" t="s">
        <v>190</v>
      </c>
      <c r="GD612" s="319" t="s">
        <v>190</v>
      </c>
      <c r="GE612" s="319" t="s">
        <v>190</v>
      </c>
      <c r="GF612" s="319" t="s">
        <v>190</v>
      </c>
      <c r="GG612" s="319" t="s">
        <v>190</v>
      </c>
      <c r="GH612" s="319" t="s">
        <v>190</v>
      </c>
      <c r="GI612" s="319" t="s">
        <v>190</v>
      </c>
      <c r="GJ612" s="319" t="s">
        <v>190</v>
      </c>
      <c r="GK612" s="319" t="s">
        <v>428</v>
      </c>
      <c r="GL612" s="319" t="s">
        <v>190</v>
      </c>
      <c r="GM612" s="319" t="s">
        <v>190</v>
      </c>
      <c r="GN612" s="319" t="s">
        <v>190</v>
      </c>
      <c r="GO612" s="319" t="s">
        <v>190</v>
      </c>
      <c r="GP612" s="319" t="s">
        <v>190</v>
      </c>
      <c r="GQ612" s="319" t="s">
        <v>428</v>
      </c>
      <c r="GR612" s="319" t="s">
        <v>190</v>
      </c>
      <c r="GS612" s="319" t="s">
        <v>190</v>
      </c>
      <c r="GT612" s="319" t="s">
        <v>190</v>
      </c>
      <c r="GU612" s="319" t="s">
        <v>190</v>
      </c>
      <c r="GV612" s="319" t="s">
        <v>190</v>
      </c>
      <c r="GW612" s="319" t="s">
        <v>190</v>
      </c>
      <c r="GX612" s="319" t="s">
        <v>190</v>
      </c>
      <c r="GY612" s="319" t="s">
        <v>190</v>
      </c>
      <c r="GZ612" s="319" t="s">
        <v>428</v>
      </c>
      <c r="HA612" s="319" t="s">
        <v>190</v>
      </c>
      <c r="HB612" s="319" t="s">
        <v>428</v>
      </c>
      <c r="HC612" s="319" t="s">
        <v>190</v>
      </c>
      <c r="HD612" s="319" t="s">
        <v>190</v>
      </c>
      <c r="HE612" s="319" t="s">
        <v>190</v>
      </c>
      <c r="HF612" s="319" t="s">
        <v>190</v>
      </c>
      <c r="HG612" s="319" t="s">
        <v>190</v>
      </c>
      <c r="HH612" s="319" t="s">
        <v>190</v>
      </c>
      <c r="HI612" s="319" t="s">
        <v>190</v>
      </c>
      <c r="HJ612" s="319" t="s">
        <v>190</v>
      </c>
      <c r="HK612" s="319" t="s">
        <v>190</v>
      </c>
      <c r="HL612" s="319" t="s">
        <v>428</v>
      </c>
      <c r="HM612" s="319" t="s">
        <v>428</v>
      </c>
      <c r="HN612" s="319" t="s">
        <v>428</v>
      </c>
      <c r="HO612" s="319" t="s">
        <v>428</v>
      </c>
      <c r="HP612" s="319" t="s">
        <v>190</v>
      </c>
      <c r="HQ612" s="319" t="s">
        <v>190</v>
      </c>
      <c r="HR612" s="319" t="s">
        <v>190</v>
      </c>
      <c r="HS612" s="319" t="s">
        <v>190</v>
      </c>
      <c r="HT612" s="319" t="s">
        <v>190</v>
      </c>
      <c r="HU612" s="319" t="s">
        <v>190</v>
      </c>
      <c r="HV612" s="319" t="s">
        <v>190</v>
      </c>
      <c r="HW612" s="319" t="s">
        <v>190</v>
      </c>
      <c r="HX612" s="319" t="s">
        <v>190</v>
      </c>
      <c r="HY612" s="319" t="s">
        <v>190</v>
      </c>
      <c r="HZ612" s="319" t="s">
        <v>190</v>
      </c>
      <c r="IA612" s="319" t="s">
        <v>190</v>
      </c>
      <c r="IB612" s="319" t="s">
        <v>190</v>
      </c>
      <c r="IC612" s="319" t="s">
        <v>190</v>
      </c>
      <c r="ID612" s="319" t="s">
        <v>190</v>
      </c>
      <c r="IE612" s="319" t="s">
        <v>190</v>
      </c>
      <c r="IF612" s="319" t="s">
        <v>190</v>
      </c>
      <c r="IG612" s="319" t="s">
        <v>190</v>
      </c>
      <c r="IH612" s="319" t="s">
        <v>190</v>
      </c>
      <c r="II612" s="319" t="s">
        <v>190</v>
      </c>
      <c r="IJ612" s="319" t="s">
        <v>3366</v>
      </c>
      <c r="IK612" s="321">
        <v>41954</v>
      </c>
      <c r="IL612" s="321">
        <v>41955</v>
      </c>
      <c r="IM612" s="321">
        <v>41985</v>
      </c>
      <c r="IN612" s="319">
        <v>2</v>
      </c>
      <c r="IO612" s="319" t="s">
        <v>173</v>
      </c>
      <c r="IP612" s="319" t="s">
        <v>173</v>
      </c>
      <c r="IQ612" s="321" t="s">
        <v>173</v>
      </c>
      <c r="IR612" s="320" t="s">
        <v>173</v>
      </c>
      <c r="IS612" s="322" t="s">
        <v>173</v>
      </c>
      <c r="IT612" s="319" t="s">
        <v>173</v>
      </c>
    </row>
    <row r="613" spans="1:254" s="271" customFormat="1" x14ac:dyDescent="0.25">
      <c r="A613" s="318" t="str">
        <f>HYPERLINK("http://www.ofsted.gov.uk/inspection-reports/find-inspection-report/provider/ELS/136189 ","Ofsted School Webpage")</f>
        <v>Ofsted School Webpage</v>
      </c>
      <c r="B613" s="319">
        <v>136189</v>
      </c>
      <c r="C613" s="319">
        <v>3806349</v>
      </c>
      <c r="D613" s="319" t="s">
        <v>2058</v>
      </c>
      <c r="E613" s="319" t="s">
        <v>167</v>
      </c>
      <c r="F613" s="319" t="s">
        <v>81</v>
      </c>
      <c r="G613" s="319" t="s">
        <v>71</v>
      </c>
      <c r="H613" s="319" t="s">
        <v>71</v>
      </c>
      <c r="I613" s="319" t="s">
        <v>72</v>
      </c>
      <c r="J613" s="319" t="s">
        <v>424</v>
      </c>
      <c r="K613" s="319" t="s">
        <v>458</v>
      </c>
      <c r="L613" s="319" t="s">
        <v>459</v>
      </c>
      <c r="M613" s="319" t="s">
        <v>595</v>
      </c>
      <c r="N613" s="319" t="s">
        <v>3064</v>
      </c>
      <c r="O613" s="319" t="s">
        <v>2059</v>
      </c>
      <c r="P613" s="319">
        <v>155</v>
      </c>
      <c r="Q613" s="319" t="s">
        <v>2776</v>
      </c>
      <c r="R613" s="320">
        <v>10093649</v>
      </c>
      <c r="S613" s="321">
        <v>43656</v>
      </c>
      <c r="T613" s="321">
        <v>43658</v>
      </c>
      <c r="U613" s="321">
        <v>43675</v>
      </c>
      <c r="V613" s="319" t="s">
        <v>425</v>
      </c>
      <c r="W613" s="319" t="s">
        <v>2767</v>
      </c>
      <c r="X613" s="319">
        <v>1</v>
      </c>
      <c r="Y613" s="319" t="s">
        <v>173</v>
      </c>
      <c r="Z613" s="319" t="s">
        <v>173</v>
      </c>
      <c r="AA613" s="319" t="s">
        <v>173</v>
      </c>
      <c r="AB613" s="319">
        <v>1</v>
      </c>
      <c r="AC613" s="319" t="s">
        <v>169</v>
      </c>
      <c r="AD613" s="319" t="s">
        <v>173</v>
      </c>
      <c r="AE613" s="319">
        <v>1</v>
      </c>
      <c r="AF613" s="319" t="s">
        <v>427</v>
      </c>
      <c r="AG613" s="319" t="s">
        <v>171</v>
      </c>
      <c r="AH613" s="319" t="s">
        <v>190</v>
      </c>
      <c r="AI613" s="319" t="s">
        <v>190</v>
      </c>
      <c r="AJ613" s="319" t="s">
        <v>190</v>
      </c>
      <c r="AK613" s="319" t="s">
        <v>190</v>
      </c>
      <c r="AL613" s="319" t="s">
        <v>190</v>
      </c>
      <c r="AM613" s="319" t="s">
        <v>190</v>
      </c>
      <c r="AN613" s="319" t="s">
        <v>190</v>
      </c>
      <c r="AO613" s="319" t="s">
        <v>190</v>
      </c>
      <c r="AP613" s="319" t="s">
        <v>190</v>
      </c>
      <c r="AQ613" s="319" t="s">
        <v>190</v>
      </c>
      <c r="AR613" s="319" t="s">
        <v>190</v>
      </c>
      <c r="AS613" s="319" t="s">
        <v>190</v>
      </c>
      <c r="AT613" s="319" t="s">
        <v>190</v>
      </c>
      <c r="AU613" s="319" t="s">
        <v>190</v>
      </c>
      <c r="AV613" s="319" t="s">
        <v>190</v>
      </c>
      <c r="AW613" s="319" t="s">
        <v>190</v>
      </c>
      <c r="AX613" s="319" t="s">
        <v>190</v>
      </c>
      <c r="AY613" s="319" t="s">
        <v>190</v>
      </c>
      <c r="AZ613" s="319" t="s">
        <v>190</v>
      </c>
      <c r="BA613" s="319" t="s">
        <v>190</v>
      </c>
      <c r="BB613" s="319" t="s">
        <v>190</v>
      </c>
      <c r="BC613" s="319" t="s">
        <v>190</v>
      </c>
      <c r="BD613" s="319" t="s">
        <v>190</v>
      </c>
      <c r="BE613" s="319" t="s">
        <v>190</v>
      </c>
      <c r="BF613" s="319" t="s">
        <v>428</v>
      </c>
      <c r="BG613" s="319" t="s">
        <v>190</v>
      </c>
      <c r="BH613" s="319" t="s">
        <v>190</v>
      </c>
      <c r="BI613" s="319" t="s">
        <v>190</v>
      </c>
      <c r="BJ613" s="319" t="s">
        <v>190</v>
      </c>
      <c r="BK613" s="319" t="s">
        <v>190</v>
      </c>
      <c r="BL613" s="319" t="s">
        <v>190</v>
      </c>
      <c r="BM613" s="319" t="s">
        <v>190</v>
      </c>
      <c r="BN613" s="319" t="s">
        <v>584</v>
      </c>
      <c r="BO613" s="319" t="s">
        <v>190</v>
      </c>
      <c r="BP613" s="319" t="s">
        <v>190</v>
      </c>
      <c r="BQ613" s="319" t="s">
        <v>190</v>
      </c>
      <c r="BR613" s="319" t="s">
        <v>190</v>
      </c>
      <c r="BS613" s="319" t="s">
        <v>190</v>
      </c>
      <c r="BT613" s="319" t="s">
        <v>190</v>
      </c>
      <c r="BU613" s="319" t="s">
        <v>190</v>
      </c>
      <c r="BV613" s="319" t="s">
        <v>190</v>
      </c>
      <c r="BW613" s="319" t="s">
        <v>190</v>
      </c>
      <c r="BX613" s="319" t="s">
        <v>190</v>
      </c>
      <c r="BY613" s="319" t="s">
        <v>190</v>
      </c>
      <c r="BZ613" s="319" t="s">
        <v>190</v>
      </c>
      <c r="CA613" s="319" t="s">
        <v>190</v>
      </c>
      <c r="CB613" s="319" t="s">
        <v>190</v>
      </c>
      <c r="CC613" s="319" t="s">
        <v>190</v>
      </c>
      <c r="CD613" s="319" t="s">
        <v>190</v>
      </c>
      <c r="CE613" s="319" t="s">
        <v>190</v>
      </c>
      <c r="CF613" s="319" t="s">
        <v>190</v>
      </c>
      <c r="CG613" s="319" t="s">
        <v>190</v>
      </c>
      <c r="CH613" s="319" t="s">
        <v>190</v>
      </c>
      <c r="CI613" s="319" t="s">
        <v>190</v>
      </c>
      <c r="CJ613" s="319" t="s">
        <v>190</v>
      </c>
      <c r="CK613" s="319" t="s">
        <v>190</v>
      </c>
      <c r="CL613" s="319" t="s">
        <v>190</v>
      </c>
      <c r="CM613" s="319" t="s">
        <v>190</v>
      </c>
      <c r="CN613" s="319" t="s">
        <v>428</v>
      </c>
      <c r="CO613" s="319" t="s">
        <v>428</v>
      </c>
      <c r="CP613" s="319" t="s">
        <v>428</v>
      </c>
      <c r="CQ613" s="319" t="s">
        <v>190</v>
      </c>
      <c r="CR613" s="319" t="s">
        <v>190</v>
      </c>
      <c r="CS613" s="319" t="s">
        <v>190</v>
      </c>
      <c r="CT613" s="319" t="s">
        <v>190</v>
      </c>
      <c r="CU613" s="319" t="s">
        <v>190</v>
      </c>
      <c r="CV613" s="319" t="s">
        <v>190</v>
      </c>
      <c r="CW613" s="319" t="s">
        <v>190</v>
      </c>
      <c r="CX613" s="319" t="s">
        <v>190</v>
      </c>
      <c r="CY613" s="319" t="s">
        <v>190</v>
      </c>
      <c r="CZ613" s="319" t="s">
        <v>190</v>
      </c>
      <c r="DA613" s="319" t="s">
        <v>190</v>
      </c>
      <c r="DB613" s="319" t="s">
        <v>190</v>
      </c>
      <c r="DC613" s="319" t="s">
        <v>190</v>
      </c>
      <c r="DD613" s="319" t="s">
        <v>190</v>
      </c>
      <c r="DE613" s="319" t="s">
        <v>190</v>
      </c>
      <c r="DF613" s="319" t="s">
        <v>190</v>
      </c>
      <c r="DG613" s="319" t="s">
        <v>190</v>
      </c>
      <c r="DH613" s="319" t="s">
        <v>190</v>
      </c>
      <c r="DI613" s="319" t="s">
        <v>190</v>
      </c>
      <c r="DJ613" s="319" t="s">
        <v>190</v>
      </c>
      <c r="DK613" s="319" t="s">
        <v>190</v>
      </c>
      <c r="DL613" s="319" t="s">
        <v>190</v>
      </c>
      <c r="DM613" s="319" t="s">
        <v>190</v>
      </c>
      <c r="DN613" s="319" t="s">
        <v>428</v>
      </c>
      <c r="DO613" s="319" t="s">
        <v>190</v>
      </c>
      <c r="DP613" s="319" t="s">
        <v>428</v>
      </c>
      <c r="DQ613" s="319" t="s">
        <v>428</v>
      </c>
      <c r="DR613" s="319" t="s">
        <v>428</v>
      </c>
      <c r="DS613" s="319" t="s">
        <v>428</v>
      </c>
      <c r="DT613" s="319" t="s">
        <v>428</v>
      </c>
      <c r="DU613" s="319" t="s">
        <v>428</v>
      </c>
      <c r="DV613" s="319" t="s">
        <v>173</v>
      </c>
      <c r="DW613" s="319" t="s">
        <v>428</v>
      </c>
      <c r="DX613" s="319" t="s">
        <v>428</v>
      </c>
      <c r="DY613" s="319" t="s">
        <v>428</v>
      </c>
      <c r="DZ613" s="319" t="s">
        <v>428</v>
      </c>
      <c r="EA613" s="319" t="s">
        <v>428</v>
      </c>
      <c r="EB613" s="319" t="s">
        <v>428</v>
      </c>
      <c r="EC613" s="319" t="s">
        <v>428</v>
      </c>
      <c r="ED613" s="319" t="s">
        <v>428</v>
      </c>
      <c r="EE613" s="319" t="s">
        <v>190</v>
      </c>
      <c r="EF613" s="319" t="s">
        <v>190</v>
      </c>
      <c r="EG613" s="319" t="s">
        <v>190</v>
      </c>
      <c r="EH613" s="319" t="s">
        <v>190</v>
      </c>
      <c r="EI613" s="319" t="s">
        <v>190</v>
      </c>
      <c r="EJ613" s="319" t="s">
        <v>190</v>
      </c>
      <c r="EK613" s="319" t="s">
        <v>190</v>
      </c>
      <c r="EL613" s="319" t="s">
        <v>190</v>
      </c>
      <c r="EM613" s="319" t="s">
        <v>190</v>
      </c>
      <c r="EN613" s="319" t="s">
        <v>190</v>
      </c>
      <c r="EO613" s="319" t="s">
        <v>190</v>
      </c>
      <c r="EP613" s="319" t="s">
        <v>190</v>
      </c>
      <c r="EQ613" s="319" t="s">
        <v>190</v>
      </c>
      <c r="ER613" s="319" t="s">
        <v>190</v>
      </c>
      <c r="ES613" s="319" t="s">
        <v>190</v>
      </c>
      <c r="ET613" s="319" t="s">
        <v>190</v>
      </c>
      <c r="EU613" s="319" t="s">
        <v>190</v>
      </c>
      <c r="EV613" s="319" t="s">
        <v>190</v>
      </c>
      <c r="EW613" s="319" t="s">
        <v>190</v>
      </c>
      <c r="EX613" s="319" t="s">
        <v>190</v>
      </c>
      <c r="EY613" s="319" t="s">
        <v>190</v>
      </c>
      <c r="EZ613" s="319" t="s">
        <v>190</v>
      </c>
      <c r="FA613" s="319" t="s">
        <v>428</v>
      </c>
      <c r="FB613" s="319" t="s">
        <v>428</v>
      </c>
      <c r="FC613" s="319" t="s">
        <v>428</v>
      </c>
      <c r="FD613" s="319" t="s">
        <v>428</v>
      </c>
      <c r="FE613" s="319" t="s">
        <v>428</v>
      </c>
      <c r="FF613" s="319" t="s">
        <v>428</v>
      </c>
      <c r="FG613" s="319" t="s">
        <v>428</v>
      </c>
      <c r="FH613" s="319" t="s">
        <v>190</v>
      </c>
      <c r="FI613" s="319" t="s">
        <v>428</v>
      </c>
      <c r="FJ613" s="319" t="s">
        <v>429</v>
      </c>
      <c r="FK613" s="319" t="s">
        <v>428</v>
      </c>
      <c r="FL613" s="319" t="s">
        <v>190</v>
      </c>
      <c r="FM613" s="319" t="s">
        <v>190</v>
      </c>
      <c r="FN613" s="319" t="s">
        <v>190</v>
      </c>
      <c r="FO613" s="319" t="s">
        <v>190</v>
      </c>
      <c r="FP613" s="319" t="s">
        <v>190</v>
      </c>
      <c r="FQ613" s="319" t="s">
        <v>190</v>
      </c>
      <c r="FR613" s="319" t="s">
        <v>190</v>
      </c>
      <c r="FS613" s="319" t="s">
        <v>428</v>
      </c>
      <c r="FT613" s="319" t="s">
        <v>190</v>
      </c>
      <c r="FU613" s="319" t="s">
        <v>190</v>
      </c>
      <c r="FV613" s="319" t="s">
        <v>190</v>
      </c>
      <c r="FW613" s="319" t="s">
        <v>190</v>
      </c>
      <c r="FX613" s="319" t="s">
        <v>190</v>
      </c>
      <c r="FY613" s="319" t="s">
        <v>190</v>
      </c>
      <c r="FZ613" s="319" t="s">
        <v>190</v>
      </c>
      <c r="GA613" s="319" t="s">
        <v>190</v>
      </c>
      <c r="GB613" s="319" t="s">
        <v>190</v>
      </c>
      <c r="GC613" s="319" t="s">
        <v>190</v>
      </c>
      <c r="GD613" s="319" t="s">
        <v>190</v>
      </c>
      <c r="GE613" s="319" t="s">
        <v>190</v>
      </c>
      <c r="GF613" s="319" t="s">
        <v>190</v>
      </c>
      <c r="GG613" s="319" t="s">
        <v>190</v>
      </c>
      <c r="GH613" s="319" t="s">
        <v>190</v>
      </c>
      <c r="GI613" s="319" t="s">
        <v>190</v>
      </c>
      <c r="GJ613" s="319" t="s">
        <v>190</v>
      </c>
      <c r="GK613" s="319" t="s">
        <v>428</v>
      </c>
      <c r="GL613" s="319" t="s">
        <v>190</v>
      </c>
      <c r="GM613" s="319" t="s">
        <v>190</v>
      </c>
      <c r="GN613" s="319" t="s">
        <v>190</v>
      </c>
      <c r="GO613" s="319" t="s">
        <v>190</v>
      </c>
      <c r="GP613" s="319" t="s">
        <v>190</v>
      </c>
      <c r="GQ613" s="319" t="s">
        <v>428</v>
      </c>
      <c r="GR613" s="319" t="s">
        <v>190</v>
      </c>
      <c r="GS613" s="319" t="s">
        <v>190</v>
      </c>
      <c r="GT613" s="319" t="s">
        <v>428</v>
      </c>
      <c r="GU613" s="319" t="s">
        <v>428</v>
      </c>
      <c r="GV613" s="319" t="s">
        <v>428</v>
      </c>
      <c r="GW613" s="319" t="s">
        <v>190</v>
      </c>
      <c r="GX613" s="319" t="s">
        <v>190</v>
      </c>
      <c r="GY613" s="319" t="s">
        <v>190</v>
      </c>
      <c r="GZ613" s="319" t="s">
        <v>428</v>
      </c>
      <c r="HA613" s="319" t="s">
        <v>190</v>
      </c>
      <c r="HB613" s="319" t="s">
        <v>428</v>
      </c>
      <c r="HC613" s="319" t="s">
        <v>190</v>
      </c>
      <c r="HD613" s="319" t="s">
        <v>190</v>
      </c>
      <c r="HE613" s="319" t="s">
        <v>190</v>
      </c>
      <c r="HF613" s="319" t="s">
        <v>190</v>
      </c>
      <c r="HG613" s="319" t="s">
        <v>190</v>
      </c>
      <c r="HH613" s="319" t="s">
        <v>190</v>
      </c>
      <c r="HI613" s="319" t="s">
        <v>190</v>
      </c>
      <c r="HJ613" s="319" t="s">
        <v>190</v>
      </c>
      <c r="HK613" s="319" t="s">
        <v>190</v>
      </c>
      <c r="HL613" s="319" t="s">
        <v>428</v>
      </c>
      <c r="HM613" s="319" t="s">
        <v>428</v>
      </c>
      <c r="HN613" s="319" t="s">
        <v>428</v>
      </c>
      <c r="HO613" s="319" t="s">
        <v>428</v>
      </c>
      <c r="HP613" s="319" t="s">
        <v>190</v>
      </c>
      <c r="HQ613" s="319" t="s">
        <v>190</v>
      </c>
      <c r="HR613" s="319" t="s">
        <v>190</v>
      </c>
      <c r="HS613" s="319" t="s">
        <v>190</v>
      </c>
      <c r="HT613" s="319" t="s">
        <v>190</v>
      </c>
      <c r="HU613" s="319" t="s">
        <v>190</v>
      </c>
      <c r="HV613" s="319" t="s">
        <v>190</v>
      </c>
      <c r="HW613" s="319" t="s">
        <v>190</v>
      </c>
      <c r="HX613" s="319" t="s">
        <v>190</v>
      </c>
      <c r="HY613" s="319" t="s">
        <v>190</v>
      </c>
      <c r="HZ613" s="319" t="s">
        <v>190</v>
      </c>
      <c r="IA613" s="319" t="s">
        <v>190</v>
      </c>
      <c r="IB613" s="319" t="s">
        <v>190</v>
      </c>
      <c r="IC613" s="319" t="s">
        <v>190</v>
      </c>
      <c r="ID613" s="319" t="s">
        <v>190</v>
      </c>
      <c r="IE613" s="319" t="s">
        <v>190</v>
      </c>
      <c r="IF613" s="319" t="s">
        <v>190</v>
      </c>
      <c r="IG613" s="319" t="s">
        <v>190</v>
      </c>
      <c r="IH613" s="319" t="s">
        <v>190</v>
      </c>
      <c r="II613" s="319" t="s">
        <v>190</v>
      </c>
      <c r="IJ613" s="319">
        <v>10025961</v>
      </c>
      <c r="IK613" s="321">
        <v>42808</v>
      </c>
      <c r="IL613" s="321">
        <v>42810</v>
      </c>
      <c r="IM613" s="321">
        <v>42837</v>
      </c>
      <c r="IN613" s="319">
        <v>2</v>
      </c>
      <c r="IO613" s="319" t="s">
        <v>173</v>
      </c>
      <c r="IP613" s="319" t="s">
        <v>173</v>
      </c>
      <c r="IQ613" s="321" t="s">
        <v>173</v>
      </c>
      <c r="IR613" s="320" t="s">
        <v>173</v>
      </c>
      <c r="IS613" s="322" t="s">
        <v>173</v>
      </c>
      <c r="IT613" s="319" t="s">
        <v>173</v>
      </c>
    </row>
    <row r="614" spans="1:254" s="271" customFormat="1" x14ac:dyDescent="0.25">
      <c r="A614" s="318" t="str">
        <f>HYPERLINK("http://www.ofsted.gov.uk/inspection-reports/find-inspection-report/provider/ELS/136210 ","Ofsted School Webpage")</f>
        <v>Ofsted School Webpage</v>
      </c>
      <c r="B614" s="319">
        <v>136210</v>
      </c>
      <c r="C614" s="319">
        <v>8526011</v>
      </c>
      <c r="D614" s="319" t="s">
        <v>2060</v>
      </c>
      <c r="E614" s="319" t="s">
        <v>167</v>
      </c>
      <c r="F614" s="319" t="s">
        <v>71</v>
      </c>
      <c r="G614" s="319" t="s">
        <v>72</v>
      </c>
      <c r="H614" s="319" t="s">
        <v>71</v>
      </c>
      <c r="I614" s="319" t="s">
        <v>72</v>
      </c>
      <c r="J614" s="319" t="s">
        <v>424</v>
      </c>
      <c r="K614" s="319" t="s">
        <v>514</v>
      </c>
      <c r="L614" s="319" t="s">
        <v>514</v>
      </c>
      <c r="M614" s="319" t="s">
        <v>1004</v>
      </c>
      <c r="N614" s="319" t="s">
        <v>3367</v>
      </c>
      <c r="O614" s="319" t="s">
        <v>2061</v>
      </c>
      <c r="P614" s="319">
        <v>26</v>
      </c>
      <c r="Q614" s="319" t="s">
        <v>2766</v>
      </c>
      <c r="R614" s="320">
        <v>10091649</v>
      </c>
      <c r="S614" s="321">
        <v>43606</v>
      </c>
      <c r="T614" s="321">
        <v>43608</v>
      </c>
      <c r="U614" s="321">
        <v>43629</v>
      </c>
      <c r="V614" s="319" t="s">
        <v>425</v>
      </c>
      <c r="W614" s="319" t="s">
        <v>2767</v>
      </c>
      <c r="X614" s="319">
        <v>2</v>
      </c>
      <c r="Y614" s="319" t="s">
        <v>173</v>
      </c>
      <c r="Z614" s="319" t="s">
        <v>173</v>
      </c>
      <c r="AA614" s="319" t="s">
        <v>173</v>
      </c>
      <c r="AB614" s="319">
        <v>2</v>
      </c>
      <c r="AC614" s="319" t="s">
        <v>169</v>
      </c>
      <c r="AD614" s="319" t="s">
        <v>173</v>
      </c>
      <c r="AE614" s="319" t="s">
        <v>173</v>
      </c>
      <c r="AF614" s="319" t="s">
        <v>427</v>
      </c>
      <c r="AG614" s="319" t="s">
        <v>171</v>
      </c>
      <c r="AH614" s="319" t="s">
        <v>190</v>
      </c>
      <c r="AI614" s="319" t="s">
        <v>190</v>
      </c>
      <c r="AJ614" s="319" t="s">
        <v>190</v>
      </c>
      <c r="AK614" s="319" t="s">
        <v>190</v>
      </c>
      <c r="AL614" s="319" t="s">
        <v>190</v>
      </c>
      <c r="AM614" s="319" t="s">
        <v>190</v>
      </c>
      <c r="AN614" s="319" t="s">
        <v>190</v>
      </c>
      <c r="AO614" s="319" t="s">
        <v>190</v>
      </c>
      <c r="AP614" s="319" t="s">
        <v>190</v>
      </c>
      <c r="AQ614" s="319" t="s">
        <v>190</v>
      </c>
      <c r="AR614" s="319" t="s">
        <v>190</v>
      </c>
      <c r="AS614" s="319" t="s">
        <v>190</v>
      </c>
      <c r="AT614" s="319" t="s">
        <v>190</v>
      </c>
      <c r="AU614" s="319" t="s">
        <v>190</v>
      </c>
      <c r="AV614" s="319" t="s">
        <v>190</v>
      </c>
      <c r="AW614" s="319" t="s">
        <v>190</v>
      </c>
      <c r="AX614" s="319" t="s">
        <v>428</v>
      </c>
      <c r="AY614" s="319" t="s">
        <v>190</v>
      </c>
      <c r="AZ614" s="319" t="s">
        <v>190</v>
      </c>
      <c r="BA614" s="319" t="s">
        <v>190</v>
      </c>
      <c r="BB614" s="319" t="s">
        <v>428</v>
      </c>
      <c r="BC614" s="319" t="s">
        <v>428</v>
      </c>
      <c r="BD614" s="319" t="s">
        <v>428</v>
      </c>
      <c r="BE614" s="319" t="s">
        <v>428</v>
      </c>
      <c r="BF614" s="319" t="s">
        <v>428</v>
      </c>
      <c r="BG614" s="319" t="s">
        <v>428</v>
      </c>
      <c r="BH614" s="319" t="s">
        <v>190</v>
      </c>
      <c r="BI614" s="319" t="s">
        <v>190</v>
      </c>
      <c r="BJ614" s="319" t="s">
        <v>190</v>
      </c>
      <c r="BK614" s="319" t="s">
        <v>190</v>
      </c>
      <c r="BL614" s="319" t="s">
        <v>190</v>
      </c>
      <c r="BM614" s="319" t="s">
        <v>190</v>
      </c>
      <c r="BN614" s="319" t="s">
        <v>190</v>
      </c>
      <c r="BO614" s="319" t="s">
        <v>190</v>
      </c>
      <c r="BP614" s="319" t="s">
        <v>190</v>
      </c>
      <c r="BQ614" s="319" t="s">
        <v>190</v>
      </c>
      <c r="BR614" s="319" t="s">
        <v>190</v>
      </c>
      <c r="BS614" s="319" t="s">
        <v>190</v>
      </c>
      <c r="BT614" s="319" t="s">
        <v>190</v>
      </c>
      <c r="BU614" s="319" t="s">
        <v>190</v>
      </c>
      <c r="BV614" s="319" t="s">
        <v>190</v>
      </c>
      <c r="BW614" s="319" t="s">
        <v>190</v>
      </c>
      <c r="BX614" s="319" t="s">
        <v>190</v>
      </c>
      <c r="BY614" s="319" t="s">
        <v>190</v>
      </c>
      <c r="BZ614" s="319" t="s">
        <v>190</v>
      </c>
      <c r="CA614" s="319" t="s">
        <v>190</v>
      </c>
      <c r="CB614" s="319" t="s">
        <v>190</v>
      </c>
      <c r="CC614" s="319" t="s">
        <v>190</v>
      </c>
      <c r="CD614" s="319" t="s">
        <v>190</v>
      </c>
      <c r="CE614" s="319" t="s">
        <v>190</v>
      </c>
      <c r="CF614" s="319" t="s">
        <v>190</v>
      </c>
      <c r="CG614" s="319" t="s">
        <v>190</v>
      </c>
      <c r="CH614" s="319" t="s">
        <v>190</v>
      </c>
      <c r="CI614" s="319" t="s">
        <v>190</v>
      </c>
      <c r="CJ614" s="319" t="s">
        <v>190</v>
      </c>
      <c r="CK614" s="319" t="s">
        <v>190</v>
      </c>
      <c r="CL614" s="319" t="s">
        <v>190</v>
      </c>
      <c r="CM614" s="319" t="s">
        <v>190</v>
      </c>
      <c r="CN614" s="319" t="s">
        <v>428</v>
      </c>
      <c r="CO614" s="319" t="s">
        <v>428</v>
      </c>
      <c r="CP614" s="319" t="s">
        <v>428</v>
      </c>
      <c r="CQ614" s="319" t="s">
        <v>190</v>
      </c>
      <c r="CR614" s="319" t="s">
        <v>190</v>
      </c>
      <c r="CS614" s="319" t="s">
        <v>190</v>
      </c>
      <c r="CT614" s="319" t="s">
        <v>190</v>
      </c>
      <c r="CU614" s="319" t="s">
        <v>190</v>
      </c>
      <c r="CV614" s="319" t="s">
        <v>190</v>
      </c>
      <c r="CW614" s="319" t="s">
        <v>190</v>
      </c>
      <c r="CX614" s="319" t="s">
        <v>190</v>
      </c>
      <c r="CY614" s="319" t="s">
        <v>190</v>
      </c>
      <c r="CZ614" s="319" t="s">
        <v>190</v>
      </c>
      <c r="DA614" s="319" t="s">
        <v>190</v>
      </c>
      <c r="DB614" s="319" t="s">
        <v>190</v>
      </c>
      <c r="DC614" s="319" t="s">
        <v>190</v>
      </c>
      <c r="DD614" s="319" t="s">
        <v>190</v>
      </c>
      <c r="DE614" s="319" t="s">
        <v>190</v>
      </c>
      <c r="DF614" s="319" t="s">
        <v>190</v>
      </c>
      <c r="DG614" s="319" t="s">
        <v>190</v>
      </c>
      <c r="DH614" s="319" t="s">
        <v>190</v>
      </c>
      <c r="DI614" s="319" t="s">
        <v>190</v>
      </c>
      <c r="DJ614" s="319" t="s">
        <v>190</v>
      </c>
      <c r="DK614" s="319" t="s">
        <v>190</v>
      </c>
      <c r="DL614" s="319" t="s">
        <v>190</v>
      </c>
      <c r="DM614" s="319" t="s">
        <v>190</v>
      </c>
      <c r="DN614" s="319" t="s">
        <v>428</v>
      </c>
      <c r="DO614" s="319" t="s">
        <v>190</v>
      </c>
      <c r="DP614" s="319" t="s">
        <v>190</v>
      </c>
      <c r="DQ614" s="319" t="s">
        <v>190</v>
      </c>
      <c r="DR614" s="319" t="s">
        <v>190</v>
      </c>
      <c r="DS614" s="319" t="s">
        <v>190</v>
      </c>
      <c r="DT614" s="319" t="s">
        <v>190</v>
      </c>
      <c r="DU614" s="319" t="s">
        <v>190</v>
      </c>
      <c r="DV614" s="319" t="s">
        <v>173</v>
      </c>
      <c r="DW614" s="319" t="s">
        <v>190</v>
      </c>
      <c r="DX614" s="319" t="s">
        <v>190</v>
      </c>
      <c r="DY614" s="319" t="s">
        <v>190</v>
      </c>
      <c r="DZ614" s="319" t="s">
        <v>190</v>
      </c>
      <c r="EA614" s="319" t="s">
        <v>190</v>
      </c>
      <c r="EB614" s="319" t="s">
        <v>190</v>
      </c>
      <c r="EC614" s="319" t="s">
        <v>428</v>
      </c>
      <c r="ED614" s="319" t="s">
        <v>190</v>
      </c>
      <c r="EE614" s="319" t="s">
        <v>190</v>
      </c>
      <c r="EF614" s="319" t="s">
        <v>190</v>
      </c>
      <c r="EG614" s="319" t="s">
        <v>190</v>
      </c>
      <c r="EH614" s="319" t="s">
        <v>190</v>
      </c>
      <c r="EI614" s="319" t="s">
        <v>190</v>
      </c>
      <c r="EJ614" s="319" t="s">
        <v>190</v>
      </c>
      <c r="EK614" s="319" t="s">
        <v>190</v>
      </c>
      <c r="EL614" s="319" t="s">
        <v>190</v>
      </c>
      <c r="EM614" s="319" t="s">
        <v>190</v>
      </c>
      <c r="EN614" s="319" t="s">
        <v>190</v>
      </c>
      <c r="EO614" s="319" t="s">
        <v>190</v>
      </c>
      <c r="EP614" s="319" t="s">
        <v>190</v>
      </c>
      <c r="EQ614" s="319" t="s">
        <v>190</v>
      </c>
      <c r="ER614" s="319" t="s">
        <v>190</v>
      </c>
      <c r="ES614" s="319" t="s">
        <v>190</v>
      </c>
      <c r="ET614" s="319" t="s">
        <v>190</v>
      </c>
      <c r="EU614" s="319" t="s">
        <v>190</v>
      </c>
      <c r="EV614" s="319" t="s">
        <v>190</v>
      </c>
      <c r="EW614" s="319" t="s">
        <v>190</v>
      </c>
      <c r="EX614" s="319" t="s">
        <v>190</v>
      </c>
      <c r="EY614" s="319" t="s">
        <v>190</v>
      </c>
      <c r="EZ614" s="319" t="s">
        <v>190</v>
      </c>
      <c r="FA614" s="319" t="s">
        <v>190</v>
      </c>
      <c r="FB614" s="319" t="s">
        <v>190</v>
      </c>
      <c r="FC614" s="319" t="s">
        <v>190</v>
      </c>
      <c r="FD614" s="319" t="s">
        <v>190</v>
      </c>
      <c r="FE614" s="319" t="s">
        <v>190</v>
      </c>
      <c r="FF614" s="319" t="s">
        <v>190</v>
      </c>
      <c r="FG614" s="319" t="s">
        <v>190</v>
      </c>
      <c r="FH614" s="319" t="s">
        <v>190</v>
      </c>
      <c r="FI614" s="319" t="s">
        <v>190</v>
      </c>
      <c r="FJ614" s="319" t="s">
        <v>190</v>
      </c>
      <c r="FK614" s="319" t="s">
        <v>190</v>
      </c>
      <c r="FL614" s="319" t="s">
        <v>190</v>
      </c>
      <c r="FM614" s="319" t="s">
        <v>190</v>
      </c>
      <c r="FN614" s="319" t="s">
        <v>190</v>
      </c>
      <c r="FO614" s="319" t="s">
        <v>428</v>
      </c>
      <c r="FP614" s="319" t="s">
        <v>190</v>
      </c>
      <c r="FQ614" s="319" t="s">
        <v>190</v>
      </c>
      <c r="FR614" s="319" t="s">
        <v>190</v>
      </c>
      <c r="FS614" s="319" t="s">
        <v>428</v>
      </c>
      <c r="FT614" s="319" t="s">
        <v>190</v>
      </c>
      <c r="FU614" s="319" t="s">
        <v>190</v>
      </c>
      <c r="FV614" s="319" t="s">
        <v>190</v>
      </c>
      <c r="FW614" s="319" t="s">
        <v>190</v>
      </c>
      <c r="FX614" s="319" t="s">
        <v>190</v>
      </c>
      <c r="FY614" s="319" t="s">
        <v>190</v>
      </c>
      <c r="FZ614" s="319" t="s">
        <v>190</v>
      </c>
      <c r="GA614" s="319" t="s">
        <v>190</v>
      </c>
      <c r="GB614" s="319" t="s">
        <v>190</v>
      </c>
      <c r="GC614" s="319" t="s">
        <v>190</v>
      </c>
      <c r="GD614" s="319" t="s">
        <v>190</v>
      </c>
      <c r="GE614" s="319" t="s">
        <v>190</v>
      </c>
      <c r="GF614" s="319" t="s">
        <v>190</v>
      </c>
      <c r="GG614" s="319" t="s">
        <v>190</v>
      </c>
      <c r="GH614" s="319" t="s">
        <v>190</v>
      </c>
      <c r="GI614" s="319" t="s">
        <v>190</v>
      </c>
      <c r="GJ614" s="319" t="s">
        <v>190</v>
      </c>
      <c r="GK614" s="319" t="s">
        <v>428</v>
      </c>
      <c r="GL614" s="319" t="s">
        <v>190</v>
      </c>
      <c r="GM614" s="319" t="s">
        <v>190</v>
      </c>
      <c r="GN614" s="319" t="s">
        <v>190</v>
      </c>
      <c r="GO614" s="319" t="s">
        <v>190</v>
      </c>
      <c r="GP614" s="319" t="s">
        <v>190</v>
      </c>
      <c r="GQ614" s="319" t="s">
        <v>190</v>
      </c>
      <c r="GR614" s="319" t="s">
        <v>190</v>
      </c>
      <c r="GS614" s="319" t="s">
        <v>190</v>
      </c>
      <c r="GT614" s="319" t="s">
        <v>428</v>
      </c>
      <c r="GU614" s="319" t="s">
        <v>428</v>
      </c>
      <c r="GV614" s="319" t="s">
        <v>190</v>
      </c>
      <c r="GW614" s="319" t="s">
        <v>190</v>
      </c>
      <c r="GX614" s="319" t="s">
        <v>190</v>
      </c>
      <c r="GY614" s="319" t="s">
        <v>190</v>
      </c>
      <c r="GZ614" s="319" t="s">
        <v>190</v>
      </c>
      <c r="HA614" s="319" t="s">
        <v>428</v>
      </c>
      <c r="HB614" s="319" t="s">
        <v>190</v>
      </c>
      <c r="HC614" s="319" t="s">
        <v>190</v>
      </c>
      <c r="HD614" s="319" t="s">
        <v>190</v>
      </c>
      <c r="HE614" s="319" t="s">
        <v>190</v>
      </c>
      <c r="HF614" s="319" t="s">
        <v>190</v>
      </c>
      <c r="HG614" s="319" t="s">
        <v>190</v>
      </c>
      <c r="HH614" s="319" t="s">
        <v>190</v>
      </c>
      <c r="HI614" s="319" t="s">
        <v>428</v>
      </c>
      <c r="HJ614" s="319" t="s">
        <v>190</v>
      </c>
      <c r="HK614" s="319" t="s">
        <v>190</v>
      </c>
      <c r="HL614" s="319" t="s">
        <v>190</v>
      </c>
      <c r="HM614" s="319" t="s">
        <v>190</v>
      </c>
      <c r="HN614" s="319" t="s">
        <v>190</v>
      </c>
      <c r="HO614" s="319" t="s">
        <v>190</v>
      </c>
      <c r="HP614" s="319" t="s">
        <v>190</v>
      </c>
      <c r="HQ614" s="319" t="s">
        <v>190</v>
      </c>
      <c r="HR614" s="319" t="s">
        <v>190</v>
      </c>
      <c r="HS614" s="319" t="s">
        <v>190</v>
      </c>
      <c r="HT614" s="319" t="s">
        <v>190</v>
      </c>
      <c r="HU614" s="319" t="s">
        <v>190</v>
      </c>
      <c r="HV614" s="319" t="s">
        <v>190</v>
      </c>
      <c r="HW614" s="319" t="s">
        <v>190</v>
      </c>
      <c r="HX614" s="319" t="s">
        <v>190</v>
      </c>
      <c r="HY614" s="319" t="s">
        <v>190</v>
      </c>
      <c r="HZ614" s="319" t="s">
        <v>190</v>
      </c>
      <c r="IA614" s="319" t="s">
        <v>190</v>
      </c>
      <c r="IB614" s="319" t="s">
        <v>190</v>
      </c>
      <c r="IC614" s="319" t="s">
        <v>190</v>
      </c>
      <c r="ID614" s="319" t="s">
        <v>190</v>
      </c>
      <c r="IE614" s="319" t="s">
        <v>190</v>
      </c>
      <c r="IF614" s="319" t="s">
        <v>190</v>
      </c>
      <c r="IG614" s="319" t="s">
        <v>190</v>
      </c>
      <c r="IH614" s="319" t="s">
        <v>190</v>
      </c>
      <c r="II614" s="319" t="s">
        <v>190</v>
      </c>
      <c r="IJ614" s="319">
        <v>10033954</v>
      </c>
      <c r="IK614" s="321">
        <v>43046</v>
      </c>
      <c r="IL614" s="321">
        <v>43048</v>
      </c>
      <c r="IM614" s="321">
        <v>43069</v>
      </c>
      <c r="IN614" s="319">
        <v>3</v>
      </c>
      <c r="IO614" s="319" t="s">
        <v>173</v>
      </c>
      <c r="IP614" s="319" t="s">
        <v>173</v>
      </c>
      <c r="IQ614" s="321" t="s">
        <v>173</v>
      </c>
      <c r="IR614" s="320" t="s">
        <v>173</v>
      </c>
      <c r="IS614" s="322" t="s">
        <v>173</v>
      </c>
      <c r="IT614" s="319" t="s">
        <v>173</v>
      </c>
    </row>
    <row r="615" spans="1:254" s="271" customFormat="1" x14ac:dyDescent="0.25">
      <c r="A615" s="318" t="str">
        <f>HYPERLINK("http://www.ofsted.gov.uk/inspection-reports/find-inspection-report/provider/ELS/136211 ","Ofsted School Webpage")</f>
        <v>Ofsted School Webpage</v>
      </c>
      <c r="B615" s="319">
        <v>136211</v>
      </c>
      <c r="C615" s="319">
        <v>8866136</v>
      </c>
      <c r="D615" s="319" t="s">
        <v>2062</v>
      </c>
      <c r="E615" s="319" t="s">
        <v>167</v>
      </c>
      <c r="F615" s="319" t="s">
        <v>81</v>
      </c>
      <c r="G615" s="319" t="s">
        <v>81</v>
      </c>
      <c r="H615" s="319" t="s">
        <v>81</v>
      </c>
      <c r="I615" s="319" t="s">
        <v>78</v>
      </c>
      <c r="J615" s="319" t="s">
        <v>424</v>
      </c>
      <c r="K615" s="319" t="s">
        <v>514</v>
      </c>
      <c r="L615" s="319" t="s">
        <v>514</v>
      </c>
      <c r="M615" s="319" t="s">
        <v>614</v>
      </c>
      <c r="N615" s="319" t="s">
        <v>3127</v>
      </c>
      <c r="O615" s="319" t="s">
        <v>2063</v>
      </c>
      <c r="P615" s="319">
        <v>37</v>
      </c>
      <c r="Q615" s="319" t="s">
        <v>2766</v>
      </c>
      <c r="R615" s="320">
        <v>10033955</v>
      </c>
      <c r="S615" s="321">
        <v>43229</v>
      </c>
      <c r="T615" s="321">
        <v>43231</v>
      </c>
      <c r="U615" s="321">
        <v>43272</v>
      </c>
      <c r="V615" s="319" t="s">
        <v>425</v>
      </c>
      <c r="W615" s="319" t="s">
        <v>2767</v>
      </c>
      <c r="X615" s="319">
        <v>1</v>
      </c>
      <c r="Y615" s="319" t="s">
        <v>173</v>
      </c>
      <c r="Z615" s="319" t="s">
        <v>173</v>
      </c>
      <c r="AA615" s="319" t="s">
        <v>173</v>
      </c>
      <c r="AB615" s="319">
        <v>1</v>
      </c>
      <c r="AC615" s="319" t="s">
        <v>169</v>
      </c>
      <c r="AD615" s="319" t="s">
        <v>173</v>
      </c>
      <c r="AE615" s="319" t="s">
        <v>173</v>
      </c>
      <c r="AF615" s="319" t="s">
        <v>427</v>
      </c>
      <c r="AG615" s="319" t="s">
        <v>171</v>
      </c>
      <c r="AH615" s="319" t="s">
        <v>190</v>
      </c>
      <c r="AI615" s="319" t="s">
        <v>190</v>
      </c>
      <c r="AJ615" s="319" t="s">
        <v>190</v>
      </c>
      <c r="AK615" s="319" t="s">
        <v>190</v>
      </c>
      <c r="AL615" s="319" t="s">
        <v>190</v>
      </c>
      <c r="AM615" s="319" t="s">
        <v>190</v>
      </c>
      <c r="AN615" s="319" t="s">
        <v>190</v>
      </c>
      <c r="AO615" s="319" t="s">
        <v>190</v>
      </c>
      <c r="AP615" s="319" t="s">
        <v>190</v>
      </c>
      <c r="AQ615" s="319" t="s">
        <v>190</v>
      </c>
      <c r="AR615" s="319" t="s">
        <v>190</v>
      </c>
      <c r="AS615" s="319" t="s">
        <v>190</v>
      </c>
      <c r="AT615" s="319" t="s">
        <v>190</v>
      </c>
      <c r="AU615" s="319" t="s">
        <v>190</v>
      </c>
      <c r="AV615" s="319" t="s">
        <v>190</v>
      </c>
      <c r="AW615" s="319" t="s">
        <v>190</v>
      </c>
      <c r="AX615" s="319" t="s">
        <v>428</v>
      </c>
      <c r="AY615" s="319" t="s">
        <v>190</v>
      </c>
      <c r="AZ615" s="319" t="s">
        <v>190</v>
      </c>
      <c r="BA615" s="319" t="s">
        <v>190</v>
      </c>
      <c r="BB615" s="319" t="s">
        <v>428</v>
      </c>
      <c r="BC615" s="319" t="s">
        <v>428</v>
      </c>
      <c r="BD615" s="319" t="s">
        <v>428</v>
      </c>
      <c r="BE615" s="319" t="s">
        <v>428</v>
      </c>
      <c r="BF615" s="319" t="s">
        <v>428</v>
      </c>
      <c r="BG615" s="319" t="s">
        <v>428</v>
      </c>
      <c r="BH615" s="319" t="s">
        <v>190</v>
      </c>
      <c r="BI615" s="319" t="s">
        <v>190</v>
      </c>
      <c r="BJ615" s="319" t="s">
        <v>190</v>
      </c>
      <c r="BK615" s="319" t="s">
        <v>190</v>
      </c>
      <c r="BL615" s="319" t="s">
        <v>190</v>
      </c>
      <c r="BM615" s="319" t="s">
        <v>190</v>
      </c>
      <c r="BN615" s="319" t="s">
        <v>190</v>
      </c>
      <c r="BO615" s="319" t="s">
        <v>190</v>
      </c>
      <c r="BP615" s="319" t="s">
        <v>190</v>
      </c>
      <c r="BQ615" s="319" t="s">
        <v>190</v>
      </c>
      <c r="BR615" s="319" t="s">
        <v>190</v>
      </c>
      <c r="BS615" s="319" t="s">
        <v>190</v>
      </c>
      <c r="BT615" s="319" t="s">
        <v>190</v>
      </c>
      <c r="BU615" s="319" t="s">
        <v>190</v>
      </c>
      <c r="BV615" s="319" t="s">
        <v>190</v>
      </c>
      <c r="BW615" s="319" t="s">
        <v>190</v>
      </c>
      <c r="BX615" s="319" t="s">
        <v>190</v>
      </c>
      <c r="BY615" s="319" t="s">
        <v>190</v>
      </c>
      <c r="BZ615" s="319" t="s">
        <v>190</v>
      </c>
      <c r="CA615" s="319" t="s">
        <v>190</v>
      </c>
      <c r="CB615" s="319" t="s">
        <v>190</v>
      </c>
      <c r="CC615" s="319" t="s">
        <v>190</v>
      </c>
      <c r="CD615" s="319" t="s">
        <v>190</v>
      </c>
      <c r="CE615" s="319" t="s">
        <v>190</v>
      </c>
      <c r="CF615" s="319" t="s">
        <v>190</v>
      </c>
      <c r="CG615" s="319" t="s">
        <v>190</v>
      </c>
      <c r="CH615" s="319" t="s">
        <v>190</v>
      </c>
      <c r="CI615" s="319" t="s">
        <v>190</v>
      </c>
      <c r="CJ615" s="319" t="s">
        <v>190</v>
      </c>
      <c r="CK615" s="319" t="s">
        <v>190</v>
      </c>
      <c r="CL615" s="319" t="s">
        <v>190</v>
      </c>
      <c r="CM615" s="319" t="s">
        <v>190</v>
      </c>
      <c r="CN615" s="319" t="s">
        <v>428</v>
      </c>
      <c r="CO615" s="319" t="s">
        <v>428</v>
      </c>
      <c r="CP615" s="319" t="s">
        <v>428</v>
      </c>
      <c r="CQ615" s="319" t="s">
        <v>190</v>
      </c>
      <c r="CR615" s="319" t="s">
        <v>190</v>
      </c>
      <c r="CS615" s="319" t="s">
        <v>190</v>
      </c>
      <c r="CT615" s="319" t="s">
        <v>190</v>
      </c>
      <c r="CU615" s="319" t="s">
        <v>190</v>
      </c>
      <c r="CV615" s="319" t="s">
        <v>190</v>
      </c>
      <c r="CW615" s="319" t="s">
        <v>190</v>
      </c>
      <c r="CX615" s="319" t="s">
        <v>190</v>
      </c>
      <c r="CY615" s="319" t="s">
        <v>190</v>
      </c>
      <c r="CZ615" s="319" t="s">
        <v>190</v>
      </c>
      <c r="DA615" s="319" t="s">
        <v>190</v>
      </c>
      <c r="DB615" s="319" t="s">
        <v>190</v>
      </c>
      <c r="DC615" s="319" t="s">
        <v>190</v>
      </c>
      <c r="DD615" s="319" t="s">
        <v>190</v>
      </c>
      <c r="DE615" s="319" t="s">
        <v>190</v>
      </c>
      <c r="DF615" s="319" t="s">
        <v>190</v>
      </c>
      <c r="DG615" s="319" t="s">
        <v>190</v>
      </c>
      <c r="DH615" s="319" t="s">
        <v>190</v>
      </c>
      <c r="DI615" s="319" t="s">
        <v>190</v>
      </c>
      <c r="DJ615" s="319" t="s">
        <v>190</v>
      </c>
      <c r="DK615" s="319" t="s">
        <v>190</v>
      </c>
      <c r="DL615" s="319" t="s">
        <v>190</v>
      </c>
      <c r="DM615" s="319" t="s">
        <v>190</v>
      </c>
      <c r="DN615" s="319" t="s">
        <v>428</v>
      </c>
      <c r="DO615" s="319" t="s">
        <v>190</v>
      </c>
      <c r="DP615" s="319" t="s">
        <v>190</v>
      </c>
      <c r="DQ615" s="319" t="s">
        <v>190</v>
      </c>
      <c r="DR615" s="319" t="s">
        <v>190</v>
      </c>
      <c r="DS615" s="319" t="s">
        <v>190</v>
      </c>
      <c r="DT615" s="319" t="s">
        <v>190</v>
      </c>
      <c r="DU615" s="319" t="s">
        <v>190</v>
      </c>
      <c r="DV615" s="319" t="s">
        <v>173</v>
      </c>
      <c r="DW615" s="319" t="s">
        <v>190</v>
      </c>
      <c r="DX615" s="319" t="s">
        <v>190</v>
      </c>
      <c r="DY615" s="319" t="s">
        <v>190</v>
      </c>
      <c r="DZ615" s="319" t="s">
        <v>190</v>
      </c>
      <c r="EA615" s="319" t="s">
        <v>190</v>
      </c>
      <c r="EB615" s="319" t="s">
        <v>190</v>
      </c>
      <c r="EC615" s="319" t="s">
        <v>428</v>
      </c>
      <c r="ED615" s="319" t="s">
        <v>190</v>
      </c>
      <c r="EE615" s="319" t="s">
        <v>428</v>
      </c>
      <c r="EF615" s="319" t="s">
        <v>428</v>
      </c>
      <c r="EG615" s="319" t="s">
        <v>428</v>
      </c>
      <c r="EH615" s="319" t="s">
        <v>428</v>
      </c>
      <c r="EI615" s="319" t="s">
        <v>428</v>
      </c>
      <c r="EJ615" s="319" t="s">
        <v>428</v>
      </c>
      <c r="EK615" s="319" t="s">
        <v>428</v>
      </c>
      <c r="EL615" s="319" t="s">
        <v>428</v>
      </c>
      <c r="EM615" s="319" t="s">
        <v>428</v>
      </c>
      <c r="EN615" s="319" t="s">
        <v>190</v>
      </c>
      <c r="EO615" s="319" t="s">
        <v>190</v>
      </c>
      <c r="EP615" s="319" t="s">
        <v>190</v>
      </c>
      <c r="EQ615" s="319" t="s">
        <v>190</v>
      </c>
      <c r="ER615" s="319" t="s">
        <v>190</v>
      </c>
      <c r="ES615" s="319" t="s">
        <v>190</v>
      </c>
      <c r="ET615" s="319" t="s">
        <v>190</v>
      </c>
      <c r="EU615" s="319" t="s">
        <v>190</v>
      </c>
      <c r="EV615" s="319" t="s">
        <v>190</v>
      </c>
      <c r="EW615" s="319" t="s">
        <v>190</v>
      </c>
      <c r="EX615" s="319" t="s">
        <v>190</v>
      </c>
      <c r="EY615" s="319" t="s">
        <v>190</v>
      </c>
      <c r="EZ615" s="319" t="s">
        <v>190</v>
      </c>
      <c r="FA615" s="319" t="s">
        <v>190</v>
      </c>
      <c r="FB615" s="319" t="s">
        <v>190</v>
      </c>
      <c r="FC615" s="319" t="s">
        <v>190</v>
      </c>
      <c r="FD615" s="319" t="s">
        <v>190</v>
      </c>
      <c r="FE615" s="319" t="s">
        <v>190</v>
      </c>
      <c r="FF615" s="319" t="s">
        <v>190</v>
      </c>
      <c r="FG615" s="319" t="s">
        <v>190</v>
      </c>
      <c r="FH615" s="319" t="s">
        <v>190</v>
      </c>
      <c r="FI615" s="319" t="s">
        <v>190</v>
      </c>
      <c r="FJ615" s="319" t="s">
        <v>190</v>
      </c>
      <c r="FK615" s="319" t="s">
        <v>190</v>
      </c>
      <c r="FL615" s="319" t="s">
        <v>190</v>
      </c>
      <c r="FM615" s="319" t="s">
        <v>190</v>
      </c>
      <c r="FN615" s="319" t="s">
        <v>190</v>
      </c>
      <c r="FO615" s="319" t="s">
        <v>190</v>
      </c>
      <c r="FP615" s="319" t="s">
        <v>190</v>
      </c>
      <c r="FQ615" s="319" t="s">
        <v>190</v>
      </c>
      <c r="FR615" s="319" t="s">
        <v>190</v>
      </c>
      <c r="FS615" s="319" t="s">
        <v>190</v>
      </c>
      <c r="FT615" s="319" t="s">
        <v>190</v>
      </c>
      <c r="FU615" s="319" t="s">
        <v>190</v>
      </c>
      <c r="FV615" s="319" t="s">
        <v>190</v>
      </c>
      <c r="FW615" s="319" t="s">
        <v>190</v>
      </c>
      <c r="FX615" s="319" t="s">
        <v>190</v>
      </c>
      <c r="FY615" s="319" t="s">
        <v>190</v>
      </c>
      <c r="FZ615" s="319" t="s">
        <v>190</v>
      </c>
      <c r="GA615" s="319" t="s">
        <v>190</v>
      </c>
      <c r="GB615" s="319" t="s">
        <v>190</v>
      </c>
      <c r="GC615" s="319" t="s">
        <v>190</v>
      </c>
      <c r="GD615" s="319" t="s">
        <v>190</v>
      </c>
      <c r="GE615" s="319" t="s">
        <v>190</v>
      </c>
      <c r="GF615" s="319" t="s">
        <v>190</v>
      </c>
      <c r="GG615" s="319" t="s">
        <v>190</v>
      </c>
      <c r="GH615" s="319" t="s">
        <v>190</v>
      </c>
      <c r="GI615" s="319" t="s">
        <v>190</v>
      </c>
      <c r="GJ615" s="319" t="s">
        <v>190</v>
      </c>
      <c r="GK615" s="319" t="s">
        <v>428</v>
      </c>
      <c r="GL615" s="319" t="s">
        <v>190</v>
      </c>
      <c r="GM615" s="319" t="s">
        <v>190</v>
      </c>
      <c r="GN615" s="319" t="s">
        <v>190</v>
      </c>
      <c r="GO615" s="319" t="s">
        <v>190</v>
      </c>
      <c r="GP615" s="319" t="s">
        <v>190</v>
      </c>
      <c r="GQ615" s="319" t="s">
        <v>190</v>
      </c>
      <c r="GR615" s="319" t="s">
        <v>190</v>
      </c>
      <c r="GS615" s="319" t="s">
        <v>190</v>
      </c>
      <c r="GT615" s="319" t="s">
        <v>190</v>
      </c>
      <c r="GU615" s="319" t="s">
        <v>190</v>
      </c>
      <c r="GV615" s="319" t="s">
        <v>190</v>
      </c>
      <c r="GW615" s="319" t="s">
        <v>190</v>
      </c>
      <c r="GX615" s="319" t="s">
        <v>190</v>
      </c>
      <c r="GY615" s="319" t="s">
        <v>190</v>
      </c>
      <c r="GZ615" s="319" t="s">
        <v>190</v>
      </c>
      <c r="HA615" s="319" t="s">
        <v>190</v>
      </c>
      <c r="HB615" s="319" t="s">
        <v>428</v>
      </c>
      <c r="HC615" s="319" t="s">
        <v>190</v>
      </c>
      <c r="HD615" s="319" t="s">
        <v>190</v>
      </c>
      <c r="HE615" s="319" t="s">
        <v>190</v>
      </c>
      <c r="HF615" s="319" t="s">
        <v>190</v>
      </c>
      <c r="HG615" s="319" t="s">
        <v>190</v>
      </c>
      <c r="HH615" s="319" t="s">
        <v>190</v>
      </c>
      <c r="HI615" s="319" t="s">
        <v>190</v>
      </c>
      <c r="HJ615" s="319" t="s">
        <v>190</v>
      </c>
      <c r="HK615" s="319" t="s">
        <v>190</v>
      </c>
      <c r="HL615" s="319" t="s">
        <v>190</v>
      </c>
      <c r="HM615" s="319" t="s">
        <v>428</v>
      </c>
      <c r="HN615" s="319" t="s">
        <v>428</v>
      </c>
      <c r="HO615" s="319" t="s">
        <v>428</v>
      </c>
      <c r="HP615" s="319" t="s">
        <v>190</v>
      </c>
      <c r="HQ615" s="319" t="s">
        <v>190</v>
      </c>
      <c r="HR615" s="319" t="s">
        <v>190</v>
      </c>
      <c r="HS615" s="319" t="s">
        <v>190</v>
      </c>
      <c r="HT615" s="319" t="s">
        <v>190</v>
      </c>
      <c r="HU615" s="319" t="s">
        <v>190</v>
      </c>
      <c r="HV615" s="319" t="s">
        <v>190</v>
      </c>
      <c r="HW615" s="319" t="s">
        <v>190</v>
      </c>
      <c r="HX615" s="319" t="s">
        <v>190</v>
      </c>
      <c r="HY615" s="319" t="s">
        <v>190</v>
      </c>
      <c r="HZ615" s="319" t="s">
        <v>190</v>
      </c>
      <c r="IA615" s="319" t="s">
        <v>190</v>
      </c>
      <c r="IB615" s="319" t="s">
        <v>190</v>
      </c>
      <c r="IC615" s="319" t="s">
        <v>190</v>
      </c>
      <c r="ID615" s="319" t="s">
        <v>190</v>
      </c>
      <c r="IE615" s="319" t="s">
        <v>190</v>
      </c>
      <c r="IF615" s="319" t="s">
        <v>190</v>
      </c>
      <c r="IG615" s="319" t="s">
        <v>190</v>
      </c>
      <c r="IH615" s="319" t="s">
        <v>190</v>
      </c>
      <c r="II615" s="319" t="s">
        <v>190</v>
      </c>
      <c r="IJ615" s="319" t="s">
        <v>3368</v>
      </c>
      <c r="IK615" s="321">
        <v>41723</v>
      </c>
      <c r="IL615" s="321">
        <v>41725</v>
      </c>
      <c r="IM615" s="321">
        <v>41754</v>
      </c>
      <c r="IN615" s="319">
        <v>1</v>
      </c>
      <c r="IO615" s="319" t="s">
        <v>173</v>
      </c>
      <c r="IP615" s="319" t="s">
        <v>173</v>
      </c>
      <c r="IQ615" s="321" t="s">
        <v>173</v>
      </c>
      <c r="IR615" s="320" t="s">
        <v>173</v>
      </c>
      <c r="IS615" s="322" t="s">
        <v>173</v>
      </c>
      <c r="IT615" s="319" t="s">
        <v>173</v>
      </c>
    </row>
    <row r="616" spans="1:254" s="271" customFormat="1" x14ac:dyDescent="0.25">
      <c r="A616" s="318" t="str">
        <f>HYPERLINK("http://www.ofsted.gov.uk/inspection-reports/find-inspection-report/provider/ELS/136220 ","Ofsted School Webpage")</f>
        <v>Ofsted School Webpage</v>
      </c>
      <c r="B616" s="319">
        <v>136220</v>
      </c>
      <c r="C616" s="319">
        <v>8616004</v>
      </c>
      <c r="D616" s="319" t="s">
        <v>2064</v>
      </c>
      <c r="E616" s="319" t="s">
        <v>168</v>
      </c>
      <c r="F616" s="319" t="s">
        <v>81</v>
      </c>
      <c r="G616" s="319" t="s">
        <v>81</v>
      </c>
      <c r="H616" s="319" t="s">
        <v>81</v>
      </c>
      <c r="I616" s="319" t="s">
        <v>78</v>
      </c>
      <c r="J616" s="319" t="s">
        <v>424</v>
      </c>
      <c r="K616" s="319" t="s">
        <v>437</v>
      </c>
      <c r="L616" s="319" t="s">
        <v>437</v>
      </c>
      <c r="M616" s="319" t="s">
        <v>580</v>
      </c>
      <c r="N616" s="319" t="s">
        <v>3369</v>
      </c>
      <c r="O616" s="319" t="s">
        <v>2065</v>
      </c>
      <c r="P616" s="319">
        <v>19</v>
      </c>
      <c r="Q616" s="319" t="s">
        <v>2776</v>
      </c>
      <c r="R616" s="320">
        <v>10038842</v>
      </c>
      <c r="S616" s="321">
        <v>43263</v>
      </c>
      <c r="T616" s="321">
        <v>43265</v>
      </c>
      <c r="U616" s="321">
        <v>43417</v>
      </c>
      <c r="V616" s="319" t="s">
        <v>425</v>
      </c>
      <c r="W616" s="319" t="s">
        <v>2767</v>
      </c>
      <c r="X616" s="319">
        <v>2</v>
      </c>
      <c r="Y616" s="319" t="s">
        <v>173</v>
      </c>
      <c r="Z616" s="319" t="s">
        <v>173</v>
      </c>
      <c r="AA616" s="319" t="s">
        <v>173</v>
      </c>
      <c r="AB616" s="319">
        <v>2</v>
      </c>
      <c r="AC616" s="319" t="s">
        <v>169</v>
      </c>
      <c r="AD616" s="319" t="s">
        <v>173</v>
      </c>
      <c r="AE616" s="319" t="s">
        <v>173</v>
      </c>
      <c r="AF616" s="319" t="s">
        <v>427</v>
      </c>
      <c r="AG616" s="319" t="s">
        <v>171</v>
      </c>
      <c r="AH616" s="319" t="s">
        <v>190</v>
      </c>
      <c r="AI616" s="319" t="s">
        <v>190</v>
      </c>
      <c r="AJ616" s="319" t="s">
        <v>190</v>
      </c>
      <c r="AK616" s="319" t="s">
        <v>190</v>
      </c>
      <c r="AL616" s="319" t="s">
        <v>190</v>
      </c>
      <c r="AM616" s="319" t="s">
        <v>190</v>
      </c>
      <c r="AN616" s="319" t="s">
        <v>190</v>
      </c>
      <c r="AO616" s="319" t="s">
        <v>190</v>
      </c>
      <c r="AP616" s="319" t="s">
        <v>190</v>
      </c>
      <c r="AQ616" s="319" t="s">
        <v>190</v>
      </c>
      <c r="AR616" s="319" t="s">
        <v>190</v>
      </c>
      <c r="AS616" s="319" t="s">
        <v>190</v>
      </c>
      <c r="AT616" s="319" t="s">
        <v>190</v>
      </c>
      <c r="AU616" s="319" t="s">
        <v>190</v>
      </c>
      <c r="AV616" s="319" t="s">
        <v>190</v>
      </c>
      <c r="AW616" s="319" t="s">
        <v>190</v>
      </c>
      <c r="AX616" s="319" t="s">
        <v>190</v>
      </c>
      <c r="AY616" s="319" t="s">
        <v>190</v>
      </c>
      <c r="AZ616" s="319" t="s">
        <v>190</v>
      </c>
      <c r="BA616" s="319" t="s">
        <v>190</v>
      </c>
      <c r="BB616" s="319" t="s">
        <v>190</v>
      </c>
      <c r="BC616" s="319" t="s">
        <v>190</v>
      </c>
      <c r="BD616" s="319" t="s">
        <v>190</v>
      </c>
      <c r="BE616" s="319" t="s">
        <v>190</v>
      </c>
      <c r="BF616" s="319" t="s">
        <v>428</v>
      </c>
      <c r="BG616" s="319" t="s">
        <v>190</v>
      </c>
      <c r="BH616" s="319" t="s">
        <v>190</v>
      </c>
      <c r="BI616" s="319" t="s">
        <v>190</v>
      </c>
      <c r="BJ616" s="319" t="s">
        <v>190</v>
      </c>
      <c r="BK616" s="319" t="s">
        <v>190</v>
      </c>
      <c r="BL616" s="319" t="s">
        <v>190</v>
      </c>
      <c r="BM616" s="319" t="s">
        <v>190</v>
      </c>
      <c r="BN616" s="319" t="s">
        <v>190</v>
      </c>
      <c r="BO616" s="319" t="s">
        <v>190</v>
      </c>
      <c r="BP616" s="319" t="s">
        <v>190</v>
      </c>
      <c r="BQ616" s="319" t="s">
        <v>190</v>
      </c>
      <c r="BR616" s="319" t="s">
        <v>190</v>
      </c>
      <c r="BS616" s="319" t="s">
        <v>190</v>
      </c>
      <c r="BT616" s="319" t="s">
        <v>190</v>
      </c>
      <c r="BU616" s="319" t="s">
        <v>190</v>
      </c>
      <c r="BV616" s="319" t="s">
        <v>190</v>
      </c>
      <c r="BW616" s="319" t="s">
        <v>190</v>
      </c>
      <c r="BX616" s="319" t="s">
        <v>190</v>
      </c>
      <c r="BY616" s="319" t="s">
        <v>190</v>
      </c>
      <c r="BZ616" s="319" t="s">
        <v>190</v>
      </c>
      <c r="CA616" s="319" t="s">
        <v>190</v>
      </c>
      <c r="CB616" s="319" t="s">
        <v>190</v>
      </c>
      <c r="CC616" s="319" t="s">
        <v>190</v>
      </c>
      <c r="CD616" s="319" t="s">
        <v>190</v>
      </c>
      <c r="CE616" s="319" t="s">
        <v>190</v>
      </c>
      <c r="CF616" s="319" t="s">
        <v>190</v>
      </c>
      <c r="CG616" s="319" t="s">
        <v>190</v>
      </c>
      <c r="CH616" s="319" t="s">
        <v>190</v>
      </c>
      <c r="CI616" s="319" t="s">
        <v>190</v>
      </c>
      <c r="CJ616" s="319" t="s">
        <v>190</v>
      </c>
      <c r="CK616" s="319" t="s">
        <v>190</v>
      </c>
      <c r="CL616" s="319" t="s">
        <v>190</v>
      </c>
      <c r="CM616" s="319" t="s">
        <v>190</v>
      </c>
      <c r="CN616" s="319" t="s">
        <v>428</v>
      </c>
      <c r="CO616" s="319" t="s">
        <v>428</v>
      </c>
      <c r="CP616" s="319" t="s">
        <v>428</v>
      </c>
      <c r="CQ616" s="319" t="s">
        <v>190</v>
      </c>
      <c r="CR616" s="319" t="s">
        <v>190</v>
      </c>
      <c r="CS616" s="319" t="s">
        <v>190</v>
      </c>
      <c r="CT616" s="319" t="s">
        <v>190</v>
      </c>
      <c r="CU616" s="319" t="s">
        <v>190</v>
      </c>
      <c r="CV616" s="319" t="s">
        <v>190</v>
      </c>
      <c r="CW616" s="319" t="s">
        <v>190</v>
      </c>
      <c r="CX616" s="319" t="s">
        <v>190</v>
      </c>
      <c r="CY616" s="319" t="s">
        <v>190</v>
      </c>
      <c r="CZ616" s="319" t="s">
        <v>190</v>
      </c>
      <c r="DA616" s="319" t="s">
        <v>190</v>
      </c>
      <c r="DB616" s="319" t="s">
        <v>190</v>
      </c>
      <c r="DC616" s="319" t="s">
        <v>190</v>
      </c>
      <c r="DD616" s="319" t="s">
        <v>190</v>
      </c>
      <c r="DE616" s="319" t="s">
        <v>190</v>
      </c>
      <c r="DF616" s="319" t="s">
        <v>190</v>
      </c>
      <c r="DG616" s="319" t="s">
        <v>190</v>
      </c>
      <c r="DH616" s="319" t="s">
        <v>190</v>
      </c>
      <c r="DI616" s="319" t="s">
        <v>190</v>
      </c>
      <c r="DJ616" s="319" t="s">
        <v>190</v>
      </c>
      <c r="DK616" s="319" t="s">
        <v>190</v>
      </c>
      <c r="DL616" s="319" t="s">
        <v>190</v>
      </c>
      <c r="DM616" s="319" t="s">
        <v>190</v>
      </c>
      <c r="DN616" s="319" t="s">
        <v>428</v>
      </c>
      <c r="DO616" s="319" t="s">
        <v>190</v>
      </c>
      <c r="DP616" s="319" t="s">
        <v>190</v>
      </c>
      <c r="DQ616" s="319" t="s">
        <v>190</v>
      </c>
      <c r="DR616" s="319" t="s">
        <v>190</v>
      </c>
      <c r="DS616" s="319" t="s">
        <v>190</v>
      </c>
      <c r="DT616" s="319" t="s">
        <v>190</v>
      </c>
      <c r="DU616" s="319" t="s">
        <v>190</v>
      </c>
      <c r="DV616" s="319" t="s">
        <v>173</v>
      </c>
      <c r="DW616" s="319" t="s">
        <v>190</v>
      </c>
      <c r="DX616" s="319" t="s">
        <v>190</v>
      </c>
      <c r="DY616" s="319" t="s">
        <v>190</v>
      </c>
      <c r="DZ616" s="319" t="s">
        <v>190</v>
      </c>
      <c r="EA616" s="319" t="s">
        <v>190</v>
      </c>
      <c r="EB616" s="319" t="s">
        <v>190</v>
      </c>
      <c r="EC616" s="319" t="s">
        <v>428</v>
      </c>
      <c r="ED616" s="319" t="s">
        <v>190</v>
      </c>
      <c r="EE616" s="319" t="s">
        <v>190</v>
      </c>
      <c r="EF616" s="319" t="s">
        <v>190</v>
      </c>
      <c r="EG616" s="319" t="s">
        <v>190</v>
      </c>
      <c r="EH616" s="319" t="s">
        <v>190</v>
      </c>
      <c r="EI616" s="319" t="s">
        <v>190</v>
      </c>
      <c r="EJ616" s="319" t="s">
        <v>190</v>
      </c>
      <c r="EK616" s="319" t="s">
        <v>190</v>
      </c>
      <c r="EL616" s="319" t="s">
        <v>190</v>
      </c>
      <c r="EM616" s="319" t="s">
        <v>190</v>
      </c>
      <c r="EN616" s="319" t="s">
        <v>190</v>
      </c>
      <c r="EO616" s="319" t="s">
        <v>190</v>
      </c>
      <c r="EP616" s="319" t="s">
        <v>190</v>
      </c>
      <c r="EQ616" s="319" t="s">
        <v>190</v>
      </c>
      <c r="ER616" s="319" t="s">
        <v>190</v>
      </c>
      <c r="ES616" s="319" t="s">
        <v>190</v>
      </c>
      <c r="ET616" s="319" t="s">
        <v>190</v>
      </c>
      <c r="EU616" s="319" t="s">
        <v>190</v>
      </c>
      <c r="EV616" s="319" t="s">
        <v>190</v>
      </c>
      <c r="EW616" s="319" t="s">
        <v>190</v>
      </c>
      <c r="EX616" s="319" t="s">
        <v>190</v>
      </c>
      <c r="EY616" s="319" t="s">
        <v>190</v>
      </c>
      <c r="EZ616" s="319" t="s">
        <v>190</v>
      </c>
      <c r="FA616" s="319" t="s">
        <v>190</v>
      </c>
      <c r="FB616" s="319" t="s">
        <v>190</v>
      </c>
      <c r="FC616" s="319" t="s">
        <v>190</v>
      </c>
      <c r="FD616" s="319" t="s">
        <v>190</v>
      </c>
      <c r="FE616" s="319" t="s">
        <v>190</v>
      </c>
      <c r="FF616" s="319" t="s">
        <v>190</v>
      </c>
      <c r="FG616" s="319" t="s">
        <v>190</v>
      </c>
      <c r="FH616" s="319" t="s">
        <v>190</v>
      </c>
      <c r="FI616" s="319" t="s">
        <v>190</v>
      </c>
      <c r="FJ616" s="319" t="s">
        <v>190</v>
      </c>
      <c r="FK616" s="319" t="s">
        <v>190</v>
      </c>
      <c r="FL616" s="319" t="s">
        <v>190</v>
      </c>
      <c r="FM616" s="319" t="s">
        <v>190</v>
      </c>
      <c r="FN616" s="319" t="s">
        <v>190</v>
      </c>
      <c r="FO616" s="319" t="s">
        <v>190</v>
      </c>
      <c r="FP616" s="319" t="s">
        <v>190</v>
      </c>
      <c r="FQ616" s="319" t="s">
        <v>190</v>
      </c>
      <c r="FR616" s="319" t="s">
        <v>190</v>
      </c>
      <c r="FS616" s="319" t="s">
        <v>428</v>
      </c>
      <c r="FT616" s="319" t="s">
        <v>190</v>
      </c>
      <c r="FU616" s="319" t="s">
        <v>190</v>
      </c>
      <c r="FV616" s="319" t="s">
        <v>190</v>
      </c>
      <c r="FW616" s="319" t="s">
        <v>190</v>
      </c>
      <c r="FX616" s="319" t="s">
        <v>190</v>
      </c>
      <c r="FY616" s="319" t="s">
        <v>190</v>
      </c>
      <c r="FZ616" s="319" t="s">
        <v>190</v>
      </c>
      <c r="GA616" s="319" t="s">
        <v>190</v>
      </c>
      <c r="GB616" s="319" t="s">
        <v>190</v>
      </c>
      <c r="GC616" s="319" t="s">
        <v>190</v>
      </c>
      <c r="GD616" s="319" t="s">
        <v>190</v>
      </c>
      <c r="GE616" s="319" t="s">
        <v>190</v>
      </c>
      <c r="GF616" s="319" t="s">
        <v>190</v>
      </c>
      <c r="GG616" s="319" t="s">
        <v>190</v>
      </c>
      <c r="GH616" s="319" t="s">
        <v>190</v>
      </c>
      <c r="GI616" s="319" t="s">
        <v>190</v>
      </c>
      <c r="GJ616" s="319" t="s">
        <v>190</v>
      </c>
      <c r="GK616" s="319" t="s">
        <v>428</v>
      </c>
      <c r="GL616" s="319" t="s">
        <v>190</v>
      </c>
      <c r="GM616" s="319" t="s">
        <v>190</v>
      </c>
      <c r="GN616" s="319" t="s">
        <v>190</v>
      </c>
      <c r="GO616" s="319" t="s">
        <v>190</v>
      </c>
      <c r="GP616" s="319" t="s">
        <v>190</v>
      </c>
      <c r="GQ616" s="319" t="s">
        <v>190</v>
      </c>
      <c r="GR616" s="319" t="s">
        <v>190</v>
      </c>
      <c r="GS616" s="319" t="s">
        <v>190</v>
      </c>
      <c r="GT616" s="319" t="s">
        <v>190</v>
      </c>
      <c r="GU616" s="319" t="s">
        <v>190</v>
      </c>
      <c r="GV616" s="319" t="s">
        <v>190</v>
      </c>
      <c r="GW616" s="319" t="s">
        <v>190</v>
      </c>
      <c r="GX616" s="319" t="s">
        <v>190</v>
      </c>
      <c r="GY616" s="319" t="s">
        <v>190</v>
      </c>
      <c r="GZ616" s="319" t="s">
        <v>190</v>
      </c>
      <c r="HA616" s="319" t="s">
        <v>190</v>
      </c>
      <c r="HB616" s="319" t="s">
        <v>190</v>
      </c>
      <c r="HC616" s="319" t="s">
        <v>190</v>
      </c>
      <c r="HD616" s="319" t="s">
        <v>190</v>
      </c>
      <c r="HE616" s="319" t="s">
        <v>190</v>
      </c>
      <c r="HF616" s="319" t="s">
        <v>190</v>
      </c>
      <c r="HG616" s="319" t="s">
        <v>190</v>
      </c>
      <c r="HH616" s="319" t="s">
        <v>190</v>
      </c>
      <c r="HI616" s="319" t="s">
        <v>190</v>
      </c>
      <c r="HJ616" s="319" t="s">
        <v>190</v>
      </c>
      <c r="HK616" s="319" t="s">
        <v>190</v>
      </c>
      <c r="HL616" s="319" t="s">
        <v>190</v>
      </c>
      <c r="HM616" s="319" t="s">
        <v>190</v>
      </c>
      <c r="HN616" s="319" t="s">
        <v>190</v>
      </c>
      <c r="HO616" s="319" t="s">
        <v>190</v>
      </c>
      <c r="HP616" s="319" t="s">
        <v>190</v>
      </c>
      <c r="HQ616" s="319" t="s">
        <v>190</v>
      </c>
      <c r="HR616" s="319" t="s">
        <v>190</v>
      </c>
      <c r="HS616" s="319" t="s">
        <v>190</v>
      </c>
      <c r="HT616" s="319" t="s">
        <v>190</v>
      </c>
      <c r="HU616" s="319" t="s">
        <v>190</v>
      </c>
      <c r="HV616" s="319" t="s">
        <v>190</v>
      </c>
      <c r="HW616" s="319" t="s">
        <v>190</v>
      </c>
      <c r="HX616" s="319" t="s">
        <v>190</v>
      </c>
      <c r="HY616" s="319" t="s">
        <v>190</v>
      </c>
      <c r="HZ616" s="319" t="s">
        <v>190</v>
      </c>
      <c r="IA616" s="319" t="s">
        <v>190</v>
      </c>
      <c r="IB616" s="319" t="s">
        <v>190</v>
      </c>
      <c r="IC616" s="319" t="s">
        <v>190</v>
      </c>
      <c r="ID616" s="319" t="s">
        <v>190</v>
      </c>
      <c r="IE616" s="319" t="s">
        <v>190</v>
      </c>
      <c r="IF616" s="319" t="s">
        <v>190</v>
      </c>
      <c r="IG616" s="319" t="s">
        <v>190</v>
      </c>
      <c r="IH616" s="319" t="s">
        <v>190</v>
      </c>
      <c r="II616" s="319" t="s">
        <v>190</v>
      </c>
      <c r="IJ616" s="319" t="s">
        <v>3370</v>
      </c>
      <c r="IK616" s="321">
        <v>41975</v>
      </c>
      <c r="IL616" s="321">
        <v>41977</v>
      </c>
      <c r="IM616" s="321">
        <v>41996</v>
      </c>
      <c r="IN616" s="319">
        <v>1</v>
      </c>
      <c r="IO616" s="319" t="s">
        <v>173</v>
      </c>
      <c r="IP616" s="319" t="s">
        <v>173</v>
      </c>
      <c r="IQ616" s="319" t="s">
        <v>173</v>
      </c>
      <c r="IR616" s="320" t="s">
        <v>173</v>
      </c>
      <c r="IS616" s="320" t="s">
        <v>173</v>
      </c>
      <c r="IT616" s="319" t="s">
        <v>173</v>
      </c>
    </row>
    <row r="617" spans="1:254" s="271" customFormat="1" x14ac:dyDescent="0.25">
      <c r="A617" s="318" t="str">
        <f>HYPERLINK("http://www.ofsted.gov.uk/inspection-reports/find-inspection-report/provider/ELS/136227 ","Ofsted School Webpage")</f>
        <v>Ofsted School Webpage</v>
      </c>
      <c r="B617" s="319">
        <v>136227</v>
      </c>
      <c r="C617" s="319">
        <v>9286073</v>
      </c>
      <c r="D617" s="319" t="s">
        <v>3371</v>
      </c>
      <c r="E617" s="319" t="s">
        <v>168</v>
      </c>
      <c r="F617" s="319" t="s">
        <v>81</v>
      </c>
      <c r="G617" s="319" t="s">
        <v>81</v>
      </c>
      <c r="H617" s="319" t="s">
        <v>81</v>
      </c>
      <c r="I617" s="319" t="s">
        <v>78</v>
      </c>
      <c r="J617" s="319" t="s">
        <v>424</v>
      </c>
      <c r="K617" s="319" t="s">
        <v>506</v>
      </c>
      <c r="L617" s="319" t="s">
        <v>506</v>
      </c>
      <c r="M617" s="319" t="s">
        <v>1136</v>
      </c>
      <c r="N617" s="319" t="s">
        <v>3015</v>
      </c>
      <c r="O617" s="319" t="s">
        <v>2066</v>
      </c>
      <c r="P617" s="319">
        <v>31</v>
      </c>
      <c r="Q617" s="319" t="s">
        <v>429</v>
      </c>
      <c r="R617" s="320">
        <v>10039190</v>
      </c>
      <c r="S617" s="321">
        <v>43053</v>
      </c>
      <c r="T617" s="321">
        <v>43055</v>
      </c>
      <c r="U617" s="321">
        <v>43076</v>
      </c>
      <c r="V617" s="319" t="s">
        <v>425</v>
      </c>
      <c r="W617" s="319" t="s">
        <v>2767</v>
      </c>
      <c r="X617" s="319">
        <v>2</v>
      </c>
      <c r="Y617" s="319" t="s">
        <v>173</v>
      </c>
      <c r="Z617" s="319" t="s">
        <v>173</v>
      </c>
      <c r="AA617" s="319" t="s">
        <v>173</v>
      </c>
      <c r="AB617" s="319">
        <v>2</v>
      </c>
      <c r="AC617" s="319" t="s">
        <v>169</v>
      </c>
      <c r="AD617" s="319" t="s">
        <v>173</v>
      </c>
      <c r="AE617" s="319">
        <v>2</v>
      </c>
      <c r="AF617" s="319" t="s">
        <v>427</v>
      </c>
      <c r="AG617" s="319" t="s">
        <v>171</v>
      </c>
      <c r="AH617" s="319" t="s">
        <v>190</v>
      </c>
      <c r="AI617" s="319" t="s">
        <v>190</v>
      </c>
      <c r="AJ617" s="319" t="s">
        <v>190</v>
      </c>
      <c r="AK617" s="319" t="s">
        <v>190</v>
      </c>
      <c r="AL617" s="319" t="s">
        <v>190</v>
      </c>
      <c r="AM617" s="319" t="s">
        <v>190</v>
      </c>
      <c r="AN617" s="319" t="s">
        <v>190</v>
      </c>
      <c r="AO617" s="319" t="s">
        <v>190</v>
      </c>
      <c r="AP617" s="319" t="s">
        <v>190</v>
      </c>
      <c r="AQ617" s="319" t="s">
        <v>190</v>
      </c>
      <c r="AR617" s="319" t="s">
        <v>190</v>
      </c>
      <c r="AS617" s="319" t="s">
        <v>190</v>
      </c>
      <c r="AT617" s="319" t="s">
        <v>190</v>
      </c>
      <c r="AU617" s="319" t="s">
        <v>190</v>
      </c>
      <c r="AV617" s="319" t="s">
        <v>190</v>
      </c>
      <c r="AW617" s="319" t="s">
        <v>190</v>
      </c>
      <c r="AX617" s="319" t="s">
        <v>428</v>
      </c>
      <c r="AY617" s="319" t="s">
        <v>190</v>
      </c>
      <c r="AZ617" s="319" t="s">
        <v>190</v>
      </c>
      <c r="BA617" s="319" t="s">
        <v>190</v>
      </c>
      <c r="BB617" s="319" t="s">
        <v>190</v>
      </c>
      <c r="BC617" s="319" t="s">
        <v>190</v>
      </c>
      <c r="BD617" s="319" t="s">
        <v>190</v>
      </c>
      <c r="BE617" s="319" t="s">
        <v>190</v>
      </c>
      <c r="BF617" s="319" t="s">
        <v>428</v>
      </c>
      <c r="BG617" s="319" t="s">
        <v>190</v>
      </c>
      <c r="BH617" s="319" t="s">
        <v>190</v>
      </c>
      <c r="BI617" s="319" t="s">
        <v>190</v>
      </c>
      <c r="BJ617" s="319" t="s">
        <v>190</v>
      </c>
      <c r="BK617" s="319" t="s">
        <v>190</v>
      </c>
      <c r="BL617" s="319" t="s">
        <v>190</v>
      </c>
      <c r="BM617" s="319" t="s">
        <v>190</v>
      </c>
      <c r="BN617" s="319" t="s">
        <v>190</v>
      </c>
      <c r="BO617" s="319" t="s">
        <v>190</v>
      </c>
      <c r="BP617" s="319" t="s">
        <v>190</v>
      </c>
      <c r="BQ617" s="319" t="s">
        <v>190</v>
      </c>
      <c r="BR617" s="319" t="s">
        <v>190</v>
      </c>
      <c r="BS617" s="319" t="s">
        <v>190</v>
      </c>
      <c r="BT617" s="319" t="s">
        <v>190</v>
      </c>
      <c r="BU617" s="319" t="s">
        <v>190</v>
      </c>
      <c r="BV617" s="319" t="s">
        <v>190</v>
      </c>
      <c r="BW617" s="319" t="s">
        <v>190</v>
      </c>
      <c r="BX617" s="319" t="s">
        <v>190</v>
      </c>
      <c r="BY617" s="319" t="s">
        <v>190</v>
      </c>
      <c r="BZ617" s="319" t="s">
        <v>190</v>
      </c>
      <c r="CA617" s="319" t="s">
        <v>190</v>
      </c>
      <c r="CB617" s="319" t="s">
        <v>190</v>
      </c>
      <c r="CC617" s="319" t="s">
        <v>190</v>
      </c>
      <c r="CD617" s="319" t="s">
        <v>190</v>
      </c>
      <c r="CE617" s="319" t="s">
        <v>190</v>
      </c>
      <c r="CF617" s="319" t="s">
        <v>190</v>
      </c>
      <c r="CG617" s="319" t="s">
        <v>190</v>
      </c>
      <c r="CH617" s="319" t="s">
        <v>190</v>
      </c>
      <c r="CI617" s="319" t="s">
        <v>190</v>
      </c>
      <c r="CJ617" s="319" t="s">
        <v>190</v>
      </c>
      <c r="CK617" s="319" t="s">
        <v>190</v>
      </c>
      <c r="CL617" s="319" t="s">
        <v>190</v>
      </c>
      <c r="CM617" s="319" t="s">
        <v>190</v>
      </c>
      <c r="CN617" s="319" t="s">
        <v>428</v>
      </c>
      <c r="CO617" s="319" t="s">
        <v>428</v>
      </c>
      <c r="CP617" s="319" t="s">
        <v>428</v>
      </c>
      <c r="CQ617" s="319" t="s">
        <v>190</v>
      </c>
      <c r="CR617" s="319" t="s">
        <v>190</v>
      </c>
      <c r="CS617" s="319" t="s">
        <v>190</v>
      </c>
      <c r="CT617" s="319" t="s">
        <v>190</v>
      </c>
      <c r="CU617" s="319" t="s">
        <v>190</v>
      </c>
      <c r="CV617" s="319" t="s">
        <v>190</v>
      </c>
      <c r="CW617" s="319" t="s">
        <v>190</v>
      </c>
      <c r="CX617" s="319" t="s">
        <v>190</v>
      </c>
      <c r="CY617" s="319" t="s">
        <v>190</v>
      </c>
      <c r="CZ617" s="319" t="s">
        <v>190</v>
      </c>
      <c r="DA617" s="319" t="s">
        <v>190</v>
      </c>
      <c r="DB617" s="319" t="s">
        <v>190</v>
      </c>
      <c r="DC617" s="319" t="s">
        <v>190</v>
      </c>
      <c r="DD617" s="319" t="s">
        <v>190</v>
      </c>
      <c r="DE617" s="319" t="s">
        <v>190</v>
      </c>
      <c r="DF617" s="319" t="s">
        <v>190</v>
      </c>
      <c r="DG617" s="319" t="s">
        <v>190</v>
      </c>
      <c r="DH617" s="319" t="s">
        <v>190</v>
      </c>
      <c r="DI617" s="319" t="s">
        <v>190</v>
      </c>
      <c r="DJ617" s="319" t="s">
        <v>190</v>
      </c>
      <c r="DK617" s="319" t="s">
        <v>190</v>
      </c>
      <c r="DL617" s="319" t="s">
        <v>190</v>
      </c>
      <c r="DM617" s="319" t="s">
        <v>190</v>
      </c>
      <c r="DN617" s="319" t="s">
        <v>428</v>
      </c>
      <c r="DO617" s="319" t="s">
        <v>190</v>
      </c>
      <c r="DP617" s="319" t="s">
        <v>428</v>
      </c>
      <c r="DQ617" s="319" t="s">
        <v>428</v>
      </c>
      <c r="DR617" s="319" t="s">
        <v>428</v>
      </c>
      <c r="DS617" s="319" t="s">
        <v>428</v>
      </c>
      <c r="DT617" s="319" t="s">
        <v>428</v>
      </c>
      <c r="DU617" s="319" t="s">
        <v>428</v>
      </c>
      <c r="DV617" s="319" t="s">
        <v>173</v>
      </c>
      <c r="DW617" s="319" t="s">
        <v>428</v>
      </c>
      <c r="DX617" s="319" t="s">
        <v>428</v>
      </c>
      <c r="DY617" s="319" t="s">
        <v>428</v>
      </c>
      <c r="DZ617" s="319" t="s">
        <v>428</v>
      </c>
      <c r="EA617" s="319" t="s">
        <v>428</v>
      </c>
      <c r="EB617" s="319" t="s">
        <v>428</v>
      </c>
      <c r="EC617" s="319" t="s">
        <v>428</v>
      </c>
      <c r="ED617" s="319" t="s">
        <v>190</v>
      </c>
      <c r="EE617" s="319" t="s">
        <v>190</v>
      </c>
      <c r="EF617" s="319" t="s">
        <v>190</v>
      </c>
      <c r="EG617" s="319" t="s">
        <v>190</v>
      </c>
      <c r="EH617" s="319" t="s">
        <v>190</v>
      </c>
      <c r="EI617" s="319" t="s">
        <v>190</v>
      </c>
      <c r="EJ617" s="319" t="s">
        <v>190</v>
      </c>
      <c r="EK617" s="319" t="s">
        <v>190</v>
      </c>
      <c r="EL617" s="319" t="s">
        <v>190</v>
      </c>
      <c r="EM617" s="319" t="s">
        <v>190</v>
      </c>
      <c r="EN617" s="319" t="s">
        <v>190</v>
      </c>
      <c r="EO617" s="319" t="s">
        <v>190</v>
      </c>
      <c r="EP617" s="319" t="s">
        <v>190</v>
      </c>
      <c r="EQ617" s="319" t="s">
        <v>190</v>
      </c>
      <c r="ER617" s="319" t="s">
        <v>190</v>
      </c>
      <c r="ES617" s="319" t="s">
        <v>190</v>
      </c>
      <c r="ET617" s="319" t="s">
        <v>190</v>
      </c>
      <c r="EU617" s="319" t="s">
        <v>190</v>
      </c>
      <c r="EV617" s="319" t="s">
        <v>190</v>
      </c>
      <c r="EW617" s="319" t="s">
        <v>190</v>
      </c>
      <c r="EX617" s="319" t="s">
        <v>190</v>
      </c>
      <c r="EY617" s="319" t="s">
        <v>190</v>
      </c>
      <c r="EZ617" s="319" t="s">
        <v>190</v>
      </c>
      <c r="FA617" s="319" t="s">
        <v>190</v>
      </c>
      <c r="FB617" s="319" t="s">
        <v>428</v>
      </c>
      <c r="FC617" s="319" t="s">
        <v>428</v>
      </c>
      <c r="FD617" s="319" t="s">
        <v>428</v>
      </c>
      <c r="FE617" s="319" t="s">
        <v>428</v>
      </c>
      <c r="FF617" s="319" t="s">
        <v>428</v>
      </c>
      <c r="FG617" s="319" t="s">
        <v>428</v>
      </c>
      <c r="FH617" s="319" t="s">
        <v>190</v>
      </c>
      <c r="FI617" s="319" t="s">
        <v>190</v>
      </c>
      <c r="FJ617" s="319" t="s">
        <v>190</v>
      </c>
      <c r="FK617" s="319" t="s">
        <v>190</v>
      </c>
      <c r="FL617" s="319" t="s">
        <v>190</v>
      </c>
      <c r="FM617" s="319" t="s">
        <v>190</v>
      </c>
      <c r="FN617" s="319" t="s">
        <v>190</v>
      </c>
      <c r="FO617" s="319" t="s">
        <v>190</v>
      </c>
      <c r="FP617" s="319" t="s">
        <v>190</v>
      </c>
      <c r="FQ617" s="319" t="s">
        <v>190</v>
      </c>
      <c r="FR617" s="319" t="s">
        <v>190</v>
      </c>
      <c r="FS617" s="319" t="s">
        <v>428</v>
      </c>
      <c r="FT617" s="319" t="s">
        <v>190</v>
      </c>
      <c r="FU617" s="319" t="s">
        <v>190</v>
      </c>
      <c r="FV617" s="319" t="s">
        <v>190</v>
      </c>
      <c r="FW617" s="319" t="s">
        <v>190</v>
      </c>
      <c r="FX617" s="319" t="s">
        <v>190</v>
      </c>
      <c r="FY617" s="319" t="s">
        <v>190</v>
      </c>
      <c r="FZ617" s="319" t="s">
        <v>190</v>
      </c>
      <c r="GA617" s="319" t="s">
        <v>190</v>
      </c>
      <c r="GB617" s="319" t="s">
        <v>190</v>
      </c>
      <c r="GC617" s="319" t="s">
        <v>190</v>
      </c>
      <c r="GD617" s="319" t="s">
        <v>190</v>
      </c>
      <c r="GE617" s="319" t="s">
        <v>190</v>
      </c>
      <c r="GF617" s="319" t="s">
        <v>190</v>
      </c>
      <c r="GG617" s="319" t="s">
        <v>190</v>
      </c>
      <c r="GH617" s="319" t="s">
        <v>190</v>
      </c>
      <c r="GI617" s="319" t="s">
        <v>190</v>
      </c>
      <c r="GJ617" s="319" t="s">
        <v>190</v>
      </c>
      <c r="GK617" s="319" t="s">
        <v>428</v>
      </c>
      <c r="GL617" s="319" t="s">
        <v>190</v>
      </c>
      <c r="GM617" s="319" t="s">
        <v>190</v>
      </c>
      <c r="GN617" s="319" t="s">
        <v>190</v>
      </c>
      <c r="GO617" s="319" t="s">
        <v>190</v>
      </c>
      <c r="GP617" s="319" t="s">
        <v>190</v>
      </c>
      <c r="GQ617" s="319" t="s">
        <v>428</v>
      </c>
      <c r="GR617" s="319" t="s">
        <v>190</v>
      </c>
      <c r="GS617" s="319" t="s">
        <v>190</v>
      </c>
      <c r="GT617" s="319" t="s">
        <v>190</v>
      </c>
      <c r="GU617" s="319" t="s">
        <v>190</v>
      </c>
      <c r="GV617" s="319" t="s">
        <v>428</v>
      </c>
      <c r="GW617" s="319" t="s">
        <v>190</v>
      </c>
      <c r="GX617" s="319" t="s">
        <v>190</v>
      </c>
      <c r="GY617" s="319" t="s">
        <v>190</v>
      </c>
      <c r="GZ617" s="319" t="s">
        <v>428</v>
      </c>
      <c r="HA617" s="319" t="s">
        <v>190</v>
      </c>
      <c r="HB617" s="319" t="s">
        <v>190</v>
      </c>
      <c r="HC617" s="319" t="s">
        <v>190</v>
      </c>
      <c r="HD617" s="319" t="s">
        <v>190</v>
      </c>
      <c r="HE617" s="319" t="s">
        <v>190</v>
      </c>
      <c r="HF617" s="319" t="s">
        <v>190</v>
      </c>
      <c r="HG617" s="319" t="s">
        <v>190</v>
      </c>
      <c r="HH617" s="319" t="s">
        <v>190</v>
      </c>
      <c r="HI617" s="319" t="s">
        <v>190</v>
      </c>
      <c r="HJ617" s="319" t="s">
        <v>190</v>
      </c>
      <c r="HK617" s="319" t="s">
        <v>190</v>
      </c>
      <c r="HL617" s="319" t="s">
        <v>428</v>
      </c>
      <c r="HM617" s="319" t="s">
        <v>428</v>
      </c>
      <c r="HN617" s="319" t="s">
        <v>428</v>
      </c>
      <c r="HO617" s="319" t="s">
        <v>428</v>
      </c>
      <c r="HP617" s="319" t="s">
        <v>190</v>
      </c>
      <c r="HQ617" s="319" t="s">
        <v>190</v>
      </c>
      <c r="HR617" s="319" t="s">
        <v>190</v>
      </c>
      <c r="HS617" s="319" t="s">
        <v>190</v>
      </c>
      <c r="HT617" s="319" t="s">
        <v>190</v>
      </c>
      <c r="HU617" s="319" t="s">
        <v>190</v>
      </c>
      <c r="HV617" s="319" t="s">
        <v>190</v>
      </c>
      <c r="HW617" s="319" t="s">
        <v>190</v>
      </c>
      <c r="HX617" s="319" t="s">
        <v>190</v>
      </c>
      <c r="HY617" s="319" t="s">
        <v>190</v>
      </c>
      <c r="HZ617" s="319" t="s">
        <v>190</v>
      </c>
      <c r="IA617" s="319" t="s">
        <v>190</v>
      </c>
      <c r="IB617" s="319" t="s">
        <v>190</v>
      </c>
      <c r="IC617" s="319" t="s">
        <v>190</v>
      </c>
      <c r="ID617" s="319" t="s">
        <v>190</v>
      </c>
      <c r="IE617" s="319" t="s">
        <v>190</v>
      </c>
      <c r="IF617" s="319" t="s">
        <v>190</v>
      </c>
      <c r="IG617" s="319" t="s">
        <v>190</v>
      </c>
      <c r="IH617" s="319" t="s">
        <v>190</v>
      </c>
      <c r="II617" s="319" t="s">
        <v>190</v>
      </c>
      <c r="IJ617" s="319" t="s">
        <v>3372</v>
      </c>
      <c r="IK617" s="321">
        <v>41968</v>
      </c>
      <c r="IL617" s="321">
        <v>41970</v>
      </c>
      <c r="IM617" s="321">
        <v>41990</v>
      </c>
      <c r="IN617" s="319">
        <v>2</v>
      </c>
      <c r="IO617" s="319" t="s">
        <v>173</v>
      </c>
      <c r="IP617" s="319" t="s">
        <v>173</v>
      </c>
      <c r="IQ617" s="319" t="s">
        <v>173</v>
      </c>
      <c r="IR617" s="320" t="s">
        <v>173</v>
      </c>
      <c r="IS617" s="320" t="s">
        <v>173</v>
      </c>
      <c r="IT617" s="319" t="s">
        <v>173</v>
      </c>
    </row>
    <row r="618" spans="1:254" s="271" customFormat="1" x14ac:dyDescent="0.25">
      <c r="A618" s="318" t="str">
        <f>HYPERLINK("http://www.ofsted.gov.uk/inspection-reports/find-inspection-report/provider/ELS/136228 ","Ofsted School Webpage")</f>
        <v>Ofsted School Webpage</v>
      </c>
      <c r="B618" s="319">
        <v>136228</v>
      </c>
      <c r="C618" s="319">
        <v>3056081</v>
      </c>
      <c r="D618" s="319" t="s">
        <v>2067</v>
      </c>
      <c r="E618" s="319" t="s">
        <v>168</v>
      </c>
      <c r="F618" s="319" t="s">
        <v>81</v>
      </c>
      <c r="G618" s="319" t="s">
        <v>81</v>
      </c>
      <c r="H618" s="319" t="s">
        <v>81</v>
      </c>
      <c r="I618" s="319" t="s">
        <v>78</v>
      </c>
      <c r="J618" s="319" t="s">
        <v>424</v>
      </c>
      <c r="K618" s="319" t="s">
        <v>441</v>
      </c>
      <c r="L618" s="319" t="s">
        <v>441</v>
      </c>
      <c r="M618" s="319" t="s">
        <v>600</v>
      </c>
      <c r="N618" s="319" t="s">
        <v>3373</v>
      </c>
      <c r="O618" s="319" t="s">
        <v>3374</v>
      </c>
      <c r="P618" s="319">
        <v>13</v>
      </c>
      <c r="Q618" s="319" t="s">
        <v>429</v>
      </c>
      <c r="R618" s="320">
        <v>10038173</v>
      </c>
      <c r="S618" s="321">
        <v>43256</v>
      </c>
      <c r="T618" s="321">
        <v>43258</v>
      </c>
      <c r="U618" s="321">
        <v>43280</v>
      </c>
      <c r="V618" s="319" t="s">
        <v>425</v>
      </c>
      <c r="W618" s="319" t="s">
        <v>2767</v>
      </c>
      <c r="X618" s="319">
        <v>2</v>
      </c>
      <c r="Y618" s="319" t="s">
        <v>173</v>
      </c>
      <c r="Z618" s="319" t="s">
        <v>173</v>
      </c>
      <c r="AA618" s="319" t="s">
        <v>173</v>
      </c>
      <c r="AB618" s="319">
        <v>2</v>
      </c>
      <c r="AC618" s="319" t="s">
        <v>169</v>
      </c>
      <c r="AD618" s="319" t="s">
        <v>173</v>
      </c>
      <c r="AE618" s="319" t="s">
        <v>173</v>
      </c>
      <c r="AF618" s="319" t="s">
        <v>447</v>
      </c>
      <c r="AG618" s="319" t="s">
        <v>171</v>
      </c>
      <c r="AH618" s="319" t="s">
        <v>190</v>
      </c>
      <c r="AI618" s="319" t="s">
        <v>190</v>
      </c>
      <c r="AJ618" s="319" t="s">
        <v>190</v>
      </c>
      <c r="AK618" s="319" t="s">
        <v>190</v>
      </c>
      <c r="AL618" s="319" t="s">
        <v>190</v>
      </c>
      <c r="AM618" s="319" t="s">
        <v>190</v>
      </c>
      <c r="AN618" s="319" t="s">
        <v>190</v>
      </c>
      <c r="AO618" s="319" t="s">
        <v>190</v>
      </c>
      <c r="AP618" s="319" t="s">
        <v>190</v>
      </c>
      <c r="AQ618" s="319" t="s">
        <v>190</v>
      </c>
      <c r="AR618" s="319" t="s">
        <v>190</v>
      </c>
      <c r="AS618" s="319" t="s">
        <v>190</v>
      </c>
      <c r="AT618" s="319" t="s">
        <v>190</v>
      </c>
      <c r="AU618" s="319" t="s">
        <v>190</v>
      </c>
      <c r="AV618" s="319" t="s">
        <v>190</v>
      </c>
      <c r="AW618" s="319" t="s">
        <v>190</v>
      </c>
      <c r="AX618" s="319" t="s">
        <v>428</v>
      </c>
      <c r="AY618" s="319" t="s">
        <v>190</v>
      </c>
      <c r="AZ618" s="319" t="s">
        <v>190</v>
      </c>
      <c r="BA618" s="319" t="s">
        <v>190</v>
      </c>
      <c r="BB618" s="319" t="s">
        <v>190</v>
      </c>
      <c r="BC618" s="319" t="s">
        <v>190</v>
      </c>
      <c r="BD618" s="319" t="s">
        <v>190</v>
      </c>
      <c r="BE618" s="319" t="s">
        <v>190</v>
      </c>
      <c r="BF618" s="319" t="s">
        <v>428</v>
      </c>
      <c r="BG618" s="319" t="s">
        <v>190</v>
      </c>
      <c r="BH618" s="319" t="s">
        <v>190</v>
      </c>
      <c r="BI618" s="319" t="s">
        <v>190</v>
      </c>
      <c r="BJ618" s="319" t="s">
        <v>190</v>
      </c>
      <c r="BK618" s="319" t="s">
        <v>190</v>
      </c>
      <c r="BL618" s="319" t="s">
        <v>190</v>
      </c>
      <c r="BM618" s="319" t="s">
        <v>190</v>
      </c>
      <c r="BN618" s="319" t="s">
        <v>190</v>
      </c>
      <c r="BO618" s="319" t="s">
        <v>190</v>
      </c>
      <c r="BP618" s="319" t="s">
        <v>190</v>
      </c>
      <c r="BQ618" s="319" t="s">
        <v>190</v>
      </c>
      <c r="BR618" s="319" t="s">
        <v>190</v>
      </c>
      <c r="BS618" s="319" t="s">
        <v>190</v>
      </c>
      <c r="BT618" s="319" t="s">
        <v>190</v>
      </c>
      <c r="BU618" s="319" t="s">
        <v>190</v>
      </c>
      <c r="BV618" s="319" t="s">
        <v>190</v>
      </c>
      <c r="BW618" s="319" t="s">
        <v>190</v>
      </c>
      <c r="BX618" s="319" t="s">
        <v>190</v>
      </c>
      <c r="BY618" s="319" t="s">
        <v>190</v>
      </c>
      <c r="BZ618" s="319" t="s">
        <v>190</v>
      </c>
      <c r="CA618" s="319" t="s">
        <v>190</v>
      </c>
      <c r="CB618" s="319" t="s">
        <v>190</v>
      </c>
      <c r="CC618" s="319" t="s">
        <v>190</v>
      </c>
      <c r="CD618" s="319" t="s">
        <v>190</v>
      </c>
      <c r="CE618" s="319" t="s">
        <v>190</v>
      </c>
      <c r="CF618" s="319" t="s">
        <v>190</v>
      </c>
      <c r="CG618" s="319" t="s">
        <v>190</v>
      </c>
      <c r="CH618" s="319" t="s">
        <v>190</v>
      </c>
      <c r="CI618" s="319" t="s">
        <v>190</v>
      </c>
      <c r="CJ618" s="319" t="s">
        <v>190</v>
      </c>
      <c r="CK618" s="319" t="s">
        <v>190</v>
      </c>
      <c r="CL618" s="319" t="s">
        <v>190</v>
      </c>
      <c r="CM618" s="319" t="s">
        <v>190</v>
      </c>
      <c r="CN618" s="319" t="s">
        <v>428</v>
      </c>
      <c r="CO618" s="319" t="s">
        <v>428</v>
      </c>
      <c r="CP618" s="319" t="s">
        <v>428</v>
      </c>
      <c r="CQ618" s="319" t="s">
        <v>190</v>
      </c>
      <c r="CR618" s="319" t="s">
        <v>190</v>
      </c>
      <c r="CS618" s="319" t="s">
        <v>190</v>
      </c>
      <c r="CT618" s="319" t="s">
        <v>190</v>
      </c>
      <c r="CU618" s="319" t="s">
        <v>190</v>
      </c>
      <c r="CV618" s="319" t="s">
        <v>190</v>
      </c>
      <c r="CW618" s="319" t="s">
        <v>190</v>
      </c>
      <c r="CX618" s="319" t="s">
        <v>190</v>
      </c>
      <c r="CY618" s="319" t="s">
        <v>190</v>
      </c>
      <c r="CZ618" s="319" t="s">
        <v>190</v>
      </c>
      <c r="DA618" s="319" t="s">
        <v>190</v>
      </c>
      <c r="DB618" s="319" t="s">
        <v>190</v>
      </c>
      <c r="DC618" s="319" t="s">
        <v>190</v>
      </c>
      <c r="DD618" s="319" t="s">
        <v>190</v>
      </c>
      <c r="DE618" s="319" t="s">
        <v>190</v>
      </c>
      <c r="DF618" s="319" t="s">
        <v>190</v>
      </c>
      <c r="DG618" s="319" t="s">
        <v>190</v>
      </c>
      <c r="DH618" s="319" t="s">
        <v>190</v>
      </c>
      <c r="DI618" s="319" t="s">
        <v>190</v>
      </c>
      <c r="DJ618" s="319" t="s">
        <v>190</v>
      </c>
      <c r="DK618" s="319" t="s">
        <v>190</v>
      </c>
      <c r="DL618" s="319" t="s">
        <v>190</v>
      </c>
      <c r="DM618" s="319" t="s">
        <v>190</v>
      </c>
      <c r="DN618" s="319" t="s">
        <v>428</v>
      </c>
      <c r="DO618" s="319" t="s">
        <v>190</v>
      </c>
      <c r="DP618" s="319" t="s">
        <v>190</v>
      </c>
      <c r="DQ618" s="319" t="s">
        <v>190</v>
      </c>
      <c r="DR618" s="319" t="s">
        <v>190</v>
      </c>
      <c r="DS618" s="319" t="s">
        <v>190</v>
      </c>
      <c r="DT618" s="319" t="s">
        <v>190</v>
      </c>
      <c r="DU618" s="319" t="s">
        <v>190</v>
      </c>
      <c r="DV618" s="319" t="s">
        <v>173</v>
      </c>
      <c r="DW618" s="319" t="s">
        <v>190</v>
      </c>
      <c r="DX618" s="319" t="s">
        <v>190</v>
      </c>
      <c r="DY618" s="319" t="s">
        <v>190</v>
      </c>
      <c r="DZ618" s="319" t="s">
        <v>190</v>
      </c>
      <c r="EA618" s="319" t="s">
        <v>190</v>
      </c>
      <c r="EB618" s="319" t="s">
        <v>190</v>
      </c>
      <c r="EC618" s="319" t="s">
        <v>428</v>
      </c>
      <c r="ED618" s="319" t="s">
        <v>190</v>
      </c>
      <c r="EE618" s="319" t="s">
        <v>190</v>
      </c>
      <c r="EF618" s="319" t="s">
        <v>190</v>
      </c>
      <c r="EG618" s="319" t="s">
        <v>190</v>
      </c>
      <c r="EH618" s="319" t="s">
        <v>190</v>
      </c>
      <c r="EI618" s="319" t="s">
        <v>190</v>
      </c>
      <c r="EJ618" s="319" t="s">
        <v>190</v>
      </c>
      <c r="EK618" s="319" t="s">
        <v>190</v>
      </c>
      <c r="EL618" s="319" t="s">
        <v>190</v>
      </c>
      <c r="EM618" s="319" t="s">
        <v>190</v>
      </c>
      <c r="EN618" s="319" t="s">
        <v>190</v>
      </c>
      <c r="EO618" s="319" t="s">
        <v>190</v>
      </c>
      <c r="EP618" s="319" t="s">
        <v>190</v>
      </c>
      <c r="EQ618" s="319" t="s">
        <v>190</v>
      </c>
      <c r="ER618" s="319" t="s">
        <v>190</v>
      </c>
      <c r="ES618" s="319" t="s">
        <v>190</v>
      </c>
      <c r="ET618" s="319" t="s">
        <v>190</v>
      </c>
      <c r="EU618" s="319" t="s">
        <v>190</v>
      </c>
      <c r="EV618" s="319" t="s">
        <v>190</v>
      </c>
      <c r="EW618" s="319" t="s">
        <v>190</v>
      </c>
      <c r="EX618" s="319" t="s">
        <v>190</v>
      </c>
      <c r="EY618" s="319" t="s">
        <v>190</v>
      </c>
      <c r="EZ618" s="319" t="s">
        <v>190</v>
      </c>
      <c r="FA618" s="319" t="s">
        <v>428</v>
      </c>
      <c r="FB618" s="319" t="s">
        <v>190</v>
      </c>
      <c r="FC618" s="319" t="s">
        <v>190</v>
      </c>
      <c r="FD618" s="319" t="s">
        <v>190</v>
      </c>
      <c r="FE618" s="319" t="s">
        <v>190</v>
      </c>
      <c r="FF618" s="319" t="s">
        <v>190</v>
      </c>
      <c r="FG618" s="319" t="s">
        <v>190</v>
      </c>
      <c r="FH618" s="319" t="s">
        <v>190</v>
      </c>
      <c r="FI618" s="319" t="s">
        <v>428</v>
      </c>
      <c r="FJ618" s="319" t="s">
        <v>429</v>
      </c>
      <c r="FK618" s="319" t="s">
        <v>428</v>
      </c>
      <c r="FL618" s="319" t="s">
        <v>190</v>
      </c>
      <c r="FM618" s="319" t="s">
        <v>190</v>
      </c>
      <c r="FN618" s="319" t="s">
        <v>190</v>
      </c>
      <c r="FO618" s="319" t="s">
        <v>190</v>
      </c>
      <c r="FP618" s="319" t="s">
        <v>190</v>
      </c>
      <c r="FQ618" s="319" t="s">
        <v>190</v>
      </c>
      <c r="FR618" s="319" t="s">
        <v>190</v>
      </c>
      <c r="FS618" s="319" t="s">
        <v>428</v>
      </c>
      <c r="FT618" s="319" t="s">
        <v>190</v>
      </c>
      <c r="FU618" s="319" t="s">
        <v>190</v>
      </c>
      <c r="FV618" s="319" t="s">
        <v>190</v>
      </c>
      <c r="FW618" s="319" t="s">
        <v>190</v>
      </c>
      <c r="FX618" s="319" t="s">
        <v>190</v>
      </c>
      <c r="FY618" s="319" t="s">
        <v>190</v>
      </c>
      <c r="FZ618" s="319" t="s">
        <v>190</v>
      </c>
      <c r="GA618" s="319" t="s">
        <v>190</v>
      </c>
      <c r="GB618" s="319" t="s">
        <v>190</v>
      </c>
      <c r="GC618" s="319" t="s">
        <v>190</v>
      </c>
      <c r="GD618" s="319" t="s">
        <v>190</v>
      </c>
      <c r="GE618" s="319" t="s">
        <v>190</v>
      </c>
      <c r="GF618" s="319" t="s">
        <v>190</v>
      </c>
      <c r="GG618" s="319" t="s">
        <v>190</v>
      </c>
      <c r="GH618" s="319" t="s">
        <v>190</v>
      </c>
      <c r="GI618" s="319" t="s">
        <v>190</v>
      </c>
      <c r="GJ618" s="319" t="s">
        <v>190</v>
      </c>
      <c r="GK618" s="319" t="s">
        <v>428</v>
      </c>
      <c r="GL618" s="319" t="s">
        <v>190</v>
      </c>
      <c r="GM618" s="319" t="s">
        <v>190</v>
      </c>
      <c r="GN618" s="319" t="s">
        <v>190</v>
      </c>
      <c r="GO618" s="319" t="s">
        <v>190</v>
      </c>
      <c r="GP618" s="319" t="s">
        <v>190</v>
      </c>
      <c r="GQ618" s="319" t="s">
        <v>428</v>
      </c>
      <c r="GR618" s="319" t="s">
        <v>190</v>
      </c>
      <c r="GS618" s="319" t="s">
        <v>190</v>
      </c>
      <c r="GT618" s="319" t="s">
        <v>190</v>
      </c>
      <c r="GU618" s="319" t="s">
        <v>190</v>
      </c>
      <c r="GV618" s="319" t="s">
        <v>190</v>
      </c>
      <c r="GW618" s="319" t="s">
        <v>190</v>
      </c>
      <c r="GX618" s="319" t="s">
        <v>190</v>
      </c>
      <c r="GY618" s="319" t="s">
        <v>190</v>
      </c>
      <c r="GZ618" s="319" t="s">
        <v>190</v>
      </c>
      <c r="HA618" s="319" t="s">
        <v>428</v>
      </c>
      <c r="HB618" s="319" t="s">
        <v>190</v>
      </c>
      <c r="HC618" s="319" t="s">
        <v>190</v>
      </c>
      <c r="HD618" s="319" t="s">
        <v>190</v>
      </c>
      <c r="HE618" s="319" t="s">
        <v>190</v>
      </c>
      <c r="HF618" s="319" t="s">
        <v>190</v>
      </c>
      <c r="HG618" s="319" t="s">
        <v>190</v>
      </c>
      <c r="HH618" s="319" t="s">
        <v>190</v>
      </c>
      <c r="HI618" s="319" t="s">
        <v>190</v>
      </c>
      <c r="HJ618" s="319" t="s">
        <v>190</v>
      </c>
      <c r="HK618" s="319" t="s">
        <v>190</v>
      </c>
      <c r="HL618" s="319" t="s">
        <v>428</v>
      </c>
      <c r="HM618" s="319" t="s">
        <v>428</v>
      </c>
      <c r="HN618" s="319" t="s">
        <v>428</v>
      </c>
      <c r="HO618" s="319" t="s">
        <v>428</v>
      </c>
      <c r="HP618" s="319" t="s">
        <v>190</v>
      </c>
      <c r="HQ618" s="319" t="s">
        <v>190</v>
      </c>
      <c r="HR618" s="319" t="s">
        <v>190</v>
      </c>
      <c r="HS618" s="319" t="s">
        <v>190</v>
      </c>
      <c r="HT618" s="319" t="s">
        <v>190</v>
      </c>
      <c r="HU618" s="319" t="s">
        <v>190</v>
      </c>
      <c r="HV618" s="319" t="s">
        <v>190</v>
      </c>
      <c r="HW618" s="319" t="s">
        <v>190</v>
      </c>
      <c r="HX618" s="319" t="s">
        <v>190</v>
      </c>
      <c r="HY618" s="319" t="s">
        <v>190</v>
      </c>
      <c r="HZ618" s="319" t="s">
        <v>190</v>
      </c>
      <c r="IA618" s="319" t="s">
        <v>190</v>
      </c>
      <c r="IB618" s="319" t="s">
        <v>190</v>
      </c>
      <c r="IC618" s="319" t="s">
        <v>190</v>
      </c>
      <c r="ID618" s="319" t="s">
        <v>190</v>
      </c>
      <c r="IE618" s="319" t="s">
        <v>190</v>
      </c>
      <c r="IF618" s="319" t="s">
        <v>190</v>
      </c>
      <c r="IG618" s="319" t="s">
        <v>190</v>
      </c>
      <c r="IH618" s="319" t="s">
        <v>190</v>
      </c>
      <c r="II618" s="319" t="s">
        <v>190</v>
      </c>
      <c r="IJ618" s="319" t="s">
        <v>3375</v>
      </c>
      <c r="IK618" s="321">
        <v>41933</v>
      </c>
      <c r="IL618" s="321">
        <v>41934</v>
      </c>
      <c r="IM618" s="321">
        <v>42039</v>
      </c>
      <c r="IN618" s="319">
        <v>2</v>
      </c>
      <c r="IO618" s="319" t="s">
        <v>173</v>
      </c>
      <c r="IP618" s="319" t="s">
        <v>173</v>
      </c>
      <c r="IQ618" s="319" t="s">
        <v>173</v>
      </c>
      <c r="IR618" s="320" t="s">
        <v>173</v>
      </c>
      <c r="IS618" s="320" t="s">
        <v>173</v>
      </c>
      <c r="IT618" s="319" t="s">
        <v>173</v>
      </c>
    </row>
    <row r="619" spans="1:254" s="271" customFormat="1" x14ac:dyDescent="0.25">
      <c r="A619" s="318" t="str">
        <f>HYPERLINK("http://www.ofsted.gov.uk/inspection-reports/find-inspection-report/provider/ELS/136230 ","Ofsted School Webpage")</f>
        <v>Ofsted School Webpage</v>
      </c>
      <c r="B619" s="319">
        <v>136230</v>
      </c>
      <c r="C619" s="319">
        <v>3566035</v>
      </c>
      <c r="D619" s="319" t="s">
        <v>2068</v>
      </c>
      <c r="E619" s="319" t="s">
        <v>168</v>
      </c>
      <c r="F619" s="319" t="s">
        <v>81</v>
      </c>
      <c r="G619" s="319" t="s">
        <v>81</v>
      </c>
      <c r="H619" s="319" t="s">
        <v>81</v>
      </c>
      <c r="I619" s="319" t="s">
        <v>78</v>
      </c>
      <c r="J619" s="319" t="s">
        <v>424</v>
      </c>
      <c r="K619" s="319" t="s">
        <v>431</v>
      </c>
      <c r="L619" s="319" t="s">
        <v>431</v>
      </c>
      <c r="M619" s="319" t="s">
        <v>837</v>
      </c>
      <c r="N619" s="319" t="s">
        <v>2878</v>
      </c>
      <c r="O619" s="319" t="s">
        <v>2069</v>
      </c>
      <c r="P619" s="319">
        <v>6</v>
      </c>
      <c r="Q619" s="319" t="s">
        <v>429</v>
      </c>
      <c r="R619" s="320">
        <v>10038932</v>
      </c>
      <c r="S619" s="321">
        <v>43025</v>
      </c>
      <c r="T619" s="321">
        <v>43027</v>
      </c>
      <c r="U619" s="321">
        <v>43053</v>
      </c>
      <c r="V619" s="319" t="s">
        <v>425</v>
      </c>
      <c r="W619" s="319" t="s">
        <v>2767</v>
      </c>
      <c r="X619" s="319">
        <v>2</v>
      </c>
      <c r="Y619" s="319" t="s">
        <v>173</v>
      </c>
      <c r="Z619" s="319" t="s">
        <v>173</v>
      </c>
      <c r="AA619" s="319" t="s">
        <v>173</v>
      </c>
      <c r="AB619" s="319">
        <v>2</v>
      </c>
      <c r="AC619" s="319" t="s">
        <v>169</v>
      </c>
      <c r="AD619" s="319" t="s">
        <v>173</v>
      </c>
      <c r="AE619" s="319" t="s">
        <v>173</v>
      </c>
      <c r="AF619" s="319" t="s">
        <v>427</v>
      </c>
      <c r="AG619" s="319" t="s">
        <v>171</v>
      </c>
      <c r="AH619" s="319" t="s">
        <v>190</v>
      </c>
      <c r="AI619" s="319" t="s">
        <v>190</v>
      </c>
      <c r="AJ619" s="319" t="s">
        <v>190</v>
      </c>
      <c r="AK619" s="319" t="s">
        <v>190</v>
      </c>
      <c r="AL619" s="319" t="s">
        <v>190</v>
      </c>
      <c r="AM619" s="319" t="s">
        <v>190</v>
      </c>
      <c r="AN619" s="319" t="s">
        <v>190</v>
      </c>
      <c r="AO619" s="319" t="s">
        <v>190</v>
      </c>
      <c r="AP619" s="319" t="s">
        <v>190</v>
      </c>
      <c r="AQ619" s="319" t="s">
        <v>190</v>
      </c>
      <c r="AR619" s="319" t="s">
        <v>190</v>
      </c>
      <c r="AS619" s="319" t="s">
        <v>190</v>
      </c>
      <c r="AT619" s="319" t="s">
        <v>190</v>
      </c>
      <c r="AU619" s="319" t="s">
        <v>190</v>
      </c>
      <c r="AV619" s="319" t="s">
        <v>190</v>
      </c>
      <c r="AW619" s="319" t="s">
        <v>190</v>
      </c>
      <c r="AX619" s="319" t="s">
        <v>428</v>
      </c>
      <c r="AY619" s="319" t="s">
        <v>190</v>
      </c>
      <c r="AZ619" s="319" t="s">
        <v>190</v>
      </c>
      <c r="BA619" s="319" t="s">
        <v>190</v>
      </c>
      <c r="BB619" s="319" t="s">
        <v>190</v>
      </c>
      <c r="BC619" s="319" t="s">
        <v>190</v>
      </c>
      <c r="BD619" s="319" t="s">
        <v>190</v>
      </c>
      <c r="BE619" s="319" t="s">
        <v>190</v>
      </c>
      <c r="BF619" s="319" t="s">
        <v>428</v>
      </c>
      <c r="BG619" s="319" t="s">
        <v>428</v>
      </c>
      <c r="BH619" s="319" t="s">
        <v>190</v>
      </c>
      <c r="BI619" s="319" t="s">
        <v>190</v>
      </c>
      <c r="BJ619" s="319" t="s">
        <v>190</v>
      </c>
      <c r="BK619" s="319" t="s">
        <v>190</v>
      </c>
      <c r="BL619" s="319" t="s">
        <v>190</v>
      </c>
      <c r="BM619" s="319" t="s">
        <v>190</v>
      </c>
      <c r="BN619" s="319" t="s">
        <v>190</v>
      </c>
      <c r="BO619" s="319" t="s">
        <v>190</v>
      </c>
      <c r="BP619" s="319" t="s">
        <v>190</v>
      </c>
      <c r="BQ619" s="319" t="s">
        <v>190</v>
      </c>
      <c r="BR619" s="319" t="s">
        <v>190</v>
      </c>
      <c r="BS619" s="319" t="s">
        <v>190</v>
      </c>
      <c r="BT619" s="319" t="s">
        <v>190</v>
      </c>
      <c r="BU619" s="319" t="s">
        <v>190</v>
      </c>
      <c r="BV619" s="319" t="s">
        <v>190</v>
      </c>
      <c r="BW619" s="319" t="s">
        <v>190</v>
      </c>
      <c r="BX619" s="319" t="s">
        <v>190</v>
      </c>
      <c r="BY619" s="319" t="s">
        <v>190</v>
      </c>
      <c r="BZ619" s="319" t="s">
        <v>190</v>
      </c>
      <c r="CA619" s="319" t="s">
        <v>190</v>
      </c>
      <c r="CB619" s="319" t="s">
        <v>190</v>
      </c>
      <c r="CC619" s="319" t="s">
        <v>190</v>
      </c>
      <c r="CD619" s="319" t="s">
        <v>190</v>
      </c>
      <c r="CE619" s="319" t="s">
        <v>190</v>
      </c>
      <c r="CF619" s="319" t="s">
        <v>190</v>
      </c>
      <c r="CG619" s="319" t="s">
        <v>190</v>
      </c>
      <c r="CH619" s="319" t="s">
        <v>190</v>
      </c>
      <c r="CI619" s="319" t="s">
        <v>190</v>
      </c>
      <c r="CJ619" s="319" t="s">
        <v>190</v>
      </c>
      <c r="CK619" s="319" t="s">
        <v>190</v>
      </c>
      <c r="CL619" s="319" t="s">
        <v>190</v>
      </c>
      <c r="CM619" s="319" t="s">
        <v>190</v>
      </c>
      <c r="CN619" s="319" t="s">
        <v>428</v>
      </c>
      <c r="CO619" s="319" t="s">
        <v>428</v>
      </c>
      <c r="CP619" s="319" t="s">
        <v>428</v>
      </c>
      <c r="CQ619" s="319" t="s">
        <v>190</v>
      </c>
      <c r="CR619" s="319" t="s">
        <v>190</v>
      </c>
      <c r="CS619" s="319" t="s">
        <v>190</v>
      </c>
      <c r="CT619" s="319" t="s">
        <v>190</v>
      </c>
      <c r="CU619" s="319" t="s">
        <v>190</v>
      </c>
      <c r="CV619" s="319" t="s">
        <v>190</v>
      </c>
      <c r="CW619" s="319" t="s">
        <v>190</v>
      </c>
      <c r="CX619" s="319" t="s">
        <v>190</v>
      </c>
      <c r="CY619" s="319" t="s">
        <v>190</v>
      </c>
      <c r="CZ619" s="319" t="s">
        <v>190</v>
      </c>
      <c r="DA619" s="319" t="s">
        <v>190</v>
      </c>
      <c r="DB619" s="319" t="s">
        <v>190</v>
      </c>
      <c r="DC619" s="319" t="s">
        <v>190</v>
      </c>
      <c r="DD619" s="319" t="s">
        <v>190</v>
      </c>
      <c r="DE619" s="319" t="s">
        <v>190</v>
      </c>
      <c r="DF619" s="319" t="s">
        <v>190</v>
      </c>
      <c r="DG619" s="319" t="s">
        <v>190</v>
      </c>
      <c r="DH619" s="319" t="s">
        <v>190</v>
      </c>
      <c r="DI619" s="319" t="s">
        <v>190</v>
      </c>
      <c r="DJ619" s="319" t="s">
        <v>190</v>
      </c>
      <c r="DK619" s="319" t="s">
        <v>190</v>
      </c>
      <c r="DL619" s="319" t="s">
        <v>190</v>
      </c>
      <c r="DM619" s="319" t="s">
        <v>190</v>
      </c>
      <c r="DN619" s="319" t="s">
        <v>428</v>
      </c>
      <c r="DO619" s="319" t="s">
        <v>190</v>
      </c>
      <c r="DP619" s="319" t="s">
        <v>190</v>
      </c>
      <c r="DQ619" s="319" t="s">
        <v>190</v>
      </c>
      <c r="DR619" s="319" t="s">
        <v>190</v>
      </c>
      <c r="DS619" s="319" t="s">
        <v>190</v>
      </c>
      <c r="DT619" s="319" t="s">
        <v>190</v>
      </c>
      <c r="DU619" s="319" t="s">
        <v>190</v>
      </c>
      <c r="DV619" s="319" t="s">
        <v>173</v>
      </c>
      <c r="DW619" s="319" t="s">
        <v>190</v>
      </c>
      <c r="DX619" s="319" t="s">
        <v>190</v>
      </c>
      <c r="DY619" s="319" t="s">
        <v>190</v>
      </c>
      <c r="DZ619" s="319" t="s">
        <v>190</v>
      </c>
      <c r="EA619" s="319" t="s">
        <v>190</v>
      </c>
      <c r="EB619" s="319" t="s">
        <v>190</v>
      </c>
      <c r="EC619" s="319" t="s">
        <v>428</v>
      </c>
      <c r="ED619" s="319" t="s">
        <v>190</v>
      </c>
      <c r="EE619" s="319" t="s">
        <v>190</v>
      </c>
      <c r="EF619" s="319" t="s">
        <v>190</v>
      </c>
      <c r="EG619" s="319" t="s">
        <v>190</v>
      </c>
      <c r="EH619" s="319" t="s">
        <v>190</v>
      </c>
      <c r="EI619" s="319" t="s">
        <v>190</v>
      </c>
      <c r="EJ619" s="319" t="s">
        <v>190</v>
      </c>
      <c r="EK619" s="319" t="s">
        <v>190</v>
      </c>
      <c r="EL619" s="319" t="s">
        <v>190</v>
      </c>
      <c r="EM619" s="319" t="s">
        <v>190</v>
      </c>
      <c r="EN619" s="319" t="s">
        <v>190</v>
      </c>
      <c r="EO619" s="319" t="s">
        <v>190</v>
      </c>
      <c r="EP619" s="319" t="s">
        <v>190</v>
      </c>
      <c r="EQ619" s="319" t="s">
        <v>190</v>
      </c>
      <c r="ER619" s="319" t="s">
        <v>190</v>
      </c>
      <c r="ES619" s="319" t="s">
        <v>190</v>
      </c>
      <c r="ET619" s="319" t="s">
        <v>190</v>
      </c>
      <c r="EU619" s="319" t="s">
        <v>190</v>
      </c>
      <c r="EV619" s="319" t="s">
        <v>190</v>
      </c>
      <c r="EW619" s="319" t="s">
        <v>190</v>
      </c>
      <c r="EX619" s="319" t="s">
        <v>190</v>
      </c>
      <c r="EY619" s="319" t="s">
        <v>190</v>
      </c>
      <c r="EZ619" s="319" t="s">
        <v>190</v>
      </c>
      <c r="FA619" s="319" t="s">
        <v>190</v>
      </c>
      <c r="FB619" s="319" t="s">
        <v>190</v>
      </c>
      <c r="FC619" s="319" t="s">
        <v>190</v>
      </c>
      <c r="FD619" s="319" t="s">
        <v>190</v>
      </c>
      <c r="FE619" s="319" t="s">
        <v>190</v>
      </c>
      <c r="FF619" s="319" t="s">
        <v>190</v>
      </c>
      <c r="FG619" s="319" t="s">
        <v>190</v>
      </c>
      <c r="FH619" s="319" t="s">
        <v>190</v>
      </c>
      <c r="FI619" s="319" t="s">
        <v>190</v>
      </c>
      <c r="FJ619" s="319" t="s">
        <v>190</v>
      </c>
      <c r="FK619" s="319" t="s">
        <v>190</v>
      </c>
      <c r="FL619" s="319" t="s">
        <v>190</v>
      </c>
      <c r="FM619" s="319" t="s">
        <v>190</v>
      </c>
      <c r="FN619" s="319" t="s">
        <v>190</v>
      </c>
      <c r="FO619" s="319" t="s">
        <v>190</v>
      </c>
      <c r="FP619" s="319" t="s">
        <v>190</v>
      </c>
      <c r="FQ619" s="319" t="s">
        <v>190</v>
      </c>
      <c r="FR619" s="319" t="s">
        <v>190</v>
      </c>
      <c r="FS619" s="319" t="s">
        <v>428</v>
      </c>
      <c r="FT619" s="319" t="s">
        <v>190</v>
      </c>
      <c r="FU619" s="319" t="s">
        <v>190</v>
      </c>
      <c r="FV619" s="319" t="s">
        <v>190</v>
      </c>
      <c r="FW619" s="319" t="s">
        <v>190</v>
      </c>
      <c r="FX619" s="319" t="s">
        <v>190</v>
      </c>
      <c r="FY619" s="319" t="s">
        <v>190</v>
      </c>
      <c r="FZ619" s="319" t="s">
        <v>190</v>
      </c>
      <c r="GA619" s="319" t="s">
        <v>190</v>
      </c>
      <c r="GB619" s="319" t="s">
        <v>190</v>
      </c>
      <c r="GC619" s="319" t="s">
        <v>190</v>
      </c>
      <c r="GD619" s="319" t="s">
        <v>190</v>
      </c>
      <c r="GE619" s="319" t="s">
        <v>190</v>
      </c>
      <c r="GF619" s="319" t="s">
        <v>190</v>
      </c>
      <c r="GG619" s="319" t="s">
        <v>190</v>
      </c>
      <c r="GH619" s="319" t="s">
        <v>190</v>
      </c>
      <c r="GI619" s="319" t="s">
        <v>190</v>
      </c>
      <c r="GJ619" s="319" t="s">
        <v>190</v>
      </c>
      <c r="GK619" s="319" t="s">
        <v>428</v>
      </c>
      <c r="GL619" s="319" t="s">
        <v>190</v>
      </c>
      <c r="GM619" s="319" t="s">
        <v>190</v>
      </c>
      <c r="GN619" s="319" t="s">
        <v>190</v>
      </c>
      <c r="GO619" s="319" t="s">
        <v>190</v>
      </c>
      <c r="GP619" s="319" t="s">
        <v>190</v>
      </c>
      <c r="GQ619" s="319" t="s">
        <v>190</v>
      </c>
      <c r="GR619" s="319" t="s">
        <v>190</v>
      </c>
      <c r="GS619" s="319" t="s">
        <v>190</v>
      </c>
      <c r="GT619" s="319" t="s">
        <v>190</v>
      </c>
      <c r="GU619" s="319" t="s">
        <v>190</v>
      </c>
      <c r="GV619" s="319" t="s">
        <v>190</v>
      </c>
      <c r="GW619" s="319" t="s">
        <v>190</v>
      </c>
      <c r="GX619" s="319" t="s">
        <v>190</v>
      </c>
      <c r="GY619" s="319" t="s">
        <v>190</v>
      </c>
      <c r="GZ619" s="319" t="s">
        <v>428</v>
      </c>
      <c r="HA619" s="319" t="s">
        <v>190</v>
      </c>
      <c r="HB619" s="319" t="s">
        <v>190</v>
      </c>
      <c r="HC619" s="319" t="s">
        <v>190</v>
      </c>
      <c r="HD619" s="319" t="s">
        <v>190</v>
      </c>
      <c r="HE619" s="319" t="s">
        <v>190</v>
      </c>
      <c r="HF619" s="319" t="s">
        <v>190</v>
      </c>
      <c r="HG619" s="319" t="s">
        <v>190</v>
      </c>
      <c r="HH619" s="319" t="s">
        <v>190</v>
      </c>
      <c r="HI619" s="319" t="s">
        <v>190</v>
      </c>
      <c r="HJ619" s="319" t="s">
        <v>190</v>
      </c>
      <c r="HK619" s="319" t="s">
        <v>190</v>
      </c>
      <c r="HL619" s="319" t="s">
        <v>190</v>
      </c>
      <c r="HM619" s="319" t="s">
        <v>190</v>
      </c>
      <c r="HN619" s="319" t="s">
        <v>190</v>
      </c>
      <c r="HO619" s="319" t="s">
        <v>190</v>
      </c>
      <c r="HP619" s="319" t="s">
        <v>190</v>
      </c>
      <c r="HQ619" s="319" t="s">
        <v>190</v>
      </c>
      <c r="HR619" s="319" t="s">
        <v>190</v>
      </c>
      <c r="HS619" s="319" t="s">
        <v>190</v>
      </c>
      <c r="HT619" s="319" t="s">
        <v>190</v>
      </c>
      <c r="HU619" s="319" t="s">
        <v>190</v>
      </c>
      <c r="HV619" s="319" t="s">
        <v>190</v>
      </c>
      <c r="HW619" s="319" t="s">
        <v>190</v>
      </c>
      <c r="HX619" s="319" t="s">
        <v>190</v>
      </c>
      <c r="HY619" s="319" t="s">
        <v>190</v>
      </c>
      <c r="HZ619" s="319" t="s">
        <v>190</v>
      </c>
      <c r="IA619" s="319" t="s">
        <v>190</v>
      </c>
      <c r="IB619" s="319" t="s">
        <v>190</v>
      </c>
      <c r="IC619" s="319" t="s">
        <v>190</v>
      </c>
      <c r="ID619" s="319" t="s">
        <v>190</v>
      </c>
      <c r="IE619" s="319" t="s">
        <v>190</v>
      </c>
      <c r="IF619" s="319" t="s">
        <v>190</v>
      </c>
      <c r="IG619" s="319" t="s">
        <v>190</v>
      </c>
      <c r="IH619" s="319" t="s">
        <v>190</v>
      </c>
      <c r="II619" s="319" t="s">
        <v>190</v>
      </c>
      <c r="IJ619" s="319" t="s">
        <v>3376</v>
      </c>
      <c r="IK619" s="321">
        <v>41982</v>
      </c>
      <c r="IL619" s="321">
        <v>41983</v>
      </c>
      <c r="IM619" s="321">
        <v>42017</v>
      </c>
      <c r="IN619" s="319">
        <v>2</v>
      </c>
      <c r="IO619" s="319" t="s">
        <v>173</v>
      </c>
      <c r="IP619" s="319" t="s">
        <v>173</v>
      </c>
      <c r="IQ619" s="321" t="s">
        <v>173</v>
      </c>
      <c r="IR619" s="320" t="s">
        <v>173</v>
      </c>
      <c r="IS619" s="322" t="s">
        <v>173</v>
      </c>
      <c r="IT619" s="319" t="s">
        <v>173</v>
      </c>
    </row>
    <row r="620" spans="1:254" s="271" customFormat="1" x14ac:dyDescent="0.25">
      <c r="A620" s="318" t="str">
        <f>HYPERLINK("http://www.ofsted.gov.uk/inspection-reports/find-inspection-report/provider/ELS/136231 ","Ofsted School Webpage")</f>
        <v>Ofsted School Webpage</v>
      </c>
      <c r="B620" s="319">
        <v>136231</v>
      </c>
      <c r="C620" s="319">
        <v>3046114</v>
      </c>
      <c r="D620" s="319" t="s">
        <v>2070</v>
      </c>
      <c r="E620" s="319" t="s">
        <v>167</v>
      </c>
      <c r="F620" s="319" t="s">
        <v>81</v>
      </c>
      <c r="G620" s="319" t="s">
        <v>69</v>
      </c>
      <c r="H620" s="319" t="s">
        <v>69</v>
      </c>
      <c r="I620" s="319" t="s">
        <v>69</v>
      </c>
      <c r="J620" s="319" t="s">
        <v>424</v>
      </c>
      <c r="K620" s="319" t="s">
        <v>441</v>
      </c>
      <c r="L620" s="319" t="s">
        <v>441</v>
      </c>
      <c r="M620" s="319" t="s">
        <v>477</v>
      </c>
      <c r="N620" s="319" t="s">
        <v>3283</v>
      </c>
      <c r="O620" s="319" t="s">
        <v>2071</v>
      </c>
      <c r="P620" s="319">
        <v>122</v>
      </c>
      <c r="Q620" s="319" t="s">
        <v>2766</v>
      </c>
      <c r="R620" s="320">
        <v>10038174</v>
      </c>
      <c r="S620" s="321">
        <v>43270</v>
      </c>
      <c r="T620" s="321">
        <v>43272</v>
      </c>
      <c r="U620" s="321">
        <v>43307</v>
      </c>
      <c r="V620" s="319" t="s">
        <v>425</v>
      </c>
      <c r="W620" s="319" t="s">
        <v>2767</v>
      </c>
      <c r="X620" s="319">
        <v>2</v>
      </c>
      <c r="Y620" s="319" t="s">
        <v>173</v>
      </c>
      <c r="Z620" s="319" t="s">
        <v>173</v>
      </c>
      <c r="AA620" s="319" t="s">
        <v>173</v>
      </c>
      <c r="AB620" s="319">
        <v>2</v>
      </c>
      <c r="AC620" s="319" t="s">
        <v>169</v>
      </c>
      <c r="AD620" s="319">
        <v>2</v>
      </c>
      <c r="AE620" s="319" t="s">
        <v>173</v>
      </c>
      <c r="AF620" s="319" t="s">
        <v>427</v>
      </c>
      <c r="AG620" s="319" t="s">
        <v>171</v>
      </c>
      <c r="AH620" s="319" t="s">
        <v>190</v>
      </c>
      <c r="AI620" s="319" t="s">
        <v>190</v>
      </c>
      <c r="AJ620" s="319" t="s">
        <v>190</v>
      </c>
      <c r="AK620" s="319" t="s">
        <v>190</v>
      </c>
      <c r="AL620" s="319" t="s">
        <v>190</v>
      </c>
      <c r="AM620" s="319" t="s">
        <v>190</v>
      </c>
      <c r="AN620" s="319" t="s">
        <v>190</v>
      </c>
      <c r="AO620" s="319" t="s">
        <v>190</v>
      </c>
      <c r="AP620" s="319" t="s">
        <v>190</v>
      </c>
      <c r="AQ620" s="319" t="s">
        <v>190</v>
      </c>
      <c r="AR620" s="319" t="s">
        <v>190</v>
      </c>
      <c r="AS620" s="319" t="s">
        <v>190</v>
      </c>
      <c r="AT620" s="319" t="s">
        <v>190</v>
      </c>
      <c r="AU620" s="319" t="s">
        <v>190</v>
      </c>
      <c r="AV620" s="319" t="s">
        <v>190</v>
      </c>
      <c r="AW620" s="319" t="s">
        <v>190</v>
      </c>
      <c r="AX620" s="319" t="s">
        <v>428</v>
      </c>
      <c r="AY620" s="319" t="s">
        <v>190</v>
      </c>
      <c r="AZ620" s="319" t="s">
        <v>190</v>
      </c>
      <c r="BA620" s="319" t="s">
        <v>190</v>
      </c>
      <c r="BB620" s="319" t="s">
        <v>428</v>
      </c>
      <c r="BC620" s="319" t="s">
        <v>428</v>
      </c>
      <c r="BD620" s="319" t="s">
        <v>428</v>
      </c>
      <c r="BE620" s="319" t="s">
        <v>428</v>
      </c>
      <c r="BF620" s="319" t="s">
        <v>190</v>
      </c>
      <c r="BG620" s="319" t="s">
        <v>428</v>
      </c>
      <c r="BH620" s="319" t="s">
        <v>190</v>
      </c>
      <c r="BI620" s="319" t="s">
        <v>190</v>
      </c>
      <c r="BJ620" s="319" t="s">
        <v>190</v>
      </c>
      <c r="BK620" s="319" t="s">
        <v>190</v>
      </c>
      <c r="BL620" s="319" t="s">
        <v>190</v>
      </c>
      <c r="BM620" s="319" t="s">
        <v>190</v>
      </c>
      <c r="BN620" s="319" t="s">
        <v>190</v>
      </c>
      <c r="BO620" s="319" t="s">
        <v>190</v>
      </c>
      <c r="BP620" s="319" t="s">
        <v>190</v>
      </c>
      <c r="BQ620" s="319" t="s">
        <v>190</v>
      </c>
      <c r="BR620" s="319" t="s">
        <v>190</v>
      </c>
      <c r="BS620" s="319" t="s">
        <v>190</v>
      </c>
      <c r="BT620" s="319" t="s">
        <v>190</v>
      </c>
      <c r="BU620" s="319" t="s">
        <v>190</v>
      </c>
      <c r="BV620" s="319" t="s">
        <v>190</v>
      </c>
      <c r="BW620" s="319" t="s">
        <v>190</v>
      </c>
      <c r="BX620" s="319" t="s">
        <v>190</v>
      </c>
      <c r="BY620" s="319" t="s">
        <v>190</v>
      </c>
      <c r="BZ620" s="319" t="s">
        <v>190</v>
      </c>
      <c r="CA620" s="319" t="s">
        <v>190</v>
      </c>
      <c r="CB620" s="319" t="s">
        <v>190</v>
      </c>
      <c r="CC620" s="319" t="s">
        <v>190</v>
      </c>
      <c r="CD620" s="319" t="s">
        <v>190</v>
      </c>
      <c r="CE620" s="319" t="s">
        <v>190</v>
      </c>
      <c r="CF620" s="319" t="s">
        <v>190</v>
      </c>
      <c r="CG620" s="319" t="s">
        <v>190</v>
      </c>
      <c r="CH620" s="319" t="s">
        <v>190</v>
      </c>
      <c r="CI620" s="319" t="s">
        <v>190</v>
      </c>
      <c r="CJ620" s="319" t="s">
        <v>190</v>
      </c>
      <c r="CK620" s="319" t="s">
        <v>190</v>
      </c>
      <c r="CL620" s="319" t="s">
        <v>190</v>
      </c>
      <c r="CM620" s="319" t="s">
        <v>190</v>
      </c>
      <c r="CN620" s="319" t="s">
        <v>428</v>
      </c>
      <c r="CO620" s="319" t="s">
        <v>428</v>
      </c>
      <c r="CP620" s="319" t="s">
        <v>428</v>
      </c>
      <c r="CQ620" s="319" t="s">
        <v>190</v>
      </c>
      <c r="CR620" s="319" t="s">
        <v>190</v>
      </c>
      <c r="CS620" s="319" t="s">
        <v>190</v>
      </c>
      <c r="CT620" s="319" t="s">
        <v>190</v>
      </c>
      <c r="CU620" s="319" t="s">
        <v>190</v>
      </c>
      <c r="CV620" s="319" t="s">
        <v>190</v>
      </c>
      <c r="CW620" s="319" t="s">
        <v>190</v>
      </c>
      <c r="CX620" s="319" t="s">
        <v>190</v>
      </c>
      <c r="CY620" s="319" t="s">
        <v>190</v>
      </c>
      <c r="CZ620" s="319" t="s">
        <v>190</v>
      </c>
      <c r="DA620" s="319" t="s">
        <v>190</v>
      </c>
      <c r="DB620" s="319" t="s">
        <v>190</v>
      </c>
      <c r="DC620" s="319" t="s">
        <v>190</v>
      </c>
      <c r="DD620" s="319" t="s">
        <v>190</v>
      </c>
      <c r="DE620" s="319" t="s">
        <v>190</v>
      </c>
      <c r="DF620" s="319" t="s">
        <v>190</v>
      </c>
      <c r="DG620" s="319" t="s">
        <v>190</v>
      </c>
      <c r="DH620" s="319" t="s">
        <v>190</v>
      </c>
      <c r="DI620" s="319" t="s">
        <v>190</v>
      </c>
      <c r="DJ620" s="319" t="s">
        <v>190</v>
      </c>
      <c r="DK620" s="319" t="s">
        <v>190</v>
      </c>
      <c r="DL620" s="319" t="s">
        <v>190</v>
      </c>
      <c r="DM620" s="319" t="s">
        <v>190</v>
      </c>
      <c r="DN620" s="319" t="s">
        <v>428</v>
      </c>
      <c r="DO620" s="319" t="s">
        <v>190</v>
      </c>
      <c r="DP620" s="319" t="s">
        <v>428</v>
      </c>
      <c r="DQ620" s="319" t="s">
        <v>428</v>
      </c>
      <c r="DR620" s="319" t="s">
        <v>428</v>
      </c>
      <c r="DS620" s="319" t="s">
        <v>428</v>
      </c>
      <c r="DT620" s="319" t="s">
        <v>428</v>
      </c>
      <c r="DU620" s="319" t="s">
        <v>428</v>
      </c>
      <c r="DV620" s="319" t="s">
        <v>173</v>
      </c>
      <c r="DW620" s="319" t="s">
        <v>428</v>
      </c>
      <c r="DX620" s="319" t="s">
        <v>190</v>
      </c>
      <c r="DY620" s="319" t="s">
        <v>428</v>
      </c>
      <c r="DZ620" s="319" t="s">
        <v>428</v>
      </c>
      <c r="EA620" s="319" t="s">
        <v>428</v>
      </c>
      <c r="EB620" s="319" t="s">
        <v>428</v>
      </c>
      <c r="EC620" s="319" t="s">
        <v>428</v>
      </c>
      <c r="ED620" s="319" t="s">
        <v>428</v>
      </c>
      <c r="EE620" s="319" t="s">
        <v>428</v>
      </c>
      <c r="EF620" s="319" t="s">
        <v>428</v>
      </c>
      <c r="EG620" s="319" t="s">
        <v>428</v>
      </c>
      <c r="EH620" s="319" t="s">
        <v>428</v>
      </c>
      <c r="EI620" s="319" t="s">
        <v>428</v>
      </c>
      <c r="EJ620" s="319" t="s">
        <v>428</v>
      </c>
      <c r="EK620" s="319" t="s">
        <v>428</v>
      </c>
      <c r="EL620" s="319" t="s">
        <v>428</v>
      </c>
      <c r="EM620" s="319" t="s">
        <v>428</v>
      </c>
      <c r="EN620" s="319" t="s">
        <v>190</v>
      </c>
      <c r="EO620" s="319" t="s">
        <v>190</v>
      </c>
      <c r="EP620" s="319" t="s">
        <v>190</v>
      </c>
      <c r="EQ620" s="319" t="s">
        <v>190</v>
      </c>
      <c r="ER620" s="319" t="s">
        <v>190</v>
      </c>
      <c r="ES620" s="319" t="s">
        <v>190</v>
      </c>
      <c r="ET620" s="319" t="s">
        <v>190</v>
      </c>
      <c r="EU620" s="319" t="s">
        <v>190</v>
      </c>
      <c r="EV620" s="319" t="s">
        <v>190</v>
      </c>
      <c r="EW620" s="319" t="s">
        <v>190</v>
      </c>
      <c r="EX620" s="319" t="s">
        <v>190</v>
      </c>
      <c r="EY620" s="319" t="s">
        <v>190</v>
      </c>
      <c r="EZ620" s="319" t="s">
        <v>190</v>
      </c>
      <c r="FA620" s="319" t="s">
        <v>190</v>
      </c>
      <c r="FB620" s="319" t="s">
        <v>190</v>
      </c>
      <c r="FC620" s="319" t="s">
        <v>190</v>
      </c>
      <c r="FD620" s="319" t="s">
        <v>190</v>
      </c>
      <c r="FE620" s="319" t="s">
        <v>190</v>
      </c>
      <c r="FF620" s="319" t="s">
        <v>190</v>
      </c>
      <c r="FG620" s="319" t="s">
        <v>190</v>
      </c>
      <c r="FH620" s="319" t="s">
        <v>190</v>
      </c>
      <c r="FI620" s="319" t="s">
        <v>190</v>
      </c>
      <c r="FJ620" s="319" t="s">
        <v>190</v>
      </c>
      <c r="FK620" s="319" t="s">
        <v>190</v>
      </c>
      <c r="FL620" s="319" t="s">
        <v>190</v>
      </c>
      <c r="FM620" s="319" t="s">
        <v>190</v>
      </c>
      <c r="FN620" s="319" t="s">
        <v>190</v>
      </c>
      <c r="FO620" s="319" t="s">
        <v>428</v>
      </c>
      <c r="FP620" s="319" t="s">
        <v>190</v>
      </c>
      <c r="FQ620" s="319" t="s">
        <v>190</v>
      </c>
      <c r="FR620" s="319" t="s">
        <v>190</v>
      </c>
      <c r="FS620" s="319" t="s">
        <v>428</v>
      </c>
      <c r="FT620" s="319" t="s">
        <v>190</v>
      </c>
      <c r="FU620" s="319" t="s">
        <v>190</v>
      </c>
      <c r="FV620" s="319" t="s">
        <v>190</v>
      </c>
      <c r="FW620" s="319" t="s">
        <v>190</v>
      </c>
      <c r="FX620" s="319" t="s">
        <v>190</v>
      </c>
      <c r="FY620" s="319" t="s">
        <v>190</v>
      </c>
      <c r="FZ620" s="319" t="s">
        <v>190</v>
      </c>
      <c r="GA620" s="319" t="s">
        <v>190</v>
      </c>
      <c r="GB620" s="319" t="s">
        <v>190</v>
      </c>
      <c r="GC620" s="319" t="s">
        <v>190</v>
      </c>
      <c r="GD620" s="319" t="s">
        <v>190</v>
      </c>
      <c r="GE620" s="319" t="s">
        <v>190</v>
      </c>
      <c r="GF620" s="319" t="s">
        <v>190</v>
      </c>
      <c r="GG620" s="319" t="s">
        <v>190</v>
      </c>
      <c r="GH620" s="319" t="s">
        <v>190</v>
      </c>
      <c r="GI620" s="319" t="s">
        <v>190</v>
      </c>
      <c r="GJ620" s="319" t="s">
        <v>190</v>
      </c>
      <c r="GK620" s="319" t="s">
        <v>428</v>
      </c>
      <c r="GL620" s="319" t="s">
        <v>190</v>
      </c>
      <c r="GM620" s="319" t="s">
        <v>190</v>
      </c>
      <c r="GN620" s="319" t="s">
        <v>190</v>
      </c>
      <c r="GO620" s="319" t="s">
        <v>190</v>
      </c>
      <c r="GP620" s="319" t="s">
        <v>190</v>
      </c>
      <c r="GQ620" s="319" t="s">
        <v>190</v>
      </c>
      <c r="GR620" s="319" t="s">
        <v>190</v>
      </c>
      <c r="GS620" s="319" t="s">
        <v>190</v>
      </c>
      <c r="GT620" s="319" t="s">
        <v>190</v>
      </c>
      <c r="GU620" s="319" t="s">
        <v>428</v>
      </c>
      <c r="GV620" s="319" t="s">
        <v>190</v>
      </c>
      <c r="GW620" s="319" t="s">
        <v>190</v>
      </c>
      <c r="GX620" s="319" t="s">
        <v>190</v>
      </c>
      <c r="GY620" s="319" t="s">
        <v>190</v>
      </c>
      <c r="GZ620" s="319" t="s">
        <v>190</v>
      </c>
      <c r="HA620" s="319" t="s">
        <v>428</v>
      </c>
      <c r="HB620" s="319" t="s">
        <v>190</v>
      </c>
      <c r="HC620" s="319" t="s">
        <v>190</v>
      </c>
      <c r="HD620" s="319" t="s">
        <v>190</v>
      </c>
      <c r="HE620" s="319" t="s">
        <v>190</v>
      </c>
      <c r="HF620" s="319" t="s">
        <v>428</v>
      </c>
      <c r="HG620" s="319" t="s">
        <v>190</v>
      </c>
      <c r="HH620" s="319" t="s">
        <v>190</v>
      </c>
      <c r="HI620" s="319" t="s">
        <v>190</v>
      </c>
      <c r="HJ620" s="319" t="s">
        <v>190</v>
      </c>
      <c r="HK620" s="319" t="s">
        <v>190</v>
      </c>
      <c r="HL620" s="319" t="s">
        <v>190</v>
      </c>
      <c r="HM620" s="319" t="s">
        <v>190</v>
      </c>
      <c r="HN620" s="319" t="s">
        <v>190</v>
      </c>
      <c r="HO620" s="319" t="s">
        <v>190</v>
      </c>
      <c r="HP620" s="319" t="s">
        <v>190</v>
      </c>
      <c r="HQ620" s="319" t="s">
        <v>190</v>
      </c>
      <c r="HR620" s="319" t="s">
        <v>190</v>
      </c>
      <c r="HS620" s="319" t="s">
        <v>190</v>
      </c>
      <c r="HT620" s="319" t="s">
        <v>190</v>
      </c>
      <c r="HU620" s="319" t="s">
        <v>190</v>
      </c>
      <c r="HV620" s="319" t="s">
        <v>190</v>
      </c>
      <c r="HW620" s="319" t="s">
        <v>190</v>
      </c>
      <c r="HX620" s="319" t="s">
        <v>190</v>
      </c>
      <c r="HY620" s="319" t="s">
        <v>190</v>
      </c>
      <c r="HZ620" s="319" t="s">
        <v>190</v>
      </c>
      <c r="IA620" s="319" t="s">
        <v>190</v>
      </c>
      <c r="IB620" s="319" t="s">
        <v>190</v>
      </c>
      <c r="IC620" s="319" t="s">
        <v>190</v>
      </c>
      <c r="ID620" s="319" t="s">
        <v>190</v>
      </c>
      <c r="IE620" s="319" t="s">
        <v>190</v>
      </c>
      <c r="IF620" s="319" t="s">
        <v>190</v>
      </c>
      <c r="IG620" s="319" t="s">
        <v>190</v>
      </c>
      <c r="IH620" s="319" t="s">
        <v>190</v>
      </c>
      <c r="II620" s="319" t="s">
        <v>190</v>
      </c>
      <c r="IJ620" s="319" t="s">
        <v>3377</v>
      </c>
      <c r="IK620" s="321">
        <v>41933</v>
      </c>
      <c r="IL620" s="321">
        <v>41935</v>
      </c>
      <c r="IM620" s="321">
        <v>42039</v>
      </c>
      <c r="IN620" s="319">
        <v>3</v>
      </c>
      <c r="IO620" s="319" t="s">
        <v>173</v>
      </c>
      <c r="IP620" s="319" t="s">
        <v>173</v>
      </c>
      <c r="IQ620" s="319" t="s">
        <v>173</v>
      </c>
      <c r="IR620" s="320" t="s">
        <v>173</v>
      </c>
      <c r="IS620" s="320" t="s">
        <v>173</v>
      </c>
      <c r="IT620" s="319" t="s">
        <v>173</v>
      </c>
    </row>
    <row r="621" spans="1:254" s="271" customFormat="1" x14ac:dyDescent="0.25">
      <c r="A621" s="318" t="str">
        <f>HYPERLINK("http://www.ofsted.gov.uk/inspection-reports/find-inspection-report/provider/ELS/136236 ","Ofsted School Webpage")</f>
        <v>Ofsted School Webpage</v>
      </c>
      <c r="B621" s="319">
        <v>136236</v>
      </c>
      <c r="C621" s="319">
        <v>8736028</v>
      </c>
      <c r="D621" s="319" t="s">
        <v>2072</v>
      </c>
      <c r="E621" s="319" t="s">
        <v>168</v>
      </c>
      <c r="F621" s="319" t="s">
        <v>81</v>
      </c>
      <c r="G621" s="319" t="s">
        <v>81</v>
      </c>
      <c r="H621" s="319" t="s">
        <v>81</v>
      </c>
      <c r="I621" s="319" t="s">
        <v>78</v>
      </c>
      <c r="J621" s="319" t="s">
        <v>424</v>
      </c>
      <c r="K621" s="319" t="s">
        <v>451</v>
      </c>
      <c r="L621" s="319" t="s">
        <v>451</v>
      </c>
      <c r="M621" s="319" t="s">
        <v>772</v>
      </c>
      <c r="N621" s="319" t="s">
        <v>2913</v>
      </c>
      <c r="O621" s="319" t="s">
        <v>2073</v>
      </c>
      <c r="P621" s="319">
        <v>6</v>
      </c>
      <c r="Q621" s="319" t="s">
        <v>429</v>
      </c>
      <c r="R621" s="320">
        <v>10038908</v>
      </c>
      <c r="S621" s="321">
        <v>43004</v>
      </c>
      <c r="T621" s="321">
        <v>43006</v>
      </c>
      <c r="U621" s="321">
        <v>43049</v>
      </c>
      <c r="V621" s="319" t="s">
        <v>425</v>
      </c>
      <c r="W621" s="319" t="s">
        <v>2767</v>
      </c>
      <c r="X621" s="319">
        <v>3</v>
      </c>
      <c r="Y621" s="319" t="s">
        <v>173</v>
      </c>
      <c r="Z621" s="319" t="s">
        <v>173</v>
      </c>
      <c r="AA621" s="319" t="s">
        <v>173</v>
      </c>
      <c r="AB621" s="319">
        <v>3</v>
      </c>
      <c r="AC621" s="319" t="s">
        <v>169</v>
      </c>
      <c r="AD621" s="319" t="s">
        <v>173</v>
      </c>
      <c r="AE621" s="319" t="s">
        <v>173</v>
      </c>
      <c r="AF621" s="319" t="s">
        <v>427</v>
      </c>
      <c r="AG621" s="319" t="s">
        <v>172</v>
      </c>
      <c r="AH621" s="319" t="s">
        <v>190</v>
      </c>
      <c r="AI621" s="319" t="s">
        <v>190</v>
      </c>
      <c r="AJ621" s="319" t="s">
        <v>190</v>
      </c>
      <c r="AK621" s="319" t="s">
        <v>190</v>
      </c>
      <c r="AL621" s="319" t="s">
        <v>479</v>
      </c>
      <c r="AM621" s="319" t="s">
        <v>190</v>
      </c>
      <c r="AN621" s="319" t="s">
        <v>190</v>
      </c>
      <c r="AO621" s="319" t="s">
        <v>479</v>
      </c>
      <c r="AP621" s="319" t="s">
        <v>190</v>
      </c>
      <c r="AQ621" s="319" t="s">
        <v>190</v>
      </c>
      <c r="AR621" s="319" t="s">
        <v>190</v>
      </c>
      <c r="AS621" s="319" t="s">
        <v>190</v>
      </c>
      <c r="AT621" s="319" t="s">
        <v>190</v>
      </c>
      <c r="AU621" s="319" t="s">
        <v>190</v>
      </c>
      <c r="AV621" s="319" t="s">
        <v>190</v>
      </c>
      <c r="AW621" s="319" t="s">
        <v>190</v>
      </c>
      <c r="AX621" s="319" t="s">
        <v>190</v>
      </c>
      <c r="AY621" s="319" t="s">
        <v>190</v>
      </c>
      <c r="AZ621" s="319" t="s">
        <v>190</v>
      </c>
      <c r="BA621" s="319" t="s">
        <v>190</v>
      </c>
      <c r="BB621" s="319" t="s">
        <v>190</v>
      </c>
      <c r="BC621" s="319" t="s">
        <v>190</v>
      </c>
      <c r="BD621" s="319" t="s">
        <v>190</v>
      </c>
      <c r="BE621" s="319" t="s">
        <v>190</v>
      </c>
      <c r="BF621" s="319" t="s">
        <v>428</v>
      </c>
      <c r="BG621" s="319" t="s">
        <v>428</v>
      </c>
      <c r="BH621" s="319" t="s">
        <v>190</v>
      </c>
      <c r="BI621" s="319" t="s">
        <v>190</v>
      </c>
      <c r="BJ621" s="319" t="s">
        <v>190</v>
      </c>
      <c r="BK621" s="319" t="s">
        <v>190</v>
      </c>
      <c r="BL621" s="319" t="s">
        <v>190</v>
      </c>
      <c r="BM621" s="319" t="s">
        <v>190</v>
      </c>
      <c r="BN621" s="319" t="s">
        <v>190</v>
      </c>
      <c r="BO621" s="319" t="s">
        <v>190</v>
      </c>
      <c r="BP621" s="319" t="s">
        <v>190</v>
      </c>
      <c r="BQ621" s="319" t="s">
        <v>190</v>
      </c>
      <c r="BR621" s="319" t="s">
        <v>190</v>
      </c>
      <c r="BS621" s="319" t="s">
        <v>190</v>
      </c>
      <c r="BT621" s="319" t="s">
        <v>190</v>
      </c>
      <c r="BU621" s="319" t="s">
        <v>190</v>
      </c>
      <c r="BV621" s="319" t="s">
        <v>190</v>
      </c>
      <c r="BW621" s="319" t="s">
        <v>190</v>
      </c>
      <c r="BX621" s="319" t="s">
        <v>190</v>
      </c>
      <c r="BY621" s="319" t="s">
        <v>190</v>
      </c>
      <c r="BZ621" s="319" t="s">
        <v>190</v>
      </c>
      <c r="CA621" s="319" t="s">
        <v>190</v>
      </c>
      <c r="CB621" s="319" t="s">
        <v>190</v>
      </c>
      <c r="CC621" s="319" t="s">
        <v>190</v>
      </c>
      <c r="CD621" s="319" t="s">
        <v>190</v>
      </c>
      <c r="CE621" s="319" t="s">
        <v>190</v>
      </c>
      <c r="CF621" s="319" t="s">
        <v>190</v>
      </c>
      <c r="CG621" s="319" t="s">
        <v>190</v>
      </c>
      <c r="CH621" s="319" t="s">
        <v>190</v>
      </c>
      <c r="CI621" s="319" t="s">
        <v>190</v>
      </c>
      <c r="CJ621" s="319" t="s">
        <v>190</v>
      </c>
      <c r="CK621" s="319" t="s">
        <v>190</v>
      </c>
      <c r="CL621" s="319" t="s">
        <v>190</v>
      </c>
      <c r="CM621" s="319" t="s">
        <v>190</v>
      </c>
      <c r="CN621" s="319" t="s">
        <v>428</v>
      </c>
      <c r="CO621" s="319" t="s">
        <v>428</v>
      </c>
      <c r="CP621" s="319" t="s">
        <v>428</v>
      </c>
      <c r="CQ621" s="319" t="s">
        <v>190</v>
      </c>
      <c r="CR621" s="319" t="s">
        <v>190</v>
      </c>
      <c r="CS621" s="319" t="s">
        <v>190</v>
      </c>
      <c r="CT621" s="319" t="s">
        <v>190</v>
      </c>
      <c r="CU621" s="319" t="s">
        <v>190</v>
      </c>
      <c r="CV621" s="319" t="s">
        <v>190</v>
      </c>
      <c r="CW621" s="319" t="s">
        <v>190</v>
      </c>
      <c r="CX621" s="319" t="s">
        <v>190</v>
      </c>
      <c r="CY621" s="319" t="s">
        <v>190</v>
      </c>
      <c r="CZ621" s="319" t="s">
        <v>190</v>
      </c>
      <c r="DA621" s="319" t="s">
        <v>190</v>
      </c>
      <c r="DB621" s="319" t="s">
        <v>190</v>
      </c>
      <c r="DC621" s="319" t="s">
        <v>190</v>
      </c>
      <c r="DD621" s="319" t="s">
        <v>190</v>
      </c>
      <c r="DE621" s="319" t="s">
        <v>190</v>
      </c>
      <c r="DF621" s="319" t="s">
        <v>190</v>
      </c>
      <c r="DG621" s="319" t="s">
        <v>190</v>
      </c>
      <c r="DH621" s="319" t="s">
        <v>190</v>
      </c>
      <c r="DI621" s="319" t="s">
        <v>190</v>
      </c>
      <c r="DJ621" s="319" t="s">
        <v>190</v>
      </c>
      <c r="DK621" s="319" t="s">
        <v>190</v>
      </c>
      <c r="DL621" s="319" t="s">
        <v>190</v>
      </c>
      <c r="DM621" s="319" t="s">
        <v>428</v>
      </c>
      <c r="DN621" s="319" t="s">
        <v>428</v>
      </c>
      <c r="DO621" s="319" t="s">
        <v>190</v>
      </c>
      <c r="DP621" s="319" t="s">
        <v>428</v>
      </c>
      <c r="DQ621" s="319" t="s">
        <v>428</v>
      </c>
      <c r="DR621" s="319" t="s">
        <v>428</v>
      </c>
      <c r="DS621" s="319" t="s">
        <v>428</v>
      </c>
      <c r="DT621" s="319" t="s">
        <v>428</v>
      </c>
      <c r="DU621" s="319" t="s">
        <v>428</v>
      </c>
      <c r="DV621" s="319" t="s">
        <v>173</v>
      </c>
      <c r="DW621" s="319" t="s">
        <v>428</v>
      </c>
      <c r="DX621" s="319" t="s">
        <v>428</v>
      </c>
      <c r="DY621" s="319" t="s">
        <v>428</v>
      </c>
      <c r="DZ621" s="319" t="s">
        <v>428</v>
      </c>
      <c r="EA621" s="319" t="s">
        <v>428</v>
      </c>
      <c r="EB621" s="319" t="s">
        <v>428</v>
      </c>
      <c r="EC621" s="319" t="s">
        <v>428</v>
      </c>
      <c r="ED621" s="319" t="s">
        <v>428</v>
      </c>
      <c r="EE621" s="319" t="s">
        <v>190</v>
      </c>
      <c r="EF621" s="319" t="s">
        <v>190</v>
      </c>
      <c r="EG621" s="319" t="s">
        <v>190</v>
      </c>
      <c r="EH621" s="319" t="s">
        <v>190</v>
      </c>
      <c r="EI621" s="319" t="s">
        <v>190</v>
      </c>
      <c r="EJ621" s="319" t="s">
        <v>190</v>
      </c>
      <c r="EK621" s="319" t="s">
        <v>190</v>
      </c>
      <c r="EL621" s="319" t="s">
        <v>190</v>
      </c>
      <c r="EM621" s="319" t="s">
        <v>190</v>
      </c>
      <c r="EN621" s="319" t="s">
        <v>190</v>
      </c>
      <c r="EO621" s="319" t="s">
        <v>190</v>
      </c>
      <c r="EP621" s="319" t="s">
        <v>190</v>
      </c>
      <c r="EQ621" s="319" t="s">
        <v>190</v>
      </c>
      <c r="ER621" s="319" t="s">
        <v>190</v>
      </c>
      <c r="ES621" s="319" t="s">
        <v>190</v>
      </c>
      <c r="ET621" s="319" t="s">
        <v>190</v>
      </c>
      <c r="EU621" s="319" t="s">
        <v>190</v>
      </c>
      <c r="EV621" s="319" t="s">
        <v>190</v>
      </c>
      <c r="EW621" s="319" t="s">
        <v>190</v>
      </c>
      <c r="EX621" s="319" t="s">
        <v>190</v>
      </c>
      <c r="EY621" s="319" t="s">
        <v>190</v>
      </c>
      <c r="EZ621" s="319" t="s">
        <v>190</v>
      </c>
      <c r="FA621" s="319" t="s">
        <v>428</v>
      </c>
      <c r="FB621" s="319" t="s">
        <v>428</v>
      </c>
      <c r="FC621" s="319" t="s">
        <v>428</v>
      </c>
      <c r="FD621" s="319" t="s">
        <v>428</v>
      </c>
      <c r="FE621" s="319" t="s">
        <v>428</v>
      </c>
      <c r="FF621" s="319" t="s">
        <v>428</v>
      </c>
      <c r="FG621" s="319" t="s">
        <v>428</v>
      </c>
      <c r="FH621" s="319" t="s">
        <v>190</v>
      </c>
      <c r="FI621" s="319" t="s">
        <v>428</v>
      </c>
      <c r="FJ621" s="319" t="s">
        <v>190</v>
      </c>
      <c r="FK621" s="319" t="s">
        <v>190</v>
      </c>
      <c r="FL621" s="319" t="s">
        <v>190</v>
      </c>
      <c r="FM621" s="319" t="s">
        <v>190</v>
      </c>
      <c r="FN621" s="319" t="s">
        <v>190</v>
      </c>
      <c r="FO621" s="319" t="s">
        <v>190</v>
      </c>
      <c r="FP621" s="319" t="s">
        <v>191</v>
      </c>
      <c r="FQ621" s="319" t="s">
        <v>191</v>
      </c>
      <c r="FR621" s="319" t="s">
        <v>191</v>
      </c>
      <c r="FS621" s="319" t="s">
        <v>428</v>
      </c>
      <c r="FT621" s="319" t="s">
        <v>428</v>
      </c>
      <c r="FU621" s="319" t="s">
        <v>190</v>
      </c>
      <c r="FV621" s="319" t="s">
        <v>190</v>
      </c>
      <c r="FW621" s="319" t="s">
        <v>190</v>
      </c>
      <c r="FX621" s="319" t="s">
        <v>190</v>
      </c>
      <c r="FY621" s="319" t="s">
        <v>190</v>
      </c>
      <c r="FZ621" s="319" t="s">
        <v>190</v>
      </c>
      <c r="GA621" s="319" t="s">
        <v>190</v>
      </c>
      <c r="GB621" s="319" t="s">
        <v>190</v>
      </c>
      <c r="GC621" s="319" t="s">
        <v>190</v>
      </c>
      <c r="GD621" s="319" t="s">
        <v>190</v>
      </c>
      <c r="GE621" s="319" t="s">
        <v>190</v>
      </c>
      <c r="GF621" s="319" t="s">
        <v>190</v>
      </c>
      <c r="GG621" s="319" t="s">
        <v>190</v>
      </c>
      <c r="GH621" s="319" t="s">
        <v>190</v>
      </c>
      <c r="GI621" s="319" t="s">
        <v>190</v>
      </c>
      <c r="GJ621" s="319" t="s">
        <v>190</v>
      </c>
      <c r="GK621" s="319" t="s">
        <v>428</v>
      </c>
      <c r="GL621" s="319" t="s">
        <v>190</v>
      </c>
      <c r="GM621" s="319" t="s">
        <v>190</v>
      </c>
      <c r="GN621" s="319" t="s">
        <v>190</v>
      </c>
      <c r="GO621" s="319" t="s">
        <v>190</v>
      </c>
      <c r="GP621" s="319" t="s">
        <v>428</v>
      </c>
      <c r="GQ621" s="319" t="s">
        <v>428</v>
      </c>
      <c r="GR621" s="319" t="s">
        <v>190</v>
      </c>
      <c r="GS621" s="319" t="s">
        <v>190</v>
      </c>
      <c r="GT621" s="319" t="s">
        <v>190</v>
      </c>
      <c r="GU621" s="319" t="s">
        <v>190</v>
      </c>
      <c r="GV621" s="319" t="s">
        <v>428</v>
      </c>
      <c r="GW621" s="319" t="s">
        <v>190</v>
      </c>
      <c r="GX621" s="319" t="s">
        <v>190</v>
      </c>
      <c r="GY621" s="319" t="s">
        <v>190</v>
      </c>
      <c r="GZ621" s="319" t="s">
        <v>428</v>
      </c>
      <c r="HA621" s="319" t="s">
        <v>190</v>
      </c>
      <c r="HB621" s="319" t="s">
        <v>428</v>
      </c>
      <c r="HC621" s="319" t="s">
        <v>190</v>
      </c>
      <c r="HD621" s="319" t="s">
        <v>190</v>
      </c>
      <c r="HE621" s="319" t="s">
        <v>190</v>
      </c>
      <c r="HF621" s="319" t="s">
        <v>190</v>
      </c>
      <c r="HG621" s="319" t="s">
        <v>190</v>
      </c>
      <c r="HH621" s="319" t="s">
        <v>190</v>
      </c>
      <c r="HI621" s="319" t="s">
        <v>190</v>
      </c>
      <c r="HJ621" s="319" t="s">
        <v>190</v>
      </c>
      <c r="HK621" s="319" t="s">
        <v>428</v>
      </c>
      <c r="HL621" s="319" t="s">
        <v>428</v>
      </c>
      <c r="HM621" s="319" t="s">
        <v>428</v>
      </c>
      <c r="HN621" s="319" t="s">
        <v>428</v>
      </c>
      <c r="HO621" s="319" t="s">
        <v>428</v>
      </c>
      <c r="HP621" s="319" t="s">
        <v>190</v>
      </c>
      <c r="HQ621" s="319" t="s">
        <v>190</v>
      </c>
      <c r="HR621" s="319" t="s">
        <v>190</v>
      </c>
      <c r="HS621" s="319" t="s">
        <v>190</v>
      </c>
      <c r="HT621" s="319" t="s">
        <v>190</v>
      </c>
      <c r="HU621" s="319" t="s">
        <v>190</v>
      </c>
      <c r="HV621" s="319" t="s">
        <v>190</v>
      </c>
      <c r="HW621" s="319" t="s">
        <v>190</v>
      </c>
      <c r="HX621" s="319" t="s">
        <v>190</v>
      </c>
      <c r="HY621" s="319" t="s">
        <v>190</v>
      </c>
      <c r="HZ621" s="319" t="s">
        <v>190</v>
      </c>
      <c r="IA621" s="319" t="s">
        <v>190</v>
      </c>
      <c r="IB621" s="319" t="s">
        <v>190</v>
      </c>
      <c r="IC621" s="319" t="s">
        <v>190</v>
      </c>
      <c r="ID621" s="319" t="s">
        <v>190</v>
      </c>
      <c r="IE621" s="319" t="s">
        <v>190</v>
      </c>
      <c r="IF621" s="319" t="s">
        <v>191</v>
      </c>
      <c r="IG621" s="319" t="s">
        <v>191</v>
      </c>
      <c r="IH621" s="319" t="s">
        <v>191</v>
      </c>
      <c r="II621" s="319" t="s">
        <v>190</v>
      </c>
      <c r="IJ621" s="319" t="s">
        <v>3378</v>
      </c>
      <c r="IK621" s="321">
        <v>41968</v>
      </c>
      <c r="IL621" s="321">
        <v>41969</v>
      </c>
      <c r="IM621" s="321">
        <v>41990</v>
      </c>
      <c r="IN621" s="319">
        <v>2</v>
      </c>
      <c r="IO621" s="319" t="s">
        <v>173</v>
      </c>
      <c r="IP621" s="319" t="s">
        <v>173</v>
      </c>
      <c r="IQ621" s="319" t="s">
        <v>173</v>
      </c>
      <c r="IR621" s="320" t="s">
        <v>173</v>
      </c>
      <c r="IS621" s="320" t="s">
        <v>173</v>
      </c>
      <c r="IT621" s="319" t="s">
        <v>173</v>
      </c>
    </row>
    <row r="622" spans="1:254" s="271" customFormat="1" x14ac:dyDescent="0.25">
      <c r="A622" s="318" t="str">
        <f>HYPERLINK("http://www.ofsted.gov.uk/inspection-reports/find-inspection-report/provider/ELS/136239 ","Ofsted School Webpage")</f>
        <v>Ofsted School Webpage</v>
      </c>
      <c r="B622" s="319">
        <v>136239</v>
      </c>
      <c r="C622" s="319">
        <v>3586019</v>
      </c>
      <c r="D622" s="319" t="s">
        <v>1144</v>
      </c>
      <c r="E622" s="319" t="s">
        <v>168</v>
      </c>
      <c r="F622" s="319" t="s">
        <v>59</v>
      </c>
      <c r="G622" s="319" t="s">
        <v>59</v>
      </c>
      <c r="H622" s="319" t="s">
        <v>59</v>
      </c>
      <c r="I622" s="319" t="s">
        <v>59</v>
      </c>
      <c r="J622" s="319" t="s">
        <v>424</v>
      </c>
      <c r="K622" s="319" t="s">
        <v>431</v>
      </c>
      <c r="L622" s="319" t="s">
        <v>431</v>
      </c>
      <c r="M622" s="319" t="s">
        <v>1145</v>
      </c>
      <c r="N622" s="319" t="s">
        <v>3220</v>
      </c>
      <c r="O622" s="319" t="s">
        <v>1146</v>
      </c>
      <c r="P622" s="319">
        <v>3</v>
      </c>
      <c r="Q622" s="319" t="s">
        <v>429</v>
      </c>
      <c r="R622" s="320">
        <v>10034046</v>
      </c>
      <c r="S622" s="321">
        <v>42871</v>
      </c>
      <c r="T622" s="321">
        <v>42872</v>
      </c>
      <c r="U622" s="321">
        <v>42898</v>
      </c>
      <c r="V622" s="319" t="s">
        <v>425</v>
      </c>
      <c r="W622" s="319" t="s">
        <v>2767</v>
      </c>
      <c r="X622" s="319">
        <v>2</v>
      </c>
      <c r="Y622" s="319" t="s">
        <v>173</v>
      </c>
      <c r="Z622" s="319" t="s">
        <v>173</v>
      </c>
      <c r="AA622" s="319" t="s">
        <v>173</v>
      </c>
      <c r="AB622" s="319">
        <v>2</v>
      </c>
      <c r="AC622" s="319" t="s">
        <v>169</v>
      </c>
      <c r="AD622" s="319" t="s">
        <v>173</v>
      </c>
      <c r="AE622" s="319">
        <v>2</v>
      </c>
      <c r="AF622" s="319" t="s">
        <v>173</v>
      </c>
      <c r="AG622" s="319" t="s">
        <v>171</v>
      </c>
      <c r="AH622" s="319" t="s">
        <v>190</v>
      </c>
      <c r="AI622" s="319" t="s">
        <v>190</v>
      </c>
      <c r="AJ622" s="319" t="s">
        <v>190</v>
      </c>
      <c r="AK622" s="319" t="s">
        <v>190</v>
      </c>
      <c r="AL622" s="319" t="s">
        <v>190</v>
      </c>
      <c r="AM622" s="319" t="s">
        <v>190</v>
      </c>
      <c r="AN622" s="319" t="s">
        <v>190</v>
      </c>
      <c r="AO622" s="319" t="s">
        <v>190</v>
      </c>
      <c r="AP622" s="319" t="s">
        <v>190</v>
      </c>
      <c r="AQ622" s="319" t="s">
        <v>190</v>
      </c>
      <c r="AR622" s="319" t="s">
        <v>190</v>
      </c>
      <c r="AS622" s="319" t="s">
        <v>190</v>
      </c>
      <c r="AT622" s="319" t="s">
        <v>190</v>
      </c>
      <c r="AU622" s="319" t="s">
        <v>190</v>
      </c>
      <c r="AV622" s="319" t="s">
        <v>190</v>
      </c>
      <c r="AW622" s="319" t="s">
        <v>190</v>
      </c>
      <c r="AX622" s="319" t="s">
        <v>429</v>
      </c>
      <c r="AY622" s="319" t="s">
        <v>190</v>
      </c>
      <c r="AZ622" s="319" t="s">
        <v>190</v>
      </c>
      <c r="BA622" s="319" t="s">
        <v>190</v>
      </c>
      <c r="BB622" s="319" t="s">
        <v>190</v>
      </c>
      <c r="BC622" s="319" t="s">
        <v>190</v>
      </c>
      <c r="BD622" s="319" t="s">
        <v>190</v>
      </c>
      <c r="BE622" s="319" t="s">
        <v>190</v>
      </c>
      <c r="BF622" s="319" t="s">
        <v>429</v>
      </c>
      <c r="BG622" s="319" t="s">
        <v>190</v>
      </c>
      <c r="BH622" s="319" t="s">
        <v>190</v>
      </c>
      <c r="BI622" s="319" t="s">
        <v>190</v>
      </c>
      <c r="BJ622" s="319" t="s">
        <v>190</v>
      </c>
      <c r="BK622" s="319" t="s">
        <v>190</v>
      </c>
      <c r="BL622" s="319" t="s">
        <v>190</v>
      </c>
      <c r="BM622" s="319" t="s">
        <v>190</v>
      </c>
      <c r="BN622" s="319" t="s">
        <v>190</v>
      </c>
      <c r="BO622" s="319" t="s">
        <v>190</v>
      </c>
      <c r="BP622" s="319" t="s">
        <v>190</v>
      </c>
      <c r="BQ622" s="319" t="s">
        <v>190</v>
      </c>
      <c r="BR622" s="319" t="s">
        <v>190</v>
      </c>
      <c r="BS622" s="319" t="s">
        <v>190</v>
      </c>
      <c r="BT622" s="319" t="s">
        <v>190</v>
      </c>
      <c r="BU622" s="319" t="s">
        <v>190</v>
      </c>
      <c r="BV622" s="319" t="s">
        <v>190</v>
      </c>
      <c r="BW622" s="319" t="s">
        <v>190</v>
      </c>
      <c r="BX622" s="319" t="s">
        <v>190</v>
      </c>
      <c r="BY622" s="319" t="s">
        <v>190</v>
      </c>
      <c r="BZ622" s="319" t="s">
        <v>190</v>
      </c>
      <c r="CA622" s="319" t="s">
        <v>190</v>
      </c>
      <c r="CB622" s="319" t="s">
        <v>190</v>
      </c>
      <c r="CC622" s="319" t="s">
        <v>190</v>
      </c>
      <c r="CD622" s="319" t="s">
        <v>190</v>
      </c>
      <c r="CE622" s="319" t="s">
        <v>190</v>
      </c>
      <c r="CF622" s="319" t="s">
        <v>190</v>
      </c>
      <c r="CG622" s="319" t="s">
        <v>190</v>
      </c>
      <c r="CH622" s="319" t="s">
        <v>190</v>
      </c>
      <c r="CI622" s="319" t="s">
        <v>190</v>
      </c>
      <c r="CJ622" s="319" t="s">
        <v>190</v>
      </c>
      <c r="CK622" s="319" t="s">
        <v>190</v>
      </c>
      <c r="CL622" s="319" t="s">
        <v>190</v>
      </c>
      <c r="CM622" s="319" t="s">
        <v>190</v>
      </c>
      <c r="CN622" s="319" t="s">
        <v>429</v>
      </c>
      <c r="CO622" s="319" t="s">
        <v>429</v>
      </c>
      <c r="CP622" s="319" t="s">
        <v>429</v>
      </c>
      <c r="CQ622" s="319" t="s">
        <v>190</v>
      </c>
      <c r="CR622" s="319" t="s">
        <v>190</v>
      </c>
      <c r="CS622" s="319" t="s">
        <v>190</v>
      </c>
      <c r="CT622" s="319" t="s">
        <v>190</v>
      </c>
      <c r="CU622" s="319" t="s">
        <v>190</v>
      </c>
      <c r="CV622" s="319" t="s">
        <v>190</v>
      </c>
      <c r="CW622" s="319" t="s">
        <v>190</v>
      </c>
      <c r="CX622" s="319" t="s">
        <v>190</v>
      </c>
      <c r="CY622" s="319" t="s">
        <v>190</v>
      </c>
      <c r="CZ622" s="319" t="s">
        <v>190</v>
      </c>
      <c r="DA622" s="319" t="s">
        <v>190</v>
      </c>
      <c r="DB622" s="319" t="s">
        <v>190</v>
      </c>
      <c r="DC622" s="319" t="s">
        <v>190</v>
      </c>
      <c r="DD622" s="319" t="s">
        <v>190</v>
      </c>
      <c r="DE622" s="319" t="s">
        <v>190</v>
      </c>
      <c r="DF622" s="319" t="s">
        <v>190</v>
      </c>
      <c r="DG622" s="319" t="s">
        <v>190</v>
      </c>
      <c r="DH622" s="319" t="s">
        <v>190</v>
      </c>
      <c r="DI622" s="319" t="s">
        <v>190</v>
      </c>
      <c r="DJ622" s="319" t="s">
        <v>190</v>
      </c>
      <c r="DK622" s="319" t="s">
        <v>190</v>
      </c>
      <c r="DL622" s="319" t="s">
        <v>190</v>
      </c>
      <c r="DM622" s="319" t="s">
        <v>190</v>
      </c>
      <c r="DN622" s="319" t="s">
        <v>429</v>
      </c>
      <c r="DO622" s="319" t="s">
        <v>190</v>
      </c>
      <c r="DP622" s="319" t="s">
        <v>190</v>
      </c>
      <c r="DQ622" s="319" t="s">
        <v>190</v>
      </c>
      <c r="DR622" s="319" t="s">
        <v>190</v>
      </c>
      <c r="DS622" s="319" t="s">
        <v>190</v>
      </c>
      <c r="DT622" s="319" t="s">
        <v>190</v>
      </c>
      <c r="DU622" s="319" t="s">
        <v>190</v>
      </c>
      <c r="DV622" s="319" t="s">
        <v>173</v>
      </c>
      <c r="DW622" s="319" t="s">
        <v>190</v>
      </c>
      <c r="DX622" s="319" t="s">
        <v>190</v>
      </c>
      <c r="DY622" s="319" t="s">
        <v>190</v>
      </c>
      <c r="DZ622" s="319" t="s">
        <v>190</v>
      </c>
      <c r="EA622" s="319" t="s">
        <v>190</v>
      </c>
      <c r="EB622" s="319" t="s">
        <v>190</v>
      </c>
      <c r="EC622" s="319" t="s">
        <v>429</v>
      </c>
      <c r="ED622" s="319" t="s">
        <v>190</v>
      </c>
      <c r="EE622" s="319" t="s">
        <v>190</v>
      </c>
      <c r="EF622" s="319" t="s">
        <v>190</v>
      </c>
      <c r="EG622" s="319" t="s">
        <v>190</v>
      </c>
      <c r="EH622" s="319" t="s">
        <v>190</v>
      </c>
      <c r="EI622" s="319" t="s">
        <v>190</v>
      </c>
      <c r="EJ622" s="319" t="s">
        <v>190</v>
      </c>
      <c r="EK622" s="319" t="s">
        <v>190</v>
      </c>
      <c r="EL622" s="319" t="s">
        <v>190</v>
      </c>
      <c r="EM622" s="319" t="s">
        <v>190</v>
      </c>
      <c r="EN622" s="319" t="s">
        <v>190</v>
      </c>
      <c r="EO622" s="319" t="s">
        <v>190</v>
      </c>
      <c r="EP622" s="319" t="s">
        <v>190</v>
      </c>
      <c r="EQ622" s="319" t="s">
        <v>190</v>
      </c>
      <c r="ER622" s="319" t="s">
        <v>190</v>
      </c>
      <c r="ES622" s="319" t="s">
        <v>190</v>
      </c>
      <c r="ET622" s="319" t="s">
        <v>190</v>
      </c>
      <c r="EU622" s="319" t="s">
        <v>190</v>
      </c>
      <c r="EV622" s="319" t="s">
        <v>190</v>
      </c>
      <c r="EW622" s="319" t="s">
        <v>190</v>
      </c>
      <c r="EX622" s="319" t="s">
        <v>190</v>
      </c>
      <c r="EY622" s="319" t="s">
        <v>190</v>
      </c>
      <c r="EZ622" s="319" t="s">
        <v>190</v>
      </c>
      <c r="FA622" s="319" t="s">
        <v>190</v>
      </c>
      <c r="FB622" s="319" t="s">
        <v>190</v>
      </c>
      <c r="FC622" s="319" t="s">
        <v>190</v>
      </c>
      <c r="FD622" s="319" t="s">
        <v>190</v>
      </c>
      <c r="FE622" s="319" t="s">
        <v>190</v>
      </c>
      <c r="FF622" s="319" t="s">
        <v>190</v>
      </c>
      <c r="FG622" s="319" t="s">
        <v>190</v>
      </c>
      <c r="FH622" s="319" t="s">
        <v>190</v>
      </c>
      <c r="FI622" s="319" t="s">
        <v>190</v>
      </c>
      <c r="FJ622" s="319" t="s">
        <v>190</v>
      </c>
      <c r="FK622" s="319" t="s">
        <v>190</v>
      </c>
      <c r="FL622" s="319" t="s">
        <v>190</v>
      </c>
      <c r="FM622" s="319" t="s">
        <v>190</v>
      </c>
      <c r="FN622" s="319" t="s">
        <v>190</v>
      </c>
      <c r="FO622" s="319" t="s">
        <v>190</v>
      </c>
      <c r="FP622" s="319" t="s">
        <v>190</v>
      </c>
      <c r="FQ622" s="319" t="s">
        <v>190</v>
      </c>
      <c r="FR622" s="319" t="s">
        <v>190</v>
      </c>
      <c r="FS622" s="319" t="s">
        <v>190</v>
      </c>
      <c r="FT622" s="319" t="s">
        <v>190</v>
      </c>
      <c r="FU622" s="319" t="s">
        <v>190</v>
      </c>
      <c r="FV622" s="319" t="s">
        <v>190</v>
      </c>
      <c r="FW622" s="319" t="s">
        <v>190</v>
      </c>
      <c r="FX622" s="319" t="s">
        <v>190</v>
      </c>
      <c r="FY622" s="319" t="s">
        <v>190</v>
      </c>
      <c r="FZ622" s="319" t="s">
        <v>190</v>
      </c>
      <c r="GA622" s="319" t="s">
        <v>190</v>
      </c>
      <c r="GB622" s="319" t="s">
        <v>190</v>
      </c>
      <c r="GC622" s="319" t="s">
        <v>190</v>
      </c>
      <c r="GD622" s="319" t="s">
        <v>190</v>
      </c>
      <c r="GE622" s="319" t="s">
        <v>190</v>
      </c>
      <c r="GF622" s="319" t="s">
        <v>190</v>
      </c>
      <c r="GG622" s="319" t="s">
        <v>190</v>
      </c>
      <c r="GH622" s="319" t="s">
        <v>190</v>
      </c>
      <c r="GI622" s="319" t="s">
        <v>190</v>
      </c>
      <c r="GJ622" s="319" t="s">
        <v>190</v>
      </c>
      <c r="GK622" s="319" t="s">
        <v>190</v>
      </c>
      <c r="GL622" s="319" t="s">
        <v>190</v>
      </c>
      <c r="GM622" s="319" t="s">
        <v>190</v>
      </c>
      <c r="GN622" s="319" t="s">
        <v>190</v>
      </c>
      <c r="GO622" s="319" t="s">
        <v>190</v>
      </c>
      <c r="GP622" s="319" t="s">
        <v>190</v>
      </c>
      <c r="GQ622" s="319" t="s">
        <v>190</v>
      </c>
      <c r="GR622" s="319" t="s">
        <v>190</v>
      </c>
      <c r="GS622" s="319" t="s">
        <v>190</v>
      </c>
      <c r="GT622" s="319" t="s">
        <v>190</v>
      </c>
      <c r="GU622" s="319" t="s">
        <v>190</v>
      </c>
      <c r="GV622" s="319" t="s">
        <v>190</v>
      </c>
      <c r="GW622" s="319" t="s">
        <v>190</v>
      </c>
      <c r="GX622" s="319" t="s">
        <v>190</v>
      </c>
      <c r="GY622" s="319" t="s">
        <v>190</v>
      </c>
      <c r="GZ622" s="319" t="s">
        <v>190</v>
      </c>
      <c r="HA622" s="319" t="s">
        <v>190</v>
      </c>
      <c r="HB622" s="319" t="s">
        <v>190</v>
      </c>
      <c r="HC622" s="319" t="s">
        <v>190</v>
      </c>
      <c r="HD622" s="319" t="s">
        <v>190</v>
      </c>
      <c r="HE622" s="319" t="s">
        <v>190</v>
      </c>
      <c r="HF622" s="319" t="s">
        <v>190</v>
      </c>
      <c r="HG622" s="319" t="s">
        <v>190</v>
      </c>
      <c r="HH622" s="319" t="s">
        <v>190</v>
      </c>
      <c r="HI622" s="319" t="s">
        <v>190</v>
      </c>
      <c r="HJ622" s="319" t="s">
        <v>190</v>
      </c>
      <c r="HK622" s="319" t="s">
        <v>190</v>
      </c>
      <c r="HL622" s="319" t="s">
        <v>190</v>
      </c>
      <c r="HM622" s="319" t="s">
        <v>190</v>
      </c>
      <c r="HN622" s="319" t="s">
        <v>190</v>
      </c>
      <c r="HO622" s="319" t="s">
        <v>190</v>
      </c>
      <c r="HP622" s="319" t="s">
        <v>190</v>
      </c>
      <c r="HQ622" s="319" t="s">
        <v>190</v>
      </c>
      <c r="HR622" s="319" t="s">
        <v>190</v>
      </c>
      <c r="HS622" s="319" t="s">
        <v>190</v>
      </c>
      <c r="HT622" s="319" t="s">
        <v>190</v>
      </c>
      <c r="HU622" s="319" t="s">
        <v>190</v>
      </c>
      <c r="HV622" s="319" t="s">
        <v>190</v>
      </c>
      <c r="HW622" s="319" t="s">
        <v>190</v>
      </c>
      <c r="HX622" s="319" t="s">
        <v>190</v>
      </c>
      <c r="HY622" s="319" t="s">
        <v>190</v>
      </c>
      <c r="HZ622" s="319" t="s">
        <v>190</v>
      </c>
      <c r="IA622" s="319" t="s">
        <v>190</v>
      </c>
      <c r="IB622" s="319" t="s">
        <v>190</v>
      </c>
      <c r="IC622" s="319" t="s">
        <v>190</v>
      </c>
      <c r="ID622" s="319" t="s">
        <v>190</v>
      </c>
      <c r="IE622" s="319" t="s">
        <v>190</v>
      </c>
      <c r="IF622" s="319" t="s">
        <v>190</v>
      </c>
      <c r="IG622" s="319" t="s">
        <v>190</v>
      </c>
      <c r="IH622" s="319" t="s">
        <v>190</v>
      </c>
      <c r="II622" s="319" t="s">
        <v>190</v>
      </c>
      <c r="IJ622" s="319" t="s">
        <v>3379</v>
      </c>
      <c r="IK622" s="321">
        <v>42165</v>
      </c>
      <c r="IL622" s="321">
        <v>42166</v>
      </c>
      <c r="IM622" s="321">
        <v>42209</v>
      </c>
      <c r="IN622" s="319">
        <v>4</v>
      </c>
      <c r="IO622" s="319" t="s">
        <v>173</v>
      </c>
      <c r="IP622" s="319" t="s">
        <v>173</v>
      </c>
      <c r="IQ622" s="321" t="s">
        <v>173</v>
      </c>
      <c r="IR622" s="320" t="s">
        <v>173</v>
      </c>
      <c r="IS622" s="322" t="s">
        <v>173</v>
      </c>
      <c r="IT622" s="319" t="s">
        <v>173</v>
      </c>
    </row>
    <row r="623" spans="1:254" s="271" customFormat="1" x14ac:dyDescent="0.25">
      <c r="A623" s="318" t="str">
        <f>HYPERLINK("http://www.ofsted.gov.uk/inspection-reports/find-inspection-report/provider/ELS/136242 ","Ofsted School Webpage")</f>
        <v>Ofsted School Webpage</v>
      </c>
      <c r="B623" s="319">
        <v>136242</v>
      </c>
      <c r="C623" s="319">
        <v>3526070</v>
      </c>
      <c r="D623" s="319" t="s">
        <v>2074</v>
      </c>
      <c r="E623" s="319" t="s">
        <v>167</v>
      </c>
      <c r="F623" s="319" t="s">
        <v>81</v>
      </c>
      <c r="G623" s="319" t="s">
        <v>59</v>
      </c>
      <c r="H623" s="319" t="s">
        <v>59</v>
      </c>
      <c r="I623" s="319" t="s">
        <v>59</v>
      </c>
      <c r="J623" s="319" t="s">
        <v>424</v>
      </c>
      <c r="K623" s="319" t="s">
        <v>431</v>
      </c>
      <c r="L623" s="319" t="s">
        <v>431</v>
      </c>
      <c r="M623" s="319" t="s">
        <v>660</v>
      </c>
      <c r="N623" s="319" t="s">
        <v>2874</v>
      </c>
      <c r="O623" s="319" t="s">
        <v>2075</v>
      </c>
      <c r="P623" s="319">
        <v>10</v>
      </c>
      <c r="Q623" s="319" t="s">
        <v>2766</v>
      </c>
      <c r="R623" s="320">
        <v>10043783</v>
      </c>
      <c r="S623" s="321">
        <v>43235</v>
      </c>
      <c r="T623" s="321">
        <v>43237</v>
      </c>
      <c r="U623" s="321">
        <v>43278</v>
      </c>
      <c r="V623" s="319" t="s">
        <v>425</v>
      </c>
      <c r="W623" s="319" t="s">
        <v>2767</v>
      </c>
      <c r="X623" s="319">
        <v>2</v>
      </c>
      <c r="Y623" s="319" t="s">
        <v>173</v>
      </c>
      <c r="Z623" s="319" t="s">
        <v>173</v>
      </c>
      <c r="AA623" s="319" t="s">
        <v>173</v>
      </c>
      <c r="AB623" s="319">
        <v>2</v>
      </c>
      <c r="AC623" s="319" t="s">
        <v>169</v>
      </c>
      <c r="AD623" s="319" t="s">
        <v>173</v>
      </c>
      <c r="AE623" s="319" t="s">
        <v>173</v>
      </c>
      <c r="AF623" s="319" t="s">
        <v>427</v>
      </c>
      <c r="AG623" s="319" t="s">
        <v>171</v>
      </c>
      <c r="AH623" s="319" t="s">
        <v>190</v>
      </c>
      <c r="AI623" s="319" t="s">
        <v>190</v>
      </c>
      <c r="AJ623" s="319" t="s">
        <v>190</v>
      </c>
      <c r="AK623" s="319" t="s">
        <v>190</v>
      </c>
      <c r="AL623" s="319" t="s">
        <v>190</v>
      </c>
      <c r="AM623" s="319" t="s">
        <v>190</v>
      </c>
      <c r="AN623" s="319" t="s">
        <v>190</v>
      </c>
      <c r="AO623" s="319" t="s">
        <v>190</v>
      </c>
      <c r="AP623" s="319" t="s">
        <v>190</v>
      </c>
      <c r="AQ623" s="319" t="s">
        <v>190</v>
      </c>
      <c r="AR623" s="319" t="s">
        <v>190</v>
      </c>
      <c r="AS623" s="319" t="s">
        <v>190</v>
      </c>
      <c r="AT623" s="319" t="s">
        <v>190</v>
      </c>
      <c r="AU623" s="319" t="s">
        <v>190</v>
      </c>
      <c r="AV623" s="319" t="s">
        <v>190</v>
      </c>
      <c r="AW623" s="319" t="s">
        <v>190</v>
      </c>
      <c r="AX623" s="319" t="s">
        <v>428</v>
      </c>
      <c r="AY623" s="319" t="s">
        <v>190</v>
      </c>
      <c r="AZ623" s="319" t="s">
        <v>190</v>
      </c>
      <c r="BA623" s="319" t="s">
        <v>190</v>
      </c>
      <c r="BB623" s="319" t="s">
        <v>190</v>
      </c>
      <c r="BC623" s="319" t="s">
        <v>190</v>
      </c>
      <c r="BD623" s="319" t="s">
        <v>190</v>
      </c>
      <c r="BE623" s="319" t="s">
        <v>190</v>
      </c>
      <c r="BF623" s="319" t="s">
        <v>428</v>
      </c>
      <c r="BG623" s="319" t="s">
        <v>428</v>
      </c>
      <c r="BH623" s="319" t="s">
        <v>190</v>
      </c>
      <c r="BI623" s="319" t="s">
        <v>190</v>
      </c>
      <c r="BJ623" s="319" t="s">
        <v>190</v>
      </c>
      <c r="BK623" s="319" t="s">
        <v>190</v>
      </c>
      <c r="BL623" s="319" t="s">
        <v>190</v>
      </c>
      <c r="BM623" s="319" t="s">
        <v>190</v>
      </c>
      <c r="BN623" s="319" t="s">
        <v>190</v>
      </c>
      <c r="BO623" s="319" t="s">
        <v>190</v>
      </c>
      <c r="BP623" s="319" t="s">
        <v>190</v>
      </c>
      <c r="BQ623" s="319" t="s">
        <v>190</v>
      </c>
      <c r="BR623" s="319" t="s">
        <v>190</v>
      </c>
      <c r="BS623" s="319" t="s">
        <v>190</v>
      </c>
      <c r="BT623" s="319" t="s">
        <v>190</v>
      </c>
      <c r="BU623" s="319" t="s">
        <v>190</v>
      </c>
      <c r="BV623" s="319" t="s">
        <v>190</v>
      </c>
      <c r="BW623" s="319" t="s">
        <v>190</v>
      </c>
      <c r="BX623" s="319" t="s">
        <v>190</v>
      </c>
      <c r="BY623" s="319" t="s">
        <v>190</v>
      </c>
      <c r="BZ623" s="319" t="s">
        <v>190</v>
      </c>
      <c r="CA623" s="319" t="s">
        <v>190</v>
      </c>
      <c r="CB623" s="319" t="s">
        <v>190</v>
      </c>
      <c r="CC623" s="319" t="s">
        <v>190</v>
      </c>
      <c r="CD623" s="319" t="s">
        <v>190</v>
      </c>
      <c r="CE623" s="319" t="s">
        <v>190</v>
      </c>
      <c r="CF623" s="319" t="s">
        <v>190</v>
      </c>
      <c r="CG623" s="319" t="s">
        <v>190</v>
      </c>
      <c r="CH623" s="319" t="s">
        <v>190</v>
      </c>
      <c r="CI623" s="319" t="s">
        <v>190</v>
      </c>
      <c r="CJ623" s="319" t="s">
        <v>190</v>
      </c>
      <c r="CK623" s="319" t="s">
        <v>190</v>
      </c>
      <c r="CL623" s="319" t="s">
        <v>190</v>
      </c>
      <c r="CM623" s="319" t="s">
        <v>190</v>
      </c>
      <c r="CN623" s="319" t="s">
        <v>428</v>
      </c>
      <c r="CO623" s="319" t="s">
        <v>428</v>
      </c>
      <c r="CP623" s="319" t="s">
        <v>428</v>
      </c>
      <c r="CQ623" s="319" t="s">
        <v>190</v>
      </c>
      <c r="CR623" s="319" t="s">
        <v>190</v>
      </c>
      <c r="CS623" s="319" t="s">
        <v>190</v>
      </c>
      <c r="CT623" s="319" t="s">
        <v>190</v>
      </c>
      <c r="CU623" s="319" t="s">
        <v>190</v>
      </c>
      <c r="CV623" s="319" t="s">
        <v>190</v>
      </c>
      <c r="CW623" s="319" t="s">
        <v>190</v>
      </c>
      <c r="CX623" s="319" t="s">
        <v>190</v>
      </c>
      <c r="CY623" s="319" t="s">
        <v>190</v>
      </c>
      <c r="CZ623" s="319" t="s">
        <v>190</v>
      </c>
      <c r="DA623" s="319" t="s">
        <v>190</v>
      </c>
      <c r="DB623" s="319" t="s">
        <v>190</v>
      </c>
      <c r="DC623" s="319" t="s">
        <v>190</v>
      </c>
      <c r="DD623" s="319" t="s">
        <v>190</v>
      </c>
      <c r="DE623" s="319" t="s">
        <v>190</v>
      </c>
      <c r="DF623" s="319" t="s">
        <v>190</v>
      </c>
      <c r="DG623" s="319" t="s">
        <v>190</v>
      </c>
      <c r="DH623" s="319" t="s">
        <v>190</v>
      </c>
      <c r="DI623" s="319" t="s">
        <v>190</v>
      </c>
      <c r="DJ623" s="319" t="s">
        <v>190</v>
      </c>
      <c r="DK623" s="319" t="s">
        <v>190</v>
      </c>
      <c r="DL623" s="319" t="s">
        <v>190</v>
      </c>
      <c r="DM623" s="319" t="s">
        <v>190</v>
      </c>
      <c r="DN623" s="319" t="s">
        <v>428</v>
      </c>
      <c r="DO623" s="319" t="s">
        <v>190</v>
      </c>
      <c r="DP623" s="319" t="s">
        <v>428</v>
      </c>
      <c r="DQ623" s="319" t="s">
        <v>428</v>
      </c>
      <c r="DR623" s="319" t="s">
        <v>428</v>
      </c>
      <c r="DS623" s="319" t="s">
        <v>428</v>
      </c>
      <c r="DT623" s="319" t="s">
        <v>428</v>
      </c>
      <c r="DU623" s="319" t="s">
        <v>428</v>
      </c>
      <c r="DV623" s="319" t="s">
        <v>173</v>
      </c>
      <c r="DW623" s="319" t="s">
        <v>428</v>
      </c>
      <c r="DX623" s="319" t="s">
        <v>428</v>
      </c>
      <c r="DY623" s="319" t="s">
        <v>428</v>
      </c>
      <c r="DZ623" s="319" t="s">
        <v>428</v>
      </c>
      <c r="EA623" s="319" t="s">
        <v>428</v>
      </c>
      <c r="EB623" s="319" t="s">
        <v>428</v>
      </c>
      <c r="EC623" s="319" t="s">
        <v>428</v>
      </c>
      <c r="ED623" s="319" t="s">
        <v>428</v>
      </c>
      <c r="EE623" s="319" t="s">
        <v>190</v>
      </c>
      <c r="EF623" s="319" t="s">
        <v>190</v>
      </c>
      <c r="EG623" s="319" t="s">
        <v>190</v>
      </c>
      <c r="EH623" s="319" t="s">
        <v>190</v>
      </c>
      <c r="EI623" s="319" t="s">
        <v>190</v>
      </c>
      <c r="EJ623" s="319" t="s">
        <v>190</v>
      </c>
      <c r="EK623" s="319" t="s">
        <v>190</v>
      </c>
      <c r="EL623" s="319" t="s">
        <v>190</v>
      </c>
      <c r="EM623" s="319" t="s">
        <v>190</v>
      </c>
      <c r="EN623" s="319" t="s">
        <v>190</v>
      </c>
      <c r="EO623" s="319" t="s">
        <v>190</v>
      </c>
      <c r="EP623" s="319" t="s">
        <v>190</v>
      </c>
      <c r="EQ623" s="319" t="s">
        <v>190</v>
      </c>
      <c r="ER623" s="319" t="s">
        <v>190</v>
      </c>
      <c r="ES623" s="319" t="s">
        <v>190</v>
      </c>
      <c r="ET623" s="319" t="s">
        <v>190</v>
      </c>
      <c r="EU623" s="319" t="s">
        <v>190</v>
      </c>
      <c r="EV623" s="319" t="s">
        <v>190</v>
      </c>
      <c r="EW623" s="319" t="s">
        <v>190</v>
      </c>
      <c r="EX623" s="319" t="s">
        <v>190</v>
      </c>
      <c r="EY623" s="319" t="s">
        <v>190</v>
      </c>
      <c r="EZ623" s="319" t="s">
        <v>190</v>
      </c>
      <c r="FA623" s="319" t="s">
        <v>190</v>
      </c>
      <c r="FB623" s="319" t="s">
        <v>428</v>
      </c>
      <c r="FC623" s="319" t="s">
        <v>428</v>
      </c>
      <c r="FD623" s="319" t="s">
        <v>428</v>
      </c>
      <c r="FE623" s="319" t="s">
        <v>428</v>
      </c>
      <c r="FF623" s="319" t="s">
        <v>428</v>
      </c>
      <c r="FG623" s="319" t="s">
        <v>428</v>
      </c>
      <c r="FH623" s="319" t="s">
        <v>190</v>
      </c>
      <c r="FI623" s="319" t="s">
        <v>190</v>
      </c>
      <c r="FJ623" s="319" t="s">
        <v>190</v>
      </c>
      <c r="FK623" s="319" t="s">
        <v>190</v>
      </c>
      <c r="FL623" s="319" t="s">
        <v>190</v>
      </c>
      <c r="FM623" s="319" t="s">
        <v>190</v>
      </c>
      <c r="FN623" s="319" t="s">
        <v>190</v>
      </c>
      <c r="FO623" s="319" t="s">
        <v>190</v>
      </c>
      <c r="FP623" s="319" t="s">
        <v>190</v>
      </c>
      <c r="FQ623" s="319" t="s">
        <v>190</v>
      </c>
      <c r="FR623" s="319" t="s">
        <v>190</v>
      </c>
      <c r="FS623" s="319" t="s">
        <v>428</v>
      </c>
      <c r="FT623" s="319" t="s">
        <v>190</v>
      </c>
      <c r="FU623" s="319" t="s">
        <v>190</v>
      </c>
      <c r="FV623" s="319" t="s">
        <v>190</v>
      </c>
      <c r="FW623" s="319" t="s">
        <v>190</v>
      </c>
      <c r="FX623" s="319" t="s">
        <v>190</v>
      </c>
      <c r="FY623" s="319" t="s">
        <v>190</v>
      </c>
      <c r="FZ623" s="319" t="s">
        <v>190</v>
      </c>
      <c r="GA623" s="319" t="s">
        <v>190</v>
      </c>
      <c r="GB623" s="319" t="s">
        <v>190</v>
      </c>
      <c r="GC623" s="319" t="s">
        <v>190</v>
      </c>
      <c r="GD623" s="319" t="s">
        <v>190</v>
      </c>
      <c r="GE623" s="319" t="s">
        <v>190</v>
      </c>
      <c r="GF623" s="319" t="s">
        <v>190</v>
      </c>
      <c r="GG623" s="319" t="s">
        <v>190</v>
      </c>
      <c r="GH623" s="319" t="s">
        <v>190</v>
      </c>
      <c r="GI623" s="319" t="s">
        <v>190</v>
      </c>
      <c r="GJ623" s="319" t="s">
        <v>190</v>
      </c>
      <c r="GK623" s="319" t="s">
        <v>428</v>
      </c>
      <c r="GL623" s="319" t="s">
        <v>190</v>
      </c>
      <c r="GM623" s="319" t="s">
        <v>190</v>
      </c>
      <c r="GN623" s="319" t="s">
        <v>190</v>
      </c>
      <c r="GO623" s="319" t="s">
        <v>190</v>
      </c>
      <c r="GP623" s="319" t="s">
        <v>190</v>
      </c>
      <c r="GQ623" s="319" t="s">
        <v>190</v>
      </c>
      <c r="GR623" s="319" t="s">
        <v>190</v>
      </c>
      <c r="GS623" s="319" t="s">
        <v>190</v>
      </c>
      <c r="GT623" s="319" t="s">
        <v>190</v>
      </c>
      <c r="GU623" s="319" t="s">
        <v>190</v>
      </c>
      <c r="GV623" s="319" t="s">
        <v>190</v>
      </c>
      <c r="GW623" s="319" t="s">
        <v>190</v>
      </c>
      <c r="GX623" s="319" t="s">
        <v>190</v>
      </c>
      <c r="GY623" s="319" t="s">
        <v>190</v>
      </c>
      <c r="GZ623" s="319" t="s">
        <v>190</v>
      </c>
      <c r="HA623" s="319" t="s">
        <v>190</v>
      </c>
      <c r="HB623" s="319" t="s">
        <v>428</v>
      </c>
      <c r="HC623" s="319" t="s">
        <v>190</v>
      </c>
      <c r="HD623" s="319" t="s">
        <v>190</v>
      </c>
      <c r="HE623" s="319" t="s">
        <v>190</v>
      </c>
      <c r="HF623" s="319" t="s">
        <v>190</v>
      </c>
      <c r="HG623" s="319" t="s">
        <v>190</v>
      </c>
      <c r="HH623" s="319" t="s">
        <v>190</v>
      </c>
      <c r="HI623" s="319" t="s">
        <v>190</v>
      </c>
      <c r="HJ623" s="319" t="s">
        <v>190</v>
      </c>
      <c r="HK623" s="319" t="s">
        <v>190</v>
      </c>
      <c r="HL623" s="319" t="s">
        <v>428</v>
      </c>
      <c r="HM623" s="319" t="s">
        <v>428</v>
      </c>
      <c r="HN623" s="319" t="s">
        <v>428</v>
      </c>
      <c r="HO623" s="319" t="s">
        <v>428</v>
      </c>
      <c r="HP623" s="319" t="s">
        <v>190</v>
      </c>
      <c r="HQ623" s="319" t="s">
        <v>190</v>
      </c>
      <c r="HR623" s="319" t="s">
        <v>190</v>
      </c>
      <c r="HS623" s="319" t="s">
        <v>190</v>
      </c>
      <c r="HT623" s="319" t="s">
        <v>190</v>
      </c>
      <c r="HU623" s="319" t="s">
        <v>190</v>
      </c>
      <c r="HV623" s="319" t="s">
        <v>190</v>
      </c>
      <c r="HW623" s="319" t="s">
        <v>190</v>
      </c>
      <c r="HX623" s="319" t="s">
        <v>190</v>
      </c>
      <c r="HY623" s="319" t="s">
        <v>190</v>
      </c>
      <c r="HZ623" s="319" t="s">
        <v>190</v>
      </c>
      <c r="IA623" s="319" t="s">
        <v>190</v>
      </c>
      <c r="IB623" s="319" t="s">
        <v>190</v>
      </c>
      <c r="IC623" s="319" t="s">
        <v>190</v>
      </c>
      <c r="ID623" s="319" t="s">
        <v>190</v>
      </c>
      <c r="IE623" s="319" t="s">
        <v>190</v>
      </c>
      <c r="IF623" s="319" t="s">
        <v>190</v>
      </c>
      <c r="IG623" s="319" t="s">
        <v>190</v>
      </c>
      <c r="IH623" s="319" t="s">
        <v>190</v>
      </c>
      <c r="II623" s="319" t="s">
        <v>190</v>
      </c>
      <c r="IJ623" s="319" t="s">
        <v>3380</v>
      </c>
      <c r="IK623" s="321">
        <v>42073</v>
      </c>
      <c r="IL623" s="321">
        <v>42075</v>
      </c>
      <c r="IM623" s="321">
        <v>42118</v>
      </c>
      <c r="IN623" s="319">
        <v>2</v>
      </c>
      <c r="IO623" s="319" t="s">
        <v>173</v>
      </c>
      <c r="IP623" s="319" t="s">
        <v>173</v>
      </c>
      <c r="IQ623" s="321" t="s">
        <v>173</v>
      </c>
      <c r="IR623" s="320" t="s">
        <v>173</v>
      </c>
      <c r="IS623" s="322" t="s">
        <v>173</v>
      </c>
      <c r="IT623" s="319" t="s">
        <v>173</v>
      </c>
    </row>
    <row r="624" spans="1:254" s="271" customFormat="1" x14ac:dyDescent="0.25">
      <c r="A624" s="318" t="str">
        <f>HYPERLINK("http://www.ofsted.gov.uk/inspection-reports/find-inspection-report/provider/ELS/136244 ","Ofsted School Webpage")</f>
        <v>Ofsted School Webpage</v>
      </c>
      <c r="B624" s="319">
        <v>136244</v>
      </c>
      <c r="C624" s="319">
        <v>3176080</v>
      </c>
      <c r="D624" s="319" t="s">
        <v>2076</v>
      </c>
      <c r="E624" s="319" t="s">
        <v>168</v>
      </c>
      <c r="F624" s="319" t="s">
        <v>81</v>
      </c>
      <c r="G624" s="319" t="s">
        <v>81</v>
      </c>
      <c r="H624" s="319" t="s">
        <v>81</v>
      </c>
      <c r="I624" s="319" t="s">
        <v>78</v>
      </c>
      <c r="J624" s="319" t="s">
        <v>424</v>
      </c>
      <c r="K624" s="319" t="s">
        <v>441</v>
      </c>
      <c r="L624" s="319" t="s">
        <v>441</v>
      </c>
      <c r="M624" s="319" t="s">
        <v>648</v>
      </c>
      <c r="N624" s="319" t="s">
        <v>3381</v>
      </c>
      <c r="O624" s="319" t="s">
        <v>2077</v>
      </c>
      <c r="P624" s="319">
        <v>0</v>
      </c>
      <c r="Q624" s="319" t="s">
        <v>429</v>
      </c>
      <c r="R624" s="320" t="s">
        <v>2078</v>
      </c>
      <c r="S624" s="321">
        <v>42185</v>
      </c>
      <c r="T624" s="321">
        <v>42186</v>
      </c>
      <c r="U624" s="321">
        <v>42257</v>
      </c>
      <c r="V624" s="319" t="s">
        <v>425</v>
      </c>
      <c r="W624" s="319" t="s">
        <v>2767</v>
      </c>
      <c r="X624" s="319">
        <v>2</v>
      </c>
      <c r="Y624" s="319" t="s">
        <v>173</v>
      </c>
      <c r="Z624" s="319" t="s">
        <v>173</v>
      </c>
      <c r="AA624" s="319" t="s">
        <v>173</v>
      </c>
      <c r="AB624" s="319">
        <v>2</v>
      </c>
      <c r="AC624" s="319" t="s">
        <v>173</v>
      </c>
      <c r="AD624" s="319">
        <v>9</v>
      </c>
      <c r="AE624" s="319">
        <v>9</v>
      </c>
      <c r="AF624" s="319" t="s">
        <v>173</v>
      </c>
      <c r="AG624" s="319" t="s">
        <v>171</v>
      </c>
      <c r="AH624" s="319" t="s">
        <v>173</v>
      </c>
      <c r="AI624" s="319" t="s">
        <v>173</v>
      </c>
      <c r="AJ624" s="319" t="s">
        <v>173</v>
      </c>
      <c r="AK624" s="319" t="s">
        <v>173</v>
      </c>
      <c r="AL624" s="319" t="s">
        <v>173</v>
      </c>
      <c r="AM624" s="319" t="s">
        <v>173</v>
      </c>
      <c r="AN624" s="319" t="s">
        <v>173</v>
      </c>
      <c r="AO624" s="319" t="s">
        <v>173</v>
      </c>
      <c r="AP624" s="319" t="s">
        <v>173</v>
      </c>
      <c r="AQ624" s="319" t="s">
        <v>173</v>
      </c>
      <c r="AR624" s="319" t="s">
        <v>173</v>
      </c>
      <c r="AS624" s="319" t="s">
        <v>173</v>
      </c>
      <c r="AT624" s="319" t="s">
        <v>173</v>
      </c>
      <c r="AU624" s="319" t="s">
        <v>173</v>
      </c>
      <c r="AV624" s="319" t="s">
        <v>173</v>
      </c>
      <c r="AW624" s="319" t="s">
        <v>173</v>
      </c>
      <c r="AX624" s="319" t="s">
        <v>173</v>
      </c>
      <c r="AY624" s="319" t="s">
        <v>173</v>
      </c>
      <c r="AZ624" s="319" t="s">
        <v>173</v>
      </c>
      <c r="BA624" s="319" t="s">
        <v>173</v>
      </c>
      <c r="BB624" s="319" t="s">
        <v>173</v>
      </c>
      <c r="BC624" s="319" t="s">
        <v>173</v>
      </c>
      <c r="BD624" s="319" t="s">
        <v>173</v>
      </c>
      <c r="BE624" s="319" t="s">
        <v>173</v>
      </c>
      <c r="BF624" s="319" t="s">
        <v>173</v>
      </c>
      <c r="BG624" s="319" t="s">
        <v>173</v>
      </c>
      <c r="BH624" s="319" t="s">
        <v>173</v>
      </c>
      <c r="BI624" s="319" t="s">
        <v>173</v>
      </c>
      <c r="BJ624" s="319" t="s">
        <v>173</v>
      </c>
      <c r="BK624" s="319" t="s">
        <v>173</v>
      </c>
      <c r="BL624" s="319" t="s">
        <v>173</v>
      </c>
      <c r="BM624" s="319" t="s">
        <v>173</v>
      </c>
      <c r="BN624" s="319" t="s">
        <v>173</v>
      </c>
      <c r="BO624" s="319" t="s">
        <v>173</v>
      </c>
      <c r="BP624" s="319" t="s">
        <v>173</v>
      </c>
      <c r="BQ624" s="319" t="s">
        <v>173</v>
      </c>
      <c r="BR624" s="319" t="s">
        <v>173</v>
      </c>
      <c r="BS624" s="319" t="s">
        <v>173</v>
      </c>
      <c r="BT624" s="319" t="s">
        <v>173</v>
      </c>
      <c r="BU624" s="319" t="s">
        <v>173</v>
      </c>
      <c r="BV624" s="319" t="s">
        <v>173</v>
      </c>
      <c r="BW624" s="319" t="s">
        <v>173</v>
      </c>
      <c r="BX624" s="319" t="s">
        <v>173</v>
      </c>
      <c r="BY624" s="319" t="s">
        <v>173</v>
      </c>
      <c r="BZ624" s="319" t="s">
        <v>173</v>
      </c>
      <c r="CA624" s="319" t="s">
        <v>173</v>
      </c>
      <c r="CB624" s="319" t="s">
        <v>173</v>
      </c>
      <c r="CC624" s="319" t="s">
        <v>173</v>
      </c>
      <c r="CD624" s="319" t="s">
        <v>173</v>
      </c>
      <c r="CE624" s="319" t="s">
        <v>173</v>
      </c>
      <c r="CF624" s="319" t="s">
        <v>173</v>
      </c>
      <c r="CG624" s="319" t="s">
        <v>173</v>
      </c>
      <c r="CH624" s="319" t="s">
        <v>173</v>
      </c>
      <c r="CI624" s="319" t="s">
        <v>173</v>
      </c>
      <c r="CJ624" s="319" t="s">
        <v>173</v>
      </c>
      <c r="CK624" s="319" t="s">
        <v>173</v>
      </c>
      <c r="CL624" s="319" t="s">
        <v>173</v>
      </c>
      <c r="CM624" s="319" t="s">
        <v>173</v>
      </c>
      <c r="CN624" s="319" t="s">
        <v>173</v>
      </c>
      <c r="CO624" s="319" t="s">
        <v>173</v>
      </c>
      <c r="CP624" s="319" t="s">
        <v>173</v>
      </c>
      <c r="CQ624" s="319" t="s">
        <v>173</v>
      </c>
      <c r="CR624" s="319" t="s">
        <v>173</v>
      </c>
      <c r="CS624" s="319" t="s">
        <v>173</v>
      </c>
      <c r="CT624" s="319" t="s">
        <v>173</v>
      </c>
      <c r="CU624" s="319" t="s">
        <v>173</v>
      </c>
      <c r="CV624" s="319" t="s">
        <v>173</v>
      </c>
      <c r="CW624" s="319" t="s">
        <v>173</v>
      </c>
      <c r="CX624" s="319" t="s">
        <v>173</v>
      </c>
      <c r="CY624" s="319" t="s">
        <v>173</v>
      </c>
      <c r="CZ624" s="319" t="s">
        <v>173</v>
      </c>
      <c r="DA624" s="319" t="s">
        <v>173</v>
      </c>
      <c r="DB624" s="319" t="s">
        <v>173</v>
      </c>
      <c r="DC624" s="319" t="s">
        <v>173</v>
      </c>
      <c r="DD624" s="319" t="s">
        <v>173</v>
      </c>
      <c r="DE624" s="319" t="s">
        <v>173</v>
      </c>
      <c r="DF624" s="319" t="s">
        <v>173</v>
      </c>
      <c r="DG624" s="319" t="s">
        <v>173</v>
      </c>
      <c r="DH624" s="319" t="s">
        <v>173</v>
      </c>
      <c r="DI624" s="319" t="s">
        <v>173</v>
      </c>
      <c r="DJ624" s="319" t="s">
        <v>173</v>
      </c>
      <c r="DK624" s="319" t="s">
        <v>173</v>
      </c>
      <c r="DL624" s="319" t="s">
        <v>173</v>
      </c>
      <c r="DM624" s="319" t="s">
        <v>173</v>
      </c>
      <c r="DN624" s="319" t="s">
        <v>173</v>
      </c>
      <c r="DO624" s="319" t="s">
        <v>173</v>
      </c>
      <c r="DP624" s="319" t="s">
        <v>173</v>
      </c>
      <c r="DQ624" s="319" t="s">
        <v>173</v>
      </c>
      <c r="DR624" s="319" t="s">
        <v>173</v>
      </c>
      <c r="DS624" s="319" t="s">
        <v>173</v>
      </c>
      <c r="DT624" s="319" t="s">
        <v>173</v>
      </c>
      <c r="DU624" s="319" t="s">
        <v>173</v>
      </c>
      <c r="DV624" s="319" t="s">
        <v>173</v>
      </c>
      <c r="DW624" s="319" t="s">
        <v>173</v>
      </c>
      <c r="DX624" s="319" t="s">
        <v>173</v>
      </c>
      <c r="DY624" s="319" t="s">
        <v>173</v>
      </c>
      <c r="DZ624" s="319" t="s">
        <v>173</v>
      </c>
      <c r="EA624" s="319" t="s">
        <v>173</v>
      </c>
      <c r="EB624" s="319" t="s">
        <v>173</v>
      </c>
      <c r="EC624" s="319" t="s">
        <v>173</v>
      </c>
      <c r="ED624" s="319" t="s">
        <v>173</v>
      </c>
      <c r="EE624" s="319" t="s">
        <v>173</v>
      </c>
      <c r="EF624" s="319" t="s">
        <v>173</v>
      </c>
      <c r="EG624" s="319" t="s">
        <v>173</v>
      </c>
      <c r="EH624" s="319" t="s">
        <v>173</v>
      </c>
      <c r="EI624" s="319" t="s">
        <v>173</v>
      </c>
      <c r="EJ624" s="319" t="s">
        <v>173</v>
      </c>
      <c r="EK624" s="319" t="s">
        <v>173</v>
      </c>
      <c r="EL624" s="319" t="s">
        <v>173</v>
      </c>
      <c r="EM624" s="319" t="s">
        <v>173</v>
      </c>
      <c r="EN624" s="319" t="s">
        <v>173</v>
      </c>
      <c r="EO624" s="319" t="s">
        <v>173</v>
      </c>
      <c r="EP624" s="319" t="s">
        <v>173</v>
      </c>
      <c r="EQ624" s="319" t="s">
        <v>173</v>
      </c>
      <c r="ER624" s="319" t="s">
        <v>173</v>
      </c>
      <c r="ES624" s="319" t="s">
        <v>173</v>
      </c>
      <c r="ET624" s="319" t="s">
        <v>173</v>
      </c>
      <c r="EU624" s="319" t="s">
        <v>173</v>
      </c>
      <c r="EV624" s="319" t="s">
        <v>173</v>
      </c>
      <c r="EW624" s="319" t="s">
        <v>173</v>
      </c>
      <c r="EX624" s="319" t="s">
        <v>173</v>
      </c>
      <c r="EY624" s="319" t="s">
        <v>173</v>
      </c>
      <c r="EZ624" s="319" t="s">
        <v>173</v>
      </c>
      <c r="FA624" s="319" t="s">
        <v>173</v>
      </c>
      <c r="FB624" s="319" t="s">
        <v>173</v>
      </c>
      <c r="FC624" s="319" t="s">
        <v>173</v>
      </c>
      <c r="FD624" s="319" t="s">
        <v>173</v>
      </c>
      <c r="FE624" s="319" t="s">
        <v>173</v>
      </c>
      <c r="FF624" s="319" t="s">
        <v>173</v>
      </c>
      <c r="FG624" s="319" t="s">
        <v>173</v>
      </c>
      <c r="FH624" s="319" t="s">
        <v>173</v>
      </c>
      <c r="FI624" s="319" t="s">
        <v>173</v>
      </c>
      <c r="FJ624" s="319" t="s">
        <v>173</v>
      </c>
      <c r="FK624" s="319" t="s">
        <v>173</v>
      </c>
      <c r="FL624" s="319" t="s">
        <v>173</v>
      </c>
      <c r="FM624" s="319" t="s">
        <v>173</v>
      </c>
      <c r="FN624" s="319" t="s">
        <v>173</v>
      </c>
      <c r="FO624" s="319" t="s">
        <v>173</v>
      </c>
      <c r="FP624" s="319" t="s">
        <v>173</v>
      </c>
      <c r="FQ624" s="319" t="s">
        <v>173</v>
      </c>
      <c r="FR624" s="319" t="s">
        <v>173</v>
      </c>
      <c r="FS624" s="319" t="s">
        <v>173</v>
      </c>
      <c r="FT624" s="319" t="s">
        <v>173</v>
      </c>
      <c r="FU624" s="319" t="s">
        <v>173</v>
      </c>
      <c r="FV624" s="319" t="s">
        <v>173</v>
      </c>
      <c r="FW624" s="319" t="s">
        <v>173</v>
      </c>
      <c r="FX624" s="319" t="s">
        <v>173</v>
      </c>
      <c r="FY624" s="319" t="s">
        <v>173</v>
      </c>
      <c r="FZ624" s="319" t="s">
        <v>173</v>
      </c>
      <c r="GA624" s="319" t="s">
        <v>173</v>
      </c>
      <c r="GB624" s="319" t="s">
        <v>173</v>
      </c>
      <c r="GC624" s="319" t="s">
        <v>173</v>
      </c>
      <c r="GD624" s="319" t="s">
        <v>173</v>
      </c>
      <c r="GE624" s="319" t="s">
        <v>173</v>
      </c>
      <c r="GF624" s="319" t="s">
        <v>173</v>
      </c>
      <c r="GG624" s="319" t="s">
        <v>173</v>
      </c>
      <c r="GH624" s="319" t="s">
        <v>173</v>
      </c>
      <c r="GI624" s="319" t="s">
        <v>173</v>
      </c>
      <c r="GJ624" s="319" t="s">
        <v>173</v>
      </c>
      <c r="GK624" s="319" t="s">
        <v>173</v>
      </c>
      <c r="GL624" s="319" t="s">
        <v>173</v>
      </c>
      <c r="GM624" s="319" t="s">
        <v>173</v>
      </c>
      <c r="GN624" s="319" t="s">
        <v>173</v>
      </c>
      <c r="GO624" s="319" t="s">
        <v>173</v>
      </c>
      <c r="GP624" s="319" t="s">
        <v>173</v>
      </c>
      <c r="GQ624" s="319" t="s">
        <v>173</v>
      </c>
      <c r="GR624" s="319" t="s">
        <v>173</v>
      </c>
      <c r="GS624" s="319" t="s">
        <v>173</v>
      </c>
      <c r="GT624" s="319" t="s">
        <v>173</v>
      </c>
      <c r="GU624" s="319" t="s">
        <v>173</v>
      </c>
      <c r="GV624" s="319" t="s">
        <v>173</v>
      </c>
      <c r="GW624" s="319" t="s">
        <v>173</v>
      </c>
      <c r="GX624" s="319" t="s">
        <v>173</v>
      </c>
      <c r="GY624" s="319" t="s">
        <v>173</v>
      </c>
      <c r="GZ624" s="319" t="s">
        <v>173</v>
      </c>
      <c r="HA624" s="319" t="s">
        <v>173</v>
      </c>
      <c r="HB624" s="319" t="s">
        <v>173</v>
      </c>
      <c r="HC624" s="319" t="s">
        <v>173</v>
      </c>
      <c r="HD624" s="319" t="s">
        <v>173</v>
      </c>
      <c r="HE624" s="319" t="s">
        <v>173</v>
      </c>
      <c r="HF624" s="319" t="s">
        <v>173</v>
      </c>
      <c r="HG624" s="319" t="s">
        <v>173</v>
      </c>
      <c r="HH624" s="319" t="s">
        <v>173</v>
      </c>
      <c r="HI624" s="319" t="s">
        <v>173</v>
      </c>
      <c r="HJ624" s="319" t="s">
        <v>173</v>
      </c>
      <c r="HK624" s="319" t="s">
        <v>173</v>
      </c>
      <c r="HL624" s="319" t="s">
        <v>173</v>
      </c>
      <c r="HM624" s="319" t="s">
        <v>173</v>
      </c>
      <c r="HN624" s="319" t="s">
        <v>173</v>
      </c>
      <c r="HO624" s="319" t="s">
        <v>173</v>
      </c>
      <c r="HP624" s="319" t="s">
        <v>173</v>
      </c>
      <c r="HQ624" s="319" t="s">
        <v>173</v>
      </c>
      <c r="HR624" s="319" t="s">
        <v>173</v>
      </c>
      <c r="HS624" s="319" t="s">
        <v>173</v>
      </c>
      <c r="HT624" s="319" t="s">
        <v>173</v>
      </c>
      <c r="HU624" s="319" t="s">
        <v>173</v>
      </c>
      <c r="HV624" s="319" t="s">
        <v>173</v>
      </c>
      <c r="HW624" s="319" t="s">
        <v>173</v>
      </c>
      <c r="HX624" s="319" t="s">
        <v>173</v>
      </c>
      <c r="HY624" s="319" t="s">
        <v>173</v>
      </c>
      <c r="HZ624" s="319" t="s">
        <v>173</v>
      </c>
      <c r="IA624" s="319" t="s">
        <v>173</v>
      </c>
      <c r="IB624" s="319" t="s">
        <v>173</v>
      </c>
      <c r="IC624" s="319" t="s">
        <v>173</v>
      </c>
      <c r="ID624" s="319" t="s">
        <v>173</v>
      </c>
      <c r="IE624" s="319" t="s">
        <v>173</v>
      </c>
      <c r="IF624" s="319" t="s">
        <v>173</v>
      </c>
      <c r="IG624" s="319" t="s">
        <v>173</v>
      </c>
      <c r="IH624" s="319" t="s">
        <v>173</v>
      </c>
      <c r="II624" s="319" t="s">
        <v>173</v>
      </c>
      <c r="IJ624" s="319" t="s">
        <v>3382</v>
      </c>
      <c r="IK624" s="321">
        <v>40962</v>
      </c>
      <c r="IL624" s="321">
        <v>40963</v>
      </c>
      <c r="IM624" s="321">
        <v>41236</v>
      </c>
      <c r="IN624" s="319">
        <v>3</v>
      </c>
      <c r="IO624" s="319" t="s">
        <v>173</v>
      </c>
      <c r="IP624" s="319" t="s">
        <v>173</v>
      </c>
      <c r="IQ624" s="321" t="s">
        <v>173</v>
      </c>
      <c r="IR624" s="320" t="s">
        <v>173</v>
      </c>
      <c r="IS624" s="322" t="s">
        <v>173</v>
      </c>
      <c r="IT624" s="319" t="s">
        <v>173</v>
      </c>
    </row>
    <row r="625" spans="1:254" s="271" customFormat="1" x14ac:dyDescent="0.25">
      <c r="A625" s="318" t="str">
        <f>HYPERLINK("http://www.ofsted.gov.uk/inspection-reports/find-inspection-report/provider/ELS/136245 ","Ofsted School Webpage")</f>
        <v>Ofsted School Webpage</v>
      </c>
      <c r="B625" s="319">
        <v>136245</v>
      </c>
      <c r="C625" s="319">
        <v>8606443</v>
      </c>
      <c r="D625" s="319" t="s">
        <v>2079</v>
      </c>
      <c r="E625" s="319" t="s">
        <v>168</v>
      </c>
      <c r="F625" s="319" t="s">
        <v>81</v>
      </c>
      <c r="G625" s="319" t="s">
        <v>81</v>
      </c>
      <c r="H625" s="319" t="s">
        <v>81</v>
      </c>
      <c r="I625" s="319" t="s">
        <v>78</v>
      </c>
      <c r="J625" s="319" t="s">
        <v>424</v>
      </c>
      <c r="K625" s="319" t="s">
        <v>437</v>
      </c>
      <c r="L625" s="319" t="s">
        <v>437</v>
      </c>
      <c r="M625" s="319" t="s">
        <v>577</v>
      </c>
      <c r="N625" s="319" t="s">
        <v>3383</v>
      </c>
      <c r="O625" s="319" t="s">
        <v>2080</v>
      </c>
      <c r="P625" s="319">
        <v>23</v>
      </c>
      <c r="Q625" s="319" t="s">
        <v>429</v>
      </c>
      <c r="R625" s="320">
        <v>10026109</v>
      </c>
      <c r="S625" s="321">
        <v>43221</v>
      </c>
      <c r="T625" s="321">
        <v>43223</v>
      </c>
      <c r="U625" s="321">
        <v>43245</v>
      </c>
      <c r="V625" s="319" t="s">
        <v>425</v>
      </c>
      <c r="W625" s="319" t="s">
        <v>2767</v>
      </c>
      <c r="X625" s="319">
        <v>2</v>
      </c>
      <c r="Y625" s="319" t="s">
        <v>173</v>
      </c>
      <c r="Z625" s="319" t="s">
        <v>173</v>
      </c>
      <c r="AA625" s="319" t="s">
        <v>173</v>
      </c>
      <c r="AB625" s="319">
        <v>2</v>
      </c>
      <c r="AC625" s="319" t="s">
        <v>169</v>
      </c>
      <c r="AD625" s="319" t="s">
        <v>173</v>
      </c>
      <c r="AE625" s="319" t="s">
        <v>173</v>
      </c>
      <c r="AF625" s="319" t="s">
        <v>427</v>
      </c>
      <c r="AG625" s="319" t="s">
        <v>171</v>
      </c>
      <c r="AH625" s="319" t="s">
        <v>190</v>
      </c>
      <c r="AI625" s="319" t="s">
        <v>190</v>
      </c>
      <c r="AJ625" s="319" t="s">
        <v>190</v>
      </c>
      <c r="AK625" s="319" t="s">
        <v>190</v>
      </c>
      <c r="AL625" s="319" t="s">
        <v>190</v>
      </c>
      <c r="AM625" s="319" t="s">
        <v>190</v>
      </c>
      <c r="AN625" s="319" t="s">
        <v>190</v>
      </c>
      <c r="AO625" s="319" t="s">
        <v>190</v>
      </c>
      <c r="AP625" s="319" t="s">
        <v>190</v>
      </c>
      <c r="AQ625" s="319" t="s">
        <v>190</v>
      </c>
      <c r="AR625" s="319" t="s">
        <v>190</v>
      </c>
      <c r="AS625" s="319" t="s">
        <v>190</v>
      </c>
      <c r="AT625" s="319" t="s">
        <v>190</v>
      </c>
      <c r="AU625" s="319" t="s">
        <v>190</v>
      </c>
      <c r="AV625" s="319" t="s">
        <v>190</v>
      </c>
      <c r="AW625" s="319" t="s">
        <v>190</v>
      </c>
      <c r="AX625" s="319" t="s">
        <v>428</v>
      </c>
      <c r="AY625" s="319" t="s">
        <v>190</v>
      </c>
      <c r="AZ625" s="319" t="s">
        <v>190</v>
      </c>
      <c r="BA625" s="319" t="s">
        <v>190</v>
      </c>
      <c r="BB625" s="319" t="s">
        <v>190</v>
      </c>
      <c r="BC625" s="319" t="s">
        <v>190</v>
      </c>
      <c r="BD625" s="319" t="s">
        <v>190</v>
      </c>
      <c r="BE625" s="319" t="s">
        <v>190</v>
      </c>
      <c r="BF625" s="319" t="s">
        <v>428</v>
      </c>
      <c r="BG625" s="319" t="s">
        <v>428</v>
      </c>
      <c r="BH625" s="319" t="s">
        <v>190</v>
      </c>
      <c r="BI625" s="319" t="s">
        <v>190</v>
      </c>
      <c r="BJ625" s="319" t="s">
        <v>190</v>
      </c>
      <c r="BK625" s="319" t="s">
        <v>190</v>
      </c>
      <c r="BL625" s="319" t="s">
        <v>190</v>
      </c>
      <c r="BM625" s="319" t="s">
        <v>190</v>
      </c>
      <c r="BN625" s="319" t="s">
        <v>190</v>
      </c>
      <c r="BO625" s="319" t="s">
        <v>190</v>
      </c>
      <c r="BP625" s="319" t="s">
        <v>190</v>
      </c>
      <c r="BQ625" s="319" t="s">
        <v>173</v>
      </c>
      <c r="BR625" s="319" t="s">
        <v>190</v>
      </c>
      <c r="BS625" s="319" t="s">
        <v>190</v>
      </c>
      <c r="BT625" s="319" t="s">
        <v>190</v>
      </c>
      <c r="BU625" s="319" t="s">
        <v>190</v>
      </c>
      <c r="BV625" s="319" t="s">
        <v>190</v>
      </c>
      <c r="BW625" s="319" t="s">
        <v>190</v>
      </c>
      <c r="BX625" s="319" t="s">
        <v>190</v>
      </c>
      <c r="BY625" s="319" t="s">
        <v>190</v>
      </c>
      <c r="BZ625" s="319" t="s">
        <v>190</v>
      </c>
      <c r="CA625" s="319" t="s">
        <v>190</v>
      </c>
      <c r="CB625" s="319" t="s">
        <v>190</v>
      </c>
      <c r="CC625" s="319" t="s">
        <v>190</v>
      </c>
      <c r="CD625" s="319" t="s">
        <v>190</v>
      </c>
      <c r="CE625" s="319" t="s">
        <v>190</v>
      </c>
      <c r="CF625" s="319" t="s">
        <v>190</v>
      </c>
      <c r="CG625" s="319" t="s">
        <v>190</v>
      </c>
      <c r="CH625" s="319" t="s">
        <v>190</v>
      </c>
      <c r="CI625" s="319" t="s">
        <v>190</v>
      </c>
      <c r="CJ625" s="319" t="s">
        <v>190</v>
      </c>
      <c r="CK625" s="319" t="s">
        <v>190</v>
      </c>
      <c r="CL625" s="319" t="s">
        <v>190</v>
      </c>
      <c r="CM625" s="319" t="s">
        <v>190</v>
      </c>
      <c r="CN625" s="319" t="s">
        <v>428</v>
      </c>
      <c r="CO625" s="319" t="s">
        <v>428</v>
      </c>
      <c r="CP625" s="319" t="s">
        <v>428</v>
      </c>
      <c r="CQ625" s="319" t="s">
        <v>190</v>
      </c>
      <c r="CR625" s="319" t="s">
        <v>190</v>
      </c>
      <c r="CS625" s="319" t="s">
        <v>190</v>
      </c>
      <c r="CT625" s="319" t="s">
        <v>190</v>
      </c>
      <c r="CU625" s="319" t="s">
        <v>190</v>
      </c>
      <c r="CV625" s="319" t="s">
        <v>190</v>
      </c>
      <c r="CW625" s="319" t="s">
        <v>190</v>
      </c>
      <c r="CX625" s="319" t="s">
        <v>190</v>
      </c>
      <c r="CY625" s="319" t="s">
        <v>190</v>
      </c>
      <c r="CZ625" s="319" t="s">
        <v>190</v>
      </c>
      <c r="DA625" s="319" t="s">
        <v>190</v>
      </c>
      <c r="DB625" s="319" t="s">
        <v>190</v>
      </c>
      <c r="DC625" s="319" t="s">
        <v>190</v>
      </c>
      <c r="DD625" s="319" t="s">
        <v>190</v>
      </c>
      <c r="DE625" s="319" t="s">
        <v>190</v>
      </c>
      <c r="DF625" s="319" t="s">
        <v>190</v>
      </c>
      <c r="DG625" s="319" t="s">
        <v>190</v>
      </c>
      <c r="DH625" s="319" t="s">
        <v>190</v>
      </c>
      <c r="DI625" s="319" t="s">
        <v>190</v>
      </c>
      <c r="DJ625" s="319" t="s">
        <v>190</v>
      </c>
      <c r="DK625" s="319" t="s">
        <v>190</v>
      </c>
      <c r="DL625" s="319" t="s">
        <v>190</v>
      </c>
      <c r="DM625" s="319" t="s">
        <v>428</v>
      </c>
      <c r="DN625" s="319" t="s">
        <v>428</v>
      </c>
      <c r="DO625" s="319" t="s">
        <v>190</v>
      </c>
      <c r="DP625" s="319" t="s">
        <v>190</v>
      </c>
      <c r="DQ625" s="319" t="s">
        <v>190</v>
      </c>
      <c r="DR625" s="319" t="s">
        <v>190</v>
      </c>
      <c r="DS625" s="319" t="s">
        <v>190</v>
      </c>
      <c r="DT625" s="319" t="s">
        <v>190</v>
      </c>
      <c r="DU625" s="319" t="s">
        <v>190</v>
      </c>
      <c r="DV625" s="319" t="s">
        <v>173</v>
      </c>
      <c r="DW625" s="319" t="s">
        <v>190</v>
      </c>
      <c r="DX625" s="319" t="s">
        <v>190</v>
      </c>
      <c r="DY625" s="319" t="s">
        <v>190</v>
      </c>
      <c r="DZ625" s="319" t="s">
        <v>190</v>
      </c>
      <c r="EA625" s="319" t="s">
        <v>190</v>
      </c>
      <c r="EB625" s="319" t="s">
        <v>190</v>
      </c>
      <c r="EC625" s="319" t="s">
        <v>428</v>
      </c>
      <c r="ED625" s="319" t="s">
        <v>190</v>
      </c>
      <c r="EE625" s="319" t="s">
        <v>190</v>
      </c>
      <c r="EF625" s="319" t="s">
        <v>190</v>
      </c>
      <c r="EG625" s="319" t="s">
        <v>190</v>
      </c>
      <c r="EH625" s="319" t="s">
        <v>190</v>
      </c>
      <c r="EI625" s="319" t="s">
        <v>190</v>
      </c>
      <c r="EJ625" s="319" t="s">
        <v>190</v>
      </c>
      <c r="EK625" s="319" t="s">
        <v>190</v>
      </c>
      <c r="EL625" s="319" t="s">
        <v>190</v>
      </c>
      <c r="EM625" s="319" t="s">
        <v>190</v>
      </c>
      <c r="EN625" s="319" t="s">
        <v>190</v>
      </c>
      <c r="EO625" s="319" t="s">
        <v>190</v>
      </c>
      <c r="EP625" s="319" t="s">
        <v>190</v>
      </c>
      <c r="EQ625" s="319" t="s">
        <v>190</v>
      </c>
      <c r="ER625" s="319" t="s">
        <v>190</v>
      </c>
      <c r="ES625" s="319" t="s">
        <v>190</v>
      </c>
      <c r="ET625" s="319" t="s">
        <v>190</v>
      </c>
      <c r="EU625" s="319" t="s">
        <v>190</v>
      </c>
      <c r="EV625" s="319" t="s">
        <v>190</v>
      </c>
      <c r="EW625" s="319" t="s">
        <v>190</v>
      </c>
      <c r="EX625" s="319" t="s">
        <v>190</v>
      </c>
      <c r="EY625" s="319" t="s">
        <v>190</v>
      </c>
      <c r="EZ625" s="319" t="s">
        <v>190</v>
      </c>
      <c r="FA625" s="319" t="s">
        <v>190</v>
      </c>
      <c r="FB625" s="319" t="s">
        <v>190</v>
      </c>
      <c r="FC625" s="319" t="s">
        <v>190</v>
      </c>
      <c r="FD625" s="319" t="s">
        <v>190</v>
      </c>
      <c r="FE625" s="319" t="s">
        <v>190</v>
      </c>
      <c r="FF625" s="319" t="s">
        <v>190</v>
      </c>
      <c r="FG625" s="319" t="s">
        <v>190</v>
      </c>
      <c r="FH625" s="319" t="s">
        <v>190</v>
      </c>
      <c r="FI625" s="319" t="s">
        <v>190</v>
      </c>
      <c r="FJ625" s="319" t="s">
        <v>190</v>
      </c>
      <c r="FK625" s="319" t="s">
        <v>190</v>
      </c>
      <c r="FL625" s="319" t="s">
        <v>190</v>
      </c>
      <c r="FM625" s="319" t="s">
        <v>190</v>
      </c>
      <c r="FN625" s="319" t="s">
        <v>190</v>
      </c>
      <c r="FO625" s="319" t="s">
        <v>428</v>
      </c>
      <c r="FP625" s="319" t="s">
        <v>190</v>
      </c>
      <c r="FQ625" s="319" t="s">
        <v>190</v>
      </c>
      <c r="FR625" s="319" t="s">
        <v>190</v>
      </c>
      <c r="FS625" s="319" t="s">
        <v>428</v>
      </c>
      <c r="FT625" s="319" t="s">
        <v>190</v>
      </c>
      <c r="FU625" s="319" t="s">
        <v>190</v>
      </c>
      <c r="FV625" s="319" t="s">
        <v>190</v>
      </c>
      <c r="FW625" s="319" t="s">
        <v>190</v>
      </c>
      <c r="FX625" s="319" t="s">
        <v>190</v>
      </c>
      <c r="FY625" s="319" t="s">
        <v>190</v>
      </c>
      <c r="FZ625" s="319" t="s">
        <v>190</v>
      </c>
      <c r="GA625" s="319" t="s">
        <v>190</v>
      </c>
      <c r="GB625" s="319" t="s">
        <v>190</v>
      </c>
      <c r="GC625" s="319" t="s">
        <v>190</v>
      </c>
      <c r="GD625" s="319" t="s">
        <v>190</v>
      </c>
      <c r="GE625" s="319" t="s">
        <v>190</v>
      </c>
      <c r="GF625" s="319" t="s">
        <v>190</v>
      </c>
      <c r="GG625" s="319" t="s">
        <v>190</v>
      </c>
      <c r="GH625" s="319" t="s">
        <v>190</v>
      </c>
      <c r="GI625" s="319" t="s">
        <v>190</v>
      </c>
      <c r="GJ625" s="319" t="s">
        <v>190</v>
      </c>
      <c r="GK625" s="319" t="s">
        <v>428</v>
      </c>
      <c r="GL625" s="319" t="s">
        <v>190</v>
      </c>
      <c r="GM625" s="319" t="s">
        <v>190</v>
      </c>
      <c r="GN625" s="319" t="s">
        <v>190</v>
      </c>
      <c r="GO625" s="319" t="s">
        <v>190</v>
      </c>
      <c r="GP625" s="319" t="s">
        <v>190</v>
      </c>
      <c r="GQ625" s="319" t="s">
        <v>428</v>
      </c>
      <c r="GR625" s="319" t="s">
        <v>190</v>
      </c>
      <c r="GS625" s="319" t="s">
        <v>190</v>
      </c>
      <c r="GT625" s="319" t="s">
        <v>190</v>
      </c>
      <c r="GU625" s="319" t="s">
        <v>190</v>
      </c>
      <c r="GV625" s="319" t="s">
        <v>190</v>
      </c>
      <c r="GW625" s="319" t="s">
        <v>190</v>
      </c>
      <c r="GX625" s="319" t="s">
        <v>190</v>
      </c>
      <c r="GY625" s="319" t="s">
        <v>190</v>
      </c>
      <c r="GZ625" s="319" t="s">
        <v>190</v>
      </c>
      <c r="HA625" s="319" t="s">
        <v>190</v>
      </c>
      <c r="HB625" s="319" t="s">
        <v>190</v>
      </c>
      <c r="HC625" s="319" t="s">
        <v>190</v>
      </c>
      <c r="HD625" s="319" t="s">
        <v>190</v>
      </c>
      <c r="HE625" s="319" t="s">
        <v>190</v>
      </c>
      <c r="HF625" s="319" t="s">
        <v>190</v>
      </c>
      <c r="HG625" s="319" t="s">
        <v>190</v>
      </c>
      <c r="HH625" s="319" t="s">
        <v>190</v>
      </c>
      <c r="HI625" s="319" t="s">
        <v>190</v>
      </c>
      <c r="HJ625" s="319" t="s">
        <v>190</v>
      </c>
      <c r="HK625" s="319" t="s">
        <v>190</v>
      </c>
      <c r="HL625" s="319" t="s">
        <v>428</v>
      </c>
      <c r="HM625" s="319" t="s">
        <v>428</v>
      </c>
      <c r="HN625" s="319" t="s">
        <v>428</v>
      </c>
      <c r="HO625" s="319" t="s">
        <v>428</v>
      </c>
      <c r="HP625" s="319" t="s">
        <v>190</v>
      </c>
      <c r="HQ625" s="319" t="s">
        <v>190</v>
      </c>
      <c r="HR625" s="319" t="s">
        <v>190</v>
      </c>
      <c r="HS625" s="319" t="s">
        <v>190</v>
      </c>
      <c r="HT625" s="319" t="s">
        <v>190</v>
      </c>
      <c r="HU625" s="319" t="s">
        <v>190</v>
      </c>
      <c r="HV625" s="319" t="s">
        <v>190</v>
      </c>
      <c r="HW625" s="319" t="s">
        <v>190</v>
      </c>
      <c r="HX625" s="319" t="s">
        <v>190</v>
      </c>
      <c r="HY625" s="319" t="s">
        <v>190</v>
      </c>
      <c r="HZ625" s="319" t="s">
        <v>190</v>
      </c>
      <c r="IA625" s="319" t="s">
        <v>190</v>
      </c>
      <c r="IB625" s="319" t="s">
        <v>190</v>
      </c>
      <c r="IC625" s="319" t="s">
        <v>190</v>
      </c>
      <c r="ID625" s="319" t="s">
        <v>190</v>
      </c>
      <c r="IE625" s="319" t="s">
        <v>190</v>
      </c>
      <c r="IF625" s="319" t="s">
        <v>190</v>
      </c>
      <c r="IG625" s="319" t="s">
        <v>190</v>
      </c>
      <c r="IH625" s="319" t="s">
        <v>190</v>
      </c>
      <c r="II625" s="319" t="s">
        <v>190</v>
      </c>
      <c r="IJ625" s="319" t="s">
        <v>3384</v>
      </c>
      <c r="IK625" s="321">
        <v>42066</v>
      </c>
      <c r="IL625" s="321">
        <v>42068</v>
      </c>
      <c r="IM625" s="321">
        <v>42090</v>
      </c>
      <c r="IN625" s="319">
        <v>2</v>
      </c>
      <c r="IO625" s="319" t="s">
        <v>173</v>
      </c>
      <c r="IP625" s="319" t="s">
        <v>173</v>
      </c>
      <c r="IQ625" s="321" t="s">
        <v>173</v>
      </c>
      <c r="IR625" s="320" t="s">
        <v>173</v>
      </c>
      <c r="IS625" s="322" t="s">
        <v>173</v>
      </c>
      <c r="IT625" s="319" t="s">
        <v>173</v>
      </c>
    </row>
    <row r="626" spans="1:254" s="271" customFormat="1" x14ac:dyDescent="0.25">
      <c r="A626" s="318" t="str">
        <f>HYPERLINK("http://www.ofsted.gov.uk/inspection-reports/find-inspection-report/provider/ELS/136250 ","Ofsted School Webpage")</f>
        <v>Ofsted School Webpage</v>
      </c>
      <c r="B626" s="319">
        <v>136250</v>
      </c>
      <c r="C626" s="319">
        <v>2116399</v>
      </c>
      <c r="D626" s="319" t="s">
        <v>2081</v>
      </c>
      <c r="E626" s="319" t="s">
        <v>167</v>
      </c>
      <c r="F626" s="319" t="s">
        <v>81</v>
      </c>
      <c r="G626" s="319" t="s">
        <v>81</v>
      </c>
      <c r="H626" s="319" t="s">
        <v>81</v>
      </c>
      <c r="I626" s="319" t="s">
        <v>78</v>
      </c>
      <c r="J626" s="319" t="s">
        <v>424</v>
      </c>
      <c r="K626" s="319" t="s">
        <v>441</v>
      </c>
      <c r="L626" s="319" t="s">
        <v>441</v>
      </c>
      <c r="M626" s="319" t="s">
        <v>757</v>
      </c>
      <c r="N626" s="319" t="s">
        <v>2782</v>
      </c>
      <c r="O626" s="319" t="s">
        <v>2082</v>
      </c>
      <c r="P626" s="319">
        <v>42</v>
      </c>
      <c r="Q626" s="319" t="s">
        <v>2766</v>
      </c>
      <c r="R626" s="320">
        <v>10041400</v>
      </c>
      <c r="S626" s="321">
        <v>43109</v>
      </c>
      <c r="T626" s="321">
        <v>43111</v>
      </c>
      <c r="U626" s="321">
        <v>43140</v>
      </c>
      <c r="V626" s="319" t="s">
        <v>425</v>
      </c>
      <c r="W626" s="319" t="s">
        <v>2767</v>
      </c>
      <c r="X626" s="319">
        <v>2</v>
      </c>
      <c r="Y626" s="319" t="s">
        <v>173</v>
      </c>
      <c r="Z626" s="319" t="s">
        <v>173</v>
      </c>
      <c r="AA626" s="319" t="s">
        <v>173</v>
      </c>
      <c r="AB626" s="319">
        <v>2</v>
      </c>
      <c r="AC626" s="319" t="s">
        <v>169</v>
      </c>
      <c r="AD626" s="319" t="s">
        <v>173</v>
      </c>
      <c r="AE626" s="319" t="s">
        <v>173</v>
      </c>
      <c r="AF626" s="319" t="s">
        <v>427</v>
      </c>
      <c r="AG626" s="319" t="s">
        <v>171</v>
      </c>
      <c r="AH626" s="319" t="s">
        <v>190</v>
      </c>
      <c r="AI626" s="319" t="s">
        <v>190</v>
      </c>
      <c r="AJ626" s="319" t="s">
        <v>190</v>
      </c>
      <c r="AK626" s="319" t="s">
        <v>190</v>
      </c>
      <c r="AL626" s="319" t="s">
        <v>190</v>
      </c>
      <c r="AM626" s="319" t="s">
        <v>190</v>
      </c>
      <c r="AN626" s="319" t="s">
        <v>190</v>
      </c>
      <c r="AO626" s="319" t="s">
        <v>190</v>
      </c>
      <c r="AP626" s="319" t="s">
        <v>190</v>
      </c>
      <c r="AQ626" s="319" t="s">
        <v>190</v>
      </c>
      <c r="AR626" s="319" t="s">
        <v>190</v>
      </c>
      <c r="AS626" s="319" t="s">
        <v>190</v>
      </c>
      <c r="AT626" s="319" t="s">
        <v>190</v>
      </c>
      <c r="AU626" s="319" t="s">
        <v>190</v>
      </c>
      <c r="AV626" s="319" t="s">
        <v>190</v>
      </c>
      <c r="AW626" s="319" t="s">
        <v>190</v>
      </c>
      <c r="AX626" s="319" t="s">
        <v>190</v>
      </c>
      <c r="AY626" s="319" t="s">
        <v>190</v>
      </c>
      <c r="AZ626" s="319" t="s">
        <v>190</v>
      </c>
      <c r="BA626" s="319" t="s">
        <v>190</v>
      </c>
      <c r="BB626" s="319" t="s">
        <v>428</v>
      </c>
      <c r="BC626" s="319" t="s">
        <v>428</v>
      </c>
      <c r="BD626" s="319" t="s">
        <v>428</v>
      </c>
      <c r="BE626" s="319" t="s">
        <v>428</v>
      </c>
      <c r="BF626" s="319" t="s">
        <v>190</v>
      </c>
      <c r="BG626" s="319" t="s">
        <v>190</v>
      </c>
      <c r="BH626" s="319" t="s">
        <v>190</v>
      </c>
      <c r="BI626" s="319" t="s">
        <v>190</v>
      </c>
      <c r="BJ626" s="319" t="s">
        <v>190</v>
      </c>
      <c r="BK626" s="319" t="s">
        <v>190</v>
      </c>
      <c r="BL626" s="319" t="s">
        <v>190</v>
      </c>
      <c r="BM626" s="319" t="s">
        <v>190</v>
      </c>
      <c r="BN626" s="319" t="s">
        <v>190</v>
      </c>
      <c r="BO626" s="319" t="s">
        <v>190</v>
      </c>
      <c r="BP626" s="319" t="s">
        <v>190</v>
      </c>
      <c r="BQ626" s="319" t="s">
        <v>190</v>
      </c>
      <c r="BR626" s="319" t="s">
        <v>190</v>
      </c>
      <c r="BS626" s="319" t="s">
        <v>190</v>
      </c>
      <c r="BT626" s="319" t="s">
        <v>190</v>
      </c>
      <c r="BU626" s="319" t="s">
        <v>190</v>
      </c>
      <c r="BV626" s="319" t="s">
        <v>190</v>
      </c>
      <c r="BW626" s="319" t="s">
        <v>190</v>
      </c>
      <c r="BX626" s="319" t="s">
        <v>190</v>
      </c>
      <c r="BY626" s="319" t="s">
        <v>190</v>
      </c>
      <c r="BZ626" s="319" t="s">
        <v>190</v>
      </c>
      <c r="CA626" s="319" t="s">
        <v>190</v>
      </c>
      <c r="CB626" s="319" t="s">
        <v>190</v>
      </c>
      <c r="CC626" s="319" t="s">
        <v>190</v>
      </c>
      <c r="CD626" s="319" t="s">
        <v>190</v>
      </c>
      <c r="CE626" s="319" t="s">
        <v>190</v>
      </c>
      <c r="CF626" s="319" t="s">
        <v>190</v>
      </c>
      <c r="CG626" s="319" t="s">
        <v>190</v>
      </c>
      <c r="CH626" s="319" t="s">
        <v>190</v>
      </c>
      <c r="CI626" s="319" t="s">
        <v>190</v>
      </c>
      <c r="CJ626" s="319" t="s">
        <v>190</v>
      </c>
      <c r="CK626" s="319" t="s">
        <v>190</v>
      </c>
      <c r="CL626" s="319" t="s">
        <v>190</v>
      </c>
      <c r="CM626" s="319" t="s">
        <v>190</v>
      </c>
      <c r="CN626" s="319" t="s">
        <v>428</v>
      </c>
      <c r="CO626" s="319" t="s">
        <v>428</v>
      </c>
      <c r="CP626" s="319" t="s">
        <v>428</v>
      </c>
      <c r="CQ626" s="319" t="s">
        <v>190</v>
      </c>
      <c r="CR626" s="319" t="s">
        <v>190</v>
      </c>
      <c r="CS626" s="319" t="s">
        <v>190</v>
      </c>
      <c r="CT626" s="319" t="s">
        <v>190</v>
      </c>
      <c r="CU626" s="319" t="s">
        <v>190</v>
      </c>
      <c r="CV626" s="319" t="s">
        <v>190</v>
      </c>
      <c r="CW626" s="319" t="s">
        <v>190</v>
      </c>
      <c r="CX626" s="319" t="s">
        <v>190</v>
      </c>
      <c r="CY626" s="319" t="s">
        <v>190</v>
      </c>
      <c r="CZ626" s="319" t="s">
        <v>190</v>
      </c>
      <c r="DA626" s="319" t="s">
        <v>190</v>
      </c>
      <c r="DB626" s="319" t="s">
        <v>190</v>
      </c>
      <c r="DC626" s="319" t="s">
        <v>190</v>
      </c>
      <c r="DD626" s="319" t="s">
        <v>190</v>
      </c>
      <c r="DE626" s="319" t="s">
        <v>190</v>
      </c>
      <c r="DF626" s="319" t="s">
        <v>190</v>
      </c>
      <c r="DG626" s="319" t="s">
        <v>190</v>
      </c>
      <c r="DH626" s="319" t="s">
        <v>190</v>
      </c>
      <c r="DI626" s="319" t="s">
        <v>190</v>
      </c>
      <c r="DJ626" s="319" t="s">
        <v>190</v>
      </c>
      <c r="DK626" s="319" t="s">
        <v>190</v>
      </c>
      <c r="DL626" s="319" t="s">
        <v>190</v>
      </c>
      <c r="DM626" s="319" t="s">
        <v>190</v>
      </c>
      <c r="DN626" s="319" t="s">
        <v>190</v>
      </c>
      <c r="DO626" s="319" t="s">
        <v>190</v>
      </c>
      <c r="DP626" s="319" t="s">
        <v>190</v>
      </c>
      <c r="DQ626" s="319" t="s">
        <v>190</v>
      </c>
      <c r="DR626" s="319" t="s">
        <v>190</v>
      </c>
      <c r="DS626" s="319" t="s">
        <v>190</v>
      </c>
      <c r="DT626" s="319" t="s">
        <v>190</v>
      </c>
      <c r="DU626" s="319" t="s">
        <v>190</v>
      </c>
      <c r="DV626" s="319" t="s">
        <v>173</v>
      </c>
      <c r="DW626" s="319" t="s">
        <v>190</v>
      </c>
      <c r="DX626" s="319" t="s">
        <v>190</v>
      </c>
      <c r="DY626" s="319" t="s">
        <v>190</v>
      </c>
      <c r="DZ626" s="319" t="s">
        <v>190</v>
      </c>
      <c r="EA626" s="319" t="s">
        <v>190</v>
      </c>
      <c r="EB626" s="319" t="s">
        <v>190</v>
      </c>
      <c r="EC626" s="319" t="s">
        <v>190</v>
      </c>
      <c r="ED626" s="319" t="s">
        <v>190</v>
      </c>
      <c r="EE626" s="319" t="s">
        <v>190</v>
      </c>
      <c r="EF626" s="319" t="s">
        <v>190</v>
      </c>
      <c r="EG626" s="319" t="s">
        <v>190</v>
      </c>
      <c r="EH626" s="319" t="s">
        <v>190</v>
      </c>
      <c r="EI626" s="319" t="s">
        <v>190</v>
      </c>
      <c r="EJ626" s="319" t="s">
        <v>190</v>
      </c>
      <c r="EK626" s="319" t="s">
        <v>190</v>
      </c>
      <c r="EL626" s="319" t="s">
        <v>190</v>
      </c>
      <c r="EM626" s="319" t="s">
        <v>190</v>
      </c>
      <c r="EN626" s="319" t="s">
        <v>190</v>
      </c>
      <c r="EO626" s="319" t="s">
        <v>190</v>
      </c>
      <c r="EP626" s="319" t="s">
        <v>190</v>
      </c>
      <c r="EQ626" s="319" t="s">
        <v>190</v>
      </c>
      <c r="ER626" s="319" t="s">
        <v>190</v>
      </c>
      <c r="ES626" s="319" t="s">
        <v>190</v>
      </c>
      <c r="ET626" s="319" t="s">
        <v>190</v>
      </c>
      <c r="EU626" s="319" t="s">
        <v>190</v>
      </c>
      <c r="EV626" s="319" t="s">
        <v>190</v>
      </c>
      <c r="EW626" s="319" t="s">
        <v>190</v>
      </c>
      <c r="EX626" s="319" t="s">
        <v>190</v>
      </c>
      <c r="EY626" s="319" t="s">
        <v>190</v>
      </c>
      <c r="EZ626" s="319" t="s">
        <v>190</v>
      </c>
      <c r="FA626" s="319" t="s">
        <v>190</v>
      </c>
      <c r="FB626" s="319" t="s">
        <v>190</v>
      </c>
      <c r="FC626" s="319" t="s">
        <v>190</v>
      </c>
      <c r="FD626" s="319" t="s">
        <v>190</v>
      </c>
      <c r="FE626" s="319" t="s">
        <v>190</v>
      </c>
      <c r="FF626" s="319" t="s">
        <v>190</v>
      </c>
      <c r="FG626" s="319" t="s">
        <v>190</v>
      </c>
      <c r="FH626" s="319" t="s">
        <v>190</v>
      </c>
      <c r="FI626" s="319" t="s">
        <v>190</v>
      </c>
      <c r="FJ626" s="319" t="s">
        <v>190</v>
      </c>
      <c r="FK626" s="319" t="s">
        <v>190</v>
      </c>
      <c r="FL626" s="319" t="s">
        <v>190</v>
      </c>
      <c r="FM626" s="319" t="s">
        <v>190</v>
      </c>
      <c r="FN626" s="319" t="s">
        <v>428</v>
      </c>
      <c r="FO626" s="319" t="s">
        <v>428</v>
      </c>
      <c r="FP626" s="319" t="s">
        <v>190</v>
      </c>
      <c r="FQ626" s="319" t="s">
        <v>190</v>
      </c>
      <c r="FR626" s="319" t="s">
        <v>190</v>
      </c>
      <c r="FS626" s="319" t="s">
        <v>190</v>
      </c>
      <c r="FT626" s="319" t="s">
        <v>190</v>
      </c>
      <c r="FU626" s="319" t="s">
        <v>190</v>
      </c>
      <c r="FV626" s="319" t="s">
        <v>190</v>
      </c>
      <c r="FW626" s="319" t="s">
        <v>190</v>
      </c>
      <c r="FX626" s="319" t="s">
        <v>190</v>
      </c>
      <c r="FY626" s="319" t="s">
        <v>190</v>
      </c>
      <c r="FZ626" s="319" t="s">
        <v>190</v>
      </c>
      <c r="GA626" s="319" t="s">
        <v>190</v>
      </c>
      <c r="GB626" s="319" t="s">
        <v>190</v>
      </c>
      <c r="GC626" s="319" t="s">
        <v>190</v>
      </c>
      <c r="GD626" s="319" t="s">
        <v>190</v>
      </c>
      <c r="GE626" s="319" t="s">
        <v>190</v>
      </c>
      <c r="GF626" s="319" t="s">
        <v>190</v>
      </c>
      <c r="GG626" s="319" t="s">
        <v>190</v>
      </c>
      <c r="GH626" s="319" t="s">
        <v>190</v>
      </c>
      <c r="GI626" s="319" t="s">
        <v>190</v>
      </c>
      <c r="GJ626" s="319" t="s">
        <v>190</v>
      </c>
      <c r="GK626" s="319" t="s">
        <v>428</v>
      </c>
      <c r="GL626" s="319" t="s">
        <v>190</v>
      </c>
      <c r="GM626" s="319" t="s">
        <v>190</v>
      </c>
      <c r="GN626" s="319" t="s">
        <v>190</v>
      </c>
      <c r="GO626" s="319" t="s">
        <v>190</v>
      </c>
      <c r="GP626" s="319" t="s">
        <v>190</v>
      </c>
      <c r="GQ626" s="319" t="s">
        <v>190</v>
      </c>
      <c r="GR626" s="319" t="s">
        <v>190</v>
      </c>
      <c r="GS626" s="319" t="s">
        <v>190</v>
      </c>
      <c r="GT626" s="319" t="s">
        <v>190</v>
      </c>
      <c r="GU626" s="319" t="s">
        <v>428</v>
      </c>
      <c r="GV626" s="319" t="s">
        <v>190</v>
      </c>
      <c r="GW626" s="319" t="s">
        <v>190</v>
      </c>
      <c r="GX626" s="319" t="s">
        <v>190</v>
      </c>
      <c r="GY626" s="319" t="s">
        <v>190</v>
      </c>
      <c r="GZ626" s="319" t="s">
        <v>190</v>
      </c>
      <c r="HA626" s="319" t="s">
        <v>428</v>
      </c>
      <c r="HB626" s="319" t="s">
        <v>428</v>
      </c>
      <c r="HC626" s="319" t="s">
        <v>190</v>
      </c>
      <c r="HD626" s="319" t="s">
        <v>190</v>
      </c>
      <c r="HE626" s="319" t="s">
        <v>190</v>
      </c>
      <c r="HF626" s="319" t="s">
        <v>190</v>
      </c>
      <c r="HG626" s="319" t="s">
        <v>190</v>
      </c>
      <c r="HH626" s="319" t="s">
        <v>190</v>
      </c>
      <c r="HI626" s="319" t="s">
        <v>428</v>
      </c>
      <c r="HJ626" s="319" t="s">
        <v>190</v>
      </c>
      <c r="HK626" s="319" t="s">
        <v>190</v>
      </c>
      <c r="HL626" s="319" t="s">
        <v>428</v>
      </c>
      <c r="HM626" s="319" t="s">
        <v>428</v>
      </c>
      <c r="HN626" s="319" t="s">
        <v>428</v>
      </c>
      <c r="HO626" s="319" t="s">
        <v>428</v>
      </c>
      <c r="HP626" s="319" t="s">
        <v>190</v>
      </c>
      <c r="HQ626" s="319" t="s">
        <v>190</v>
      </c>
      <c r="HR626" s="319" t="s">
        <v>190</v>
      </c>
      <c r="HS626" s="319" t="s">
        <v>190</v>
      </c>
      <c r="HT626" s="319" t="s">
        <v>190</v>
      </c>
      <c r="HU626" s="319" t="s">
        <v>190</v>
      </c>
      <c r="HV626" s="319" t="s">
        <v>190</v>
      </c>
      <c r="HW626" s="319" t="s">
        <v>190</v>
      </c>
      <c r="HX626" s="319" t="s">
        <v>190</v>
      </c>
      <c r="HY626" s="319" t="s">
        <v>190</v>
      </c>
      <c r="HZ626" s="319" t="s">
        <v>190</v>
      </c>
      <c r="IA626" s="319" t="s">
        <v>190</v>
      </c>
      <c r="IB626" s="319" t="s">
        <v>190</v>
      </c>
      <c r="IC626" s="319" t="s">
        <v>190</v>
      </c>
      <c r="ID626" s="319" t="s">
        <v>190</v>
      </c>
      <c r="IE626" s="319" t="s">
        <v>190</v>
      </c>
      <c r="IF626" s="319" t="s">
        <v>190</v>
      </c>
      <c r="IG626" s="319" t="s">
        <v>190</v>
      </c>
      <c r="IH626" s="319" t="s">
        <v>190</v>
      </c>
      <c r="II626" s="319" t="s">
        <v>190</v>
      </c>
      <c r="IJ626" s="319" t="s">
        <v>3385</v>
      </c>
      <c r="IK626" s="321">
        <v>42059</v>
      </c>
      <c r="IL626" s="321">
        <v>42061</v>
      </c>
      <c r="IM626" s="321">
        <v>42090</v>
      </c>
      <c r="IN626" s="319">
        <v>2</v>
      </c>
      <c r="IO626" s="319" t="s">
        <v>173</v>
      </c>
      <c r="IP626" s="319" t="s">
        <v>173</v>
      </c>
      <c r="IQ626" s="321" t="s">
        <v>173</v>
      </c>
      <c r="IR626" s="320" t="s">
        <v>173</v>
      </c>
      <c r="IS626" s="322" t="s">
        <v>173</v>
      </c>
      <c r="IT626" s="319" t="s">
        <v>173</v>
      </c>
    </row>
    <row r="627" spans="1:254" s="271" customFormat="1" x14ac:dyDescent="0.25">
      <c r="A627" s="318" t="str">
        <f>HYPERLINK("http://www.ofsted.gov.uk/inspection-reports/find-inspection-report/provider/ELS/136257 ","Ofsted School Webpage")</f>
        <v>Ofsted School Webpage</v>
      </c>
      <c r="B627" s="319">
        <v>136257</v>
      </c>
      <c r="C627" s="319">
        <v>3546202</v>
      </c>
      <c r="D627" s="319" t="s">
        <v>2083</v>
      </c>
      <c r="E627" s="319" t="s">
        <v>168</v>
      </c>
      <c r="F627" s="319" t="s">
        <v>81</v>
      </c>
      <c r="G627" s="319" t="s">
        <v>81</v>
      </c>
      <c r="H627" s="319" t="s">
        <v>81</v>
      </c>
      <c r="I627" s="319" t="s">
        <v>78</v>
      </c>
      <c r="J627" s="319" t="s">
        <v>424</v>
      </c>
      <c r="K627" s="319" t="s">
        <v>431</v>
      </c>
      <c r="L627" s="319" t="s">
        <v>431</v>
      </c>
      <c r="M627" s="319" t="s">
        <v>536</v>
      </c>
      <c r="N627" s="319" t="s">
        <v>536</v>
      </c>
      <c r="O627" s="319" t="s">
        <v>2084</v>
      </c>
      <c r="P627" s="319">
        <v>13</v>
      </c>
      <c r="Q627" s="319" t="s">
        <v>429</v>
      </c>
      <c r="R627" s="320">
        <v>10067908</v>
      </c>
      <c r="S627" s="321">
        <v>43550</v>
      </c>
      <c r="T627" s="321">
        <v>43552</v>
      </c>
      <c r="U627" s="321">
        <v>43593</v>
      </c>
      <c r="V627" s="319" t="s">
        <v>425</v>
      </c>
      <c r="W627" s="319" t="s">
        <v>2767</v>
      </c>
      <c r="X627" s="319">
        <v>2</v>
      </c>
      <c r="Y627" s="319" t="s">
        <v>173</v>
      </c>
      <c r="Z627" s="319" t="s">
        <v>173</v>
      </c>
      <c r="AA627" s="319" t="s">
        <v>173</v>
      </c>
      <c r="AB627" s="319">
        <v>2</v>
      </c>
      <c r="AC627" s="319" t="s">
        <v>169</v>
      </c>
      <c r="AD627" s="319" t="s">
        <v>173</v>
      </c>
      <c r="AE627" s="319" t="s">
        <v>173</v>
      </c>
      <c r="AF627" s="319" t="s">
        <v>427</v>
      </c>
      <c r="AG627" s="319" t="s">
        <v>171</v>
      </c>
      <c r="AH627" s="319" t="s">
        <v>190</v>
      </c>
      <c r="AI627" s="319" t="s">
        <v>190</v>
      </c>
      <c r="AJ627" s="319" t="s">
        <v>190</v>
      </c>
      <c r="AK627" s="319" t="s">
        <v>190</v>
      </c>
      <c r="AL627" s="319" t="s">
        <v>190</v>
      </c>
      <c r="AM627" s="319" t="s">
        <v>190</v>
      </c>
      <c r="AN627" s="319" t="s">
        <v>190</v>
      </c>
      <c r="AO627" s="319" t="s">
        <v>190</v>
      </c>
      <c r="AP627" s="319" t="s">
        <v>190</v>
      </c>
      <c r="AQ627" s="319" t="s">
        <v>190</v>
      </c>
      <c r="AR627" s="319" t="s">
        <v>190</v>
      </c>
      <c r="AS627" s="319" t="s">
        <v>190</v>
      </c>
      <c r="AT627" s="319" t="s">
        <v>190</v>
      </c>
      <c r="AU627" s="319" t="s">
        <v>190</v>
      </c>
      <c r="AV627" s="319" t="s">
        <v>190</v>
      </c>
      <c r="AW627" s="319" t="s">
        <v>190</v>
      </c>
      <c r="AX627" s="319" t="s">
        <v>428</v>
      </c>
      <c r="AY627" s="319" t="s">
        <v>190</v>
      </c>
      <c r="AZ627" s="319" t="s">
        <v>190</v>
      </c>
      <c r="BA627" s="319" t="s">
        <v>190</v>
      </c>
      <c r="BB627" s="319" t="s">
        <v>190</v>
      </c>
      <c r="BC627" s="319" t="s">
        <v>190</v>
      </c>
      <c r="BD627" s="319" t="s">
        <v>190</v>
      </c>
      <c r="BE627" s="319" t="s">
        <v>190</v>
      </c>
      <c r="BF627" s="319" t="s">
        <v>428</v>
      </c>
      <c r="BG627" s="319" t="s">
        <v>428</v>
      </c>
      <c r="BH627" s="319" t="s">
        <v>190</v>
      </c>
      <c r="BI627" s="319" t="s">
        <v>190</v>
      </c>
      <c r="BJ627" s="319" t="s">
        <v>190</v>
      </c>
      <c r="BK627" s="319" t="s">
        <v>190</v>
      </c>
      <c r="BL627" s="319" t="s">
        <v>190</v>
      </c>
      <c r="BM627" s="319" t="s">
        <v>190</v>
      </c>
      <c r="BN627" s="319" t="s">
        <v>190</v>
      </c>
      <c r="BO627" s="319" t="s">
        <v>190</v>
      </c>
      <c r="BP627" s="319" t="s">
        <v>190</v>
      </c>
      <c r="BQ627" s="319" t="s">
        <v>190</v>
      </c>
      <c r="BR627" s="319" t="s">
        <v>190</v>
      </c>
      <c r="BS627" s="319" t="s">
        <v>190</v>
      </c>
      <c r="BT627" s="319" t="s">
        <v>190</v>
      </c>
      <c r="BU627" s="319" t="s">
        <v>190</v>
      </c>
      <c r="BV627" s="319" t="s">
        <v>190</v>
      </c>
      <c r="BW627" s="319" t="s">
        <v>190</v>
      </c>
      <c r="BX627" s="319" t="s">
        <v>190</v>
      </c>
      <c r="BY627" s="319" t="s">
        <v>190</v>
      </c>
      <c r="BZ627" s="319" t="s">
        <v>190</v>
      </c>
      <c r="CA627" s="319" t="s">
        <v>190</v>
      </c>
      <c r="CB627" s="319" t="s">
        <v>190</v>
      </c>
      <c r="CC627" s="319" t="s">
        <v>190</v>
      </c>
      <c r="CD627" s="319" t="s">
        <v>190</v>
      </c>
      <c r="CE627" s="319" t="s">
        <v>190</v>
      </c>
      <c r="CF627" s="319" t="s">
        <v>190</v>
      </c>
      <c r="CG627" s="319" t="s">
        <v>190</v>
      </c>
      <c r="CH627" s="319" t="s">
        <v>190</v>
      </c>
      <c r="CI627" s="319" t="s">
        <v>190</v>
      </c>
      <c r="CJ627" s="319" t="s">
        <v>190</v>
      </c>
      <c r="CK627" s="319" t="s">
        <v>190</v>
      </c>
      <c r="CL627" s="319" t="s">
        <v>190</v>
      </c>
      <c r="CM627" s="319" t="s">
        <v>190</v>
      </c>
      <c r="CN627" s="319" t="s">
        <v>428</v>
      </c>
      <c r="CO627" s="319" t="s">
        <v>428</v>
      </c>
      <c r="CP627" s="319" t="s">
        <v>428</v>
      </c>
      <c r="CQ627" s="319" t="s">
        <v>190</v>
      </c>
      <c r="CR627" s="319" t="s">
        <v>190</v>
      </c>
      <c r="CS627" s="319" t="s">
        <v>190</v>
      </c>
      <c r="CT627" s="319" t="s">
        <v>190</v>
      </c>
      <c r="CU627" s="319" t="s">
        <v>190</v>
      </c>
      <c r="CV627" s="319" t="s">
        <v>190</v>
      </c>
      <c r="CW627" s="319" t="s">
        <v>190</v>
      </c>
      <c r="CX627" s="319" t="s">
        <v>190</v>
      </c>
      <c r="CY627" s="319" t="s">
        <v>190</v>
      </c>
      <c r="CZ627" s="319" t="s">
        <v>190</v>
      </c>
      <c r="DA627" s="319" t="s">
        <v>190</v>
      </c>
      <c r="DB627" s="319" t="s">
        <v>190</v>
      </c>
      <c r="DC627" s="319" t="s">
        <v>190</v>
      </c>
      <c r="DD627" s="319" t="s">
        <v>190</v>
      </c>
      <c r="DE627" s="319" t="s">
        <v>190</v>
      </c>
      <c r="DF627" s="319" t="s">
        <v>190</v>
      </c>
      <c r="DG627" s="319" t="s">
        <v>190</v>
      </c>
      <c r="DH627" s="319" t="s">
        <v>190</v>
      </c>
      <c r="DI627" s="319" t="s">
        <v>190</v>
      </c>
      <c r="DJ627" s="319" t="s">
        <v>190</v>
      </c>
      <c r="DK627" s="319" t="s">
        <v>190</v>
      </c>
      <c r="DL627" s="319" t="s">
        <v>190</v>
      </c>
      <c r="DM627" s="319" t="s">
        <v>428</v>
      </c>
      <c r="DN627" s="319" t="s">
        <v>428</v>
      </c>
      <c r="DO627" s="319" t="s">
        <v>190</v>
      </c>
      <c r="DP627" s="319" t="s">
        <v>428</v>
      </c>
      <c r="DQ627" s="319" t="s">
        <v>428</v>
      </c>
      <c r="DR627" s="319" t="s">
        <v>428</v>
      </c>
      <c r="DS627" s="319" t="s">
        <v>428</v>
      </c>
      <c r="DT627" s="319" t="s">
        <v>428</v>
      </c>
      <c r="DU627" s="319" t="s">
        <v>428</v>
      </c>
      <c r="DV627" s="319" t="s">
        <v>173</v>
      </c>
      <c r="DW627" s="319" t="s">
        <v>428</v>
      </c>
      <c r="DX627" s="319" t="s">
        <v>428</v>
      </c>
      <c r="DY627" s="319" t="s">
        <v>428</v>
      </c>
      <c r="DZ627" s="319" t="s">
        <v>428</v>
      </c>
      <c r="EA627" s="319" t="s">
        <v>428</v>
      </c>
      <c r="EB627" s="319" t="s">
        <v>428</v>
      </c>
      <c r="EC627" s="319" t="s">
        <v>428</v>
      </c>
      <c r="ED627" s="319" t="s">
        <v>428</v>
      </c>
      <c r="EE627" s="319" t="s">
        <v>190</v>
      </c>
      <c r="EF627" s="319" t="s">
        <v>190</v>
      </c>
      <c r="EG627" s="319" t="s">
        <v>190</v>
      </c>
      <c r="EH627" s="319" t="s">
        <v>190</v>
      </c>
      <c r="EI627" s="319" t="s">
        <v>190</v>
      </c>
      <c r="EJ627" s="319" t="s">
        <v>190</v>
      </c>
      <c r="EK627" s="319" t="s">
        <v>190</v>
      </c>
      <c r="EL627" s="319" t="s">
        <v>190</v>
      </c>
      <c r="EM627" s="319" t="s">
        <v>190</v>
      </c>
      <c r="EN627" s="319" t="s">
        <v>190</v>
      </c>
      <c r="EO627" s="319" t="s">
        <v>190</v>
      </c>
      <c r="EP627" s="319" t="s">
        <v>190</v>
      </c>
      <c r="EQ627" s="319" t="s">
        <v>190</v>
      </c>
      <c r="ER627" s="319" t="s">
        <v>190</v>
      </c>
      <c r="ES627" s="319" t="s">
        <v>190</v>
      </c>
      <c r="ET627" s="319" t="s">
        <v>190</v>
      </c>
      <c r="EU627" s="319" t="s">
        <v>190</v>
      </c>
      <c r="EV627" s="319" t="s">
        <v>190</v>
      </c>
      <c r="EW627" s="319" t="s">
        <v>190</v>
      </c>
      <c r="EX627" s="319" t="s">
        <v>190</v>
      </c>
      <c r="EY627" s="319" t="s">
        <v>190</v>
      </c>
      <c r="EZ627" s="319" t="s">
        <v>190</v>
      </c>
      <c r="FA627" s="319" t="s">
        <v>428</v>
      </c>
      <c r="FB627" s="319" t="s">
        <v>428</v>
      </c>
      <c r="FC627" s="319" t="s">
        <v>428</v>
      </c>
      <c r="FD627" s="319" t="s">
        <v>428</v>
      </c>
      <c r="FE627" s="319" t="s">
        <v>428</v>
      </c>
      <c r="FF627" s="319" t="s">
        <v>428</v>
      </c>
      <c r="FG627" s="319" t="s">
        <v>428</v>
      </c>
      <c r="FH627" s="319" t="s">
        <v>190</v>
      </c>
      <c r="FI627" s="319" t="s">
        <v>428</v>
      </c>
      <c r="FJ627" s="319" t="s">
        <v>429</v>
      </c>
      <c r="FK627" s="319" t="s">
        <v>428</v>
      </c>
      <c r="FL627" s="319" t="s">
        <v>190</v>
      </c>
      <c r="FM627" s="319" t="s">
        <v>190</v>
      </c>
      <c r="FN627" s="319" t="s">
        <v>190</v>
      </c>
      <c r="FO627" s="319" t="s">
        <v>190</v>
      </c>
      <c r="FP627" s="319" t="s">
        <v>190</v>
      </c>
      <c r="FQ627" s="319" t="s">
        <v>190</v>
      </c>
      <c r="FR627" s="319" t="s">
        <v>190</v>
      </c>
      <c r="FS627" s="319" t="s">
        <v>428</v>
      </c>
      <c r="FT627" s="319" t="s">
        <v>190</v>
      </c>
      <c r="FU627" s="319" t="s">
        <v>190</v>
      </c>
      <c r="FV627" s="319" t="s">
        <v>190</v>
      </c>
      <c r="FW627" s="319" t="s">
        <v>190</v>
      </c>
      <c r="FX627" s="319" t="s">
        <v>190</v>
      </c>
      <c r="FY627" s="319" t="s">
        <v>190</v>
      </c>
      <c r="FZ627" s="319" t="s">
        <v>190</v>
      </c>
      <c r="GA627" s="319" t="s">
        <v>190</v>
      </c>
      <c r="GB627" s="319" t="s">
        <v>190</v>
      </c>
      <c r="GC627" s="319" t="s">
        <v>190</v>
      </c>
      <c r="GD627" s="319" t="s">
        <v>190</v>
      </c>
      <c r="GE627" s="319" t="s">
        <v>190</v>
      </c>
      <c r="GF627" s="319" t="s">
        <v>190</v>
      </c>
      <c r="GG627" s="319" t="s">
        <v>190</v>
      </c>
      <c r="GH627" s="319" t="s">
        <v>190</v>
      </c>
      <c r="GI627" s="319" t="s">
        <v>190</v>
      </c>
      <c r="GJ627" s="319" t="s">
        <v>190</v>
      </c>
      <c r="GK627" s="319" t="s">
        <v>428</v>
      </c>
      <c r="GL627" s="319" t="s">
        <v>190</v>
      </c>
      <c r="GM627" s="319" t="s">
        <v>190</v>
      </c>
      <c r="GN627" s="319" t="s">
        <v>190</v>
      </c>
      <c r="GO627" s="319" t="s">
        <v>190</v>
      </c>
      <c r="GP627" s="319" t="s">
        <v>190</v>
      </c>
      <c r="GQ627" s="319" t="s">
        <v>190</v>
      </c>
      <c r="GR627" s="319" t="s">
        <v>190</v>
      </c>
      <c r="GS627" s="319" t="s">
        <v>190</v>
      </c>
      <c r="GT627" s="319" t="s">
        <v>190</v>
      </c>
      <c r="GU627" s="319" t="s">
        <v>190</v>
      </c>
      <c r="GV627" s="319" t="s">
        <v>190</v>
      </c>
      <c r="GW627" s="319" t="s">
        <v>190</v>
      </c>
      <c r="GX627" s="319" t="s">
        <v>190</v>
      </c>
      <c r="GY627" s="319" t="s">
        <v>190</v>
      </c>
      <c r="GZ627" s="319" t="s">
        <v>428</v>
      </c>
      <c r="HA627" s="319" t="s">
        <v>190</v>
      </c>
      <c r="HB627" s="319" t="s">
        <v>190</v>
      </c>
      <c r="HC627" s="319" t="s">
        <v>190</v>
      </c>
      <c r="HD627" s="319" t="s">
        <v>190</v>
      </c>
      <c r="HE627" s="319" t="s">
        <v>190</v>
      </c>
      <c r="HF627" s="319" t="s">
        <v>190</v>
      </c>
      <c r="HG627" s="319" t="s">
        <v>190</v>
      </c>
      <c r="HH627" s="319" t="s">
        <v>190</v>
      </c>
      <c r="HI627" s="319" t="s">
        <v>190</v>
      </c>
      <c r="HJ627" s="319" t="s">
        <v>190</v>
      </c>
      <c r="HK627" s="319" t="s">
        <v>190</v>
      </c>
      <c r="HL627" s="319" t="s">
        <v>428</v>
      </c>
      <c r="HM627" s="319" t="s">
        <v>428</v>
      </c>
      <c r="HN627" s="319" t="s">
        <v>428</v>
      </c>
      <c r="HO627" s="319" t="s">
        <v>428</v>
      </c>
      <c r="HP627" s="319" t="s">
        <v>190</v>
      </c>
      <c r="HQ627" s="319" t="s">
        <v>190</v>
      </c>
      <c r="HR627" s="319" t="s">
        <v>190</v>
      </c>
      <c r="HS627" s="319" t="s">
        <v>190</v>
      </c>
      <c r="HT627" s="319" t="s">
        <v>190</v>
      </c>
      <c r="HU627" s="319" t="s">
        <v>190</v>
      </c>
      <c r="HV627" s="319" t="s">
        <v>190</v>
      </c>
      <c r="HW627" s="319" t="s">
        <v>190</v>
      </c>
      <c r="HX627" s="319" t="s">
        <v>190</v>
      </c>
      <c r="HY627" s="319" t="s">
        <v>190</v>
      </c>
      <c r="HZ627" s="319" t="s">
        <v>190</v>
      </c>
      <c r="IA627" s="319" t="s">
        <v>190</v>
      </c>
      <c r="IB627" s="319" t="s">
        <v>190</v>
      </c>
      <c r="IC627" s="319" t="s">
        <v>190</v>
      </c>
      <c r="ID627" s="319" t="s">
        <v>190</v>
      </c>
      <c r="IE627" s="319" t="s">
        <v>190</v>
      </c>
      <c r="IF627" s="319" t="s">
        <v>190</v>
      </c>
      <c r="IG627" s="319" t="s">
        <v>190</v>
      </c>
      <c r="IH627" s="319" t="s">
        <v>190</v>
      </c>
      <c r="II627" s="319" t="s">
        <v>190</v>
      </c>
      <c r="IJ627" s="319">
        <v>10012779</v>
      </c>
      <c r="IK627" s="321">
        <v>42479</v>
      </c>
      <c r="IL627" s="321">
        <v>42481</v>
      </c>
      <c r="IM627" s="321">
        <v>42523</v>
      </c>
      <c r="IN627" s="319">
        <v>2</v>
      </c>
      <c r="IO627" s="319" t="s">
        <v>173</v>
      </c>
      <c r="IP627" s="319" t="s">
        <v>173</v>
      </c>
      <c r="IQ627" s="321" t="s">
        <v>173</v>
      </c>
      <c r="IR627" s="320" t="s">
        <v>173</v>
      </c>
      <c r="IS627" s="322" t="s">
        <v>173</v>
      </c>
      <c r="IT627" s="319" t="s">
        <v>173</v>
      </c>
    </row>
    <row r="628" spans="1:254" s="271" customFormat="1" x14ac:dyDescent="0.25">
      <c r="A628" s="318" t="str">
        <f>HYPERLINK("http://www.ofsted.gov.uk/inspection-reports/find-inspection-report/provider/ELS/136258 ","Ofsted School Webpage")</f>
        <v>Ofsted School Webpage</v>
      </c>
      <c r="B628" s="319">
        <v>136258</v>
      </c>
      <c r="C628" s="319">
        <v>3916040</v>
      </c>
      <c r="D628" s="319" t="s">
        <v>2085</v>
      </c>
      <c r="E628" s="319" t="s">
        <v>167</v>
      </c>
      <c r="F628" s="319" t="s">
        <v>73</v>
      </c>
      <c r="G628" s="319" t="s">
        <v>72</v>
      </c>
      <c r="H628" s="319" t="s">
        <v>73</v>
      </c>
      <c r="I628" s="319" t="s">
        <v>72</v>
      </c>
      <c r="J628" s="319" t="s">
        <v>424</v>
      </c>
      <c r="K628" s="319" t="s">
        <v>458</v>
      </c>
      <c r="L628" s="319" t="s">
        <v>474</v>
      </c>
      <c r="M628" s="319" t="s">
        <v>2086</v>
      </c>
      <c r="N628" s="319" t="s">
        <v>3386</v>
      </c>
      <c r="O628" s="319" t="s">
        <v>2087</v>
      </c>
      <c r="P628" s="319">
        <v>30</v>
      </c>
      <c r="Q628" s="319" t="s">
        <v>2766</v>
      </c>
      <c r="R628" s="320">
        <v>10105726</v>
      </c>
      <c r="S628" s="321">
        <v>43649</v>
      </c>
      <c r="T628" s="321">
        <v>43651</v>
      </c>
      <c r="U628" s="321">
        <v>43669</v>
      </c>
      <c r="V628" s="319" t="s">
        <v>425</v>
      </c>
      <c r="W628" s="319" t="s">
        <v>2767</v>
      </c>
      <c r="X628" s="319">
        <v>2</v>
      </c>
      <c r="Y628" s="319" t="s">
        <v>173</v>
      </c>
      <c r="Z628" s="319" t="s">
        <v>173</v>
      </c>
      <c r="AA628" s="319" t="s">
        <v>173</v>
      </c>
      <c r="AB628" s="319">
        <v>2</v>
      </c>
      <c r="AC628" s="319" t="s">
        <v>169</v>
      </c>
      <c r="AD628" s="319" t="s">
        <v>173</v>
      </c>
      <c r="AE628" s="319" t="s">
        <v>173</v>
      </c>
      <c r="AF628" s="319" t="s">
        <v>427</v>
      </c>
      <c r="AG628" s="319" t="s">
        <v>171</v>
      </c>
      <c r="AH628" s="319" t="s">
        <v>190</v>
      </c>
      <c r="AI628" s="319" t="s">
        <v>190</v>
      </c>
      <c r="AJ628" s="319" t="s">
        <v>190</v>
      </c>
      <c r="AK628" s="319" t="s">
        <v>190</v>
      </c>
      <c r="AL628" s="319" t="s">
        <v>190</v>
      </c>
      <c r="AM628" s="319" t="s">
        <v>190</v>
      </c>
      <c r="AN628" s="319" t="s">
        <v>190</v>
      </c>
      <c r="AO628" s="319" t="s">
        <v>190</v>
      </c>
      <c r="AP628" s="319" t="s">
        <v>190</v>
      </c>
      <c r="AQ628" s="319" t="s">
        <v>190</v>
      </c>
      <c r="AR628" s="319" t="s">
        <v>190</v>
      </c>
      <c r="AS628" s="319" t="s">
        <v>190</v>
      </c>
      <c r="AT628" s="319" t="s">
        <v>190</v>
      </c>
      <c r="AU628" s="319" t="s">
        <v>190</v>
      </c>
      <c r="AV628" s="319" t="s">
        <v>190</v>
      </c>
      <c r="AW628" s="319" t="s">
        <v>190</v>
      </c>
      <c r="AX628" s="319" t="s">
        <v>428</v>
      </c>
      <c r="AY628" s="319" t="s">
        <v>190</v>
      </c>
      <c r="AZ628" s="319" t="s">
        <v>190</v>
      </c>
      <c r="BA628" s="319" t="s">
        <v>190</v>
      </c>
      <c r="BB628" s="319" t="s">
        <v>190</v>
      </c>
      <c r="BC628" s="319" t="s">
        <v>190</v>
      </c>
      <c r="BD628" s="319" t="s">
        <v>190</v>
      </c>
      <c r="BE628" s="319" t="s">
        <v>190</v>
      </c>
      <c r="BF628" s="319" t="s">
        <v>428</v>
      </c>
      <c r="BG628" s="319" t="s">
        <v>428</v>
      </c>
      <c r="BH628" s="319" t="s">
        <v>190</v>
      </c>
      <c r="BI628" s="319" t="s">
        <v>190</v>
      </c>
      <c r="BJ628" s="319" t="s">
        <v>190</v>
      </c>
      <c r="BK628" s="319" t="s">
        <v>190</v>
      </c>
      <c r="BL628" s="319" t="s">
        <v>190</v>
      </c>
      <c r="BM628" s="319" t="s">
        <v>190</v>
      </c>
      <c r="BN628" s="319" t="s">
        <v>190</v>
      </c>
      <c r="BO628" s="319" t="s">
        <v>190</v>
      </c>
      <c r="BP628" s="319" t="s">
        <v>190</v>
      </c>
      <c r="BQ628" s="319" t="s">
        <v>190</v>
      </c>
      <c r="BR628" s="319" t="s">
        <v>190</v>
      </c>
      <c r="BS628" s="319" t="s">
        <v>190</v>
      </c>
      <c r="BT628" s="319" t="s">
        <v>190</v>
      </c>
      <c r="BU628" s="319" t="s">
        <v>190</v>
      </c>
      <c r="BV628" s="319" t="s">
        <v>190</v>
      </c>
      <c r="BW628" s="319" t="s">
        <v>190</v>
      </c>
      <c r="BX628" s="319" t="s">
        <v>190</v>
      </c>
      <c r="BY628" s="319" t="s">
        <v>190</v>
      </c>
      <c r="BZ628" s="319" t="s">
        <v>190</v>
      </c>
      <c r="CA628" s="319" t="s">
        <v>190</v>
      </c>
      <c r="CB628" s="319" t="s">
        <v>190</v>
      </c>
      <c r="CC628" s="319" t="s">
        <v>190</v>
      </c>
      <c r="CD628" s="319" t="s">
        <v>190</v>
      </c>
      <c r="CE628" s="319" t="s">
        <v>190</v>
      </c>
      <c r="CF628" s="319" t="s">
        <v>190</v>
      </c>
      <c r="CG628" s="319" t="s">
        <v>190</v>
      </c>
      <c r="CH628" s="319" t="s">
        <v>190</v>
      </c>
      <c r="CI628" s="319" t="s">
        <v>190</v>
      </c>
      <c r="CJ628" s="319" t="s">
        <v>190</v>
      </c>
      <c r="CK628" s="319" t="s">
        <v>190</v>
      </c>
      <c r="CL628" s="319" t="s">
        <v>190</v>
      </c>
      <c r="CM628" s="319" t="s">
        <v>190</v>
      </c>
      <c r="CN628" s="319" t="s">
        <v>428</v>
      </c>
      <c r="CO628" s="319" t="s">
        <v>428</v>
      </c>
      <c r="CP628" s="319" t="s">
        <v>428</v>
      </c>
      <c r="CQ628" s="319" t="s">
        <v>190</v>
      </c>
      <c r="CR628" s="319" t="s">
        <v>190</v>
      </c>
      <c r="CS628" s="319" t="s">
        <v>190</v>
      </c>
      <c r="CT628" s="319" t="s">
        <v>190</v>
      </c>
      <c r="CU628" s="319" t="s">
        <v>190</v>
      </c>
      <c r="CV628" s="319" t="s">
        <v>190</v>
      </c>
      <c r="CW628" s="319" t="s">
        <v>190</v>
      </c>
      <c r="CX628" s="319" t="s">
        <v>190</v>
      </c>
      <c r="CY628" s="319" t="s">
        <v>190</v>
      </c>
      <c r="CZ628" s="319" t="s">
        <v>190</v>
      </c>
      <c r="DA628" s="319" t="s">
        <v>190</v>
      </c>
      <c r="DB628" s="319" t="s">
        <v>190</v>
      </c>
      <c r="DC628" s="319" t="s">
        <v>190</v>
      </c>
      <c r="DD628" s="319" t="s">
        <v>190</v>
      </c>
      <c r="DE628" s="319" t="s">
        <v>190</v>
      </c>
      <c r="DF628" s="319" t="s">
        <v>190</v>
      </c>
      <c r="DG628" s="319" t="s">
        <v>190</v>
      </c>
      <c r="DH628" s="319" t="s">
        <v>190</v>
      </c>
      <c r="DI628" s="319" t="s">
        <v>190</v>
      </c>
      <c r="DJ628" s="319" t="s">
        <v>190</v>
      </c>
      <c r="DK628" s="319" t="s">
        <v>190</v>
      </c>
      <c r="DL628" s="319" t="s">
        <v>190</v>
      </c>
      <c r="DM628" s="319" t="s">
        <v>190</v>
      </c>
      <c r="DN628" s="319" t="s">
        <v>428</v>
      </c>
      <c r="DO628" s="319" t="s">
        <v>190</v>
      </c>
      <c r="DP628" s="319" t="s">
        <v>428</v>
      </c>
      <c r="DQ628" s="319" t="s">
        <v>428</v>
      </c>
      <c r="DR628" s="319" t="s">
        <v>428</v>
      </c>
      <c r="DS628" s="319" t="s">
        <v>428</v>
      </c>
      <c r="DT628" s="319" t="s">
        <v>428</v>
      </c>
      <c r="DU628" s="319" t="s">
        <v>428</v>
      </c>
      <c r="DV628" s="319" t="s">
        <v>173</v>
      </c>
      <c r="DW628" s="319" t="s">
        <v>428</v>
      </c>
      <c r="DX628" s="319" t="s">
        <v>428</v>
      </c>
      <c r="DY628" s="319" t="s">
        <v>428</v>
      </c>
      <c r="DZ628" s="319" t="s">
        <v>428</v>
      </c>
      <c r="EA628" s="319" t="s">
        <v>428</v>
      </c>
      <c r="EB628" s="319" t="s">
        <v>428</v>
      </c>
      <c r="EC628" s="319" t="s">
        <v>428</v>
      </c>
      <c r="ED628" s="319" t="s">
        <v>428</v>
      </c>
      <c r="EE628" s="319" t="s">
        <v>190</v>
      </c>
      <c r="EF628" s="319" t="s">
        <v>190</v>
      </c>
      <c r="EG628" s="319" t="s">
        <v>190</v>
      </c>
      <c r="EH628" s="319" t="s">
        <v>190</v>
      </c>
      <c r="EI628" s="319" t="s">
        <v>190</v>
      </c>
      <c r="EJ628" s="319" t="s">
        <v>190</v>
      </c>
      <c r="EK628" s="319" t="s">
        <v>190</v>
      </c>
      <c r="EL628" s="319" t="s">
        <v>190</v>
      </c>
      <c r="EM628" s="319" t="s">
        <v>190</v>
      </c>
      <c r="EN628" s="319" t="s">
        <v>190</v>
      </c>
      <c r="EO628" s="319" t="s">
        <v>190</v>
      </c>
      <c r="EP628" s="319" t="s">
        <v>190</v>
      </c>
      <c r="EQ628" s="319" t="s">
        <v>190</v>
      </c>
      <c r="ER628" s="319" t="s">
        <v>190</v>
      </c>
      <c r="ES628" s="319" t="s">
        <v>190</v>
      </c>
      <c r="ET628" s="319" t="s">
        <v>190</v>
      </c>
      <c r="EU628" s="319" t="s">
        <v>190</v>
      </c>
      <c r="EV628" s="319" t="s">
        <v>190</v>
      </c>
      <c r="EW628" s="319" t="s">
        <v>190</v>
      </c>
      <c r="EX628" s="319" t="s">
        <v>190</v>
      </c>
      <c r="EY628" s="319" t="s">
        <v>190</v>
      </c>
      <c r="EZ628" s="319" t="s">
        <v>190</v>
      </c>
      <c r="FA628" s="319" t="s">
        <v>428</v>
      </c>
      <c r="FB628" s="319" t="s">
        <v>428</v>
      </c>
      <c r="FC628" s="319" t="s">
        <v>428</v>
      </c>
      <c r="FD628" s="319" t="s">
        <v>428</v>
      </c>
      <c r="FE628" s="319" t="s">
        <v>428</v>
      </c>
      <c r="FF628" s="319" t="s">
        <v>428</v>
      </c>
      <c r="FG628" s="319" t="s">
        <v>428</v>
      </c>
      <c r="FH628" s="319" t="s">
        <v>190</v>
      </c>
      <c r="FI628" s="319" t="s">
        <v>428</v>
      </c>
      <c r="FJ628" s="319" t="s">
        <v>429</v>
      </c>
      <c r="FK628" s="319" t="s">
        <v>428</v>
      </c>
      <c r="FL628" s="319" t="s">
        <v>190</v>
      </c>
      <c r="FM628" s="319" t="s">
        <v>190</v>
      </c>
      <c r="FN628" s="319" t="s">
        <v>190</v>
      </c>
      <c r="FO628" s="319" t="s">
        <v>190</v>
      </c>
      <c r="FP628" s="319" t="s">
        <v>190</v>
      </c>
      <c r="FQ628" s="319" t="s">
        <v>190</v>
      </c>
      <c r="FR628" s="319" t="s">
        <v>190</v>
      </c>
      <c r="FS628" s="319" t="s">
        <v>428</v>
      </c>
      <c r="FT628" s="319" t="s">
        <v>190</v>
      </c>
      <c r="FU628" s="319" t="s">
        <v>190</v>
      </c>
      <c r="FV628" s="319" t="s">
        <v>190</v>
      </c>
      <c r="FW628" s="319" t="s">
        <v>190</v>
      </c>
      <c r="FX628" s="319" t="s">
        <v>190</v>
      </c>
      <c r="FY628" s="319" t="s">
        <v>190</v>
      </c>
      <c r="FZ628" s="319" t="s">
        <v>190</v>
      </c>
      <c r="GA628" s="319" t="s">
        <v>190</v>
      </c>
      <c r="GB628" s="319" t="s">
        <v>190</v>
      </c>
      <c r="GC628" s="319" t="s">
        <v>190</v>
      </c>
      <c r="GD628" s="319" t="s">
        <v>190</v>
      </c>
      <c r="GE628" s="319" t="s">
        <v>190</v>
      </c>
      <c r="GF628" s="319" t="s">
        <v>190</v>
      </c>
      <c r="GG628" s="319" t="s">
        <v>190</v>
      </c>
      <c r="GH628" s="319" t="s">
        <v>190</v>
      </c>
      <c r="GI628" s="319" t="s">
        <v>190</v>
      </c>
      <c r="GJ628" s="319" t="s">
        <v>190</v>
      </c>
      <c r="GK628" s="319" t="s">
        <v>428</v>
      </c>
      <c r="GL628" s="319" t="s">
        <v>190</v>
      </c>
      <c r="GM628" s="319" t="s">
        <v>190</v>
      </c>
      <c r="GN628" s="319" t="s">
        <v>190</v>
      </c>
      <c r="GO628" s="319" t="s">
        <v>190</v>
      </c>
      <c r="GP628" s="319" t="s">
        <v>190</v>
      </c>
      <c r="GQ628" s="319" t="s">
        <v>428</v>
      </c>
      <c r="GR628" s="319" t="s">
        <v>190</v>
      </c>
      <c r="GS628" s="319" t="s">
        <v>190</v>
      </c>
      <c r="GT628" s="319" t="s">
        <v>428</v>
      </c>
      <c r="GU628" s="319" t="s">
        <v>428</v>
      </c>
      <c r="GV628" s="319" t="s">
        <v>190</v>
      </c>
      <c r="GW628" s="319" t="s">
        <v>190</v>
      </c>
      <c r="GX628" s="319" t="s">
        <v>190</v>
      </c>
      <c r="GY628" s="319" t="s">
        <v>190</v>
      </c>
      <c r="GZ628" s="319" t="s">
        <v>190</v>
      </c>
      <c r="HA628" s="319" t="s">
        <v>428</v>
      </c>
      <c r="HB628" s="319" t="s">
        <v>190</v>
      </c>
      <c r="HC628" s="319" t="s">
        <v>190</v>
      </c>
      <c r="HD628" s="319" t="s">
        <v>190</v>
      </c>
      <c r="HE628" s="319" t="s">
        <v>190</v>
      </c>
      <c r="HF628" s="319" t="s">
        <v>190</v>
      </c>
      <c r="HG628" s="319" t="s">
        <v>190</v>
      </c>
      <c r="HH628" s="319" t="s">
        <v>190</v>
      </c>
      <c r="HI628" s="319" t="s">
        <v>190</v>
      </c>
      <c r="HJ628" s="319" t="s">
        <v>190</v>
      </c>
      <c r="HK628" s="319" t="s">
        <v>190</v>
      </c>
      <c r="HL628" s="319" t="s">
        <v>428</v>
      </c>
      <c r="HM628" s="319" t="s">
        <v>428</v>
      </c>
      <c r="HN628" s="319" t="s">
        <v>428</v>
      </c>
      <c r="HO628" s="319" t="s">
        <v>428</v>
      </c>
      <c r="HP628" s="319" t="s">
        <v>190</v>
      </c>
      <c r="HQ628" s="319" t="s">
        <v>190</v>
      </c>
      <c r="HR628" s="319" t="s">
        <v>190</v>
      </c>
      <c r="HS628" s="319" t="s">
        <v>190</v>
      </c>
      <c r="HT628" s="319" t="s">
        <v>190</v>
      </c>
      <c r="HU628" s="319" t="s">
        <v>190</v>
      </c>
      <c r="HV628" s="319" t="s">
        <v>190</v>
      </c>
      <c r="HW628" s="319" t="s">
        <v>190</v>
      </c>
      <c r="HX628" s="319" t="s">
        <v>190</v>
      </c>
      <c r="HY628" s="319" t="s">
        <v>190</v>
      </c>
      <c r="HZ628" s="319" t="s">
        <v>190</v>
      </c>
      <c r="IA628" s="319" t="s">
        <v>190</v>
      </c>
      <c r="IB628" s="319" t="s">
        <v>190</v>
      </c>
      <c r="IC628" s="319" t="s">
        <v>190</v>
      </c>
      <c r="ID628" s="319" t="s">
        <v>190</v>
      </c>
      <c r="IE628" s="319" t="s">
        <v>190</v>
      </c>
      <c r="IF628" s="319" t="s">
        <v>190</v>
      </c>
      <c r="IG628" s="319" t="s">
        <v>190</v>
      </c>
      <c r="IH628" s="319" t="s">
        <v>190</v>
      </c>
      <c r="II628" s="319" t="s">
        <v>190</v>
      </c>
      <c r="IJ628" s="319">
        <v>10025962</v>
      </c>
      <c r="IK628" s="321">
        <v>42808</v>
      </c>
      <c r="IL628" s="321">
        <v>42810</v>
      </c>
      <c r="IM628" s="321">
        <v>42828</v>
      </c>
      <c r="IN628" s="319">
        <v>2</v>
      </c>
      <c r="IO628" s="319" t="s">
        <v>173</v>
      </c>
      <c r="IP628" s="319" t="s">
        <v>173</v>
      </c>
      <c r="IQ628" s="319" t="s">
        <v>173</v>
      </c>
      <c r="IR628" s="320" t="s">
        <v>173</v>
      </c>
      <c r="IS628" s="320" t="s">
        <v>173</v>
      </c>
      <c r="IT628" s="319" t="s">
        <v>173</v>
      </c>
    </row>
    <row r="629" spans="1:254" s="271" customFormat="1" x14ac:dyDescent="0.25">
      <c r="A629" s="318" t="str">
        <f>HYPERLINK("http://www.ofsted.gov.uk/inspection-reports/find-inspection-report/provider/ELS/136259 ","Ofsted School Webpage")</f>
        <v>Ofsted School Webpage</v>
      </c>
      <c r="B629" s="319">
        <v>136259</v>
      </c>
      <c r="C629" s="319">
        <v>8066002</v>
      </c>
      <c r="D629" s="319" t="s">
        <v>2088</v>
      </c>
      <c r="E629" s="319" t="s">
        <v>167</v>
      </c>
      <c r="F629" s="319" t="s">
        <v>81</v>
      </c>
      <c r="G629" s="319" t="s">
        <v>81</v>
      </c>
      <c r="H629" s="319" t="s">
        <v>81</v>
      </c>
      <c r="I629" s="319" t="s">
        <v>78</v>
      </c>
      <c r="J629" s="319" t="s">
        <v>424</v>
      </c>
      <c r="K629" s="319" t="s">
        <v>458</v>
      </c>
      <c r="L629" s="319" t="s">
        <v>474</v>
      </c>
      <c r="M629" s="319" t="s">
        <v>2089</v>
      </c>
      <c r="N629" s="319" t="s">
        <v>2089</v>
      </c>
      <c r="O629" s="319" t="s">
        <v>2090</v>
      </c>
      <c r="P629" s="319">
        <v>55</v>
      </c>
      <c r="Q629" s="319" t="s">
        <v>2776</v>
      </c>
      <c r="R629" s="320">
        <v>10093650</v>
      </c>
      <c r="S629" s="321">
        <v>43655</v>
      </c>
      <c r="T629" s="321">
        <v>43657</v>
      </c>
      <c r="U629" s="321">
        <v>43718</v>
      </c>
      <c r="V629" s="319" t="s">
        <v>425</v>
      </c>
      <c r="W629" s="319" t="s">
        <v>2767</v>
      </c>
      <c r="X629" s="319">
        <v>2</v>
      </c>
      <c r="Y629" s="319" t="s">
        <v>173</v>
      </c>
      <c r="Z629" s="319" t="s">
        <v>173</v>
      </c>
      <c r="AA629" s="319" t="s">
        <v>173</v>
      </c>
      <c r="AB629" s="319">
        <v>2</v>
      </c>
      <c r="AC629" s="319" t="s">
        <v>169</v>
      </c>
      <c r="AD629" s="319" t="s">
        <v>173</v>
      </c>
      <c r="AE629" s="319" t="s">
        <v>173</v>
      </c>
      <c r="AF629" s="319" t="s">
        <v>427</v>
      </c>
      <c r="AG629" s="319" t="s">
        <v>171</v>
      </c>
      <c r="AH629" s="319" t="s">
        <v>190</v>
      </c>
      <c r="AI629" s="319" t="s">
        <v>190</v>
      </c>
      <c r="AJ629" s="319" t="s">
        <v>190</v>
      </c>
      <c r="AK629" s="319" t="s">
        <v>190</v>
      </c>
      <c r="AL629" s="319" t="s">
        <v>190</v>
      </c>
      <c r="AM629" s="319" t="s">
        <v>190</v>
      </c>
      <c r="AN629" s="319" t="s">
        <v>190</v>
      </c>
      <c r="AO629" s="319" t="s">
        <v>190</v>
      </c>
      <c r="AP629" s="319" t="s">
        <v>190</v>
      </c>
      <c r="AQ629" s="319" t="s">
        <v>190</v>
      </c>
      <c r="AR629" s="319" t="s">
        <v>190</v>
      </c>
      <c r="AS629" s="319" t="s">
        <v>190</v>
      </c>
      <c r="AT629" s="319" t="s">
        <v>190</v>
      </c>
      <c r="AU629" s="319" t="s">
        <v>190</v>
      </c>
      <c r="AV629" s="319" t="s">
        <v>190</v>
      </c>
      <c r="AW629" s="319" t="s">
        <v>190</v>
      </c>
      <c r="AX629" s="319" t="s">
        <v>190</v>
      </c>
      <c r="AY629" s="319" t="s">
        <v>190</v>
      </c>
      <c r="AZ629" s="319" t="s">
        <v>190</v>
      </c>
      <c r="BA629" s="319" t="s">
        <v>190</v>
      </c>
      <c r="BB629" s="319" t="s">
        <v>190</v>
      </c>
      <c r="BC629" s="319" t="s">
        <v>190</v>
      </c>
      <c r="BD629" s="319" t="s">
        <v>190</v>
      </c>
      <c r="BE629" s="319" t="s">
        <v>190</v>
      </c>
      <c r="BF629" s="319" t="s">
        <v>428</v>
      </c>
      <c r="BG629" s="319" t="s">
        <v>428</v>
      </c>
      <c r="BH629" s="319" t="s">
        <v>190</v>
      </c>
      <c r="BI629" s="319" t="s">
        <v>190</v>
      </c>
      <c r="BJ629" s="319" t="s">
        <v>190</v>
      </c>
      <c r="BK629" s="319" t="s">
        <v>190</v>
      </c>
      <c r="BL629" s="319" t="s">
        <v>190</v>
      </c>
      <c r="BM629" s="319" t="s">
        <v>190</v>
      </c>
      <c r="BN629" s="319" t="s">
        <v>190</v>
      </c>
      <c r="BO629" s="319" t="s">
        <v>190</v>
      </c>
      <c r="BP629" s="319" t="s">
        <v>190</v>
      </c>
      <c r="BQ629" s="319" t="s">
        <v>190</v>
      </c>
      <c r="BR629" s="319" t="s">
        <v>190</v>
      </c>
      <c r="BS629" s="319" t="s">
        <v>190</v>
      </c>
      <c r="BT629" s="319" t="s">
        <v>190</v>
      </c>
      <c r="BU629" s="319" t="s">
        <v>190</v>
      </c>
      <c r="BV629" s="319" t="s">
        <v>190</v>
      </c>
      <c r="BW629" s="319" t="s">
        <v>190</v>
      </c>
      <c r="BX629" s="319" t="s">
        <v>190</v>
      </c>
      <c r="BY629" s="319" t="s">
        <v>190</v>
      </c>
      <c r="BZ629" s="319" t="s">
        <v>190</v>
      </c>
      <c r="CA629" s="319" t="s">
        <v>190</v>
      </c>
      <c r="CB629" s="319" t="s">
        <v>190</v>
      </c>
      <c r="CC629" s="319" t="s">
        <v>190</v>
      </c>
      <c r="CD629" s="319" t="s">
        <v>190</v>
      </c>
      <c r="CE629" s="319" t="s">
        <v>190</v>
      </c>
      <c r="CF629" s="319" t="s">
        <v>190</v>
      </c>
      <c r="CG629" s="319" t="s">
        <v>190</v>
      </c>
      <c r="CH629" s="319" t="s">
        <v>190</v>
      </c>
      <c r="CI629" s="319" t="s">
        <v>190</v>
      </c>
      <c r="CJ629" s="319" t="s">
        <v>190</v>
      </c>
      <c r="CK629" s="319" t="s">
        <v>190</v>
      </c>
      <c r="CL629" s="319" t="s">
        <v>190</v>
      </c>
      <c r="CM629" s="319" t="s">
        <v>190</v>
      </c>
      <c r="CN629" s="319" t="s">
        <v>428</v>
      </c>
      <c r="CO629" s="319" t="s">
        <v>428</v>
      </c>
      <c r="CP629" s="319" t="s">
        <v>428</v>
      </c>
      <c r="CQ629" s="319" t="s">
        <v>190</v>
      </c>
      <c r="CR629" s="319" t="s">
        <v>190</v>
      </c>
      <c r="CS629" s="319" t="s">
        <v>190</v>
      </c>
      <c r="CT629" s="319" t="s">
        <v>190</v>
      </c>
      <c r="CU629" s="319" t="s">
        <v>190</v>
      </c>
      <c r="CV629" s="319" t="s">
        <v>190</v>
      </c>
      <c r="CW629" s="319" t="s">
        <v>190</v>
      </c>
      <c r="CX629" s="319" t="s">
        <v>190</v>
      </c>
      <c r="CY629" s="319" t="s">
        <v>190</v>
      </c>
      <c r="CZ629" s="319" t="s">
        <v>190</v>
      </c>
      <c r="DA629" s="319" t="s">
        <v>190</v>
      </c>
      <c r="DB629" s="319" t="s">
        <v>190</v>
      </c>
      <c r="DC629" s="319" t="s">
        <v>190</v>
      </c>
      <c r="DD629" s="319" t="s">
        <v>190</v>
      </c>
      <c r="DE629" s="319" t="s">
        <v>190</v>
      </c>
      <c r="DF629" s="319" t="s">
        <v>190</v>
      </c>
      <c r="DG629" s="319" t="s">
        <v>190</v>
      </c>
      <c r="DH629" s="319" t="s">
        <v>190</v>
      </c>
      <c r="DI629" s="319" t="s">
        <v>190</v>
      </c>
      <c r="DJ629" s="319" t="s">
        <v>190</v>
      </c>
      <c r="DK629" s="319" t="s">
        <v>190</v>
      </c>
      <c r="DL629" s="319" t="s">
        <v>190</v>
      </c>
      <c r="DM629" s="319" t="s">
        <v>190</v>
      </c>
      <c r="DN629" s="319" t="s">
        <v>428</v>
      </c>
      <c r="DO629" s="319" t="s">
        <v>190</v>
      </c>
      <c r="DP629" s="319" t="s">
        <v>190</v>
      </c>
      <c r="DQ629" s="319" t="s">
        <v>190</v>
      </c>
      <c r="DR629" s="319" t="s">
        <v>190</v>
      </c>
      <c r="DS629" s="319" t="s">
        <v>190</v>
      </c>
      <c r="DT629" s="319" t="s">
        <v>190</v>
      </c>
      <c r="DU629" s="319" t="s">
        <v>190</v>
      </c>
      <c r="DV629" s="319" t="s">
        <v>173</v>
      </c>
      <c r="DW629" s="319" t="s">
        <v>190</v>
      </c>
      <c r="DX629" s="319" t="s">
        <v>190</v>
      </c>
      <c r="DY629" s="319" t="s">
        <v>190</v>
      </c>
      <c r="DZ629" s="319" t="s">
        <v>190</v>
      </c>
      <c r="EA629" s="319" t="s">
        <v>190</v>
      </c>
      <c r="EB629" s="319" t="s">
        <v>190</v>
      </c>
      <c r="EC629" s="319" t="s">
        <v>428</v>
      </c>
      <c r="ED629" s="319" t="s">
        <v>190</v>
      </c>
      <c r="EE629" s="319" t="s">
        <v>190</v>
      </c>
      <c r="EF629" s="319" t="s">
        <v>190</v>
      </c>
      <c r="EG629" s="319" t="s">
        <v>190</v>
      </c>
      <c r="EH629" s="319" t="s">
        <v>190</v>
      </c>
      <c r="EI629" s="319" t="s">
        <v>190</v>
      </c>
      <c r="EJ629" s="319" t="s">
        <v>190</v>
      </c>
      <c r="EK629" s="319" t="s">
        <v>190</v>
      </c>
      <c r="EL629" s="319" t="s">
        <v>428</v>
      </c>
      <c r="EM629" s="319" t="s">
        <v>428</v>
      </c>
      <c r="EN629" s="319" t="s">
        <v>190</v>
      </c>
      <c r="EO629" s="319" t="s">
        <v>190</v>
      </c>
      <c r="EP629" s="319" t="s">
        <v>190</v>
      </c>
      <c r="EQ629" s="319" t="s">
        <v>190</v>
      </c>
      <c r="ER629" s="319" t="s">
        <v>190</v>
      </c>
      <c r="ES629" s="319" t="s">
        <v>190</v>
      </c>
      <c r="ET629" s="319" t="s">
        <v>190</v>
      </c>
      <c r="EU629" s="319" t="s">
        <v>190</v>
      </c>
      <c r="EV629" s="319" t="s">
        <v>190</v>
      </c>
      <c r="EW629" s="319" t="s">
        <v>190</v>
      </c>
      <c r="EX629" s="319" t="s">
        <v>190</v>
      </c>
      <c r="EY629" s="319" t="s">
        <v>190</v>
      </c>
      <c r="EZ629" s="319" t="s">
        <v>190</v>
      </c>
      <c r="FA629" s="319" t="s">
        <v>428</v>
      </c>
      <c r="FB629" s="319" t="s">
        <v>190</v>
      </c>
      <c r="FC629" s="319" t="s">
        <v>190</v>
      </c>
      <c r="FD629" s="319" t="s">
        <v>190</v>
      </c>
      <c r="FE629" s="319" t="s">
        <v>190</v>
      </c>
      <c r="FF629" s="319" t="s">
        <v>190</v>
      </c>
      <c r="FG629" s="319" t="s">
        <v>190</v>
      </c>
      <c r="FH629" s="319" t="s">
        <v>190</v>
      </c>
      <c r="FI629" s="319" t="s">
        <v>190</v>
      </c>
      <c r="FJ629" s="319" t="s">
        <v>190</v>
      </c>
      <c r="FK629" s="319" t="s">
        <v>190</v>
      </c>
      <c r="FL629" s="319" t="s">
        <v>190</v>
      </c>
      <c r="FM629" s="319" t="s">
        <v>190</v>
      </c>
      <c r="FN629" s="319" t="s">
        <v>190</v>
      </c>
      <c r="FO629" s="319" t="s">
        <v>190</v>
      </c>
      <c r="FP629" s="319" t="s">
        <v>190</v>
      </c>
      <c r="FQ629" s="319" t="s">
        <v>190</v>
      </c>
      <c r="FR629" s="319" t="s">
        <v>190</v>
      </c>
      <c r="FS629" s="319" t="s">
        <v>428</v>
      </c>
      <c r="FT629" s="319" t="s">
        <v>190</v>
      </c>
      <c r="FU629" s="319" t="s">
        <v>190</v>
      </c>
      <c r="FV629" s="319" t="s">
        <v>190</v>
      </c>
      <c r="FW629" s="319" t="s">
        <v>190</v>
      </c>
      <c r="FX629" s="319" t="s">
        <v>190</v>
      </c>
      <c r="FY629" s="319" t="s">
        <v>190</v>
      </c>
      <c r="FZ629" s="319" t="s">
        <v>190</v>
      </c>
      <c r="GA629" s="319" t="s">
        <v>190</v>
      </c>
      <c r="GB629" s="319" t="s">
        <v>190</v>
      </c>
      <c r="GC629" s="319" t="s">
        <v>190</v>
      </c>
      <c r="GD629" s="319" t="s">
        <v>190</v>
      </c>
      <c r="GE629" s="319" t="s">
        <v>190</v>
      </c>
      <c r="GF629" s="319" t="s">
        <v>190</v>
      </c>
      <c r="GG629" s="319" t="s">
        <v>190</v>
      </c>
      <c r="GH629" s="319" t="s">
        <v>190</v>
      </c>
      <c r="GI629" s="319" t="s">
        <v>190</v>
      </c>
      <c r="GJ629" s="319" t="s">
        <v>190</v>
      </c>
      <c r="GK629" s="319" t="s">
        <v>428</v>
      </c>
      <c r="GL629" s="319" t="s">
        <v>190</v>
      </c>
      <c r="GM629" s="319" t="s">
        <v>190</v>
      </c>
      <c r="GN629" s="319" t="s">
        <v>190</v>
      </c>
      <c r="GO629" s="319" t="s">
        <v>190</v>
      </c>
      <c r="GP629" s="319" t="s">
        <v>190</v>
      </c>
      <c r="GQ629" s="319" t="s">
        <v>190</v>
      </c>
      <c r="GR629" s="319" t="s">
        <v>190</v>
      </c>
      <c r="GS629" s="319" t="s">
        <v>190</v>
      </c>
      <c r="GT629" s="319" t="s">
        <v>190</v>
      </c>
      <c r="GU629" s="319" t="s">
        <v>190</v>
      </c>
      <c r="GV629" s="319" t="s">
        <v>190</v>
      </c>
      <c r="GW629" s="319" t="s">
        <v>190</v>
      </c>
      <c r="GX629" s="319" t="s">
        <v>190</v>
      </c>
      <c r="GY629" s="319" t="s">
        <v>190</v>
      </c>
      <c r="GZ629" s="319" t="s">
        <v>428</v>
      </c>
      <c r="HA629" s="319" t="s">
        <v>190</v>
      </c>
      <c r="HB629" s="319" t="s">
        <v>190</v>
      </c>
      <c r="HC629" s="319" t="s">
        <v>190</v>
      </c>
      <c r="HD629" s="319" t="s">
        <v>190</v>
      </c>
      <c r="HE629" s="319" t="s">
        <v>190</v>
      </c>
      <c r="HF629" s="319" t="s">
        <v>190</v>
      </c>
      <c r="HG629" s="319" t="s">
        <v>190</v>
      </c>
      <c r="HH629" s="319" t="s">
        <v>190</v>
      </c>
      <c r="HI629" s="319" t="s">
        <v>190</v>
      </c>
      <c r="HJ629" s="319" t="s">
        <v>190</v>
      </c>
      <c r="HK629" s="319" t="s">
        <v>190</v>
      </c>
      <c r="HL629" s="319" t="s">
        <v>428</v>
      </c>
      <c r="HM629" s="319" t="s">
        <v>428</v>
      </c>
      <c r="HN629" s="319" t="s">
        <v>428</v>
      </c>
      <c r="HO629" s="319" t="s">
        <v>428</v>
      </c>
      <c r="HP629" s="319" t="s">
        <v>190</v>
      </c>
      <c r="HQ629" s="319" t="s">
        <v>190</v>
      </c>
      <c r="HR629" s="319" t="s">
        <v>190</v>
      </c>
      <c r="HS629" s="319" t="s">
        <v>190</v>
      </c>
      <c r="HT629" s="319" t="s">
        <v>190</v>
      </c>
      <c r="HU629" s="319" t="s">
        <v>190</v>
      </c>
      <c r="HV629" s="319" t="s">
        <v>190</v>
      </c>
      <c r="HW629" s="319" t="s">
        <v>190</v>
      </c>
      <c r="HX629" s="319" t="s">
        <v>190</v>
      </c>
      <c r="HY629" s="319" t="s">
        <v>190</v>
      </c>
      <c r="HZ629" s="319" t="s">
        <v>190</v>
      </c>
      <c r="IA629" s="319" t="s">
        <v>190</v>
      </c>
      <c r="IB629" s="319" t="s">
        <v>190</v>
      </c>
      <c r="IC629" s="319" t="s">
        <v>190</v>
      </c>
      <c r="ID629" s="319" t="s">
        <v>190</v>
      </c>
      <c r="IE629" s="319" t="s">
        <v>190</v>
      </c>
      <c r="IF629" s="319" t="s">
        <v>190</v>
      </c>
      <c r="IG629" s="319" t="s">
        <v>190</v>
      </c>
      <c r="IH629" s="319" t="s">
        <v>190</v>
      </c>
      <c r="II629" s="319" t="s">
        <v>190</v>
      </c>
      <c r="IJ629" s="319">
        <v>10043657</v>
      </c>
      <c r="IK629" s="321">
        <v>43116</v>
      </c>
      <c r="IL629" s="321">
        <v>43118</v>
      </c>
      <c r="IM629" s="321">
        <v>43157</v>
      </c>
      <c r="IN629" s="319">
        <v>3</v>
      </c>
      <c r="IO629" s="319" t="s">
        <v>173</v>
      </c>
      <c r="IP629" s="319" t="s">
        <v>173</v>
      </c>
      <c r="IQ629" s="319" t="s">
        <v>173</v>
      </c>
      <c r="IR629" s="320" t="s">
        <v>173</v>
      </c>
      <c r="IS629" s="320" t="s">
        <v>173</v>
      </c>
      <c r="IT629" s="319" t="s">
        <v>173</v>
      </c>
    </row>
    <row r="630" spans="1:254" s="271" customFormat="1" x14ac:dyDescent="0.25">
      <c r="A630" s="318" t="str">
        <f>HYPERLINK("http://www.ofsted.gov.uk/inspection-reports/find-inspection-report/provider/ELS/136260 ","Ofsted School Webpage")</f>
        <v>Ofsted School Webpage</v>
      </c>
      <c r="B630" s="319">
        <v>136260</v>
      </c>
      <c r="C630" s="319">
        <v>8856039</v>
      </c>
      <c r="D630" s="319" t="s">
        <v>2091</v>
      </c>
      <c r="E630" s="319" t="s">
        <v>168</v>
      </c>
      <c r="F630" s="319" t="s">
        <v>81</v>
      </c>
      <c r="G630" s="319" t="s">
        <v>81</v>
      </c>
      <c r="H630" s="319" t="s">
        <v>81</v>
      </c>
      <c r="I630" s="319" t="s">
        <v>78</v>
      </c>
      <c r="J630" s="319" t="s">
        <v>424</v>
      </c>
      <c r="K630" s="319" t="s">
        <v>437</v>
      </c>
      <c r="L630" s="319" t="s">
        <v>437</v>
      </c>
      <c r="M630" s="319" t="s">
        <v>483</v>
      </c>
      <c r="N630" s="319" t="s">
        <v>3387</v>
      </c>
      <c r="O630" s="319" t="s">
        <v>2092</v>
      </c>
      <c r="P630" s="319">
        <v>7</v>
      </c>
      <c r="Q630" s="319" t="s">
        <v>2776</v>
      </c>
      <c r="R630" s="320">
        <v>10038843</v>
      </c>
      <c r="S630" s="321">
        <v>43263</v>
      </c>
      <c r="T630" s="321">
        <v>43265</v>
      </c>
      <c r="U630" s="321">
        <v>43777</v>
      </c>
      <c r="V630" s="319" t="s">
        <v>425</v>
      </c>
      <c r="W630" s="319" t="s">
        <v>2767</v>
      </c>
      <c r="X630" s="319">
        <v>4</v>
      </c>
      <c r="Y630" s="319" t="s">
        <v>173</v>
      </c>
      <c r="Z630" s="319" t="s">
        <v>173</v>
      </c>
      <c r="AA630" s="319" t="s">
        <v>173</v>
      </c>
      <c r="AB630" s="319">
        <v>4</v>
      </c>
      <c r="AC630" s="319" t="s">
        <v>170</v>
      </c>
      <c r="AD630" s="319" t="s">
        <v>173</v>
      </c>
      <c r="AE630" s="319">
        <v>4</v>
      </c>
      <c r="AF630" s="319" t="s">
        <v>427</v>
      </c>
      <c r="AG630" s="319" t="s">
        <v>172</v>
      </c>
      <c r="AH630" s="319" t="s">
        <v>190</v>
      </c>
      <c r="AI630" s="319" t="s">
        <v>190</v>
      </c>
      <c r="AJ630" s="319" t="s">
        <v>479</v>
      </c>
      <c r="AK630" s="319" t="s">
        <v>190</v>
      </c>
      <c r="AL630" s="319" t="s">
        <v>190</v>
      </c>
      <c r="AM630" s="319" t="s">
        <v>479</v>
      </c>
      <c r="AN630" s="319" t="s">
        <v>190</v>
      </c>
      <c r="AO630" s="319" t="s">
        <v>479</v>
      </c>
      <c r="AP630" s="319" t="s">
        <v>190</v>
      </c>
      <c r="AQ630" s="319" t="s">
        <v>190</v>
      </c>
      <c r="AR630" s="319" t="s">
        <v>190</v>
      </c>
      <c r="AS630" s="319" t="s">
        <v>190</v>
      </c>
      <c r="AT630" s="319" t="s">
        <v>190</v>
      </c>
      <c r="AU630" s="319" t="s">
        <v>190</v>
      </c>
      <c r="AV630" s="319" t="s">
        <v>190</v>
      </c>
      <c r="AW630" s="319" t="s">
        <v>190</v>
      </c>
      <c r="AX630" s="319" t="s">
        <v>428</v>
      </c>
      <c r="AY630" s="319" t="s">
        <v>190</v>
      </c>
      <c r="AZ630" s="319" t="s">
        <v>190</v>
      </c>
      <c r="BA630" s="319" t="s">
        <v>190</v>
      </c>
      <c r="BB630" s="319" t="s">
        <v>190</v>
      </c>
      <c r="BC630" s="319" t="s">
        <v>190</v>
      </c>
      <c r="BD630" s="319" t="s">
        <v>190</v>
      </c>
      <c r="BE630" s="319" t="s">
        <v>190</v>
      </c>
      <c r="BF630" s="319" t="s">
        <v>190</v>
      </c>
      <c r="BG630" s="319" t="s">
        <v>190</v>
      </c>
      <c r="BH630" s="319" t="s">
        <v>190</v>
      </c>
      <c r="BI630" s="319" t="s">
        <v>190</v>
      </c>
      <c r="BJ630" s="319" t="s">
        <v>190</v>
      </c>
      <c r="BK630" s="319" t="s">
        <v>190</v>
      </c>
      <c r="BL630" s="319" t="s">
        <v>190</v>
      </c>
      <c r="BM630" s="319" t="s">
        <v>190</v>
      </c>
      <c r="BN630" s="319" t="s">
        <v>190</v>
      </c>
      <c r="BO630" s="319" t="s">
        <v>190</v>
      </c>
      <c r="BP630" s="319" t="s">
        <v>190</v>
      </c>
      <c r="BQ630" s="319" t="s">
        <v>190</v>
      </c>
      <c r="BR630" s="319" t="s">
        <v>190</v>
      </c>
      <c r="BS630" s="319" t="s">
        <v>190</v>
      </c>
      <c r="BT630" s="319" t="s">
        <v>190</v>
      </c>
      <c r="BU630" s="319" t="s">
        <v>190</v>
      </c>
      <c r="BV630" s="319" t="s">
        <v>190</v>
      </c>
      <c r="BW630" s="319" t="s">
        <v>190</v>
      </c>
      <c r="BX630" s="319" t="s">
        <v>190</v>
      </c>
      <c r="BY630" s="319" t="s">
        <v>190</v>
      </c>
      <c r="BZ630" s="319" t="s">
        <v>190</v>
      </c>
      <c r="CA630" s="319" t="s">
        <v>190</v>
      </c>
      <c r="CB630" s="319" t="s">
        <v>190</v>
      </c>
      <c r="CC630" s="319" t="s">
        <v>190</v>
      </c>
      <c r="CD630" s="319" t="s">
        <v>190</v>
      </c>
      <c r="CE630" s="319" t="s">
        <v>190</v>
      </c>
      <c r="CF630" s="319" t="s">
        <v>190</v>
      </c>
      <c r="CG630" s="319" t="s">
        <v>190</v>
      </c>
      <c r="CH630" s="319" t="s">
        <v>190</v>
      </c>
      <c r="CI630" s="319" t="s">
        <v>190</v>
      </c>
      <c r="CJ630" s="319" t="s">
        <v>190</v>
      </c>
      <c r="CK630" s="319" t="s">
        <v>191</v>
      </c>
      <c r="CL630" s="319" t="s">
        <v>191</v>
      </c>
      <c r="CM630" s="319" t="s">
        <v>191</v>
      </c>
      <c r="CN630" s="319" t="s">
        <v>428</v>
      </c>
      <c r="CO630" s="319" t="s">
        <v>428</v>
      </c>
      <c r="CP630" s="319" t="s">
        <v>428</v>
      </c>
      <c r="CQ630" s="319" t="s">
        <v>190</v>
      </c>
      <c r="CR630" s="319" t="s">
        <v>190</v>
      </c>
      <c r="CS630" s="319" t="s">
        <v>190</v>
      </c>
      <c r="CT630" s="319" t="s">
        <v>190</v>
      </c>
      <c r="CU630" s="319" t="s">
        <v>190</v>
      </c>
      <c r="CV630" s="319" t="s">
        <v>190</v>
      </c>
      <c r="CW630" s="319" t="s">
        <v>190</v>
      </c>
      <c r="CX630" s="319" t="s">
        <v>190</v>
      </c>
      <c r="CY630" s="319" t="s">
        <v>190</v>
      </c>
      <c r="CZ630" s="319" t="s">
        <v>190</v>
      </c>
      <c r="DA630" s="319" t="s">
        <v>190</v>
      </c>
      <c r="DB630" s="319" t="s">
        <v>190</v>
      </c>
      <c r="DC630" s="319" t="s">
        <v>190</v>
      </c>
      <c r="DD630" s="319" t="s">
        <v>190</v>
      </c>
      <c r="DE630" s="319" t="s">
        <v>190</v>
      </c>
      <c r="DF630" s="319" t="s">
        <v>190</v>
      </c>
      <c r="DG630" s="319" t="s">
        <v>190</v>
      </c>
      <c r="DH630" s="319" t="s">
        <v>190</v>
      </c>
      <c r="DI630" s="319" t="s">
        <v>190</v>
      </c>
      <c r="DJ630" s="319" t="s">
        <v>190</v>
      </c>
      <c r="DK630" s="319" t="s">
        <v>190</v>
      </c>
      <c r="DL630" s="319" t="s">
        <v>190</v>
      </c>
      <c r="DM630" s="319" t="s">
        <v>190</v>
      </c>
      <c r="DN630" s="319" t="s">
        <v>428</v>
      </c>
      <c r="DO630" s="319" t="s">
        <v>428</v>
      </c>
      <c r="DP630" s="319" t="s">
        <v>190</v>
      </c>
      <c r="DQ630" s="319" t="s">
        <v>190</v>
      </c>
      <c r="DR630" s="319" t="s">
        <v>190</v>
      </c>
      <c r="DS630" s="319" t="s">
        <v>190</v>
      </c>
      <c r="DT630" s="319" t="s">
        <v>190</v>
      </c>
      <c r="DU630" s="319" t="s">
        <v>190</v>
      </c>
      <c r="DV630" s="319" t="s">
        <v>173</v>
      </c>
      <c r="DW630" s="319" t="s">
        <v>190</v>
      </c>
      <c r="DX630" s="319" t="s">
        <v>190</v>
      </c>
      <c r="DY630" s="319" t="s">
        <v>190</v>
      </c>
      <c r="DZ630" s="319" t="s">
        <v>190</v>
      </c>
      <c r="EA630" s="319" t="s">
        <v>190</v>
      </c>
      <c r="EB630" s="319" t="s">
        <v>190</v>
      </c>
      <c r="EC630" s="319" t="s">
        <v>190</v>
      </c>
      <c r="ED630" s="319" t="s">
        <v>190</v>
      </c>
      <c r="EE630" s="319" t="s">
        <v>190</v>
      </c>
      <c r="EF630" s="319" t="s">
        <v>190</v>
      </c>
      <c r="EG630" s="319" t="s">
        <v>190</v>
      </c>
      <c r="EH630" s="319" t="s">
        <v>190</v>
      </c>
      <c r="EI630" s="319" t="s">
        <v>190</v>
      </c>
      <c r="EJ630" s="319" t="s">
        <v>190</v>
      </c>
      <c r="EK630" s="319" t="s">
        <v>190</v>
      </c>
      <c r="EL630" s="319" t="s">
        <v>190</v>
      </c>
      <c r="EM630" s="319" t="s">
        <v>190</v>
      </c>
      <c r="EN630" s="319" t="s">
        <v>190</v>
      </c>
      <c r="EO630" s="319" t="s">
        <v>190</v>
      </c>
      <c r="EP630" s="319" t="s">
        <v>190</v>
      </c>
      <c r="EQ630" s="319" t="s">
        <v>190</v>
      </c>
      <c r="ER630" s="319" t="s">
        <v>190</v>
      </c>
      <c r="ES630" s="319" t="s">
        <v>190</v>
      </c>
      <c r="ET630" s="319" t="s">
        <v>190</v>
      </c>
      <c r="EU630" s="319" t="s">
        <v>190</v>
      </c>
      <c r="EV630" s="319" t="s">
        <v>190</v>
      </c>
      <c r="EW630" s="319" t="s">
        <v>190</v>
      </c>
      <c r="EX630" s="319" t="s">
        <v>190</v>
      </c>
      <c r="EY630" s="319" t="s">
        <v>190</v>
      </c>
      <c r="EZ630" s="319" t="s">
        <v>190</v>
      </c>
      <c r="FA630" s="319" t="s">
        <v>190</v>
      </c>
      <c r="FB630" s="319" t="s">
        <v>428</v>
      </c>
      <c r="FC630" s="319" t="s">
        <v>428</v>
      </c>
      <c r="FD630" s="319" t="s">
        <v>428</v>
      </c>
      <c r="FE630" s="319" t="s">
        <v>428</v>
      </c>
      <c r="FF630" s="319" t="s">
        <v>428</v>
      </c>
      <c r="FG630" s="319" t="s">
        <v>428</v>
      </c>
      <c r="FH630" s="319" t="s">
        <v>190</v>
      </c>
      <c r="FI630" s="319" t="s">
        <v>190</v>
      </c>
      <c r="FJ630" s="319" t="s">
        <v>190</v>
      </c>
      <c r="FK630" s="319" t="s">
        <v>190</v>
      </c>
      <c r="FL630" s="319" t="s">
        <v>190</v>
      </c>
      <c r="FM630" s="319" t="s">
        <v>190</v>
      </c>
      <c r="FN630" s="319" t="s">
        <v>190</v>
      </c>
      <c r="FO630" s="319" t="s">
        <v>190</v>
      </c>
      <c r="FP630" s="319" t="s">
        <v>190</v>
      </c>
      <c r="FQ630" s="319" t="s">
        <v>190</v>
      </c>
      <c r="FR630" s="319" t="s">
        <v>190</v>
      </c>
      <c r="FS630" s="319" t="s">
        <v>428</v>
      </c>
      <c r="FT630" s="319" t="s">
        <v>190</v>
      </c>
      <c r="FU630" s="319" t="s">
        <v>190</v>
      </c>
      <c r="FV630" s="319" t="s">
        <v>190</v>
      </c>
      <c r="FW630" s="319" t="s">
        <v>190</v>
      </c>
      <c r="FX630" s="319" t="s">
        <v>190</v>
      </c>
      <c r="FY630" s="319" t="s">
        <v>190</v>
      </c>
      <c r="FZ630" s="319" t="s">
        <v>190</v>
      </c>
      <c r="GA630" s="319" t="s">
        <v>190</v>
      </c>
      <c r="GB630" s="319" t="s">
        <v>190</v>
      </c>
      <c r="GC630" s="319" t="s">
        <v>190</v>
      </c>
      <c r="GD630" s="319" t="s">
        <v>190</v>
      </c>
      <c r="GE630" s="319" t="s">
        <v>190</v>
      </c>
      <c r="GF630" s="319" t="s">
        <v>190</v>
      </c>
      <c r="GG630" s="319" t="s">
        <v>190</v>
      </c>
      <c r="GH630" s="319" t="s">
        <v>190</v>
      </c>
      <c r="GI630" s="319" t="s">
        <v>190</v>
      </c>
      <c r="GJ630" s="319" t="s">
        <v>190</v>
      </c>
      <c r="GK630" s="319" t="s">
        <v>428</v>
      </c>
      <c r="GL630" s="319" t="s">
        <v>191</v>
      </c>
      <c r="GM630" s="319" t="s">
        <v>190</v>
      </c>
      <c r="GN630" s="319" t="s">
        <v>190</v>
      </c>
      <c r="GO630" s="319" t="s">
        <v>190</v>
      </c>
      <c r="GP630" s="319" t="s">
        <v>190</v>
      </c>
      <c r="GQ630" s="319" t="s">
        <v>190</v>
      </c>
      <c r="GR630" s="319" t="s">
        <v>190</v>
      </c>
      <c r="GS630" s="319" t="s">
        <v>190</v>
      </c>
      <c r="GT630" s="319" t="s">
        <v>191</v>
      </c>
      <c r="GU630" s="319" t="s">
        <v>190</v>
      </c>
      <c r="GV630" s="319" t="s">
        <v>190</v>
      </c>
      <c r="GW630" s="319" t="s">
        <v>190</v>
      </c>
      <c r="GX630" s="319" t="s">
        <v>190</v>
      </c>
      <c r="GY630" s="319" t="s">
        <v>190</v>
      </c>
      <c r="GZ630" s="319" t="s">
        <v>190</v>
      </c>
      <c r="HA630" s="319" t="s">
        <v>190</v>
      </c>
      <c r="HB630" s="319" t="s">
        <v>190</v>
      </c>
      <c r="HC630" s="319" t="s">
        <v>190</v>
      </c>
      <c r="HD630" s="319" t="s">
        <v>190</v>
      </c>
      <c r="HE630" s="319" t="s">
        <v>190</v>
      </c>
      <c r="HF630" s="319" t="s">
        <v>190</v>
      </c>
      <c r="HG630" s="319" t="s">
        <v>190</v>
      </c>
      <c r="HH630" s="319" t="s">
        <v>190</v>
      </c>
      <c r="HI630" s="319" t="s">
        <v>428</v>
      </c>
      <c r="HJ630" s="319" t="s">
        <v>190</v>
      </c>
      <c r="HK630" s="319" t="s">
        <v>190</v>
      </c>
      <c r="HL630" s="319" t="s">
        <v>190</v>
      </c>
      <c r="HM630" s="319" t="s">
        <v>428</v>
      </c>
      <c r="HN630" s="319" t="s">
        <v>428</v>
      </c>
      <c r="HO630" s="319" t="s">
        <v>428</v>
      </c>
      <c r="HP630" s="319" t="s">
        <v>190</v>
      </c>
      <c r="HQ630" s="319" t="s">
        <v>190</v>
      </c>
      <c r="HR630" s="319" t="s">
        <v>190</v>
      </c>
      <c r="HS630" s="319" t="s">
        <v>190</v>
      </c>
      <c r="HT630" s="319" t="s">
        <v>190</v>
      </c>
      <c r="HU630" s="319" t="s">
        <v>190</v>
      </c>
      <c r="HV630" s="319" t="s">
        <v>190</v>
      </c>
      <c r="HW630" s="319" t="s">
        <v>190</v>
      </c>
      <c r="HX630" s="319" t="s">
        <v>190</v>
      </c>
      <c r="HY630" s="319" t="s">
        <v>190</v>
      </c>
      <c r="HZ630" s="319" t="s">
        <v>190</v>
      </c>
      <c r="IA630" s="319" t="s">
        <v>190</v>
      </c>
      <c r="IB630" s="319" t="s">
        <v>190</v>
      </c>
      <c r="IC630" s="319" t="s">
        <v>190</v>
      </c>
      <c r="ID630" s="319" t="s">
        <v>190</v>
      </c>
      <c r="IE630" s="319" t="s">
        <v>190</v>
      </c>
      <c r="IF630" s="319" t="s">
        <v>191</v>
      </c>
      <c r="IG630" s="319" t="s">
        <v>191</v>
      </c>
      <c r="IH630" s="319" t="s">
        <v>191</v>
      </c>
      <c r="II630" s="319" t="s">
        <v>191</v>
      </c>
      <c r="IJ630" s="319" t="s">
        <v>3388</v>
      </c>
      <c r="IK630" s="321">
        <v>41913</v>
      </c>
      <c r="IL630" s="321">
        <v>41915</v>
      </c>
      <c r="IM630" s="321">
        <v>41953</v>
      </c>
      <c r="IN630" s="319">
        <v>3</v>
      </c>
      <c r="IO630" s="319">
        <v>10102413</v>
      </c>
      <c r="IP630" s="319" t="s">
        <v>985</v>
      </c>
      <c r="IQ630" s="321">
        <v>43650</v>
      </c>
      <c r="IR630" s="320" t="s">
        <v>1223</v>
      </c>
      <c r="IS630" s="322">
        <v>43727</v>
      </c>
      <c r="IT630" s="319" t="s">
        <v>166</v>
      </c>
    </row>
    <row r="631" spans="1:254" s="271" customFormat="1" x14ac:dyDescent="0.25">
      <c r="A631" s="318" t="str">
        <f>HYPERLINK("http://www.ofsted.gov.uk/inspection-reports/find-inspection-report/provider/ELS/136262 ","Ofsted School Webpage")</f>
        <v>Ofsted School Webpage</v>
      </c>
      <c r="B631" s="319">
        <v>136262</v>
      </c>
      <c r="C631" s="319">
        <v>8856040</v>
      </c>
      <c r="D631" s="319" t="s">
        <v>2093</v>
      </c>
      <c r="E631" s="319" t="s">
        <v>168</v>
      </c>
      <c r="F631" s="319" t="s">
        <v>81</v>
      </c>
      <c r="G631" s="319" t="s">
        <v>81</v>
      </c>
      <c r="H631" s="319" t="s">
        <v>81</v>
      </c>
      <c r="I631" s="319" t="s">
        <v>78</v>
      </c>
      <c r="J631" s="319" t="s">
        <v>424</v>
      </c>
      <c r="K631" s="319" t="s">
        <v>437</v>
      </c>
      <c r="L631" s="319" t="s">
        <v>437</v>
      </c>
      <c r="M631" s="319" t="s">
        <v>483</v>
      </c>
      <c r="N631" s="319" t="s">
        <v>2962</v>
      </c>
      <c r="O631" s="319" t="s">
        <v>2094</v>
      </c>
      <c r="P631" s="319">
        <v>79</v>
      </c>
      <c r="Q631" s="319" t="s">
        <v>429</v>
      </c>
      <c r="R631" s="320">
        <v>10038845</v>
      </c>
      <c r="S631" s="321">
        <v>43221</v>
      </c>
      <c r="T631" s="321">
        <v>43223</v>
      </c>
      <c r="U631" s="321">
        <v>43245</v>
      </c>
      <c r="V631" s="319" t="s">
        <v>425</v>
      </c>
      <c r="W631" s="319" t="s">
        <v>2767</v>
      </c>
      <c r="X631" s="319">
        <v>2</v>
      </c>
      <c r="Y631" s="319" t="s">
        <v>173</v>
      </c>
      <c r="Z631" s="319" t="s">
        <v>173</v>
      </c>
      <c r="AA631" s="319" t="s">
        <v>173</v>
      </c>
      <c r="AB631" s="319">
        <v>2</v>
      </c>
      <c r="AC631" s="319" t="s">
        <v>169</v>
      </c>
      <c r="AD631" s="319" t="s">
        <v>173</v>
      </c>
      <c r="AE631" s="319">
        <v>2</v>
      </c>
      <c r="AF631" s="319" t="s">
        <v>427</v>
      </c>
      <c r="AG631" s="319" t="s">
        <v>171</v>
      </c>
      <c r="AH631" s="319" t="s">
        <v>190</v>
      </c>
      <c r="AI631" s="319" t="s">
        <v>190</v>
      </c>
      <c r="AJ631" s="319" t="s">
        <v>190</v>
      </c>
      <c r="AK631" s="319" t="s">
        <v>190</v>
      </c>
      <c r="AL631" s="319" t="s">
        <v>190</v>
      </c>
      <c r="AM631" s="319" t="s">
        <v>190</v>
      </c>
      <c r="AN631" s="319" t="s">
        <v>190</v>
      </c>
      <c r="AO631" s="319" t="s">
        <v>190</v>
      </c>
      <c r="AP631" s="319" t="s">
        <v>190</v>
      </c>
      <c r="AQ631" s="319" t="s">
        <v>190</v>
      </c>
      <c r="AR631" s="319" t="s">
        <v>190</v>
      </c>
      <c r="AS631" s="319" t="s">
        <v>190</v>
      </c>
      <c r="AT631" s="319" t="s">
        <v>190</v>
      </c>
      <c r="AU631" s="319" t="s">
        <v>190</v>
      </c>
      <c r="AV631" s="319" t="s">
        <v>190</v>
      </c>
      <c r="AW631" s="319" t="s">
        <v>190</v>
      </c>
      <c r="AX631" s="319" t="s">
        <v>428</v>
      </c>
      <c r="AY631" s="319" t="s">
        <v>190</v>
      </c>
      <c r="AZ631" s="319" t="s">
        <v>190</v>
      </c>
      <c r="BA631" s="319" t="s">
        <v>190</v>
      </c>
      <c r="BB631" s="319" t="s">
        <v>190</v>
      </c>
      <c r="BC631" s="319" t="s">
        <v>190</v>
      </c>
      <c r="BD631" s="319" t="s">
        <v>190</v>
      </c>
      <c r="BE631" s="319" t="s">
        <v>190</v>
      </c>
      <c r="BF631" s="319" t="s">
        <v>428</v>
      </c>
      <c r="BG631" s="319" t="s">
        <v>190</v>
      </c>
      <c r="BH631" s="319" t="s">
        <v>190</v>
      </c>
      <c r="BI631" s="319" t="s">
        <v>190</v>
      </c>
      <c r="BJ631" s="319" t="s">
        <v>190</v>
      </c>
      <c r="BK631" s="319" t="s">
        <v>190</v>
      </c>
      <c r="BL631" s="319" t="s">
        <v>190</v>
      </c>
      <c r="BM631" s="319" t="s">
        <v>190</v>
      </c>
      <c r="BN631" s="319" t="s">
        <v>190</v>
      </c>
      <c r="BO631" s="319" t="s">
        <v>190</v>
      </c>
      <c r="BP631" s="319" t="s">
        <v>190</v>
      </c>
      <c r="BQ631" s="319" t="s">
        <v>190</v>
      </c>
      <c r="BR631" s="319" t="s">
        <v>190</v>
      </c>
      <c r="BS631" s="319" t="s">
        <v>190</v>
      </c>
      <c r="BT631" s="319" t="s">
        <v>190</v>
      </c>
      <c r="BU631" s="319" t="s">
        <v>190</v>
      </c>
      <c r="BV631" s="319" t="s">
        <v>190</v>
      </c>
      <c r="BW631" s="319" t="s">
        <v>190</v>
      </c>
      <c r="BX631" s="319" t="s">
        <v>190</v>
      </c>
      <c r="BY631" s="319" t="s">
        <v>190</v>
      </c>
      <c r="BZ631" s="319" t="s">
        <v>190</v>
      </c>
      <c r="CA631" s="319" t="s">
        <v>190</v>
      </c>
      <c r="CB631" s="319" t="s">
        <v>190</v>
      </c>
      <c r="CC631" s="319" t="s">
        <v>190</v>
      </c>
      <c r="CD631" s="319" t="s">
        <v>190</v>
      </c>
      <c r="CE631" s="319" t="s">
        <v>190</v>
      </c>
      <c r="CF631" s="319" t="s">
        <v>190</v>
      </c>
      <c r="CG631" s="319" t="s">
        <v>190</v>
      </c>
      <c r="CH631" s="319" t="s">
        <v>190</v>
      </c>
      <c r="CI631" s="319" t="s">
        <v>190</v>
      </c>
      <c r="CJ631" s="319" t="s">
        <v>190</v>
      </c>
      <c r="CK631" s="319" t="s">
        <v>190</v>
      </c>
      <c r="CL631" s="319" t="s">
        <v>190</v>
      </c>
      <c r="CM631" s="319" t="s">
        <v>190</v>
      </c>
      <c r="CN631" s="319" t="s">
        <v>428</v>
      </c>
      <c r="CO631" s="319" t="s">
        <v>428</v>
      </c>
      <c r="CP631" s="319" t="s">
        <v>428</v>
      </c>
      <c r="CQ631" s="319" t="s">
        <v>190</v>
      </c>
      <c r="CR631" s="319" t="s">
        <v>190</v>
      </c>
      <c r="CS631" s="319" t="s">
        <v>190</v>
      </c>
      <c r="CT631" s="319" t="s">
        <v>190</v>
      </c>
      <c r="CU631" s="319" t="s">
        <v>190</v>
      </c>
      <c r="CV631" s="319" t="s">
        <v>190</v>
      </c>
      <c r="CW631" s="319" t="s">
        <v>190</v>
      </c>
      <c r="CX631" s="319" t="s">
        <v>190</v>
      </c>
      <c r="CY631" s="319" t="s">
        <v>190</v>
      </c>
      <c r="CZ631" s="319" t="s">
        <v>190</v>
      </c>
      <c r="DA631" s="319" t="s">
        <v>190</v>
      </c>
      <c r="DB631" s="319" t="s">
        <v>190</v>
      </c>
      <c r="DC631" s="319" t="s">
        <v>190</v>
      </c>
      <c r="DD631" s="319" t="s">
        <v>190</v>
      </c>
      <c r="DE631" s="319" t="s">
        <v>190</v>
      </c>
      <c r="DF631" s="319" t="s">
        <v>190</v>
      </c>
      <c r="DG631" s="319" t="s">
        <v>190</v>
      </c>
      <c r="DH631" s="319" t="s">
        <v>190</v>
      </c>
      <c r="DI631" s="319" t="s">
        <v>190</v>
      </c>
      <c r="DJ631" s="319" t="s">
        <v>190</v>
      </c>
      <c r="DK631" s="319" t="s">
        <v>190</v>
      </c>
      <c r="DL631" s="319" t="s">
        <v>190</v>
      </c>
      <c r="DM631" s="319" t="s">
        <v>190</v>
      </c>
      <c r="DN631" s="319" t="s">
        <v>190</v>
      </c>
      <c r="DO631" s="319" t="s">
        <v>190</v>
      </c>
      <c r="DP631" s="319" t="s">
        <v>190</v>
      </c>
      <c r="DQ631" s="319" t="s">
        <v>190</v>
      </c>
      <c r="DR631" s="319" t="s">
        <v>190</v>
      </c>
      <c r="DS631" s="319" t="s">
        <v>190</v>
      </c>
      <c r="DT631" s="319" t="s">
        <v>190</v>
      </c>
      <c r="DU631" s="319" t="s">
        <v>190</v>
      </c>
      <c r="DV631" s="319" t="s">
        <v>173</v>
      </c>
      <c r="DW631" s="319" t="s">
        <v>190</v>
      </c>
      <c r="DX631" s="319" t="s">
        <v>190</v>
      </c>
      <c r="DY631" s="319" t="s">
        <v>190</v>
      </c>
      <c r="DZ631" s="319" t="s">
        <v>190</v>
      </c>
      <c r="EA631" s="319" t="s">
        <v>190</v>
      </c>
      <c r="EB631" s="319" t="s">
        <v>190</v>
      </c>
      <c r="EC631" s="319" t="s">
        <v>190</v>
      </c>
      <c r="ED631" s="319" t="s">
        <v>190</v>
      </c>
      <c r="EE631" s="319" t="s">
        <v>190</v>
      </c>
      <c r="EF631" s="319" t="s">
        <v>190</v>
      </c>
      <c r="EG631" s="319" t="s">
        <v>190</v>
      </c>
      <c r="EH631" s="319" t="s">
        <v>190</v>
      </c>
      <c r="EI631" s="319" t="s">
        <v>190</v>
      </c>
      <c r="EJ631" s="319" t="s">
        <v>190</v>
      </c>
      <c r="EK631" s="319" t="s">
        <v>190</v>
      </c>
      <c r="EL631" s="319" t="s">
        <v>190</v>
      </c>
      <c r="EM631" s="319" t="s">
        <v>190</v>
      </c>
      <c r="EN631" s="319" t="s">
        <v>190</v>
      </c>
      <c r="EO631" s="319" t="s">
        <v>190</v>
      </c>
      <c r="EP631" s="319" t="s">
        <v>190</v>
      </c>
      <c r="EQ631" s="319" t="s">
        <v>190</v>
      </c>
      <c r="ER631" s="319" t="s">
        <v>190</v>
      </c>
      <c r="ES631" s="319" t="s">
        <v>190</v>
      </c>
      <c r="ET631" s="319" t="s">
        <v>190</v>
      </c>
      <c r="EU631" s="319" t="s">
        <v>190</v>
      </c>
      <c r="EV631" s="319" t="s">
        <v>190</v>
      </c>
      <c r="EW631" s="319" t="s">
        <v>190</v>
      </c>
      <c r="EX631" s="319" t="s">
        <v>190</v>
      </c>
      <c r="EY631" s="319" t="s">
        <v>190</v>
      </c>
      <c r="EZ631" s="319" t="s">
        <v>190</v>
      </c>
      <c r="FA631" s="319" t="s">
        <v>190</v>
      </c>
      <c r="FB631" s="319" t="s">
        <v>190</v>
      </c>
      <c r="FC631" s="319" t="s">
        <v>190</v>
      </c>
      <c r="FD631" s="319" t="s">
        <v>190</v>
      </c>
      <c r="FE631" s="319" t="s">
        <v>190</v>
      </c>
      <c r="FF631" s="319" t="s">
        <v>190</v>
      </c>
      <c r="FG631" s="319" t="s">
        <v>190</v>
      </c>
      <c r="FH631" s="319" t="s">
        <v>190</v>
      </c>
      <c r="FI631" s="319" t="s">
        <v>190</v>
      </c>
      <c r="FJ631" s="319" t="s">
        <v>190</v>
      </c>
      <c r="FK631" s="319" t="s">
        <v>190</v>
      </c>
      <c r="FL631" s="319" t="s">
        <v>190</v>
      </c>
      <c r="FM631" s="319" t="s">
        <v>190</v>
      </c>
      <c r="FN631" s="319" t="s">
        <v>190</v>
      </c>
      <c r="FO631" s="319" t="s">
        <v>190</v>
      </c>
      <c r="FP631" s="319" t="s">
        <v>190</v>
      </c>
      <c r="FQ631" s="319" t="s">
        <v>190</v>
      </c>
      <c r="FR631" s="319" t="s">
        <v>190</v>
      </c>
      <c r="FS631" s="319" t="s">
        <v>428</v>
      </c>
      <c r="FT631" s="319" t="s">
        <v>190</v>
      </c>
      <c r="FU631" s="319" t="s">
        <v>190</v>
      </c>
      <c r="FV631" s="319" t="s">
        <v>190</v>
      </c>
      <c r="FW631" s="319" t="s">
        <v>190</v>
      </c>
      <c r="FX631" s="319" t="s">
        <v>190</v>
      </c>
      <c r="FY631" s="319" t="s">
        <v>190</v>
      </c>
      <c r="FZ631" s="319" t="s">
        <v>190</v>
      </c>
      <c r="GA631" s="319" t="s">
        <v>190</v>
      </c>
      <c r="GB631" s="319" t="s">
        <v>190</v>
      </c>
      <c r="GC631" s="319" t="s">
        <v>190</v>
      </c>
      <c r="GD631" s="319" t="s">
        <v>190</v>
      </c>
      <c r="GE631" s="319" t="s">
        <v>190</v>
      </c>
      <c r="GF631" s="319" t="s">
        <v>190</v>
      </c>
      <c r="GG631" s="319" t="s">
        <v>190</v>
      </c>
      <c r="GH631" s="319" t="s">
        <v>190</v>
      </c>
      <c r="GI631" s="319" t="s">
        <v>190</v>
      </c>
      <c r="GJ631" s="319" t="s">
        <v>190</v>
      </c>
      <c r="GK631" s="319" t="s">
        <v>428</v>
      </c>
      <c r="GL631" s="319" t="s">
        <v>190</v>
      </c>
      <c r="GM631" s="319" t="s">
        <v>190</v>
      </c>
      <c r="GN631" s="319" t="s">
        <v>190</v>
      </c>
      <c r="GO631" s="319" t="s">
        <v>190</v>
      </c>
      <c r="GP631" s="319" t="s">
        <v>190</v>
      </c>
      <c r="GQ631" s="319" t="s">
        <v>428</v>
      </c>
      <c r="GR631" s="319" t="s">
        <v>190</v>
      </c>
      <c r="GS631" s="319" t="s">
        <v>190</v>
      </c>
      <c r="GT631" s="319" t="s">
        <v>190</v>
      </c>
      <c r="GU631" s="319" t="s">
        <v>190</v>
      </c>
      <c r="GV631" s="319" t="s">
        <v>190</v>
      </c>
      <c r="GW631" s="319" t="s">
        <v>190</v>
      </c>
      <c r="GX631" s="319" t="s">
        <v>190</v>
      </c>
      <c r="GY631" s="319" t="s">
        <v>190</v>
      </c>
      <c r="GZ631" s="319" t="s">
        <v>190</v>
      </c>
      <c r="HA631" s="319" t="s">
        <v>190</v>
      </c>
      <c r="HB631" s="319" t="s">
        <v>190</v>
      </c>
      <c r="HC631" s="319" t="s">
        <v>190</v>
      </c>
      <c r="HD631" s="319" t="s">
        <v>190</v>
      </c>
      <c r="HE631" s="319" t="s">
        <v>190</v>
      </c>
      <c r="HF631" s="319" t="s">
        <v>190</v>
      </c>
      <c r="HG631" s="319" t="s">
        <v>190</v>
      </c>
      <c r="HH631" s="319" t="s">
        <v>190</v>
      </c>
      <c r="HI631" s="319" t="s">
        <v>190</v>
      </c>
      <c r="HJ631" s="319" t="s">
        <v>190</v>
      </c>
      <c r="HK631" s="319" t="s">
        <v>190</v>
      </c>
      <c r="HL631" s="319" t="s">
        <v>190</v>
      </c>
      <c r="HM631" s="319" t="s">
        <v>428</v>
      </c>
      <c r="HN631" s="319" t="s">
        <v>428</v>
      </c>
      <c r="HO631" s="319" t="s">
        <v>428</v>
      </c>
      <c r="HP631" s="319" t="s">
        <v>190</v>
      </c>
      <c r="HQ631" s="319" t="s">
        <v>190</v>
      </c>
      <c r="HR631" s="319" t="s">
        <v>190</v>
      </c>
      <c r="HS631" s="319" t="s">
        <v>190</v>
      </c>
      <c r="HT631" s="319" t="s">
        <v>190</v>
      </c>
      <c r="HU631" s="319" t="s">
        <v>190</v>
      </c>
      <c r="HV631" s="319" t="s">
        <v>190</v>
      </c>
      <c r="HW631" s="319" t="s">
        <v>190</v>
      </c>
      <c r="HX631" s="319" t="s">
        <v>190</v>
      </c>
      <c r="HY631" s="319" t="s">
        <v>190</v>
      </c>
      <c r="HZ631" s="319" t="s">
        <v>190</v>
      </c>
      <c r="IA631" s="319" t="s">
        <v>190</v>
      </c>
      <c r="IB631" s="319" t="s">
        <v>190</v>
      </c>
      <c r="IC631" s="319" t="s">
        <v>190</v>
      </c>
      <c r="ID631" s="319" t="s">
        <v>190</v>
      </c>
      <c r="IE631" s="319" t="s">
        <v>190</v>
      </c>
      <c r="IF631" s="319" t="s">
        <v>190</v>
      </c>
      <c r="IG631" s="319" t="s">
        <v>190</v>
      </c>
      <c r="IH631" s="319" t="s">
        <v>190</v>
      </c>
      <c r="II631" s="319" t="s">
        <v>190</v>
      </c>
      <c r="IJ631" s="319" t="s">
        <v>3389</v>
      </c>
      <c r="IK631" s="321">
        <v>41912</v>
      </c>
      <c r="IL631" s="321">
        <v>41914</v>
      </c>
      <c r="IM631" s="321">
        <v>41954</v>
      </c>
      <c r="IN631" s="319">
        <v>3</v>
      </c>
      <c r="IO631" s="319" t="s">
        <v>173</v>
      </c>
      <c r="IP631" s="319" t="s">
        <v>173</v>
      </c>
      <c r="IQ631" s="321" t="s">
        <v>173</v>
      </c>
      <c r="IR631" s="320" t="s">
        <v>173</v>
      </c>
      <c r="IS631" s="322" t="s">
        <v>173</v>
      </c>
      <c r="IT631" s="319" t="s">
        <v>173</v>
      </c>
    </row>
    <row r="632" spans="1:254" s="271" customFormat="1" x14ac:dyDescent="0.25">
      <c r="A632" s="318" t="str">
        <f>HYPERLINK("http://www.ofsted.gov.uk/inspection-reports/find-inspection-report/provider/ELS/136263 ","Ofsted School Webpage")</f>
        <v>Ofsted School Webpage</v>
      </c>
      <c r="B632" s="319">
        <v>136263</v>
      </c>
      <c r="C632" s="319">
        <v>3026201</v>
      </c>
      <c r="D632" s="319" t="s">
        <v>2095</v>
      </c>
      <c r="E632" s="319" t="s">
        <v>168</v>
      </c>
      <c r="F632" s="319" t="s">
        <v>81</v>
      </c>
      <c r="G632" s="319" t="s">
        <v>81</v>
      </c>
      <c r="H632" s="319" t="s">
        <v>81</v>
      </c>
      <c r="I632" s="319" t="s">
        <v>78</v>
      </c>
      <c r="J632" s="319" t="s">
        <v>424</v>
      </c>
      <c r="K632" s="319" t="s">
        <v>441</v>
      </c>
      <c r="L632" s="319" t="s">
        <v>441</v>
      </c>
      <c r="M632" s="319" t="s">
        <v>544</v>
      </c>
      <c r="N632" s="319" t="s">
        <v>3390</v>
      </c>
      <c r="O632" s="319" t="s">
        <v>2096</v>
      </c>
      <c r="P632" s="319">
        <v>40</v>
      </c>
      <c r="Q632" s="319" t="s">
        <v>429</v>
      </c>
      <c r="R632" s="320">
        <v>10041401</v>
      </c>
      <c r="S632" s="321">
        <v>43123</v>
      </c>
      <c r="T632" s="321">
        <v>43125</v>
      </c>
      <c r="U632" s="321">
        <v>43145</v>
      </c>
      <c r="V632" s="319" t="s">
        <v>425</v>
      </c>
      <c r="W632" s="319" t="s">
        <v>2767</v>
      </c>
      <c r="X632" s="319">
        <v>2</v>
      </c>
      <c r="Y632" s="319" t="s">
        <v>173</v>
      </c>
      <c r="Z632" s="319" t="s">
        <v>173</v>
      </c>
      <c r="AA632" s="319" t="s">
        <v>173</v>
      </c>
      <c r="AB632" s="319">
        <v>1</v>
      </c>
      <c r="AC632" s="319" t="s">
        <v>169</v>
      </c>
      <c r="AD632" s="319" t="s">
        <v>173</v>
      </c>
      <c r="AE632" s="319">
        <v>1</v>
      </c>
      <c r="AF632" s="319" t="s">
        <v>427</v>
      </c>
      <c r="AG632" s="319" t="s">
        <v>171</v>
      </c>
      <c r="AH632" s="319" t="s">
        <v>190</v>
      </c>
      <c r="AI632" s="319" t="s">
        <v>190</v>
      </c>
      <c r="AJ632" s="319" t="s">
        <v>190</v>
      </c>
      <c r="AK632" s="319" t="s">
        <v>190</v>
      </c>
      <c r="AL632" s="319" t="s">
        <v>190</v>
      </c>
      <c r="AM632" s="319" t="s">
        <v>190</v>
      </c>
      <c r="AN632" s="319" t="s">
        <v>190</v>
      </c>
      <c r="AO632" s="319" t="s">
        <v>190</v>
      </c>
      <c r="AP632" s="319" t="s">
        <v>190</v>
      </c>
      <c r="AQ632" s="319" t="s">
        <v>190</v>
      </c>
      <c r="AR632" s="319" t="s">
        <v>190</v>
      </c>
      <c r="AS632" s="319" t="s">
        <v>190</v>
      </c>
      <c r="AT632" s="319" t="s">
        <v>190</v>
      </c>
      <c r="AU632" s="319" t="s">
        <v>190</v>
      </c>
      <c r="AV632" s="319" t="s">
        <v>190</v>
      </c>
      <c r="AW632" s="319" t="s">
        <v>190</v>
      </c>
      <c r="AX632" s="319" t="s">
        <v>428</v>
      </c>
      <c r="AY632" s="319" t="s">
        <v>190</v>
      </c>
      <c r="AZ632" s="319" t="s">
        <v>190</v>
      </c>
      <c r="BA632" s="319" t="s">
        <v>190</v>
      </c>
      <c r="BB632" s="319" t="s">
        <v>190</v>
      </c>
      <c r="BC632" s="319" t="s">
        <v>190</v>
      </c>
      <c r="BD632" s="319" t="s">
        <v>190</v>
      </c>
      <c r="BE632" s="319" t="s">
        <v>190</v>
      </c>
      <c r="BF632" s="319" t="s">
        <v>428</v>
      </c>
      <c r="BG632" s="319" t="s">
        <v>190</v>
      </c>
      <c r="BH632" s="319" t="s">
        <v>190</v>
      </c>
      <c r="BI632" s="319" t="s">
        <v>190</v>
      </c>
      <c r="BJ632" s="319" t="s">
        <v>190</v>
      </c>
      <c r="BK632" s="319" t="s">
        <v>190</v>
      </c>
      <c r="BL632" s="319" t="s">
        <v>190</v>
      </c>
      <c r="BM632" s="319" t="s">
        <v>190</v>
      </c>
      <c r="BN632" s="319" t="s">
        <v>190</v>
      </c>
      <c r="BO632" s="319" t="s">
        <v>190</v>
      </c>
      <c r="BP632" s="319" t="s">
        <v>190</v>
      </c>
      <c r="BQ632" s="319" t="s">
        <v>190</v>
      </c>
      <c r="BR632" s="319" t="s">
        <v>190</v>
      </c>
      <c r="BS632" s="319" t="s">
        <v>190</v>
      </c>
      <c r="BT632" s="319" t="s">
        <v>190</v>
      </c>
      <c r="BU632" s="319" t="s">
        <v>190</v>
      </c>
      <c r="BV632" s="319" t="s">
        <v>190</v>
      </c>
      <c r="BW632" s="319" t="s">
        <v>190</v>
      </c>
      <c r="BX632" s="319" t="s">
        <v>190</v>
      </c>
      <c r="BY632" s="319" t="s">
        <v>190</v>
      </c>
      <c r="BZ632" s="319" t="s">
        <v>190</v>
      </c>
      <c r="CA632" s="319" t="s">
        <v>190</v>
      </c>
      <c r="CB632" s="319" t="s">
        <v>190</v>
      </c>
      <c r="CC632" s="319" t="s">
        <v>190</v>
      </c>
      <c r="CD632" s="319" t="s">
        <v>190</v>
      </c>
      <c r="CE632" s="319" t="s">
        <v>190</v>
      </c>
      <c r="CF632" s="319" t="s">
        <v>190</v>
      </c>
      <c r="CG632" s="319" t="s">
        <v>190</v>
      </c>
      <c r="CH632" s="319" t="s">
        <v>190</v>
      </c>
      <c r="CI632" s="319" t="s">
        <v>190</v>
      </c>
      <c r="CJ632" s="319" t="s">
        <v>190</v>
      </c>
      <c r="CK632" s="319" t="s">
        <v>190</v>
      </c>
      <c r="CL632" s="319" t="s">
        <v>190</v>
      </c>
      <c r="CM632" s="319" t="s">
        <v>190</v>
      </c>
      <c r="CN632" s="319" t="s">
        <v>428</v>
      </c>
      <c r="CO632" s="319" t="s">
        <v>428</v>
      </c>
      <c r="CP632" s="319" t="s">
        <v>428</v>
      </c>
      <c r="CQ632" s="319" t="s">
        <v>190</v>
      </c>
      <c r="CR632" s="319" t="s">
        <v>190</v>
      </c>
      <c r="CS632" s="319" t="s">
        <v>190</v>
      </c>
      <c r="CT632" s="319" t="s">
        <v>190</v>
      </c>
      <c r="CU632" s="319" t="s">
        <v>190</v>
      </c>
      <c r="CV632" s="319" t="s">
        <v>190</v>
      </c>
      <c r="CW632" s="319" t="s">
        <v>190</v>
      </c>
      <c r="CX632" s="319" t="s">
        <v>190</v>
      </c>
      <c r="CY632" s="319" t="s">
        <v>190</v>
      </c>
      <c r="CZ632" s="319" t="s">
        <v>190</v>
      </c>
      <c r="DA632" s="319" t="s">
        <v>190</v>
      </c>
      <c r="DB632" s="319" t="s">
        <v>190</v>
      </c>
      <c r="DC632" s="319" t="s">
        <v>190</v>
      </c>
      <c r="DD632" s="319" t="s">
        <v>190</v>
      </c>
      <c r="DE632" s="319" t="s">
        <v>190</v>
      </c>
      <c r="DF632" s="319" t="s">
        <v>190</v>
      </c>
      <c r="DG632" s="319" t="s">
        <v>190</v>
      </c>
      <c r="DH632" s="319" t="s">
        <v>190</v>
      </c>
      <c r="DI632" s="319" t="s">
        <v>190</v>
      </c>
      <c r="DJ632" s="319" t="s">
        <v>190</v>
      </c>
      <c r="DK632" s="319" t="s">
        <v>190</v>
      </c>
      <c r="DL632" s="319" t="s">
        <v>190</v>
      </c>
      <c r="DM632" s="319" t="s">
        <v>190</v>
      </c>
      <c r="DN632" s="319" t="s">
        <v>428</v>
      </c>
      <c r="DO632" s="319" t="s">
        <v>190</v>
      </c>
      <c r="DP632" s="319" t="s">
        <v>190</v>
      </c>
      <c r="DQ632" s="319" t="s">
        <v>190</v>
      </c>
      <c r="DR632" s="319" t="s">
        <v>190</v>
      </c>
      <c r="DS632" s="319" t="s">
        <v>190</v>
      </c>
      <c r="DT632" s="319" t="s">
        <v>190</v>
      </c>
      <c r="DU632" s="319" t="s">
        <v>190</v>
      </c>
      <c r="DV632" s="319" t="s">
        <v>173</v>
      </c>
      <c r="DW632" s="319" t="s">
        <v>190</v>
      </c>
      <c r="DX632" s="319" t="s">
        <v>190</v>
      </c>
      <c r="DY632" s="319" t="s">
        <v>190</v>
      </c>
      <c r="DZ632" s="319" t="s">
        <v>190</v>
      </c>
      <c r="EA632" s="319" t="s">
        <v>190</v>
      </c>
      <c r="EB632" s="319" t="s">
        <v>190</v>
      </c>
      <c r="EC632" s="319" t="s">
        <v>428</v>
      </c>
      <c r="ED632" s="319" t="s">
        <v>190</v>
      </c>
      <c r="EE632" s="319" t="s">
        <v>190</v>
      </c>
      <c r="EF632" s="319" t="s">
        <v>190</v>
      </c>
      <c r="EG632" s="319" t="s">
        <v>190</v>
      </c>
      <c r="EH632" s="319" t="s">
        <v>190</v>
      </c>
      <c r="EI632" s="319" t="s">
        <v>190</v>
      </c>
      <c r="EJ632" s="319" t="s">
        <v>190</v>
      </c>
      <c r="EK632" s="319" t="s">
        <v>190</v>
      </c>
      <c r="EL632" s="319" t="s">
        <v>190</v>
      </c>
      <c r="EM632" s="319" t="s">
        <v>190</v>
      </c>
      <c r="EN632" s="319" t="s">
        <v>190</v>
      </c>
      <c r="EO632" s="319" t="s">
        <v>190</v>
      </c>
      <c r="EP632" s="319" t="s">
        <v>190</v>
      </c>
      <c r="EQ632" s="319" t="s">
        <v>190</v>
      </c>
      <c r="ER632" s="319" t="s">
        <v>190</v>
      </c>
      <c r="ES632" s="319" t="s">
        <v>190</v>
      </c>
      <c r="ET632" s="319" t="s">
        <v>190</v>
      </c>
      <c r="EU632" s="319" t="s">
        <v>190</v>
      </c>
      <c r="EV632" s="319" t="s">
        <v>190</v>
      </c>
      <c r="EW632" s="319" t="s">
        <v>190</v>
      </c>
      <c r="EX632" s="319" t="s">
        <v>190</v>
      </c>
      <c r="EY632" s="319" t="s">
        <v>190</v>
      </c>
      <c r="EZ632" s="319" t="s">
        <v>190</v>
      </c>
      <c r="FA632" s="319" t="s">
        <v>190</v>
      </c>
      <c r="FB632" s="319" t="s">
        <v>190</v>
      </c>
      <c r="FC632" s="319" t="s">
        <v>190</v>
      </c>
      <c r="FD632" s="319" t="s">
        <v>190</v>
      </c>
      <c r="FE632" s="319" t="s">
        <v>190</v>
      </c>
      <c r="FF632" s="319" t="s">
        <v>190</v>
      </c>
      <c r="FG632" s="319" t="s">
        <v>190</v>
      </c>
      <c r="FH632" s="319" t="s">
        <v>190</v>
      </c>
      <c r="FI632" s="319" t="s">
        <v>190</v>
      </c>
      <c r="FJ632" s="319" t="s">
        <v>190</v>
      </c>
      <c r="FK632" s="319" t="s">
        <v>190</v>
      </c>
      <c r="FL632" s="319" t="s">
        <v>190</v>
      </c>
      <c r="FM632" s="319" t="s">
        <v>190</v>
      </c>
      <c r="FN632" s="319" t="s">
        <v>190</v>
      </c>
      <c r="FO632" s="319" t="s">
        <v>190</v>
      </c>
      <c r="FP632" s="319" t="s">
        <v>190</v>
      </c>
      <c r="FQ632" s="319" t="s">
        <v>190</v>
      </c>
      <c r="FR632" s="319" t="s">
        <v>190</v>
      </c>
      <c r="FS632" s="319" t="s">
        <v>428</v>
      </c>
      <c r="FT632" s="319" t="s">
        <v>190</v>
      </c>
      <c r="FU632" s="319" t="s">
        <v>190</v>
      </c>
      <c r="FV632" s="319" t="s">
        <v>190</v>
      </c>
      <c r="FW632" s="319" t="s">
        <v>190</v>
      </c>
      <c r="FX632" s="319" t="s">
        <v>190</v>
      </c>
      <c r="FY632" s="319" t="s">
        <v>190</v>
      </c>
      <c r="FZ632" s="319" t="s">
        <v>190</v>
      </c>
      <c r="GA632" s="319" t="s">
        <v>190</v>
      </c>
      <c r="GB632" s="319" t="s">
        <v>190</v>
      </c>
      <c r="GC632" s="319" t="s">
        <v>190</v>
      </c>
      <c r="GD632" s="319" t="s">
        <v>190</v>
      </c>
      <c r="GE632" s="319" t="s">
        <v>190</v>
      </c>
      <c r="GF632" s="319" t="s">
        <v>190</v>
      </c>
      <c r="GG632" s="319" t="s">
        <v>190</v>
      </c>
      <c r="GH632" s="319" t="s">
        <v>190</v>
      </c>
      <c r="GI632" s="319" t="s">
        <v>190</v>
      </c>
      <c r="GJ632" s="319" t="s">
        <v>190</v>
      </c>
      <c r="GK632" s="319" t="s">
        <v>428</v>
      </c>
      <c r="GL632" s="319" t="s">
        <v>190</v>
      </c>
      <c r="GM632" s="319" t="s">
        <v>190</v>
      </c>
      <c r="GN632" s="319" t="s">
        <v>190</v>
      </c>
      <c r="GO632" s="319" t="s">
        <v>190</v>
      </c>
      <c r="GP632" s="319" t="s">
        <v>190</v>
      </c>
      <c r="GQ632" s="319" t="s">
        <v>428</v>
      </c>
      <c r="GR632" s="319" t="s">
        <v>190</v>
      </c>
      <c r="GS632" s="319" t="s">
        <v>190</v>
      </c>
      <c r="GT632" s="319" t="s">
        <v>190</v>
      </c>
      <c r="GU632" s="319" t="s">
        <v>190</v>
      </c>
      <c r="GV632" s="319" t="s">
        <v>190</v>
      </c>
      <c r="GW632" s="319" t="s">
        <v>190</v>
      </c>
      <c r="GX632" s="319" t="s">
        <v>190</v>
      </c>
      <c r="GY632" s="319" t="s">
        <v>190</v>
      </c>
      <c r="GZ632" s="319" t="s">
        <v>428</v>
      </c>
      <c r="HA632" s="319" t="s">
        <v>190</v>
      </c>
      <c r="HB632" s="319" t="s">
        <v>190</v>
      </c>
      <c r="HC632" s="319" t="s">
        <v>190</v>
      </c>
      <c r="HD632" s="319" t="s">
        <v>190</v>
      </c>
      <c r="HE632" s="319" t="s">
        <v>190</v>
      </c>
      <c r="HF632" s="319" t="s">
        <v>190</v>
      </c>
      <c r="HG632" s="319" t="s">
        <v>190</v>
      </c>
      <c r="HH632" s="319" t="s">
        <v>190</v>
      </c>
      <c r="HI632" s="319" t="s">
        <v>190</v>
      </c>
      <c r="HJ632" s="319" t="s">
        <v>190</v>
      </c>
      <c r="HK632" s="319" t="s">
        <v>190</v>
      </c>
      <c r="HL632" s="319" t="s">
        <v>428</v>
      </c>
      <c r="HM632" s="319" t="s">
        <v>428</v>
      </c>
      <c r="HN632" s="319" t="s">
        <v>428</v>
      </c>
      <c r="HO632" s="319" t="s">
        <v>428</v>
      </c>
      <c r="HP632" s="319" t="s">
        <v>190</v>
      </c>
      <c r="HQ632" s="319" t="s">
        <v>190</v>
      </c>
      <c r="HR632" s="319" t="s">
        <v>190</v>
      </c>
      <c r="HS632" s="319" t="s">
        <v>190</v>
      </c>
      <c r="HT632" s="319" t="s">
        <v>190</v>
      </c>
      <c r="HU632" s="319" t="s">
        <v>190</v>
      </c>
      <c r="HV632" s="319" t="s">
        <v>190</v>
      </c>
      <c r="HW632" s="319" t="s">
        <v>190</v>
      </c>
      <c r="HX632" s="319" t="s">
        <v>190</v>
      </c>
      <c r="HY632" s="319" t="s">
        <v>190</v>
      </c>
      <c r="HZ632" s="319" t="s">
        <v>190</v>
      </c>
      <c r="IA632" s="319" t="s">
        <v>190</v>
      </c>
      <c r="IB632" s="319" t="s">
        <v>190</v>
      </c>
      <c r="IC632" s="319" t="s">
        <v>190</v>
      </c>
      <c r="ID632" s="319" t="s">
        <v>190</v>
      </c>
      <c r="IE632" s="319" t="s">
        <v>190</v>
      </c>
      <c r="IF632" s="319" t="s">
        <v>190</v>
      </c>
      <c r="IG632" s="319" t="s">
        <v>190</v>
      </c>
      <c r="IH632" s="319" t="s">
        <v>190</v>
      </c>
      <c r="II632" s="319" t="s">
        <v>190</v>
      </c>
      <c r="IJ632" s="319" t="s">
        <v>3391</v>
      </c>
      <c r="IK632" s="321">
        <v>42017</v>
      </c>
      <c r="IL632" s="321">
        <v>42019</v>
      </c>
      <c r="IM632" s="321">
        <v>42066</v>
      </c>
      <c r="IN632" s="319">
        <v>2</v>
      </c>
      <c r="IO632" s="319" t="s">
        <v>173</v>
      </c>
      <c r="IP632" s="319" t="s">
        <v>173</v>
      </c>
      <c r="IQ632" s="319" t="s">
        <v>173</v>
      </c>
      <c r="IR632" s="320" t="s">
        <v>173</v>
      </c>
      <c r="IS632" s="320" t="s">
        <v>173</v>
      </c>
      <c r="IT632" s="319" t="s">
        <v>173</v>
      </c>
    </row>
    <row r="633" spans="1:254" s="271" customFormat="1" x14ac:dyDescent="0.25">
      <c r="A633" s="318" t="str">
        <f>HYPERLINK("http://www.ofsted.gov.uk/inspection-reports/find-inspection-report/provider/ELS/136264 ","Ofsted School Webpage")</f>
        <v>Ofsted School Webpage</v>
      </c>
      <c r="B633" s="319">
        <v>136264</v>
      </c>
      <c r="C633" s="319">
        <v>3526071</v>
      </c>
      <c r="D633" s="319" t="s">
        <v>2097</v>
      </c>
      <c r="E633" s="319" t="s">
        <v>167</v>
      </c>
      <c r="F633" s="319" t="s">
        <v>81</v>
      </c>
      <c r="G633" s="319" t="s">
        <v>81</v>
      </c>
      <c r="H633" s="319" t="s">
        <v>81</v>
      </c>
      <c r="I633" s="319" t="s">
        <v>78</v>
      </c>
      <c r="J633" s="319" t="s">
        <v>424</v>
      </c>
      <c r="K633" s="319" t="s">
        <v>431</v>
      </c>
      <c r="L633" s="319" t="s">
        <v>431</v>
      </c>
      <c r="M633" s="319" t="s">
        <v>660</v>
      </c>
      <c r="N633" s="319" t="s">
        <v>3392</v>
      </c>
      <c r="O633" s="319" t="s">
        <v>2098</v>
      </c>
      <c r="P633" s="319">
        <v>40</v>
      </c>
      <c r="Q633" s="319" t="s">
        <v>2766</v>
      </c>
      <c r="R633" s="320">
        <v>10043784</v>
      </c>
      <c r="S633" s="321">
        <v>43172</v>
      </c>
      <c r="T633" s="321">
        <v>43174</v>
      </c>
      <c r="U633" s="321">
        <v>43222</v>
      </c>
      <c r="V633" s="319" t="s">
        <v>425</v>
      </c>
      <c r="W633" s="319" t="s">
        <v>2767</v>
      </c>
      <c r="X633" s="319">
        <v>2</v>
      </c>
      <c r="Y633" s="319" t="s">
        <v>173</v>
      </c>
      <c r="Z633" s="319" t="s">
        <v>173</v>
      </c>
      <c r="AA633" s="319" t="s">
        <v>173</v>
      </c>
      <c r="AB633" s="319">
        <v>2</v>
      </c>
      <c r="AC633" s="319" t="s">
        <v>169</v>
      </c>
      <c r="AD633" s="319" t="s">
        <v>173</v>
      </c>
      <c r="AE633" s="319" t="s">
        <v>173</v>
      </c>
      <c r="AF633" s="319" t="s">
        <v>427</v>
      </c>
      <c r="AG633" s="319" t="s">
        <v>171</v>
      </c>
      <c r="AH633" s="319" t="s">
        <v>190</v>
      </c>
      <c r="AI633" s="319" t="s">
        <v>190</v>
      </c>
      <c r="AJ633" s="319" t="s">
        <v>190</v>
      </c>
      <c r="AK633" s="319" t="s">
        <v>190</v>
      </c>
      <c r="AL633" s="319" t="s">
        <v>190</v>
      </c>
      <c r="AM633" s="319" t="s">
        <v>190</v>
      </c>
      <c r="AN633" s="319" t="s">
        <v>190</v>
      </c>
      <c r="AO633" s="319" t="s">
        <v>190</v>
      </c>
      <c r="AP633" s="319" t="s">
        <v>190</v>
      </c>
      <c r="AQ633" s="319" t="s">
        <v>190</v>
      </c>
      <c r="AR633" s="319" t="s">
        <v>190</v>
      </c>
      <c r="AS633" s="319" t="s">
        <v>190</v>
      </c>
      <c r="AT633" s="319" t="s">
        <v>190</v>
      </c>
      <c r="AU633" s="319" t="s">
        <v>190</v>
      </c>
      <c r="AV633" s="319" t="s">
        <v>190</v>
      </c>
      <c r="AW633" s="319" t="s">
        <v>190</v>
      </c>
      <c r="AX633" s="319" t="s">
        <v>428</v>
      </c>
      <c r="AY633" s="319" t="s">
        <v>190</v>
      </c>
      <c r="AZ633" s="319" t="s">
        <v>190</v>
      </c>
      <c r="BA633" s="319" t="s">
        <v>190</v>
      </c>
      <c r="BB633" s="319" t="s">
        <v>190</v>
      </c>
      <c r="BC633" s="319" t="s">
        <v>190</v>
      </c>
      <c r="BD633" s="319" t="s">
        <v>190</v>
      </c>
      <c r="BE633" s="319" t="s">
        <v>190</v>
      </c>
      <c r="BF633" s="319" t="s">
        <v>190</v>
      </c>
      <c r="BG633" s="319" t="s">
        <v>428</v>
      </c>
      <c r="BH633" s="319" t="s">
        <v>190</v>
      </c>
      <c r="BI633" s="319" t="s">
        <v>190</v>
      </c>
      <c r="BJ633" s="319" t="s">
        <v>190</v>
      </c>
      <c r="BK633" s="319" t="s">
        <v>190</v>
      </c>
      <c r="BL633" s="319" t="s">
        <v>190</v>
      </c>
      <c r="BM633" s="319" t="s">
        <v>190</v>
      </c>
      <c r="BN633" s="319" t="s">
        <v>190</v>
      </c>
      <c r="BO633" s="319" t="s">
        <v>190</v>
      </c>
      <c r="BP633" s="319" t="s">
        <v>190</v>
      </c>
      <c r="BQ633" s="319" t="s">
        <v>190</v>
      </c>
      <c r="BR633" s="319" t="s">
        <v>190</v>
      </c>
      <c r="BS633" s="319" t="s">
        <v>190</v>
      </c>
      <c r="BT633" s="319" t="s">
        <v>190</v>
      </c>
      <c r="BU633" s="319" t="s">
        <v>190</v>
      </c>
      <c r="BV633" s="319" t="s">
        <v>190</v>
      </c>
      <c r="BW633" s="319" t="s">
        <v>190</v>
      </c>
      <c r="BX633" s="319" t="s">
        <v>190</v>
      </c>
      <c r="BY633" s="319" t="s">
        <v>190</v>
      </c>
      <c r="BZ633" s="319" t="s">
        <v>190</v>
      </c>
      <c r="CA633" s="319" t="s">
        <v>190</v>
      </c>
      <c r="CB633" s="319" t="s">
        <v>190</v>
      </c>
      <c r="CC633" s="319" t="s">
        <v>190</v>
      </c>
      <c r="CD633" s="319" t="s">
        <v>190</v>
      </c>
      <c r="CE633" s="319" t="s">
        <v>190</v>
      </c>
      <c r="CF633" s="319" t="s">
        <v>190</v>
      </c>
      <c r="CG633" s="319" t="s">
        <v>190</v>
      </c>
      <c r="CH633" s="319" t="s">
        <v>190</v>
      </c>
      <c r="CI633" s="319" t="s">
        <v>190</v>
      </c>
      <c r="CJ633" s="319" t="s">
        <v>190</v>
      </c>
      <c r="CK633" s="319" t="s">
        <v>190</v>
      </c>
      <c r="CL633" s="319" t="s">
        <v>190</v>
      </c>
      <c r="CM633" s="319" t="s">
        <v>190</v>
      </c>
      <c r="CN633" s="319" t="s">
        <v>428</v>
      </c>
      <c r="CO633" s="319" t="s">
        <v>428</v>
      </c>
      <c r="CP633" s="319" t="s">
        <v>428</v>
      </c>
      <c r="CQ633" s="319" t="s">
        <v>190</v>
      </c>
      <c r="CR633" s="319" t="s">
        <v>190</v>
      </c>
      <c r="CS633" s="319" t="s">
        <v>190</v>
      </c>
      <c r="CT633" s="319" t="s">
        <v>190</v>
      </c>
      <c r="CU633" s="319" t="s">
        <v>190</v>
      </c>
      <c r="CV633" s="319" t="s">
        <v>190</v>
      </c>
      <c r="CW633" s="319" t="s">
        <v>190</v>
      </c>
      <c r="CX633" s="319" t="s">
        <v>190</v>
      </c>
      <c r="CY633" s="319" t="s">
        <v>190</v>
      </c>
      <c r="CZ633" s="319" t="s">
        <v>190</v>
      </c>
      <c r="DA633" s="319" t="s">
        <v>190</v>
      </c>
      <c r="DB633" s="319" t="s">
        <v>190</v>
      </c>
      <c r="DC633" s="319" t="s">
        <v>190</v>
      </c>
      <c r="DD633" s="319" t="s">
        <v>190</v>
      </c>
      <c r="DE633" s="319" t="s">
        <v>190</v>
      </c>
      <c r="DF633" s="319" t="s">
        <v>190</v>
      </c>
      <c r="DG633" s="319" t="s">
        <v>190</v>
      </c>
      <c r="DH633" s="319" t="s">
        <v>190</v>
      </c>
      <c r="DI633" s="319" t="s">
        <v>190</v>
      </c>
      <c r="DJ633" s="319" t="s">
        <v>190</v>
      </c>
      <c r="DK633" s="319" t="s">
        <v>190</v>
      </c>
      <c r="DL633" s="319" t="s">
        <v>190</v>
      </c>
      <c r="DM633" s="319" t="s">
        <v>190</v>
      </c>
      <c r="DN633" s="319" t="s">
        <v>428</v>
      </c>
      <c r="DO633" s="319" t="s">
        <v>190</v>
      </c>
      <c r="DP633" s="319" t="s">
        <v>190</v>
      </c>
      <c r="DQ633" s="319" t="s">
        <v>190</v>
      </c>
      <c r="DR633" s="319" t="s">
        <v>190</v>
      </c>
      <c r="DS633" s="319" t="s">
        <v>190</v>
      </c>
      <c r="DT633" s="319" t="s">
        <v>190</v>
      </c>
      <c r="DU633" s="319" t="s">
        <v>190</v>
      </c>
      <c r="DV633" s="319" t="s">
        <v>173</v>
      </c>
      <c r="DW633" s="319" t="s">
        <v>190</v>
      </c>
      <c r="DX633" s="319" t="s">
        <v>190</v>
      </c>
      <c r="DY633" s="319" t="s">
        <v>190</v>
      </c>
      <c r="DZ633" s="319" t="s">
        <v>190</v>
      </c>
      <c r="EA633" s="319" t="s">
        <v>190</v>
      </c>
      <c r="EB633" s="319" t="s">
        <v>190</v>
      </c>
      <c r="EC633" s="319" t="s">
        <v>190</v>
      </c>
      <c r="ED633" s="319" t="s">
        <v>190</v>
      </c>
      <c r="EE633" s="319" t="s">
        <v>190</v>
      </c>
      <c r="EF633" s="319" t="s">
        <v>190</v>
      </c>
      <c r="EG633" s="319" t="s">
        <v>190</v>
      </c>
      <c r="EH633" s="319" t="s">
        <v>190</v>
      </c>
      <c r="EI633" s="319" t="s">
        <v>190</v>
      </c>
      <c r="EJ633" s="319" t="s">
        <v>190</v>
      </c>
      <c r="EK633" s="319" t="s">
        <v>190</v>
      </c>
      <c r="EL633" s="319" t="s">
        <v>190</v>
      </c>
      <c r="EM633" s="319" t="s">
        <v>190</v>
      </c>
      <c r="EN633" s="319" t="s">
        <v>190</v>
      </c>
      <c r="EO633" s="319" t="s">
        <v>190</v>
      </c>
      <c r="EP633" s="319" t="s">
        <v>190</v>
      </c>
      <c r="EQ633" s="319" t="s">
        <v>190</v>
      </c>
      <c r="ER633" s="319" t="s">
        <v>190</v>
      </c>
      <c r="ES633" s="319" t="s">
        <v>190</v>
      </c>
      <c r="ET633" s="319" t="s">
        <v>190</v>
      </c>
      <c r="EU633" s="319" t="s">
        <v>190</v>
      </c>
      <c r="EV633" s="319" t="s">
        <v>190</v>
      </c>
      <c r="EW633" s="319" t="s">
        <v>190</v>
      </c>
      <c r="EX633" s="319" t="s">
        <v>190</v>
      </c>
      <c r="EY633" s="319" t="s">
        <v>190</v>
      </c>
      <c r="EZ633" s="319" t="s">
        <v>190</v>
      </c>
      <c r="FA633" s="319" t="s">
        <v>428</v>
      </c>
      <c r="FB633" s="319" t="s">
        <v>428</v>
      </c>
      <c r="FC633" s="319" t="s">
        <v>428</v>
      </c>
      <c r="FD633" s="319" t="s">
        <v>428</v>
      </c>
      <c r="FE633" s="319" t="s">
        <v>428</v>
      </c>
      <c r="FF633" s="319" t="s">
        <v>428</v>
      </c>
      <c r="FG633" s="319" t="s">
        <v>428</v>
      </c>
      <c r="FH633" s="319" t="s">
        <v>190</v>
      </c>
      <c r="FI633" s="319" t="s">
        <v>428</v>
      </c>
      <c r="FJ633" s="319" t="s">
        <v>429</v>
      </c>
      <c r="FK633" s="319" t="s">
        <v>428</v>
      </c>
      <c r="FL633" s="319" t="s">
        <v>190</v>
      </c>
      <c r="FM633" s="319" t="s">
        <v>190</v>
      </c>
      <c r="FN633" s="319" t="s">
        <v>190</v>
      </c>
      <c r="FO633" s="319" t="s">
        <v>190</v>
      </c>
      <c r="FP633" s="319" t="s">
        <v>190</v>
      </c>
      <c r="FQ633" s="319" t="s">
        <v>190</v>
      </c>
      <c r="FR633" s="319" t="s">
        <v>190</v>
      </c>
      <c r="FS633" s="319" t="s">
        <v>428</v>
      </c>
      <c r="FT633" s="319" t="s">
        <v>190</v>
      </c>
      <c r="FU633" s="319" t="s">
        <v>190</v>
      </c>
      <c r="FV633" s="319" t="s">
        <v>190</v>
      </c>
      <c r="FW633" s="319" t="s">
        <v>190</v>
      </c>
      <c r="FX633" s="319" t="s">
        <v>190</v>
      </c>
      <c r="FY633" s="319" t="s">
        <v>190</v>
      </c>
      <c r="FZ633" s="319" t="s">
        <v>190</v>
      </c>
      <c r="GA633" s="319" t="s">
        <v>190</v>
      </c>
      <c r="GB633" s="319" t="s">
        <v>190</v>
      </c>
      <c r="GC633" s="319" t="s">
        <v>190</v>
      </c>
      <c r="GD633" s="319" t="s">
        <v>190</v>
      </c>
      <c r="GE633" s="319" t="s">
        <v>190</v>
      </c>
      <c r="GF633" s="319" t="s">
        <v>190</v>
      </c>
      <c r="GG633" s="319" t="s">
        <v>190</v>
      </c>
      <c r="GH633" s="319" t="s">
        <v>190</v>
      </c>
      <c r="GI633" s="319" t="s">
        <v>190</v>
      </c>
      <c r="GJ633" s="319" t="s">
        <v>190</v>
      </c>
      <c r="GK633" s="319" t="s">
        <v>428</v>
      </c>
      <c r="GL633" s="319" t="s">
        <v>190</v>
      </c>
      <c r="GM633" s="319" t="s">
        <v>190</v>
      </c>
      <c r="GN633" s="319" t="s">
        <v>190</v>
      </c>
      <c r="GO633" s="319" t="s">
        <v>190</v>
      </c>
      <c r="GP633" s="319" t="s">
        <v>190</v>
      </c>
      <c r="GQ633" s="319" t="s">
        <v>428</v>
      </c>
      <c r="GR633" s="319" t="s">
        <v>190</v>
      </c>
      <c r="GS633" s="319" t="s">
        <v>190</v>
      </c>
      <c r="GT633" s="319" t="s">
        <v>190</v>
      </c>
      <c r="GU633" s="319" t="s">
        <v>190</v>
      </c>
      <c r="GV633" s="319" t="s">
        <v>190</v>
      </c>
      <c r="GW633" s="319" t="s">
        <v>190</v>
      </c>
      <c r="GX633" s="319" t="s">
        <v>190</v>
      </c>
      <c r="GY633" s="319" t="s">
        <v>190</v>
      </c>
      <c r="GZ633" s="319" t="s">
        <v>190</v>
      </c>
      <c r="HA633" s="319" t="s">
        <v>190</v>
      </c>
      <c r="HB633" s="319" t="s">
        <v>190</v>
      </c>
      <c r="HC633" s="319" t="s">
        <v>190</v>
      </c>
      <c r="HD633" s="319" t="s">
        <v>190</v>
      </c>
      <c r="HE633" s="319" t="s">
        <v>190</v>
      </c>
      <c r="HF633" s="319" t="s">
        <v>190</v>
      </c>
      <c r="HG633" s="319" t="s">
        <v>190</v>
      </c>
      <c r="HH633" s="319" t="s">
        <v>190</v>
      </c>
      <c r="HI633" s="319" t="s">
        <v>190</v>
      </c>
      <c r="HJ633" s="319" t="s">
        <v>190</v>
      </c>
      <c r="HK633" s="319" t="s">
        <v>190</v>
      </c>
      <c r="HL633" s="319" t="s">
        <v>190</v>
      </c>
      <c r="HM633" s="319" t="s">
        <v>190</v>
      </c>
      <c r="HN633" s="319" t="s">
        <v>190</v>
      </c>
      <c r="HO633" s="319" t="s">
        <v>190</v>
      </c>
      <c r="HP633" s="319" t="s">
        <v>190</v>
      </c>
      <c r="HQ633" s="319" t="s">
        <v>190</v>
      </c>
      <c r="HR633" s="319" t="s">
        <v>190</v>
      </c>
      <c r="HS633" s="319" t="s">
        <v>190</v>
      </c>
      <c r="HT633" s="319" t="s">
        <v>190</v>
      </c>
      <c r="HU633" s="319" t="s">
        <v>190</v>
      </c>
      <c r="HV633" s="319" t="s">
        <v>190</v>
      </c>
      <c r="HW633" s="319" t="s">
        <v>190</v>
      </c>
      <c r="HX633" s="319" t="s">
        <v>190</v>
      </c>
      <c r="HY633" s="319" t="s">
        <v>190</v>
      </c>
      <c r="HZ633" s="319" t="s">
        <v>190</v>
      </c>
      <c r="IA633" s="319" t="s">
        <v>190</v>
      </c>
      <c r="IB633" s="319" t="s">
        <v>190</v>
      </c>
      <c r="IC633" s="319" t="s">
        <v>190</v>
      </c>
      <c r="ID633" s="319" t="s">
        <v>190</v>
      </c>
      <c r="IE633" s="319" t="s">
        <v>190</v>
      </c>
      <c r="IF633" s="319" t="s">
        <v>190</v>
      </c>
      <c r="IG633" s="319" t="s">
        <v>190</v>
      </c>
      <c r="IH633" s="319" t="s">
        <v>190</v>
      </c>
      <c r="II633" s="319" t="s">
        <v>190</v>
      </c>
      <c r="IJ633" s="319" t="s">
        <v>3393</v>
      </c>
      <c r="IK633" s="321">
        <v>42080</v>
      </c>
      <c r="IL633" s="321">
        <v>42082</v>
      </c>
      <c r="IM633" s="321">
        <v>42116</v>
      </c>
      <c r="IN633" s="319">
        <v>2</v>
      </c>
      <c r="IO633" s="319" t="s">
        <v>173</v>
      </c>
      <c r="IP633" s="319" t="s">
        <v>173</v>
      </c>
      <c r="IQ633" s="321" t="s">
        <v>173</v>
      </c>
      <c r="IR633" s="320" t="s">
        <v>173</v>
      </c>
      <c r="IS633" s="322" t="s">
        <v>173</v>
      </c>
      <c r="IT633" s="319" t="s">
        <v>173</v>
      </c>
    </row>
    <row r="634" spans="1:254" s="271" customFormat="1" x14ac:dyDescent="0.25">
      <c r="A634" s="318" t="str">
        <f>HYPERLINK("http://www.ofsted.gov.uk/inspection-reports/find-inspection-report/provider/ELS/136265 ","Ofsted School Webpage")</f>
        <v>Ofsted School Webpage</v>
      </c>
      <c r="B634" s="319">
        <v>136265</v>
      </c>
      <c r="C634" s="319">
        <v>3056082</v>
      </c>
      <c r="D634" s="319" t="s">
        <v>2099</v>
      </c>
      <c r="E634" s="319" t="s">
        <v>168</v>
      </c>
      <c r="F634" s="319" t="s">
        <v>81</v>
      </c>
      <c r="G634" s="319" t="s">
        <v>81</v>
      </c>
      <c r="H634" s="319" t="s">
        <v>81</v>
      </c>
      <c r="I634" s="319" t="s">
        <v>78</v>
      </c>
      <c r="J634" s="319" t="s">
        <v>424</v>
      </c>
      <c r="K634" s="319" t="s">
        <v>441</v>
      </c>
      <c r="L634" s="319" t="s">
        <v>441</v>
      </c>
      <c r="M634" s="319" t="s">
        <v>600</v>
      </c>
      <c r="N634" s="319" t="s">
        <v>3373</v>
      </c>
      <c r="O634" s="319" t="s">
        <v>2100</v>
      </c>
      <c r="P634" s="319">
        <v>78</v>
      </c>
      <c r="Q634" s="319" t="s">
        <v>429</v>
      </c>
      <c r="R634" s="320">
        <v>10115252</v>
      </c>
      <c r="S634" s="321">
        <v>43774</v>
      </c>
      <c r="T634" s="321">
        <v>43776</v>
      </c>
      <c r="U634" s="321">
        <v>43803</v>
      </c>
      <c r="V634" s="319" t="s">
        <v>425</v>
      </c>
      <c r="W634" s="319" t="s">
        <v>2767</v>
      </c>
      <c r="X634" s="319">
        <v>2</v>
      </c>
      <c r="Y634" s="319">
        <v>2</v>
      </c>
      <c r="Z634" s="319">
        <v>2</v>
      </c>
      <c r="AA634" s="319">
        <v>1</v>
      </c>
      <c r="AB634" s="319">
        <v>2</v>
      </c>
      <c r="AC634" s="319" t="s">
        <v>169</v>
      </c>
      <c r="AD634" s="319" t="s">
        <v>173</v>
      </c>
      <c r="AE634" s="319">
        <v>2</v>
      </c>
      <c r="AF634" s="319" t="s">
        <v>427</v>
      </c>
      <c r="AG634" s="319" t="s">
        <v>171</v>
      </c>
      <c r="AH634" s="319" t="s">
        <v>190</v>
      </c>
      <c r="AI634" s="319" t="s">
        <v>190</v>
      </c>
      <c r="AJ634" s="319" t="s">
        <v>190</v>
      </c>
      <c r="AK634" s="319" t="s">
        <v>190</v>
      </c>
      <c r="AL634" s="319" t="s">
        <v>190</v>
      </c>
      <c r="AM634" s="319" t="s">
        <v>190</v>
      </c>
      <c r="AN634" s="319" t="s">
        <v>190</v>
      </c>
      <c r="AO634" s="319" t="s">
        <v>190</v>
      </c>
      <c r="AP634" s="319" t="s">
        <v>190</v>
      </c>
      <c r="AQ634" s="319" t="s">
        <v>190</v>
      </c>
      <c r="AR634" s="319" t="s">
        <v>190</v>
      </c>
      <c r="AS634" s="319" t="s">
        <v>190</v>
      </c>
      <c r="AT634" s="319" t="s">
        <v>190</v>
      </c>
      <c r="AU634" s="319" t="s">
        <v>190</v>
      </c>
      <c r="AV634" s="319" t="s">
        <v>190</v>
      </c>
      <c r="AW634" s="319" t="s">
        <v>190</v>
      </c>
      <c r="AX634" s="319" t="s">
        <v>428</v>
      </c>
      <c r="AY634" s="319" t="s">
        <v>190</v>
      </c>
      <c r="AZ634" s="319" t="s">
        <v>190</v>
      </c>
      <c r="BA634" s="319" t="s">
        <v>190</v>
      </c>
      <c r="BB634" s="319" t="s">
        <v>190</v>
      </c>
      <c r="BC634" s="319" t="s">
        <v>190</v>
      </c>
      <c r="BD634" s="319" t="s">
        <v>190</v>
      </c>
      <c r="BE634" s="319" t="s">
        <v>190</v>
      </c>
      <c r="BF634" s="319" t="s">
        <v>190</v>
      </c>
      <c r="BG634" s="319" t="s">
        <v>190</v>
      </c>
      <c r="BH634" s="319" t="s">
        <v>190</v>
      </c>
      <c r="BI634" s="319" t="s">
        <v>190</v>
      </c>
      <c r="BJ634" s="319" t="s">
        <v>190</v>
      </c>
      <c r="BK634" s="319" t="s">
        <v>190</v>
      </c>
      <c r="BL634" s="319" t="s">
        <v>190</v>
      </c>
      <c r="BM634" s="319" t="s">
        <v>190</v>
      </c>
      <c r="BN634" s="319" t="s">
        <v>190</v>
      </c>
      <c r="BO634" s="319" t="s">
        <v>190</v>
      </c>
      <c r="BP634" s="319" t="s">
        <v>190</v>
      </c>
      <c r="BQ634" s="319" t="s">
        <v>190</v>
      </c>
      <c r="BR634" s="319" t="s">
        <v>190</v>
      </c>
      <c r="BS634" s="319" t="s">
        <v>190</v>
      </c>
      <c r="BT634" s="319" t="s">
        <v>190</v>
      </c>
      <c r="BU634" s="319" t="s">
        <v>190</v>
      </c>
      <c r="BV634" s="319" t="s">
        <v>190</v>
      </c>
      <c r="BW634" s="319" t="s">
        <v>190</v>
      </c>
      <c r="BX634" s="319" t="s">
        <v>190</v>
      </c>
      <c r="BY634" s="319" t="s">
        <v>190</v>
      </c>
      <c r="BZ634" s="319" t="s">
        <v>190</v>
      </c>
      <c r="CA634" s="319" t="s">
        <v>190</v>
      </c>
      <c r="CB634" s="319" t="s">
        <v>190</v>
      </c>
      <c r="CC634" s="319" t="s">
        <v>190</v>
      </c>
      <c r="CD634" s="319" t="s">
        <v>190</v>
      </c>
      <c r="CE634" s="319" t="s">
        <v>190</v>
      </c>
      <c r="CF634" s="319" t="s">
        <v>190</v>
      </c>
      <c r="CG634" s="319" t="s">
        <v>190</v>
      </c>
      <c r="CH634" s="319" t="s">
        <v>190</v>
      </c>
      <c r="CI634" s="319" t="s">
        <v>190</v>
      </c>
      <c r="CJ634" s="319" t="s">
        <v>190</v>
      </c>
      <c r="CK634" s="319" t="s">
        <v>190</v>
      </c>
      <c r="CL634" s="319" t="s">
        <v>190</v>
      </c>
      <c r="CM634" s="319" t="s">
        <v>190</v>
      </c>
      <c r="CN634" s="319" t="s">
        <v>190</v>
      </c>
      <c r="CO634" s="319" t="s">
        <v>428</v>
      </c>
      <c r="CP634" s="319" t="s">
        <v>428</v>
      </c>
      <c r="CQ634" s="319" t="s">
        <v>190</v>
      </c>
      <c r="CR634" s="319" t="s">
        <v>190</v>
      </c>
      <c r="CS634" s="319" t="s">
        <v>190</v>
      </c>
      <c r="CT634" s="319" t="s">
        <v>190</v>
      </c>
      <c r="CU634" s="319" t="s">
        <v>190</v>
      </c>
      <c r="CV634" s="319" t="s">
        <v>190</v>
      </c>
      <c r="CW634" s="319" t="s">
        <v>190</v>
      </c>
      <c r="CX634" s="319" t="s">
        <v>190</v>
      </c>
      <c r="CY634" s="319" t="s">
        <v>190</v>
      </c>
      <c r="CZ634" s="319" t="s">
        <v>190</v>
      </c>
      <c r="DA634" s="319" t="s">
        <v>190</v>
      </c>
      <c r="DB634" s="319" t="s">
        <v>190</v>
      </c>
      <c r="DC634" s="319" t="s">
        <v>190</v>
      </c>
      <c r="DD634" s="319" t="s">
        <v>190</v>
      </c>
      <c r="DE634" s="319" t="s">
        <v>190</v>
      </c>
      <c r="DF634" s="319" t="s">
        <v>190</v>
      </c>
      <c r="DG634" s="319" t="s">
        <v>190</v>
      </c>
      <c r="DH634" s="319" t="s">
        <v>190</v>
      </c>
      <c r="DI634" s="319" t="s">
        <v>190</v>
      </c>
      <c r="DJ634" s="319" t="s">
        <v>190</v>
      </c>
      <c r="DK634" s="319" t="s">
        <v>190</v>
      </c>
      <c r="DL634" s="319" t="s">
        <v>190</v>
      </c>
      <c r="DM634" s="319" t="s">
        <v>190</v>
      </c>
      <c r="DN634" s="319" t="s">
        <v>428</v>
      </c>
      <c r="DO634" s="319" t="s">
        <v>190</v>
      </c>
      <c r="DP634" s="319" t="s">
        <v>190</v>
      </c>
      <c r="DQ634" s="319" t="s">
        <v>190</v>
      </c>
      <c r="DR634" s="319" t="s">
        <v>190</v>
      </c>
      <c r="DS634" s="319" t="s">
        <v>190</v>
      </c>
      <c r="DT634" s="319" t="s">
        <v>190</v>
      </c>
      <c r="DU634" s="319" t="s">
        <v>190</v>
      </c>
      <c r="DV634" s="319" t="s">
        <v>190</v>
      </c>
      <c r="DW634" s="319" t="s">
        <v>190</v>
      </c>
      <c r="DX634" s="319" t="s">
        <v>190</v>
      </c>
      <c r="DY634" s="319" t="s">
        <v>190</v>
      </c>
      <c r="DZ634" s="319" t="s">
        <v>190</v>
      </c>
      <c r="EA634" s="319" t="s">
        <v>190</v>
      </c>
      <c r="EB634" s="319" t="s">
        <v>190</v>
      </c>
      <c r="EC634" s="319" t="s">
        <v>428</v>
      </c>
      <c r="ED634" s="319" t="s">
        <v>190</v>
      </c>
      <c r="EE634" s="319" t="s">
        <v>190</v>
      </c>
      <c r="EF634" s="319" t="s">
        <v>190</v>
      </c>
      <c r="EG634" s="319" t="s">
        <v>190</v>
      </c>
      <c r="EH634" s="319" t="s">
        <v>190</v>
      </c>
      <c r="EI634" s="319" t="s">
        <v>190</v>
      </c>
      <c r="EJ634" s="319" t="s">
        <v>190</v>
      </c>
      <c r="EK634" s="319" t="s">
        <v>190</v>
      </c>
      <c r="EL634" s="319" t="s">
        <v>190</v>
      </c>
      <c r="EM634" s="319" t="s">
        <v>190</v>
      </c>
      <c r="EN634" s="319" t="s">
        <v>190</v>
      </c>
      <c r="EO634" s="319" t="s">
        <v>190</v>
      </c>
      <c r="EP634" s="319" t="s">
        <v>190</v>
      </c>
      <c r="EQ634" s="319" t="s">
        <v>190</v>
      </c>
      <c r="ER634" s="319" t="s">
        <v>190</v>
      </c>
      <c r="ES634" s="319" t="s">
        <v>190</v>
      </c>
      <c r="ET634" s="319" t="s">
        <v>190</v>
      </c>
      <c r="EU634" s="319" t="s">
        <v>190</v>
      </c>
      <c r="EV634" s="319" t="s">
        <v>190</v>
      </c>
      <c r="EW634" s="319" t="s">
        <v>190</v>
      </c>
      <c r="EX634" s="319" t="s">
        <v>190</v>
      </c>
      <c r="EY634" s="319" t="s">
        <v>190</v>
      </c>
      <c r="EZ634" s="319" t="s">
        <v>190</v>
      </c>
      <c r="FA634" s="319" t="s">
        <v>190</v>
      </c>
      <c r="FB634" s="319" t="s">
        <v>190</v>
      </c>
      <c r="FC634" s="319" t="s">
        <v>190</v>
      </c>
      <c r="FD634" s="319" t="s">
        <v>190</v>
      </c>
      <c r="FE634" s="319" t="s">
        <v>190</v>
      </c>
      <c r="FF634" s="319" t="s">
        <v>190</v>
      </c>
      <c r="FG634" s="319" t="s">
        <v>190</v>
      </c>
      <c r="FH634" s="319" t="s">
        <v>190</v>
      </c>
      <c r="FI634" s="319" t="s">
        <v>190</v>
      </c>
      <c r="FJ634" s="319" t="s">
        <v>190</v>
      </c>
      <c r="FK634" s="319" t="s">
        <v>190</v>
      </c>
      <c r="FL634" s="319" t="s">
        <v>190</v>
      </c>
      <c r="FM634" s="319" t="s">
        <v>190</v>
      </c>
      <c r="FN634" s="319" t="s">
        <v>190</v>
      </c>
      <c r="FO634" s="319" t="s">
        <v>190</v>
      </c>
      <c r="FP634" s="319" t="s">
        <v>190</v>
      </c>
      <c r="FQ634" s="319" t="s">
        <v>190</v>
      </c>
      <c r="FR634" s="319" t="s">
        <v>190</v>
      </c>
      <c r="FS634" s="319" t="s">
        <v>190</v>
      </c>
      <c r="FT634" s="319" t="s">
        <v>190</v>
      </c>
      <c r="FU634" s="319" t="s">
        <v>190</v>
      </c>
      <c r="FV634" s="319" t="s">
        <v>190</v>
      </c>
      <c r="FW634" s="319" t="s">
        <v>190</v>
      </c>
      <c r="FX634" s="319" t="s">
        <v>190</v>
      </c>
      <c r="FY634" s="319" t="s">
        <v>190</v>
      </c>
      <c r="FZ634" s="319" t="s">
        <v>190</v>
      </c>
      <c r="GA634" s="319" t="s">
        <v>190</v>
      </c>
      <c r="GB634" s="319" t="s">
        <v>190</v>
      </c>
      <c r="GC634" s="319" t="s">
        <v>190</v>
      </c>
      <c r="GD634" s="319" t="s">
        <v>190</v>
      </c>
      <c r="GE634" s="319" t="s">
        <v>190</v>
      </c>
      <c r="GF634" s="319" t="s">
        <v>190</v>
      </c>
      <c r="GG634" s="319" t="s">
        <v>190</v>
      </c>
      <c r="GH634" s="319" t="s">
        <v>190</v>
      </c>
      <c r="GI634" s="319" t="s">
        <v>190</v>
      </c>
      <c r="GJ634" s="319" t="s">
        <v>190</v>
      </c>
      <c r="GK634" s="319" t="s">
        <v>428</v>
      </c>
      <c r="GL634" s="319" t="s">
        <v>190</v>
      </c>
      <c r="GM634" s="319" t="s">
        <v>190</v>
      </c>
      <c r="GN634" s="319" t="s">
        <v>190</v>
      </c>
      <c r="GO634" s="319" t="s">
        <v>190</v>
      </c>
      <c r="GP634" s="319" t="s">
        <v>190</v>
      </c>
      <c r="GQ634" s="319" t="s">
        <v>190</v>
      </c>
      <c r="GR634" s="319" t="s">
        <v>190</v>
      </c>
      <c r="GS634" s="319" t="s">
        <v>190</v>
      </c>
      <c r="GT634" s="319" t="s">
        <v>190</v>
      </c>
      <c r="GU634" s="319" t="s">
        <v>190</v>
      </c>
      <c r="GV634" s="319" t="s">
        <v>190</v>
      </c>
      <c r="GW634" s="319" t="s">
        <v>190</v>
      </c>
      <c r="GX634" s="319" t="s">
        <v>190</v>
      </c>
      <c r="GY634" s="319" t="s">
        <v>190</v>
      </c>
      <c r="GZ634" s="319" t="s">
        <v>428</v>
      </c>
      <c r="HA634" s="319" t="s">
        <v>190</v>
      </c>
      <c r="HB634" s="319" t="s">
        <v>190</v>
      </c>
      <c r="HC634" s="319" t="s">
        <v>190</v>
      </c>
      <c r="HD634" s="319" t="s">
        <v>190</v>
      </c>
      <c r="HE634" s="319" t="s">
        <v>190</v>
      </c>
      <c r="HF634" s="319" t="s">
        <v>190</v>
      </c>
      <c r="HG634" s="319" t="s">
        <v>190</v>
      </c>
      <c r="HH634" s="319" t="s">
        <v>190</v>
      </c>
      <c r="HI634" s="319" t="s">
        <v>190</v>
      </c>
      <c r="HJ634" s="319" t="s">
        <v>190</v>
      </c>
      <c r="HK634" s="319" t="s">
        <v>190</v>
      </c>
      <c r="HL634" s="319" t="s">
        <v>190</v>
      </c>
      <c r="HM634" s="319" t="s">
        <v>428</v>
      </c>
      <c r="HN634" s="319" t="s">
        <v>428</v>
      </c>
      <c r="HO634" s="319" t="s">
        <v>428</v>
      </c>
      <c r="HP634" s="319" t="s">
        <v>190</v>
      </c>
      <c r="HQ634" s="319" t="s">
        <v>190</v>
      </c>
      <c r="HR634" s="319" t="s">
        <v>190</v>
      </c>
      <c r="HS634" s="319" t="s">
        <v>190</v>
      </c>
      <c r="HT634" s="319" t="s">
        <v>190</v>
      </c>
      <c r="HU634" s="319" t="s">
        <v>190</v>
      </c>
      <c r="HV634" s="319" t="s">
        <v>190</v>
      </c>
      <c r="HW634" s="319" t="s">
        <v>190</v>
      </c>
      <c r="HX634" s="319" t="s">
        <v>190</v>
      </c>
      <c r="HY634" s="319" t="s">
        <v>190</v>
      </c>
      <c r="HZ634" s="319" t="s">
        <v>190</v>
      </c>
      <c r="IA634" s="319" t="s">
        <v>190</v>
      </c>
      <c r="IB634" s="319" t="s">
        <v>190</v>
      </c>
      <c r="IC634" s="319" t="s">
        <v>190</v>
      </c>
      <c r="ID634" s="319" t="s">
        <v>190</v>
      </c>
      <c r="IE634" s="319" t="s">
        <v>190</v>
      </c>
      <c r="IF634" s="319" t="s">
        <v>190</v>
      </c>
      <c r="IG634" s="319" t="s">
        <v>190</v>
      </c>
      <c r="IH634" s="319" t="s">
        <v>190</v>
      </c>
      <c r="II634" s="319" t="s">
        <v>190</v>
      </c>
      <c r="IJ634" s="319">
        <v>10038175</v>
      </c>
      <c r="IK634" s="321">
        <v>43221</v>
      </c>
      <c r="IL634" s="321">
        <v>43223</v>
      </c>
      <c r="IM634" s="321">
        <v>43244</v>
      </c>
      <c r="IN634" s="319">
        <v>3</v>
      </c>
      <c r="IO634" s="319" t="s">
        <v>173</v>
      </c>
      <c r="IP634" s="319" t="s">
        <v>173</v>
      </c>
      <c r="IQ634" s="319" t="s">
        <v>173</v>
      </c>
      <c r="IR634" s="320" t="s">
        <v>173</v>
      </c>
      <c r="IS634" s="320" t="s">
        <v>173</v>
      </c>
      <c r="IT634" s="319" t="s">
        <v>173</v>
      </c>
    </row>
    <row r="635" spans="1:254" s="271" customFormat="1" x14ac:dyDescent="0.25">
      <c r="A635" s="318" t="str">
        <f>HYPERLINK("http://www.ofsted.gov.uk/inspection-reports/find-inspection-report/provider/ELS/136373 ","Ofsted School Webpage")</f>
        <v>Ofsted School Webpage</v>
      </c>
      <c r="B635" s="319">
        <v>136373</v>
      </c>
      <c r="C635" s="319">
        <v>8256043</v>
      </c>
      <c r="D635" s="319" t="s">
        <v>2101</v>
      </c>
      <c r="E635" s="319" t="s">
        <v>168</v>
      </c>
      <c r="F635" s="319" t="s">
        <v>81</v>
      </c>
      <c r="G635" s="319" t="s">
        <v>81</v>
      </c>
      <c r="H635" s="319" t="s">
        <v>81</v>
      </c>
      <c r="I635" s="319" t="s">
        <v>78</v>
      </c>
      <c r="J635" s="319" t="s">
        <v>424</v>
      </c>
      <c r="K635" s="319" t="s">
        <v>514</v>
      </c>
      <c r="L635" s="319" t="s">
        <v>514</v>
      </c>
      <c r="M635" s="319" t="s">
        <v>632</v>
      </c>
      <c r="N635" s="319" t="s">
        <v>2908</v>
      </c>
      <c r="O635" s="319" t="s">
        <v>2102</v>
      </c>
      <c r="P635" s="319">
        <v>10</v>
      </c>
      <c r="Q635" s="319" t="s">
        <v>429</v>
      </c>
      <c r="R635" s="320">
        <v>10035875</v>
      </c>
      <c r="S635" s="321">
        <v>43004</v>
      </c>
      <c r="T635" s="321">
        <v>43006</v>
      </c>
      <c r="U635" s="321">
        <v>43038</v>
      </c>
      <c r="V635" s="319" t="s">
        <v>425</v>
      </c>
      <c r="W635" s="319" t="s">
        <v>2767</v>
      </c>
      <c r="X635" s="319">
        <v>2</v>
      </c>
      <c r="Y635" s="319" t="s">
        <v>173</v>
      </c>
      <c r="Z635" s="319" t="s">
        <v>173</v>
      </c>
      <c r="AA635" s="319" t="s">
        <v>173</v>
      </c>
      <c r="AB635" s="319">
        <v>1</v>
      </c>
      <c r="AC635" s="319" t="s">
        <v>169</v>
      </c>
      <c r="AD635" s="319" t="s">
        <v>173</v>
      </c>
      <c r="AE635" s="319" t="s">
        <v>173</v>
      </c>
      <c r="AF635" s="319" t="s">
        <v>427</v>
      </c>
      <c r="AG635" s="319" t="s">
        <v>171</v>
      </c>
      <c r="AH635" s="319" t="s">
        <v>190</v>
      </c>
      <c r="AI635" s="319" t="s">
        <v>190</v>
      </c>
      <c r="AJ635" s="319" t="s">
        <v>190</v>
      </c>
      <c r="AK635" s="319" t="s">
        <v>190</v>
      </c>
      <c r="AL635" s="319" t="s">
        <v>190</v>
      </c>
      <c r="AM635" s="319" t="s">
        <v>190</v>
      </c>
      <c r="AN635" s="319" t="s">
        <v>190</v>
      </c>
      <c r="AO635" s="319" t="s">
        <v>190</v>
      </c>
      <c r="AP635" s="319" t="s">
        <v>190</v>
      </c>
      <c r="AQ635" s="319" t="s">
        <v>190</v>
      </c>
      <c r="AR635" s="319" t="s">
        <v>190</v>
      </c>
      <c r="AS635" s="319" t="s">
        <v>190</v>
      </c>
      <c r="AT635" s="319" t="s">
        <v>190</v>
      </c>
      <c r="AU635" s="319" t="s">
        <v>190</v>
      </c>
      <c r="AV635" s="319" t="s">
        <v>190</v>
      </c>
      <c r="AW635" s="319" t="s">
        <v>190</v>
      </c>
      <c r="AX635" s="319" t="s">
        <v>428</v>
      </c>
      <c r="AY635" s="319" t="s">
        <v>190</v>
      </c>
      <c r="AZ635" s="319" t="s">
        <v>190</v>
      </c>
      <c r="BA635" s="319" t="s">
        <v>190</v>
      </c>
      <c r="BB635" s="319" t="s">
        <v>190</v>
      </c>
      <c r="BC635" s="319" t="s">
        <v>190</v>
      </c>
      <c r="BD635" s="319" t="s">
        <v>190</v>
      </c>
      <c r="BE635" s="319" t="s">
        <v>190</v>
      </c>
      <c r="BF635" s="319" t="s">
        <v>428</v>
      </c>
      <c r="BG635" s="319" t="s">
        <v>190</v>
      </c>
      <c r="BH635" s="319" t="s">
        <v>190</v>
      </c>
      <c r="BI635" s="319" t="s">
        <v>190</v>
      </c>
      <c r="BJ635" s="319" t="s">
        <v>190</v>
      </c>
      <c r="BK635" s="319" t="s">
        <v>190</v>
      </c>
      <c r="BL635" s="319" t="s">
        <v>190</v>
      </c>
      <c r="BM635" s="319" t="s">
        <v>190</v>
      </c>
      <c r="BN635" s="319" t="s">
        <v>190</v>
      </c>
      <c r="BO635" s="319" t="s">
        <v>190</v>
      </c>
      <c r="BP635" s="319" t="s">
        <v>190</v>
      </c>
      <c r="BQ635" s="319" t="s">
        <v>190</v>
      </c>
      <c r="BR635" s="319" t="s">
        <v>190</v>
      </c>
      <c r="BS635" s="319" t="s">
        <v>190</v>
      </c>
      <c r="BT635" s="319" t="s">
        <v>190</v>
      </c>
      <c r="BU635" s="319" t="s">
        <v>190</v>
      </c>
      <c r="BV635" s="319" t="s">
        <v>190</v>
      </c>
      <c r="BW635" s="319" t="s">
        <v>190</v>
      </c>
      <c r="BX635" s="319" t="s">
        <v>190</v>
      </c>
      <c r="BY635" s="319" t="s">
        <v>190</v>
      </c>
      <c r="BZ635" s="319" t="s">
        <v>190</v>
      </c>
      <c r="CA635" s="319" t="s">
        <v>190</v>
      </c>
      <c r="CB635" s="319" t="s">
        <v>190</v>
      </c>
      <c r="CC635" s="319" t="s">
        <v>190</v>
      </c>
      <c r="CD635" s="319" t="s">
        <v>190</v>
      </c>
      <c r="CE635" s="319" t="s">
        <v>190</v>
      </c>
      <c r="CF635" s="319" t="s">
        <v>190</v>
      </c>
      <c r="CG635" s="319" t="s">
        <v>190</v>
      </c>
      <c r="CH635" s="319" t="s">
        <v>190</v>
      </c>
      <c r="CI635" s="319" t="s">
        <v>190</v>
      </c>
      <c r="CJ635" s="319" t="s">
        <v>190</v>
      </c>
      <c r="CK635" s="319" t="s">
        <v>190</v>
      </c>
      <c r="CL635" s="319" t="s">
        <v>190</v>
      </c>
      <c r="CM635" s="319" t="s">
        <v>190</v>
      </c>
      <c r="CN635" s="319" t="s">
        <v>190</v>
      </c>
      <c r="CO635" s="319" t="s">
        <v>428</v>
      </c>
      <c r="CP635" s="319" t="s">
        <v>428</v>
      </c>
      <c r="CQ635" s="319" t="s">
        <v>190</v>
      </c>
      <c r="CR635" s="319" t="s">
        <v>190</v>
      </c>
      <c r="CS635" s="319" t="s">
        <v>190</v>
      </c>
      <c r="CT635" s="319" t="s">
        <v>190</v>
      </c>
      <c r="CU635" s="319" t="s">
        <v>190</v>
      </c>
      <c r="CV635" s="319" t="s">
        <v>190</v>
      </c>
      <c r="CW635" s="319" t="s">
        <v>190</v>
      </c>
      <c r="CX635" s="319" t="s">
        <v>190</v>
      </c>
      <c r="CY635" s="319" t="s">
        <v>190</v>
      </c>
      <c r="CZ635" s="319" t="s">
        <v>190</v>
      </c>
      <c r="DA635" s="319" t="s">
        <v>190</v>
      </c>
      <c r="DB635" s="319" t="s">
        <v>190</v>
      </c>
      <c r="DC635" s="319" t="s">
        <v>190</v>
      </c>
      <c r="DD635" s="319" t="s">
        <v>190</v>
      </c>
      <c r="DE635" s="319" t="s">
        <v>190</v>
      </c>
      <c r="DF635" s="319" t="s">
        <v>190</v>
      </c>
      <c r="DG635" s="319" t="s">
        <v>190</v>
      </c>
      <c r="DH635" s="319" t="s">
        <v>190</v>
      </c>
      <c r="DI635" s="319" t="s">
        <v>190</v>
      </c>
      <c r="DJ635" s="319" t="s">
        <v>190</v>
      </c>
      <c r="DK635" s="319" t="s">
        <v>190</v>
      </c>
      <c r="DL635" s="319" t="s">
        <v>190</v>
      </c>
      <c r="DM635" s="319" t="s">
        <v>190</v>
      </c>
      <c r="DN635" s="319" t="s">
        <v>428</v>
      </c>
      <c r="DO635" s="319" t="s">
        <v>190</v>
      </c>
      <c r="DP635" s="319" t="s">
        <v>190</v>
      </c>
      <c r="DQ635" s="319" t="s">
        <v>190</v>
      </c>
      <c r="DR635" s="319" t="s">
        <v>190</v>
      </c>
      <c r="DS635" s="319" t="s">
        <v>190</v>
      </c>
      <c r="DT635" s="319" t="s">
        <v>190</v>
      </c>
      <c r="DU635" s="319" t="s">
        <v>190</v>
      </c>
      <c r="DV635" s="319" t="s">
        <v>173</v>
      </c>
      <c r="DW635" s="319" t="s">
        <v>190</v>
      </c>
      <c r="DX635" s="319" t="s">
        <v>190</v>
      </c>
      <c r="DY635" s="319" t="s">
        <v>190</v>
      </c>
      <c r="DZ635" s="319" t="s">
        <v>190</v>
      </c>
      <c r="EA635" s="319" t="s">
        <v>190</v>
      </c>
      <c r="EB635" s="319" t="s">
        <v>190</v>
      </c>
      <c r="EC635" s="319" t="s">
        <v>428</v>
      </c>
      <c r="ED635" s="319" t="s">
        <v>190</v>
      </c>
      <c r="EE635" s="319" t="s">
        <v>190</v>
      </c>
      <c r="EF635" s="319" t="s">
        <v>190</v>
      </c>
      <c r="EG635" s="319" t="s">
        <v>190</v>
      </c>
      <c r="EH635" s="319" t="s">
        <v>190</v>
      </c>
      <c r="EI635" s="319" t="s">
        <v>190</v>
      </c>
      <c r="EJ635" s="319" t="s">
        <v>190</v>
      </c>
      <c r="EK635" s="319" t="s">
        <v>190</v>
      </c>
      <c r="EL635" s="319" t="s">
        <v>428</v>
      </c>
      <c r="EM635" s="319" t="s">
        <v>428</v>
      </c>
      <c r="EN635" s="319" t="s">
        <v>190</v>
      </c>
      <c r="EO635" s="319" t="s">
        <v>190</v>
      </c>
      <c r="EP635" s="319" t="s">
        <v>190</v>
      </c>
      <c r="EQ635" s="319" t="s">
        <v>190</v>
      </c>
      <c r="ER635" s="319" t="s">
        <v>190</v>
      </c>
      <c r="ES635" s="319" t="s">
        <v>190</v>
      </c>
      <c r="ET635" s="319" t="s">
        <v>190</v>
      </c>
      <c r="EU635" s="319" t="s">
        <v>190</v>
      </c>
      <c r="EV635" s="319" t="s">
        <v>190</v>
      </c>
      <c r="EW635" s="319" t="s">
        <v>190</v>
      </c>
      <c r="EX635" s="319" t="s">
        <v>428</v>
      </c>
      <c r="EY635" s="319" t="s">
        <v>190</v>
      </c>
      <c r="EZ635" s="319" t="s">
        <v>190</v>
      </c>
      <c r="FA635" s="319" t="s">
        <v>428</v>
      </c>
      <c r="FB635" s="319" t="s">
        <v>190</v>
      </c>
      <c r="FC635" s="319" t="s">
        <v>190</v>
      </c>
      <c r="FD635" s="319" t="s">
        <v>190</v>
      </c>
      <c r="FE635" s="319" t="s">
        <v>190</v>
      </c>
      <c r="FF635" s="319" t="s">
        <v>190</v>
      </c>
      <c r="FG635" s="319" t="s">
        <v>190</v>
      </c>
      <c r="FH635" s="319" t="s">
        <v>190</v>
      </c>
      <c r="FI635" s="319" t="s">
        <v>428</v>
      </c>
      <c r="FJ635" s="319" t="s">
        <v>429</v>
      </c>
      <c r="FK635" s="319" t="s">
        <v>428</v>
      </c>
      <c r="FL635" s="319" t="s">
        <v>190</v>
      </c>
      <c r="FM635" s="319" t="s">
        <v>190</v>
      </c>
      <c r="FN635" s="319" t="s">
        <v>190</v>
      </c>
      <c r="FO635" s="319" t="s">
        <v>428</v>
      </c>
      <c r="FP635" s="319" t="s">
        <v>190</v>
      </c>
      <c r="FQ635" s="319" t="s">
        <v>190</v>
      </c>
      <c r="FR635" s="319" t="s">
        <v>190</v>
      </c>
      <c r="FS635" s="319" t="s">
        <v>428</v>
      </c>
      <c r="FT635" s="319" t="s">
        <v>190</v>
      </c>
      <c r="FU635" s="319" t="s">
        <v>190</v>
      </c>
      <c r="FV635" s="319" t="s">
        <v>190</v>
      </c>
      <c r="FW635" s="319" t="s">
        <v>190</v>
      </c>
      <c r="FX635" s="319" t="s">
        <v>190</v>
      </c>
      <c r="FY635" s="319" t="s">
        <v>190</v>
      </c>
      <c r="FZ635" s="319" t="s">
        <v>190</v>
      </c>
      <c r="GA635" s="319" t="s">
        <v>190</v>
      </c>
      <c r="GB635" s="319" t="s">
        <v>190</v>
      </c>
      <c r="GC635" s="319" t="s">
        <v>190</v>
      </c>
      <c r="GD635" s="319" t="s">
        <v>190</v>
      </c>
      <c r="GE635" s="319" t="s">
        <v>190</v>
      </c>
      <c r="GF635" s="319" t="s">
        <v>190</v>
      </c>
      <c r="GG635" s="319" t="s">
        <v>190</v>
      </c>
      <c r="GH635" s="319" t="s">
        <v>190</v>
      </c>
      <c r="GI635" s="319" t="s">
        <v>190</v>
      </c>
      <c r="GJ635" s="319" t="s">
        <v>190</v>
      </c>
      <c r="GK635" s="319" t="s">
        <v>428</v>
      </c>
      <c r="GL635" s="319" t="s">
        <v>190</v>
      </c>
      <c r="GM635" s="319" t="s">
        <v>190</v>
      </c>
      <c r="GN635" s="319" t="s">
        <v>190</v>
      </c>
      <c r="GO635" s="319" t="s">
        <v>190</v>
      </c>
      <c r="GP635" s="319" t="s">
        <v>190</v>
      </c>
      <c r="GQ635" s="319" t="s">
        <v>428</v>
      </c>
      <c r="GR635" s="319" t="s">
        <v>190</v>
      </c>
      <c r="GS635" s="319" t="s">
        <v>190</v>
      </c>
      <c r="GT635" s="319" t="s">
        <v>190</v>
      </c>
      <c r="GU635" s="319" t="s">
        <v>190</v>
      </c>
      <c r="GV635" s="319" t="s">
        <v>190</v>
      </c>
      <c r="GW635" s="319" t="s">
        <v>190</v>
      </c>
      <c r="GX635" s="319" t="s">
        <v>190</v>
      </c>
      <c r="GY635" s="319" t="s">
        <v>190</v>
      </c>
      <c r="GZ635" s="319" t="s">
        <v>190</v>
      </c>
      <c r="HA635" s="319" t="s">
        <v>190</v>
      </c>
      <c r="HB635" s="319" t="s">
        <v>428</v>
      </c>
      <c r="HC635" s="319" t="s">
        <v>190</v>
      </c>
      <c r="HD635" s="319" t="s">
        <v>190</v>
      </c>
      <c r="HE635" s="319" t="s">
        <v>190</v>
      </c>
      <c r="HF635" s="319" t="s">
        <v>190</v>
      </c>
      <c r="HG635" s="319" t="s">
        <v>190</v>
      </c>
      <c r="HH635" s="319" t="s">
        <v>190</v>
      </c>
      <c r="HI635" s="319" t="s">
        <v>190</v>
      </c>
      <c r="HJ635" s="319" t="s">
        <v>190</v>
      </c>
      <c r="HK635" s="319" t="s">
        <v>190</v>
      </c>
      <c r="HL635" s="319" t="s">
        <v>190</v>
      </c>
      <c r="HM635" s="319" t="s">
        <v>428</v>
      </c>
      <c r="HN635" s="319" t="s">
        <v>428</v>
      </c>
      <c r="HO635" s="319" t="s">
        <v>428</v>
      </c>
      <c r="HP635" s="319" t="s">
        <v>190</v>
      </c>
      <c r="HQ635" s="319" t="s">
        <v>190</v>
      </c>
      <c r="HR635" s="319" t="s">
        <v>190</v>
      </c>
      <c r="HS635" s="319" t="s">
        <v>190</v>
      </c>
      <c r="HT635" s="319" t="s">
        <v>190</v>
      </c>
      <c r="HU635" s="319" t="s">
        <v>190</v>
      </c>
      <c r="HV635" s="319" t="s">
        <v>190</v>
      </c>
      <c r="HW635" s="319" t="s">
        <v>190</v>
      </c>
      <c r="HX635" s="319" t="s">
        <v>190</v>
      </c>
      <c r="HY635" s="319" t="s">
        <v>190</v>
      </c>
      <c r="HZ635" s="319" t="s">
        <v>190</v>
      </c>
      <c r="IA635" s="319" t="s">
        <v>190</v>
      </c>
      <c r="IB635" s="319" t="s">
        <v>190</v>
      </c>
      <c r="IC635" s="319" t="s">
        <v>190</v>
      </c>
      <c r="ID635" s="319" t="s">
        <v>190</v>
      </c>
      <c r="IE635" s="319" t="s">
        <v>190</v>
      </c>
      <c r="IF635" s="319" t="s">
        <v>190</v>
      </c>
      <c r="IG635" s="319" t="s">
        <v>190</v>
      </c>
      <c r="IH635" s="319" t="s">
        <v>190</v>
      </c>
      <c r="II635" s="319" t="s">
        <v>190</v>
      </c>
      <c r="IJ635" s="319" t="s">
        <v>3394</v>
      </c>
      <c r="IK635" s="321">
        <v>42038</v>
      </c>
      <c r="IL635" s="321">
        <v>42040</v>
      </c>
      <c r="IM635" s="321">
        <v>42074</v>
      </c>
      <c r="IN635" s="319">
        <v>2</v>
      </c>
      <c r="IO635" s="319" t="s">
        <v>173</v>
      </c>
      <c r="IP635" s="319" t="s">
        <v>173</v>
      </c>
      <c r="IQ635" s="321" t="s">
        <v>173</v>
      </c>
      <c r="IR635" s="320" t="s">
        <v>173</v>
      </c>
      <c r="IS635" s="322" t="s">
        <v>173</v>
      </c>
      <c r="IT635" s="319" t="s">
        <v>173</v>
      </c>
    </row>
    <row r="636" spans="1:254" s="271" customFormat="1" x14ac:dyDescent="0.25">
      <c r="A636" s="318" t="str">
        <f>HYPERLINK("http://www.ofsted.gov.uk/inspection-reports/find-inspection-report/provider/ELS/136425 ","Ofsted School Webpage")</f>
        <v>Ofsted School Webpage</v>
      </c>
      <c r="B636" s="319">
        <v>136425</v>
      </c>
      <c r="C636" s="319">
        <v>8926074</v>
      </c>
      <c r="D636" s="319" t="s">
        <v>2103</v>
      </c>
      <c r="E636" s="319" t="s">
        <v>167</v>
      </c>
      <c r="F636" s="319" t="s">
        <v>81</v>
      </c>
      <c r="G636" s="319" t="s">
        <v>72</v>
      </c>
      <c r="H636" s="319" t="s">
        <v>72</v>
      </c>
      <c r="I636" s="319" t="s">
        <v>72</v>
      </c>
      <c r="J636" s="319" t="s">
        <v>424</v>
      </c>
      <c r="K636" s="319" t="s">
        <v>506</v>
      </c>
      <c r="L636" s="319" t="s">
        <v>506</v>
      </c>
      <c r="M636" s="319" t="s">
        <v>673</v>
      </c>
      <c r="N636" s="319" t="s">
        <v>3395</v>
      </c>
      <c r="O636" s="319" t="s">
        <v>2104</v>
      </c>
      <c r="P636" s="319">
        <v>105</v>
      </c>
      <c r="Q636" s="319" t="s">
        <v>2766</v>
      </c>
      <c r="R636" s="320">
        <v>10043799</v>
      </c>
      <c r="S636" s="321">
        <v>43179</v>
      </c>
      <c r="T636" s="321">
        <v>43181</v>
      </c>
      <c r="U636" s="321">
        <v>43221</v>
      </c>
      <c r="V636" s="319" t="s">
        <v>425</v>
      </c>
      <c r="W636" s="319" t="s">
        <v>2767</v>
      </c>
      <c r="X636" s="319">
        <v>2</v>
      </c>
      <c r="Y636" s="319" t="s">
        <v>173</v>
      </c>
      <c r="Z636" s="319" t="s">
        <v>173</v>
      </c>
      <c r="AA636" s="319" t="s">
        <v>173</v>
      </c>
      <c r="AB636" s="319">
        <v>2</v>
      </c>
      <c r="AC636" s="319" t="s">
        <v>169</v>
      </c>
      <c r="AD636" s="319">
        <v>2</v>
      </c>
      <c r="AE636" s="319" t="s">
        <v>173</v>
      </c>
      <c r="AF636" s="319" t="s">
        <v>427</v>
      </c>
      <c r="AG636" s="319" t="s">
        <v>171</v>
      </c>
      <c r="AH636" s="319" t="s">
        <v>190</v>
      </c>
      <c r="AI636" s="319" t="s">
        <v>190</v>
      </c>
      <c r="AJ636" s="319" t="s">
        <v>190</v>
      </c>
      <c r="AK636" s="319" t="s">
        <v>190</v>
      </c>
      <c r="AL636" s="319" t="s">
        <v>190</v>
      </c>
      <c r="AM636" s="319" t="s">
        <v>190</v>
      </c>
      <c r="AN636" s="319" t="s">
        <v>190</v>
      </c>
      <c r="AO636" s="319" t="s">
        <v>190</v>
      </c>
      <c r="AP636" s="319" t="s">
        <v>190</v>
      </c>
      <c r="AQ636" s="319" t="s">
        <v>190</v>
      </c>
      <c r="AR636" s="319" t="s">
        <v>190</v>
      </c>
      <c r="AS636" s="319" t="s">
        <v>190</v>
      </c>
      <c r="AT636" s="319" t="s">
        <v>190</v>
      </c>
      <c r="AU636" s="319" t="s">
        <v>190</v>
      </c>
      <c r="AV636" s="319" t="s">
        <v>190</v>
      </c>
      <c r="AW636" s="319" t="s">
        <v>190</v>
      </c>
      <c r="AX636" s="319" t="s">
        <v>428</v>
      </c>
      <c r="AY636" s="319" t="s">
        <v>190</v>
      </c>
      <c r="AZ636" s="319" t="s">
        <v>190</v>
      </c>
      <c r="BA636" s="319" t="s">
        <v>190</v>
      </c>
      <c r="BB636" s="319" t="s">
        <v>428</v>
      </c>
      <c r="BC636" s="319" t="s">
        <v>428</v>
      </c>
      <c r="BD636" s="319" t="s">
        <v>428</v>
      </c>
      <c r="BE636" s="319" t="s">
        <v>428</v>
      </c>
      <c r="BF636" s="319" t="s">
        <v>190</v>
      </c>
      <c r="BG636" s="319" t="s">
        <v>428</v>
      </c>
      <c r="BH636" s="319" t="s">
        <v>190</v>
      </c>
      <c r="BI636" s="319" t="s">
        <v>190</v>
      </c>
      <c r="BJ636" s="319" t="s">
        <v>190</v>
      </c>
      <c r="BK636" s="319" t="s">
        <v>190</v>
      </c>
      <c r="BL636" s="319" t="s">
        <v>190</v>
      </c>
      <c r="BM636" s="319" t="s">
        <v>190</v>
      </c>
      <c r="BN636" s="319" t="s">
        <v>190</v>
      </c>
      <c r="BO636" s="319" t="s">
        <v>190</v>
      </c>
      <c r="BP636" s="319" t="s">
        <v>190</v>
      </c>
      <c r="BQ636" s="319" t="s">
        <v>190</v>
      </c>
      <c r="BR636" s="319" t="s">
        <v>190</v>
      </c>
      <c r="BS636" s="319" t="s">
        <v>190</v>
      </c>
      <c r="BT636" s="319" t="s">
        <v>190</v>
      </c>
      <c r="BU636" s="319" t="s">
        <v>190</v>
      </c>
      <c r="BV636" s="319" t="s">
        <v>190</v>
      </c>
      <c r="BW636" s="319" t="s">
        <v>190</v>
      </c>
      <c r="BX636" s="319" t="s">
        <v>190</v>
      </c>
      <c r="BY636" s="319" t="s">
        <v>190</v>
      </c>
      <c r="BZ636" s="319" t="s">
        <v>190</v>
      </c>
      <c r="CA636" s="319" t="s">
        <v>190</v>
      </c>
      <c r="CB636" s="319" t="s">
        <v>190</v>
      </c>
      <c r="CC636" s="319" t="s">
        <v>190</v>
      </c>
      <c r="CD636" s="319" t="s">
        <v>190</v>
      </c>
      <c r="CE636" s="319" t="s">
        <v>190</v>
      </c>
      <c r="CF636" s="319" t="s">
        <v>190</v>
      </c>
      <c r="CG636" s="319" t="s">
        <v>190</v>
      </c>
      <c r="CH636" s="319" t="s">
        <v>190</v>
      </c>
      <c r="CI636" s="319" t="s">
        <v>190</v>
      </c>
      <c r="CJ636" s="319" t="s">
        <v>190</v>
      </c>
      <c r="CK636" s="319" t="s">
        <v>190</v>
      </c>
      <c r="CL636" s="319" t="s">
        <v>190</v>
      </c>
      <c r="CM636" s="319" t="s">
        <v>190</v>
      </c>
      <c r="CN636" s="319" t="s">
        <v>428</v>
      </c>
      <c r="CO636" s="319" t="s">
        <v>428</v>
      </c>
      <c r="CP636" s="319" t="s">
        <v>428</v>
      </c>
      <c r="CQ636" s="319" t="s">
        <v>190</v>
      </c>
      <c r="CR636" s="319" t="s">
        <v>190</v>
      </c>
      <c r="CS636" s="319" t="s">
        <v>190</v>
      </c>
      <c r="CT636" s="319" t="s">
        <v>190</v>
      </c>
      <c r="CU636" s="319" t="s">
        <v>190</v>
      </c>
      <c r="CV636" s="319" t="s">
        <v>190</v>
      </c>
      <c r="CW636" s="319" t="s">
        <v>190</v>
      </c>
      <c r="CX636" s="319" t="s">
        <v>190</v>
      </c>
      <c r="CY636" s="319" t="s">
        <v>190</v>
      </c>
      <c r="CZ636" s="319" t="s">
        <v>190</v>
      </c>
      <c r="DA636" s="319" t="s">
        <v>190</v>
      </c>
      <c r="DB636" s="319" t="s">
        <v>190</v>
      </c>
      <c r="DC636" s="319" t="s">
        <v>190</v>
      </c>
      <c r="DD636" s="319" t="s">
        <v>190</v>
      </c>
      <c r="DE636" s="319" t="s">
        <v>190</v>
      </c>
      <c r="DF636" s="319" t="s">
        <v>190</v>
      </c>
      <c r="DG636" s="319" t="s">
        <v>190</v>
      </c>
      <c r="DH636" s="319" t="s">
        <v>190</v>
      </c>
      <c r="DI636" s="319" t="s">
        <v>190</v>
      </c>
      <c r="DJ636" s="319" t="s">
        <v>190</v>
      </c>
      <c r="DK636" s="319" t="s">
        <v>190</v>
      </c>
      <c r="DL636" s="319" t="s">
        <v>190</v>
      </c>
      <c r="DM636" s="319" t="s">
        <v>190</v>
      </c>
      <c r="DN636" s="319" t="s">
        <v>428</v>
      </c>
      <c r="DO636" s="319" t="s">
        <v>190</v>
      </c>
      <c r="DP636" s="319" t="s">
        <v>428</v>
      </c>
      <c r="DQ636" s="319" t="s">
        <v>428</v>
      </c>
      <c r="DR636" s="319" t="s">
        <v>428</v>
      </c>
      <c r="DS636" s="319" t="s">
        <v>428</v>
      </c>
      <c r="DT636" s="319" t="s">
        <v>428</v>
      </c>
      <c r="DU636" s="319" t="s">
        <v>428</v>
      </c>
      <c r="DV636" s="319" t="s">
        <v>173</v>
      </c>
      <c r="DW636" s="319" t="s">
        <v>428</v>
      </c>
      <c r="DX636" s="319" t="s">
        <v>428</v>
      </c>
      <c r="DY636" s="319" t="s">
        <v>428</v>
      </c>
      <c r="DZ636" s="319" t="s">
        <v>428</v>
      </c>
      <c r="EA636" s="319" t="s">
        <v>428</v>
      </c>
      <c r="EB636" s="319" t="s">
        <v>428</v>
      </c>
      <c r="EC636" s="319" t="s">
        <v>428</v>
      </c>
      <c r="ED636" s="319" t="s">
        <v>428</v>
      </c>
      <c r="EE636" s="319" t="s">
        <v>428</v>
      </c>
      <c r="EF636" s="319" t="s">
        <v>428</v>
      </c>
      <c r="EG636" s="319" t="s">
        <v>428</v>
      </c>
      <c r="EH636" s="319" t="s">
        <v>428</v>
      </c>
      <c r="EI636" s="319" t="s">
        <v>428</v>
      </c>
      <c r="EJ636" s="319" t="s">
        <v>428</v>
      </c>
      <c r="EK636" s="319" t="s">
        <v>428</v>
      </c>
      <c r="EL636" s="319" t="s">
        <v>428</v>
      </c>
      <c r="EM636" s="319" t="s">
        <v>428</v>
      </c>
      <c r="EN636" s="319" t="s">
        <v>190</v>
      </c>
      <c r="EO636" s="319" t="s">
        <v>190</v>
      </c>
      <c r="EP636" s="319" t="s">
        <v>190</v>
      </c>
      <c r="EQ636" s="319" t="s">
        <v>190</v>
      </c>
      <c r="ER636" s="319" t="s">
        <v>190</v>
      </c>
      <c r="ES636" s="319" t="s">
        <v>190</v>
      </c>
      <c r="ET636" s="319" t="s">
        <v>190</v>
      </c>
      <c r="EU636" s="319" t="s">
        <v>190</v>
      </c>
      <c r="EV636" s="319" t="s">
        <v>190</v>
      </c>
      <c r="EW636" s="319" t="s">
        <v>190</v>
      </c>
      <c r="EX636" s="319" t="s">
        <v>190</v>
      </c>
      <c r="EY636" s="319" t="s">
        <v>190</v>
      </c>
      <c r="EZ636" s="319" t="s">
        <v>190</v>
      </c>
      <c r="FA636" s="319" t="s">
        <v>428</v>
      </c>
      <c r="FB636" s="319" t="s">
        <v>428</v>
      </c>
      <c r="FC636" s="319" t="s">
        <v>428</v>
      </c>
      <c r="FD636" s="319" t="s">
        <v>428</v>
      </c>
      <c r="FE636" s="319" t="s">
        <v>428</v>
      </c>
      <c r="FF636" s="319" t="s">
        <v>428</v>
      </c>
      <c r="FG636" s="319" t="s">
        <v>428</v>
      </c>
      <c r="FH636" s="319" t="s">
        <v>428</v>
      </c>
      <c r="FI636" s="319" t="s">
        <v>428</v>
      </c>
      <c r="FJ636" s="319" t="s">
        <v>429</v>
      </c>
      <c r="FK636" s="319" t="s">
        <v>428</v>
      </c>
      <c r="FL636" s="319" t="s">
        <v>190</v>
      </c>
      <c r="FM636" s="319" t="s">
        <v>190</v>
      </c>
      <c r="FN636" s="319" t="s">
        <v>190</v>
      </c>
      <c r="FO636" s="319" t="s">
        <v>428</v>
      </c>
      <c r="FP636" s="319" t="s">
        <v>190</v>
      </c>
      <c r="FQ636" s="319" t="s">
        <v>190</v>
      </c>
      <c r="FR636" s="319" t="s">
        <v>190</v>
      </c>
      <c r="FS636" s="319" t="s">
        <v>428</v>
      </c>
      <c r="FT636" s="319" t="s">
        <v>190</v>
      </c>
      <c r="FU636" s="319" t="s">
        <v>190</v>
      </c>
      <c r="FV636" s="319" t="s">
        <v>190</v>
      </c>
      <c r="FW636" s="319" t="s">
        <v>190</v>
      </c>
      <c r="FX636" s="319" t="s">
        <v>190</v>
      </c>
      <c r="FY636" s="319" t="s">
        <v>190</v>
      </c>
      <c r="FZ636" s="319" t="s">
        <v>190</v>
      </c>
      <c r="GA636" s="319" t="s">
        <v>190</v>
      </c>
      <c r="GB636" s="319" t="s">
        <v>190</v>
      </c>
      <c r="GC636" s="319" t="s">
        <v>190</v>
      </c>
      <c r="GD636" s="319" t="s">
        <v>190</v>
      </c>
      <c r="GE636" s="319" t="s">
        <v>190</v>
      </c>
      <c r="GF636" s="319" t="s">
        <v>190</v>
      </c>
      <c r="GG636" s="319" t="s">
        <v>190</v>
      </c>
      <c r="GH636" s="319" t="s">
        <v>190</v>
      </c>
      <c r="GI636" s="319" t="s">
        <v>190</v>
      </c>
      <c r="GJ636" s="319" t="s">
        <v>190</v>
      </c>
      <c r="GK636" s="319" t="s">
        <v>428</v>
      </c>
      <c r="GL636" s="319" t="s">
        <v>190</v>
      </c>
      <c r="GM636" s="319" t="s">
        <v>190</v>
      </c>
      <c r="GN636" s="319" t="s">
        <v>190</v>
      </c>
      <c r="GO636" s="319" t="s">
        <v>190</v>
      </c>
      <c r="GP636" s="319" t="s">
        <v>190</v>
      </c>
      <c r="GQ636" s="319" t="s">
        <v>428</v>
      </c>
      <c r="GR636" s="319" t="s">
        <v>190</v>
      </c>
      <c r="GS636" s="319" t="s">
        <v>190</v>
      </c>
      <c r="GT636" s="319" t="s">
        <v>428</v>
      </c>
      <c r="GU636" s="319" t="s">
        <v>428</v>
      </c>
      <c r="GV636" s="319" t="s">
        <v>190</v>
      </c>
      <c r="GW636" s="319" t="s">
        <v>190</v>
      </c>
      <c r="GX636" s="319" t="s">
        <v>190</v>
      </c>
      <c r="GY636" s="319" t="s">
        <v>190</v>
      </c>
      <c r="GZ636" s="319" t="s">
        <v>190</v>
      </c>
      <c r="HA636" s="319" t="s">
        <v>190</v>
      </c>
      <c r="HB636" s="319" t="s">
        <v>190</v>
      </c>
      <c r="HC636" s="319" t="s">
        <v>190</v>
      </c>
      <c r="HD636" s="319" t="s">
        <v>190</v>
      </c>
      <c r="HE636" s="319" t="s">
        <v>190</v>
      </c>
      <c r="HF636" s="319" t="s">
        <v>190</v>
      </c>
      <c r="HG636" s="319" t="s">
        <v>190</v>
      </c>
      <c r="HH636" s="319" t="s">
        <v>190</v>
      </c>
      <c r="HI636" s="319" t="s">
        <v>190</v>
      </c>
      <c r="HJ636" s="319" t="s">
        <v>190</v>
      </c>
      <c r="HK636" s="319" t="s">
        <v>190</v>
      </c>
      <c r="HL636" s="319" t="s">
        <v>428</v>
      </c>
      <c r="HM636" s="319" t="s">
        <v>428</v>
      </c>
      <c r="HN636" s="319" t="s">
        <v>428</v>
      </c>
      <c r="HO636" s="319" t="s">
        <v>428</v>
      </c>
      <c r="HP636" s="319" t="s">
        <v>190</v>
      </c>
      <c r="HQ636" s="319" t="s">
        <v>190</v>
      </c>
      <c r="HR636" s="319" t="s">
        <v>190</v>
      </c>
      <c r="HS636" s="319" t="s">
        <v>190</v>
      </c>
      <c r="HT636" s="319" t="s">
        <v>190</v>
      </c>
      <c r="HU636" s="319" t="s">
        <v>190</v>
      </c>
      <c r="HV636" s="319" t="s">
        <v>190</v>
      </c>
      <c r="HW636" s="319" t="s">
        <v>190</v>
      </c>
      <c r="HX636" s="319" t="s">
        <v>190</v>
      </c>
      <c r="HY636" s="319" t="s">
        <v>190</v>
      </c>
      <c r="HZ636" s="319" t="s">
        <v>190</v>
      </c>
      <c r="IA636" s="319" t="s">
        <v>190</v>
      </c>
      <c r="IB636" s="319" t="s">
        <v>190</v>
      </c>
      <c r="IC636" s="319" t="s">
        <v>190</v>
      </c>
      <c r="ID636" s="319" t="s">
        <v>190</v>
      </c>
      <c r="IE636" s="319" t="s">
        <v>190</v>
      </c>
      <c r="IF636" s="319" t="s">
        <v>190</v>
      </c>
      <c r="IG636" s="319" t="s">
        <v>190</v>
      </c>
      <c r="IH636" s="319" t="s">
        <v>190</v>
      </c>
      <c r="II636" s="319" t="s">
        <v>190</v>
      </c>
      <c r="IJ636" s="319" t="s">
        <v>3396</v>
      </c>
      <c r="IK636" s="321">
        <v>42031</v>
      </c>
      <c r="IL636" s="321">
        <v>42033</v>
      </c>
      <c r="IM636" s="321">
        <v>42067</v>
      </c>
      <c r="IN636" s="319">
        <v>2</v>
      </c>
      <c r="IO636" s="319" t="s">
        <v>173</v>
      </c>
      <c r="IP636" s="319" t="s">
        <v>173</v>
      </c>
      <c r="IQ636" s="321" t="s">
        <v>173</v>
      </c>
      <c r="IR636" s="320" t="s">
        <v>173</v>
      </c>
      <c r="IS636" s="322" t="s">
        <v>173</v>
      </c>
      <c r="IT636" s="319" t="s">
        <v>173</v>
      </c>
    </row>
    <row r="637" spans="1:254" s="271" customFormat="1" x14ac:dyDescent="0.25">
      <c r="A637" s="318" t="str">
        <f>HYPERLINK("http://www.ofsted.gov.uk/inspection-reports/find-inspection-report/provider/ELS/136434 ","Ofsted School Webpage")</f>
        <v>Ofsted School Webpage</v>
      </c>
      <c r="B637" s="319">
        <v>136434</v>
      </c>
      <c r="C637" s="319">
        <v>9356229</v>
      </c>
      <c r="D637" s="319" t="s">
        <v>1113</v>
      </c>
      <c r="E637" s="319" t="s">
        <v>168</v>
      </c>
      <c r="F637" s="319" t="s">
        <v>81</v>
      </c>
      <c r="G637" s="319" t="s">
        <v>81</v>
      </c>
      <c r="H637" s="319" t="s">
        <v>81</v>
      </c>
      <c r="I637" s="319" t="s">
        <v>78</v>
      </c>
      <c r="J637" s="319" t="s">
        <v>424</v>
      </c>
      <c r="K637" s="319" t="s">
        <v>451</v>
      </c>
      <c r="L637" s="319" t="s">
        <v>451</v>
      </c>
      <c r="M637" s="319" t="s">
        <v>839</v>
      </c>
      <c r="N637" s="319" t="s">
        <v>3397</v>
      </c>
      <c r="O637" s="319" t="s">
        <v>1114</v>
      </c>
      <c r="P637" s="319">
        <v>2</v>
      </c>
      <c r="Q637" s="319" t="s">
        <v>429</v>
      </c>
      <c r="R637" s="320">
        <v>10093916</v>
      </c>
      <c r="S637" s="321">
        <v>43599</v>
      </c>
      <c r="T637" s="321">
        <v>43601</v>
      </c>
      <c r="U637" s="321">
        <v>43634</v>
      </c>
      <c r="V637" s="319" t="s">
        <v>425</v>
      </c>
      <c r="W637" s="319" t="s">
        <v>2767</v>
      </c>
      <c r="X637" s="319">
        <v>3</v>
      </c>
      <c r="Y637" s="319" t="s">
        <v>173</v>
      </c>
      <c r="Z637" s="319" t="s">
        <v>173</v>
      </c>
      <c r="AA637" s="319" t="s">
        <v>173</v>
      </c>
      <c r="AB637" s="319">
        <v>3</v>
      </c>
      <c r="AC637" s="319" t="s">
        <v>169</v>
      </c>
      <c r="AD637" s="319" t="s">
        <v>173</v>
      </c>
      <c r="AE637" s="319" t="s">
        <v>173</v>
      </c>
      <c r="AF637" s="319" t="s">
        <v>427</v>
      </c>
      <c r="AG637" s="319" t="s">
        <v>171</v>
      </c>
      <c r="AH637" s="319" t="s">
        <v>190</v>
      </c>
      <c r="AI637" s="319" t="s">
        <v>190</v>
      </c>
      <c r="AJ637" s="319" t="s">
        <v>190</v>
      </c>
      <c r="AK637" s="319" t="s">
        <v>190</v>
      </c>
      <c r="AL637" s="319" t="s">
        <v>190</v>
      </c>
      <c r="AM637" s="319" t="s">
        <v>190</v>
      </c>
      <c r="AN637" s="319" t="s">
        <v>190</v>
      </c>
      <c r="AO637" s="319" t="s">
        <v>190</v>
      </c>
      <c r="AP637" s="319" t="s">
        <v>190</v>
      </c>
      <c r="AQ637" s="319" t="s">
        <v>190</v>
      </c>
      <c r="AR637" s="319" t="s">
        <v>190</v>
      </c>
      <c r="AS637" s="319" t="s">
        <v>190</v>
      </c>
      <c r="AT637" s="319" t="s">
        <v>190</v>
      </c>
      <c r="AU637" s="319" t="s">
        <v>190</v>
      </c>
      <c r="AV637" s="319" t="s">
        <v>190</v>
      </c>
      <c r="AW637" s="319" t="s">
        <v>190</v>
      </c>
      <c r="AX637" s="319" t="s">
        <v>428</v>
      </c>
      <c r="AY637" s="319" t="s">
        <v>190</v>
      </c>
      <c r="AZ637" s="319" t="s">
        <v>190</v>
      </c>
      <c r="BA637" s="319" t="s">
        <v>190</v>
      </c>
      <c r="BB637" s="319" t="s">
        <v>190</v>
      </c>
      <c r="BC637" s="319" t="s">
        <v>190</v>
      </c>
      <c r="BD637" s="319" t="s">
        <v>190</v>
      </c>
      <c r="BE637" s="319" t="s">
        <v>190</v>
      </c>
      <c r="BF637" s="319" t="s">
        <v>428</v>
      </c>
      <c r="BG637" s="319" t="s">
        <v>428</v>
      </c>
      <c r="BH637" s="319" t="s">
        <v>190</v>
      </c>
      <c r="BI637" s="319" t="s">
        <v>190</v>
      </c>
      <c r="BJ637" s="319" t="s">
        <v>190</v>
      </c>
      <c r="BK637" s="319" t="s">
        <v>190</v>
      </c>
      <c r="BL637" s="319" t="s">
        <v>190</v>
      </c>
      <c r="BM637" s="319" t="s">
        <v>190</v>
      </c>
      <c r="BN637" s="319" t="s">
        <v>190</v>
      </c>
      <c r="BO637" s="319" t="s">
        <v>190</v>
      </c>
      <c r="BP637" s="319" t="s">
        <v>190</v>
      </c>
      <c r="BQ637" s="319" t="s">
        <v>190</v>
      </c>
      <c r="BR637" s="319" t="s">
        <v>190</v>
      </c>
      <c r="BS637" s="319" t="s">
        <v>190</v>
      </c>
      <c r="BT637" s="319" t="s">
        <v>190</v>
      </c>
      <c r="BU637" s="319" t="s">
        <v>190</v>
      </c>
      <c r="BV637" s="319" t="s">
        <v>190</v>
      </c>
      <c r="BW637" s="319" t="s">
        <v>190</v>
      </c>
      <c r="BX637" s="319" t="s">
        <v>190</v>
      </c>
      <c r="BY637" s="319" t="s">
        <v>190</v>
      </c>
      <c r="BZ637" s="319" t="s">
        <v>190</v>
      </c>
      <c r="CA637" s="319" t="s">
        <v>190</v>
      </c>
      <c r="CB637" s="319" t="s">
        <v>190</v>
      </c>
      <c r="CC637" s="319" t="s">
        <v>190</v>
      </c>
      <c r="CD637" s="319" t="s">
        <v>190</v>
      </c>
      <c r="CE637" s="319" t="s">
        <v>190</v>
      </c>
      <c r="CF637" s="319" t="s">
        <v>190</v>
      </c>
      <c r="CG637" s="319" t="s">
        <v>190</v>
      </c>
      <c r="CH637" s="319" t="s">
        <v>190</v>
      </c>
      <c r="CI637" s="319" t="s">
        <v>190</v>
      </c>
      <c r="CJ637" s="319" t="s">
        <v>190</v>
      </c>
      <c r="CK637" s="319" t="s">
        <v>190</v>
      </c>
      <c r="CL637" s="319" t="s">
        <v>190</v>
      </c>
      <c r="CM637" s="319" t="s">
        <v>190</v>
      </c>
      <c r="CN637" s="319" t="s">
        <v>428</v>
      </c>
      <c r="CO637" s="319" t="s">
        <v>428</v>
      </c>
      <c r="CP637" s="319" t="s">
        <v>428</v>
      </c>
      <c r="CQ637" s="319" t="s">
        <v>190</v>
      </c>
      <c r="CR637" s="319" t="s">
        <v>190</v>
      </c>
      <c r="CS637" s="319" t="s">
        <v>190</v>
      </c>
      <c r="CT637" s="319" t="s">
        <v>190</v>
      </c>
      <c r="CU637" s="319" t="s">
        <v>190</v>
      </c>
      <c r="CV637" s="319" t="s">
        <v>190</v>
      </c>
      <c r="CW637" s="319" t="s">
        <v>190</v>
      </c>
      <c r="CX637" s="319" t="s">
        <v>190</v>
      </c>
      <c r="CY637" s="319" t="s">
        <v>190</v>
      </c>
      <c r="CZ637" s="319" t="s">
        <v>190</v>
      </c>
      <c r="DA637" s="319" t="s">
        <v>190</v>
      </c>
      <c r="DB637" s="319" t="s">
        <v>190</v>
      </c>
      <c r="DC637" s="319" t="s">
        <v>190</v>
      </c>
      <c r="DD637" s="319" t="s">
        <v>190</v>
      </c>
      <c r="DE637" s="319" t="s">
        <v>190</v>
      </c>
      <c r="DF637" s="319" t="s">
        <v>190</v>
      </c>
      <c r="DG637" s="319" t="s">
        <v>190</v>
      </c>
      <c r="DH637" s="319" t="s">
        <v>190</v>
      </c>
      <c r="DI637" s="319" t="s">
        <v>190</v>
      </c>
      <c r="DJ637" s="319" t="s">
        <v>190</v>
      </c>
      <c r="DK637" s="319" t="s">
        <v>190</v>
      </c>
      <c r="DL637" s="319" t="s">
        <v>190</v>
      </c>
      <c r="DM637" s="319" t="s">
        <v>190</v>
      </c>
      <c r="DN637" s="319" t="s">
        <v>428</v>
      </c>
      <c r="DO637" s="319" t="s">
        <v>190</v>
      </c>
      <c r="DP637" s="319" t="s">
        <v>428</v>
      </c>
      <c r="DQ637" s="319" t="s">
        <v>428</v>
      </c>
      <c r="DR637" s="319" t="s">
        <v>428</v>
      </c>
      <c r="DS637" s="319" t="s">
        <v>428</v>
      </c>
      <c r="DT637" s="319" t="s">
        <v>428</v>
      </c>
      <c r="DU637" s="319" t="s">
        <v>428</v>
      </c>
      <c r="DV637" s="319" t="s">
        <v>173</v>
      </c>
      <c r="DW637" s="319" t="s">
        <v>428</v>
      </c>
      <c r="DX637" s="319" t="s">
        <v>428</v>
      </c>
      <c r="DY637" s="319" t="s">
        <v>428</v>
      </c>
      <c r="DZ637" s="319" t="s">
        <v>428</v>
      </c>
      <c r="EA637" s="319" t="s">
        <v>428</v>
      </c>
      <c r="EB637" s="319" t="s">
        <v>428</v>
      </c>
      <c r="EC637" s="319" t="s">
        <v>428</v>
      </c>
      <c r="ED637" s="319" t="s">
        <v>428</v>
      </c>
      <c r="EE637" s="319" t="s">
        <v>190</v>
      </c>
      <c r="EF637" s="319" t="s">
        <v>190</v>
      </c>
      <c r="EG637" s="319" t="s">
        <v>190</v>
      </c>
      <c r="EH637" s="319" t="s">
        <v>190</v>
      </c>
      <c r="EI637" s="319" t="s">
        <v>190</v>
      </c>
      <c r="EJ637" s="319" t="s">
        <v>190</v>
      </c>
      <c r="EK637" s="319" t="s">
        <v>190</v>
      </c>
      <c r="EL637" s="319" t="s">
        <v>190</v>
      </c>
      <c r="EM637" s="319" t="s">
        <v>190</v>
      </c>
      <c r="EN637" s="319" t="s">
        <v>190</v>
      </c>
      <c r="EO637" s="319" t="s">
        <v>190</v>
      </c>
      <c r="EP637" s="319" t="s">
        <v>190</v>
      </c>
      <c r="EQ637" s="319" t="s">
        <v>190</v>
      </c>
      <c r="ER637" s="319" t="s">
        <v>190</v>
      </c>
      <c r="ES637" s="319" t="s">
        <v>190</v>
      </c>
      <c r="ET637" s="319" t="s">
        <v>190</v>
      </c>
      <c r="EU637" s="319" t="s">
        <v>190</v>
      </c>
      <c r="EV637" s="319" t="s">
        <v>190</v>
      </c>
      <c r="EW637" s="319" t="s">
        <v>190</v>
      </c>
      <c r="EX637" s="319" t="s">
        <v>190</v>
      </c>
      <c r="EY637" s="319" t="s">
        <v>190</v>
      </c>
      <c r="EZ637" s="319" t="s">
        <v>190</v>
      </c>
      <c r="FA637" s="319" t="s">
        <v>190</v>
      </c>
      <c r="FB637" s="319" t="s">
        <v>428</v>
      </c>
      <c r="FC637" s="319" t="s">
        <v>428</v>
      </c>
      <c r="FD637" s="319" t="s">
        <v>428</v>
      </c>
      <c r="FE637" s="319" t="s">
        <v>428</v>
      </c>
      <c r="FF637" s="319" t="s">
        <v>428</v>
      </c>
      <c r="FG637" s="319" t="s">
        <v>428</v>
      </c>
      <c r="FH637" s="319" t="s">
        <v>190</v>
      </c>
      <c r="FI637" s="319" t="s">
        <v>190</v>
      </c>
      <c r="FJ637" s="319" t="s">
        <v>190</v>
      </c>
      <c r="FK637" s="319" t="s">
        <v>190</v>
      </c>
      <c r="FL637" s="319" t="s">
        <v>190</v>
      </c>
      <c r="FM637" s="319" t="s">
        <v>190</v>
      </c>
      <c r="FN637" s="319" t="s">
        <v>190</v>
      </c>
      <c r="FO637" s="319" t="s">
        <v>190</v>
      </c>
      <c r="FP637" s="319" t="s">
        <v>190</v>
      </c>
      <c r="FQ637" s="319" t="s">
        <v>190</v>
      </c>
      <c r="FR637" s="319" t="s">
        <v>190</v>
      </c>
      <c r="FS637" s="319" t="s">
        <v>428</v>
      </c>
      <c r="FT637" s="319" t="s">
        <v>190</v>
      </c>
      <c r="FU637" s="319" t="s">
        <v>190</v>
      </c>
      <c r="FV637" s="319" t="s">
        <v>190</v>
      </c>
      <c r="FW637" s="319" t="s">
        <v>190</v>
      </c>
      <c r="FX637" s="319" t="s">
        <v>190</v>
      </c>
      <c r="FY637" s="319" t="s">
        <v>190</v>
      </c>
      <c r="FZ637" s="319" t="s">
        <v>190</v>
      </c>
      <c r="GA637" s="319" t="s">
        <v>190</v>
      </c>
      <c r="GB637" s="319" t="s">
        <v>190</v>
      </c>
      <c r="GC637" s="319" t="s">
        <v>190</v>
      </c>
      <c r="GD637" s="319" t="s">
        <v>190</v>
      </c>
      <c r="GE637" s="319" t="s">
        <v>190</v>
      </c>
      <c r="GF637" s="319" t="s">
        <v>190</v>
      </c>
      <c r="GG637" s="319" t="s">
        <v>190</v>
      </c>
      <c r="GH637" s="319" t="s">
        <v>190</v>
      </c>
      <c r="GI637" s="319" t="s">
        <v>190</v>
      </c>
      <c r="GJ637" s="319" t="s">
        <v>190</v>
      </c>
      <c r="GK637" s="319" t="s">
        <v>190</v>
      </c>
      <c r="GL637" s="319" t="s">
        <v>190</v>
      </c>
      <c r="GM637" s="319" t="s">
        <v>190</v>
      </c>
      <c r="GN637" s="319" t="s">
        <v>190</v>
      </c>
      <c r="GO637" s="319" t="s">
        <v>190</v>
      </c>
      <c r="GP637" s="319" t="s">
        <v>190</v>
      </c>
      <c r="GQ637" s="319" t="s">
        <v>428</v>
      </c>
      <c r="GR637" s="319" t="s">
        <v>190</v>
      </c>
      <c r="GS637" s="319" t="s">
        <v>190</v>
      </c>
      <c r="GT637" s="319" t="s">
        <v>190</v>
      </c>
      <c r="GU637" s="319" t="s">
        <v>190</v>
      </c>
      <c r="GV637" s="319" t="s">
        <v>190</v>
      </c>
      <c r="GW637" s="319" t="s">
        <v>190</v>
      </c>
      <c r="GX637" s="319" t="s">
        <v>190</v>
      </c>
      <c r="GY637" s="319" t="s">
        <v>190</v>
      </c>
      <c r="GZ637" s="319" t="s">
        <v>190</v>
      </c>
      <c r="HA637" s="319" t="s">
        <v>428</v>
      </c>
      <c r="HB637" s="319" t="s">
        <v>428</v>
      </c>
      <c r="HC637" s="319" t="s">
        <v>190</v>
      </c>
      <c r="HD637" s="319" t="s">
        <v>190</v>
      </c>
      <c r="HE637" s="319" t="s">
        <v>190</v>
      </c>
      <c r="HF637" s="319" t="s">
        <v>190</v>
      </c>
      <c r="HG637" s="319" t="s">
        <v>190</v>
      </c>
      <c r="HH637" s="319" t="s">
        <v>190</v>
      </c>
      <c r="HI637" s="319" t="s">
        <v>190</v>
      </c>
      <c r="HJ637" s="319" t="s">
        <v>190</v>
      </c>
      <c r="HK637" s="319" t="s">
        <v>190</v>
      </c>
      <c r="HL637" s="319" t="s">
        <v>190</v>
      </c>
      <c r="HM637" s="319" t="s">
        <v>190</v>
      </c>
      <c r="HN637" s="319" t="s">
        <v>190</v>
      </c>
      <c r="HO637" s="319" t="s">
        <v>190</v>
      </c>
      <c r="HP637" s="319" t="s">
        <v>190</v>
      </c>
      <c r="HQ637" s="319" t="s">
        <v>190</v>
      </c>
      <c r="HR637" s="319" t="s">
        <v>190</v>
      </c>
      <c r="HS637" s="319" t="s">
        <v>190</v>
      </c>
      <c r="HT637" s="319" t="s">
        <v>190</v>
      </c>
      <c r="HU637" s="319" t="s">
        <v>190</v>
      </c>
      <c r="HV637" s="319" t="s">
        <v>190</v>
      </c>
      <c r="HW637" s="319" t="s">
        <v>190</v>
      </c>
      <c r="HX637" s="319" t="s">
        <v>190</v>
      </c>
      <c r="HY637" s="319" t="s">
        <v>190</v>
      </c>
      <c r="HZ637" s="319" t="s">
        <v>190</v>
      </c>
      <c r="IA637" s="319" t="s">
        <v>190</v>
      </c>
      <c r="IB637" s="319" t="s">
        <v>190</v>
      </c>
      <c r="IC637" s="319" t="s">
        <v>190</v>
      </c>
      <c r="ID637" s="319" t="s">
        <v>190</v>
      </c>
      <c r="IE637" s="319" t="s">
        <v>190</v>
      </c>
      <c r="IF637" s="319" t="s">
        <v>190</v>
      </c>
      <c r="IG637" s="319" t="s">
        <v>190</v>
      </c>
      <c r="IH637" s="319" t="s">
        <v>190</v>
      </c>
      <c r="II637" s="319" t="s">
        <v>190</v>
      </c>
      <c r="IJ637" s="319">
        <v>10038909</v>
      </c>
      <c r="IK637" s="321">
        <v>42990</v>
      </c>
      <c r="IL637" s="321">
        <v>42991</v>
      </c>
      <c r="IM637" s="321">
        <v>43021</v>
      </c>
      <c r="IN637" s="319">
        <v>3</v>
      </c>
      <c r="IO637" s="319" t="s">
        <v>173</v>
      </c>
      <c r="IP637" s="319" t="s">
        <v>173</v>
      </c>
      <c r="IQ637" s="321" t="s">
        <v>173</v>
      </c>
      <c r="IR637" s="320" t="s">
        <v>173</v>
      </c>
      <c r="IS637" s="322" t="s">
        <v>173</v>
      </c>
      <c r="IT637" s="319" t="s">
        <v>173</v>
      </c>
    </row>
    <row r="638" spans="1:254" s="271" customFormat="1" x14ac:dyDescent="0.25">
      <c r="A638" s="318" t="str">
        <f>HYPERLINK("http://www.ofsted.gov.uk/inspection-reports/find-inspection-report/provider/ELS/136503 ","Ofsted School Webpage")</f>
        <v>Ofsted School Webpage</v>
      </c>
      <c r="B638" s="319">
        <v>136503</v>
      </c>
      <c r="C638" s="319">
        <v>3556058</v>
      </c>
      <c r="D638" s="319" t="s">
        <v>2105</v>
      </c>
      <c r="E638" s="319" t="s">
        <v>167</v>
      </c>
      <c r="F638" s="319" t="s">
        <v>81</v>
      </c>
      <c r="G638" s="319" t="s">
        <v>69</v>
      </c>
      <c r="H638" s="319" t="s">
        <v>69</v>
      </c>
      <c r="I638" s="319" t="s">
        <v>69</v>
      </c>
      <c r="J638" s="319" t="s">
        <v>424</v>
      </c>
      <c r="K638" s="319" t="s">
        <v>431</v>
      </c>
      <c r="L638" s="319" t="s">
        <v>431</v>
      </c>
      <c r="M638" s="319" t="s">
        <v>533</v>
      </c>
      <c r="N638" s="319" t="s">
        <v>2874</v>
      </c>
      <c r="O638" s="319" t="s">
        <v>2106</v>
      </c>
      <c r="P638" s="319">
        <v>210</v>
      </c>
      <c r="Q638" s="319" t="s">
        <v>2766</v>
      </c>
      <c r="R638" s="320">
        <v>10038933</v>
      </c>
      <c r="S638" s="321">
        <v>43109</v>
      </c>
      <c r="T638" s="321">
        <v>43111</v>
      </c>
      <c r="U638" s="321">
        <v>43146</v>
      </c>
      <c r="V638" s="319" t="s">
        <v>425</v>
      </c>
      <c r="W638" s="319" t="s">
        <v>2767</v>
      </c>
      <c r="X638" s="319">
        <v>3</v>
      </c>
      <c r="Y638" s="319" t="s">
        <v>173</v>
      </c>
      <c r="Z638" s="319" t="s">
        <v>173</v>
      </c>
      <c r="AA638" s="319" t="s">
        <v>173</v>
      </c>
      <c r="AB638" s="319">
        <v>3</v>
      </c>
      <c r="AC638" s="319" t="s">
        <v>169</v>
      </c>
      <c r="AD638" s="319">
        <v>3</v>
      </c>
      <c r="AE638" s="319" t="s">
        <v>173</v>
      </c>
      <c r="AF638" s="319" t="s">
        <v>447</v>
      </c>
      <c r="AG638" s="319" t="s">
        <v>171</v>
      </c>
      <c r="AH638" s="319" t="s">
        <v>190</v>
      </c>
      <c r="AI638" s="319" t="s">
        <v>190</v>
      </c>
      <c r="AJ638" s="319" t="s">
        <v>190</v>
      </c>
      <c r="AK638" s="319" t="s">
        <v>190</v>
      </c>
      <c r="AL638" s="319" t="s">
        <v>190</v>
      </c>
      <c r="AM638" s="319" t="s">
        <v>190</v>
      </c>
      <c r="AN638" s="319" t="s">
        <v>190</v>
      </c>
      <c r="AO638" s="319" t="s">
        <v>190</v>
      </c>
      <c r="AP638" s="319" t="s">
        <v>190</v>
      </c>
      <c r="AQ638" s="319" t="s">
        <v>190</v>
      </c>
      <c r="AR638" s="319" t="s">
        <v>190</v>
      </c>
      <c r="AS638" s="319" t="s">
        <v>190</v>
      </c>
      <c r="AT638" s="319" t="s">
        <v>190</v>
      </c>
      <c r="AU638" s="319" t="s">
        <v>190</v>
      </c>
      <c r="AV638" s="319" t="s">
        <v>190</v>
      </c>
      <c r="AW638" s="319" t="s">
        <v>190</v>
      </c>
      <c r="AX638" s="319" t="s">
        <v>428</v>
      </c>
      <c r="AY638" s="319" t="s">
        <v>190</v>
      </c>
      <c r="AZ638" s="319" t="s">
        <v>190</v>
      </c>
      <c r="BA638" s="319" t="s">
        <v>190</v>
      </c>
      <c r="BB638" s="319" t="s">
        <v>428</v>
      </c>
      <c r="BC638" s="319" t="s">
        <v>428</v>
      </c>
      <c r="BD638" s="319" t="s">
        <v>428</v>
      </c>
      <c r="BE638" s="319" t="s">
        <v>428</v>
      </c>
      <c r="BF638" s="319" t="s">
        <v>190</v>
      </c>
      <c r="BG638" s="319" t="s">
        <v>428</v>
      </c>
      <c r="BH638" s="319" t="s">
        <v>190</v>
      </c>
      <c r="BI638" s="319" t="s">
        <v>190</v>
      </c>
      <c r="BJ638" s="319" t="s">
        <v>190</v>
      </c>
      <c r="BK638" s="319" t="s">
        <v>190</v>
      </c>
      <c r="BL638" s="319" t="s">
        <v>190</v>
      </c>
      <c r="BM638" s="319" t="s">
        <v>190</v>
      </c>
      <c r="BN638" s="319" t="s">
        <v>190</v>
      </c>
      <c r="BO638" s="319" t="s">
        <v>190</v>
      </c>
      <c r="BP638" s="319" t="s">
        <v>190</v>
      </c>
      <c r="BQ638" s="319" t="s">
        <v>190</v>
      </c>
      <c r="BR638" s="319" t="s">
        <v>190</v>
      </c>
      <c r="BS638" s="319" t="s">
        <v>190</v>
      </c>
      <c r="BT638" s="319" t="s">
        <v>190</v>
      </c>
      <c r="BU638" s="319" t="s">
        <v>190</v>
      </c>
      <c r="BV638" s="319" t="s">
        <v>190</v>
      </c>
      <c r="BW638" s="319" t="s">
        <v>190</v>
      </c>
      <c r="BX638" s="319" t="s">
        <v>190</v>
      </c>
      <c r="BY638" s="319" t="s">
        <v>190</v>
      </c>
      <c r="BZ638" s="319" t="s">
        <v>190</v>
      </c>
      <c r="CA638" s="319" t="s">
        <v>190</v>
      </c>
      <c r="CB638" s="319" t="s">
        <v>190</v>
      </c>
      <c r="CC638" s="319" t="s">
        <v>190</v>
      </c>
      <c r="CD638" s="319" t="s">
        <v>190</v>
      </c>
      <c r="CE638" s="319" t="s">
        <v>190</v>
      </c>
      <c r="CF638" s="319" t="s">
        <v>190</v>
      </c>
      <c r="CG638" s="319" t="s">
        <v>190</v>
      </c>
      <c r="CH638" s="319" t="s">
        <v>190</v>
      </c>
      <c r="CI638" s="319" t="s">
        <v>190</v>
      </c>
      <c r="CJ638" s="319" t="s">
        <v>190</v>
      </c>
      <c r="CK638" s="319" t="s">
        <v>190</v>
      </c>
      <c r="CL638" s="319" t="s">
        <v>190</v>
      </c>
      <c r="CM638" s="319" t="s">
        <v>190</v>
      </c>
      <c r="CN638" s="319" t="s">
        <v>428</v>
      </c>
      <c r="CO638" s="319" t="s">
        <v>428</v>
      </c>
      <c r="CP638" s="319" t="s">
        <v>428</v>
      </c>
      <c r="CQ638" s="319" t="s">
        <v>190</v>
      </c>
      <c r="CR638" s="319" t="s">
        <v>190</v>
      </c>
      <c r="CS638" s="319" t="s">
        <v>190</v>
      </c>
      <c r="CT638" s="319" t="s">
        <v>190</v>
      </c>
      <c r="CU638" s="319" t="s">
        <v>190</v>
      </c>
      <c r="CV638" s="319" t="s">
        <v>190</v>
      </c>
      <c r="CW638" s="319" t="s">
        <v>190</v>
      </c>
      <c r="CX638" s="319" t="s">
        <v>190</v>
      </c>
      <c r="CY638" s="319" t="s">
        <v>190</v>
      </c>
      <c r="CZ638" s="319" t="s">
        <v>190</v>
      </c>
      <c r="DA638" s="319" t="s">
        <v>190</v>
      </c>
      <c r="DB638" s="319" t="s">
        <v>190</v>
      </c>
      <c r="DC638" s="319" t="s">
        <v>190</v>
      </c>
      <c r="DD638" s="319" t="s">
        <v>190</v>
      </c>
      <c r="DE638" s="319" t="s">
        <v>190</v>
      </c>
      <c r="DF638" s="319" t="s">
        <v>190</v>
      </c>
      <c r="DG638" s="319" t="s">
        <v>190</v>
      </c>
      <c r="DH638" s="319" t="s">
        <v>190</v>
      </c>
      <c r="DI638" s="319" t="s">
        <v>190</v>
      </c>
      <c r="DJ638" s="319" t="s">
        <v>190</v>
      </c>
      <c r="DK638" s="319" t="s">
        <v>190</v>
      </c>
      <c r="DL638" s="319" t="s">
        <v>190</v>
      </c>
      <c r="DM638" s="319" t="s">
        <v>190</v>
      </c>
      <c r="DN638" s="319" t="s">
        <v>428</v>
      </c>
      <c r="DO638" s="319" t="s">
        <v>190</v>
      </c>
      <c r="DP638" s="319" t="s">
        <v>428</v>
      </c>
      <c r="DQ638" s="319" t="s">
        <v>428</v>
      </c>
      <c r="DR638" s="319" t="s">
        <v>428</v>
      </c>
      <c r="DS638" s="319" t="s">
        <v>428</v>
      </c>
      <c r="DT638" s="319" t="s">
        <v>428</v>
      </c>
      <c r="DU638" s="319" t="s">
        <v>428</v>
      </c>
      <c r="DV638" s="319" t="s">
        <v>173</v>
      </c>
      <c r="DW638" s="319" t="s">
        <v>428</v>
      </c>
      <c r="DX638" s="319" t="s">
        <v>428</v>
      </c>
      <c r="DY638" s="319" t="s">
        <v>428</v>
      </c>
      <c r="DZ638" s="319" t="s">
        <v>428</v>
      </c>
      <c r="EA638" s="319" t="s">
        <v>428</v>
      </c>
      <c r="EB638" s="319" t="s">
        <v>428</v>
      </c>
      <c r="EC638" s="319" t="s">
        <v>428</v>
      </c>
      <c r="ED638" s="319" t="s">
        <v>428</v>
      </c>
      <c r="EE638" s="319" t="s">
        <v>428</v>
      </c>
      <c r="EF638" s="319" t="s">
        <v>428</v>
      </c>
      <c r="EG638" s="319" t="s">
        <v>428</v>
      </c>
      <c r="EH638" s="319" t="s">
        <v>428</v>
      </c>
      <c r="EI638" s="319" t="s">
        <v>428</v>
      </c>
      <c r="EJ638" s="319" t="s">
        <v>428</v>
      </c>
      <c r="EK638" s="319" t="s">
        <v>428</v>
      </c>
      <c r="EL638" s="319" t="s">
        <v>428</v>
      </c>
      <c r="EM638" s="319" t="s">
        <v>428</v>
      </c>
      <c r="EN638" s="319" t="s">
        <v>190</v>
      </c>
      <c r="EO638" s="319" t="s">
        <v>190</v>
      </c>
      <c r="EP638" s="319" t="s">
        <v>190</v>
      </c>
      <c r="EQ638" s="319" t="s">
        <v>190</v>
      </c>
      <c r="ER638" s="319" t="s">
        <v>190</v>
      </c>
      <c r="ES638" s="319" t="s">
        <v>190</v>
      </c>
      <c r="ET638" s="319" t="s">
        <v>190</v>
      </c>
      <c r="EU638" s="319" t="s">
        <v>190</v>
      </c>
      <c r="EV638" s="319" t="s">
        <v>190</v>
      </c>
      <c r="EW638" s="319" t="s">
        <v>190</v>
      </c>
      <c r="EX638" s="319" t="s">
        <v>190</v>
      </c>
      <c r="EY638" s="319" t="s">
        <v>190</v>
      </c>
      <c r="EZ638" s="319" t="s">
        <v>190</v>
      </c>
      <c r="FA638" s="319" t="s">
        <v>428</v>
      </c>
      <c r="FB638" s="319" t="s">
        <v>428</v>
      </c>
      <c r="FC638" s="319" t="s">
        <v>428</v>
      </c>
      <c r="FD638" s="319" t="s">
        <v>428</v>
      </c>
      <c r="FE638" s="319" t="s">
        <v>428</v>
      </c>
      <c r="FF638" s="319" t="s">
        <v>428</v>
      </c>
      <c r="FG638" s="319" t="s">
        <v>190</v>
      </c>
      <c r="FH638" s="319" t="s">
        <v>428</v>
      </c>
      <c r="FI638" s="319" t="s">
        <v>428</v>
      </c>
      <c r="FJ638" s="319" t="s">
        <v>190</v>
      </c>
      <c r="FK638" s="319" t="s">
        <v>428</v>
      </c>
      <c r="FL638" s="319" t="s">
        <v>190</v>
      </c>
      <c r="FM638" s="319" t="s">
        <v>190</v>
      </c>
      <c r="FN638" s="319" t="s">
        <v>190</v>
      </c>
      <c r="FO638" s="319" t="s">
        <v>190</v>
      </c>
      <c r="FP638" s="319" t="s">
        <v>190</v>
      </c>
      <c r="FQ638" s="319" t="s">
        <v>190</v>
      </c>
      <c r="FR638" s="319" t="s">
        <v>190</v>
      </c>
      <c r="FS638" s="319" t="s">
        <v>190</v>
      </c>
      <c r="FT638" s="319" t="s">
        <v>190</v>
      </c>
      <c r="FU638" s="319" t="s">
        <v>190</v>
      </c>
      <c r="FV638" s="319" t="s">
        <v>190</v>
      </c>
      <c r="FW638" s="319" t="s">
        <v>190</v>
      </c>
      <c r="FX638" s="319" t="s">
        <v>190</v>
      </c>
      <c r="FY638" s="319" t="s">
        <v>190</v>
      </c>
      <c r="FZ638" s="319" t="s">
        <v>190</v>
      </c>
      <c r="GA638" s="319" t="s">
        <v>190</v>
      </c>
      <c r="GB638" s="319" t="s">
        <v>190</v>
      </c>
      <c r="GC638" s="319" t="s">
        <v>190</v>
      </c>
      <c r="GD638" s="319" t="s">
        <v>190</v>
      </c>
      <c r="GE638" s="319" t="s">
        <v>190</v>
      </c>
      <c r="GF638" s="319" t="s">
        <v>190</v>
      </c>
      <c r="GG638" s="319" t="s">
        <v>190</v>
      </c>
      <c r="GH638" s="319" t="s">
        <v>190</v>
      </c>
      <c r="GI638" s="319" t="s">
        <v>190</v>
      </c>
      <c r="GJ638" s="319" t="s">
        <v>190</v>
      </c>
      <c r="GK638" s="319" t="s">
        <v>428</v>
      </c>
      <c r="GL638" s="319" t="s">
        <v>190</v>
      </c>
      <c r="GM638" s="319" t="s">
        <v>190</v>
      </c>
      <c r="GN638" s="319" t="s">
        <v>190</v>
      </c>
      <c r="GO638" s="319" t="s">
        <v>190</v>
      </c>
      <c r="GP638" s="319" t="s">
        <v>190</v>
      </c>
      <c r="GQ638" s="319" t="s">
        <v>428</v>
      </c>
      <c r="GR638" s="319" t="s">
        <v>190</v>
      </c>
      <c r="GS638" s="319" t="s">
        <v>190</v>
      </c>
      <c r="GT638" s="319" t="s">
        <v>190</v>
      </c>
      <c r="GU638" s="319" t="s">
        <v>190</v>
      </c>
      <c r="GV638" s="319" t="s">
        <v>190</v>
      </c>
      <c r="GW638" s="319" t="s">
        <v>190</v>
      </c>
      <c r="GX638" s="319" t="s">
        <v>190</v>
      </c>
      <c r="GY638" s="319" t="s">
        <v>190</v>
      </c>
      <c r="GZ638" s="319" t="s">
        <v>190</v>
      </c>
      <c r="HA638" s="319" t="s">
        <v>428</v>
      </c>
      <c r="HB638" s="319" t="s">
        <v>190</v>
      </c>
      <c r="HC638" s="319" t="s">
        <v>190</v>
      </c>
      <c r="HD638" s="319" t="s">
        <v>190</v>
      </c>
      <c r="HE638" s="319" t="s">
        <v>190</v>
      </c>
      <c r="HF638" s="319" t="s">
        <v>190</v>
      </c>
      <c r="HG638" s="319" t="s">
        <v>190</v>
      </c>
      <c r="HH638" s="319" t="s">
        <v>190</v>
      </c>
      <c r="HI638" s="319" t="s">
        <v>190</v>
      </c>
      <c r="HJ638" s="319" t="s">
        <v>190</v>
      </c>
      <c r="HK638" s="319" t="s">
        <v>190</v>
      </c>
      <c r="HL638" s="319" t="s">
        <v>428</v>
      </c>
      <c r="HM638" s="319" t="s">
        <v>428</v>
      </c>
      <c r="HN638" s="319" t="s">
        <v>428</v>
      </c>
      <c r="HO638" s="319" t="s">
        <v>428</v>
      </c>
      <c r="HP638" s="319" t="s">
        <v>190</v>
      </c>
      <c r="HQ638" s="319" t="s">
        <v>190</v>
      </c>
      <c r="HR638" s="319" t="s">
        <v>190</v>
      </c>
      <c r="HS638" s="319" t="s">
        <v>190</v>
      </c>
      <c r="HT638" s="319" t="s">
        <v>190</v>
      </c>
      <c r="HU638" s="319" t="s">
        <v>190</v>
      </c>
      <c r="HV638" s="319" t="s">
        <v>190</v>
      </c>
      <c r="HW638" s="319" t="s">
        <v>190</v>
      </c>
      <c r="HX638" s="319" t="s">
        <v>190</v>
      </c>
      <c r="HY638" s="319" t="s">
        <v>190</v>
      </c>
      <c r="HZ638" s="319" t="s">
        <v>190</v>
      </c>
      <c r="IA638" s="319" t="s">
        <v>190</v>
      </c>
      <c r="IB638" s="319" t="s">
        <v>190</v>
      </c>
      <c r="IC638" s="319" t="s">
        <v>190</v>
      </c>
      <c r="ID638" s="319" t="s">
        <v>190</v>
      </c>
      <c r="IE638" s="319" t="s">
        <v>190</v>
      </c>
      <c r="IF638" s="319" t="s">
        <v>190</v>
      </c>
      <c r="IG638" s="319" t="s">
        <v>190</v>
      </c>
      <c r="IH638" s="319" t="s">
        <v>190</v>
      </c>
      <c r="II638" s="319" t="s">
        <v>190</v>
      </c>
      <c r="IJ638" s="319">
        <v>10004161</v>
      </c>
      <c r="IK638" s="321">
        <v>42325</v>
      </c>
      <c r="IL638" s="321">
        <v>42327</v>
      </c>
      <c r="IM638" s="321">
        <v>42380</v>
      </c>
      <c r="IN638" s="319">
        <v>4</v>
      </c>
      <c r="IO638" s="319" t="s">
        <v>173</v>
      </c>
      <c r="IP638" s="319" t="s">
        <v>173</v>
      </c>
      <c r="IQ638" s="321" t="s">
        <v>173</v>
      </c>
      <c r="IR638" s="320" t="s">
        <v>173</v>
      </c>
      <c r="IS638" s="322" t="s">
        <v>173</v>
      </c>
      <c r="IT638" s="319" t="s">
        <v>173</v>
      </c>
    </row>
    <row r="639" spans="1:254" s="271" customFormat="1" x14ac:dyDescent="0.25">
      <c r="A639" s="318" t="str">
        <f>HYPERLINK("http://www.ofsted.gov.uk/inspection-reports/find-inspection-report/provider/ELS/136504 ","Ofsted School Webpage")</f>
        <v>Ofsted School Webpage</v>
      </c>
      <c r="B639" s="319">
        <v>136504</v>
      </c>
      <c r="C639" s="319">
        <v>2056405</v>
      </c>
      <c r="D639" s="319" t="s">
        <v>2107</v>
      </c>
      <c r="E639" s="319" t="s">
        <v>167</v>
      </c>
      <c r="F639" s="319" t="s">
        <v>81</v>
      </c>
      <c r="G639" s="319" t="s">
        <v>62</v>
      </c>
      <c r="H639" s="319" t="s">
        <v>62</v>
      </c>
      <c r="I639" s="319" t="s">
        <v>59</v>
      </c>
      <c r="J639" s="319" t="s">
        <v>424</v>
      </c>
      <c r="K639" s="319" t="s">
        <v>441</v>
      </c>
      <c r="L639" s="319" t="s">
        <v>441</v>
      </c>
      <c r="M639" s="319" t="s">
        <v>768</v>
      </c>
      <c r="N639" s="319" t="s">
        <v>2784</v>
      </c>
      <c r="O639" s="319" t="s">
        <v>2108</v>
      </c>
      <c r="P639" s="319">
        <v>15</v>
      </c>
      <c r="Q639" s="319" t="s">
        <v>2766</v>
      </c>
      <c r="R639" s="320">
        <v>10048719</v>
      </c>
      <c r="S639" s="321">
        <v>43179</v>
      </c>
      <c r="T639" s="321">
        <v>43181</v>
      </c>
      <c r="U639" s="321">
        <v>43221</v>
      </c>
      <c r="V639" s="319" t="s">
        <v>425</v>
      </c>
      <c r="W639" s="319" t="s">
        <v>2767</v>
      </c>
      <c r="X639" s="319">
        <v>2</v>
      </c>
      <c r="Y639" s="319" t="s">
        <v>173</v>
      </c>
      <c r="Z639" s="319" t="s">
        <v>173</v>
      </c>
      <c r="AA639" s="319" t="s">
        <v>173</v>
      </c>
      <c r="AB639" s="319">
        <v>2</v>
      </c>
      <c r="AC639" s="319" t="s">
        <v>169</v>
      </c>
      <c r="AD639" s="319" t="s">
        <v>173</v>
      </c>
      <c r="AE639" s="319" t="s">
        <v>173</v>
      </c>
      <c r="AF639" s="319" t="s">
        <v>427</v>
      </c>
      <c r="AG639" s="319" t="s">
        <v>171</v>
      </c>
      <c r="AH639" s="319" t="s">
        <v>190</v>
      </c>
      <c r="AI639" s="319" t="s">
        <v>190</v>
      </c>
      <c r="AJ639" s="319" t="s">
        <v>190</v>
      </c>
      <c r="AK639" s="319" t="s">
        <v>190</v>
      </c>
      <c r="AL639" s="319" t="s">
        <v>190</v>
      </c>
      <c r="AM639" s="319" t="s">
        <v>190</v>
      </c>
      <c r="AN639" s="319" t="s">
        <v>190</v>
      </c>
      <c r="AO639" s="319" t="s">
        <v>190</v>
      </c>
      <c r="AP639" s="319" t="s">
        <v>190</v>
      </c>
      <c r="AQ639" s="319" t="s">
        <v>190</v>
      </c>
      <c r="AR639" s="319" t="s">
        <v>190</v>
      </c>
      <c r="AS639" s="319" t="s">
        <v>190</v>
      </c>
      <c r="AT639" s="319" t="s">
        <v>190</v>
      </c>
      <c r="AU639" s="319" t="s">
        <v>190</v>
      </c>
      <c r="AV639" s="319" t="s">
        <v>190</v>
      </c>
      <c r="AW639" s="319" t="s">
        <v>190</v>
      </c>
      <c r="AX639" s="319" t="s">
        <v>428</v>
      </c>
      <c r="AY639" s="319" t="s">
        <v>190</v>
      </c>
      <c r="AZ639" s="319" t="s">
        <v>190</v>
      </c>
      <c r="BA639" s="319" t="s">
        <v>190</v>
      </c>
      <c r="BB639" s="319" t="s">
        <v>190</v>
      </c>
      <c r="BC639" s="319" t="s">
        <v>190</v>
      </c>
      <c r="BD639" s="319" t="s">
        <v>190</v>
      </c>
      <c r="BE639" s="319" t="s">
        <v>190</v>
      </c>
      <c r="BF639" s="319" t="s">
        <v>428</v>
      </c>
      <c r="BG639" s="319" t="s">
        <v>428</v>
      </c>
      <c r="BH639" s="319" t="s">
        <v>190</v>
      </c>
      <c r="BI639" s="319" t="s">
        <v>190</v>
      </c>
      <c r="BJ639" s="319" t="s">
        <v>190</v>
      </c>
      <c r="BK639" s="319" t="s">
        <v>190</v>
      </c>
      <c r="BL639" s="319" t="s">
        <v>190</v>
      </c>
      <c r="BM639" s="319" t="s">
        <v>190</v>
      </c>
      <c r="BN639" s="319" t="s">
        <v>190</v>
      </c>
      <c r="BO639" s="319" t="s">
        <v>190</v>
      </c>
      <c r="BP639" s="319" t="s">
        <v>190</v>
      </c>
      <c r="BQ639" s="319" t="s">
        <v>190</v>
      </c>
      <c r="BR639" s="319" t="s">
        <v>190</v>
      </c>
      <c r="BS639" s="319" t="s">
        <v>190</v>
      </c>
      <c r="BT639" s="319" t="s">
        <v>190</v>
      </c>
      <c r="BU639" s="319" t="s">
        <v>190</v>
      </c>
      <c r="BV639" s="319" t="s">
        <v>190</v>
      </c>
      <c r="BW639" s="319" t="s">
        <v>190</v>
      </c>
      <c r="BX639" s="319" t="s">
        <v>190</v>
      </c>
      <c r="BY639" s="319" t="s">
        <v>190</v>
      </c>
      <c r="BZ639" s="319" t="s">
        <v>190</v>
      </c>
      <c r="CA639" s="319" t="s">
        <v>190</v>
      </c>
      <c r="CB639" s="319" t="s">
        <v>190</v>
      </c>
      <c r="CC639" s="319" t="s">
        <v>190</v>
      </c>
      <c r="CD639" s="319" t="s">
        <v>190</v>
      </c>
      <c r="CE639" s="319" t="s">
        <v>190</v>
      </c>
      <c r="CF639" s="319" t="s">
        <v>190</v>
      </c>
      <c r="CG639" s="319" t="s">
        <v>190</v>
      </c>
      <c r="CH639" s="319" t="s">
        <v>190</v>
      </c>
      <c r="CI639" s="319" t="s">
        <v>190</v>
      </c>
      <c r="CJ639" s="319" t="s">
        <v>190</v>
      </c>
      <c r="CK639" s="319" t="s">
        <v>190</v>
      </c>
      <c r="CL639" s="319" t="s">
        <v>190</v>
      </c>
      <c r="CM639" s="319" t="s">
        <v>190</v>
      </c>
      <c r="CN639" s="319" t="s">
        <v>190</v>
      </c>
      <c r="CO639" s="319" t="s">
        <v>428</v>
      </c>
      <c r="CP639" s="319" t="s">
        <v>428</v>
      </c>
      <c r="CQ639" s="319" t="s">
        <v>190</v>
      </c>
      <c r="CR639" s="319" t="s">
        <v>190</v>
      </c>
      <c r="CS639" s="319" t="s">
        <v>190</v>
      </c>
      <c r="CT639" s="319" t="s">
        <v>190</v>
      </c>
      <c r="CU639" s="319" t="s">
        <v>190</v>
      </c>
      <c r="CV639" s="319" t="s">
        <v>190</v>
      </c>
      <c r="CW639" s="319" t="s">
        <v>190</v>
      </c>
      <c r="CX639" s="319" t="s">
        <v>190</v>
      </c>
      <c r="CY639" s="319" t="s">
        <v>190</v>
      </c>
      <c r="CZ639" s="319" t="s">
        <v>190</v>
      </c>
      <c r="DA639" s="319" t="s">
        <v>190</v>
      </c>
      <c r="DB639" s="319" t="s">
        <v>190</v>
      </c>
      <c r="DC639" s="319" t="s">
        <v>190</v>
      </c>
      <c r="DD639" s="319" t="s">
        <v>190</v>
      </c>
      <c r="DE639" s="319" t="s">
        <v>190</v>
      </c>
      <c r="DF639" s="319" t="s">
        <v>190</v>
      </c>
      <c r="DG639" s="319" t="s">
        <v>190</v>
      </c>
      <c r="DH639" s="319" t="s">
        <v>190</v>
      </c>
      <c r="DI639" s="319" t="s">
        <v>190</v>
      </c>
      <c r="DJ639" s="319" t="s">
        <v>190</v>
      </c>
      <c r="DK639" s="319" t="s">
        <v>190</v>
      </c>
      <c r="DL639" s="319" t="s">
        <v>190</v>
      </c>
      <c r="DM639" s="319" t="s">
        <v>190</v>
      </c>
      <c r="DN639" s="319" t="s">
        <v>428</v>
      </c>
      <c r="DO639" s="319" t="s">
        <v>190</v>
      </c>
      <c r="DP639" s="319" t="s">
        <v>190</v>
      </c>
      <c r="DQ639" s="319" t="s">
        <v>190</v>
      </c>
      <c r="DR639" s="319" t="s">
        <v>190</v>
      </c>
      <c r="DS639" s="319" t="s">
        <v>190</v>
      </c>
      <c r="DT639" s="319" t="s">
        <v>190</v>
      </c>
      <c r="DU639" s="319" t="s">
        <v>190</v>
      </c>
      <c r="DV639" s="319" t="s">
        <v>173</v>
      </c>
      <c r="DW639" s="319" t="s">
        <v>190</v>
      </c>
      <c r="DX639" s="319" t="s">
        <v>190</v>
      </c>
      <c r="DY639" s="319" t="s">
        <v>190</v>
      </c>
      <c r="DZ639" s="319" t="s">
        <v>190</v>
      </c>
      <c r="EA639" s="319" t="s">
        <v>190</v>
      </c>
      <c r="EB639" s="319" t="s">
        <v>190</v>
      </c>
      <c r="EC639" s="319" t="s">
        <v>428</v>
      </c>
      <c r="ED639" s="319" t="s">
        <v>190</v>
      </c>
      <c r="EE639" s="319" t="s">
        <v>190</v>
      </c>
      <c r="EF639" s="319" t="s">
        <v>190</v>
      </c>
      <c r="EG639" s="319" t="s">
        <v>190</v>
      </c>
      <c r="EH639" s="319" t="s">
        <v>190</v>
      </c>
      <c r="EI639" s="319" t="s">
        <v>190</v>
      </c>
      <c r="EJ639" s="319" t="s">
        <v>190</v>
      </c>
      <c r="EK639" s="319" t="s">
        <v>190</v>
      </c>
      <c r="EL639" s="319" t="s">
        <v>190</v>
      </c>
      <c r="EM639" s="319" t="s">
        <v>190</v>
      </c>
      <c r="EN639" s="319" t="s">
        <v>190</v>
      </c>
      <c r="EO639" s="319" t="s">
        <v>190</v>
      </c>
      <c r="EP639" s="319" t="s">
        <v>190</v>
      </c>
      <c r="EQ639" s="319" t="s">
        <v>190</v>
      </c>
      <c r="ER639" s="319" t="s">
        <v>190</v>
      </c>
      <c r="ES639" s="319" t="s">
        <v>190</v>
      </c>
      <c r="ET639" s="319" t="s">
        <v>190</v>
      </c>
      <c r="EU639" s="319" t="s">
        <v>190</v>
      </c>
      <c r="EV639" s="319" t="s">
        <v>190</v>
      </c>
      <c r="EW639" s="319" t="s">
        <v>190</v>
      </c>
      <c r="EX639" s="319" t="s">
        <v>190</v>
      </c>
      <c r="EY639" s="319" t="s">
        <v>190</v>
      </c>
      <c r="EZ639" s="319" t="s">
        <v>190</v>
      </c>
      <c r="FA639" s="319" t="s">
        <v>190</v>
      </c>
      <c r="FB639" s="319" t="s">
        <v>190</v>
      </c>
      <c r="FC639" s="319" t="s">
        <v>190</v>
      </c>
      <c r="FD639" s="319" t="s">
        <v>190</v>
      </c>
      <c r="FE639" s="319" t="s">
        <v>190</v>
      </c>
      <c r="FF639" s="319" t="s">
        <v>190</v>
      </c>
      <c r="FG639" s="319" t="s">
        <v>190</v>
      </c>
      <c r="FH639" s="319" t="s">
        <v>190</v>
      </c>
      <c r="FI639" s="319" t="s">
        <v>190</v>
      </c>
      <c r="FJ639" s="319" t="s">
        <v>190</v>
      </c>
      <c r="FK639" s="319" t="s">
        <v>190</v>
      </c>
      <c r="FL639" s="319" t="s">
        <v>190</v>
      </c>
      <c r="FM639" s="319" t="s">
        <v>190</v>
      </c>
      <c r="FN639" s="319" t="s">
        <v>190</v>
      </c>
      <c r="FO639" s="319" t="s">
        <v>190</v>
      </c>
      <c r="FP639" s="319" t="s">
        <v>190</v>
      </c>
      <c r="FQ639" s="319" t="s">
        <v>190</v>
      </c>
      <c r="FR639" s="319" t="s">
        <v>190</v>
      </c>
      <c r="FS639" s="319" t="s">
        <v>428</v>
      </c>
      <c r="FT639" s="319" t="s">
        <v>190</v>
      </c>
      <c r="FU639" s="319" t="s">
        <v>190</v>
      </c>
      <c r="FV639" s="319" t="s">
        <v>190</v>
      </c>
      <c r="FW639" s="319" t="s">
        <v>190</v>
      </c>
      <c r="FX639" s="319" t="s">
        <v>190</v>
      </c>
      <c r="FY639" s="319" t="s">
        <v>190</v>
      </c>
      <c r="FZ639" s="319" t="s">
        <v>190</v>
      </c>
      <c r="GA639" s="319" t="s">
        <v>190</v>
      </c>
      <c r="GB639" s="319" t="s">
        <v>190</v>
      </c>
      <c r="GC639" s="319" t="s">
        <v>190</v>
      </c>
      <c r="GD639" s="319" t="s">
        <v>190</v>
      </c>
      <c r="GE639" s="319" t="s">
        <v>190</v>
      </c>
      <c r="GF639" s="319" t="s">
        <v>190</v>
      </c>
      <c r="GG639" s="319" t="s">
        <v>190</v>
      </c>
      <c r="GH639" s="319" t="s">
        <v>190</v>
      </c>
      <c r="GI639" s="319" t="s">
        <v>190</v>
      </c>
      <c r="GJ639" s="319" t="s">
        <v>190</v>
      </c>
      <c r="GK639" s="319" t="s">
        <v>428</v>
      </c>
      <c r="GL639" s="319" t="s">
        <v>190</v>
      </c>
      <c r="GM639" s="319" t="s">
        <v>190</v>
      </c>
      <c r="GN639" s="319" t="s">
        <v>190</v>
      </c>
      <c r="GO639" s="319" t="s">
        <v>190</v>
      </c>
      <c r="GP639" s="319" t="s">
        <v>190</v>
      </c>
      <c r="GQ639" s="319" t="s">
        <v>428</v>
      </c>
      <c r="GR639" s="319" t="s">
        <v>190</v>
      </c>
      <c r="GS639" s="319" t="s">
        <v>190</v>
      </c>
      <c r="GT639" s="319" t="s">
        <v>190</v>
      </c>
      <c r="GU639" s="319" t="s">
        <v>190</v>
      </c>
      <c r="GV639" s="319" t="s">
        <v>190</v>
      </c>
      <c r="GW639" s="319" t="s">
        <v>190</v>
      </c>
      <c r="GX639" s="319" t="s">
        <v>190</v>
      </c>
      <c r="GY639" s="319" t="s">
        <v>190</v>
      </c>
      <c r="GZ639" s="319" t="s">
        <v>190</v>
      </c>
      <c r="HA639" s="319" t="s">
        <v>190</v>
      </c>
      <c r="HB639" s="319" t="s">
        <v>190</v>
      </c>
      <c r="HC639" s="319" t="s">
        <v>190</v>
      </c>
      <c r="HD639" s="319" t="s">
        <v>190</v>
      </c>
      <c r="HE639" s="319" t="s">
        <v>190</v>
      </c>
      <c r="HF639" s="319" t="s">
        <v>190</v>
      </c>
      <c r="HG639" s="319" t="s">
        <v>190</v>
      </c>
      <c r="HH639" s="319" t="s">
        <v>190</v>
      </c>
      <c r="HI639" s="319" t="s">
        <v>428</v>
      </c>
      <c r="HJ639" s="319" t="s">
        <v>190</v>
      </c>
      <c r="HK639" s="319" t="s">
        <v>190</v>
      </c>
      <c r="HL639" s="319" t="s">
        <v>190</v>
      </c>
      <c r="HM639" s="319" t="s">
        <v>190</v>
      </c>
      <c r="HN639" s="319" t="s">
        <v>190</v>
      </c>
      <c r="HO639" s="319" t="s">
        <v>190</v>
      </c>
      <c r="HP639" s="319" t="s">
        <v>190</v>
      </c>
      <c r="HQ639" s="319" t="s">
        <v>190</v>
      </c>
      <c r="HR639" s="319" t="s">
        <v>190</v>
      </c>
      <c r="HS639" s="319" t="s">
        <v>190</v>
      </c>
      <c r="HT639" s="319" t="s">
        <v>190</v>
      </c>
      <c r="HU639" s="319" t="s">
        <v>190</v>
      </c>
      <c r="HV639" s="319" t="s">
        <v>190</v>
      </c>
      <c r="HW639" s="319" t="s">
        <v>190</v>
      </c>
      <c r="HX639" s="319" t="s">
        <v>190</v>
      </c>
      <c r="HY639" s="319" t="s">
        <v>190</v>
      </c>
      <c r="HZ639" s="319" t="s">
        <v>190</v>
      </c>
      <c r="IA639" s="319" t="s">
        <v>190</v>
      </c>
      <c r="IB639" s="319" t="s">
        <v>190</v>
      </c>
      <c r="IC639" s="319" t="s">
        <v>190</v>
      </c>
      <c r="ID639" s="319" t="s">
        <v>190</v>
      </c>
      <c r="IE639" s="319" t="s">
        <v>190</v>
      </c>
      <c r="IF639" s="319" t="s">
        <v>190</v>
      </c>
      <c r="IG639" s="319" t="s">
        <v>190</v>
      </c>
      <c r="IH639" s="319" t="s">
        <v>190</v>
      </c>
      <c r="II639" s="319" t="s">
        <v>190</v>
      </c>
      <c r="IJ639" s="319" t="s">
        <v>3398</v>
      </c>
      <c r="IK639" s="321">
        <v>42137</v>
      </c>
      <c r="IL639" s="321">
        <v>42139</v>
      </c>
      <c r="IM639" s="321">
        <v>42177</v>
      </c>
      <c r="IN639" s="319">
        <v>2</v>
      </c>
      <c r="IO639" s="319" t="s">
        <v>173</v>
      </c>
      <c r="IP639" s="319" t="s">
        <v>173</v>
      </c>
      <c r="IQ639" s="321" t="s">
        <v>173</v>
      </c>
      <c r="IR639" s="320" t="s">
        <v>173</v>
      </c>
      <c r="IS639" s="322" t="s">
        <v>173</v>
      </c>
      <c r="IT639" s="319" t="s">
        <v>173</v>
      </c>
    </row>
    <row r="640" spans="1:254" s="271" customFormat="1" x14ac:dyDescent="0.25">
      <c r="A640" s="318" t="str">
        <f>HYPERLINK("http://www.ofsted.gov.uk/inspection-reports/find-inspection-report/provider/ELS/136510 ","Ofsted School Webpage")</f>
        <v>Ofsted School Webpage</v>
      </c>
      <c r="B640" s="319">
        <v>136510</v>
      </c>
      <c r="C640" s="319">
        <v>9376108</v>
      </c>
      <c r="D640" s="319" t="s">
        <v>2109</v>
      </c>
      <c r="E640" s="319" t="s">
        <v>167</v>
      </c>
      <c r="F640" s="319" t="s">
        <v>81</v>
      </c>
      <c r="G640" s="319" t="s">
        <v>81</v>
      </c>
      <c r="H640" s="319" t="s">
        <v>81</v>
      </c>
      <c r="I640" s="319" t="s">
        <v>78</v>
      </c>
      <c r="J640" s="319" t="s">
        <v>424</v>
      </c>
      <c r="K640" s="319" t="s">
        <v>437</v>
      </c>
      <c r="L640" s="319" t="s">
        <v>437</v>
      </c>
      <c r="M640" s="319" t="s">
        <v>438</v>
      </c>
      <c r="N640" s="319" t="s">
        <v>3399</v>
      </c>
      <c r="O640" s="319" t="s">
        <v>2110</v>
      </c>
      <c r="P640" s="319">
        <v>30</v>
      </c>
      <c r="Q640" s="319" t="s">
        <v>2776</v>
      </c>
      <c r="R640" s="320">
        <v>10056219</v>
      </c>
      <c r="S640" s="321">
        <v>43522</v>
      </c>
      <c r="T640" s="321">
        <v>43524</v>
      </c>
      <c r="U640" s="321">
        <v>43713</v>
      </c>
      <c r="V640" s="319" t="s">
        <v>425</v>
      </c>
      <c r="W640" s="319" t="s">
        <v>2767</v>
      </c>
      <c r="X640" s="319">
        <v>4</v>
      </c>
      <c r="Y640" s="319" t="s">
        <v>173</v>
      </c>
      <c r="Z640" s="319" t="s">
        <v>173</v>
      </c>
      <c r="AA640" s="319" t="s">
        <v>173</v>
      </c>
      <c r="AB640" s="319">
        <v>4</v>
      </c>
      <c r="AC640" s="319" t="s">
        <v>170</v>
      </c>
      <c r="AD640" s="319" t="s">
        <v>173</v>
      </c>
      <c r="AE640" s="319">
        <v>4</v>
      </c>
      <c r="AF640" s="319" t="s">
        <v>427</v>
      </c>
      <c r="AG640" s="319" t="s">
        <v>172</v>
      </c>
      <c r="AH640" s="319" t="s">
        <v>190</v>
      </c>
      <c r="AI640" s="319" t="s">
        <v>190</v>
      </c>
      <c r="AJ640" s="319" t="s">
        <v>479</v>
      </c>
      <c r="AK640" s="319" t="s">
        <v>190</v>
      </c>
      <c r="AL640" s="319" t="s">
        <v>479</v>
      </c>
      <c r="AM640" s="319" t="s">
        <v>190</v>
      </c>
      <c r="AN640" s="319" t="s">
        <v>190</v>
      </c>
      <c r="AO640" s="319" t="s">
        <v>479</v>
      </c>
      <c r="AP640" s="319" t="s">
        <v>190</v>
      </c>
      <c r="AQ640" s="319" t="s">
        <v>190</v>
      </c>
      <c r="AR640" s="319" t="s">
        <v>190</v>
      </c>
      <c r="AS640" s="319" t="s">
        <v>190</v>
      </c>
      <c r="AT640" s="319" t="s">
        <v>190</v>
      </c>
      <c r="AU640" s="319" t="s">
        <v>190</v>
      </c>
      <c r="AV640" s="319" t="s">
        <v>190</v>
      </c>
      <c r="AW640" s="319" t="s">
        <v>190</v>
      </c>
      <c r="AX640" s="319" t="s">
        <v>428</v>
      </c>
      <c r="AY640" s="319" t="s">
        <v>190</v>
      </c>
      <c r="AZ640" s="319" t="s">
        <v>190</v>
      </c>
      <c r="BA640" s="319" t="s">
        <v>190</v>
      </c>
      <c r="BB640" s="319" t="s">
        <v>190</v>
      </c>
      <c r="BC640" s="319" t="s">
        <v>190</v>
      </c>
      <c r="BD640" s="319" t="s">
        <v>190</v>
      </c>
      <c r="BE640" s="319" t="s">
        <v>190</v>
      </c>
      <c r="BF640" s="319" t="s">
        <v>428</v>
      </c>
      <c r="BG640" s="319" t="s">
        <v>190</v>
      </c>
      <c r="BH640" s="319" t="s">
        <v>190</v>
      </c>
      <c r="BI640" s="319" t="s">
        <v>190</v>
      </c>
      <c r="BJ640" s="319" t="s">
        <v>190</v>
      </c>
      <c r="BK640" s="319" t="s">
        <v>190</v>
      </c>
      <c r="BL640" s="319" t="s">
        <v>190</v>
      </c>
      <c r="BM640" s="319" t="s">
        <v>190</v>
      </c>
      <c r="BN640" s="319" t="s">
        <v>190</v>
      </c>
      <c r="BO640" s="319" t="s">
        <v>190</v>
      </c>
      <c r="BP640" s="319" t="s">
        <v>190</v>
      </c>
      <c r="BQ640" s="319" t="s">
        <v>190</v>
      </c>
      <c r="BR640" s="319" t="s">
        <v>190</v>
      </c>
      <c r="BS640" s="319" t="s">
        <v>190</v>
      </c>
      <c r="BT640" s="319" t="s">
        <v>190</v>
      </c>
      <c r="BU640" s="319" t="s">
        <v>190</v>
      </c>
      <c r="BV640" s="319" t="s">
        <v>190</v>
      </c>
      <c r="BW640" s="319" t="s">
        <v>190</v>
      </c>
      <c r="BX640" s="319" t="s">
        <v>190</v>
      </c>
      <c r="BY640" s="319" t="s">
        <v>190</v>
      </c>
      <c r="BZ640" s="319" t="s">
        <v>190</v>
      </c>
      <c r="CA640" s="319" t="s">
        <v>190</v>
      </c>
      <c r="CB640" s="319" t="s">
        <v>190</v>
      </c>
      <c r="CC640" s="319" t="s">
        <v>190</v>
      </c>
      <c r="CD640" s="319" t="s">
        <v>190</v>
      </c>
      <c r="CE640" s="319" t="s">
        <v>190</v>
      </c>
      <c r="CF640" s="319" t="s">
        <v>190</v>
      </c>
      <c r="CG640" s="319" t="s">
        <v>190</v>
      </c>
      <c r="CH640" s="319" t="s">
        <v>190</v>
      </c>
      <c r="CI640" s="319" t="s">
        <v>190</v>
      </c>
      <c r="CJ640" s="319" t="s">
        <v>190</v>
      </c>
      <c r="CK640" s="319" t="s">
        <v>191</v>
      </c>
      <c r="CL640" s="319" t="s">
        <v>191</v>
      </c>
      <c r="CM640" s="319" t="s">
        <v>191</v>
      </c>
      <c r="CN640" s="319" t="s">
        <v>428</v>
      </c>
      <c r="CO640" s="319" t="s">
        <v>428</v>
      </c>
      <c r="CP640" s="319" t="s">
        <v>428</v>
      </c>
      <c r="CQ640" s="319" t="s">
        <v>190</v>
      </c>
      <c r="CR640" s="319" t="s">
        <v>190</v>
      </c>
      <c r="CS640" s="319" t="s">
        <v>190</v>
      </c>
      <c r="CT640" s="319" t="s">
        <v>190</v>
      </c>
      <c r="CU640" s="319" t="s">
        <v>190</v>
      </c>
      <c r="CV640" s="319" t="s">
        <v>191</v>
      </c>
      <c r="CW640" s="319" t="s">
        <v>191</v>
      </c>
      <c r="CX640" s="319" t="s">
        <v>190</v>
      </c>
      <c r="CY640" s="319" t="s">
        <v>190</v>
      </c>
      <c r="CZ640" s="319" t="s">
        <v>190</v>
      </c>
      <c r="DA640" s="319" t="s">
        <v>190</v>
      </c>
      <c r="DB640" s="319" t="s">
        <v>190</v>
      </c>
      <c r="DC640" s="319" t="s">
        <v>190</v>
      </c>
      <c r="DD640" s="319" t="s">
        <v>190</v>
      </c>
      <c r="DE640" s="319" t="s">
        <v>190</v>
      </c>
      <c r="DF640" s="319" t="s">
        <v>190</v>
      </c>
      <c r="DG640" s="319" t="s">
        <v>190</v>
      </c>
      <c r="DH640" s="319" t="s">
        <v>190</v>
      </c>
      <c r="DI640" s="319" t="s">
        <v>190</v>
      </c>
      <c r="DJ640" s="319" t="s">
        <v>190</v>
      </c>
      <c r="DK640" s="319" t="s">
        <v>190</v>
      </c>
      <c r="DL640" s="319" t="s">
        <v>190</v>
      </c>
      <c r="DM640" s="319" t="s">
        <v>190</v>
      </c>
      <c r="DN640" s="319" t="s">
        <v>428</v>
      </c>
      <c r="DO640" s="319" t="s">
        <v>190</v>
      </c>
      <c r="DP640" s="319" t="s">
        <v>190</v>
      </c>
      <c r="DQ640" s="319" t="s">
        <v>190</v>
      </c>
      <c r="DR640" s="319" t="s">
        <v>190</v>
      </c>
      <c r="DS640" s="319" t="s">
        <v>190</v>
      </c>
      <c r="DT640" s="319" t="s">
        <v>190</v>
      </c>
      <c r="DU640" s="319" t="s">
        <v>190</v>
      </c>
      <c r="DV640" s="319" t="s">
        <v>173</v>
      </c>
      <c r="DW640" s="319" t="s">
        <v>190</v>
      </c>
      <c r="DX640" s="319" t="s">
        <v>190</v>
      </c>
      <c r="DY640" s="319" t="s">
        <v>190</v>
      </c>
      <c r="DZ640" s="319" t="s">
        <v>190</v>
      </c>
      <c r="EA640" s="319" t="s">
        <v>190</v>
      </c>
      <c r="EB640" s="319" t="s">
        <v>190</v>
      </c>
      <c r="EC640" s="319" t="s">
        <v>428</v>
      </c>
      <c r="ED640" s="319" t="s">
        <v>190</v>
      </c>
      <c r="EE640" s="319" t="s">
        <v>190</v>
      </c>
      <c r="EF640" s="319" t="s">
        <v>190</v>
      </c>
      <c r="EG640" s="319" t="s">
        <v>190</v>
      </c>
      <c r="EH640" s="319" t="s">
        <v>190</v>
      </c>
      <c r="EI640" s="319" t="s">
        <v>190</v>
      </c>
      <c r="EJ640" s="319" t="s">
        <v>190</v>
      </c>
      <c r="EK640" s="319" t="s">
        <v>190</v>
      </c>
      <c r="EL640" s="319" t="s">
        <v>190</v>
      </c>
      <c r="EM640" s="319" t="s">
        <v>190</v>
      </c>
      <c r="EN640" s="319" t="s">
        <v>190</v>
      </c>
      <c r="EO640" s="319" t="s">
        <v>190</v>
      </c>
      <c r="EP640" s="319" t="s">
        <v>190</v>
      </c>
      <c r="EQ640" s="319" t="s">
        <v>190</v>
      </c>
      <c r="ER640" s="319" t="s">
        <v>190</v>
      </c>
      <c r="ES640" s="319" t="s">
        <v>190</v>
      </c>
      <c r="ET640" s="319" t="s">
        <v>190</v>
      </c>
      <c r="EU640" s="319" t="s">
        <v>190</v>
      </c>
      <c r="EV640" s="319" t="s">
        <v>190</v>
      </c>
      <c r="EW640" s="319" t="s">
        <v>190</v>
      </c>
      <c r="EX640" s="319" t="s">
        <v>190</v>
      </c>
      <c r="EY640" s="319" t="s">
        <v>190</v>
      </c>
      <c r="EZ640" s="319" t="s">
        <v>190</v>
      </c>
      <c r="FA640" s="319" t="s">
        <v>190</v>
      </c>
      <c r="FB640" s="319" t="s">
        <v>190</v>
      </c>
      <c r="FC640" s="319" t="s">
        <v>190</v>
      </c>
      <c r="FD640" s="319" t="s">
        <v>190</v>
      </c>
      <c r="FE640" s="319" t="s">
        <v>190</v>
      </c>
      <c r="FF640" s="319" t="s">
        <v>190</v>
      </c>
      <c r="FG640" s="319" t="s">
        <v>190</v>
      </c>
      <c r="FH640" s="319" t="s">
        <v>190</v>
      </c>
      <c r="FI640" s="319" t="s">
        <v>190</v>
      </c>
      <c r="FJ640" s="319" t="s">
        <v>190</v>
      </c>
      <c r="FK640" s="319" t="s">
        <v>190</v>
      </c>
      <c r="FL640" s="319" t="s">
        <v>190</v>
      </c>
      <c r="FM640" s="319" t="s">
        <v>190</v>
      </c>
      <c r="FN640" s="319" t="s">
        <v>190</v>
      </c>
      <c r="FO640" s="319" t="s">
        <v>190</v>
      </c>
      <c r="FP640" s="319" t="s">
        <v>190</v>
      </c>
      <c r="FQ640" s="319" t="s">
        <v>190</v>
      </c>
      <c r="FR640" s="319" t="s">
        <v>190</v>
      </c>
      <c r="FS640" s="319" t="s">
        <v>428</v>
      </c>
      <c r="FT640" s="319" t="s">
        <v>190</v>
      </c>
      <c r="FU640" s="319" t="s">
        <v>191</v>
      </c>
      <c r="FV640" s="319" t="s">
        <v>190</v>
      </c>
      <c r="FW640" s="319" t="s">
        <v>190</v>
      </c>
      <c r="FX640" s="319" t="s">
        <v>190</v>
      </c>
      <c r="FY640" s="319" t="s">
        <v>190</v>
      </c>
      <c r="FZ640" s="319" t="s">
        <v>190</v>
      </c>
      <c r="GA640" s="319" t="s">
        <v>190</v>
      </c>
      <c r="GB640" s="319" t="s">
        <v>190</v>
      </c>
      <c r="GC640" s="319" t="s">
        <v>190</v>
      </c>
      <c r="GD640" s="319" t="s">
        <v>190</v>
      </c>
      <c r="GE640" s="319" t="s">
        <v>190</v>
      </c>
      <c r="GF640" s="319" t="s">
        <v>190</v>
      </c>
      <c r="GG640" s="319" t="s">
        <v>190</v>
      </c>
      <c r="GH640" s="319" t="s">
        <v>190</v>
      </c>
      <c r="GI640" s="319" t="s">
        <v>190</v>
      </c>
      <c r="GJ640" s="319" t="s">
        <v>190</v>
      </c>
      <c r="GK640" s="319" t="s">
        <v>428</v>
      </c>
      <c r="GL640" s="319" t="s">
        <v>190</v>
      </c>
      <c r="GM640" s="319" t="s">
        <v>190</v>
      </c>
      <c r="GN640" s="319" t="s">
        <v>190</v>
      </c>
      <c r="GO640" s="319" t="s">
        <v>190</v>
      </c>
      <c r="GP640" s="319" t="s">
        <v>190</v>
      </c>
      <c r="GQ640" s="319" t="s">
        <v>190</v>
      </c>
      <c r="GR640" s="319" t="s">
        <v>190</v>
      </c>
      <c r="GS640" s="319" t="s">
        <v>190</v>
      </c>
      <c r="GT640" s="319" t="s">
        <v>190</v>
      </c>
      <c r="GU640" s="319" t="s">
        <v>190</v>
      </c>
      <c r="GV640" s="319" t="s">
        <v>190</v>
      </c>
      <c r="GW640" s="319" t="s">
        <v>190</v>
      </c>
      <c r="GX640" s="319" t="s">
        <v>190</v>
      </c>
      <c r="GY640" s="319" t="s">
        <v>190</v>
      </c>
      <c r="GZ640" s="319" t="s">
        <v>190</v>
      </c>
      <c r="HA640" s="319" t="s">
        <v>428</v>
      </c>
      <c r="HB640" s="319" t="s">
        <v>190</v>
      </c>
      <c r="HC640" s="319" t="s">
        <v>190</v>
      </c>
      <c r="HD640" s="319" t="s">
        <v>190</v>
      </c>
      <c r="HE640" s="319" t="s">
        <v>190</v>
      </c>
      <c r="HF640" s="319" t="s">
        <v>190</v>
      </c>
      <c r="HG640" s="319" t="s">
        <v>190</v>
      </c>
      <c r="HH640" s="319" t="s">
        <v>190</v>
      </c>
      <c r="HI640" s="319" t="s">
        <v>190</v>
      </c>
      <c r="HJ640" s="319" t="s">
        <v>190</v>
      </c>
      <c r="HK640" s="319" t="s">
        <v>190</v>
      </c>
      <c r="HL640" s="319" t="s">
        <v>190</v>
      </c>
      <c r="HM640" s="319" t="s">
        <v>190</v>
      </c>
      <c r="HN640" s="319" t="s">
        <v>190</v>
      </c>
      <c r="HO640" s="319" t="s">
        <v>190</v>
      </c>
      <c r="HP640" s="319" t="s">
        <v>190</v>
      </c>
      <c r="HQ640" s="319" t="s">
        <v>190</v>
      </c>
      <c r="HR640" s="319" t="s">
        <v>190</v>
      </c>
      <c r="HS640" s="319" t="s">
        <v>190</v>
      </c>
      <c r="HT640" s="319" t="s">
        <v>190</v>
      </c>
      <c r="HU640" s="319" t="s">
        <v>190</v>
      </c>
      <c r="HV640" s="319" t="s">
        <v>190</v>
      </c>
      <c r="HW640" s="319" t="s">
        <v>190</v>
      </c>
      <c r="HX640" s="319" t="s">
        <v>190</v>
      </c>
      <c r="HY640" s="319" t="s">
        <v>190</v>
      </c>
      <c r="HZ640" s="319" t="s">
        <v>190</v>
      </c>
      <c r="IA640" s="319" t="s">
        <v>190</v>
      </c>
      <c r="IB640" s="319" t="s">
        <v>190</v>
      </c>
      <c r="IC640" s="319" t="s">
        <v>190</v>
      </c>
      <c r="ID640" s="319" t="s">
        <v>190</v>
      </c>
      <c r="IE640" s="319" t="s">
        <v>190</v>
      </c>
      <c r="IF640" s="319" t="s">
        <v>191</v>
      </c>
      <c r="IG640" s="319" t="s">
        <v>191</v>
      </c>
      <c r="IH640" s="319" t="s">
        <v>191</v>
      </c>
      <c r="II640" s="319" t="s">
        <v>191</v>
      </c>
      <c r="IJ640" s="319">
        <v>10006024</v>
      </c>
      <c r="IK640" s="321">
        <v>42381</v>
      </c>
      <c r="IL640" s="321">
        <v>42383</v>
      </c>
      <c r="IM640" s="321">
        <v>42425</v>
      </c>
      <c r="IN640" s="319">
        <v>2</v>
      </c>
      <c r="IO640" s="319">
        <v>10119195</v>
      </c>
      <c r="IP640" s="319" t="s">
        <v>985</v>
      </c>
      <c r="IQ640" s="321">
        <v>43760</v>
      </c>
      <c r="IR640" s="320" t="s">
        <v>2771</v>
      </c>
      <c r="IS640" s="322">
        <v>43787</v>
      </c>
      <c r="IT640" s="319" t="s">
        <v>165</v>
      </c>
    </row>
    <row r="641" spans="1:254" s="271" customFormat="1" x14ac:dyDescent="0.25">
      <c r="A641" s="318" t="str">
        <f>HYPERLINK("http://www.ofsted.gov.uk/inspection-reports/find-inspection-report/provider/ELS/136678 ","Ofsted School Webpage")</f>
        <v>Ofsted School Webpage</v>
      </c>
      <c r="B641" s="319">
        <v>136678</v>
      </c>
      <c r="C641" s="319">
        <v>3156589</v>
      </c>
      <c r="D641" s="319" t="s">
        <v>2111</v>
      </c>
      <c r="E641" s="319" t="s">
        <v>167</v>
      </c>
      <c r="F641" s="319" t="s">
        <v>81</v>
      </c>
      <c r="G641" s="319" t="s">
        <v>81</v>
      </c>
      <c r="H641" s="319" t="s">
        <v>81</v>
      </c>
      <c r="I641" s="319" t="s">
        <v>78</v>
      </c>
      <c r="J641" s="319" t="s">
        <v>424</v>
      </c>
      <c r="K641" s="319" t="s">
        <v>441</v>
      </c>
      <c r="L641" s="319" t="s">
        <v>441</v>
      </c>
      <c r="M641" s="319" t="s">
        <v>1193</v>
      </c>
      <c r="N641" s="319" t="s">
        <v>2905</v>
      </c>
      <c r="O641" s="319" t="s">
        <v>2112</v>
      </c>
      <c r="P641" s="319">
        <v>24</v>
      </c>
      <c r="Q641" s="319" t="s">
        <v>2766</v>
      </c>
      <c r="R641" s="320">
        <v>10048720</v>
      </c>
      <c r="S641" s="321">
        <v>43256</v>
      </c>
      <c r="T641" s="321">
        <v>43258</v>
      </c>
      <c r="U641" s="321">
        <v>43283</v>
      </c>
      <c r="V641" s="319" t="s">
        <v>425</v>
      </c>
      <c r="W641" s="319" t="s">
        <v>2767</v>
      </c>
      <c r="X641" s="319">
        <v>2</v>
      </c>
      <c r="Y641" s="319" t="s">
        <v>173</v>
      </c>
      <c r="Z641" s="319" t="s">
        <v>173</v>
      </c>
      <c r="AA641" s="319" t="s">
        <v>173</v>
      </c>
      <c r="AB641" s="319">
        <v>2</v>
      </c>
      <c r="AC641" s="319" t="s">
        <v>169</v>
      </c>
      <c r="AD641" s="319" t="s">
        <v>173</v>
      </c>
      <c r="AE641" s="319" t="s">
        <v>173</v>
      </c>
      <c r="AF641" s="319" t="s">
        <v>427</v>
      </c>
      <c r="AG641" s="319" t="s">
        <v>171</v>
      </c>
      <c r="AH641" s="319" t="s">
        <v>190</v>
      </c>
      <c r="AI641" s="319" t="s">
        <v>190</v>
      </c>
      <c r="AJ641" s="319" t="s">
        <v>190</v>
      </c>
      <c r="AK641" s="319" t="s">
        <v>190</v>
      </c>
      <c r="AL641" s="319" t="s">
        <v>190</v>
      </c>
      <c r="AM641" s="319" t="s">
        <v>190</v>
      </c>
      <c r="AN641" s="319" t="s">
        <v>190</v>
      </c>
      <c r="AO641" s="319" t="s">
        <v>190</v>
      </c>
      <c r="AP641" s="319" t="s">
        <v>190</v>
      </c>
      <c r="AQ641" s="319" t="s">
        <v>190</v>
      </c>
      <c r="AR641" s="319" t="s">
        <v>190</v>
      </c>
      <c r="AS641" s="319" t="s">
        <v>190</v>
      </c>
      <c r="AT641" s="319" t="s">
        <v>190</v>
      </c>
      <c r="AU641" s="319" t="s">
        <v>190</v>
      </c>
      <c r="AV641" s="319" t="s">
        <v>190</v>
      </c>
      <c r="AW641" s="319" t="s">
        <v>190</v>
      </c>
      <c r="AX641" s="319" t="s">
        <v>428</v>
      </c>
      <c r="AY641" s="319" t="s">
        <v>190</v>
      </c>
      <c r="AZ641" s="319" t="s">
        <v>190</v>
      </c>
      <c r="BA641" s="319" t="s">
        <v>190</v>
      </c>
      <c r="BB641" s="319" t="s">
        <v>190</v>
      </c>
      <c r="BC641" s="319" t="s">
        <v>190</v>
      </c>
      <c r="BD641" s="319" t="s">
        <v>190</v>
      </c>
      <c r="BE641" s="319" t="s">
        <v>190</v>
      </c>
      <c r="BF641" s="319" t="s">
        <v>428</v>
      </c>
      <c r="BG641" s="319" t="s">
        <v>428</v>
      </c>
      <c r="BH641" s="319" t="s">
        <v>190</v>
      </c>
      <c r="BI641" s="319" t="s">
        <v>190</v>
      </c>
      <c r="BJ641" s="319" t="s">
        <v>190</v>
      </c>
      <c r="BK641" s="319" t="s">
        <v>190</v>
      </c>
      <c r="BL641" s="319" t="s">
        <v>190</v>
      </c>
      <c r="BM641" s="319" t="s">
        <v>190</v>
      </c>
      <c r="BN641" s="319" t="s">
        <v>190</v>
      </c>
      <c r="BO641" s="319" t="s">
        <v>190</v>
      </c>
      <c r="BP641" s="319" t="s">
        <v>190</v>
      </c>
      <c r="BQ641" s="319" t="s">
        <v>190</v>
      </c>
      <c r="BR641" s="319" t="s">
        <v>190</v>
      </c>
      <c r="BS641" s="319" t="s">
        <v>190</v>
      </c>
      <c r="BT641" s="319" t="s">
        <v>190</v>
      </c>
      <c r="BU641" s="319" t="s">
        <v>190</v>
      </c>
      <c r="BV641" s="319" t="s">
        <v>190</v>
      </c>
      <c r="BW641" s="319" t="s">
        <v>190</v>
      </c>
      <c r="BX641" s="319" t="s">
        <v>190</v>
      </c>
      <c r="BY641" s="319" t="s">
        <v>190</v>
      </c>
      <c r="BZ641" s="319" t="s">
        <v>190</v>
      </c>
      <c r="CA641" s="319" t="s">
        <v>190</v>
      </c>
      <c r="CB641" s="319" t="s">
        <v>190</v>
      </c>
      <c r="CC641" s="319" t="s">
        <v>190</v>
      </c>
      <c r="CD641" s="319" t="s">
        <v>190</v>
      </c>
      <c r="CE641" s="319" t="s">
        <v>190</v>
      </c>
      <c r="CF641" s="319" t="s">
        <v>190</v>
      </c>
      <c r="CG641" s="319" t="s">
        <v>190</v>
      </c>
      <c r="CH641" s="319" t="s">
        <v>190</v>
      </c>
      <c r="CI641" s="319" t="s">
        <v>190</v>
      </c>
      <c r="CJ641" s="319" t="s">
        <v>190</v>
      </c>
      <c r="CK641" s="319" t="s">
        <v>190</v>
      </c>
      <c r="CL641" s="319" t="s">
        <v>190</v>
      </c>
      <c r="CM641" s="319" t="s">
        <v>190</v>
      </c>
      <c r="CN641" s="319" t="s">
        <v>428</v>
      </c>
      <c r="CO641" s="319" t="s">
        <v>428</v>
      </c>
      <c r="CP641" s="319" t="s">
        <v>428</v>
      </c>
      <c r="CQ641" s="319" t="s">
        <v>190</v>
      </c>
      <c r="CR641" s="319" t="s">
        <v>190</v>
      </c>
      <c r="CS641" s="319" t="s">
        <v>190</v>
      </c>
      <c r="CT641" s="319" t="s">
        <v>190</v>
      </c>
      <c r="CU641" s="319" t="s">
        <v>190</v>
      </c>
      <c r="CV641" s="319" t="s">
        <v>190</v>
      </c>
      <c r="CW641" s="319" t="s">
        <v>190</v>
      </c>
      <c r="CX641" s="319" t="s">
        <v>190</v>
      </c>
      <c r="CY641" s="319" t="s">
        <v>190</v>
      </c>
      <c r="CZ641" s="319" t="s">
        <v>190</v>
      </c>
      <c r="DA641" s="319" t="s">
        <v>190</v>
      </c>
      <c r="DB641" s="319" t="s">
        <v>190</v>
      </c>
      <c r="DC641" s="319" t="s">
        <v>190</v>
      </c>
      <c r="DD641" s="319" t="s">
        <v>190</v>
      </c>
      <c r="DE641" s="319" t="s">
        <v>190</v>
      </c>
      <c r="DF641" s="319" t="s">
        <v>190</v>
      </c>
      <c r="DG641" s="319" t="s">
        <v>190</v>
      </c>
      <c r="DH641" s="319" t="s">
        <v>190</v>
      </c>
      <c r="DI641" s="319" t="s">
        <v>190</v>
      </c>
      <c r="DJ641" s="319" t="s">
        <v>190</v>
      </c>
      <c r="DK641" s="319" t="s">
        <v>190</v>
      </c>
      <c r="DL641" s="319" t="s">
        <v>190</v>
      </c>
      <c r="DM641" s="319" t="s">
        <v>190</v>
      </c>
      <c r="DN641" s="319" t="s">
        <v>428</v>
      </c>
      <c r="DO641" s="319" t="s">
        <v>190</v>
      </c>
      <c r="DP641" s="319" t="s">
        <v>428</v>
      </c>
      <c r="DQ641" s="319" t="s">
        <v>428</v>
      </c>
      <c r="DR641" s="319" t="s">
        <v>428</v>
      </c>
      <c r="DS641" s="319" t="s">
        <v>428</v>
      </c>
      <c r="DT641" s="319" t="s">
        <v>428</v>
      </c>
      <c r="DU641" s="319" t="s">
        <v>428</v>
      </c>
      <c r="DV641" s="319" t="s">
        <v>173</v>
      </c>
      <c r="DW641" s="319" t="s">
        <v>428</v>
      </c>
      <c r="DX641" s="319" t="s">
        <v>428</v>
      </c>
      <c r="DY641" s="319" t="s">
        <v>428</v>
      </c>
      <c r="DZ641" s="319" t="s">
        <v>428</v>
      </c>
      <c r="EA641" s="319" t="s">
        <v>428</v>
      </c>
      <c r="EB641" s="319" t="s">
        <v>428</v>
      </c>
      <c r="EC641" s="319" t="s">
        <v>428</v>
      </c>
      <c r="ED641" s="319" t="s">
        <v>190</v>
      </c>
      <c r="EE641" s="319" t="s">
        <v>190</v>
      </c>
      <c r="EF641" s="319" t="s">
        <v>190</v>
      </c>
      <c r="EG641" s="319" t="s">
        <v>190</v>
      </c>
      <c r="EH641" s="319" t="s">
        <v>190</v>
      </c>
      <c r="EI641" s="319" t="s">
        <v>190</v>
      </c>
      <c r="EJ641" s="319" t="s">
        <v>190</v>
      </c>
      <c r="EK641" s="319" t="s">
        <v>190</v>
      </c>
      <c r="EL641" s="319" t="s">
        <v>190</v>
      </c>
      <c r="EM641" s="319" t="s">
        <v>190</v>
      </c>
      <c r="EN641" s="319" t="s">
        <v>190</v>
      </c>
      <c r="EO641" s="319" t="s">
        <v>190</v>
      </c>
      <c r="EP641" s="319" t="s">
        <v>190</v>
      </c>
      <c r="EQ641" s="319" t="s">
        <v>190</v>
      </c>
      <c r="ER641" s="319" t="s">
        <v>190</v>
      </c>
      <c r="ES641" s="319" t="s">
        <v>190</v>
      </c>
      <c r="ET641" s="319" t="s">
        <v>190</v>
      </c>
      <c r="EU641" s="319" t="s">
        <v>190</v>
      </c>
      <c r="EV641" s="319" t="s">
        <v>190</v>
      </c>
      <c r="EW641" s="319" t="s">
        <v>190</v>
      </c>
      <c r="EX641" s="319" t="s">
        <v>190</v>
      </c>
      <c r="EY641" s="319" t="s">
        <v>190</v>
      </c>
      <c r="EZ641" s="319" t="s">
        <v>190</v>
      </c>
      <c r="FA641" s="319" t="s">
        <v>190</v>
      </c>
      <c r="FB641" s="319" t="s">
        <v>190</v>
      </c>
      <c r="FC641" s="319" t="s">
        <v>190</v>
      </c>
      <c r="FD641" s="319" t="s">
        <v>190</v>
      </c>
      <c r="FE641" s="319" t="s">
        <v>190</v>
      </c>
      <c r="FF641" s="319" t="s">
        <v>190</v>
      </c>
      <c r="FG641" s="319" t="s">
        <v>190</v>
      </c>
      <c r="FH641" s="319" t="s">
        <v>190</v>
      </c>
      <c r="FI641" s="319" t="s">
        <v>190</v>
      </c>
      <c r="FJ641" s="319" t="s">
        <v>190</v>
      </c>
      <c r="FK641" s="319" t="s">
        <v>190</v>
      </c>
      <c r="FL641" s="319" t="s">
        <v>190</v>
      </c>
      <c r="FM641" s="319" t="s">
        <v>190</v>
      </c>
      <c r="FN641" s="319" t="s">
        <v>190</v>
      </c>
      <c r="FO641" s="319" t="s">
        <v>190</v>
      </c>
      <c r="FP641" s="319" t="s">
        <v>190</v>
      </c>
      <c r="FQ641" s="319" t="s">
        <v>190</v>
      </c>
      <c r="FR641" s="319" t="s">
        <v>190</v>
      </c>
      <c r="FS641" s="319" t="s">
        <v>190</v>
      </c>
      <c r="FT641" s="319" t="s">
        <v>190</v>
      </c>
      <c r="FU641" s="319" t="s">
        <v>190</v>
      </c>
      <c r="FV641" s="319" t="s">
        <v>190</v>
      </c>
      <c r="FW641" s="319" t="s">
        <v>190</v>
      </c>
      <c r="FX641" s="319" t="s">
        <v>190</v>
      </c>
      <c r="FY641" s="319" t="s">
        <v>190</v>
      </c>
      <c r="FZ641" s="319" t="s">
        <v>190</v>
      </c>
      <c r="GA641" s="319" t="s">
        <v>190</v>
      </c>
      <c r="GB641" s="319" t="s">
        <v>190</v>
      </c>
      <c r="GC641" s="319" t="s">
        <v>190</v>
      </c>
      <c r="GD641" s="319" t="s">
        <v>190</v>
      </c>
      <c r="GE641" s="319" t="s">
        <v>190</v>
      </c>
      <c r="GF641" s="319" t="s">
        <v>190</v>
      </c>
      <c r="GG641" s="319" t="s">
        <v>190</v>
      </c>
      <c r="GH641" s="319" t="s">
        <v>190</v>
      </c>
      <c r="GI641" s="319" t="s">
        <v>190</v>
      </c>
      <c r="GJ641" s="319" t="s">
        <v>190</v>
      </c>
      <c r="GK641" s="319" t="s">
        <v>428</v>
      </c>
      <c r="GL641" s="319" t="s">
        <v>190</v>
      </c>
      <c r="GM641" s="319" t="s">
        <v>190</v>
      </c>
      <c r="GN641" s="319" t="s">
        <v>190</v>
      </c>
      <c r="GO641" s="319" t="s">
        <v>190</v>
      </c>
      <c r="GP641" s="319" t="s">
        <v>190</v>
      </c>
      <c r="GQ641" s="319" t="s">
        <v>190</v>
      </c>
      <c r="GR641" s="319" t="s">
        <v>190</v>
      </c>
      <c r="GS641" s="319" t="s">
        <v>190</v>
      </c>
      <c r="GT641" s="319" t="s">
        <v>190</v>
      </c>
      <c r="GU641" s="319" t="s">
        <v>190</v>
      </c>
      <c r="GV641" s="319" t="s">
        <v>190</v>
      </c>
      <c r="GW641" s="319" t="s">
        <v>190</v>
      </c>
      <c r="GX641" s="319" t="s">
        <v>190</v>
      </c>
      <c r="GY641" s="319" t="s">
        <v>190</v>
      </c>
      <c r="GZ641" s="319" t="s">
        <v>190</v>
      </c>
      <c r="HA641" s="319" t="s">
        <v>428</v>
      </c>
      <c r="HB641" s="319" t="s">
        <v>428</v>
      </c>
      <c r="HC641" s="319" t="s">
        <v>190</v>
      </c>
      <c r="HD641" s="319" t="s">
        <v>190</v>
      </c>
      <c r="HE641" s="319" t="s">
        <v>190</v>
      </c>
      <c r="HF641" s="319" t="s">
        <v>190</v>
      </c>
      <c r="HG641" s="319" t="s">
        <v>190</v>
      </c>
      <c r="HH641" s="319" t="s">
        <v>190</v>
      </c>
      <c r="HI641" s="319" t="s">
        <v>190</v>
      </c>
      <c r="HJ641" s="319" t="s">
        <v>190</v>
      </c>
      <c r="HK641" s="319" t="s">
        <v>190</v>
      </c>
      <c r="HL641" s="319" t="s">
        <v>190</v>
      </c>
      <c r="HM641" s="319" t="s">
        <v>428</v>
      </c>
      <c r="HN641" s="319" t="s">
        <v>428</v>
      </c>
      <c r="HO641" s="319" t="s">
        <v>428</v>
      </c>
      <c r="HP641" s="319" t="s">
        <v>190</v>
      </c>
      <c r="HQ641" s="319" t="s">
        <v>190</v>
      </c>
      <c r="HR641" s="319" t="s">
        <v>190</v>
      </c>
      <c r="HS641" s="319" t="s">
        <v>190</v>
      </c>
      <c r="HT641" s="319" t="s">
        <v>190</v>
      </c>
      <c r="HU641" s="319" t="s">
        <v>190</v>
      </c>
      <c r="HV641" s="319" t="s">
        <v>190</v>
      </c>
      <c r="HW641" s="319" t="s">
        <v>190</v>
      </c>
      <c r="HX641" s="319" t="s">
        <v>190</v>
      </c>
      <c r="HY641" s="319" t="s">
        <v>190</v>
      </c>
      <c r="HZ641" s="319" t="s">
        <v>190</v>
      </c>
      <c r="IA641" s="319" t="s">
        <v>190</v>
      </c>
      <c r="IB641" s="319" t="s">
        <v>190</v>
      </c>
      <c r="IC641" s="319" t="s">
        <v>190</v>
      </c>
      <c r="ID641" s="319" t="s">
        <v>190</v>
      </c>
      <c r="IE641" s="319" t="s">
        <v>190</v>
      </c>
      <c r="IF641" s="319" t="s">
        <v>190</v>
      </c>
      <c r="IG641" s="319" t="s">
        <v>190</v>
      </c>
      <c r="IH641" s="319" t="s">
        <v>190</v>
      </c>
      <c r="II641" s="319" t="s">
        <v>190</v>
      </c>
      <c r="IJ641" s="319" t="s">
        <v>3400</v>
      </c>
      <c r="IK641" s="321">
        <v>42123</v>
      </c>
      <c r="IL641" s="321">
        <v>42125</v>
      </c>
      <c r="IM641" s="321">
        <v>42164</v>
      </c>
      <c r="IN641" s="319">
        <v>2</v>
      </c>
      <c r="IO641" s="319" t="s">
        <v>173</v>
      </c>
      <c r="IP641" s="319" t="s">
        <v>173</v>
      </c>
      <c r="IQ641" s="319" t="s">
        <v>173</v>
      </c>
      <c r="IR641" s="320" t="s">
        <v>173</v>
      </c>
      <c r="IS641" s="320" t="s">
        <v>173</v>
      </c>
      <c r="IT641" s="319" t="s">
        <v>173</v>
      </c>
    </row>
    <row r="642" spans="1:254" s="271" customFormat="1" x14ac:dyDescent="0.25">
      <c r="A642" s="318" t="str">
        <f>HYPERLINK("http://www.ofsted.gov.uk/inspection-reports/find-inspection-report/provider/ELS/136706 ","Ofsted School Webpage")</f>
        <v>Ofsted School Webpage</v>
      </c>
      <c r="B642" s="319">
        <v>136706</v>
      </c>
      <c r="C642" s="319">
        <v>8696201</v>
      </c>
      <c r="D642" s="319" t="s">
        <v>2113</v>
      </c>
      <c r="E642" s="319" t="s">
        <v>167</v>
      </c>
      <c r="F642" s="319" t="s">
        <v>81</v>
      </c>
      <c r="G642" s="319" t="s">
        <v>59</v>
      </c>
      <c r="H642" s="319" t="s">
        <v>59</v>
      </c>
      <c r="I642" s="319" t="s">
        <v>59</v>
      </c>
      <c r="J642" s="319" t="s">
        <v>424</v>
      </c>
      <c r="K642" s="319" t="s">
        <v>514</v>
      </c>
      <c r="L642" s="319" t="s">
        <v>514</v>
      </c>
      <c r="M642" s="319" t="s">
        <v>1382</v>
      </c>
      <c r="N642" s="319" t="s">
        <v>3401</v>
      </c>
      <c r="O642" s="319" t="s">
        <v>2114</v>
      </c>
      <c r="P642" s="319">
        <v>7</v>
      </c>
      <c r="Q642" s="319" t="s">
        <v>2766</v>
      </c>
      <c r="R642" s="320">
        <v>10047022</v>
      </c>
      <c r="S642" s="321">
        <v>43291</v>
      </c>
      <c r="T642" s="321">
        <v>43293</v>
      </c>
      <c r="U642" s="321">
        <v>43353</v>
      </c>
      <c r="V642" s="319" t="s">
        <v>425</v>
      </c>
      <c r="W642" s="319" t="s">
        <v>2767</v>
      </c>
      <c r="X642" s="319">
        <v>2</v>
      </c>
      <c r="Y642" s="319" t="s">
        <v>173</v>
      </c>
      <c r="Z642" s="319" t="s">
        <v>173</v>
      </c>
      <c r="AA642" s="319" t="s">
        <v>173</v>
      </c>
      <c r="AB642" s="319">
        <v>2</v>
      </c>
      <c r="AC642" s="319" t="s">
        <v>169</v>
      </c>
      <c r="AD642" s="319" t="s">
        <v>173</v>
      </c>
      <c r="AE642" s="319" t="s">
        <v>173</v>
      </c>
      <c r="AF642" s="319" t="s">
        <v>427</v>
      </c>
      <c r="AG642" s="319" t="s">
        <v>171</v>
      </c>
      <c r="AH642" s="319" t="s">
        <v>190</v>
      </c>
      <c r="AI642" s="319" t="s">
        <v>190</v>
      </c>
      <c r="AJ642" s="319" t="s">
        <v>190</v>
      </c>
      <c r="AK642" s="319" t="s">
        <v>190</v>
      </c>
      <c r="AL642" s="319" t="s">
        <v>190</v>
      </c>
      <c r="AM642" s="319" t="s">
        <v>190</v>
      </c>
      <c r="AN642" s="319" t="s">
        <v>190</v>
      </c>
      <c r="AO642" s="319" t="s">
        <v>190</v>
      </c>
      <c r="AP642" s="319" t="s">
        <v>190</v>
      </c>
      <c r="AQ642" s="319" t="s">
        <v>190</v>
      </c>
      <c r="AR642" s="319" t="s">
        <v>190</v>
      </c>
      <c r="AS642" s="319" t="s">
        <v>190</v>
      </c>
      <c r="AT642" s="319" t="s">
        <v>190</v>
      </c>
      <c r="AU642" s="319" t="s">
        <v>190</v>
      </c>
      <c r="AV642" s="319" t="s">
        <v>190</v>
      </c>
      <c r="AW642" s="319" t="s">
        <v>190</v>
      </c>
      <c r="AX642" s="319" t="s">
        <v>428</v>
      </c>
      <c r="AY642" s="319" t="s">
        <v>190</v>
      </c>
      <c r="AZ642" s="319" t="s">
        <v>190</v>
      </c>
      <c r="BA642" s="319" t="s">
        <v>190</v>
      </c>
      <c r="BB642" s="319" t="s">
        <v>190</v>
      </c>
      <c r="BC642" s="319" t="s">
        <v>190</v>
      </c>
      <c r="BD642" s="319" t="s">
        <v>190</v>
      </c>
      <c r="BE642" s="319" t="s">
        <v>190</v>
      </c>
      <c r="BF642" s="319" t="s">
        <v>428</v>
      </c>
      <c r="BG642" s="319" t="s">
        <v>428</v>
      </c>
      <c r="BH642" s="319" t="s">
        <v>190</v>
      </c>
      <c r="BI642" s="319" t="s">
        <v>190</v>
      </c>
      <c r="BJ642" s="319" t="s">
        <v>190</v>
      </c>
      <c r="BK642" s="319" t="s">
        <v>190</v>
      </c>
      <c r="BL642" s="319" t="s">
        <v>190</v>
      </c>
      <c r="BM642" s="319" t="s">
        <v>190</v>
      </c>
      <c r="BN642" s="319" t="s">
        <v>190</v>
      </c>
      <c r="BO642" s="319" t="s">
        <v>190</v>
      </c>
      <c r="BP642" s="319" t="s">
        <v>190</v>
      </c>
      <c r="BQ642" s="319" t="s">
        <v>190</v>
      </c>
      <c r="BR642" s="319" t="s">
        <v>190</v>
      </c>
      <c r="BS642" s="319" t="s">
        <v>190</v>
      </c>
      <c r="BT642" s="319" t="s">
        <v>190</v>
      </c>
      <c r="BU642" s="319" t="s">
        <v>190</v>
      </c>
      <c r="BV642" s="319" t="s">
        <v>190</v>
      </c>
      <c r="BW642" s="319" t="s">
        <v>190</v>
      </c>
      <c r="BX642" s="319" t="s">
        <v>190</v>
      </c>
      <c r="BY642" s="319" t="s">
        <v>190</v>
      </c>
      <c r="BZ642" s="319" t="s">
        <v>190</v>
      </c>
      <c r="CA642" s="319" t="s">
        <v>190</v>
      </c>
      <c r="CB642" s="319" t="s">
        <v>190</v>
      </c>
      <c r="CC642" s="319" t="s">
        <v>190</v>
      </c>
      <c r="CD642" s="319" t="s">
        <v>190</v>
      </c>
      <c r="CE642" s="319" t="s">
        <v>190</v>
      </c>
      <c r="CF642" s="319" t="s">
        <v>190</v>
      </c>
      <c r="CG642" s="319" t="s">
        <v>190</v>
      </c>
      <c r="CH642" s="319" t="s">
        <v>190</v>
      </c>
      <c r="CI642" s="319" t="s">
        <v>190</v>
      </c>
      <c r="CJ642" s="319" t="s">
        <v>190</v>
      </c>
      <c r="CK642" s="319" t="s">
        <v>190</v>
      </c>
      <c r="CL642" s="319" t="s">
        <v>190</v>
      </c>
      <c r="CM642" s="319" t="s">
        <v>190</v>
      </c>
      <c r="CN642" s="319" t="s">
        <v>428</v>
      </c>
      <c r="CO642" s="319" t="s">
        <v>428</v>
      </c>
      <c r="CP642" s="319" t="s">
        <v>428</v>
      </c>
      <c r="CQ642" s="319" t="s">
        <v>190</v>
      </c>
      <c r="CR642" s="319" t="s">
        <v>190</v>
      </c>
      <c r="CS642" s="319" t="s">
        <v>190</v>
      </c>
      <c r="CT642" s="319" t="s">
        <v>190</v>
      </c>
      <c r="CU642" s="319" t="s">
        <v>190</v>
      </c>
      <c r="CV642" s="319" t="s">
        <v>190</v>
      </c>
      <c r="CW642" s="319" t="s">
        <v>190</v>
      </c>
      <c r="CX642" s="319" t="s">
        <v>190</v>
      </c>
      <c r="CY642" s="319" t="s">
        <v>190</v>
      </c>
      <c r="CZ642" s="319" t="s">
        <v>190</v>
      </c>
      <c r="DA642" s="319" t="s">
        <v>190</v>
      </c>
      <c r="DB642" s="319" t="s">
        <v>190</v>
      </c>
      <c r="DC642" s="319" t="s">
        <v>190</v>
      </c>
      <c r="DD642" s="319" t="s">
        <v>190</v>
      </c>
      <c r="DE642" s="319" t="s">
        <v>190</v>
      </c>
      <c r="DF642" s="319" t="s">
        <v>190</v>
      </c>
      <c r="DG642" s="319" t="s">
        <v>190</v>
      </c>
      <c r="DH642" s="319" t="s">
        <v>190</v>
      </c>
      <c r="DI642" s="319" t="s">
        <v>190</v>
      </c>
      <c r="DJ642" s="319" t="s">
        <v>190</v>
      </c>
      <c r="DK642" s="319" t="s">
        <v>190</v>
      </c>
      <c r="DL642" s="319" t="s">
        <v>190</v>
      </c>
      <c r="DM642" s="319" t="s">
        <v>190</v>
      </c>
      <c r="DN642" s="319" t="s">
        <v>428</v>
      </c>
      <c r="DO642" s="319" t="s">
        <v>190</v>
      </c>
      <c r="DP642" s="319" t="s">
        <v>190</v>
      </c>
      <c r="DQ642" s="319" t="s">
        <v>190</v>
      </c>
      <c r="DR642" s="319" t="s">
        <v>190</v>
      </c>
      <c r="DS642" s="319" t="s">
        <v>190</v>
      </c>
      <c r="DT642" s="319" t="s">
        <v>190</v>
      </c>
      <c r="DU642" s="319" t="s">
        <v>190</v>
      </c>
      <c r="DV642" s="319" t="s">
        <v>173</v>
      </c>
      <c r="DW642" s="319" t="s">
        <v>190</v>
      </c>
      <c r="DX642" s="319" t="s">
        <v>190</v>
      </c>
      <c r="DY642" s="319" t="s">
        <v>190</v>
      </c>
      <c r="DZ642" s="319" t="s">
        <v>190</v>
      </c>
      <c r="EA642" s="319" t="s">
        <v>190</v>
      </c>
      <c r="EB642" s="319" t="s">
        <v>190</v>
      </c>
      <c r="EC642" s="319" t="s">
        <v>428</v>
      </c>
      <c r="ED642" s="319" t="s">
        <v>190</v>
      </c>
      <c r="EE642" s="319" t="s">
        <v>190</v>
      </c>
      <c r="EF642" s="319" t="s">
        <v>190</v>
      </c>
      <c r="EG642" s="319" t="s">
        <v>190</v>
      </c>
      <c r="EH642" s="319" t="s">
        <v>190</v>
      </c>
      <c r="EI642" s="319" t="s">
        <v>190</v>
      </c>
      <c r="EJ642" s="319" t="s">
        <v>190</v>
      </c>
      <c r="EK642" s="319" t="s">
        <v>190</v>
      </c>
      <c r="EL642" s="319" t="s">
        <v>190</v>
      </c>
      <c r="EM642" s="319" t="s">
        <v>190</v>
      </c>
      <c r="EN642" s="319" t="s">
        <v>190</v>
      </c>
      <c r="EO642" s="319" t="s">
        <v>190</v>
      </c>
      <c r="EP642" s="319" t="s">
        <v>190</v>
      </c>
      <c r="EQ642" s="319" t="s">
        <v>190</v>
      </c>
      <c r="ER642" s="319" t="s">
        <v>190</v>
      </c>
      <c r="ES642" s="319" t="s">
        <v>190</v>
      </c>
      <c r="ET642" s="319" t="s">
        <v>190</v>
      </c>
      <c r="EU642" s="319" t="s">
        <v>190</v>
      </c>
      <c r="EV642" s="319" t="s">
        <v>190</v>
      </c>
      <c r="EW642" s="319" t="s">
        <v>190</v>
      </c>
      <c r="EX642" s="319" t="s">
        <v>190</v>
      </c>
      <c r="EY642" s="319" t="s">
        <v>190</v>
      </c>
      <c r="EZ642" s="319" t="s">
        <v>190</v>
      </c>
      <c r="FA642" s="319" t="s">
        <v>428</v>
      </c>
      <c r="FB642" s="319" t="s">
        <v>190</v>
      </c>
      <c r="FC642" s="319" t="s">
        <v>190</v>
      </c>
      <c r="FD642" s="319" t="s">
        <v>190</v>
      </c>
      <c r="FE642" s="319" t="s">
        <v>190</v>
      </c>
      <c r="FF642" s="319" t="s">
        <v>190</v>
      </c>
      <c r="FG642" s="319" t="s">
        <v>190</v>
      </c>
      <c r="FH642" s="319" t="s">
        <v>190</v>
      </c>
      <c r="FI642" s="319" t="s">
        <v>428</v>
      </c>
      <c r="FJ642" s="319" t="s">
        <v>190</v>
      </c>
      <c r="FK642" s="319" t="s">
        <v>190</v>
      </c>
      <c r="FL642" s="319" t="s">
        <v>190</v>
      </c>
      <c r="FM642" s="319" t="s">
        <v>190</v>
      </c>
      <c r="FN642" s="319" t="s">
        <v>190</v>
      </c>
      <c r="FO642" s="319" t="s">
        <v>190</v>
      </c>
      <c r="FP642" s="319" t="s">
        <v>190</v>
      </c>
      <c r="FQ642" s="319" t="s">
        <v>190</v>
      </c>
      <c r="FR642" s="319" t="s">
        <v>190</v>
      </c>
      <c r="FS642" s="319" t="s">
        <v>428</v>
      </c>
      <c r="FT642" s="319" t="s">
        <v>190</v>
      </c>
      <c r="FU642" s="319" t="s">
        <v>190</v>
      </c>
      <c r="FV642" s="319" t="s">
        <v>190</v>
      </c>
      <c r="FW642" s="319" t="s">
        <v>190</v>
      </c>
      <c r="FX642" s="319" t="s">
        <v>190</v>
      </c>
      <c r="FY642" s="319" t="s">
        <v>190</v>
      </c>
      <c r="FZ642" s="319" t="s">
        <v>190</v>
      </c>
      <c r="GA642" s="319" t="s">
        <v>190</v>
      </c>
      <c r="GB642" s="319" t="s">
        <v>190</v>
      </c>
      <c r="GC642" s="319" t="s">
        <v>190</v>
      </c>
      <c r="GD642" s="319" t="s">
        <v>190</v>
      </c>
      <c r="GE642" s="319" t="s">
        <v>190</v>
      </c>
      <c r="GF642" s="319" t="s">
        <v>190</v>
      </c>
      <c r="GG642" s="319" t="s">
        <v>190</v>
      </c>
      <c r="GH642" s="319" t="s">
        <v>190</v>
      </c>
      <c r="GI642" s="319" t="s">
        <v>190</v>
      </c>
      <c r="GJ642" s="319" t="s">
        <v>190</v>
      </c>
      <c r="GK642" s="319" t="s">
        <v>428</v>
      </c>
      <c r="GL642" s="319" t="s">
        <v>190</v>
      </c>
      <c r="GM642" s="319" t="s">
        <v>190</v>
      </c>
      <c r="GN642" s="319" t="s">
        <v>190</v>
      </c>
      <c r="GO642" s="319" t="s">
        <v>190</v>
      </c>
      <c r="GP642" s="319" t="s">
        <v>190</v>
      </c>
      <c r="GQ642" s="319" t="s">
        <v>190</v>
      </c>
      <c r="GR642" s="319" t="s">
        <v>190</v>
      </c>
      <c r="GS642" s="319" t="s">
        <v>190</v>
      </c>
      <c r="GT642" s="319" t="s">
        <v>190</v>
      </c>
      <c r="GU642" s="319" t="s">
        <v>190</v>
      </c>
      <c r="GV642" s="319" t="s">
        <v>190</v>
      </c>
      <c r="GW642" s="319" t="s">
        <v>190</v>
      </c>
      <c r="GX642" s="319" t="s">
        <v>190</v>
      </c>
      <c r="GY642" s="319" t="s">
        <v>190</v>
      </c>
      <c r="GZ642" s="319" t="s">
        <v>428</v>
      </c>
      <c r="HA642" s="319" t="s">
        <v>190</v>
      </c>
      <c r="HB642" s="319" t="s">
        <v>190</v>
      </c>
      <c r="HC642" s="319" t="s">
        <v>190</v>
      </c>
      <c r="HD642" s="319" t="s">
        <v>190</v>
      </c>
      <c r="HE642" s="319" t="s">
        <v>190</v>
      </c>
      <c r="HF642" s="319" t="s">
        <v>190</v>
      </c>
      <c r="HG642" s="319" t="s">
        <v>190</v>
      </c>
      <c r="HH642" s="319" t="s">
        <v>190</v>
      </c>
      <c r="HI642" s="319" t="s">
        <v>190</v>
      </c>
      <c r="HJ642" s="319" t="s">
        <v>190</v>
      </c>
      <c r="HK642" s="319" t="s">
        <v>190</v>
      </c>
      <c r="HL642" s="319" t="s">
        <v>190</v>
      </c>
      <c r="HM642" s="319" t="s">
        <v>190</v>
      </c>
      <c r="HN642" s="319" t="s">
        <v>190</v>
      </c>
      <c r="HO642" s="319" t="s">
        <v>190</v>
      </c>
      <c r="HP642" s="319" t="s">
        <v>190</v>
      </c>
      <c r="HQ642" s="319" t="s">
        <v>190</v>
      </c>
      <c r="HR642" s="319" t="s">
        <v>190</v>
      </c>
      <c r="HS642" s="319" t="s">
        <v>190</v>
      </c>
      <c r="HT642" s="319" t="s">
        <v>190</v>
      </c>
      <c r="HU642" s="319" t="s">
        <v>190</v>
      </c>
      <c r="HV642" s="319" t="s">
        <v>190</v>
      </c>
      <c r="HW642" s="319" t="s">
        <v>190</v>
      </c>
      <c r="HX642" s="319" t="s">
        <v>190</v>
      </c>
      <c r="HY642" s="319" t="s">
        <v>190</v>
      </c>
      <c r="HZ642" s="319" t="s">
        <v>190</v>
      </c>
      <c r="IA642" s="319" t="s">
        <v>190</v>
      </c>
      <c r="IB642" s="319" t="s">
        <v>190</v>
      </c>
      <c r="IC642" s="319" t="s">
        <v>190</v>
      </c>
      <c r="ID642" s="319" t="s">
        <v>190</v>
      </c>
      <c r="IE642" s="319" t="s">
        <v>190</v>
      </c>
      <c r="IF642" s="319" t="s">
        <v>190</v>
      </c>
      <c r="IG642" s="319" t="s">
        <v>190</v>
      </c>
      <c r="IH642" s="319" t="s">
        <v>190</v>
      </c>
      <c r="II642" s="319" t="s">
        <v>190</v>
      </c>
      <c r="IJ642" s="319" t="s">
        <v>3402</v>
      </c>
      <c r="IK642" s="321">
        <v>42136</v>
      </c>
      <c r="IL642" s="321">
        <v>42138</v>
      </c>
      <c r="IM642" s="321">
        <v>42174</v>
      </c>
      <c r="IN642" s="319">
        <v>2</v>
      </c>
      <c r="IO642" s="319" t="s">
        <v>173</v>
      </c>
      <c r="IP642" s="319" t="s">
        <v>173</v>
      </c>
      <c r="IQ642" s="321" t="s">
        <v>173</v>
      </c>
      <c r="IR642" s="320" t="s">
        <v>173</v>
      </c>
      <c r="IS642" s="322" t="s">
        <v>173</v>
      </c>
      <c r="IT642" s="319" t="s">
        <v>173</v>
      </c>
    </row>
    <row r="643" spans="1:254" s="271" customFormat="1" x14ac:dyDescent="0.25">
      <c r="A643" s="318" t="str">
        <f>HYPERLINK("http://www.ofsted.gov.uk/inspection-reports/find-inspection-report/provider/ELS/136740 ","Ofsted School Webpage")</f>
        <v>Ofsted School Webpage</v>
      </c>
      <c r="B643" s="319">
        <v>136740</v>
      </c>
      <c r="C643" s="319">
        <v>2076016</v>
      </c>
      <c r="D643" s="319" t="s">
        <v>963</v>
      </c>
      <c r="E643" s="319" t="s">
        <v>168</v>
      </c>
      <c r="F643" s="319" t="s">
        <v>81</v>
      </c>
      <c r="G643" s="319" t="s">
        <v>81</v>
      </c>
      <c r="H643" s="319" t="s">
        <v>81</v>
      </c>
      <c r="I643" s="319" t="s">
        <v>78</v>
      </c>
      <c r="J643" s="319" t="s">
        <v>424</v>
      </c>
      <c r="K643" s="319" t="s">
        <v>441</v>
      </c>
      <c r="L643" s="319" t="s">
        <v>441</v>
      </c>
      <c r="M643" s="319" t="s">
        <v>567</v>
      </c>
      <c r="N643" s="319" t="s">
        <v>2790</v>
      </c>
      <c r="O643" s="319" t="s">
        <v>964</v>
      </c>
      <c r="P643" s="319">
        <v>12</v>
      </c>
      <c r="Q643" s="319" t="s">
        <v>429</v>
      </c>
      <c r="R643" s="320">
        <v>10054296</v>
      </c>
      <c r="S643" s="321">
        <v>43522</v>
      </c>
      <c r="T643" s="321">
        <v>43524</v>
      </c>
      <c r="U643" s="321">
        <v>43544</v>
      </c>
      <c r="V643" s="319" t="s">
        <v>425</v>
      </c>
      <c r="W643" s="319" t="s">
        <v>2767</v>
      </c>
      <c r="X643" s="319">
        <v>2</v>
      </c>
      <c r="Y643" s="319" t="s">
        <v>173</v>
      </c>
      <c r="Z643" s="319" t="s">
        <v>173</v>
      </c>
      <c r="AA643" s="319" t="s">
        <v>173</v>
      </c>
      <c r="AB643" s="319">
        <v>2</v>
      </c>
      <c r="AC643" s="319" t="s">
        <v>169</v>
      </c>
      <c r="AD643" s="319" t="s">
        <v>173</v>
      </c>
      <c r="AE643" s="319" t="s">
        <v>173</v>
      </c>
      <c r="AF643" s="319" t="s">
        <v>427</v>
      </c>
      <c r="AG643" s="319" t="s">
        <v>171</v>
      </c>
      <c r="AH643" s="319" t="s">
        <v>190</v>
      </c>
      <c r="AI643" s="319" t="s">
        <v>190</v>
      </c>
      <c r="AJ643" s="319" t="s">
        <v>190</v>
      </c>
      <c r="AK643" s="319" t="s">
        <v>190</v>
      </c>
      <c r="AL643" s="319" t="s">
        <v>190</v>
      </c>
      <c r="AM643" s="319" t="s">
        <v>190</v>
      </c>
      <c r="AN643" s="319" t="s">
        <v>190</v>
      </c>
      <c r="AO643" s="319" t="s">
        <v>190</v>
      </c>
      <c r="AP643" s="319" t="s">
        <v>190</v>
      </c>
      <c r="AQ643" s="319" t="s">
        <v>190</v>
      </c>
      <c r="AR643" s="319" t="s">
        <v>190</v>
      </c>
      <c r="AS643" s="319" t="s">
        <v>190</v>
      </c>
      <c r="AT643" s="319" t="s">
        <v>190</v>
      </c>
      <c r="AU643" s="319" t="s">
        <v>190</v>
      </c>
      <c r="AV643" s="319" t="s">
        <v>190</v>
      </c>
      <c r="AW643" s="319" t="s">
        <v>190</v>
      </c>
      <c r="AX643" s="319" t="s">
        <v>428</v>
      </c>
      <c r="AY643" s="319" t="s">
        <v>190</v>
      </c>
      <c r="AZ643" s="319" t="s">
        <v>190</v>
      </c>
      <c r="BA643" s="319" t="s">
        <v>190</v>
      </c>
      <c r="BB643" s="319" t="s">
        <v>190</v>
      </c>
      <c r="BC643" s="319" t="s">
        <v>190</v>
      </c>
      <c r="BD643" s="319" t="s">
        <v>190</v>
      </c>
      <c r="BE643" s="319" t="s">
        <v>190</v>
      </c>
      <c r="BF643" s="319" t="s">
        <v>428</v>
      </c>
      <c r="BG643" s="319" t="s">
        <v>190</v>
      </c>
      <c r="BH643" s="319" t="s">
        <v>190</v>
      </c>
      <c r="BI643" s="319" t="s">
        <v>190</v>
      </c>
      <c r="BJ643" s="319" t="s">
        <v>190</v>
      </c>
      <c r="BK643" s="319" t="s">
        <v>190</v>
      </c>
      <c r="BL643" s="319" t="s">
        <v>190</v>
      </c>
      <c r="BM643" s="319" t="s">
        <v>190</v>
      </c>
      <c r="BN643" s="319" t="s">
        <v>190</v>
      </c>
      <c r="BO643" s="319" t="s">
        <v>190</v>
      </c>
      <c r="BP643" s="319" t="s">
        <v>190</v>
      </c>
      <c r="BQ643" s="319" t="s">
        <v>190</v>
      </c>
      <c r="BR643" s="319" t="s">
        <v>190</v>
      </c>
      <c r="BS643" s="319" t="s">
        <v>190</v>
      </c>
      <c r="BT643" s="319" t="s">
        <v>190</v>
      </c>
      <c r="BU643" s="319" t="s">
        <v>190</v>
      </c>
      <c r="BV643" s="319" t="s">
        <v>190</v>
      </c>
      <c r="BW643" s="319" t="s">
        <v>190</v>
      </c>
      <c r="BX643" s="319" t="s">
        <v>190</v>
      </c>
      <c r="BY643" s="319" t="s">
        <v>190</v>
      </c>
      <c r="BZ643" s="319" t="s">
        <v>190</v>
      </c>
      <c r="CA643" s="319" t="s">
        <v>190</v>
      </c>
      <c r="CB643" s="319" t="s">
        <v>190</v>
      </c>
      <c r="CC643" s="319" t="s">
        <v>190</v>
      </c>
      <c r="CD643" s="319" t="s">
        <v>190</v>
      </c>
      <c r="CE643" s="319" t="s">
        <v>190</v>
      </c>
      <c r="CF643" s="319" t="s">
        <v>190</v>
      </c>
      <c r="CG643" s="319" t="s">
        <v>190</v>
      </c>
      <c r="CH643" s="319" t="s">
        <v>190</v>
      </c>
      <c r="CI643" s="319" t="s">
        <v>190</v>
      </c>
      <c r="CJ643" s="319" t="s">
        <v>190</v>
      </c>
      <c r="CK643" s="319" t="s">
        <v>190</v>
      </c>
      <c r="CL643" s="319" t="s">
        <v>190</v>
      </c>
      <c r="CM643" s="319" t="s">
        <v>190</v>
      </c>
      <c r="CN643" s="319" t="s">
        <v>428</v>
      </c>
      <c r="CO643" s="319" t="s">
        <v>428</v>
      </c>
      <c r="CP643" s="319" t="s">
        <v>428</v>
      </c>
      <c r="CQ643" s="319" t="s">
        <v>190</v>
      </c>
      <c r="CR643" s="319" t="s">
        <v>190</v>
      </c>
      <c r="CS643" s="319" t="s">
        <v>190</v>
      </c>
      <c r="CT643" s="319" t="s">
        <v>190</v>
      </c>
      <c r="CU643" s="319" t="s">
        <v>190</v>
      </c>
      <c r="CV643" s="319" t="s">
        <v>190</v>
      </c>
      <c r="CW643" s="319" t="s">
        <v>190</v>
      </c>
      <c r="CX643" s="319" t="s">
        <v>190</v>
      </c>
      <c r="CY643" s="319" t="s">
        <v>190</v>
      </c>
      <c r="CZ643" s="319" t="s">
        <v>190</v>
      </c>
      <c r="DA643" s="319" t="s">
        <v>190</v>
      </c>
      <c r="DB643" s="319" t="s">
        <v>190</v>
      </c>
      <c r="DC643" s="319" t="s">
        <v>190</v>
      </c>
      <c r="DD643" s="319" t="s">
        <v>190</v>
      </c>
      <c r="DE643" s="319" t="s">
        <v>190</v>
      </c>
      <c r="DF643" s="319" t="s">
        <v>190</v>
      </c>
      <c r="DG643" s="319" t="s">
        <v>190</v>
      </c>
      <c r="DH643" s="319" t="s">
        <v>190</v>
      </c>
      <c r="DI643" s="319" t="s">
        <v>190</v>
      </c>
      <c r="DJ643" s="319" t="s">
        <v>190</v>
      </c>
      <c r="DK643" s="319" t="s">
        <v>190</v>
      </c>
      <c r="DL643" s="319" t="s">
        <v>190</v>
      </c>
      <c r="DM643" s="319" t="s">
        <v>190</v>
      </c>
      <c r="DN643" s="319" t="s">
        <v>428</v>
      </c>
      <c r="DO643" s="319" t="s">
        <v>190</v>
      </c>
      <c r="DP643" s="319" t="s">
        <v>428</v>
      </c>
      <c r="DQ643" s="319" t="s">
        <v>428</v>
      </c>
      <c r="DR643" s="319" t="s">
        <v>428</v>
      </c>
      <c r="DS643" s="319" t="s">
        <v>428</v>
      </c>
      <c r="DT643" s="319" t="s">
        <v>428</v>
      </c>
      <c r="DU643" s="319" t="s">
        <v>428</v>
      </c>
      <c r="DV643" s="319" t="s">
        <v>173</v>
      </c>
      <c r="DW643" s="319" t="s">
        <v>428</v>
      </c>
      <c r="DX643" s="319" t="s">
        <v>428</v>
      </c>
      <c r="DY643" s="319" t="s">
        <v>428</v>
      </c>
      <c r="DZ643" s="319" t="s">
        <v>428</v>
      </c>
      <c r="EA643" s="319" t="s">
        <v>428</v>
      </c>
      <c r="EB643" s="319" t="s">
        <v>428</v>
      </c>
      <c r="EC643" s="319" t="s">
        <v>428</v>
      </c>
      <c r="ED643" s="319" t="s">
        <v>428</v>
      </c>
      <c r="EE643" s="319" t="s">
        <v>190</v>
      </c>
      <c r="EF643" s="319" t="s">
        <v>190</v>
      </c>
      <c r="EG643" s="319" t="s">
        <v>190</v>
      </c>
      <c r="EH643" s="319" t="s">
        <v>190</v>
      </c>
      <c r="EI643" s="319" t="s">
        <v>190</v>
      </c>
      <c r="EJ643" s="319" t="s">
        <v>190</v>
      </c>
      <c r="EK643" s="319" t="s">
        <v>190</v>
      </c>
      <c r="EL643" s="319" t="s">
        <v>190</v>
      </c>
      <c r="EM643" s="319" t="s">
        <v>190</v>
      </c>
      <c r="EN643" s="319" t="s">
        <v>190</v>
      </c>
      <c r="EO643" s="319" t="s">
        <v>190</v>
      </c>
      <c r="EP643" s="319" t="s">
        <v>190</v>
      </c>
      <c r="EQ643" s="319" t="s">
        <v>190</v>
      </c>
      <c r="ER643" s="319" t="s">
        <v>190</v>
      </c>
      <c r="ES643" s="319" t="s">
        <v>190</v>
      </c>
      <c r="ET643" s="319" t="s">
        <v>190</v>
      </c>
      <c r="EU643" s="319" t="s">
        <v>190</v>
      </c>
      <c r="EV643" s="319" t="s">
        <v>190</v>
      </c>
      <c r="EW643" s="319" t="s">
        <v>190</v>
      </c>
      <c r="EX643" s="319" t="s">
        <v>190</v>
      </c>
      <c r="EY643" s="319" t="s">
        <v>190</v>
      </c>
      <c r="EZ643" s="319" t="s">
        <v>190</v>
      </c>
      <c r="FA643" s="319" t="s">
        <v>428</v>
      </c>
      <c r="FB643" s="319" t="s">
        <v>428</v>
      </c>
      <c r="FC643" s="319" t="s">
        <v>428</v>
      </c>
      <c r="FD643" s="319" t="s">
        <v>428</v>
      </c>
      <c r="FE643" s="319" t="s">
        <v>428</v>
      </c>
      <c r="FF643" s="319" t="s">
        <v>428</v>
      </c>
      <c r="FG643" s="319" t="s">
        <v>428</v>
      </c>
      <c r="FH643" s="319" t="s">
        <v>190</v>
      </c>
      <c r="FI643" s="319" t="s">
        <v>428</v>
      </c>
      <c r="FJ643" s="319" t="s">
        <v>429</v>
      </c>
      <c r="FK643" s="319" t="s">
        <v>428</v>
      </c>
      <c r="FL643" s="319" t="s">
        <v>190</v>
      </c>
      <c r="FM643" s="319" t="s">
        <v>190</v>
      </c>
      <c r="FN643" s="319" t="s">
        <v>190</v>
      </c>
      <c r="FO643" s="319" t="s">
        <v>190</v>
      </c>
      <c r="FP643" s="319" t="s">
        <v>190</v>
      </c>
      <c r="FQ643" s="319" t="s">
        <v>190</v>
      </c>
      <c r="FR643" s="319" t="s">
        <v>190</v>
      </c>
      <c r="FS643" s="319" t="s">
        <v>190</v>
      </c>
      <c r="FT643" s="319" t="s">
        <v>190</v>
      </c>
      <c r="FU643" s="319" t="s">
        <v>190</v>
      </c>
      <c r="FV643" s="319" t="s">
        <v>190</v>
      </c>
      <c r="FW643" s="319" t="s">
        <v>190</v>
      </c>
      <c r="FX643" s="319" t="s">
        <v>190</v>
      </c>
      <c r="FY643" s="319" t="s">
        <v>190</v>
      </c>
      <c r="FZ643" s="319" t="s">
        <v>190</v>
      </c>
      <c r="GA643" s="319" t="s">
        <v>190</v>
      </c>
      <c r="GB643" s="319" t="s">
        <v>190</v>
      </c>
      <c r="GC643" s="319" t="s">
        <v>190</v>
      </c>
      <c r="GD643" s="319" t="s">
        <v>190</v>
      </c>
      <c r="GE643" s="319" t="s">
        <v>190</v>
      </c>
      <c r="GF643" s="319" t="s">
        <v>190</v>
      </c>
      <c r="GG643" s="319" t="s">
        <v>190</v>
      </c>
      <c r="GH643" s="319" t="s">
        <v>190</v>
      </c>
      <c r="GI643" s="319" t="s">
        <v>190</v>
      </c>
      <c r="GJ643" s="319" t="s">
        <v>190</v>
      </c>
      <c r="GK643" s="319" t="s">
        <v>428</v>
      </c>
      <c r="GL643" s="319" t="s">
        <v>190</v>
      </c>
      <c r="GM643" s="319" t="s">
        <v>190</v>
      </c>
      <c r="GN643" s="319" t="s">
        <v>190</v>
      </c>
      <c r="GO643" s="319" t="s">
        <v>190</v>
      </c>
      <c r="GP643" s="319" t="s">
        <v>190</v>
      </c>
      <c r="GQ643" s="319" t="s">
        <v>428</v>
      </c>
      <c r="GR643" s="319" t="s">
        <v>190</v>
      </c>
      <c r="GS643" s="319" t="s">
        <v>190</v>
      </c>
      <c r="GT643" s="319" t="s">
        <v>190</v>
      </c>
      <c r="GU643" s="319" t="s">
        <v>190</v>
      </c>
      <c r="GV643" s="319" t="s">
        <v>428</v>
      </c>
      <c r="GW643" s="319" t="s">
        <v>190</v>
      </c>
      <c r="GX643" s="319" t="s">
        <v>190</v>
      </c>
      <c r="GY643" s="319" t="s">
        <v>190</v>
      </c>
      <c r="GZ643" s="319" t="s">
        <v>428</v>
      </c>
      <c r="HA643" s="319" t="s">
        <v>190</v>
      </c>
      <c r="HB643" s="319" t="s">
        <v>190</v>
      </c>
      <c r="HC643" s="319" t="s">
        <v>190</v>
      </c>
      <c r="HD643" s="319" t="s">
        <v>190</v>
      </c>
      <c r="HE643" s="319" t="s">
        <v>190</v>
      </c>
      <c r="HF643" s="319" t="s">
        <v>190</v>
      </c>
      <c r="HG643" s="319" t="s">
        <v>190</v>
      </c>
      <c r="HH643" s="319" t="s">
        <v>190</v>
      </c>
      <c r="HI643" s="319" t="s">
        <v>190</v>
      </c>
      <c r="HJ643" s="319" t="s">
        <v>190</v>
      </c>
      <c r="HK643" s="319" t="s">
        <v>190</v>
      </c>
      <c r="HL643" s="319" t="s">
        <v>428</v>
      </c>
      <c r="HM643" s="319" t="s">
        <v>428</v>
      </c>
      <c r="HN643" s="319" t="s">
        <v>428</v>
      </c>
      <c r="HO643" s="319" t="s">
        <v>428</v>
      </c>
      <c r="HP643" s="319" t="s">
        <v>190</v>
      </c>
      <c r="HQ643" s="319" t="s">
        <v>190</v>
      </c>
      <c r="HR643" s="319" t="s">
        <v>190</v>
      </c>
      <c r="HS643" s="319" t="s">
        <v>190</v>
      </c>
      <c r="HT643" s="319" t="s">
        <v>190</v>
      </c>
      <c r="HU643" s="319" t="s">
        <v>190</v>
      </c>
      <c r="HV643" s="319" t="s">
        <v>190</v>
      </c>
      <c r="HW643" s="319" t="s">
        <v>190</v>
      </c>
      <c r="HX643" s="319" t="s">
        <v>190</v>
      </c>
      <c r="HY643" s="319" t="s">
        <v>190</v>
      </c>
      <c r="HZ643" s="319" t="s">
        <v>190</v>
      </c>
      <c r="IA643" s="319" t="s">
        <v>190</v>
      </c>
      <c r="IB643" s="319" t="s">
        <v>190</v>
      </c>
      <c r="IC643" s="319" t="s">
        <v>190</v>
      </c>
      <c r="ID643" s="319" t="s">
        <v>190</v>
      </c>
      <c r="IE643" s="319" t="s">
        <v>190</v>
      </c>
      <c r="IF643" s="319" t="s">
        <v>190</v>
      </c>
      <c r="IG643" s="319" t="s">
        <v>190</v>
      </c>
      <c r="IH643" s="319" t="s">
        <v>190</v>
      </c>
      <c r="II643" s="319" t="s">
        <v>190</v>
      </c>
      <c r="IJ643" s="319">
        <v>10006126</v>
      </c>
      <c r="IK643" s="321">
        <v>42353</v>
      </c>
      <c r="IL643" s="321">
        <v>42355</v>
      </c>
      <c r="IM643" s="321">
        <v>42389</v>
      </c>
      <c r="IN643" s="319">
        <v>2</v>
      </c>
      <c r="IO643" s="319" t="s">
        <v>173</v>
      </c>
      <c r="IP643" s="319" t="s">
        <v>173</v>
      </c>
      <c r="IQ643" s="321" t="s">
        <v>173</v>
      </c>
      <c r="IR643" s="320" t="s">
        <v>173</v>
      </c>
      <c r="IS643" s="322" t="s">
        <v>173</v>
      </c>
      <c r="IT643" s="319" t="s">
        <v>173</v>
      </c>
    </row>
    <row r="644" spans="1:254" s="271" customFormat="1" x14ac:dyDescent="0.25">
      <c r="A644" s="318" t="str">
        <f>HYPERLINK("http://www.ofsted.gov.uk/inspection-reports/find-inspection-report/provider/ELS/136746 ","Ofsted School Webpage")</f>
        <v>Ofsted School Webpage</v>
      </c>
      <c r="B644" s="319">
        <v>136746</v>
      </c>
      <c r="C644" s="319">
        <v>3016003</v>
      </c>
      <c r="D644" s="319" t="s">
        <v>603</v>
      </c>
      <c r="E644" s="319" t="s">
        <v>167</v>
      </c>
      <c r="F644" s="319" t="s">
        <v>81</v>
      </c>
      <c r="G644" s="319" t="s">
        <v>72</v>
      </c>
      <c r="H644" s="319" t="s">
        <v>72</v>
      </c>
      <c r="I644" s="319" t="s">
        <v>72</v>
      </c>
      <c r="J644" s="319" t="s">
        <v>424</v>
      </c>
      <c r="K644" s="319" t="s">
        <v>441</v>
      </c>
      <c r="L644" s="319" t="s">
        <v>441</v>
      </c>
      <c r="M644" s="319" t="s">
        <v>604</v>
      </c>
      <c r="N644" s="319" t="s">
        <v>3213</v>
      </c>
      <c r="O644" s="319" t="s">
        <v>605</v>
      </c>
      <c r="P644" s="319">
        <v>89</v>
      </c>
      <c r="Q644" s="319" t="s">
        <v>2766</v>
      </c>
      <c r="R644" s="320">
        <v>10055415</v>
      </c>
      <c r="S644" s="321">
        <v>43410</v>
      </c>
      <c r="T644" s="321">
        <v>43412</v>
      </c>
      <c r="U644" s="321">
        <v>43432</v>
      </c>
      <c r="V644" s="319" t="s">
        <v>425</v>
      </c>
      <c r="W644" s="319" t="s">
        <v>2767</v>
      </c>
      <c r="X644" s="319">
        <v>2</v>
      </c>
      <c r="Y644" s="319" t="s">
        <v>173</v>
      </c>
      <c r="Z644" s="319" t="s">
        <v>173</v>
      </c>
      <c r="AA644" s="319" t="s">
        <v>173</v>
      </c>
      <c r="AB644" s="319">
        <v>2</v>
      </c>
      <c r="AC644" s="319" t="s">
        <v>169</v>
      </c>
      <c r="AD644" s="319" t="s">
        <v>173</v>
      </c>
      <c r="AE644" s="319" t="s">
        <v>173</v>
      </c>
      <c r="AF644" s="319" t="s">
        <v>427</v>
      </c>
      <c r="AG644" s="319" t="s">
        <v>171</v>
      </c>
      <c r="AH644" s="319" t="s">
        <v>190</v>
      </c>
      <c r="AI644" s="319" t="s">
        <v>190</v>
      </c>
      <c r="AJ644" s="319" t="s">
        <v>190</v>
      </c>
      <c r="AK644" s="319" t="s">
        <v>190</v>
      </c>
      <c r="AL644" s="319" t="s">
        <v>190</v>
      </c>
      <c r="AM644" s="319" t="s">
        <v>190</v>
      </c>
      <c r="AN644" s="319" t="s">
        <v>190</v>
      </c>
      <c r="AO644" s="319" t="s">
        <v>190</v>
      </c>
      <c r="AP644" s="319" t="s">
        <v>190</v>
      </c>
      <c r="AQ644" s="319" t="s">
        <v>190</v>
      </c>
      <c r="AR644" s="319" t="s">
        <v>190</v>
      </c>
      <c r="AS644" s="319" t="s">
        <v>190</v>
      </c>
      <c r="AT644" s="319" t="s">
        <v>190</v>
      </c>
      <c r="AU644" s="319" t="s">
        <v>190</v>
      </c>
      <c r="AV644" s="319" t="s">
        <v>190</v>
      </c>
      <c r="AW644" s="319" t="s">
        <v>190</v>
      </c>
      <c r="AX644" s="319" t="s">
        <v>428</v>
      </c>
      <c r="AY644" s="319" t="s">
        <v>190</v>
      </c>
      <c r="AZ644" s="319" t="s">
        <v>190</v>
      </c>
      <c r="BA644" s="319" t="s">
        <v>190</v>
      </c>
      <c r="BB644" s="319" t="s">
        <v>190</v>
      </c>
      <c r="BC644" s="319" t="s">
        <v>190</v>
      </c>
      <c r="BD644" s="319" t="s">
        <v>190</v>
      </c>
      <c r="BE644" s="319" t="s">
        <v>190</v>
      </c>
      <c r="BF644" s="319" t="s">
        <v>428</v>
      </c>
      <c r="BG644" s="319" t="s">
        <v>428</v>
      </c>
      <c r="BH644" s="319" t="s">
        <v>190</v>
      </c>
      <c r="BI644" s="319" t="s">
        <v>190</v>
      </c>
      <c r="BJ644" s="319" t="s">
        <v>190</v>
      </c>
      <c r="BK644" s="319" t="s">
        <v>190</v>
      </c>
      <c r="BL644" s="319" t="s">
        <v>190</v>
      </c>
      <c r="BM644" s="319" t="s">
        <v>190</v>
      </c>
      <c r="BN644" s="319" t="s">
        <v>190</v>
      </c>
      <c r="BO644" s="319" t="s">
        <v>190</v>
      </c>
      <c r="BP644" s="319" t="s">
        <v>190</v>
      </c>
      <c r="BQ644" s="319" t="s">
        <v>190</v>
      </c>
      <c r="BR644" s="319" t="s">
        <v>190</v>
      </c>
      <c r="BS644" s="319" t="s">
        <v>190</v>
      </c>
      <c r="BT644" s="319" t="s">
        <v>190</v>
      </c>
      <c r="BU644" s="319" t="s">
        <v>190</v>
      </c>
      <c r="BV644" s="319" t="s">
        <v>190</v>
      </c>
      <c r="BW644" s="319" t="s">
        <v>190</v>
      </c>
      <c r="BX644" s="319" t="s">
        <v>190</v>
      </c>
      <c r="BY644" s="319" t="s">
        <v>190</v>
      </c>
      <c r="BZ644" s="319" t="s">
        <v>190</v>
      </c>
      <c r="CA644" s="319" t="s">
        <v>190</v>
      </c>
      <c r="CB644" s="319" t="s">
        <v>190</v>
      </c>
      <c r="CC644" s="319" t="s">
        <v>190</v>
      </c>
      <c r="CD644" s="319" t="s">
        <v>190</v>
      </c>
      <c r="CE644" s="319" t="s">
        <v>190</v>
      </c>
      <c r="CF644" s="319" t="s">
        <v>190</v>
      </c>
      <c r="CG644" s="319" t="s">
        <v>190</v>
      </c>
      <c r="CH644" s="319" t="s">
        <v>190</v>
      </c>
      <c r="CI644" s="319" t="s">
        <v>190</v>
      </c>
      <c r="CJ644" s="319" t="s">
        <v>190</v>
      </c>
      <c r="CK644" s="319" t="s">
        <v>190</v>
      </c>
      <c r="CL644" s="319" t="s">
        <v>190</v>
      </c>
      <c r="CM644" s="319" t="s">
        <v>190</v>
      </c>
      <c r="CN644" s="319" t="s">
        <v>428</v>
      </c>
      <c r="CO644" s="319" t="s">
        <v>428</v>
      </c>
      <c r="CP644" s="319" t="s">
        <v>428</v>
      </c>
      <c r="CQ644" s="319" t="s">
        <v>190</v>
      </c>
      <c r="CR644" s="319" t="s">
        <v>190</v>
      </c>
      <c r="CS644" s="319" t="s">
        <v>190</v>
      </c>
      <c r="CT644" s="319" t="s">
        <v>190</v>
      </c>
      <c r="CU644" s="319" t="s">
        <v>190</v>
      </c>
      <c r="CV644" s="319" t="s">
        <v>190</v>
      </c>
      <c r="CW644" s="319" t="s">
        <v>190</v>
      </c>
      <c r="CX644" s="319" t="s">
        <v>190</v>
      </c>
      <c r="CY644" s="319" t="s">
        <v>190</v>
      </c>
      <c r="CZ644" s="319" t="s">
        <v>190</v>
      </c>
      <c r="DA644" s="319" t="s">
        <v>190</v>
      </c>
      <c r="DB644" s="319" t="s">
        <v>190</v>
      </c>
      <c r="DC644" s="319" t="s">
        <v>190</v>
      </c>
      <c r="DD644" s="319" t="s">
        <v>190</v>
      </c>
      <c r="DE644" s="319" t="s">
        <v>190</v>
      </c>
      <c r="DF644" s="319" t="s">
        <v>190</v>
      </c>
      <c r="DG644" s="319" t="s">
        <v>190</v>
      </c>
      <c r="DH644" s="319" t="s">
        <v>190</v>
      </c>
      <c r="DI644" s="319" t="s">
        <v>190</v>
      </c>
      <c r="DJ644" s="319" t="s">
        <v>190</v>
      </c>
      <c r="DK644" s="319" t="s">
        <v>190</v>
      </c>
      <c r="DL644" s="319" t="s">
        <v>190</v>
      </c>
      <c r="DM644" s="319" t="s">
        <v>190</v>
      </c>
      <c r="DN644" s="319" t="s">
        <v>428</v>
      </c>
      <c r="DO644" s="319" t="s">
        <v>190</v>
      </c>
      <c r="DP644" s="319" t="s">
        <v>428</v>
      </c>
      <c r="DQ644" s="319" t="s">
        <v>428</v>
      </c>
      <c r="DR644" s="319" t="s">
        <v>428</v>
      </c>
      <c r="DS644" s="319" t="s">
        <v>428</v>
      </c>
      <c r="DT644" s="319" t="s">
        <v>428</v>
      </c>
      <c r="DU644" s="319" t="s">
        <v>428</v>
      </c>
      <c r="DV644" s="319" t="s">
        <v>173</v>
      </c>
      <c r="DW644" s="319" t="s">
        <v>428</v>
      </c>
      <c r="DX644" s="319" t="s">
        <v>428</v>
      </c>
      <c r="DY644" s="319" t="s">
        <v>428</v>
      </c>
      <c r="DZ644" s="319" t="s">
        <v>428</v>
      </c>
      <c r="EA644" s="319" t="s">
        <v>428</v>
      </c>
      <c r="EB644" s="319" t="s">
        <v>428</v>
      </c>
      <c r="EC644" s="319" t="s">
        <v>428</v>
      </c>
      <c r="ED644" s="319" t="s">
        <v>190</v>
      </c>
      <c r="EE644" s="319" t="s">
        <v>190</v>
      </c>
      <c r="EF644" s="319" t="s">
        <v>190</v>
      </c>
      <c r="EG644" s="319" t="s">
        <v>190</v>
      </c>
      <c r="EH644" s="319" t="s">
        <v>190</v>
      </c>
      <c r="EI644" s="319" t="s">
        <v>190</v>
      </c>
      <c r="EJ644" s="319" t="s">
        <v>190</v>
      </c>
      <c r="EK644" s="319" t="s">
        <v>190</v>
      </c>
      <c r="EL644" s="319" t="s">
        <v>190</v>
      </c>
      <c r="EM644" s="319" t="s">
        <v>190</v>
      </c>
      <c r="EN644" s="319" t="s">
        <v>190</v>
      </c>
      <c r="EO644" s="319" t="s">
        <v>190</v>
      </c>
      <c r="EP644" s="319" t="s">
        <v>190</v>
      </c>
      <c r="EQ644" s="319" t="s">
        <v>190</v>
      </c>
      <c r="ER644" s="319" t="s">
        <v>190</v>
      </c>
      <c r="ES644" s="319" t="s">
        <v>190</v>
      </c>
      <c r="ET644" s="319" t="s">
        <v>190</v>
      </c>
      <c r="EU644" s="319" t="s">
        <v>190</v>
      </c>
      <c r="EV644" s="319" t="s">
        <v>190</v>
      </c>
      <c r="EW644" s="319" t="s">
        <v>190</v>
      </c>
      <c r="EX644" s="319" t="s">
        <v>190</v>
      </c>
      <c r="EY644" s="319" t="s">
        <v>190</v>
      </c>
      <c r="EZ644" s="319" t="s">
        <v>190</v>
      </c>
      <c r="FA644" s="319" t="s">
        <v>190</v>
      </c>
      <c r="FB644" s="319" t="s">
        <v>428</v>
      </c>
      <c r="FC644" s="319" t="s">
        <v>428</v>
      </c>
      <c r="FD644" s="319" t="s">
        <v>428</v>
      </c>
      <c r="FE644" s="319" t="s">
        <v>428</v>
      </c>
      <c r="FF644" s="319" t="s">
        <v>428</v>
      </c>
      <c r="FG644" s="319" t="s">
        <v>428</v>
      </c>
      <c r="FH644" s="319" t="s">
        <v>428</v>
      </c>
      <c r="FI644" s="319" t="s">
        <v>428</v>
      </c>
      <c r="FJ644" s="319" t="s">
        <v>429</v>
      </c>
      <c r="FK644" s="319" t="s">
        <v>428</v>
      </c>
      <c r="FL644" s="319" t="s">
        <v>190</v>
      </c>
      <c r="FM644" s="319" t="s">
        <v>190</v>
      </c>
      <c r="FN644" s="319" t="s">
        <v>190</v>
      </c>
      <c r="FO644" s="319" t="s">
        <v>190</v>
      </c>
      <c r="FP644" s="319" t="s">
        <v>190</v>
      </c>
      <c r="FQ644" s="319" t="s">
        <v>190</v>
      </c>
      <c r="FR644" s="319" t="s">
        <v>190</v>
      </c>
      <c r="FS644" s="319" t="s">
        <v>428</v>
      </c>
      <c r="FT644" s="319" t="s">
        <v>190</v>
      </c>
      <c r="FU644" s="319" t="s">
        <v>190</v>
      </c>
      <c r="FV644" s="319" t="s">
        <v>190</v>
      </c>
      <c r="FW644" s="319" t="s">
        <v>190</v>
      </c>
      <c r="FX644" s="319" t="s">
        <v>190</v>
      </c>
      <c r="FY644" s="319" t="s">
        <v>190</v>
      </c>
      <c r="FZ644" s="319" t="s">
        <v>190</v>
      </c>
      <c r="GA644" s="319" t="s">
        <v>190</v>
      </c>
      <c r="GB644" s="319" t="s">
        <v>190</v>
      </c>
      <c r="GC644" s="319" t="s">
        <v>190</v>
      </c>
      <c r="GD644" s="319" t="s">
        <v>190</v>
      </c>
      <c r="GE644" s="319" t="s">
        <v>190</v>
      </c>
      <c r="GF644" s="319" t="s">
        <v>190</v>
      </c>
      <c r="GG644" s="319" t="s">
        <v>190</v>
      </c>
      <c r="GH644" s="319" t="s">
        <v>190</v>
      </c>
      <c r="GI644" s="319" t="s">
        <v>190</v>
      </c>
      <c r="GJ644" s="319" t="s">
        <v>190</v>
      </c>
      <c r="GK644" s="319" t="s">
        <v>428</v>
      </c>
      <c r="GL644" s="319" t="s">
        <v>190</v>
      </c>
      <c r="GM644" s="319" t="s">
        <v>190</v>
      </c>
      <c r="GN644" s="319" t="s">
        <v>190</v>
      </c>
      <c r="GO644" s="319" t="s">
        <v>190</v>
      </c>
      <c r="GP644" s="319" t="s">
        <v>190</v>
      </c>
      <c r="GQ644" s="319" t="s">
        <v>428</v>
      </c>
      <c r="GR644" s="319" t="s">
        <v>190</v>
      </c>
      <c r="GS644" s="319" t="s">
        <v>190</v>
      </c>
      <c r="GT644" s="319" t="s">
        <v>428</v>
      </c>
      <c r="GU644" s="319" t="s">
        <v>428</v>
      </c>
      <c r="GV644" s="319" t="s">
        <v>190</v>
      </c>
      <c r="GW644" s="319" t="s">
        <v>190</v>
      </c>
      <c r="GX644" s="319" t="s">
        <v>190</v>
      </c>
      <c r="GY644" s="319" t="s">
        <v>190</v>
      </c>
      <c r="GZ644" s="319" t="s">
        <v>190</v>
      </c>
      <c r="HA644" s="319" t="s">
        <v>428</v>
      </c>
      <c r="HB644" s="319" t="s">
        <v>428</v>
      </c>
      <c r="HC644" s="319" t="s">
        <v>190</v>
      </c>
      <c r="HD644" s="319" t="s">
        <v>190</v>
      </c>
      <c r="HE644" s="319" t="s">
        <v>190</v>
      </c>
      <c r="HF644" s="319" t="s">
        <v>190</v>
      </c>
      <c r="HG644" s="319" t="s">
        <v>190</v>
      </c>
      <c r="HH644" s="319" t="s">
        <v>190</v>
      </c>
      <c r="HI644" s="319" t="s">
        <v>190</v>
      </c>
      <c r="HJ644" s="319" t="s">
        <v>190</v>
      </c>
      <c r="HK644" s="319" t="s">
        <v>190</v>
      </c>
      <c r="HL644" s="319" t="s">
        <v>428</v>
      </c>
      <c r="HM644" s="319" t="s">
        <v>428</v>
      </c>
      <c r="HN644" s="319" t="s">
        <v>428</v>
      </c>
      <c r="HO644" s="319" t="s">
        <v>428</v>
      </c>
      <c r="HP644" s="319" t="s">
        <v>190</v>
      </c>
      <c r="HQ644" s="319" t="s">
        <v>190</v>
      </c>
      <c r="HR644" s="319" t="s">
        <v>190</v>
      </c>
      <c r="HS644" s="319" t="s">
        <v>190</v>
      </c>
      <c r="HT644" s="319" t="s">
        <v>190</v>
      </c>
      <c r="HU644" s="319" t="s">
        <v>190</v>
      </c>
      <c r="HV644" s="319" t="s">
        <v>190</v>
      </c>
      <c r="HW644" s="319" t="s">
        <v>190</v>
      </c>
      <c r="HX644" s="319" t="s">
        <v>190</v>
      </c>
      <c r="HY644" s="319" t="s">
        <v>190</v>
      </c>
      <c r="HZ644" s="319" t="s">
        <v>190</v>
      </c>
      <c r="IA644" s="319" t="s">
        <v>190</v>
      </c>
      <c r="IB644" s="319" t="s">
        <v>190</v>
      </c>
      <c r="IC644" s="319" t="s">
        <v>190</v>
      </c>
      <c r="ID644" s="319" t="s">
        <v>190</v>
      </c>
      <c r="IE644" s="319" t="s">
        <v>190</v>
      </c>
      <c r="IF644" s="319" t="s">
        <v>190</v>
      </c>
      <c r="IG644" s="319" t="s">
        <v>190</v>
      </c>
      <c r="IH644" s="319" t="s">
        <v>190</v>
      </c>
      <c r="II644" s="319" t="s">
        <v>190</v>
      </c>
      <c r="IJ644" s="319">
        <v>10012827</v>
      </c>
      <c r="IK644" s="321">
        <v>42479</v>
      </c>
      <c r="IL644" s="321">
        <v>42481</v>
      </c>
      <c r="IM644" s="321">
        <v>42509</v>
      </c>
      <c r="IN644" s="319">
        <v>2</v>
      </c>
      <c r="IO644" s="319" t="s">
        <v>173</v>
      </c>
      <c r="IP644" s="319" t="s">
        <v>173</v>
      </c>
      <c r="IQ644" s="321" t="s">
        <v>173</v>
      </c>
      <c r="IR644" s="320" t="s">
        <v>173</v>
      </c>
      <c r="IS644" s="322" t="s">
        <v>173</v>
      </c>
      <c r="IT644" s="319" t="s">
        <v>173</v>
      </c>
    </row>
    <row r="645" spans="1:254" s="271" customFormat="1" x14ac:dyDescent="0.25">
      <c r="A645" s="318" t="str">
        <f>HYPERLINK("http://www.ofsted.gov.uk/inspection-reports/find-inspection-report/provider/ELS/136747 ","Ofsted School Webpage")</f>
        <v>Ofsted School Webpage</v>
      </c>
      <c r="B645" s="319">
        <v>136747</v>
      </c>
      <c r="C645" s="319">
        <v>2076000</v>
      </c>
      <c r="D645" s="319" t="s">
        <v>566</v>
      </c>
      <c r="E645" s="319" t="s">
        <v>167</v>
      </c>
      <c r="F645" s="319" t="s">
        <v>81</v>
      </c>
      <c r="G645" s="319" t="s">
        <v>81</v>
      </c>
      <c r="H645" s="319" t="s">
        <v>81</v>
      </c>
      <c r="I645" s="319" t="s">
        <v>78</v>
      </c>
      <c r="J645" s="319" t="s">
        <v>424</v>
      </c>
      <c r="K645" s="319" t="s">
        <v>441</v>
      </c>
      <c r="L645" s="319" t="s">
        <v>441</v>
      </c>
      <c r="M645" s="319" t="s">
        <v>567</v>
      </c>
      <c r="N645" s="319" t="s">
        <v>2790</v>
      </c>
      <c r="O645" s="319" t="s">
        <v>568</v>
      </c>
      <c r="P645" s="319">
        <v>81</v>
      </c>
      <c r="Q645" s="319" t="s">
        <v>2766</v>
      </c>
      <c r="R645" s="320">
        <v>10054297</v>
      </c>
      <c r="S645" s="321">
        <v>43389</v>
      </c>
      <c r="T645" s="321">
        <v>43391</v>
      </c>
      <c r="U645" s="321">
        <v>43422</v>
      </c>
      <c r="V645" s="319" t="s">
        <v>425</v>
      </c>
      <c r="W645" s="319" t="s">
        <v>2767</v>
      </c>
      <c r="X645" s="319">
        <v>2</v>
      </c>
      <c r="Y645" s="319" t="s">
        <v>173</v>
      </c>
      <c r="Z645" s="319" t="s">
        <v>173</v>
      </c>
      <c r="AA645" s="319" t="s">
        <v>173</v>
      </c>
      <c r="AB645" s="319">
        <v>2</v>
      </c>
      <c r="AC645" s="319" t="s">
        <v>169</v>
      </c>
      <c r="AD645" s="319">
        <v>2</v>
      </c>
      <c r="AE645" s="319" t="s">
        <v>173</v>
      </c>
      <c r="AF645" s="319" t="s">
        <v>427</v>
      </c>
      <c r="AG645" s="319" t="s">
        <v>172</v>
      </c>
      <c r="AH645" s="319" t="s">
        <v>190</v>
      </c>
      <c r="AI645" s="319" t="s">
        <v>190</v>
      </c>
      <c r="AJ645" s="319" t="s">
        <v>190</v>
      </c>
      <c r="AK645" s="319" t="s">
        <v>190</v>
      </c>
      <c r="AL645" s="319" t="s">
        <v>190</v>
      </c>
      <c r="AM645" s="319" t="s">
        <v>190</v>
      </c>
      <c r="AN645" s="319" t="s">
        <v>190</v>
      </c>
      <c r="AO645" s="319" t="s">
        <v>479</v>
      </c>
      <c r="AP645" s="319" t="s">
        <v>190</v>
      </c>
      <c r="AQ645" s="319" t="s">
        <v>190</v>
      </c>
      <c r="AR645" s="319" t="s">
        <v>190</v>
      </c>
      <c r="AS645" s="319" t="s">
        <v>190</v>
      </c>
      <c r="AT645" s="319" t="s">
        <v>190</v>
      </c>
      <c r="AU645" s="319" t="s">
        <v>190</v>
      </c>
      <c r="AV645" s="319" t="s">
        <v>190</v>
      </c>
      <c r="AW645" s="319" t="s">
        <v>190</v>
      </c>
      <c r="AX645" s="319" t="s">
        <v>190</v>
      </c>
      <c r="AY645" s="319" t="s">
        <v>190</v>
      </c>
      <c r="AZ645" s="319" t="s">
        <v>190</v>
      </c>
      <c r="BA645" s="319" t="s">
        <v>190</v>
      </c>
      <c r="BB645" s="319" t="s">
        <v>190</v>
      </c>
      <c r="BC645" s="319" t="s">
        <v>190</v>
      </c>
      <c r="BD645" s="319" t="s">
        <v>190</v>
      </c>
      <c r="BE645" s="319" t="s">
        <v>190</v>
      </c>
      <c r="BF645" s="319" t="s">
        <v>428</v>
      </c>
      <c r="BG645" s="319" t="s">
        <v>428</v>
      </c>
      <c r="BH645" s="319" t="s">
        <v>190</v>
      </c>
      <c r="BI645" s="319" t="s">
        <v>190</v>
      </c>
      <c r="BJ645" s="319" t="s">
        <v>190</v>
      </c>
      <c r="BK645" s="319" t="s">
        <v>190</v>
      </c>
      <c r="BL645" s="319" t="s">
        <v>190</v>
      </c>
      <c r="BM645" s="319" t="s">
        <v>190</v>
      </c>
      <c r="BN645" s="319" t="s">
        <v>190</v>
      </c>
      <c r="BO645" s="319" t="s">
        <v>190</v>
      </c>
      <c r="BP645" s="319" t="s">
        <v>190</v>
      </c>
      <c r="BQ645" s="319" t="s">
        <v>190</v>
      </c>
      <c r="BR645" s="319" t="s">
        <v>190</v>
      </c>
      <c r="BS645" s="319" t="s">
        <v>190</v>
      </c>
      <c r="BT645" s="319" t="s">
        <v>190</v>
      </c>
      <c r="BU645" s="319" t="s">
        <v>190</v>
      </c>
      <c r="BV645" s="319" t="s">
        <v>190</v>
      </c>
      <c r="BW645" s="319" t="s">
        <v>190</v>
      </c>
      <c r="BX645" s="319" t="s">
        <v>190</v>
      </c>
      <c r="BY645" s="319" t="s">
        <v>190</v>
      </c>
      <c r="BZ645" s="319" t="s">
        <v>190</v>
      </c>
      <c r="CA645" s="319" t="s">
        <v>190</v>
      </c>
      <c r="CB645" s="319" t="s">
        <v>190</v>
      </c>
      <c r="CC645" s="319" t="s">
        <v>190</v>
      </c>
      <c r="CD645" s="319" t="s">
        <v>190</v>
      </c>
      <c r="CE645" s="319" t="s">
        <v>190</v>
      </c>
      <c r="CF645" s="319" t="s">
        <v>190</v>
      </c>
      <c r="CG645" s="319" t="s">
        <v>190</v>
      </c>
      <c r="CH645" s="319" t="s">
        <v>190</v>
      </c>
      <c r="CI645" s="319" t="s">
        <v>190</v>
      </c>
      <c r="CJ645" s="319" t="s">
        <v>190</v>
      </c>
      <c r="CK645" s="319" t="s">
        <v>190</v>
      </c>
      <c r="CL645" s="319" t="s">
        <v>190</v>
      </c>
      <c r="CM645" s="319" t="s">
        <v>190</v>
      </c>
      <c r="CN645" s="319" t="s">
        <v>428</v>
      </c>
      <c r="CO645" s="319" t="s">
        <v>428</v>
      </c>
      <c r="CP645" s="319" t="s">
        <v>428</v>
      </c>
      <c r="CQ645" s="319" t="s">
        <v>190</v>
      </c>
      <c r="CR645" s="319" t="s">
        <v>190</v>
      </c>
      <c r="CS645" s="319" t="s">
        <v>190</v>
      </c>
      <c r="CT645" s="319" t="s">
        <v>190</v>
      </c>
      <c r="CU645" s="319" t="s">
        <v>190</v>
      </c>
      <c r="CV645" s="319" t="s">
        <v>190</v>
      </c>
      <c r="CW645" s="319" t="s">
        <v>190</v>
      </c>
      <c r="CX645" s="319" t="s">
        <v>190</v>
      </c>
      <c r="CY645" s="319" t="s">
        <v>190</v>
      </c>
      <c r="CZ645" s="319" t="s">
        <v>190</v>
      </c>
      <c r="DA645" s="319" t="s">
        <v>190</v>
      </c>
      <c r="DB645" s="319" t="s">
        <v>190</v>
      </c>
      <c r="DC645" s="319" t="s">
        <v>190</v>
      </c>
      <c r="DD645" s="319" t="s">
        <v>190</v>
      </c>
      <c r="DE645" s="319" t="s">
        <v>190</v>
      </c>
      <c r="DF645" s="319" t="s">
        <v>190</v>
      </c>
      <c r="DG645" s="319" t="s">
        <v>190</v>
      </c>
      <c r="DH645" s="319" t="s">
        <v>190</v>
      </c>
      <c r="DI645" s="319" t="s">
        <v>190</v>
      </c>
      <c r="DJ645" s="319" t="s">
        <v>190</v>
      </c>
      <c r="DK645" s="319" t="s">
        <v>190</v>
      </c>
      <c r="DL645" s="319" t="s">
        <v>190</v>
      </c>
      <c r="DM645" s="319" t="s">
        <v>190</v>
      </c>
      <c r="DN645" s="319" t="s">
        <v>428</v>
      </c>
      <c r="DO645" s="319" t="s">
        <v>190</v>
      </c>
      <c r="DP645" s="319" t="s">
        <v>428</v>
      </c>
      <c r="DQ645" s="319" t="s">
        <v>428</v>
      </c>
      <c r="DR645" s="319" t="s">
        <v>428</v>
      </c>
      <c r="DS645" s="319" t="s">
        <v>428</v>
      </c>
      <c r="DT645" s="319" t="s">
        <v>428</v>
      </c>
      <c r="DU645" s="319" t="s">
        <v>428</v>
      </c>
      <c r="DV645" s="319" t="s">
        <v>173</v>
      </c>
      <c r="DW645" s="319" t="s">
        <v>428</v>
      </c>
      <c r="DX645" s="319" t="s">
        <v>428</v>
      </c>
      <c r="DY645" s="319" t="s">
        <v>428</v>
      </c>
      <c r="DZ645" s="319" t="s">
        <v>428</v>
      </c>
      <c r="EA645" s="319" t="s">
        <v>428</v>
      </c>
      <c r="EB645" s="319" t="s">
        <v>428</v>
      </c>
      <c r="EC645" s="319" t="s">
        <v>428</v>
      </c>
      <c r="ED645" s="319" t="s">
        <v>428</v>
      </c>
      <c r="EE645" s="319" t="s">
        <v>190</v>
      </c>
      <c r="EF645" s="319" t="s">
        <v>190</v>
      </c>
      <c r="EG645" s="319" t="s">
        <v>190</v>
      </c>
      <c r="EH645" s="319" t="s">
        <v>190</v>
      </c>
      <c r="EI645" s="319" t="s">
        <v>190</v>
      </c>
      <c r="EJ645" s="319" t="s">
        <v>190</v>
      </c>
      <c r="EK645" s="319" t="s">
        <v>190</v>
      </c>
      <c r="EL645" s="319" t="s">
        <v>190</v>
      </c>
      <c r="EM645" s="319" t="s">
        <v>190</v>
      </c>
      <c r="EN645" s="319" t="s">
        <v>190</v>
      </c>
      <c r="EO645" s="319" t="s">
        <v>190</v>
      </c>
      <c r="EP645" s="319" t="s">
        <v>190</v>
      </c>
      <c r="EQ645" s="319" t="s">
        <v>190</v>
      </c>
      <c r="ER645" s="319" t="s">
        <v>190</v>
      </c>
      <c r="ES645" s="319" t="s">
        <v>190</v>
      </c>
      <c r="ET645" s="319" t="s">
        <v>190</v>
      </c>
      <c r="EU645" s="319" t="s">
        <v>190</v>
      </c>
      <c r="EV645" s="319" t="s">
        <v>190</v>
      </c>
      <c r="EW645" s="319" t="s">
        <v>190</v>
      </c>
      <c r="EX645" s="319" t="s">
        <v>190</v>
      </c>
      <c r="EY645" s="319" t="s">
        <v>190</v>
      </c>
      <c r="EZ645" s="319" t="s">
        <v>190</v>
      </c>
      <c r="FA645" s="319" t="s">
        <v>190</v>
      </c>
      <c r="FB645" s="319" t="s">
        <v>428</v>
      </c>
      <c r="FC645" s="319" t="s">
        <v>428</v>
      </c>
      <c r="FD645" s="319" t="s">
        <v>428</v>
      </c>
      <c r="FE645" s="319" t="s">
        <v>428</v>
      </c>
      <c r="FF645" s="319" t="s">
        <v>428</v>
      </c>
      <c r="FG645" s="319" t="s">
        <v>428</v>
      </c>
      <c r="FH645" s="319" t="s">
        <v>190</v>
      </c>
      <c r="FI645" s="319" t="s">
        <v>190</v>
      </c>
      <c r="FJ645" s="319" t="s">
        <v>190</v>
      </c>
      <c r="FK645" s="319" t="s">
        <v>190</v>
      </c>
      <c r="FL645" s="319" t="s">
        <v>190</v>
      </c>
      <c r="FM645" s="319" t="s">
        <v>190</v>
      </c>
      <c r="FN645" s="319" t="s">
        <v>190</v>
      </c>
      <c r="FO645" s="319" t="s">
        <v>190</v>
      </c>
      <c r="FP645" s="319" t="s">
        <v>190</v>
      </c>
      <c r="FQ645" s="319" t="s">
        <v>190</v>
      </c>
      <c r="FR645" s="319" t="s">
        <v>190</v>
      </c>
      <c r="FS645" s="319" t="s">
        <v>428</v>
      </c>
      <c r="FT645" s="319" t="s">
        <v>190</v>
      </c>
      <c r="FU645" s="319" t="s">
        <v>190</v>
      </c>
      <c r="FV645" s="319" t="s">
        <v>190</v>
      </c>
      <c r="FW645" s="319" t="s">
        <v>190</v>
      </c>
      <c r="FX645" s="319" t="s">
        <v>190</v>
      </c>
      <c r="FY645" s="319" t="s">
        <v>190</v>
      </c>
      <c r="FZ645" s="319" t="s">
        <v>190</v>
      </c>
      <c r="GA645" s="319" t="s">
        <v>190</v>
      </c>
      <c r="GB645" s="319" t="s">
        <v>190</v>
      </c>
      <c r="GC645" s="319" t="s">
        <v>190</v>
      </c>
      <c r="GD645" s="319" t="s">
        <v>190</v>
      </c>
      <c r="GE645" s="319" t="s">
        <v>190</v>
      </c>
      <c r="GF645" s="319" t="s">
        <v>190</v>
      </c>
      <c r="GG645" s="319" t="s">
        <v>190</v>
      </c>
      <c r="GH645" s="319" t="s">
        <v>190</v>
      </c>
      <c r="GI645" s="319" t="s">
        <v>190</v>
      </c>
      <c r="GJ645" s="319" t="s">
        <v>190</v>
      </c>
      <c r="GK645" s="319" t="s">
        <v>428</v>
      </c>
      <c r="GL645" s="319" t="s">
        <v>190</v>
      </c>
      <c r="GM645" s="319" t="s">
        <v>190</v>
      </c>
      <c r="GN645" s="319" t="s">
        <v>190</v>
      </c>
      <c r="GO645" s="319" t="s">
        <v>190</v>
      </c>
      <c r="GP645" s="319" t="s">
        <v>190</v>
      </c>
      <c r="GQ645" s="319" t="s">
        <v>190</v>
      </c>
      <c r="GR645" s="319" t="s">
        <v>190</v>
      </c>
      <c r="GS645" s="319" t="s">
        <v>190</v>
      </c>
      <c r="GT645" s="319" t="s">
        <v>428</v>
      </c>
      <c r="GU645" s="319" t="s">
        <v>428</v>
      </c>
      <c r="GV645" s="319" t="s">
        <v>428</v>
      </c>
      <c r="GW645" s="319" t="s">
        <v>190</v>
      </c>
      <c r="GX645" s="319" t="s">
        <v>190</v>
      </c>
      <c r="GY645" s="319" t="s">
        <v>190</v>
      </c>
      <c r="GZ645" s="319" t="s">
        <v>428</v>
      </c>
      <c r="HA645" s="319" t="s">
        <v>190</v>
      </c>
      <c r="HB645" s="319" t="s">
        <v>190</v>
      </c>
      <c r="HC645" s="319" t="s">
        <v>190</v>
      </c>
      <c r="HD645" s="319" t="s">
        <v>190</v>
      </c>
      <c r="HE645" s="319" t="s">
        <v>190</v>
      </c>
      <c r="HF645" s="319" t="s">
        <v>190</v>
      </c>
      <c r="HG645" s="319" t="s">
        <v>190</v>
      </c>
      <c r="HH645" s="319" t="s">
        <v>190</v>
      </c>
      <c r="HI645" s="319" t="s">
        <v>190</v>
      </c>
      <c r="HJ645" s="319" t="s">
        <v>190</v>
      </c>
      <c r="HK645" s="319" t="s">
        <v>190</v>
      </c>
      <c r="HL645" s="319" t="s">
        <v>428</v>
      </c>
      <c r="HM645" s="319" t="s">
        <v>428</v>
      </c>
      <c r="HN645" s="319" t="s">
        <v>428</v>
      </c>
      <c r="HO645" s="319" t="s">
        <v>428</v>
      </c>
      <c r="HP645" s="319" t="s">
        <v>190</v>
      </c>
      <c r="HQ645" s="319" t="s">
        <v>190</v>
      </c>
      <c r="HR645" s="319" t="s">
        <v>190</v>
      </c>
      <c r="HS645" s="319" t="s">
        <v>190</v>
      </c>
      <c r="HT645" s="319" t="s">
        <v>190</v>
      </c>
      <c r="HU645" s="319" t="s">
        <v>190</v>
      </c>
      <c r="HV645" s="319" t="s">
        <v>190</v>
      </c>
      <c r="HW645" s="319" t="s">
        <v>190</v>
      </c>
      <c r="HX645" s="319" t="s">
        <v>190</v>
      </c>
      <c r="HY645" s="319" t="s">
        <v>190</v>
      </c>
      <c r="HZ645" s="319" t="s">
        <v>190</v>
      </c>
      <c r="IA645" s="319" t="s">
        <v>190</v>
      </c>
      <c r="IB645" s="319" t="s">
        <v>190</v>
      </c>
      <c r="IC645" s="319" t="s">
        <v>190</v>
      </c>
      <c r="ID645" s="319" t="s">
        <v>190</v>
      </c>
      <c r="IE645" s="319" t="s">
        <v>190</v>
      </c>
      <c r="IF645" s="319" t="s">
        <v>191</v>
      </c>
      <c r="IG645" s="319" t="s">
        <v>191</v>
      </c>
      <c r="IH645" s="319" t="s">
        <v>191</v>
      </c>
      <c r="II645" s="319" t="s">
        <v>190</v>
      </c>
      <c r="IJ645" s="319">
        <v>10006122</v>
      </c>
      <c r="IK645" s="321">
        <v>42346</v>
      </c>
      <c r="IL645" s="321">
        <v>42348</v>
      </c>
      <c r="IM645" s="321">
        <v>42383</v>
      </c>
      <c r="IN645" s="319">
        <v>2</v>
      </c>
      <c r="IO645" s="319" t="s">
        <v>173</v>
      </c>
      <c r="IP645" s="319" t="s">
        <v>173</v>
      </c>
      <c r="IQ645" s="319" t="s">
        <v>173</v>
      </c>
      <c r="IR645" s="320" t="s">
        <v>173</v>
      </c>
      <c r="IS645" s="320" t="s">
        <v>173</v>
      </c>
      <c r="IT645" s="319" t="s">
        <v>173</v>
      </c>
    </row>
    <row r="646" spans="1:254" s="271" customFormat="1" x14ac:dyDescent="0.25">
      <c r="A646" s="318" t="str">
        <f>HYPERLINK("http://www.ofsted.gov.uk/inspection-reports/find-inspection-report/provider/ELS/136748 ","Ofsted School Webpage")</f>
        <v>Ofsted School Webpage</v>
      </c>
      <c r="B646" s="319">
        <v>136748</v>
      </c>
      <c r="C646" s="319">
        <v>8406012</v>
      </c>
      <c r="D646" s="319" t="s">
        <v>573</v>
      </c>
      <c r="E646" s="319" t="s">
        <v>168</v>
      </c>
      <c r="F646" s="319" t="s">
        <v>81</v>
      </c>
      <c r="G646" s="319" t="s">
        <v>81</v>
      </c>
      <c r="H646" s="319" t="s">
        <v>81</v>
      </c>
      <c r="I646" s="319" t="s">
        <v>78</v>
      </c>
      <c r="J646" s="319" t="s">
        <v>424</v>
      </c>
      <c r="K646" s="319" t="s">
        <v>458</v>
      </c>
      <c r="L646" s="319" t="s">
        <v>474</v>
      </c>
      <c r="M646" s="319" t="s">
        <v>574</v>
      </c>
      <c r="N646" s="319" t="s">
        <v>3403</v>
      </c>
      <c r="O646" s="319" t="s">
        <v>575</v>
      </c>
      <c r="P646" s="319">
        <v>9</v>
      </c>
      <c r="Q646" s="319" t="s">
        <v>429</v>
      </c>
      <c r="R646" s="320">
        <v>10053830</v>
      </c>
      <c r="S646" s="321">
        <v>43389</v>
      </c>
      <c r="T646" s="321">
        <v>43391</v>
      </c>
      <c r="U646" s="321">
        <v>43424</v>
      </c>
      <c r="V646" s="319" t="s">
        <v>425</v>
      </c>
      <c r="W646" s="319" t="s">
        <v>2767</v>
      </c>
      <c r="X646" s="319">
        <v>2</v>
      </c>
      <c r="Y646" s="319" t="s">
        <v>173</v>
      </c>
      <c r="Z646" s="319" t="s">
        <v>173</v>
      </c>
      <c r="AA646" s="319" t="s">
        <v>173</v>
      </c>
      <c r="AB646" s="319">
        <v>2</v>
      </c>
      <c r="AC646" s="319" t="s">
        <v>169</v>
      </c>
      <c r="AD646" s="319" t="s">
        <v>173</v>
      </c>
      <c r="AE646" s="319" t="s">
        <v>173</v>
      </c>
      <c r="AF646" s="319" t="s">
        <v>427</v>
      </c>
      <c r="AG646" s="319" t="s">
        <v>171</v>
      </c>
      <c r="AH646" s="319" t="s">
        <v>190</v>
      </c>
      <c r="AI646" s="319" t="s">
        <v>190</v>
      </c>
      <c r="AJ646" s="319" t="s">
        <v>190</v>
      </c>
      <c r="AK646" s="319" t="s">
        <v>190</v>
      </c>
      <c r="AL646" s="319" t="s">
        <v>190</v>
      </c>
      <c r="AM646" s="319" t="s">
        <v>190</v>
      </c>
      <c r="AN646" s="319" t="s">
        <v>190</v>
      </c>
      <c r="AO646" s="319" t="s">
        <v>190</v>
      </c>
      <c r="AP646" s="319" t="s">
        <v>190</v>
      </c>
      <c r="AQ646" s="319" t="s">
        <v>190</v>
      </c>
      <c r="AR646" s="319" t="s">
        <v>190</v>
      </c>
      <c r="AS646" s="319" t="s">
        <v>190</v>
      </c>
      <c r="AT646" s="319" t="s">
        <v>190</v>
      </c>
      <c r="AU646" s="319" t="s">
        <v>190</v>
      </c>
      <c r="AV646" s="319" t="s">
        <v>190</v>
      </c>
      <c r="AW646" s="319" t="s">
        <v>190</v>
      </c>
      <c r="AX646" s="319" t="s">
        <v>428</v>
      </c>
      <c r="AY646" s="319" t="s">
        <v>190</v>
      </c>
      <c r="AZ646" s="319" t="s">
        <v>190</v>
      </c>
      <c r="BA646" s="319" t="s">
        <v>190</v>
      </c>
      <c r="BB646" s="319" t="s">
        <v>190</v>
      </c>
      <c r="BC646" s="319" t="s">
        <v>190</v>
      </c>
      <c r="BD646" s="319" t="s">
        <v>190</v>
      </c>
      <c r="BE646" s="319" t="s">
        <v>190</v>
      </c>
      <c r="BF646" s="319" t="s">
        <v>428</v>
      </c>
      <c r="BG646" s="319" t="s">
        <v>190</v>
      </c>
      <c r="BH646" s="319" t="s">
        <v>190</v>
      </c>
      <c r="BI646" s="319" t="s">
        <v>190</v>
      </c>
      <c r="BJ646" s="319" t="s">
        <v>190</v>
      </c>
      <c r="BK646" s="319" t="s">
        <v>190</v>
      </c>
      <c r="BL646" s="319" t="s">
        <v>190</v>
      </c>
      <c r="BM646" s="319" t="s">
        <v>190</v>
      </c>
      <c r="BN646" s="319" t="s">
        <v>190</v>
      </c>
      <c r="BO646" s="319" t="s">
        <v>190</v>
      </c>
      <c r="BP646" s="319" t="s">
        <v>190</v>
      </c>
      <c r="BQ646" s="319" t="s">
        <v>190</v>
      </c>
      <c r="BR646" s="319" t="s">
        <v>190</v>
      </c>
      <c r="BS646" s="319" t="s">
        <v>190</v>
      </c>
      <c r="BT646" s="319" t="s">
        <v>190</v>
      </c>
      <c r="BU646" s="319" t="s">
        <v>190</v>
      </c>
      <c r="BV646" s="319" t="s">
        <v>190</v>
      </c>
      <c r="BW646" s="319" t="s">
        <v>190</v>
      </c>
      <c r="BX646" s="319" t="s">
        <v>190</v>
      </c>
      <c r="BY646" s="319" t="s">
        <v>190</v>
      </c>
      <c r="BZ646" s="319" t="s">
        <v>190</v>
      </c>
      <c r="CA646" s="319" t="s">
        <v>190</v>
      </c>
      <c r="CB646" s="319" t="s">
        <v>190</v>
      </c>
      <c r="CC646" s="319" t="s">
        <v>190</v>
      </c>
      <c r="CD646" s="319" t="s">
        <v>190</v>
      </c>
      <c r="CE646" s="319" t="s">
        <v>190</v>
      </c>
      <c r="CF646" s="319" t="s">
        <v>190</v>
      </c>
      <c r="CG646" s="319" t="s">
        <v>190</v>
      </c>
      <c r="CH646" s="319" t="s">
        <v>190</v>
      </c>
      <c r="CI646" s="319" t="s">
        <v>190</v>
      </c>
      <c r="CJ646" s="319" t="s">
        <v>190</v>
      </c>
      <c r="CK646" s="319" t="s">
        <v>190</v>
      </c>
      <c r="CL646" s="319" t="s">
        <v>190</v>
      </c>
      <c r="CM646" s="319" t="s">
        <v>190</v>
      </c>
      <c r="CN646" s="319" t="s">
        <v>428</v>
      </c>
      <c r="CO646" s="319" t="s">
        <v>428</v>
      </c>
      <c r="CP646" s="319" t="s">
        <v>428</v>
      </c>
      <c r="CQ646" s="319" t="s">
        <v>190</v>
      </c>
      <c r="CR646" s="319" t="s">
        <v>190</v>
      </c>
      <c r="CS646" s="319" t="s">
        <v>190</v>
      </c>
      <c r="CT646" s="319" t="s">
        <v>190</v>
      </c>
      <c r="CU646" s="319" t="s">
        <v>190</v>
      </c>
      <c r="CV646" s="319" t="s">
        <v>190</v>
      </c>
      <c r="CW646" s="319" t="s">
        <v>190</v>
      </c>
      <c r="CX646" s="319" t="s">
        <v>190</v>
      </c>
      <c r="CY646" s="319" t="s">
        <v>190</v>
      </c>
      <c r="CZ646" s="319" t="s">
        <v>190</v>
      </c>
      <c r="DA646" s="319" t="s">
        <v>190</v>
      </c>
      <c r="DB646" s="319" t="s">
        <v>190</v>
      </c>
      <c r="DC646" s="319" t="s">
        <v>190</v>
      </c>
      <c r="DD646" s="319" t="s">
        <v>190</v>
      </c>
      <c r="DE646" s="319" t="s">
        <v>190</v>
      </c>
      <c r="DF646" s="319" t="s">
        <v>190</v>
      </c>
      <c r="DG646" s="319" t="s">
        <v>190</v>
      </c>
      <c r="DH646" s="319" t="s">
        <v>190</v>
      </c>
      <c r="DI646" s="319" t="s">
        <v>190</v>
      </c>
      <c r="DJ646" s="319" t="s">
        <v>190</v>
      </c>
      <c r="DK646" s="319" t="s">
        <v>190</v>
      </c>
      <c r="DL646" s="319" t="s">
        <v>190</v>
      </c>
      <c r="DM646" s="319" t="s">
        <v>190</v>
      </c>
      <c r="DN646" s="319" t="s">
        <v>428</v>
      </c>
      <c r="DO646" s="319" t="s">
        <v>190</v>
      </c>
      <c r="DP646" s="319" t="s">
        <v>428</v>
      </c>
      <c r="DQ646" s="319" t="s">
        <v>428</v>
      </c>
      <c r="DR646" s="319" t="s">
        <v>428</v>
      </c>
      <c r="DS646" s="319" t="s">
        <v>428</v>
      </c>
      <c r="DT646" s="319" t="s">
        <v>428</v>
      </c>
      <c r="DU646" s="319" t="s">
        <v>428</v>
      </c>
      <c r="DV646" s="319" t="s">
        <v>173</v>
      </c>
      <c r="DW646" s="319" t="s">
        <v>428</v>
      </c>
      <c r="DX646" s="319" t="s">
        <v>428</v>
      </c>
      <c r="DY646" s="319" t="s">
        <v>428</v>
      </c>
      <c r="DZ646" s="319" t="s">
        <v>428</v>
      </c>
      <c r="EA646" s="319" t="s">
        <v>428</v>
      </c>
      <c r="EB646" s="319" t="s">
        <v>428</v>
      </c>
      <c r="EC646" s="319" t="s">
        <v>428</v>
      </c>
      <c r="ED646" s="319" t="s">
        <v>428</v>
      </c>
      <c r="EE646" s="319" t="s">
        <v>190</v>
      </c>
      <c r="EF646" s="319" t="s">
        <v>190</v>
      </c>
      <c r="EG646" s="319" t="s">
        <v>190</v>
      </c>
      <c r="EH646" s="319" t="s">
        <v>190</v>
      </c>
      <c r="EI646" s="319" t="s">
        <v>190</v>
      </c>
      <c r="EJ646" s="319" t="s">
        <v>190</v>
      </c>
      <c r="EK646" s="319" t="s">
        <v>190</v>
      </c>
      <c r="EL646" s="319" t="s">
        <v>190</v>
      </c>
      <c r="EM646" s="319" t="s">
        <v>190</v>
      </c>
      <c r="EN646" s="319" t="s">
        <v>190</v>
      </c>
      <c r="EO646" s="319" t="s">
        <v>190</v>
      </c>
      <c r="EP646" s="319" t="s">
        <v>190</v>
      </c>
      <c r="EQ646" s="319" t="s">
        <v>190</v>
      </c>
      <c r="ER646" s="319" t="s">
        <v>190</v>
      </c>
      <c r="ES646" s="319" t="s">
        <v>190</v>
      </c>
      <c r="ET646" s="319" t="s">
        <v>190</v>
      </c>
      <c r="EU646" s="319" t="s">
        <v>190</v>
      </c>
      <c r="EV646" s="319" t="s">
        <v>190</v>
      </c>
      <c r="EW646" s="319" t="s">
        <v>190</v>
      </c>
      <c r="EX646" s="319" t="s">
        <v>190</v>
      </c>
      <c r="EY646" s="319" t="s">
        <v>190</v>
      </c>
      <c r="EZ646" s="319" t="s">
        <v>190</v>
      </c>
      <c r="FA646" s="319" t="s">
        <v>190</v>
      </c>
      <c r="FB646" s="319" t="s">
        <v>428</v>
      </c>
      <c r="FC646" s="319" t="s">
        <v>428</v>
      </c>
      <c r="FD646" s="319" t="s">
        <v>428</v>
      </c>
      <c r="FE646" s="319" t="s">
        <v>428</v>
      </c>
      <c r="FF646" s="319" t="s">
        <v>428</v>
      </c>
      <c r="FG646" s="319" t="s">
        <v>428</v>
      </c>
      <c r="FH646" s="319" t="s">
        <v>190</v>
      </c>
      <c r="FI646" s="319" t="s">
        <v>190</v>
      </c>
      <c r="FJ646" s="319" t="s">
        <v>190</v>
      </c>
      <c r="FK646" s="319" t="s">
        <v>190</v>
      </c>
      <c r="FL646" s="319" t="s">
        <v>190</v>
      </c>
      <c r="FM646" s="319" t="s">
        <v>190</v>
      </c>
      <c r="FN646" s="319" t="s">
        <v>190</v>
      </c>
      <c r="FO646" s="319" t="s">
        <v>190</v>
      </c>
      <c r="FP646" s="319" t="s">
        <v>190</v>
      </c>
      <c r="FQ646" s="319" t="s">
        <v>190</v>
      </c>
      <c r="FR646" s="319" t="s">
        <v>190</v>
      </c>
      <c r="FS646" s="319" t="s">
        <v>428</v>
      </c>
      <c r="FT646" s="319" t="s">
        <v>190</v>
      </c>
      <c r="FU646" s="319" t="s">
        <v>190</v>
      </c>
      <c r="FV646" s="319" t="s">
        <v>190</v>
      </c>
      <c r="FW646" s="319" t="s">
        <v>190</v>
      </c>
      <c r="FX646" s="319" t="s">
        <v>190</v>
      </c>
      <c r="FY646" s="319" t="s">
        <v>190</v>
      </c>
      <c r="FZ646" s="319" t="s">
        <v>190</v>
      </c>
      <c r="GA646" s="319" t="s">
        <v>190</v>
      </c>
      <c r="GB646" s="319" t="s">
        <v>190</v>
      </c>
      <c r="GC646" s="319" t="s">
        <v>190</v>
      </c>
      <c r="GD646" s="319" t="s">
        <v>190</v>
      </c>
      <c r="GE646" s="319" t="s">
        <v>190</v>
      </c>
      <c r="GF646" s="319" t="s">
        <v>190</v>
      </c>
      <c r="GG646" s="319" t="s">
        <v>190</v>
      </c>
      <c r="GH646" s="319" t="s">
        <v>190</v>
      </c>
      <c r="GI646" s="319" t="s">
        <v>190</v>
      </c>
      <c r="GJ646" s="319" t="s">
        <v>190</v>
      </c>
      <c r="GK646" s="319" t="s">
        <v>428</v>
      </c>
      <c r="GL646" s="319" t="s">
        <v>190</v>
      </c>
      <c r="GM646" s="319" t="s">
        <v>190</v>
      </c>
      <c r="GN646" s="319" t="s">
        <v>190</v>
      </c>
      <c r="GO646" s="319" t="s">
        <v>190</v>
      </c>
      <c r="GP646" s="319" t="s">
        <v>190</v>
      </c>
      <c r="GQ646" s="319" t="s">
        <v>428</v>
      </c>
      <c r="GR646" s="319" t="s">
        <v>190</v>
      </c>
      <c r="GS646" s="319" t="s">
        <v>190</v>
      </c>
      <c r="GT646" s="319" t="s">
        <v>190</v>
      </c>
      <c r="GU646" s="319" t="s">
        <v>190</v>
      </c>
      <c r="GV646" s="319" t="s">
        <v>190</v>
      </c>
      <c r="GW646" s="319" t="s">
        <v>428</v>
      </c>
      <c r="GX646" s="319" t="s">
        <v>190</v>
      </c>
      <c r="GY646" s="319" t="s">
        <v>190</v>
      </c>
      <c r="GZ646" s="319" t="s">
        <v>190</v>
      </c>
      <c r="HA646" s="319" t="s">
        <v>428</v>
      </c>
      <c r="HB646" s="319" t="s">
        <v>190</v>
      </c>
      <c r="HC646" s="319" t="s">
        <v>190</v>
      </c>
      <c r="HD646" s="319" t="s">
        <v>190</v>
      </c>
      <c r="HE646" s="319" t="s">
        <v>190</v>
      </c>
      <c r="HF646" s="319" t="s">
        <v>190</v>
      </c>
      <c r="HG646" s="319" t="s">
        <v>190</v>
      </c>
      <c r="HH646" s="319" t="s">
        <v>190</v>
      </c>
      <c r="HI646" s="319" t="s">
        <v>190</v>
      </c>
      <c r="HJ646" s="319" t="s">
        <v>190</v>
      </c>
      <c r="HK646" s="319" t="s">
        <v>190</v>
      </c>
      <c r="HL646" s="319" t="s">
        <v>428</v>
      </c>
      <c r="HM646" s="319" t="s">
        <v>428</v>
      </c>
      <c r="HN646" s="319" t="s">
        <v>428</v>
      </c>
      <c r="HO646" s="319" t="s">
        <v>428</v>
      </c>
      <c r="HP646" s="319" t="s">
        <v>190</v>
      </c>
      <c r="HQ646" s="319" t="s">
        <v>190</v>
      </c>
      <c r="HR646" s="319" t="s">
        <v>190</v>
      </c>
      <c r="HS646" s="319" t="s">
        <v>190</v>
      </c>
      <c r="HT646" s="319" t="s">
        <v>190</v>
      </c>
      <c r="HU646" s="319" t="s">
        <v>190</v>
      </c>
      <c r="HV646" s="319" t="s">
        <v>190</v>
      </c>
      <c r="HW646" s="319" t="s">
        <v>190</v>
      </c>
      <c r="HX646" s="319" t="s">
        <v>190</v>
      </c>
      <c r="HY646" s="319" t="s">
        <v>190</v>
      </c>
      <c r="HZ646" s="319" t="s">
        <v>190</v>
      </c>
      <c r="IA646" s="319" t="s">
        <v>190</v>
      </c>
      <c r="IB646" s="319" t="s">
        <v>190</v>
      </c>
      <c r="IC646" s="319" t="s">
        <v>190</v>
      </c>
      <c r="ID646" s="319" t="s">
        <v>190</v>
      </c>
      <c r="IE646" s="319" t="s">
        <v>190</v>
      </c>
      <c r="IF646" s="319" t="s">
        <v>190</v>
      </c>
      <c r="IG646" s="319" t="s">
        <v>190</v>
      </c>
      <c r="IH646" s="319" t="s">
        <v>190</v>
      </c>
      <c r="II646" s="319" t="s">
        <v>190</v>
      </c>
      <c r="IJ646" s="319">
        <v>10006328</v>
      </c>
      <c r="IK646" s="321">
        <v>42346</v>
      </c>
      <c r="IL646" s="321">
        <v>42348</v>
      </c>
      <c r="IM646" s="321">
        <v>42387</v>
      </c>
      <c r="IN646" s="319">
        <v>2</v>
      </c>
      <c r="IO646" s="319" t="s">
        <v>173</v>
      </c>
      <c r="IP646" s="319" t="s">
        <v>173</v>
      </c>
      <c r="IQ646" s="319" t="s">
        <v>173</v>
      </c>
      <c r="IR646" s="320" t="s">
        <v>173</v>
      </c>
      <c r="IS646" s="320" t="s">
        <v>173</v>
      </c>
      <c r="IT646" s="319" t="s">
        <v>173</v>
      </c>
    </row>
    <row r="647" spans="1:254" s="271" customFormat="1" x14ac:dyDescent="0.25">
      <c r="A647" s="318" t="str">
        <f>HYPERLINK("http://www.ofsted.gov.uk/inspection-reports/find-inspection-report/provider/ELS/136752 ","Ofsted School Webpage")</f>
        <v>Ofsted School Webpage</v>
      </c>
      <c r="B647" s="319">
        <v>136752</v>
      </c>
      <c r="C647" s="319">
        <v>3406001</v>
      </c>
      <c r="D647" s="319" t="s">
        <v>492</v>
      </c>
      <c r="E647" s="319" t="s">
        <v>168</v>
      </c>
      <c r="F647" s="319" t="s">
        <v>81</v>
      </c>
      <c r="G647" s="319" t="s">
        <v>81</v>
      </c>
      <c r="H647" s="319" t="s">
        <v>81</v>
      </c>
      <c r="I647" s="319" t="s">
        <v>78</v>
      </c>
      <c r="J647" s="319" t="s">
        <v>424</v>
      </c>
      <c r="K647" s="319" t="s">
        <v>431</v>
      </c>
      <c r="L647" s="319" t="s">
        <v>431</v>
      </c>
      <c r="M647" s="319" t="s">
        <v>493</v>
      </c>
      <c r="N647" s="319" t="s">
        <v>493</v>
      </c>
      <c r="O647" s="319" t="s">
        <v>494</v>
      </c>
      <c r="P647" s="319">
        <v>15</v>
      </c>
      <c r="Q647" s="319" t="s">
        <v>429</v>
      </c>
      <c r="R647" s="320">
        <v>10053733</v>
      </c>
      <c r="S647" s="321">
        <v>43368</v>
      </c>
      <c r="T647" s="321">
        <v>43370</v>
      </c>
      <c r="U647" s="321">
        <v>43411</v>
      </c>
      <c r="V647" s="319" t="s">
        <v>425</v>
      </c>
      <c r="W647" s="319" t="s">
        <v>2767</v>
      </c>
      <c r="X647" s="319">
        <v>2</v>
      </c>
      <c r="Y647" s="319" t="s">
        <v>173</v>
      </c>
      <c r="Z647" s="319" t="s">
        <v>173</v>
      </c>
      <c r="AA647" s="319" t="s">
        <v>173</v>
      </c>
      <c r="AB647" s="319">
        <v>2</v>
      </c>
      <c r="AC647" s="319" t="s">
        <v>169</v>
      </c>
      <c r="AD647" s="319" t="s">
        <v>173</v>
      </c>
      <c r="AE647" s="319" t="s">
        <v>173</v>
      </c>
      <c r="AF647" s="319" t="s">
        <v>427</v>
      </c>
      <c r="AG647" s="319" t="s">
        <v>171</v>
      </c>
      <c r="AH647" s="319" t="s">
        <v>190</v>
      </c>
      <c r="AI647" s="319" t="s">
        <v>190</v>
      </c>
      <c r="AJ647" s="319" t="s">
        <v>190</v>
      </c>
      <c r="AK647" s="319" t="s">
        <v>190</v>
      </c>
      <c r="AL647" s="319" t="s">
        <v>190</v>
      </c>
      <c r="AM647" s="319" t="s">
        <v>190</v>
      </c>
      <c r="AN647" s="319" t="s">
        <v>190</v>
      </c>
      <c r="AO647" s="319" t="s">
        <v>190</v>
      </c>
      <c r="AP647" s="319" t="s">
        <v>190</v>
      </c>
      <c r="AQ647" s="319" t="s">
        <v>190</v>
      </c>
      <c r="AR647" s="319" t="s">
        <v>190</v>
      </c>
      <c r="AS647" s="319" t="s">
        <v>190</v>
      </c>
      <c r="AT647" s="319" t="s">
        <v>190</v>
      </c>
      <c r="AU647" s="319" t="s">
        <v>190</v>
      </c>
      <c r="AV647" s="319" t="s">
        <v>190</v>
      </c>
      <c r="AW647" s="319" t="s">
        <v>190</v>
      </c>
      <c r="AX647" s="319" t="s">
        <v>428</v>
      </c>
      <c r="AY647" s="319" t="s">
        <v>190</v>
      </c>
      <c r="AZ647" s="319" t="s">
        <v>190</v>
      </c>
      <c r="BA647" s="319" t="s">
        <v>190</v>
      </c>
      <c r="BB647" s="319" t="s">
        <v>190</v>
      </c>
      <c r="BC647" s="319" t="s">
        <v>190</v>
      </c>
      <c r="BD647" s="319" t="s">
        <v>190</v>
      </c>
      <c r="BE647" s="319" t="s">
        <v>190</v>
      </c>
      <c r="BF647" s="319" t="s">
        <v>428</v>
      </c>
      <c r="BG647" s="319" t="s">
        <v>190</v>
      </c>
      <c r="BH647" s="319" t="s">
        <v>190</v>
      </c>
      <c r="BI647" s="319" t="s">
        <v>190</v>
      </c>
      <c r="BJ647" s="319" t="s">
        <v>190</v>
      </c>
      <c r="BK647" s="319" t="s">
        <v>190</v>
      </c>
      <c r="BL647" s="319" t="s">
        <v>190</v>
      </c>
      <c r="BM647" s="319" t="s">
        <v>190</v>
      </c>
      <c r="BN647" s="319" t="s">
        <v>190</v>
      </c>
      <c r="BO647" s="319" t="s">
        <v>190</v>
      </c>
      <c r="BP647" s="319" t="s">
        <v>190</v>
      </c>
      <c r="BQ647" s="319" t="s">
        <v>190</v>
      </c>
      <c r="BR647" s="319" t="s">
        <v>190</v>
      </c>
      <c r="BS647" s="319" t="s">
        <v>190</v>
      </c>
      <c r="BT647" s="319" t="s">
        <v>190</v>
      </c>
      <c r="BU647" s="319" t="s">
        <v>190</v>
      </c>
      <c r="BV647" s="319" t="s">
        <v>190</v>
      </c>
      <c r="BW647" s="319" t="s">
        <v>190</v>
      </c>
      <c r="BX647" s="319" t="s">
        <v>190</v>
      </c>
      <c r="BY647" s="319" t="s">
        <v>190</v>
      </c>
      <c r="BZ647" s="319" t="s">
        <v>190</v>
      </c>
      <c r="CA647" s="319" t="s">
        <v>190</v>
      </c>
      <c r="CB647" s="319" t="s">
        <v>190</v>
      </c>
      <c r="CC647" s="319" t="s">
        <v>190</v>
      </c>
      <c r="CD647" s="319" t="s">
        <v>190</v>
      </c>
      <c r="CE647" s="319" t="s">
        <v>190</v>
      </c>
      <c r="CF647" s="319" t="s">
        <v>190</v>
      </c>
      <c r="CG647" s="319" t="s">
        <v>190</v>
      </c>
      <c r="CH647" s="319" t="s">
        <v>190</v>
      </c>
      <c r="CI647" s="319" t="s">
        <v>190</v>
      </c>
      <c r="CJ647" s="319" t="s">
        <v>190</v>
      </c>
      <c r="CK647" s="319" t="s">
        <v>190</v>
      </c>
      <c r="CL647" s="319" t="s">
        <v>190</v>
      </c>
      <c r="CM647" s="319" t="s">
        <v>190</v>
      </c>
      <c r="CN647" s="319" t="s">
        <v>190</v>
      </c>
      <c r="CO647" s="319" t="s">
        <v>190</v>
      </c>
      <c r="CP647" s="319" t="s">
        <v>190</v>
      </c>
      <c r="CQ647" s="319" t="s">
        <v>190</v>
      </c>
      <c r="CR647" s="319" t="s">
        <v>190</v>
      </c>
      <c r="CS647" s="319" t="s">
        <v>190</v>
      </c>
      <c r="CT647" s="319" t="s">
        <v>190</v>
      </c>
      <c r="CU647" s="319" t="s">
        <v>190</v>
      </c>
      <c r="CV647" s="319" t="s">
        <v>190</v>
      </c>
      <c r="CW647" s="319" t="s">
        <v>190</v>
      </c>
      <c r="CX647" s="319" t="s">
        <v>190</v>
      </c>
      <c r="CY647" s="319" t="s">
        <v>190</v>
      </c>
      <c r="CZ647" s="319" t="s">
        <v>190</v>
      </c>
      <c r="DA647" s="319" t="s">
        <v>190</v>
      </c>
      <c r="DB647" s="319" t="s">
        <v>190</v>
      </c>
      <c r="DC647" s="319" t="s">
        <v>190</v>
      </c>
      <c r="DD647" s="319" t="s">
        <v>190</v>
      </c>
      <c r="DE647" s="319" t="s">
        <v>190</v>
      </c>
      <c r="DF647" s="319" t="s">
        <v>190</v>
      </c>
      <c r="DG647" s="319" t="s">
        <v>190</v>
      </c>
      <c r="DH647" s="319" t="s">
        <v>190</v>
      </c>
      <c r="DI647" s="319" t="s">
        <v>190</v>
      </c>
      <c r="DJ647" s="319" t="s">
        <v>190</v>
      </c>
      <c r="DK647" s="319" t="s">
        <v>190</v>
      </c>
      <c r="DL647" s="319" t="s">
        <v>190</v>
      </c>
      <c r="DM647" s="319" t="s">
        <v>428</v>
      </c>
      <c r="DN647" s="319" t="s">
        <v>428</v>
      </c>
      <c r="DO647" s="319" t="s">
        <v>190</v>
      </c>
      <c r="DP647" s="319" t="s">
        <v>190</v>
      </c>
      <c r="DQ647" s="319" t="s">
        <v>190</v>
      </c>
      <c r="DR647" s="319" t="s">
        <v>190</v>
      </c>
      <c r="DS647" s="319" t="s">
        <v>190</v>
      </c>
      <c r="DT647" s="319" t="s">
        <v>190</v>
      </c>
      <c r="DU647" s="319" t="s">
        <v>190</v>
      </c>
      <c r="DV647" s="319" t="s">
        <v>173</v>
      </c>
      <c r="DW647" s="319" t="s">
        <v>190</v>
      </c>
      <c r="DX647" s="319" t="s">
        <v>190</v>
      </c>
      <c r="DY647" s="319" t="s">
        <v>190</v>
      </c>
      <c r="DZ647" s="319" t="s">
        <v>190</v>
      </c>
      <c r="EA647" s="319" t="s">
        <v>190</v>
      </c>
      <c r="EB647" s="319" t="s">
        <v>190</v>
      </c>
      <c r="EC647" s="319" t="s">
        <v>428</v>
      </c>
      <c r="ED647" s="319" t="s">
        <v>190</v>
      </c>
      <c r="EE647" s="319" t="s">
        <v>190</v>
      </c>
      <c r="EF647" s="319" t="s">
        <v>190</v>
      </c>
      <c r="EG647" s="319" t="s">
        <v>190</v>
      </c>
      <c r="EH647" s="319" t="s">
        <v>190</v>
      </c>
      <c r="EI647" s="319" t="s">
        <v>190</v>
      </c>
      <c r="EJ647" s="319" t="s">
        <v>190</v>
      </c>
      <c r="EK647" s="319" t="s">
        <v>190</v>
      </c>
      <c r="EL647" s="319" t="s">
        <v>190</v>
      </c>
      <c r="EM647" s="319" t="s">
        <v>190</v>
      </c>
      <c r="EN647" s="319" t="s">
        <v>190</v>
      </c>
      <c r="EO647" s="319" t="s">
        <v>190</v>
      </c>
      <c r="EP647" s="319" t="s">
        <v>190</v>
      </c>
      <c r="EQ647" s="319" t="s">
        <v>190</v>
      </c>
      <c r="ER647" s="319" t="s">
        <v>190</v>
      </c>
      <c r="ES647" s="319" t="s">
        <v>190</v>
      </c>
      <c r="ET647" s="319" t="s">
        <v>190</v>
      </c>
      <c r="EU647" s="319" t="s">
        <v>190</v>
      </c>
      <c r="EV647" s="319" t="s">
        <v>190</v>
      </c>
      <c r="EW647" s="319" t="s">
        <v>190</v>
      </c>
      <c r="EX647" s="319" t="s">
        <v>190</v>
      </c>
      <c r="EY647" s="319" t="s">
        <v>190</v>
      </c>
      <c r="EZ647" s="319" t="s">
        <v>190</v>
      </c>
      <c r="FA647" s="319" t="s">
        <v>190</v>
      </c>
      <c r="FB647" s="319" t="s">
        <v>190</v>
      </c>
      <c r="FC647" s="319" t="s">
        <v>190</v>
      </c>
      <c r="FD647" s="319" t="s">
        <v>190</v>
      </c>
      <c r="FE647" s="319" t="s">
        <v>190</v>
      </c>
      <c r="FF647" s="319" t="s">
        <v>190</v>
      </c>
      <c r="FG647" s="319" t="s">
        <v>190</v>
      </c>
      <c r="FH647" s="319" t="s">
        <v>190</v>
      </c>
      <c r="FI647" s="319" t="s">
        <v>190</v>
      </c>
      <c r="FJ647" s="319" t="s">
        <v>190</v>
      </c>
      <c r="FK647" s="319" t="s">
        <v>190</v>
      </c>
      <c r="FL647" s="319" t="s">
        <v>190</v>
      </c>
      <c r="FM647" s="319" t="s">
        <v>190</v>
      </c>
      <c r="FN647" s="319" t="s">
        <v>190</v>
      </c>
      <c r="FO647" s="319" t="s">
        <v>190</v>
      </c>
      <c r="FP647" s="319" t="s">
        <v>190</v>
      </c>
      <c r="FQ647" s="319" t="s">
        <v>190</v>
      </c>
      <c r="FR647" s="319" t="s">
        <v>190</v>
      </c>
      <c r="FS647" s="319" t="s">
        <v>190</v>
      </c>
      <c r="FT647" s="319" t="s">
        <v>190</v>
      </c>
      <c r="FU647" s="319" t="s">
        <v>190</v>
      </c>
      <c r="FV647" s="319" t="s">
        <v>190</v>
      </c>
      <c r="FW647" s="319" t="s">
        <v>190</v>
      </c>
      <c r="FX647" s="319" t="s">
        <v>190</v>
      </c>
      <c r="FY647" s="319" t="s">
        <v>190</v>
      </c>
      <c r="FZ647" s="319" t="s">
        <v>190</v>
      </c>
      <c r="GA647" s="319" t="s">
        <v>190</v>
      </c>
      <c r="GB647" s="319" t="s">
        <v>190</v>
      </c>
      <c r="GC647" s="319" t="s">
        <v>190</v>
      </c>
      <c r="GD647" s="319" t="s">
        <v>190</v>
      </c>
      <c r="GE647" s="319" t="s">
        <v>190</v>
      </c>
      <c r="GF647" s="319" t="s">
        <v>190</v>
      </c>
      <c r="GG647" s="319" t="s">
        <v>190</v>
      </c>
      <c r="GH647" s="319" t="s">
        <v>190</v>
      </c>
      <c r="GI647" s="319" t="s">
        <v>190</v>
      </c>
      <c r="GJ647" s="319" t="s">
        <v>190</v>
      </c>
      <c r="GK647" s="319" t="s">
        <v>190</v>
      </c>
      <c r="GL647" s="319" t="s">
        <v>190</v>
      </c>
      <c r="GM647" s="319" t="s">
        <v>190</v>
      </c>
      <c r="GN647" s="319" t="s">
        <v>190</v>
      </c>
      <c r="GO647" s="319" t="s">
        <v>190</v>
      </c>
      <c r="GP647" s="319" t="s">
        <v>190</v>
      </c>
      <c r="GQ647" s="319" t="s">
        <v>190</v>
      </c>
      <c r="GR647" s="319" t="s">
        <v>190</v>
      </c>
      <c r="GS647" s="319" t="s">
        <v>190</v>
      </c>
      <c r="GT647" s="319" t="s">
        <v>190</v>
      </c>
      <c r="GU647" s="319" t="s">
        <v>190</v>
      </c>
      <c r="GV647" s="319" t="s">
        <v>190</v>
      </c>
      <c r="GW647" s="319" t="s">
        <v>190</v>
      </c>
      <c r="GX647" s="319" t="s">
        <v>190</v>
      </c>
      <c r="GY647" s="319" t="s">
        <v>190</v>
      </c>
      <c r="GZ647" s="319" t="s">
        <v>190</v>
      </c>
      <c r="HA647" s="319" t="s">
        <v>190</v>
      </c>
      <c r="HB647" s="319" t="s">
        <v>190</v>
      </c>
      <c r="HC647" s="319" t="s">
        <v>190</v>
      </c>
      <c r="HD647" s="319" t="s">
        <v>190</v>
      </c>
      <c r="HE647" s="319" t="s">
        <v>190</v>
      </c>
      <c r="HF647" s="319" t="s">
        <v>190</v>
      </c>
      <c r="HG647" s="319" t="s">
        <v>190</v>
      </c>
      <c r="HH647" s="319" t="s">
        <v>190</v>
      </c>
      <c r="HI647" s="319" t="s">
        <v>190</v>
      </c>
      <c r="HJ647" s="319" t="s">
        <v>190</v>
      </c>
      <c r="HK647" s="319" t="s">
        <v>190</v>
      </c>
      <c r="HL647" s="319" t="s">
        <v>190</v>
      </c>
      <c r="HM647" s="319" t="s">
        <v>190</v>
      </c>
      <c r="HN647" s="319" t="s">
        <v>190</v>
      </c>
      <c r="HO647" s="319" t="s">
        <v>190</v>
      </c>
      <c r="HP647" s="319" t="s">
        <v>190</v>
      </c>
      <c r="HQ647" s="319" t="s">
        <v>190</v>
      </c>
      <c r="HR647" s="319" t="s">
        <v>190</v>
      </c>
      <c r="HS647" s="319" t="s">
        <v>190</v>
      </c>
      <c r="HT647" s="319" t="s">
        <v>190</v>
      </c>
      <c r="HU647" s="319" t="s">
        <v>190</v>
      </c>
      <c r="HV647" s="319" t="s">
        <v>190</v>
      </c>
      <c r="HW647" s="319" t="s">
        <v>190</v>
      </c>
      <c r="HX647" s="319" t="s">
        <v>190</v>
      </c>
      <c r="HY647" s="319" t="s">
        <v>190</v>
      </c>
      <c r="HZ647" s="319" t="s">
        <v>190</v>
      </c>
      <c r="IA647" s="319" t="s">
        <v>190</v>
      </c>
      <c r="IB647" s="319" t="s">
        <v>190</v>
      </c>
      <c r="IC647" s="319" t="s">
        <v>190</v>
      </c>
      <c r="ID647" s="319" t="s">
        <v>190</v>
      </c>
      <c r="IE647" s="319" t="s">
        <v>190</v>
      </c>
      <c r="IF647" s="319" t="s">
        <v>190</v>
      </c>
      <c r="IG647" s="319" t="s">
        <v>190</v>
      </c>
      <c r="IH647" s="319" t="s">
        <v>190</v>
      </c>
      <c r="II647" s="319" t="s">
        <v>190</v>
      </c>
      <c r="IJ647" s="319">
        <v>10006081</v>
      </c>
      <c r="IK647" s="321">
        <v>42626</v>
      </c>
      <c r="IL647" s="321">
        <v>42628</v>
      </c>
      <c r="IM647" s="321">
        <v>42685</v>
      </c>
      <c r="IN647" s="319">
        <v>4</v>
      </c>
      <c r="IO647" s="319" t="s">
        <v>173</v>
      </c>
      <c r="IP647" s="319" t="s">
        <v>173</v>
      </c>
      <c r="IQ647" s="321" t="s">
        <v>173</v>
      </c>
      <c r="IR647" s="320" t="s">
        <v>173</v>
      </c>
      <c r="IS647" s="322" t="s">
        <v>173</v>
      </c>
      <c r="IT647" s="319" t="s">
        <v>173</v>
      </c>
    </row>
    <row r="648" spans="1:254" s="271" customFormat="1" x14ac:dyDescent="0.25">
      <c r="A648" s="318" t="str">
        <f>HYPERLINK("http://www.ofsted.gov.uk/inspection-reports/find-inspection-report/provider/ELS/136817 ","Ofsted School Webpage")</f>
        <v>Ofsted School Webpage</v>
      </c>
      <c r="B648" s="319">
        <v>136817</v>
      </c>
      <c r="C648" s="319">
        <v>2046000</v>
      </c>
      <c r="D648" s="319" t="s">
        <v>2115</v>
      </c>
      <c r="E648" s="319" t="s">
        <v>167</v>
      </c>
      <c r="F648" s="319" t="s">
        <v>68</v>
      </c>
      <c r="G648" s="319" t="s">
        <v>69</v>
      </c>
      <c r="H648" s="319" t="s">
        <v>68</v>
      </c>
      <c r="I648" s="319" t="s">
        <v>69</v>
      </c>
      <c r="J648" s="319" t="s">
        <v>424</v>
      </c>
      <c r="K648" s="319" t="s">
        <v>441</v>
      </c>
      <c r="L648" s="319" t="s">
        <v>441</v>
      </c>
      <c r="M648" s="319" t="s">
        <v>547</v>
      </c>
      <c r="N648" s="319" t="s">
        <v>2774</v>
      </c>
      <c r="O648" s="319" t="s">
        <v>3404</v>
      </c>
      <c r="P648" s="319">
        <v>90</v>
      </c>
      <c r="Q648" s="319" t="s">
        <v>2766</v>
      </c>
      <c r="R648" s="320">
        <v>10012790</v>
      </c>
      <c r="S648" s="321">
        <v>42850</v>
      </c>
      <c r="T648" s="321">
        <v>42852</v>
      </c>
      <c r="U648" s="321">
        <v>42878</v>
      </c>
      <c r="V648" s="319" t="s">
        <v>425</v>
      </c>
      <c r="W648" s="319" t="s">
        <v>2767</v>
      </c>
      <c r="X648" s="319">
        <v>2</v>
      </c>
      <c r="Y648" s="319" t="s">
        <v>173</v>
      </c>
      <c r="Z648" s="319" t="s">
        <v>173</v>
      </c>
      <c r="AA648" s="319" t="s">
        <v>173</v>
      </c>
      <c r="AB648" s="319">
        <v>2</v>
      </c>
      <c r="AC648" s="319" t="s">
        <v>169</v>
      </c>
      <c r="AD648" s="319">
        <v>2</v>
      </c>
      <c r="AE648" s="319" t="s">
        <v>173</v>
      </c>
      <c r="AF648" s="319" t="s">
        <v>173</v>
      </c>
      <c r="AG648" s="319" t="s">
        <v>171</v>
      </c>
      <c r="AH648" s="319" t="s">
        <v>190</v>
      </c>
      <c r="AI648" s="319" t="s">
        <v>190</v>
      </c>
      <c r="AJ648" s="319" t="s">
        <v>190</v>
      </c>
      <c r="AK648" s="319" t="s">
        <v>190</v>
      </c>
      <c r="AL648" s="319" t="s">
        <v>190</v>
      </c>
      <c r="AM648" s="319" t="s">
        <v>190</v>
      </c>
      <c r="AN648" s="319" t="s">
        <v>190</v>
      </c>
      <c r="AO648" s="319" t="s">
        <v>190</v>
      </c>
      <c r="AP648" s="319" t="s">
        <v>190</v>
      </c>
      <c r="AQ648" s="319" t="s">
        <v>190</v>
      </c>
      <c r="AR648" s="319" t="s">
        <v>190</v>
      </c>
      <c r="AS648" s="319" t="s">
        <v>190</v>
      </c>
      <c r="AT648" s="319" t="s">
        <v>190</v>
      </c>
      <c r="AU648" s="319" t="s">
        <v>190</v>
      </c>
      <c r="AV648" s="319" t="s">
        <v>190</v>
      </c>
      <c r="AW648" s="319" t="s">
        <v>190</v>
      </c>
      <c r="AX648" s="319" t="s">
        <v>429</v>
      </c>
      <c r="AY648" s="319" t="s">
        <v>190</v>
      </c>
      <c r="AZ648" s="319" t="s">
        <v>190</v>
      </c>
      <c r="BA648" s="319" t="s">
        <v>190</v>
      </c>
      <c r="BB648" s="319" t="s">
        <v>429</v>
      </c>
      <c r="BC648" s="319" t="s">
        <v>429</v>
      </c>
      <c r="BD648" s="319" t="s">
        <v>429</v>
      </c>
      <c r="BE648" s="319" t="s">
        <v>429</v>
      </c>
      <c r="BF648" s="319" t="s">
        <v>429</v>
      </c>
      <c r="BG648" s="319" t="s">
        <v>429</v>
      </c>
      <c r="BH648" s="319" t="s">
        <v>190</v>
      </c>
      <c r="BI648" s="319" t="s">
        <v>190</v>
      </c>
      <c r="BJ648" s="319" t="s">
        <v>190</v>
      </c>
      <c r="BK648" s="319" t="s">
        <v>190</v>
      </c>
      <c r="BL648" s="319" t="s">
        <v>190</v>
      </c>
      <c r="BM648" s="319" t="s">
        <v>190</v>
      </c>
      <c r="BN648" s="319" t="s">
        <v>190</v>
      </c>
      <c r="BO648" s="319" t="s">
        <v>190</v>
      </c>
      <c r="BP648" s="319" t="s">
        <v>190</v>
      </c>
      <c r="BQ648" s="319" t="s">
        <v>190</v>
      </c>
      <c r="BR648" s="319" t="s">
        <v>190</v>
      </c>
      <c r="BS648" s="319" t="s">
        <v>190</v>
      </c>
      <c r="BT648" s="319" t="s">
        <v>190</v>
      </c>
      <c r="BU648" s="319" t="s">
        <v>190</v>
      </c>
      <c r="BV648" s="319" t="s">
        <v>190</v>
      </c>
      <c r="BW648" s="319" t="s">
        <v>190</v>
      </c>
      <c r="BX648" s="319" t="s">
        <v>190</v>
      </c>
      <c r="BY648" s="319" t="s">
        <v>190</v>
      </c>
      <c r="BZ648" s="319" t="s">
        <v>190</v>
      </c>
      <c r="CA648" s="319" t="s">
        <v>190</v>
      </c>
      <c r="CB648" s="319" t="s">
        <v>190</v>
      </c>
      <c r="CC648" s="319" t="s">
        <v>190</v>
      </c>
      <c r="CD648" s="319" t="s">
        <v>190</v>
      </c>
      <c r="CE648" s="319" t="s">
        <v>190</v>
      </c>
      <c r="CF648" s="319" t="s">
        <v>190</v>
      </c>
      <c r="CG648" s="319" t="s">
        <v>190</v>
      </c>
      <c r="CH648" s="319" t="s">
        <v>190</v>
      </c>
      <c r="CI648" s="319" t="s">
        <v>190</v>
      </c>
      <c r="CJ648" s="319" t="s">
        <v>190</v>
      </c>
      <c r="CK648" s="319" t="s">
        <v>190</v>
      </c>
      <c r="CL648" s="319" t="s">
        <v>190</v>
      </c>
      <c r="CM648" s="319" t="s">
        <v>190</v>
      </c>
      <c r="CN648" s="319" t="s">
        <v>429</v>
      </c>
      <c r="CO648" s="319" t="s">
        <v>429</v>
      </c>
      <c r="CP648" s="319" t="s">
        <v>429</v>
      </c>
      <c r="CQ648" s="319" t="s">
        <v>190</v>
      </c>
      <c r="CR648" s="319" t="s">
        <v>190</v>
      </c>
      <c r="CS648" s="319" t="s">
        <v>190</v>
      </c>
      <c r="CT648" s="319" t="s">
        <v>190</v>
      </c>
      <c r="CU648" s="319" t="s">
        <v>190</v>
      </c>
      <c r="CV648" s="319" t="s">
        <v>190</v>
      </c>
      <c r="CW648" s="319" t="s">
        <v>190</v>
      </c>
      <c r="CX648" s="319" t="s">
        <v>190</v>
      </c>
      <c r="CY648" s="319" t="s">
        <v>190</v>
      </c>
      <c r="CZ648" s="319" t="s">
        <v>190</v>
      </c>
      <c r="DA648" s="319" t="s">
        <v>190</v>
      </c>
      <c r="DB648" s="319" t="s">
        <v>190</v>
      </c>
      <c r="DC648" s="319" t="s">
        <v>190</v>
      </c>
      <c r="DD648" s="319" t="s">
        <v>190</v>
      </c>
      <c r="DE648" s="319" t="s">
        <v>190</v>
      </c>
      <c r="DF648" s="319" t="s">
        <v>190</v>
      </c>
      <c r="DG648" s="319" t="s">
        <v>190</v>
      </c>
      <c r="DH648" s="319" t="s">
        <v>190</v>
      </c>
      <c r="DI648" s="319" t="s">
        <v>190</v>
      </c>
      <c r="DJ648" s="319" t="s">
        <v>190</v>
      </c>
      <c r="DK648" s="319" t="s">
        <v>190</v>
      </c>
      <c r="DL648" s="319" t="s">
        <v>190</v>
      </c>
      <c r="DM648" s="319" t="s">
        <v>190</v>
      </c>
      <c r="DN648" s="319" t="s">
        <v>429</v>
      </c>
      <c r="DO648" s="319" t="s">
        <v>190</v>
      </c>
      <c r="DP648" s="319" t="s">
        <v>190</v>
      </c>
      <c r="DQ648" s="319" t="s">
        <v>190</v>
      </c>
      <c r="DR648" s="319" t="s">
        <v>190</v>
      </c>
      <c r="DS648" s="319" t="s">
        <v>190</v>
      </c>
      <c r="DT648" s="319" t="s">
        <v>190</v>
      </c>
      <c r="DU648" s="319" t="s">
        <v>190</v>
      </c>
      <c r="DV648" s="319" t="s">
        <v>173</v>
      </c>
      <c r="DW648" s="319" t="s">
        <v>190</v>
      </c>
      <c r="DX648" s="319" t="s">
        <v>190</v>
      </c>
      <c r="DY648" s="319" t="s">
        <v>190</v>
      </c>
      <c r="DZ648" s="319" t="s">
        <v>190</v>
      </c>
      <c r="EA648" s="319" t="s">
        <v>190</v>
      </c>
      <c r="EB648" s="319" t="s">
        <v>190</v>
      </c>
      <c r="EC648" s="319" t="s">
        <v>429</v>
      </c>
      <c r="ED648" s="319" t="s">
        <v>190</v>
      </c>
      <c r="EE648" s="319" t="s">
        <v>190</v>
      </c>
      <c r="EF648" s="319" t="s">
        <v>190</v>
      </c>
      <c r="EG648" s="319" t="s">
        <v>190</v>
      </c>
      <c r="EH648" s="319" t="s">
        <v>190</v>
      </c>
      <c r="EI648" s="319" t="s">
        <v>190</v>
      </c>
      <c r="EJ648" s="319" t="s">
        <v>190</v>
      </c>
      <c r="EK648" s="319" t="s">
        <v>190</v>
      </c>
      <c r="EL648" s="319" t="s">
        <v>190</v>
      </c>
      <c r="EM648" s="319" t="s">
        <v>190</v>
      </c>
      <c r="EN648" s="319" t="s">
        <v>190</v>
      </c>
      <c r="EO648" s="319" t="s">
        <v>190</v>
      </c>
      <c r="EP648" s="319" t="s">
        <v>190</v>
      </c>
      <c r="EQ648" s="319" t="s">
        <v>190</v>
      </c>
      <c r="ER648" s="319" t="s">
        <v>190</v>
      </c>
      <c r="ES648" s="319" t="s">
        <v>190</v>
      </c>
      <c r="ET648" s="319" t="s">
        <v>190</v>
      </c>
      <c r="EU648" s="319" t="s">
        <v>190</v>
      </c>
      <c r="EV648" s="319" t="s">
        <v>190</v>
      </c>
      <c r="EW648" s="319" t="s">
        <v>190</v>
      </c>
      <c r="EX648" s="319" t="s">
        <v>190</v>
      </c>
      <c r="EY648" s="319" t="s">
        <v>190</v>
      </c>
      <c r="EZ648" s="319" t="s">
        <v>190</v>
      </c>
      <c r="FA648" s="319" t="s">
        <v>190</v>
      </c>
      <c r="FB648" s="319" t="s">
        <v>190</v>
      </c>
      <c r="FC648" s="319" t="s">
        <v>190</v>
      </c>
      <c r="FD648" s="319" t="s">
        <v>190</v>
      </c>
      <c r="FE648" s="319" t="s">
        <v>190</v>
      </c>
      <c r="FF648" s="319" t="s">
        <v>190</v>
      </c>
      <c r="FG648" s="319" t="s">
        <v>190</v>
      </c>
      <c r="FH648" s="319" t="s">
        <v>429</v>
      </c>
      <c r="FI648" s="319" t="s">
        <v>429</v>
      </c>
      <c r="FJ648" s="319" t="s">
        <v>429</v>
      </c>
      <c r="FK648" s="319" t="s">
        <v>429</v>
      </c>
      <c r="FL648" s="319" t="s">
        <v>190</v>
      </c>
      <c r="FM648" s="319" t="s">
        <v>190</v>
      </c>
      <c r="FN648" s="319" t="s">
        <v>190</v>
      </c>
      <c r="FO648" s="319" t="s">
        <v>429</v>
      </c>
      <c r="FP648" s="319" t="s">
        <v>190</v>
      </c>
      <c r="FQ648" s="319" t="s">
        <v>190</v>
      </c>
      <c r="FR648" s="319" t="s">
        <v>190</v>
      </c>
      <c r="FS648" s="319" t="s">
        <v>429</v>
      </c>
      <c r="FT648" s="319" t="s">
        <v>190</v>
      </c>
      <c r="FU648" s="319" t="s">
        <v>190</v>
      </c>
      <c r="FV648" s="319" t="s">
        <v>190</v>
      </c>
      <c r="FW648" s="319" t="s">
        <v>190</v>
      </c>
      <c r="FX648" s="319" t="s">
        <v>190</v>
      </c>
      <c r="FY648" s="319" t="s">
        <v>190</v>
      </c>
      <c r="FZ648" s="319" t="s">
        <v>190</v>
      </c>
      <c r="GA648" s="319" t="s">
        <v>190</v>
      </c>
      <c r="GB648" s="319" t="s">
        <v>190</v>
      </c>
      <c r="GC648" s="319" t="s">
        <v>190</v>
      </c>
      <c r="GD648" s="319" t="s">
        <v>190</v>
      </c>
      <c r="GE648" s="319" t="s">
        <v>190</v>
      </c>
      <c r="GF648" s="319" t="s">
        <v>190</v>
      </c>
      <c r="GG648" s="319" t="s">
        <v>190</v>
      </c>
      <c r="GH648" s="319" t="s">
        <v>190</v>
      </c>
      <c r="GI648" s="319" t="s">
        <v>190</v>
      </c>
      <c r="GJ648" s="319" t="s">
        <v>190</v>
      </c>
      <c r="GK648" s="319" t="s">
        <v>429</v>
      </c>
      <c r="GL648" s="319" t="s">
        <v>190</v>
      </c>
      <c r="GM648" s="319" t="s">
        <v>190</v>
      </c>
      <c r="GN648" s="319" t="s">
        <v>190</v>
      </c>
      <c r="GO648" s="319" t="s">
        <v>190</v>
      </c>
      <c r="GP648" s="319" t="s">
        <v>190</v>
      </c>
      <c r="GQ648" s="319" t="s">
        <v>190</v>
      </c>
      <c r="GR648" s="319" t="s">
        <v>190</v>
      </c>
      <c r="GS648" s="319" t="s">
        <v>190</v>
      </c>
      <c r="GT648" s="319" t="s">
        <v>190</v>
      </c>
      <c r="GU648" s="319" t="s">
        <v>190</v>
      </c>
      <c r="GV648" s="319" t="s">
        <v>190</v>
      </c>
      <c r="GW648" s="319" t="s">
        <v>190</v>
      </c>
      <c r="GX648" s="319" t="s">
        <v>190</v>
      </c>
      <c r="GY648" s="319" t="s">
        <v>190</v>
      </c>
      <c r="GZ648" s="319" t="s">
        <v>190</v>
      </c>
      <c r="HA648" s="319" t="s">
        <v>429</v>
      </c>
      <c r="HB648" s="319" t="s">
        <v>190</v>
      </c>
      <c r="HC648" s="319" t="s">
        <v>190</v>
      </c>
      <c r="HD648" s="319" t="s">
        <v>190</v>
      </c>
      <c r="HE648" s="319" t="s">
        <v>190</v>
      </c>
      <c r="HF648" s="319" t="s">
        <v>190</v>
      </c>
      <c r="HG648" s="319" t="s">
        <v>190</v>
      </c>
      <c r="HH648" s="319" t="s">
        <v>190</v>
      </c>
      <c r="HI648" s="319" t="s">
        <v>429</v>
      </c>
      <c r="HJ648" s="319" t="s">
        <v>190</v>
      </c>
      <c r="HK648" s="319" t="s">
        <v>190</v>
      </c>
      <c r="HL648" s="319" t="s">
        <v>190</v>
      </c>
      <c r="HM648" s="319" t="s">
        <v>190</v>
      </c>
      <c r="HN648" s="319" t="s">
        <v>190</v>
      </c>
      <c r="HO648" s="319" t="s">
        <v>190</v>
      </c>
      <c r="HP648" s="319" t="s">
        <v>190</v>
      </c>
      <c r="HQ648" s="319" t="s">
        <v>190</v>
      </c>
      <c r="HR648" s="319" t="s">
        <v>190</v>
      </c>
      <c r="HS648" s="319" t="s">
        <v>190</v>
      </c>
      <c r="HT648" s="319" t="s">
        <v>190</v>
      </c>
      <c r="HU648" s="319" t="s">
        <v>190</v>
      </c>
      <c r="HV648" s="319" t="s">
        <v>190</v>
      </c>
      <c r="HW648" s="319" t="s">
        <v>190</v>
      </c>
      <c r="HX648" s="319" t="s">
        <v>190</v>
      </c>
      <c r="HY648" s="319" t="s">
        <v>190</v>
      </c>
      <c r="HZ648" s="319" t="s">
        <v>190</v>
      </c>
      <c r="IA648" s="319" t="s">
        <v>190</v>
      </c>
      <c r="IB648" s="319" t="s">
        <v>190</v>
      </c>
      <c r="IC648" s="319" t="s">
        <v>190</v>
      </c>
      <c r="ID648" s="319" t="s">
        <v>190</v>
      </c>
      <c r="IE648" s="319" t="s">
        <v>190</v>
      </c>
      <c r="IF648" s="319" t="s">
        <v>190</v>
      </c>
      <c r="IG648" s="319" t="s">
        <v>190</v>
      </c>
      <c r="IH648" s="319" t="s">
        <v>190</v>
      </c>
      <c r="II648" s="319" t="s">
        <v>190</v>
      </c>
      <c r="IJ648" s="319" t="s">
        <v>3405</v>
      </c>
      <c r="IK648" s="321">
        <v>41030</v>
      </c>
      <c r="IL648" s="321">
        <v>41031</v>
      </c>
      <c r="IM648" s="321">
        <v>41054</v>
      </c>
      <c r="IN648" s="319">
        <v>2</v>
      </c>
      <c r="IO648" s="319" t="s">
        <v>173</v>
      </c>
      <c r="IP648" s="319" t="s">
        <v>173</v>
      </c>
      <c r="IQ648" s="319" t="s">
        <v>173</v>
      </c>
      <c r="IR648" s="320" t="s">
        <v>173</v>
      </c>
      <c r="IS648" s="320" t="s">
        <v>173</v>
      </c>
      <c r="IT648" s="319" t="s">
        <v>173</v>
      </c>
    </row>
    <row r="649" spans="1:254" s="271" customFormat="1" x14ac:dyDescent="0.25">
      <c r="A649" s="318" t="str">
        <f>HYPERLINK("http://www.ofsted.gov.uk/inspection-reports/find-inspection-report/provider/ELS/136823 ","Ofsted School Webpage")</f>
        <v>Ofsted School Webpage</v>
      </c>
      <c r="B649" s="319">
        <v>136823</v>
      </c>
      <c r="C649" s="319">
        <v>8566006</v>
      </c>
      <c r="D649" s="319" t="s">
        <v>1179</v>
      </c>
      <c r="E649" s="319" t="s">
        <v>167</v>
      </c>
      <c r="F649" s="319" t="s">
        <v>81</v>
      </c>
      <c r="G649" s="319" t="s">
        <v>72</v>
      </c>
      <c r="H649" s="319" t="s">
        <v>72</v>
      </c>
      <c r="I649" s="319" t="s">
        <v>72</v>
      </c>
      <c r="J649" s="319" t="s">
        <v>424</v>
      </c>
      <c r="K649" s="319" t="s">
        <v>506</v>
      </c>
      <c r="L649" s="319" t="s">
        <v>506</v>
      </c>
      <c r="M649" s="319" t="s">
        <v>521</v>
      </c>
      <c r="N649" s="319" t="s">
        <v>2997</v>
      </c>
      <c r="O649" s="319" t="s">
        <v>1180</v>
      </c>
      <c r="P649" s="319">
        <v>37</v>
      </c>
      <c r="Q649" s="319" t="s">
        <v>2766</v>
      </c>
      <c r="R649" s="320">
        <v>10012981</v>
      </c>
      <c r="S649" s="321">
        <v>43011</v>
      </c>
      <c r="T649" s="321">
        <v>43013</v>
      </c>
      <c r="U649" s="321">
        <v>43042</v>
      </c>
      <c r="V649" s="319" t="s">
        <v>425</v>
      </c>
      <c r="W649" s="319" t="s">
        <v>2767</v>
      </c>
      <c r="X649" s="319">
        <v>3</v>
      </c>
      <c r="Y649" s="319" t="s">
        <v>173</v>
      </c>
      <c r="Z649" s="319" t="s">
        <v>173</v>
      </c>
      <c r="AA649" s="319" t="s">
        <v>173</v>
      </c>
      <c r="AB649" s="319">
        <v>3</v>
      </c>
      <c r="AC649" s="319" t="s">
        <v>169</v>
      </c>
      <c r="AD649" s="319" t="s">
        <v>173</v>
      </c>
      <c r="AE649" s="319" t="s">
        <v>173</v>
      </c>
      <c r="AF649" s="319" t="s">
        <v>173</v>
      </c>
      <c r="AG649" s="319" t="s">
        <v>172</v>
      </c>
      <c r="AH649" s="319" t="s">
        <v>479</v>
      </c>
      <c r="AI649" s="319" t="s">
        <v>190</v>
      </c>
      <c r="AJ649" s="319" t="s">
        <v>190</v>
      </c>
      <c r="AK649" s="319" t="s">
        <v>190</v>
      </c>
      <c r="AL649" s="319" t="s">
        <v>190</v>
      </c>
      <c r="AM649" s="319" t="s">
        <v>190</v>
      </c>
      <c r="AN649" s="319" t="s">
        <v>190</v>
      </c>
      <c r="AO649" s="319" t="s">
        <v>479</v>
      </c>
      <c r="AP649" s="319" t="s">
        <v>191</v>
      </c>
      <c r="AQ649" s="319" t="s">
        <v>190</v>
      </c>
      <c r="AR649" s="319" t="s">
        <v>190</v>
      </c>
      <c r="AS649" s="319" t="s">
        <v>190</v>
      </c>
      <c r="AT649" s="319" t="s">
        <v>190</v>
      </c>
      <c r="AU649" s="319" t="s">
        <v>191</v>
      </c>
      <c r="AV649" s="319" t="s">
        <v>190</v>
      </c>
      <c r="AW649" s="319" t="s">
        <v>190</v>
      </c>
      <c r="AX649" s="319" t="s">
        <v>429</v>
      </c>
      <c r="AY649" s="319" t="s">
        <v>190</v>
      </c>
      <c r="AZ649" s="319" t="s">
        <v>190</v>
      </c>
      <c r="BA649" s="319" t="s">
        <v>190</v>
      </c>
      <c r="BB649" s="319" t="s">
        <v>191</v>
      </c>
      <c r="BC649" s="319" t="s">
        <v>191</v>
      </c>
      <c r="BD649" s="319" t="s">
        <v>190</v>
      </c>
      <c r="BE649" s="319" t="s">
        <v>190</v>
      </c>
      <c r="BF649" s="319" t="s">
        <v>429</v>
      </c>
      <c r="BG649" s="319" t="s">
        <v>429</v>
      </c>
      <c r="BH649" s="319" t="s">
        <v>190</v>
      </c>
      <c r="BI649" s="319" t="s">
        <v>190</v>
      </c>
      <c r="BJ649" s="319" t="s">
        <v>191</v>
      </c>
      <c r="BK649" s="319" t="s">
        <v>191</v>
      </c>
      <c r="BL649" s="319" t="s">
        <v>190</v>
      </c>
      <c r="BM649" s="319" t="s">
        <v>191</v>
      </c>
      <c r="BN649" s="319" t="s">
        <v>191</v>
      </c>
      <c r="BO649" s="319" t="s">
        <v>190</v>
      </c>
      <c r="BP649" s="319" t="s">
        <v>190</v>
      </c>
      <c r="BQ649" s="319" t="s">
        <v>191</v>
      </c>
      <c r="BR649" s="319" t="s">
        <v>190</v>
      </c>
      <c r="BS649" s="319" t="s">
        <v>190</v>
      </c>
      <c r="BT649" s="319" t="s">
        <v>190</v>
      </c>
      <c r="BU649" s="319" t="s">
        <v>190</v>
      </c>
      <c r="BV649" s="319" t="s">
        <v>190</v>
      </c>
      <c r="BW649" s="319" t="s">
        <v>190</v>
      </c>
      <c r="BX649" s="319" t="s">
        <v>190</v>
      </c>
      <c r="BY649" s="319" t="s">
        <v>190</v>
      </c>
      <c r="BZ649" s="319" t="s">
        <v>190</v>
      </c>
      <c r="CA649" s="319" t="s">
        <v>190</v>
      </c>
      <c r="CB649" s="319" t="s">
        <v>190</v>
      </c>
      <c r="CC649" s="319" t="s">
        <v>190</v>
      </c>
      <c r="CD649" s="319" t="s">
        <v>190</v>
      </c>
      <c r="CE649" s="319" t="s">
        <v>190</v>
      </c>
      <c r="CF649" s="319" t="s">
        <v>190</v>
      </c>
      <c r="CG649" s="319" t="s">
        <v>190</v>
      </c>
      <c r="CH649" s="319" t="s">
        <v>190</v>
      </c>
      <c r="CI649" s="319" t="s">
        <v>190</v>
      </c>
      <c r="CJ649" s="319" t="s">
        <v>190</v>
      </c>
      <c r="CK649" s="319" t="s">
        <v>190</v>
      </c>
      <c r="CL649" s="319" t="s">
        <v>190</v>
      </c>
      <c r="CM649" s="319" t="s">
        <v>190</v>
      </c>
      <c r="CN649" s="319" t="s">
        <v>429</v>
      </c>
      <c r="CO649" s="319" t="s">
        <v>429</v>
      </c>
      <c r="CP649" s="319" t="s">
        <v>429</v>
      </c>
      <c r="CQ649" s="319" t="s">
        <v>190</v>
      </c>
      <c r="CR649" s="319" t="s">
        <v>190</v>
      </c>
      <c r="CS649" s="319" t="s">
        <v>190</v>
      </c>
      <c r="CT649" s="319" t="s">
        <v>190</v>
      </c>
      <c r="CU649" s="319" t="s">
        <v>190</v>
      </c>
      <c r="CV649" s="319" t="s">
        <v>190</v>
      </c>
      <c r="CW649" s="319" t="s">
        <v>190</v>
      </c>
      <c r="CX649" s="319" t="s">
        <v>190</v>
      </c>
      <c r="CY649" s="319" t="s">
        <v>190</v>
      </c>
      <c r="CZ649" s="319" t="s">
        <v>190</v>
      </c>
      <c r="DA649" s="319" t="s">
        <v>190</v>
      </c>
      <c r="DB649" s="319" t="s">
        <v>190</v>
      </c>
      <c r="DC649" s="319" t="s">
        <v>190</v>
      </c>
      <c r="DD649" s="319" t="s">
        <v>190</v>
      </c>
      <c r="DE649" s="319" t="s">
        <v>190</v>
      </c>
      <c r="DF649" s="319" t="s">
        <v>190</v>
      </c>
      <c r="DG649" s="319" t="s">
        <v>190</v>
      </c>
      <c r="DH649" s="319" t="s">
        <v>190</v>
      </c>
      <c r="DI649" s="319" t="s">
        <v>190</v>
      </c>
      <c r="DJ649" s="319" t="s">
        <v>190</v>
      </c>
      <c r="DK649" s="319" t="s">
        <v>190</v>
      </c>
      <c r="DL649" s="319" t="s">
        <v>190</v>
      </c>
      <c r="DM649" s="319" t="s">
        <v>190</v>
      </c>
      <c r="DN649" s="319" t="s">
        <v>429</v>
      </c>
      <c r="DO649" s="319" t="s">
        <v>190</v>
      </c>
      <c r="DP649" s="319" t="s">
        <v>429</v>
      </c>
      <c r="DQ649" s="319" t="s">
        <v>429</v>
      </c>
      <c r="DR649" s="319" t="s">
        <v>429</v>
      </c>
      <c r="DS649" s="319" t="s">
        <v>429</v>
      </c>
      <c r="DT649" s="319" t="s">
        <v>429</v>
      </c>
      <c r="DU649" s="319" t="s">
        <v>429</v>
      </c>
      <c r="DV649" s="319" t="s">
        <v>173</v>
      </c>
      <c r="DW649" s="319" t="s">
        <v>429</v>
      </c>
      <c r="DX649" s="319" t="s">
        <v>429</v>
      </c>
      <c r="DY649" s="319" t="s">
        <v>429</v>
      </c>
      <c r="DZ649" s="319" t="s">
        <v>429</v>
      </c>
      <c r="EA649" s="319" t="s">
        <v>429</v>
      </c>
      <c r="EB649" s="319" t="s">
        <v>429</v>
      </c>
      <c r="EC649" s="319" t="s">
        <v>429</v>
      </c>
      <c r="ED649" s="319" t="s">
        <v>429</v>
      </c>
      <c r="EE649" s="319" t="s">
        <v>429</v>
      </c>
      <c r="EF649" s="319" t="s">
        <v>429</v>
      </c>
      <c r="EG649" s="319" t="s">
        <v>429</v>
      </c>
      <c r="EH649" s="319" t="s">
        <v>429</v>
      </c>
      <c r="EI649" s="319" t="s">
        <v>429</v>
      </c>
      <c r="EJ649" s="319" t="s">
        <v>429</v>
      </c>
      <c r="EK649" s="319" t="s">
        <v>429</v>
      </c>
      <c r="EL649" s="319" t="s">
        <v>429</v>
      </c>
      <c r="EM649" s="319" t="s">
        <v>429</v>
      </c>
      <c r="EN649" s="319" t="s">
        <v>190</v>
      </c>
      <c r="EO649" s="319" t="s">
        <v>190</v>
      </c>
      <c r="EP649" s="319" t="s">
        <v>190</v>
      </c>
      <c r="EQ649" s="319" t="s">
        <v>190</v>
      </c>
      <c r="ER649" s="319" t="s">
        <v>190</v>
      </c>
      <c r="ES649" s="319" t="s">
        <v>190</v>
      </c>
      <c r="ET649" s="319" t="s">
        <v>190</v>
      </c>
      <c r="EU649" s="319" t="s">
        <v>190</v>
      </c>
      <c r="EV649" s="319" t="s">
        <v>190</v>
      </c>
      <c r="EW649" s="319" t="s">
        <v>190</v>
      </c>
      <c r="EX649" s="319" t="s">
        <v>190</v>
      </c>
      <c r="EY649" s="319" t="s">
        <v>190</v>
      </c>
      <c r="EZ649" s="319" t="s">
        <v>190</v>
      </c>
      <c r="FA649" s="319" t="s">
        <v>429</v>
      </c>
      <c r="FB649" s="319" t="s">
        <v>429</v>
      </c>
      <c r="FC649" s="319" t="s">
        <v>429</v>
      </c>
      <c r="FD649" s="319" t="s">
        <v>429</v>
      </c>
      <c r="FE649" s="319" t="s">
        <v>429</v>
      </c>
      <c r="FF649" s="319" t="s">
        <v>429</v>
      </c>
      <c r="FG649" s="319" t="s">
        <v>429</v>
      </c>
      <c r="FH649" s="319" t="s">
        <v>429</v>
      </c>
      <c r="FI649" s="319" t="s">
        <v>429</v>
      </c>
      <c r="FJ649" s="319" t="s">
        <v>429</v>
      </c>
      <c r="FK649" s="319" t="s">
        <v>429</v>
      </c>
      <c r="FL649" s="319" t="s">
        <v>190</v>
      </c>
      <c r="FM649" s="319" t="s">
        <v>190</v>
      </c>
      <c r="FN649" s="319" t="s">
        <v>190</v>
      </c>
      <c r="FO649" s="319" t="s">
        <v>190</v>
      </c>
      <c r="FP649" s="319" t="s">
        <v>190</v>
      </c>
      <c r="FQ649" s="319" t="s">
        <v>190</v>
      </c>
      <c r="FR649" s="319" t="s">
        <v>190</v>
      </c>
      <c r="FS649" s="319" t="s">
        <v>429</v>
      </c>
      <c r="FT649" s="319" t="s">
        <v>190</v>
      </c>
      <c r="FU649" s="319" t="s">
        <v>190</v>
      </c>
      <c r="FV649" s="319" t="s">
        <v>190</v>
      </c>
      <c r="FW649" s="319" t="s">
        <v>190</v>
      </c>
      <c r="FX649" s="319" t="s">
        <v>190</v>
      </c>
      <c r="FY649" s="319" t="s">
        <v>190</v>
      </c>
      <c r="FZ649" s="319" t="s">
        <v>190</v>
      </c>
      <c r="GA649" s="319" t="s">
        <v>190</v>
      </c>
      <c r="GB649" s="319" t="s">
        <v>190</v>
      </c>
      <c r="GC649" s="319" t="s">
        <v>190</v>
      </c>
      <c r="GD649" s="319" t="s">
        <v>190</v>
      </c>
      <c r="GE649" s="319" t="s">
        <v>190</v>
      </c>
      <c r="GF649" s="319" t="s">
        <v>190</v>
      </c>
      <c r="GG649" s="319" t="s">
        <v>190</v>
      </c>
      <c r="GH649" s="319" t="s">
        <v>190</v>
      </c>
      <c r="GI649" s="319" t="s">
        <v>190</v>
      </c>
      <c r="GJ649" s="319" t="s">
        <v>190</v>
      </c>
      <c r="GK649" s="319" t="s">
        <v>429</v>
      </c>
      <c r="GL649" s="319" t="s">
        <v>190</v>
      </c>
      <c r="GM649" s="319" t="s">
        <v>190</v>
      </c>
      <c r="GN649" s="319" t="s">
        <v>190</v>
      </c>
      <c r="GO649" s="319" t="s">
        <v>190</v>
      </c>
      <c r="GP649" s="319" t="s">
        <v>190</v>
      </c>
      <c r="GQ649" s="319" t="s">
        <v>429</v>
      </c>
      <c r="GR649" s="319" t="s">
        <v>190</v>
      </c>
      <c r="GS649" s="319" t="s">
        <v>190</v>
      </c>
      <c r="GT649" s="319" t="s">
        <v>429</v>
      </c>
      <c r="GU649" s="319" t="s">
        <v>429</v>
      </c>
      <c r="GV649" s="319" t="s">
        <v>429</v>
      </c>
      <c r="GW649" s="319" t="s">
        <v>190</v>
      </c>
      <c r="GX649" s="319" t="s">
        <v>190</v>
      </c>
      <c r="GY649" s="319" t="s">
        <v>190</v>
      </c>
      <c r="GZ649" s="319" t="s">
        <v>190</v>
      </c>
      <c r="HA649" s="319" t="s">
        <v>429</v>
      </c>
      <c r="HB649" s="319" t="s">
        <v>190</v>
      </c>
      <c r="HC649" s="319" t="s">
        <v>190</v>
      </c>
      <c r="HD649" s="319" t="s">
        <v>190</v>
      </c>
      <c r="HE649" s="319" t="s">
        <v>190</v>
      </c>
      <c r="HF649" s="319" t="s">
        <v>190</v>
      </c>
      <c r="HG649" s="319" t="s">
        <v>190</v>
      </c>
      <c r="HH649" s="319" t="s">
        <v>190</v>
      </c>
      <c r="HI649" s="319" t="s">
        <v>190</v>
      </c>
      <c r="HJ649" s="319" t="s">
        <v>190</v>
      </c>
      <c r="HK649" s="319" t="s">
        <v>190</v>
      </c>
      <c r="HL649" s="319" t="s">
        <v>429</v>
      </c>
      <c r="HM649" s="319" t="s">
        <v>429</v>
      </c>
      <c r="HN649" s="319" t="s">
        <v>429</v>
      </c>
      <c r="HO649" s="319" t="s">
        <v>429</v>
      </c>
      <c r="HP649" s="319" t="s">
        <v>190</v>
      </c>
      <c r="HQ649" s="319" t="s">
        <v>190</v>
      </c>
      <c r="HR649" s="319" t="s">
        <v>190</v>
      </c>
      <c r="HS649" s="319" t="s">
        <v>190</v>
      </c>
      <c r="HT649" s="319" t="s">
        <v>190</v>
      </c>
      <c r="HU649" s="319" t="s">
        <v>190</v>
      </c>
      <c r="HV649" s="319" t="s">
        <v>190</v>
      </c>
      <c r="HW649" s="319" t="s">
        <v>190</v>
      </c>
      <c r="HX649" s="319" t="s">
        <v>190</v>
      </c>
      <c r="HY649" s="319" t="s">
        <v>190</v>
      </c>
      <c r="HZ649" s="319" t="s">
        <v>190</v>
      </c>
      <c r="IA649" s="319" t="s">
        <v>190</v>
      </c>
      <c r="IB649" s="319" t="s">
        <v>190</v>
      </c>
      <c r="IC649" s="319" t="s">
        <v>190</v>
      </c>
      <c r="ID649" s="319" t="s">
        <v>190</v>
      </c>
      <c r="IE649" s="319" t="s">
        <v>190</v>
      </c>
      <c r="IF649" s="319" t="s">
        <v>191</v>
      </c>
      <c r="IG649" s="319" t="s">
        <v>191</v>
      </c>
      <c r="IH649" s="319" t="s">
        <v>191</v>
      </c>
      <c r="II649" s="319" t="s">
        <v>190</v>
      </c>
      <c r="IJ649" s="319" t="s">
        <v>3406</v>
      </c>
      <c r="IK649" s="321">
        <v>41080</v>
      </c>
      <c r="IL649" s="321">
        <v>41081</v>
      </c>
      <c r="IM649" s="321">
        <v>41100</v>
      </c>
      <c r="IN649" s="319">
        <v>3</v>
      </c>
      <c r="IO649" s="319">
        <v>10114347</v>
      </c>
      <c r="IP649" s="319" t="s">
        <v>985</v>
      </c>
      <c r="IQ649" s="321">
        <v>43655</v>
      </c>
      <c r="IR649" s="320" t="s">
        <v>1223</v>
      </c>
      <c r="IS649" s="322">
        <v>43695</v>
      </c>
      <c r="IT649" s="319" t="s">
        <v>166</v>
      </c>
    </row>
    <row r="650" spans="1:254" s="271" customFormat="1" x14ac:dyDescent="0.25">
      <c r="A650" s="318" t="str">
        <f>HYPERLINK("http://www.ofsted.gov.uk/inspection-reports/find-inspection-report/provider/ELS/136936 ","Ofsted School Webpage")</f>
        <v>Ofsted School Webpage</v>
      </c>
      <c r="B650" s="319">
        <v>136936</v>
      </c>
      <c r="C650" s="319">
        <v>3736002</v>
      </c>
      <c r="D650" s="319" t="s">
        <v>825</v>
      </c>
      <c r="E650" s="319" t="s">
        <v>168</v>
      </c>
      <c r="F650" s="319" t="s">
        <v>81</v>
      </c>
      <c r="G650" s="319" t="s">
        <v>81</v>
      </c>
      <c r="H650" s="319" t="s">
        <v>81</v>
      </c>
      <c r="I650" s="319" t="s">
        <v>78</v>
      </c>
      <c r="J650" s="319" t="s">
        <v>424</v>
      </c>
      <c r="K650" s="319" t="s">
        <v>458</v>
      </c>
      <c r="L650" s="319" t="s">
        <v>459</v>
      </c>
      <c r="M650" s="319" t="s">
        <v>486</v>
      </c>
      <c r="N650" s="319" t="s">
        <v>2883</v>
      </c>
      <c r="O650" s="319" t="s">
        <v>826</v>
      </c>
      <c r="P650" s="319">
        <v>29</v>
      </c>
      <c r="Q650" s="319" t="s">
        <v>429</v>
      </c>
      <c r="R650" s="320">
        <v>10055379</v>
      </c>
      <c r="S650" s="321">
        <v>43480</v>
      </c>
      <c r="T650" s="321">
        <v>43482</v>
      </c>
      <c r="U650" s="321">
        <v>43529</v>
      </c>
      <c r="V650" s="319" t="s">
        <v>425</v>
      </c>
      <c r="W650" s="319" t="s">
        <v>2767</v>
      </c>
      <c r="X650" s="319">
        <v>2</v>
      </c>
      <c r="Y650" s="319" t="s">
        <v>173</v>
      </c>
      <c r="Z650" s="319" t="s">
        <v>173</v>
      </c>
      <c r="AA650" s="319" t="s">
        <v>173</v>
      </c>
      <c r="AB650" s="319">
        <v>2</v>
      </c>
      <c r="AC650" s="319" t="s">
        <v>169</v>
      </c>
      <c r="AD650" s="319" t="s">
        <v>173</v>
      </c>
      <c r="AE650" s="319">
        <v>2</v>
      </c>
      <c r="AF650" s="319" t="s">
        <v>427</v>
      </c>
      <c r="AG650" s="319" t="s">
        <v>171</v>
      </c>
      <c r="AH650" s="319" t="s">
        <v>190</v>
      </c>
      <c r="AI650" s="319" t="s">
        <v>190</v>
      </c>
      <c r="AJ650" s="319" t="s">
        <v>190</v>
      </c>
      <c r="AK650" s="319" t="s">
        <v>190</v>
      </c>
      <c r="AL650" s="319" t="s">
        <v>190</v>
      </c>
      <c r="AM650" s="319" t="s">
        <v>190</v>
      </c>
      <c r="AN650" s="319" t="s">
        <v>190</v>
      </c>
      <c r="AO650" s="319" t="s">
        <v>190</v>
      </c>
      <c r="AP650" s="319" t="s">
        <v>190</v>
      </c>
      <c r="AQ650" s="319" t="s">
        <v>190</v>
      </c>
      <c r="AR650" s="319" t="s">
        <v>190</v>
      </c>
      <c r="AS650" s="319" t="s">
        <v>190</v>
      </c>
      <c r="AT650" s="319" t="s">
        <v>190</v>
      </c>
      <c r="AU650" s="319" t="s">
        <v>190</v>
      </c>
      <c r="AV650" s="319" t="s">
        <v>190</v>
      </c>
      <c r="AW650" s="319" t="s">
        <v>190</v>
      </c>
      <c r="AX650" s="319" t="s">
        <v>428</v>
      </c>
      <c r="AY650" s="319" t="s">
        <v>190</v>
      </c>
      <c r="AZ650" s="319" t="s">
        <v>190</v>
      </c>
      <c r="BA650" s="319" t="s">
        <v>190</v>
      </c>
      <c r="BB650" s="319" t="s">
        <v>190</v>
      </c>
      <c r="BC650" s="319" t="s">
        <v>190</v>
      </c>
      <c r="BD650" s="319" t="s">
        <v>190</v>
      </c>
      <c r="BE650" s="319" t="s">
        <v>190</v>
      </c>
      <c r="BF650" s="319" t="s">
        <v>428</v>
      </c>
      <c r="BG650" s="319" t="s">
        <v>190</v>
      </c>
      <c r="BH650" s="319" t="s">
        <v>190</v>
      </c>
      <c r="BI650" s="319" t="s">
        <v>190</v>
      </c>
      <c r="BJ650" s="319" t="s">
        <v>190</v>
      </c>
      <c r="BK650" s="319" t="s">
        <v>190</v>
      </c>
      <c r="BL650" s="319" t="s">
        <v>190</v>
      </c>
      <c r="BM650" s="319" t="s">
        <v>190</v>
      </c>
      <c r="BN650" s="319" t="s">
        <v>190</v>
      </c>
      <c r="BO650" s="319" t="s">
        <v>190</v>
      </c>
      <c r="BP650" s="319" t="s">
        <v>190</v>
      </c>
      <c r="BQ650" s="319" t="s">
        <v>190</v>
      </c>
      <c r="BR650" s="319" t="s">
        <v>190</v>
      </c>
      <c r="BS650" s="319" t="s">
        <v>190</v>
      </c>
      <c r="BT650" s="319" t="s">
        <v>190</v>
      </c>
      <c r="BU650" s="319" t="s">
        <v>190</v>
      </c>
      <c r="BV650" s="319" t="s">
        <v>190</v>
      </c>
      <c r="BW650" s="319" t="s">
        <v>190</v>
      </c>
      <c r="BX650" s="319" t="s">
        <v>190</v>
      </c>
      <c r="BY650" s="319" t="s">
        <v>190</v>
      </c>
      <c r="BZ650" s="319" t="s">
        <v>190</v>
      </c>
      <c r="CA650" s="319" t="s">
        <v>190</v>
      </c>
      <c r="CB650" s="319" t="s">
        <v>190</v>
      </c>
      <c r="CC650" s="319" t="s">
        <v>190</v>
      </c>
      <c r="CD650" s="319" t="s">
        <v>190</v>
      </c>
      <c r="CE650" s="319" t="s">
        <v>190</v>
      </c>
      <c r="CF650" s="319" t="s">
        <v>190</v>
      </c>
      <c r="CG650" s="319" t="s">
        <v>190</v>
      </c>
      <c r="CH650" s="319" t="s">
        <v>190</v>
      </c>
      <c r="CI650" s="319" t="s">
        <v>190</v>
      </c>
      <c r="CJ650" s="319" t="s">
        <v>190</v>
      </c>
      <c r="CK650" s="319" t="s">
        <v>190</v>
      </c>
      <c r="CL650" s="319" t="s">
        <v>190</v>
      </c>
      <c r="CM650" s="319" t="s">
        <v>190</v>
      </c>
      <c r="CN650" s="319" t="s">
        <v>428</v>
      </c>
      <c r="CO650" s="319" t="s">
        <v>428</v>
      </c>
      <c r="CP650" s="319" t="s">
        <v>428</v>
      </c>
      <c r="CQ650" s="319" t="s">
        <v>190</v>
      </c>
      <c r="CR650" s="319" t="s">
        <v>190</v>
      </c>
      <c r="CS650" s="319" t="s">
        <v>190</v>
      </c>
      <c r="CT650" s="319" t="s">
        <v>190</v>
      </c>
      <c r="CU650" s="319" t="s">
        <v>190</v>
      </c>
      <c r="CV650" s="319" t="s">
        <v>190</v>
      </c>
      <c r="CW650" s="319" t="s">
        <v>190</v>
      </c>
      <c r="CX650" s="319" t="s">
        <v>190</v>
      </c>
      <c r="CY650" s="319" t="s">
        <v>190</v>
      </c>
      <c r="CZ650" s="319" t="s">
        <v>190</v>
      </c>
      <c r="DA650" s="319" t="s">
        <v>190</v>
      </c>
      <c r="DB650" s="319" t="s">
        <v>190</v>
      </c>
      <c r="DC650" s="319" t="s">
        <v>190</v>
      </c>
      <c r="DD650" s="319" t="s">
        <v>190</v>
      </c>
      <c r="DE650" s="319" t="s">
        <v>190</v>
      </c>
      <c r="DF650" s="319" t="s">
        <v>190</v>
      </c>
      <c r="DG650" s="319" t="s">
        <v>190</v>
      </c>
      <c r="DH650" s="319" t="s">
        <v>190</v>
      </c>
      <c r="DI650" s="319" t="s">
        <v>190</v>
      </c>
      <c r="DJ650" s="319" t="s">
        <v>190</v>
      </c>
      <c r="DK650" s="319" t="s">
        <v>190</v>
      </c>
      <c r="DL650" s="319" t="s">
        <v>190</v>
      </c>
      <c r="DM650" s="319" t="s">
        <v>190</v>
      </c>
      <c r="DN650" s="319" t="s">
        <v>428</v>
      </c>
      <c r="DO650" s="319" t="s">
        <v>190</v>
      </c>
      <c r="DP650" s="319" t="s">
        <v>190</v>
      </c>
      <c r="DQ650" s="319" t="s">
        <v>190</v>
      </c>
      <c r="DR650" s="319" t="s">
        <v>190</v>
      </c>
      <c r="DS650" s="319" t="s">
        <v>190</v>
      </c>
      <c r="DT650" s="319" t="s">
        <v>190</v>
      </c>
      <c r="DU650" s="319" t="s">
        <v>190</v>
      </c>
      <c r="DV650" s="319" t="s">
        <v>173</v>
      </c>
      <c r="DW650" s="319" t="s">
        <v>190</v>
      </c>
      <c r="DX650" s="319" t="s">
        <v>190</v>
      </c>
      <c r="DY650" s="319" t="s">
        <v>190</v>
      </c>
      <c r="DZ650" s="319" t="s">
        <v>190</v>
      </c>
      <c r="EA650" s="319" t="s">
        <v>190</v>
      </c>
      <c r="EB650" s="319" t="s">
        <v>190</v>
      </c>
      <c r="EC650" s="319" t="s">
        <v>428</v>
      </c>
      <c r="ED650" s="319" t="s">
        <v>190</v>
      </c>
      <c r="EE650" s="319" t="s">
        <v>190</v>
      </c>
      <c r="EF650" s="319" t="s">
        <v>190</v>
      </c>
      <c r="EG650" s="319" t="s">
        <v>190</v>
      </c>
      <c r="EH650" s="319" t="s">
        <v>190</v>
      </c>
      <c r="EI650" s="319" t="s">
        <v>190</v>
      </c>
      <c r="EJ650" s="319" t="s">
        <v>190</v>
      </c>
      <c r="EK650" s="319" t="s">
        <v>190</v>
      </c>
      <c r="EL650" s="319" t="s">
        <v>190</v>
      </c>
      <c r="EM650" s="319" t="s">
        <v>190</v>
      </c>
      <c r="EN650" s="319" t="s">
        <v>190</v>
      </c>
      <c r="EO650" s="319" t="s">
        <v>190</v>
      </c>
      <c r="EP650" s="319" t="s">
        <v>190</v>
      </c>
      <c r="EQ650" s="319" t="s">
        <v>190</v>
      </c>
      <c r="ER650" s="319" t="s">
        <v>190</v>
      </c>
      <c r="ES650" s="319" t="s">
        <v>190</v>
      </c>
      <c r="ET650" s="319" t="s">
        <v>190</v>
      </c>
      <c r="EU650" s="319" t="s">
        <v>190</v>
      </c>
      <c r="EV650" s="319" t="s">
        <v>190</v>
      </c>
      <c r="EW650" s="319" t="s">
        <v>190</v>
      </c>
      <c r="EX650" s="319" t="s">
        <v>190</v>
      </c>
      <c r="EY650" s="319" t="s">
        <v>190</v>
      </c>
      <c r="EZ650" s="319" t="s">
        <v>190</v>
      </c>
      <c r="FA650" s="319" t="s">
        <v>190</v>
      </c>
      <c r="FB650" s="319" t="s">
        <v>190</v>
      </c>
      <c r="FC650" s="319" t="s">
        <v>190</v>
      </c>
      <c r="FD650" s="319" t="s">
        <v>190</v>
      </c>
      <c r="FE650" s="319" t="s">
        <v>190</v>
      </c>
      <c r="FF650" s="319" t="s">
        <v>190</v>
      </c>
      <c r="FG650" s="319" t="s">
        <v>190</v>
      </c>
      <c r="FH650" s="319" t="s">
        <v>190</v>
      </c>
      <c r="FI650" s="319" t="s">
        <v>190</v>
      </c>
      <c r="FJ650" s="319" t="s">
        <v>190</v>
      </c>
      <c r="FK650" s="319" t="s">
        <v>190</v>
      </c>
      <c r="FL650" s="319" t="s">
        <v>190</v>
      </c>
      <c r="FM650" s="319" t="s">
        <v>190</v>
      </c>
      <c r="FN650" s="319" t="s">
        <v>190</v>
      </c>
      <c r="FO650" s="319" t="s">
        <v>190</v>
      </c>
      <c r="FP650" s="319" t="s">
        <v>190</v>
      </c>
      <c r="FQ650" s="319" t="s">
        <v>190</v>
      </c>
      <c r="FR650" s="319" t="s">
        <v>190</v>
      </c>
      <c r="FS650" s="319" t="s">
        <v>428</v>
      </c>
      <c r="FT650" s="319" t="s">
        <v>190</v>
      </c>
      <c r="FU650" s="319" t="s">
        <v>190</v>
      </c>
      <c r="FV650" s="319" t="s">
        <v>190</v>
      </c>
      <c r="FW650" s="319" t="s">
        <v>190</v>
      </c>
      <c r="FX650" s="319" t="s">
        <v>190</v>
      </c>
      <c r="FY650" s="319" t="s">
        <v>190</v>
      </c>
      <c r="FZ650" s="319" t="s">
        <v>190</v>
      </c>
      <c r="GA650" s="319" t="s">
        <v>190</v>
      </c>
      <c r="GB650" s="319" t="s">
        <v>190</v>
      </c>
      <c r="GC650" s="319" t="s">
        <v>190</v>
      </c>
      <c r="GD650" s="319" t="s">
        <v>190</v>
      </c>
      <c r="GE650" s="319" t="s">
        <v>190</v>
      </c>
      <c r="GF650" s="319" t="s">
        <v>190</v>
      </c>
      <c r="GG650" s="319" t="s">
        <v>190</v>
      </c>
      <c r="GH650" s="319" t="s">
        <v>190</v>
      </c>
      <c r="GI650" s="319" t="s">
        <v>190</v>
      </c>
      <c r="GJ650" s="319" t="s">
        <v>190</v>
      </c>
      <c r="GK650" s="319" t="s">
        <v>428</v>
      </c>
      <c r="GL650" s="319" t="s">
        <v>190</v>
      </c>
      <c r="GM650" s="319" t="s">
        <v>190</v>
      </c>
      <c r="GN650" s="319" t="s">
        <v>190</v>
      </c>
      <c r="GO650" s="319" t="s">
        <v>190</v>
      </c>
      <c r="GP650" s="319" t="s">
        <v>190</v>
      </c>
      <c r="GQ650" s="319" t="s">
        <v>428</v>
      </c>
      <c r="GR650" s="319" t="s">
        <v>190</v>
      </c>
      <c r="GS650" s="319" t="s">
        <v>190</v>
      </c>
      <c r="GT650" s="319" t="s">
        <v>190</v>
      </c>
      <c r="GU650" s="319" t="s">
        <v>190</v>
      </c>
      <c r="GV650" s="319" t="s">
        <v>190</v>
      </c>
      <c r="GW650" s="319" t="s">
        <v>190</v>
      </c>
      <c r="GX650" s="319" t="s">
        <v>190</v>
      </c>
      <c r="GY650" s="319" t="s">
        <v>190</v>
      </c>
      <c r="GZ650" s="319" t="s">
        <v>190</v>
      </c>
      <c r="HA650" s="319" t="s">
        <v>190</v>
      </c>
      <c r="HB650" s="319" t="s">
        <v>190</v>
      </c>
      <c r="HC650" s="319" t="s">
        <v>190</v>
      </c>
      <c r="HD650" s="319" t="s">
        <v>190</v>
      </c>
      <c r="HE650" s="319" t="s">
        <v>190</v>
      </c>
      <c r="HF650" s="319" t="s">
        <v>190</v>
      </c>
      <c r="HG650" s="319" t="s">
        <v>190</v>
      </c>
      <c r="HH650" s="319" t="s">
        <v>190</v>
      </c>
      <c r="HI650" s="319" t="s">
        <v>190</v>
      </c>
      <c r="HJ650" s="319" t="s">
        <v>190</v>
      </c>
      <c r="HK650" s="319" t="s">
        <v>190</v>
      </c>
      <c r="HL650" s="319" t="s">
        <v>190</v>
      </c>
      <c r="HM650" s="319" t="s">
        <v>428</v>
      </c>
      <c r="HN650" s="319" t="s">
        <v>428</v>
      </c>
      <c r="HO650" s="319" t="s">
        <v>428</v>
      </c>
      <c r="HP650" s="319" t="s">
        <v>190</v>
      </c>
      <c r="HQ650" s="319" t="s">
        <v>190</v>
      </c>
      <c r="HR650" s="319" t="s">
        <v>190</v>
      </c>
      <c r="HS650" s="319" t="s">
        <v>190</v>
      </c>
      <c r="HT650" s="319" t="s">
        <v>190</v>
      </c>
      <c r="HU650" s="319" t="s">
        <v>190</v>
      </c>
      <c r="HV650" s="319" t="s">
        <v>190</v>
      </c>
      <c r="HW650" s="319" t="s">
        <v>190</v>
      </c>
      <c r="HX650" s="319" t="s">
        <v>190</v>
      </c>
      <c r="HY650" s="319" t="s">
        <v>190</v>
      </c>
      <c r="HZ650" s="319" t="s">
        <v>190</v>
      </c>
      <c r="IA650" s="319" t="s">
        <v>190</v>
      </c>
      <c r="IB650" s="319" t="s">
        <v>190</v>
      </c>
      <c r="IC650" s="319" t="s">
        <v>190</v>
      </c>
      <c r="ID650" s="319" t="s">
        <v>190</v>
      </c>
      <c r="IE650" s="319" t="s">
        <v>190</v>
      </c>
      <c r="IF650" s="319" t="s">
        <v>190</v>
      </c>
      <c r="IG650" s="319" t="s">
        <v>190</v>
      </c>
      <c r="IH650" s="319" t="s">
        <v>190</v>
      </c>
      <c r="II650" s="319" t="s">
        <v>190</v>
      </c>
      <c r="IJ650" s="319">
        <v>10008895</v>
      </c>
      <c r="IK650" s="321">
        <v>42402</v>
      </c>
      <c r="IL650" s="321">
        <v>42404</v>
      </c>
      <c r="IM650" s="321">
        <v>42432</v>
      </c>
      <c r="IN650" s="319">
        <v>2</v>
      </c>
      <c r="IO650" s="319" t="s">
        <v>173</v>
      </c>
      <c r="IP650" s="319" t="s">
        <v>173</v>
      </c>
      <c r="IQ650" s="319" t="s">
        <v>173</v>
      </c>
      <c r="IR650" s="320" t="s">
        <v>173</v>
      </c>
      <c r="IS650" s="320" t="s">
        <v>173</v>
      </c>
      <c r="IT650" s="319" t="s">
        <v>173</v>
      </c>
    </row>
    <row r="651" spans="1:254" s="271" customFormat="1" x14ac:dyDescent="0.25">
      <c r="A651" s="318" t="str">
        <f>HYPERLINK("http://www.ofsted.gov.uk/inspection-reports/find-inspection-report/provider/ELS/136947 ","Ofsted School Webpage")</f>
        <v>Ofsted School Webpage</v>
      </c>
      <c r="B651" s="319">
        <v>136947</v>
      </c>
      <c r="C651" s="319">
        <v>8466018</v>
      </c>
      <c r="D651" s="319" t="s">
        <v>2116</v>
      </c>
      <c r="E651" s="319" t="s">
        <v>167</v>
      </c>
      <c r="F651" s="319" t="s">
        <v>81</v>
      </c>
      <c r="G651" s="319" t="s">
        <v>81</v>
      </c>
      <c r="H651" s="319" t="s">
        <v>81</v>
      </c>
      <c r="I651" s="319" t="s">
        <v>78</v>
      </c>
      <c r="J651" s="319" t="s">
        <v>424</v>
      </c>
      <c r="K651" s="319" t="s">
        <v>514</v>
      </c>
      <c r="L651" s="319" t="s">
        <v>514</v>
      </c>
      <c r="M651" s="319" t="s">
        <v>828</v>
      </c>
      <c r="N651" s="319" t="s">
        <v>3088</v>
      </c>
      <c r="O651" s="319" t="s">
        <v>2117</v>
      </c>
      <c r="P651" s="319">
        <v>126</v>
      </c>
      <c r="Q651" s="319" t="s">
        <v>2766</v>
      </c>
      <c r="R651" s="320">
        <v>10012927</v>
      </c>
      <c r="S651" s="321">
        <v>42997</v>
      </c>
      <c r="T651" s="321">
        <v>42999</v>
      </c>
      <c r="U651" s="321">
        <v>43042</v>
      </c>
      <c r="V651" s="319" t="s">
        <v>425</v>
      </c>
      <c r="W651" s="319" t="s">
        <v>2767</v>
      </c>
      <c r="X651" s="319">
        <v>1</v>
      </c>
      <c r="Y651" s="319" t="s">
        <v>173</v>
      </c>
      <c r="Z651" s="319" t="s">
        <v>173</v>
      </c>
      <c r="AA651" s="319" t="s">
        <v>173</v>
      </c>
      <c r="AB651" s="319">
        <v>1</v>
      </c>
      <c r="AC651" s="319" t="s">
        <v>169</v>
      </c>
      <c r="AD651" s="319">
        <v>1</v>
      </c>
      <c r="AE651" s="319" t="s">
        <v>173</v>
      </c>
      <c r="AF651" s="319" t="s">
        <v>173</v>
      </c>
      <c r="AG651" s="319" t="s">
        <v>171</v>
      </c>
      <c r="AH651" s="319" t="s">
        <v>190</v>
      </c>
      <c r="AI651" s="319" t="s">
        <v>190</v>
      </c>
      <c r="AJ651" s="319" t="s">
        <v>190</v>
      </c>
      <c r="AK651" s="319" t="s">
        <v>190</v>
      </c>
      <c r="AL651" s="319" t="s">
        <v>190</v>
      </c>
      <c r="AM651" s="319" t="s">
        <v>190</v>
      </c>
      <c r="AN651" s="319" t="s">
        <v>190</v>
      </c>
      <c r="AO651" s="319" t="s">
        <v>190</v>
      </c>
      <c r="AP651" s="319" t="s">
        <v>190</v>
      </c>
      <c r="AQ651" s="319" t="s">
        <v>190</v>
      </c>
      <c r="AR651" s="319" t="s">
        <v>190</v>
      </c>
      <c r="AS651" s="319" t="s">
        <v>190</v>
      </c>
      <c r="AT651" s="319" t="s">
        <v>190</v>
      </c>
      <c r="AU651" s="319" t="s">
        <v>190</v>
      </c>
      <c r="AV651" s="319" t="s">
        <v>190</v>
      </c>
      <c r="AW651" s="319" t="s">
        <v>190</v>
      </c>
      <c r="AX651" s="319" t="s">
        <v>429</v>
      </c>
      <c r="AY651" s="319" t="s">
        <v>190</v>
      </c>
      <c r="AZ651" s="319" t="s">
        <v>190</v>
      </c>
      <c r="BA651" s="319" t="s">
        <v>190</v>
      </c>
      <c r="BB651" s="319" t="s">
        <v>190</v>
      </c>
      <c r="BC651" s="319" t="s">
        <v>190</v>
      </c>
      <c r="BD651" s="319" t="s">
        <v>190</v>
      </c>
      <c r="BE651" s="319" t="s">
        <v>190</v>
      </c>
      <c r="BF651" s="319" t="s">
        <v>190</v>
      </c>
      <c r="BG651" s="319" t="s">
        <v>429</v>
      </c>
      <c r="BH651" s="319" t="s">
        <v>190</v>
      </c>
      <c r="BI651" s="319" t="s">
        <v>190</v>
      </c>
      <c r="BJ651" s="319" t="s">
        <v>190</v>
      </c>
      <c r="BK651" s="319" t="s">
        <v>190</v>
      </c>
      <c r="BL651" s="319" t="s">
        <v>190</v>
      </c>
      <c r="BM651" s="319" t="s">
        <v>190</v>
      </c>
      <c r="BN651" s="319" t="s">
        <v>190</v>
      </c>
      <c r="BO651" s="319" t="s">
        <v>190</v>
      </c>
      <c r="BP651" s="319" t="s">
        <v>190</v>
      </c>
      <c r="BQ651" s="319" t="s">
        <v>190</v>
      </c>
      <c r="BR651" s="319" t="s">
        <v>190</v>
      </c>
      <c r="BS651" s="319" t="s">
        <v>190</v>
      </c>
      <c r="BT651" s="319" t="s">
        <v>190</v>
      </c>
      <c r="BU651" s="319" t="s">
        <v>190</v>
      </c>
      <c r="BV651" s="319" t="s">
        <v>190</v>
      </c>
      <c r="BW651" s="319" t="s">
        <v>190</v>
      </c>
      <c r="BX651" s="319" t="s">
        <v>190</v>
      </c>
      <c r="BY651" s="319" t="s">
        <v>190</v>
      </c>
      <c r="BZ651" s="319" t="s">
        <v>190</v>
      </c>
      <c r="CA651" s="319" t="s">
        <v>190</v>
      </c>
      <c r="CB651" s="319" t="s">
        <v>190</v>
      </c>
      <c r="CC651" s="319" t="s">
        <v>190</v>
      </c>
      <c r="CD651" s="319" t="s">
        <v>190</v>
      </c>
      <c r="CE651" s="319" t="s">
        <v>190</v>
      </c>
      <c r="CF651" s="319" t="s">
        <v>190</v>
      </c>
      <c r="CG651" s="319" t="s">
        <v>190</v>
      </c>
      <c r="CH651" s="319" t="s">
        <v>190</v>
      </c>
      <c r="CI651" s="319" t="s">
        <v>190</v>
      </c>
      <c r="CJ651" s="319" t="s">
        <v>190</v>
      </c>
      <c r="CK651" s="319" t="s">
        <v>190</v>
      </c>
      <c r="CL651" s="319" t="s">
        <v>190</v>
      </c>
      <c r="CM651" s="319" t="s">
        <v>190</v>
      </c>
      <c r="CN651" s="319" t="s">
        <v>429</v>
      </c>
      <c r="CO651" s="319" t="s">
        <v>429</v>
      </c>
      <c r="CP651" s="319" t="s">
        <v>429</v>
      </c>
      <c r="CQ651" s="319" t="s">
        <v>190</v>
      </c>
      <c r="CR651" s="319" t="s">
        <v>190</v>
      </c>
      <c r="CS651" s="319" t="s">
        <v>190</v>
      </c>
      <c r="CT651" s="319" t="s">
        <v>190</v>
      </c>
      <c r="CU651" s="319" t="s">
        <v>190</v>
      </c>
      <c r="CV651" s="319" t="s">
        <v>190</v>
      </c>
      <c r="CW651" s="319" t="s">
        <v>190</v>
      </c>
      <c r="CX651" s="319" t="s">
        <v>190</v>
      </c>
      <c r="CY651" s="319" t="s">
        <v>190</v>
      </c>
      <c r="CZ651" s="319" t="s">
        <v>190</v>
      </c>
      <c r="DA651" s="319" t="s">
        <v>190</v>
      </c>
      <c r="DB651" s="319" t="s">
        <v>190</v>
      </c>
      <c r="DC651" s="319" t="s">
        <v>190</v>
      </c>
      <c r="DD651" s="319" t="s">
        <v>190</v>
      </c>
      <c r="DE651" s="319" t="s">
        <v>190</v>
      </c>
      <c r="DF651" s="319" t="s">
        <v>190</v>
      </c>
      <c r="DG651" s="319" t="s">
        <v>190</v>
      </c>
      <c r="DH651" s="319" t="s">
        <v>190</v>
      </c>
      <c r="DI651" s="319" t="s">
        <v>190</v>
      </c>
      <c r="DJ651" s="319" t="s">
        <v>190</v>
      </c>
      <c r="DK651" s="319" t="s">
        <v>190</v>
      </c>
      <c r="DL651" s="319" t="s">
        <v>190</v>
      </c>
      <c r="DM651" s="319" t="s">
        <v>190</v>
      </c>
      <c r="DN651" s="319" t="s">
        <v>429</v>
      </c>
      <c r="DO651" s="319" t="s">
        <v>190</v>
      </c>
      <c r="DP651" s="319" t="s">
        <v>190</v>
      </c>
      <c r="DQ651" s="319" t="s">
        <v>190</v>
      </c>
      <c r="DR651" s="319" t="s">
        <v>190</v>
      </c>
      <c r="DS651" s="319" t="s">
        <v>190</v>
      </c>
      <c r="DT651" s="319" t="s">
        <v>190</v>
      </c>
      <c r="DU651" s="319" t="s">
        <v>190</v>
      </c>
      <c r="DV651" s="319" t="s">
        <v>173</v>
      </c>
      <c r="DW651" s="319" t="s">
        <v>190</v>
      </c>
      <c r="DX651" s="319" t="s">
        <v>190</v>
      </c>
      <c r="DY651" s="319" t="s">
        <v>190</v>
      </c>
      <c r="DZ651" s="319" t="s">
        <v>190</v>
      </c>
      <c r="EA651" s="319" t="s">
        <v>190</v>
      </c>
      <c r="EB651" s="319" t="s">
        <v>190</v>
      </c>
      <c r="EC651" s="319" t="s">
        <v>190</v>
      </c>
      <c r="ED651" s="319" t="s">
        <v>190</v>
      </c>
      <c r="EE651" s="319" t="s">
        <v>190</v>
      </c>
      <c r="EF651" s="319" t="s">
        <v>190</v>
      </c>
      <c r="EG651" s="319" t="s">
        <v>190</v>
      </c>
      <c r="EH651" s="319" t="s">
        <v>190</v>
      </c>
      <c r="EI651" s="319" t="s">
        <v>190</v>
      </c>
      <c r="EJ651" s="319" t="s">
        <v>190</v>
      </c>
      <c r="EK651" s="319" t="s">
        <v>190</v>
      </c>
      <c r="EL651" s="319" t="s">
        <v>190</v>
      </c>
      <c r="EM651" s="319" t="s">
        <v>190</v>
      </c>
      <c r="EN651" s="319" t="s">
        <v>190</v>
      </c>
      <c r="EO651" s="319" t="s">
        <v>190</v>
      </c>
      <c r="EP651" s="319" t="s">
        <v>190</v>
      </c>
      <c r="EQ651" s="319" t="s">
        <v>190</v>
      </c>
      <c r="ER651" s="319" t="s">
        <v>190</v>
      </c>
      <c r="ES651" s="319" t="s">
        <v>190</v>
      </c>
      <c r="ET651" s="319" t="s">
        <v>190</v>
      </c>
      <c r="EU651" s="319" t="s">
        <v>190</v>
      </c>
      <c r="EV651" s="319" t="s">
        <v>190</v>
      </c>
      <c r="EW651" s="319" t="s">
        <v>190</v>
      </c>
      <c r="EX651" s="319" t="s">
        <v>190</v>
      </c>
      <c r="EY651" s="319" t="s">
        <v>190</v>
      </c>
      <c r="EZ651" s="319" t="s">
        <v>190</v>
      </c>
      <c r="FA651" s="319" t="s">
        <v>190</v>
      </c>
      <c r="FB651" s="319" t="s">
        <v>190</v>
      </c>
      <c r="FC651" s="319" t="s">
        <v>190</v>
      </c>
      <c r="FD651" s="319" t="s">
        <v>190</v>
      </c>
      <c r="FE651" s="319" t="s">
        <v>190</v>
      </c>
      <c r="FF651" s="319" t="s">
        <v>190</v>
      </c>
      <c r="FG651" s="319" t="s">
        <v>190</v>
      </c>
      <c r="FH651" s="319" t="s">
        <v>190</v>
      </c>
      <c r="FI651" s="319" t="s">
        <v>190</v>
      </c>
      <c r="FJ651" s="319" t="s">
        <v>190</v>
      </c>
      <c r="FK651" s="319" t="s">
        <v>190</v>
      </c>
      <c r="FL651" s="319" t="s">
        <v>190</v>
      </c>
      <c r="FM651" s="319" t="s">
        <v>190</v>
      </c>
      <c r="FN651" s="319" t="s">
        <v>190</v>
      </c>
      <c r="FO651" s="319" t="s">
        <v>190</v>
      </c>
      <c r="FP651" s="319" t="s">
        <v>190</v>
      </c>
      <c r="FQ651" s="319" t="s">
        <v>190</v>
      </c>
      <c r="FR651" s="319" t="s">
        <v>190</v>
      </c>
      <c r="FS651" s="319" t="s">
        <v>429</v>
      </c>
      <c r="FT651" s="319" t="s">
        <v>190</v>
      </c>
      <c r="FU651" s="319" t="s">
        <v>190</v>
      </c>
      <c r="FV651" s="319" t="s">
        <v>190</v>
      </c>
      <c r="FW651" s="319" t="s">
        <v>190</v>
      </c>
      <c r="FX651" s="319" t="s">
        <v>190</v>
      </c>
      <c r="FY651" s="319" t="s">
        <v>190</v>
      </c>
      <c r="FZ651" s="319" t="s">
        <v>190</v>
      </c>
      <c r="GA651" s="319" t="s">
        <v>190</v>
      </c>
      <c r="GB651" s="319" t="s">
        <v>190</v>
      </c>
      <c r="GC651" s="319" t="s">
        <v>190</v>
      </c>
      <c r="GD651" s="319" t="s">
        <v>190</v>
      </c>
      <c r="GE651" s="319" t="s">
        <v>190</v>
      </c>
      <c r="GF651" s="319" t="s">
        <v>190</v>
      </c>
      <c r="GG651" s="319" t="s">
        <v>190</v>
      </c>
      <c r="GH651" s="319" t="s">
        <v>190</v>
      </c>
      <c r="GI651" s="319" t="s">
        <v>190</v>
      </c>
      <c r="GJ651" s="319" t="s">
        <v>190</v>
      </c>
      <c r="GK651" s="319" t="s">
        <v>190</v>
      </c>
      <c r="GL651" s="319" t="s">
        <v>190</v>
      </c>
      <c r="GM651" s="319" t="s">
        <v>190</v>
      </c>
      <c r="GN651" s="319" t="s">
        <v>190</v>
      </c>
      <c r="GO651" s="319" t="s">
        <v>190</v>
      </c>
      <c r="GP651" s="319" t="s">
        <v>190</v>
      </c>
      <c r="GQ651" s="319" t="s">
        <v>190</v>
      </c>
      <c r="GR651" s="319" t="s">
        <v>190</v>
      </c>
      <c r="GS651" s="319" t="s">
        <v>190</v>
      </c>
      <c r="GT651" s="319" t="s">
        <v>190</v>
      </c>
      <c r="GU651" s="319" t="s">
        <v>190</v>
      </c>
      <c r="GV651" s="319" t="s">
        <v>190</v>
      </c>
      <c r="GW651" s="319" t="s">
        <v>190</v>
      </c>
      <c r="GX651" s="319" t="s">
        <v>190</v>
      </c>
      <c r="GY651" s="319" t="s">
        <v>190</v>
      </c>
      <c r="GZ651" s="319" t="s">
        <v>190</v>
      </c>
      <c r="HA651" s="319" t="s">
        <v>429</v>
      </c>
      <c r="HB651" s="319" t="s">
        <v>429</v>
      </c>
      <c r="HC651" s="319" t="s">
        <v>190</v>
      </c>
      <c r="HD651" s="319" t="s">
        <v>190</v>
      </c>
      <c r="HE651" s="319" t="s">
        <v>190</v>
      </c>
      <c r="HF651" s="319" t="s">
        <v>190</v>
      </c>
      <c r="HG651" s="319" t="s">
        <v>190</v>
      </c>
      <c r="HH651" s="319" t="s">
        <v>190</v>
      </c>
      <c r="HI651" s="319" t="s">
        <v>190</v>
      </c>
      <c r="HJ651" s="319" t="s">
        <v>190</v>
      </c>
      <c r="HK651" s="319" t="s">
        <v>190</v>
      </c>
      <c r="HL651" s="319" t="s">
        <v>190</v>
      </c>
      <c r="HM651" s="319" t="s">
        <v>190</v>
      </c>
      <c r="HN651" s="319" t="s">
        <v>190</v>
      </c>
      <c r="HO651" s="319" t="s">
        <v>190</v>
      </c>
      <c r="HP651" s="319" t="s">
        <v>190</v>
      </c>
      <c r="HQ651" s="319" t="s">
        <v>190</v>
      </c>
      <c r="HR651" s="319" t="s">
        <v>190</v>
      </c>
      <c r="HS651" s="319" t="s">
        <v>190</v>
      </c>
      <c r="HT651" s="319" t="s">
        <v>190</v>
      </c>
      <c r="HU651" s="319" t="s">
        <v>190</v>
      </c>
      <c r="HV651" s="319" t="s">
        <v>190</v>
      </c>
      <c r="HW651" s="319" t="s">
        <v>190</v>
      </c>
      <c r="HX651" s="319" t="s">
        <v>190</v>
      </c>
      <c r="HY651" s="319" t="s">
        <v>190</v>
      </c>
      <c r="HZ651" s="319" t="s">
        <v>190</v>
      </c>
      <c r="IA651" s="319" t="s">
        <v>190</v>
      </c>
      <c r="IB651" s="319" t="s">
        <v>190</v>
      </c>
      <c r="IC651" s="319" t="s">
        <v>190</v>
      </c>
      <c r="ID651" s="319" t="s">
        <v>190</v>
      </c>
      <c r="IE651" s="319" t="s">
        <v>190</v>
      </c>
      <c r="IF651" s="319" t="s">
        <v>190</v>
      </c>
      <c r="IG651" s="319" t="s">
        <v>190</v>
      </c>
      <c r="IH651" s="319" t="s">
        <v>190</v>
      </c>
      <c r="II651" s="319" t="s">
        <v>190</v>
      </c>
      <c r="IJ651" s="319" t="s">
        <v>3407</v>
      </c>
      <c r="IK651" s="321">
        <v>41031</v>
      </c>
      <c r="IL651" s="321">
        <v>41032</v>
      </c>
      <c r="IM651" s="321">
        <v>41054</v>
      </c>
      <c r="IN651" s="319">
        <v>1</v>
      </c>
      <c r="IO651" s="319" t="s">
        <v>173</v>
      </c>
      <c r="IP651" s="319" t="s">
        <v>173</v>
      </c>
      <c r="IQ651" s="319" t="s">
        <v>173</v>
      </c>
      <c r="IR651" s="320" t="s">
        <v>173</v>
      </c>
      <c r="IS651" s="320" t="s">
        <v>173</v>
      </c>
      <c r="IT651" s="319" t="s">
        <v>173</v>
      </c>
    </row>
    <row r="652" spans="1:254" s="271" customFormat="1" x14ac:dyDescent="0.25">
      <c r="A652" s="318" t="str">
        <f>HYPERLINK("http://www.ofsted.gov.uk/inspection-reports/find-inspection-report/provider/ELS/136949 ","Ofsted School Webpage")</f>
        <v>Ofsted School Webpage</v>
      </c>
      <c r="B652" s="319">
        <v>136949</v>
      </c>
      <c r="C652" s="319">
        <v>8556019</v>
      </c>
      <c r="D652" s="319" t="s">
        <v>942</v>
      </c>
      <c r="E652" s="319" t="s">
        <v>168</v>
      </c>
      <c r="F652" s="319" t="s">
        <v>81</v>
      </c>
      <c r="G652" s="319" t="s">
        <v>81</v>
      </c>
      <c r="H652" s="319" t="s">
        <v>81</v>
      </c>
      <c r="I652" s="319" t="s">
        <v>78</v>
      </c>
      <c r="J652" s="319" t="s">
        <v>424</v>
      </c>
      <c r="K652" s="319" t="s">
        <v>506</v>
      </c>
      <c r="L652" s="319" t="s">
        <v>506</v>
      </c>
      <c r="M652" s="319" t="s">
        <v>862</v>
      </c>
      <c r="N652" s="319" t="s">
        <v>3000</v>
      </c>
      <c r="O652" s="319" t="s">
        <v>943</v>
      </c>
      <c r="P652" s="319">
        <v>36</v>
      </c>
      <c r="Q652" s="319" t="s">
        <v>429</v>
      </c>
      <c r="R652" s="320">
        <v>10053982</v>
      </c>
      <c r="S652" s="321">
        <v>43522</v>
      </c>
      <c r="T652" s="321">
        <v>43524</v>
      </c>
      <c r="U652" s="321">
        <v>43542</v>
      </c>
      <c r="V652" s="319" t="s">
        <v>425</v>
      </c>
      <c r="W652" s="319" t="s">
        <v>2767</v>
      </c>
      <c r="X652" s="319">
        <v>1</v>
      </c>
      <c r="Y652" s="319" t="s">
        <v>173</v>
      </c>
      <c r="Z652" s="319" t="s">
        <v>173</v>
      </c>
      <c r="AA652" s="319" t="s">
        <v>173</v>
      </c>
      <c r="AB652" s="319">
        <v>1</v>
      </c>
      <c r="AC652" s="319" t="s">
        <v>169</v>
      </c>
      <c r="AD652" s="319" t="s">
        <v>173</v>
      </c>
      <c r="AE652" s="319" t="s">
        <v>173</v>
      </c>
      <c r="AF652" s="319" t="s">
        <v>427</v>
      </c>
      <c r="AG652" s="319" t="s">
        <v>171</v>
      </c>
      <c r="AH652" s="319" t="s">
        <v>190</v>
      </c>
      <c r="AI652" s="319" t="s">
        <v>190</v>
      </c>
      <c r="AJ652" s="319" t="s">
        <v>190</v>
      </c>
      <c r="AK652" s="319" t="s">
        <v>190</v>
      </c>
      <c r="AL652" s="319" t="s">
        <v>190</v>
      </c>
      <c r="AM652" s="319" t="s">
        <v>190</v>
      </c>
      <c r="AN652" s="319" t="s">
        <v>190</v>
      </c>
      <c r="AO652" s="319" t="s">
        <v>190</v>
      </c>
      <c r="AP652" s="319" t="s">
        <v>190</v>
      </c>
      <c r="AQ652" s="319" t="s">
        <v>190</v>
      </c>
      <c r="AR652" s="319" t="s">
        <v>190</v>
      </c>
      <c r="AS652" s="319" t="s">
        <v>190</v>
      </c>
      <c r="AT652" s="319" t="s">
        <v>190</v>
      </c>
      <c r="AU652" s="319" t="s">
        <v>190</v>
      </c>
      <c r="AV652" s="319" t="s">
        <v>190</v>
      </c>
      <c r="AW652" s="319" t="s">
        <v>190</v>
      </c>
      <c r="AX652" s="319" t="s">
        <v>428</v>
      </c>
      <c r="AY652" s="319" t="s">
        <v>190</v>
      </c>
      <c r="AZ652" s="319" t="s">
        <v>190</v>
      </c>
      <c r="BA652" s="319" t="s">
        <v>190</v>
      </c>
      <c r="BB652" s="319" t="s">
        <v>428</v>
      </c>
      <c r="BC652" s="319" t="s">
        <v>428</v>
      </c>
      <c r="BD652" s="319" t="s">
        <v>428</v>
      </c>
      <c r="BE652" s="319" t="s">
        <v>428</v>
      </c>
      <c r="BF652" s="319" t="s">
        <v>428</v>
      </c>
      <c r="BG652" s="319" t="s">
        <v>428</v>
      </c>
      <c r="BH652" s="319" t="s">
        <v>190</v>
      </c>
      <c r="BI652" s="319" t="s">
        <v>190</v>
      </c>
      <c r="BJ652" s="319" t="s">
        <v>190</v>
      </c>
      <c r="BK652" s="319" t="s">
        <v>190</v>
      </c>
      <c r="BL652" s="319" t="s">
        <v>190</v>
      </c>
      <c r="BM652" s="319" t="s">
        <v>190</v>
      </c>
      <c r="BN652" s="319" t="s">
        <v>190</v>
      </c>
      <c r="BO652" s="319" t="s">
        <v>190</v>
      </c>
      <c r="BP652" s="319" t="s">
        <v>190</v>
      </c>
      <c r="BQ652" s="319" t="s">
        <v>190</v>
      </c>
      <c r="BR652" s="319" t="s">
        <v>190</v>
      </c>
      <c r="BS652" s="319" t="s">
        <v>190</v>
      </c>
      <c r="BT652" s="319" t="s">
        <v>190</v>
      </c>
      <c r="BU652" s="319" t="s">
        <v>190</v>
      </c>
      <c r="BV652" s="319" t="s">
        <v>190</v>
      </c>
      <c r="BW652" s="319" t="s">
        <v>190</v>
      </c>
      <c r="BX652" s="319" t="s">
        <v>190</v>
      </c>
      <c r="BY652" s="319" t="s">
        <v>190</v>
      </c>
      <c r="BZ652" s="319" t="s">
        <v>190</v>
      </c>
      <c r="CA652" s="319" t="s">
        <v>190</v>
      </c>
      <c r="CB652" s="319" t="s">
        <v>190</v>
      </c>
      <c r="CC652" s="319" t="s">
        <v>190</v>
      </c>
      <c r="CD652" s="319" t="s">
        <v>190</v>
      </c>
      <c r="CE652" s="319" t="s">
        <v>190</v>
      </c>
      <c r="CF652" s="319" t="s">
        <v>190</v>
      </c>
      <c r="CG652" s="319" t="s">
        <v>190</v>
      </c>
      <c r="CH652" s="319" t="s">
        <v>190</v>
      </c>
      <c r="CI652" s="319" t="s">
        <v>190</v>
      </c>
      <c r="CJ652" s="319" t="s">
        <v>190</v>
      </c>
      <c r="CK652" s="319" t="s">
        <v>190</v>
      </c>
      <c r="CL652" s="319" t="s">
        <v>190</v>
      </c>
      <c r="CM652" s="319" t="s">
        <v>190</v>
      </c>
      <c r="CN652" s="319" t="s">
        <v>428</v>
      </c>
      <c r="CO652" s="319" t="s">
        <v>428</v>
      </c>
      <c r="CP652" s="319" t="s">
        <v>428</v>
      </c>
      <c r="CQ652" s="319" t="s">
        <v>190</v>
      </c>
      <c r="CR652" s="319" t="s">
        <v>190</v>
      </c>
      <c r="CS652" s="319" t="s">
        <v>190</v>
      </c>
      <c r="CT652" s="319" t="s">
        <v>190</v>
      </c>
      <c r="CU652" s="319" t="s">
        <v>190</v>
      </c>
      <c r="CV652" s="319" t="s">
        <v>190</v>
      </c>
      <c r="CW652" s="319" t="s">
        <v>190</v>
      </c>
      <c r="CX652" s="319" t="s">
        <v>190</v>
      </c>
      <c r="CY652" s="319" t="s">
        <v>190</v>
      </c>
      <c r="CZ652" s="319" t="s">
        <v>190</v>
      </c>
      <c r="DA652" s="319" t="s">
        <v>190</v>
      </c>
      <c r="DB652" s="319" t="s">
        <v>190</v>
      </c>
      <c r="DC652" s="319" t="s">
        <v>190</v>
      </c>
      <c r="DD652" s="319" t="s">
        <v>190</v>
      </c>
      <c r="DE652" s="319" t="s">
        <v>190</v>
      </c>
      <c r="DF652" s="319" t="s">
        <v>190</v>
      </c>
      <c r="DG652" s="319" t="s">
        <v>190</v>
      </c>
      <c r="DH652" s="319" t="s">
        <v>190</v>
      </c>
      <c r="DI652" s="319" t="s">
        <v>190</v>
      </c>
      <c r="DJ652" s="319" t="s">
        <v>190</v>
      </c>
      <c r="DK652" s="319" t="s">
        <v>190</v>
      </c>
      <c r="DL652" s="319" t="s">
        <v>190</v>
      </c>
      <c r="DM652" s="319" t="s">
        <v>190</v>
      </c>
      <c r="DN652" s="319" t="s">
        <v>428</v>
      </c>
      <c r="DO652" s="319" t="s">
        <v>190</v>
      </c>
      <c r="DP652" s="319" t="s">
        <v>428</v>
      </c>
      <c r="DQ652" s="319" t="s">
        <v>428</v>
      </c>
      <c r="DR652" s="319" t="s">
        <v>428</v>
      </c>
      <c r="DS652" s="319" t="s">
        <v>428</v>
      </c>
      <c r="DT652" s="319" t="s">
        <v>428</v>
      </c>
      <c r="DU652" s="319" t="s">
        <v>428</v>
      </c>
      <c r="DV652" s="319" t="s">
        <v>173</v>
      </c>
      <c r="DW652" s="319" t="s">
        <v>428</v>
      </c>
      <c r="DX652" s="319" t="s">
        <v>428</v>
      </c>
      <c r="DY652" s="319" t="s">
        <v>428</v>
      </c>
      <c r="DZ652" s="319" t="s">
        <v>428</v>
      </c>
      <c r="EA652" s="319" t="s">
        <v>428</v>
      </c>
      <c r="EB652" s="319" t="s">
        <v>428</v>
      </c>
      <c r="EC652" s="319" t="s">
        <v>428</v>
      </c>
      <c r="ED652" s="319" t="s">
        <v>428</v>
      </c>
      <c r="EE652" s="319" t="s">
        <v>190</v>
      </c>
      <c r="EF652" s="319" t="s">
        <v>190</v>
      </c>
      <c r="EG652" s="319" t="s">
        <v>190</v>
      </c>
      <c r="EH652" s="319" t="s">
        <v>190</v>
      </c>
      <c r="EI652" s="319" t="s">
        <v>190</v>
      </c>
      <c r="EJ652" s="319" t="s">
        <v>190</v>
      </c>
      <c r="EK652" s="319" t="s">
        <v>190</v>
      </c>
      <c r="EL652" s="319" t="s">
        <v>190</v>
      </c>
      <c r="EM652" s="319" t="s">
        <v>190</v>
      </c>
      <c r="EN652" s="319" t="s">
        <v>190</v>
      </c>
      <c r="EO652" s="319" t="s">
        <v>190</v>
      </c>
      <c r="EP652" s="319" t="s">
        <v>190</v>
      </c>
      <c r="EQ652" s="319" t="s">
        <v>190</v>
      </c>
      <c r="ER652" s="319" t="s">
        <v>190</v>
      </c>
      <c r="ES652" s="319" t="s">
        <v>190</v>
      </c>
      <c r="ET652" s="319" t="s">
        <v>190</v>
      </c>
      <c r="EU652" s="319" t="s">
        <v>190</v>
      </c>
      <c r="EV652" s="319" t="s">
        <v>190</v>
      </c>
      <c r="EW652" s="319" t="s">
        <v>190</v>
      </c>
      <c r="EX652" s="319" t="s">
        <v>190</v>
      </c>
      <c r="EY652" s="319" t="s">
        <v>190</v>
      </c>
      <c r="EZ652" s="319" t="s">
        <v>190</v>
      </c>
      <c r="FA652" s="319" t="s">
        <v>428</v>
      </c>
      <c r="FB652" s="319" t="s">
        <v>428</v>
      </c>
      <c r="FC652" s="319" t="s">
        <v>428</v>
      </c>
      <c r="FD652" s="319" t="s">
        <v>428</v>
      </c>
      <c r="FE652" s="319" t="s">
        <v>428</v>
      </c>
      <c r="FF652" s="319" t="s">
        <v>428</v>
      </c>
      <c r="FG652" s="319" t="s">
        <v>428</v>
      </c>
      <c r="FH652" s="319" t="s">
        <v>190</v>
      </c>
      <c r="FI652" s="319" t="s">
        <v>428</v>
      </c>
      <c r="FJ652" s="319" t="s">
        <v>429</v>
      </c>
      <c r="FK652" s="319" t="s">
        <v>428</v>
      </c>
      <c r="FL652" s="319" t="s">
        <v>190</v>
      </c>
      <c r="FM652" s="319" t="s">
        <v>190</v>
      </c>
      <c r="FN652" s="319" t="s">
        <v>190</v>
      </c>
      <c r="FO652" s="319" t="s">
        <v>428</v>
      </c>
      <c r="FP652" s="319" t="s">
        <v>190</v>
      </c>
      <c r="FQ652" s="319" t="s">
        <v>190</v>
      </c>
      <c r="FR652" s="319" t="s">
        <v>190</v>
      </c>
      <c r="FS652" s="319" t="s">
        <v>428</v>
      </c>
      <c r="FT652" s="319" t="s">
        <v>428</v>
      </c>
      <c r="FU652" s="319" t="s">
        <v>190</v>
      </c>
      <c r="FV652" s="319" t="s">
        <v>190</v>
      </c>
      <c r="FW652" s="319" t="s">
        <v>190</v>
      </c>
      <c r="FX652" s="319" t="s">
        <v>190</v>
      </c>
      <c r="FY652" s="319" t="s">
        <v>190</v>
      </c>
      <c r="FZ652" s="319" t="s">
        <v>190</v>
      </c>
      <c r="GA652" s="319" t="s">
        <v>190</v>
      </c>
      <c r="GB652" s="319" t="s">
        <v>190</v>
      </c>
      <c r="GC652" s="319" t="s">
        <v>190</v>
      </c>
      <c r="GD652" s="319" t="s">
        <v>190</v>
      </c>
      <c r="GE652" s="319" t="s">
        <v>190</v>
      </c>
      <c r="GF652" s="319" t="s">
        <v>190</v>
      </c>
      <c r="GG652" s="319" t="s">
        <v>190</v>
      </c>
      <c r="GH652" s="319" t="s">
        <v>190</v>
      </c>
      <c r="GI652" s="319" t="s">
        <v>190</v>
      </c>
      <c r="GJ652" s="319" t="s">
        <v>190</v>
      </c>
      <c r="GK652" s="319" t="s">
        <v>428</v>
      </c>
      <c r="GL652" s="319" t="s">
        <v>190</v>
      </c>
      <c r="GM652" s="319" t="s">
        <v>190</v>
      </c>
      <c r="GN652" s="319" t="s">
        <v>190</v>
      </c>
      <c r="GO652" s="319" t="s">
        <v>190</v>
      </c>
      <c r="GP652" s="319" t="s">
        <v>190</v>
      </c>
      <c r="GQ652" s="319" t="s">
        <v>428</v>
      </c>
      <c r="GR652" s="319" t="s">
        <v>190</v>
      </c>
      <c r="GS652" s="319" t="s">
        <v>190</v>
      </c>
      <c r="GT652" s="319" t="s">
        <v>190</v>
      </c>
      <c r="GU652" s="319" t="s">
        <v>190</v>
      </c>
      <c r="GV652" s="319" t="s">
        <v>190</v>
      </c>
      <c r="GW652" s="319" t="s">
        <v>190</v>
      </c>
      <c r="GX652" s="319" t="s">
        <v>190</v>
      </c>
      <c r="GY652" s="319" t="s">
        <v>190</v>
      </c>
      <c r="GZ652" s="319" t="s">
        <v>190</v>
      </c>
      <c r="HA652" s="319" t="s">
        <v>190</v>
      </c>
      <c r="HB652" s="319" t="s">
        <v>428</v>
      </c>
      <c r="HC652" s="319" t="s">
        <v>190</v>
      </c>
      <c r="HD652" s="319" t="s">
        <v>190</v>
      </c>
      <c r="HE652" s="319" t="s">
        <v>190</v>
      </c>
      <c r="HF652" s="319" t="s">
        <v>190</v>
      </c>
      <c r="HG652" s="319" t="s">
        <v>190</v>
      </c>
      <c r="HH652" s="319" t="s">
        <v>190</v>
      </c>
      <c r="HI652" s="319" t="s">
        <v>190</v>
      </c>
      <c r="HJ652" s="319" t="s">
        <v>190</v>
      </c>
      <c r="HK652" s="319" t="s">
        <v>190</v>
      </c>
      <c r="HL652" s="319" t="s">
        <v>428</v>
      </c>
      <c r="HM652" s="319" t="s">
        <v>428</v>
      </c>
      <c r="HN652" s="319" t="s">
        <v>428</v>
      </c>
      <c r="HO652" s="319" t="s">
        <v>428</v>
      </c>
      <c r="HP652" s="319" t="s">
        <v>190</v>
      </c>
      <c r="HQ652" s="319" t="s">
        <v>190</v>
      </c>
      <c r="HR652" s="319" t="s">
        <v>190</v>
      </c>
      <c r="HS652" s="319" t="s">
        <v>190</v>
      </c>
      <c r="HT652" s="319" t="s">
        <v>190</v>
      </c>
      <c r="HU652" s="319" t="s">
        <v>190</v>
      </c>
      <c r="HV652" s="319" t="s">
        <v>190</v>
      </c>
      <c r="HW652" s="319" t="s">
        <v>190</v>
      </c>
      <c r="HX652" s="319" t="s">
        <v>190</v>
      </c>
      <c r="HY652" s="319" t="s">
        <v>190</v>
      </c>
      <c r="HZ652" s="319" t="s">
        <v>190</v>
      </c>
      <c r="IA652" s="319" t="s">
        <v>190</v>
      </c>
      <c r="IB652" s="319" t="s">
        <v>190</v>
      </c>
      <c r="IC652" s="319" t="s">
        <v>190</v>
      </c>
      <c r="ID652" s="319" t="s">
        <v>190</v>
      </c>
      <c r="IE652" s="319" t="s">
        <v>190</v>
      </c>
      <c r="IF652" s="319" t="s">
        <v>190</v>
      </c>
      <c r="IG652" s="319" t="s">
        <v>190</v>
      </c>
      <c r="IH652" s="319" t="s">
        <v>190</v>
      </c>
      <c r="II652" s="319" t="s">
        <v>190</v>
      </c>
      <c r="IJ652" s="319">
        <v>10006317</v>
      </c>
      <c r="IK652" s="321">
        <v>42353</v>
      </c>
      <c r="IL652" s="321">
        <v>42355</v>
      </c>
      <c r="IM652" s="321">
        <v>42390</v>
      </c>
      <c r="IN652" s="319">
        <v>1</v>
      </c>
      <c r="IO652" s="319" t="s">
        <v>173</v>
      </c>
      <c r="IP652" s="319" t="s">
        <v>173</v>
      </c>
      <c r="IQ652" s="319" t="s">
        <v>173</v>
      </c>
      <c r="IR652" s="320" t="s">
        <v>173</v>
      </c>
      <c r="IS652" s="320" t="s">
        <v>173</v>
      </c>
      <c r="IT652" s="319" t="s">
        <v>173</v>
      </c>
    </row>
    <row r="653" spans="1:254" s="271" customFormat="1" x14ac:dyDescent="0.25">
      <c r="A653" s="318" t="str">
        <f>HYPERLINK("http://www.ofsted.gov.uk/inspection-reports/find-inspection-report/provider/ELS/136954 ","Ofsted School Webpage")</f>
        <v>Ofsted School Webpage</v>
      </c>
      <c r="B653" s="319">
        <v>136954</v>
      </c>
      <c r="C653" s="319">
        <v>8306003</v>
      </c>
      <c r="D653" s="319" t="s">
        <v>711</v>
      </c>
      <c r="E653" s="319" t="s">
        <v>168</v>
      </c>
      <c r="F653" s="319" t="s">
        <v>81</v>
      </c>
      <c r="G653" s="319" t="s">
        <v>81</v>
      </c>
      <c r="H653" s="319" t="s">
        <v>81</v>
      </c>
      <c r="I653" s="319" t="s">
        <v>78</v>
      </c>
      <c r="J653" s="319" t="s">
        <v>424</v>
      </c>
      <c r="K653" s="319" t="s">
        <v>506</v>
      </c>
      <c r="L653" s="319" t="s">
        <v>506</v>
      </c>
      <c r="M653" s="319" t="s">
        <v>507</v>
      </c>
      <c r="N653" s="319" t="s">
        <v>2918</v>
      </c>
      <c r="O653" s="319" t="s">
        <v>712</v>
      </c>
      <c r="P653" s="319">
        <v>43</v>
      </c>
      <c r="Q653" s="319" t="s">
        <v>429</v>
      </c>
      <c r="R653" s="320">
        <v>10053983</v>
      </c>
      <c r="S653" s="321">
        <v>43431</v>
      </c>
      <c r="T653" s="321">
        <v>43433</v>
      </c>
      <c r="U653" s="321">
        <v>43446</v>
      </c>
      <c r="V653" s="319" t="s">
        <v>425</v>
      </c>
      <c r="W653" s="319" t="s">
        <v>2767</v>
      </c>
      <c r="X653" s="319">
        <v>2</v>
      </c>
      <c r="Y653" s="319" t="s">
        <v>173</v>
      </c>
      <c r="Z653" s="319" t="s">
        <v>173</v>
      </c>
      <c r="AA653" s="319" t="s">
        <v>173</v>
      </c>
      <c r="AB653" s="319">
        <v>2</v>
      </c>
      <c r="AC653" s="319" t="s">
        <v>169</v>
      </c>
      <c r="AD653" s="319" t="s">
        <v>173</v>
      </c>
      <c r="AE653" s="319">
        <v>2</v>
      </c>
      <c r="AF653" s="319" t="s">
        <v>427</v>
      </c>
      <c r="AG653" s="319" t="s">
        <v>171</v>
      </c>
      <c r="AH653" s="319" t="s">
        <v>190</v>
      </c>
      <c r="AI653" s="319" t="s">
        <v>190</v>
      </c>
      <c r="AJ653" s="319" t="s">
        <v>190</v>
      </c>
      <c r="AK653" s="319" t="s">
        <v>190</v>
      </c>
      <c r="AL653" s="319" t="s">
        <v>190</v>
      </c>
      <c r="AM653" s="319" t="s">
        <v>190</v>
      </c>
      <c r="AN653" s="319" t="s">
        <v>190</v>
      </c>
      <c r="AO653" s="319" t="s">
        <v>190</v>
      </c>
      <c r="AP653" s="319" t="s">
        <v>190</v>
      </c>
      <c r="AQ653" s="319" t="s">
        <v>190</v>
      </c>
      <c r="AR653" s="319" t="s">
        <v>190</v>
      </c>
      <c r="AS653" s="319" t="s">
        <v>190</v>
      </c>
      <c r="AT653" s="319" t="s">
        <v>190</v>
      </c>
      <c r="AU653" s="319" t="s">
        <v>190</v>
      </c>
      <c r="AV653" s="319" t="s">
        <v>190</v>
      </c>
      <c r="AW653" s="319" t="s">
        <v>190</v>
      </c>
      <c r="AX653" s="319" t="s">
        <v>428</v>
      </c>
      <c r="AY653" s="319" t="s">
        <v>190</v>
      </c>
      <c r="AZ653" s="319" t="s">
        <v>190</v>
      </c>
      <c r="BA653" s="319" t="s">
        <v>190</v>
      </c>
      <c r="BB653" s="319" t="s">
        <v>190</v>
      </c>
      <c r="BC653" s="319" t="s">
        <v>190</v>
      </c>
      <c r="BD653" s="319" t="s">
        <v>190</v>
      </c>
      <c r="BE653" s="319" t="s">
        <v>190</v>
      </c>
      <c r="BF653" s="319" t="s">
        <v>428</v>
      </c>
      <c r="BG653" s="319" t="s">
        <v>190</v>
      </c>
      <c r="BH653" s="319" t="s">
        <v>190</v>
      </c>
      <c r="BI653" s="319" t="s">
        <v>190</v>
      </c>
      <c r="BJ653" s="319" t="s">
        <v>190</v>
      </c>
      <c r="BK653" s="319" t="s">
        <v>190</v>
      </c>
      <c r="BL653" s="319" t="s">
        <v>190</v>
      </c>
      <c r="BM653" s="319" t="s">
        <v>190</v>
      </c>
      <c r="BN653" s="319" t="s">
        <v>190</v>
      </c>
      <c r="BO653" s="319" t="s">
        <v>190</v>
      </c>
      <c r="BP653" s="319" t="s">
        <v>190</v>
      </c>
      <c r="BQ653" s="319" t="s">
        <v>190</v>
      </c>
      <c r="BR653" s="319" t="s">
        <v>190</v>
      </c>
      <c r="BS653" s="319" t="s">
        <v>190</v>
      </c>
      <c r="BT653" s="319" t="s">
        <v>190</v>
      </c>
      <c r="BU653" s="319" t="s">
        <v>190</v>
      </c>
      <c r="BV653" s="319" t="s">
        <v>190</v>
      </c>
      <c r="BW653" s="319" t="s">
        <v>190</v>
      </c>
      <c r="BX653" s="319" t="s">
        <v>190</v>
      </c>
      <c r="BY653" s="319" t="s">
        <v>190</v>
      </c>
      <c r="BZ653" s="319" t="s">
        <v>190</v>
      </c>
      <c r="CA653" s="319" t="s">
        <v>190</v>
      </c>
      <c r="CB653" s="319" t="s">
        <v>190</v>
      </c>
      <c r="CC653" s="319" t="s">
        <v>190</v>
      </c>
      <c r="CD653" s="319" t="s">
        <v>190</v>
      </c>
      <c r="CE653" s="319" t="s">
        <v>190</v>
      </c>
      <c r="CF653" s="319" t="s">
        <v>190</v>
      </c>
      <c r="CG653" s="319" t="s">
        <v>190</v>
      </c>
      <c r="CH653" s="319" t="s">
        <v>190</v>
      </c>
      <c r="CI653" s="319" t="s">
        <v>190</v>
      </c>
      <c r="CJ653" s="319" t="s">
        <v>190</v>
      </c>
      <c r="CK653" s="319" t="s">
        <v>190</v>
      </c>
      <c r="CL653" s="319" t="s">
        <v>190</v>
      </c>
      <c r="CM653" s="319" t="s">
        <v>190</v>
      </c>
      <c r="CN653" s="319" t="s">
        <v>428</v>
      </c>
      <c r="CO653" s="319" t="s">
        <v>428</v>
      </c>
      <c r="CP653" s="319" t="s">
        <v>428</v>
      </c>
      <c r="CQ653" s="319" t="s">
        <v>190</v>
      </c>
      <c r="CR653" s="319" t="s">
        <v>190</v>
      </c>
      <c r="CS653" s="319" t="s">
        <v>190</v>
      </c>
      <c r="CT653" s="319" t="s">
        <v>190</v>
      </c>
      <c r="CU653" s="319" t="s">
        <v>190</v>
      </c>
      <c r="CV653" s="319" t="s">
        <v>190</v>
      </c>
      <c r="CW653" s="319" t="s">
        <v>190</v>
      </c>
      <c r="CX653" s="319" t="s">
        <v>190</v>
      </c>
      <c r="CY653" s="319" t="s">
        <v>190</v>
      </c>
      <c r="CZ653" s="319" t="s">
        <v>190</v>
      </c>
      <c r="DA653" s="319" t="s">
        <v>190</v>
      </c>
      <c r="DB653" s="319" t="s">
        <v>190</v>
      </c>
      <c r="DC653" s="319" t="s">
        <v>190</v>
      </c>
      <c r="DD653" s="319" t="s">
        <v>190</v>
      </c>
      <c r="DE653" s="319" t="s">
        <v>190</v>
      </c>
      <c r="DF653" s="319" t="s">
        <v>190</v>
      </c>
      <c r="DG653" s="319" t="s">
        <v>190</v>
      </c>
      <c r="DH653" s="319" t="s">
        <v>190</v>
      </c>
      <c r="DI653" s="319" t="s">
        <v>190</v>
      </c>
      <c r="DJ653" s="319" t="s">
        <v>190</v>
      </c>
      <c r="DK653" s="319" t="s">
        <v>190</v>
      </c>
      <c r="DL653" s="319" t="s">
        <v>190</v>
      </c>
      <c r="DM653" s="319" t="s">
        <v>190</v>
      </c>
      <c r="DN653" s="319" t="s">
        <v>428</v>
      </c>
      <c r="DO653" s="319" t="s">
        <v>190</v>
      </c>
      <c r="DP653" s="319" t="s">
        <v>428</v>
      </c>
      <c r="DQ653" s="319" t="s">
        <v>428</v>
      </c>
      <c r="DR653" s="319" t="s">
        <v>428</v>
      </c>
      <c r="DS653" s="319" t="s">
        <v>428</v>
      </c>
      <c r="DT653" s="319" t="s">
        <v>428</v>
      </c>
      <c r="DU653" s="319" t="s">
        <v>428</v>
      </c>
      <c r="DV653" s="319" t="s">
        <v>173</v>
      </c>
      <c r="DW653" s="319" t="s">
        <v>428</v>
      </c>
      <c r="DX653" s="319" t="s">
        <v>428</v>
      </c>
      <c r="DY653" s="319" t="s">
        <v>428</v>
      </c>
      <c r="DZ653" s="319" t="s">
        <v>428</v>
      </c>
      <c r="EA653" s="319" t="s">
        <v>428</v>
      </c>
      <c r="EB653" s="319" t="s">
        <v>428</v>
      </c>
      <c r="EC653" s="319" t="s">
        <v>428</v>
      </c>
      <c r="ED653" s="319" t="s">
        <v>428</v>
      </c>
      <c r="EE653" s="319" t="s">
        <v>428</v>
      </c>
      <c r="EF653" s="319" t="s">
        <v>428</v>
      </c>
      <c r="EG653" s="319" t="s">
        <v>428</v>
      </c>
      <c r="EH653" s="319" t="s">
        <v>428</v>
      </c>
      <c r="EI653" s="319" t="s">
        <v>428</v>
      </c>
      <c r="EJ653" s="319" t="s">
        <v>428</v>
      </c>
      <c r="EK653" s="319" t="s">
        <v>428</v>
      </c>
      <c r="EL653" s="319" t="s">
        <v>428</v>
      </c>
      <c r="EM653" s="319" t="s">
        <v>428</v>
      </c>
      <c r="EN653" s="319" t="s">
        <v>190</v>
      </c>
      <c r="EO653" s="319" t="s">
        <v>190</v>
      </c>
      <c r="EP653" s="319" t="s">
        <v>190</v>
      </c>
      <c r="EQ653" s="319" t="s">
        <v>190</v>
      </c>
      <c r="ER653" s="319" t="s">
        <v>190</v>
      </c>
      <c r="ES653" s="319" t="s">
        <v>190</v>
      </c>
      <c r="ET653" s="319" t="s">
        <v>190</v>
      </c>
      <c r="EU653" s="319" t="s">
        <v>190</v>
      </c>
      <c r="EV653" s="319" t="s">
        <v>190</v>
      </c>
      <c r="EW653" s="319" t="s">
        <v>190</v>
      </c>
      <c r="EX653" s="319" t="s">
        <v>190</v>
      </c>
      <c r="EY653" s="319" t="s">
        <v>190</v>
      </c>
      <c r="EZ653" s="319" t="s">
        <v>190</v>
      </c>
      <c r="FA653" s="319" t="s">
        <v>428</v>
      </c>
      <c r="FB653" s="319" t="s">
        <v>428</v>
      </c>
      <c r="FC653" s="319" t="s">
        <v>428</v>
      </c>
      <c r="FD653" s="319" t="s">
        <v>428</v>
      </c>
      <c r="FE653" s="319" t="s">
        <v>428</v>
      </c>
      <c r="FF653" s="319" t="s">
        <v>428</v>
      </c>
      <c r="FG653" s="319" t="s">
        <v>428</v>
      </c>
      <c r="FH653" s="319" t="s">
        <v>428</v>
      </c>
      <c r="FI653" s="319" t="s">
        <v>428</v>
      </c>
      <c r="FJ653" s="319" t="s">
        <v>429</v>
      </c>
      <c r="FK653" s="319" t="s">
        <v>428</v>
      </c>
      <c r="FL653" s="319" t="s">
        <v>190</v>
      </c>
      <c r="FM653" s="319" t="s">
        <v>190</v>
      </c>
      <c r="FN653" s="319" t="s">
        <v>190</v>
      </c>
      <c r="FO653" s="319" t="s">
        <v>190</v>
      </c>
      <c r="FP653" s="319" t="s">
        <v>190</v>
      </c>
      <c r="FQ653" s="319" t="s">
        <v>190</v>
      </c>
      <c r="FR653" s="319" t="s">
        <v>190</v>
      </c>
      <c r="FS653" s="319" t="s">
        <v>428</v>
      </c>
      <c r="FT653" s="319" t="s">
        <v>428</v>
      </c>
      <c r="FU653" s="319" t="s">
        <v>190</v>
      </c>
      <c r="FV653" s="319" t="s">
        <v>190</v>
      </c>
      <c r="FW653" s="319" t="s">
        <v>190</v>
      </c>
      <c r="FX653" s="319" t="s">
        <v>190</v>
      </c>
      <c r="FY653" s="319" t="s">
        <v>190</v>
      </c>
      <c r="FZ653" s="319" t="s">
        <v>190</v>
      </c>
      <c r="GA653" s="319" t="s">
        <v>190</v>
      </c>
      <c r="GB653" s="319" t="s">
        <v>190</v>
      </c>
      <c r="GC653" s="319" t="s">
        <v>190</v>
      </c>
      <c r="GD653" s="319" t="s">
        <v>190</v>
      </c>
      <c r="GE653" s="319" t="s">
        <v>190</v>
      </c>
      <c r="GF653" s="319" t="s">
        <v>190</v>
      </c>
      <c r="GG653" s="319" t="s">
        <v>190</v>
      </c>
      <c r="GH653" s="319" t="s">
        <v>190</v>
      </c>
      <c r="GI653" s="319" t="s">
        <v>190</v>
      </c>
      <c r="GJ653" s="319" t="s">
        <v>190</v>
      </c>
      <c r="GK653" s="319" t="s">
        <v>428</v>
      </c>
      <c r="GL653" s="319" t="s">
        <v>190</v>
      </c>
      <c r="GM653" s="319" t="s">
        <v>190</v>
      </c>
      <c r="GN653" s="319" t="s">
        <v>190</v>
      </c>
      <c r="GO653" s="319" t="s">
        <v>190</v>
      </c>
      <c r="GP653" s="319" t="s">
        <v>190</v>
      </c>
      <c r="GQ653" s="319" t="s">
        <v>428</v>
      </c>
      <c r="GR653" s="319" t="s">
        <v>190</v>
      </c>
      <c r="GS653" s="319" t="s">
        <v>190</v>
      </c>
      <c r="GT653" s="319" t="s">
        <v>190</v>
      </c>
      <c r="GU653" s="319" t="s">
        <v>190</v>
      </c>
      <c r="GV653" s="319" t="s">
        <v>428</v>
      </c>
      <c r="GW653" s="319" t="s">
        <v>190</v>
      </c>
      <c r="GX653" s="319" t="s">
        <v>190</v>
      </c>
      <c r="GY653" s="319" t="s">
        <v>190</v>
      </c>
      <c r="GZ653" s="319" t="s">
        <v>190</v>
      </c>
      <c r="HA653" s="319" t="s">
        <v>428</v>
      </c>
      <c r="HB653" s="319" t="s">
        <v>190</v>
      </c>
      <c r="HC653" s="319" t="s">
        <v>190</v>
      </c>
      <c r="HD653" s="319" t="s">
        <v>190</v>
      </c>
      <c r="HE653" s="319" t="s">
        <v>190</v>
      </c>
      <c r="HF653" s="319" t="s">
        <v>190</v>
      </c>
      <c r="HG653" s="319" t="s">
        <v>190</v>
      </c>
      <c r="HH653" s="319" t="s">
        <v>190</v>
      </c>
      <c r="HI653" s="319" t="s">
        <v>190</v>
      </c>
      <c r="HJ653" s="319" t="s">
        <v>190</v>
      </c>
      <c r="HK653" s="319" t="s">
        <v>190</v>
      </c>
      <c r="HL653" s="319" t="s">
        <v>428</v>
      </c>
      <c r="HM653" s="319" t="s">
        <v>428</v>
      </c>
      <c r="HN653" s="319" t="s">
        <v>428</v>
      </c>
      <c r="HO653" s="319" t="s">
        <v>428</v>
      </c>
      <c r="HP653" s="319" t="s">
        <v>190</v>
      </c>
      <c r="HQ653" s="319" t="s">
        <v>190</v>
      </c>
      <c r="HR653" s="319" t="s">
        <v>190</v>
      </c>
      <c r="HS653" s="319" t="s">
        <v>190</v>
      </c>
      <c r="HT653" s="319" t="s">
        <v>190</v>
      </c>
      <c r="HU653" s="319" t="s">
        <v>190</v>
      </c>
      <c r="HV653" s="319" t="s">
        <v>190</v>
      </c>
      <c r="HW653" s="319" t="s">
        <v>190</v>
      </c>
      <c r="HX653" s="319" t="s">
        <v>190</v>
      </c>
      <c r="HY653" s="319" t="s">
        <v>190</v>
      </c>
      <c r="HZ653" s="319" t="s">
        <v>190</v>
      </c>
      <c r="IA653" s="319" t="s">
        <v>190</v>
      </c>
      <c r="IB653" s="319" t="s">
        <v>190</v>
      </c>
      <c r="IC653" s="319" t="s">
        <v>190</v>
      </c>
      <c r="ID653" s="319" t="s">
        <v>190</v>
      </c>
      <c r="IE653" s="319" t="s">
        <v>190</v>
      </c>
      <c r="IF653" s="319" t="s">
        <v>190</v>
      </c>
      <c r="IG653" s="319" t="s">
        <v>190</v>
      </c>
      <c r="IH653" s="319" t="s">
        <v>190</v>
      </c>
      <c r="II653" s="319" t="s">
        <v>190</v>
      </c>
      <c r="IJ653" s="319">
        <v>10006549</v>
      </c>
      <c r="IK653" s="321">
        <v>42276</v>
      </c>
      <c r="IL653" s="321">
        <v>42278</v>
      </c>
      <c r="IM653" s="321">
        <v>42314</v>
      </c>
      <c r="IN653" s="319">
        <v>2</v>
      </c>
      <c r="IO653" s="319" t="s">
        <v>173</v>
      </c>
      <c r="IP653" s="319" t="s">
        <v>173</v>
      </c>
      <c r="IQ653" s="321" t="s">
        <v>173</v>
      </c>
      <c r="IR653" s="320" t="s">
        <v>173</v>
      </c>
      <c r="IS653" s="322" t="s">
        <v>173</v>
      </c>
      <c r="IT653" s="319" t="s">
        <v>173</v>
      </c>
    </row>
    <row r="654" spans="1:254" s="271" customFormat="1" x14ac:dyDescent="0.25">
      <c r="A654" s="318" t="str">
        <f>HYPERLINK("http://www.ofsted.gov.uk/inspection-reports/find-inspection-report/provider/ELS/136955 ","Ofsted School Webpage")</f>
        <v>Ofsted School Webpage</v>
      </c>
      <c r="B654" s="319">
        <v>136955</v>
      </c>
      <c r="C654" s="319">
        <v>8716002</v>
      </c>
      <c r="D654" s="319" t="s">
        <v>2118</v>
      </c>
      <c r="E654" s="319" t="s">
        <v>167</v>
      </c>
      <c r="F654" s="319" t="s">
        <v>72</v>
      </c>
      <c r="G654" s="319" t="s">
        <v>71</v>
      </c>
      <c r="H654" s="319" t="s">
        <v>72</v>
      </c>
      <c r="I654" s="319" t="s">
        <v>72</v>
      </c>
      <c r="J654" s="319" t="s">
        <v>424</v>
      </c>
      <c r="K654" s="319" t="s">
        <v>514</v>
      </c>
      <c r="L654" s="319" t="s">
        <v>514</v>
      </c>
      <c r="M654" s="319" t="s">
        <v>626</v>
      </c>
      <c r="N654" s="319" t="s">
        <v>626</v>
      </c>
      <c r="O654" s="319" t="s">
        <v>2119</v>
      </c>
      <c r="P654" s="319">
        <v>37</v>
      </c>
      <c r="Q654" s="319" t="s">
        <v>2766</v>
      </c>
      <c r="R654" s="320">
        <v>10039165</v>
      </c>
      <c r="S654" s="321">
        <v>43039</v>
      </c>
      <c r="T654" s="321">
        <v>43041</v>
      </c>
      <c r="U654" s="321">
        <v>43068</v>
      </c>
      <c r="V654" s="319" t="s">
        <v>425</v>
      </c>
      <c r="W654" s="319" t="s">
        <v>2767</v>
      </c>
      <c r="X654" s="319">
        <v>2</v>
      </c>
      <c r="Y654" s="319" t="s">
        <v>173</v>
      </c>
      <c r="Z654" s="319" t="s">
        <v>173</v>
      </c>
      <c r="AA654" s="319" t="s">
        <v>173</v>
      </c>
      <c r="AB654" s="319">
        <v>2</v>
      </c>
      <c r="AC654" s="319" t="s">
        <v>169</v>
      </c>
      <c r="AD654" s="319" t="s">
        <v>173</v>
      </c>
      <c r="AE654" s="319" t="s">
        <v>173</v>
      </c>
      <c r="AF654" s="319" t="s">
        <v>427</v>
      </c>
      <c r="AG654" s="319" t="s">
        <v>171</v>
      </c>
      <c r="AH654" s="319" t="s">
        <v>190</v>
      </c>
      <c r="AI654" s="319" t="s">
        <v>190</v>
      </c>
      <c r="AJ654" s="319" t="s">
        <v>190</v>
      </c>
      <c r="AK654" s="319" t="s">
        <v>190</v>
      </c>
      <c r="AL654" s="319" t="s">
        <v>190</v>
      </c>
      <c r="AM654" s="319" t="s">
        <v>190</v>
      </c>
      <c r="AN654" s="319" t="s">
        <v>190</v>
      </c>
      <c r="AO654" s="319" t="s">
        <v>190</v>
      </c>
      <c r="AP654" s="319" t="s">
        <v>190</v>
      </c>
      <c r="AQ654" s="319" t="s">
        <v>190</v>
      </c>
      <c r="AR654" s="319" t="s">
        <v>190</v>
      </c>
      <c r="AS654" s="319" t="s">
        <v>190</v>
      </c>
      <c r="AT654" s="319" t="s">
        <v>190</v>
      </c>
      <c r="AU654" s="319" t="s">
        <v>190</v>
      </c>
      <c r="AV654" s="319" t="s">
        <v>190</v>
      </c>
      <c r="AW654" s="319" t="s">
        <v>190</v>
      </c>
      <c r="AX654" s="319" t="s">
        <v>190</v>
      </c>
      <c r="AY654" s="319" t="s">
        <v>190</v>
      </c>
      <c r="AZ654" s="319" t="s">
        <v>190</v>
      </c>
      <c r="BA654" s="319" t="s">
        <v>190</v>
      </c>
      <c r="BB654" s="319" t="s">
        <v>190</v>
      </c>
      <c r="BC654" s="319" t="s">
        <v>190</v>
      </c>
      <c r="BD654" s="319" t="s">
        <v>190</v>
      </c>
      <c r="BE654" s="319" t="s">
        <v>190</v>
      </c>
      <c r="BF654" s="319" t="s">
        <v>190</v>
      </c>
      <c r="BG654" s="319" t="s">
        <v>190</v>
      </c>
      <c r="BH654" s="319" t="s">
        <v>428</v>
      </c>
      <c r="BI654" s="319" t="s">
        <v>190</v>
      </c>
      <c r="BJ654" s="319" t="s">
        <v>190</v>
      </c>
      <c r="BK654" s="319" t="s">
        <v>190</v>
      </c>
      <c r="BL654" s="319" t="s">
        <v>190</v>
      </c>
      <c r="BM654" s="319" t="s">
        <v>190</v>
      </c>
      <c r="BN654" s="319" t="s">
        <v>190</v>
      </c>
      <c r="BO654" s="319" t="s">
        <v>190</v>
      </c>
      <c r="BP654" s="319" t="s">
        <v>190</v>
      </c>
      <c r="BQ654" s="319" t="s">
        <v>190</v>
      </c>
      <c r="BR654" s="319" t="s">
        <v>190</v>
      </c>
      <c r="BS654" s="319" t="s">
        <v>190</v>
      </c>
      <c r="BT654" s="319" t="s">
        <v>190</v>
      </c>
      <c r="BU654" s="319" t="s">
        <v>190</v>
      </c>
      <c r="BV654" s="319" t="s">
        <v>190</v>
      </c>
      <c r="BW654" s="319" t="s">
        <v>190</v>
      </c>
      <c r="BX654" s="319" t="s">
        <v>190</v>
      </c>
      <c r="BY654" s="319" t="s">
        <v>190</v>
      </c>
      <c r="BZ654" s="319" t="s">
        <v>190</v>
      </c>
      <c r="CA654" s="319" t="s">
        <v>190</v>
      </c>
      <c r="CB654" s="319" t="s">
        <v>190</v>
      </c>
      <c r="CC654" s="319" t="s">
        <v>190</v>
      </c>
      <c r="CD654" s="319" t="s">
        <v>190</v>
      </c>
      <c r="CE654" s="319" t="s">
        <v>190</v>
      </c>
      <c r="CF654" s="319" t="s">
        <v>190</v>
      </c>
      <c r="CG654" s="319" t="s">
        <v>190</v>
      </c>
      <c r="CH654" s="319" t="s">
        <v>190</v>
      </c>
      <c r="CI654" s="319" t="s">
        <v>190</v>
      </c>
      <c r="CJ654" s="319" t="s">
        <v>190</v>
      </c>
      <c r="CK654" s="319" t="s">
        <v>190</v>
      </c>
      <c r="CL654" s="319" t="s">
        <v>190</v>
      </c>
      <c r="CM654" s="319" t="s">
        <v>190</v>
      </c>
      <c r="CN654" s="319" t="s">
        <v>428</v>
      </c>
      <c r="CO654" s="319" t="s">
        <v>428</v>
      </c>
      <c r="CP654" s="319" t="s">
        <v>428</v>
      </c>
      <c r="CQ654" s="319" t="s">
        <v>190</v>
      </c>
      <c r="CR654" s="319" t="s">
        <v>190</v>
      </c>
      <c r="CS654" s="319" t="s">
        <v>190</v>
      </c>
      <c r="CT654" s="319" t="s">
        <v>190</v>
      </c>
      <c r="CU654" s="319" t="s">
        <v>190</v>
      </c>
      <c r="CV654" s="319" t="s">
        <v>190</v>
      </c>
      <c r="CW654" s="319" t="s">
        <v>190</v>
      </c>
      <c r="CX654" s="319" t="s">
        <v>190</v>
      </c>
      <c r="CY654" s="319" t="s">
        <v>190</v>
      </c>
      <c r="CZ654" s="319" t="s">
        <v>190</v>
      </c>
      <c r="DA654" s="319" t="s">
        <v>190</v>
      </c>
      <c r="DB654" s="319" t="s">
        <v>190</v>
      </c>
      <c r="DC654" s="319" t="s">
        <v>190</v>
      </c>
      <c r="DD654" s="319" t="s">
        <v>190</v>
      </c>
      <c r="DE654" s="319" t="s">
        <v>190</v>
      </c>
      <c r="DF654" s="319" t="s">
        <v>190</v>
      </c>
      <c r="DG654" s="319" t="s">
        <v>190</v>
      </c>
      <c r="DH654" s="319" t="s">
        <v>190</v>
      </c>
      <c r="DI654" s="319" t="s">
        <v>190</v>
      </c>
      <c r="DJ654" s="319" t="s">
        <v>190</v>
      </c>
      <c r="DK654" s="319" t="s">
        <v>190</v>
      </c>
      <c r="DL654" s="319" t="s">
        <v>190</v>
      </c>
      <c r="DM654" s="319" t="s">
        <v>190</v>
      </c>
      <c r="DN654" s="319" t="s">
        <v>428</v>
      </c>
      <c r="DO654" s="319" t="s">
        <v>190</v>
      </c>
      <c r="DP654" s="319" t="s">
        <v>190</v>
      </c>
      <c r="DQ654" s="319" t="s">
        <v>190</v>
      </c>
      <c r="DR654" s="319" t="s">
        <v>190</v>
      </c>
      <c r="DS654" s="319" t="s">
        <v>190</v>
      </c>
      <c r="DT654" s="319" t="s">
        <v>190</v>
      </c>
      <c r="DU654" s="319" t="s">
        <v>190</v>
      </c>
      <c r="DV654" s="319" t="s">
        <v>173</v>
      </c>
      <c r="DW654" s="319" t="s">
        <v>190</v>
      </c>
      <c r="DX654" s="319" t="s">
        <v>190</v>
      </c>
      <c r="DY654" s="319" t="s">
        <v>190</v>
      </c>
      <c r="DZ654" s="319" t="s">
        <v>190</v>
      </c>
      <c r="EA654" s="319" t="s">
        <v>190</v>
      </c>
      <c r="EB654" s="319" t="s">
        <v>190</v>
      </c>
      <c r="EC654" s="319" t="s">
        <v>428</v>
      </c>
      <c r="ED654" s="319" t="s">
        <v>190</v>
      </c>
      <c r="EE654" s="319" t="s">
        <v>190</v>
      </c>
      <c r="EF654" s="319" t="s">
        <v>190</v>
      </c>
      <c r="EG654" s="319" t="s">
        <v>190</v>
      </c>
      <c r="EH654" s="319" t="s">
        <v>190</v>
      </c>
      <c r="EI654" s="319" t="s">
        <v>190</v>
      </c>
      <c r="EJ654" s="319" t="s">
        <v>190</v>
      </c>
      <c r="EK654" s="319" t="s">
        <v>190</v>
      </c>
      <c r="EL654" s="319" t="s">
        <v>190</v>
      </c>
      <c r="EM654" s="319" t="s">
        <v>190</v>
      </c>
      <c r="EN654" s="319" t="s">
        <v>190</v>
      </c>
      <c r="EO654" s="319" t="s">
        <v>190</v>
      </c>
      <c r="EP654" s="319" t="s">
        <v>190</v>
      </c>
      <c r="EQ654" s="319" t="s">
        <v>190</v>
      </c>
      <c r="ER654" s="319" t="s">
        <v>190</v>
      </c>
      <c r="ES654" s="319" t="s">
        <v>190</v>
      </c>
      <c r="ET654" s="319" t="s">
        <v>190</v>
      </c>
      <c r="EU654" s="319" t="s">
        <v>190</v>
      </c>
      <c r="EV654" s="319" t="s">
        <v>190</v>
      </c>
      <c r="EW654" s="319" t="s">
        <v>190</v>
      </c>
      <c r="EX654" s="319" t="s">
        <v>190</v>
      </c>
      <c r="EY654" s="319" t="s">
        <v>190</v>
      </c>
      <c r="EZ654" s="319" t="s">
        <v>190</v>
      </c>
      <c r="FA654" s="319" t="s">
        <v>190</v>
      </c>
      <c r="FB654" s="319" t="s">
        <v>190</v>
      </c>
      <c r="FC654" s="319" t="s">
        <v>190</v>
      </c>
      <c r="FD654" s="319" t="s">
        <v>190</v>
      </c>
      <c r="FE654" s="319" t="s">
        <v>190</v>
      </c>
      <c r="FF654" s="319" t="s">
        <v>190</v>
      </c>
      <c r="FG654" s="319" t="s">
        <v>190</v>
      </c>
      <c r="FH654" s="319" t="s">
        <v>190</v>
      </c>
      <c r="FI654" s="319" t="s">
        <v>190</v>
      </c>
      <c r="FJ654" s="319" t="s">
        <v>190</v>
      </c>
      <c r="FK654" s="319" t="s">
        <v>190</v>
      </c>
      <c r="FL654" s="319" t="s">
        <v>190</v>
      </c>
      <c r="FM654" s="319" t="s">
        <v>190</v>
      </c>
      <c r="FN654" s="319" t="s">
        <v>190</v>
      </c>
      <c r="FO654" s="319" t="s">
        <v>190</v>
      </c>
      <c r="FP654" s="319" t="s">
        <v>190</v>
      </c>
      <c r="FQ654" s="319" t="s">
        <v>190</v>
      </c>
      <c r="FR654" s="319" t="s">
        <v>190</v>
      </c>
      <c r="FS654" s="319" t="s">
        <v>428</v>
      </c>
      <c r="FT654" s="319" t="s">
        <v>190</v>
      </c>
      <c r="FU654" s="319" t="s">
        <v>190</v>
      </c>
      <c r="FV654" s="319" t="s">
        <v>190</v>
      </c>
      <c r="FW654" s="319" t="s">
        <v>190</v>
      </c>
      <c r="FX654" s="319" t="s">
        <v>190</v>
      </c>
      <c r="FY654" s="319" t="s">
        <v>190</v>
      </c>
      <c r="FZ654" s="319" t="s">
        <v>190</v>
      </c>
      <c r="GA654" s="319" t="s">
        <v>190</v>
      </c>
      <c r="GB654" s="319" t="s">
        <v>190</v>
      </c>
      <c r="GC654" s="319" t="s">
        <v>190</v>
      </c>
      <c r="GD654" s="319" t="s">
        <v>190</v>
      </c>
      <c r="GE654" s="319" t="s">
        <v>190</v>
      </c>
      <c r="GF654" s="319" t="s">
        <v>190</v>
      </c>
      <c r="GG654" s="319" t="s">
        <v>190</v>
      </c>
      <c r="GH654" s="319" t="s">
        <v>190</v>
      </c>
      <c r="GI654" s="319" t="s">
        <v>190</v>
      </c>
      <c r="GJ654" s="319" t="s">
        <v>190</v>
      </c>
      <c r="GK654" s="319" t="s">
        <v>428</v>
      </c>
      <c r="GL654" s="319" t="s">
        <v>190</v>
      </c>
      <c r="GM654" s="319" t="s">
        <v>190</v>
      </c>
      <c r="GN654" s="319" t="s">
        <v>190</v>
      </c>
      <c r="GO654" s="319" t="s">
        <v>190</v>
      </c>
      <c r="GP654" s="319" t="s">
        <v>190</v>
      </c>
      <c r="GQ654" s="319" t="s">
        <v>190</v>
      </c>
      <c r="GR654" s="319" t="s">
        <v>190</v>
      </c>
      <c r="GS654" s="319" t="s">
        <v>190</v>
      </c>
      <c r="GT654" s="319" t="s">
        <v>428</v>
      </c>
      <c r="GU654" s="319" t="s">
        <v>428</v>
      </c>
      <c r="GV654" s="319" t="s">
        <v>190</v>
      </c>
      <c r="GW654" s="319" t="s">
        <v>190</v>
      </c>
      <c r="GX654" s="319" t="s">
        <v>190</v>
      </c>
      <c r="GY654" s="319" t="s">
        <v>190</v>
      </c>
      <c r="GZ654" s="319" t="s">
        <v>190</v>
      </c>
      <c r="HA654" s="319" t="s">
        <v>190</v>
      </c>
      <c r="HB654" s="319" t="s">
        <v>190</v>
      </c>
      <c r="HC654" s="319" t="s">
        <v>190</v>
      </c>
      <c r="HD654" s="319" t="s">
        <v>190</v>
      </c>
      <c r="HE654" s="319" t="s">
        <v>190</v>
      </c>
      <c r="HF654" s="319" t="s">
        <v>190</v>
      </c>
      <c r="HG654" s="319" t="s">
        <v>190</v>
      </c>
      <c r="HH654" s="319" t="s">
        <v>190</v>
      </c>
      <c r="HI654" s="319" t="s">
        <v>190</v>
      </c>
      <c r="HJ654" s="319" t="s">
        <v>190</v>
      </c>
      <c r="HK654" s="319" t="s">
        <v>190</v>
      </c>
      <c r="HL654" s="319" t="s">
        <v>190</v>
      </c>
      <c r="HM654" s="319" t="s">
        <v>190</v>
      </c>
      <c r="HN654" s="319" t="s">
        <v>190</v>
      </c>
      <c r="HO654" s="319" t="s">
        <v>428</v>
      </c>
      <c r="HP654" s="319" t="s">
        <v>190</v>
      </c>
      <c r="HQ654" s="319" t="s">
        <v>190</v>
      </c>
      <c r="HR654" s="319" t="s">
        <v>190</v>
      </c>
      <c r="HS654" s="319" t="s">
        <v>190</v>
      </c>
      <c r="HT654" s="319" t="s">
        <v>190</v>
      </c>
      <c r="HU654" s="319" t="s">
        <v>190</v>
      </c>
      <c r="HV654" s="319" t="s">
        <v>190</v>
      </c>
      <c r="HW654" s="319" t="s">
        <v>190</v>
      </c>
      <c r="HX654" s="319" t="s">
        <v>190</v>
      </c>
      <c r="HY654" s="319" t="s">
        <v>190</v>
      </c>
      <c r="HZ654" s="319" t="s">
        <v>190</v>
      </c>
      <c r="IA654" s="319" t="s">
        <v>190</v>
      </c>
      <c r="IB654" s="319" t="s">
        <v>190</v>
      </c>
      <c r="IC654" s="319" t="s">
        <v>190</v>
      </c>
      <c r="ID654" s="319" t="s">
        <v>190</v>
      </c>
      <c r="IE654" s="319" t="s">
        <v>190</v>
      </c>
      <c r="IF654" s="319" t="s">
        <v>190</v>
      </c>
      <c r="IG654" s="319" t="s">
        <v>190</v>
      </c>
      <c r="IH654" s="319" t="s">
        <v>190</v>
      </c>
      <c r="II654" s="319" t="s">
        <v>190</v>
      </c>
      <c r="IJ654" s="319">
        <v>10007516</v>
      </c>
      <c r="IK654" s="321">
        <v>42277</v>
      </c>
      <c r="IL654" s="321">
        <v>42278</v>
      </c>
      <c r="IM654" s="321">
        <v>42317</v>
      </c>
      <c r="IN654" s="319">
        <v>3</v>
      </c>
      <c r="IO654" s="319" t="s">
        <v>173</v>
      </c>
      <c r="IP654" s="319" t="s">
        <v>173</v>
      </c>
      <c r="IQ654" s="319" t="s">
        <v>173</v>
      </c>
      <c r="IR654" s="320" t="s">
        <v>173</v>
      </c>
      <c r="IS654" s="320" t="s">
        <v>173</v>
      </c>
      <c r="IT654" s="319" t="s">
        <v>173</v>
      </c>
    </row>
    <row r="655" spans="1:254" s="271" customFormat="1" x14ac:dyDescent="0.25">
      <c r="A655" s="318" t="str">
        <f>HYPERLINK("http://www.ofsted.gov.uk/inspection-reports/find-inspection-report/provider/ELS/137098 ","Ofsted School Webpage")</f>
        <v>Ofsted School Webpage</v>
      </c>
      <c r="B655" s="319">
        <v>137098</v>
      </c>
      <c r="C655" s="319">
        <v>8606037</v>
      </c>
      <c r="D655" s="319" t="s">
        <v>2120</v>
      </c>
      <c r="E655" s="319" t="s">
        <v>168</v>
      </c>
      <c r="F655" s="319" t="s">
        <v>81</v>
      </c>
      <c r="G655" s="319" t="s">
        <v>81</v>
      </c>
      <c r="H655" s="319" t="s">
        <v>81</v>
      </c>
      <c r="I655" s="319" t="s">
        <v>78</v>
      </c>
      <c r="J655" s="319" t="s">
        <v>424</v>
      </c>
      <c r="K655" s="319" t="s">
        <v>437</v>
      </c>
      <c r="L655" s="319" t="s">
        <v>437</v>
      </c>
      <c r="M655" s="319" t="s">
        <v>577</v>
      </c>
      <c r="N655" s="319" t="s">
        <v>3031</v>
      </c>
      <c r="O655" s="319" t="s">
        <v>2121</v>
      </c>
      <c r="P655" s="319">
        <v>65</v>
      </c>
      <c r="Q655" s="319" t="s">
        <v>429</v>
      </c>
      <c r="R655" s="320">
        <v>10006320</v>
      </c>
      <c r="S655" s="321">
        <v>43172</v>
      </c>
      <c r="T655" s="321">
        <v>43174</v>
      </c>
      <c r="U655" s="321">
        <v>43222</v>
      </c>
      <c r="V655" s="319" t="s">
        <v>425</v>
      </c>
      <c r="W655" s="319" t="s">
        <v>2767</v>
      </c>
      <c r="X655" s="319">
        <v>1</v>
      </c>
      <c r="Y655" s="319" t="s">
        <v>173</v>
      </c>
      <c r="Z655" s="319" t="s">
        <v>173</v>
      </c>
      <c r="AA655" s="319" t="s">
        <v>173</v>
      </c>
      <c r="AB655" s="319">
        <v>1</v>
      </c>
      <c r="AC655" s="319" t="s">
        <v>169</v>
      </c>
      <c r="AD655" s="319" t="s">
        <v>173</v>
      </c>
      <c r="AE655" s="319" t="s">
        <v>173</v>
      </c>
      <c r="AF655" s="319" t="s">
        <v>427</v>
      </c>
      <c r="AG655" s="319" t="s">
        <v>171</v>
      </c>
      <c r="AH655" s="319" t="s">
        <v>190</v>
      </c>
      <c r="AI655" s="319" t="s">
        <v>190</v>
      </c>
      <c r="AJ655" s="319" t="s">
        <v>190</v>
      </c>
      <c r="AK655" s="319" t="s">
        <v>190</v>
      </c>
      <c r="AL655" s="319" t="s">
        <v>190</v>
      </c>
      <c r="AM655" s="319" t="s">
        <v>190</v>
      </c>
      <c r="AN655" s="319" t="s">
        <v>190</v>
      </c>
      <c r="AO655" s="319" t="s">
        <v>190</v>
      </c>
      <c r="AP655" s="319" t="s">
        <v>190</v>
      </c>
      <c r="AQ655" s="319" t="s">
        <v>190</v>
      </c>
      <c r="AR655" s="319" t="s">
        <v>190</v>
      </c>
      <c r="AS655" s="319" t="s">
        <v>190</v>
      </c>
      <c r="AT655" s="319" t="s">
        <v>190</v>
      </c>
      <c r="AU655" s="319" t="s">
        <v>190</v>
      </c>
      <c r="AV655" s="319" t="s">
        <v>190</v>
      </c>
      <c r="AW655" s="319" t="s">
        <v>190</v>
      </c>
      <c r="AX655" s="319" t="s">
        <v>428</v>
      </c>
      <c r="AY655" s="319" t="s">
        <v>190</v>
      </c>
      <c r="AZ655" s="319" t="s">
        <v>190</v>
      </c>
      <c r="BA655" s="319" t="s">
        <v>190</v>
      </c>
      <c r="BB655" s="319" t="s">
        <v>190</v>
      </c>
      <c r="BC655" s="319" t="s">
        <v>190</v>
      </c>
      <c r="BD655" s="319" t="s">
        <v>190</v>
      </c>
      <c r="BE655" s="319" t="s">
        <v>190</v>
      </c>
      <c r="BF655" s="319" t="s">
        <v>428</v>
      </c>
      <c r="BG655" s="319" t="s">
        <v>428</v>
      </c>
      <c r="BH655" s="319" t="s">
        <v>190</v>
      </c>
      <c r="BI655" s="319" t="s">
        <v>190</v>
      </c>
      <c r="BJ655" s="319" t="s">
        <v>190</v>
      </c>
      <c r="BK655" s="319" t="s">
        <v>190</v>
      </c>
      <c r="BL655" s="319" t="s">
        <v>190</v>
      </c>
      <c r="BM655" s="319" t="s">
        <v>190</v>
      </c>
      <c r="BN655" s="319" t="s">
        <v>190</v>
      </c>
      <c r="BO655" s="319" t="s">
        <v>190</v>
      </c>
      <c r="BP655" s="319" t="s">
        <v>190</v>
      </c>
      <c r="BQ655" s="319" t="s">
        <v>190</v>
      </c>
      <c r="BR655" s="319" t="s">
        <v>190</v>
      </c>
      <c r="BS655" s="319" t="s">
        <v>190</v>
      </c>
      <c r="BT655" s="319" t="s">
        <v>190</v>
      </c>
      <c r="BU655" s="319" t="s">
        <v>190</v>
      </c>
      <c r="BV655" s="319" t="s">
        <v>190</v>
      </c>
      <c r="BW655" s="319" t="s">
        <v>190</v>
      </c>
      <c r="BX655" s="319" t="s">
        <v>190</v>
      </c>
      <c r="BY655" s="319" t="s">
        <v>190</v>
      </c>
      <c r="BZ655" s="319" t="s">
        <v>190</v>
      </c>
      <c r="CA655" s="319" t="s">
        <v>190</v>
      </c>
      <c r="CB655" s="319" t="s">
        <v>190</v>
      </c>
      <c r="CC655" s="319" t="s">
        <v>190</v>
      </c>
      <c r="CD655" s="319" t="s">
        <v>190</v>
      </c>
      <c r="CE655" s="319" t="s">
        <v>190</v>
      </c>
      <c r="CF655" s="319" t="s">
        <v>190</v>
      </c>
      <c r="CG655" s="319" t="s">
        <v>190</v>
      </c>
      <c r="CH655" s="319" t="s">
        <v>190</v>
      </c>
      <c r="CI655" s="319" t="s">
        <v>190</v>
      </c>
      <c r="CJ655" s="319" t="s">
        <v>190</v>
      </c>
      <c r="CK655" s="319" t="s">
        <v>190</v>
      </c>
      <c r="CL655" s="319" t="s">
        <v>190</v>
      </c>
      <c r="CM655" s="319" t="s">
        <v>190</v>
      </c>
      <c r="CN655" s="319" t="s">
        <v>428</v>
      </c>
      <c r="CO655" s="319" t="s">
        <v>428</v>
      </c>
      <c r="CP655" s="319" t="s">
        <v>428</v>
      </c>
      <c r="CQ655" s="319" t="s">
        <v>190</v>
      </c>
      <c r="CR655" s="319" t="s">
        <v>190</v>
      </c>
      <c r="CS655" s="319" t="s">
        <v>190</v>
      </c>
      <c r="CT655" s="319" t="s">
        <v>190</v>
      </c>
      <c r="CU655" s="319" t="s">
        <v>190</v>
      </c>
      <c r="CV655" s="319" t="s">
        <v>190</v>
      </c>
      <c r="CW655" s="319" t="s">
        <v>190</v>
      </c>
      <c r="CX655" s="319" t="s">
        <v>190</v>
      </c>
      <c r="CY655" s="319" t="s">
        <v>190</v>
      </c>
      <c r="CZ655" s="319" t="s">
        <v>190</v>
      </c>
      <c r="DA655" s="319" t="s">
        <v>190</v>
      </c>
      <c r="DB655" s="319" t="s">
        <v>190</v>
      </c>
      <c r="DC655" s="319" t="s">
        <v>190</v>
      </c>
      <c r="DD655" s="319" t="s">
        <v>190</v>
      </c>
      <c r="DE655" s="319" t="s">
        <v>190</v>
      </c>
      <c r="DF655" s="319" t="s">
        <v>190</v>
      </c>
      <c r="DG655" s="319" t="s">
        <v>190</v>
      </c>
      <c r="DH655" s="319" t="s">
        <v>190</v>
      </c>
      <c r="DI655" s="319" t="s">
        <v>190</v>
      </c>
      <c r="DJ655" s="319" t="s">
        <v>190</v>
      </c>
      <c r="DK655" s="319" t="s">
        <v>190</v>
      </c>
      <c r="DL655" s="319" t="s">
        <v>190</v>
      </c>
      <c r="DM655" s="319" t="s">
        <v>190</v>
      </c>
      <c r="DN655" s="319" t="s">
        <v>428</v>
      </c>
      <c r="DO655" s="319" t="s">
        <v>428</v>
      </c>
      <c r="DP655" s="319" t="s">
        <v>190</v>
      </c>
      <c r="DQ655" s="319" t="s">
        <v>190</v>
      </c>
      <c r="DR655" s="319" t="s">
        <v>190</v>
      </c>
      <c r="DS655" s="319" t="s">
        <v>190</v>
      </c>
      <c r="DT655" s="319" t="s">
        <v>190</v>
      </c>
      <c r="DU655" s="319" t="s">
        <v>190</v>
      </c>
      <c r="DV655" s="319" t="s">
        <v>173</v>
      </c>
      <c r="DW655" s="319" t="s">
        <v>190</v>
      </c>
      <c r="DX655" s="319" t="s">
        <v>190</v>
      </c>
      <c r="DY655" s="319" t="s">
        <v>190</v>
      </c>
      <c r="DZ655" s="319" t="s">
        <v>190</v>
      </c>
      <c r="EA655" s="319" t="s">
        <v>190</v>
      </c>
      <c r="EB655" s="319" t="s">
        <v>190</v>
      </c>
      <c r="EC655" s="319" t="s">
        <v>190</v>
      </c>
      <c r="ED655" s="319" t="s">
        <v>190</v>
      </c>
      <c r="EE655" s="319" t="s">
        <v>190</v>
      </c>
      <c r="EF655" s="319" t="s">
        <v>190</v>
      </c>
      <c r="EG655" s="319" t="s">
        <v>190</v>
      </c>
      <c r="EH655" s="319" t="s">
        <v>190</v>
      </c>
      <c r="EI655" s="319" t="s">
        <v>190</v>
      </c>
      <c r="EJ655" s="319" t="s">
        <v>190</v>
      </c>
      <c r="EK655" s="319" t="s">
        <v>190</v>
      </c>
      <c r="EL655" s="319" t="s">
        <v>190</v>
      </c>
      <c r="EM655" s="319" t="s">
        <v>190</v>
      </c>
      <c r="EN655" s="319" t="s">
        <v>190</v>
      </c>
      <c r="EO655" s="319" t="s">
        <v>190</v>
      </c>
      <c r="EP655" s="319" t="s">
        <v>190</v>
      </c>
      <c r="EQ655" s="319" t="s">
        <v>190</v>
      </c>
      <c r="ER655" s="319" t="s">
        <v>190</v>
      </c>
      <c r="ES655" s="319" t="s">
        <v>190</v>
      </c>
      <c r="ET655" s="319" t="s">
        <v>190</v>
      </c>
      <c r="EU655" s="319" t="s">
        <v>190</v>
      </c>
      <c r="EV655" s="319" t="s">
        <v>190</v>
      </c>
      <c r="EW655" s="319" t="s">
        <v>190</v>
      </c>
      <c r="EX655" s="319" t="s">
        <v>190</v>
      </c>
      <c r="EY655" s="319" t="s">
        <v>190</v>
      </c>
      <c r="EZ655" s="319" t="s">
        <v>190</v>
      </c>
      <c r="FA655" s="319" t="s">
        <v>190</v>
      </c>
      <c r="FB655" s="319" t="s">
        <v>190</v>
      </c>
      <c r="FC655" s="319" t="s">
        <v>190</v>
      </c>
      <c r="FD655" s="319" t="s">
        <v>190</v>
      </c>
      <c r="FE655" s="319" t="s">
        <v>190</v>
      </c>
      <c r="FF655" s="319" t="s">
        <v>190</v>
      </c>
      <c r="FG655" s="319" t="s">
        <v>190</v>
      </c>
      <c r="FH655" s="319" t="s">
        <v>190</v>
      </c>
      <c r="FI655" s="319" t="s">
        <v>190</v>
      </c>
      <c r="FJ655" s="319" t="s">
        <v>190</v>
      </c>
      <c r="FK655" s="319" t="s">
        <v>190</v>
      </c>
      <c r="FL655" s="319" t="s">
        <v>190</v>
      </c>
      <c r="FM655" s="319" t="s">
        <v>190</v>
      </c>
      <c r="FN655" s="319" t="s">
        <v>190</v>
      </c>
      <c r="FO655" s="319" t="s">
        <v>190</v>
      </c>
      <c r="FP655" s="319" t="s">
        <v>190</v>
      </c>
      <c r="FQ655" s="319" t="s">
        <v>190</v>
      </c>
      <c r="FR655" s="319" t="s">
        <v>190</v>
      </c>
      <c r="FS655" s="319" t="s">
        <v>428</v>
      </c>
      <c r="FT655" s="319" t="s">
        <v>190</v>
      </c>
      <c r="FU655" s="319" t="s">
        <v>190</v>
      </c>
      <c r="FV655" s="319" t="s">
        <v>190</v>
      </c>
      <c r="FW655" s="319" t="s">
        <v>190</v>
      </c>
      <c r="FX655" s="319" t="s">
        <v>190</v>
      </c>
      <c r="FY655" s="319" t="s">
        <v>190</v>
      </c>
      <c r="FZ655" s="319" t="s">
        <v>190</v>
      </c>
      <c r="GA655" s="319" t="s">
        <v>190</v>
      </c>
      <c r="GB655" s="319" t="s">
        <v>190</v>
      </c>
      <c r="GC655" s="319" t="s">
        <v>190</v>
      </c>
      <c r="GD655" s="319" t="s">
        <v>190</v>
      </c>
      <c r="GE655" s="319" t="s">
        <v>190</v>
      </c>
      <c r="GF655" s="319" t="s">
        <v>190</v>
      </c>
      <c r="GG655" s="319" t="s">
        <v>190</v>
      </c>
      <c r="GH655" s="319" t="s">
        <v>190</v>
      </c>
      <c r="GI655" s="319" t="s">
        <v>190</v>
      </c>
      <c r="GJ655" s="319" t="s">
        <v>190</v>
      </c>
      <c r="GK655" s="319" t="s">
        <v>428</v>
      </c>
      <c r="GL655" s="319" t="s">
        <v>190</v>
      </c>
      <c r="GM655" s="319" t="s">
        <v>190</v>
      </c>
      <c r="GN655" s="319" t="s">
        <v>190</v>
      </c>
      <c r="GO655" s="319" t="s">
        <v>190</v>
      </c>
      <c r="GP655" s="319" t="s">
        <v>190</v>
      </c>
      <c r="GQ655" s="319" t="s">
        <v>190</v>
      </c>
      <c r="GR655" s="319" t="s">
        <v>190</v>
      </c>
      <c r="GS655" s="319" t="s">
        <v>190</v>
      </c>
      <c r="GT655" s="319" t="s">
        <v>190</v>
      </c>
      <c r="GU655" s="319" t="s">
        <v>190</v>
      </c>
      <c r="GV655" s="319" t="s">
        <v>190</v>
      </c>
      <c r="GW655" s="319" t="s">
        <v>190</v>
      </c>
      <c r="GX655" s="319" t="s">
        <v>190</v>
      </c>
      <c r="GY655" s="319" t="s">
        <v>190</v>
      </c>
      <c r="GZ655" s="319" t="s">
        <v>190</v>
      </c>
      <c r="HA655" s="319" t="s">
        <v>190</v>
      </c>
      <c r="HB655" s="319" t="s">
        <v>190</v>
      </c>
      <c r="HC655" s="319" t="s">
        <v>190</v>
      </c>
      <c r="HD655" s="319" t="s">
        <v>190</v>
      </c>
      <c r="HE655" s="319" t="s">
        <v>190</v>
      </c>
      <c r="HF655" s="319" t="s">
        <v>190</v>
      </c>
      <c r="HG655" s="319" t="s">
        <v>190</v>
      </c>
      <c r="HH655" s="319" t="s">
        <v>190</v>
      </c>
      <c r="HI655" s="319" t="s">
        <v>190</v>
      </c>
      <c r="HJ655" s="319" t="s">
        <v>190</v>
      </c>
      <c r="HK655" s="319" t="s">
        <v>190</v>
      </c>
      <c r="HL655" s="319" t="s">
        <v>190</v>
      </c>
      <c r="HM655" s="319" t="s">
        <v>190</v>
      </c>
      <c r="HN655" s="319" t="s">
        <v>190</v>
      </c>
      <c r="HO655" s="319" t="s">
        <v>190</v>
      </c>
      <c r="HP655" s="319" t="s">
        <v>190</v>
      </c>
      <c r="HQ655" s="319" t="s">
        <v>190</v>
      </c>
      <c r="HR655" s="319" t="s">
        <v>190</v>
      </c>
      <c r="HS655" s="319" t="s">
        <v>190</v>
      </c>
      <c r="HT655" s="319" t="s">
        <v>190</v>
      </c>
      <c r="HU655" s="319" t="s">
        <v>190</v>
      </c>
      <c r="HV655" s="319" t="s">
        <v>190</v>
      </c>
      <c r="HW655" s="319" t="s">
        <v>190</v>
      </c>
      <c r="HX655" s="319" t="s">
        <v>190</v>
      </c>
      <c r="HY655" s="319" t="s">
        <v>190</v>
      </c>
      <c r="HZ655" s="319" t="s">
        <v>190</v>
      </c>
      <c r="IA655" s="319" t="s">
        <v>190</v>
      </c>
      <c r="IB655" s="319" t="s">
        <v>190</v>
      </c>
      <c r="IC655" s="319" t="s">
        <v>190</v>
      </c>
      <c r="ID655" s="319" t="s">
        <v>190</v>
      </c>
      <c r="IE655" s="319" t="s">
        <v>190</v>
      </c>
      <c r="IF655" s="319" t="s">
        <v>190</v>
      </c>
      <c r="IG655" s="319" t="s">
        <v>190</v>
      </c>
      <c r="IH655" s="319" t="s">
        <v>190</v>
      </c>
      <c r="II655" s="319" t="s">
        <v>190</v>
      </c>
      <c r="IJ655" s="319" t="s">
        <v>3408</v>
      </c>
      <c r="IK655" s="321">
        <v>41044</v>
      </c>
      <c r="IL655" s="321">
        <v>41045</v>
      </c>
      <c r="IM655" s="321">
        <v>41075</v>
      </c>
      <c r="IN655" s="319">
        <v>1</v>
      </c>
      <c r="IO655" s="319" t="s">
        <v>173</v>
      </c>
      <c r="IP655" s="319" t="s">
        <v>173</v>
      </c>
      <c r="IQ655" s="319" t="s">
        <v>173</v>
      </c>
      <c r="IR655" s="320" t="s">
        <v>173</v>
      </c>
      <c r="IS655" s="320" t="s">
        <v>173</v>
      </c>
      <c r="IT655" s="319" t="s">
        <v>173</v>
      </c>
    </row>
    <row r="656" spans="1:254" s="271" customFormat="1" x14ac:dyDescent="0.25">
      <c r="A656" s="318" t="str">
        <f>HYPERLINK("http://www.ofsted.gov.uk/inspection-reports/find-inspection-report/provider/ELS/137273 ","Ofsted School Webpage")</f>
        <v>Ofsted School Webpage</v>
      </c>
      <c r="B656" s="319">
        <v>137273</v>
      </c>
      <c r="C656" s="319">
        <v>3136006</v>
      </c>
      <c r="D656" s="319" t="s">
        <v>1007</v>
      </c>
      <c r="E656" s="319" t="s">
        <v>167</v>
      </c>
      <c r="F656" s="319" t="s">
        <v>81</v>
      </c>
      <c r="G656" s="319" t="s">
        <v>72</v>
      </c>
      <c r="H656" s="319" t="s">
        <v>72</v>
      </c>
      <c r="I656" s="319" t="s">
        <v>72</v>
      </c>
      <c r="J656" s="319" t="s">
        <v>424</v>
      </c>
      <c r="K656" s="319" t="s">
        <v>441</v>
      </c>
      <c r="L656" s="319" t="s">
        <v>441</v>
      </c>
      <c r="M656" s="319" t="s">
        <v>721</v>
      </c>
      <c r="N656" s="319" t="s">
        <v>3409</v>
      </c>
      <c r="O656" s="319" t="s">
        <v>1008</v>
      </c>
      <c r="P656" s="319">
        <v>39</v>
      </c>
      <c r="Q656" s="319" t="s">
        <v>2766</v>
      </c>
      <c r="R656" s="320">
        <v>10054299</v>
      </c>
      <c r="S656" s="321">
        <v>43536</v>
      </c>
      <c r="T656" s="321">
        <v>43538</v>
      </c>
      <c r="U656" s="321">
        <v>43569</v>
      </c>
      <c r="V656" s="319" t="s">
        <v>425</v>
      </c>
      <c r="W656" s="319" t="s">
        <v>2767</v>
      </c>
      <c r="X656" s="319">
        <v>2</v>
      </c>
      <c r="Y656" s="319" t="s">
        <v>173</v>
      </c>
      <c r="Z656" s="319" t="s">
        <v>173</v>
      </c>
      <c r="AA656" s="319" t="s">
        <v>173</v>
      </c>
      <c r="AB656" s="319">
        <v>2</v>
      </c>
      <c r="AC656" s="319" t="s">
        <v>169</v>
      </c>
      <c r="AD656" s="319" t="s">
        <v>173</v>
      </c>
      <c r="AE656" s="319" t="s">
        <v>173</v>
      </c>
      <c r="AF656" s="319" t="s">
        <v>427</v>
      </c>
      <c r="AG656" s="319" t="s">
        <v>171</v>
      </c>
      <c r="AH656" s="319" t="s">
        <v>190</v>
      </c>
      <c r="AI656" s="319" t="s">
        <v>190</v>
      </c>
      <c r="AJ656" s="319" t="s">
        <v>190</v>
      </c>
      <c r="AK656" s="319" t="s">
        <v>190</v>
      </c>
      <c r="AL656" s="319" t="s">
        <v>190</v>
      </c>
      <c r="AM656" s="319" t="s">
        <v>190</v>
      </c>
      <c r="AN656" s="319" t="s">
        <v>190</v>
      </c>
      <c r="AO656" s="319" t="s">
        <v>190</v>
      </c>
      <c r="AP656" s="319" t="s">
        <v>190</v>
      </c>
      <c r="AQ656" s="319" t="s">
        <v>190</v>
      </c>
      <c r="AR656" s="319" t="s">
        <v>190</v>
      </c>
      <c r="AS656" s="319" t="s">
        <v>190</v>
      </c>
      <c r="AT656" s="319" t="s">
        <v>190</v>
      </c>
      <c r="AU656" s="319" t="s">
        <v>190</v>
      </c>
      <c r="AV656" s="319" t="s">
        <v>190</v>
      </c>
      <c r="AW656" s="319" t="s">
        <v>190</v>
      </c>
      <c r="AX656" s="319" t="s">
        <v>190</v>
      </c>
      <c r="AY656" s="319" t="s">
        <v>190</v>
      </c>
      <c r="AZ656" s="319" t="s">
        <v>190</v>
      </c>
      <c r="BA656" s="319" t="s">
        <v>190</v>
      </c>
      <c r="BB656" s="319" t="s">
        <v>428</v>
      </c>
      <c r="BC656" s="319" t="s">
        <v>428</v>
      </c>
      <c r="BD656" s="319" t="s">
        <v>428</v>
      </c>
      <c r="BE656" s="319" t="s">
        <v>428</v>
      </c>
      <c r="BF656" s="319" t="s">
        <v>190</v>
      </c>
      <c r="BG656" s="319" t="s">
        <v>190</v>
      </c>
      <c r="BH656" s="319" t="s">
        <v>190</v>
      </c>
      <c r="BI656" s="319" t="s">
        <v>190</v>
      </c>
      <c r="BJ656" s="319" t="s">
        <v>190</v>
      </c>
      <c r="BK656" s="319" t="s">
        <v>190</v>
      </c>
      <c r="BL656" s="319" t="s">
        <v>190</v>
      </c>
      <c r="BM656" s="319" t="s">
        <v>190</v>
      </c>
      <c r="BN656" s="319" t="s">
        <v>190</v>
      </c>
      <c r="BO656" s="319" t="s">
        <v>190</v>
      </c>
      <c r="BP656" s="319" t="s">
        <v>190</v>
      </c>
      <c r="BQ656" s="319" t="s">
        <v>190</v>
      </c>
      <c r="BR656" s="319" t="s">
        <v>190</v>
      </c>
      <c r="BS656" s="319" t="s">
        <v>190</v>
      </c>
      <c r="BT656" s="319" t="s">
        <v>190</v>
      </c>
      <c r="BU656" s="319" t="s">
        <v>190</v>
      </c>
      <c r="BV656" s="319" t="s">
        <v>190</v>
      </c>
      <c r="BW656" s="319" t="s">
        <v>190</v>
      </c>
      <c r="BX656" s="319" t="s">
        <v>190</v>
      </c>
      <c r="BY656" s="319" t="s">
        <v>190</v>
      </c>
      <c r="BZ656" s="319" t="s">
        <v>190</v>
      </c>
      <c r="CA656" s="319" t="s">
        <v>190</v>
      </c>
      <c r="CB656" s="319" t="s">
        <v>190</v>
      </c>
      <c r="CC656" s="319" t="s">
        <v>190</v>
      </c>
      <c r="CD656" s="319" t="s">
        <v>190</v>
      </c>
      <c r="CE656" s="319" t="s">
        <v>190</v>
      </c>
      <c r="CF656" s="319" t="s">
        <v>190</v>
      </c>
      <c r="CG656" s="319" t="s">
        <v>190</v>
      </c>
      <c r="CH656" s="319" t="s">
        <v>190</v>
      </c>
      <c r="CI656" s="319" t="s">
        <v>190</v>
      </c>
      <c r="CJ656" s="319" t="s">
        <v>190</v>
      </c>
      <c r="CK656" s="319" t="s">
        <v>190</v>
      </c>
      <c r="CL656" s="319" t="s">
        <v>190</v>
      </c>
      <c r="CM656" s="319" t="s">
        <v>190</v>
      </c>
      <c r="CN656" s="319" t="s">
        <v>190</v>
      </c>
      <c r="CO656" s="319" t="s">
        <v>428</v>
      </c>
      <c r="CP656" s="319" t="s">
        <v>428</v>
      </c>
      <c r="CQ656" s="319" t="s">
        <v>190</v>
      </c>
      <c r="CR656" s="319" t="s">
        <v>190</v>
      </c>
      <c r="CS656" s="319" t="s">
        <v>190</v>
      </c>
      <c r="CT656" s="319" t="s">
        <v>190</v>
      </c>
      <c r="CU656" s="319" t="s">
        <v>190</v>
      </c>
      <c r="CV656" s="319" t="s">
        <v>190</v>
      </c>
      <c r="CW656" s="319" t="s">
        <v>190</v>
      </c>
      <c r="CX656" s="319" t="s">
        <v>190</v>
      </c>
      <c r="CY656" s="319" t="s">
        <v>190</v>
      </c>
      <c r="CZ656" s="319" t="s">
        <v>190</v>
      </c>
      <c r="DA656" s="319" t="s">
        <v>190</v>
      </c>
      <c r="DB656" s="319" t="s">
        <v>190</v>
      </c>
      <c r="DC656" s="319" t="s">
        <v>190</v>
      </c>
      <c r="DD656" s="319" t="s">
        <v>190</v>
      </c>
      <c r="DE656" s="319" t="s">
        <v>190</v>
      </c>
      <c r="DF656" s="319" t="s">
        <v>190</v>
      </c>
      <c r="DG656" s="319" t="s">
        <v>190</v>
      </c>
      <c r="DH656" s="319" t="s">
        <v>190</v>
      </c>
      <c r="DI656" s="319" t="s">
        <v>190</v>
      </c>
      <c r="DJ656" s="319" t="s">
        <v>190</v>
      </c>
      <c r="DK656" s="319" t="s">
        <v>190</v>
      </c>
      <c r="DL656" s="319" t="s">
        <v>190</v>
      </c>
      <c r="DM656" s="319" t="s">
        <v>190</v>
      </c>
      <c r="DN656" s="319" t="s">
        <v>428</v>
      </c>
      <c r="DO656" s="319" t="s">
        <v>190</v>
      </c>
      <c r="DP656" s="319" t="s">
        <v>428</v>
      </c>
      <c r="DQ656" s="319" t="s">
        <v>428</v>
      </c>
      <c r="DR656" s="319" t="s">
        <v>428</v>
      </c>
      <c r="DS656" s="319" t="s">
        <v>428</v>
      </c>
      <c r="DT656" s="319" t="s">
        <v>428</v>
      </c>
      <c r="DU656" s="319" t="s">
        <v>428</v>
      </c>
      <c r="DV656" s="319" t="s">
        <v>173</v>
      </c>
      <c r="DW656" s="319" t="s">
        <v>428</v>
      </c>
      <c r="DX656" s="319" t="s">
        <v>428</v>
      </c>
      <c r="DY656" s="319" t="s">
        <v>428</v>
      </c>
      <c r="DZ656" s="319" t="s">
        <v>428</v>
      </c>
      <c r="EA656" s="319" t="s">
        <v>428</v>
      </c>
      <c r="EB656" s="319" t="s">
        <v>428</v>
      </c>
      <c r="EC656" s="319" t="s">
        <v>428</v>
      </c>
      <c r="ED656" s="319" t="s">
        <v>190</v>
      </c>
      <c r="EE656" s="319" t="s">
        <v>190</v>
      </c>
      <c r="EF656" s="319" t="s">
        <v>190</v>
      </c>
      <c r="EG656" s="319" t="s">
        <v>190</v>
      </c>
      <c r="EH656" s="319" t="s">
        <v>190</v>
      </c>
      <c r="EI656" s="319" t="s">
        <v>190</v>
      </c>
      <c r="EJ656" s="319" t="s">
        <v>190</v>
      </c>
      <c r="EK656" s="319" t="s">
        <v>190</v>
      </c>
      <c r="EL656" s="319" t="s">
        <v>428</v>
      </c>
      <c r="EM656" s="319" t="s">
        <v>190</v>
      </c>
      <c r="EN656" s="319" t="s">
        <v>190</v>
      </c>
      <c r="EO656" s="319" t="s">
        <v>190</v>
      </c>
      <c r="EP656" s="319" t="s">
        <v>190</v>
      </c>
      <c r="EQ656" s="319" t="s">
        <v>190</v>
      </c>
      <c r="ER656" s="319" t="s">
        <v>190</v>
      </c>
      <c r="ES656" s="319" t="s">
        <v>190</v>
      </c>
      <c r="ET656" s="319" t="s">
        <v>190</v>
      </c>
      <c r="EU656" s="319" t="s">
        <v>190</v>
      </c>
      <c r="EV656" s="319" t="s">
        <v>190</v>
      </c>
      <c r="EW656" s="319" t="s">
        <v>190</v>
      </c>
      <c r="EX656" s="319" t="s">
        <v>190</v>
      </c>
      <c r="EY656" s="319" t="s">
        <v>190</v>
      </c>
      <c r="EZ656" s="319" t="s">
        <v>190</v>
      </c>
      <c r="FA656" s="319" t="s">
        <v>190</v>
      </c>
      <c r="FB656" s="319" t="s">
        <v>428</v>
      </c>
      <c r="FC656" s="319" t="s">
        <v>428</v>
      </c>
      <c r="FD656" s="319" t="s">
        <v>428</v>
      </c>
      <c r="FE656" s="319" t="s">
        <v>428</v>
      </c>
      <c r="FF656" s="319" t="s">
        <v>428</v>
      </c>
      <c r="FG656" s="319" t="s">
        <v>428</v>
      </c>
      <c r="FH656" s="319" t="s">
        <v>190</v>
      </c>
      <c r="FI656" s="319" t="s">
        <v>190</v>
      </c>
      <c r="FJ656" s="319" t="s">
        <v>190</v>
      </c>
      <c r="FK656" s="319" t="s">
        <v>190</v>
      </c>
      <c r="FL656" s="319" t="s">
        <v>190</v>
      </c>
      <c r="FM656" s="319" t="s">
        <v>190</v>
      </c>
      <c r="FN656" s="319" t="s">
        <v>428</v>
      </c>
      <c r="FO656" s="319" t="s">
        <v>428</v>
      </c>
      <c r="FP656" s="319" t="s">
        <v>190</v>
      </c>
      <c r="FQ656" s="319" t="s">
        <v>190</v>
      </c>
      <c r="FR656" s="319" t="s">
        <v>190</v>
      </c>
      <c r="FS656" s="319" t="s">
        <v>428</v>
      </c>
      <c r="FT656" s="319" t="s">
        <v>190</v>
      </c>
      <c r="FU656" s="319" t="s">
        <v>190</v>
      </c>
      <c r="FV656" s="319" t="s">
        <v>190</v>
      </c>
      <c r="FW656" s="319" t="s">
        <v>190</v>
      </c>
      <c r="FX656" s="319" t="s">
        <v>190</v>
      </c>
      <c r="FY656" s="319" t="s">
        <v>190</v>
      </c>
      <c r="FZ656" s="319" t="s">
        <v>190</v>
      </c>
      <c r="GA656" s="319" t="s">
        <v>190</v>
      </c>
      <c r="GB656" s="319" t="s">
        <v>190</v>
      </c>
      <c r="GC656" s="319" t="s">
        <v>190</v>
      </c>
      <c r="GD656" s="319" t="s">
        <v>190</v>
      </c>
      <c r="GE656" s="319" t="s">
        <v>190</v>
      </c>
      <c r="GF656" s="319" t="s">
        <v>190</v>
      </c>
      <c r="GG656" s="319" t="s">
        <v>190</v>
      </c>
      <c r="GH656" s="319" t="s">
        <v>190</v>
      </c>
      <c r="GI656" s="319" t="s">
        <v>190</v>
      </c>
      <c r="GJ656" s="319" t="s">
        <v>190</v>
      </c>
      <c r="GK656" s="319" t="s">
        <v>428</v>
      </c>
      <c r="GL656" s="319" t="s">
        <v>190</v>
      </c>
      <c r="GM656" s="319" t="s">
        <v>190</v>
      </c>
      <c r="GN656" s="319" t="s">
        <v>190</v>
      </c>
      <c r="GO656" s="319" t="s">
        <v>190</v>
      </c>
      <c r="GP656" s="319" t="s">
        <v>190</v>
      </c>
      <c r="GQ656" s="319" t="s">
        <v>190</v>
      </c>
      <c r="GR656" s="319" t="s">
        <v>190</v>
      </c>
      <c r="GS656" s="319" t="s">
        <v>190</v>
      </c>
      <c r="GT656" s="319" t="s">
        <v>190</v>
      </c>
      <c r="GU656" s="319" t="s">
        <v>190</v>
      </c>
      <c r="GV656" s="319" t="s">
        <v>190</v>
      </c>
      <c r="GW656" s="319" t="s">
        <v>190</v>
      </c>
      <c r="GX656" s="319" t="s">
        <v>190</v>
      </c>
      <c r="GY656" s="319" t="s">
        <v>190</v>
      </c>
      <c r="GZ656" s="319" t="s">
        <v>190</v>
      </c>
      <c r="HA656" s="319" t="s">
        <v>428</v>
      </c>
      <c r="HB656" s="319" t="s">
        <v>428</v>
      </c>
      <c r="HC656" s="319" t="s">
        <v>190</v>
      </c>
      <c r="HD656" s="319" t="s">
        <v>190</v>
      </c>
      <c r="HE656" s="319" t="s">
        <v>190</v>
      </c>
      <c r="HF656" s="319" t="s">
        <v>190</v>
      </c>
      <c r="HG656" s="319" t="s">
        <v>190</v>
      </c>
      <c r="HH656" s="319" t="s">
        <v>190</v>
      </c>
      <c r="HI656" s="319" t="s">
        <v>190</v>
      </c>
      <c r="HJ656" s="319" t="s">
        <v>190</v>
      </c>
      <c r="HK656" s="319" t="s">
        <v>190</v>
      </c>
      <c r="HL656" s="319" t="s">
        <v>190</v>
      </c>
      <c r="HM656" s="319" t="s">
        <v>190</v>
      </c>
      <c r="HN656" s="319" t="s">
        <v>190</v>
      </c>
      <c r="HO656" s="319" t="s">
        <v>190</v>
      </c>
      <c r="HP656" s="319" t="s">
        <v>190</v>
      </c>
      <c r="HQ656" s="319" t="s">
        <v>190</v>
      </c>
      <c r="HR656" s="319" t="s">
        <v>190</v>
      </c>
      <c r="HS656" s="319" t="s">
        <v>190</v>
      </c>
      <c r="HT656" s="319" t="s">
        <v>190</v>
      </c>
      <c r="HU656" s="319" t="s">
        <v>190</v>
      </c>
      <c r="HV656" s="319" t="s">
        <v>190</v>
      </c>
      <c r="HW656" s="319" t="s">
        <v>190</v>
      </c>
      <c r="HX656" s="319" t="s">
        <v>190</v>
      </c>
      <c r="HY656" s="319" t="s">
        <v>190</v>
      </c>
      <c r="HZ656" s="319" t="s">
        <v>190</v>
      </c>
      <c r="IA656" s="319" t="s">
        <v>190</v>
      </c>
      <c r="IB656" s="319" t="s">
        <v>190</v>
      </c>
      <c r="IC656" s="319" t="s">
        <v>190</v>
      </c>
      <c r="ID656" s="319" t="s">
        <v>190</v>
      </c>
      <c r="IE656" s="319" t="s">
        <v>190</v>
      </c>
      <c r="IF656" s="319" t="s">
        <v>190</v>
      </c>
      <c r="IG656" s="319" t="s">
        <v>190</v>
      </c>
      <c r="IH656" s="319" t="s">
        <v>190</v>
      </c>
      <c r="II656" s="319" t="s">
        <v>190</v>
      </c>
      <c r="IJ656" s="319">
        <v>10020783</v>
      </c>
      <c r="IK656" s="321">
        <v>42717</v>
      </c>
      <c r="IL656" s="321">
        <v>42719</v>
      </c>
      <c r="IM656" s="321">
        <v>42752</v>
      </c>
      <c r="IN656" s="319">
        <v>3</v>
      </c>
      <c r="IO656" s="319" t="s">
        <v>173</v>
      </c>
      <c r="IP656" s="319" t="s">
        <v>173</v>
      </c>
      <c r="IQ656" s="319" t="s">
        <v>173</v>
      </c>
      <c r="IR656" s="320" t="s">
        <v>173</v>
      </c>
      <c r="IS656" s="320" t="s">
        <v>173</v>
      </c>
      <c r="IT656" s="319" t="s">
        <v>173</v>
      </c>
    </row>
    <row r="657" spans="1:254" s="271" customFormat="1" x14ac:dyDescent="0.25">
      <c r="A657" s="318" t="str">
        <f>HYPERLINK("http://www.ofsted.gov.uk/inspection-reports/find-inspection-report/provider/ELS/137275 ","Ofsted School Webpage")</f>
        <v>Ofsted School Webpage</v>
      </c>
      <c r="B657" s="319">
        <v>137275</v>
      </c>
      <c r="C657" s="319">
        <v>3556059</v>
      </c>
      <c r="D657" s="319" t="s">
        <v>2122</v>
      </c>
      <c r="E657" s="319" t="s">
        <v>167</v>
      </c>
      <c r="F657" s="319" t="s">
        <v>81</v>
      </c>
      <c r="G657" s="319" t="s">
        <v>81</v>
      </c>
      <c r="H657" s="319" t="s">
        <v>81</v>
      </c>
      <c r="I657" s="319" t="s">
        <v>78</v>
      </c>
      <c r="J657" s="319" t="s">
        <v>424</v>
      </c>
      <c r="K657" s="319" t="s">
        <v>431</v>
      </c>
      <c r="L657" s="319" t="s">
        <v>431</v>
      </c>
      <c r="M657" s="319" t="s">
        <v>533</v>
      </c>
      <c r="N657" s="319" t="s">
        <v>3410</v>
      </c>
      <c r="O657" s="319" t="s">
        <v>2123</v>
      </c>
      <c r="P657" s="319">
        <v>0</v>
      </c>
      <c r="Q657" s="319" t="s">
        <v>2766</v>
      </c>
      <c r="R657" s="320">
        <v>10067909</v>
      </c>
      <c r="S657" s="321">
        <v>43529</v>
      </c>
      <c r="T657" s="321">
        <v>43531</v>
      </c>
      <c r="U657" s="321">
        <v>43577</v>
      </c>
      <c r="V657" s="319" t="s">
        <v>425</v>
      </c>
      <c r="W657" s="319" t="s">
        <v>2767</v>
      </c>
      <c r="X657" s="319">
        <v>2</v>
      </c>
      <c r="Y657" s="319" t="s">
        <v>173</v>
      </c>
      <c r="Z657" s="319" t="s">
        <v>173</v>
      </c>
      <c r="AA657" s="319" t="s">
        <v>173</v>
      </c>
      <c r="AB657" s="319">
        <v>2</v>
      </c>
      <c r="AC657" s="319" t="s">
        <v>169</v>
      </c>
      <c r="AD657" s="319" t="s">
        <v>173</v>
      </c>
      <c r="AE657" s="319" t="s">
        <v>173</v>
      </c>
      <c r="AF657" s="319" t="s">
        <v>427</v>
      </c>
      <c r="AG657" s="319" t="s">
        <v>171</v>
      </c>
      <c r="AH657" s="319" t="s">
        <v>190</v>
      </c>
      <c r="AI657" s="319" t="s">
        <v>190</v>
      </c>
      <c r="AJ657" s="319" t="s">
        <v>190</v>
      </c>
      <c r="AK657" s="319" t="s">
        <v>190</v>
      </c>
      <c r="AL657" s="319" t="s">
        <v>190</v>
      </c>
      <c r="AM657" s="319" t="s">
        <v>190</v>
      </c>
      <c r="AN657" s="319" t="s">
        <v>190</v>
      </c>
      <c r="AO657" s="319" t="s">
        <v>190</v>
      </c>
      <c r="AP657" s="319" t="s">
        <v>190</v>
      </c>
      <c r="AQ657" s="319" t="s">
        <v>190</v>
      </c>
      <c r="AR657" s="319" t="s">
        <v>190</v>
      </c>
      <c r="AS657" s="319" t="s">
        <v>190</v>
      </c>
      <c r="AT657" s="319" t="s">
        <v>190</v>
      </c>
      <c r="AU657" s="319" t="s">
        <v>190</v>
      </c>
      <c r="AV657" s="319" t="s">
        <v>190</v>
      </c>
      <c r="AW657" s="319" t="s">
        <v>190</v>
      </c>
      <c r="AX657" s="319" t="s">
        <v>428</v>
      </c>
      <c r="AY657" s="319" t="s">
        <v>190</v>
      </c>
      <c r="AZ657" s="319" t="s">
        <v>190</v>
      </c>
      <c r="BA657" s="319" t="s">
        <v>190</v>
      </c>
      <c r="BB657" s="319" t="s">
        <v>190</v>
      </c>
      <c r="BC657" s="319" t="s">
        <v>190</v>
      </c>
      <c r="BD657" s="319" t="s">
        <v>190</v>
      </c>
      <c r="BE657" s="319" t="s">
        <v>190</v>
      </c>
      <c r="BF657" s="319" t="s">
        <v>428</v>
      </c>
      <c r="BG657" s="319" t="s">
        <v>428</v>
      </c>
      <c r="BH657" s="319" t="s">
        <v>190</v>
      </c>
      <c r="BI657" s="319" t="s">
        <v>190</v>
      </c>
      <c r="BJ657" s="319" t="s">
        <v>190</v>
      </c>
      <c r="BK657" s="319" t="s">
        <v>190</v>
      </c>
      <c r="BL657" s="319" t="s">
        <v>190</v>
      </c>
      <c r="BM657" s="319" t="s">
        <v>190</v>
      </c>
      <c r="BN657" s="319" t="s">
        <v>190</v>
      </c>
      <c r="BO657" s="319" t="s">
        <v>190</v>
      </c>
      <c r="BP657" s="319" t="s">
        <v>190</v>
      </c>
      <c r="BQ657" s="319" t="s">
        <v>190</v>
      </c>
      <c r="BR657" s="319" t="s">
        <v>190</v>
      </c>
      <c r="BS657" s="319" t="s">
        <v>190</v>
      </c>
      <c r="BT657" s="319" t="s">
        <v>190</v>
      </c>
      <c r="BU657" s="319" t="s">
        <v>190</v>
      </c>
      <c r="BV657" s="319" t="s">
        <v>190</v>
      </c>
      <c r="BW657" s="319" t="s">
        <v>190</v>
      </c>
      <c r="BX657" s="319" t="s">
        <v>190</v>
      </c>
      <c r="BY657" s="319" t="s">
        <v>190</v>
      </c>
      <c r="BZ657" s="319" t="s">
        <v>190</v>
      </c>
      <c r="CA657" s="319" t="s">
        <v>190</v>
      </c>
      <c r="CB657" s="319" t="s">
        <v>190</v>
      </c>
      <c r="CC657" s="319" t="s">
        <v>190</v>
      </c>
      <c r="CD657" s="319" t="s">
        <v>190</v>
      </c>
      <c r="CE657" s="319" t="s">
        <v>190</v>
      </c>
      <c r="CF657" s="319" t="s">
        <v>190</v>
      </c>
      <c r="CG657" s="319" t="s">
        <v>190</v>
      </c>
      <c r="CH657" s="319" t="s">
        <v>190</v>
      </c>
      <c r="CI657" s="319" t="s">
        <v>190</v>
      </c>
      <c r="CJ657" s="319" t="s">
        <v>190</v>
      </c>
      <c r="CK657" s="319" t="s">
        <v>190</v>
      </c>
      <c r="CL657" s="319" t="s">
        <v>190</v>
      </c>
      <c r="CM657" s="319" t="s">
        <v>190</v>
      </c>
      <c r="CN657" s="319" t="s">
        <v>190</v>
      </c>
      <c r="CO657" s="319" t="s">
        <v>428</v>
      </c>
      <c r="CP657" s="319" t="s">
        <v>428</v>
      </c>
      <c r="CQ657" s="319" t="s">
        <v>190</v>
      </c>
      <c r="CR657" s="319" t="s">
        <v>190</v>
      </c>
      <c r="CS657" s="319" t="s">
        <v>190</v>
      </c>
      <c r="CT657" s="319" t="s">
        <v>190</v>
      </c>
      <c r="CU657" s="319" t="s">
        <v>190</v>
      </c>
      <c r="CV657" s="319" t="s">
        <v>190</v>
      </c>
      <c r="CW657" s="319" t="s">
        <v>190</v>
      </c>
      <c r="CX657" s="319" t="s">
        <v>190</v>
      </c>
      <c r="CY657" s="319" t="s">
        <v>190</v>
      </c>
      <c r="CZ657" s="319" t="s">
        <v>190</v>
      </c>
      <c r="DA657" s="319" t="s">
        <v>190</v>
      </c>
      <c r="DB657" s="319" t="s">
        <v>190</v>
      </c>
      <c r="DC657" s="319" t="s">
        <v>190</v>
      </c>
      <c r="DD657" s="319" t="s">
        <v>190</v>
      </c>
      <c r="DE657" s="319" t="s">
        <v>190</v>
      </c>
      <c r="DF657" s="319" t="s">
        <v>190</v>
      </c>
      <c r="DG657" s="319" t="s">
        <v>190</v>
      </c>
      <c r="DH657" s="319" t="s">
        <v>190</v>
      </c>
      <c r="DI657" s="319" t="s">
        <v>190</v>
      </c>
      <c r="DJ657" s="319" t="s">
        <v>190</v>
      </c>
      <c r="DK657" s="319" t="s">
        <v>190</v>
      </c>
      <c r="DL657" s="319" t="s">
        <v>190</v>
      </c>
      <c r="DM657" s="319" t="s">
        <v>190</v>
      </c>
      <c r="DN657" s="319" t="s">
        <v>190</v>
      </c>
      <c r="DO657" s="319" t="s">
        <v>190</v>
      </c>
      <c r="DP657" s="319" t="s">
        <v>190</v>
      </c>
      <c r="DQ657" s="319" t="s">
        <v>190</v>
      </c>
      <c r="DR657" s="319" t="s">
        <v>190</v>
      </c>
      <c r="DS657" s="319" t="s">
        <v>190</v>
      </c>
      <c r="DT657" s="319" t="s">
        <v>190</v>
      </c>
      <c r="DU657" s="319" t="s">
        <v>190</v>
      </c>
      <c r="DV657" s="319" t="s">
        <v>173</v>
      </c>
      <c r="DW657" s="319" t="s">
        <v>190</v>
      </c>
      <c r="DX657" s="319" t="s">
        <v>190</v>
      </c>
      <c r="DY657" s="319" t="s">
        <v>190</v>
      </c>
      <c r="DZ657" s="319" t="s">
        <v>190</v>
      </c>
      <c r="EA657" s="319" t="s">
        <v>190</v>
      </c>
      <c r="EB657" s="319" t="s">
        <v>190</v>
      </c>
      <c r="EC657" s="319" t="s">
        <v>428</v>
      </c>
      <c r="ED657" s="319" t="s">
        <v>190</v>
      </c>
      <c r="EE657" s="319" t="s">
        <v>190</v>
      </c>
      <c r="EF657" s="319" t="s">
        <v>190</v>
      </c>
      <c r="EG657" s="319" t="s">
        <v>190</v>
      </c>
      <c r="EH657" s="319" t="s">
        <v>190</v>
      </c>
      <c r="EI657" s="319" t="s">
        <v>190</v>
      </c>
      <c r="EJ657" s="319" t="s">
        <v>190</v>
      </c>
      <c r="EK657" s="319" t="s">
        <v>190</v>
      </c>
      <c r="EL657" s="319" t="s">
        <v>190</v>
      </c>
      <c r="EM657" s="319" t="s">
        <v>190</v>
      </c>
      <c r="EN657" s="319" t="s">
        <v>190</v>
      </c>
      <c r="EO657" s="319" t="s">
        <v>190</v>
      </c>
      <c r="EP657" s="319" t="s">
        <v>190</v>
      </c>
      <c r="EQ657" s="319" t="s">
        <v>190</v>
      </c>
      <c r="ER657" s="319" t="s">
        <v>190</v>
      </c>
      <c r="ES657" s="319" t="s">
        <v>190</v>
      </c>
      <c r="ET657" s="319" t="s">
        <v>190</v>
      </c>
      <c r="EU657" s="319" t="s">
        <v>190</v>
      </c>
      <c r="EV657" s="319" t="s">
        <v>190</v>
      </c>
      <c r="EW657" s="319" t="s">
        <v>190</v>
      </c>
      <c r="EX657" s="319" t="s">
        <v>190</v>
      </c>
      <c r="EY657" s="319" t="s">
        <v>190</v>
      </c>
      <c r="EZ657" s="319" t="s">
        <v>190</v>
      </c>
      <c r="FA657" s="319" t="s">
        <v>190</v>
      </c>
      <c r="FB657" s="319" t="s">
        <v>190</v>
      </c>
      <c r="FC657" s="319" t="s">
        <v>190</v>
      </c>
      <c r="FD657" s="319" t="s">
        <v>190</v>
      </c>
      <c r="FE657" s="319" t="s">
        <v>190</v>
      </c>
      <c r="FF657" s="319" t="s">
        <v>190</v>
      </c>
      <c r="FG657" s="319" t="s">
        <v>190</v>
      </c>
      <c r="FH657" s="319" t="s">
        <v>190</v>
      </c>
      <c r="FI657" s="319" t="s">
        <v>190</v>
      </c>
      <c r="FJ657" s="319" t="s">
        <v>190</v>
      </c>
      <c r="FK657" s="319" t="s">
        <v>190</v>
      </c>
      <c r="FL657" s="319" t="s">
        <v>190</v>
      </c>
      <c r="FM657" s="319" t="s">
        <v>190</v>
      </c>
      <c r="FN657" s="319" t="s">
        <v>190</v>
      </c>
      <c r="FO657" s="319" t="s">
        <v>190</v>
      </c>
      <c r="FP657" s="319" t="s">
        <v>190</v>
      </c>
      <c r="FQ657" s="319" t="s">
        <v>190</v>
      </c>
      <c r="FR657" s="319" t="s">
        <v>190</v>
      </c>
      <c r="FS657" s="319" t="s">
        <v>428</v>
      </c>
      <c r="FT657" s="319" t="s">
        <v>190</v>
      </c>
      <c r="FU657" s="319" t="s">
        <v>190</v>
      </c>
      <c r="FV657" s="319" t="s">
        <v>190</v>
      </c>
      <c r="FW657" s="319" t="s">
        <v>190</v>
      </c>
      <c r="FX657" s="319" t="s">
        <v>190</v>
      </c>
      <c r="FY657" s="319" t="s">
        <v>190</v>
      </c>
      <c r="FZ657" s="319" t="s">
        <v>190</v>
      </c>
      <c r="GA657" s="319" t="s">
        <v>190</v>
      </c>
      <c r="GB657" s="319" t="s">
        <v>190</v>
      </c>
      <c r="GC657" s="319" t="s">
        <v>190</v>
      </c>
      <c r="GD657" s="319" t="s">
        <v>190</v>
      </c>
      <c r="GE657" s="319" t="s">
        <v>190</v>
      </c>
      <c r="GF657" s="319" t="s">
        <v>190</v>
      </c>
      <c r="GG657" s="319" t="s">
        <v>190</v>
      </c>
      <c r="GH657" s="319" t="s">
        <v>190</v>
      </c>
      <c r="GI657" s="319" t="s">
        <v>190</v>
      </c>
      <c r="GJ657" s="319" t="s">
        <v>190</v>
      </c>
      <c r="GK657" s="319" t="s">
        <v>428</v>
      </c>
      <c r="GL657" s="319" t="s">
        <v>190</v>
      </c>
      <c r="GM657" s="319" t="s">
        <v>190</v>
      </c>
      <c r="GN657" s="319" t="s">
        <v>190</v>
      </c>
      <c r="GO657" s="319" t="s">
        <v>190</v>
      </c>
      <c r="GP657" s="319" t="s">
        <v>190</v>
      </c>
      <c r="GQ657" s="319" t="s">
        <v>190</v>
      </c>
      <c r="GR657" s="319" t="s">
        <v>190</v>
      </c>
      <c r="GS657" s="319" t="s">
        <v>190</v>
      </c>
      <c r="GT657" s="319" t="s">
        <v>190</v>
      </c>
      <c r="GU657" s="319" t="s">
        <v>190</v>
      </c>
      <c r="GV657" s="319" t="s">
        <v>190</v>
      </c>
      <c r="GW657" s="319" t="s">
        <v>190</v>
      </c>
      <c r="GX657" s="319" t="s">
        <v>190</v>
      </c>
      <c r="GY657" s="319" t="s">
        <v>190</v>
      </c>
      <c r="GZ657" s="319" t="s">
        <v>190</v>
      </c>
      <c r="HA657" s="319" t="s">
        <v>190</v>
      </c>
      <c r="HB657" s="319" t="s">
        <v>190</v>
      </c>
      <c r="HC657" s="319" t="s">
        <v>190</v>
      </c>
      <c r="HD657" s="319" t="s">
        <v>190</v>
      </c>
      <c r="HE657" s="319" t="s">
        <v>190</v>
      </c>
      <c r="HF657" s="319" t="s">
        <v>190</v>
      </c>
      <c r="HG657" s="319" t="s">
        <v>190</v>
      </c>
      <c r="HH657" s="319" t="s">
        <v>190</v>
      </c>
      <c r="HI657" s="319" t="s">
        <v>190</v>
      </c>
      <c r="HJ657" s="319" t="s">
        <v>190</v>
      </c>
      <c r="HK657" s="319" t="s">
        <v>190</v>
      </c>
      <c r="HL657" s="319" t="s">
        <v>190</v>
      </c>
      <c r="HM657" s="319" t="s">
        <v>190</v>
      </c>
      <c r="HN657" s="319" t="s">
        <v>190</v>
      </c>
      <c r="HO657" s="319" t="s">
        <v>190</v>
      </c>
      <c r="HP657" s="319" t="s">
        <v>190</v>
      </c>
      <c r="HQ657" s="319" t="s">
        <v>190</v>
      </c>
      <c r="HR657" s="319" t="s">
        <v>190</v>
      </c>
      <c r="HS657" s="319" t="s">
        <v>190</v>
      </c>
      <c r="HT657" s="319" t="s">
        <v>190</v>
      </c>
      <c r="HU657" s="319" t="s">
        <v>190</v>
      </c>
      <c r="HV657" s="319" t="s">
        <v>190</v>
      </c>
      <c r="HW657" s="319" t="s">
        <v>190</v>
      </c>
      <c r="HX657" s="319" t="s">
        <v>190</v>
      </c>
      <c r="HY657" s="319" t="s">
        <v>190</v>
      </c>
      <c r="HZ657" s="319" t="s">
        <v>190</v>
      </c>
      <c r="IA657" s="319" t="s">
        <v>190</v>
      </c>
      <c r="IB657" s="319" t="s">
        <v>190</v>
      </c>
      <c r="IC657" s="319" t="s">
        <v>190</v>
      </c>
      <c r="ID657" s="319" t="s">
        <v>190</v>
      </c>
      <c r="IE657" s="319" t="s">
        <v>190</v>
      </c>
      <c r="IF657" s="319" t="s">
        <v>190</v>
      </c>
      <c r="IG657" s="319" t="s">
        <v>190</v>
      </c>
      <c r="IH657" s="319" t="s">
        <v>190</v>
      </c>
      <c r="II657" s="319" t="s">
        <v>190</v>
      </c>
      <c r="IJ657" s="319">
        <v>10006128</v>
      </c>
      <c r="IK657" s="321">
        <v>42437</v>
      </c>
      <c r="IL657" s="321">
        <v>42438</v>
      </c>
      <c r="IM657" s="321">
        <v>42461</v>
      </c>
      <c r="IN657" s="319">
        <v>2</v>
      </c>
      <c r="IO657" s="319" t="s">
        <v>173</v>
      </c>
      <c r="IP657" s="319" t="s">
        <v>173</v>
      </c>
      <c r="IQ657" s="321" t="s">
        <v>173</v>
      </c>
      <c r="IR657" s="320" t="s">
        <v>173</v>
      </c>
      <c r="IS657" s="322" t="s">
        <v>173</v>
      </c>
      <c r="IT657" s="319" t="s">
        <v>173</v>
      </c>
    </row>
    <row r="658" spans="1:254" s="271" customFormat="1" x14ac:dyDescent="0.25">
      <c r="A658" s="318" t="str">
        <f>HYPERLINK("http://www.ofsted.gov.uk/inspection-reports/find-inspection-report/provider/ELS/137279 ","Ofsted School Webpage")</f>
        <v>Ofsted School Webpage</v>
      </c>
      <c r="B658" s="319">
        <v>137279</v>
      </c>
      <c r="C658" s="319">
        <v>8506089</v>
      </c>
      <c r="D658" s="319" t="s">
        <v>2124</v>
      </c>
      <c r="E658" s="319" t="s">
        <v>168</v>
      </c>
      <c r="F658" s="319" t="s">
        <v>81</v>
      </c>
      <c r="G658" s="319" t="s">
        <v>81</v>
      </c>
      <c r="H658" s="319" t="s">
        <v>81</v>
      </c>
      <c r="I658" s="319" t="s">
        <v>78</v>
      </c>
      <c r="J658" s="319" t="s">
        <v>424</v>
      </c>
      <c r="K658" s="319" t="s">
        <v>514</v>
      </c>
      <c r="L658" s="319" t="s">
        <v>514</v>
      </c>
      <c r="M658" s="319" t="s">
        <v>515</v>
      </c>
      <c r="N658" s="319" t="s">
        <v>2952</v>
      </c>
      <c r="O658" s="319" t="s">
        <v>2125</v>
      </c>
      <c r="P658" s="319">
        <v>47</v>
      </c>
      <c r="Q658" s="319" t="s">
        <v>429</v>
      </c>
      <c r="R658" s="320">
        <v>10008605</v>
      </c>
      <c r="S658" s="321">
        <v>43004</v>
      </c>
      <c r="T658" s="321">
        <v>43006</v>
      </c>
      <c r="U658" s="321">
        <v>43045</v>
      </c>
      <c r="V658" s="319" t="s">
        <v>425</v>
      </c>
      <c r="W658" s="319" t="s">
        <v>2767</v>
      </c>
      <c r="X658" s="319">
        <v>1</v>
      </c>
      <c r="Y658" s="319" t="s">
        <v>173</v>
      </c>
      <c r="Z658" s="319" t="s">
        <v>173</v>
      </c>
      <c r="AA658" s="319" t="s">
        <v>173</v>
      </c>
      <c r="AB658" s="319">
        <v>1</v>
      </c>
      <c r="AC658" s="319" t="s">
        <v>169</v>
      </c>
      <c r="AD658" s="319" t="s">
        <v>173</v>
      </c>
      <c r="AE658" s="319" t="s">
        <v>173</v>
      </c>
      <c r="AF658" s="319" t="s">
        <v>173</v>
      </c>
      <c r="AG658" s="319" t="s">
        <v>171</v>
      </c>
      <c r="AH658" s="319" t="s">
        <v>190</v>
      </c>
      <c r="AI658" s="319" t="s">
        <v>190</v>
      </c>
      <c r="AJ658" s="319" t="s">
        <v>190</v>
      </c>
      <c r="AK658" s="319" t="s">
        <v>190</v>
      </c>
      <c r="AL658" s="319" t="s">
        <v>190</v>
      </c>
      <c r="AM658" s="319" t="s">
        <v>190</v>
      </c>
      <c r="AN658" s="319" t="s">
        <v>190</v>
      </c>
      <c r="AO658" s="319" t="s">
        <v>190</v>
      </c>
      <c r="AP658" s="319" t="s">
        <v>190</v>
      </c>
      <c r="AQ658" s="319" t="s">
        <v>190</v>
      </c>
      <c r="AR658" s="319" t="s">
        <v>190</v>
      </c>
      <c r="AS658" s="319" t="s">
        <v>190</v>
      </c>
      <c r="AT658" s="319" t="s">
        <v>190</v>
      </c>
      <c r="AU658" s="319" t="s">
        <v>190</v>
      </c>
      <c r="AV658" s="319" t="s">
        <v>190</v>
      </c>
      <c r="AW658" s="319" t="s">
        <v>190</v>
      </c>
      <c r="AX658" s="319" t="s">
        <v>190</v>
      </c>
      <c r="AY658" s="319" t="s">
        <v>190</v>
      </c>
      <c r="AZ658" s="319" t="s">
        <v>190</v>
      </c>
      <c r="BA658" s="319" t="s">
        <v>190</v>
      </c>
      <c r="BB658" s="319" t="s">
        <v>190</v>
      </c>
      <c r="BC658" s="319" t="s">
        <v>190</v>
      </c>
      <c r="BD658" s="319" t="s">
        <v>190</v>
      </c>
      <c r="BE658" s="319" t="s">
        <v>190</v>
      </c>
      <c r="BF658" s="319" t="s">
        <v>429</v>
      </c>
      <c r="BG658" s="319" t="s">
        <v>190</v>
      </c>
      <c r="BH658" s="319" t="s">
        <v>190</v>
      </c>
      <c r="BI658" s="319" t="s">
        <v>190</v>
      </c>
      <c r="BJ658" s="319" t="s">
        <v>190</v>
      </c>
      <c r="BK658" s="319" t="s">
        <v>190</v>
      </c>
      <c r="BL658" s="319" t="s">
        <v>190</v>
      </c>
      <c r="BM658" s="319" t="s">
        <v>190</v>
      </c>
      <c r="BN658" s="319" t="s">
        <v>190</v>
      </c>
      <c r="BO658" s="319" t="s">
        <v>190</v>
      </c>
      <c r="BP658" s="319" t="s">
        <v>190</v>
      </c>
      <c r="BQ658" s="319" t="s">
        <v>190</v>
      </c>
      <c r="BR658" s="319" t="s">
        <v>190</v>
      </c>
      <c r="BS658" s="319" t="s">
        <v>190</v>
      </c>
      <c r="BT658" s="319" t="s">
        <v>190</v>
      </c>
      <c r="BU658" s="319" t="s">
        <v>190</v>
      </c>
      <c r="BV658" s="319" t="s">
        <v>190</v>
      </c>
      <c r="BW658" s="319" t="s">
        <v>190</v>
      </c>
      <c r="BX658" s="319" t="s">
        <v>190</v>
      </c>
      <c r="BY658" s="319" t="s">
        <v>190</v>
      </c>
      <c r="BZ658" s="319" t="s">
        <v>190</v>
      </c>
      <c r="CA658" s="319" t="s">
        <v>190</v>
      </c>
      <c r="CB658" s="319" t="s">
        <v>190</v>
      </c>
      <c r="CC658" s="319" t="s">
        <v>190</v>
      </c>
      <c r="CD658" s="319" t="s">
        <v>190</v>
      </c>
      <c r="CE658" s="319" t="s">
        <v>190</v>
      </c>
      <c r="CF658" s="319" t="s">
        <v>190</v>
      </c>
      <c r="CG658" s="319" t="s">
        <v>190</v>
      </c>
      <c r="CH658" s="319" t="s">
        <v>190</v>
      </c>
      <c r="CI658" s="319" t="s">
        <v>190</v>
      </c>
      <c r="CJ658" s="319" t="s">
        <v>190</v>
      </c>
      <c r="CK658" s="319" t="s">
        <v>190</v>
      </c>
      <c r="CL658" s="319" t="s">
        <v>190</v>
      </c>
      <c r="CM658" s="319" t="s">
        <v>190</v>
      </c>
      <c r="CN658" s="319" t="s">
        <v>429</v>
      </c>
      <c r="CO658" s="319" t="s">
        <v>429</v>
      </c>
      <c r="CP658" s="319" t="s">
        <v>429</v>
      </c>
      <c r="CQ658" s="319" t="s">
        <v>190</v>
      </c>
      <c r="CR658" s="319" t="s">
        <v>190</v>
      </c>
      <c r="CS658" s="319" t="s">
        <v>190</v>
      </c>
      <c r="CT658" s="319" t="s">
        <v>190</v>
      </c>
      <c r="CU658" s="319" t="s">
        <v>190</v>
      </c>
      <c r="CV658" s="319" t="s">
        <v>190</v>
      </c>
      <c r="CW658" s="319" t="s">
        <v>190</v>
      </c>
      <c r="CX658" s="319" t="s">
        <v>190</v>
      </c>
      <c r="CY658" s="319" t="s">
        <v>190</v>
      </c>
      <c r="CZ658" s="319" t="s">
        <v>190</v>
      </c>
      <c r="DA658" s="319" t="s">
        <v>190</v>
      </c>
      <c r="DB658" s="319" t="s">
        <v>190</v>
      </c>
      <c r="DC658" s="319" t="s">
        <v>190</v>
      </c>
      <c r="DD658" s="319" t="s">
        <v>190</v>
      </c>
      <c r="DE658" s="319" t="s">
        <v>190</v>
      </c>
      <c r="DF658" s="319" t="s">
        <v>190</v>
      </c>
      <c r="DG658" s="319" t="s">
        <v>190</v>
      </c>
      <c r="DH658" s="319" t="s">
        <v>190</v>
      </c>
      <c r="DI658" s="319" t="s">
        <v>190</v>
      </c>
      <c r="DJ658" s="319" t="s">
        <v>190</v>
      </c>
      <c r="DK658" s="319" t="s">
        <v>190</v>
      </c>
      <c r="DL658" s="319" t="s">
        <v>190</v>
      </c>
      <c r="DM658" s="319" t="s">
        <v>190</v>
      </c>
      <c r="DN658" s="319" t="s">
        <v>429</v>
      </c>
      <c r="DO658" s="319" t="s">
        <v>190</v>
      </c>
      <c r="DP658" s="319" t="s">
        <v>190</v>
      </c>
      <c r="DQ658" s="319" t="s">
        <v>190</v>
      </c>
      <c r="DR658" s="319" t="s">
        <v>190</v>
      </c>
      <c r="DS658" s="319" t="s">
        <v>190</v>
      </c>
      <c r="DT658" s="319" t="s">
        <v>190</v>
      </c>
      <c r="DU658" s="319" t="s">
        <v>190</v>
      </c>
      <c r="DV658" s="319" t="s">
        <v>173</v>
      </c>
      <c r="DW658" s="319" t="s">
        <v>190</v>
      </c>
      <c r="DX658" s="319" t="s">
        <v>190</v>
      </c>
      <c r="DY658" s="319" t="s">
        <v>190</v>
      </c>
      <c r="DZ658" s="319" t="s">
        <v>190</v>
      </c>
      <c r="EA658" s="319" t="s">
        <v>190</v>
      </c>
      <c r="EB658" s="319" t="s">
        <v>190</v>
      </c>
      <c r="EC658" s="319" t="s">
        <v>429</v>
      </c>
      <c r="ED658" s="319" t="s">
        <v>190</v>
      </c>
      <c r="EE658" s="319" t="s">
        <v>190</v>
      </c>
      <c r="EF658" s="319" t="s">
        <v>190</v>
      </c>
      <c r="EG658" s="319" t="s">
        <v>190</v>
      </c>
      <c r="EH658" s="319" t="s">
        <v>190</v>
      </c>
      <c r="EI658" s="319" t="s">
        <v>190</v>
      </c>
      <c r="EJ658" s="319" t="s">
        <v>190</v>
      </c>
      <c r="EK658" s="319" t="s">
        <v>190</v>
      </c>
      <c r="EL658" s="319" t="s">
        <v>190</v>
      </c>
      <c r="EM658" s="319" t="s">
        <v>190</v>
      </c>
      <c r="EN658" s="319" t="s">
        <v>190</v>
      </c>
      <c r="EO658" s="319" t="s">
        <v>190</v>
      </c>
      <c r="EP658" s="319" t="s">
        <v>190</v>
      </c>
      <c r="EQ658" s="319" t="s">
        <v>190</v>
      </c>
      <c r="ER658" s="319" t="s">
        <v>190</v>
      </c>
      <c r="ES658" s="319" t="s">
        <v>190</v>
      </c>
      <c r="ET658" s="319" t="s">
        <v>190</v>
      </c>
      <c r="EU658" s="319" t="s">
        <v>190</v>
      </c>
      <c r="EV658" s="319" t="s">
        <v>190</v>
      </c>
      <c r="EW658" s="319" t="s">
        <v>190</v>
      </c>
      <c r="EX658" s="319" t="s">
        <v>190</v>
      </c>
      <c r="EY658" s="319" t="s">
        <v>190</v>
      </c>
      <c r="EZ658" s="319" t="s">
        <v>190</v>
      </c>
      <c r="FA658" s="319" t="s">
        <v>190</v>
      </c>
      <c r="FB658" s="319" t="s">
        <v>190</v>
      </c>
      <c r="FC658" s="319" t="s">
        <v>190</v>
      </c>
      <c r="FD658" s="319" t="s">
        <v>190</v>
      </c>
      <c r="FE658" s="319" t="s">
        <v>190</v>
      </c>
      <c r="FF658" s="319" t="s">
        <v>190</v>
      </c>
      <c r="FG658" s="319" t="s">
        <v>190</v>
      </c>
      <c r="FH658" s="319" t="s">
        <v>190</v>
      </c>
      <c r="FI658" s="319" t="s">
        <v>190</v>
      </c>
      <c r="FJ658" s="319" t="s">
        <v>190</v>
      </c>
      <c r="FK658" s="319" t="s">
        <v>190</v>
      </c>
      <c r="FL658" s="319" t="s">
        <v>190</v>
      </c>
      <c r="FM658" s="319" t="s">
        <v>190</v>
      </c>
      <c r="FN658" s="319" t="s">
        <v>190</v>
      </c>
      <c r="FO658" s="319" t="s">
        <v>190</v>
      </c>
      <c r="FP658" s="319" t="s">
        <v>190</v>
      </c>
      <c r="FQ658" s="319" t="s">
        <v>190</v>
      </c>
      <c r="FR658" s="319" t="s">
        <v>190</v>
      </c>
      <c r="FS658" s="319" t="s">
        <v>190</v>
      </c>
      <c r="FT658" s="319" t="s">
        <v>190</v>
      </c>
      <c r="FU658" s="319" t="s">
        <v>190</v>
      </c>
      <c r="FV658" s="319" t="s">
        <v>190</v>
      </c>
      <c r="FW658" s="319" t="s">
        <v>190</v>
      </c>
      <c r="FX658" s="319" t="s">
        <v>190</v>
      </c>
      <c r="FY658" s="319" t="s">
        <v>190</v>
      </c>
      <c r="FZ658" s="319" t="s">
        <v>190</v>
      </c>
      <c r="GA658" s="319" t="s">
        <v>190</v>
      </c>
      <c r="GB658" s="319" t="s">
        <v>190</v>
      </c>
      <c r="GC658" s="319" t="s">
        <v>190</v>
      </c>
      <c r="GD658" s="319" t="s">
        <v>190</v>
      </c>
      <c r="GE658" s="319" t="s">
        <v>190</v>
      </c>
      <c r="GF658" s="319" t="s">
        <v>190</v>
      </c>
      <c r="GG658" s="319" t="s">
        <v>190</v>
      </c>
      <c r="GH658" s="319" t="s">
        <v>190</v>
      </c>
      <c r="GI658" s="319" t="s">
        <v>190</v>
      </c>
      <c r="GJ658" s="319" t="s">
        <v>190</v>
      </c>
      <c r="GK658" s="319" t="s">
        <v>429</v>
      </c>
      <c r="GL658" s="319" t="s">
        <v>190</v>
      </c>
      <c r="GM658" s="319" t="s">
        <v>190</v>
      </c>
      <c r="GN658" s="319" t="s">
        <v>190</v>
      </c>
      <c r="GO658" s="319" t="s">
        <v>190</v>
      </c>
      <c r="GP658" s="319" t="s">
        <v>190</v>
      </c>
      <c r="GQ658" s="319" t="s">
        <v>190</v>
      </c>
      <c r="GR658" s="319" t="s">
        <v>190</v>
      </c>
      <c r="GS658" s="319" t="s">
        <v>190</v>
      </c>
      <c r="GT658" s="319" t="s">
        <v>190</v>
      </c>
      <c r="GU658" s="319" t="s">
        <v>190</v>
      </c>
      <c r="GV658" s="319" t="s">
        <v>190</v>
      </c>
      <c r="GW658" s="319" t="s">
        <v>190</v>
      </c>
      <c r="GX658" s="319" t="s">
        <v>190</v>
      </c>
      <c r="GY658" s="319" t="s">
        <v>190</v>
      </c>
      <c r="GZ658" s="319" t="s">
        <v>190</v>
      </c>
      <c r="HA658" s="319" t="s">
        <v>190</v>
      </c>
      <c r="HB658" s="319" t="s">
        <v>190</v>
      </c>
      <c r="HC658" s="319" t="s">
        <v>190</v>
      </c>
      <c r="HD658" s="319" t="s">
        <v>190</v>
      </c>
      <c r="HE658" s="319" t="s">
        <v>190</v>
      </c>
      <c r="HF658" s="319" t="s">
        <v>190</v>
      </c>
      <c r="HG658" s="319" t="s">
        <v>190</v>
      </c>
      <c r="HH658" s="319" t="s">
        <v>529</v>
      </c>
      <c r="HI658" s="319" t="s">
        <v>190</v>
      </c>
      <c r="HJ658" s="319" t="s">
        <v>190</v>
      </c>
      <c r="HK658" s="319" t="s">
        <v>190</v>
      </c>
      <c r="HL658" s="319" t="s">
        <v>190</v>
      </c>
      <c r="HM658" s="319" t="s">
        <v>190</v>
      </c>
      <c r="HN658" s="319" t="s">
        <v>190</v>
      </c>
      <c r="HO658" s="319" t="s">
        <v>190</v>
      </c>
      <c r="HP658" s="319" t="s">
        <v>190</v>
      </c>
      <c r="HQ658" s="319" t="s">
        <v>190</v>
      </c>
      <c r="HR658" s="319" t="s">
        <v>190</v>
      </c>
      <c r="HS658" s="319" t="s">
        <v>190</v>
      </c>
      <c r="HT658" s="319" t="s">
        <v>190</v>
      </c>
      <c r="HU658" s="319" t="s">
        <v>190</v>
      </c>
      <c r="HV658" s="319" t="s">
        <v>190</v>
      </c>
      <c r="HW658" s="319" t="s">
        <v>190</v>
      </c>
      <c r="HX658" s="319" t="s">
        <v>190</v>
      </c>
      <c r="HY658" s="319" t="s">
        <v>190</v>
      </c>
      <c r="HZ658" s="319" t="s">
        <v>190</v>
      </c>
      <c r="IA658" s="319" t="s">
        <v>190</v>
      </c>
      <c r="IB658" s="319" t="s">
        <v>190</v>
      </c>
      <c r="IC658" s="319" t="s">
        <v>190</v>
      </c>
      <c r="ID658" s="319" t="s">
        <v>190</v>
      </c>
      <c r="IE658" s="319" t="s">
        <v>190</v>
      </c>
      <c r="IF658" s="319" t="s">
        <v>190</v>
      </c>
      <c r="IG658" s="319" t="s">
        <v>190</v>
      </c>
      <c r="IH658" s="319" t="s">
        <v>190</v>
      </c>
      <c r="II658" s="319" t="s">
        <v>190</v>
      </c>
      <c r="IJ658" s="319" t="s">
        <v>3411</v>
      </c>
      <c r="IK658" s="321">
        <v>41094</v>
      </c>
      <c r="IL658" s="321">
        <v>41095</v>
      </c>
      <c r="IM658" s="321">
        <v>41158</v>
      </c>
      <c r="IN658" s="319">
        <v>2</v>
      </c>
      <c r="IO658" s="319" t="s">
        <v>173</v>
      </c>
      <c r="IP658" s="319" t="s">
        <v>173</v>
      </c>
      <c r="IQ658" s="321" t="s">
        <v>173</v>
      </c>
      <c r="IR658" s="320" t="s">
        <v>173</v>
      </c>
      <c r="IS658" s="322" t="s">
        <v>173</v>
      </c>
      <c r="IT658" s="319" t="s">
        <v>173</v>
      </c>
    </row>
    <row r="659" spans="1:254" s="271" customFormat="1" x14ac:dyDescent="0.25">
      <c r="A659" s="318" t="str">
        <f>HYPERLINK("http://www.ofsted.gov.uk/inspection-reports/find-inspection-report/provider/ELS/137318 ","Ofsted School Webpage")</f>
        <v>Ofsted School Webpage</v>
      </c>
      <c r="B659" s="319">
        <v>137318</v>
      </c>
      <c r="C659" s="319">
        <v>2046001</v>
      </c>
      <c r="D659" s="319" t="s">
        <v>688</v>
      </c>
      <c r="E659" s="319" t="s">
        <v>167</v>
      </c>
      <c r="F659" s="319" t="s">
        <v>81</v>
      </c>
      <c r="G659" s="319" t="s">
        <v>69</v>
      </c>
      <c r="H659" s="319" t="s">
        <v>69</v>
      </c>
      <c r="I659" s="319" t="s">
        <v>69</v>
      </c>
      <c r="J659" s="319" t="s">
        <v>424</v>
      </c>
      <c r="K659" s="319" t="s">
        <v>441</v>
      </c>
      <c r="L659" s="319" t="s">
        <v>441</v>
      </c>
      <c r="M659" s="319" t="s">
        <v>547</v>
      </c>
      <c r="N659" s="319" t="s">
        <v>2774</v>
      </c>
      <c r="O659" s="319" t="s">
        <v>689</v>
      </c>
      <c r="P659" s="319">
        <v>151</v>
      </c>
      <c r="Q659" s="319" t="s">
        <v>2766</v>
      </c>
      <c r="R659" s="320">
        <v>10054300</v>
      </c>
      <c r="S659" s="321">
        <v>43424</v>
      </c>
      <c r="T659" s="321">
        <v>43426</v>
      </c>
      <c r="U659" s="321">
        <v>43501</v>
      </c>
      <c r="V659" s="319" t="s">
        <v>425</v>
      </c>
      <c r="W659" s="319" t="s">
        <v>2767</v>
      </c>
      <c r="X659" s="319">
        <v>4</v>
      </c>
      <c r="Y659" s="319" t="s">
        <v>173</v>
      </c>
      <c r="Z659" s="319" t="s">
        <v>173</v>
      </c>
      <c r="AA659" s="319" t="s">
        <v>173</v>
      </c>
      <c r="AB659" s="319">
        <v>4</v>
      </c>
      <c r="AC659" s="319" t="s">
        <v>169</v>
      </c>
      <c r="AD659" s="319">
        <v>4</v>
      </c>
      <c r="AE659" s="319" t="s">
        <v>173</v>
      </c>
      <c r="AF659" s="319" t="s">
        <v>447</v>
      </c>
      <c r="AG659" s="319" t="s">
        <v>172</v>
      </c>
      <c r="AH659" s="319" t="s">
        <v>479</v>
      </c>
      <c r="AI659" s="319" t="s">
        <v>190</v>
      </c>
      <c r="AJ659" s="319" t="s">
        <v>190</v>
      </c>
      <c r="AK659" s="319" t="s">
        <v>190</v>
      </c>
      <c r="AL659" s="319" t="s">
        <v>479</v>
      </c>
      <c r="AM659" s="319" t="s">
        <v>190</v>
      </c>
      <c r="AN659" s="319" t="s">
        <v>190</v>
      </c>
      <c r="AO659" s="319" t="s">
        <v>479</v>
      </c>
      <c r="AP659" s="319" t="s">
        <v>191</v>
      </c>
      <c r="AQ659" s="319" t="s">
        <v>190</v>
      </c>
      <c r="AR659" s="319" t="s">
        <v>190</v>
      </c>
      <c r="AS659" s="319" t="s">
        <v>190</v>
      </c>
      <c r="AT659" s="319" t="s">
        <v>190</v>
      </c>
      <c r="AU659" s="319" t="s">
        <v>190</v>
      </c>
      <c r="AV659" s="319" t="s">
        <v>190</v>
      </c>
      <c r="AW659" s="319" t="s">
        <v>190</v>
      </c>
      <c r="AX659" s="319" t="s">
        <v>190</v>
      </c>
      <c r="AY659" s="319" t="s">
        <v>191</v>
      </c>
      <c r="AZ659" s="319" t="s">
        <v>190</v>
      </c>
      <c r="BA659" s="319" t="s">
        <v>191</v>
      </c>
      <c r="BB659" s="319" t="s">
        <v>190</v>
      </c>
      <c r="BC659" s="319" t="s">
        <v>190</v>
      </c>
      <c r="BD659" s="319" t="s">
        <v>190</v>
      </c>
      <c r="BE659" s="319" t="s">
        <v>190</v>
      </c>
      <c r="BF659" s="319" t="s">
        <v>191</v>
      </c>
      <c r="BG659" s="319" t="s">
        <v>428</v>
      </c>
      <c r="BH659" s="319" t="s">
        <v>190</v>
      </c>
      <c r="BI659" s="319" t="s">
        <v>190</v>
      </c>
      <c r="BJ659" s="319" t="s">
        <v>191</v>
      </c>
      <c r="BK659" s="319" t="s">
        <v>191</v>
      </c>
      <c r="BL659" s="319" t="s">
        <v>191</v>
      </c>
      <c r="BM659" s="319" t="s">
        <v>191</v>
      </c>
      <c r="BN659" s="319" t="s">
        <v>191</v>
      </c>
      <c r="BO659" s="319" t="s">
        <v>191</v>
      </c>
      <c r="BP659" s="319" t="s">
        <v>191</v>
      </c>
      <c r="BQ659" s="319" t="s">
        <v>191</v>
      </c>
      <c r="BR659" s="319" t="s">
        <v>190</v>
      </c>
      <c r="BS659" s="319" t="s">
        <v>190</v>
      </c>
      <c r="BT659" s="319" t="s">
        <v>190</v>
      </c>
      <c r="BU659" s="319" t="s">
        <v>190</v>
      </c>
      <c r="BV659" s="319" t="s">
        <v>190</v>
      </c>
      <c r="BW659" s="319" t="s">
        <v>190</v>
      </c>
      <c r="BX659" s="319" t="s">
        <v>191</v>
      </c>
      <c r="BY659" s="319" t="s">
        <v>190</v>
      </c>
      <c r="BZ659" s="319" t="s">
        <v>190</v>
      </c>
      <c r="CA659" s="319" t="s">
        <v>190</v>
      </c>
      <c r="CB659" s="319" t="s">
        <v>190</v>
      </c>
      <c r="CC659" s="319" t="s">
        <v>190</v>
      </c>
      <c r="CD659" s="319" t="s">
        <v>191</v>
      </c>
      <c r="CE659" s="319" t="s">
        <v>190</v>
      </c>
      <c r="CF659" s="319" t="s">
        <v>190</v>
      </c>
      <c r="CG659" s="319" t="s">
        <v>190</v>
      </c>
      <c r="CH659" s="319" t="s">
        <v>190</v>
      </c>
      <c r="CI659" s="319" t="s">
        <v>190</v>
      </c>
      <c r="CJ659" s="319" t="s">
        <v>190</v>
      </c>
      <c r="CK659" s="319" t="s">
        <v>190</v>
      </c>
      <c r="CL659" s="319" t="s">
        <v>190</v>
      </c>
      <c r="CM659" s="319" t="s">
        <v>190</v>
      </c>
      <c r="CN659" s="319" t="s">
        <v>428</v>
      </c>
      <c r="CO659" s="319" t="s">
        <v>428</v>
      </c>
      <c r="CP659" s="319" t="s">
        <v>428</v>
      </c>
      <c r="CQ659" s="319" t="s">
        <v>190</v>
      </c>
      <c r="CR659" s="319" t="s">
        <v>190</v>
      </c>
      <c r="CS659" s="319" t="s">
        <v>190</v>
      </c>
      <c r="CT659" s="319" t="s">
        <v>190</v>
      </c>
      <c r="CU659" s="319" t="s">
        <v>190</v>
      </c>
      <c r="CV659" s="319" t="s">
        <v>190</v>
      </c>
      <c r="CW659" s="319" t="s">
        <v>190</v>
      </c>
      <c r="CX659" s="319" t="s">
        <v>190</v>
      </c>
      <c r="CY659" s="319" t="s">
        <v>190</v>
      </c>
      <c r="CZ659" s="319" t="s">
        <v>190</v>
      </c>
      <c r="DA659" s="319" t="s">
        <v>190</v>
      </c>
      <c r="DB659" s="319" t="s">
        <v>190</v>
      </c>
      <c r="DC659" s="319" t="s">
        <v>190</v>
      </c>
      <c r="DD659" s="319" t="s">
        <v>190</v>
      </c>
      <c r="DE659" s="319" t="s">
        <v>190</v>
      </c>
      <c r="DF659" s="319" t="s">
        <v>190</v>
      </c>
      <c r="DG659" s="319" t="s">
        <v>190</v>
      </c>
      <c r="DH659" s="319" t="s">
        <v>190</v>
      </c>
      <c r="DI659" s="319" t="s">
        <v>190</v>
      </c>
      <c r="DJ659" s="319" t="s">
        <v>190</v>
      </c>
      <c r="DK659" s="319" t="s">
        <v>190</v>
      </c>
      <c r="DL659" s="319" t="s">
        <v>190</v>
      </c>
      <c r="DM659" s="319" t="s">
        <v>190</v>
      </c>
      <c r="DN659" s="319" t="s">
        <v>428</v>
      </c>
      <c r="DO659" s="319" t="s">
        <v>190</v>
      </c>
      <c r="DP659" s="319" t="s">
        <v>428</v>
      </c>
      <c r="DQ659" s="319" t="s">
        <v>428</v>
      </c>
      <c r="DR659" s="319" t="s">
        <v>428</v>
      </c>
      <c r="DS659" s="319" t="s">
        <v>428</v>
      </c>
      <c r="DT659" s="319" t="s">
        <v>428</v>
      </c>
      <c r="DU659" s="319" t="s">
        <v>428</v>
      </c>
      <c r="DV659" s="319" t="s">
        <v>173</v>
      </c>
      <c r="DW659" s="319" t="s">
        <v>428</v>
      </c>
      <c r="DX659" s="319" t="s">
        <v>428</v>
      </c>
      <c r="DY659" s="319" t="s">
        <v>428</v>
      </c>
      <c r="DZ659" s="319" t="s">
        <v>428</v>
      </c>
      <c r="EA659" s="319" t="s">
        <v>428</v>
      </c>
      <c r="EB659" s="319" t="s">
        <v>428</v>
      </c>
      <c r="EC659" s="319" t="s">
        <v>428</v>
      </c>
      <c r="ED659" s="319" t="s">
        <v>190</v>
      </c>
      <c r="EE659" s="319" t="s">
        <v>190</v>
      </c>
      <c r="EF659" s="319" t="s">
        <v>190</v>
      </c>
      <c r="EG659" s="319" t="s">
        <v>190</v>
      </c>
      <c r="EH659" s="319" t="s">
        <v>190</v>
      </c>
      <c r="EI659" s="319" t="s">
        <v>190</v>
      </c>
      <c r="EJ659" s="319" t="s">
        <v>190</v>
      </c>
      <c r="EK659" s="319" t="s">
        <v>190</v>
      </c>
      <c r="EL659" s="319" t="s">
        <v>190</v>
      </c>
      <c r="EM659" s="319" t="s">
        <v>190</v>
      </c>
      <c r="EN659" s="319" t="s">
        <v>190</v>
      </c>
      <c r="EO659" s="319" t="s">
        <v>190</v>
      </c>
      <c r="EP659" s="319" t="s">
        <v>190</v>
      </c>
      <c r="EQ659" s="319" t="s">
        <v>190</v>
      </c>
      <c r="ER659" s="319" t="s">
        <v>190</v>
      </c>
      <c r="ES659" s="319" t="s">
        <v>190</v>
      </c>
      <c r="ET659" s="319" t="s">
        <v>190</v>
      </c>
      <c r="EU659" s="319" t="s">
        <v>190</v>
      </c>
      <c r="EV659" s="319" t="s">
        <v>190</v>
      </c>
      <c r="EW659" s="319" t="s">
        <v>190</v>
      </c>
      <c r="EX659" s="319" t="s">
        <v>190</v>
      </c>
      <c r="EY659" s="319" t="s">
        <v>190</v>
      </c>
      <c r="EZ659" s="319" t="s">
        <v>190</v>
      </c>
      <c r="FA659" s="319" t="s">
        <v>190</v>
      </c>
      <c r="FB659" s="319" t="s">
        <v>428</v>
      </c>
      <c r="FC659" s="319" t="s">
        <v>428</v>
      </c>
      <c r="FD659" s="319" t="s">
        <v>428</v>
      </c>
      <c r="FE659" s="319" t="s">
        <v>428</v>
      </c>
      <c r="FF659" s="319" t="s">
        <v>428</v>
      </c>
      <c r="FG659" s="319" t="s">
        <v>428</v>
      </c>
      <c r="FH659" s="319" t="s">
        <v>190</v>
      </c>
      <c r="FI659" s="319" t="s">
        <v>190</v>
      </c>
      <c r="FJ659" s="319" t="s">
        <v>190</v>
      </c>
      <c r="FK659" s="319" t="s">
        <v>190</v>
      </c>
      <c r="FL659" s="319" t="s">
        <v>191</v>
      </c>
      <c r="FM659" s="319" t="s">
        <v>190</v>
      </c>
      <c r="FN659" s="319" t="s">
        <v>428</v>
      </c>
      <c r="FO659" s="319" t="s">
        <v>191</v>
      </c>
      <c r="FP659" s="319" t="s">
        <v>190</v>
      </c>
      <c r="FQ659" s="319" t="s">
        <v>190</v>
      </c>
      <c r="FR659" s="319" t="s">
        <v>190</v>
      </c>
      <c r="FS659" s="319" t="s">
        <v>428</v>
      </c>
      <c r="FT659" s="319" t="s">
        <v>190</v>
      </c>
      <c r="FU659" s="319" t="s">
        <v>190</v>
      </c>
      <c r="FV659" s="319" t="s">
        <v>190</v>
      </c>
      <c r="FW659" s="319" t="s">
        <v>190</v>
      </c>
      <c r="FX659" s="319" t="s">
        <v>190</v>
      </c>
      <c r="FY659" s="319" t="s">
        <v>190</v>
      </c>
      <c r="FZ659" s="319" t="s">
        <v>190</v>
      </c>
      <c r="GA659" s="319" t="s">
        <v>190</v>
      </c>
      <c r="GB659" s="319" t="s">
        <v>190</v>
      </c>
      <c r="GC659" s="319" t="s">
        <v>190</v>
      </c>
      <c r="GD659" s="319" t="s">
        <v>190</v>
      </c>
      <c r="GE659" s="319" t="s">
        <v>190</v>
      </c>
      <c r="GF659" s="319" t="s">
        <v>190</v>
      </c>
      <c r="GG659" s="319" t="s">
        <v>190</v>
      </c>
      <c r="GH659" s="319" t="s">
        <v>190</v>
      </c>
      <c r="GI659" s="319" t="s">
        <v>190</v>
      </c>
      <c r="GJ659" s="319" t="s">
        <v>190</v>
      </c>
      <c r="GK659" s="319" t="s">
        <v>428</v>
      </c>
      <c r="GL659" s="319" t="s">
        <v>190</v>
      </c>
      <c r="GM659" s="319" t="s">
        <v>190</v>
      </c>
      <c r="GN659" s="319" t="s">
        <v>190</v>
      </c>
      <c r="GO659" s="319" t="s">
        <v>190</v>
      </c>
      <c r="GP659" s="319" t="s">
        <v>190</v>
      </c>
      <c r="GQ659" s="319" t="s">
        <v>428</v>
      </c>
      <c r="GR659" s="319" t="s">
        <v>190</v>
      </c>
      <c r="GS659" s="319" t="s">
        <v>190</v>
      </c>
      <c r="GT659" s="319" t="s">
        <v>428</v>
      </c>
      <c r="GU659" s="319" t="s">
        <v>428</v>
      </c>
      <c r="GV659" s="319" t="s">
        <v>190</v>
      </c>
      <c r="GW659" s="319" t="s">
        <v>190</v>
      </c>
      <c r="GX659" s="319" t="s">
        <v>190</v>
      </c>
      <c r="GY659" s="319" t="s">
        <v>190</v>
      </c>
      <c r="GZ659" s="319" t="s">
        <v>190</v>
      </c>
      <c r="HA659" s="319" t="s">
        <v>428</v>
      </c>
      <c r="HB659" s="319" t="s">
        <v>190</v>
      </c>
      <c r="HC659" s="319" t="s">
        <v>190</v>
      </c>
      <c r="HD659" s="319" t="s">
        <v>190</v>
      </c>
      <c r="HE659" s="319" t="s">
        <v>190</v>
      </c>
      <c r="HF659" s="319" t="s">
        <v>190</v>
      </c>
      <c r="HG659" s="319" t="s">
        <v>190</v>
      </c>
      <c r="HH659" s="319" t="s">
        <v>190</v>
      </c>
      <c r="HI659" s="319" t="s">
        <v>190</v>
      </c>
      <c r="HJ659" s="319" t="s">
        <v>190</v>
      </c>
      <c r="HK659" s="319" t="s">
        <v>190</v>
      </c>
      <c r="HL659" s="319" t="s">
        <v>428</v>
      </c>
      <c r="HM659" s="319" t="s">
        <v>428</v>
      </c>
      <c r="HN659" s="319" t="s">
        <v>428</v>
      </c>
      <c r="HO659" s="319" t="s">
        <v>428</v>
      </c>
      <c r="HP659" s="319" t="s">
        <v>190</v>
      </c>
      <c r="HQ659" s="319" t="s">
        <v>190</v>
      </c>
      <c r="HR659" s="319" t="s">
        <v>190</v>
      </c>
      <c r="HS659" s="319" t="s">
        <v>190</v>
      </c>
      <c r="HT659" s="319" t="s">
        <v>190</v>
      </c>
      <c r="HU659" s="319" t="s">
        <v>190</v>
      </c>
      <c r="HV659" s="319" t="s">
        <v>190</v>
      </c>
      <c r="HW659" s="319" t="s">
        <v>190</v>
      </c>
      <c r="HX659" s="319" t="s">
        <v>190</v>
      </c>
      <c r="HY659" s="319" t="s">
        <v>190</v>
      </c>
      <c r="HZ659" s="319" t="s">
        <v>190</v>
      </c>
      <c r="IA659" s="319" t="s">
        <v>190</v>
      </c>
      <c r="IB659" s="319" t="s">
        <v>190</v>
      </c>
      <c r="IC659" s="319" t="s">
        <v>190</v>
      </c>
      <c r="ID659" s="319" t="s">
        <v>190</v>
      </c>
      <c r="IE659" s="319" t="s">
        <v>190</v>
      </c>
      <c r="IF659" s="319" t="s">
        <v>191</v>
      </c>
      <c r="IG659" s="319" t="s">
        <v>191</v>
      </c>
      <c r="IH659" s="319" t="s">
        <v>191</v>
      </c>
      <c r="II659" s="319" t="s">
        <v>190</v>
      </c>
      <c r="IJ659" s="319">
        <v>10012792</v>
      </c>
      <c r="IK659" s="321">
        <v>42710</v>
      </c>
      <c r="IL659" s="321">
        <v>42712</v>
      </c>
      <c r="IM659" s="321">
        <v>42809</v>
      </c>
      <c r="IN659" s="319">
        <v>4</v>
      </c>
      <c r="IO659" s="319" t="s">
        <v>173</v>
      </c>
      <c r="IP659" s="319" t="s">
        <v>173</v>
      </c>
      <c r="IQ659" s="321" t="s">
        <v>173</v>
      </c>
      <c r="IR659" s="320" t="s">
        <v>173</v>
      </c>
      <c r="IS659" s="322" t="s">
        <v>173</v>
      </c>
      <c r="IT659" s="319" t="s">
        <v>173</v>
      </c>
    </row>
    <row r="660" spans="1:254" s="271" customFormat="1" x14ac:dyDescent="0.25">
      <c r="A660" s="318" t="str">
        <f>HYPERLINK("http://www.ofsted.gov.uk/inspection-reports/find-inspection-report/provider/ELS/137327 ","Ofsted School Webpage")</f>
        <v>Ofsted School Webpage</v>
      </c>
      <c r="B660" s="319">
        <v>137327</v>
      </c>
      <c r="C660" s="319">
        <v>9256000</v>
      </c>
      <c r="D660" s="319" t="s">
        <v>832</v>
      </c>
      <c r="E660" s="319" t="s">
        <v>167</v>
      </c>
      <c r="F660" s="319" t="s">
        <v>81</v>
      </c>
      <c r="G660" s="319" t="s">
        <v>81</v>
      </c>
      <c r="H660" s="319" t="s">
        <v>81</v>
      </c>
      <c r="I660" s="319" t="s">
        <v>78</v>
      </c>
      <c r="J660" s="319" t="s">
        <v>424</v>
      </c>
      <c r="K660" s="319" t="s">
        <v>506</v>
      </c>
      <c r="L660" s="319" t="s">
        <v>506</v>
      </c>
      <c r="M660" s="319" t="s">
        <v>833</v>
      </c>
      <c r="N660" s="319" t="s">
        <v>3005</v>
      </c>
      <c r="O660" s="319" t="s">
        <v>834</v>
      </c>
      <c r="P660" s="319">
        <v>89</v>
      </c>
      <c r="Q660" s="319" t="s">
        <v>2766</v>
      </c>
      <c r="R660" s="320">
        <v>10078681</v>
      </c>
      <c r="S660" s="321">
        <v>43480</v>
      </c>
      <c r="T660" s="321">
        <v>43482</v>
      </c>
      <c r="U660" s="321">
        <v>43501</v>
      </c>
      <c r="V660" s="319" t="s">
        <v>425</v>
      </c>
      <c r="W660" s="319" t="s">
        <v>2767</v>
      </c>
      <c r="X660" s="319">
        <v>1</v>
      </c>
      <c r="Y660" s="319" t="s">
        <v>173</v>
      </c>
      <c r="Z660" s="319" t="s">
        <v>173</v>
      </c>
      <c r="AA660" s="319" t="s">
        <v>173</v>
      </c>
      <c r="AB660" s="319">
        <v>1</v>
      </c>
      <c r="AC660" s="319" t="s">
        <v>169</v>
      </c>
      <c r="AD660" s="319">
        <v>1</v>
      </c>
      <c r="AE660" s="319" t="s">
        <v>173</v>
      </c>
      <c r="AF660" s="319" t="s">
        <v>427</v>
      </c>
      <c r="AG660" s="319" t="s">
        <v>171</v>
      </c>
      <c r="AH660" s="319" t="s">
        <v>190</v>
      </c>
      <c r="AI660" s="319" t="s">
        <v>190</v>
      </c>
      <c r="AJ660" s="319" t="s">
        <v>190</v>
      </c>
      <c r="AK660" s="319" t="s">
        <v>190</v>
      </c>
      <c r="AL660" s="319" t="s">
        <v>190</v>
      </c>
      <c r="AM660" s="319" t="s">
        <v>190</v>
      </c>
      <c r="AN660" s="319" t="s">
        <v>190</v>
      </c>
      <c r="AO660" s="319" t="s">
        <v>190</v>
      </c>
      <c r="AP660" s="319" t="s">
        <v>190</v>
      </c>
      <c r="AQ660" s="319" t="s">
        <v>190</v>
      </c>
      <c r="AR660" s="319" t="s">
        <v>190</v>
      </c>
      <c r="AS660" s="319" t="s">
        <v>190</v>
      </c>
      <c r="AT660" s="319" t="s">
        <v>190</v>
      </c>
      <c r="AU660" s="319" t="s">
        <v>190</v>
      </c>
      <c r="AV660" s="319" t="s">
        <v>190</v>
      </c>
      <c r="AW660" s="319" t="s">
        <v>190</v>
      </c>
      <c r="AX660" s="319" t="s">
        <v>428</v>
      </c>
      <c r="AY660" s="319" t="s">
        <v>190</v>
      </c>
      <c r="AZ660" s="319" t="s">
        <v>190</v>
      </c>
      <c r="BA660" s="319" t="s">
        <v>190</v>
      </c>
      <c r="BB660" s="319" t="s">
        <v>428</v>
      </c>
      <c r="BC660" s="319" t="s">
        <v>428</v>
      </c>
      <c r="BD660" s="319" t="s">
        <v>428</v>
      </c>
      <c r="BE660" s="319" t="s">
        <v>428</v>
      </c>
      <c r="BF660" s="319" t="s">
        <v>190</v>
      </c>
      <c r="BG660" s="319" t="s">
        <v>428</v>
      </c>
      <c r="BH660" s="319" t="s">
        <v>190</v>
      </c>
      <c r="BI660" s="319" t="s">
        <v>190</v>
      </c>
      <c r="BJ660" s="319" t="s">
        <v>190</v>
      </c>
      <c r="BK660" s="319" t="s">
        <v>190</v>
      </c>
      <c r="BL660" s="319" t="s">
        <v>190</v>
      </c>
      <c r="BM660" s="319" t="s">
        <v>190</v>
      </c>
      <c r="BN660" s="319" t="s">
        <v>190</v>
      </c>
      <c r="BO660" s="319" t="s">
        <v>190</v>
      </c>
      <c r="BP660" s="319" t="s">
        <v>190</v>
      </c>
      <c r="BQ660" s="319" t="s">
        <v>190</v>
      </c>
      <c r="BR660" s="319" t="s">
        <v>190</v>
      </c>
      <c r="BS660" s="319" t="s">
        <v>190</v>
      </c>
      <c r="BT660" s="319" t="s">
        <v>190</v>
      </c>
      <c r="BU660" s="319" t="s">
        <v>190</v>
      </c>
      <c r="BV660" s="319" t="s">
        <v>190</v>
      </c>
      <c r="BW660" s="319" t="s">
        <v>190</v>
      </c>
      <c r="BX660" s="319" t="s">
        <v>190</v>
      </c>
      <c r="BY660" s="319" t="s">
        <v>190</v>
      </c>
      <c r="BZ660" s="319" t="s">
        <v>190</v>
      </c>
      <c r="CA660" s="319" t="s">
        <v>190</v>
      </c>
      <c r="CB660" s="319" t="s">
        <v>190</v>
      </c>
      <c r="CC660" s="319" t="s">
        <v>190</v>
      </c>
      <c r="CD660" s="319" t="s">
        <v>190</v>
      </c>
      <c r="CE660" s="319" t="s">
        <v>190</v>
      </c>
      <c r="CF660" s="319" t="s">
        <v>190</v>
      </c>
      <c r="CG660" s="319" t="s">
        <v>190</v>
      </c>
      <c r="CH660" s="319" t="s">
        <v>190</v>
      </c>
      <c r="CI660" s="319" t="s">
        <v>190</v>
      </c>
      <c r="CJ660" s="319" t="s">
        <v>190</v>
      </c>
      <c r="CK660" s="319" t="s">
        <v>190</v>
      </c>
      <c r="CL660" s="319" t="s">
        <v>190</v>
      </c>
      <c r="CM660" s="319" t="s">
        <v>190</v>
      </c>
      <c r="CN660" s="319" t="s">
        <v>428</v>
      </c>
      <c r="CO660" s="319" t="s">
        <v>428</v>
      </c>
      <c r="CP660" s="319" t="s">
        <v>428</v>
      </c>
      <c r="CQ660" s="319" t="s">
        <v>428</v>
      </c>
      <c r="CR660" s="319" t="s">
        <v>190</v>
      </c>
      <c r="CS660" s="319" t="s">
        <v>190</v>
      </c>
      <c r="CT660" s="319" t="s">
        <v>190</v>
      </c>
      <c r="CU660" s="319" t="s">
        <v>190</v>
      </c>
      <c r="CV660" s="319" t="s">
        <v>190</v>
      </c>
      <c r="CW660" s="319" t="s">
        <v>190</v>
      </c>
      <c r="CX660" s="319" t="s">
        <v>190</v>
      </c>
      <c r="CY660" s="319" t="s">
        <v>190</v>
      </c>
      <c r="CZ660" s="319" t="s">
        <v>190</v>
      </c>
      <c r="DA660" s="319" t="s">
        <v>190</v>
      </c>
      <c r="DB660" s="319" t="s">
        <v>190</v>
      </c>
      <c r="DC660" s="319" t="s">
        <v>190</v>
      </c>
      <c r="DD660" s="319" t="s">
        <v>190</v>
      </c>
      <c r="DE660" s="319" t="s">
        <v>190</v>
      </c>
      <c r="DF660" s="319" t="s">
        <v>190</v>
      </c>
      <c r="DG660" s="319" t="s">
        <v>190</v>
      </c>
      <c r="DH660" s="319" t="s">
        <v>190</v>
      </c>
      <c r="DI660" s="319" t="s">
        <v>190</v>
      </c>
      <c r="DJ660" s="319" t="s">
        <v>190</v>
      </c>
      <c r="DK660" s="319" t="s">
        <v>190</v>
      </c>
      <c r="DL660" s="319" t="s">
        <v>428</v>
      </c>
      <c r="DM660" s="319" t="s">
        <v>428</v>
      </c>
      <c r="DN660" s="319" t="s">
        <v>428</v>
      </c>
      <c r="DO660" s="319" t="s">
        <v>190</v>
      </c>
      <c r="DP660" s="319" t="s">
        <v>428</v>
      </c>
      <c r="DQ660" s="319" t="s">
        <v>428</v>
      </c>
      <c r="DR660" s="319" t="s">
        <v>428</v>
      </c>
      <c r="DS660" s="319" t="s">
        <v>428</v>
      </c>
      <c r="DT660" s="319" t="s">
        <v>428</v>
      </c>
      <c r="DU660" s="319" t="s">
        <v>428</v>
      </c>
      <c r="DV660" s="319" t="s">
        <v>173</v>
      </c>
      <c r="DW660" s="319" t="s">
        <v>428</v>
      </c>
      <c r="DX660" s="319" t="s">
        <v>428</v>
      </c>
      <c r="DY660" s="319" t="s">
        <v>428</v>
      </c>
      <c r="DZ660" s="319" t="s">
        <v>428</v>
      </c>
      <c r="EA660" s="319" t="s">
        <v>428</v>
      </c>
      <c r="EB660" s="319" t="s">
        <v>428</v>
      </c>
      <c r="EC660" s="319" t="s">
        <v>428</v>
      </c>
      <c r="ED660" s="319" t="s">
        <v>428</v>
      </c>
      <c r="EE660" s="319" t="s">
        <v>190</v>
      </c>
      <c r="EF660" s="319" t="s">
        <v>190</v>
      </c>
      <c r="EG660" s="319" t="s">
        <v>190</v>
      </c>
      <c r="EH660" s="319" t="s">
        <v>190</v>
      </c>
      <c r="EI660" s="319" t="s">
        <v>190</v>
      </c>
      <c r="EJ660" s="319" t="s">
        <v>190</v>
      </c>
      <c r="EK660" s="319" t="s">
        <v>190</v>
      </c>
      <c r="EL660" s="319" t="s">
        <v>190</v>
      </c>
      <c r="EM660" s="319" t="s">
        <v>190</v>
      </c>
      <c r="EN660" s="319" t="s">
        <v>190</v>
      </c>
      <c r="EO660" s="319" t="s">
        <v>190</v>
      </c>
      <c r="EP660" s="319" t="s">
        <v>190</v>
      </c>
      <c r="EQ660" s="319" t="s">
        <v>190</v>
      </c>
      <c r="ER660" s="319" t="s">
        <v>190</v>
      </c>
      <c r="ES660" s="319" t="s">
        <v>190</v>
      </c>
      <c r="ET660" s="319" t="s">
        <v>190</v>
      </c>
      <c r="EU660" s="319" t="s">
        <v>190</v>
      </c>
      <c r="EV660" s="319" t="s">
        <v>190</v>
      </c>
      <c r="EW660" s="319" t="s">
        <v>190</v>
      </c>
      <c r="EX660" s="319" t="s">
        <v>190</v>
      </c>
      <c r="EY660" s="319" t="s">
        <v>190</v>
      </c>
      <c r="EZ660" s="319" t="s">
        <v>190</v>
      </c>
      <c r="FA660" s="319" t="s">
        <v>428</v>
      </c>
      <c r="FB660" s="319" t="s">
        <v>428</v>
      </c>
      <c r="FC660" s="319" t="s">
        <v>428</v>
      </c>
      <c r="FD660" s="319" t="s">
        <v>428</v>
      </c>
      <c r="FE660" s="319" t="s">
        <v>428</v>
      </c>
      <c r="FF660" s="319" t="s">
        <v>428</v>
      </c>
      <c r="FG660" s="319" t="s">
        <v>428</v>
      </c>
      <c r="FH660" s="319" t="s">
        <v>190</v>
      </c>
      <c r="FI660" s="319" t="s">
        <v>428</v>
      </c>
      <c r="FJ660" s="319" t="s">
        <v>429</v>
      </c>
      <c r="FK660" s="319" t="s">
        <v>428</v>
      </c>
      <c r="FL660" s="319" t="s">
        <v>190</v>
      </c>
      <c r="FM660" s="319" t="s">
        <v>190</v>
      </c>
      <c r="FN660" s="319" t="s">
        <v>190</v>
      </c>
      <c r="FO660" s="319" t="s">
        <v>428</v>
      </c>
      <c r="FP660" s="319" t="s">
        <v>190</v>
      </c>
      <c r="FQ660" s="319" t="s">
        <v>190</v>
      </c>
      <c r="FR660" s="319" t="s">
        <v>190</v>
      </c>
      <c r="FS660" s="319" t="s">
        <v>428</v>
      </c>
      <c r="FT660" s="319" t="s">
        <v>190</v>
      </c>
      <c r="FU660" s="319" t="s">
        <v>190</v>
      </c>
      <c r="FV660" s="319" t="s">
        <v>190</v>
      </c>
      <c r="FW660" s="319" t="s">
        <v>190</v>
      </c>
      <c r="FX660" s="319" t="s">
        <v>190</v>
      </c>
      <c r="FY660" s="319" t="s">
        <v>190</v>
      </c>
      <c r="FZ660" s="319" t="s">
        <v>190</v>
      </c>
      <c r="GA660" s="319" t="s">
        <v>190</v>
      </c>
      <c r="GB660" s="319" t="s">
        <v>190</v>
      </c>
      <c r="GC660" s="319" t="s">
        <v>190</v>
      </c>
      <c r="GD660" s="319" t="s">
        <v>190</v>
      </c>
      <c r="GE660" s="319" t="s">
        <v>190</v>
      </c>
      <c r="GF660" s="319" t="s">
        <v>190</v>
      </c>
      <c r="GG660" s="319" t="s">
        <v>190</v>
      </c>
      <c r="GH660" s="319" t="s">
        <v>190</v>
      </c>
      <c r="GI660" s="319" t="s">
        <v>190</v>
      </c>
      <c r="GJ660" s="319" t="s">
        <v>190</v>
      </c>
      <c r="GK660" s="319" t="s">
        <v>428</v>
      </c>
      <c r="GL660" s="319" t="s">
        <v>190</v>
      </c>
      <c r="GM660" s="319" t="s">
        <v>190</v>
      </c>
      <c r="GN660" s="319" t="s">
        <v>190</v>
      </c>
      <c r="GO660" s="319" t="s">
        <v>190</v>
      </c>
      <c r="GP660" s="319" t="s">
        <v>190</v>
      </c>
      <c r="GQ660" s="319" t="s">
        <v>428</v>
      </c>
      <c r="GR660" s="319" t="s">
        <v>190</v>
      </c>
      <c r="GS660" s="319" t="s">
        <v>190</v>
      </c>
      <c r="GT660" s="319" t="s">
        <v>428</v>
      </c>
      <c r="GU660" s="319" t="s">
        <v>428</v>
      </c>
      <c r="GV660" s="319" t="s">
        <v>190</v>
      </c>
      <c r="GW660" s="319" t="s">
        <v>190</v>
      </c>
      <c r="GX660" s="319" t="s">
        <v>190</v>
      </c>
      <c r="GY660" s="319" t="s">
        <v>190</v>
      </c>
      <c r="GZ660" s="319" t="s">
        <v>190</v>
      </c>
      <c r="HA660" s="319" t="s">
        <v>190</v>
      </c>
      <c r="HB660" s="319" t="s">
        <v>428</v>
      </c>
      <c r="HC660" s="319" t="s">
        <v>190</v>
      </c>
      <c r="HD660" s="319" t="s">
        <v>190</v>
      </c>
      <c r="HE660" s="319" t="s">
        <v>190</v>
      </c>
      <c r="HF660" s="319" t="s">
        <v>190</v>
      </c>
      <c r="HG660" s="319" t="s">
        <v>190</v>
      </c>
      <c r="HH660" s="319" t="s">
        <v>190</v>
      </c>
      <c r="HI660" s="319" t="s">
        <v>190</v>
      </c>
      <c r="HJ660" s="319" t="s">
        <v>190</v>
      </c>
      <c r="HK660" s="319" t="s">
        <v>190</v>
      </c>
      <c r="HL660" s="319" t="s">
        <v>428</v>
      </c>
      <c r="HM660" s="319" t="s">
        <v>428</v>
      </c>
      <c r="HN660" s="319" t="s">
        <v>428</v>
      </c>
      <c r="HO660" s="319" t="s">
        <v>428</v>
      </c>
      <c r="HP660" s="319" t="s">
        <v>190</v>
      </c>
      <c r="HQ660" s="319" t="s">
        <v>190</v>
      </c>
      <c r="HR660" s="319" t="s">
        <v>190</v>
      </c>
      <c r="HS660" s="319" t="s">
        <v>190</v>
      </c>
      <c r="HT660" s="319" t="s">
        <v>190</v>
      </c>
      <c r="HU660" s="319" t="s">
        <v>190</v>
      </c>
      <c r="HV660" s="319" t="s">
        <v>190</v>
      </c>
      <c r="HW660" s="319" t="s">
        <v>190</v>
      </c>
      <c r="HX660" s="319" t="s">
        <v>190</v>
      </c>
      <c r="HY660" s="319" t="s">
        <v>190</v>
      </c>
      <c r="HZ660" s="319" t="s">
        <v>190</v>
      </c>
      <c r="IA660" s="319" t="s">
        <v>190</v>
      </c>
      <c r="IB660" s="319" t="s">
        <v>190</v>
      </c>
      <c r="IC660" s="319" t="s">
        <v>190</v>
      </c>
      <c r="ID660" s="319" t="s">
        <v>190</v>
      </c>
      <c r="IE660" s="319" t="s">
        <v>190</v>
      </c>
      <c r="IF660" s="319" t="s">
        <v>190</v>
      </c>
      <c r="IG660" s="319" t="s">
        <v>190</v>
      </c>
      <c r="IH660" s="319" t="s">
        <v>190</v>
      </c>
      <c r="II660" s="319" t="s">
        <v>190</v>
      </c>
      <c r="IJ660" s="319">
        <v>10006080</v>
      </c>
      <c r="IK660" s="321">
        <v>42388</v>
      </c>
      <c r="IL660" s="321">
        <v>42390</v>
      </c>
      <c r="IM660" s="321">
        <v>42426</v>
      </c>
      <c r="IN660" s="319">
        <v>1</v>
      </c>
      <c r="IO660" s="319" t="s">
        <v>173</v>
      </c>
      <c r="IP660" s="319" t="s">
        <v>173</v>
      </c>
      <c r="IQ660" s="321" t="s">
        <v>173</v>
      </c>
      <c r="IR660" s="320" t="s">
        <v>173</v>
      </c>
      <c r="IS660" s="322" t="s">
        <v>173</v>
      </c>
      <c r="IT660" s="319" t="s">
        <v>173</v>
      </c>
    </row>
    <row r="661" spans="1:254" s="271" customFormat="1" x14ac:dyDescent="0.25">
      <c r="A661" s="318" t="str">
        <f>HYPERLINK("http://www.ofsted.gov.uk/inspection-reports/find-inspection-report/provider/ELS/137334 ","Ofsted School Webpage")</f>
        <v>Ofsted School Webpage</v>
      </c>
      <c r="B661" s="319">
        <v>137334</v>
      </c>
      <c r="C661" s="319">
        <v>9316000</v>
      </c>
      <c r="D661" s="319" t="s">
        <v>2126</v>
      </c>
      <c r="E661" s="319" t="s">
        <v>168</v>
      </c>
      <c r="F661" s="319" t="s">
        <v>81</v>
      </c>
      <c r="G661" s="319" t="s">
        <v>81</v>
      </c>
      <c r="H661" s="319" t="s">
        <v>81</v>
      </c>
      <c r="I661" s="319" t="s">
        <v>78</v>
      </c>
      <c r="J661" s="319" t="s">
        <v>424</v>
      </c>
      <c r="K661" s="319" t="s">
        <v>514</v>
      </c>
      <c r="L661" s="319" t="s">
        <v>514</v>
      </c>
      <c r="M661" s="319" t="s">
        <v>1016</v>
      </c>
      <c r="N661" s="319" t="s">
        <v>3085</v>
      </c>
      <c r="O661" s="319" t="s">
        <v>1605</v>
      </c>
      <c r="P661" s="319">
        <v>78</v>
      </c>
      <c r="Q661" s="319" t="s">
        <v>429</v>
      </c>
      <c r="R661" s="320">
        <v>10097295</v>
      </c>
      <c r="S661" s="321">
        <v>43662</v>
      </c>
      <c r="T661" s="321">
        <v>43664</v>
      </c>
      <c r="U661" s="321">
        <v>43724</v>
      </c>
      <c r="V661" s="319" t="s">
        <v>425</v>
      </c>
      <c r="W661" s="319" t="s">
        <v>2767</v>
      </c>
      <c r="X661" s="319">
        <v>3</v>
      </c>
      <c r="Y661" s="319" t="s">
        <v>173</v>
      </c>
      <c r="Z661" s="319" t="s">
        <v>173</v>
      </c>
      <c r="AA661" s="319" t="s">
        <v>173</v>
      </c>
      <c r="AB661" s="319">
        <v>3</v>
      </c>
      <c r="AC661" s="319" t="s">
        <v>169</v>
      </c>
      <c r="AD661" s="319" t="s">
        <v>173</v>
      </c>
      <c r="AE661" s="319" t="s">
        <v>173</v>
      </c>
      <c r="AF661" s="319" t="s">
        <v>427</v>
      </c>
      <c r="AG661" s="319" t="s">
        <v>171</v>
      </c>
      <c r="AH661" s="319" t="s">
        <v>190</v>
      </c>
      <c r="AI661" s="319" t="s">
        <v>190</v>
      </c>
      <c r="AJ661" s="319" t="s">
        <v>190</v>
      </c>
      <c r="AK661" s="319" t="s">
        <v>190</v>
      </c>
      <c r="AL661" s="319" t="s">
        <v>190</v>
      </c>
      <c r="AM661" s="319" t="s">
        <v>190</v>
      </c>
      <c r="AN661" s="319" t="s">
        <v>190</v>
      </c>
      <c r="AO661" s="319" t="s">
        <v>190</v>
      </c>
      <c r="AP661" s="319" t="s">
        <v>190</v>
      </c>
      <c r="AQ661" s="319" t="s">
        <v>190</v>
      </c>
      <c r="AR661" s="319" t="s">
        <v>190</v>
      </c>
      <c r="AS661" s="319" t="s">
        <v>190</v>
      </c>
      <c r="AT661" s="319" t="s">
        <v>190</v>
      </c>
      <c r="AU661" s="319" t="s">
        <v>190</v>
      </c>
      <c r="AV661" s="319" t="s">
        <v>190</v>
      </c>
      <c r="AW661" s="319" t="s">
        <v>190</v>
      </c>
      <c r="AX661" s="319" t="s">
        <v>190</v>
      </c>
      <c r="AY661" s="319" t="s">
        <v>190</v>
      </c>
      <c r="AZ661" s="319" t="s">
        <v>190</v>
      </c>
      <c r="BA661" s="319" t="s">
        <v>190</v>
      </c>
      <c r="BB661" s="319" t="s">
        <v>190</v>
      </c>
      <c r="BC661" s="319" t="s">
        <v>190</v>
      </c>
      <c r="BD661" s="319" t="s">
        <v>190</v>
      </c>
      <c r="BE661" s="319" t="s">
        <v>190</v>
      </c>
      <c r="BF661" s="319" t="s">
        <v>428</v>
      </c>
      <c r="BG661" s="319" t="s">
        <v>428</v>
      </c>
      <c r="BH661" s="319" t="s">
        <v>190</v>
      </c>
      <c r="BI661" s="319" t="s">
        <v>190</v>
      </c>
      <c r="BJ661" s="319" t="s">
        <v>190</v>
      </c>
      <c r="BK661" s="319" t="s">
        <v>190</v>
      </c>
      <c r="BL661" s="319" t="s">
        <v>190</v>
      </c>
      <c r="BM661" s="319" t="s">
        <v>190</v>
      </c>
      <c r="BN661" s="319" t="s">
        <v>190</v>
      </c>
      <c r="BO661" s="319" t="s">
        <v>190</v>
      </c>
      <c r="BP661" s="319" t="s">
        <v>190</v>
      </c>
      <c r="BQ661" s="319" t="s">
        <v>190</v>
      </c>
      <c r="BR661" s="319" t="s">
        <v>190</v>
      </c>
      <c r="BS661" s="319" t="s">
        <v>190</v>
      </c>
      <c r="BT661" s="319" t="s">
        <v>190</v>
      </c>
      <c r="BU661" s="319" t="s">
        <v>190</v>
      </c>
      <c r="BV661" s="319" t="s">
        <v>190</v>
      </c>
      <c r="BW661" s="319" t="s">
        <v>190</v>
      </c>
      <c r="BX661" s="319" t="s">
        <v>190</v>
      </c>
      <c r="BY661" s="319" t="s">
        <v>190</v>
      </c>
      <c r="BZ661" s="319" t="s">
        <v>190</v>
      </c>
      <c r="CA661" s="319" t="s">
        <v>190</v>
      </c>
      <c r="CB661" s="319" t="s">
        <v>190</v>
      </c>
      <c r="CC661" s="319" t="s">
        <v>190</v>
      </c>
      <c r="CD661" s="319" t="s">
        <v>190</v>
      </c>
      <c r="CE661" s="319" t="s">
        <v>190</v>
      </c>
      <c r="CF661" s="319" t="s">
        <v>190</v>
      </c>
      <c r="CG661" s="319" t="s">
        <v>190</v>
      </c>
      <c r="CH661" s="319" t="s">
        <v>190</v>
      </c>
      <c r="CI661" s="319" t="s">
        <v>190</v>
      </c>
      <c r="CJ661" s="319" t="s">
        <v>190</v>
      </c>
      <c r="CK661" s="319" t="s">
        <v>190</v>
      </c>
      <c r="CL661" s="319" t="s">
        <v>190</v>
      </c>
      <c r="CM661" s="319" t="s">
        <v>190</v>
      </c>
      <c r="CN661" s="319" t="s">
        <v>428</v>
      </c>
      <c r="CO661" s="319" t="s">
        <v>428</v>
      </c>
      <c r="CP661" s="319" t="s">
        <v>428</v>
      </c>
      <c r="CQ661" s="319" t="s">
        <v>190</v>
      </c>
      <c r="CR661" s="319" t="s">
        <v>190</v>
      </c>
      <c r="CS661" s="319" t="s">
        <v>190</v>
      </c>
      <c r="CT661" s="319" t="s">
        <v>190</v>
      </c>
      <c r="CU661" s="319" t="s">
        <v>190</v>
      </c>
      <c r="CV661" s="319" t="s">
        <v>190</v>
      </c>
      <c r="CW661" s="319" t="s">
        <v>190</v>
      </c>
      <c r="CX661" s="319" t="s">
        <v>190</v>
      </c>
      <c r="CY661" s="319" t="s">
        <v>190</v>
      </c>
      <c r="CZ661" s="319" t="s">
        <v>190</v>
      </c>
      <c r="DA661" s="319" t="s">
        <v>190</v>
      </c>
      <c r="DB661" s="319" t="s">
        <v>190</v>
      </c>
      <c r="DC661" s="319" t="s">
        <v>190</v>
      </c>
      <c r="DD661" s="319" t="s">
        <v>190</v>
      </c>
      <c r="DE661" s="319" t="s">
        <v>190</v>
      </c>
      <c r="DF661" s="319" t="s">
        <v>190</v>
      </c>
      <c r="DG661" s="319" t="s">
        <v>190</v>
      </c>
      <c r="DH661" s="319" t="s">
        <v>190</v>
      </c>
      <c r="DI661" s="319" t="s">
        <v>190</v>
      </c>
      <c r="DJ661" s="319" t="s">
        <v>190</v>
      </c>
      <c r="DK661" s="319" t="s">
        <v>190</v>
      </c>
      <c r="DL661" s="319" t="s">
        <v>190</v>
      </c>
      <c r="DM661" s="319" t="s">
        <v>190</v>
      </c>
      <c r="DN661" s="319" t="s">
        <v>428</v>
      </c>
      <c r="DO661" s="319" t="s">
        <v>190</v>
      </c>
      <c r="DP661" s="319" t="s">
        <v>190</v>
      </c>
      <c r="DQ661" s="319" t="s">
        <v>190</v>
      </c>
      <c r="DR661" s="319" t="s">
        <v>190</v>
      </c>
      <c r="DS661" s="319" t="s">
        <v>190</v>
      </c>
      <c r="DT661" s="319" t="s">
        <v>190</v>
      </c>
      <c r="DU661" s="319" t="s">
        <v>190</v>
      </c>
      <c r="DV661" s="319" t="s">
        <v>173</v>
      </c>
      <c r="DW661" s="319" t="s">
        <v>190</v>
      </c>
      <c r="DX661" s="319" t="s">
        <v>190</v>
      </c>
      <c r="DY661" s="319" t="s">
        <v>190</v>
      </c>
      <c r="DZ661" s="319" t="s">
        <v>190</v>
      </c>
      <c r="EA661" s="319" t="s">
        <v>190</v>
      </c>
      <c r="EB661" s="319" t="s">
        <v>190</v>
      </c>
      <c r="EC661" s="319" t="s">
        <v>428</v>
      </c>
      <c r="ED661" s="319" t="s">
        <v>190</v>
      </c>
      <c r="EE661" s="319" t="s">
        <v>190</v>
      </c>
      <c r="EF661" s="319" t="s">
        <v>190</v>
      </c>
      <c r="EG661" s="319" t="s">
        <v>190</v>
      </c>
      <c r="EH661" s="319" t="s">
        <v>190</v>
      </c>
      <c r="EI661" s="319" t="s">
        <v>190</v>
      </c>
      <c r="EJ661" s="319" t="s">
        <v>190</v>
      </c>
      <c r="EK661" s="319" t="s">
        <v>190</v>
      </c>
      <c r="EL661" s="319" t="s">
        <v>190</v>
      </c>
      <c r="EM661" s="319" t="s">
        <v>190</v>
      </c>
      <c r="EN661" s="319" t="s">
        <v>190</v>
      </c>
      <c r="EO661" s="319" t="s">
        <v>190</v>
      </c>
      <c r="EP661" s="319" t="s">
        <v>190</v>
      </c>
      <c r="EQ661" s="319" t="s">
        <v>190</v>
      </c>
      <c r="ER661" s="319" t="s">
        <v>190</v>
      </c>
      <c r="ES661" s="319" t="s">
        <v>190</v>
      </c>
      <c r="ET661" s="319" t="s">
        <v>190</v>
      </c>
      <c r="EU661" s="319" t="s">
        <v>190</v>
      </c>
      <c r="EV661" s="319" t="s">
        <v>190</v>
      </c>
      <c r="EW661" s="319" t="s">
        <v>190</v>
      </c>
      <c r="EX661" s="319" t="s">
        <v>190</v>
      </c>
      <c r="EY661" s="319" t="s">
        <v>190</v>
      </c>
      <c r="EZ661" s="319" t="s">
        <v>190</v>
      </c>
      <c r="FA661" s="319" t="s">
        <v>190</v>
      </c>
      <c r="FB661" s="319" t="s">
        <v>190</v>
      </c>
      <c r="FC661" s="319" t="s">
        <v>190</v>
      </c>
      <c r="FD661" s="319" t="s">
        <v>190</v>
      </c>
      <c r="FE661" s="319" t="s">
        <v>190</v>
      </c>
      <c r="FF661" s="319" t="s">
        <v>190</v>
      </c>
      <c r="FG661" s="319" t="s">
        <v>190</v>
      </c>
      <c r="FH661" s="319" t="s">
        <v>190</v>
      </c>
      <c r="FI661" s="319" t="s">
        <v>190</v>
      </c>
      <c r="FJ661" s="319" t="s">
        <v>190</v>
      </c>
      <c r="FK661" s="319" t="s">
        <v>190</v>
      </c>
      <c r="FL661" s="319" t="s">
        <v>190</v>
      </c>
      <c r="FM661" s="319" t="s">
        <v>190</v>
      </c>
      <c r="FN661" s="319" t="s">
        <v>190</v>
      </c>
      <c r="FO661" s="319" t="s">
        <v>190</v>
      </c>
      <c r="FP661" s="319" t="s">
        <v>190</v>
      </c>
      <c r="FQ661" s="319" t="s">
        <v>190</v>
      </c>
      <c r="FR661" s="319" t="s">
        <v>190</v>
      </c>
      <c r="FS661" s="319" t="s">
        <v>190</v>
      </c>
      <c r="FT661" s="319" t="s">
        <v>190</v>
      </c>
      <c r="FU661" s="319" t="s">
        <v>190</v>
      </c>
      <c r="FV661" s="319" t="s">
        <v>190</v>
      </c>
      <c r="FW661" s="319" t="s">
        <v>190</v>
      </c>
      <c r="FX661" s="319" t="s">
        <v>190</v>
      </c>
      <c r="FY661" s="319" t="s">
        <v>190</v>
      </c>
      <c r="FZ661" s="319" t="s">
        <v>190</v>
      </c>
      <c r="GA661" s="319" t="s">
        <v>190</v>
      </c>
      <c r="GB661" s="319" t="s">
        <v>190</v>
      </c>
      <c r="GC661" s="319" t="s">
        <v>190</v>
      </c>
      <c r="GD661" s="319" t="s">
        <v>190</v>
      </c>
      <c r="GE661" s="319" t="s">
        <v>190</v>
      </c>
      <c r="GF661" s="319" t="s">
        <v>190</v>
      </c>
      <c r="GG661" s="319" t="s">
        <v>190</v>
      </c>
      <c r="GH661" s="319" t="s">
        <v>190</v>
      </c>
      <c r="GI661" s="319" t="s">
        <v>190</v>
      </c>
      <c r="GJ661" s="319" t="s">
        <v>190</v>
      </c>
      <c r="GK661" s="319" t="s">
        <v>428</v>
      </c>
      <c r="GL661" s="319" t="s">
        <v>190</v>
      </c>
      <c r="GM661" s="319" t="s">
        <v>190</v>
      </c>
      <c r="GN661" s="319" t="s">
        <v>190</v>
      </c>
      <c r="GO661" s="319" t="s">
        <v>190</v>
      </c>
      <c r="GP661" s="319" t="s">
        <v>190</v>
      </c>
      <c r="GQ661" s="319" t="s">
        <v>190</v>
      </c>
      <c r="GR661" s="319" t="s">
        <v>190</v>
      </c>
      <c r="GS661" s="319" t="s">
        <v>190</v>
      </c>
      <c r="GT661" s="319" t="s">
        <v>190</v>
      </c>
      <c r="GU661" s="319" t="s">
        <v>190</v>
      </c>
      <c r="GV661" s="319" t="s">
        <v>190</v>
      </c>
      <c r="GW661" s="319" t="s">
        <v>190</v>
      </c>
      <c r="GX661" s="319" t="s">
        <v>190</v>
      </c>
      <c r="GY661" s="319" t="s">
        <v>190</v>
      </c>
      <c r="GZ661" s="319" t="s">
        <v>428</v>
      </c>
      <c r="HA661" s="319" t="s">
        <v>190</v>
      </c>
      <c r="HB661" s="319" t="s">
        <v>190</v>
      </c>
      <c r="HC661" s="319" t="s">
        <v>190</v>
      </c>
      <c r="HD661" s="319" t="s">
        <v>190</v>
      </c>
      <c r="HE661" s="319" t="s">
        <v>190</v>
      </c>
      <c r="HF661" s="319" t="s">
        <v>190</v>
      </c>
      <c r="HG661" s="319" t="s">
        <v>190</v>
      </c>
      <c r="HH661" s="319" t="s">
        <v>190</v>
      </c>
      <c r="HI661" s="319" t="s">
        <v>190</v>
      </c>
      <c r="HJ661" s="319" t="s">
        <v>190</v>
      </c>
      <c r="HK661" s="319" t="s">
        <v>190</v>
      </c>
      <c r="HL661" s="319" t="s">
        <v>190</v>
      </c>
      <c r="HM661" s="319" t="s">
        <v>190</v>
      </c>
      <c r="HN661" s="319" t="s">
        <v>190</v>
      </c>
      <c r="HO661" s="319" t="s">
        <v>190</v>
      </c>
      <c r="HP661" s="319" t="s">
        <v>190</v>
      </c>
      <c r="HQ661" s="319" t="s">
        <v>190</v>
      </c>
      <c r="HR661" s="319" t="s">
        <v>190</v>
      </c>
      <c r="HS661" s="319" t="s">
        <v>190</v>
      </c>
      <c r="HT661" s="319" t="s">
        <v>190</v>
      </c>
      <c r="HU661" s="319" t="s">
        <v>190</v>
      </c>
      <c r="HV661" s="319" t="s">
        <v>190</v>
      </c>
      <c r="HW661" s="319" t="s">
        <v>190</v>
      </c>
      <c r="HX661" s="319" t="s">
        <v>190</v>
      </c>
      <c r="HY661" s="319" t="s">
        <v>190</v>
      </c>
      <c r="HZ661" s="319" t="s">
        <v>190</v>
      </c>
      <c r="IA661" s="319" t="s">
        <v>190</v>
      </c>
      <c r="IB661" s="319" t="s">
        <v>190</v>
      </c>
      <c r="IC661" s="319" t="s">
        <v>190</v>
      </c>
      <c r="ID661" s="319" t="s">
        <v>190</v>
      </c>
      <c r="IE661" s="319" t="s">
        <v>190</v>
      </c>
      <c r="IF661" s="319" t="s">
        <v>190</v>
      </c>
      <c r="IG661" s="319" t="s">
        <v>190</v>
      </c>
      <c r="IH661" s="319" t="s">
        <v>190</v>
      </c>
      <c r="II661" s="319" t="s">
        <v>190</v>
      </c>
      <c r="IJ661" s="319">
        <v>10008614</v>
      </c>
      <c r="IK661" s="321">
        <v>42640</v>
      </c>
      <c r="IL661" s="321">
        <v>42642</v>
      </c>
      <c r="IM661" s="321">
        <v>42675</v>
      </c>
      <c r="IN661" s="319">
        <v>2</v>
      </c>
      <c r="IO661" s="319" t="s">
        <v>173</v>
      </c>
      <c r="IP661" s="319" t="s">
        <v>173</v>
      </c>
      <c r="IQ661" s="319" t="s">
        <v>173</v>
      </c>
      <c r="IR661" s="320" t="s">
        <v>173</v>
      </c>
      <c r="IS661" s="320" t="s">
        <v>173</v>
      </c>
      <c r="IT661" s="319" t="s">
        <v>173</v>
      </c>
    </row>
    <row r="662" spans="1:254" s="271" customFormat="1" x14ac:dyDescent="0.25">
      <c r="A662" s="318" t="str">
        <f>HYPERLINK("http://www.ofsted.gov.uk/inspection-reports/find-inspection-report/provider/ELS/137385 ","Ofsted School Webpage")</f>
        <v>Ofsted School Webpage</v>
      </c>
      <c r="B662" s="319">
        <v>137385</v>
      </c>
      <c r="C662" s="319">
        <v>9296002</v>
      </c>
      <c r="D662" s="319" t="s">
        <v>2127</v>
      </c>
      <c r="E662" s="319" t="s">
        <v>168</v>
      </c>
      <c r="F662" s="319" t="s">
        <v>81</v>
      </c>
      <c r="G662" s="319" t="s">
        <v>81</v>
      </c>
      <c r="H662" s="319" t="s">
        <v>81</v>
      </c>
      <c r="I662" s="319" t="s">
        <v>78</v>
      </c>
      <c r="J662" s="319" t="s">
        <v>424</v>
      </c>
      <c r="K662" s="319" t="s">
        <v>458</v>
      </c>
      <c r="L662" s="319" t="s">
        <v>474</v>
      </c>
      <c r="M662" s="319" t="s">
        <v>510</v>
      </c>
      <c r="N662" s="319" t="s">
        <v>3165</v>
      </c>
      <c r="O662" s="319" t="s">
        <v>2128</v>
      </c>
      <c r="P662" s="319">
        <v>37</v>
      </c>
      <c r="Q662" s="319" t="s">
        <v>429</v>
      </c>
      <c r="R662" s="320">
        <v>10051859</v>
      </c>
      <c r="S662" s="321">
        <v>43221</v>
      </c>
      <c r="T662" s="321">
        <v>43223</v>
      </c>
      <c r="U662" s="321">
        <v>43257</v>
      </c>
      <c r="V662" s="319" t="s">
        <v>425</v>
      </c>
      <c r="W662" s="319" t="s">
        <v>2767</v>
      </c>
      <c r="X662" s="319">
        <v>2</v>
      </c>
      <c r="Y662" s="319" t="s">
        <v>173</v>
      </c>
      <c r="Z662" s="319" t="s">
        <v>173</v>
      </c>
      <c r="AA662" s="319" t="s">
        <v>173</v>
      </c>
      <c r="AB662" s="319">
        <v>2</v>
      </c>
      <c r="AC662" s="319" t="s">
        <v>169</v>
      </c>
      <c r="AD662" s="319" t="s">
        <v>173</v>
      </c>
      <c r="AE662" s="319" t="s">
        <v>173</v>
      </c>
      <c r="AF662" s="319" t="s">
        <v>427</v>
      </c>
      <c r="AG662" s="319" t="s">
        <v>171</v>
      </c>
      <c r="AH662" s="319" t="s">
        <v>190</v>
      </c>
      <c r="AI662" s="319" t="s">
        <v>190</v>
      </c>
      <c r="AJ662" s="319" t="s">
        <v>190</v>
      </c>
      <c r="AK662" s="319" t="s">
        <v>190</v>
      </c>
      <c r="AL662" s="319" t="s">
        <v>190</v>
      </c>
      <c r="AM662" s="319" t="s">
        <v>190</v>
      </c>
      <c r="AN662" s="319" t="s">
        <v>190</v>
      </c>
      <c r="AO662" s="319" t="s">
        <v>190</v>
      </c>
      <c r="AP662" s="319" t="s">
        <v>190</v>
      </c>
      <c r="AQ662" s="319" t="s">
        <v>190</v>
      </c>
      <c r="AR662" s="319" t="s">
        <v>190</v>
      </c>
      <c r="AS662" s="319" t="s">
        <v>190</v>
      </c>
      <c r="AT662" s="319" t="s">
        <v>190</v>
      </c>
      <c r="AU662" s="319" t="s">
        <v>190</v>
      </c>
      <c r="AV662" s="319" t="s">
        <v>190</v>
      </c>
      <c r="AW662" s="319" t="s">
        <v>190</v>
      </c>
      <c r="AX662" s="319" t="s">
        <v>428</v>
      </c>
      <c r="AY662" s="319" t="s">
        <v>190</v>
      </c>
      <c r="AZ662" s="319" t="s">
        <v>190</v>
      </c>
      <c r="BA662" s="319" t="s">
        <v>190</v>
      </c>
      <c r="BB662" s="319" t="s">
        <v>190</v>
      </c>
      <c r="BC662" s="319" t="s">
        <v>190</v>
      </c>
      <c r="BD662" s="319" t="s">
        <v>190</v>
      </c>
      <c r="BE662" s="319" t="s">
        <v>190</v>
      </c>
      <c r="BF662" s="319" t="s">
        <v>428</v>
      </c>
      <c r="BG662" s="319" t="s">
        <v>190</v>
      </c>
      <c r="BH662" s="319" t="s">
        <v>190</v>
      </c>
      <c r="BI662" s="319" t="s">
        <v>190</v>
      </c>
      <c r="BJ662" s="319" t="s">
        <v>190</v>
      </c>
      <c r="BK662" s="319" t="s">
        <v>190</v>
      </c>
      <c r="BL662" s="319" t="s">
        <v>190</v>
      </c>
      <c r="BM662" s="319" t="s">
        <v>190</v>
      </c>
      <c r="BN662" s="319" t="s">
        <v>190</v>
      </c>
      <c r="BO662" s="319" t="s">
        <v>190</v>
      </c>
      <c r="BP662" s="319" t="s">
        <v>190</v>
      </c>
      <c r="BQ662" s="319" t="s">
        <v>190</v>
      </c>
      <c r="BR662" s="319" t="s">
        <v>190</v>
      </c>
      <c r="BS662" s="319" t="s">
        <v>190</v>
      </c>
      <c r="BT662" s="319" t="s">
        <v>190</v>
      </c>
      <c r="BU662" s="319" t="s">
        <v>190</v>
      </c>
      <c r="BV662" s="319" t="s">
        <v>190</v>
      </c>
      <c r="BW662" s="319" t="s">
        <v>190</v>
      </c>
      <c r="BX662" s="319" t="s">
        <v>190</v>
      </c>
      <c r="BY662" s="319" t="s">
        <v>190</v>
      </c>
      <c r="BZ662" s="319" t="s">
        <v>190</v>
      </c>
      <c r="CA662" s="319" t="s">
        <v>190</v>
      </c>
      <c r="CB662" s="319" t="s">
        <v>190</v>
      </c>
      <c r="CC662" s="319" t="s">
        <v>190</v>
      </c>
      <c r="CD662" s="319" t="s">
        <v>190</v>
      </c>
      <c r="CE662" s="319" t="s">
        <v>190</v>
      </c>
      <c r="CF662" s="319" t="s">
        <v>190</v>
      </c>
      <c r="CG662" s="319" t="s">
        <v>190</v>
      </c>
      <c r="CH662" s="319" t="s">
        <v>190</v>
      </c>
      <c r="CI662" s="319" t="s">
        <v>190</v>
      </c>
      <c r="CJ662" s="319" t="s">
        <v>190</v>
      </c>
      <c r="CK662" s="319" t="s">
        <v>190</v>
      </c>
      <c r="CL662" s="319" t="s">
        <v>190</v>
      </c>
      <c r="CM662" s="319" t="s">
        <v>190</v>
      </c>
      <c r="CN662" s="319" t="s">
        <v>428</v>
      </c>
      <c r="CO662" s="319" t="s">
        <v>428</v>
      </c>
      <c r="CP662" s="319" t="s">
        <v>428</v>
      </c>
      <c r="CQ662" s="319" t="s">
        <v>190</v>
      </c>
      <c r="CR662" s="319" t="s">
        <v>190</v>
      </c>
      <c r="CS662" s="319" t="s">
        <v>190</v>
      </c>
      <c r="CT662" s="319" t="s">
        <v>190</v>
      </c>
      <c r="CU662" s="319" t="s">
        <v>190</v>
      </c>
      <c r="CV662" s="319" t="s">
        <v>190</v>
      </c>
      <c r="CW662" s="319" t="s">
        <v>190</v>
      </c>
      <c r="CX662" s="319" t="s">
        <v>190</v>
      </c>
      <c r="CY662" s="319" t="s">
        <v>190</v>
      </c>
      <c r="CZ662" s="319" t="s">
        <v>190</v>
      </c>
      <c r="DA662" s="319" t="s">
        <v>190</v>
      </c>
      <c r="DB662" s="319" t="s">
        <v>190</v>
      </c>
      <c r="DC662" s="319" t="s">
        <v>190</v>
      </c>
      <c r="DD662" s="319" t="s">
        <v>190</v>
      </c>
      <c r="DE662" s="319" t="s">
        <v>190</v>
      </c>
      <c r="DF662" s="319" t="s">
        <v>190</v>
      </c>
      <c r="DG662" s="319" t="s">
        <v>190</v>
      </c>
      <c r="DH662" s="319" t="s">
        <v>190</v>
      </c>
      <c r="DI662" s="319" t="s">
        <v>190</v>
      </c>
      <c r="DJ662" s="319" t="s">
        <v>190</v>
      </c>
      <c r="DK662" s="319" t="s">
        <v>190</v>
      </c>
      <c r="DL662" s="319" t="s">
        <v>190</v>
      </c>
      <c r="DM662" s="319" t="s">
        <v>190</v>
      </c>
      <c r="DN662" s="319" t="s">
        <v>428</v>
      </c>
      <c r="DO662" s="319" t="s">
        <v>190</v>
      </c>
      <c r="DP662" s="319" t="s">
        <v>428</v>
      </c>
      <c r="DQ662" s="319" t="s">
        <v>428</v>
      </c>
      <c r="DR662" s="319" t="s">
        <v>428</v>
      </c>
      <c r="DS662" s="319" t="s">
        <v>428</v>
      </c>
      <c r="DT662" s="319" t="s">
        <v>428</v>
      </c>
      <c r="DU662" s="319" t="s">
        <v>428</v>
      </c>
      <c r="DV662" s="319" t="s">
        <v>173</v>
      </c>
      <c r="DW662" s="319" t="s">
        <v>428</v>
      </c>
      <c r="DX662" s="319" t="s">
        <v>428</v>
      </c>
      <c r="DY662" s="319" t="s">
        <v>428</v>
      </c>
      <c r="DZ662" s="319" t="s">
        <v>428</v>
      </c>
      <c r="EA662" s="319" t="s">
        <v>428</v>
      </c>
      <c r="EB662" s="319" t="s">
        <v>428</v>
      </c>
      <c r="EC662" s="319" t="s">
        <v>428</v>
      </c>
      <c r="ED662" s="319" t="s">
        <v>428</v>
      </c>
      <c r="EE662" s="319" t="s">
        <v>190</v>
      </c>
      <c r="EF662" s="319" t="s">
        <v>190</v>
      </c>
      <c r="EG662" s="319" t="s">
        <v>190</v>
      </c>
      <c r="EH662" s="319" t="s">
        <v>190</v>
      </c>
      <c r="EI662" s="319" t="s">
        <v>190</v>
      </c>
      <c r="EJ662" s="319" t="s">
        <v>190</v>
      </c>
      <c r="EK662" s="319" t="s">
        <v>190</v>
      </c>
      <c r="EL662" s="319" t="s">
        <v>428</v>
      </c>
      <c r="EM662" s="319" t="s">
        <v>190</v>
      </c>
      <c r="EN662" s="319" t="s">
        <v>190</v>
      </c>
      <c r="EO662" s="319" t="s">
        <v>190</v>
      </c>
      <c r="EP662" s="319" t="s">
        <v>190</v>
      </c>
      <c r="EQ662" s="319" t="s">
        <v>190</v>
      </c>
      <c r="ER662" s="319" t="s">
        <v>190</v>
      </c>
      <c r="ES662" s="319" t="s">
        <v>190</v>
      </c>
      <c r="ET662" s="319" t="s">
        <v>190</v>
      </c>
      <c r="EU662" s="319" t="s">
        <v>190</v>
      </c>
      <c r="EV662" s="319" t="s">
        <v>190</v>
      </c>
      <c r="EW662" s="319" t="s">
        <v>190</v>
      </c>
      <c r="EX662" s="319" t="s">
        <v>190</v>
      </c>
      <c r="EY662" s="319" t="s">
        <v>190</v>
      </c>
      <c r="EZ662" s="319" t="s">
        <v>190</v>
      </c>
      <c r="FA662" s="319" t="s">
        <v>190</v>
      </c>
      <c r="FB662" s="319" t="s">
        <v>428</v>
      </c>
      <c r="FC662" s="319" t="s">
        <v>428</v>
      </c>
      <c r="FD662" s="319" t="s">
        <v>428</v>
      </c>
      <c r="FE662" s="319" t="s">
        <v>428</v>
      </c>
      <c r="FF662" s="319" t="s">
        <v>428</v>
      </c>
      <c r="FG662" s="319" t="s">
        <v>428</v>
      </c>
      <c r="FH662" s="319" t="s">
        <v>190</v>
      </c>
      <c r="FI662" s="319" t="s">
        <v>190</v>
      </c>
      <c r="FJ662" s="319" t="s">
        <v>190</v>
      </c>
      <c r="FK662" s="319" t="s">
        <v>190</v>
      </c>
      <c r="FL662" s="319" t="s">
        <v>190</v>
      </c>
      <c r="FM662" s="319" t="s">
        <v>190</v>
      </c>
      <c r="FN662" s="319" t="s">
        <v>190</v>
      </c>
      <c r="FO662" s="319" t="s">
        <v>190</v>
      </c>
      <c r="FP662" s="319" t="s">
        <v>190</v>
      </c>
      <c r="FQ662" s="319" t="s">
        <v>190</v>
      </c>
      <c r="FR662" s="319" t="s">
        <v>190</v>
      </c>
      <c r="FS662" s="319" t="s">
        <v>428</v>
      </c>
      <c r="FT662" s="319" t="s">
        <v>190</v>
      </c>
      <c r="FU662" s="319" t="s">
        <v>190</v>
      </c>
      <c r="FV662" s="319" t="s">
        <v>190</v>
      </c>
      <c r="FW662" s="319" t="s">
        <v>190</v>
      </c>
      <c r="FX662" s="319" t="s">
        <v>190</v>
      </c>
      <c r="FY662" s="319" t="s">
        <v>190</v>
      </c>
      <c r="FZ662" s="319" t="s">
        <v>190</v>
      </c>
      <c r="GA662" s="319" t="s">
        <v>190</v>
      </c>
      <c r="GB662" s="319" t="s">
        <v>190</v>
      </c>
      <c r="GC662" s="319" t="s">
        <v>190</v>
      </c>
      <c r="GD662" s="319" t="s">
        <v>190</v>
      </c>
      <c r="GE662" s="319" t="s">
        <v>190</v>
      </c>
      <c r="GF662" s="319" t="s">
        <v>190</v>
      </c>
      <c r="GG662" s="319" t="s">
        <v>190</v>
      </c>
      <c r="GH662" s="319" t="s">
        <v>190</v>
      </c>
      <c r="GI662" s="319" t="s">
        <v>190</v>
      </c>
      <c r="GJ662" s="319" t="s">
        <v>190</v>
      </c>
      <c r="GK662" s="319" t="s">
        <v>428</v>
      </c>
      <c r="GL662" s="319" t="s">
        <v>190</v>
      </c>
      <c r="GM662" s="319" t="s">
        <v>190</v>
      </c>
      <c r="GN662" s="319" t="s">
        <v>190</v>
      </c>
      <c r="GO662" s="319" t="s">
        <v>190</v>
      </c>
      <c r="GP662" s="319" t="s">
        <v>190</v>
      </c>
      <c r="GQ662" s="319" t="s">
        <v>428</v>
      </c>
      <c r="GR662" s="319" t="s">
        <v>190</v>
      </c>
      <c r="GS662" s="319" t="s">
        <v>190</v>
      </c>
      <c r="GT662" s="319" t="s">
        <v>190</v>
      </c>
      <c r="GU662" s="319" t="s">
        <v>190</v>
      </c>
      <c r="GV662" s="319" t="s">
        <v>190</v>
      </c>
      <c r="GW662" s="319" t="s">
        <v>190</v>
      </c>
      <c r="GX662" s="319" t="s">
        <v>190</v>
      </c>
      <c r="GY662" s="319" t="s">
        <v>190</v>
      </c>
      <c r="GZ662" s="319" t="s">
        <v>428</v>
      </c>
      <c r="HA662" s="319" t="s">
        <v>190</v>
      </c>
      <c r="HB662" s="319" t="s">
        <v>428</v>
      </c>
      <c r="HC662" s="319" t="s">
        <v>190</v>
      </c>
      <c r="HD662" s="319" t="s">
        <v>190</v>
      </c>
      <c r="HE662" s="319" t="s">
        <v>190</v>
      </c>
      <c r="HF662" s="319" t="s">
        <v>190</v>
      </c>
      <c r="HG662" s="319" t="s">
        <v>190</v>
      </c>
      <c r="HH662" s="319" t="s">
        <v>190</v>
      </c>
      <c r="HI662" s="319" t="s">
        <v>190</v>
      </c>
      <c r="HJ662" s="319" t="s">
        <v>190</v>
      </c>
      <c r="HK662" s="319" t="s">
        <v>190</v>
      </c>
      <c r="HL662" s="319" t="s">
        <v>428</v>
      </c>
      <c r="HM662" s="319" t="s">
        <v>428</v>
      </c>
      <c r="HN662" s="319" t="s">
        <v>428</v>
      </c>
      <c r="HO662" s="319" t="s">
        <v>428</v>
      </c>
      <c r="HP662" s="319" t="s">
        <v>190</v>
      </c>
      <c r="HQ662" s="319" t="s">
        <v>190</v>
      </c>
      <c r="HR662" s="319" t="s">
        <v>190</v>
      </c>
      <c r="HS662" s="319" t="s">
        <v>190</v>
      </c>
      <c r="HT662" s="319" t="s">
        <v>190</v>
      </c>
      <c r="HU662" s="319" t="s">
        <v>190</v>
      </c>
      <c r="HV662" s="319" t="s">
        <v>190</v>
      </c>
      <c r="HW662" s="319" t="s">
        <v>190</v>
      </c>
      <c r="HX662" s="319" t="s">
        <v>190</v>
      </c>
      <c r="HY662" s="319" t="s">
        <v>190</v>
      </c>
      <c r="HZ662" s="319" t="s">
        <v>190</v>
      </c>
      <c r="IA662" s="319" t="s">
        <v>190</v>
      </c>
      <c r="IB662" s="319" t="s">
        <v>190</v>
      </c>
      <c r="IC662" s="319" t="s">
        <v>190</v>
      </c>
      <c r="ID662" s="319" t="s">
        <v>190</v>
      </c>
      <c r="IE662" s="319" t="s">
        <v>190</v>
      </c>
      <c r="IF662" s="319" t="s">
        <v>190</v>
      </c>
      <c r="IG662" s="319" t="s">
        <v>190</v>
      </c>
      <c r="IH662" s="319" t="s">
        <v>190</v>
      </c>
      <c r="II662" s="319" t="s">
        <v>190</v>
      </c>
      <c r="IJ662" s="319">
        <v>10008612</v>
      </c>
      <c r="IK662" s="321">
        <v>42388</v>
      </c>
      <c r="IL662" s="321">
        <v>42390</v>
      </c>
      <c r="IM662" s="321">
        <v>42415</v>
      </c>
      <c r="IN662" s="319">
        <v>2</v>
      </c>
      <c r="IO662" s="319" t="s">
        <v>173</v>
      </c>
      <c r="IP662" s="319" t="s">
        <v>173</v>
      </c>
      <c r="IQ662" s="321" t="s">
        <v>173</v>
      </c>
      <c r="IR662" s="320" t="s">
        <v>173</v>
      </c>
      <c r="IS662" s="322" t="s">
        <v>173</v>
      </c>
      <c r="IT662" s="319" t="s">
        <v>173</v>
      </c>
    </row>
    <row r="663" spans="1:254" s="271" customFormat="1" x14ac:dyDescent="0.25">
      <c r="A663" s="318" t="str">
        <f>HYPERLINK("http://www.ofsted.gov.uk/inspection-reports/find-inspection-report/provider/ELS/137502 ","Ofsted School Webpage")</f>
        <v>Ofsted School Webpage</v>
      </c>
      <c r="B663" s="319">
        <v>137502</v>
      </c>
      <c r="C663" s="319">
        <v>3026001</v>
      </c>
      <c r="D663" s="319" t="s">
        <v>611</v>
      </c>
      <c r="E663" s="319" t="s">
        <v>167</v>
      </c>
      <c r="F663" s="319" t="s">
        <v>81</v>
      </c>
      <c r="G663" s="319" t="s">
        <v>69</v>
      </c>
      <c r="H663" s="319" t="s">
        <v>69</v>
      </c>
      <c r="I663" s="319" t="s">
        <v>69</v>
      </c>
      <c r="J663" s="319" t="s">
        <v>424</v>
      </c>
      <c r="K663" s="319" t="s">
        <v>441</v>
      </c>
      <c r="L663" s="319" t="s">
        <v>441</v>
      </c>
      <c r="M663" s="319" t="s">
        <v>544</v>
      </c>
      <c r="N663" s="319" t="s">
        <v>2818</v>
      </c>
      <c r="O663" s="319" t="s">
        <v>612</v>
      </c>
      <c r="P663" s="319">
        <v>78</v>
      </c>
      <c r="Q663" s="319" t="s">
        <v>2766</v>
      </c>
      <c r="R663" s="320">
        <v>10055403</v>
      </c>
      <c r="S663" s="321">
        <v>43410</v>
      </c>
      <c r="T663" s="321">
        <v>43412</v>
      </c>
      <c r="U663" s="321">
        <v>43438</v>
      </c>
      <c r="V663" s="319" t="s">
        <v>425</v>
      </c>
      <c r="W663" s="319" t="s">
        <v>2767</v>
      </c>
      <c r="X663" s="319">
        <v>3</v>
      </c>
      <c r="Y663" s="319" t="s">
        <v>173</v>
      </c>
      <c r="Z663" s="319" t="s">
        <v>173</v>
      </c>
      <c r="AA663" s="319" t="s">
        <v>173</v>
      </c>
      <c r="AB663" s="319">
        <v>3</v>
      </c>
      <c r="AC663" s="319" t="s">
        <v>169</v>
      </c>
      <c r="AD663" s="319">
        <v>2</v>
      </c>
      <c r="AE663" s="319" t="s">
        <v>173</v>
      </c>
      <c r="AF663" s="319" t="s">
        <v>427</v>
      </c>
      <c r="AG663" s="319" t="s">
        <v>171</v>
      </c>
      <c r="AH663" s="319" t="s">
        <v>190</v>
      </c>
      <c r="AI663" s="319" t="s">
        <v>190</v>
      </c>
      <c r="AJ663" s="319" t="s">
        <v>190</v>
      </c>
      <c r="AK663" s="319" t="s">
        <v>190</v>
      </c>
      <c r="AL663" s="319" t="s">
        <v>190</v>
      </c>
      <c r="AM663" s="319" t="s">
        <v>190</v>
      </c>
      <c r="AN663" s="319" t="s">
        <v>190</v>
      </c>
      <c r="AO663" s="319" t="s">
        <v>190</v>
      </c>
      <c r="AP663" s="319" t="s">
        <v>190</v>
      </c>
      <c r="AQ663" s="319" t="s">
        <v>190</v>
      </c>
      <c r="AR663" s="319" t="s">
        <v>190</v>
      </c>
      <c r="AS663" s="319" t="s">
        <v>190</v>
      </c>
      <c r="AT663" s="319" t="s">
        <v>190</v>
      </c>
      <c r="AU663" s="319" t="s">
        <v>190</v>
      </c>
      <c r="AV663" s="319" t="s">
        <v>190</v>
      </c>
      <c r="AW663" s="319" t="s">
        <v>190</v>
      </c>
      <c r="AX663" s="319" t="s">
        <v>190</v>
      </c>
      <c r="AY663" s="319" t="s">
        <v>190</v>
      </c>
      <c r="AZ663" s="319" t="s">
        <v>190</v>
      </c>
      <c r="BA663" s="319" t="s">
        <v>190</v>
      </c>
      <c r="BB663" s="319" t="s">
        <v>428</v>
      </c>
      <c r="BC663" s="319" t="s">
        <v>428</v>
      </c>
      <c r="BD663" s="319" t="s">
        <v>428</v>
      </c>
      <c r="BE663" s="319" t="s">
        <v>428</v>
      </c>
      <c r="BF663" s="319" t="s">
        <v>190</v>
      </c>
      <c r="BG663" s="319" t="s">
        <v>428</v>
      </c>
      <c r="BH663" s="319" t="s">
        <v>190</v>
      </c>
      <c r="BI663" s="319" t="s">
        <v>190</v>
      </c>
      <c r="BJ663" s="319" t="s">
        <v>190</v>
      </c>
      <c r="BK663" s="319" t="s">
        <v>190</v>
      </c>
      <c r="BL663" s="319" t="s">
        <v>190</v>
      </c>
      <c r="BM663" s="319" t="s">
        <v>190</v>
      </c>
      <c r="BN663" s="319" t="s">
        <v>190</v>
      </c>
      <c r="BO663" s="319" t="s">
        <v>190</v>
      </c>
      <c r="BP663" s="319" t="s">
        <v>190</v>
      </c>
      <c r="BQ663" s="319" t="s">
        <v>190</v>
      </c>
      <c r="BR663" s="319" t="s">
        <v>190</v>
      </c>
      <c r="BS663" s="319" t="s">
        <v>190</v>
      </c>
      <c r="BT663" s="319" t="s">
        <v>190</v>
      </c>
      <c r="BU663" s="319" t="s">
        <v>190</v>
      </c>
      <c r="BV663" s="319" t="s">
        <v>190</v>
      </c>
      <c r="BW663" s="319" t="s">
        <v>190</v>
      </c>
      <c r="BX663" s="319" t="s">
        <v>190</v>
      </c>
      <c r="BY663" s="319" t="s">
        <v>190</v>
      </c>
      <c r="BZ663" s="319" t="s">
        <v>190</v>
      </c>
      <c r="CA663" s="319" t="s">
        <v>190</v>
      </c>
      <c r="CB663" s="319" t="s">
        <v>190</v>
      </c>
      <c r="CC663" s="319" t="s">
        <v>190</v>
      </c>
      <c r="CD663" s="319" t="s">
        <v>190</v>
      </c>
      <c r="CE663" s="319" t="s">
        <v>190</v>
      </c>
      <c r="CF663" s="319" t="s">
        <v>190</v>
      </c>
      <c r="CG663" s="319" t="s">
        <v>190</v>
      </c>
      <c r="CH663" s="319" t="s">
        <v>190</v>
      </c>
      <c r="CI663" s="319" t="s">
        <v>190</v>
      </c>
      <c r="CJ663" s="319" t="s">
        <v>190</v>
      </c>
      <c r="CK663" s="319" t="s">
        <v>190</v>
      </c>
      <c r="CL663" s="319" t="s">
        <v>190</v>
      </c>
      <c r="CM663" s="319" t="s">
        <v>190</v>
      </c>
      <c r="CN663" s="319" t="s">
        <v>428</v>
      </c>
      <c r="CO663" s="319" t="s">
        <v>428</v>
      </c>
      <c r="CP663" s="319" t="s">
        <v>428</v>
      </c>
      <c r="CQ663" s="319" t="s">
        <v>190</v>
      </c>
      <c r="CR663" s="319" t="s">
        <v>190</v>
      </c>
      <c r="CS663" s="319" t="s">
        <v>190</v>
      </c>
      <c r="CT663" s="319" t="s">
        <v>190</v>
      </c>
      <c r="CU663" s="319" t="s">
        <v>190</v>
      </c>
      <c r="CV663" s="319" t="s">
        <v>190</v>
      </c>
      <c r="CW663" s="319" t="s">
        <v>190</v>
      </c>
      <c r="CX663" s="319" t="s">
        <v>190</v>
      </c>
      <c r="CY663" s="319" t="s">
        <v>190</v>
      </c>
      <c r="CZ663" s="319" t="s">
        <v>190</v>
      </c>
      <c r="DA663" s="319" t="s">
        <v>190</v>
      </c>
      <c r="DB663" s="319" t="s">
        <v>190</v>
      </c>
      <c r="DC663" s="319" t="s">
        <v>190</v>
      </c>
      <c r="DD663" s="319" t="s">
        <v>190</v>
      </c>
      <c r="DE663" s="319" t="s">
        <v>190</v>
      </c>
      <c r="DF663" s="319" t="s">
        <v>190</v>
      </c>
      <c r="DG663" s="319" t="s">
        <v>190</v>
      </c>
      <c r="DH663" s="319" t="s">
        <v>190</v>
      </c>
      <c r="DI663" s="319" t="s">
        <v>190</v>
      </c>
      <c r="DJ663" s="319" t="s">
        <v>190</v>
      </c>
      <c r="DK663" s="319" t="s">
        <v>190</v>
      </c>
      <c r="DL663" s="319" t="s">
        <v>190</v>
      </c>
      <c r="DM663" s="319" t="s">
        <v>190</v>
      </c>
      <c r="DN663" s="319" t="s">
        <v>428</v>
      </c>
      <c r="DO663" s="319" t="s">
        <v>190</v>
      </c>
      <c r="DP663" s="319" t="s">
        <v>190</v>
      </c>
      <c r="DQ663" s="319" t="s">
        <v>190</v>
      </c>
      <c r="DR663" s="319" t="s">
        <v>190</v>
      </c>
      <c r="DS663" s="319" t="s">
        <v>190</v>
      </c>
      <c r="DT663" s="319" t="s">
        <v>190</v>
      </c>
      <c r="DU663" s="319" t="s">
        <v>190</v>
      </c>
      <c r="DV663" s="319" t="s">
        <v>173</v>
      </c>
      <c r="DW663" s="319" t="s">
        <v>190</v>
      </c>
      <c r="DX663" s="319" t="s">
        <v>190</v>
      </c>
      <c r="DY663" s="319" t="s">
        <v>190</v>
      </c>
      <c r="DZ663" s="319" t="s">
        <v>190</v>
      </c>
      <c r="EA663" s="319" t="s">
        <v>190</v>
      </c>
      <c r="EB663" s="319" t="s">
        <v>190</v>
      </c>
      <c r="EC663" s="319" t="s">
        <v>428</v>
      </c>
      <c r="ED663" s="319" t="s">
        <v>190</v>
      </c>
      <c r="EE663" s="319" t="s">
        <v>190</v>
      </c>
      <c r="EF663" s="319" t="s">
        <v>190</v>
      </c>
      <c r="EG663" s="319" t="s">
        <v>190</v>
      </c>
      <c r="EH663" s="319" t="s">
        <v>190</v>
      </c>
      <c r="EI663" s="319" t="s">
        <v>190</v>
      </c>
      <c r="EJ663" s="319" t="s">
        <v>190</v>
      </c>
      <c r="EK663" s="319" t="s">
        <v>190</v>
      </c>
      <c r="EL663" s="319" t="s">
        <v>190</v>
      </c>
      <c r="EM663" s="319" t="s">
        <v>190</v>
      </c>
      <c r="EN663" s="319" t="s">
        <v>190</v>
      </c>
      <c r="EO663" s="319" t="s">
        <v>190</v>
      </c>
      <c r="EP663" s="319" t="s">
        <v>190</v>
      </c>
      <c r="EQ663" s="319" t="s">
        <v>190</v>
      </c>
      <c r="ER663" s="319" t="s">
        <v>190</v>
      </c>
      <c r="ES663" s="319" t="s">
        <v>190</v>
      </c>
      <c r="ET663" s="319" t="s">
        <v>190</v>
      </c>
      <c r="EU663" s="319" t="s">
        <v>190</v>
      </c>
      <c r="EV663" s="319" t="s">
        <v>190</v>
      </c>
      <c r="EW663" s="319" t="s">
        <v>190</v>
      </c>
      <c r="EX663" s="319" t="s">
        <v>190</v>
      </c>
      <c r="EY663" s="319" t="s">
        <v>190</v>
      </c>
      <c r="EZ663" s="319" t="s">
        <v>190</v>
      </c>
      <c r="FA663" s="319" t="s">
        <v>190</v>
      </c>
      <c r="FB663" s="319" t="s">
        <v>190</v>
      </c>
      <c r="FC663" s="319" t="s">
        <v>190</v>
      </c>
      <c r="FD663" s="319" t="s">
        <v>190</v>
      </c>
      <c r="FE663" s="319" t="s">
        <v>190</v>
      </c>
      <c r="FF663" s="319" t="s">
        <v>190</v>
      </c>
      <c r="FG663" s="319" t="s">
        <v>190</v>
      </c>
      <c r="FH663" s="319" t="s">
        <v>190</v>
      </c>
      <c r="FI663" s="319" t="s">
        <v>190</v>
      </c>
      <c r="FJ663" s="319" t="s">
        <v>190</v>
      </c>
      <c r="FK663" s="319" t="s">
        <v>190</v>
      </c>
      <c r="FL663" s="319" t="s">
        <v>190</v>
      </c>
      <c r="FM663" s="319" t="s">
        <v>190</v>
      </c>
      <c r="FN663" s="319" t="s">
        <v>428</v>
      </c>
      <c r="FO663" s="319" t="s">
        <v>428</v>
      </c>
      <c r="FP663" s="319" t="s">
        <v>190</v>
      </c>
      <c r="FQ663" s="319" t="s">
        <v>190</v>
      </c>
      <c r="FR663" s="319" t="s">
        <v>190</v>
      </c>
      <c r="FS663" s="319" t="s">
        <v>428</v>
      </c>
      <c r="FT663" s="319" t="s">
        <v>190</v>
      </c>
      <c r="FU663" s="319" t="s">
        <v>190</v>
      </c>
      <c r="FV663" s="319" t="s">
        <v>190</v>
      </c>
      <c r="FW663" s="319" t="s">
        <v>190</v>
      </c>
      <c r="FX663" s="319" t="s">
        <v>190</v>
      </c>
      <c r="FY663" s="319" t="s">
        <v>190</v>
      </c>
      <c r="FZ663" s="319" t="s">
        <v>190</v>
      </c>
      <c r="GA663" s="319" t="s">
        <v>190</v>
      </c>
      <c r="GB663" s="319" t="s">
        <v>190</v>
      </c>
      <c r="GC663" s="319" t="s">
        <v>190</v>
      </c>
      <c r="GD663" s="319" t="s">
        <v>190</v>
      </c>
      <c r="GE663" s="319" t="s">
        <v>190</v>
      </c>
      <c r="GF663" s="319" t="s">
        <v>190</v>
      </c>
      <c r="GG663" s="319" t="s">
        <v>190</v>
      </c>
      <c r="GH663" s="319" t="s">
        <v>190</v>
      </c>
      <c r="GI663" s="319" t="s">
        <v>190</v>
      </c>
      <c r="GJ663" s="319" t="s">
        <v>190</v>
      </c>
      <c r="GK663" s="319" t="s">
        <v>428</v>
      </c>
      <c r="GL663" s="319" t="s">
        <v>190</v>
      </c>
      <c r="GM663" s="319" t="s">
        <v>190</v>
      </c>
      <c r="GN663" s="319" t="s">
        <v>190</v>
      </c>
      <c r="GO663" s="319" t="s">
        <v>190</v>
      </c>
      <c r="GP663" s="319" t="s">
        <v>190</v>
      </c>
      <c r="GQ663" s="319" t="s">
        <v>428</v>
      </c>
      <c r="GR663" s="319" t="s">
        <v>190</v>
      </c>
      <c r="GS663" s="319" t="s">
        <v>190</v>
      </c>
      <c r="GT663" s="319" t="s">
        <v>428</v>
      </c>
      <c r="GU663" s="319" t="s">
        <v>428</v>
      </c>
      <c r="GV663" s="319" t="s">
        <v>190</v>
      </c>
      <c r="GW663" s="319" t="s">
        <v>190</v>
      </c>
      <c r="GX663" s="319" t="s">
        <v>190</v>
      </c>
      <c r="GY663" s="319" t="s">
        <v>190</v>
      </c>
      <c r="GZ663" s="319" t="s">
        <v>190</v>
      </c>
      <c r="HA663" s="319" t="s">
        <v>428</v>
      </c>
      <c r="HB663" s="319" t="s">
        <v>190</v>
      </c>
      <c r="HC663" s="319" t="s">
        <v>190</v>
      </c>
      <c r="HD663" s="319" t="s">
        <v>190</v>
      </c>
      <c r="HE663" s="319" t="s">
        <v>190</v>
      </c>
      <c r="HF663" s="319" t="s">
        <v>190</v>
      </c>
      <c r="HG663" s="319" t="s">
        <v>190</v>
      </c>
      <c r="HH663" s="319" t="s">
        <v>190</v>
      </c>
      <c r="HI663" s="319" t="s">
        <v>190</v>
      </c>
      <c r="HJ663" s="319" t="s">
        <v>190</v>
      </c>
      <c r="HK663" s="319" t="s">
        <v>190</v>
      </c>
      <c r="HL663" s="319" t="s">
        <v>428</v>
      </c>
      <c r="HM663" s="319" t="s">
        <v>428</v>
      </c>
      <c r="HN663" s="319" t="s">
        <v>428</v>
      </c>
      <c r="HO663" s="319" t="s">
        <v>428</v>
      </c>
      <c r="HP663" s="319" t="s">
        <v>190</v>
      </c>
      <c r="HQ663" s="319" t="s">
        <v>190</v>
      </c>
      <c r="HR663" s="319" t="s">
        <v>190</v>
      </c>
      <c r="HS663" s="319" t="s">
        <v>190</v>
      </c>
      <c r="HT663" s="319" t="s">
        <v>190</v>
      </c>
      <c r="HU663" s="319" t="s">
        <v>190</v>
      </c>
      <c r="HV663" s="319" t="s">
        <v>190</v>
      </c>
      <c r="HW663" s="319" t="s">
        <v>190</v>
      </c>
      <c r="HX663" s="319" t="s">
        <v>190</v>
      </c>
      <c r="HY663" s="319" t="s">
        <v>190</v>
      </c>
      <c r="HZ663" s="319" t="s">
        <v>190</v>
      </c>
      <c r="IA663" s="319" t="s">
        <v>190</v>
      </c>
      <c r="IB663" s="319" t="s">
        <v>190</v>
      </c>
      <c r="IC663" s="319" t="s">
        <v>190</v>
      </c>
      <c r="ID663" s="319" t="s">
        <v>190</v>
      </c>
      <c r="IE663" s="319" t="s">
        <v>190</v>
      </c>
      <c r="IF663" s="319" t="s">
        <v>190</v>
      </c>
      <c r="IG663" s="319" t="s">
        <v>190</v>
      </c>
      <c r="IH663" s="319" t="s">
        <v>190</v>
      </c>
      <c r="II663" s="319" t="s">
        <v>190</v>
      </c>
      <c r="IJ663" s="319">
        <v>10006124</v>
      </c>
      <c r="IK663" s="321">
        <v>42934</v>
      </c>
      <c r="IL663" s="321">
        <v>42936</v>
      </c>
      <c r="IM663" s="321">
        <v>42998</v>
      </c>
      <c r="IN663" s="319">
        <v>3</v>
      </c>
      <c r="IO663" s="319" t="s">
        <v>173</v>
      </c>
      <c r="IP663" s="319" t="s">
        <v>173</v>
      </c>
      <c r="IQ663" s="319" t="s">
        <v>173</v>
      </c>
      <c r="IR663" s="320" t="s">
        <v>173</v>
      </c>
      <c r="IS663" s="320" t="s">
        <v>173</v>
      </c>
      <c r="IT663" s="319" t="s">
        <v>173</v>
      </c>
    </row>
    <row r="664" spans="1:254" s="271" customFormat="1" x14ac:dyDescent="0.25">
      <c r="A664" s="318" t="str">
        <f>HYPERLINK("http://www.ofsted.gov.uk/inspection-reports/find-inspection-report/provider/ELS/137505 ","Ofsted School Webpage")</f>
        <v>Ofsted School Webpage</v>
      </c>
      <c r="B664" s="319">
        <v>137505</v>
      </c>
      <c r="C664" s="319">
        <v>2046002</v>
      </c>
      <c r="D664" s="319" t="s">
        <v>1138</v>
      </c>
      <c r="E664" s="319" t="s">
        <v>167</v>
      </c>
      <c r="F664" s="319" t="s">
        <v>70</v>
      </c>
      <c r="G664" s="319" t="s">
        <v>69</v>
      </c>
      <c r="H664" s="319" t="s">
        <v>70</v>
      </c>
      <c r="I664" s="319" t="s">
        <v>69</v>
      </c>
      <c r="J664" s="319" t="s">
        <v>424</v>
      </c>
      <c r="K664" s="319" t="s">
        <v>441</v>
      </c>
      <c r="L664" s="319" t="s">
        <v>441</v>
      </c>
      <c r="M664" s="319" t="s">
        <v>547</v>
      </c>
      <c r="N664" s="319" t="s">
        <v>2774</v>
      </c>
      <c r="O664" s="319" t="s">
        <v>1139</v>
      </c>
      <c r="P664" s="319">
        <v>658</v>
      </c>
      <c r="Q664" s="319" t="s">
        <v>2766</v>
      </c>
      <c r="R664" s="320">
        <v>10012789</v>
      </c>
      <c r="S664" s="321">
        <v>42549</v>
      </c>
      <c r="T664" s="321">
        <v>42551</v>
      </c>
      <c r="U664" s="321">
        <v>42681</v>
      </c>
      <c r="V664" s="319" t="s">
        <v>425</v>
      </c>
      <c r="W664" s="319" t="s">
        <v>2767</v>
      </c>
      <c r="X664" s="319">
        <v>4</v>
      </c>
      <c r="Y664" s="319" t="s">
        <v>173</v>
      </c>
      <c r="Z664" s="319" t="s">
        <v>173</v>
      </c>
      <c r="AA664" s="319" t="s">
        <v>173</v>
      </c>
      <c r="AB664" s="319">
        <v>4</v>
      </c>
      <c r="AC664" s="319" t="s">
        <v>170</v>
      </c>
      <c r="AD664" s="319">
        <v>4</v>
      </c>
      <c r="AE664" s="319" t="s">
        <v>173</v>
      </c>
      <c r="AF664" s="319" t="s">
        <v>173</v>
      </c>
      <c r="AG664" s="319" t="s">
        <v>172</v>
      </c>
      <c r="AH664" s="319" t="s">
        <v>479</v>
      </c>
      <c r="AI664" s="319" t="s">
        <v>190</v>
      </c>
      <c r="AJ664" s="319" t="s">
        <v>190</v>
      </c>
      <c r="AK664" s="319" t="s">
        <v>190</v>
      </c>
      <c r="AL664" s="319" t="s">
        <v>190</v>
      </c>
      <c r="AM664" s="319" t="s">
        <v>190</v>
      </c>
      <c r="AN664" s="319" t="s">
        <v>190</v>
      </c>
      <c r="AO664" s="319" t="s">
        <v>190</v>
      </c>
      <c r="AP664" s="319" t="s">
        <v>191</v>
      </c>
      <c r="AQ664" s="319" t="s">
        <v>190</v>
      </c>
      <c r="AR664" s="319" t="s">
        <v>173</v>
      </c>
      <c r="AS664" s="319" t="s">
        <v>190</v>
      </c>
      <c r="AT664" s="319" t="s">
        <v>191</v>
      </c>
      <c r="AU664" s="319" t="s">
        <v>173</v>
      </c>
      <c r="AV664" s="319" t="s">
        <v>190</v>
      </c>
      <c r="AW664" s="319" t="s">
        <v>190</v>
      </c>
      <c r="AX664" s="319" t="s">
        <v>429</v>
      </c>
      <c r="AY664" s="319" t="s">
        <v>190</v>
      </c>
      <c r="AZ664" s="319" t="s">
        <v>190</v>
      </c>
      <c r="BA664" s="319" t="s">
        <v>191</v>
      </c>
      <c r="BB664" s="319" t="s">
        <v>429</v>
      </c>
      <c r="BC664" s="319" t="s">
        <v>429</v>
      </c>
      <c r="BD664" s="319" t="s">
        <v>429</v>
      </c>
      <c r="BE664" s="319" t="s">
        <v>429</v>
      </c>
      <c r="BF664" s="319" t="s">
        <v>191</v>
      </c>
      <c r="BG664" s="319" t="s">
        <v>190</v>
      </c>
      <c r="BH664" s="319" t="s">
        <v>190</v>
      </c>
      <c r="BI664" s="319" t="s">
        <v>190</v>
      </c>
      <c r="BJ664" s="319" t="s">
        <v>190</v>
      </c>
      <c r="BK664" s="319" t="s">
        <v>190</v>
      </c>
      <c r="BL664" s="319" t="s">
        <v>190</v>
      </c>
      <c r="BM664" s="319" t="s">
        <v>190</v>
      </c>
      <c r="BN664" s="319" t="s">
        <v>190</v>
      </c>
      <c r="BO664" s="319" t="s">
        <v>190</v>
      </c>
      <c r="BP664" s="319" t="s">
        <v>190</v>
      </c>
      <c r="BQ664" s="319" t="s">
        <v>190</v>
      </c>
      <c r="BR664" s="319" t="s">
        <v>190</v>
      </c>
      <c r="BS664" s="319" t="s">
        <v>191</v>
      </c>
      <c r="BT664" s="319" t="s">
        <v>191</v>
      </c>
      <c r="BU664" s="319" t="s">
        <v>190</v>
      </c>
      <c r="BV664" s="319" t="s">
        <v>529</v>
      </c>
      <c r="BW664" s="319" t="s">
        <v>191</v>
      </c>
      <c r="BX664" s="319" t="s">
        <v>529</v>
      </c>
      <c r="BY664" s="319" t="s">
        <v>190</v>
      </c>
      <c r="BZ664" s="319" t="s">
        <v>190</v>
      </c>
      <c r="CA664" s="319" t="s">
        <v>190</v>
      </c>
      <c r="CB664" s="319" t="s">
        <v>190</v>
      </c>
      <c r="CC664" s="319" t="s">
        <v>191</v>
      </c>
      <c r="CD664" s="319" t="s">
        <v>191</v>
      </c>
      <c r="CE664" s="319" t="s">
        <v>190</v>
      </c>
      <c r="CF664" s="319" t="s">
        <v>190</v>
      </c>
      <c r="CG664" s="319" t="s">
        <v>190</v>
      </c>
      <c r="CH664" s="319" t="s">
        <v>190</v>
      </c>
      <c r="CI664" s="319" t="s">
        <v>190</v>
      </c>
      <c r="CJ664" s="319" t="s">
        <v>190</v>
      </c>
      <c r="CK664" s="319" t="s">
        <v>529</v>
      </c>
      <c r="CL664" s="319" t="s">
        <v>190</v>
      </c>
      <c r="CM664" s="319" t="s">
        <v>190</v>
      </c>
      <c r="CN664" s="319" t="s">
        <v>529</v>
      </c>
      <c r="CO664" s="319" t="s">
        <v>429</v>
      </c>
      <c r="CP664" s="319" t="s">
        <v>429</v>
      </c>
      <c r="CQ664" s="319" t="s">
        <v>529</v>
      </c>
      <c r="CR664" s="319" t="s">
        <v>190</v>
      </c>
      <c r="CS664" s="319" t="s">
        <v>190</v>
      </c>
      <c r="CT664" s="319" t="s">
        <v>190</v>
      </c>
      <c r="CU664" s="319" t="s">
        <v>190</v>
      </c>
      <c r="CV664" s="319" t="s">
        <v>190</v>
      </c>
      <c r="CW664" s="319" t="s">
        <v>190</v>
      </c>
      <c r="CX664" s="319" t="s">
        <v>190</v>
      </c>
      <c r="CY664" s="319" t="s">
        <v>190</v>
      </c>
      <c r="CZ664" s="319" t="s">
        <v>190</v>
      </c>
      <c r="DA664" s="319" t="s">
        <v>529</v>
      </c>
      <c r="DB664" s="319" t="s">
        <v>190</v>
      </c>
      <c r="DC664" s="319" t="s">
        <v>190</v>
      </c>
      <c r="DD664" s="319" t="s">
        <v>529</v>
      </c>
      <c r="DE664" s="319" t="s">
        <v>190</v>
      </c>
      <c r="DF664" s="319" t="s">
        <v>190</v>
      </c>
      <c r="DG664" s="319" t="s">
        <v>190</v>
      </c>
      <c r="DH664" s="319" t="s">
        <v>190</v>
      </c>
      <c r="DI664" s="319" t="s">
        <v>190</v>
      </c>
      <c r="DJ664" s="319" t="s">
        <v>190</v>
      </c>
      <c r="DK664" s="319" t="s">
        <v>190</v>
      </c>
      <c r="DL664" s="319" t="s">
        <v>190</v>
      </c>
      <c r="DM664" s="319" t="s">
        <v>190</v>
      </c>
      <c r="DN664" s="319" t="s">
        <v>429</v>
      </c>
      <c r="DO664" s="319" t="s">
        <v>429</v>
      </c>
      <c r="DP664" s="319" t="s">
        <v>529</v>
      </c>
      <c r="DQ664" s="319" t="s">
        <v>529</v>
      </c>
      <c r="DR664" s="319" t="s">
        <v>190</v>
      </c>
      <c r="DS664" s="319" t="s">
        <v>190</v>
      </c>
      <c r="DT664" s="319" t="s">
        <v>190</v>
      </c>
      <c r="DU664" s="319" t="s">
        <v>190</v>
      </c>
      <c r="DV664" s="319" t="s">
        <v>173</v>
      </c>
      <c r="DW664" s="319" t="s">
        <v>190</v>
      </c>
      <c r="DX664" s="319" t="s">
        <v>190</v>
      </c>
      <c r="DY664" s="319" t="s">
        <v>190</v>
      </c>
      <c r="DZ664" s="319" t="s">
        <v>190</v>
      </c>
      <c r="EA664" s="319" t="s">
        <v>190</v>
      </c>
      <c r="EB664" s="319" t="s">
        <v>190</v>
      </c>
      <c r="EC664" s="319" t="s">
        <v>429</v>
      </c>
      <c r="ED664" s="319" t="s">
        <v>190</v>
      </c>
      <c r="EE664" s="319" t="s">
        <v>190</v>
      </c>
      <c r="EF664" s="319" t="s">
        <v>173</v>
      </c>
      <c r="EG664" s="319" t="s">
        <v>190</v>
      </c>
      <c r="EH664" s="319" t="s">
        <v>190</v>
      </c>
      <c r="EI664" s="319" t="s">
        <v>190</v>
      </c>
      <c r="EJ664" s="319" t="s">
        <v>190</v>
      </c>
      <c r="EK664" s="319" t="s">
        <v>190</v>
      </c>
      <c r="EL664" s="319" t="s">
        <v>190</v>
      </c>
      <c r="EM664" s="319" t="s">
        <v>190</v>
      </c>
      <c r="EN664" s="319" t="s">
        <v>190</v>
      </c>
      <c r="EO664" s="319" t="s">
        <v>190</v>
      </c>
      <c r="EP664" s="319" t="s">
        <v>190</v>
      </c>
      <c r="EQ664" s="319" t="s">
        <v>190</v>
      </c>
      <c r="ER664" s="319" t="s">
        <v>190</v>
      </c>
      <c r="ES664" s="319" t="s">
        <v>190</v>
      </c>
      <c r="ET664" s="319" t="s">
        <v>190</v>
      </c>
      <c r="EU664" s="319" t="s">
        <v>190</v>
      </c>
      <c r="EV664" s="319" t="s">
        <v>190</v>
      </c>
      <c r="EW664" s="319" t="s">
        <v>190</v>
      </c>
      <c r="EX664" s="319" t="s">
        <v>190</v>
      </c>
      <c r="EY664" s="319" t="s">
        <v>190</v>
      </c>
      <c r="EZ664" s="319" t="s">
        <v>190</v>
      </c>
      <c r="FA664" s="319" t="s">
        <v>190</v>
      </c>
      <c r="FB664" s="319" t="s">
        <v>190</v>
      </c>
      <c r="FC664" s="319" t="s">
        <v>190</v>
      </c>
      <c r="FD664" s="319" t="s">
        <v>190</v>
      </c>
      <c r="FE664" s="319" t="s">
        <v>190</v>
      </c>
      <c r="FF664" s="319" t="s">
        <v>190</v>
      </c>
      <c r="FG664" s="319" t="s">
        <v>190</v>
      </c>
      <c r="FH664" s="319" t="s">
        <v>190</v>
      </c>
      <c r="FI664" s="319" t="s">
        <v>190</v>
      </c>
      <c r="FJ664" s="319" t="s">
        <v>190</v>
      </c>
      <c r="FK664" s="319" t="s">
        <v>190</v>
      </c>
      <c r="FL664" s="319" t="s">
        <v>529</v>
      </c>
      <c r="FM664" s="319" t="s">
        <v>190</v>
      </c>
      <c r="FN664" s="319" t="s">
        <v>190</v>
      </c>
      <c r="FO664" s="319" t="s">
        <v>190</v>
      </c>
      <c r="FP664" s="319" t="s">
        <v>190</v>
      </c>
      <c r="FQ664" s="319" t="s">
        <v>190</v>
      </c>
      <c r="FR664" s="319" t="s">
        <v>190</v>
      </c>
      <c r="FS664" s="319" t="s">
        <v>190</v>
      </c>
      <c r="FT664" s="319" t="s">
        <v>173</v>
      </c>
      <c r="FU664" s="319" t="s">
        <v>529</v>
      </c>
      <c r="FV664" s="319" t="s">
        <v>190</v>
      </c>
      <c r="FW664" s="319" t="s">
        <v>529</v>
      </c>
      <c r="FX664" s="319" t="s">
        <v>190</v>
      </c>
      <c r="FY664" s="319" t="s">
        <v>190</v>
      </c>
      <c r="FZ664" s="319" t="s">
        <v>529</v>
      </c>
      <c r="GA664" s="319" t="s">
        <v>190</v>
      </c>
      <c r="GB664" s="319" t="s">
        <v>190</v>
      </c>
      <c r="GC664" s="319" t="s">
        <v>190</v>
      </c>
      <c r="GD664" s="319" t="s">
        <v>190</v>
      </c>
      <c r="GE664" s="319" t="s">
        <v>173</v>
      </c>
      <c r="GF664" s="319" t="s">
        <v>173</v>
      </c>
      <c r="GG664" s="319" t="s">
        <v>173</v>
      </c>
      <c r="GH664" s="319" t="s">
        <v>190</v>
      </c>
      <c r="GI664" s="319" t="s">
        <v>190</v>
      </c>
      <c r="GJ664" s="319" t="s">
        <v>190</v>
      </c>
      <c r="GK664" s="319" t="s">
        <v>429</v>
      </c>
      <c r="GL664" s="319" t="s">
        <v>529</v>
      </c>
      <c r="GM664" s="319" t="s">
        <v>190</v>
      </c>
      <c r="GN664" s="319" t="s">
        <v>190</v>
      </c>
      <c r="GO664" s="319" t="s">
        <v>190</v>
      </c>
      <c r="GP664" s="319" t="s">
        <v>190</v>
      </c>
      <c r="GQ664" s="319" t="s">
        <v>429</v>
      </c>
      <c r="GR664" s="319" t="s">
        <v>190</v>
      </c>
      <c r="GS664" s="319" t="s">
        <v>190</v>
      </c>
      <c r="GT664" s="319" t="s">
        <v>190</v>
      </c>
      <c r="GU664" s="319" t="s">
        <v>190</v>
      </c>
      <c r="GV664" s="319" t="s">
        <v>190</v>
      </c>
      <c r="GW664" s="319" t="s">
        <v>173</v>
      </c>
      <c r="GX664" s="319" t="s">
        <v>173</v>
      </c>
      <c r="GY664" s="319" t="s">
        <v>173</v>
      </c>
      <c r="GZ664" s="319" t="s">
        <v>173</v>
      </c>
      <c r="HA664" s="319" t="s">
        <v>173</v>
      </c>
      <c r="HB664" s="319" t="s">
        <v>173</v>
      </c>
      <c r="HC664" s="319" t="s">
        <v>173</v>
      </c>
      <c r="HD664" s="319" t="s">
        <v>173</v>
      </c>
      <c r="HE664" s="319" t="s">
        <v>173</v>
      </c>
      <c r="HF664" s="319" t="s">
        <v>173</v>
      </c>
      <c r="HG664" s="319" t="s">
        <v>173</v>
      </c>
      <c r="HH664" s="319" t="s">
        <v>173</v>
      </c>
      <c r="HI664" s="319" t="s">
        <v>173</v>
      </c>
      <c r="HJ664" s="319" t="s">
        <v>173</v>
      </c>
      <c r="HK664" s="319" t="s">
        <v>173</v>
      </c>
      <c r="HL664" s="319" t="s">
        <v>173</v>
      </c>
      <c r="HM664" s="319" t="s">
        <v>173</v>
      </c>
      <c r="HN664" s="319" t="s">
        <v>173</v>
      </c>
      <c r="HO664" s="319" t="s">
        <v>173</v>
      </c>
      <c r="HP664" s="319" t="s">
        <v>529</v>
      </c>
      <c r="HQ664" s="319" t="s">
        <v>190</v>
      </c>
      <c r="HR664" s="319" t="s">
        <v>190</v>
      </c>
      <c r="HS664" s="319" t="s">
        <v>190</v>
      </c>
      <c r="HT664" s="319" t="s">
        <v>190</v>
      </c>
      <c r="HU664" s="319" t="s">
        <v>190</v>
      </c>
      <c r="HV664" s="319" t="s">
        <v>190</v>
      </c>
      <c r="HW664" s="319" t="s">
        <v>190</v>
      </c>
      <c r="HX664" s="319" t="s">
        <v>190</v>
      </c>
      <c r="HY664" s="319" t="s">
        <v>190</v>
      </c>
      <c r="HZ664" s="319" t="s">
        <v>190</v>
      </c>
      <c r="IA664" s="319" t="s">
        <v>190</v>
      </c>
      <c r="IB664" s="319" t="s">
        <v>190</v>
      </c>
      <c r="IC664" s="319" t="s">
        <v>190</v>
      </c>
      <c r="ID664" s="319" t="s">
        <v>190</v>
      </c>
      <c r="IE664" s="319" t="s">
        <v>190</v>
      </c>
      <c r="IF664" s="319" t="s">
        <v>529</v>
      </c>
      <c r="IG664" s="319" t="s">
        <v>191</v>
      </c>
      <c r="IH664" s="319" t="s">
        <v>191</v>
      </c>
      <c r="II664" s="319" t="s">
        <v>190</v>
      </c>
      <c r="IJ664" s="319" t="s">
        <v>3412</v>
      </c>
      <c r="IK664" s="321">
        <v>41080</v>
      </c>
      <c r="IL664" s="321">
        <v>41081</v>
      </c>
      <c r="IM664" s="321">
        <v>41102</v>
      </c>
      <c r="IN664" s="319">
        <v>2</v>
      </c>
      <c r="IO664" s="319">
        <v>10094569</v>
      </c>
      <c r="IP664" s="319" t="s">
        <v>985</v>
      </c>
      <c r="IQ664" s="321">
        <v>43538</v>
      </c>
      <c r="IR664" s="320" t="s">
        <v>1223</v>
      </c>
      <c r="IS664" s="322">
        <v>43565</v>
      </c>
      <c r="IT664" s="319" t="s">
        <v>166</v>
      </c>
    </row>
    <row r="665" spans="1:254" s="271" customFormat="1" x14ac:dyDescent="0.25">
      <c r="A665" s="318" t="str">
        <f>HYPERLINK("http://www.ofsted.gov.uk/inspection-reports/find-inspection-report/provider/ELS/137511 ","Ofsted School Webpage")</f>
        <v>Ofsted School Webpage</v>
      </c>
      <c r="B665" s="319">
        <v>137511</v>
      </c>
      <c r="C665" s="319">
        <v>8416006</v>
      </c>
      <c r="D665" s="319" t="s">
        <v>696</v>
      </c>
      <c r="E665" s="319" t="s">
        <v>168</v>
      </c>
      <c r="F665" s="319" t="s">
        <v>81</v>
      </c>
      <c r="G665" s="319" t="s">
        <v>81</v>
      </c>
      <c r="H665" s="319" t="s">
        <v>81</v>
      </c>
      <c r="I665" s="319" t="s">
        <v>78</v>
      </c>
      <c r="J665" s="319" t="s">
        <v>424</v>
      </c>
      <c r="K665" s="319" t="s">
        <v>458</v>
      </c>
      <c r="L665" s="319" t="s">
        <v>474</v>
      </c>
      <c r="M665" s="319" t="s">
        <v>475</v>
      </c>
      <c r="N665" s="319" t="s">
        <v>3258</v>
      </c>
      <c r="O665" s="319" t="s">
        <v>697</v>
      </c>
      <c r="P665" s="319">
        <v>51</v>
      </c>
      <c r="Q665" s="319" t="s">
        <v>429</v>
      </c>
      <c r="R665" s="320">
        <v>10053831</v>
      </c>
      <c r="S665" s="321">
        <v>43424</v>
      </c>
      <c r="T665" s="321">
        <v>43426</v>
      </c>
      <c r="U665" s="321">
        <v>43452</v>
      </c>
      <c r="V665" s="319" t="s">
        <v>425</v>
      </c>
      <c r="W665" s="319" t="s">
        <v>2767</v>
      </c>
      <c r="X665" s="319">
        <v>2</v>
      </c>
      <c r="Y665" s="319" t="s">
        <v>173</v>
      </c>
      <c r="Z665" s="319" t="s">
        <v>173</v>
      </c>
      <c r="AA665" s="319" t="s">
        <v>173</v>
      </c>
      <c r="AB665" s="319">
        <v>2</v>
      </c>
      <c r="AC665" s="319" t="s">
        <v>169</v>
      </c>
      <c r="AD665" s="319" t="s">
        <v>173</v>
      </c>
      <c r="AE665" s="319" t="s">
        <v>173</v>
      </c>
      <c r="AF665" s="319" t="s">
        <v>427</v>
      </c>
      <c r="AG665" s="319" t="s">
        <v>171</v>
      </c>
      <c r="AH665" s="319" t="s">
        <v>190</v>
      </c>
      <c r="AI665" s="319" t="s">
        <v>190</v>
      </c>
      <c r="AJ665" s="319" t="s">
        <v>190</v>
      </c>
      <c r="AK665" s="319" t="s">
        <v>190</v>
      </c>
      <c r="AL665" s="319" t="s">
        <v>190</v>
      </c>
      <c r="AM665" s="319" t="s">
        <v>190</v>
      </c>
      <c r="AN665" s="319" t="s">
        <v>190</v>
      </c>
      <c r="AO665" s="319" t="s">
        <v>190</v>
      </c>
      <c r="AP665" s="319" t="s">
        <v>190</v>
      </c>
      <c r="AQ665" s="319" t="s">
        <v>190</v>
      </c>
      <c r="AR665" s="319" t="s">
        <v>190</v>
      </c>
      <c r="AS665" s="319" t="s">
        <v>190</v>
      </c>
      <c r="AT665" s="319" t="s">
        <v>190</v>
      </c>
      <c r="AU665" s="319" t="s">
        <v>190</v>
      </c>
      <c r="AV665" s="319" t="s">
        <v>190</v>
      </c>
      <c r="AW665" s="319" t="s">
        <v>190</v>
      </c>
      <c r="AX665" s="319" t="s">
        <v>428</v>
      </c>
      <c r="AY665" s="319" t="s">
        <v>190</v>
      </c>
      <c r="AZ665" s="319" t="s">
        <v>190</v>
      </c>
      <c r="BA665" s="319" t="s">
        <v>190</v>
      </c>
      <c r="BB665" s="319" t="s">
        <v>190</v>
      </c>
      <c r="BC665" s="319" t="s">
        <v>190</v>
      </c>
      <c r="BD665" s="319" t="s">
        <v>190</v>
      </c>
      <c r="BE665" s="319" t="s">
        <v>190</v>
      </c>
      <c r="BF665" s="319" t="s">
        <v>428</v>
      </c>
      <c r="BG665" s="319" t="s">
        <v>190</v>
      </c>
      <c r="BH665" s="319" t="s">
        <v>190</v>
      </c>
      <c r="BI665" s="319" t="s">
        <v>190</v>
      </c>
      <c r="BJ665" s="319" t="s">
        <v>190</v>
      </c>
      <c r="BK665" s="319" t="s">
        <v>190</v>
      </c>
      <c r="BL665" s="319" t="s">
        <v>190</v>
      </c>
      <c r="BM665" s="319" t="s">
        <v>190</v>
      </c>
      <c r="BN665" s="319" t="s">
        <v>190</v>
      </c>
      <c r="BO665" s="319" t="s">
        <v>190</v>
      </c>
      <c r="BP665" s="319" t="s">
        <v>190</v>
      </c>
      <c r="BQ665" s="319" t="s">
        <v>190</v>
      </c>
      <c r="BR665" s="319" t="s">
        <v>190</v>
      </c>
      <c r="BS665" s="319" t="s">
        <v>190</v>
      </c>
      <c r="BT665" s="319" t="s">
        <v>190</v>
      </c>
      <c r="BU665" s="319" t="s">
        <v>190</v>
      </c>
      <c r="BV665" s="319" t="s">
        <v>190</v>
      </c>
      <c r="BW665" s="319" t="s">
        <v>190</v>
      </c>
      <c r="BX665" s="319" t="s">
        <v>190</v>
      </c>
      <c r="BY665" s="319" t="s">
        <v>190</v>
      </c>
      <c r="BZ665" s="319" t="s">
        <v>190</v>
      </c>
      <c r="CA665" s="319" t="s">
        <v>190</v>
      </c>
      <c r="CB665" s="319" t="s">
        <v>190</v>
      </c>
      <c r="CC665" s="319" t="s">
        <v>190</v>
      </c>
      <c r="CD665" s="319" t="s">
        <v>190</v>
      </c>
      <c r="CE665" s="319" t="s">
        <v>190</v>
      </c>
      <c r="CF665" s="319" t="s">
        <v>190</v>
      </c>
      <c r="CG665" s="319" t="s">
        <v>190</v>
      </c>
      <c r="CH665" s="319" t="s">
        <v>190</v>
      </c>
      <c r="CI665" s="319" t="s">
        <v>190</v>
      </c>
      <c r="CJ665" s="319" t="s">
        <v>190</v>
      </c>
      <c r="CK665" s="319" t="s">
        <v>190</v>
      </c>
      <c r="CL665" s="319" t="s">
        <v>190</v>
      </c>
      <c r="CM665" s="319" t="s">
        <v>190</v>
      </c>
      <c r="CN665" s="319" t="s">
        <v>428</v>
      </c>
      <c r="CO665" s="319" t="s">
        <v>428</v>
      </c>
      <c r="CP665" s="319" t="s">
        <v>428</v>
      </c>
      <c r="CQ665" s="319" t="s">
        <v>190</v>
      </c>
      <c r="CR665" s="319" t="s">
        <v>190</v>
      </c>
      <c r="CS665" s="319" t="s">
        <v>190</v>
      </c>
      <c r="CT665" s="319" t="s">
        <v>190</v>
      </c>
      <c r="CU665" s="319" t="s">
        <v>190</v>
      </c>
      <c r="CV665" s="319" t="s">
        <v>190</v>
      </c>
      <c r="CW665" s="319" t="s">
        <v>190</v>
      </c>
      <c r="CX665" s="319" t="s">
        <v>190</v>
      </c>
      <c r="CY665" s="319" t="s">
        <v>190</v>
      </c>
      <c r="CZ665" s="319" t="s">
        <v>190</v>
      </c>
      <c r="DA665" s="319" t="s">
        <v>190</v>
      </c>
      <c r="DB665" s="319" t="s">
        <v>190</v>
      </c>
      <c r="DC665" s="319" t="s">
        <v>190</v>
      </c>
      <c r="DD665" s="319" t="s">
        <v>190</v>
      </c>
      <c r="DE665" s="319" t="s">
        <v>190</v>
      </c>
      <c r="DF665" s="319" t="s">
        <v>190</v>
      </c>
      <c r="DG665" s="319" t="s">
        <v>190</v>
      </c>
      <c r="DH665" s="319" t="s">
        <v>190</v>
      </c>
      <c r="DI665" s="319" t="s">
        <v>190</v>
      </c>
      <c r="DJ665" s="319" t="s">
        <v>190</v>
      </c>
      <c r="DK665" s="319" t="s">
        <v>190</v>
      </c>
      <c r="DL665" s="319" t="s">
        <v>190</v>
      </c>
      <c r="DM665" s="319" t="s">
        <v>190</v>
      </c>
      <c r="DN665" s="319" t="s">
        <v>428</v>
      </c>
      <c r="DO665" s="319" t="s">
        <v>190</v>
      </c>
      <c r="DP665" s="319" t="s">
        <v>428</v>
      </c>
      <c r="DQ665" s="319" t="s">
        <v>428</v>
      </c>
      <c r="DR665" s="319" t="s">
        <v>428</v>
      </c>
      <c r="DS665" s="319" t="s">
        <v>428</v>
      </c>
      <c r="DT665" s="319" t="s">
        <v>428</v>
      </c>
      <c r="DU665" s="319" t="s">
        <v>428</v>
      </c>
      <c r="DV665" s="319" t="s">
        <v>173</v>
      </c>
      <c r="DW665" s="319" t="s">
        <v>428</v>
      </c>
      <c r="DX665" s="319" t="s">
        <v>428</v>
      </c>
      <c r="DY665" s="319" t="s">
        <v>428</v>
      </c>
      <c r="DZ665" s="319" t="s">
        <v>428</v>
      </c>
      <c r="EA665" s="319" t="s">
        <v>428</v>
      </c>
      <c r="EB665" s="319" t="s">
        <v>428</v>
      </c>
      <c r="EC665" s="319" t="s">
        <v>428</v>
      </c>
      <c r="ED665" s="319" t="s">
        <v>190</v>
      </c>
      <c r="EE665" s="319" t="s">
        <v>190</v>
      </c>
      <c r="EF665" s="319" t="s">
        <v>190</v>
      </c>
      <c r="EG665" s="319" t="s">
        <v>190</v>
      </c>
      <c r="EH665" s="319" t="s">
        <v>190</v>
      </c>
      <c r="EI665" s="319" t="s">
        <v>190</v>
      </c>
      <c r="EJ665" s="319" t="s">
        <v>190</v>
      </c>
      <c r="EK665" s="319" t="s">
        <v>190</v>
      </c>
      <c r="EL665" s="319" t="s">
        <v>190</v>
      </c>
      <c r="EM665" s="319" t="s">
        <v>190</v>
      </c>
      <c r="EN665" s="319" t="s">
        <v>190</v>
      </c>
      <c r="EO665" s="319" t="s">
        <v>190</v>
      </c>
      <c r="EP665" s="319" t="s">
        <v>190</v>
      </c>
      <c r="EQ665" s="319" t="s">
        <v>190</v>
      </c>
      <c r="ER665" s="319" t="s">
        <v>190</v>
      </c>
      <c r="ES665" s="319" t="s">
        <v>190</v>
      </c>
      <c r="ET665" s="319" t="s">
        <v>190</v>
      </c>
      <c r="EU665" s="319" t="s">
        <v>190</v>
      </c>
      <c r="EV665" s="319" t="s">
        <v>190</v>
      </c>
      <c r="EW665" s="319" t="s">
        <v>190</v>
      </c>
      <c r="EX665" s="319" t="s">
        <v>190</v>
      </c>
      <c r="EY665" s="319" t="s">
        <v>190</v>
      </c>
      <c r="EZ665" s="319" t="s">
        <v>190</v>
      </c>
      <c r="FA665" s="319" t="s">
        <v>428</v>
      </c>
      <c r="FB665" s="319" t="s">
        <v>428</v>
      </c>
      <c r="FC665" s="319" t="s">
        <v>428</v>
      </c>
      <c r="FD665" s="319" t="s">
        <v>428</v>
      </c>
      <c r="FE665" s="319" t="s">
        <v>428</v>
      </c>
      <c r="FF665" s="319" t="s">
        <v>428</v>
      </c>
      <c r="FG665" s="319" t="s">
        <v>428</v>
      </c>
      <c r="FH665" s="319" t="s">
        <v>190</v>
      </c>
      <c r="FI665" s="319" t="s">
        <v>190</v>
      </c>
      <c r="FJ665" s="319" t="s">
        <v>190</v>
      </c>
      <c r="FK665" s="319" t="s">
        <v>190</v>
      </c>
      <c r="FL665" s="319" t="s">
        <v>190</v>
      </c>
      <c r="FM665" s="319" t="s">
        <v>190</v>
      </c>
      <c r="FN665" s="319" t="s">
        <v>190</v>
      </c>
      <c r="FO665" s="319" t="s">
        <v>190</v>
      </c>
      <c r="FP665" s="319" t="s">
        <v>190</v>
      </c>
      <c r="FQ665" s="319" t="s">
        <v>190</v>
      </c>
      <c r="FR665" s="319" t="s">
        <v>190</v>
      </c>
      <c r="FS665" s="319" t="s">
        <v>428</v>
      </c>
      <c r="FT665" s="319" t="s">
        <v>190</v>
      </c>
      <c r="FU665" s="319" t="s">
        <v>190</v>
      </c>
      <c r="FV665" s="319" t="s">
        <v>190</v>
      </c>
      <c r="FW665" s="319" t="s">
        <v>190</v>
      </c>
      <c r="FX665" s="319" t="s">
        <v>190</v>
      </c>
      <c r="FY665" s="319" t="s">
        <v>190</v>
      </c>
      <c r="FZ665" s="319" t="s">
        <v>190</v>
      </c>
      <c r="GA665" s="319" t="s">
        <v>190</v>
      </c>
      <c r="GB665" s="319" t="s">
        <v>190</v>
      </c>
      <c r="GC665" s="319" t="s">
        <v>190</v>
      </c>
      <c r="GD665" s="319" t="s">
        <v>190</v>
      </c>
      <c r="GE665" s="319" t="s">
        <v>190</v>
      </c>
      <c r="GF665" s="319" t="s">
        <v>190</v>
      </c>
      <c r="GG665" s="319" t="s">
        <v>190</v>
      </c>
      <c r="GH665" s="319" t="s">
        <v>190</v>
      </c>
      <c r="GI665" s="319" t="s">
        <v>190</v>
      </c>
      <c r="GJ665" s="319" t="s">
        <v>190</v>
      </c>
      <c r="GK665" s="319" t="s">
        <v>428</v>
      </c>
      <c r="GL665" s="319" t="s">
        <v>190</v>
      </c>
      <c r="GM665" s="319" t="s">
        <v>190</v>
      </c>
      <c r="GN665" s="319" t="s">
        <v>190</v>
      </c>
      <c r="GO665" s="319" t="s">
        <v>190</v>
      </c>
      <c r="GP665" s="319" t="s">
        <v>190</v>
      </c>
      <c r="GQ665" s="319" t="s">
        <v>428</v>
      </c>
      <c r="GR665" s="319" t="s">
        <v>190</v>
      </c>
      <c r="GS665" s="319" t="s">
        <v>190</v>
      </c>
      <c r="GT665" s="319" t="s">
        <v>190</v>
      </c>
      <c r="GU665" s="319" t="s">
        <v>190</v>
      </c>
      <c r="GV665" s="319" t="s">
        <v>190</v>
      </c>
      <c r="GW665" s="319" t="s">
        <v>190</v>
      </c>
      <c r="GX665" s="319" t="s">
        <v>190</v>
      </c>
      <c r="GY665" s="319" t="s">
        <v>190</v>
      </c>
      <c r="GZ665" s="319" t="s">
        <v>428</v>
      </c>
      <c r="HA665" s="319" t="s">
        <v>190</v>
      </c>
      <c r="HB665" s="319" t="s">
        <v>190</v>
      </c>
      <c r="HC665" s="319" t="s">
        <v>190</v>
      </c>
      <c r="HD665" s="319" t="s">
        <v>190</v>
      </c>
      <c r="HE665" s="319" t="s">
        <v>190</v>
      </c>
      <c r="HF665" s="319" t="s">
        <v>190</v>
      </c>
      <c r="HG665" s="319" t="s">
        <v>190</v>
      </c>
      <c r="HH665" s="319" t="s">
        <v>190</v>
      </c>
      <c r="HI665" s="319" t="s">
        <v>190</v>
      </c>
      <c r="HJ665" s="319" t="s">
        <v>190</v>
      </c>
      <c r="HK665" s="319" t="s">
        <v>190</v>
      </c>
      <c r="HL665" s="319" t="s">
        <v>428</v>
      </c>
      <c r="HM665" s="319" t="s">
        <v>428</v>
      </c>
      <c r="HN665" s="319" t="s">
        <v>428</v>
      </c>
      <c r="HO665" s="319" t="s">
        <v>428</v>
      </c>
      <c r="HP665" s="319" t="s">
        <v>190</v>
      </c>
      <c r="HQ665" s="319" t="s">
        <v>190</v>
      </c>
      <c r="HR665" s="319" t="s">
        <v>190</v>
      </c>
      <c r="HS665" s="319" t="s">
        <v>190</v>
      </c>
      <c r="HT665" s="319" t="s">
        <v>190</v>
      </c>
      <c r="HU665" s="319" t="s">
        <v>190</v>
      </c>
      <c r="HV665" s="319" t="s">
        <v>190</v>
      </c>
      <c r="HW665" s="319" t="s">
        <v>190</v>
      </c>
      <c r="HX665" s="319" t="s">
        <v>190</v>
      </c>
      <c r="HY665" s="319" t="s">
        <v>190</v>
      </c>
      <c r="HZ665" s="319" t="s">
        <v>190</v>
      </c>
      <c r="IA665" s="319" t="s">
        <v>190</v>
      </c>
      <c r="IB665" s="319" t="s">
        <v>190</v>
      </c>
      <c r="IC665" s="319" t="s">
        <v>190</v>
      </c>
      <c r="ID665" s="319" t="s">
        <v>190</v>
      </c>
      <c r="IE665" s="319" t="s">
        <v>190</v>
      </c>
      <c r="IF665" s="319" t="s">
        <v>190</v>
      </c>
      <c r="IG665" s="319" t="s">
        <v>190</v>
      </c>
      <c r="IH665" s="319" t="s">
        <v>190</v>
      </c>
      <c r="II665" s="319" t="s">
        <v>190</v>
      </c>
      <c r="IJ665" s="319">
        <v>10006132</v>
      </c>
      <c r="IK665" s="321">
        <v>42311</v>
      </c>
      <c r="IL665" s="321">
        <v>42313</v>
      </c>
      <c r="IM665" s="321">
        <v>42345</v>
      </c>
      <c r="IN665" s="319">
        <v>2</v>
      </c>
      <c r="IO665" s="319" t="s">
        <v>173</v>
      </c>
      <c r="IP665" s="319" t="s">
        <v>173</v>
      </c>
      <c r="IQ665" s="321" t="s">
        <v>173</v>
      </c>
      <c r="IR665" s="320" t="s">
        <v>173</v>
      </c>
      <c r="IS665" s="322" t="s">
        <v>173</v>
      </c>
      <c r="IT665" s="319" t="s">
        <v>173</v>
      </c>
    </row>
    <row r="666" spans="1:254" s="271" customFormat="1" x14ac:dyDescent="0.25">
      <c r="A666" s="318" t="str">
        <f>HYPERLINK("http://www.ofsted.gov.uk/inspection-reports/find-inspection-report/provider/ELS/137560 ","Ofsted School Webpage")</f>
        <v>Ofsted School Webpage</v>
      </c>
      <c r="B666" s="319">
        <v>137560</v>
      </c>
      <c r="C666" s="319">
        <v>3306009</v>
      </c>
      <c r="D666" s="319" t="s">
        <v>2129</v>
      </c>
      <c r="E666" s="319" t="s">
        <v>167</v>
      </c>
      <c r="F666" s="319" t="s">
        <v>81</v>
      </c>
      <c r="G666" s="319" t="s">
        <v>72</v>
      </c>
      <c r="H666" s="319" t="s">
        <v>72</v>
      </c>
      <c r="I666" s="319" t="s">
        <v>72</v>
      </c>
      <c r="J666" s="319" t="s">
        <v>424</v>
      </c>
      <c r="K666" s="319" t="s">
        <v>437</v>
      </c>
      <c r="L666" s="319" t="s">
        <v>437</v>
      </c>
      <c r="M666" s="319" t="s">
        <v>813</v>
      </c>
      <c r="N666" s="319" t="s">
        <v>2853</v>
      </c>
      <c r="O666" s="319" t="s">
        <v>2130</v>
      </c>
      <c r="P666" s="319">
        <v>123</v>
      </c>
      <c r="Q666" s="319" t="s">
        <v>2766</v>
      </c>
      <c r="R666" s="320">
        <v>10034669</v>
      </c>
      <c r="S666" s="321">
        <v>42865</v>
      </c>
      <c r="T666" s="321">
        <v>42867</v>
      </c>
      <c r="U666" s="321">
        <v>42990</v>
      </c>
      <c r="V666" s="319" t="s">
        <v>425</v>
      </c>
      <c r="W666" s="319" t="s">
        <v>2767</v>
      </c>
      <c r="X666" s="319">
        <v>4</v>
      </c>
      <c r="Y666" s="319" t="s">
        <v>173</v>
      </c>
      <c r="Z666" s="319" t="s">
        <v>173</v>
      </c>
      <c r="AA666" s="319" t="s">
        <v>173</v>
      </c>
      <c r="AB666" s="319">
        <v>4</v>
      </c>
      <c r="AC666" s="319" t="s">
        <v>170</v>
      </c>
      <c r="AD666" s="319" t="s">
        <v>173</v>
      </c>
      <c r="AE666" s="319" t="s">
        <v>173</v>
      </c>
      <c r="AF666" s="319" t="s">
        <v>173</v>
      </c>
      <c r="AG666" s="319" t="s">
        <v>172</v>
      </c>
      <c r="AH666" s="319" t="s">
        <v>190</v>
      </c>
      <c r="AI666" s="319" t="s">
        <v>190</v>
      </c>
      <c r="AJ666" s="319" t="s">
        <v>479</v>
      </c>
      <c r="AK666" s="319" t="s">
        <v>190</v>
      </c>
      <c r="AL666" s="319" t="s">
        <v>479</v>
      </c>
      <c r="AM666" s="319" t="s">
        <v>190</v>
      </c>
      <c r="AN666" s="319" t="s">
        <v>479</v>
      </c>
      <c r="AO666" s="319" t="s">
        <v>479</v>
      </c>
      <c r="AP666" s="319" t="s">
        <v>190</v>
      </c>
      <c r="AQ666" s="319" t="s">
        <v>190</v>
      </c>
      <c r="AR666" s="319" t="s">
        <v>190</v>
      </c>
      <c r="AS666" s="319" t="s">
        <v>190</v>
      </c>
      <c r="AT666" s="319" t="s">
        <v>190</v>
      </c>
      <c r="AU666" s="319" t="s">
        <v>190</v>
      </c>
      <c r="AV666" s="319" t="s">
        <v>190</v>
      </c>
      <c r="AW666" s="319" t="s">
        <v>190</v>
      </c>
      <c r="AX666" s="319" t="s">
        <v>190</v>
      </c>
      <c r="AY666" s="319" t="s">
        <v>190</v>
      </c>
      <c r="AZ666" s="319" t="s">
        <v>190</v>
      </c>
      <c r="BA666" s="319" t="s">
        <v>190</v>
      </c>
      <c r="BB666" s="319" t="s">
        <v>190</v>
      </c>
      <c r="BC666" s="319" t="s">
        <v>190</v>
      </c>
      <c r="BD666" s="319" t="s">
        <v>190</v>
      </c>
      <c r="BE666" s="319" t="s">
        <v>190</v>
      </c>
      <c r="BF666" s="319" t="s">
        <v>190</v>
      </c>
      <c r="BG666" s="319" t="s">
        <v>190</v>
      </c>
      <c r="BH666" s="319" t="s">
        <v>190</v>
      </c>
      <c r="BI666" s="319" t="s">
        <v>190</v>
      </c>
      <c r="BJ666" s="319" t="s">
        <v>190</v>
      </c>
      <c r="BK666" s="319" t="s">
        <v>190</v>
      </c>
      <c r="BL666" s="319" t="s">
        <v>190</v>
      </c>
      <c r="BM666" s="319" t="s">
        <v>190</v>
      </c>
      <c r="BN666" s="319" t="s">
        <v>190</v>
      </c>
      <c r="BO666" s="319" t="s">
        <v>190</v>
      </c>
      <c r="BP666" s="319" t="s">
        <v>190</v>
      </c>
      <c r="BQ666" s="319" t="s">
        <v>190</v>
      </c>
      <c r="BR666" s="319" t="s">
        <v>190</v>
      </c>
      <c r="BS666" s="319" t="s">
        <v>190</v>
      </c>
      <c r="BT666" s="319" t="s">
        <v>190</v>
      </c>
      <c r="BU666" s="319" t="s">
        <v>190</v>
      </c>
      <c r="BV666" s="319" t="s">
        <v>190</v>
      </c>
      <c r="BW666" s="319" t="s">
        <v>190</v>
      </c>
      <c r="BX666" s="319" t="s">
        <v>190</v>
      </c>
      <c r="BY666" s="319" t="s">
        <v>190</v>
      </c>
      <c r="BZ666" s="319" t="s">
        <v>190</v>
      </c>
      <c r="CA666" s="319" t="s">
        <v>190</v>
      </c>
      <c r="CB666" s="319" t="s">
        <v>190</v>
      </c>
      <c r="CC666" s="319" t="s">
        <v>190</v>
      </c>
      <c r="CD666" s="319" t="s">
        <v>190</v>
      </c>
      <c r="CE666" s="319" t="s">
        <v>190</v>
      </c>
      <c r="CF666" s="319" t="s">
        <v>190</v>
      </c>
      <c r="CG666" s="319" t="s">
        <v>190</v>
      </c>
      <c r="CH666" s="319" t="s">
        <v>190</v>
      </c>
      <c r="CI666" s="319" t="s">
        <v>190</v>
      </c>
      <c r="CJ666" s="319" t="s">
        <v>190</v>
      </c>
      <c r="CK666" s="319" t="s">
        <v>191</v>
      </c>
      <c r="CL666" s="319" t="s">
        <v>190</v>
      </c>
      <c r="CM666" s="319" t="s">
        <v>190</v>
      </c>
      <c r="CN666" s="319" t="s">
        <v>429</v>
      </c>
      <c r="CO666" s="319" t="s">
        <v>429</v>
      </c>
      <c r="CP666" s="319" t="s">
        <v>429</v>
      </c>
      <c r="CQ666" s="319" t="s">
        <v>190</v>
      </c>
      <c r="CR666" s="319" t="s">
        <v>190</v>
      </c>
      <c r="CS666" s="319" t="s">
        <v>190</v>
      </c>
      <c r="CT666" s="319" t="s">
        <v>190</v>
      </c>
      <c r="CU666" s="319" t="s">
        <v>190</v>
      </c>
      <c r="CV666" s="319" t="s">
        <v>190</v>
      </c>
      <c r="CW666" s="319" t="s">
        <v>191</v>
      </c>
      <c r="CX666" s="319" t="s">
        <v>190</v>
      </c>
      <c r="CY666" s="319" t="s">
        <v>190</v>
      </c>
      <c r="CZ666" s="319" t="s">
        <v>190</v>
      </c>
      <c r="DA666" s="319" t="s">
        <v>190</v>
      </c>
      <c r="DB666" s="319" t="s">
        <v>190</v>
      </c>
      <c r="DC666" s="319" t="s">
        <v>190</v>
      </c>
      <c r="DD666" s="319" t="s">
        <v>190</v>
      </c>
      <c r="DE666" s="319" t="s">
        <v>190</v>
      </c>
      <c r="DF666" s="319" t="s">
        <v>190</v>
      </c>
      <c r="DG666" s="319" t="s">
        <v>190</v>
      </c>
      <c r="DH666" s="319" t="s">
        <v>190</v>
      </c>
      <c r="DI666" s="319" t="s">
        <v>190</v>
      </c>
      <c r="DJ666" s="319" t="s">
        <v>190</v>
      </c>
      <c r="DK666" s="319" t="s">
        <v>190</v>
      </c>
      <c r="DL666" s="319" t="s">
        <v>190</v>
      </c>
      <c r="DM666" s="319" t="s">
        <v>191</v>
      </c>
      <c r="DN666" s="319" t="s">
        <v>429</v>
      </c>
      <c r="DO666" s="319" t="s">
        <v>190</v>
      </c>
      <c r="DP666" s="319" t="s">
        <v>190</v>
      </c>
      <c r="DQ666" s="319" t="s">
        <v>190</v>
      </c>
      <c r="DR666" s="319" t="s">
        <v>190</v>
      </c>
      <c r="DS666" s="319" t="s">
        <v>190</v>
      </c>
      <c r="DT666" s="319" t="s">
        <v>190</v>
      </c>
      <c r="DU666" s="319" t="s">
        <v>190</v>
      </c>
      <c r="DV666" s="319" t="s">
        <v>173</v>
      </c>
      <c r="DW666" s="319" t="s">
        <v>190</v>
      </c>
      <c r="DX666" s="319" t="s">
        <v>190</v>
      </c>
      <c r="DY666" s="319" t="s">
        <v>190</v>
      </c>
      <c r="DZ666" s="319" t="s">
        <v>190</v>
      </c>
      <c r="EA666" s="319" t="s">
        <v>190</v>
      </c>
      <c r="EB666" s="319" t="s">
        <v>190</v>
      </c>
      <c r="EC666" s="319" t="s">
        <v>429</v>
      </c>
      <c r="ED666" s="319" t="s">
        <v>190</v>
      </c>
      <c r="EE666" s="319" t="s">
        <v>190</v>
      </c>
      <c r="EF666" s="319" t="s">
        <v>190</v>
      </c>
      <c r="EG666" s="319" t="s">
        <v>190</v>
      </c>
      <c r="EH666" s="319" t="s">
        <v>190</v>
      </c>
      <c r="EI666" s="319" t="s">
        <v>190</v>
      </c>
      <c r="EJ666" s="319" t="s">
        <v>190</v>
      </c>
      <c r="EK666" s="319" t="s">
        <v>190</v>
      </c>
      <c r="EL666" s="319" t="s">
        <v>190</v>
      </c>
      <c r="EM666" s="319" t="s">
        <v>190</v>
      </c>
      <c r="EN666" s="319" t="s">
        <v>190</v>
      </c>
      <c r="EO666" s="319" t="s">
        <v>190</v>
      </c>
      <c r="EP666" s="319" t="s">
        <v>190</v>
      </c>
      <c r="EQ666" s="319" t="s">
        <v>190</v>
      </c>
      <c r="ER666" s="319" t="s">
        <v>190</v>
      </c>
      <c r="ES666" s="319" t="s">
        <v>190</v>
      </c>
      <c r="ET666" s="319" t="s">
        <v>190</v>
      </c>
      <c r="EU666" s="319" t="s">
        <v>190</v>
      </c>
      <c r="EV666" s="319" t="s">
        <v>190</v>
      </c>
      <c r="EW666" s="319" t="s">
        <v>190</v>
      </c>
      <c r="EX666" s="319" t="s">
        <v>190</v>
      </c>
      <c r="EY666" s="319" t="s">
        <v>190</v>
      </c>
      <c r="EZ666" s="319" t="s">
        <v>190</v>
      </c>
      <c r="FA666" s="319" t="s">
        <v>190</v>
      </c>
      <c r="FB666" s="319" t="s">
        <v>190</v>
      </c>
      <c r="FC666" s="319" t="s">
        <v>190</v>
      </c>
      <c r="FD666" s="319" t="s">
        <v>190</v>
      </c>
      <c r="FE666" s="319" t="s">
        <v>190</v>
      </c>
      <c r="FF666" s="319" t="s">
        <v>190</v>
      </c>
      <c r="FG666" s="319" t="s">
        <v>190</v>
      </c>
      <c r="FH666" s="319" t="s">
        <v>190</v>
      </c>
      <c r="FI666" s="319" t="s">
        <v>190</v>
      </c>
      <c r="FJ666" s="319" t="s">
        <v>190</v>
      </c>
      <c r="FK666" s="319" t="s">
        <v>190</v>
      </c>
      <c r="FL666" s="319" t="s">
        <v>191</v>
      </c>
      <c r="FM666" s="319" t="s">
        <v>190</v>
      </c>
      <c r="FN666" s="319" t="s">
        <v>190</v>
      </c>
      <c r="FO666" s="319" t="s">
        <v>191</v>
      </c>
      <c r="FP666" s="319" t="s">
        <v>190</v>
      </c>
      <c r="FQ666" s="319" t="s">
        <v>190</v>
      </c>
      <c r="FR666" s="319" t="s">
        <v>190</v>
      </c>
      <c r="FS666" s="319" t="s">
        <v>429</v>
      </c>
      <c r="FT666" s="319" t="s">
        <v>190</v>
      </c>
      <c r="FU666" s="319" t="s">
        <v>190</v>
      </c>
      <c r="FV666" s="319" t="s">
        <v>190</v>
      </c>
      <c r="FW666" s="319" t="s">
        <v>190</v>
      </c>
      <c r="FX666" s="319" t="s">
        <v>190</v>
      </c>
      <c r="FY666" s="319" t="s">
        <v>190</v>
      </c>
      <c r="FZ666" s="319" t="s">
        <v>190</v>
      </c>
      <c r="GA666" s="319" t="s">
        <v>190</v>
      </c>
      <c r="GB666" s="319" t="s">
        <v>190</v>
      </c>
      <c r="GC666" s="319" t="s">
        <v>190</v>
      </c>
      <c r="GD666" s="319" t="s">
        <v>190</v>
      </c>
      <c r="GE666" s="319" t="s">
        <v>190</v>
      </c>
      <c r="GF666" s="319" t="s">
        <v>190</v>
      </c>
      <c r="GG666" s="319" t="s">
        <v>190</v>
      </c>
      <c r="GH666" s="319" t="s">
        <v>190</v>
      </c>
      <c r="GI666" s="319" t="s">
        <v>190</v>
      </c>
      <c r="GJ666" s="319" t="s">
        <v>190</v>
      </c>
      <c r="GK666" s="319" t="s">
        <v>190</v>
      </c>
      <c r="GL666" s="319" t="s">
        <v>190</v>
      </c>
      <c r="GM666" s="319" t="s">
        <v>190</v>
      </c>
      <c r="GN666" s="319" t="s">
        <v>190</v>
      </c>
      <c r="GO666" s="319" t="s">
        <v>190</v>
      </c>
      <c r="GP666" s="319" t="s">
        <v>190</v>
      </c>
      <c r="GQ666" s="319" t="s">
        <v>190</v>
      </c>
      <c r="GR666" s="319" t="s">
        <v>190</v>
      </c>
      <c r="GS666" s="319" t="s">
        <v>190</v>
      </c>
      <c r="GT666" s="319" t="s">
        <v>190</v>
      </c>
      <c r="GU666" s="319" t="s">
        <v>190</v>
      </c>
      <c r="GV666" s="319" t="s">
        <v>190</v>
      </c>
      <c r="GW666" s="319" t="s">
        <v>190</v>
      </c>
      <c r="GX666" s="319" t="s">
        <v>190</v>
      </c>
      <c r="GY666" s="319" t="s">
        <v>190</v>
      </c>
      <c r="GZ666" s="319" t="s">
        <v>190</v>
      </c>
      <c r="HA666" s="319" t="s">
        <v>190</v>
      </c>
      <c r="HB666" s="319" t="s">
        <v>429</v>
      </c>
      <c r="HC666" s="319" t="s">
        <v>190</v>
      </c>
      <c r="HD666" s="319" t="s">
        <v>190</v>
      </c>
      <c r="HE666" s="319" t="s">
        <v>190</v>
      </c>
      <c r="HF666" s="319" t="s">
        <v>190</v>
      </c>
      <c r="HG666" s="319" t="s">
        <v>190</v>
      </c>
      <c r="HH666" s="319" t="s">
        <v>190</v>
      </c>
      <c r="HI666" s="319" t="s">
        <v>190</v>
      </c>
      <c r="HJ666" s="319" t="s">
        <v>190</v>
      </c>
      <c r="HK666" s="319" t="s">
        <v>190</v>
      </c>
      <c r="HL666" s="319" t="s">
        <v>190</v>
      </c>
      <c r="HM666" s="319" t="s">
        <v>190</v>
      </c>
      <c r="HN666" s="319" t="s">
        <v>190</v>
      </c>
      <c r="HO666" s="319" t="s">
        <v>190</v>
      </c>
      <c r="HP666" s="319" t="s">
        <v>191</v>
      </c>
      <c r="HQ666" s="319" t="s">
        <v>190</v>
      </c>
      <c r="HR666" s="319" t="s">
        <v>190</v>
      </c>
      <c r="HS666" s="319" t="s">
        <v>190</v>
      </c>
      <c r="HT666" s="319" t="s">
        <v>190</v>
      </c>
      <c r="HU666" s="319" t="s">
        <v>190</v>
      </c>
      <c r="HV666" s="319" t="s">
        <v>190</v>
      </c>
      <c r="HW666" s="319" t="s">
        <v>190</v>
      </c>
      <c r="HX666" s="319" t="s">
        <v>190</v>
      </c>
      <c r="HY666" s="319" t="s">
        <v>190</v>
      </c>
      <c r="HZ666" s="319" t="s">
        <v>190</v>
      </c>
      <c r="IA666" s="319" t="s">
        <v>190</v>
      </c>
      <c r="IB666" s="319" t="s">
        <v>191</v>
      </c>
      <c r="IC666" s="319" t="s">
        <v>191</v>
      </c>
      <c r="ID666" s="319" t="s">
        <v>191</v>
      </c>
      <c r="IE666" s="319" t="s">
        <v>191</v>
      </c>
      <c r="IF666" s="319" t="s">
        <v>191</v>
      </c>
      <c r="IG666" s="319" t="s">
        <v>191</v>
      </c>
      <c r="IH666" s="319" t="s">
        <v>191</v>
      </c>
      <c r="II666" s="319" t="s">
        <v>190</v>
      </c>
      <c r="IJ666" s="319" t="s">
        <v>3413</v>
      </c>
      <c r="IK666" s="321">
        <v>41177</v>
      </c>
      <c r="IL666" s="321">
        <v>41178</v>
      </c>
      <c r="IM666" s="321">
        <v>41214</v>
      </c>
      <c r="IN666" s="319">
        <v>2</v>
      </c>
      <c r="IO666" s="319">
        <v>10045415</v>
      </c>
      <c r="IP666" s="319" t="s">
        <v>985</v>
      </c>
      <c r="IQ666" s="321">
        <v>43224</v>
      </c>
      <c r="IR666" s="320" t="s">
        <v>1260</v>
      </c>
      <c r="IS666" s="322">
        <v>43283</v>
      </c>
      <c r="IT666" s="319" t="s">
        <v>166</v>
      </c>
    </row>
    <row r="667" spans="1:254" s="271" customFormat="1" x14ac:dyDescent="0.25">
      <c r="A667" s="318" t="str">
        <f>HYPERLINK("http://www.ofsted.gov.uk/inspection-reports/find-inspection-report/provider/ELS/137561 ","Ofsted School Webpage")</f>
        <v>Ofsted School Webpage</v>
      </c>
      <c r="B667" s="319">
        <v>137561</v>
      </c>
      <c r="C667" s="319">
        <v>8566011</v>
      </c>
      <c r="D667" s="319" t="s">
        <v>2131</v>
      </c>
      <c r="E667" s="319" t="s">
        <v>167</v>
      </c>
      <c r="F667" s="319" t="s">
        <v>81</v>
      </c>
      <c r="G667" s="319" t="s">
        <v>72</v>
      </c>
      <c r="H667" s="319" t="s">
        <v>72</v>
      </c>
      <c r="I667" s="319" t="s">
        <v>72</v>
      </c>
      <c r="J667" s="319" t="s">
        <v>424</v>
      </c>
      <c r="K667" s="319" t="s">
        <v>506</v>
      </c>
      <c r="L667" s="319" t="s">
        <v>506</v>
      </c>
      <c r="M667" s="319" t="s">
        <v>521</v>
      </c>
      <c r="N667" s="319" t="s">
        <v>2997</v>
      </c>
      <c r="O667" s="319" t="s">
        <v>2132</v>
      </c>
      <c r="P667" s="319">
        <v>331</v>
      </c>
      <c r="Q667" s="319" t="s">
        <v>2766</v>
      </c>
      <c r="R667" s="320">
        <v>10078676</v>
      </c>
      <c r="S667" s="321">
        <v>43536</v>
      </c>
      <c r="T667" s="321">
        <v>43538</v>
      </c>
      <c r="U667" s="321">
        <v>43600</v>
      </c>
      <c r="V667" s="319" t="s">
        <v>425</v>
      </c>
      <c r="W667" s="319" t="s">
        <v>2767</v>
      </c>
      <c r="X667" s="319">
        <v>4</v>
      </c>
      <c r="Y667" s="319" t="s">
        <v>173</v>
      </c>
      <c r="Z667" s="319" t="s">
        <v>173</v>
      </c>
      <c r="AA667" s="319" t="s">
        <v>173</v>
      </c>
      <c r="AB667" s="319">
        <v>4</v>
      </c>
      <c r="AC667" s="319" t="s">
        <v>170</v>
      </c>
      <c r="AD667" s="319" t="s">
        <v>173</v>
      </c>
      <c r="AE667" s="319" t="s">
        <v>173</v>
      </c>
      <c r="AF667" s="319" t="s">
        <v>447</v>
      </c>
      <c r="AG667" s="319" t="s">
        <v>172</v>
      </c>
      <c r="AH667" s="319" t="s">
        <v>479</v>
      </c>
      <c r="AI667" s="319" t="s">
        <v>479</v>
      </c>
      <c r="AJ667" s="319" t="s">
        <v>479</v>
      </c>
      <c r="AK667" s="319" t="s">
        <v>190</v>
      </c>
      <c r="AL667" s="319" t="s">
        <v>479</v>
      </c>
      <c r="AM667" s="319" t="s">
        <v>190</v>
      </c>
      <c r="AN667" s="319" t="s">
        <v>190</v>
      </c>
      <c r="AO667" s="319" t="s">
        <v>479</v>
      </c>
      <c r="AP667" s="319" t="s">
        <v>190</v>
      </c>
      <c r="AQ667" s="319" t="s">
        <v>190</v>
      </c>
      <c r="AR667" s="319" t="s">
        <v>190</v>
      </c>
      <c r="AS667" s="319" t="s">
        <v>190</v>
      </c>
      <c r="AT667" s="319" t="s">
        <v>190</v>
      </c>
      <c r="AU667" s="319" t="s">
        <v>190</v>
      </c>
      <c r="AV667" s="319" t="s">
        <v>190</v>
      </c>
      <c r="AW667" s="319" t="s">
        <v>190</v>
      </c>
      <c r="AX667" s="319" t="s">
        <v>428</v>
      </c>
      <c r="AY667" s="319" t="s">
        <v>190</v>
      </c>
      <c r="AZ667" s="319" t="s">
        <v>190</v>
      </c>
      <c r="BA667" s="319" t="s">
        <v>190</v>
      </c>
      <c r="BB667" s="319" t="s">
        <v>190</v>
      </c>
      <c r="BC667" s="319" t="s">
        <v>190</v>
      </c>
      <c r="BD667" s="319" t="s">
        <v>190</v>
      </c>
      <c r="BE667" s="319" t="s">
        <v>190</v>
      </c>
      <c r="BF667" s="319" t="s">
        <v>428</v>
      </c>
      <c r="BG667" s="319" t="s">
        <v>428</v>
      </c>
      <c r="BH667" s="319" t="s">
        <v>190</v>
      </c>
      <c r="BI667" s="319" t="s">
        <v>190</v>
      </c>
      <c r="BJ667" s="319" t="s">
        <v>191</v>
      </c>
      <c r="BK667" s="319" t="s">
        <v>190</v>
      </c>
      <c r="BL667" s="319" t="s">
        <v>190</v>
      </c>
      <c r="BM667" s="319" t="s">
        <v>190</v>
      </c>
      <c r="BN667" s="319" t="s">
        <v>190</v>
      </c>
      <c r="BO667" s="319" t="s">
        <v>190</v>
      </c>
      <c r="BP667" s="319" t="s">
        <v>190</v>
      </c>
      <c r="BQ667" s="319" t="s">
        <v>190</v>
      </c>
      <c r="BR667" s="319" t="s">
        <v>190</v>
      </c>
      <c r="BS667" s="319" t="s">
        <v>190</v>
      </c>
      <c r="BT667" s="319" t="s">
        <v>191</v>
      </c>
      <c r="BU667" s="319" t="s">
        <v>190</v>
      </c>
      <c r="BV667" s="319" t="s">
        <v>191</v>
      </c>
      <c r="BW667" s="319" t="s">
        <v>190</v>
      </c>
      <c r="BX667" s="319" t="s">
        <v>191</v>
      </c>
      <c r="BY667" s="319" t="s">
        <v>190</v>
      </c>
      <c r="BZ667" s="319" t="s">
        <v>190</v>
      </c>
      <c r="CA667" s="319" t="s">
        <v>191</v>
      </c>
      <c r="CB667" s="319" t="s">
        <v>190</v>
      </c>
      <c r="CC667" s="319" t="s">
        <v>190</v>
      </c>
      <c r="CD667" s="319" t="s">
        <v>190</v>
      </c>
      <c r="CE667" s="319" t="s">
        <v>190</v>
      </c>
      <c r="CF667" s="319" t="s">
        <v>190</v>
      </c>
      <c r="CG667" s="319" t="s">
        <v>190</v>
      </c>
      <c r="CH667" s="319" t="s">
        <v>190</v>
      </c>
      <c r="CI667" s="319" t="s">
        <v>190</v>
      </c>
      <c r="CJ667" s="319" t="s">
        <v>190</v>
      </c>
      <c r="CK667" s="319" t="s">
        <v>191</v>
      </c>
      <c r="CL667" s="319" t="s">
        <v>191</v>
      </c>
      <c r="CM667" s="319" t="s">
        <v>191</v>
      </c>
      <c r="CN667" s="319" t="s">
        <v>428</v>
      </c>
      <c r="CO667" s="319" t="s">
        <v>428</v>
      </c>
      <c r="CP667" s="319" t="s">
        <v>428</v>
      </c>
      <c r="CQ667" s="319" t="s">
        <v>191</v>
      </c>
      <c r="CR667" s="319" t="s">
        <v>191</v>
      </c>
      <c r="CS667" s="319" t="s">
        <v>190</v>
      </c>
      <c r="CT667" s="319" t="s">
        <v>190</v>
      </c>
      <c r="CU667" s="319" t="s">
        <v>190</v>
      </c>
      <c r="CV667" s="319" t="s">
        <v>191</v>
      </c>
      <c r="CW667" s="319" t="s">
        <v>191</v>
      </c>
      <c r="CX667" s="319" t="s">
        <v>190</v>
      </c>
      <c r="CY667" s="319" t="s">
        <v>190</v>
      </c>
      <c r="CZ667" s="319" t="s">
        <v>190</v>
      </c>
      <c r="DA667" s="319" t="s">
        <v>191</v>
      </c>
      <c r="DB667" s="319" t="s">
        <v>191</v>
      </c>
      <c r="DC667" s="319" t="s">
        <v>191</v>
      </c>
      <c r="DD667" s="319" t="s">
        <v>190</v>
      </c>
      <c r="DE667" s="319" t="s">
        <v>190</v>
      </c>
      <c r="DF667" s="319" t="s">
        <v>190</v>
      </c>
      <c r="DG667" s="319" t="s">
        <v>190</v>
      </c>
      <c r="DH667" s="319" t="s">
        <v>190</v>
      </c>
      <c r="DI667" s="319" t="s">
        <v>190</v>
      </c>
      <c r="DJ667" s="319" t="s">
        <v>190</v>
      </c>
      <c r="DK667" s="319" t="s">
        <v>190</v>
      </c>
      <c r="DL667" s="319" t="s">
        <v>190</v>
      </c>
      <c r="DM667" s="319" t="s">
        <v>428</v>
      </c>
      <c r="DN667" s="319" t="s">
        <v>428</v>
      </c>
      <c r="DO667" s="319" t="s">
        <v>190</v>
      </c>
      <c r="DP667" s="319" t="s">
        <v>428</v>
      </c>
      <c r="DQ667" s="319" t="s">
        <v>428</v>
      </c>
      <c r="DR667" s="319" t="s">
        <v>428</v>
      </c>
      <c r="DS667" s="319" t="s">
        <v>428</v>
      </c>
      <c r="DT667" s="319" t="s">
        <v>428</v>
      </c>
      <c r="DU667" s="319" t="s">
        <v>428</v>
      </c>
      <c r="DV667" s="319" t="s">
        <v>173</v>
      </c>
      <c r="DW667" s="319" t="s">
        <v>428</v>
      </c>
      <c r="DX667" s="319" t="s">
        <v>428</v>
      </c>
      <c r="DY667" s="319" t="s">
        <v>428</v>
      </c>
      <c r="DZ667" s="319" t="s">
        <v>428</v>
      </c>
      <c r="EA667" s="319" t="s">
        <v>428</v>
      </c>
      <c r="EB667" s="319" t="s">
        <v>428</v>
      </c>
      <c r="EC667" s="319" t="s">
        <v>428</v>
      </c>
      <c r="ED667" s="319" t="s">
        <v>428</v>
      </c>
      <c r="EE667" s="319" t="s">
        <v>428</v>
      </c>
      <c r="EF667" s="319" t="s">
        <v>428</v>
      </c>
      <c r="EG667" s="319" t="s">
        <v>428</v>
      </c>
      <c r="EH667" s="319" t="s">
        <v>428</v>
      </c>
      <c r="EI667" s="319" t="s">
        <v>428</v>
      </c>
      <c r="EJ667" s="319" t="s">
        <v>428</v>
      </c>
      <c r="EK667" s="319" t="s">
        <v>428</v>
      </c>
      <c r="EL667" s="319" t="s">
        <v>428</v>
      </c>
      <c r="EM667" s="319" t="s">
        <v>428</v>
      </c>
      <c r="EN667" s="319" t="s">
        <v>190</v>
      </c>
      <c r="EO667" s="319" t="s">
        <v>190</v>
      </c>
      <c r="EP667" s="319" t="s">
        <v>190</v>
      </c>
      <c r="EQ667" s="319" t="s">
        <v>190</v>
      </c>
      <c r="ER667" s="319" t="s">
        <v>190</v>
      </c>
      <c r="ES667" s="319" t="s">
        <v>190</v>
      </c>
      <c r="ET667" s="319" t="s">
        <v>190</v>
      </c>
      <c r="EU667" s="319" t="s">
        <v>190</v>
      </c>
      <c r="EV667" s="319" t="s">
        <v>190</v>
      </c>
      <c r="EW667" s="319" t="s">
        <v>190</v>
      </c>
      <c r="EX667" s="319" t="s">
        <v>190</v>
      </c>
      <c r="EY667" s="319" t="s">
        <v>428</v>
      </c>
      <c r="EZ667" s="319" t="s">
        <v>190</v>
      </c>
      <c r="FA667" s="319" t="s">
        <v>428</v>
      </c>
      <c r="FB667" s="319" t="s">
        <v>428</v>
      </c>
      <c r="FC667" s="319" t="s">
        <v>428</v>
      </c>
      <c r="FD667" s="319" t="s">
        <v>428</v>
      </c>
      <c r="FE667" s="319" t="s">
        <v>428</v>
      </c>
      <c r="FF667" s="319" t="s">
        <v>428</v>
      </c>
      <c r="FG667" s="319" t="s">
        <v>428</v>
      </c>
      <c r="FH667" s="319" t="s">
        <v>428</v>
      </c>
      <c r="FI667" s="319" t="s">
        <v>428</v>
      </c>
      <c r="FJ667" s="319" t="s">
        <v>429</v>
      </c>
      <c r="FK667" s="319" t="s">
        <v>428</v>
      </c>
      <c r="FL667" s="319" t="s">
        <v>190</v>
      </c>
      <c r="FM667" s="319" t="s">
        <v>190</v>
      </c>
      <c r="FN667" s="319" t="s">
        <v>190</v>
      </c>
      <c r="FO667" s="319" t="s">
        <v>190</v>
      </c>
      <c r="FP667" s="319" t="s">
        <v>190</v>
      </c>
      <c r="FQ667" s="319" t="s">
        <v>190</v>
      </c>
      <c r="FR667" s="319" t="s">
        <v>190</v>
      </c>
      <c r="FS667" s="319" t="s">
        <v>428</v>
      </c>
      <c r="FT667" s="319" t="s">
        <v>428</v>
      </c>
      <c r="FU667" s="319" t="s">
        <v>191</v>
      </c>
      <c r="FV667" s="319" t="s">
        <v>190</v>
      </c>
      <c r="FW667" s="319" t="s">
        <v>190</v>
      </c>
      <c r="FX667" s="319" t="s">
        <v>190</v>
      </c>
      <c r="FY667" s="319" t="s">
        <v>190</v>
      </c>
      <c r="FZ667" s="319" t="s">
        <v>190</v>
      </c>
      <c r="GA667" s="319" t="s">
        <v>190</v>
      </c>
      <c r="GB667" s="319" t="s">
        <v>190</v>
      </c>
      <c r="GC667" s="319" t="s">
        <v>190</v>
      </c>
      <c r="GD667" s="319" t="s">
        <v>190</v>
      </c>
      <c r="GE667" s="319" t="s">
        <v>190</v>
      </c>
      <c r="GF667" s="319" t="s">
        <v>190</v>
      </c>
      <c r="GG667" s="319" t="s">
        <v>190</v>
      </c>
      <c r="GH667" s="319" t="s">
        <v>191</v>
      </c>
      <c r="GI667" s="319" t="s">
        <v>190</v>
      </c>
      <c r="GJ667" s="319" t="s">
        <v>191</v>
      </c>
      <c r="GK667" s="319" t="s">
        <v>428</v>
      </c>
      <c r="GL667" s="319" t="s">
        <v>190</v>
      </c>
      <c r="GM667" s="319" t="s">
        <v>190</v>
      </c>
      <c r="GN667" s="319" t="s">
        <v>190</v>
      </c>
      <c r="GO667" s="319" t="s">
        <v>190</v>
      </c>
      <c r="GP667" s="319" t="s">
        <v>190</v>
      </c>
      <c r="GQ667" s="319" t="s">
        <v>428</v>
      </c>
      <c r="GR667" s="319" t="s">
        <v>190</v>
      </c>
      <c r="GS667" s="319" t="s">
        <v>190</v>
      </c>
      <c r="GT667" s="319" t="s">
        <v>428</v>
      </c>
      <c r="GU667" s="319" t="s">
        <v>428</v>
      </c>
      <c r="GV667" s="319" t="s">
        <v>428</v>
      </c>
      <c r="GW667" s="319" t="s">
        <v>190</v>
      </c>
      <c r="GX667" s="319" t="s">
        <v>190</v>
      </c>
      <c r="GY667" s="319" t="s">
        <v>190</v>
      </c>
      <c r="GZ667" s="319" t="s">
        <v>190</v>
      </c>
      <c r="HA667" s="319" t="s">
        <v>428</v>
      </c>
      <c r="HB667" s="319" t="s">
        <v>428</v>
      </c>
      <c r="HC667" s="319" t="s">
        <v>190</v>
      </c>
      <c r="HD667" s="319" t="s">
        <v>190</v>
      </c>
      <c r="HE667" s="319" t="s">
        <v>190</v>
      </c>
      <c r="HF667" s="319" t="s">
        <v>190</v>
      </c>
      <c r="HG667" s="319" t="s">
        <v>190</v>
      </c>
      <c r="HH667" s="319" t="s">
        <v>190</v>
      </c>
      <c r="HI667" s="319" t="s">
        <v>190</v>
      </c>
      <c r="HJ667" s="319" t="s">
        <v>190</v>
      </c>
      <c r="HK667" s="319" t="s">
        <v>190</v>
      </c>
      <c r="HL667" s="319" t="s">
        <v>428</v>
      </c>
      <c r="HM667" s="319" t="s">
        <v>428</v>
      </c>
      <c r="HN667" s="319" t="s">
        <v>428</v>
      </c>
      <c r="HO667" s="319" t="s">
        <v>428</v>
      </c>
      <c r="HP667" s="319" t="s">
        <v>190</v>
      </c>
      <c r="HQ667" s="319" t="s">
        <v>190</v>
      </c>
      <c r="HR667" s="319" t="s">
        <v>190</v>
      </c>
      <c r="HS667" s="319" t="s">
        <v>190</v>
      </c>
      <c r="HT667" s="319" t="s">
        <v>190</v>
      </c>
      <c r="HU667" s="319" t="s">
        <v>190</v>
      </c>
      <c r="HV667" s="319" t="s">
        <v>190</v>
      </c>
      <c r="HW667" s="319" t="s">
        <v>190</v>
      </c>
      <c r="HX667" s="319" t="s">
        <v>190</v>
      </c>
      <c r="HY667" s="319" t="s">
        <v>190</v>
      </c>
      <c r="HZ667" s="319" t="s">
        <v>190</v>
      </c>
      <c r="IA667" s="319" t="s">
        <v>190</v>
      </c>
      <c r="IB667" s="319" t="s">
        <v>190</v>
      </c>
      <c r="IC667" s="319" t="s">
        <v>190</v>
      </c>
      <c r="ID667" s="319" t="s">
        <v>190</v>
      </c>
      <c r="IE667" s="319" t="s">
        <v>190</v>
      </c>
      <c r="IF667" s="319" t="s">
        <v>191</v>
      </c>
      <c r="IG667" s="319" t="s">
        <v>191</v>
      </c>
      <c r="IH667" s="319" t="s">
        <v>191</v>
      </c>
      <c r="II667" s="319" t="s">
        <v>191</v>
      </c>
      <c r="IJ667" s="319">
        <v>10006106</v>
      </c>
      <c r="IK667" s="321">
        <v>42395</v>
      </c>
      <c r="IL667" s="321">
        <v>42397</v>
      </c>
      <c r="IM667" s="321">
        <v>42439</v>
      </c>
      <c r="IN667" s="319">
        <v>2</v>
      </c>
      <c r="IO667" s="319" t="s">
        <v>173</v>
      </c>
      <c r="IP667" s="319" t="s">
        <v>173</v>
      </c>
      <c r="IQ667" s="321" t="s">
        <v>173</v>
      </c>
      <c r="IR667" s="320" t="s">
        <v>173</v>
      </c>
      <c r="IS667" s="322" t="s">
        <v>173</v>
      </c>
      <c r="IT667" s="319" t="s">
        <v>173</v>
      </c>
    </row>
    <row r="668" spans="1:254" s="271" customFormat="1" x14ac:dyDescent="0.25">
      <c r="A668" s="318" t="str">
        <f>HYPERLINK("http://www.ofsted.gov.uk/inspection-reports/find-inspection-report/provider/ELS/137562 ","Ofsted School Webpage")</f>
        <v>Ofsted School Webpage</v>
      </c>
      <c r="B668" s="319">
        <v>137562</v>
      </c>
      <c r="C668" s="319">
        <v>8826010</v>
      </c>
      <c r="D668" s="319" t="s">
        <v>884</v>
      </c>
      <c r="E668" s="319" t="s">
        <v>168</v>
      </c>
      <c r="F668" s="319" t="s">
        <v>81</v>
      </c>
      <c r="G668" s="319" t="s">
        <v>81</v>
      </c>
      <c r="H668" s="319" t="s">
        <v>81</v>
      </c>
      <c r="I668" s="319" t="s">
        <v>78</v>
      </c>
      <c r="J668" s="319" t="s">
        <v>424</v>
      </c>
      <c r="K668" s="319" t="s">
        <v>451</v>
      </c>
      <c r="L668" s="319" t="s">
        <v>451</v>
      </c>
      <c r="M668" s="319" t="s">
        <v>885</v>
      </c>
      <c r="N668" s="319" t="s">
        <v>3414</v>
      </c>
      <c r="O668" s="319" t="s">
        <v>886</v>
      </c>
      <c r="P668" s="319">
        <v>5</v>
      </c>
      <c r="Q668" s="319" t="s">
        <v>429</v>
      </c>
      <c r="R668" s="320">
        <v>10090995</v>
      </c>
      <c r="S668" s="321">
        <v>43494</v>
      </c>
      <c r="T668" s="321">
        <v>43496</v>
      </c>
      <c r="U668" s="321">
        <v>43530</v>
      </c>
      <c r="V668" s="319" t="s">
        <v>425</v>
      </c>
      <c r="W668" s="319" t="s">
        <v>2767</v>
      </c>
      <c r="X668" s="319">
        <v>3</v>
      </c>
      <c r="Y668" s="319" t="s">
        <v>173</v>
      </c>
      <c r="Z668" s="319" t="s">
        <v>173</v>
      </c>
      <c r="AA668" s="319" t="s">
        <v>173</v>
      </c>
      <c r="AB668" s="319">
        <v>3</v>
      </c>
      <c r="AC668" s="319" t="s">
        <v>169</v>
      </c>
      <c r="AD668" s="319" t="s">
        <v>173</v>
      </c>
      <c r="AE668" s="319" t="s">
        <v>173</v>
      </c>
      <c r="AF668" s="319" t="s">
        <v>427</v>
      </c>
      <c r="AG668" s="319" t="s">
        <v>172</v>
      </c>
      <c r="AH668" s="319" t="s">
        <v>479</v>
      </c>
      <c r="AI668" s="319" t="s">
        <v>190</v>
      </c>
      <c r="AJ668" s="319" t="s">
        <v>190</v>
      </c>
      <c r="AK668" s="319" t="s">
        <v>190</v>
      </c>
      <c r="AL668" s="319" t="s">
        <v>190</v>
      </c>
      <c r="AM668" s="319" t="s">
        <v>190</v>
      </c>
      <c r="AN668" s="319" t="s">
        <v>190</v>
      </c>
      <c r="AO668" s="319" t="s">
        <v>479</v>
      </c>
      <c r="AP668" s="319" t="s">
        <v>190</v>
      </c>
      <c r="AQ668" s="319" t="s">
        <v>190</v>
      </c>
      <c r="AR668" s="319" t="s">
        <v>190</v>
      </c>
      <c r="AS668" s="319" t="s">
        <v>190</v>
      </c>
      <c r="AT668" s="319" t="s">
        <v>190</v>
      </c>
      <c r="AU668" s="319" t="s">
        <v>190</v>
      </c>
      <c r="AV668" s="319" t="s">
        <v>190</v>
      </c>
      <c r="AW668" s="319" t="s">
        <v>190</v>
      </c>
      <c r="AX668" s="319" t="s">
        <v>428</v>
      </c>
      <c r="AY668" s="319" t="s">
        <v>190</v>
      </c>
      <c r="AZ668" s="319" t="s">
        <v>190</v>
      </c>
      <c r="BA668" s="319" t="s">
        <v>190</v>
      </c>
      <c r="BB668" s="319" t="s">
        <v>190</v>
      </c>
      <c r="BC668" s="319" t="s">
        <v>190</v>
      </c>
      <c r="BD668" s="319" t="s">
        <v>190</v>
      </c>
      <c r="BE668" s="319" t="s">
        <v>190</v>
      </c>
      <c r="BF668" s="319" t="s">
        <v>428</v>
      </c>
      <c r="BG668" s="319" t="s">
        <v>428</v>
      </c>
      <c r="BH668" s="319" t="s">
        <v>190</v>
      </c>
      <c r="BI668" s="319" t="s">
        <v>190</v>
      </c>
      <c r="BJ668" s="319" t="s">
        <v>191</v>
      </c>
      <c r="BK668" s="319" t="s">
        <v>191</v>
      </c>
      <c r="BL668" s="319" t="s">
        <v>191</v>
      </c>
      <c r="BM668" s="319" t="s">
        <v>191</v>
      </c>
      <c r="BN668" s="319" t="s">
        <v>191</v>
      </c>
      <c r="BO668" s="319" t="s">
        <v>190</v>
      </c>
      <c r="BP668" s="319" t="s">
        <v>190</v>
      </c>
      <c r="BQ668" s="319" t="s">
        <v>191</v>
      </c>
      <c r="BR668" s="319" t="s">
        <v>190</v>
      </c>
      <c r="BS668" s="319" t="s">
        <v>190</v>
      </c>
      <c r="BT668" s="319" t="s">
        <v>190</v>
      </c>
      <c r="BU668" s="319" t="s">
        <v>190</v>
      </c>
      <c r="BV668" s="319" t="s">
        <v>190</v>
      </c>
      <c r="BW668" s="319" t="s">
        <v>190</v>
      </c>
      <c r="BX668" s="319" t="s">
        <v>190</v>
      </c>
      <c r="BY668" s="319" t="s">
        <v>190</v>
      </c>
      <c r="BZ668" s="319" t="s">
        <v>190</v>
      </c>
      <c r="CA668" s="319" t="s">
        <v>190</v>
      </c>
      <c r="CB668" s="319" t="s">
        <v>190</v>
      </c>
      <c r="CC668" s="319" t="s">
        <v>190</v>
      </c>
      <c r="CD668" s="319" t="s">
        <v>190</v>
      </c>
      <c r="CE668" s="319" t="s">
        <v>190</v>
      </c>
      <c r="CF668" s="319" t="s">
        <v>190</v>
      </c>
      <c r="CG668" s="319" t="s">
        <v>190</v>
      </c>
      <c r="CH668" s="319" t="s">
        <v>190</v>
      </c>
      <c r="CI668" s="319" t="s">
        <v>190</v>
      </c>
      <c r="CJ668" s="319" t="s">
        <v>190</v>
      </c>
      <c r="CK668" s="319" t="s">
        <v>190</v>
      </c>
      <c r="CL668" s="319" t="s">
        <v>190</v>
      </c>
      <c r="CM668" s="319" t="s">
        <v>190</v>
      </c>
      <c r="CN668" s="319" t="s">
        <v>428</v>
      </c>
      <c r="CO668" s="319" t="s">
        <v>428</v>
      </c>
      <c r="CP668" s="319" t="s">
        <v>428</v>
      </c>
      <c r="CQ668" s="319" t="s">
        <v>190</v>
      </c>
      <c r="CR668" s="319" t="s">
        <v>190</v>
      </c>
      <c r="CS668" s="319" t="s">
        <v>190</v>
      </c>
      <c r="CT668" s="319" t="s">
        <v>190</v>
      </c>
      <c r="CU668" s="319" t="s">
        <v>190</v>
      </c>
      <c r="CV668" s="319" t="s">
        <v>190</v>
      </c>
      <c r="CW668" s="319" t="s">
        <v>190</v>
      </c>
      <c r="CX668" s="319" t="s">
        <v>190</v>
      </c>
      <c r="CY668" s="319" t="s">
        <v>190</v>
      </c>
      <c r="CZ668" s="319" t="s">
        <v>190</v>
      </c>
      <c r="DA668" s="319" t="s">
        <v>190</v>
      </c>
      <c r="DB668" s="319" t="s">
        <v>190</v>
      </c>
      <c r="DC668" s="319" t="s">
        <v>190</v>
      </c>
      <c r="DD668" s="319" t="s">
        <v>190</v>
      </c>
      <c r="DE668" s="319" t="s">
        <v>190</v>
      </c>
      <c r="DF668" s="319" t="s">
        <v>190</v>
      </c>
      <c r="DG668" s="319" t="s">
        <v>190</v>
      </c>
      <c r="DH668" s="319" t="s">
        <v>190</v>
      </c>
      <c r="DI668" s="319" t="s">
        <v>190</v>
      </c>
      <c r="DJ668" s="319" t="s">
        <v>190</v>
      </c>
      <c r="DK668" s="319" t="s">
        <v>190</v>
      </c>
      <c r="DL668" s="319" t="s">
        <v>190</v>
      </c>
      <c r="DM668" s="319" t="s">
        <v>190</v>
      </c>
      <c r="DN668" s="319" t="s">
        <v>428</v>
      </c>
      <c r="DO668" s="319" t="s">
        <v>190</v>
      </c>
      <c r="DP668" s="319" t="s">
        <v>428</v>
      </c>
      <c r="DQ668" s="319" t="s">
        <v>428</v>
      </c>
      <c r="DR668" s="319" t="s">
        <v>428</v>
      </c>
      <c r="DS668" s="319" t="s">
        <v>428</v>
      </c>
      <c r="DT668" s="319" t="s">
        <v>428</v>
      </c>
      <c r="DU668" s="319" t="s">
        <v>428</v>
      </c>
      <c r="DV668" s="319" t="s">
        <v>173</v>
      </c>
      <c r="DW668" s="319" t="s">
        <v>428</v>
      </c>
      <c r="DX668" s="319" t="s">
        <v>428</v>
      </c>
      <c r="DY668" s="319" t="s">
        <v>428</v>
      </c>
      <c r="DZ668" s="319" t="s">
        <v>428</v>
      </c>
      <c r="EA668" s="319" t="s">
        <v>428</v>
      </c>
      <c r="EB668" s="319" t="s">
        <v>428</v>
      </c>
      <c r="EC668" s="319" t="s">
        <v>428</v>
      </c>
      <c r="ED668" s="319" t="s">
        <v>428</v>
      </c>
      <c r="EE668" s="319" t="s">
        <v>190</v>
      </c>
      <c r="EF668" s="319" t="s">
        <v>190</v>
      </c>
      <c r="EG668" s="319" t="s">
        <v>190</v>
      </c>
      <c r="EH668" s="319" t="s">
        <v>190</v>
      </c>
      <c r="EI668" s="319" t="s">
        <v>190</v>
      </c>
      <c r="EJ668" s="319" t="s">
        <v>190</v>
      </c>
      <c r="EK668" s="319" t="s">
        <v>190</v>
      </c>
      <c r="EL668" s="319" t="s">
        <v>190</v>
      </c>
      <c r="EM668" s="319" t="s">
        <v>190</v>
      </c>
      <c r="EN668" s="319" t="s">
        <v>190</v>
      </c>
      <c r="EO668" s="319" t="s">
        <v>190</v>
      </c>
      <c r="EP668" s="319" t="s">
        <v>190</v>
      </c>
      <c r="EQ668" s="319" t="s">
        <v>190</v>
      </c>
      <c r="ER668" s="319" t="s">
        <v>190</v>
      </c>
      <c r="ES668" s="319" t="s">
        <v>190</v>
      </c>
      <c r="ET668" s="319" t="s">
        <v>190</v>
      </c>
      <c r="EU668" s="319" t="s">
        <v>190</v>
      </c>
      <c r="EV668" s="319" t="s">
        <v>190</v>
      </c>
      <c r="EW668" s="319" t="s">
        <v>190</v>
      </c>
      <c r="EX668" s="319" t="s">
        <v>190</v>
      </c>
      <c r="EY668" s="319" t="s">
        <v>190</v>
      </c>
      <c r="EZ668" s="319" t="s">
        <v>190</v>
      </c>
      <c r="FA668" s="319" t="s">
        <v>190</v>
      </c>
      <c r="FB668" s="319" t="s">
        <v>428</v>
      </c>
      <c r="FC668" s="319" t="s">
        <v>428</v>
      </c>
      <c r="FD668" s="319" t="s">
        <v>428</v>
      </c>
      <c r="FE668" s="319" t="s">
        <v>428</v>
      </c>
      <c r="FF668" s="319" t="s">
        <v>428</v>
      </c>
      <c r="FG668" s="319" t="s">
        <v>428</v>
      </c>
      <c r="FH668" s="319" t="s">
        <v>190</v>
      </c>
      <c r="FI668" s="319" t="s">
        <v>190</v>
      </c>
      <c r="FJ668" s="319" t="s">
        <v>190</v>
      </c>
      <c r="FK668" s="319" t="s">
        <v>190</v>
      </c>
      <c r="FL668" s="319" t="s">
        <v>190</v>
      </c>
      <c r="FM668" s="319" t="s">
        <v>190</v>
      </c>
      <c r="FN668" s="319" t="s">
        <v>190</v>
      </c>
      <c r="FO668" s="319" t="s">
        <v>190</v>
      </c>
      <c r="FP668" s="319" t="s">
        <v>190</v>
      </c>
      <c r="FQ668" s="319" t="s">
        <v>190</v>
      </c>
      <c r="FR668" s="319" t="s">
        <v>190</v>
      </c>
      <c r="FS668" s="319" t="s">
        <v>428</v>
      </c>
      <c r="FT668" s="319" t="s">
        <v>190</v>
      </c>
      <c r="FU668" s="319" t="s">
        <v>190</v>
      </c>
      <c r="FV668" s="319" t="s">
        <v>190</v>
      </c>
      <c r="FW668" s="319" t="s">
        <v>190</v>
      </c>
      <c r="FX668" s="319" t="s">
        <v>190</v>
      </c>
      <c r="FY668" s="319" t="s">
        <v>190</v>
      </c>
      <c r="FZ668" s="319" t="s">
        <v>190</v>
      </c>
      <c r="GA668" s="319" t="s">
        <v>190</v>
      </c>
      <c r="GB668" s="319" t="s">
        <v>190</v>
      </c>
      <c r="GC668" s="319" t="s">
        <v>190</v>
      </c>
      <c r="GD668" s="319" t="s">
        <v>190</v>
      </c>
      <c r="GE668" s="319" t="s">
        <v>190</v>
      </c>
      <c r="GF668" s="319" t="s">
        <v>190</v>
      </c>
      <c r="GG668" s="319" t="s">
        <v>190</v>
      </c>
      <c r="GH668" s="319" t="s">
        <v>190</v>
      </c>
      <c r="GI668" s="319" t="s">
        <v>190</v>
      </c>
      <c r="GJ668" s="319" t="s">
        <v>190</v>
      </c>
      <c r="GK668" s="319" t="s">
        <v>428</v>
      </c>
      <c r="GL668" s="319" t="s">
        <v>190</v>
      </c>
      <c r="GM668" s="319" t="s">
        <v>190</v>
      </c>
      <c r="GN668" s="319" t="s">
        <v>190</v>
      </c>
      <c r="GO668" s="319" t="s">
        <v>190</v>
      </c>
      <c r="GP668" s="319" t="s">
        <v>190</v>
      </c>
      <c r="GQ668" s="319" t="s">
        <v>190</v>
      </c>
      <c r="GR668" s="319" t="s">
        <v>190</v>
      </c>
      <c r="GS668" s="319" t="s">
        <v>190</v>
      </c>
      <c r="GT668" s="319" t="s">
        <v>190</v>
      </c>
      <c r="GU668" s="319" t="s">
        <v>190</v>
      </c>
      <c r="GV668" s="319" t="s">
        <v>190</v>
      </c>
      <c r="GW668" s="319" t="s">
        <v>190</v>
      </c>
      <c r="GX668" s="319" t="s">
        <v>190</v>
      </c>
      <c r="GY668" s="319" t="s">
        <v>190</v>
      </c>
      <c r="GZ668" s="319" t="s">
        <v>190</v>
      </c>
      <c r="HA668" s="319" t="s">
        <v>428</v>
      </c>
      <c r="HB668" s="319" t="s">
        <v>190</v>
      </c>
      <c r="HC668" s="319" t="s">
        <v>190</v>
      </c>
      <c r="HD668" s="319" t="s">
        <v>190</v>
      </c>
      <c r="HE668" s="319" t="s">
        <v>190</v>
      </c>
      <c r="HF668" s="319" t="s">
        <v>190</v>
      </c>
      <c r="HG668" s="319" t="s">
        <v>190</v>
      </c>
      <c r="HH668" s="319" t="s">
        <v>190</v>
      </c>
      <c r="HI668" s="319" t="s">
        <v>190</v>
      </c>
      <c r="HJ668" s="319" t="s">
        <v>190</v>
      </c>
      <c r="HK668" s="319" t="s">
        <v>190</v>
      </c>
      <c r="HL668" s="319" t="s">
        <v>190</v>
      </c>
      <c r="HM668" s="319" t="s">
        <v>190</v>
      </c>
      <c r="HN668" s="319" t="s">
        <v>190</v>
      </c>
      <c r="HO668" s="319" t="s">
        <v>190</v>
      </c>
      <c r="HP668" s="319" t="s">
        <v>190</v>
      </c>
      <c r="HQ668" s="319" t="s">
        <v>190</v>
      </c>
      <c r="HR668" s="319" t="s">
        <v>190</v>
      </c>
      <c r="HS668" s="319" t="s">
        <v>190</v>
      </c>
      <c r="HT668" s="319" t="s">
        <v>190</v>
      </c>
      <c r="HU668" s="319" t="s">
        <v>190</v>
      </c>
      <c r="HV668" s="319" t="s">
        <v>190</v>
      </c>
      <c r="HW668" s="319" t="s">
        <v>190</v>
      </c>
      <c r="HX668" s="319" t="s">
        <v>190</v>
      </c>
      <c r="HY668" s="319" t="s">
        <v>190</v>
      </c>
      <c r="HZ668" s="319" t="s">
        <v>190</v>
      </c>
      <c r="IA668" s="319" t="s">
        <v>190</v>
      </c>
      <c r="IB668" s="319" t="s">
        <v>190</v>
      </c>
      <c r="IC668" s="319" t="s">
        <v>190</v>
      </c>
      <c r="ID668" s="319" t="s">
        <v>190</v>
      </c>
      <c r="IE668" s="319" t="s">
        <v>190</v>
      </c>
      <c r="IF668" s="319" t="s">
        <v>191</v>
      </c>
      <c r="IG668" s="319" t="s">
        <v>191</v>
      </c>
      <c r="IH668" s="319" t="s">
        <v>191</v>
      </c>
      <c r="II668" s="319" t="s">
        <v>190</v>
      </c>
      <c r="IJ668" s="319">
        <v>10043122</v>
      </c>
      <c r="IK668" s="321">
        <v>43053</v>
      </c>
      <c r="IL668" s="321">
        <v>43055</v>
      </c>
      <c r="IM668" s="321">
        <v>43081</v>
      </c>
      <c r="IN668" s="319">
        <v>3</v>
      </c>
      <c r="IO668" s="319">
        <v>10125003</v>
      </c>
      <c r="IP668" s="319" t="s">
        <v>985</v>
      </c>
      <c r="IQ668" s="321">
        <v>43747</v>
      </c>
      <c r="IR668" s="320" t="s">
        <v>2771</v>
      </c>
      <c r="IS668" s="322">
        <v>43781</v>
      </c>
      <c r="IT668" s="319" t="s">
        <v>166</v>
      </c>
    </row>
    <row r="669" spans="1:254" s="271" customFormat="1" x14ac:dyDescent="0.25">
      <c r="A669" s="318" t="str">
        <f>HYPERLINK("http://www.ofsted.gov.uk/inspection-reports/find-inspection-report/provider/ELS/137567 ","Ofsted School Webpage")</f>
        <v>Ofsted School Webpage</v>
      </c>
      <c r="B669" s="319">
        <v>137567</v>
      </c>
      <c r="C669" s="319">
        <v>3066000</v>
      </c>
      <c r="D669" s="319" t="s">
        <v>733</v>
      </c>
      <c r="E669" s="319" t="s">
        <v>167</v>
      </c>
      <c r="F669" s="319" t="s">
        <v>81</v>
      </c>
      <c r="G669" s="319" t="s">
        <v>81</v>
      </c>
      <c r="H669" s="319" t="s">
        <v>81</v>
      </c>
      <c r="I669" s="319" t="s">
        <v>78</v>
      </c>
      <c r="J669" s="319" t="s">
        <v>424</v>
      </c>
      <c r="K669" s="319" t="s">
        <v>441</v>
      </c>
      <c r="L669" s="319" t="s">
        <v>441</v>
      </c>
      <c r="M669" s="319" t="s">
        <v>734</v>
      </c>
      <c r="N669" s="319" t="s">
        <v>3177</v>
      </c>
      <c r="O669" s="319" t="s">
        <v>735</v>
      </c>
      <c r="P669" s="319">
        <v>54</v>
      </c>
      <c r="Q669" s="319" t="s">
        <v>2776</v>
      </c>
      <c r="R669" s="320">
        <v>10054301</v>
      </c>
      <c r="S669" s="321">
        <v>43431</v>
      </c>
      <c r="T669" s="321">
        <v>43433</v>
      </c>
      <c r="U669" s="321">
        <v>43472</v>
      </c>
      <c r="V669" s="319" t="s">
        <v>425</v>
      </c>
      <c r="W669" s="319" t="s">
        <v>2767</v>
      </c>
      <c r="X669" s="319">
        <v>2</v>
      </c>
      <c r="Y669" s="319" t="s">
        <v>173</v>
      </c>
      <c r="Z669" s="319" t="s">
        <v>173</v>
      </c>
      <c r="AA669" s="319" t="s">
        <v>173</v>
      </c>
      <c r="AB669" s="319">
        <v>2</v>
      </c>
      <c r="AC669" s="319" t="s">
        <v>169</v>
      </c>
      <c r="AD669" s="319" t="s">
        <v>173</v>
      </c>
      <c r="AE669" s="319">
        <v>2</v>
      </c>
      <c r="AF669" s="319" t="s">
        <v>427</v>
      </c>
      <c r="AG669" s="319" t="s">
        <v>171</v>
      </c>
      <c r="AH669" s="319" t="s">
        <v>190</v>
      </c>
      <c r="AI669" s="319" t="s">
        <v>190</v>
      </c>
      <c r="AJ669" s="319" t="s">
        <v>190</v>
      </c>
      <c r="AK669" s="319" t="s">
        <v>190</v>
      </c>
      <c r="AL669" s="319" t="s">
        <v>190</v>
      </c>
      <c r="AM669" s="319" t="s">
        <v>190</v>
      </c>
      <c r="AN669" s="319" t="s">
        <v>190</v>
      </c>
      <c r="AO669" s="319" t="s">
        <v>190</v>
      </c>
      <c r="AP669" s="319" t="s">
        <v>190</v>
      </c>
      <c r="AQ669" s="319" t="s">
        <v>190</v>
      </c>
      <c r="AR669" s="319" t="s">
        <v>190</v>
      </c>
      <c r="AS669" s="319" t="s">
        <v>190</v>
      </c>
      <c r="AT669" s="319" t="s">
        <v>190</v>
      </c>
      <c r="AU669" s="319" t="s">
        <v>190</v>
      </c>
      <c r="AV669" s="319" t="s">
        <v>190</v>
      </c>
      <c r="AW669" s="319" t="s">
        <v>190</v>
      </c>
      <c r="AX669" s="319" t="s">
        <v>428</v>
      </c>
      <c r="AY669" s="319" t="s">
        <v>190</v>
      </c>
      <c r="AZ669" s="319" t="s">
        <v>190</v>
      </c>
      <c r="BA669" s="319" t="s">
        <v>190</v>
      </c>
      <c r="BB669" s="319" t="s">
        <v>190</v>
      </c>
      <c r="BC669" s="319" t="s">
        <v>190</v>
      </c>
      <c r="BD669" s="319" t="s">
        <v>190</v>
      </c>
      <c r="BE669" s="319" t="s">
        <v>190</v>
      </c>
      <c r="BF669" s="319" t="s">
        <v>428</v>
      </c>
      <c r="BG669" s="319" t="s">
        <v>190</v>
      </c>
      <c r="BH669" s="319" t="s">
        <v>190</v>
      </c>
      <c r="BI669" s="319" t="s">
        <v>190</v>
      </c>
      <c r="BJ669" s="319" t="s">
        <v>190</v>
      </c>
      <c r="BK669" s="319" t="s">
        <v>190</v>
      </c>
      <c r="BL669" s="319" t="s">
        <v>190</v>
      </c>
      <c r="BM669" s="319" t="s">
        <v>190</v>
      </c>
      <c r="BN669" s="319" t="s">
        <v>190</v>
      </c>
      <c r="BO669" s="319" t="s">
        <v>190</v>
      </c>
      <c r="BP669" s="319" t="s">
        <v>190</v>
      </c>
      <c r="BQ669" s="319" t="s">
        <v>190</v>
      </c>
      <c r="BR669" s="319" t="s">
        <v>190</v>
      </c>
      <c r="BS669" s="319" t="s">
        <v>190</v>
      </c>
      <c r="BT669" s="319" t="s">
        <v>190</v>
      </c>
      <c r="BU669" s="319" t="s">
        <v>190</v>
      </c>
      <c r="BV669" s="319" t="s">
        <v>190</v>
      </c>
      <c r="BW669" s="319" t="s">
        <v>190</v>
      </c>
      <c r="BX669" s="319" t="s">
        <v>190</v>
      </c>
      <c r="BY669" s="319" t="s">
        <v>190</v>
      </c>
      <c r="BZ669" s="319" t="s">
        <v>190</v>
      </c>
      <c r="CA669" s="319" t="s">
        <v>190</v>
      </c>
      <c r="CB669" s="319" t="s">
        <v>190</v>
      </c>
      <c r="CC669" s="319" t="s">
        <v>190</v>
      </c>
      <c r="CD669" s="319" t="s">
        <v>190</v>
      </c>
      <c r="CE669" s="319" t="s">
        <v>190</v>
      </c>
      <c r="CF669" s="319" t="s">
        <v>190</v>
      </c>
      <c r="CG669" s="319" t="s">
        <v>190</v>
      </c>
      <c r="CH669" s="319" t="s">
        <v>190</v>
      </c>
      <c r="CI669" s="319" t="s">
        <v>190</v>
      </c>
      <c r="CJ669" s="319" t="s">
        <v>190</v>
      </c>
      <c r="CK669" s="319" t="s">
        <v>190</v>
      </c>
      <c r="CL669" s="319" t="s">
        <v>190</v>
      </c>
      <c r="CM669" s="319" t="s">
        <v>190</v>
      </c>
      <c r="CN669" s="319" t="s">
        <v>428</v>
      </c>
      <c r="CO669" s="319" t="s">
        <v>428</v>
      </c>
      <c r="CP669" s="319" t="s">
        <v>428</v>
      </c>
      <c r="CQ669" s="319" t="s">
        <v>190</v>
      </c>
      <c r="CR669" s="319" t="s">
        <v>190</v>
      </c>
      <c r="CS669" s="319" t="s">
        <v>190</v>
      </c>
      <c r="CT669" s="319" t="s">
        <v>190</v>
      </c>
      <c r="CU669" s="319" t="s">
        <v>190</v>
      </c>
      <c r="CV669" s="319" t="s">
        <v>190</v>
      </c>
      <c r="CW669" s="319" t="s">
        <v>190</v>
      </c>
      <c r="CX669" s="319" t="s">
        <v>190</v>
      </c>
      <c r="CY669" s="319" t="s">
        <v>190</v>
      </c>
      <c r="CZ669" s="319" t="s">
        <v>190</v>
      </c>
      <c r="DA669" s="319" t="s">
        <v>190</v>
      </c>
      <c r="DB669" s="319" t="s">
        <v>190</v>
      </c>
      <c r="DC669" s="319" t="s">
        <v>190</v>
      </c>
      <c r="DD669" s="319" t="s">
        <v>190</v>
      </c>
      <c r="DE669" s="319" t="s">
        <v>190</v>
      </c>
      <c r="DF669" s="319" t="s">
        <v>190</v>
      </c>
      <c r="DG669" s="319" t="s">
        <v>190</v>
      </c>
      <c r="DH669" s="319" t="s">
        <v>190</v>
      </c>
      <c r="DI669" s="319" t="s">
        <v>190</v>
      </c>
      <c r="DJ669" s="319" t="s">
        <v>190</v>
      </c>
      <c r="DK669" s="319" t="s">
        <v>190</v>
      </c>
      <c r="DL669" s="319" t="s">
        <v>190</v>
      </c>
      <c r="DM669" s="319" t="s">
        <v>190</v>
      </c>
      <c r="DN669" s="319" t="s">
        <v>428</v>
      </c>
      <c r="DO669" s="319" t="s">
        <v>190</v>
      </c>
      <c r="DP669" s="319" t="s">
        <v>428</v>
      </c>
      <c r="DQ669" s="319" t="s">
        <v>428</v>
      </c>
      <c r="DR669" s="319" t="s">
        <v>428</v>
      </c>
      <c r="DS669" s="319" t="s">
        <v>428</v>
      </c>
      <c r="DT669" s="319" t="s">
        <v>428</v>
      </c>
      <c r="DU669" s="319" t="s">
        <v>428</v>
      </c>
      <c r="DV669" s="319" t="s">
        <v>173</v>
      </c>
      <c r="DW669" s="319" t="s">
        <v>428</v>
      </c>
      <c r="DX669" s="319" t="s">
        <v>428</v>
      </c>
      <c r="DY669" s="319" t="s">
        <v>428</v>
      </c>
      <c r="DZ669" s="319" t="s">
        <v>428</v>
      </c>
      <c r="EA669" s="319" t="s">
        <v>428</v>
      </c>
      <c r="EB669" s="319" t="s">
        <v>428</v>
      </c>
      <c r="EC669" s="319" t="s">
        <v>428</v>
      </c>
      <c r="ED669" s="319" t="s">
        <v>428</v>
      </c>
      <c r="EE669" s="319" t="s">
        <v>190</v>
      </c>
      <c r="EF669" s="319" t="s">
        <v>190</v>
      </c>
      <c r="EG669" s="319" t="s">
        <v>190</v>
      </c>
      <c r="EH669" s="319" t="s">
        <v>190</v>
      </c>
      <c r="EI669" s="319" t="s">
        <v>190</v>
      </c>
      <c r="EJ669" s="319" t="s">
        <v>190</v>
      </c>
      <c r="EK669" s="319" t="s">
        <v>190</v>
      </c>
      <c r="EL669" s="319" t="s">
        <v>190</v>
      </c>
      <c r="EM669" s="319" t="s">
        <v>190</v>
      </c>
      <c r="EN669" s="319" t="s">
        <v>190</v>
      </c>
      <c r="EO669" s="319" t="s">
        <v>190</v>
      </c>
      <c r="EP669" s="319" t="s">
        <v>190</v>
      </c>
      <c r="EQ669" s="319" t="s">
        <v>190</v>
      </c>
      <c r="ER669" s="319" t="s">
        <v>190</v>
      </c>
      <c r="ES669" s="319" t="s">
        <v>190</v>
      </c>
      <c r="ET669" s="319" t="s">
        <v>190</v>
      </c>
      <c r="EU669" s="319" t="s">
        <v>190</v>
      </c>
      <c r="EV669" s="319" t="s">
        <v>190</v>
      </c>
      <c r="EW669" s="319" t="s">
        <v>190</v>
      </c>
      <c r="EX669" s="319" t="s">
        <v>190</v>
      </c>
      <c r="EY669" s="319" t="s">
        <v>190</v>
      </c>
      <c r="EZ669" s="319" t="s">
        <v>190</v>
      </c>
      <c r="FA669" s="319" t="s">
        <v>190</v>
      </c>
      <c r="FB669" s="319" t="s">
        <v>428</v>
      </c>
      <c r="FC669" s="319" t="s">
        <v>428</v>
      </c>
      <c r="FD669" s="319" t="s">
        <v>428</v>
      </c>
      <c r="FE669" s="319" t="s">
        <v>428</v>
      </c>
      <c r="FF669" s="319" t="s">
        <v>428</v>
      </c>
      <c r="FG669" s="319" t="s">
        <v>428</v>
      </c>
      <c r="FH669" s="319" t="s">
        <v>190</v>
      </c>
      <c r="FI669" s="319" t="s">
        <v>428</v>
      </c>
      <c r="FJ669" s="319" t="s">
        <v>429</v>
      </c>
      <c r="FK669" s="319" t="s">
        <v>428</v>
      </c>
      <c r="FL669" s="319" t="s">
        <v>190</v>
      </c>
      <c r="FM669" s="319" t="s">
        <v>190</v>
      </c>
      <c r="FN669" s="319" t="s">
        <v>190</v>
      </c>
      <c r="FO669" s="319" t="s">
        <v>428</v>
      </c>
      <c r="FP669" s="319" t="s">
        <v>190</v>
      </c>
      <c r="FQ669" s="319" t="s">
        <v>190</v>
      </c>
      <c r="FR669" s="319" t="s">
        <v>190</v>
      </c>
      <c r="FS669" s="319" t="s">
        <v>428</v>
      </c>
      <c r="FT669" s="319" t="s">
        <v>428</v>
      </c>
      <c r="FU669" s="319" t="s">
        <v>190</v>
      </c>
      <c r="FV669" s="319" t="s">
        <v>190</v>
      </c>
      <c r="FW669" s="319" t="s">
        <v>190</v>
      </c>
      <c r="FX669" s="319" t="s">
        <v>190</v>
      </c>
      <c r="FY669" s="319" t="s">
        <v>190</v>
      </c>
      <c r="FZ669" s="319" t="s">
        <v>190</v>
      </c>
      <c r="GA669" s="319" t="s">
        <v>190</v>
      </c>
      <c r="GB669" s="319" t="s">
        <v>190</v>
      </c>
      <c r="GC669" s="319" t="s">
        <v>190</v>
      </c>
      <c r="GD669" s="319" t="s">
        <v>190</v>
      </c>
      <c r="GE669" s="319" t="s">
        <v>190</v>
      </c>
      <c r="GF669" s="319" t="s">
        <v>190</v>
      </c>
      <c r="GG669" s="319" t="s">
        <v>190</v>
      </c>
      <c r="GH669" s="319" t="s">
        <v>428</v>
      </c>
      <c r="GI669" s="319" t="s">
        <v>428</v>
      </c>
      <c r="GJ669" s="319" t="s">
        <v>428</v>
      </c>
      <c r="GK669" s="319" t="s">
        <v>428</v>
      </c>
      <c r="GL669" s="319" t="s">
        <v>190</v>
      </c>
      <c r="GM669" s="319" t="s">
        <v>190</v>
      </c>
      <c r="GN669" s="319" t="s">
        <v>190</v>
      </c>
      <c r="GO669" s="319" t="s">
        <v>190</v>
      </c>
      <c r="GP669" s="319" t="s">
        <v>190</v>
      </c>
      <c r="GQ669" s="319" t="s">
        <v>428</v>
      </c>
      <c r="GR669" s="319" t="s">
        <v>190</v>
      </c>
      <c r="GS669" s="319" t="s">
        <v>190</v>
      </c>
      <c r="GT669" s="319" t="s">
        <v>428</v>
      </c>
      <c r="GU669" s="319" t="s">
        <v>428</v>
      </c>
      <c r="GV669" s="319" t="s">
        <v>190</v>
      </c>
      <c r="GW669" s="319" t="s">
        <v>190</v>
      </c>
      <c r="GX669" s="319" t="s">
        <v>190</v>
      </c>
      <c r="GY669" s="319" t="s">
        <v>190</v>
      </c>
      <c r="GZ669" s="319" t="s">
        <v>190</v>
      </c>
      <c r="HA669" s="319" t="s">
        <v>428</v>
      </c>
      <c r="HB669" s="319" t="s">
        <v>428</v>
      </c>
      <c r="HC669" s="319" t="s">
        <v>190</v>
      </c>
      <c r="HD669" s="319" t="s">
        <v>190</v>
      </c>
      <c r="HE669" s="319" t="s">
        <v>190</v>
      </c>
      <c r="HF669" s="319" t="s">
        <v>190</v>
      </c>
      <c r="HG669" s="319" t="s">
        <v>190</v>
      </c>
      <c r="HH669" s="319" t="s">
        <v>190</v>
      </c>
      <c r="HI669" s="319" t="s">
        <v>190</v>
      </c>
      <c r="HJ669" s="319" t="s">
        <v>190</v>
      </c>
      <c r="HK669" s="319" t="s">
        <v>190</v>
      </c>
      <c r="HL669" s="319" t="s">
        <v>190</v>
      </c>
      <c r="HM669" s="319" t="s">
        <v>190</v>
      </c>
      <c r="HN669" s="319" t="s">
        <v>190</v>
      </c>
      <c r="HO669" s="319" t="s">
        <v>190</v>
      </c>
      <c r="HP669" s="319" t="s">
        <v>190</v>
      </c>
      <c r="HQ669" s="319" t="s">
        <v>190</v>
      </c>
      <c r="HR669" s="319" t="s">
        <v>190</v>
      </c>
      <c r="HS669" s="319" t="s">
        <v>190</v>
      </c>
      <c r="HT669" s="319" t="s">
        <v>190</v>
      </c>
      <c r="HU669" s="319" t="s">
        <v>190</v>
      </c>
      <c r="HV669" s="319" t="s">
        <v>190</v>
      </c>
      <c r="HW669" s="319" t="s">
        <v>190</v>
      </c>
      <c r="HX669" s="319" t="s">
        <v>190</v>
      </c>
      <c r="HY669" s="319" t="s">
        <v>190</v>
      </c>
      <c r="HZ669" s="319" t="s">
        <v>190</v>
      </c>
      <c r="IA669" s="319" t="s">
        <v>190</v>
      </c>
      <c r="IB669" s="319" t="s">
        <v>190</v>
      </c>
      <c r="IC669" s="319" t="s">
        <v>190</v>
      </c>
      <c r="ID669" s="319" t="s">
        <v>190</v>
      </c>
      <c r="IE669" s="319" t="s">
        <v>190</v>
      </c>
      <c r="IF669" s="319" t="s">
        <v>190</v>
      </c>
      <c r="IG669" s="319" t="s">
        <v>190</v>
      </c>
      <c r="IH669" s="319" t="s">
        <v>190</v>
      </c>
      <c r="II669" s="319" t="s">
        <v>190</v>
      </c>
      <c r="IJ669" s="319">
        <v>10006056</v>
      </c>
      <c r="IK669" s="321">
        <v>42319</v>
      </c>
      <c r="IL669" s="321">
        <v>42321</v>
      </c>
      <c r="IM669" s="321">
        <v>42340</v>
      </c>
      <c r="IN669" s="319">
        <v>2</v>
      </c>
      <c r="IO669" s="319" t="s">
        <v>173</v>
      </c>
      <c r="IP669" s="319" t="s">
        <v>173</v>
      </c>
      <c r="IQ669" s="321" t="s">
        <v>173</v>
      </c>
      <c r="IR669" s="320" t="s">
        <v>173</v>
      </c>
      <c r="IS669" s="322" t="s">
        <v>173</v>
      </c>
      <c r="IT669" s="319" t="s">
        <v>173</v>
      </c>
    </row>
    <row r="670" spans="1:254" s="271" customFormat="1" ht="30" x14ac:dyDescent="0.25">
      <c r="A670" s="318" t="str">
        <f>HYPERLINK("http://www.ofsted.gov.uk/inspection-reports/find-inspection-report/provider/ELS/137568 ","Ofsted School Webpage")</f>
        <v>Ofsted School Webpage</v>
      </c>
      <c r="B670" s="319">
        <v>137568</v>
      </c>
      <c r="C670" s="319">
        <v>3736003</v>
      </c>
      <c r="D670" s="319" t="s">
        <v>557</v>
      </c>
      <c r="E670" s="319" t="s">
        <v>167</v>
      </c>
      <c r="F670" s="319" t="s">
        <v>81</v>
      </c>
      <c r="G670" s="319" t="s">
        <v>72</v>
      </c>
      <c r="H670" s="319" t="s">
        <v>72</v>
      </c>
      <c r="I670" s="319" t="s">
        <v>72</v>
      </c>
      <c r="J670" s="319" t="s">
        <v>424</v>
      </c>
      <c r="K670" s="319" t="s">
        <v>458</v>
      </c>
      <c r="L670" s="319" t="s">
        <v>459</v>
      </c>
      <c r="M670" s="319" t="s">
        <v>486</v>
      </c>
      <c r="N670" s="319" t="s">
        <v>3415</v>
      </c>
      <c r="O670" s="319" t="s">
        <v>558</v>
      </c>
      <c r="P670" s="319">
        <v>69</v>
      </c>
      <c r="Q670" s="319" t="s">
        <v>2766</v>
      </c>
      <c r="R670" s="320">
        <v>10053833</v>
      </c>
      <c r="S670" s="321">
        <v>43382</v>
      </c>
      <c r="T670" s="321">
        <v>43384</v>
      </c>
      <c r="U670" s="321">
        <v>43418</v>
      </c>
      <c r="V670" s="319" t="s">
        <v>425</v>
      </c>
      <c r="W670" s="319" t="s">
        <v>2767</v>
      </c>
      <c r="X670" s="319">
        <v>4</v>
      </c>
      <c r="Y670" s="319" t="s">
        <v>173</v>
      </c>
      <c r="Z670" s="319" t="s">
        <v>173</v>
      </c>
      <c r="AA670" s="319" t="s">
        <v>173</v>
      </c>
      <c r="AB670" s="319">
        <v>4</v>
      </c>
      <c r="AC670" s="319" t="s">
        <v>170</v>
      </c>
      <c r="AD670" s="319" t="s">
        <v>173</v>
      </c>
      <c r="AE670" s="319" t="s">
        <v>173</v>
      </c>
      <c r="AF670" s="319" t="s">
        <v>427</v>
      </c>
      <c r="AG670" s="319" t="s">
        <v>172</v>
      </c>
      <c r="AH670" s="319" t="s">
        <v>479</v>
      </c>
      <c r="AI670" s="319" t="s">
        <v>190</v>
      </c>
      <c r="AJ670" s="319" t="s">
        <v>479</v>
      </c>
      <c r="AK670" s="319" t="s">
        <v>190</v>
      </c>
      <c r="AL670" s="319" t="s">
        <v>479</v>
      </c>
      <c r="AM670" s="319" t="s">
        <v>479</v>
      </c>
      <c r="AN670" s="319" t="s">
        <v>190</v>
      </c>
      <c r="AO670" s="319" t="s">
        <v>479</v>
      </c>
      <c r="AP670" s="319" t="s">
        <v>191</v>
      </c>
      <c r="AQ670" s="319" t="s">
        <v>191</v>
      </c>
      <c r="AR670" s="319" t="s">
        <v>191</v>
      </c>
      <c r="AS670" s="319" t="s">
        <v>191</v>
      </c>
      <c r="AT670" s="319" t="s">
        <v>190</v>
      </c>
      <c r="AU670" s="319" t="s">
        <v>190</v>
      </c>
      <c r="AV670" s="319" t="s">
        <v>190</v>
      </c>
      <c r="AW670" s="319" t="s">
        <v>190</v>
      </c>
      <c r="AX670" s="319" t="s">
        <v>428</v>
      </c>
      <c r="AY670" s="319" t="s">
        <v>191</v>
      </c>
      <c r="AZ670" s="319" t="s">
        <v>191</v>
      </c>
      <c r="BA670" s="319" t="s">
        <v>191</v>
      </c>
      <c r="BB670" s="319" t="s">
        <v>191</v>
      </c>
      <c r="BC670" s="319" t="s">
        <v>191</v>
      </c>
      <c r="BD670" s="319" t="s">
        <v>191</v>
      </c>
      <c r="BE670" s="319" t="s">
        <v>191</v>
      </c>
      <c r="BF670" s="319" t="s">
        <v>428</v>
      </c>
      <c r="BG670" s="319" t="s">
        <v>428</v>
      </c>
      <c r="BH670" s="319" t="s">
        <v>190</v>
      </c>
      <c r="BI670" s="319" t="s">
        <v>190</v>
      </c>
      <c r="BJ670" s="319" t="s">
        <v>191</v>
      </c>
      <c r="BK670" s="319" t="s">
        <v>191</v>
      </c>
      <c r="BL670" s="319" t="s">
        <v>190</v>
      </c>
      <c r="BM670" s="319" t="s">
        <v>191</v>
      </c>
      <c r="BN670" s="319" t="s">
        <v>191</v>
      </c>
      <c r="BO670" s="319" t="s">
        <v>190</v>
      </c>
      <c r="BP670" s="319" t="s">
        <v>190</v>
      </c>
      <c r="BQ670" s="319" t="s">
        <v>191</v>
      </c>
      <c r="BR670" s="319" t="s">
        <v>190</v>
      </c>
      <c r="BS670" s="319" t="s">
        <v>190</v>
      </c>
      <c r="BT670" s="319" t="s">
        <v>190</v>
      </c>
      <c r="BU670" s="319" t="s">
        <v>191</v>
      </c>
      <c r="BV670" s="319" t="s">
        <v>190</v>
      </c>
      <c r="BW670" s="319" t="s">
        <v>190</v>
      </c>
      <c r="BX670" s="319" t="s">
        <v>190</v>
      </c>
      <c r="BY670" s="319" t="s">
        <v>190</v>
      </c>
      <c r="BZ670" s="319" t="s">
        <v>190</v>
      </c>
      <c r="CA670" s="319" t="s">
        <v>190</v>
      </c>
      <c r="CB670" s="319" t="s">
        <v>190</v>
      </c>
      <c r="CC670" s="319" t="s">
        <v>190</v>
      </c>
      <c r="CD670" s="319" t="s">
        <v>190</v>
      </c>
      <c r="CE670" s="319" t="s">
        <v>190</v>
      </c>
      <c r="CF670" s="319" t="s">
        <v>190</v>
      </c>
      <c r="CG670" s="319" t="s">
        <v>190</v>
      </c>
      <c r="CH670" s="319" t="s">
        <v>190</v>
      </c>
      <c r="CI670" s="319" t="s">
        <v>190</v>
      </c>
      <c r="CJ670" s="319" t="s">
        <v>190</v>
      </c>
      <c r="CK670" s="319" t="s">
        <v>191</v>
      </c>
      <c r="CL670" s="319" t="s">
        <v>191</v>
      </c>
      <c r="CM670" s="319" t="s">
        <v>191</v>
      </c>
      <c r="CN670" s="319" t="s">
        <v>428</v>
      </c>
      <c r="CO670" s="319" t="s">
        <v>428</v>
      </c>
      <c r="CP670" s="319" t="s">
        <v>428</v>
      </c>
      <c r="CQ670" s="319" t="s">
        <v>190</v>
      </c>
      <c r="CR670" s="319" t="s">
        <v>190</v>
      </c>
      <c r="CS670" s="319" t="s">
        <v>190</v>
      </c>
      <c r="CT670" s="319" t="s">
        <v>190</v>
      </c>
      <c r="CU670" s="319" t="s">
        <v>190</v>
      </c>
      <c r="CV670" s="319" t="s">
        <v>191</v>
      </c>
      <c r="CW670" s="319" t="s">
        <v>191</v>
      </c>
      <c r="CX670" s="319" t="s">
        <v>191</v>
      </c>
      <c r="CY670" s="319" t="s">
        <v>190</v>
      </c>
      <c r="CZ670" s="319" t="s">
        <v>190</v>
      </c>
      <c r="DA670" s="319" t="s">
        <v>191</v>
      </c>
      <c r="DB670" s="319" t="s">
        <v>191</v>
      </c>
      <c r="DC670" s="319" t="s">
        <v>191</v>
      </c>
      <c r="DD670" s="319" t="s">
        <v>190</v>
      </c>
      <c r="DE670" s="319" t="s">
        <v>190</v>
      </c>
      <c r="DF670" s="319" t="s">
        <v>190</v>
      </c>
      <c r="DG670" s="319" t="s">
        <v>190</v>
      </c>
      <c r="DH670" s="319" t="s">
        <v>190</v>
      </c>
      <c r="DI670" s="319" t="s">
        <v>190</v>
      </c>
      <c r="DJ670" s="319" t="s">
        <v>190</v>
      </c>
      <c r="DK670" s="319" t="s">
        <v>190</v>
      </c>
      <c r="DL670" s="319" t="s">
        <v>190</v>
      </c>
      <c r="DM670" s="319" t="s">
        <v>428</v>
      </c>
      <c r="DN670" s="319" t="s">
        <v>428</v>
      </c>
      <c r="DO670" s="319" t="s">
        <v>190</v>
      </c>
      <c r="DP670" s="319" t="s">
        <v>428</v>
      </c>
      <c r="DQ670" s="319" t="s">
        <v>428</v>
      </c>
      <c r="DR670" s="319" t="s">
        <v>428</v>
      </c>
      <c r="DS670" s="319" t="s">
        <v>428</v>
      </c>
      <c r="DT670" s="319" t="s">
        <v>428</v>
      </c>
      <c r="DU670" s="319" t="s">
        <v>428</v>
      </c>
      <c r="DV670" s="319" t="s">
        <v>173</v>
      </c>
      <c r="DW670" s="319" t="s">
        <v>428</v>
      </c>
      <c r="DX670" s="319" t="s">
        <v>428</v>
      </c>
      <c r="DY670" s="319" t="s">
        <v>428</v>
      </c>
      <c r="DZ670" s="319" t="s">
        <v>428</v>
      </c>
      <c r="EA670" s="319" t="s">
        <v>428</v>
      </c>
      <c r="EB670" s="319" t="s">
        <v>428</v>
      </c>
      <c r="EC670" s="319" t="s">
        <v>428</v>
      </c>
      <c r="ED670" s="319" t="s">
        <v>428</v>
      </c>
      <c r="EE670" s="319" t="s">
        <v>428</v>
      </c>
      <c r="EF670" s="319" t="s">
        <v>428</v>
      </c>
      <c r="EG670" s="319" t="s">
        <v>428</v>
      </c>
      <c r="EH670" s="319" t="s">
        <v>428</v>
      </c>
      <c r="EI670" s="319" t="s">
        <v>428</v>
      </c>
      <c r="EJ670" s="319" t="s">
        <v>428</v>
      </c>
      <c r="EK670" s="319" t="s">
        <v>428</v>
      </c>
      <c r="EL670" s="319" t="s">
        <v>428</v>
      </c>
      <c r="EM670" s="319" t="s">
        <v>428</v>
      </c>
      <c r="EN670" s="319" t="s">
        <v>190</v>
      </c>
      <c r="EO670" s="319" t="s">
        <v>190</v>
      </c>
      <c r="EP670" s="319" t="s">
        <v>190</v>
      </c>
      <c r="EQ670" s="319" t="s">
        <v>190</v>
      </c>
      <c r="ER670" s="319" t="s">
        <v>190</v>
      </c>
      <c r="ES670" s="319" t="s">
        <v>190</v>
      </c>
      <c r="ET670" s="319" t="s">
        <v>190</v>
      </c>
      <c r="EU670" s="319" t="s">
        <v>190</v>
      </c>
      <c r="EV670" s="319" t="s">
        <v>190</v>
      </c>
      <c r="EW670" s="319" t="s">
        <v>190</v>
      </c>
      <c r="EX670" s="319" t="s">
        <v>190</v>
      </c>
      <c r="EY670" s="319" t="s">
        <v>190</v>
      </c>
      <c r="EZ670" s="319" t="s">
        <v>190</v>
      </c>
      <c r="FA670" s="319" t="s">
        <v>428</v>
      </c>
      <c r="FB670" s="319" t="s">
        <v>428</v>
      </c>
      <c r="FC670" s="319" t="s">
        <v>428</v>
      </c>
      <c r="FD670" s="319" t="s">
        <v>428</v>
      </c>
      <c r="FE670" s="319" t="s">
        <v>428</v>
      </c>
      <c r="FF670" s="319" t="s">
        <v>428</v>
      </c>
      <c r="FG670" s="319" t="s">
        <v>428</v>
      </c>
      <c r="FH670" s="319" t="s">
        <v>428</v>
      </c>
      <c r="FI670" s="319" t="s">
        <v>428</v>
      </c>
      <c r="FJ670" s="319" t="s">
        <v>429</v>
      </c>
      <c r="FK670" s="319" t="s">
        <v>428</v>
      </c>
      <c r="FL670" s="319" t="s">
        <v>191</v>
      </c>
      <c r="FM670" s="319" t="s">
        <v>191</v>
      </c>
      <c r="FN670" s="319" t="s">
        <v>428</v>
      </c>
      <c r="FO670" s="319" t="s">
        <v>190</v>
      </c>
      <c r="FP670" s="319" t="s">
        <v>190</v>
      </c>
      <c r="FQ670" s="319" t="s">
        <v>190</v>
      </c>
      <c r="FR670" s="319" t="s">
        <v>190</v>
      </c>
      <c r="FS670" s="319" t="s">
        <v>428</v>
      </c>
      <c r="FT670" s="319" t="s">
        <v>190</v>
      </c>
      <c r="FU670" s="319" t="s">
        <v>190</v>
      </c>
      <c r="FV670" s="319" t="s">
        <v>190</v>
      </c>
      <c r="FW670" s="319" t="s">
        <v>190</v>
      </c>
      <c r="FX670" s="319" t="s">
        <v>190</v>
      </c>
      <c r="FY670" s="319" t="s">
        <v>190</v>
      </c>
      <c r="FZ670" s="319" t="s">
        <v>190</v>
      </c>
      <c r="GA670" s="319" t="s">
        <v>190</v>
      </c>
      <c r="GB670" s="319" t="s">
        <v>190</v>
      </c>
      <c r="GC670" s="319" t="s">
        <v>190</v>
      </c>
      <c r="GD670" s="319" t="s">
        <v>190</v>
      </c>
      <c r="GE670" s="319" t="s">
        <v>190</v>
      </c>
      <c r="GF670" s="319" t="s">
        <v>190</v>
      </c>
      <c r="GG670" s="319" t="s">
        <v>190</v>
      </c>
      <c r="GH670" s="319" t="s">
        <v>191</v>
      </c>
      <c r="GI670" s="319" t="s">
        <v>191</v>
      </c>
      <c r="GJ670" s="319" t="s">
        <v>190</v>
      </c>
      <c r="GK670" s="319" t="s">
        <v>428</v>
      </c>
      <c r="GL670" s="319" t="s">
        <v>191</v>
      </c>
      <c r="GM670" s="319" t="s">
        <v>190</v>
      </c>
      <c r="GN670" s="319" t="s">
        <v>191</v>
      </c>
      <c r="GO670" s="319" t="s">
        <v>190</v>
      </c>
      <c r="GP670" s="319" t="s">
        <v>190</v>
      </c>
      <c r="GQ670" s="319" t="s">
        <v>428</v>
      </c>
      <c r="GR670" s="319" t="s">
        <v>190</v>
      </c>
      <c r="GS670" s="319" t="s">
        <v>190</v>
      </c>
      <c r="GT670" s="319" t="s">
        <v>428</v>
      </c>
      <c r="GU670" s="319" t="s">
        <v>428</v>
      </c>
      <c r="GV670" s="319" t="s">
        <v>190</v>
      </c>
      <c r="GW670" s="319" t="s">
        <v>190</v>
      </c>
      <c r="GX670" s="319" t="s">
        <v>190</v>
      </c>
      <c r="GY670" s="319" t="s">
        <v>190</v>
      </c>
      <c r="GZ670" s="319" t="s">
        <v>190</v>
      </c>
      <c r="HA670" s="319" t="s">
        <v>428</v>
      </c>
      <c r="HB670" s="319" t="s">
        <v>190</v>
      </c>
      <c r="HC670" s="319" t="s">
        <v>190</v>
      </c>
      <c r="HD670" s="319" t="s">
        <v>191</v>
      </c>
      <c r="HE670" s="319" t="s">
        <v>190</v>
      </c>
      <c r="HF670" s="319" t="s">
        <v>191</v>
      </c>
      <c r="HG670" s="319" t="s">
        <v>190</v>
      </c>
      <c r="HH670" s="319" t="s">
        <v>190</v>
      </c>
      <c r="HI670" s="319" t="s">
        <v>191</v>
      </c>
      <c r="HJ670" s="319" t="s">
        <v>190</v>
      </c>
      <c r="HK670" s="319" t="s">
        <v>190</v>
      </c>
      <c r="HL670" s="319" t="s">
        <v>428</v>
      </c>
      <c r="HM670" s="319" t="s">
        <v>428</v>
      </c>
      <c r="HN670" s="319" t="s">
        <v>428</v>
      </c>
      <c r="HO670" s="319" t="s">
        <v>428</v>
      </c>
      <c r="HP670" s="319" t="s">
        <v>190</v>
      </c>
      <c r="HQ670" s="319" t="s">
        <v>190</v>
      </c>
      <c r="HR670" s="319" t="s">
        <v>190</v>
      </c>
      <c r="HS670" s="319" t="s">
        <v>190</v>
      </c>
      <c r="HT670" s="319" t="s">
        <v>190</v>
      </c>
      <c r="HU670" s="319" t="s">
        <v>190</v>
      </c>
      <c r="HV670" s="319" t="s">
        <v>190</v>
      </c>
      <c r="HW670" s="319" t="s">
        <v>190</v>
      </c>
      <c r="HX670" s="319" t="s">
        <v>190</v>
      </c>
      <c r="HY670" s="319" t="s">
        <v>190</v>
      </c>
      <c r="HZ670" s="319" t="s">
        <v>190</v>
      </c>
      <c r="IA670" s="319" t="s">
        <v>190</v>
      </c>
      <c r="IB670" s="319" t="s">
        <v>190</v>
      </c>
      <c r="IC670" s="319" t="s">
        <v>190</v>
      </c>
      <c r="ID670" s="319" t="s">
        <v>190</v>
      </c>
      <c r="IE670" s="319" t="s">
        <v>190</v>
      </c>
      <c r="IF670" s="319" t="s">
        <v>191</v>
      </c>
      <c r="IG670" s="319" t="s">
        <v>191</v>
      </c>
      <c r="IH670" s="319" t="s">
        <v>191</v>
      </c>
      <c r="II670" s="319" t="s">
        <v>191</v>
      </c>
      <c r="IJ670" s="319">
        <v>10012834</v>
      </c>
      <c r="IK670" s="321">
        <v>42689</v>
      </c>
      <c r="IL670" s="321">
        <v>42691</v>
      </c>
      <c r="IM670" s="321">
        <v>42754</v>
      </c>
      <c r="IN670" s="319">
        <v>4</v>
      </c>
      <c r="IO670" s="319">
        <v>10114471</v>
      </c>
      <c r="IP670" s="319" t="s">
        <v>985</v>
      </c>
      <c r="IQ670" s="321">
        <v>43656</v>
      </c>
      <c r="IR670" s="320" t="s">
        <v>1223</v>
      </c>
      <c r="IS670" s="322">
        <v>43734</v>
      </c>
      <c r="IT670" s="319" t="s">
        <v>166</v>
      </c>
    </row>
    <row r="671" spans="1:254" s="271" customFormat="1" x14ac:dyDescent="0.25">
      <c r="A671" s="318" t="str">
        <f>HYPERLINK("http://www.ofsted.gov.uk/inspection-reports/find-inspection-report/provider/ELS/137571 ","Ofsted School Webpage")</f>
        <v>Ofsted School Webpage</v>
      </c>
      <c r="B671" s="319">
        <v>137571</v>
      </c>
      <c r="C671" s="319">
        <v>3326007</v>
      </c>
      <c r="D671" s="319" t="s">
        <v>2133</v>
      </c>
      <c r="E671" s="319" t="s">
        <v>167</v>
      </c>
      <c r="F671" s="319" t="s">
        <v>81</v>
      </c>
      <c r="G671" s="319" t="s">
        <v>81</v>
      </c>
      <c r="H671" s="319" t="s">
        <v>81</v>
      </c>
      <c r="I671" s="319" t="s">
        <v>78</v>
      </c>
      <c r="J671" s="319" t="s">
        <v>424</v>
      </c>
      <c r="K671" s="319" t="s">
        <v>437</v>
      </c>
      <c r="L671" s="319" t="s">
        <v>437</v>
      </c>
      <c r="M671" s="319" t="s">
        <v>619</v>
      </c>
      <c r="N671" s="319" t="s">
        <v>2862</v>
      </c>
      <c r="O671" s="319" t="s">
        <v>2134</v>
      </c>
      <c r="P671" s="319">
        <v>26</v>
      </c>
      <c r="Q671" s="319" t="s">
        <v>2766</v>
      </c>
      <c r="R671" s="320">
        <v>10006094</v>
      </c>
      <c r="S671" s="321">
        <v>43046</v>
      </c>
      <c r="T671" s="321">
        <v>43048</v>
      </c>
      <c r="U671" s="321">
        <v>43069</v>
      </c>
      <c r="V671" s="319" t="s">
        <v>425</v>
      </c>
      <c r="W671" s="319" t="s">
        <v>2767</v>
      </c>
      <c r="X671" s="319">
        <v>2</v>
      </c>
      <c r="Y671" s="319" t="s">
        <v>173</v>
      </c>
      <c r="Z671" s="319" t="s">
        <v>173</v>
      </c>
      <c r="AA671" s="319" t="s">
        <v>173</v>
      </c>
      <c r="AB671" s="319">
        <v>2</v>
      </c>
      <c r="AC671" s="319" t="s">
        <v>169</v>
      </c>
      <c r="AD671" s="319" t="s">
        <v>173</v>
      </c>
      <c r="AE671" s="319" t="s">
        <v>173</v>
      </c>
      <c r="AF671" s="319" t="s">
        <v>173</v>
      </c>
      <c r="AG671" s="319" t="s">
        <v>171</v>
      </c>
      <c r="AH671" s="319" t="s">
        <v>190</v>
      </c>
      <c r="AI671" s="319" t="s">
        <v>190</v>
      </c>
      <c r="AJ671" s="319" t="s">
        <v>190</v>
      </c>
      <c r="AK671" s="319" t="s">
        <v>190</v>
      </c>
      <c r="AL671" s="319" t="s">
        <v>190</v>
      </c>
      <c r="AM671" s="319" t="s">
        <v>190</v>
      </c>
      <c r="AN671" s="319" t="s">
        <v>190</v>
      </c>
      <c r="AO671" s="319" t="s">
        <v>190</v>
      </c>
      <c r="AP671" s="319" t="s">
        <v>190</v>
      </c>
      <c r="AQ671" s="319" t="s">
        <v>190</v>
      </c>
      <c r="AR671" s="319" t="s">
        <v>190</v>
      </c>
      <c r="AS671" s="319" t="s">
        <v>190</v>
      </c>
      <c r="AT671" s="319" t="s">
        <v>190</v>
      </c>
      <c r="AU671" s="319" t="s">
        <v>190</v>
      </c>
      <c r="AV671" s="319" t="s">
        <v>190</v>
      </c>
      <c r="AW671" s="319" t="s">
        <v>190</v>
      </c>
      <c r="AX671" s="319" t="s">
        <v>190</v>
      </c>
      <c r="AY671" s="319" t="s">
        <v>190</v>
      </c>
      <c r="AZ671" s="319" t="s">
        <v>190</v>
      </c>
      <c r="BA671" s="319" t="s">
        <v>190</v>
      </c>
      <c r="BB671" s="319" t="s">
        <v>190</v>
      </c>
      <c r="BC671" s="319" t="s">
        <v>190</v>
      </c>
      <c r="BD671" s="319" t="s">
        <v>190</v>
      </c>
      <c r="BE671" s="319" t="s">
        <v>190</v>
      </c>
      <c r="BF671" s="319" t="s">
        <v>190</v>
      </c>
      <c r="BG671" s="319" t="s">
        <v>190</v>
      </c>
      <c r="BH671" s="319" t="s">
        <v>190</v>
      </c>
      <c r="BI671" s="319" t="s">
        <v>190</v>
      </c>
      <c r="BJ671" s="319" t="s">
        <v>190</v>
      </c>
      <c r="BK671" s="319" t="s">
        <v>190</v>
      </c>
      <c r="BL671" s="319" t="s">
        <v>190</v>
      </c>
      <c r="BM671" s="319" t="s">
        <v>190</v>
      </c>
      <c r="BN671" s="319" t="s">
        <v>190</v>
      </c>
      <c r="BO671" s="319" t="s">
        <v>190</v>
      </c>
      <c r="BP671" s="319" t="s">
        <v>190</v>
      </c>
      <c r="BQ671" s="319" t="s">
        <v>190</v>
      </c>
      <c r="BR671" s="319" t="s">
        <v>190</v>
      </c>
      <c r="BS671" s="319" t="s">
        <v>190</v>
      </c>
      <c r="BT671" s="319" t="s">
        <v>190</v>
      </c>
      <c r="BU671" s="319" t="s">
        <v>190</v>
      </c>
      <c r="BV671" s="319" t="s">
        <v>190</v>
      </c>
      <c r="BW671" s="319" t="s">
        <v>190</v>
      </c>
      <c r="BX671" s="319" t="s">
        <v>190</v>
      </c>
      <c r="BY671" s="319" t="s">
        <v>190</v>
      </c>
      <c r="BZ671" s="319" t="s">
        <v>190</v>
      </c>
      <c r="CA671" s="319" t="s">
        <v>190</v>
      </c>
      <c r="CB671" s="319" t="s">
        <v>190</v>
      </c>
      <c r="CC671" s="319" t="s">
        <v>190</v>
      </c>
      <c r="CD671" s="319" t="s">
        <v>190</v>
      </c>
      <c r="CE671" s="319" t="s">
        <v>190</v>
      </c>
      <c r="CF671" s="319" t="s">
        <v>190</v>
      </c>
      <c r="CG671" s="319" t="s">
        <v>190</v>
      </c>
      <c r="CH671" s="319" t="s">
        <v>190</v>
      </c>
      <c r="CI671" s="319" t="s">
        <v>190</v>
      </c>
      <c r="CJ671" s="319" t="s">
        <v>190</v>
      </c>
      <c r="CK671" s="319" t="s">
        <v>190</v>
      </c>
      <c r="CL671" s="319" t="s">
        <v>190</v>
      </c>
      <c r="CM671" s="319" t="s">
        <v>190</v>
      </c>
      <c r="CN671" s="319" t="s">
        <v>429</v>
      </c>
      <c r="CO671" s="319" t="s">
        <v>429</v>
      </c>
      <c r="CP671" s="319" t="s">
        <v>429</v>
      </c>
      <c r="CQ671" s="319" t="s">
        <v>190</v>
      </c>
      <c r="CR671" s="319" t="s">
        <v>190</v>
      </c>
      <c r="CS671" s="319" t="s">
        <v>190</v>
      </c>
      <c r="CT671" s="319" t="s">
        <v>190</v>
      </c>
      <c r="CU671" s="319" t="s">
        <v>190</v>
      </c>
      <c r="CV671" s="319" t="s">
        <v>190</v>
      </c>
      <c r="CW671" s="319" t="s">
        <v>190</v>
      </c>
      <c r="CX671" s="319" t="s">
        <v>190</v>
      </c>
      <c r="CY671" s="319" t="s">
        <v>190</v>
      </c>
      <c r="CZ671" s="319" t="s">
        <v>190</v>
      </c>
      <c r="DA671" s="319" t="s">
        <v>190</v>
      </c>
      <c r="DB671" s="319" t="s">
        <v>190</v>
      </c>
      <c r="DC671" s="319" t="s">
        <v>190</v>
      </c>
      <c r="DD671" s="319" t="s">
        <v>190</v>
      </c>
      <c r="DE671" s="319" t="s">
        <v>190</v>
      </c>
      <c r="DF671" s="319" t="s">
        <v>190</v>
      </c>
      <c r="DG671" s="319" t="s">
        <v>190</v>
      </c>
      <c r="DH671" s="319" t="s">
        <v>190</v>
      </c>
      <c r="DI671" s="319" t="s">
        <v>190</v>
      </c>
      <c r="DJ671" s="319" t="s">
        <v>190</v>
      </c>
      <c r="DK671" s="319" t="s">
        <v>190</v>
      </c>
      <c r="DL671" s="319" t="s">
        <v>190</v>
      </c>
      <c r="DM671" s="319" t="s">
        <v>190</v>
      </c>
      <c r="DN671" s="319" t="s">
        <v>429</v>
      </c>
      <c r="DO671" s="319" t="s">
        <v>190</v>
      </c>
      <c r="DP671" s="319" t="s">
        <v>190</v>
      </c>
      <c r="DQ671" s="319" t="s">
        <v>190</v>
      </c>
      <c r="DR671" s="319" t="s">
        <v>190</v>
      </c>
      <c r="DS671" s="319" t="s">
        <v>190</v>
      </c>
      <c r="DT671" s="319" t="s">
        <v>190</v>
      </c>
      <c r="DU671" s="319" t="s">
        <v>190</v>
      </c>
      <c r="DV671" s="319" t="s">
        <v>173</v>
      </c>
      <c r="DW671" s="319" t="s">
        <v>190</v>
      </c>
      <c r="DX671" s="319" t="s">
        <v>190</v>
      </c>
      <c r="DY671" s="319" t="s">
        <v>190</v>
      </c>
      <c r="DZ671" s="319" t="s">
        <v>190</v>
      </c>
      <c r="EA671" s="319" t="s">
        <v>190</v>
      </c>
      <c r="EB671" s="319" t="s">
        <v>190</v>
      </c>
      <c r="EC671" s="319" t="s">
        <v>190</v>
      </c>
      <c r="ED671" s="319" t="s">
        <v>190</v>
      </c>
      <c r="EE671" s="319" t="s">
        <v>190</v>
      </c>
      <c r="EF671" s="319" t="s">
        <v>190</v>
      </c>
      <c r="EG671" s="319" t="s">
        <v>190</v>
      </c>
      <c r="EH671" s="319" t="s">
        <v>190</v>
      </c>
      <c r="EI671" s="319" t="s">
        <v>190</v>
      </c>
      <c r="EJ671" s="319" t="s">
        <v>190</v>
      </c>
      <c r="EK671" s="319" t="s">
        <v>190</v>
      </c>
      <c r="EL671" s="319" t="s">
        <v>190</v>
      </c>
      <c r="EM671" s="319" t="s">
        <v>190</v>
      </c>
      <c r="EN671" s="319" t="s">
        <v>190</v>
      </c>
      <c r="EO671" s="319" t="s">
        <v>190</v>
      </c>
      <c r="EP671" s="319" t="s">
        <v>190</v>
      </c>
      <c r="EQ671" s="319" t="s">
        <v>190</v>
      </c>
      <c r="ER671" s="319" t="s">
        <v>190</v>
      </c>
      <c r="ES671" s="319" t="s">
        <v>190</v>
      </c>
      <c r="ET671" s="319" t="s">
        <v>190</v>
      </c>
      <c r="EU671" s="319" t="s">
        <v>190</v>
      </c>
      <c r="EV671" s="319" t="s">
        <v>190</v>
      </c>
      <c r="EW671" s="319" t="s">
        <v>190</v>
      </c>
      <c r="EX671" s="319" t="s">
        <v>190</v>
      </c>
      <c r="EY671" s="319" t="s">
        <v>190</v>
      </c>
      <c r="EZ671" s="319" t="s">
        <v>190</v>
      </c>
      <c r="FA671" s="319" t="s">
        <v>190</v>
      </c>
      <c r="FB671" s="319" t="s">
        <v>190</v>
      </c>
      <c r="FC671" s="319" t="s">
        <v>190</v>
      </c>
      <c r="FD671" s="319" t="s">
        <v>190</v>
      </c>
      <c r="FE671" s="319" t="s">
        <v>190</v>
      </c>
      <c r="FF671" s="319" t="s">
        <v>190</v>
      </c>
      <c r="FG671" s="319" t="s">
        <v>190</v>
      </c>
      <c r="FH671" s="319" t="s">
        <v>190</v>
      </c>
      <c r="FI671" s="319" t="s">
        <v>190</v>
      </c>
      <c r="FJ671" s="319" t="s">
        <v>190</v>
      </c>
      <c r="FK671" s="319" t="s">
        <v>190</v>
      </c>
      <c r="FL671" s="319" t="s">
        <v>190</v>
      </c>
      <c r="FM671" s="319" t="s">
        <v>190</v>
      </c>
      <c r="FN671" s="319" t="s">
        <v>190</v>
      </c>
      <c r="FO671" s="319" t="s">
        <v>190</v>
      </c>
      <c r="FP671" s="319" t="s">
        <v>190</v>
      </c>
      <c r="FQ671" s="319" t="s">
        <v>190</v>
      </c>
      <c r="FR671" s="319" t="s">
        <v>190</v>
      </c>
      <c r="FS671" s="319" t="s">
        <v>190</v>
      </c>
      <c r="FT671" s="319" t="s">
        <v>190</v>
      </c>
      <c r="FU671" s="319" t="s">
        <v>190</v>
      </c>
      <c r="FV671" s="319" t="s">
        <v>190</v>
      </c>
      <c r="FW671" s="319" t="s">
        <v>190</v>
      </c>
      <c r="FX671" s="319" t="s">
        <v>190</v>
      </c>
      <c r="FY671" s="319" t="s">
        <v>190</v>
      </c>
      <c r="FZ671" s="319" t="s">
        <v>190</v>
      </c>
      <c r="GA671" s="319" t="s">
        <v>190</v>
      </c>
      <c r="GB671" s="319" t="s">
        <v>190</v>
      </c>
      <c r="GC671" s="319" t="s">
        <v>190</v>
      </c>
      <c r="GD671" s="319" t="s">
        <v>190</v>
      </c>
      <c r="GE671" s="319" t="s">
        <v>190</v>
      </c>
      <c r="GF671" s="319" t="s">
        <v>190</v>
      </c>
      <c r="GG671" s="319" t="s">
        <v>190</v>
      </c>
      <c r="GH671" s="319" t="s">
        <v>190</v>
      </c>
      <c r="GI671" s="319" t="s">
        <v>190</v>
      </c>
      <c r="GJ671" s="319" t="s">
        <v>190</v>
      </c>
      <c r="GK671" s="319" t="s">
        <v>429</v>
      </c>
      <c r="GL671" s="319" t="s">
        <v>190</v>
      </c>
      <c r="GM671" s="319" t="s">
        <v>190</v>
      </c>
      <c r="GN671" s="319" t="s">
        <v>190</v>
      </c>
      <c r="GO671" s="319" t="s">
        <v>190</v>
      </c>
      <c r="GP671" s="319" t="s">
        <v>190</v>
      </c>
      <c r="GQ671" s="319" t="s">
        <v>190</v>
      </c>
      <c r="GR671" s="319" t="s">
        <v>190</v>
      </c>
      <c r="GS671" s="319" t="s">
        <v>190</v>
      </c>
      <c r="GT671" s="319" t="s">
        <v>190</v>
      </c>
      <c r="GU671" s="319" t="s">
        <v>190</v>
      </c>
      <c r="GV671" s="319" t="s">
        <v>190</v>
      </c>
      <c r="GW671" s="319" t="s">
        <v>190</v>
      </c>
      <c r="GX671" s="319" t="s">
        <v>190</v>
      </c>
      <c r="GY671" s="319" t="s">
        <v>190</v>
      </c>
      <c r="GZ671" s="319" t="s">
        <v>190</v>
      </c>
      <c r="HA671" s="319" t="s">
        <v>429</v>
      </c>
      <c r="HB671" s="319" t="s">
        <v>190</v>
      </c>
      <c r="HC671" s="319" t="s">
        <v>190</v>
      </c>
      <c r="HD671" s="319" t="s">
        <v>190</v>
      </c>
      <c r="HE671" s="319" t="s">
        <v>190</v>
      </c>
      <c r="HF671" s="319" t="s">
        <v>190</v>
      </c>
      <c r="HG671" s="319" t="s">
        <v>190</v>
      </c>
      <c r="HH671" s="319" t="s">
        <v>190</v>
      </c>
      <c r="HI671" s="319" t="s">
        <v>190</v>
      </c>
      <c r="HJ671" s="319" t="s">
        <v>190</v>
      </c>
      <c r="HK671" s="319" t="s">
        <v>190</v>
      </c>
      <c r="HL671" s="319" t="s">
        <v>190</v>
      </c>
      <c r="HM671" s="319" t="s">
        <v>190</v>
      </c>
      <c r="HN671" s="319" t="s">
        <v>190</v>
      </c>
      <c r="HO671" s="319" t="s">
        <v>190</v>
      </c>
      <c r="HP671" s="319" t="s">
        <v>190</v>
      </c>
      <c r="HQ671" s="319" t="s">
        <v>190</v>
      </c>
      <c r="HR671" s="319" t="s">
        <v>190</v>
      </c>
      <c r="HS671" s="319" t="s">
        <v>190</v>
      </c>
      <c r="HT671" s="319" t="s">
        <v>190</v>
      </c>
      <c r="HU671" s="319" t="s">
        <v>190</v>
      </c>
      <c r="HV671" s="319" t="s">
        <v>190</v>
      </c>
      <c r="HW671" s="319" t="s">
        <v>190</v>
      </c>
      <c r="HX671" s="319" t="s">
        <v>190</v>
      </c>
      <c r="HY671" s="319" t="s">
        <v>190</v>
      </c>
      <c r="HZ671" s="319" t="s">
        <v>190</v>
      </c>
      <c r="IA671" s="319" t="s">
        <v>190</v>
      </c>
      <c r="IB671" s="319" t="s">
        <v>190</v>
      </c>
      <c r="IC671" s="319" t="s">
        <v>190</v>
      </c>
      <c r="ID671" s="319" t="s">
        <v>190</v>
      </c>
      <c r="IE671" s="319" t="s">
        <v>190</v>
      </c>
      <c r="IF671" s="319" t="s">
        <v>190</v>
      </c>
      <c r="IG671" s="319" t="s">
        <v>190</v>
      </c>
      <c r="IH671" s="319" t="s">
        <v>190</v>
      </c>
      <c r="II671" s="319" t="s">
        <v>190</v>
      </c>
      <c r="IJ671" s="319" t="s">
        <v>3416</v>
      </c>
      <c r="IK671" s="321">
        <v>41184</v>
      </c>
      <c r="IL671" s="321">
        <v>41185</v>
      </c>
      <c r="IM671" s="321">
        <v>41214</v>
      </c>
      <c r="IN671" s="319">
        <v>3</v>
      </c>
      <c r="IO671" s="319" t="s">
        <v>173</v>
      </c>
      <c r="IP671" s="319" t="s">
        <v>173</v>
      </c>
      <c r="IQ671" s="321" t="s">
        <v>173</v>
      </c>
      <c r="IR671" s="320" t="s">
        <v>173</v>
      </c>
      <c r="IS671" s="322" t="s">
        <v>173</v>
      </c>
      <c r="IT671" s="319" t="s">
        <v>173</v>
      </c>
    </row>
    <row r="672" spans="1:254" s="271" customFormat="1" x14ac:dyDescent="0.25">
      <c r="A672" s="318" t="str">
        <f>HYPERLINK("http://www.ofsted.gov.uk/inspection-reports/find-inspection-report/provider/ELS/137574 ","Ofsted School Webpage")</f>
        <v>Ofsted School Webpage</v>
      </c>
      <c r="B672" s="319">
        <v>137574</v>
      </c>
      <c r="C672" s="319">
        <v>8616006</v>
      </c>
      <c r="D672" s="319" t="s">
        <v>2135</v>
      </c>
      <c r="E672" s="319" t="s">
        <v>168</v>
      </c>
      <c r="F672" s="319" t="s">
        <v>81</v>
      </c>
      <c r="G672" s="319" t="s">
        <v>81</v>
      </c>
      <c r="H672" s="319" t="s">
        <v>81</v>
      </c>
      <c r="I672" s="319" t="s">
        <v>78</v>
      </c>
      <c r="J672" s="319" t="s">
        <v>424</v>
      </c>
      <c r="K672" s="319" t="s">
        <v>437</v>
      </c>
      <c r="L672" s="319" t="s">
        <v>437</v>
      </c>
      <c r="M672" s="319" t="s">
        <v>580</v>
      </c>
      <c r="N672" s="319" t="s">
        <v>3417</v>
      </c>
      <c r="O672" s="319" t="s">
        <v>2136</v>
      </c>
      <c r="P672" s="319">
        <v>6</v>
      </c>
      <c r="Q672" s="319" t="s">
        <v>2766</v>
      </c>
      <c r="R672" s="320">
        <v>10006068</v>
      </c>
      <c r="S672" s="321">
        <v>43018</v>
      </c>
      <c r="T672" s="321">
        <v>43020</v>
      </c>
      <c r="U672" s="321">
        <v>43047</v>
      </c>
      <c r="V672" s="319" t="s">
        <v>425</v>
      </c>
      <c r="W672" s="319" t="s">
        <v>2767</v>
      </c>
      <c r="X672" s="319">
        <v>2</v>
      </c>
      <c r="Y672" s="319" t="s">
        <v>173</v>
      </c>
      <c r="Z672" s="319" t="s">
        <v>173</v>
      </c>
      <c r="AA672" s="319" t="s">
        <v>173</v>
      </c>
      <c r="AB672" s="319">
        <v>2</v>
      </c>
      <c r="AC672" s="319" t="s">
        <v>169</v>
      </c>
      <c r="AD672" s="319" t="s">
        <v>173</v>
      </c>
      <c r="AE672" s="319" t="s">
        <v>173</v>
      </c>
      <c r="AF672" s="319" t="s">
        <v>173</v>
      </c>
      <c r="AG672" s="319" t="s">
        <v>171</v>
      </c>
      <c r="AH672" s="319" t="s">
        <v>190</v>
      </c>
      <c r="AI672" s="319" t="s">
        <v>190</v>
      </c>
      <c r="AJ672" s="319" t="s">
        <v>190</v>
      </c>
      <c r="AK672" s="319" t="s">
        <v>190</v>
      </c>
      <c r="AL672" s="319" t="s">
        <v>190</v>
      </c>
      <c r="AM672" s="319" t="s">
        <v>190</v>
      </c>
      <c r="AN672" s="319" t="s">
        <v>190</v>
      </c>
      <c r="AO672" s="319" t="s">
        <v>190</v>
      </c>
      <c r="AP672" s="319" t="s">
        <v>190</v>
      </c>
      <c r="AQ672" s="319" t="s">
        <v>190</v>
      </c>
      <c r="AR672" s="319" t="s">
        <v>190</v>
      </c>
      <c r="AS672" s="319" t="s">
        <v>190</v>
      </c>
      <c r="AT672" s="319" t="s">
        <v>190</v>
      </c>
      <c r="AU672" s="319" t="s">
        <v>190</v>
      </c>
      <c r="AV672" s="319" t="s">
        <v>190</v>
      </c>
      <c r="AW672" s="319" t="s">
        <v>190</v>
      </c>
      <c r="AX672" s="319" t="s">
        <v>429</v>
      </c>
      <c r="AY672" s="319" t="s">
        <v>190</v>
      </c>
      <c r="AZ672" s="319" t="s">
        <v>190</v>
      </c>
      <c r="BA672" s="319" t="s">
        <v>190</v>
      </c>
      <c r="BB672" s="319" t="s">
        <v>190</v>
      </c>
      <c r="BC672" s="319" t="s">
        <v>190</v>
      </c>
      <c r="BD672" s="319" t="s">
        <v>190</v>
      </c>
      <c r="BE672" s="319" t="s">
        <v>190</v>
      </c>
      <c r="BF672" s="319" t="s">
        <v>429</v>
      </c>
      <c r="BG672" s="319" t="s">
        <v>429</v>
      </c>
      <c r="BH672" s="319" t="s">
        <v>190</v>
      </c>
      <c r="BI672" s="319" t="s">
        <v>190</v>
      </c>
      <c r="BJ672" s="319" t="s">
        <v>190</v>
      </c>
      <c r="BK672" s="319" t="s">
        <v>190</v>
      </c>
      <c r="BL672" s="319" t="s">
        <v>190</v>
      </c>
      <c r="BM672" s="319" t="s">
        <v>190</v>
      </c>
      <c r="BN672" s="319" t="s">
        <v>190</v>
      </c>
      <c r="BO672" s="319" t="s">
        <v>190</v>
      </c>
      <c r="BP672" s="319" t="s">
        <v>190</v>
      </c>
      <c r="BQ672" s="319" t="s">
        <v>190</v>
      </c>
      <c r="BR672" s="319" t="s">
        <v>190</v>
      </c>
      <c r="BS672" s="319" t="s">
        <v>190</v>
      </c>
      <c r="BT672" s="319" t="s">
        <v>190</v>
      </c>
      <c r="BU672" s="319" t="s">
        <v>190</v>
      </c>
      <c r="BV672" s="319" t="s">
        <v>190</v>
      </c>
      <c r="BW672" s="319" t="s">
        <v>190</v>
      </c>
      <c r="BX672" s="319" t="s">
        <v>190</v>
      </c>
      <c r="BY672" s="319" t="s">
        <v>190</v>
      </c>
      <c r="BZ672" s="319" t="s">
        <v>190</v>
      </c>
      <c r="CA672" s="319" t="s">
        <v>190</v>
      </c>
      <c r="CB672" s="319" t="s">
        <v>190</v>
      </c>
      <c r="CC672" s="319" t="s">
        <v>190</v>
      </c>
      <c r="CD672" s="319" t="s">
        <v>190</v>
      </c>
      <c r="CE672" s="319" t="s">
        <v>190</v>
      </c>
      <c r="CF672" s="319" t="s">
        <v>190</v>
      </c>
      <c r="CG672" s="319" t="s">
        <v>190</v>
      </c>
      <c r="CH672" s="319" t="s">
        <v>190</v>
      </c>
      <c r="CI672" s="319" t="s">
        <v>190</v>
      </c>
      <c r="CJ672" s="319" t="s">
        <v>190</v>
      </c>
      <c r="CK672" s="319" t="s">
        <v>190</v>
      </c>
      <c r="CL672" s="319" t="s">
        <v>190</v>
      </c>
      <c r="CM672" s="319" t="s">
        <v>190</v>
      </c>
      <c r="CN672" s="319" t="s">
        <v>429</v>
      </c>
      <c r="CO672" s="319" t="s">
        <v>429</v>
      </c>
      <c r="CP672" s="319" t="s">
        <v>429</v>
      </c>
      <c r="CQ672" s="319" t="s">
        <v>190</v>
      </c>
      <c r="CR672" s="319" t="s">
        <v>190</v>
      </c>
      <c r="CS672" s="319" t="s">
        <v>190</v>
      </c>
      <c r="CT672" s="319" t="s">
        <v>190</v>
      </c>
      <c r="CU672" s="319" t="s">
        <v>190</v>
      </c>
      <c r="CV672" s="319" t="s">
        <v>190</v>
      </c>
      <c r="CW672" s="319" t="s">
        <v>190</v>
      </c>
      <c r="CX672" s="319" t="s">
        <v>190</v>
      </c>
      <c r="CY672" s="319" t="s">
        <v>190</v>
      </c>
      <c r="CZ672" s="319" t="s">
        <v>190</v>
      </c>
      <c r="DA672" s="319" t="s">
        <v>190</v>
      </c>
      <c r="DB672" s="319" t="s">
        <v>190</v>
      </c>
      <c r="DC672" s="319" t="s">
        <v>190</v>
      </c>
      <c r="DD672" s="319" t="s">
        <v>190</v>
      </c>
      <c r="DE672" s="319" t="s">
        <v>190</v>
      </c>
      <c r="DF672" s="319" t="s">
        <v>190</v>
      </c>
      <c r="DG672" s="319" t="s">
        <v>190</v>
      </c>
      <c r="DH672" s="319" t="s">
        <v>190</v>
      </c>
      <c r="DI672" s="319" t="s">
        <v>190</v>
      </c>
      <c r="DJ672" s="319" t="s">
        <v>190</v>
      </c>
      <c r="DK672" s="319" t="s">
        <v>190</v>
      </c>
      <c r="DL672" s="319" t="s">
        <v>190</v>
      </c>
      <c r="DM672" s="319" t="s">
        <v>190</v>
      </c>
      <c r="DN672" s="319" t="s">
        <v>429</v>
      </c>
      <c r="DO672" s="319" t="s">
        <v>190</v>
      </c>
      <c r="DP672" s="319" t="s">
        <v>429</v>
      </c>
      <c r="DQ672" s="319" t="s">
        <v>429</v>
      </c>
      <c r="DR672" s="319" t="s">
        <v>429</v>
      </c>
      <c r="DS672" s="319" t="s">
        <v>429</v>
      </c>
      <c r="DT672" s="319" t="s">
        <v>429</v>
      </c>
      <c r="DU672" s="319" t="s">
        <v>429</v>
      </c>
      <c r="DV672" s="319" t="s">
        <v>173</v>
      </c>
      <c r="DW672" s="319" t="s">
        <v>429</v>
      </c>
      <c r="DX672" s="319" t="s">
        <v>429</v>
      </c>
      <c r="DY672" s="319" t="s">
        <v>429</v>
      </c>
      <c r="DZ672" s="319" t="s">
        <v>429</v>
      </c>
      <c r="EA672" s="319" t="s">
        <v>429</v>
      </c>
      <c r="EB672" s="319" t="s">
        <v>429</v>
      </c>
      <c r="EC672" s="319" t="s">
        <v>429</v>
      </c>
      <c r="ED672" s="319" t="s">
        <v>190</v>
      </c>
      <c r="EE672" s="319" t="s">
        <v>190</v>
      </c>
      <c r="EF672" s="319" t="s">
        <v>190</v>
      </c>
      <c r="EG672" s="319" t="s">
        <v>190</v>
      </c>
      <c r="EH672" s="319" t="s">
        <v>190</v>
      </c>
      <c r="EI672" s="319" t="s">
        <v>429</v>
      </c>
      <c r="EJ672" s="319" t="s">
        <v>429</v>
      </c>
      <c r="EK672" s="319" t="s">
        <v>429</v>
      </c>
      <c r="EL672" s="319" t="s">
        <v>429</v>
      </c>
      <c r="EM672" s="319" t="s">
        <v>190</v>
      </c>
      <c r="EN672" s="319" t="s">
        <v>190</v>
      </c>
      <c r="EO672" s="319" t="s">
        <v>190</v>
      </c>
      <c r="EP672" s="319" t="s">
        <v>190</v>
      </c>
      <c r="EQ672" s="319" t="s">
        <v>190</v>
      </c>
      <c r="ER672" s="319" t="s">
        <v>190</v>
      </c>
      <c r="ES672" s="319" t="s">
        <v>190</v>
      </c>
      <c r="ET672" s="319" t="s">
        <v>190</v>
      </c>
      <c r="EU672" s="319" t="s">
        <v>190</v>
      </c>
      <c r="EV672" s="319" t="s">
        <v>190</v>
      </c>
      <c r="EW672" s="319" t="s">
        <v>190</v>
      </c>
      <c r="EX672" s="319" t="s">
        <v>190</v>
      </c>
      <c r="EY672" s="319" t="s">
        <v>190</v>
      </c>
      <c r="EZ672" s="319" t="s">
        <v>190</v>
      </c>
      <c r="FA672" s="319" t="s">
        <v>429</v>
      </c>
      <c r="FB672" s="319" t="s">
        <v>429</v>
      </c>
      <c r="FC672" s="319" t="s">
        <v>429</v>
      </c>
      <c r="FD672" s="319" t="s">
        <v>429</v>
      </c>
      <c r="FE672" s="319" t="s">
        <v>429</v>
      </c>
      <c r="FF672" s="319" t="s">
        <v>429</v>
      </c>
      <c r="FG672" s="319" t="s">
        <v>429</v>
      </c>
      <c r="FH672" s="319" t="s">
        <v>190</v>
      </c>
      <c r="FI672" s="319" t="s">
        <v>429</v>
      </c>
      <c r="FJ672" s="319" t="s">
        <v>429</v>
      </c>
      <c r="FK672" s="319" t="s">
        <v>429</v>
      </c>
      <c r="FL672" s="319" t="s">
        <v>190</v>
      </c>
      <c r="FM672" s="319" t="s">
        <v>190</v>
      </c>
      <c r="FN672" s="319" t="s">
        <v>190</v>
      </c>
      <c r="FO672" s="319" t="s">
        <v>190</v>
      </c>
      <c r="FP672" s="319" t="s">
        <v>190</v>
      </c>
      <c r="FQ672" s="319" t="s">
        <v>190</v>
      </c>
      <c r="FR672" s="319" t="s">
        <v>190</v>
      </c>
      <c r="FS672" s="319" t="s">
        <v>429</v>
      </c>
      <c r="FT672" s="319" t="s">
        <v>190</v>
      </c>
      <c r="FU672" s="319" t="s">
        <v>190</v>
      </c>
      <c r="FV672" s="319" t="s">
        <v>190</v>
      </c>
      <c r="FW672" s="319" t="s">
        <v>190</v>
      </c>
      <c r="FX672" s="319" t="s">
        <v>190</v>
      </c>
      <c r="FY672" s="319" t="s">
        <v>190</v>
      </c>
      <c r="FZ672" s="319" t="s">
        <v>190</v>
      </c>
      <c r="GA672" s="319" t="s">
        <v>190</v>
      </c>
      <c r="GB672" s="319" t="s">
        <v>190</v>
      </c>
      <c r="GC672" s="319" t="s">
        <v>190</v>
      </c>
      <c r="GD672" s="319" t="s">
        <v>190</v>
      </c>
      <c r="GE672" s="319" t="s">
        <v>190</v>
      </c>
      <c r="GF672" s="319" t="s">
        <v>190</v>
      </c>
      <c r="GG672" s="319" t="s">
        <v>190</v>
      </c>
      <c r="GH672" s="319" t="s">
        <v>190</v>
      </c>
      <c r="GI672" s="319" t="s">
        <v>190</v>
      </c>
      <c r="GJ672" s="319" t="s">
        <v>190</v>
      </c>
      <c r="GK672" s="319" t="s">
        <v>429</v>
      </c>
      <c r="GL672" s="319" t="s">
        <v>190</v>
      </c>
      <c r="GM672" s="319" t="s">
        <v>190</v>
      </c>
      <c r="GN672" s="319" t="s">
        <v>190</v>
      </c>
      <c r="GO672" s="319" t="s">
        <v>190</v>
      </c>
      <c r="GP672" s="319" t="s">
        <v>190</v>
      </c>
      <c r="GQ672" s="319" t="s">
        <v>190</v>
      </c>
      <c r="GR672" s="319" t="s">
        <v>190</v>
      </c>
      <c r="GS672" s="319" t="s">
        <v>190</v>
      </c>
      <c r="GT672" s="319" t="s">
        <v>190</v>
      </c>
      <c r="GU672" s="319" t="s">
        <v>429</v>
      </c>
      <c r="GV672" s="319" t="s">
        <v>190</v>
      </c>
      <c r="GW672" s="319" t="s">
        <v>190</v>
      </c>
      <c r="GX672" s="319" t="s">
        <v>190</v>
      </c>
      <c r="GY672" s="319" t="s">
        <v>190</v>
      </c>
      <c r="GZ672" s="319" t="s">
        <v>429</v>
      </c>
      <c r="HA672" s="319" t="s">
        <v>190</v>
      </c>
      <c r="HB672" s="319" t="s">
        <v>429</v>
      </c>
      <c r="HC672" s="319" t="s">
        <v>190</v>
      </c>
      <c r="HD672" s="319" t="s">
        <v>190</v>
      </c>
      <c r="HE672" s="319" t="s">
        <v>190</v>
      </c>
      <c r="HF672" s="319" t="s">
        <v>190</v>
      </c>
      <c r="HG672" s="319" t="s">
        <v>190</v>
      </c>
      <c r="HH672" s="319" t="s">
        <v>190</v>
      </c>
      <c r="HI672" s="319" t="s">
        <v>190</v>
      </c>
      <c r="HJ672" s="319" t="s">
        <v>190</v>
      </c>
      <c r="HK672" s="319" t="s">
        <v>190</v>
      </c>
      <c r="HL672" s="319" t="s">
        <v>190</v>
      </c>
      <c r="HM672" s="319" t="s">
        <v>429</v>
      </c>
      <c r="HN672" s="319" t="s">
        <v>429</v>
      </c>
      <c r="HO672" s="319" t="s">
        <v>429</v>
      </c>
      <c r="HP672" s="319" t="s">
        <v>190</v>
      </c>
      <c r="HQ672" s="319" t="s">
        <v>190</v>
      </c>
      <c r="HR672" s="319" t="s">
        <v>190</v>
      </c>
      <c r="HS672" s="319" t="s">
        <v>190</v>
      </c>
      <c r="HT672" s="319" t="s">
        <v>190</v>
      </c>
      <c r="HU672" s="319" t="s">
        <v>190</v>
      </c>
      <c r="HV672" s="319" t="s">
        <v>190</v>
      </c>
      <c r="HW672" s="319" t="s">
        <v>190</v>
      </c>
      <c r="HX672" s="319" t="s">
        <v>190</v>
      </c>
      <c r="HY672" s="319" t="s">
        <v>190</v>
      </c>
      <c r="HZ672" s="319" t="s">
        <v>190</v>
      </c>
      <c r="IA672" s="319" t="s">
        <v>190</v>
      </c>
      <c r="IB672" s="319" t="s">
        <v>190</v>
      </c>
      <c r="IC672" s="319" t="s">
        <v>190</v>
      </c>
      <c r="ID672" s="319" t="s">
        <v>190</v>
      </c>
      <c r="IE672" s="319" t="s">
        <v>190</v>
      </c>
      <c r="IF672" s="319" t="s">
        <v>190</v>
      </c>
      <c r="IG672" s="319" t="s">
        <v>190</v>
      </c>
      <c r="IH672" s="319" t="s">
        <v>190</v>
      </c>
      <c r="II672" s="319" t="s">
        <v>190</v>
      </c>
      <c r="IJ672" s="319" t="s">
        <v>3418</v>
      </c>
      <c r="IK672" s="321">
        <v>41185</v>
      </c>
      <c r="IL672" s="321">
        <v>41186</v>
      </c>
      <c r="IM672" s="321">
        <v>41207</v>
      </c>
      <c r="IN672" s="319">
        <v>2</v>
      </c>
      <c r="IO672" s="319" t="s">
        <v>173</v>
      </c>
      <c r="IP672" s="319" t="s">
        <v>173</v>
      </c>
      <c r="IQ672" s="321" t="s">
        <v>173</v>
      </c>
      <c r="IR672" s="320" t="s">
        <v>173</v>
      </c>
      <c r="IS672" s="322" t="s">
        <v>173</v>
      </c>
      <c r="IT672" s="319" t="s">
        <v>173</v>
      </c>
    </row>
    <row r="673" spans="1:254" s="271" customFormat="1" x14ac:dyDescent="0.25">
      <c r="A673" s="318" t="str">
        <f>HYPERLINK("http://www.ofsted.gov.uk/inspection-reports/find-inspection-report/provider/ELS/137583 ","Ofsted School Webpage")</f>
        <v>Ofsted School Webpage</v>
      </c>
      <c r="B673" s="319">
        <v>137583</v>
      </c>
      <c r="C673" s="319">
        <v>8016029</v>
      </c>
      <c r="D673" s="319" t="s">
        <v>2137</v>
      </c>
      <c r="E673" s="319" t="s">
        <v>167</v>
      </c>
      <c r="F673" s="319" t="s">
        <v>81</v>
      </c>
      <c r="G673" s="319" t="s">
        <v>81</v>
      </c>
      <c r="H673" s="319" t="s">
        <v>81</v>
      </c>
      <c r="I673" s="319" t="s">
        <v>78</v>
      </c>
      <c r="J673" s="319" t="s">
        <v>424</v>
      </c>
      <c r="K673" s="319" t="s">
        <v>422</v>
      </c>
      <c r="L673" s="319" t="s">
        <v>422</v>
      </c>
      <c r="M673" s="319" t="s">
        <v>498</v>
      </c>
      <c r="N673" s="319" t="s">
        <v>3419</v>
      </c>
      <c r="O673" s="319" t="s">
        <v>2138</v>
      </c>
      <c r="P673" s="319">
        <v>76</v>
      </c>
      <c r="Q673" s="319" t="s">
        <v>2766</v>
      </c>
      <c r="R673" s="320">
        <v>10041379</v>
      </c>
      <c r="S673" s="321">
        <v>43201</v>
      </c>
      <c r="T673" s="321">
        <v>43203</v>
      </c>
      <c r="U673" s="321">
        <v>43228</v>
      </c>
      <c r="V673" s="319" t="s">
        <v>425</v>
      </c>
      <c r="W673" s="319" t="s">
        <v>2767</v>
      </c>
      <c r="X673" s="319">
        <v>2</v>
      </c>
      <c r="Y673" s="319" t="s">
        <v>173</v>
      </c>
      <c r="Z673" s="319" t="s">
        <v>173</v>
      </c>
      <c r="AA673" s="319" t="s">
        <v>173</v>
      </c>
      <c r="AB673" s="319">
        <v>2</v>
      </c>
      <c r="AC673" s="319" t="s">
        <v>169</v>
      </c>
      <c r="AD673" s="319" t="s">
        <v>173</v>
      </c>
      <c r="AE673" s="319" t="s">
        <v>173</v>
      </c>
      <c r="AF673" s="319" t="s">
        <v>427</v>
      </c>
      <c r="AG673" s="319" t="s">
        <v>171</v>
      </c>
      <c r="AH673" s="319" t="s">
        <v>190</v>
      </c>
      <c r="AI673" s="319" t="s">
        <v>190</v>
      </c>
      <c r="AJ673" s="319" t="s">
        <v>190</v>
      </c>
      <c r="AK673" s="319" t="s">
        <v>190</v>
      </c>
      <c r="AL673" s="319" t="s">
        <v>190</v>
      </c>
      <c r="AM673" s="319" t="s">
        <v>190</v>
      </c>
      <c r="AN673" s="319" t="s">
        <v>190</v>
      </c>
      <c r="AO673" s="319" t="s">
        <v>190</v>
      </c>
      <c r="AP673" s="319" t="s">
        <v>190</v>
      </c>
      <c r="AQ673" s="319" t="s">
        <v>190</v>
      </c>
      <c r="AR673" s="319" t="s">
        <v>190</v>
      </c>
      <c r="AS673" s="319" t="s">
        <v>190</v>
      </c>
      <c r="AT673" s="319" t="s">
        <v>190</v>
      </c>
      <c r="AU673" s="319" t="s">
        <v>190</v>
      </c>
      <c r="AV673" s="319" t="s">
        <v>190</v>
      </c>
      <c r="AW673" s="319" t="s">
        <v>190</v>
      </c>
      <c r="AX673" s="319" t="s">
        <v>428</v>
      </c>
      <c r="AY673" s="319" t="s">
        <v>190</v>
      </c>
      <c r="AZ673" s="319" t="s">
        <v>190</v>
      </c>
      <c r="BA673" s="319" t="s">
        <v>190</v>
      </c>
      <c r="BB673" s="319" t="s">
        <v>190</v>
      </c>
      <c r="BC673" s="319" t="s">
        <v>190</v>
      </c>
      <c r="BD673" s="319" t="s">
        <v>190</v>
      </c>
      <c r="BE673" s="319" t="s">
        <v>190</v>
      </c>
      <c r="BF673" s="319" t="s">
        <v>428</v>
      </c>
      <c r="BG673" s="319" t="s">
        <v>428</v>
      </c>
      <c r="BH673" s="319" t="s">
        <v>190</v>
      </c>
      <c r="BI673" s="319" t="s">
        <v>190</v>
      </c>
      <c r="BJ673" s="319" t="s">
        <v>190</v>
      </c>
      <c r="BK673" s="319" t="s">
        <v>190</v>
      </c>
      <c r="BL673" s="319" t="s">
        <v>190</v>
      </c>
      <c r="BM673" s="319" t="s">
        <v>190</v>
      </c>
      <c r="BN673" s="319" t="s">
        <v>190</v>
      </c>
      <c r="BO673" s="319" t="s">
        <v>190</v>
      </c>
      <c r="BP673" s="319" t="s">
        <v>190</v>
      </c>
      <c r="BQ673" s="319" t="s">
        <v>190</v>
      </c>
      <c r="BR673" s="319" t="s">
        <v>190</v>
      </c>
      <c r="BS673" s="319" t="s">
        <v>190</v>
      </c>
      <c r="BT673" s="319" t="s">
        <v>190</v>
      </c>
      <c r="BU673" s="319" t="s">
        <v>190</v>
      </c>
      <c r="BV673" s="319" t="s">
        <v>190</v>
      </c>
      <c r="BW673" s="319" t="s">
        <v>190</v>
      </c>
      <c r="BX673" s="319" t="s">
        <v>190</v>
      </c>
      <c r="BY673" s="319" t="s">
        <v>190</v>
      </c>
      <c r="BZ673" s="319" t="s">
        <v>190</v>
      </c>
      <c r="CA673" s="319" t="s">
        <v>190</v>
      </c>
      <c r="CB673" s="319" t="s">
        <v>190</v>
      </c>
      <c r="CC673" s="319" t="s">
        <v>190</v>
      </c>
      <c r="CD673" s="319" t="s">
        <v>190</v>
      </c>
      <c r="CE673" s="319" t="s">
        <v>190</v>
      </c>
      <c r="CF673" s="319" t="s">
        <v>190</v>
      </c>
      <c r="CG673" s="319" t="s">
        <v>190</v>
      </c>
      <c r="CH673" s="319" t="s">
        <v>190</v>
      </c>
      <c r="CI673" s="319" t="s">
        <v>190</v>
      </c>
      <c r="CJ673" s="319" t="s">
        <v>190</v>
      </c>
      <c r="CK673" s="319" t="s">
        <v>190</v>
      </c>
      <c r="CL673" s="319" t="s">
        <v>190</v>
      </c>
      <c r="CM673" s="319" t="s">
        <v>190</v>
      </c>
      <c r="CN673" s="319" t="s">
        <v>428</v>
      </c>
      <c r="CO673" s="319" t="s">
        <v>428</v>
      </c>
      <c r="CP673" s="319" t="s">
        <v>428</v>
      </c>
      <c r="CQ673" s="319" t="s">
        <v>190</v>
      </c>
      <c r="CR673" s="319" t="s">
        <v>190</v>
      </c>
      <c r="CS673" s="319" t="s">
        <v>190</v>
      </c>
      <c r="CT673" s="319" t="s">
        <v>190</v>
      </c>
      <c r="CU673" s="319" t="s">
        <v>190</v>
      </c>
      <c r="CV673" s="319" t="s">
        <v>190</v>
      </c>
      <c r="CW673" s="319" t="s">
        <v>190</v>
      </c>
      <c r="CX673" s="319" t="s">
        <v>190</v>
      </c>
      <c r="CY673" s="319" t="s">
        <v>190</v>
      </c>
      <c r="CZ673" s="319" t="s">
        <v>190</v>
      </c>
      <c r="DA673" s="319" t="s">
        <v>190</v>
      </c>
      <c r="DB673" s="319" t="s">
        <v>190</v>
      </c>
      <c r="DC673" s="319" t="s">
        <v>190</v>
      </c>
      <c r="DD673" s="319" t="s">
        <v>190</v>
      </c>
      <c r="DE673" s="319" t="s">
        <v>190</v>
      </c>
      <c r="DF673" s="319" t="s">
        <v>190</v>
      </c>
      <c r="DG673" s="319" t="s">
        <v>190</v>
      </c>
      <c r="DH673" s="319" t="s">
        <v>190</v>
      </c>
      <c r="DI673" s="319" t="s">
        <v>190</v>
      </c>
      <c r="DJ673" s="319" t="s">
        <v>190</v>
      </c>
      <c r="DK673" s="319" t="s">
        <v>190</v>
      </c>
      <c r="DL673" s="319" t="s">
        <v>190</v>
      </c>
      <c r="DM673" s="319" t="s">
        <v>190</v>
      </c>
      <c r="DN673" s="319" t="s">
        <v>428</v>
      </c>
      <c r="DO673" s="319" t="s">
        <v>190</v>
      </c>
      <c r="DP673" s="319" t="s">
        <v>428</v>
      </c>
      <c r="DQ673" s="319" t="s">
        <v>428</v>
      </c>
      <c r="DR673" s="319" t="s">
        <v>428</v>
      </c>
      <c r="DS673" s="319" t="s">
        <v>428</v>
      </c>
      <c r="DT673" s="319" t="s">
        <v>428</v>
      </c>
      <c r="DU673" s="319" t="s">
        <v>428</v>
      </c>
      <c r="DV673" s="319" t="s">
        <v>173</v>
      </c>
      <c r="DW673" s="319" t="s">
        <v>428</v>
      </c>
      <c r="DX673" s="319" t="s">
        <v>428</v>
      </c>
      <c r="DY673" s="319" t="s">
        <v>428</v>
      </c>
      <c r="DZ673" s="319" t="s">
        <v>428</v>
      </c>
      <c r="EA673" s="319" t="s">
        <v>428</v>
      </c>
      <c r="EB673" s="319" t="s">
        <v>428</v>
      </c>
      <c r="EC673" s="319" t="s">
        <v>428</v>
      </c>
      <c r="ED673" s="319" t="s">
        <v>428</v>
      </c>
      <c r="EE673" s="319" t="s">
        <v>190</v>
      </c>
      <c r="EF673" s="319" t="s">
        <v>190</v>
      </c>
      <c r="EG673" s="319" t="s">
        <v>190</v>
      </c>
      <c r="EH673" s="319" t="s">
        <v>190</v>
      </c>
      <c r="EI673" s="319" t="s">
        <v>190</v>
      </c>
      <c r="EJ673" s="319" t="s">
        <v>190</v>
      </c>
      <c r="EK673" s="319" t="s">
        <v>190</v>
      </c>
      <c r="EL673" s="319" t="s">
        <v>190</v>
      </c>
      <c r="EM673" s="319" t="s">
        <v>190</v>
      </c>
      <c r="EN673" s="319" t="s">
        <v>190</v>
      </c>
      <c r="EO673" s="319" t="s">
        <v>190</v>
      </c>
      <c r="EP673" s="319" t="s">
        <v>190</v>
      </c>
      <c r="EQ673" s="319" t="s">
        <v>190</v>
      </c>
      <c r="ER673" s="319" t="s">
        <v>190</v>
      </c>
      <c r="ES673" s="319" t="s">
        <v>190</v>
      </c>
      <c r="ET673" s="319" t="s">
        <v>190</v>
      </c>
      <c r="EU673" s="319" t="s">
        <v>190</v>
      </c>
      <c r="EV673" s="319" t="s">
        <v>190</v>
      </c>
      <c r="EW673" s="319" t="s">
        <v>190</v>
      </c>
      <c r="EX673" s="319" t="s">
        <v>190</v>
      </c>
      <c r="EY673" s="319" t="s">
        <v>190</v>
      </c>
      <c r="EZ673" s="319" t="s">
        <v>190</v>
      </c>
      <c r="FA673" s="319" t="s">
        <v>190</v>
      </c>
      <c r="FB673" s="319" t="s">
        <v>428</v>
      </c>
      <c r="FC673" s="319" t="s">
        <v>428</v>
      </c>
      <c r="FD673" s="319" t="s">
        <v>428</v>
      </c>
      <c r="FE673" s="319" t="s">
        <v>428</v>
      </c>
      <c r="FF673" s="319" t="s">
        <v>428</v>
      </c>
      <c r="FG673" s="319" t="s">
        <v>428</v>
      </c>
      <c r="FH673" s="319" t="s">
        <v>190</v>
      </c>
      <c r="FI673" s="319" t="s">
        <v>190</v>
      </c>
      <c r="FJ673" s="319" t="s">
        <v>190</v>
      </c>
      <c r="FK673" s="319" t="s">
        <v>190</v>
      </c>
      <c r="FL673" s="319" t="s">
        <v>190</v>
      </c>
      <c r="FM673" s="319" t="s">
        <v>190</v>
      </c>
      <c r="FN673" s="319" t="s">
        <v>190</v>
      </c>
      <c r="FO673" s="319" t="s">
        <v>190</v>
      </c>
      <c r="FP673" s="319" t="s">
        <v>190</v>
      </c>
      <c r="FQ673" s="319" t="s">
        <v>190</v>
      </c>
      <c r="FR673" s="319" t="s">
        <v>190</v>
      </c>
      <c r="FS673" s="319" t="s">
        <v>190</v>
      </c>
      <c r="FT673" s="319" t="s">
        <v>190</v>
      </c>
      <c r="FU673" s="319" t="s">
        <v>190</v>
      </c>
      <c r="FV673" s="319" t="s">
        <v>190</v>
      </c>
      <c r="FW673" s="319" t="s">
        <v>190</v>
      </c>
      <c r="FX673" s="319" t="s">
        <v>190</v>
      </c>
      <c r="FY673" s="319" t="s">
        <v>190</v>
      </c>
      <c r="FZ673" s="319" t="s">
        <v>190</v>
      </c>
      <c r="GA673" s="319" t="s">
        <v>190</v>
      </c>
      <c r="GB673" s="319" t="s">
        <v>190</v>
      </c>
      <c r="GC673" s="319" t="s">
        <v>190</v>
      </c>
      <c r="GD673" s="319" t="s">
        <v>190</v>
      </c>
      <c r="GE673" s="319" t="s">
        <v>190</v>
      </c>
      <c r="GF673" s="319" t="s">
        <v>190</v>
      </c>
      <c r="GG673" s="319" t="s">
        <v>190</v>
      </c>
      <c r="GH673" s="319" t="s">
        <v>190</v>
      </c>
      <c r="GI673" s="319" t="s">
        <v>190</v>
      </c>
      <c r="GJ673" s="319" t="s">
        <v>190</v>
      </c>
      <c r="GK673" s="319" t="s">
        <v>428</v>
      </c>
      <c r="GL673" s="319" t="s">
        <v>190</v>
      </c>
      <c r="GM673" s="319" t="s">
        <v>190</v>
      </c>
      <c r="GN673" s="319" t="s">
        <v>190</v>
      </c>
      <c r="GO673" s="319" t="s">
        <v>190</v>
      </c>
      <c r="GP673" s="319" t="s">
        <v>190</v>
      </c>
      <c r="GQ673" s="319" t="s">
        <v>428</v>
      </c>
      <c r="GR673" s="319" t="s">
        <v>190</v>
      </c>
      <c r="GS673" s="319" t="s">
        <v>190</v>
      </c>
      <c r="GT673" s="319" t="s">
        <v>190</v>
      </c>
      <c r="GU673" s="319" t="s">
        <v>428</v>
      </c>
      <c r="GV673" s="319" t="s">
        <v>190</v>
      </c>
      <c r="GW673" s="319" t="s">
        <v>190</v>
      </c>
      <c r="GX673" s="319" t="s">
        <v>190</v>
      </c>
      <c r="GY673" s="319" t="s">
        <v>190</v>
      </c>
      <c r="GZ673" s="319" t="s">
        <v>190</v>
      </c>
      <c r="HA673" s="319" t="s">
        <v>190</v>
      </c>
      <c r="HB673" s="319" t="s">
        <v>190</v>
      </c>
      <c r="HC673" s="319" t="s">
        <v>190</v>
      </c>
      <c r="HD673" s="319" t="s">
        <v>190</v>
      </c>
      <c r="HE673" s="319" t="s">
        <v>190</v>
      </c>
      <c r="HF673" s="319" t="s">
        <v>190</v>
      </c>
      <c r="HG673" s="319" t="s">
        <v>190</v>
      </c>
      <c r="HH673" s="319" t="s">
        <v>190</v>
      </c>
      <c r="HI673" s="319" t="s">
        <v>190</v>
      </c>
      <c r="HJ673" s="319" t="s">
        <v>190</v>
      </c>
      <c r="HK673" s="319" t="s">
        <v>190</v>
      </c>
      <c r="HL673" s="319" t="s">
        <v>428</v>
      </c>
      <c r="HM673" s="319" t="s">
        <v>428</v>
      </c>
      <c r="HN673" s="319" t="s">
        <v>428</v>
      </c>
      <c r="HO673" s="319" t="s">
        <v>428</v>
      </c>
      <c r="HP673" s="319" t="s">
        <v>190</v>
      </c>
      <c r="HQ673" s="319" t="s">
        <v>190</v>
      </c>
      <c r="HR673" s="319" t="s">
        <v>190</v>
      </c>
      <c r="HS673" s="319" t="s">
        <v>190</v>
      </c>
      <c r="HT673" s="319" t="s">
        <v>190</v>
      </c>
      <c r="HU673" s="319" t="s">
        <v>190</v>
      </c>
      <c r="HV673" s="319" t="s">
        <v>190</v>
      </c>
      <c r="HW673" s="319" t="s">
        <v>190</v>
      </c>
      <c r="HX673" s="319" t="s">
        <v>190</v>
      </c>
      <c r="HY673" s="319" t="s">
        <v>190</v>
      </c>
      <c r="HZ673" s="319" t="s">
        <v>190</v>
      </c>
      <c r="IA673" s="319" t="s">
        <v>190</v>
      </c>
      <c r="IB673" s="319" t="s">
        <v>190</v>
      </c>
      <c r="IC673" s="319" t="s">
        <v>190</v>
      </c>
      <c r="ID673" s="319" t="s">
        <v>190</v>
      </c>
      <c r="IE673" s="319" t="s">
        <v>190</v>
      </c>
      <c r="IF673" s="319" t="s">
        <v>190</v>
      </c>
      <c r="IG673" s="319" t="s">
        <v>190</v>
      </c>
      <c r="IH673" s="319" t="s">
        <v>190</v>
      </c>
      <c r="II673" s="319" t="s">
        <v>190</v>
      </c>
      <c r="IJ673" s="319">
        <v>10006100</v>
      </c>
      <c r="IK673" s="321">
        <v>42430</v>
      </c>
      <c r="IL673" s="321">
        <v>42432</v>
      </c>
      <c r="IM673" s="321">
        <v>42478</v>
      </c>
      <c r="IN673" s="319">
        <v>3</v>
      </c>
      <c r="IO673" s="319" t="s">
        <v>173</v>
      </c>
      <c r="IP673" s="319" t="s">
        <v>173</v>
      </c>
      <c r="IQ673" s="321" t="s">
        <v>173</v>
      </c>
      <c r="IR673" s="320" t="s">
        <v>173</v>
      </c>
      <c r="IS673" s="322" t="s">
        <v>173</v>
      </c>
      <c r="IT673" s="319" t="s">
        <v>173</v>
      </c>
    </row>
    <row r="674" spans="1:254" s="271" customFormat="1" x14ac:dyDescent="0.25">
      <c r="A674" s="318" t="str">
        <f>HYPERLINK("http://www.ofsted.gov.uk/inspection-reports/find-inspection-report/provider/ELS/137597 ","Ofsted School Webpage")</f>
        <v>Ofsted School Webpage</v>
      </c>
      <c r="B674" s="319">
        <v>137597</v>
      </c>
      <c r="C674" s="319">
        <v>9376000</v>
      </c>
      <c r="D674" s="319" t="s">
        <v>1728</v>
      </c>
      <c r="E674" s="319" t="s">
        <v>168</v>
      </c>
      <c r="F674" s="319" t="s">
        <v>81</v>
      </c>
      <c r="G674" s="319" t="s">
        <v>81</v>
      </c>
      <c r="H674" s="319" t="s">
        <v>81</v>
      </c>
      <c r="I674" s="319" t="s">
        <v>78</v>
      </c>
      <c r="J674" s="319" t="s">
        <v>424</v>
      </c>
      <c r="K674" s="319" t="s">
        <v>437</v>
      </c>
      <c r="L674" s="319" t="s">
        <v>437</v>
      </c>
      <c r="M674" s="319" t="s">
        <v>438</v>
      </c>
      <c r="N674" s="319" t="s">
        <v>3348</v>
      </c>
      <c r="O674" s="319" t="s">
        <v>2139</v>
      </c>
      <c r="P674" s="319">
        <v>23</v>
      </c>
      <c r="Q674" s="319" t="s">
        <v>429</v>
      </c>
      <c r="R674" s="320">
        <v>10038846</v>
      </c>
      <c r="S674" s="321">
        <v>43291</v>
      </c>
      <c r="T674" s="321">
        <v>43293</v>
      </c>
      <c r="U674" s="321">
        <v>43367</v>
      </c>
      <c r="V674" s="319" t="s">
        <v>425</v>
      </c>
      <c r="W674" s="319" t="s">
        <v>2767</v>
      </c>
      <c r="X674" s="319">
        <v>2</v>
      </c>
      <c r="Y674" s="319" t="s">
        <v>173</v>
      </c>
      <c r="Z674" s="319" t="s">
        <v>173</v>
      </c>
      <c r="AA674" s="319" t="s">
        <v>173</v>
      </c>
      <c r="AB674" s="319">
        <v>2</v>
      </c>
      <c r="AC674" s="319" t="s">
        <v>169</v>
      </c>
      <c r="AD674" s="319" t="s">
        <v>173</v>
      </c>
      <c r="AE674" s="319">
        <v>2</v>
      </c>
      <c r="AF674" s="319" t="s">
        <v>427</v>
      </c>
      <c r="AG674" s="319" t="s">
        <v>171</v>
      </c>
      <c r="AH674" s="319" t="s">
        <v>190</v>
      </c>
      <c r="AI674" s="319" t="s">
        <v>190</v>
      </c>
      <c r="AJ674" s="319" t="s">
        <v>190</v>
      </c>
      <c r="AK674" s="319" t="s">
        <v>190</v>
      </c>
      <c r="AL674" s="319" t="s">
        <v>190</v>
      </c>
      <c r="AM674" s="319" t="s">
        <v>190</v>
      </c>
      <c r="AN674" s="319" t="s">
        <v>190</v>
      </c>
      <c r="AO674" s="319" t="s">
        <v>190</v>
      </c>
      <c r="AP674" s="319" t="s">
        <v>190</v>
      </c>
      <c r="AQ674" s="319" t="s">
        <v>190</v>
      </c>
      <c r="AR674" s="319" t="s">
        <v>190</v>
      </c>
      <c r="AS674" s="319" t="s">
        <v>190</v>
      </c>
      <c r="AT674" s="319" t="s">
        <v>190</v>
      </c>
      <c r="AU674" s="319" t="s">
        <v>190</v>
      </c>
      <c r="AV674" s="319" t="s">
        <v>190</v>
      </c>
      <c r="AW674" s="319" t="s">
        <v>190</v>
      </c>
      <c r="AX674" s="319" t="s">
        <v>428</v>
      </c>
      <c r="AY674" s="319" t="s">
        <v>190</v>
      </c>
      <c r="AZ674" s="319" t="s">
        <v>190</v>
      </c>
      <c r="BA674" s="319" t="s">
        <v>190</v>
      </c>
      <c r="BB674" s="319" t="s">
        <v>190</v>
      </c>
      <c r="BC674" s="319" t="s">
        <v>190</v>
      </c>
      <c r="BD674" s="319" t="s">
        <v>190</v>
      </c>
      <c r="BE674" s="319" t="s">
        <v>190</v>
      </c>
      <c r="BF674" s="319" t="s">
        <v>428</v>
      </c>
      <c r="BG674" s="319" t="s">
        <v>190</v>
      </c>
      <c r="BH674" s="319" t="s">
        <v>190</v>
      </c>
      <c r="BI674" s="319" t="s">
        <v>190</v>
      </c>
      <c r="BJ674" s="319" t="s">
        <v>584</v>
      </c>
      <c r="BK674" s="319" t="s">
        <v>190</v>
      </c>
      <c r="BL674" s="319" t="s">
        <v>190</v>
      </c>
      <c r="BM674" s="319" t="s">
        <v>190</v>
      </c>
      <c r="BN674" s="319" t="s">
        <v>190</v>
      </c>
      <c r="BO674" s="319" t="s">
        <v>190</v>
      </c>
      <c r="BP674" s="319" t="s">
        <v>190</v>
      </c>
      <c r="BQ674" s="319" t="s">
        <v>190</v>
      </c>
      <c r="BR674" s="319" t="s">
        <v>190</v>
      </c>
      <c r="BS674" s="319" t="s">
        <v>190</v>
      </c>
      <c r="BT674" s="319" t="s">
        <v>190</v>
      </c>
      <c r="BU674" s="319" t="s">
        <v>190</v>
      </c>
      <c r="BV674" s="319" t="s">
        <v>190</v>
      </c>
      <c r="BW674" s="319" t="s">
        <v>190</v>
      </c>
      <c r="BX674" s="319" t="s">
        <v>190</v>
      </c>
      <c r="BY674" s="319" t="s">
        <v>190</v>
      </c>
      <c r="BZ674" s="319" t="s">
        <v>190</v>
      </c>
      <c r="CA674" s="319" t="s">
        <v>190</v>
      </c>
      <c r="CB674" s="319" t="s">
        <v>190</v>
      </c>
      <c r="CC674" s="319" t="s">
        <v>190</v>
      </c>
      <c r="CD674" s="319" t="s">
        <v>190</v>
      </c>
      <c r="CE674" s="319" t="s">
        <v>190</v>
      </c>
      <c r="CF674" s="319" t="s">
        <v>190</v>
      </c>
      <c r="CG674" s="319" t="s">
        <v>190</v>
      </c>
      <c r="CH674" s="319" t="s">
        <v>190</v>
      </c>
      <c r="CI674" s="319" t="s">
        <v>190</v>
      </c>
      <c r="CJ674" s="319" t="s">
        <v>190</v>
      </c>
      <c r="CK674" s="319" t="s">
        <v>190</v>
      </c>
      <c r="CL674" s="319" t="s">
        <v>190</v>
      </c>
      <c r="CM674" s="319" t="s">
        <v>190</v>
      </c>
      <c r="CN674" s="319" t="s">
        <v>428</v>
      </c>
      <c r="CO674" s="319" t="s">
        <v>428</v>
      </c>
      <c r="CP674" s="319" t="s">
        <v>428</v>
      </c>
      <c r="CQ674" s="319" t="s">
        <v>190</v>
      </c>
      <c r="CR674" s="319" t="s">
        <v>190</v>
      </c>
      <c r="CS674" s="319" t="s">
        <v>190</v>
      </c>
      <c r="CT674" s="319" t="s">
        <v>190</v>
      </c>
      <c r="CU674" s="319" t="s">
        <v>190</v>
      </c>
      <c r="CV674" s="319" t="s">
        <v>190</v>
      </c>
      <c r="CW674" s="319" t="s">
        <v>190</v>
      </c>
      <c r="CX674" s="319" t="s">
        <v>190</v>
      </c>
      <c r="CY674" s="319" t="s">
        <v>190</v>
      </c>
      <c r="CZ674" s="319" t="s">
        <v>190</v>
      </c>
      <c r="DA674" s="319" t="s">
        <v>190</v>
      </c>
      <c r="DB674" s="319" t="s">
        <v>190</v>
      </c>
      <c r="DC674" s="319" t="s">
        <v>190</v>
      </c>
      <c r="DD674" s="319" t="s">
        <v>190</v>
      </c>
      <c r="DE674" s="319" t="s">
        <v>190</v>
      </c>
      <c r="DF674" s="319" t="s">
        <v>190</v>
      </c>
      <c r="DG674" s="319" t="s">
        <v>190</v>
      </c>
      <c r="DH674" s="319" t="s">
        <v>190</v>
      </c>
      <c r="DI674" s="319" t="s">
        <v>190</v>
      </c>
      <c r="DJ674" s="319" t="s">
        <v>190</v>
      </c>
      <c r="DK674" s="319" t="s">
        <v>190</v>
      </c>
      <c r="DL674" s="319" t="s">
        <v>190</v>
      </c>
      <c r="DM674" s="319" t="s">
        <v>190</v>
      </c>
      <c r="DN674" s="319" t="s">
        <v>190</v>
      </c>
      <c r="DO674" s="319" t="s">
        <v>190</v>
      </c>
      <c r="DP674" s="319" t="s">
        <v>190</v>
      </c>
      <c r="DQ674" s="319" t="s">
        <v>190</v>
      </c>
      <c r="DR674" s="319" t="s">
        <v>190</v>
      </c>
      <c r="DS674" s="319" t="s">
        <v>190</v>
      </c>
      <c r="DT674" s="319" t="s">
        <v>190</v>
      </c>
      <c r="DU674" s="319" t="s">
        <v>190</v>
      </c>
      <c r="DV674" s="319" t="s">
        <v>173</v>
      </c>
      <c r="DW674" s="319" t="s">
        <v>190</v>
      </c>
      <c r="DX674" s="319" t="s">
        <v>190</v>
      </c>
      <c r="DY674" s="319" t="s">
        <v>190</v>
      </c>
      <c r="DZ674" s="319" t="s">
        <v>190</v>
      </c>
      <c r="EA674" s="319" t="s">
        <v>190</v>
      </c>
      <c r="EB674" s="319" t="s">
        <v>190</v>
      </c>
      <c r="EC674" s="319" t="s">
        <v>428</v>
      </c>
      <c r="ED674" s="319" t="s">
        <v>190</v>
      </c>
      <c r="EE674" s="319" t="s">
        <v>190</v>
      </c>
      <c r="EF674" s="319" t="s">
        <v>190</v>
      </c>
      <c r="EG674" s="319" t="s">
        <v>190</v>
      </c>
      <c r="EH674" s="319" t="s">
        <v>190</v>
      </c>
      <c r="EI674" s="319" t="s">
        <v>190</v>
      </c>
      <c r="EJ674" s="319" t="s">
        <v>190</v>
      </c>
      <c r="EK674" s="319" t="s">
        <v>190</v>
      </c>
      <c r="EL674" s="319" t="s">
        <v>190</v>
      </c>
      <c r="EM674" s="319" t="s">
        <v>190</v>
      </c>
      <c r="EN674" s="319" t="s">
        <v>173</v>
      </c>
      <c r="EO674" s="319" t="s">
        <v>190</v>
      </c>
      <c r="EP674" s="319" t="s">
        <v>190</v>
      </c>
      <c r="EQ674" s="319" t="s">
        <v>190</v>
      </c>
      <c r="ER674" s="319" t="s">
        <v>190</v>
      </c>
      <c r="ES674" s="319" t="s">
        <v>190</v>
      </c>
      <c r="ET674" s="319" t="s">
        <v>190</v>
      </c>
      <c r="EU674" s="319" t="s">
        <v>190</v>
      </c>
      <c r="EV674" s="319" t="s">
        <v>190</v>
      </c>
      <c r="EW674" s="319" t="s">
        <v>190</v>
      </c>
      <c r="EX674" s="319" t="s">
        <v>190</v>
      </c>
      <c r="EY674" s="319" t="s">
        <v>190</v>
      </c>
      <c r="EZ674" s="319" t="s">
        <v>190</v>
      </c>
      <c r="FA674" s="319" t="s">
        <v>190</v>
      </c>
      <c r="FB674" s="319" t="s">
        <v>190</v>
      </c>
      <c r="FC674" s="319" t="s">
        <v>190</v>
      </c>
      <c r="FD674" s="319" t="s">
        <v>190</v>
      </c>
      <c r="FE674" s="319" t="s">
        <v>190</v>
      </c>
      <c r="FF674" s="319" t="s">
        <v>190</v>
      </c>
      <c r="FG674" s="319" t="s">
        <v>190</v>
      </c>
      <c r="FH674" s="319" t="s">
        <v>190</v>
      </c>
      <c r="FI674" s="319" t="s">
        <v>190</v>
      </c>
      <c r="FJ674" s="319" t="s">
        <v>190</v>
      </c>
      <c r="FK674" s="319" t="s">
        <v>190</v>
      </c>
      <c r="FL674" s="319" t="s">
        <v>190</v>
      </c>
      <c r="FM674" s="319" t="s">
        <v>190</v>
      </c>
      <c r="FN674" s="319" t="s">
        <v>190</v>
      </c>
      <c r="FO674" s="319" t="s">
        <v>190</v>
      </c>
      <c r="FP674" s="319" t="s">
        <v>190</v>
      </c>
      <c r="FQ674" s="319" t="s">
        <v>190</v>
      </c>
      <c r="FR674" s="319" t="s">
        <v>190</v>
      </c>
      <c r="FS674" s="319" t="s">
        <v>190</v>
      </c>
      <c r="FT674" s="319" t="s">
        <v>190</v>
      </c>
      <c r="FU674" s="319" t="s">
        <v>190</v>
      </c>
      <c r="FV674" s="319" t="s">
        <v>190</v>
      </c>
      <c r="FW674" s="319" t="s">
        <v>190</v>
      </c>
      <c r="FX674" s="319" t="s">
        <v>190</v>
      </c>
      <c r="FY674" s="319" t="s">
        <v>190</v>
      </c>
      <c r="FZ674" s="319" t="s">
        <v>190</v>
      </c>
      <c r="GA674" s="319" t="s">
        <v>190</v>
      </c>
      <c r="GB674" s="319" t="s">
        <v>190</v>
      </c>
      <c r="GC674" s="319" t="s">
        <v>190</v>
      </c>
      <c r="GD674" s="319" t="s">
        <v>190</v>
      </c>
      <c r="GE674" s="319" t="s">
        <v>190</v>
      </c>
      <c r="GF674" s="319" t="s">
        <v>190</v>
      </c>
      <c r="GG674" s="319" t="s">
        <v>190</v>
      </c>
      <c r="GH674" s="319" t="s">
        <v>190</v>
      </c>
      <c r="GI674" s="319" t="s">
        <v>190</v>
      </c>
      <c r="GJ674" s="319" t="s">
        <v>190</v>
      </c>
      <c r="GK674" s="319" t="s">
        <v>428</v>
      </c>
      <c r="GL674" s="319" t="s">
        <v>190</v>
      </c>
      <c r="GM674" s="319" t="s">
        <v>190</v>
      </c>
      <c r="GN674" s="319" t="s">
        <v>190</v>
      </c>
      <c r="GO674" s="319" t="s">
        <v>190</v>
      </c>
      <c r="GP674" s="319" t="s">
        <v>190</v>
      </c>
      <c r="GQ674" s="319" t="s">
        <v>190</v>
      </c>
      <c r="GR674" s="319" t="s">
        <v>190</v>
      </c>
      <c r="GS674" s="319" t="s">
        <v>190</v>
      </c>
      <c r="GT674" s="319" t="s">
        <v>190</v>
      </c>
      <c r="GU674" s="319" t="s">
        <v>190</v>
      </c>
      <c r="GV674" s="319" t="s">
        <v>190</v>
      </c>
      <c r="GW674" s="319" t="s">
        <v>190</v>
      </c>
      <c r="GX674" s="319" t="s">
        <v>190</v>
      </c>
      <c r="GY674" s="319" t="s">
        <v>190</v>
      </c>
      <c r="GZ674" s="319" t="s">
        <v>428</v>
      </c>
      <c r="HA674" s="319" t="s">
        <v>190</v>
      </c>
      <c r="HB674" s="319" t="s">
        <v>190</v>
      </c>
      <c r="HC674" s="319" t="s">
        <v>190</v>
      </c>
      <c r="HD674" s="319" t="s">
        <v>190</v>
      </c>
      <c r="HE674" s="319" t="s">
        <v>190</v>
      </c>
      <c r="HF674" s="319" t="s">
        <v>190</v>
      </c>
      <c r="HG674" s="319" t="s">
        <v>190</v>
      </c>
      <c r="HH674" s="319" t="s">
        <v>190</v>
      </c>
      <c r="HI674" s="319" t="s">
        <v>190</v>
      </c>
      <c r="HJ674" s="319" t="s">
        <v>190</v>
      </c>
      <c r="HK674" s="319" t="s">
        <v>190</v>
      </c>
      <c r="HL674" s="319" t="s">
        <v>428</v>
      </c>
      <c r="HM674" s="319" t="s">
        <v>428</v>
      </c>
      <c r="HN674" s="319" t="s">
        <v>428</v>
      </c>
      <c r="HO674" s="319" t="s">
        <v>428</v>
      </c>
      <c r="HP674" s="319" t="s">
        <v>190</v>
      </c>
      <c r="HQ674" s="319" t="s">
        <v>190</v>
      </c>
      <c r="HR674" s="319" t="s">
        <v>190</v>
      </c>
      <c r="HS674" s="319" t="s">
        <v>190</v>
      </c>
      <c r="HT674" s="319" t="s">
        <v>190</v>
      </c>
      <c r="HU674" s="319" t="s">
        <v>190</v>
      </c>
      <c r="HV674" s="319" t="s">
        <v>190</v>
      </c>
      <c r="HW674" s="319" t="s">
        <v>190</v>
      </c>
      <c r="HX674" s="319" t="s">
        <v>190</v>
      </c>
      <c r="HY674" s="319" t="s">
        <v>190</v>
      </c>
      <c r="HZ674" s="319" t="s">
        <v>190</v>
      </c>
      <c r="IA674" s="319" t="s">
        <v>190</v>
      </c>
      <c r="IB674" s="319" t="s">
        <v>190</v>
      </c>
      <c r="IC674" s="319" t="s">
        <v>190</v>
      </c>
      <c r="ID674" s="319" t="s">
        <v>190</v>
      </c>
      <c r="IE674" s="319" t="s">
        <v>190</v>
      </c>
      <c r="IF674" s="319" t="s">
        <v>190</v>
      </c>
      <c r="IG674" s="319" t="s">
        <v>190</v>
      </c>
      <c r="IH674" s="319" t="s">
        <v>190</v>
      </c>
      <c r="II674" s="319" t="s">
        <v>190</v>
      </c>
      <c r="IJ674" s="319">
        <v>10006118</v>
      </c>
      <c r="IK674" s="321">
        <v>42326</v>
      </c>
      <c r="IL674" s="321">
        <v>42328</v>
      </c>
      <c r="IM674" s="321">
        <v>42383</v>
      </c>
      <c r="IN674" s="319">
        <v>3</v>
      </c>
      <c r="IO674" s="319" t="s">
        <v>173</v>
      </c>
      <c r="IP674" s="319" t="s">
        <v>173</v>
      </c>
      <c r="IQ674" s="321" t="s">
        <v>173</v>
      </c>
      <c r="IR674" s="320" t="s">
        <v>173</v>
      </c>
      <c r="IS674" s="322" t="s">
        <v>173</v>
      </c>
      <c r="IT674" s="319" t="s">
        <v>173</v>
      </c>
    </row>
    <row r="675" spans="1:254" s="271" customFormat="1" x14ac:dyDescent="0.25">
      <c r="A675" s="318" t="str">
        <f>HYPERLINK("http://www.ofsted.gov.uk/inspection-reports/find-inspection-report/provider/ELS/137784 ","Ofsted School Webpage")</f>
        <v>Ofsted School Webpage</v>
      </c>
      <c r="B675" s="319">
        <v>137784</v>
      </c>
      <c r="C675" s="319">
        <v>3026015</v>
      </c>
      <c r="D675" s="319" t="s">
        <v>2140</v>
      </c>
      <c r="E675" s="319" t="s">
        <v>167</v>
      </c>
      <c r="F675" s="319" t="s">
        <v>81</v>
      </c>
      <c r="G675" s="319" t="s">
        <v>71</v>
      </c>
      <c r="H675" s="319" t="s">
        <v>71</v>
      </c>
      <c r="I675" s="319" t="s">
        <v>72</v>
      </c>
      <c r="J675" s="319" t="s">
        <v>424</v>
      </c>
      <c r="K675" s="319" t="s">
        <v>441</v>
      </c>
      <c r="L675" s="319" t="s">
        <v>441</v>
      </c>
      <c r="M675" s="319" t="s">
        <v>544</v>
      </c>
      <c r="N675" s="319" t="s">
        <v>3420</v>
      </c>
      <c r="O675" s="319" t="s">
        <v>2141</v>
      </c>
      <c r="P675" s="319">
        <v>17</v>
      </c>
      <c r="Q675" s="319" t="s">
        <v>2766</v>
      </c>
      <c r="R675" s="320">
        <v>10020781</v>
      </c>
      <c r="S675" s="321">
        <v>43256</v>
      </c>
      <c r="T675" s="321">
        <v>43258</v>
      </c>
      <c r="U675" s="321">
        <v>43306</v>
      </c>
      <c r="V675" s="319" t="s">
        <v>425</v>
      </c>
      <c r="W675" s="319" t="s">
        <v>2767</v>
      </c>
      <c r="X675" s="319">
        <v>2</v>
      </c>
      <c r="Y675" s="319" t="s">
        <v>173</v>
      </c>
      <c r="Z675" s="319" t="s">
        <v>173</v>
      </c>
      <c r="AA675" s="319" t="s">
        <v>173</v>
      </c>
      <c r="AB675" s="319">
        <v>2</v>
      </c>
      <c r="AC675" s="319" t="s">
        <v>169</v>
      </c>
      <c r="AD675" s="319" t="s">
        <v>173</v>
      </c>
      <c r="AE675" s="319" t="s">
        <v>173</v>
      </c>
      <c r="AF675" s="319" t="s">
        <v>427</v>
      </c>
      <c r="AG675" s="319" t="s">
        <v>171</v>
      </c>
      <c r="AH675" s="319" t="s">
        <v>190</v>
      </c>
      <c r="AI675" s="319" t="s">
        <v>190</v>
      </c>
      <c r="AJ675" s="319" t="s">
        <v>190</v>
      </c>
      <c r="AK675" s="319" t="s">
        <v>190</v>
      </c>
      <c r="AL675" s="319" t="s">
        <v>190</v>
      </c>
      <c r="AM675" s="319" t="s">
        <v>190</v>
      </c>
      <c r="AN675" s="319" t="s">
        <v>190</v>
      </c>
      <c r="AO675" s="319" t="s">
        <v>190</v>
      </c>
      <c r="AP675" s="319" t="s">
        <v>190</v>
      </c>
      <c r="AQ675" s="319" t="s">
        <v>190</v>
      </c>
      <c r="AR675" s="319" t="s">
        <v>190</v>
      </c>
      <c r="AS675" s="319" t="s">
        <v>190</v>
      </c>
      <c r="AT675" s="319" t="s">
        <v>190</v>
      </c>
      <c r="AU675" s="319" t="s">
        <v>190</v>
      </c>
      <c r="AV675" s="319" t="s">
        <v>190</v>
      </c>
      <c r="AW675" s="319" t="s">
        <v>190</v>
      </c>
      <c r="AX675" s="319" t="s">
        <v>428</v>
      </c>
      <c r="AY675" s="319" t="s">
        <v>190</v>
      </c>
      <c r="AZ675" s="319" t="s">
        <v>190</v>
      </c>
      <c r="BA675" s="319" t="s">
        <v>190</v>
      </c>
      <c r="BB675" s="319" t="s">
        <v>190</v>
      </c>
      <c r="BC675" s="319" t="s">
        <v>190</v>
      </c>
      <c r="BD675" s="319" t="s">
        <v>190</v>
      </c>
      <c r="BE675" s="319" t="s">
        <v>190</v>
      </c>
      <c r="BF675" s="319" t="s">
        <v>428</v>
      </c>
      <c r="BG675" s="319" t="s">
        <v>190</v>
      </c>
      <c r="BH675" s="319" t="s">
        <v>190</v>
      </c>
      <c r="BI675" s="319" t="s">
        <v>190</v>
      </c>
      <c r="BJ675" s="319" t="s">
        <v>190</v>
      </c>
      <c r="BK675" s="319" t="s">
        <v>190</v>
      </c>
      <c r="BL675" s="319" t="s">
        <v>190</v>
      </c>
      <c r="BM675" s="319" t="s">
        <v>190</v>
      </c>
      <c r="BN675" s="319" t="s">
        <v>190</v>
      </c>
      <c r="BO675" s="319" t="s">
        <v>190</v>
      </c>
      <c r="BP675" s="319" t="s">
        <v>190</v>
      </c>
      <c r="BQ675" s="319" t="s">
        <v>190</v>
      </c>
      <c r="BR675" s="319" t="s">
        <v>190</v>
      </c>
      <c r="BS675" s="319" t="s">
        <v>190</v>
      </c>
      <c r="BT675" s="319" t="s">
        <v>190</v>
      </c>
      <c r="BU675" s="319" t="s">
        <v>190</v>
      </c>
      <c r="BV675" s="319" t="s">
        <v>190</v>
      </c>
      <c r="BW675" s="319" t="s">
        <v>190</v>
      </c>
      <c r="BX675" s="319" t="s">
        <v>190</v>
      </c>
      <c r="BY675" s="319" t="s">
        <v>190</v>
      </c>
      <c r="BZ675" s="319" t="s">
        <v>190</v>
      </c>
      <c r="CA675" s="319" t="s">
        <v>190</v>
      </c>
      <c r="CB675" s="319" t="s">
        <v>190</v>
      </c>
      <c r="CC675" s="319" t="s">
        <v>190</v>
      </c>
      <c r="CD675" s="319" t="s">
        <v>190</v>
      </c>
      <c r="CE675" s="319" t="s">
        <v>190</v>
      </c>
      <c r="CF675" s="319" t="s">
        <v>190</v>
      </c>
      <c r="CG675" s="319" t="s">
        <v>190</v>
      </c>
      <c r="CH675" s="319" t="s">
        <v>190</v>
      </c>
      <c r="CI675" s="319" t="s">
        <v>190</v>
      </c>
      <c r="CJ675" s="319" t="s">
        <v>190</v>
      </c>
      <c r="CK675" s="319" t="s">
        <v>190</v>
      </c>
      <c r="CL675" s="319" t="s">
        <v>190</v>
      </c>
      <c r="CM675" s="319" t="s">
        <v>190</v>
      </c>
      <c r="CN675" s="319" t="s">
        <v>428</v>
      </c>
      <c r="CO675" s="319" t="s">
        <v>428</v>
      </c>
      <c r="CP675" s="319" t="s">
        <v>428</v>
      </c>
      <c r="CQ675" s="319" t="s">
        <v>190</v>
      </c>
      <c r="CR675" s="319" t="s">
        <v>190</v>
      </c>
      <c r="CS675" s="319" t="s">
        <v>190</v>
      </c>
      <c r="CT675" s="319" t="s">
        <v>190</v>
      </c>
      <c r="CU675" s="319" t="s">
        <v>190</v>
      </c>
      <c r="CV675" s="319" t="s">
        <v>190</v>
      </c>
      <c r="CW675" s="319" t="s">
        <v>190</v>
      </c>
      <c r="CX675" s="319" t="s">
        <v>190</v>
      </c>
      <c r="CY675" s="319" t="s">
        <v>190</v>
      </c>
      <c r="CZ675" s="319" t="s">
        <v>190</v>
      </c>
      <c r="DA675" s="319" t="s">
        <v>190</v>
      </c>
      <c r="DB675" s="319" t="s">
        <v>190</v>
      </c>
      <c r="DC675" s="319" t="s">
        <v>190</v>
      </c>
      <c r="DD675" s="319" t="s">
        <v>190</v>
      </c>
      <c r="DE675" s="319" t="s">
        <v>190</v>
      </c>
      <c r="DF675" s="319" t="s">
        <v>190</v>
      </c>
      <c r="DG675" s="319" t="s">
        <v>190</v>
      </c>
      <c r="DH675" s="319" t="s">
        <v>190</v>
      </c>
      <c r="DI675" s="319" t="s">
        <v>190</v>
      </c>
      <c r="DJ675" s="319" t="s">
        <v>190</v>
      </c>
      <c r="DK675" s="319" t="s">
        <v>190</v>
      </c>
      <c r="DL675" s="319" t="s">
        <v>190</v>
      </c>
      <c r="DM675" s="319" t="s">
        <v>190</v>
      </c>
      <c r="DN675" s="319" t="s">
        <v>428</v>
      </c>
      <c r="DO675" s="319" t="s">
        <v>190</v>
      </c>
      <c r="DP675" s="319" t="s">
        <v>428</v>
      </c>
      <c r="DQ675" s="319" t="s">
        <v>428</v>
      </c>
      <c r="DR675" s="319" t="s">
        <v>428</v>
      </c>
      <c r="DS675" s="319" t="s">
        <v>428</v>
      </c>
      <c r="DT675" s="319" t="s">
        <v>428</v>
      </c>
      <c r="DU675" s="319" t="s">
        <v>428</v>
      </c>
      <c r="DV675" s="319" t="s">
        <v>173</v>
      </c>
      <c r="DW675" s="319" t="s">
        <v>428</v>
      </c>
      <c r="DX675" s="319" t="s">
        <v>428</v>
      </c>
      <c r="DY675" s="319" t="s">
        <v>428</v>
      </c>
      <c r="DZ675" s="319" t="s">
        <v>428</v>
      </c>
      <c r="EA675" s="319" t="s">
        <v>428</v>
      </c>
      <c r="EB675" s="319" t="s">
        <v>428</v>
      </c>
      <c r="EC675" s="319" t="s">
        <v>428</v>
      </c>
      <c r="ED675" s="319" t="s">
        <v>428</v>
      </c>
      <c r="EE675" s="319" t="s">
        <v>190</v>
      </c>
      <c r="EF675" s="319" t="s">
        <v>190</v>
      </c>
      <c r="EG675" s="319" t="s">
        <v>190</v>
      </c>
      <c r="EH675" s="319" t="s">
        <v>190</v>
      </c>
      <c r="EI675" s="319" t="s">
        <v>190</v>
      </c>
      <c r="EJ675" s="319" t="s">
        <v>190</v>
      </c>
      <c r="EK675" s="319" t="s">
        <v>190</v>
      </c>
      <c r="EL675" s="319" t="s">
        <v>190</v>
      </c>
      <c r="EM675" s="319" t="s">
        <v>190</v>
      </c>
      <c r="EN675" s="319" t="s">
        <v>190</v>
      </c>
      <c r="EO675" s="319" t="s">
        <v>190</v>
      </c>
      <c r="EP675" s="319" t="s">
        <v>190</v>
      </c>
      <c r="EQ675" s="319" t="s">
        <v>190</v>
      </c>
      <c r="ER675" s="319" t="s">
        <v>190</v>
      </c>
      <c r="ES675" s="319" t="s">
        <v>190</v>
      </c>
      <c r="ET675" s="319" t="s">
        <v>190</v>
      </c>
      <c r="EU675" s="319" t="s">
        <v>190</v>
      </c>
      <c r="EV675" s="319" t="s">
        <v>190</v>
      </c>
      <c r="EW675" s="319" t="s">
        <v>190</v>
      </c>
      <c r="EX675" s="319" t="s">
        <v>190</v>
      </c>
      <c r="EY675" s="319" t="s">
        <v>190</v>
      </c>
      <c r="EZ675" s="319" t="s">
        <v>190</v>
      </c>
      <c r="FA675" s="319" t="s">
        <v>190</v>
      </c>
      <c r="FB675" s="319" t="s">
        <v>428</v>
      </c>
      <c r="FC675" s="319" t="s">
        <v>428</v>
      </c>
      <c r="FD675" s="319" t="s">
        <v>428</v>
      </c>
      <c r="FE675" s="319" t="s">
        <v>428</v>
      </c>
      <c r="FF675" s="319" t="s">
        <v>428</v>
      </c>
      <c r="FG675" s="319" t="s">
        <v>428</v>
      </c>
      <c r="FH675" s="319" t="s">
        <v>428</v>
      </c>
      <c r="FI675" s="319" t="s">
        <v>428</v>
      </c>
      <c r="FJ675" s="319" t="s">
        <v>429</v>
      </c>
      <c r="FK675" s="319" t="s">
        <v>428</v>
      </c>
      <c r="FL675" s="319" t="s">
        <v>190</v>
      </c>
      <c r="FM675" s="319" t="s">
        <v>190</v>
      </c>
      <c r="FN675" s="319" t="s">
        <v>190</v>
      </c>
      <c r="FO675" s="319" t="s">
        <v>190</v>
      </c>
      <c r="FP675" s="319" t="s">
        <v>190</v>
      </c>
      <c r="FQ675" s="319" t="s">
        <v>190</v>
      </c>
      <c r="FR675" s="319" t="s">
        <v>190</v>
      </c>
      <c r="FS675" s="319" t="s">
        <v>428</v>
      </c>
      <c r="FT675" s="319" t="s">
        <v>190</v>
      </c>
      <c r="FU675" s="319" t="s">
        <v>190</v>
      </c>
      <c r="FV675" s="319" t="s">
        <v>190</v>
      </c>
      <c r="FW675" s="319" t="s">
        <v>190</v>
      </c>
      <c r="FX675" s="319" t="s">
        <v>190</v>
      </c>
      <c r="FY675" s="319" t="s">
        <v>190</v>
      </c>
      <c r="FZ675" s="319" t="s">
        <v>190</v>
      </c>
      <c r="GA675" s="319" t="s">
        <v>190</v>
      </c>
      <c r="GB675" s="319" t="s">
        <v>190</v>
      </c>
      <c r="GC675" s="319" t="s">
        <v>190</v>
      </c>
      <c r="GD675" s="319" t="s">
        <v>190</v>
      </c>
      <c r="GE675" s="319" t="s">
        <v>190</v>
      </c>
      <c r="GF675" s="319" t="s">
        <v>190</v>
      </c>
      <c r="GG675" s="319" t="s">
        <v>190</v>
      </c>
      <c r="GH675" s="319" t="s">
        <v>190</v>
      </c>
      <c r="GI675" s="319" t="s">
        <v>190</v>
      </c>
      <c r="GJ675" s="319" t="s">
        <v>190</v>
      </c>
      <c r="GK675" s="319" t="s">
        <v>428</v>
      </c>
      <c r="GL675" s="319" t="s">
        <v>190</v>
      </c>
      <c r="GM675" s="319" t="s">
        <v>190</v>
      </c>
      <c r="GN675" s="319" t="s">
        <v>190</v>
      </c>
      <c r="GO675" s="319" t="s">
        <v>190</v>
      </c>
      <c r="GP675" s="319" t="s">
        <v>190</v>
      </c>
      <c r="GQ675" s="319" t="s">
        <v>428</v>
      </c>
      <c r="GR675" s="319" t="s">
        <v>190</v>
      </c>
      <c r="GS675" s="319" t="s">
        <v>190</v>
      </c>
      <c r="GT675" s="319" t="s">
        <v>428</v>
      </c>
      <c r="GU675" s="319" t="s">
        <v>190</v>
      </c>
      <c r="GV675" s="319" t="s">
        <v>190</v>
      </c>
      <c r="GW675" s="319" t="s">
        <v>190</v>
      </c>
      <c r="GX675" s="319" t="s">
        <v>190</v>
      </c>
      <c r="GY675" s="319" t="s">
        <v>190</v>
      </c>
      <c r="GZ675" s="319" t="s">
        <v>190</v>
      </c>
      <c r="HA675" s="319" t="s">
        <v>190</v>
      </c>
      <c r="HB675" s="319" t="s">
        <v>428</v>
      </c>
      <c r="HC675" s="319" t="s">
        <v>190</v>
      </c>
      <c r="HD675" s="319" t="s">
        <v>190</v>
      </c>
      <c r="HE675" s="319" t="s">
        <v>190</v>
      </c>
      <c r="HF675" s="319" t="s">
        <v>428</v>
      </c>
      <c r="HG675" s="319" t="s">
        <v>190</v>
      </c>
      <c r="HH675" s="319" t="s">
        <v>190</v>
      </c>
      <c r="HI675" s="319" t="s">
        <v>190</v>
      </c>
      <c r="HJ675" s="319" t="s">
        <v>190</v>
      </c>
      <c r="HK675" s="319" t="s">
        <v>190</v>
      </c>
      <c r="HL675" s="319" t="s">
        <v>428</v>
      </c>
      <c r="HM675" s="319" t="s">
        <v>428</v>
      </c>
      <c r="HN675" s="319" t="s">
        <v>428</v>
      </c>
      <c r="HO675" s="319" t="s">
        <v>428</v>
      </c>
      <c r="HP675" s="319" t="s">
        <v>190</v>
      </c>
      <c r="HQ675" s="319" t="s">
        <v>190</v>
      </c>
      <c r="HR675" s="319" t="s">
        <v>190</v>
      </c>
      <c r="HS675" s="319" t="s">
        <v>190</v>
      </c>
      <c r="HT675" s="319" t="s">
        <v>190</v>
      </c>
      <c r="HU675" s="319" t="s">
        <v>190</v>
      </c>
      <c r="HV675" s="319" t="s">
        <v>190</v>
      </c>
      <c r="HW675" s="319" t="s">
        <v>190</v>
      </c>
      <c r="HX675" s="319" t="s">
        <v>190</v>
      </c>
      <c r="HY675" s="319" t="s">
        <v>190</v>
      </c>
      <c r="HZ675" s="319" t="s">
        <v>190</v>
      </c>
      <c r="IA675" s="319" t="s">
        <v>190</v>
      </c>
      <c r="IB675" s="319" t="s">
        <v>190</v>
      </c>
      <c r="IC675" s="319" t="s">
        <v>190</v>
      </c>
      <c r="ID675" s="319" t="s">
        <v>190</v>
      </c>
      <c r="IE675" s="319" t="s">
        <v>190</v>
      </c>
      <c r="IF675" s="319" t="s">
        <v>190</v>
      </c>
      <c r="IG675" s="319" t="s">
        <v>190</v>
      </c>
      <c r="IH675" s="319" t="s">
        <v>190</v>
      </c>
      <c r="II675" s="319" t="s">
        <v>190</v>
      </c>
      <c r="IJ675" s="319" t="s">
        <v>3421</v>
      </c>
      <c r="IK675" s="321">
        <v>41234</v>
      </c>
      <c r="IL675" s="321">
        <v>41235</v>
      </c>
      <c r="IM675" s="321">
        <v>41256</v>
      </c>
      <c r="IN675" s="319">
        <v>1</v>
      </c>
      <c r="IO675" s="319" t="s">
        <v>173</v>
      </c>
      <c r="IP675" s="319" t="s">
        <v>173</v>
      </c>
      <c r="IQ675" s="321" t="s">
        <v>173</v>
      </c>
      <c r="IR675" s="320" t="s">
        <v>173</v>
      </c>
      <c r="IS675" s="322" t="s">
        <v>173</v>
      </c>
      <c r="IT675" s="319" t="s">
        <v>173</v>
      </c>
    </row>
    <row r="676" spans="1:254" s="271" customFormat="1" x14ac:dyDescent="0.25">
      <c r="A676" s="318" t="str">
        <f>HYPERLINK("http://www.ofsted.gov.uk/inspection-reports/find-inspection-report/provider/ELS/137785 ","Ofsted School Webpage")</f>
        <v>Ofsted School Webpage</v>
      </c>
      <c r="B676" s="319">
        <v>137785</v>
      </c>
      <c r="C676" s="319">
        <v>3806001</v>
      </c>
      <c r="D676" s="319" t="s">
        <v>2142</v>
      </c>
      <c r="E676" s="319" t="s">
        <v>168</v>
      </c>
      <c r="F676" s="319" t="s">
        <v>81</v>
      </c>
      <c r="G676" s="319" t="s">
        <v>81</v>
      </c>
      <c r="H676" s="319" t="s">
        <v>81</v>
      </c>
      <c r="I676" s="319" t="s">
        <v>78</v>
      </c>
      <c r="J676" s="319" t="s">
        <v>424</v>
      </c>
      <c r="K676" s="319" t="s">
        <v>458</v>
      </c>
      <c r="L676" s="319" t="s">
        <v>459</v>
      </c>
      <c r="M676" s="319" t="s">
        <v>595</v>
      </c>
      <c r="N676" s="319" t="s">
        <v>3181</v>
      </c>
      <c r="O676" s="319" t="s">
        <v>2143</v>
      </c>
      <c r="P676" s="319">
        <v>10</v>
      </c>
      <c r="Q676" s="319" t="s">
        <v>429</v>
      </c>
      <c r="R676" s="320">
        <v>10061273</v>
      </c>
      <c r="S676" s="321">
        <v>43529</v>
      </c>
      <c r="T676" s="321">
        <v>43531</v>
      </c>
      <c r="U676" s="321">
        <v>43559</v>
      </c>
      <c r="V676" s="319" t="s">
        <v>425</v>
      </c>
      <c r="W676" s="319" t="s">
        <v>2767</v>
      </c>
      <c r="X676" s="319">
        <v>3</v>
      </c>
      <c r="Y676" s="319" t="s">
        <v>173</v>
      </c>
      <c r="Z676" s="319" t="s">
        <v>173</v>
      </c>
      <c r="AA676" s="319" t="s">
        <v>173</v>
      </c>
      <c r="AB676" s="319">
        <v>3</v>
      </c>
      <c r="AC676" s="319" t="s">
        <v>169</v>
      </c>
      <c r="AD676" s="319" t="s">
        <v>173</v>
      </c>
      <c r="AE676" s="319" t="s">
        <v>173</v>
      </c>
      <c r="AF676" s="319" t="s">
        <v>427</v>
      </c>
      <c r="AG676" s="319" t="s">
        <v>172</v>
      </c>
      <c r="AH676" s="319" t="s">
        <v>190</v>
      </c>
      <c r="AI676" s="319" t="s">
        <v>190</v>
      </c>
      <c r="AJ676" s="319" t="s">
        <v>479</v>
      </c>
      <c r="AK676" s="319" t="s">
        <v>190</v>
      </c>
      <c r="AL676" s="319" t="s">
        <v>479</v>
      </c>
      <c r="AM676" s="319" t="s">
        <v>190</v>
      </c>
      <c r="AN676" s="319" t="s">
        <v>190</v>
      </c>
      <c r="AO676" s="319" t="s">
        <v>479</v>
      </c>
      <c r="AP676" s="319" t="s">
        <v>190</v>
      </c>
      <c r="AQ676" s="319" t="s">
        <v>190</v>
      </c>
      <c r="AR676" s="319" t="s">
        <v>190</v>
      </c>
      <c r="AS676" s="319" t="s">
        <v>190</v>
      </c>
      <c r="AT676" s="319" t="s">
        <v>190</v>
      </c>
      <c r="AU676" s="319" t="s">
        <v>190</v>
      </c>
      <c r="AV676" s="319" t="s">
        <v>190</v>
      </c>
      <c r="AW676" s="319" t="s">
        <v>190</v>
      </c>
      <c r="AX676" s="319" t="s">
        <v>190</v>
      </c>
      <c r="AY676" s="319" t="s">
        <v>190</v>
      </c>
      <c r="AZ676" s="319" t="s">
        <v>190</v>
      </c>
      <c r="BA676" s="319" t="s">
        <v>190</v>
      </c>
      <c r="BB676" s="319" t="s">
        <v>190</v>
      </c>
      <c r="BC676" s="319" t="s">
        <v>190</v>
      </c>
      <c r="BD676" s="319" t="s">
        <v>190</v>
      </c>
      <c r="BE676" s="319" t="s">
        <v>190</v>
      </c>
      <c r="BF676" s="319" t="s">
        <v>428</v>
      </c>
      <c r="BG676" s="319" t="s">
        <v>190</v>
      </c>
      <c r="BH676" s="319" t="s">
        <v>190</v>
      </c>
      <c r="BI676" s="319" t="s">
        <v>190</v>
      </c>
      <c r="BJ676" s="319" t="s">
        <v>190</v>
      </c>
      <c r="BK676" s="319" t="s">
        <v>190</v>
      </c>
      <c r="BL676" s="319" t="s">
        <v>190</v>
      </c>
      <c r="BM676" s="319" t="s">
        <v>190</v>
      </c>
      <c r="BN676" s="319" t="s">
        <v>190</v>
      </c>
      <c r="BO676" s="319" t="s">
        <v>190</v>
      </c>
      <c r="BP676" s="319" t="s">
        <v>190</v>
      </c>
      <c r="BQ676" s="319" t="s">
        <v>190</v>
      </c>
      <c r="BR676" s="319" t="s">
        <v>190</v>
      </c>
      <c r="BS676" s="319" t="s">
        <v>190</v>
      </c>
      <c r="BT676" s="319" t="s">
        <v>190</v>
      </c>
      <c r="BU676" s="319" t="s">
        <v>190</v>
      </c>
      <c r="BV676" s="319" t="s">
        <v>190</v>
      </c>
      <c r="BW676" s="319" t="s">
        <v>190</v>
      </c>
      <c r="BX676" s="319" t="s">
        <v>190</v>
      </c>
      <c r="BY676" s="319" t="s">
        <v>190</v>
      </c>
      <c r="BZ676" s="319" t="s">
        <v>190</v>
      </c>
      <c r="CA676" s="319" t="s">
        <v>190</v>
      </c>
      <c r="CB676" s="319" t="s">
        <v>190</v>
      </c>
      <c r="CC676" s="319" t="s">
        <v>190</v>
      </c>
      <c r="CD676" s="319" t="s">
        <v>190</v>
      </c>
      <c r="CE676" s="319" t="s">
        <v>190</v>
      </c>
      <c r="CF676" s="319" t="s">
        <v>190</v>
      </c>
      <c r="CG676" s="319" t="s">
        <v>190</v>
      </c>
      <c r="CH676" s="319" t="s">
        <v>190</v>
      </c>
      <c r="CI676" s="319" t="s">
        <v>190</v>
      </c>
      <c r="CJ676" s="319" t="s">
        <v>190</v>
      </c>
      <c r="CK676" s="319" t="s">
        <v>190</v>
      </c>
      <c r="CL676" s="319" t="s">
        <v>190</v>
      </c>
      <c r="CM676" s="319" t="s">
        <v>190</v>
      </c>
      <c r="CN676" s="319" t="s">
        <v>428</v>
      </c>
      <c r="CO676" s="319" t="s">
        <v>428</v>
      </c>
      <c r="CP676" s="319" t="s">
        <v>428</v>
      </c>
      <c r="CQ676" s="319" t="s">
        <v>190</v>
      </c>
      <c r="CR676" s="319" t="s">
        <v>190</v>
      </c>
      <c r="CS676" s="319" t="s">
        <v>190</v>
      </c>
      <c r="CT676" s="319" t="s">
        <v>190</v>
      </c>
      <c r="CU676" s="319" t="s">
        <v>190</v>
      </c>
      <c r="CV676" s="319" t="s">
        <v>190</v>
      </c>
      <c r="CW676" s="319" t="s">
        <v>190</v>
      </c>
      <c r="CX676" s="319" t="s">
        <v>191</v>
      </c>
      <c r="CY676" s="319" t="s">
        <v>190</v>
      </c>
      <c r="CZ676" s="319" t="s">
        <v>191</v>
      </c>
      <c r="DA676" s="319" t="s">
        <v>190</v>
      </c>
      <c r="DB676" s="319" t="s">
        <v>190</v>
      </c>
      <c r="DC676" s="319" t="s">
        <v>190</v>
      </c>
      <c r="DD676" s="319" t="s">
        <v>190</v>
      </c>
      <c r="DE676" s="319" t="s">
        <v>190</v>
      </c>
      <c r="DF676" s="319" t="s">
        <v>190</v>
      </c>
      <c r="DG676" s="319" t="s">
        <v>191</v>
      </c>
      <c r="DH676" s="319" t="s">
        <v>190</v>
      </c>
      <c r="DI676" s="319" t="s">
        <v>190</v>
      </c>
      <c r="DJ676" s="319" t="s">
        <v>191</v>
      </c>
      <c r="DK676" s="319" t="s">
        <v>190</v>
      </c>
      <c r="DL676" s="319" t="s">
        <v>190</v>
      </c>
      <c r="DM676" s="319" t="s">
        <v>190</v>
      </c>
      <c r="DN676" s="319" t="s">
        <v>428</v>
      </c>
      <c r="DO676" s="319" t="s">
        <v>190</v>
      </c>
      <c r="DP676" s="319" t="s">
        <v>190</v>
      </c>
      <c r="DQ676" s="319" t="s">
        <v>190</v>
      </c>
      <c r="DR676" s="319" t="s">
        <v>190</v>
      </c>
      <c r="DS676" s="319" t="s">
        <v>190</v>
      </c>
      <c r="DT676" s="319" t="s">
        <v>190</v>
      </c>
      <c r="DU676" s="319" t="s">
        <v>190</v>
      </c>
      <c r="DV676" s="319" t="s">
        <v>173</v>
      </c>
      <c r="DW676" s="319" t="s">
        <v>190</v>
      </c>
      <c r="DX676" s="319" t="s">
        <v>190</v>
      </c>
      <c r="DY676" s="319" t="s">
        <v>190</v>
      </c>
      <c r="DZ676" s="319" t="s">
        <v>190</v>
      </c>
      <c r="EA676" s="319" t="s">
        <v>190</v>
      </c>
      <c r="EB676" s="319" t="s">
        <v>190</v>
      </c>
      <c r="EC676" s="319" t="s">
        <v>428</v>
      </c>
      <c r="ED676" s="319" t="s">
        <v>428</v>
      </c>
      <c r="EE676" s="319" t="s">
        <v>190</v>
      </c>
      <c r="EF676" s="319" t="s">
        <v>190</v>
      </c>
      <c r="EG676" s="319" t="s">
        <v>190</v>
      </c>
      <c r="EH676" s="319" t="s">
        <v>190</v>
      </c>
      <c r="EI676" s="319" t="s">
        <v>190</v>
      </c>
      <c r="EJ676" s="319" t="s">
        <v>190</v>
      </c>
      <c r="EK676" s="319" t="s">
        <v>190</v>
      </c>
      <c r="EL676" s="319" t="s">
        <v>190</v>
      </c>
      <c r="EM676" s="319" t="s">
        <v>190</v>
      </c>
      <c r="EN676" s="319" t="s">
        <v>190</v>
      </c>
      <c r="EO676" s="319" t="s">
        <v>190</v>
      </c>
      <c r="EP676" s="319" t="s">
        <v>190</v>
      </c>
      <c r="EQ676" s="319" t="s">
        <v>191</v>
      </c>
      <c r="ER676" s="319" t="s">
        <v>190</v>
      </c>
      <c r="ES676" s="319" t="s">
        <v>190</v>
      </c>
      <c r="ET676" s="319" t="s">
        <v>190</v>
      </c>
      <c r="EU676" s="319" t="s">
        <v>190</v>
      </c>
      <c r="EV676" s="319" t="s">
        <v>190</v>
      </c>
      <c r="EW676" s="319" t="s">
        <v>190</v>
      </c>
      <c r="EX676" s="319" t="s">
        <v>191</v>
      </c>
      <c r="EY676" s="319" t="s">
        <v>190</v>
      </c>
      <c r="EZ676" s="319" t="s">
        <v>190</v>
      </c>
      <c r="FA676" s="319" t="s">
        <v>190</v>
      </c>
      <c r="FB676" s="319" t="s">
        <v>190</v>
      </c>
      <c r="FC676" s="319" t="s">
        <v>190</v>
      </c>
      <c r="FD676" s="319" t="s">
        <v>190</v>
      </c>
      <c r="FE676" s="319" t="s">
        <v>190</v>
      </c>
      <c r="FF676" s="319" t="s">
        <v>190</v>
      </c>
      <c r="FG676" s="319" t="s">
        <v>190</v>
      </c>
      <c r="FH676" s="319" t="s">
        <v>190</v>
      </c>
      <c r="FI676" s="319" t="s">
        <v>190</v>
      </c>
      <c r="FJ676" s="319" t="s">
        <v>190</v>
      </c>
      <c r="FK676" s="319" t="s">
        <v>190</v>
      </c>
      <c r="FL676" s="319" t="s">
        <v>190</v>
      </c>
      <c r="FM676" s="319" t="s">
        <v>190</v>
      </c>
      <c r="FN676" s="319" t="s">
        <v>190</v>
      </c>
      <c r="FO676" s="319" t="s">
        <v>191</v>
      </c>
      <c r="FP676" s="319" t="s">
        <v>191</v>
      </c>
      <c r="FQ676" s="319" t="s">
        <v>191</v>
      </c>
      <c r="FR676" s="319" t="s">
        <v>191</v>
      </c>
      <c r="FS676" s="319" t="s">
        <v>428</v>
      </c>
      <c r="FT676" s="319" t="s">
        <v>191</v>
      </c>
      <c r="FU676" s="319" t="s">
        <v>190</v>
      </c>
      <c r="FV676" s="319" t="s">
        <v>190</v>
      </c>
      <c r="FW676" s="319" t="s">
        <v>190</v>
      </c>
      <c r="FX676" s="319" t="s">
        <v>190</v>
      </c>
      <c r="FY676" s="319" t="s">
        <v>191</v>
      </c>
      <c r="FZ676" s="319" t="s">
        <v>190</v>
      </c>
      <c r="GA676" s="319" t="s">
        <v>190</v>
      </c>
      <c r="GB676" s="319" t="s">
        <v>190</v>
      </c>
      <c r="GC676" s="319" t="s">
        <v>190</v>
      </c>
      <c r="GD676" s="319" t="s">
        <v>190</v>
      </c>
      <c r="GE676" s="319" t="s">
        <v>190</v>
      </c>
      <c r="GF676" s="319" t="s">
        <v>190</v>
      </c>
      <c r="GG676" s="319" t="s">
        <v>190</v>
      </c>
      <c r="GH676" s="319" t="s">
        <v>190</v>
      </c>
      <c r="GI676" s="319" t="s">
        <v>190</v>
      </c>
      <c r="GJ676" s="319" t="s">
        <v>190</v>
      </c>
      <c r="GK676" s="319" t="s">
        <v>428</v>
      </c>
      <c r="GL676" s="319" t="s">
        <v>190</v>
      </c>
      <c r="GM676" s="319" t="s">
        <v>190</v>
      </c>
      <c r="GN676" s="319" t="s">
        <v>190</v>
      </c>
      <c r="GO676" s="319" t="s">
        <v>190</v>
      </c>
      <c r="GP676" s="319" t="s">
        <v>190</v>
      </c>
      <c r="GQ676" s="319" t="s">
        <v>190</v>
      </c>
      <c r="GR676" s="319" t="s">
        <v>190</v>
      </c>
      <c r="GS676" s="319" t="s">
        <v>190</v>
      </c>
      <c r="GT676" s="319" t="s">
        <v>190</v>
      </c>
      <c r="GU676" s="319" t="s">
        <v>190</v>
      </c>
      <c r="GV676" s="319" t="s">
        <v>190</v>
      </c>
      <c r="GW676" s="319" t="s">
        <v>190</v>
      </c>
      <c r="GX676" s="319" t="s">
        <v>190</v>
      </c>
      <c r="GY676" s="319" t="s">
        <v>190</v>
      </c>
      <c r="GZ676" s="319" t="s">
        <v>190</v>
      </c>
      <c r="HA676" s="319" t="s">
        <v>190</v>
      </c>
      <c r="HB676" s="319" t="s">
        <v>190</v>
      </c>
      <c r="HC676" s="319" t="s">
        <v>190</v>
      </c>
      <c r="HD676" s="319" t="s">
        <v>190</v>
      </c>
      <c r="HE676" s="319" t="s">
        <v>190</v>
      </c>
      <c r="HF676" s="319" t="s">
        <v>190</v>
      </c>
      <c r="HG676" s="319" t="s">
        <v>190</v>
      </c>
      <c r="HH676" s="319" t="s">
        <v>190</v>
      </c>
      <c r="HI676" s="319" t="s">
        <v>190</v>
      </c>
      <c r="HJ676" s="319" t="s">
        <v>190</v>
      </c>
      <c r="HK676" s="319" t="s">
        <v>190</v>
      </c>
      <c r="HL676" s="319" t="s">
        <v>190</v>
      </c>
      <c r="HM676" s="319" t="s">
        <v>428</v>
      </c>
      <c r="HN676" s="319" t="s">
        <v>428</v>
      </c>
      <c r="HO676" s="319" t="s">
        <v>428</v>
      </c>
      <c r="HP676" s="319" t="s">
        <v>190</v>
      </c>
      <c r="HQ676" s="319" t="s">
        <v>190</v>
      </c>
      <c r="HR676" s="319" t="s">
        <v>190</v>
      </c>
      <c r="HS676" s="319" t="s">
        <v>190</v>
      </c>
      <c r="HT676" s="319" t="s">
        <v>190</v>
      </c>
      <c r="HU676" s="319" t="s">
        <v>190</v>
      </c>
      <c r="HV676" s="319" t="s">
        <v>190</v>
      </c>
      <c r="HW676" s="319" t="s">
        <v>190</v>
      </c>
      <c r="HX676" s="319" t="s">
        <v>190</v>
      </c>
      <c r="HY676" s="319" t="s">
        <v>190</v>
      </c>
      <c r="HZ676" s="319" t="s">
        <v>190</v>
      </c>
      <c r="IA676" s="319" t="s">
        <v>190</v>
      </c>
      <c r="IB676" s="319" t="s">
        <v>190</v>
      </c>
      <c r="IC676" s="319" t="s">
        <v>190</v>
      </c>
      <c r="ID676" s="319" t="s">
        <v>190</v>
      </c>
      <c r="IE676" s="319" t="s">
        <v>190</v>
      </c>
      <c r="IF676" s="319" t="s">
        <v>191</v>
      </c>
      <c r="IG676" s="319" t="s">
        <v>191</v>
      </c>
      <c r="IH676" s="319" t="s">
        <v>191</v>
      </c>
      <c r="II676" s="319" t="s">
        <v>191</v>
      </c>
      <c r="IJ676" s="319">
        <v>10006098</v>
      </c>
      <c r="IK676" s="321">
        <v>42444</v>
      </c>
      <c r="IL676" s="321">
        <v>42446</v>
      </c>
      <c r="IM676" s="321">
        <v>42473</v>
      </c>
      <c r="IN676" s="319">
        <v>2</v>
      </c>
      <c r="IO676" s="319" t="s">
        <v>173</v>
      </c>
      <c r="IP676" s="319" t="s">
        <v>173</v>
      </c>
      <c r="IQ676" s="321" t="s">
        <v>173</v>
      </c>
      <c r="IR676" s="320" t="s">
        <v>173</v>
      </c>
      <c r="IS676" s="322" t="s">
        <v>173</v>
      </c>
      <c r="IT676" s="319" t="s">
        <v>173</v>
      </c>
    </row>
    <row r="677" spans="1:254" s="271" customFormat="1" x14ac:dyDescent="0.25">
      <c r="A677" s="318" t="str">
        <f>HYPERLINK("http://www.ofsted.gov.uk/inspection-reports/find-inspection-report/provider/ELS/137795 ","Ofsted School Webpage")</f>
        <v>Ofsted School Webpage</v>
      </c>
      <c r="B677" s="319">
        <v>137795</v>
      </c>
      <c r="C677" s="319">
        <v>8866137</v>
      </c>
      <c r="D677" s="319" t="s">
        <v>2144</v>
      </c>
      <c r="E677" s="319" t="s">
        <v>168</v>
      </c>
      <c r="F677" s="319" t="s">
        <v>81</v>
      </c>
      <c r="G677" s="319" t="s">
        <v>81</v>
      </c>
      <c r="H677" s="319" t="s">
        <v>81</v>
      </c>
      <c r="I677" s="319" t="s">
        <v>78</v>
      </c>
      <c r="J677" s="319" t="s">
        <v>424</v>
      </c>
      <c r="K677" s="319" t="s">
        <v>514</v>
      </c>
      <c r="L677" s="319" t="s">
        <v>514</v>
      </c>
      <c r="M677" s="319" t="s">
        <v>614</v>
      </c>
      <c r="N677" s="319" t="s">
        <v>2982</v>
      </c>
      <c r="O677" s="319" t="s">
        <v>2145</v>
      </c>
      <c r="P677" s="319">
        <v>17</v>
      </c>
      <c r="Q677" s="319" t="s">
        <v>429</v>
      </c>
      <c r="R677" s="320">
        <v>10008591</v>
      </c>
      <c r="S677" s="321">
        <v>43074</v>
      </c>
      <c r="T677" s="321">
        <v>43076</v>
      </c>
      <c r="U677" s="321">
        <v>43111</v>
      </c>
      <c r="V677" s="319" t="s">
        <v>425</v>
      </c>
      <c r="W677" s="319" t="s">
        <v>2767</v>
      </c>
      <c r="X677" s="319">
        <v>2</v>
      </c>
      <c r="Y677" s="319" t="s">
        <v>173</v>
      </c>
      <c r="Z677" s="319" t="s">
        <v>173</v>
      </c>
      <c r="AA677" s="319" t="s">
        <v>173</v>
      </c>
      <c r="AB677" s="319">
        <v>2</v>
      </c>
      <c r="AC677" s="319" t="s">
        <v>169</v>
      </c>
      <c r="AD677" s="319" t="s">
        <v>173</v>
      </c>
      <c r="AE677" s="319" t="s">
        <v>173</v>
      </c>
      <c r="AF677" s="319" t="s">
        <v>173</v>
      </c>
      <c r="AG677" s="319" t="s">
        <v>171</v>
      </c>
      <c r="AH677" s="319" t="s">
        <v>190</v>
      </c>
      <c r="AI677" s="319" t="s">
        <v>190</v>
      </c>
      <c r="AJ677" s="319" t="s">
        <v>190</v>
      </c>
      <c r="AK677" s="319" t="s">
        <v>190</v>
      </c>
      <c r="AL677" s="319" t="s">
        <v>190</v>
      </c>
      <c r="AM677" s="319" t="s">
        <v>190</v>
      </c>
      <c r="AN677" s="319" t="s">
        <v>190</v>
      </c>
      <c r="AO677" s="319" t="s">
        <v>190</v>
      </c>
      <c r="AP677" s="319" t="s">
        <v>190</v>
      </c>
      <c r="AQ677" s="319" t="s">
        <v>190</v>
      </c>
      <c r="AR677" s="319" t="s">
        <v>190</v>
      </c>
      <c r="AS677" s="319" t="s">
        <v>190</v>
      </c>
      <c r="AT677" s="319" t="s">
        <v>190</v>
      </c>
      <c r="AU677" s="319" t="s">
        <v>190</v>
      </c>
      <c r="AV677" s="319" t="s">
        <v>190</v>
      </c>
      <c r="AW677" s="319" t="s">
        <v>190</v>
      </c>
      <c r="AX677" s="319" t="s">
        <v>429</v>
      </c>
      <c r="AY677" s="319" t="s">
        <v>190</v>
      </c>
      <c r="AZ677" s="319" t="s">
        <v>190</v>
      </c>
      <c r="BA677" s="319" t="s">
        <v>190</v>
      </c>
      <c r="BB677" s="319" t="s">
        <v>190</v>
      </c>
      <c r="BC677" s="319" t="s">
        <v>190</v>
      </c>
      <c r="BD677" s="319" t="s">
        <v>190</v>
      </c>
      <c r="BE677" s="319" t="s">
        <v>190</v>
      </c>
      <c r="BF677" s="319" t="s">
        <v>429</v>
      </c>
      <c r="BG677" s="319" t="s">
        <v>429</v>
      </c>
      <c r="BH677" s="319" t="s">
        <v>190</v>
      </c>
      <c r="BI677" s="319" t="s">
        <v>190</v>
      </c>
      <c r="BJ677" s="319" t="s">
        <v>190</v>
      </c>
      <c r="BK677" s="319" t="s">
        <v>190</v>
      </c>
      <c r="BL677" s="319" t="s">
        <v>190</v>
      </c>
      <c r="BM677" s="319" t="s">
        <v>190</v>
      </c>
      <c r="BN677" s="319" t="s">
        <v>190</v>
      </c>
      <c r="BO677" s="319" t="s">
        <v>190</v>
      </c>
      <c r="BP677" s="319" t="s">
        <v>190</v>
      </c>
      <c r="BQ677" s="319" t="s">
        <v>190</v>
      </c>
      <c r="BR677" s="319" t="s">
        <v>190</v>
      </c>
      <c r="BS677" s="319" t="s">
        <v>190</v>
      </c>
      <c r="BT677" s="319" t="s">
        <v>190</v>
      </c>
      <c r="BU677" s="319" t="s">
        <v>190</v>
      </c>
      <c r="BV677" s="319" t="s">
        <v>190</v>
      </c>
      <c r="BW677" s="319" t="s">
        <v>190</v>
      </c>
      <c r="BX677" s="319" t="s">
        <v>190</v>
      </c>
      <c r="BY677" s="319" t="s">
        <v>190</v>
      </c>
      <c r="BZ677" s="319" t="s">
        <v>190</v>
      </c>
      <c r="CA677" s="319" t="s">
        <v>190</v>
      </c>
      <c r="CB677" s="319" t="s">
        <v>190</v>
      </c>
      <c r="CC677" s="319" t="s">
        <v>190</v>
      </c>
      <c r="CD677" s="319" t="s">
        <v>190</v>
      </c>
      <c r="CE677" s="319" t="s">
        <v>190</v>
      </c>
      <c r="CF677" s="319" t="s">
        <v>190</v>
      </c>
      <c r="CG677" s="319" t="s">
        <v>190</v>
      </c>
      <c r="CH677" s="319" t="s">
        <v>190</v>
      </c>
      <c r="CI677" s="319" t="s">
        <v>190</v>
      </c>
      <c r="CJ677" s="319" t="s">
        <v>190</v>
      </c>
      <c r="CK677" s="319" t="s">
        <v>190</v>
      </c>
      <c r="CL677" s="319" t="s">
        <v>190</v>
      </c>
      <c r="CM677" s="319" t="s">
        <v>190</v>
      </c>
      <c r="CN677" s="319" t="s">
        <v>429</v>
      </c>
      <c r="CO677" s="319" t="s">
        <v>429</v>
      </c>
      <c r="CP677" s="319" t="s">
        <v>429</v>
      </c>
      <c r="CQ677" s="319" t="s">
        <v>190</v>
      </c>
      <c r="CR677" s="319" t="s">
        <v>190</v>
      </c>
      <c r="CS677" s="319" t="s">
        <v>190</v>
      </c>
      <c r="CT677" s="319" t="s">
        <v>190</v>
      </c>
      <c r="CU677" s="319" t="s">
        <v>190</v>
      </c>
      <c r="CV677" s="319" t="s">
        <v>190</v>
      </c>
      <c r="CW677" s="319" t="s">
        <v>190</v>
      </c>
      <c r="CX677" s="319" t="s">
        <v>190</v>
      </c>
      <c r="CY677" s="319" t="s">
        <v>190</v>
      </c>
      <c r="CZ677" s="319" t="s">
        <v>190</v>
      </c>
      <c r="DA677" s="319" t="s">
        <v>190</v>
      </c>
      <c r="DB677" s="319" t="s">
        <v>190</v>
      </c>
      <c r="DC677" s="319" t="s">
        <v>190</v>
      </c>
      <c r="DD677" s="319" t="s">
        <v>190</v>
      </c>
      <c r="DE677" s="319" t="s">
        <v>190</v>
      </c>
      <c r="DF677" s="319" t="s">
        <v>190</v>
      </c>
      <c r="DG677" s="319" t="s">
        <v>190</v>
      </c>
      <c r="DH677" s="319" t="s">
        <v>190</v>
      </c>
      <c r="DI677" s="319" t="s">
        <v>190</v>
      </c>
      <c r="DJ677" s="319" t="s">
        <v>190</v>
      </c>
      <c r="DK677" s="319" t="s">
        <v>190</v>
      </c>
      <c r="DL677" s="319" t="s">
        <v>190</v>
      </c>
      <c r="DM677" s="319" t="s">
        <v>190</v>
      </c>
      <c r="DN677" s="319" t="s">
        <v>190</v>
      </c>
      <c r="DO677" s="319" t="s">
        <v>190</v>
      </c>
      <c r="DP677" s="319" t="s">
        <v>190</v>
      </c>
      <c r="DQ677" s="319" t="s">
        <v>190</v>
      </c>
      <c r="DR677" s="319" t="s">
        <v>190</v>
      </c>
      <c r="DS677" s="319" t="s">
        <v>190</v>
      </c>
      <c r="DT677" s="319" t="s">
        <v>190</v>
      </c>
      <c r="DU677" s="319" t="s">
        <v>190</v>
      </c>
      <c r="DV677" s="319" t="s">
        <v>173</v>
      </c>
      <c r="DW677" s="319" t="s">
        <v>190</v>
      </c>
      <c r="DX677" s="319" t="s">
        <v>190</v>
      </c>
      <c r="DY677" s="319" t="s">
        <v>190</v>
      </c>
      <c r="DZ677" s="319" t="s">
        <v>190</v>
      </c>
      <c r="EA677" s="319" t="s">
        <v>190</v>
      </c>
      <c r="EB677" s="319" t="s">
        <v>190</v>
      </c>
      <c r="EC677" s="319" t="s">
        <v>190</v>
      </c>
      <c r="ED677" s="319" t="s">
        <v>190</v>
      </c>
      <c r="EE677" s="319" t="s">
        <v>190</v>
      </c>
      <c r="EF677" s="319" t="s">
        <v>190</v>
      </c>
      <c r="EG677" s="319" t="s">
        <v>190</v>
      </c>
      <c r="EH677" s="319" t="s">
        <v>190</v>
      </c>
      <c r="EI677" s="319" t="s">
        <v>190</v>
      </c>
      <c r="EJ677" s="319" t="s">
        <v>190</v>
      </c>
      <c r="EK677" s="319" t="s">
        <v>190</v>
      </c>
      <c r="EL677" s="319" t="s">
        <v>190</v>
      </c>
      <c r="EM677" s="319" t="s">
        <v>190</v>
      </c>
      <c r="EN677" s="319" t="s">
        <v>190</v>
      </c>
      <c r="EO677" s="319" t="s">
        <v>190</v>
      </c>
      <c r="EP677" s="319" t="s">
        <v>190</v>
      </c>
      <c r="EQ677" s="319" t="s">
        <v>190</v>
      </c>
      <c r="ER677" s="319" t="s">
        <v>190</v>
      </c>
      <c r="ES677" s="319" t="s">
        <v>190</v>
      </c>
      <c r="ET677" s="319" t="s">
        <v>190</v>
      </c>
      <c r="EU677" s="319" t="s">
        <v>190</v>
      </c>
      <c r="EV677" s="319" t="s">
        <v>190</v>
      </c>
      <c r="EW677" s="319" t="s">
        <v>190</v>
      </c>
      <c r="EX677" s="319" t="s">
        <v>190</v>
      </c>
      <c r="EY677" s="319" t="s">
        <v>190</v>
      </c>
      <c r="EZ677" s="319" t="s">
        <v>190</v>
      </c>
      <c r="FA677" s="319" t="s">
        <v>190</v>
      </c>
      <c r="FB677" s="319" t="s">
        <v>190</v>
      </c>
      <c r="FC677" s="319" t="s">
        <v>190</v>
      </c>
      <c r="FD677" s="319" t="s">
        <v>190</v>
      </c>
      <c r="FE677" s="319" t="s">
        <v>190</v>
      </c>
      <c r="FF677" s="319" t="s">
        <v>190</v>
      </c>
      <c r="FG677" s="319" t="s">
        <v>190</v>
      </c>
      <c r="FH677" s="319" t="s">
        <v>190</v>
      </c>
      <c r="FI677" s="319" t="s">
        <v>190</v>
      </c>
      <c r="FJ677" s="319" t="s">
        <v>190</v>
      </c>
      <c r="FK677" s="319" t="s">
        <v>190</v>
      </c>
      <c r="FL677" s="319" t="s">
        <v>190</v>
      </c>
      <c r="FM677" s="319" t="s">
        <v>190</v>
      </c>
      <c r="FN677" s="319" t="s">
        <v>190</v>
      </c>
      <c r="FO677" s="319" t="s">
        <v>190</v>
      </c>
      <c r="FP677" s="319" t="s">
        <v>190</v>
      </c>
      <c r="FQ677" s="319" t="s">
        <v>190</v>
      </c>
      <c r="FR677" s="319" t="s">
        <v>190</v>
      </c>
      <c r="FS677" s="319" t="s">
        <v>429</v>
      </c>
      <c r="FT677" s="319" t="s">
        <v>190</v>
      </c>
      <c r="FU677" s="319" t="s">
        <v>190</v>
      </c>
      <c r="FV677" s="319" t="s">
        <v>190</v>
      </c>
      <c r="FW677" s="319" t="s">
        <v>190</v>
      </c>
      <c r="FX677" s="319" t="s">
        <v>190</v>
      </c>
      <c r="FY677" s="319" t="s">
        <v>190</v>
      </c>
      <c r="FZ677" s="319" t="s">
        <v>190</v>
      </c>
      <c r="GA677" s="319" t="s">
        <v>190</v>
      </c>
      <c r="GB677" s="319" t="s">
        <v>190</v>
      </c>
      <c r="GC677" s="319" t="s">
        <v>190</v>
      </c>
      <c r="GD677" s="319" t="s">
        <v>190</v>
      </c>
      <c r="GE677" s="319" t="s">
        <v>190</v>
      </c>
      <c r="GF677" s="319" t="s">
        <v>190</v>
      </c>
      <c r="GG677" s="319" t="s">
        <v>190</v>
      </c>
      <c r="GH677" s="319" t="s">
        <v>190</v>
      </c>
      <c r="GI677" s="319" t="s">
        <v>190</v>
      </c>
      <c r="GJ677" s="319" t="s">
        <v>190</v>
      </c>
      <c r="GK677" s="319" t="s">
        <v>429</v>
      </c>
      <c r="GL677" s="319" t="s">
        <v>190</v>
      </c>
      <c r="GM677" s="319" t="s">
        <v>190</v>
      </c>
      <c r="GN677" s="319" t="s">
        <v>190</v>
      </c>
      <c r="GO677" s="319" t="s">
        <v>190</v>
      </c>
      <c r="GP677" s="319" t="s">
        <v>190</v>
      </c>
      <c r="GQ677" s="319" t="s">
        <v>190</v>
      </c>
      <c r="GR677" s="319" t="s">
        <v>190</v>
      </c>
      <c r="GS677" s="319" t="s">
        <v>190</v>
      </c>
      <c r="GT677" s="319" t="s">
        <v>190</v>
      </c>
      <c r="GU677" s="319" t="s">
        <v>190</v>
      </c>
      <c r="GV677" s="319" t="s">
        <v>190</v>
      </c>
      <c r="GW677" s="319" t="s">
        <v>190</v>
      </c>
      <c r="GX677" s="319" t="s">
        <v>190</v>
      </c>
      <c r="GY677" s="319" t="s">
        <v>190</v>
      </c>
      <c r="GZ677" s="319" t="s">
        <v>429</v>
      </c>
      <c r="HA677" s="319" t="s">
        <v>190</v>
      </c>
      <c r="HB677" s="319" t="s">
        <v>429</v>
      </c>
      <c r="HC677" s="319" t="s">
        <v>190</v>
      </c>
      <c r="HD677" s="319" t="s">
        <v>190</v>
      </c>
      <c r="HE677" s="319" t="s">
        <v>190</v>
      </c>
      <c r="HF677" s="319" t="s">
        <v>190</v>
      </c>
      <c r="HG677" s="319" t="s">
        <v>190</v>
      </c>
      <c r="HH677" s="319" t="s">
        <v>190</v>
      </c>
      <c r="HI677" s="319" t="s">
        <v>190</v>
      </c>
      <c r="HJ677" s="319" t="s">
        <v>190</v>
      </c>
      <c r="HK677" s="319" t="s">
        <v>190</v>
      </c>
      <c r="HL677" s="319" t="s">
        <v>190</v>
      </c>
      <c r="HM677" s="319" t="s">
        <v>190</v>
      </c>
      <c r="HN677" s="319" t="s">
        <v>190</v>
      </c>
      <c r="HO677" s="319" t="s">
        <v>190</v>
      </c>
      <c r="HP677" s="319" t="s">
        <v>190</v>
      </c>
      <c r="HQ677" s="319" t="s">
        <v>190</v>
      </c>
      <c r="HR677" s="319" t="s">
        <v>190</v>
      </c>
      <c r="HS677" s="319" t="s">
        <v>190</v>
      </c>
      <c r="HT677" s="319" t="s">
        <v>190</v>
      </c>
      <c r="HU677" s="319" t="s">
        <v>190</v>
      </c>
      <c r="HV677" s="319" t="s">
        <v>190</v>
      </c>
      <c r="HW677" s="319" t="s">
        <v>190</v>
      </c>
      <c r="HX677" s="319" t="s">
        <v>190</v>
      </c>
      <c r="HY677" s="319" t="s">
        <v>190</v>
      </c>
      <c r="HZ677" s="319" t="s">
        <v>190</v>
      </c>
      <c r="IA677" s="319" t="s">
        <v>190</v>
      </c>
      <c r="IB677" s="319" t="s">
        <v>190</v>
      </c>
      <c r="IC677" s="319" t="s">
        <v>190</v>
      </c>
      <c r="ID677" s="319" t="s">
        <v>190</v>
      </c>
      <c r="IE677" s="319" t="s">
        <v>190</v>
      </c>
      <c r="IF677" s="319" t="s">
        <v>190</v>
      </c>
      <c r="IG677" s="319" t="s">
        <v>190</v>
      </c>
      <c r="IH677" s="319" t="s">
        <v>190</v>
      </c>
      <c r="II677" s="319" t="s">
        <v>190</v>
      </c>
      <c r="IJ677" s="319" t="s">
        <v>3422</v>
      </c>
      <c r="IK677" s="321">
        <v>41317</v>
      </c>
      <c r="IL677" s="321">
        <v>41318</v>
      </c>
      <c r="IM677" s="321">
        <v>41338</v>
      </c>
      <c r="IN677" s="319">
        <v>3</v>
      </c>
      <c r="IO677" s="319" t="s">
        <v>173</v>
      </c>
      <c r="IP677" s="319" t="s">
        <v>173</v>
      </c>
      <c r="IQ677" s="321" t="s">
        <v>173</v>
      </c>
      <c r="IR677" s="320" t="s">
        <v>173</v>
      </c>
      <c r="IS677" s="322" t="s">
        <v>173</v>
      </c>
      <c r="IT677" s="319" t="s">
        <v>173</v>
      </c>
    </row>
    <row r="678" spans="1:254" s="271" customFormat="1" x14ac:dyDescent="0.25">
      <c r="A678" s="318" t="str">
        <f>HYPERLINK("http://www.ofsted.gov.uk/inspection-reports/find-inspection-report/provider/ELS/137802 ","Ofsted School Webpage")</f>
        <v>Ofsted School Webpage</v>
      </c>
      <c r="B678" s="319">
        <v>137802</v>
      </c>
      <c r="C678" s="319">
        <v>3076004</v>
      </c>
      <c r="D678" s="319" t="s">
        <v>2146</v>
      </c>
      <c r="E678" s="319" t="s">
        <v>167</v>
      </c>
      <c r="F678" s="319" t="s">
        <v>81</v>
      </c>
      <c r="G678" s="319" t="s">
        <v>81</v>
      </c>
      <c r="H678" s="319" t="s">
        <v>81</v>
      </c>
      <c r="I678" s="319" t="s">
        <v>78</v>
      </c>
      <c r="J678" s="319" t="s">
        <v>424</v>
      </c>
      <c r="K678" s="319" t="s">
        <v>441</v>
      </c>
      <c r="L678" s="319" t="s">
        <v>441</v>
      </c>
      <c r="M678" s="319" t="s">
        <v>442</v>
      </c>
      <c r="N678" s="319" t="s">
        <v>2833</v>
      </c>
      <c r="O678" s="319" t="s">
        <v>2147</v>
      </c>
      <c r="P678" s="319">
        <v>34</v>
      </c>
      <c r="Q678" s="319" t="s">
        <v>2766</v>
      </c>
      <c r="R678" s="320">
        <v>10020773</v>
      </c>
      <c r="S678" s="321">
        <v>43242</v>
      </c>
      <c r="T678" s="321">
        <v>43244</v>
      </c>
      <c r="U678" s="321">
        <v>43270</v>
      </c>
      <c r="V678" s="319" t="s">
        <v>425</v>
      </c>
      <c r="W678" s="319" t="s">
        <v>2767</v>
      </c>
      <c r="X678" s="319">
        <v>2</v>
      </c>
      <c r="Y678" s="319" t="s">
        <v>173</v>
      </c>
      <c r="Z678" s="319" t="s">
        <v>173</v>
      </c>
      <c r="AA678" s="319" t="s">
        <v>173</v>
      </c>
      <c r="AB678" s="319">
        <v>2</v>
      </c>
      <c r="AC678" s="319" t="s">
        <v>169</v>
      </c>
      <c r="AD678" s="319">
        <v>2</v>
      </c>
      <c r="AE678" s="319" t="s">
        <v>173</v>
      </c>
      <c r="AF678" s="319" t="s">
        <v>427</v>
      </c>
      <c r="AG678" s="319" t="s">
        <v>171</v>
      </c>
      <c r="AH678" s="319" t="s">
        <v>190</v>
      </c>
      <c r="AI678" s="319" t="s">
        <v>190</v>
      </c>
      <c r="AJ678" s="319" t="s">
        <v>190</v>
      </c>
      <c r="AK678" s="319" t="s">
        <v>190</v>
      </c>
      <c r="AL678" s="319" t="s">
        <v>190</v>
      </c>
      <c r="AM678" s="319" t="s">
        <v>190</v>
      </c>
      <c r="AN678" s="319" t="s">
        <v>190</v>
      </c>
      <c r="AO678" s="319" t="s">
        <v>190</v>
      </c>
      <c r="AP678" s="319" t="s">
        <v>190</v>
      </c>
      <c r="AQ678" s="319" t="s">
        <v>190</v>
      </c>
      <c r="AR678" s="319" t="s">
        <v>190</v>
      </c>
      <c r="AS678" s="319" t="s">
        <v>190</v>
      </c>
      <c r="AT678" s="319" t="s">
        <v>190</v>
      </c>
      <c r="AU678" s="319" t="s">
        <v>190</v>
      </c>
      <c r="AV678" s="319" t="s">
        <v>190</v>
      </c>
      <c r="AW678" s="319" t="s">
        <v>190</v>
      </c>
      <c r="AX678" s="319" t="s">
        <v>190</v>
      </c>
      <c r="AY678" s="319" t="s">
        <v>190</v>
      </c>
      <c r="AZ678" s="319" t="s">
        <v>190</v>
      </c>
      <c r="BA678" s="319" t="s">
        <v>190</v>
      </c>
      <c r="BB678" s="319" t="s">
        <v>428</v>
      </c>
      <c r="BC678" s="319" t="s">
        <v>428</v>
      </c>
      <c r="BD678" s="319" t="s">
        <v>428</v>
      </c>
      <c r="BE678" s="319" t="s">
        <v>428</v>
      </c>
      <c r="BF678" s="319" t="s">
        <v>190</v>
      </c>
      <c r="BG678" s="319" t="s">
        <v>428</v>
      </c>
      <c r="BH678" s="319" t="s">
        <v>190</v>
      </c>
      <c r="BI678" s="319" t="s">
        <v>190</v>
      </c>
      <c r="BJ678" s="319" t="s">
        <v>190</v>
      </c>
      <c r="BK678" s="319" t="s">
        <v>190</v>
      </c>
      <c r="BL678" s="319" t="s">
        <v>190</v>
      </c>
      <c r="BM678" s="319" t="s">
        <v>190</v>
      </c>
      <c r="BN678" s="319" t="s">
        <v>190</v>
      </c>
      <c r="BO678" s="319" t="s">
        <v>190</v>
      </c>
      <c r="BP678" s="319" t="s">
        <v>190</v>
      </c>
      <c r="BQ678" s="319" t="s">
        <v>190</v>
      </c>
      <c r="BR678" s="319" t="s">
        <v>190</v>
      </c>
      <c r="BS678" s="319" t="s">
        <v>190</v>
      </c>
      <c r="BT678" s="319" t="s">
        <v>190</v>
      </c>
      <c r="BU678" s="319" t="s">
        <v>190</v>
      </c>
      <c r="BV678" s="319" t="s">
        <v>190</v>
      </c>
      <c r="BW678" s="319" t="s">
        <v>190</v>
      </c>
      <c r="BX678" s="319" t="s">
        <v>190</v>
      </c>
      <c r="BY678" s="319" t="s">
        <v>190</v>
      </c>
      <c r="BZ678" s="319" t="s">
        <v>190</v>
      </c>
      <c r="CA678" s="319" t="s">
        <v>190</v>
      </c>
      <c r="CB678" s="319" t="s">
        <v>190</v>
      </c>
      <c r="CC678" s="319" t="s">
        <v>190</v>
      </c>
      <c r="CD678" s="319" t="s">
        <v>190</v>
      </c>
      <c r="CE678" s="319" t="s">
        <v>190</v>
      </c>
      <c r="CF678" s="319" t="s">
        <v>190</v>
      </c>
      <c r="CG678" s="319" t="s">
        <v>190</v>
      </c>
      <c r="CH678" s="319" t="s">
        <v>190</v>
      </c>
      <c r="CI678" s="319" t="s">
        <v>190</v>
      </c>
      <c r="CJ678" s="319" t="s">
        <v>190</v>
      </c>
      <c r="CK678" s="319" t="s">
        <v>190</v>
      </c>
      <c r="CL678" s="319" t="s">
        <v>190</v>
      </c>
      <c r="CM678" s="319" t="s">
        <v>190</v>
      </c>
      <c r="CN678" s="319" t="s">
        <v>428</v>
      </c>
      <c r="CO678" s="319" t="s">
        <v>428</v>
      </c>
      <c r="CP678" s="319" t="s">
        <v>428</v>
      </c>
      <c r="CQ678" s="319" t="s">
        <v>190</v>
      </c>
      <c r="CR678" s="319" t="s">
        <v>190</v>
      </c>
      <c r="CS678" s="319" t="s">
        <v>190</v>
      </c>
      <c r="CT678" s="319" t="s">
        <v>190</v>
      </c>
      <c r="CU678" s="319" t="s">
        <v>190</v>
      </c>
      <c r="CV678" s="319" t="s">
        <v>190</v>
      </c>
      <c r="CW678" s="319" t="s">
        <v>190</v>
      </c>
      <c r="CX678" s="319" t="s">
        <v>190</v>
      </c>
      <c r="CY678" s="319" t="s">
        <v>190</v>
      </c>
      <c r="CZ678" s="319" t="s">
        <v>190</v>
      </c>
      <c r="DA678" s="319" t="s">
        <v>190</v>
      </c>
      <c r="DB678" s="319" t="s">
        <v>190</v>
      </c>
      <c r="DC678" s="319" t="s">
        <v>190</v>
      </c>
      <c r="DD678" s="319" t="s">
        <v>190</v>
      </c>
      <c r="DE678" s="319" t="s">
        <v>190</v>
      </c>
      <c r="DF678" s="319" t="s">
        <v>190</v>
      </c>
      <c r="DG678" s="319" t="s">
        <v>190</v>
      </c>
      <c r="DH678" s="319" t="s">
        <v>190</v>
      </c>
      <c r="DI678" s="319" t="s">
        <v>190</v>
      </c>
      <c r="DJ678" s="319" t="s">
        <v>190</v>
      </c>
      <c r="DK678" s="319" t="s">
        <v>190</v>
      </c>
      <c r="DL678" s="319" t="s">
        <v>190</v>
      </c>
      <c r="DM678" s="319" t="s">
        <v>190</v>
      </c>
      <c r="DN678" s="319" t="s">
        <v>428</v>
      </c>
      <c r="DO678" s="319" t="s">
        <v>190</v>
      </c>
      <c r="DP678" s="319" t="s">
        <v>190</v>
      </c>
      <c r="DQ678" s="319" t="s">
        <v>190</v>
      </c>
      <c r="DR678" s="319" t="s">
        <v>190</v>
      </c>
      <c r="DS678" s="319" t="s">
        <v>190</v>
      </c>
      <c r="DT678" s="319" t="s">
        <v>190</v>
      </c>
      <c r="DU678" s="319" t="s">
        <v>190</v>
      </c>
      <c r="DV678" s="319" t="s">
        <v>173</v>
      </c>
      <c r="DW678" s="319" t="s">
        <v>173</v>
      </c>
      <c r="DX678" s="319" t="s">
        <v>190</v>
      </c>
      <c r="DY678" s="319" t="s">
        <v>190</v>
      </c>
      <c r="DZ678" s="319" t="s">
        <v>190</v>
      </c>
      <c r="EA678" s="319" t="s">
        <v>190</v>
      </c>
      <c r="EB678" s="319" t="s">
        <v>190</v>
      </c>
      <c r="EC678" s="319" t="s">
        <v>428</v>
      </c>
      <c r="ED678" s="319" t="s">
        <v>190</v>
      </c>
      <c r="EE678" s="319" t="s">
        <v>190</v>
      </c>
      <c r="EF678" s="319" t="s">
        <v>190</v>
      </c>
      <c r="EG678" s="319" t="s">
        <v>190</v>
      </c>
      <c r="EH678" s="319" t="s">
        <v>190</v>
      </c>
      <c r="EI678" s="319" t="s">
        <v>428</v>
      </c>
      <c r="EJ678" s="319" t="s">
        <v>190</v>
      </c>
      <c r="EK678" s="319" t="s">
        <v>190</v>
      </c>
      <c r="EL678" s="319" t="s">
        <v>190</v>
      </c>
      <c r="EM678" s="319" t="s">
        <v>190</v>
      </c>
      <c r="EN678" s="319" t="s">
        <v>190</v>
      </c>
      <c r="EO678" s="319" t="s">
        <v>190</v>
      </c>
      <c r="EP678" s="319" t="s">
        <v>190</v>
      </c>
      <c r="EQ678" s="319" t="s">
        <v>173</v>
      </c>
      <c r="ER678" s="319" t="s">
        <v>190</v>
      </c>
      <c r="ES678" s="319" t="s">
        <v>190</v>
      </c>
      <c r="ET678" s="319" t="s">
        <v>190</v>
      </c>
      <c r="EU678" s="319" t="s">
        <v>190</v>
      </c>
      <c r="EV678" s="319" t="s">
        <v>190</v>
      </c>
      <c r="EW678" s="319" t="s">
        <v>190</v>
      </c>
      <c r="EX678" s="319" t="s">
        <v>190</v>
      </c>
      <c r="EY678" s="319" t="s">
        <v>190</v>
      </c>
      <c r="EZ678" s="319" t="s">
        <v>190</v>
      </c>
      <c r="FA678" s="319" t="s">
        <v>190</v>
      </c>
      <c r="FB678" s="319" t="s">
        <v>190</v>
      </c>
      <c r="FC678" s="319" t="s">
        <v>190</v>
      </c>
      <c r="FD678" s="319" t="s">
        <v>190</v>
      </c>
      <c r="FE678" s="319" t="s">
        <v>190</v>
      </c>
      <c r="FF678" s="319" t="s">
        <v>173</v>
      </c>
      <c r="FG678" s="319" t="s">
        <v>190</v>
      </c>
      <c r="FH678" s="319" t="s">
        <v>190</v>
      </c>
      <c r="FI678" s="319" t="s">
        <v>190</v>
      </c>
      <c r="FJ678" s="319" t="s">
        <v>190</v>
      </c>
      <c r="FK678" s="319" t="s">
        <v>190</v>
      </c>
      <c r="FL678" s="319" t="s">
        <v>190</v>
      </c>
      <c r="FM678" s="319" t="s">
        <v>190</v>
      </c>
      <c r="FN678" s="319" t="s">
        <v>428</v>
      </c>
      <c r="FO678" s="319" t="s">
        <v>428</v>
      </c>
      <c r="FP678" s="319" t="s">
        <v>190</v>
      </c>
      <c r="FQ678" s="319" t="s">
        <v>190</v>
      </c>
      <c r="FR678" s="319" t="s">
        <v>190</v>
      </c>
      <c r="FS678" s="319" t="s">
        <v>428</v>
      </c>
      <c r="FT678" s="319" t="s">
        <v>190</v>
      </c>
      <c r="FU678" s="319" t="s">
        <v>190</v>
      </c>
      <c r="FV678" s="319" t="s">
        <v>190</v>
      </c>
      <c r="FW678" s="319" t="s">
        <v>190</v>
      </c>
      <c r="FX678" s="319" t="s">
        <v>190</v>
      </c>
      <c r="FY678" s="319" t="s">
        <v>190</v>
      </c>
      <c r="FZ678" s="319" t="s">
        <v>190</v>
      </c>
      <c r="GA678" s="319" t="s">
        <v>190</v>
      </c>
      <c r="GB678" s="319" t="s">
        <v>190</v>
      </c>
      <c r="GC678" s="319" t="s">
        <v>190</v>
      </c>
      <c r="GD678" s="319" t="s">
        <v>190</v>
      </c>
      <c r="GE678" s="319" t="s">
        <v>190</v>
      </c>
      <c r="GF678" s="319" t="s">
        <v>190</v>
      </c>
      <c r="GG678" s="319" t="s">
        <v>190</v>
      </c>
      <c r="GH678" s="319" t="s">
        <v>190</v>
      </c>
      <c r="GI678" s="319" t="s">
        <v>190</v>
      </c>
      <c r="GJ678" s="319" t="s">
        <v>190</v>
      </c>
      <c r="GK678" s="319" t="s">
        <v>428</v>
      </c>
      <c r="GL678" s="319" t="s">
        <v>190</v>
      </c>
      <c r="GM678" s="319" t="s">
        <v>190</v>
      </c>
      <c r="GN678" s="319" t="s">
        <v>190</v>
      </c>
      <c r="GO678" s="319" t="s">
        <v>190</v>
      </c>
      <c r="GP678" s="319" t="s">
        <v>190</v>
      </c>
      <c r="GQ678" s="319" t="s">
        <v>428</v>
      </c>
      <c r="GR678" s="319" t="s">
        <v>190</v>
      </c>
      <c r="GS678" s="319" t="s">
        <v>190</v>
      </c>
      <c r="GT678" s="319" t="s">
        <v>428</v>
      </c>
      <c r="GU678" s="319" t="s">
        <v>428</v>
      </c>
      <c r="GV678" s="319" t="s">
        <v>428</v>
      </c>
      <c r="GW678" s="319" t="s">
        <v>190</v>
      </c>
      <c r="GX678" s="319" t="s">
        <v>190</v>
      </c>
      <c r="GY678" s="319" t="s">
        <v>173</v>
      </c>
      <c r="GZ678" s="319" t="s">
        <v>173</v>
      </c>
      <c r="HA678" s="319" t="s">
        <v>173</v>
      </c>
      <c r="HB678" s="319" t="s">
        <v>173</v>
      </c>
      <c r="HC678" s="319" t="s">
        <v>173</v>
      </c>
      <c r="HD678" s="319" t="s">
        <v>173</v>
      </c>
      <c r="HE678" s="319" t="s">
        <v>173</v>
      </c>
      <c r="HF678" s="319" t="s">
        <v>173</v>
      </c>
      <c r="HG678" s="319" t="s">
        <v>173</v>
      </c>
      <c r="HH678" s="319" t="s">
        <v>173</v>
      </c>
      <c r="HI678" s="319" t="s">
        <v>428</v>
      </c>
      <c r="HJ678" s="319" t="s">
        <v>190</v>
      </c>
      <c r="HK678" s="319" t="s">
        <v>190</v>
      </c>
      <c r="HL678" s="319" t="s">
        <v>190</v>
      </c>
      <c r="HM678" s="319" t="s">
        <v>428</v>
      </c>
      <c r="HN678" s="319" t="s">
        <v>428</v>
      </c>
      <c r="HO678" s="319" t="s">
        <v>428</v>
      </c>
      <c r="HP678" s="319" t="s">
        <v>190</v>
      </c>
      <c r="HQ678" s="319" t="s">
        <v>190</v>
      </c>
      <c r="HR678" s="319" t="s">
        <v>190</v>
      </c>
      <c r="HS678" s="319" t="s">
        <v>190</v>
      </c>
      <c r="HT678" s="319" t="s">
        <v>190</v>
      </c>
      <c r="HU678" s="319" t="s">
        <v>190</v>
      </c>
      <c r="HV678" s="319" t="s">
        <v>190</v>
      </c>
      <c r="HW678" s="319" t="s">
        <v>190</v>
      </c>
      <c r="HX678" s="319" t="s">
        <v>190</v>
      </c>
      <c r="HY678" s="319" t="s">
        <v>190</v>
      </c>
      <c r="HZ678" s="319" t="s">
        <v>190</v>
      </c>
      <c r="IA678" s="319" t="s">
        <v>190</v>
      </c>
      <c r="IB678" s="319" t="s">
        <v>190</v>
      </c>
      <c r="IC678" s="319" t="s">
        <v>190</v>
      </c>
      <c r="ID678" s="319" t="s">
        <v>190</v>
      </c>
      <c r="IE678" s="319" t="s">
        <v>190</v>
      </c>
      <c r="IF678" s="319" t="s">
        <v>190</v>
      </c>
      <c r="IG678" s="319" t="s">
        <v>190</v>
      </c>
      <c r="IH678" s="319" t="s">
        <v>190</v>
      </c>
      <c r="II678" s="319" t="s">
        <v>190</v>
      </c>
      <c r="IJ678" s="319" t="s">
        <v>3423</v>
      </c>
      <c r="IK678" s="321">
        <v>41253</v>
      </c>
      <c r="IL678" s="321">
        <v>41254</v>
      </c>
      <c r="IM678" s="321">
        <v>41306</v>
      </c>
      <c r="IN678" s="319">
        <v>2</v>
      </c>
      <c r="IO678" s="319" t="s">
        <v>173</v>
      </c>
      <c r="IP678" s="319" t="s">
        <v>173</v>
      </c>
      <c r="IQ678" s="319" t="s">
        <v>173</v>
      </c>
      <c r="IR678" s="320" t="s">
        <v>173</v>
      </c>
      <c r="IS678" s="320" t="s">
        <v>173</v>
      </c>
      <c r="IT678" s="319" t="s">
        <v>173</v>
      </c>
    </row>
    <row r="679" spans="1:254" s="271" customFormat="1" x14ac:dyDescent="0.25">
      <c r="A679" s="318" t="str">
        <f>HYPERLINK("http://www.ofsted.gov.uk/inspection-reports/find-inspection-report/provider/ELS/137808 ","Ofsted School Webpage")</f>
        <v>Ofsted School Webpage</v>
      </c>
      <c r="B679" s="319">
        <v>137808</v>
      </c>
      <c r="C679" s="319">
        <v>2046003</v>
      </c>
      <c r="D679" s="319" t="s">
        <v>546</v>
      </c>
      <c r="E679" s="319" t="s">
        <v>168</v>
      </c>
      <c r="F679" s="319" t="s">
        <v>81</v>
      </c>
      <c r="G679" s="319" t="s">
        <v>81</v>
      </c>
      <c r="H679" s="319" t="s">
        <v>81</v>
      </c>
      <c r="I679" s="319" t="s">
        <v>78</v>
      </c>
      <c r="J679" s="319" t="s">
        <v>424</v>
      </c>
      <c r="K679" s="319" t="s">
        <v>441</v>
      </c>
      <c r="L679" s="319" t="s">
        <v>441</v>
      </c>
      <c r="M679" s="319" t="s">
        <v>547</v>
      </c>
      <c r="N679" s="319" t="s">
        <v>2774</v>
      </c>
      <c r="O679" s="319" t="s">
        <v>548</v>
      </c>
      <c r="P679" s="319">
        <v>64</v>
      </c>
      <c r="Q679" s="319" t="s">
        <v>429</v>
      </c>
      <c r="R679" s="320">
        <v>10054302</v>
      </c>
      <c r="S679" s="321">
        <v>43382</v>
      </c>
      <c r="T679" s="321">
        <v>43384</v>
      </c>
      <c r="U679" s="321">
        <v>43411</v>
      </c>
      <c r="V679" s="319" t="s">
        <v>425</v>
      </c>
      <c r="W679" s="319" t="s">
        <v>2767</v>
      </c>
      <c r="X679" s="319">
        <v>2</v>
      </c>
      <c r="Y679" s="319" t="s">
        <v>173</v>
      </c>
      <c r="Z679" s="319" t="s">
        <v>173</v>
      </c>
      <c r="AA679" s="319" t="s">
        <v>173</v>
      </c>
      <c r="AB679" s="319">
        <v>2</v>
      </c>
      <c r="AC679" s="319" t="s">
        <v>169</v>
      </c>
      <c r="AD679" s="319" t="s">
        <v>173</v>
      </c>
      <c r="AE679" s="319" t="s">
        <v>173</v>
      </c>
      <c r="AF679" s="319" t="s">
        <v>427</v>
      </c>
      <c r="AG679" s="319" t="s">
        <v>171</v>
      </c>
      <c r="AH679" s="319" t="s">
        <v>190</v>
      </c>
      <c r="AI679" s="319" t="s">
        <v>190</v>
      </c>
      <c r="AJ679" s="319" t="s">
        <v>190</v>
      </c>
      <c r="AK679" s="319" t="s">
        <v>190</v>
      </c>
      <c r="AL679" s="319" t="s">
        <v>190</v>
      </c>
      <c r="AM679" s="319" t="s">
        <v>190</v>
      </c>
      <c r="AN679" s="319" t="s">
        <v>190</v>
      </c>
      <c r="AO679" s="319" t="s">
        <v>190</v>
      </c>
      <c r="AP679" s="319" t="s">
        <v>190</v>
      </c>
      <c r="AQ679" s="319" t="s">
        <v>190</v>
      </c>
      <c r="AR679" s="319" t="s">
        <v>190</v>
      </c>
      <c r="AS679" s="319" t="s">
        <v>190</v>
      </c>
      <c r="AT679" s="319" t="s">
        <v>190</v>
      </c>
      <c r="AU679" s="319" t="s">
        <v>190</v>
      </c>
      <c r="AV679" s="319" t="s">
        <v>190</v>
      </c>
      <c r="AW679" s="319" t="s">
        <v>190</v>
      </c>
      <c r="AX679" s="319" t="s">
        <v>428</v>
      </c>
      <c r="AY679" s="319" t="s">
        <v>190</v>
      </c>
      <c r="AZ679" s="319" t="s">
        <v>190</v>
      </c>
      <c r="BA679" s="319" t="s">
        <v>190</v>
      </c>
      <c r="BB679" s="319" t="s">
        <v>190</v>
      </c>
      <c r="BC679" s="319" t="s">
        <v>190</v>
      </c>
      <c r="BD679" s="319" t="s">
        <v>190</v>
      </c>
      <c r="BE679" s="319" t="s">
        <v>190</v>
      </c>
      <c r="BF679" s="319" t="s">
        <v>428</v>
      </c>
      <c r="BG679" s="319" t="s">
        <v>428</v>
      </c>
      <c r="BH679" s="319" t="s">
        <v>190</v>
      </c>
      <c r="BI679" s="319" t="s">
        <v>190</v>
      </c>
      <c r="BJ679" s="319" t="s">
        <v>190</v>
      </c>
      <c r="BK679" s="319" t="s">
        <v>190</v>
      </c>
      <c r="BL679" s="319" t="s">
        <v>190</v>
      </c>
      <c r="BM679" s="319" t="s">
        <v>190</v>
      </c>
      <c r="BN679" s="319" t="s">
        <v>190</v>
      </c>
      <c r="BO679" s="319" t="s">
        <v>190</v>
      </c>
      <c r="BP679" s="319" t="s">
        <v>190</v>
      </c>
      <c r="BQ679" s="319" t="s">
        <v>190</v>
      </c>
      <c r="BR679" s="319" t="s">
        <v>190</v>
      </c>
      <c r="BS679" s="319" t="s">
        <v>190</v>
      </c>
      <c r="BT679" s="319" t="s">
        <v>190</v>
      </c>
      <c r="BU679" s="319" t="s">
        <v>190</v>
      </c>
      <c r="BV679" s="319" t="s">
        <v>190</v>
      </c>
      <c r="BW679" s="319" t="s">
        <v>190</v>
      </c>
      <c r="BX679" s="319" t="s">
        <v>190</v>
      </c>
      <c r="BY679" s="319" t="s">
        <v>190</v>
      </c>
      <c r="BZ679" s="319" t="s">
        <v>190</v>
      </c>
      <c r="CA679" s="319" t="s">
        <v>190</v>
      </c>
      <c r="CB679" s="319" t="s">
        <v>190</v>
      </c>
      <c r="CC679" s="319" t="s">
        <v>190</v>
      </c>
      <c r="CD679" s="319" t="s">
        <v>190</v>
      </c>
      <c r="CE679" s="319" t="s">
        <v>190</v>
      </c>
      <c r="CF679" s="319" t="s">
        <v>190</v>
      </c>
      <c r="CG679" s="319" t="s">
        <v>190</v>
      </c>
      <c r="CH679" s="319" t="s">
        <v>190</v>
      </c>
      <c r="CI679" s="319" t="s">
        <v>190</v>
      </c>
      <c r="CJ679" s="319" t="s">
        <v>190</v>
      </c>
      <c r="CK679" s="319" t="s">
        <v>190</v>
      </c>
      <c r="CL679" s="319" t="s">
        <v>190</v>
      </c>
      <c r="CM679" s="319" t="s">
        <v>190</v>
      </c>
      <c r="CN679" s="319" t="s">
        <v>428</v>
      </c>
      <c r="CO679" s="319" t="s">
        <v>428</v>
      </c>
      <c r="CP679" s="319" t="s">
        <v>428</v>
      </c>
      <c r="CQ679" s="319" t="s">
        <v>190</v>
      </c>
      <c r="CR679" s="319" t="s">
        <v>190</v>
      </c>
      <c r="CS679" s="319" t="s">
        <v>190</v>
      </c>
      <c r="CT679" s="319" t="s">
        <v>190</v>
      </c>
      <c r="CU679" s="319" t="s">
        <v>190</v>
      </c>
      <c r="CV679" s="319" t="s">
        <v>190</v>
      </c>
      <c r="CW679" s="319" t="s">
        <v>190</v>
      </c>
      <c r="CX679" s="319" t="s">
        <v>190</v>
      </c>
      <c r="CY679" s="319" t="s">
        <v>190</v>
      </c>
      <c r="CZ679" s="319" t="s">
        <v>190</v>
      </c>
      <c r="DA679" s="319" t="s">
        <v>190</v>
      </c>
      <c r="DB679" s="319" t="s">
        <v>190</v>
      </c>
      <c r="DC679" s="319" t="s">
        <v>190</v>
      </c>
      <c r="DD679" s="319" t="s">
        <v>190</v>
      </c>
      <c r="DE679" s="319" t="s">
        <v>190</v>
      </c>
      <c r="DF679" s="319" t="s">
        <v>190</v>
      </c>
      <c r="DG679" s="319" t="s">
        <v>190</v>
      </c>
      <c r="DH679" s="319" t="s">
        <v>190</v>
      </c>
      <c r="DI679" s="319" t="s">
        <v>190</v>
      </c>
      <c r="DJ679" s="319" t="s">
        <v>190</v>
      </c>
      <c r="DK679" s="319" t="s">
        <v>190</v>
      </c>
      <c r="DL679" s="319" t="s">
        <v>190</v>
      </c>
      <c r="DM679" s="319" t="s">
        <v>190</v>
      </c>
      <c r="DN679" s="319" t="s">
        <v>428</v>
      </c>
      <c r="DO679" s="319" t="s">
        <v>190</v>
      </c>
      <c r="DP679" s="319" t="s">
        <v>190</v>
      </c>
      <c r="DQ679" s="319" t="s">
        <v>190</v>
      </c>
      <c r="DR679" s="319" t="s">
        <v>190</v>
      </c>
      <c r="DS679" s="319" t="s">
        <v>190</v>
      </c>
      <c r="DT679" s="319" t="s">
        <v>190</v>
      </c>
      <c r="DU679" s="319" t="s">
        <v>190</v>
      </c>
      <c r="DV679" s="319" t="s">
        <v>173</v>
      </c>
      <c r="DW679" s="319" t="s">
        <v>190</v>
      </c>
      <c r="DX679" s="319" t="s">
        <v>190</v>
      </c>
      <c r="DY679" s="319" t="s">
        <v>190</v>
      </c>
      <c r="DZ679" s="319" t="s">
        <v>190</v>
      </c>
      <c r="EA679" s="319" t="s">
        <v>190</v>
      </c>
      <c r="EB679" s="319" t="s">
        <v>190</v>
      </c>
      <c r="EC679" s="319" t="s">
        <v>428</v>
      </c>
      <c r="ED679" s="319" t="s">
        <v>190</v>
      </c>
      <c r="EE679" s="319" t="s">
        <v>190</v>
      </c>
      <c r="EF679" s="319" t="s">
        <v>190</v>
      </c>
      <c r="EG679" s="319" t="s">
        <v>190</v>
      </c>
      <c r="EH679" s="319" t="s">
        <v>190</v>
      </c>
      <c r="EI679" s="319" t="s">
        <v>190</v>
      </c>
      <c r="EJ679" s="319" t="s">
        <v>190</v>
      </c>
      <c r="EK679" s="319" t="s">
        <v>190</v>
      </c>
      <c r="EL679" s="319" t="s">
        <v>190</v>
      </c>
      <c r="EM679" s="319" t="s">
        <v>190</v>
      </c>
      <c r="EN679" s="319" t="s">
        <v>190</v>
      </c>
      <c r="EO679" s="319" t="s">
        <v>190</v>
      </c>
      <c r="EP679" s="319" t="s">
        <v>190</v>
      </c>
      <c r="EQ679" s="319" t="s">
        <v>190</v>
      </c>
      <c r="ER679" s="319" t="s">
        <v>190</v>
      </c>
      <c r="ES679" s="319" t="s">
        <v>190</v>
      </c>
      <c r="ET679" s="319" t="s">
        <v>190</v>
      </c>
      <c r="EU679" s="319" t="s">
        <v>190</v>
      </c>
      <c r="EV679" s="319" t="s">
        <v>190</v>
      </c>
      <c r="EW679" s="319" t="s">
        <v>190</v>
      </c>
      <c r="EX679" s="319" t="s">
        <v>190</v>
      </c>
      <c r="EY679" s="319" t="s">
        <v>190</v>
      </c>
      <c r="EZ679" s="319" t="s">
        <v>190</v>
      </c>
      <c r="FA679" s="319" t="s">
        <v>428</v>
      </c>
      <c r="FB679" s="319" t="s">
        <v>190</v>
      </c>
      <c r="FC679" s="319" t="s">
        <v>190</v>
      </c>
      <c r="FD679" s="319" t="s">
        <v>190</v>
      </c>
      <c r="FE679" s="319" t="s">
        <v>190</v>
      </c>
      <c r="FF679" s="319" t="s">
        <v>190</v>
      </c>
      <c r="FG679" s="319" t="s">
        <v>190</v>
      </c>
      <c r="FH679" s="319" t="s">
        <v>190</v>
      </c>
      <c r="FI679" s="319" t="s">
        <v>190</v>
      </c>
      <c r="FJ679" s="319" t="s">
        <v>190</v>
      </c>
      <c r="FK679" s="319" t="s">
        <v>190</v>
      </c>
      <c r="FL679" s="319" t="s">
        <v>190</v>
      </c>
      <c r="FM679" s="319" t="s">
        <v>190</v>
      </c>
      <c r="FN679" s="319" t="s">
        <v>190</v>
      </c>
      <c r="FO679" s="319" t="s">
        <v>190</v>
      </c>
      <c r="FP679" s="319" t="s">
        <v>190</v>
      </c>
      <c r="FQ679" s="319" t="s">
        <v>190</v>
      </c>
      <c r="FR679" s="319" t="s">
        <v>190</v>
      </c>
      <c r="FS679" s="319" t="s">
        <v>428</v>
      </c>
      <c r="FT679" s="319" t="s">
        <v>190</v>
      </c>
      <c r="FU679" s="319" t="s">
        <v>190</v>
      </c>
      <c r="FV679" s="319" t="s">
        <v>190</v>
      </c>
      <c r="FW679" s="319" t="s">
        <v>190</v>
      </c>
      <c r="FX679" s="319" t="s">
        <v>190</v>
      </c>
      <c r="FY679" s="319" t="s">
        <v>190</v>
      </c>
      <c r="FZ679" s="319" t="s">
        <v>190</v>
      </c>
      <c r="GA679" s="319" t="s">
        <v>190</v>
      </c>
      <c r="GB679" s="319" t="s">
        <v>190</v>
      </c>
      <c r="GC679" s="319" t="s">
        <v>190</v>
      </c>
      <c r="GD679" s="319" t="s">
        <v>190</v>
      </c>
      <c r="GE679" s="319" t="s">
        <v>190</v>
      </c>
      <c r="GF679" s="319" t="s">
        <v>190</v>
      </c>
      <c r="GG679" s="319" t="s">
        <v>190</v>
      </c>
      <c r="GH679" s="319" t="s">
        <v>190</v>
      </c>
      <c r="GI679" s="319" t="s">
        <v>190</v>
      </c>
      <c r="GJ679" s="319" t="s">
        <v>190</v>
      </c>
      <c r="GK679" s="319" t="s">
        <v>428</v>
      </c>
      <c r="GL679" s="319" t="s">
        <v>190</v>
      </c>
      <c r="GM679" s="319" t="s">
        <v>190</v>
      </c>
      <c r="GN679" s="319" t="s">
        <v>190</v>
      </c>
      <c r="GO679" s="319" t="s">
        <v>190</v>
      </c>
      <c r="GP679" s="319" t="s">
        <v>190</v>
      </c>
      <c r="GQ679" s="319" t="s">
        <v>428</v>
      </c>
      <c r="GR679" s="319" t="s">
        <v>190</v>
      </c>
      <c r="GS679" s="319" t="s">
        <v>190</v>
      </c>
      <c r="GT679" s="319" t="s">
        <v>190</v>
      </c>
      <c r="GU679" s="319" t="s">
        <v>190</v>
      </c>
      <c r="GV679" s="319" t="s">
        <v>190</v>
      </c>
      <c r="GW679" s="319" t="s">
        <v>190</v>
      </c>
      <c r="GX679" s="319" t="s">
        <v>190</v>
      </c>
      <c r="GY679" s="319" t="s">
        <v>190</v>
      </c>
      <c r="GZ679" s="319" t="s">
        <v>428</v>
      </c>
      <c r="HA679" s="319" t="s">
        <v>190</v>
      </c>
      <c r="HB679" s="319" t="s">
        <v>428</v>
      </c>
      <c r="HC679" s="319" t="s">
        <v>190</v>
      </c>
      <c r="HD679" s="319" t="s">
        <v>190</v>
      </c>
      <c r="HE679" s="319" t="s">
        <v>190</v>
      </c>
      <c r="HF679" s="319" t="s">
        <v>190</v>
      </c>
      <c r="HG679" s="319" t="s">
        <v>190</v>
      </c>
      <c r="HH679" s="319" t="s">
        <v>190</v>
      </c>
      <c r="HI679" s="319" t="s">
        <v>190</v>
      </c>
      <c r="HJ679" s="319" t="s">
        <v>190</v>
      </c>
      <c r="HK679" s="319" t="s">
        <v>190</v>
      </c>
      <c r="HL679" s="319" t="s">
        <v>428</v>
      </c>
      <c r="HM679" s="319" t="s">
        <v>428</v>
      </c>
      <c r="HN679" s="319" t="s">
        <v>428</v>
      </c>
      <c r="HO679" s="319" t="s">
        <v>428</v>
      </c>
      <c r="HP679" s="319" t="s">
        <v>190</v>
      </c>
      <c r="HQ679" s="319" t="s">
        <v>190</v>
      </c>
      <c r="HR679" s="319" t="s">
        <v>190</v>
      </c>
      <c r="HS679" s="319" t="s">
        <v>190</v>
      </c>
      <c r="HT679" s="319" t="s">
        <v>190</v>
      </c>
      <c r="HU679" s="319" t="s">
        <v>190</v>
      </c>
      <c r="HV679" s="319" t="s">
        <v>190</v>
      </c>
      <c r="HW679" s="319" t="s">
        <v>190</v>
      </c>
      <c r="HX679" s="319" t="s">
        <v>190</v>
      </c>
      <c r="HY679" s="319" t="s">
        <v>190</v>
      </c>
      <c r="HZ679" s="319" t="s">
        <v>190</v>
      </c>
      <c r="IA679" s="319" t="s">
        <v>190</v>
      </c>
      <c r="IB679" s="319" t="s">
        <v>190</v>
      </c>
      <c r="IC679" s="319" t="s">
        <v>190</v>
      </c>
      <c r="ID679" s="319" t="s">
        <v>190</v>
      </c>
      <c r="IE679" s="319" t="s">
        <v>190</v>
      </c>
      <c r="IF679" s="319" t="s">
        <v>190</v>
      </c>
      <c r="IG679" s="319" t="s">
        <v>190</v>
      </c>
      <c r="IH679" s="319" t="s">
        <v>190</v>
      </c>
      <c r="II679" s="319" t="s">
        <v>190</v>
      </c>
      <c r="IJ679" s="319">
        <v>10006055</v>
      </c>
      <c r="IK679" s="321">
        <v>42339</v>
      </c>
      <c r="IL679" s="321">
        <v>42341</v>
      </c>
      <c r="IM679" s="321">
        <v>42380</v>
      </c>
      <c r="IN679" s="319">
        <v>1</v>
      </c>
      <c r="IO679" s="319" t="s">
        <v>173</v>
      </c>
      <c r="IP679" s="319" t="s">
        <v>173</v>
      </c>
      <c r="IQ679" s="319" t="s">
        <v>173</v>
      </c>
      <c r="IR679" s="320" t="s">
        <v>173</v>
      </c>
      <c r="IS679" s="320" t="s">
        <v>173</v>
      </c>
      <c r="IT679" s="319" t="s">
        <v>173</v>
      </c>
    </row>
    <row r="680" spans="1:254" s="271" customFormat="1" x14ac:dyDescent="0.25">
      <c r="A680" s="318" t="str">
        <f>HYPERLINK("http://www.ofsted.gov.uk/inspection-reports/find-inspection-report/provider/ELS/137809 ","Ofsted School Webpage")</f>
        <v>Ofsted School Webpage</v>
      </c>
      <c r="B680" s="319">
        <v>137809</v>
      </c>
      <c r="C680" s="319">
        <v>2046004</v>
      </c>
      <c r="D680" s="319" t="s">
        <v>1162</v>
      </c>
      <c r="E680" s="319" t="s">
        <v>167</v>
      </c>
      <c r="F680" s="319" t="s">
        <v>81</v>
      </c>
      <c r="G680" s="319" t="s">
        <v>69</v>
      </c>
      <c r="H680" s="319" t="s">
        <v>69</v>
      </c>
      <c r="I680" s="319" t="s">
        <v>69</v>
      </c>
      <c r="J680" s="319" t="s">
        <v>424</v>
      </c>
      <c r="K680" s="319" t="s">
        <v>441</v>
      </c>
      <c r="L680" s="319" t="s">
        <v>441</v>
      </c>
      <c r="M680" s="319" t="s">
        <v>547</v>
      </c>
      <c r="N680" s="319" t="s">
        <v>2774</v>
      </c>
      <c r="O680" s="319" t="s">
        <v>1163</v>
      </c>
      <c r="P680" s="319">
        <v>119</v>
      </c>
      <c r="Q680" s="319" t="s">
        <v>2766</v>
      </c>
      <c r="R680" s="320">
        <v>10020726</v>
      </c>
      <c r="S680" s="321">
        <v>43263</v>
      </c>
      <c r="T680" s="321">
        <v>43265</v>
      </c>
      <c r="U680" s="321">
        <v>43385</v>
      </c>
      <c r="V680" s="319" t="s">
        <v>425</v>
      </c>
      <c r="W680" s="319" t="s">
        <v>2767</v>
      </c>
      <c r="X680" s="319">
        <v>4</v>
      </c>
      <c r="Y680" s="319" t="s">
        <v>173</v>
      </c>
      <c r="Z680" s="319" t="s">
        <v>173</v>
      </c>
      <c r="AA680" s="319" t="s">
        <v>173</v>
      </c>
      <c r="AB680" s="319">
        <v>4</v>
      </c>
      <c r="AC680" s="319" t="s">
        <v>169</v>
      </c>
      <c r="AD680" s="319">
        <v>3</v>
      </c>
      <c r="AE680" s="319" t="s">
        <v>173</v>
      </c>
      <c r="AF680" s="319" t="s">
        <v>447</v>
      </c>
      <c r="AG680" s="319" t="s">
        <v>172</v>
      </c>
      <c r="AH680" s="319" t="s">
        <v>479</v>
      </c>
      <c r="AI680" s="319" t="s">
        <v>479</v>
      </c>
      <c r="AJ680" s="319" t="s">
        <v>479</v>
      </c>
      <c r="AK680" s="319" t="s">
        <v>479</v>
      </c>
      <c r="AL680" s="319" t="s">
        <v>479</v>
      </c>
      <c r="AM680" s="319" t="s">
        <v>479</v>
      </c>
      <c r="AN680" s="319" t="s">
        <v>190</v>
      </c>
      <c r="AO680" s="319" t="s">
        <v>479</v>
      </c>
      <c r="AP680" s="319" t="s">
        <v>191</v>
      </c>
      <c r="AQ680" s="319" t="s">
        <v>191</v>
      </c>
      <c r="AR680" s="319" t="s">
        <v>191</v>
      </c>
      <c r="AS680" s="319" t="s">
        <v>191</v>
      </c>
      <c r="AT680" s="319" t="s">
        <v>191</v>
      </c>
      <c r="AU680" s="319" t="s">
        <v>191</v>
      </c>
      <c r="AV680" s="319" t="s">
        <v>191</v>
      </c>
      <c r="AW680" s="319" t="s">
        <v>190</v>
      </c>
      <c r="AX680" s="319" t="s">
        <v>190</v>
      </c>
      <c r="AY680" s="319" t="s">
        <v>191</v>
      </c>
      <c r="AZ680" s="319" t="s">
        <v>191</v>
      </c>
      <c r="BA680" s="319" t="s">
        <v>191</v>
      </c>
      <c r="BB680" s="319" t="s">
        <v>191</v>
      </c>
      <c r="BC680" s="319" t="s">
        <v>191</v>
      </c>
      <c r="BD680" s="319" t="s">
        <v>191</v>
      </c>
      <c r="BE680" s="319" t="s">
        <v>191</v>
      </c>
      <c r="BF680" s="319" t="s">
        <v>190</v>
      </c>
      <c r="BG680" s="319" t="s">
        <v>428</v>
      </c>
      <c r="BH680" s="319" t="s">
        <v>191</v>
      </c>
      <c r="BI680" s="319" t="s">
        <v>191</v>
      </c>
      <c r="BJ680" s="319" t="s">
        <v>191</v>
      </c>
      <c r="BK680" s="319" t="s">
        <v>191</v>
      </c>
      <c r="BL680" s="319" t="s">
        <v>190</v>
      </c>
      <c r="BM680" s="319" t="s">
        <v>191</v>
      </c>
      <c r="BN680" s="319" t="s">
        <v>191</v>
      </c>
      <c r="BO680" s="319" t="s">
        <v>191</v>
      </c>
      <c r="BP680" s="319" t="s">
        <v>191</v>
      </c>
      <c r="BQ680" s="319" t="s">
        <v>191</v>
      </c>
      <c r="BR680" s="319" t="s">
        <v>190</v>
      </c>
      <c r="BS680" s="319" t="s">
        <v>190</v>
      </c>
      <c r="BT680" s="319" t="s">
        <v>190</v>
      </c>
      <c r="BU680" s="319" t="s">
        <v>191</v>
      </c>
      <c r="BV680" s="319" t="s">
        <v>191</v>
      </c>
      <c r="BW680" s="319" t="s">
        <v>190</v>
      </c>
      <c r="BX680" s="319" t="s">
        <v>191</v>
      </c>
      <c r="BY680" s="319" t="s">
        <v>190</v>
      </c>
      <c r="BZ680" s="319" t="s">
        <v>190</v>
      </c>
      <c r="CA680" s="319" t="s">
        <v>191</v>
      </c>
      <c r="CB680" s="319" t="s">
        <v>191</v>
      </c>
      <c r="CC680" s="319" t="s">
        <v>191</v>
      </c>
      <c r="CD680" s="319" t="s">
        <v>191</v>
      </c>
      <c r="CE680" s="319" t="s">
        <v>190</v>
      </c>
      <c r="CF680" s="319" t="s">
        <v>191</v>
      </c>
      <c r="CG680" s="319" t="s">
        <v>191</v>
      </c>
      <c r="CH680" s="319" t="s">
        <v>191</v>
      </c>
      <c r="CI680" s="319" t="s">
        <v>191</v>
      </c>
      <c r="CJ680" s="319" t="s">
        <v>191</v>
      </c>
      <c r="CK680" s="319" t="s">
        <v>191</v>
      </c>
      <c r="CL680" s="319" t="s">
        <v>190</v>
      </c>
      <c r="CM680" s="319" t="s">
        <v>191</v>
      </c>
      <c r="CN680" s="319" t="s">
        <v>428</v>
      </c>
      <c r="CO680" s="319" t="s">
        <v>428</v>
      </c>
      <c r="CP680" s="319" t="s">
        <v>428</v>
      </c>
      <c r="CQ680" s="319" t="s">
        <v>190</v>
      </c>
      <c r="CR680" s="319" t="s">
        <v>190</v>
      </c>
      <c r="CS680" s="319" t="s">
        <v>190</v>
      </c>
      <c r="CT680" s="319" t="s">
        <v>190</v>
      </c>
      <c r="CU680" s="319" t="s">
        <v>190</v>
      </c>
      <c r="CV680" s="319" t="s">
        <v>191</v>
      </c>
      <c r="CW680" s="319" t="s">
        <v>190</v>
      </c>
      <c r="CX680" s="319" t="s">
        <v>190</v>
      </c>
      <c r="CY680" s="319" t="s">
        <v>190</v>
      </c>
      <c r="CZ680" s="319" t="s">
        <v>191</v>
      </c>
      <c r="DA680" s="319" t="s">
        <v>191</v>
      </c>
      <c r="DB680" s="319" t="s">
        <v>191</v>
      </c>
      <c r="DC680" s="319" t="s">
        <v>191</v>
      </c>
      <c r="DD680" s="319" t="s">
        <v>191</v>
      </c>
      <c r="DE680" s="319" t="s">
        <v>190</v>
      </c>
      <c r="DF680" s="319" t="s">
        <v>190</v>
      </c>
      <c r="DG680" s="319" t="s">
        <v>191</v>
      </c>
      <c r="DH680" s="319" t="s">
        <v>190</v>
      </c>
      <c r="DI680" s="319" t="s">
        <v>190</v>
      </c>
      <c r="DJ680" s="319" t="s">
        <v>191</v>
      </c>
      <c r="DK680" s="319" t="s">
        <v>190</v>
      </c>
      <c r="DL680" s="319" t="s">
        <v>190</v>
      </c>
      <c r="DM680" s="319" t="s">
        <v>191</v>
      </c>
      <c r="DN680" s="319" t="s">
        <v>428</v>
      </c>
      <c r="DO680" s="319" t="s">
        <v>191</v>
      </c>
      <c r="DP680" s="319" t="s">
        <v>428</v>
      </c>
      <c r="DQ680" s="319" t="s">
        <v>428</v>
      </c>
      <c r="DR680" s="319" t="s">
        <v>428</v>
      </c>
      <c r="DS680" s="319" t="s">
        <v>428</v>
      </c>
      <c r="DT680" s="319" t="s">
        <v>428</v>
      </c>
      <c r="DU680" s="319" t="s">
        <v>428</v>
      </c>
      <c r="DV680" s="319" t="s">
        <v>173</v>
      </c>
      <c r="DW680" s="319" t="s">
        <v>428</v>
      </c>
      <c r="DX680" s="319" t="s">
        <v>428</v>
      </c>
      <c r="DY680" s="319" t="s">
        <v>428</v>
      </c>
      <c r="DZ680" s="319" t="s">
        <v>428</v>
      </c>
      <c r="EA680" s="319" t="s">
        <v>428</v>
      </c>
      <c r="EB680" s="319" t="s">
        <v>428</v>
      </c>
      <c r="EC680" s="319" t="s">
        <v>428</v>
      </c>
      <c r="ED680" s="319" t="s">
        <v>428</v>
      </c>
      <c r="EE680" s="319" t="s">
        <v>190</v>
      </c>
      <c r="EF680" s="319" t="s">
        <v>190</v>
      </c>
      <c r="EG680" s="319" t="s">
        <v>190</v>
      </c>
      <c r="EH680" s="319" t="s">
        <v>190</v>
      </c>
      <c r="EI680" s="319" t="s">
        <v>190</v>
      </c>
      <c r="EJ680" s="319" t="s">
        <v>190</v>
      </c>
      <c r="EK680" s="319" t="s">
        <v>190</v>
      </c>
      <c r="EL680" s="319" t="s">
        <v>190</v>
      </c>
      <c r="EM680" s="319" t="s">
        <v>190</v>
      </c>
      <c r="EN680" s="319" t="s">
        <v>191</v>
      </c>
      <c r="EO680" s="319" t="s">
        <v>190</v>
      </c>
      <c r="EP680" s="319" t="s">
        <v>191</v>
      </c>
      <c r="EQ680" s="319" t="s">
        <v>190</v>
      </c>
      <c r="ER680" s="319" t="s">
        <v>190</v>
      </c>
      <c r="ES680" s="319" t="s">
        <v>190</v>
      </c>
      <c r="ET680" s="319" t="s">
        <v>191</v>
      </c>
      <c r="EU680" s="319" t="s">
        <v>190</v>
      </c>
      <c r="EV680" s="319" t="s">
        <v>190</v>
      </c>
      <c r="EW680" s="319" t="s">
        <v>190</v>
      </c>
      <c r="EX680" s="319" t="s">
        <v>191</v>
      </c>
      <c r="EY680" s="319" t="s">
        <v>191</v>
      </c>
      <c r="EZ680" s="319" t="s">
        <v>191</v>
      </c>
      <c r="FA680" s="319" t="s">
        <v>428</v>
      </c>
      <c r="FB680" s="319" t="s">
        <v>428</v>
      </c>
      <c r="FC680" s="319" t="s">
        <v>428</v>
      </c>
      <c r="FD680" s="319" t="s">
        <v>428</v>
      </c>
      <c r="FE680" s="319" t="s">
        <v>428</v>
      </c>
      <c r="FF680" s="319" t="s">
        <v>428</v>
      </c>
      <c r="FG680" s="319" t="s">
        <v>428</v>
      </c>
      <c r="FH680" s="319" t="s">
        <v>190</v>
      </c>
      <c r="FI680" s="319" t="s">
        <v>190</v>
      </c>
      <c r="FJ680" s="319" t="s">
        <v>190</v>
      </c>
      <c r="FK680" s="319" t="s">
        <v>190</v>
      </c>
      <c r="FL680" s="319" t="s">
        <v>191</v>
      </c>
      <c r="FM680" s="319" t="s">
        <v>190</v>
      </c>
      <c r="FN680" s="319" t="s">
        <v>428</v>
      </c>
      <c r="FO680" s="319" t="s">
        <v>191</v>
      </c>
      <c r="FP680" s="319" t="s">
        <v>190</v>
      </c>
      <c r="FQ680" s="319" t="s">
        <v>190</v>
      </c>
      <c r="FR680" s="319" t="s">
        <v>190</v>
      </c>
      <c r="FS680" s="319" t="s">
        <v>428</v>
      </c>
      <c r="FT680" s="319" t="s">
        <v>190</v>
      </c>
      <c r="FU680" s="319" t="s">
        <v>190</v>
      </c>
      <c r="FV680" s="319" t="s">
        <v>190</v>
      </c>
      <c r="FW680" s="319" t="s">
        <v>190</v>
      </c>
      <c r="FX680" s="319" t="s">
        <v>190</v>
      </c>
      <c r="FY680" s="319" t="s">
        <v>190</v>
      </c>
      <c r="FZ680" s="319" t="s">
        <v>191</v>
      </c>
      <c r="GA680" s="319" t="s">
        <v>190</v>
      </c>
      <c r="GB680" s="319" t="s">
        <v>190</v>
      </c>
      <c r="GC680" s="319" t="s">
        <v>190</v>
      </c>
      <c r="GD680" s="319" t="s">
        <v>191</v>
      </c>
      <c r="GE680" s="319" t="s">
        <v>190</v>
      </c>
      <c r="GF680" s="319" t="s">
        <v>190</v>
      </c>
      <c r="GG680" s="319" t="s">
        <v>190</v>
      </c>
      <c r="GH680" s="319" t="s">
        <v>190</v>
      </c>
      <c r="GI680" s="319" t="s">
        <v>190</v>
      </c>
      <c r="GJ680" s="319" t="s">
        <v>190</v>
      </c>
      <c r="GK680" s="319" t="s">
        <v>428</v>
      </c>
      <c r="GL680" s="319" t="s">
        <v>191</v>
      </c>
      <c r="GM680" s="319" t="s">
        <v>190</v>
      </c>
      <c r="GN680" s="319" t="s">
        <v>190</v>
      </c>
      <c r="GO680" s="319" t="s">
        <v>190</v>
      </c>
      <c r="GP680" s="319" t="s">
        <v>190</v>
      </c>
      <c r="GQ680" s="319" t="s">
        <v>428</v>
      </c>
      <c r="GR680" s="319" t="s">
        <v>190</v>
      </c>
      <c r="GS680" s="319" t="s">
        <v>191</v>
      </c>
      <c r="GT680" s="319" t="s">
        <v>191</v>
      </c>
      <c r="GU680" s="319" t="s">
        <v>190</v>
      </c>
      <c r="GV680" s="319" t="s">
        <v>190</v>
      </c>
      <c r="GW680" s="319" t="s">
        <v>190</v>
      </c>
      <c r="GX680" s="319" t="s">
        <v>190</v>
      </c>
      <c r="GY680" s="319" t="s">
        <v>190</v>
      </c>
      <c r="GZ680" s="319" t="s">
        <v>428</v>
      </c>
      <c r="HA680" s="319" t="s">
        <v>190</v>
      </c>
      <c r="HB680" s="319" t="s">
        <v>190</v>
      </c>
      <c r="HC680" s="319" t="s">
        <v>190</v>
      </c>
      <c r="HD680" s="319" t="s">
        <v>191</v>
      </c>
      <c r="HE680" s="319" t="s">
        <v>190</v>
      </c>
      <c r="HF680" s="319" t="s">
        <v>190</v>
      </c>
      <c r="HG680" s="319" t="s">
        <v>191</v>
      </c>
      <c r="HH680" s="319" t="s">
        <v>190</v>
      </c>
      <c r="HI680" s="319" t="s">
        <v>191</v>
      </c>
      <c r="HJ680" s="319" t="s">
        <v>190</v>
      </c>
      <c r="HK680" s="319" t="s">
        <v>190</v>
      </c>
      <c r="HL680" s="319" t="s">
        <v>190</v>
      </c>
      <c r="HM680" s="319" t="s">
        <v>428</v>
      </c>
      <c r="HN680" s="319" t="s">
        <v>428</v>
      </c>
      <c r="HO680" s="319" t="s">
        <v>428</v>
      </c>
      <c r="HP680" s="319" t="s">
        <v>190</v>
      </c>
      <c r="HQ680" s="319" t="s">
        <v>190</v>
      </c>
      <c r="HR680" s="319" t="s">
        <v>190</v>
      </c>
      <c r="HS680" s="319" t="s">
        <v>190</v>
      </c>
      <c r="HT680" s="319" t="s">
        <v>190</v>
      </c>
      <c r="HU680" s="319" t="s">
        <v>190</v>
      </c>
      <c r="HV680" s="319" t="s">
        <v>190</v>
      </c>
      <c r="HW680" s="319" t="s">
        <v>190</v>
      </c>
      <c r="HX680" s="319" t="s">
        <v>190</v>
      </c>
      <c r="HY680" s="319" t="s">
        <v>190</v>
      </c>
      <c r="HZ680" s="319" t="s">
        <v>190</v>
      </c>
      <c r="IA680" s="319" t="s">
        <v>190</v>
      </c>
      <c r="IB680" s="319" t="s">
        <v>190</v>
      </c>
      <c r="IC680" s="319" t="s">
        <v>190</v>
      </c>
      <c r="ID680" s="319" t="s">
        <v>190</v>
      </c>
      <c r="IE680" s="319" t="s">
        <v>190</v>
      </c>
      <c r="IF680" s="319" t="s">
        <v>191</v>
      </c>
      <c r="IG680" s="319" t="s">
        <v>191</v>
      </c>
      <c r="IH680" s="319" t="s">
        <v>191</v>
      </c>
      <c r="II680" s="319" t="s">
        <v>190</v>
      </c>
      <c r="IJ680" s="319" t="s">
        <v>3424</v>
      </c>
      <c r="IK680" s="321">
        <v>41248</v>
      </c>
      <c r="IL680" s="321">
        <v>41249</v>
      </c>
      <c r="IM680" s="321">
        <v>41281</v>
      </c>
      <c r="IN680" s="319">
        <v>2</v>
      </c>
      <c r="IO680" s="319">
        <v>10100907</v>
      </c>
      <c r="IP680" s="319" t="s">
        <v>985</v>
      </c>
      <c r="IQ680" s="321">
        <v>43622</v>
      </c>
      <c r="IR680" s="320" t="s">
        <v>1223</v>
      </c>
      <c r="IS680" s="322">
        <v>43661</v>
      </c>
      <c r="IT680" s="319" t="s">
        <v>166</v>
      </c>
    </row>
    <row r="681" spans="1:254" s="271" customFormat="1" x14ac:dyDescent="0.25">
      <c r="A681" s="318" t="str">
        <f>HYPERLINK("http://www.ofsted.gov.uk/inspection-reports/find-inspection-report/provider/ELS/137819 ","Ofsted School Webpage")</f>
        <v>Ofsted School Webpage</v>
      </c>
      <c r="B681" s="319">
        <v>137819</v>
      </c>
      <c r="C681" s="319">
        <v>3306010</v>
      </c>
      <c r="D681" s="319" t="s">
        <v>2148</v>
      </c>
      <c r="E681" s="319" t="s">
        <v>167</v>
      </c>
      <c r="F681" s="319" t="s">
        <v>81</v>
      </c>
      <c r="G681" s="319" t="s">
        <v>81</v>
      </c>
      <c r="H681" s="319" t="s">
        <v>81</v>
      </c>
      <c r="I681" s="319" t="s">
        <v>78</v>
      </c>
      <c r="J681" s="319" t="s">
        <v>424</v>
      </c>
      <c r="K681" s="319" t="s">
        <v>437</v>
      </c>
      <c r="L681" s="319" t="s">
        <v>437</v>
      </c>
      <c r="M681" s="319" t="s">
        <v>813</v>
      </c>
      <c r="N681" s="319" t="s">
        <v>2858</v>
      </c>
      <c r="O681" s="319" t="s">
        <v>2149</v>
      </c>
      <c r="P681" s="319">
        <v>16</v>
      </c>
      <c r="Q681" s="319" t="s">
        <v>2766</v>
      </c>
      <c r="R681" s="320">
        <v>10112498</v>
      </c>
      <c r="S681" s="321">
        <v>43774</v>
      </c>
      <c r="T681" s="321">
        <v>43776</v>
      </c>
      <c r="U681" s="321">
        <v>43809</v>
      </c>
      <c r="V681" s="319" t="s">
        <v>425</v>
      </c>
      <c r="W681" s="319" t="s">
        <v>2767</v>
      </c>
      <c r="X681" s="319">
        <v>4</v>
      </c>
      <c r="Y681" s="319">
        <v>4</v>
      </c>
      <c r="Z681" s="319">
        <v>3</v>
      </c>
      <c r="AA681" s="319">
        <v>3</v>
      </c>
      <c r="AB681" s="319">
        <v>4</v>
      </c>
      <c r="AC681" s="319" t="s">
        <v>169</v>
      </c>
      <c r="AD681" s="319" t="s">
        <v>173</v>
      </c>
      <c r="AE681" s="319" t="s">
        <v>173</v>
      </c>
      <c r="AF681" s="319" t="s">
        <v>427</v>
      </c>
      <c r="AG681" s="319" t="s">
        <v>172</v>
      </c>
      <c r="AH681" s="319" t="s">
        <v>479</v>
      </c>
      <c r="AI681" s="319" t="s">
        <v>190</v>
      </c>
      <c r="AJ681" s="319" t="s">
        <v>190</v>
      </c>
      <c r="AK681" s="319" t="s">
        <v>190</v>
      </c>
      <c r="AL681" s="319" t="s">
        <v>190</v>
      </c>
      <c r="AM681" s="319" t="s">
        <v>190</v>
      </c>
      <c r="AN681" s="319" t="s">
        <v>190</v>
      </c>
      <c r="AO681" s="319" t="s">
        <v>479</v>
      </c>
      <c r="AP681" s="319" t="s">
        <v>191</v>
      </c>
      <c r="AQ681" s="319" t="s">
        <v>191</v>
      </c>
      <c r="AR681" s="319" t="s">
        <v>191</v>
      </c>
      <c r="AS681" s="319" t="s">
        <v>191</v>
      </c>
      <c r="AT681" s="319" t="s">
        <v>190</v>
      </c>
      <c r="AU681" s="319" t="s">
        <v>191</v>
      </c>
      <c r="AV681" s="319" t="s">
        <v>191</v>
      </c>
      <c r="AW681" s="319" t="s">
        <v>190</v>
      </c>
      <c r="AX681" s="319" t="s">
        <v>428</v>
      </c>
      <c r="AY681" s="319" t="s">
        <v>190</v>
      </c>
      <c r="AZ681" s="319" t="s">
        <v>190</v>
      </c>
      <c r="BA681" s="319" t="s">
        <v>190</v>
      </c>
      <c r="BB681" s="319" t="s">
        <v>191</v>
      </c>
      <c r="BC681" s="319" t="s">
        <v>191</v>
      </c>
      <c r="BD681" s="319" t="s">
        <v>191</v>
      </c>
      <c r="BE681" s="319" t="s">
        <v>191</v>
      </c>
      <c r="BF681" s="319" t="s">
        <v>190</v>
      </c>
      <c r="BG681" s="319" t="s">
        <v>190</v>
      </c>
      <c r="BH681" s="319" t="s">
        <v>191</v>
      </c>
      <c r="BI681" s="319" t="s">
        <v>190</v>
      </c>
      <c r="BJ681" s="319" t="s">
        <v>191</v>
      </c>
      <c r="BK681" s="319" t="s">
        <v>191</v>
      </c>
      <c r="BL681" s="319" t="s">
        <v>191</v>
      </c>
      <c r="BM681" s="319" t="s">
        <v>191</v>
      </c>
      <c r="BN681" s="319" t="s">
        <v>191</v>
      </c>
      <c r="BO681" s="319" t="s">
        <v>191</v>
      </c>
      <c r="BP681" s="319" t="s">
        <v>190</v>
      </c>
      <c r="BQ681" s="319" t="s">
        <v>191</v>
      </c>
      <c r="BR681" s="319" t="s">
        <v>190</v>
      </c>
      <c r="BS681" s="319" t="s">
        <v>190</v>
      </c>
      <c r="BT681" s="319" t="s">
        <v>190</v>
      </c>
      <c r="BU681" s="319" t="s">
        <v>190</v>
      </c>
      <c r="BV681" s="319" t="s">
        <v>190</v>
      </c>
      <c r="BW681" s="319" t="s">
        <v>190</v>
      </c>
      <c r="BX681" s="319" t="s">
        <v>190</v>
      </c>
      <c r="BY681" s="319" t="s">
        <v>190</v>
      </c>
      <c r="BZ681" s="319" t="s">
        <v>190</v>
      </c>
      <c r="CA681" s="319" t="s">
        <v>190</v>
      </c>
      <c r="CB681" s="319" t="s">
        <v>190</v>
      </c>
      <c r="CC681" s="319" t="s">
        <v>190</v>
      </c>
      <c r="CD681" s="319" t="s">
        <v>190</v>
      </c>
      <c r="CE681" s="319" t="s">
        <v>190</v>
      </c>
      <c r="CF681" s="319" t="s">
        <v>190</v>
      </c>
      <c r="CG681" s="319" t="s">
        <v>190</v>
      </c>
      <c r="CH681" s="319" t="s">
        <v>190</v>
      </c>
      <c r="CI681" s="319" t="s">
        <v>190</v>
      </c>
      <c r="CJ681" s="319" t="s">
        <v>190</v>
      </c>
      <c r="CK681" s="319" t="s">
        <v>190</v>
      </c>
      <c r="CL681" s="319" t="s">
        <v>190</v>
      </c>
      <c r="CM681" s="319" t="s">
        <v>190</v>
      </c>
      <c r="CN681" s="319" t="s">
        <v>428</v>
      </c>
      <c r="CO681" s="319" t="s">
        <v>428</v>
      </c>
      <c r="CP681" s="319" t="s">
        <v>428</v>
      </c>
      <c r="CQ681" s="319" t="s">
        <v>190</v>
      </c>
      <c r="CR681" s="319" t="s">
        <v>190</v>
      </c>
      <c r="CS681" s="319" t="s">
        <v>190</v>
      </c>
      <c r="CT681" s="319" t="s">
        <v>190</v>
      </c>
      <c r="CU681" s="319" t="s">
        <v>190</v>
      </c>
      <c r="CV681" s="319" t="s">
        <v>190</v>
      </c>
      <c r="CW681" s="319" t="s">
        <v>190</v>
      </c>
      <c r="CX681" s="319" t="s">
        <v>190</v>
      </c>
      <c r="CY681" s="319" t="s">
        <v>190</v>
      </c>
      <c r="CZ681" s="319" t="s">
        <v>190</v>
      </c>
      <c r="DA681" s="319" t="s">
        <v>190</v>
      </c>
      <c r="DB681" s="319" t="s">
        <v>190</v>
      </c>
      <c r="DC681" s="319" t="s">
        <v>190</v>
      </c>
      <c r="DD681" s="319" t="s">
        <v>190</v>
      </c>
      <c r="DE681" s="319" t="s">
        <v>190</v>
      </c>
      <c r="DF681" s="319" t="s">
        <v>190</v>
      </c>
      <c r="DG681" s="319" t="s">
        <v>190</v>
      </c>
      <c r="DH681" s="319" t="s">
        <v>190</v>
      </c>
      <c r="DI681" s="319" t="s">
        <v>190</v>
      </c>
      <c r="DJ681" s="319" t="s">
        <v>190</v>
      </c>
      <c r="DK681" s="319" t="s">
        <v>190</v>
      </c>
      <c r="DL681" s="319" t="s">
        <v>190</v>
      </c>
      <c r="DM681" s="319" t="s">
        <v>190</v>
      </c>
      <c r="DN681" s="319" t="s">
        <v>190</v>
      </c>
      <c r="DO681" s="319" t="s">
        <v>190</v>
      </c>
      <c r="DP681" s="319" t="s">
        <v>190</v>
      </c>
      <c r="DQ681" s="319" t="s">
        <v>190</v>
      </c>
      <c r="DR681" s="319" t="s">
        <v>190</v>
      </c>
      <c r="DS681" s="319" t="s">
        <v>190</v>
      </c>
      <c r="DT681" s="319" t="s">
        <v>190</v>
      </c>
      <c r="DU681" s="319" t="s">
        <v>190</v>
      </c>
      <c r="DV681" s="319" t="s">
        <v>190</v>
      </c>
      <c r="DW681" s="319" t="s">
        <v>190</v>
      </c>
      <c r="DX681" s="319" t="s">
        <v>190</v>
      </c>
      <c r="DY681" s="319" t="s">
        <v>190</v>
      </c>
      <c r="DZ681" s="319" t="s">
        <v>190</v>
      </c>
      <c r="EA681" s="319" t="s">
        <v>190</v>
      </c>
      <c r="EB681" s="319" t="s">
        <v>190</v>
      </c>
      <c r="EC681" s="319" t="s">
        <v>428</v>
      </c>
      <c r="ED681" s="319" t="s">
        <v>190</v>
      </c>
      <c r="EE681" s="319" t="s">
        <v>190</v>
      </c>
      <c r="EF681" s="319" t="s">
        <v>190</v>
      </c>
      <c r="EG681" s="319" t="s">
        <v>190</v>
      </c>
      <c r="EH681" s="319" t="s">
        <v>190</v>
      </c>
      <c r="EI681" s="319" t="s">
        <v>190</v>
      </c>
      <c r="EJ681" s="319" t="s">
        <v>190</v>
      </c>
      <c r="EK681" s="319" t="s">
        <v>190</v>
      </c>
      <c r="EL681" s="319" t="s">
        <v>190</v>
      </c>
      <c r="EM681" s="319" t="s">
        <v>190</v>
      </c>
      <c r="EN681" s="319" t="s">
        <v>190</v>
      </c>
      <c r="EO681" s="319" t="s">
        <v>190</v>
      </c>
      <c r="EP681" s="319" t="s">
        <v>190</v>
      </c>
      <c r="EQ681" s="319" t="s">
        <v>190</v>
      </c>
      <c r="ER681" s="319" t="s">
        <v>190</v>
      </c>
      <c r="ES681" s="319" t="s">
        <v>190</v>
      </c>
      <c r="ET681" s="319" t="s">
        <v>190</v>
      </c>
      <c r="EU681" s="319" t="s">
        <v>190</v>
      </c>
      <c r="EV681" s="319" t="s">
        <v>190</v>
      </c>
      <c r="EW681" s="319" t="s">
        <v>190</v>
      </c>
      <c r="EX681" s="319" t="s">
        <v>190</v>
      </c>
      <c r="EY681" s="319" t="s">
        <v>190</v>
      </c>
      <c r="EZ681" s="319" t="s">
        <v>190</v>
      </c>
      <c r="FA681" s="319" t="s">
        <v>190</v>
      </c>
      <c r="FB681" s="319" t="s">
        <v>190</v>
      </c>
      <c r="FC681" s="319" t="s">
        <v>190</v>
      </c>
      <c r="FD681" s="319" t="s">
        <v>190</v>
      </c>
      <c r="FE681" s="319" t="s">
        <v>190</v>
      </c>
      <c r="FF681" s="319" t="s">
        <v>428</v>
      </c>
      <c r="FG681" s="319" t="s">
        <v>190</v>
      </c>
      <c r="FH681" s="319" t="s">
        <v>190</v>
      </c>
      <c r="FI681" s="319" t="s">
        <v>190</v>
      </c>
      <c r="FJ681" s="319" t="s">
        <v>190</v>
      </c>
      <c r="FK681" s="319" t="s">
        <v>190</v>
      </c>
      <c r="FL681" s="319" t="s">
        <v>190</v>
      </c>
      <c r="FM681" s="319" t="s">
        <v>190</v>
      </c>
      <c r="FN681" s="319" t="s">
        <v>190</v>
      </c>
      <c r="FO681" s="319" t="s">
        <v>190</v>
      </c>
      <c r="FP681" s="319" t="s">
        <v>190</v>
      </c>
      <c r="FQ681" s="319" t="s">
        <v>190</v>
      </c>
      <c r="FR681" s="319" t="s">
        <v>190</v>
      </c>
      <c r="FS681" s="319" t="s">
        <v>190</v>
      </c>
      <c r="FT681" s="319" t="s">
        <v>190</v>
      </c>
      <c r="FU681" s="319" t="s">
        <v>190</v>
      </c>
      <c r="FV681" s="319" t="s">
        <v>190</v>
      </c>
      <c r="FW681" s="319" t="s">
        <v>190</v>
      </c>
      <c r="FX681" s="319" t="s">
        <v>190</v>
      </c>
      <c r="FY681" s="319" t="s">
        <v>190</v>
      </c>
      <c r="FZ681" s="319" t="s">
        <v>190</v>
      </c>
      <c r="GA681" s="319" t="s">
        <v>190</v>
      </c>
      <c r="GB681" s="319" t="s">
        <v>190</v>
      </c>
      <c r="GC681" s="319" t="s">
        <v>190</v>
      </c>
      <c r="GD681" s="319" t="s">
        <v>190</v>
      </c>
      <c r="GE681" s="319" t="s">
        <v>190</v>
      </c>
      <c r="GF681" s="319" t="s">
        <v>190</v>
      </c>
      <c r="GG681" s="319" t="s">
        <v>190</v>
      </c>
      <c r="GH681" s="319" t="s">
        <v>190</v>
      </c>
      <c r="GI681" s="319" t="s">
        <v>190</v>
      </c>
      <c r="GJ681" s="319" t="s">
        <v>190</v>
      </c>
      <c r="GK681" s="319" t="s">
        <v>428</v>
      </c>
      <c r="GL681" s="319" t="s">
        <v>190</v>
      </c>
      <c r="GM681" s="319" t="s">
        <v>190</v>
      </c>
      <c r="GN681" s="319" t="s">
        <v>190</v>
      </c>
      <c r="GO681" s="319" t="s">
        <v>190</v>
      </c>
      <c r="GP681" s="319" t="s">
        <v>190</v>
      </c>
      <c r="GQ681" s="319" t="s">
        <v>428</v>
      </c>
      <c r="GR681" s="319" t="s">
        <v>190</v>
      </c>
      <c r="GS681" s="319" t="s">
        <v>190</v>
      </c>
      <c r="GT681" s="319" t="s">
        <v>190</v>
      </c>
      <c r="GU681" s="319" t="s">
        <v>190</v>
      </c>
      <c r="GV681" s="319" t="s">
        <v>190</v>
      </c>
      <c r="GW681" s="319" t="s">
        <v>190</v>
      </c>
      <c r="GX681" s="319" t="s">
        <v>190</v>
      </c>
      <c r="GY681" s="319" t="s">
        <v>190</v>
      </c>
      <c r="GZ681" s="319" t="s">
        <v>190</v>
      </c>
      <c r="HA681" s="319" t="s">
        <v>190</v>
      </c>
      <c r="HB681" s="319" t="s">
        <v>190</v>
      </c>
      <c r="HC681" s="319" t="s">
        <v>190</v>
      </c>
      <c r="HD681" s="319" t="s">
        <v>190</v>
      </c>
      <c r="HE681" s="319" t="s">
        <v>190</v>
      </c>
      <c r="HF681" s="319" t="s">
        <v>190</v>
      </c>
      <c r="HG681" s="319" t="s">
        <v>190</v>
      </c>
      <c r="HH681" s="319" t="s">
        <v>190</v>
      </c>
      <c r="HI681" s="319" t="s">
        <v>190</v>
      </c>
      <c r="HJ681" s="319" t="s">
        <v>190</v>
      </c>
      <c r="HK681" s="319" t="s">
        <v>190</v>
      </c>
      <c r="HL681" s="319" t="s">
        <v>428</v>
      </c>
      <c r="HM681" s="319" t="s">
        <v>428</v>
      </c>
      <c r="HN681" s="319" t="s">
        <v>428</v>
      </c>
      <c r="HO681" s="319" t="s">
        <v>428</v>
      </c>
      <c r="HP681" s="319" t="s">
        <v>190</v>
      </c>
      <c r="HQ681" s="319" t="s">
        <v>190</v>
      </c>
      <c r="HR681" s="319" t="s">
        <v>190</v>
      </c>
      <c r="HS681" s="319" t="s">
        <v>190</v>
      </c>
      <c r="HT681" s="319" t="s">
        <v>190</v>
      </c>
      <c r="HU681" s="319" t="s">
        <v>190</v>
      </c>
      <c r="HV681" s="319" t="s">
        <v>190</v>
      </c>
      <c r="HW681" s="319" t="s">
        <v>190</v>
      </c>
      <c r="HX681" s="319" t="s">
        <v>190</v>
      </c>
      <c r="HY681" s="319" t="s">
        <v>190</v>
      </c>
      <c r="HZ681" s="319" t="s">
        <v>190</v>
      </c>
      <c r="IA681" s="319" t="s">
        <v>190</v>
      </c>
      <c r="IB681" s="319" t="s">
        <v>190</v>
      </c>
      <c r="IC681" s="319" t="s">
        <v>190</v>
      </c>
      <c r="ID681" s="319" t="s">
        <v>190</v>
      </c>
      <c r="IE681" s="319" t="s">
        <v>190</v>
      </c>
      <c r="IF681" s="319" t="s">
        <v>191</v>
      </c>
      <c r="IG681" s="319" t="s">
        <v>191</v>
      </c>
      <c r="IH681" s="319" t="s">
        <v>191</v>
      </c>
      <c r="II681" s="319" t="s">
        <v>190</v>
      </c>
      <c r="IJ681" s="319">
        <v>10020898</v>
      </c>
      <c r="IK681" s="321">
        <v>43179</v>
      </c>
      <c r="IL681" s="321">
        <v>43181</v>
      </c>
      <c r="IM681" s="321">
        <v>43283</v>
      </c>
      <c r="IN681" s="319">
        <v>4</v>
      </c>
      <c r="IO681" s="319" t="s">
        <v>173</v>
      </c>
      <c r="IP681" s="319" t="s">
        <v>173</v>
      </c>
      <c r="IQ681" s="319" t="s">
        <v>173</v>
      </c>
      <c r="IR681" s="320" t="s">
        <v>173</v>
      </c>
      <c r="IS681" s="320" t="s">
        <v>173</v>
      </c>
      <c r="IT681" s="319" t="s">
        <v>173</v>
      </c>
    </row>
    <row r="682" spans="1:254" s="271" customFormat="1" x14ac:dyDescent="0.25">
      <c r="A682" s="318" t="str">
        <f>HYPERLINK("http://www.ofsted.gov.uk/inspection-reports/find-inspection-report/provider/ELS/137821 ","Ofsted School Webpage")</f>
        <v>Ofsted School Webpage</v>
      </c>
      <c r="B682" s="319">
        <v>137821</v>
      </c>
      <c r="C682" s="319">
        <v>3596000</v>
      </c>
      <c r="D682" s="319" t="s">
        <v>859</v>
      </c>
      <c r="E682" s="319" t="s">
        <v>168</v>
      </c>
      <c r="F682" s="319" t="s">
        <v>81</v>
      </c>
      <c r="G682" s="319" t="s">
        <v>81</v>
      </c>
      <c r="H682" s="319" t="s">
        <v>81</v>
      </c>
      <c r="I682" s="319" t="s">
        <v>78</v>
      </c>
      <c r="J682" s="319" t="s">
        <v>424</v>
      </c>
      <c r="K682" s="319" t="s">
        <v>431</v>
      </c>
      <c r="L682" s="319" t="s">
        <v>431</v>
      </c>
      <c r="M682" s="319" t="s">
        <v>432</v>
      </c>
      <c r="N682" s="319" t="s">
        <v>3308</v>
      </c>
      <c r="O682" s="319" t="s">
        <v>860</v>
      </c>
      <c r="P682" s="319">
        <v>6</v>
      </c>
      <c r="Q682" s="319" t="s">
        <v>429</v>
      </c>
      <c r="R682" s="320">
        <v>10067911</v>
      </c>
      <c r="S682" s="321">
        <v>43487</v>
      </c>
      <c r="T682" s="321">
        <v>43489</v>
      </c>
      <c r="U682" s="321">
        <v>43513</v>
      </c>
      <c r="V682" s="319" t="s">
        <v>425</v>
      </c>
      <c r="W682" s="319" t="s">
        <v>2767</v>
      </c>
      <c r="X682" s="319">
        <v>2</v>
      </c>
      <c r="Y682" s="319" t="s">
        <v>173</v>
      </c>
      <c r="Z682" s="319" t="s">
        <v>173</v>
      </c>
      <c r="AA682" s="319" t="s">
        <v>173</v>
      </c>
      <c r="AB682" s="319">
        <v>2</v>
      </c>
      <c r="AC682" s="319" t="s">
        <v>169</v>
      </c>
      <c r="AD682" s="319" t="s">
        <v>173</v>
      </c>
      <c r="AE682" s="319" t="s">
        <v>173</v>
      </c>
      <c r="AF682" s="319" t="s">
        <v>427</v>
      </c>
      <c r="AG682" s="319" t="s">
        <v>171</v>
      </c>
      <c r="AH682" s="319" t="s">
        <v>190</v>
      </c>
      <c r="AI682" s="319" t="s">
        <v>190</v>
      </c>
      <c r="AJ682" s="319" t="s">
        <v>190</v>
      </c>
      <c r="AK682" s="319" t="s">
        <v>190</v>
      </c>
      <c r="AL682" s="319" t="s">
        <v>190</v>
      </c>
      <c r="AM682" s="319" t="s">
        <v>190</v>
      </c>
      <c r="AN682" s="319" t="s">
        <v>190</v>
      </c>
      <c r="AO682" s="319" t="s">
        <v>190</v>
      </c>
      <c r="AP682" s="319" t="s">
        <v>190</v>
      </c>
      <c r="AQ682" s="319" t="s">
        <v>190</v>
      </c>
      <c r="AR682" s="319" t="s">
        <v>190</v>
      </c>
      <c r="AS682" s="319" t="s">
        <v>190</v>
      </c>
      <c r="AT682" s="319" t="s">
        <v>190</v>
      </c>
      <c r="AU682" s="319" t="s">
        <v>190</v>
      </c>
      <c r="AV682" s="319" t="s">
        <v>190</v>
      </c>
      <c r="AW682" s="319" t="s">
        <v>190</v>
      </c>
      <c r="AX682" s="319" t="s">
        <v>190</v>
      </c>
      <c r="AY682" s="319" t="s">
        <v>190</v>
      </c>
      <c r="AZ682" s="319" t="s">
        <v>190</v>
      </c>
      <c r="BA682" s="319" t="s">
        <v>190</v>
      </c>
      <c r="BB682" s="319" t="s">
        <v>190</v>
      </c>
      <c r="BC682" s="319" t="s">
        <v>190</v>
      </c>
      <c r="BD682" s="319" t="s">
        <v>190</v>
      </c>
      <c r="BE682" s="319" t="s">
        <v>190</v>
      </c>
      <c r="BF682" s="319" t="s">
        <v>191</v>
      </c>
      <c r="BG682" s="319" t="s">
        <v>428</v>
      </c>
      <c r="BH682" s="319" t="s">
        <v>190</v>
      </c>
      <c r="BI682" s="319" t="s">
        <v>190</v>
      </c>
      <c r="BJ682" s="319" t="s">
        <v>190</v>
      </c>
      <c r="BK682" s="319" t="s">
        <v>190</v>
      </c>
      <c r="BL682" s="319" t="s">
        <v>190</v>
      </c>
      <c r="BM682" s="319" t="s">
        <v>190</v>
      </c>
      <c r="BN682" s="319" t="s">
        <v>190</v>
      </c>
      <c r="BO682" s="319" t="s">
        <v>190</v>
      </c>
      <c r="BP682" s="319" t="s">
        <v>190</v>
      </c>
      <c r="BQ682" s="319" t="s">
        <v>190</v>
      </c>
      <c r="BR682" s="319" t="s">
        <v>190</v>
      </c>
      <c r="BS682" s="319" t="s">
        <v>190</v>
      </c>
      <c r="BT682" s="319" t="s">
        <v>190</v>
      </c>
      <c r="BU682" s="319" t="s">
        <v>190</v>
      </c>
      <c r="BV682" s="319" t="s">
        <v>190</v>
      </c>
      <c r="BW682" s="319" t="s">
        <v>190</v>
      </c>
      <c r="BX682" s="319" t="s">
        <v>190</v>
      </c>
      <c r="BY682" s="319" t="s">
        <v>190</v>
      </c>
      <c r="BZ682" s="319" t="s">
        <v>190</v>
      </c>
      <c r="CA682" s="319" t="s">
        <v>190</v>
      </c>
      <c r="CB682" s="319" t="s">
        <v>190</v>
      </c>
      <c r="CC682" s="319" t="s">
        <v>190</v>
      </c>
      <c r="CD682" s="319" t="s">
        <v>190</v>
      </c>
      <c r="CE682" s="319" t="s">
        <v>190</v>
      </c>
      <c r="CF682" s="319" t="s">
        <v>190</v>
      </c>
      <c r="CG682" s="319" t="s">
        <v>190</v>
      </c>
      <c r="CH682" s="319" t="s">
        <v>190</v>
      </c>
      <c r="CI682" s="319" t="s">
        <v>190</v>
      </c>
      <c r="CJ682" s="319" t="s">
        <v>190</v>
      </c>
      <c r="CK682" s="319" t="s">
        <v>190</v>
      </c>
      <c r="CL682" s="319" t="s">
        <v>190</v>
      </c>
      <c r="CM682" s="319" t="s">
        <v>190</v>
      </c>
      <c r="CN682" s="319" t="s">
        <v>190</v>
      </c>
      <c r="CO682" s="319" t="s">
        <v>428</v>
      </c>
      <c r="CP682" s="319" t="s">
        <v>428</v>
      </c>
      <c r="CQ682" s="319" t="s">
        <v>190</v>
      </c>
      <c r="CR682" s="319" t="s">
        <v>190</v>
      </c>
      <c r="CS682" s="319" t="s">
        <v>190</v>
      </c>
      <c r="CT682" s="319" t="s">
        <v>190</v>
      </c>
      <c r="CU682" s="319" t="s">
        <v>190</v>
      </c>
      <c r="CV682" s="319" t="s">
        <v>190</v>
      </c>
      <c r="CW682" s="319" t="s">
        <v>190</v>
      </c>
      <c r="CX682" s="319" t="s">
        <v>190</v>
      </c>
      <c r="CY682" s="319" t="s">
        <v>190</v>
      </c>
      <c r="CZ682" s="319" t="s">
        <v>190</v>
      </c>
      <c r="DA682" s="319" t="s">
        <v>190</v>
      </c>
      <c r="DB682" s="319" t="s">
        <v>190</v>
      </c>
      <c r="DC682" s="319" t="s">
        <v>190</v>
      </c>
      <c r="DD682" s="319" t="s">
        <v>190</v>
      </c>
      <c r="DE682" s="319" t="s">
        <v>190</v>
      </c>
      <c r="DF682" s="319" t="s">
        <v>190</v>
      </c>
      <c r="DG682" s="319" t="s">
        <v>190</v>
      </c>
      <c r="DH682" s="319" t="s">
        <v>190</v>
      </c>
      <c r="DI682" s="319" t="s">
        <v>190</v>
      </c>
      <c r="DJ682" s="319" t="s">
        <v>190</v>
      </c>
      <c r="DK682" s="319" t="s">
        <v>190</v>
      </c>
      <c r="DL682" s="319" t="s">
        <v>190</v>
      </c>
      <c r="DM682" s="319" t="s">
        <v>190</v>
      </c>
      <c r="DN682" s="319" t="s">
        <v>190</v>
      </c>
      <c r="DO682" s="319" t="s">
        <v>190</v>
      </c>
      <c r="DP682" s="319" t="s">
        <v>190</v>
      </c>
      <c r="DQ682" s="319" t="s">
        <v>190</v>
      </c>
      <c r="DR682" s="319" t="s">
        <v>190</v>
      </c>
      <c r="DS682" s="319" t="s">
        <v>190</v>
      </c>
      <c r="DT682" s="319" t="s">
        <v>190</v>
      </c>
      <c r="DU682" s="319" t="s">
        <v>190</v>
      </c>
      <c r="DV682" s="319" t="s">
        <v>173</v>
      </c>
      <c r="DW682" s="319" t="s">
        <v>190</v>
      </c>
      <c r="DX682" s="319" t="s">
        <v>190</v>
      </c>
      <c r="DY682" s="319" t="s">
        <v>190</v>
      </c>
      <c r="DZ682" s="319" t="s">
        <v>190</v>
      </c>
      <c r="EA682" s="319" t="s">
        <v>190</v>
      </c>
      <c r="EB682" s="319" t="s">
        <v>190</v>
      </c>
      <c r="EC682" s="319" t="s">
        <v>190</v>
      </c>
      <c r="ED682" s="319" t="s">
        <v>190</v>
      </c>
      <c r="EE682" s="319" t="s">
        <v>190</v>
      </c>
      <c r="EF682" s="319" t="s">
        <v>190</v>
      </c>
      <c r="EG682" s="319" t="s">
        <v>190</v>
      </c>
      <c r="EH682" s="319" t="s">
        <v>190</v>
      </c>
      <c r="EI682" s="319" t="s">
        <v>190</v>
      </c>
      <c r="EJ682" s="319" t="s">
        <v>190</v>
      </c>
      <c r="EK682" s="319" t="s">
        <v>190</v>
      </c>
      <c r="EL682" s="319" t="s">
        <v>190</v>
      </c>
      <c r="EM682" s="319" t="s">
        <v>190</v>
      </c>
      <c r="EN682" s="319" t="s">
        <v>190</v>
      </c>
      <c r="EO682" s="319" t="s">
        <v>190</v>
      </c>
      <c r="EP682" s="319" t="s">
        <v>190</v>
      </c>
      <c r="EQ682" s="319" t="s">
        <v>190</v>
      </c>
      <c r="ER682" s="319" t="s">
        <v>190</v>
      </c>
      <c r="ES682" s="319" t="s">
        <v>190</v>
      </c>
      <c r="ET682" s="319" t="s">
        <v>190</v>
      </c>
      <c r="EU682" s="319" t="s">
        <v>190</v>
      </c>
      <c r="EV682" s="319" t="s">
        <v>190</v>
      </c>
      <c r="EW682" s="319" t="s">
        <v>190</v>
      </c>
      <c r="EX682" s="319" t="s">
        <v>190</v>
      </c>
      <c r="EY682" s="319" t="s">
        <v>190</v>
      </c>
      <c r="EZ682" s="319" t="s">
        <v>190</v>
      </c>
      <c r="FA682" s="319" t="s">
        <v>190</v>
      </c>
      <c r="FB682" s="319" t="s">
        <v>190</v>
      </c>
      <c r="FC682" s="319" t="s">
        <v>190</v>
      </c>
      <c r="FD682" s="319" t="s">
        <v>190</v>
      </c>
      <c r="FE682" s="319" t="s">
        <v>190</v>
      </c>
      <c r="FF682" s="319" t="s">
        <v>190</v>
      </c>
      <c r="FG682" s="319" t="s">
        <v>190</v>
      </c>
      <c r="FH682" s="319" t="s">
        <v>190</v>
      </c>
      <c r="FI682" s="319" t="s">
        <v>190</v>
      </c>
      <c r="FJ682" s="319" t="s">
        <v>190</v>
      </c>
      <c r="FK682" s="319" t="s">
        <v>190</v>
      </c>
      <c r="FL682" s="319" t="s">
        <v>190</v>
      </c>
      <c r="FM682" s="319" t="s">
        <v>190</v>
      </c>
      <c r="FN682" s="319" t="s">
        <v>190</v>
      </c>
      <c r="FO682" s="319" t="s">
        <v>190</v>
      </c>
      <c r="FP682" s="319" t="s">
        <v>190</v>
      </c>
      <c r="FQ682" s="319" t="s">
        <v>190</v>
      </c>
      <c r="FR682" s="319" t="s">
        <v>190</v>
      </c>
      <c r="FS682" s="319" t="s">
        <v>190</v>
      </c>
      <c r="FT682" s="319" t="s">
        <v>190</v>
      </c>
      <c r="FU682" s="319" t="s">
        <v>190</v>
      </c>
      <c r="FV682" s="319" t="s">
        <v>190</v>
      </c>
      <c r="FW682" s="319" t="s">
        <v>190</v>
      </c>
      <c r="FX682" s="319" t="s">
        <v>190</v>
      </c>
      <c r="FY682" s="319" t="s">
        <v>190</v>
      </c>
      <c r="FZ682" s="319" t="s">
        <v>190</v>
      </c>
      <c r="GA682" s="319" t="s">
        <v>190</v>
      </c>
      <c r="GB682" s="319" t="s">
        <v>190</v>
      </c>
      <c r="GC682" s="319" t="s">
        <v>190</v>
      </c>
      <c r="GD682" s="319" t="s">
        <v>190</v>
      </c>
      <c r="GE682" s="319" t="s">
        <v>190</v>
      </c>
      <c r="GF682" s="319" t="s">
        <v>190</v>
      </c>
      <c r="GG682" s="319" t="s">
        <v>190</v>
      </c>
      <c r="GH682" s="319" t="s">
        <v>190</v>
      </c>
      <c r="GI682" s="319" t="s">
        <v>190</v>
      </c>
      <c r="GJ682" s="319" t="s">
        <v>190</v>
      </c>
      <c r="GK682" s="319" t="s">
        <v>428</v>
      </c>
      <c r="GL682" s="319" t="s">
        <v>190</v>
      </c>
      <c r="GM682" s="319" t="s">
        <v>190</v>
      </c>
      <c r="GN682" s="319" t="s">
        <v>190</v>
      </c>
      <c r="GO682" s="319" t="s">
        <v>190</v>
      </c>
      <c r="GP682" s="319" t="s">
        <v>428</v>
      </c>
      <c r="GQ682" s="319" t="s">
        <v>428</v>
      </c>
      <c r="GR682" s="319" t="s">
        <v>190</v>
      </c>
      <c r="GS682" s="319" t="s">
        <v>190</v>
      </c>
      <c r="GT682" s="319" t="s">
        <v>190</v>
      </c>
      <c r="GU682" s="319" t="s">
        <v>190</v>
      </c>
      <c r="GV682" s="319" t="s">
        <v>190</v>
      </c>
      <c r="GW682" s="319" t="s">
        <v>190</v>
      </c>
      <c r="GX682" s="319" t="s">
        <v>190</v>
      </c>
      <c r="GY682" s="319" t="s">
        <v>190</v>
      </c>
      <c r="GZ682" s="319" t="s">
        <v>190</v>
      </c>
      <c r="HA682" s="319" t="s">
        <v>428</v>
      </c>
      <c r="HB682" s="319" t="s">
        <v>428</v>
      </c>
      <c r="HC682" s="319" t="s">
        <v>190</v>
      </c>
      <c r="HD682" s="319" t="s">
        <v>190</v>
      </c>
      <c r="HE682" s="319" t="s">
        <v>190</v>
      </c>
      <c r="HF682" s="319" t="s">
        <v>190</v>
      </c>
      <c r="HG682" s="319" t="s">
        <v>190</v>
      </c>
      <c r="HH682" s="319" t="s">
        <v>190</v>
      </c>
      <c r="HI682" s="319" t="s">
        <v>190</v>
      </c>
      <c r="HJ682" s="319" t="s">
        <v>190</v>
      </c>
      <c r="HK682" s="319" t="s">
        <v>190</v>
      </c>
      <c r="HL682" s="319" t="s">
        <v>190</v>
      </c>
      <c r="HM682" s="319" t="s">
        <v>190</v>
      </c>
      <c r="HN682" s="319" t="s">
        <v>190</v>
      </c>
      <c r="HO682" s="319" t="s">
        <v>190</v>
      </c>
      <c r="HP682" s="319" t="s">
        <v>190</v>
      </c>
      <c r="HQ682" s="319" t="s">
        <v>190</v>
      </c>
      <c r="HR682" s="319" t="s">
        <v>190</v>
      </c>
      <c r="HS682" s="319" t="s">
        <v>190</v>
      </c>
      <c r="HT682" s="319" t="s">
        <v>190</v>
      </c>
      <c r="HU682" s="319" t="s">
        <v>190</v>
      </c>
      <c r="HV682" s="319" t="s">
        <v>190</v>
      </c>
      <c r="HW682" s="319" t="s">
        <v>190</v>
      </c>
      <c r="HX682" s="319" t="s">
        <v>190</v>
      </c>
      <c r="HY682" s="319" t="s">
        <v>190</v>
      </c>
      <c r="HZ682" s="319" t="s">
        <v>190</v>
      </c>
      <c r="IA682" s="319" t="s">
        <v>190</v>
      </c>
      <c r="IB682" s="319" t="s">
        <v>190</v>
      </c>
      <c r="IC682" s="319" t="s">
        <v>190</v>
      </c>
      <c r="ID682" s="319" t="s">
        <v>190</v>
      </c>
      <c r="IE682" s="319" t="s">
        <v>190</v>
      </c>
      <c r="IF682" s="319" t="s">
        <v>190</v>
      </c>
      <c r="IG682" s="319" t="s">
        <v>190</v>
      </c>
      <c r="IH682" s="319" t="s">
        <v>190</v>
      </c>
      <c r="II682" s="319" t="s">
        <v>190</v>
      </c>
      <c r="IJ682" s="319">
        <v>10008886</v>
      </c>
      <c r="IK682" s="321">
        <v>42563</v>
      </c>
      <c r="IL682" s="321">
        <v>42565</v>
      </c>
      <c r="IM682" s="321">
        <v>42633</v>
      </c>
      <c r="IN682" s="319">
        <v>2</v>
      </c>
      <c r="IO682" s="319" t="s">
        <v>173</v>
      </c>
      <c r="IP682" s="319" t="s">
        <v>173</v>
      </c>
      <c r="IQ682" s="319" t="s">
        <v>173</v>
      </c>
      <c r="IR682" s="320" t="s">
        <v>173</v>
      </c>
      <c r="IS682" s="320" t="s">
        <v>173</v>
      </c>
      <c r="IT682" s="319" t="s">
        <v>173</v>
      </c>
    </row>
    <row r="683" spans="1:254" s="271" customFormat="1" x14ac:dyDescent="0.25">
      <c r="A683" s="318" t="str">
        <f>HYPERLINK("http://www.ofsted.gov.uk/inspection-reports/find-inspection-report/provider/ELS/137822 ","Ofsted School Webpage")</f>
        <v>Ofsted School Webpage</v>
      </c>
      <c r="B683" s="319">
        <v>137822</v>
      </c>
      <c r="C683" s="319">
        <v>3536000</v>
      </c>
      <c r="D683" s="319" t="s">
        <v>933</v>
      </c>
      <c r="E683" s="319" t="s">
        <v>167</v>
      </c>
      <c r="F683" s="319" t="s">
        <v>71</v>
      </c>
      <c r="G683" s="319" t="s">
        <v>72</v>
      </c>
      <c r="H683" s="319" t="s">
        <v>71</v>
      </c>
      <c r="I683" s="319" t="s">
        <v>72</v>
      </c>
      <c r="J683" s="319" t="s">
        <v>424</v>
      </c>
      <c r="K683" s="319" t="s">
        <v>431</v>
      </c>
      <c r="L683" s="319" t="s">
        <v>431</v>
      </c>
      <c r="M683" s="319" t="s">
        <v>784</v>
      </c>
      <c r="N683" s="319" t="s">
        <v>3131</v>
      </c>
      <c r="O683" s="319" t="s">
        <v>934</v>
      </c>
      <c r="P683" s="319">
        <v>239</v>
      </c>
      <c r="Q683" s="319" t="s">
        <v>2776</v>
      </c>
      <c r="R683" s="320">
        <v>10067912</v>
      </c>
      <c r="S683" s="321">
        <v>43508</v>
      </c>
      <c r="T683" s="321">
        <v>43510</v>
      </c>
      <c r="U683" s="321">
        <v>43538</v>
      </c>
      <c r="V683" s="319" t="s">
        <v>425</v>
      </c>
      <c r="W683" s="319" t="s">
        <v>2767</v>
      </c>
      <c r="X683" s="319">
        <v>1</v>
      </c>
      <c r="Y683" s="319" t="s">
        <v>173</v>
      </c>
      <c r="Z683" s="319" t="s">
        <v>173</v>
      </c>
      <c r="AA683" s="319" t="s">
        <v>173</v>
      </c>
      <c r="AB683" s="319">
        <v>1</v>
      </c>
      <c r="AC683" s="319" t="s">
        <v>169</v>
      </c>
      <c r="AD683" s="319">
        <v>1</v>
      </c>
      <c r="AE683" s="319">
        <v>1</v>
      </c>
      <c r="AF683" s="319" t="s">
        <v>427</v>
      </c>
      <c r="AG683" s="319" t="s">
        <v>171</v>
      </c>
      <c r="AH683" s="319" t="s">
        <v>190</v>
      </c>
      <c r="AI683" s="319" t="s">
        <v>190</v>
      </c>
      <c r="AJ683" s="319" t="s">
        <v>190</v>
      </c>
      <c r="AK683" s="319" t="s">
        <v>190</v>
      </c>
      <c r="AL683" s="319" t="s">
        <v>190</v>
      </c>
      <c r="AM683" s="319" t="s">
        <v>190</v>
      </c>
      <c r="AN683" s="319" t="s">
        <v>190</v>
      </c>
      <c r="AO683" s="319" t="s">
        <v>190</v>
      </c>
      <c r="AP683" s="319" t="s">
        <v>190</v>
      </c>
      <c r="AQ683" s="319" t="s">
        <v>190</v>
      </c>
      <c r="AR683" s="319" t="s">
        <v>190</v>
      </c>
      <c r="AS683" s="319" t="s">
        <v>190</v>
      </c>
      <c r="AT683" s="319" t="s">
        <v>190</v>
      </c>
      <c r="AU683" s="319" t="s">
        <v>190</v>
      </c>
      <c r="AV683" s="319" t="s">
        <v>190</v>
      </c>
      <c r="AW683" s="319" t="s">
        <v>190</v>
      </c>
      <c r="AX683" s="319" t="s">
        <v>190</v>
      </c>
      <c r="AY683" s="319" t="s">
        <v>190</v>
      </c>
      <c r="AZ683" s="319" t="s">
        <v>190</v>
      </c>
      <c r="BA683" s="319" t="s">
        <v>190</v>
      </c>
      <c r="BB683" s="319" t="s">
        <v>190</v>
      </c>
      <c r="BC683" s="319" t="s">
        <v>190</v>
      </c>
      <c r="BD683" s="319" t="s">
        <v>190</v>
      </c>
      <c r="BE683" s="319" t="s">
        <v>190</v>
      </c>
      <c r="BF683" s="319" t="s">
        <v>190</v>
      </c>
      <c r="BG683" s="319" t="s">
        <v>190</v>
      </c>
      <c r="BH683" s="319" t="s">
        <v>190</v>
      </c>
      <c r="BI683" s="319" t="s">
        <v>190</v>
      </c>
      <c r="BJ683" s="319" t="s">
        <v>190</v>
      </c>
      <c r="BK683" s="319" t="s">
        <v>190</v>
      </c>
      <c r="BL683" s="319" t="s">
        <v>190</v>
      </c>
      <c r="BM683" s="319" t="s">
        <v>190</v>
      </c>
      <c r="BN683" s="319" t="s">
        <v>190</v>
      </c>
      <c r="BO683" s="319" t="s">
        <v>190</v>
      </c>
      <c r="BP683" s="319" t="s">
        <v>190</v>
      </c>
      <c r="BQ683" s="319" t="s">
        <v>190</v>
      </c>
      <c r="BR683" s="319" t="s">
        <v>190</v>
      </c>
      <c r="BS683" s="319" t="s">
        <v>190</v>
      </c>
      <c r="BT683" s="319" t="s">
        <v>190</v>
      </c>
      <c r="BU683" s="319" t="s">
        <v>190</v>
      </c>
      <c r="BV683" s="319" t="s">
        <v>190</v>
      </c>
      <c r="BW683" s="319" t="s">
        <v>190</v>
      </c>
      <c r="BX683" s="319" t="s">
        <v>190</v>
      </c>
      <c r="BY683" s="319" t="s">
        <v>190</v>
      </c>
      <c r="BZ683" s="319" t="s">
        <v>190</v>
      </c>
      <c r="CA683" s="319" t="s">
        <v>190</v>
      </c>
      <c r="CB683" s="319" t="s">
        <v>190</v>
      </c>
      <c r="CC683" s="319" t="s">
        <v>190</v>
      </c>
      <c r="CD683" s="319" t="s">
        <v>190</v>
      </c>
      <c r="CE683" s="319" t="s">
        <v>190</v>
      </c>
      <c r="CF683" s="319" t="s">
        <v>190</v>
      </c>
      <c r="CG683" s="319" t="s">
        <v>190</v>
      </c>
      <c r="CH683" s="319" t="s">
        <v>190</v>
      </c>
      <c r="CI683" s="319" t="s">
        <v>190</v>
      </c>
      <c r="CJ683" s="319" t="s">
        <v>190</v>
      </c>
      <c r="CK683" s="319" t="s">
        <v>190</v>
      </c>
      <c r="CL683" s="319" t="s">
        <v>190</v>
      </c>
      <c r="CM683" s="319" t="s">
        <v>190</v>
      </c>
      <c r="CN683" s="319" t="s">
        <v>190</v>
      </c>
      <c r="CO683" s="319" t="s">
        <v>428</v>
      </c>
      <c r="CP683" s="319" t="s">
        <v>428</v>
      </c>
      <c r="CQ683" s="319" t="s">
        <v>190</v>
      </c>
      <c r="CR683" s="319" t="s">
        <v>190</v>
      </c>
      <c r="CS683" s="319" t="s">
        <v>190</v>
      </c>
      <c r="CT683" s="319" t="s">
        <v>190</v>
      </c>
      <c r="CU683" s="319" t="s">
        <v>190</v>
      </c>
      <c r="CV683" s="319" t="s">
        <v>190</v>
      </c>
      <c r="CW683" s="319" t="s">
        <v>190</v>
      </c>
      <c r="CX683" s="319" t="s">
        <v>190</v>
      </c>
      <c r="CY683" s="319" t="s">
        <v>190</v>
      </c>
      <c r="CZ683" s="319" t="s">
        <v>190</v>
      </c>
      <c r="DA683" s="319" t="s">
        <v>190</v>
      </c>
      <c r="DB683" s="319" t="s">
        <v>190</v>
      </c>
      <c r="DC683" s="319" t="s">
        <v>190</v>
      </c>
      <c r="DD683" s="319" t="s">
        <v>190</v>
      </c>
      <c r="DE683" s="319" t="s">
        <v>190</v>
      </c>
      <c r="DF683" s="319" t="s">
        <v>190</v>
      </c>
      <c r="DG683" s="319" t="s">
        <v>190</v>
      </c>
      <c r="DH683" s="319" t="s">
        <v>190</v>
      </c>
      <c r="DI683" s="319" t="s">
        <v>190</v>
      </c>
      <c r="DJ683" s="319" t="s">
        <v>190</v>
      </c>
      <c r="DK683" s="319" t="s">
        <v>190</v>
      </c>
      <c r="DL683" s="319" t="s">
        <v>190</v>
      </c>
      <c r="DM683" s="319" t="s">
        <v>190</v>
      </c>
      <c r="DN683" s="319" t="s">
        <v>190</v>
      </c>
      <c r="DO683" s="319" t="s">
        <v>190</v>
      </c>
      <c r="DP683" s="319" t="s">
        <v>190</v>
      </c>
      <c r="DQ683" s="319" t="s">
        <v>190</v>
      </c>
      <c r="DR683" s="319" t="s">
        <v>190</v>
      </c>
      <c r="DS683" s="319" t="s">
        <v>190</v>
      </c>
      <c r="DT683" s="319" t="s">
        <v>190</v>
      </c>
      <c r="DU683" s="319" t="s">
        <v>190</v>
      </c>
      <c r="DV683" s="319" t="s">
        <v>173</v>
      </c>
      <c r="DW683" s="319" t="s">
        <v>190</v>
      </c>
      <c r="DX683" s="319" t="s">
        <v>190</v>
      </c>
      <c r="DY683" s="319" t="s">
        <v>190</v>
      </c>
      <c r="DZ683" s="319" t="s">
        <v>190</v>
      </c>
      <c r="EA683" s="319" t="s">
        <v>190</v>
      </c>
      <c r="EB683" s="319" t="s">
        <v>190</v>
      </c>
      <c r="EC683" s="319" t="s">
        <v>428</v>
      </c>
      <c r="ED683" s="319" t="s">
        <v>190</v>
      </c>
      <c r="EE683" s="319" t="s">
        <v>190</v>
      </c>
      <c r="EF683" s="319" t="s">
        <v>190</v>
      </c>
      <c r="EG683" s="319" t="s">
        <v>190</v>
      </c>
      <c r="EH683" s="319" t="s">
        <v>190</v>
      </c>
      <c r="EI683" s="319" t="s">
        <v>190</v>
      </c>
      <c r="EJ683" s="319" t="s">
        <v>190</v>
      </c>
      <c r="EK683" s="319" t="s">
        <v>190</v>
      </c>
      <c r="EL683" s="319" t="s">
        <v>190</v>
      </c>
      <c r="EM683" s="319" t="s">
        <v>190</v>
      </c>
      <c r="EN683" s="319" t="s">
        <v>190</v>
      </c>
      <c r="EO683" s="319" t="s">
        <v>190</v>
      </c>
      <c r="EP683" s="319" t="s">
        <v>190</v>
      </c>
      <c r="EQ683" s="319" t="s">
        <v>190</v>
      </c>
      <c r="ER683" s="319" t="s">
        <v>190</v>
      </c>
      <c r="ES683" s="319" t="s">
        <v>190</v>
      </c>
      <c r="ET683" s="319" t="s">
        <v>190</v>
      </c>
      <c r="EU683" s="319" t="s">
        <v>190</v>
      </c>
      <c r="EV683" s="319" t="s">
        <v>190</v>
      </c>
      <c r="EW683" s="319" t="s">
        <v>190</v>
      </c>
      <c r="EX683" s="319" t="s">
        <v>190</v>
      </c>
      <c r="EY683" s="319" t="s">
        <v>190</v>
      </c>
      <c r="EZ683" s="319" t="s">
        <v>190</v>
      </c>
      <c r="FA683" s="319" t="s">
        <v>190</v>
      </c>
      <c r="FB683" s="319" t="s">
        <v>190</v>
      </c>
      <c r="FC683" s="319" t="s">
        <v>190</v>
      </c>
      <c r="FD683" s="319" t="s">
        <v>190</v>
      </c>
      <c r="FE683" s="319" t="s">
        <v>190</v>
      </c>
      <c r="FF683" s="319" t="s">
        <v>190</v>
      </c>
      <c r="FG683" s="319" t="s">
        <v>190</v>
      </c>
      <c r="FH683" s="319" t="s">
        <v>190</v>
      </c>
      <c r="FI683" s="319" t="s">
        <v>190</v>
      </c>
      <c r="FJ683" s="319" t="s">
        <v>190</v>
      </c>
      <c r="FK683" s="319" t="s">
        <v>190</v>
      </c>
      <c r="FL683" s="319" t="s">
        <v>190</v>
      </c>
      <c r="FM683" s="319" t="s">
        <v>190</v>
      </c>
      <c r="FN683" s="319" t="s">
        <v>190</v>
      </c>
      <c r="FO683" s="319" t="s">
        <v>190</v>
      </c>
      <c r="FP683" s="319" t="s">
        <v>190</v>
      </c>
      <c r="FQ683" s="319" t="s">
        <v>190</v>
      </c>
      <c r="FR683" s="319" t="s">
        <v>190</v>
      </c>
      <c r="FS683" s="319" t="s">
        <v>428</v>
      </c>
      <c r="FT683" s="319" t="s">
        <v>190</v>
      </c>
      <c r="FU683" s="319" t="s">
        <v>190</v>
      </c>
      <c r="FV683" s="319" t="s">
        <v>190</v>
      </c>
      <c r="FW683" s="319" t="s">
        <v>190</v>
      </c>
      <c r="FX683" s="319" t="s">
        <v>190</v>
      </c>
      <c r="FY683" s="319" t="s">
        <v>190</v>
      </c>
      <c r="FZ683" s="319" t="s">
        <v>190</v>
      </c>
      <c r="GA683" s="319" t="s">
        <v>190</v>
      </c>
      <c r="GB683" s="319" t="s">
        <v>190</v>
      </c>
      <c r="GC683" s="319" t="s">
        <v>190</v>
      </c>
      <c r="GD683" s="319" t="s">
        <v>190</v>
      </c>
      <c r="GE683" s="319" t="s">
        <v>190</v>
      </c>
      <c r="GF683" s="319" t="s">
        <v>190</v>
      </c>
      <c r="GG683" s="319" t="s">
        <v>190</v>
      </c>
      <c r="GH683" s="319" t="s">
        <v>190</v>
      </c>
      <c r="GI683" s="319" t="s">
        <v>190</v>
      </c>
      <c r="GJ683" s="319" t="s">
        <v>190</v>
      </c>
      <c r="GK683" s="319" t="s">
        <v>190</v>
      </c>
      <c r="GL683" s="319" t="s">
        <v>190</v>
      </c>
      <c r="GM683" s="319" t="s">
        <v>190</v>
      </c>
      <c r="GN683" s="319" t="s">
        <v>190</v>
      </c>
      <c r="GO683" s="319" t="s">
        <v>190</v>
      </c>
      <c r="GP683" s="319" t="s">
        <v>190</v>
      </c>
      <c r="GQ683" s="319" t="s">
        <v>190</v>
      </c>
      <c r="GR683" s="319" t="s">
        <v>190</v>
      </c>
      <c r="GS683" s="319" t="s">
        <v>190</v>
      </c>
      <c r="GT683" s="319" t="s">
        <v>428</v>
      </c>
      <c r="GU683" s="319" t="s">
        <v>428</v>
      </c>
      <c r="GV683" s="319" t="s">
        <v>190</v>
      </c>
      <c r="GW683" s="319" t="s">
        <v>190</v>
      </c>
      <c r="GX683" s="319" t="s">
        <v>190</v>
      </c>
      <c r="GY683" s="319" t="s">
        <v>190</v>
      </c>
      <c r="GZ683" s="319" t="s">
        <v>190</v>
      </c>
      <c r="HA683" s="319" t="s">
        <v>190</v>
      </c>
      <c r="HB683" s="319" t="s">
        <v>190</v>
      </c>
      <c r="HC683" s="319" t="s">
        <v>190</v>
      </c>
      <c r="HD683" s="319" t="s">
        <v>190</v>
      </c>
      <c r="HE683" s="319" t="s">
        <v>190</v>
      </c>
      <c r="HF683" s="319" t="s">
        <v>190</v>
      </c>
      <c r="HG683" s="319" t="s">
        <v>190</v>
      </c>
      <c r="HH683" s="319" t="s">
        <v>190</v>
      </c>
      <c r="HI683" s="319" t="s">
        <v>190</v>
      </c>
      <c r="HJ683" s="319" t="s">
        <v>190</v>
      </c>
      <c r="HK683" s="319" t="s">
        <v>190</v>
      </c>
      <c r="HL683" s="319" t="s">
        <v>190</v>
      </c>
      <c r="HM683" s="319" t="s">
        <v>190</v>
      </c>
      <c r="HN683" s="319" t="s">
        <v>190</v>
      </c>
      <c r="HO683" s="319" t="s">
        <v>190</v>
      </c>
      <c r="HP683" s="319" t="s">
        <v>190</v>
      </c>
      <c r="HQ683" s="319" t="s">
        <v>190</v>
      </c>
      <c r="HR683" s="319" t="s">
        <v>190</v>
      </c>
      <c r="HS683" s="319" t="s">
        <v>190</v>
      </c>
      <c r="HT683" s="319" t="s">
        <v>190</v>
      </c>
      <c r="HU683" s="319" t="s">
        <v>190</v>
      </c>
      <c r="HV683" s="319" t="s">
        <v>190</v>
      </c>
      <c r="HW683" s="319" t="s">
        <v>190</v>
      </c>
      <c r="HX683" s="319" t="s">
        <v>190</v>
      </c>
      <c r="HY683" s="319" t="s">
        <v>190</v>
      </c>
      <c r="HZ683" s="319" t="s">
        <v>190</v>
      </c>
      <c r="IA683" s="319" t="s">
        <v>190</v>
      </c>
      <c r="IB683" s="319" t="s">
        <v>190</v>
      </c>
      <c r="IC683" s="319" t="s">
        <v>190</v>
      </c>
      <c r="ID683" s="319" t="s">
        <v>190</v>
      </c>
      <c r="IE683" s="319" t="s">
        <v>190</v>
      </c>
      <c r="IF683" s="319" t="s">
        <v>190</v>
      </c>
      <c r="IG683" s="319" t="s">
        <v>190</v>
      </c>
      <c r="IH683" s="319" t="s">
        <v>190</v>
      </c>
      <c r="II683" s="319" t="s">
        <v>190</v>
      </c>
      <c r="IJ683" s="319">
        <v>10006095</v>
      </c>
      <c r="IK683" s="321">
        <v>42494</v>
      </c>
      <c r="IL683" s="321">
        <v>42496</v>
      </c>
      <c r="IM683" s="321">
        <v>42524</v>
      </c>
      <c r="IN683" s="319">
        <v>2</v>
      </c>
      <c r="IO683" s="319" t="s">
        <v>173</v>
      </c>
      <c r="IP683" s="319" t="s">
        <v>173</v>
      </c>
      <c r="IQ683" s="321" t="s">
        <v>173</v>
      </c>
      <c r="IR683" s="320" t="s">
        <v>173</v>
      </c>
      <c r="IS683" s="322" t="s">
        <v>173</v>
      </c>
      <c r="IT683" s="319" t="s">
        <v>173</v>
      </c>
    </row>
    <row r="684" spans="1:254" s="271" customFormat="1" x14ac:dyDescent="0.25">
      <c r="A684" s="318" t="str">
        <f>HYPERLINK("http://www.ofsted.gov.uk/inspection-reports/find-inspection-report/provider/ELS/137887 ","Ofsted School Webpage")</f>
        <v>Ofsted School Webpage</v>
      </c>
      <c r="B684" s="319">
        <v>137887</v>
      </c>
      <c r="C684" s="319">
        <v>3526006</v>
      </c>
      <c r="D684" s="319" t="s">
        <v>798</v>
      </c>
      <c r="E684" s="319" t="s">
        <v>167</v>
      </c>
      <c r="F684" s="319" t="s">
        <v>81</v>
      </c>
      <c r="G684" s="319" t="s">
        <v>81</v>
      </c>
      <c r="H684" s="319" t="s">
        <v>81</v>
      </c>
      <c r="I684" s="319" t="s">
        <v>78</v>
      </c>
      <c r="J684" s="319" t="s">
        <v>424</v>
      </c>
      <c r="K684" s="319" t="s">
        <v>431</v>
      </c>
      <c r="L684" s="319" t="s">
        <v>431</v>
      </c>
      <c r="M684" s="319" t="s">
        <v>660</v>
      </c>
      <c r="N684" s="319" t="s">
        <v>2870</v>
      </c>
      <c r="O684" s="319" t="s">
        <v>799</v>
      </c>
      <c r="P684" s="319">
        <v>61</v>
      </c>
      <c r="Q684" s="319" t="s">
        <v>2766</v>
      </c>
      <c r="R684" s="320">
        <v>10053734</v>
      </c>
      <c r="S684" s="321">
        <v>43446</v>
      </c>
      <c r="T684" s="321">
        <v>43448</v>
      </c>
      <c r="U684" s="321">
        <v>43478</v>
      </c>
      <c r="V684" s="319" t="s">
        <v>425</v>
      </c>
      <c r="W684" s="319" t="s">
        <v>2767</v>
      </c>
      <c r="X684" s="319">
        <v>2</v>
      </c>
      <c r="Y684" s="319" t="s">
        <v>173</v>
      </c>
      <c r="Z684" s="319" t="s">
        <v>173</v>
      </c>
      <c r="AA684" s="319" t="s">
        <v>173</v>
      </c>
      <c r="AB684" s="319">
        <v>2</v>
      </c>
      <c r="AC684" s="319" t="s">
        <v>169</v>
      </c>
      <c r="AD684" s="319" t="s">
        <v>173</v>
      </c>
      <c r="AE684" s="319" t="s">
        <v>173</v>
      </c>
      <c r="AF684" s="319" t="s">
        <v>427</v>
      </c>
      <c r="AG684" s="319" t="s">
        <v>171</v>
      </c>
      <c r="AH684" s="319" t="s">
        <v>190</v>
      </c>
      <c r="AI684" s="319" t="s">
        <v>190</v>
      </c>
      <c r="AJ684" s="319" t="s">
        <v>190</v>
      </c>
      <c r="AK684" s="319" t="s">
        <v>190</v>
      </c>
      <c r="AL684" s="319" t="s">
        <v>190</v>
      </c>
      <c r="AM684" s="319" t="s">
        <v>190</v>
      </c>
      <c r="AN684" s="319" t="s">
        <v>190</v>
      </c>
      <c r="AO684" s="319" t="s">
        <v>190</v>
      </c>
      <c r="AP684" s="319" t="s">
        <v>190</v>
      </c>
      <c r="AQ684" s="319" t="s">
        <v>190</v>
      </c>
      <c r="AR684" s="319" t="s">
        <v>190</v>
      </c>
      <c r="AS684" s="319" t="s">
        <v>190</v>
      </c>
      <c r="AT684" s="319" t="s">
        <v>190</v>
      </c>
      <c r="AU684" s="319" t="s">
        <v>190</v>
      </c>
      <c r="AV684" s="319" t="s">
        <v>190</v>
      </c>
      <c r="AW684" s="319" t="s">
        <v>190</v>
      </c>
      <c r="AX684" s="319" t="s">
        <v>428</v>
      </c>
      <c r="AY684" s="319" t="s">
        <v>190</v>
      </c>
      <c r="AZ684" s="319" t="s">
        <v>190</v>
      </c>
      <c r="BA684" s="319" t="s">
        <v>190</v>
      </c>
      <c r="BB684" s="319" t="s">
        <v>190</v>
      </c>
      <c r="BC684" s="319" t="s">
        <v>190</v>
      </c>
      <c r="BD684" s="319" t="s">
        <v>190</v>
      </c>
      <c r="BE684" s="319" t="s">
        <v>190</v>
      </c>
      <c r="BF684" s="319" t="s">
        <v>428</v>
      </c>
      <c r="BG684" s="319" t="s">
        <v>428</v>
      </c>
      <c r="BH684" s="319" t="s">
        <v>190</v>
      </c>
      <c r="BI684" s="319" t="s">
        <v>190</v>
      </c>
      <c r="BJ684" s="319" t="s">
        <v>190</v>
      </c>
      <c r="BK684" s="319" t="s">
        <v>190</v>
      </c>
      <c r="BL684" s="319" t="s">
        <v>190</v>
      </c>
      <c r="BM684" s="319" t="s">
        <v>190</v>
      </c>
      <c r="BN684" s="319" t="s">
        <v>190</v>
      </c>
      <c r="BO684" s="319" t="s">
        <v>190</v>
      </c>
      <c r="BP684" s="319" t="s">
        <v>190</v>
      </c>
      <c r="BQ684" s="319" t="s">
        <v>190</v>
      </c>
      <c r="BR684" s="319" t="s">
        <v>190</v>
      </c>
      <c r="BS684" s="319" t="s">
        <v>190</v>
      </c>
      <c r="BT684" s="319" t="s">
        <v>190</v>
      </c>
      <c r="BU684" s="319" t="s">
        <v>190</v>
      </c>
      <c r="BV684" s="319" t="s">
        <v>190</v>
      </c>
      <c r="BW684" s="319" t="s">
        <v>190</v>
      </c>
      <c r="BX684" s="319" t="s">
        <v>190</v>
      </c>
      <c r="BY684" s="319" t="s">
        <v>190</v>
      </c>
      <c r="BZ684" s="319" t="s">
        <v>190</v>
      </c>
      <c r="CA684" s="319" t="s">
        <v>190</v>
      </c>
      <c r="CB684" s="319" t="s">
        <v>190</v>
      </c>
      <c r="CC684" s="319" t="s">
        <v>190</v>
      </c>
      <c r="CD684" s="319" t="s">
        <v>190</v>
      </c>
      <c r="CE684" s="319" t="s">
        <v>190</v>
      </c>
      <c r="CF684" s="319" t="s">
        <v>190</v>
      </c>
      <c r="CG684" s="319" t="s">
        <v>190</v>
      </c>
      <c r="CH684" s="319" t="s">
        <v>190</v>
      </c>
      <c r="CI684" s="319" t="s">
        <v>190</v>
      </c>
      <c r="CJ684" s="319" t="s">
        <v>190</v>
      </c>
      <c r="CK684" s="319" t="s">
        <v>190</v>
      </c>
      <c r="CL684" s="319" t="s">
        <v>190</v>
      </c>
      <c r="CM684" s="319" t="s">
        <v>190</v>
      </c>
      <c r="CN684" s="319" t="s">
        <v>428</v>
      </c>
      <c r="CO684" s="319" t="s">
        <v>428</v>
      </c>
      <c r="CP684" s="319" t="s">
        <v>428</v>
      </c>
      <c r="CQ684" s="319" t="s">
        <v>190</v>
      </c>
      <c r="CR684" s="319" t="s">
        <v>190</v>
      </c>
      <c r="CS684" s="319" t="s">
        <v>190</v>
      </c>
      <c r="CT684" s="319" t="s">
        <v>190</v>
      </c>
      <c r="CU684" s="319" t="s">
        <v>190</v>
      </c>
      <c r="CV684" s="319" t="s">
        <v>190</v>
      </c>
      <c r="CW684" s="319" t="s">
        <v>190</v>
      </c>
      <c r="CX684" s="319" t="s">
        <v>190</v>
      </c>
      <c r="CY684" s="319" t="s">
        <v>190</v>
      </c>
      <c r="CZ684" s="319" t="s">
        <v>190</v>
      </c>
      <c r="DA684" s="319" t="s">
        <v>190</v>
      </c>
      <c r="DB684" s="319" t="s">
        <v>190</v>
      </c>
      <c r="DC684" s="319" t="s">
        <v>190</v>
      </c>
      <c r="DD684" s="319" t="s">
        <v>190</v>
      </c>
      <c r="DE684" s="319" t="s">
        <v>190</v>
      </c>
      <c r="DF684" s="319" t="s">
        <v>190</v>
      </c>
      <c r="DG684" s="319" t="s">
        <v>190</v>
      </c>
      <c r="DH684" s="319" t="s">
        <v>190</v>
      </c>
      <c r="DI684" s="319" t="s">
        <v>190</v>
      </c>
      <c r="DJ684" s="319" t="s">
        <v>190</v>
      </c>
      <c r="DK684" s="319" t="s">
        <v>190</v>
      </c>
      <c r="DL684" s="319" t="s">
        <v>190</v>
      </c>
      <c r="DM684" s="319" t="s">
        <v>190</v>
      </c>
      <c r="DN684" s="319" t="s">
        <v>428</v>
      </c>
      <c r="DO684" s="319" t="s">
        <v>190</v>
      </c>
      <c r="DP684" s="319" t="s">
        <v>428</v>
      </c>
      <c r="DQ684" s="319" t="s">
        <v>428</v>
      </c>
      <c r="DR684" s="319" t="s">
        <v>428</v>
      </c>
      <c r="DS684" s="319" t="s">
        <v>428</v>
      </c>
      <c r="DT684" s="319" t="s">
        <v>428</v>
      </c>
      <c r="DU684" s="319" t="s">
        <v>428</v>
      </c>
      <c r="DV684" s="319" t="s">
        <v>173</v>
      </c>
      <c r="DW684" s="319" t="s">
        <v>428</v>
      </c>
      <c r="DX684" s="319" t="s">
        <v>428</v>
      </c>
      <c r="DY684" s="319" t="s">
        <v>428</v>
      </c>
      <c r="DZ684" s="319" t="s">
        <v>428</v>
      </c>
      <c r="EA684" s="319" t="s">
        <v>428</v>
      </c>
      <c r="EB684" s="319" t="s">
        <v>428</v>
      </c>
      <c r="EC684" s="319" t="s">
        <v>428</v>
      </c>
      <c r="ED684" s="319" t="s">
        <v>428</v>
      </c>
      <c r="EE684" s="319" t="s">
        <v>190</v>
      </c>
      <c r="EF684" s="319" t="s">
        <v>190</v>
      </c>
      <c r="EG684" s="319" t="s">
        <v>190</v>
      </c>
      <c r="EH684" s="319" t="s">
        <v>190</v>
      </c>
      <c r="EI684" s="319" t="s">
        <v>190</v>
      </c>
      <c r="EJ684" s="319" t="s">
        <v>190</v>
      </c>
      <c r="EK684" s="319" t="s">
        <v>190</v>
      </c>
      <c r="EL684" s="319" t="s">
        <v>190</v>
      </c>
      <c r="EM684" s="319" t="s">
        <v>190</v>
      </c>
      <c r="EN684" s="319" t="s">
        <v>190</v>
      </c>
      <c r="EO684" s="319" t="s">
        <v>190</v>
      </c>
      <c r="EP684" s="319" t="s">
        <v>190</v>
      </c>
      <c r="EQ684" s="319" t="s">
        <v>190</v>
      </c>
      <c r="ER684" s="319" t="s">
        <v>190</v>
      </c>
      <c r="ES684" s="319" t="s">
        <v>190</v>
      </c>
      <c r="ET684" s="319" t="s">
        <v>190</v>
      </c>
      <c r="EU684" s="319" t="s">
        <v>190</v>
      </c>
      <c r="EV684" s="319" t="s">
        <v>190</v>
      </c>
      <c r="EW684" s="319" t="s">
        <v>190</v>
      </c>
      <c r="EX684" s="319" t="s">
        <v>190</v>
      </c>
      <c r="EY684" s="319" t="s">
        <v>190</v>
      </c>
      <c r="EZ684" s="319" t="s">
        <v>190</v>
      </c>
      <c r="FA684" s="319" t="s">
        <v>428</v>
      </c>
      <c r="FB684" s="319" t="s">
        <v>428</v>
      </c>
      <c r="FC684" s="319" t="s">
        <v>428</v>
      </c>
      <c r="FD684" s="319" t="s">
        <v>428</v>
      </c>
      <c r="FE684" s="319" t="s">
        <v>428</v>
      </c>
      <c r="FF684" s="319" t="s">
        <v>428</v>
      </c>
      <c r="FG684" s="319" t="s">
        <v>428</v>
      </c>
      <c r="FH684" s="319" t="s">
        <v>190</v>
      </c>
      <c r="FI684" s="319" t="s">
        <v>428</v>
      </c>
      <c r="FJ684" s="319" t="s">
        <v>429</v>
      </c>
      <c r="FK684" s="319" t="s">
        <v>428</v>
      </c>
      <c r="FL684" s="319" t="s">
        <v>190</v>
      </c>
      <c r="FM684" s="319" t="s">
        <v>190</v>
      </c>
      <c r="FN684" s="319" t="s">
        <v>190</v>
      </c>
      <c r="FO684" s="319" t="s">
        <v>190</v>
      </c>
      <c r="FP684" s="319" t="s">
        <v>190</v>
      </c>
      <c r="FQ684" s="319" t="s">
        <v>190</v>
      </c>
      <c r="FR684" s="319" t="s">
        <v>190</v>
      </c>
      <c r="FS684" s="319" t="s">
        <v>428</v>
      </c>
      <c r="FT684" s="319" t="s">
        <v>190</v>
      </c>
      <c r="FU684" s="319" t="s">
        <v>190</v>
      </c>
      <c r="FV684" s="319" t="s">
        <v>190</v>
      </c>
      <c r="FW684" s="319" t="s">
        <v>190</v>
      </c>
      <c r="FX684" s="319" t="s">
        <v>190</v>
      </c>
      <c r="FY684" s="319" t="s">
        <v>190</v>
      </c>
      <c r="FZ684" s="319" t="s">
        <v>190</v>
      </c>
      <c r="GA684" s="319" t="s">
        <v>190</v>
      </c>
      <c r="GB684" s="319" t="s">
        <v>190</v>
      </c>
      <c r="GC684" s="319" t="s">
        <v>190</v>
      </c>
      <c r="GD684" s="319" t="s">
        <v>190</v>
      </c>
      <c r="GE684" s="319" t="s">
        <v>190</v>
      </c>
      <c r="GF684" s="319" t="s">
        <v>190</v>
      </c>
      <c r="GG684" s="319" t="s">
        <v>190</v>
      </c>
      <c r="GH684" s="319" t="s">
        <v>190</v>
      </c>
      <c r="GI684" s="319" t="s">
        <v>190</v>
      </c>
      <c r="GJ684" s="319" t="s">
        <v>190</v>
      </c>
      <c r="GK684" s="319" t="s">
        <v>428</v>
      </c>
      <c r="GL684" s="319" t="s">
        <v>190</v>
      </c>
      <c r="GM684" s="319" t="s">
        <v>190</v>
      </c>
      <c r="GN684" s="319" t="s">
        <v>190</v>
      </c>
      <c r="GO684" s="319" t="s">
        <v>190</v>
      </c>
      <c r="GP684" s="319" t="s">
        <v>190</v>
      </c>
      <c r="GQ684" s="319" t="s">
        <v>190</v>
      </c>
      <c r="GR684" s="319" t="s">
        <v>190</v>
      </c>
      <c r="GS684" s="319" t="s">
        <v>190</v>
      </c>
      <c r="GT684" s="319" t="s">
        <v>190</v>
      </c>
      <c r="GU684" s="319" t="s">
        <v>190</v>
      </c>
      <c r="GV684" s="319" t="s">
        <v>190</v>
      </c>
      <c r="GW684" s="319" t="s">
        <v>190</v>
      </c>
      <c r="GX684" s="319" t="s">
        <v>190</v>
      </c>
      <c r="GY684" s="319" t="s">
        <v>190</v>
      </c>
      <c r="GZ684" s="319" t="s">
        <v>190</v>
      </c>
      <c r="HA684" s="319" t="s">
        <v>190</v>
      </c>
      <c r="HB684" s="319" t="s">
        <v>190</v>
      </c>
      <c r="HC684" s="319" t="s">
        <v>190</v>
      </c>
      <c r="HD684" s="319" t="s">
        <v>190</v>
      </c>
      <c r="HE684" s="319" t="s">
        <v>190</v>
      </c>
      <c r="HF684" s="319" t="s">
        <v>190</v>
      </c>
      <c r="HG684" s="319" t="s">
        <v>190</v>
      </c>
      <c r="HH684" s="319" t="s">
        <v>190</v>
      </c>
      <c r="HI684" s="319" t="s">
        <v>190</v>
      </c>
      <c r="HJ684" s="319" t="s">
        <v>190</v>
      </c>
      <c r="HK684" s="319" t="s">
        <v>190</v>
      </c>
      <c r="HL684" s="319" t="s">
        <v>190</v>
      </c>
      <c r="HM684" s="319" t="s">
        <v>428</v>
      </c>
      <c r="HN684" s="319" t="s">
        <v>428</v>
      </c>
      <c r="HO684" s="319" t="s">
        <v>428</v>
      </c>
      <c r="HP684" s="319" t="s">
        <v>190</v>
      </c>
      <c r="HQ684" s="319" t="s">
        <v>190</v>
      </c>
      <c r="HR684" s="319" t="s">
        <v>190</v>
      </c>
      <c r="HS684" s="319" t="s">
        <v>190</v>
      </c>
      <c r="HT684" s="319" t="s">
        <v>190</v>
      </c>
      <c r="HU684" s="319" t="s">
        <v>190</v>
      </c>
      <c r="HV684" s="319" t="s">
        <v>190</v>
      </c>
      <c r="HW684" s="319" t="s">
        <v>190</v>
      </c>
      <c r="HX684" s="319" t="s">
        <v>190</v>
      </c>
      <c r="HY684" s="319" t="s">
        <v>190</v>
      </c>
      <c r="HZ684" s="319" t="s">
        <v>190</v>
      </c>
      <c r="IA684" s="319" t="s">
        <v>190</v>
      </c>
      <c r="IB684" s="319" t="s">
        <v>190</v>
      </c>
      <c r="IC684" s="319" t="s">
        <v>190</v>
      </c>
      <c r="ID684" s="319" t="s">
        <v>190</v>
      </c>
      <c r="IE684" s="319" t="s">
        <v>190</v>
      </c>
      <c r="IF684" s="319" t="s">
        <v>190</v>
      </c>
      <c r="IG684" s="319" t="s">
        <v>190</v>
      </c>
      <c r="IH684" s="319" t="s">
        <v>190</v>
      </c>
      <c r="II684" s="319" t="s">
        <v>190</v>
      </c>
      <c r="IJ684" s="319">
        <v>10020720</v>
      </c>
      <c r="IK684" s="321">
        <v>42661</v>
      </c>
      <c r="IL684" s="321">
        <v>42663</v>
      </c>
      <c r="IM684" s="321">
        <v>42754</v>
      </c>
      <c r="IN684" s="319">
        <v>4</v>
      </c>
      <c r="IO684" s="319" t="s">
        <v>173</v>
      </c>
      <c r="IP684" s="319" t="s">
        <v>173</v>
      </c>
      <c r="IQ684" s="321" t="s">
        <v>173</v>
      </c>
      <c r="IR684" s="320" t="s">
        <v>173</v>
      </c>
      <c r="IS684" s="322" t="s">
        <v>173</v>
      </c>
      <c r="IT684" s="319" t="s">
        <v>173</v>
      </c>
    </row>
    <row r="685" spans="1:254" s="271" customFormat="1" x14ac:dyDescent="0.25">
      <c r="A685" s="318" t="str">
        <f>HYPERLINK("http://www.ofsted.gov.uk/inspection-reports/find-inspection-report/provider/ELS/137892 ","Ofsted School Webpage")</f>
        <v>Ofsted School Webpage</v>
      </c>
      <c r="B685" s="319">
        <v>137892</v>
      </c>
      <c r="C685" s="319">
        <v>8616007</v>
      </c>
      <c r="D685" s="319" t="s">
        <v>2150</v>
      </c>
      <c r="E685" s="319" t="s">
        <v>167</v>
      </c>
      <c r="F685" s="319" t="s">
        <v>81</v>
      </c>
      <c r="G685" s="319" t="s">
        <v>81</v>
      </c>
      <c r="H685" s="319" t="s">
        <v>81</v>
      </c>
      <c r="I685" s="319" t="s">
        <v>78</v>
      </c>
      <c r="J685" s="319" t="s">
        <v>424</v>
      </c>
      <c r="K685" s="319" t="s">
        <v>437</v>
      </c>
      <c r="L685" s="319" t="s">
        <v>437</v>
      </c>
      <c r="M685" s="319" t="s">
        <v>580</v>
      </c>
      <c r="N685" s="319" t="s">
        <v>3417</v>
      </c>
      <c r="O685" s="319" t="s">
        <v>2151</v>
      </c>
      <c r="P685" s="319">
        <v>25</v>
      </c>
      <c r="Q685" s="319" t="s">
        <v>2766</v>
      </c>
      <c r="R685" s="320">
        <v>10026111</v>
      </c>
      <c r="S685" s="321">
        <v>43123</v>
      </c>
      <c r="T685" s="321">
        <v>43125</v>
      </c>
      <c r="U685" s="321">
        <v>43145</v>
      </c>
      <c r="V685" s="319" t="s">
        <v>425</v>
      </c>
      <c r="W685" s="319" t="s">
        <v>2767</v>
      </c>
      <c r="X685" s="319">
        <v>2</v>
      </c>
      <c r="Y685" s="319" t="s">
        <v>173</v>
      </c>
      <c r="Z685" s="319" t="s">
        <v>173</v>
      </c>
      <c r="AA685" s="319" t="s">
        <v>173</v>
      </c>
      <c r="AB685" s="319">
        <v>2</v>
      </c>
      <c r="AC685" s="319" t="s">
        <v>169</v>
      </c>
      <c r="AD685" s="319" t="s">
        <v>173</v>
      </c>
      <c r="AE685" s="319" t="s">
        <v>173</v>
      </c>
      <c r="AF685" s="319" t="s">
        <v>427</v>
      </c>
      <c r="AG685" s="319" t="s">
        <v>171</v>
      </c>
      <c r="AH685" s="319" t="s">
        <v>190</v>
      </c>
      <c r="AI685" s="319" t="s">
        <v>190</v>
      </c>
      <c r="AJ685" s="319" t="s">
        <v>190</v>
      </c>
      <c r="AK685" s="319" t="s">
        <v>190</v>
      </c>
      <c r="AL685" s="319" t="s">
        <v>190</v>
      </c>
      <c r="AM685" s="319" t="s">
        <v>190</v>
      </c>
      <c r="AN685" s="319" t="s">
        <v>190</v>
      </c>
      <c r="AO685" s="319" t="s">
        <v>190</v>
      </c>
      <c r="AP685" s="319" t="s">
        <v>190</v>
      </c>
      <c r="AQ685" s="319" t="s">
        <v>190</v>
      </c>
      <c r="AR685" s="319" t="s">
        <v>190</v>
      </c>
      <c r="AS685" s="319" t="s">
        <v>190</v>
      </c>
      <c r="AT685" s="319" t="s">
        <v>190</v>
      </c>
      <c r="AU685" s="319" t="s">
        <v>190</v>
      </c>
      <c r="AV685" s="319" t="s">
        <v>190</v>
      </c>
      <c r="AW685" s="319" t="s">
        <v>190</v>
      </c>
      <c r="AX685" s="319" t="s">
        <v>190</v>
      </c>
      <c r="AY685" s="319" t="s">
        <v>190</v>
      </c>
      <c r="AZ685" s="319" t="s">
        <v>190</v>
      </c>
      <c r="BA685" s="319" t="s">
        <v>190</v>
      </c>
      <c r="BB685" s="319" t="s">
        <v>190</v>
      </c>
      <c r="BC685" s="319" t="s">
        <v>190</v>
      </c>
      <c r="BD685" s="319" t="s">
        <v>190</v>
      </c>
      <c r="BE685" s="319" t="s">
        <v>190</v>
      </c>
      <c r="BF685" s="319" t="s">
        <v>428</v>
      </c>
      <c r="BG685" s="319" t="s">
        <v>428</v>
      </c>
      <c r="BH685" s="319" t="s">
        <v>190</v>
      </c>
      <c r="BI685" s="319" t="s">
        <v>190</v>
      </c>
      <c r="BJ685" s="319" t="s">
        <v>190</v>
      </c>
      <c r="BK685" s="319" t="s">
        <v>190</v>
      </c>
      <c r="BL685" s="319" t="s">
        <v>190</v>
      </c>
      <c r="BM685" s="319" t="s">
        <v>190</v>
      </c>
      <c r="BN685" s="319" t="s">
        <v>190</v>
      </c>
      <c r="BO685" s="319" t="s">
        <v>190</v>
      </c>
      <c r="BP685" s="319" t="s">
        <v>190</v>
      </c>
      <c r="BQ685" s="319" t="s">
        <v>190</v>
      </c>
      <c r="BR685" s="319" t="s">
        <v>190</v>
      </c>
      <c r="BS685" s="319" t="s">
        <v>190</v>
      </c>
      <c r="BT685" s="319" t="s">
        <v>190</v>
      </c>
      <c r="BU685" s="319" t="s">
        <v>190</v>
      </c>
      <c r="BV685" s="319" t="s">
        <v>190</v>
      </c>
      <c r="BW685" s="319" t="s">
        <v>190</v>
      </c>
      <c r="BX685" s="319" t="s">
        <v>190</v>
      </c>
      <c r="BY685" s="319" t="s">
        <v>190</v>
      </c>
      <c r="BZ685" s="319" t="s">
        <v>190</v>
      </c>
      <c r="CA685" s="319" t="s">
        <v>190</v>
      </c>
      <c r="CB685" s="319" t="s">
        <v>190</v>
      </c>
      <c r="CC685" s="319" t="s">
        <v>190</v>
      </c>
      <c r="CD685" s="319" t="s">
        <v>190</v>
      </c>
      <c r="CE685" s="319" t="s">
        <v>190</v>
      </c>
      <c r="CF685" s="319" t="s">
        <v>190</v>
      </c>
      <c r="CG685" s="319" t="s">
        <v>190</v>
      </c>
      <c r="CH685" s="319" t="s">
        <v>190</v>
      </c>
      <c r="CI685" s="319" t="s">
        <v>190</v>
      </c>
      <c r="CJ685" s="319" t="s">
        <v>190</v>
      </c>
      <c r="CK685" s="319" t="s">
        <v>190</v>
      </c>
      <c r="CL685" s="319" t="s">
        <v>190</v>
      </c>
      <c r="CM685" s="319" t="s">
        <v>190</v>
      </c>
      <c r="CN685" s="319" t="s">
        <v>428</v>
      </c>
      <c r="CO685" s="319" t="s">
        <v>428</v>
      </c>
      <c r="CP685" s="319" t="s">
        <v>428</v>
      </c>
      <c r="CQ685" s="319" t="s">
        <v>190</v>
      </c>
      <c r="CR685" s="319" t="s">
        <v>190</v>
      </c>
      <c r="CS685" s="319" t="s">
        <v>190</v>
      </c>
      <c r="CT685" s="319" t="s">
        <v>190</v>
      </c>
      <c r="CU685" s="319" t="s">
        <v>190</v>
      </c>
      <c r="CV685" s="319" t="s">
        <v>190</v>
      </c>
      <c r="CW685" s="319" t="s">
        <v>190</v>
      </c>
      <c r="CX685" s="319" t="s">
        <v>190</v>
      </c>
      <c r="CY685" s="319" t="s">
        <v>190</v>
      </c>
      <c r="CZ685" s="319" t="s">
        <v>190</v>
      </c>
      <c r="DA685" s="319" t="s">
        <v>190</v>
      </c>
      <c r="DB685" s="319" t="s">
        <v>190</v>
      </c>
      <c r="DC685" s="319" t="s">
        <v>190</v>
      </c>
      <c r="DD685" s="319" t="s">
        <v>190</v>
      </c>
      <c r="DE685" s="319" t="s">
        <v>190</v>
      </c>
      <c r="DF685" s="319" t="s">
        <v>190</v>
      </c>
      <c r="DG685" s="319" t="s">
        <v>190</v>
      </c>
      <c r="DH685" s="319" t="s">
        <v>190</v>
      </c>
      <c r="DI685" s="319" t="s">
        <v>190</v>
      </c>
      <c r="DJ685" s="319" t="s">
        <v>190</v>
      </c>
      <c r="DK685" s="319" t="s">
        <v>190</v>
      </c>
      <c r="DL685" s="319" t="s">
        <v>190</v>
      </c>
      <c r="DM685" s="319" t="s">
        <v>190</v>
      </c>
      <c r="DN685" s="319" t="s">
        <v>428</v>
      </c>
      <c r="DO685" s="319" t="s">
        <v>190</v>
      </c>
      <c r="DP685" s="319" t="s">
        <v>428</v>
      </c>
      <c r="DQ685" s="319" t="s">
        <v>428</v>
      </c>
      <c r="DR685" s="319" t="s">
        <v>428</v>
      </c>
      <c r="DS685" s="319" t="s">
        <v>428</v>
      </c>
      <c r="DT685" s="319" t="s">
        <v>428</v>
      </c>
      <c r="DU685" s="319" t="s">
        <v>428</v>
      </c>
      <c r="DV685" s="319" t="s">
        <v>173</v>
      </c>
      <c r="DW685" s="319" t="s">
        <v>428</v>
      </c>
      <c r="DX685" s="319" t="s">
        <v>428</v>
      </c>
      <c r="DY685" s="319" t="s">
        <v>428</v>
      </c>
      <c r="DZ685" s="319" t="s">
        <v>428</v>
      </c>
      <c r="EA685" s="319" t="s">
        <v>428</v>
      </c>
      <c r="EB685" s="319" t="s">
        <v>428</v>
      </c>
      <c r="EC685" s="319" t="s">
        <v>428</v>
      </c>
      <c r="ED685" s="319" t="s">
        <v>190</v>
      </c>
      <c r="EE685" s="319" t="s">
        <v>190</v>
      </c>
      <c r="EF685" s="319" t="s">
        <v>190</v>
      </c>
      <c r="EG685" s="319" t="s">
        <v>190</v>
      </c>
      <c r="EH685" s="319" t="s">
        <v>190</v>
      </c>
      <c r="EI685" s="319" t="s">
        <v>190</v>
      </c>
      <c r="EJ685" s="319" t="s">
        <v>190</v>
      </c>
      <c r="EK685" s="319" t="s">
        <v>190</v>
      </c>
      <c r="EL685" s="319" t="s">
        <v>428</v>
      </c>
      <c r="EM685" s="319" t="s">
        <v>190</v>
      </c>
      <c r="EN685" s="319" t="s">
        <v>190</v>
      </c>
      <c r="EO685" s="319" t="s">
        <v>190</v>
      </c>
      <c r="EP685" s="319" t="s">
        <v>190</v>
      </c>
      <c r="EQ685" s="319" t="s">
        <v>190</v>
      </c>
      <c r="ER685" s="319" t="s">
        <v>190</v>
      </c>
      <c r="ES685" s="319" t="s">
        <v>190</v>
      </c>
      <c r="ET685" s="319" t="s">
        <v>190</v>
      </c>
      <c r="EU685" s="319" t="s">
        <v>190</v>
      </c>
      <c r="EV685" s="319" t="s">
        <v>190</v>
      </c>
      <c r="EW685" s="319" t="s">
        <v>190</v>
      </c>
      <c r="EX685" s="319" t="s">
        <v>190</v>
      </c>
      <c r="EY685" s="319" t="s">
        <v>190</v>
      </c>
      <c r="EZ685" s="319" t="s">
        <v>190</v>
      </c>
      <c r="FA685" s="319" t="s">
        <v>428</v>
      </c>
      <c r="FB685" s="319" t="s">
        <v>428</v>
      </c>
      <c r="FC685" s="319" t="s">
        <v>428</v>
      </c>
      <c r="FD685" s="319" t="s">
        <v>428</v>
      </c>
      <c r="FE685" s="319" t="s">
        <v>428</v>
      </c>
      <c r="FF685" s="319" t="s">
        <v>428</v>
      </c>
      <c r="FG685" s="319" t="s">
        <v>428</v>
      </c>
      <c r="FH685" s="319" t="s">
        <v>190</v>
      </c>
      <c r="FI685" s="319" t="s">
        <v>428</v>
      </c>
      <c r="FJ685" s="319" t="s">
        <v>429</v>
      </c>
      <c r="FK685" s="319" t="s">
        <v>428</v>
      </c>
      <c r="FL685" s="319" t="s">
        <v>190</v>
      </c>
      <c r="FM685" s="319" t="s">
        <v>190</v>
      </c>
      <c r="FN685" s="319" t="s">
        <v>190</v>
      </c>
      <c r="FO685" s="319" t="s">
        <v>190</v>
      </c>
      <c r="FP685" s="319" t="s">
        <v>190</v>
      </c>
      <c r="FQ685" s="319" t="s">
        <v>190</v>
      </c>
      <c r="FR685" s="319" t="s">
        <v>190</v>
      </c>
      <c r="FS685" s="319" t="s">
        <v>428</v>
      </c>
      <c r="FT685" s="319" t="s">
        <v>190</v>
      </c>
      <c r="FU685" s="319" t="s">
        <v>190</v>
      </c>
      <c r="FV685" s="319" t="s">
        <v>190</v>
      </c>
      <c r="FW685" s="319" t="s">
        <v>190</v>
      </c>
      <c r="FX685" s="319" t="s">
        <v>190</v>
      </c>
      <c r="FY685" s="319" t="s">
        <v>190</v>
      </c>
      <c r="FZ685" s="319" t="s">
        <v>190</v>
      </c>
      <c r="GA685" s="319" t="s">
        <v>190</v>
      </c>
      <c r="GB685" s="319" t="s">
        <v>190</v>
      </c>
      <c r="GC685" s="319" t="s">
        <v>190</v>
      </c>
      <c r="GD685" s="319" t="s">
        <v>190</v>
      </c>
      <c r="GE685" s="319" t="s">
        <v>190</v>
      </c>
      <c r="GF685" s="319" t="s">
        <v>190</v>
      </c>
      <c r="GG685" s="319" t="s">
        <v>190</v>
      </c>
      <c r="GH685" s="319" t="s">
        <v>190</v>
      </c>
      <c r="GI685" s="319" t="s">
        <v>190</v>
      </c>
      <c r="GJ685" s="319" t="s">
        <v>190</v>
      </c>
      <c r="GK685" s="319" t="s">
        <v>428</v>
      </c>
      <c r="GL685" s="319" t="s">
        <v>190</v>
      </c>
      <c r="GM685" s="319" t="s">
        <v>190</v>
      </c>
      <c r="GN685" s="319" t="s">
        <v>190</v>
      </c>
      <c r="GO685" s="319" t="s">
        <v>190</v>
      </c>
      <c r="GP685" s="319" t="s">
        <v>190</v>
      </c>
      <c r="GQ685" s="319" t="s">
        <v>428</v>
      </c>
      <c r="GR685" s="319" t="s">
        <v>190</v>
      </c>
      <c r="GS685" s="319" t="s">
        <v>190</v>
      </c>
      <c r="GT685" s="319" t="s">
        <v>190</v>
      </c>
      <c r="GU685" s="319" t="s">
        <v>190</v>
      </c>
      <c r="GV685" s="319" t="s">
        <v>190</v>
      </c>
      <c r="GW685" s="319" t="s">
        <v>190</v>
      </c>
      <c r="GX685" s="319" t="s">
        <v>190</v>
      </c>
      <c r="GY685" s="319" t="s">
        <v>190</v>
      </c>
      <c r="GZ685" s="319" t="s">
        <v>190</v>
      </c>
      <c r="HA685" s="319" t="s">
        <v>428</v>
      </c>
      <c r="HB685" s="319" t="s">
        <v>428</v>
      </c>
      <c r="HC685" s="319" t="s">
        <v>190</v>
      </c>
      <c r="HD685" s="319" t="s">
        <v>190</v>
      </c>
      <c r="HE685" s="319" t="s">
        <v>190</v>
      </c>
      <c r="HF685" s="319" t="s">
        <v>190</v>
      </c>
      <c r="HG685" s="319" t="s">
        <v>190</v>
      </c>
      <c r="HH685" s="319" t="s">
        <v>190</v>
      </c>
      <c r="HI685" s="319" t="s">
        <v>190</v>
      </c>
      <c r="HJ685" s="319" t="s">
        <v>190</v>
      </c>
      <c r="HK685" s="319" t="s">
        <v>190</v>
      </c>
      <c r="HL685" s="319" t="s">
        <v>190</v>
      </c>
      <c r="HM685" s="319" t="s">
        <v>190</v>
      </c>
      <c r="HN685" s="319" t="s">
        <v>190</v>
      </c>
      <c r="HO685" s="319" t="s">
        <v>190</v>
      </c>
      <c r="HP685" s="319" t="s">
        <v>190</v>
      </c>
      <c r="HQ685" s="319" t="s">
        <v>190</v>
      </c>
      <c r="HR685" s="319" t="s">
        <v>190</v>
      </c>
      <c r="HS685" s="319" t="s">
        <v>190</v>
      </c>
      <c r="HT685" s="319" t="s">
        <v>190</v>
      </c>
      <c r="HU685" s="319" t="s">
        <v>190</v>
      </c>
      <c r="HV685" s="319" t="s">
        <v>190</v>
      </c>
      <c r="HW685" s="319" t="s">
        <v>190</v>
      </c>
      <c r="HX685" s="319" t="s">
        <v>190</v>
      </c>
      <c r="HY685" s="319" t="s">
        <v>190</v>
      </c>
      <c r="HZ685" s="319" t="s">
        <v>190</v>
      </c>
      <c r="IA685" s="319" t="s">
        <v>190</v>
      </c>
      <c r="IB685" s="319" t="s">
        <v>190</v>
      </c>
      <c r="IC685" s="319" t="s">
        <v>190</v>
      </c>
      <c r="ID685" s="319" t="s">
        <v>190</v>
      </c>
      <c r="IE685" s="319" t="s">
        <v>190</v>
      </c>
      <c r="IF685" s="319" t="s">
        <v>190</v>
      </c>
      <c r="IG685" s="319" t="s">
        <v>190</v>
      </c>
      <c r="IH685" s="319" t="s">
        <v>190</v>
      </c>
      <c r="II685" s="319" t="s">
        <v>190</v>
      </c>
      <c r="IJ685" s="319" t="s">
        <v>3425</v>
      </c>
      <c r="IK685" s="321">
        <v>41353</v>
      </c>
      <c r="IL685" s="321">
        <v>41354</v>
      </c>
      <c r="IM685" s="321">
        <v>41383</v>
      </c>
      <c r="IN685" s="319">
        <v>2</v>
      </c>
      <c r="IO685" s="319" t="s">
        <v>173</v>
      </c>
      <c r="IP685" s="319" t="s">
        <v>173</v>
      </c>
      <c r="IQ685" s="319" t="s">
        <v>173</v>
      </c>
      <c r="IR685" s="320" t="s">
        <v>173</v>
      </c>
      <c r="IS685" s="320" t="s">
        <v>173</v>
      </c>
      <c r="IT685" s="319" t="s">
        <v>173</v>
      </c>
    </row>
    <row r="686" spans="1:254" s="271" customFormat="1" x14ac:dyDescent="0.25">
      <c r="A686" s="318" t="str">
        <f>HYPERLINK("http://www.ofsted.gov.uk/inspection-reports/find-inspection-report/provider/ELS/137956 ","Ofsted School Webpage")</f>
        <v>Ofsted School Webpage</v>
      </c>
      <c r="B686" s="319">
        <v>137956</v>
      </c>
      <c r="C686" s="319">
        <v>8606039</v>
      </c>
      <c r="D686" s="319" t="s">
        <v>1201</v>
      </c>
      <c r="E686" s="319" t="s">
        <v>168</v>
      </c>
      <c r="F686" s="319" t="s">
        <v>81</v>
      </c>
      <c r="G686" s="319" t="s">
        <v>81</v>
      </c>
      <c r="H686" s="319" t="s">
        <v>81</v>
      </c>
      <c r="I686" s="319" t="s">
        <v>78</v>
      </c>
      <c r="J686" s="319" t="s">
        <v>424</v>
      </c>
      <c r="K686" s="319" t="s">
        <v>437</v>
      </c>
      <c r="L686" s="319" t="s">
        <v>437</v>
      </c>
      <c r="M686" s="319" t="s">
        <v>577</v>
      </c>
      <c r="N686" s="319" t="s">
        <v>3426</v>
      </c>
      <c r="O686" s="319" t="s">
        <v>1202</v>
      </c>
      <c r="P686" s="319">
        <v>22</v>
      </c>
      <c r="Q686" s="319" t="s">
        <v>429</v>
      </c>
      <c r="R686" s="320">
        <v>10041366</v>
      </c>
      <c r="S686" s="321">
        <v>43116</v>
      </c>
      <c r="T686" s="321">
        <v>43118</v>
      </c>
      <c r="U686" s="321">
        <v>43139</v>
      </c>
      <c r="V686" s="319" t="s">
        <v>425</v>
      </c>
      <c r="W686" s="319" t="s">
        <v>2767</v>
      </c>
      <c r="X686" s="319">
        <v>3</v>
      </c>
      <c r="Y686" s="319" t="s">
        <v>173</v>
      </c>
      <c r="Z686" s="319" t="s">
        <v>173</v>
      </c>
      <c r="AA686" s="319" t="s">
        <v>173</v>
      </c>
      <c r="AB686" s="319">
        <v>3</v>
      </c>
      <c r="AC686" s="319" t="s">
        <v>169</v>
      </c>
      <c r="AD686" s="319" t="s">
        <v>173</v>
      </c>
      <c r="AE686" s="319">
        <v>3</v>
      </c>
      <c r="AF686" s="319" t="s">
        <v>427</v>
      </c>
      <c r="AG686" s="319" t="s">
        <v>172</v>
      </c>
      <c r="AH686" s="319" t="s">
        <v>479</v>
      </c>
      <c r="AI686" s="319" t="s">
        <v>190</v>
      </c>
      <c r="AJ686" s="319" t="s">
        <v>190</v>
      </c>
      <c r="AK686" s="319" t="s">
        <v>190</v>
      </c>
      <c r="AL686" s="319" t="s">
        <v>190</v>
      </c>
      <c r="AM686" s="319" t="s">
        <v>190</v>
      </c>
      <c r="AN686" s="319" t="s">
        <v>190</v>
      </c>
      <c r="AO686" s="319" t="s">
        <v>479</v>
      </c>
      <c r="AP686" s="319" t="s">
        <v>190</v>
      </c>
      <c r="AQ686" s="319" t="s">
        <v>190</v>
      </c>
      <c r="AR686" s="319" t="s">
        <v>190</v>
      </c>
      <c r="AS686" s="319" t="s">
        <v>190</v>
      </c>
      <c r="AT686" s="319" t="s">
        <v>190</v>
      </c>
      <c r="AU686" s="319" t="s">
        <v>190</v>
      </c>
      <c r="AV686" s="319" t="s">
        <v>190</v>
      </c>
      <c r="AW686" s="319" t="s">
        <v>190</v>
      </c>
      <c r="AX686" s="319" t="s">
        <v>428</v>
      </c>
      <c r="AY686" s="319" t="s">
        <v>190</v>
      </c>
      <c r="AZ686" s="319" t="s">
        <v>190</v>
      </c>
      <c r="BA686" s="319" t="s">
        <v>190</v>
      </c>
      <c r="BB686" s="319" t="s">
        <v>190</v>
      </c>
      <c r="BC686" s="319" t="s">
        <v>190</v>
      </c>
      <c r="BD686" s="319" t="s">
        <v>190</v>
      </c>
      <c r="BE686" s="319" t="s">
        <v>190</v>
      </c>
      <c r="BF686" s="319" t="s">
        <v>428</v>
      </c>
      <c r="BG686" s="319" t="s">
        <v>190</v>
      </c>
      <c r="BH686" s="319" t="s">
        <v>190</v>
      </c>
      <c r="BI686" s="319" t="s">
        <v>190</v>
      </c>
      <c r="BJ686" s="319" t="s">
        <v>191</v>
      </c>
      <c r="BK686" s="319" t="s">
        <v>191</v>
      </c>
      <c r="BL686" s="319" t="s">
        <v>190</v>
      </c>
      <c r="BM686" s="319" t="s">
        <v>191</v>
      </c>
      <c r="BN686" s="319" t="s">
        <v>191</v>
      </c>
      <c r="BO686" s="319" t="s">
        <v>191</v>
      </c>
      <c r="BP686" s="319" t="s">
        <v>190</v>
      </c>
      <c r="BQ686" s="319" t="s">
        <v>190</v>
      </c>
      <c r="BR686" s="319" t="s">
        <v>190</v>
      </c>
      <c r="BS686" s="319" t="s">
        <v>190</v>
      </c>
      <c r="BT686" s="319" t="s">
        <v>190</v>
      </c>
      <c r="BU686" s="319" t="s">
        <v>190</v>
      </c>
      <c r="BV686" s="319" t="s">
        <v>190</v>
      </c>
      <c r="BW686" s="319" t="s">
        <v>190</v>
      </c>
      <c r="BX686" s="319" t="s">
        <v>190</v>
      </c>
      <c r="BY686" s="319" t="s">
        <v>190</v>
      </c>
      <c r="BZ686" s="319" t="s">
        <v>190</v>
      </c>
      <c r="CA686" s="319" t="s">
        <v>190</v>
      </c>
      <c r="CB686" s="319" t="s">
        <v>190</v>
      </c>
      <c r="CC686" s="319" t="s">
        <v>190</v>
      </c>
      <c r="CD686" s="319" t="s">
        <v>190</v>
      </c>
      <c r="CE686" s="319" t="s">
        <v>190</v>
      </c>
      <c r="CF686" s="319" t="s">
        <v>190</v>
      </c>
      <c r="CG686" s="319" t="s">
        <v>190</v>
      </c>
      <c r="CH686" s="319" t="s">
        <v>190</v>
      </c>
      <c r="CI686" s="319" t="s">
        <v>190</v>
      </c>
      <c r="CJ686" s="319" t="s">
        <v>190</v>
      </c>
      <c r="CK686" s="319" t="s">
        <v>190</v>
      </c>
      <c r="CL686" s="319" t="s">
        <v>190</v>
      </c>
      <c r="CM686" s="319" t="s">
        <v>190</v>
      </c>
      <c r="CN686" s="319" t="s">
        <v>428</v>
      </c>
      <c r="CO686" s="319" t="s">
        <v>428</v>
      </c>
      <c r="CP686" s="319" t="s">
        <v>428</v>
      </c>
      <c r="CQ686" s="319" t="s">
        <v>190</v>
      </c>
      <c r="CR686" s="319" t="s">
        <v>190</v>
      </c>
      <c r="CS686" s="319" t="s">
        <v>190</v>
      </c>
      <c r="CT686" s="319" t="s">
        <v>190</v>
      </c>
      <c r="CU686" s="319" t="s">
        <v>190</v>
      </c>
      <c r="CV686" s="319" t="s">
        <v>190</v>
      </c>
      <c r="CW686" s="319" t="s">
        <v>190</v>
      </c>
      <c r="CX686" s="319" t="s">
        <v>190</v>
      </c>
      <c r="CY686" s="319" t="s">
        <v>190</v>
      </c>
      <c r="CZ686" s="319" t="s">
        <v>190</v>
      </c>
      <c r="DA686" s="319" t="s">
        <v>190</v>
      </c>
      <c r="DB686" s="319" t="s">
        <v>190</v>
      </c>
      <c r="DC686" s="319" t="s">
        <v>190</v>
      </c>
      <c r="DD686" s="319" t="s">
        <v>190</v>
      </c>
      <c r="DE686" s="319" t="s">
        <v>190</v>
      </c>
      <c r="DF686" s="319" t="s">
        <v>190</v>
      </c>
      <c r="DG686" s="319" t="s">
        <v>190</v>
      </c>
      <c r="DH686" s="319" t="s">
        <v>190</v>
      </c>
      <c r="DI686" s="319" t="s">
        <v>190</v>
      </c>
      <c r="DJ686" s="319" t="s">
        <v>190</v>
      </c>
      <c r="DK686" s="319" t="s">
        <v>190</v>
      </c>
      <c r="DL686" s="319" t="s">
        <v>190</v>
      </c>
      <c r="DM686" s="319" t="s">
        <v>428</v>
      </c>
      <c r="DN686" s="319" t="s">
        <v>428</v>
      </c>
      <c r="DO686" s="319" t="s">
        <v>190</v>
      </c>
      <c r="DP686" s="319" t="s">
        <v>190</v>
      </c>
      <c r="DQ686" s="319" t="s">
        <v>190</v>
      </c>
      <c r="DR686" s="319" t="s">
        <v>190</v>
      </c>
      <c r="DS686" s="319" t="s">
        <v>190</v>
      </c>
      <c r="DT686" s="319" t="s">
        <v>190</v>
      </c>
      <c r="DU686" s="319" t="s">
        <v>190</v>
      </c>
      <c r="DV686" s="319" t="s">
        <v>173</v>
      </c>
      <c r="DW686" s="319" t="s">
        <v>190</v>
      </c>
      <c r="DX686" s="319" t="s">
        <v>190</v>
      </c>
      <c r="DY686" s="319" t="s">
        <v>190</v>
      </c>
      <c r="DZ686" s="319" t="s">
        <v>190</v>
      </c>
      <c r="EA686" s="319" t="s">
        <v>190</v>
      </c>
      <c r="EB686" s="319" t="s">
        <v>190</v>
      </c>
      <c r="EC686" s="319" t="s">
        <v>428</v>
      </c>
      <c r="ED686" s="319" t="s">
        <v>190</v>
      </c>
      <c r="EE686" s="319" t="s">
        <v>428</v>
      </c>
      <c r="EF686" s="319" t="s">
        <v>428</v>
      </c>
      <c r="EG686" s="319" t="s">
        <v>428</v>
      </c>
      <c r="EH686" s="319" t="s">
        <v>428</v>
      </c>
      <c r="EI686" s="319" t="s">
        <v>428</v>
      </c>
      <c r="EJ686" s="319" t="s">
        <v>428</v>
      </c>
      <c r="EK686" s="319" t="s">
        <v>428</v>
      </c>
      <c r="EL686" s="319" t="s">
        <v>428</v>
      </c>
      <c r="EM686" s="319" t="s">
        <v>190</v>
      </c>
      <c r="EN686" s="319" t="s">
        <v>190</v>
      </c>
      <c r="EO686" s="319" t="s">
        <v>190</v>
      </c>
      <c r="EP686" s="319" t="s">
        <v>190</v>
      </c>
      <c r="EQ686" s="319" t="s">
        <v>190</v>
      </c>
      <c r="ER686" s="319" t="s">
        <v>190</v>
      </c>
      <c r="ES686" s="319" t="s">
        <v>190</v>
      </c>
      <c r="ET686" s="319" t="s">
        <v>190</v>
      </c>
      <c r="EU686" s="319" t="s">
        <v>190</v>
      </c>
      <c r="EV686" s="319" t="s">
        <v>190</v>
      </c>
      <c r="EW686" s="319" t="s">
        <v>190</v>
      </c>
      <c r="EX686" s="319" t="s">
        <v>190</v>
      </c>
      <c r="EY686" s="319" t="s">
        <v>190</v>
      </c>
      <c r="EZ686" s="319" t="s">
        <v>190</v>
      </c>
      <c r="FA686" s="319" t="s">
        <v>428</v>
      </c>
      <c r="FB686" s="319" t="s">
        <v>190</v>
      </c>
      <c r="FC686" s="319" t="s">
        <v>190</v>
      </c>
      <c r="FD686" s="319" t="s">
        <v>190</v>
      </c>
      <c r="FE686" s="319" t="s">
        <v>190</v>
      </c>
      <c r="FF686" s="319" t="s">
        <v>190</v>
      </c>
      <c r="FG686" s="319" t="s">
        <v>190</v>
      </c>
      <c r="FH686" s="319" t="s">
        <v>428</v>
      </c>
      <c r="FI686" s="319" t="s">
        <v>428</v>
      </c>
      <c r="FJ686" s="319" t="s">
        <v>429</v>
      </c>
      <c r="FK686" s="319" t="s">
        <v>428</v>
      </c>
      <c r="FL686" s="319" t="s">
        <v>190</v>
      </c>
      <c r="FM686" s="319" t="s">
        <v>190</v>
      </c>
      <c r="FN686" s="319" t="s">
        <v>190</v>
      </c>
      <c r="FO686" s="319" t="s">
        <v>190</v>
      </c>
      <c r="FP686" s="319" t="s">
        <v>190</v>
      </c>
      <c r="FQ686" s="319" t="s">
        <v>190</v>
      </c>
      <c r="FR686" s="319" t="s">
        <v>190</v>
      </c>
      <c r="FS686" s="319" t="s">
        <v>428</v>
      </c>
      <c r="FT686" s="319" t="s">
        <v>190</v>
      </c>
      <c r="FU686" s="319" t="s">
        <v>190</v>
      </c>
      <c r="FV686" s="319" t="s">
        <v>190</v>
      </c>
      <c r="FW686" s="319" t="s">
        <v>190</v>
      </c>
      <c r="FX686" s="319" t="s">
        <v>190</v>
      </c>
      <c r="FY686" s="319" t="s">
        <v>190</v>
      </c>
      <c r="FZ686" s="319" t="s">
        <v>190</v>
      </c>
      <c r="GA686" s="319" t="s">
        <v>190</v>
      </c>
      <c r="GB686" s="319" t="s">
        <v>190</v>
      </c>
      <c r="GC686" s="319" t="s">
        <v>190</v>
      </c>
      <c r="GD686" s="319" t="s">
        <v>190</v>
      </c>
      <c r="GE686" s="319" t="s">
        <v>190</v>
      </c>
      <c r="GF686" s="319" t="s">
        <v>190</v>
      </c>
      <c r="GG686" s="319" t="s">
        <v>190</v>
      </c>
      <c r="GH686" s="319" t="s">
        <v>190</v>
      </c>
      <c r="GI686" s="319" t="s">
        <v>190</v>
      </c>
      <c r="GJ686" s="319" t="s">
        <v>190</v>
      </c>
      <c r="GK686" s="319" t="s">
        <v>428</v>
      </c>
      <c r="GL686" s="319" t="s">
        <v>190</v>
      </c>
      <c r="GM686" s="319" t="s">
        <v>190</v>
      </c>
      <c r="GN686" s="319" t="s">
        <v>190</v>
      </c>
      <c r="GO686" s="319" t="s">
        <v>190</v>
      </c>
      <c r="GP686" s="319" t="s">
        <v>190</v>
      </c>
      <c r="GQ686" s="319" t="s">
        <v>428</v>
      </c>
      <c r="GR686" s="319" t="s">
        <v>190</v>
      </c>
      <c r="GS686" s="319" t="s">
        <v>190</v>
      </c>
      <c r="GT686" s="319" t="s">
        <v>190</v>
      </c>
      <c r="GU686" s="319" t="s">
        <v>190</v>
      </c>
      <c r="GV686" s="319" t="s">
        <v>190</v>
      </c>
      <c r="GW686" s="319" t="s">
        <v>190</v>
      </c>
      <c r="GX686" s="319" t="s">
        <v>190</v>
      </c>
      <c r="GY686" s="319" t="s">
        <v>190</v>
      </c>
      <c r="GZ686" s="319" t="s">
        <v>190</v>
      </c>
      <c r="HA686" s="319" t="s">
        <v>428</v>
      </c>
      <c r="HB686" s="319" t="s">
        <v>428</v>
      </c>
      <c r="HC686" s="319" t="s">
        <v>190</v>
      </c>
      <c r="HD686" s="319" t="s">
        <v>190</v>
      </c>
      <c r="HE686" s="319" t="s">
        <v>190</v>
      </c>
      <c r="HF686" s="319" t="s">
        <v>190</v>
      </c>
      <c r="HG686" s="319" t="s">
        <v>190</v>
      </c>
      <c r="HH686" s="319" t="s">
        <v>190</v>
      </c>
      <c r="HI686" s="319" t="s">
        <v>190</v>
      </c>
      <c r="HJ686" s="319" t="s">
        <v>190</v>
      </c>
      <c r="HK686" s="319" t="s">
        <v>190</v>
      </c>
      <c r="HL686" s="319" t="s">
        <v>428</v>
      </c>
      <c r="HM686" s="319" t="s">
        <v>428</v>
      </c>
      <c r="HN686" s="319" t="s">
        <v>428</v>
      </c>
      <c r="HO686" s="319" t="s">
        <v>428</v>
      </c>
      <c r="HP686" s="319" t="s">
        <v>190</v>
      </c>
      <c r="HQ686" s="319" t="s">
        <v>190</v>
      </c>
      <c r="HR686" s="319" t="s">
        <v>190</v>
      </c>
      <c r="HS686" s="319" t="s">
        <v>190</v>
      </c>
      <c r="HT686" s="319" t="s">
        <v>190</v>
      </c>
      <c r="HU686" s="319" t="s">
        <v>190</v>
      </c>
      <c r="HV686" s="319" t="s">
        <v>190</v>
      </c>
      <c r="HW686" s="319" t="s">
        <v>190</v>
      </c>
      <c r="HX686" s="319" t="s">
        <v>190</v>
      </c>
      <c r="HY686" s="319" t="s">
        <v>190</v>
      </c>
      <c r="HZ686" s="319" t="s">
        <v>190</v>
      </c>
      <c r="IA686" s="319" t="s">
        <v>190</v>
      </c>
      <c r="IB686" s="319" t="s">
        <v>190</v>
      </c>
      <c r="IC686" s="319" t="s">
        <v>190</v>
      </c>
      <c r="ID686" s="319" t="s">
        <v>190</v>
      </c>
      <c r="IE686" s="319" t="s">
        <v>190</v>
      </c>
      <c r="IF686" s="319" t="s">
        <v>191</v>
      </c>
      <c r="IG686" s="319" t="s">
        <v>190</v>
      </c>
      <c r="IH686" s="319" t="s">
        <v>191</v>
      </c>
      <c r="II686" s="319" t="s">
        <v>190</v>
      </c>
      <c r="IJ686" s="319">
        <v>10008530</v>
      </c>
      <c r="IK686" s="321">
        <v>42430</v>
      </c>
      <c r="IL686" s="321">
        <v>42432</v>
      </c>
      <c r="IM686" s="321">
        <v>42473</v>
      </c>
      <c r="IN686" s="319">
        <v>3</v>
      </c>
      <c r="IO686" s="319">
        <v>10094675</v>
      </c>
      <c r="IP686" s="319" t="s">
        <v>985</v>
      </c>
      <c r="IQ686" s="321">
        <v>43524</v>
      </c>
      <c r="IR686" s="320" t="s">
        <v>1223</v>
      </c>
      <c r="IS686" s="322">
        <v>43550</v>
      </c>
      <c r="IT686" s="319" t="s">
        <v>165</v>
      </c>
    </row>
    <row r="687" spans="1:254" s="271" customFormat="1" x14ac:dyDescent="0.25">
      <c r="A687" s="318" t="str">
        <f>HYPERLINK("http://www.ofsted.gov.uk/inspection-reports/find-inspection-report/provider/ELS/138101 ","Ofsted School Webpage")</f>
        <v>Ofsted School Webpage</v>
      </c>
      <c r="B687" s="319">
        <v>138101</v>
      </c>
      <c r="C687" s="319">
        <v>2046005</v>
      </c>
      <c r="D687" s="319" t="s">
        <v>2152</v>
      </c>
      <c r="E687" s="319" t="s">
        <v>167</v>
      </c>
      <c r="F687" s="319" t="s">
        <v>81</v>
      </c>
      <c r="G687" s="319" t="s">
        <v>69</v>
      </c>
      <c r="H687" s="319" t="s">
        <v>69</v>
      </c>
      <c r="I687" s="319" t="s">
        <v>69</v>
      </c>
      <c r="J687" s="319" t="s">
        <v>424</v>
      </c>
      <c r="K687" s="319" t="s">
        <v>441</v>
      </c>
      <c r="L687" s="319" t="s">
        <v>441</v>
      </c>
      <c r="M687" s="319" t="s">
        <v>547</v>
      </c>
      <c r="N687" s="319" t="s">
        <v>2774</v>
      </c>
      <c r="O687" s="319" t="s">
        <v>2153</v>
      </c>
      <c r="P687" s="319">
        <v>242</v>
      </c>
      <c r="Q687" s="319" t="s">
        <v>2766</v>
      </c>
      <c r="R687" s="320">
        <v>10038176</v>
      </c>
      <c r="S687" s="321">
        <v>43151</v>
      </c>
      <c r="T687" s="321">
        <v>43153</v>
      </c>
      <c r="U687" s="321">
        <v>43304</v>
      </c>
      <c r="V687" s="319" t="s">
        <v>425</v>
      </c>
      <c r="W687" s="319" t="s">
        <v>2767</v>
      </c>
      <c r="X687" s="319">
        <v>4</v>
      </c>
      <c r="Y687" s="319" t="s">
        <v>173</v>
      </c>
      <c r="Z687" s="319" t="s">
        <v>173</v>
      </c>
      <c r="AA687" s="319" t="s">
        <v>173</v>
      </c>
      <c r="AB687" s="319">
        <v>4</v>
      </c>
      <c r="AC687" s="319" t="s">
        <v>169</v>
      </c>
      <c r="AD687" s="319">
        <v>4</v>
      </c>
      <c r="AE687" s="319" t="s">
        <v>173</v>
      </c>
      <c r="AF687" s="319" t="s">
        <v>447</v>
      </c>
      <c r="AG687" s="319" t="s">
        <v>172</v>
      </c>
      <c r="AH687" s="319" t="s">
        <v>479</v>
      </c>
      <c r="AI687" s="319" t="s">
        <v>479</v>
      </c>
      <c r="AJ687" s="319" t="s">
        <v>479</v>
      </c>
      <c r="AK687" s="319" t="s">
        <v>190</v>
      </c>
      <c r="AL687" s="319" t="s">
        <v>190</v>
      </c>
      <c r="AM687" s="319" t="s">
        <v>190</v>
      </c>
      <c r="AN687" s="319" t="s">
        <v>190</v>
      </c>
      <c r="AO687" s="319" t="s">
        <v>479</v>
      </c>
      <c r="AP687" s="319" t="s">
        <v>191</v>
      </c>
      <c r="AQ687" s="319" t="s">
        <v>191</v>
      </c>
      <c r="AR687" s="319" t="s">
        <v>191</v>
      </c>
      <c r="AS687" s="319" t="s">
        <v>191</v>
      </c>
      <c r="AT687" s="319" t="s">
        <v>190</v>
      </c>
      <c r="AU687" s="319" t="s">
        <v>191</v>
      </c>
      <c r="AV687" s="319" t="s">
        <v>191</v>
      </c>
      <c r="AW687" s="319" t="s">
        <v>190</v>
      </c>
      <c r="AX687" s="319" t="s">
        <v>190</v>
      </c>
      <c r="AY687" s="319" t="s">
        <v>191</v>
      </c>
      <c r="AZ687" s="319" t="s">
        <v>190</v>
      </c>
      <c r="BA687" s="319" t="s">
        <v>191</v>
      </c>
      <c r="BB687" s="319" t="s">
        <v>190</v>
      </c>
      <c r="BC687" s="319" t="s">
        <v>190</v>
      </c>
      <c r="BD687" s="319" t="s">
        <v>190</v>
      </c>
      <c r="BE687" s="319" t="s">
        <v>190</v>
      </c>
      <c r="BF687" s="319" t="s">
        <v>191</v>
      </c>
      <c r="BG687" s="319" t="s">
        <v>428</v>
      </c>
      <c r="BH687" s="319" t="s">
        <v>190</v>
      </c>
      <c r="BI687" s="319" t="s">
        <v>191</v>
      </c>
      <c r="BJ687" s="319" t="s">
        <v>191</v>
      </c>
      <c r="BK687" s="319" t="s">
        <v>191</v>
      </c>
      <c r="BL687" s="319" t="s">
        <v>190</v>
      </c>
      <c r="BM687" s="319" t="s">
        <v>190</v>
      </c>
      <c r="BN687" s="319" t="s">
        <v>191</v>
      </c>
      <c r="BO687" s="319" t="s">
        <v>190</v>
      </c>
      <c r="BP687" s="319" t="s">
        <v>190</v>
      </c>
      <c r="BQ687" s="319" t="s">
        <v>190</v>
      </c>
      <c r="BR687" s="319" t="s">
        <v>190</v>
      </c>
      <c r="BS687" s="319" t="s">
        <v>190</v>
      </c>
      <c r="BT687" s="319" t="s">
        <v>190</v>
      </c>
      <c r="BU687" s="319" t="s">
        <v>190</v>
      </c>
      <c r="BV687" s="319" t="s">
        <v>191</v>
      </c>
      <c r="BW687" s="319" t="s">
        <v>191</v>
      </c>
      <c r="BX687" s="319" t="s">
        <v>191</v>
      </c>
      <c r="BY687" s="319" t="s">
        <v>190</v>
      </c>
      <c r="BZ687" s="319" t="s">
        <v>190</v>
      </c>
      <c r="CA687" s="319" t="s">
        <v>190</v>
      </c>
      <c r="CB687" s="319" t="s">
        <v>191</v>
      </c>
      <c r="CC687" s="319" t="s">
        <v>190</v>
      </c>
      <c r="CD687" s="319" t="s">
        <v>191</v>
      </c>
      <c r="CE687" s="319" t="s">
        <v>190</v>
      </c>
      <c r="CF687" s="319" t="s">
        <v>190</v>
      </c>
      <c r="CG687" s="319" t="s">
        <v>190</v>
      </c>
      <c r="CH687" s="319" t="s">
        <v>190</v>
      </c>
      <c r="CI687" s="319" t="s">
        <v>190</v>
      </c>
      <c r="CJ687" s="319" t="s">
        <v>190</v>
      </c>
      <c r="CK687" s="319" t="s">
        <v>190</v>
      </c>
      <c r="CL687" s="319" t="s">
        <v>190</v>
      </c>
      <c r="CM687" s="319" t="s">
        <v>190</v>
      </c>
      <c r="CN687" s="319" t="s">
        <v>428</v>
      </c>
      <c r="CO687" s="319" t="s">
        <v>428</v>
      </c>
      <c r="CP687" s="319" t="s">
        <v>428</v>
      </c>
      <c r="CQ687" s="319" t="s">
        <v>190</v>
      </c>
      <c r="CR687" s="319" t="s">
        <v>190</v>
      </c>
      <c r="CS687" s="319" t="s">
        <v>190</v>
      </c>
      <c r="CT687" s="319" t="s">
        <v>190</v>
      </c>
      <c r="CU687" s="319" t="s">
        <v>190</v>
      </c>
      <c r="CV687" s="319" t="s">
        <v>190</v>
      </c>
      <c r="CW687" s="319" t="s">
        <v>190</v>
      </c>
      <c r="CX687" s="319" t="s">
        <v>190</v>
      </c>
      <c r="CY687" s="319" t="s">
        <v>190</v>
      </c>
      <c r="CZ687" s="319" t="s">
        <v>191</v>
      </c>
      <c r="DA687" s="319" t="s">
        <v>190</v>
      </c>
      <c r="DB687" s="319" t="s">
        <v>190</v>
      </c>
      <c r="DC687" s="319" t="s">
        <v>190</v>
      </c>
      <c r="DD687" s="319" t="s">
        <v>190</v>
      </c>
      <c r="DE687" s="319" t="s">
        <v>190</v>
      </c>
      <c r="DF687" s="319" t="s">
        <v>190</v>
      </c>
      <c r="DG687" s="319" t="s">
        <v>190</v>
      </c>
      <c r="DH687" s="319" t="s">
        <v>190</v>
      </c>
      <c r="DI687" s="319" t="s">
        <v>190</v>
      </c>
      <c r="DJ687" s="319" t="s">
        <v>190</v>
      </c>
      <c r="DK687" s="319" t="s">
        <v>190</v>
      </c>
      <c r="DL687" s="319" t="s">
        <v>190</v>
      </c>
      <c r="DM687" s="319" t="s">
        <v>190</v>
      </c>
      <c r="DN687" s="319" t="s">
        <v>428</v>
      </c>
      <c r="DO687" s="319" t="s">
        <v>190</v>
      </c>
      <c r="DP687" s="319" t="s">
        <v>190</v>
      </c>
      <c r="DQ687" s="319" t="s">
        <v>190</v>
      </c>
      <c r="DR687" s="319" t="s">
        <v>190</v>
      </c>
      <c r="DS687" s="319" t="s">
        <v>190</v>
      </c>
      <c r="DT687" s="319" t="s">
        <v>190</v>
      </c>
      <c r="DU687" s="319" t="s">
        <v>190</v>
      </c>
      <c r="DV687" s="319" t="s">
        <v>173</v>
      </c>
      <c r="DW687" s="319" t="s">
        <v>190</v>
      </c>
      <c r="DX687" s="319" t="s">
        <v>190</v>
      </c>
      <c r="DY687" s="319" t="s">
        <v>190</v>
      </c>
      <c r="DZ687" s="319" t="s">
        <v>190</v>
      </c>
      <c r="EA687" s="319" t="s">
        <v>190</v>
      </c>
      <c r="EB687" s="319" t="s">
        <v>190</v>
      </c>
      <c r="EC687" s="319" t="s">
        <v>428</v>
      </c>
      <c r="ED687" s="319" t="s">
        <v>190</v>
      </c>
      <c r="EE687" s="319" t="s">
        <v>190</v>
      </c>
      <c r="EF687" s="319" t="s">
        <v>190</v>
      </c>
      <c r="EG687" s="319" t="s">
        <v>190</v>
      </c>
      <c r="EH687" s="319" t="s">
        <v>190</v>
      </c>
      <c r="EI687" s="319" t="s">
        <v>190</v>
      </c>
      <c r="EJ687" s="319" t="s">
        <v>190</v>
      </c>
      <c r="EK687" s="319" t="s">
        <v>190</v>
      </c>
      <c r="EL687" s="319" t="s">
        <v>190</v>
      </c>
      <c r="EM687" s="319" t="s">
        <v>190</v>
      </c>
      <c r="EN687" s="319" t="s">
        <v>190</v>
      </c>
      <c r="EO687" s="319" t="s">
        <v>190</v>
      </c>
      <c r="EP687" s="319" t="s">
        <v>190</v>
      </c>
      <c r="EQ687" s="319" t="s">
        <v>190</v>
      </c>
      <c r="ER687" s="319" t="s">
        <v>190</v>
      </c>
      <c r="ES687" s="319" t="s">
        <v>190</v>
      </c>
      <c r="ET687" s="319" t="s">
        <v>190</v>
      </c>
      <c r="EU687" s="319" t="s">
        <v>190</v>
      </c>
      <c r="EV687" s="319" t="s">
        <v>190</v>
      </c>
      <c r="EW687" s="319" t="s">
        <v>190</v>
      </c>
      <c r="EX687" s="319" t="s">
        <v>190</v>
      </c>
      <c r="EY687" s="319" t="s">
        <v>190</v>
      </c>
      <c r="EZ687" s="319" t="s">
        <v>190</v>
      </c>
      <c r="FA687" s="319" t="s">
        <v>190</v>
      </c>
      <c r="FB687" s="319" t="s">
        <v>190</v>
      </c>
      <c r="FC687" s="319" t="s">
        <v>190</v>
      </c>
      <c r="FD687" s="319" t="s">
        <v>190</v>
      </c>
      <c r="FE687" s="319" t="s">
        <v>190</v>
      </c>
      <c r="FF687" s="319" t="s">
        <v>190</v>
      </c>
      <c r="FG687" s="319" t="s">
        <v>190</v>
      </c>
      <c r="FH687" s="319" t="s">
        <v>190</v>
      </c>
      <c r="FI687" s="319" t="s">
        <v>190</v>
      </c>
      <c r="FJ687" s="319" t="s">
        <v>190</v>
      </c>
      <c r="FK687" s="319" t="s">
        <v>190</v>
      </c>
      <c r="FL687" s="319" t="s">
        <v>190</v>
      </c>
      <c r="FM687" s="319" t="s">
        <v>190</v>
      </c>
      <c r="FN687" s="319" t="s">
        <v>428</v>
      </c>
      <c r="FO687" s="319" t="s">
        <v>190</v>
      </c>
      <c r="FP687" s="319" t="s">
        <v>190</v>
      </c>
      <c r="FQ687" s="319" t="s">
        <v>190</v>
      </c>
      <c r="FR687" s="319" t="s">
        <v>190</v>
      </c>
      <c r="FS687" s="319" t="s">
        <v>428</v>
      </c>
      <c r="FT687" s="319" t="s">
        <v>190</v>
      </c>
      <c r="FU687" s="319" t="s">
        <v>190</v>
      </c>
      <c r="FV687" s="319" t="s">
        <v>190</v>
      </c>
      <c r="FW687" s="319" t="s">
        <v>190</v>
      </c>
      <c r="FX687" s="319" t="s">
        <v>190</v>
      </c>
      <c r="FY687" s="319" t="s">
        <v>190</v>
      </c>
      <c r="FZ687" s="319" t="s">
        <v>190</v>
      </c>
      <c r="GA687" s="319" t="s">
        <v>190</v>
      </c>
      <c r="GB687" s="319" t="s">
        <v>190</v>
      </c>
      <c r="GC687" s="319" t="s">
        <v>190</v>
      </c>
      <c r="GD687" s="319" t="s">
        <v>190</v>
      </c>
      <c r="GE687" s="319" t="s">
        <v>190</v>
      </c>
      <c r="GF687" s="319" t="s">
        <v>190</v>
      </c>
      <c r="GG687" s="319" t="s">
        <v>190</v>
      </c>
      <c r="GH687" s="319" t="s">
        <v>190</v>
      </c>
      <c r="GI687" s="319" t="s">
        <v>190</v>
      </c>
      <c r="GJ687" s="319" t="s">
        <v>190</v>
      </c>
      <c r="GK687" s="319" t="s">
        <v>428</v>
      </c>
      <c r="GL687" s="319" t="s">
        <v>190</v>
      </c>
      <c r="GM687" s="319" t="s">
        <v>190</v>
      </c>
      <c r="GN687" s="319" t="s">
        <v>190</v>
      </c>
      <c r="GO687" s="319" t="s">
        <v>190</v>
      </c>
      <c r="GP687" s="319" t="s">
        <v>190</v>
      </c>
      <c r="GQ687" s="319" t="s">
        <v>428</v>
      </c>
      <c r="GR687" s="319" t="s">
        <v>190</v>
      </c>
      <c r="GS687" s="319" t="s">
        <v>190</v>
      </c>
      <c r="GT687" s="319" t="s">
        <v>190</v>
      </c>
      <c r="GU687" s="319" t="s">
        <v>190</v>
      </c>
      <c r="GV687" s="319" t="s">
        <v>190</v>
      </c>
      <c r="GW687" s="319" t="s">
        <v>190</v>
      </c>
      <c r="GX687" s="319" t="s">
        <v>190</v>
      </c>
      <c r="GY687" s="319" t="s">
        <v>190</v>
      </c>
      <c r="GZ687" s="319" t="s">
        <v>190</v>
      </c>
      <c r="HA687" s="319" t="s">
        <v>190</v>
      </c>
      <c r="HB687" s="319" t="s">
        <v>190</v>
      </c>
      <c r="HC687" s="319" t="s">
        <v>190</v>
      </c>
      <c r="HD687" s="319" t="s">
        <v>190</v>
      </c>
      <c r="HE687" s="319" t="s">
        <v>190</v>
      </c>
      <c r="HF687" s="319" t="s">
        <v>190</v>
      </c>
      <c r="HG687" s="319" t="s">
        <v>190</v>
      </c>
      <c r="HH687" s="319" t="s">
        <v>190</v>
      </c>
      <c r="HI687" s="319" t="s">
        <v>190</v>
      </c>
      <c r="HJ687" s="319" t="s">
        <v>190</v>
      </c>
      <c r="HK687" s="319" t="s">
        <v>190</v>
      </c>
      <c r="HL687" s="319" t="s">
        <v>190</v>
      </c>
      <c r="HM687" s="319" t="s">
        <v>190</v>
      </c>
      <c r="HN687" s="319" t="s">
        <v>190</v>
      </c>
      <c r="HO687" s="319" t="s">
        <v>190</v>
      </c>
      <c r="HP687" s="319" t="s">
        <v>190</v>
      </c>
      <c r="HQ687" s="319" t="s">
        <v>190</v>
      </c>
      <c r="HR687" s="319" t="s">
        <v>190</v>
      </c>
      <c r="HS687" s="319" t="s">
        <v>190</v>
      </c>
      <c r="HT687" s="319" t="s">
        <v>190</v>
      </c>
      <c r="HU687" s="319" t="s">
        <v>190</v>
      </c>
      <c r="HV687" s="319" t="s">
        <v>190</v>
      </c>
      <c r="HW687" s="319" t="s">
        <v>190</v>
      </c>
      <c r="HX687" s="319" t="s">
        <v>190</v>
      </c>
      <c r="HY687" s="319" t="s">
        <v>190</v>
      </c>
      <c r="HZ687" s="319" t="s">
        <v>190</v>
      </c>
      <c r="IA687" s="319" t="s">
        <v>190</v>
      </c>
      <c r="IB687" s="319" t="s">
        <v>190</v>
      </c>
      <c r="IC687" s="319" t="s">
        <v>190</v>
      </c>
      <c r="ID687" s="319" t="s">
        <v>190</v>
      </c>
      <c r="IE687" s="319" t="s">
        <v>190</v>
      </c>
      <c r="IF687" s="319" t="s">
        <v>191</v>
      </c>
      <c r="IG687" s="319" t="s">
        <v>191</v>
      </c>
      <c r="IH687" s="319" t="s">
        <v>191</v>
      </c>
      <c r="II687" s="319" t="s">
        <v>190</v>
      </c>
      <c r="IJ687" s="319">
        <v>10007769</v>
      </c>
      <c r="IK687" s="321">
        <v>42339</v>
      </c>
      <c r="IL687" s="321">
        <v>42341</v>
      </c>
      <c r="IM687" s="321">
        <v>42430</v>
      </c>
      <c r="IN687" s="319">
        <v>4</v>
      </c>
      <c r="IO687" s="319" t="s">
        <v>173</v>
      </c>
      <c r="IP687" s="319" t="s">
        <v>173</v>
      </c>
      <c r="IQ687" s="321" t="s">
        <v>173</v>
      </c>
      <c r="IR687" s="320" t="s">
        <v>173</v>
      </c>
      <c r="IS687" s="322" t="s">
        <v>173</v>
      </c>
      <c r="IT687" s="319" t="s">
        <v>173</v>
      </c>
    </row>
    <row r="688" spans="1:254" s="271" customFormat="1" x14ac:dyDescent="0.25">
      <c r="A688" s="318" t="str">
        <f>HYPERLINK("http://www.ofsted.gov.uk/inspection-reports/find-inspection-report/provider/ELS/138118 ","Ofsted School Webpage")</f>
        <v>Ofsted School Webpage</v>
      </c>
      <c r="B688" s="319">
        <v>138118</v>
      </c>
      <c r="C688" s="319">
        <v>3906000</v>
      </c>
      <c r="D688" s="319" t="s">
        <v>2154</v>
      </c>
      <c r="E688" s="319" t="s">
        <v>167</v>
      </c>
      <c r="F688" s="319" t="s">
        <v>81</v>
      </c>
      <c r="G688" s="319" t="s">
        <v>69</v>
      </c>
      <c r="H688" s="319" t="s">
        <v>69</v>
      </c>
      <c r="I688" s="319" t="s">
        <v>69</v>
      </c>
      <c r="J688" s="319" t="s">
        <v>424</v>
      </c>
      <c r="K688" s="319" t="s">
        <v>458</v>
      </c>
      <c r="L688" s="319" t="s">
        <v>474</v>
      </c>
      <c r="M688" s="319" t="s">
        <v>787</v>
      </c>
      <c r="N688" s="319" t="s">
        <v>787</v>
      </c>
      <c r="O688" s="319" t="s">
        <v>2155</v>
      </c>
      <c r="P688" s="319">
        <v>239</v>
      </c>
      <c r="Q688" s="319" t="s">
        <v>429</v>
      </c>
      <c r="R688" s="320">
        <v>10110722</v>
      </c>
      <c r="S688" s="321">
        <v>43781</v>
      </c>
      <c r="T688" s="321">
        <v>43783</v>
      </c>
      <c r="U688" s="321">
        <v>43810</v>
      </c>
      <c r="V688" s="319" t="s">
        <v>425</v>
      </c>
      <c r="W688" s="319" t="s">
        <v>2767</v>
      </c>
      <c r="X688" s="319">
        <v>3</v>
      </c>
      <c r="Y688" s="319">
        <v>2</v>
      </c>
      <c r="Z688" s="319">
        <v>2</v>
      </c>
      <c r="AA688" s="319">
        <v>3</v>
      </c>
      <c r="AB688" s="319">
        <v>3</v>
      </c>
      <c r="AC688" s="319" t="s">
        <v>169</v>
      </c>
      <c r="AD688" s="319" t="s">
        <v>173</v>
      </c>
      <c r="AE688" s="319" t="s">
        <v>173</v>
      </c>
      <c r="AF688" s="319" t="s">
        <v>427</v>
      </c>
      <c r="AG688" s="319" t="s">
        <v>172</v>
      </c>
      <c r="AH688" s="319" t="s">
        <v>479</v>
      </c>
      <c r="AI688" s="319" t="s">
        <v>479</v>
      </c>
      <c r="AJ688" s="319" t="s">
        <v>190</v>
      </c>
      <c r="AK688" s="319" t="s">
        <v>190</v>
      </c>
      <c r="AL688" s="319" t="s">
        <v>190</v>
      </c>
      <c r="AM688" s="319" t="s">
        <v>190</v>
      </c>
      <c r="AN688" s="319" t="s">
        <v>190</v>
      </c>
      <c r="AO688" s="319" t="s">
        <v>479</v>
      </c>
      <c r="AP688" s="319" t="s">
        <v>191</v>
      </c>
      <c r="AQ688" s="319" t="s">
        <v>191</v>
      </c>
      <c r="AR688" s="319" t="s">
        <v>190</v>
      </c>
      <c r="AS688" s="319" t="s">
        <v>190</v>
      </c>
      <c r="AT688" s="319" t="s">
        <v>190</v>
      </c>
      <c r="AU688" s="319" t="s">
        <v>190</v>
      </c>
      <c r="AV688" s="319" t="s">
        <v>190</v>
      </c>
      <c r="AW688" s="319" t="s">
        <v>190</v>
      </c>
      <c r="AX688" s="319" t="s">
        <v>428</v>
      </c>
      <c r="AY688" s="319" t="s">
        <v>190</v>
      </c>
      <c r="AZ688" s="319" t="s">
        <v>190</v>
      </c>
      <c r="BA688" s="319" t="s">
        <v>191</v>
      </c>
      <c r="BB688" s="319" t="s">
        <v>190</v>
      </c>
      <c r="BC688" s="319" t="s">
        <v>190</v>
      </c>
      <c r="BD688" s="319" t="s">
        <v>190</v>
      </c>
      <c r="BE688" s="319" t="s">
        <v>190</v>
      </c>
      <c r="BF688" s="319" t="s">
        <v>428</v>
      </c>
      <c r="BG688" s="319" t="s">
        <v>428</v>
      </c>
      <c r="BH688" s="319" t="s">
        <v>190</v>
      </c>
      <c r="BI688" s="319" t="s">
        <v>191</v>
      </c>
      <c r="BJ688" s="319" t="s">
        <v>190</v>
      </c>
      <c r="BK688" s="319" t="s">
        <v>190</v>
      </c>
      <c r="BL688" s="319" t="s">
        <v>190</v>
      </c>
      <c r="BM688" s="319" t="s">
        <v>190</v>
      </c>
      <c r="BN688" s="319" t="s">
        <v>190</v>
      </c>
      <c r="BO688" s="319" t="s">
        <v>190</v>
      </c>
      <c r="BP688" s="319" t="s">
        <v>190</v>
      </c>
      <c r="BQ688" s="319" t="s">
        <v>190</v>
      </c>
      <c r="BR688" s="319" t="s">
        <v>190</v>
      </c>
      <c r="BS688" s="319" t="s">
        <v>190</v>
      </c>
      <c r="BT688" s="319" t="s">
        <v>190</v>
      </c>
      <c r="BU688" s="319" t="s">
        <v>190</v>
      </c>
      <c r="BV688" s="319" t="s">
        <v>191</v>
      </c>
      <c r="BW688" s="319" t="s">
        <v>190</v>
      </c>
      <c r="BX688" s="319" t="s">
        <v>190</v>
      </c>
      <c r="BY688" s="319" t="s">
        <v>190</v>
      </c>
      <c r="BZ688" s="319" t="s">
        <v>190</v>
      </c>
      <c r="CA688" s="319" t="s">
        <v>190</v>
      </c>
      <c r="CB688" s="319" t="s">
        <v>190</v>
      </c>
      <c r="CC688" s="319" t="s">
        <v>190</v>
      </c>
      <c r="CD688" s="319" t="s">
        <v>191</v>
      </c>
      <c r="CE688" s="319" t="s">
        <v>190</v>
      </c>
      <c r="CF688" s="319" t="s">
        <v>190</v>
      </c>
      <c r="CG688" s="319" t="s">
        <v>190</v>
      </c>
      <c r="CH688" s="319" t="s">
        <v>190</v>
      </c>
      <c r="CI688" s="319" t="s">
        <v>190</v>
      </c>
      <c r="CJ688" s="319" t="s">
        <v>190</v>
      </c>
      <c r="CK688" s="319" t="s">
        <v>190</v>
      </c>
      <c r="CL688" s="319" t="s">
        <v>190</v>
      </c>
      <c r="CM688" s="319" t="s">
        <v>190</v>
      </c>
      <c r="CN688" s="319" t="s">
        <v>428</v>
      </c>
      <c r="CO688" s="319" t="s">
        <v>428</v>
      </c>
      <c r="CP688" s="319" t="s">
        <v>428</v>
      </c>
      <c r="CQ688" s="319" t="s">
        <v>190</v>
      </c>
      <c r="CR688" s="319" t="s">
        <v>190</v>
      </c>
      <c r="CS688" s="319" t="s">
        <v>190</v>
      </c>
      <c r="CT688" s="319" t="s">
        <v>190</v>
      </c>
      <c r="CU688" s="319" t="s">
        <v>190</v>
      </c>
      <c r="CV688" s="319" t="s">
        <v>190</v>
      </c>
      <c r="CW688" s="319" t="s">
        <v>190</v>
      </c>
      <c r="CX688" s="319" t="s">
        <v>190</v>
      </c>
      <c r="CY688" s="319" t="s">
        <v>190</v>
      </c>
      <c r="CZ688" s="319" t="s">
        <v>190</v>
      </c>
      <c r="DA688" s="319" t="s">
        <v>190</v>
      </c>
      <c r="DB688" s="319" t="s">
        <v>190</v>
      </c>
      <c r="DC688" s="319" t="s">
        <v>190</v>
      </c>
      <c r="DD688" s="319" t="s">
        <v>190</v>
      </c>
      <c r="DE688" s="319" t="s">
        <v>190</v>
      </c>
      <c r="DF688" s="319" t="s">
        <v>190</v>
      </c>
      <c r="DG688" s="319" t="s">
        <v>190</v>
      </c>
      <c r="DH688" s="319" t="s">
        <v>190</v>
      </c>
      <c r="DI688" s="319" t="s">
        <v>190</v>
      </c>
      <c r="DJ688" s="319" t="s">
        <v>190</v>
      </c>
      <c r="DK688" s="319" t="s">
        <v>190</v>
      </c>
      <c r="DL688" s="319" t="s">
        <v>190</v>
      </c>
      <c r="DM688" s="319" t="s">
        <v>190</v>
      </c>
      <c r="DN688" s="319" t="s">
        <v>428</v>
      </c>
      <c r="DO688" s="319" t="s">
        <v>190</v>
      </c>
      <c r="DP688" s="319" t="s">
        <v>190</v>
      </c>
      <c r="DQ688" s="319" t="s">
        <v>190</v>
      </c>
      <c r="DR688" s="319" t="s">
        <v>190</v>
      </c>
      <c r="DS688" s="319" t="s">
        <v>190</v>
      </c>
      <c r="DT688" s="319" t="s">
        <v>190</v>
      </c>
      <c r="DU688" s="319" t="s">
        <v>190</v>
      </c>
      <c r="DV688" s="319" t="s">
        <v>190</v>
      </c>
      <c r="DW688" s="319" t="s">
        <v>190</v>
      </c>
      <c r="DX688" s="319" t="s">
        <v>190</v>
      </c>
      <c r="DY688" s="319" t="s">
        <v>190</v>
      </c>
      <c r="DZ688" s="319" t="s">
        <v>190</v>
      </c>
      <c r="EA688" s="319" t="s">
        <v>190</v>
      </c>
      <c r="EB688" s="319" t="s">
        <v>190</v>
      </c>
      <c r="EC688" s="319" t="s">
        <v>428</v>
      </c>
      <c r="ED688" s="319" t="s">
        <v>190</v>
      </c>
      <c r="EE688" s="319" t="s">
        <v>190</v>
      </c>
      <c r="EF688" s="319" t="s">
        <v>190</v>
      </c>
      <c r="EG688" s="319" t="s">
        <v>190</v>
      </c>
      <c r="EH688" s="319" t="s">
        <v>190</v>
      </c>
      <c r="EI688" s="319" t="s">
        <v>190</v>
      </c>
      <c r="EJ688" s="319" t="s">
        <v>190</v>
      </c>
      <c r="EK688" s="319" t="s">
        <v>190</v>
      </c>
      <c r="EL688" s="319" t="s">
        <v>190</v>
      </c>
      <c r="EM688" s="319" t="s">
        <v>190</v>
      </c>
      <c r="EN688" s="319" t="s">
        <v>190</v>
      </c>
      <c r="EO688" s="319" t="s">
        <v>190</v>
      </c>
      <c r="EP688" s="319" t="s">
        <v>190</v>
      </c>
      <c r="EQ688" s="319" t="s">
        <v>190</v>
      </c>
      <c r="ER688" s="319" t="s">
        <v>190</v>
      </c>
      <c r="ES688" s="319" t="s">
        <v>190</v>
      </c>
      <c r="ET688" s="319" t="s">
        <v>190</v>
      </c>
      <c r="EU688" s="319" t="s">
        <v>190</v>
      </c>
      <c r="EV688" s="319" t="s">
        <v>190</v>
      </c>
      <c r="EW688" s="319" t="s">
        <v>190</v>
      </c>
      <c r="EX688" s="319" t="s">
        <v>190</v>
      </c>
      <c r="EY688" s="319" t="s">
        <v>190</v>
      </c>
      <c r="EZ688" s="319" t="s">
        <v>190</v>
      </c>
      <c r="FA688" s="319" t="s">
        <v>428</v>
      </c>
      <c r="FB688" s="319" t="s">
        <v>190</v>
      </c>
      <c r="FC688" s="319" t="s">
        <v>190</v>
      </c>
      <c r="FD688" s="319" t="s">
        <v>190</v>
      </c>
      <c r="FE688" s="319" t="s">
        <v>190</v>
      </c>
      <c r="FF688" s="319" t="s">
        <v>190</v>
      </c>
      <c r="FG688" s="319" t="s">
        <v>190</v>
      </c>
      <c r="FH688" s="319" t="s">
        <v>190</v>
      </c>
      <c r="FI688" s="319" t="s">
        <v>428</v>
      </c>
      <c r="FJ688" s="319" t="s">
        <v>429</v>
      </c>
      <c r="FK688" s="319" t="s">
        <v>428</v>
      </c>
      <c r="FL688" s="319" t="s">
        <v>190</v>
      </c>
      <c r="FM688" s="319" t="s">
        <v>190</v>
      </c>
      <c r="FN688" s="319" t="s">
        <v>190</v>
      </c>
      <c r="FO688" s="319" t="s">
        <v>190</v>
      </c>
      <c r="FP688" s="319" t="s">
        <v>190</v>
      </c>
      <c r="FQ688" s="319" t="s">
        <v>190</v>
      </c>
      <c r="FR688" s="319" t="s">
        <v>190</v>
      </c>
      <c r="FS688" s="319" t="s">
        <v>428</v>
      </c>
      <c r="FT688" s="319" t="s">
        <v>190</v>
      </c>
      <c r="FU688" s="319" t="s">
        <v>190</v>
      </c>
      <c r="FV688" s="319" t="s">
        <v>190</v>
      </c>
      <c r="FW688" s="319" t="s">
        <v>190</v>
      </c>
      <c r="FX688" s="319" t="s">
        <v>190</v>
      </c>
      <c r="FY688" s="319" t="s">
        <v>190</v>
      </c>
      <c r="FZ688" s="319" t="s">
        <v>190</v>
      </c>
      <c r="GA688" s="319" t="s">
        <v>190</v>
      </c>
      <c r="GB688" s="319" t="s">
        <v>190</v>
      </c>
      <c r="GC688" s="319" t="s">
        <v>190</v>
      </c>
      <c r="GD688" s="319" t="s">
        <v>190</v>
      </c>
      <c r="GE688" s="319" t="s">
        <v>190</v>
      </c>
      <c r="GF688" s="319" t="s">
        <v>190</v>
      </c>
      <c r="GG688" s="319" t="s">
        <v>190</v>
      </c>
      <c r="GH688" s="319" t="s">
        <v>190</v>
      </c>
      <c r="GI688" s="319" t="s">
        <v>190</v>
      </c>
      <c r="GJ688" s="319" t="s">
        <v>190</v>
      </c>
      <c r="GK688" s="319" t="s">
        <v>428</v>
      </c>
      <c r="GL688" s="319" t="s">
        <v>190</v>
      </c>
      <c r="GM688" s="319" t="s">
        <v>190</v>
      </c>
      <c r="GN688" s="319" t="s">
        <v>190</v>
      </c>
      <c r="GO688" s="319" t="s">
        <v>190</v>
      </c>
      <c r="GP688" s="319" t="s">
        <v>190</v>
      </c>
      <c r="GQ688" s="319" t="s">
        <v>190</v>
      </c>
      <c r="GR688" s="319" t="s">
        <v>190</v>
      </c>
      <c r="GS688" s="319" t="s">
        <v>190</v>
      </c>
      <c r="GT688" s="319" t="s">
        <v>428</v>
      </c>
      <c r="GU688" s="319" t="s">
        <v>190</v>
      </c>
      <c r="GV688" s="319" t="s">
        <v>190</v>
      </c>
      <c r="GW688" s="319" t="s">
        <v>190</v>
      </c>
      <c r="GX688" s="319" t="s">
        <v>190</v>
      </c>
      <c r="GY688" s="319" t="s">
        <v>190</v>
      </c>
      <c r="GZ688" s="319" t="s">
        <v>190</v>
      </c>
      <c r="HA688" s="319" t="s">
        <v>428</v>
      </c>
      <c r="HB688" s="319" t="s">
        <v>190</v>
      </c>
      <c r="HC688" s="319" t="s">
        <v>190</v>
      </c>
      <c r="HD688" s="319" t="s">
        <v>190</v>
      </c>
      <c r="HE688" s="319" t="s">
        <v>190</v>
      </c>
      <c r="HF688" s="319" t="s">
        <v>190</v>
      </c>
      <c r="HG688" s="319" t="s">
        <v>190</v>
      </c>
      <c r="HH688" s="319" t="s">
        <v>190</v>
      </c>
      <c r="HI688" s="319" t="s">
        <v>190</v>
      </c>
      <c r="HJ688" s="319" t="s">
        <v>190</v>
      </c>
      <c r="HK688" s="319" t="s">
        <v>190</v>
      </c>
      <c r="HL688" s="319" t="s">
        <v>190</v>
      </c>
      <c r="HM688" s="319" t="s">
        <v>428</v>
      </c>
      <c r="HN688" s="319" t="s">
        <v>428</v>
      </c>
      <c r="HO688" s="319" t="s">
        <v>428</v>
      </c>
      <c r="HP688" s="319" t="s">
        <v>190</v>
      </c>
      <c r="HQ688" s="319" t="s">
        <v>190</v>
      </c>
      <c r="HR688" s="319" t="s">
        <v>190</v>
      </c>
      <c r="HS688" s="319" t="s">
        <v>190</v>
      </c>
      <c r="HT688" s="319" t="s">
        <v>190</v>
      </c>
      <c r="HU688" s="319" t="s">
        <v>190</v>
      </c>
      <c r="HV688" s="319" t="s">
        <v>190</v>
      </c>
      <c r="HW688" s="319" t="s">
        <v>190</v>
      </c>
      <c r="HX688" s="319" t="s">
        <v>190</v>
      </c>
      <c r="HY688" s="319" t="s">
        <v>190</v>
      </c>
      <c r="HZ688" s="319" t="s">
        <v>190</v>
      </c>
      <c r="IA688" s="319" t="s">
        <v>190</v>
      </c>
      <c r="IB688" s="319" t="s">
        <v>190</v>
      </c>
      <c r="IC688" s="319" t="s">
        <v>190</v>
      </c>
      <c r="ID688" s="319" t="s">
        <v>190</v>
      </c>
      <c r="IE688" s="319" t="s">
        <v>190</v>
      </c>
      <c r="IF688" s="319" t="s">
        <v>191</v>
      </c>
      <c r="IG688" s="319" t="s">
        <v>191</v>
      </c>
      <c r="IH688" s="319" t="s">
        <v>191</v>
      </c>
      <c r="II688" s="319" t="s">
        <v>190</v>
      </c>
      <c r="IJ688" s="319">
        <v>10046954</v>
      </c>
      <c r="IK688" s="321">
        <v>43235</v>
      </c>
      <c r="IL688" s="321">
        <v>43237</v>
      </c>
      <c r="IM688" s="321">
        <v>43269</v>
      </c>
      <c r="IN688" s="319">
        <v>3</v>
      </c>
      <c r="IO688" s="319" t="s">
        <v>173</v>
      </c>
      <c r="IP688" s="319" t="s">
        <v>173</v>
      </c>
      <c r="IQ688" s="321" t="s">
        <v>173</v>
      </c>
      <c r="IR688" s="320" t="s">
        <v>173</v>
      </c>
      <c r="IS688" s="322" t="s">
        <v>173</v>
      </c>
      <c r="IT688" s="319" t="s">
        <v>173</v>
      </c>
    </row>
    <row r="689" spans="1:254" s="271" customFormat="1" x14ac:dyDescent="0.25">
      <c r="A689" s="318" t="str">
        <f>HYPERLINK("http://www.ofsted.gov.uk/inspection-reports/find-inspection-report/provider/ELS/138119 ","Ofsted School Webpage")</f>
        <v>Ofsted School Webpage</v>
      </c>
      <c r="B689" s="319">
        <v>138119</v>
      </c>
      <c r="C689" s="319">
        <v>9316006</v>
      </c>
      <c r="D689" s="319" t="s">
        <v>1015</v>
      </c>
      <c r="E689" s="319" t="s">
        <v>167</v>
      </c>
      <c r="F689" s="319" t="s">
        <v>81</v>
      </c>
      <c r="G689" s="319" t="s">
        <v>81</v>
      </c>
      <c r="H689" s="319" t="s">
        <v>81</v>
      </c>
      <c r="I689" s="319" t="s">
        <v>78</v>
      </c>
      <c r="J689" s="319" t="s">
        <v>424</v>
      </c>
      <c r="K689" s="319" t="s">
        <v>514</v>
      </c>
      <c r="L689" s="319" t="s">
        <v>514</v>
      </c>
      <c r="M689" s="319" t="s">
        <v>1016</v>
      </c>
      <c r="N689" s="319" t="s">
        <v>3427</v>
      </c>
      <c r="O689" s="319" t="s">
        <v>1017</v>
      </c>
      <c r="P689" s="319">
        <v>11</v>
      </c>
      <c r="Q689" s="319" t="s">
        <v>429</v>
      </c>
      <c r="R689" s="320">
        <v>10033956</v>
      </c>
      <c r="S689" s="321">
        <v>42997</v>
      </c>
      <c r="T689" s="321">
        <v>42999</v>
      </c>
      <c r="U689" s="321">
        <v>43026</v>
      </c>
      <c r="V689" s="319" t="s">
        <v>425</v>
      </c>
      <c r="W689" s="319" t="s">
        <v>2767</v>
      </c>
      <c r="X689" s="319">
        <v>3</v>
      </c>
      <c r="Y689" s="319" t="s">
        <v>173</v>
      </c>
      <c r="Z689" s="319" t="s">
        <v>173</v>
      </c>
      <c r="AA689" s="319" t="s">
        <v>173</v>
      </c>
      <c r="AB689" s="319">
        <v>2</v>
      </c>
      <c r="AC689" s="319" t="s">
        <v>169</v>
      </c>
      <c r="AD689" s="319" t="s">
        <v>173</v>
      </c>
      <c r="AE689" s="319" t="s">
        <v>173</v>
      </c>
      <c r="AF689" s="319" t="s">
        <v>173</v>
      </c>
      <c r="AG689" s="319" t="s">
        <v>172</v>
      </c>
      <c r="AH689" s="319" t="s">
        <v>190</v>
      </c>
      <c r="AI689" s="319" t="s">
        <v>190</v>
      </c>
      <c r="AJ689" s="319" t="s">
        <v>190</v>
      </c>
      <c r="AK689" s="319" t="s">
        <v>190</v>
      </c>
      <c r="AL689" s="319" t="s">
        <v>479</v>
      </c>
      <c r="AM689" s="319" t="s">
        <v>190</v>
      </c>
      <c r="AN689" s="319" t="s">
        <v>190</v>
      </c>
      <c r="AO689" s="319" t="s">
        <v>190</v>
      </c>
      <c r="AP689" s="319" t="s">
        <v>190</v>
      </c>
      <c r="AQ689" s="319" t="s">
        <v>190</v>
      </c>
      <c r="AR689" s="319" t="s">
        <v>190</v>
      </c>
      <c r="AS689" s="319" t="s">
        <v>190</v>
      </c>
      <c r="AT689" s="319" t="s">
        <v>190</v>
      </c>
      <c r="AU689" s="319" t="s">
        <v>190</v>
      </c>
      <c r="AV689" s="319" t="s">
        <v>190</v>
      </c>
      <c r="AW689" s="319" t="s">
        <v>190</v>
      </c>
      <c r="AX689" s="319" t="s">
        <v>190</v>
      </c>
      <c r="AY689" s="319" t="s">
        <v>190</v>
      </c>
      <c r="AZ689" s="319" t="s">
        <v>190</v>
      </c>
      <c r="BA689" s="319" t="s">
        <v>190</v>
      </c>
      <c r="BB689" s="319" t="s">
        <v>190</v>
      </c>
      <c r="BC689" s="319" t="s">
        <v>190</v>
      </c>
      <c r="BD689" s="319" t="s">
        <v>190</v>
      </c>
      <c r="BE689" s="319" t="s">
        <v>190</v>
      </c>
      <c r="BF689" s="319" t="s">
        <v>190</v>
      </c>
      <c r="BG689" s="319" t="s">
        <v>190</v>
      </c>
      <c r="BH689" s="319" t="s">
        <v>190</v>
      </c>
      <c r="BI689" s="319" t="s">
        <v>190</v>
      </c>
      <c r="BJ689" s="319" t="s">
        <v>190</v>
      </c>
      <c r="BK689" s="319" t="s">
        <v>190</v>
      </c>
      <c r="BL689" s="319" t="s">
        <v>190</v>
      </c>
      <c r="BM689" s="319" t="s">
        <v>190</v>
      </c>
      <c r="BN689" s="319" t="s">
        <v>190</v>
      </c>
      <c r="BO689" s="319" t="s">
        <v>190</v>
      </c>
      <c r="BP689" s="319" t="s">
        <v>190</v>
      </c>
      <c r="BQ689" s="319" t="s">
        <v>190</v>
      </c>
      <c r="BR689" s="319" t="s">
        <v>190</v>
      </c>
      <c r="BS689" s="319" t="s">
        <v>190</v>
      </c>
      <c r="BT689" s="319" t="s">
        <v>190</v>
      </c>
      <c r="BU689" s="319" t="s">
        <v>190</v>
      </c>
      <c r="BV689" s="319" t="s">
        <v>190</v>
      </c>
      <c r="BW689" s="319" t="s">
        <v>190</v>
      </c>
      <c r="BX689" s="319" t="s">
        <v>190</v>
      </c>
      <c r="BY689" s="319" t="s">
        <v>190</v>
      </c>
      <c r="BZ689" s="319" t="s">
        <v>190</v>
      </c>
      <c r="CA689" s="319" t="s">
        <v>190</v>
      </c>
      <c r="CB689" s="319" t="s">
        <v>190</v>
      </c>
      <c r="CC689" s="319" t="s">
        <v>190</v>
      </c>
      <c r="CD689" s="319" t="s">
        <v>190</v>
      </c>
      <c r="CE689" s="319" t="s">
        <v>190</v>
      </c>
      <c r="CF689" s="319" t="s">
        <v>190</v>
      </c>
      <c r="CG689" s="319" t="s">
        <v>190</v>
      </c>
      <c r="CH689" s="319" t="s">
        <v>190</v>
      </c>
      <c r="CI689" s="319" t="s">
        <v>190</v>
      </c>
      <c r="CJ689" s="319" t="s">
        <v>190</v>
      </c>
      <c r="CK689" s="319" t="s">
        <v>190</v>
      </c>
      <c r="CL689" s="319" t="s">
        <v>190</v>
      </c>
      <c r="CM689" s="319" t="s">
        <v>190</v>
      </c>
      <c r="CN689" s="319" t="s">
        <v>429</v>
      </c>
      <c r="CO689" s="319" t="s">
        <v>429</v>
      </c>
      <c r="CP689" s="319" t="s">
        <v>429</v>
      </c>
      <c r="CQ689" s="319" t="s">
        <v>190</v>
      </c>
      <c r="CR689" s="319" t="s">
        <v>190</v>
      </c>
      <c r="CS689" s="319" t="s">
        <v>190</v>
      </c>
      <c r="CT689" s="319" t="s">
        <v>190</v>
      </c>
      <c r="CU689" s="319" t="s">
        <v>190</v>
      </c>
      <c r="CV689" s="319" t="s">
        <v>190</v>
      </c>
      <c r="CW689" s="319" t="s">
        <v>190</v>
      </c>
      <c r="CX689" s="319" t="s">
        <v>190</v>
      </c>
      <c r="CY689" s="319" t="s">
        <v>190</v>
      </c>
      <c r="CZ689" s="319" t="s">
        <v>190</v>
      </c>
      <c r="DA689" s="319" t="s">
        <v>190</v>
      </c>
      <c r="DB689" s="319" t="s">
        <v>190</v>
      </c>
      <c r="DC689" s="319" t="s">
        <v>190</v>
      </c>
      <c r="DD689" s="319" t="s">
        <v>190</v>
      </c>
      <c r="DE689" s="319" t="s">
        <v>190</v>
      </c>
      <c r="DF689" s="319" t="s">
        <v>190</v>
      </c>
      <c r="DG689" s="319" t="s">
        <v>190</v>
      </c>
      <c r="DH689" s="319" t="s">
        <v>190</v>
      </c>
      <c r="DI689" s="319" t="s">
        <v>190</v>
      </c>
      <c r="DJ689" s="319" t="s">
        <v>190</v>
      </c>
      <c r="DK689" s="319" t="s">
        <v>190</v>
      </c>
      <c r="DL689" s="319" t="s">
        <v>190</v>
      </c>
      <c r="DM689" s="319" t="s">
        <v>190</v>
      </c>
      <c r="DN689" s="319" t="s">
        <v>429</v>
      </c>
      <c r="DO689" s="319" t="s">
        <v>190</v>
      </c>
      <c r="DP689" s="319" t="s">
        <v>190</v>
      </c>
      <c r="DQ689" s="319" t="s">
        <v>190</v>
      </c>
      <c r="DR689" s="319" t="s">
        <v>190</v>
      </c>
      <c r="DS689" s="319" t="s">
        <v>190</v>
      </c>
      <c r="DT689" s="319" t="s">
        <v>190</v>
      </c>
      <c r="DU689" s="319" t="s">
        <v>190</v>
      </c>
      <c r="DV689" s="319" t="s">
        <v>173</v>
      </c>
      <c r="DW689" s="319" t="s">
        <v>190</v>
      </c>
      <c r="DX689" s="319" t="s">
        <v>190</v>
      </c>
      <c r="DY689" s="319" t="s">
        <v>190</v>
      </c>
      <c r="DZ689" s="319" t="s">
        <v>190</v>
      </c>
      <c r="EA689" s="319" t="s">
        <v>190</v>
      </c>
      <c r="EB689" s="319" t="s">
        <v>190</v>
      </c>
      <c r="EC689" s="319" t="s">
        <v>429</v>
      </c>
      <c r="ED689" s="319" t="s">
        <v>190</v>
      </c>
      <c r="EE689" s="319" t="s">
        <v>190</v>
      </c>
      <c r="EF689" s="319" t="s">
        <v>190</v>
      </c>
      <c r="EG689" s="319" t="s">
        <v>190</v>
      </c>
      <c r="EH689" s="319" t="s">
        <v>190</v>
      </c>
      <c r="EI689" s="319" t="s">
        <v>190</v>
      </c>
      <c r="EJ689" s="319" t="s">
        <v>190</v>
      </c>
      <c r="EK689" s="319" t="s">
        <v>190</v>
      </c>
      <c r="EL689" s="319" t="s">
        <v>190</v>
      </c>
      <c r="EM689" s="319" t="s">
        <v>190</v>
      </c>
      <c r="EN689" s="319" t="s">
        <v>190</v>
      </c>
      <c r="EO689" s="319" t="s">
        <v>190</v>
      </c>
      <c r="EP689" s="319" t="s">
        <v>190</v>
      </c>
      <c r="EQ689" s="319" t="s">
        <v>190</v>
      </c>
      <c r="ER689" s="319" t="s">
        <v>190</v>
      </c>
      <c r="ES689" s="319" t="s">
        <v>190</v>
      </c>
      <c r="ET689" s="319" t="s">
        <v>190</v>
      </c>
      <c r="EU689" s="319" t="s">
        <v>190</v>
      </c>
      <c r="EV689" s="319" t="s">
        <v>190</v>
      </c>
      <c r="EW689" s="319" t="s">
        <v>190</v>
      </c>
      <c r="EX689" s="319" t="s">
        <v>190</v>
      </c>
      <c r="EY689" s="319" t="s">
        <v>190</v>
      </c>
      <c r="EZ689" s="319" t="s">
        <v>190</v>
      </c>
      <c r="FA689" s="319" t="s">
        <v>190</v>
      </c>
      <c r="FB689" s="319" t="s">
        <v>190</v>
      </c>
      <c r="FC689" s="319" t="s">
        <v>190</v>
      </c>
      <c r="FD689" s="319" t="s">
        <v>190</v>
      </c>
      <c r="FE689" s="319" t="s">
        <v>190</v>
      </c>
      <c r="FF689" s="319" t="s">
        <v>190</v>
      </c>
      <c r="FG689" s="319" t="s">
        <v>190</v>
      </c>
      <c r="FH689" s="319" t="s">
        <v>190</v>
      </c>
      <c r="FI689" s="319" t="s">
        <v>190</v>
      </c>
      <c r="FJ689" s="319" t="s">
        <v>190</v>
      </c>
      <c r="FK689" s="319" t="s">
        <v>190</v>
      </c>
      <c r="FL689" s="319" t="s">
        <v>190</v>
      </c>
      <c r="FM689" s="319" t="s">
        <v>190</v>
      </c>
      <c r="FN689" s="319" t="s">
        <v>190</v>
      </c>
      <c r="FO689" s="319" t="s">
        <v>190</v>
      </c>
      <c r="FP689" s="319" t="s">
        <v>190</v>
      </c>
      <c r="FQ689" s="319" t="s">
        <v>190</v>
      </c>
      <c r="FR689" s="319" t="s">
        <v>190</v>
      </c>
      <c r="FS689" s="319" t="s">
        <v>190</v>
      </c>
      <c r="FT689" s="319" t="s">
        <v>190</v>
      </c>
      <c r="FU689" s="319" t="s">
        <v>190</v>
      </c>
      <c r="FV689" s="319" t="s">
        <v>190</v>
      </c>
      <c r="FW689" s="319" t="s">
        <v>190</v>
      </c>
      <c r="FX689" s="319" t="s">
        <v>190</v>
      </c>
      <c r="FY689" s="319" t="s">
        <v>190</v>
      </c>
      <c r="FZ689" s="319" t="s">
        <v>191</v>
      </c>
      <c r="GA689" s="319" t="s">
        <v>190</v>
      </c>
      <c r="GB689" s="319" t="s">
        <v>191</v>
      </c>
      <c r="GC689" s="319" t="s">
        <v>190</v>
      </c>
      <c r="GD689" s="319" t="s">
        <v>429</v>
      </c>
      <c r="GE689" s="319" t="s">
        <v>190</v>
      </c>
      <c r="GF689" s="319" t="s">
        <v>190</v>
      </c>
      <c r="GG689" s="319" t="s">
        <v>190</v>
      </c>
      <c r="GH689" s="319" t="s">
        <v>190</v>
      </c>
      <c r="GI689" s="319" t="s">
        <v>190</v>
      </c>
      <c r="GJ689" s="319" t="s">
        <v>190</v>
      </c>
      <c r="GK689" s="319" t="s">
        <v>429</v>
      </c>
      <c r="GL689" s="319" t="s">
        <v>190</v>
      </c>
      <c r="GM689" s="319" t="s">
        <v>190</v>
      </c>
      <c r="GN689" s="319" t="s">
        <v>190</v>
      </c>
      <c r="GO689" s="319" t="s">
        <v>190</v>
      </c>
      <c r="GP689" s="319" t="s">
        <v>190</v>
      </c>
      <c r="GQ689" s="319" t="s">
        <v>190</v>
      </c>
      <c r="GR689" s="319" t="s">
        <v>190</v>
      </c>
      <c r="GS689" s="319" t="s">
        <v>190</v>
      </c>
      <c r="GT689" s="319" t="s">
        <v>190</v>
      </c>
      <c r="GU689" s="319" t="s">
        <v>190</v>
      </c>
      <c r="GV689" s="319" t="s">
        <v>190</v>
      </c>
      <c r="GW689" s="319" t="s">
        <v>190</v>
      </c>
      <c r="GX689" s="319" t="s">
        <v>190</v>
      </c>
      <c r="GY689" s="319" t="s">
        <v>190</v>
      </c>
      <c r="GZ689" s="319" t="s">
        <v>190</v>
      </c>
      <c r="HA689" s="319" t="s">
        <v>190</v>
      </c>
      <c r="HB689" s="319" t="s">
        <v>190</v>
      </c>
      <c r="HC689" s="319" t="s">
        <v>190</v>
      </c>
      <c r="HD689" s="319" t="s">
        <v>190</v>
      </c>
      <c r="HE689" s="319" t="s">
        <v>190</v>
      </c>
      <c r="HF689" s="319" t="s">
        <v>190</v>
      </c>
      <c r="HG689" s="319" t="s">
        <v>190</v>
      </c>
      <c r="HH689" s="319" t="s">
        <v>190</v>
      </c>
      <c r="HI689" s="319" t="s">
        <v>190</v>
      </c>
      <c r="HJ689" s="319" t="s">
        <v>190</v>
      </c>
      <c r="HK689" s="319" t="s">
        <v>190</v>
      </c>
      <c r="HL689" s="319" t="s">
        <v>190</v>
      </c>
      <c r="HM689" s="319" t="s">
        <v>190</v>
      </c>
      <c r="HN689" s="319" t="s">
        <v>190</v>
      </c>
      <c r="HO689" s="319" t="s">
        <v>190</v>
      </c>
      <c r="HP689" s="319" t="s">
        <v>190</v>
      </c>
      <c r="HQ689" s="319" t="s">
        <v>190</v>
      </c>
      <c r="HR689" s="319" t="s">
        <v>190</v>
      </c>
      <c r="HS689" s="319" t="s">
        <v>190</v>
      </c>
      <c r="HT689" s="319" t="s">
        <v>190</v>
      </c>
      <c r="HU689" s="319" t="s">
        <v>190</v>
      </c>
      <c r="HV689" s="319" t="s">
        <v>190</v>
      </c>
      <c r="HW689" s="319" t="s">
        <v>190</v>
      </c>
      <c r="HX689" s="319" t="s">
        <v>190</v>
      </c>
      <c r="HY689" s="319" t="s">
        <v>190</v>
      </c>
      <c r="HZ689" s="319" t="s">
        <v>190</v>
      </c>
      <c r="IA689" s="319" t="s">
        <v>190</v>
      </c>
      <c r="IB689" s="319" t="s">
        <v>190</v>
      </c>
      <c r="IC689" s="319" t="s">
        <v>190</v>
      </c>
      <c r="ID689" s="319" t="s">
        <v>190</v>
      </c>
      <c r="IE689" s="319" t="s">
        <v>190</v>
      </c>
      <c r="IF689" s="319" t="s">
        <v>190</v>
      </c>
      <c r="IG689" s="319" t="s">
        <v>190</v>
      </c>
      <c r="IH689" s="319" t="s">
        <v>190</v>
      </c>
      <c r="II689" s="319" t="s">
        <v>190</v>
      </c>
      <c r="IJ689" s="319" t="s">
        <v>3428</v>
      </c>
      <c r="IK689" s="321">
        <v>41325</v>
      </c>
      <c r="IL689" s="321">
        <v>41326</v>
      </c>
      <c r="IM689" s="321">
        <v>41346</v>
      </c>
      <c r="IN689" s="319">
        <v>2</v>
      </c>
      <c r="IO689" s="319" t="s">
        <v>173</v>
      </c>
      <c r="IP689" s="319" t="s">
        <v>173</v>
      </c>
      <c r="IQ689" s="319" t="s">
        <v>173</v>
      </c>
      <c r="IR689" s="320" t="s">
        <v>173</v>
      </c>
      <c r="IS689" s="320" t="s">
        <v>173</v>
      </c>
      <c r="IT689" s="319" t="s">
        <v>173</v>
      </c>
    </row>
    <row r="690" spans="1:254" s="271" customFormat="1" x14ac:dyDescent="0.25">
      <c r="A690" s="318" t="str">
        <f>HYPERLINK("http://www.ofsted.gov.uk/inspection-reports/find-inspection-report/provider/ELS/138138 ","Ofsted School Webpage")</f>
        <v>Ofsted School Webpage</v>
      </c>
      <c r="B690" s="319">
        <v>138138</v>
      </c>
      <c r="C690" s="319">
        <v>9266002</v>
      </c>
      <c r="D690" s="319" t="s">
        <v>2156</v>
      </c>
      <c r="E690" s="319" t="s">
        <v>168</v>
      </c>
      <c r="F690" s="319" t="s">
        <v>81</v>
      </c>
      <c r="G690" s="319" t="s">
        <v>81</v>
      </c>
      <c r="H690" s="319" t="s">
        <v>81</v>
      </c>
      <c r="I690" s="319" t="s">
        <v>78</v>
      </c>
      <c r="J690" s="319" t="s">
        <v>424</v>
      </c>
      <c r="K690" s="319" t="s">
        <v>451</v>
      </c>
      <c r="L690" s="319" t="s">
        <v>451</v>
      </c>
      <c r="M690" s="319" t="s">
        <v>463</v>
      </c>
      <c r="N690" s="319" t="s">
        <v>3429</v>
      </c>
      <c r="O690" s="319" t="s">
        <v>2157</v>
      </c>
      <c r="P690" s="319">
        <v>34</v>
      </c>
      <c r="Q690" s="319" t="s">
        <v>429</v>
      </c>
      <c r="R690" s="320">
        <v>10046996</v>
      </c>
      <c r="S690" s="321">
        <v>43214</v>
      </c>
      <c r="T690" s="321">
        <v>43216</v>
      </c>
      <c r="U690" s="321">
        <v>43241</v>
      </c>
      <c r="V690" s="319" t="s">
        <v>425</v>
      </c>
      <c r="W690" s="319" t="s">
        <v>2767</v>
      </c>
      <c r="X690" s="319">
        <v>2</v>
      </c>
      <c r="Y690" s="319" t="s">
        <v>173</v>
      </c>
      <c r="Z690" s="319" t="s">
        <v>173</v>
      </c>
      <c r="AA690" s="319" t="s">
        <v>173</v>
      </c>
      <c r="AB690" s="319">
        <v>2</v>
      </c>
      <c r="AC690" s="319" t="s">
        <v>169</v>
      </c>
      <c r="AD690" s="319" t="s">
        <v>173</v>
      </c>
      <c r="AE690" s="319">
        <v>2</v>
      </c>
      <c r="AF690" s="319" t="s">
        <v>427</v>
      </c>
      <c r="AG690" s="319" t="s">
        <v>171</v>
      </c>
      <c r="AH690" s="319" t="s">
        <v>190</v>
      </c>
      <c r="AI690" s="319" t="s">
        <v>190</v>
      </c>
      <c r="AJ690" s="319" t="s">
        <v>190</v>
      </c>
      <c r="AK690" s="319" t="s">
        <v>190</v>
      </c>
      <c r="AL690" s="319" t="s">
        <v>190</v>
      </c>
      <c r="AM690" s="319" t="s">
        <v>190</v>
      </c>
      <c r="AN690" s="319" t="s">
        <v>190</v>
      </c>
      <c r="AO690" s="319" t="s">
        <v>190</v>
      </c>
      <c r="AP690" s="319" t="s">
        <v>190</v>
      </c>
      <c r="AQ690" s="319" t="s">
        <v>190</v>
      </c>
      <c r="AR690" s="319" t="s">
        <v>190</v>
      </c>
      <c r="AS690" s="319" t="s">
        <v>190</v>
      </c>
      <c r="AT690" s="319" t="s">
        <v>190</v>
      </c>
      <c r="AU690" s="319" t="s">
        <v>190</v>
      </c>
      <c r="AV690" s="319" t="s">
        <v>190</v>
      </c>
      <c r="AW690" s="319" t="s">
        <v>190</v>
      </c>
      <c r="AX690" s="319" t="s">
        <v>428</v>
      </c>
      <c r="AY690" s="319" t="s">
        <v>190</v>
      </c>
      <c r="AZ690" s="319" t="s">
        <v>190</v>
      </c>
      <c r="BA690" s="319" t="s">
        <v>190</v>
      </c>
      <c r="BB690" s="319" t="s">
        <v>190</v>
      </c>
      <c r="BC690" s="319" t="s">
        <v>190</v>
      </c>
      <c r="BD690" s="319" t="s">
        <v>190</v>
      </c>
      <c r="BE690" s="319" t="s">
        <v>190</v>
      </c>
      <c r="BF690" s="319" t="s">
        <v>428</v>
      </c>
      <c r="BG690" s="319" t="s">
        <v>190</v>
      </c>
      <c r="BH690" s="319" t="s">
        <v>190</v>
      </c>
      <c r="BI690" s="319" t="s">
        <v>190</v>
      </c>
      <c r="BJ690" s="319" t="s">
        <v>190</v>
      </c>
      <c r="BK690" s="319" t="s">
        <v>190</v>
      </c>
      <c r="BL690" s="319" t="s">
        <v>190</v>
      </c>
      <c r="BM690" s="319" t="s">
        <v>190</v>
      </c>
      <c r="BN690" s="319" t="s">
        <v>190</v>
      </c>
      <c r="BO690" s="319" t="s">
        <v>190</v>
      </c>
      <c r="BP690" s="319" t="s">
        <v>190</v>
      </c>
      <c r="BQ690" s="319" t="s">
        <v>190</v>
      </c>
      <c r="BR690" s="319" t="s">
        <v>190</v>
      </c>
      <c r="BS690" s="319" t="s">
        <v>190</v>
      </c>
      <c r="BT690" s="319" t="s">
        <v>190</v>
      </c>
      <c r="BU690" s="319" t="s">
        <v>190</v>
      </c>
      <c r="BV690" s="319" t="s">
        <v>190</v>
      </c>
      <c r="BW690" s="319" t="s">
        <v>190</v>
      </c>
      <c r="BX690" s="319" t="s">
        <v>190</v>
      </c>
      <c r="BY690" s="319" t="s">
        <v>190</v>
      </c>
      <c r="BZ690" s="319" t="s">
        <v>190</v>
      </c>
      <c r="CA690" s="319" t="s">
        <v>190</v>
      </c>
      <c r="CB690" s="319" t="s">
        <v>190</v>
      </c>
      <c r="CC690" s="319" t="s">
        <v>190</v>
      </c>
      <c r="CD690" s="319" t="s">
        <v>190</v>
      </c>
      <c r="CE690" s="319" t="s">
        <v>190</v>
      </c>
      <c r="CF690" s="319" t="s">
        <v>190</v>
      </c>
      <c r="CG690" s="319" t="s">
        <v>190</v>
      </c>
      <c r="CH690" s="319" t="s">
        <v>190</v>
      </c>
      <c r="CI690" s="319" t="s">
        <v>190</v>
      </c>
      <c r="CJ690" s="319" t="s">
        <v>190</v>
      </c>
      <c r="CK690" s="319" t="s">
        <v>190</v>
      </c>
      <c r="CL690" s="319" t="s">
        <v>190</v>
      </c>
      <c r="CM690" s="319" t="s">
        <v>190</v>
      </c>
      <c r="CN690" s="319" t="s">
        <v>428</v>
      </c>
      <c r="CO690" s="319" t="s">
        <v>428</v>
      </c>
      <c r="CP690" s="319" t="s">
        <v>428</v>
      </c>
      <c r="CQ690" s="319" t="s">
        <v>190</v>
      </c>
      <c r="CR690" s="319" t="s">
        <v>190</v>
      </c>
      <c r="CS690" s="319" t="s">
        <v>190</v>
      </c>
      <c r="CT690" s="319" t="s">
        <v>190</v>
      </c>
      <c r="CU690" s="319" t="s">
        <v>190</v>
      </c>
      <c r="CV690" s="319" t="s">
        <v>190</v>
      </c>
      <c r="CW690" s="319" t="s">
        <v>190</v>
      </c>
      <c r="CX690" s="319" t="s">
        <v>190</v>
      </c>
      <c r="CY690" s="319" t="s">
        <v>190</v>
      </c>
      <c r="CZ690" s="319" t="s">
        <v>190</v>
      </c>
      <c r="DA690" s="319" t="s">
        <v>190</v>
      </c>
      <c r="DB690" s="319" t="s">
        <v>190</v>
      </c>
      <c r="DC690" s="319" t="s">
        <v>190</v>
      </c>
      <c r="DD690" s="319" t="s">
        <v>190</v>
      </c>
      <c r="DE690" s="319" t="s">
        <v>190</v>
      </c>
      <c r="DF690" s="319" t="s">
        <v>190</v>
      </c>
      <c r="DG690" s="319" t="s">
        <v>190</v>
      </c>
      <c r="DH690" s="319" t="s">
        <v>190</v>
      </c>
      <c r="DI690" s="319" t="s">
        <v>190</v>
      </c>
      <c r="DJ690" s="319" t="s">
        <v>190</v>
      </c>
      <c r="DK690" s="319" t="s">
        <v>190</v>
      </c>
      <c r="DL690" s="319" t="s">
        <v>190</v>
      </c>
      <c r="DM690" s="319" t="s">
        <v>190</v>
      </c>
      <c r="DN690" s="319" t="s">
        <v>428</v>
      </c>
      <c r="DO690" s="319" t="s">
        <v>190</v>
      </c>
      <c r="DP690" s="319" t="s">
        <v>428</v>
      </c>
      <c r="DQ690" s="319" t="s">
        <v>428</v>
      </c>
      <c r="DR690" s="319" t="s">
        <v>428</v>
      </c>
      <c r="DS690" s="319" t="s">
        <v>428</v>
      </c>
      <c r="DT690" s="319" t="s">
        <v>428</v>
      </c>
      <c r="DU690" s="319" t="s">
        <v>428</v>
      </c>
      <c r="DV690" s="319" t="s">
        <v>173</v>
      </c>
      <c r="DW690" s="319" t="s">
        <v>428</v>
      </c>
      <c r="DX690" s="319" t="s">
        <v>428</v>
      </c>
      <c r="DY690" s="319" t="s">
        <v>428</v>
      </c>
      <c r="DZ690" s="319" t="s">
        <v>428</v>
      </c>
      <c r="EA690" s="319" t="s">
        <v>428</v>
      </c>
      <c r="EB690" s="319" t="s">
        <v>428</v>
      </c>
      <c r="EC690" s="319" t="s">
        <v>428</v>
      </c>
      <c r="ED690" s="319" t="s">
        <v>428</v>
      </c>
      <c r="EE690" s="319" t="s">
        <v>190</v>
      </c>
      <c r="EF690" s="319" t="s">
        <v>190</v>
      </c>
      <c r="EG690" s="319" t="s">
        <v>190</v>
      </c>
      <c r="EH690" s="319" t="s">
        <v>190</v>
      </c>
      <c r="EI690" s="319" t="s">
        <v>190</v>
      </c>
      <c r="EJ690" s="319" t="s">
        <v>190</v>
      </c>
      <c r="EK690" s="319" t="s">
        <v>190</v>
      </c>
      <c r="EL690" s="319" t="s">
        <v>190</v>
      </c>
      <c r="EM690" s="319" t="s">
        <v>190</v>
      </c>
      <c r="EN690" s="319" t="s">
        <v>190</v>
      </c>
      <c r="EO690" s="319" t="s">
        <v>190</v>
      </c>
      <c r="EP690" s="319" t="s">
        <v>190</v>
      </c>
      <c r="EQ690" s="319" t="s">
        <v>190</v>
      </c>
      <c r="ER690" s="319" t="s">
        <v>190</v>
      </c>
      <c r="ES690" s="319" t="s">
        <v>190</v>
      </c>
      <c r="ET690" s="319" t="s">
        <v>190</v>
      </c>
      <c r="EU690" s="319" t="s">
        <v>190</v>
      </c>
      <c r="EV690" s="319" t="s">
        <v>190</v>
      </c>
      <c r="EW690" s="319" t="s">
        <v>190</v>
      </c>
      <c r="EX690" s="319" t="s">
        <v>190</v>
      </c>
      <c r="EY690" s="319" t="s">
        <v>190</v>
      </c>
      <c r="EZ690" s="319" t="s">
        <v>190</v>
      </c>
      <c r="FA690" s="319" t="s">
        <v>190</v>
      </c>
      <c r="FB690" s="319" t="s">
        <v>428</v>
      </c>
      <c r="FC690" s="319" t="s">
        <v>428</v>
      </c>
      <c r="FD690" s="319" t="s">
        <v>428</v>
      </c>
      <c r="FE690" s="319" t="s">
        <v>428</v>
      </c>
      <c r="FF690" s="319" t="s">
        <v>428</v>
      </c>
      <c r="FG690" s="319" t="s">
        <v>428</v>
      </c>
      <c r="FH690" s="319" t="s">
        <v>190</v>
      </c>
      <c r="FI690" s="319" t="s">
        <v>190</v>
      </c>
      <c r="FJ690" s="319" t="s">
        <v>190</v>
      </c>
      <c r="FK690" s="319" t="s">
        <v>190</v>
      </c>
      <c r="FL690" s="319" t="s">
        <v>190</v>
      </c>
      <c r="FM690" s="319" t="s">
        <v>190</v>
      </c>
      <c r="FN690" s="319" t="s">
        <v>190</v>
      </c>
      <c r="FO690" s="319" t="s">
        <v>428</v>
      </c>
      <c r="FP690" s="319" t="s">
        <v>190</v>
      </c>
      <c r="FQ690" s="319" t="s">
        <v>190</v>
      </c>
      <c r="FR690" s="319" t="s">
        <v>190</v>
      </c>
      <c r="FS690" s="319" t="s">
        <v>428</v>
      </c>
      <c r="FT690" s="319" t="s">
        <v>190</v>
      </c>
      <c r="FU690" s="319" t="s">
        <v>190</v>
      </c>
      <c r="FV690" s="319" t="s">
        <v>190</v>
      </c>
      <c r="FW690" s="319" t="s">
        <v>190</v>
      </c>
      <c r="FX690" s="319" t="s">
        <v>190</v>
      </c>
      <c r="FY690" s="319" t="s">
        <v>190</v>
      </c>
      <c r="FZ690" s="319" t="s">
        <v>190</v>
      </c>
      <c r="GA690" s="319" t="s">
        <v>190</v>
      </c>
      <c r="GB690" s="319" t="s">
        <v>190</v>
      </c>
      <c r="GC690" s="319" t="s">
        <v>190</v>
      </c>
      <c r="GD690" s="319" t="s">
        <v>190</v>
      </c>
      <c r="GE690" s="319" t="s">
        <v>190</v>
      </c>
      <c r="GF690" s="319" t="s">
        <v>190</v>
      </c>
      <c r="GG690" s="319" t="s">
        <v>190</v>
      </c>
      <c r="GH690" s="319" t="s">
        <v>190</v>
      </c>
      <c r="GI690" s="319" t="s">
        <v>190</v>
      </c>
      <c r="GJ690" s="319" t="s">
        <v>190</v>
      </c>
      <c r="GK690" s="319" t="s">
        <v>428</v>
      </c>
      <c r="GL690" s="319" t="s">
        <v>190</v>
      </c>
      <c r="GM690" s="319" t="s">
        <v>190</v>
      </c>
      <c r="GN690" s="319" t="s">
        <v>190</v>
      </c>
      <c r="GO690" s="319" t="s">
        <v>190</v>
      </c>
      <c r="GP690" s="319" t="s">
        <v>190</v>
      </c>
      <c r="GQ690" s="319" t="s">
        <v>190</v>
      </c>
      <c r="GR690" s="319" t="s">
        <v>190</v>
      </c>
      <c r="GS690" s="319" t="s">
        <v>190</v>
      </c>
      <c r="GT690" s="319" t="s">
        <v>190</v>
      </c>
      <c r="GU690" s="319" t="s">
        <v>190</v>
      </c>
      <c r="GV690" s="319" t="s">
        <v>190</v>
      </c>
      <c r="GW690" s="319" t="s">
        <v>190</v>
      </c>
      <c r="GX690" s="319" t="s">
        <v>190</v>
      </c>
      <c r="GY690" s="319" t="s">
        <v>190</v>
      </c>
      <c r="GZ690" s="319" t="s">
        <v>190</v>
      </c>
      <c r="HA690" s="319" t="s">
        <v>190</v>
      </c>
      <c r="HB690" s="319" t="s">
        <v>190</v>
      </c>
      <c r="HC690" s="319" t="s">
        <v>190</v>
      </c>
      <c r="HD690" s="319" t="s">
        <v>190</v>
      </c>
      <c r="HE690" s="319" t="s">
        <v>190</v>
      </c>
      <c r="HF690" s="319" t="s">
        <v>190</v>
      </c>
      <c r="HG690" s="319" t="s">
        <v>190</v>
      </c>
      <c r="HH690" s="319" t="s">
        <v>190</v>
      </c>
      <c r="HI690" s="319" t="s">
        <v>190</v>
      </c>
      <c r="HJ690" s="319" t="s">
        <v>190</v>
      </c>
      <c r="HK690" s="319" t="s">
        <v>190</v>
      </c>
      <c r="HL690" s="319" t="s">
        <v>190</v>
      </c>
      <c r="HM690" s="319" t="s">
        <v>190</v>
      </c>
      <c r="HN690" s="319" t="s">
        <v>190</v>
      </c>
      <c r="HO690" s="319" t="s">
        <v>190</v>
      </c>
      <c r="HP690" s="319" t="s">
        <v>190</v>
      </c>
      <c r="HQ690" s="319" t="s">
        <v>190</v>
      </c>
      <c r="HR690" s="319" t="s">
        <v>190</v>
      </c>
      <c r="HS690" s="319" t="s">
        <v>190</v>
      </c>
      <c r="HT690" s="319" t="s">
        <v>190</v>
      </c>
      <c r="HU690" s="319" t="s">
        <v>190</v>
      </c>
      <c r="HV690" s="319" t="s">
        <v>190</v>
      </c>
      <c r="HW690" s="319" t="s">
        <v>190</v>
      </c>
      <c r="HX690" s="319" t="s">
        <v>190</v>
      </c>
      <c r="HY690" s="319" t="s">
        <v>190</v>
      </c>
      <c r="HZ690" s="319" t="s">
        <v>190</v>
      </c>
      <c r="IA690" s="319" t="s">
        <v>190</v>
      </c>
      <c r="IB690" s="319" t="s">
        <v>190</v>
      </c>
      <c r="IC690" s="319" t="s">
        <v>190</v>
      </c>
      <c r="ID690" s="319" t="s">
        <v>190</v>
      </c>
      <c r="IE690" s="319" t="s">
        <v>190</v>
      </c>
      <c r="IF690" s="319" t="s">
        <v>190</v>
      </c>
      <c r="IG690" s="319" t="s">
        <v>190</v>
      </c>
      <c r="IH690" s="319" t="s">
        <v>190</v>
      </c>
      <c r="II690" s="319" t="s">
        <v>190</v>
      </c>
      <c r="IJ690" s="319">
        <v>10012965</v>
      </c>
      <c r="IK690" s="321">
        <v>42556</v>
      </c>
      <c r="IL690" s="321">
        <v>42558</v>
      </c>
      <c r="IM690" s="321">
        <v>43028</v>
      </c>
      <c r="IN690" s="319">
        <v>3</v>
      </c>
      <c r="IO690" s="319" t="s">
        <v>173</v>
      </c>
      <c r="IP690" s="319" t="s">
        <v>173</v>
      </c>
      <c r="IQ690" s="321" t="s">
        <v>173</v>
      </c>
      <c r="IR690" s="320" t="s">
        <v>173</v>
      </c>
      <c r="IS690" s="322" t="s">
        <v>173</v>
      </c>
      <c r="IT690" s="319" t="s">
        <v>173</v>
      </c>
    </row>
    <row r="691" spans="1:254" s="271" customFormat="1" x14ac:dyDescent="0.25">
      <c r="A691" s="318" t="str">
        <f>HYPERLINK("http://www.ofsted.gov.uk/inspection-reports/find-inspection-report/provider/ELS/138243 ","Ofsted School Webpage")</f>
        <v>Ofsted School Webpage</v>
      </c>
      <c r="B691" s="319">
        <v>138243</v>
      </c>
      <c r="C691" s="319">
        <v>8606040</v>
      </c>
      <c r="D691" s="319" t="s">
        <v>2158</v>
      </c>
      <c r="E691" s="319" t="s">
        <v>168</v>
      </c>
      <c r="F691" s="319" t="s">
        <v>81</v>
      </c>
      <c r="G691" s="319" t="s">
        <v>81</v>
      </c>
      <c r="H691" s="319" t="s">
        <v>81</v>
      </c>
      <c r="I691" s="319" t="s">
        <v>78</v>
      </c>
      <c r="J691" s="319" t="s">
        <v>424</v>
      </c>
      <c r="K691" s="319" t="s">
        <v>437</v>
      </c>
      <c r="L691" s="319" t="s">
        <v>437</v>
      </c>
      <c r="M691" s="319" t="s">
        <v>577</v>
      </c>
      <c r="N691" s="319" t="s">
        <v>3033</v>
      </c>
      <c r="O691" s="319" t="s">
        <v>2159</v>
      </c>
      <c r="P691" s="319">
        <v>57</v>
      </c>
      <c r="Q691" s="319" t="s">
        <v>429</v>
      </c>
      <c r="R691" s="320">
        <v>10092465</v>
      </c>
      <c r="S691" s="321">
        <v>43606</v>
      </c>
      <c r="T691" s="321">
        <v>43608</v>
      </c>
      <c r="U691" s="321">
        <v>43719</v>
      </c>
      <c r="V691" s="319" t="s">
        <v>425</v>
      </c>
      <c r="W691" s="319" t="s">
        <v>2767</v>
      </c>
      <c r="X691" s="319">
        <v>1</v>
      </c>
      <c r="Y691" s="319" t="s">
        <v>173</v>
      </c>
      <c r="Z691" s="319" t="s">
        <v>173</v>
      </c>
      <c r="AA691" s="319" t="s">
        <v>173</v>
      </c>
      <c r="AB691" s="319">
        <v>1</v>
      </c>
      <c r="AC691" s="319" t="s">
        <v>169</v>
      </c>
      <c r="AD691" s="319" t="s">
        <v>173</v>
      </c>
      <c r="AE691" s="319" t="s">
        <v>173</v>
      </c>
      <c r="AF691" s="319" t="s">
        <v>427</v>
      </c>
      <c r="AG691" s="319" t="s">
        <v>171</v>
      </c>
      <c r="AH691" s="319" t="s">
        <v>190</v>
      </c>
      <c r="AI691" s="319" t="s">
        <v>190</v>
      </c>
      <c r="AJ691" s="319" t="s">
        <v>190</v>
      </c>
      <c r="AK691" s="319" t="s">
        <v>190</v>
      </c>
      <c r="AL691" s="319" t="s">
        <v>190</v>
      </c>
      <c r="AM691" s="319" t="s">
        <v>190</v>
      </c>
      <c r="AN691" s="319" t="s">
        <v>190</v>
      </c>
      <c r="AO691" s="319" t="s">
        <v>190</v>
      </c>
      <c r="AP691" s="319" t="s">
        <v>190</v>
      </c>
      <c r="AQ691" s="319" t="s">
        <v>190</v>
      </c>
      <c r="AR691" s="319" t="s">
        <v>190</v>
      </c>
      <c r="AS691" s="319" t="s">
        <v>190</v>
      </c>
      <c r="AT691" s="319" t="s">
        <v>190</v>
      </c>
      <c r="AU691" s="319" t="s">
        <v>190</v>
      </c>
      <c r="AV691" s="319" t="s">
        <v>190</v>
      </c>
      <c r="AW691" s="319" t="s">
        <v>190</v>
      </c>
      <c r="AX691" s="319" t="s">
        <v>428</v>
      </c>
      <c r="AY691" s="319" t="s">
        <v>190</v>
      </c>
      <c r="AZ691" s="319" t="s">
        <v>190</v>
      </c>
      <c r="BA691" s="319" t="s">
        <v>190</v>
      </c>
      <c r="BB691" s="319" t="s">
        <v>190</v>
      </c>
      <c r="BC691" s="319" t="s">
        <v>190</v>
      </c>
      <c r="BD691" s="319" t="s">
        <v>190</v>
      </c>
      <c r="BE691" s="319" t="s">
        <v>190</v>
      </c>
      <c r="BF691" s="319" t="s">
        <v>428</v>
      </c>
      <c r="BG691" s="319" t="s">
        <v>190</v>
      </c>
      <c r="BH691" s="319" t="s">
        <v>190</v>
      </c>
      <c r="BI691" s="319" t="s">
        <v>190</v>
      </c>
      <c r="BJ691" s="319" t="s">
        <v>190</v>
      </c>
      <c r="BK691" s="319" t="s">
        <v>190</v>
      </c>
      <c r="BL691" s="319" t="s">
        <v>190</v>
      </c>
      <c r="BM691" s="319" t="s">
        <v>190</v>
      </c>
      <c r="BN691" s="319" t="s">
        <v>190</v>
      </c>
      <c r="BO691" s="319" t="s">
        <v>190</v>
      </c>
      <c r="BP691" s="319" t="s">
        <v>190</v>
      </c>
      <c r="BQ691" s="319" t="s">
        <v>190</v>
      </c>
      <c r="BR691" s="319" t="s">
        <v>190</v>
      </c>
      <c r="BS691" s="319" t="s">
        <v>190</v>
      </c>
      <c r="BT691" s="319" t="s">
        <v>190</v>
      </c>
      <c r="BU691" s="319" t="s">
        <v>190</v>
      </c>
      <c r="BV691" s="319" t="s">
        <v>190</v>
      </c>
      <c r="BW691" s="319" t="s">
        <v>190</v>
      </c>
      <c r="BX691" s="319" t="s">
        <v>190</v>
      </c>
      <c r="BY691" s="319" t="s">
        <v>190</v>
      </c>
      <c r="BZ691" s="319" t="s">
        <v>190</v>
      </c>
      <c r="CA691" s="319" t="s">
        <v>190</v>
      </c>
      <c r="CB691" s="319" t="s">
        <v>190</v>
      </c>
      <c r="CC691" s="319" t="s">
        <v>190</v>
      </c>
      <c r="CD691" s="319" t="s">
        <v>190</v>
      </c>
      <c r="CE691" s="319" t="s">
        <v>190</v>
      </c>
      <c r="CF691" s="319" t="s">
        <v>190</v>
      </c>
      <c r="CG691" s="319" t="s">
        <v>190</v>
      </c>
      <c r="CH691" s="319" t="s">
        <v>190</v>
      </c>
      <c r="CI691" s="319" t="s">
        <v>190</v>
      </c>
      <c r="CJ691" s="319" t="s">
        <v>190</v>
      </c>
      <c r="CK691" s="319" t="s">
        <v>190</v>
      </c>
      <c r="CL691" s="319" t="s">
        <v>190</v>
      </c>
      <c r="CM691" s="319" t="s">
        <v>190</v>
      </c>
      <c r="CN691" s="319" t="s">
        <v>190</v>
      </c>
      <c r="CO691" s="319" t="s">
        <v>428</v>
      </c>
      <c r="CP691" s="319" t="s">
        <v>428</v>
      </c>
      <c r="CQ691" s="319" t="s">
        <v>190</v>
      </c>
      <c r="CR691" s="319" t="s">
        <v>190</v>
      </c>
      <c r="CS691" s="319" t="s">
        <v>190</v>
      </c>
      <c r="CT691" s="319" t="s">
        <v>190</v>
      </c>
      <c r="CU691" s="319" t="s">
        <v>190</v>
      </c>
      <c r="CV691" s="319" t="s">
        <v>190</v>
      </c>
      <c r="CW691" s="319" t="s">
        <v>190</v>
      </c>
      <c r="CX691" s="319" t="s">
        <v>190</v>
      </c>
      <c r="CY691" s="319" t="s">
        <v>190</v>
      </c>
      <c r="CZ691" s="319" t="s">
        <v>190</v>
      </c>
      <c r="DA691" s="319" t="s">
        <v>190</v>
      </c>
      <c r="DB691" s="319" t="s">
        <v>190</v>
      </c>
      <c r="DC691" s="319" t="s">
        <v>190</v>
      </c>
      <c r="DD691" s="319" t="s">
        <v>190</v>
      </c>
      <c r="DE691" s="319" t="s">
        <v>190</v>
      </c>
      <c r="DF691" s="319" t="s">
        <v>190</v>
      </c>
      <c r="DG691" s="319" t="s">
        <v>190</v>
      </c>
      <c r="DH691" s="319" t="s">
        <v>190</v>
      </c>
      <c r="DI691" s="319" t="s">
        <v>190</v>
      </c>
      <c r="DJ691" s="319" t="s">
        <v>190</v>
      </c>
      <c r="DK691" s="319" t="s">
        <v>190</v>
      </c>
      <c r="DL691" s="319" t="s">
        <v>190</v>
      </c>
      <c r="DM691" s="319" t="s">
        <v>190</v>
      </c>
      <c r="DN691" s="319" t="s">
        <v>428</v>
      </c>
      <c r="DO691" s="319" t="s">
        <v>190</v>
      </c>
      <c r="DP691" s="319" t="s">
        <v>428</v>
      </c>
      <c r="DQ691" s="319" t="s">
        <v>428</v>
      </c>
      <c r="DR691" s="319" t="s">
        <v>428</v>
      </c>
      <c r="DS691" s="319" t="s">
        <v>428</v>
      </c>
      <c r="DT691" s="319" t="s">
        <v>428</v>
      </c>
      <c r="DU691" s="319" t="s">
        <v>428</v>
      </c>
      <c r="DV691" s="319" t="s">
        <v>173</v>
      </c>
      <c r="DW691" s="319" t="s">
        <v>428</v>
      </c>
      <c r="DX691" s="319" t="s">
        <v>428</v>
      </c>
      <c r="DY691" s="319" t="s">
        <v>428</v>
      </c>
      <c r="DZ691" s="319" t="s">
        <v>428</v>
      </c>
      <c r="EA691" s="319" t="s">
        <v>428</v>
      </c>
      <c r="EB691" s="319" t="s">
        <v>428</v>
      </c>
      <c r="EC691" s="319" t="s">
        <v>428</v>
      </c>
      <c r="ED691" s="319" t="s">
        <v>428</v>
      </c>
      <c r="EE691" s="319" t="s">
        <v>190</v>
      </c>
      <c r="EF691" s="319" t="s">
        <v>190</v>
      </c>
      <c r="EG691" s="319" t="s">
        <v>190</v>
      </c>
      <c r="EH691" s="319" t="s">
        <v>190</v>
      </c>
      <c r="EI691" s="319" t="s">
        <v>190</v>
      </c>
      <c r="EJ691" s="319" t="s">
        <v>190</v>
      </c>
      <c r="EK691" s="319" t="s">
        <v>190</v>
      </c>
      <c r="EL691" s="319" t="s">
        <v>190</v>
      </c>
      <c r="EM691" s="319" t="s">
        <v>190</v>
      </c>
      <c r="EN691" s="319" t="s">
        <v>190</v>
      </c>
      <c r="EO691" s="319" t="s">
        <v>190</v>
      </c>
      <c r="EP691" s="319" t="s">
        <v>190</v>
      </c>
      <c r="EQ691" s="319" t="s">
        <v>190</v>
      </c>
      <c r="ER691" s="319" t="s">
        <v>190</v>
      </c>
      <c r="ES691" s="319" t="s">
        <v>190</v>
      </c>
      <c r="ET691" s="319" t="s">
        <v>190</v>
      </c>
      <c r="EU691" s="319" t="s">
        <v>190</v>
      </c>
      <c r="EV691" s="319" t="s">
        <v>190</v>
      </c>
      <c r="EW691" s="319" t="s">
        <v>190</v>
      </c>
      <c r="EX691" s="319" t="s">
        <v>190</v>
      </c>
      <c r="EY691" s="319" t="s">
        <v>190</v>
      </c>
      <c r="EZ691" s="319" t="s">
        <v>190</v>
      </c>
      <c r="FA691" s="319" t="s">
        <v>428</v>
      </c>
      <c r="FB691" s="319" t="s">
        <v>428</v>
      </c>
      <c r="FC691" s="319" t="s">
        <v>428</v>
      </c>
      <c r="FD691" s="319" t="s">
        <v>428</v>
      </c>
      <c r="FE691" s="319" t="s">
        <v>428</v>
      </c>
      <c r="FF691" s="319" t="s">
        <v>428</v>
      </c>
      <c r="FG691" s="319" t="s">
        <v>428</v>
      </c>
      <c r="FH691" s="319" t="s">
        <v>190</v>
      </c>
      <c r="FI691" s="319" t="s">
        <v>190</v>
      </c>
      <c r="FJ691" s="319" t="s">
        <v>190</v>
      </c>
      <c r="FK691" s="319" t="s">
        <v>190</v>
      </c>
      <c r="FL691" s="319" t="s">
        <v>190</v>
      </c>
      <c r="FM691" s="319" t="s">
        <v>190</v>
      </c>
      <c r="FN691" s="319" t="s">
        <v>190</v>
      </c>
      <c r="FO691" s="319" t="s">
        <v>190</v>
      </c>
      <c r="FP691" s="319" t="s">
        <v>190</v>
      </c>
      <c r="FQ691" s="319" t="s">
        <v>190</v>
      </c>
      <c r="FR691" s="319" t="s">
        <v>190</v>
      </c>
      <c r="FS691" s="319" t="s">
        <v>428</v>
      </c>
      <c r="FT691" s="319" t="s">
        <v>190</v>
      </c>
      <c r="FU691" s="319" t="s">
        <v>190</v>
      </c>
      <c r="FV691" s="319" t="s">
        <v>190</v>
      </c>
      <c r="FW691" s="319" t="s">
        <v>190</v>
      </c>
      <c r="FX691" s="319" t="s">
        <v>190</v>
      </c>
      <c r="FY691" s="319" t="s">
        <v>190</v>
      </c>
      <c r="FZ691" s="319" t="s">
        <v>190</v>
      </c>
      <c r="GA691" s="319" t="s">
        <v>190</v>
      </c>
      <c r="GB691" s="319" t="s">
        <v>190</v>
      </c>
      <c r="GC691" s="319" t="s">
        <v>190</v>
      </c>
      <c r="GD691" s="319" t="s">
        <v>190</v>
      </c>
      <c r="GE691" s="319" t="s">
        <v>190</v>
      </c>
      <c r="GF691" s="319" t="s">
        <v>190</v>
      </c>
      <c r="GG691" s="319" t="s">
        <v>190</v>
      </c>
      <c r="GH691" s="319" t="s">
        <v>190</v>
      </c>
      <c r="GI691" s="319" t="s">
        <v>190</v>
      </c>
      <c r="GJ691" s="319" t="s">
        <v>190</v>
      </c>
      <c r="GK691" s="319" t="s">
        <v>428</v>
      </c>
      <c r="GL691" s="319" t="s">
        <v>190</v>
      </c>
      <c r="GM691" s="319" t="s">
        <v>190</v>
      </c>
      <c r="GN691" s="319" t="s">
        <v>190</v>
      </c>
      <c r="GO691" s="319" t="s">
        <v>190</v>
      </c>
      <c r="GP691" s="319" t="s">
        <v>190</v>
      </c>
      <c r="GQ691" s="319" t="s">
        <v>190</v>
      </c>
      <c r="GR691" s="319" t="s">
        <v>190</v>
      </c>
      <c r="GS691" s="319" t="s">
        <v>190</v>
      </c>
      <c r="GT691" s="319" t="s">
        <v>190</v>
      </c>
      <c r="GU691" s="319" t="s">
        <v>190</v>
      </c>
      <c r="GV691" s="319" t="s">
        <v>190</v>
      </c>
      <c r="GW691" s="319" t="s">
        <v>190</v>
      </c>
      <c r="GX691" s="319" t="s">
        <v>190</v>
      </c>
      <c r="GY691" s="319" t="s">
        <v>190</v>
      </c>
      <c r="GZ691" s="319" t="s">
        <v>190</v>
      </c>
      <c r="HA691" s="319" t="s">
        <v>190</v>
      </c>
      <c r="HB691" s="319" t="s">
        <v>428</v>
      </c>
      <c r="HC691" s="319" t="s">
        <v>190</v>
      </c>
      <c r="HD691" s="319" t="s">
        <v>190</v>
      </c>
      <c r="HE691" s="319" t="s">
        <v>190</v>
      </c>
      <c r="HF691" s="319" t="s">
        <v>190</v>
      </c>
      <c r="HG691" s="319" t="s">
        <v>190</v>
      </c>
      <c r="HH691" s="319" t="s">
        <v>190</v>
      </c>
      <c r="HI691" s="319" t="s">
        <v>190</v>
      </c>
      <c r="HJ691" s="319" t="s">
        <v>190</v>
      </c>
      <c r="HK691" s="319" t="s">
        <v>190</v>
      </c>
      <c r="HL691" s="319" t="s">
        <v>190</v>
      </c>
      <c r="HM691" s="319" t="s">
        <v>428</v>
      </c>
      <c r="HN691" s="319" t="s">
        <v>428</v>
      </c>
      <c r="HO691" s="319" t="s">
        <v>428</v>
      </c>
      <c r="HP691" s="319" t="s">
        <v>190</v>
      </c>
      <c r="HQ691" s="319" t="s">
        <v>190</v>
      </c>
      <c r="HR691" s="319" t="s">
        <v>190</v>
      </c>
      <c r="HS691" s="319" t="s">
        <v>190</v>
      </c>
      <c r="HT691" s="319" t="s">
        <v>190</v>
      </c>
      <c r="HU691" s="319" t="s">
        <v>190</v>
      </c>
      <c r="HV691" s="319" t="s">
        <v>190</v>
      </c>
      <c r="HW691" s="319" t="s">
        <v>190</v>
      </c>
      <c r="HX691" s="319" t="s">
        <v>190</v>
      </c>
      <c r="HY691" s="319" t="s">
        <v>190</v>
      </c>
      <c r="HZ691" s="319" t="s">
        <v>190</v>
      </c>
      <c r="IA691" s="319" t="s">
        <v>190</v>
      </c>
      <c r="IB691" s="319" t="s">
        <v>190</v>
      </c>
      <c r="IC691" s="319" t="s">
        <v>190</v>
      </c>
      <c r="ID691" s="319" t="s">
        <v>190</v>
      </c>
      <c r="IE691" s="319" t="s">
        <v>190</v>
      </c>
      <c r="IF691" s="319" t="s">
        <v>190</v>
      </c>
      <c r="IG691" s="319" t="s">
        <v>190</v>
      </c>
      <c r="IH691" s="319" t="s">
        <v>190</v>
      </c>
      <c r="II691" s="319" t="s">
        <v>190</v>
      </c>
      <c r="IJ691" s="319">
        <v>10010818</v>
      </c>
      <c r="IK691" s="321">
        <v>42528</v>
      </c>
      <c r="IL691" s="321">
        <v>42530</v>
      </c>
      <c r="IM691" s="321">
        <v>42571</v>
      </c>
      <c r="IN691" s="319">
        <v>1</v>
      </c>
      <c r="IO691" s="319" t="s">
        <v>173</v>
      </c>
      <c r="IP691" s="319" t="s">
        <v>173</v>
      </c>
      <c r="IQ691" s="321" t="s">
        <v>173</v>
      </c>
      <c r="IR691" s="320" t="s">
        <v>173</v>
      </c>
      <c r="IS691" s="322" t="s">
        <v>173</v>
      </c>
      <c r="IT691" s="319" t="s">
        <v>173</v>
      </c>
    </row>
    <row r="692" spans="1:254" s="271" customFormat="1" x14ac:dyDescent="0.25">
      <c r="A692" s="318" t="str">
        <f>HYPERLINK("http://www.ofsted.gov.uk/inspection-reports/find-inspection-report/provider/ELS/138249 ","Ofsted School Webpage")</f>
        <v>Ofsted School Webpage</v>
      </c>
      <c r="B692" s="319">
        <v>138249</v>
      </c>
      <c r="C692" s="319">
        <v>8396008</v>
      </c>
      <c r="D692" s="319" t="s">
        <v>3430</v>
      </c>
      <c r="E692" s="319" t="s">
        <v>167</v>
      </c>
      <c r="F692" s="319" t="s">
        <v>81</v>
      </c>
      <c r="G692" s="319" t="s">
        <v>59</v>
      </c>
      <c r="H692" s="319" t="s">
        <v>59</v>
      </c>
      <c r="I692" s="319" t="s">
        <v>59</v>
      </c>
      <c r="J692" s="319" t="s">
        <v>424</v>
      </c>
      <c r="K692" s="319" t="s">
        <v>422</v>
      </c>
      <c r="L692" s="319" t="s">
        <v>422</v>
      </c>
      <c r="M692" s="319" t="s">
        <v>2691</v>
      </c>
      <c r="N692" s="319" t="s">
        <v>3431</v>
      </c>
      <c r="O692" s="319" t="s">
        <v>423</v>
      </c>
      <c r="P692" s="319">
        <v>16</v>
      </c>
      <c r="Q692" s="319" t="s">
        <v>2776</v>
      </c>
      <c r="R692" s="320">
        <v>10053784</v>
      </c>
      <c r="S692" s="321">
        <v>43354</v>
      </c>
      <c r="T692" s="321">
        <v>43356</v>
      </c>
      <c r="U692" s="321">
        <v>43384</v>
      </c>
      <c r="V692" s="319" t="s">
        <v>425</v>
      </c>
      <c r="W692" s="319" t="s">
        <v>2767</v>
      </c>
      <c r="X692" s="319">
        <v>2</v>
      </c>
      <c r="Y692" s="319" t="s">
        <v>173</v>
      </c>
      <c r="Z692" s="319" t="s">
        <v>173</v>
      </c>
      <c r="AA692" s="319" t="s">
        <v>173</v>
      </c>
      <c r="AB692" s="319">
        <v>2</v>
      </c>
      <c r="AC692" s="319" t="s">
        <v>169</v>
      </c>
      <c r="AD692" s="319" t="s">
        <v>173</v>
      </c>
      <c r="AE692" s="319" t="s">
        <v>173</v>
      </c>
      <c r="AF692" s="319" t="s">
        <v>427</v>
      </c>
      <c r="AG692" s="319" t="s">
        <v>171</v>
      </c>
      <c r="AH692" s="319" t="s">
        <v>190</v>
      </c>
      <c r="AI692" s="319" t="s">
        <v>190</v>
      </c>
      <c r="AJ692" s="319" t="s">
        <v>190</v>
      </c>
      <c r="AK692" s="319" t="s">
        <v>190</v>
      </c>
      <c r="AL692" s="319" t="s">
        <v>190</v>
      </c>
      <c r="AM692" s="319" t="s">
        <v>190</v>
      </c>
      <c r="AN692" s="319" t="s">
        <v>190</v>
      </c>
      <c r="AO692" s="319" t="s">
        <v>190</v>
      </c>
      <c r="AP692" s="319" t="s">
        <v>190</v>
      </c>
      <c r="AQ692" s="319" t="s">
        <v>190</v>
      </c>
      <c r="AR692" s="319" t="s">
        <v>190</v>
      </c>
      <c r="AS692" s="319" t="s">
        <v>190</v>
      </c>
      <c r="AT692" s="319" t="s">
        <v>190</v>
      </c>
      <c r="AU692" s="319" t="s">
        <v>190</v>
      </c>
      <c r="AV692" s="319" t="s">
        <v>190</v>
      </c>
      <c r="AW692" s="319" t="s">
        <v>190</v>
      </c>
      <c r="AX692" s="319" t="s">
        <v>428</v>
      </c>
      <c r="AY692" s="319" t="s">
        <v>190</v>
      </c>
      <c r="AZ692" s="319" t="s">
        <v>190</v>
      </c>
      <c r="BA692" s="319" t="s">
        <v>190</v>
      </c>
      <c r="BB692" s="319" t="s">
        <v>190</v>
      </c>
      <c r="BC692" s="319" t="s">
        <v>190</v>
      </c>
      <c r="BD692" s="319" t="s">
        <v>190</v>
      </c>
      <c r="BE692" s="319" t="s">
        <v>190</v>
      </c>
      <c r="BF692" s="319" t="s">
        <v>428</v>
      </c>
      <c r="BG692" s="319" t="s">
        <v>190</v>
      </c>
      <c r="BH692" s="319" t="s">
        <v>190</v>
      </c>
      <c r="BI692" s="319" t="s">
        <v>190</v>
      </c>
      <c r="BJ692" s="319" t="s">
        <v>190</v>
      </c>
      <c r="BK692" s="319" t="s">
        <v>190</v>
      </c>
      <c r="BL692" s="319" t="s">
        <v>190</v>
      </c>
      <c r="BM692" s="319" t="s">
        <v>190</v>
      </c>
      <c r="BN692" s="319" t="s">
        <v>190</v>
      </c>
      <c r="BO692" s="319" t="s">
        <v>190</v>
      </c>
      <c r="BP692" s="319" t="s">
        <v>190</v>
      </c>
      <c r="BQ692" s="319" t="s">
        <v>190</v>
      </c>
      <c r="BR692" s="319" t="s">
        <v>190</v>
      </c>
      <c r="BS692" s="319" t="s">
        <v>190</v>
      </c>
      <c r="BT692" s="319" t="s">
        <v>190</v>
      </c>
      <c r="BU692" s="319" t="s">
        <v>190</v>
      </c>
      <c r="BV692" s="319" t="s">
        <v>190</v>
      </c>
      <c r="BW692" s="319" t="s">
        <v>190</v>
      </c>
      <c r="BX692" s="319" t="s">
        <v>190</v>
      </c>
      <c r="BY692" s="319" t="s">
        <v>190</v>
      </c>
      <c r="BZ692" s="319" t="s">
        <v>190</v>
      </c>
      <c r="CA692" s="319" t="s">
        <v>190</v>
      </c>
      <c r="CB692" s="319" t="s">
        <v>190</v>
      </c>
      <c r="CC692" s="319" t="s">
        <v>190</v>
      </c>
      <c r="CD692" s="319" t="s">
        <v>190</v>
      </c>
      <c r="CE692" s="319" t="s">
        <v>190</v>
      </c>
      <c r="CF692" s="319" t="s">
        <v>190</v>
      </c>
      <c r="CG692" s="319" t="s">
        <v>190</v>
      </c>
      <c r="CH692" s="319" t="s">
        <v>190</v>
      </c>
      <c r="CI692" s="319" t="s">
        <v>190</v>
      </c>
      <c r="CJ692" s="319" t="s">
        <v>190</v>
      </c>
      <c r="CK692" s="319" t="s">
        <v>190</v>
      </c>
      <c r="CL692" s="319" t="s">
        <v>190</v>
      </c>
      <c r="CM692" s="319" t="s">
        <v>190</v>
      </c>
      <c r="CN692" s="319" t="s">
        <v>428</v>
      </c>
      <c r="CO692" s="319" t="s">
        <v>428</v>
      </c>
      <c r="CP692" s="319" t="s">
        <v>428</v>
      </c>
      <c r="CQ692" s="319" t="s">
        <v>190</v>
      </c>
      <c r="CR692" s="319" t="s">
        <v>190</v>
      </c>
      <c r="CS692" s="319" t="s">
        <v>190</v>
      </c>
      <c r="CT692" s="319" t="s">
        <v>190</v>
      </c>
      <c r="CU692" s="319" t="s">
        <v>190</v>
      </c>
      <c r="CV692" s="319" t="s">
        <v>190</v>
      </c>
      <c r="CW692" s="319" t="s">
        <v>190</v>
      </c>
      <c r="CX692" s="319" t="s">
        <v>190</v>
      </c>
      <c r="CY692" s="319" t="s">
        <v>190</v>
      </c>
      <c r="CZ692" s="319" t="s">
        <v>190</v>
      </c>
      <c r="DA692" s="319" t="s">
        <v>190</v>
      </c>
      <c r="DB692" s="319" t="s">
        <v>190</v>
      </c>
      <c r="DC692" s="319" t="s">
        <v>190</v>
      </c>
      <c r="DD692" s="319" t="s">
        <v>190</v>
      </c>
      <c r="DE692" s="319" t="s">
        <v>190</v>
      </c>
      <c r="DF692" s="319" t="s">
        <v>190</v>
      </c>
      <c r="DG692" s="319" t="s">
        <v>190</v>
      </c>
      <c r="DH692" s="319" t="s">
        <v>190</v>
      </c>
      <c r="DI692" s="319" t="s">
        <v>190</v>
      </c>
      <c r="DJ692" s="319" t="s">
        <v>190</v>
      </c>
      <c r="DK692" s="319" t="s">
        <v>190</v>
      </c>
      <c r="DL692" s="319" t="s">
        <v>190</v>
      </c>
      <c r="DM692" s="319" t="s">
        <v>190</v>
      </c>
      <c r="DN692" s="319" t="s">
        <v>428</v>
      </c>
      <c r="DO692" s="319" t="s">
        <v>190</v>
      </c>
      <c r="DP692" s="319" t="s">
        <v>190</v>
      </c>
      <c r="DQ692" s="319" t="s">
        <v>190</v>
      </c>
      <c r="DR692" s="319" t="s">
        <v>190</v>
      </c>
      <c r="DS692" s="319" t="s">
        <v>190</v>
      </c>
      <c r="DT692" s="319" t="s">
        <v>190</v>
      </c>
      <c r="DU692" s="319" t="s">
        <v>190</v>
      </c>
      <c r="DV692" s="319" t="s">
        <v>173</v>
      </c>
      <c r="DW692" s="319" t="s">
        <v>190</v>
      </c>
      <c r="DX692" s="319" t="s">
        <v>190</v>
      </c>
      <c r="DY692" s="319" t="s">
        <v>190</v>
      </c>
      <c r="DZ692" s="319" t="s">
        <v>190</v>
      </c>
      <c r="EA692" s="319" t="s">
        <v>190</v>
      </c>
      <c r="EB692" s="319" t="s">
        <v>190</v>
      </c>
      <c r="EC692" s="319" t="s">
        <v>428</v>
      </c>
      <c r="ED692" s="319" t="s">
        <v>190</v>
      </c>
      <c r="EE692" s="319" t="s">
        <v>190</v>
      </c>
      <c r="EF692" s="319" t="s">
        <v>190</v>
      </c>
      <c r="EG692" s="319" t="s">
        <v>190</v>
      </c>
      <c r="EH692" s="319" t="s">
        <v>190</v>
      </c>
      <c r="EI692" s="319" t="s">
        <v>190</v>
      </c>
      <c r="EJ692" s="319" t="s">
        <v>190</v>
      </c>
      <c r="EK692" s="319" t="s">
        <v>190</v>
      </c>
      <c r="EL692" s="319" t="s">
        <v>190</v>
      </c>
      <c r="EM692" s="319" t="s">
        <v>190</v>
      </c>
      <c r="EN692" s="319" t="s">
        <v>190</v>
      </c>
      <c r="EO692" s="319" t="s">
        <v>190</v>
      </c>
      <c r="EP692" s="319" t="s">
        <v>190</v>
      </c>
      <c r="EQ692" s="319" t="s">
        <v>190</v>
      </c>
      <c r="ER692" s="319" t="s">
        <v>190</v>
      </c>
      <c r="ES692" s="319" t="s">
        <v>190</v>
      </c>
      <c r="ET692" s="319" t="s">
        <v>190</v>
      </c>
      <c r="EU692" s="319" t="s">
        <v>190</v>
      </c>
      <c r="EV692" s="319" t="s">
        <v>190</v>
      </c>
      <c r="EW692" s="319" t="s">
        <v>190</v>
      </c>
      <c r="EX692" s="319" t="s">
        <v>190</v>
      </c>
      <c r="EY692" s="319" t="s">
        <v>190</v>
      </c>
      <c r="EZ692" s="319" t="s">
        <v>190</v>
      </c>
      <c r="FA692" s="319" t="s">
        <v>190</v>
      </c>
      <c r="FB692" s="319" t="s">
        <v>190</v>
      </c>
      <c r="FC692" s="319" t="s">
        <v>190</v>
      </c>
      <c r="FD692" s="319" t="s">
        <v>190</v>
      </c>
      <c r="FE692" s="319" t="s">
        <v>190</v>
      </c>
      <c r="FF692" s="319" t="s">
        <v>428</v>
      </c>
      <c r="FG692" s="319" t="s">
        <v>190</v>
      </c>
      <c r="FH692" s="319" t="s">
        <v>190</v>
      </c>
      <c r="FI692" s="319" t="s">
        <v>428</v>
      </c>
      <c r="FJ692" s="319" t="s">
        <v>429</v>
      </c>
      <c r="FK692" s="319" t="s">
        <v>428</v>
      </c>
      <c r="FL692" s="319" t="s">
        <v>190</v>
      </c>
      <c r="FM692" s="319" t="s">
        <v>190</v>
      </c>
      <c r="FN692" s="319" t="s">
        <v>190</v>
      </c>
      <c r="FO692" s="319" t="s">
        <v>190</v>
      </c>
      <c r="FP692" s="319" t="s">
        <v>190</v>
      </c>
      <c r="FQ692" s="319" t="s">
        <v>190</v>
      </c>
      <c r="FR692" s="319" t="s">
        <v>190</v>
      </c>
      <c r="FS692" s="319" t="s">
        <v>190</v>
      </c>
      <c r="FT692" s="319" t="s">
        <v>190</v>
      </c>
      <c r="FU692" s="319" t="s">
        <v>190</v>
      </c>
      <c r="FV692" s="319" t="s">
        <v>190</v>
      </c>
      <c r="FW692" s="319" t="s">
        <v>190</v>
      </c>
      <c r="FX692" s="319" t="s">
        <v>190</v>
      </c>
      <c r="FY692" s="319" t="s">
        <v>190</v>
      </c>
      <c r="FZ692" s="319" t="s">
        <v>190</v>
      </c>
      <c r="GA692" s="319" t="s">
        <v>190</v>
      </c>
      <c r="GB692" s="319" t="s">
        <v>190</v>
      </c>
      <c r="GC692" s="319" t="s">
        <v>190</v>
      </c>
      <c r="GD692" s="319" t="s">
        <v>190</v>
      </c>
      <c r="GE692" s="319" t="s">
        <v>190</v>
      </c>
      <c r="GF692" s="319" t="s">
        <v>190</v>
      </c>
      <c r="GG692" s="319" t="s">
        <v>190</v>
      </c>
      <c r="GH692" s="319" t="s">
        <v>190</v>
      </c>
      <c r="GI692" s="319" t="s">
        <v>190</v>
      </c>
      <c r="GJ692" s="319" t="s">
        <v>190</v>
      </c>
      <c r="GK692" s="319" t="s">
        <v>428</v>
      </c>
      <c r="GL692" s="319" t="s">
        <v>190</v>
      </c>
      <c r="GM692" s="319" t="s">
        <v>190</v>
      </c>
      <c r="GN692" s="319" t="s">
        <v>190</v>
      </c>
      <c r="GO692" s="319" t="s">
        <v>190</v>
      </c>
      <c r="GP692" s="319" t="s">
        <v>190</v>
      </c>
      <c r="GQ692" s="319" t="s">
        <v>428</v>
      </c>
      <c r="GR692" s="319" t="s">
        <v>190</v>
      </c>
      <c r="GS692" s="319" t="s">
        <v>190</v>
      </c>
      <c r="GT692" s="319" t="s">
        <v>190</v>
      </c>
      <c r="GU692" s="319" t="s">
        <v>190</v>
      </c>
      <c r="GV692" s="319" t="s">
        <v>190</v>
      </c>
      <c r="GW692" s="319" t="s">
        <v>190</v>
      </c>
      <c r="GX692" s="319" t="s">
        <v>190</v>
      </c>
      <c r="GY692" s="319" t="s">
        <v>190</v>
      </c>
      <c r="GZ692" s="319" t="s">
        <v>428</v>
      </c>
      <c r="HA692" s="319" t="s">
        <v>190</v>
      </c>
      <c r="HB692" s="319" t="s">
        <v>428</v>
      </c>
      <c r="HC692" s="319" t="s">
        <v>190</v>
      </c>
      <c r="HD692" s="319" t="s">
        <v>190</v>
      </c>
      <c r="HE692" s="319" t="s">
        <v>190</v>
      </c>
      <c r="HF692" s="319" t="s">
        <v>190</v>
      </c>
      <c r="HG692" s="319" t="s">
        <v>190</v>
      </c>
      <c r="HH692" s="319" t="s">
        <v>190</v>
      </c>
      <c r="HI692" s="319" t="s">
        <v>190</v>
      </c>
      <c r="HJ692" s="319" t="s">
        <v>190</v>
      </c>
      <c r="HK692" s="319" t="s">
        <v>190</v>
      </c>
      <c r="HL692" s="319" t="s">
        <v>428</v>
      </c>
      <c r="HM692" s="319" t="s">
        <v>428</v>
      </c>
      <c r="HN692" s="319" t="s">
        <v>428</v>
      </c>
      <c r="HO692" s="319" t="s">
        <v>428</v>
      </c>
      <c r="HP692" s="319" t="s">
        <v>190</v>
      </c>
      <c r="HQ692" s="319" t="s">
        <v>190</v>
      </c>
      <c r="HR692" s="319" t="s">
        <v>190</v>
      </c>
      <c r="HS692" s="319" t="s">
        <v>190</v>
      </c>
      <c r="HT692" s="319" t="s">
        <v>190</v>
      </c>
      <c r="HU692" s="319" t="s">
        <v>190</v>
      </c>
      <c r="HV692" s="319" t="s">
        <v>190</v>
      </c>
      <c r="HW692" s="319" t="s">
        <v>190</v>
      </c>
      <c r="HX692" s="319" t="s">
        <v>190</v>
      </c>
      <c r="HY692" s="319" t="s">
        <v>190</v>
      </c>
      <c r="HZ692" s="319" t="s">
        <v>190</v>
      </c>
      <c r="IA692" s="319" t="s">
        <v>190</v>
      </c>
      <c r="IB692" s="319" t="s">
        <v>190</v>
      </c>
      <c r="IC692" s="319" t="s">
        <v>190</v>
      </c>
      <c r="ID692" s="319" t="s">
        <v>190</v>
      </c>
      <c r="IE692" s="319" t="s">
        <v>190</v>
      </c>
      <c r="IF692" s="319" t="s">
        <v>190</v>
      </c>
      <c r="IG692" s="319" t="s">
        <v>190</v>
      </c>
      <c r="IH692" s="319" t="s">
        <v>190</v>
      </c>
      <c r="II692" s="319" t="s">
        <v>190</v>
      </c>
      <c r="IJ692" s="319">
        <v>10012901</v>
      </c>
      <c r="IK692" s="321">
        <v>42689</v>
      </c>
      <c r="IL692" s="321">
        <v>42691</v>
      </c>
      <c r="IM692" s="321">
        <v>42718</v>
      </c>
      <c r="IN692" s="319">
        <v>3</v>
      </c>
      <c r="IO692" s="319" t="s">
        <v>173</v>
      </c>
      <c r="IP692" s="319" t="s">
        <v>173</v>
      </c>
      <c r="IQ692" s="321" t="s">
        <v>173</v>
      </c>
      <c r="IR692" s="320" t="s">
        <v>173</v>
      </c>
      <c r="IS692" s="322" t="s">
        <v>173</v>
      </c>
      <c r="IT692" s="319" t="s">
        <v>173</v>
      </c>
    </row>
    <row r="693" spans="1:254" s="271" customFormat="1" x14ac:dyDescent="0.25">
      <c r="A693" s="318" t="str">
        <f>HYPERLINK("http://www.ofsted.gov.uk/inspection-reports/find-inspection-report/provider/ELS/138333 ","Ofsted School Webpage")</f>
        <v>Ofsted School Webpage</v>
      </c>
      <c r="B693" s="319">
        <v>138333</v>
      </c>
      <c r="C693" s="319">
        <v>8396009</v>
      </c>
      <c r="D693" s="319" t="s">
        <v>552</v>
      </c>
      <c r="E693" s="319" t="s">
        <v>167</v>
      </c>
      <c r="F693" s="319" t="s">
        <v>81</v>
      </c>
      <c r="G693" s="319" t="s">
        <v>81</v>
      </c>
      <c r="H693" s="319" t="s">
        <v>81</v>
      </c>
      <c r="I693" s="319" t="s">
        <v>78</v>
      </c>
      <c r="J693" s="319" t="s">
        <v>424</v>
      </c>
      <c r="K693" s="319" t="s">
        <v>422</v>
      </c>
      <c r="L693" s="319" t="s">
        <v>422</v>
      </c>
      <c r="M693" s="319" t="s">
        <v>2691</v>
      </c>
      <c r="N693" s="319" t="s">
        <v>3431</v>
      </c>
      <c r="O693" s="319" t="s">
        <v>553</v>
      </c>
      <c r="P693" s="319">
        <v>222</v>
      </c>
      <c r="Q693" s="319" t="s">
        <v>2776</v>
      </c>
      <c r="R693" s="320">
        <v>10053791</v>
      </c>
      <c r="S693" s="321">
        <v>43382</v>
      </c>
      <c r="T693" s="321">
        <v>43384</v>
      </c>
      <c r="U693" s="321">
        <v>43422</v>
      </c>
      <c r="V693" s="319" t="s">
        <v>554</v>
      </c>
      <c r="W693" s="319" t="s">
        <v>2767</v>
      </c>
      <c r="X693" s="319">
        <v>2</v>
      </c>
      <c r="Y693" s="319" t="s">
        <v>173</v>
      </c>
      <c r="Z693" s="319" t="s">
        <v>173</v>
      </c>
      <c r="AA693" s="319" t="s">
        <v>173</v>
      </c>
      <c r="AB693" s="319">
        <v>2</v>
      </c>
      <c r="AC693" s="319" t="s">
        <v>169</v>
      </c>
      <c r="AD693" s="319" t="s">
        <v>173</v>
      </c>
      <c r="AE693" s="319" t="s">
        <v>173</v>
      </c>
      <c r="AF693" s="319" t="s">
        <v>427</v>
      </c>
      <c r="AG693" s="319" t="s">
        <v>171</v>
      </c>
      <c r="AH693" s="319" t="s">
        <v>190</v>
      </c>
      <c r="AI693" s="319" t="s">
        <v>190</v>
      </c>
      <c r="AJ693" s="319" t="s">
        <v>190</v>
      </c>
      <c r="AK693" s="319" t="s">
        <v>190</v>
      </c>
      <c r="AL693" s="319" t="s">
        <v>190</v>
      </c>
      <c r="AM693" s="319" t="s">
        <v>190</v>
      </c>
      <c r="AN693" s="319" t="s">
        <v>190</v>
      </c>
      <c r="AO693" s="319" t="s">
        <v>190</v>
      </c>
      <c r="AP693" s="319" t="s">
        <v>190</v>
      </c>
      <c r="AQ693" s="319" t="s">
        <v>190</v>
      </c>
      <c r="AR693" s="319" t="s">
        <v>190</v>
      </c>
      <c r="AS693" s="319" t="s">
        <v>190</v>
      </c>
      <c r="AT693" s="319" t="s">
        <v>190</v>
      </c>
      <c r="AU693" s="319" t="s">
        <v>190</v>
      </c>
      <c r="AV693" s="319" t="s">
        <v>190</v>
      </c>
      <c r="AW693" s="319" t="s">
        <v>190</v>
      </c>
      <c r="AX693" s="319" t="s">
        <v>190</v>
      </c>
      <c r="AY693" s="319" t="s">
        <v>190</v>
      </c>
      <c r="AZ693" s="319" t="s">
        <v>190</v>
      </c>
      <c r="BA693" s="319" t="s">
        <v>190</v>
      </c>
      <c r="BB693" s="319" t="s">
        <v>190</v>
      </c>
      <c r="BC693" s="319" t="s">
        <v>190</v>
      </c>
      <c r="BD693" s="319" t="s">
        <v>190</v>
      </c>
      <c r="BE693" s="319" t="s">
        <v>190</v>
      </c>
      <c r="BF693" s="319" t="s">
        <v>428</v>
      </c>
      <c r="BG693" s="319" t="s">
        <v>190</v>
      </c>
      <c r="BH693" s="319" t="s">
        <v>190</v>
      </c>
      <c r="BI693" s="319" t="s">
        <v>190</v>
      </c>
      <c r="BJ693" s="319" t="s">
        <v>190</v>
      </c>
      <c r="BK693" s="319" t="s">
        <v>190</v>
      </c>
      <c r="BL693" s="319" t="s">
        <v>190</v>
      </c>
      <c r="BM693" s="319" t="s">
        <v>190</v>
      </c>
      <c r="BN693" s="319" t="s">
        <v>190</v>
      </c>
      <c r="BO693" s="319" t="s">
        <v>190</v>
      </c>
      <c r="BP693" s="319" t="s">
        <v>190</v>
      </c>
      <c r="BQ693" s="319" t="s">
        <v>190</v>
      </c>
      <c r="BR693" s="319" t="s">
        <v>190</v>
      </c>
      <c r="BS693" s="319" t="s">
        <v>190</v>
      </c>
      <c r="BT693" s="319" t="s">
        <v>190</v>
      </c>
      <c r="BU693" s="319" t="s">
        <v>190</v>
      </c>
      <c r="BV693" s="319" t="s">
        <v>190</v>
      </c>
      <c r="BW693" s="319" t="s">
        <v>190</v>
      </c>
      <c r="BX693" s="319" t="s">
        <v>190</v>
      </c>
      <c r="BY693" s="319" t="s">
        <v>190</v>
      </c>
      <c r="BZ693" s="319" t="s">
        <v>190</v>
      </c>
      <c r="CA693" s="319" t="s">
        <v>190</v>
      </c>
      <c r="CB693" s="319" t="s">
        <v>190</v>
      </c>
      <c r="CC693" s="319" t="s">
        <v>190</v>
      </c>
      <c r="CD693" s="319" t="s">
        <v>190</v>
      </c>
      <c r="CE693" s="319" t="s">
        <v>190</v>
      </c>
      <c r="CF693" s="319" t="s">
        <v>190</v>
      </c>
      <c r="CG693" s="319" t="s">
        <v>190</v>
      </c>
      <c r="CH693" s="319" t="s">
        <v>190</v>
      </c>
      <c r="CI693" s="319" t="s">
        <v>190</v>
      </c>
      <c r="CJ693" s="319" t="s">
        <v>190</v>
      </c>
      <c r="CK693" s="319" t="s">
        <v>190</v>
      </c>
      <c r="CL693" s="319" t="s">
        <v>190</v>
      </c>
      <c r="CM693" s="319" t="s">
        <v>190</v>
      </c>
      <c r="CN693" s="319" t="s">
        <v>190</v>
      </c>
      <c r="CO693" s="319" t="s">
        <v>190</v>
      </c>
      <c r="CP693" s="319" t="s">
        <v>190</v>
      </c>
      <c r="CQ693" s="319" t="s">
        <v>190</v>
      </c>
      <c r="CR693" s="319" t="s">
        <v>190</v>
      </c>
      <c r="CS693" s="319" t="s">
        <v>190</v>
      </c>
      <c r="CT693" s="319" t="s">
        <v>190</v>
      </c>
      <c r="CU693" s="319" t="s">
        <v>190</v>
      </c>
      <c r="CV693" s="319" t="s">
        <v>190</v>
      </c>
      <c r="CW693" s="319" t="s">
        <v>190</v>
      </c>
      <c r="CX693" s="319" t="s">
        <v>190</v>
      </c>
      <c r="CY693" s="319" t="s">
        <v>190</v>
      </c>
      <c r="CZ693" s="319" t="s">
        <v>190</v>
      </c>
      <c r="DA693" s="319" t="s">
        <v>190</v>
      </c>
      <c r="DB693" s="319" t="s">
        <v>190</v>
      </c>
      <c r="DC693" s="319" t="s">
        <v>190</v>
      </c>
      <c r="DD693" s="319" t="s">
        <v>190</v>
      </c>
      <c r="DE693" s="319" t="s">
        <v>190</v>
      </c>
      <c r="DF693" s="319" t="s">
        <v>190</v>
      </c>
      <c r="DG693" s="319" t="s">
        <v>190</v>
      </c>
      <c r="DH693" s="319" t="s">
        <v>190</v>
      </c>
      <c r="DI693" s="319" t="s">
        <v>190</v>
      </c>
      <c r="DJ693" s="319" t="s">
        <v>190</v>
      </c>
      <c r="DK693" s="319" t="s">
        <v>190</v>
      </c>
      <c r="DL693" s="319" t="s">
        <v>190</v>
      </c>
      <c r="DM693" s="319" t="s">
        <v>190</v>
      </c>
      <c r="DN693" s="319" t="s">
        <v>190</v>
      </c>
      <c r="DO693" s="319" t="s">
        <v>190</v>
      </c>
      <c r="DP693" s="319" t="s">
        <v>190</v>
      </c>
      <c r="DQ693" s="319" t="s">
        <v>190</v>
      </c>
      <c r="DR693" s="319" t="s">
        <v>190</v>
      </c>
      <c r="DS693" s="319" t="s">
        <v>190</v>
      </c>
      <c r="DT693" s="319" t="s">
        <v>190</v>
      </c>
      <c r="DU693" s="319" t="s">
        <v>190</v>
      </c>
      <c r="DV693" s="319" t="s">
        <v>173</v>
      </c>
      <c r="DW693" s="319" t="s">
        <v>190</v>
      </c>
      <c r="DX693" s="319" t="s">
        <v>190</v>
      </c>
      <c r="DY693" s="319" t="s">
        <v>190</v>
      </c>
      <c r="DZ693" s="319" t="s">
        <v>190</v>
      </c>
      <c r="EA693" s="319" t="s">
        <v>190</v>
      </c>
      <c r="EB693" s="319" t="s">
        <v>190</v>
      </c>
      <c r="EC693" s="319" t="s">
        <v>190</v>
      </c>
      <c r="ED693" s="319" t="s">
        <v>190</v>
      </c>
      <c r="EE693" s="319" t="s">
        <v>190</v>
      </c>
      <c r="EF693" s="319" t="s">
        <v>190</v>
      </c>
      <c r="EG693" s="319" t="s">
        <v>190</v>
      </c>
      <c r="EH693" s="319" t="s">
        <v>190</v>
      </c>
      <c r="EI693" s="319" t="s">
        <v>190</v>
      </c>
      <c r="EJ693" s="319" t="s">
        <v>190</v>
      </c>
      <c r="EK693" s="319" t="s">
        <v>190</v>
      </c>
      <c r="EL693" s="319" t="s">
        <v>190</v>
      </c>
      <c r="EM693" s="319" t="s">
        <v>428</v>
      </c>
      <c r="EN693" s="319" t="s">
        <v>190</v>
      </c>
      <c r="EO693" s="319" t="s">
        <v>190</v>
      </c>
      <c r="EP693" s="319" t="s">
        <v>190</v>
      </c>
      <c r="EQ693" s="319" t="s">
        <v>190</v>
      </c>
      <c r="ER693" s="319" t="s">
        <v>190</v>
      </c>
      <c r="ES693" s="319" t="s">
        <v>190</v>
      </c>
      <c r="ET693" s="319" t="s">
        <v>190</v>
      </c>
      <c r="EU693" s="319" t="s">
        <v>190</v>
      </c>
      <c r="EV693" s="319" t="s">
        <v>190</v>
      </c>
      <c r="EW693" s="319" t="s">
        <v>190</v>
      </c>
      <c r="EX693" s="319" t="s">
        <v>190</v>
      </c>
      <c r="EY693" s="319" t="s">
        <v>190</v>
      </c>
      <c r="EZ693" s="319" t="s">
        <v>190</v>
      </c>
      <c r="FA693" s="319" t="s">
        <v>190</v>
      </c>
      <c r="FB693" s="319" t="s">
        <v>190</v>
      </c>
      <c r="FC693" s="319" t="s">
        <v>190</v>
      </c>
      <c r="FD693" s="319" t="s">
        <v>190</v>
      </c>
      <c r="FE693" s="319" t="s">
        <v>190</v>
      </c>
      <c r="FF693" s="319" t="s">
        <v>190</v>
      </c>
      <c r="FG693" s="319" t="s">
        <v>190</v>
      </c>
      <c r="FH693" s="319" t="s">
        <v>190</v>
      </c>
      <c r="FI693" s="319" t="s">
        <v>190</v>
      </c>
      <c r="FJ693" s="319" t="s">
        <v>190</v>
      </c>
      <c r="FK693" s="319" t="s">
        <v>190</v>
      </c>
      <c r="FL693" s="319" t="s">
        <v>190</v>
      </c>
      <c r="FM693" s="319" t="s">
        <v>190</v>
      </c>
      <c r="FN693" s="319" t="s">
        <v>190</v>
      </c>
      <c r="FO693" s="319" t="s">
        <v>428</v>
      </c>
      <c r="FP693" s="319" t="s">
        <v>190</v>
      </c>
      <c r="FQ693" s="319" t="s">
        <v>190</v>
      </c>
      <c r="FR693" s="319" t="s">
        <v>190</v>
      </c>
      <c r="FS693" s="319" t="s">
        <v>428</v>
      </c>
      <c r="FT693" s="319" t="s">
        <v>190</v>
      </c>
      <c r="FU693" s="319" t="s">
        <v>190</v>
      </c>
      <c r="FV693" s="319" t="s">
        <v>190</v>
      </c>
      <c r="FW693" s="319" t="s">
        <v>190</v>
      </c>
      <c r="FX693" s="319" t="s">
        <v>190</v>
      </c>
      <c r="FY693" s="319" t="s">
        <v>190</v>
      </c>
      <c r="FZ693" s="319" t="s">
        <v>190</v>
      </c>
      <c r="GA693" s="319" t="s">
        <v>190</v>
      </c>
      <c r="GB693" s="319" t="s">
        <v>190</v>
      </c>
      <c r="GC693" s="319" t="s">
        <v>190</v>
      </c>
      <c r="GD693" s="319" t="s">
        <v>190</v>
      </c>
      <c r="GE693" s="319" t="s">
        <v>190</v>
      </c>
      <c r="GF693" s="319" t="s">
        <v>190</v>
      </c>
      <c r="GG693" s="319" t="s">
        <v>190</v>
      </c>
      <c r="GH693" s="319" t="s">
        <v>190</v>
      </c>
      <c r="GI693" s="319" t="s">
        <v>190</v>
      </c>
      <c r="GJ693" s="319" t="s">
        <v>190</v>
      </c>
      <c r="GK693" s="319" t="s">
        <v>190</v>
      </c>
      <c r="GL693" s="319" t="s">
        <v>190</v>
      </c>
      <c r="GM693" s="319" t="s">
        <v>190</v>
      </c>
      <c r="GN693" s="319" t="s">
        <v>190</v>
      </c>
      <c r="GO693" s="319" t="s">
        <v>190</v>
      </c>
      <c r="GP693" s="319" t="s">
        <v>190</v>
      </c>
      <c r="GQ693" s="319" t="s">
        <v>190</v>
      </c>
      <c r="GR693" s="319" t="s">
        <v>190</v>
      </c>
      <c r="GS693" s="319" t="s">
        <v>190</v>
      </c>
      <c r="GT693" s="319" t="s">
        <v>428</v>
      </c>
      <c r="GU693" s="319" t="s">
        <v>428</v>
      </c>
      <c r="GV693" s="319" t="s">
        <v>428</v>
      </c>
      <c r="GW693" s="319" t="s">
        <v>190</v>
      </c>
      <c r="GX693" s="319" t="s">
        <v>190</v>
      </c>
      <c r="GY693" s="319" t="s">
        <v>190</v>
      </c>
      <c r="GZ693" s="319" t="s">
        <v>428</v>
      </c>
      <c r="HA693" s="319" t="s">
        <v>190</v>
      </c>
      <c r="HB693" s="319" t="s">
        <v>428</v>
      </c>
      <c r="HC693" s="319" t="s">
        <v>190</v>
      </c>
      <c r="HD693" s="319" t="s">
        <v>190</v>
      </c>
      <c r="HE693" s="319" t="s">
        <v>190</v>
      </c>
      <c r="HF693" s="319" t="s">
        <v>190</v>
      </c>
      <c r="HG693" s="319" t="s">
        <v>190</v>
      </c>
      <c r="HH693" s="319" t="s">
        <v>190</v>
      </c>
      <c r="HI693" s="319" t="s">
        <v>190</v>
      </c>
      <c r="HJ693" s="319" t="s">
        <v>190</v>
      </c>
      <c r="HK693" s="319" t="s">
        <v>190</v>
      </c>
      <c r="HL693" s="319" t="s">
        <v>428</v>
      </c>
      <c r="HM693" s="319" t="s">
        <v>428</v>
      </c>
      <c r="HN693" s="319" t="s">
        <v>428</v>
      </c>
      <c r="HO693" s="319" t="s">
        <v>428</v>
      </c>
      <c r="HP693" s="319" t="s">
        <v>190</v>
      </c>
      <c r="HQ693" s="319" t="s">
        <v>190</v>
      </c>
      <c r="HR693" s="319" t="s">
        <v>190</v>
      </c>
      <c r="HS693" s="319" t="s">
        <v>190</v>
      </c>
      <c r="HT693" s="319" t="s">
        <v>190</v>
      </c>
      <c r="HU693" s="319" t="s">
        <v>190</v>
      </c>
      <c r="HV693" s="319" t="s">
        <v>190</v>
      </c>
      <c r="HW693" s="319" t="s">
        <v>190</v>
      </c>
      <c r="HX693" s="319" t="s">
        <v>190</v>
      </c>
      <c r="HY693" s="319" t="s">
        <v>190</v>
      </c>
      <c r="HZ693" s="319" t="s">
        <v>190</v>
      </c>
      <c r="IA693" s="319" t="s">
        <v>190</v>
      </c>
      <c r="IB693" s="319" t="s">
        <v>190</v>
      </c>
      <c r="IC693" s="319" t="s">
        <v>190</v>
      </c>
      <c r="ID693" s="319" t="s">
        <v>190</v>
      </c>
      <c r="IE693" s="319" t="s">
        <v>190</v>
      </c>
      <c r="IF693" s="319" t="s">
        <v>190</v>
      </c>
      <c r="IG693" s="319" t="s">
        <v>190</v>
      </c>
      <c r="IH693" s="319" t="s">
        <v>190</v>
      </c>
      <c r="II693" s="319" t="s">
        <v>190</v>
      </c>
      <c r="IJ693" s="319">
        <v>10020906</v>
      </c>
      <c r="IK693" s="321">
        <v>42717</v>
      </c>
      <c r="IL693" s="321">
        <v>42719</v>
      </c>
      <c r="IM693" s="321">
        <v>42780</v>
      </c>
      <c r="IN693" s="319">
        <v>3</v>
      </c>
      <c r="IO693" s="319" t="s">
        <v>173</v>
      </c>
      <c r="IP693" s="319" t="s">
        <v>173</v>
      </c>
      <c r="IQ693" s="321" t="s">
        <v>173</v>
      </c>
      <c r="IR693" s="320" t="s">
        <v>173</v>
      </c>
      <c r="IS693" s="322" t="s">
        <v>173</v>
      </c>
      <c r="IT693" s="319" t="s">
        <v>173</v>
      </c>
    </row>
    <row r="694" spans="1:254" s="271" customFormat="1" x14ac:dyDescent="0.25">
      <c r="A694" s="318" t="str">
        <f>HYPERLINK("http://www.ofsted.gov.uk/inspection-reports/find-inspection-report/provider/ELS/138378 ","Ofsted School Webpage")</f>
        <v>Ofsted School Webpage</v>
      </c>
      <c r="B694" s="319">
        <v>138378</v>
      </c>
      <c r="C694" s="319">
        <v>3056005</v>
      </c>
      <c r="D694" s="319" t="s">
        <v>2160</v>
      </c>
      <c r="E694" s="319" t="s">
        <v>168</v>
      </c>
      <c r="F694" s="319" t="s">
        <v>81</v>
      </c>
      <c r="G694" s="319" t="s">
        <v>81</v>
      </c>
      <c r="H694" s="319" t="s">
        <v>81</v>
      </c>
      <c r="I694" s="319" t="s">
        <v>78</v>
      </c>
      <c r="J694" s="319" t="s">
        <v>424</v>
      </c>
      <c r="K694" s="319" t="s">
        <v>441</v>
      </c>
      <c r="L694" s="319" t="s">
        <v>441</v>
      </c>
      <c r="M694" s="319" t="s">
        <v>600</v>
      </c>
      <c r="N694" s="319" t="s">
        <v>3432</v>
      </c>
      <c r="O694" s="319" t="s">
        <v>623</v>
      </c>
      <c r="P694" s="319">
        <v>3</v>
      </c>
      <c r="Q694" s="319" t="s">
        <v>429</v>
      </c>
      <c r="R694" s="320">
        <v>10012826</v>
      </c>
      <c r="S694" s="321">
        <v>42809</v>
      </c>
      <c r="T694" s="321">
        <v>42811</v>
      </c>
      <c r="U694" s="321">
        <v>42858</v>
      </c>
      <c r="V694" s="319" t="s">
        <v>425</v>
      </c>
      <c r="W694" s="319" t="s">
        <v>2767</v>
      </c>
      <c r="X694" s="319">
        <v>2</v>
      </c>
      <c r="Y694" s="319" t="s">
        <v>173</v>
      </c>
      <c r="Z694" s="319" t="s">
        <v>173</v>
      </c>
      <c r="AA694" s="319" t="s">
        <v>173</v>
      </c>
      <c r="AB694" s="319">
        <v>2</v>
      </c>
      <c r="AC694" s="319" t="s">
        <v>169</v>
      </c>
      <c r="AD694" s="319" t="s">
        <v>173</v>
      </c>
      <c r="AE694" s="319" t="s">
        <v>173</v>
      </c>
      <c r="AF694" s="319" t="s">
        <v>173</v>
      </c>
      <c r="AG694" s="319" t="s">
        <v>171</v>
      </c>
      <c r="AH694" s="319" t="s">
        <v>190</v>
      </c>
      <c r="AI694" s="319" t="s">
        <v>190</v>
      </c>
      <c r="AJ694" s="319" t="s">
        <v>190</v>
      </c>
      <c r="AK694" s="319" t="s">
        <v>190</v>
      </c>
      <c r="AL694" s="319" t="s">
        <v>190</v>
      </c>
      <c r="AM694" s="319" t="s">
        <v>190</v>
      </c>
      <c r="AN694" s="319" t="s">
        <v>190</v>
      </c>
      <c r="AO694" s="319" t="s">
        <v>190</v>
      </c>
      <c r="AP694" s="319" t="s">
        <v>190</v>
      </c>
      <c r="AQ694" s="319" t="s">
        <v>190</v>
      </c>
      <c r="AR694" s="319" t="s">
        <v>190</v>
      </c>
      <c r="AS694" s="319" t="s">
        <v>190</v>
      </c>
      <c r="AT694" s="319" t="s">
        <v>190</v>
      </c>
      <c r="AU694" s="319" t="s">
        <v>190</v>
      </c>
      <c r="AV694" s="319" t="s">
        <v>190</v>
      </c>
      <c r="AW694" s="319" t="s">
        <v>190</v>
      </c>
      <c r="AX694" s="319" t="s">
        <v>429</v>
      </c>
      <c r="AY694" s="319" t="s">
        <v>190</v>
      </c>
      <c r="AZ694" s="319" t="s">
        <v>190</v>
      </c>
      <c r="BA694" s="319" t="s">
        <v>190</v>
      </c>
      <c r="BB694" s="319" t="s">
        <v>190</v>
      </c>
      <c r="BC694" s="319" t="s">
        <v>190</v>
      </c>
      <c r="BD694" s="319" t="s">
        <v>190</v>
      </c>
      <c r="BE694" s="319" t="s">
        <v>190</v>
      </c>
      <c r="BF694" s="319" t="s">
        <v>429</v>
      </c>
      <c r="BG694" s="319" t="s">
        <v>429</v>
      </c>
      <c r="BH694" s="319" t="s">
        <v>190</v>
      </c>
      <c r="BI694" s="319" t="s">
        <v>190</v>
      </c>
      <c r="BJ694" s="319" t="s">
        <v>190</v>
      </c>
      <c r="BK694" s="319" t="s">
        <v>190</v>
      </c>
      <c r="BL694" s="319" t="s">
        <v>190</v>
      </c>
      <c r="BM694" s="319" t="s">
        <v>190</v>
      </c>
      <c r="BN694" s="319" t="s">
        <v>190</v>
      </c>
      <c r="BO694" s="319" t="s">
        <v>190</v>
      </c>
      <c r="BP694" s="319" t="s">
        <v>190</v>
      </c>
      <c r="BQ694" s="319" t="s">
        <v>190</v>
      </c>
      <c r="BR694" s="319" t="s">
        <v>190</v>
      </c>
      <c r="BS694" s="319" t="s">
        <v>190</v>
      </c>
      <c r="BT694" s="319" t="s">
        <v>190</v>
      </c>
      <c r="BU694" s="319" t="s">
        <v>190</v>
      </c>
      <c r="BV694" s="319" t="s">
        <v>190</v>
      </c>
      <c r="BW694" s="319" t="s">
        <v>190</v>
      </c>
      <c r="BX694" s="319" t="s">
        <v>190</v>
      </c>
      <c r="BY694" s="319" t="s">
        <v>190</v>
      </c>
      <c r="BZ694" s="319" t="s">
        <v>190</v>
      </c>
      <c r="CA694" s="319" t="s">
        <v>190</v>
      </c>
      <c r="CB694" s="319" t="s">
        <v>190</v>
      </c>
      <c r="CC694" s="319" t="s">
        <v>190</v>
      </c>
      <c r="CD694" s="319" t="s">
        <v>190</v>
      </c>
      <c r="CE694" s="319" t="s">
        <v>190</v>
      </c>
      <c r="CF694" s="319" t="s">
        <v>190</v>
      </c>
      <c r="CG694" s="319" t="s">
        <v>190</v>
      </c>
      <c r="CH694" s="319" t="s">
        <v>190</v>
      </c>
      <c r="CI694" s="319" t="s">
        <v>190</v>
      </c>
      <c r="CJ694" s="319" t="s">
        <v>190</v>
      </c>
      <c r="CK694" s="319" t="s">
        <v>190</v>
      </c>
      <c r="CL694" s="319" t="s">
        <v>190</v>
      </c>
      <c r="CM694" s="319" t="s">
        <v>190</v>
      </c>
      <c r="CN694" s="319" t="s">
        <v>429</v>
      </c>
      <c r="CO694" s="319" t="s">
        <v>429</v>
      </c>
      <c r="CP694" s="319" t="s">
        <v>429</v>
      </c>
      <c r="CQ694" s="319" t="s">
        <v>190</v>
      </c>
      <c r="CR694" s="319" t="s">
        <v>190</v>
      </c>
      <c r="CS694" s="319" t="s">
        <v>190</v>
      </c>
      <c r="CT694" s="319" t="s">
        <v>190</v>
      </c>
      <c r="CU694" s="319" t="s">
        <v>190</v>
      </c>
      <c r="CV694" s="319" t="s">
        <v>190</v>
      </c>
      <c r="CW694" s="319" t="s">
        <v>190</v>
      </c>
      <c r="CX694" s="319" t="s">
        <v>190</v>
      </c>
      <c r="CY694" s="319" t="s">
        <v>190</v>
      </c>
      <c r="CZ694" s="319" t="s">
        <v>190</v>
      </c>
      <c r="DA694" s="319" t="s">
        <v>190</v>
      </c>
      <c r="DB694" s="319" t="s">
        <v>190</v>
      </c>
      <c r="DC694" s="319" t="s">
        <v>190</v>
      </c>
      <c r="DD694" s="319" t="s">
        <v>190</v>
      </c>
      <c r="DE694" s="319" t="s">
        <v>190</v>
      </c>
      <c r="DF694" s="319" t="s">
        <v>190</v>
      </c>
      <c r="DG694" s="319" t="s">
        <v>190</v>
      </c>
      <c r="DH694" s="319" t="s">
        <v>190</v>
      </c>
      <c r="DI694" s="319" t="s">
        <v>190</v>
      </c>
      <c r="DJ694" s="319" t="s">
        <v>190</v>
      </c>
      <c r="DK694" s="319" t="s">
        <v>190</v>
      </c>
      <c r="DL694" s="319" t="s">
        <v>190</v>
      </c>
      <c r="DM694" s="319" t="s">
        <v>190</v>
      </c>
      <c r="DN694" s="319" t="s">
        <v>429</v>
      </c>
      <c r="DO694" s="319" t="s">
        <v>190</v>
      </c>
      <c r="DP694" s="319" t="s">
        <v>190</v>
      </c>
      <c r="DQ694" s="319" t="s">
        <v>190</v>
      </c>
      <c r="DR694" s="319" t="s">
        <v>190</v>
      </c>
      <c r="DS694" s="319" t="s">
        <v>190</v>
      </c>
      <c r="DT694" s="319" t="s">
        <v>190</v>
      </c>
      <c r="DU694" s="319" t="s">
        <v>190</v>
      </c>
      <c r="DV694" s="319" t="s">
        <v>173</v>
      </c>
      <c r="DW694" s="319" t="s">
        <v>190</v>
      </c>
      <c r="DX694" s="319" t="s">
        <v>190</v>
      </c>
      <c r="DY694" s="319" t="s">
        <v>190</v>
      </c>
      <c r="DZ694" s="319" t="s">
        <v>190</v>
      </c>
      <c r="EA694" s="319" t="s">
        <v>190</v>
      </c>
      <c r="EB694" s="319" t="s">
        <v>190</v>
      </c>
      <c r="EC694" s="319" t="s">
        <v>429</v>
      </c>
      <c r="ED694" s="319" t="s">
        <v>190</v>
      </c>
      <c r="EE694" s="319" t="s">
        <v>190</v>
      </c>
      <c r="EF694" s="319" t="s">
        <v>190</v>
      </c>
      <c r="EG694" s="319" t="s">
        <v>190</v>
      </c>
      <c r="EH694" s="319" t="s">
        <v>190</v>
      </c>
      <c r="EI694" s="319" t="s">
        <v>190</v>
      </c>
      <c r="EJ694" s="319" t="s">
        <v>190</v>
      </c>
      <c r="EK694" s="319" t="s">
        <v>190</v>
      </c>
      <c r="EL694" s="319" t="s">
        <v>190</v>
      </c>
      <c r="EM694" s="319" t="s">
        <v>190</v>
      </c>
      <c r="EN694" s="319" t="s">
        <v>190</v>
      </c>
      <c r="EO694" s="319" t="s">
        <v>190</v>
      </c>
      <c r="EP694" s="319" t="s">
        <v>190</v>
      </c>
      <c r="EQ694" s="319" t="s">
        <v>190</v>
      </c>
      <c r="ER694" s="319" t="s">
        <v>190</v>
      </c>
      <c r="ES694" s="319" t="s">
        <v>190</v>
      </c>
      <c r="ET694" s="319" t="s">
        <v>190</v>
      </c>
      <c r="EU694" s="319" t="s">
        <v>190</v>
      </c>
      <c r="EV694" s="319" t="s">
        <v>190</v>
      </c>
      <c r="EW694" s="319" t="s">
        <v>190</v>
      </c>
      <c r="EX694" s="319" t="s">
        <v>190</v>
      </c>
      <c r="EY694" s="319" t="s">
        <v>190</v>
      </c>
      <c r="EZ694" s="319" t="s">
        <v>190</v>
      </c>
      <c r="FA694" s="319" t="s">
        <v>429</v>
      </c>
      <c r="FB694" s="319" t="s">
        <v>190</v>
      </c>
      <c r="FC694" s="319" t="s">
        <v>190</v>
      </c>
      <c r="FD694" s="319" t="s">
        <v>190</v>
      </c>
      <c r="FE694" s="319" t="s">
        <v>190</v>
      </c>
      <c r="FF694" s="319" t="s">
        <v>190</v>
      </c>
      <c r="FG694" s="319" t="s">
        <v>190</v>
      </c>
      <c r="FH694" s="319" t="s">
        <v>190</v>
      </c>
      <c r="FI694" s="319" t="s">
        <v>429</v>
      </c>
      <c r="FJ694" s="319" t="s">
        <v>429</v>
      </c>
      <c r="FK694" s="319" t="s">
        <v>429</v>
      </c>
      <c r="FL694" s="319" t="s">
        <v>190</v>
      </c>
      <c r="FM694" s="319" t="s">
        <v>190</v>
      </c>
      <c r="FN694" s="319" t="s">
        <v>190</v>
      </c>
      <c r="FO694" s="319" t="s">
        <v>190</v>
      </c>
      <c r="FP694" s="319" t="s">
        <v>190</v>
      </c>
      <c r="FQ694" s="319" t="s">
        <v>190</v>
      </c>
      <c r="FR694" s="319" t="s">
        <v>190</v>
      </c>
      <c r="FS694" s="319" t="s">
        <v>429</v>
      </c>
      <c r="FT694" s="319" t="s">
        <v>190</v>
      </c>
      <c r="FU694" s="319" t="s">
        <v>190</v>
      </c>
      <c r="FV694" s="319" t="s">
        <v>190</v>
      </c>
      <c r="FW694" s="319" t="s">
        <v>190</v>
      </c>
      <c r="FX694" s="319" t="s">
        <v>190</v>
      </c>
      <c r="FY694" s="319" t="s">
        <v>190</v>
      </c>
      <c r="FZ694" s="319" t="s">
        <v>190</v>
      </c>
      <c r="GA694" s="319" t="s">
        <v>190</v>
      </c>
      <c r="GB694" s="319" t="s">
        <v>190</v>
      </c>
      <c r="GC694" s="319" t="s">
        <v>190</v>
      </c>
      <c r="GD694" s="319" t="s">
        <v>190</v>
      </c>
      <c r="GE694" s="319" t="s">
        <v>190</v>
      </c>
      <c r="GF694" s="319" t="s">
        <v>190</v>
      </c>
      <c r="GG694" s="319" t="s">
        <v>190</v>
      </c>
      <c r="GH694" s="319" t="s">
        <v>190</v>
      </c>
      <c r="GI694" s="319" t="s">
        <v>190</v>
      </c>
      <c r="GJ694" s="319" t="s">
        <v>190</v>
      </c>
      <c r="GK694" s="319" t="s">
        <v>429</v>
      </c>
      <c r="GL694" s="319" t="s">
        <v>190</v>
      </c>
      <c r="GM694" s="319" t="s">
        <v>190</v>
      </c>
      <c r="GN694" s="319" t="s">
        <v>190</v>
      </c>
      <c r="GO694" s="319" t="s">
        <v>190</v>
      </c>
      <c r="GP694" s="319" t="s">
        <v>190</v>
      </c>
      <c r="GQ694" s="319" t="s">
        <v>429</v>
      </c>
      <c r="GR694" s="319" t="s">
        <v>190</v>
      </c>
      <c r="GS694" s="319" t="s">
        <v>190</v>
      </c>
      <c r="GT694" s="319" t="s">
        <v>190</v>
      </c>
      <c r="GU694" s="319" t="s">
        <v>190</v>
      </c>
      <c r="GV694" s="319" t="s">
        <v>190</v>
      </c>
      <c r="GW694" s="319" t="s">
        <v>190</v>
      </c>
      <c r="GX694" s="319" t="s">
        <v>190</v>
      </c>
      <c r="GY694" s="319" t="s">
        <v>190</v>
      </c>
      <c r="GZ694" s="319" t="s">
        <v>429</v>
      </c>
      <c r="HA694" s="319" t="s">
        <v>190</v>
      </c>
      <c r="HB694" s="319" t="s">
        <v>429</v>
      </c>
      <c r="HC694" s="319" t="s">
        <v>190</v>
      </c>
      <c r="HD694" s="319" t="s">
        <v>190</v>
      </c>
      <c r="HE694" s="319" t="s">
        <v>190</v>
      </c>
      <c r="HF694" s="319" t="s">
        <v>190</v>
      </c>
      <c r="HG694" s="319" t="s">
        <v>190</v>
      </c>
      <c r="HH694" s="319" t="s">
        <v>190</v>
      </c>
      <c r="HI694" s="319" t="s">
        <v>190</v>
      </c>
      <c r="HJ694" s="319" t="s">
        <v>190</v>
      </c>
      <c r="HK694" s="319" t="s">
        <v>190</v>
      </c>
      <c r="HL694" s="319" t="s">
        <v>429</v>
      </c>
      <c r="HM694" s="319" t="s">
        <v>429</v>
      </c>
      <c r="HN694" s="319" t="s">
        <v>429</v>
      </c>
      <c r="HO694" s="319" t="s">
        <v>429</v>
      </c>
      <c r="HP694" s="319" t="s">
        <v>190</v>
      </c>
      <c r="HQ694" s="319" t="s">
        <v>190</v>
      </c>
      <c r="HR694" s="319" t="s">
        <v>190</v>
      </c>
      <c r="HS694" s="319" t="s">
        <v>190</v>
      </c>
      <c r="HT694" s="319" t="s">
        <v>190</v>
      </c>
      <c r="HU694" s="319" t="s">
        <v>190</v>
      </c>
      <c r="HV694" s="319" t="s">
        <v>190</v>
      </c>
      <c r="HW694" s="319" t="s">
        <v>190</v>
      </c>
      <c r="HX694" s="319" t="s">
        <v>190</v>
      </c>
      <c r="HY694" s="319" t="s">
        <v>190</v>
      </c>
      <c r="HZ694" s="319" t="s">
        <v>190</v>
      </c>
      <c r="IA694" s="319" t="s">
        <v>190</v>
      </c>
      <c r="IB694" s="319" t="s">
        <v>190</v>
      </c>
      <c r="IC694" s="319" t="s">
        <v>190</v>
      </c>
      <c r="ID694" s="319" t="s">
        <v>190</v>
      </c>
      <c r="IE694" s="319" t="s">
        <v>190</v>
      </c>
      <c r="IF694" s="319" t="s">
        <v>190</v>
      </c>
      <c r="IG694" s="319" t="s">
        <v>190</v>
      </c>
      <c r="IH694" s="319" t="s">
        <v>190</v>
      </c>
      <c r="II694" s="319" t="s">
        <v>190</v>
      </c>
      <c r="IJ694" s="319" t="s">
        <v>3433</v>
      </c>
      <c r="IK694" s="321">
        <v>41436</v>
      </c>
      <c r="IL694" s="321">
        <v>41437</v>
      </c>
      <c r="IM694" s="321">
        <v>41457</v>
      </c>
      <c r="IN694" s="319">
        <v>2</v>
      </c>
      <c r="IO694" s="319" t="s">
        <v>173</v>
      </c>
      <c r="IP694" s="319" t="s">
        <v>173</v>
      </c>
      <c r="IQ694" s="321" t="s">
        <v>173</v>
      </c>
      <c r="IR694" s="320" t="s">
        <v>173</v>
      </c>
      <c r="IS694" s="322" t="s">
        <v>173</v>
      </c>
      <c r="IT694" s="319" t="s">
        <v>173</v>
      </c>
    </row>
    <row r="695" spans="1:254" s="271" customFormat="1" x14ac:dyDescent="0.25">
      <c r="A695" s="318" t="str">
        <f>HYPERLINK("http://www.ofsted.gov.uk/inspection-reports/find-inspection-report/provider/ELS/138384 ","Ofsted School Webpage")</f>
        <v>Ofsted School Webpage</v>
      </c>
      <c r="B695" s="319">
        <v>138384</v>
      </c>
      <c r="C695" s="319">
        <v>3056009</v>
      </c>
      <c r="D695" s="319" t="s">
        <v>2161</v>
      </c>
      <c r="E695" s="319" t="s">
        <v>167</v>
      </c>
      <c r="F695" s="319" t="s">
        <v>81</v>
      </c>
      <c r="G695" s="319" t="s">
        <v>81</v>
      </c>
      <c r="H695" s="319" t="s">
        <v>81</v>
      </c>
      <c r="I695" s="319" t="s">
        <v>78</v>
      </c>
      <c r="J695" s="319" t="s">
        <v>424</v>
      </c>
      <c r="K695" s="319" t="s">
        <v>441</v>
      </c>
      <c r="L695" s="319" t="s">
        <v>441</v>
      </c>
      <c r="M695" s="319" t="s">
        <v>600</v>
      </c>
      <c r="N695" s="319" t="s">
        <v>3434</v>
      </c>
      <c r="O695" s="319" t="s">
        <v>2162</v>
      </c>
      <c r="P695" s="319">
        <v>231</v>
      </c>
      <c r="Q695" s="319" t="s">
        <v>2776</v>
      </c>
      <c r="R695" s="320">
        <v>10020778</v>
      </c>
      <c r="S695" s="321">
        <v>43123</v>
      </c>
      <c r="T695" s="321">
        <v>43125</v>
      </c>
      <c r="U695" s="321">
        <v>43159</v>
      </c>
      <c r="V695" s="319" t="s">
        <v>425</v>
      </c>
      <c r="W695" s="319" t="s">
        <v>2767</v>
      </c>
      <c r="X695" s="319">
        <v>2</v>
      </c>
      <c r="Y695" s="319" t="s">
        <v>173</v>
      </c>
      <c r="Z695" s="319" t="s">
        <v>173</v>
      </c>
      <c r="AA695" s="319" t="s">
        <v>173</v>
      </c>
      <c r="AB695" s="319">
        <v>2</v>
      </c>
      <c r="AC695" s="319" t="s">
        <v>169</v>
      </c>
      <c r="AD695" s="319" t="s">
        <v>173</v>
      </c>
      <c r="AE695" s="319" t="s">
        <v>173</v>
      </c>
      <c r="AF695" s="319" t="s">
        <v>427</v>
      </c>
      <c r="AG695" s="319" t="s">
        <v>171</v>
      </c>
      <c r="AH695" s="319" t="s">
        <v>190</v>
      </c>
      <c r="AI695" s="319" t="s">
        <v>190</v>
      </c>
      <c r="AJ695" s="319" t="s">
        <v>190</v>
      </c>
      <c r="AK695" s="319" t="s">
        <v>190</v>
      </c>
      <c r="AL695" s="319" t="s">
        <v>190</v>
      </c>
      <c r="AM695" s="319" t="s">
        <v>190</v>
      </c>
      <c r="AN695" s="319" t="s">
        <v>190</v>
      </c>
      <c r="AO695" s="319" t="s">
        <v>190</v>
      </c>
      <c r="AP695" s="319" t="s">
        <v>190</v>
      </c>
      <c r="AQ695" s="319" t="s">
        <v>190</v>
      </c>
      <c r="AR695" s="319" t="s">
        <v>190</v>
      </c>
      <c r="AS695" s="319" t="s">
        <v>190</v>
      </c>
      <c r="AT695" s="319" t="s">
        <v>190</v>
      </c>
      <c r="AU695" s="319" t="s">
        <v>190</v>
      </c>
      <c r="AV695" s="319" t="s">
        <v>190</v>
      </c>
      <c r="AW695" s="319" t="s">
        <v>190</v>
      </c>
      <c r="AX695" s="319" t="s">
        <v>428</v>
      </c>
      <c r="AY695" s="319" t="s">
        <v>190</v>
      </c>
      <c r="AZ695" s="319" t="s">
        <v>190</v>
      </c>
      <c r="BA695" s="319" t="s">
        <v>190</v>
      </c>
      <c r="BB695" s="319" t="s">
        <v>190</v>
      </c>
      <c r="BC695" s="319" t="s">
        <v>190</v>
      </c>
      <c r="BD695" s="319" t="s">
        <v>190</v>
      </c>
      <c r="BE695" s="319" t="s">
        <v>190</v>
      </c>
      <c r="BF695" s="319" t="s">
        <v>428</v>
      </c>
      <c r="BG695" s="319" t="s">
        <v>190</v>
      </c>
      <c r="BH695" s="319" t="s">
        <v>190</v>
      </c>
      <c r="BI695" s="319" t="s">
        <v>190</v>
      </c>
      <c r="BJ695" s="319" t="s">
        <v>190</v>
      </c>
      <c r="BK695" s="319" t="s">
        <v>190</v>
      </c>
      <c r="BL695" s="319" t="s">
        <v>190</v>
      </c>
      <c r="BM695" s="319" t="s">
        <v>190</v>
      </c>
      <c r="BN695" s="319" t="s">
        <v>190</v>
      </c>
      <c r="BO695" s="319" t="s">
        <v>190</v>
      </c>
      <c r="BP695" s="319" t="s">
        <v>190</v>
      </c>
      <c r="BQ695" s="319" t="s">
        <v>190</v>
      </c>
      <c r="BR695" s="319" t="s">
        <v>190</v>
      </c>
      <c r="BS695" s="319" t="s">
        <v>190</v>
      </c>
      <c r="BT695" s="319" t="s">
        <v>190</v>
      </c>
      <c r="BU695" s="319" t="s">
        <v>190</v>
      </c>
      <c r="BV695" s="319" t="s">
        <v>190</v>
      </c>
      <c r="BW695" s="319" t="s">
        <v>190</v>
      </c>
      <c r="BX695" s="319" t="s">
        <v>190</v>
      </c>
      <c r="BY695" s="319" t="s">
        <v>190</v>
      </c>
      <c r="BZ695" s="319" t="s">
        <v>190</v>
      </c>
      <c r="CA695" s="319" t="s">
        <v>190</v>
      </c>
      <c r="CB695" s="319" t="s">
        <v>190</v>
      </c>
      <c r="CC695" s="319" t="s">
        <v>190</v>
      </c>
      <c r="CD695" s="319" t="s">
        <v>190</v>
      </c>
      <c r="CE695" s="319" t="s">
        <v>190</v>
      </c>
      <c r="CF695" s="319" t="s">
        <v>190</v>
      </c>
      <c r="CG695" s="319" t="s">
        <v>190</v>
      </c>
      <c r="CH695" s="319" t="s">
        <v>190</v>
      </c>
      <c r="CI695" s="319" t="s">
        <v>190</v>
      </c>
      <c r="CJ695" s="319" t="s">
        <v>190</v>
      </c>
      <c r="CK695" s="319" t="s">
        <v>190</v>
      </c>
      <c r="CL695" s="319" t="s">
        <v>190</v>
      </c>
      <c r="CM695" s="319" t="s">
        <v>190</v>
      </c>
      <c r="CN695" s="319" t="s">
        <v>190</v>
      </c>
      <c r="CO695" s="319" t="s">
        <v>428</v>
      </c>
      <c r="CP695" s="319" t="s">
        <v>428</v>
      </c>
      <c r="CQ695" s="319" t="s">
        <v>190</v>
      </c>
      <c r="CR695" s="319" t="s">
        <v>190</v>
      </c>
      <c r="CS695" s="319" t="s">
        <v>190</v>
      </c>
      <c r="CT695" s="319" t="s">
        <v>190</v>
      </c>
      <c r="CU695" s="319" t="s">
        <v>190</v>
      </c>
      <c r="CV695" s="319" t="s">
        <v>190</v>
      </c>
      <c r="CW695" s="319" t="s">
        <v>190</v>
      </c>
      <c r="CX695" s="319" t="s">
        <v>190</v>
      </c>
      <c r="CY695" s="319" t="s">
        <v>190</v>
      </c>
      <c r="CZ695" s="319" t="s">
        <v>190</v>
      </c>
      <c r="DA695" s="319" t="s">
        <v>190</v>
      </c>
      <c r="DB695" s="319" t="s">
        <v>190</v>
      </c>
      <c r="DC695" s="319" t="s">
        <v>190</v>
      </c>
      <c r="DD695" s="319" t="s">
        <v>190</v>
      </c>
      <c r="DE695" s="319" t="s">
        <v>190</v>
      </c>
      <c r="DF695" s="319" t="s">
        <v>190</v>
      </c>
      <c r="DG695" s="319" t="s">
        <v>190</v>
      </c>
      <c r="DH695" s="319" t="s">
        <v>190</v>
      </c>
      <c r="DI695" s="319" t="s">
        <v>190</v>
      </c>
      <c r="DJ695" s="319" t="s">
        <v>190</v>
      </c>
      <c r="DK695" s="319" t="s">
        <v>190</v>
      </c>
      <c r="DL695" s="319" t="s">
        <v>190</v>
      </c>
      <c r="DM695" s="319" t="s">
        <v>190</v>
      </c>
      <c r="DN695" s="319" t="s">
        <v>190</v>
      </c>
      <c r="DO695" s="319" t="s">
        <v>190</v>
      </c>
      <c r="DP695" s="319" t="s">
        <v>190</v>
      </c>
      <c r="DQ695" s="319" t="s">
        <v>190</v>
      </c>
      <c r="DR695" s="319" t="s">
        <v>190</v>
      </c>
      <c r="DS695" s="319" t="s">
        <v>190</v>
      </c>
      <c r="DT695" s="319" t="s">
        <v>190</v>
      </c>
      <c r="DU695" s="319" t="s">
        <v>190</v>
      </c>
      <c r="DV695" s="319" t="s">
        <v>173</v>
      </c>
      <c r="DW695" s="319" t="s">
        <v>190</v>
      </c>
      <c r="DX695" s="319" t="s">
        <v>190</v>
      </c>
      <c r="DY695" s="319" t="s">
        <v>190</v>
      </c>
      <c r="DZ695" s="319" t="s">
        <v>190</v>
      </c>
      <c r="EA695" s="319" t="s">
        <v>190</v>
      </c>
      <c r="EB695" s="319" t="s">
        <v>190</v>
      </c>
      <c r="EC695" s="319" t="s">
        <v>428</v>
      </c>
      <c r="ED695" s="319" t="s">
        <v>190</v>
      </c>
      <c r="EE695" s="319" t="s">
        <v>190</v>
      </c>
      <c r="EF695" s="319" t="s">
        <v>190</v>
      </c>
      <c r="EG695" s="319" t="s">
        <v>190</v>
      </c>
      <c r="EH695" s="319" t="s">
        <v>190</v>
      </c>
      <c r="EI695" s="319" t="s">
        <v>190</v>
      </c>
      <c r="EJ695" s="319" t="s">
        <v>190</v>
      </c>
      <c r="EK695" s="319" t="s">
        <v>190</v>
      </c>
      <c r="EL695" s="319" t="s">
        <v>190</v>
      </c>
      <c r="EM695" s="319" t="s">
        <v>190</v>
      </c>
      <c r="EN695" s="319" t="s">
        <v>190</v>
      </c>
      <c r="EO695" s="319" t="s">
        <v>190</v>
      </c>
      <c r="EP695" s="319" t="s">
        <v>190</v>
      </c>
      <c r="EQ695" s="319" t="s">
        <v>190</v>
      </c>
      <c r="ER695" s="319" t="s">
        <v>190</v>
      </c>
      <c r="ES695" s="319" t="s">
        <v>190</v>
      </c>
      <c r="ET695" s="319" t="s">
        <v>190</v>
      </c>
      <c r="EU695" s="319" t="s">
        <v>190</v>
      </c>
      <c r="EV695" s="319" t="s">
        <v>190</v>
      </c>
      <c r="EW695" s="319" t="s">
        <v>190</v>
      </c>
      <c r="EX695" s="319" t="s">
        <v>190</v>
      </c>
      <c r="EY695" s="319" t="s">
        <v>190</v>
      </c>
      <c r="EZ695" s="319" t="s">
        <v>190</v>
      </c>
      <c r="FA695" s="319" t="s">
        <v>190</v>
      </c>
      <c r="FB695" s="319" t="s">
        <v>190</v>
      </c>
      <c r="FC695" s="319" t="s">
        <v>190</v>
      </c>
      <c r="FD695" s="319" t="s">
        <v>190</v>
      </c>
      <c r="FE695" s="319" t="s">
        <v>190</v>
      </c>
      <c r="FF695" s="319" t="s">
        <v>190</v>
      </c>
      <c r="FG695" s="319" t="s">
        <v>190</v>
      </c>
      <c r="FH695" s="319" t="s">
        <v>190</v>
      </c>
      <c r="FI695" s="319" t="s">
        <v>428</v>
      </c>
      <c r="FJ695" s="319" t="s">
        <v>429</v>
      </c>
      <c r="FK695" s="319" t="s">
        <v>428</v>
      </c>
      <c r="FL695" s="319" t="s">
        <v>190</v>
      </c>
      <c r="FM695" s="319" t="s">
        <v>190</v>
      </c>
      <c r="FN695" s="319" t="s">
        <v>190</v>
      </c>
      <c r="FO695" s="319" t="s">
        <v>190</v>
      </c>
      <c r="FP695" s="319" t="s">
        <v>190</v>
      </c>
      <c r="FQ695" s="319" t="s">
        <v>190</v>
      </c>
      <c r="FR695" s="319" t="s">
        <v>190</v>
      </c>
      <c r="FS695" s="319" t="s">
        <v>428</v>
      </c>
      <c r="FT695" s="319" t="s">
        <v>190</v>
      </c>
      <c r="FU695" s="319" t="s">
        <v>190</v>
      </c>
      <c r="FV695" s="319" t="s">
        <v>190</v>
      </c>
      <c r="FW695" s="319" t="s">
        <v>190</v>
      </c>
      <c r="FX695" s="319" t="s">
        <v>190</v>
      </c>
      <c r="FY695" s="319" t="s">
        <v>190</v>
      </c>
      <c r="FZ695" s="319" t="s">
        <v>190</v>
      </c>
      <c r="GA695" s="319" t="s">
        <v>190</v>
      </c>
      <c r="GB695" s="319" t="s">
        <v>190</v>
      </c>
      <c r="GC695" s="319" t="s">
        <v>190</v>
      </c>
      <c r="GD695" s="319" t="s">
        <v>190</v>
      </c>
      <c r="GE695" s="319" t="s">
        <v>190</v>
      </c>
      <c r="GF695" s="319" t="s">
        <v>190</v>
      </c>
      <c r="GG695" s="319" t="s">
        <v>190</v>
      </c>
      <c r="GH695" s="319" t="s">
        <v>190</v>
      </c>
      <c r="GI695" s="319" t="s">
        <v>190</v>
      </c>
      <c r="GJ695" s="319" t="s">
        <v>190</v>
      </c>
      <c r="GK695" s="319" t="s">
        <v>428</v>
      </c>
      <c r="GL695" s="319" t="s">
        <v>190</v>
      </c>
      <c r="GM695" s="319" t="s">
        <v>190</v>
      </c>
      <c r="GN695" s="319" t="s">
        <v>190</v>
      </c>
      <c r="GO695" s="319" t="s">
        <v>190</v>
      </c>
      <c r="GP695" s="319" t="s">
        <v>190</v>
      </c>
      <c r="GQ695" s="319" t="s">
        <v>190</v>
      </c>
      <c r="GR695" s="319" t="s">
        <v>190</v>
      </c>
      <c r="GS695" s="319" t="s">
        <v>190</v>
      </c>
      <c r="GT695" s="319" t="s">
        <v>428</v>
      </c>
      <c r="GU695" s="319" t="s">
        <v>428</v>
      </c>
      <c r="GV695" s="319" t="s">
        <v>190</v>
      </c>
      <c r="GW695" s="319" t="s">
        <v>190</v>
      </c>
      <c r="GX695" s="319" t="s">
        <v>190</v>
      </c>
      <c r="GY695" s="319" t="s">
        <v>190</v>
      </c>
      <c r="GZ695" s="319" t="s">
        <v>428</v>
      </c>
      <c r="HA695" s="319" t="s">
        <v>190</v>
      </c>
      <c r="HB695" s="319" t="s">
        <v>428</v>
      </c>
      <c r="HC695" s="319" t="s">
        <v>190</v>
      </c>
      <c r="HD695" s="319" t="s">
        <v>190</v>
      </c>
      <c r="HE695" s="319" t="s">
        <v>190</v>
      </c>
      <c r="HF695" s="319" t="s">
        <v>190</v>
      </c>
      <c r="HG695" s="319" t="s">
        <v>190</v>
      </c>
      <c r="HH695" s="319" t="s">
        <v>190</v>
      </c>
      <c r="HI695" s="319" t="s">
        <v>190</v>
      </c>
      <c r="HJ695" s="319" t="s">
        <v>190</v>
      </c>
      <c r="HK695" s="319" t="s">
        <v>190</v>
      </c>
      <c r="HL695" s="319" t="s">
        <v>190</v>
      </c>
      <c r="HM695" s="319" t="s">
        <v>428</v>
      </c>
      <c r="HN695" s="319" t="s">
        <v>428</v>
      </c>
      <c r="HO695" s="319" t="s">
        <v>428</v>
      </c>
      <c r="HP695" s="319" t="s">
        <v>190</v>
      </c>
      <c r="HQ695" s="319" t="s">
        <v>190</v>
      </c>
      <c r="HR695" s="319" t="s">
        <v>190</v>
      </c>
      <c r="HS695" s="319" t="s">
        <v>190</v>
      </c>
      <c r="HT695" s="319" t="s">
        <v>190</v>
      </c>
      <c r="HU695" s="319" t="s">
        <v>190</v>
      </c>
      <c r="HV695" s="319" t="s">
        <v>190</v>
      </c>
      <c r="HW695" s="319" t="s">
        <v>190</v>
      </c>
      <c r="HX695" s="319" t="s">
        <v>190</v>
      </c>
      <c r="HY695" s="319" t="s">
        <v>190</v>
      </c>
      <c r="HZ695" s="319" t="s">
        <v>190</v>
      </c>
      <c r="IA695" s="319" t="s">
        <v>190</v>
      </c>
      <c r="IB695" s="319" t="s">
        <v>190</v>
      </c>
      <c r="IC695" s="319" t="s">
        <v>190</v>
      </c>
      <c r="ID695" s="319" t="s">
        <v>190</v>
      </c>
      <c r="IE695" s="319" t="s">
        <v>190</v>
      </c>
      <c r="IF695" s="319" t="s">
        <v>190</v>
      </c>
      <c r="IG695" s="319" t="s">
        <v>190</v>
      </c>
      <c r="IH695" s="319" t="s">
        <v>190</v>
      </c>
      <c r="II695" s="319" t="s">
        <v>190</v>
      </c>
      <c r="IJ695" s="319" t="s">
        <v>3435</v>
      </c>
      <c r="IK695" s="321">
        <v>41583</v>
      </c>
      <c r="IL695" s="321">
        <v>41585</v>
      </c>
      <c r="IM695" s="321">
        <v>41605</v>
      </c>
      <c r="IN695" s="319">
        <v>2</v>
      </c>
      <c r="IO695" s="319" t="s">
        <v>173</v>
      </c>
      <c r="IP695" s="319" t="s">
        <v>173</v>
      </c>
      <c r="IQ695" s="319" t="s">
        <v>173</v>
      </c>
      <c r="IR695" s="320" t="s">
        <v>173</v>
      </c>
      <c r="IS695" s="320" t="s">
        <v>173</v>
      </c>
      <c r="IT695" s="319" t="s">
        <v>173</v>
      </c>
    </row>
    <row r="696" spans="1:254" s="271" customFormat="1" x14ac:dyDescent="0.25">
      <c r="A696" s="318" t="str">
        <f>HYPERLINK("http://www.ofsted.gov.uk/inspection-reports/find-inspection-report/provider/ELS/138386 ","Ofsted School Webpage")</f>
        <v>Ofsted School Webpage</v>
      </c>
      <c r="B696" s="319">
        <v>138386</v>
      </c>
      <c r="C696" s="319">
        <v>3036000</v>
      </c>
      <c r="D696" s="319" t="s">
        <v>2163</v>
      </c>
      <c r="E696" s="319" t="s">
        <v>168</v>
      </c>
      <c r="F696" s="319" t="s">
        <v>81</v>
      </c>
      <c r="G696" s="319" t="s">
        <v>81</v>
      </c>
      <c r="H696" s="319" t="s">
        <v>81</v>
      </c>
      <c r="I696" s="319" t="s">
        <v>78</v>
      </c>
      <c r="J696" s="319" t="s">
        <v>424</v>
      </c>
      <c r="K696" s="319" t="s">
        <v>441</v>
      </c>
      <c r="L696" s="319" t="s">
        <v>441</v>
      </c>
      <c r="M696" s="319" t="s">
        <v>1167</v>
      </c>
      <c r="N696" s="319" t="s">
        <v>3436</v>
      </c>
      <c r="O696" s="319" t="s">
        <v>2164</v>
      </c>
      <c r="P696" s="319">
        <v>28</v>
      </c>
      <c r="Q696" s="319" t="s">
        <v>429</v>
      </c>
      <c r="R696" s="320">
        <v>10067196</v>
      </c>
      <c r="S696" s="321">
        <v>43585</v>
      </c>
      <c r="T696" s="321">
        <v>43587</v>
      </c>
      <c r="U696" s="321">
        <v>43621</v>
      </c>
      <c r="V696" s="319" t="s">
        <v>425</v>
      </c>
      <c r="W696" s="319" t="s">
        <v>2767</v>
      </c>
      <c r="X696" s="319">
        <v>2</v>
      </c>
      <c r="Y696" s="319" t="s">
        <v>173</v>
      </c>
      <c r="Z696" s="319" t="s">
        <v>173</v>
      </c>
      <c r="AA696" s="319" t="s">
        <v>173</v>
      </c>
      <c r="AB696" s="319">
        <v>2</v>
      </c>
      <c r="AC696" s="319" t="s">
        <v>169</v>
      </c>
      <c r="AD696" s="319" t="s">
        <v>173</v>
      </c>
      <c r="AE696" s="319" t="s">
        <v>173</v>
      </c>
      <c r="AF696" s="319" t="s">
        <v>427</v>
      </c>
      <c r="AG696" s="319" t="s">
        <v>171</v>
      </c>
      <c r="AH696" s="319" t="s">
        <v>190</v>
      </c>
      <c r="AI696" s="319" t="s">
        <v>190</v>
      </c>
      <c r="AJ696" s="319" t="s">
        <v>190</v>
      </c>
      <c r="AK696" s="319" t="s">
        <v>190</v>
      </c>
      <c r="AL696" s="319" t="s">
        <v>190</v>
      </c>
      <c r="AM696" s="319" t="s">
        <v>190</v>
      </c>
      <c r="AN696" s="319" t="s">
        <v>190</v>
      </c>
      <c r="AO696" s="319" t="s">
        <v>190</v>
      </c>
      <c r="AP696" s="319" t="s">
        <v>190</v>
      </c>
      <c r="AQ696" s="319" t="s">
        <v>190</v>
      </c>
      <c r="AR696" s="319" t="s">
        <v>190</v>
      </c>
      <c r="AS696" s="319" t="s">
        <v>190</v>
      </c>
      <c r="AT696" s="319" t="s">
        <v>190</v>
      </c>
      <c r="AU696" s="319" t="s">
        <v>190</v>
      </c>
      <c r="AV696" s="319" t="s">
        <v>190</v>
      </c>
      <c r="AW696" s="319" t="s">
        <v>190</v>
      </c>
      <c r="AX696" s="319" t="s">
        <v>428</v>
      </c>
      <c r="AY696" s="319" t="s">
        <v>190</v>
      </c>
      <c r="AZ696" s="319" t="s">
        <v>190</v>
      </c>
      <c r="BA696" s="319" t="s">
        <v>190</v>
      </c>
      <c r="BB696" s="319" t="s">
        <v>190</v>
      </c>
      <c r="BC696" s="319" t="s">
        <v>190</v>
      </c>
      <c r="BD696" s="319" t="s">
        <v>190</v>
      </c>
      <c r="BE696" s="319" t="s">
        <v>190</v>
      </c>
      <c r="BF696" s="319" t="s">
        <v>428</v>
      </c>
      <c r="BG696" s="319" t="s">
        <v>190</v>
      </c>
      <c r="BH696" s="319" t="s">
        <v>190</v>
      </c>
      <c r="BI696" s="319" t="s">
        <v>190</v>
      </c>
      <c r="BJ696" s="319" t="s">
        <v>190</v>
      </c>
      <c r="BK696" s="319" t="s">
        <v>190</v>
      </c>
      <c r="BL696" s="319" t="s">
        <v>190</v>
      </c>
      <c r="BM696" s="319" t="s">
        <v>190</v>
      </c>
      <c r="BN696" s="319" t="s">
        <v>190</v>
      </c>
      <c r="BO696" s="319" t="s">
        <v>190</v>
      </c>
      <c r="BP696" s="319" t="s">
        <v>190</v>
      </c>
      <c r="BQ696" s="319" t="s">
        <v>190</v>
      </c>
      <c r="BR696" s="319" t="s">
        <v>190</v>
      </c>
      <c r="BS696" s="319" t="s">
        <v>190</v>
      </c>
      <c r="BT696" s="319" t="s">
        <v>190</v>
      </c>
      <c r="BU696" s="319" t="s">
        <v>190</v>
      </c>
      <c r="BV696" s="319" t="s">
        <v>190</v>
      </c>
      <c r="BW696" s="319" t="s">
        <v>190</v>
      </c>
      <c r="BX696" s="319" t="s">
        <v>190</v>
      </c>
      <c r="BY696" s="319" t="s">
        <v>190</v>
      </c>
      <c r="BZ696" s="319" t="s">
        <v>190</v>
      </c>
      <c r="CA696" s="319" t="s">
        <v>190</v>
      </c>
      <c r="CB696" s="319" t="s">
        <v>190</v>
      </c>
      <c r="CC696" s="319" t="s">
        <v>190</v>
      </c>
      <c r="CD696" s="319" t="s">
        <v>190</v>
      </c>
      <c r="CE696" s="319" t="s">
        <v>190</v>
      </c>
      <c r="CF696" s="319" t="s">
        <v>190</v>
      </c>
      <c r="CG696" s="319" t="s">
        <v>190</v>
      </c>
      <c r="CH696" s="319" t="s">
        <v>190</v>
      </c>
      <c r="CI696" s="319" t="s">
        <v>190</v>
      </c>
      <c r="CJ696" s="319" t="s">
        <v>190</v>
      </c>
      <c r="CK696" s="319" t="s">
        <v>190</v>
      </c>
      <c r="CL696" s="319" t="s">
        <v>190</v>
      </c>
      <c r="CM696" s="319" t="s">
        <v>190</v>
      </c>
      <c r="CN696" s="319" t="s">
        <v>428</v>
      </c>
      <c r="CO696" s="319" t="s">
        <v>428</v>
      </c>
      <c r="CP696" s="319" t="s">
        <v>428</v>
      </c>
      <c r="CQ696" s="319" t="s">
        <v>190</v>
      </c>
      <c r="CR696" s="319" t="s">
        <v>190</v>
      </c>
      <c r="CS696" s="319" t="s">
        <v>190</v>
      </c>
      <c r="CT696" s="319" t="s">
        <v>190</v>
      </c>
      <c r="CU696" s="319" t="s">
        <v>190</v>
      </c>
      <c r="CV696" s="319" t="s">
        <v>190</v>
      </c>
      <c r="CW696" s="319" t="s">
        <v>190</v>
      </c>
      <c r="CX696" s="319" t="s">
        <v>190</v>
      </c>
      <c r="CY696" s="319" t="s">
        <v>190</v>
      </c>
      <c r="CZ696" s="319" t="s">
        <v>190</v>
      </c>
      <c r="DA696" s="319" t="s">
        <v>190</v>
      </c>
      <c r="DB696" s="319" t="s">
        <v>190</v>
      </c>
      <c r="DC696" s="319" t="s">
        <v>190</v>
      </c>
      <c r="DD696" s="319" t="s">
        <v>190</v>
      </c>
      <c r="DE696" s="319" t="s">
        <v>190</v>
      </c>
      <c r="DF696" s="319" t="s">
        <v>190</v>
      </c>
      <c r="DG696" s="319" t="s">
        <v>190</v>
      </c>
      <c r="DH696" s="319" t="s">
        <v>190</v>
      </c>
      <c r="DI696" s="319" t="s">
        <v>190</v>
      </c>
      <c r="DJ696" s="319" t="s">
        <v>190</v>
      </c>
      <c r="DK696" s="319" t="s">
        <v>190</v>
      </c>
      <c r="DL696" s="319" t="s">
        <v>190</v>
      </c>
      <c r="DM696" s="319" t="s">
        <v>190</v>
      </c>
      <c r="DN696" s="319" t="s">
        <v>428</v>
      </c>
      <c r="DO696" s="319" t="s">
        <v>190</v>
      </c>
      <c r="DP696" s="319" t="s">
        <v>190</v>
      </c>
      <c r="DQ696" s="319" t="s">
        <v>190</v>
      </c>
      <c r="DR696" s="319" t="s">
        <v>190</v>
      </c>
      <c r="DS696" s="319" t="s">
        <v>190</v>
      </c>
      <c r="DT696" s="319" t="s">
        <v>190</v>
      </c>
      <c r="DU696" s="319" t="s">
        <v>190</v>
      </c>
      <c r="DV696" s="319" t="s">
        <v>173</v>
      </c>
      <c r="DW696" s="319" t="s">
        <v>190</v>
      </c>
      <c r="DX696" s="319" t="s">
        <v>190</v>
      </c>
      <c r="DY696" s="319" t="s">
        <v>190</v>
      </c>
      <c r="DZ696" s="319" t="s">
        <v>190</v>
      </c>
      <c r="EA696" s="319" t="s">
        <v>190</v>
      </c>
      <c r="EB696" s="319" t="s">
        <v>190</v>
      </c>
      <c r="EC696" s="319" t="s">
        <v>428</v>
      </c>
      <c r="ED696" s="319" t="s">
        <v>190</v>
      </c>
      <c r="EE696" s="319" t="s">
        <v>190</v>
      </c>
      <c r="EF696" s="319" t="s">
        <v>190</v>
      </c>
      <c r="EG696" s="319" t="s">
        <v>190</v>
      </c>
      <c r="EH696" s="319" t="s">
        <v>190</v>
      </c>
      <c r="EI696" s="319" t="s">
        <v>190</v>
      </c>
      <c r="EJ696" s="319" t="s">
        <v>190</v>
      </c>
      <c r="EK696" s="319" t="s">
        <v>190</v>
      </c>
      <c r="EL696" s="319" t="s">
        <v>190</v>
      </c>
      <c r="EM696" s="319" t="s">
        <v>190</v>
      </c>
      <c r="EN696" s="319" t="s">
        <v>190</v>
      </c>
      <c r="EO696" s="319" t="s">
        <v>190</v>
      </c>
      <c r="EP696" s="319" t="s">
        <v>190</v>
      </c>
      <c r="EQ696" s="319" t="s">
        <v>190</v>
      </c>
      <c r="ER696" s="319" t="s">
        <v>190</v>
      </c>
      <c r="ES696" s="319" t="s">
        <v>190</v>
      </c>
      <c r="ET696" s="319" t="s">
        <v>190</v>
      </c>
      <c r="EU696" s="319" t="s">
        <v>190</v>
      </c>
      <c r="EV696" s="319" t="s">
        <v>190</v>
      </c>
      <c r="EW696" s="319" t="s">
        <v>190</v>
      </c>
      <c r="EX696" s="319" t="s">
        <v>190</v>
      </c>
      <c r="EY696" s="319" t="s">
        <v>190</v>
      </c>
      <c r="EZ696" s="319" t="s">
        <v>190</v>
      </c>
      <c r="FA696" s="319" t="s">
        <v>190</v>
      </c>
      <c r="FB696" s="319" t="s">
        <v>190</v>
      </c>
      <c r="FC696" s="319" t="s">
        <v>190</v>
      </c>
      <c r="FD696" s="319" t="s">
        <v>190</v>
      </c>
      <c r="FE696" s="319" t="s">
        <v>190</v>
      </c>
      <c r="FF696" s="319" t="s">
        <v>190</v>
      </c>
      <c r="FG696" s="319" t="s">
        <v>190</v>
      </c>
      <c r="FH696" s="319" t="s">
        <v>190</v>
      </c>
      <c r="FI696" s="319" t="s">
        <v>190</v>
      </c>
      <c r="FJ696" s="319" t="s">
        <v>190</v>
      </c>
      <c r="FK696" s="319" t="s">
        <v>190</v>
      </c>
      <c r="FL696" s="319" t="s">
        <v>190</v>
      </c>
      <c r="FM696" s="319" t="s">
        <v>190</v>
      </c>
      <c r="FN696" s="319" t="s">
        <v>190</v>
      </c>
      <c r="FO696" s="319" t="s">
        <v>190</v>
      </c>
      <c r="FP696" s="319" t="s">
        <v>190</v>
      </c>
      <c r="FQ696" s="319" t="s">
        <v>190</v>
      </c>
      <c r="FR696" s="319" t="s">
        <v>190</v>
      </c>
      <c r="FS696" s="319" t="s">
        <v>428</v>
      </c>
      <c r="FT696" s="319" t="s">
        <v>190</v>
      </c>
      <c r="FU696" s="319" t="s">
        <v>190</v>
      </c>
      <c r="FV696" s="319" t="s">
        <v>190</v>
      </c>
      <c r="FW696" s="319" t="s">
        <v>190</v>
      </c>
      <c r="FX696" s="319" t="s">
        <v>190</v>
      </c>
      <c r="FY696" s="319" t="s">
        <v>190</v>
      </c>
      <c r="FZ696" s="319" t="s">
        <v>190</v>
      </c>
      <c r="GA696" s="319" t="s">
        <v>190</v>
      </c>
      <c r="GB696" s="319" t="s">
        <v>190</v>
      </c>
      <c r="GC696" s="319" t="s">
        <v>190</v>
      </c>
      <c r="GD696" s="319" t="s">
        <v>190</v>
      </c>
      <c r="GE696" s="319" t="s">
        <v>190</v>
      </c>
      <c r="GF696" s="319" t="s">
        <v>190</v>
      </c>
      <c r="GG696" s="319" t="s">
        <v>190</v>
      </c>
      <c r="GH696" s="319" t="s">
        <v>190</v>
      </c>
      <c r="GI696" s="319" t="s">
        <v>190</v>
      </c>
      <c r="GJ696" s="319" t="s">
        <v>190</v>
      </c>
      <c r="GK696" s="319" t="s">
        <v>428</v>
      </c>
      <c r="GL696" s="319" t="s">
        <v>190</v>
      </c>
      <c r="GM696" s="319" t="s">
        <v>190</v>
      </c>
      <c r="GN696" s="319" t="s">
        <v>190</v>
      </c>
      <c r="GO696" s="319" t="s">
        <v>190</v>
      </c>
      <c r="GP696" s="319" t="s">
        <v>190</v>
      </c>
      <c r="GQ696" s="319" t="s">
        <v>428</v>
      </c>
      <c r="GR696" s="319" t="s">
        <v>190</v>
      </c>
      <c r="GS696" s="319" t="s">
        <v>190</v>
      </c>
      <c r="GT696" s="319" t="s">
        <v>190</v>
      </c>
      <c r="GU696" s="319" t="s">
        <v>190</v>
      </c>
      <c r="GV696" s="319" t="s">
        <v>190</v>
      </c>
      <c r="GW696" s="319" t="s">
        <v>190</v>
      </c>
      <c r="GX696" s="319" t="s">
        <v>190</v>
      </c>
      <c r="GY696" s="319" t="s">
        <v>190</v>
      </c>
      <c r="GZ696" s="319" t="s">
        <v>190</v>
      </c>
      <c r="HA696" s="319" t="s">
        <v>428</v>
      </c>
      <c r="HB696" s="319" t="s">
        <v>190</v>
      </c>
      <c r="HC696" s="319" t="s">
        <v>190</v>
      </c>
      <c r="HD696" s="319" t="s">
        <v>190</v>
      </c>
      <c r="HE696" s="319" t="s">
        <v>190</v>
      </c>
      <c r="HF696" s="319" t="s">
        <v>190</v>
      </c>
      <c r="HG696" s="319" t="s">
        <v>190</v>
      </c>
      <c r="HH696" s="319" t="s">
        <v>190</v>
      </c>
      <c r="HI696" s="319" t="s">
        <v>190</v>
      </c>
      <c r="HJ696" s="319" t="s">
        <v>190</v>
      </c>
      <c r="HK696" s="319" t="s">
        <v>190</v>
      </c>
      <c r="HL696" s="319" t="s">
        <v>428</v>
      </c>
      <c r="HM696" s="319" t="s">
        <v>428</v>
      </c>
      <c r="HN696" s="319" t="s">
        <v>428</v>
      </c>
      <c r="HO696" s="319" t="s">
        <v>428</v>
      </c>
      <c r="HP696" s="319" t="s">
        <v>190</v>
      </c>
      <c r="HQ696" s="319" t="s">
        <v>190</v>
      </c>
      <c r="HR696" s="319" t="s">
        <v>190</v>
      </c>
      <c r="HS696" s="319" t="s">
        <v>190</v>
      </c>
      <c r="HT696" s="319" t="s">
        <v>190</v>
      </c>
      <c r="HU696" s="319" t="s">
        <v>190</v>
      </c>
      <c r="HV696" s="319" t="s">
        <v>190</v>
      </c>
      <c r="HW696" s="319" t="s">
        <v>190</v>
      </c>
      <c r="HX696" s="319" t="s">
        <v>190</v>
      </c>
      <c r="HY696" s="319" t="s">
        <v>190</v>
      </c>
      <c r="HZ696" s="319" t="s">
        <v>190</v>
      </c>
      <c r="IA696" s="319" t="s">
        <v>190</v>
      </c>
      <c r="IB696" s="319" t="s">
        <v>190</v>
      </c>
      <c r="IC696" s="319" t="s">
        <v>190</v>
      </c>
      <c r="ID696" s="319" t="s">
        <v>190</v>
      </c>
      <c r="IE696" s="319" t="s">
        <v>190</v>
      </c>
      <c r="IF696" s="319" t="s">
        <v>190</v>
      </c>
      <c r="IG696" s="319" t="s">
        <v>190</v>
      </c>
      <c r="IH696" s="319" t="s">
        <v>190</v>
      </c>
      <c r="II696" s="319" t="s">
        <v>190</v>
      </c>
      <c r="IJ696" s="319">
        <v>10012787</v>
      </c>
      <c r="IK696" s="321">
        <v>42795</v>
      </c>
      <c r="IL696" s="321">
        <v>42797</v>
      </c>
      <c r="IM696" s="321">
        <v>42817</v>
      </c>
      <c r="IN696" s="319">
        <v>3</v>
      </c>
      <c r="IO696" s="319" t="s">
        <v>173</v>
      </c>
      <c r="IP696" s="319" t="s">
        <v>173</v>
      </c>
      <c r="IQ696" s="321" t="s">
        <v>173</v>
      </c>
      <c r="IR696" s="320" t="s">
        <v>173</v>
      </c>
      <c r="IS696" s="322" t="s">
        <v>173</v>
      </c>
      <c r="IT696" s="319" t="s">
        <v>173</v>
      </c>
    </row>
    <row r="697" spans="1:254" s="271" customFormat="1" x14ac:dyDescent="0.25">
      <c r="A697" s="318" t="str">
        <f>HYPERLINK("http://www.ofsted.gov.uk/inspection-reports/find-inspection-report/provider/ELS/138405 ","Ofsted School Webpage")</f>
        <v>Ofsted School Webpage</v>
      </c>
      <c r="B697" s="319">
        <v>138405</v>
      </c>
      <c r="C697" s="319">
        <v>8866138</v>
      </c>
      <c r="D697" s="319" t="s">
        <v>2165</v>
      </c>
      <c r="E697" s="319" t="s">
        <v>167</v>
      </c>
      <c r="F697" s="319" t="s">
        <v>81</v>
      </c>
      <c r="G697" s="319" t="s">
        <v>81</v>
      </c>
      <c r="H697" s="319" t="s">
        <v>81</v>
      </c>
      <c r="I697" s="319" t="s">
        <v>78</v>
      </c>
      <c r="J697" s="319" t="s">
        <v>424</v>
      </c>
      <c r="K697" s="319" t="s">
        <v>514</v>
      </c>
      <c r="L697" s="319" t="s">
        <v>514</v>
      </c>
      <c r="M697" s="319" t="s">
        <v>614</v>
      </c>
      <c r="N697" s="319" t="s">
        <v>3303</v>
      </c>
      <c r="O697" s="319" t="s">
        <v>2166</v>
      </c>
      <c r="P697" s="319">
        <v>109</v>
      </c>
      <c r="Q697" s="319" t="s">
        <v>2776</v>
      </c>
      <c r="R697" s="320">
        <v>10033679</v>
      </c>
      <c r="S697" s="321">
        <v>42871</v>
      </c>
      <c r="T697" s="321">
        <v>42873</v>
      </c>
      <c r="U697" s="321">
        <v>42913</v>
      </c>
      <c r="V697" s="319" t="s">
        <v>554</v>
      </c>
      <c r="W697" s="319" t="s">
        <v>2767</v>
      </c>
      <c r="X697" s="319">
        <v>1</v>
      </c>
      <c r="Y697" s="319" t="s">
        <v>173</v>
      </c>
      <c r="Z697" s="319" t="s">
        <v>173</v>
      </c>
      <c r="AA697" s="319" t="s">
        <v>173</v>
      </c>
      <c r="AB697" s="319">
        <v>1</v>
      </c>
      <c r="AC697" s="319" t="s">
        <v>169</v>
      </c>
      <c r="AD697" s="319" t="s">
        <v>173</v>
      </c>
      <c r="AE697" s="319">
        <v>1</v>
      </c>
      <c r="AF697" s="319" t="s">
        <v>173</v>
      </c>
      <c r="AG697" s="319" t="s">
        <v>171</v>
      </c>
      <c r="AH697" s="319" t="s">
        <v>190</v>
      </c>
      <c r="AI697" s="319" t="s">
        <v>190</v>
      </c>
      <c r="AJ697" s="319" t="s">
        <v>190</v>
      </c>
      <c r="AK697" s="319" t="s">
        <v>190</v>
      </c>
      <c r="AL697" s="319" t="s">
        <v>190</v>
      </c>
      <c r="AM697" s="319" t="s">
        <v>190</v>
      </c>
      <c r="AN697" s="319" t="s">
        <v>190</v>
      </c>
      <c r="AO697" s="319" t="s">
        <v>190</v>
      </c>
      <c r="AP697" s="319" t="s">
        <v>190</v>
      </c>
      <c r="AQ697" s="319" t="s">
        <v>190</v>
      </c>
      <c r="AR697" s="319" t="s">
        <v>190</v>
      </c>
      <c r="AS697" s="319" t="s">
        <v>190</v>
      </c>
      <c r="AT697" s="319" t="s">
        <v>190</v>
      </c>
      <c r="AU697" s="319" t="s">
        <v>190</v>
      </c>
      <c r="AV697" s="319" t="s">
        <v>190</v>
      </c>
      <c r="AW697" s="319" t="s">
        <v>190</v>
      </c>
      <c r="AX697" s="319" t="s">
        <v>429</v>
      </c>
      <c r="AY697" s="319" t="s">
        <v>190</v>
      </c>
      <c r="AZ697" s="319" t="s">
        <v>190</v>
      </c>
      <c r="BA697" s="319" t="s">
        <v>190</v>
      </c>
      <c r="BB697" s="319" t="s">
        <v>190</v>
      </c>
      <c r="BC697" s="319" t="s">
        <v>190</v>
      </c>
      <c r="BD697" s="319" t="s">
        <v>190</v>
      </c>
      <c r="BE697" s="319" t="s">
        <v>190</v>
      </c>
      <c r="BF697" s="319" t="s">
        <v>429</v>
      </c>
      <c r="BG697" s="319" t="s">
        <v>190</v>
      </c>
      <c r="BH697" s="319" t="s">
        <v>190</v>
      </c>
      <c r="BI697" s="319" t="s">
        <v>190</v>
      </c>
      <c r="BJ697" s="319" t="s">
        <v>190</v>
      </c>
      <c r="BK697" s="319" t="s">
        <v>190</v>
      </c>
      <c r="BL697" s="319" t="s">
        <v>190</v>
      </c>
      <c r="BM697" s="319" t="s">
        <v>190</v>
      </c>
      <c r="BN697" s="319" t="s">
        <v>190</v>
      </c>
      <c r="BO697" s="319" t="s">
        <v>190</v>
      </c>
      <c r="BP697" s="319" t="s">
        <v>190</v>
      </c>
      <c r="BQ697" s="319" t="s">
        <v>190</v>
      </c>
      <c r="BR697" s="319" t="s">
        <v>190</v>
      </c>
      <c r="BS697" s="319" t="s">
        <v>190</v>
      </c>
      <c r="BT697" s="319" t="s">
        <v>190</v>
      </c>
      <c r="BU697" s="319" t="s">
        <v>190</v>
      </c>
      <c r="BV697" s="319" t="s">
        <v>190</v>
      </c>
      <c r="BW697" s="319" t="s">
        <v>190</v>
      </c>
      <c r="BX697" s="319" t="s">
        <v>190</v>
      </c>
      <c r="BY697" s="319" t="s">
        <v>190</v>
      </c>
      <c r="BZ697" s="319" t="s">
        <v>190</v>
      </c>
      <c r="CA697" s="319" t="s">
        <v>190</v>
      </c>
      <c r="CB697" s="319" t="s">
        <v>190</v>
      </c>
      <c r="CC697" s="319" t="s">
        <v>190</v>
      </c>
      <c r="CD697" s="319" t="s">
        <v>190</v>
      </c>
      <c r="CE697" s="319" t="s">
        <v>190</v>
      </c>
      <c r="CF697" s="319" t="s">
        <v>190</v>
      </c>
      <c r="CG697" s="319" t="s">
        <v>190</v>
      </c>
      <c r="CH697" s="319" t="s">
        <v>190</v>
      </c>
      <c r="CI697" s="319" t="s">
        <v>190</v>
      </c>
      <c r="CJ697" s="319" t="s">
        <v>190</v>
      </c>
      <c r="CK697" s="319" t="s">
        <v>190</v>
      </c>
      <c r="CL697" s="319" t="s">
        <v>190</v>
      </c>
      <c r="CM697" s="319" t="s">
        <v>190</v>
      </c>
      <c r="CN697" s="319" t="s">
        <v>190</v>
      </c>
      <c r="CO697" s="319" t="s">
        <v>190</v>
      </c>
      <c r="CP697" s="319" t="s">
        <v>190</v>
      </c>
      <c r="CQ697" s="319" t="s">
        <v>190</v>
      </c>
      <c r="CR697" s="319" t="s">
        <v>190</v>
      </c>
      <c r="CS697" s="319" t="s">
        <v>190</v>
      </c>
      <c r="CT697" s="319" t="s">
        <v>190</v>
      </c>
      <c r="CU697" s="319" t="s">
        <v>190</v>
      </c>
      <c r="CV697" s="319" t="s">
        <v>190</v>
      </c>
      <c r="CW697" s="319" t="s">
        <v>190</v>
      </c>
      <c r="CX697" s="319" t="s">
        <v>190</v>
      </c>
      <c r="CY697" s="319" t="s">
        <v>190</v>
      </c>
      <c r="CZ697" s="319" t="s">
        <v>190</v>
      </c>
      <c r="DA697" s="319" t="s">
        <v>190</v>
      </c>
      <c r="DB697" s="319" t="s">
        <v>190</v>
      </c>
      <c r="DC697" s="319" t="s">
        <v>190</v>
      </c>
      <c r="DD697" s="319" t="s">
        <v>190</v>
      </c>
      <c r="DE697" s="319" t="s">
        <v>190</v>
      </c>
      <c r="DF697" s="319" t="s">
        <v>190</v>
      </c>
      <c r="DG697" s="319" t="s">
        <v>190</v>
      </c>
      <c r="DH697" s="319" t="s">
        <v>190</v>
      </c>
      <c r="DI697" s="319" t="s">
        <v>190</v>
      </c>
      <c r="DJ697" s="319" t="s">
        <v>190</v>
      </c>
      <c r="DK697" s="319" t="s">
        <v>190</v>
      </c>
      <c r="DL697" s="319" t="s">
        <v>190</v>
      </c>
      <c r="DM697" s="319" t="s">
        <v>190</v>
      </c>
      <c r="DN697" s="319" t="s">
        <v>190</v>
      </c>
      <c r="DO697" s="319" t="s">
        <v>190</v>
      </c>
      <c r="DP697" s="319" t="s">
        <v>190</v>
      </c>
      <c r="DQ697" s="319" t="s">
        <v>190</v>
      </c>
      <c r="DR697" s="319" t="s">
        <v>190</v>
      </c>
      <c r="DS697" s="319" t="s">
        <v>190</v>
      </c>
      <c r="DT697" s="319" t="s">
        <v>190</v>
      </c>
      <c r="DU697" s="319" t="s">
        <v>190</v>
      </c>
      <c r="DV697" s="319" t="s">
        <v>173</v>
      </c>
      <c r="DW697" s="319" t="s">
        <v>190</v>
      </c>
      <c r="DX697" s="319" t="s">
        <v>190</v>
      </c>
      <c r="DY697" s="319" t="s">
        <v>190</v>
      </c>
      <c r="DZ697" s="319" t="s">
        <v>190</v>
      </c>
      <c r="EA697" s="319" t="s">
        <v>190</v>
      </c>
      <c r="EB697" s="319" t="s">
        <v>190</v>
      </c>
      <c r="EC697" s="319" t="s">
        <v>190</v>
      </c>
      <c r="ED697" s="319" t="s">
        <v>190</v>
      </c>
      <c r="EE697" s="319" t="s">
        <v>190</v>
      </c>
      <c r="EF697" s="319" t="s">
        <v>190</v>
      </c>
      <c r="EG697" s="319" t="s">
        <v>190</v>
      </c>
      <c r="EH697" s="319" t="s">
        <v>190</v>
      </c>
      <c r="EI697" s="319" t="s">
        <v>190</v>
      </c>
      <c r="EJ697" s="319" t="s">
        <v>190</v>
      </c>
      <c r="EK697" s="319" t="s">
        <v>190</v>
      </c>
      <c r="EL697" s="319" t="s">
        <v>190</v>
      </c>
      <c r="EM697" s="319" t="s">
        <v>190</v>
      </c>
      <c r="EN697" s="319" t="s">
        <v>190</v>
      </c>
      <c r="EO697" s="319" t="s">
        <v>190</v>
      </c>
      <c r="EP697" s="319" t="s">
        <v>190</v>
      </c>
      <c r="EQ697" s="319" t="s">
        <v>190</v>
      </c>
      <c r="ER697" s="319" t="s">
        <v>190</v>
      </c>
      <c r="ES697" s="319" t="s">
        <v>190</v>
      </c>
      <c r="ET697" s="319" t="s">
        <v>190</v>
      </c>
      <c r="EU697" s="319" t="s">
        <v>190</v>
      </c>
      <c r="EV697" s="319" t="s">
        <v>190</v>
      </c>
      <c r="EW697" s="319" t="s">
        <v>190</v>
      </c>
      <c r="EX697" s="319" t="s">
        <v>190</v>
      </c>
      <c r="EY697" s="319" t="s">
        <v>190</v>
      </c>
      <c r="EZ697" s="319" t="s">
        <v>190</v>
      </c>
      <c r="FA697" s="319" t="s">
        <v>190</v>
      </c>
      <c r="FB697" s="319" t="s">
        <v>190</v>
      </c>
      <c r="FC697" s="319" t="s">
        <v>190</v>
      </c>
      <c r="FD697" s="319" t="s">
        <v>190</v>
      </c>
      <c r="FE697" s="319" t="s">
        <v>190</v>
      </c>
      <c r="FF697" s="319" t="s">
        <v>190</v>
      </c>
      <c r="FG697" s="319" t="s">
        <v>190</v>
      </c>
      <c r="FH697" s="319" t="s">
        <v>190</v>
      </c>
      <c r="FI697" s="319" t="s">
        <v>190</v>
      </c>
      <c r="FJ697" s="319" t="s">
        <v>190</v>
      </c>
      <c r="FK697" s="319" t="s">
        <v>190</v>
      </c>
      <c r="FL697" s="319" t="s">
        <v>190</v>
      </c>
      <c r="FM697" s="319" t="s">
        <v>190</v>
      </c>
      <c r="FN697" s="319" t="s">
        <v>190</v>
      </c>
      <c r="FO697" s="319" t="s">
        <v>190</v>
      </c>
      <c r="FP697" s="319" t="s">
        <v>190</v>
      </c>
      <c r="FQ697" s="319" t="s">
        <v>190</v>
      </c>
      <c r="FR697" s="319" t="s">
        <v>190</v>
      </c>
      <c r="FS697" s="319" t="s">
        <v>429</v>
      </c>
      <c r="FT697" s="319" t="s">
        <v>190</v>
      </c>
      <c r="FU697" s="319" t="s">
        <v>190</v>
      </c>
      <c r="FV697" s="319" t="s">
        <v>190</v>
      </c>
      <c r="FW697" s="319" t="s">
        <v>190</v>
      </c>
      <c r="FX697" s="319" t="s">
        <v>190</v>
      </c>
      <c r="FY697" s="319" t="s">
        <v>190</v>
      </c>
      <c r="FZ697" s="319" t="s">
        <v>190</v>
      </c>
      <c r="GA697" s="319" t="s">
        <v>190</v>
      </c>
      <c r="GB697" s="319" t="s">
        <v>190</v>
      </c>
      <c r="GC697" s="319" t="s">
        <v>190</v>
      </c>
      <c r="GD697" s="319" t="s">
        <v>190</v>
      </c>
      <c r="GE697" s="319" t="s">
        <v>190</v>
      </c>
      <c r="GF697" s="319" t="s">
        <v>190</v>
      </c>
      <c r="GG697" s="319" t="s">
        <v>190</v>
      </c>
      <c r="GH697" s="319" t="s">
        <v>190</v>
      </c>
      <c r="GI697" s="319" t="s">
        <v>190</v>
      </c>
      <c r="GJ697" s="319" t="s">
        <v>190</v>
      </c>
      <c r="GK697" s="319" t="s">
        <v>190</v>
      </c>
      <c r="GL697" s="319" t="s">
        <v>190</v>
      </c>
      <c r="GM697" s="319" t="s">
        <v>190</v>
      </c>
      <c r="GN697" s="319" t="s">
        <v>190</v>
      </c>
      <c r="GO697" s="319" t="s">
        <v>190</v>
      </c>
      <c r="GP697" s="319" t="s">
        <v>190</v>
      </c>
      <c r="GQ697" s="319" t="s">
        <v>190</v>
      </c>
      <c r="GR697" s="319" t="s">
        <v>190</v>
      </c>
      <c r="GS697" s="319" t="s">
        <v>190</v>
      </c>
      <c r="GT697" s="319" t="s">
        <v>429</v>
      </c>
      <c r="GU697" s="319" t="s">
        <v>429</v>
      </c>
      <c r="GV697" s="319" t="s">
        <v>190</v>
      </c>
      <c r="GW697" s="319" t="s">
        <v>190</v>
      </c>
      <c r="GX697" s="319" t="s">
        <v>190</v>
      </c>
      <c r="GY697" s="319" t="s">
        <v>190</v>
      </c>
      <c r="GZ697" s="319" t="s">
        <v>190</v>
      </c>
      <c r="HA697" s="319" t="s">
        <v>190</v>
      </c>
      <c r="HB697" s="319" t="s">
        <v>429</v>
      </c>
      <c r="HC697" s="319" t="s">
        <v>190</v>
      </c>
      <c r="HD697" s="319" t="s">
        <v>190</v>
      </c>
      <c r="HE697" s="319" t="s">
        <v>190</v>
      </c>
      <c r="HF697" s="319" t="s">
        <v>190</v>
      </c>
      <c r="HG697" s="319" t="s">
        <v>190</v>
      </c>
      <c r="HH697" s="319" t="s">
        <v>190</v>
      </c>
      <c r="HI697" s="319" t="s">
        <v>190</v>
      </c>
      <c r="HJ697" s="319" t="s">
        <v>190</v>
      </c>
      <c r="HK697" s="319" t="s">
        <v>190</v>
      </c>
      <c r="HL697" s="319" t="s">
        <v>190</v>
      </c>
      <c r="HM697" s="319" t="s">
        <v>190</v>
      </c>
      <c r="HN697" s="319" t="s">
        <v>190</v>
      </c>
      <c r="HO697" s="319" t="s">
        <v>190</v>
      </c>
      <c r="HP697" s="319" t="s">
        <v>190</v>
      </c>
      <c r="HQ697" s="319" t="s">
        <v>190</v>
      </c>
      <c r="HR697" s="319" t="s">
        <v>190</v>
      </c>
      <c r="HS697" s="319" t="s">
        <v>190</v>
      </c>
      <c r="HT697" s="319" t="s">
        <v>190</v>
      </c>
      <c r="HU697" s="319" t="s">
        <v>190</v>
      </c>
      <c r="HV697" s="319" t="s">
        <v>190</v>
      </c>
      <c r="HW697" s="319" t="s">
        <v>190</v>
      </c>
      <c r="HX697" s="319" t="s">
        <v>190</v>
      </c>
      <c r="HY697" s="319" t="s">
        <v>190</v>
      </c>
      <c r="HZ697" s="319" t="s">
        <v>190</v>
      </c>
      <c r="IA697" s="319" t="s">
        <v>190</v>
      </c>
      <c r="IB697" s="319" t="s">
        <v>190</v>
      </c>
      <c r="IC697" s="319" t="s">
        <v>190</v>
      </c>
      <c r="ID697" s="319" t="s">
        <v>190</v>
      </c>
      <c r="IE697" s="319" t="s">
        <v>190</v>
      </c>
      <c r="IF697" s="319" t="s">
        <v>190</v>
      </c>
      <c r="IG697" s="319" t="s">
        <v>190</v>
      </c>
      <c r="IH697" s="319" t="s">
        <v>190</v>
      </c>
      <c r="II697" s="319" t="s">
        <v>190</v>
      </c>
      <c r="IJ697" s="319" t="s">
        <v>3437</v>
      </c>
      <c r="IK697" s="321">
        <v>41437</v>
      </c>
      <c r="IL697" s="321">
        <v>41439</v>
      </c>
      <c r="IM697" s="321">
        <v>41459</v>
      </c>
      <c r="IN697" s="319">
        <v>2</v>
      </c>
      <c r="IO697" s="319" t="s">
        <v>173</v>
      </c>
      <c r="IP697" s="319" t="s">
        <v>173</v>
      </c>
      <c r="IQ697" s="321" t="s">
        <v>173</v>
      </c>
      <c r="IR697" s="320" t="s">
        <v>173</v>
      </c>
      <c r="IS697" s="322" t="s">
        <v>173</v>
      </c>
      <c r="IT697" s="319" t="s">
        <v>173</v>
      </c>
    </row>
    <row r="698" spans="1:254" s="271" customFormat="1" x14ac:dyDescent="0.25">
      <c r="A698" s="318" t="str">
        <f>HYPERLINK("http://www.ofsted.gov.uk/inspection-reports/find-inspection-report/provider/ELS/138408 ","Ofsted School Webpage")</f>
        <v>Ofsted School Webpage</v>
      </c>
      <c r="B698" s="319">
        <v>138408</v>
      </c>
      <c r="C698" s="319">
        <v>8866139</v>
      </c>
      <c r="D698" s="319" t="s">
        <v>2167</v>
      </c>
      <c r="E698" s="319" t="s">
        <v>168</v>
      </c>
      <c r="F698" s="319" t="s">
        <v>81</v>
      </c>
      <c r="G698" s="319" t="s">
        <v>81</v>
      </c>
      <c r="H698" s="319" t="s">
        <v>81</v>
      </c>
      <c r="I698" s="319" t="s">
        <v>78</v>
      </c>
      <c r="J698" s="319" t="s">
        <v>424</v>
      </c>
      <c r="K698" s="319" t="s">
        <v>514</v>
      </c>
      <c r="L698" s="319" t="s">
        <v>514</v>
      </c>
      <c r="M698" s="319" t="s">
        <v>614</v>
      </c>
      <c r="N698" s="319" t="s">
        <v>2981</v>
      </c>
      <c r="O698" s="319" t="s">
        <v>2168</v>
      </c>
      <c r="P698" s="319">
        <v>25</v>
      </c>
      <c r="Q698" s="319" t="s">
        <v>429</v>
      </c>
      <c r="R698" s="320">
        <v>10091651</v>
      </c>
      <c r="S698" s="321">
        <v>43627</v>
      </c>
      <c r="T698" s="321">
        <v>43629</v>
      </c>
      <c r="U698" s="321">
        <v>43649</v>
      </c>
      <c r="V698" s="319" t="s">
        <v>425</v>
      </c>
      <c r="W698" s="319" t="s">
        <v>2767</v>
      </c>
      <c r="X698" s="319">
        <v>3</v>
      </c>
      <c r="Y698" s="319" t="s">
        <v>173</v>
      </c>
      <c r="Z698" s="319" t="s">
        <v>173</v>
      </c>
      <c r="AA698" s="319" t="s">
        <v>173</v>
      </c>
      <c r="AB698" s="319">
        <v>3</v>
      </c>
      <c r="AC698" s="319" t="s">
        <v>169</v>
      </c>
      <c r="AD698" s="319" t="s">
        <v>173</v>
      </c>
      <c r="AE698" s="319">
        <v>3</v>
      </c>
      <c r="AF698" s="319" t="s">
        <v>427</v>
      </c>
      <c r="AG698" s="319" t="s">
        <v>171</v>
      </c>
      <c r="AH698" s="319" t="s">
        <v>190</v>
      </c>
      <c r="AI698" s="319" t="s">
        <v>190</v>
      </c>
      <c r="AJ698" s="319" t="s">
        <v>190</v>
      </c>
      <c r="AK698" s="319" t="s">
        <v>190</v>
      </c>
      <c r="AL698" s="319" t="s">
        <v>190</v>
      </c>
      <c r="AM698" s="319" t="s">
        <v>190</v>
      </c>
      <c r="AN698" s="319" t="s">
        <v>190</v>
      </c>
      <c r="AO698" s="319" t="s">
        <v>190</v>
      </c>
      <c r="AP698" s="319" t="s">
        <v>190</v>
      </c>
      <c r="AQ698" s="319" t="s">
        <v>190</v>
      </c>
      <c r="AR698" s="319" t="s">
        <v>190</v>
      </c>
      <c r="AS698" s="319" t="s">
        <v>190</v>
      </c>
      <c r="AT698" s="319" t="s">
        <v>190</v>
      </c>
      <c r="AU698" s="319" t="s">
        <v>190</v>
      </c>
      <c r="AV698" s="319" t="s">
        <v>190</v>
      </c>
      <c r="AW698" s="319" t="s">
        <v>190</v>
      </c>
      <c r="AX698" s="319" t="s">
        <v>428</v>
      </c>
      <c r="AY698" s="319" t="s">
        <v>190</v>
      </c>
      <c r="AZ698" s="319" t="s">
        <v>190</v>
      </c>
      <c r="BA698" s="319" t="s">
        <v>190</v>
      </c>
      <c r="BB698" s="319" t="s">
        <v>190</v>
      </c>
      <c r="BC698" s="319" t="s">
        <v>190</v>
      </c>
      <c r="BD698" s="319" t="s">
        <v>190</v>
      </c>
      <c r="BE698" s="319" t="s">
        <v>190</v>
      </c>
      <c r="BF698" s="319" t="s">
        <v>428</v>
      </c>
      <c r="BG698" s="319" t="s">
        <v>190</v>
      </c>
      <c r="BH698" s="319" t="s">
        <v>190</v>
      </c>
      <c r="BI698" s="319" t="s">
        <v>190</v>
      </c>
      <c r="BJ698" s="319" t="s">
        <v>190</v>
      </c>
      <c r="BK698" s="319" t="s">
        <v>190</v>
      </c>
      <c r="BL698" s="319" t="s">
        <v>190</v>
      </c>
      <c r="BM698" s="319" t="s">
        <v>190</v>
      </c>
      <c r="BN698" s="319" t="s">
        <v>190</v>
      </c>
      <c r="BO698" s="319" t="s">
        <v>190</v>
      </c>
      <c r="BP698" s="319" t="s">
        <v>190</v>
      </c>
      <c r="BQ698" s="319" t="s">
        <v>190</v>
      </c>
      <c r="BR698" s="319" t="s">
        <v>190</v>
      </c>
      <c r="BS698" s="319" t="s">
        <v>190</v>
      </c>
      <c r="BT698" s="319" t="s">
        <v>190</v>
      </c>
      <c r="BU698" s="319" t="s">
        <v>190</v>
      </c>
      <c r="BV698" s="319" t="s">
        <v>190</v>
      </c>
      <c r="BW698" s="319" t="s">
        <v>190</v>
      </c>
      <c r="BX698" s="319" t="s">
        <v>190</v>
      </c>
      <c r="BY698" s="319" t="s">
        <v>190</v>
      </c>
      <c r="BZ698" s="319" t="s">
        <v>190</v>
      </c>
      <c r="CA698" s="319" t="s">
        <v>190</v>
      </c>
      <c r="CB698" s="319" t="s">
        <v>190</v>
      </c>
      <c r="CC698" s="319" t="s">
        <v>190</v>
      </c>
      <c r="CD698" s="319" t="s">
        <v>190</v>
      </c>
      <c r="CE698" s="319" t="s">
        <v>190</v>
      </c>
      <c r="CF698" s="319" t="s">
        <v>190</v>
      </c>
      <c r="CG698" s="319" t="s">
        <v>190</v>
      </c>
      <c r="CH698" s="319" t="s">
        <v>190</v>
      </c>
      <c r="CI698" s="319" t="s">
        <v>190</v>
      </c>
      <c r="CJ698" s="319" t="s">
        <v>190</v>
      </c>
      <c r="CK698" s="319" t="s">
        <v>190</v>
      </c>
      <c r="CL698" s="319" t="s">
        <v>190</v>
      </c>
      <c r="CM698" s="319" t="s">
        <v>190</v>
      </c>
      <c r="CN698" s="319" t="s">
        <v>190</v>
      </c>
      <c r="CO698" s="319" t="s">
        <v>190</v>
      </c>
      <c r="CP698" s="319" t="s">
        <v>428</v>
      </c>
      <c r="CQ698" s="319" t="s">
        <v>190</v>
      </c>
      <c r="CR698" s="319" t="s">
        <v>190</v>
      </c>
      <c r="CS698" s="319" t="s">
        <v>190</v>
      </c>
      <c r="CT698" s="319" t="s">
        <v>190</v>
      </c>
      <c r="CU698" s="319" t="s">
        <v>190</v>
      </c>
      <c r="CV698" s="319" t="s">
        <v>190</v>
      </c>
      <c r="CW698" s="319" t="s">
        <v>190</v>
      </c>
      <c r="CX698" s="319" t="s">
        <v>190</v>
      </c>
      <c r="CY698" s="319" t="s">
        <v>190</v>
      </c>
      <c r="CZ698" s="319" t="s">
        <v>190</v>
      </c>
      <c r="DA698" s="319" t="s">
        <v>190</v>
      </c>
      <c r="DB698" s="319" t="s">
        <v>190</v>
      </c>
      <c r="DC698" s="319" t="s">
        <v>190</v>
      </c>
      <c r="DD698" s="319" t="s">
        <v>190</v>
      </c>
      <c r="DE698" s="319" t="s">
        <v>190</v>
      </c>
      <c r="DF698" s="319" t="s">
        <v>190</v>
      </c>
      <c r="DG698" s="319" t="s">
        <v>190</v>
      </c>
      <c r="DH698" s="319" t="s">
        <v>190</v>
      </c>
      <c r="DI698" s="319" t="s">
        <v>190</v>
      </c>
      <c r="DJ698" s="319" t="s">
        <v>190</v>
      </c>
      <c r="DK698" s="319" t="s">
        <v>190</v>
      </c>
      <c r="DL698" s="319" t="s">
        <v>190</v>
      </c>
      <c r="DM698" s="319" t="s">
        <v>190</v>
      </c>
      <c r="DN698" s="319" t="s">
        <v>428</v>
      </c>
      <c r="DO698" s="319" t="s">
        <v>190</v>
      </c>
      <c r="DP698" s="319" t="s">
        <v>428</v>
      </c>
      <c r="DQ698" s="319" t="s">
        <v>428</v>
      </c>
      <c r="DR698" s="319" t="s">
        <v>428</v>
      </c>
      <c r="DS698" s="319" t="s">
        <v>428</v>
      </c>
      <c r="DT698" s="319" t="s">
        <v>428</v>
      </c>
      <c r="DU698" s="319" t="s">
        <v>428</v>
      </c>
      <c r="DV698" s="319" t="s">
        <v>173</v>
      </c>
      <c r="DW698" s="319" t="s">
        <v>428</v>
      </c>
      <c r="DX698" s="319" t="s">
        <v>428</v>
      </c>
      <c r="DY698" s="319" t="s">
        <v>428</v>
      </c>
      <c r="DZ698" s="319" t="s">
        <v>190</v>
      </c>
      <c r="EA698" s="319" t="s">
        <v>190</v>
      </c>
      <c r="EB698" s="319" t="s">
        <v>190</v>
      </c>
      <c r="EC698" s="319" t="s">
        <v>428</v>
      </c>
      <c r="ED698" s="319" t="s">
        <v>190</v>
      </c>
      <c r="EE698" s="319" t="s">
        <v>190</v>
      </c>
      <c r="EF698" s="319" t="s">
        <v>190</v>
      </c>
      <c r="EG698" s="319" t="s">
        <v>190</v>
      </c>
      <c r="EH698" s="319" t="s">
        <v>190</v>
      </c>
      <c r="EI698" s="319" t="s">
        <v>190</v>
      </c>
      <c r="EJ698" s="319" t="s">
        <v>190</v>
      </c>
      <c r="EK698" s="319" t="s">
        <v>190</v>
      </c>
      <c r="EL698" s="319" t="s">
        <v>190</v>
      </c>
      <c r="EM698" s="319" t="s">
        <v>190</v>
      </c>
      <c r="EN698" s="319" t="s">
        <v>190</v>
      </c>
      <c r="EO698" s="319" t="s">
        <v>190</v>
      </c>
      <c r="EP698" s="319" t="s">
        <v>190</v>
      </c>
      <c r="EQ698" s="319" t="s">
        <v>190</v>
      </c>
      <c r="ER698" s="319" t="s">
        <v>190</v>
      </c>
      <c r="ES698" s="319" t="s">
        <v>190</v>
      </c>
      <c r="ET698" s="319" t="s">
        <v>190</v>
      </c>
      <c r="EU698" s="319" t="s">
        <v>190</v>
      </c>
      <c r="EV698" s="319" t="s">
        <v>190</v>
      </c>
      <c r="EW698" s="319" t="s">
        <v>190</v>
      </c>
      <c r="EX698" s="319" t="s">
        <v>190</v>
      </c>
      <c r="EY698" s="319" t="s">
        <v>190</v>
      </c>
      <c r="EZ698" s="319" t="s">
        <v>190</v>
      </c>
      <c r="FA698" s="319" t="s">
        <v>190</v>
      </c>
      <c r="FB698" s="319" t="s">
        <v>190</v>
      </c>
      <c r="FC698" s="319" t="s">
        <v>190</v>
      </c>
      <c r="FD698" s="319" t="s">
        <v>190</v>
      </c>
      <c r="FE698" s="319" t="s">
        <v>190</v>
      </c>
      <c r="FF698" s="319" t="s">
        <v>190</v>
      </c>
      <c r="FG698" s="319" t="s">
        <v>190</v>
      </c>
      <c r="FH698" s="319" t="s">
        <v>190</v>
      </c>
      <c r="FI698" s="319" t="s">
        <v>190</v>
      </c>
      <c r="FJ698" s="319" t="s">
        <v>190</v>
      </c>
      <c r="FK698" s="319" t="s">
        <v>190</v>
      </c>
      <c r="FL698" s="319" t="s">
        <v>190</v>
      </c>
      <c r="FM698" s="319" t="s">
        <v>190</v>
      </c>
      <c r="FN698" s="319" t="s">
        <v>190</v>
      </c>
      <c r="FO698" s="319" t="s">
        <v>190</v>
      </c>
      <c r="FP698" s="319" t="s">
        <v>190</v>
      </c>
      <c r="FQ698" s="319" t="s">
        <v>190</v>
      </c>
      <c r="FR698" s="319" t="s">
        <v>190</v>
      </c>
      <c r="FS698" s="319" t="s">
        <v>428</v>
      </c>
      <c r="FT698" s="319" t="s">
        <v>190</v>
      </c>
      <c r="FU698" s="319" t="s">
        <v>190</v>
      </c>
      <c r="FV698" s="319" t="s">
        <v>190</v>
      </c>
      <c r="FW698" s="319" t="s">
        <v>190</v>
      </c>
      <c r="FX698" s="319" t="s">
        <v>190</v>
      </c>
      <c r="FY698" s="319" t="s">
        <v>190</v>
      </c>
      <c r="FZ698" s="319" t="s">
        <v>190</v>
      </c>
      <c r="GA698" s="319" t="s">
        <v>190</v>
      </c>
      <c r="GB698" s="319" t="s">
        <v>190</v>
      </c>
      <c r="GC698" s="319" t="s">
        <v>190</v>
      </c>
      <c r="GD698" s="319" t="s">
        <v>190</v>
      </c>
      <c r="GE698" s="319" t="s">
        <v>190</v>
      </c>
      <c r="GF698" s="319" t="s">
        <v>190</v>
      </c>
      <c r="GG698" s="319" t="s">
        <v>190</v>
      </c>
      <c r="GH698" s="319" t="s">
        <v>190</v>
      </c>
      <c r="GI698" s="319" t="s">
        <v>190</v>
      </c>
      <c r="GJ698" s="319" t="s">
        <v>190</v>
      </c>
      <c r="GK698" s="319" t="s">
        <v>428</v>
      </c>
      <c r="GL698" s="319" t="s">
        <v>190</v>
      </c>
      <c r="GM698" s="319" t="s">
        <v>190</v>
      </c>
      <c r="GN698" s="319" t="s">
        <v>190</v>
      </c>
      <c r="GO698" s="319" t="s">
        <v>190</v>
      </c>
      <c r="GP698" s="319" t="s">
        <v>190</v>
      </c>
      <c r="GQ698" s="319" t="s">
        <v>190</v>
      </c>
      <c r="GR698" s="319" t="s">
        <v>190</v>
      </c>
      <c r="GS698" s="319" t="s">
        <v>190</v>
      </c>
      <c r="GT698" s="319" t="s">
        <v>190</v>
      </c>
      <c r="GU698" s="319" t="s">
        <v>190</v>
      </c>
      <c r="GV698" s="319" t="s">
        <v>190</v>
      </c>
      <c r="GW698" s="319" t="s">
        <v>190</v>
      </c>
      <c r="GX698" s="319" t="s">
        <v>190</v>
      </c>
      <c r="GY698" s="319" t="s">
        <v>190</v>
      </c>
      <c r="GZ698" s="319" t="s">
        <v>190</v>
      </c>
      <c r="HA698" s="319" t="s">
        <v>190</v>
      </c>
      <c r="HB698" s="319" t="s">
        <v>190</v>
      </c>
      <c r="HC698" s="319" t="s">
        <v>190</v>
      </c>
      <c r="HD698" s="319" t="s">
        <v>190</v>
      </c>
      <c r="HE698" s="319" t="s">
        <v>190</v>
      </c>
      <c r="HF698" s="319" t="s">
        <v>190</v>
      </c>
      <c r="HG698" s="319" t="s">
        <v>190</v>
      </c>
      <c r="HH698" s="319" t="s">
        <v>190</v>
      </c>
      <c r="HI698" s="319" t="s">
        <v>190</v>
      </c>
      <c r="HJ698" s="319" t="s">
        <v>190</v>
      </c>
      <c r="HK698" s="319" t="s">
        <v>190</v>
      </c>
      <c r="HL698" s="319" t="s">
        <v>190</v>
      </c>
      <c r="HM698" s="319" t="s">
        <v>190</v>
      </c>
      <c r="HN698" s="319" t="s">
        <v>190</v>
      </c>
      <c r="HO698" s="319" t="s">
        <v>190</v>
      </c>
      <c r="HP698" s="319" t="s">
        <v>190</v>
      </c>
      <c r="HQ698" s="319" t="s">
        <v>190</v>
      </c>
      <c r="HR698" s="319" t="s">
        <v>190</v>
      </c>
      <c r="HS698" s="319" t="s">
        <v>190</v>
      </c>
      <c r="HT698" s="319" t="s">
        <v>190</v>
      </c>
      <c r="HU698" s="319" t="s">
        <v>190</v>
      </c>
      <c r="HV698" s="319" t="s">
        <v>190</v>
      </c>
      <c r="HW698" s="319" t="s">
        <v>190</v>
      </c>
      <c r="HX698" s="319" t="s">
        <v>190</v>
      </c>
      <c r="HY698" s="319" t="s">
        <v>190</v>
      </c>
      <c r="HZ698" s="319" t="s">
        <v>190</v>
      </c>
      <c r="IA698" s="319" t="s">
        <v>190</v>
      </c>
      <c r="IB698" s="319" t="s">
        <v>190</v>
      </c>
      <c r="IC698" s="319" t="s">
        <v>190</v>
      </c>
      <c r="ID698" s="319" t="s">
        <v>190</v>
      </c>
      <c r="IE698" s="319" t="s">
        <v>190</v>
      </c>
      <c r="IF698" s="319" t="s">
        <v>190</v>
      </c>
      <c r="IG698" s="319" t="s">
        <v>190</v>
      </c>
      <c r="IH698" s="319" t="s">
        <v>190</v>
      </c>
      <c r="II698" s="319" t="s">
        <v>190</v>
      </c>
      <c r="IJ698" s="319">
        <v>10012918</v>
      </c>
      <c r="IK698" s="321">
        <v>43046</v>
      </c>
      <c r="IL698" s="321">
        <v>43048</v>
      </c>
      <c r="IM698" s="321">
        <v>43068</v>
      </c>
      <c r="IN698" s="319">
        <v>3</v>
      </c>
      <c r="IO698" s="319" t="s">
        <v>173</v>
      </c>
      <c r="IP698" s="319" t="s">
        <v>173</v>
      </c>
      <c r="IQ698" s="321" t="s">
        <v>173</v>
      </c>
      <c r="IR698" s="320" t="s">
        <v>173</v>
      </c>
      <c r="IS698" s="322" t="s">
        <v>173</v>
      </c>
      <c r="IT698" s="319" t="s">
        <v>173</v>
      </c>
    </row>
    <row r="699" spans="1:254" s="271" customFormat="1" x14ac:dyDescent="0.25">
      <c r="A699" s="318" t="str">
        <f>HYPERLINK("http://www.ofsted.gov.uk/inspection-reports/find-inspection-report/provider/ELS/138441 ","Ofsted School Webpage")</f>
        <v>Ofsted School Webpage</v>
      </c>
      <c r="B699" s="319">
        <v>138441</v>
      </c>
      <c r="C699" s="319">
        <v>3816004</v>
      </c>
      <c r="D699" s="319" t="s">
        <v>2169</v>
      </c>
      <c r="E699" s="319" t="s">
        <v>168</v>
      </c>
      <c r="F699" s="319" t="s">
        <v>81</v>
      </c>
      <c r="G699" s="319" t="s">
        <v>81</v>
      </c>
      <c r="H699" s="319" t="s">
        <v>81</v>
      </c>
      <c r="I699" s="319" t="s">
        <v>78</v>
      </c>
      <c r="J699" s="319" t="s">
        <v>424</v>
      </c>
      <c r="K699" s="319" t="s">
        <v>458</v>
      </c>
      <c r="L699" s="319" t="s">
        <v>459</v>
      </c>
      <c r="M699" s="319" t="s">
        <v>1616</v>
      </c>
      <c r="N699" s="319" t="s">
        <v>3091</v>
      </c>
      <c r="O699" s="319" t="s">
        <v>2170</v>
      </c>
      <c r="P699" s="319">
        <v>7</v>
      </c>
      <c r="Q699" s="319" t="s">
        <v>429</v>
      </c>
      <c r="R699" s="320">
        <v>10081385</v>
      </c>
      <c r="S699" s="321">
        <v>43529</v>
      </c>
      <c r="T699" s="321">
        <v>43531</v>
      </c>
      <c r="U699" s="321">
        <v>43563</v>
      </c>
      <c r="V699" s="319" t="s">
        <v>425</v>
      </c>
      <c r="W699" s="319" t="s">
        <v>2767</v>
      </c>
      <c r="X699" s="319">
        <v>1</v>
      </c>
      <c r="Y699" s="319" t="s">
        <v>173</v>
      </c>
      <c r="Z699" s="319" t="s">
        <v>173</v>
      </c>
      <c r="AA699" s="319" t="s">
        <v>173</v>
      </c>
      <c r="AB699" s="319">
        <v>1</v>
      </c>
      <c r="AC699" s="319" t="s">
        <v>169</v>
      </c>
      <c r="AD699" s="319" t="s">
        <v>173</v>
      </c>
      <c r="AE699" s="319" t="s">
        <v>173</v>
      </c>
      <c r="AF699" s="319" t="s">
        <v>427</v>
      </c>
      <c r="AG699" s="319" t="s">
        <v>171</v>
      </c>
      <c r="AH699" s="319" t="s">
        <v>190</v>
      </c>
      <c r="AI699" s="319" t="s">
        <v>190</v>
      </c>
      <c r="AJ699" s="319" t="s">
        <v>190</v>
      </c>
      <c r="AK699" s="319" t="s">
        <v>190</v>
      </c>
      <c r="AL699" s="319" t="s">
        <v>190</v>
      </c>
      <c r="AM699" s="319" t="s">
        <v>190</v>
      </c>
      <c r="AN699" s="319" t="s">
        <v>190</v>
      </c>
      <c r="AO699" s="319" t="s">
        <v>190</v>
      </c>
      <c r="AP699" s="319" t="s">
        <v>190</v>
      </c>
      <c r="AQ699" s="319" t="s">
        <v>190</v>
      </c>
      <c r="AR699" s="319" t="s">
        <v>190</v>
      </c>
      <c r="AS699" s="319" t="s">
        <v>190</v>
      </c>
      <c r="AT699" s="319" t="s">
        <v>190</v>
      </c>
      <c r="AU699" s="319" t="s">
        <v>190</v>
      </c>
      <c r="AV699" s="319" t="s">
        <v>190</v>
      </c>
      <c r="AW699" s="319" t="s">
        <v>190</v>
      </c>
      <c r="AX699" s="319" t="s">
        <v>190</v>
      </c>
      <c r="AY699" s="319" t="s">
        <v>190</v>
      </c>
      <c r="AZ699" s="319" t="s">
        <v>190</v>
      </c>
      <c r="BA699" s="319" t="s">
        <v>190</v>
      </c>
      <c r="BB699" s="319" t="s">
        <v>190</v>
      </c>
      <c r="BC699" s="319" t="s">
        <v>190</v>
      </c>
      <c r="BD699" s="319" t="s">
        <v>190</v>
      </c>
      <c r="BE699" s="319" t="s">
        <v>190</v>
      </c>
      <c r="BF699" s="319" t="s">
        <v>428</v>
      </c>
      <c r="BG699" s="319" t="s">
        <v>190</v>
      </c>
      <c r="BH699" s="319" t="s">
        <v>190</v>
      </c>
      <c r="BI699" s="319" t="s">
        <v>190</v>
      </c>
      <c r="BJ699" s="319" t="s">
        <v>190</v>
      </c>
      <c r="BK699" s="319" t="s">
        <v>190</v>
      </c>
      <c r="BL699" s="319" t="s">
        <v>190</v>
      </c>
      <c r="BM699" s="319" t="s">
        <v>190</v>
      </c>
      <c r="BN699" s="319" t="s">
        <v>190</v>
      </c>
      <c r="BO699" s="319" t="s">
        <v>190</v>
      </c>
      <c r="BP699" s="319" t="s">
        <v>190</v>
      </c>
      <c r="BQ699" s="319" t="s">
        <v>190</v>
      </c>
      <c r="BR699" s="319" t="s">
        <v>190</v>
      </c>
      <c r="BS699" s="319" t="s">
        <v>190</v>
      </c>
      <c r="BT699" s="319" t="s">
        <v>190</v>
      </c>
      <c r="BU699" s="319" t="s">
        <v>190</v>
      </c>
      <c r="BV699" s="319" t="s">
        <v>190</v>
      </c>
      <c r="BW699" s="319" t="s">
        <v>190</v>
      </c>
      <c r="BX699" s="319" t="s">
        <v>190</v>
      </c>
      <c r="BY699" s="319" t="s">
        <v>190</v>
      </c>
      <c r="BZ699" s="319" t="s">
        <v>190</v>
      </c>
      <c r="CA699" s="319" t="s">
        <v>190</v>
      </c>
      <c r="CB699" s="319" t="s">
        <v>190</v>
      </c>
      <c r="CC699" s="319" t="s">
        <v>190</v>
      </c>
      <c r="CD699" s="319" t="s">
        <v>190</v>
      </c>
      <c r="CE699" s="319" t="s">
        <v>190</v>
      </c>
      <c r="CF699" s="319" t="s">
        <v>190</v>
      </c>
      <c r="CG699" s="319" t="s">
        <v>190</v>
      </c>
      <c r="CH699" s="319" t="s">
        <v>190</v>
      </c>
      <c r="CI699" s="319" t="s">
        <v>190</v>
      </c>
      <c r="CJ699" s="319" t="s">
        <v>190</v>
      </c>
      <c r="CK699" s="319" t="s">
        <v>190</v>
      </c>
      <c r="CL699" s="319" t="s">
        <v>190</v>
      </c>
      <c r="CM699" s="319" t="s">
        <v>190</v>
      </c>
      <c r="CN699" s="319" t="s">
        <v>190</v>
      </c>
      <c r="CO699" s="319" t="s">
        <v>190</v>
      </c>
      <c r="CP699" s="319" t="s">
        <v>190</v>
      </c>
      <c r="CQ699" s="319" t="s">
        <v>190</v>
      </c>
      <c r="CR699" s="319" t="s">
        <v>190</v>
      </c>
      <c r="CS699" s="319" t="s">
        <v>190</v>
      </c>
      <c r="CT699" s="319" t="s">
        <v>190</v>
      </c>
      <c r="CU699" s="319" t="s">
        <v>190</v>
      </c>
      <c r="CV699" s="319" t="s">
        <v>190</v>
      </c>
      <c r="CW699" s="319" t="s">
        <v>190</v>
      </c>
      <c r="CX699" s="319" t="s">
        <v>190</v>
      </c>
      <c r="CY699" s="319" t="s">
        <v>190</v>
      </c>
      <c r="CZ699" s="319" t="s">
        <v>190</v>
      </c>
      <c r="DA699" s="319" t="s">
        <v>190</v>
      </c>
      <c r="DB699" s="319" t="s">
        <v>190</v>
      </c>
      <c r="DC699" s="319" t="s">
        <v>190</v>
      </c>
      <c r="DD699" s="319" t="s">
        <v>190</v>
      </c>
      <c r="DE699" s="319" t="s">
        <v>190</v>
      </c>
      <c r="DF699" s="319" t="s">
        <v>190</v>
      </c>
      <c r="DG699" s="319" t="s">
        <v>190</v>
      </c>
      <c r="DH699" s="319" t="s">
        <v>190</v>
      </c>
      <c r="DI699" s="319" t="s">
        <v>190</v>
      </c>
      <c r="DJ699" s="319" t="s">
        <v>190</v>
      </c>
      <c r="DK699" s="319" t="s">
        <v>190</v>
      </c>
      <c r="DL699" s="319" t="s">
        <v>190</v>
      </c>
      <c r="DM699" s="319" t="s">
        <v>428</v>
      </c>
      <c r="DN699" s="319" t="s">
        <v>428</v>
      </c>
      <c r="DO699" s="319" t="s">
        <v>190</v>
      </c>
      <c r="DP699" s="319" t="s">
        <v>428</v>
      </c>
      <c r="DQ699" s="319" t="s">
        <v>428</v>
      </c>
      <c r="DR699" s="319" t="s">
        <v>428</v>
      </c>
      <c r="DS699" s="319" t="s">
        <v>428</v>
      </c>
      <c r="DT699" s="319" t="s">
        <v>428</v>
      </c>
      <c r="DU699" s="319" t="s">
        <v>428</v>
      </c>
      <c r="DV699" s="319" t="s">
        <v>173</v>
      </c>
      <c r="DW699" s="319" t="s">
        <v>428</v>
      </c>
      <c r="DX699" s="319" t="s">
        <v>428</v>
      </c>
      <c r="DY699" s="319" t="s">
        <v>428</v>
      </c>
      <c r="DZ699" s="319" t="s">
        <v>428</v>
      </c>
      <c r="EA699" s="319" t="s">
        <v>428</v>
      </c>
      <c r="EB699" s="319" t="s">
        <v>428</v>
      </c>
      <c r="EC699" s="319" t="s">
        <v>428</v>
      </c>
      <c r="ED699" s="319" t="s">
        <v>428</v>
      </c>
      <c r="EE699" s="319" t="s">
        <v>190</v>
      </c>
      <c r="EF699" s="319" t="s">
        <v>190</v>
      </c>
      <c r="EG699" s="319" t="s">
        <v>190</v>
      </c>
      <c r="EH699" s="319" t="s">
        <v>190</v>
      </c>
      <c r="EI699" s="319" t="s">
        <v>190</v>
      </c>
      <c r="EJ699" s="319" t="s">
        <v>190</v>
      </c>
      <c r="EK699" s="319" t="s">
        <v>190</v>
      </c>
      <c r="EL699" s="319" t="s">
        <v>428</v>
      </c>
      <c r="EM699" s="319" t="s">
        <v>190</v>
      </c>
      <c r="EN699" s="319" t="s">
        <v>190</v>
      </c>
      <c r="EO699" s="319" t="s">
        <v>190</v>
      </c>
      <c r="EP699" s="319" t="s">
        <v>190</v>
      </c>
      <c r="EQ699" s="319" t="s">
        <v>190</v>
      </c>
      <c r="ER699" s="319" t="s">
        <v>190</v>
      </c>
      <c r="ES699" s="319" t="s">
        <v>190</v>
      </c>
      <c r="ET699" s="319" t="s">
        <v>190</v>
      </c>
      <c r="EU699" s="319" t="s">
        <v>190</v>
      </c>
      <c r="EV699" s="319" t="s">
        <v>190</v>
      </c>
      <c r="EW699" s="319" t="s">
        <v>190</v>
      </c>
      <c r="EX699" s="319" t="s">
        <v>190</v>
      </c>
      <c r="EY699" s="319" t="s">
        <v>190</v>
      </c>
      <c r="EZ699" s="319" t="s">
        <v>190</v>
      </c>
      <c r="FA699" s="319" t="s">
        <v>190</v>
      </c>
      <c r="FB699" s="319" t="s">
        <v>428</v>
      </c>
      <c r="FC699" s="319" t="s">
        <v>428</v>
      </c>
      <c r="FD699" s="319" t="s">
        <v>428</v>
      </c>
      <c r="FE699" s="319" t="s">
        <v>428</v>
      </c>
      <c r="FF699" s="319" t="s">
        <v>428</v>
      </c>
      <c r="FG699" s="319" t="s">
        <v>428</v>
      </c>
      <c r="FH699" s="319" t="s">
        <v>428</v>
      </c>
      <c r="FI699" s="319" t="s">
        <v>190</v>
      </c>
      <c r="FJ699" s="319" t="s">
        <v>190</v>
      </c>
      <c r="FK699" s="319" t="s">
        <v>190</v>
      </c>
      <c r="FL699" s="319" t="s">
        <v>190</v>
      </c>
      <c r="FM699" s="319" t="s">
        <v>190</v>
      </c>
      <c r="FN699" s="319" t="s">
        <v>190</v>
      </c>
      <c r="FO699" s="319" t="s">
        <v>190</v>
      </c>
      <c r="FP699" s="319" t="s">
        <v>190</v>
      </c>
      <c r="FQ699" s="319" t="s">
        <v>190</v>
      </c>
      <c r="FR699" s="319" t="s">
        <v>190</v>
      </c>
      <c r="FS699" s="319" t="s">
        <v>428</v>
      </c>
      <c r="FT699" s="319" t="s">
        <v>190</v>
      </c>
      <c r="FU699" s="319" t="s">
        <v>190</v>
      </c>
      <c r="FV699" s="319" t="s">
        <v>190</v>
      </c>
      <c r="FW699" s="319" t="s">
        <v>190</v>
      </c>
      <c r="FX699" s="319" t="s">
        <v>190</v>
      </c>
      <c r="FY699" s="319" t="s">
        <v>190</v>
      </c>
      <c r="FZ699" s="319" t="s">
        <v>190</v>
      </c>
      <c r="GA699" s="319" t="s">
        <v>190</v>
      </c>
      <c r="GB699" s="319" t="s">
        <v>190</v>
      </c>
      <c r="GC699" s="319" t="s">
        <v>190</v>
      </c>
      <c r="GD699" s="319" t="s">
        <v>190</v>
      </c>
      <c r="GE699" s="319" t="s">
        <v>190</v>
      </c>
      <c r="GF699" s="319" t="s">
        <v>190</v>
      </c>
      <c r="GG699" s="319" t="s">
        <v>190</v>
      </c>
      <c r="GH699" s="319" t="s">
        <v>190</v>
      </c>
      <c r="GI699" s="319" t="s">
        <v>190</v>
      </c>
      <c r="GJ699" s="319" t="s">
        <v>190</v>
      </c>
      <c r="GK699" s="319" t="s">
        <v>428</v>
      </c>
      <c r="GL699" s="319" t="s">
        <v>190</v>
      </c>
      <c r="GM699" s="319" t="s">
        <v>190</v>
      </c>
      <c r="GN699" s="319" t="s">
        <v>190</v>
      </c>
      <c r="GO699" s="319" t="s">
        <v>190</v>
      </c>
      <c r="GP699" s="319" t="s">
        <v>190</v>
      </c>
      <c r="GQ699" s="319" t="s">
        <v>190</v>
      </c>
      <c r="GR699" s="319" t="s">
        <v>190</v>
      </c>
      <c r="GS699" s="319" t="s">
        <v>190</v>
      </c>
      <c r="GT699" s="319" t="s">
        <v>190</v>
      </c>
      <c r="GU699" s="319" t="s">
        <v>190</v>
      </c>
      <c r="GV699" s="319" t="s">
        <v>190</v>
      </c>
      <c r="GW699" s="319" t="s">
        <v>190</v>
      </c>
      <c r="GX699" s="319" t="s">
        <v>190</v>
      </c>
      <c r="GY699" s="319" t="s">
        <v>190</v>
      </c>
      <c r="GZ699" s="319" t="s">
        <v>190</v>
      </c>
      <c r="HA699" s="319" t="s">
        <v>428</v>
      </c>
      <c r="HB699" s="319" t="s">
        <v>190</v>
      </c>
      <c r="HC699" s="319" t="s">
        <v>190</v>
      </c>
      <c r="HD699" s="319" t="s">
        <v>190</v>
      </c>
      <c r="HE699" s="319" t="s">
        <v>190</v>
      </c>
      <c r="HF699" s="319" t="s">
        <v>190</v>
      </c>
      <c r="HG699" s="319" t="s">
        <v>190</v>
      </c>
      <c r="HH699" s="319" t="s">
        <v>190</v>
      </c>
      <c r="HI699" s="319" t="s">
        <v>190</v>
      </c>
      <c r="HJ699" s="319" t="s">
        <v>190</v>
      </c>
      <c r="HK699" s="319" t="s">
        <v>190</v>
      </c>
      <c r="HL699" s="319" t="s">
        <v>190</v>
      </c>
      <c r="HM699" s="319" t="s">
        <v>428</v>
      </c>
      <c r="HN699" s="319" t="s">
        <v>428</v>
      </c>
      <c r="HO699" s="319" t="s">
        <v>428</v>
      </c>
      <c r="HP699" s="319" t="s">
        <v>190</v>
      </c>
      <c r="HQ699" s="319" t="s">
        <v>190</v>
      </c>
      <c r="HR699" s="319" t="s">
        <v>190</v>
      </c>
      <c r="HS699" s="319" t="s">
        <v>190</v>
      </c>
      <c r="HT699" s="319" t="s">
        <v>190</v>
      </c>
      <c r="HU699" s="319" t="s">
        <v>190</v>
      </c>
      <c r="HV699" s="319" t="s">
        <v>190</v>
      </c>
      <c r="HW699" s="319" t="s">
        <v>190</v>
      </c>
      <c r="HX699" s="319" t="s">
        <v>190</v>
      </c>
      <c r="HY699" s="319" t="s">
        <v>190</v>
      </c>
      <c r="HZ699" s="319" t="s">
        <v>190</v>
      </c>
      <c r="IA699" s="319" t="s">
        <v>190</v>
      </c>
      <c r="IB699" s="319" t="s">
        <v>190</v>
      </c>
      <c r="IC699" s="319" t="s">
        <v>190</v>
      </c>
      <c r="ID699" s="319" t="s">
        <v>190</v>
      </c>
      <c r="IE699" s="319" t="s">
        <v>190</v>
      </c>
      <c r="IF699" s="319" t="s">
        <v>190</v>
      </c>
      <c r="IG699" s="319" t="s">
        <v>190</v>
      </c>
      <c r="IH699" s="319" t="s">
        <v>190</v>
      </c>
      <c r="II699" s="319" t="s">
        <v>190</v>
      </c>
      <c r="IJ699" s="319">
        <v>10012878</v>
      </c>
      <c r="IK699" s="321">
        <v>42689</v>
      </c>
      <c r="IL699" s="321">
        <v>42691</v>
      </c>
      <c r="IM699" s="321">
        <v>42751</v>
      </c>
      <c r="IN699" s="319">
        <v>2</v>
      </c>
      <c r="IO699" s="319" t="s">
        <v>173</v>
      </c>
      <c r="IP699" s="319" t="s">
        <v>173</v>
      </c>
      <c r="IQ699" s="319" t="s">
        <v>173</v>
      </c>
      <c r="IR699" s="320" t="s">
        <v>173</v>
      </c>
      <c r="IS699" s="320" t="s">
        <v>173</v>
      </c>
      <c r="IT699" s="319" t="s">
        <v>173</v>
      </c>
    </row>
    <row r="700" spans="1:254" s="271" customFormat="1" x14ac:dyDescent="0.25">
      <c r="A700" s="318" t="str">
        <f>HYPERLINK("http://www.ofsted.gov.uk/inspection-reports/find-inspection-report/provider/ELS/138498 ","Ofsted School Webpage")</f>
        <v>Ofsted School Webpage</v>
      </c>
      <c r="B700" s="319">
        <v>138498</v>
      </c>
      <c r="C700" s="319">
        <v>3506001</v>
      </c>
      <c r="D700" s="319" t="s">
        <v>2171</v>
      </c>
      <c r="E700" s="319" t="s">
        <v>167</v>
      </c>
      <c r="F700" s="319" t="s">
        <v>81</v>
      </c>
      <c r="G700" s="319" t="s">
        <v>71</v>
      </c>
      <c r="H700" s="319" t="s">
        <v>71</v>
      </c>
      <c r="I700" s="319" t="s">
        <v>72</v>
      </c>
      <c r="J700" s="319" t="s">
        <v>424</v>
      </c>
      <c r="K700" s="319" t="s">
        <v>431</v>
      </c>
      <c r="L700" s="319" t="s">
        <v>431</v>
      </c>
      <c r="M700" s="319" t="s">
        <v>1031</v>
      </c>
      <c r="N700" s="319" t="s">
        <v>2866</v>
      </c>
      <c r="O700" s="319" t="s">
        <v>2172</v>
      </c>
      <c r="P700" s="319">
        <v>104</v>
      </c>
      <c r="Q700" s="319" t="s">
        <v>2766</v>
      </c>
      <c r="R700" s="320">
        <v>10012843</v>
      </c>
      <c r="S700" s="321">
        <v>42745</v>
      </c>
      <c r="T700" s="321">
        <v>42747</v>
      </c>
      <c r="U700" s="321">
        <v>42774</v>
      </c>
      <c r="V700" s="319" t="s">
        <v>425</v>
      </c>
      <c r="W700" s="319" t="s">
        <v>2767</v>
      </c>
      <c r="X700" s="319">
        <v>2</v>
      </c>
      <c r="Y700" s="319" t="s">
        <v>173</v>
      </c>
      <c r="Z700" s="319" t="s">
        <v>173</v>
      </c>
      <c r="AA700" s="319" t="s">
        <v>173</v>
      </c>
      <c r="AB700" s="319">
        <v>2</v>
      </c>
      <c r="AC700" s="319" t="s">
        <v>169</v>
      </c>
      <c r="AD700" s="319" t="s">
        <v>173</v>
      </c>
      <c r="AE700" s="319" t="s">
        <v>173</v>
      </c>
      <c r="AF700" s="319" t="s">
        <v>173</v>
      </c>
      <c r="AG700" s="319" t="s">
        <v>171</v>
      </c>
      <c r="AH700" s="319" t="s">
        <v>190</v>
      </c>
      <c r="AI700" s="319" t="s">
        <v>190</v>
      </c>
      <c r="AJ700" s="319" t="s">
        <v>190</v>
      </c>
      <c r="AK700" s="319" t="s">
        <v>190</v>
      </c>
      <c r="AL700" s="319" t="s">
        <v>190</v>
      </c>
      <c r="AM700" s="319" t="s">
        <v>190</v>
      </c>
      <c r="AN700" s="319" t="s">
        <v>190</v>
      </c>
      <c r="AO700" s="319" t="s">
        <v>190</v>
      </c>
      <c r="AP700" s="319" t="s">
        <v>190</v>
      </c>
      <c r="AQ700" s="319" t="s">
        <v>190</v>
      </c>
      <c r="AR700" s="319" t="s">
        <v>190</v>
      </c>
      <c r="AS700" s="319" t="s">
        <v>190</v>
      </c>
      <c r="AT700" s="319" t="s">
        <v>190</v>
      </c>
      <c r="AU700" s="319" t="s">
        <v>190</v>
      </c>
      <c r="AV700" s="319" t="s">
        <v>190</v>
      </c>
      <c r="AW700" s="319" t="s">
        <v>190</v>
      </c>
      <c r="AX700" s="319" t="s">
        <v>429</v>
      </c>
      <c r="AY700" s="319" t="s">
        <v>190</v>
      </c>
      <c r="AZ700" s="319" t="s">
        <v>190</v>
      </c>
      <c r="BA700" s="319" t="s">
        <v>190</v>
      </c>
      <c r="BB700" s="319" t="s">
        <v>190</v>
      </c>
      <c r="BC700" s="319" t="s">
        <v>190</v>
      </c>
      <c r="BD700" s="319" t="s">
        <v>190</v>
      </c>
      <c r="BE700" s="319" t="s">
        <v>190</v>
      </c>
      <c r="BF700" s="319" t="s">
        <v>429</v>
      </c>
      <c r="BG700" s="319" t="s">
        <v>429</v>
      </c>
      <c r="BH700" s="319" t="s">
        <v>190</v>
      </c>
      <c r="BI700" s="319" t="s">
        <v>190</v>
      </c>
      <c r="BJ700" s="319" t="s">
        <v>190</v>
      </c>
      <c r="BK700" s="319" t="s">
        <v>190</v>
      </c>
      <c r="BL700" s="319" t="s">
        <v>190</v>
      </c>
      <c r="BM700" s="319" t="s">
        <v>190</v>
      </c>
      <c r="BN700" s="319" t="s">
        <v>190</v>
      </c>
      <c r="BO700" s="319" t="s">
        <v>190</v>
      </c>
      <c r="BP700" s="319" t="s">
        <v>190</v>
      </c>
      <c r="BQ700" s="319" t="s">
        <v>190</v>
      </c>
      <c r="BR700" s="319" t="s">
        <v>190</v>
      </c>
      <c r="BS700" s="319" t="s">
        <v>190</v>
      </c>
      <c r="BT700" s="319" t="s">
        <v>190</v>
      </c>
      <c r="BU700" s="319" t="s">
        <v>190</v>
      </c>
      <c r="BV700" s="319" t="s">
        <v>190</v>
      </c>
      <c r="BW700" s="319" t="s">
        <v>190</v>
      </c>
      <c r="BX700" s="319" t="s">
        <v>190</v>
      </c>
      <c r="BY700" s="319" t="s">
        <v>190</v>
      </c>
      <c r="BZ700" s="319" t="s">
        <v>190</v>
      </c>
      <c r="CA700" s="319" t="s">
        <v>190</v>
      </c>
      <c r="CB700" s="319" t="s">
        <v>190</v>
      </c>
      <c r="CC700" s="319" t="s">
        <v>190</v>
      </c>
      <c r="CD700" s="319" t="s">
        <v>190</v>
      </c>
      <c r="CE700" s="319" t="s">
        <v>190</v>
      </c>
      <c r="CF700" s="319" t="s">
        <v>190</v>
      </c>
      <c r="CG700" s="319" t="s">
        <v>190</v>
      </c>
      <c r="CH700" s="319" t="s">
        <v>190</v>
      </c>
      <c r="CI700" s="319" t="s">
        <v>190</v>
      </c>
      <c r="CJ700" s="319" t="s">
        <v>190</v>
      </c>
      <c r="CK700" s="319" t="s">
        <v>190</v>
      </c>
      <c r="CL700" s="319" t="s">
        <v>190</v>
      </c>
      <c r="CM700" s="319" t="s">
        <v>190</v>
      </c>
      <c r="CN700" s="319" t="s">
        <v>190</v>
      </c>
      <c r="CO700" s="319" t="s">
        <v>429</v>
      </c>
      <c r="CP700" s="319" t="s">
        <v>429</v>
      </c>
      <c r="CQ700" s="319" t="s">
        <v>190</v>
      </c>
      <c r="CR700" s="319" t="s">
        <v>190</v>
      </c>
      <c r="CS700" s="319" t="s">
        <v>190</v>
      </c>
      <c r="CT700" s="319" t="s">
        <v>190</v>
      </c>
      <c r="CU700" s="319" t="s">
        <v>190</v>
      </c>
      <c r="CV700" s="319" t="s">
        <v>190</v>
      </c>
      <c r="CW700" s="319" t="s">
        <v>190</v>
      </c>
      <c r="CX700" s="319" t="s">
        <v>190</v>
      </c>
      <c r="CY700" s="319" t="s">
        <v>190</v>
      </c>
      <c r="CZ700" s="319" t="s">
        <v>190</v>
      </c>
      <c r="DA700" s="319" t="s">
        <v>190</v>
      </c>
      <c r="DB700" s="319" t="s">
        <v>190</v>
      </c>
      <c r="DC700" s="319" t="s">
        <v>190</v>
      </c>
      <c r="DD700" s="319" t="s">
        <v>190</v>
      </c>
      <c r="DE700" s="319" t="s">
        <v>190</v>
      </c>
      <c r="DF700" s="319" t="s">
        <v>190</v>
      </c>
      <c r="DG700" s="319" t="s">
        <v>190</v>
      </c>
      <c r="DH700" s="319" t="s">
        <v>190</v>
      </c>
      <c r="DI700" s="319" t="s">
        <v>190</v>
      </c>
      <c r="DJ700" s="319" t="s">
        <v>190</v>
      </c>
      <c r="DK700" s="319" t="s">
        <v>190</v>
      </c>
      <c r="DL700" s="319" t="s">
        <v>190</v>
      </c>
      <c r="DM700" s="319" t="s">
        <v>190</v>
      </c>
      <c r="DN700" s="319" t="s">
        <v>429</v>
      </c>
      <c r="DO700" s="319" t="s">
        <v>190</v>
      </c>
      <c r="DP700" s="319" t="s">
        <v>429</v>
      </c>
      <c r="DQ700" s="319" t="s">
        <v>429</v>
      </c>
      <c r="DR700" s="319" t="s">
        <v>429</v>
      </c>
      <c r="DS700" s="319" t="s">
        <v>429</v>
      </c>
      <c r="DT700" s="319" t="s">
        <v>429</v>
      </c>
      <c r="DU700" s="319" t="s">
        <v>429</v>
      </c>
      <c r="DV700" s="319" t="s">
        <v>173</v>
      </c>
      <c r="DW700" s="319" t="s">
        <v>429</v>
      </c>
      <c r="DX700" s="319" t="s">
        <v>429</v>
      </c>
      <c r="DY700" s="319" t="s">
        <v>429</v>
      </c>
      <c r="DZ700" s="319" t="s">
        <v>429</v>
      </c>
      <c r="EA700" s="319" t="s">
        <v>429</v>
      </c>
      <c r="EB700" s="319" t="s">
        <v>429</v>
      </c>
      <c r="EC700" s="319" t="s">
        <v>429</v>
      </c>
      <c r="ED700" s="319" t="s">
        <v>429</v>
      </c>
      <c r="EE700" s="319" t="s">
        <v>429</v>
      </c>
      <c r="EF700" s="319" t="s">
        <v>190</v>
      </c>
      <c r="EG700" s="319" t="s">
        <v>190</v>
      </c>
      <c r="EH700" s="319" t="s">
        <v>190</v>
      </c>
      <c r="EI700" s="319" t="s">
        <v>190</v>
      </c>
      <c r="EJ700" s="319" t="s">
        <v>190</v>
      </c>
      <c r="EK700" s="319" t="s">
        <v>190</v>
      </c>
      <c r="EL700" s="319" t="s">
        <v>190</v>
      </c>
      <c r="EM700" s="319" t="s">
        <v>190</v>
      </c>
      <c r="EN700" s="319" t="s">
        <v>190</v>
      </c>
      <c r="EO700" s="319" t="s">
        <v>190</v>
      </c>
      <c r="EP700" s="319" t="s">
        <v>190</v>
      </c>
      <c r="EQ700" s="319" t="s">
        <v>190</v>
      </c>
      <c r="ER700" s="319" t="s">
        <v>190</v>
      </c>
      <c r="ES700" s="319" t="s">
        <v>190</v>
      </c>
      <c r="ET700" s="319" t="s">
        <v>190</v>
      </c>
      <c r="EU700" s="319" t="s">
        <v>190</v>
      </c>
      <c r="EV700" s="319" t="s">
        <v>190</v>
      </c>
      <c r="EW700" s="319" t="s">
        <v>190</v>
      </c>
      <c r="EX700" s="319" t="s">
        <v>190</v>
      </c>
      <c r="EY700" s="319" t="s">
        <v>190</v>
      </c>
      <c r="EZ700" s="319" t="s">
        <v>190</v>
      </c>
      <c r="FA700" s="319" t="s">
        <v>190</v>
      </c>
      <c r="FB700" s="319" t="s">
        <v>429</v>
      </c>
      <c r="FC700" s="319" t="s">
        <v>429</v>
      </c>
      <c r="FD700" s="319" t="s">
        <v>429</v>
      </c>
      <c r="FE700" s="319" t="s">
        <v>429</v>
      </c>
      <c r="FF700" s="319" t="s">
        <v>429</v>
      </c>
      <c r="FG700" s="319" t="s">
        <v>429</v>
      </c>
      <c r="FH700" s="319" t="s">
        <v>429</v>
      </c>
      <c r="FI700" s="319" t="s">
        <v>429</v>
      </c>
      <c r="FJ700" s="319" t="s">
        <v>429</v>
      </c>
      <c r="FK700" s="319" t="s">
        <v>429</v>
      </c>
      <c r="FL700" s="319" t="s">
        <v>190</v>
      </c>
      <c r="FM700" s="319" t="s">
        <v>190</v>
      </c>
      <c r="FN700" s="319" t="s">
        <v>429</v>
      </c>
      <c r="FO700" s="319" t="s">
        <v>190</v>
      </c>
      <c r="FP700" s="319" t="s">
        <v>190</v>
      </c>
      <c r="FQ700" s="319" t="s">
        <v>190</v>
      </c>
      <c r="FR700" s="319" t="s">
        <v>190</v>
      </c>
      <c r="FS700" s="319" t="s">
        <v>429</v>
      </c>
      <c r="FT700" s="319" t="s">
        <v>190</v>
      </c>
      <c r="FU700" s="319" t="s">
        <v>190</v>
      </c>
      <c r="FV700" s="319" t="s">
        <v>190</v>
      </c>
      <c r="FW700" s="319" t="s">
        <v>190</v>
      </c>
      <c r="FX700" s="319" t="s">
        <v>190</v>
      </c>
      <c r="FY700" s="319" t="s">
        <v>190</v>
      </c>
      <c r="FZ700" s="319" t="s">
        <v>190</v>
      </c>
      <c r="GA700" s="319" t="s">
        <v>190</v>
      </c>
      <c r="GB700" s="319" t="s">
        <v>190</v>
      </c>
      <c r="GC700" s="319" t="s">
        <v>190</v>
      </c>
      <c r="GD700" s="319" t="s">
        <v>190</v>
      </c>
      <c r="GE700" s="319" t="s">
        <v>190</v>
      </c>
      <c r="GF700" s="319" t="s">
        <v>190</v>
      </c>
      <c r="GG700" s="319" t="s">
        <v>190</v>
      </c>
      <c r="GH700" s="319" t="s">
        <v>190</v>
      </c>
      <c r="GI700" s="319" t="s">
        <v>190</v>
      </c>
      <c r="GJ700" s="319" t="s">
        <v>190</v>
      </c>
      <c r="GK700" s="319" t="s">
        <v>429</v>
      </c>
      <c r="GL700" s="319" t="s">
        <v>190</v>
      </c>
      <c r="GM700" s="319" t="s">
        <v>190</v>
      </c>
      <c r="GN700" s="319" t="s">
        <v>190</v>
      </c>
      <c r="GO700" s="319" t="s">
        <v>190</v>
      </c>
      <c r="GP700" s="319" t="s">
        <v>190</v>
      </c>
      <c r="GQ700" s="319" t="s">
        <v>429</v>
      </c>
      <c r="GR700" s="319" t="s">
        <v>190</v>
      </c>
      <c r="GS700" s="319" t="s">
        <v>190</v>
      </c>
      <c r="GT700" s="319" t="s">
        <v>429</v>
      </c>
      <c r="GU700" s="319" t="s">
        <v>429</v>
      </c>
      <c r="GV700" s="319" t="s">
        <v>190</v>
      </c>
      <c r="GW700" s="319" t="s">
        <v>190</v>
      </c>
      <c r="GX700" s="319" t="s">
        <v>190</v>
      </c>
      <c r="GY700" s="319" t="s">
        <v>190</v>
      </c>
      <c r="GZ700" s="319" t="s">
        <v>429</v>
      </c>
      <c r="HA700" s="319" t="s">
        <v>190</v>
      </c>
      <c r="HB700" s="319" t="s">
        <v>190</v>
      </c>
      <c r="HC700" s="319" t="s">
        <v>190</v>
      </c>
      <c r="HD700" s="319" t="s">
        <v>190</v>
      </c>
      <c r="HE700" s="319" t="s">
        <v>190</v>
      </c>
      <c r="HF700" s="319" t="s">
        <v>190</v>
      </c>
      <c r="HG700" s="319" t="s">
        <v>190</v>
      </c>
      <c r="HH700" s="319" t="s">
        <v>190</v>
      </c>
      <c r="HI700" s="319" t="s">
        <v>190</v>
      </c>
      <c r="HJ700" s="319" t="s">
        <v>190</v>
      </c>
      <c r="HK700" s="319" t="s">
        <v>190</v>
      </c>
      <c r="HL700" s="319" t="s">
        <v>190</v>
      </c>
      <c r="HM700" s="319" t="s">
        <v>190</v>
      </c>
      <c r="HN700" s="319" t="s">
        <v>190</v>
      </c>
      <c r="HO700" s="319" t="s">
        <v>190</v>
      </c>
      <c r="HP700" s="319" t="s">
        <v>190</v>
      </c>
      <c r="HQ700" s="319" t="s">
        <v>190</v>
      </c>
      <c r="HR700" s="319" t="s">
        <v>190</v>
      </c>
      <c r="HS700" s="319" t="s">
        <v>190</v>
      </c>
      <c r="HT700" s="319" t="s">
        <v>190</v>
      </c>
      <c r="HU700" s="319" t="s">
        <v>190</v>
      </c>
      <c r="HV700" s="319" t="s">
        <v>190</v>
      </c>
      <c r="HW700" s="319" t="s">
        <v>190</v>
      </c>
      <c r="HX700" s="319" t="s">
        <v>190</v>
      </c>
      <c r="HY700" s="319" t="s">
        <v>190</v>
      </c>
      <c r="HZ700" s="319" t="s">
        <v>190</v>
      </c>
      <c r="IA700" s="319" t="s">
        <v>190</v>
      </c>
      <c r="IB700" s="319" t="s">
        <v>190</v>
      </c>
      <c r="IC700" s="319" t="s">
        <v>190</v>
      </c>
      <c r="ID700" s="319" t="s">
        <v>190</v>
      </c>
      <c r="IE700" s="319" t="s">
        <v>190</v>
      </c>
      <c r="IF700" s="319" t="s">
        <v>190</v>
      </c>
      <c r="IG700" s="319" t="s">
        <v>190</v>
      </c>
      <c r="IH700" s="319" t="s">
        <v>190</v>
      </c>
      <c r="II700" s="319" t="s">
        <v>190</v>
      </c>
      <c r="IJ700" s="319" t="s">
        <v>3438</v>
      </c>
      <c r="IK700" s="321">
        <v>41436</v>
      </c>
      <c r="IL700" s="321">
        <v>41437</v>
      </c>
      <c r="IM700" s="321">
        <v>41463</v>
      </c>
      <c r="IN700" s="319">
        <v>3</v>
      </c>
      <c r="IO700" s="319" t="s">
        <v>173</v>
      </c>
      <c r="IP700" s="319" t="s">
        <v>173</v>
      </c>
      <c r="IQ700" s="319" t="s">
        <v>173</v>
      </c>
      <c r="IR700" s="320" t="s">
        <v>173</v>
      </c>
      <c r="IS700" s="320" t="s">
        <v>173</v>
      </c>
      <c r="IT700" s="319" t="s">
        <v>173</v>
      </c>
    </row>
    <row r="701" spans="1:254" s="271" customFormat="1" x14ac:dyDescent="0.25">
      <c r="A701" s="318" t="str">
        <f>HYPERLINK("http://www.ofsted.gov.uk/inspection-reports/find-inspection-report/provider/ELS/138516 ","Ofsted School Webpage")</f>
        <v>Ofsted School Webpage</v>
      </c>
      <c r="B701" s="319">
        <v>138516</v>
      </c>
      <c r="C701" s="319">
        <v>2046006</v>
      </c>
      <c r="D701" s="319" t="s">
        <v>898</v>
      </c>
      <c r="E701" s="319" t="s">
        <v>167</v>
      </c>
      <c r="F701" s="319" t="s">
        <v>70</v>
      </c>
      <c r="G701" s="319" t="s">
        <v>69</v>
      </c>
      <c r="H701" s="319" t="s">
        <v>70</v>
      </c>
      <c r="I701" s="319" t="s">
        <v>69</v>
      </c>
      <c r="J701" s="319" t="s">
        <v>424</v>
      </c>
      <c r="K701" s="319" t="s">
        <v>441</v>
      </c>
      <c r="L701" s="319" t="s">
        <v>441</v>
      </c>
      <c r="M701" s="319" t="s">
        <v>547</v>
      </c>
      <c r="N701" s="319" t="s">
        <v>2774</v>
      </c>
      <c r="O701" s="319" t="s">
        <v>625</v>
      </c>
      <c r="P701" s="319">
        <v>212</v>
      </c>
      <c r="Q701" s="319" t="s">
        <v>2766</v>
      </c>
      <c r="R701" s="320">
        <v>10068030</v>
      </c>
      <c r="S701" s="321">
        <v>43501</v>
      </c>
      <c r="T701" s="321">
        <v>43503</v>
      </c>
      <c r="U701" s="321">
        <v>43542</v>
      </c>
      <c r="V701" s="319" t="s">
        <v>425</v>
      </c>
      <c r="W701" s="319" t="s">
        <v>2767</v>
      </c>
      <c r="X701" s="319">
        <v>2</v>
      </c>
      <c r="Y701" s="319" t="s">
        <v>173</v>
      </c>
      <c r="Z701" s="319" t="s">
        <v>173</v>
      </c>
      <c r="AA701" s="319" t="s">
        <v>173</v>
      </c>
      <c r="AB701" s="319">
        <v>2</v>
      </c>
      <c r="AC701" s="319" t="s">
        <v>169</v>
      </c>
      <c r="AD701" s="319">
        <v>2</v>
      </c>
      <c r="AE701" s="319" t="s">
        <v>173</v>
      </c>
      <c r="AF701" s="319" t="s">
        <v>447</v>
      </c>
      <c r="AG701" s="319" t="s">
        <v>171</v>
      </c>
      <c r="AH701" s="319" t="s">
        <v>190</v>
      </c>
      <c r="AI701" s="319" t="s">
        <v>190</v>
      </c>
      <c r="AJ701" s="319" t="s">
        <v>190</v>
      </c>
      <c r="AK701" s="319" t="s">
        <v>190</v>
      </c>
      <c r="AL701" s="319" t="s">
        <v>190</v>
      </c>
      <c r="AM701" s="319" t="s">
        <v>190</v>
      </c>
      <c r="AN701" s="319" t="s">
        <v>190</v>
      </c>
      <c r="AO701" s="319" t="s">
        <v>190</v>
      </c>
      <c r="AP701" s="319" t="s">
        <v>190</v>
      </c>
      <c r="AQ701" s="319" t="s">
        <v>190</v>
      </c>
      <c r="AR701" s="319" t="s">
        <v>190</v>
      </c>
      <c r="AS701" s="319" t="s">
        <v>190</v>
      </c>
      <c r="AT701" s="319" t="s">
        <v>190</v>
      </c>
      <c r="AU701" s="319" t="s">
        <v>190</v>
      </c>
      <c r="AV701" s="319" t="s">
        <v>190</v>
      </c>
      <c r="AW701" s="319" t="s">
        <v>190</v>
      </c>
      <c r="AX701" s="319" t="s">
        <v>428</v>
      </c>
      <c r="AY701" s="319" t="s">
        <v>190</v>
      </c>
      <c r="AZ701" s="319" t="s">
        <v>190</v>
      </c>
      <c r="BA701" s="319" t="s">
        <v>190</v>
      </c>
      <c r="BB701" s="319" t="s">
        <v>190</v>
      </c>
      <c r="BC701" s="319" t="s">
        <v>190</v>
      </c>
      <c r="BD701" s="319" t="s">
        <v>190</v>
      </c>
      <c r="BE701" s="319" t="s">
        <v>190</v>
      </c>
      <c r="BF701" s="319" t="s">
        <v>190</v>
      </c>
      <c r="BG701" s="319" t="s">
        <v>190</v>
      </c>
      <c r="BH701" s="319" t="s">
        <v>190</v>
      </c>
      <c r="BI701" s="319" t="s">
        <v>190</v>
      </c>
      <c r="BJ701" s="319" t="s">
        <v>190</v>
      </c>
      <c r="BK701" s="319" t="s">
        <v>190</v>
      </c>
      <c r="BL701" s="319" t="s">
        <v>190</v>
      </c>
      <c r="BM701" s="319" t="s">
        <v>190</v>
      </c>
      <c r="BN701" s="319" t="s">
        <v>190</v>
      </c>
      <c r="BO701" s="319" t="s">
        <v>190</v>
      </c>
      <c r="BP701" s="319" t="s">
        <v>190</v>
      </c>
      <c r="BQ701" s="319" t="s">
        <v>190</v>
      </c>
      <c r="BR701" s="319" t="s">
        <v>190</v>
      </c>
      <c r="BS701" s="319" t="s">
        <v>190</v>
      </c>
      <c r="BT701" s="319" t="s">
        <v>190</v>
      </c>
      <c r="BU701" s="319" t="s">
        <v>190</v>
      </c>
      <c r="BV701" s="319" t="s">
        <v>190</v>
      </c>
      <c r="BW701" s="319" t="s">
        <v>190</v>
      </c>
      <c r="BX701" s="319" t="s">
        <v>190</v>
      </c>
      <c r="BY701" s="319" t="s">
        <v>190</v>
      </c>
      <c r="BZ701" s="319" t="s">
        <v>190</v>
      </c>
      <c r="CA701" s="319" t="s">
        <v>190</v>
      </c>
      <c r="CB701" s="319" t="s">
        <v>190</v>
      </c>
      <c r="CC701" s="319" t="s">
        <v>190</v>
      </c>
      <c r="CD701" s="319" t="s">
        <v>190</v>
      </c>
      <c r="CE701" s="319" t="s">
        <v>190</v>
      </c>
      <c r="CF701" s="319" t="s">
        <v>190</v>
      </c>
      <c r="CG701" s="319" t="s">
        <v>190</v>
      </c>
      <c r="CH701" s="319" t="s">
        <v>190</v>
      </c>
      <c r="CI701" s="319" t="s">
        <v>190</v>
      </c>
      <c r="CJ701" s="319" t="s">
        <v>190</v>
      </c>
      <c r="CK701" s="319" t="s">
        <v>190</v>
      </c>
      <c r="CL701" s="319" t="s">
        <v>190</v>
      </c>
      <c r="CM701" s="319" t="s">
        <v>190</v>
      </c>
      <c r="CN701" s="319" t="s">
        <v>428</v>
      </c>
      <c r="CO701" s="319" t="s">
        <v>428</v>
      </c>
      <c r="CP701" s="319" t="s">
        <v>428</v>
      </c>
      <c r="CQ701" s="319" t="s">
        <v>190</v>
      </c>
      <c r="CR701" s="319" t="s">
        <v>190</v>
      </c>
      <c r="CS701" s="319" t="s">
        <v>190</v>
      </c>
      <c r="CT701" s="319" t="s">
        <v>190</v>
      </c>
      <c r="CU701" s="319" t="s">
        <v>190</v>
      </c>
      <c r="CV701" s="319" t="s">
        <v>190</v>
      </c>
      <c r="CW701" s="319" t="s">
        <v>190</v>
      </c>
      <c r="CX701" s="319" t="s">
        <v>190</v>
      </c>
      <c r="CY701" s="319" t="s">
        <v>190</v>
      </c>
      <c r="CZ701" s="319" t="s">
        <v>190</v>
      </c>
      <c r="DA701" s="319" t="s">
        <v>190</v>
      </c>
      <c r="DB701" s="319" t="s">
        <v>190</v>
      </c>
      <c r="DC701" s="319" t="s">
        <v>190</v>
      </c>
      <c r="DD701" s="319" t="s">
        <v>190</v>
      </c>
      <c r="DE701" s="319" t="s">
        <v>190</v>
      </c>
      <c r="DF701" s="319" t="s">
        <v>190</v>
      </c>
      <c r="DG701" s="319" t="s">
        <v>190</v>
      </c>
      <c r="DH701" s="319" t="s">
        <v>190</v>
      </c>
      <c r="DI701" s="319" t="s">
        <v>190</v>
      </c>
      <c r="DJ701" s="319" t="s">
        <v>190</v>
      </c>
      <c r="DK701" s="319" t="s">
        <v>190</v>
      </c>
      <c r="DL701" s="319" t="s">
        <v>190</v>
      </c>
      <c r="DM701" s="319" t="s">
        <v>428</v>
      </c>
      <c r="DN701" s="319" t="s">
        <v>428</v>
      </c>
      <c r="DO701" s="319" t="s">
        <v>190</v>
      </c>
      <c r="DP701" s="319" t="s">
        <v>190</v>
      </c>
      <c r="DQ701" s="319" t="s">
        <v>190</v>
      </c>
      <c r="DR701" s="319" t="s">
        <v>190</v>
      </c>
      <c r="DS701" s="319" t="s">
        <v>190</v>
      </c>
      <c r="DT701" s="319" t="s">
        <v>190</v>
      </c>
      <c r="DU701" s="319" t="s">
        <v>190</v>
      </c>
      <c r="DV701" s="319" t="s">
        <v>173</v>
      </c>
      <c r="DW701" s="319" t="s">
        <v>190</v>
      </c>
      <c r="DX701" s="319" t="s">
        <v>190</v>
      </c>
      <c r="DY701" s="319" t="s">
        <v>190</v>
      </c>
      <c r="DZ701" s="319" t="s">
        <v>190</v>
      </c>
      <c r="EA701" s="319" t="s">
        <v>190</v>
      </c>
      <c r="EB701" s="319" t="s">
        <v>190</v>
      </c>
      <c r="EC701" s="319" t="s">
        <v>428</v>
      </c>
      <c r="ED701" s="319" t="s">
        <v>190</v>
      </c>
      <c r="EE701" s="319" t="s">
        <v>190</v>
      </c>
      <c r="EF701" s="319" t="s">
        <v>190</v>
      </c>
      <c r="EG701" s="319" t="s">
        <v>190</v>
      </c>
      <c r="EH701" s="319" t="s">
        <v>190</v>
      </c>
      <c r="EI701" s="319" t="s">
        <v>190</v>
      </c>
      <c r="EJ701" s="319" t="s">
        <v>190</v>
      </c>
      <c r="EK701" s="319" t="s">
        <v>190</v>
      </c>
      <c r="EL701" s="319" t="s">
        <v>190</v>
      </c>
      <c r="EM701" s="319" t="s">
        <v>190</v>
      </c>
      <c r="EN701" s="319" t="s">
        <v>190</v>
      </c>
      <c r="EO701" s="319" t="s">
        <v>190</v>
      </c>
      <c r="EP701" s="319" t="s">
        <v>190</v>
      </c>
      <c r="EQ701" s="319" t="s">
        <v>190</v>
      </c>
      <c r="ER701" s="319" t="s">
        <v>190</v>
      </c>
      <c r="ES701" s="319" t="s">
        <v>190</v>
      </c>
      <c r="ET701" s="319" t="s">
        <v>190</v>
      </c>
      <c r="EU701" s="319" t="s">
        <v>190</v>
      </c>
      <c r="EV701" s="319" t="s">
        <v>190</v>
      </c>
      <c r="EW701" s="319" t="s">
        <v>190</v>
      </c>
      <c r="EX701" s="319" t="s">
        <v>190</v>
      </c>
      <c r="EY701" s="319" t="s">
        <v>190</v>
      </c>
      <c r="EZ701" s="319" t="s">
        <v>190</v>
      </c>
      <c r="FA701" s="319" t="s">
        <v>428</v>
      </c>
      <c r="FB701" s="319" t="s">
        <v>190</v>
      </c>
      <c r="FC701" s="319" t="s">
        <v>190</v>
      </c>
      <c r="FD701" s="319" t="s">
        <v>190</v>
      </c>
      <c r="FE701" s="319" t="s">
        <v>190</v>
      </c>
      <c r="FF701" s="319" t="s">
        <v>190</v>
      </c>
      <c r="FG701" s="319" t="s">
        <v>190</v>
      </c>
      <c r="FH701" s="319" t="s">
        <v>190</v>
      </c>
      <c r="FI701" s="319" t="s">
        <v>428</v>
      </c>
      <c r="FJ701" s="319" t="s">
        <v>429</v>
      </c>
      <c r="FK701" s="319" t="s">
        <v>428</v>
      </c>
      <c r="FL701" s="319" t="s">
        <v>190</v>
      </c>
      <c r="FM701" s="319" t="s">
        <v>190</v>
      </c>
      <c r="FN701" s="319" t="s">
        <v>428</v>
      </c>
      <c r="FO701" s="319" t="s">
        <v>190</v>
      </c>
      <c r="FP701" s="319" t="s">
        <v>190</v>
      </c>
      <c r="FQ701" s="319" t="s">
        <v>190</v>
      </c>
      <c r="FR701" s="319" t="s">
        <v>190</v>
      </c>
      <c r="FS701" s="319" t="s">
        <v>428</v>
      </c>
      <c r="FT701" s="319" t="s">
        <v>190</v>
      </c>
      <c r="FU701" s="319" t="s">
        <v>190</v>
      </c>
      <c r="FV701" s="319" t="s">
        <v>190</v>
      </c>
      <c r="FW701" s="319" t="s">
        <v>190</v>
      </c>
      <c r="FX701" s="319" t="s">
        <v>190</v>
      </c>
      <c r="FY701" s="319" t="s">
        <v>190</v>
      </c>
      <c r="FZ701" s="319" t="s">
        <v>190</v>
      </c>
      <c r="GA701" s="319" t="s">
        <v>190</v>
      </c>
      <c r="GB701" s="319" t="s">
        <v>190</v>
      </c>
      <c r="GC701" s="319" t="s">
        <v>190</v>
      </c>
      <c r="GD701" s="319" t="s">
        <v>190</v>
      </c>
      <c r="GE701" s="319" t="s">
        <v>190</v>
      </c>
      <c r="GF701" s="319" t="s">
        <v>190</v>
      </c>
      <c r="GG701" s="319" t="s">
        <v>190</v>
      </c>
      <c r="GH701" s="319" t="s">
        <v>190</v>
      </c>
      <c r="GI701" s="319" t="s">
        <v>190</v>
      </c>
      <c r="GJ701" s="319" t="s">
        <v>190</v>
      </c>
      <c r="GK701" s="319" t="s">
        <v>428</v>
      </c>
      <c r="GL701" s="319" t="s">
        <v>190</v>
      </c>
      <c r="GM701" s="319" t="s">
        <v>190</v>
      </c>
      <c r="GN701" s="319" t="s">
        <v>190</v>
      </c>
      <c r="GO701" s="319" t="s">
        <v>190</v>
      </c>
      <c r="GP701" s="319" t="s">
        <v>190</v>
      </c>
      <c r="GQ701" s="319" t="s">
        <v>428</v>
      </c>
      <c r="GR701" s="319" t="s">
        <v>190</v>
      </c>
      <c r="GS701" s="319" t="s">
        <v>190</v>
      </c>
      <c r="GT701" s="319" t="s">
        <v>428</v>
      </c>
      <c r="GU701" s="319" t="s">
        <v>428</v>
      </c>
      <c r="GV701" s="319" t="s">
        <v>190</v>
      </c>
      <c r="GW701" s="319" t="s">
        <v>190</v>
      </c>
      <c r="GX701" s="319" t="s">
        <v>190</v>
      </c>
      <c r="GY701" s="319" t="s">
        <v>190</v>
      </c>
      <c r="GZ701" s="319" t="s">
        <v>428</v>
      </c>
      <c r="HA701" s="319" t="s">
        <v>190</v>
      </c>
      <c r="HB701" s="319" t="s">
        <v>190</v>
      </c>
      <c r="HC701" s="319" t="s">
        <v>190</v>
      </c>
      <c r="HD701" s="319" t="s">
        <v>190</v>
      </c>
      <c r="HE701" s="319" t="s">
        <v>190</v>
      </c>
      <c r="HF701" s="319" t="s">
        <v>190</v>
      </c>
      <c r="HG701" s="319" t="s">
        <v>190</v>
      </c>
      <c r="HH701" s="319" t="s">
        <v>190</v>
      </c>
      <c r="HI701" s="319" t="s">
        <v>190</v>
      </c>
      <c r="HJ701" s="319" t="s">
        <v>190</v>
      </c>
      <c r="HK701" s="319" t="s">
        <v>190</v>
      </c>
      <c r="HL701" s="319" t="s">
        <v>428</v>
      </c>
      <c r="HM701" s="319" t="s">
        <v>428</v>
      </c>
      <c r="HN701" s="319" t="s">
        <v>428</v>
      </c>
      <c r="HO701" s="319" t="s">
        <v>428</v>
      </c>
      <c r="HP701" s="319" t="s">
        <v>190</v>
      </c>
      <c r="HQ701" s="319" t="s">
        <v>190</v>
      </c>
      <c r="HR701" s="319" t="s">
        <v>190</v>
      </c>
      <c r="HS701" s="319" t="s">
        <v>190</v>
      </c>
      <c r="HT701" s="319" t="s">
        <v>190</v>
      </c>
      <c r="HU701" s="319" t="s">
        <v>190</v>
      </c>
      <c r="HV701" s="319" t="s">
        <v>190</v>
      </c>
      <c r="HW701" s="319" t="s">
        <v>190</v>
      </c>
      <c r="HX701" s="319" t="s">
        <v>190</v>
      </c>
      <c r="HY701" s="319" t="s">
        <v>190</v>
      </c>
      <c r="HZ701" s="319" t="s">
        <v>190</v>
      </c>
      <c r="IA701" s="319" t="s">
        <v>190</v>
      </c>
      <c r="IB701" s="319" t="s">
        <v>190</v>
      </c>
      <c r="IC701" s="319" t="s">
        <v>190</v>
      </c>
      <c r="ID701" s="319" t="s">
        <v>190</v>
      </c>
      <c r="IE701" s="319" t="s">
        <v>190</v>
      </c>
      <c r="IF701" s="319" t="s">
        <v>190</v>
      </c>
      <c r="IG701" s="319" t="s">
        <v>190</v>
      </c>
      <c r="IH701" s="319" t="s">
        <v>190</v>
      </c>
      <c r="II701" s="319" t="s">
        <v>190</v>
      </c>
      <c r="IJ701" s="319">
        <v>10020725</v>
      </c>
      <c r="IK701" s="321">
        <v>43046</v>
      </c>
      <c r="IL701" s="321">
        <v>43048</v>
      </c>
      <c r="IM701" s="321">
        <v>43123</v>
      </c>
      <c r="IN701" s="319">
        <v>4</v>
      </c>
      <c r="IO701" s="319" t="s">
        <v>173</v>
      </c>
      <c r="IP701" s="319" t="s">
        <v>173</v>
      </c>
      <c r="IQ701" s="321" t="s">
        <v>173</v>
      </c>
      <c r="IR701" s="320" t="s">
        <v>173</v>
      </c>
      <c r="IS701" s="322" t="s">
        <v>173</v>
      </c>
      <c r="IT701" s="319" t="s">
        <v>173</v>
      </c>
    </row>
    <row r="702" spans="1:254" s="271" customFormat="1" x14ac:dyDescent="0.25">
      <c r="A702" s="318" t="str">
        <f>HYPERLINK("http://www.ofsted.gov.uk/inspection-reports/find-inspection-report/provider/ELS/138563 ","Ofsted School Webpage")</f>
        <v>Ofsted School Webpage</v>
      </c>
      <c r="B702" s="319">
        <v>138563</v>
      </c>
      <c r="C702" s="319">
        <v>8036009</v>
      </c>
      <c r="D702" s="319" t="s">
        <v>1070</v>
      </c>
      <c r="E702" s="319" t="s">
        <v>168</v>
      </c>
      <c r="F702" s="319" t="s">
        <v>81</v>
      </c>
      <c r="G702" s="319" t="s">
        <v>81</v>
      </c>
      <c r="H702" s="319" t="s">
        <v>81</v>
      </c>
      <c r="I702" s="319" t="s">
        <v>78</v>
      </c>
      <c r="J702" s="319" t="s">
        <v>424</v>
      </c>
      <c r="K702" s="319" t="s">
        <v>422</v>
      </c>
      <c r="L702" s="319" t="s">
        <v>422</v>
      </c>
      <c r="M702" s="319" t="s">
        <v>1071</v>
      </c>
      <c r="N702" s="319" t="s">
        <v>2900</v>
      </c>
      <c r="O702" s="319" t="s">
        <v>1072</v>
      </c>
      <c r="P702" s="319">
        <v>38</v>
      </c>
      <c r="Q702" s="319" t="s">
        <v>429</v>
      </c>
      <c r="R702" s="320">
        <v>10026043</v>
      </c>
      <c r="S702" s="321">
        <v>43053</v>
      </c>
      <c r="T702" s="321">
        <v>43055</v>
      </c>
      <c r="U702" s="321">
        <v>43077</v>
      </c>
      <c r="V702" s="319" t="s">
        <v>425</v>
      </c>
      <c r="W702" s="319" t="s">
        <v>2767</v>
      </c>
      <c r="X702" s="319">
        <v>2</v>
      </c>
      <c r="Y702" s="319" t="s">
        <v>173</v>
      </c>
      <c r="Z702" s="319" t="s">
        <v>173</v>
      </c>
      <c r="AA702" s="319" t="s">
        <v>173</v>
      </c>
      <c r="AB702" s="319">
        <v>2</v>
      </c>
      <c r="AC702" s="319" t="s">
        <v>169</v>
      </c>
      <c r="AD702" s="319" t="s">
        <v>173</v>
      </c>
      <c r="AE702" s="319" t="s">
        <v>173</v>
      </c>
      <c r="AF702" s="319" t="s">
        <v>173</v>
      </c>
      <c r="AG702" s="319" t="s">
        <v>171</v>
      </c>
      <c r="AH702" s="319" t="s">
        <v>190</v>
      </c>
      <c r="AI702" s="319" t="s">
        <v>190</v>
      </c>
      <c r="AJ702" s="319" t="s">
        <v>190</v>
      </c>
      <c r="AK702" s="319" t="s">
        <v>190</v>
      </c>
      <c r="AL702" s="319" t="s">
        <v>190</v>
      </c>
      <c r="AM702" s="319" t="s">
        <v>190</v>
      </c>
      <c r="AN702" s="319" t="s">
        <v>190</v>
      </c>
      <c r="AO702" s="319" t="s">
        <v>190</v>
      </c>
      <c r="AP702" s="319" t="s">
        <v>190</v>
      </c>
      <c r="AQ702" s="319" t="s">
        <v>190</v>
      </c>
      <c r="AR702" s="319" t="s">
        <v>190</v>
      </c>
      <c r="AS702" s="319" t="s">
        <v>190</v>
      </c>
      <c r="AT702" s="319" t="s">
        <v>190</v>
      </c>
      <c r="AU702" s="319" t="s">
        <v>190</v>
      </c>
      <c r="AV702" s="319" t="s">
        <v>190</v>
      </c>
      <c r="AW702" s="319" t="s">
        <v>190</v>
      </c>
      <c r="AX702" s="319" t="s">
        <v>190</v>
      </c>
      <c r="AY702" s="319" t="s">
        <v>190</v>
      </c>
      <c r="AZ702" s="319" t="s">
        <v>190</v>
      </c>
      <c r="BA702" s="319" t="s">
        <v>190</v>
      </c>
      <c r="BB702" s="319" t="s">
        <v>190</v>
      </c>
      <c r="BC702" s="319" t="s">
        <v>190</v>
      </c>
      <c r="BD702" s="319" t="s">
        <v>190</v>
      </c>
      <c r="BE702" s="319" t="s">
        <v>190</v>
      </c>
      <c r="BF702" s="319" t="s">
        <v>429</v>
      </c>
      <c r="BG702" s="319" t="s">
        <v>429</v>
      </c>
      <c r="BH702" s="319" t="s">
        <v>190</v>
      </c>
      <c r="BI702" s="319" t="s">
        <v>190</v>
      </c>
      <c r="BJ702" s="319" t="s">
        <v>190</v>
      </c>
      <c r="BK702" s="319" t="s">
        <v>190</v>
      </c>
      <c r="BL702" s="319" t="s">
        <v>190</v>
      </c>
      <c r="BM702" s="319" t="s">
        <v>190</v>
      </c>
      <c r="BN702" s="319" t="s">
        <v>190</v>
      </c>
      <c r="BO702" s="319" t="s">
        <v>190</v>
      </c>
      <c r="BP702" s="319" t="s">
        <v>190</v>
      </c>
      <c r="BQ702" s="319" t="s">
        <v>190</v>
      </c>
      <c r="BR702" s="319" t="s">
        <v>190</v>
      </c>
      <c r="BS702" s="319" t="s">
        <v>190</v>
      </c>
      <c r="BT702" s="319" t="s">
        <v>190</v>
      </c>
      <c r="BU702" s="319" t="s">
        <v>190</v>
      </c>
      <c r="BV702" s="319" t="s">
        <v>190</v>
      </c>
      <c r="BW702" s="319" t="s">
        <v>190</v>
      </c>
      <c r="BX702" s="319" t="s">
        <v>190</v>
      </c>
      <c r="BY702" s="319" t="s">
        <v>190</v>
      </c>
      <c r="BZ702" s="319" t="s">
        <v>190</v>
      </c>
      <c r="CA702" s="319" t="s">
        <v>190</v>
      </c>
      <c r="CB702" s="319" t="s">
        <v>190</v>
      </c>
      <c r="CC702" s="319" t="s">
        <v>190</v>
      </c>
      <c r="CD702" s="319" t="s">
        <v>190</v>
      </c>
      <c r="CE702" s="319" t="s">
        <v>190</v>
      </c>
      <c r="CF702" s="319" t="s">
        <v>190</v>
      </c>
      <c r="CG702" s="319" t="s">
        <v>190</v>
      </c>
      <c r="CH702" s="319" t="s">
        <v>190</v>
      </c>
      <c r="CI702" s="319" t="s">
        <v>190</v>
      </c>
      <c r="CJ702" s="319" t="s">
        <v>190</v>
      </c>
      <c r="CK702" s="319" t="s">
        <v>190</v>
      </c>
      <c r="CL702" s="319" t="s">
        <v>190</v>
      </c>
      <c r="CM702" s="319" t="s">
        <v>190</v>
      </c>
      <c r="CN702" s="319" t="s">
        <v>429</v>
      </c>
      <c r="CO702" s="319" t="s">
        <v>429</v>
      </c>
      <c r="CP702" s="319" t="s">
        <v>429</v>
      </c>
      <c r="CQ702" s="319" t="s">
        <v>190</v>
      </c>
      <c r="CR702" s="319" t="s">
        <v>190</v>
      </c>
      <c r="CS702" s="319" t="s">
        <v>190</v>
      </c>
      <c r="CT702" s="319" t="s">
        <v>190</v>
      </c>
      <c r="CU702" s="319" t="s">
        <v>190</v>
      </c>
      <c r="CV702" s="319" t="s">
        <v>190</v>
      </c>
      <c r="CW702" s="319" t="s">
        <v>190</v>
      </c>
      <c r="CX702" s="319" t="s">
        <v>190</v>
      </c>
      <c r="CY702" s="319" t="s">
        <v>190</v>
      </c>
      <c r="CZ702" s="319" t="s">
        <v>190</v>
      </c>
      <c r="DA702" s="319" t="s">
        <v>190</v>
      </c>
      <c r="DB702" s="319" t="s">
        <v>190</v>
      </c>
      <c r="DC702" s="319" t="s">
        <v>190</v>
      </c>
      <c r="DD702" s="319" t="s">
        <v>190</v>
      </c>
      <c r="DE702" s="319" t="s">
        <v>190</v>
      </c>
      <c r="DF702" s="319" t="s">
        <v>190</v>
      </c>
      <c r="DG702" s="319" t="s">
        <v>190</v>
      </c>
      <c r="DH702" s="319" t="s">
        <v>190</v>
      </c>
      <c r="DI702" s="319" t="s">
        <v>190</v>
      </c>
      <c r="DJ702" s="319" t="s">
        <v>190</v>
      </c>
      <c r="DK702" s="319" t="s">
        <v>190</v>
      </c>
      <c r="DL702" s="319" t="s">
        <v>190</v>
      </c>
      <c r="DM702" s="319" t="s">
        <v>190</v>
      </c>
      <c r="DN702" s="319" t="s">
        <v>429</v>
      </c>
      <c r="DO702" s="319" t="s">
        <v>190</v>
      </c>
      <c r="DP702" s="319" t="s">
        <v>190</v>
      </c>
      <c r="DQ702" s="319" t="s">
        <v>190</v>
      </c>
      <c r="DR702" s="319" t="s">
        <v>190</v>
      </c>
      <c r="DS702" s="319" t="s">
        <v>190</v>
      </c>
      <c r="DT702" s="319" t="s">
        <v>190</v>
      </c>
      <c r="DU702" s="319" t="s">
        <v>190</v>
      </c>
      <c r="DV702" s="319" t="s">
        <v>173</v>
      </c>
      <c r="DW702" s="319" t="s">
        <v>190</v>
      </c>
      <c r="DX702" s="319" t="s">
        <v>190</v>
      </c>
      <c r="DY702" s="319" t="s">
        <v>190</v>
      </c>
      <c r="DZ702" s="319" t="s">
        <v>190</v>
      </c>
      <c r="EA702" s="319" t="s">
        <v>190</v>
      </c>
      <c r="EB702" s="319" t="s">
        <v>190</v>
      </c>
      <c r="EC702" s="319" t="s">
        <v>429</v>
      </c>
      <c r="ED702" s="319" t="s">
        <v>190</v>
      </c>
      <c r="EE702" s="319" t="s">
        <v>190</v>
      </c>
      <c r="EF702" s="319" t="s">
        <v>190</v>
      </c>
      <c r="EG702" s="319" t="s">
        <v>190</v>
      </c>
      <c r="EH702" s="319" t="s">
        <v>190</v>
      </c>
      <c r="EI702" s="319" t="s">
        <v>190</v>
      </c>
      <c r="EJ702" s="319" t="s">
        <v>190</v>
      </c>
      <c r="EK702" s="319" t="s">
        <v>190</v>
      </c>
      <c r="EL702" s="319" t="s">
        <v>190</v>
      </c>
      <c r="EM702" s="319" t="s">
        <v>190</v>
      </c>
      <c r="EN702" s="319" t="s">
        <v>190</v>
      </c>
      <c r="EO702" s="319" t="s">
        <v>190</v>
      </c>
      <c r="EP702" s="319" t="s">
        <v>190</v>
      </c>
      <c r="EQ702" s="319" t="s">
        <v>190</v>
      </c>
      <c r="ER702" s="319" t="s">
        <v>190</v>
      </c>
      <c r="ES702" s="319" t="s">
        <v>190</v>
      </c>
      <c r="ET702" s="319" t="s">
        <v>190</v>
      </c>
      <c r="EU702" s="319" t="s">
        <v>190</v>
      </c>
      <c r="EV702" s="319" t="s">
        <v>190</v>
      </c>
      <c r="EW702" s="319" t="s">
        <v>190</v>
      </c>
      <c r="EX702" s="319" t="s">
        <v>190</v>
      </c>
      <c r="EY702" s="319" t="s">
        <v>190</v>
      </c>
      <c r="EZ702" s="319" t="s">
        <v>190</v>
      </c>
      <c r="FA702" s="319" t="s">
        <v>190</v>
      </c>
      <c r="FB702" s="319" t="s">
        <v>190</v>
      </c>
      <c r="FC702" s="319" t="s">
        <v>190</v>
      </c>
      <c r="FD702" s="319" t="s">
        <v>190</v>
      </c>
      <c r="FE702" s="319" t="s">
        <v>190</v>
      </c>
      <c r="FF702" s="319" t="s">
        <v>190</v>
      </c>
      <c r="FG702" s="319" t="s">
        <v>190</v>
      </c>
      <c r="FH702" s="319" t="s">
        <v>190</v>
      </c>
      <c r="FI702" s="319" t="s">
        <v>190</v>
      </c>
      <c r="FJ702" s="319" t="s">
        <v>190</v>
      </c>
      <c r="FK702" s="319" t="s">
        <v>190</v>
      </c>
      <c r="FL702" s="319" t="s">
        <v>190</v>
      </c>
      <c r="FM702" s="319" t="s">
        <v>190</v>
      </c>
      <c r="FN702" s="319" t="s">
        <v>190</v>
      </c>
      <c r="FO702" s="319" t="s">
        <v>190</v>
      </c>
      <c r="FP702" s="319" t="s">
        <v>190</v>
      </c>
      <c r="FQ702" s="319" t="s">
        <v>190</v>
      </c>
      <c r="FR702" s="319" t="s">
        <v>190</v>
      </c>
      <c r="FS702" s="319" t="s">
        <v>190</v>
      </c>
      <c r="FT702" s="319" t="s">
        <v>190</v>
      </c>
      <c r="FU702" s="319" t="s">
        <v>190</v>
      </c>
      <c r="FV702" s="319" t="s">
        <v>190</v>
      </c>
      <c r="FW702" s="319" t="s">
        <v>190</v>
      </c>
      <c r="FX702" s="319" t="s">
        <v>190</v>
      </c>
      <c r="FY702" s="319" t="s">
        <v>190</v>
      </c>
      <c r="FZ702" s="319" t="s">
        <v>190</v>
      </c>
      <c r="GA702" s="319" t="s">
        <v>190</v>
      </c>
      <c r="GB702" s="319" t="s">
        <v>190</v>
      </c>
      <c r="GC702" s="319" t="s">
        <v>190</v>
      </c>
      <c r="GD702" s="319" t="s">
        <v>190</v>
      </c>
      <c r="GE702" s="319" t="s">
        <v>190</v>
      </c>
      <c r="GF702" s="319" t="s">
        <v>190</v>
      </c>
      <c r="GG702" s="319" t="s">
        <v>190</v>
      </c>
      <c r="GH702" s="319" t="s">
        <v>190</v>
      </c>
      <c r="GI702" s="319" t="s">
        <v>190</v>
      </c>
      <c r="GJ702" s="319" t="s">
        <v>190</v>
      </c>
      <c r="GK702" s="319" t="s">
        <v>429</v>
      </c>
      <c r="GL702" s="319" t="s">
        <v>190</v>
      </c>
      <c r="GM702" s="319" t="s">
        <v>190</v>
      </c>
      <c r="GN702" s="319" t="s">
        <v>190</v>
      </c>
      <c r="GO702" s="319" t="s">
        <v>190</v>
      </c>
      <c r="GP702" s="319" t="s">
        <v>190</v>
      </c>
      <c r="GQ702" s="319" t="s">
        <v>429</v>
      </c>
      <c r="GR702" s="319" t="s">
        <v>190</v>
      </c>
      <c r="GS702" s="319" t="s">
        <v>190</v>
      </c>
      <c r="GT702" s="319" t="s">
        <v>190</v>
      </c>
      <c r="GU702" s="319" t="s">
        <v>190</v>
      </c>
      <c r="GV702" s="319" t="s">
        <v>190</v>
      </c>
      <c r="GW702" s="319" t="s">
        <v>190</v>
      </c>
      <c r="GX702" s="319" t="s">
        <v>190</v>
      </c>
      <c r="GY702" s="319" t="s">
        <v>190</v>
      </c>
      <c r="GZ702" s="319" t="s">
        <v>190</v>
      </c>
      <c r="HA702" s="319" t="s">
        <v>190</v>
      </c>
      <c r="HB702" s="319" t="s">
        <v>190</v>
      </c>
      <c r="HC702" s="319" t="s">
        <v>190</v>
      </c>
      <c r="HD702" s="319" t="s">
        <v>190</v>
      </c>
      <c r="HE702" s="319" t="s">
        <v>190</v>
      </c>
      <c r="HF702" s="319" t="s">
        <v>190</v>
      </c>
      <c r="HG702" s="319" t="s">
        <v>190</v>
      </c>
      <c r="HH702" s="319" t="s">
        <v>190</v>
      </c>
      <c r="HI702" s="319" t="s">
        <v>190</v>
      </c>
      <c r="HJ702" s="319" t="s">
        <v>190</v>
      </c>
      <c r="HK702" s="319" t="s">
        <v>190</v>
      </c>
      <c r="HL702" s="319" t="s">
        <v>190</v>
      </c>
      <c r="HM702" s="319" t="s">
        <v>190</v>
      </c>
      <c r="HN702" s="319" t="s">
        <v>190</v>
      </c>
      <c r="HO702" s="319" t="s">
        <v>190</v>
      </c>
      <c r="HP702" s="319" t="s">
        <v>190</v>
      </c>
      <c r="HQ702" s="319" t="s">
        <v>190</v>
      </c>
      <c r="HR702" s="319" t="s">
        <v>190</v>
      </c>
      <c r="HS702" s="319" t="s">
        <v>190</v>
      </c>
      <c r="HT702" s="319" t="s">
        <v>190</v>
      </c>
      <c r="HU702" s="319" t="s">
        <v>190</v>
      </c>
      <c r="HV702" s="319" t="s">
        <v>190</v>
      </c>
      <c r="HW702" s="319" t="s">
        <v>190</v>
      </c>
      <c r="HX702" s="319" t="s">
        <v>190</v>
      </c>
      <c r="HY702" s="319" t="s">
        <v>190</v>
      </c>
      <c r="HZ702" s="319" t="s">
        <v>190</v>
      </c>
      <c r="IA702" s="319" t="s">
        <v>190</v>
      </c>
      <c r="IB702" s="319" t="s">
        <v>190</v>
      </c>
      <c r="IC702" s="319" t="s">
        <v>190</v>
      </c>
      <c r="ID702" s="319" t="s">
        <v>190</v>
      </c>
      <c r="IE702" s="319" t="s">
        <v>190</v>
      </c>
      <c r="IF702" s="319" t="s">
        <v>190</v>
      </c>
      <c r="IG702" s="319" t="s">
        <v>190</v>
      </c>
      <c r="IH702" s="319" t="s">
        <v>190</v>
      </c>
      <c r="II702" s="319" t="s">
        <v>190</v>
      </c>
      <c r="IJ702" s="319" t="s">
        <v>3439</v>
      </c>
      <c r="IK702" s="321">
        <v>41584</v>
      </c>
      <c r="IL702" s="321">
        <v>41585</v>
      </c>
      <c r="IM702" s="321">
        <v>41605</v>
      </c>
      <c r="IN702" s="319">
        <v>3</v>
      </c>
      <c r="IO702" s="319" t="s">
        <v>173</v>
      </c>
      <c r="IP702" s="319" t="s">
        <v>173</v>
      </c>
      <c r="IQ702" s="319" t="s">
        <v>173</v>
      </c>
      <c r="IR702" s="320" t="s">
        <v>173</v>
      </c>
      <c r="IS702" s="320" t="s">
        <v>173</v>
      </c>
      <c r="IT702" s="319" t="s">
        <v>173</v>
      </c>
    </row>
    <row r="703" spans="1:254" s="271" customFormat="1" x14ac:dyDescent="0.25">
      <c r="A703" s="318" t="str">
        <f>HYPERLINK("http://www.ofsted.gov.uk/inspection-reports/find-inspection-report/provider/ELS/138568 ","Ofsted School Webpage")</f>
        <v>Ofsted School Webpage</v>
      </c>
      <c r="B703" s="319">
        <v>138568</v>
      </c>
      <c r="C703" s="319">
        <v>3536001</v>
      </c>
      <c r="D703" s="319" t="s">
        <v>2173</v>
      </c>
      <c r="E703" s="319" t="s">
        <v>167</v>
      </c>
      <c r="F703" s="319" t="s">
        <v>81</v>
      </c>
      <c r="G703" s="319" t="s">
        <v>72</v>
      </c>
      <c r="H703" s="319" t="s">
        <v>72</v>
      </c>
      <c r="I703" s="319" t="s">
        <v>72</v>
      </c>
      <c r="J703" s="319" t="s">
        <v>424</v>
      </c>
      <c r="K703" s="319" t="s">
        <v>431</v>
      </c>
      <c r="L703" s="319" t="s">
        <v>431</v>
      </c>
      <c r="M703" s="319" t="s">
        <v>784</v>
      </c>
      <c r="N703" s="319" t="s">
        <v>3131</v>
      </c>
      <c r="O703" s="319" t="s">
        <v>2174</v>
      </c>
      <c r="P703" s="319">
        <v>68</v>
      </c>
      <c r="Q703" s="319" t="s">
        <v>2766</v>
      </c>
      <c r="R703" s="320">
        <v>10067914</v>
      </c>
      <c r="S703" s="321">
        <v>43543</v>
      </c>
      <c r="T703" s="321">
        <v>43545</v>
      </c>
      <c r="U703" s="321">
        <v>43591</v>
      </c>
      <c r="V703" s="319" t="s">
        <v>425</v>
      </c>
      <c r="W703" s="319" t="s">
        <v>2767</v>
      </c>
      <c r="X703" s="319">
        <v>2</v>
      </c>
      <c r="Y703" s="319" t="s">
        <v>173</v>
      </c>
      <c r="Z703" s="319" t="s">
        <v>173</v>
      </c>
      <c r="AA703" s="319" t="s">
        <v>173</v>
      </c>
      <c r="AB703" s="319">
        <v>2</v>
      </c>
      <c r="AC703" s="319" t="s">
        <v>169</v>
      </c>
      <c r="AD703" s="319" t="s">
        <v>173</v>
      </c>
      <c r="AE703" s="319" t="s">
        <v>173</v>
      </c>
      <c r="AF703" s="319" t="s">
        <v>427</v>
      </c>
      <c r="AG703" s="319" t="s">
        <v>171</v>
      </c>
      <c r="AH703" s="319" t="s">
        <v>190</v>
      </c>
      <c r="AI703" s="319" t="s">
        <v>190</v>
      </c>
      <c r="AJ703" s="319" t="s">
        <v>190</v>
      </c>
      <c r="AK703" s="319" t="s">
        <v>190</v>
      </c>
      <c r="AL703" s="319" t="s">
        <v>190</v>
      </c>
      <c r="AM703" s="319" t="s">
        <v>190</v>
      </c>
      <c r="AN703" s="319" t="s">
        <v>190</v>
      </c>
      <c r="AO703" s="319" t="s">
        <v>190</v>
      </c>
      <c r="AP703" s="319" t="s">
        <v>190</v>
      </c>
      <c r="AQ703" s="319" t="s">
        <v>190</v>
      </c>
      <c r="AR703" s="319" t="s">
        <v>190</v>
      </c>
      <c r="AS703" s="319" t="s">
        <v>190</v>
      </c>
      <c r="AT703" s="319" t="s">
        <v>190</v>
      </c>
      <c r="AU703" s="319" t="s">
        <v>190</v>
      </c>
      <c r="AV703" s="319" t="s">
        <v>190</v>
      </c>
      <c r="AW703" s="319" t="s">
        <v>190</v>
      </c>
      <c r="AX703" s="319" t="s">
        <v>190</v>
      </c>
      <c r="AY703" s="319" t="s">
        <v>190</v>
      </c>
      <c r="AZ703" s="319" t="s">
        <v>190</v>
      </c>
      <c r="BA703" s="319" t="s">
        <v>190</v>
      </c>
      <c r="BB703" s="319" t="s">
        <v>190</v>
      </c>
      <c r="BC703" s="319" t="s">
        <v>190</v>
      </c>
      <c r="BD703" s="319" t="s">
        <v>190</v>
      </c>
      <c r="BE703" s="319" t="s">
        <v>190</v>
      </c>
      <c r="BF703" s="319" t="s">
        <v>190</v>
      </c>
      <c r="BG703" s="319" t="s">
        <v>190</v>
      </c>
      <c r="BH703" s="319" t="s">
        <v>190</v>
      </c>
      <c r="BI703" s="319" t="s">
        <v>190</v>
      </c>
      <c r="BJ703" s="319" t="s">
        <v>190</v>
      </c>
      <c r="BK703" s="319" t="s">
        <v>190</v>
      </c>
      <c r="BL703" s="319" t="s">
        <v>190</v>
      </c>
      <c r="BM703" s="319" t="s">
        <v>190</v>
      </c>
      <c r="BN703" s="319" t="s">
        <v>190</v>
      </c>
      <c r="BO703" s="319" t="s">
        <v>190</v>
      </c>
      <c r="BP703" s="319" t="s">
        <v>190</v>
      </c>
      <c r="BQ703" s="319" t="s">
        <v>190</v>
      </c>
      <c r="BR703" s="319" t="s">
        <v>190</v>
      </c>
      <c r="BS703" s="319" t="s">
        <v>190</v>
      </c>
      <c r="BT703" s="319" t="s">
        <v>190</v>
      </c>
      <c r="BU703" s="319" t="s">
        <v>190</v>
      </c>
      <c r="BV703" s="319" t="s">
        <v>190</v>
      </c>
      <c r="BW703" s="319" t="s">
        <v>190</v>
      </c>
      <c r="BX703" s="319" t="s">
        <v>190</v>
      </c>
      <c r="BY703" s="319" t="s">
        <v>190</v>
      </c>
      <c r="BZ703" s="319" t="s">
        <v>190</v>
      </c>
      <c r="CA703" s="319" t="s">
        <v>190</v>
      </c>
      <c r="CB703" s="319" t="s">
        <v>190</v>
      </c>
      <c r="CC703" s="319" t="s">
        <v>190</v>
      </c>
      <c r="CD703" s="319" t="s">
        <v>190</v>
      </c>
      <c r="CE703" s="319" t="s">
        <v>190</v>
      </c>
      <c r="CF703" s="319" t="s">
        <v>190</v>
      </c>
      <c r="CG703" s="319" t="s">
        <v>190</v>
      </c>
      <c r="CH703" s="319" t="s">
        <v>190</v>
      </c>
      <c r="CI703" s="319" t="s">
        <v>190</v>
      </c>
      <c r="CJ703" s="319" t="s">
        <v>190</v>
      </c>
      <c r="CK703" s="319" t="s">
        <v>190</v>
      </c>
      <c r="CL703" s="319" t="s">
        <v>190</v>
      </c>
      <c r="CM703" s="319" t="s">
        <v>190</v>
      </c>
      <c r="CN703" s="319" t="s">
        <v>428</v>
      </c>
      <c r="CO703" s="319" t="s">
        <v>428</v>
      </c>
      <c r="CP703" s="319" t="s">
        <v>428</v>
      </c>
      <c r="CQ703" s="319" t="s">
        <v>190</v>
      </c>
      <c r="CR703" s="319" t="s">
        <v>190</v>
      </c>
      <c r="CS703" s="319" t="s">
        <v>190</v>
      </c>
      <c r="CT703" s="319" t="s">
        <v>190</v>
      </c>
      <c r="CU703" s="319" t="s">
        <v>190</v>
      </c>
      <c r="CV703" s="319" t="s">
        <v>190</v>
      </c>
      <c r="CW703" s="319" t="s">
        <v>190</v>
      </c>
      <c r="CX703" s="319" t="s">
        <v>190</v>
      </c>
      <c r="CY703" s="319" t="s">
        <v>190</v>
      </c>
      <c r="CZ703" s="319" t="s">
        <v>190</v>
      </c>
      <c r="DA703" s="319" t="s">
        <v>190</v>
      </c>
      <c r="DB703" s="319" t="s">
        <v>190</v>
      </c>
      <c r="DC703" s="319" t="s">
        <v>190</v>
      </c>
      <c r="DD703" s="319" t="s">
        <v>190</v>
      </c>
      <c r="DE703" s="319" t="s">
        <v>190</v>
      </c>
      <c r="DF703" s="319" t="s">
        <v>190</v>
      </c>
      <c r="DG703" s="319" t="s">
        <v>190</v>
      </c>
      <c r="DH703" s="319" t="s">
        <v>190</v>
      </c>
      <c r="DI703" s="319" t="s">
        <v>190</v>
      </c>
      <c r="DJ703" s="319" t="s">
        <v>190</v>
      </c>
      <c r="DK703" s="319" t="s">
        <v>190</v>
      </c>
      <c r="DL703" s="319" t="s">
        <v>190</v>
      </c>
      <c r="DM703" s="319" t="s">
        <v>190</v>
      </c>
      <c r="DN703" s="319" t="s">
        <v>190</v>
      </c>
      <c r="DO703" s="319" t="s">
        <v>190</v>
      </c>
      <c r="DP703" s="319" t="s">
        <v>190</v>
      </c>
      <c r="DQ703" s="319" t="s">
        <v>190</v>
      </c>
      <c r="DR703" s="319" t="s">
        <v>190</v>
      </c>
      <c r="DS703" s="319" t="s">
        <v>190</v>
      </c>
      <c r="DT703" s="319" t="s">
        <v>190</v>
      </c>
      <c r="DU703" s="319" t="s">
        <v>190</v>
      </c>
      <c r="DV703" s="319" t="s">
        <v>173</v>
      </c>
      <c r="DW703" s="319" t="s">
        <v>190</v>
      </c>
      <c r="DX703" s="319" t="s">
        <v>190</v>
      </c>
      <c r="DY703" s="319" t="s">
        <v>190</v>
      </c>
      <c r="DZ703" s="319" t="s">
        <v>190</v>
      </c>
      <c r="EA703" s="319" t="s">
        <v>190</v>
      </c>
      <c r="EB703" s="319" t="s">
        <v>190</v>
      </c>
      <c r="EC703" s="319" t="s">
        <v>190</v>
      </c>
      <c r="ED703" s="319" t="s">
        <v>190</v>
      </c>
      <c r="EE703" s="319" t="s">
        <v>428</v>
      </c>
      <c r="EF703" s="319" t="s">
        <v>428</v>
      </c>
      <c r="EG703" s="319" t="s">
        <v>428</v>
      </c>
      <c r="EH703" s="319" t="s">
        <v>428</v>
      </c>
      <c r="EI703" s="319" t="s">
        <v>428</v>
      </c>
      <c r="EJ703" s="319" t="s">
        <v>428</v>
      </c>
      <c r="EK703" s="319" t="s">
        <v>428</v>
      </c>
      <c r="EL703" s="319" t="s">
        <v>428</v>
      </c>
      <c r="EM703" s="319" t="s">
        <v>428</v>
      </c>
      <c r="EN703" s="319" t="s">
        <v>190</v>
      </c>
      <c r="EO703" s="319" t="s">
        <v>190</v>
      </c>
      <c r="EP703" s="319" t="s">
        <v>190</v>
      </c>
      <c r="EQ703" s="319" t="s">
        <v>190</v>
      </c>
      <c r="ER703" s="319" t="s">
        <v>190</v>
      </c>
      <c r="ES703" s="319" t="s">
        <v>190</v>
      </c>
      <c r="ET703" s="319" t="s">
        <v>190</v>
      </c>
      <c r="EU703" s="319" t="s">
        <v>190</v>
      </c>
      <c r="EV703" s="319" t="s">
        <v>190</v>
      </c>
      <c r="EW703" s="319" t="s">
        <v>190</v>
      </c>
      <c r="EX703" s="319" t="s">
        <v>190</v>
      </c>
      <c r="EY703" s="319" t="s">
        <v>190</v>
      </c>
      <c r="EZ703" s="319" t="s">
        <v>190</v>
      </c>
      <c r="FA703" s="319" t="s">
        <v>428</v>
      </c>
      <c r="FB703" s="319" t="s">
        <v>190</v>
      </c>
      <c r="FC703" s="319" t="s">
        <v>190</v>
      </c>
      <c r="FD703" s="319" t="s">
        <v>190</v>
      </c>
      <c r="FE703" s="319" t="s">
        <v>190</v>
      </c>
      <c r="FF703" s="319" t="s">
        <v>190</v>
      </c>
      <c r="FG703" s="319" t="s">
        <v>190</v>
      </c>
      <c r="FH703" s="319" t="s">
        <v>428</v>
      </c>
      <c r="FI703" s="319" t="s">
        <v>428</v>
      </c>
      <c r="FJ703" s="319" t="s">
        <v>429</v>
      </c>
      <c r="FK703" s="319" t="s">
        <v>428</v>
      </c>
      <c r="FL703" s="319" t="s">
        <v>190</v>
      </c>
      <c r="FM703" s="319" t="s">
        <v>190</v>
      </c>
      <c r="FN703" s="319" t="s">
        <v>190</v>
      </c>
      <c r="FO703" s="319" t="s">
        <v>190</v>
      </c>
      <c r="FP703" s="319" t="s">
        <v>190</v>
      </c>
      <c r="FQ703" s="319" t="s">
        <v>190</v>
      </c>
      <c r="FR703" s="319" t="s">
        <v>190</v>
      </c>
      <c r="FS703" s="319" t="s">
        <v>428</v>
      </c>
      <c r="FT703" s="319" t="s">
        <v>190</v>
      </c>
      <c r="FU703" s="319" t="s">
        <v>190</v>
      </c>
      <c r="FV703" s="319" t="s">
        <v>190</v>
      </c>
      <c r="FW703" s="319" t="s">
        <v>190</v>
      </c>
      <c r="FX703" s="319" t="s">
        <v>190</v>
      </c>
      <c r="FY703" s="319" t="s">
        <v>190</v>
      </c>
      <c r="FZ703" s="319" t="s">
        <v>190</v>
      </c>
      <c r="GA703" s="319" t="s">
        <v>190</v>
      </c>
      <c r="GB703" s="319" t="s">
        <v>190</v>
      </c>
      <c r="GC703" s="319" t="s">
        <v>190</v>
      </c>
      <c r="GD703" s="319" t="s">
        <v>190</v>
      </c>
      <c r="GE703" s="319" t="s">
        <v>190</v>
      </c>
      <c r="GF703" s="319" t="s">
        <v>190</v>
      </c>
      <c r="GG703" s="319" t="s">
        <v>190</v>
      </c>
      <c r="GH703" s="319" t="s">
        <v>190</v>
      </c>
      <c r="GI703" s="319" t="s">
        <v>190</v>
      </c>
      <c r="GJ703" s="319" t="s">
        <v>190</v>
      </c>
      <c r="GK703" s="319" t="s">
        <v>190</v>
      </c>
      <c r="GL703" s="319" t="s">
        <v>190</v>
      </c>
      <c r="GM703" s="319" t="s">
        <v>190</v>
      </c>
      <c r="GN703" s="319" t="s">
        <v>190</v>
      </c>
      <c r="GO703" s="319" t="s">
        <v>190</v>
      </c>
      <c r="GP703" s="319" t="s">
        <v>190</v>
      </c>
      <c r="GQ703" s="319" t="s">
        <v>190</v>
      </c>
      <c r="GR703" s="319" t="s">
        <v>190</v>
      </c>
      <c r="GS703" s="319" t="s">
        <v>190</v>
      </c>
      <c r="GT703" s="319" t="s">
        <v>190</v>
      </c>
      <c r="GU703" s="319" t="s">
        <v>190</v>
      </c>
      <c r="GV703" s="319" t="s">
        <v>190</v>
      </c>
      <c r="GW703" s="319" t="s">
        <v>190</v>
      </c>
      <c r="GX703" s="319" t="s">
        <v>190</v>
      </c>
      <c r="GY703" s="319" t="s">
        <v>190</v>
      </c>
      <c r="GZ703" s="319" t="s">
        <v>190</v>
      </c>
      <c r="HA703" s="319" t="s">
        <v>428</v>
      </c>
      <c r="HB703" s="319" t="s">
        <v>428</v>
      </c>
      <c r="HC703" s="319" t="s">
        <v>190</v>
      </c>
      <c r="HD703" s="319" t="s">
        <v>190</v>
      </c>
      <c r="HE703" s="319" t="s">
        <v>190</v>
      </c>
      <c r="HF703" s="319" t="s">
        <v>190</v>
      </c>
      <c r="HG703" s="319" t="s">
        <v>190</v>
      </c>
      <c r="HH703" s="319" t="s">
        <v>190</v>
      </c>
      <c r="HI703" s="319" t="s">
        <v>190</v>
      </c>
      <c r="HJ703" s="319" t="s">
        <v>190</v>
      </c>
      <c r="HK703" s="319" t="s">
        <v>190</v>
      </c>
      <c r="HL703" s="319" t="s">
        <v>428</v>
      </c>
      <c r="HM703" s="319" t="s">
        <v>428</v>
      </c>
      <c r="HN703" s="319" t="s">
        <v>428</v>
      </c>
      <c r="HO703" s="319" t="s">
        <v>428</v>
      </c>
      <c r="HP703" s="319" t="s">
        <v>190</v>
      </c>
      <c r="HQ703" s="319" t="s">
        <v>190</v>
      </c>
      <c r="HR703" s="319" t="s">
        <v>190</v>
      </c>
      <c r="HS703" s="319" t="s">
        <v>190</v>
      </c>
      <c r="HT703" s="319" t="s">
        <v>190</v>
      </c>
      <c r="HU703" s="319" t="s">
        <v>190</v>
      </c>
      <c r="HV703" s="319" t="s">
        <v>190</v>
      </c>
      <c r="HW703" s="319" t="s">
        <v>190</v>
      </c>
      <c r="HX703" s="319" t="s">
        <v>190</v>
      </c>
      <c r="HY703" s="319" t="s">
        <v>190</v>
      </c>
      <c r="HZ703" s="319" t="s">
        <v>190</v>
      </c>
      <c r="IA703" s="319" t="s">
        <v>190</v>
      </c>
      <c r="IB703" s="319" t="s">
        <v>190</v>
      </c>
      <c r="IC703" s="319" t="s">
        <v>190</v>
      </c>
      <c r="ID703" s="319" t="s">
        <v>190</v>
      </c>
      <c r="IE703" s="319" t="s">
        <v>190</v>
      </c>
      <c r="IF703" s="319" t="s">
        <v>190</v>
      </c>
      <c r="IG703" s="319" t="s">
        <v>190</v>
      </c>
      <c r="IH703" s="319" t="s">
        <v>190</v>
      </c>
      <c r="II703" s="319" t="s">
        <v>190</v>
      </c>
      <c r="IJ703" s="319">
        <v>10012868</v>
      </c>
      <c r="IK703" s="321">
        <v>42500</v>
      </c>
      <c r="IL703" s="321">
        <v>42502</v>
      </c>
      <c r="IM703" s="321">
        <v>42536</v>
      </c>
      <c r="IN703" s="319">
        <v>2</v>
      </c>
      <c r="IO703" s="319" t="s">
        <v>173</v>
      </c>
      <c r="IP703" s="319" t="s">
        <v>173</v>
      </c>
      <c r="IQ703" s="321" t="s">
        <v>173</v>
      </c>
      <c r="IR703" s="320" t="s">
        <v>173</v>
      </c>
      <c r="IS703" s="322" t="s">
        <v>173</v>
      </c>
      <c r="IT703" s="319" t="s">
        <v>173</v>
      </c>
    </row>
    <row r="704" spans="1:254" s="271" customFormat="1" x14ac:dyDescent="0.25">
      <c r="A704" s="318" t="str">
        <f>HYPERLINK("http://www.ofsted.gov.uk/inspection-reports/find-inspection-report/provider/ELS/138580 ","Ofsted School Webpage")</f>
        <v>Ofsted School Webpage</v>
      </c>
      <c r="B704" s="319">
        <v>138580</v>
      </c>
      <c r="C704" s="319">
        <v>8936029</v>
      </c>
      <c r="D704" s="319" t="s">
        <v>2175</v>
      </c>
      <c r="E704" s="319" t="s">
        <v>168</v>
      </c>
      <c r="F704" s="319" t="s">
        <v>81</v>
      </c>
      <c r="G704" s="319" t="s">
        <v>81</v>
      </c>
      <c r="H704" s="319" t="s">
        <v>81</v>
      </c>
      <c r="I704" s="319" t="s">
        <v>78</v>
      </c>
      <c r="J704" s="319" t="s">
        <v>424</v>
      </c>
      <c r="K704" s="319" t="s">
        <v>437</v>
      </c>
      <c r="L704" s="319" t="s">
        <v>437</v>
      </c>
      <c r="M704" s="319" t="s">
        <v>587</v>
      </c>
      <c r="N704" s="319" t="s">
        <v>3023</v>
      </c>
      <c r="O704" s="319" t="s">
        <v>2176</v>
      </c>
      <c r="P704" s="319">
        <v>6</v>
      </c>
      <c r="Q704" s="319" t="s">
        <v>429</v>
      </c>
      <c r="R704" s="320">
        <v>10012917</v>
      </c>
      <c r="S704" s="321">
        <v>43137</v>
      </c>
      <c r="T704" s="321">
        <v>43139</v>
      </c>
      <c r="U704" s="321">
        <v>43173</v>
      </c>
      <c r="V704" s="319" t="s">
        <v>425</v>
      </c>
      <c r="W704" s="319" t="s">
        <v>2767</v>
      </c>
      <c r="X704" s="319">
        <v>3</v>
      </c>
      <c r="Y704" s="319" t="s">
        <v>173</v>
      </c>
      <c r="Z704" s="319" t="s">
        <v>173</v>
      </c>
      <c r="AA704" s="319" t="s">
        <v>173</v>
      </c>
      <c r="AB704" s="319">
        <v>3</v>
      </c>
      <c r="AC704" s="319" t="s">
        <v>169</v>
      </c>
      <c r="AD704" s="319" t="s">
        <v>173</v>
      </c>
      <c r="AE704" s="319">
        <v>2</v>
      </c>
      <c r="AF704" s="319" t="s">
        <v>427</v>
      </c>
      <c r="AG704" s="319" t="s">
        <v>172</v>
      </c>
      <c r="AH704" s="319" t="s">
        <v>190</v>
      </c>
      <c r="AI704" s="319" t="s">
        <v>190</v>
      </c>
      <c r="AJ704" s="319" t="s">
        <v>479</v>
      </c>
      <c r="AK704" s="319" t="s">
        <v>190</v>
      </c>
      <c r="AL704" s="319" t="s">
        <v>190</v>
      </c>
      <c r="AM704" s="319" t="s">
        <v>479</v>
      </c>
      <c r="AN704" s="319" t="s">
        <v>190</v>
      </c>
      <c r="AO704" s="319" t="s">
        <v>479</v>
      </c>
      <c r="AP704" s="319" t="s">
        <v>190</v>
      </c>
      <c r="AQ704" s="319" t="s">
        <v>190</v>
      </c>
      <c r="AR704" s="319" t="s">
        <v>190</v>
      </c>
      <c r="AS704" s="319" t="s">
        <v>190</v>
      </c>
      <c r="AT704" s="319" t="s">
        <v>190</v>
      </c>
      <c r="AU704" s="319" t="s">
        <v>190</v>
      </c>
      <c r="AV704" s="319" t="s">
        <v>190</v>
      </c>
      <c r="AW704" s="319" t="s">
        <v>190</v>
      </c>
      <c r="AX704" s="319" t="s">
        <v>428</v>
      </c>
      <c r="AY704" s="319" t="s">
        <v>190</v>
      </c>
      <c r="AZ704" s="319" t="s">
        <v>190</v>
      </c>
      <c r="BA704" s="319" t="s">
        <v>190</v>
      </c>
      <c r="BB704" s="319" t="s">
        <v>190</v>
      </c>
      <c r="BC704" s="319" t="s">
        <v>190</v>
      </c>
      <c r="BD704" s="319" t="s">
        <v>190</v>
      </c>
      <c r="BE704" s="319" t="s">
        <v>190</v>
      </c>
      <c r="BF704" s="319" t="s">
        <v>428</v>
      </c>
      <c r="BG704" s="319" t="s">
        <v>190</v>
      </c>
      <c r="BH704" s="319" t="s">
        <v>190</v>
      </c>
      <c r="BI704" s="319" t="s">
        <v>190</v>
      </c>
      <c r="BJ704" s="319" t="s">
        <v>190</v>
      </c>
      <c r="BK704" s="319" t="s">
        <v>190</v>
      </c>
      <c r="BL704" s="319" t="s">
        <v>190</v>
      </c>
      <c r="BM704" s="319" t="s">
        <v>190</v>
      </c>
      <c r="BN704" s="319" t="s">
        <v>190</v>
      </c>
      <c r="BO704" s="319" t="s">
        <v>190</v>
      </c>
      <c r="BP704" s="319" t="s">
        <v>190</v>
      </c>
      <c r="BQ704" s="319" t="s">
        <v>190</v>
      </c>
      <c r="BR704" s="319" t="s">
        <v>190</v>
      </c>
      <c r="BS704" s="319" t="s">
        <v>190</v>
      </c>
      <c r="BT704" s="319" t="s">
        <v>190</v>
      </c>
      <c r="BU704" s="319" t="s">
        <v>190</v>
      </c>
      <c r="BV704" s="319" t="s">
        <v>190</v>
      </c>
      <c r="BW704" s="319" t="s">
        <v>190</v>
      </c>
      <c r="BX704" s="319" t="s">
        <v>190</v>
      </c>
      <c r="BY704" s="319" t="s">
        <v>190</v>
      </c>
      <c r="BZ704" s="319" t="s">
        <v>190</v>
      </c>
      <c r="CA704" s="319" t="s">
        <v>190</v>
      </c>
      <c r="CB704" s="319" t="s">
        <v>190</v>
      </c>
      <c r="CC704" s="319" t="s">
        <v>190</v>
      </c>
      <c r="CD704" s="319" t="s">
        <v>190</v>
      </c>
      <c r="CE704" s="319" t="s">
        <v>190</v>
      </c>
      <c r="CF704" s="319" t="s">
        <v>190</v>
      </c>
      <c r="CG704" s="319" t="s">
        <v>190</v>
      </c>
      <c r="CH704" s="319" t="s">
        <v>190</v>
      </c>
      <c r="CI704" s="319" t="s">
        <v>190</v>
      </c>
      <c r="CJ704" s="319" t="s">
        <v>190</v>
      </c>
      <c r="CK704" s="319" t="s">
        <v>191</v>
      </c>
      <c r="CL704" s="319" t="s">
        <v>190</v>
      </c>
      <c r="CM704" s="319" t="s">
        <v>191</v>
      </c>
      <c r="CN704" s="319" t="s">
        <v>428</v>
      </c>
      <c r="CO704" s="319" t="s">
        <v>428</v>
      </c>
      <c r="CP704" s="319" t="s">
        <v>428</v>
      </c>
      <c r="CQ704" s="319" t="s">
        <v>190</v>
      </c>
      <c r="CR704" s="319" t="s">
        <v>190</v>
      </c>
      <c r="CS704" s="319" t="s">
        <v>190</v>
      </c>
      <c r="CT704" s="319" t="s">
        <v>190</v>
      </c>
      <c r="CU704" s="319" t="s">
        <v>190</v>
      </c>
      <c r="CV704" s="319" t="s">
        <v>190</v>
      </c>
      <c r="CW704" s="319" t="s">
        <v>190</v>
      </c>
      <c r="CX704" s="319" t="s">
        <v>190</v>
      </c>
      <c r="CY704" s="319" t="s">
        <v>190</v>
      </c>
      <c r="CZ704" s="319" t="s">
        <v>191</v>
      </c>
      <c r="DA704" s="319" t="s">
        <v>190</v>
      </c>
      <c r="DB704" s="319" t="s">
        <v>190</v>
      </c>
      <c r="DC704" s="319" t="s">
        <v>190</v>
      </c>
      <c r="DD704" s="319" t="s">
        <v>190</v>
      </c>
      <c r="DE704" s="319" t="s">
        <v>190</v>
      </c>
      <c r="DF704" s="319" t="s">
        <v>190</v>
      </c>
      <c r="DG704" s="319" t="s">
        <v>190</v>
      </c>
      <c r="DH704" s="319" t="s">
        <v>190</v>
      </c>
      <c r="DI704" s="319" t="s">
        <v>190</v>
      </c>
      <c r="DJ704" s="319" t="s">
        <v>190</v>
      </c>
      <c r="DK704" s="319" t="s">
        <v>190</v>
      </c>
      <c r="DL704" s="319" t="s">
        <v>190</v>
      </c>
      <c r="DM704" s="319" t="s">
        <v>428</v>
      </c>
      <c r="DN704" s="319" t="s">
        <v>428</v>
      </c>
      <c r="DO704" s="319" t="s">
        <v>190</v>
      </c>
      <c r="DP704" s="319" t="s">
        <v>428</v>
      </c>
      <c r="DQ704" s="319" t="s">
        <v>428</v>
      </c>
      <c r="DR704" s="319" t="s">
        <v>428</v>
      </c>
      <c r="DS704" s="319" t="s">
        <v>428</v>
      </c>
      <c r="DT704" s="319" t="s">
        <v>428</v>
      </c>
      <c r="DU704" s="319" t="s">
        <v>428</v>
      </c>
      <c r="DV704" s="319" t="s">
        <v>173</v>
      </c>
      <c r="DW704" s="319" t="s">
        <v>428</v>
      </c>
      <c r="DX704" s="319" t="s">
        <v>428</v>
      </c>
      <c r="DY704" s="319" t="s">
        <v>428</v>
      </c>
      <c r="DZ704" s="319" t="s">
        <v>428</v>
      </c>
      <c r="EA704" s="319" t="s">
        <v>428</v>
      </c>
      <c r="EB704" s="319" t="s">
        <v>428</v>
      </c>
      <c r="EC704" s="319" t="s">
        <v>428</v>
      </c>
      <c r="ED704" s="319" t="s">
        <v>428</v>
      </c>
      <c r="EE704" s="319" t="s">
        <v>190</v>
      </c>
      <c r="EF704" s="319" t="s">
        <v>190</v>
      </c>
      <c r="EG704" s="319" t="s">
        <v>190</v>
      </c>
      <c r="EH704" s="319" t="s">
        <v>190</v>
      </c>
      <c r="EI704" s="319" t="s">
        <v>190</v>
      </c>
      <c r="EJ704" s="319" t="s">
        <v>190</v>
      </c>
      <c r="EK704" s="319" t="s">
        <v>190</v>
      </c>
      <c r="EL704" s="319" t="s">
        <v>428</v>
      </c>
      <c r="EM704" s="319" t="s">
        <v>190</v>
      </c>
      <c r="EN704" s="319" t="s">
        <v>190</v>
      </c>
      <c r="EO704" s="319" t="s">
        <v>190</v>
      </c>
      <c r="EP704" s="319" t="s">
        <v>190</v>
      </c>
      <c r="EQ704" s="319" t="s">
        <v>190</v>
      </c>
      <c r="ER704" s="319" t="s">
        <v>190</v>
      </c>
      <c r="ES704" s="319" t="s">
        <v>190</v>
      </c>
      <c r="ET704" s="319" t="s">
        <v>190</v>
      </c>
      <c r="EU704" s="319" t="s">
        <v>190</v>
      </c>
      <c r="EV704" s="319" t="s">
        <v>190</v>
      </c>
      <c r="EW704" s="319" t="s">
        <v>190</v>
      </c>
      <c r="EX704" s="319" t="s">
        <v>190</v>
      </c>
      <c r="EY704" s="319" t="s">
        <v>190</v>
      </c>
      <c r="EZ704" s="319" t="s">
        <v>190</v>
      </c>
      <c r="FA704" s="319" t="s">
        <v>190</v>
      </c>
      <c r="FB704" s="319" t="s">
        <v>428</v>
      </c>
      <c r="FC704" s="319" t="s">
        <v>428</v>
      </c>
      <c r="FD704" s="319" t="s">
        <v>428</v>
      </c>
      <c r="FE704" s="319" t="s">
        <v>428</v>
      </c>
      <c r="FF704" s="319" t="s">
        <v>428</v>
      </c>
      <c r="FG704" s="319" t="s">
        <v>428</v>
      </c>
      <c r="FH704" s="319" t="s">
        <v>190</v>
      </c>
      <c r="FI704" s="319" t="s">
        <v>428</v>
      </c>
      <c r="FJ704" s="319" t="s">
        <v>429</v>
      </c>
      <c r="FK704" s="319" t="s">
        <v>428</v>
      </c>
      <c r="FL704" s="319" t="s">
        <v>190</v>
      </c>
      <c r="FM704" s="319" t="s">
        <v>190</v>
      </c>
      <c r="FN704" s="319" t="s">
        <v>190</v>
      </c>
      <c r="FO704" s="319" t="s">
        <v>428</v>
      </c>
      <c r="FP704" s="319" t="s">
        <v>190</v>
      </c>
      <c r="FQ704" s="319" t="s">
        <v>190</v>
      </c>
      <c r="FR704" s="319" t="s">
        <v>190</v>
      </c>
      <c r="FS704" s="319" t="s">
        <v>428</v>
      </c>
      <c r="FT704" s="319" t="s">
        <v>190</v>
      </c>
      <c r="FU704" s="319" t="s">
        <v>190</v>
      </c>
      <c r="FV704" s="319" t="s">
        <v>190</v>
      </c>
      <c r="FW704" s="319" t="s">
        <v>190</v>
      </c>
      <c r="FX704" s="319" t="s">
        <v>190</v>
      </c>
      <c r="FY704" s="319" t="s">
        <v>190</v>
      </c>
      <c r="FZ704" s="319" t="s">
        <v>190</v>
      </c>
      <c r="GA704" s="319" t="s">
        <v>190</v>
      </c>
      <c r="GB704" s="319" t="s">
        <v>190</v>
      </c>
      <c r="GC704" s="319" t="s">
        <v>190</v>
      </c>
      <c r="GD704" s="319" t="s">
        <v>190</v>
      </c>
      <c r="GE704" s="319" t="s">
        <v>190</v>
      </c>
      <c r="GF704" s="319" t="s">
        <v>190</v>
      </c>
      <c r="GG704" s="319" t="s">
        <v>190</v>
      </c>
      <c r="GH704" s="319" t="s">
        <v>190</v>
      </c>
      <c r="GI704" s="319" t="s">
        <v>190</v>
      </c>
      <c r="GJ704" s="319" t="s">
        <v>190</v>
      </c>
      <c r="GK704" s="319" t="s">
        <v>428</v>
      </c>
      <c r="GL704" s="319" t="s">
        <v>191</v>
      </c>
      <c r="GM704" s="319" t="s">
        <v>190</v>
      </c>
      <c r="GN704" s="319" t="s">
        <v>190</v>
      </c>
      <c r="GO704" s="319" t="s">
        <v>190</v>
      </c>
      <c r="GP704" s="319" t="s">
        <v>190</v>
      </c>
      <c r="GQ704" s="319" t="s">
        <v>428</v>
      </c>
      <c r="GR704" s="319" t="s">
        <v>190</v>
      </c>
      <c r="GS704" s="319" t="s">
        <v>190</v>
      </c>
      <c r="GT704" s="319" t="s">
        <v>190</v>
      </c>
      <c r="GU704" s="319" t="s">
        <v>428</v>
      </c>
      <c r="GV704" s="319" t="s">
        <v>190</v>
      </c>
      <c r="GW704" s="319" t="s">
        <v>190</v>
      </c>
      <c r="GX704" s="319" t="s">
        <v>190</v>
      </c>
      <c r="GY704" s="319" t="s">
        <v>190</v>
      </c>
      <c r="GZ704" s="319" t="s">
        <v>190</v>
      </c>
      <c r="HA704" s="319" t="s">
        <v>190</v>
      </c>
      <c r="HB704" s="319" t="s">
        <v>428</v>
      </c>
      <c r="HC704" s="319" t="s">
        <v>190</v>
      </c>
      <c r="HD704" s="319" t="s">
        <v>190</v>
      </c>
      <c r="HE704" s="319" t="s">
        <v>191</v>
      </c>
      <c r="HF704" s="319" t="s">
        <v>191</v>
      </c>
      <c r="HG704" s="319" t="s">
        <v>190</v>
      </c>
      <c r="HH704" s="319" t="s">
        <v>190</v>
      </c>
      <c r="HI704" s="319" t="s">
        <v>190</v>
      </c>
      <c r="HJ704" s="319" t="s">
        <v>190</v>
      </c>
      <c r="HK704" s="319" t="s">
        <v>190</v>
      </c>
      <c r="HL704" s="319" t="s">
        <v>428</v>
      </c>
      <c r="HM704" s="319" t="s">
        <v>428</v>
      </c>
      <c r="HN704" s="319" t="s">
        <v>428</v>
      </c>
      <c r="HO704" s="319" t="s">
        <v>428</v>
      </c>
      <c r="HP704" s="319" t="s">
        <v>190</v>
      </c>
      <c r="HQ704" s="319" t="s">
        <v>190</v>
      </c>
      <c r="HR704" s="319" t="s">
        <v>190</v>
      </c>
      <c r="HS704" s="319" t="s">
        <v>190</v>
      </c>
      <c r="HT704" s="319" t="s">
        <v>190</v>
      </c>
      <c r="HU704" s="319" t="s">
        <v>190</v>
      </c>
      <c r="HV704" s="319" t="s">
        <v>190</v>
      </c>
      <c r="HW704" s="319" t="s">
        <v>190</v>
      </c>
      <c r="HX704" s="319" t="s">
        <v>190</v>
      </c>
      <c r="HY704" s="319" t="s">
        <v>190</v>
      </c>
      <c r="HZ704" s="319" t="s">
        <v>190</v>
      </c>
      <c r="IA704" s="319" t="s">
        <v>190</v>
      </c>
      <c r="IB704" s="319" t="s">
        <v>190</v>
      </c>
      <c r="IC704" s="319" t="s">
        <v>190</v>
      </c>
      <c r="ID704" s="319" t="s">
        <v>190</v>
      </c>
      <c r="IE704" s="319" t="s">
        <v>190</v>
      </c>
      <c r="IF704" s="319" t="s">
        <v>191</v>
      </c>
      <c r="IG704" s="319" t="s">
        <v>191</v>
      </c>
      <c r="IH704" s="319" t="s">
        <v>191</v>
      </c>
      <c r="II704" s="319" t="s">
        <v>190</v>
      </c>
      <c r="IJ704" s="319" t="s">
        <v>3440</v>
      </c>
      <c r="IK704" s="321">
        <v>41478</v>
      </c>
      <c r="IL704" s="321">
        <v>41479</v>
      </c>
      <c r="IM704" s="321">
        <v>41499</v>
      </c>
      <c r="IN704" s="319">
        <v>3</v>
      </c>
      <c r="IO704" s="319">
        <v>10102795</v>
      </c>
      <c r="IP704" s="319" t="s">
        <v>985</v>
      </c>
      <c r="IQ704" s="321">
        <v>43599</v>
      </c>
      <c r="IR704" s="320" t="s">
        <v>1223</v>
      </c>
      <c r="IS704" s="322">
        <v>43639</v>
      </c>
      <c r="IT704" s="319" t="s">
        <v>165</v>
      </c>
    </row>
    <row r="705" spans="1:254" s="271" customFormat="1" x14ac:dyDescent="0.25">
      <c r="A705" s="318" t="str">
        <f>HYPERLINK("http://www.ofsted.gov.uk/inspection-reports/find-inspection-report/provider/ELS/138597 ","Ofsted School Webpage")</f>
        <v>Ofsted School Webpage</v>
      </c>
      <c r="B705" s="319">
        <v>138597</v>
      </c>
      <c r="C705" s="319">
        <v>8766014</v>
      </c>
      <c r="D705" s="319" t="s">
        <v>2177</v>
      </c>
      <c r="E705" s="319" t="s">
        <v>168</v>
      </c>
      <c r="F705" s="319" t="s">
        <v>81</v>
      </c>
      <c r="G705" s="319" t="s">
        <v>59</v>
      </c>
      <c r="H705" s="319" t="s">
        <v>59</v>
      </c>
      <c r="I705" s="319" t="s">
        <v>59</v>
      </c>
      <c r="J705" s="319" t="s">
        <v>424</v>
      </c>
      <c r="K705" s="319" t="s">
        <v>431</v>
      </c>
      <c r="L705" s="319" t="s">
        <v>431</v>
      </c>
      <c r="M705" s="319" t="s">
        <v>572</v>
      </c>
      <c r="N705" s="319" t="s">
        <v>572</v>
      </c>
      <c r="O705" s="319" t="s">
        <v>2178</v>
      </c>
      <c r="P705" s="319">
        <v>5</v>
      </c>
      <c r="Q705" s="319" t="s">
        <v>429</v>
      </c>
      <c r="R705" s="320">
        <v>10012923</v>
      </c>
      <c r="S705" s="321">
        <v>43129</v>
      </c>
      <c r="T705" s="321">
        <v>43131</v>
      </c>
      <c r="U705" s="321">
        <v>43158</v>
      </c>
      <c r="V705" s="319" t="s">
        <v>425</v>
      </c>
      <c r="W705" s="319" t="s">
        <v>2767</v>
      </c>
      <c r="X705" s="319">
        <v>2</v>
      </c>
      <c r="Y705" s="319" t="s">
        <v>173</v>
      </c>
      <c r="Z705" s="319" t="s">
        <v>173</v>
      </c>
      <c r="AA705" s="319" t="s">
        <v>173</v>
      </c>
      <c r="AB705" s="319">
        <v>2</v>
      </c>
      <c r="AC705" s="319" t="s">
        <v>169</v>
      </c>
      <c r="AD705" s="319" t="s">
        <v>173</v>
      </c>
      <c r="AE705" s="319" t="s">
        <v>173</v>
      </c>
      <c r="AF705" s="319" t="s">
        <v>173</v>
      </c>
      <c r="AG705" s="319" t="s">
        <v>171</v>
      </c>
      <c r="AH705" s="319" t="s">
        <v>190</v>
      </c>
      <c r="AI705" s="319" t="s">
        <v>190</v>
      </c>
      <c r="AJ705" s="319" t="s">
        <v>190</v>
      </c>
      <c r="AK705" s="319" t="s">
        <v>190</v>
      </c>
      <c r="AL705" s="319" t="s">
        <v>190</v>
      </c>
      <c r="AM705" s="319" t="s">
        <v>190</v>
      </c>
      <c r="AN705" s="319" t="s">
        <v>190</v>
      </c>
      <c r="AO705" s="319" t="s">
        <v>190</v>
      </c>
      <c r="AP705" s="319" t="s">
        <v>190</v>
      </c>
      <c r="AQ705" s="319" t="s">
        <v>190</v>
      </c>
      <c r="AR705" s="319" t="s">
        <v>190</v>
      </c>
      <c r="AS705" s="319" t="s">
        <v>190</v>
      </c>
      <c r="AT705" s="319" t="s">
        <v>190</v>
      </c>
      <c r="AU705" s="319" t="s">
        <v>190</v>
      </c>
      <c r="AV705" s="319" t="s">
        <v>190</v>
      </c>
      <c r="AW705" s="319" t="s">
        <v>190</v>
      </c>
      <c r="AX705" s="319" t="s">
        <v>429</v>
      </c>
      <c r="AY705" s="319" t="s">
        <v>190</v>
      </c>
      <c r="AZ705" s="319" t="s">
        <v>190</v>
      </c>
      <c r="BA705" s="319" t="s">
        <v>190</v>
      </c>
      <c r="BB705" s="319" t="s">
        <v>190</v>
      </c>
      <c r="BC705" s="319" t="s">
        <v>190</v>
      </c>
      <c r="BD705" s="319" t="s">
        <v>190</v>
      </c>
      <c r="BE705" s="319" t="s">
        <v>190</v>
      </c>
      <c r="BF705" s="319" t="s">
        <v>429</v>
      </c>
      <c r="BG705" s="319" t="s">
        <v>429</v>
      </c>
      <c r="BH705" s="319" t="s">
        <v>190</v>
      </c>
      <c r="BI705" s="319" t="s">
        <v>190</v>
      </c>
      <c r="BJ705" s="319" t="s">
        <v>190</v>
      </c>
      <c r="BK705" s="319" t="s">
        <v>190</v>
      </c>
      <c r="BL705" s="319" t="s">
        <v>190</v>
      </c>
      <c r="BM705" s="319" t="s">
        <v>190</v>
      </c>
      <c r="BN705" s="319" t="s">
        <v>190</v>
      </c>
      <c r="BO705" s="319" t="s">
        <v>190</v>
      </c>
      <c r="BP705" s="319" t="s">
        <v>190</v>
      </c>
      <c r="BQ705" s="319" t="s">
        <v>190</v>
      </c>
      <c r="BR705" s="319" t="s">
        <v>190</v>
      </c>
      <c r="BS705" s="319" t="s">
        <v>190</v>
      </c>
      <c r="BT705" s="319" t="s">
        <v>190</v>
      </c>
      <c r="BU705" s="319" t="s">
        <v>190</v>
      </c>
      <c r="BV705" s="319" t="s">
        <v>190</v>
      </c>
      <c r="BW705" s="319" t="s">
        <v>190</v>
      </c>
      <c r="BX705" s="319" t="s">
        <v>190</v>
      </c>
      <c r="BY705" s="319" t="s">
        <v>190</v>
      </c>
      <c r="BZ705" s="319" t="s">
        <v>190</v>
      </c>
      <c r="CA705" s="319" t="s">
        <v>190</v>
      </c>
      <c r="CB705" s="319" t="s">
        <v>190</v>
      </c>
      <c r="CC705" s="319" t="s">
        <v>190</v>
      </c>
      <c r="CD705" s="319" t="s">
        <v>190</v>
      </c>
      <c r="CE705" s="319" t="s">
        <v>190</v>
      </c>
      <c r="CF705" s="319" t="s">
        <v>190</v>
      </c>
      <c r="CG705" s="319" t="s">
        <v>190</v>
      </c>
      <c r="CH705" s="319" t="s">
        <v>190</v>
      </c>
      <c r="CI705" s="319" t="s">
        <v>190</v>
      </c>
      <c r="CJ705" s="319" t="s">
        <v>190</v>
      </c>
      <c r="CK705" s="319" t="s">
        <v>190</v>
      </c>
      <c r="CL705" s="319" t="s">
        <v>190</v>
      </c>
      <c r="CM705" s="319" t="s">
        <v>190</v>
      </c>
      <c r="CN705" s="319" t="s">
        <v>429</v>
      </c>
      <c r="CO705" s="319" t="s">
        <v>429</v>
      </c>
      <c r="CP705" s="319" t="s">
        <v>429</v>
      </c>
      <c r="CQ705" s="319" t="s">
        <v>190</v>
      </c>
      <c r="CR705" s="319" t="s">
        <v>190</v>
      </c>
      <c r="CS705" s="319" t="s">
        <v>190</v>
      </c>
      <c r="CT705" s="319" t="s">
        <v>190</v>
      </c>
      <c r="CU705" s="319" t="s">
        <v>190</v>
      </c>
      <c r="CV705" s="319" t="s">
        <v>190</v>
      </c>
      <c r="CW705" s="319" t="s">
        <v>190</v>
      </c>
      <c r="CX705" s="319" t="s">
        <v>190</v>
      </c>
      <c r="CY705" s="319" t="s">
        <v>190</v>
      </c>
      <c r="CZ705" s="319" t="s">
        <v>190</v>
      </c>
      <c r="DA705" s="319" t="s">
        <v>190</v>
      </c>
      <c r="DB705" s="319" t="s">
        <v>190</v>
      </c>
      <c r="DC705" s="319" t="s">
        <v>190</v>
      </c>
      <c r="DD705" s="319" t="s">
        <v>190</v>
      </c>
      <c r="DE705" s="319" t="s">
        <v>190</v>
      </c>
      <c r="DF705" s="319" t="s">
        <v>190</v>
      </c>
      <c r="DG705" s="319" t="s">
        <v>190</v>
      </c>
      <c r="DH705" s="319" t="s">
        <v>190</v>
      </c>
      <c r="DI705" s="319" t="s">
        <v>190</v>
      </c>
      <c r="DJ705" s="319" t="s">
        <v>190</v>
      </c>
      <c r="DK705" s="319" t="s">
        <v>190</v>
      </c>
      <c r="DL705" s="319" t="s">
        <v>190</v>
      </c>
      <c r="DM705" s="319" t="s">
        <v>429</v>
      </c>
      <c r="DN705" s="319" t="s">
        <v>429</v>
      </c>
      <c r="DO705" s="319" t="s">
        <v>190</v>
      </c>
      <c r="DP705" s="319" t="s">
        <v>429</v>
      </c>
      <c r="DQ705" s="319" t="s">
        <v>429</v>
      </c>
      <c r="DR705" s="319" t="s">
        <v>429</v>
      </c>
      <c r="DS705" s="319" t="s">
        <v>429</v>
      </c>
      <c r="DT705" s="319" t="s">
        <v>429</v>
      </c>
      <c r="DU705" s="319" t="s">
        <v>429</v>
      </c>
      <c r="DV705" s="319" t="s">
        <v>173</v>
      </c>
      <c r="DW705" s="319" t="s">
        <v>429</v>
      </c>
      <c r="DX705" s="319" t="s">
        <v>429</v>
      </c>
      <c r="DY705" s="319" t="s">
        <v>429</v>
      </c>
      <c r="DZ705" s="319" t="s">
        <v>429</v>
      </c>
      <c r="EA705" s="319" t="s">
        <v>429</v>
      </c>
      <c r="EB705" s="319" t="s">
        <v>429</v>
      </c>
      <c r="EC705" s="319" t="s">
        <v>429</v>
      </c>
      <c r="ED705" s="319" t="s">
        <v>429</v>
      </c>
      <c r="EE705" s="319" t="s">
        <v>429</v>
      </c>
      <c r="EF705" s="319" t="s">
        <v>429</v>
      </c>
      <c r="EG705" s="319" t="s">
        <v>429</v>
      </c>
      <c r="EH705" s="319" t="s">
        <v>429</v>
      </c>
      <c r="EI705" s="319" t="s">
        <v>429</v>
      </c>
      <c r="EJ705" s="319" t="s">
        <v>429</v>
      </c>
      <c r="EK705" s="319" t="s">
        <v>429</v>
      </c>
      <c r="EL705" s="319" t="s">
        <v>429</v>
      </c>
      <c r="EM705" s="319" t="s">
        <v>429</v>
      </c>
      <c r="EN705" s="319" t="s">
        <v>190</v>
      </c>
      <c r="EO705" s="319" t="s">
        <v>190</v>
      </c>
      <c r="EP705" s="319" t="s">
        <v>190</v>
      </c>
      <c r="EQ705" s="319" t="s">
        <v>190</v>
      </c>
      <c r="ER705" s="319" t="s">
        <v>190</v>
      </c>
      <c r="ES705" s="319" t="s">
        <v>190</v>
      </c>
      <c r="ET705" s="319" t="s">
        <v>190</v>
      </c>
      <c r="EU705" s="319" t="s">
        <v>190</v>
      </c>
      <c r="EV705" s="319" t="s">
        <v>190</v>
      </c>
      <c r="EW705" s="319" t="s">
        <v>190</v>
      </c>
      <c r="EX705" s="319" t="s">
        <v>190</v>
      </c>
      <c r="EY705" s="319" t="s">
        <v>190</v>
      </c>
      <c r="EZ705" s="319" t="s">
        <v>190</v>
      </c>
      <c r="FA705" s="319" t="s">
        <v>429</v>
      </c>
      <c r="FB705" s="319" t="s">
        <v>429</v>
      </c>
      <c r="FC705" s="319" t="s">
        <v>429</v>
      </c>
      <c r="FD705" s="319" t="s">
        <v>429</v>
      </c>
      <c r="FE705" s="319" t="s">
        <v>429</v>
      </c>
      <c r="FF705" s="319" t="s">
        <v>429</v>
      </c>
      <c r="FG705" s="319" t="s">
        <v>429</v>
      </c>
      <c r="FH705" s="319" t="s">
        <v>190</v>
      </c>
      <c r="FI705" s="319" t="s">
        <v>429</v>
      </c>
      <c r="FJ705" s="319" t="s">
        <v>190</v>
      </c>
      <c r="FK705" s="319" t="s">
        <v>190</v>
      </c>
      <c r="FL705" s="319" t="s">
        <v>190</v>
      </c>
      <c r="FM705" s="319" t="s">
        <v>190</v>
      </c>
      <c r="FN705" s="319" t="s">
        <v>190</v>
      </c>
      <c r="FO705" s="319" t="s">
        <v>190</v>
      </c>
      <c r="FP705" s="319" t="s">
        <v>190</v>
      </c>
      <c r="FQ705" s="319" t="s">
        <v>190</v>
      </c>
      <c r="FR705" s="319" t="s">
        <v>190</v>
      </c>
      <c r="FS705" s="319" t="s">
        <v>190</v>
      </c>
      <c r="FT705" s="319" t="s">
        <v>190</v>
      </c>
      <c r="FU705" s="319" t="s">
        <v>190</v>
      </c>
      <c r="FV705" s="319" t="s">
        <v>190</v>
      </c>
      <c r="FW705" s="319" t="s">
        <v>190</v>
      </c>
      <c r="FX705" s="319" t="s">
        <v>190</v>
      </c>
      <c r="FY705" s="319" t="s">
        <v>190</v>
      </c>
      <c r="FZ705" s="319" t="s">
        <v>190</v>
      </c>
      <c r="GA705" s="319" t="s">
        <v>190</v>
      </c>
      <c r="GB705" s="319" t="s">
        <v>190</v>
      </c>
      <c r="GC705" s="319" t="s">
        <v>190</v>
      </c>
      <c r="GD705" s="319" t="s">
        <v>190</v>
      </c>
      <c r="GE705" s="319" t="s">
        <v>190</v>
      </c>
      <c r="GF705" s="319" t="s">
        <v>190</v>
      </c>
      <c r="GG705" s="319" t="s">
        <v>190</v>
      </c>
      <c r="GH705" s="319" t="s">
        <v>190</v>
      </c>
      <c r="GI705" s="319" t="s">
        <v>190</v>
      </c>
      <c r="GJ705" s="319" t="s">
        <v>190</v>
      </c>
      <c r="GK705" s="319" t="s">
        <v>429</v>
      </c>
      <c r="GL705" s="319" t="s">
        <v>190</v>
      </c>
      <c r="GM705" s="319" t="s">
        <v>190</v>
      </c>
      <c r="GN705" s="319" t="s">
        <v>190</v>
      </c>
      <c r="GO705" s="319" t="s">
        <v>190</v>
      </c>
      <c r="GP705" s="319" t="s">
        <v>190</v>
      </c>
      <c r="GQ705" s="319" t="s">
        <v>429</v>
      </c>
      <c r="GR705" s="319" t="s">
        <v>190</v>
      </c>
      <c r="GS705" s="319" t="s">
        <v>190</v>
      </c>
      <c r="GT705" s="319" t="s">
        <v>190</v>
      </c>
      <c r="GU705" s="319" t="s">
        <v>190</v>
      </c>
      <c r="GV705" s="319" t="s">
        <v>190</v>
      </c>
      <c r="GW705" s="319" t="s">
        <v>190</v>
      </c>
      <c r="GX705" s="319" t="s">
        <v>190</v>
      </c>
      <c r="GY705" s="319" t="s">
        <v>190</v>
      </c>
      <c r="GZ705" s="319" t="s">
        <v>190</v>
      </c>
      <c r="HA705" s="319" t="s">
        <v>190</v>
      </c>
      <c r="HB705" s="319" t="s">
        <v>190</v>
      </c>
      <c r="HC705" s="319" t="s">
        <v>190</v>
      </c>
      <c r="HD705" s="319" t="s">
        <v>190</v>
      </c>
      <c r="HE705" s="319" t="s">
        <v>190</v>
      </c>
      <c r="HF705" s="319" t="s">
        <v>190</v>
      </c>
      <c r="HG705" s="319" t="s">
        <v>190</v>
      </c>
      <c r="HH705" s="319" t="s">
        <v>190</v>
      </c>
      <c r="HI705" s="319" t="s">
        <v>190</v>
      </c>
      <c r="HJ705" s="319" t="s">
        <v>190</v>
      </c>
      <c r="HK705" s="319" t="s">
        <v>190</v>
      </c>
      <c r="HL705" s="319" t="s">
        <v>190</v>
      </c>
      <c r="HM705" s="319" t="s">
        <v>190</v>
      </c>
      <c r="HN705" s="319" t="s">
        <v>190</v>
      </c>
      <c r="HO705" s="319" t="s">
        <v>190</v>
      </c>
      <c r="HP705" s="319" t="s">
        <v>190</v>
      </c>
      <c r="HQ705" s="319" t="s">
        <v>190</v>
      </c>
      <c r="HR705" s="319" t="s">
        <v>190</v>
      </c>
      <c r="HS705" s="319" t="s">
        <v>190</v>
      </c>
      <c r="HT705" s="319" t="s">
        <v>190</v>
      </c>
      <c r="HU705" s="319" t="s">
        <v>190</v>
      </c>
      <c r="HV705" s="319" t="s">
        <v>190</v>
      </c>
      <c r="HW705" s="319" t="s">
        <v>190</v>
      </c>
      <c r="HX705" s="319" t="s">
        <v>190</v>
      </c>
      <c r="HY705" s="319" t="s">
        <v>190</v>
      </c>
      <c r="HZ705" s="319" t="s">
        <v>190</v>
      </c>
      <c r="IA705" s="319" t="s">
        <v>190</v>
      </c>
      <c r="IB705" s="319" t="s">
        <v>190</v>
      </c>
      <c r="IC705" s="319" t="s">
        <v>190</v>
      </c>
      <c r="ID705" s="319" t="s">
        <v>190</v>
      </c>
      <c r="IE705" s="319" t="s">
        <v>190</v>
      </c>
      <c r="IF705" s="319" t="s">
        <v>190</v>
      </c>
      <c r="IG705" s="319" t="s">
        <v>190</v>
      </c>
      <c r="IH705" s="319" t="s">
        <v>190</v>
      </c>
      <c r="II705" s="319" t="s">
        <v>190</v>
      </c>
      <c r="IJ705" s="319" t="s">
        <v>3441</v>
      </c>
      <c r="IK705" s="321">
        <v>41464</v>
      </c>
      <c r="IL705" s="321">
        <v>41465</v>
      </c>
      <c r="IM705" s="321">
        <v>41486</v>
      </c>
      <c r="IN705" s="319">
        <v>1</v>
      </c>
      <c r="IO705" s="319" t="s">
        <v>173</v>
      </c>
      <c r="IP705" s="319" t="s">
        <v>173</v>
      </c>
      <c r="IQ705" s="321" t="s">
        <v>173</v>
      </c>
      <c r="IR705" s="320" t="s">
        <v>173</v>
      </c>
      <c r="IS705" s="322" t="s">
        <v>173</v>
      </c>
      <c r="IT705" s="319" t="s">
        <v>173</v>
      </c>
    </row>
    <row r="706" spans="1:254" s="271" customFormat="1" x14ac:dyDescent="0.25">
      <c r="A706" s="318" t="str">
        <f>HYPERLINK("http://www.ofsted.gov.uk/inspection-reports/find-inspection-report/provider/ELS/138602 ","Ofsted School Webpage")</f>
        <v>Ofsted School Webpage</v>
      </c>
      <c r="B706" s="319">
        <v>138602</v>
      </c>
      <c r="C706" s="319">
        <v>9316010</v>
      </c>
      <c r="D706" s="319" t="s">
        <v>2179</v>
      </c>
      <c r="E706" s="319" t="s">
        <v>167</v>
      </c>
      <c r="F706" s="319" t="s">
        <v>81</v>
      </c>
      <c r="G706" s="319" t="s">
        <v>81</v>
      </c>
      <c r="H706" s="319" t="s">
        <v>81</v>
      </c>
      <c r="I706" s="319" t="s">
        <v>78</v>
      </c>
      <c r="J706" s="319" t="s">
        <v>424</v>
      </c>
      <c r="K706" s="319" t="s">
        <v>514</v>
      </c>
      <c r="L706" s="319" t="s">
        <v>514</v>
      </c>
      <c r="M706" s="319" t="s">
        <v>1016</v>
      </c>
      <c r="N706" s="319" t="s">
        <v>3427</v>
      </c>
      <c r="O706" s="319" t="s">
        <v>2180</v>
      </c>
      <c r="P706" s="319">
        <v>235</v>
      </c>
      <c r="Q706" s="319" t="s">
        <v>2776</v>
      </c>
      <c r="R706" s="320">
        <v>10076617</v>
      </c>
      <c r="S706" s="321">
        <v>43522</v>
      </c>
      <c r="T706" s="321">
        <v>43524</v>
      </c>
      <c r="U706" s="321">
        <v>43563</v>
      </c>
      <c r="V706" s="319" t="s">
        <v>425</v>
      </c>
      <c r="W706" s="319" t="s">
        <v>2767</v>
      </c>
      <c r="X706" s="319">
        <v>2</v>
      </c>
      <c r="Y706" s="319" t="s">
        <v>173</v>
      </c>
      <c r="Z706" s="319" t="s">
        <v>173</v>
      </c>
      <c r="AA706" s="319" t="s">
        <v>173</v>
      </c>
      <c r="AB706" s="319">
        <v>2</v>
      </c>
      <c r="AC706" s="319" t="s">
        <v>169</v>
      </c>
      <c r="AD706" s="319" t="s">
        <v>173</v>
      </c>
      <c r="AE706" s="319" t="s">
        <v>173</v>
      </c>
      <c r="AF706" s="319" t="s">
        <v>427</v>
      </c>
      <c r="AG706" s="319" t="s">
        <v>171</v>
      </c>
      <c r="AH706" s="319" t="s">
        <v>190</v>
      </c>
      <c r="AI706" s="319" t="s">
        <v>190</v>
      </c>
      <c r="AJ706" s="319" t="s">
        <v>190</v>
      </c>
      <c r="AK706" s="319" t="s">
        <v>190</v>
      </c>
      <c r="AL706" s="319" t="s">
        <v>190</v>
      </c>
      <c r="AM706" s="319" t="s">
        <v>190</v>
      </c>
      <c r="AN706" s="319" t="s">
        <v>190</v>
      </c>
      <c r="AO706" s="319" t="s">
        <v>190</v>
      </c>
      <c r="AP706" s="319" t="s">
        <v>190</v>
      </c>
      <c r="AQ706" s="319" t="s">
        <v>190</v>
      </c>
      <c r="AR706" s="319" t="s">
        <v>190</v>
      </c>
      <c r="AS706" s="319" t="s">
        <v>190</v>
      </c>
      <c r="AT706" s="319" t="s">
        <v>190</v>
      </c>
      <c r="AU706" s="319" t="s">
        <v>190</v>
      </c>
      <c r="AV706" s="319" t="s">
        <v>190</v>
      </c>
      <c r="AW706" s="319" t="s">
        <v>190</v>
      </c>
      <c r="AX706" s="319" t="s">
        <v>428</v>
      </c>
      <c r="AY706" s="319" t="s">
        <v>190</v>
      </c>
      <c r="AZ706" s="319" t="s">
        <v>190</v>
      </c>
      <c r="BA706" s="319" t="s">
        <v>190</v>
      </c>
      <c r="BB706" s="319" t="s">
        <v>190</v>
      </c>
      <c r="BC706" s="319" t="s">
        <v>190</v>
      </c>
      <c r="BD706" s="319" t="s">
        <v>190</v>
      </c>
      <c r="BE706" s="319" t="s">
        <v>190</v>
      </c>
      <c r="BF706" s="319" t="s">
        <v>190</v>
      </c>
      <c r="BG706" s="319" t="s">
        <v>190</v>
      </c>
      <c r="BH706" s="319" t="s">
        <v>190</v>
      </c>
      <c r="BI706" s="319" t="s">
        <v>190</v>
      </c>
      <c r="BJ706" s="319" t="s">
        <v>190</v>
      </c>
      <c r="BK706" s="319" t="s">
        <v>190</v>
      </c>
      <c r="BL706" s="319" t="s">
        <v>190</v>
      </c>
      <c r="BM706" s="319" t="s">
        <v>190</v>
      </c>
      <c r="BN706" s="319" t="s">
        <v>190</v>
      </c>
      <c r="BO706" s="319" t="s">
        <v>190</v>
      </c>
      <c r="BP706" s="319" t="s">
        <v>190</v>
      </c>
      <c r="BQ706" s="319" t="s">
        <v>190</v>
      </c>
      <c r="BR706" s="319" t="s">
        <v>190</v>
      </c>
      <c r="BS706" s="319" t="s">
        <v>190</v>
      </c>
      <c r="BT706" s="319" t="s">
        <v>190</v>
      </c>
      <c r="BU706" s="319" t="s">
        <v>190</v>
      </c>
      <c r="BV706" s="319" t="s">
        <v>190</v>
      </c>
      <c r="BW706" s="319" t="s">
        <v>190</v>
      </c>
      <c r="BX706" s="319" t="s">
        <v>190</v>
      </c>
      <c r="BY706" s="319" t="s">
        <v>190</v>
      </c>
      <c r="BZ706" s="319" t="s">
        <v>190</v>
      </c>
      <c r="CA706" s="319" t="s">
        <v>190</v>
      </c>
      <c r="CB706" s="319" t="s">
        <v>190</v>
      </c>
      <c r="CC706" s="319" t="s">
        <v>190</v>
      </c>
      <c r="CD706" s="319" t="s">
        <v>190</v>
      </c>
      <c r="CE706" s="319" t="s">
        <v>190</v>
      </c>
      <c r="CF706" s="319" t="s">
        <v>190</v>
      </c>
      <c r="CG706" s="319" t="s">
        <v>190</v>
      </c>
      <c r="CH706" s="319" t="s">
        <v>190</v>
      </c>
      <c r="CI706" s="319" t="s">
        <v>190</v>
      </c>
      <c r="CJ706" s="319" t="s">
        <v>190</v>
      </c>
      <c r="CK706" s="319" t="s">
        <v>190</v>
      </c>
      <c r="CL706" s="319" t="s">
        <v>190</v>
      </c>
      <c r="CM706" s="319" t="s">
        <v>190</v>
      </c>
      <c r="CN706" s="319" t="s">
        <v>428</v>
      </c>
      <c r="CO706" s="319" t="s">
        <v>428</v>
      </c>
      <c r="CP706" s="319" t="s">
        <v>428</v>
      </c>
      <c r="CQ706" s="319" t="s">
        <v>190</v>
      </c>
      <c r="CR706" s="319" t="s">
        <v>190</v>
      </c>
      <c r="CS706" s="319" t="s">
        <v>190</v>
      </c>
      <c r="CT706" s="319" t="s">
        <v>190</v>
      </c>
      <c r="CU706" s="319" t="s">
        <v>190</v>
      </c>
      <c r="CV706" s="319" t="s">
        <v>190</v>
      </c>
      <c r="CW706" s="319" t="s">
        <v>190</v>
      </c>
      <c r="CX706" s="319" t="s">
        <v>190</v>
      </c>
      <c r="CY706" s="319" t="s">
        <v>190</v>
      </c>
      <c r="CZ706" s="319" t="s">
        <v>190</v>
      </c>
      <c r="DA706" s="319" t="s">
        <v>190</v>
      </c>
      <c r="DB706" s="319" t="s">
        <v>190</v>
      </c>
      <c r="DC706" s="319" t="s">
        <v>190</v>
      </c>
      <c r="DD706" s="319" t="s">
        <v>190</v>
      </c>
      <c r="DE706" s="319" t="s">
        <v>190</v>
      </c>
      <c r="DF706" s="319" t="s">
        <v>190</v>
      </c>
      <c r="DG706" s="319" t="s">
        <v>190</v>
      </c>
      <c r="DH706" s="319" t="s">
        <v>190</v>
      </c>
      <c r="DI706" s="319" t="s">
        <v>190</v>
      </c>
      <c r="DJ706" s="319" t="s">
        <v>190</v>
      </c>
      <c r="DK706" s="319" t="s">
        <v>190</v>
      </c>
      <c r="DL706" s="319" t="s">
        <v>190</v>
      </c>
      <c r="DM706" s="319" t="s">
        <v>190</v>
      </c>
      <c r="DN706" s="319" t="s">
        <v>428</v>
      </c>
      <c r="DO706" s="319" t="s">
        <v>190</v>
      </c>
      <c r="DP706" s="319" t="s">
        <v>428</v>
      </c>
      <c r="DQ706" s="319" t="s">
        <v>428</v>
      </c>
      <c r="DR706" s="319" t="s">
        <v>428</v>
      </c>
      <c r="DS706" s="319" t="s">
        <v>428</v>
      </c>
      <c r="DT706" s="319" t="s">
        <v>428</v>
      </c>
      <c r="DU706" s="319" t="s">
        <v>428</v>
      </c>
      <c r="DV706" s="319" t="s">
        <v>173</v>
      </c>
      <c r="DW706" s="319" t="s">
        <v>428</v>
      </c>
      <c r="DX706" s="319" t="s">
        <v>428</v>
      </c>
      <c r="DY706" s="319" t="s">
        <v>428</v>
      </c>
      <c r="DZ706" s="319" t="s">
        <v>428</v>
      </c>
      <c r="EA706" s="319" t="s">
        <v>428</v>
      </c>
      <c r="EB706" s="319" t="s">
        <v>428</v>
      </c>
      <c r="EC706" s="319" t="s">
        <v>428</v>
      </c>
      <c r="ED706" s="319" t="s">
        <v>428</v>
      </c>
      <c r="EE706" s="319" t="s">
        <v>190</v>
      </c>
      <c r="EF706" s="319" t="s">
        <v>190</v>
      </c>
      <c r="EG706" s="319" t="s">
        <v>190</v>
      </c>
      <c r="EH706" s="319" t="s">
        <v>190</v>
      </c>
      <c r="EI706" s="319" t="s">
        <v>190</v>
      </c>
      <c r="EJ706" s="319" t="s">
        <v>190</v>
      </c>
      <c r="EK706" s="319" t="s">
        <v>190</v>
      </c>
      <c r="EL706" s="319" t="s">
        <v>428</v>
      </c>
      <c r="EM706" s="319" t="s">
        <v>190</v>
      </c>
      <c r="EN706" s="319" t="s">
        <v>190</v>
      </c>
      <c r="EO706" s="319" t="s">
        <v>190</v>
      </c>
      <c r="EP706" s="319" t="s">
        <v>190</v>
      </c>
      <c r="EQ706" s="319" t="s">
        <v>190</v>
      </c>
      <c r="ER706" s="319" t="s">
        <v>190</v>
      </c>
      <c r="ES706" s="319" t="s">
        <v>190</v>
      </c>
      <c r="ET706" s="319" t="s">
        <v>190</v>
      </c>
      <c r="EU706" s="319" t="s">
        <v>190</v>
      </c>
      <c r="EV706" s="319" t="s">
        <v>190</v>
      </c>
      <c r="EW706" s="319" t="s">
        <v>190</v>
      </c>
      <c r="EX706" s="319" t="s">
        <v>190</v>
      </c>
      <c r="EY706" s="319" t="s">
        <v>190</v>
      </c>
      <c r="EZ706" s="319" t="s">
        <v>190</v>
      </c>
      <c r="FA706" s="319" t="s">
        <v>190</v>
      </c>
      <c r="FB706" s="319" t="s">
        <v>428</v>
      </c>
      <c r="FC706" s="319" t="s">
        <v>428</v>
      </c>
      <c r="FD706" s="319" t="s">
        <v>190</v>
      </c>
      <c r="FE706" s="319" t="s">
        <v>190</v>
      </c>
      <c r="FF706" s="319" t="s">
        <v>428</v>
      </c>
      <c r="FG706" s="319" t="s">
        <v>428</v>
      </c>
      <c r="FH706" s="319" t="s">
        <v>190</v>
      </c>
      <c r="FI706" s="319" t="s">
        <v>190</v>
      </c>
      <c r="FJ706" s="319" t="s">
        <v>190</v>
      </c>
      <c r="FK706" s="319" t="s">
        <v>190</v>
      </c>
      <c r="FL706" s="319" t="s">
        <v>190</v>
      </c>
      <c r="FM706" s="319" t="s">
        <v>190</v>
      </c>
      <c r="FN706" s="319" t="s">
        <v>190</v>
      </c>
      <c r="FO706" s="319" t="s">
        <v>190</v>
      </c>
      <c r="FP706" s="319" t="s">
        <v>190</v>
      </c>
      <c r="FQ706" s="319" t="s">
        <v>190</v>
      </c>
      <c r="FR706" s="319" t="s">
        <v>190</v>
      </c>
      <c r="FS706" s="319" t="s">
        <v>428</v>
      </c>
      <c r="FT706" s="319" t="s">
        <v>190</v>
      </c>
      <c r="FU706" s="319" t="s">
        <v>190</v>
      </c>
      <c r="FV706" s="319" t="s">
        <v>190</v>
      </c>
      <c r="FW706" s="319" t="s">
        <v>190</v>
      </c>
      <c r="FX706" s="319" t="s">
        <v>190</v>
      </c>
      <c r="FY706" s="319" t="s">
        <v>190</v>
      </c>
      <c r="FZ706" s="319" t="s">
        <v>190</v>
      </c>
      <c r="GA706" s="319" t="s">
        <v>190</v>
      </c>
      <c r="GB706" s="319" t="s">
        <v>190</v>
      </c>
      <c r="GC706" s="319" t="s">
        <v>190</v>
      </c>
      <c r="GD706" s="319" t="s">
        <v>190</v>
      </c>
      <c r="GE706" s="319" t="s">
        <v>190</v>
      </c>
      <c r="GF706" s="319" t="s">
        <v>190</v>
      </c>
      <c r="GG706" s="319" t="s">
        <v>190</v>
      </c>
      <c r="GH706" s="319" t="s">
        <v>190</v>
      </c>
      <c r="GI706" s="319" t="s">
        <v>190</v>
      </c>
      <c r="GJ706" s="319" t="s">
        <v>190</v>
      </c>
      <c r="GK706" s="319" t="s">
        <v>428</v>
      </c>
      <c r="GL706" s="319" t="s">
        <v>190</v>
      </c>
      <c r="GM706" s="319" t="s">
        <v>190</v>
      </c>
      <c r="GN706" s="319" t="s">
        <v>190</v>
      </c>
      <c r="GO706" s="319" t="s">
        <v>190</v>
      </c>
      <c r="GP706" s="319" t="s">
        <v>190</v>
      </c>
      <c r="GQ706" s="319" t="s">
        <v>190</v>
      </c>
      <c r="GR706" s="319" t="s">
        <v>190</v>
      </c>
      <c r="GS706" s="319" t="s">
        <v>190</v>
      </c>
      <c r="GT706" s="319" t="s">
        <v>428</v>
      </c>
      <c r="GU706" s="319" t="s">
        <v>428</v>
      </c>
      <c r="GV706" s="319" t="s">
        <v>190</v>
      </c>
      <c r="GW706" s="319" t="s">
        <v>190</v>
      </c>
      <c r="GX706" s="319" t="s">
        <v>190</v>
      </c>
      <c r="GY706" s="319" t="s">
        <v>190</v>
      </c>
      <c r="GZ706" s="319" t="s">
        <v>190</v>
      </c>
      <c r="HA706" s="319" t="s">
        <v>190</v>
      </c>
      <c r="HB706" s="319" t="s">
        <v>190</v>
      </c>
      <c r="HC706" s="319" t="s">
        <v>190</v>
      </c>
      <c r="HD706" s="319" t="s">
        <v>190</v>
      </c>
      <c r="HE706" s="319" t="s">
        <v>190</v>
      </c>
      <c r="HF706" s="319" t="s">
        <v>428</v>
      </c>
      <c r="HG706" s="319" t="s">
        <v>190</v>
      </c>
      <c r="HH706" s="319" t="s">
        <v>190</v>
      </c>
      <c r="HI706" s="319" t="s">
        <v>190</v>
      </c>
      <c r="HJ706" s="319" t="s">
        <v>190</v>
      </c>
      <c r="HK706" s="319" t="s">
        <v>190</v>
      </c>
      <c r="HL706" s="319" t="s">
        <v>190</v>
      </c>
      <c r="HM706" s="319" t="s">
        <v>190</v>
      </c>
      <c r="HN706" s="319" t="s">
        <v>190</v>
      </c>
      <c r="HO706" s="319" t="s">
        <v>190</v>
      </c>
      <c r="HP706" s="319" t="s">
        <v>190</v>
      </c>
      <c r="HQ706" s="319" t="s">
        <v>190</v>
      </c>
      <c r="HR706" s="319" t="s">
        <v>190</v>
      </c>
      <c r="HS706" s="319" t="s">
        <v>190</v>
      </c>
      <c r="HT706" s="319" t="s">
        <v>190</v>
      </c>
      <c r="HU706" s="319" t="s">
        <v>190</v>
      </c>
      <c r="HV706" s="319" t="s">
        <v>190</v>
      </c>
      <c r="HW706" s="319" t="s">
        <v>190</v>
      </c>
      <c r="HX706" s="319" t="s">
        <v>190</v>
      </c>
      <c r="HY706" s="319" t="s">
        <v>190</v>
      </c>
      <c r="HZ706" s="319" t="s">
        <v>190</v>
      </c>
      <c r="IA706" s="319" t="s">
        <v>190</v>
      </c>
      <c r="IB706" s="319" t="s">
        <v>190</v>
      </c>
      <c r="IC706" s="319" t="s">
        <v>190</v>
      </c>
      <c r="ID706" s="319" t="s">
        <v>190</v>
      </c>
      <c r="IE706" s="319" t="s">
        <v>190</v>
      </c>
      <c r="IF706" s="319" t="s">
        <v>190</v>
      </c>
      <c r="IG706" s="319" t="s">
        <v>190</v>
      </c>
      <c r="IH706" s="319" t="s">
        <v>190</v>
      </c>
      <c r="II706" s="319" t="s">
        <v>190</v>
      </c>
      <c r="IJ706" s="319">
        <v>10012969</v>
      </c>
      <c r="IK706" s="321">
        <v>42500</v>
      </c>
      <c r="IL706" s="321">
        <v>42502</v>
      </c>
      <c r="IM706" s="321">
        <v>42534</v>
      </c>
      <c r="IN706" s="319">
        <v>2</v>
      </c>
      <c r="IO706" s="319" t="s">
        <v>173</v>
      </c>
      <c r="IP706" s="319" t="s">
        <v>173</v>
      </c>
      <c r="IQ706" s="321" t="s">
        <v>173</v>
      </c>
      <c r="IR706" s="320" t="s">
        <v>173</v>
      </c>
      <c r="IS706" s="322" t="s">
        <v>173</v>
      </c>
      <c r="IT706" s="319" t="s">
        <v>173</v>
      </c>
    </row>
    <row r="707" spans="1:254" s="271" customFormat="1" x14ac:dyDescent="0.25">
      <c r="A707" s="318" t="str">
        <f>HYPERLINK("http://www.ofsted.gov.uk/inspection-reports/find-inspection-report/provider/ELS/138777 ","Ofsted School Webpage")</f>
        <v>Ofsted School Webpage</v>
      </c>
      <c r="B707" s="319">
        <v>138777</v>
      </c>
      <c r="C707" s="319">
        <v>2026002</v>
      </c>
      <c r="D707" s="319" t="s">
        <v>642</v>
      </c>
      <c r="E707" s="319" t="s">
        <v>167</v>
      </c>
      <c r="F707" s="319" t="s">
        <v>81</v>
      </c>
      <c r="G707" s="319" t="s">
        <v>81</v>
      </c>
      <c r="H707" s="319" t="s">
        <v>81</v>
      </c>
      <c r="I707" s="319" t="s">
        <v>78</v>
      </c>
      <c r="J707" s="319" t="s">
        <v>424</v>
      </c>
      <c r="K707" s="319" t="s">
        <v>441</v>
      </c>
      <c r="L707" s="319" t="s">
        <v>441</v>
      </c>
      <c r="M707" s="319" t="s">
        <v>1039</v>
      </c>
      <c r="N707" s="319" t="s">
        <v>2769</v>
      </c>
      <c r="O707" s="319" t="s">
        <v>2181</v>
      </c>
      <c r="P707" s="319">
        <v>93</v>
      </c>
      <c r="Q707" s="319" t="s">
        <v>2766</v>
      </c>
      <c r="R707" s="320">
        <v>10012786</v>
      </c>
      <c r="S707" s="321">
        <v>43053</v>
      </c>
      <c r="T707" s="321">
        <v>43055</v>
      </c>
      <c r="U707" s="321">
        <v>43089</v>
      </c>
      <c r="V707" s="319" t="s">
        <v>425</v>
      </c>
      <c r="W707" s="319" t="s">
        <v>2767</v>
      </c>
      <c r="X707" s="319">
        <v>2</v>
      </c>
      <c r="Y707" s="319" t="s">
        <v>173</v>
      </c>
      <c r="Z707" s="319" t="s">
        <v>173</v>
      </c>
      <c r="AA707" s="319" t="s">
        <v>173</v>
      </c>
      <c r="AB707" s="319">
        <v>2</v>
      </c>
      <c r="AC707" s="319" t="s">
        <v>169</v>
      </c>
      <c r="AD707" s="319">
        <v>2</v>
      </c>
      <c r="AE707" s="319" t="s">
        <v>173</v>
      </c>
      <c r="AF707" s="319" t="s">
        <v>173</v>
      </c>
      <c r="AG707" s="319" t="s">
        <v>171</v>
      </c>
      <c r="AH707" s="319" t="s">
        <v>190</v>
      </c>
      <c r="AI707" s="319" t="s">
        <v>190</v>
      </c>
      <c r="AJ707" s="319" t="s">
        <v>190</v>
      </c>
      <c r="AK707" s="319" t="s">
        <v>190</v>
      </c>
      <c r="AL707" s="319" t="s">
        <v>190</v>
      </c>
      <c r="AM707" s="319" t="s">
        <v>190</v>
      </c>
      <c r="AN707" s="319" t="s">
        <v>190</v>
      </c>
      <c r="AO707" s="319" t="s">
        <v>190</v>
      </c>
      <c r="AP707" s="319" t="s">
        <v>190</v>
      </c>
      <c r="AQ707" s="319" t="s">
        <v>190</v>
      </c>
      <c r="AR707" s="319" t="s">
        <v>190</v>
      </c>
      <c r="AS707" s="319" t="s">
        <v>190</v>
      </c>
      <c r="AT707" s="319" t="s">
        <v>190</v>
      </c>
      <c r="AU707" s="319" t="s">
        <v>190</v>
      </c>
      <c r="AV707" s="319" t="s">
        <v>190</v>
      </c>
      <c r="AW707" s="319" t="s">
        <v>190</v>
      </c>
      <c r="AX707" s="319" t="s">
        <v>429</v>
      </c>
      <c r="AY707" s="319" t="s">
        <v>190</v>
      </c>
      <c r="AZ707" s="319" t="s">
        <v>190</v>
      </c>
      <c r="BA707" s="319" t="s">
        <v>190</v>
      </c>
      <c r="BB707" s="319" t="s">
        <v>429</v>
      </c>
      <c r="BC707" s="319" t="s">
        <v>429</v>
      </c>
      <c r="BD707" s="319" t="s">
        <v>429</v>
      </c>
      <c r="BE707" s="319" t="s">
        <v>429</v>
      </c>
      <c r="BF707" s="319" t="s">
        <v>190</v>
      </c>
      <c r="BG707" s="319" t="s">
        <v>429</v>
      </c>
      <c r="BH707" s="319" t="s">
        <v>190</v>
      </c>
      <c r="BI707" s="319" t="s">
        <v>190</v>
      </c>
      <c r="BJ707" s="319" t="s">
        <v>190</v>
      </c>
      <c r="BK707" s="319" t="s">
        <v>190</v>
      </c>
      <c r="BL707" s="319" t="s">
        <v>190</v>
      </c>
      <c r="BM707" s="319" t="s">
        <v>190</v>
      </c>
      <c r="BN707" s="319" t="s">
        <v>190</v>
      </c>
      <c r="BO707" s="319" t="s">
        <v>190</v>
      </c>
      <c r="BP707" s="319" t="s">
        <v>190</v>
      </c>
      <c r="BQ707" s="319" t="s">
        <v>190</v>
      </c>
      <c r="BR707" s="319" t="s">
        <v>190</v>
      </c>
      <c r="BS707" s="319" t="s">
        <v>190</v>
      </c>
      <c r="BT707" s="319" t="s">
        <v>190</v>
      </c>
      <c r="BU707" s="319" t="s">
        <v>190</v>
      </c>
      <c r="BV707" s="319" t="s">
        <v>190</v>
      </c>
      <c r="BW707" s="319" t="s">
        <v>190</v>
      </c>
      <c r="BX707" s="319" t="s">
        <v>190</v>
      </c>
      <c r="BY707" s="319" t="s">
        <v>190</v>
      </c>
      <c r="BZ707" s="319" t="s">
        <v>190</v>
      </c>
      <c r="CA707" s="319" t="s">
        <v>190</v>
      </c>
      <c r="CB707" s="319" t="s">
        <v>190</v>
      </c>
      <c r="CC707" s="319" t="s">
        <v>190</v>
      </c>
      <c r="CD707" s="319" t="s">
        <v>190</v>
      </c>
      <c r="CE707" s="319" t="s">
        <v>190</v>
      </c>
      <c r="CF707" s="319" t="s">
        <v>190</v>
      </c>
      <c r="CG707" s="319" t="s">
        <v>190</v>
      </c>
      <c r="CH707" s="319" t="s">
        <v>190</v>
      </c>
      <c r="CI707" s="319" t="s">
        <v>190</v>
      </c>
      <c r="CJ707" s="319" t="s">
        <v>190</v>
      </c>
      <c r="CK707" s="319" t="s">
        <v>190</v>
      </c>
      <c r="CL707" s="319" t="s">
        <v>190</v>
      </c>
      <c r="CM707" s="319" t="s">
        <v>190</v>
      </c>
      <c r="CN707" s="319" t="s">
        <v>429</v>
      </c>
      <c r="CO707" s="319" t="s">
        <v>429</v>
      </c>
      <c r="CP707" s="319" t="s">
        <v>429</v>
      </c>
      <c r="CQ707" s="319" t="s">
        <v>190</v>
      </c>
      <c r="CR707" s="319" t="s">
        <v>190</v>
      </c>
      <c r="CS707" s="319" t="s">
        <v>190</v>
      </c>
      <c r="CT707" s="319" t="s">
        <v>190</v>
      </c>
      <c r="CU707" s="319" t="s">
        <v>190</v>
      </c>
      <c r="CV707" s="319" t="s">
        <v>190</v>
      </c>
      <c r="CW707" s="319" t="s">
        <v>190</v>
      </c>
      <c r="CX707" s="319" t="s">
        <v>190</v>
      </c>
      <c r="CY707" s="319" t="s">
        <v>190</v>
      </c>
      <c r="CZ707" s="319" t="s">
        <v>190</v>
      </c>
      <c r="DA707" s="319" t="s">
        <v>190</v>
      </c>
      <c r="DB707" s="319" t="s">
        <v>190</v>
      </c>
      <c r="DC707" s="319" t="s">
        <v>190</v>
      </c>
      <c r="DD707" s="319" t="s">
        <v>190</v>
      </c>
      <c r="DE707" s="319" t="s">
        <v>190</v>
      </c>
      <c r="DF707" s="319" t="s">
        <v>190</v>
      </c>
      <c r="DG707" s="319" t="s">
        <v>190</v>
      </c>
      <c r="DH707" s="319" t="s">
        <v>190</v>
      </c>
      <c r="DI707" s="319" t="s">
        <v>190</v>
      </c>
      <c r="DJ707" s="319" t="s">
        <v>190</v>
      </c>
      <c r="DK707" s="319" t="s">
        <v>190</v>
      </c>
      <c r="DL707" s="319" t="s">
        <v>190</v>
      </c>
      <c r="DM707" s="319" t="s">
        <v>190</v>
      </c>
      <c r="DN707" s="319" t="s">
        <v>429</v>
      </c>
      <c r="DO707" s="319" t="s">
        <v>190</v>
      </c>
      <c r="DP707" s="319" t="s">
        <v>429</v>
      </c>
      <c r="DQ707" s="319" t="s">
        <v>429</v>
      </c>
      <c r="DR707" s="319" t="s">
        <v>429</v>
      </c>
      <c r="DS707" s="319" t="s">
        <v>429</v>
      </c>
      <c r="DT707" s="319" t="s">
        <v>429</v>
      </c>
      <c r="DU707" s="319" t="s">
        <v>429</v>
      </c>
      <c r="DV707" s="319" t="s">
        <v>173</v>
      </c>
      <c r="DW707" s="319" t="s">
        <v>429</v>
      </c>
      <c r="DX707" s="319" t="s">
        <v>429</v>
      </c>
      <c r="DY707" s="319" t="s">
        <v>429</v>
      </c>
      <c r="DZ707" s="319" t="s">
        <v>429</v>
      </c>
      <c r="EA707" s="319" t="s">
        <v>429</v>
      </c>
      <c r="EB707" s="319" t="s">
        <v>429</v>
      </c>
      <c r="EC707" s="319" t="s">
        <v>429</v>
      </c>
      <c r="ED707" s="319" t="s">
        <v>190</v>
      </c>
      <c r="EE707" s="319" t="s">
        <v>190</v>
      </c>
      <c r="EF707" s="319" t="s">
        <v>190</v>
      </c>
      <c r="EG707" s="319" t="s">
        <v>190</v>
      </c>
      <c r="EH707" s="319" t="s">
        <v>190</v>
      </c>
      <c r="EI707" s="319" t="s">
        <v>429</v>
      </c>
      <c r="EJ707" s="319" t="s">
        <v>429</v>
      </c>
      <c r="EK707" s="319" t="s">
        <v>429</v>
      </c>
      <c r="EL707" s="319" t="s">
        <v>429</v>
      </c>
      <c r="EM707" s="319" t="s">
        <v>190</v>
      </c>
      <c r="EN707" s="319" t="s">
        <v>190</v>
      </c>
      <c r="EO707" s="319" t="s">
        <v>190</v>
      </c>
      <c r="EP707" s="319" t="s">
        <v>190</v>
      </c>
      <c r="EQ707" s="319" t="s">
        <v>190</v>
      </c>
      <c r="ER707" s="319" t="s">
        <v>190</v>
      </c>
      <c r="ES707" s="319" t="s">
        <v>190</v>
      </c>
      <c r="ET707" s="319" t="s">
        <v>190</v>
      </c>
      <c r="EU707" s="319" t="s">
        <v>190</v>
      </c>
      <c r="EV707" s="319" t="s">
        <v>190</v>
      </c>
      <c r="EW707" s="319" t="s">
        <v>190</v>
      </c>
      <c r="EX707" s="319" t="s">
        <v>190</v>
      </c>
      <c r="EY707" s="319" t="s">
        <v>190</v>
      </c>
      <c r="EZ707" s="319" t="s">
        <v>190</v>
      </c>
      <c r="FA707" s="319" t="s">
        <v>429</v>
      </c>
      <c r="FB707" s="319" t="s">
        <v>429</v>
      </c>
      <c r="FC707" s="319" t="s">
        <v>429</v>
      </c>
      <c r="FD707" s="319" t="s">
        <v>429</v>
      </c>
      <c r="FE707" s="319" t="s">
        <v>429</v>
      </c>
      <c r="FF707" s="319" t="s">
        <v>429</v>
      </c>
      <c r="FG707" s="319" t="s">
        <v>429</v>
      </c>
      <c r="FH707" s="319" t="s">
        <v>429</v>
      </c>
      <c r="FI707" s="319" t="s">
        <v>429</v>
      </c>
      <c r="FJ707" s="319" t="s">
        <v>429</v>
      </c>
      <c r="FK707" s="319" t="s">
        <v>429</v>
      </c>
      <c r="FL707" s="319" t="s">
        <v>190</v>
      </c>
      <c r="FM707" s="319" t="s">
        <v>190</v>
      </c>
      <c r="FN707" s="319" t="s">
        <v>190</v>
      </c>
      <c r="FO707" s="319" t="s">
        <v>429</v>
      </c>
      <c r="FP707" s="319" t="s">
        <v>190</v>
      </c>
      <c r="FQ707" s="319" t="s">
        <v>190</v>
      </c>
      <c r="FR707" s="319" t="s">
        <v>190</v>
      </c>
      <c r="FS707" s="319" t="s">
        <v>429</v>
      </c>
      <c r="FT707" s="319" t="s">
        <v>429</v>
      </c>
      <c r="FU707" s="319" t="s">
        <v>190</v>
      </c>
      <c r="FV707" s="319" t="s">
        <v>190</v>
      </c>
      <c r="FW707" s="319" t="s">
        <v>190</v>
      </c>
      <c r="FX707" s="319" t="s">
        <v>190</v>
      </c>
      <c r="FY707" s="319" t="s">
        <v>190</v>
      </c>
      <c r="FZ707" s="319" t="s">
        <v>190</v>
      </c>
      <c r="GA707" s="319" t="s">
        <v>190</v>
      </c>
      <c r="GB707" s="319" t="s">
        <v>190</v>
      </c>
      <c r="GC707" s="319" t="s">
        <v>190</v>
      </c>
      <c r="GD707" s="319" t="s">
        <v>190</v>
      </c>
      <c r="GE707" s="319" t="s">
        <v>190</v>
      </c>
      <c r="GF707" s="319" t="s">
        <v>190</v>
      </c>
      <c r="GG707" s="319" t="s">
        <v>190</v>
      </c>
      <c r="GH707" s="319" t="s">
        <v>190</v>
      </c>
      <c r="GI707" s="319" t="s">
        <v>190</v>
      </c>
      <c r="GJ707" s="319" t="s">
        <v>190</v>
      </c>
      <c r="GK707" s="319" t="s">
        <v>429</v>
      </c>
      <c r="GL707" s="319" t="s">
        <v>190</v>
      </c>
      <c r="GM707" s="319" t="s">
        <v>190</v>
      </c>
      <c r="GN707" s="319" t="s">
        <v>190</v>
      </c>
      <c r="GO707" s="319" t="s">
        <v>190</v>
      </c>
      <c r="GP707" s="319" t="s">
        <v>190</v>
      </c>
      <c r="GQ707" s="319" t="s">
        <v>429</v>
      </c>
      <c r="GR707" s="319" t="s">
        <v>190</v>
      </c>
      <c r="GS707" s="319" t="s">
        <v>190</v>
      </c>
      <c r="GT707" s="319" t="s">
        <v>429</v>
      </c>
      <c r="GU707" s="319" t="s">
        <v>429</v>
      </c>
      <c r="GV707" s="319" t="s">
        <v>190</v>
      </c>
      <c r="GW707" s="319" t="s">
        <v>190</v>
      </c>
      <c r="GX707" s="319" t="s">
        <v>190</v>
      </c>
      <c r="GY707" s="319" t="s">
        <v>190</v>
      </c>
      <c r="GZ707" s="319" t="s">
        <v>190</v>
      </c>
      <c r="HA707" s="319" t="s">
        <v>429</v>
      </c>
      <c r="HB707" s="319" t="s">
        <v>429</v>
      </c>
      <c r="HC707" s="319" t="s">
        <v>190</v>
      </c>
      <c r="HD707" s="319" t="s">
        <v>190</v>
      </c>
      <c r="HE707" s="319" t="s">
        <v>190</v>
      </c>
      <c r="HF707" s="319" t="s">
        <v>190</v>
      </c>
      <c r="HG707" s="319" t="s">
        <v>190</v>
      </c>
      <c r="HH707" s="319" t="s">
        <v>190</v>
      </c>
      <c r="HI707" s="319" t="s">
        <v>190</v>
      </c>
      <c r="HJ707" s="319" t="s">
        <v>190</v>
      </c>
      <c r="HK707" s="319" t="s">
        <v>190</v>
      </c>
      <c r="HL707" s="319" t="s">
        <v>429</v>
      </c>
      <c r="HM707" s="319" t="s">
        <v>429</v>
      </c>
      <c r="HN707" s="319" t="s">
        <v>429</v>
      </c>
      <c r="HO707" s="319" t="s">
        <v>429</v>
      </c>
      <c r="HP707" s="319" t="s">
        <v>190</v>
      </c>
      <c r="HQ707" s="319" t="s">
        <v>190</v>
      </c>
      <c r="HR707" s="319" t="s">
        <v>190</v>
      </c>
      <c r="HS707" s="319" t="s">
        <v>190</v>
      </c>
      <c r="HT707" s="319" t="s">
        <v>190</v>
      </c>
      <c r="HU707" s="319" t="s">
        <v>190</v>
      </c>
      <c r="HV707" s="319" t="s">
        <v>190</v>
      </c>
      <c r="HW707" s="319" t="s">
        <v>190</v>
      </c>
      <c r="HX707" s="319" t="s">
        <v>190</v>
      </c>
      <c r="HY707" s="319" t="s">
        <v>190</v>
      </c>
      <c r="HZ707" s="319" t="s">
        <v>190</v>
      </c>
      <c r="IA707" s="319" t="s">
        <v>190</v>
      </c>
      <c r="IB707" s="319" t="s">
        <v>190</v>
      </c>
      <c r="IC707" s="319" t="s">
        <v>190</v>
      </c>
      <c r="ID707" s="319" t="s">
        <v>190</v>
      </c>
      <c r="IE707" s="319" t="s">
        <v>190</v>
      </c>
      <c r="IF707" s="319" t="s">
        <v>190</v>
      </c>
      <c r="IG707" s="319" t="s">
        <v>190</v>
      </c>
      <c r="IH707" s="319" t="s">
        <v>190</v>
      </c>
      <c r="II707" s="319" t="s">
        <v>190</v>
      </c>
      <c r="IJ707" s="319" t="s">
        <v>3442</v>
      </c>
      <c r="IK707" s="321">
        <v>41443</v>
      </c>
      <c r="IL707" s="321">
        <v>41445</v>
      </c>
      <c r="IM707" s="321">
        <v>41465</v>
      </c>
      <c r="IN707" s="319">
        <v>4</v>
      </c>
      <c r="IO707" s="319" t="s">
        <v>173</v>
      </c>
      <c r="IP707" s="319" t="s">
        <v>173</v>
      </c>
      <c r="IQ707" s="321" t="s">
        <v>173</v>
      </c>
      <c r="IR707" s="320" t="s">
        <v>173</v>
      </c>
      <c r="IS707" s="322" t="s">
        <v>173</v>
      </c>
      <c r="IT707" s="319" t="s">
        <v>173</v>
      </c>
    </row>
    <row r="708" spans="1:254" s="271" customFormat="1" x14ac:dyDescent="0.25">
      <c r="A708" s="318" t="str">
        <f>HYPERLINK("http://www.ofsted.gov.uk/inspection-reports/find-inspection-report/provider/ELS/138779 ","Ofsted School Webpage")</f>
        <v>Ofsted School Webpage</v>
      </c>
      <c r="B708" s="319">
        <v>138779</v>
      </c>
      <c r="C708" s="319">
        <v>9266006</v>
      </c>
      <c r="D708" s="319" t="s">
        <v>518</v>
      </c>
      <c r="E708" s="319" t="s">
        <v>168</v>
      </c>
      <c r="F708" s="319" t="s">
        <v>81</v>
      </c>
      <c r="G708" s="319" t="s">
        <v>81</v>
      </c>
      <c r="H708" s="319" t="s">
        <v>81</v>
      </c>
      <c r="I708" s="319" t="s">
        <v>78</v>
      </c>
      <c r="J708" s="319" t="s">
        <v>424</v>
      </c>
      <c r="K708" s="319" t="s">
        <v>451</v>
      </c>
      <c r="L708" s="319" t="s">
        <v>451</v>
      </c>
      <c r="M708" s="319" t="s">
        <v>463</v>
      </c>
      <c r="N708" s="319" t="s">
        <v>3443</v>
      </c>
      <c r="O708" s="319" t="s">
        <v>519</v>
      </c>
      <c r="P708" s="319">
        <v>12</v>
      </c>
      <c r="Q708" s="319" t="s">
        <v>429</v>
      </c>
      <c r="R708" s="320">
        <v>10054011</v>
      </c>
      <c r="S708" s="321">
        <v>43375</v>
      </c>
      <c r="T708" s="321">
        <v>43377</v>
      </c>
      <c r="U708" s="321">
        <v>43410</v>
      </c>
      <c r="V708" s="319" t="s">
        <v>425</v>
      </c>
      <c r="W708" s="319" t="s">
        <v>2767</v>
      </c>
      <c r="X708" s="319">
        <v>2</v>
      </c>
      <c r="Y708" s="319" t="s">
        <v>173</v>
      </c>
      <c r="Z708" s="319" t="s">
        <v>173</v>
      </c>
      <c r="AA708" s="319" t="s">
        <v>173</v>
      </c>
      <c r="AB708" s="319">
        <v>2</v>
      </c>
      <c r="AC708" s="319" t="s">
        <v>169</v>
      </c>
      <c r="AD708" s="319" t="s">
        <v>173</v>
      </c>
      <c r="AE708" s="319" t="s">
        <v>173</v>
      </c>
      <c r="AF708" s="319" t="s">
        <v>427</v>
      </c>
      <c r="AG708" s="319" t="s">
        <v>171</v>
      </c>
      <c r="AH708" s="319" t="s">
        <v>190</v>
      </c>
      <c r="AI708" s="319" t="s">
        <v>190</v>
      </c>
      <c r="AJ708" s="319" t="s">
        <v>190</v>
      </c>
      <c r="AK708" s="319" t="s">
        <v>190</v>
      </c>
      <c r="AL708" s="319" t="s">
        <v>190</v>
      </c>
      <c r="AM708" s="319" t="s">
        <v>190</v>
      </c>
      <c r="AN708" s="319" t="s">
        <v>190</v>
      </c>
      <c r="AO708" s="319" t="s">
        <v>190</v>
      </c>
      <c r="AP708" s="319" t="s">
        <v>190</v>
      </c>
      <c r="AQ708" s="319" t="s">
        <v>190</v>
      </c>
      <c r="AR708" s="319" t="s">
        <v>190</v>
      </c>
      <c r="AS708" s="319" t="s">
        <v>190</v>
      </c>
      <c r="AT708" s="319" t="s">
        <v>190</v>
      </c>
      <c r="AU708" s="319" t="s">
        <v>190</v>
      </c>
      <c r="AV708" s="319" t="s">
        <v>190</v>
      </c>
      <c r="AW708" s="319" t="s">
        <v>190</v>
      </c>
      <c r="AX708" s="319" t="s">
        <v>428</v>
      </c>
      <c r="AY708" s="319" t="s">
        <v>190</v>
      </c>
      <c r="AZ708" s="319" t="s">
        <v>190</v>
      </c>
      <c r="BA708" s="319" t="s">
        <v>190</v>
      </c>
      <c r="BB708" s="319" t="s">
        <v>190</v>
      </c>
      <c r="BC708" s="319" t="s">
        <v>190</v>
      </c>
      <c r="BD708" s="319" t="s">
        <v>190</v>
      </c>
      <c r="BE708" s="319" t="s">
        <v>190</v>
      </c>
      <c r="BF708" s="319" t="s">
        <v>190</v>
      </c>
      <c r="BG708" s="319" t="s">
        <v>428</v>
      </c>
      <c r="BH708" s="319" t="s">
        <v>190</v>
      </c>
      <c r="BI708" s="319" t="s">
        <v>190</v>
      </c>
      <c r="BJ708" s="319" t="s">
        <v>190</v>
      </c>
      <c r="BK708" s="319" t="s">
        <v>190</v>
      </c>
      <c r="BL708" s="319" t="s">
        <v>190</v>
      </c>
      <c r="BM708" s="319" t="s">
        <v>190</v>
      </c>
      <c r="BN708" s="319" t="s">
        <v>190</v>
      </c>
      <c r="BO708" s="319" t="s">
        <v>190</v>
      </c>
      <c r="BP708" s="319" t="s">
        <v>190</v>
      </c>
      <c r="BQ708" s="319" t="s">
        <v>190</v>
      </c>
      <c r="BR708" s="319" t="s">
        <v>190</v>
      </c>
      <c r="BS708" s="319" t="s">
        <v>190</v>
      </c>
      <c r="BT708" s="319" t="s">
        <v>190</v>
      </c>
      <c r="BU708" s="319" t="s">
        <v>190</v>
      </c>
      <c r="BV708" s="319" t="s">
        <v>190</v>
      </c>
      <c r="BW708" s="319" t="s">
        <v>190</v>
      </c>
      <c r="BX708" s="319" t="s">
        <v>190</v>
      </c>
      <c r="BY708" s="319" t="s">
        <v>190</v>
      </c>
      <c r="BZ708" s="319" t="s">
        <v>190</v>
      </c>
      <c r="CA708" s="319" t="s">
        <v>190</v>
      </c>
      <c r="CB708" s="319" t="s">
        <v>190</v>
      </c>
      <c r="CC708" s="319" t="s">
        <v>190</v>
      </c>
      <c r="CD708" s="319" t="s">
        <v>190</v>
      </c>
      <c r="CE708" s="319" t="s">
        <v>190</v>
      </c>
      <c r="CF708" s="319" t="s">
        <v>190</v>
      </c>
      <c r="CG708" s="319" t="s">
        <v>190</v>
      </c>
      <c r="CH708" s="319" t="s">
        <v>190</v>
      </c>
      <c r="CI708" s="319" t="s">
        <v>190</v>
      </c>
      <c r="CJ708" s="319" t="s">
        <v>190</v>
      </c>
      <c r="CK708" s="319" t="s">
        <v>190</v>
      </c>
      <c r="CL708" s="319" t="s">
        <v>190</v>
      </c>
      <c r="CM708" s="319" t="s">
        <v>190</v>
      </c>
      <c r="CN708" s="319" t="s">
        <v>428</v>
      </c>
      <c r="CO708" s="319" t="s">
        <v>428</v>
      </c>
      <c r="CP708" s="319" t="s">
        <v>428</v>
      </c>
      <c r="CQ708" s="319" t="s">
        <v>190</v>
      </c>
      <c r="CR708" s="319" t="s">
        <v>190</v>
      </c>
      <c r="CS708" s="319" t="s">
        <v>190</v>
      </c>
      <c r="CT708" s="319" t="s">
        <v>190</v>
      </c>
      <c r="CU708" s="319" t="s">
        <v>190</v>
      </c>
      <c r="CV708" s="319" t="s">
        <v>190</v>
      </c>
      <c r="CW708" s="319" t="s">
        <v>190</v>
      </c>
      <c r="CX708" s="319" t="s">
        <v>190</v>
      </c>
      <c r="CY708" s="319" t="s">
        <v>190</v>
      </c>
      <c r="CZ708" s="319" t="s">
        <v>190</v>
      </c>
      <c r="DA708" s="319" t="s">
        <v>190</v>
      </c>
      <c r="DB708" s="319" t="s">
        <v>190</v>
      </c>
      <c r="DC708" s="319" t="s">
        <v>190</v>
      </c>
      <c r="DD708" s="319" t="s">
        <v>190</v>
      </c>
      <c r="DE708" s="319" t="s">
        <v>190</v>
      </c>
      <c r="DF708" s="319" t="s">
        <v>190</v>
      </c>
      <c r="DG708" s="319" t="s">
        <v>190</v>
      </c>
      <c r="DH708" s="319" t="s">
        <v>190</v>
      </c>
      <c r="DI708" s="319" t="s">
        <v>190</v>
      </c>
      <c r="DJ708" s="319" t="s">
        <v>190</v>
      </c>
      <c r="DK708" s="319" t="s">
        <v>190</v>
      </c>
      <c r="DL708" s="319" t="s">
        <v>190</v>
      </c>
      <c r="DM708" s="319" t="s">
        <v>190</v>
      </c>
      <c r="DN708" s="319" t="s">
        <v>190</v>
      </c>
      <c r="DO708" s="319" t="s">
        <v>190</v>
      </c>
      <c r="DP708" s="319" t="s">
        <v>190</v>
      </c>
      <c r="DQ708" s="319" t="s">
        <v>190</v>
      </c>
      <c r="DR708" s="319" t="s">
        <v>190</v>
      </c>
      <c r="DS708" s="319" t="s">
        <v>190</v>
      </c>
      <c r="DT708" s="319" t="s">
        <v>190</v>
      </c>
      <c r="DU708" s="319" t="s">
        <v>190</v>
      </c>
      <c r="DV708" s="319" t="s">
        <v>173</v>
      </c>
      <c r="DW708" s="319" t="s">
        <v>190</v>
      </c>
      <c r="DX708" s="319" t="s">
        <v>190</v>
      </c>
      <c r="DY708" s="319" t="s">
        <v>190</v>
      </c>
      <c r="DZ708" s="319" t="s">
        <v>190</v>
      </c>
      <c r="EA708" s="319" t="s">
        <v>190</v>
      </c>
      <c r="EB708" s="319" t="s">
        <v>190</v>
      </c>
      <c r="EC708" s="319" t="s">
        <v>190</v>
      </c>
      <c r="ED708" s="319" t="s">
        <v>190</v>
      </c>
      <c r="EE708" s="319" t="s">
        <v>190</v>
      </c>
      <c r="EF708" s="319" t="s">
        <v>190</v>
      </c>
      <c r="EG708" s="319" t="s">
        <v>190</v>
      </c>
      <c r="EH708" s="319" t="s">
        <v>190</v>
      </c>
      <c r="EI708" s="319" t="s">
        <v>190</v>
      </c>
      <c r="EJ708" s="319" t="s">
        <v>190</v>
      </c>
      <c r="EK708" s="319" t="s">
        <v>190</v>
      </c>
      <c r="EL708" s="319" t="s">
        <v>190</v>
      </c>
      <c r="EM708" s="319" t="s">
        <v>190</v>
      </c>
      <c r="EN708" s="319" t="s">
        <v>190</v>
      </c>
      <c r="EO708" s="319" t="s">
        <v>190</v>
      </c>
      <c r="EP708" s="319" t="s">
        <v>190</v>
      </c>
      <c r="EQ708" s="319" t="s">
        <v>190</v>
      </c>
      <c r="ER708" s="319" t="s">
        <v>190</v>
      </c>
      <c r="ES708" s="319" t="s">
        <v>190</v>
      </c>
      <c r="ET708" s="319" t="s">
        <v>190</v>
      </c>
      <c r="EU708" s="319" t="s">
        <v>190</v>
      </c>
      <c r="EV708" s="319" t="s">
        <v>190</v>
      </c>
      <c r="EW708" s="319" t="s">
        <v>190</v>
      </c>
      <c r="EX708" s="319" t="s">
        <v>190</v>
      </c>
      <c r="EY708" s="319" t="s">
        <v>190</v>
      </c>
      <c r="EZ708" s="319" t="s">
        <v>190</v>
      </c>
      <c r="FA708" s="319" t="s">
        <v>190</v>
      </c>
      <c r="FB708" s="319" t="s">
        <v>190</v>
      </c>
      <c r="FC708" s="319" t="s">
        <v>190</v>
      </c>
      <c r="FD708" s="319" t="s">
        <v>190</v>
      </c>
      <c r="FE708" s="319" t="s">
        <v>190</v>
      </c>
      <c r="FF708" s="319" t="s">
        <v>190</v>
      </c>
      <c r="FG708" s="319" t="s">
        <v>190</v>
      </c>
      <c r="FH708" s="319" t="s">
        <v>190</v>
      </c>
      <c r="FI708" s="319" t="s">
        <v>190</v>
      </c>
      <c r="FJ708" s="319" t="s">
        <v>190</v>
      </c>
      <c r="FK708" s="319" t="s">
        <v>190</v>
      </c>
      <c r="FL708" s="319" t="s">
        <v>190</v>
      </c>
      <c r="FM708" s="319" t="s">
        <v>190</v>
      </c>
      <c r="FN708" s="319" t="s">
        <v>190</v>
      </c>
      <c r="FO708" s="319" t="s">
        <v>190</v>
      </c>
      <c r="FP708" s="319" t="s">
        <v>190</v>
      </c>
      <c r="FQ708" s="319" t="s">
        <v>190</v>
      </c>
      <c r="FR708" s="319" t="s">
        <v>190</v>
      </c>
      <c r="FS708" s="319" t="s">
        <v>190</v>
      </c>
      <c r="FT708" s="319" t="s">
        <v>190</v>
      </c>
      <c r="FU708" s="319" t="s">
        <v>190</v>
      </c>
      <c r="FV708" s="319" t="s">
        <v>190</v>
      </c>
      <c r="FW708" s="319" t="s">
        <v>190</v>
      </c>
      <c r="FX708" s="319" t="s">
        <v>190</v>
      </c>
      <c r="FY708" s="319" t="s">
        <v>190</v>
      </c>
      <c r="FZ708" s="319" t="s">
        <v>190</v>
      </c>
      <c r="GA708" s="319" t="s">
        <v>190</v>
      </c>
      <c r="GB708" s="319" t="s">
        <v>190</v>
      </c>
      <c r="GC708" s="319" t="s">
        <v>190</v>
      </c>
      <c r="GD708" s="319" t="s">
        <v>190</v>
      </c>
      <c r="GE708" s="319" t="s">
        <v>190</v>
      </c>
      <c r="GF708" s="319" t="s">
        <v>190</v>
      </c>
      <c r="GG708" s="319" t="s">
        <v>190</v>
      </c>
      <c r="GH708" s="319" t="s">
        <v>190</v>
      </c>
      <c r="GI708" s="319" t="s">
        <v>190</v>
      </c>
      <c r="GJ708" s="319" t="s">
        <v>190</v>
      </c>
      <c r="GK708" s="319" t="s">
        <v>190</v>
      </c>
      <c r="GL708" s="319" t="s">
        <v>190</v>
      </c>
      <c r="GM708" s="319" t="s">
        <v>190</v>
      </c>
      <c r="GN708" s="319" t="s">
        <v>190</v>
      </c>
      <c r="GO708" s="319" t="s">
        <v>190</v>
      </c>
      <c r="GP708" s="319" t="s">
        <v>190</v>
      </c>
      <c r="GQ708" s="319" t="s">
        <v>190</v>
      </c>
      <c r="GR708" s="319" t="s">
        <v>190</v>
      </c>
      <c r="GS708" s="319" t="s">
        <v>190</v>
      </c>
      <c r="GT708" s="319" t="s">
        <v>190</v>
      </c>
      <c r="GU708" s="319" t="s">
        <v>190</v>
      </c>
      <c r="GV708" s="319" t="s">
        <v>190</v>
      </c>
      <c r="GW708" s="319" t="s">
        <v>190</v>
      </c>
      <c r="GX708" s="319" t="s">
        <v>190</v>
      </c>
      <c r="GY708" s="319" t="s">
        <v>190</v>
      </c>
      <c r="GZ708" s="319" t="s">
        <v>190</v>
      </c>
      <c r="HA708" s="319" t="s">
        <v>190</v>
      </c>
      <c r="HB708" s="319" t="s">
        <v>190</v>
      </c>
      <c r="HC708" s="319" t="s">
        <v>190</v>
      </c>
      <c r="HD708" s="319" t="s">
        <v>190</v>
      </c>
      <c r="HE708" s="319" t="s">
        <v>190</v>
      </c>
      <c r="HF708" s="319" t="s">
        <v>190</v>
      </c>
      <c r="HG708" s="319" t="s">
        <v>190</v>
      </c>
      <c r="HH708" s="319" t="s">
        <v>190</v>
      </c>
      <c r="HI708" s="319" t="s">
        <v>190</v>
      </c>
      <c r="HJ708" s="319" t="s">
        <v>190</v>
      </c>
      <c r="HK708" s="319" t="s">
        <v>190</v>
      </c>
      <c r="HL708" s="319" t="s">
        <v>190</v>
      </c>
      <c r="HM708" s="319" t="s">
        <v>190</v>
      </c>
      <c r="HN708" s="319" t="s">
        <v>190</v>
      </c>
      <c r="HO708" s="319" t="s">
        <v>190</v>
      </c>
      <c r="HP708" s="319" t="s">
        <v>190</v>
      </c>
      <c r="HQ708" s="319" t="s">
        <v>190</v>
      </c>
      <c r="HR708" s="319" t="s">
        <v>190</v>
      </c>
      <c r="HS708" s="319" t="s">
        <v>190</v>
      </c>
      <c r="HT708" s="319" t="s">
        <v>190</v>
      </c>
      <c r="HU708" s="319" t="s">
        <v>190</v>
      </c>
      <c r="HV708" s="319" t="s">
        <v>190</v>
      </c>
      <c r="HW708" s="319" t="s">
        <v>190</v>
      </c>
      <c r="HX708" s="319" t="s">
        <v>190</v>
      </c>
      <c r="HY708" s="319" t="s">
        <v>190</v>
      </c>
      <c r="HZ708" s="319" t="s">
        <v>190</v>
      </c>
      <c r="IA708" s="319" t="s">
        <v>190</v>
      </c>
      <c r="IB708" s="319" t="s">
        <v>190</v>
      </c>
      <c r="IC708" s="319" t="s">
        <v>190</v>
      </c>
      <c r="ID708" s="319" t="s">
        <v>190</v>
      </c>
      <c r="IE708" s="319" t="s">
        <v>190</v>
      </c>
      <c r="IF708" s="319" t="s">
        <v>190</v>
      </c>
      <c r="IG708" s="319" t="s">
        <v>190</v>
      </c>
      <c r="IH708" s="319" t="s">
        <v>190</v>
      </c>
      <c r="II708" s="319" t="s">
        <v>190</v>
      </c>
      <c r="IJ708" s="319">
        <v>10012967</v>
      </c>
      <c r="IK708" s="321">
        <v>42647</v>
      </c>
      <c r="IL708" s="321">
        <v>42649</v>
      </c>
      <c r="IM708" s="321">
        <v>42692</v>
      </c>
      <c r="IN708" s="319">
        <v>4</v>
      </c>
      <c r="IO708" s="319" t="s">
        <v>173</v>
      </c>
      <c r="IP708" s="319" t="s">
        <v>173</v>
      </c>
      <c r="IQ708" s="321" t="s">
        <v>173</v>
      </c>
      <c r="IR708" s="320" t="s">
        <v>173</v>
      </c>
      <c r="IS708" s="322" t="s">
        <v>173</v>
      </c>
      <c r="IT708" s="319" t="s">
        <v>173</v>
      </c>
    </row>
    <row r="709" spans="1:254" s="271" customFormat="1" x14ac:dyDescent="0.25">
      <c r="A709" s="318" t="str">
        <f>HYPERLINK("http://www.ofsted.gov.uk/inspection-reports/find-inspection-report/provider/ELS/138801 ","Ofsted School Webpage")</f>
        <v>Ofsted School Webpage</v>
      </c>
      <c r="B709" s="319">
        <v>138801</v>
      </c>
      <c r="C709" s="319">
        <v>3166002</v>
      </c>
      <c r="D709" s="319" t="s">
        <v>791</v>
      </c>
      <c r="E709" s="319" t="s">
        <v>167</v>
      </c>
      <c r="F709" s="319" t="s">
        <v>81</v>
      </c>
      <c r="G709" s="319" t="s">
        <v>72</v>
      </c>
      <c r="H709" s="319" t="s">
        <v>72</v>
      </c>
      <c r="I709" s="319" t="s">
        <v>72</v>
      </c>
      <c r="J709" s="319" t="s">
        <v>424</v>
      </c>
      <c r="K709" s="319" t="s">
        <v>441</v>
      </c>
      <c r="L709" s="319" t="s">
        <v>441</v>
      </c>
      <c r="M709" s="319" t="s">
        <v>709</v>
      </c>
      <c r="N709" s="319" t="s">
        <v>3081</v>
      </c>
      <c r="O709" s="319" t="s">
        <v>792</v>
      </c>
      <c r="P709" s="319">
        <v>94</v>
      </c>
      <c r="Q709" s="319" t="s">
        <v>2766</v>
      </c>
      <c r="R709" s="320">
        <v>10054303</v>
      </c>
      <c r="S709" s="321">
        <v>43445</v>
      </c>
      <c r="T709" s="321">
        <v>43447</v>
      </c>
      <c r="U709" s="321">
        <v>43489</v>
      </c>
      <c r="V709" s="319" t="s">
        <v>425</v>
      </c>
      <c r="W709" s="319" t="s">
        <v>2767</v>
      </c>
      <c r="X709" s="319">
        <v>4</v>
      </c>
      <c r="Y709" s="319" t="s">
        <v>173</v>
      </c>
      <c r="Z709" s="319" t="s">
        <v>173</v>
      </c>
      <c r="AA709" s="319" t="s">
        <v>173</v>
      </c>
      <c r="AB709" s="319">
        <v>4</v>
      </c>
      <c r="AC709" s="319" t="s">
        <v>170</v>
      </c>
      <c r="AD709" s="319" t="s">
        <v>173</v>
      </c>
      <c r="AE709" s="319" t="s">
        <v>173</v>
      </c>
      <c r="AF709" s="319" t="s">
        <v>427</v>
      </c>
      <c r="AG709" s="319" t="s">
        <v>172</v>
      </c>
      <c r="AH709" s="319" t="s">
        <v>190</v>
      </c>
      <c r="AI709" s="319" t="s">
        <v>190</v>
      </c>
      <c r="AJ709" s="319" t="s">
        <v>479</v>
      </c>
      <c r="AK709" s="319" t="s">
        <v>190</v>
      </c>
      <c r="AL709" s="319" t="s">
        <v>190</v>
      </c>
      <c r="AM709" s="319" t="s">
        <v>190</v>
      </c>
      <c r="AN709" s="319" t="s">
        <v>190</v>
      </c>
      <c r="AO709" s="319" t="s">
        <v>479</v>
      </c>
      <c r="AP709" s="319" t="s">
        <v>190</v>
      </c>
      <c r="AQ709" s="319" t="s">
        <v>190</v>
      </c>
      <c r="AR709" s="319" t="s">
        <v>190</v>
      </c>
      <c r="AS709" s="319" t="s">
        <v>190</v>
      </c>
      <c r="AT709" s="319" t="s">
        <v>190</v>
      </c>
      <c r="AU709" s="319" t="s">
        <v>190</v>
      </c>
      <c r="AV709" s="319" t="s">
        <v>190</v>
      </c>
      <c r="AW709" s="319" t="s">
        <v>190</v>
      </c>
      <c r="AX709" s="319" t="s">
        <v>428</v>
      </c>
      <c r="AY709" s="319" t="s">
        <v>190</v>
      </c>
      <c r="AZ709" s="319" t="s">
        <v>190</v>
      </c>
      <c r="BA709" s="319" t="s">
        <v>190</v>
      </c>
      <c r="BB709" s="319" t="s">
        <v>190</v>
      </c>
      <c r="BC709" s="319" t="s">
        <v>190</v>
      </c>
      <c r="BD709" s="319" t="s">
        <v>190</v>
      </c>
      <c r="BE709" s="319" t="s">
        <v>190</v>
      </c>
      <c r="BF709" s="319" t="s">
        <v>428</v>
      </c>
      <c r="BG709" s="319" t="s">
        <v>428</v>
      </c>
      <c r="BH709" s="319" t="s">
        <v>190</v>
      </c>
      <c r="BI709" s="319" t="s">
        <v>190</v>
      </c>
      <c r="BJ709" s="319" t="s">
        <v>190</v>
      </c>
      <c r="BK709" s="319" t="s">
        <v>190</v>
      </c>
      <c r="BL709" s="319" t="s">
        <v>190</v>
      </c>
      <c r="BM709" s="319" t="s">
        <v>190</v>
      </c>
      <c r="BN709" s="319" t="s">
        <v>190</v>
      </c>
      <c r="BO709" s="319" t="s">
        <v>190</v>
      </c>
      <c r="BP709" s="319" t="s">
        <v>190</v>
      </c>
      <c r="BQ709" s="319" t="s">
        <v>190</v>
      </c>
      <c r="BR709" s="319" t="s">
        <v>190</v>
      </c>
      <c r="BS709" s="319" t="s">
        <v>190</v>
      </c>
      <c r="BT709" s="319" t="s">
        <v>190</v>
      </c>
      <c r="BU709" s="319" t="s">
        <v>190</v>
      </c>
      <c r="BV709" s="319" t="s">
        <v>190</v>
      </c>
      <c r="BW709" s="319" t="s">
        <v>190</v>
      </c>
      <c r="BX709" s="319" t="s">
        <v>190</v>
      </c>
      <c r="BY709" s="319" t="s">
        <v>190</v>
      </c>
      <c r="BZ709" s="319" t="s">
        <v>190</v>
      </c>
      <c r="CA709" s="319" t="s">
        <v>190</v>
      </c>
      <c r="CB709" s="319" t="s">
        <v>190</v>
      </c>
      <c r="CC709" s="319" t="s">
        <v>190</v>
      </c>
      <c r="CD709" s="319" t="s">
        <v>190</v>
      </c>
      <c r="CE709" s="319" t="s">
        <v>190</v>
      </c>
      <c r="CF709" s="319" t="s">
        <v>190</v>
      </c>
      <c r="CG709" s="319" t="s">
        <v>190</v>
      </c>
      <c r="CH709" s="319" t="s">
        <v>190</v>
      </c>
      <c r="CI709" s="319" t="s">
        <v>190</v>
      </c>
      <c r="CJ709" s="319" t="s">
        <v>190</v>
      </c>
      <c r="CK709" s="319" t="s">
        <v>191</v>
      </c>
      <c r="CL709" s="319" t="s">
        <v>191</v>
      </c>
      <c r="CM709" s="319" t="s">
        <v>191</v>
      </c>
      <c r="CN709" s="319" t="s">
        <v>428</v>
      </c>
      <c r="CO709" s="319" t="s">
        <v>428</v>
      </c>
      <c r="CP709" s="319" t="s">
        <v>428</v>
      </c>
      <c r="CQ709" s="319" t="s">
        <v>191</v>
      </c>
      <c r="CR709" s="319" t="s">
        <v>190</v>
      </c>
      <c r="CS709" s="319" t="s">
        <v>190</v>
      </c>
      <c r="CT709" s="319" t="s">
        <v>191</v>
      </c>
      <c r="CU709" s="319" t="s">
        <v>190</v>
      </c>
      <c r="CV709" s="319" t="s">
        <v>191</v>
      </c>
      <c r="CW709" s="319" t="s">
        <v>191</v>
      </c>
      <c r="CX709" s="319" t="s">
        <v>190</v>
      </c>
      <c r="CY709" s="319" t="s">
        <v>190</v>
      </c>
      <c r="CZ709" s="319" t="s">
        <v>190</v>
      </c>
      <c r="DA709" s="319" t="s">
        <v>191</v>
      </c>
      <c r="DB709" s="319" t="s">
        <v>191</v>
      </c>
      <c r="DC709" s="319" t="s">
        <v>191</v>
      </c>
      <c r="DD709" s="319" t="s">
        <v>190</v>
      </c>
      <c r="DE709" s="319" t="s">
        <v>190</v>
      </c>
      <c r="DF709" s="319" t="s">
        <v>190</v>
      </c>
      <c r="DG709" s="319" t="s">
        <v>190</v>
      </c>
      <c r="DH709" s="319" t="s">
        <v>190</v>
      </c>
      <c r="DI709" s="319" t="s">
        <v>190</v>
      </c>
      <c r="DJ709" s="319" t="s">
        <v>190</v>
      </c>
      <c r="DK709" s="319" t="s">
        <v>190</v>
      </c>
      <c r="DL709" s="319" t="s">
        <v>190</v>
      </c>
      <c r="DM709" s="319" t="s">
        <v>190</v>
      </c>
      <c r="DN709" s="319" t="s">
        <v>428</v>
      </c>
      <c r="DO709" s="319" t="s">
        <v>190</v>
      </c>
      <c r="DP709" s="319" t="s">
        <v>428</v>
      </c>
      <c r="DQ709" s="319" t="s">
        <v>428</v>
      </c>
      <c r="DR709" s="319" t="s">
        <v>428</v>
      </c>
      <c r="DS709" s="319" t="s">
        <v>428</v>
      </c>
      <c r="DT709" s="319" t="s">
        <v>428</v>
      </c>
      <c r="DU709" s="319" t="s">
        <v>428</v>
      </c>
      <c r="DV709" s="319" t="s">
        <v>173</v>
      </c>
      <c r="DW709" s="319" t="s">
        <v>428</v>
      </c>
      <c r="DX709" s="319" t="s">
        <v>428</v>
      </c>
      <c r="DY709" s="319" t="s">
        <v>428</v>
      </c>
      <c r="DZ709" s="319" t="s">
        <v>428</v>
      </c>
      <c r="EA709" s="319" t="s">
        <v>428</v>
      </c>
      <c r="EB709" s="319" t="s">
        <v>428</v>
      </c>
      <c r="EC709" s="319" t="s">
        <v>428</v>
      </c>
      <c r="ED709" s="319" t="s">
        <v>428</v>
      </c>
      <c r="EE709" s="319" t="s">
        <v>190</v>
      </c>
      <c r="EF709" s="319" t="s">
        <v>190</v>
      </c>
      <c r="EG709" s="319" t="s">
        <v>190</v>
      </c>
      <c r="EH709" s="319" t="s">
        <v>190</v>
      </c>
      <c r="EI709" s="319" t="s">
        <v>190</v>
      </c>
      <c r="EJ709" s="319" t="s">
        <v>190</v>
      </c>
      <c r="EK709" s="319" t="s">
        <v>190</v>
      </c>
      <c r="EL709" s="319" t="s">
        <v>190</v>
      </c>
      <c r="EM709" s="319" t="s">
        <v>190</v>
      </c>
      <c r="EN709" s="319" t="s">
        <v>190</v>
      </c>
      <c r="EO709" s="319" t="s">
        <v>190</v>
      </c>
      <c r="EP709" s="319" t="s">
        <v>190</v>
      </c>
      <c r="EQ709" s="319" t="s">
        <v>190</v>
      </c>
      <c r="ER709" s="319" t="s">
        <v>190</v>
      </c>
      <c r="ES709" s="319" t="s">
        <v>190</v>
      </c>
      <c r="ET709" s="319" t="s">
        <v>190</v>
      </c>
      <c r="EU709" s="319" t="s">
        <v>190</v>
      </c>
      <c r="EV709" s="319" t="s">
        <v>190</v>
      </c>
      <c r="EW709" s="319" t="s">
        <v>190</v>
      </c>
      <c r="EX709" s="319" t="s">
        <v>190</v>
      </c>
      <c r="EY709" s="319" t="s">
        <v>190</v>
      </c>
      <c r="EZ709" s="319" t="s">
        <v>190</v>
      </c>
      <c r="FA709" s="319" t="s">
        <v>190</v>
      </c>
      <c r="FB709" s="319" t="s">
        <v>428</v>
      </c>
      <c r="FC709" s="319" t="s">
        <v>428</v>
      </c>
      <c r="FD709" s="319" t="s">
        <v>428</v>
      </c>
      <c r="FE709" s="319" t="s">
        <v>428</v>
      </c>
      <c r="FF709" s="319" t="s">
        <v>428</v>
      </c>
      <c r="FG709" s="319" t="s">
        <v>428</v>
      </c>
      <c r="FH709" s="319" t="s">
        <v>190</v>
      </c>
      <c r="FI709" s="319" t="s">
        <v>190</v>
      </c>
      <c r="FJ709" s="319" t="s">
        <v>190</v>
      </c>
      <c r="FK709" s="319" t="s">
        <v>190</v>
      </c>
      <c r="FL709" s="319" t="s">
        <v>190</v>
      </c>
      <c r="FM709" s="319" t="s">
        <v>190</v>
      </c>
      <c r="FN709" s="319" t="s">
        <v>428</v>
      </c>
      <c r="FO709" s="319" t="s">
        <v>190</v>
      </c>
      <c r="FP709" s="319" t="s">
        <v>190</v>
      </c>
      <c r="FQ709" s="319" t="s">
        <v>190</v>
      </c>
      <c r="FR709" s="319" t="s">
        <v>190</v>
      </c>
      <c r="FS709" s="319" t="s">
        <v>428</v>
      </c>
      <c r="FT709" s="319" t="s">
        <v>190</v>
      </c>
      <c r="FU709" s="319" t="s">
        <v>190</v>
      </c>
      <c r="FV709" s="319" t="s">
        <v>190</v>
      </c>
      <c r="FW709" s="319" t="s">
        <v>190</v>
      </c>
      <c r="FX709" s="319" t="s">
        <v>190</v>
      </c>
      <c r="FY709" s="319" t="s">
        <v>190</v>
      </c>
      <c r="FZ709" s="319" t="s">
        <v>190</v>
      </c>
      <c r="GA709" s="319" t="s">
        <v>190</v>
      </c>
      <c r="GB709" s="319" t="s">
        <v>190</v>
      </c>
      <c r="GC709" s="319" t="s">
        <v>190</v>
      </c>
      <c r="GD709" s="319" t="s">
        <v>190</v>
      </c>
      <c r="GE709" s="319" t="s">
        <v>190</v>
      </c>
      <c r="GF709" s="319" t="s">
        <v>190</v>
      </c>
      <c r="GG709" s="319" t="s">
        <v>190</v>
      </c>
      <c r="GH709" s="319" t="s">
        <v>190</v>
      </c>
      <c r="GI709" s="319" t="s">
        <v>190</v>
      </c>
      <c r="GJ709" s="319" t="s">
        <v>190</v>
      </c>
      <c r="GK709" s="319" t="s">
        <v>428</v>
      </c>
      <c r="GL709" s="319" t="s">
        <v>190</v>
      </c>
      <c r="GM709" s="319" t="s">
        <v>190</v>
      </c>
      <c r="GN709" s="319" t="s">
        <v>190</v>
      </c>
      <c r="GO709" s="319" t="s">
        <v>190</v>
      </c>
      <c r="GP709" s="319" t="s">
        <v>190</v>
      </c>
      <c r="GQ709" s="319" t="s">
        <v>428</v>
      </c>
      <c r="GR709" s="319" t="s">
        <v>190</v>
      </c>
      <c r="GS709" s="319" t="s">
        <v>190</v>
      </c>
      <c r="GT709" s="319" t="s">
        <v>428</v>
      </c>
      <c r="GU709" s="319" t="s">
        <v>428</v>
      </c>
      <c r="GV709" s="319" t="s">
        <v>428</v>
      </c>
      <c r="GW709" s="319" t="s">
        <v>190</v>
      </c>
      <c r="GX709" s="319" t="s">
        <v>190</v>
      </c>
      <c r="GY709" s="319" t="s">
        <v>190</v>
      </c>
      <c r="GZ709" s="319" t="s">
        <v>428</v>
      </c>
      <c r="HA709" s="319" t="s">
        <v>190</v>
      </c>
      <c r="HB709" s="319" t="s">
        <v>428</v>
      </c>
      <c r="HC709" s="319" t="s">
        <v>190</v>
      </c>
      <c r="HD709" s="319" t="s">
        <v>190</v>
      </c>
      <c r="HE709" s="319" t="s">
        <v>190</v>
      </c>
      <c r="HF709" s="319" t="s">
        <v>190</v>
      </c>
      <c r="HG709" s="319" t="s">
        <v>190</v>
      </c>
      <c r="HH709" s="319" t="s">
        <v>190</v>
      </c>
      <c r="HI709" s="319" t="s">
        <v>428</v>
      </c>
      <c r="HJ709" s="319" t="s">
        <v>190</v>
      </c>
      <c r="HK709" s="319" t="s">
        <v>190</v>
      </c>
      <c r="HL709" s="319" t="s">
        <v>428</v>
      </c>
      <c r="HM709" s="319" t="s">
        <v>428</v>
      </c>
      <c r="HN709" s="319" t="s">
        <v>428</v>
      </c>
      <c r="HO709" s="319" t="s">
        <v>428</v>
      </c>
      <c r="HP709" s="319" t="s">
        <v>190</v>
      </c>
      <c r="HQ709" s="319" t="s">
        <v>190</v>
      </c>
      <c r="HR709" s="319" t="s">
        <v>190</v>
      </c>
      <c r="HS709" s="319" t="s">
        <v>190</v>
      </c>
      <c r="HT709" s="319" t="s">
        <v>190</v>
      </c>
      <c r="HU709" s="319" t="s">
        <v>190</v>
      </c>
      <c r="HV709" s="319" t="s">
        <v>190</v>
      </c>
      <c r="HW709" s="319" t="s">
        <v>190</v>
      </c>
      <c r="HX709" s="319" t="s">
        <v>190</v>
      </c>
      <c r="HY709" s="319" t="s">
        <v>190</v>
      </c>
      <c r="HZ709" s="319" t="s">
        <v>190</v>
      </c>
      <c r="IA709" s="319" t="s">
        <v>190</v>
      </c>
      <c r="IB709" s="319" t="s">
        <v>190</v>
      </c>
      <c r="IC709" s="319" t="s">
        <v>190</v>
      </c>
      <c r="ID709" s="319" t="s">
        <v>190</v>
      </c>
      <c r="IE709" s="319" t="s">
        <v>190</v>
      </c>
      <c r="IF709" s="319" t="s">
        <v>191</v>
      </c>
      <c r="IG709" s="319" t="s">
        <v>191</v>
      </c>
      <c r="IH709" s="319" t="s">
        <v>191</v>
      </c>
      <c r="II709" s="319" t="s">
        <v>191</v>
      </c>
      <c r="IJ709" s="319">
        <v>10012828</v>
      </c>
      <c r="IK709" s="321">
        <v>42703</v>
      </c>
      <c r="IL709" s="321">
        <v>42705</v>
      </c>
      <c r="IM709" s="321">
        <v>42851</v>
      </c>
      <c r="IN709" s="319">
        <v>4</v>
      </c>
      <c r="IO709" s="319">
        <v>10109147</v>
      </c>
      <c r="IP709" s="319" t="s">
        <v>985</v>
      </c>
      <c r="IQ709" s="321">
        <v>43727</v>
      </c>
      <c r="IR709" s="320" t="s">
        <v>2771</v>
      </c>
      <c r="IS709" s="322">
        <v>43772</v>
      </c>
      <c r="IT709" s="319" t="s">
        <v>166</v>
      </c>
    </row>
    <row r="710" spans="1:254" s="271" customFormat="1" x14ac:dyDescent="0.25">
      <c r="A710" s="318" t="str">
        <f>HYPERLINK("http://www.ofsted.gov.uk/inspection-reports/find-inspection-report/provider/ELS/138803 ","Ofsted School Webpage")</f>
        <v>Ofsted School Webpage</v>
      </c>
      <c r="B710" s="319">
        <v>138803</v>
      </c>
      <c r="C710" s="319">
        <v>2086001</v>
      </c>
      <c r="D710" s="319" t="s">
        <v>2182</v>
      </c>
      <c r="E710" s="319" t="s">
        <v>168</v>
      </c>
      <c r="F710" s="319" t="s">
        <v>81</v>
      </c>
      <c r="G710" s="319" t="s">
        <v>81</v>
      </c>
      <c r="H710" s="319" t="s">
        <v>81</v>
      </c>
      <c r="I710" s="319" t="s">
        <v>78</v>
      </c>
      <c r="J710" s="319" t="s">
        <v>424</v>
      </c>
      <c r="K710" s="319" t="s">
        <v>441</v>
      </c>
      <c r="L710" s="319" t="s">
        <v>441</v>
      </c>
      <c r="M710" s="319" t="s">
        <v>728</v>
      </c>
      <c r="N710" s="319" t="s">
        <v>3444</v>
      </c>
      <c r="O710" s="319" t="s">
        <v>2183</v>
      </c>
      <c r="P710" s="319">
        <v>74</v>
      </c>
      <c r="Q710" s="319" t="s">
        <v>429</v>
      </c>
      <c r="R710" s="320">
        <v>10020708</v>
      </c>
      <c r="S710" s="321">
        <v>43214</v>
      </c>
      <c r="T710" s="321">
        <v>43216</v>
      </c>
      <c r="U710" s="321">
        <v>43244</v>
      </c>
      <c r="V710" s="319" t="s">
        <v>425</v>
      </c>
      <c r="W710" s="319" t="s">
        <v>2767</v>
      </c>
      <c r="X710" s="319">
        <v>1</v>
      </c>
      <c r="Y710" s="319" t="s">
        <v>173</v>
      </c>
      <c r="Z710" s="319" t="s">
        <v>173</v>
      </c>
      <c r="AA710" s="319" t="s">
        <v>173</v>
      </c>
      <c r="AB710" s="319">
        <v>1</v>
      </c>
      <c r="AC710" s="319" t="s">
        <v>169</v>
      </c>
      <c r="AD710" s="319" t="s">
        <v>173</v>
      </c>
      <c r="AE710" s="319" t="s">
        <v>173</v>
      </c>
      <c r="AF710" s="319" t="s">
        <v>427</v>
      </c>
      <c r="AG710" s="319" t="s">
        <v>171</v>
      </c>
      <c r="AH710" s="319" t="s">
        <v>190</v>
      </c>
      <c r="AI710" s="319" t="s">
        <v>190</v>
      </c>
      <c r="AJ710" s="319" t="s">
        <v>190</v>
      </c>
      <c r="AK710" s="319" t="s">
        <v>190</v>
      </c>
      <c r="AL710" s="319" t="s">
        <v>190</v>
      </c>
      <c r="AM710" s="319" t="s">
        <v>190</v>
      </c>
      <c r="AN710" s="319" t="s">
        <v>190</v>
      </c>
      <c r="AO710" s="319" t="s">
        <v>190</v>
      </c>
      <c r="AP710" s="319" t="s">
        <v>190</v>
      </c>
      <c r="AQ710" s="319" t="s">
        <v>190</v>
      </c>
      <c r="AR710" s="319" t="s">
        <v>190</v>
      </c>
      <c r="AS710" s="319" t="s">
        <v>190</v>
      </c>
      <c r="AT710" s="319" t="s">
        <v>190</v>
      </c>
      <c r="AU710" s="319" t="s">
        <v>190</v>
      </c>
      <c r="AV710" s="319" t="s">
        <v>190</v>
      </c>
      <c r="AW710" s="319" t="s">
        <v>190</v>
      </c>
      <c r="AX710" s="319" t="s">
        <v>428</v>
      </c>
      <c r="AY710" s="319" t="s">
        <v>190</v>
      </c>
      <c r="AZ710" s="319" t="s">
        <v>190</v>
      </c>
      <c r="BA710" s="319" t="s">
        <v>190</v>
      </c>
      <c r="BB710" s="319" t="s">
        <v>190</v>
      </c>
      <c r="BC710" s="319" t="s">
        <v>190</v>
      </c>
      <c r="BD710" s="319" t="s">
        <v>190</v>
      </c>
      <c r="BE710" s="319" t="s">
        <v>190</v>
      </c>
      <c r="BF710" s="319" t="s">
        <v>428</v>
      </c>
      <c r="BG710" s="319" t="s">
        <v>428</v>
      </c>
      <c r="BH710" s="319" t="s">
        <v>190</v>
      </c>
      <c r="BI710" s="319" t="s">
        <v>190</v>
      </c>
      <c r="BJ710" s="319" t="s">
        <v>190</v>
      </c>
      <c r="BK710" s="319" t="s">
        <v>190</v>
      </c>
      <c r="BL710" s="319" t="s">
        <v>190</v>
      </c>
      <c r="BM710" s="319" t="s">
        <v>190</v>
      </c>
      <c r="BN710" s="319" t="s">
        <v>190</v>
      </c>
      <c r="BO710" s="319" t="s">
        <v>190</v>
      </c>
      <c r="BP710" s="319" t="s">
        <v>190</v>
      </c>
      <c r="BQ710" s="319" t="s">
        <v>190</v>
      </c>
      <c r="BR710" s="319" t="s">
        <v>190</v>
      </c>
      <c r="BS710" s="319" t="s">
        <v>190</v>
      </c>
      <c r="BT710" s="319" t="s">
        <v>190</v>
      </c>
      <c r="BU710" s="319" t="s">
        <v>190</v>
      </c>
      <c r="BV710" s="319" t="s">
        <v>190</v>
      </c>
      <c r="BW710" s="319" t="s">
        <v>190</v>
      </c>
      <c r="BX710" s="319" t="s">
        <v>190</v>
      </c>
      <c r="BY710" s="319" t="s">
        <v>190</v>
      </c>
      <c r="BZ710" s="319" t="s">
        <v>190</v>
      </c>
      <c r="CA710" s="319" t="s">
        <v>190</v>
      </c>
      <c r="CB710" s="319" t="s">
        <v>190</v>
      </c>
      <c r="CC710" s="319" t="s">
        <v>190</v>
      </c>
      <c r="CD710" s="319" t="s">
        <v>190</v>
      </c>
      <c r="CE710" s="319" t="s">
        <v>190</v>
      </c>
      <c r="CF710" s="319" t="s">
        <v>190</v>
      </c>
      <c r="CG710" s="319" t="s">
        <v>190</v>
      </c>
      <c r="CH710" s="319" t="s">
        <v>190</v>
      </c>
      <c r="CI710" s="319" t="s">
        <v>190</v>
      </c>
      <c r="CJ710" s="319" t="s">
        <v>190</v>
      </c>
      <c r="CK710" s="319" t="s">
        <v>190</v>
      </c>
      <c r="CL710" s="319" t="s">
        <v>190</v>
      </c>
      <c r="CM710" s="319" t="s">
        <v>190</v>
      </c>
      <c r="CN710" s="319" t="s">
        <v>428</v>
      </c>
      <c r="CO710" s="319" t="s">
        <v>428</v>
      </c>
      <c r="CP710" s="319" t="s">
        <v>428</v>
      </c>
      <c r="CQ710" s="319" t="s">
        <v>190</v>
      </c>
      <c r="CR710" s="319" t="s">
        <v>190</v>
      </c>
      <c r="CS710" s="319" t="s">
        <v>190</v>
      </c>
      <c r="CT710" s="319" t="s">
        <v>190</v>
      </c>
      <c r="CU710" s="319" t="s">
        <v>190</v>
      </c>
      <c r="CV710" s="319" t="s">
        <v>190</v>
      </c>
      <c r="CW710" s="319" t="s">
        <v>190</v>
      </c>
      <c r="CX710" s="319" t="s">
        <v>190</v>
      </c>
      <c r="CY710" s="319" t="s">
        <v>190</v>
      </c>
      <c r="CZ710" s="319" t="s">
        <v>190</v>
      </c>
      <c r="DA710" s="319" t="s">
        <v>190</v>
      </c>
      <c r="DB710" s="319" t="s">
        <v>190</v>
      </c>
      <c r="DC710" s="319" t="s">
        <v>190</v>
      </c>
      <c r="DD710" s="319" t="s">
        <v>190</v>
      </c>
      <c r="DE710" s="319" t="s">
        <v>190</v>
      </c>
      <c r="DF710" s="319" t="s">
        <v>190</v>
      </c>
      <c r="DG710" s="319" t="s">
        <v>190</v>
      </c>
      <c r="DH710" s="319" t="s">
        <v>190</v>
      </c>
      <c r="DI710" s="319" t="s">
        <v>190</v>
      </c>
      <c r="DJ710" s="319" t="s">
        <v>190</v>
      </c>
      <c r="DK710" s="319" t="s">
        <v>190</v>
      </c>
      <c r="DL710" s="319" t="s">
        <v>190</v>
      </c>
      <c r="DM710" s="319" t="s">
        <v>190</v>
      </c>
      <c r="DN710" s="319" t="s">
        <v>428</v>
      </c>
      <c r="DO710" s="319" t="s">
        <v>190</v>
      </c>
      <c r="DP710" s="319" t="s">
        <v>428</v>
      </c>
      <c r="DQ710" s="319" t="s">
        <v>428</v>
      </c>
      <c r="DR710" s="319" t="s">
        <v>428</v>
      </c>
      <c r="DS710" s="319" t="s">
        <v>428</v>
      </c>
      <c r="DT710" s="319" t="s">
        <v>428</v>
      </c>
      <c r="DU710" s="319" t="s">
        <v>428</v>
      </c>
      <c r="DV710" s="319" t="s">
        <v>173</v>
      </c>
      <c r="DW710" s="319" t="s">
        <v>428</v>
      </c>
      <c r="DX710" s="319" t="s">
        <v>428</v>
      </c>
      <c r="DY710" s="319" t="s">
        <v>428</v>
      </c>
      <c r="DZ710" s="319" t="s">
        <v>428</v>
      </c>
      <c r="EA710" s="319" t="s">
        <v>428</v>
      </c>
      <c r="EB710" s="319" t="s">
        <v>428</v>
      </c>
      <c r="EC710" s="319" t="s">
        <v>428</v>
      </c>
      <c r="ED710" s="319" t="s">
        <v>428</v>
      </c>
      <c r="EE710" s="319" t="s">
        <v>190</v>
      </c>
      <c r="EF710" s="319" t="s">
        <v>190</v>
      </c>
      <c r="EG710" s="319" t="s">
        <v>190</v>
      </c>
      <c r="EH710" s="319" t="s">
        <v>190</v>
      </c>
      <c r="EI710" s="319" t="s">
        <v>190</v>
      </c>
      <c r="EJ710" s="319" t="s">
        <v>190</v>
      </c>
      <c r="EK710" s="319" t="s">
        <v>190</v>
      </c>
      <c r="EL710" s="319" t="s">
        <v>190</v>
      </c>
      <c r="EM710" s="319" t="s">
        <v>190</v>
      </c>
      <c r="EN710" s="319" t="s">
        <v>190</v>
      </c>
      <c r="EO710" s="319" t="s">
        <v>190</v>
      </c>
      <c r="EP710" s="319" t="s">
        <v>190</v>
      </c>
      <c r="EQ710" s="319" t="s">
        <v>190</v>
      </c>
      <c r="ER710" s="319" t="s">
        <v>190</v>
      </c>
      <c r="ES710" s="319" t="s">
        <v>190</v>
      </c>
      <c r="ET710" s="319" t="s">
        <v>190</v>
      </c>
      <c r="EU710" s="319" t="s">
        <v>190</v>
      </c>
      <c r="EV710" s="319" t="s">
        <v>190</v>
      </c>
      <c r="EW710" s="319" t="s">
        <v>190</v>
      </c>
      <c r="EX710" s="319" t="s">
        <v>190</v>
      </c>
      <c r="EY710" s="319" t="s">
        <v>190</v>
      </c>
      <c r="EZ710" s="319" t="s">
        <v>190</v>
      </c>
      <c r="FA710" s="319" t="s">
        <v>428</v>
      </c>
      <c r="FB710" s="319" t="s">
        <v>428</v>
      </c>
      <c r="FC710" s="319" t="s">
        <v>428</v>
      </c>
      <c r="FD710" s="319" t="s">
        <v>428</v>
      </c>
      <c r="FE710" s="319" t="s">
        <v>428</v>
      </c>
      <c r="FF710" s="319" t="s">
        <v>428</v>
      </c>
      <c r="FG710" s="319" t="s">
        <v>428</v>
      </c>
      <c r="FH710" s="319" t="s">
        <v>190</v>
      </c>
      <c r="FI710" s="319" t="s">
        <v>428</v>
      </c>
      <c r="FJ710" s="319" t="s">
        <v>429</v>
      </c>
      <c r="FK710" s="319" t="s">
        <v>428</v>
      </c>
      <c r="FL710" s="319" t="s">
        <v>190</v>
      </c>
      <c r="FM710" s="319" t="s">
        <v>190</v>
      </c>
      <c r="FN710" s="319" t="s">
        <v>190</v>
      </c>
      <c r="FO710" s="319" t="s">
        <v>190</v>
      </c>
      <c r="FP710" s="319" t="s">
        <v>190</v>
      </c>
      <c r="FQ710" s="319" t="s">
        <v>190</v>
      </c>
      <c r="FR710" s="319" t="s">
        <v>190</v>
      </c>
      <c r="FS710" s="319" t="s">
        <v>428</v>
      </c>
      <c r="FT710" s="319" t="s">
        <v>428</v>
      </c>
      <c r="FU710" s="319" t="s">
        <v>190</v>
      </c>
      <c r="FV710" s="319" t="s">
        <v>190</v>
      </c>
      <c r="FW710" s="319" t="s">
        <v>190</v>
      </c>
      <c r="FX710" s="319" t="s">
        <v>190</v>
      </c>
      <c r="FY710" s="319" t="s">
        <v>190</v>
      </c>
      <c r="FZ710" s="319" t="s">
        <v>190</v>
      </c>
      <c r="GA710" s="319" t="s">
        <v>190</v>
      </c>
      <c r="GB710" s="319" t="s">
        <v>190</v>
      </c>
      <c r="GC710" s="319" t="s">
        <v>190</v>
      </c>
      <c r="GD710" s="319" t="s">
        <v>190</v>
      </c>
      <c r="GE710" s="319" t="s">
        <v>190</v>
      </c>
      <c r="GF710" s="319" t="s">
        <v>190</v>
      </c>
      <c r="GG710" s="319" t="s">
        <v>190</v>
      </c>
      <c r="GH710" s="319" t="s">
        <v>190</v>
      </c>
      <c r="GI710" s="319" t="s">
        <v>190</v>
      </c>
      <c r="GJ710" s="319" t="s">
        <v>190</v>
      </c>
      <c r="GK710" s="319" t="s">
        <v>428</v>
      </c>
      <c r="GL710" s="319" t="s">
        <v>190</v>
      </c>
      <c r="GM710" s="319" t="s">
        <v>190</v>
      </c>
      <c r="GN710" s="319" t="s">
        <v>190</v>
      </c>
      <c r="GO710" s="319" t="s">
        <v>190</v>
      </c>
      <c r="GP710" s="319" t="s">
        <v>190</v>
      </c>
      <c r="GQ710" s="319" t="s">
        <v>428</v>
      </c>
      <c r="GR710" s="319" t="s">
        <v>190</v>
      </c>
      <c r="GS710" s="319" t="s">
        <v>190</v>
      </c>
      <c r="GT710" s="319" t="s">
        <v>190</v>
      </c>
      <c r="GU710" s="319" t="s">
        <v>190</v>
      </c>
      <c r="GV710" s="319" t="s">
        <v>190</v>
      </c>
      <c r="GW710" s="319" t="s">
        <v>190</v>
      </c>
      <c r="GX710" s="319" t="s">
        <v>190</v>
      </c>
      <c r="GY710" s="319" t="s">
        <v>190</v>
      </c>
      <c r="GZ710" s="319" t="s">
        <v>428</v>
      </c>
      <c r="HA710" s="319" t="s">
        <v>190</v>
      </c>
      <c r="HB710" s="319" t="s">
        <v>190</v>
      </c>
      <c r="HC710" s="319" t="s">
        <v>190</v>
      </c>
      <c r="HD710" s="319" t="s">
        <v>190</v>
      </c>
      <c r="HE710" s="319" t="s">
        <v>190</v>
      </c>
      <c r="HF710" s="319" t="s">
        <v>190</v>
      </c>
      <c r="HG710" s="319" t="s">
        <v>190</v>
      </c>
      <c r="HH710" s="319" t="s">
        <v>190</v>
      </c>
      <c r="HI710" s="319" t="s">
        <v>190</v>
      </c>
      <c r="HJ710" s="319" t="s">
        <v>190</v>
      </c>
      <c r="HK710" s="319" t="s">
        <v>190</v>
      </c>
      <c r="HL710" s="319" t="s">
        <v>190</v>
      </c>
      <c r="HM710" s="319" t="s">
        <v>190</v>
      </c>
      <c r="HN710" s="319" t="s">
        <v>190</v>
      </c>
      <c r="HO710" s="319" t="s">
        <v>190</v>
      </c>
      <c r="HP710" s="319" t="s">
        <v>190</v>
      </c>
      <c r="HQ710" s="319" t="s">
        <v>190</v>
      </c>
      <c r="HR710" s="319" t="s">
        <v>190</v>
      </c>
      <c r="HS710" s="319" t="s">
        <v>190</v>
      </c>
      <c r="HT710" s="319" t="s">
        <v>190</v>
      </c>
      <c r="HU710" s="319" t="s">
        <v>190</v>
      </c>
      <c r="HV710" s="319" t="s">
        <v>190</v>
      </c>
      <c r="HW710" s="319" t="s">
        <v>190</v>
      </c>
      <c r="HX710" s="319" t="s">
        <v>190</v>
      </c>
      <c r="HY710" s="319" t="s">
        <v>190</v>
      </c>
      <c r="HZ710" s="319" t="s">
        <v>190</v>
      </c>
      <c r="IA710" s="319" t="s">
        <v>190</v>
      </c>
      <c r="IB710" s="319" t="s">
        <v>190</v>
      </c>
      <c r="IC710" s="319" t="s">
        <v>190</v>
      </c>
      <c r="ID710" s="319" t="s">
        <v>190</v>
      </c>
      <c r="IE710" s="319" t="s">
        <v>190</v>
      </c>
      <c r="IF710" s="319" t="s">
        <v>190</v>
      </c>
      <c r="IG710" s="319" t="s">
        <v>190</v>
      </c>
      <c r="IH710" s="319" t="s">
        <v>190</v>
      </c>
      <c r="II710" s="319" t="s">
        <v>190</v>
      </c>
      <c r="IJ710" s="319" t="s">
        <v>3445</v>
      </c>
      <c r="IK710" s="321">
        <v>41464</v>
      </c>
      <c r="IL710" s="321">
        <v>41466</v>
      </c>
      <c r="IM710" s="321">
        <v>41522</v>
      </c>
      <c r="IN710" s="319">
        <v>2</v>
      </c>
      <c r="IO710" s="319" t="s">
        <v>173</v>
      </c>
      <c r="IP710" s="319" t="s">
        <v>173</v>
      </c>
      <c r="IQ710" s="321" t="s">
        <v>173</v>
      </c>
      <c r="IR710" s="320" t="s">
        <v>173</v>
      </c>
      <c r="IS710" s="322" t="s">
        <v>173</v>
      </c>
      <c r="IT710" s="319" t="s">
        <v>173</v>
      </c>
    </row>
    <row r="711" spans="1:254" s="271" customFormat="1" x14ac:dyDescent="0.25">
      <c r="A711" s="318" t="str">
        <f>HYPERLINK("http://www.ofsted.gov.uk/inspection-reports/find-inspection-report/provider/ELS/138868 ","Ofsted School Webpage")</f>
        <v>Ofsted School Webpage</v>
      </c>
      <c r="B711" s="319">
        <v>138868</v>
      </c>
      <c r="C711" s="319">
        <v>8886045</v>
      </c>
      <c r="D711" s="319" t="s">
        <v>2184</v>
      </c>
      <c r="E711" s="319" t="s">
        <v>168</v>
      </c>
      <c r="F711" s="319" t="s">
        <v>81</v>
      </c>
      <c r="G711" s="319" t="s">
        <v>81</v>
      </c>
      <c r="H711" s="319" t="s">
        <v>81</v>
      </c>
      <c r="I711" s="319" t="s">
        <v>78</v>
      </c>
      <c r="J711" s="319" t="s">
        <v>424</v>
      </c>
      <c r="K711" s="319" t="s">
        <v>431</v>
      </c>
      <c r="L711" s="319" t="s">
        <v>431</v>
      </c>
      <c r="M711" s="319" t="s">
        <v>469</v>
      </c>
      <c r="N711" s="319" t="s">
        <v>2996</v>
      </c>
      <c r="O711" s="319" t="s">
        <v>2185</v>
      </c>
      <c r="P711" s="319">
        <v>8</v>
      </c>
      <c r="Q711" s="319" t="s">
        <v>429</v>
      </c>
      <c r="R711" s="320">
        <v>10092582</v>
      </c>
      <c r="S711" s="321">
        <v>43634</v>
      </c>
      <c r="T711" s="321">
        <v>43636</v>
      </c>
      <c r="U711" s="321">
        <v>43656</v>
      </c>
      <c r="V711" s="319" t="s">
        <v>425</v>
      </c>
      <c r="W711" s="319" t="s">
        <v>2767</v>
      </c>
      <c r="X711" s="319">
        <v>2</v>
      </c>
      <c r="Y711" s="319" t="s">
        <v>173</v>
      </c>
      <c r="Z711" s="319" t="s">
        <v>173</v>
      </c>
      <c r="AA711" s="319" t="s">
        <v>173</v>
      </c>
      <c r="AB711" s="319">
        <v>2</v>
      </c>
      <c r="AC711" s="319" t="s">
        <v>169</v>
      </c>
      <c r="AD711" s="319" t="s">
        <v>173</v>
      </c>
      <c r="AE711" s="319" t="s">
        <v>173</v>
      </c>
      <c r="AF711" s="319" t="s">
        <v>427</v>
      </c>
      <c r="AG711" s="319" t="s">
        <v>171</v>
      </c>
      <c r="AH711" s="319" t="s">
        <v>190</v>
      </c>
      <c r="AI711" s="319" t="s">
        <v>190</v>
      </c>
      <c r="AJ711" s="319" t="s">
        <v>190</v>
      </c>
      <c r="AK711" s="319" t="s">
        <v>190</v>
      </c>
      <c r="AL711" s="319" t="s">
        <v>190</v>
      </c>
      <c r="AM711" s="319" t="s">
        <v>190</v>
      </c>
      <c r="AN711" s="319" t="s">
        <v>190</v>
      </c>
      <c r="AO711" s="319" t="s">
        <v>190</v>
      </c>
      <c r="AP711" s="319" t="s">
        <v>190</v>
      </c>
      <c r="AQ711" s="319" t="s">
        <v>190</v>
      </c>
      <c r="AR711" s="319" t="s">
        <v>190</v>
      </c>
      <c r="AS711" s="319" t="s">
        <v>190</v>
      </c>
      <c r="AT711" s="319" t="s">
        <v>190</v>
      </c>
      <c r="AU711" s="319" t="s">
        <v>190</v>
      </c>
      <c r="AV711" s="319" t="s">
        <v>190</v>
      </c>
      <c r="AW711" s="319" t="s">
        <v>190</v>
      </c>
      <c r="AX711" s="319" t="s">
        <v>428</v>
      </c>
      <c r="AY711" s="319" t="s">
        <v>190</v>
      </c>
      <c r="AZ711" s="319" t="s">
        <v>190</v>
      </c>
      <c r="BA711" s="319" t="s">
        <v>190</v>
      </c>
      <c r="BB711" s="319" t="s">
        <v>190</v>
      </c>
      <c r="BC711" s="319" t="s">
        <v>190</v>
      </c>
      <c r="BD711" s="319" t="s">
        <v>190</v>
      </c>
      <c r="BE711" s="319" t="s">
        <v>190</v>
      </c>
      <c r="BF711" s="319" t="s">
        <v>428</v>
      </c>
      <c r="BG711" s="319" t="s">
        <v>428</v>
      </c>
      <c r="BH711" s="319" t="s">
        <v>190</v>
      </c>
      <c r="BI711" s="319" t="s">
        <v>190</v>
      </c>
      <c r="BJ711" s="319" t="s">
        <v>190</v>
      </c>
      <c r="BK711" s="319" t="s">
        <v>190</v>
      </c>
      <c r="BL711" s="319" t="s">
        <v>190</v>
      </c>
      <c r="BM711" s="319" t="s">
        <v>190</v>
      </c>
      <c r="BN711" s="319" t="s">
        <v>190</v>
      </c>
      <c r="BO711" s="319" t="s">
        <v>190</v>
      </c>
      <c r="BP711" s="319" t="s">
        <v>190</v>
      </c>
      <c r="BQ711" s="319" t="s">
        <v>190</v>
      </c>
      <c r="BR711" s="319" t="s">
        <v>190</v>
      </c>
      <c r="BS711" s="319" t="s">
        <v>190</v>
      </c>
      <c r="BT711" s="319" t="s">
        <v>190</v>
      </c>
      <c r="BU711" s="319" t="s">
        <v>190</v>
      </c>
      <c r="BV711" s="319" t="s">
        <v>190</v>
      </c>
      <c r="BW711" s="319" t="s">
        <v>190</v>
      </c>
      <c r="BX711" s="319" t="s">
        <v>190</v>
      </c>
      <c r="BY711" s="319" t="s">
        <v>190</v>
      </c>
      <c r="BZ711" s="319" t="s">
        <v>190</v>
      </c>
      <c r="CA711" s="319" t="s">
        <v>190</v>
      </c>
      <c r="CB711" s="319" t="s">
        <v>190</v>
      </c>
      <c r="CC711" s="319" t="s">
        <v>190</v>
      </c>
      <c r="CD711" s="319" t="s">
        <v>190</v>
      </c>
      <c r="CE711" s="319" t="s">
        <v>190</v>
      </c>
      <c r="CF711" s="319" t="s">
        <v>190</v>
      </c>
      <c r="CG711" s="319" t="s">
        <v>190</v>
      </c>
      <c r="CH711" s="319" t="s">
        <v>190</v>
      </c>
      <c r="CI711" s="319" t="s">
        <v>190</v>
      </c>
      <c r="CJ711" s="319" t="s">
        <v>190</v>
      </c>
      <c r="CK711" s="319" t="s">
        <v>190</v>
      </c>
      <c r="CL711" s="319" t="s">
        <v>190</v>
      </c>
      <c r="CM711" s="319" t="s">
        <v>190</v>
      </c>
      <c r="CN711" s="319" t="s">
        <v>190</v>
      </c>
      <c r="CO711" s="319" t="s">
        <v>428</v>
      </c>
      <c r="CP711" s="319" t="s">
        <v>428</v>
      </c>
      <c r="CQ711" s="319" t="s">
        <v>190</v>
      </c>
      <c r="CR711" s="319" t="s">
        <v>190</v>
      </c>
      <c r="CS711" s="319" t="s">
        <v>190</v>
      </c>
      <c r="CT711" s="319" t="s">
        <v>173</v>
      </c>
      <c r="CU711" s="319" t="s">
        <v>190</v>
      </c>
      <c r="CV711" s="319" t="s">
        <v>190</v>
      </c>
      <c r="CW711" s="319" t="s">
        <v>190</v>
      </c>
      <c r="CX711" s="319" t="s">
        <v>190</v>
      </c>
      <c r="CY711" s="319" t="s">
        <v>190</v>
      </c>
      <c r="CZ711" s="319" t="s">
        <v>190</v>
      </c>
      <c r="DA711" s="319" t="s">
        <v>190</v>
      </c>
      <c r="DB711" s="319" t="s">
        <v>190</v>
      </c>
      <c r="DC711" s="319" t="s">
        <v>190</v>
      </c>
      <c r="DD711" s="319" t="s">
        <v>190</v>
      </c>
      <c r="DE711" s="319" t="s">
        <v>190</v>
      </c>
      <c r="DF711" s="319" t="s">
        <v>190</v>
      </c>
      <c r="DG711" s="319" t="s">
        <v>190</v>
      </c>
      <c r="DH711" s="319" t="s">
        <v>190</v>
      </c>
      <c r="DI711" s="319" t="s">
        <v>190</v>
      </c>
      <c r="DJ711" s="319" t="s">
        <v>190</v>
      </c>
      <c r="DK711" s="319" t="s">
        <v>190</v>
      </c>
      <c r="DL711" s="319" t="s">
        <v>190</v>
      </c>
      <c r="DM711" s="319" t="s">
        <v>190</v>
      </c>
      <c r="DN711" s="319" t="s">
        <v>428</v>
      </c>
      <c r="DO711" s="319" t="s">
        <v>190</v>
      </c>
      <c r="DP711" s="319" t="s">
        <v>190</v>
      </c>
      <c r="DQ711" s="319" t="s">
        <v>190</v>
      </c>
      <c r="DR711" s="319" t="s">
        <v>190</v>
      </c>
      <c r="DS711" s="319" t="s">
        <v>190</v>
      </c>
      <c r="DT711" s="319" t="s">
        <v>190</v>
      </c>
      <c r="DU711" s="319" t="s">
        <v>190</v>
      </c>
      <c r="DV711" s="319" t="s">
        <v>173</v>
      </c>
      <c r="DW711" s="319" t="s">
        <v>190</v>
      </c>
      <c r="DX711" s="319" t="s">
        <v>190</v>
      </c>
      <c r="DY711" s="319" t="s">
        <v>190</v>
      </c>
      <c r="DZ711" s="319" t="s">
        <v>190</v>
      </c>
      <c r="EA711" s="319" t="s">
        <v>190</v>
      </c>
      <c r="EB711" s="319" t="s">
        <v>190</v>
      </c>
      <c r="EC711" s="319" t="s">
        <v>428</v>
      </c>
      <c r="ED711" s="319" t="s">
        <v>190</v>
      </c>
      <c r="EE711" s="319" t="s">
        <v>190</v>
      </c>
      <c r="EF711" s="319" t="s">
        <v>190</v>
      </c>
      <c r="EG711" s="319" t="s">
        <v>190</v>
      </c>
      <c r="EH711" s="319" t="s">
        <v>190</v>
      </c>
      <c r="EI711" s="319" t="s">
        <v>190</v>
      </c>
      <c r="EJ711" s="319" t="s">
        <v>190</v>
      </c>
      <c r="EK711" s="319" t="s">
        <v>190</v>
      </c>
      <c r="EL711" s="319" t="s">
        <v>190</v>
      </c>
      <c r="EM711" s="319" t="s">
        <v>190</v>
      </c>
      <c r="EN711" s="319" t="s">
        <v>190</v>
      </c>
      <c r="EO711" s="319" t="s">
        <v>190</v>
      </c>
      <c r="EP711" s="319" t="s">
        <v>190</v>
      </c>
      <c r="EQ711" s="319" t="s">
        <v>190</v>
      </c>
      <c r="ER711" s="319" t="s">
        <v>190</v>
      </c>
      <c r="ES711" s="319" t="s">
        <v>190</v>
      </c>
      <c r="ET711" s="319" t="s">
        <v>190</v>
      </c>
      <c r="EU711" s="319" t="s">
        <v>190</v>
      </c>
      <c r="EV711" s="319" t="s">
        <v>190</v>
      </c>
      <c r="EW711" s="319" t="s">
        <v>190</v>
      </c>
      <c r="EX711" s="319" t="s">
        <v>190</v>
      </c>
      <c r="EY711" s="319" t="s">
        <v>190</v>
      </c>
      <c r="EZ711" s="319" t="s">
        <v>190</v>
      </c>
      <c r="FA711" s="319" t="s">
        <v>190</v>
      </c>
      <c r="FB711" s="319" t="s">
        <v>190</v>
      </c>
      <c r="FC711" s="319" t="s">
        <v>190</v>
      </c>
      <c r="FD711" s="319" t="s">
        <v>190</v>
      </c>
      <c r="FE711" s="319" t="s">
        <v>190</v>
      </c>
      <c r="FF711" s="319" t="s">
        <v>190</v>
      </c>
      <c r="FG711" s="319" t="s">
        <v>190</v>
      </c>
      <c r="FH711" s="319" t="s">
        <v>190</v>
      </c>
      <c r="FI711" s="319" t="s">
        <v>190</v>
      </c>
      <c r="FJ711" s="319" t="s">
        <v>190</v>
      </c>
      <c r="FK711" s="319" t="s">
        <v>190</v>
      </c>
      <c r="FL711" s="319" t="s">
        <v>190</v>
      </c>
      <c r="FM711" s="319" t="s">
        <v>190</v>
      </c>
      <c r="FN711" s="319" t="s">
        <v>190</v>
      </c>
      <c r="FO711" s="319" t="s">
        <v>190</v>
      </c>
      <c r="FP711" s="319" t="s">
        <v>190</v>
      </c>
      <c r="FQ711" s="319" t="s">
        <v>190</v>
      </c>
      <c r="FR711" s="319" t="s">
        <v>190</v>
      </c>
      <c r="FS711" s="319" t="s">
        <v>190</v>
      </c>
      <c r="FT711" s="319" t="s">
        <v>190</v>
      </c>
      <c r="FU711" s="319" t="s">
        <v>190</v>
      </c>
      <c r="FV711" s="319" t="s">
        <v>190</v>
      </c>
      <c r="FW711" s="319" t="s">
        <v>190</v>
      </c>
      <c r="FX711" s="319" t="s">
        <v>190</v>
      </c>
      <c r="FY711" s="319" t="s">
        <v>190</v>
      </c>
      <c r="FZ711" s="319" t="s">
        <v>190</v>
      </c>
      <c r="GA711" s="319" t="s">
        <v>190</v>
      </c>
      <c r="GB711" s="319" t="s">
        <v>190</v>
      </c>
      <c r="GC711" s="319" t="s">
        <v>190</v>
      </c>
      <c r="GD711" s="319" t="s">
        <v>190</v>
      </c>
      <c r="GE711" s="319" t="s">
        <v>190</v>
      </c>
      <c r="GF711" s="319" t="s">
        <v>190</v>
      </c>
      <c r="GG711" s="319" t="s">
        <v>190</v>
      </c>
      <c r="GH711" s="319" t="s">
        <v>190</v>
      </c>
      <c r="GI711" s="319" t="s">
        <v>190</v>
      </c>
      <c r="GJ711" s="319" t="s">
        <v>190</v>
      </c>
      <c r="GK711" s="319" t="s">
        <v>428</v>
      </c>
      <c r="GL711" s="319" t="s">
        <v>190</v>
      </c>
      <c r="GM711" s="319" t="s">
        <v>190</v>
      </c>
      <c r="GN711" s="319" t="s">
        <v>190</v>
      </c>
      <c r="GO711" s="319" t="s">
        <v>190</v>
      </c>
      <c r="GP711" s="319" t="s">
        <v>190</v>
      </c>
      <c r="GQ711" s="319" t="s">
        <v>190</v>
      </c>
      <c r="GR711" s="319" t="s">
        <v>190</v>
      </c>
      <c r="GS711" s="319" t="s">
        <v>190</v>
      </c>
      <c r="GT711" s="319" t="s">
        <v>190</v>
      </c>
      <c r="GU711" s="319" t="s">
        <v>190</v>
      </c>
      <c r="GV711" s="319" t="s">
        <v>190</v>
      </c>
      <c r="GW711" s="319" t="s">
        <v>190</v>
      </c>
      <c r="GX711" s="319" t="s">
        <v>190</v>
      </c>
      <c r="GY711" s="319" t="s">
        <v>190</v>
      </c>
      <c r="GZ711" s="319" t="s">
        <v>190</v>
      </c>
      <c r="HA711" s="319" t="s">
        <v>190</v>
      </c>
      <c r="HB711" s="319" t="s">
        <v>190</v>
      </c>
      <c r="HC711" s="319" t="s">
        <v>190</v>
      </c>
      <c r="HD711" s="319" t="s">
        <v>190</v>
      </c>
      <c r="HE711" s="319" t="s">
        <v>190</v>
      </c>
      <c r="HF711" s="319" t="s">
        <v>190</v>
      </c>
      <c r="HG711" s="319" t="s">
        <v>190</v>
      </c>
      <c r="HH711" s="319" t="s">
        <v>173</v>
      </c>
      <c r="HI711" s="319" t="s">
        <v>190</v>
      </c>
      <c r="HJ711" s="319" t="s">
        <v>190</v>
      </c>
      <c r="HK711" s="319" t="s">
        <v>190</v>
      </c>
      <c r="HL711" s="319" t="s">
        <v>190</v>
      </c>
      <c r="HM711" s="319" t="s">
        <v>190</v>
      </c>
      <c r="HN711" s="319" t="s">
        <v>190</v>
      </c>
      <c r="HO711" s="319" t="s">
        <v>190</v>
      </c>
      <c r="HP711" s="319" t="s">
        <v>190</v>
      </c>
      <c r="HQ711" s="319" t="s">
        <v>190</v>
      </c>
      <c r="HR711" s="319" t="s">
        <v>190</v>
      </c>
      <c r="HS711" s="319" t="s">
        <v>190</v>
      </c>
      <c r="HT711" s="319" t="s">
        <v>190</v>
      </c>
      <c r="HU711" s="319" t="s">
        <v>190</v>
      </c>
      <c r="HV711" s="319" t="s">
        <v>190</v>
      </c>
      <c r="HW711" s="319" t="s">
        <v>190</v>
      </c>
      <c r="HX711" s="319" t="s">
        <v>190</v>
      </c>
      <c r="HY711" s="319" t="s">
        <v>190</v>
      </c>
      <c r="HZ711" s="319" t="s">
        <v>190</v>
      </c>
      <c r="IA711" s="319" t="s">
        <v>190</v>
      </c>
      <c r="IB711" s="319" t="s">
        <v>190</v>
      </c>
      <c r="IC711" s="319" t="s">
        <v>190</v>
      </c>
      <c r="ID711" s="319" t="s">
        <v>190</v>
      </c>
      <c r="IE711" s="319" t="s">
        <v>190</v>
      </c>
      <c r="IF711" s="319" t="s">
        <v>190</v>
      </c>
      <c r="IG711" s="319" t="s">
        <v>190</v>
      </c>
      <c r="IH711" s="319" t="s">
        <v>190</v>
      </c>
      <c r="II711" s="319" t="s">
        <v>190</v>
      </c>
      <c r="IJ711" s="319">
        <v>10020811</v>
      </c>
      <c r="IK711" s="321">
        <v>42633</v>
      </c>
      <c r="IL711" s="321">
        <v>42635</v>
      </c>
      <c r="IM711" s="321">
        <v>42663</v>
      </c>
      <c r="IN711" s="319">
        <v>2</v>
      </c>
      <c r="IO711" s="319" t="s">
        <v>173</v>
      </c>
      <c r="IP711" s="319" t="s">
        <v>173</v>
      </c>
      <c r="IQ711" s="321" t="s">
        <v>173</v>
      </c>
      <c r="IR711" s="320" t="s">
        <v>173</v>
      </c>
      <c r="IS711" s="322" t="s">
        <v>173</v>
      </c>
      <c r="IT711" s="319" t="s">
        <v>173</v>
      </c>
    </row>
    <row r="712" spans="1:254" s="271" customFormat="1" x14ac:dyDescent="0.25">
      <c r="A712" s="318" t="str">
        <f>HYPERLINK("http://www.ofsted.gov.uk/inspection-reports/find-inspection-report/provider/ELS/138873 ","Ofsted School Webpage")</f>
        <v>Ofsted School Webpage</v>
      </c>
      <c r="B712" s="319">
        <v>138873</v>
      </c>
      <c r="C712" s="319">
        <v>9316011</v>
      </c>
      <c r="D712" s="319" t="s">
        <v>2186</v>
      </c>
      <c r="E712" s="319" t="s">
        <v>167</v>
      </c>
      <c r="F712" s="319" t="s">
        <v>81</v>
      </c>
      <c r="G712" s="319" t="s">
        <v>81</v>
      </c>
      <c r="H712" s="319" t="s">
        <v>81</v>
      </c>
      <c r="I712" s="319" t="s">
        <v>78</v>
      </c>
      <c r="J712" s="319" t="s">
        <v>424</v>
      </c>
      <c r="K712" s="319" t="s">
        <v>514</v>
      </c>
      <c r="L712" s="319" t="s">
        <v>514</v>
      </c>
      <c r="M712" s="319" t="s">
        <v>1016</v>
      </c>
      <c r="N712" s="319" t="s">
        <v>3446</v>
      </c>
      <c r="O712" s="319" t="s">
        <v>2187</v>
      </c>
      <c r="P712" s="319">
        <v>15</v>
      </c>
      <c r="Q712" s="319" t="s">
        <v>2766</v>
      </c>
      <c r="R712" s="320">
        <v>10056678</v>
      </c>
      <c r="S712" s="321">
        <v>43599</v>
      </c>
      <c r="T712" s="321">
        <v>43601</v>
      </c>
      <c r="U712" s="321">
        <v>43640</v>
      </c>
      <c r="V712" s="319" t="s">
        <v>425</v>
      </c>
      <c r="W712" s="319" t="s">
        <v>2767</v>
      </c>
      <c r="X712" s="319">
        <v>4</v>
      </c>
      <c r="Y712" s="319" t="s">
        <v>173</v>
      </c>
      <c r="Z712" s="319" t="s">
        <v>173</v>
      </c>
      <c r="AA712" s="319" t="s">
        <v>173</v>
      </c>
      <c r="AB712" s="319">
        <v>4</v>
      </c>
      <c r="AC712" s="319" t="s">
        <v>170</v>
      </c>
      <c r="AD712" s="319" t="s">
        <v>173</v>
      </c>
      <c r="AE712" s="319" t="s">
        <v>173</v>
      </c>
      <c r="AF712" s="319" t="s">
        <v>427</v>
      </c>
      <c r="AG712" s="319" t="s">
        <v>172</v>
      </c>
      <c r="AH712" s="319" t="s">
        <v>190</v>
      </c>
      <c r="AI712" s="319" t="s">
        <v>190</v>
      </c>
      <c r="AJ712" s="319" t="s">
        <v>479</v>
      </c>
      <c r="AK712" s="319" t="s">
        <v>190</v>
      </c>
      <c r="AL712" s="319" t="s">
        <v>190</v>
      </c>
      <c r="AM712" s="319" t="s">
        <v>190</v>
      </c>
      <c r="AN712" s="319" t="s">
        <v>190</v>
      </c>
      <c r="AO712" s="319" t="s">
        <v>479</v>
      </c>
      <c r="AP712" s="319" t="s">
        <v>190</v>
      </c>
      <c r="AQ712" s="319" t="s">
        <v>190</v>
      </c>
      <c r="AR712" s="319" t="s">
        <v>190</v>
      </c>
      <c r="AS712" s="319" t="s">
        <v>190</v>
      </c>
      <c r="AT712" s="319" t="s">
        <v>190</v>
      </c>
      <c r="AU712" s="319" t="s">
        <v>190</v>
      </c>
      <c r="AV712" s="319" t="s">
        <v>190</v>
      </c>
      <c r="AW712" s="319" t="s">
        <v>190</v>
      </c>
      <c r="AX712" s="319" t="s">
        <v>190</v>
      </c>
      <c r="AY712" s="319" t="s">
        <v>190</v>
      </c>
      <c r="AZ712" s="319" t="s">
        <v>190</v>
      </c>
      <c r="BA712" s="319" t="s">
        <v>190</v>
      </c>
      <c r="BB712" s="319" t="s">
        <v>428</v>
      </c>
      <c r="BC712" s="319" t="s">
        <v>428</v>
      </c>
      <c r="BD712" s="319" t="s">
        <v>428</v>
      </c>
      <c r="BE712" s="319" t="s">
        <v>428</v>
      </c>
      <c r="BF712" s="319" t="s">
        <v>428</v>
      </c>
      <c r="BG712" s="319" t="s">
        <v>428</v>
      </c>
      <c r="BH712" s="319" t="s">
        <v>190</v>
      </c>
      <c r="BI712" s="319" t="s">
        <v>190</v>
      </c>
      <c r="BJ712" s="319" t="s">
        <v>190</v>
      </c>
      <c r="BK712" s="319" t="s">
        <v>190</v>
      </c>
      <c r="BL712" s="319" t="s">
        <v>190</v>
      </c>
      <c r="BM712" s="319" t="s">
        <v>190</v>
      </c>
      <c r="BN712" s="319" t="s">
        <v>190</v>
      </c>
      <c r="BO712" s="319" t="s">
        <v>190</v>
      </c>
      <c r="BP712" s="319" t="s">
        <v>190</v>
      </c>
      <c r="BQ712" s="319" t="s">
        <v>190</v>
      </c>
      <c r="BR712" s="319" t="s">
        <v>190</v>
      </c>
      <c r="BS712" s="319" t="s">
        <v>190</v>
      </c>
      <c r="BT712" s="319" t="s">
        <v>190</v>
      </c>
      <c r="BU712" s="319" t="s">
        <v>190</v>
      </c>
      <c r="BV712" s="319" t="s">
        <v>190</v>
      </c>
      <c r="BW712" s="319" t="s">
        <v>190</v>
      </c>
      <c r="BX712" s="319" t="s">
        <v>190</v>
      </c>
      <c r="BY712" s="319" t="s">
        <v>190</v>
      </c>
      <c r="BZ712" s="319" t="s">
        <v>190</v>
      </c>
      <c r="CA712" s="319" t="s">
        <v>190</v>
      </c>
      <c r="CB712" s="319" t="s">
        <v>190</v>
      </c>
      <c r="CC712" s="319" t="s">
        <v>190</v>
      </c>
      <c r="CD712" s="319" t="s">
        <v>190</v>
      </c>
      <c r="CE712" s="319" t="s">
        <v>190</v>
      </c>
      <c r="CF712" s="319" t="s">
        <v>190</v>
      </c>
      <c r="CG712" s="319" t="s">
        <v>190</v>
      </c>
      <c r="CH712" s="319" t="s">
        <v>190</v>
      </c>
      <c r="CI712" s="319" t="s">
        <v>190</v>
      </c>
      <c r="CJ712" s="319" t="s">
        <v>190</v>
      </c>
      <c r="CK712" s="319" t="s">
        <v>191</v>
      </c>
      <c r="CL712" s="319" t="s">
        <v>191</v>
      </c>
      <c r="CM712" s="319" t="s">
        <v>191</v>
      </c>
      <c r="CN712" s="319" t="s">
        <v>428</v>
      </c>
      <c r="CO712" s="319" t="s">
        <v>428</v>
      </c>
      <c r="CP712" s="319" t="s">
        <v>428</v>
      </c>
      <c r="CQ712" s="319" t="s">
        <v>190</v>
      </c>
      <c r="CR712" s="319" t="s">
        <v>190</v>
      </c>
      <c r="CS712" s="319" t="s">
        <v>190</v>
      </c>
      <c r="CT712" s="319" t="s">
        <v>190</v>
      </c>
      <c r="CU712" s="319" t="s">
        <v>190</v>
      </c>
      <c r="CV712" s="319" t="s">
        <v>190</v>
      </c>
      <c r="CW712" s="319" t="s">
        <v>190</v>
      </c>
      <c r="CX712" s="319" t="s">
        <v>190</v>
      </c>
      <c r="CY712" s="319" t="s">
        <v>190</v>
      </c>
      <c r="CZ712" s="319" t="s">
        <v>191</v>
      </c>
      <c r="DA712" s="319" t="s">
        <v>191</v>
      </c>
      <c r="DB712" s="319" t="s">
        <v>191</v>
      </c>
      <c r="DC712" s="319" t="s">
        <v>191</v>
      </c>
      <c r="DD712" s="319" t="s">
        <v>190</v>
      </c>
      <c r="DE712" s="319" t="s">
        <v>190</v>
      </c>
      <c r="DF712" s="319" t="s">
        <v>190</v>
      </c>
      <c r="DG712" s="319" t="s">
        <v>190</v>
      </c>
      <c r="DH712" s="319" t="s">
        <v>190</v>
      </c>
      <c r="DI712" s="319" t="s">
        <v>190</v>
      </c>
      <c r="DJ712" s="319" t="s">
        <v>190</v>
      </c>
      <c r="DK712" s="319" t="s">
        <v>190</v>
      </c>
      <c r="DL712" s="319" t="s">
        <v>190</v>
      </c>
      <c r="DM712" s="319" t="s">
        <v>428</v>
      </c>
      <c r="DN712" s="319" t="s">
        <v>428</v>
      </c>
      <c r="DO712" s="319" t="s">
        <v>190</v>
      </c>
      <c r="DP712" s="319" t="s">
        <v>428</v>
      </c>
      <c r="DQ712" s="319" t="s">
        <v>428</v>
      </c>
      <c r="DR712" s="319" t="s">
        <v>428</v>
      </c>
      <c r="DS712" s="319" t="s">
        <v>428</v>
      </c>
      <c r="DT712" s="319" t="s">
        <v>428</v>
      </c>
      <c r="DU712" s="319" t="s">
        <v>428</v>
      </c>
      <c r="DV712" s="319" t="s">
        <v>173</v>
      </c>
      <c r="DW712" s="319" t="s">
        <v>428</v>
      </c>
      <c r="DX712" s="319" t="s">
        <v>428</v>
      </c>
      <c r="DY712" s="319" t="s">
        <v>428</v>
      </c>
      <c r="DZ712" s="319" t="s">
        <v>428</v>
      </c>
      <c r="EA712" s="319" t="s">
        <v>428</v>
      </c>
      <c r="EB712" s="319" t="s">
        <v>428</v>
      </c>
      <c r="EC712" s="319" t="s">
        <v>428</v>
      </c>
      <c r="ED712" s="319" t="s">
        <v>428</v>
      </c>
      <c r="EE712" s="319" t="s">
        <v>190</v>
      </c>
      <c r="EF712" s="319" t="s">
        <v>190</v>
      </c>
      <c r="EG712" s="319" t="s">
        <v>190</v>
      </c>
      <c r="EH712" s="319" t="s">
        <v>190</v>
      </c>
      <c r="EI712" s="319" t="s">
        <v>190</v>
      </c>
      <c r="EJ712" s="319" t="s">
        <v>190</v>
      </c>
      <c r="EK712" s="319" t="s">
        <v>190</v>
      </c>
      <c r="EL712" s="319" t="s">
        <v>190</v>
      </c>
      <c r="EM712" s="319" t="s">
        <v>190</v>
      </c>
      <c r="EN712" s="319" t="s">
        <v>190</v>
      </c>
      <c r="EO712" s="319" t="s">
        <v>190</v>
      </c>
      <c r="EP712" s="319" t="s">
        <v>190</v>
      </c>
      <c r="EQ712" s="319" t="s">
        <v>190</v>
      </c>
      <c r="ER712" s="319" t="s">
        <v>190</v>
      </c>
      <c r="ES712" s="319" t="s">
        <v>190</v>
      </c>
      <c r="ET712" s="319" t="s">
        <v>190</v>
      </c>
      <c r="EU712" s="319" t="s">
        <v>190</v>
      </c>
      <c r="EV712" s="319" t="s">
        <v>190</v>
      </c>
      <c r="EW712" s="319" t="s">
        <v>190</v>
      </c>
      <c r="EX712" s="319" t="s">
        <v>190</v>
      </c>
      <c r="EY712" s="319" t="s">
        <v>190</v>
      </c>
      <c r="EZ712" s="319" t="s">
        <v>190</v>
      </c>
      <c r="FA712" s="319" t="s">
        <v>190</v>
      </c>
      <c r="FB712" s="319" t="s">
        <v>428</v>
      </c>
      <c r="FC712" s="319" t="s">
        <v>428</v>
      </c>
      <c r="FD712" s="319" t="s">
        <v>428</v>
      </c>
      <c r="FE712" s="319" t="s">
        <v>428</v>
      </c>
      <c r="FF712" s="319" t="s">
        <v>428</v>
      </c>
      <c r="FG712" s="319" t="s">
        <v>428</v>
      </c>
      <c r="FH712" s="319" t="s">
        <v>190</v>
      </c>
      <c r="FI712" s="319" t="s">
        <v>190</v>
      </c>
      <c r="FJ712" s="319" t="s">
        <v>190</v>
      </c>
      <c r="FK712" s="319" t="s">
        <v>190</v>
      </c>
      <c r="FL712" s="319" t="s">
        <v>190</v>
      </c>
      <c r="FM712" s="319" t="s">
        <v>190</v>
      </c>
      <c r="FN712" s="319" t="s">
        <v>190</v>
      </c>
      <c r="FO712" s="319" t="s">
        <v>428</v>
      </c>
      <c r="FP712" s="319" t="s">
        <v>190</v>
      </c>
      <c r="FQ712" s="319" t="s">
        <v>190</v>
      </c>
      <c r="FR712" s="319" t="s">
        <v>190</v>
      </c>
      <c r="FS712" s="319" t="s">
        <v>428</v>
      </c>
      <c r="FT712" s="319" t="s">
        <v>190</v>
      </c>
      <c r="FU712" s="319" t="s">
        <v>190</v>
      </c>
      <c r="FV712" s="319" t="s">
        <v>190</v>
      </c>
      <c r="FW712" s="319" t="s">
        <v>190</v>
      </c>
      <c r="FX712" s="319" t="s">
        <v>190</v>
      </c>
      <c r="FY712" s="319" t="s">
        <v>190</v>
      </c>
      <c r="FZ712" s="319" t="s">
        <v>190</v>
      </c>
      <c r="GA712" s="319" t="s">
        <v>190</v>
      </c>
      <c r="GB712" s="319" t="s">
        <v>190</v>
      </c>
      <c r="GC712" s="319" t="s">
        <v>190</v>
      </c>
      <c r="GD712" s="319" t="s">
        <v>190</v>
      </c>
      <c r="GE712" s="319" t="s">
        <v>190</v>
      </c>
      <c r="GF712" s="319" t="s">
        <v>190</v>
      </c>
      <c r="GG712" s="319" t="s">
        <v>190</v>
      </c>
      <c r="GH712" s="319" t="s">
        <v>190</v>
      </c>
      <c r="GI712" s="319" t="s">
        <v>190</v>
      </c>
      <c r="GJ712" s="319" t="s">
        <v>190</v>
      </c>
      <c r="GK712" s="319" t="s">
        <v>428</v>
      </c>
      <c r="GL712" s="319" t="s">
        <v>190</v>
      </c>
      <c r="GM712" s="319" t="s">
        <v>190</v>
      </c>
      <c r="GN712" s="319" t="s">
        <v>190</v>
      </c>
      <c r="GO712" s="319" t="s">
        <v>190</v>
      </c>
      <c r="GP712" s="319" t="s">
        <v>190</v>
      </c>
      <c r="GQ712" s="319" t="s">
        <v>428</v>
      </c>
      <c r="GR712" s="319" t="s">
        <v>190</v>
      </c>
      <c r="GS712" s="319" t="s">
        <v>190</v>
      </c>
      <c r="GT712" s="319" t="s">
        <v>428</v>
      </c>
      <c r="GU712" s="319" t="s">
        <v>428</v>
      </c>
      <c r="GV712" s="319" t="s">
        <v>190</v>
      </c>
      <c r="GW712" s="319" t="s">
        <v>190</v>
      </c>
      <c r="GX712" s="319" t="s">
        <v>190</v>
      </c>
      <c r="GY712" s="319" t="s">
        <v>190</v>
      </c>
      <c r="GZ712" s="319" t="s">
        <v>428</v>
      </c>
      <c r="HA712" s="319" t="s">
        <v>190</v>
      </c>
      <c r="HB712" s="319" t="s">
        <v>428</v>
      </c>
      <c r="HC712" s="319" t="s">
        <v>190</v>
      </c>
      <c r="HD712" s="319" t="s">
        <v>190</v>
      </c>
      <c r="HE712" s="319" t="s">
        <v>190</v>
      </c>
      <c r="HF712" s="319" t="s">
        <v>190</v>
      </c>
      <c r="HG712" s="319" t="s">
        <v>190</v>
      </c>
      <c r="HH712" s="319" t="s">
        <v>190</v>
      </c>
      <c r="HI712" s="319" t="s">
        <v>190</v>
      </c>
      <c r="HJ712" s="319" t="s">
        <v>190</v>
      </c>
      <c r="HK712" s="319" t="s">
        <v>190</v>
      </c>
      <c r="HL712" s="319" t="s">
        <v>428</v>
      </c>
      <c r="HM712" s="319" t="s">
        <v>428</v>
      </c>
      <c r="HN712" s="319" t="s">
        <v>428</v>
      </c>
      <c r="HO712" s="319" t="s">
        <v>428</v>
      </c>
      <c r="HP712" s="319" t="s">
        <v>190</v>
      </c>
      <c r="HQ712" s="319" t="s">
        <v>190</v>
      </c>
      <c r="HR712" s="319" t="s">
        <v>190</v>
      </c>
      <c r="HS712" s="319" t="s">
        <v>190</v>
      </c>
      <c r="HT712" s="319" t="s">
        <v>190</v>
      </c>
      <c r="HU712" s="319" t="s">
        <v>190</v>
      </c>
      <c r="HV712" s="319" t="s">
        <v>190</v>
      </c>
      <c r="HW712" s="319" t="s">
        <v>190</v>
      </c>
      <c r="HX712" s="319" t="s">
        <v>190</v>
      </c>
      <c r="HY712" s="319" t="s">
        <v>190</v>
      </c>
      <c r="HZ712" s="319" t="s">
        <v>190</v>
      </c>
      <c r="IA712" s="319" t="s">
        <v>190</v>
      </c>
      <c r="IB712" s="319" t="s">
        <v>190</v>
      </c>
      <c r="IC712" s="319" t="s">
        <v>190</v>
      </c>
      <c r="ID712" s="319" t="s">
        <v>190</v>
      </c>
      <c r="IE712" s="319" t="s">
        <v>190</v>
      </c>
      <c r="IF712" s="319" t="s">
        <v>191</v>
      </c>
      <c r="IG712" s="319" t="s">
        <v>191</v>
      </c>
      <c r="IH712" s="319" t="s">
        <v>191</v>
      </c>
      <c r="II712" s="319" t="s">
        <v>191</v>
      </c>
      <c r="IJ712" s="319">
        <v>10025991</v>
      </c>
      <c r="IK712" s="321">
        <v>42871</v>
      </c>
      <c r="IL712" s="321">
        <v>42873</v>
      </c>
      <c r="IM712" s="321">
        <v>42902</v>
      </c>
      <c r="IN712" s="319">
        <v>3</v>
      </c>
      <c r="IO712" s="319" t="s">
        <v>173</v>
      </c>
      <c r="IP712" s="319" t="s">
        <v>173</v>
      </c>
      <c r="IQ712" s="321" t="s">
        <v>173</v>
      </c>
      <c r="IR712" s="320" t="s">
        <v>173</v>
      </c>
      <c r="IS712" s="322" t="s">
        <v>173</v>
      </c>
      <c r="IT712" s="319" t="s">
        <v>173</v>
      </c>
    </row>
    <row r="713" spans="1:254" s="271" customFormat="1" x14ac:dyDescent="0.25">
      <c r="A713" s="318" t="str">
        <f>HYPERLINK("http://www.ofsted.gov.uk/inspection-reports/find-inspection-report/provider/ELS/138875 ","Ofsted School Webpage")</f>
        <v>Ofsted School Webpage</v>
      </c>
      <c r="B713" s="319">
        <v>138875</v>
      </c>
      <c r="C713" s="319">
        <v>8936030</v>
      </c>
      <c r="D713" s="319" t="s">
        <v>1066</v>
      </c>
      <c r="E713" s="319" t="s">
        <v>168</v>
      </c>
      <c r="F713" s="319" t="s">
        <v>81</v>
      </c>
      <c r="G713" s="319" t="s">
        <v>81</v>
      </c>
      <c r="H713" s="319" t="s">
        <v>81</v>
      </c>
      <c r="I713" s="319" t="s">
        <v>78</v>
      </c>
      <c r="J713" s="319" t="s">
        <v>424</v>
      </c>
      <c r="K713" s="319" t="s">
        <v>437</v>
      </c>
      <c r="L713" s="319" t="s">
        <v>437</v>
      </c>
      <c r="M713" s="319" t="s">
        <v>587</v>
      </c>
      <c r="N713" s="319" t="s">
        <v>3027</v>
      </c>
      <c r="O713" s="319" t="s">
        <v>1067</v>
      </c>
      <c r="P713" s="319">
        <v>4</v>
      </c>
      <c r="Q713" s="319" t="s">
        <v>2776</v>
      </c>
      <c r="R713" s="320">
        <v>10103981</v>
      </c>
      <c r="S713" s="321">
        <v>43746</v>
      </c>
      <c r="T713" s="321">
        <v>43748</v>
      </c>
      <c r="U713" s="321">
        <v>43793</v>
      </c>
      <c r="V713" s="319" t="s">
        <v>425</v>
      </c>
      <c r="W713" s="319" t="s">
        <v>2767</v>
      </c>
      <c r="X713" s="319">
        <v>2</v>
      </c>
      <c r="Y713" s="319">
        <v>2</v>
      </c>
      <c r="Z713" s="319">
        <v>2</v>
      </c>
      <c r="AA713" s="319">
        <v>2</v>
      </c>
      <c r="AB713" s="319">
        <v>2</v>
      </c>
      <c r="AC713" s="319" t="s">
        <v>169</v>
      </c>
      <c r="AD713" s="319" t="s">
        <v>173</v>
      </c>
      <c r="AE713" s="319">
        <v>0</v>
      </c>
      <c r="AF713" s="319" t="s">
        <v>427</v>
      </c>
      <c r="AG713" s="319" t="s">
        <v>171</v>
      </c>
      <c r="AH713" s="319" t="s">
        <v>190</v>
      </c>
      <c r="AI713" s="319" t="s">
        <v>190</v>
      </c>
      <c r="AJ713" s="319" t="s">
        <v>190</v>
      </c>
      <c r="AK713" s="319" t="s">
        <v>190</v>
      </c>
      <c r="AL713" s="319" t="s">
        <v>190</v>
      </c>
      <c r="AM713" s="319" t="s">
        <v>190</v>
      </c>
      <c r="AN713" s="319" t="s">
        <v>190</v>
      </c>
      <c r="AO713" s="319" t="s">
        <v>190</v>
      </c>
      <c r="AP713" s="319" t="s">
        <v>190</v>
      </c>
      <c r="AQ713" s="319" t="s">
        <v>190</v>
      </c>
      <c r="AR713" s="319" t="s">
        <v>190</v>
      </c>
      <c r="AS713" s="319" t="s">
        <v>190</v>
      </c>
      <c r="AT713" s="319" t="s">
        <v>190</v>
      </c>
      <c r="AU713" s="319" t="s">
        <v>190</v>
      </c>
      <c r="AV713" s="319" t="s">
        <v>190</v>
      </c>
      <c r="AW713" s="319" t="s">
        <v>190</v>
      </c>
      <c r="AX713" s="319" t="s">
        <v>190</v>
      </c>
      <c r="AY713" s="319" t="s">
        <v>190</v>
      </c>
      <c r="AZ713" s="319" t="s">
        <v>190</v>
      </c>
      <c r="BA713" s="319" t="s">
        <v>190</v>
      </c>
      <c r="BB713" s="319" t="s">
        <v>190</v>
      </c>
      <c r="BC713" s="319" t="s">
        <v>190</v>
      </c>
      <c r="BD713" s="319" t="s">
        <v>190</v>
      </c>
      <c r="BE713" s="319" t="s">
        <v>190</v>
      </c>
      <c r="BF713" s="319" t="s">
        <v>428</v>
      </c>
      <c r="BG713" s="319" t="s">
        <v>190</v>
      </c>
      <c r="BH713" s="319" t="s">
        <v>190</v>
      </c>
      <c r="BI713" s="319" t="s">
        <v>190</v>
      </c>
      <c r="BJ713" s="319" t="s">
        <v>190</v>
      </c>
      <c r="BK713" s="319" t="s">
        <v>190</v>
      </c>
      <c r="BL713" s="319" t="s">
        <v>190</v>
      </c>
      <c r="BM713" s="319" t="s">
        <v>190</v>
      </c>
      <c r="BN713" s="319" t="s">
        <v>190</v>
      </c>
      <c r="BO713" s="319" t="s">
        <v>190</v>
      </c>
      <c r="BP713" s="319" t="s">
        <v>190</v>
      </c>
      <c r="BQ713" s="319" t="s">
        <v>190</v>
      </c>
      <c r="BR713" s="319" t="s">
        <v>190</v>
      </c>
      <c r="BS713" s="319" t="s">
        <v>190</v>
      </c>
      <c r="BT713" s="319" t="s">
        <v>190</v>
      </c>
      <c r="BU713" s="319" t="s">
        <v>190</v>
      </c>
      <c r="BV713" s="319" t="s">
        <v>190</v>
      </c>
      <c r="BW713" s="319" t="s">
        <v>190</v>
      </c>
      <c r="BX713" s="319" t="s">
        <v>190</v>
      </c>
      <c r="BY713" s="319" t="s">
        <v>190</v>
      </c>
      <c r="BZ713" s="319" t="s">
        <v>190</v>
      </c>
      <c r="CA713" s="319" t="s">
        <v>190</v>
      </c>
      <c r="CB713" s="319" t="s">
        <v>190</v>
      </c>
      <c r="CC713" s="319" t="s">
        <v>190</v>
      </c>
      <c r="CD713" s="319" t="s">
        <v>190</v>
      </c>
      <c r="CE713" s="319" t="s">
        <v>190</v>
      </c>
      <c r="CF713" s="319" t="s">
        <v>190</v>
      </c>
      <c r="CG713" s="319" t="s">
        <v>190</v>
      </c>
      <c r="CH713" s="319" t="s">
        <v>190</v>
      </c>
      <c r="CI713" s="319" t="s">
        <v>190</v>
      </c>
      <c r="CJ713" s="319" t="s">
        <v>190</v>
      </c>
      <c r="CK713" s="319" t="s">
        <v>190</v>
      </c>
      <c r="CL713" s="319" t="s">
        <v>190</v>
      </c>
      <c r="CM713" s="319" t="s">
        <v>190</v>
      </c>
      <c r="CN713" s="319" t="s">
        <v>428</v>
      </c>
      <c r="CO713" s="319" t="s">
        <v>428</v>
      </c>
      <c r="CP713" s="319" t="s">
        <v>428</v>
      </c>
      <c r="CQ713" s="319" t="s">
        <v>190</v>
      </c>
      <c r="CR713" s="319" t="s">
        <v>190</v>
      </c>
      <c r="CS713" s="319" t="s">
        <v>190</v>
      </c>
      <c r="CT713" s="319" t="s">
        <v>190</v>
      </c>
      <c r="CU713" s="319" t="s">
        <v>190</v>
      </c>
      <c r="CV713" s="319" t="s">
        <v>190</v>
      </c>
      <c r="CW713" s="319" t="s">
        <v>190</v>
      </c>
      <c r="CX713" s="319" t="s">
        <v>190</v>
      </c>
      <c r="CY713" s="319" t="s">
        <v>190</v>
      </c>
      <c r="CZ713" s="319" t="s">
        <v>190</v>
      </c>
      <c r="DA713" s="319" t="s">
        <v>190</v>
      </c>
      <c r="DB713" s="319" t="s">
        <v>190</v>
      </c>
      <c r="DC713" s="319" t="s">
        <v>190</v>
      </c>
      <c r="DD713" s="319" t="s">
        <v>190</v>
      </c>
      <c r="DE713" s="319" t="s">
        <v>190</v>
      </c>
      <c r="DF713" s="319" t="s">
        <v>190</v>
      </c>
      <c r="DG713" s="319" t="s">
        <v>190</v>
      </c>
      <c r="DH713" s="319" t="s">
        <v>190</v>
      </c>
      <c r="DI713" s="319" t="s">
        <v>190</v>
      </c>
      <c r="DJ713" s="319" t="s">
        <v>190</v>
      </c>
      <c r="DK713" s="319" t="s">
        <v>190</v>
      </c>
      <c r="DL713" s="319" t="s">
        <v>190</v>
      </c>
      <c r="DM713" s="319" t="s">
        <v>190</v>
      </c>
      <c r="DN713" s="319" t="s">
        <v>428</v>
      </c>
      <c r="DO713" s="319" t="s">
        <v>190</v>
      </c>
      <c r="DP713" s="319" t="s">
        <v>190</v>
      </c>
      <c r="DQ713" s="319" t="s">
        <v>190</v>
      </c>
      <c r="DR713" s="319" t="s">
        <v>190</v>
      </c>
      <c r="DS713" s="319" t="s">
        <v>190</v>
      </c>
      <c r="DT713" s="319" t="s">
        <v>190</v>
      </c>
      <c r="DU713" s="319" t="s">
        <v>190</v>
      </c>
      <c r="DV713" s="319" t="s">
        <v>190</v>
      </c>
      <c r="DW713" s="319" t="s">
        <v>190</v>
      </c>
      <c r="DX713" s="319" t="s">
        <v>190</v>
      </c>
      <c r="DY713" s="319" t="s">
        <v>190</v>
      </c>
      <c r="DZ713" s="319" t="s">
        <v>190</v>
      </c>
      <c r="EA713" s="319" t="s">
        <v>190</v>
      </c>
      <c r="EB713" s="319" t="s">
        <v>190</v>
      </c>
      <c r="EC713" s="319" t="s">
        <v>428</v>
      </c>
      <c r="ED713" s="319" t="s">
        <v>190</v>
      </c>
      <c r="EE713" s="319" t="s">
        <v>190</v>
      </c>
      <c r="EF713" s="319" t="s">
        <v>190</v>
      </c>
      <c r="EG713" s="319" t="s">
        <v>190</v>
      </c>
      <c r="EH713" s="319" t="s">
        <v>190</v>
      </c>
      <c r="EI713" s="319" t="s">
        <v>190</v>
      </c>
      <c r="EJ713" s="319" t="s">
        <v>190</v>
      </c>
      <c r="EK713" s="319" t="s">
        <v>190</v>
      </c>
      <c r="EL713" s="319" t="s">
        <v>190</v>
      </c>
      <c r="EM713" s="319" t="s">
        <v>190</v>
      </c>
      <c r="EN713" s="319" t="s">
        <v>190</v>
      </c>
      <c r="EO713" s="319" t="s">
        <v>190</v>
      </c>
      <c r="EP713" s="319" t="s">
        <v>190</v>
      </c>
      <c r="EQ713" s="319" t="s">
        <v>190</v>
      </c>
      <c r="ER713" s="319" t="s">
        <v>190</v>
      </c>
      <c r="ES713" s="319" t="s">
        <v>190</v>
      </c>
      <c r="ET713" s="319" t="s">
        <v>190</v>
      </c>
      <c r="EU713" s="319" t="s">
        <v>190</v>
      </c>
      <c r="EV713" s="319" t="s">
        <v>190</v>
      </c>
      <c r="EW713" s="319" t="s">
        <v>190</v>
      </c>
      <c r="EX713" s="319" t="s">
        <v>190</v>
      </c>
      <c r="EY713" s="319" t="s">
        <v>190</v>
      </c>
      <c r="EZ713" s="319" t="s">
        <v>190</v>
      </c>
      <c r="FA713" s="319" t="s">
        <v>190</v>
      </c>
      <c r="FB713" s="319" t="s">
        <v>190</v>
      </c>
      <c r="FC713" s="319" t="s">
        <v>190</v>
      </c>
      <c r="FD713" s="319" t="s">
        <v>190</v>
      </c>
      <c r="FE713" s="319" t="s">
        <v>190</v>
      </c>
      <c r="FF713" s="319" t="s">
        <v>190</v>
      </c>
      <c r="FG713" s="319" t="s">
        <v>190</v>
      </c>
      <c r="FH713" s="319" t="s">
        <v>190</v>
      </c>
      <c r="FI713" s="319" t="s">
        <v>190</v>
      </c>
      <c r="FJ713" s="319" t="s">
        <v>190</v>
      </c>
      <c r="FK713" s="319" t="s">
        <v>190</v>
      </c>
      <c r="FL713" s="319" t="s">
        <v>190</v>
      </c>
      <c r="FM713" s="319" t="s">
        <v>190</v>
      </c>
      <c r="FN713" s="319" t="s">
        <v>190</v>
      </c>
      <c r="FO713" s="319" t="s">
        <v>190</v>
      </c>
      <c r="FP713" s="319" t="s">
        <v>190</v>
      </c>
      <c r="FQ713" s="319" t="s">
        <v>190</v>
      </c>
      <c r="FR713" s="319" t="s">
        <v>190</v>
      </c>
      <c r="FS713" s="319" t="s">
        <v>190</v>
      </c>
      <c r="FT713" s="319" t="s">
        <v>190</v>
      </c>
      <c r="FU713" s="319" t="s">
        <v>190</v>
      </c>
      <c r="FV713" s="319" t="s">
        <v>190</v>
      </c>
      <c r="FW713" s="319" t="s">
        <v>190</v>
      </c>
      <c r="FX713" s="319" t="s">
        <v>190</v>
      </c>
      <c r="FY713" s="319" t="s">
        <v>190</v>
      </c>
      <c r="FZ713" s="319" t="s">
        <v>190</v>
      </c>
      <c r="GA713" s="319" t="s">
        <v>190</v>
      </c>
      <c r="GB713" s="319" t="s">
        <v>190</v>
      </c>
      <c r="GC713" s="319" t="s">
        <v>190</v>
      </c>
      <c r="GD713" s="319" t="s">
        <v>190</v>
      </c>
      <c r="GE713" s="319" t="s">
        <v>190</v>
      </c>
      <c r="GF713" s="319" t="s">
        <v>190</v>
      </c>
      <c r="GG713" s="319" t="s">
        <v>190</v>
      </c>
      <c r="GH713" s="319" t="s">
        <v>190</v>
      </c>
      <c r="GI713" s="319" t="s">
        <v>190</v>
      </c>
      <c r="GJ713" s="319" t="s">
        <v>190</v>
      </c>
      <c r="GK713" s="319" t="s">
        <v>428</v>
      </c>
      <c r="GL713" s="319" t="s">
        <v>190</v>
      </c>
      <c r="GM713" s="319" t="s">
        <v>190</v>
      </c>
      <c r="GN713" s="319" t="s">
        <v>190</v>
      </c>
      <c r="GO713" s="319" t="s">
        <v>190</v>
      </c>
      <c r="GP713" s="319" t="s">
        <v>190</v>
      </c>
      <c r="GQ713" s="319" t="s">
        <v>190</v>
      </c>
      <c r="GR713" s="319" t="s">
        <v>190</v>
      </c>
      <c r="GS713" s="319" t="s">
        <v>190</v>
      </c>
      <c r="GT713" s="319" t="s">
        <v>190</v>
      </c>
      <c r="GU713" s="319" t="s">
        <v>190</v>
      </c>
      <c r="GV713" s="319" t="s">
        <v>190</v>
      </c>
      <c r="GW713" s="319" t="s">
        <v>190</v>
      </c>
      <c r="GX713" s="319" t="s">
        <v>190</v>
      </c>
      <c r="GY713" s="319" t="s">
        <v>190</v>
      </c>
      <c r="GZ713" s="319" t="s">
        <v>190</v>
      </c>
      <c r="HA713" s="319" t="s">
        <v>428</v>
      </c>
      <c r="HB713" s="319" t="s">
        <v>190</v>
      </c>
      <c r="HC713" s="319" t="s">
        <v>190</v>
      </c>
      <c r="HD713" s="319" t="s">
        <v>190</v>
      </c>
      <c r="HE713" s="319" t="s">
        <v>190</v>
      </c>
      <c r="HF713" s="319" t="s">
        <v>190</v>
      </c>
      <c r="HG713" s="319" t="s">
        <v>190</v>
      </c>
      <c r="HH713" s="319" t="s">
        <v>190</v>
      </c>
      <c r="HI713" s="319" t="s">
        <v>190</v>
      </c>
      <c r="HJ713" s="319" t="s">
        <v>190</v>
      </c>
      <c r="HK713" s="319" t="s">
        <v>190</v>
      </c>
      <c r="HL713" s="319" t="s">
        <v>190</v>
      </c>
      <c r="HM713" s="319" t="s">
        <v>190</v>
      </c>
      <c r="HN713" s="319" t="s">
        <v>190</v>
      </c>
      <c r="HO713" s="319" t="s">
        <v>190</v>
      </c>
      <c r="HP713" s="319" t="s">
        <v>190</v>
      </c>
      <c r="HQ713" s="319" t="s">
        <v>190</v>
      </c>
      <c r="HR713" s="319" t="s">
        <v>190</v>
      </c>
      <c r="HS713" s="319" t="s">
        <v>190</v>
      </c>
      <c r="HT713" s="319" t="s">
        <v>190</v>
      </c>
      <c r="HU713" s="319" t="s">
        <v>190</v>
      </c>
      <c r="HV713" s="319" t="s">
        <v>190</v>
      </c>
      <c r="HW713" s="319" t="s">
        <v>190</v>
      </c>
      <c r="HX713" s="319" t="s">
        <v>190</v>
      </c>
      <c r="HY713" s="319" t="s">
        <v>190</v>
      </c>
      <c r="HZ713" s="319" t="s">
        <v>190</v>
      </c>
      <c r="IA713" s="319" t="s">
        <v>190</v>
      </c>
      <c r="IB713" s="319" t="s">
        <v>190</v>
      </c>
      <c r="IC713" s="319" t="s">
        <v>190</v>
      </c>
      <c r="ID713" s="319" t="s">
        <v>190</v>
      </c>
      <c r="IE713" s="319" t="s">
        <v>190</v>
      </c>
      <c r="IF713" s="319" t="s">
        <v>190</v>
      </c>
      <c r="IG713" s="319" t="s">
        <v>190</v>
      </c>
      <c r="IH713" s="319" t="s">
        <v>190</v>
      </c>
      <c r="II713" s="319" t="s">
        <v>190</v>
      </c>
      <c r="IJ713" s="319">
        <v>10012924</v>
      </c>
      <c r="IK713" s="321">
        <v>43011</v>
      </c>
      <c r="IL713" s="321">
        <v>43012</v>
      </c>
      <c r="IM713" s="321">
        <v>43060</v>
      </c>
      <c r="IN713" s="319">
        <v>4</v>
      </c>
      <c r="IO713" s="319" t="s">
        <v>173</v>
      </c>
      <c r="IP713" s="319" t="s">
        <v>173</v>
      </c>
      <c r="IQ713" s="321" t="s">
        <v>173</v>
      </c>
      <c r="IR713" s="320" t="s">
        <v>173</v>
      </c>
      <c r="IS713" s="322" t="s">
        <v>173</v>
      </c>
      <c r="IT713" s="319" t="s">
        <v>173</v>
      </c>
    </row>
    <row r="714" spans="1:254" s="271" customFormat="1" x14ac:dyDescent="0.25">
      <c r="A714" s="318" t="str">
        <f>HYPERLINK("http://www.ofsted.gov.uk/inspection-reports/find-inspection-report/provider/ELS/138877 ","Ofsted School Webpage")</f>
        <v>Ofsted School Webpage</v>
      </c>
      <c r="B714" s="319">
        <v>138877</v>
      </c>
      <c r="C714" s="319">
        <v>9356002</v>
      </c>
      <c r="D714" s="319" t="s">
        <v>838</v>
      </c>
      <c r="E714" s="319" t="s">
        <v>167</v>
      </c>
      <c r="F714" s="319" t="s">
        <v>81</v>
      </c>
      <c r="G714" s="319" t="s">
        <v>81</v>
      </c>
      <c r="H714" s="319" t="s">
        <v>81</v>
      </c>
      <c r="I714" s="319" t="s">
        <v>78</v>
      </c>
      <c r="J714" s="319" t="s">
        <v>424</v>
      </c>
      <c r="K714" s="319" t="s">
        <v>451</v>
      </c>
      <c r="L714" s="319" t="s">
        <v>451</v>
      </c>
      <c r="M714" s="319" t="s">
        <v>839</v>
      </c>
      <c r="N714" s="319" t="s">
        <v>3037</v>
      </c>
      <c r="O714" s="319" t="s">
        <v>840</v>
      </c>
      <c r="P714" s="319">
        <v>53</v>
      </c>
      <c r="Q714" s="319" t="s">
        <v>2766</v>
      </c>
      <c r="R714" s="320">
        <v>10056570</v>
      </c>
      <c r="S714" s="321">
        <v>43480</v>
      </c>
      <c r="T714" s="321">
        <v>43482</v>
      </c>
      <c r="U714" s="321">
        <v>43509</v>
      </c>
      <c r="V714" s="319" t="s">
        <v>425</v>
      </c>
      <c r="W714" s="319" t="s">
        <v>2767</v>
      </c>
      <c r="X714" s="319">
        <v>2</v>
      </c>
      <c r="Y714" s="319" t="s">
        <v>173</v>
      </c>
      <c r="Z714" s="319" t="s">
        <v>173</v>
      </c>
      <c r="AA714" s="319" t="s">
        <v>173</v>
      </c>
      <c r="AB714" s="319">
        <v>2</v>
      </c>
      <c r="AC714" s="319" t="s">
        <v>169</v>
      </c>
      <c r="AD714" s="319" t="s">
        <v>173</v>
      </c>
      <c r="AE714" s="319" t="s">
        <v>173</v>
      </c>
      <c r="AF714" s="319" t="s">
        <v>427</v>
      </c>
      <c r="AG714" s="319" t="s">
        <v>171</v>
      </c>
      <c r="AH714" s="319" t="s">
        <v>190</v>
      </c>
      <c r="AI714" s="319" t="s">
        <v>190</v>
      </c>
      <c r="AJ714" s="319" t="s">
        <v>190</v>
      </c>
      <c r="AK714" s="319" t="s">
        <v>190</v>
      </c>
      <c r="AL714" s="319" t="s">
        <v>190</v>
      </c>
      <c r="AM714" s="319" t="s">
        <v>190</v>
      </c>
      <c r="AN714" s="319" t="s">
        <v>190</v>
      </c>
      <c r="AO714" s="319" t="s">
        <v>190</v>
      </c>
      <c r="AP714" s="319" t="s">
        <v>190</v>
      </c>
      <c r="AQ714" s="319" t="s">
        <v>190</v>
      </c>
      <c r="AR714" s="319" t="s">
        <v>190</v>
      </c>
      <c r="AS714" s="319" t="s">
        <v>190</v>
      </c>
      <c r="AT714" s="319" t="s">
        <v>190</v>
      </c>
      <c r="AU714" s="319" t="s">
        <v>190</v>
      </c>
      <c r="AV714" s="319" t="s">
        <v>190</v>
      </c>
      <c r="AW714" s="319" t="s">
        <v>190</v>
      </c>
      <c r="AX714" s="319" t="s">
        <v>190</v>
      </c>
      <c r="AY714" s="319" t="s">
        <v>190</v>
      </c>
      <c r="AZ714" s="319" t="s">
        <v>190</v>
      </c>
      <c r="BA714" s="319" t="s">
        <v>190</v>
      </c>
      <c r="BB714" s="319" t="s">
        <v>428</v>
      </c>
      <c r="BC714" s="319" t="s">
        <v>428</v>
      </c>
      <c r="BD714" s="319" t="s">
        <v>428</v>
      </c>
      <c r="BE714" s="319" t="s">
        <v>428</v>
      </c>
      <c r="BF714" s="319" t="s">
        <v>428</v>
      </c>
      <c r="BG714" s="319" t="s">
        <v>428</v>
      </c>
      <c r="BH714" s="319" t="s">
        <v>190</v>
      </c>
      <c r="BI714" s="319" t="s">
        <v>190</v>
      </c>
      <c r="BJ714" s="319" t="s">
        <v>190</v>
      </c>
      <c r="BK714" s="319" t="s">
        <v>190</v>
      </c>
      <c r="BL714" s="319" t="s">
        <v>190</v>
      </c>
      <c r="BM714" s="319" t="s">
        <v>190</v>
      </c>
      <c r="BN714" s="319" t="s">
        <v>190</v>
      </c>
      <c r="BO714" s="319" t="s">
        <v>190</v>
      </c>
      <c r="BP714" s="319" t="s">
        <v>190</v>
      </c>
      <c r="BQ714" s="319" t="s">
        <v>190</v>
      </c>
      <c r="BR714" s="319" t="s">
        <v>190</v>
      </c>
      <c r="BS714" s="319" t="s">
        <v>190</v>
      </c>
      <c r="BT714" s="319" t="s">
        <v>190</v>
      </c>
      <c r="BU714" s="319" t="s">
        <v>190</v>
      </c>
      <c r="BV714" s="319" t="s">
        <v>190</v>
      </c>
      <c r="BW714" s="319" t="s">
        <v>190</v>
      </c>
      <c r="BX714" s="319" t="s">
        <v>190</v>
      </c>
      <c r="BY714" s="319" t="s">
        <v>190</v>
      </c>
      <c r="BZ714" s="319" t="s">
        <v>190</v>
      </c>
      <c r="CA714" s="319" t="s">
        <v>190</v>
      </c>
      <c r="CB714" s="319" t="s">
        <v>190</v>
      </c>
      <c r="CC714" s="319" t="s">
        <v>190</v>
      </c>
      <c r="CD714" s="319" t="s">
        <v>190</v>
      </c>
      <c r="CE714" s="319" t="s">
        <v>190</v>
      </c>
      <c r="CF714" s="319" t="s">
        <v>190</v>
      </c>
      <c r="CG714" s="319" t="s">
        <v>190</v>
      </c>
      <c r="CH714" s="319" t="s">
        <v>190</v>
      </c>
      <c r="CI714" s="319" t="s">
        <v>190</v>
      </c>
      <c r="CJ714" s="319" t="s">
        <v>190</v>
      </c>
      <c r="CK714" s="319" t="s">
        <v>190</v>
      </c>
      <c r="CL714" s="319" t="s">
        <v>190</v>
      </c>
      <c r="CM714" s="319" t="s">
        <v>190</v>
      </c>
      <c r="CN714" s="319" t="s">
        <v>190</v>
      </c>
      <c r="CO714" s="319" t="s">
        <v>190</v>
      </c>
      <c r="CP714" s="319" t="s">
        <v>428</v>
      </c>
      <c r="CQ714" s="319" t="s">
        <v>190</v>
      </c>
      <c r="CR714" s="319" t="s">
        <v>190</v>
      </c>
      <c r="CS714" s="319" t="s">
        <v>190</v>
      </c>
      <c r="CT714" s="319" t="s">
        <v>190</v>
      </c>
      <c r="CU714" s="319" t="s">
        <v>190</v>
      </c>
      <c r="CV714" s="319" t="s">
        <v>190</v>
      </c>
      <c r="CW714" s="319" t="s">
        <v>190</v>
      </c>
      <c r="CX714" s="319" t="s">
        <v>190</v>
      </c>
      <c r="CY714" s="319" t="s">
        <v>190</v>
      </c>
      <c r="CZ714" s="319" t="s">
        <v>190</v>
      </c>
      <c r="DA714" s="319" t="s">
        <v>190</v>
      </c>
      <c r="DB714" s="319" t="s">
        <v>190</v>
      </c>
      <c r="DC714" s="319" t="s">
        <v>190</v>
      </c>
      <c r="DD714" s="319" t="s">
        <v>190</v>
      </c>
      <c r="DE714" s="319" t="s">
        <v>190</v>
      </c>
      <c r="DF714" s="319" t="s">
        <v>190</v>
      </c>
      <c r="DG714" s="319" t="s">
        <v>190</v>
      </c>
      <c r="DH714" s="319" t="s">
        <v>190</v>
      </c>
      <c r="DI714" s="319" t="s">
        <v>190</v>
      </c>
      <c r="DJ714" s="319" t="s">
        <v>190</v>
      </c>
      <c r="DK714" s="319" t="s">
        <v>190</v>
      </c>
      <c r="DL714" s="319" t="s">
        <v>190</v>
      </c>
      <c r="DM714" s="319" t="s">
        <v>190</v>
      </c>
      <c r="DN714" s="319" t="s">
        <v>428</v>
      </c>
      <c r="DO714" s="319" t="s">
        <v>190</v>
      </c>
      <c r="DP714" s="319" t="s">
        <v>190</v>
      </c>
      <c r="DQ714" s="319" t="s">
        <v>190</v>
      </c>
      <c r="DR714" s="319" t="s">
        <v>190</v>
      </c>
      <c r="DS714" s="319" t="s">
        <v>190</v>
      </c>
      <c r="DT714" s="319" t="s">
        <v>190</v>
      </c>
      <c r="DU714" s="319" t="s">
        <v>190</v>
      </c>
      <c r="DV714" s="319" t="s">
        <v>173</v>
      </c>
      <c r="DW714" s="319" t="s">
        <v>190</v>
      </c>
      <c r="DX714" s="319" t="s">
        <v>190</v>
      </c>
      <c r="DY714" s="319" t="s">
        <v>190</v>
      </c>
      <c r="DZ714" s="319" t="s">
        <v>190</v>
      </c>
      <c r="EA714" s="319" t="s">
        <v>190</v>
      </c>
      <c r="EB714" s="319" t="s">
        <v>190</v>
      </c>
      <c r="EC714" s="319" t="s">
        <v>428</v>
      </c>
      <c r="ED714" s="319" t="s">
        <v>190</v>
      </c>
      <c r="EE714" s="319" t="s">
        <v>190</v>
      </c>
      <c r="EF714" s="319" t="s">
        <v>190</v>
      </c>
      <c r="EG714" s="319" t="s">
        <v>190</v>
      </c>
      <c r="EH714" s="319" t="s">
        <v>190</v>
      </c>
      <c r="EI714" s="319" t="s">
        <v>190</v>
      </c>
      <c r="EJ714" s="319" t="s">
        <v>190</v>
      </c>
      <c r="EK714" s="319" t="s">
        <v>190</v>
      </c>
      <c r="EL714" s="319" t="s">
        <v>190</v>
      </c>
      <c r="EM714" s="319" t="s">
        <v>190</v>
      </c>
      <c r="EN714" s="319" t="s">
        <v>190</v>
      </c>
      <c r="EO714" s="319" t="s">
        <v>190</v>
      </c>
      <c r="EP714" s="319" t="s">
        <v>190</v>
      </c>
      <c r="EQ714" s="319" t="s">
        <v>190</v>
      </c>
      <c r="ER714" s="319" t="s">
        <v>190</v>
      </c>
      <c r="ES714" s="319" t="s">
        <v>190</v>
      </c>
      <c r="ET714" s="319" t="s">
        <v>190</v>
      </c>
      <c r="EU714" s="319" t="s">
        <v>190</v>
      </c>
      <c r="EV714" s="319" t="s">
        <v>190</v>
      </c>
      <c r="EW714" s="319" t="s">
        <v>190</v>
      </c>
      <c r="EX714" s="319" t="s">
        <v>190</v>
      </c>
      <c r="EY714" s="319" t="s">
        <v>190</v>
      </c>
      <c r="EZ714" s="319" t="s">
        <v>190</v>
      </c>
      <c r="FA714" s="319" t="s">
        <v>190</v>
      </c>
      <c r="FB714" s="319" t="s">
        <v>190</v>
      </c>
      <c r="FC714" s="319" t="s">
        <v>190</v>
      </c>
      <c r="FD714" s="319" t="s">
        <v>190</v>
      </c>
      <c r="FE714" s="319" t="s">
        <v>190</v>
      </c>
      <c r="FF714" s="319" t="s">
        <v>190</v>
      </c>
      <c r="FG714" s="319" t="s">
        <v>190</v>
      </c>
      <c r="FH714" s="319" t="s">
        <v>190</v>
      </c>
      <c r="FI714" s="319" t="s">
        <v>190</v>
      </c>
      <c r="FJ714" s="319" t="s">
        <v>190</v>
      </c>
      <c r="FK714" s="319" t="s">
        <v>190</v>
      </c>
      <c r="FL714" s="319" t="s">
        <v>190</v>
      </c>
      <c r="FM714" s="319" t="s">
        <v>190</v>
      </c>
      <c r="FN714" s="319" t="s">
        <v>190</v>
      </c>
      <c r="FO714" s="319" t="s">
        <v>428</v>
      </c>
      <c r="FP714" s="319" t="s">
        <v>190</v>
      </c>
      <c r="FQ714" s="319" t="s">
        <v>190</v>
      </c>
      <c r="FR714" s="319" t="s">
        <v>190</v>
      </c>
      <c r="FS714" s="319" t="s">
        <v>428</v>
      </c>
      <c r="FT714" s="319" t="s">
        <v>428</v>
      </c>
      <c r="FU714" s="319" t="s">
        <v>190</v>
      </c>
      <c r="FV714" s="319" t="s">
        <v>190</v>
      </c>
      <c r="FW714" s="319" t="s">
        <v>190</v>
      </c>
      <c r="FX714" s="319" t="s">
        <v>190</v>
      </c>
      <c r="FY714" s="319" t="s">
        <v>190</v>
      </c>
      <c r="FZ714" s="319" t="s">
        <v>190</v>
      </c>
      <c r="GA714" s="319" t="s">
        <v>190</v>
      </c>
      <c r="GB714" s="319" t="s">
        <v>190</v>
      </c>
      <c r="GC714" s="319" t="s">
        <v>190</v>
      </c>
      <c r="GD714" s="319" t="s">
        <v>190</v>
      </c>
      <c r="GE714" s="319" t="s">
        <v>190</v>
      </c>
      <c r="GF714" s="319" t="s">
        <v>190</v>
      </c>
      <c r="GG714" s="319" t="s">
        <v>190</v>
      </c>
      <c r="GH714" s="319" t="s">
        <v>190</v>
      </c>
      <c r="GI714" s="319" t="s">
        <v>190</v>
      </c>
      <c r="GJ714" s="319" t="s">
        <v>190</v>
      </c>
      <c r="GK714" s="319" t="s">
        <v>428</v>
      </c>
      <c r="GL714" s="319" t="s">
        <v>190</v>
      </c>
      <c r="GM714" s="319" t="s">
        <v>190</v>
      </c>
      <c r="GN714" s="319" t="s">
        <v>190</v>
      </c>
      <c r="GO714" s="319" t="s">
        <v>190</v>
      </c>
      <c r="GP714" s="319" t="s">
        <v>190</v>
      </c>
      <c r="GQ714" s="319" t="s">
        <v>190</v>
      </c>
      <c r="GR714" s="319" t="s">
        <v>190</v>
      </c>
      <c r="GS714" s="319" t="s">
        <v>190</v>
      </c>
      <c r="GT714" s="319" t="s">
        <v>190</v>
      </c>
      <c r="GU714" s="319" t="s">
        <v>190</v>
      </c>
      <c r="GV714" s="319" t="s">
        <v>190</v>
      </c>
      <c r="GW714" s="319" t="s">
        <v>190</v>
      </c>
      <c r="GX714" s="319" t="s">
        <v>190</v>
      </c>
      <c r="GY714" s="319" t="s">
        <v>190</v>
      </c>
      <c r="GZ714" s="319" t="s">
        <v>428</v>
      </c>
      <c r="HA714" s="319" t="s">
        <v>190</v>
      </c>
      <c r="HB714" s="319" t="s">
        <v>428</v>
      </c>
      <c r="HC714" s="319" t="s">
        <v>190</v>
      </c>
      <c r="HD714" s="319" t="s">
        <v>190</v>
      </c>
      <c r="HE714" s="319" t="s">
        <v>190</v>
      </c>
      <c r="HF714" s="319" t="s">
        <v>190</v>
      </c>
      <c r="HG714" s="319" t="s">
        <v>190</v>
      </c>
      <c r="HH714" s="319" t="s">
        <v>190</v>
      </c>
      <c r="HI714" s="319" t="s">
        <v>190</v>
      </c>
      <c r="HJ714" s="319" t="s">
        <v>190</v>
      </c>
      <c r="HK714" s="319" t="s">
        <v>190</v>
      </c>
      <c r="HL714" s="319" t="s">
        <v>428</v>
      </c>
      <c r="HM714" s="319" t="s">
        <v>428</v>
      </c>
      <c r="HN714" s="319" t="s">
        <v>428</v>
      </c>
      <c r="HO714" s="319" t="s">
        <v>428</v>
      </c>
      <c r="HP714" s="319" t="s">
        <v>190</v>
      </c>
      <c r="HQ714" s="319" t="s">
        <v>190</v>
      </c>
      <c r="HR714" s="319" t="s">
        <v>190</v>
      </c>
      <c r="HS714" s="319" t="s">
        <v>190</v>
      </c>
      <c r="HT714" s="319" t="s">
        <v>190</v>
      </c>
      <c r="HU714" s="319" t="s">
        <v>190</v>
      </c>
      <c r="HV714" s="319" t="s">
        <v>190</v>
      </c>
      <c r="HW714" s="319" t="s">
        <v>190</v>
      </c>
      <c r="HX714" s="319" t="s">
        <v>190</v>
      </c>
      <c r="HY714" s="319" t="s">
        <v>190</v>
      </c>
      <c r="HZ714" s="319" t="s">
        <v>190</v>
      </c>
      <c r="IA714" s="319" t="s">
        <v>190</v>
      </c>
      <c r="IB714" s="319" t="s">
        <v>190</v>
      </c>
      <c r="IC714" s="319" t="s">
        <v>190</v>
      </c>
      <c r="ID714" s="319" t="s">
        <v>190</v>
      </c>
      <c r="IE714" s="319" t="s">
        <v>190</v>
      </c>
      <c r="IF714" s="319" t="s">
        <v>190</v>
      </c>
      <c r="IG714" s="319" t="s">
        <v>190</v>
      </c>
      <c r="IH714" s="319" t="s">
        <v>190</v>
      </c>
      <c r="II714" s="319" t="s">
        <v>190</v>
      </c>
      <c r="IJ714" s="319">
        <v>10020806</v>
      </c>
      <c r="IK714" s="321">
        <v>42808</v>
      </c>
      <c r="IL714" s="321">
        <v>42810</v>
      </c>
      <c r="IM714" s="321">
        <v>42850</v>
      </c>
      <c r="IN714" s="319">
        <v>3</v>
      </c>
      <c r="IO714" s="319" t="s">
        <v>173</v>
      </c>
      <c r="IP714" s="319" t="s">
        <v>173</v>
      </c>
      <c r="IQ714" s="321" t="s">
        <v>173</v>
      </c>
      <c r="IR714" s="320" t="s">
        <v>173</v>
      </c>
      <c r="IS714" s="322" t="s">
        <v>173</v>
      </c>
      <c r="IT714" s="319" t="s">
        <v>173</v>
      </c>
    </row>
    <row r="715" spans="1:254" s="271" customFormat="1" x14ac:dyDescent="0.25">
      <c r="A715" s="318" t="str">
        <f>HYPERLINK("http://www.ofsted.gov.uk/inspection-reports/find-inspection-report/provider/ELS/138878 ","Ofsted School Webpage")</f>
        <v>Ofsted School Webpage</v>
      </c>
      <c r="B715" s="319">
        <v>138878</v>
      </c>
      <c r="C715" s="319">
        <v>3416003</v>
      </c>
      <c r="D715" s="319" t="s">
        <v>725</v>
      </c>
      <c r="E715" s="319" t="s">
        <v>167</v>
      </c>
      <c r="F715" s="319" t="s">
        <v>81</v>
      </c>
      <c r="G715" s="319" t="s">
        <v>81</v>
      </c>
      <c r="H715" s="319" t="s">
        <v>81</v>
      </c>
      <c r="I715" s="319" t="s">
        <v>78</v>
      </c>
      <c r="J715" s="319" t="s">
        <v>424</v>
      </c>
      <c r="K715" s="319" t="s">
        <v>431</v>
      </c>
      <c r="L715" s="319" t="s">
        <v>431</v>
      </c>
      <c r="M715" s="319" t="s">
        <v>652</v>
      </c>
      <c r="N715" s="319" t="s">
        <v>3447</v>
      </c>
      <c r="O715" s="319" t="s">
        <v>726</v>
      </c>
      <c r="P715" s="319">
        <v>33</v>
      </c>
      <c r="Q715" s="319" t="s">
        <v>2776</v>
      </c>
      <c r="R715" s="320">
        <v>10053735</v>
      </c>
      <c r="S715" s="321">
        <v>43431</v>
      </c>
      <c r="T715" s="321">
        <v>43433</v>
      </c>
      <c r="U715" s="321">
        <v>43453</v>
      </c>
      <c r="V715" s="319" t="s">
        <v>425</v>
      </c>
      <c r="W715" s="319" t="s">
        <v>2767</v>
      </c>
      <c r="X715" s="319">
        <v>2</v>
      </c>
      <c r="Y715" s="319" t="s">
        <v>173</v>
      </c>
      <c r="Z715" s="319" t="s">
        <v>173</v>
      </c>
      <c r="AA715" s="319" t="s">
        <v>173</v>
      </c>
      <c r="AB715" s="319">
        <v>2</v>
      </c>
      <c r="AC715" s="319" t="s">
        <v>169</v>
      </c>
      <c r="AD715" s="319" t="s">
        <v>173</v>
      </c>
      <c r="AE715" s="319" t="s">
        <v>173</v>
      </c>
      <c r="AF715" s="319" t="s">
        <v>427</v>
      </c>
      <c r="AG715" s="319" t="s">
        <v>171</v>
      </c>
      <c r="AH715" s="319" t="s">
        <v>190</v>
      </c>
      <c r="AI715" s="319" t="s">
        <v>190</v>
      </c>
      <c r="AJ715" s="319" t="s">
        <v>190</v>
      </c>
      <c r="AK715" s="319" t="s">
        <v>190</v>
      </c>
      <c r="AL715" s="319" t="s">
        <v>190</v>
      </c>
      <c r="AM715" s="319" t="s">
        <v>190</v>
      </c>
      <c r="AN715" s="319" t="s">
        <v>190</v>
      </c>
      <c r="AO715" s="319" t="s">
        <v>190</v>
      </c>
      <c r="AP715" s="319" t="s">
        <v>190</v>
      </c>
      <c r="AQ715" s="319" t="s">
        <v>190</v>
      </c>
      <c r="AR715" s="319" t="s">
        <v>190</v>
      </c>
      <c r="AS715" s="319" t="s">
        <v>190</v>
      </c>
      <c r="AT715" s="319" t="s">
        <v>190</v>
      </c>
      <c r="AU715" s="319" t="s">
        <v>190</v>
      </c>
      <c r="AV715" s="319" t="s">
        <v>190</v>
      </c>
      <c r="AW715" s="319" t="s">
        <v>190</v>
      </c>
      <c r="AX715" s="319" t="s">
        <v>428</v>
      </c>
      <c r="AY715" s="319" t="s">
        <v>190</v>
      </c>
      <c r="AZ715" s="319" t="s">
        <v>190</v>
      </c>
      <c r="BA715" s="319" t="s">
        <v>190</v>
      </c>
      <c r="BB715" s="319" t="s">
        <v>190</v>
      </c>
      <c r="BC715" s="319" t="s">
        <v>190</v>
      </c>
      <c r="BD715" s="319" t="s">
        <v>190</v>
      </c>
      <c r="BE715" s="319" t="s">
        <v>190</v>
      </c>
      <c r="BF715" s="319" t="s">
        <v>428</v>
      </c>
      <c r="BG715" s="319" t="s">
        <v>428</v>
      </c>
      <c r="BH715" s="319" t="s">
        <v>190</v>
      </c>
      <c r="BI715" s="319" t="s">
        <v>190</v>
      </c>
      <c r="BJ715" s="319" t="s">
        <v>190</v>
      </c>
      <c r="BK715" s="319" t="s">
        <v>190</v>
      </c>
      <c r="BL715" s="319" t="s">
        <v>190</v>
      </c>
      <c r="BM715" s="319" t="s">
        <v>190</v>
      </c>
      <c r="BN715" s="319" t="s">
        <v>190</v>
      </c>
      <c r="BO715" s="319" t="s">
        <v>190</v>
      </c>
      <c r="BP715" s="319" t="s">
        <v>190</v>
      </c>
      <c r="BQ715" s="319" t="s">
        <v>190</v>
      </c>
      <c r="BR715" s="319" t="s">
        <v>190</v>
      </c>
      <c r="BS715" s="319" t="s">
        <v>190</v>
      </c>
      <c r="BT715" s="319" t="s">
        <v>190</v>
      </c>
      <c r="BU715" s="319" t="s">
        <v>190</v>
      </c>
      <c r="BV715" s="319" t="s">
        <v>190</v>
      </c>
      <c r="BW715" s="319" t="s">
        <v>190</v>
      </c>
      <c r="BX715" s="319" t="s">
        <v>190</v>
      </c>
      <c r="BY715" s="319" t="s">
        <v>190</v>
      </c>
      <c r="BZ715" s="319" t="s">
        <v>190</v>
      </c>
      <c r="CA715" s="319" t="s">
        <v>190</v>
      </c>
      <c r="CB715" s="319" t="s">
        <v>190</v>
      </c>
      <c r="CC715" s="319" t="s">
        <v>190</v>
      </c>
      <c r="CD715" s="319" t="s">
        <v>190</v>
      </c>
      <c r="CE715" s="319" t="s">
        <v>190</v>
      </c>
      <c r="CF715" s="319" t="s">
        <v>190</v>
      </c>
      <c r="CG715" s="319" t="s">
        <v>190</v>
      </c>
      <c r="CH715" s="319" t="s">
        <v>190</v>
      </c>
      <c r="CI715" s="319" t="s">
        <v>190</v>
      </c>
      <c r="CJ715" s="319" t="s">
        <v>190</v>
      </c>
      <c r="CK715" s="319" t="s">
        <v>190</v>
      </c>
      <c r="CL715" s="319" t="s">
        <v>190</v>
      </c>
      <c r="CM715" s="319" t="s">
        <v>190</v>
      </c>
      <c r="CN715" s="319" t="s">
        <v>428</v>
      </c>
      <c r="CO715" s="319" t="s">
        <v>428</v>
      </c>
      <c r="CP715" s="319" t="s">
        <v>428</v>
      </c>
      <c r="CQ715" s="319" t="s">
        <v>190</v>
      </c>
      <c r="CR715" s="319" t="s">
        <v>190</v>
      </c>
      <c r="CS715" s="319" t="s">
        <v>190</v>
      </c>
      <c r="CT715" s="319" t="s">
        <v>190</v>
      </c>
      <c r="CU715" s="319" t="s">
        <v>190</v>
      </c>
      <c r="CV715" s="319" t="s">
        <v>190</v>
      </c>
      <c r="CW715" s="319" t="s">
        <v>190</v>
      </c>
      <c r="CX715" s="319" t="s">
        <v>190</v>
      </c>
      <c r="CY715" s="319" t="s">
        <v>190</v>
      </c>
      <c r="CZ715" s="319" t="s">
        <v>190</v>
      </c>
      <c r="DA715" s="319" t="s">
        <v>190</v>
      </c>
      <c r="DB715" s="319" t="s">
        <v>190</v>
      </c>
      <c r="DC715" s="319" t="s">
        <v>190</v>
      </c>
      <c r="DD715" s="319" t="s">
        <v>190</v>
      </c>
      <c r="DE715" s="319" t="s">
        <v>190</v>
      </c>
      <c r="DF715" s="319" t="s">
        <v>190</v>
      </c>
      <c r="DG715" s="319" t="s">
        <v>190</v>
      </c>
      <c r="DH715" s="319" t="s">
        <v>190</v>
      </c>
      <c r="DI715" s="319" t="s">
        <v>190</v>
      </c>
      <c r="DJ715" s="319" t="s">
        <v>190</v>
      </c>
      <c r="DK715" s="319" t="s">
        <v>190</v>
      </c>
      <c r="DL715" s="319" t="s">
        <v>190</v>
      </c>
      <c r="DM715" s="319" t="s">
        <v>190</v>
      </c>
      <c r="DN715" s="319" t="s">
        <v>428</v>
      </c>
      <c r="DO715" s="319" t="s">
        <v>190</v>
      </c>
      <c r="DP715" s="319" t="s">
        <v>428</v>
      </c>
      <c r="DQ715" s="319" t="s">
        <v>428</v>
      </c>
      <c r="DR715" s="319" t="s">
        <v>428</v>
      </c>
      <c r="DS715" s="319" t="s">
        <v>428</v>
      </c>
      <c r="DT715" s="319" t="s">
        <v>428</v>
      </c>
      <c r="DU715" s="319" t="s">
        <v>428</v>
      </c>
      <c r="DV715" s="319" t="s">
        <v>173</v>
      </c>
      <c r="DW715" s="319" t="s">
        <v>428</v>
      </c>
      <c r="DX715" s="319" t="s">
        <v>428</v>
      </c>
      <c r="DY715" s="319" t="s">
        <v>428</v>
      </c>
      <c r="DZ715" s="319" t="s">
        <v>428</v>
      </c>
      <c r="EA715" s="319" t="s">
        <v>428</v>
      </c>
      <c r="EB715" s="319" t="s">
        <v>428</v>
      </c>
      <c r="EC715" s="319" t="s">
        <v>428</v>
      </c>
      <c r="ED715" s="319" t="s">
        <v>428</v>
      </c>
      <c r="EE715" s="319" t="s">
        <v>428</v>
      </c>
      <c r="EF715" s="319" t="s">
        <v>428</v>
      </c>
      <c r="EG715" s="319" t="s">
        <v>428</v>
      </c>
      <c r="EH715" s="319" t="s">
        <v>428</v>
      </c>
      <c r="EI715" s="319" t="s">
        <v>428</v>
      </c>
      <c r="EJ715" s="319" t="s">
        <v>428</v>
      </c>
      <c r="EK715" s="319" t="s">
        <v>428</v>
      </c>
      <c r="EL715" s="319" t="s">
        <v>428</v>
      </c>
      <c r="EM715" s="319" t="s">
        <v>428</v>
      </c>
      <c r="EN715" s="319" t="s">
        <v>190</v>
      </c>
      <c r="EO715" s="319" t="s">
        <v>190</v>
      </c>
      <c r="EP715" s="319" t="s">
        <v>190</v>
      </c>
      <c r="EQ715" s="319" t="s">
        <v>190</v>
      </c>
      <c r="ER715" s="319" t="s">
        <v>190</v>
      </c>
      <c r="ES715" s="319" t="s">
        <v>190</v>
      </c>
      <c r="ET715" s="319" t="s">
        <v>190</v>
      </c>
      <c r="EU715" s="319" t="s">
        <v>190</v>
      </c>
      <c r="EV715" s="319" t="s">
        <v>190</v>
      </c>
      <c r="EW715" s="319" t="s">
        <v>190</v>
      </c>
      <c r="EX715" s="319" t="s">
        <v>190</v>
      </c>
      <c r="EY715" s="319" t="s">
        <v>190</v>
      </c>
      <c r="EZ715" s="319" t="s">
        <v>190</v>
      </c>
      <c r="FA715" s="319" t="s">
        <v>428</v>
      </c>
      <c r="FB715" s="319" t="s">
        <v>428</v>
      </c>
      <c r="FC715" s="319" t="s">
        <v>428</v>
      </c>
      <c r="FD715" s="319" t="s">
        <v>428</v>
      </c>
      <c r="FE715" s="319" t="s">
        <v>428</v>
      </c>
      <c r="FF715" s="319" t="s">
        <v>428</v>
      </c>
      <c r="FG715" s="319" t="s">
        <v>428</v>
      </c>
      <c r="FH715" s="319" t="s">
        <v>428</v>
      </c>
      <c r="FI715" s="319" t="s">
        <v>428</v>
      </c>
      <c r="FJ715" s="319" t="s">
        <v>429</v>
      </c>
      <c r="FK715" s="319" t="s">
        <v>428</v>
      </c>
      <c r="FL715" s="319" t="s">
        <v>190</v>
      </c>
      <c r="FM715" s="319" t="s">
        <v>190</v>
      </c>
      <c r="FN715" s="319" t="s">
        <v>190</v>
      </c>
      <c r="FO715" s="319" t="s">
        <v>190</v>
      </c>
      <c r="FP715" s="319" t="s">
        <v>190</v>
      </c>
      <c r="FQ715" s="319" t="s">
        <v>190</v>
      </c>
      <c r="FR715" s="319" t="s">
        <v>190</v>
      </c>
      <c r="FS715" s="319" t="s">
        <v>428</v>
      </c>
      <c r="FT715" s="319" t="s">
        <v>190</v>
      </c>
      <c r="FU715" s="319" t="s">
        <v>190</v>
      </c>
      <c r="FV715" s="319" t="s">
        <v>190</v>
      </c>
      <c r="FW715" s="319" t="s">
        <v>190</v>
      </c>
      <c r="FX715" s="319" t="s">
        <v>190</v>
      </c>
      <c r="FY715" s="319" t="s">
        <v>190</v>
      </c>
      <c r="FZ715" s="319" t="s">
        <v>190</v>
      </c>
      <c r="GA715" s="319" t="s">
        <v>190</v>
      </c>
      <c r="GB715" s="319" t="s">
        <v>190</v>
      </c>
      <c r="GC715" s="319" t="s">
        <v>190</v>
      </c>
      <c r="GD715" s="319" t="s">
        <v>190</v>
      </c>
      <c r="GE715" s="319" t="s">
        <v>190</v>
      </c>
      <c r="GF715" s="319" t="s">
        <v>190</v>
      </c>
      <c r="GG715" s="319" t="s">
        <v>190</v>
      </c>
      <c r="GH715" s="319" t="s">
        <v>190</v>
      </c>
      <c r="GI715" s="319" t="s">
        <v>190</v>
      </c>
      <c r="GJ715" s="319" t="s">
        <v>190</v>
      </c>
      <c r="GK715" s="319" t="s">
        <v>428</v>
      </c>
      <c r="GL715" s="319" t="s">
        <v>190</v>
      </c>
      <c r="GM715" s="319" t="s">
        <v>190</v>
      </c>
      <c r="GN715" s="319" t="s">
        <v>190</v>
      </c>
      <c r="GO715" s="319" t="s">
        <v>190</v>
      </c>
      <c r="GP715" s="319" t="s">
        <v>190</v>
      </c>
      <c r="GQ715" s="319" t="s">
        <v>428</v>
      </c>
      <c r="GR715" s="319" t="s">
        <v>190</v>
      </c>
      <c r="GS715" s="319" t="s">
        <v>190</v>
      </c>
      <c r="GT715" s="319" t="s">
        <v>190</v>
      </c>
      <c r="GU715" s="319" t="s">
        <v>428</v>
      </c>
      <c r="GV715" s="319" t="s">
        <v>428</v>
      </c>
      <c r="GW715" s="319" t="s">
        <v>190</v>
      </c>
      <c r="GX715" s="319" t="s">
        <v>190</v>
      </c>
      <c r="GY715" s="319" t="s">
        <v>190</v>
      </c>
      <c r="GZ715" s="319" t="s">
        <v>190</v>
      </c>
      <c r="HA715" s="319" t="s">
        <v>428</v>
      </c>
      <c r="HB715" s="319" t="s">
        <v>428</v>
      </c>
      <c r="HC715" s="319" t="s">
        <v>190</v>
      </c>
      <c r="HD715" s="319" t="s">
        <v>190</v>
      </c>
      <c r="HE715" s="319" t="s">
        <v>190</v>
      </c>
      <c r="HF715" s="319" t="s">
        <v>190</v>
      </c>
      <c r="HG715" s="319" t="s">
        <v>190</v>
      </c>
      <c r="HH715" s="319" t="s">
        <v>190</v>
      </c>
      <c r="HI715" s="319" t="s">
        <v>190</v>
      </c>
      <c r="HJ715" s="319" t="s">
        <v>190</v>
      </c>
      <c r="HK715" s="319" t="s">
        <v>190</v>
      </c>
      <c r="HL715" s="319" t="s">
        <v>428</v>
      </c>
      <c r="HM715" s="319" t="s">
        <v>428</v>
      </c>
      <c r="HN715" s="319" t="s">
        <v>428</v>
      </c>
      <c r="HO715" s="319" t="s">
        <v>428</v>
      </c>
      <c r="HP715" s="319" t="s">
        <v>190</v>
      </c>
      <c r="HQ715" s="319" t="s">
        <v>190</v>
      </c>
      <c r="HR715" s="319" t="s">
        <v>190</v>
      </c>
      <c r="HS715" s="319" t="s">
        <v>190</v>
      </c>
      <c r="HT715" s="319" t="s">
        <v>190</v>
      </c>
      <c r="HU715" s="319" t="s">
        <v>190</v>
      </c>
      <c r="HV715" s="319" t="s">
        <v>190</v>
      </c>
      <c r="HW715" s="319" t="s">
        <v>190</v>
      </c>
      <c r="HX715" s="319" t="s">
        <v>190</v>
      </c>
      <c r="HY715" s="319" t="s">
        <v>190</v>
      </c>
      <c r="HZ715" s="319" t="s">
        <v>190</v>
      </c>
      <c r="IA715" s="319" t="s">
        <v>190</v>
      </c>
      <c r="IB715" s="319" t="s">
        <v>190</v>
      </c>
      <c r="IC715" s="319" t="s">
        <v>190</v>
      </c>
      <c r="ID715" s="319" t="s">
        <v>190</v>
      </c>
      <c r="IE715" s="319" t="s">
        <v>190</v>
      </c>
      <c r="IF715" s="319" t="s">
        <v>190</v>
      </c>
      <c r="IG715" s="319" t="s">
        <v>190</v>
      </c>
      <c r="IH715" s="319" t="s">
        <v>190</v>
      </c>
      <c r="II715" s="319" t="s">
        <v>190</v>
      </c>
      <c r="IJ715" s="319">
        <v>10020909</v>
      </c>
      <c r="IK715" s="321">
        <v>42626</v>
      </c>
      <c r="IL715" s="321">
        <v>42628</v>
      </c>
      <c r="IM715" s="321">
        <v>42689</v>
      </c>
      <c r="IN715" s="319">
        <v>4</v>
      </c>
      <c r="IO715" s="319" t="s">
        <v>173</v>
      </c>
      <c r="IP715" s="319" t="s">
        <v>173</v>
      </c>
      <c r="IQ715" s="321" t="s">
        <v>173</v>
      </c>
      <c r="IR715" s="320" t="s">
        <v>173</v>
      </c>
      <c r="IS715" s="322" t="s">
        <v>173</v>
      </c>
      <c r="IT715" s="319" t="s">
        <v>173</v>
      </c>
    </row>
    <row r="716" spans="1:254" s="271" customFormat="1" x14ac:dyDescent="0.25">
      <c r="A716" s="318" t="str">
        <f>HYPERLINK("http://www.ofsted.gov.uk/inspection-reports/find-inspection-report/provider/ELS/138880 ","Ofsted School Webpage")</f>
        <v>Ofsted School Webpage</v>
      </c>
      <c r="B716" s="319">
        <v>138880</v>
      </c>
      <c r="C716" s="319">
        <v>9266009</v>
      </c>
      <c r="D716" s="319" t="s">
        <v>2188</v>
      </c>
      <c r="E716" s="319" t="s">
        <v>168</v>
      </c>
      <c r="F716" s="319" t="s">
        <v>81</v>
      </c>
      <c r="G716" s="319" t="s">
        <v>81</v>
      </c>
      <c r="H716" s="319" t="s">
        <v>81</v>
      </c>
      <c r="I716" s="319" t="s">
        <v>78</v>
      </c>
      <c r="J716" s="319" t="s">
        <v>424</v>
      </c>
      <c r="K716" s="319" t="s">
        <v>451</v>
      </c>
      <c r="L716" s="319" t="s">
        <v>451</v>
      </c>
      <c r="M716" s="319" t="s">
        <v>463</v>
      </c>
      <c r="N716" s="319" t="s">
        <v>3245</v>
      </c>
      <c r="O716" s="319" t="s">
        <v>2189</v>
      </c>
      <c r="P716" s="319">
        <v>7</v>
      </c>
      <c r="Q716" s="319" t="s">
        <v>429</v>
      </c>
      <c r="R716" s="320">
        <v>10020822</v>
      </c>
      <c r="S716" s="321">
        <v>42871</v>
      </c>
      <c r="T716" s="321">
        <v>42873</v>
      </c>
      <c r="U716" s="321">
        <v>42920</v>
      </c>
      <c r="V716" s="319" t="s">
        <v>425</v>
      </c>
      <c r="W716" s="319" t="s">
        <v>2767</v>
      </c>
      <c r="X716" s="319">
        <v>1</v>
      </c>
      <c r="Y716" s="319" t="s">
        <v>173</v>
      </c>
      <c r="Z716" s="319" t="s">
        <v>173</v>
      </c>
      <c r="AA716" s="319" t="s">
        <v>173</v>
      </c>
      <c r="AB716" s="319">
        <v>1</v>
      </c>
      <c r="AC716" s="319" t="s">
        <v>169</v>
      </c>
      <c r="AD716" s="319" t="s">
        <v>173</v>
      </c>
      <c r="AE716" s="319">
        <v>1</v>
      </c>
      <c r="AF716" s="319" t="s">
        <v>173</v>
      </c>
      <c r="AG716" s="319" t="s">
        <v>171</v>
      </c>
      <c r="AH716" s="319" t="s">
        <v>190</v>
      </c>
      <c r="AI716" s="319" t="s">
        <v>190</v>
      </c>
      <c r="AJ716" s="319" t="s">
        <v>190</v>
      </c>
      <c r="AK716" s="319" t="s">
        <v>190</v>
      </c>
      <c r="AL716" s="319" t="s">
        <v>190</v>
      </c>
      <c r="AM716" s="319" t="s">
        <v>190</v>
      </c>
      <c r="AN716" s="319" t="s">
        <v>190</v>
      </c>
      <c r="AO716" s="319" t="s">
        <v>190</v>
      </c>
      <c r="AP716" s="319" t="s">
        <v>190</v>
      </c>
      <c r="AQ716" s="319" t="s">
        <v>190</v>
      </c>
      <c r="AR716" s="319" t="s">
        <v>190</v>
      </c>
      <c r="AS716" s="319" t="s">
        <v>190</v>
      </c>
      <c r="AT716" s="319" t="s">
        <v>190</v>
      </c>
      <c r="AU716" s="319" t="s">
        <v>190</v>
      </c>
      <c r="AV716" s="319" t="s">
        <v>190</v>
      </c>
      <c r="AW716" s="319" t="s">
        <v>190</v>
      </c>
      <c r="AX716" s="319" t="s">
        <v>429</v>
      </c>
      <c r="AY716" s="319" t="s">
        <v>190</v>
      </c>
      <c r="AZ716" s="319" t="s">
        <v>190</v>
      </c>
      <c r="BA716" s="319" t="s">
        <v>190</v>
      </c>
      <c r="BB716" s="319" t="s">
        <v>190</v>
      </c>
      <c r="BC716" s="319" t="s">
        <v>190</v>
      </c>
      <c r="BD716" s="319" t="s">
        <v>190</v>
      </c>
      <c r="BE716" s="319" t="s">
        <v>190</v>
      </c>
      <c r="BF716" s="319" t="s">
        <v>429</v>
      </c>
      <c r="BG716" s="319" t="s">
        <v>429</v>
      </c>
      <c r="BH716" s="319" t="s">
        <v>190</v>
      </c>
      <c r="BI716" s="319" t="s">
        <v>190</v>
      </c>
      <c r="BJ716" s="319" t="s">
        <v>190</v>
      </c>
      <c r="BK716" s="319" t="s">
        <v>190</v>
      </c>
      <c r="BL716" s="319" t="s">
        <v>190</v>
      </c>
      <c r="BM716" s="319" t="s">
        <v>190</v>
      </c>
      <c r="BN716" s="319" t="s">
        <v>190</v>
      </c>
      <c r="BO716" s="319" t="s">
        <v>190</v>
      </c>
      <c r="BP716" s="319" t="s">
        <v>190</v>
      </c>
      <c r="BQ716" s="319" t="s">
        <v>190</v>
      </c>
      <c r="BR716" s="319" t="s">
        <v>190</v>
      </c>
      <c r="BS716" s="319" t="s">
        <v>190</v>
      </c>
      <c r="BT716" s="319" t="s">
        <v>190</v>
      </c>
      <c r="BU716" s="319" t="s">
        <v>190</v>
      </c>
      <c r="BV716" s="319" t="s">
        <v>190</v>
      </c>
      <c r="BW716" s="319" t="s">
        <v>190</v>
      </c>
      <c r="BX716" s="319" t="s">
        <v>190</v>
      </c>
      <c r="BY716" s="319" t="s">
        <v>190</v>
      </c>
      <c r="BZ716" s="319" t="s">
        <v>190</v>
      </c>
      <c r="CA716" s="319" t="s">
        <v>190</v>
      </c>
      <c r="CB716" s="319" t="s">
        <v>190</v>
      </c>
      <c r="CC716" s="319" t="s">
        <v>190</v>
      </c>
      <c r="CD716" s="319" t="s">
        <v>190</v>
      </c>
      <c r="CE716" s="319" t="s">
        <v>190</v>
      </c>
      <c r="CF716" s="319" t="s">
        <v>190</v>
      </c>
      <c r="CG716" s="319" t="s">
        <v>190</v>
      </c>
      <c r="CH716" s="319" t="s">
        <v>190</v>
      </c>
      <c r="CI716" s="319" t="s">
        <v>190</v>
      </c>
      <c r="CJ716" s="319" t="s">
        <v>190</v>
      </c>
      <c r="CK716" s="319" t="s">
        <v>190</v>
      </c>
      <c r="CL716" s="319" t="s">
        <v>190</v>
      </c>
      <c r="CM716" s="319" t="s">
        <v>190</v>
      </c>
      <c r="CN716" s="319" t="s">
        <v>190</v>
      </c>
      <c r="CO716" s="319" t="s">
        <v>190</v>
      </c>
      <c r="CP716" s="319" t="s">
        <v>190</v>
      </c>
      <c r="CQ716" s="319" t="s">
        <v>190</v>
      </c>
      <c r="CR716" s="319" t="s">
        <v>190</v>
      </c>
      <c r="CS716" s="319" t="s">
        <v>190</v>
      </c>
      <c r="CT716" s="319" t="s">
        <v>190</v>
      </c>
      <c r="CU716" s="319" t="s">
        <v>190</v>
      </c>
      <c r="CV716" s="319" t="s">
        <v>190</v>
      </c>
      <c r="CW716" s="319" t="s">
        <v>190</v>
      </c>
      <c r="CX716" s="319" t="s">
        <v>190</v>
      </c>
      <c r="CY716" s="319" t="s">
        <v>190</v>
      </c>
      <c r="CZ716" s="319" t="s">
        <v>190</v>
      </c>
      <c r="DA716" s="319" t="s">
        <v>190</v>
      </c>
      <c r="DB716" s="319" t="s">
        <v>190</v>
      </c>
      <c r="DC716" s="319" t="s">
        <v>190</v>
      </c>
      <c r="DD716" s="319" t="s">
        <v>190</v>
      </c>
      <c r="DE716" s="319" t="s">
        <v>190</v>
      </c>
      <c r="DF716" s="319" t="s">
        <v>190</v>
      </c>
      <c r="DG716" s="319" t="s">
        <v>190</v>
      </c>
      <c r="DH716" s="319" t="s">
        <v>190</v>
      </c>
      <c r="DI716" s="319" t="s">
        <v>190</v>
      </c>
      <c r="DJ716" s="319" t="s">
        <v>190</v>
      </c>
      <c r="DK716" s="319" t="s">
        <v>190</v>
      </c>
      <c r="DL716" s="319" t="s">
        <v>190</v>
      </c>
      <c r="DM716" s="319" t="s">
        <v>429</v>
      </c>
      <c r="DN716" s="319" t="s">
        <v>429</v>
      </c>
      <c r="DO716" s="319" t="s">
        <v>190</v>
      </c>
      <c r="DP716" s="319" t="s">
        <v>190</v>
      </c>
      <c r="DQ716" s="319" t="s">
        <v>190</v>
      </c>
      <c r="DR716" s="319" t="s">
        <v>190</v>
      </c>
      <c r="DS716" s="319" t="s">
        <v>190</v>
      </c>
      <c r="DT716" s="319" t="s">
        <v>190</v>
      </c>
      <c r="DU716" s="319" t="s">
        <v>190</v>
      </c>
      <c r="DV716" s="319" t="s">
        <v>173</v>
      </c>
      <c r="DW716" s="319" t="s">
        <v>190</v>
      </c>
      <c r="DX716" s="319" t="s">
        <v>190</v>
      </c>
      <c r="DY716" s="319" t="s">
        <v>190</v>
      </c>
      <c r="DZ716" s="319" t="s">
        <v>190</v>
      </c>
      <c r="EA716" s="319" t="s">
        <v>190</v>
      </c>
      <c r="EB716" s="319" t="s">
        <v>190</v>
      </c>
      <c r="EC716" s="319" t="s">
        <v>429</v>
      </c>
      <c r="ED716" s="319" t="s">
        <v>190</v>
      </c>
      <c r="EE716" s="319" t="s">
        <v>190</v>
      </c>
      <c r="EF716" s="319" t="s">
        <v>190</v>
      </c>
      <c r="EG716" s="319" t="s">
        <v>190</v>
      </c>
      <c r="EH716" s="319" t="s">
        <v>190</v>
      </c>
      <c r="EI716" s="319" t="s">
        <v>190</v>
      </c>
      <c r="EJ716" s="319" t="s">
        <v>190</v>
      </c>
      <c r="EK716" s="319" t="s">
        <v>190</v>
      </c>
      <c r="EL716" s="319" t="s">
        <v>190</v>
      </c>
      <c r="EM716" s="319" t="s">
        <v>190</v>
      </c>
      <c r="EN716" s="319" t="s">
        <v>190</v>
      </c>
      <c r="EO716" s="319" t="s">
        <v>190</v>
      </c>
      <c r="EP716" s="319" t="s">
        <v>190</v>
      </c>
      <c r="EQ716" s="319" t="s">
        <v>190</v>
      </c>
      <c r="ER716" s="319" t="s">
        <v>190</v>
      </c>
      <c r="ES716" s="319" t="s">
        <v>190</v>
      </c>
      <c r="ET716" s="319" t="s">
        <v>190</v>
      </c>
      <c r="EU716" s="319" t="s">
        <v>190</v>
      </c>
      <c r="EV716" s="319" t="s">
        <v>190</v>
      </c>
      <c r="EW716" s="319" t="s">
        <v>190</v>
      </c>
      <c r="EX716" s="319" t="s">
        <v>190</v>
      </c>
      <c r="EY716" s="319" t="s">
        <v>190</v>
      </c>
      <c r="EZ716" s="319" t="s">
        <v>190</v>
      </c>
      <c r="FA716" s="319" t="s">
        <v>190</v>
      </c>
      <c r="FB716" s="319" t="s">
        <v>190</v>
      </c>
      <c r="FC716" s="319" t="s">
        <v>190</v>
      </c>
      <c r="FD716" s="319" t="s">
        <v>190</v>
      </c>
      <c r="FE716" s="319" t="s">
        <v>190</v>
      </c>
      <c r="FF716" s="319" t="s">
        <v>190</v>
      </c>
      <c r="FG716" s="319" t="s">
        <v>190</v>
      </c>
      <c r="FH716" s="319" t="s">
        <v>190</v>
      </c>
      <c r="FI716" s="319" t="s">
        <v>190</v>
      </c>
      <c r="FJ716" s="319" t="s">
        <v>190</v>
      </c>
      <c r="FK716" s="319" t="s">
        <v>190</v>
      </c>
      <c r="FL716" s="319" t="s">
        <v>190</v>
      </c>
      <c r="FM716" s="319" t="s">
        <v>190</v>
      </c>
      <c r="FN716" s="319" t="s">
        <v>190</v>
      </c>
      <c r="FO716" s="319" t="s">
        <v>190</v>
      </c>
      <c r="FP716" s="319" t="s">
        <v>190</v>
      </c>
      <c r="FQ716" s="319" t="s">
        <v>190</v>
      </c>
      <c r="FR716" s="319" t="s">
        <v>190</v>
      </c>
      <c r="FS716" s="319" t="s">
        <v>429</v>
      </c>
      <c r="FT716" s="319" t="s">
        <v>190</v>
      </c>
      <c r="FU716" s="319" t="s">
        <v>190</v>
      </c>
      <c r="FV716" s="319" t="s">
        <v>190</v>
      </c>
      <c r="FW716" s="319" t="s">
        <v>190</v>
      </c>
      <c r="FX716" s="319" t="s">
        <v>190</v>
      </c>
      <c r="FY716" s="319" t="s">
        <v>190</v>
      </c>
      <c r="FZ716" s="319" t="s">
        <v>190</v>
      </c>
      <c r="GA716" s="319" t="s">
        <v>190</v>
      </c>
      <c r="GB716" s="319" t="s">
        <v>190</v>
      </c>
      <c r="GC716" s="319" t="s">
        <v>190</v>
      </c>
      <c r="GD716" s="319" t="s">
        <v>190</v>
      </c>
      <c r="GE716" s="319" t="s">
        <v>190</v>
      </c>
      <c r="GF716" s="319" t="s">
        <v>190</v>
      </c>
      <c r="GG716" s="319" t="s">
        <v>190</v>
      </c>
      <c r="GH716" s="319" t="s">
        <v>190</v>
      </c>
      <c r="GI716" s="319" t="s">
        <v>190</v>
      </c>
      <c r="GJ716" s="319" t="s">
        <v>190</v>
      </c>
      <c r="GK716" s="319" t="s">
        <v>429</v>
      </c>
      <c r="GL716" s="319" t="s">
        <v>190</v>
      </c>
      <c r="GM716" s="319" t="s">
        <v>190</v>
      </c>
      <c r="GN716" s="319" t="s">
        <v>190</v>
      </c>
      <c r="GO716" s="319" t="s">
        <v>190</v>
      </c>
      <c r="GP716" s="319" t="s">
        <v>190</v>
      </c>
      <c r="GQ716" s="319" t="s">
        <v>190</v>
      </c>
      <c r="GR716" s="319" t="s">
        <v>190</v>
      </c>
      <c r="GS716" s="319" t="s">
        <v>190</v>
      </c>
      <c r="GT716" s="319" t="s">
        <v>190</v>
      </c>
      <c r="GU716" s="319" t="s">
        <v>190</v>
      </c>
      <c r="GV716" s="319" t="s">
        <v>190</v>
      </c>
      <c r="GW716" s="319" t="s">
        <v>190</v>
      </c>
      <c r="GX716" s="319" t="s">
        <v>190</v>
      </c>
      <c r="GY716" s="319" t="s">
        <v>190</v>
      </c>
      <c r="GZ716" s="319" t="s">
        <v>190</v>
      </c>
      <c r="HA716" s="319" t="s">
        <v>190</v>
      </c>
      <c r="HB716" s="319" t="s">
        <v>190</v>
      </c>
      <c r="HC716" s="319" t="s">
        <v>190</v>
      </c>
      <c r="HD716" s="319" t="s">
        <v>190</v>
      </c>
      <c r="HE716" s="319" t="s">
        <v>190</v>
      </c>
      <c r="HF716" s="319" t="s">
        <v>190</v>
      </c>
      <c r="HG716" s="319" t="s">
        <v>190</v>
      </c>
      <c r="HH716" s="319" t="s">
        <v>190</v>
      </c>
      <c r="HI716" s="319" t="s">
        <v>190</v>
      </c>
      <c r="HJ716" s="319" t="s">
        <v>190</v>
      </c>
      <c r="HK716" s="319" t="s">
        <v>190</v>
      </c>
      <c r="HL716" s="319" t="s">
        <v>190</v>
      </c>
      <c r="HM716" s="319" t="s">
        <v>190</v>
      </c>
      <c r="HN716" s="319" t="s">
        <v>190</v>
      </c>
      <c r="HO716" s="319" t="s">
        <v>190</v>
      </c>
      <c r="HP716" s="319" t="s">
        <v>190</v>
      </c>
      <c r="HQ716" s="319" t="s">
        <v>190</v>
      </c>
      <c r="HR716" s="319" t="s">
        <v>190</v>
      </c>
      <c r="HS716" s="319" t="s">
        <v>190</v>
      </c>
      <c r="HT716" s="319" t="s">
        <v>190</v>
      </c>
      <c r="HU716" s="319" t="s">
        <v>190</v>
      </c>
      <c r="HV716" s="319" t="s">
        <v>190</v>
      </c>
      <c r="HW716" s="319" t="s">
        <v>190</v>
      </c>
      <c r="HX716" s="319" t="s">
        <v>190</v>
      </c>
      <c r="HY716" s="319" t="s">
        <v>190</v>
      </c>
      <c r="HZ716" s="319" t="s">
        <v>190</v>
      </c>
      <c r="IA716" s="319" t="s">
        <v>190</v>
      </c>
      <c r="IB716" s="319" t="s">
        <v>190</v>
      </c>
      <c r="IC716" s="319" t="s">
        <v>190</v>
      </c>
      <c r="ID716" s="319" t="s">
        <v>190</v>
      </c>
      <c r="IE716" s="319" t="s">
        <v>190</v>
      </c>
      <c r="IF716" s="319" t="s">
        <v>190</v>
      </c>
      <c r="IG716" s="319" t="s">
        <v>190</v>
      </c>
      <c r="IH716" s="319" t="s">
        <v>190</v>
      </c>
      <c r="II716" s="319" t="s">
        <v>190</v>
      </c>
      <c r="IJ716" s="319" t="s">
        <v>3448</v>
      </c>
      <c r="IK716" s="321">
        <v>41534</v>
      </c>
      <c r="IL716" s="321">
        <v>41535</v>
      </c>
      <c r="IM716" s="321">
        <v>41556</v>
      </c>
      <c r="IN716" s="319">
        <v>3</v>
      </c>
      <c r="IO716" s="319" t="s">
        <v>173</v>
      </c>
      <c r="IP716" s="319" t="s">
        <v>173</v>
      </c>
      <c r="IQ716" s="321" t="s">
        <v>173</v>
      </c>
      <c r="IR716" s="320" t="s">
        <v>173</v>
      </c>
      <c r="IS716" s="322" t="s">
        <v>173</v>
      </c>
      <c r="IT716" s="319" t="s">
        <v>173</v>
      </c>
    </row>
    <row r="717" spans="1:254" s="271" customFormat="1" x14ac:dyDescent="0.25">
      <c r="A717" s="318" t="str">
        <f>HYPERLINK("http://www.ofsted.gov.uk/inspection-reports/find-inspection-report/provider/ELS/138884 ","Ofsted School Webpage")</f>
        <v>Ofsted School Webpage</v>
      </c>
      <c r="B717" s="319">
        <v>138884</v>
      </c>
      <c r="C717" s="319">
        <v>8896013</v>
      </c>
      <c r="D717" s="319" t="s">
        <v>3449</v>
      </c>
      <c r="E717" s="319" t="s">
        <v>168</v>
      </c>
      <c r="F717" s="319" t="s">
        <v>81</v>
      </c>
      <c r="G717" s="319" t="s">
        <v>81</v>
      </c>
      <c r="H717" s="319" t="s">
        <v>81</v>
      </c>
      <c r="I717" s="319" t="s">
        <v>78</v>
      </c>
      <c r="J717" s="319" t="s">
        <v>424</v>
      </c>
      <c r="K717" s="319" t="s">
        <v>431</v>
      </c>
      <c r="L717" s="319" t="s">
        <v>431</v>
      </c>
      <c r="M717" s="319" t="s">
        <v>541</v>
      </c>
      <c r="N717" s="319" t="s">
        <v>2991</v>
      </c>
      <c r="O717" s="319" t="s">
        <v>2190</v>
      </c>
      <c r="P717" s="319">
        <v>39</v>
      </c>
      <c r="Q717" s="319" t="s">
        <v>429</v>
      </c>
      <c r="R717" s="320">
        <v>10020807</v>
      </c>
      <c r="S717" s="321">
        <v>43011</v>
      </c>
      <c r="T717" s="321">
        <v>43013</v>
      </c>
      <c r="U717" s="321">
        <v>43033</v>
      </c>
      <c r="V717" s="319" t="s">
        <v>425</v>
      </c>
      <c r="W717" s="319" t="s">
        <v>2767</v>
      </c>
      <c r="X717" s="319">
        <v>2</v>
      </c>
      <c r="Y717" s="319" t="s">
        <v>173</v>
      </c>
      <c r="Z717" s="319" t="s">
        <v>173</v>
      </c>
      <c r="AA717" s="319" t="s">
        <v>173</v>
      </c>
      <c r="AB717" s="319">
        <v>2</v>
      </c>
      <c r="AC717" s="319" t="s">
        <v>169</v>
      </c>
      <c r="AD717" s="319" t="s">
        <v>173</v>
      </c>
      <c r="AE717" s="319" t="s">
        <v>173</v>
      </c>
      <c r="AF717" s="319" t="s">
        <v>173</v>
      </c>
      <c r="AG717" s="319" t="s">
        <v>171</v>
      </c>
      <c r="AH717" s="319" t="s">
        <v>190</v>
      </c>
      <c r="AI717" s="319" t="s">
        <v>190</v>
      </c>
      <c r="AJ717" s="319" t="s">
        <v>190</v>
      </c>
      <c r="AK717" s="319" t="s">
        <v>190</v>
      </c>
      <c r="AL717" s="319" t="s">
        <v>190</v>
      </c>
      <c r="AM717" s="319" t="s">
        <v>190</v>
      </c>
      <c r="AN717" s="319" t="s">
        <v>190</v>
      </c>
      <c r="AO717" s="319" t="s">
        <v>190</v>
      </c>
      <c r="AP717" s="319" t="s">
        <v>190</v>
      </c>
      <c r="AQ717" s="319" t="s">
        <v>190</v>
      </c>
      <c r="AR717" s="319" t="s">
        <v>190</v>
      </c>
      <c r="AS717" s="319" t="s">
        <v>190</v>
      </c>
      <c r="AT717" s="319" t="s">
        <v>190</v>
      </c>
      <c r="AU717" s="319" t="s">
        <v>190</v>
      </c>
      <c r="AV717" s="319" t="s">
        <v>190</v>
      </c>
      <c r="AW717" s="319" t="s">
        <v>190</v>
      </c>
      <c r="AX717" s="319" t="s">
        <v>429</v>
      </c>
      <c r="AY717" s="319" t="s">
        <v>190</v>
      </c>
      <c r="AZ717" s="319" t="s">
        <v>190</v>
      </c>
      <c r="BA717" s="319" t="s">
        <v>190</v>
      </c>
      <c r="BB717" s="319" t="s">
        <v>190</v>
      </c>
      <c r="BC717" s="319" t="s">
        <v>190</v>
      </c>
      <c r="BD717" s="319" t="s">
        <v>190</v>
      </c>
      <c r="BE717" s="319" t="s">
        <v>190</v>
      </c>
      <c r="BF717" s="319" t="s">
        <v>429</v>
      </c>
      <c r="BG717" s="319" t="s">
        <v>429</v>
      </c>
      <c r="BH717" s="319" t="s">
        <v>190</v>
      </c>
      <c r="BI717" s="319" t="s">
        <v>190</v>
      </c>
      <c r="BJ717" s="319" t="s">
        <v>190</v>
      </c>
      <c r="BK717" s="319" t="s">
        <v>190</v>
      </c>
      <c r="BL717" s="319" t="s">
        <v>190</v>
      </c>
      <c r="BM717" s="319" t="s">
        <v>190</v>
      </c>
      <c r="BN717" s="319" t="s">
        <v>190</v>
      </c>
      <c r="BO717" s="319" t="s">
        <v>190</v>
      </c>
      <c r="BP717" s="319" t="s">
        <v>190</v>
      </c>
      <c r="BQ717" s="319" t="s">
        <v>190</v>
      </c>
      <c r="BR717" s="319" t="s">
        <v>190</v>
      </c>
      <c r="BS717" s="319" t="s">
        <v>190</v>
      </c>
      <c r="BT717" s="319" t="s">
        <v>190</v>
      </c>
      <c r="BU717" s="319" t="s">
        <v>190</v>
      </c>
      <c r="BV717" s="319" t="s">
        <v>190</v>
      </c>
      <c r="BW717" s="319" t="s">
        <v>190</v>
      </c>
      <c r="BX717" s="319" t="s">
        <v>190</v>
      </c>
      <c r="BY717" s="319" t="s">
        <v>190</v>
      </c>
      <c r="BZ717" s="319" t="s">
        <v>190</v>
      </c>
      <c r="CA717" s="319" t="s">
        <v>190</v>
      </c>
      <c r="CB717" s="319" t="s">
        <v>190</v>
      </c>
      <c r="CC717" s="319" t="s">
        <v>190</v>
      </c>
      <c r="CD717" s="319" t="s">
        <v>190</v>
      </c>
      <c r="CE717" s="319" t="s">
        <v>190</v>
      </c>
      <c r="CF717" s="319" t="s">
        <v>190</v>
      </c>
      <c r="CG717" s="319" t="s">
        <v>190</v>
      </c>
      <c r="CH717" s="319" t="s">
        <v>190</v>
      </c>
      <c r="CI717" s="319" t="s">
        <v>190</v>
      </c>
      <c r="CJ717" s="319" t="s">
        <v>190</v>
      </c>
      <c r="CK717" s="319" t="s">
        <v>190</v>
      </c>
      <c r="CL717" s="319" t="s">
        <v>190</v>
      </c>
      <c r="CM717" s="319" t="s">
        <v>190</v>
      </c>
      <c r="CN717" s="319" t="s">
        <v>429</v>
      </c>
      <c r="CO717" s="319" t="s">
        <v>429</v>
      </c>
      <c r="CP717" s="319" t="s">
        <v>429</v>
      </c>
      <c r="CQ717" s="319" t="s">
        <v>190</v>
      </c>
      <c r="CR717" s="319" t="s">
        <v>190</v>
      </c>
      <c r="CS717" s="319" t="s">
        <v>190</v>
      </c>
      <c r="CT717" s="319" t="s">
        <v>190</v>
      </c>
      <c r="CU717" s="319" t="s">
        <v>190</v>
      </c>
      <c r="CV717" s="319" t="s">
        <v>190</v>
      </c>
      <c r="CW717" s="319" t="s">
        <v>190</v>
      </c>
      <c r="CX717" s="319" t="s">
        <v>190</v>
      </c>
      <c r="CY717" s="319" t="s">
        <v>190</v>
      </c>
      <c r="CZ717" s="319" t="s">
        <v>190</v>
      </c>
      <c r="DA717" s="319" t="s">
        <v>190</v>
      </c>
      <c r="DB717" s="319" t="s">
        <v>190</v>
      </c>
      <c r="DC717" s="319" t="s">
        <v>190</v>
      </c>
      <c r="DD717" s="319" t="s">
        <v>190</v>
      </c>
      <c r="DE717" s="319" t="s">
        <v>190</v>
      </c>
      <c r="DF717" s="319" t="s">
        <v>190</v>
      </c>
      <c r="DG717" s="319" t="s">
        <v>190</v>
      </c>
      <c r="DH717" s="319" t="s">
        <v>190</v>
      </c>
      <c r="DI717" s="319" t="s">
        <v>190</v>
      </c>
      <c r="DJ717" s="319" t="s">
        <v>190</v>
      </c>
      <c r="DK717" s="319" t="s">
        <v>190</v>
      </c>
      <c r="DL717" s="319" t="s">
        <v>190</v>
      </c>
      <c r="DM717" s="319" t="s">
        <v>190</v>
      </c>
      <c r="DN717" s="319" t="s">
        <v>429</v>
      </c>
      <c r="DO717" s="319" t="s">
        <v>190</v>
      </c>
      <c r="DP717" s="319" t="s">
        <v>190</v>
      </c>
      <c r="DQ717" s="319" t="s">
        <v>190</v>
      </c>
      <c r="DR717" s="319" t="s">
        <v>190</v>
      </c>
      <c r="DS717" s="319" t="s">
        <v>190</v>
      </c>
      <c r="DT717" s="319" t="s">
        <v>190</v>
      </c>
      <c r="DU717" s="319" t="s">
        <v>190</v>
      </c>
      <c r="DV717" s="319" t="s">
        <v>173</v>
      </c>
      <c r="DW717" s="319" t="s">
        <v>190</v>
      </c>
      <c r="DX717" s="319" t="s">
        <v>190</v>
      </c>
      <c r="DY717" s="319" t="s">
        <v>190</v>
      </c>
      <c r="DZ717" s="319" t="s">
        <v>190</v>
      </c>
      <c r="EA717" s="319" t="s">
        <v>190</v>
      </c>
      <c r="EB717" s="319" t="s">
        <v>190</v>
      </c>
      <c r="EC717" s="319" t="s">
        <v>429</v>
      </c>
      <c r="ED717" s="319" t="s">
        <v>190</v>
      </c>
      <c r="EE717" s="319" t="s">
        <v>190</v>
      </c>
      <c r="EF717" s="319" t="s">
        <v>190</v>
      </c>
      <c r="EG717" s="319" t="s">
        <v>190</v>
      </c>
      <c r="EH717" s="319" t="s">
        <v>190</v>
      </c>
      <c r="EI717" s="319" t="s">
        <v>190</v>
      </c>
      <c r="EJ717" s="319" t="s">
        <v>190</v>
      </c>
      <c r="EK717" s="319" t="s">
        <v>190</v>
      </c>
      <c r="EL717" s="319" t="s">
        <v>190</v>
      </c>
      <c r="EM717" s="319" t="s">
        <v>190</v>
      </c>
      <c r="EN717" s="319" t="s">
        <v>190</v>
      </c>
      <c r="EO717" s="319" t="s">
        <v>190</v>
      </c>
      <c r="EP717" s="319" t="s">
        <v>190</v>
      </c>
      <c r="EQ717" s="319" t="s">
        <v>190</v>
      </c>
      <c r="ER717" s="319" t="s">
        <v>190</v>
      </c>
      <c r="ES717" s="319" t="s">
        <v>190</v>
      </c>
      <c r="ET717" s="319" t="s">
        <v>190</v>
      </c>
      <c r="EU717" s="319" t="s">
        <v>190</v>
      </c>
      <c r="EV717" s="319" t="s">
        <v>190</v>
      </c>
      <c r="EW717" s="319" t="s">
        <v>190</v>
      </c>
      <c r="EX717" s="319" t="s">
        <v>190</v>
      </c>
      <c r="EY717" s="319" t="s">
        <v>190</v>
      </c>
      <c r="EZ717" s="319" t="s">
        <v>190</v>
      </c>
      <c r="FA717" s="319" t="s">
        <v>190</v>
      </c>
      <c r="FB717" s="319" t="s">
        <v>190</v>
      </c>
      <c r="FC717" s="319" t="s">
        <v>190</v>
      </c>
      <c r="FD717" s="319" t="s">
        <v>190</v>
      </c>
      <c r="FE717" s="319" t="s">
        <v>190</v>
      </c>
      <c r="FF717" s="319" t="s">
        <v>190</v>
      </c>
      <c r="FG717" s="319" t="s">
        <v>190</v>
      </c>
      <c r="FH717" s="319" t="s">
        <v>190</v>
      </c>
      <c r="FI717" s="319" t="s">
        <v>190</v>
      </c>
      <c r="FJ717" s="319" t="s">
        <v>190</v>
      </c>
      <c r="FK717" s="319" t="s">
        <v>190</v>
      </c>
      <c r="FL717" s="319" t="s">
        <v>190</v>
      </c>
      <c r="FM717" s="319" t="s">
        <v>190</v>
      </c>
      <c r="FN717" s="319" t="s">
        <v>190</v>
      </c>
      <c r="FO717" s="319" t="s">
        <v>190</v>
      </c>
      <c r="FP717" s="319" t="s">
        <v>190</v>
      </c>
      <c r="FQ717" s="319" t="s">
        <v>190</v>
      </c>
      <c r="FR717" s="319" t="s">
        <v>190</v>
      </c>
      <c r="FS717" s="319" t="s">
        <v>429</v>
      </c>
      <c r="FT717" s="319" t="s">
        <v>190</v>
      </c>
      <c r="FU717" s="319" t="s">
        <v>190</v>
      </c>
      <c r="FV717" s="319" t="s">
        <v>190</v>
      </c>
      <c r="FW717" s="319" t="s">
        <v>190</v>
      </c>
      <c r="FX717" s="319" t="s">
        <v>190</v>
      </c>
      <c r="FY717" s="319" t="s">
        <v>190</v>
      </c>
      <c r="FZ717" s="319" t="s">
        <v>190</v>
      </c>
      <c r="GA717" s="319" t="s">
        <v>190</v>
      </c>
      <c r="GB717" s="319" t="s">
        <v>190</v>
      </c>
      <c r="GC717" s="319" t="s">
        <v>190</v>
      </c>
      <c r="GD717" s="319" t="s">
        <v>190</v>
      </c>
      <c r="GE717" s="319" t="s">
        <v>190</v>
      </c>
      <c r="GF717" s="319" t="s">
        <v>190</v>
      </c>
      <c r="GG717" s="319" t="s">
        <v>190</v>
      </c>
      <c r="GH717" s="319" t="s">
        <v>190</v>
      </c>
      <c r="GI717" s="319" t="s">
        <v>190</v>
      </c>
      <c r="GJ717" s="319" t="s">
        <v>190</v>
      </c>
      <c r="GK717" s="319" t="s">
        <v>429</v>
      </c>
      <c r="GL717" s="319" t="s">
        <v>190</v>
      </c>
      <c r="GM717" s="319" t="s">
        <v>190</v>
      </c>
      <c r="GN717" s="319" t="s">
        <v>190</v>
      </c>
      <c r="GO717" s="319" t="s">
        <v>190</v>
      </c>
      <c r="GP717" s="319" t="s">
        <v>190</v>
      </c>
      <c r="GQ717" s="319" t="s">
        <v>429</v>
      </c>
      <c r="GR717" s="319" t="s">
        <v>190</v>
      </c>
      <c r="GS717" s="319" t="s">
        <v>190</v>
      </c>
      <c r="GT717" s="319" t="s">
        <v>190</v>
      </c>
      <c r="GU717" s="319" t="s">
        <v>190</v>
      </c>
      <c r="GV717" s="319" t="s">
        <v>190</v>
      </c>
      <c r="GW717" s="319" t="s">
        <v>190</v>
      </c>
      <c r="GX717" s="319" t="s">
        <v>190</v>
      </c>
      <c r="GY717" s="319" t="s">
        <v>190</v>
      </c>
      <c r="GZ717" s="319" t="s">
        <v>190</v>
      </c>
      <c r="HA717" s="319" t="s">
        <v>429</v>
      </c>
      <c r="HB717" s="319" t="s">
        <v>190</v>
      </c>
      <c r="HC717" s="319" t="s">
        <v>190</v>
      </c>
      <c r="HD717" s="319" t="s">
        <v>190</v>
      </c>
      <c r="HE717" s="319" t="s">
        <v>190</v>
      </c>
      <c r="HF717" s="319" t="s">
        <v>190</v>
      </c>
      <c r="HG717" s="319" t="s">
        <v>190</v>
      </c>
      <c r="HH717" s="319" t="s">
        <v>190</v>
      </c>
      <c r="HI717" s="319" t="s">
        <v>190</v>
      </c>
      <c r="HJ717" s="319" t="s">
        <v>190</v>
      </c>
      <c r="HK717" s="319" t="s">
        <v>190</v>
      </c>
      <c r="HL717" s="319" t="s">
        <v>190</v>
      </c>
      <c r="HM717" s="319" t="s">
        <v>429</v>
      </c>
      <c r="HN717" s="319" t="s">
        <v>429</v>
      </c>
      <c r="HO717" s="319" t="s">
        <v>429</v>
      </c>
      <c r="HP717" s="319" t="s">
        <v>190</v>
      </c>
      <c r="HQ717" s="319" t="s">
        <v>190</v>
      </c>
      <c r="HR717" s="319" t="s">
        <v>190</v>
      </c>
      <c r="HS717" s="319" t="s">
        <v>190</v>
      </c>
      <c r="HT717" s="319" t="s">
        <v>190</v>
      </c>
      <c r="HU717" s="319" t="s">
        <v>190</v>
      </c>
      <c r="HV717" s="319" t="s">
        <v>190</v>
      </c>
      <c r="HW717" s="319" t="s">
        <v>190</v>
      </c>
      <c r="HX717" s="319" t="s">
        <v>190</v>
      </c>
      <c r="HY717" s="319" t="s">
        <v>190</v>
      </c>
      <c r="HZ717" s="319" t="s">
        <v>190</v>
      </c>
      <c r="IA717" s="319" t="s">
        <v>190</v>
      </c>
      <c r="IB717" s="319" t="s">
        <v>190</v>
      </c>
      <c r="IC717" s="319" t="s">
        <v>190</v>
      </c>
      <c r="ID717" s="319" t="s">
        <v>190</v>
      </c>
      <c r="IE717" s="319" t="s">
        <v>190</v>
      </c>
      <c r="IF717" s="319" t="s">
        <v>190</v>
      </c>
      <c r="IG717" s="319" t="s">
        <v>190</v>
      </c>
      <c r="IH717" s="319" t="s">
        <v>190</v>
      </c>
      <c r="II717" s="319" t="s">
        <v>190</v>
      </c>
      <c r="IJ717" s="319" t="s">
        <v>3450</v>
      </c>
      <c r="IK717" s="321">
        <v>41541</v>
      </c>
      <c r="IL717" s="321">
        <v>41543</v>
      </c>
      <c r="IM717" s="321">
        <v>41564</v>
      </c>
      <c r="IN717" s="319">
        <v>2</v>
      </c>
      <c r="IO717" s="319" t="s">
        <v>173</v>
      </c>
      <c r="IP717" s="319" t="s">
        <v>173</v>
      </c>
      <c r="IQ717" s="319" t="s">
        <v>173</v>
      </c>
      <c r="IR717" s="320" t="s">
        <v>173</v>
      </c>
      <c r="IS717" s="320" t="s">
        <v>173</v>
      </c>
      <c r="IT717" s="319" t="s">
        <v>173</v>
      </c>
    </row>
    <row r="718" spans="1:254" s="271" customFormat="1" x14ac:dyDescent="0.25">
      <c r="A718" s="318" t="str">
        <f>HYPERLINK("http://www.ofsted.gov.uk/inspection-reports/find-inspection-report/provider/ELS/138971 ","Ofsted School Webpage")</f>
        <v>Ofsted School Webpage</v>
      </c>
      <c r="B718" s="319">
        <v>138971</v>
      </c>
      <c r="C718" s="319">
        <v>3306013</v>
      </c>
      <c r="D718" s="319" t="s">
        <v>2191</v>
      </c>
      <c r="E718" s="319" t="s">
        <v>168</v>
      </c>
      <c r="F718" s="319" t="s">
        <v>81</v>
      </c>
      <c r="G718" s="319" t="s">
        <v>81</v>
      </c>
      <c r="H718" s="319" t="s">
        <v>81</v>
      </c>
      <c r="I718" s="319" t="s">
        <v>78</v>
      </c>
      <c r="J718" s="319" t="s">
        <v>424</v>
      </c>
      <c r="K718" s="319" t="s">
        <v>437</v>
      </c>
      <c r="L718" s="319" t="s">
        <v>437</v>
      </c>
      <c r="M718" s="319" t="s">
        <v>813</v>
      </c>
      <c r="N718" s="319" t="s">
        <v>2859</v>
      </c>
      <c r="O718" s="319" t="s">
        <v>2192</v>
      </c>
      <c r="P718" s="319">
        <v>23</v>
      </c>
      <c r="Q718" s="319" t="s">
        <v>429</v>
      </c>
      <c r="R718" s="320">
        <v>10093006</v>
      </c>
      <c r="S718" s="321">
        <v>43627</v>
      </c>
      <c r="T718" s="321">
        <v>43629</v>
      </c>
      <c r="U718" s="321">
        <v>43650</v>
      </c>
      <c r="V718" s="319" t="s">
        <v>425</v>
      </c>
      <c r="W718" s="319" t="s">
        <v>2767</v>
      </c>
      <c r="X718" s="319">
        <v>2</v>
      </c>
      <c r="Y718" s="319" t="s">
        <v>173</v>
      </c>
      <c r="Z718" s="319" t="s">
        <v>173</v>
      </c>
      <c r="AA718" s="319" t="s">
        <v>173</v>
      </c>
      <c r="AB718" s="319">
        <v>2</v>
      </c>
      <c r="AC718" s="319" t="s">
        <v>169</v>
      </c>
      <c r="AD718" s="319" t="s">
        <v>173</v>
      </c>
      <c r="AE718" s="319" t="s">
        <v>173</v>
      </c>
      <c r="AF718" s="319" t="s">
        <v>427</v>
      </c>
      <c r="AG718" s="319" t="s">
        <v>171</v>
      </c>
      <c r="AH718" s="319" t="s">
        <v>190</v>
      </c>
      <c r="AI718" s="319" t="s">
        <v>190</v>
      </c>
      <c r="AJ718" s="319" t="s">
        <v>190</v>
      </c>
      <c r="AK718" s="319" t="s">
        <v>190</v>
      </c>
      <c r="AL718" s="319" t="s">
        <v>190</v>
      </c>
      <c r="AM718" s="319" t="s">
        <v>190</v>
      </c>
      <c r="AN718" s="319" t="s">
        <v>190</v>
      </c>
      <c r="AO718" s="319" t="s">
        <v>190</v>
      </c>
      <c r="AP718" s="319" t="s">
        <v>190</v>
      </c>
      <c r="AQ718" s="319" t="s">
        <v>190</v>
      </c>
      <c r="AR718" s="319" t="s">
        <v>190</v>
      </c>
      <c r="AS718" s="319" t="s">
        <v>190</v>
      </c>
      <c r="AT718" s="319" t="s">
        <v>190</v>
      </c>
      <c r="AU718" s="319" t="s">
        <v>190</v>
      </c>
      <c r="AV718" s="319" t="s">
        <v>190</v>
      </c>
      <c r="AW718" s="319" t="s">
        <v>190</v>
      </c>
      <c r="AX718" s="319" t="s">
        <v>190</v>
      </c>
      <c r="AY718" s="319" t="s">
        <v>190</v>
      </c>
      <c r="AZ718" s="319" t="s">
        <v>190</v>
      </c>
      <c r="BA718" s="319" t="s">
        <v>190</v>
      </c>
      <c r="BB718" s="319" t="s">
        <v>190</v>
      </c>
      <c r="BC718" s="319" t="s">
        <v>190</v>
      </c>
      <c r="BD718" s="319" t="s">
        <v>190</v>
      </c>
      <c r="BE718" s="319" t="s">
        <v>190</v>
      </c>
      <c r="BF718" s="319" t="s">
        <v>428</v>
      </c>
      <c r="BG718" s="319" t="s">
        <v>428</v>
      </c>
      <c r="BH718" s="319" t="s">
        <v>190</v>
      </c>
      <c r="BI718" s="319" t="s">
        <v>190</v>
      </c>
      <c r="BJ718" s="319" t="s">
        <v>190</v>
      </c>
      <c r="BK718" s="319" t="s">
        <v>190</v>
      </c>
      <c r="BL718" s="319" t="s">
        <v>190</v>
      </c>
      <c r="BM718" s="319" t="s">
        <v>190</v>
      </c>
      <c r="BN718" s="319" t="s">
        <v>190</v>
      </c>
      <c r="BO718" s="319" t="s">
        <v>190</v>
      </c>
      <c r="BP718" s="319" t="s">
        <v>190</v>
      </c>
      <c r="BQ718" s="319" t="s">
        <v>190</v>
      </c>
      <c r="BR718" s="319" t="s">
        <v>190</v>
      </c>
      <c r="BS718" s="319" t="s">
        <v>190</v>
      </c>
      <c r="BT718" s="319" t="s">
        <v>190</v>
      </c>
      <c r="BU718" s="319" t="s">
        <v>190</v>
      </c>
      <c r="BV718" s="319" t="s">
        <v>190</v>
      </c>
      <c r="BW718" s="319" t="s">
        <v>190</v>
      </c>
      <c r="BX718" s="319" t="s">
        <v>190</v>
      </c>
      <c r="BY718" s="319" t="s">
        <v>190</v>
      </c>
      <c r="BZ718" s="319" t="s">
        <v>190</v>
      </c>
      <c r="CA718" s="319" t="s">
        <v>190</v>
      </c>
      <c r="CB718" s="319" t="s">
        <v>190</v>
      </c>
      <c r="CC718" s="319" t="s">
        <v>190</v>
      </c>
      <c r="CD718" s="319" t="s">
        <v>190</v>
      </c>
      <c r="CE718" s="319" t="s">
        <v>190</v>
      </c>
      <c r="CF718" s="319" t="s">
        <v>190</v>
      </c>
      <c r="CG718" s="319" t="s">
        <v>190</v>
      </c>
      <c r="CH718" s="319" t="s">
        <v>190</v>
      </c>
      <c r="CI718" s="319" t="s">
        <v>190</v>
      </c>
      <c r="CJ718" s="319" t="s">
        <v>190</v>
      </c>
      <c r="CK718" s="319" t="s">
        <v>190</v>
      </c>
      <c r="CL718" s="319" t="s">
        <v>190</v>
      </c>
      <c r="CM718" s="319" t="s">
        <v>190</v>
      </c>
      <c r="CN718" s="319" t="s">
        <v>428</v>
      </c>
      <c r="CO718" s="319" t="s">
        <v>428</v>
      </c>
      <c r="CP718" s="319" t="s">
        <v>428</v>
      </c>
      <c r="CQ718" s="319" t="s">
        <v>190</v>
      </c>
      <c r="CR718" s="319" t="s">
        <v>190</v>
      </c>
      <c r="CS718" s="319" t="s">
        <v>190</v>
      </c>
      <c r="CT718" s="319" t="s">
        <v>190</v>
      </c>
      <c r="CU718" s="319" t="s">
        <v>190</v>
      </c>
      <c r="CV718" s="319" t="s">
        <v>190</v>
      </c>
      <c r="CW718" s="319" t="s">
        <v>190</v>
      </c>
      <c r="CX718" s="319" t="s">
        <v>190</v>
      </c>
      <c r="CY718" s="319" t="s">
        <v>190</v>
      </c>
      <c r="CZ718" s="319" t="s">
        <v>190</v>
      </c>
      <c r="DA718" s="319" t="s">
        <v>190</v>
      </c>
      <c r="DB718" s="319" t="s">
        <v>190</v>
      </c>
      <c r="DC718" s="319" t="s">
        <v>190</v>
      </c>
      <c r="DD718" s="319" t="s">
        <v>190</v>
      </c>
      <c r="DE718" s="319" t="s">
        <v>190</v>
      </c>
      <c r="DF718" s="319" t="s">
        <v>190</v>
      </c>
      <c r="DG718" s="319" t="s">
        <v>190</v>
      </c>
      <c r="DH718" s="319" t="s">
        <v>190</v>
      </c>
      <c r="DI718" s="319" t="s">
        <v>190</v>
      </c>
      <c r="DJ718" s="319" t="s">
        <v>190</v>
      </c>
      <c r="DK718" s="319" t="s">
        <v>190</v>
      </c>
      <c r="DL718" s="319" t="s">
        <v>190</v>
      </c>
      <c r="DM718" s="319" t="s">
        <v>190</v>
      </c>
      <c r="DN718" s="319" t="s">
        <v>428</v>
      </c>
      <c r="DO718" s="319" t="s">
        <v>190</v>
      </c>
      <c r="DP718" s="319" t="s">
        <v>190</v>
      </c>
      <c r="DQ718" s="319" t="s">
        <v>190</v>
      </c>
      <c r="DR718" s="319" t="s">
        <v>190</v>
      </c>
      <c r="DS718" s="319" t="s">
        <v>190</v>
      </c>
      <c r="DT718" s="319" t="s">
        <v>190</v>
      </c>
      <c r="DU718" s="319" t="s">
        <v>190</v>
      </c>
      <c r="DV718" s="319" t="s">
        <v>173</v>
      </c>
      <c r="DW718" s="319" t="s">
        <v>190</v>
      </c>
      <c r="DX718" s="319" t="s">
        <v>190</v>
      </c>
      <c r="DY718" s="319" t="s">
        <v>190</v>
      </c>
      <c r="DZ718" s="319" t="s">
        <v>190</v>
      </c>
      <c r="EA718" s="319" t="s">
        <v>190</v>
      </c>
      <c r="EB718" s="319" t="s">
        <v>190</v>
      </c>
      <c r="EC718" s="319" t="s">
        <v>428</v>
      </c>
      <c r="ED718" s="319" t="s">
        <v>190</v>
      </c>
      <c r="EE718" s="319" t="s">
        <v>190</v>
      </c>
      <c r="EF718" s="319" t="s">
        <v>190</v>
      </c>
      <c r="EG718" s="319" t="s">
        <v>190</v>
      </c>
      <c r="EH718" s="319" t="s">
        <v>190</v>
      </c>
      <c r="EI718" s="319" t="s">
        <v>190</v>
      </c>
      <c r="EJ718" s="319" t="s">
        <v>190</v>
      </c>
      <c r="EK718" s="319" t="s">
        <v>190</v>
      </c>
      <c r="EL718" s="319" t="s">
        <v>190</v>
      </c>
      <c r="EM718" s="319" t="s">
        <v>190</v>
      </c>
      <c r="EN718" s="319" t="s">
        <v>190</v>
      </c>
      <c r="EO718" s="319" t="s">
        <v>190</v>
      </c>
      <c r="EP718" s="319" t="s">
        <v>190</v>
      </c>
      <c r="EQ718" s="319" t="s">
        <v>190</v>
      </c>
      <c r="ER718" s="319" t="s">
        <v>190</v>
      </c>
      <c r="ES718" s="319" t="s">
        <v>190</v>
      </c>
      <c r="ET718" s="319" t="s">
        <v>190</v>
      </c>
      <c r="EU718" s="319" t="s">
        <v>190</v>
      </c>
      <c r="EV718" s="319" t="s">
        <v>190</v>
      </c>
      <c r="EW718" s="319" t="s">
        <v>190</v>
      </c>
      <c r="EX718" s="319" t="s">
        <v>190</v>
      </c>
      <c r="EY718" s="319" t="s">
        <v>190</v>
      </c>
      <c r="EZ718" s="319" t="s">
        <v>190</v>
      </c>
      <c r="FA718" s="319" t="s">
        <v>190</v>
      </c>
      <c r="FB718" s="319" t="s">
        <v>190</v>
      </c>
      <c r="FC718" s="319" t="s">
        <v>190</v>
      </c>
      <c r="FD718" s="319" t="s">
        <v>190</v>
      </c>
      <c r="FE718" s="319" t="s">
        <v>190</v>
      </c>
      <c r="FF718" s="319" t="s">
        <v>190</v>
      </c>
      <c r="FG718" s="319" t="s">
        <v>190</v>
      </c>
      <c r="FH718" s="319" t="s">
        <v>190</v>
      </c>
      <c r="FI718" s="319" t="s">
        <v>190</v>
      </c>
      <c r="FJ718" s="319" t="s">
        <v>190</v>
      </c>
      <c r="FK718" s="319" t="s">
        <v>190</v>
      </c>
      <c r="FL718" s="319" t="s">
        <v>190</v>
      </c>
      <c r="FM718" s="319" t="s">
        <v>190</v>
      </c>
      <c r="FN718" s="319" t="s">
        <v>190</v>
      </c>
      <c r="FO718" s="319" t="s">
        <v>190</v>
      </c>
      <c r="FP718" s="319" t="s">
        <v>190</v>
      </c>
      <c r="FQ718" s="319" t="s">
        <v>190</v>
      </c>
      <c r="FR718" s="319" t="s">
        <v>190</v>
      </c>
      <c r="FS718" s="319" t="s">
        <v>428</v>
      </c>
      <c r="FT718" s="319" t="s">
        <v>190</v>
      </c>
      <c r="FU718" s="319" t="s">
        <v>190</v>
      </c>
      <c r="FV718" s="319" t="s">
        <v>190</v>
      </c>
      <c r="FW718" s="319" t="s">
        <v>190</v>
      </c>
      <c r="FX718" s="319" t="s">
        <v>190</v>
      </c>
      <c r="FY718" s="319" t="s">
        <v>190</v>
      </c>
      <c r="FZ718" s="319" t="s">
        <v>190</v>
      </c>
      <c r="GA718" s="319" t="s">
        <v>190</v>
      </c>
      <c r="GB718" s="319" t="s">
        <v>190</v>
      </c>
      <c r="GC718" s="319" t="s">
        <v>190</v>
      </c>
      <c r="GD718" s="319" t="s">
        <v>190</v>
      </c>
      <c r="GE718" s="319" t="s">
        <v>190</v>
      </c>
      <c r="GF718" s="319" t="s">
        <v>190</v>
      </c>
      <c r="GG718" s="319" t="s">
        <v>190</v>
      </c>
      <c r="GH718" s="319" t="s">
        <v>190</v>
      </c>
      <c r="GI718" s="319" t="s">
        <v>190</v>
      </c>
      <c r="GJ718" s="319" t="s">
        <v>190</v>
      </c>
      <c r="GK718" s="319" t="s">
        <v>428</v>
      </c>
      <c r="GL718" s="319" t="s">
        <v>190</v>
      </c>
      <c r="GM718" s="319" t="s">
        <v>190</v>
      </c>
      <c r="GN718" s="319" t="s">
        <v>190</v>
      </c>
      <c r="GO718" s="319" t="s">
        <v>190</v>
      </c>
      <c r="GP718" s="319" t="s">
        <v>190</v>
      </c>
      <c r="GQ718" s="319" t="s">
        <v>190</v>
      </c>
      <c r="GR718" s="319" t="s">
        <v>190</v>
      </c>
      <c r="GS718" s="319" t="s">
        <v>190</v>
      </c>
      <c r="GT718" s="319" t="s">
        <v>190</v>
      </c>
      <c r="GU718" s="319" t="s">
        <v>190</v>
      </c>
      <c r="GV718" s="319" t="s">
        <v>190</v>
      </c>
      <c r="GW718" s="319" t="s">
        <v>190</v>
      </c>
      <c r="GX718" s="319" t="s">
        <v>190</v>
      </c>
      <c r="GY718" s="319" t="s">
        <v>190</v>
      </c>
      <c r="GZ718" s="319" t="s">
        <v>190</v>
      </c>
      <c r="HA718" s="319" t="s">
        <v>428</v>
      </c>
      <c r="HB718" s="319" t="s">
        <v>190</v>
      </c>
      <c r="HC718" s="319" t="s">
        <v>190</v>
      </c>
      <c r="HD718" s="319" t="s">
        <v>190</v>
      </c>
      <c r="HE718" s="319" t="s">
        <v>190</v>
      </c>
      <c r="HF718" s="319" t="s">
        <v>190</v>
      </c>
      <c r="HG718" s="319" t="s">
        <v>190</v>
      </c>
      <c r="HH718" s="319" t="s">
        <v>190</v>
      </c>
      <c r="HI718" s="319" t="s">
        <v>190</v>
      </c>
      <c r="HJ718" s="319" t="s">
        <v>190</v>
      </c>
      <c r="HK718" s="319" t="s">
        <v>190</v>
      </c>
      <c r="HL718" s="319" t="s">
        <v>190</v>
      </c>
      <c r="HM718" s="319" t="s">
        <v>190</v>
      </c>
      <c r="HN718" s="319" t="s">
        <v>190</v>
      </c>
      <c r="HO718" s="319" t="s">
        <v>190</v>
      </c>
      <c r="HP718" s="319" t="s">
        <v>190</v>
      </c>
      <c r="HQ718" s="319" t="s">
        <v>190</v>
      </c>
      <c r="HR718" s="319" t="s">
        <v>190</v>
      </c>
      <c r="HS718" s="319" t="s">
        <v>190</v>
      </c>
      <c r="HT718" s="319" t="s">
        <v>190</v>
      </c>
      <c r="HU718" s="319" t="s">
        <v>190</v>
      </c>
      <c r="HV718" s="319" t="s">
        <v>190</v>
      </c>
      <c r="HW718" s="319" t="s">
        <v>190</v>
      </c>
      <c r="HX718" s="319" t="s">
        <v>190</v>
      </c>
      <c r="HY718" s="319" t="s">
        <v>190</v>
      </c>
      <c r="HZ718" s="319" t="s">
        <v>190</v>
      </c>
      <c r="IA718" s="319" t="s">
        <v>190</v>
      </c>
      <c r="IB718" s="319" t="s">
        <v>190</v>
      </c>
      <c r="IC718" s="319" t="s">
        <v>190</v>
      </c>
      <c r="ID718" s="319" t="s">
        <v>190</v>
      </c>
      <c r="IE718" s="319" t="s">
        <v>190</v>
      </c>
      <c r="IF718" s="319" t="s">
        <v>190</v>
      </c>
      <c r="IG718" s="319" t="s">
        <v>190</v>
      </c>
      <c r="IH718" s="319" t="s">
        <v>190</v>
      </c>
      <c r="II718" s="319" t="s">
        <v>190</v>
      </c>
      <c r="IJ718" s="319">
        <v>10012895</v>
      </c>
      <c r="IK718" s="321">
        <v>42487</v>
      </c>
      <c r="IL718" s="321">
        <v>42489</v>
      </c>
      <c r="IM718" s="321">
        <v>42516</v>
      </c>
      <c r="IN718" s="319">
        <v>2</v>
      </c>
      <c r="IO718" s="319" t="s">
        <v>173</v>
      </c>
      <c r="IP718" s="319" t="s">
        <v>173</v>
      </c>
      <c r="IQ718" s="321" t="s">
        <v>173</v>
      </c>
      <c r="IR718" s="320" t="s">
        <v>173</v>
      </c>
      <c r="IS718" s="322" t="s">
        <v>173</v>
      </c>
      <c r="IT718" s="319" t="s">
        <v>173</v>
      </c>
    </row>
    <row r="719" spans="1:254" s="271" customFormat="1" x14ac:dyDescent="0.25">
      <c r="A719" s="318" t="str">
        <f>HYPERLINK("http://www.ofsted.gov.uk/inspection-reports/find-inspection-report/provider/ELS/139017 ","Ofsted School Webpage")</f>
        <v>Ofsted School Webpage</v>
      </c>
      <c r="B719" s="319">
        <v>139017</v>
      </c>
      <c r="C719" s="319">
        <v>3506002</v>
      </c>
      <c r="D719" s="319" t="s">
        <v>2193</v>
      </c>
      <c r="E719" s="319" t="s">
        <v>167</v>
      </c>
      <c r="F719" s="319" t="s">
        <v>81</v>
      </c>
      <c r="G719" s="319" t="s">
        <v>72</v>
      </c>
      <c r="H719" s="319" t="s">
        <v>72</v>
      </c>
      <c r="I719" s="319" t="s">
        <v>72</v>
      </c>
      <c r="J719" s="319" t="s">
        <v>424</v>
      </c>
      <c r="K719" s="319" t="s">
        <v>431</v>
      </c>
      <c r="L719" s="319" t="s">
        <v>431</v>
      </c>
      <c r="M719" s="319" t="s">
        <v>1031</v>
      </c>
      <c r="N719" s="319" t="s">
        <v>3168</v>
      </c>
      <c r="O719" s="319" t="s">
        <v>2194</v>
      </c>
      <c r="P719" s="319">
        <v>137</v>
      </c>
      <c r="Q719" s="319" t="s">
        <v>2766</v>
      </c>
      <c r="R719" s="320">
        <v>10092583</v>
      </c>
      <c r="S719" s="321">
        <v>43648</v>
      </c>
      <c r="T719" s="321">
        <v>43650</v>
      </c>
      <c r="U719" s="321">
        <v>43709</v>
      </c>
      <c r="V719" s="319" t="s">
        <v>425</v>
      </c>
      <c r="W719" s="319" t="s">
        <v>2767</v>
      </c>
      <c r="X719" s="319">
        <v>2</v>
      </c>
      <c r="Y719" s="319" t="s">
        <v>173</v>
      </c>
      <c r="Z719" s="319" t="s">
        <v>173</v>
      </c>
      <c r="AA719" s="319" t="s">
        <v>173</v>
      </c>
      <c r="AB719" s="319">
        <v>2</v>
      </c>
      <c r="AC719" s="319" t="s">
        <v>169</v>
      </c>
      <c r="AD719" s="319">
        <v>2</v>
      </c>
      <c r="AE719" s="319" t="s">
        <v>173</v>
      </c>
      <c r="AF719" s="319" t="s">
        <v>427</v>
      </c>
      <c r="AG719" s="319" t="s">
        <v>171</v>
      </c>
      <c r="AH719" s="319" t="s">
        <v>190</v>
      </c>
      <c r="AI719" s="319" t="s">
        <v>190</v>
      </c>
      <c r="AJ719" s="319" t="s">
        <v>190</v>
      </c>
      <c r="AK719" s="319" t="s">
        <v>190</v>
      </c>
      <c r="AL719" s="319" t="s">
        <v>190</v>
      </c>
      <c r="AM719" s="319" t="s">
        <v>190</v>
      </c>
      <c r="AN719" s="319" t="s">
        <v>190</v>
      </c>
      <c r="AO719" s="319" t="s">
        <v>190</v>
      </c>
      <c r="AP719" s="319" t="s">
        <v>190</v>
      </c>
      <c r="AQ719" s="319" t="s">
        <v>190</v>
      </c>
      <c r="AR719" s="319" t="s">
        <v>190</v>
      </c>
      <c r="AS719" s="319" t="s">
        <v>190</v>
      </c>
      <c r="AT719" s="319" t="s">
        <v>190</v>
      </c>
      <c r="AU719" s="319" t="s">
        <v>190</v>
      </c>
      <c r="AV719" s="319" t="s">
        <v>190</v>
      </c>
      <c r="AW719" s="319" t="s">
        <v>190</v>
      </c>
      <c r="AX719" s="319" t="s">
        <v>428</v>
      </c>
      <c r="AY719" s="319" t="s">
        <v>190</v>
      </c>
      <c r="AZ719" s="319" t="s">
        <v>190</v>
      </c>
      <c r="BA719" s="319" t="s">
        <v>190</v>
      </c>
      <c r="BB719" s="319" t="s">
        <v>428</v>
      </c>
      <c r="BC719" s="319" t="s">
        <v>428</v>
      </c>
      <c r="BD719" s="319" t="s">
        <v>428</v>
      </c>
      <c r="BE719" s="319" t="s">
        <v>428</v>
      </c>
      <c r="BF719" s="319" t="s">
        <v>190</v>
      </c>
      <c r="BG719" s="319" t="s">
        <v>428</v>
      </c>
      <c r="BH719" s="319" t="s">
        <v>190</v>
      </c>
      <c r="BI719" s="319" t="s">
        <v>190</v>
      </c>
      <c r="BJ719" s="319" t="s">
        <v>190</v>
      </c>
      <c r="BK719" s="319" t="s">
        <v>190</v>
      </c>
      <c r="BL719" s="319" t="s">
        <v>190</v>
      </c>
      <c r="BM719" s="319" t="s">
        <v>190</v>
      </c>
      <c r="BN719" s="319" t="s">
        <v>190</v>
      </c>
      <c r="BO719" s="319" t="s">
        <v>190</v>
      </c>
      <c r="BP719" s="319" t="s">
        <v>190</v>
      </c>
      <c r="BQ719" s="319" t="s">
        <v>190</v>
      </c>
      <c r="BR719" s="319" t="s">
        <v>190</v>
      </c>
      <c r="BS719" s="319" t="s">
        <v>190</v>
      </c>
      <c r="BT719" s="319" t="s">
        <v>190</v>
      </c>
      <c r="BU719" s="319" t="s">
        <v>190</v>
      </c>
      <c r="BV719" s="319" t="s">
        <v>190</v>
      </c>
      <c r="BW719" s="319" t="s">
        <v>190</v>
      </c>
      <c r="BX719" s="319" t="s">
        <v>190</v>
      </c>
      <c r="BY719" s="319" t="s">
        <v>190</v>
      </c>
      <c r="BZ719" s="319" t="s">
        <v>190</v>
      </c>
      <c r="CA719" s="319" t="s">
        <v>190</v>
      </c>
      <c r="CB719" s="319" t="s">
        <v>190</v>
      </c>
      <c r="CC719" s="319" t="s">
        <v>190</v>
      </c>
      <c r="CD719" s="319" t="s">
        <v>190</v>
      </c>
      <c r="CE719" s="319" t="s">
        <v>190</v>
      </c>
      <c r="CF719" s="319" t="s">
        <v>190</v>
      </c>
      <c r="CG719" s="319" t="s">
        <v>190</v>
      </c>
      <c r="CH719" s="319" t="s">
        <v>190</v>
      </c>
      <c r="CI719" s="319" t="s">
        <v>190</v>
      </c>
      <c r="CJ719" s="319" t="s">
        <v>190</v>
      </c>
      <c r="CK719" s="319" t="s">
        <v>190</v>
      </c>
      <c r="CL719" s="319" t="s">
        <v>190</v>
      </c>
      <c r="CM719" s="319" t="s">
        <v>190</v>
      </c>
      <c r="CN719" s="319" t="s">
        <v>190</v>
      </c>
      <c r="CO719" s="319" t="s">
        <v>428</v>
      </c>
      <c r="CP719" s="319" t="s">
        <v>428</v>
      </c>
      <c r="CQ719" s="319" t="s">
        <v>190</v>
      </c>
      <c r="CR719" s="319" t="s">
        <v>190</v>
      </c>
      <c r="CS719" s="319" t="s">
        <v>190</v>
      </c>
      <c r="CT719" s="319" t="s">
        <v>190</v>
      </c>
      <c r="CU719" s="319" t="s">
        <v>190</v>
      </c>
      <c r="CV719" s="319" t="s">
        <v>190</v>
      </c>
      <c r="CW719" s="319" t="s">
        <v>190</v>
      </c>
      <c r="CX719" s="319" t="s">
        <v>190</v>
      </c>
      <c r="CY719" s="319" t="s">
        <v>190</v>
      </c>
      <c r="CZ719" s="319" t="s">
        <v>190</v>
      </c>
      <c r="DA719" s="319" t="s">
        <v>190</v>
      </c>
      <c r="DB719" s="319" t="s">
        <v>190</v>
      </c>
      <c r="DC719" s="319" t="s">
        <v>190</v>
      </c>
      <c r="DD719" s="319" t="s">
        <v>190</v>
      </c>
      <c r="DE719" s="319" t="s">
        <v>190</v>
      </c>
      <c r="DF719" s="319" t="s">
        <v>190</v>
      </c>
      <c r="DG719" s="319" t="s">
        <v>190</v>
      </c>
      <c r="DH719" s="319" t="s">
        <v>190</v>
      </c>
      <c r="DI719" s="319" t="s">
        <v>190</v>
      </c>
      <c r="DJ719" s="319" t="s">
        <v>190</v>
      </c>
      <c r="DK719" s="319" t="s">
        <v>190</v>
      </c>
      <c r="DL719" s="319" t="s">
        <v>190</v>
      </c>
      <c r="DM719" s="319" t="s">
        <v>190</v>
      </c>
      <c r="DN719" s="319" t="s">
        <v>428</v>
      </c>
      <c r="DO719" s="319" t="s">
        <v>190</v>
      </c>
      <c r="DP719" s="319" t="s">
        <v>190</v>
      </c>
      <c r="DQ719" s="319" t="s">
        <v>190</v>
      </c>
      <c r="DR719" s="319" t="s">
        <v>190</v>
      </c>
      <c r="DS719" s="319" t="s">
        <v>190</v>
      </c>
      <c r="DT719" s="319" t="s">
        <v>190</v>
      </c>
      <c r="DU719" s="319" t="s">
        <v>190</v>
      </c>
      <c r="DV719" s="319" t="s">
        <v>173</v>
      </c>
      <c r="DW719" s="319" t="s">
        <v>190</v>
      </c>
      <c r="DX719" s="319" t="s">
        <v>190</v>
      </c>
      <c r="DY719" s="319" t="s">
        <v>190</v>
      </c>
      <c r="DZ719" s="319" t="s">
        <v>190</v>
      </c>
      <c r="EA719" s="319" t="s">
        <v>190</v>
      </c>
      <c r="EB719" s="319" t="s">
        <v>190</v>
      </c>
      <c r="EC719" s="319" t="s">
        <v>428</v>
      </c>
      <c r="ED719" s="319" t="s">
        <v>190</v>
      </c>
      <c r="EE719" s="319" t="s">
        <v>190</v>
      </c>
      <c r="EF719" s="319" t="s">
        <v>190</v>
      </c>
      <c r="EG719" s="319" t="s">
        <v>190</v>
      </c>
      <c r="EH719" s="319" t="s">
        <v>190</v>
      </c>
      <c r="EI719" s="319" t="s">
        <v>190</v>
      </c>
      <c r="EJ719" s="319" t="s">
        <v>190</v>
      </c>
      <c r="EK719" s="319" t="s">
        <v>190</v>
      </c>
      <c r="EL719" s="319" t="s">
        <v>190</v>
      </c>
      <c r="EM719" s="319" t="s">
        <v>190</v>
      </c>
      <c r="EN719" s="319" t="s">
        <v>190</v>
      </c>
      <c r="EO719" s="319" t="s">
        <v>190</v>
      </c>
      <c r="EP719" s="319" t="s">
        <v>190</v>
      </c>
      <c r="EQ719" s="319" t="s">
        <v>190</v>
      </c>
      <c r="ER719" s="319" t="s">
        <v>190</v>
      </c>
      <c r="ES719" s="319" t="s">
        <v>190</v>
      </c>
      <c r="ET719" s="319" t="s">
        <v>190</v>
      </c>
      <c r="EU719" s="319" t="s">
        <v>190</v>
      </c>
      <c r="EV719" s="319" t="s">
        <v>190</v>
      </c>
      <c r="EW719" s="319" t="s">
        <v>190</v>
      </c>
      <c r="EX719" s="319" t="s">
        <v>190</v>
      </c>
      <c r="EY719" s="319" t="s">
        <v>190</v>
      </c>
      <c r="EZ719" s="319" t="s">
        <v>190</v>
      </c>
      <c r="FA719" s="319" t="s">
        <v>190</v>
      </c>
      <c r="FB719" s="319" t="s">
        <v>190</v>
      </c>
      <c r="FC719" s="319" t="s">
        <v>190</v>
      </c>
      <c r="FD719" s="319" t="s">
        <v>190</v>
      </c>
      <c r="FE719" s="319" t="s">
        <v>190</v>
      </c>
      <c r="FF719" s="319" t="s">
        <v>190</v>
      </c>
      <c r="FG719" s="319" t="s">
        <v>190</v>
      </c>
      <c r="FH719" s="319" t="s">
        <v>190</v>
      </c>
      <c r="FI719" s="319" t="s">
        <v>190</v>
      </c>
      <c r="FJ719" s="319" t="s">
        <v>190</v>
      </c>
      <c r="FK719" s="319" t="s">
        <v>190</v>
      </c>
      <c r="FL719" s="319" t="s">
        <v>190</v>
      </c>
      <c r="FM719" s="319" t="s">
        <v>190</v>
      </c>
      <c r="FN719" s="319" t="s">
        <v>190</v>
      </c>
      <c r="FO719" s="319" t="s">
        <v>190</v>
      </c>
      <c r="FP719" s="319" t="s">
        <v>190</v>
      </c>
      <c r="FQ719" s="319" t="s">
        <v>190</v>
      </c>
      <c r="FR719" s="319" t="s">
        <v>190</v>
      </c>
      <c r="FS719" s="319" t="s">
        <v>190</v>
      </c>
      <c r="FT719" s="319" t="s">
        <v>190</v>
      </c>
      <c r="FU719" s="319" t="s">
        <v>190</v>
      </c>
      <c r="FV719" s="319" t="s">
        <v>190</v>
      </c>
      <c r="FW719" s="319" t="s">
        <v>190</v>
      </c>
      <c r="FX719" s="319" t="s">
        <v>190</v>
      </c>
      <c r="FY719" s="319" t="s">
        <v>190</v>
      </c>
      <c r="FZ719" s="319" t="s">
        <v>190</v>
      </c>
      <c r="GA719" s="319" t="s">
        <v>190</v>
      </c>
      <c r="GB719" s="319" t="s">
        <v>190</v>
      </c>
      <c r="GC719" s="319" t="s">
        <v>190</v>
      </c>
      <c r="GD719" s="319" t="s">
        <v>190</v>
      </c>
      <c r="GE719" s="319" t="s">
        <v>190</v>
      </c>
      <c r="GF719" s="319" t="s">
        <v>190</v>
      </c>
      <c r="GG719" s="319" t="s">
        <v>190</v>
      </c>
      <c r="GH719" s="319" t="s">
        <v>190</v>
      </c>
      <c r="GI719" s="319" t="s">
        <v>190</v>
      </c>
      <c r="GJ719" s="319" t="s">
        <v>190</v>
      </c>
      <c r="GK719" s="319" t="s">
        <v>428</v>
      </c>
      <c r="GL719" s="319" t="s">
        <v>190</v>
      </c>
      <c r="GM719" s="319" t="s">
        <v>190</v>
      </c>
      <c r="GN719" s="319" t="s">
        <v>190</v>
      </c>
      <c r="GO719" s="319" t="s">
        <v>190</v>
      </c>
      <c r="GP719" s="319" t="s">
        <v>190</v>
      </c>
      <c r="GQ719" s="319" t="s">
        <v>428</v>
      </c>
      <c r="GR719" s="319" t="s">
        <v>190</v>
      </c>
      <c r="GS719" s="319" t="s">
        <v>190</v>
      </c>
      <c r="GT719" s="319" t="s">
        <v>428</v>
      </c>
      <c r="GU719" s="319" t="s">
        <v>428</v>
      </c>
      <c r="GV719" s="319" t="s">
        <v>190</v>
      </c>
      <c r="GW719" s="319" t="s">
        <v>190</v>
      </c>
      <c r="GX719" s="319" t="s">
        <v>190</v>
      </c>
      <c r="GY719" s="319" t="s">
        <v>190</v>
      </c>
      <c r="GZ719" s="319" t="s">
        <v>190</v>
      </c>
      <c r="HA719" s="319" t="s">
        <v>428</v>
      </c>
      <c r="HB719" s="319" t="s">
        <v>190</v>
      </c>
      <c r="HC719" s="319" t="s">
        <v>190</v>
      </c>
      <c r="HD719" s="319" t="s">
        <v>190</v>
      </c>
      <c r="HE719" s="319" t="s">
        <v>190</v>
      </c>
      <c r="HF719" s="319" t="s">
        <v>428</v>
      </c>
      <c r="HG719" s="319" t="s">
        <v>190</v>
      </c>
      <c r="HH719" s="319" t="s">
        <v>190</v>
      </c>
      <c r="HI719" s="319" t="s">
        <v>190</v>
      </c>
      <c r="HJ719" s="319" t="s">
        <v>190</v>
      </c>
      <c r="HK719" s="319" t="s">
        <v>190</v>
      </c>
      <c r="HL719" s="319" t="s">
        <v>190</v>
      </c>
      <c r="HM719" s="319" t="s">
        <v>190</v>
      </c>
      <c r="HN719" s="319" t="s">
        <v>190</v>
      </c>
      <c r="HO719" s="319" t="s">
        <v>190</v>
      </c>
      <c r="HP719" s="319" t="s">
        <v>190</v>
      </c>
      <c r="HQ719" s="319" t="s">
        <v>190</v>
      </c>
      <c r="HR719" s="319" t="s">
        <v>190</v>
      </c>
      <c r="HS719" s="319" t="s">
        <v>190</v>
      </c>
      <c r="HT719" s="319" t="s">
        <v>190</v>
      </c>
      <c r="HU719" s="319" t="s">
        <v>190</v>
      </c>
      <c r="HV719" s="319" t="s">
        <v>190</v>
      </c>
      <c r="HW719" s="319" t="s">
        <v>190</v>
      </c>
      <c r="HX719" s="319" t="s">
        <v>190</v>
      </c>
      <c r="HY719" s="319" t="s">
        <v>190</v>
      </c>
      <c r="HZ719" s="319" t="s">
        <v>190</v>
      </c>
      <c r="IA719" s="319" t="s">
        <v>190</v>
      </c>
      <c r="IB719" s="319" t="s">
        <v>190</v>
      </c>
      <c r="IC719" s="319" t="s">
        <v>190</v>
      </c>
      <c r="ID719" s="319" t="s">
        <v>190</v>
      </c>
      <c r="IE719" s="319" t="s">
        <v>190</v>
      </c>
      <c r="IF719" s="319" t="s">
        <v>190</v>
      </c>
      <c r="IG719" s="319" t="s">
        <v>190</v>
      </c>
      <c r="IH719" s="319" t="s">
        <v>190</v>
      </c>
      <c r="II719" s="319" t="s">
        <v>190</v>
      </c>
      <c r="IJ719" s="319">
        <v>10020751</v>
      </c>
      <c r="IK719" s="321">
        <v>42633</v>
      </c>
      <c r="IL719" s="321">
        <v>42635</v>
      </c>
      <c r="IM719" s="321">
        <v>42656</v>
      </c>
      <c r="IN719" s="319">
        <v>2</v>
      </c>
      <c r="IO719" s="319" t="s">
        <v>173</v>
      </c>
      <c r="IP719" s="319" t="s">
        <v>173</v>
      </c>
      <c r="IQ719" s="319" t="s">
        <v>173</v>
      </c>
      <c r="IR719" s="320" t="s">
        <v>173</v>
      </c>
      <c r="IS719" s="320" t="s">
        <v>173</v>
      </c>
      <c r="IT719" s="319" t="s">
        <v>173</v>
      </c>
    </row>
    <row r="720" spans="1:254" s="271" customFormat="1" x14ac:dyDescent="0.25">
      <c r="A720" s="318" t="str">
        <f>HYPERLINK("http://www.ofsted.gov.uk/inspection-reports/find-inspection-report/provider/ELS/139018 ","Ofsted School Webpage")</f>
        <v>Ofsted School Webpage</v>
      </c>
      <c r="B720" s="319">
        <v>139018</v>
      </c>
      <c r="C720" s="319">
        <v>8746004</v>
      </c>
      <c r="D720" s="319" t="s">
        <v>2195</v>
      </c>
      <c r="E720" s="319" t="s">
        <v>168</v>
      </c>
      <c r="F720" s="319" t="s">
        <v>81</v>
      </c>
      <c r="G720" s="319" t="s">
        <v>81</v>
      </c>
      <c r="H720" s="319" t="s">
        <v>81</v>
      </c>
      <c r="I720" s="319" t="s">
        <v>78</v>
      </c>
      <c r="J720" s="319" t="s">
        <v>424</v>
      </c>
      <c r="K720" s="319" t="s">
        <v>451</v>
      </c>
      <c r="L720" s="319" t="s">
        <v>451</v>
      </c>
      <c r="M720" s="319" t="s">
        <v>2018</v>
      </c>
      <c r="N720" s="319" t="s">
        <v>2018</v>
      </c>
      <c r="O720" s="319" t="s">
        <v>2196</v>
      </c>
      <c r="P720" s="319">
        <v>8</v>
      </c>
      <c r="Q720" s="319" t="s">
        <v>429</v>
      </c>
      <c r="R720" s="320">
        <v>10020912</v>
      </c>
      <c r="S720" s="321">
        <v>42633</v>
      </c>
      <c r="T720" s="321">
        <v>42635</v>
      </c>
      <c r="U720" s="321">
        <v>42678</v>
      </c>
      <c r="V720" s="319" t="s">
        <v>425</v>
      </c>
      <c r="W720" s="319" t="s">
        <v>2767</v>
      </c>
      <c r="X720" s="319">
        <v>2</v>
      </c>
      <c r="Y720" s="319" t="s">
        <v>173</v>
      </c>
      <c r="Z720" s="319" t="s">
        <v>173</v>
      </c>
      <c r="AA720" s="319" t="s">
        <v>173</v>
      </c>
      <c r="AB720" s="319">
        <v>2</v>
      </c>
      <c r="AC720" s="319" t="s">
        <v>169</v>
      </c>
      <c r="AD720" s="319" t="s">
        <v>173</v>
      </c>
      <c r="AE720" s="319">
        <v>2</v>
      </c>
      <c r="AF720" s="319" t="s">
        <v>173</v>
      </c>
      <c r="AG720" s="319" t="s">
        <v>171</v>
      </c>
      <c r="AH720" s="319" t="s">
        <v>190</v>
      </c>
      <c r="AI720" s="319" t="s">
        <v>190</v>
      </c>
      <c r="AJ720" s="319" t="s">
        <v>190</v>
      </c>
      <c r="AK720" s="319" t="s">
        <v>190</v>
      </c>
      <c r="AL720" s="319" t="s">
        <v>190</v>
      </c>
      <c r="AM720" s="319" t="s">
        <v>190</v>
      </c>
      <c r="AN720" s="319" t="s">
        <v>190</v>
      </c>
      <c r="AO720" s="319" t="s">
        <v>190</v>
      </c>
      <c r="AP720" s="319" t="s">
        <v>190</v>
      </c>
      <c r="AQ720" s="319" t="s">
        <v>190</v>
      </c>
      <c r="AR720" s="319" t="s">
        <v>190</v>
      </c>
      <c r="AS720" s="319" t="s">
        <v>190</v>
      </c>
      <c r="AT720" s="319" t="s">
        <v>190</v>
      </c>
      <c r="AU720" s="319" t="s">
        <v>190</v>
      </c>
      <c r="AV720" s="319" t="s">
        <v>190</v>
      </c>
      <c r="AW720" s="319" t="s">
        <v>190</v>
      </c>
      <c r="AX720" s="319" t="s">
        <v>429</v>
      </c>
      <c r="AY720" s="319" t="s">
        <v>190</v>
      </c>
      <c r="AZ720" s="319" t="s">
        <v>190</v>
      </c>
      <c r="BA720" s="319" t="s">
        <v>190</v>
      </c>
      <c r="BB720" s="319" t="s">
        <v>190</v>
      </c>
      <c r="BC720" s="319" t="s">
        <v>190</v>
      </c>
      <c r="BD720" s="319" t="s">
        <v>190</v>
      </c>
      <c r="BE720" s="319" t="s">
        <v>190</v>
      </c>
      <c r="BF720" s="319" t="s">
        <v>429</v>
      </c>
      <c r="BG720" s="319" t="s">
        <v>190</v>
      </c>
      <c r="BH720" s="319" t="s">
        <v>190</v>
      </c>
      <c r="BI720" s="319" t="s">
        <v>190</v>
      </c>
      <c r="BJ720" s="319" t="s">
        <v>190</v>
      </c>
      <c r="BK720" s="319" t="s">
        <v>190</v>
      </c>
      <c r="BL720" s="319" t="s">
        <v>190</v>
      </c>
      <c r="BM720" s="319" t="s">
        <v>190</v>
      </c>
      <c r="BN720" s="319" t="s">
        <v>190</v>
      </c>
      <c r="BO720" s="319" t="s">
        <v>190</v>
      </c>
      <c r="BP720" s="319" t="s">
        <v>190</v>
      </c>
      <c r="BQ720" s="319" t="s">
        <v>190</v>
      </c>
      <c r="BR720" s="319" t="s">
        <v>190</v>
      </c>
      <c r="BS720" s="319" t="s">
        <v>190</v>
      </c>
      <c r="BT720" s="319" t="s">
        <v>190</v>
      </c>
      <c r="BU720" s="319" t="s">
        <v>190</v>
      </c>
      <c r="BV720" s="319" t="s">
        <v>190</v>
      </c>
      <c r="BW720" s="319" t="s">
        <v>190</v>
      </c>
      <c r="BX720" s="319" t="s">
        <v>190</v>
      </c>
      <c r="BY720" s="319" t="s">
        <v>190</v>
      </c>
      <c r="BZ720" s="319" t="s">
        <v>190</v>
      </c>
      <c r="CA720" s="319" t="s">
        <v>190</v>
      </c>
      <c r="CB720" s="319" t="s">
        <v>190</v>
      </c>
      <c r="CC720" s="319" t="s">
        <v>190</v>
      </c>
      <c r="CD720" s="319" t="s">
        <v>190</v>
      </c>
      <c r="CE720" s="319" t="s">
        <v>190</v>
      </c>
      <c r="CF720" s="319" t="s">
        <v>190</v>
      </c>
      <c r="CG720" s="319" t="s">
        <v>190</v>
      </c>
      <c r="CH720" s="319" t="s">
        <v>190</v>
      </c>
      <c r="CI720" s="319" t="s">
        <v>190</v>
      </c>
      <c r="CJ720" s="319" t="s">
        <v>190</v>
      </c>
      <c r="CK720" s="319" t="s">
        <v>190</v>
      </c>
      <c r="CL720" s="319" t="s">
        <v>190</v>
      </c>
      <c r="CM720" s="319" t="s">
        <v>190</v>
      </c>
      <c r="CN720" s="319" t="s">
        <v>429</v>
      </c>
      <c r="CO720" s="319" t="s">
        <v>429</v>
      </c>
      <c r="CP720" s="319" t="s">
        <v>429</v>
      </c>
      <c r="CQ720" s="319" t="s">
        <v>190</v>
      </c>
      <c r="CR720" s="319" t="s">
        <v>190</v>
      </c>
      <c r="CS720" s="319" t="s">
        <v>190</v>
      </c>
      <c r="CT720" s="319" t="s">
        <v>190</v>
      </c>
      <c r="CU720" s="319" t="s">
        <v>190</v>
      </c>
      <c r="CV720" s="319" t="s">
        <v>190</v>
      </c>
      <c r="CW720" s="319" t="s">
        <v>190</v>
      </c>
      <c r="CX720" s="319" t="s">
        <v>190</v>
      </c>
      <c r="CY720" s="319" t="s">
        <v>190</v>
      </c>
      <c r="CZ720" s="319" t="s">
        <v>190</v>
      </c>
      <c r="DA720" s="319" t="s">
        <v>190</v>
      </c>
      <c r="DB720" s="319" t="s">
        <v>190</v>
      </c>
      <c r="DC720" s="319" t="s">
        <v>190</v>
      </c>
      <c r="DD720" s="319" t="s">
        <v>190</v>
      </c>
      <c r="DE720" s="319" t="s">
        <v>190</v>
      </c>
      <c r="DF720" s="319" t="s">
        <v>190</v>
      </c>
      <c r="DG720" s="319" t="s">
        <v>190</v>
      </c>
      <c r="DH720" s="319" t="s">
        <v>190</v>
      </c>
      <c r="DI720" s="319" t="s">
        <v>190</v>
      </c>
      <c r="DJ720" s="319" t="s">
        <v>190</v>
      </c>
      <c r="DK720" s="319" t="s">
        <v>190</v>
      </c>
      <c r="DL720" s="319" t="s">
        <v>190</v>
      </c>
      <c r="DM720" s="319" t="s">
        <v>190</v>
      </c>
      <c r="DN720" s="319" t="s">
        <v>429</v>
      </c>
      <c r="DO720" s="319" t="s">
        <v>190</v>
      </c>
      <c r="DP720" s="319" t="s">
        <v>429</v>
      </c>
      <c r="DQ720" s="319" t="s">
        <v>429</v>
      </c>
      <c r="DR720" s="319" t="s">
        <v>429</v>
      </c>
      <c r="DS720" s="319" t="s">
        <v>429</v>
      </c>
      <c r="DT720" s="319" t="s">
        <v>429</v>
      </c>
      <c r="DU720" s="319" t="s">
        <v>429</v>
      </c>
      <c r="DV720" s="319" t="s">
        <v>173</v>
      </c>
      <c r="DW720" s="319" t="s">
        <v>429</v>
      </c>
      <c r="DX720" s="319" t="s">
        <v>429</v>
      </c>
      <c r="DY720" s="319" t="s">
        <v>429</v>
      </c>
      <c r="DZ720" s="319" t="s">
        <v>429</v>
      </c>
      <c r="EA720" s="319" t="s">
        <v>429</v>
      </c>
      <c r="EB720" s="319" t="s">
        <v>429</v>
      </c>
      <c r="EC720" s="319" t="s">
        <v>429</v>
      </c>
      <c r="ED720" s="319" t="s">
        <v>190</v>
      </c>
      <c r="EE720" s="319" t="s">
        <v>190</v>
      </c>
      <c r="EF720" s="319" t="s">
        <v>190</v>
      </c>
      <c r="EG720" s="319" t="s">
        <v>190</v>
      </c>
      <c r="EH720" s="319" t="s">
        <v>190</v>
      </c>
      <c r="EI720" s="319" t="s">
        <v>190</v>
      </c>
      <c r="EJ720" s="319" t="s">
        <v>190</v>
      </c>
      <c r="EK720" s="319" t="s">
        <v>190</v>
      </c>
      <c r="EL720" s="319" t="s">
        <v>190</v>
      </c>
      <c r="EM720" s="319" t="s">
        <v>190</v>
      </c>
      <c r="EN720" s="319" t="s">
        <v>190</v>
      </c>
      <c r="EO720" s="319" t="s">
        <v>190</v>
      </c>
      <c r="EP720" s="319" t="s">
        <v>190</v>
      </c>
      <c r="EQ720" s="319" t="s">
        <v>190</v>
      </c>
      <c r="ER720" s="319" t="s">
        <v>190</v>
      </c>
      <c r="ES720" s="319" t="s">
        <v>190</v>
      </c>
      <c r="ET720" s="319" t="s">
        <v>190</v>
      </c>
      <c r="EU720" s="319" t="s">
        <v>190</v>
      </c>
      <c r="EV720" s="319" t="s">
        <v>190</v>
      </c>
      <c r="EW720" s="319" t="s">
        <v>190</v>
      </c>
      <c r="EX720" s="319" t="s">
        <v>190</v>
      </c>
      <c r="EY720" s="319" t="s">
        <v>190</v>
      </c>
      <c r="EZ720" s="319" t="s">
        <v>190</v>
      </c>
      <c r="FA720" s="319" t="s">
        <v>190</v>
      </c>
      <c r="FB720" s="319" t="s">
        <v>429</v>
      </c>
      <c r="FC720" s="319" t="s">
        <v>429</v>
      </c>
      <c r="FD720" s="319" t="s">
        <v>429</v>
      </c>
      <c r="FE720" s="319" t="s">
        <v>429</v>
      </c>
      <c r="FF720" s="319" t="s">
        <v>429</v>
      </c>
      <c r="FG720" s="319" t="s">
        <v>429</v>
      </c>
      <c r="FH720" s="319" t="s">
        <v>190</v>
      </c>
      <c r="FI720" s="319" t="s">
        <v>190</v>
      </c>
      <c r="FJ720" s="319" t="s">
        <v>190</v>
      </c>
      <c r="FK720" s="319" t="s">
        <v>190</v>
      </c>
      <c r="FL720" s="319" t="s">
        <v>190</v>
      </c>
      <c r="FM720" s="319" t="s">
        <v>190</v>
      </c>
      <c r="FN720" s="319" t="s">
        <v>190</v>
      </c>
      <c r="FO720" s="319" t="s">
        <v>190</v>
      </c>
      <c r="FP720" s="319" t="s">
        <v>190</v>
      </c>
      <c r="FQ720" s="319" t="s">
        <v>190</v>
      </c>
      <c r="FR720" s="319" t="s">
        <v>190</v>
      </c>
      <c r="FS720" s="319" t="s">
        <v>429</v>
      </c>
      <c r="FT720" s="319" t="s">
        <v>429</v>
      </c>
      <c r="FU720" s="319" t="s">
        <v>190</v>
      </c>
      <c r="FV720" s="319" t="s">
        <v>190</v>
      </c>
      <c r="FW720" s="319" t="s">
        <v>190</v>
      </c>
      <c r="FX720" s="319" t="s">
        <v>190</v>
      </c>
      <c r="FY720" s="319" t="s">
        <v>190</v>
      </c>
      <c r="FZ720" s="319" t="s">
        <v>190</v>
      </c>
      <c r="GA720" s="319" t="s">
        <v>190</v>
      </c>
      <c r="GB720" s="319" t="s">
        <v>190</v>
      </c>
      <c r="GC720" s="319" t="s">
        <v>190</v>
      </c>
      <c r="GD720" s="319" t="s">
        <v>190</v>
      </c>
      <c r="GE720" s="319" t="s">
        <v>429</v>
      </c>
      <c r="GF720" s="319" t="s">
        <v>429</v>
      </c>
      <c r="GG720" s="319" t="s">
        <v>429</v>
      </c>
      <c r="GH720" s="319" t="s">
        <v>190</v>
      </c>
      <c r="GI720" s="319" t="s">
        <v>190</v>
      </c>
      <c r="GJ720" s="319" t="s">
        <v>190</v>
      </c>
      <c r="GK720" s="319" t="s">
        <v>429</v>
      </c>
      <c r="GL720" s="319" t="s">
        <v>190</v>
      </c>
      <c r="GM720" s="319" t="s">
        <v>190</v>
      </c>
      <c r="GN720" s="319" t="s">
        <v>190</v>
      </c>
      <c r="GO720" s="319" t="s">
        <v>190</v>
      </c>
      <c r="GP720" s="319" t="s">
        <v>190</v>
      </c>
      <c r="GQ720" s="319" t="s">
        <v>190</v>
      </c>
      <c r="GR720" s="319" t="s">
        <v>190</v>
      </c>
      <c r="GS720" s="319" t="s">
        <v>190</v>
      </c>
      <c r="GT720" s="319" t="s">
        <v>190</v>
      </c>
      <c r="GU720" s="319" t="s">
        <v>190</v>
      </c>
      <c r="GV720" s="319" t="s">
        <v>190</v>
      </c>
      <c r="GW720" s="319" t="s">
        <v>190</v>
      </c>
      <c r="GX720" s="319" t="s">
        <v>190</v>
      </c>
      <c r="GY720" s="319" t="s">
        <v>429</v>
      </c>
      <c r="GZ720" s="319" t="s">
        <v>190</v>
      </c>
      <c r="HA720" s="319" t="s">
        <v>190</v>
      </c>
      <c r="HB720" s="319" t="s">
        <v>190</v>
      </c>
      <c r="HC720" s="319" t="s">
        <v>190</v>
      </c>
      <c r="HD720" s="319" t="s">
        <v>190</v>
      </c>
      <c r="HE720" s="319" t="s">
        <v>190</v>
      </c>
      <c r="HF720" s="319" t="s">
        <v>190</v>
      </c>
      <c r="HG720" s="319" t="s">
        <v>190</v>
      </c>
      <c r="HH720" s="319" t="s">
        <v>190</v>
      </c>
      <c r="HI720" s="319" t="s">
        <v>190</v>
      </c>
      <c r="HJ720" s="319" t="s">
        <v>190</v>
      </c>
      <c r="HK720" s="319" t="s">
        <v>190</v>
      </c>
      <c r="HL720" s="319" t="s">
        <v>429</v>
      </c>
      <c r="HM720" s="319" t="s">
        <v>429</v>
      </c>
      <c r="HN720" s="319" t="s">
        <v>429</v>
      </c>
      <c r="HO720" s="319" t="s">
        <v>429</v>
      </c>
      <c r="HP720" s="319" t="s">
        <v>190</v>
      </c>
      <c r="HQ720" s="319" t="s">
        <v>190</v>
      </c>
      <c r="HR720" s="319" t="s">
        <v>190</v>
      </c>
      <c r="HS720" s="319" t="s">
        <v>190</v>
      </c>
      <c r="HT720" s="319" t="s">
        <v>190</v>
      </c>
      <c r="HU720" s="319" t="s">
        <v>190</v>
      </c>
      <c r="HV720" s="319" t="s">
        <v>190</v>
      </c>
      <c r="HW720" s="319" t="s">
        <v>190</v>
      </c>
      <c r="HX720" s="319" t="s">
        <v>190</v>
      </c>
      <c r="HY720" s="319" t="s">
        <v>190</v>
      </c>
      <c r="HZ720" s="319" t="s">
        <v>190</v>
      </c>
      <c r="IA720" s="319" t="s">
        <v>190</v>
      </c>
      <c r="IB720" s="319" t="s">
        <v>190</v>
      </c>
      <c r="IC720" s="319" t="s">
        <v>190</v>
      </c>
      <c r="ID720" s="319" t="s">
        <v>190</v>
      </c>
      <c r="IE720" s="319" t="s">
        <v>190</v>
      </c>
      <c r="IF720" s="319" t="s">
        <v>190</v>
      </c>
      <c r="IG720" s="319" t="s">
        <v>190</v>
      </c>
      <c r="IH720" s="319" t="s">
        <v>190</v>
      </c>
      <c r="II720" s="319" t="s">
        <v>190</v>
      </c>
      <c r="IJ720" s="319" t="s">
        <v>3451</v>
      </c>
      <c r="IK720" s="321">
        <v>41556</v>
      </c>
      <c r="IL720" s="321">
        <v>41557</v>
      </c>
      <c r="IM720" s="321">
        <v>41571</v>
      </c>
      <c r="IN720" s="319">
        <v>2</v>
      </c>
      <c r="IO720" s="319" t="s">
        <v>173</v>
      </c>
      <c r="IP720" s="319" t="s">
        <v>173</v>
      </c>
      <c r="IQ720" s="321" t="s">
        <v>173</v>
      </c>
      <c r="IR720" s="320" t="s">
        <v>173</v>
      </c>
      <c r="IS720" s="322" t="s">
        <v>173</v>
      </c>
      <c r="IT720" s="319" t="s">
        <v>173</v>
      </c>
    </row>
    <row r="721" spans="1:254" s="271" customFormat="1" x14ac:dyDescent="0.25">
      <c r="A721" s="318" t="str">
        <f>HYPERLINK("http://www.ofsted.gov.uk/inspection-reports/find-inspection-report/provider/ELS/139071 ","Ofsted School Webpage")</f>
        <v>Ofsted School Webpage</v>
      </c>
      <c r="B721" s="319">
        <v>139071</v>
      </c>
      <c r="C721" s="319">
        <v>8616008</v>
      </c>
      <c r="D721" s="319" t="s">
        <v>579</v>
      </c>
      <c r="E721" s="319" t="s">
        <v>167</v>
      </c>
      <c r="F721" s="319" t="s">
        <v>71</v>
      </c>
      <c r="G721" s="319" t="s">
        <v>72</v>
      </c>
      <c r="H721" s="319" t="s">
        <v>71</v>
      </c>
      <c r="I721" s="319" t="s">
        <v>72</v>
      </c>
      <c r="J721" s="319" t="s">
        <v>424</v>
      </c>
      <c r="K721" s="319" t="s">
        <v>437</v>
      </c>
      <c r="L721" s="319" t="s">
        <v>437</v>
      </c>
      <c r="M721" s="319" t="s">
        <v>580</v>
      </c>
      <c r="N721" s="319" t="s">
        <v>3452</v>
      </c>
      <c r="O721" s="319" t="s">
        <v>581</v>
      </c>
      <c r="P721" s="319">
        <v>103</v>
      </c>
      <c r="Q721" s="319" t="s">
        <v>2766</v>
      </c>
      <c r="R721" s="320">
        <v>10020795</v>
      </c>
      <c r="S721" s="321">
        <v>43389</v>
      </c>
      <c r="T721" s="321">
        <v>43391</v>
      </c>
      <c r="U721" s="321">
        <v>43418</v>
      </c>
      <c r="V721" s="319" t="s">
        <v>425</v>
      </c>
      <c r="W721" s="319" t="s">
        <v>2767</v>
      </c>
      <c r="X721" s="319">
        <v>2</v>
      </c>
      <c r="Y721" s="319" t="s">
        <v>173</v>
      </c>
      <c r="Z721" s="319" t="s">
        <v>173</v>
      </c>
      <c r="AA721" s="319" t="s">
        <v>173</v>
      </c>
      <c r="AB721" s="319">
        <v>2</v>
      </c>
      <c r="AC721" s="319" t="s">
        <v>169</v>
      </c>
      <c r="AD721" s="319">
        <v>2</v>
      </c>
      <c r="AE721" s="319" t="s">
        <v>173</v>
      </c>
      <c r="AF721" s="319" t="s">
        <v>427</v>
      </c>
      <c r="AG721" s="319" t="s">
        <v>171</v>
      </c>
      <c r="AH721" s="319" t="s">
        <v>190</v>
      </c>
      <c r="AI721" s="319" t="s">
        <v>190</v>
      </c>
      <c r="AJ721" s="319" t="s">
        <v>190</v>
      </c>
      <c r="AK721" s="319" t="s">
        <v>190</v>
      </c>
      <c r="AL721" s="319" t="s">
        <v>190</v>
      </c>
      <c r="AM721" s="319" t="s">
        <v>190</v>
      </c>
      <c r="AN721" s="319" t="s">
        <v>190</v>
      </c>
      <c r="AO721" s="319" t="s">
        <v>190</v>
      </c>
      <c r="AP721" s="319" t="s">
        <v>190</v>
      </c>
      <c r="AQ721" s="319" t="s">
        <v>190</v>
      </c>
      <c r="AR721" s="319" t="s">
        <v>190</v>
      </c>
      <c r="AS721" s="319" t="s">
        <v>190</v>
      </c>
      <c r="AT721" s="319" t="s">
        <v>190</v>
      </c>
      <c r="AU721" s="319" t="s">
        <v>190</v>
      </c>
      <c r="AV721" s="319" t="s">
        <v>190</v>
      </c>
      <c r="AW721" s="319" t="s">
        <v>190</v>
      </c>
      <c r="AX721" s="319" t="s">
        <v>428</v>
      </c>
      <c r="AY721" s="319" t="s">
        <v>190</v>
      </c>
      <c r="AZ721" s="319" t="s">
        <v>190</v>
      </c>
      <c r="BA721" s="319" t="s">
        <v>190</v>
      </c>
      <c r="BB721" s="319" t="s">
        <v>190</v>
      </c>
      <c r="BC721" s="319" t="s">
        <v>190</v>
      </c>
      <c r="BD721" s="319" t="s">
        <v>190</v>
      </c>
      <c r="BE721" s="319" t="s">
        <v>190</v>
      </c>
      <c r="BF721" s="319" t="s">
        <v>190</v>
      </c>
      <c r="BG721" s="319" t="s">
        <v>428</v>
      </c>
      <c r="BH721" s="319" t="s">
        <v>190</v>
      </c>
      <c r="BI721" s="319" t="s">
        <v>190</v>
      </c>
      <c r="BJ721" s="319" t="s">
        <v>190</v>
      </c>
      <c r="BK721" s="319" t="s">
        <v>190</v>
      </c>
      <c r="BL721" s="319" t="s">
        <v>190</v>
      </c>
      <c r="BM721" s="319" t="s">
        <v>190</v>
      </c>
      <c r="BN721" s="319" t="s">
        <v>190</v>
      </c>
      <c r="BO721" s="319" t="s">
        <v>190</v>
      </c>
      <c r="BP721" s="319" t="s">
        <v>190</v>
      </c>
      <c r="BQ721" s="319" t="s">
        <v>190</v>
      </c>
      <c r="BR721" s="319" t="s">
        <v>190</v>
      </c>
      <c r="BS721" s="319" t="s">
        <v>190</v>
      </c>
      <c r="BT721" s="319" t="s">
        <v>190</v>
      </c>
      <c r="BU721" s="319" t="s">
        <v>190</v>
      </c>
      <c r="BV721" s="319" t="s">
        <v>190</v>
      </c>
      <c r="BW721" s="319" t="s">
        <v>190</v>
      </c>
      <c r="BX721" s="319" t="s">
        <v>190</v>
      </c>
      <c r="BY721" s="319" t="s">
        <v>190</v>
      </c>
      <c r="BZ721" s="319" t="s">
        <v>190</v>
      </c>
      <c r="CA721" s="319" t="s">
        <v>190</v>
      </c>
      <c r="CB721" s="319" t="s">
        <v>190</v>
      </c>
      <c r="CC721" s="319" t="s">
        <v>190</v>
      </c>
      <c r="CD721" s="319" t="s">
        <v>190</v>
      </c>
      <c r="CE721" s="319" t="s">
        <v>190</v>
      </c>
      <c r="CF721" s="319" t="s">
        <v>190</v>
      </c>
      <c r="CG721" s="319" t="s">
        <v>190</v>
      </c>
      <c r="CH721" s="319" t="s">
        <v>190</v>
      </c>
      <c r="CI721" s="319" t="s">
        <v>190</v>
      </c>
      <c r="CJ721" s="319" t="s">
        <v>190</v>
      </c>
      <c r="CK721" s="319" t="s">
        <v>190</v>
      </c>
      <c r="CL721" s="319" t="s">
        <v>190</v>
      </c>
      <c r="CM721" s="319" t="s">
        <v>190</v>
      </c>
      <c r="CN721" s="319" t="s">
        <v>428</v>
      </c>
      <c r="CO721" s="319" t="s">
        <v>428</v>
      </c>
      <c r="CP721" s="319" t="s">
        <v>428</v>
      </c>
      <c r="CQ721" s="319" t="s">
        <v>190</v>
      </c>
      <c r="CR721" s="319" t="s">
        <v>190</v>
      </c>
      <c r="CS721" s="319" t="s">
        <v>190</v>
      </c>
      <c r="CT721" s="319" t="s">
        <v>190</v>
      </c>
      <c r="CU721" s="319" t="s">
        <v>190</v>
      </c>
      <c r="CV721" s="319" t="s">
        <v>190</v>
      </c>
      <c r="CW721" s="319" t="s">
        <v>190</v>
      </c>
      <c r="CX721" s="319" t="s">
        <v>190</v>
      </c>
      <c r="CY721" s="319" t="s">
        <v>190</v>
      </c>
      <c r="CZ721" s="319" t="s">
        <v>190</v>
      </c>
      <c r="DA721" s="319" t="s">
        <v>190</v>
      </c>
      <c r="DB721" s="319" t="s">
        <v>190</v>
      </c>
      <c r="DC721" s="319" t="s">
        <v>190</v>
      </c>
      <c r="DD721" s="319" t="s">
        <v>190</v>
      </c>
      <c r="DE721" s="319" t="s">
        <v>190</v>
      </c>
      <c r="DF721" s="319" t="s">
        <v>190</v>
      </c>
      <c r="DG721" s="319" t="s">
        <v>190</v>
      </c>
      <c r="DH721" s="319" t="s">
        <v>190</v>
      </c>
      <c r="DI721" s="319" t="s">
        <v>190</v>
      </c>
      <c r="DJ721" s="319" t="s">
        <v>190</v>
      </c>
      <c r="DK721" s="319" t="s">
        <v>190</v>
      </c>
      <c r="DL721" s="319" t="s">
        <v>190</v>
      </c>
      <c r="DM721" s="319" t="s">
        <v>190</v>
      </c>
      <c r="DN721" s="319" t="s">
        <v>428</v>
      </c>
      <c r="DO721" s="319" t="s">
        <v>190</v>
      </c>
      <c r="DP721" s="319" t="s">
        <v>428</v>
      </c>
      <c r="DQ721" s="319" t="s">
        <v>428</v>
      </c>
      <c r="DR721" s="319" t="s">
        <v>428</v>
      </c>
      <c r="DS721" s="319" t="s">
        <v>428</v>
      </c>
      <c r="DT721" s="319" t="s">
        <v>428</v>
      </c>
      <c r="DU721" s="319" t="s">
        <v>428</v>
      </c>
      <c r="DV721" s="319" t="s">
        <v>173</v>
      </c>
      <c r="DW721" s="319" t="s">
        <v>428</v>
      </c>
      <c r="DX721" s="319" t="s">
        <v>428</v>
      </c>
      <c r="DY721" s="319" t="s">
        <v>428</v>
      </c>
      <c r="DZ721" s="319" t="s">
        <v>428</v>
      </c>
      <c r="EA721" s="319" t="s">
        <v>428</v>
      </c>
      <c r="EB721" s="319" t="s">
        <v>428</v>
      </c>
      <c r="EC721" s="319" t="s">
        <v>428</v>
      </c>
      <c r="ED721" s="319" t="s">
        <v>428</v>
      </c>
      <c r="EE721" s="319" t="s">
        <v>428</v>
      </c>
      <c r="EF721" s="319" t="s">
        <v>428</v>
      </c>
      <c r="EG721" s="319" t="s">
        <v>428</v>
      </c>
      <c r="EH721" s="319" t="s">
        <v>428</v>
      </c>
      <c r="EI721" s="319" t="s">
        <v>428</v>
      </c>
      <c r="EJ721" s="319" t="s">
        <v>428</v>
      </c>
      <c r="EK721" s="319" t="s">
        <v>428</v>
      </c>
      <c r="EL721" s="319" t="s">
        <v>428</v>
      </c>
      <c r="EM721" s="319" t="s">
        <v>428</v>
      </c>
      <c r="EN721" s="319" t="s">
        <v>190</v>
      </c>
      <c r="EO721" s="319" t="s">
        <v>190</v>
      </c>
      <c r="EP721" s="319" t="s">
        <v>190</v>
      </c>
      <c r="EQ721" s="319" t="s">
        <v>190</v>
      </c>
      <c r="ER721" s="319" t="s">
        <v>190</v>
      </c>
      <c r="ES721" s="319" t="s">
        <v>190</v>
      </c>
      <c r="ET721" s="319" t="s">
        <v>190</v>
      </c>
      <c r="EU721" s="319" t="s">
        <v>190</v>
      </c>
      <c r="EV721" s="319" t="s">
        <v>190</v>
      </c>
      <c r="EW721" s="319" t="s">
        <v>190</v>
      </c>
      <c r="EX721" s="319" t="s">
        <v>190</v>
      </c>
      <c r="EY721" s="319" t="s">
        <v>190</v>
      </c>
      <c r="EZ721" s="319" t="s">
        <v>190</v>
      </c>
      <c r="FA721" s="319" t="s">
        <v>428</v>
      </c>
      <c r="FB721" s="319" t="s">
        <v>428</v>
      </c>
      <c r="FC721" s="319" t="s">
        <v>428</v>
      </c>
      <c r="FD721" s="319" t="s">
        <v>428</v>
      </c>
      <c r="FE721" s="319" t="s">
        <v>428</v>
      </c>
      <c r="FF721" s="319" t="s">
        <v>428</v>
      </c>
      <c r="FG721" s="319" t="s">
        <v>428</v>
      </c>
      <c r="FH721" s="319" t="s">
        <v>428</v>
      </c>
      <c r="FI721" s="319" t="s">
        <v>428</v>
      </c>
      <c r="FJ721" s="319" t="s">
        <v>429</v>
      </c>
      <c r="FK721" s="319" t="s">
        <v>428</v>
      </c>
      <c r="FL721" s="319" t="s">
        <v>190</v>
      </c>
      <c r="FM721" s="319" t="s">
        <v>190</v>
      </c>
      <c r="FN721" s="319" t="s">
        <v>190</v>
      </c>
      <c r="FO721" s="319" t="s">
        <v>190</v>
      </c>
      <c r="FP721" s="319" t="s">
        <v>190</v>
      </c>
      <c r="FQ721" s="319" t="s">
        <v>190</v>
      </c>
      <c r="FR721" s="319" t="s">
        <v>190</v>
      </c>
      <c r="FS721" s="319" t="s">
        <v>428</v>
      </c>
      <c r="FT721" s="319" t="s">
        <v>190</v>
      </c>
      <c r="FU721" s="319" t="s">
        <v>190</v>
      </c>
      <c r="FV721" s="319" t="s">
        <v>190</v>
      </c>
      <c r="FW721" s="319" t="s">
        <v>190</v>
      </c>
      <c r="FX721" s="319" t="s">
        <v>190</v>
      </c>
      <c r="FY721" s="319" t="s">
        <v>190</v>
      </c>
      <c r="FZ721" s="319" t="s">
        <v>190</v>
      </c>
      <c r="GA721" s="319" t="s">
        <v>190</v>
      </c>
      <c r="GB721" s="319" t="s">
        <v>190</v>
      </c>
      <c r="GC721" s="319" t="s">
        <v>190</v>
      </c>
      <c r="GD721" s="319" t="s">
        <v>190</v>
      </c>
      <c r="GE721" s="319" t="s">
        <v>190</v>
      </c>
      <c r="GF721" s="319" t="s">
        <v>190</v>
      </c>
      <c r="GG721" s="319" t="s">
        <v>190</v>
      </c>
      <c r="GH721" s="319" t="s">
        <v>190</v>
      </c>
      <c r="GI721" s="319" t="s">
        <v>190</v>
      </c>
      <c r="GJ721" s="319" t="s">
        <v>190</v>
      </c>
      <c r="GK721" s="319" t="s">
        <v>428</v>
      </c>
      <c r="GL721" s="319" t="s">
        <v>190</v>
      </c>
      <c r="GM721" s="319" t="s">
        <v>190</v>
      </c>
      <c r="GN721" s="319" t="s">
        <v>190</v>
      </c>
      <c r="GO721" s="319" t="s">
        <v>190</v>
      </c>
      <c r="GP721" s="319" t="s">
        <v>190</v>
      </c>
      <c r="GQ721" s="319" t="s">
        <v>428</v>
      </c>
      <c r="GR721" s="319" t="s">
        <v>190</v>
      </c>
      <c r="GS721" s="319" t="s">
        <v>190</v>
      </c>
      <c r="GT721" s="319" t="s">
        <v>428</v>
      </c>
      <c r="GU721" s="319" t="s">
        <v>428</v>
      </c>
      <c r="GV721" s="319" t="s">
        <v>428</v>
      </c>
      <c r="GW721" s="319" t="s">
        <v>190</v>
      </c>
      <c r="GX721" s="319" t="s">
        <v>190</v>
      </c>
      <c r="GY721" s="319" t="s">
        <v>190</v>
      </c>
      <c r="GZ721" s="319" t="s">
        <v>190</v>
      </c>
      <c r="HA721" s="319" t="s">
        <v>428</v>
      </c>
      <c r="HB721" s="319" t="s">
        <v>428</v>
      </c>
      <c r="HC721" s="319" t="s">
        <v>190</v>
      </c>
      <c r="HD721" s="319" t="s">
        <v>190</v>
      </c>
      <c r="HE721" s="319" t="s">
        <v>190</v>
      </c>
      <c r="HF721" s="319" t="s">
        <v>190</v>
      </c>
      <c r="HG721" s="319" t="s">
        <v>190</v>
      </c>
      <c r="HH721" s="319" t="s">
        <v>190</v>
      </c>
      <c r="HI721" s="319" t="s">
        <v>190</v>
      </c>
      <c r="HJ721" s="319" t="s">
        <v>190</v>
      </c>
      <c r="HK721" s="319" t="s">
        <v>190</v>
      </c>
      <c r="HL721" s="319" t="s">
        <v>428</v>
      </c>
      <c r="HM721" s="319" t="s">
        <v>428</v>
      </c>
      <c r="HN721" s="319" t="s">
        <v>428</v>
      </c>
      <c r="HO721" s="319" t="s">
        <v>428</v>
      </c>
      <c r="HP721" s="319" t="s">
        <v>190</v>
      </c>
      <c r="HQ721" s="319" t="s">
        <v>190</v>
      </c>
      <c r="HR721" s="319" t="s">
        <v>190</v>
      </c>
      <c r="HS721" s="319" t="s">
        <v>190</v>
      </c>
      <c r="HT721" s="319" t="s">
        <v>190</v>
      </c>
      <c r="HU721" s="319" t="s">
        <v>190</v>
      </c>
      <c r="HV721" s="319" t="s">
        <v>190</v>
      </c>
      <c r="HW721" s="319" t="s">
        <v>190</v>
      </c>
      <c r="HX721" s="319" t="s">
        <v>190</v>
      </c>
      <c r="HY721" s="319" t="s">
        <v>190</v>
      </c>
      <c r="HZ721" s="319" t="s">
        <v>190</v>
      </c>
      <c r="IA721" s="319" t="s">
        <v>190</v>
      </c>
      <c r="IB721" s="319" t="s">
        <v>190</v>
      </c>
      <c r="IC721" s="319" t="s">
        <v>190</v>
      </c>
      <c r="ID721" s="319" t="s">
        <v>190</v>
      </c>
      <c r="IE721" s="319" t="s">
        <v>190</v>
      </c>
      <c r="IF721" s="319" t="s">
        <v>190</v>
      </c>
      <c r="IG721" s="319" t="s">
        <v>190</v>
      </c>
      <c r="IH721" s="319" t="s">
        <v>190</v>
      </c>
      <c r="II721" s="319" t="s">
        <v>190</v>
      </c>
      <c r="IJ721" s="319" t="s">
        <v>3453</v>
      </c>
      <c r="IK721" s="321">
        <v>41611</v>
      </c>
      <c r="IL721" s="321">
        <v>41613</v>
      </c>
      <c r="IM721" s="321">
        <v>41631</v>
      </c>
      <c r="IN721" s="319">
        <v>2</v>
      </c>
      <c r="IO721" s="319" t="s">
        <v>173</v>
      </c>
      <c r="IP721" s="319" t="s">
        <v>173</v>
      </c>
      <c r="IQ721" s="321" t="s">
        <v>173</v>
      </c>
      <c r="IR721" s="320" t="s">
        <v>173</v>
      </c>
      <c r="IS721" s="322" t="s">
        <v>173</v>
      </c>
      <c r="IT721" s="319" t="s">
        <v>173</v>
      </c>
    </row>
    <row r="722" spans="1:254" s="271" customFormat="1" x14ac:dyDescent="0.25">
      <c r="A722" s="318" t="str">
        <f>HYPERLINK("http://www.ofsted.gov.uk/inspection-reports/find-inspection-report/provider/ELS/139220 ","Ofsted School Webpage")</f>
        <v>Ofsted School Webpage</v>
      </c>
      <c r="B722" s="319">
        <v>139220</v>
      </c>
      <c r="C722" s="319">
        <v>8936031</v>
      </c>
      <c r="D722" s="319" t="s">
        <v>2197</v>
      </c>
      <c r="E722" s="319" t="s">
        <v>168</v>
      </c>
      <c r="F722" s="319" t="s">
        <v>81</v>
      </c>
      <c r="G722" s="319" t="s">
        <v>81</v>
      </c>
      <c r="H722" s="319" t="s">
        <v>81</v>
      </c>
      <c r="I722" s="319" t="s">
        <v>78</v>
      </c>
      <c r="J722" s="319" t="s">
        <v>424</v>
      </c>
      <c r="K722" s="319" t="s">
        <v>437</v>
      </c>
      <c r="L722" s="319" t="s">
        <v>437</v>
      </c>
      <c r="M722" s="319" t="s">
        <v>587</v>
      </c>
      <c r="N722" s="319" t="s">
        <v>2784</v>
      </c>
      <c r="O722" s="319" t="s">
        <v>539</v>
      </c>
      <c r="P722" s="319">
        <v>4</v>
      </c>
      <c r="Q722" s="319" t="s">
        <v>429</v>
      </c>
      <c r="R722" s="320">
        <v>10012919</v>
      </c>
      <c r="S722" s="321">
        <v>43235</v>
      </c>
      <c r="T722" s="321">
        <v>43237</v>
      </c>
      <c r="U722" s="321">
        <v>43271</v>
      </c>
      <c r="V722" s="319" t="s">
        <v>425</v>
      </c>
      <c r="W722" s="319" t="s">
        <v>2767</v>
      </c>
      <c r="X722" s="319">
        <v>2</v>
      </c>
      <c r="Y722" s="319" t="s">
        <v>173</v>
      </c>
      <c r="Z722" s="319" t="s">
        <v>173</v>
      </c>
      <c r="AA722" s="319" t="s">
        <v>173</v>
      </c>
      <c r="AB722" s="319">
        <v>2</v>
      </c>
      <c r="AC722" s="319" t="s">
        <v>169</v>
      </c>
      <c r="AD722" s="319" t="s">
        <v>173</v>
      </c>
      <c r="AE722" s="319" t="s">
        <v>173</v>
      </c>
      <c r="AF722" s="319" t="s">
        <v>173</v>
      </c>
      <c r="AG722" s="319" t="s">
        <v>171</v>
      </c>
      <c r="AH722" s="319" t="s">
        <v>190</v>
      </c>
      <c r="AI722" s="319" t="s">
        <v>190</v>
      </c>
      <c r="AJ722" s="319" t="s">
        <v>190</v>
      </c>
      <c r="AK722" s="319" t="s">
        <v>190</v>
      </c>
      <c r="AL722" s="319" t="s">
        <v>190</v>
      </c>
      <c r="AM722" s="319" t="s">
        <v>190</v>
      </c>
      <c r="AN722" s="319" t="s">
        <v>190</v>
      </c>
      <c r="AO722" s="319" t="s">
        <v>190</v>
      </c>
      <c r="AP722" s="319" t="s">
        <v>190</v>
      </c>
      <c r="AQ722" s="319" t="s">
        <v>190</v>
      </c>
      <c r="AR722" s="319" t="s">
        <v>190</v>
      </c>
      <c r="AS722" s="319" t="s">
        <v>190</v>
      </c>
      <c r="AT722" s="319" t="s">
        <v>190</v>
      </c>
      <c r="AU722" s="319" t="s">
        <v>190</v>
      </c>
      <c r="AV722" s="319" t="s">
        <v>190</v>
      </c>
      <c r="AW722" s="319" t="s">
        <v>190</v>
      </c>
      <c r="AX722" s="319" t="s">
        <v>429</v>
      </c>
      <c r="AY722" s="319" t="s">
        <v>190</v>
      </c>
      <c r="AZ722" s="319" t="s">
        <v>190</v>
      </c>
      <c r="BA722" s="319" t="s">
        <v>190</v>
      </c>
      <c r="BB722" s="319" t="s">
        <v>190</v>
      </c>
      <c r="BC722" s="319" t="s">
        <v>190</v>
      </c>
      <c r="BD722" s="319" t="s">
        <v>190</v>
      </c>
      <c r="BE722" s="319" t="s">
        <v>190</v>
      </c>
      <c r="BF722" s="319" t="s">
        <v>429</v>
      </c>
      <c r="BG722" s="319" t="s">
        <v>429</v>
      </c>
      <c r="BH722" s="319" t="s">
        <v>190</v>
      </c>
      <c r="BI722" s="319" t="s">
        <v>190</v>
      </c>
      <c r="BJ722" s="319" t="s">
        <v>190</v>
      </c>
      <c r="BK722" s="319" t="s">
        <v>190</v>
      </c>
      <c r="BL722" s="319" t="s">
        <v>190</v>
      </c>
      <c r="BM722" s="319" t="s">
        <v>190</v>
      </c>
      <c r="BN722" s="319" t="s">
        <v>190</v>
      </c>
      <c r="BO722" s="319" t="s">
        <v>190</v>
      </c>
      <c r="BP722" s="319" t="s">
        <v>190</v>
      </c>
      <c r="BQ722" s="319" t="s">
        <v>190</v>
      </c>
      <c r="BR722" s="319" t="s">
        <v>190</v>
      </c>
      <c r="BS722" s="319" t="s">
        <v>190</v>
      </c>
      <c r="BT722" s="319" t="s">
        <v>190</v>
      </c>
      <c r="BU722" s="319" t="s">
        <v>190</v>
      </c>
      <c r="BV722" s="319" t="s">
        <v>190</v>
      </c>
      <c r="BW722" s="319" t="s">
        <v>190</v>
      </c>
      <c r="BX722" s="319" t="s">
        <v>190</v>
      </c>
      <c r="BY722" s="319" t="s">
        <v>190</v>
      </c>
      <c r="BZ722" s="319" t="s">
        <v>190</v>
      </c>
      <c r="CA722" s="319" t="s">
        <v>190</v>
      </c>
      <c r="CB722" s="319" t="s">
        <v>190</v>
      </c>
      <c r="CC722" s="319" t="s">
        <v>190</v>
      </c>
      <c r="CD722" s="319" t="s">
        <v>190</v>
      </c>
      <c r="CE722" s="319" t="s">
        <v>190</v>
      </c>
      <c r="CF722" s="319" t="s">
        <v>190</v>
      </c>
      <c r="CG722" s="319" t="s">
        <v>190</v>
      </c>
      <c r="CH722" s="319" t="s">
        <v>190</v>
      </c>
      <c r="CI722" s="319" t="s">
        <v>190</v>
      </c>
      <c r="CJ722" s="319" t="s">
        <v>190</v>
      </c>
      <c r="CK722" s="319" t="s">
        <v>190</v>
      </c>
      <c r="CL722" s="319" t="s">
        <v>190</v>
      </c>
      <c r="CM722" s="319" t="s">
        <v>190</v>
      </c>
      <c r="CN722" s="319" t="s">
        <v>429</v>
      </c>
      <c r="CO722" s="319" t="s">
        <v>429</v>
      </c>
      <c r="CP722" s="319" t="s">
        <v>429</v>
      </c>
      <c r="CQ722" s="319" t="s">
        <v>190</v>
      </c>
      <c r="CR722" s="319" t="s">
        <v>190</v>
      </c>
      <c r="CS722" s="319" t="s">
        <v>190</v>
      </c>
      <c r="CT722" s="319" t="s">
        <v>190</v>
      </c>
      <c r="CU722" s="319" t="s">
        <v>190</v>
      </c>
      <c r="CV722" s="319" t="s">
        <v>190</v>
      </c>
      <c r="CW722" s="319" t="s">
        <v>190</v>
      </c>
      <c r="CX722" s="319" t="s">
        <v>190</v>
      </c>
      <c r="CY722" s="319" t="s">
        <v>190</v>
      </c>
      <c r="CZ722" s="319" t="s">
        <v>190</v>
      </c>
      <c r="DA722" s="319" t="s">
        <v>190</v>
      </c>
      <c r="DB722" s="319" t="s">
        <v>190</v>
      </c>
      <c r="DC722" s="319" t="s">
        <v>190</v>
      </c>
      <c r="DD722" s="319" t="s">
        <v>190</v>
      </c>
      <c r="DE722" s="319" t="s">
        <v>190</v>
      </c>
      <c r="DF722" s="319" t="s">
        <v>190</v>
      </c>
      <c r="DG722" s="319" t="s">
        <v>190</v>
      </c>
      <c r="DH722" s="319" t="s">
        <v>190</v>
      </c>
      <c r="DI722" s="319" t="s">
        <v>190</v>
      </c>
      <c r="DJ722" s="319" t="s">
        <v>190</v>
      </c>
      <c r="DK722" s="319" t="s">
        <v>190</v>
      </c>
      <c r="DL722" s="319" t="s">
        <v>190</v>
      </c>
      <c r="DM722" s="319" t="s">
        <v>190</v>
      </c>
      <c r="DN722" s="319" t="s">
        <v>429</v>
      </c>
      <c r="DO722" s="319" t="s">
        <v>190</v>
      </c>
      <c r="DP722" s="319" t="s">
        <v>190</v>
      </c>
      <c r="DQ722" s="319" t="s">
        <v>190</v>
      </c>
      <c r="DR722" s="319" t="s">
        <v>190</v>
      </c>
      <c r="DS722" s="319" t="s">
        <v>190</v>
      </c>
      <c r="DT722" s="319" t="s">
        <v>190</v>
      </c>
      <c r="DU722" s="319" t="s">
        <v>190</v>
      </c>
      <c r="DV722" s="319" t="s">
        <v>173</v>
      </c>
      <c r="DW722" s="319" t="s">
        <v>190</v>
      </c>
      <c r="DX722" s="319" t="s">
        <v>190</v>
      </c>
      <c r="DY722" s="319" t="s">
        <v>190</v>
      </c>
      <c r="DZ722" s="319" t="s">
        <v>190</v>
      </c>
      <c r="EA722" s="319" t="s">
        <v>190</v>
      </c>
      <c r="EB722" s="319" t="s">
        <v>190</v>
      </c>
      <c r="EC722" s="319" t="s">
        <v>429</v>
      </c>
      <c r="ED722" s="319" t="s">
        <v>190</v>
      </c>
      <c r="EE722" s="319" t="s">
        <v>190</v>
      </c>
      <c r="EF722" s="319" t="s">
        <v>190</v>
      </c>
      <c r="EG722" s="319" t="s">
        <v>190</v>
      </c>
      <c r="EH722" s="319" t="s">
        <v>190</v>
      </c>
      <c r="EI722" s="319" t="s">
        <v>190</v>
      </c>
      <c r="EJ722" s="319" t="s">
        <v>190</v>
      </c>
      <c r="EK722" s="319" t="s">
        <v>190</v>
      </c>
      <c r="EL722" s="319" t="s">
        <v>190</v>
      </c>
      <c r="EM722" s="319" t="s">
        <v>190</v>
      </c>
      <c r="EN722" s="319" t="s">
        <v>190</v>
      </c>
      <c r="EO722" s="319" t="s">
        <v>190</v>
      </c>
      <c r="EP722" s="319" t="s">
        <v>190</v>
      </c>
      <c r="EQ722" s="319" t="s">
        <v>190</v>
      </c>
      <c r="ER722" s="319" t="s">
        <v>190</v>
      </c>
      <c r="ES722" s="319" t="s">
        <v>190</v>
      </c>
      <c r="ET722" s="319" t="s">
        <v>190</v>
      </c>
      <c r="EU722" s="319" t="s">
        <v>190</v>
      </c>
      <c r="EV722" s="319" t="s">
        <v>190</v>
      </c>
      <c r="EW722" s="319" t="s">
        <v>190</v>
      </c>
      <c r="EX722" s="319" t="s">
        <v>190</v>
      </c>
      <c r="EY722" s="319" t="s">
        <v>190</v>
      </c>
      <c r="EZ722" s="319" t="s">
        <v>190</v>
      </c>
      <c r="FA722" s="319" t="s">
        <v>190</v>
      </c>
      <c r="FB722" s="319" t="s">
        <v>190</v>
      </c>
      <c r="FC722" s="319" t="s">
        <v>190</v>
      </c>
      <c r="FD722" s="319" t="s">
        <v>190</v>
      </c>
      <c r="FE722" s="319" t="s">
        <v>190</v>
      </c>
      <c r="FF722" s="319" t="s">
        <v>190</v>
      </c>
      <c r="FG722" s="319" t="s">
        <v>190</v>
      </c>
      <c r="FH722" s="319" t="s">
        <v>190</v>
      </c>
      <c r="FI722" s="319" t="s">
        <v>190</v>
      </c>
      <c r="FJ722" s="319" t="s">
        <v>190</v>
      </c>
      <c r="FK722" s="319" t="s">
        <v>190</v>
      </c>
      <c r="FL722" s="319" t="s">
        <v>190</v>
      </c>
      <c r="FM722" s="319" t="s">
        <v>190</v>
      </c>
      <c r="FN722" s="319" t="s">
        <v>190</v>
      </c>
      <c r="FO722" s="319" t="s">
        <v>190</v>
      </c>
      <c r="FP722" s="319" t="s">
        <v>190</v>
      </c>
      <c r="FQ722" s="319" t="s">
        <v>190</v>
      </c>
      <c r="FR722" s="319" t="s">
        <v>190</v>
      </c>
      <c r="FS722" s="319" t="s">
        <v>429</v>
      </c>
      <c r="FT722" s="319" t="s">
        <v>190</v>
      </c>
      <c r="FU722" s="319" t="s">
        <v>190</v>
      </c>
      <c r="FV722" s="319" t="s">
        <v>190</v>
      </c>
      <c r="FW722" s="319" t="s">
        <v>190</v>
      </c>
      <c r="FX722" s="319" t="s">
        <v>190</v>
      </c>
      <c r="FY722" s="319" t="s">
        <v>190</v>
      </c>
      <c r="FZ722" s="319" t="s">
        <v>190</v>
      </c>
      <c r="GA722" s="319" t="s">
        <v>190</v>
      </c>
      <c r="GB722" s="319" t="s">
        <v>190</v>
      </c>
      <c r="GC722" s="319" t="s">
        <v>190</v>
      </c>
      <c r="GD722" s="319" t="s">
        <v>190</v>
      </c>
      <c r="GE722" s="319" t="s">
        <v>190</v>
      </c>
      <c r="GF722" s="319" t="s">
        <v>190</v>
      </c>
      <c r="GG722" s="319" t="s">
        <v>190</v>
      </c>
      <c r="GH722" s="319" t="s">
        <v>190</v>
      </c>
      <c r="GI722" s="319" t="s">
        <v>190</v>
      </c>
      <c r="GJ722" s="319" t="s">
        <v>190</v>
      </c>
      <c r="GK722" s="319" t="s">
        <v>429</v>
      </c>
      <c r="GL722" s="319" t="s">
        <v>190</v>
      </c>
      <c r="GM722" s="319" t="s">
        <v>190</v>
      </c>
      <c r="GN722" s="319" t="s">
        <v>190</v>
      </c>
      <c r="GO722" s="319" t="s">
        <v>190</v>
      </c>
      <c r="GP722" s="319" t="s">
        <v>190</v>
      </c>
      <c r="GQ722" s="319" t="s">
        <v>429</v>
      </c>
      <c r="GR722" s="319" t="s">
        <v>190</v>
      </c>
      <c r="GS722" s="319" t="s">
        <v>190</v>
      </c>
      <c r="GT722" s="319" t="s">
        <v>190</v>
      </c>
      <c r="GU722" s="319" t="s">
        <v>190</v>
      </c>
      <c r="GV722" s="319" t="s">
        <v>190</v>
      </c>
      <c r="GW722" s="319" t="s">
        <v>190</v>
      </c>
      <c r="GX722" s="319" t="s">
        <v>190</v>
      </c>
      <c r="GY722" s="319" t="s">
        <v>190</v>
      </c>
      <c r="GZ722" s="319" t="s">
        <v>429</v>
      </c>
      <c r="HA722" s="319" t="s">
        <v>190</v>
      </c>
      <c r="HB722" s="319" t="s">
        <v>429</v>
      </c>
      <c r="HC722" s="319" t="s">
        <v>190</v>
      </c>
      <c r="HD722" s="319" t="s">
        <v>190</v>
      </c>
      <c r="HE722" s="319" t="s">
        <v>190</v>
      </c>
      <c r="HF722" s="319" t="s">
        <v>190</v>
      </c>
      <c r="HG722" s="319" t="s">
        <v>190</v>
      </c>
      <c r="HH722" s="319" t="s">
        <v>190</v>
      </c>
      <c r="HI722" s="319" t="s">
        <v>190</v>
      </c>
      <c r="HJ722" s="319" t="s">
        <v>190</v>
      </c>
      <c r="HK722" s="319" t="s">
        <v>190</v>
      </c>
      <c r="HL722" s="319" t="s">
        <v>190</v>
      </c>
      <c r="HM722" s="319" t="s">
        <v>190</v>
      </c>
      <c r="HN722" s="319" t="s">
        <v>190</v>
      </c>
      <c r="HO722" s="319" t="s">
        <v>190</v>
      </c>
      <c r="HP722" s="319" t="s">
        <v>190</v>
      </c>
      <c r="HQ722" s="319" t="s">
        <v>190</v>
      </c>
      <c r="HR722" s="319" t="s">
        <v>190</v>
      </c>
      <c r="HS722" s="319" t="s">
        <v>190</v>
      </c>
      <c r="HT722" s="319" t="s">
        <v>190</v>
      </c>
      <c r="HU722" s="319" t="s">
        <v>190</v>
      </c>
      <c r="HV722" s="319" t="s">
        <v>190</v>
      </c>
      <c r="HW722" s="319" t="s">
        <v>190</v>
      </c>
      <c r="HX722" s="319" t="s">
        <v>190</v>
      </c>
      <c r="HY722" s="319" t="s">
        <v>190</v>
      </c>
      <c r="HZ722" s="319" t="s">
        <v>190</v>
      </c>
      <c r="IA722" s="319" t="s">
        <v>190</v>
      </c>
      <c r="IB722" s="319" t="s">
        <v>190</v>
      </c>
      <c r="IC722" s="319" t="s">
        <v>190</v>
      </c>
      <c r="ID722" s="319" t="s">
        <v>190</v>
      </c>
      <c r="IE722" s="319" t="s">
        <v>190</v>
      </c>
      <c r="IF722" s="319" t="s">
        <v>190</v>
      </c>
      <c r="IG722" s="319" t="s">
        <v>190</v>
      </c>
      <c r="IH722" s="319" t="s">
        <v>190</v>
      </c>
      <c r="II722" s="319" t="s">
        <v>190</v>
      </c>
      <c r="IJ722" s="319" t="s">
        <v>3454</v>
      </c>
      <c r="IK722" s="321">
        <v>41570</v>
      </c>
      <c r="IL722" s="321">
        <v>41571</v>
      </c>
      <c r="IM722" s="321">
        <v>41600</v>
      </c>
      <c r="IN722" s="319">
        <v>2</v>
      </c>
      <c r="IO722" s="319" t="s">
        <v>173</v>
      </c>
      <c r="IP722" s="319" t="s">
        <v>173</v>
      </c>
      <c r="IQ722" s="321" t="s">
        <v>173</v>
      </c>
      <c r="IR722" s="320" t="s">
        <v>173</v>
      </c>
      <c r="IS722" s="322" t="s">
        <v>173</v>
      </c>
      <c r="IT722" s="319" t="s">
        <v>173</v>
      </c>
    </row>
    <row r="723" spans="1:254" s="271" customFormat="1" x14ac:dyDescent="0.25">
      <c r="A723" s="318" t="str">
        <f>HYPERLINK("http://www.ofsted.gov.uk/inspection-reports/find-inspection-report/provider/ELS/139221 ","Ofsted School Webpage")</f>
        <v>Ofsted School Webpage</v>
      </c>
      <c r="B723" s="319">
        <v>139221</v>
      </c>
      <c r="C723" s="319">
        <v>2116005</v>
      </c>
      <c r="D723" s="319" t="s">
        <v>2198</v>
      </c>
      <c r="E723" s="319" t="s">
        <v>167</v>
      </c>
      <c r="F723" s="319" t="s">
        <v>81</v>
      </c>
      <c r="G723" s="319" t="s">
        <v>72</v>
      </c>
      <c r="H723" s="319" t="s">
        <v>72</v>
      </c>
      <c r="I723" s="319" t="s">
        <v>72</v>
      </c>
      <c r="J723" s="319" t="s">
        <v>424</v>
      </c>
      <c r="K723" s="319" t="s">
        <v>441</v>
      </c>
      <c r="L723" s="319" t="s">
        <v>441</v>
      </c>
      <c r="M723" s="319" t="s">
        <v>757</v>
      </c>
      <c r="N723" s="319" t="s">
        <v>2801</v>
      </c>
      <c r="O723" s="319" t="s">
        <v>2199</v>
      </c>
      <c r="P723" s="319">
        <v>232</v>
      </c>
      <c r="Q723" s="319" t="s">
        <v>2766</v>
      </c>
      <c r="R723" s="320">
        <v>10020729</v>
      </c>
      <c r="S723" s="321">
        <v>43165</v>
      </c>
      <c r="T723" s="321">
        <v>43167</v>
      </c>
      <c r="U723" s="321">
        <v>43215</v>
      </c>
      <c r="V723" s="319" t="s">
        <v>425</v>
      </c>
      <c r="W723" s="319" t="s">
        <v>2767</v>
      </c>
      <c r="X723" s="319">
        <v>2</v>
      </c>
      <c r="Y723" s="319" t="s">
        <v>173</v>
      </c>
      <c r="Z723" s="319" t="s">
        <v>173</v>
      </c>
      <c r="AA723" s="319" t="s">
        <v>173</v>
      </c>
      <c r="AB723" s="319">
        <v>2</v>
      </c>
      <c r="AC723" s="319" t="s">
        <v>169</v>
      </c>
      <c r="AD723" s="319">
        <v>2</v>
      </c>
      <c r="AE723" s="319" t="s">
        <v>173</v>
      </c>
      <c r="AF723" s="319" t="s">
        <v>427</v>
      </c>
      <c r="AG723" s="319" t="s">
        <v>171</v>
      </c>
      <c r="AH723" s="319" t="s">
        <v>190</v>
      </c>
      <c r="AI723" s="319" t="s">
        <v>190</v>
      </c>
      <c r="AJ723" s="319" t="s">
        <v>190</v>
      </c>
      <c r="AK723" s="319" t="s">
        <v>190</v>
      </c>
      <c r="AL723" s="319" t="s">
        <v>190</v>
      </c>
      <c r="AM723" s="319" t="s">
        <v>190</v>
      </c>
      <c r="AN723" s="319" t="s">
        <v>190</v>
      </c>
      <c r="AO723" s="319" t="s">
        <v>190</v>
      </c>
      <c r="AP723" s="319" t="s">
        <v>190</v>
      </c>
      <c r="AQ723" s="319" t="s">
        <v>190</v>
      </c>
      <c r="AR723" s="319" t="s">
        <v>190</v>
      </c>
      <c r="AS723" s="319" t="s">
        <v>190</v>
      </c>
      <c r="AT723" s="319" t="s">
        <v>190</v>
      </c>
      <c r="AU723" s="319" t="s">
        <v>190</v>
      </c>
      <c r="AV723" s="319" t="s">
        <v>190</v>
      </c>
      <c r="AW723" s="319" t="s">
        <v>190</v>
      </c>
      <c r="AX723" s="319" t="s">
        <v>428</v>
      </c>
      <c r="AY723" s="319" t="s">
        <v>190</v>
      </c>
      <c r="AZ723" s="319" t="s">
        <v>190</v>
      </c>
      <c r="BA723" s="319" t="s">
        <v>190</v>
      </c>
      <c r="BB723" s="319" t="s">
        <v>428</v>
      </c>
      <c r="BC723" s="319" t="s">
        <v>428</v>
      </c>
      <c r="BD723" s="319" t="s">
        <v>428</v>
      </c>
      <c r="BE723" s="319" t="s">
        <v>428</v>
      </c>
      <c r="BF723" s="319" t="s">
        <v>190</v>
      </c>
      <c r="BG723" s="319" t="s">
        <v>190</v>
      </c>
      <c r="BH723" s="319" t="s">
        <v>190</v>
      </c>
      <c r="BI723" s="319" t="s">
        <v>190</v>
      </c>
      <c r="BJ723" s="319" t="s">
        <v>190</v>
      </c>
      <c r="BK723" s="319" t="s">
        <v>190</v>
      </c>
      <c r="BL723" s="319" t="s">
        <v>190</v>
      </c>
      <c r="BM723" s="319" t="s">
        <v>190</v>
      </c>
      <c r="BN723" s="319" t="s">
        <v>190</v>
      </c>
      <c r="BO723" s="319" t="s">
        <v>190</v>
      </c>
      <c r="BP723" s="319" t="s">
        <v>190</v>
      </c>
      <c r="BQ723" s="319" t="s">
        <v>190</v>
      </c>
      <c r="BR723" s="319" t="s">
        <v>190</v>
      </c>
      <c r="BS723" s="319" t="s">
        <v>190</v>
      </c>
      <c r="BT723" s="319" t="s">
        <v>190</v>
      </c>
      <c r="BU723" s="319" t="s">
        <v>190</v>
      </c>
      <c r="BV723" s="319" t="s">
        <v>190</v>
      </c>
      <c r="BW723" s="319" t="s">
        <v>190</v>
      </c>
      <c r="BX723" s="319" t="s">
        <v>190</v>
      </c>
      <c r="BY723" s="319" t="s">
        <v>190</v>
      </c>
      <c r="BZ723" s="319" t="s">
        <v>190</v>
      </c>
      <c r="CA723" s="319" t="s">
        <v>190</v>
      </c>
      <c r="CB723" s="319" t="s">
        <v>190</v>
      </c>
      <c r="CC723" s="319" t="s">
        <v>190</v>
      </c>
      <c r="CD723" s="319" t="s">
        <v>190</v>
      </c>
      <c r="CE723" s="319" t="s">
        <v>190</v>
      </c>
      <c r="CF723" s="319" t="s">
        <v>190</v>
      </c>
      <c r="CG723" s="319" t="s">
        <v>190</v>
      </c>
      <c r="CH723" s="319" t="s">
        <v>190</v>
      </c>
      <c r="CI723" s="319" t="s">
        <v>190</v>
      </c>
      <c r="CJ723" s="319" t="s">
        <v>190</v>
      </c>
      <c r="CK723" s="319" t="s">
        <v>190</v>
      </c>
      <c r="CL723" s="319" t="s">
        <v>190</v>
      </c>
      <c r="CM723" s="319" t="s">
        <v>190</v>
      </c>
      <c r="CN723" s="319" t="s">
        <v>428</v>
      </c>
      <c r="CO723" s="319" t="s">
        <v>428</v>
      </c>
      <c r="CP723" s="319" t="s">
        <v>428</v>
      </c>
      <c r="CQ723" s="319" t="s">
        <v>190</v>
      </c>
      <c r="CR723" s="319" t="s">
        <v>190</v>
      </c>
      <c r="CS723" s="319" t="s">
        <v>190</v>
      </c>
      <c r="CT723" s="319" t="s">
        <v>190</v>
      </c>
      <c r="CU723" s="319" t="s">
        <v>190</v>
      </c>
      <c r="CV723" s="319" t="s">
        <v>190</v>
      </c>
      <c r="CW723" s="319" t="s">
        <v>190</v>
      </c>
      <c r="CX723" s="319" t="s">
        <v>190</v>
      </c>
      <c r="CY723" s="319" t="s">
        <v>190</v>
      </c>
      <c r="CZ723" s="319" t="s">
        <v>190</v>
      </c>
      <c r="DA723" s="319" t="s">
        <v>190</v>
      </c>
      <c r="DB723" s="319" t="s">
        <v>190</v>
      </c>
      <c r="DC723" s="319" t="s">
        <v>190</v>
      </c>
      <c r="DD723" s="319" t="s">
        <v>190</v>
      </c>
      <c r="DE723" s="319" t="s">
        <v>190</v>
      </c>
      <c r="DF723" s="319" t="s">
        <v>190</v>
      </c>
      <c r="DG723" s="319" t="s">
        <v>190</v>
      </c>
      <c r="DH723" s="319" t="s">
        <v>190</v>
      </c>
      <c r="DI723" s="319" t="s">
        <v>190</v>
      </c>
      <c r="DJ723" s="319" t="s">
        <v>190</v>
      </c>
      <c r="DK723" s="319" t="s">
        <v>190</v>
      </c>
      <c r="DL723" s="319" t="s">
        <v>190</v>
      </c>
      <c r="DM723" s="319" t="s">
        <v>190</v>
      </c>
      <c r="DN723" s="319" t="s">
        <v>428</v>
      </c>
      <c r="DO723" s="319" t="s">
        <v>190</v>
      </c>
      <c r="DP723" s="319" t="s">
        <v>190</v>
      </c>
      <c r="DQ723" s="319" t="s">
        <v>190</v>
      </c>
      <c r="DR723" s="319" t="s">
        <v>190</v>
      </c>
      <c r="DS723" s="319" t="s">
        <v>190</v>
      </c>
      <c r="DT723" s="319" t="s">
        <v>190</v>
      </c>
      <c r="DU723" s="319" t="s">
        <v>190</v>
      </c>
      <c r="DV723" s="319" t="s">
        <v>173</v>
      </c>
      <c r="DW723" s="319" t="s">
        <v>190</v>
      </c>
      <c r="DX723" s="319" t="s">
        <v>190</v>
      </c>
      <c r="DY723" s="319" t="s">
        <v>190</v>
      </c>
      <c r="DZ723" s="319" t="s">
        <v>190</v>
      </c>
      <c r="EA723" s="319" t="s">
        <v>190</v>
      </c>
      <c r="EB723" s="319" t="s">
        <v>190</v>
      </c>
      <c r="EC723" s="319" t="s">
        <v>428</v>
      </c>
      <c r="ED723" s="319" t="s">
        <v>190</v>
      </c>
      <c r="EE723" s="319" t="s">
        <v>190</v>
      </c>
      <c r="EF723" s="319" t="s">
        <v>190</v>
      </c>
      <c r="EG723" s="319" t="s">
        <v>190</v>
      </c>
      <c r="EH723" s="319" t="s">
        <v>190</v>
      </c>
      <c r="EI723" s="319" t="s">
        <v>190</v>
      </c>
      <c r="EJ723" s="319" t="s">
        <v>190</v>
      </c>
      <c r="EK723" s="319" t="s">
        <v>190</v>
      </c>
      <c r="EL723" s="319" t="s">
        <v>190</v>
      </c>
      <c r="EM723" s="319" t="s">
        <v>190</v>
      </c>
      <c r="EN723" s="319" t="s">
        <v>190</v>
      </c>
      <c r="EO723" s="319" t="s">
        <v>190</v>
      </c>
      <c r="EP723" s="319" t="s">
        <v>190</v>
      </c>
      <c r="EQ723" s="319" t="s">
        <v>190</v>
      </c>
      <c r="ER723" s="319" t="s">
        <v>190</v>
      </c>
      <c r="ES723" s="319" t="s">
        <v>190</v>
      </c>
      <c r="ET723" s="319" t="s">
        <v>190</v>
      </c>
      <c r="EU723" s="319" t="s">
        <v>190</v>
      </c>
      <c r="EV723" s="319" t="s">
        <v>190</v>
      </c>
      <c r="EW723" s="319" t="s">
        <v>190</v>
      </c>
      <c r="EX723" s="319" t="s">
        <v>190</v>
      </c>
      <c r="EY723" s="319" t="s">
        <v>190</v>
      </c>
      <c r="EZ723" s="319" t="s">
        <v>190</v>
      </c>
      <c r="FA723" s="319" t="s">
        <v>190</v>
      </c>
      <c r="FB723" s="319" t="s">
        <v>190</v>
      </c>
      <c r="FC723" s="319" t="s">
        <v>190</v>
      </c>
      <c r="FD723" s="319" t="s">
        <v>190</v>
      </c>
      <c r="FE723" s="319" t="s">
        <v>190</v>
      </c>
      <c r="FF723" s="319" t="s">
        <v>190</v>
      </c>
      <c r="FG723" s="319" t="s">
        <v>190</v>
      </c>
      <c r="FH723" s="319" t="s">
        <v>190</v>
      </c>
      <c r="FI723" s="319" t="s">
        <v>190</v>
      </c>
      <c r="FJ723" s="319" t="s">
        <v>190</v>
      </c>
      <c r="FK723" s="319" t="s">
        <v>190</v>
      </c>
      <c r="FL723" s="319" t="s">
        <v>190</v>
      </c>
      <c r="FM723" s="319" t="s">
        <v>190</v>
      </c>
      <c r="FN723" s="319" t="s">
        <v>190</v>
      </c>
      <c r="FO723" s="319" t="s">
        <v>428</v>
      </c>
      <c r="FP723" s="319" t="s">
        <v>190</v>
      </c>
      <c r="FQ723" s="319" t="s">
        <v>190</v>
      </c>
      <c r="FR723" s="319" t="s">
        <v>190</v>
      </c>
      <c r="FS723" s="319" t="s">
        <v>190</v>
      </c>
      <c r="FT723" s="319" t="s">
        <v>190</v>
      </c>
      <c r="FU723" s="319" t="s">
        <v>190</v>
      </c>
      <c r="FV723" s="319" t="s">
        <v>190</v>
      </c>
      <c r="FW723" s="319" t="s">
        <v>190</v>
      </c>
      <c r="FX723" s="319" t="s">
        <v>190</v>
      </c>
      <c r="FY723" s="319" t="s">
        <v>190</v>
      </c>
      <c r="FZ723" s="319" t="s">
        <v>190</v>
      </c>
      <c r="GA723" s="319" t="s">
        <v>190</v>
      </c>
      <c r="GB723" s="319" t="s">
        <v>190</v>
      </c>
      <c r="GC723" s="319" t="s">
        <v>190</v>
      </c>
      <c r="GD723" s="319" t="s">
        <v>190</v>
      </c>
      <c r="GE723" s="319" t="s">
        <v>190</v>
      </c>
      <c r="GF723" s="319" t="s">
        <v>190</v>
      </c>
      <c r="GG723" s="319" t="s">
        <v>190</v>
      </c>
      <c r="GH723" s="319" t="s">
        <v>190</v>
      </c>
      <c r="GI723" s="319" t="s">
        <v>190</v>
      </c>
      <c r="GJ723" s="319" t="s">
        <v>190</v>
      </c>
      <c r="GK723" s="319" t="s">
        <v>428</v>
      </c>
      <c r="GL723" s="319" t="s">
        <v>190</v>
      </c>
      <c r="GM723" s="319" t="s">
        <v>190</v>
      </c>
      <c r="GN723" s="319" t="s">
        <v>190</v>
      </c>
      <c r="GO723" s="319" t="s">
        <v>190</v>
      </c>
      <c r="GP723" s="319" t="s">
        <v>190</v>
      </c>
      <c r="GQ723" s="319" t="s">
        <v>190</v>
      </c>
      <c r="GR723" s="319" t="s">
        <v>190</v>
      </c>
      <c r="GS723" s="319" t="s">
        <v>190</v>
      </c>
      <c r="GT723" s="319" t="s">
        <v>190</v>
      </c>
      <c r="GU723" s="319" t="s">
        <v>190</v>
      </c>
      <c r="GV723" s="319" t="s">
        <v>190</v>
      </c>
      <c r="GW723" s="319" t="s">
        <v>190</v>
      </c>
      <c r="GX723" s="319" t="s">
        <v>190</v>
      </c>
      <c r="GY723" s="319" t="s">
        <v>190</v>
      </c>
      <c r="GZ723" s="319" t="s">
        <v>190</v>
      </c>
      <c r="HA723" s="319" t="s">
        <v>190</v>
      </c>
      <c r="HB723" s="319" t="s">
        <v>190</v>
      </c>
      <c r="HC723" s="319" t="s">
        <v>190</v>
      </c>
      <c r="HD723" s="319" t="s">
        <v>190</v>
      </c>
      <c r="HE723" s="319" t="s">
        <v>190</v>
      </c>
      <c r="HF723" s="319" t="s">
        <v>190</v>
      </c>
      <c r="HG723" s="319" t="s">
        <v>190</v>
      </c>
      <c r="HH723" s="319" t="s">
        <v>190</v>
      </c>
      <c r="HI723" s="319" t="s">
        <v>190</v>
      </c>
      <c r="HJ723" s="319" t="s">
        <v>190</v>
      </c>
      <c r="HK723" s="319" t="s">
        <v>190</v>
      </c>
      <c r="HL723" s="319" t="s">
        <v>190</v>
      </c>
      <c r="HM723" s="319" t="s">
        <v>190</v>
      </c>
      <c r="HN723" s="319" t="s">
        <v>190</v>
      </c>
      <c r="HO723" s="319" t="s">
        <v>190</v>
      </c>
      <c r="HP723" s="319" t="s">
        <v>190</v>
      </c>
      <c r="HQ723" s="319" t="s">
        <v>190</v>
      </c>
      <c r="HR723" s="319" t="s">
        <v>190</v>
      </c>
      <c r="HS723" s="319" t="s">
        <v>190</v>
      </c>
      <c r="HT723" s="319" t="s">
        <v>190</v>
      </c>
      <c r="HU723" s="319" t="s">
        <v>190</v>
      </c>
      <c r="HV723" s="319" t="s">
        <v>190</v>
      </c>
      <c r="HW723" s="319" t="s">
        <v>190</v>
      </c>
      <c r="HX723" s="319" t="s">
        <v>190</v>
      </c>
      <c r="HY723" s="319" t="s">
        <v>190</v>
      </c>
      <c r="HZ723" s="319" t="s">
        <v>190</v>
      </c>
      <c r="IA723" s="319" t="s">
        <v>190</v>
      </c>
      <c r="IB723" s="319" t="s">
        <v>190</v>
      </c>
      <c r="IC723" s="319" t="s">
        <v>190</v>
      </c>
      <c r="ID723" s="319" t="s">
        <v>190</v>
      </c>
      <c r="IE723" s="319" t="s">
        <v>190</v>
      </c>
      <c r="IF723" s="319" t="s">
        <v>190</v>
      </c>
      <c r="IG723" s="319" t="s">
        <v>190</v>
      </c>
      <c r="IH723" s="319" t="s">
        <v>190</v>
      </c>
      <c r="II723" s="319" t="s">
        <v>190</v>
      </c>
      <c r="IJ723" s="319" t="s">
        <v>3455</v>
      </c>
      <c r="IK723" s="321">
        <v>41534</v>
      </c>
      <c r="IL723" s="321">
        <v>41536</v>
      </c>
      <c r="IM723" s="321">
        <v>41556</v>
      </c>
      <c r="IN723" s="319">
        <v>3</v>
      </c>
      <c r="IO723" s="319" t="s">
        <v>173</v>
      </c>
      <c r="IP723" s="319" t="s">
        <v>173</v>
      </c>
      <c r="IQ723" s="321" t="s">
        <v>173</v>
      </c>
      <c r="IR723" s="320" t="s">
        <v>173</v>
      </c>
      <c r="IS723" s="322" t="s">
        <v>173</v>
      </c>
      <c r="IT723" s="319" t="s">
        <v>173</v>
      </c>
    </row>
    <row r="724" spans="1:254" s="271" customFormat="1" x14ac:dyDescent="0.25">
      <c r="A724" s="318" t="str">
        <f>HYPERLINK("http://www.ofsted.gov.uk/inspection-reports/find-inspection-report/provider/ELS/139239 ","Ofsted School Webpage")</f>
        <v>Ofsted School Webpage</v>
      </c>
      <c r="B724" s="319">
        <v>139239</v>
      </c>
      <c r="C724" s="319">
        <v>2136000</v>
      </c>
      <c r="D724" s="319" t="s">
        <v>2200</v>
      </c>
      <c r="E724" s="319" t="s">
        <v>167</v>
      </c>
      <c r="F724" s="319" t="s">
        <v>81</v>
      </c>
      <c r="G724" s="319" t="s">
        <v>81</v>
      </c>
      <c r="H724" s="319" t="s">
        <v>81</v>
      </c>
      <c r="I724" s="319" t="s">
        <v>78</v>
      </c>
      <c r="J724" s="319" t="s">
        <v>424</v>
      </c>
      <c r="K724" s="319" t="s">
        <v>441</v>
      </c>
      <c r="L724" s="319" t="s">
        <v>441</v>
      </c>
      <c r="M724" s="319" t="s">
        <v>582</v>
      </c>
      <c r="N724" s="319" t="s">
        <v>2797</v>
      </c>
      <c r="O724" s="319" t="s">
        <v>2201</v>
      </c>
      <c r="P724" s="319">
        <v>310</v>
      </c>
      <c r="Q724" s="319" t="s">
        <v>2776</v>
      </c>
      <c r="R724" s="320">
        <v>10020730</v>
      </c>
      <c r="S724" s="321">
        <v>43221</v>
      </c>
      <c r="T724" s="321">
        <v>43223</v>
      </c>
      <c r="U724" s="321">
        <v>43257</v>
      </c>
      <c r="V724" s="319" t="s">
        <v>425</v>
      </c>
      <c r="W724" s="319" t="s">
        <v>2767</v>
      </c>
      <c r="X724" s="319">
        <v>2</v>
      </c>
      <c r="Y724" s="319" t="s">
        <v>173</v>
      </c>
      <c r="Z724" s="319" t="s">
        <v>173</v>
      </c>
      <c r="AA724" s="319" t="s">
        <v>173</v>
      </c>
      <c r="AB724" s="319">
        <v>2</v>
      </c>
      <c r="AC724" s="319" t="s">
        <v>169</v>
      </c>
      <c r="AD724" s="319">
        <v>2</v>
      </c>
      <c r="AE724" s="319" t="s">
        <v>173</v>
      </c>
      <c r="AF724" s="319" t="s">
        <v>427</v>
      </c>
      <c r="AG724" s="319" t="s">
        <v>171</v>
      </c>
      <c r="AH724" s="319" t="s">
        <v>190</v>
      </c>
      <c r="AI724" s="319" t="s">
        <v>190</v>
      </c>
      <c r="AJ724" s="319" t="s">
        <v>190</v>
      </c>
      <c r="AK724" s="319" t="s">
        <v>190</v>
      </c>
      <c r="AL724" s="319" t="s">
        <v>190</v>
      </c>
      <c r="AM724" s="319" t="s">
        <v>190</v>
      </c>
      <c r="AN724" s="319" t="s">
        <v>190</v>
      </c>
      <c r="AO724" s="319" t="s">
        <v>190</v>
      </c>
      <c r="AP724" s="319" t="s">
        <v>190</v>
      </c>
      <c r="AQ724" s="319" t="s">
        <v>190</v>
      </c>
      <c r="AR724" s="319" t="s">
        <v>190</v>
      </c>
      <c r="AS724" s="319" t="s">
        <v>190</v>
      </c>
      <c r="AT724" s="319" t="s">
        <v>190</v>
      </c>
      <c r="AU724" s="319" t="s">
        <v>190</v>
      </c>
      <c r="AV724" s="319" t="s">
        <v>190</v>
      </c>
      <c r="AW724" s="319" t="s">
        <v>190</v>
      </c>
      <c r="AX724" s="319" t="s">
        <v>190</v>
      </c>
      <c r="AY724" s="319" t="s">
        <v>190</v>
      </c>
      <c r="AZ724" s="319" t="s">
        <v>190</v>
      </c>
      <c r="BA724" s="319" t="s">
        <v>190</v>
      </c>
      <c r="BB724" s="319" t="s">
        <v>190</v>
      </c>
      <c r="BC724" s="319" t="s">
        <v>190</v>
      </c>
      <c r="BD724" s="319" t="s">
        <v>190</v>
      </c>
      <c r="BE724" s="319" t="s">
        <v>190</v>
      </c>
      <c r="BF724" s="319" t="s">
        <v>190</v>
      </c>
      <c r="BG724" s="319" t="s">
        <v>190</v>
      </c>
      <c r="BH724" s="319" t="s">
        <v>190</v>
      </c>
      <c r="BI724" s="319" t="s">
        <v>190</v>
      </c>
      <c r="BJ724" s="319" t="s">
        <v>190</v>
      </c>
      <c r="BK724" s="319" t="s">
        <v>190</v>
      </c>
      <c r="BL724" s="319" t="s">
        <v>190</v>
      </c>
      <c r="BM724" s="319" t="s">
        <v>190</v>
      </c>
      <c r="BN724" s="319" t="s">
        <v>190</v>
      </c>
      <c r="BO724" s="319" t="s">
        <v>190</v>
      </c>
      <c r="BP724" s="319" t="s">
        <v>190</v>
      </c>
      <c r="BQ724" s="319" t="s">
        <v>190</v>
      </c>
      <c r="BR724" s="319" t="s">
        <v>190</v>
      </c>
      <c r="BS724" s="319" t="s">
        <v>190</v>
      </c>
      <c r="BT724" s="319" t="s">
        <v>190</v>
      </c>
      <c r="BU724" s="319" t="s">
        <v>190</v>
      </c>
      <c r="BV724" s="319" t="s">
        <v>190</v>
      </c>
      <c r="BW724" s="319" t="s">
        <v>190</v>
      </c>
      <c r="BX724" s="319" t="s">
        <v>190</v>
      </c>
      <c r="BY724" s="319" t="s">
        <v>190</v>
      </c>
      <c r="BZ724" s="319" t="s">
        <v>190</v>
      </c>
      <c r="CA724" s="319" t="s">
        <v>190</v>
      </c>
      <c r="CB724" s="319" t="s">
        <v>190</v>
      </c>
      <c r="CC724" s="319" t="s">
        <v>190</v>
      </c>
      <c r="CD724" s="319" t="s">
        <v>190</v>
      </c>
      <c r="CE724" s="319" t="s">
        <v>190</v>
      </c>
      <c r="CF724" s="319" t="s">
        <v>190</v>
      </c>
      <c r="CG724" s="319" t="s">
        <v>190</v>
      </c>
      <c r="CH724" s="319" t="s">
        <v>190</v>
      </c>
      <c r="CI724" s="319" t="s">
        <v>190</v>
      </c>
      <c r="CJ724" s="319" t="s">
        <v>190</v>
      </c>
      <c r="CK724" s="319" t="s">
        <v>190</v>
      </c>
      <c r="CL724" s="319" t="s">
        <v>190</v>
      </c>
      <c r="CM724" s="319" t="s">
        <v>190</v>
      </c>
      <c r="CN724" s="319" t="s">
        <v>428</v>
      </c>
      <c r="CO724" s="319" t="s">
        <v>428</v>
      </c>
      <c r="CP724" s="319" t="s">
        <v>428</v>
      </c>
      <c r="CQ724" s="319" t="s">
        <v>190</v>
      </c>
      <c r="CR724" s="319" t="s">
        <v>190</v>
      </c>
      <c r="CS724" s="319" t="s">
        <v>190</v>
      </c>
      <c r="CT724" s="319" t="s">
        <v>190</v>
      </c>
      <c r="CU724" s="319" t="s">
        <v>190</v>
      </c>
      <c r="CV724" s="319" t="s">
        <v>190</v>
      </c>
      <c r="CW724" s="319" t="s">
        <v>190</v>
      </c>
      <c r="CX724" s="319" t="s">
        <v>190</v>
      </c>
      <c r="CY724" s="319" t="s">
        <v>190</v>
      </c>
      <c r="CZ724" s="319" t="s">
        <v>190</v>
      </c>
      <c r="DA724" s="319" t="s">
        <v>190</v>
      </c>
      <c r="DB724" s="319" t="s">
        <v>190</v>
      </c>
      <c r="DC724" s="319" t="s">
        <v>190</v>
      </c>
      <c r="DD724" s="319" t="s">
        <v>190</v>
      </c>
      <c r="DE724" s="319" t="s">
        <v>190</v>
      </c>
      <c r="DF724" s="319" t="s">
        <v>190</v>
      </c>
      <c r="DG724" s="319" t="s">
        <v>190</v>
      </c>
      <c r="DH724" s="319" t="s">
        <v>190</v>
      </c>
      <c r="DI724" s="319" t="s">
        <v>190</v>
      </c>
      <c r="DJ724" s="319" t="s">
        <v>190</v>
      </c>
      <c r="DK724" s="319" t="s">
        <v>190</v>
      </c>
      <c r="DL724" s="319" t="s">
        <v>190</v>
      </c>
      <c r="DM724" s="319" t="s">
        <v>190</v>
      </c>
      <c r="DN724" s="319" t="s">
        <v>428</v>
      </c>
      <c r="DO724" s="319" t="s">
        <v>190</v>
      </c>
      <c r="DP724" s="319" t="s">
        <v>190</v>
      </c>
      <c r="DQ724" s="319" t="s">
        <v>190</v>
      </c>
      <c r="DR724" s="319" t="s">
        <v>190</v>
      </c>
      <c r="DS724" s="319" t="s">
        <v>190</v>
      </c>
      <c r="DT724" s="319" t="s">
        <v>190</v>
      </c>
      <c r="DU724" s="319" t="s">
        <v>190</v>
      </c>
      <c r="DV724" s="319" t="s">
        <v>173</v>
      </c>
      <c r="DW724" s="319" t="s">
        <v>190</v>
      </c>
      <c r="DX724" s="319" t="s">
        <v>190</v>
      </c>
      <c r="DY724" s="319" t="s">
        <v>190</v>
      </c>
      <c r="DZ724" s="319" t="s">
        <v>190</v>
      </c>
      <c r="EA724" s="319" t="s">
        <v>190</v>
      </c>
      <c r="EB724" s="319" t="s">
        <v>190</v>
      </c>
      <c r="EC724" s="319" t="s">
        <v>428</v>
      </c>
      <c r="ED724" s="319" t="s">
        <v>190</v>
      </c>
      <c r="EE724" s="319" t="s">
        <v>190</v>
      </c>
      <c r="EF724" s="319" t="s">
        <v>190</v>
      </c>
      <c r="EG724" s="319" t="s">
        <v>190</v>
      </c>
      <c r="EH724" s="319" t="s">
        <v>190</v>
      </c>
      <c r="EI724" s="319" t="s">
        <v>190</v>
      </c>
      <c r="EJ724" s="319" t="s">
        <v>190</v>
      </c>
      <c r="EK724" s="319" t="s">
        <v>190</v>
      </c>
      <c r="EL724" s="319" t="s">
        <v>190</v>
      </c>
      <c r="EM724" s="319" t="s">
        <v>190</v>
      </c>
      <c r="EN724" s="319" t="s">
        <v>190</v>
      </c>
      <c r="EO724" s="319" t="s">
        <v>190</v>
      </c>
      <c r="EP724" s="319" t="s">
        <v>190</v>
      </c>
      <c r="EQ724" s="319" t="s">
        <v>190</v>
      </c>
      <c r="ER724" s="319" t="s">
        <v>190</v>
      </c>
      <c r="ES724" s="319" t="s">
        <v>190</v>
      </c>
      <c r="ET724" s="319" t="s">
        <v>190</v>
      </c>
      <c r="EU724" s="319" t="s">
        <v>190</v>
      </c>
      <c r="EV724" s="319" t="s">
        <v>190</v>
      </c>
      <c r="EW724" s="319" t="s">
        <v>190</v>
      </c>
      <c r="EX724" s="319" t="s">
        <v>190</v>
      </c>
      <c r="EY724" s="319" t="s">
        <v>190</v>
      </c>
      <c r="EZ724" s="319" t="s">
        <v>190</v>
      </c>
      <c r="FA724" s="319" t="s">
        <v>190</v>
      </c>
      <c r="FB724" s="319" t="s">
        <v>190</v>
      </c>
      <c r="FC724" s="319" t="s">
        <v>190</v>
      </c>
      <c r="FD724" s="319" t="s">
        <v>190</v>
      </c>
      <c r="FE724" s="319" t="s">
        <v>190</v>
      </c>
      <c r="FF724" s="319" t="s">
        <v>190</v>
      </c>
      <c r="FG724" s="319" t="s">
        <v>190</v>
      </c>
      <c r="FH724" s="319" t="s">
        <v>190</v>
      </c>
      <c r="FI724" s="319" t="s">
        <v>190</v>
      </c>
      <c r="FJ724" s="319" t="s">
        <v>190</v>
      </c>
      <c r="FK724" s="319" t="s">
        <v>190</v>
      </c>
      <c r="FL724" s="319" t="s">
        <v>190</v>
      </c>
      <c r="FM724" s="319" t="s">
        <v>190</v>
      </c>
      <c r="FN724" s="319" t="s">
        <v>190</v>
      </c>
      <c r="FO724" s="319" t="s">
        <v>190</v>
      </c>
      <c r="FP724" s="319" t="s">
        <v>190</v>
      </c>
      <c r="FQ724" s="319" t="s">
        <v>190</v>
      </c>
      <c r="FR724" s="319" t="s">
        <v>190</v>
      </c>
      <c r="FS724" s="319" t="s">
        <v>190</v>
      </c>
      <c r="FT724" s="319" t="s">
        <v>190</v>
      </c>
      <c r="FU724" s="319" t="s">
        <v>190</v>
      </c>
      <c r="FV724" s="319" t="s">
        <v>190</v>
      </c>
      <c r="FW724" s="319" t="s">
        <v>190</v>
      </c>
      <c r="FX724" s="319" t="s">
        <v>190</v>
      </c>
      <c r="FY724" s="319" t="s">
        <v>190</v>
      </c>
      <c r="FZ724" s="319" t="s">
        <v>190</v>
      </c>
      <c r="GA724" s="319" t="s">
        <v>190</v>
      </c>
      <c r="GB724" s="319" t="s">
        <v>190</v>
      </c>
      <c r="GC724" s="319" t="s">
        <v>190</v>
      </c>
      <c r="GD724" s="319" t="s">
        <v>190</v>
      </c>
      <c r="GE724" s="319" t="s">
        <v>190</v>
      </c>
      <c r="GF724" s="319" t="s">
        <v>190</v>
      </c>
      <c r="GG724" s="319" t="s">
        <v>190</v>
      </c>
      <c r="GH724" s="319" t="s">
        <v>190</v>
      </c>
      <c r="GI724" s="319" t="s">
        <v>190</v>
      </c>
      <c r="GJ724" s="319" t="s">
        <v>190</v>
      </c>
      <c r="GK724" s="319" t="s">
        <v>428</v>
      </c>
      <c r="GL724" s="319" t="s">
        <v>190</v>
      </c>
      <c r="GM724" s="319" t="s">
        <v>190</v>
      </c>
      <c r="GN724" s="319" t="s">
        <v>190</v>
      </c>
      <c r="GO724" s="319" t="s">
        <v>190</v>
      </c>
      <c r="GP724" s="319" t="s">
        <v>190</v>
      </c>
      <c r="GQ724" s="319" t="s">
        <v>190</v>
      </c>
      <c r="GR724" s="319" t="s">
        <v>190</v>
      </c>
      <c r="GS724" s="319" t="s">
        <v>190</v>
      </c>
      <c r="GT724" s="319" t="s">
        <v>190</v>
      </c>
      <c r="GU724" s="319" t="s">
        <v>190</v>
      </c>
      <c r="GV724" s="319" t="s">
        <v>190</v>
      </c>
      <c r="GW724" s="319" t="s">
        <v>190</v>
      </c>
      <c r="GX724" s="319" t="s">
        <v>190</v>
      </c>
      <c r="GY724" s="319" t="s">
        <v>190</v>
      </c>
      <c r="GZ724" s="319" t="s">
        <v>428</v>
      </c>
      <c r="HA724" s="319" t="s">
        <v>190</v>
      </c>
      <c r="HB724" s="319" t="s">
        <v>190</v>
      </c>
      <c r="HC724" s="319" t="s">
        <v>190</v>
      </c>
      <c r="HD724" s="319" t="s">
        <v>190</v>
      </c>
      <c r="HE724" s="319" t="s">
        <v>190</v>
      </c>
      <c r="HF724" s="319" t="s">
        <v>190</v>
      </c>
      <c r="HG724" s="319" t="s">
        <v>190</v>
      </c>
      <c r="HH724" s="319" t="s">
        <v>190</v>
      </c>
      <c r="HI724" s="319" t="s">
        <v>190</v>
      </c>
      <c r="HJ724" s="319" t="s">
        <v>190</v>
      </c>
      <c r="HK724" s="319" t="s">
        <v>190</v>
      </c>
      <c r="HL724" s="319" t="s">
        <v>428</v>
      </c>
      <c r="HM724" s="319" t="s">
        <v>428</v>
      </c>
      <c r="HN724" s="319" t="s">
        <v>428</v>
      </c>
      <c r="HO724" s="319" t="s">
        <v>428</v>
      </c>
      <c r="HP724" s="319" t="s">
        <v>190</v>
      </c>
      <c r="HQ724" s="319" t="s">
        <v>190</v>
      </c>
      <c r="HR724" s="319" t="s">
        <v>190</v>
      </c>
      <c r="HS724" s="319" t="s">
        <v>190</v>
      </c>
      <c r="HT724" s="319" t="s">
        <v>190</v>
      </c>
      <c r="HU724" s="319" t="s">
        <v>190</v>
      </c>
      <c r="HV724" s="319" t="s">
        <v>190</v>
      </c>
      <c r="HW724" s="319" t="s">
        <v>190</v>
      </c>
      <c r="HX724" s="319" t="s">
        <v>190</v>
      </c>
      <c r="HY724" s="319" t="s">
        <v>190</v>
      </c>
      <c r="HZ724" s="319" t="s">
        <v>190</v>
      </c>
      <c r="IA724" s="319" t="s">
        <v>190</v>
      </c>
      <c r="IB724" s="319" t="s">
        <v>190</v>
      </c>
      <c r="IC724" s="319" t="s">
        <v>190</v>
      </c>
      <c r="ID724" s="319" t="s">
        <v>190</v>
      </c>
      <c r="IE724" s="319" t="s">
        <v>190</v>
      </c>
      <c r="IF724" s="319" t="s">
        <v>190</v>
      </c>
      <c r="IG724" s="319" t="s">
        <v>190</v>
      </c>
      <c r="IH724" s="319" t="s">
        <v>190</v>
      </c>
      <c r="II724" s="319" t="s">
        <v>190</v>
      </c>
      <c r="IJ724" s="319" t="s">
        <v>3456</v>
      </c>
      <c r="IK724" s="321">
        <v>41548</v>
      </c>
      <c r="IL724" s="321">
        <v>41550</v>
      </c>
      <c r="IM724" s="321">
        <v>41570</v>
      </c>
      <c r="IN724" s="319">
        <v>2</v>
      </c>
      <c r="IO724" s="319" t="s">
        <v>173</v>
      </c>
      <c r="IP724" s="319" t="s">
        <v>173</v>
      </c>
      <c r="IQ724" s="321" t="s">
        <v>173</v>
      </c>
      <c r="IR724" s="320" t="s">
        <v>173</v>
      </c>
      <c r="IS724" s="322" t="s">
        <v>173</v>
      </c>
      <c r="IT724" s="319" t="s">
        <v>173</v>
      </c>
    </row>
    <row r="725" spans="1:254" s="271" customFormat="1" x14ac:dyDescent="0.25">
      <c r="A725" s="318" t="str">
        <f>HYPERLINK("http://www.ofsted.gov.uk/inspection-reports/find-inspection-report/provider/ELS/139264 ","Ofsted School Webpage")</f>
        <v>Ofsted School Webpage</v>
      </c>
      <c r="B725" s="319">
        <v>139264</v>
      </c>
      <c r="C725" s="319">
        <v>9256005</v>
      </c>
      <c r="D725" s="319" t="s">
        <v>979</v>
      </c>
      <c r="E725" s="319" t="s">
        <v>167</v>
      </c>
      <c r="F725" s="319" t="s">
        <v>81</v>
      </c>
      <c r="G725" s="319" t="s">
        <v>81</v>
      </c>
      <c r="H725" s="319" t="s">
        <v>81</v>
      </c>
      <c r="I725" s="319" t="s">
        <v>78</v>
      </c>
      <c r="J725" s="319" t="s">
        <v>424</v>
      </c>
      <c r="K725" s="319" t="s">
        <v>506</v>
      </c>
      <c r="L725" s="319" t="s">
        <v>506</v>
      </c>
      <c r="M725" s="319" t="s">
        <v>833</v>
      </c>
      <c r="N725" s="319" t="s">
        <v>3005</v>
      </c>
      <c r="O725" s="319" t="s">
        <v>980</v>
      </c>
      <c r="P725" s="319">
        <v>48</v>
      </c>
      <c r="Q725" s="319" t="s">
        <v>2776</v>
      </c>
      <c r="R725" s="320">
        <v>10102147</v>
      </c>
      <c r="S725" s="321">
        <v>43774</v>
      </c>
      <c r="T725" s="321">
        <v>43776</v>
      </c>
      <c r="U725" s="321">
        <v>43801</v>
      </c>
      <c r="V725" s="319" t="s">
        <v>425</v>
      </c>
      <c r="W725" s="319" t="s">
        <v>2767</v>
      </c>
      <c r="X725" s="319">
        <v>2</v>
      </c>
      <c r="Y725" s="319">
        <v>2</v>
      </c>
      <c r="Z725" s="319">
        <v>1</v>
      </c>
      <c r="AA725" s="319">
        <v>1</v>
      </c>
      <c r="AB725" s="319">
        <v>2</v>
      </c>
      <c r="AC725" s="319" t="s">
        <v>169</v>
      </c>
      <c r="AD725" s="319" t="s">
        <v>173</v>
      </c>
      <c r="AE725" s="319" t="s">
        <v>173</v>
      </c>
      <c r="AF725" s="319" t="s">
        <v>427</v>
      </c>
      <c r="AG725" s="319" t="s">
        <v>171</v>
      </c>
      <c r="AH725" s="319" t="s">
        <v>190</v>
      </c>
      <c r="AI725" s="319" t="s">
        <v>190</v>
      </c>
      <c r="AJ725" s="319" t="s">
        <v>190</v>
      </c>
      <c r="AK725" s="319" t="s">
        <v>190</v>
      </c>
      <c r="AL725" s="319" t="s">
        <v>190</v>
      </c>
      <c r="AM725" s="319" t="s">
        <v>190</v>
      </c>
      <c r="AN725" s="319" t="s">
        <v>190</v>
      </c>
      <c r="AO725" s="319" t="s">
        <v>190</v>
      </c>
      <c r="AP725" s="319" t="s">
        <v>190</v>
      </c>
      <c r="AQ725" s="319" t="s">
        <v>190</v>
      </c>
      <c r="AR725" s="319" t="s">
        <v>190</v>
      </c>
      <c r="AS725" s="319" t="s">
        <v>190</v>
      </c>
      <c r="AT725" s="319" t="s">
        <v>190</v>
      </c>
      <c r="AU725" s="319" t="s">
        <v>190</v>
      </c>
      <c r="AV725" s="319" t="s">
        <v>190</v>
      </c>
      <c r="AW725" s="319" t="s">
        <v>190</v>
      </c>
      <c r="AX725" s="319" t="s">
        <v>428</v>
      </c>
      <c r="AY725" s="319" t="s">
        <v>190</v>
      </c>
      <c r="AZ725" s="319" t="s">
        <v>190</v>
      </c>
      <c r="BA725" s="319" t="s">
        <v>190</v>
      </c>
      <c r="BB725" s="319" t="s">
        <v>190</v>
      </c>
      <c r="BC725" s="319" t="s">
        <v>190</v>
      </c>
      <c r="BD725" s="319" t="s">
        <v>190</v>
      </c>
      <c r="BE725" s="319" t="s">
        <v>190</v>
      </c>
      <c r="BF725" s="319" t="s">
        <v>428</v>
      </c>
      <c r="BG725" s="319" t="s">
        <v>190</v>
      </c>
      <c r="BH725" s="319" t="s">
        <v>190</v>
      </c>
      <c r="BI725" s="319" t="s">
        <v>190</v>
      </c>
      <c r="BJ725" s="319" t="s">
        <v>190</v>
      </c>
      <c r="BK725" s="319" t="s">
        <v>190</v>
      </c>
      <c r="BL725" s="319" t="s">
        <v>190</v>
      </c>
      <c r="BM725" s="319" t="s">
        <v>190</v>
      </c>
      <c r="BN725" s="319" t="s">
        <v>190</v>
      </c>
      <c r="BO725" s="319" t="s">
        <v>190</v>
      </c>
      <c r="BP725" s="319" t="s">
        <v>190</v>
      </c>
      <c r="BQ725" s="319" t="s">
        <v>190</v>
      </c>
      <c r="BR725" s="319" t="s">
        <v>190</v>
      </c>
      <c r="BS725" s="319" t="s">
        <v>190</v>
      </c>
      <c r="BT725" s="319" t="s">
        <v>190</v>
      </c>
      <c r="BU725" s="319" t="s">
        <v>190</v>
      </c>
      <c r="BV725" s="319" t="s">
        <v>190</v>
      </c>
      <c r="BW725" s="319" t="s">
        <v>190</v>
      </c>
      <c r="BX725" s="319" t="s">
        <v>190</v>
      </c>
      <c r="BY725" s="319" t="s">
        <v>190</v>
      </c>
      <c r="BZ725" s="319" t="s">
        <v>190</v>
      </c>
      <c r="CA725" s="319" t="s">
        <v>190</v>
      </c>
      <c r="CB725" s="319" t="s">
        <v>190</v>
      </c>
      <c r="CC725" s="319" t="s">
        <v>190</v>
      </c>
      <c r="CD725" s="319" t="s">
        <v>190</v>
      </c>
      <c r="CE725" s="319" t="s">
        <v>190</v>
      </c>
      <c r="CF725" s="319" t="s">
        <v>190</v>
      </c>
      <c r="CG725" s="319" t="s">
        <v>190</v>
      </c>
      <c r="CH725" s="319" t="s">
        <v>190</v>
      </c>
      <c r="CI725" s="319" t="s">
        <v>190</v>
      </c>
      <c r="CJ725" s="319" t="s">
        <v>190</v>
      </c>
      <c r="CK725" s="319" t="s">
        <v>190</v>
      </c>
      <c r="CL725" s="319" t="s">
        <v>190</v>
      </c>
      <c r="CM725" s="319" t="s">
        <v>190</v>
      </c>
      <c r="CN725" s="319" t="s">
        <v>190</v>
      </c>
      <c r="CO725" s="319" t="s">
        <v>428</v>
      </c>
      <c r="CP725" s="319" t="s">
        <v>428</v>
      </c>
      <c r="CQ725" s="319" t="s">
        <v>190</v>
      </c>
      <c r="CR725" s="319" t="s">
        <v>190</v>
      </c>
      <c r="CS725" s="319" t="s">
        <v>190</v>
      </c>
      <c r="CT725" s="319" t="s">
        <v>190</v>
      </c>
      <c r="CU725" s="319" t="s">
        <v>190</v>
      </c>
      <c r="CV725" s="319" t="s">
        <v>190</v>
      </c>
      <c r="CW725" s="319" t="s">
        <v>190</v>
      </c>
      <c r="CX725" s="319" t="s">
        <v>190</v>
      </c>
      <c r="CY725" s="319" t="s">
        <v>190</v>
      </c>
      <c r="CZ725" s="319" t="s">
        <v>190</v>
      </c>
      <c r="DA725" s="319" t="s">
        <v>190</v>
      </c>
      <c r="DB725" s="319" t="s">
        <v>190</v>
      </c>
      <c r="DC725" s="319" t="s">
        <v>190</v>
      </c>
      <c r="DD725" s="319" t="s">
        <v>190</v>
      </c>
      <c r="DE725" s="319" t="s">
        <v>190</v>
      </c>
      <c r="DF725" s="319" t="s">
        <v>190</v>
      </c>
      <c r="DG725" s="319" t="s">
        <v>190</v>
      </c>
      <c r="DH725" s="319" t="s">
        <v>190</v>
      </c>
      <c r="DI725" s="319" t="s">
        <v>190</v>
      </c>
      <c r="DJ725" s="319" t="s">
        <v>190</v>
      </c>
      <c r="DK725" s="319" t="s">
        <v>190</v>
      </c>
      <c r="DL725" s="319" t="s">
        <v>190</v>
      </c>
      <c r="DM725" s="319" t="s">
        <v>428</v>
      </c>
      <c r="DN725" s="319" t="s">
        <v>428</v>
      </c>
      <c r="DO725" s="319" t="s">
        <v>190</v>
      </c>
      <c r="DP725" s="319" t="s">
        <v>190</v>
      </c>
      <c r="DQ725" s="319" t="s">
        <v>190</v>
      </c>
      <c r="DR725" s="319" t="s">
        <v>190</v>
      </c>
      <c r="DS725" s="319" t="s">
        <v>190</v>
      </c>
      <c r="DT725" s="319" t="s">
        <v>190</v>
      </c>
      <c r="DU725" s="319" t="s">
        <v>190</v>
      </c>
      <c r="DV725" s="319" t="s">
        <v>190</v>
      </c>
      <c r="DW725" s="319" t="s">
        <v>190</v>
      </c>
      <c r="DX725" s="319" t="s">
        <v>190</v>
      </c>
      <c r="DY725" s="319" t="s">
        <v>190</v>
      </c>
      <c r="DZ725" s="319" t="s">
        <v>190</v>
      </c>
      <c r="EA725" s="319" t="s">
        <v>190</v>
      </c>
      <c r="EB725" s="319" t="s">
        <v>190</v>
      </c>
      <c r="EC725" s="319" t="s">
        <v>190</v>
      </c>
      <c r="ED725" s="319" t="s">
        <v>190</v>
      </c>
      <c r="EE725" s="319" t="s">
        <v>190</v>
      </c>
      <c r="EF725" s="319" t="s">
        <v>190</v>
      </c>
      <c r="EG725" s="319" t="s">
        <v>190</v>
      </c>
      <c r="EH725" s="319" t="s">
        <v>190</v>
      </c>
      <c r="EI725" s="319" t="s">
        <v>190</v>
      </c>
      <c r="EJ725" s="319" t="s">
        <v>190</v>
      </c>
      <c r="EK725" s="319" t="s">
        <v>190</v>
      </c>
      <c r="EL725" s="319" t="s">
        <v>190</v>
      </c>
      <c r="EM725" s="319" t="s">
        <v>190</v>
      </c>
      <c r="EN725" s="319" t="s">
        <v>190</v>
      </c>
      <c r="EO725" s="319" t="s">
        <v>190</v>
      </c>
      <c r="EP725" s="319" t="s">
        <v>190</v>
      </c>
      <c r="EQ725" s="319" t="s">
        <v>190</v>
      </c>
      <c r="ER725" s="319" t="s">
        <v>190</v>
      </c>
      <c r="ES725" s="319" t="s">
        <v>190</v>
      </c>
      <c r="ET725" s="319" t="s">
        <v>190</v>
      </c>
      <c r="EU725" s="319" t="s">
        <v>190</v>
      </c>
      <c r="EV725" s="319" t="s">
        <v>190</v>
      </c>
      <c r="EW725" s="319" t="s">
        <v>190</v>
      </c>
      <c r="EX725" s="319" t="s">
        <v>190</v>
      </c>
      <c r="EY725" s="319" t="s">
        <v>190</v>
      </c>
      <c r="EZ725" s="319" t="s">
        <v>190</v>
      </c>
      <c r="FA725" s="319" t="s">
        <v>190</v>
      </c>
      <c r="FB725" s="319" t="s">
        <v>190</v>
      </c>
      <c r="FC725" s="319" t="s">
        <v>190</v>
      </c>
      <c r="FD725" s="319" t="s">
        <v>190</v>
      </c>
      <c r="FE725" s="319" t="s">
        <v>190</v>
      </c>
      <c r="FF725" s="319" t="s">
        <v>190</v>
      </c>
      <c r="FG725" s="319" t="s">
        <v>190</v>
      </c>
      <c r="FH725" s="319" t="s">
        <v>428</v>
      </c>
      <c r="FI725" s="319" t="s">
        <v>190</v>
      </c>
      <c r="FJ725" s="319" t="s">
        <v>190</v>
      </c>
      <c r="FK725" s="319" t="s">
        <v>190</v>
      </c>
      <c r="FL725" s="319" t="s">
        <v>190</v>
      </c>
      <c r="FM725" s="319" t="s">
        <v>190</v>
      </c>
      <c r="FN725" s="319" t="s">
        <v>190</v>
      </c>
      <c r="FO725" s="319" t="s">
        <v>190</v>
      </c>
      <c r="FP725" s="319" t="s">
        <v>190</v>
      </c>
      <c r="FQ725" s="319" t="s">
        <v>190</v>
      </c>
      <c r="FR725" s="319" t="s">
        <v>190</v>
      </c>
      <c r="FS725" s="319" t="s">
        <v>190</v>
      </c>
      <c r="FT725" s="319" t="s">
        <v>190</v>
      </c>
      <c r="FU725" s="319" t="s">
        <v>190</v>
      </c>
      <c r="FV725" s="319" t="s">
        <v>190</v>
      </c>
      <c r="FW725" s="319" t="s">
        <v>190</v>
      </c>
      <c r="FX725" s="319" t="s">
        <v>190</v>
      </c>
      <c r="FY725" s="319" t="s">
        <v>190</v>
      </c>
      <c r="FZ725" s="319" t="s">
        <v>190</v>
      </c>
      <c r="GA725" s="319" t="s">
        <v>190</v>
      </c>
      <c r="GB725" s="319" t="s">
        <v>190</v>
      </c>
      <c r="GC725" s="319" t="s">
        <v>190</v>
      </c>
      <c r="GD725" s="319" t="s">
        <v>190</v>
      </c>
      <c r="GE725" s="319" t="s">
        <v>190</v>
      </c>
      <c r="GF725" s="319" t="s">
        <v>190</v>
      </c>
      <c r="GG725" s="319" t="s">
        <v>190</v>
      </c>
      <c r="GH725" s="319" t="s">
        <v>190</v>
      </c>
      <c r="GI725" s="319" t="s">
        <v>190</v>
      </c>
      <c r="GJ725" s="319" t="s">
        <v>190</v>
      </c>
      <c r="GK725" s="319" t="s">
        <v>428</v>
      </c>
      <c r="GL725" s="319" t="s">
        <v>190</v>
      </c>
      <c r="GM725" s="319" t="s">
        <v>190</v>
      </c>
      <c r="GN725" s="319" t="s">
        <v>190</v>
      </c>
      <c r="GO725" s="319" t="s">
        <v>190</v>
      </c>
      <c r="GP725" s="319" t="s">
        <v>190</v>
      </c>
      <c r="GQ725" s="319" t="s">
        <v>428</v>
      </c>
      <c r="GR725" s="319" t="s">
        <v>190</v>
      </c>
      <c r="GS725" s="319" t="s">
        <v>190</v>
      </c>
      <c r="GT725" s="319" t="s">
        <v>190</v>
      </c>
      <c r="GU725" s="319" t="s">
        <v>190</v>
      </c>
      <c r="GV725" s="319" t="s">
        <v>190</v>
      </c>
      <c r="GW725" s="319" t="s">
        <v>190</v>
      </c>
      <c r="GX725" s="319" t="s">
        <v>190</v>
      </c>
      <c r="GY725" s="319" t="s">
        <v>190</v>
      </c>
      <c r="GZ725" s="319" t="s">
        <v>190</v>
      </c>
      <c r="HA725" s="319" t="s">
        <v>190</v>
      </c>
      <c r="HB725" s="319" t="s">
        <v>428</v>
      </c>
      <c r="HC725" s="319" t="s">
        <v>190</v>
      </c>
      <c r="HD725" s="319" t="s">
        <v>190</v>
      </c>
      <c r="HE725" s="319" t="s">
        <v>190</v>
      </c>
      <c r="HF725" s="319" t="s">
        <v>190</v>
      </c>
      <c r="HG725" s="319" t="s">
        <v>190</v>
      </c>
      <c r="HH725" s="319" t="s">
        <v>190</v>
      </c>
      <c r="HI725" s="319" t="s">
        <v>190</v>
      </c>
      <c r="HJ725" s="319" t="s">
        <v>190</v>
      </c>
      <c r="HK725" s="319" t="s">
        <v>190</v>
      </c>
      <c r="HL725" s="319" t="s">
        <v>190</v>
      </c>
      <c r="HM725" s="319" t="s">
        <v>428</v>
      </c>
      <c r="HN725" s="319" t="s">
        <v>428</v>
      </c>
      <c r="HO725" s="319" t="s">
        <v>428</v>
      </c>
      <c r="HP725" s="319" t="s">
        <v>190</v>
      </c>
      <c r="HQ725" s="319" t="s">
        <v>190</v>
      </c>
      <c r="HR725" s="319" t="s">
        <v>190</v>
      </c>
      <c r="HS725" s="319" t="s">
        <v>190</v>
      </c>
      <c r="HT725" s="319" t="s">
        <v>190</v>
      </c>
      <c r="HU725" s="319" t="s">
        <v>190</v>
      </c>
      <c r="HV725" s="319" t="s">
        <v>190</v>
      </c>
      <c r="HW725" s="319" t="s">
        <v>190</v>
      </c>
      <c r="HX725" s="319" t="s">
        <v>190</v>
      </c>
      <c r="HY725" s="319" t="s">
        <v>190</v>
      </c>
      <c r="HZ725" s="319" t="s">
        <v>190</v>
      </c>
      <c r="IA725" s="319" t="s">
        <v>190</v>
      </c>
      <c r="IB725" s="319" t="s">
        <v>190</v>
      </c>
      <c r="IC725" s="319" t="s">
        <v>190</v>
      </c>
      <c r="ID725" s="319" t="s">
        <v>190</v>
      </c>
      <c r="IE725" s="319" t="s">
        <v>190</v>
      </c>
      <c r="IF725" s="319" t="s">
        <v>190</v>
      </c>
      <c r="IG725" s="319" t="s">
        <v>190</v>
      </c>
      <c r="IH725" s="319" t="s">
        <v>190</v>
      </c>
      <c r="II725" s="319" t="s">
        <v>190</v>
      </c>
      <c r="IJ725" s="319">
        <v>10020833</v>
      </c>
      <c r="IK725" s="321">
        <v>42703</v>
      </c>
      <c r="IL725" s="321">
        <v>42705</v>
      </c>
      <c r="IM725" s="321">
        <v>42754</v>
      </c>
      <c r="IN725" s="319">
        <v>1</v>
      </c>
      <c r="IO725" s="319" t="s">
        <v>173</v>
      </c>
      <c r="IP725" s="319" t="s">
        <v>173</v>
      </c>
      <c r="IQ725" s="321" t="s">
        <v>173</v>
      </c>
      <c r="IR725" s="320" t="s">
        <v>173</v>
      </c>
      <c r="IS725" s="322" t="s">
        <v>173</v>
      </c>
      <c r="IT725" s="319" t="s">
        <v>173</v>
      </c>
    </row>
    <row r="726" spans="1:254" s="271" customFormat="1" x14ac:dyDescent="0.25">
      <c r="A726" s="318" t="str">
        <f>HYPERLINK("http://www.ofsted.gov.uk/inspection-reports/find-inspection-report/provider/ELS/139329 ","Ofsted School Webpage")</f>
        <v>Ofsted School Webpage</v>
      </c>
      <c r="B726" s="319">
        <v>139329</v>
      </c>
      <c r="C726" s="319">
        <v>8406013</v>
      </c>
      <c r="D726" s="319" t="s">
        <v>2202</v>
      </c>
      <c r="E726" s="319" t="s">
        <v>168</v>
      </c>
      <c r="F726" s="319" t="s">
        <v>81</v>
      </c>
      <c r="G726" s="319" t="s">
        <v>81</v>
      </c>
      <c r="H726" s="319" t="s">
        <v>81</v>
      </c>
      <c r="I726" s="319" t="s">
        <v>78</v>
      </c>
      <c r="J726" s="319" t="s">
        <v>424</v>
      </c>
      <c r="K726" s="319" t="s">
        <v>458</v>
      </c>
      <c r="L726" s="319" t="s">
        <v>474</v>
      </c>
      <c r="M726" s="319" t="s">
        <v>574</v>
      </c>
      <c r="N726" s="319" t="s">
        <v>3258</v>
      </c>
      <c r="O726" s="319" t="s">
        <v>2203</v>
      </c>
      <c r="P726" s="319">
        <v>47</v>
      </c>
      <c r="Q726" s="319" t="s">
        <v>429</v>
      </c>
      <c r="R726" s="320">
        <v>10061274</v>
      </c>
      <c r="S726" s="321">
        <v>43529</v>
      </c>
      <c r="T726" s="321">
        <v>43531</v>
      </c>
      <c r="U726" s="321">
        <v>43557</v>
      </c>
      <c r="V726" s="319" t="s">
        <v>425</v>
      </c>
      <c r="W726" s="319" t="s">
        <v>2767</v>
      </c>
      <c r="X726" s="319">
        <v>2</v>
      </c>
      <c r="Y726" s="319" t="s">
        <v>173</v>
      </c>
      <c r="Z726" s="319" t="s">
        <v>173</v>
      </c>
      <c r="AA726" s="319" t="s">
        <v>173</v>
      </c>
      <c r="AB726" s="319">
        <v>2</v>
      </c>
      <c r="AC726" s="319" t="s">
        <v>169</v>
      </c>
      <c r="AD726" s="319" t="s">
        <v>173</v>
      </c>
      <c r="AE726" s="319">
        <v>2</v>
      </c>
      <c r="AF726" s="319" t="s">
        <v>427</v>
      </c>
      <c r="AG726" s="319" t="s">
        <v>171</v>
      </c>
      <c r="AH726" s="319" t="s">
        <v>190</v>
      </c>
      <c r="AI726" s="319" t="s">
        <v>190</v>
      </c>
      <c r="AJ726" s="319" t="s">
        <v>190</v>
      </c>
      <c r="AK726" s="319" t="s">
        <v>190</v>
      </c>
      <c r="AL726" s="319" t="s">
        <v>190</v>
      </c>
      <c r="AM726" s="319" t="s">
        <v>190</v>
      </c>
      <c r="AN726" s="319" t="s">
        <v>190</v>
      </c>
      <c r="AO726" s="319" t="s">
        <v>190</v>
      </c>
      <c r="AP726" s="319" t="s">
        <v>190</v>
      </c>
      <c r="AQ726" s="319" t="s">
        <v>190</v>
      </c>
      <c r="AR726" s="319" t="s">
        <v>190</v>
      </c>
      <c r="AS726" s="319" t="s">
        <v>190</v>
      </c>
      <c r="AT726" s="319" t="s">
        <v>190</v>
      </c>
      <c r="AU726" s="319" t="s">
        <v>190</v>
      </c>
      <c r="AV726" s="319" t="s">
        <v>190</v>
      </c>
      <c r="AW726" s="319" t="s">
        <v>190</v>
      </c>
      <c r="AX726" s="319" t="s">
        <v>190</v>
      </c>
      <c r="AY726" s="319" t="s">
        <v>190</v>
      </c>
      <c r="AZ726" s="319" t="s">
        <v>190</v>
      </c>
      <c r="BA726" s="319" t="s">
        <v>190</v>
      </c>
      <c r="BB726" s="319" t="s">
        <v>190</v>
      </c>
      <c r="BC726" s="319" t="s">
        <v>190</v>
      </c>
      <c r="BD726" s="319" t="s">
        <v>190</v>
      </c>
      <c r="BE726" s="319" t="s">
        <v>190</v>
      </c>
      <c r="BF726" s="319" t="s">
        <v>190</v>
      </c>
      <c r="BG726" s="319" t="s">
        <v>190</v>
      </c>
      <c r="BH726" s="319" t="s">
        <v>190</v>
      </c>
      <c r="BI726" s="319" t="s">
        <v>190</v>
      </c>
      <c r="BJ726" s="319" t="s">
        <v>190</v>
      </c>
      <c r="BK726" s="319" t="s">
        <v>190</v>
      </c>
      <c r="BL726" s="319" t="s">
        <v>190</v>
      </c>
      <c r="BM726" s="319" t="s">
        <v>190</v>
      </c>
      <c r="BN726" s="319" t="s">
        <v>190</v>
      </c>
      <c r="BO726" s="319" t="s">
        <v>190</v>
      </c>
      <c r="BP726" s="319" t="s">
        <v>190</v>
      </c>
      <c r="BQ726" s="319" t="s">
        <v>190</v>
      </c>
      <c r="BR726" s="319" t="s">
        <v>190</v>
      </c>
      <c r="BS726" s="319" t="s">
        <v>190</v>
      </c>
      <c r="BT726" s="319" t="s">
        <v>190</v>
      </c>
      <c r="BU726" s="319" t="s">
        <v>190</v>
      </c>
      <c r="BV726" s="319" t="s">
        <v>190</v>
      </c>
      <c r="BW726" s="319" t="s">
        <v>190</v>
      </c>
      <c r="BX726" s="319" t="s">
        <v>190</v>
      </c>
      <c r="BY726" s="319" t="s">
        <v>190</v>
      </c>
      <c r="BZ726" s="319" t="s">
        <v>190</v>
      </c>
      <c r="CA726" s="319" t="s">
        <v>190</v>
      </c>
      <c r="CB726" s="319" t="s">
        <v>190</v>
      </c>
      <c r="CC726" s="319" t="s">
        <v>190</v>
      </c>
      <c r="CD726" s="319" t="s">
        <v>190</v>
      </c>
      <c r="CE726" s="319" t="s">
        <v>190</v>
      </c>
      <c r="CF726" s="319" t="s">
        <v>190</v>
      </c>
      <c r="CG726" s="319" t="s">
        <v>190</v>
      </c>
      <c r="CH726" s="319" t="s">
        <v>190</v>
      </c>
      <c r="CI726" s="319" t="s">
        <v>190</v>
      </c>
      <c r="CJ726" s="319" t="s">
        <v>190</v>
      </c>
      <c r="CK726" s="319" t="s">
        <v>190</v>
      </c>
      <c r="CL726" s="319" t="s">
        <v>190</v>
      </c>
      <c r="CM726" s="319" t="s">
        <v>190</v>
      </c>
      <c r="CN726" s="319" t="s">
        <v>428</v>
      </c>
      <c r="CO726" s="319" t="s">
        <v>428</v>
      </c>
      <c r="CP726" s="319" t="s">
        <v>428</v>
      </c>
      <c r="CQ726" s="319" t="s">
        <v>190</v>
      </c>
      <c r="CR726" s="319" t="s">
        <v>190</v>
      </c>
      <c r="CS726" s="319" t="s">
        <v>190</v>
      </c>
      <c r="CT726" s="319" t="s">
        <v>190</v>
      </c>
      <c r="CU726" s="319" t="s">
        <v>190</v>
      </c>
      <c r="CV726" s="319" t="s">
        <v>190</v>
      </c>
      <c r="CW726" s="319" t="s">
        <v>190</v>
      </c>
      <c r="CX726" s="319" t="s">
        <v>190</v>
      </c>
      <c r="CY726" s="319" t="s">
        <v>190</v>
      </c>
      <c r="CZ726" s="319" t="s">
        <v>190</v>
      </c>
      <c r="DA726" s="319" t="s">
        <v>190</v>
      </c>
      <c r="DB726" s="319" t="s">
        <v>190</v>
      </c>
      <c r="DC726" s="319" t="s">
        <v>190</v>
      </c>
      <c r="DD726" s="319" t="s">
        <v>190</v>
      </c>
      <c r="DE726" s="319" t="s">
        <v>190</v>
      </c>
      <c r="DF726" s="319" t="s">
        <v>190</v>
      </c>
      <c r="DG726" s="319" t="s">
        <v>190</v>
      </c>
      <c r="DH726" s="319" t="s">
        <v>190</v>
      </c>
      <c r="DI726" s="319" t="s">
        <v>190</v>
      </c>
      <c r="DJ726" s="319" t="s">
        <v>190</v>
      </c>
      <c r="DK726" s="319" t="s">
        <v>190</v>
      </c>
      <c r="DL726" s="319" t="s">
        <v>190</v>
      </c>
      <c r="DM726" s="319" t="s">
        <v>190</v>
      </c>
      <c r="DN726" s="319" t="s">
        <v>428</v>
      </c>
      <c r="DO726" s="319" t="s">
        <v>190</v>
      </c>
      <c r="DP726" s="319" t="s">
        <v>190</v>
      </c>
      <c r="DQ726" s="319" t="s">
        <v>190</v>
      </c>
      <c r="DR726" s="319" t="s">
        <v>190</v>
      </c>
      <c r="DS726" s="319" t="s">
        <v>190</v>
      </c>
      <c r="DT726" s="319" t="s">
        <v>190</v>
      </c>
      <c r="DU726" s="319" t="s">
        <v>190</v>
      </c>
      <c r="DV726" s="319" t="s">
        <v>173</v>
      </c>
      <c r="DW726" s="319" t="s">
        <v>190</v>
      </c>
      <c r="DX726" s="319" t="s">
        <v>190</v>
      </c>
      <c r="DY726" s="319" t="s">
        <v>190</v>
      </c>
      <c r="DZ726" s="319" t="s">
        <v>190</v>
      </c>
      <c r="EA726" s="319" t="s">
        <v>190</v>
      </c>
      <c r="EB726" s="319" t="s">
        <v>190</v>
      </c>
      <c r="EC726" s="319" t="s">
        <v>428</v>
      </c>
      <c r="ED726" s="319" t="s">
        <v>190</v>
      </c>
      <c r="EE726" s="319" t="s">
        <v>190</v>
      </c>
      <c r="EF726" s="319" t="s">
        <v>190</v>
      </c>
      <c r="EG726" s="319" t="s">
        <v>190</v>
      </c>
      <c r="EH726" s="319" t="s">
        <v>190</v>
      </c>
      <c r="EI726" s="319" t="s">
        <v>190</v>
      </c>
      <c r="EJ726" s="319" t="s">
        <v>190</v>
      </c>
      <c r="EK726" s="319" t="s">
        <v>190</v>
      </c>
      <c r="EL726" s="319" t="s">
        <v>190</v>
      </c>
      <c r="EM726" s="319" t="s">
        <v>190</v>
      </c>
      <c r="EN726" s="319" t="s">
        <v>190</v>
      </c>
      <c r="EO726" s="319" t="s">
        <v>190</v>
      </c>
      <c r="EP726" s="319" t="s">
        <v>190</v>
      </c>
      <c r="EQ726" s="319" t="s">
        <v>190</v>
      </c>
      <c r="ER726" s="319" t="s">
        <v>190</v>
      </c>
      <c r="ES726" s="319" t="s">
        <v>190</v>
      </c>
      <c r="ET726" s="319" t="s">
        <v>190</v>
      </c>
      <c r="EU726" s="319" t="s">
        <v>190</v>
      </c>
      <c r="EV726" s="319" t="s">
        <v>190</v>
      </c>
      <c r="EW726" s="319" t="s">
        <v>190</v>
      </c>
      <c r="EX726" s="319" t="s">
        <v>190</v>
      </c>
      <c r="EY726" s="319" t="s">
        <v>190</v>
      </c>
      <c r="EZ726" s="319" t="s">
        <v>190</v>
      </c>
      <c r="FA726" s="319" t="s">
        <v>190</v>
      </c>
      <c r="FB726" s="319" t="s">
        <v>190</v>
      </c>
      <c r="FC726" s="319" t="s">
        <v>190</v>
      </c>
      <c r="FD726" s="319" t="s">
        <v>190</v>
      </c>
      <c r="FE726" s="319" t="s">
        <v>190</v>
      </c>
      <c r="FF726" s="319" t="s">
        <v>190</v>
      </c>
      <c r="FG726" s="319" t="s">
        <v>190</v>
      </c>
      <c r="FH726" s="319" t="s">
        <v>190</v>
      </c>
      <c r="FI726" s="319" t="s">
        <v>190</v>
      </c>
      <c r="FJ726" s="319" t="s">
        <v>190</v>
      </c>
      <c r="FK726" s="319" t="s">
        <v>190</v>
      </c>
      <c r="FL726" s="319" t="s">
        <v>190</v>
      </c>
      <c r="FM726" s="319" t="s">
        <v>190</v>
      </c>
      <c r="FN726" s="319" t="s">
        <v>190</v>
      </c>
      <c r="FO726" s="319" t="s">
        <v>190</v>
      </c>
      <c r="FP726" s="319" t="s">
        <v>190</v>
      </c>
      <c r="FQ726" s="319" t="s">
        <v>190</v>
      </c>
      <c r="FR726" s="319" t="s">
        <v>190</v>
      </c>
      <c r="FS726" s="319" t="s">
        <v>428</v>
      </c>
      <c r="FT726" s="319" t="s">
        <v>190</v>
      </c>
      <c r="FU726" s="319" t="s">
        <v>190</v>
      </c>
      <c r="FV726" s="319" t="s">
        <v>190</v>
      </c>
      <c r="FW726" s="319" t="s">
        <v>190</v>
      </c>
      <c r="FX726" s="319" t="s">
        <v>190</v>
      </c>
      <c r="FY726" s="319" t="s">
        <v>190</v>
      </c>
      <c r="FZ726" s="319" t="s">
        <v>190</v>
      </c>
      <c r="GA726" s="319" t="s">
        <v>190</v>
      </c>
      <c r="GB726" s="319" t="s">
        <v>190</v>
      </c>
      <c r="GC726" s="319" t="s">
        <v>190</v>
      </c>
      <c r="GD726" s="319" t="s">
        <v>190</v>
      </c>
      <c r="GE726" s="319" t="s">
        <v>190</v>
      </c>
      <c r="GF726" s="319" t="s">
        <v>190</v>
      </c>
      <c r="GG726" s="319" t="s">
        <v>190</v>
      </c>
      <c r="GH726" s="319" t="s">
        <v>190</v>
      </c>
      <c r="GI726" s="319" t="s">
        <v>190</v>
      </c>
      <c r="GJ726" s="319" t="s">
        <v>190</v>
      </c>
      <c r="GK726" s="319" t="s">
        <v>428</v>
      </c>
      <c r="GL726" s="319" t="s">
        <v>190</v>
      </c>
      <c r="GM726" s="319" t="s">
        <v>190</v>
      </c>
      <c r="GN726" s="319" t="s">
        <v>190</v>
      </c>
      <c r="GO726" s="319" t="s">
        <v>190</v>
      </c>
      <c r="GP726" s="319" t="s">
        <v>190</v>
      </c>
      <c r="GQ726" s="319" t="s">
        <v>428</v>
      </c>
      <c r="GR726" s="319" t="s">
        <v>190</v>
      </c>
      <c r="GS726" s="319" t="s">
        <v>190</v>
      </c>
      <c r="GT726" s="319" t="s">
        <v>190</v>
      </c>
      <c r="GU726" s="319" t="s">
        <v>190</v>
      </c>
      <c r="GV726" s="319" t="s">
        <v>190</v>
      </c>
      <c r="GW726" s="319" t="s">
        <v>190</v>
      </c>
      <c r="GX726" s="319" t="s">
        <v>190</v>
      </c>
      <c r="GY726" s="319" t="s">
        <v>190</v>
      </c>
      <c r="GZ726" s="319" t="s">
        <v>190</v>
      </c>
      <c r="HA726" s="319" t="s">
        <v>190</v>
      </c>
      <c r="HB726" s="319" t="s">
        <v>190</v>
      </c>
      <c r="HC726" s="319" t="s">
        <v>190</v>
      </c>
      <c r="HD726" s="319" t="s">
        <v>190</v>
      </c>
      <c r="HE726" s="319" t="s">
        <v>190</v>
      </c>
      <c r="HF726" s="319" t="s">
        <v>190</v>
      </c>
      <c r="HG726" s="319" t="s">
        <v>190</v>
      </c>
      <c r="HH726" s="319" t="s">
        <v>190</v>
      </c>
      <c r="HI726" s="319" t="s">
        <v>190</v>
      </c>
      <c r="HJ726" s="319" t="s">
        <v>190</v>
      </c>
      <c r="HK726" s="319" t="s">
        <v>190</v>
      </c>
      <c r="HL726" s="319" t="s">
        <v>190</v>
      </c>
      <c r="HM726" s="319" t="s">
        <v>428</v>
      </c>
      <c r="HN726" s="319" t="s">
        <v>428</v>
      </c>
      <c r="HO726" s="319" t="s">
        <v>428</v>
      </c>
      <c r="HP726" s="319" t="s">
        <v>190</v>
      </c>
      <c r="HQ726" s="319" t="s">
        <v>190</v>
      </c>
      <c r="HR726" s="319" t="s">
        <v>190</v>
      </c>
      <c r="HS726" s="319" t="s">
        <v>190</v>
      </c>
      <c r="HT726" s="319" t="s">
        <v>190</v>
      </c>
      <c r="HU726" s="319" t="s">
        <v>190</v>
      </c>
      <c r="HV726" s="319" t="s">
        <v>190</v>
      </c>
      <c r="HW726" s="319" t="s">
        <v>190</v>
      </c>
      <c r="HX726" s="319" t="s">
        <v>190</v>
      </c>
      <c r="HY726" s="319" t="s">
        <v>190</v>
      </c>
      <c r="HZ726" s="319" t="s">
        <v>190</v>
      </c>
      <c r="IA726" s="319" t="s">
        <v>190</v>
      </c>
      <c r="IB726" s="319" t="s">
        <v>190</v>
      </c>
      <c r="IC726" s="319" t="s">
        <v>190</v>
      </c>
      <c r="ID726" s="319" t="s">
        <v>190</v>
      </c>
      <c r="IE726" s="319" t="s">
        <v>190</v>
      </c>
      <c r="IF726" s="319" t="s">
        <v>190</v>
      </c>
      <c r="IG726" s="319" t="s">
        <v>190</v>
      </c>
      <c r="IH726" s="319" t="s">
        <v>190</v>
      </c>
      <c r="II726" s="319" t="s">
        <v>190</v>
      </c>
      <c r="IJ726" s="319">
        <v>10017429</v>
      </c>
      <c r="IK726" s="321">
        <v>42486</v>
      </c>
      <c r="IL726" s="321">
        <v>42488</v>
      </c>
      <c r="IM726" s="321">
        <v>42510</v>
      </c>
      <c r="IN726" s="319">
        <v>2</v>
      </c>
      <c r="IO726" s="319" t="s">
        <v>173</v>
      </c>
      <c r="IP726" s="319" t="s">
        <v>173</v>
      </c>
      <c r="IQ726" s="321" t="s">
        <v>173</v>
      </c>
      <c r="IR726" s="320" t="s">
        <v>173</v>
      </c>
      <c r="IS726" s="322" t="s">
        <v>173</v>
      </c>
      <c r="IT726" s="319" t="s">
        <v>173</v>
      </c>
    </row>
    <row r="727" spans="1:254" s="271" customFormat="1" x14ac:dyDescent="0.25">
      <c r="A727" s="318" t="str">
        <f>HYPERLINK("http://www.ofsted.gov.uk/inspection-reports/find-inspection-report/provider/ELS/139331 ","Ofsted School Webpage")</f>
        <v>Ofsted School Webpage</v>
      </c>
      <c r="B727" s="319">
        <v>139331</v>
      </c>
      <c r="C727" s="319">
        <v>2096000</v>
      </c>
      <c r="D727" s="319" t="s">
        <v>2204</v>
      </c>
      <c r="E727" s="319" t="s">
        <v>167</v>
      </c>
      <c r="F727" s="319" t="s">
        <v>81</v>
      </c>
      <c r="G727" s="319" t="s">
        <v>81</v>
      </c>
      <c r="H727" s="319" t="s">
        <v>81</v>
      </c>
      <c r="I727" s="319" t="s">
        <v>78</v>
      </c>
      <c r="J727" s="319" t="s">
        <v>424</v>
      </c>
      <c r="K727" s="319" t="s">
        <v>441</v>
      </c>
      <c r="L727" s="319" t="s">
        <v>441</v>
      </c>
      <c r="M727" s="319" t="s">
        <v>655</v>
      </c>
      <c r="N727" s="319" t="s">
        <v>3434</v>
      </c>
      <c r="O727" s="319" t="s">
        <v>2205</v>
      </c>
      <c r="P727" s="319">
        <v>65</v>
      </c>
      <c r="Q727" s="319" t="s">
        <v>2766</v>
      </c>
      <c r="R727" s="320">
        <v>10026297</v>
      </c>
      <c r="S727" s="321">
        <v>43046</v>
      </c>
      <c r="T727" s="321">
        <v>43048</v>
      </c>
      <c r="U727" s="321">
        <v>43080</v>
      </c>
      <c r="V727" s="319" t="s">
        <v>425</v>
      </c>
      <c r="W727" s="319" t="s">
        <v>2767</v>
      </c>
      <c r="X727" s="319">
        <v>2</v>
      </c>
      <c r="Y727" s="319" t="s">
        <v>173</v>
      </c>
      <c r="Z727" s="319" t="s">
        <v>173</v>
      </c>
      <c r="AA727" s="319" t="s">
        <v>173</v>
      </c>
      <c r="AB727" s="319">
        <v>2</v>
      </c>
      <c r="AC727" s="319" t="s">
        <v>169</v>
      </c>
      <c r="AD727" s="319">
        <v>2</v>
      </c>
      <c r="AE727" s="319" t="s">
        <v>173</v>
      </c>
      <c r="AF727" s="319" t="s">
        <v>427</v>
      </c>
      <c r="AG727" s="319" t="s">
        <v>171</v>
      </c>
      <c r="AH727" s="319" t="s">
        <v>190</v>
      </c>
      <c r="AI727" s="319" t="s">
        <v>190</v>
      </c>
      <c r="AJ727" s="319" t="s">
        <v>190</v>
      </c>
      <c r="AK727" s="319" t="s">
        <v>190</v>
      </c>
      <c r="AL727" s="319" t="s">
        <v>190</v>
      </c>
      <c r="AM727" s="319" t="s">
        <v>190</v>
      </c>
      <c r="AN727" s="319" t="s">
        <v>190</v>
      </c>
      <c r="AO727" s="319" t="s">
        <v>190</v>
      </c>
      <c r="AP727" s="319" t="s">
        <v>190</v>
      </c>
      <c r="AQ727" s="319" t="s">
        <v>190</v>
      </c>
      <c r="AR727" s="319" t="s">
        <v>190</v>
      </c>
      <c r="AS727" s="319" t="s">
        <v>190</v>
      </c>
      <c r="AT727" s="319" t="s">
        <v>190</v>
      </c>
      <c r="AU727" s="319" t="s">
        <v>190</v>
      </c>
      <c r="AV727" s="319" t="s">
        <v>190</v>
      </c>
      <c r="AW727" s="319" t="s">
        <v>190</v>
      </c>
      <c r="AX727" s="319" t="s">
        <v>428</v>
      </c>
      <c r="AY727" s="319" t="s">
        <v>190</v>
      </c>
      <c r="AZ727" s="319" t="s">
        <v>190</v>
      </c>
      <c r="BA727" s="319" t="s">
        <v>190</v>
      </c>
      <c r="BB727" s="319" t="s">
        <v>428</v>
      </c>
      <c r="BC727" s="319" t="s">
        <v>428</v>
      </c>
      <c r="BD727" s="319" t="s">
        <v>428</v>
      </c>
      <c r="BE727" s="319" t="s">
        <v>428</v>
      </c>
      <c r="BF727" s="319" t="s">
        <v>190</v>
      </c>
      <c r="BG727" s="319" t="s">
        <v>428</v>
      </c>
      <c r="BH727" s="319" t="s">
        <v>190</v>
      </c>
      <c r="BI727" s="319" t="s">
        <v>190</v>
      </c>
      <c r="BJ727" s="319" t="s">
        <v>190</v>
      </c>
      <c r="BK727" s="319" t="s">
        <v>190</v>
      </c>
      <c r="BL727" s="319" t="s">
        <v>190</v>
      </c>
      <c r="BM727" s="319" t="s">
        <v>190</v>
      </c>
      <c r="BN727" s="319" t="s">
        <v>190</v>
      </c>
      <c r="BO727" s="319" t="s">
        <v>190</v>
      </c>
      <c r="BP727" s="319" t="s">
        <v>190</v>
      </c>
      <c r="BQ727" s="319" t="s">
        <v>190</v>
      </c>
      <c r="BR727" s="319" t="s">
        <v>190</v>
      </c>
      <c r="BS727" s="319" t="s">
        <v>190</v>
      </c>
      <c r="BT727" s="319" t="s">
        <v>190</v>
      </c>
      <c r="BU727" s="319" t="s">
        <v>190</v>
      </c>
      <c r="BV727" s="319" t="s">
        <v>190</v>
      </c>
      <c r="BW727" s="319" t="s">
        <v>190</v>
      </c>
      <c r="BX727" s="319" t="s">
        <v>190</v>
      </c>
      <c r="BY727" s="319" t="s">
        <v>190</v>
      </c>
      <c r="BZ727" s="319" t="s">
        <v>190</v>
      </c>
      <c r="CA727" s="319" t="s">
        <v>190</v>
      </c>
      <c r="CB727" s="319" t="s">
        <v>190</v>
      </c>
      <c r="CC727" s="319" t="s">
        <v>190</v>
      </c>
      <c r="CD727" s="319" t="s">
        <v>190</v>
      </c>
      <c r="CE727" s="319" t="s">
        <v>190</v>
      </c>
      <c r="CF727" s="319" t="s">
        <v>190</v>
      </c>
      <c r="CG727" s="319" t="s">
        <v>190</v>
      </c>
      <c r="CH727" s="319" t="s">
        <v>190</v>
      </c>
      <c r="CI727" s="319" t="s">
        <v>190</v>
      </c>
      <c r="CJ727" s="319" t="s">
        <v>190</v>
      </c>
      <c r="CK727" s="319" t="s">
        <v>190</v>
      </c>
      <c r="CL727" s="319" t="s">
        <v>190</v>
      </c>
      <c r="CM727" s="319" t="s">
        <v>190</v>
      </c>
      <c r="CN727" s="319" t="s">
        <v>428</v>
      </c>
      <c r="CO727" s="319" t="s">
        <v>428</v>
      </c>
      <c r="CP727" s="319" t="s">
        <v>428</v>
      </c>
      <c r="CQ727" s="319" t="s">
        <v>190</v>
      </c>
      <c r="CR727" s="319" t="s">
        <v>190</v>
      </c>
      <c r="CS727" s="319" t="s">
        <v>190</v>
      </c>
      <c r="CT727" s="319" t="s">
        <v>190</v>
      </c>
      <c r="CU727" s="319" t="s">
        <v>190</v>
      </c>
      <c r="CV727" s="319" t="s">
        <v>190</v>
      </c>
      <c r="CW727" s="319" t="s">
        <v>190</v>
      </c>
      <c r="CX727" s="319" t="s">
        <v>190</v>
      </c>
      <c r="CY727" s="319" t="s">
        <v>190</v>
      </c>
      <c r="CZ727" s="319" t="s">
        <v>190</v>
      </c>
      <c r="DA727" s="319" t="s">
        <v>190</v>
      </c>
      <c r="DB727" s="319" t="s">
        <v>190</v>
      </c>
      <c r="DC727" s="319" t="s">
        <v>190</v>
      </c>
      <c r="DD727" s="319" t="s">
        <v>190</v>
      </c>
      <c r="DE727" s="319" t="s">
        <v>190</v>
      </c>
      <c r="DF727" s="319" t="s">
        <v>190</v>
      </c>
      <c r="DG727" s="319" t="s">
        <v>190</v>
      </c>
      <c r="DH727" s="319" t="s">
        <v>190</v>
      </c>
      <c r="DI727" s="319" t="s">
        <v>190</v>
      </c>
      <c r="DJ727" s="319" t="s">
        <v>190</v>
      </c>
      <c r="DK727" s="319" t="s">
        <v>190</v>
      </c>
      <c r="DL727" s="319" t="s">
        <v>190</v>
      </c>
      <c r="DM727" s="319" t="s">
        <v>190</v>
      </c>
      <c r="DN727" s="319" t="s">
        <v>428</v>
      </c>
      <c r="DO727" s="319" t="s">
        <v>190</v>
      </c>
      <c r="DP727" s="319" t="s">
        <v>428</v>
      </c>
      <c r="DQ727" s="319" t="s">
        <v>428</v>
      </c>
      <c r="DR727" s="319" t="s">
        <v>428</v>
      </c>
      <c r="DS727" s="319" t="s">
        <v>428</v>
      </c>
      <c r="DT727" s="319" t="s">
        <v>428</v>
      </c>
      <c r="DU727" s="319" t="s">
        <v>428</v>
      </c>
      <c r="DV727" s="319" t="s">
        <v>173</v>
      </c>
      <c r="DW727" s="319" t="s">
        <v>428</v>
      </c>
      <c r="DX727" s="319" t="s">
        <v>428</v>
      </c>
      <c r="DY727" s="319" t="s">
        <v>428</v>
      </c>
      <c r="DZ727" s="319" t="s">
        <v>428</v>
      </c>
      <c r="EA727" s="319" t="s">
        <v>428</v>
      </c>
      <c r="EB727" s="319" t="s">
        <v>428</v>
      </c>
      <c r="EC727" s="319" t="s">
        <v>428</v>
      </c>
      <c r="ED727" s="319" t="s">
        <v>428</v>
      </c>
      <c r="EE727" s="319" t="s">
        <v>190</v>
      </c>
      <c r="EF727" s="319" t="s">
        <v>190</v>
      </c>
      <c r="EG727" s="319" t="s">
        <v>190</v>
      </c>
      <c r="EH727" s="319" t="s">
        <v>190</v>
      </c>
      <c r="EI727" s="319" t="s">
        <v>190</v>
      </c>
      <c r="EJ727" s="319" t="s">
        <v>190</v>
      </c>
      <c r="EK727" s="319" t="s">
        <v>190</v>
      </c>
      <c r="EL727" s="319" t="s">
        <v>190</v>
      </c>
      <c r="EM727" s="319" t="s">
        <v>190</v>
      </c>
      <c r="EN727" s="319" t="s">
        <v>190</v>
      </c>
      <c r="EO727" s="319" t="s">
        <v>190</v>
      </c>
      <c r="EP727" s="319" t="s">
        <v>190</v>
      </c>
      <c r="EQ727" s="319" t="s">
        <v>190</v>
      </c>
      <c r="ER727" s="319" t="s">
        <v>190</v>
      </c>
      <c r="ES727" s="319" t="s">
        <v>190</v>
      </c>
      <c r="ET727" s="319" t="s">
        <v>190</v>
      </c>
      <c r="EU727" s="319" t="s">
        <v>190</v>
      </c>
      <c r="EV727" s="319" t="s">
        <v>190</v>
      </c>
      <c r="EW727" s="319" t="s">
        <v>190</v>
      </c>
      <c r="EX727" s="319" t="s">
        <v>190</v>
      </c>
      <c r="EY727" s="319" t="s">
        <v>190</v>
      </c>
      <c r="EZ727" s="319" t="s">
        <v>190</v>
      </c>
      <c r="FA727" s="319" t="s">
        <v>190</v>
      </c>
      <c r="FB727" s="319" t="s">
        <v>428</v>
      </c>
      <c r="FC727" s="319" t="s">
        <v>428</v>
      </c>
      <c r="FD727" s="319" t="s">
        <v>428</v>
      </c>
      <c r="FE727" s="319" t="s">
        <v>428</v>
      </c>
      <c r="FF727" s="319" t="s">
        <v>428</v>
      </c>
      <c r="FG727" s="319" t="s">
        <v>428</v>
      </c>
      <c r="FH727" s="319" t="s">
        <v>190</v>
      </c>
      <c r="FI727" s="319" t="s">
        <v>190</v>
      </c>
      <c r="FJ727" s="319" t="s">
        <v>190</v>
      </c>
      <c r="FK727" s="319" t="s">
        <v>190</v>
      </c>
      <c r="FL727" s="319" t="s">
        <v>190</v>
      </c>
      <c r="FM727" s="319" t="s">
        <v>190</v>
      </c>
      <c r="FN727" s="319" t="s">
        <v>190</v>
      </c>
      <c r="FO727" s="319" t="s">
        <v>428</v>
      </c>
      <c r="FP727" s="319" t="s">
        <v>190</v>
      </c>
      <c r="FQ727" s="319" t="s">
        <v>190</v>
      </c>
      <c r="FR727" s="319" t="s">
        <v>190</v>
      </c>
      <c r="FS727" s="319" t="s">
        <v>428</v>
      </c>
      <c r="FT727" s="319" t="s">
        <v>190</v>
      </c>
      <c r="FU727" s="319" t="s">
        <v>190</v>
      </c>
      <c r="FV727" s="319" t="s">
        <v>190</v>
      </c>
      <c r="FW727" s="319" t="s">
        <v>190</v>
      </c>
      <c r="FX727" s="319" t="s">
        <v>190</v>
      </c>
      <c r="FY727" s="319" t="s">
        <v>190</v>
      </c>
      <c r="FZ727" s="319" t="s">
        <v>190</v>
      </c>
      <c r="GA727" s="319" t="s">
        <v>190</v>
      </c>
      <c r="GB727" s="319" t="s">
        <v>190</v>
      </c>
      <c r="GC727" s="319" t="s">
        <v>190</v>
      </c>
      <c r="GD727" s="319" t="s">
        <v>190</v>
      </c>
      <c r="GE727" s="319" t="s">
        <v>190</v>
      </c>
      <c r="GF727" s="319" t="s">
        <v>190</v>
      </c>
      <c r="GG727" s="319" t="s">
        <v>190</v>
      </c>
      <c r="GH727" s="319" t="s">
        <v>190</v>
      </c>
      <c r="GI727" s="319" t="s">
        <v>190</v>
      </c>
      <c r="GJ727" s="319" t="s">
        <v>190</v>
      </c>
      <c r="GK727" s="319" t="s">
        <v>428</v>
      </c>
      <c r="GL727" s="319" t="s">
        <v>190</v>
      </c>
      <c r="GM727" s="319" t="s">
        <v>190</v>
      </c>
      <c r="GN727" s="319" t="s">
        <v>190</v>
      </c>
      <c r="GO727" s="319" t="s">
        <v>190</v>
      </c>
      <c r="GP727" s="319" t="s">
        <v>190</v>
      </c>
      <c r="GQ727" s="319" t="s">
        <v>428</v>
      </c>
      <c r="GR727" s="319" t="s">
        <v>190</v>
      </c>
      <c r="GS727" s="319" t="s">
        <v>190</v>
      </c>
      <c r="GT727" s="319" t="s">
        <v>428</v>
      </c>
      <c r="GU727" s="319" t="s">
        <v>428</v>
      </c>
      <c r="GV727" s="319" t="s">
        <v>428</v>
      </c>
      <c r="GW727" s="319" t="s">
        <v>190</v>
      </c>
      <c r="GX727" s="319" t="s">
        <v>190</v>
      </c>
      <c r="GY727" s="319" t="s">
        <v>190</v>
      </c>
      <c r="GZ727" s="319" t="s">
        <v>428</v>
      </c>
      <c r="HA727" s="319" t="s">
        <v>190</v>
      </c>
      <c r="HB727" s="319" t="s">
        <v>428</v>
      </c>
      <c r="HC727" s="319" t="s">
        <v>190</v>
      </c>
      <c r="HD727" s="319" t="s">
        <v>190</v>
      </c>
      <c r="HE727" s="319" t="s">
        <v>190</v>
      </c>
      <c r="HF727" s="319" t="s">
        <v>190</v>
      </c>
      <c r="HG727" s="319" t="s">
        <v>190</v>
      </c>
      <c r="HH727" s="319" t="s">
        <v>190</v>
      </c>
      <c r="HI727" s="319" t="s">
        <v>190</v>
      </c>
      <c r="HJ727" s="319" t="s">
        <v>190</v>
      </c>
      <c r="HK727" s="319" t="s">
        <v>190</v>
      </c>
      <c r="HL727" s="319" t="s">
        <v>428</v>
      </c>
      <c r="HM727" s="319" t="s">
        <v>428</v>
      </c>
      <c r="HN727" s="319" t="s">
        <v>428</v>
      </c>
      <c r="HO727" s="319" t="s">
        <v>428</v>
      </c>
      <c r="HP727" s="319" t="s">
        <v>190</v>
      </c>
      <c r="HQ727" s="319" t="s">
        <v>190</v>
      </c>
      <c r="HR727" s="319" t="s">
        <v>190</v>
      </c>
      <c r="HS727" s="319" t="s">
        <v>190</v>
      </c>
      <c r="HT727" s="319" t="s">
        <v>190</v>
      </c>
      <c r="HU727" s="319" t="s">
        <v>190</v>
      </c>
      <c r="HV727" s="319" t="s">
        <v>190</v>
      </c>
      <c r="HW727" s="319" t="s">
        <v>190</v>
      </c>
      <c r="HX727" s="319" t="s">
        <v>190</v>
      </c>
      <c r="HY727" s="319" t="s">
        <v>190</v>
      </c>
      <c r="HZ727" s="319" t="s">
        <v>190</v>
      </c>
      <c r="IA727" s="319" t="s">
        <v>190</v>
      </c>
      <c r="IB727" s="319" t="s">
        <v>190</v>
      </c>
      <c r="IC727" s="319" t="s">
        <v>190</v>
      </c>
      <c r="ID727" s="319" t="s">
        <v>190</v>
      </c>
      <c r="IE727" s="319" t="s">
        <v>190</v>
      </c>
      <c r="IF727" s="319" t="s">
        <v>190</v>
      </c>
      <c r="IG727" s="319" t="s">
        <v>190</v>
      </c>
      <c r="IH727" s="319" t="s">
        <v>190</v>
      </c>
      <c r="II727" s="319" t="s">
        <v>190</v>
      </c>
      <c r="IJ727" s="319" t="s">
        <v>3457</v>
      </c>
      <c r="IK727" s="321">
        <v>41660</v>
      </c>
      <c r="IL727" s="321">
        <v>41662</v>
      </c>
      <c r="IM727" s="321">
        <v>41682</v>
      </c>
      <c r="IN727" s="319">
        <v>2</v>
      </c>
      <c r="IO727" s="319" t="s">
        <v>173</v>
      </c>
      <c r="IP727" s="319" t="s">
        <v>173</v>
      </c>
      <c r="IQ727" s="321" t="s">
        <v>173</v>
      </c>
      <c r="IR727" s="320" t="s">
        <v>173</v>
      </c>
      <c r="IS727" s="322" t="s">
        <v>173</v>
      </c>
      <c r="IT727" s="319" t="s">
        <v>173</v>
      </c>
    </row>
    <row r="728" spans="1:254" s="271" customFormat="1" x14ac:dyDescent="0.25">
      <c r="A728" s="318" t="str">
        <f>HYPERLINK("http://www.ofsted.gov.uk/inspection-reports/find-inspection-report/provider/ELS/139415 ","Ofsted School Webpage")</f>
        <v>Ofsted School Webpage</v>
      </c>
      <c r="B728" s="319">
        <v>139415</v>
      </c>
      <c r="C728" s="319">
        <v>2136001</v>
      </c>
      <c r="D728" s="319" t="s">
        <v>2206</v>
      </c>
      <c r="E728" s="319" t="s">
        <v>167</v>
      </c>
      <c r="F728" s="319" t="s">
        <v>81</v>
      </c>
      <c r="G728" s="319" t="s">
        <v>81</v>
      </c>
      <c r="H728" s="319" t="s">
        <v>81</v>
      </c>
      <c r="I728" s="319" t="s">
        <v>78</v>
      </c>
      <c r="J728" s="319" t="s">
        <v>424</v>
      </c>
      <c r="K728" s="319" t="s">
        <v>441</v>
      </c>
      <c r="L728" s="319" t="s">
        <v>441</v>
      </c>
      <c r="M728" s="319" t="s">
        <v>582</v>
      </c>
      <c r="N728" s="319" t="s">
        <v>2797</v>
      </c>
      <c r="O728" s="319" t="s">
        <v>2207</v>
      </c>
      <c r="P728" s="319">
        <v>175</v>
      </c>
      <c r="Q728" s="319" t="s">
        <v>2776</v>
      </c>
      <c r="R728" s="320">
        <v>10026298</v>
      </c>
      <c r="S728" s="321">
        <v>42829</v>
      </c>
      <c r="T728" s="321">
        <v>42831</v>
      </c>
      <c r="U728" s="321">
        <v>42865</v>
      </c>
      <c r="V728" s="319" t="s">
        <v>425</v>
      </c>
      <c r="W728" s="319" t="s">
        <v>2767</v>
      </c>
      <c r="X728" s="319">
        <v>1</v>
      </c>
      <c r="Y728" s="319" t="s">
        <v>173</v>
      </c>
      <c r="Z728" s="319" t="s">
        <v>173</v>
      </c>
      <c r="AA728" s="319" t="s">
        <v>173</v>
      </c>
      <c r="AB728" s="319">
        <v>1</v>
      </c>
      <c r="AC728" s="319" t="s">
        <v>169</v>
      </c>
      <c r="AD728" s="319" t="s">
        <v>173</v>
      </c>
      <c r="AE728" s="319">
        <v>1</v>
      </c>
      <c r="AF728" s="319" t="s">
        <v>173</v>
      </c>
      <c r="AG728" s="319" t="s">
        <v>171</v>
      </c>
      <c r="AH728" s="319" t="s">
        <v>190</v>
      </c>
      <c r="AI728" s="319" t="s">
        <v>190</v>
      </c>
      <c r="AJ728" s="319" t="s">
        <v>190</v>
      </c>
      <c r="AK728" s="319" t="s">
        <v>190</v>
      </c>
      <c r="AL728" s="319" t="s">
        <v>190</v>
      </c>
      <c r="AM728" s="319" t="s">
        <v>190</v>
      </c>
      <c r="AN728" s="319" t="s">
        <v>190</v>
      </c>
      <c r="AO728" s="319" t="s">
        <v>190</v>
      </c>
      <c r="AP728" s="319" t="s">
        <v>190</v>
      </c>
      <c r="AQ728" s="319" t="s">
        <v>190</v>
      </c>
      <c r="AR728" s="319" t="s">
        <v>190</v>
      </c>
      <c r="AS728" s="319" t="s">
        <v>190</v>
      </c>
      <c r="AT728" s="319" t="s">
        <v>190</v>
      </c>
      <c r="AU728" s="319" t="s">
        <v>190</v>
      </c>
      <c r="AV728" s="319" t="s">
        <v>190</v>
      </c>
      <c r="AW728" s="319" t="s">
        <v>190</v>
      </c>
      <c r="AX728" s="319" t="s">
        <v>429</v>
      </c>
      <c r="AY728" s="319" t="s">
        <v>190</v>
      </c>
      <c r="AZ728" s="319" t="s">
        <v>190</v>
      </c>
      <c r="BA728" s="319" t="s">
        <v>190</v>
      </c>
      <c r="BB728" s="319" t="s">
        <v>190</v>
      </c>
      <c r="BC728" s="319" t="s">
        <v>190</v>
      </c>
      <c r="BD728" s="319" t="s">
        <v>190</v>
      </c>
      <c r="BE728" s="319" t="s">
        <v>190</v>
      </c>
      <c r="BF728" s="319" t="s">
        <v>429</v>
      </c>
      <c r="BG728" s="319" t="s">
        <v>190</v>
      </c>
      <c r="BH728" s="319" t="s">
        <v>190</v>
      </c>
      <c r="BI728" s="319" t="s">
        <v>190</v>
      </c>
      <c r="BJ728" s="319" t="s">
        <v>190</v>
      </c>
      <c r="BK728" s="319" t="s">
        <v>190</v>
      </c>
      <c r="BL728" s="319" t="s">
        <v>190</v>
      </c>
      <c r="BM728" s="319" t="s">
        <v>190</v>
      </c>
      <c r="BN728" s="319" t="s">
        <v>190</v>
      </c>
      <c r="BO728" s="319" t="s">
        <v>190</v>
      </c>
      <c r="BP728" s="319" t="s">
        <v>190</v>
      </c>
      <c r="BQ728" s="319" t="s">
        <v>190</v>
      </c>
      <c r="BR728" s="319" t="s">
        <v>190</v>
      </c>
      <c r="BS728" s="319" t="s">
        <v>190</v>
      </c>
      <c r="BT728" s="319" t="s">
        <v>190</v>
      </c>
      <c r="BU728" s="319" t="s">
        <v>190</v>
      </c>
      <c r="BV728" s="319" t="s">
        <v>190</v>
      </c>
      <c r="BW728" s="319" t="s">
        <v>190</v>
      </c>
      <c r="BX728" s="319" t="s">
        <v>190</v>
      </c>
      <c r="BY728" s="319" t="s">
        <v>190</v>
      </c>
      <c r="BZ728" s="319" t="s">
        <v>190</v>
      </c>
      <c r="CA728" s="319" t="s">
        <v>190</v>
      </c>
      <c r="CB728" s="319" t="s">
        <v>190</v>
      </c>
      <c r="CC728" s="319" t="s">
        <v>190</v>
      </c>
      <c r="CD728" s="319" t="s">
        <v>190</v>
      </c>
      <c r="CE728" s="319" t="s">
        <v>190</v>
      </c>
      <c r="CF728" s="319" t="s">
        <v>190</v>
      </c>
      <c r="CG728" s="319" t="s">
        <v>190</v>
      </c>
      <c r="CH728" s="319" t="s">
        <v>190</v>
      </c>
      <c r="CI728" s="319" t="s">
        <v>190</v>
      </c>
      <c r="CJ728" s="319" t="s">
        <v>190</v>
      </c>
      <c r="CK728" s="319" t="s">
        <v>190</v>
      </c>
      <c r="CL728" s="319" t="s">
        <v>190</v>
      </c>
      <c r="CM728" s="319" t="s">
        <v>190</v>
      </c>
      <c r="CN728" s="319" t="s">
        <v>190</v>
      </c>
      <c r="CO728" s="319" t="s">
        <v>429</v>
      </c>
      <c r="CP728" s="319" t="s">
        <v>429</v>
      </c>
      <c r="CQ728" s="319" t="s">
        <v>190</v>
      </c>
      <c r="CR728" s="319" t="s">
        <v>190</v>
      </c>
      <c r="CS728" s="319" t="s">
        <v>190</v>
      </c>
      <c r="CT728" s="319" t="s">
        <v>190</v>
      </c>
      <c r="CU728" s="319" t="s">
        <v>190</v>
      </c>
      <c r="CV728" s="319" t="s">
        <v>190</v>
      </c>
      <c r="CW728" s="319" t="s">
        <v>190</v>
      </c>
      <c r="CX728" s="319" t="s">
        <v>190</v>
      </c>
      <c r="CY728" s="319" t="s">
        <v>190</v>
      </c>
      <c r="CZ728" s="319" t="s">
        <v>190</v>
      </c>
      <c r="DA728" s="319" t="s">
        <v>190</v>
      </c>
      <c r="DB728" s="319" t="s">
        <v>190</v>
      </c>
      <c r="DC728" s="319" t="s">
        <v>190</v>
      </c>
      <c r="DD728" s="319" t="s">
        <v>190</v>
      </c>
      <c r="DE728" s="319" t="s">
        <v>190</v>
      </c>
      <c r="DF728" s="319" t="s">
        <v>190</v>
      </c>
      <c r="DG728" s="319" t="s">
        <v>190</v>
      </c>
      <c r="DH728" s="319" t="s">
        <v>190</v>
      </c>
      <c r="DI728" s="319" t="s">
        <v>190</v>
      </c>
      <c r="DJ728" s="319" t="s">
        <v>190</v>
      </c>
      <c r="DK728" s="319" t="s">
        <v>190</v>
      </c>
      <c r="DL728" s="319" t="s">
        <v>190</v>
      </c>
      <c r="DM728" s="319" t="s">
        <v>190</v>
      </c>
      <c r="DN728" s="319" t="s">
        <v>429</v>
      </c>
      <c r="DO728" s="319" t="s">
        <v>190</v>
      </c>
      <c r="DP728" s="319" t="s">
        <v>190</v>
      </c>
      <c r="DQ728" s="319" t="s">
        <v>190</v>
      </c>
      <c r="DR728" s="319" t="s">
        <v>190</v>
      </c>
      <c r="DS728" s="319" t="s">
        <v>190</v>
      </c>
      <c r="DT728" s="319" t="s">
        <v>190</v>
      </c>
      <c r="DU728" s="319" t="s">
        <v>190</v>
      </c>
      <c r="DV728" s="319" t="s">
        <v>173</v>
      </c>
      <c r="DW728" s="319" t="s">
        <v>190</v>
      </c>
      <c r="DX728" s="319" t="s">
        <v>190</v>
      </c>
      <c r="DY728" s="319" t="s">
        <v>190</v>
      </c>
      <c r="DZ728" s="319" t="s">
        <v>190</v>
      </c>
      <c r="EA728" s="319" t="s">
        <v>190</v>
      </c>
      <c r="EB728" s="319" t="s">
        <v>190</v>
      </c>
      <c r="EC728" s="319" t="s">
        <v>190</v>
      </c>
      <c r="ED728" s="319" t="s">
        <v>190</v>
      </c>
      <c r="EE728" s="319" t="s">
        <v>190</v>
      </c>
      <c r="EF728" s="319" t="s">
        <v>190</v>
      </c>
      <c r="EG728" s="319" t="s">
        <v>190</v>
      </c>
      <c r="EH728" s="319" t="s">
        <v>190</v>
      </c>
      <c r="EI728" s="319" t="s">
        <v>190</v>
      </c>
      <c r="EJ728" s="319" t="s">
        <v>190</v>
      </c>
      <c r="EK728" s="319" t="s">
        <v>190</v>
      </c>
      <c r="EL728" s="319" t="s">
        <v>190</v>
      </c>
      <c r="EM728" s="319" t="s">
        <v>190</v>
      </c>
      <c r="EN728" s="319" t="s">
        <v>190</v>
      </c>
      <c r="EO728" s="319" t="s">
        <v>190</v>
      </c>
      <c r="EP728" s="319" t="s">
        <v>190</v>
      </c>
      <c r="EQ728" s="319" t="s">
        <v>190</v>
      </c>
      <c r="ER728" s="319" t="s">
        <v>190</v>
      </c>
      <c r="ES728" s="319" t="s">
        <v>190</v>
      </c>
      <c r="ET728" s="319" t="s">
        <v>190</v>
      </c>
      <c r="EU728" s="319" t="s">
        <v>190</v>
      </c>
      <c r="EV728" s="319" t="s">
        <v>190</v>
      </c>
      <c r="EW728" s="319" t="s">
        <v>190</v>
      </c>
      <c r="EX728" s="319" t="s">
        <v>190</v>
      </c>
      <c r="EY728" s="319" t="s">
        <v>190</v>
      </c>
      <c r="EZ728" s="319" t="s">
        <v>190</v>
      </c>
      <c r="FA728" s="319" t="s">
        <v>190</v>
      </c>
      <c r="FB728" s="319" t="s">
        <v>190</v>
      </c>
      <c r="FC728" s="319" t="s">
        <v>190</v>
      </c>
      <c r="FD728" s="319" t="s">
        <v>190</v>
      </c>
      <c r="FE728" s="319" t="s">
        <v>190</v>
      </c>
      <c r="FF728" s="319" t="s">
        <v>190</v>
      </c>
      <c r="FG728" s="319" t="s">
        <v>190</v>
      </c>
      <c r="FH728" s="319" t="s">
        <v>190</v>
      </c>
      <c r="FI728" s="319" t="s">
        <v>190</v>
      </c>
      <c r="FJ728" s="319" t="s">
        <v>190</v>
      </c>
      <c r="FK728" s="319" t="s">
        <v>190</v>
      </c>
      <c r="FL728" s="319" t="s">
        <v>190</v>
      </c>
      <c r="FM728" s="319" t="s">
        <v>190</v>
      </c>
      <c r="FN728" s="319" t="s">
        <v>190</v>
      </c>
      <c r="FO728" s="319" t="s">
        <v>190</v>
      </c>
      <c r="FP728" s="319" t="s">
        <v>190</v>
      </c>
      <c r="FQ728" s="319" t="s">
        <v>190</v>
      </c>
      <c r="FR728" s="319" t="s">
        <v>190</v>
      </c>
      <c r="FS728" s="319" t="s">
        <v>190</v>
      </c>
      <c r="FT728" s="319" t="s">
        <v>190</v>
      </c>
      <c r="FU728" s="319" t="s">
        <v>190</v>
      </c>
      <c r="FV728" s="319" t="s">
        <v>190</v>
      </c>
      <c r="FW728" s="319" t="s">
        <v>190</v>
      </c>
      <c r="FX728" s="319" t="s">
        <v>190</v>
      </c>
      <c r="FY728" s="319" t="s">
        <v>190</v>
      </c>
      <c r="FZ728" s="319" t="s">
        <v>190</v>
      </c>
      <c r="GA728" s="319" t="s">
        <v>190</v>
      </c>
      <c r="GB728" s="319" t="s">
        <v>190</v>
      </c>
      <c r="GC728" s="319" t="s">
        <v>190</v>
      </c>
      <c r="GD728" s="319" t="s">
        <v>190</v>
      </c>
      <c r="GE728" s="319" t="s">
        <v>190</v>
      </c>
      <c r="GF728" s="319" t="s">
        <v>190</v>
      </c>
      <c r="GG728" s="319" t="s">
        <v>190</v>
      </c>
      <c r="GH728" s="319" t="s">
        <v>190</v>
      </c>
      <c r="GI728" s="319" t="s">
        <v>190</v>
      </c>
      <c r="GJ728" s="319" t="s">
        <v>190</v>
      </c>
      <c r="GK728" s="319" t="s">
        <v>429</v>
      </c>
      <c r="GL728" s="319" t="s">
        <v>190</v>
      </c>
      <c r="GM728" s="319" t="s">
        <v>190</v>
      </c>
      <c r="GN728" s="319" t="s">
        <v>190</v>
      </c>
      <c r="GO728" s="319" t="s">
        <v>190</v>
      </c>
      <c r="GP728" s="319" t="s">
        <v>190</v>
      </c>
      <c r="GQ728" s="319" t="s">
        <v>190</v>
      </c>
      <c r="GR728" s="319" t="s">
        <v>190</v>
      </c>
      <c r="GS728" s="319" t="s">
        <v>190</v>
      </c>
      <c r="GT728" s="319" t="s">
        <v>190</v>
      </c>
      <c r="GU728" s="319" t="s">
        <v>190</v>
      </c>
      <c r="GV728" s="319" t="s">
        <v>190</v>
      </c>
      <c r="GW728" s="319" t="s">
        <v>190</v>
      </c>
      <c r="GX728" s="319" t="s">
        <v>190</v>
      </c>
      <c r="GY728" s="319" t="s">
        <v>190</v>
      </c>
      <c r="GZ728" s="319" t="s">
        <v>190</v>
      </c>
      <c r="HA728" s="319" t="s">
        <v>190</v>
      </c>
      <c r="HB728" s="319" t="s">
        <v>190</v>
      </c>
      <c r="HC728" s="319" t="s">
        <v>190</v>
      </c>
      <c r="HD728" s="319" t="s">
        <v>190</v>
      </c>
      <c r="HE728" s="319" t="s">
        <v>190</v>
      </c>
      <c r="HF728" s="319" t="s">
        <v>190</v>
      </c>
      <c r="HG728" s="319" t="s">
        <v>190</v>
      </c>
      <c r="HH728" s="319" t="s">
        <v>190</v>
      </c>
      <c r="HI728" s="319" t="s">
        <v>190</v>
      </c>
      <c r="HJ728" s="319" t="s">
        <v>190</v>
      </c>
      <c r="HK728" s="319" t="s">
        <v>190</v>
      </c>
      <c r="HL728" s="319" t="s">
        <v>190</v>
      </c>
      <c r="HM728" s="319" t="s">
        <v>190</v>
      </c>
      <c r="HN728" s="319" t="s">
        <v>190</v>
      </c>
      <c r="HO728" s="319" t="s">
        <v>190</v>
      </c>
      <c r="HP728" s="319" t="s">
        <v>190</v>
      </c>
      <c r="HQ728" s="319" t="s">
        <v>190</v>
      </c>
      <c r="HR728" s="319" t="s">
        <v>190</v>
      </c>
      <c r="HS728" s="319" t="s">
        <v>190</v>
      </c>
      <c r="HT728" s="319" t="s">
        <v>190</v>
      </c>
      <c r="HU728" s="319" t="s">
        <v>190</v>
      </c>
      <c r="HV728" s="319" t="s">
        <v>190</v>
      </c>
      <c r="HW728" s="319" t="s">
        <v>190</v>
      </c>
      <c r="HX728" s="319" t="s">
        <v>190</v>
      </c>
      <c r="HY728" s="319" t="s">
        <v>190</v>
      </c>
      <c r="HZ728" s="319" t="s">
        <v>190</v>
      </c>
      <c r="IA728" s="319" t="s">
        <v>190</v>
      </c>
      <c r="IB728" s="319" t="s">
        <v>190</v>
      </c>
      <c r="IC728" s="319" t="s">
        <v>190</v>
      </c>
      <c r="ID728" s="319" t="s">
        <v>190</v>
      </c>
      <c r="IE728" s="319" t="s">
        <v>190</v>
      </c>
      <c r="IF728" s="319" t="s">
        <v>190</v>
      </c>
      <c r="IG728" s="319" t="s">
        <v>190</v>
      </c>
      <c r="IH728" s="319" t="s">
        <v>190</v>
      </c>
      <c r="II728" s="319" t="s">
        <v>190</v>
      </c>
      <c r="IJ728" s="319" t="s">
        <v>3458</v>
      </c>
      <c r="IK728" s="321">
        <v>41653</v>
      </c>
      <c r="IL728" s="321">
        <v>41655</v>
      </c>
      <c r="IM728" s="321">
        <v>41675</v>
      </c>
      <c r="IN728" s="319">
        <v>2</v>
      </c>
      <c r="IO728" s="319" t="s">
        <v>173</v>
      </c>
      <c r="IP728" s="319" t="s">
        <v>173</v>
      </c>
      <c r="IQ728" s="319" t="s">
        <v>173</v>
      </c>
      <c r="IR728" s="320" t="s">
        <v>173</v>
      </c>
      <c r="IS728" s="320" t="s">
        <v>173</v>
      </c>
      <c r="IT728" s="319" t="s">
        <v>173</v>
      </c>
    </row>
    <row r="729" spans="1:254" s="271" customFormat="1" x14ac:dyDescent="0.25">
      <c r="A729" s="318" t="str">
        <f>HYPERLINK("http://www.ofsted.gov.uk/inspection-reports/find-inspection-report/provider/ELS/139417 ","Ofsted School Webpage")</f>
        <v>Ofsted School Webpage</v>
      </c>
      <c r="B729" s="319">
        <v>139417</v>
      </c>
      <c r="C729" s="319">
        <v>3156001</v>
      </c>
      <c r="D729" s="319" t="s">
        <v>2208</v>
      </c>
      <c r="E729" s="319" t="s">
        <v>167</v>
      </c>
      <c r="F729" s="319" t="s">
        <v>81</v>
      </c>
      <c r="G729" s="319" t="s">
        <v>81</v>
      </c>
      <c r="H729" s="319" t="s">
        <v>81</v>
      </c>
      <c r="I729" s="319" t="s">
        <v>78</v>
      </c>
      <c r="J729" s="319" t="s">
        <v>424</v>
      </c>
      <c r="K729" s="319" t="s">
        <v>441</v>
      </c>
      <c r="L729" s="319" t="s">
        <v>441</v>
      </c>
      <c r="M729" s="319" t="s">
        <v>1193</v>
      </c>
      <c r="N729" s="319" t="s">
        <v>2905</v>
      </c>
      <c r="O729" s="319" t="s">
        <v>2209</v>
      </c>
      <c r="P729" s="319">
        <v>57</v>
      </c>
      <c r="Q729" s="319" t="s">
        <v>2766</v>
      </c>
      <c r="R729" s="320">
        <v>10026299</v>
      </c>
      <c r="S729" s="321">
        <v>43060</v>
      </c>
      <c r="T729" s="321">
        <v>43062</v>
      </c>
      <c r="U729" s="321">
        <v>43126</v>
      </c>
      <c r="V729" s="319" t="s">
        <v>425</v>
      </c>
      <c r="W729" s="319" t="s">
        <v>2767</v>
      </c>
      <c r="X729" s="319">
        <v>2</v>
      </c>
      <c r="Y729" s="319" t="s">
        <v>173</v>
      </c>
      <c r="Z729" s="319" t="s">
        <v>173</v>
      </c>
      <c r="AA729" s="319" t="s">
        <v>173</v>
      </c>
      <c r="AB729" s="319">
        <v>2</v>
      </c>
      <c r="AC729" s="319" t="s">
        <v>169</v>
      </c>
      <c r="AD729" s="319">
        <v>2</v>
      </c>
      <c r="AE729" s="319" t="s">
        <v>173</v>
      </c>
      <c r="AF729" s="319" t="s">
        <v>427</v>
      </c>
      <c r="AG729" s="319" t="s">
        <v>171</v>
      </c>
      <c r="AH729" s="319" t="s">
        <v>190</v>
      </c>
      <c r="AI729" s="319" t="s">
        <v>190</v>
      </c>
      <c r="AJ729" s="319" t="s">
        <v>190</v>
      </c>
      <c r="AK729" s="319" t="s">
        <v>190</v>
      </c>
      <c r="AL729" s="319" t="s">
        <v>190</v>
      </c>
      <c r="AM729" s="319" t="s">
        <v>190</v>
      </c>
      <c r="AN729" s="319" t="s">
        <v>190</v>
      </c>
      <c r="AO729" s="319" t="s">
        <v>190</v>
      </c>
      <c r="AP729" s="319" t="s">
        <v>190</v>
      </c>
      <c r="AQ729" s="319" t="s">
        <v>190</v>
      </c>
      <c r="AR729" s="319" t="s">
        <v>190</v>
      </c>
      <c r="AS729" s="319" t="s">
        <v>190</v>
      </c>
      <c r="AT729" s="319" t="s">
        <v>190</v>
      </c>
      <c r="AU729" s="319" t="s">
        <v>190</v>
      </c>
      <c r="AV729" s="319" t="s">
        <v>190</v>
      </c>
      <c r="AW729" s="319" t="s">
        <v>190</v>
      </c>
      <c r="AX729" s="319" t="s">
        <v>428</v>
      </c>
      <c r="AY729" s="319" t="s">
        <v>190</v>
      </c>
      <c r="AZ729" s="319" t="s">
        <v>190</v>
      </c>
      <c r="BA729" s="319" t="s">
        <v>190</v>
      </c>
      <c r="BB729" s="319" t="s">
        <v>190</v>
      </c>
      <c r="BC729" s="319" t="s">
        <v>190</v>
      </c>
      <c r="BD729" s="319" t="s">
        <v>190</v>
      </c>
      <c r="BE729" s="319" t="s">
        <v>190</v>
      </c>
      <c r="BF729" s="319" t="s">
        <v>190</v>
      </c>
      <c r="BG729" s="319" t="s">
        <v>428</v>
      </c>
      <c r="BH729" s="319" t="s">
        <v>190</v>
      </c>
      <c r="BI729" s="319" t="s">
        <v>190</v>
      </c>
      <c r="BJ729" s="319" t="s">
        <v>190</v>
      </c>
      <c r="BK729" s="319" t="s">
        <v>190</v>
      </c>
      <c r="BL729" s="319" t="s">
        <v>190</v>
      </c>
      <c r="BM729" s="319" t="s">
        <v>190</v>
      </c>
      <c r="BN729" s="319" t="s">
        <v>190</v>
      </c>
      <c r="BO729" s="319" t="s">
        <v>190</v>
      </c>
      <c r="BP729" s="319" t="s">
        <v>190</v>
      </c>
      <c r="BQ729" s="319" t="s">
        <v>190</v>
      </c>
      <c r="BR729" s="319" t="s">
        <v>190</v>
      </c>
      <c r="BS729" s="319" t="s">
        <v>190</v>
      </c>
      <c r="BT729" s="319" t="s">
        <v>190</v>
      </c>
      <c r="BU729" s="319" t="s">
        <v>190</v>
      </c>
      <c r="BV729" s="319" t="s">
        <v>190</v>
      </c>
      <c r="BW729" s="319" t="s">
        <v>190</v>
      </c>
      <c r="BX729" s="319" t="s">
        <v>190</v>
      </c>
      <c r="BY729" s="319" t="s">
        <v>190</v>
      </c>
      <c r="BZ729" s="319" t="s">
        <v>190</v>
      </c>
      <c r="CA729" s="319" t="s">
        <v>190</v>
      </c>
      <c r="CB729" s="319" t="s">
        <v>190</v>
      </c>
      <c r="CC729" s="319" t="s">
        <v>190</v>
      </c>
      <c r="CD729" s="319" t="s">
        <v>190</v>
      </c>
      <c r="CE729" s="319" t="s">
        <v>190</v>
      </c>
      <c r="CF729" s="319" t="s">
        <v>190</v>
      </c>
      <c r="CG729" s="319" t="s">
        <v>190</v>
      </c>
      <c r="CH729" s="319" t="s">
        <v>190</v>
      </c>
      <c r="CI729" s="319" t="s">
        <v>190</v>
      </c>
      <c r="CJ729" s="319" t="s">
        <v>190</v>
      </c>
      <c r="CK729" s="319" t="s">
        <v>190</v>
      </c>
      <c r="CL729" s="319" t="s">
        <v>190</v>
      </c>
      <c r="CM729" s="319" t="s">
        <v>190</v>
      </c>
      <c r="CN729" s="319" t="s">
        <v>428</v>
      </c>
      <c r="CO729" s="319" t="s">
        <v>428</v>
      </c>
      <c r="CP729" s="319" t="s">
        <v>428</v>
      </c>
      <c r="CQ729" s="319" t="s">
        <v>190</v>
      </c>
      <c r="CR729" s="319" t="s">
        <v>190</v>
      </c>
      <c r="CS729" s="319" t="s">
        <v>190</v>
      </c>
      <c r="CT729" s="319" t="s">
        <v>190</v>
      </c>
      <c r="CU729" s="319" t="s">
        <v>190</v>
      </c>
      <c r="CV729" s="319" t="s">
        <v>190</v>
      </c>
      <c r="CW729" s="319" t="s">
        <v>190</v>
      </c>
      <c r="CX729" s="319" t="s">
        <v>190</v>
      </c>
      <c r="CY729" s="319" t="s">
        <v>190</v>
      </c>
      <c r="CZ729" s="319" t="s">
        <v>190</v>
      </c>
      <c r="DA729" s="319" t="s">
        <v>190</v>
      </c>
      <c r="DB729" s="319" t="s">
        <v>190</v>
      </c>
      <c r="DC729" s="319" t="s">
        <v>190</v>
      </c>
      <c r="DD729" s="319" t="s">
        <v>190</v>
      </c>
      <c r="DE729" s="319" t="s">
        <v>190</v>
      </c>
      <c r="DF729" s="319" t="s">
        <v>190</v>
      </c>
      <c r="DG729" s="319" t="s">
        <v>190</v>
      </c>
      <c r="DH729" s="319" t="s">
        <v>190</v>
      </c>
      <c r="DI729" s="319" t="s">
        <v>190</v>
      </c>
      <c r="DJ729" s="319" t="s">
        <v>190</v>
      </c>
      <c r="DK729" s="319" t="s">
        <v>190</v>
      </c>
      <c r="DL729" s="319" t="s">
        <v>190</v>
      </c>
      <c r="DM729" s="319" t="s">
        <v>190</v>
      </c>
      <c r="DN729" s="319" t="s">
        <v>428</v>
      </c>
      <c r="DO729" s="319" t="s">
        <v>190</v>
      </c>
      <c r="DP729" s="319" t="s">
        <v>428</v>
      </c>
      <c r="DQ729" s="319" t="s">
        <v>428</v>
      </c>
      <c r="DR729" s="319" t="s">
        <v>428</v>
      </c>
      <c r="DS729" s="319" t="s">
        <v>428</v>
      </c>
      <c r="DT729" s="319" t="s">
        <v>428</v>
      </c>
      <c r="DU729" s="319" t="s">
        <v>428</v>
      </c>
      <c r="DV729" s="319" t="s">
        <v>173</v>
      </c>
      <c r="DW729" s="319" t="s">
        <v>428</v>
      </c>
      <c r="DX729" s="319" t="s">
        <v>428</v>
      </c>
      <c r="DY729" s="319" t="s">
        <v>428</v>
      </c>
      <c r="DZ729" s="319" t="s">
        <v>428</v>
      </c>
      <c r="EA729" s="319" t="s">
        <v>428</v>
      </c>
      <c r="EB729" s="319" t="s">
        <v>428</v>
      </c>
      <c r="EC729" s="319" t="s">
        <v>428</v>
      </c>
      <c r="ED729" s="319" t="s">
        <v>428</v>
      </c>
      <c r="EE729" s="319" t="s">
        <v>190</v>
      </c>
      <c r="EF729" s="319" t="s">
        <v>190</v>
      </c>
      <c r="EG729" s="319" t="s">
        <v>190</v>
      </c>
      <c r="EH729" s="319" t="s">
        <v>190</v>
      </c>
      <c r="EI729" s="319" t="s">
        <v>190</v>
      </c>
      <c r="EJ729" s="319" t="s">
        <v>190</v>
      </c>
      <c r="EK729" s="319" t="s">
        <v>190</v>
      </c>
      <c r="EL729" s="319" t="s">
        <v>190</v>
      </c>
      <c r="EM729" s="319" t="s">
        <v>190</v>
      </c>
      <c r="EN729" s="319" t="s">
        <v>190</v>
      </c>
      <c r="EO729" s="319" t="s">
        <v>190</v>
      </c>
      <c r="EP729" s="319" t="s">
        <v>190</v>
      </c>
      <c r="EQ729" s="319" t="s">
        <v>190</v>
      </c>
      <c r="ER729" s="319" t="s">
        <v>190</v>
      </c>
      <c r="ES729" s="319" t="s">
        <v>190</v>
      </c>
      <c r="ET729" s="319" t="s">
        <v>190</v>
      </c>
      <c r="EU729" s="319" t="s">
        <v>190</v>
      </c>
      <c r="EV729" s="319" t="s">
        <v>190</v>
      </c>
      <c r="EW729" s="319" t="s">
        <v>190</v>
      </c>
      <c r="EX729" s="319" t="s">
        <v>190</v>
      </c>
      <c r="EY729" s="319" t="s">
        <v>190</v>
      </c>
      <c r="EZ729" s="319" t="s">
        <v>190</v>
      </c>
      <c r="FA729" s="319" t="s">
        <v>190</v>
      </c>
      <c r="FB729" s="319" t="s">
        <v>428</v>
      </c>
      <c r="FC729" s="319" t="s">
        <v>428</v>
      </c>
      <c r="FD729" s="319" t="s">
        <v>428</v>
      </c>
      <c r="FE729" s="319" t="s">
        <v>428</v>
      </c>
      <c r="FF729" s="319" t="s">
        <v>428</v>
      </c>
      <c r="FG729" s="319" t="s">
        <v>428</v>
      </c>
      <c r="FH729" s="319" t="s">
        <v>190</v>
      </c>
      <c r="FI729" s="319" t="s">
        <v>190</v>
      </c>
      <c r="FJ729" s="319" t="s">
        <v>190</v>
      </c>
      <c r="FK729" s="319" t="s">
        <v>190</v>
      </c>
      <c r="FL729" s="319" t="s">
        <v>190</v>
      </c>
      <c r="FM729" s="319" t="s">
        <v>190</v>
      </c>
      <c r="FN729" s="319" t="s">
        <v>190</v>
      </c>
      <c r="FO729" s="319" t="s">
        <v>190</v>
      </c>
      <c r="FP729" s="319" t="s">
        <v>190</v>
      </c>
      <c r="FQ729" s="319" t="s">
        <v>190</v>
      </c>
      <c r="FR729" s="319" t="s">
        <v>190</v>
      </c>
      <c r="FS729" s="319" t="s">
        <v>428</v>
      </c>
      <c r="FT729" s="319" t="s">
        <v>190</v>
      </c>
      <c r="FU729" s="319" t="s">
        <v>190</v>
      </c>
      <c r="FV729" s="319" t="s">
        <v>190</v>
      </c>
      <c r="FW729" s="319" t="s">
        <v>190</v>
      </c>
      <c r="FX729" s="319" t="s">
        <v>190</v>
      </c>
      <c r="FY729" s="319" t="s">
        <v>190</v>
      </c>
      <c r="FZ729" s="319" t="s">
        <v>190</v>
      </c>
      <c r="GA729" s="319" t="s">
        <v>190</v>
      </c>
      <c r="GB729" s="319" t="s">
        <v>190</v>
      </c>
      <c r="GC729" s="319" t="s">
        <v>190</v>
      </c>
      <c r="GD729" s="319" t="s">
        <v>190</v>
      </c>
      <c r="GE729" s="319" t="s">
        <v>190</v>
      </c>
      <c r="GF729" s="319" t="s">
        <v>190</v>
      </c>
      <c r="GG729" s="319" t="s">
        <v>190</v>
      </c>
      <c r="GH729" s="319" t="s">
        <v>190</v>
      </c>
      <c r="GI729" s="319" t="s">
        <v>190</v>
      </c>
      <c r="GJ729" s="319" t="s">
        <v>190</v>
      </c>
      <c r="GK729" s="319" t="s">
        <v>428</v>
      </c>
      <c r="GL729" s="319" t="s">
        <v>190</v>
      </c>
      <c r="GM729" s="319" t="s">
        <v>190</v>
      </c>
      <c r="GN729" s="319" t="s">
        <v>190</v>
      </c>
      <c r="GO729" s="319" t="s">
        <v>190</v>
      </c>
      <c r="GP729" s="319" t="s">
        <v>190</v>
      </c>
      <c r="GQ729" s="319" t="s">
        <v>190</v>
      </c>
      <c r="GR729" s="319" t="s">
        <v>190</v>
      </c>
      <c r="GS729" s="319" t="s">
        <v>190</v>
      </c>
      <c r="GT729" s="319" t="s">
        <v>428</v>
      </c>
      <c r="GU729" s="319" t="s">
        <v>428</v>
      </c>
      <c r="GV729" s="319" t="s">
        <v>190</v>
      </c>
      <c r="GW729" s="319" t="s">
        <v>190</v>
      </c>
      <c r="GX729" s="319" t="s">
        <v>190</v>
      </c>
      <c r="GY729" s="319" t="s">
        <v>190</v>
      </c>
      <c r="GZ729" s="319" t="s">
        <v>190</v>
      </c>
      <c r="HA729" s="319" t="s">
        <v>190</v>
      </c>
      <c r="HB729" s="319" t="s">
        <v>190</v>
      </c>
      <c r="HC729" s="319" t="s">
        <v>190</v>
      </c>
      <c r="HD729" s="319" t="s">
        <v>190</v>
      </c>
      <c r="HE729" s="319" t="s">
        <v>190</v>
      </c>
      <c r="HF729" s="319" t="s">
        <v>190</v>
      </c>
      <c r="HG729" s="319" t="s">
        <v>190</v>
      </c>
      <c r="HH729" s="319" t="s">
        <v>190</v>
      </c>
      <c r="HI729" s="319" t="s">
        <v>190</v>
      </c>
      <c r="HJ729" s="319" t="s">
        <v>190</v>
      </c>
      <c r="HK729" s="319" t="s">
        <v>190</v>
      </c>
      <c r="HL729" s="319" t="s">
        <v>190</v>
      </c>
      <c r="HM729" s="319" t="s">
        <v>190</v>
      </c>
      <c r="HN729" s="319" t="s">
        <v>190</v>
      </c>
      <c r="HO729" s="319" t="s">
        <v>190</v>
      </c>
      <c r="HP729" s="319" t="s">
        <v>190</v>
      </c>
      <c r="HQ729" s="319" t="s">
        <v>190</v>
      </c>
      <c r="HR729" s="319" t="s">
        <v>190</v>
      </c>
      <c r="HS729" s="319" t="s">
        <v>190</v>
      </c>
      <c r="HT729" s="319" t="s">
        <v>190</v>
      </c>
      <c r="HU729" s="319" t="s">
        <v>190</v>
      </c>
      <c r="HV729" s="319" t="s">
        <v>190</v>
      </c>
      <c r="HW729" s="319" t="s">
        <v>190</v>
      </c>
      <c r="HX729" s="319" t="s">
        <v>190</v>
      </c>
      <c r="HY729" s="319" t="s">
        <v>190</v>
      </c>
      <c r="HZ729" s="319" t="s">
        <v>190</v>
      </c>
      <c r="IA729" s="319" t="s">
        <v>190</v>
      </c>
      <c r="IB729" s="319" t="s">
        <v>190</v>
      </c>
      <c r="IC729" s="319" t="s">
        <v>190</v>
      </c>
      <c r="ID729" s="319" t="s">
        <v>190</v>
      </c>
      <c r="IE729" s="319" t="s">
        <v>190</v>
      </c>
      <c r="IF729" s="319" t="s">
        <v>190</v>
      </c>
      <c r="IG729" s="319" t="s">
        <v>190</v>
      </c>
      <c r="IH729" s="319" t="s">
        <v>190</v>
      </c>
      <c r="II729" s="319" t="s">
        <v>190</v>
      </c>
      <c r="IJ729" s="319" t="s">
        <v>3459</v>
      </c>
      <c r="IK729" s="321">
        <v>41667</v>
      </c>
      <c r="IL729" s="321">
        <v>41669</v>
      </c>
      <c r="IM729" s="321">
        <v>41703</v>
      </c>
      <c r="IN729" s="319">
        <v>1</v>
      </c>
      <c r="IO729" s="319" t="s">
        <v>173</v>
      </c>
      <c r="IP729" s="319" t="s">
        <v>173</v>
      </c>
      <c r="IQ729" s="321" t="s">
        <v>173</v>
      </c>
      <c r="IR729" s="320" t="s">
        <v>173</v>
      </c>
      <c r="IS729" s="322" t="s">
        <v>173</v>
      </c>
      <c r="IT729" s="319" t="s">
        <v>173</v>
      </c>
    </row>
    <row r="730" spans="1:254" s="271" customFormat="1" x14ac:dyDescent="0.25">
      <c r="A730" s="318" t="str">
        <f>HYPERLINK("http://www.ofsted.gov.uk/inspection-reports/find-inspection-report/provider/ELS/139419 ","Ofsted School Webpage")</f>
        <v>Ofsted School Webpage</v>
      </c>
      <c r="B730" s="319">
        <v>139419</v>
      </c>
      <c r="C730" s="319">
        <v>9376024</v>
      </c>
      <c r="D730" s="319" t="s">
        <v>2210</v>
      </c>
      <c r="E730" s="319" t="s">
        <v>168</v>
      </c>
      <c r="F730" s="319" t="s">
        <v>81</v>
      </c>
      <c r="G730" s="319" t="s">
        <v>81</v>
      </c>
      <c r="H730" s="319" t="s">
        <v>81</v>
      </c>
      <c r="I730" s="319" t="s">
        <v>78</v>
      </c>
      <c r="J730" s="319" t="s">
        <v>424</v>
      </c>
      <c r="K730" s="319" t="s">
        <v>437</v>
      </c>
      <c r="L730" s="319" t="s">
        <v>437</v>
      </c>
      <c r="M730" s="319" t="s">
        <v>438</v>
      </c>
      <c r="N730" s="319" t="s">
        <v>3348</v>
      </c>
      <c r="O730" s="319" t="s">
        <v>2211</v>
      </c>
      <c r="P730" s="319">
        <v>12</v>
      </c>
      <c r="Q730" s="319" t="s">
        <v>429</v>
      </c>
      <c r="R730" s="320">
        <v>10026112</v>
      </c>
      <c r="S730" s="321">
        <v>43284</v>
      </c>
      <c r="T730" s="321">
        <v>43286</v>
      </c>
      <c r="U730" s="321">
        <v>43376</v>
      </c>
      <c r="V730" s="319" t="s">
        <v>425</v>
      </c>
      <c r="W730" s="319" t="s">
        <v>2767</v>
      </c>
      <c r="X730" s="319">
        <v>4</v>
      </c>
      <c r="Y730" s="319" t="s">
        <v>173</v>
      </c>
      <c r="Z730" s="319" t="s">
        <v>173</v>
      </c>
      <c r="AA730" s="319" t="s">
        <v>173</v>
      </c>
      <c r="AB730" s="319">
        <v>4</v>
      </c>
      <c r="AC730" s="319" t="s">
        <v>170</v>
      </c>
      <c r="AD730" s="319" t="s">
        <v>173</v>
      </c>
      <c r="AE730" s="319" t="s">
        <v>173</v>
      </c>
      <c r="AF730" s="319" t="s">
        <v>173</v>
      </c>
      <c r="AG730" s="319" t="s">
        <v>172</v>
      </c>
      <c r="AH730" s="319" t="s">
        <v>479</v>
      </c>
      <c r="AI730" s="319" t="s">
        <v>190</v>
      </c>
      <c r="AJ730" s="319" t="s">
        <v>479</v>
      </c>
      <c r="AK730" s="319" t="s">
        <v>190</v>
      </c>
      <c r="AL730" s="319" t="s">
        <v>479</v>
      </c>
      <c r="AM730" s="319" t="s">
        <v>190</v>
      </c>
      <c r="AN730" s="319" t="s">
        <v>190</v>
      </c>
      <c r="AO730" s="319" t="s">
        <v>479</v>
      </c>
      <c r="AP730" s="319" t="s">
        <v>191</v>
      </c>
      <c r="AQ730" s="319" t="s">
        <v>191</v>
      </c>
      <c r="AR730" s="319" t="s">
        <v>191</v>
      </c>
      <c r="AS730" s="319" t="s">
        <v>191</v>
      </c>
      <c r="AT730" s="319" t="s">
        <v>190</v>
      </c>
      <c r="AU730" s="319" t="s">
        <v>190</v>
      </c>
      <c r="AV730" s="319" t="s">
        <v>190</v>
      </c>
      <c r="AW730" s="319" t="s">
        <v>190</v>
      </c>
      <c r="AX730" s="319" t="s">
        <v>429</v>
      </c>
      <c r="AY730" s="319" t="s">
        <v>190</v>
      </c>
      <c r="AZ730" s="319" t="s">
        <v>190</v>
      </c>
      <c r="BA730" s="319" t="s">
        <v>190</v>
      </c>
      <c r="BB730" s="319" t="s">
        <v>190</v>
      </c>
      <c r="BC730" s="319" t="s">
        <v>190</v>
      </c>
      <c r="BD730" s="319" t="s">
        <v>190</v>
      </c>
      <c r="BE730" s="319" t="s">
        <v>190</v>
      </c>
      <c r="BF730" s="319" t="s">
        <v>429</v>
      </c>
      <c r="BG730" s="319" t="s">
        <v>190</v>
      </c>
      <c r="BH730" s="319" t="s">
        <v>190</v>
      </c>
      <c r="BI730" s="319" t="s">
        <v>190</v>
      </c>
      <c r="BJ730" s="319" t="s">
        <v>191</v>
      </c>
      <c r="BK730" s="319" t="s">
        <v>191</v>
      </c>
      <c r="BL730" s="319" t="s">
        <v>190</v>
      </c>
      <c r="BM730" s="319" t="s">
        <v>190</v>
      </c>
      <c r="BN730" s="319" t="s">
        <v>191</v>
      </c>
      <c r="BO730" s="319" t="s">
        <v>190</v>
      </c>
      <c r="BP730" s="319" t="s">
        <v>190</v>
      </c>
      <c r="BQ730" s="319" t="s">
        <v>190</v>
      </c>
      <c r="BR730" s="319" t="s">
        <v>190</v>
      </c>
      <c r="BS730" s="319" t="s">
        <v>190</v>
      </c>
      <c r="BT730" s="319" t="s">
        <v>190</v>
      </c>
      <c r="BU730" s="319" t="s">
        <v>190</v>
      </c>
      <c r="BV730" s="319" t="s">
        <v>190</v>
      </c>
      <c r="BW730" s="319" t="s">
        <v>190</v>
      </c>
      <c r="BX730" s="319" t="s">
        <v>190</v>
      </c>
      <c r="BY730" s="319" t="s">
        <v>190</v>
      </c>
      <c r="BZ730" s="319" t="s">
        <v>190</v>
      </c>
      <c r="CA730" s="319" t="s">
        <v>190</v>
      </c>
      <c r="CB730" s="319" t="s">
        <v>190</v>
      </c>
      <c r="CC730" s="319" t="s">
        <v>190</v>
      </c>
      <c r="CD730" s="319" t="s">
        <v>190</v>
      </c>
      <c r="CE730" s="319" t="s">
        <v>190</v>
      </c>
      <c r="CF730" s="319" t="s">
        <v>190</v>
      </c>
      <c r="CG730" s="319" t="s">
        <v>190</v>
      </c>
      <c r="CH730" s="319" t="s">
        <v>190</v>
      </c>
      <c r="CI730" s="319" t="s">
        <v>190</v>
      </c>
      <c r="CJ730" s="319" t="s">
        <v>190</v>
      </c>
      <c r="CK730" s="319" t="s">
        <v>191</v>
      </c>
      <c r="CL730" s="319" t="s">
        <v>191</v>
      </c>
      <c r="CM730" s="319" t="s">
        <v>191</v>
      </c>
      <c r="CN730" s="319" t="s">
        <v>429</v>
      </c>
      <c r="CO730" s="319" t="s">
        <v>529</v>
      </c>
      <c r="CP730" s="319" t="s">
        <v>429</v>
      </c>
      <c r="CQ730" s="319" t="s">
        <v>190</v>
      </c>
      <c r="CR730" s="319" t="s">
        <v>190</v>
      </c>
      <c r="CS730" s="319" t="s">
        <v>190</v>
      </c>
      <c r="CT730" s="319" t="s">
        <v>190</v>
      </c>
      <c r="CU730" s="319" t="s">
        <v>190</v>
      </c>
      <c r="CV730" s="319" t="s">
        <v>191</v>
      </c>
      <c r="CW730" s="319" t="s">
        <v>191</v>
      </c>
      <c r="CX730" s="319" t="s">
        <v>190</v>
      </c>
      <c r="CY730" s="319" t="s">
        <v>190</v>
      </c>
      <c r="CZ730" s="319" t="s">
        <v>190</v>
      </c>
      <c r="DA730" s="319" t="s">
        <v>190</v>
      </c>
      <c r="DB730" s="319" t="s">
        <v>190</v>
      </c>
      <c r="DC730" s="319" t="s">
        <v>190</v>
      </c>
      <c r="DD730" s="319" t="s">
        <v>190</v>
      </c>
      <c r="DE730" s="319" t="s">
        <v>190</v>
      </c>
      <c r="DF730" s="319" t="s">
        <v>190</v>
      </c>
      <c r="DG730" s="319" t="s">
        <v>190</v>
      </c>
      <c r="DH730" s="319" t="s">
        <v>190</v>
      </c>
      <c r="DI730" s="319" t="s">
        <v>190</v>
      </c>
      <c r="DJ730" s="319" t="s">
        <v>190</v>
      </c>
      <c r="DK730" s="319" t="s">
        <v>190</v>
      </c>
      <c r="DL730" s="319" t="s">
        <v>190</v>
      </c>
      <c r="DM730" s="319" t="s">
        <v>190</v>
      </c>
      <c r="DN730" s="319" t="s">
        <v>429</v>
      </c>
      <c r="DO730" s="319" t="s">
        <v>190</v>
      </c>
      <c r="DP730" s="319" t="s">
        <v>190</v>
      </c>
      <c r="DQ730" s="319" t="s">
        <v>190</v>
      </c>
      <c r="DR730" s="319" t="s">
        <v>190</v>
      </c>
      <c r="DS730" s="319" t="s">
        <v>190</v>
      </c>
      <c r="DT730" s="319" t="s">
        <v>190</v>
      </c>
      <c r="DU730" s="319" t="s">
        <v>190</v>
      </c>
      <c r="DV730" s="319" t="s">
        <v>173</v>
      </c>
      <c r="DW730" s="319" t="s">
        <v>190</v>
      </c>
      <c r="DX730" s="319" t="s">
        <v>190</v>
      </c>
      <c r="DY730" s="319" t="s">
        <v>190</v>
      </c>
      <c r="DZ730" s="319" t="s">
        <v>190</v>
      </c>
      <c r="EA730" s="319" t="s">
        <v>190</v>
      </c>
      <c r="EB730" s="319" t="s">
        <v>190</v>
      </c>
      <c r="EC730" s="319" t="s">
        <v>190</v>
      </c>
      <c r="ED730" s="319" t="s">
        <v>190</v>
      </c>
      <c r="EE730" s="319" t="s">
        <v>190</v>
      </c>
      <c r="EF730" s="319" t="s">
        <v>190</v>
      </c>
      <c r="EG730" s="319" t="s">
        <v>190</v>
      </c>
      <c r="EH730" s="319" t="s">
        <v>190</v>
      </c>
      <c r="EI730" s="319" t="s">
        <v>190</v>
      </c>
      <c r="EJ730" s="319" t="s">
        <v>190</v>
      </c>
      <c r="EK730" s="319" t="s">
        <v>190</v>
      </c>
      <c r="EL730" s="319" t="s">
        <v>190</v>
      </c>
      <c r="EM730" s="319" t="s">
        <v>190</v>
      </c>
      <c r="EN730" s="319" t="s">
        <v>190</v>
      </c>
      <c r="EO730" s="319" t="s">
        <v>190</v>
      </c>
      <c r="EP730" s="319" t="s">
        <v>529</v>
      </c>
      <c r="EQ730" s="319" t="s">
        <v>190</v>
      </c>
      <c r="ER730" s="319" t="s">
        <v>190</v>
      </c>
      <c r="ES730" s="319" t="s">
        <v>190</v>
      </c>
      <c r="ET730" s="319" t="s">
        <v>190</v>
      </c>
      <c r="EU730" s="319" t="s">
        <v>190</v>
      </c>
      <c r="EV730" s="319" t="s">
        <v>190</v>
      </c>
      <c r="EW730" s="319" t="s">
        <v>190</v>
      </c>
      <c r="EX730" s="319" t="s">
        <v>190</v>
      </c>
      <c r="EY730" s="319" t="s">
        <v>190</v>
      </c>
      <c r="EZ730" s="319" t="s">
        <v>190</v>
      </c>
      <c r="FA730" s="319" t="s">
        <v>429</v>
      </c>
      <c r="FB730" s="319" t="s">
        <v>190</v>
      </c>
      <c r="FC730" s="319" t="s">
        <v>190</v>
      </c>
      <c r="FD730" s="319" t="s">
        <v>190</v>
      </c>
      <c r="FE730" s="319" t="s">
        <v>190</v>
      </c>
      <c r="FF730" s="319" t="s">
        <v>190</v>
      </c>
      <c r="FG730" s="319" t="s">
        <v>190</v>
      </c>
      <c r="FH730" s="319" t="s">
        <v>190</v>
      </c>
      <c r="FI730" s="319" t="s">
        <v>190</v>
      </c>
      <c r="FJ730" s="319" t="s">
        <v>190</v>
      </c>
      <c r="FK730" s="319" t="s">
        <v>190</v>
      </c>
      <c r="FL730" s="319" t="s">
        <v>190</v>
      </c>
      <c r="FM730" s="319" t="s">
        <v>190</v>
      </c>
      <c r="FN730" s="319" t="s">
        <v>190</v>
      </c>
      <c r="FO730" s="319" t="s">
        <v>190</v>
      </c>
      <c r="FP730" s="319" t="s">
        <v>190</v>
      </c>
      <c r="FQ730" s="319" t="s">
        <v>190</v>
      </c>
      <c r="FR730" s="319" t="s">
        <v>190</v>
      </c>
      <c r="FS730" s="319" t="s">
        <v>429</v>
      </c>
      <c r="FT730" s="319" t="s">
        <v>429</v>
      </c>
      <c r="FU730" s="319" t="s">
        <v>191</v>
      </c>
      <c r="FV730" s="319" t="s">
        <v>190</v>
      </c>
      <c r="FW730" s="319" t="s">
        <v>190</v>
      </c>
      <c r="FX730" s="319" t="s">
        <v>190</v>
      </c>
      <c r="FY730" s="319" t="s">
        <v>190</v>
      </c>
      <c r="FZ730" s="319" t="s">
        <v>191</v>
      </c>
      <c r="GA730" s="319" t="s">
        <v>190</v>
      </c>
      <c r="GB730" s="319" t="s">
        <v>190</v>
      </c>
      <c r="GC730" s="319" t="s">
        <v>191</v>
      </c>
      <c r="GD730" s="319" t="s">
        <v>191</v>
      </c>
      <c r="GE730" s="319" t="s">
        <v>529</v>
      </c>
      <c r="GF730" s="319" t="s">
        <v>190</v>
      </c>
      <c r="GG730" s="319" t="s">
        <v>190</v>
      </c>
      <c r="GH730" s="319" t="s">
        <v>190</v>
      </c>
      <c r="GI730" s="319" t="s">
        <v>190</v>
      </c>
      <c r="GJ730" s="319" t="s">
        <v>190</v>
      </c>
      <c r="GK730" s="319" t="s">
        <v>429</v>
      </c>
      <c r="GL730" s="319" t="s">
        <v>190</v>
      </c>
      <c r="GM730" s="319" t="s">
        <v>190</v>
      </c>
      <c r="GN730" s="319" t="s">
        <v>190</v>
      </c>
      <c r="GO730" s="319" t="s">
        <v>190</v>
      </c>
      <c r="GP730" s="319" t="s">
        <v>190</v>
      </c>
      <c r="GQ730" s="319" t="s">
        <v>190</v>
      </c>
      <c r="GR730" s="319" t="s">
        <v>190</v>
      </c>
      <c r="GS730" s="319" t="s">
        <v>190</v>
      </c>
      <c r="GT730" s="319" t="s">
        <v>190</v>
      </c>
      <c r="GU730" s="319" t="s">
        <v>190</v>
      </c>
      <c r="GV730" s="319" t="s">
        <v>190</v>
      </c>
      <c r="GW730" s="319" t="s">
        <v>190</v>
      </c>
      <c r="GX730" s="319" t="s">
        <v>190</v>
      </c>
      <c r="GY730" s="319" t="s">
        <v>190</v>
      </c>
      <c r="GZ730" s="319" t="s">
        <v>190</v>
      </c>
      <c r="HA730" s="319" t="s">
        <v>190</v>
      </c>
      <c r="HB730" s="319" t="s">
        <v>190</v>
      </c>
      <c r="HC730" s="319" t="s">
        <v>190</v>
      </c>
      <c r="HD730" s="319" t="s">
        <v>190</v>
      </c>
      <c r="HE730" s="319" t="s">
        <v>190</v>
      </c>
      <c r="HF730" s="319" t="s">
        <v>190</v>
      </c>
      <c r="HG730" s="319" t="s">
        <v>190</v>
      </c>
      <c r="HH730" s="319" t="s">
        <v>190</v>
      </c>
      <c r="HI730" s="319" t="s">
        <v>190</v>
      </c>
      <c r="HJ730" s="319" t="s">
        <v>190</v>
      </c>
      <c r="HK730" s="319" t="s">
        <v>190</v>
      </c>
      <c r="HL730" s="319" t="s">
        <v>190</v>
      </c>
      <c r="HM730" s="319" t="s">
        <v>190</v>
      </c>
      <c r="HN730" s="319" t="s">
        <v>190</v>
      </c>
      <c r="HO730" s="319" t="s">
        <v>190</v>
      </c>
      <c r="HP730" s="319" t="s">
        <v>190</v>
      </c>
      <c r="HQ730" s="319" t="s">
        <v>190</v>
      </c>
      <c r="HR730" s="319" t="s">
        <v>190</v>
      </c>
      <c r="HS730" s="319" t="s">
        <v>190</v>
      </c>
      <c r="HT730" s="319" t="s">
        <v>190</v>
      </c>
      <c r="HU730" s="319" t="s">
        <v>190</v>
      </c>
      <c r="HV730" s="319" t="s">
        <v>190</v>
      </c>
      <c r="HW730" s="319" t="s">
        <v>190</v>
      </c>
      <c r="HX730" s="319" t="s">
        <v>190</v>
      </c>
      <c r="HY730" s="319" t="s">
        <v>190</v>
      </c>
      <c r="HZ730" s="319" t="s">
        <v>190</v>
      </c>
      <c r="IA730" s="319" t="s">
        <v>190</v>
      </c>
      <c r="IB730" s="319" t="s">
        <v>190</v>
      </c>
      <c r="IC730" s="319" t="s">
        <v>190</v>
      </c>
      <c r="ID730" s="319" t="s">
        <v>190</v>
      </c>
      <c r="IE730" s="319" t="s">
        <v>190</v>
      </c>
      <c r="IF730" s="319" t="s">
        <v>191</v>
      </c>
      <c r="IG730" s="319" t="s">
        <v>191</v>
      </c>
      <c r="IH730" s="319" t="s">
        <v>191</v>
      </c>
      <c r="II730" s="319" t="s">
        <v>191</v>
      </c>
      <c r="IJ730" s="319" t="s">
        <v>3460</v>
      </c>
      <c r="IK730" s="321">
        <v>41702</v>
      </c>
      <c r="IL730" s="321">
        <v>41704</v>
      </c>
      <c r="IM730" s="321">
        <v>41723</v>
      </c>
      <c r="IN730" s="319">
        <v>2</v>
      </c>
      <c r="IO730" s="319">
        <v>10113241</v>
      </c>
      <c r="IP730" s="319" t="s">
        <v>985</v>
      </c>
      <c r="IQ730" s="321">
        <v>43746</v>
      </c>
      <c r="IR730" s="320" t="s">
        <v>2771</v>
      </c>
      <c r="IS730" s="322">
        <v>43782</v>
      </c>
      <c r="IT730" s="319" t="s">
        <v>166</v>
      </c>
    </row>
    <row r="731" spans="1:254" s="271" customFormat="1" x14ac:dyDescent="0.25">
      <c r="A731" s="318" t="str">
        <f>HYPERLINK("http://www.ofsted.gov.uk/inspection-reports/find-inspection-report/provider/ELS/139426 ","Ofsted School Webpage")</f>
        <v>Ofsted School Webpage</v>
      </c>
      <c r="B731" s="319">
        <v>139426</v>
      </c>
      <c r="C731" s="319">
        <v>8886058</v>
      </c>
      <c r="D731" s="319" t="s">
        <v>2212</v>
      </c>
      <c r="E731" s="319" t="s">
        <v>167</v>
      </c>
      <c r="F731" s="319" t="s">
        <v>81</v>
      </c>
      <c r="G731" s="319" t="s">
        <v>81</v>
      </c>
      <c r="H731" s="319" t="s">
        <v>81</v>
      </c>
      <c r="I731" s="319" t="s">
        <v>78</v>
      </c>
      <c r="J731" s="319" t="s">
        <v>424</v>
      </c>
      <c r="K731" s="319" t="s">
        <v>431</v>
      </c>
      <c r="L731" s="319" t="s">
        <v>431</v>
      </c>
      <c r="M731" s="319" t="s">
        <v>469</v>
      </c>
      <c r="N731" s="319" t="s">
        <v>3461</v>
      </c>
      <c r="O731" s="319" t="s">
        <v>2213</v>
      </c>
      <c r="P731" s="319">
        <v>1</v>
      </c>
      <c r="Q731" s="319" t="s">
        <v>2766</v>
      </c>
      <c r="R731" s="320">
        <v>10092584</v>
      </c>
      <c r="S731" s="321">
        <v>43585</v>
      </c>
      <c r="T731" s="321">
        <v>43586</v>
      </c>
      <c r="U731" s="321">
        <v>43620</v>
      </c>
      <c r="V731" s="319" t="s">
        <v>425</v>
      </c>
      <c r="W731" s="319" t="s">
        <v>2767</v>
      </c>
      <c r="X731" s="319">
        <v>2</v>
      </c>
      <c r="Y731" s="319" t="s">
        <v>173</v>
      </c>
      <c r="Z731" s="319" t="s">
        <v>173</v>
      </c>
      <c r="AA731" s="319" t="s">
        <v>173</v>
      </c>
      <c r="AB731" s="319">
        <v>2</v>
      </c>
      <c r="AC731" s="319" t="s">
        <v>169</v>
      </c>
      <c r="AD731" s="319" t="s">
        <v>173</v>
      </c>
      <c r="AE731" s="319" t="s">
        <v>173</v>
      </c>
      <c r="AF731" s="319" t="s">
        <v>427</v>
      </c>
      <c r="AG731" s="319" t="s">
        <v>171</v>
      </c>
      <c r="AH731" s="319" t="s">
        <v>190</v>
      </c>
      <c r="AI731" s="319" t="s">
        <v>190</v>
      </c>
      <c r="AJ731" s="319" t="s">
        <v>190</v>
      </c>
      <c r="AK731" s="319" t="s">
        <v>190</v>
      </c>
      <c r="AL731" s="319" t="s">
        <v>190</v>
      </c>
      <c r="AM731" s="319" t="s">
        <v>190</v>
      </c>
      <c r="AN731" s="319" t="s">
        <v>190</v>
      </c>
      <c r="AO731" s="319" t="s">
        <v>190</v>
      </c>
      <c r="AP731" s="319" t="s">
        <v>190</v>
      </c>
      <c r="AQ731" s="319" t="s">
        <v>190</v>
      </c>
      <c r="AR731" s="319" t="s">
        <v>190</v>
      </c>
      <c r="AS731" s="319" t="s">
        <v>190</v>
      </c>
      <c r="AT731" s="319" t="s">
        <v>190</v>
      </c>
      <c r="AU731" s="319" t="s">
        <v>190</v>
      </c>
      <c r="AV731" s="319" t="s">
        <v>190</v>
      </c>
      <c r="AW731" s="319" t="s">
        <v>190</v>
      </c>
      <c r="AX731" s="319" t="s">
        <v>428</v>
      </c>
      <c r="AY731" s="319" t="s">
        <v>190</v>
      </c>
      <c r="AZ731" s="319" t="s">
        <v>190</v>
      </c>
      <c r="BA731" s="319" t="s">
        <v>190</v>
      </c>
      <c r="BB731" s="319" t="s">
        <v>190</v>
      </c>
      <c r="BC731" s="319" t="s">
        <v>190</v>
      </c>
      <c r="BD731" s="319" t="s">
        <v>190</v>
      </c>
      <c r="BE731" s="319" t="s">
        <v>190</v>
      </c>
      <c r="BF731" s="319" t="s">
        <v>428</v>
      </c>
      <c r="BG731" s="319" t="s">
        <v>428</v>
      </c>
      <c r="BH731" s="319" t="s">
        <v>190</v>
      </c>
      <c r="BI731" s="319" t="s">
        <v>190</v>
      </c>
      <c r="BJ731" s="319" t="s">
        <v>190</v>
      </c>
      <c r="BK731" s="319" t="s">
        <v>190</v>
      </c>
      <c r="BL731" s="319" t="s">
        <v>190</v>
      </c>
      <c r="BM731" s="319" t="s">
        <v>190</v>
      </c>
      <c r="BN731" s="319" t="s">
        <v>190</v>
      </c>
      <c r="BO731" s="319" t="s">
        <v>190</v>
      </c>
      <c r="BP731" s="319" t="s">
        <v>190</v>
      </c>
      <c r="BQ731" s="319" t="s">
        <v>190</v>
      </c>
      <c r="BR731" s="319" t="s">
        <v>190</v>
      </c>
      <c r="BS731" s="319" t="s">
        <v>190</v>
      </c>
      <c r="BT731" s="319" t="s">
        <v>190</v>
      </c>
      <c r="BU731" s="319" t="s">
        <v>190</v>
      </c>
      <c r="BV731" s="319" t="s">
        <v>190</v>
      </c>
      <c r="BW731" s="319" t="s">
        <v>190</v>
      </c>
      <c r="BX731" s="319" t="s">
        <v>190</v>
      </c>
      <c r="BY731" s="319" t="s">
        <v>190</v>
      </c>
      <c r="BZ731" s="319" t="s">
        <v>190</v>
      </c>
      <c r="CA731" s="319" t="s">
        <v>190</v>
      </c>
      <c r="CB731" s="319" t="s">
        <v>190</v>
      </c>
      <c r="CC731" s="319" t="s">
        <v>190</v>
      </c>
      <c r="CD731" s="319" t="s">
        <v>190</v>
      </c>
      <c r="CE731" s="319" t="s">
        <v>190</v>
      </c>
      <c r="CF731" s="319" t="s">
        <v>190</v>
      </c>
      <c r="CG731" s="319" t="s">
        <v>190</v>
      </c>
      <c r="CH731" s="319" t="s">
        <v>190</v>
      </c>
      <c r="CI731" s="319" t="s">
        <v>190</v>
      </c>
      <c r="CJ731" s="319" t="s">
        <v>190</v>
      </c>
      <c r="CK731" s="319" t="s">
        <v>190</v>
      </c>
      <c r="CL731" s="319" t="s">
        <v>190</v>
      </c>
      <c r="CM731" s="319" t="s">
        <v>190</v>
      </c>
      <c r="CN731" s="319" t="s">
        <v>428</v>
      </c>
      <c r="CO731" s="319" t="s">
        <v>428</v>
      </c>
      <c r="CP731" s="319" t="s">
        <v>428</v>
      </c>
      <c r="CQ731" s="319" t="s">
        <v>190</v>
      </c>
      <c r="CR731" s="319" t="s">
        <v>190</v>
      </c>
      <c r="CS731" s="319" t="s">
        <v>190</v>
      </c>
      <c r="CT731" s="319" t="s">
        <v>190</v>
      </c>
      <c r="CU731" s="319" t="s">
        <v>190</v>
      </c>
      <c r="CV731" s="319" t="s">
        <v>190</v>
      </c>
      <c r="CW731" s="319" t="s">
        <v>190</v>
      </c>
      <c r="CX731" s="319" t="s">
        <v>190</v>
      </c>
      <c r="CY731" s="319" t="s">
        <v>190</v>
      </c>
      <c r="CZ731" s="319" t="s">
        <v>190</v>
      </c>
      <c r="DA731" s="319" t="s">
        <v>190</v>
      </c>
      <c r="DB731" s="319" t="s">
        <v>190</v>
      </c>
      <c r="DC731" s="319" t="s">
        <v>190</v>
      </c>
      <c r="DD731" s="319" t="s">
        <v>190</v>
      </c>
      <c r="DE731" s="319" t="s">
        <v>190</v>
      </c>
      <c r="DF731" s="319" t="s">
        <v>190</v>
      </c>
      <c r="DG731" s="319" t="s">
        <v>190</v>
      </c>
      <c r="DH731" s="319" t="s">
        <v>190</v>
      </c>
      <c r="DI731" s="319" t="s">
        <v>190</v>
      </c>
      <c r="DJ731" s="319" t="s">
        <v>190</v>
      </c>
      <c r="DK731" s="319" t="s">
        <v>190</v>
      </c>
      <c r="DL731" s="319" t="s">
        <v>190</v>
      </c>
      <c r="DM731" s="319" t="s">
        <v>428</v>
      </c>
      <c r="DN731" s="319" t="s">
        <v>428</v>
      </c>
      <c r="DO731" s="319" t="s">
        <v>190</v>
      </c>
      <c r="DP731" s="319" t="s">
        <v>428</v>
      </c>
      <c r="DQ731" s="319" t="s">
        <v>428</v>
      </c>
      <c r="DR731" s="319" t="s">
        <v>428</v>
      </c>
      <c r="DS731" s="319" t="s">
        <v>428</v>
      </c>
      <c r="DT731" s="319" t="s">
        <v>428</v>
      </c>
      <c r="DU731" s="319" t="s">
        <v>428</v>
      </c>
      <c r="DV731" s="319" t="s">
        <v>173</v>
      </c>
      <c r="DW731" s="319" t="s">
        <v>428</v>
      </c>
      <c r="DX731" s="319" t="s">
        <v>428</v>
      </c>
      <c r="DY731" s="319" t="s">
        <v>428</v>
      </c>
      <c r="DZ731" s="319" t="s">
        <v>428</v>
      </c>
      <c r="EA731" s="319" t="s">
        <v>428</v>
      </c>
      <c r="EB731" s="319" t="s">
        <v>428</v>
      </c>
      <c r="EC731" s="319" t="s">
        <v>428</v>
      </c>
      <c r="ED731" s="319" t="s">
        <v>428</v>
      </c>
      <c r="EE731" s="319" t="s">
        <v>190</v>
      </c>
      <c r="EF731" s="319" t="s">
        <v>190</v>
      </c>
      <c r="EG731" s="319" t="s">
        <v>190</v>
      </c>
      <c r="EH731" s="319" t="s">
        <v>190</v>
      </c>
      <c r="EI731" s="319" t="s">
        <v>190</v>
      </c>
      <c r="EJ731" s="319" t="s">
        <v>190</v>
      </c>
      <c r="EK731" s="319" t="s">
        <v>190</v>
      </c>
      <c r="EL731" s="319" t="s">
        <v>190</v>
      </c>
      <c r="EM731" s="319" t="s">
        <v>190</v>
      </c>
      <c r="EN731" s="319" t="s">
        <v>190</v>
      </c>
      <c r="EO731" s="319" t="s">
        <v>190</v>
      </c>
      <c r="EP731" s="319" t="s">
        <v>190</v>
      </c>
      <c r="EQ731" s="319" t="s">
        <v>190</v>
      </c>
      <c r="ER731" s="319" t="s">
        <v>190</v>
      </c>
      <c r="ES731" s="319" t="s">
        <v>190</v>
      </c>
      <c r="ET731" s="319" t="s">
        <v>190</v>
      </c>
      <c r="EU731" s="319" t="s">
        <v>190</v>
      </c>
      <c r="EV731" s="319" t="s">
        <v>190</v>
      </c>
      <c r="EW731" s="319" t="s">
        <v>190</v>
      </c>
      <c r="EX731" s="319" t="s">
        <v>190</v>
      </c>
      <c r="EY731" s="319" t="s">
        <v>190</v>
      </c>
      <c r="EZ731" s="319" t="s">
        <v>190</v>
      </c>
      <c r="FA731" s="319" t="s">
        <v>428</v>
      </c>
      <c r="FB731" s="319" t="s">
        <v>428</v>
      </c>
      <c r="FC731" s="319" t="s">
        <v>428</v>
      </c>
      <c r="FD731" s="319" t="s">
        <v>428</v>
      </c>
      <c r="FE731" s="319" t="s">
        <v>428</v>
      </c>
      <c r="FF731" s="319" t="s">
        <v>428</v>
      </c>
      <c r="FG731" s="319" t="s">
        <v>428</v>
      </c>
      <c r="FH731" s="319" t="s">
        <v>190</v>
      </c>
      <c r="FI731" s="319" t="s">
        <v>428</v>
      </c>
      <c r="FJ731" s="319" t="s">
        <v>429</v>
      </c>
      <c r="FK731" s="319" t="s">
        <v>428</v>
      </c>
      <c r="FL731" s="319" t="s">
        <v>190</v>
      </c>
      <c r="FM731" s="319" t="s">
        <v>190</v>
      </c>
      <c r="FN731" s="319" t="s">
        <v>190</v>
      </c>
      <c r="FO731" s="319" t="s">
        <v>190</v>
      </c>
      <c r="FP731" s="319" t="s">
        <v>190</v>
      </c>
      <c r="FQ731" s="319" t="s">
        <v>190</v>
      </c>
      <c r="FR731" s="319" t="s">
        <v>190</v>
      </c>
      <c r="FS731" s="319" t="s">
        <v>428</v>
      </c>
      <c r="FT731" s="319" t="s">
        <v>190</v>
      </c>
      <c r="FU731" s="319" t="s">
        <v>190</v>
      </c>
      <c r="FV731" s="319" t="s">
        <v>190</v>
      </c>
      <c r="FW731" s="319" t="s">
        <v>190</v>
      </c>
      <c r="FX731" s="319" t="s">
        <v>190</v>
      </c>
      <c r="FY731" s="319" t="s">
        <v>190</v>
      </c>
      <c r="FZ731" s="319" t="s">
        <v>190</v>
      </c>
      <c r="GA731" s="319" t="s">
        <v>190</v>
      </c>
      <c r="GB731" s="319" t="s">
        <v>190</v>
      </c>
      <c r="GC731" s="319" t="s">
        <v>190</v>
      </c>
      <c r="GD731" s="319" t="s">
        <v>190</v>
      </c>
      <c r="GE731" s="319" t="s">
        <v>190</v>
      </c>
      <c r="GF731" s="319" t="s">
        <v>190</v>
      </c>
      <c r="GG731" s="319" t="s">
        <v>190</v>
      </c>
      <c r="GH731" s="319" t="s">
        <v>190</v>
      </c>
      <c r="GI731" s="319" t="s">
        <v>190</v>
      </c>
      <c r="GJ731" s="319" t="s">
        <v>190</v>
      </c>
      <c r="GK731" s="319" t="s">
        <v>428</v>
      </c>
      <c r="GL731" s="319" t="s">
        <v>190</v>
      </c>
      <c r="GM731" s="319" t="s">
        <v>190</v>
      </c>
      <c r="GN731" s="319" t="s">
        <v>190</v>
      </c>
      <c r="GO731" s="319" t="s">
        <v>190</v>
      </c>
      <c r="GP731" s="319" t="s">
        <v>190</v>
      </c>
      <c r="GQ731" s="319" t="s">
        <v>190</v>
      </c>
      <c r="GR731" s="319" t="s">
        <v>190</v>
      </c>
      <c r="GS731" s="319" t="s">
        <v>190</v>
      </c>
      <c r="GT731" s="319" t="s">
        <v>190</v>
      </c>
      <c r="GU731" s="319" t="s">
        <v>190</v>
      </c>
      <c r="GV731" s="319" t="s">
        <v>190</v>
      </c>
      <c r="GW731" s="319" t="s">
        <v>190</v>
      </c>
      <c r="GX731" s="319" t="s">
        <v>190</v>
      </c>
      <c r="GY731" s="319" t="s">
        <v>190</v>
      </c>
      <c r="GZ731" s="319" t="s">
        <v>190</v>
      </c>
      <c r="HA731" s="319" t="s">
        <v>190</v>
      </c>
      <c r="HB731" s="319" t="s">
        <v>190</v>
      </c>
      <c r="HC731" s="319" t="s">
        <v>190</v>
      </c>
      <c r="HD731" s="319" t="s">
        <v>190</v>
      </c>
      <c r="HE731" s="319" t="s">
        <v>190</v>
      </c>
      <c r="HF731" s="319" t="s">
        <v>190</v>
      </c>
      <c r="HG731" s="319" t="s">
        <v>190</v>
      </c>
      <c r="HH731" s="319" t="s">
        <v>190</v>
      </c>
      <c r="HI731" s="319" t="s">
        <v>190</v>
      </c>
      <c r="HJ731" s="319" t="s">
        <v>190</v>
      </c>
      <c r="HK731" s="319" t="s">
        <v>190</v>
      </c>
      <c r="HL731" s="319" t="s">
        <v>428</v>
      </c>
      <c r="HM731" s="319" t="s">
        <v>428</v>
      </c>
      <c r="HN731" s="319" t="s">
        <v>428</v>
      </c>
      <c r="HO731" s="319" t="s">
        <v>428</v>
      </c>
      <c r="HP731" s="319" t="s">
        <v>190</v>
      </c>
      <c r="HQ731" s="319" t="s">
        <v>190</v>
      </c>
      <c r="HR731" s="319" t="s">
        <v>190</v>
      </c>
      <c r="HS731" s="319" t="s">
        <v>190</v>
      </c>
      <c r="HT731" s="319" t="s">
        <v>190</v>
      </c>
      <c r="HU731" s="319" t="s">
        <v>190</v>
      </c>
      <c r="HV731" s="319" t="s">
        <v>190</v>
      </c>
      <c r="HW731" s="319" t="s">
        <v>190</v>
      </c>
      <c r="HX731" s="319" t="s">
        <v>190</v>
      </c>
      <c r="HY731" s="319" t="s">
        <v>190</v>
      </c>
      <c r="HZ731" s="319" t="s">
        <v>190</v>
      </c>
      <c r="IA731" s="319" t="s">
        <v>190</v>
      </c>
      <c r="IB731" s="319" t="s">
        <v>190</v>
      </c>
      <c r="IC731" s="319" t="s">
        <v>190</v>
      </c>
      <c r="ID731" s="319" t="s">
        <v>190</v>
      </c>
      <c r="IE731" s="319" t="s">
        <v>190</v>
      </c>
      <c r="IF731" s="319" t="s">
        <v>190</v>
      </c>
      <c r="IG731" s="319" t="s">
        <v>190</v>
      </c>
      <c r="IH731" s="319" t="s">
        <v>190</v>
      </c>
      <c r="II731" s="319" t="s">
        <v>190</v>
      </c>
      <c r="IJ731" s="319">
        <v>10026018</v>
      </c>
      <c r="IK731" s="321">
        <v>42759</v>
      </c>
      <c r="IL731" s="321">
        <v>42761</v>
      </c>
      <c r="IM731" s="321">
        <v>42783</v>
      </c>
      <c r="IN731" s="319">
        <v>2</v>
      </c>
      <c r="IO731" s="319" t="s">
        <v>173</v>
      </c>
      <c r="IP731" s="319" t="s">
        <v>173</v>
      </c>
      <c r="IQ731" s="319" t="s">
        <v>173</v>
      </c>
      <c r="IR731" s="320" t="s">
        <v>173</v>
      </c>
      <c r="IS731" s="320" t="s">
        <v>173</v>
      </c>
      <c r="IT731" s="319" t="s">
        <v>173</v>
      </c>
    </row>
    <row r="732" spans="1:254" s="271" customFormat="1" x14ac:dyDescent="0.25">
      <c r="A732" s="318" t="str">
        <f>HYPERLINK("http://www.ofsted.gov.uk/inspection-reports/find-inspection-report/provider/ELS/139559 ","Ofsted School Webpage")</f>
        <v>Ofsted School Webpage</v>
      </c>
      <c r="B732" s="319">
        <v>139559</v>
      </c>
      <c r="C732" s="319">
        <v>8556042</v>
      </c>
      <c r="D732" s="319" t="s">
        <v>2214</v>
      </c>
      <c r="E732" s="319" t="s">
        <v>168</v>
      </c>
      <c r="F732" s="319" t="s">
        <v>81</v>
      </c>
      <c r="G732" s="319" t="s">
        <v>81</v>
      </c>
      <c r="H732" s="319" t="s">
        <v>81</v>
      </c>
      <c r="I732" s="319" t="s">
        <v>78</v>
      </c>
      <c r="J732" s="319" t="s">
        <v>424</v>
      </c>
      <c r="K732" s="319" t="s">
        <v>506</v>
      </c>
      <c r="L732" s="319" t="s">
        <v>506</v>
      </c>
      <c r="M732" s="319" t="s">
        <v>862</v>
      </c>
      <c r="N732" s="319" t="s">
        <v>3059</v>
      </c>
      <c r="O732" s="319" t="s">
        <v>2215</v>
      </c>
      <c r="P732" s="319">
        <v>28</v>
      </c>
      <c r="Q732" s="319" t="s">
        <v>429</v>
      </c>
      <c r="R732" s="320">
        <v>10026052</v>
      </c>
      <c r="S732" s="321">
        <v>43284</v>
      </c>
      <c r="T732" s="321">
        <v>43286</v>
      </c>
      <c r="U732" s="321">
        <v>43349</v>
      </c>
      <c r="V732" s="319" t="s">
        <v>425</v>
      </c>
      <c r="W732" s="319" t="s">
        <v>2767</v>
      </c>
      <c r="X732" s="319">
        <v>2</v>
      </c>
      <c r="Y732" s="319" t="s">
        <v>173</v>
      </c>
      <c r="Z732" s="319" t="s">
        <v>173</v>
      </c>
      <c r="AA732" s="319" t="s">
        <v>173</v>
      </c>
      <c r="AB732" s="319">
        <v>2</v>
      </c>
      <c r="AC732" s="319" t="s">
        <v>169</v>
      </c>
      <c r="AD732" s="319" t="s">
        <v>173</v>
      </c>
      <c r="AE732" s="319">
        <v>2</v>
      </c>
      <c r="AF732" s="319" t="s">
        <v>427</v>
      </c>
      <c r="AG732" s="319" t="s">
        <v>171</v>
      </c>
      <c r="AH732" s="319" t="s">
        <v>190</v>
      </c>
      <c r="AI732" s="319" t="s">
        <v>190</v>
      </c>
      <c r="AJ732" s="319" t="s">
        <v>190</v>
      </c>
      <c r="AK732" s="319" t="s">
        <v>190</v>
      </c>
      <c r="AL732" s="319" t="s">
        <v>190</v>
      </c>
      <c r="AM732" s="319" t="s">
        <v>190</v>
      </c>
      <c r="AN732" s="319" t="s">
        <v>190</v>
      </c>
      <c r="AO732" s="319" t="s">
        <v>190</v>
      </c>
      <c r="AP732" s="319" t="s">
        <v>190</v>
      </c>
      <c r="AQ732" s="319" t="s">
        <v>190</v>
      </c>
      <c r="AR732" s="319" t="s">
        <v>190</v>
      </c>
      <c r="AS732" s="319" t="s">
        <v>190</v>
      </c>
      <c r="AT732" s="319" t="s">
        <v>190</v>
      </c>
      <c r="AU732" s="319" t="s">
        <v>190</v>
      </c>
      <c r="AV732" s="319" t="s">
        <v>190</v>
      </c>
      <c r="AW732" s="319" t="s">
        <v>190</v>
      </c>
      <c r="AX732" s="319" t="s">
        <v>428</v>
      </c>
      <c r="AY732" s="319" t="s">
        <v>190</v>
      </c>
      <c r="AZ732" s="319" t="s">
        <v>190</v>
      </c>
      <c r="BA732" s="319" t="s">
        <v>190</v>
      </c>
      <c r="BB732" s="319" t="s">
        <v>190</v>
      </c>
      <c r="BC732" s="319" t="s">
        <v>190</v>
      </c>
      <c r="BD732" s="319" t="s">
        <v>190</v>
      </c>
      <c r="BE732" s="319" t="s">
        <v>190</v>
      </c>
      <c r="BF732" s="319" t="s">
        <v>428</v>
      </c>
      <c r="BG732" s="319" t="s">
        <v>190</v>
      </c>
      <c r="BH732" s="319" t="s">
        <v>190</v>
      </c>
      <c r="BI732" s="319" t="s">
        <v>190</v>
      </c>
      <c r="BJ732" s="319" t="s">
        <v>190</v>
      </c>
      <c r="BK732" s="319" t="s">
        <v>190</v>
      </c>
      <c r="BL732" s="319" t="s">
        <v>190</v>
      </c>
      <c r="BM732" s="319" t="s">
        <v>190</v>
      </c>
      <c r="BN732" s="319" t="s">
        <v>190</v>
      </c>
      <c r="BO732" s="319" t="s">
        <v>190</v>
      </c>
      <c r="BP732" s="319" t="s">
        <v>190</v>
      </c>
      <c r="BQ732" s="319" t="s">
        <v>190</v>
      </c>
      <c r="BR732" s="319" t="s">
        <v>190</v>
      </c>
      <c r="BS732" s="319" t="s">
        <v>190</v>
      </c>
      <c r="BT732" s="319" t="s">
        <v>190</v>
      </c>
      <c r="BU732" s="319" t="s">
        <v>190</v>
      </c>
      <c r="BV732" s="319" t="s">
        <v>190</v>
      </c>
      <c r="BW732" s="319" t="s">
        <v>190</v>
      </c>
      <c r="BX732" s="319" t="s">
        <v>190</v>
      </c>
      <c r="BY732" s="319" t="s">
        <v>190</v>
      </c>
      <c r="BZ732" s="319" t="s">
        <v>190</v>
      </c>
      <c r="CA732" s="319" t="s">
        <v>190</v>
      </c>
      <c r="CB732" s="319" t="s">
        <v>190</v>
      </c>
      <c r="CC732" s="319" t="s">
        <v>190</v>
      </c>
      <c r="CD732" s="319" t="s">
        <v>190</v>
      </c>
      <c r="CE732" s="319" t="s">
        <v>190</v>
      </c>
      <c r="CF732" s="319" t="s">
        <v>190</v>
      </c>
      <c r="CG732" s="319" t="s">
        <v>190</v>
      </c>
      <c r="CH732" s="319" t="s">
        <v>190</v>
      </c>
      <c r="CI732" s="319" t="s">
        <v>190</v>
      </c>
      <c r="CJ732" s="319" t="s">
        <v>190</v>
      </c>
      <c r="CK732" s="319" t="s">
        <v>190</v>
      </c>
      <c r="CL732" s="319" t="s">
        <v>190</v>
      </c>
      <c r="CM732" s="319" t="s">
        <v>190</v>
      </c>
      <c r="CN732" s="319" t="s">
        <v>428</v>
      </c>
      <c r="CO732" s="319" t="s">
        <v>428</v>
      </c>
      <c r="CP732" s="319" t="s">
        <v>428</v>
      </c>
      <c r="CQ732" s="319" t="s">
        <v>190</v>
      </c>
      <c r="CR732" s="319" t="s">
        <v>190</v>
      </c>
      <c r="CS732" s="319" t="s">
        <v>190</v>
      </c>
      <c r="CT732" s="319" t="s">
        <v>190</v>
      </c>
      <c r="CU732" s="319" t="s">
        <v>190</v>
      </c>
      <c r="CV732" s="319" t="s">
        <v>190</v>
      </c>
      <c r="CW732" s="319" t="s">
        <v>190</v>
      </c>
      <c r="CX732" s="319" t="s">
        <v>190</v>
      </c>
      <c r="CY732" s="319" t="s">
        <v>190</v>
      </c>
      <c r="CZ732" s="319" t="s">
        <v>190</v>
      </c>
      <c r="DA732" s="319" t="s">
        <v>190</v>
      </c>
      <c r="DB732" s="319" t="s">
        <v>190</v>
      </c>
      <c r="DC732" s="319" t="s">
        <v>190</v>
      </c>
      <c r="DD732" s="319" t="s">
        <v>190</v>
      </c>
      <c r="DE732" s="319" t="s">
        <v>190</v>
      </c>
      <c r="DF732" s="319" t="s">
        <v>190</v>
      </c>
      <c r="DG732" s="319" t="s">
        <v>190</v>
      </c>
      <c r="DH732" s="319" t="s">
        <v>190</v>
      </c>
      <c r="DI732" s="319" t="s">
        <v>190</v>
      </c>
      <c r="DJ732" s="319" t="s">
        <v>190</v>
      </c>
      <c r="DK732" s="319" t="s">
        <v>190</v>
      </c>
      <c r="DL732" s="319" t="s">
        <v>190</v>
      </c>
      <c r="DM732" s="319" t="s">
        <v>190</v>
      </c>
      <c r="DN732" s="319" t="s">
        <v>428</v>
      </c>
      <c r="DO732" s="319" t="s">
        <v>190</v>
      </c>
      <c r="DP732" s="319" t="s">
        <v>428</v>
      </c>
      <c r="DQ732" s="319" t="s">
        <v>428</v>
      </c>
      <c r="DR732" s="319" t="s">
        <v>428</v>
      </c>
      <c r="DS732" s="319" t="s">
        <v>428</v>
      </c>
      <c r="DT732" s="319" t="s">
        <v>428</v>
      </c>
      <c r="DU732" s="319" t="s">
        <v>428</v>
      </c>
      <c r="DV732" s="319" t="s">
        <v>173</v>
      </c>
      <c r="DW732" s="319" t="s">
        <v>428</v>
      </c>
      <c r="DX732" s="319" t="s">
        <v>428</v>
      </c>
      <c r="DY732" s="319" t="s">
        <v>428</v>
      </c>
      <c r="DZ732" s="319" t="s">
        <v>428</v>
      </c>
      <c r="EA732" s="319" t="s">
        <v>428</v>
      </c>
      <c r="EB732" s="319" t="s">
        <v>428</v>
      </c>
      <c r="EC732" s="319" t="s">
        <v>428</v>
      </c>
      <c r="ED732" s="319" t="s">
        <v>428</v>
      </c>
      <c r="EE732" s="319" t="s">
        <v>190</v>
      </c>
      <c r="EF732" s="319" t="s">
        <v>190</v>
      </c>
      <c r="EG732" s="319" t="s">
        <v>190</v>
      </c>
      <c r="EH732" s="319" t="s">
        <v>190</v>
      </c>
      <c r="EI732" s="319" t="s">
        <v>190</v>
      </c>
      <c r="EJ732" s="319" t="s">
        <v>190</v>
      </c>
      <c r="EK732" s="319" t="s">
        <v>190</v>
      </c>
      <c r="EL732" s="319" t="s">
        <v>190</v>
      </c>
      <c r="EM732" s="319" t="s">
        <v>190</v>
      </c>
      <c r="EN732" s="319" t="s">
        <v>190</v>
      </c>
      <c r="EO732" s="319" t="s">
        <v>190</v>
      </c>
      <c r="EP732" s="319" t="s">
        <v>190</v>
      </c>
      <c r="EQ732" s="319" t="s">
        <v>190</v>
      </c>
      <c r="ER732" s="319" t="s">
        <v>190</v>
      </c>
      <c r="ES732" s="319" t="s">
        <v>190</v>
      </c>
      <c r="ET732" s="319" t="s">
        <v>190</v>
      </c>
      <c r="EU732" s="319" t="s">
        <v>190</v>
      </c>
      <c r="EV732" s="319" t="s">
        <v>190</v>
      </c>
      <c r="EW732" s="319" t="s">
        <v>190</v>
      </c>
      <c r="EX732" s="319" t="s">
        <v>190</v>
      </c>
      <c r="EY732" s="319" t="s">
        <v>190</v>
      </c>
      <c r="EZ732" s="319" t="s">
        <v>190</v>
      </c>
      <c r="FA732" s="319" t="s">
        <v>428</v>
      </c>
      <c r="FB732" s="319" t="s">
        <v>428</v>
      </c>
      <c r="FC732" s="319" t="s">
        <v>428</v>
      </c>
      <c r="FD732" s="319" t="s">
        <v>428</v>
      </c>
      <c r="FE732" s="319" t="s">
        <v>428</v>
      </c>
      <c r="FF732" s="319" t="s">
        <v>428</v>
      </c>
      <c r="FG732" s="319" t="s">
        <v>428</v>
      </c>
      <c r="FH732" s="319" t="s">
        <v>190</v>
      </c>
      <c r="FI732" s="319" t="s">
        <v>428</v>
      </c>
      <c r="FJ732" s="319" t="s">
        <v>429</v>
      </c>
      <c r="FK732" s="319" t="s">
        <v>428</v>
      </c>
      <c r="FL732" s="319" t="s">
        <v>190</v>
      </c>
      <c r="FM732" s="319" t="s">
        <v>190</v>
      </c>
      <c r="FN732" s="319" t="s">
        <v>190</v>
      </c>
      <c r="FO732" s="319" t="s">
        <v>190</v>
      </c>
      <c r="FP732" s="319" t="s">
        <v>190</v>
      </c>
      <c r="FQ732" s="319" t="s">
        <v>190</v>
      </c>
      <c r="FR732" s="319" t="s">
        <v>190</v>
      </c>
      <c r="FS732" s="319" t="s">
        <v>428</v>
      </c>
      <c r="FT732" s="319" t="s">
        <v>428</v>
      </c>
      <c r="FU732" s="319" t="s">
        <v>190</v>
      </c>
      <c r="FV732" s="319" t="s">
        <v>190</v>
      </c>
      <c r="FW732" s="319" t="s">
        <v>190</v>
      </c>
      <c r="FX732" s="319" t="s">
        <v>190</v>
      </c>
      <c r="FY732" s="319" t="s">
        <v>190</v>
      </c>
      <c r="FZ732" s="319" t="s">
        <v>190</v>
      </c>
      <c r="GA732" s="319" t="s">
        <v>190</v>
      </c>
      <c r="GB732" s="319" t="s">
        <v>190</v>
      </c>
      <c r="GC732" s="319" t="s">
        <v>190</v>
      </c>
      <c r="GD732" s="319" t="s">
        <v>190</v>
      </c>
      <c r="GE732" s="319" t="s">
        <v>190</v>
      </c>
      <c r="GF732" s="319" t="s">
        <v>190</v>
      </c>
      <c r="GG732" s="319" t="s">
        <v>190</v>
      </c>
      <c r="GH732" s="319" t="s">
        <v>190</v>
      </c>
      <c r="GI732" s="319" t="s">
        <v>190</v>
      </c>
      <c r="GJ732" s="319" t="s">
        <v>190</v>
      </c>
      <c r="GK732" s="319" t="s">
        <v>428</v>
      </c>
      <c r="GL732" s="319" t="s">
        <v>190</v>
      </c>
      <c r="GM732" s="319" t="s">
        <v>190</v>
      </c>
      <c r="GN732" s="319" t="s">
        <v>190</v>
      </c>
      <c r="GO732" s="319" t="s">
        <v>190</v>
      </c>
      <c r="GP732" s="319" t="s">
        <v>190</v>
      </c>
      <c r="GQ732" s="319" t="s">
        <v>428</v>
      </c>
      <c r="GR732" s="319" t="s">
        <v>190</v>
      </c>
      <c r="GS732" s="319" t="s">
        <v>190</v>
      </c>
      <c r="GT732" s="319" t="s">
        <v>190</v>
      </c>
      <c r="GU732" s="319" t="s">
        <v>190</v>
      </c>
      <c r="GV732" s="319" t="s">
        <v>428</v>
      </c>
      <c r="GW732" s="319" t="s">
        <v>190</v>
      </c>
      <c r="GX732" s="319" t="s">
        <v>190</v>
      </c>
      <c r="GY732" s="319" t="s">
        <v>190</v>
      </c>
      <c r="GZ732" s="319" t="s">
        <v>190</v>
      </c>
      <c r="HA732" s="319" t="s">
        <v>428</v>
      </c>
      <c r="HB732" s="319" t="s">
        <v>190</v>
      </c>
      <c r="HC732" s="319" t="s">
        <v>190</v>
      </c>
      <c r="HD732" s="319" t="s">
        <v>190</v>
      </c>
      <c r="HE732" s="319" t="s">
        <v>190</v>
      </c>
      <c r="HF732" s="319" t="s">
        <v>190</v>
      </c>
      <c r="HG732" s="319" t="s">
        <v>190</v>
      </c>
      <c r="HH732" s="319" t="s">
        <v>190</v>
      </c>
      <c r="HI732" s="319" t="s">
        <v>190</v>
      </c>
      <c r="HJ732" s="319" t="s">
        <v>190</v>
      </c>
      <c r="HK732" s="319" t="s">
        <v>190</v>
      </c>
      <c r="HL732" s="319" t="s">
        <v>428</v>
      </c>
      <c r="HM732" s="319" t="s">
        <v>428</v>
      </c>
      <c r="HN732" s="319" t="s">
        <v>428</v>
      </c>
      <c r="HO732" s="319" t="s">
        <v>428</v>
      </c>
      <c r="HP732" s="319" t="s">
        <v>190</v>
      </c>
      <c r="HQ732" s="319" t="s">
        <v>190</v>
      </c>
      <c r="HR732" s="319" t="s">
        <v>190</v>
      </c>
      <c r="HS732" s="319" t="s">
        <v>190</v>
      </c>
      <c r="HT732" s="319" t="s">
        <v>190</v>
      </c>
      <c r="HU732" s="319" t="s">
        <v>190</v>
      </c>
      <c r="HV732" s="319" t="s">
        <v>190</v>
      </c>
      <c r="HW732" s="319" t="s">
        <v>190</v>
      </c>
      <c r="HX732" s="319" t="s">
        <v>190</v>
      </c>
      <c r="HY732" s="319" t="s">
        <v>190</v>
      </c>
      <c r="HZ732" s="319" t="s">
        <v>190</v>
      </c>
      <c r="IA732" s="319" t="s">
        <v>190</v>
      </c>
      <c r="IB732" s="319" t="s">
        <v>190</v>
      </c>
      <c r="IC732" s="319" t="s">
        <v>190</v>
      </c>
      <c r="ID732" s="319" t="s">
        <v>190</v>
      </c>
      <c r="IE732" s="319" t="s">
        <v>190</v>
      </c>
      <c r="IF732" s="319" t="s">
        <v>190</v>
      </c>
      <c r="IG732" s="319" t="s">
        <v>190</v>
      </c>
      <c r="IH732" s="319" t="s">
        <v>190</v>
      </c>
      <c r="II732" s="319" t="s">
        <v>190</v>
      </c>
      <c r="IJ732" s="319" t="s">
        <v>3462</v>
      </c>
      <c r="IK732" s="321">
        <v>41653</v>
      </c>
      <c r="IL732" s="321">
        <v>41655</v>
      </c>
      <c r="IM732" s="321">
        <v>41675</v>
      </c>
      <c r="IN732" s="319">
        <v>2</v>
      </c>
      <c r="IO732" s="319" t="s">
        <v>173</v>
      </c>
      <c r="IP732" s="319" t="s">
        <v>173</v>
      </c>
      <c r="IQ732" s="321" t="s">
        <v>173</v>
      </c>
      <c r="IR732" s="320" t="s">
        <v>173</v>
      </c>
      <c r="IS732" s="322" t="s">
        <v>173</v>
      </c>
      <c r="IT732" s="319" t="s">
        <v>173</v>
      </c>
    </row>
    <row r="733" spans="1:254" s="271" customFormat="1" x14ac:dyDescent="0.25">
      <c r="A733" s="318" t="str">
        <f>HYPERLINK("http://www.ofsted.gov.uk/inspection-reports/find-inspection-report/provider/ELS/139601 ","Ofsted School Webpage")</f>
        <v>Ofsted School Webpage</v>
      </c>
      <c r="B733" s="319">
        <v>139601</v>
      </c>
      <c r="C733" s="319">
        <v>2116006</v>
      </c>
      <c r="D733" s="319" t="s">
        <v>2216</v>
      </c>
      <c r="E733" s="319" t="s">
        <v>167</v>
      </c>
      <c r="F733" s="319" t="s">
        <v>81</v>
      </c>
      <c r="G733" s="319" t="s">
        <v>81</v>
      </c>
      <c r="H733" s="319" t="s">
        <v>81</v>
      </c>
      <c r="I733" s="319" t="s">
        <v>78</v>
      </c>
      <c r="J733" s="319" t="s">
        <v>424</v>
      </c>
      <c r="K733" s="319" t="s">
        <v>441</v>
      </c>
      <c r="L733" s="319" t="s">
        <v>441</v>
      </c>
      <c r="M733" s="319" t="s">
        <v>757</v>
      </c>
      <c r="N733" s="319" t="s">
        <v>2801</v>
      </c>
      <c r="O733" s="319" t="s">
        <v>2217</v>
      </c>
      <c r="P733" s="319">
        <v>121</v>
      </c>
      <c r="Q733" s="319" t="s">
        <v>2766</v>
      </c>
      <c r="R733" s="320">
        <v>10035809</v>
      </c>
      <c r="S733" s="321">
        <v>43235</v>
      </c>
      <c r="T733" s="321">
        <v>43237</v>
      </c>
      <c r="U733" s="321">
        <v>43278</v>
      </c>
      <c r="V733" s="319" t="s">
        <v>425</v>
      </c>
      <c r="W733" s="319" t="s">
        <v>2767</v>
      </c>
      <c r="X733" s="319">
        <v>2</v>
      </c>
      <c r="Y733" s="319" t="s">
        <v>173</v>
      </c>
      <c r="Z733" s="319" t="s">
        <v>173</v>
      </c>
      <c r="AA733" s="319" t="s">
        <v>173</v>
      </c>
      <c r="AB733" s="319">
        <v>2</v>
      </c>
      <c r="AC733" s="319" t="s">
        <v>169</v>
      </c>
      <c r="AD733" s="319" t="s">
        <v>173</v>
      </c>
      <c r="AE733" s="319" t="s">
        <v>173</v>
      </c>
      <c r="AF733" s="319" t="s">
        <v>427</v>
      </c>
      <c r="AG733" s="319" t="s">
        <v>171</v>
      </c>
      <c r="AH733" s="319" t="s">
        <v>190</v>
      </c>
      <c r="AI733" s="319" t="s">
        <v>190</v>
      </c>
      <c r="AJ733" s="319" t="s">
        <v>190</v>
      </c>
      <c r="AK733" s="319" t="s">
        <v>190</v>
      </c>
      <c r="AL733" s="319" t="s">
        <v>190</v>
      </c>
      <c r="AM733" s="319" t="s">
        <v>190</v>
      </c>
      <c r="AN733" s="319" t="s">
        <v>190</v>
      </c>
      <c r="AO733" s="319" t="s">
        <v>190</v>
      </c>
      <c r="AP733" s="319" t="s">
        <v>190</v>
      </c>
      <c r="AQ733" s="319" t="s">
        <v>190</v>
      </c>
      <c r="AR733" s="319" t="s">
        <v>190</v>
      </c>
      <c r="AS733" s="319" t="s">
        <v>190</v>
      </c>
      <c r="AT733" s="319" t="s">
        <v>190</v>
      </c>
      <c r="AU733" s="319" t="s">
        <v>190</v>
      </c>
      <c r="AV733" s="319" t="s">
        <v>190</v>
      </c>
      <c r="AW733" s="319" t="s">
        <v>190</v>
      </c>
      <c r="AX733" s="319" t="s">
        <v>428</v>
      </c>
      <c r="AY733" s="319" t="s">
        <v>190</v>
      </c>
      <c r="AZ733" s="319" t="s">
        <v>190</v>
      </c>
      <c r="BA733" s="319" t="s">
        <v>190</v>
      </c>
      <c r="BB733" s="319" t="s">
        <v>190</v>
      </c>
      <c r="BC733" s="319" t="s">
        <v>190</v>
      </c>
      <c r="BD733" s="319" t="s">
        <v>190</v>
      </c>
      <c r="BE733" s="319" t="s">
        <v>190</v>
      </c>
      <c r="BF733" s="319" t="s">
        <v>428</v>
      </c>
      <c r="BG733" s="319" t="s">
        <v>428</v>
      </c>
      <c r="BH733" s="319" t="s">
        <v>190</v>
      </c>
      <c r="BI733" s="319" t="s">
        <v>190</v>
      </c>
      <c r="BJ733" s="319" t="s">
        <v>190</v>
      </c>
      <c r="BK733" s="319" t="s">
        <v>190</v>
      </c>
      <c r="BL733" s="319" t="s">
        <v>190</v>
      </c>
      <c r="BM733" s="319" t="s">
        <v>190</v>
      </c>
      <c r="BN733" s="319" t="s">
        <v>190</v>
      </c>
      <c r="BO733" s="319" t="s">
        <v>190</v>
      </c>
      <c r="BP733" s="319" t="s">
        <v>190</v>
      </c>
      <c r="BQ733" s="319" t="s">
        <v>190</v>
      </c>
      <c r="BR733" s="319" t="s">
        <v>190</v>
      </c>
      <c r="BS733" s="319" t="s">
        <v>190</v>
      </c>
      <c r="BT733" s="319" t="s">
        <v>190</v>
      </c>
      <c r="BU733" s="319" t="s">
        <v>190</v>
      </c>
      <c r="BV733" s="319" t="s">
        <v>190</v>
      </c>
      <c r="BW733" s="319" t="s">
        <v>190</v>
      </c>
      <c r="BX733" s="319" t="s">
        <v>190</v>
      </c>
      <c r="BY733" s="319" t="s">
        <v>190</v>
      </c>
      <c r="BZ733" s="319" t="s">
        <v>190</v>
      </c>
      <c r="CA733" s="319" t="s">
        <v>190</v>
      </c>
      <c r="CB733" s="319" t="s">
        <v>190</v>
      </c>
      <c r="CC733" s="319" t="s">
        <v>190</v>
      </c>
      <c r="CD733" s="319" t="s">
        <v>190</v>
      </c>
      <c r="CE733" s="319" t="s">
        <v>190</v>
      </c>
      <c r="CF733" s="319" t="s">
        <v>190</v>
      </c>
      <c r="CG733" s="319" t="s">
        <v>190</v>
      </c>
      <c r="CH733" s="319" t="s">
        <v>190</v>
      </c>
      <c r="CI733" s="319" t="s">
        <v>190</v>
      </c>
      <c r="CJ733" s="319" t="s">
        <v>190</v>
      </c>
      <c r="CK733" s="319" t="s">
        <v>190</v>
      </c>
      <c r="CL733" s="319" t="s">
        <v>190</v>
      </c>
      <c r="CM733" s="319" t="s">
        <v>190</v>
      </c>
      <c r="CN733" s="319" t="s">
        <v>190</v>
      </c>
      <c r="CO733" s="319" t="s">
        <v>428</v>
      </c>
      <c r="CP733" s="319" t="s">
        <v>428</v>
      </c>
      <c r="CQ733" s="319" t="s">
        <v>190</v>
      </c>
      <c r="CR733" s="319" t="s">
        <v>190</v>
      </c>
      <c r="CS733" s="319" t="s">
        <v>190</v>
      </c>
      <c r="CT733" s="319" t="s">
        <v>428</v>
      </c>
      <c r="CU733" s="319" t="s">
        <v>190</v>
      </c>
      <c r="CV733" s="319" t="s">
        <v>190</v>
      </c>
      <c r="CW733" s="319" t="s">
        <v>190</v>
      </c>
      <c r="CX733" s="319" t="s">
        <v>190</v>
      </c>
      <c r="CY733" s="319" t="s">
        <v>190</v>
      </c>
      <c r="CZ733" s="319" t="s">
        <v>190</v>
      </c>
      <c r="DA733" s="319" t="s">
        <v>190</v>
      </c>
      <c r="DB733" s="319" t="s">
        <v>190</v>
      </c>
      <c r="DC733" s="319" t="s">
        <v>190</v>
      </c>
      <c r="DD733" s="319" t="s">
        <v>190</v>
      </c>
      <c r="DE733" s="319" t="s">
        <v>190</v>
      </c>
      <c r="DF733" s="319" t="s">
        <v>190</v>
      </c>
      <c r="DG733" s="319" t="s">
        <v>190</v>
      </c>
      <c r="DH733" s="319" t="s">
        <v>190</v>
      </c>
      <c r="DI733" s="319" t="s">
        <v>190</v>
      </c>
      <c r="DJ733" s="319" t="s">
        <v>190</v>
      </c>
      <c r="DK733" s="319" t="s">
        <v>190</v>
      </c>
      <c r="DL733" s="319" t="s">
        <v>190</v>
      </c>
      <c r="DM733" s="319" t="s">
        <v>190</v>
      </c>
      <c r="DN733" s="319" t="s">
        <v>428</v>
      </c>
      <c r="DO733" s="319" t="s">
        <v>190</v>
      </c>
      <c r="DP733" s="319" t="s">
        <v>190</v>
      </c>
      <c r="DQ733" s="319" t="s">
        <v>190</v>
      </c>
      <c r="DR733" s="319" t="s">
        <v>190</v>
      </c>
      <c r="DS733" s="319" t="s">
        <v>190</v>
      </c>
      <c r="DT733" s="319" t="s">
        <v>190</v>
      </c>
      <c r="DU733" s="319" t="s">
        <v>190</v>
      </c>
      <c r="DV733" s="319" t="s">
        <v>173</v>
      </c>
      <c r="DW733" s="319" t="s">
        <v>190</v>
      </c>
      <c r="DX733" s="319" t="s">
        <v>190</v>
      </c>
      <c r="DY733" s="319" t="s">
        <v>190</v>
      </c>
      <c r="DZ733" s="319" t="s">
        <v>190</v>
      </c>
      <c r="EA733" s="319" t="s">
        <v>190</v>
      </c>
      <c r="EB733" s="319" t="s">
        <v>190</v>
      </c>
      <c r="EC733" s="319" t="s">
        <v>190</v>
      </c>
      <c r="ED733" s="319" t="s">
        <v>190</v>
      </c>
      <c r="EE733" s="319" t="s">
        <v>190</v>
      </c>
      <c r="EF733" s="319" t="s">
        <v>190</v>
      </c>
      <c r="EG733" s="319" t="s">
        <v>190</v>
      </c>
      <c r="EH733" s="319" t="s">
        <v>190</v>
      </c>
      <c r="EI733" s="319" t="s">
        <v>190</v>
      </c>
      <c r="EJ733" s="319" t="s">
        <v>190</v>
      </c>
      <c r="EK733" s="319" t="s">
        <v>190</v>
      </c>
      <c r="EL733" s="319" t="s">
        <v>190</v>
      </c>
      <c r="EM733" s="319" t="s">
        <v>190</v>
      </c>
      <c r="EN733" s="319" t="s">
        <v>190</v>
      </c>
      <c r="EO733" s="319" t="s">
        <v>190</v>
      </c>
      <c r="EP733" s="319" t="s">
        <v>190</v>
      </c>
      <c r="EQ733" s="319" t="s">
        <v>190</v>
      </c>
      <c r="ER733" s="319" t="s">
        <v>190</v>
      </c>
      <c r="ES733" s="319" t="s">
        <v>190</v>
      </c>
      <c r="ET733" s="319" t="s">
        <v>190</v>
      </c>
      <c r="EU733" s="319" t="s">
        <v>190</v>
      </c>
      <c r="EV733" s="319" t="s">
        <v>190</v>
      </c>
      <c r="EW733" s="319" t="s">
        <v>190</v>
      </c>
      <c r="EX733" s="319" t="s">
        <v>190</v>
      </c>
      <c r="EY733" s="319" t="s">
        <v>190</v>
      </c>
      <c r="EZ733" s="319" t="s">
        <v>190</v>
      </c>
      <c r="FA733" s="319" t="s">
        <v>190</v>
      </c>
      <c r="FB733" s="319" t="s">
        <v>190</v>
      </c>
      <c r="FC733" s="319" t="s">
        <v>190</v>
      </c>
      <c r="FD733" s="319" t="s">
        <v>190</v>
      </c>
      <c r="FE733" s="319" t="s">
        <v>190</v>
      </c>
      <c r="FF733" s="319" t="s">
        <v>190</v>
      </c>
      <c r="FG733" s="319" t="s">
        <v>190</v>
      </c>
      <c r="FH733" s="319" t="s">
        <v>190</v>
      </c>
      <c r="FI733" s="319" t="s">
        <v>190</v>
      </c>
      <c r="FJ733" s="319" t="s">
        <v>190</v>
      </c>
      <c r="FK733" s="319" t="s">
        <v>190</v>
      </c>
      <c r="FL733" s="319" t="s">
        <v>190</v>
      </c>
      <c r="FM733" s="319" t="s">
        <v>190</v>
      </c>
      <c r="FN733" s="319" t="s">
        <v>190</v>
      </c>
      <c r="FO733" s="319" t="s">
        <v>190</v>
      </c>
      <c r="FP733" s="319" t="s">
        <v>190</v>
      </c>
      <c r="FQ733" s="319" t="s">
        <v>190</v>
      </c>
      <c r="FR733" s="319" t="s">
        <v>190</v>
      </c>
      <c r="FS733" s="319" t="s">
        <v>190</v>
      </c>
      <c r="FT733" s="319" t="s">
        <v>190</v>
      </c>
      <c r="FU733" s="319" t="s">
        <v>190</v>
      </c>
      <c r="FV733" s="319" t="s">
        <v>190</v>
      </c>
      <c r="FW733" s="319" t="s">
        <v>190</v>
      </c>
      <c r="FX733" s="319" t="s">
        <v>190</v>
      </c>
      <c r="FY733" s="319" t="s">
        <v>190</v>
      </c>
      <c r="FZ733" s="319" t="s">
        <v>190</v>
      </c>
      <c r="GA733" s="319" t="s">
        <v>190</v>
      </c>
      <c r="GB733" s="319" t="s">
        <v>190</v>
      </c>
      <c r="GC733" s="319" t="s">
        <v>190</v>
      </c>
      <c r="GD733" s="319" t="s">
        <v>190</v>
      </c>
      <c r="GE733" s="319" t="s">
        <v>190</v>
      </c>
      <c r="GF733" s="319" t="s">
        <v>190</v>
      </c>
      <c r="GG733" s="319" t="s">
        <v>190</v>
      </c>
      <c r="GH733" s="319" t="s">
        <v>190</v>
      </c>
      <c r="GI733" s="319" t="s">
        <v>190</v>
      </c>
      <c r="GJ733" s="319" t="s">
        <v>190</v>
      </c>
      <c r="GK733" s="319" t="s">
        <v>190</v>
      </c>
      <c r="GL733" s="319" t="s">
        <v>190</v>
      </c>
      <c r="GM733" s="319" t="s">
        <v>190</v>
      </c>
      <c r="GN733" s="319" t="s">
        <v>190</v>
      </c>
      <c r="GO733" s="319" t="s">
        <v>190</v>
      </c>
      <c r="GP733" s="319" t="s">
        <v>190</v>
      </c>
      <c r="GQ733" s="319" t="s">
        <v>190</v>
      </c>
      <c r="GR733" s="319" t="s">
        <v>190</v>
      </c>
      <c r="GS733" s="319" t="s">
        <v>190</v>
      </c>
      <c r="GT733" s="319" t="s">
        <v>190</v>
      </c>
      <c r="GU733" s="319" t="s">
        <v>190</v>
      </c>
      <c r="GV733" s="319" t="s">
        <v>190</v>
      </c>
      <c r="GW733" s="319" t="s">
        <v>190</v>
      </c>
      <c r="GX733" s="319" t="s">
        <v>190</v>
      </c>
      <c r="GY733" s="319" t="s">
        <v>190</v>
      </c>
      <c r="GZ733" s="319" t="s">
        <v>428</v>
      </c>
      <c r="HA733" s="319" t="s">
        <v>190</v>
      </c>
      <c r="HB733" s="319" t="s">
        <v>190</v>
      </c>
      <c r="HC733" s="319" t="s">
        <v>190</v>
      </c>
      <c r="HD733" s="319" t="s">
        <v>190</v>
      </c>
      <c r="HE733" s="319" t="s">
        <v>190</v>
      </c>
      <c r="HF733" s="319" t="s">
        <v>190</v>
      </c>
      <c r="HG733" s="319" t="s">
        <v>190</v>
      </c>
      <c r="HH733" s="319" t="s">
        <v>190</v>
      </c>
      <c r="HI733" s="319" t="s">
        <v>190</v>
      </c>
      <c r="HJ733" s="319" t="s">
        <v>190</v>
      </c>
      <c r="HK733" s="319" t="s">
        <v>190</v>
      </c>
      <c r="HL733" s="319" t="s">
        <v>190</v>
      </c>
      <c r="HM733" s="319" t="s">
        <v>190</v>
      </c>
      <c r="HN733" s="319" t="s">
        <v>190</v>
      </c>
      <c r="HO733" s="319" t="s">
        <v>190</v>
      </c>
      <c r="HP733" s="319" t="s">
        <v>190</v>
      </c>
      <c r="HQ733" s="319" t="s">
        <v>190</v>
      </c>
      <c r="HR733" s="319" t="s">
        <v>190</v>
      </c>
      <c r="HS733" s="319" t="s">
        <v>190</v>
      </c>
      <c r="HT733" s="319" t="s">
        <v>190</v>
      </c>
      <c r="HU733" s="319" t="s">
        <v>190</v>
      </c>
      <c r="HV733" s="319" t="s">
        <v>190</v>
      </c>
      <c r="HW733" s="319" t="s">
        <v>190</v>
      </c>
      <c r="HX733" s="319" t="s">
        <v>190</v>
      </c>
      <c r="HY733" s="319" t="s">
        <v>190</v>
      </c>
      <c r="HZ733" s="319" t="s">
        <v>190</v>
      </c>
      <c r="IA733" s="319" t="s">
        <v>190</v>
      </c>
      <c r="IB733" s="319" t="s">
        <v>190</v>
      </c>
      <c r="IC733" s="319" t="s">
        <v>190</v>
      </c>
      <c r="ID733" s="319" t="s">
        <v>190</v>
      </c>
      <c r="IE733" s="319" t="s">
        <v>190</v>
      </c>
      <c r="IF733" s="319" t="s">
        <v>190</v>
      </c>
      <c r="IG733" s="319" t="s">
        <v>190</v>
      </c>
      <c r="IH733" s="319" t="s">
        <v>190</v>
      </c>
      <c r="II733" s="319" t="s">
        <v>190</v>
      </c>
      <c r="IJ733" s="319" t="s">
        <v>3463</v>
      </c>
      <c r="IK733" s="321">
        <v>41681</v>
      </c>
      <c r="IL733" s="321">
        <v>41683</v>
      </c>
      <c r="IM733" s="321">
        <v>41703</v>
      </c>
      <c r="IN733" s="319">
        <v>2</v>
      </c>
      <c r="IO733" s="319" t="s">
        <v>173</v>
      </c>
      <c r="IP733" s="319" t="s">
        <v>173</v>
      </c>
      <c r="IQ733" s="321" t="s">
        <v>173</v>
      </c>
      <c r="IR733" s="320" t="s">
        <v>173</v>
      </c>
      <c r="IS733" s="322" t="s">
        <v>173</v>
      </c>
      <c r="IT733" s="319" t="s">
        <v>173</v>
      </c>
    </row>
    <row r="734" spans="1:254" s="271" customFormat="1" x14ac:dyDescent="0.25">
      <c r="A734" s="318" t="str">
        <f>HYPERLINK("http://www.ofsted.gov.uk/inspection-reports/find-inspection-report/provider/ELS/139603 ","Ofsted School Webpage")</f>
        <v>Ofsted School Webpage</v>
      </c>
      <c r="B734" s="319">
        <v>139603</v>
      </c>
      <c r="C734" s="319">
        <v>8916023</v>
      </c>
      <c r="D734" s="319" t="s">
        <v>2218</v>
      </c>
      <c r="E734" s="319" t="s">
        <v>168</v>
      </c>
      <c r="F734" s="319" t="s">
        <v>81</v>
      </c>
      <c r="G734" s="319" t="s">
        <v>81</v>
      </c>
      <c r="H734" s="319" t="s">
        <v>81</v>
      </c>
      <c r="I734" s="319" t="s">
        <v>78</v>
      </c>
      <c r="J734" s="319" t="s">
        <v>424</v>
      </c>
      <c r="K734" s="319" t="s">
        <v>506</v>
      </c>
      <c r="L734" s="319" t="s">
        <v>506</v>
      </c>
      <c r="M734" s="319" t="s">
        <v>760</v>
      </c>
      <c r="N734" s="319" t="s">
        <v>3464</v>
      </c>
      <c r="O734" s="319" t="s">
        <v>2219</v>
      </c>
      <c r="P734" s="319">
        <v>59</v>
      </c>
      <c r="Q734" s="319" t="s">
        <v>429</v>
      </c>
      <c r="R734" s="320">
        <v>10026053</v>
      </c>
      <c r="S734" s="321">
        <v>42927</v>
      </c>
      <c r="T734" s="321">
        <v>42929</v>
      </c>
      <c r="U734" s="321">
        <v>42989</v>
      </c>
      <c r="V734" s="319" t="s">
        <v>425</v>
      </c>
      <c r="W734" s="319" t="s">
        <v>2767</v>
      </c>
      <c r="X734" s="319">
        <v>2</v>
      </c>
      <c r="Y734" s="319" t="s">
        <v>173</v>
      </c>
      <c r="Z734" s="319" t="s">
        <v>173</v>
      </c>
      <c r="AA734" s="319" t="s">
        <v>173</v>
      </c>
      <c r="AB734" s="319">
        <v>1</v>
      </c>
      <c r="AC734" s="319" t="s">
        <v>169</v>
      </c>
      <c r="AD734" s="319" t="s">
        <v>173</v>
      </c>
      <c r="AE734" s="319">
        <v>2</v>
      </c>
      <c r="AF734" s="319" t="s">
        <v>173</v>
      </c>
      <c r="AG734" s="319" t="s">
        <v>171</v>
      </c>
      <c r="AH734" s="319" t="s">
        <v>190</v>
      </c>
      <c r="AI734" s="319" t="s">
        <v>190</v>
      </c>
      <c r="AJ734" s="319" t="s">
        <v>190</v>
      </c>
      <c r="AK734" s="319" t="s">
        <v>190</v>
      </c>
      <c r="AL734" s="319" t="s">
        <v>190</v>
      </c>
      <c r="AM734" s="319" t="s">
        <v>190</v>
      </c>
      <c r="AN734" s="319" t="s">
        <v>190</v>
      </c>
      <c r="AO734" s="319" t="s">
        <v>190</v>
      </c>
      <c r="AP734" s="319" t="s">
        <v>190</v>
      </c>
      <c r="AQ734" s="319" t="s">
        <v>190</v>
      </c>
      <c r="AR734" s="319" t="s">
        <v>190</v>
      </c>
      <c r="AS734" s="319" t="s">
        <v>190</v>
      </c>
      <c r="AT734" s="319" t="s">
        <v>190</v>
      </c>
      <c r="AU734" s="319" t="s">
        <v>190</v>
      </c>
      <c r="AV734" s="319" t="s">
        <v>190</v>
      </c>
      <c r="AW734" s="319" t="s">
        <v>190</v>
      </c>
      <c r="AX734" s="319" t="s">
        <v>429</v>
      </c>
      <c r="AY734" s="319" t="s">
        <v>190</v>
      </c>
      <c r="AZ734" s="319" t="s">
        <v>190</v>
      </c>
      <c r="BA734" s="319" t="s">
        <v>190</v>
      </c>
      <c r="BB734" s="319" t="s">
        <v>190</v>
      </c>
      <c r="BC734" s="319" t="s">
        <v>190</v>
      </c>
      <c r="BD734" s="319" t="s">
        <v>190</v>
      </c>
      <c r="BE734" s="319" t="s">
        <v>190</v>
      </c>
      <c r="BF734" s="319" t="s">
        <v>429</v>
      </c>
      <c r="BG734" s="319" t="s">
        <v>190</v>
      </c>
      <c r="BH734" s="319" t="s">
        <v>190</v>
      </c>
      <c r="BI734" s="319" t="s">
        <v>190</v>
      </c>
      <c r="BJ734" s="319" t="s">
        <v>190</v>
      </c>
      <c r="BK734" s="319" t="s">
        <v>190</v>
      </c>
      <c r="BL734" s="319" t="s">
        <v>190</v>
      </c>
      <c r="BM734" s="319" t="s">
        <v>190</v>
      </c>
      <c r="BN734" s="319" t="s">
        <v>190</v>
      </c>
      <c r="BO734" s="319" t="s">
        <v>190</v>
      </c>
      <c r="BP734" s="319" t="s">
        <v>190</v>
      </c>
      <c r="BQ734" s="319" t="s">
        <v>190</v>
      </c>
      <c r="BR734" s="319" t="s">
        <v>190</v>
      </c>
      <c r="BS734" s="319" t="s">
        <v>190</v>
      </c>
      <c r="BT734" s="319" t="s">
        <v>190</v>
      </c>
      <c r="BU734" s="319" t="s">
        <v>190</v>
      </c>
      <c r="BV734" s="319" t="s">
        <v>190</v>
      </c>
      <c r="BW734" s="319" t="s">
        <v>190</v>
      </c>
      <c r="BX734" s="319" t="s">
        <v>190</v>
      </c>
      <c r="BY734" s="319" t="s">
        <v>190</v>
      </c>
      <c r="BZ734" s="319" t="s">
        <v>190</v>
      </c>
      <c r="CA734" s="319" t="s">
        <v>190</v>
      </c>
      <c r="CB734" s="319" t="s">
        <v>190</v>
      </c>
      <c r="CC734" s="319" t="s">
        <v>190</v>
      </c>
      <c r="CD734" s="319" t="s">
        <v>190</v>
      </c>
      <c r="CE734" s="319" t="s">
        <v>190</v>
      </c>
      <c r="CF734" s="319" t="s">
        <v>190</v>
      </c>
      <c r="CG734" s="319" t="s">
        <v>190</v>
      </c>
      <c r="CH734" s="319" t="s">
        <v>190</v>
      </c>
      <c r="CI734" s="319" t="s">
        <v>190</v>
      </c>
      <c r="CJ734" s="319" t="s">
        <v>190</v>
      </c>
      <c r="CK734" s="319" t="s">
        <v>190</v>
      </c>
      <c r="CL734" s="319" t="s">
        <v>190</v>
      </c>
      <c r="CM734" s="319" t="s">
        <v>190</v>
      </c>
      <c r="CN734" s="319" t="s">
        <v>429</v>
      </c>
      <c r="CO734" s="319" t="s">
        <v>429</v>
      </c>
      <c r="CP734" s="319" t="s">
        <v>429</v>
      </c>
      <c r="CQ734" s="319" t="s">
        <v>190</v>
      </c>
      <c r="CR734" s="319" t="s">
        <v>190</v>
      </c>
      <c r="CS734" s="319" t="s">
        <v>190</v>
      </c>
      <c r="CT734" s="319" t="s">
        <v>190</v>
      </c>
      <c r="CU734" s="319" t="s">
        <v>190</v>
      </c>
      <c r="CV734" s="319" t="s">
        <v>190</v>
      </c>
      <c r="CW734" s="319" t="s">
        <v>190</v>
      </c>
      <c r="CX734" s="319" t="s">
        <v>190</v>
      </c>
      <c r="CY734" s="319" t="s">
        <v>190</v>
      </c>
      <c r="CZ734" s="319" t="s">
        <v>190</v>
      </c>
      <c r="DA734" s="319" t="s">
        <v>190</v>
      </c>
      <c r="DB734" s="319" t="s">
        <v>190</v>
      </c>
      <c r="DC734" s="319" t="s">
        <v>190</v>
      </c>
      <c r="DD734" s="319" t="s">
        <v>190</v>
      </c>
      <c r="DE734" s="319" t="s">
        <v>190</v>
      </c>
      <c r="DF734" s="319" t="s">
        <v>190</v>
      </c>
      <c r="DG734" s="319" t="s">
        <v>190</v>
      </c>
      <c r="DH734" s="319" t="s">
        <v>190</v>
      </c>
      <c r="DI734" s="319" t="s">
        <v>190</v>
      </c>
      <c r="DJ734" s="319" t="s">
        <v>190</v>
      </c>
      <c r="DK734" s="319" t="s">
        <v>190</v>
      </c>
      <c r="DL734" s="319" t="s">
        <v>190</v>
      </c>
      <c r="DM734" s="319" t="s">
        <v>190</v>
      </c>
      <c r="DN734" s="319" t="s">
        <v>429</v>
      </c>
      <c r="DO734" s="319" t="s">
        <v>190</v>
      </c>
      <c r="DP734" s="319" t="s">
        <v>429</v>
      </c>
      <c r="DQ734" s="319" t="s">
        <v>429</v>
      </c>
      <c r="DR734" s="319" t="s">
        <v>429</v>
      </c>
      <c r="DS734" s="319" t="s">
        <v>429</v>
      </c>
      <c r="DT734" s="319" t="s">
        <v>429</v>
      </c>
      <c r="DU734" s="319" t="s">
        <v>429</v>
      </c>
      <c r="DV734" s="319" t="s">
        <v>173</v>
      </c>
      <c r="DW734" s="319" t="s">
        <v>429</v>
      </c>
      <c r="DX734" s="319" t="s">
        <v>429</v>
      </c>
      <c r="DY734" s="319" t="s">
        <v>429</v>
      </c>
      <c r="DZ734" s="319" t="s">
        <v>429</v>
      </c>
      <c r="EA734" s="319" t="s">
        <v>429</v>
      </c>
      <c r="EB734" s="319" t="s">
        <v>429</v>
      </c>
      <c r="EC734" s="319" t="s">
        <v>429</v>
      </c>
      <c r="ED734" s="319" t="s">
        <v>429</v>
      </c>
      <c r="EE734" s="319" t="s">
        <v>190</v>
      </c>
      <c r="EF734" s="319" t="s">
        <v>190</v>
      </c>
      <c r="EG734" s="319" t="s">
        <v>190</v>
      </c>
      <c r="EH734" s="319" t="s">
        <v>190</v>
      </c>
      <c r="EI734" s="319" t="s">
        <v>190</v>
      </c>
      <c r="EJ734" s="319" t="s">
        <v>190</v>
      </c>
      <c r="EK734" s="319" t="s">
        <v>190</v>
      </c>
      <c r="EL734" s="319" t="s">
        <v>190</v>
      </c>
      <c r="EM734" s="319" t="s">
        <v>429</v>
      </c>
      <c r="EN734" s="319" t="s">
        <v>190</v>
      </c>
      <c r="EO734" s="319" t="s">
        <v>190</v>
      </c>
      <c r="EP734" s="319" t="s">
        <v>190</v>
      </c>
      <c r="EQ734" s="319" t="s">
        <v>190</v>
      </c>
      <c r="ER734" s="319" t="s">
        <v>190</v>
      </c>
      <c r="ES734" s="319" t="s">
        <v>190</v>
      </c>
      <c r="ET734" s="319" t="s">
        <v>190</v>
      </c>
      <c r="EU734" s="319" t="s">
        <v>190</v>
      </c>
      <c r="EV734" s="319" t="s">
        <v>190</v>
      </c>
      <c r="EW734" s="319" t="s">
        <v>190</v>
      </c>
      <c r="EX734" s="319" t="s">
        <v>190</v>
      </c>
      <c r="EY734" s="319" t="s">
        <v>190</v>
      </c>
      <c r="EZ734" s="319" t="s">
        <v>190</v>
      </c>
      <c r="FA734" s="319" t="s">
        <v>429</v>
      </c>
      <c r="FB734" s="319" t="s">
        <v>429</v>
      </c>
      <c r="FC734" s="319" t="s">
        <v>429</v>
      </c>
      <c r="FD734" s="319" t="s">
        <v>429</v>
      </c>
      <c r="FE734" s="319" t="s">
        <v>429</v>
      </c>
      <c r="FF734" s="319" t="s">
        <v>429</v>
      </c>
      <c r="FG734" s="319" t="s">
        <v>429</v>
      </c>
      <c r="FH734" s="319" t="s">
        <v>190</v>
      </c>
      <c r="FI734" s="319" t="s">
        <v>429</v>
      </c>
      <c r="FJ734" s="319" t="s">
        <v>429</v>
      </c>
      <c r="FK734" s="319" t="s">
        <v>429</v>
      </c>
      <c r="FL734" s="319" t="s">
        <v>190</v>
      </c>
      <c r="FM734" s="319" t="s">
        <v>190</v>
      </c>
      <c r="FN734" s="319" t="s">
        <v>190</v>
      </c>
      <c r="FO734" s="319" t="s">
        <v>190</v>
      </c>
      <c r="FP734" s="319" t="s">
        <v>190</v>
      </c>
      <c r="FQ734" s="319" t="s">
        <v>190</v>
      </c>
      <c r="FR734" s="319" t="s">
        <v>190</v>
      </c>
      <c r="FS734" s="319" t="s">
        <v>429</v>
      </c>
      <c r="FT734" s="319" t="s">
        <v>190</v>
      </c>
      <c r="FU734" s="319" t="s">
        <v>190</v>
      </c>
      <c r="FV734" s="319" t="s">
        <v>190</v>
      </c>
      <c r="FW734" s="319" t="s">
        <v>190</v>
      </c>
      <c r="FX734" s="319" t="s">
        <v>190</v>
      </c>
      <c r="FY734" s="319" t="s">
        <v>190</v>
      </c>
      <c r="FZ734" s="319" t="s">
        <v>190</v>
      </c>
      <c r="GA734" s="319" t="s">
        <v>190</v>
      </c>
      <c r="GB734" s="319" t="s">
        <v>190</v>
      </c>
      <c r="GC734" s="319" t="s">
        <v>190</v>
      </c>
      <c r="GD734" s="319" t="s">
        <v>190</v>
      </c>
      <c r="GE734" s="319" t="s">
        <v>190</v>
      </c>
      <c r="GF734" s="319" t="s">
        <v>190</v>
      </c>
      <c r="GG734" s="319" t="s">
        <v>190</v>
      </c>
      <c r="GH734" s="319" t="s">
        <v>190</v>
      </c>
      <c r="GI734" s="319" t="s">
        <v>190</v>
      </c>
      <c r="GJ734" s="319" t="s">
        <v>190</v>
      </c>
      <c r="GK734" s="319" t="s">
        <v>429</v>
      </c>
      <c r="GL734" s="319" t="s">
        <v>190</v>
      </c>
      <c r="GM734" s="319" t="s">
        <v>190</v>
      </c>
      <c r="GN734" s="319" t="s">
        <v>190</v>
      </c>
      <c r="GO734" s="319" t="s">
        <v>190</v>
      </c>
      <c r="GP734" s="319" t="s">
        <v>190</v>
      </c>
      <c r="GQ734" s="319" t="s">
        <v>429</v>
      </c>
      <c r="GR734" s="319" t="s">
        <v>190</v>
      </c>
      <c r="GS734" s="319" t="s">
        <v>190</v>
      </c>
      <c r="GT734" s="319" t="s">
        <v>190</v>
      </c>
      <c r="GU734" s="319" t="s">
        <v>190</v>
      </c>
      <c r="GV734" s="319" t="s">
        <v>429</v>
      </c>
      <c r="GW734" s="319" t="s">
        <v>190</v>
      </c>
      <c r="GX734" s="319" t="s">
        <v>190</v>
      </c>
      <c r="GY734" s="319" t="s">
        <v>190</v>
      </c>
      <c r="GZ734" s="319" t="s">
        <v>429</v>
      </c>
      <c r="HA734" s="319" t="s">
        <v>190</v>
      </c>
      <c r="HB734" s="319" t="s">
        <v>190</v>
      </c>
      <c r="HC734" s="319" t="s">
        <v>190</v>
      </c>
      <c r="HD734" s="319" t="s">
        <v>190</v>
      </c>
      <c r="HE734" s="319" t="s">
        <v>190</v>
      </c>
      <c r="HF734" s="319" t="s">
        <v>190</v>
      </c>
      <c r="HG734" s="319" t="s">
        <v>190</v>
      </c>
      <c r="HH734" s="319" t="s">
        <v>190</v>
      </c>
      <c r="HI734" s="319" t="s">
        <v>190</v>
      </c>
      <c r="HJ734" s="319" t="s">
        <v>190</v>
      </c>
      <c r="HK734" s="319" t="s">
        <v>190</v>
      </c>
      <c r="HL734" s="319" t="s">
        <v>190</v>
      </c>
      <c r="HM734" s="319" t="s">
        <v>429</v>
      </c>
      <c r="HN734" s="319" t="s">
        <v>429</v>
      </c>
      <c r="HO734" s="319" t="s">
        <v>429</v>
      </c>
      <c r="HP734" s="319" t="s">
        <v>190</v>
      </c>
      <c r="HQ734" s="319" t="s">
        <v>190</v>
      </c>
      <c r="HR734" s="319" t="s">
        <v>190</v>
      </c>
      <c r="HS734" s="319" t="s">
        <v>190</v>
      </c>
      <c r="HT734" s="319" t="s">
        <v>190</v>
      </c>
      <c r="HU734" s="319" t="s">
        <v>190</v>
      </c>
      <c r="HV734" s="319" t="s">
        <v>190</v>
      </c>
      <c r="HW734" s="319" t="s">
        <v>190</v>
      </c>
      <c r="HX734" s="319" t="s">
        <v>190</v>
      </c>
      <c r="HY734" s="319" t="s">
        <v>190</v>
      </c>
      <c r="HZ734" s="319" t="s">
        <v>190</v>
      </c>
      <c r="IA734" s="319" t="s">
        <v>190</v>
      </c>
      <c r="IB734" s="319" t="s">
        <v>190</v>
      </c>
      <c r="IC734" s="319" t="s">
        <v>190</v>
      </c>
      <c r="ID734" s="319" t="s">
        <v>190</v>
      </c>
      <c r="IE734" s="319" t="s">
        <v>190</v>
      </c>
      <c r="IF734" s="319" t="s">
        <v>190</v>
      </c>
      <c r="IG734" s="319" t="s">
        <v>190</v>
      </c>
      <c r="IH734" s="319" t="s">
        <v>190</v>
      </c>
      <c r="II734" s="319" t="s">
        <v>190</v>
      </c>
      <c r="IJ734" s="319" t="s">
        <v>3465</v>
      </c>
      <c r="IK734" s="321">
        <v>41667</v>
      </c>
      <c r="IL734" s="321">
        <v>41669</v>
      </c>
      <c r="IM734" s="321">
        <v>41695</v>
      </c>
      <c r="IN734" s="319">
        <v>2</v>
      </c>
      <c r="IO734" s="319" t="s">
        <v>173</v>
      </c>
      <c r="IP734" s="319" t="s">
        <v>173</v>
      </c>
      <c r="IQ734" s="321" t="s">
        <v>173</v>
      </c>
      <c r="IR734" s="320" t="s">
        <v>173</v>
      </c>
      <c r="IS734" s="322" t="s">
        <v>173</v>
      </c>
      <c r="IT734" s="319" t="s">
        <v>173</v>
      </c>
    </row>
    <row r="735" spans="1:254" s="271" customFormat="1" x14ac:dyDescent="0.25">
      <c r="A735" s="318" t="str">
        <f>HYPERLINK("http://www.ofsted.gov.uk/inspection-reports/find-inspection-report/provider/ELS/139657 ","Ofsted School Webpage")</f>
        <v>Ofsted School Webpage</v>
      </c>
      <c r="B735" s="319">
        <v>139657</v>
      </c>
      <c r="C735" s="319">
        <v>8456019</v>
      </c>
      <c r="D735" s="319" t="s">
        <v>928</v>
      </c>
      <c r="E735" s="319" t="s">
        <v>168</v>
      </c>
      <c r="F735" s="319" t="s">
        <v>81</v>
      </c>
      <c r="G735" s="319" t="s">
        <v>81</v>
      </c>
      <c r="H735" s="319" t="s">
        <v>81</v>
      </c>
      <c r="I735" s="319" t="s">
        <v>78</v>
      </c>
      <c r="J735" s="319" t="s">
        <v>424</v>
      </c>
      <c r="K735" s="319" t="s">
        <v>514</v>
      </c>
      <c r="L735" s="319" t="s">
        <v>514</v>
      </c>
      <c r="M735" s="319" t="s">
        <v>676</v>
      </c>
      <c r="N735" s="319" t="s">
        <v>3466</v>
      </c>
      <c r="O735" s="319" t="s">
        <v>929</v>
      </c>
      <c r="P735" s="319">
        <v>4</v>
      </c>
      <c r="Q735" s="319" t="s">
        <v>429</v>
      </c>
      <c r="R735" s="320">
        <v>10056680</v>
      </c>
      <c r="S735" s="321">
        <v>43508</v>
      </c>
      <c r="T735" s="321">
        <v>43510</v>
      </c>
      <c r="U735" s="321">
        <v>43534</v>
      </c>
      <c r="V735" s="319" t="s">
        <v>425</v>
      </c>
      <c r="W735" s="319" t="s">
        <v>2767</v>
      </c>
      <c r="X735" s="319">
        <v>2</v>
      </c>
      <c r="Y735" s="319" t="s">
        <v>173</v>
      </c>
      <c r="Z735" s="319" t="s">
        <v>173</v>
      </c>
      <c r="AA735" s="319" t="s">
        <v>173</v>
      </c>
      <c r="AB735" s="319">
        <v>2</v>
      </c>
      <c r="AC735" s="319" t="s">
        <v>169</v>
      </c>
      <c r="AD735" s="319" t="s">
        <v>173</v>
      </c>
      <c r="AE735" s="319" t="s">
        <v>173</v>
      </c>
      <c r="AF735" s="319" t="s">
        <v>427</v>
      </c>
      <c r="AG735" s="319" t="s">
        <v>171</v>
      </c>
      <c r="AH735" s="319" t="s">
        <v>190</v>
      </c>
      <c r="AI735" s="319" t="s">
        <v>190</v>
      </c>
      <c r="AJ735" s="319" t="s">
        <v>190</v>
      </c>
      <c r="AK735" s="319" t="s">
        <v>190</v>
      </c>
      <c r="AL735" s="319" t="s">
        <v>190</v>
      </c>
      <c r="AM735" s="319" t="s">
        <v>190</v>
      </c>
      <c r="AN735" s="319" t="s">
        <v>190</v>
      </c>
      <c r="AO735" s="319" t="s">
        <v>190</v>
      </c>
      <c r="AP735" s="319" t="s">
        <v>190</v>
      </c>
      <c r="AQ735" s="319" t="s">
        <v>190</v>
      </c>
      <c r="AR735" s="319" t="s">
        <v>190</v>
      </c>
      <c r="AS735" s="319" t="s">
        <v>190</v>
      </c>
      <c r="AT735" s="319" t="s">
        <v>190</v>
      </c>
      <c r="AU735" s="319" t="s">
        <v>190</v>
      </c>
      <c r="AV735" s="319" t="s">
        <v>190</v>
      </c>
      <c r="AW735" s="319" t="s">
        <v>190</v>
      </c>
      <c r="AX735" s="319" t="s">
        <v>428</v>
      </c>
      <c r="AY735" s="319" t="s">
        <v>190</v>
      </c>
      <c r="AZ735" s="319" t="s">
        <v>190</v>
      </c>
      <c r="BA735" s="319" t="s">
        <v>190</v>
      </c>
      <c r="BB735" s="319" t="s">
        <v>190</v>
      </c>
      <c r="BC735" s="319" t="s">
        <v>190</v>
      </c>
      <c r="BD735" s="319" t="s">
        <v>190</v>
      </c>
      <c r="BE735" s="319" t="s">
        <v>190</v>
      </c>
      <c r="BF735" s="319" t="s">
        <v>428</v>
      </c>
      <c r="BG735" s="319" t="s">
        <v>428</v>
      </c>
      <c r="BH735" s="319" t="s">
        <v>190</v>
      </c>
      <c r="BI735" s="319" t="s">
        <v>190</v>
      </c>
      <c r="BJ735" s="319" t="s">
        <v>190</v>
      </c>
      <c r="BK735" s="319" t="s">
        <v>190</v>
      </c>
      <c r="BL735" s="319" t="s">
        <v>190</v>
      </c>
      <c r="BM735" s="319" t="s">
        <v>190</v>
      </c>
      <c r="BN735" s="319" t="s">
        <v>190</v>
      </c>
      <c r="BO735" s="319" t="s">
        <v>190</v>
      </c>
      <c r="BP735" s="319" t="s">
        <v>190</v>
      </c>
      <c r="BQ735" s="319" t="s">
        <v>190</v>
      </c>
      <c r="BR735" s="319" t="s">
        <v>190</v>
      </c>
      <c r="BS735" s="319" t="s">
        <v>190</v>
      </c>
      <c r="BT735" s="319" t="s">
        <v>190</v>
      </c>
      <c r="BU735" s="319" t="s">
        <v>190</v>
      </c>
      <c r="BV735" s="319" t="s">
        <v>190</v>
      </c>
      <c r="BW735" s="319" t="s">
        <v>190</v>
      </c>
      <c r="BX735" s="319" t="s">
        <v>190</v>
      </c>
      <c r="BY735" s="319" t="s">
        <v>190</v>
      </c>
      <c r="BZ735" s="319" t="s">
        <v>190</v>
      </c>
      <c r="CA735" s="319" t="s">
        <v>190</v>
      </c>
      <c r="CB735" s="319" t="s">
        <v>190</v>
      </c>
      <c r="CC735" s="319" t="s">
        <v>190</v>
      </c>
      <c r="CD735" s="319" t="s">
        <v>190</v>
      </c>
      <c r="CE735" s="319" t="s">
        <v>190</v>
      </c>
      <c r="CF735" s="319" t="s">
        <v>190</v>
      </c>
      <c r="CG735" s="319" t="s">
        <v>190</v>
      </c>
      <c r="CH735" s="319" t="s">
        <v>190</v>
      </c>
      <c r="CI735" s="319" t="s">
        <v>190</v>
      </c>
      <c r="CJ735" s="319" t="s">
        <v>190</v>
      </c>
      <c r="CK735" s="319" t="s">
        <v>190</v>
      </c>
      <c r="CL735" s="319" t="s">
        <v>190</v>
      </c>
      <c r="CM735" s="319" t="s">
        <v>190</v>
      </c>
      <c r="CN735" s="319" t="s">
        <v>428</v>
      </c>
      <c r="CO735" s="319" t="s">
        <v>428</v>
      </c>
      <c r="CP735" s="319" t="s">
        <v>428</v>
      </c>
      <c r="CQ735" s="319" t="s">
        <v>190</v>
      </c>
      <c r="CR735" s="319" t="s">
        <v>190</v>
      </c>
      <c r="CS735" s="319" t="s">
        <v>190</v>
      </c>
      <c r="CT735" s="319" t="s">
        <v>190</v>
      </c>
      <c r="CU735" s="319" t="s">
        <v>190</v>
      </c>
      <c r="CV735" s="319" t="s">
        <v>190</v>
      </c>
      <c r="CW735" s="319" t="s">
        <v>190</v>
      </c>
      <c r="CX735" s="319" t="s">
        <v>190</v>
      </c>
      <c r="CY735" s="319" t="s">
        <v>190</v>
      </c>
      <c r="CZ735" s="319" t="s">
        <v>190</v>
      </c>
      <c r="DA735" s="319" t="s">
        <v>190</v>
      </c>
      <c r="DB735" s="319" t="s">
        <v>190</v>
      </c>
      <c r="DC735" s="319" t="s">
        <v>190</v>
      </c>
      <c r="DD735" s="319" t="s">
        <v>190</v>
      </c>
      <c r="DE735" s="319" t="s">
        <v>190</v>
      </c>
      <c r="DF735" s="319" t="s">
        <v>190</v>
      </c>
      <c r="DG735" s="319" t="s">
        <v>190</v>
      </c>
      <c r="DH735" s="319" t="s">
        <v>190</v>
      </c>
      <c r="DI735" s="319" t="s">
        <v>190</v>
      </c>
      <c r="DJ735" s="319" t="s">
        <v>190</v>
      </c>
      <c r="DK735" s="319" t="s">
        <v>190</v>
      </c>
      <c r="DL735" s="319" t="s">
        <v>190</v>
      </c>
      <c r="DM735" s="319" t="s">
        <v>190</v>
      </c>
      <c r="DN735" s="319" t="s">
        <v>428</v>
      </c>
      <c r="DO735" s="319" t="s">
        <v>190</v>
      </c>
      <c r="DP735" s="319" t="s">
        <v>190</v>
      </c>
      <c r="DQ735" s="319" t="s">
        <v>190</v>
      </c>
      <c r="DR735" s="319" t="s">
        <v>190</v>
      </c>
      <c r="DS735" s="319" t="s">
        <v>190</v>
      </c>
      <c r="DT735" s="319" t="s">
        <v>190</v>
      </c>
      <c r="DU735" s="319" t="s">
        <v>190</v>
      </c>
      <c r="DV735" s="319" t="s">
        <v>173</v>
      </c>
      <c r="DW735" s="319" t="s">
        <v>190</v>
      </c>
      <c r="DX735" s="319" t="s">
        <v>190</v>
      </c>
      <c r="DY735" s="319" t="s">
        <v>190</v>
      </c>
      <c r="DZ735" s="319" t="s">
        <v>190</v>
      </c>
      <c r="EA735" s="319" t="s">
        <v>190</v>
      </c>
      <c r="EB735" s="319" t="s">
        <v>190</v>
      </c>
      <c r="EC735" s="319" t="s">
        <v>428</v>
      </c>
      <c r="ED735" s="319" t="s">
        <v>190</v>
      </c>
      <c r="EE735" s="319" t="s">
        <v>190</v>
      </c>
      <c r="EF735" s="319" t="s">
        <v>190</v>
      </c>
      <c r="EG735" s="319" t="s">
        <v>190</v>
      </c>
      <c r="EH735" s="319" t="s">
        <v>190</v>
      </c>
      <c r="EI735" s="319" t="s">
        <v>190</v>
      </c>
      <c r="EJ735" s="319" t="s">
        <v>190</v>
      </c>
      <c r="EK735" s="319" t="s">
        <v>190</v>
      </c>
      <c r="EL735" s="319" t="s">
        <v>190</v>
      </c>
      <c r="EM735" s="319" t="s">
        <v>190</v>
      </c>
      <c r="EN735" s="319" t="s">
        <v>190</v>
      </c>
      <c r="EO735" s="319" t="s">
        <v>190</v>
      </c>
      <c r="EP735" s="319" t="s">
        <v>190</v>
      </c>
      <c r="EQ735" s="319" t="s">
        <v>190</v>
      </c>
      <c r="ER735" s="319" t="s">
        <v>190</v>
      </c>
      <c r="ES735" s="319" t="s">
        <v>190</v>
      </c>
      <c r="ET735" s="319" t="s">
        <v>190</v>
      </c>
      <c r="EU735" s="319" t="s">
        <v>190</v>
      </c>
      <c r="EV735" s="319" t="s">
        <v>190</v>
      </c>
      <c r="EW735" s="319" t="s">
        <v>190</v>
      </c>
      <c r="EX735" s="319" t="s">
        <v>190</v>
      </c>
      <c r="EY735" s="319" t="s">
        <v>190</v>
      </c>
      <c r="EZ735" s="319" t="s">
        <v>190</v>
      </c>
      <c r="FA735" s="319" t="s">
        <v>190</v>
      </c>
      <c r="FB735" s="319" t="s">
        <v>190</v>
      </c>
      <c r="FC735" s="319" t="s">
        <v>190</v>
      </c>
      <c r="FD735" s="319" t="s">
        <v>190</v>
      </c>
      <c r="FE735" s="319" t="s">
        <v>190</v>
      </c>
      <c r="FF735" s="319" t="s">
        <v>190</v>
      </c>
      <c r="FG735" s="319" t="s">
        <v>190</v>
      </c>
      <c r="FH735" s="319" t="s">
        <v>190</v>
      </c>
      <c r="FI735" s="319" t="s">
        <v>190</v>
      </c>
      <c r="FJ735" s="319" t="s">
        <v>190</v>
      </c>
      <c r="FK735" s="319" t="s">
        <v>190</v>
      </c>
      <c r="FL735" s="319" t="s">
        <v>190</v>
      </c>
      <c r="FM735" s="319" t="s">
        <v>190</v>
      </c>
      <c r="FN735" s="319" t="s">
        <v>190</v>
      </c>
      <c r="FO735" s="319" t="s">
        <v>190</v>
      </c>
      <c r="FP735" s="319" t="s">
        <v>190</v>
      </c>
      <c r="FQ735" s="319" t="s">
        <v>190</v>
      </c>
      <c r="FR735" s="319" t="s">
        <v>190</v>
      </c>
      <c r="FS735" s="319" t="s">
        <v>428</v>
      </c>
      <c r="FT735" s="319" t="s">
        <v>190</v>
      </c>
      <c r="FU735" s="319" t="s">
        <v>190</v>
      </c>
      <c r="FV735" s="319" t="s">
        <v>190</v>
      </c>
      <c r="FW735" s="319" t="s">
        <v>190</v>
      </c>
      <c r="FX735" s="319" t="s">
        <v>190</v>
      </c>
      <c r="FY735" s="319" t="s">
        <v>190</v>
      </c>
      <c r="FZ735" s="319" t="s">
        <v>190</v>
      </c>
      <c r="GA735" s="319" t="s">
        <v>190</v>
      </c>
      <c r="GB735" s="319" t="s">
        <v>190</v>
      </c>
      <c r="GC735" s="319" t="s">
        <v>190</v>
      </c>
      <c r="GD735" s="319" t="s">
        <v>190</v>
      </c>
      <c r="GE735" s="319" t="s">
        <v>190</v>
      </c>
      <c r="GF735" s="319" t="s">
        <v>190</v>
      </c>
      <c r="GG735" s="319" t="s">
        <v>190</v>
      </c>
      <c r="GH735" s="319" t="s">
        <v>190</v>
      </c>
      <c r="GI735" s="319" t="s">
        <v>190</v>
      </c>
      <c r="GJ735" s="319" t="s">
        <v>190</v>
      </c>
      <c r="GK735" s="319" t="s">
        <v>428</v>
      </c>
      <c r="GL735" s="319" t="s">
        <v>190</v>
      </c>
      <c r="GM735" s="319" t="s">
        <v>190</v>
      </c>
      <c r="GN735" s="319" t="s">
        <v>190</v>
      </c>
      <c r="GO735" s="319" t="s">
        <v>190</v>
      </c>
      <c r="GP735" s="319" t="s">
        <v>190</v>
      </c>
      <c r="GQ735" s="319" t="s">
        <v>190</v>
      </c>
      <c r="GR735" s="319" t="s">
        <v>190</v>
      </c>
      <c r="GS735" s="319" t="s">
        <v>190</v>
      </c>
      <c r="GT735" s="319" t="s">
        <v>190</v>
      </c>
      <c r="GU735" s="319" t="s">
        <v>190</v>
      </c>
      <c r="GV735" s="319" t="s">
        <v>190</v>
      </c>
      <c r="GW735" s="319" t="s">
        <v>190</v>
      </c>
      <c r="GX735" s="319" t="s">
        <v>190</v>
      </c>
      <c r="GY735" s="319" t="s">
        <v>190</v>
      </c>
      <c r="GZ735" s="319" t="s">
        <v>190</v>
      </c>
      <c r="HA735" s="319" t="s">
        <v>428</v>
      </c>
      <c r="HB735" s="319" t="s">
        <v>190</v>
      </c>
      <c r="HC735" s="319" t="s">
        <v>190</v>
      </c>
      <c r="HD735" s="319" t="s">
        <v>190</v>
      </c>
      <c r="HE735" s="319" t="s">
        <v>190</v>
      </c>
      <c r="HF735" s="319" t="s">
        <v>190</v>
      </c>
      <c r="HG735" s="319" t="s">
        <v>190</v>
      </c>
      <c r="HH735" s="319" t="s">
        <v>190</v>
      </c>
      <c r="HI735" s="319" t="s">
        <v>190</v>
      </c>
      <c r="HJ735" s="319" t="s">
        <v>190</v>
      </c>
      <c r="HK735" s="319" t="s">
        <v>190</v>
      </c>
      <c r="HL735" s="319" t="s">
        <v>190</v>
      </c>
      <c r="HM735" s="319" t="s">
        <v>190</v>
      </c>
      <c r="HN735" s="319" t="s">
        <v>190</v>
      </c>
      <c r="HO735" s="319" t="s">
        <v>190</v>
      </c>
      <c r="HP735" s="319" t="s">
        <v>190</v>
      </c>
      <c r="HQ735" s="319" t="s">
        <v>190</v>
      </c>
      <c r="HR735" s="319" t="s">
        <v>190</v>
      </c>
      <c r="HS735" s="319" t="s">
        <v>190</v>
      </c>
      <c r="HT735" s="319" t="s">
        <v>190</v>
      </c>
      <c r="HU735" s="319" t="s">
        <v>190</v>
      </c>
      <c r="HV735" s="319" t="s">
        <v>190</v>
      </c>
      <c r="HW735" s="319" t="s">
        <v>190</v>
      </c>
      <c r="HX735" s="319" t="s">
        <v>190</v>
      </c>
      <c r="HY735" s="319" t="s">
        <v>190</v>
      </c>
      <c r="HZ735" s="319" t="s">
        <v>190</v>
      </c>
      <c r="IA735" s="319" t="s">
        <v>190</v>
      </c>
      <c r="IB735" s="319" t="s">
        <v>190</v>
      </c>
      <c r="IC735" s="319" t="s">
        <v>190</v>
      </c>
      <c r="ID735" s="319" t="s">
        <v>190</v>
      </c>
      <c r="IE735" s="319" t="s">
        <v>190</v>
      </c>
      <c r="IF735" s="319" t="s">
        <v>190</v>
      </c>
      <c r="IG735" s="319" t="s">
        <v>190</v>
      </c>
      <c r="IH735" s="319" t="s">
        <v>190</v>
      </c>
      <c r="II735" s="319" t="s">
        <v>190</v>
      </c>
      <c r="IJ735" s="319">
        <v>10033957</v>
      </c>
      <c r="IK735" s="321">
        <v>42906</v>
      </c>
      <c r="IL735" s="321">
        <v>42908</v>
      </c>
      <c r="IM735" s="321">
        <v>42986</v>
      </c>
      <c r="IN735" s="319">
        <v>4</v>
      </c>
      <c r="IO735" s="319" t="s">
        <v>173</v>
      </c>
      <c r="IP735" s="319" t="s">
        <v>173</v>
      </c>
      <c r="IQ735" s="321" t="s">
        <v>173</v>
      </c>
      <c r="IR735" s="320" t="s">
        <v>173</v>
      </c>
      <c r="IS735" s="322" t="s">
        <v>173</v>
      </c>
      <c r="IT735" s="319" t="s">
        <v>173</v>
      </c>
    </row>
    <row r="736" spans="1:254" s="271" customFormat="1" x14ac:dyDescent="0.25">
      <c r="A736" s="318" t="str">
        <f>HYPERLINK("http://www.ofsted.gov.uk/inspection-reports/find-inspection-report/provider/ELS/139706 ","Ofsted School Webpage")</f>
        <v>Ofsted School Webpage</v>
      </c>
      <c r="B736" s="319">
        <v>139706</v>
      </c>
      <c r="C736" s="319">
        <v>3306014</v>
      </c>
      <c r="D736" s="319" t="s">
        <v>2220</v>
      </c>
      <c r="E736" s="319" t="s">
        <v>168</v>
      </c>
      <c r="F736" s="319" t="s">
        <v>77</v>
      </c>
      <c r="G736" s="319" t="s">
        <v>81</v>
      </c>
      <c r="H736" s="319" t="s">
        <v>81</v>
      </c>
      <c r="I736" s="319" t="s">
        <v>78</v>
      </c>
      <c r="J736" s="319" t="s">
        <v>424</v>
      </c>
      <c r="K736" s="319" t="s">
        <v>437</v>
      </c>
      <c r="L736" s="319" t="s">
        <v>437</v>
      </c>
      <c r="M736" s="319" t="s">
        <v>813</v>
      </c>
      <c r="N736" s="319" t="s">
        <v>2853</v>
      </c>
      <c r="O736" s="319" t="s">
        <v>2221</v>
      </c>
      <c r="P736" s="319">
        <v>16</v>
      </c>
      <c r="Q736" s="319" t="s">
        <v>429</v>
      </c>
      <c r="R736" s="320">
        <v>10033573</v>
      </c>
      <c r="S736" s="321">
        <v>42892</v>
      </c>
      <c r="T736" s="321">
        <v>42894</v>
      </c>
      <c r="U736" s="321">
        <v>42914</v>
      </c>
      <c r="V736" s="319" t="s">
        <v>425</v>
      </c>
      <c r="W736" s="319" t="s">
        <v>2767</v>
      </c>
      <c r="X736" s="319">
        <v>2</v>
      </c>
      <c r="Y736" s="319" t="s">
        <v>173</v>
      </c>
      <c r="Z736" s="319" t="s">
        <v>173</v>
      </c>
      <c r="AA736" s="319" t="s">
        <v>173</v>
      </c>
      <c r="AB736" s="319">
        <v>2</v>
      </c>
      <c r="AC736" s="319" t="s">
        <v>169</v>
      </c>
      <c r="AD736" s="319" t="s">
        <v>173</v>
      </c>
      <c r="AE736" s="319" t="s">
        <v>173</v>
      </c>
      <c r="AF736" s="319" t="s">
        <v>173</v>
      </c>
      <c r="AG736" s="319" t="s">
        <v>171</v>
      </c>
      <c r="AH736" s="319" t="s">
        <v>190</v>
      </c>
      <c r="AI736" s="319" t="s">
        <v>190</v>
      </c>
      <c r="AJ736" s="319" t="s">
        <v>190</v>
      </c>
      <c r="AK736" s="319" t="s">
        <v>190</v>
      </c>
      <c r="AL736" s="319" t="s">
        <v>190</v>
      </c>
      <c r="AM736" s="319" t="s">
        <v>190</v>
      </c>
      <c r="AN736" s="319" t="s">
        <v>190</v>
      </c>
      <c r="AO736" s="319" t="s">
        <v>190</v>
      </c>
      <c r="AP736" s="319" t="s">
        <v>190</v>
      </c>
      <c r="AQ736" s="319" t="s">
        <v>190</v>
      </c>
      <c r="AR736" s="319" t="s">
        <v>190</v>
      </c>
      <c r="AS736" s="319" t="s">
        <v>190</v>
      </c>
      <c r="AT736" s="319" t="s">
        <v>190</v>
      </c>
      <c r="AU736" s="319" t="s">
        <v>190</v>
      </c>
      <c r="AV736" s="319" t="s">
        <v>190</v>
      </c>
      <c r="AW736" s="319" t="s">
        <v>190</v>
      </c>
      <c r="AX736" s="319" t="s">
        <v>429</v>
      </c>
      <c r="AY736" s="319" t="s">
        <v>190</v>
      </c>
      <c r="AZ736" s="319" t="s">
        <v>190</v>
      </c>
      <c r="BA736" s="319" t="s">
        <v>190</v>
      </c>
      <c r="BB736" s="319" t="s">
        <v>190</v>
      </c>
      <c r="BC736" s="319" t="s">
        <v>190</v>
      </c>
      <c r="BD736" s="319" t="s">
        <v>190</v>
      </c>
      <c r="BE736" s="319" t="s">
        <v>190</v>
      </c>
      <c r="BF736" s="319" t="s">
        <v>429</v>
      </c>
      <c r="BG736" s="319" t="s">
        <v>190</v>
      </c>
      <c r="BH736" s="319" t="s">
        <v>190</v>
      </c>
      <c r="BI736" s="319" t="s">
        <v>190</v>
      </c>
      <c r="BJ736" s="319" t="s">
        <v>190</v>
      </c>
      <c r="BK736" s="319" t="s">
        <v>190</v>
      </c>
      <c r="BL736" s="319" t="s">
        <v>190</v>
      </c>
      <c r="BM736" s="319" t="s">
        <v>190</v>
      </c>
      <c r="BN736" s="319" t="s">
        <v>190</v>
      </c>
      <c r="BO736" s="319" t="s">
        <v>190</v>
      </c>
      <c r="BP736" s="319" t="s">
        <v>190</v>
      </c>
      <c r="BQ736" s="319" t="s">
        <v>190</v>
      </c>
      <c r="BR736" s="319" t="s">
        <v>190</v>
      </c>
      <c r="BS736" s="319" t="s">
        <v>190</v>
      </c>
      <c r="BT736" s="319" t="s">
        <v>190</v>
      </c>
      <c r="BU736" s="319" t="s">
        <v>190</v>
      </c>
      <c r="BV736" s="319" t="s">
        <v>190</v>
      </c>
      <c r="BW736" s="319" t="s">
        <v>190</v>
      </c>
      <c r="BX736" s="319" t="s">
        <v>190</v>
      </c>
      <c r="BY736" s="319" t="s">
        <v>190</v>
      </c>
      <c r="BZ736" s="319" t="s">
        <v>190</v>
      </c>
      <c r="CA736" s="319" t="s">
        <v>190</v>
      </c>
      <c r="CB736" s="319" t="s">
        <v>190</v>
      </c>
      <c r="CC736" s="319" t="s">
        <v>190</v>
      </c>
      <c r="CD736" s="319" t="s">
        <v>190</v>
      </c>
      <c r="CE736" s="319" t="s">
        <v>190</v>
      </c>
      <c r="CF736" s="319" t="s">
        <v>190</v>
      </c>
      <c r="CG736" s="319" t="s">
        <v>190</v>
      </c>
      <c r="CH736" s="319" t="s">
        <v>190</v>
      </c>
      <c r="CI736" s="319" t="s">
        <v>190</v>
      </c>
      <c r="CJ736" s="319" t="s">
        <v>190</v>
      </c>
      <c r="CK736" s="319" t="s">
        <v>190</v>
      </c>
      <c r="CL736" s="319" t="s">
        <v>190</v>
      </c>
      <c r="CM736" s="319" t="s">
        <v>190</v>
      </c>
      <c r="CN736" s="319" t="s">
        <v>429</v>
      </c>
      <c r="CO736" s="319" t="s">
        <v>429</v>
      </c>
      <c r="CP736" s="319" t="s">
        <v>429</v>
      </c>
      <c r="CQ736" s="319" t="s">
        <v>190</v>
      </c>
      <c r="CR736" s="319" t="s">
        <v>190</v>
      </c>
      <c r="CS736" s="319" t="s">
        <v>190</v>
      </c>
      <c r="CT736" s="319" t="s">
        <v>190</v>
      </c>
      <c r="CU736" s="319" t="s">
        <v>190</v>
      </c>
      <c r="CV736" s="319" t="s">
        <v>190</v>
      </c>
      <c r="CW736" s="319" t="s">
        <v>190</v>
      </c>
      <c r="CX736" s="319" t="s">
        <v>190</v>
      </c>
      <c r="CY736" s="319" t="s">
        <v>190</v>
      </c>
      <c r="CZ736" s="319" t="s">
        <v>190</v>
      </c>
      <c r="DA736" s="319" t="s">
        <v>190</v>
      </c>
      <c r="DB736" s="319" t="s">
        <v>190</v>
      </c>
      <c r="DC736" s="319" t="s">
        <v>190</v>
      </c>
      <c r="DD736" s="319" t="s">
        <v>190</v>
      </c>
      <c r="DE736" s="319" t="s">
        <v>190</v>
      </c>
      <c r="DF736" s="319" t="s">
        <v>190</v>
      </c>
      <c r="DG736" s="319" t="s">
        <v>190</v>
      </c>
      <c r="DH736" s="319" t="s">
        <v>190</v>
      </c>
      <c r="DI736" s="319" t="s">
        <v>190</v>
      </c>
      <c r="DJ736" s="319" t="s">
        <v>190</v>
      </c>
      <c r="DK736" s="319" t="s">
        <v>190</v>
      </c>
      <c r="DL736" s="319" t="s">
        <v>190</v>
      </c>
      <c r="DM736" s="319" t="s">
        <v>429</v>
      </c>
      <c r="DN736" s="319" t="s">
        <v>429</v>
      </c>
      <c r="DO736" s="319" t="s">
        <v>190</v>
      </c>
      <c r="DP736" s="319" t="s">
        <v>429</v>
      </c>
      <c r="DQ736" s="319" t="s">
        <v>429</v>
      </c>
      <c r="DR736" s="319" t="s">
        <v>429</v>
      </c>
      <c r="DS736" s="319" t="s">
        <v>429</v>
      </c>
      <c r="DT736" s="319" t="s">
        <v>429</v>
      </c>
      <c r="DU736" s="319" t="s">
        <v>429</v>
      </c>
      <c r="DV736" s="319" t="s">
        <v>173</v>
      </c>
      <c r="DW736" s="319" t="s">
        <v>429</v>
      </c>
      <c r="DX736" s="319" t="s">
        <v>429</v>
      </c>
      <c r="DY736" s="319" t="s">
        <v>429</v>
      </c>
      <c r="DZ736" s="319" t="s">
        <v>429</v>
      </c>
      <c r="EA736" s="319" t="s">
        <v>429</v>
      </c>
      <c r="EB736" s="319" t="s">
        <v>429</v>
      </c>
      <c r="EC736" s="319" t="s">
        <v>429</v>
      </c>
      <c r="ED736" s="319" t="s">
        <v>190</v>
      </c>
      <c r="EE736" s="319" t="s">
        <v>190</v>
      </c>
      <c r="EF736" s="319" t="s">
        <v>190</v>
      </c>
      <c r="EG736" s="319" t="s">
        <v>190</v>
      </c>
      <c r="EH736" s="319" t="s">
        <v>190</v>
      </c>
      <c r="EI736" s="319" t="s">
        <v>190</v>
      </c>
      <c r="EJ736" s="319" t="s">
        <v>190</v>
      </c>
      <c r="EK736" s="319" t="s">
        <v>190</v>
      </c>
      <c r="EL736" s="319" t="s">
        <v>190</v>
      </c>
      <c r="EM736" s="319" t="s">
        <v>190</v>
      </c>
      <c r="EN736" s="319" t="s">
        <v>190</v>
      </c>
      <c r="EO736" s="319" t="s">
        <v>190</v>
      </c>
      <c r="EP736" s="319" t="s">
        <v>190</v>
      </c>
      <c r="EQ736" s="319" t="s">
        <v>190</v>
      </c>
      <c r="ER736" s="319" t="s">
        <v>190</v>
      </c>
      <c r="ES736" s="319" t="s">
        <v>190</v>
      </c>
      <c r="ET736" s="319" t="s">
        <v>190</v>
      </c>
      <c r="EU736" s="319" t="s">
        <v>190</v>
      </c>
      <c r="EV736" s="319" t="s">
        <v>190</v>
      </c>
      <c r="EW736" s="319" t="s">
        <v>190</v>
      </c>
      <c r="EX736" s="319" t="s">
        <v>190</v>
      </c>
      <c r="EY736" s="319" t="s">
        <v>190</v>
      </c>
      <c r="EZ736" s="319" t="s">
        <v>190</v>
      </c>
      <c r="FA736" s="319" t="s">
        <v>429</v>
      </c>
      <c r="FB736" s="319" t="s">
        <v>429</v>
      </c>
      <c r="FC736" s="319" t="s">
        <v>429</v>
      </c>
      <c r="FD736" s="319" t="s">
        <v>429</v>
      </c>
      <c r="FE736" s="319" t="s">
        <v>429</v>
      </c>
      <c r="FF736" s="319" t="s">
        <v>429</v>
      </c>
      <c r="FG736" s="319" t="s">
        <v>429</v>
      </c>
      <c r="FH736" s="319" t="s">
        <v>190</v>
      </c>
      <c r="FI736" s="319" t="s">
        <v>190</v>
      </c>
      <c r="FJ736" s="319" t="s">
        <v>190</v>
      </c>
      <c r="FK736" s="319" t="s">
        <v>190</v>
      </c>
      <c r="FL736" s="319" t="s">
        <v>190</v>
      </c>
      <c r="FM736" s="319" t="s">
        <v>190</v>
      </c>
      <c r="FN736" s="319" t="s">
        <v>190</v>
      </c>
      <c r="FO736" s="319" t="s">
        <v>190</v>
      </c>
      <c r="FP736" s="319" t="s">
        <v>190</v>
      </c>
      <c r="FQ736" s="319" t="s">
        <v>190</v>
      </c>
      <c r="FR736" s="319" t="s">
        <v>190</v>
      </c>
      <c r="FS736" s="319" t="s">
        <v>429</v>
      </c>
      <c r="FT736" s="319" t="s">
        <v>190</v>
      </c>
      <c r="FU736" s="319" t="s">
        <v>190</v>
      </c>
      <c r="FV736" s="319" t="s">
        <v>190</v>
      </c>
      <c r="FW736" s="319" t="s">
        <v>190</v>
      </c>
      <c r="FX736" s="319" t="s">
        <v>190</v>
      </c>
      <c r="FY736" s="319" t="s">
        <v>190</v>
      </c>
      <c r="FZ736" s="319" t="s">
        <v>190</v>
      </c>
      <c r="GA736" s="319" t="s">
        <v>190</v>
      </c>
      <c r="GB736" s="319" t="s">
        <v>190</v>
      </c>
      <c r="GC736" s="319" t="s">
        <v>190</v>
      </c>
      <c r="GD736" s="319" t="s">
        <v>190</v>
      </c>
      <c r="GE736" s="319" t="s">
        <v>190</v>
      </c>
      <c r="GF736" s="319" t="s">
        <v>190</v>
      </c>
      <c r="GG736" s="319" t="s">
        <v>190</v>
      </c>
      <c r="GH736" s="319" t="s">
        <v>190</v>
      </c>
      <c r="GI736" s="319" t="s">
        <v>190</v>
      </c>
      <c r="GJ736" s="319" t="s">
        <v>190</v>
      </c>
      <c r="GK736" s="319" t="s">
        <v>429</v>
      </c>
      <c r="GL736" s="319" t="s">
        <v>190</v>
      </c>
      <c r="GM736" s="319" t="s">
        <v>190</v>
      </c>
      <c r="GN736" s="319" t="s">
        <v>190</v>
      </c>
      <c r="GO736" s="319" t="s">
        <v>190</v>
      </c>
      <c r="GP736" s="319" t="s">
        <v>429</v>
      </c>
      <c r="GQ736" s="319" t="s">
        <v>429</v>
      </c>
      <c r="GR736" s="319" t="s">
        <v>190</v>
      </c>
      <c r="GS736" s="319" t="s">
        <v>190</v>
      </c>
      <c r="GT736" s="319" t="s">
        <v>190</v>
      </c>
      <c r="GU736" s="319" t="s">
        <v>190</v>
      </c>
      <c r="GV736" s="319" t="s">
        <v>190</v>
      </c>
      <c r="GW736" s="319" t="s">
        <v>190</v>
      </c>
      <c r="GX736" s="319" t="s">
        <v>190</v>
      </c>
      <c r="GY736" s="319" t="s">
        <v>190</v>
      </c>
      <c r="GZ736" s="319" t="s">
        <v>190</v>
      </c>
      <c r="HA736" s="319" t="s">
        <v>190</v>
      </c>
      <c r="HB736" s="319" t="s">
        <v>190</v>
      </c>
      <c r="HC736" s="319" t="s">
        <v>190</v>
      </c>
      <c r="HD736" s="319" t="s">
        <v>190</v>
      </c>
      <c r="HE736" s="319" t="s">
        <v>190</v>
      </c>
      <c r="HF736" s="319" t="s">
        <v>190</v>
      </c>
      <c r="HG736" s="319" t="s">
        <v>190</v>
      </c>
      <c r="HH736" s="319" t="s">
        <v>190</v>
      </c>
      <c r="HI736" s="319" t="s">
        <v>190</v>
      </c>
      <c r="HJ736" s="319" t="s">
        <v>190</v>
      </c>
      <c r="HK736" s="319" t="s">
        <v>429</v>
      </c>
      <c r="HL736" s="319" t="s">
        <v>429</v>
      </c>
      <c r="HM736" s="319" t="s">
        <v>429</v>
      </c>
      <c r="HN736" s="319" t="s">
        <v>429</v>
      </c>
      <c r="HO736" s="319" t="s">
        <v>429</v>
      </c>
      <c r="HP736" s="319" t="s">
        <v>190</v>
      </c>
      <c r="HQ736" s="319" t="s">
        <v>190</v>
      </c>
      <c r="HR736" s="319" t="s">
        <v>190</v>
      </c>
      <c r="HS736" s="319" t="s">
        <v>190</v>
      </c>
      <c r="HT736" s="319" t="s">
        <v>190</v>
      </c>
      <c r="HU736" s="319" t="s">
        <v>190</v>
      </c>
      <c r="HV736" s="319" t="s">
        <v>190</v>
      </c>
      <c r="HW736" s="319" t="s">
        <v>190</v>
      </c>
      <c r="HX736" s="319" t="s">
        <v>190</v>
      </c>
      <c r="HY736" s="319" t="s">
        <v>190</v>
      </c>
      <c r="HZ736" s="319" t="s">
        <v>190</v>
      </c>
      <c r="IA736" s="319" t="s">
        <v>190</v>
      </c>
      <c r="IB736" s="319" t="s">
        <v>190</v>
      </c>
      <c r="IC736" s="319" t="s">
        <v>190</v>
      </c>
      <c r="ID736" s="319" t="s">
        <v>190</v>
      </c>
      <c r="IE736" s="319" t="s">
        <v>190</v>
      </c>
      <c r="IF736" s="319" t="s">
        <v>190</v>
      </c>
      <c r="IG736" s="319" t="s">
        <v>190</v>
      </c>
      <c r="IH736" s="319" t="s">
        <v>190</v>
      </c>
      <c r="II736" s="319" t="s">
        <v>190</v>
      </c>
      <c r="IJ736" s="319" t="s">
        <v>3467</v>
      </c>
      <c r="IK736" s="321">
        <v>41772</v>
      </c>
      <c r="IL736" s="321">
        <v>41773</v>
      </c>
      <c r="IM736" s="321">
        <v>41799</v>
      </c>
      <c r="IN736" s="319">
        <v>2</v>
      </c>
      <c r="IO736" s="319" t="s">
        <v>173</v>
      </c>
      <c r="IP736" s="319" t="s">
        <v>173</v>
      </c>
      <c r="IQ736" s="321" t="s">
        <v>173</v>
      </c>
      <c r="IR736" s="320" t="s">
        <v>173</v>
      </c>
      <c r="IS736" s="322" t="s">
        <v>173</v>
      </c>
      <c r="IT736" s="319" t="s">
        <v>173</v>
      </c>
    </row>
    <row r="737" spans="1:254" s="271" customFormat="1" x14ac:dyDescent="0.25">
      <c r="A737" s="318" t="str">
        <f>HYPERLINK("http://www.ofsted.gov.uk/inspection-reports/find-inspection-report/provider/ELS/139733 ","Ofsted School Webpage")</f>
        <v>Ofsted School Webpage</v>
      </c>
      <c r="B737" s="319">
        <v>139733</v>
      </c>
      <c r="C737" s="319">
        <v>3836000</v>
      </c>
      <c r="D737" s="319" t="s">
        <v>1712</v>
      </c>
      <c r="E737" s="319" t="s">
        <v>168</v>
      </c>
      <c r="F737" s="319" t="s">
        <v>81</v>
      </c>
      <c r="G737" s="319" t="s">
        <v>81</v>
      </c>
      <c r="H737" s="319" t="s">
        <v>81</v>
      </c>
      <c r="I737" s="319" t="s">
        <v>78</v>
      </c>
      <c r="J737" s="319" t="s">
        <v>424</v>
      </c>
      <c r="K737" s="319" t="s">
        <v>458</v>
      </c>
      <c r="L737" s="319" t="s">
        <v>459</v>
      </c>
      <c r="M737" s="319" t="s">
        <v>622</v>
      </c>
      <c r="N737" s="319" t="s">
        <v>3468</v>
      </c>
      <c r="O737" s="319" t="s">
        <v>2222</v>
      </c>
      <c r="P737" s="319">
        <v>5</v>
      </c>
      <c r="Q737" s="319" t="s">
        <v>429</v>
      </c>
      <c r="R737" s="320">
        <v>10061277</v>
      </c>
      <c r="S737" s="321">
        <v>43543</v>
      </c>
      <c r="T737" s="321">
        <v>43544</v>
      </c>
      <c r="U737" s="321">
        <v>43580</v>
      </c>
      <c r="V737" s="319" t="s">
        <v>425</v>
      </c>
      <c r="W737" s="319" t="s">
        <v>2767</v>
      </c>
      <c r="X737" s="319">
        <v>2</v>
      </c>
      <c r="Y737" s="319" t="s">
        <v>173</v>
      </c>
      <c r="Z737" s="319" t="s">
        <v>173</v>
      </c>
      <c r="AA737" s="319" t="s">
        <v>173</v>
      </c>
      <c r="AB737" s="319">
        <v>2</v>
      </c>
      <c r="AC737" s="319" t="s">
        <v>169</v>
      </c>
      <c r="AD737" s="319" t="s">
        <v>173</v>
      </c>
      <c r="AE737" s="319" t="s">
        <v>173</v>
      </c>
      <c r="AF737" s="319" t="s">
        <v>427</v>
      </c>
      <c r="AG737" s="319" t="s">
        <v>171</v>
      </c>
      <c r="AH737" s="319" t="s">
        <v>190</v>
      </c>
      <c r="AI737" s="319" t="s">
        <v>190</v>
      </c>
      <c r="AJ737" s="319" t="s">
        <v>190</v>
      </c>
      <c r="AK737" s="319" t="s">
        <v>190</v>
      </c>
      <c r="AL737" s="319" t="s">
        <v>190</v>
      </c>
      <c r="AM737" s="319" t="s">
        <v>190</v>
      </c>
      <c r="AN737" s="319" t="s">
        <v>190</v>
      </c>
      <c r="AO737" s="319" t="s">
        <v>190</v>
      </c>
      <c r="AP737" s="319" t="s">
        <v>190</v>
      </c>
      <c r="AQ737" s="319" t="s">
        <v>190</v>
      </c>
      <c r="AR737" s="319" t="s">
        <v>190</v>
      </c>
      <c r="AS737" s="319" t="s">
        <v>190</v>
      </c>
      <c r="AT737" s="319" t="s">
        <v>190</v>
      </c>
      <c r="AU737" s="319" t="s">
        <v>190</v>
      </c>
      <c r="AV737" s="319" t="s">
        <v>190</v>
      </c>
      <c r="AW737" s="319" t="s">
        <v>190</v>
      </c>
      <c r="AX737" s="319" t="s">
        <v>428</v>
      </c>
      <c r="AY737" s="319" t="s">
        <v>190</v>
      </c>
      <c r="AZ737" s="319" t="s">
        <v>190</v>
      </c>
      <c r="BA737" s="319" t="s">
        <v>190</v>
      </c>
      <c r="BB737" s="319" t="s">
        <v>190</v>
      </c>
      <c r="BC737" s="319" t="s">
        <v>190</v>
      </c>
      <c r="BD737" s="319" t="s">
        <v>190</v>
      </c>
      <c r="BE737" s="319" t="s">
        <v>190</v>
      </c>
      <c r="BF737" s="319" t="s">
        <v>428</v>
      </c>
      <c r="BG737" s="319" t="s">
        <v>428</v>
      </c>
      <c r="BH737" s="319" t="s">
        <v>190</v>
      </c>
      <c r="BI737" s="319" t="s">
        <v>190</v>
      </c>
      <c r="BJ737" s="319" t="s">
        <v>190</v>
      </c>
      <c r="BK737" s="319" t="s">
        <v>190</v>
      </c>
      <c r="BL737" s="319" t="s">
        <v>190</v>
      </c>
      <c r="BM737" s="319" t="s">
        <v>190</v>
      </c>
      <c r="BN737" s="319" t="s">
        <v>190</v>
      </c>
      <c r="BO737" s="319" t="s">
        <v>190</v>
      </c>
      <c r="BP737" s="319" t="s">
        <v>190</v>
      </c>
      <c r="BQ737" s="319" t="s">
        <v>190</v>
      </c>
      <c r="BR737" s="319" t="s">
        <v>190</v>
      </c>
      <c r="BS737" s="319" t="s">
        <v>190</v>
      </c>
      <c r="BT737" s="319" t="s">
        <v>190</v>
      </c>
      <c r="BU737" s="319" t="s">
        <v>190</v>
      </c>
      <c r="BV737" s="319" t="s">
        <v>190</v>
      </c>
      <c r="BW737" s="319" t="s">
        <v>190</v>
      </c>
      <c r="BX737" s="319" t="s">
        <v>190</v>
      </c>
      <c r="BY737" s="319" t="s">
        <v>190</v>
      </c>
      <c r="BZ737" s="319" t="s">
        <v>190</v>
      </c>
      <c r="CA737" s="319" t="s">
        <v>190</v>
      </c>
      <c r="CB737" s="319" t="s">
        <v>190</v>
      </c>
      <c r="CC737" s="319" t="s">
        <v>190</v>
      </c>
      <c r="CD737" s="319" t="s">
        <v>190</v>
      </c>
      <c r="CE737" s="319" t="s">
        <v>190</v>
      </c>
      <c r="CF737" s="319" t="s">
        <v>190</v>
      </c>
      <c r="CG737" s="319" t="s">
        <v>190</v>
      </c>
      <c r="CH737" s="319" t="s">
        <v>190</v>
      </c>
      <c r="CI737" s="319" t="s">
        <v>190</v>
      </c>
      <c r="CJ737" s="319" t="s">
        <v>190</v>
      </c>
      <c r="CK737" s="319" t="s">
        <v>190</v>
      </c>
      <c r="CL737" s="319" t="s">
        <v>190</v>
      </c>
      <c r="CM737" s="319" t="s">
        <v>190</v>
      </c>
      <c r="CN737" s="319" t="s">
        <v>428</v>
      </c>
      <c r="CO737" s="319" t="s">
        <v>428</v>
      </c>
      <c r="CP737" s="319" t="s">
        <v>428</v>
      </c>
      <c r="CQ737" s="319" t="s">
        <v>190</v>
      </c>
      <c r="CR737" s="319" t="s">
        <v>190</v>
      </c>
      <c r="CS737" s="319" t="s">
        <v>190</v>
      </c>
      <c r="CT737" s="319" t="s">
        <v>190</v>
      </c>
      <c r="CU737" s="319" t="s">
        <v>190</v>
      </c>
      <c r="CV737" s="319" t="s">
        <v>190</v>
      </c>
      <c r="CW737" s="319" t="s">
        <v>190</v>
      </c>
      <c r="CX737" s="319" t="s">
        <v>190</v>
      </c>
      <c r="CY737" s="319" t="s">
        <v>190</v>
      </c>
      <c r="CZ737" s="319" t="s">
        <v>190</v>
      </c>
      <c r="DA737" s="319" t="s">
        <v>190</v>
      </c>
      <c r="DB737" s="319" t="s">
        <v>190</v>
      </c>
      <c r="DC737" s="319" t="s">
        <v>190</v>
      </c>
      <c r="DD737" s="319" t="s">
        <v>190</v>
      </c>
      <c r="DE737" s="319" t="s">
        <v>190</v>
      </c>
      <c r="DF737" s="319" t="s">
        <v>190</v>
      </c>
      <c r="DG737" s="319" t="s">
        <v>190</v>
      </c>
      <c r="DH737" s="319" t="s">
        <v>190</v>
      </c>
      <c r="DI737" s="319" t="s">
        <v>190</v>
      </c>
      <c r="DJ737" s="319" t="s">
        <v>190</v>
      </c>
      <c r="DK737" s="319" t="s">
        <v>190</v>
      </c>
      <c r="DL737" s="319" t="s">
        <v>190</v>
      </c>
      <c r="DM737" s="319" t="s">
        <v>190</v>
      </c>
      <c r="DN737" s="319" t="s">
        <v>428</v>
      </c>
      <c r="DO737" s="319" t="s">
        <v>190</v>
      </c>
      <c r="DP737" s="319" t="s">
        <v>190</v>
      </c>
      <c r="DQ737" s="319" t="s">
        <v>190</v>
      </c>
      <c r="DR737" s="319" t="s">
        <v>190</v>
      </c>
      <c r="DS737" s="319" t="s">
        <v>190</v>
      </c>
      <c r="DT737" s="319" t="s">
        <v>190</v>
      </c>
      <c r="DU737" s="319" t="s">
        <v>190</v>
      </c>
      <c r="DV737" s="319" t="s">
        <v>173</v>
      </c>
      <c r="DW737" s="319" t="s">
        <v>190</v>
      </c>
      <c r="DX737" s="319" t="s">
        <v>190</v>
      </c>
      <c r="DY737" s="319" t="s">
        <v>190</v>
      </c>
      <c r="DZ737" s="319" t="s">
        <v>190</v>
      </c>
      <c r="EA737" s="319" t="s">
        <v>190</v>
      </c>
      <c r="EB737" s="319" t="s">
        <v>190</v>
      </c>
      <c r="EC737" s="319" t="s">
        <v>428</v>
      </c>
      <c r="ED737" s="319" t="s">
        <v>190</v>
      </c>
      <c r="EE737" s="319" t="s">
        <v>190</v>
      </c>
      <c r="EF737" s="319" t="s">
        <v>190</v>
      </c>
      <c r="EG737" s="319" t="s">
        <v>190</v>
      </c>
      <c r="EH737" s="319" t="s">
        <v>190</v>
      </c>
      <c r="EI737" s="319" t="s">
        <v>190</v>
      </c>
      <c r="EJ737" s="319" t="s">
        <v>190</v>
      </c>
      <c r="EK737" s="319" t="s">
        <v>190</v>
      </c>
      <c r="EL737" s="319" t="s">
        <v>190</v>
      </c>
      <c r="EM737" s="319" t="s">
        <v>190</v>
      </c>
      <c r="EN737" s="319" t="s">
        <v>190</v>
      </c>
      <c r="EO737" s="319" t="s">
        <v>190</v>
      </c>
      <c r="EP737" s="319" t="s">
        <v>190</v>
      </c>
      <c r="EQ737" s="319" t="s">
        <v>190</v>
      </c>
      <c r="ER737" s="319" t="s">
        <v>190</v>
      </c>
      <c r="ES737" s="319" t="s">
        <v>190</v>
      </c>
      <c r="ET737" s="319" t="s">
        <v>190</v>
      </c>
      <c r="EU737" s="319" t="s">
        <v>190</v>
      </c>
      <c r="EV737" s="319" t="s">
        <v>190</v>
      </c>
      <c r="EW737" s="319" t="s">
        <v>190</v>
      </c>
      <c r="EX737" s="319" t="s">
        <v>190</v>
      </c>
      <c r="EY737" s="319" t="s">
        <v>190</v>
      </c>
      <c r="EZ737" s="319" t="s">
        <v>190</v>
      </c>
      <c r="FA737" s="319" t="s">
        <v>428</v>
      </c>
      <c r="FB737" s="319" t="s">
        <v>190</v>
      </c>
      <c r="FC737" s="319" t="s">
        <v>190</v>
      </c>
      <c r="FD737" s="319" t="s">
        <v>190</v>
      </c>
      <c r="FE737" s="319" t="s">
        <v>190</v>
      </c>
      <c r="FF737" s="319" t="s">
        <v>190</v>
      </c>
      <c r="FG737" s="319" t="s">
        <v>190</v>
      </c>
      <c r="FH737" s="319" t="s">
        <v>190</v>
      </c>
      <c r="FI737" s="319" t="s">
        <v>428</v>
      </c>
      <c r="FJ737" s="319" t="s">
        <v>429</v>
      </c>
      <c r="FK737" s="319" t="s">
        <v>428</v>
      </c>
      <c r="FL737" s="319" t="s">
        <v>190</v>
      </c>
      <c r="FM737" s="319" t="s">
        <v>190</v>
      </c>
      <c r="FN737" s="319" t="s">
        <v>190</v>
      </c>
      <c r="FO737" s="319" t="s">
        <v>190</v>
      </c>
      <c r="FP737" s="319" t="s">
        <v>190</v>
      </c>
      <c r="FQ737" s="319" t="s">
        <v>190</v>
      </c>
      <c r="FR737" s="319" t="s">
        <v>190</v>
      </c>
      <c r="FS737" s="319" t="s">
        <v>428</v>
      </c>
      <c r="FT737" s="319" t="s">
        <v>190</v>
      </c>
      <c r="FU737" s="319" t="s">
        <v>190</v>
      </c>
      <c r="FV737" s="319" t="s">
        <v>190</v>
      </c>
      <c r="FW737" s="319" t="s">
        <v>190</v>
      </c>
      <c r="FX737" s="319" t="s">
        <v>190</v>
      </c>
      <c r="FY737" s="319" t="s">
        <v>190</v>
      </c>
      <c r="FZ737" s="319" t="s">
        <v>190</v>
      </c>
      <c r="GA737" s="319" t="s">
        <v>190</v>
      </c>
      <c r="GB737" s="319" t="s">
        <v>190</v>
      </c>
      <c r="GC737" s="319" t="s">
        <v>190</v>
      </c>
      <c r="GD737" s="319" t="s">
        <v>190</v>
      </c>
      <c r="GE737" s="319" t="s">
        <v>190</v>
      </c>
      <c r="GF737" s="319" t="s">
        <v>190</v>
      </c>
      <c r="GG737" s="319" t="s">
        <v>190</v>
      </c>
      <c r="GH737" s="319" t="s">
        <v>190</v>
      </c>
      <c r="GI737" s="319" t="s">
        <v>190</v>
      </c>
      <c r="GJ737" s="319" t="s">
        <v>190</v>
      </c>
      <c r="GK737" s="319" t="s">
        <v>428</v>
      </c>
      <c r="GL737" s="319" t="s">
        <v>190</v>
      </c>
      <c r="GM737" s="319" t="s">
        <v>190</v>
      </c>
      <c r="GN737" s="319" t="s">
        <v>190</v>
      </c>
      <c r="GO737" s="319" t="s">
        <v>190</v>
      </c>
      <c r="GP737" s="319" t="s">
        <v>190</v>
      </c>
      <c r="GQ737" s="319" t="s">
        <v>428</v>
      </c>
      <c r="GR737" s="319" t="s">
        <v>190</v>
      </c>
      <c r="GS737" s="319" t="s">
        <v>190</v>
      </c>
      <c r="GT737" s="319" t="s">
        <v>190</v>
      </c>
      <c r="GU737" s="319" t="s">
        <v>190</v>
      </c>
      <c r="GV737" s="319" t="s">
        <v>190</v>
      </c>
      <c r="GW737" s="319" t="s">
        <v>190</v>
      </c>
      <c r="GX737" s="319" t="s">
        <v>190</v>
      </c>
      <c r="GY737" s="319" t="s">
        <v>190</v>
      </c>
      <c r="GZ737" s="319" t="s">
        <v>428</v>
      </c>
      <c r="HA737" s="319" t="s">
        <v>190</v>
      </c>
      <c r="HB737" s="319" t="s">
        <v>190</v>
      </c>
      <c r="HC737" s="319" t="s">
        <v>190</v>
      </c>
      <c r="HD737" s="319" t="s">
        <v>190</v>
      </c>
      <c r="HE737" s="319" t="s">
        <v>190</v>
      </c>
      <c r="HF737" s="319" t="s">
        <v>190</v>
      </c>
      <c r="HG737" s="319" t="s">
        <v>190</v>
      </c>
      <c r="HH737" s="319" t="s">
        <v>190</v>
      </c>
      <c r="HI737" s="319" t="s">
        <v>190</v>
      </c>
      <c r="HJ737" s="319" t="s">
        <v>190</v>
      </c>
      <c r="HK737" s="319" t="s">
        <v>190</v>
      </c>
      <c r="HL737" s="319" t="s">
        <v>190</v>
      </c>
      <c r="HM737" s="319" t="s">
        <v>428</v>
      </c>
      <c r="HN737" s="319" t="s">
        <v>428</v>
      </c>
      <c r="HO737" s="319" t="s">
        <v>428</v>
      </c>
      <c r="HP737" s="319" t="s">
        <v>190</v>
      </c>
      <c r="HQ737" s="319" t="s">
        <v>190</v>
      </c>
      <c r="HR737" s="319" t="s">
        <v>190</v>
      </c>
      <c r="HS737" s="319" t="s">
        <v>190</v>
      </c>
      <c r="HT737" s="319" t="s">
        <v>190</v>
      </c>
      <c r="HU737" s="319" t="s">
        <v>190</v>
      </c>
      <c r="HV737" s="319" t="s">
        <v>190</v>
      </c>
      <c r="HW737" s="319" t="s">
        <v>190</v>
      </c>
      <c r="HX737" s="319" t="s">
        <v>190</v>
      </c>
      <c r="HY737" s="319" t="s">
        <v>190</v>
      </c>
      <c r="HZ737" s="319" t="s">
        <v>190</v>
      </c>
      <c r="IA737" s="319" t="s">
        <v>190</v>
      </c>
      <c r="IB737" s="319" t="s">
        <v>190</v>
      </c>
      <c r="IC737" s="319" t="s">
        <v>190</v>
      </c>
      <c r="ID737" s="319" t="s">
        <v>190</v>
      </c>
      <c r="IE737" s="319" t="s">
        <v>190</v>
      </c>
      <c r="IF737" s="319" t="s">
        <v>190</v>
      </c>
      <c r="IG737" s="319" t="s">
        <v>190</v>
      </c>
      <c r="IH737" s="319" t="s">
        <v>190</v>
      </c>
      <c r="II737" s="319" t="s">
        <v>190</v>
      </c>
      <c r="IJ737" s="319">
        <v>10033921</v>
      </c>
      <c r="IK737" s="321">
        <v>42927</v>
      </c>
      <c r="IL737" s="321">
        <v>42929</v>
      </c>
      <c r="IM737" s="321">
        <v>42998</v>
      </c>
      <c r="IN737" s="319">
        <v>3</v>
      </c>
      <c r="IO737" s="319" t="s">
        <v>173</v>
      </c>
      <c r="IP737" s="319" t="s">
        <v>173</v>
      </c>
      <c r="IQ737" s="321" t="s">
        <v>173</v>
      </c>
      <c r="IR737" s="320" t="s">
        <v>173</v>
      </c>
      <c r="IS737" s="322" t="s">
        <v>173</v>
      </c>
      <c r="IT737" s="319" t="s">
        <v>173</v>
      </c>
    </row>
    <row r="738" spans="1:254" s="271" customFormat="1" x14ac:dyDescent="0.25">
      <c r="A738" s="318" t="str">
        <f>HYPERLINK("http://www.ofsted.gov.uk/inspection-reports/find-inspection-report/provider/ELS/139734 ","Ofsted School Webpage")</f>
        <v>Ofsted School Webpage</v>
      </c>
      <c r="B738" s="319">
        <v>139734</v>
      </c>
      <c r="C738" s="319">
        <v>8556032</v>
      </c>
      <c r="D738" s="319" t="s">
        <v>2223</v>
      </c>
      <c r="E738" s="319" t="s">
        <v>168</v>
      </c>
      <c r="F738" s="319" t="s">
        <v>81</v>
      </c>
      <c r="G738" s="319" t="s">
        <v>81</v>
      </c>
      <c r="H738" s="319" t="s">
        <v>81</v>
      </c>
      <c r="I738" s="319" t="s">
        <v>78</v>
      </c>
      <c r="J738" s="319" t="s">
        <v>424</v>
      </c>
      <c r="K738" s="319" t="s">
        <v>506</v>
      </c>
      <c r="L738" s="319" t="s">
        <v>506</v>
      </c>
      <c r="M738" s="319" t="s">
        <v>862</v>
      </c>
      <c r="N738" s="319" t="s">
        <v>3269</v>
      </c>
      <c r="O738" s="319" t="s">
        <v>3469</v>
      </c>
      <c r="P738" s="319">
        <v>27</v>
      </c>
      <c r="Q738" s="319" t="s">
        <v>429</v>
      </c>
      <c r="R738" s="320">
        <v>10026054</v>
      </c>
      <c r="S738" s="321">
        <v>42990</v>
      </c>
      <c r="T738" s="321">
        <v>42992</v>
      </c>
      <c r="U738" s="321">
        <v>43026</v>
      </c>
      <c r="V738" s="319" t="s">
        <v>425</v>
      </c>
      <c r="W738" s="319" t="s">
        <v>2767</v>
      </c>
      <c r="X738" s="319">
        <v>1</v>
      </c>
      <c r="Y738" s="319" t="s">
        <v>173</v>
      </c>
      <c r="Z738" s="319" t="s">
        <v>173</v>
      </c>
      <c r="AA738" s="319" t="s">
        <v>173</v>
      </c>
      <c r="AB738" s="319">
        <v>1</v>
      </c>
      <c r="AC738" s="319" t="s">
        <v>169</v>
      </c>
      <c r="AD738" s="319" t="s">
        <v>173</v>
      </c>
      <c r="AE738" s="319" t="s">
        <v>173</v>
      </c>
      <c r="AF738" s="319" t="s">
        <v>173</v>
      </c>
      <c r="AG738" s="319" t="s">
        <v>171</v>
      </c>
      <c r="AH738" s="319" t="s">
        <v>190</v>
      </c>
      <c r="AI738" s="319" t="s">
        <v>190</v>
      </c>
      <c r="AJ738" s="319" t="s">
        <v>190</v>
      </c>
      <c r="AK738" s="319" t="s">
        <v>190</v>
      </c>
      <c r="AL738" s="319" t="s">
        <v>190</v>
      </c>
      <c r="AM738" s="319" t="s">
        <v>190</v>
      </c>
      <c r="AN738" s="319" t="s">
        <v>190</v>
      </c>
      <c r="AO738" s="319" t="s">
        <v>190</v>
      </c>
      <c r="AP738" s="319" t="s">
        <v>190</v>
      </c>
      <c r="AQ738" s="319" t="s">
        <v>190</v>
      </c>
      <c r="AR738" s="319" t="s">
        <v>190</v>
      </c>
      <c r="AS738" s="319" t="s">
        <v>190</v>
      </c>
      <c r="AT738" s="319" t="s">
        <v>190</v>
      </c>
      <c r="AU738" s="319" t="s">
        <v>190</v>
      </c>
      <c r="AV738" s="319" t="s">
        <v>190</v>
      </c>
      <c r="AW738" s="319" t="s">
        <v>190</v>
      </c>
      <c r="AX738" s="319" t="s">
        <v>429</v>
      </c>
      <c r="AY738" s="319" t="s">
        <v>190</v>
      </c>
      <c r="AZ738" s="319" t="s">
        <v>190</v>
      </c>
      <c r="BA738" s="319" t="s">
        <v>190</v>
      </c>
      <c r="BB738" s="319" t="s">
        <v>190</v>
      </c>
      <c r="BC738" s="319" t="s">
        <v>190</v>
      </c>
      <c r="BD738" s="319" t="s">
        <v>190</v>
      </c>
      <c r="BE738" s="319" t="s">
        <v>190</v>
      </c>
      <c r="BF738" s="319" t="s">
        <v>429</v>
      </c>
      <c r="BG738" s="319" t="s">
        <v>190</v>
      </c>
      <c r="BH738" s="319" t="s">
        <v>190</v>
      </c>
      <c r="BI738" s="319" t="s">
        <v>190</v>
      </c>
      <c r="BJ738" s="319" t="s">
        <v>190</v>
      </c>
      <c r="BK738" s="319" t="s">
        <v>190</v>
      </c>
      <c r="BL738" s="319" t="s">
        <v>190</v>
      </c>
      <c r="BM738" s="319" t="s">
        <v>190</v>
      </c>
      <c r="BN738" s="319" t="s">
        <v>190</v>
      </c>
      <c r="BO738" s="319" t="s">
        <v>190</v>
      </c>
      <c r="BP738" s="319" t="s">
        <v>190</v>
      </c>
      <c r="BQ738" s="319" t="s">
        <v>190</v>
      </c>
      <c r="BR738" s="319" t="s">
        <v>190</v>
      </c>
      <c r="BS738" s="319" t="s">
        <v>190</v>
      </c>
      <c r="BT738" s="319" t="s">
        <v>190</v>
      </c>
      <c r="BU738" s="319" t="s">
        <v>190</v>
      </c>
      <c r="BV738" s="319" t="s">
        <v>190</v>
      </c>
      <c r="BW738" s="319" t="s">
        <v>190</v>
      </c>
      <c r="BX738" s="319" t="s">
        <v>190</v>
      </c>
      <c r="BY738" s="319" t="s">
        <v>190</v>
      </c>
      <c r="BZ738" s="319" t="s">
        <v>190</v>
      </c>
      <c r="CA738" s="319" t="s">
        <v>190</v>
      </c>
      <c r="CB738" s="319" t="s">
        <v>190</v>
      </c>
      <c r="CC738" s="319" t="s">
        <v>190</v>
      </c>
      <c r="CD738" s="319" t="s">
        <v>190</v>
      </c>
      <c r="CE738" s="319" t="s">
        <v>190</v>
      </c>
      <c r="CF738" s="319" t="s">
        <v>190</v>
      </c>
      <c r="CG738" s="319" t="s">
        <v>190</v>
      </c>
      <c r="CH738" s="319" t="s">
        <v>190</v>
      </c>
      <c r="CI738" s="319" t="s">
        <v>190</v>
      </c>
      <c r="CJ738" s="319" t="s">
        <v>190</v>
      </c>
      <c r="CK738" s="319" t="s">
        <v>190</v>
      </c>
      <c r="CL738" s="319" t="s">
        <v>190</v>
      </c>
      <c r="CM738" s="319" t="s">
        <v>190</v>
      </c>
      <c r="CN738" s="319" t="s">
        <v>429</v>
      </c>
      <c r="CO738" s="319" t="s">
        <v>429</v>
      </c>
      <c r="CP738" s="319" t="s">
        <v>429</v>
      </c>
      <c r="CQ738" s="319" t="s">
        <v>190</v>
      </c>
      <c r="CR738" s="319" t="s">
        <v>190</v>
      </c>
      <c r="CS738" s="319" t="s">
        <v>190</v>
      </c>
      <c r="CT738" s="319" t="s">
        <v>190</v>
      </c>
      <c r="CU738" s="319" t="s">
        <v>190</v>
      </c>
      <c r="CV738" s="319" t="s">
        <v>190</v>
      </c>
      <c r="CW738" s="319" t="s">
        <v>190</v>
      </c>
      <c r="CX738" s="319" t="s">
        <v>190</v>
      </c>
      <c r="CY738" s="319" t="s">
        <v>190</v>
      </c>
      <c r="CZ738" s="319" t="s">
        <v>190</v>
      </c>
      <c r="DA738" s="319" t="s">
        <v>190</v>
      </c>
      <c r="DB738" s="319" t="s">
        <v>190</v>
      </c>
      <c r="DC738" s="319" t="s">
        <v>190</v>
      </c>
      <c r="DD738" s="319" t="s">
        <v>190</v>
      </c>
      <c r="DE738" s="319" t="s">
        <v>190</v>
      </c>
      <c r="DF738" s="319" t="s">
        <v>190</v>
      </c>
      <c r="DG738" s="319" t="s">
        <v>190</v>
      </c>
      <c r="DH738" s="319" t="s">
        <v>190</v>
      </c>
      <c r="DI738" s="319" t="s">
        <v>190</v>
      </c>
      <c r="DJ738" s="319" t="s">
        <v>190</v>
      </c>
      <c r="DK738" s="319" t="s">
        <v>190</v>
      </c>
      <c r="DL738" s="319" t="s">
        <v>190</v>
      </c>
      <c r="DM738" s="319" t="s">
        <v>190</v>
      </c>
      <c r="DN738" s="319" t="s">
        <v>429</v>
      </c>
      <c r="DO738" s="319" t="s">
        <v>190</v>
      </c>
      <c r="DP738" s="319" t="s">
        <v>429</v>
      </c>
      <c r="DQ738" s="319" t="s">
        <v>429</v>
      </c>
      <c r="DR738" s="319" t="s">
        <v>429</v>
      </c>
      <c r="DS738" s="319" t="s">
        <v>429</v>
      </c>
      <c r="DT738" s="319" t="s">
        <v>429</v>
      </c>
      <c r="DU738" s="319" t="s">
        <v>429</v>
      </c>
      <c r="DV738" s="319" t="s">
        <v>173</v>
      </c>
      <c r="DW738" s="319" t="s">
        <v>429</v>
      </c>
      <c r="DX738" s="319" t="s">
        <v>429</v>
      </c>
      <c r="DY738" s="319" t="s">
        <v>429</v>
      </c>
      <c r="DZ738" s="319" t="s">
        <v>429</v>
      </c>
      <c r="EA738" s="319" t="s">
        <v>429</v>
      </c>
      <c r="EB738" s="319" t="s">
        <v>429</v>
      </c>
      <c r="EC738" s="319" t="s">
        <v>429</v>
      </c>
      <c r="ED738" s="319" t="s">
        <v>429</v>
      </c>
      <c r="EE738" s="319" t="s">
        <v>429</v>
      </c>
      <c r="EF738" s="319" t="s">
        <v>429</v>
      </c>
      <c r="EG738" s="319" t="s">
        <v>429</v>
      </c>
      <c r="EH738" s="319" t="s">
        <v>429</v>
      </c>
      <c r="EI738" s="319" t="s">
        <v>429</v>
      </c>
      <c r="EJ738" s="319" t="s">
        <v>429</v>
      </c>
      <c r="EK738" s="319" t="s">
        <v>429</v>
      </c>
      <c r="EL738" s="319" t="s">
        <v>429</v>
      </c>
      <c r="EM738" s="319" t="s">
        <v>429</v>
      </c>
      <c r="EN738" s="319" t="s">
        <v>190</v>
      </c>
      <c r="EO738" s="319" t="s">
        <v>190</v>
      </c>
      <c r="EP738" s="319" t="s">
        <v>190</v>
      </c>
      <c r="EQ738" s="319" t="s">
        <v>190</v>
      </c>
      <c r="ER738" s="319" t="s">
        <v>190</v>
      </c>
      <c r="ES738" s="319" t="s">
        <v>190</v>
      </c>
      <c r="ET738" s="319" t="s">
        <v>190</v>
      </c>
      <c r="EU738" s="319" t="s">
        <v>190</v>
      </c>
      <c r="EV738" s="319" t="s">
        <v>190</v>
      </c>
      <c r="EW738" s="319" t="s">
        <v>190</v>
      </c>
      <c r="EX738" s="319" t="s">
        <v>190</v>
      </c>
      <c r="EY738" s="319" t="s">
        <v>190</v>
      </c>
      <c r="EZ738" s="319" t="s">
        <v>190</v>
      </c>
      <c r="FA738" s="319" t="s">
        <v>429</v>
      </c>
      <c r="FB738" s="319" t="s">
        <v>429</v>
      </c>
      <c r="FC738" s="319" t="s">
        <v>429</v>
      </c>
      <c r="FD738" s="319" t="s">
        <v>429</v>
      </c>
      <c r="FE738" s="319" t="s">
        <v>429</v>
      </c>
      <c r="FF738" s="319" t="s">
        <v>429</v>
      </c>
      <c r="FG738" s="319" t="s">
        <v>429</v>
      </c>
      <c r="FH738" s="319" t="s">
        <v>429</v>
      </c>
      <c r="FI738" s="319" t="s">
        <v>429</v>
      </c>
      <c r="FJ738" s="319" t="s">
        <v>429</v>
      </c>
      <c r="FK738" s="319" t="s">
        <v>429</v>
      </c>
      <c r="FL738" s="319" t="s">
        <v>190</v>
      </c>
      <c r="FM738" s="319" t="s">
        <v>190</v>
      </c>
      <c r="FN738" s="319" t="s">
        <v>190</v>
      </c>
      <c r="FO738" s="319" t="s">
        <v>190</v>
      </c>
      <c r="FP738" s="319" t="s">
        <v>190</v>
      </c>
      <c r="FQ738" s="319" t="s">
        <v>190</v>
      </c>
      <c r="FR738" s="319" t="s">
        <v>190</v>
      </c>
      <c r="FS738" s="319" t="s">
        <v>429</v>
      </c>
      <c r="FT738" s="319" t="s">
        <v>190</v>
      </c>
      <c r="FU738" s="319" t="s">
        <v>190</v>
      </c>
      <c r="FV738" s="319" t="s">
        <v>190</v>
      </c>
      <c r="FW738" s="319" t="s">
        <v>190</v>
      </c>
      <c r="FX738" s="319" t="s">
        <v>190</v>
      </c>
      <c r="FY738" s="319" t="s">
        <v>190</v>
      </c>
      <c r="FZ738" s="319" t="s">
        <v>190</v>
      </c>
      <c r="GA738" s="319" t="s">
        <v>190</v>
      </c>
      <c r="GB738" s="319" t="s">
        <v>190</v>
      </c>
      <c r="GC738" s="319" t="s">
        <v>190</v>
      </c>
      <c r="GD738" s="319" t="s">
        <v>190</v>
      </c>
      <c r="GE738" s="319" t="s">
        <v>190</v>
      </c>
      <c r="GF738" s="319" t="s">
        <v>190</v>
      </c>
      <c r="GG738" s="319" t="s">
        <v>190</v>
      </c>
      <c r="GH738" s="319" t="s">
        <v>190</v>
      </c>
      <c r="GI738" s="319" t="s">
        <v>190</v>
      </c>
      <c r="GJ738" s="319" t="s">
        <v>190</v>
      </c>
      <c r="GK738" s="319" t="s">
        <v>429</v>
      </c>
      <c r="GL738" s="319" t="s">
        <v>190</v>
      </c>
      <c r="GM738" s="319" t="s">
        <v>190</v>
      </c>
      <c r="GN738" s="319" t="s">
        <v>190</v>
      </c>
      <c r="GO738" s="319" t="s">
        <v>190</v>
      </c>
      <c r="GP738" s="319" t="s">
        <v>190</v>
      </c>
      <c r="GQ738" s="319" t="s">
        <v>429</v>
      </c>
      <c r="GR738" s="319" t="s">
        <v>190</v>
      </c>
      <c r="GS738" s="319" t="s">
        <v>190</v>
      </c>
      <c r="GT738" s="319" t="s">
        <v>429</v>
      </c>
      <c r="GU738" s="319" t="s">
        <v>190</v>
      </c>
      <c r="GV738" s="319" t="s">
        <v>429</v>
      </c>
      <c r="GW738" s="319" t="s">
        <v>190</v>
      </c>
      <c r="GX738" s="319" t="s">
        <v>190</v>
      </c>
      <c r="GY738" s="319" t="s">
        <v>190</v>
      </c>
      <c r="GZ738" s="319" t="s">
        <v>190</v>
      </c>
      <c r="HA738" s="319" t="s">
        <v>429</v>
      </c>
      <c r="HB738" s="319" t="s">
        <v>429</v>
      </c>
      <c r="HC738" s="319" t="s">
        <v>190</v>
      </c>
      <c r="HD738" s="319" t="s">
        <v>190</v>
      </c>
      <c r="HE738" s="319" t="s">
        <v>190</v>
      </c>
      <c r="HF738" s="319" t="s">
        <v>190</v>
      </c>
      <c r="HG738" s="319" t="s">
        <v>190</v>
      </c>
      <c r="HH738" s="319" t="s">
        <v>190</v>
      </c>
      <c r="HI738" s="319" t="s">
        <v>190</v>
      </c>
      <c r="HJ738" s="319" t="s">
        <v>190</v>
      </c>
      <c r="HK738" s="319" t="s">
        <v>190</v>
      </c>
      <c r="HL738" s="319" t="s">
        <v>429</v>
      </c>
      <c r="HM738" s="319" t="s">
        <v>429</v>
      </c>
      <c r="HN738" s="319" t="s">
        <v>429</v>
      </c>
      <c r="HO738" s="319" t="s">
        <v>429</v>
      </c>
      <c r="HP738" s="319" t="s">
        <v>190</v>
      </c>
      <c r="HQ738" s="319" t="s">
        <v>190</v>
      </c>
      <c r="HR738" s="319" t="s">
        <v>190</v>
      </c>
      <c r="HS738" s="319" t="s">
        <v>190</v>
      </c>
      <c r="HT738" s="319" t="s">
        <v>190</v>
      </c>
      <c r="HU738" s="319" t="s">
        <v>190</v>
      </c>
      <c r="HV738" s="319" t="s">
        <v>190</v>
      </c>
      <c r="HW738" s="319" t="s">
        <v>190</v>
      </c>
      <c r="HX738" s="319" t="s">
        <v>190</v>
      </c>
      <c r="HY738" s="319" t="s">
        <v>190</v>
      </c>
      <c r="HZ738" s="319" t="s">
        <v>190</v>
      </c>
      <c r="IA738" s="319" t="s">
        <v>190</v>
      </c>
      <c r="IB738" s="319" t="s">
        <v>190</v>
      </c>
      <c r="IC738" s="319" t="s">
        <v>190</v>
      </c>
      <c r="ID738" s="319" t="s">
        <v>190</v>
      </c>
      <c r="IE738" s="319" t="s">
        <v>190</v>
      </c>
      <c r="IF738" s="319" t="s">
        <v>190</v>
      </c>
      <c r="IG738" s="319" t="s">
        <v>190</v>
      </c>
      <c r="IH738" s="319" t="s">
        <v>190</v>
      </c>
      <c r="II738" s="319" t="s">
        <v>190</v>
      </c>
      <c r="IJ738" s="319" t="s">
        <v>3470</v>
      </c>
      <c r="IK738" s="321">
        <v>41682</v>
      </c>
      <c r="IL738" s="321">
        <v>41683</v>
      </c>
      <c r="IM738" s="321">
        <v>41703</v>
      </c>
      <c r="IN738" s="319">
        <v>2</v>
      </c>
      <c r="IO738" s="319" t="s">
        <v>173</v>
      </c>
      <c r="IP738" s="319" t="s">
        <v>173</v>
      </c>
      <c r="IQ738" s="321" t="s">
        <v>173</v>
      </c>
      <c r="IR738" s="320" t="s">
        <v>173</v>
      </c>
      <c r="IS738" s="322" t="s">
        <v>173</v>
      </c>
      <c r="IT738" s="319" t="s">
        <v>173</v>
      </c>
    </row>
    <row r="739" spans="1:254" s="271" customFormat="1" x14ac:dyDescent="0.25">
      <c r="A739" s="318" t="str">
        <f>HYPERLINK("http://www.ofsted.gov.uk/inspection-reports/find-inspection-report/provider/ELS/139771 ","Ofsted School Webpage")</f>
        <v>Ofsted School Webpage</v>
      </c>
      <c r="B739" s="319">
        <v>139771</v>
      </c>
      <c r="C739" s="319">
        <v>8926016</v>
      </c>
      <c r="D739" s="319" t="s">
        <v>2224</v>
      </c>
      <c r="E739" s="319" t="s">
        <v>167</v>
      </c>
      <c r="F739" s="319" t="s">
        <v>81</v>
      </c>
      <c r="G739" s="319" t="s">
        <v>59</v>
      </c>
      <c r="H739" s="319" t="s">
        <v>59</v>
      </c>
      <c r="I739" s="319" t="s">
        <v>59</v>
      </c>
      <c r="J739" s="319" t="s">
        <v>424</v>
      </c>
      <c r="K739" s="319" t="s">
        <v>506</v>
      </c>
      <c r="L739" s="319" t="s">
        <v>506</v>
      </c>
      <c r="M739" s="319" t="s">
        <v>673</v>
      </c>
      <c r="N739" s="319" t="s">
        <v>3395</v>
      </c>
      <c r="O739" s="319" t="s">
        <v>2225</v>
      </c>
      <c r="P739" s="319">
        <v>4</v>
      </c>
      <c r="Q739" s="319" t="s">
        <v>2766</v>
      </c>
      <c r="R739" s="320">
        <v>10033531</v>
      </c>
      <c r="S739" s="321">
        <v>43137</v>
      </c>
      <c r="T739" s="321">
        <v>43138</v>
      </c>
      <c r="U739" s="321">
        <v>43173</v>
      </c>
      <c r="V739" s="319" t="s">
        <v>425</v>
      </c>
      <c r="W739" s="319" t="s">
        <v>2767</v>
      </c>
      <c r="X739" s="319">
        <v>2</v>
      </c>
      <c r="Y739" s="319" t="s">
        <v>173</v>
      </c>
      <c r="Z739" s="319" t="s">
        <v>173</v>
      </c>
      <c r="AA739" s="319" t="s">
        <v>173</v>
      </c>
      <c r="AB739" s="319">
        <v>2</v>
      </c>
      <c r="AC739" s="319" t="s">
        <v>169</v>
      </c>
      <c r="AD739" s="319" t="s">
        <v>173</v>
      </c>
      <c r="AE739" s="319" t="s">
        <v>173</v>
      </c>
      <c r="AF739" s="319" t="s">
        <v>427</v>
      </c>
      <c r="AG739" s="319" t="s">
        <v>171</v>
      </c>
      <c r="AH739" s="319" t="s">
        <v>190</v>
      </c>
      <c r="AI739" s="319" t="s">
        <v>190</v>
      </c>
      <c r="AJ739" s="319" t="s">
        <v>190</v>
      </c>
      <c r="AK739" s="319" t="s">
        <v>190</v>
      </c>
      <c r="AL739" s="319" t="s">
        <v>190</v>
      </c>
      <c r="AM739" s="319" t="s">
        <v>190</v>
      </c>
      <c r="AN739" s="319" t="s">
        <v>190</v>
      </c>
      <c r="AO739" s="319" t="s">
        <v>190</v>
      </c>
      <c r="AP739" s="319" t="s">
        <v>190</v>
      </c>
      <c r="AQ739" s="319" t="s">
        <v>190</v>
      </c>
      <c r="AR739" s="319" t="s">
        <v>190</v>
      </c>
      <c r="AS739" s="319" t="s">
        <v>190</v>
      </c>
      <c r="AT739" s="319" t="s">
        <v>190</v>
      </c>
      <c r="AU739" s="319" t="s">
        <v>190</v>
      </c>
      <c r="AV739" s="319" t="s">
        <v>190</v>
      </c>
      <c r="AW739" s="319" t="s">
        <v>190</v>
      </c>
      <c r="AX739" s="319" t="s">
        <v>190</v>
      </c>
      <c r="AY739" s="319" t="s">
        <v>190</v>
      </c>
      <c r="AZ739" s="319" t="s">
        <v>190</v>
      </c>
      <c r="BA739" s="319" t="s">
        <v>190</v>
      </c>
      <c r="BB739" s="319" t="s">
        <v>190</v>
      </c>
      <c r="BC739" s="319" t="s">
        <v>190</v>
      </c>
      <c r="BD739" s="319" t="s">
        <v>190</v>
      </c>
      <c r="BE739" s="319" t="s">
        <v>190</v>
      </c>
      <c r="BF739" s="319" t="s">
        <v>428</v>
      </c>
      <c r="BG739" s="319" t="s">
        <v>428</v>
      </c>
      <c r="BH739" s="319" t="s">
        <v>190</v>
      </c>
      <c r="BI739" s="319" t="s">
        <v>190</v>
      </c>
      <c r="BJ739" s="319" t="s">
        <v>190</v>
      </c>
      <c r="BK739" s="319" t="s">
        <v>190</v>
      </c>
      <c r="BL739" s="319" t="s">
        <v>190</v>
      </c>
      <c r="BM739" s="319" t="s">
        <v>190</v>
      </c>
      <c r="BN739" s="319" t="s">
        <v>190</v>
      </c>
      <c r="BO739" s="319" t="s">
        <v>190</v>
      </c>
      <c r="BP739" s="319" t="s">
        <v>190</v>
      </c>
      <c r="BQ739" s="319" t="s">
        <v>190</v>
      </c>
      <c r="BR739" s="319" t="s">
        <v>190</v>
      </c>
      <c r="BS739" s="319" t="s">
        <v>190</v>
      </c>
      <c r="BT739" s="319" t="s">
        <v>190</v>
      </c>
      <c r="BU739" s="319" t="s">
        <v>190</v>
      </c>
      <c r="BV739" s="319" t="s">
        <v>190</v>
      </c>
      <c r="BW739" s="319" t="s">
        <v>190</v>
      </c>
      <c r="BX739" s="319" t="s">
        <v>190</v>
      </c>
      <c r="BY739" s="319" t="s">
        <v>190</v>
      </c>
      <c r="BZ739" s="319" t="s">
        <v>190</v>
      </c>
      <c r="CA739" s="319" t="s">
        <v>190</v>
      </c>
      <c r="CB739" s="319" t="s">
        <v>190</v>
      </c>
      <c r="CC739" s="319" t="s">
        <v>190</v>
      </c>
      <c r="CD739" s="319" t="s">
        <v>190</v>
      </c>
      <c r="CE739" s="319" t="s">
        <v>190</v>
      </c>
      <c r="CF739" s="319" t="s">
        <v>190</v>
      </c>
      <c r="CG739" s="319" t="s">
        <v>190</v>
      </c>
      <c r="CH739" s="319" t="s">
        <v>190</v>
      </c>
      <c r="CI739" s="319" t="s">
        <v>190</v>
      </c>
      <c r="CJ739" s="319" t="s">
        <v>190</v>
      </c>
      <c r="CK739" s="319" t="s">
        <v>190</v>
      </c>
      <c r="CL739" s="319" t="s">
        <v>190</v>
      </c>
      <c r="CM739" s="319" t="s">
        <v>190</v>
      </c>
      <c r="CN739" s="319" t="s">
        <v>428</v>
      </c>
      <c r="CO739" s="319" t="s">
        <v>428</v>
      </c>
      <c r="CP739" s="319" t="s">
        <v>428</v>
      </c>
      <c r="CQ739" s="319" t="s">
        <v>190</v>
      </c>
      <c r="CR739" s="319" t="s">
        <v>190</v>
      </c>
      <c r="CS739" s="319" t="s">
        <v>190</v>
      </c>
      <c r="CT739" s="319" t="s">
        <v>190</v>
      </c>
      <c r="CU739" s="319" t="s">
        <v>190</v>
      </c>
      <c r="CV739" s="319" t="s">
        <v>190</v>
      </c>
      <c r="CW739" s="319" t="s">
        <v>190</v>
      </c>
      <c r="CX739" s="319" t="s">
        <v>190</v>
      </c>
      <c r="CY739" s="319" t="s">
        <v>190</v>
      </c>
      <c r="CZ739" s="319" t="s">
        <v>190</v>
      </c>
      <c r="DA739" s="319" t="s">
        <v>190</v>
      </c>
      <c r="DB739" s="319" t="s">
        <v>190</v>
      </c>
      <c r="DC739" s="319" t="s">
        <v>190</v>
      </c>
      <c r="DD739" s="319" t="s">
        <v>190</v>
      </c>
      <c r="DE739" s="319" t="s">
        <v>190</v>
      </c>
      <c r="DF739" s="319" t="s">
        <v>190</v>
      </c>
      <c r="DG739" s="319" t="s">
        <v>190</v>
      </c>
      <c r="DH739" s="319" t="s">
        <v>190</v>
      </c>
      <c r="DI739" s="319" t="s">
        <v>190</v>
      </c>
      <c r="DJ739" s="319" t="s">
        <v>190</v>
      </c>
      <c r="DK739" s="319" t="s">
        <v>190</v>
      </c>
      <c r="DL739" s="319" t="s">
        <v>190</v>
      </c>
      <c r="DM739" s="319" t="s">
        <v>190</v>
      </c>
      <c r="DN739" s="319" t="s">
        <v>428</v>
      </c>
      <c r="DO739" s="319" t="s">
        <v>190</v>
      </c>
      <c r="DP739" s="319" t="s">
        <v>428</v>
      </c>
      <c r="DQ739" s="319" t="s">
        <v>428</v>
      </c>
      <c r="DR739" s="319" t="s">
        <v>428</v>
      </c>
      <c r="DS739" s="319" t="s">
        <v>428</v>
      </c>
      <c r="DT739" s="319" t="s">
        <v>428</v>
      </c>
      <c r="DU739" s="319" t="s">
        <v>428</v>
      </c>
      <c r="DV739" s="319" t="s">
        <v>173</v>
      </c>
      <c r="DW739" s="319" t="s">
        <v>428</v>
      </c>
      <c r="DX739" s="319" t="s">
        <v>428</v>
      </c>
      <c r="DY739" s="319" t="s">
        <v>428</v>
      </c>
      <c r="DZ739" s="319" t="s">
        <v>428</v>
      </c>
      <c r="EA739" s="319" t="s">
        <v>428</v>
      </c>
      <c r="EB739" s="319" t="s">
        <v>428</v>
      </c>
      <c r="EC739" s="319" t="s">
        <v>428</v>
      </c>
      <c r="ED739" s="319" t="s">
        <v>190</v>
      </c>
      <c r="EE739" s="319" t="s">
        <v>190</v>
      </c>
      <c r="EF739" s="319" t="s">
        <v>190</v>
      </c>
      <c r="EG739" s="319" t="s">
        <v>190</v>
      </c>
      <c r="EH739" s="319" t="s">
        <v>190</v>
      </c>
      <c r="EI739" s="319" t="s">
        <v>190</v>
      </c>
      <c r="EJ739" s="319" t="s">
        <v>190</v>
      </c>
      <c r="EK739" s="319" t="s">
        <v>190</v>
      </c>
      <c r="EL739" s="319" t="s">
        <v>190</v>
      </c>
      <c r="EM739" s="319" t="s">
        <v>190</v>
      </c>
      <c r="EN739" s="319" t="s">
        <v>190</v>
      </c>
      <c r="EO739" s="319" t="s">
        <v>190</v>
      </c>
      <c r="EP739" s="319" t="s">
        <v>190</v>
      </c>
      <c r="EQ739" s="319" t="s">
        <v>190</v>
      </c>
      <c r="ER739" s="319" t="s">
        <v>190</v>
      </c>
      <c r="ES739" s="319" t="s">
        <v>190</v>
      </c>
      <c r="ET739" s="319" t="s">
        <v>190</v>
      </c>
      <c r="EU739" s="319" t="s">
        <v>190</v>
      </c>
      <c r="EV739" s="319" t="s">
        <v>190</v>
      </c>
      <c r="EW739" s="319" t="s">
        <v>190</v>
      </c>
      <c r="EX739" s="319" t="s">
        <v>190</v>
      </c>
      <c r="EY739" s="319" t="s">
        <v>190</v>
      </c>
      <c r="EZ739" s="319" t="s">
        <v>190</v>
      </c>
      <c r="FA739" s="319" t="s">
        <v>428</v>
      </c>
      <c r="FB739" s="319" t="s">
        <v>428</v>
      </c>
      <c r="FC739" s="319" t="s">
        <v>428</v>
      </c>
      <c r="FD739" s="319" t="s">
        <v>428</v>
      </c>
      <c r="FE739" s="319" t="s">
        <v>428</v>
      </c>
      <c r="FF739" s="319" t="s">
        <v>428</v>
      </c>
      <c r="FG739" s="319" t="s">
        <v>428</v>
      </c>
      <c r="FH739" s="319" t="s">
        <v>190</v>
      </c>
      <c r="FI739" s="319" t="s">
        <v>428</v>
      </c>
      <c r="FJ739" s="319" t="s">
        <v>429</v>
      </c>
      <c r="FK739" s="319" t="s">
        <v>428</v>
      </c>
      <c r="FL739" s="319" t="s">
        <v>190</v>
      </c>
      <c r="FM739" s="319" t="s">
        <v>190</v>
      </c>
      <c r="FN739" s="319" t="s">
        <v>190</v>
      </c>
      <c r="FO739" s="319" t="s">
        <v>190</v>
      </c>
      <c r="FP739" s="319" t="s">
        <v>190</v>
      </c>
      <c r="FQ739" s="319" t="s">
        <v>190</v>
      </c>
      <c r="FR739" s="319" t="s">
        <v>190</v>
      </c>
      <c r="FS739" s="319" t="s">
        <v>428</v>
      </c>
      <c r="FT739" s="319" t="s">
        <v>190</v>
      </c>
      <c r="FU739" s="319" t="s">
        <v>190</v>
      </c>
      <c r="FV739" s="319" t="s">
        <v>190</v>
      </c>
      <c r="FW739" s="319" t="s">
        <v>190</v>
      </c>
      <c r="FX739" s="319" t="s">
        <v>190</v>
      </c>
      <c r="FY739" s="319" t="s">
        <v>190</v>
      </c>
      <c r="FZ739" s="319" t="s">
        <v>190</v>
      </c>
      <c r="GA739" s="319" t="s">
        <v>190</v>
      </c>
      <c r="GB739" s="319" t="s">
        <v>190</v>
      </c>
      <c r="GC739" s="319" t="s">
        <v>190</v>
      </c>
      <c r="GD739" s="319" t="s">
        <v>190</v>
      </c>
      <c r="GE739" s="319" t="s">
        <v>190</v>
      </c>
      <c r="GF739" s="319" t="s">
        <v>190</v>
      </c>
      <c r="GG739" s="319" t="s">
        <v>190</v>
      </c>
      <c r="GH739" s="319" t="s">
        <v>190</v>
      </c>
      <c r="GI739" s="319" t="s">
        <v>190</v>
      </c>
      <c r="GJ739" s="319" t="s">
        <v>190</v>
      </c>
      <c r="GK739" s="319" t="s">
        <v>428</v>
      </c>
      <c r="GL739" s="319" t="s">
        <v>190</v>
      </c>
      <c r="GM739" s="319" t="s">
        <v>190</v>
      </c>
      <c r="GN739" s="319" t="s">
        <v>190</v>
      </c>
      <c r="GO739" s="319" t="s">
        <v>190</v>
      </c>
      <c r="GP739" s="319" t="s">
        <v>190</v>
      </c>
      <c r="GQ739" s="319" t="s">
        <v>428</v>
      </c>
      <c r="GR739" s="319" t="s">
        <v>190</v>
      </c>
      <c r="GS739" s="319" t="s">
        <v>190</v>
      </c>
      <c r="GT739" s="319" t="s">
        <v>190</v>
      </c>
      <c r="GU739" s="319" t="s">
        <v>190</v>
      </c>
      <c r="GV739" s="319" t="s">
        <v>190</v>
      </c>
      <c r="GW739" s="319" t="s">
        <v>190</v>
      </c>
      <c r="GX739" s="319" t="s">
        <v>190</v>
      </c>
      <c r="GY739" s="319" t="s">
        <v>190</v>
      </c>
      <c r="GZ739" s="319" t="s">
        <v>428</v>
      </c>
      <c r="HA739" s="319" t="s">
        <v>190</v>
      </c>
      <c r="HB739" s="319" t="s">
        <v>190</v>
      </c>
      <c r="HC739" s="319" t="s">
        <v>190</v>
      </c>
      <c r="HD739" s="319" t="s">
        <v>190</v>
      </c>
      <c r="HE739" s="319" t="s">
        <v>190</v>
      </c>
      <c r="HF739" s="319" t="s">
        <v>190</v>
      </c>
      <c r="HG739" s="319" t="s">
        <v>190</v>
      </c>
      <c r="HH739" s="319" t="s">
        <v>190</v>
      </c>
      <c r="HI739" s="319" t="s">
        <v>190</v>
      </c>
      <c r="HJ739" s="319" t="s">
        <v>190</v>
      </c>
      <c r="HK739" s="319" t="s">
        <v>190</v>
      </c>
      <c r="HL739" s="319" t="s">
        <v>428</v>
      </c>
      <c r="HM739" s="319" t="s">
        <v>428</v>
      </c>
      <c r="HN739" s="319" t="s">
        <v>428</v>
      </c>
      <c r="HO739" s="319" t="s">
        <v>428</v>
      </c>
      <c r="HP739" s="319" t="s">
        <v>190</v>
      </c>
      <c r="HQ739" s="319" t="s">
        <v>190</v>
      </c>
      <c r="HR739" s="319" t="s">
        <v>190</v>
      </c>
      <c r="HS739" s="319" t="s">
        <v>190</v>
      </c>
      <c r="HT739" s="319" t="s">
        <v>190</v>
      </c>
      <c r="HU739" s="319" t="s">
        <v>190</v>
      </c>
      <c r="HV739" s="319" t="s">
        <v>190</v>
      </c>
      <c r="HW739" s="319" t="s">
        <v>190</v>
      </c>
      <c r="HX739" s="319" t="s">
        <v>190</v>
      </c>
      <c r="HY739" s="319" t="s">
        <v>190</v>
      </c>
      <c r="HZ739" s="319" t="s">
        <v>190</v>
      </c>
      <c r="IA739" s="319" t="s">
        <v>190</v>
      </c>
      <c r="IB739" s="319" t="s">
        <v>190</v>
      </c>
      <c r="IC739" s="319" t="s">
        <v>190</v>
      </c>
      <c r="ID739" s="319" t="s">
        <v>190</v>
      </c>
      <c r="IE739" s="319" t="s">
        <v>190</v>
      </c>
      <c r="IF739" s="319" t="s">
        <v>190</v>
      </c>
      <c r="IG739" s="319" t="s">
        <v>190</v>
      </c>
      <c r="IH739" s="319" t="s">
        <v>190</v>
      </c>
      <c r="II739" s="319" t="s">
        <v>190</v>
      </c>
      <c r="IJ739" s="319" t="s">
        <v>3471</v>
      </c>
      <c r="IK739" s="321">
        <v>41794</v>
      </c>
      <c r="IL739" s="321">
        <v>41796</v>
      </c>
      <c r="IM739" s="321">
        <v>41816</v>
      </c>
      <c r="IN739" s="319">
        <v>2</v>
      </c>
      <c r="IO739" s="319" t="s">
        <v>173</v>
      </c>
      <c r="IP739" s="319" t="s">
        <v>173</v>
      </c>
      <c r="IQ739" s="321" t="s">
        <v>173</v>
      </c>
      <c r="IR739" s="320" t="s">
        <v>173</v>
      </c>
      <c r="IS739" s="322" t="s">
        <v>173</v>
      </c>
      <c r="IT739" s="319" t="s">
        <v>173</v>
      </c>
    </row>
    <row r="740" spans="1:254" s="271" customFormat="1" x14ac:dyDescent="0.25">
      <c r="A740" s="318" t="str">
        <f>HYPERLINK("http://www.ofsted.gov.uk/inspection-reports/find-inspection-report/provider/ELS/139787 ","Ofsted School Webpage")</f>
        <v>Ofsted School Webpage</v>
      </c>
      <c r="B740" s="319">
        <v>139787</v>
      </c>
      <c r="C740" s="319">
        <v>8316012</v>
      </c>
      <c r="D740" s="319" t="s">
        <v>3472</v>
      </c>
      <c r="E740" s="319" t="s">
        <v>168</v>
      </c>
      <c r="F740" s="319" t="s">
        <v>81</v>
      </c>
      <c r="G740" s="319" t="s">
        <v>81</v>
      </c>
      <c r="H740" s="319" t="s">
        <v>81</v>
      </c>
      <c r="I740" s="319" t="s">
        <v>78</v>
      </c>
      <c r="J740" s="319" t="s">
        <v>424</v>
      </c>
      <c r="K740" s="319" t="s">
        <v>506</v>
      </c>
      <c r="L740" s="319" t="s">
        <v>506</v>
      </c>
      <c r="M740" s="319" t="s">
        <v>1801</v>
      </c>
      <c r="N740" s="319" t="s">
        <v>3473</v>
      </c>
      <c r="O740" s="319" t="s">
        <v>2226</v>
      </c>
      <c r="P740" s="319">
        <v>7</v>
      </c>
      <c r="Q740" s="319" t="s">
        <v>429</v>
      </c>
      <c r="R740" s="320">
        <v>10039191</v>
      </c>
      <c r="S740" s="321">
        <v>43165</v>
      </c>
      <c r="T740" s="321">
        <v>43167</v>
      </c>
      <c r="U740" s="321">
        <v>43203</v>
      </c>
      <c r="V740" s="319" t="s">
        <v>425</v>
      </c>
      <c r="W740" s="319" t="s">
        <v>2767</v>
      </c>
      <c r="X740" s="319">
        <v>2</v>
      </c>
      <c r="Y740" s="319" t="s">
        <v>173</v>
      </c>
      <c r="Z740" s="319" t="s">
        <v>173</v>
      </c>
      <c r="AA740" s="319" t="s">
        <v>173</v>
      </c>
      <c r="AB740" s="319">
        <v>2</v>
      </c>
      <c r="AC740" s="319" t="s">
        <v>169</v>
      </c>
      <c r="AD740" s="319" t="s">
        <v>173</v>
      </c>
      <c r="AE740" s="319" t="s">
        <v>173</v>
      </c>
      <c r="AF740" s="319" t="s">
        <v>427</v>
      </c>
      <c r="AG740" s="319" t="s">
        <v>171</v>
      </c>
      <c r="AH740" s="319" t="s">
        <v>190</v>
      </c>
      <c r="AI740" s="319" t="s">
        <v>190</v>
      </c>
      <c r="AJ740" s="319" t="s">
        <v>190</v>
      </c>
      <c r="AK740" s="319" t="s">
        <v>190</v>
      </c>
      <c r="AL740" s="319" t="s">
        <v>190</v>
      </c>
      <c r="AM740" s="319" t="s">
        <v>190</v>
      </c>
      <c r="AN740" s="319" t="s">
        <v>190</v>
      </c>
      <c r="AO740" s="319" t="s">
        <v>190</v>
      </c>
      <c r="AP740" s="319" t="s">
        <v>190</v>
      </c>
      <c r="AQ740" s="319" t="s">
        <v>190</v>
      </c>
      <c r="AR740" s="319" t="s">
        <v>190</v>
      </c>
      <c r="AS740" s="319" t="s">
        <v>190</v>
      </c>
      <c r="AT740" s="319" t="s">
        <v>190</v>
      </c>
      <c r="AU740" s="319" t="s">
        <v>190</v>
      </c>
      <c r="AV740" s="319" t="s">
        <v>190</v>
      </c>
      <c r="AW740" s="319" t="s">
        <v>190</v>
      </c>
      <c r="AX740" s="319" t="s">
        <v>428</v>
      </c>
      <c r="AY740" s="319" t="s">
        <v>190</v>
      </c>
      <c r="AZ740" s="319" t="s">
        <v>190</v>
      </c>
      <c r="BA740" s="319" t="s">
        <v>190</v>
      </c>
      <c r="BB740" s="319" t="s">
        <v>190</v>
      </c>
      <c r="BC740" s="319" t="s">
        <v>190</v>
      </c>
      <c r="BD740" s="319" t="s">
        <v>190</v>
      </c>
      <c r="BE740" s="319" t="s">
        <v>190</v>
      </c>
      <c r="BF740" s="319" t="s">
        <v>428</v>
      </c>
      <c r="BG740" s="319" t="s">
        <v>190</v>
      </c>
      <c r="BH740" s="319" t="s">
        <v>190</v>
      </c>
      <c r="BI740" s="319" t="s">
        <v>190</v>
      </c>
      <c r="BJ740" s="319" t="s">
        <v>190</v>
      </c>
      <c r="BK740" s="319" t="s">
        <v>190</v>
      </c>
      <c r="BL740" s="319" t="s">
        <v>190</v>
      </c>
      <c r="BM740" s="319" t="s">
        <v>190</v>
      </c>
      <c r="BN740" s="319" t="s">
        <v>190</v>
      </c>
      <c r="BO740" s="319" t="s">
        <v>190</v>
      </c>
      <c r="BP740" s="319" t="s">
        <v>190</v>
      </c>
      <c r="BQ740" s="319" t="s">
        <v>190</v>
      </c>
      <c r="BR740" s="319" t="s">
        <v>190</v>
      </c>
      <c r="BS740" s="319" t="s">
        <v>190</v>
      </c>
      <c r="BT740" s="319" t="s">
        <v>190</v>
      </c>
      <c r="BU740" s="319" t="s">
        <v>190</v>
      </c>
      <c r="BV740" s="319" t="s">
        <v>190</v>
      </c>
      <c r="BW740" s="319" t="s">
        <v>190</v>
      </c>
      <c r="BX740" s="319" t="s">
        <v>190</v>
      </c>
      <c r="BY740" s="319" t="s">
        <v>190</v>
      </c>
      <c r="BZ740" s="319" t="s">
        <v>190</v>
      </c>
      <c r="CA740" s="319" t="s">
        <v>190</v>
      </c>
      <c r="CB740" s="319" t="s">
        <v>190</v>
      </c>
      <c r="CC740" s="319" t="s">
        <v>190</v>
      </c>
      <c r="CD740" s="319" t="s">
        <v>190</v>
      </c>
      <c r="CE740" s="319" t="s">
        <v>190</v>
      </c>
      <c r="CF740" s="319" t="s">
        <v>190</v>
      </c>
      <c r="CG740" s="319" t="s">
        <v>190</v>
      </c>
      <c r="CH740" s="319" t="s">
        <v>190</v>
      </c>
      <c r="CI740" s="319" t="s">
        <v>190</v>
      </c>
      <c r="CJ740" s="319" t="s">
        <v>190</v>
      </c>
      <c r="CK740" s="319" t="s">
        <v>190</v>
      </c>
      <c r="CL740" s="319" t="s">
        <v>190</v>
      </c>
      <c r="CM740" s="319" t="s">
        <v>190</v>
      </c>
      <c r="CN740" s="319" t="s">
        <v>428</v>
      </c>
      <c r="CO740" s="319" t="s">
        <v>428</v>
      </c>
      <c r="CP740" s="319" t="s">
        <v>428</v>
      </c>
      <c r="CQ740" s="319" t="s">
        <v>190</v>
      </c>
      <c r="CR740" s="319" t="s">
        <v>190</v>
      </c>
      <c r="CS740" s="319" t="s">
        <v>190</v>
      </c>
      <c r="CT740" s="319" t="s">
        <v>190</v>
      </c>
      <c r="CU740" s="319" t="s">
        <v>190</v>
      </c>
      <c r="CV740" s="319" t="s">
        <v>190</v>
      </c>
      <c r="CW740" s="319" t="s">
        <v>190</v>
      </c>
      <c r="CX740" s="319" t="s">
        <v>190</v>
      </c>
      <c r="CY740" s="319" t="s">
        <v>190</v>
      </c>
      <c r="CZ740" s="319" t="s">
        <v>190</v>
      </c>
      <c r="DA740" s="319" t="s">
        <v>190</v>
      </c>
      <c r="DB740" s="319" t="s">
        <v>190</v>
      </c>
      <c r="DC740" s="319" t="s">
        <v>190</v>
      </c>
      <c r="DD740" s="319" t="s">
        <v>190</v>
      </c>
      <c r="DE740" s="319" t="s">
        <v>190</v>
      </c>
      <c r="DF740" s="319" t="s">
        <v>190</v>
      </c>
      <c r="DG740" s="319" t="s">
        <v>190</v>
      </c>
      <c r="DH740" s="319" t="s">
        <v>190</v>
      </c>
      <c r="DI740" s="319" t="s">
        <v>190</v>
      </c>
      <c r="DJ740" s="319" t="s">
        <v>190</v>
      </c>
      <c r="DK740" s="319" t="s">
        <v>190</v>
      </c>
      <c r="DL740" s="319" t="s">
        <v>190</v>
      </c>
      <c r="DM740" s="319" t="s">
        <v>190</v>
      </c>
      <c r="DN740" s="319" t="s">
        <v>428</v>
      </c>
      <c r="DO740" s="319" t="s">
        <v>190</v>
      </c>
      <c r="DP740" s="319" t="s">
        <v>428</v>
      </c>
      <c r="DQ740" s="319" t="s">
        <v>428</v>
      </c>
      <c r="DR740" s="319" t="s">
        <v>428</v>
      </c>
      <c r="DS740" s="319" t="s">
        <v>428</v>
      </c>
      <c r="DT740" s="319" t="s">
        <v>428</v>
      </c>
      <c r="DU740" s="319" t="s">
        <v>428</v>
      </c>
      <c r="DV740" s="319" t="s">
        <v>173</v>
      </c>
      <c r="DW740" s="319" t="s">
        <v>428</v>
      </c>
      <c r="DX740" s="319" t="s">
        <v>428</v>
      </c>
      <c r="DY740" s="319" t="s">
        <v>428</v>
      </c>
      <c r="DZ740" s="319" t="s">
        <v>428</v>
      </c>
      <c r="EA740" s="319" t="s">
        <v>428</v>
      </c>
      <c r="EB740" s="319" t="s">
        <v>428</v>
      </c>
      <c r="EC740" s="319" t="s">
        <v>428</v>
      </c>
      <c r="ED740" s="319" t="s">
        <v>428</v>
      </c>
      <c r="EE740" s="319" t="s">
        <v>428</v>
      </c>
      <c r="EF740" s="319" t="s">
        <v>428</v>
      </c>
      <c r="EG740" s="319" t="s">
        <v>428</v>
      </c>
      <c r="EH740" s="319" t="s">
        <v>428</v>
      </c>
      <c r="EI740" s="319" t="s">
        <v>428</v>
      </c>
      <c r="EJ740" s="319" t="s">
        <v>428</v>
      </c>
      <c r="EK740" s="319" t="s">
        <v>428</v>
      </c>
      <c r="EL740" s="319" t="s">
        <v>428</v>
      </c>
      <c r="EM740" s="319" t="s">
        <v>428</v>
      </c>
      <c r="EN740" s="319" t="s">
        <v>190</v>
      </c>
      <c r="EO740" s="319" t="s">
        <v>190</v>
      </c>
      <c r="EP740" s="319" t="s">
        <v>190</v>
      </c>
      <c r="EQ740" s="319" t="s">
        <v>190</v>
      </c>
      <c r="ER740" s="319" t="s">
        <v>190</v>
      </c>
      <c r="ES740" s="319" t="s">
        <v>190</v>
      </c>
      <c r="ET740" s="319" t="s">
        <v>190</v>
      </c>
      <c r="EU740" s="319" t="s">
        <v>190</v>
      </c>
      <c r="EV740" s="319" t="s">
        <v>190</v>
      </c>
      <c r="EW740" s="319" t="s">
        <v>190</v>
      </c>
      <c r="EX740" s="319" t="s">
        <v>190</v>
      </c>
      <c r="EY740" s="319" t="s">
        <v>190</v>
      </c>
      <c r="EZ740" s="319" t="s">
        <v>190</v>
      </c>
      <c r="FA740" s="319" t="s">
        <v>428</v>
      </c>
      <c r="FB740" s="319" t="s">
        <v>428</v>
      </c>
      <c r="FC740" s="319" t="s">
        <v>428</v>
      </c>
      <c r="FD740" s="319" t="s">
        <v>428</v>
      </c>
      <c r="FE740" s="319" t="s">
        <v>428</v>
      </c>
      <c r="FF740" s="319" t="s">
        <v>428</v>
      </c>
      <c r="FG740" s="319" t="s">
        <v>428</v>
      </c>
      <c r="FH740" s="319" t="s">
        <v>428</v>
      </c>
      <c r="FI740" s="319" t="s">
        <v>428</v>
      </c>
      <c r="FJ740" s="319" t="s">
        <v>429</v>
      </c>
      <c r="FK740" s="319" t="s">
        <v>428</v>
      </c>
      <c r="FL740" s="319" t="s">
        <v>190</v>
      </c>
      <c r="FM740" s="319" t="s">
        <v>190</v>
      </c>
      <c r="FN740" s="319" t="s">
        <v>190</v>
      </c>
      <c r="FO740" s="319" t="s">
        <v>190</v>
      </c>
      <c r="FP740" s="319" t="s">
        <v>190</v>
      </c>
      <c r="FQ740" s="319" t="s">
        <v>190</v>
      </c>
      <c r="FR740" s="319" t="s">
        <v>190</v>
      </c>
      <c r="FS740" s="319" t="s">
        <v>428</v>
      </c>
      <c r="FT740" s="319" t="s">
        <v>190</v>
      </c>
      <c r="FU740" s="319" t="s">
        <v>190</v>
      </c>
      <c r="FV740" s="319" t="s">
        <v>190</v>
      </c>
      <c r="FW740" s="319" t="s">
        <v>190</v>
      </c>
      <c r="FX740" s="319" t="s">
        <v>190</v>
      </c>
      <c r="FY740" s="319" t="s">
        <v>190</v>
      </c>
      <c r="FZ740" s="319" t="s">
        <v>190</v>
      </c>
      <c r="GA740" s="319" t="s">
        <v>190</v>
      </c>
      <c r="GB740" s="319" t="s">
        <v>190</v>
      </c>
      <c r="GC740" s="319" t="s">
        <v>190</v>
      </c>
      <c r="GD740" s="319" t="s">
        <v>190</v>
      </c>
      <c r="GE740" s="319" t="s">
        <v>190</v>
      </c>
      <c r="GF740" s="319" t="s">
        <v>190</v>
      </c>
      <c r="GG740" s="319" t="s">
        <v>190</v>
      </c>
      <c r="GH740" s="319" t="s">
        <v>190</v>
      </c>
      <c r="GI740" s="319" t="s">
        <v>190</v>
      </c>
      <c r="GJ740" s="319" t="s">
        <v>190</v>
      </c>
      <c r="GK740" s="319" t="s">
        <v>428</v>
      </c>
      <c r="GL740" s="319" t="s">
        <v>190</v>
      </c>
      <c r="GM740" s="319" t="s">
        <v>190</v>
      </c>
      <c r="GN740" s="319" t="s">
        <v>190</v>
      </c>
      <c r="GO740" s="319" t="s">
        <v>190</v>
      </c>
      <c r="GP740" s="319" t="s">
        <v>190</v>
      </c>
      <c r="GQ740" s="319" t="s">
        <v>428</v>
      </c>
      <c r="GR740" s="319" t="s">
        <v>190</v>
      </c>
      <c r="GS740" s="319" t="s">
        <v>190</v>
      </c>
      <c r="GT740" s="319" t="s">
        <v>428</v>
      </c>
      <c r="GU740" s="319" t="s">
        <v>190</v>
      </c>
      <c r="GV740" s="319" t="s">
        <v>428</v>
      </c>
      <c r="GW740" s="319" t="s">
        <v>190</v>
      </c>
      <c r="GX740" s="319" t="s">
        <v>190</v>
      </c>
      <c r="GY740" s="319" t="s">
        <v>190</v>
      </c>
      <c r="GZ740" s="319" t="s">
        <v>190</v>
      </c>
      <c r="HA740" s="319" t="s">
        <v>428</v>
      </c>
      <c r="HB740" s="319" t="s">
        <v>428</v>
      </c>
      <c r="HC740" s="319" t="s">
        <v>190</v>
      </c>
      <c r="HD740" s="319" t="s">
        <v>190</v>
      </c>
      <c r="HE740" s="319" t="s">
        <v>190</v>
      </c>
      <c r="HF740" s="319" t="s">
        <v>190</v>
      </c>
      <c r="HG740" s="319" t="s">
        <v>190</v>
      </c>
      <c r="HH740" s="319" t="s">
        <v>190</v>
      </c>
      <c r="HI740" s="319" t="s">
        <v>190</v>
      </c>
      <c r="HJ740" s="319" t="s">
        <v>190</v>
      </c>
      <c r="HK740" s="319" t="s">
        <v>190</v>
      </c>
      <c r="HL740" s="319" t="s">
        <v>428</v>
      </c>
      <c r="HM740" s="319" t="s">
        <v>428</v>
      </c>
      <c r="HN740" s="319" t="s">
        <v>428</v>
      </c>
      <c r="HO740" s="319" t="s">
        <v>428</v>
      </c>
      <c r="HP740" s="319" t="s">
        <v>190</v>
      </c>
      <c r="HQ740" s="319" t="s">
        <v>190</v>
      </c>
      <c r="HR740" s="319" t="s">
        <v>190</v>
      </c>
      <c r="HS740" s="319" t="s">
        <v>190</v>
      </c>
      <c r="HT740" s="319" t="s">
        <v>190</v>
      </c>
      <c r="HU740" s="319" t="s">
        <v>190</v>
      </c>
      <c r="HV740" s="319" t="s">
        <v>190</v>
      </c>
      <c r="HW740" s="319" t="s">
        <v>190</v>
      </c>
      <c r="HX740" s="319" t="s">
        <v>190</v>
      </c>
      <c r="HY740" s="319" t="s">
        <v>190</v>
      </c>
      <c r="HZ740" s="319" t="s">
        <v>190</v>
      </c>
      <c r="IA740" s="319" t="s">
        <v>190</v>
      </c>
      <c r="IB740" s="319" t="s">
        <v>190</v>
      </c>
      <c r="IC740" s="319" t="s">
        <v>190</v>
      </c>
      <c r="ID740" s="319" t="s">
        <v>190</v>
      </c>
      <c r="IE740" s="319" t="s">
        <v>190</v>
      </c>
      <c r="IF740" s="319" t="s">
        <v>190</v>
      </c>
      <c r="IG740" s="319" t="s">
        <v>190</v>
      </c>
      <c r="IH740" s="319" t="s">
        <v>190</v>
      </c>
      <c r="II740" s="319" t="s">
        <v>190</v>
      </c>
      <c r="IJ740" s="319" t="s">
        <v>3474</v>
      </c>
      <c r="IK740" s="321">
        <v>41898</v>
      </c>
      <c r="IL740" s="321">
        <v>41899</v>
      </c>
      <c r="IM740" s="321">
        <v>41919</v>
      </c>
      <c r="IN740" s="319">
        <v>2</v>
      </c>
      <c r="IO740" s="319" t="s">
        <v>173</v>
      </c>
      <c r="IP740" s="319" t="s">
        <v>173</v>
      </c>
      <c r="IQ740" s="321" t="s">
        <v>173</v>
      </c>
      <c r="IR740" s="320" t="s">
        <v>173</v>
      </c>
      <c r="IS740" s="322" t="s">
        <v>173</v>
      </c>
      <c r="IT740" s="319" t="s">
        <v>173</v>
      </c>
    </row>
    <row r="741" spans="1:254" s="271" customFormat="1" x14ac:dyDescent="0.25">
      <c r="A741" s="318" t="str">
        <f>HYPERLINK("http://www.ofsted.gov.uk/inspection-reports/find-inspection-report/provider/ELS/139807 ","Ofsted School Webpage")</f>
        <v>Ofsted School Webpage</v>
      </c>
      <c r="B741" s="319">
        <v>139807</v>
      </c>
      <c r="C741" s="319">
        <v>3906001</v>
      </c>
      <c r="D741" s="319" t="s">
        <v>2227</v>
      </c>
      <c r="E741" s="319" t="s">
        <v>168</v>
      </c>
      <c r="F741" s="319" t="s">
        <v>81</v>
      </c>
      <c r="G741" s="319" t="s">
        <v>69</v>
      </c>
      <c r="H741" s="319" t="s">
        <v>69</v>
      </c>
      <c r="I741" s="319" t="s">
        <v>69</v>
      </c>
      <c r="J741" s="319" t="s">
        <v>424</v>
      </c>
      <c r="K741" s="319" t="s">
        <v>458</v>
      </c>
      <c r="L741" s="319" t="s">
        <v>474</v>
      </c>
      <c r="M741" s="319" t="s">
        <v>787</v>
      </c>
      <c r="N741" s="319" t="s">
        <v>787</v>
      </c>
      <c r="O741" s="319" t="s">
        <v>2228</v>
      </c>
      <c r="P741" s="319">
        <v>13</v>
      </c>
      <c r="Q741" s="319" t="s">
        <v>429</v>
      </c>
      <c r="R741" s="320">
        <v>10040143</v>
      </c>
      <c r="S741" s="321">
        <v>43074</v>
      </c>
      <c r="T741" s="321">
        <v>43076</v>
      </c>
      <c r="U741" s="321">
        <v>43102</v>
      </c>
      <c r="V741" s="319" t="s">
        <v>425</v>
      </c>
      <c r="W741" s="319" t="s">
        <v>2767</v>
      </c>
      <c r="X741" s="319">
        <v>1</v>
      </c>
      <c r="Y741" s="319" t="s">
        <v>173</v>
      </c>
      <c r="Z741" s="319" t="s">
        <v>173</v>
      </c>
      <c r="AA741" s="319" t="s">
        <v>173</v>
      </c>
      <c r="AB741" s="319">
        <v>1</v>
      </c>
      <c r="AC741" s="319" t="s">
        <v>169</v>
      </c>
      <c r="AD741" s="319" t="s">
        <v>173</v>
      </c>
      <c r="AE741" s="319">
        <v>1</v>
      </c>
      <c r="AF741" s="319" t="s">
        <v>427</v>
      </c>
      <c r="AG741" s="319" t="s">
        <v>171</v>
      </c>
      <c r="AH741" s="319" t="s">
        <v>190</v>
      </c>
      <c r="AI741" s="319" t="s">
        <v>190</v>
      </c>
      <c r="AJ741" s="319" t="s">
        <v>190</v>
      </c>
      <c r="AK741" s="319" t="s">
        <v>190</v>
      </c>
      <c r="AL741" s="319" t="s">
        <v>190</v>
      </c>
      <c r="AM741" s="319" t="s">
        <v>190</v>
      </c>
      <c r="AN741" s="319" t="s">
        <v>190</v>
      </c>
      <c r="AO741" s="319" t="s">
        <v>190</v>
      </c>
      <c r="AP741" s="319" t="s">
        <v>190</v>
      </c>
      <c r="AQ741" s="319" t="s">
        <v>190</v>
      </c>
      <c r="AR741" s="319" t="s">
        <v>190</v>
      </c>
      <c r="AS741" s="319" t="s">
        <v>190</v>
      </c>
      <c r="AT741" s="319" t="s">
        <v>190</v>
      </c>
      <c r="AU741" s="319" t="s">
        <v>190</v>
      </c>
      <c r="AV741" s="319" t="s">
        <v>190</v>
      </c>
      <c r="AW741" s="319" t="s">
        <v>190</v>
      </c>
      <c r="AX741" s="319" t="s">
        <v>428</v>
      </c>
      <c r="AY741" s="319" t="s">
        <v>190</v>
      </c>
      <c r="AZ741" s="319" t="s">
        <v>190</v>
      </c>
      <c r="BA741" s="319" t="s">
        <v>190</v>
      </c>
      <c r="BB741" s="319" t="s">
        <v>190</v>
      </c>
      <c r="BC741" s="319" t="s">
        <v>190</v>
      </c>
      <c r="BD741" s="319" t="s">
        <v>190</v>
      </c>
      <c r="BE741" s="319" t="s">
        <v>190</v>
      </c>
      <c r="BF741" s="319" t="s">
        <v>428</v>
      </c>
      <c r="BG741" s="319" t="s">
        <v>190</v>
      </c>
      <c r="BH741" s="319" t="s">
        <v>190</v>
      </c>
      <c r="BI741" s="319" t="s">
        <v>190</v>
      </c>
      <c r="BJ741" s="319" t="s">
        <v>190</v>
      </c>
      <c r="BK741" s="319" t="s">
        <v>190</v>
      </c>
      <c r="BL741" s="319" t="s">
        <v>190</v>
      </c>
      <c r="BM741" s="319" t="s">
        <v>190</v>
      </c>
      <c r="BN741" s="319" t="s">
        <v>190</v>
      </c>
      <c r="BO741" s="319" t="s">
        <v>190</v>
      </c>
      <c r="BP741" s="319" t="s">
        <v>190</v>
      </c>
      <c r="BQ741" s="319" t="s">
        <v>190</v>
      </c>
      <c r="BR741" s="319" t="s">
        <v>190</v>
      </c>
      <c r="BS741" s="319" t="s">
        <v>190</v>
      </c>
      <c r="BT741" s="319" t="s">
        <v>190</v>
      </c>
      <c r="BU741" s="319" t="s">
        <v>190</v>
      </c>
      <c r="BV741" s="319" t="s">
        <v>190</v>
      </c>
      <c r="BW741" s="319" t="s">
        <v>190</v>
      </c>
      <c r="BX741" s="319" t="s">
        <v>190</v>
      </c>
      <c r="BY741" s="319" t="s">
        <v>190</v>
      </c>
      <c r="BZ741" s="319" t="s">
        <v>190</v>
      </c>
      <c r="CA741" s="319" t="s">
        <v>190</v>
      </c>
      <c r="CB741" s="319" t="s">
        <v>190</v>
      </c>
      <c r="CC741" s="319" t="s">
        <v>190</v>
      </c>
      <c r="CD741" s="319" t="s">
        <v>190</v>
      </c>
      <c r="CE741" s="319" t="s">
        <v>190</v>
      </c>
      <c r="CF741" s="319" t="s">
        <v>190</v>
      </c>
      <c r="CG741" s="319" t="s">
        <v>190</v>
      </c>
      <c r="CH741" s="319" t="s">
        <v>190</v>
      </c>
      <c r="CI741" s="319" t="s">
        <v>190</v>
      </c>
      <c r="CJ741" s="319" t="s">
        <v>190</v>
      </c>
      <c r="CK741" s="319" t="s">
        <v>190</v>
      </c>
      <c r="CL741" s="319" t="s">
        <v>190</v>
      </c>
      <c r="CM741" s="319" t="s">
        <v>190</v>
      </c>
      <c r="CN741" s="319" t="s">
        <v>428</v>
      </c>
      <c r="CO741" s="319" t="s">
        <v>428</v>
      </c>
      <c r="CP741" s="319" t="s">
        <v>428</v>
      </c>
      <c r="CQ741" s="319" t="s">
        <v>190</v>
      </c>
      <c r="CR741" s="319" t="s">
        <v>190</v>
      </c>
      <c r="CS741" s="319" t="s">
        <v>190</v>
      </c>
      <c r="CT741" s="319" t="s">
        <v>190</v>
      </c>
      <c r="CU741" s="319" t="s">
        <v>190</v>
      </c>
      <c r="CV741" s="319" t="s">
        <v>190</v>
      </c>
      <c r="CW741" s="319" t="s">
        <v>190</v>
      </c>
      <c r="CX741" s="319" t="s">
        <v>190</v>
      </c>
      <c r="CY741" s="319" t="s">
        <v>190</v>
      </c>
      <c r="CZ741" s="319" t="s">
        <v>190</v>
      </c>
      <c r="DA741" s="319" t="s">
        <v>190</v>
      </c>
      <c r="DB741" s="319" t="s">
        <v>190</v>
      </c>
      <c r="DC741" s="319" t="s">
        <v>190</v>
      </c>
      <c r="DD741" s="319" t="s">
        <v>190</v>
      </c>
      <c r="DE741" s="319" t="s">
        <v>190</v>
      </c>
      <c r="DF741" s="319" t="s">
        <v>190</v>
      </c>
      <c r="DG741" s="319" t="s">
        <v>190</v>
      </c>
      <c r="DH741" s="319" t="s">
        <v>190</v>
      </c>
      <c r="DI741" s="319" t="s">
        <v>190</v>
      </c>
      <c r="DJ741" s="319" t="s">
        <v>190</v>
      </c>
      <c r="DK741" s="319" t="s">
        <v>190</v>
      </c>
      <c r="DL741" s="319" t="s">
        <v>190</v>
      </c>
      <c r="DM741" s="319" t="s">
        <v>190</v>
      </c>
      <c r="DN741" s="319" t="s">
        <v>428</v>
      </c>
      <c r="DO741" s="319" t="s">
        <v>190</v>
      </c>
      <c r="DP741" s="319" t="s">
        <v>428</v>
      </c>
      <c r="DQ741" s="319" t="s">
        <v>428</v>
      </c>
      <c r="DR741" s="319" t="s">
        <v>428</v>
      </c>
      <c r="DS741" s="319" t="s">
        <v>428</v>
      </c>
      <c r="DT741" s="319" t="s">
        <v>428</v>
      </c>
      <c r="DU741" s="319" t="s">
        <v>428</v>
      </c>
      <c r="DV741" s="319" t="s">
        <v>173</v>
      </c>
      <c r="DW741" s="319" t="s">
        <v>428</v>
      </c>
      <c r="DX741" s="319" t="s">
        <v>428</v>
      </c>
      <c r="DY741" s="319" t="s">
        <v>428</v>
      </c>
      <c r="DZ741" s="319" t="s">
        <v>428</v>
      </c>
      <c r="EA741" s="319" t="s">
        <v>428</v>
      </c>
      <c r="EB741" s="319" t="s">
        <v>428</v>
      </c>
      <c r="EC741" s="319" t="s">
        <v>428</v>
      </c>
      <c r="ED741" s="319" t="s">
        <v>190</v>
      </c>
      <c r="EE741" s="319" t="s">
        <v>190</v>
      </c>
      <c r="EF741" s="319" t="s">
        <v>190</v>
      </c>
      <c r="EG741" s="319" t="s">
        <v>190</v>
      </c>
      <c r="EH741" s="319" t="s">
        <v>190</v>
      </c>
      <c r="EI741" s="319" t="s">
        <v>190</v>
      </c>
      <c r="EJ741" s="319" t="s">
        <v>190</v>
      </c>
      <c r="EK741" s="319" t="s">
        <v>190</v>
      </c>
      <c r="EL741" s="319" t="s">
        <v>190</v>
      </c>
      <c r="EM741" s="319" t="s">
        <v>190</v>
      </c>
      <c r="EN741" s="319" t="s">
        <v>190</v>
      </c>
      <c r="EO741" s="319" t="s">
        <v>190</v>
      </c>
      <c r="EP741" s="319" t="s">
        <v>190</v>
      </c>
      <c r="EQ741" s="319" t="s">
        <v>190</v>
      </c>
      <c r="ER741" s="319" t="s">
        <v>190</v>
      </c>
      <c r="ES741" s="319" t="s">
        <v>190</v>
      </c>
      <c r="ET741" s="319" t="s">
        <v>190</v>
      </c>
      <c r="EU741" s="319" t="s">
        <v>190</v>
      </c>
      <c r="EV741" s="319" t="s">
        <v>190</v>
      </c>
      <c r="EW741" s="319" t="s">
        <v>190</v>
      </c>
      <c r="EX741" s="319" t="s">
        <v>190</v>
      </c>
      <c r="EY741" s="319" t="s">
        <v>190</v>
      </c>
      <c r="EZ741" s="319" t="s">
        <v>190</v>
      </c>
      <c r="FA741" s="319" t="s">
        <v>190</v>
      </c>
      <c r="FB741" s="319" t="s">
        <v>190</v>
      </c>
      <c r="FC741" s="319" t="s">
        <v>190</v>
      </c>
      <c r="FD741" s="319" t="s">
        <v>190</v>
      </c>
      <c r="FE741" s="319" t="s">
        <v>190</v>
      </c>
      <c r="FF741" s="319" t="s">
        <v>190</v>
      </c>
      <c r="FG741" s="319" t="s">
        <v>190</v>
      </c>
      <c r="FH741" s="319" t="s">
        <v>190</v>
      </c>
      <c r="FI741" s="319" t="s">
        <v>190</v>
      </c>
      <c r="FJ741" s="319" t="s">
        <v>190</v>
      </c>
      <c r="FK741" s="319" t="s">
        <v>190</v>
      </c>
      <c r="FL741" s="319" t="s">
        <v>190</v>
      </c>
      <c r="FM741" s="319" t="s">
        <v>190</v>
      </c>
      <c r="FN741" s="319" t="s">
        <v>190</v>
      </c>
      <c r="FO741" s="319" t="s">
        <v>190</v>
      </c>
      <c r="FP741" s="319" t="s">
        <v>190</v>
      </c>
      <c r="FQ741" s="319" t="s">
        <v>190</v>
      </c>
      <c r="FR741" s="319" t="s">
        <v>190</v>
      </c>
      <c r="FS741" s="319" t="s">
        <v>428</v>
      </c>
      <c r="FT741" s="319" t="s">
        <v>190</v>
      </c>
      <c r="FU741" s="319" t="s">
        <v>190</v>
      </c>
      <c r="FV741" s="319" t="s">
        <v>190</v>
      </c>
      <c r="FW741" s="319" t="s">
        <v>190</v>
      </c>
      <c r="FX741" s="319" t="s">
        <v>190</v>
      </c>
      <c r="FY741" s="319" t="s">
        <v>190</v>
      </c>
      <c r="FZ741" s="319" t="s">
        <v>190</v>
      </c>
      <c r="GA741" s="319" t="s">
        <v>190</v>
      </c>
      <c r="GB741" s="319" t="s">
        <v>190</v>
      </c>
      <c r="GC741" s="319" t="s">
        <v>190</v>
      </c>
      <c r="GD741" s="319" t="s">
        <v>190</v>
      </c>
      <c r="GE741" s="319" t="s">
        <v>190</v>
      </c>
      <c r="GF741" s="319" t="s">
        <v>190</v>
      </c>
      <c r="GG741" s="319" t="s">
        <v>190</v>
      </c>
      <c r="GH741" s="319" t="s">
        <v>190</v>
      </c>
      <c r="GI741" s="319" t="s">
        <v>190</v>
      </c>
      <c r="GJ741" s="319" t="s">
        <v>190</v>
      </c>
      <c r="GK741" s="319" t="s">
        <v>428</v>
      </c>
      <c r="GL741" s="319" t="s">
        <v>190</v>
      </c>
      <c r="GM741" s="319" t="s">
        <v>190</v>
      </c>
      <c r="GN741" s="319" t="s">
        <v>190</v>
      </c>
      <c r="GO741" s="319" t="s">
        <v>190</v>
      </c>
      <c r="GP741" s="319" t="s">
        <v>190</v>
      </c>
      <c r="GQ741" s="319" t="s">
        <v>428</v>
      </c>
      <c r="GR741" s="319" t="s">
        <v>190</v>
      </c>
      <c r="GS741" s="319" t="s">
        <v>190</v>
      </c>
      <c r="GT741" s="319" t="s">
        <v>190</v>
      </c>
      <c r="GU741" s="319" t="s">
        <v>190</v>
      </c>
      <c r="GV741" s="319" t="s">
        <v>190</v>
      </c>
      <c r="GW741" s="319" t="s">
        <v>190</v>
      </c>
      <c r="GX741" s="319" t="s">
        <v>190</v>
      </c>
      <c r="GY741" s="319" t="s">
        <v>190</v>
      </c>
      <c r="GZ741" s="319" t="s">
        <v>190</v>
      </c>
      <c r="HA741" s="319" t="s">
        <v>428</v>
      </c>
      <c r="HB741" s="319" t="s">
        <v>190</v>
      </c>
      <c r="HC741" s="319" t="s">
        <v>190</v>
      </c>
      <c r="HD741" s="319" t="s">
        <v>190</v>
      </c>
      <c r="HE741" s="319" t="s">
        <v>190</v>
      </c>
      <c r="HF741" s="319" t="s">
        <v>190</v>
      </c>
      <c r="HG741" s="319" t="s">
        <v>190</v>
      </c>
      <c r="HH741" s="319" t="s">
        <v>190</v>
      </c>
      <c r="HI741" s="319" t="s">
        <v>190</v>
      </c>
      <c r="HJ741" s="319" t="s">
        <v>190</v>
      </c>
      <c r="HK741" s="319" t="s">
        <v>190</v>
      </c>
      <c r="HL741" s="319" t="s">
        <v>428</v>
      </c>
      <c r="HM741" s="319" t="s">
        <v>428</v>
      </c>
      <c r="HN741" s="319" t="s">
        <v>428</v>
      </c>
      <c r="HO741" s="319" t="s">
        <v>428</v>
      </c>
      <c r="HP741" s="319" t="s">
        <v>190</v>
      </c>
      <c r="HQ741" s="319" t="s">
        <v>190</v>
      </c>
      <c r="HR741" s="319" t="s">
        <v>190</v>
      </c>
      <c r="HS741" s="319" t="s">
        <v>190</v>
      </c>
      <c r="HT741" s="319" t="s">
        <v>190</v>
      </c>
      <c r="HU741" s="319" t="s">
        <v>190</v>
      </c>
      <c r="HV741" s="319" t="s">
        <v>190</v>
      </c>
      <c r="HW741" s="319" t="s">
        <v>190</v>
      </c>
      <c r="HX741" s="319" t="s">
        <v>190</v>
      </c>
      <c r="HY741" s="319" t="s">
        <v>190</v>
      </c>
      <c r="HZ741" s="319" t="s">
        <v>190</v>
      </c>
      <c r="IA741" s="319" t="s">
        <v>190</v>
      </c>
      <c r="IB741" s="319" t="s">
        <v>190</v>
      </c>
      <c r="IC741" s="319" t="s">
        <v>190</v>
      </c>
      <c r="ID741" s="319" t="s">
        <v>190</v>
      </c>
      <c r="IE741" s="319" t="s">
        <v>190</v>
      </c>
      <c r="IF741" s="319" t="s">
        <v>190</v>
      </c>
      <c r="IG741" s="319" t="s">
        <v>190</v>
      </c>
      <c r="IH741" s="319" t="s">
        <v>190</v>
      </c>
      <c r="II741" s="319" t="s">
        <v>190</v>
      </c>
      <c r="IJ741" s="319" t="s">
        <v>3475</v>
      </c>
      <c r="IK741" s="321">
        <v>41954</v>
      </c>
      <c r="IL741" s="321">
        <v>41956</v>
      </c>
      <c r="IM741" s="321">
        <v>41977</v>
      </c>
      <c r="IN741" s="319">
        <v>1</v>
      </c>
      <c r="IO741" s="319" t="s">
        <v>173</v>
      </c>
      <c r="IP741" s="319" t="s">
        <v>173</v>
      </c>
      <c r="IQ741" s="321" t="s">
        <v>173</v>
      </c>
      <c r="IR741" s="320" t="s">
        <v>173</v>
      </c>
      <c r="IS741" s="322" t="s">
        <v>173</v>
      </c>
      <c r="IT741" s="319" t="s">
        <v>173</v>
      </c>
    </row>
    <row r="742" spans="1:254" s="271" customFormat="1" x14ac:dyDescent="0.25">
      <c r="A742" s="318" t="str">
        <f>HYPERLINK("http://www.ofsted.gov.uk/inspection-reports/find-inspection-report/provider/ELS/139826 ","Ofsted School Webpage")</f>
        <v>Ofsted School Webpage</v>
      </c>
      <c r="B742" s="319">
        <v>139826</v>
      </c>
      <c r="C742" s="319">
        <v>3176000</v>
      </c>
      <c r="D742" s="319" t="s">
        <v>1073</v>
      </c>
      <c r="E742" s="319" t="s">
        <v>167</v>
      </c>
      <c r="F742" s="319" t="s">
        <v>81</v>
      </c>
      <c r="G742" s="319" t="s">
        <v>72</v>
      </c>
      <c r="H742" s="319" t="s">
        <v>72</v>
      </c>
      <c r="I742" s="319" t="s">
        <v>72</v>
      </c>
      <c r="J742" s="319" t="s">
        <v>424</v>
      </c>
      <c r="K742" s="319" t="s">
        <v>441</v>
      </c>
      <c r="L742" s="319" t="s">
        <v>441</v>
      </c>
      <c r="M742" s="319" t="s">
        <v>648</v>
      </c>
      <c r="N742" s="319" t="s">
        <v>2847</v>
      </c>
      <c r="O742" s="319" t="s">
        <v>3476</v>
      </c>
      <c r="P742" s="319">
        <v>155</v>
      </c>
      <c r="Q742" s="319" t="s">
        <v>2766</v>
      </c>
      <c r="R742" s="320">
        <v>10092523</v>
      </c>
      <c r="S742" s="321">
        <v>43585</v>
      </c>
      <c r="T742" s="321">
        <v>43587</v>
      </c>
      <c r="U742" s="321">
        <v>43615</v>
      </c>
      <c r="V742" s="319" t="s">
        <v>425</v>
      </c>
      <c r="W742" s="319" t="s">
        <v>2767</v>
      </c>
      <c r="X742" s="319">
        <v>2</v>
      </c>
      <c r="Y742" s="319" t="s">
        <v>173</v>
      </c>
      <c r="Z742" s="319" t="s">
        <v>173</v>
      </c>
      <c r="AA742" s="319" t="s">
        <v>173</v>
      </c>
      <c r="AB742" s="319">
        <v>2</v>
      </c>
      <c r="AC742" s="319" t="s">
        <v>169</v>
      </c>
      <c r="AD742" s="319">
        <v>2</v>
      </c>
      <c r="AE742" s="319" t="s">
        <v>173</v>
      </c>
      <c r="AF742" s="319" t="s">
        <v>447</v>
      </c>
      <c r="AG742" s="319" t="s">
        <v>171</v>
      </c>
      <c r="AH742" s="319" t="s">
        <v>190</v>
      </c>
      <c r="AI742" s="319" t="s">
        <v>190</v>
      </c>
      <c r="AJ742" s="319" t="s">
        <v>190</v>
      </c>
      <c r="AK742" s="319" t="s">
        <v>190</v>
      </c>
      <c r="AL742" s="319" t="s">
        <v>190</v>
      </c>
      <c r="AM742" s="319" t="s">
        <v>190</v>
      </c>
      <c r="AN742" s="319" t="s">
        <v>190</v>
      </c>
      <c r="AO742" s="319" t="s">
        <v>190</v>
      </c>
      <c r="AP742" s="319" t="s">
        <v>190</v>
      </c>
      <c r="AQ742" s="319" t="s">
        <v>190</v>
      </c>
      <c r="AR742" s="319" t="s">
        <v>190</v>
      </c>
      <c r="AS742" s="319" t="s">
        <v>190</v>
      </c>
      <c r="AT742" s="319" t="s">
        <v>190</v>
      </c>
      <c r="AU742" s="319" t="s">
        <v>190</v>
      </c>
      <c r="AV742" s="319" t="s">
        <v>190</v>
      </c>
      <c r="AW742" s="319" t="s">
        <v>190</v>
      </c>
      <c r="AX742" s="319" t="s">
        <v>190</v>
      </c>
      <c r="AY742" s="319" t="s">
        <v>190</v>
      </c>
      <c r="AZ742" s="319" t="s">
        <v>190</v>
      </c>
      <c r="BA742" s="319" t="s">
        <v>190</v>
      </c>
      <c r="BB742" s="319" t="s">
        <v>190</v>
      </c>
      <c r="BC742" s="319" t="s">
        <v>190</v>
      </c>
      <c r="BD742" s="319" t="s">
        <v>190</v>
      </c>
      <c r="BE742" s="319" t="s">
        <v>190</v>
      </c>
      <c r="BF742" s="319" t="s">
        <v>428</v>
      </c>
      <c r="BG742" s="319" t="s">
        <v>191</v>
      </c>
      <c r="BH742" s="319" t="s">
        <v>190</v>
      </c>
      <c r="BI742" s="319" t="s">
        <v>190</v>
      </c>
      <c r="BJ742" s="319" t="s">
        <v>190</v>
      </c>
      <c r="BK742" s="319" t="s">
        <v>190</v>
      </c>
      <c r="BL742" s="319" t="s">
        <v>190</v>
      </c>
      <c r="BM742" s="319" t="s">
        <v>190</v>
      </c>
      <c r="BN742" s="319" t="s">
        <v>190</v>
      </c>
      <c r="BO742" s="319" t="s">
        <v>190</v>
      </c>
      <c r="BP742" s="319" t="s">
        <v>190</v>
      </c>
      <c r="BQ742" s="319" t="s">
        <v>190</v>
      </c>
      <c r="BR742" s="319" t="s">
        <v>190</v>
      </c>
      <c r="BS742" s="319" t="s">
        <v>190</v>
      </c>
      <c r="BT742" s="319" t="s">
        <v>190</v>
      </c>
      <c r="BU742" s="319" t="s">
        <v>190</v>
      </c>
      <c r="BV742" s="319" t="s">
        <v>190</v>
      </c>
      <c r="BW742" s="319" t="s">
        <v>190</v>
      </c>
      <c r="BX742" s="319" t="s">
        <v>190</v>
      </c>
      <c r="BY742" s="319" t="s">
        <v>190</v>
      </c>
      <c r="BZ742" s="319" t="s">
        <v>190</v>
      </c>
      <c r="CA742" s="319" t="s">
        <v>190</v>
      </c>
      <c r="CB742" s="319" t="s">
        <v>190</v>
      </c>
      <c r="CC742" s="319" t="s">
        <v>190</v>
      </c>
      <c r="CD742" s="319" t="s">
        <v>190</v>
      </c>
      <c r="CE742" s="319" t="s">
        <v>190</v>
      </c>
      <c r="CF742" s="319" t="s">
        <v>190</v>
      </c>
      <c r="CG742" s="319" t="s">
        <v>190</v>
      </c>
      <c r="CH742" s="319" t="s">
        <v>190</v>
      </c>
      <c r="CI742" s="319" t="s">
        <v>190</v>
      </c>
      <c r="CJ742" s="319" t="s">
        <v>190</v>
      </c>
      <c r="CK742" s="319" t="s">
        <v>190</v>
      </c>
      <c r="CL742" s="319" t="s">
        <v>190</v>
      </c>
      <c r="CM742" s="319" t="s">
        <v>190</v>
      </c>
      <c r="CN742" s="319" t="s">
        <v>428</v>
      </c>
      <c r="CO742" s="319" t="s">
        <v>428</v>
      </c>
      <c r="CP742" s="319" t="s">
        <v>428</v>
      </c>
      <c r="CQ742" s="319" t="s">
        <v>190</v>
      </c>
      <c r="CR742" s="319" t="s">
        <v>190</v>
      </c>
      <c r="CS742" s="319" t="s">
        <v>190</v>
      </c>
      <c r="CT742" s="319" t="s">
        <v>190</v>
      </c>
      <c r="CU742" s="319" t="s">
        <v>190</v>
      </c>
      <c r="CV742" s="319" t="s">
        <v>190</v>
      </c>
      <c r="CW742" s="319" t="s">
        <v>190</v>
      </c>
      <c r="CX742" s="319" t="s">
        <v>190</v>
      </c>
      <c r="CY742" s="319" t="s">
        <v>190</v>
      </c>
      <c r="CZ742" s="319" t="s">
        <v>190</v>
      </c>
      <c r="DA742" s="319" t="s">
        <v>190</v>
      </c>
      <c r="DB742" s="319" t="s">
        <v>190</v>
      </c>
      <c r="DC742" s="319" t="s">
        <v>190</v>
      </c>
      <c r="DD742" s="319" t="s">
        <v>190</v>
      </c>
      <c r="DE742" s="319" t="s">
        <v>190</v>
      </c>
      <c r="DF742" s="319" t="s">
        <v>190</v>
      </c>
      <c r="DG742" s="319" t="s">
        <v>190</v>
      </c>
      <c r="DH742" s="319" t="s">
        <v>190</v>
      </c>
      <c r="DI742" s="319" t="s">
        <v>190</v>
      </c>
      <c r="DJ742" s="319" t="s">
        <v>190</v>
      </c>
      <c r="DK742" s="319" t="s">
        <v>190</v>
      </c>
      <c r="DL742" s="319" t="s">
        <v>190</v>
      </c>
      <c r="DM742" s="319" t="s">
        <v>190</v>
      </c>
      <c r="DN742" s="319" t="s">
        <v>428</v>
      </c>
      <c r="DO742" s="319" t="s">
        <v>190</v>
      </c>
      <c r="DP742" s="319" t="s">
        <v>190</v>
      </c>
      <c r="DQ742" s="319" t="s">
        <v>190</v>
      </c>
      <c r="DR742" s="319" t="s">
        <v>190</v>
      </c>
      <c r="DS742" s="319" t="s">
        <v>190</v>
      </c>
      <c r="DT742" s="319" t="s">
        <v>190</v>
      </c>
      <c r="DU742" s="319" t="s">
        <v>190</v>
      </c>
      <c r="DV742" s="319" t="s">
        <v>173</v>
      </c>
      <c r="DW742" s="319" t="s">
        <v>190</v>
      </c>
      <c r="DX742" s="319" t="s">
        <v>190</v>
      </c>
      <c r="DY742" s="319" t="s">
        <v>190</v>
      </c>
      <c r="DZ742" s="319" t="s">
        <v>190</v>
      </c>
      <c r="EA742" s="319" t="s">
        <v>190</v>
      </c>
      <c r="EB742" s="319" t="s">
        <v>190</v>
      </c>
      <c r="EC742" s="319" t="s">
        <v>428</v>
      </c>
      <c r="ED742" s="319" t="s">
        <v>190</v>
      </c>
      <c r="EE742" s="319" t="s">
        <v>190</v>
      </c>
      <c r="EF742" s="319" t="s">
        <v>190</v>
      </c>
      <c r="EG742" s="319" t="s">
        <v>190</v>
      </c>
      <c r="EH742" s="319" t="s">
        <v>190</v>
      </c>
      <c r="EI742" s="319" t="s">
        <v>190</v>
      </c>
      <c r="EJ742" s="319" t="s">
        <v>190</v>
      </c>
      <c r="EK742" s="319" t="s">
        <v>190</v>
      </c>
      <c r="EL742" s="319" t="s">
        <v>190</v>
      </c>
      <c r="EM742" s="319" t="s">
        <v>190</v>
      </c>
      <c r="EN742" s="319" t="s">
        <v>190</v>
      </c>
      <c r="EO742" s="319" t="s">
        <v>190</v>
      </c>
      <c r="EP742" s="319" t="s">
        <v>190</v>
      </c>
      <c r="EQ742" s="319" t="s">
        <v>190</v>
      </c>
      <c r="ER742" s="319" t="s">
        <v>190</v>
      </c>
      <c r="ES742" s="319" t="s">
        <v>190</v>
      </c>
      <c r="ET742" s="319" t="s">
        <v>190</v>
      </c>
      <c r="EU742" s="319" t="s">
        <v>190</v>
      </c>
      <c r="EV742" s="319" t="s">
        <v>190</v>
      </c>
      <c r="EW742" s="319" t="s">
        <v>190</v>
      </c>
      <c r="EX742" s="319" t="s">
        <v>190</v>
      </c>
      <c r="EY742" s="319" t="s">
        <v>190</v>
      </c>
      <c r="EZ742" s="319" t="s">
        <v>190</v>
      </c>
      <c r="FA742" s="319" t="s">
        <v>190</v>
      </c>
      <c r="FB742" s="319" t="s">
        <v>190</v>
      </c>
      <c r="FC742" s="319" t="s">
        <v>190</v>
      </c>
      <c r="FD742" s="319" t="s">
        <v>190</v>
      </c>
      <c r="FE742" s="319" t="s">
        <v>190</v>
      </c>
      <c r="FF742" s="319" t="s">
        <v>190</v>
      </c>
      <c r="FG742" s="319" t="s">
        <v>190</v>
      </c>
      <c r="FH742" s="319" t="s">
        <v>190</v>
      </c>
      <c r="FI742" s="319" t="s">
        <v>190</v>
      </c>
      <c r="FJ742" s="319" t="s">
        <v>190</v>
      </c>
      <c r="FK742" s="319" t="s">
        <v>190</v>
      </c>
      <c r="FL742" s="319" t="s">
        <v>190</v>
      </c>
      <c r="FM742" s="319" t="s">
        <v>190</v>
      </c>
      <c r="FN742" s="319" t="s">
        <v>190</v>
      </c>
      <c r="FO742" s="319" t="s">
        <v>190</v>
      </c>
      <c r="FP742" s="319" t="s">
        <v>190</v>
      </c>
      <c r="FQ742" s="319" t="s">
        <v>190</v>
      </c>
      <c r="FR742" s="319" t="s">
        <v>190</v>
      </c>
      <c r="FS742" s="319" t="s">
        <v>428</v>
      </c>
      <c r="FT742" s="319" t="s">
        <v>190</v>
      </c>
      <c r="FU742" s="319" t="s">
        <v>190</v>
      </c>
      <c r="FV742" s="319" t="s">
        <v>190</v>
      </c>
      <c r="FW742" s="319" t="s">
        <v>190</v>
      </c>
      <c r="FX742" s="319" t="s">
        <v>190</v>
      </c>
      <c r="FY742" s="319" t="s">
        <v>190</v>
      </c>
      <c r="FZ742" s="319" t="s">
        <v>190</v>
      </c>
      <c r="GA742" s="319" t="s">
        <v>190</v>
      </c>
      <c r="GB742" s="319" t="s">
        <v>190</v>
      </c>
      <c r="GC742" s="319" t="s">
        <v>190</v>
      </c>
      <c r="GD742" s="319" t="s">
        <v>190</v>
      </c>
      <c r="GE742" s="319" t="s">
        <v>190</v>
      </c>
      <c r="GF742" s="319" t="s">
        <v>190</v>
      </c>
      <c r="GG742" s="319" t="s">
        <v>190</v>
      </c>
      <c r="GH742" s="319" t="s">
        <v>190</v>
      </c>
      <c r="GI742" s="319" t="s">
        <v>190</v>
      </c>
      <c r="GJ742" s="319" t="s">
        <v>190</v>
      </c>
      <c r="GK742" s="319" t="s">
        <v>428</v>
      </c>
      <c r="GL742" s="319" t="s">
        <v>190</v>
      </c>
      <c r="GM742" s="319" t="s">
        <v>190</v>
      </c>
      <c r="GN742" s="319" t="s">
        <v>190</v>
      </c>
      <c r="GO742" s="319" t="s">
        <v>190</v>
      </c>
      <c r="GP742" s="319" t="s">
        <v>190</v>
      </c>
      <c r="GQ742" s="319" t="s">
        <v>190</v>
      </c>
      <c r="GR742" s="319" t="s">
        <v>190</v>
      </c>
      <c r="GS742" s="319" t="s">
        <v>190</v>
      </c>
      <c r="GT742" s="319" t="s">
        <v>428</v>
      </c>
      <c r="GU742" s="319" t="s">
        <v>428</v>
      </c>
      <c r="GV742" s="319" t="s">
        <v>190</v>
      </c>
      <c r="GW742" s="319" t="s">
        <v>190</v>
      </c>
      <c r="GX742" s="319" t="s">
        <v>190</v>
      </c>
      <c r="GY742" s="319" t="s">
        <v>190</v>
      </c>
      <c r="GZ742" s="319" t="s">
        <v>190</v>
      </c>
      <c r="HA742" s="319" t="s">
        <v>190</v>
      </c>
      <c r="HB742" s="319" t="s">
        <v>190</v>
      </c>
      <c r="HC742" s="319" t="s">
        <v>190</v>
      </c>
      <c r="HD742" s="319" t="s">
        <v>190</v>
      </c>
      <c r="HE742" s="319" t="s">
        <v>190</v>
      </c>
      <c r="HF742" s="319" t="s">
        <v>190</v>
      </c>
      <c r="HG742" s="319" t="s">
        <v>190</v>
      </c>
      <c r="HH742" s="319" t="s">
        <v>190</v>
      </c>
      <c r="HI742" s="319" t="s">
        <v>190</v>
      </c>
      <c r="HJ742" s="319" t="s">
        <v>190</v>
      </c>
      <c r="HK742" s="319" t="s">
        <v>190</v>
      </c>
      <c r="HL742" s="319" t="s">
        <v>191</v>
      </c>
      <c r="HM742" s="319" t="s">
        <v>190</v>
      </c>
      <c r="HN742" s="319" t="s">
        <v>190</v>
      </c>
      <c r="HO742" s="319" t="s">
        <v>190</v>
      </c>
      <c r="HP742" s="319" t="s">
        <v>190</v>
      </c>
      <c r="HQ742" s="319" t="s">
        <v>190</v>
      </c>
      <c r="HR742" s="319" t="s">
        <v>190</v>
      </c>
      <c r="HS742" s="319" t="s">
        <v>190</v>
      </c>
      <c r="HT742" s="319" t="s">
        <v>190</v>
      </c>
      <c r="HU742" s="319" t="s">
        <v>190</v>
      </c>
      <c r="HV742" s="319" t="s">
        <v>190</v>
      </c>
      <c r="HW742" s="319" t="s">
        <v>190</v>
      </c>
      <c r="HX742" s="319" t="s">
        <v>190</v>
      </c>
      <c r="HY742" s="319" t="s">
        <v>190</v>
      </c>
      <c r="HZ742" s="319" t="s">
        <v>190</v>
      </c>
      <c r="IA742" s="319" t="s">
        <v>190</v>
      </c>
      <c r="IB742" s="319" t="s">
        <v>190</v>
      </c>
      <c r="IC742" s="319" t="s">
        <v>190</v>
      </c>
      <c r="ID742" s="319" t="s">
        <v>190</v>
      </c>
      <c r="IE742" s="319" t="s">
        <v>190</v>
      </c>
      <c r="IF742" s="319" t="s">
        <v>190</v>
      </c>
      <c r="IG742" s="319" t="s">
        <v>190</v>
      </c>
      <c r="IH742" s="319" t="s">
        <v>190</v>
      </c>
      <c r="II742" s="319" t="s">
        <v>190</v>
      </c>
      <c r="IJ742" s="319">
        <v>10035810</v>
      </c>
      <c r="IK742" s="321">
        <v>43151</v>
      </c>
      <c r="IL742" s="321">
        <v>43153</v>
      </c>
      <c r="IM742" s="321">
        <v>43245</v>
      </c>
      <c r="IN742" s="319">
        <v>4</v>
      </c>
      <c r="IO742" s="319" t="s">
        <v>173</v>
      </c>
      <c r="IP742" s="319" t="s">
        <v>173</v>
      </c>
      <c r="IQ742" s="319" t="s">
        <v>173</v>
      </c>
      <c r="IR742" s="320" t="s">
        <v>173</v>
      </c>
      <c r="IS742" s="320" t="s">
        <v>173</v>
      </c>
      <c r="IT742" s="319" t="s">
        <v>173</v>
      </c>
    </row>
    <row r="743" spans="1:254" s="271" customFormat="1" x14ac:dyDescent="0.25">
      <c r="A743" s="318" t="str">
        <f>HYPERLINK("http://www.ofsted.gov.uk/inspection-reports/find-inspection-report/provider/ELS/139831 ","Ofsted School Webpage")</f>
        <v>Ofsted School Webpage</v>
      </c>
      <c r="B743" s="319">
        <v>139831</v>
      </c>
      <c r="C743" s="319">
        <v>3526008</v>
      </c>
      <c r="D743" s="319" t="s">
        <v>2229</v>
      </c>
      <c r="E743" s="319" t="s">
        <v>167</v>
      </c>
      <c r="F743" s="319" t="s">
        <v>81</v>
      </c>
      <c r="G743" s="319" t="s">
        <v>59</v>
      </c>
      <c r="H743" s="319" t="s">
        <v>59</v>
      </c>
      <c r="I743" s="319" t="s">
        <v>59</v>
      </c>
      <c r="J743" s="319" t="s">
        <v>424</v>
      </c>
      <c r="K743" s="319" t="s">
        <v>431</v>
      </c>
      <c r="L743" s="319" t="s">
        <v>431</v>
      </c>
      <c r="M743" s="319" t="s">
        <v>660</v>
      </c>
      <c r="N743" s="319" t="s">
        <v>2870</v>
      </c>
      <c r="O743" s="319" t="s">
        <v>2230</v>
      </c>
      <c r="P743" s="319">
        <v>36</v>
      </c>
      <c r="Q743" s="319" t="s">
        <v>2776</v>
      </c>
      <c r="R743" s="320">
        <v>10092286</v>
      </c>
      <c r="S743" s="321">
        <v>43628</v>
      </c>
      <c r="T743" s="321">
        <v>43630</v>
      </c>
      <c r="U743" s="321">
        <v>43655</v>
      </c>
      <c r="V743" s="319" t="s">
        <v>425</v>
      </c>
      <c r="W743" s="319" t="s">
        <v>2767</v>
      </c>
      <c r="X743" s="319">
        <v>2</v>
      </c>
      <c r="Y743" s="319" t="s">
        <v>173</v>
      </c>
      <c r="Z743" s="319" t="s">
        <v>173</v>
      </c>
      <c r="AA743" s="319" t="s">
        <v>173</v>
      </c>
      <c r="AB743" s="319">
        <v>2</v>
      </c>
      <c r="AC743" s="319" t="s">
        <v>169</v>
      </c>
      <c r="AD743" s="319">
        <v>2</v>
      </c>
      <c r="AE743" s="319" t="s">
        <v>173</v>
      </c>
      <c r="AF743" s="319" t="s">
        <v>427</v>
      </c>
      <c r="AG743" s="319" t="s">
        <v>171</v>
      </c>
      <c r="AH743" s="319" t="s">
        <v>190</v>
      </c>
      <c r="AI743" s="319" t="s">
        <v>190</v>
      </c>
      <c r="AJ743" s="319" t="s">
        <v>190</v>
      </c>
      <c r="AK743" s="319" t="s">
        <v>190</v>
      </c>
      <c r="AL743" s="319" t="s">
        <v>190</v>
      </c>
      <c r="AM743" s="319" t="s">
        <v>190</v>
      </c>
      <c r="AN743" s="319" t="s">
        <v>190</v>
      </c>
      <c r="AO743" s="319" t="s">
        <v>190</v>
      </c>
      <c r="AP743" s="319" t="s">
        <v>190</v>
      </c>
      <c r="AQ743" s="319" t="s">
        <v>190</v>
      </c>
      <c r="AR743" s="319" t="s">
        <v>190</v>
      </c>
      <c r="AS743" s="319" t="s">
        <v>190</v>
      </c>
      <c r="AT743" s="319" t="s">
        <v>190</v>
      </c>
      <c r="AU743" s="319" t="s">
        <v>190</v>
      </c>
      <c r="AV743" s="319" t="s">
        <v>190</v>
      </c>
      <c r="AW743" s="319" t="s">
        <v>190</v>
      </c>
      <c r="AX743" s="319" t="s">
        <v>428</v>
      </c>
      <c r="AY743" s="319" t="s">
        <v>190</v>
      </c>
      <c r="AZ743" s="319" t="s">
        <v>190</v>
      </c>
      <c r="BA743" s="319" t="s">
        <v>190</v>
      </c>
      <c r="BB743" s="319" t="s">
        <v>190</v>
      </c>
      <c r="BC743" s="319" t="s">
        <v>190</v>
      </c>
      <c r="BD743" s="319" t="s">
        <v>190</v>
      </c>
      <c r="BE743" s="319" t="s">
        <v>190</v>
      </c>
      <c r="BF743" s="319" t="s">
        <v>190</v>
      </c>
      <c r="BG743" s="319" t="s">
        <v>428</v>
      </c>
      <c r="BH743" s="319" t="s">
        <v>190</v>
      </c>
      <c r="BI743" s="319" t="s">
        <v>190</v>
      </c>
      <c r="BJ743" s="319" t="s">
        <v>190</v>
      </c>
      <c r="BK743" s="319" t="s">
        <v>190</v>
      </c>
      <c r="BL743" s="319" t="s">
        <v>190</v>
      </c>
      <c r="BM743" s="319" t="s">
        <v>190</v>
      </c>
      <c r="BN743" s="319" t="s">
        <v>190</v>
      </c>
      <c r="BO743" s="319" t="s">
        <v>190</v>
      </c>
      <c r="BP743" s="319" t="s">
        <v>190</v>
      </c>
      <c r="BQ743" s="319" t="s">
        <v>190</v>
      </c>
      <c r="BR743" s="319" t="s">
        <v>190</v>
      </c>
      <c r="BS743" s="319" t="s">
        <v>190</v>
      </c>
      <c r="BT743" s="319" t="s">
        <v>190</v>
      </c>
      <c r="BU743" s="319" t="s">
        <v>190</v>
      </c>
      <c r="BV743" s="319" t="s">
        <v>190</v>
      </c>
      <c r="BW743" s="319" t="s">
        <v>190</v>
      </c>
      <c r="BX743" s="319" t="s">
        <v>190</v>
      </c>
      <c r="BY743" s="319" t="s">
        <v>190</v>
      </c>
      <c r="BZ743" s="319" t="s">
        <v>190</v>
      </c>
      <c r="CA743" s="319" t="s">
        <v>190</v>
      </c>
      <c r="CB743" s="319" t="s">
        <v>190</v>
      </c>
      <c r="CC743" s="319" t="s">
        <v>190</v>
      </c>
      <c r="CD743" s="319" t="s">
        <v>190</v>
      </c>
      <c r="CE743" s="319" t="s">
        <v>190</v>
      </c>
      <c r="CF743" s="319" t="s">
        <v>190</v>
      </c>
      <c r="CG743" s="319" t="s">
        <v>190</v>
      </c>
      <c r="CH743" s="319" t="s">
        <v>190</v>
      </c>
      <c r="CI743" s="319" t="s">
        <v>190</v>
      </c>
      <c r="CJ743" s="319" t="s">
        <v>190</v>
      </c>
      <c r="CK743" s="319" t="s">
        <v>190</v>
      </c>
      <c r="CL743" s="319" t="s">
        <v>190</v>
      </c>
      <c r="CM743" s="319" t="s">
        <v>190</v>
      </c>
      <c r="CN743" s="319" t="s">
        <v>190</v>
      </c>
      <c r="CO743" s="319" t="s">
        <v>428</v>
      </c>
      <c r="CP743" s="319" t="s">
        <v>428</v>
      </c>
      <c r="CQ743" s="319" t="s">
        <v>190</v>
      </c>
      <c r="CR743" s="319" t="s">
        <v>190</v>
      </c>
      <c r="CS743" s="319" t="s">
        <v>190</v>
      </c>
      <c r="CT743" s="319" t="s">
        <v>190</v>
      </c>
      <c r="CU743" s="319" t="s">
        <v>190</v>
      </c>
      <c r="CV743" s="319" t="s">
        <v>190</v>
      </c>
      <c r="CW743" s="319" t="s">
        <v>190</v>
      </c>
      <c r="CX743" s="319" t="s">
        <v>190</v>
      </c>
      <c r="CY743" s="319" t="s">
        <v>190</v>
      </c>
      <c r="CZ743" s="319" t="s">
        <v>190</v>
      </c>
      <c r="DA743" s="319" t="s">
        <v>190</v>
      </c>
      <c r="DB743" s="319" t="s">
        <v>190</v>
      </c>
      <c r="DC743" s="319" t="s">
        <v>190</v>
      </c>
      <c r="DD743" s="319" t="s">
        <v>190</v>
      </c>
      <c r="DE743" s="319" t="s">
        <v>190</v>
      </c>
      <c r="DF743" s="319" t="s">
        <v>190</v>
      </c>
      <c r="DG743" s="319" t="s">
        <v>190</v>
      </c>
      <c r="DH743" s="319" t="s">
        <v>190</v>
      </c>
      <c r="DI743" s="319" t="s">
        <v>190</v>
      </c>
      <c r="DJ743" s="319" t="s">
        <v>190</v>
      </c>
      <c r="DK743" s="319" t="s">
        <v>190</v>
      </c>
      <c r="DL743" s="319" t="s">
        <v>190</v>
      </c>
      <c r="DM743" s="319" t="s">
        <v>190</v>
      </c>
      <c r="DN743" s="319" t="s">
        <v>428</v>
      </c>
      <c r="DO743" s="319" t="s">
        <v>190</v>
      </c>
      <c r="DP743" s="319" t="s">
        <v>190</v>
      </c>
      <c r="DQ743" s="319" t="s">
        <v>190</v>
      </c>
      <c r="DR743" s="319" t="s">
        <v>190</v>
      </c>
      <c r="DS743" s="319" t="s">
        <v>190</v>
      </c>
      <c r="DT743" s="319" t="s">
        <v>190</v>
      </c>
      <c r="DU743" s="319" t="s">
        <v>190</v>
      </c>
      <c r="DV743" s="319" t="s">
        <v>173</v>
      </c>
      <c r="DW743" s="319" t="s">
        <v>190</v>
      </c>
      <c r="DX743" s="319" t="s">
        <v>190</v>
      </c>
      <c r="DY743" s="319" t="s">
        <v>190</v>
      </c>
      <c r="DZ743" s="319" t="s">
        <v>190</v>
      </c>
      <c r="EA743" s="319" t="s">
        <v>190</v>
      </c>
      <c r="EB743" s="319" t="s">
        <v>190</v>
      </c>
      <c r="EC743" s="319" t="s">
        <v>428</v>
      </c>
      <c r="ED743" s="319" t="s">
        <v>190</v>
      </c>
      <c r="EE743" s="319" t="s">
        <v>190</v>
      </c>
      <c r="EF743" s="319" t="s">
        <v>190</v>
      </c>
      <c r="EG743" s="319" t="s">
        <v>190</v>
      </c>
      <c r="EH743" s="319" t="s">
        <v>190</v>
      </c>
      <c r="EI743" s="319" t="s">
        <v>190</v>
      </c>
      <c r="EJ743" s="319" t="s">
        <v>190</v>
      </c>
      <c r="EK743" s="319" t="s">
        <v>190</v>
      </c>
      <c r="EL743" s="319" t="s">
        <v>190</v>
      </c>
      <c r="EM743" s="319" t="s">
        <v>190</v>
      </c>
      <c r="EN743" s="319" t="s">
        <v>190</v>
      </c>
      <c r="EO743" s="319" t="s">
        <v>190</v>
      </c>
      <c r="EP743" s="319" t="s">
        <v>190</v>
      </c>
      <c r="EQ743" s="319" t="s">
        <v>190</v>
      </c>
      <c r="ER743" s="319" t="s">
        <v>190</v>
      </c>
      <c r="ES743" s="319" t="s">
        <v>190</v>
      </c>
      <c r="ET743" s="319" t="s">
        <v>190</v>
      </c>
      <c r="EU743" s="319" t="s">
        <v>190</v>
      </c>
      <c r="EV743" s="319" t="s">
        <v>190</v>
      </c>
      <c r="EW743" s="319" t="s">
        <v>190</v>
      </c>
      <c r="EX743" s="319" t="s">
        <v>190</v>
      </c>
      <c r="EY743" s="319" t="s">
        <v>190</v>
      </c>
      <c r="EZ743" s="319" t="s">
        <v>190</v>
      </c>
      <c r="FA743" s="319" t="s">
        <v>190</v>
      </c>
      <c r="FB743" s="319" t="s">
        <v>190</v>
      </c>
      <c r="FC743" s="319" t="s">
        <v>190</v>
      </c>
      <c r="FD743" s="319" t="s">
        <v>190</v>
      </c>
      <c r="FE743" s="319" t="s">
        <v>190</v>
      </c>
      <c r="FF743" s="319" t="s">
        <v>190</v>
      </c>
      <c r="FG743" s="319" t="s">
        <v>190</v>
      </c>
      <c r="FH743" s="319" t="s">
        <v>190</v>
      </c>
      <c r="FI743" s="319" t="s">
        <v>190</v>
      </c>
      <c r="FJ743" s="319" t="s">
        <v>190</v>
      </c>
      <c r="FK743" s="319" t="s">
        <v>190</v>
      </c>
      <c r="FL743" s="319" t="s">
        <v>190</v>
      </c>
      <c r="FM743" s="319" t="s">
        <v>190</v>
      </c>
      <c r="FN743" s="319" t="s">
        <v>190</v>
      </c>
      <c r="FO743" s="319" t="s">
        <v>190</v>
      </c>
      <c r="FP743" s="319" t="s">
        <v>190</v>
      </c>
      <c r="FQ743" s="319" t="s">
        <v>190</v>
      </c>
      <c r="FR743" s="319" t="s">
        <v>190</v>
      </c>
      <c r="FS743" s="319" t="s">
        <v>190</v>
      </c>
      <c r="FT743" s="319" t="s">
        <v>190</v>
      </c>
      <c r="FU743" s="319" t="s">
        <v>190</v>
      </c>
      <c r="FV743" s="319" t="s">
        <v>190</v>
      </c>
      <c r="FW743" s="319" t="s">
        <v>190</v>
      </c>
      <c r="FX743" s="319" t="s">
        <v>190</v>
      </c>
      <c r="FY743" s="319" t="s">
        <v>190</v>
      </c>
      <c r="FZ743" s="319" t="s">
        <v>190</v>
      </c>
      <c r="GA743" s="319" t="s">
        <v>190</v>
      </c>
      <c r="GB743" s="319" t="s">
        <v>190</v>
      </c>
      <c r="GC743" s="319" t="s">
        <v>190</v>
      </c>
      <c r="GD743" s="319" t="s">
        <v>190</v>
      </c>
      <c r="GE743" s="319" t="s">
        <v>190</v>
      </c>
      <c r="GF743" s="319" t="s">
        <v>190</v>
      </c>
      <c r="GG743" s="319" t="s">
        <v>190</v>
      </c>
      <c r="GH743" s="319" t="s">
        <v>190</v>
      </c>
      <c r="GI743" s="319" t="s">
        <v>190</v>
      </c>
      <c r="GJ743" s="319" t="s">
        <v>190</v>
      </c>
      <c r="GK743" s="319" t="s">
        <v>428</v>
      </c>
      <c r="GL743" s="319" t="s">
        <v>190</v>
      </c>
      <c r="GM743" s="319" t="s">
        <v>190</v>
      </c>
      <c r="GN743" s="319" t="s">
        <v>190</v>
      </c>
      <c r="GO743" s="319" t="s">
        <v>190</v>
      </c>
      <c r="GP743" s="319" t="s">
        <v>190</v>
      </c>
      <c r="GQ743" s="319" t="s">
        <v>428</v>
      </c>
      <c r="GR743" s="319" t="s">
        <v>190</v>
      </c>
      <c r="GS743" s="319" t="s">
        <v>190</v>
      </c>
      <c r="GT743" s="319" t="s">
        <v>190</v>
      </c>
      <c r="GU743" s="319" t="s">
        <v>190</v>
      </c>
      <c r="GV743" s="319" t="s">
        <v>190</v>
      </c>
      <c r="GW743" s="319" t="s">
        <v>190</v>
      </c>
      <c r="GX743" s="319" t="s">
        <v>190</v>
      </c>
      <c r="GY743" s="319" t="s">
        <v>190</v>
      </c>
      <c r="GZ743" s="319" t="s">
        <v>190</v>
      </c>
      <c r="HA743" s="319" t="s">
        <v>190</v>
      </c>
      <c r="HB743" s="319" t="s">
        <v>190</v>
      </c>
      <c r="HC743" s="319" t="s">
        <v>190</v>
      </c>
      <c r="HD743" s="319" t="s">
        <v>190</v>
      </c>
      <c r="HE743" s="319" t="s">
        <v>190</v>
      </c>
      <c r="HF743" s="319" t="s">
        <v>190</v>
      </c>
      <c r="HG743" s="319" t="s">
        <v>190</v>
      </c>
      <c r="HH743" s="319" t="s">
        <v>190</v>
      </c>
      <c r="HI743" s="319" t="s">
        <v>190</v>
      </c>
      <c r="HJ743" s="319" t="s">
        <v>190</v>
      </c>
      <c r="HK743" s="319" t="s">
        <v>190</v>
      </c>
      <c r="HL743" s="319" t="s">
        <v>190</v>
      </c>
      <c r="HM743" s="319" t="s">
        <v>190</v>
      </c>
      <c r="HN743" s="319" t="s">
        <v>190</v>
      </c>
      <c r="HO743" s="319" t="s">
        <v>190</v>
      </c>
      <c r="HP743" s="319" t="s">
        <v>190</v>
      </c>
      <c r="HQ743" s="319" t="s">
        <v>190</v>
      </c>
      <c r="HR743" s="319" t="s">
        <v>190</v>
      </c>
      <c r="HS743" s="319" t="s">
        <v>190</v>
      </c>
      <c r="HT743" s="319" t="s">
        <v>190</v>
      </c>
      <c r="HU743" s="319" t="s">
        <v>190</v>
      </c>
      <c r="HV743" s="319" t="s">
        <v>190</v>
      </c>
      <c r="HW743" s="319" t="s">
        <v>190</v>
      </c>
      <c r="HX743" s="319" t="s">
        <v>190</v>
      </c>
      <c r="HY743" s="319" t="s">
        <v>190</v>
      </c>
      <c r="HZ743" s="319" t="s">
        <v>190</v>
      </c>
      <c r="IA743" s="319" t="s">
        <v>190</v>
      </c>
      <c r="IB743" s="319" t="s">
        <v>190</v>
      </c>
      <c r="IC743" s="319" t="s">
        <v>190</v>
      </c>
      <c r="ID743" s="319" t="s">
        <v>190</v>
      </c>
      <c r="IE743" s="319" t="s">
        <v>190</v>
      </c>
      <c r="IF743" s="319" t="s">
        <v>190</v>
      </c>
      <c r="IG743" s="319" t="s">
        <v>190</v>
      </c>
      <c r="IH743" s="319" t="s">
        <v>190</v>
      </c>
      <c r="II743" s="319" t="s">
        <v>190</v>
      </c>
      <c r="IJ743" s="319">
        <v>10038934</v>
      </c>
      <c r="IK743" s="321">
        <v>43116</v>
      </c>
      <c r="IL743" s="321">
        <v>43118</v>
      </c>
      <c r="IM743" s="321">
        <v>43174</v>
      </c>
      <c r="IN743" s="319">
        <v>3</v>
      </c>
      <c r="IO743" s="319" t="s">
        <v>173</v>
      </c>
      <c r="IP743" s="319" t="s">
        <v>173</v>
      </c>
      <c r="IQ743" s="321" t="s">
        <v>173</v>
      </c>
      <c r="IR743" s="320" t="s">
        <v>173</v>
      </c>
      <c r="IS743" s="322" t="s">
        <v>173</v>
      </c>
      <c r="IT743" s="319" t="s">
        <v>173</v>
      </c>
    </row>
    <row r="744" spans="1:254" s="271" customFormat="1" x14ac:dyDescent="0.25">
      <c r="A744" s="318" t="str">
        <f>HYPERLINK("http://www.ofsted.gov.uk/inspection-reports/find-inspection-report/provider/ELS/139919 ","Ofsted School Webpage")</f>
        <v>Ofsted School Webpage</v>
      </c>
      <c r="B744" s="319">
        <v>139919</v>
      </c>
      <c r="C744" s="319">
        <v>9376006</v>
      </c>
      <c r="D744" s="319" t="s">
        <v>2231</v>
      </c>
      <c r="E744" s="319" t="s">
        <v>168</v>
      </c>
      <c r="F744" s="319" t="s">
        <v>81</v>
      </c>
      <c r="G744" s="319" t="s">
        <v>81</v>
      </c>
      <c r="H744" s="319" t="s">
        <v>81</v>
      </c>
      <c r="I744" s="319" t="s">
        <v>78</v>
      </c>
      <c r="J744" s="319" t="s">
        <v>424</v>
      </c>
      <c r="K744" s="319" t="s">
        <v>437</v>
      </c>
      <c r="L744" s="319" t="s">
        <v>437</v>
      </c>
      <c r="M744" s="319" t="s">
        <v>438</v>
      </c>
      <c r="N744" s="319" t="s">
        <v>3230</v>
      </c>
      <c r="O744" s="319" t="s">
        <v>2232</v>
      </c>
      <c r="P744" s="319">
        <v>22</v>
      </c>
      <c r="Q744" s="319" t="s">
        <v>429</v>
      </c>
      <c r="R744" s="320">
        <v>10033578</v>
      </c>
      <c r="S744" s="321">
        <v>43256</v>
      </c>
      <c r="T744" s="321">
        <v>43258</v>
      </c>
      <c r="U744" s="321">
        <v>43279</v>
      </c>
      <c r="V744" s="319" t="s">
        <v>425</v>
      </c>
      <c r="W744" s="319" t="s">
        <v>2767</v>
      </c>
      <c r="X744" s="319">
        <v>3</v>
      </c>
      <c r="Y744" s="319" t="s">
        <v>173</v>
      </c>
      <c r="Z744" s="319" t="s">
        <v>173</v>
      </c>
      <c r="AA744" s="319" t="s">
        <v>173</v>
      </c>
      <c r="AB744" s="319">
        <v>2</v>
      </c>
      <c r="AC744" s="319" t="s">
        <v>169</v>
      </c>
      <c r="AD744" s="319" t="s">
        <v>173</v>
      </c>
      <c r="AE744" s="319" t="s">
        <v>173</v>
      </c>
      <c r="AF744" s="319" t="s">
        <v>427</v>
      </c>
      <c r="AG744" s="319" t="s">
        <v>171</v>
      </c>
      <c r="AH744" s="319" t="s">
        <v>190</v>
      </c>
      <c r="AI744" s="319" t="s">
        <v>190</v>
      </c>
      <c r="AJ744" s="319" t="s">
        <v>190</v>
      </c>
      <c r="AK744" s="319" t="s">
        <v>190</v>
      </c>
      <c r="AL744" s="319" t="s">
        <v>190</v>
      </c>
      <c r="AM744" s="319" t="s">
        <v>190</v>
      </c>
      <c r="AN744" s="319" t="s">
        <v>190</v>
      </c>
      <c r="AO744" s="319" t="s">
        <v>190</v>
      </c>
      <c r="AP744" s="319" t="s">
        <v>190</v>
      </c>
      <c r="AQ744" s="319" t="s">
        <v>190</v>
      </c>
      <c r="AR744" s="319" t="s">
        <v>190</v>
      </c>
      <c r="AS744" s="319" t="s">
        <v>190</v>
      </c>
      <c r="AT744" s="319" t="s">
        <v>190</v>
      </c>
      <c r="AU744" s="319" t="s">
        <v>190</v>
      </c>
      <c r="AV744" s="319" t="s">
        <v>190</v>
      </c>
      <c r="AW744" s="319" t="s">
        <v>190</v>
      </c>
      <c r="AX744" s="319" t="s">
        <v>428</v>
      </c>
      <c r="AY744" s="319" t="s">
        <v>190</v>
      </c>
      <c r="AZ744" s="319" t="s">
        <v>190</v>
      </c>
      <c r="BA744" s="319" t="s">
        <v>190</v>
      </c>
      <c r="BB744" s="319" t="s">
        <v>190</v>
      </c>
      <c r="BC744" s="319" t="s">
        <v>190</v>
      </c>
      <c r="BD744" s="319" t="s">
        <v>190</v>
      </c>
      <c r="BE744" s="319" t="s">
        <v>190</v>
      </c>
      <c r="BF744" s="319" t="s">
        <v>190</v>
      </c>
      <c r="BG744" s="319" t="s">
        <v>190</v>
      </c>
      <c r="BH744" s="319" t="s">
        <v>190</v>
      </c>
      <c r="BI744" s="319" t="s">
        <v>190</v>
      </c>
      <c r="BJ744" s="319" t="s">
        <v>190</v>
      </c>
      <c r="BK744" s="319" t="s">
        <v>190</v>
      </c>
      <c r="BL744" s="319" t="s">
        <v>190</v>
      </c>
      <c r="BM744" s="319" t="s">
        <v>190</v>
      </c>
      <c r="BN744" s="319" t="s">
        <v>190</v>
      </c>
      <c r="BO744" s="319" t="s">
        <v>190</v>
      </c>
      <c r="BP744" s="319" t="s">
        <v>190</v>
      </c>
      <c r="BQ744" s="319" t="s">
        <v>190</v>
      </c>
      <c r="BR744" s="319" t="s">
        <v>190</v>
      </c>
      <c r="BS744" s="319" t="s">
        <v>190</v>
      </c>
      <c r="BT744" s="319" t="s">
        <v>190</v>
      </c>
      <c r="BU744" s="319" t="s">
        <v>190</v>
      </c>
      <c r="BV744" s="319" t="s">
        <v>190</v>
      </c>
      <c r="BW744" s="319" t="s">
        <v>190</v>
      </c>
      <c r="BX744" s="319" t="s">
        <v>190</v>
      </c>
      <c r="BY744" s="319" t="s">
        <v>190</v>
      </c>
      <c r="BZ744" s="319" t="s">
        <v>190</v>
      </c>
      <c r="CA744" s="319" t="s">
        <v>190</v>
      </c>
      <c r="CB744" s="319" t="s">
        <v>190</v>
      </c>
      <c r="CC744" s="319" t="s">
        <v>190</v>
      </c>
      <c r="CD744" s="319" t="s">
        <v>190</v>
      </c>
      <c r="CE744" s="319" t="s">
        <v>190</v>
      </c>
      <c r="CF744" s="319" t="s">
        <v>190</v>
      </c>
      <c r="CG744" s="319" t="s">
        <v>190</v>
      </c>
      <c r="CH744" s="319" t="s">
        <v>190</v>
      </c>
      <c r="CI744" s="319" t="s">
        <v>190</v>
      </c>
      <c r="CJ744" s="319" t="s">
        <v>190</v>
      </c>
      <c r="CK744" s="319" t="s">
        <v>190</v>
      </c>
      <c r="CL744" s="319" t="s">
        <v>173</v>
      </c>
      <c r="CM744" s="319" t="s">
        <v>190</v>
      </c>
      <c r="CN744" s="319" t="s">
        <v>190</v>
      </c>
      <c r="CO744" s="319" t="s">
        <v>428</v>
      </c>
      <c r="CP744" s="319" t="s">
        <v>428</v>
      </c>
      <c r="CQ744" s="319" t="s">
        <v>190</v>
      </c>
      <c r="CR744" s="319" t="s">
        <v>190</v>
      </c>
      <c r="CS744" s="319" t="s">
        <v>190</v>
      </c>
      <c r="CT744" s="319" t="s">
        <v>190</v>
      </c>
      <c r="CU744" s="319" t="s">
        <v>190</v>
      </c>
      <c r="CV744" s="319" t="s">
        <v>190</v>
      </c>
      <c r="CW744" s="319" t="s">
        <v>190</v>
      </c>
      <c r="CX744" s="319" t="s">
        <v>190</v>
      </c>
      <c r="CY744" s="319" t="s">
        <v>190</v>
      </c>
      <c r="CZ744" s="319" t="s">
        <v>190</v>
      </c>
      <c r="DA744" s="319" t="s">
        <v>190</v>
      </c>
      <c r="DB744" s="319" t="s">
        <v>190</v>
      </c>
      <c r="DC744" s="319" t="s">
        <v>190</v>
      </c>
      <c r="DD744" s="319" t="s">
        <v>190</v>
      </c>
      <c r="DE744" s="319" t="s">
        <v>190</v>
      </c>
      <c r="DF744" s="319" t="s">
        <v>190</v>
      </c>
      <c r="DG744" s="319" t="s">
        <v>190</v>
      </c>
      <c r="DH744" s="319" t="s">
        <v>190</v>
      </c>
      <c r="DI744" s="319" t="s">
        <v>190</v>
      </c>
      <c r="DJ744" s="319" t="s">
        <v>190</v>
      </c>
      <c r="DK744" s="319" t="s">
        <v>190</v>
      </c>
      <c r="DL744" s="319" t="s">
        <v>173</v>
      </c>
      <c r="DM744" s="319" t="s">
        <v>190</v>
      </c>
      <c r="DN744" s="319" t="s">
        <v>190</v>
      </c>
      <c r="DO744" s="319" t="s">
        <v>190</v>
      </c>
      <c r="DP744" s="319" t="s">
        <v>190</v>
      </c>
      <c r="DQ744" s="319" t="s">
        <v>190</v>
      </c>
      <c r="DR744" s="319" t="s">
        <v>190</v>
      </c>
      <c r="DS744" s="319" t="s">
        <v>190</v>
      </c>
      <c r="DT744" s="319" t="s">
        <v>190</v>
      </c>
      <c r="DU744" s="319" t="s">
        <v>190</v>
      </c>
      <c r="DV744" s="319" t="s">
        <v>173</v>
      </c>
      <c r="DW744" s="319" t="s">
        <v>190</v>
      </c>
      <c r="DX744" s="319" t="s">
        <v>190</v>
      </c>
      <c r="DY744" s="319" t="s">
        <v>190</v>
      </c>
      <c r="DZ744" s="319" t="s">
        <v>190</v>
      </c>
      <c r="EA744" s="319" t="s">
        <v>190</v>
      </c>
      <c r="EB744" s="319" t="s">
        <v>190</v>
      </c>
      <c r="EC744" s="319" t="s">
        <v>190</v>
      </c>
      <c r="ED744" s="319" t="s">
        <v>190</v>
      </c>
      <c r="EE744" s="319" t="s">
        <v>190</v>
      </c>
      <c r="EF744" s="319" t="s">
        <v>190</v>
      </c>
      <c r="EG744" s="319" t="s">
        <v>190</v>
      </c>
      <c r="EH744" s="319" t="s">
        <v>190</v>
      </c>
      <c r="EI744" s="319" t="s">
        <v>190</v>
      </c>
      <c r="EJ744" s="319" t="s">
        <v>190</v>
      </c>
      <c r="EK744" s="319" t="s">
        <v>190</v>
      </c>
      <c r="EL744" s="319" t="s">
        <v>190</v>
      </c>
      <c r="EM744" s="319" t="s">
        <v>190</v>
      </c>
      <c r="EN744" s="319" t="s">
        <v>190</v>
      </c>
      <c r="EO744" s="319" t="s">
        <v>190</v>
      </c>
      <c r="EP744" s="319" t="s">
        <v>190</v>
      </c>
      <c r="EQ744" s="319" t="s">
        <v>190</v>
      </c>
      <c r="ER744" s="319" t="s">
        <v>190</v>
      </c>
      <c r="ES744" s="319" t="s">
        <v>190</v>
      </c>
      <c r="ET744" s="319" t="s">
        <v>190</v>
      </c>
      <c r="EU744" s="319" t="s">
        <v>190</v>
      </c>
      <c r="EV744" s="319" t="s">
        <v>190</v>
      </c>
      <c r="EW744" s="319" t="s">
        <v>190</v>
      </c>
      <c r="EX744" s="319" t="s">
        <v>190</v>
      </c>
      <c r="EY744" s="319" t="s">
        <v>190</v>
      </c>
      <c r="EZ744" s="319" t="s">
        <v>190</v>
      </c>
      <c r="FA744" s="319" t="s">
        <v>190</v>
      </c>
      <c r="FB744" s="319" t="s">
        <v>190</v>
      </c>
      <c r="FC744" s="319" t="s">
        <v>190</v>
      </c>
      <c r="FD744" s="319" t="s">
        <v>190</v>
      </c>
      <c r="FE744" s="319" t="s">
        <v>190</v>
      </c>
      <c r="FF744" s="319" t="s">
        <v>190</v>
      </c>
      <c r="FG744" s="319" t="s">
        <v>190</v>
      </c>
      <c r="FH744" s="319" t="s">
        <v>190</v>
      </c>
      <c r="FI744" s="319" t="s">
        <v>190</v>
      </c>
      <c r="FJ744" s="319" t="s">
        <v>190</v>
      </c>
      <c r="FK744" s="319" t="s">
        <v>190</v>
      </c>
      <c r="FL744" s="319" t="s">
        <v>190</v>
      </c>
      <c r="FM744" s="319" t="s">
        <v>190</v>
      </c>
      <c r="FN744" s="319" t="s">
        <v>190</v>
      </c>
      <c r="FO744" s="319" t="s">
        <v>190</v>
      </c>
      <c r="FP744" s="319" t="s">
        <v>190</v>
      </c>
      <c r="FQ744" s="319" t="s">
        <v>190</v>
      </c>
      <c r="FR744" s="319" t="s">
        <v>190</v>
      </c>
      <c r="FS744" s="319" t="s">
        <v>428</v>
      </c>
      <c r="FT744" s="319" t="s">
        <v>190</v>
      </c>
      <c r="FU744" s="319" t="s">
        <v>190</v>
      </c>
      <c r="FV744" s="319" t="s">
        <v>190</v>
      </c>
      <c r="FW744" s="319" t="s">
        <v>190</v>
      </c>
      <c r="FX744" s="319" t="s">
        <v>190</v>
      </c>
      <c r="FY744" s="319" t="s">
        <v>190</v>
      </c>
      <c r="FZ744" s="319" t="s">
        <v>190</v>
      </c>
      <c r="GA744" s="319" t="s">
        <v>190</v>
      </c>
      <c r="GB744" s="319" t="s">
        <v>190</v>
      </c>
      <c r="GC744" s="319" t="s">
        <v>190</v>
      </c>
      <c r="GD744" s="319" t="s">
        <v>190</v>
      </c>
      <c r="GE744" s="319" t="s">
        <v>190</v>
      </c>
      <c r="GF744" s="319" t="s">
        <v>190</v>
      </c>
      <c r="GG744" s="319" t="s">
        <v>190</v>
      </c>
      <c r="GH744" s="319" t="s">
        <v>190</v>
      </c>
      <c r="GI744" s="319" t="s">
        <v>190</v>
      </c>
      <c r="GJ744" s="319" t="s">
        <v>190</v>
      </c>
      <c r="GK744" s="319" t="s">
        <v>428</v>
      </c>
      <c r="GL744" s="319" t="s">
        <v>190</v>
      </c>
      <c r="GM744" s="319" t="s">
        <v>190</v>
      </c>
      <c r="GN744" s="319" t="s">
        <v>190</v>
      </c>
      <c r="GO744" s="319" t="s">
        <v>190</v>
      </c>
      <c r="GP744" s="319" t="s">
        <v>190</v>
      </c>
      <c r="GQ744" s="319" t="s">
        <v>190</v>
      </c>
      <c r="GR744" s="319" t="s">
        <v>190</v>
      </c>
      <c r="GS744" s="319" t="s">
        <v>190</v>
      </c>
      <c r="GT744" s="319" t="s">
        <v>190</v>
      </c>
      <c r="GU744" s="319" t="s">
        <v>190</v>
      </c>
      <c r="GV744" s="319" t="s">
        <v>190</v>
      </c>
      <c r="GW744" s="319" t="s">
        <v>190</v>
      </c>
      <c r="GX744" s="319" t="s">
        <v>190</v>
      </c>
      <c r="GY744" s="319" t="s">
        <v>190</v>
      </c>
      <c r="GZ744" s="319" t="s">
        <v>428</v>
      </c>
      <c r="HA744" s="319" t="s">
        <v>190</v>
      </c>
      <c r="HB744" s="319" t="s">
        <v>190</v>
      </c>
      <c r="HC744" s="319" t="s">
        <v>190</v>
      </c>
      <c r="HD744" s="319" t="s">
        <v>190</v>
      </c>
      <c r="HE744" s="319" t="s">
        <v>190</v>
      </c>
      <c r="HF744" s="319" t="s">
        <v>190</v>
      </c>
      <c r="HG744" s="319" t="s">
        <v>190</v>
      </c>
      <c r="HH744" s="319" t="s">
        <v>190</v>
      </c>
      <c r="HI744" s="319" t="s">
        <v>190</v>
      </c>
      <c r="HJ744" s="319" t="s">
        <v>190</v>
      </c>
      <c r="HK744" s="319" t="s">
        <v>190</v>
      </c>
      <c r="HL744" s="319" t="s">
        <v>428</v>
      </c>
      <c r="HM744" s="319" t="s">
        <v>428</v>
      </c>
      <c r="HN744" s="319" t="s">
        <v>428</v>
      </c>
      <c r="HO744" s="319" t="s">
        <v>428</v>
      </c>
      <c r="HP744" s="319" t="s">
        <v>190</v>
      </c>
      <c r="HQ744" s="319" t="s">
        <v>190</v>
      </c>
      <c r="HR744" s="319" t="s">
        <v>190</v>
      </c>
      <c r="HS744" s="319" t="s">
        <v>190</v>
      </c>
      <c r="HT744" s="319" t="s">
        <v>190</v>
      </c>
      <c r="HU744" s="319" t="s">
        <v>190</v>
      </c>
      <c r="HV744" s="319" t="s">
        <v>190</v>
      </c>
      <c r="HW744" s="319" t="s">
        <v>190</v>
      </c>
      <c r="HX744" s="319" t="s">
        <v>190</v>
      </c>
      <c r="HY744" s="319" t="s">
        <v>190</v>
      </c>
      <c r="HZ744" s="319" t="s">
        <v>190</v>
      </c>
      <c r="IA744" s="319" t="s">
        <v>190</v>
      </c>
      <c r="IB744" s="319" t="s">
        <v>190</v>
      </c>
      <c r="IC744" s="319" t="s">
        <v>190</v>
      </c>
      <c r="ID744" s="319" t="s">
        <v>190</v>
      </c>
      <c r="IE744" s="319" t="s">
        <v>190</v>
      </c>
      <c r="IF744" s="319" t="s">
        <v>190</v>
      </c>
      <c r="IG744" s="319" t="s">
        <v>190</v>
      </c>
      <c r="IH744" s="319" t="s">
        <v>190</v>
      </c>
      <c r="II744" s="319" t="s">
        <v>190</v>
      </c>
      <c r="IJ744" s="319" t="s">
        <v>3477</v>
      </c>
      <c r="IK744" s="321">
        <v>41773</v>
      </c>
      <c r="IL744" s="321">
        <v>41775</v>
      </c>
      <c r="IM744" s="321">
        <v>41813</v>
      </c>
      <c r="IN744" s="319">
        <v>4</v>
      </c>
      <c r="IO744" s="319" t="s">
        <v>173</v>
      </c>
      <c r="IP744" s="319" t="s">
        <v>173</v>
      </c>
      <c r="IQ744" s="321" t="s">
        <v>173</v>
      </c>
      <c r="IR744" s="320" t="s">
        <v>173</v>
      </c>
      <c r="IS744" s="322" t="s">
        <v>173</v>
      </c>
      <c r="IT744" s="319" t="s">
        <v>173</v>
      </c>
    </row>
    <row r="745" spans="1:254" s="271" customFormat="1" x14ac:dyDescent="0.25">
      <c r="A745" s="318" t="str">
        <f>HYPERLINK("http://www.ofsted.gov.uk/inspection-reports/find-inspection-report/provider/ELS/139962 ","Ofsted School Webpage")</f>
        <v>Ofsted School Webpage</v>
      </c>
      <c r="B745" s="319">
        <v>139962</v>
      </c>
      <c r="C745" s="319">
        <v>3306015</v>
      </c>
      <c r="D745" s="319" t="s">
        <v>2233</v>
      </c>
      <c r="E745" s="319" t="s">
        <v>167</v>
      </c>
      <c r="F745" s="319" t="s">
        <v>81</v>
      </c>
      <c r="G745" s="319" t="s">
        <v>63</v>
      </c>
      <c r="H745" s="319" t="s">
        <v>63</v>
      </c>
      <c r="I745" s="319" t="s">
        <v>59</v>
      </c>
      <c r="J745" s="319" t="s">
        <v>424</v>
      </c>
      <c r="K745" s="319" t="s">
        <v>437</v>
      </c>
      <c r="L745" s="319" t="s">
        <v>437</v>
      </c>
      <c r="M745" s="319" t="s">
        <v>813</v>
      </c>
      <c r="N745" s="319" t="s">
        <v>3478</v>
      </c>
      <c r="O745" s="319" t="s">
        <v>2234</v>
      </c>
      <c r="P745" s="319">
        <v>8</v>
      </c>
      <c r="Q745" s="319" t="s">
        <v>2766</v>
      </c>
      <c r="R745" s="320">
        <v>10033583</v>
      </c>
      <c r="S745" s="321">
        <v>43144</v>
      </c>
      <c r="T745" s="321">
        <v>43146</v>
      </c>
      <c r="U745" s="321">
        <v>43174</v>
      </c>
      <c r="V745" s="319" t="s">
        <v>425</v>
      </c>
      <c r="W745" s="319" t="s">
        <v>2767</v>
      </c>
      <c r="X745" s="319">
        <v>2</v>
      </c>
      <c r="Y745" s="319" t="s">
        <v>173</v>
      </c>
      <c r="Z745" s="319" t="s">
        <v>173</v>
      </c>
      <c r="AA745" s="319" t="s">
        <v>173</v>
      </c>
      <c r="AB745" s="319">
        <v>2</v>
      </c>
      <c r="AC745" s="319" t="s">
        <v>169</v>
      </c>
      <c r="AD745" s="319" t="s">
        <v>173</v>
      </c>
      <c r="AE745" s="319" t="s">
        <v>173</v>
      </c>
      <c r="AF745" s="319" t="s">
        <v>427</v>
      </c>
      <c r="AG745" s="319" t="s">
        <v>171</v>
      </c>
      <c r="AH745" s="319" t="s">
        <v>190</v>
      </c>
      <c r="AI745" s="319" t="s">
        <v>190</v>
      </c>
      <c r="AJ745" s="319" t="s">
        <v>190</v>
      </c>
      <c r="AK745" s="319" t="s">
        <v>190</v>
      </c>
      <c r="AL745" s="319" t="s">
        <v>190</v>
      </c>
      <c r="AM745" s="319" t="s">
        <v>190</v>
      </c>
      <c r="AN745" s="319" t="s">
        <v>190</v>
      </c>
      <c r="AO745" s="319" t="s">
        <v>190</v>
      </c>
      <c r="AP745" s="319" t="s">
        <v>190</v>
      </c>
      <c r="AQ745" s="319" t="s">
        <v>190</v>
      </c>
      <c r="AR745" s="319" t="s">
        <v>190</v>
      </c>
      <c r="AS745" s="319" t="s">
        <v>190</v>
      </c>
      <c r="AT745" s="319" t="s">
        <v>190</v>
      </c>
      <c r="AU745" s="319" t="s">
        <v>190</v>
      </c>
      <c r="AV745" s="319" t="s">
        <v>190</v>
      </c>
      <c r="AW745" s="319" t="s">
        <v>190</v>
      </c>
      <c r="AX745" s="319" t="s">
        <v>190</v>
      </c>
      <c r="AY745" s="319" t="s">
        <v>190</v>
      </c>
      <c r="AZ745" s="319" t="s">
        <v>190</v>
      </c>
      <c r="BA745" s="319" t="s">
        <v>190</v>
      </c>
      <c r="BB745" s="319" t="s">
        <v>190</v>
      </c>
      <c r="BC745" s="319" t="s">
        <v>190</v>
      </c>
      <c r="BD745" s="319" t="s">
        <v>190</v>
      </c>
      <c r="BE745" s="319" t="s">
        <v>190</v>
      </c>
      <c r="BF745" s="319" t="s">
        <v>428</v>
      </c>
      <c r="BG745" s="319" t="s">
        <v>428</v>
      </c>
      <c r="BH745" s="319" t="s">
        <v>190</v>
      </c>
      <c r="BI745" s="319" t="s">
        <v>190</v>
      </c>
      <c r="BJ745" s="319" t="s">
        <v>190</v>
      </c>
      <c r="BK745" s="319" t="s">
        <v>190</v>
      </c>
      <c r="BL745" s="319" t="s">
        <v>190</v>
      </c>
      <c r="BM745" s="319" t="s">
        <v>190</v>
      </c>
      <c r="BN745" s="319" t="s">
        <v>190</v>
      </c>
      <c r="BO745" s="319" t="s">
        <v>190</v>
      </c>
      <c r="BP745" s="319" t="s">
        <v>190</v>
      </c>
      <c r="BQ745" s="319" t="s">
        <v>190</v>
      </c>
      <c r="BR745" s="319" t="s">
        <v>190</v>
      </c>
      <c r="BS745" s="319" t="s">
        <v>190</v>
      </c>
      <c r="BT745" s="319" t="s">
        <v>190</v>
      </c>
      <c r="BU745" s="319" t="s">
        <v>190</v>
      </c>
      <c r="BV745" s="319" t="s">
        <v>190</v>
      </c>
      <c r="BW745" s="319" t="s">
        <v>190</v>
      </c>
      <c r="BX745" s="319" t="s">
        <v>190</v>
      </c>
      <c r="BY745" s="319" t="s">
        <v>190</v>
      </c>
      <c r="BZ745" s="319" t="s">
        <v>190</v>
      </c>
      <c r="CA745" s="319" t="s">
        <v>190</v>
      </c>
      <c r="CB745" s="319" t="s">
        <v>190</v>
      </c>
      <c r="CC745" s="319" t="s">
        <v>190</v>
      </c>
      <c r="CD745" s="319" t="s">
        <v>190</v>
      </c>
      <c r="CE745" s="319" t="s">
        <v>190</v>
      </c>
      <c r="CF745" s="319" t="s">
        <v>190</v>
      </c>
      <c r="CG745" s="319" t="s">
        <v>190</v>
      </c>
      <c r="CH745" s="319" t="s">
        <v>190</v>
      </c>
      <c r="CI745" s="319" t="s">
        <v>190</v>
      </c>
      <c r="CJ745" s="319" t="s">
        <v>190</v>
      </c>
      <c r="CK745" s="319" t="s">
        <v>190</v>
      </c>
      <c r="CL745" s="319" t="s">
        <v>190</v>
      </c>
      <c r="CM745" s="319" t="s">
        <v>190</v>
      </c>
      <c r="CN745" s="319" t="s">
        <v>190</v>
      </c>
      <c r="CO745" s="319" t="s">
        <v>428</v>
      </c>
      <c r="CP745" s="319" t="s">
        <v>428</v>
      </c>
      <c r="CQ745" s="319" t="s">
        <v>190</v>
      </c>
      <c r="CR745" s="319" t="s">
        <v>190</v>
      </c>
      <c r="CS745" s="319" t="s">
        <v>190</v>
      </c>
      <c r="CT745" s="319" t="s">
        <v>190</v>
      </c>
      <c r="CU745" s="319" t="s">
        <v>190</v>
      </c>
      <c r="CV745" s="319" t="s">
        <v>190</v>
      </c>
      <c r="CW745" s="319" t="s">
        <v>190</v>
      </c>
      <c r="CX745" s="319" t="s">
        <v>190</v>
      </c>
      <c r="CY745" s="319" t="s">
        <v>190</v>
      </c>
      <c r="CZ745" s="319" t="s">
        <v>190</v>
      </c>
      <c r="DA745" s="319" t="s">
        <v>190</v>
      </c>
      <c r="DB745" s="319" t="s">
        <v>190</v>
      </c>
      <c r="DC745" s="319" t="s">
        <v>190</v>
      </c>
      <c r="DD745" s="319" t="s">
        <v>190</v>
      </c>
      <c r="DE745" s="319" t="s">
        <v>190</v>
      </c>
      <c r="DF745" s="319" t="s">
        <v>190</v>
      </c>
      <c r="DG745" s="319" t="s">
        <v>190</v>
      </c>
      <c r="DH745" s="319" t="s">
        <v>190</v>
      </c>
      <c r="DI745" s="319" t="s">
        <v>190</v>
      </c>
      <c r="DJ745" s="319" t="s">
        <v>190</v>
      </c>
      <c r="DK745" s="319" t="s">
        <v>190</v>
      </c>
      <c r="DL745" s="319" t="s">
        <v>190</v>
      </c>
      <c r="DM745" s="319" t="s">
        <v>190</v>
      </c>
      <c r="DN745" s="319" t="s">
        <v>190</v>
      </c>
      <c r="DO745" s="319" t="s">
        <v>190</v>
      </c>
      <c r="DP745" s="319" t="s">
        <v>190</v>
      </c>
      <c r="DQ745" s="319" t="s">
        <v>190</v>
      </c>
      <c r="DR745" s="319" t="s">
        <v>190</v>
      </c>
      <c r="DS745" s="319" t="s">
        <v>190</v>
      </c>
      <c r="DT745" s="319" t="s">
        <v>190</v>
      </c>
      <c r="DU745" s="319" t="s">
        <v>190</v>
      </c>
      <c r="DV745" s="319" t="s">
        <v>173</v>
      </c>
      <c r="DW745" s="319" t="s">
        <v>190</v>
      </c>
      <c r="DX745" s="319" t="s">
        <v>190</v>
      </c>
      <c r="DY745" s="319" t="s">
        <v>190</v>
      </c>
      <c r="DZ745" s="319" t="s">
        <v>190</v>
      </c>
      <c r="EA745" s="319" t="s">
        <v>190</v>
      </c>
      <c r="EB745" s="319" t="s">
        <v>190</v>
      </c>
      <c r="EC745" s="319" t="s">
        <v>428</v>
      </c>
      <c r="ED745" s="319" t="s">
        <v>428</v>
      </c>
      <c r="EE745" s="319" t="s">
        <v>190</v>
      </c>
      <c r="EF745" s="319" t="s">
        <v>190</v>
      </c>
      <c r="EG745" s="319" t="s">
        <v>190</v>
      </c>
      <c r="EH745" s="319" t="s">
        <v>190</v>
      </c>
      <c r="EI745" s="319" t="s">
        <v>190</v>
      </c>
      <c r="EJ745" s="319" t="s">
        <v>190</v>
      </c>
      <c r="EK745" s="319" t="s">
        <v>190</v>
      </c>
      <c r="EL745" s="319" t="s">
        <v>190</v>
      </c>
      <c r="EM745" s="319" t="s">
        <v>190</v>
      </c>
      <c r="EN745" s="319" t="s">
        <v>190</v>
      </c>
      <c r="EO745" s="319" t="s">
        <v>190</v>
      </c>
      <c r="EP745" s="319" t="s">
        <v>190</v>
      </c>
      <c r="EQ745" s="319" t="s">
        <v>190</v>
      </c>
      <c r="ER745" s="319" t="s">
        <v>190</v>
      </c>
      <c r="ES745" s="319" t="s">
        <v>190</v>
      </c>
      <c r="ET745" s="319" t="s">
        <v>190</v>
      </c>
      <c r="EU745" s="319" t="s">
        <v>190</v>
      </c>
      <c r="EV745" s="319" t="s">
        <v>190</v>
      </c>
      <c r="EW745" s="319" t="s">
        <v>190</v>
      </c>
      <c r="EX745" s="319" t="s">
        <v>190</v>
      </c>
      <c r="EY745" s="319" t="s">
        <v>190</v>
      </c>
      <c r="EZ745" s="319" t="s">
        <v>190</v>
      </c>
      <c r="FA745" s="319" t="s">
        <v>190</v>
      </c>
      <c r="FB745" s="319" t="s">
        <v>190</v>
      </c>
      <c r="FC745" s="319" t="s">
        <v>190</v>
      </c>
      <c r="FD745" s="319" t="s">
        <v>190</v>
      </c>
      <c r="FE745" s="319" t="s">
        <v>190</v>
      </c>
      <c r="FF745" s="319" t="s">
        <v>190</v>
      </c>
      <c r="FG745" s="319" t="s">
        <v>190</v>
      </c>
      <c r="FH745" s="319" t="s">
        <v>190</v>
      </c>
      <c r="FI745" s="319" t="s">
        <v>190</v>
      </c>
      <c r="FJ745" s="319" t="s">
        <v>190</v>
      </c>
      <c r="FK745" s="319" t="s">
        <v>190</v>
      </c>
      <c r="FL745" s="319" t="s">
        <v>190</v>
      </c>
      <c r="FM745" s="319" t="s">
        <v>190</v>
      </c>
      <c r="FN745" s="319" t="s">
        <v>190</v>
      </c>
      <c r="FO745" s="319" t="s">
        <v>190</v>
      </c>
      <c r="FP745" s="319" t="s">
        <v>190</v>
      </c>
      <c r="FQ745" s="319" t="s">
        <v>190</v>
      </c>
      <c r="FR745" s="319" t="s">
        <v>190</v>
      </c>
      <c r="FS745" s="319" t="s">
        <v>428</v>
      </c>
      <c r="FT745" s="319" t="s">
        <v>190</v>
      </c>
      <c r="FU745" s="319" t="s">
        <v>190</v>
      </c>
      <c r="FV745" s="319" t="s">
        <v>190</v>
      </c>
      <c r="FW745" s="319" t="s">
        <v>190</v>
      </c>
      <c r="FX745" s="319" t="s">
        <v>190</v>
      </c>
      <c r="FY745" s="319" t="s">
        <v>190</v>
      </c>
      <c r="FZ745" s="319" t="s">
        <v>190</v>
      </c>
      <c r="GA745" s="319" t="s">
        <v>190</v>
      </c>
      <c r="GB745" s="319" t="s">
        <v>190</v>
      </c>
      <c r="GC745" s="319" t="s">
        <v>190</v>
      </c>
      <c r="GD745" s="319" t="s">
        <v>190</v>
      </c>
      <c r="GE745" s="319" t="s">
        <v>190</v>
      </c>
      <c r="GF745" s="319" t="s">
        <v>190</v>
      </c>
      <c r="GG745" s="319" t="s">
        <v>190</v>
      </c>
      <c r="GH745" s="319" t="s">
        <v>190</v>
      </c>
      <c r="GI745" s="319" t="s">
        <v>190</v>
      </c>
      <c r="GJ745" s="319" t="s">
        <v>190</v>
      </c>
      <c r="GK745" s="319" t="s">
        <v>428</v>
      </c>
      <c r="GL745" s="319" t="s">
        <v>190</v>
      </c>
      <c r="GM745" s="319" t="s">
        <v>190</v>
      </c>
      <c r="GN745" s="319" t="s">
        <v>190</v>
      </c>
      <c r="GO745" s="319" t="s">
        <v>190</v>
      </c>
      <c r="GP745" s="319" t="s">
        <v>190</v>
      </c>
      <c r="GQ745" s="319" t="s">
        <v>190</v>
      </c>
      <c r="GR745" s="319" t="s">
        <v>190</v>
      </c>
      <c r="GS745" s="319" t="s">
        <v>190</v>
      </c>
      <c r="GT745" s="319" t="s">
        <v>428</v>
      </c>
      <c r="GU745" s="319" t="s">
        <v>190</v>
      </c>
      <c r="GV745" s="319" t="s">
        <v>190</v>
      </c>
      <c r="GW745" s="319" t="s">
        <v>190</v>
      </c>
      <c r="GX745" s="319" t="s">
        <v>190</v>
      </c>
      <c r="GY745" s="319" t="s">
        <v>190</v>
      </c>
      <c r="GZ745" s="319" t="s">
        <v>190</v>
      </c>
      <c r="HA745" s="319" t="s">
        <v>190</v>
      </c>
      <c r="HB745" s="319" t="s">
        <v>190</v>
      </c>
      <c r="HC745" s="319" t="s">
        <v>190</v>
      </c>
      <c r="HD745" s="319" t="s">
        <v>190</v>
      </c>
      <c r="HE745" s="319" t="s">
        <v>190</v>
      </c>
      <c r="HF745" s="319" t="s">
        <v>190</v>
      </c>
      <c r="HG745" s="319" t="s">
        <v>190</v>
      </c>
      <c r="HH745" s="319" t="s">
        <v>190</v>
      </c>
      <c r="HI745" s="319" t="s">
        <v>428</v>
      </c>
      <c r="HJ745" s="319" t="s">
        <v>190</v>
      </c>
      <c r="HK745" s="319" t="s">
        <v>190</v>
      </c>
      <c r="HL745" s="319" t="s">
        <v>428</v>
      </c>
      <c r="HM745" s="319" t="s">
        <v>428</v>
      </c>
      <c r="HN745" s="319" t="s">
        <v>428</v>
      </c>
      <c r="HO745" s="319" t="s">
        <v>428</v>
      </c>
      <c r="HP745" s="319" t="s">
        <v>190</v>
      </c>
      <c r="HQ745" s="319" t="s">
        <v>190</v>
      </c>
      <c r="HR745" s="319" t="s">
        <v>190</v>
      </c>
      <c r="HS745" s="319" t="s">
        <v>190</v>
      </c>
      <c r="HT745" s="319" t="s">
        <v>190</v>
      </c>
      <c r="HU745" s="319" t="s">
        <v>190</v>
      </c>
      <c r="HV745" s="319" t="s">
        <v>190</v>
      </c>
      <c r="HW745" s="319" t="s">
        <v>190</v>
      </c>
      <c r="HX745" s="319" t="s">
        <v>190</v>
      </c>
      <c r="HY745" s="319" t="s">
        <v>190</v>
      </c>
      <c r="HZ745" s="319" t="s">
        <v>190</v>
      </c>
      <c r="IA745" s="319" t="s">
        <v>190</v>
      </c>
      <c r="IB745" s="319" t="s">
        <v>190</v>
      </c>
      <c r="IC745" s="319" t="s">
        <v>190</v>
      </c>
      <c r="ID745" s="319" t="s">
        <v>190</v>
      </c>
      <c r="IE745" s="319" t="s">
        <v>190</v>
      </c>
      <c r="IF745" s="319" t="s">
        <v>190</v>
      </c>
      <c r="IG745" s="319" t="s">
        <v>190</v>
      </c>
      <c r="IH745" s="319" t="s">
        <v>190</v>
      </c>
      <c r="II745" s="319" t="s">
        <v>190</v>
      </c>
      <c r="IJ745" s="319" t="s">
        <v>3479</v>
      </c>
      <c r="IK745" s="321">
        <v>41835</v>
      </c>
      <c r="IL745" s="321">
        <v>41837</v>
      </c>
      <c r="IM745" s="321">
        <v>41898</v>
      </c>
      <c r="IN745" s="319">
        <v>2</v>
      </c>
      <c r="IO745" s="319" t="s">
        <v>173</v>
      </c>
      <c r="IP745" s="319" t="s">
        <v>173</v>
      </c>
      <c r="IQ745" s="319" t="s">
        <v>173</v>
      </c>
      <c r="IR745" s="320" t="s">
        <v>173</v>
      </c>
      <c r="IS745" s="320" t="s">
        <v>173</v>
      </c>
      <c r="IT745" s="319" t="s">
        <v>173</v>
      </c>
    </row>
    <row r="746" spans="1:254" s="271" customFormat="1" x14ac:dyDescent="0.25">
      <c r="A746" s="318" t="str">
        <f>HYPERLINK("http://www.ofsted.gov.uk/inspection-reports/find-inspection-report/provider/ELS/139963 ","Ofsted School Webpage")</f>
        <v>Ofsted School Webpage</v>
      </c>
      <c r="B746" s="319">
        <v>139963</v>
      </c>
      <c r="C746" s="319">
        <v>8696017</v>
      </c>
      <c r="D746" s="319" t="s">
        <v>2235</v>
      </c>
      <c r="E746" s="319" t="s">
        <v>168</v>
      </c>
      <c r="F746" s="319" t="s">
        <v>81</v>
      </c>
      <c r="G746" s="319" t="s">
        <v>81</v>
      </c>
      <c r="H746" s="319" t="s">
        <v>81</v>
      </c>
      <c r="I746" s="319" t="s">
        <v>78</v>
      </c>
      <c r="J746" s="319" t="s">
        <v>424</v>
      </c>
      <c r="K746" s="319" t="s">
        <v>514</v>
      </c>
      <c r="L746" s="319" t="s">
        <v>514</v>
      </c>
      <c r="M746" s="319" t="s">
        <v>1382</v>
      </c>
      <c r="N746" s="319" t="s">
        <v>3143</v>
      </c>
      <c r="O746" s="319" t="s">
        <v>2236</v>
      </c>
      <c r="P746" s="319">
        <v>13</v>
      </c>
      <c r="Q746" s="319" t="s">
        <v>429</v>
      </c>
      <c r="R746" s="320">
        <v>10033958</v>
      </c>
      <c r="S746" s="321">
        <v>42913</v>
      </c>
      <c r="T746" s="321">
        <v>42915</v>
      </c>
      <c r="U746" s="321">
        <v>42982</v>
      </c>
      <c r="V746" s="319" t="s">
        <v>425</v>
      </c>
      <c r="W746" s="319" t="s">
        <v>2767</v>
      </c>
      <c r="X746" s="319">
        <v>2</v>
      </c>
      <c r="Y746" s="319" t="s">
        <v>173</v>
      </c>
      <c r="Z746" s="319" t="s">
        <v>173</v>
      </c>
      <c r="AA746" s="319" t="s">
        <v>173</v>
      </c>
      <c r="AB746" s="319">
        <v>2</v>
      </c>
      <c r="AC746" s="319" t="s">
        <v>169</v>
      </c>
      <c r="AD746" s="319" t="s">
        <v>173</v>
      </c>
      <c r="AE746" s="319">
        <v>2</v>
      </c>
      <c r="AF746" s="319" t="s">
        <v>173</v>
      </c>
      <c r="AG746" s="319" t="s">
        <v>171</v>
      </c>
      <c r="AH746" s="319" t="s">
        <v>190</v>
      </c>
      <c r="AI746" s="319" t="s">
        <v>190</v>
      </c>
      <c r="AJ746" s="319" t="s">
        <v>190</v>
      </c>
      <c r="AK746" s="319" t="s">
        <v>190</v>
      </c>
      <c r="AL746" s="319" t="s">
        <v>190</v>
      </c>
      <c r="AM746" s="319" t="s">
        <v>190</v>
      </c>
      <c r="AN746" s="319" t="s">
        <v>190</v>
      </c>
      <c r="AO746" s="319" t="s">
        <v>190</v>
      </c>
      <c r="AP746" s="319" t="s">
        <v>190</v>
      </c>
      <c r="AQ746" s="319" t="s">
        <v>190</v>
      </c>
      <c r="AR746" s="319" t="s">
        <v>190</v>
      </c>
      <c r="AS746" s="319" t="s">
        <v>190</v>
      </c>
      <c r="AT746" s="319" t="s">
        <v>190</v>
      </c>
      <c r="AU746" s="319" t="s">
        <v>190</v>
      </c>
      <c r="AV746" s="319" t="s">
        <v>190</v>
      </c>
      <c r="AW746" s="319" t="s">
        <v>190</v>
      </c>
      <c r="AX746" s="319" t="s">
        <v>429</v>
      </c>
      <c r="AY746" s="319" t="s">
        <v>190</v>
      </c>
      <c r="AZ746" s="319" t="s">
        <v>190</v>
      </c>
      <c r="BA746" s="319" t="s">
        <v>190</v>
      </c>
      <c r="BB746" s="319" t="s">
        <v>190</v>
      </c>
      <c r="BC746" s="319" t="s">
        <v>190</v>
      </c>
      <c r="BD746" s="319" t="s">
        <v>190</v>
      </c>
      <c r="BE746" s="319" t="s">
        <v>190</v>
      </c>
      <c r="BF746" s="319" t="s">
        <v>429</v>
      </c>
      <c r="BG746" s="319" t="s">
        <v>190</v>
      </c>
      <c r="BH746" s="319" t="s">
        <v>190</v>
      </c>
      <c r="BI746" s="319" t="s">
        <v>190</v>
      </c>
      <c r="BJ746" s="319" t="s">
        <v>190</v>
      </c>
      <c r="BK746" s="319" t="s">
        <v>190</v>
      </c>
      <c r="BL746" s="319" t="s">
        <v>190</v>
      </c>
      <c r="BM746" s="319" t="s">
        <v>190</v>
      </c>
      <c r="BN746" s="319" t="s">
        <v>190</v>
      </c>
      <c r="BO746" s="319" t="s">
        <v>190</v>
      </c>
      <c r="BP746" s="319" t="s">
        <v>190</v>
      </c>
      <c r="BQ746" s="319" t="s">
        <v>190</v>
      </c>
      <c r="BR746" s="319" t="s">
        <v>190</v>
      </c>
      <c r="BS746" s="319" t="s">
        <v>190</v>
      </c>
      <c r="BT746" s="319" t="s">
        <v>190</v>
      </c>
      <c r="BU746" s="319" t="s">
        <v>190</v>
      </c>
      <c r="BV746" s="319" t="s">
        <v>190</v>
      </c>
      <c r="BW746" s="319" t="s">
        <v>190</v>
      </c>
      <c r="BX746" s="319" t="s">
        <v>190</v>
      </c>
      <c r="BY746" s="319" t="s">
        <v>190</v>
      </c>
      <c r="BZ746" s="319" t="s">
        <v>190</v>
      </c>
      <c r="CA746" s="319" t="s">
        <v>190</v>
      </c>
      <c r="CB746" s="319" t="s">
        <v>190</v>
      </c>
      <c r="CC746" s="319" t="s">
        <v>190</v>
      </c>
      <c r="CD746" s="319" t="s">
        <v>190</v>
      </c>
      <c r="CE746" s="319" t="s">
        <v>190</v>
      </c>
      <c r="CF746" s="319" t="s">
        <v>190</v>
      </c>
      <c r="CG746" s="319" t="s">
        <v>190</v>
      </c>
      <c r="CH746" s="319" t="s">
        <v>190</v>
      </c>
      <c r="CI746" s="319" t="s">
        <v>190</v>
      </c>
      <c r="CJ746" s="319" t="s">
        <v>190</v>
      </c>
      <c r="CK746" s="319" t="s">
        <v>190</v>
      </c>
      <c r="CL746" s="319" t="s">
        <v>190</v>
      </c>
      <c r="CM746" s="319" t="s">
        <v>190</v>
      </c>
      <c r="CN746" s="319" t="s">
        <v>190</v>
      </c>
      <c r="CO746" s="319" t="s">
        <v>190</v>
      </c>
      <c r="CP746" s="319" t="s">
        <v>429</v>
      </c>
      <c r="CQ746" s="319" t="s">
        <v>190</v>
      </c>
      <c r="CR746" s="319" t="s">
        <v>190</v>
      </c>
      <c r="CS746" s="319" t="s">
        <v>190</v>
      </c>
      <c r="CT746" s="319" t="s">
        <v>190</v>
      </c>
      <c r="CU746" s="319" t="s">
        <v>190</v>
      </c>
      <c r="CV746" s="319" t="s">
        <v>190</v>
      </c>
      <c r="CW746" s="319" t="s">
        <v>190</v>
      </c>
      <c r="CX746" s="319" t="s">
        <v>190</v>
      </c>
      <c r="CY746" s="319" t="s">
        <v>190</v>
      </c>
      <c r="CZ746" s="319" t="s">
        <v>190</v>
      </c>
      <c r="DA746" s="319" t="s">
        <v>190</v>
      </c>
      <c r="DB746" s="319" t="s">
        <v>190</v>
      </c>
      <c r="DC746" s="319" t="s">
        <v>190</v>
      </c>
      <c r="DD746" s="319" t="s">
        <v>190</v>
      </c>
      <c r="DE746" s="319" t="s">
        <v>190</v>
      </c>
      <c r="DF746" s="319" t="s">
        <v>190</v>
      </c>
      <c r="DG746" s="319" t="s">
        <v>190</v>
      </c>
      <c r="DH746" s="319" t="s">
        <v>190</v>
      </c>
      <c r="DI746" s="319" t="s">
        <v>190</v>
      </c>
      <c r="DJ746" s="319" t="s">
        <v>190</v>
      </c>
      <c r="DK746" s="319" t="s">
        <v>190</v>
      </c>
      <c r="DL746" s="319" t="s">
        <v>190</v>
      </c>
      <c r="DM746" s="319" t="s">
        <v>190</v>
      </c>
      <c r="DN746" s="319" t="s">
        <v>429</v>
      </c>
      <c r="DO746" s="319" t="s">
        <v>190</v>
      </c>
      <c r="DP746" s="319" t="s">
        <v>429</v>
      </c>
      <c r="DQ746" s="319" t="s">
        <v>429</v>
      </c>
      <c r="DR746" s="319" t="s">
        <v>429</v>
      </c>
      <c r="DS746" s="319" t="s">
        <v>429</v>
      </c>
      <c r="DT746" s="319" t="s">
        <v>429</v>
      </c>
      <c r="DU746" s="319" t="s">
        <v>429</v>
      </c>
      <c r="DV746" s="319" t="s">
        <v>173</v>
      </c>
      <c r="DW746" s="319" t="s">
        <v>429</v>
      </c>
      <c r="DX746" s="319" t="s">
        <v>429</v>
      </c>
      <c r="DY746" s="319" t="s">
        <v>429</v>
      </c>
      <c r="DZ746" s="319" t="s">
        <v>429</v>
      </c>
      <c r="EA746" s="319" t="s">
        <v>429</v>
      </c>
      <c r="EB746" s="319" t="s">
        <v>429</v>
      </c>
      <c r="EC746" s="319" t="s">
        <v>429</v>
      </c>
      <c r="ED746" s="319" t="s">
        <v>429</v>
      </c>
      <c r="EE746" s="319" t="s">
        <v>190</v>
      </c>
      <c r="EF746" s="319" t="s">
        <v>190</v>
      </c>
      <c r="EG746" s="319" t="s">
        <v>190</v>
      </c>
      <c r="EH746" s="319" t="s">
        <v>190</v>
      </c>
      <c r="EI746" s="319" t="s">
        <v>190</v>
      </c>
      <c r="EJ746" s="319" t="s">
        <v>190</v>
      </c>
      <c r="EK746" s="319" t="s">
        <v>190</v>
      </c>
      <c r="EL746" s="319" t="s">
        <v>190</v>
      </c>
      <c r="EM746" s="319" t="s">
        <v>190</v>
      </c>
      <c r="EN746" s="319" t="s">
        <v>190</v>
      </c>
      <c r="EO746" s="319" t="s">
        <v>190</v>
      </c>
      <c r="EP746" s="319" t="s">
        <v>190</v>
      </c>
      <c r="EQ746" s="319" t="s">
        <v>190</v>
      </c>
      <c r="ER746" s="319" t="s">
        <v>190</v>
      </c>
      <c r="ES746" s="319" t="s">
        <v>190</v>
      </c>
      <c r="ET746" s="319" t="s">
        <v>190</v>
      </c>
      <c r="EU746" s="319" t="s">
        <v>190</v>
      </c>
      <c r="EV746" s="319" t="s">
        <v>190</v>
      </c>
      <c r="EW746" s="319" t="s">
        <v>190</v>
      </c>
      <c r="EX746" s="319" t="s">
        <v>190</v>
      </c>
      <c r="EY746" s="319" t="s">
        <v>190</v>
      </c>
      <c r="EZ746" s="319" t="s">
        <v>190</v>
      </c>
      <c r="FA746" s="319" t="s">
        <v>190</v>
      </c>
      <c r="FB746" s="319" t="s">
        <v>190</v>
      </c>
      <c r="FC746" s="319" t="s">
        <v>190</v>
      </c>
      <c r="FD746" s="319" t="s">
        <v>190</v>
      </c>
      <c r="FE746" s="319" t="s">
        <v>190</v>
      </c>
      <c r="FF746" s="319" t="s">
        <v>190</v>
      </c>
      <c r="FG746" s="319" t="s">
        <v>190</v>
      </c>
      <c r="FH746" s="319" t="s">
        <v>190</v>
      </c>
      <c r="FI746" s="319" t="s">
        <v>190</v>
      </c>
      <c r="FJ746" s="319" t="s">
        <v>190</v>
      </c>
      <c r="FK746" s="319" t="s">
        <v>190</v>
      </c>
      <c r="FL746" s="319" t="s">
        <v>190</v>
      </c>
      <c r="FM746" s="319" t="s">
        <v>190</v>
      </c>
      <c r="FN746" s="319" t="s">
        <v>190</v>
      </c>
      <c r="FO746" s="319" t="s">
        <v>190</v>
      </c>
      <c r="FP746" s="319" t="s">
        <v>190</v>
      </c>
      <c r="FQ746" s="319" t="s">
        <v>190</v>
      </c>
      <c r="FR746" s="319" t="s">
        <v>190</v>
      </c>
      <c r="FS746" s="319" t="s">
        <v>429</v>
      </c>
      <c r="FT746" s="319" t="s">
        <v>190</v>
      </c>
      <c r="FU746" s="319" t="s">
        <v>190</v>
      </c>
      <c r="FV746" s="319" t="s">
        <v>190</v>
      </c>
      <c r="FW746" s="319" t="s">
        <v>190</v>
      </c>
      <c r="FX746" s="319" t="s">
        <v>190</v>
      </c>
      <c r="FY746" s="319" t="s">
        <v>190</v>
      </c>
      <c r="FZ746" s="319" t="s">
        <v>190</v>
      </c>
      <c r="GA746" s="319" t="s">
        <v>190</v>
      </c>
      <c r="GB746" s="319" t="s">
        <v>190</v>
      </c>
      <c r="GC746" s="319" t="s">
        <v>190</v>
      </c>
      <c r="GD746" s="319" t="s">
        <v>190</v>
      </c>
      <c r="GE746" s="319" t="s">
        <v>190</v>
      </c>
      <c r="GF746" s="319" t="s">
        <v>190</v>
      </c>
      <c r="GG746" s="319" t="s">
        <v>190</v>
      </c>
      <c r="GH746" s="319" t="s">
        <v>190</v>
      </c>
      <c r="GI746" s="319" t="s">
        <v>190</v>
      </c>
      <c r="GJ746" s="319" t="s">
        <v>190</v>
      </c>
      <c r="GK746" s="319" t="s">
        <v>429</v>
      </c>
      <c r="GL746" s="319" t="s">
        <v>190</v>
      </c>
      <c r="GM746" s="319" t="s">
        <v>190</v>
      </c>
      <c r="GN746" s="319" t="s">
        <v>190</v>
      </c>
      <c r="GO746" s="319" t="s">
        <v>190</v>
      </c>
      <c r="GP746" s="319" t="s">
        <v>190</v>
      </c>
      <c r="GQ746" s="319" t="s">
        <v>190</v>
      </c>
      <c r="GR746" s="319" t="s">
        <v>190</v>
      </c>
      <c r="GS746" s="319" t="s">
        <v>190</v>
      </c>
      <c r="GT746" s="319" t="s">
        <v>190</v>
      </c>
      <c r="GU746" s="319" t="s">
        <v>190</v>
      </c>
      <c r="GV746" s="319" t="s">
        <v>190</v>
      </c>
      <c r="GW746" s="319" t="s">
        <v>190</v>
      </c>
      <c r="GX746" s="319" t="s">
        <v>190</v>
      </c>
      <c r="GY746" s="319" t="s">
        <v>190</v>
      </c>
      <c r="GZ746" s="319" t="s">
        <v>190</v>
      </c>
      <c r="HA746" s="319" t="s">
        <v>190</v>
      </c>
      <c r="HB746" s="319" t="s">
        <v>190</v>
      </c>
      <c r="HC746" s="319" t="s">
        <v>190</v>
      </c>
      <c r="HD746" s="319" t="s">
        <v>190</v>
      </c>
      <c r="HE746" s="319" t="s">
        <v>190</v>
      </c>
      <c r="HF746" s="319" t="s">
        <v>190</v>
      </c>
      <c r="HG746" s="319" t="s">
        <v>190</v>
      </c>
      <c r="HH746" s="319" t="s">
        <v>190</v>
      </c>
      <c r="HI746" s="319" t="s">
        <v>190</v>
      </c>
      <c r="HJ746" s="319" t="s">
        <v>190</v>
      </c>
      <c r="HK746" s="319" t="s">
        <v>190</v>
      </c>
      <c r="HL746" s="319" t="s">
        <v>190</v>
      </c>
      <c r="HM746" s="319" t="s">
        <v>190</v>
      </c>
      <c r="HN746" s="319" t="s">
        <v>190</v>
      </c>
      <c r="HO746" s="319" t="s">
        <v>190</v>
      </c>
      <c r="HP746" s="319" t="s">
        <v>190</v>
      </c>
      <c r="HQ746" s="319" t="s">
        <v>190</v>
      </c>
      <c r="HR746" s="319" t="s">
        <v>190</v>
      </c>
      <c r="HS746" s="319" t="s">
        <v>190</v>
      </c>
      <c r="HT746" s="319" t="s">
        <v>190</v>
      </c>
      <c r="HU746" s="319" t="s">
        <v>190</v>
      </c>
      <c r="HV746" s="319" t="s">
        <v>190</v>
      </c>
      <c r="HW746" s="319" t="s">
        <v>190</v>
      </c>
      <c r="HX746" s="319" t="s">
        <v>190</v>
      </c>
      <c r="HY746" s="319" t="s">
        <v>190</v>
      </c>
      <c r="HZ746" s="319" t="s">
        <v>190</v>
      </c>
      <c r="IA746" s="319" t="s">
        <v>190</v>
      </c>
      <c r="IB746" s="319" t="s">
        <v>190</v>
      </c>
      <c r="IC746" s="319" t="s">
        <v>190</v>
      </c>
      <c r="ID746" s="319" t="s">
        <v>190</v>
      </c>
      <c r="IE746" s="319" t="s">
        <v>190</v>
      </c>
      <c r="IF746" s="319" t="s">
        <v>190</v>
      </c>
      <c r="IG746" s="319" t="s">
        <v>190</v>
      </c>
      <c r="IH746" s="319" t="s">
        <v>190</v>
      </c>
      <c r="II746" s="319" t="s">
        <v>190</v>
      </c>
      <c r="IJ746" s="319" t="s">
        <v>3480</v>
      </c>
      <c r="IK746" s="321">
        <v>41828</v>
      </c>
      <c r="IL746" s="321">
        <v>41830</v>
      </c>
      <c r="IM746" s="321">
        <v>41890</v>
      </c>
      <c r="IN746" s="319">
        <v>2</v>
      </c>
      <c r="IO746" s="319" t="s">
        <v>173</v>
      </c>
      <c r="IP746" s="319" t="s">
        <v>173</v>
      </c>
      <c r="IQ746" s="321" t="s">
        <v>173</v>
      </c>
      <c r="IR746" s="320" t="s">
        <v>173</v>
      </c>
      <c r="IS746" s="322" t="s">
        <v>173</v>
      </c>
      <c r="IT746" s="319" t="s">
        <v>173</v>
      </c>
    </row>
    <row r="747" spans="1:254" s="271" customFormat="1" x14ac:dyDescent="0.25">
      <c r="A747" s="318" t="str">
        <f>HYPERLINK("http://www.ofsted.gov.uk/inspection-reports/find-inspection-report/provider/ELS/139997 ","Ofsted School Webpage")</f>
        <v>Ofsted School Webpage</v>
      </c>
      <c r="B747" s="319">
        <v>139997</v>
      </c>
      <c r="C747" s="319">
        <v>9316014</v>
      </c>
      <c r="D747" s="319" t="s">
        <v>2237</v>
      </c>
      <c r="E747" s="319" t="s">
        <v>167</v>
      </c>
      <c r="F747" s="319" t="s">
        <v>81</v>
      </c>
      <c r="G747" s="319" t="s">
        <v>81</v>
      </c>
      <c r="H747" s="319" t="s">
        <v>81</v>
      </c>
      <c r="I747" s="319" t="s">
        <v>78</v>
      </c>
      <c r="J747" s="319" t="s">
        <v>424</v>
      </c>
      <c r="K747" s="319" t="s">
        <v>514</v>
      </c>
      <c r="L747" s="319" t="s">
        <v>514</v>
      </c>
      <c r="M747" s="319" t="s">
        <v>1016</v>
      </c>
      <c r="N747" s="319" t="s">
        <v>3481</v>
      </c>
      <c r="O747" s="319" t="s">
        <v>2238</v>
      </c>
      <c r="P747" s="319">
        <v>30</v>
      </c>
      <c r="Q747" s="319" t="s">
        <v>2776</v>
      </c>
      <c r="R747" s="320">
        <v>10033962</v>
      </c>
      <c r="S747" s="321">
        <v>43172</v>
      </c>
      <c r="T747" s="321">
        <v>43174</v>
      </c>
      <c r="U747" s="321">
        <v>43207</v>
      </c>
      <c r="V747" s="319" t="s">
        <v>425</v>
      </c>
      <c r="W747" s="319" t="s">
        <v>2767</v>
      </c>
      <c r="X747" s="319">
        <v>2</v>
      </c>
      <c r="Y747" s="319" t="s">
        <v>173</v>
      </c>
      <c r="Z747" s="319" t="s">
        <v>173</v>
      </c>
      <c r="AA747" s="319" t="s">
        <v>173</v>
      </c>
      <c r="AB747" s="319">
        <v>2</v>
      </c>
      <c r="AC747" s="319" t="s">
        <v>169</v>
      </c>
      <c r="AD747" s="319" t="s">
        <v>173</v>
      </c>
      <c r="AE747" s="319">
        <v>0</v>
      </c>
      <c r="AF747" s="319" t="s">
        <v>427</v>
      </c>
      <c r="AG747" s="319" t="s">
        <v>171</v>
      </c>
      <c r="AH747" s="319" t="s">
        <v>190</v>
      </c>
      <c r="AI747" s="319" t="s">
        <v>190</v>
      </c>
      <c r="AJ747" s="319" t="s">
        <v>190</v>
      </c>
      <c r="AK747" s="319" t="s">
        <v>190</v>
      </c>
      <c r="AL747" s="319" t="s">
        <v>190</v>
      </c>
      <c r="AM747" s="319" t="s">
        <v>190</v>
      </c>
      <c r="AN747" s="319" t="s">
        <v>190</v>
      </c>
      <c r="AO747" s="319" t="s">
        <v>190</v>
      </c>
      <c r="AP747" s="319" t="s">
        <v>190</v>
      </c>
      <c r="AQ747" s="319" t="s">
        <v>190</v>
      </c>
      <c r="AR747" s="319" t="s">
        <v>190</v>
      </c>
      <c r="AS747" s="319" t="s">
        <v>190</v>
      </c>
      <c r="AT747" s="319" t="s">
        <v>190</v>
      </c>
      <c r="AU747" s="319" t="s">
        <v>190</v>
      </c>
      <c r="AV747" s="319" t="s">
        <v>190</v>
      </c>
      <c r="AW747" s="319" t="s">
        <v>190</v>
      </c>
      <c r="AX747" s="319" t="s">
        <v>428</v>
      </c>
      <c r="AY747" s="319" t="s">
        <v>190</v>
      </c>
      <c r="AZ747" s="319" t="s">
        <v>190</v>
      </c>
      <c r="BA747" s="319" t="s">
        <v>190</v>
      </c>
      <c r="BB747" s="319" t="s">
        <v>190</v>
      </c>
      <c r="BC747" s="319" t="s">
        <v>190</v>
      </c>
      <c r="BD747" s="319" t="s">
        <v>190</v>
      </c>
      <c r="BE747" s="319" t="s">
        <v>190</v>
      </c>
      <c r="BF747" s="319" t="s">
        <v>428</v>
      </c>
      <c r="BG747" s="319" t="s">
        <v>190</v>
      </c>
      <c r="BH747" s="319" t="s">
        <v>190</v>
      </c>
      <c r="BI747" s="319" t="s">
        <v>190</v>
      </c>
      <c r="BJ747" s="319" t="s">
        <v>190</v>
      </c>
      <c r="BK747" s="319" t="s">
        <v>190</v>
      </c>
      <c r="BL747" s="319" t="s">
        <v>190</v>
      </c>
      <c r="BM747" s="319" t="s">
        <v>190</v>
      </c>
      <c r="BN747" s="319" t="s">
        <v>190</v>
      </c>
      <c r="BO747" s="319" t="s">
        <v>190</v>
      </c>
      <c r="BP747" s="319" t="s">
        <v>190</v>
      </c>
      <c r="BQ747" s="319" t="s">
        <v>190</v>
      </c>
      <c r="BR747" s="319" t="s">
        <v>190</v>
      </c>
      <c r="BS747" s="319" t="s">
        <v>190</v>
      </c>
      <c r="BT747" s="319" t="s">
        <v>190</v>
      </c>
      <c r="BU747" s="319" t="s">
        <v>190</v>
      </c>
      <c r="BV747" s="319" t="s">
        <v>190</v>
      </c>
      <c r="BW747" s="319" t="s">
        <v>190</v>
      </c>
      <c r="BX747" s="319" t="s">
        <v>190</v>
      </c>
      <c r="BY747" s="319" t="s">
        <v>190</v>
      </c>
      <c r="BZ747" s="319" t="s">
        <v>190</v>
      </c>
      <c r="CA747" s="319" t="s">
        <v>190</v>
      </c>
      <c r="CB747" s="319" t="s">
        <v>190</v>
      </c>
      <c r="CC747" s="319" t="s">
        <v>190</v>
      </c>
      <c r="CD747" s="319" t="s">
        <v>190</v>
      </c>
      <c r="CE747" s="319" t="s">
        <v>190</v>
      </c>
      <c r="CF747" s="319" t="s">
        <v>190</v>
      </c>
      <c r="CG747" s="319" t="s">
        <v>190</v>
      </c>
      <c r="CH747" s="319" t="s">
        <v>190</v>
      </c>
      <c r="CI747" s="319" t="s">
        <v>190</v>
      </c>
      <c r="CJ747" s="319" t="s">
        <v>190</v>
      </c>
      <c r="CK747" s="319" t="s">
        <v>190</v>
      </c>
      <c r="CL747" s="319" t="s">
        <v>190</v>
      </c>
      <c r="CM747" s="319" t="s">
        <v>190</v>
      </c>
      <c r="CN747" s="319" t="s">
        <v>428</v>
      </c>
      <c r="CO747" s="319" t="s">
        <v>428</v>
      </c>
      <c r="CP747" s="319" t="s">
        <v>428</v>
      </c>
      <c r="CQ747" s="319" t="s">
        <v>190</v>
      </c>
      <c r="CR747" s="319" t="s">
        <v>190</v>
      </c>
      <c r="CS747" s="319" t="s">
        <v>190</v>
      </c>
      <c r="CT747" s="319" t="s">
        <v>190</v>
      </c>
      <c r="CU747" s="319" t="s">
        <v>190</v>
      </c>
      <c r="CV747" s="319" t="s">
        <v>190</v>
      </c>
      <c r="CW747" s="319" t="s">
        <v>190</v>
      </c>
      <c r="CX747" s="319" t="s">
        <v>190</v>
      </c>
      <c r="CY747" s="319" t="s">
        <v>190</v>
      </c>
      <c r="CZ747" s="319" t="s">
        <v>190</v>
      </c>
      <c r="DA747" s="319" t="s">
        <v>190</v>
      </c>
      <c r="DB747" s="319" t="s">
        <v>190</v>
      </c>
      <c r="DC747" s="319" t="s">
        <v>190</v>
      </c>
      <c r="DD747" s="319" t="s">
        <v>190</v>
      </c>
      <c r="DE747" s="319" t="s">
        <v>190</v>
      </c>
      <c r="DF747" s="319" t="s">
        <v>190</v>
      </c>
      <c r="DG747" s="319" t="s">
        <v>190</v>
      </c>
      <c r="DH747" s="319" t="s">
        <v>190</v>
      </c>
      <c r="DI747" s="319" t="s">
        <v>190</v>
      </c>
      <c r="DJ747" s="319" t="s">
        <v>190</v>
      </c>
      <c r="DK747" s="319" t="s">
        <v>190</v>
      </c>
      <c r="DL747" s="319" t="s">
        <v>190</v>
      </c>
      <c r="DM747" s="319" t="s">
        <v>190</v>
      </c>
      <c r="DN747" s="319" t="s">
        <v>190</v>
      </c>
      <c r="DO747" s="319" t="s">
        <v>190</v>
      </c>
      <c r="DP747" s="319" t="s">
        <v>428</v>
      </c>
      <c r="DQ747" s="319" t="s">
        <v>428</v>
      </c>
      <c r="DR747" s="319" t="s">
        <v>428</v>
      </c>
      <c r="DS747" s="319" t="s">
        <v>428</v>
      </c>
      <c r="DT747" s="319" t="s">
        <v>428</v>
      </c>
      <c r="DU747" s="319" t="s">
        <v>428</v>
      </c>
      <c r="DV747" s="319" t="s">
        <v>173</v>
      </c>
      <c r="DW747" s="319" t="s">
        <v>428</v>
      </c>
      <c r="DX747" s="319" t="s">
        <v>428</v>
      </c>
      <c r="DY747" s="319" t="s">
        <v>428</v>
      </c>
      <c r="DZ747" s="319" t="s">
        <v>428</v>
      </c>
      <c r="EA747" s="319" t="s">
        <v>428</v>
      </c>
      <c r="EB747" s="319" t="s">
        <v>428</v>
      </c>
      <c r="EC747" s="319" t="s">
        <v>428</v>
      </c>
      <c r="ED747" s="319" t="s">
        <v>428</v>
      </c>
      <c r="EE747" s="319" t="s">
        <v>190</v>
      </c>
      <c r="EF747" s="319" t="s">
        <v>190</v>
      </c>
      <c r="EG747" s="319" t="s">
        <v>190</v>
      </c>
      <c r="EH747" s="319" t="s">
        <v>190</v>
      </c>
      <c r="EI747" s="319" t="s">
        <v>190</v>
      </c>
      <c r="EJ747" s="319" t="s">
        <v>190</v>
      </c>
      <c r="EK747" s="319" t="s">
        <v>190</v>
      </c>
      <c r="EL747" s="319" t="s">
        <v>190</v>
      </c>
      <c r="EM747" s="319" t="s">
        <v>190</v>
      </c>
      <c r="EN747" s="319" t="s">
        <v>190</v>
      </c>
      <c r="EO747" s="319" t="s">
        <v>190</v>
      </c>
      <c r="EP747" s="319" t="s">
        <v>190</v>
      </c>
      <c r="EQ747" s="319" t="s">
        <v>190</v>
      </c>
      <c r="ER747" s="319" t="s">
        <v>190</v>
      </c>
      <c r="ES747" s="319" t="s">
        <v>190</v>
      </c>
      <c r="ET747" s="319" t="s">
        <v>190</v>
      </c>
      <c r="EU747" s="319" t="s">
        <v>190</v>
      </c>
      <c r="EV747" s="319" t="s">
        <v>190</v>
      </c>
      <c r="EW747" s="319" t="s">
        <v>190</v>
      </c>
      <c r="EX747" s="319" t="s">
        <v>190</v>
      </c>
      <c r="EY747" s="319" t="s">
        <v>190</v>
      </c>
      <c r="EZ747" s="319" t="s">
        <v>190</v>
      </c>
      <c r="FA747" s="319" t="s">
        <v>190</v>
      </c>
      <c r="FB747" s="319" t="s">
        <v>428</v>
      </c>
      <c r="FC747" s="319" t="s">
        <v>428</v>
      </c>
      <c r="FD747" s="319" t="s">
        <v>428</v>
      </c>
      <c r="FE747" s="319" t="s">
        <v>428</v>
      </c>
      <c r="FF747" s="319" t="s">
        <v>428</v>
      </c>
      <c r="FG747" s="319" t="s">
        <v>428</v>
      </c>
      <c r="FH747" s="319" t="s">
        <v>190</v>
      </c>
      <c r="FI747" s="319" t="s">
        <v>190</v>
      </c>
      <c r="FJ747" s="319" t="s">
        <v>190</v>
      </c>
      <c r="FK747" s="319" t="s">
        <v>190</v>
      </c>
      <c r="FL747" s="319" t="s">
        <v>190</v>
      </c>
      <c r="FM747" s="319" t="s">
        <v>190</v>
      </c>
      <c r="FN747" s="319" t="s">
        <v>190</v>
      </c>
      <c r="FO747" s="319" t="s">
        <v>190</v>
      </c>
      <c r="FP747" s="319" t="s">
        <v>190</v>
      </c>
      <c r="FQ747" s="319" t="s">
        <v>190</v>
      </c>
      <c r="FR747" s="319" t="s">
        <v>190</v>
      </c>
      <c r="FS747" s="319" t="s">
        <v>428</v>
      </c>
      <c r="FT747" s="319" t="s">
        <v>190</v>
      </c>
      <c r="FU747" s="319" t="s">
        <v>190</v>
      </c>
      <c r="FV747" s="319" t="s">
        <v>190</v>
      </c>
      <c r="FW747" s="319" t="s">
        <v>190</v>
      </c>
      <c r="FX747" s="319" t="s">
        <v>190</v>
      </c>
      <c r="FY747" s="319" t="s">
        <v>190</v>
      </c>
      <c r="FZ747" s="319" t="s">
        <v>190</v>
      </c>
      <c r="GA747" s="319" t="s">
        <v>190</v>
      </c>
      <c r="GB747" s="319" t="s">
        <v>190</v>
      </c>
      <c r="GC747" s="319" t="s">
        <v>190</v>
      </c>
      <c r="GD747" s="319" t="s">
        <v>190</v>
      </c>
      <c r="GE747" s="319" t="s">
        <v>190</v>
      </c>
      <c r="GF747" s="319" t="s">
        <v>190</v>
      </c>
      <c r="GG747" s="319" t="s">
        <v>190</v>
      </c>
      <c r="GH747" s="319" t="s">
        <v>190</v>
      </c>
      <c r="GI747" s="319" t="s">
        <v>190</v>
      </c>
      <c r="GJ747" s="319" t="s">
        <v>190</v>
      </c>
      <c r="GK747" s="319" t="s">
        <v>428</v>
      </c>
      <c r="GL747" s="319" t="s">
        <v>190</v>
      </c>
      <c r="GM747" s="319" t="s">
        <v>190</v>
      </c>
      <c r="GN747" s="319" t="s">
        <v>190</v>
      </c>
      <c r="GO747" s="319" t="s">
        <v>190</v>
      </c>
      <c r="GP747" s="319" t="s">
        <v>190</v>
      </c>
      <c r="GQ747" s="319" t="s">
        <v>190</v>
      </c>
      <c r="GR747" s="319" t="s">
        <v>190</v>
      </c>
      <c r="GS747" s="319" t="s">
        <v>190</v>
      </c>
      <c r="GT747" s="319" t="s">
        <v>190</v>
      </c>
      <c r="GU747" s="319" t="s">
        <v>190</v>
      </c>
      <c r="GV747" s="319" t="s">
        <v>190</v>
      </c>
      <c r="GW747" s="319" t="s">
        <v>190</v>
      </c>
      <c r="GX747" s="319" t="s">
        <v>190</v>
      </c>
      <c r="GY747" s="319" t="s">
        <v>190</v>
      </c>
      <c r="GZ747" s="319" t="s">
        <v>428</v>
      </c>
      <c r="HA747" s="319" t="s">
        <v>190</v>
      </c>
      <c r="HB747" s="319" t="s">
        <v>428</v>
      </c>
      <c r="HC747" s="319" t="s">
        <v>190</v>
      </c>
      <c r="HD747" s="319" t="s">
        <v>190</v>
      </c>
      <c r="HE747" s="319" t="s">
        <v>190</v>
      </c>
      <c r="HF747" s="319" t="s">
        <v>190</v>
      </c>
      <c r="HG747" s="319" t="s">
        <v>190</v>
      </c>
      <c r="HH747" s="319" t="s">
        <v>190</v>
      </c>
      <c r="HI747" s="319" t="s">
        <v>190</v>
      </c>
      <c r="HJ747" s="319" t="s">
        <v>190</v>
      </c>
      <c r="HK747" s="319" t="s">
        <v>190</v>
      </c>
      <c r="HL747" s="319" t="s">
        <v>428</v>
      </c>
      <c r="HM747" s="319" t="s">
        <v>428</v>
      </c>
      <c r="HN747" s="319" t="s">
        <v>428</v>
      </c>
      <c r="HO747" s="319" t="s">
        <v>428</v>
      </c>
      <c r="HP747" s="319" t="s">
        <v>190</v>
      </c>
      <c r="HQ747" s="319" t="s">
        <v>190</v>
      </c>
      <c r="HR747" s="319" t="s">
        <v>190</v>
      </c>
      <c r="HS747" s="319" t="s">
        <v>190</v>
      </c>
      <c r="HT747" s="319" t="s">
        <v>190</v>
      </c>
      <c r="HU747" s="319" t="s">
        <v>190</v>
      </c>
      <c r="HV747" s="319" t="s">
        <v>190</v>
      </c>
      <c r="HW747" s="319" t="s">
        <v>190</v>
      </c>
      <c r="HX747" s="319" t="s">
        <v>190</v>
      </c>
      <c r="HY747" s="319" t="s">
        <v>190</v>
      </c>
      <c r="HZ747" s="319" t="s">
        <v>190</v>
      </c>
      <c r="IA747" s="319" t="s">
        <v>190</v>
      </c>
      <c r="IB747" s="319" t="s">
        <v>190</v>
      </c>
      <c r="IC747" s="319" t="s">
        <v>190</v>
      </c>
      <c r="ID747" s="319" t="s">
        <v>190</v>
      </c>
      <c r="IE747" s="319" t="s">
        <v>190</v>
      </c>
      <c r="IF747" s="319" t="s">
        <v>190</v>
      </c>
      <c r="IG747" s="319" t="s">
        <v>190</v>
      </c>
      <c r="IH747" s="319" t="s">
        <v>190</v>
      </c>
      <c r="II747" s="319" t="s">
        <v>190</v>
      </c>
      <c r="IJ747" s="319" t="s">
        <v>3482</v>
      </c>
      <c r="IK747" s="321">
        <v>41800</v>
      </c>
      <c r="IL747" s="321">
        <v>41802</v>
      </c>
      <c r="IM747" s="321">
        <v>41821</v>
      </c>
      <c r="IN747" s="319">
        <v>2</v>
      </c>
      <c r="IO747" s="319" t="s">
        <v>173</v>
      </c>
      <c r="IP747" s="319" t="s">
        <v>173</v>
      </c>
      <c r="IQ747" s="319" t="s">
        <v>173</v>
      </c>
      <c r="IR747" s="320" t="s">
        <v>173</v>
      </c>
      <c r="IS747" s="320" t="s">
        <v>173</v>
      </c>
      <c r="IT747" s="319" t="s">
        <v>173</v>
      </c>
    </row>
    <row r="748" spans="1:254" s="271" customFormat="1" x14ac:dyDescent="0.25">
      <c r="A748" s="318" t="str">
        <f>HYPERLINK("http://www.ofsted.gov.uk/inspection-reports/find-inspection-report/provider/ELS/140036 ","Ofsted School Webpage")</f>
        <v>Ofsted School Webpage</v>
      </c>
      <c r="B748" s="319">
        <v>140036</v>
      </c>
      <c r="C748" s="319">
        <v>3556000</v>
      </c>
      <c r="D748" s="319" t="s">
        <v>2239</v>
      </c>
      <c r="E748" s="319" t="s">
        <v>167</v>
      </c>
      <c r="F748" s="319" t="s">
        <v>70</v>
      </c>
      <c r="G748" s="319" t="s">
        <v>69</v>
      </c>
      <c r="H748" s="319" t="s">
        <v>70</v>
      </c>
      <c r="I748" s="319" t="s">
        <v>69</v>
      </c>
      <c r="J748" s="319" t="s">
        <v>424</v>
      </c>
      <c r="K748" s="319" t="s">
        <v>431</v>
      </c>
      <c r="L748" s="319" t="s">
        <v>431</v>
      </c>
      <c r="M748" s="319" t="s">
        <v>533</v>
      </c>
      <c r="N748" s="319" t="s">
        <v>3410</v>
      </c>
      <c r="O748" s="319" t="s">
        <v>2240</v>
      </c>
      <c r="P748" s="319">
        <v>59</v>
      </c>
      <c r="Q748" s="319" t="s">
        <v>2766</v>
      </c>
      <c r="R748" s="320">
        <v>10038935</v>
      </c>
      <c r="S748" s="321">
        <v>43256</v>
      </c>
      <c r="T748" s="321">
        <v>43258</v>
      </c>
      <c r="U748" s="321">
        <v>43293</v>
      </c>
      <c r="V748" s="319" t="s">
        <v>425</v>
      </c>
      <c r="W748" s="319" t="s">
        <v>2767</v>
      </c>
      <c r="X748" s="319">
        <v>3</v>
      </c>
      <c r="Y748" s="319" t="s">
        <v>173</v>
      </c>
      <c r="Z748" s="319" t="s">
        <v>173</v>
      </c>
      <c r="AA748" s="319" t="s">
        <v>173</v>
      </c>
      <c r="AB748" s="319">
        <v>3</v>
      </c>
      <c r="AC748" s="319" t="s">
        <v>169</v>
      </c>
      <c r="AD748" s="319" t="s">
        <v>173</v>
      </c>
      <c r="AE748" s="319" t="s">
        <v>173</v>
      </c>
      <c r="AF748" s="319" t="s">
        <v>447</v>
      </c>
      <c r="AG748" s="319" t="s">
        <v>171</v>
      </c>
      <c r="AH748" s="319" t="s">
        <v>190</v>
      </c>
      <c r="AI748" s="319" t="s">
        <v>190</v>
      </c>
      <c r="AJ748" s="319" t="s">
        <v>190</v>
      </c>
      <c r="AK748" s="319" t="s">
        <v>190</v>
      </c>
      <c r="AL748" s="319" t="s">
        <v>190</v>
      </c>
      <c r="AM748" s="319" t="s">
        <v>190</v>
      </c>
      <c r="AN748" s="319" t="s">
        <v>190</v>
      </c>
      <c r="AO748" s="319" t="s">
        <v>190</v>
      </c>
      <c r="AP748" s="319" t="s">
        <v>190</v>
      </c>
      <c r="AQ748" s="319" t="s">
        <v>190</v>
      </c>
      <c r="AR748" s="319" t="s">
        <v>190</v>
      </c>
      <c r="AS748" s="319" t="s">
        <v>190</v>
      </c>
      <c r="AT748" s="319" t="s">
        <v>190</v>
      </c>
      <c r="AU748" s="319" t="s">
        <v>190</v>
      </c>
      <c r="AV748" s="319" t="s">
        <v>190</v>
      </c>
      <c r="AW748" s="319" t="s">
        <v>190</v>
      </c>
      <c r="AX748" s="319" t="s">
        <v>428</v>
      </c>
      <c r="AY748" s="319" t="s">
        <v>190</v>
      </c>
      <c r="AZ748" s="319" t="s">
        <v>190</v>
      </c>
      <c r="BA748" s="319" t="s">
        <v>190</v>
      </c>
      <c r="BB748" s="319" t="s">
        <v>190</v>
      </c>
      <c r="BC748" s="319" t="s">
        <v>190</v>
      </c>
      <c r="BD748" s="319" t="s">
        <v>190</v>
      </c>
      <c r="BE748" s="319" t="s">
        <v>190</v>
      </c>
      <c r="BF748" s="319" t="s">
        <v>428</v>
      </c>
      <c r="BG748" s="319" t="s">
        <v>428</v>
      </c>
      <c r="BH748" s="319" t="s">
        <v>190</v>
      </c>
      <c r="BI748" s="319" t="s">
        <v>190</v>
      </c>
      <c r="BJ748" s="319" t="s">
        <v>190</v>
      </c>
      <c r="BK748" s="319" t="s">
        <v>190</v>
      </c>
      <c r="BL748" s="319" t="s">
        <v>190</v>
      </c>
      <c r="BM748" s="319" t="s">
        <v>190</v>
      </c>
      <c r="BN748" s="319" t="s">
        <v>190</v>
      </c>
      <c r="BO748" s="319" t="s">
        <v>190</v>
      </c>
      <c r="BP748" s="319" t="s">
        <v>190</v>
      </c>
      <c r="BQ748" s="319" t="s">
        <v>190</v>
      </c>
      <c r="BR748" s="319" t="s">
        <v>190</v>
      </c>
      <c r="BS748" s="319" t="s">
        <v>190</v>
      </c>
      <c r="BT748" s="319" t="s">
        <v>190</v>
      </c>
      <c r="BU748" s="319" t="s">
        <v>190</v>
      </c>
      <c r="BV748" s="319" t="s">
        <v>190</v>
      </c>
      <c r="BW748" s="319" t="s">
        <v>190</v>
      </c>
      <c r="BX748" s="319" t="s">
        <v>190</v>
      </c>
      <c r="BY748" s="319" t="s">
        <v>190</v>
      </c>
      <c r="BZ748" s="319" t="s">
        <v>190</v>
      </c>
      <c r="CA748" s="319" t="s">
        <v>190</v>
      </c>
      <c r="CB748" s="319" t="s">
        <v>190</v>
      </c>
      <c r="CC748" s="319" t="s">
        <v>190</v>
      </c>
      <c r="CD748" s="319" t="s">
        <v>190</v>
      </c>
      <c r="CE748" s="319" t="s">
        <v>190</v>
      </c>
      <c r="CF748" s="319" t="s">
        <v>190</v>
      </c>
      <c r="CG748" s="319" t="s">
        <v>190</v>
      </c>
      <c r="CH748" s="319" t="s">
        <v>190</v>
      </c>
      <c r="CI748" s="319" t="s">
        <v>190</v>
      </c>
      <c r="CJ748" s="319" t="s">
        <v>190</v>
      </c>
      <c r="CK748" s="319" t="s">
        <v>190</v>
      </c>
      <c r="CL748" s="319" t="s">
        <v>190</v>
      </c>
      <c r="CM748" s="319" t="s">
        <v>190</v>
      </c>
      <c r="CN748" s="319" t="s">
        <v>428</v>
      </c>
      <c r="CO748" s="319" t="s">
        <v>428</v>
      </c>
      <c r="CP748" s="319" t="s">
        <v>428</v>
      </c>
      <c r="CQ748" s="319" t="s">
        <v>190</v>
      </c>
      <c r="CR748" s="319" t="s">
        <v>190</v>
      </c>
      <c r="CS748" s="319" t="s">
        <v>190</v>
      </c>
      <c r="CT748" s="319" t="s">
        <v>190</v>
      </c>
      <c r="CU748" s="319" t="s">
        <v>190</v>
      </c>
      <c r="CV748" s="319" t="s">
        <v>190</v>
      </c>
      <c r="CW748" s="319" t="s">
        <v>190</v>
      </c>
      <c r="CX748" s="319" t="s">
        <v>190</v>
      </c>
      <c r="CY748" s="319" t="s">
        <v>190</v>
      </c>
      <c r="CZ748" s="319" t="s">
        <v>190</v>
      </c>
      <c r="DA748" s="319" t="s">
        <v>190</v>
      </c>
      <c r="DB748" s="319" t="s">
        <v>190</v>
      </c>
      <c r="DC748" s="319" t="s">
        <v>190</v>
      </c>
      <c r="DD748" s="319" t="s">
        <v>190</v>
      </c>
      <c r="DE748" s="319" t="s">
        <v>190</v>
      </c>
      <c r="DF748" s="319" t="s">
        <v>190</v>
      </c>
      <c r="DG748" s="319" t="s">
        <v>190</v>
      </c>
      <c r="DH748" s="319" t="s">
        <v>190</v>
      </c>
      <c r="DI748" s="319" t="s">
        <v>190</v>
      </c>
      <c r="DJ748" s="319" t="s">
        <v>190</v>
      </c>
      <c r="DK748" s="319" t="s">
        <v>190</v>
      </c>
      <c r="DL748" s="319" t="s">
        <v>190</v>
      </c>
      <c r="DM748" s="319" t="s">
        <v>190</v>
      </c>
      <c r="DN748" s="319" t="s">
        <v>428</v>
      </c>
      <c r="DO748" s="319" t="s">
        <v>190</v>
      </c>
      <c r="DP748" s="319" t="s">
        <v>428</v>
      </c>
      <c r="DQ748" s="319" t="s">
        <v>428</v>
      </c>
      <c r="DR748" s="319" t="s">
        <v>428</v>
      </c>
      <c r="DS748" s="319" t="s">
        <v>428</v>
      </c>
      <c r="DT748" s="319" t="s">
        <v>428</v>
      </c>
      <c r="DU748" s="319" t="s">
        <v>428</v>
      </c>
      <c r="DV748" s="319" t="s">
        <v>173</v>
      </c>
      <c r="DW748" s="319" t="s">
        <v>428</v>
      </c>
      <c r="DX748" s="319" t="s">
        <v>428</v>
      </c>
      <c r="DY748" s="319" t="s">
        <v>428</v>
      </c>
      <c r="DZ748" s="319" t="s">
        <v>428</v>
      </c>
      <c r="EA748" s="319" t="s">
        <v>428</v>
      </c>
      <c r="EB748" s="319" t="s">
        <v>428</v>
      </c>
      <c r="EC748" s="319" t="s">
        <v>428</v>
      </c>
      <c r="ED748" s="319" t="s">
        <v>428</v>
      </c>
      <c r="EE748" s="319" t="s">
        <v>190</v>
      </c>
      <c r="EF748" s="319" t="s">
        <v>190</v>
      </c>
      <c r="EG748" s="319" t="s">
        <v>190</v>
      </c>
      <c r="EH748" s="319" t="s">
        <v>190</v>
      </c>
      <c r="EI748" s="319" t="s">
        <v>190</v>
      </c>
      <c r="EJ748" s="319" t="s">
        <v>190</v>
      </c>
      <c r="EK748" s="319" t="s">
        <v>190</v>
      </c>
      <c r="EL748" s="319" t="s">
        <v>190</v>
      </c>
      <c r="EM748" s="319" t="s">
        <v>190</v>
      </c>
      <c r="EN748" s="319" t="s">
        <v>190</v>
      </c>
      <c r="EO748" s="319" t="s">
        <v>190</v>
      </c>
      <c r="EP748" s="319" t="s">
        <v>190</v>
      </c>
      <c r="EQ748" s="319" t="s">
        <v>190</v>
      </c>
      <c r="ER748" s="319" t="s">
        <v>190</v>
      </c>
      <c r="ES748" s="319" t="s">
        <v>190</v>
      </c>
      <c r="ET748" s="319" t="s">
        <v>190</v>
      </c>
      <c r="EU748" s="319" t="s">
        <v>190</v>
      </c>
      <c r="EV748" s="319" t="s">
        <v>190</v>
      </c>
      <c r="EW748" s="319" t="s">
        <v>190</v>
      </c>
      <c r="EX748" s="319" t="s">
        <v>190</v>
      </c>
      <c r="EY748" s="319" t="s">
        <v>190</v>
      </c>
      <c r="EZ748" s="319" t="s">
        <v>190</v>
      </c>
      <c r="FA748" s="319" t="s">
        <v>428</v>
      </c>
      <c r="FB748" s="319" t="s">
        <v>428</v>
      </c>
      <c r="FC748" s="319" t="s">
        <v>428</v>
      </c>
      <c r="FD748" s="319" t="s">
        <v>428</v>
      </c>
      <c r="FE748" s="319" t="s">
        <v>428</v>
      </c>
      <c r="FF748" s="319" t="s">
        <v>428</v>
      </c>
      <c r="FG748" s="319" t="s">
        <v>428</v>
      </c>
      <c r="FH748" s="319" t="s">
        <v>190</v>
      </c>
      <c r="FI748" s="319" t="s">
        <v>428</v>
      </c>
      <c r="FJ748" s="319" t="s">
        <v>429</v>
      </c>
      <c r="FK748" s="319" t="s">
        <v>428</v>
      </c>
      <c r="FL748" s="319" t="s">
        <v>190</v>
      </c>
      <c r="FM748" s="319" t="s">
        <v>190</v>
      </c>
      <c r="FN748" s="319" t="s">
        <v>190</v>
      </c>
      <c r="FO748" s="319" t="s">
        <v>190</v>
      </c>
      <c r="FP748" s="319" t="s">
        <v>190</v>
      </c>
      <c r="FQ748" s="319" t="s">
        <v>190</v>
      </c>
      <c r="FR748" s="319" t="s">
        <v>190</v>
      </c>
      <c r="FS748" s="319" t="s">
        <v>428</v>
      </c>
      <c r="FT748" s="319" t="s">
        <v>190</v>
      </c>
      <c r="FU748" s="319" t="s">
        <v>190</v>
      </c>
      <c r="FV748" s="319" t="s">
        <v>190</v>
      </c>
      <c r="FW748" s="319" t="s">
        <v>190</v>
      </c>
      <c r="FX748" s="319" t="s">
        <v>190</v>
      </c>
      <c r="FY748" s="319" t="s">
        <v>190</v>
      </c>
      <c r="FZ748" s="319" t="s">
        <v>190</v>
      </c>
      <c r="GA748" s="319" t="s">
        <v>190</v>
      </c>
      <c r="GB748" s="319" t="s">
        <v>190</v>
      </c>
      <c r="GC748" s="319" t="s">
        <v>190</v>
      </c>
      <c r="GD748" s="319" t="s">
        <v>190</v>
      </c>
      <c r="GE748" s="319" t="s">
        <v>190</v>
      </c>
      <c r="GF748" s="319" t="s">
        <v>190</v>
      </c>
      <c r="GG748" s="319" t="s">
        <v>190</v>
      </c>
      <c r="GH748" s="319" t="s">
        <v>190</v>
      </c>
      <c r="GI748" s="319" t="s">
        <v>190</v>
      </c>
      <c r="GJ748" s="319" t="s">
        <v>190</v>
      </c>
      <c r="GK748" s="319" t="s">
        <v>428</v>
      </c>
      <c r="GL748" s="319" t="s">
        <v>190</v>
      </c>
      <c r="GM748" s="319" t="s">
        <v>190</v>
      </c>
      <c r="GN748" s="319" t="s">
        <v>190</v>
      </c>
      <c r="GO748" s="319" t="s">
        <v>190</v>
      </c>
      <c r="GP748" s="319" t="s">
        <v>190</v>
      </c>
      <c r="GQ748" s="319" t="s">
        <v>428</v>
      </c>
      <c r="GR748" s="319" t="s">
        <v>190</v>
      </c>
      <c r="GS748" s="319" t="s">
        <v>190</v>
      </c>
      <c r="GT748" s="319" t="s">
        <v>428</v>
      </c>
      <c r="GU748" s="319" t="s">
        <v>428</v>
      </c>
      <c r="GV748" s="319" t="s">
        <v>428</v>
      </c>
      <c r="GW748" s="319" t="s">
        <v>190</v>
      </c>
      <c r="GX748" s="319" t="s">
        <v>190</v>
      </c>
      <c r="GY748" s="319" t="s">
        <v>190</v>
      </c>
      <c r="GZ748" s="319" t="s">
        <v>428</v>
      </c>
      <c r="HA748" s="319" t="s">
        <v>190</v>
      </c>
      <c r="HB748" s="319" t="s">
        <v>428</v>
      </c>
      <c r="HC748" s="319" t="s">
        <v>190</v>
      </c>
      <c r="HD748" s="319" t="s">
        <v>190</v>
      </c>
      <c r="HE748" s="319" t="s">
        <v>190</v>
      </c>
      <c r="HF748" s="319" t="s">
        <v>190</v>
      </c>
      <c r="HG748" s="319" t="s">
        <v>190</v>
      </c>
      <c r="HH748" s="319" t="s">
        <v>190</v>
      </c>
      <c r="HI748" s="319" t="s">
        <v>190</v>
      </c>
      <c r="HJ748" s="319" t="s">
        <v>190</v>
      </c>
      <c r="HK748" s="319" t="s">
        <v>190</v>
      </c>
      <c r="HL748" s="319" t="s">
        <v>428</v>
      </c>
      <c r="HM748" s="319" t="s">
        <v>428</v>
      </c>
      <c r="HN748" s="319" t="s">
        <v>428</v>
      </c>
      <c r="HO748" s="319" t="s">
        <v>428</v>
      </c>
      <c r="HP748" s="319" t="s">
        <v>190</v>
      </c>
      <c r="HQ748" s="319" t="s">
        <v>190</v>
      </c>
      <c r="HR748" s="319" t="s">
        <v>190</v>
      </c>
      <c r="HS748" s="319" t="s">
        <v>190</v>
      </c>
      <c r="HT748" s="319" t="s">
        <v>190</v>
      </c>
      <c r="HU748" s="319" t="s">
        <v>190</v>
      </c>
      <c r="HV748" s="319" t="s">
        <v>190</v>
      </c>
      <c r="HW748" s="319" t="s">
        <v>190</v>
      </c>
      <c r="HX748" s="319" t="s">
        <v>190</v>
      </c>
      <c r="HY748" s="319" t="s">
        <v>190</v>
      </c>
      <c r="HZ748" s="319" t="s">
        <v>190</v>
      </c>
      <c r="IA748" s="319" t="s">
        <v>190</v>
      </c>
      <c r="IB748" s="319" t="s">
        <v>190</v>
      </c>
      <c r="IC748" s="319" t="s">
        <v>190</v>
      </c>
      <c r="ID748" s="319" t="s">
        <v>190</v>
      </c>
      <c r="IE748" s="319" t="s">
        <v>190</v>
      </c>
      <c r="IF748" s="319" t="s">
        <v>190</v>
      </c>
      <c r="IG748" s="319" t="s">
        <v>190</v>
      </c>
      <c r="IH748" s="319" t="s">
        <v>190</v>
      </c>
      <c r="II748" s="319" t="s">
        <v>190</v>
      </c>
      <c r="IJ748" s="319" t="s">
        <v>3483</v>
      </c>
      <c r="IK748" s="321">
        <v>41947</v>
      </c>
      <c r="IL748" s="321">
        <v>41949</v>
      </c>
      <c r="IM748" s="321">
        <v>41970</v>
      </c>
      <c r="IN748" s="319">
        <v>3</v>
      </c>
      <c r="IO748" s="319" t="s">
        <v>173</v>
      </c>
      <c r="IP748" s="319" t="s">
        <v>173</v>
      </c>
      <c r="IQ748" s="319" t="s">
        <v>173</v>
      </c>
      <c r="IR748" s="320" t="s">
        <v>173</v>
      </c>
      <c r="IS748" s="320" t="s">
        <v>173</v>
      </c>
      <c r="IT748" s="319" t="s">
        <v>173</v>
      </c>
    </row>
    <row r="749" spans="1:254" s="271" customFormat="1" x14ac:dyDescent="0.25">
      <c r="A749" s="318" t="str">
        <f>HYPERLINK("http://www.ofsted.gov.uk/inspection-reports/find-inspection-report/provider/ELS/140038 ","Ofsted School Webpage")</f>
        <v>Ofsted School Webpage</v>
      </c>
      <c r="B749" s="319">
        <v>140038</v>
      </c>
      <c r="C749" s="319">
        <v>3836001</v>
      </c>
      <c r="D749" s="319" t="s">
        <v>902</v>
      </c>
      <c r="E749" s="319" t="s">
        <v>167</v>
      </c>
      <c r="F749" s="319" t="s">
        <v>59</v>
      </c>
      <c r="G749" s="319" t="s">
        <v>59</v>
      </c>
      <c r="H749" s="319" t="s">
        <v>59</v>
      </c>
      <c r="I749" s="319" t="s">
        <v>59</v>
      </c>
      <c r="J749" s="319" t="s">
        <v>424</v>
      </c>
      <c r="K749" s="319" t="s">
        <v>458</v>
      </c>
      <c r="L749" s="319" t="s">
        <v>459</v>
      </c>
      <c r="M749" s="319" t="s">
        <v>622</v>
      </c>
      <c r="N749" s="319" t="s">
        <v>3484</v>
      </c>
      <c r="O749" s="319" t="s">
        <v>903</v>
      </c>
      <c r="P749" s="319">
        <v>7</v>
      </c>
      <c r="Q749" s="319" t="s">
        <v>2766</v>
      </c>
      <c r="R749" s="320">
        <v>10061280</v>
      </c>
      <c r="S749" s="321">
        <v>43501</v>
      </c>
      <c r="T749" s="321">
        <v>43503</v>
      </c>
      <c r="U749" s="321">
        <v>43538</v>
      </c>
      <c r="V749" s="319" t="s">
        <v>425</v>
      </c>
      <c r="W749" s="319" t="s">
        <v>2767</v>
      </c>
      <c r="X749" s="319">
        <v>2</v>
      </c>
      <c r="Y749" s="319" t="s">
        <v>173</v>
      </c>
      <c r="Z749" s="319" t="s">
        <v>173</v>
      </c>
      <c r="AA749" s="319" t="s">
        <v>173</v>
      </c>
      <c r="AB749" s="319">
        <v>2</v>
      </c>
      <c r="AC749" s="319" t="s">
        <v>169</v>
      </c>
      <c r="AD749" s="319">
        <v>2</v>
      </c>
      <c r="AE749" s="319" t="s">
        <v>173</v>
      </c>
      <c r="AF749" s="319" t="s">
        <v>427</v>
      </c>
      <c r="AG749" s="319" t="s">
        <v>171</v>
      </c>
      <c r="AH749" s="319" t="s">
        <v>190</v>
      </c>
      <c r="AI749" s="319" t="s">
        <v>190</v>
      </c>
      <c r="AJ749" s="319" t="s">
        <v>190</v>
      </c>
      <c r="AK749" s="319" t="s">
        <v>190</v>
      </c>
      <c r="AL749" s="319" t="s">
        <v>190</v>
      </c>
      <c r="AM749" s="319" t="s">
        <v>190</v>
      </c>
      <c r="AN749" s="319" t="s">
        <v>190</v>
      </c>
      <c r="AO749" s="319" t="s">
        <v>190</v>
      </c>
      <c r="AP749" s="319" t="s">
        <v>190</v>
      </c>
      <c r="AQ749" s="319" t="s">
        <v>190</v>
      </c>
      <c r="AR749" s="319" t="s">
        <v>190</v>
      </c>
      <c r="AS749" s="319" t="s">
        <v>190</v>
      </c>
      <c r="AT749" s="319" t="s">
        <v>190</v>
      </c>
      <c r="AU749" s="319" t="s">
        <v>190</v>
      </c>
      <c r="AV749" s="319" t="s">
        <v>190</v>
      </c>
      <c r="AW749" s="319" t="s">
        <v>190</v>
      </c>
      <c r="AX749" s="319" t="s">
        <v>428</v>
      </c>
      <c r="AY749" s="319" t="s">
        <v>190</v>
      </c>
      <c r="AZ749" s="319" t="s">
        <v>190</v>
      </c>
      <c r="BA749" s="319" t="s">
        <v>190</v>
      </c>
      <c r="BB749" s="319" t="s">
        <v>428</v>
      </c>
      <c r="BC749" s="319" t="s">
        <v>428</v>
      </c>
      <c r="BD749" s="319" t="s">
        <v>428</v>
      </c>
      <c r="BE749" s="319" t="s">
        <v>428</v>
      </c>
      <c r="BF749" s="319" t="s">
        <v>428</v>
      </c>
      <c r="BG749" s="319" t="s">
        <v>428</v>
      </c>
      <c r="BH749" s="319" t="s">
        <v>190</v>
      </c>
      <c r="BI749" s="319" t="s">
        <v>190</v>
      </c>
      <c r="BJ749" s="319" t="s">
        <v>190</v>
      </c>
      <c r="BK749" s="319" t="s">
        <v>190</v>
      </c>
      <c r="BL749" s="319" t="s">
        <v>190</v>
      </c>
      <c r="BM749" s="319" t="s">
        <v>190</v>
      </c>
      <c r="BN749" s="319" t="s">
        <v>190</v>
      </c>
      <c r="BO749" s="319" t="s">
        <v>190</v>
      </c>
      <c r="BP749" s="319" t="s">
        <v>190</v>
      </c>
      <c r="BQ749" s="319" t="s">
        <v>190</v>
      </c>
      <c r="BR749" s="319" t="s">
        <v>190</v>
      </c>
      <c r="BS749" s="319" t="s">
        <v>190</v>
      </c>
      <c r="BT749" s="319" t="s">
        <v>190</v>
      </c>
      <c r="BU749" s="319" t="s">
        <v>190</v>
      </c>
      <c r="BV749" s="319" t="s">
        <v>190</v>
      </c>
      <c r="BW749" s="319" t="s">
        <v>190</v>
      </c>
      <c r="BX749" s="319" t="s">
        <v>190</v>
      </c>
      <c r="BY749" s="319" t="s">
        <v>190</v>
      </c>
      <c r="BZ749" s="319" t="s">
        <v>190</v>
      </c>
      <c r="CA749" s="319" t="s">
        <v>190</v>
      </c>
      <c r="CB749" s="319" t="s">
        <v>190</v>
      </c>
      <c r="CC749" s="319" t="s">
        <v>190</v>
      </c>
      <c r="CD749" s="319" t="s">
        <v>190</v>
      </c>
      <c r="CE749" s="319" t="s">
        <v>190</v>
      </c>
      <c r="CF749" s="319" t="s">
        <v>190</v>
      </c>
      <c r="CG749" s="319" t="s">
        <v>190</v>
      </c>
      <c r="CH749" s="319" t="s">
        <v>190</v>
      </c>
      <c r="CI749" s="319" t="s">
        <v>190</v>
      </c>
      <c r="CJ749" s="319" t="s">
        <v>190</v>
      </c>
      <c r="CK749" s="319" t="s">
        <v>190</v>
      </c>
      <c r="CL749" s="319" t="s">
        <v>190</v>
      </c>
      <c r="CM749" s="319" t="s">
        <v>190</v>
      </c>
      <c r="CN749" s="319" t="s">
        <v>428</v>
      </c>
      <c r="CO749" s="319" t="s">
        <v>428</v>
      </c>
      <c r="CP749" s="319" t="s">
        <v>428</v>
      </c>
      <c r="CQ749" s="319" t="s">
        <v>190</v>
      </c>
      <c r="CR749" s="319" t="s">
        <v>190</v>
      </c>
      <c r="CS749" s="319" t="s">
        <v>190</v>
      </c>
      <c r="CT749" s="319" t="s">
        <v>190</v>
      </c>
      <c r="CU749" s="319" t="s">
        <v>190</v>
      </c>
      <c r="CV749" s="319" t="s">
        <v>190</v>
      </c>
      <c r="CW749" s="319" t="s">
        <v>190</v>
      </c>
      <c r="CX749" s="319" t="s">
        <v>190</v>
      </c>
      <c r="CY749" s="319" t="s">
        <v>190</v>
      </c>
      <c r="CZ749" s="319" t="s">
        <v>190</v>
      </c>
      <c r="DA749" s="319" t="s">
        <v>190</v>
      </c>
      <c r="DB749" s="319" t="s">
        <v>190</v>
      </c>
      <c r="DC749" s="319" t="s">
        <v>190</v>
      </c>
      <c r="DD749" s="319" t="s">
        <v>190</v>
      </c>
      <c r="DE749" s="319" t="s">
        <v>190</v>
      </c>
      <c r="DF749" s="319" t="s">
        <v>190</v>
      </c>
      <c r="DG749" s="319" t="s">
        <v>190</v>
      </c>
      <c r="DH749" s="319" t="s">
        <v>190</v>
      </c>
      <c r="DI749" s="319" t="s">
        <v>190</v>
      </c>
      <c r="DJ749" s="319" t="s">
        <v>190</v>
      </c>
      <c r="DK749" s="319" t="s">
        <v>190</v>
      </c>
      <c r="DL749" s="319" t="s">
        <v>190</v>
      </c>
      <c r="DM749" s="319" t="s">
        <v>190</v>
      </c>
      <c r="DN749" s="319" t="s">
        <v>428</v>
      </c>
      <c r="DO749" s="319" t="s">
        <v>190</v>
      </c>
      <c r="DP749" s="319" t="s">
        <v>190</v>
      </c>
      <c r="DQ749" s="319" t="s">
        <v>190</v>
      </c>
      <c r="DR749" s="319" t="s">
        <v>190</v>
      </c>
      <c r="DS749" s="319" t="s">
        <v>190</v>
      </c>
      <c r="DT749" s="319" t="s">
        <v>190</v>
      </c>
      <c r="DU749" s="319" t="s">
        <v>190</v>
      </c>
      <c r="DV749" s="319" t="s">
        <v>173</v>
      </c>
      <c r="DW749" s="319" t="s">
        <v>190</v>
      </c>
      <c r="DX749" s="319" t="s">
        <v>428</v>
      </c>
      <c r="DY749" s="319" t="s">
        <v>428</v>
      </c>
      <c r="DZ749" s="319" t="s">
        <v>428</v>
      </c>
      <c r="EA749" s="319" t="s">
        <v>428</v>
      </c>
      <c r="EB749" s="319" t="s">
        <v>428</v>
      </c>
      <c r="EC749" s="319" t="s">
        <v>428</v>
      </c>
      <c r="ED749" s="319" t="s">
        <v>428</v>
      </c>
      <c r="EE749" s="319" t="s">
        <v>190</v>
      </c>
      <c r="EF749" s="319" t="s">
        <v>190</v>
      </c>
      <c r="EG749" s="319" t="s">
        <v>190</v>
      </c>
      <c r="EH749" s="319" t="s">
        <v>190</v>
      </c>
      <c r="EI749" s="319" t="s">
        <v>190</v>
      </c>
      <c r="EJ749" s="319" t="s">
        <v>190</v>
      </c>
      <c r="EK749" s="319" t="s">
        <v>190</v>
      </c>
      <c r="EL749" s="319" t="s">
        <v>190</v>
      </c>
      <c r="EM749" s="319" t="s">
        <v>190</v>
      </c>
      <c r="EN749" s="319" t="s">
        <v>190</v>
      </c>
      <c r="EO749" s="319" t="s">
        <v>190</v>
      </c>
      <c r="EP749" s="319" t="s">
        <v>190</v>
      </c>
      <c r="EQ749" s="319" t="s">
        <v>190</v>
      </c>
      <c r="ER749" s="319" t="s">
        <v>190</v>
      </c>
      <c r="ES749" s="319" t="s">
        <v>190</v>
      </c>
      <c r="ET749" s="319" t="s">
        <v>190</v>
      </c>
      <c r="EU749" s="319" t="s">
        <v>190</v>
      </c>
      <c r="EV749" s="319" t="s">
        <v>190</v>
      </c>
      <c r="EW749" s="319" t="s">
        <v>190</v>
      </c>
      <c r="EX749" s="319" t="s">
        <v>190</v>
      </c>
      <c r="EY749" s="319" t="s">
        <v>190</v>
      </c>
      <c r="EZ749" s="319" t="s">
        <v>190</v>
      </c>
      <c r="FA749" s="319" t="s">
        <v>190</v>
      </c>
      <c r="FB749" s="319" t="s">
        <v>428</v>
      </c>
      <c r="FC749" s="319" t="s">
        <v>428</v>
      </c>
      <c r="FD749" s="319" t="s">
        <v>428</v>
      </c>
      <c r="FE749" s="319" t="s">
        <v>428</v>
      </c>
      <c r="FF749" s="319" t="s">
        <v>428</v>
      </c>
      <c r="FG749" s="319" t="s">
        <v>428</v>
      </c>
      <c r="FH749" s="319" t="s">
        <v>428</v>
      </c>
      <c r="FI749" s="319" t="s">
        <v>428</v>
      </c>
      <c r="FJ749" s="319" t="s">
        <v>429</v>
      </c>
      <c r="FK749" s="319" t="s">
        <v>428</v>
      </c>
      <c r="FL749" s="319" t="s">
        <v>190</v>
      </c>
      <c r="FM749" s="319" t="s">
        <v>190</v>
      </c>
      <c r="FN749" s="319" t="s">
        <v>190</v>
      </c>
      <c r="FO749" s="319" t="s">
        <v>190</v>
      </c>
      <c r="FP749" s="319" t="s">
        <v>190</v>
      </c>
      <c r="FQ749" s="319" t="s">
        <v>190</v>
      </c>
      <c r="FR749" s="319" t="s">
        <v>190</v>
      </c>
      <c r="FS749" s="319" t="s">
        <v>428</v>
      </c>
      <c r="FT749" s="319" t="s">
        <v>190</v>
      </c>
      <c r="FU749" s="319" t="s">
        <v>190</v>
      </c>
      <c r="FV749" s="319" t="s">
        <v>190</v>
      </c>
      <c r="FW749" s="319" t="s">
        <v>190</v>
      </c>
      <c r="FX749" s="319" t="s">
        <v>190</v>
      </c>
      <c r="FY749" s="319" t="s">
        <v>190</v>
      </c>
      <c r="FZ749" s="319" t="s">
        <v>190</v>
      </c>
      <c r="GA749" s="319" t="s">
        <v>190</v>
      </c>
      <c r="GB749" s="319" t="s">
        <v>190</v>
      </c>
      <c r="GC749" s="319" t="s">
        <v>190</v>
      </c>
      <c r="GD749" s="319" t="s">
        <v>190</v>
      </c>
      <c r="GE749" s="319" t="s">
        <v>190</v>
      </c>
      <c r="GF749" s="319" t="s">
        <v>190</v>
      </c>
      <c r="GG749" s="319" t="s">
        <v>190</v>
      </c>
      <c r="GH749" s="319" t="s">
        <v>190</v>
      </c>
      <c r="GI749" s="319" t="s">
        <v>190</v>
      </c>
      <c r="GJ749" s="319" t="s">
        <v>190</v>
      </c>
      <c r="GK749" s="319" t="s">
        <v>428</v>
      </c>
      <c r="GL749" s="319" t="s">
        <v>190</v>
      </c>
      <c r="GM749" s="319" t="s">
        <v>190</v>
      </c>
      <c r="GN749" s="319" t="s">
        <v>190</v>
      </c>
      <c r="GO749" s="319" t="s">
        <v>190</v>
      </c>
      <c r="GP749" s="319" t="s">
        <v>190</v>
      </c>
      <c r="GQ749" s="319" t="s">
        <v>428</v>
      </c>
      <c r="GR749" s="319" t="s">
        <v>190</v>
      </c>
      <c r="GS749" s="319" t="s">
        <v>190</v>
      </c>
      <c r="GT749" s="319" t="s">
        <v>428</v>
      </c>
      <c r="GU749" s="319" t="s">
        <v>428</v>
      </c>
      <c r="GV749" s="319" t="s">
        <v>190</v>
      </c>
      <c r="GW749" s="319" t="s">
        <v>190</v>
      </c>
      <c r="GX749" s="319" t="s">
        <v>190</v>
      </c>
      <c r="GY749" s="319" t="s">
        <v>190</v>
      </c>
      <c r="GZ749" s="319" t="s">
        <v>190</v>
      </c>
      <c r="HA749" s="319" t="s">
        <v>190</v>
      </c>
      <c r="HB749" s="319" t="s">
        <v>190</v>
      </c>
      <c r="HC749" s="319" t="s">
        <v>190</v>
      </c>
      <c r="HD749" s="319" t="s">
        <v>190</v>
      </c>
      <c r="HE749" s="319" t="s">
        <v>190</v>
      </c>
      <c r="HF749" s="319" t="s">
        <v>190</v>
      </c>
      <c r="HG749" s="319" t="s">
        <v>190</v>
      </c>
      <c r="HH749" s="319" t="s">
        <v>190</v>
      </c>
      <c r="HI749" s="319" t="s">
        <v>190</v>
      </c>
      <c r="HJ749" s="319" t="s">
        <v>190</v>
      </c>
      <c r="HK749" s="319" t="s">
        <v>190</v>
      </c>
      <c r="HL749" s="319" t="s">
        <v>428</v>
      </c>
      <c r="HM749" s="319" t="s">
        <v>428</v>
      </c>
      <c r="HN749" s="319" t="s">
        <v>428</v>
      </c>
      <c r="HO749" s="319" t="s">
        <v>428</v>
      </c>
      <c r="HP749" s="319" t="s">
        <v>190</v>
      </c>
      <c r="HQ749" s="319" t="s">
        <v>190</v>
      </c>
      <c r="HR749" s="319" t="s">
        <v>190</v>
      </c>
      <c r="HS749" s="319" t="s">
        <v>190</v>
      </c>
      <c r="HT749" s="319" t="s">
        <v>190</v>
      </c>
      <c r="HU749" s="319" t="s">
        <v>190</v>
      </c>
      <c r="HV749" s="319" t="s">
        <v>190</v>
      </c>
      <c r="HW749" s="319" t="s">
        <v>190</v>
      </c>
      <c r="HX749" s="319" t="s">
        <v>190</v>
      </c>
      <c r="HY749" s="319" t="s">
        <v>190</v>
      </c>
      <c r="HZ749" s="319" t="s">
        <v>190</v>
      </c>
      <c r="IA749" s="319" t="s">
        <v>190</v>
      </c>
      <c r="IB749" s="319" t="s">
        <v>190</v>
      </c>
      <c r="IC749" s="319" t="s">
        <v>190</v>
      </c>
      <c r="ID749" s="319" t="s">
        <v>190</v>
      </c>
      <c r="IE749" s="319" t="s">
        <v>190</v>
      </c>
      <c r="IF749" s="319" t="s">
        <v>190</v>
      </c>
      <c r="IG749" s="319" t="s">
        <v>190</v>
      </c>
      <c r="IH749" s="319" t="s">
        <v>190</v>
      </c>
      <c r="II749" s="319" t="s">
        <v>190</v>
      </c>
      <c r="IJ749" s="319">
        <v>10033924</v>
      </c>
      <c r="IK749" s="321">
        <v>42899</v>
      </c>
      <c r="IL749" s="321">
        <v>42901</v>
      </c>
      <c r="IM749" s="321">
        <v>42948</v>
      </c>
      <c r="IN749" s="319">
        <v>3</v>
      </c>
      <c r="IO749" s="319" t="s">
        <v>173</v>
      </c>
      <c r="IP749" s="319" t="s">
        <v>173</v>
      </c>
      <c r="IQ749" s="321" t="s">
        <v>173</v>
      </c>
      <c r="IR749" s="320" t="s">
        <v>173</v>
      </c>
      <c r="IS749" s="322" t="s">
        <v>173</v>
      </c>
      <c r="IT749" s="319" t="s">
        <v>173</v>
      </c>
    </row>
    <row r="750" spans="1:254" s="271" customFormat="1" x14ac:dyDescent="0.25">
      <c r="A750" s="318" t="str">
        <f>HYPERLINK("http://www.ofsted.gov.uk/inspection-reports/find-inspection-report/provider/ELS/140039 ","Ofsted School Webpage")</f>
        <v>Ofsted School Webpage</v>
      </c>
      <c r="B750" s="319">
        <v>140039</v>
      </c>
      <c r="C750" s="319">
        <v>3036001</v>
      </c>
      <c r="D750" s="319" t="s">
        <v>1166</v>
      </c>
      <c r="E750" s="319" t="s">
        <v>167</v>
      </c>
      <c r="F750" s="319" t="s">
        <v>81</v>
      </c>
      <c r="G750" s="319" t="s">
        <v>81</v>
      </c>
      <c r="H750" s="319" t="s">
        <v>81</v>
      </c>
      <c r="I750" s="319" t="s">
        <v>78</v>
      </c>
      <c r="J750" s="319" t="s">
        <v>424</v>
      </c>
      <c r="K750" s="319" t="s">
        <v>441</v>
      </c>
      <c r="L750" s="319" t="s">
        <v>441</v>
      </c>
      <c r="M750" s="319" t="s">
        <v>1167</v>
      </c>
      <c r="N750" s="319" t="s">
        <v>3485</v>
      </c>
      <c r="O750" s="319" t="s">
        <v>1168</v>
      </c>
      <c r="P750" s="319">
        <v>21</v>
      </c>
      <c r="Q750" s="319" t="s">
        <v>2776</v>
      </c>
      <c r="R750" s="320">
        <v>10035811</v>
      </c>
      <c r="S750" s="321">
        <v>43270</v>
      </c>
      <c r="T750" s="321">
        <v>43272</v>
      </c>
      <c r="U750" s="321">
        <v>43298</v>
      </c>
      <c r="V750" s="319" t="s">
        <v>425</v>
      </c>
      <c r="W750" s="319" t="s">
        <v>2767</v>
      </c>
      <c r="X750" s="319">
        <v>2</v>
      </c>
      <c r="Y750" s="319" t="s">
        <v>173</v>
      </c>
      <c r="Z750" s="319" t="s">
        <v>173</v>
      </c>
      <c r="AA750" s="319" t="s">
        <v>173</v>
      </c>
      <c r="AB750" s="319">
        <v>2</v>
      </c>
      <c r="AC750" s="319" t="s">
        <v>169</v>
      </c>
      <c r="AD750" s="319" t="s">
        <v>173</v>
      </c>
      <c r="AE750" s="319" t="s">
        <v>173</v>
      </c>
      <c r="AF750" s="319" t="s">
        <v>427</v>
      </c>
      <c r="AG750" s="319" t="s">
        <v>171</v>
      </c>
      <c r="AH750" s="319" t="s">
        <v>190</v>
      </c>
      <c r="AI750" s="319" t="s">
        <v>190</v>
      </c>
      <c r="AJ750" s="319" t="s">
        <v>190</v>
      </c>
      <c r="AK750" s="319" t="s">
        <v>190</v>
      </c>
      <c r="AL750" s="319" t="s">
        <v>190</v>
      </c>
      <c r="AM750" s="319" t="s">
        <v>190</v>
      </c>
      <c r="AN750" s="319" t="s">
        <v>190</v>
      </c>
      <c r="AO750" s="319" t="s">
        <v>190</v>
      </c>
      <c r="AP750" s="319" t="s">
        <v>190</v>
      </c>
      <c r="AQ750" s="319" t="s">
        <v>190</v>
      </c>
      <c r="AR750" s="319" t="s">
        <v>190</v>
      </c>
      <c r="AS750" s="319" t="s">
        <v>190</v>
      </c>
      <c r="AT750" s="319" t="s">
        <v>190</v>
      </c>
      <c r="AU750" s="319" t="s">
        <v>190</v>
      </c>
      <c r="AV750" s="319" t="s">
        <v>190</v>
      </c>
      <c r="AW750" s="319" t="s">
        <v>190</v>
      </c>
      <c r="AX750" s="319" t="s">
        <v>428</v>
      </c>
      <c r="AY750" s="319" t="s">
        <v>190</v>
      </c>
      <c r="AZ750" s="319" t="s">
        <v>190</v>
      </c>
      <c r="BA750" s="319" t="s">
        <v>190</v>
      </c>
      <c r="BB750" s="319" t="s">
        <v>190</v>
      </c>
      <c r="BC750" s="319" t="s">
        <v>190</v>
      </c>
      <c r="BD750" s="319" t="s">
        <v>190</v>
      </c>
      <c r="BE750" s="319" t="s">
        <v>190</v>
      </c>
      <c r="BF750" s="319" t="s">
        <v>428</v>
      </c>
      <c r="BG750" s="319" t="s">
        <v>190</v>
      </c>
      <c r="BH750" s="319" t="s">
        <v>190</v>
      </c>
      <c r="BI750" s="319" t="s">
        <v>190</v>
      </c>
      <c r="BJ750" s="319" t="s">
        <v>190</v>
      </c>
      <c r="BK750" s="319" t="s">
        <v>190</v>
      </c>
      <c r="BL750" s="319" t="s">
        <v>190</v>
      </c>
      <c r="BM750" s="319" t="s">
        <v>190</v>
      </c>
      <c r="BN750" s="319" t="s">
        <v>190</v>
      </c>
      <c r="BO750" s="319" t="s">
        <v>190</v>
      </c>
      <c r="BP750" s="319" t="s">
        <v>190</v>
      </c>
      <c r="BQ750" s="319" t="s">
        <v>190</v>
      </c>
      <c r="BR750" s="319" t="s">
        <v>190</v>
      </c>
      <c r="BS750" s="319" t="s">
        <v>190</v>
      </c>
      <c r="BT750" s="319" t="s">
        <v>190</v>
      </c>
      <c r="BU750" s="319" t="s">
        <v>190</v>
      </c>
      <c r="BV750" s="319" t="s">
        <v>190</v>
      </c>
      <c r="BW750" s="319" t="s">
        <v>190</v>
      </c>
      <c r="BX750" s="319" t="s">
        <v>190</v>
      </c>
      <c r="BY750" s="319" t="s">
        <v>190</v>
      </c>
      <c r="BZ750" s="319" t="s">
        <v>190</v>
      </c>
      <c r="CA750" s="319" t="s">
        <v>190</v>
      </c>
      <c r="CB750" s="319" t="s">
        <v>190</v>
      </c>
      <c r="CC750" s="319" t="s">
        <v>190</v>
      </c>
      <c r="CD750" s="319" t="s">
        <v>190</v>
      </c>
      <c r="CE750" s="319" t="s">
        <v>190</v>
      </c>
      <c r="CF750" s="319" t="s">
        <v>190</v>
      </c>
      <c r="CG750" s="319" t="s">
        <v>190</v>
      </c>
      <c r="CH750" s="319" t="s">
        <v>190</v>
      </c>
      <c r="CI750" s="319" t="s">
        <v>190</v>
      </c>
      <c r="CJ750" s="319" t="s">
        <v>190</v>
      </c>
      <c r="CK750" s="319" t="s">
        <v>190</v>
      </c>
      <c r="CL750" s="319" t="s">
        <v>190</v>
      </c>
      <c r="CM750" s="319" t="s">
        <v>190</v>
      </c>
      <c r="CN750" s="319" t="s">
        <v>190</v>
      </c>
      <c r="CO750" s="319" t="s">
        <v>428</v>
      </c>
      <c r="CP750" s="319" t="s">
        <v>428</v>
      </c>
      <c r="CQ750" s="319" t="s">
        <v>190</v>
      </c>
      <c r="CR750" s="319" t="s">
        <v>190</v>
      </c>
      <c r="CS750" s="319" t="s">
        <v>190</v>
      </c>
      <c r="CT750" s="319" t="s">
        <v>190</v>
      </c>
      <c r="CU750" s="319" t="s">
        <v>190</v>
      </c>
      <c r="CV750" s="319" t="s">
        <v>190</v>
      </c>
      <c r="CW750" s="319" t="s">
        <v>190</v>
      </c>
      <c r="CX750" s="319" t="s">
        <v>190</v>
      </c>
      <c r="CY750" s="319" t="s">
        <v>190</v>
      </c>
      <c r="CZ750" s="319" t="s">
        <v>190</v>
      </c>
      <c r="DA750" s="319" t="s">
        <v>190</v>
      </c>
      <c r="DB750" s="319" t="s">
        <v>190</v>
      </c>
      <c r="DC750" s="319" t="s">
        <v>190</v>
      </c>
      <c r="DD750" s="319" t="s">
        <v>190</v>
      </c>
      <c r="DE750" s="319" t="s">
        <v>190</v>
      </c>
      <c r="DF750" s="319" t="s">
        <v>190</v>
      </c>
      <c r="DG750" s="319" t="s">
        <v>190</v>
      </c>
      <c r="DH750" s="319" t="s">
        <v>190</v>
      </c>
      <c r="DI750" s="319" t="s">
        <v>190</v>
      </c>
      <c r="DJ750" s="319" t="s">
        <v>190</v>
      </c>
      <c r="DK750" s="319" t="s">
        <v>190</v>
      </c>
      <c r="DL750" s="319" t="s">
        <v>190</v>
      </c>
      <c r="DM750" s="319" t="s">
        <v>190</v>
      </c>
      <c r="DN750" s="319" t="s">
        <v>428</v>
      </c>
      <c r="DO750" s="319" t="s">
        <v>190</v>
      </c>
      <c r="DP750" s="319" t="s">
        <v>190</v>
      </c>
      <c r="DQ750" s="319" t="s">
        <v>190</v>
      </c>
      <c r="DR750" s="319" t="s">
        <v>190</v>
      </c>
      <c r="DS750" s="319" t="s">
        <v>190</v>
      </c>
      <c r="DT750" s="319" t="s">
        <v>190</v>
      </c>
      <c r="DU750" s="319" t="s">
        <v>190</v>
      </c>
      <c r="DV750" s="319" t="s">
        <v>173</v>
      </c>
      <c r="DW750" s="319" t="s">
        <v>190</v>
      </c>
      <c r="DX750" s="319" t="s">
        <v>190</v>
      </c>
      <c r="DY750" s="319" t="s">
        <v>190</v>
      </c>
      <c r="DZ750" s="319" t="s">
        <v>190</v>
      </c>
      <c r="EA750" s="319" t="s">
        <v>190</v>
      </c>
      <c r="EB750" s="319" t="s">
        <v>190</v>
      </c>
      <c r="EC750" s="319" t="s">
        <v>190</v>
      </c>
      <c r="ED750" s="319" t="s">
        <v>190</v>
      </c>
      <c r="EE750" s="319" t="s">
        <v>190</v>
      </c>
      <c r="EF750" s="319" t="s">
        <v>190</v>
      </c>
      <c r="EG750" s="319" t="s">
        <v>190</v>
      </c>
      <c r="EH750" s="319" t="s">
        <v>190</v>
      </c>
      <c r="EI750" s="319" t="s">
        <v>190</v>
      </c>
      <c r="EJ750" s="319" t="s">
        <v>190</v>
      </c>
      <c r="EK750" s="319" t="s">
        <v>190</v>
      </c>
      <c r="EL750" s="319" t="s">
        <v>190</v>
      </c>
      <c r="EM750" s="319" t="s">
        <v>190</v>
      </c>
      <c r="EN750" s="319" t="s">
        <v>190</v>
      </c>
      <c r="EO750" s="319" t="s">
        <v>190</v>
      </c>
      <c r="EP750" s="319" t="s">
        <v>190</v>
      </c>
      <c r="EQ750" s="319" t="s">
        <v>190</v>
      </c>
      <c r="ER750" s="319" t="s">
        <v>190</v>
      </c>
      <c r="ES750" s="319" t="s">
        <v>190</v>
      </c>
      <c r="ET750" s="319" t="s">
        <v>190</v>
      </c>
      <c r="EU750" s="319" t="s">
        <v>190</v>
      </c>
      <c r="EV750" s="319" t="s">
        <v>190</v>
      </c>
      <c r="EW750" s="319" t="s">
        <v>190</v>
      </c>
      <c r="EX750" s="319" t="s">
        <v>190</v>
      </c>
      <c r="EY750" s="319" t="s">
        <v>190</v>
      </c>
      <c r="EZ750" s="319" t="s">
        <v>190</v>
      </c>
      <c r="FA750" s="319" t="s">
        <v>190</v>
      </c>
      <c r="FB750" s="319" t="s">
        <v>190</v>
      </c>
      <c r="FC750" s="319" t="s">
        <v>190</v>
      </c>
      <c r="FD750" s="319" t="s">
        <v>190</v>
      </c>
      <c r="FE750" s="319" t="s">
        <v>190</v>
      </c>
      <c r="FF750" s="319" t="s">
        <v>190</v>
      </c>
      <c r="FG750" s="319" t="s">
        <v>190</v>
      </c>
      <c r="FH750" s="319" t="s">
        <v>190</v>
      </c>
      <c r="FI750" s="319" t="s">
        <v>190</v>
      </c>
      <c r="FJ750" s="319" t="s">
        <v>190</v>
      </c>
      <c r="FK750" s="319" t="s">
        <v>190</v>
      </c>
      <c r="FL750" s="319" t="s">
        <v>190</v>
      </c>
      <c r="FM750" s="319" t="s">
        <v>190</v>
      </c>
      <c r="FN750" s="319" t="s">
        <v>190</v>
      </c>
      <c r="FO750" s="319" t="s">
        <v>190</v>
      </c>
      <c r="FP750" s="319" t="s">
        <v>190</v>
      </c>
      <c r="FQ750" s="319" t="s">
        <v>190</v>
      </c>
      <c r="FR750" s="319" t="s">
        <v>190</v>
      </c>
      <c r="FS750" s="319" t="s">
        <v>428</v>
      </c>
      <c r="FT750" s="319" t="s">
        <v>190</v>
      </c>
      <c r="FU750" s="319" t="s">
        <v>190</v>
      </c>
      <c r="FV750" s="319" t="s">
        <v>190</v>
      </c>
      <c r="FW750" s="319" t="s">
        <v>190</v>
      </c>
      <c r="FX750" s="319" t="s">
        <v>190</v>
      </c>
      <c r="FY750" s="319" t="s">
        <v>190</v>
      </c>
      <c r="FZ750" s="319" t="s">
        <v>190</v>
      </c>
      <c r="GA750" s="319" t="s">
        <v>190</v>
      </c>
      <c r="GB750" s="319" t="s">
        <v>190</v>
      </c>
      <c r="GC750" s="319" t="s">
        <v>190</v>
      </c>
      <c r="GD750" s="319" t="s">
        <v>190</v>
      </c>
      <c r="GE750" s="319" t="s">
        <v>190</v>
      </c>
      <c r="GF750" s="319" t="s">
        <v>190</v>
      </c>
      <c r="GG750" s="319" t="s">
        <v>190</v>
      </c>
      <c r="GH750" s="319" t="s">
        <v>190</v>
      </c>
      <c r="GI750" s="319" t="s">
        <v>190</v>
      </c>
      <c r="GJ750" s="319" t="s">
        <v>190</v>
      </c>
      <c r="GK750" s="319" t="s">
        <v>428</v>
      </c>
      <c r="GL750" s="319" t="s">
        <v>190</v>
      </c>
      <c r="GM750" s="319" t="s">
        <v>190</v>
      </c>
      <c r="GN750" s="319" t="s">
        <v>190</v>
      </c>
      <c r="GO750" s="319" t="s">
        <v>190</v>
      </c>
      <c r="GP750" s="319" t="s">
        <v>190</v>
      </c>
      <c r="GQ750" s="319" t="s">
        <v>190</v>
      </c>
      <c r="GR750" s="319" t="s">
        <v>190</v>
      </c>
      <c r="GS750" s="319" t="s">
        <v>190</v>
      </c>
      <c r="GT750" s="319" t="s">
        <v>190</v>
      </c>
      <c r="GU750" s="319" t="s">
        <v>190</v>
      </c>
      <c r="GV750" s="319" t="s">
        <v>190</v>
      </c>
      <c r="GW750" s="319" t="s">
        <v>190</v>
      </c>
      <c r="GX750" s="319" t="s">
        <v>190</v>
      </c>
      <c r="GY750" s="319" t="s">
        <v>190</v>
      </c>
      <c r="GZ750" s="319" t="s">
        <v>190</v>
      </c>
      <c r="HA750" s="319" t="s">
        <v>190</v>
      </c>
      <c r="HB750" s="319" t="s">
        <v>190</v>
      </c>
      <c r="HC750" s="319" t="s">
        <v>190</v>
      </c>
      <c r="HD750" s="319" t="s">
        <v>190</v>
      </c>
      <c r="HE750" s="319" t="s">
        <v>190</v>
      </c>
      <c r="HF750" s="319" t="s">
        <v>190</v>
      </c>
      <c r="HG750" s="319" t="s">
        <v>190</v>
      </c>
      <c r="HH750" s="319" t="s">
        <v>190</v>
      </c>
      <c r="HI750" s="319" t="s">
        <v>190</v>
      </c>
      <c r="HJ750" s="319" t="s">
        <v>190</v>
      </c>
      <c r="HK750" s="319" t="s">
        <v>190</v>
      </c>
      <c r="HL750" s="319" t="s">
        <v>190</v>
      </c>
      <c r="HM750" s="319" t="s">
        <v>190</v>
      </c>
      <c r="HN750" s="319" t="s">
        <v>190</v>
      </c>
      <c r="HO750" s="319" t="s">
        <v>190</v>
      </c>
      <c r="HP750" s="319" t="s">
        <v>190</v>
      </c>
      <c r="HQ750" s="319" t="s">
        <v>190</v>
      </c>
      <c r="HR750" s="319" t="s">
        <v>190</v>
      </c>
      <c r="HS750" s="319" t="s">
        <v>190</v>
      </c>
      <c r="HT750" s="319" t="s">
        <v>190</v>
      </c>
      <c r="HU750" s="319" t="s">
        <v>190</v>
      </c>
      <c r="HV750" s="319" t="s">
        <v>190</v>
      </c>
      <c r="HW750" s="319" t="s">
        <v>190</v>
      </c>
      <c r="HX750" s="319" t="s">
        <v>190</v>
      </c>
      <c r="HY750" s="319" t="s">
        <v>190</v>
      </c>
      <c r="HZ750" s="319" t="s">
        <v>190</v>
      </c>
      <c r="IA750" s="319" t="s">
        <v>190</v>
      </c>
      <c r="IB750" s="319" t="s">
        <v>190</v>
      </c>
      <c r="IC750" s="319" t="s">
        <v>190</v>
      </c>
      <c r="ID750" s="319" t="s">
        <v>190</v>
      </c>
      <c r="IE750" s="319" t="s">
        <v>190</v>
      </c>
      <c r="IF750" s="319" t="s">
        <v>190</v>
      </c>
      <c r="IG750" s="319" t="s">
        <v>190</v>
      </c>
      <c r="IH750" s="319" t="s">
        <v>190</v>
      </c>
      <c r="II750" s="319" t="s">
        <v>190</v>
      </c>
      <c r="IJ750" s="319" t="s">
        <v>3486</v>
      </c>
      <c r="IK750" s="321">
        <v>41808</v>
      </c>
      <c r="IL750" s="321">
        <v>41810</v>
      </c>
      <c r="IM750" s="321">
        <v>41829</v>
      </c>
      <c r="IN750" s="319">
        <v>3</v>
      </c>
      <c r="IO750" s="319" t="s">
        <v>173</v>
      </c>
      <c r="IP750" s="319" t="s">
        <v>173</v>
      </c>
      <c r="IQ750" s="321" t="s">
        <v>173</v>
      </c>
      <c r="IR750" s="320" t="s">
        <v>173</v>
      </c>
      <c r="IS750" s="322" t="s">
        <v>173</v>
      </c>
      <c r="IT750" s="319" t="s">
        <v>173</v>
      </c>
    </row>
    <row r="751" spans="1:254" s="271" customFormat="1" x14ac:dyDescent="0.25">
      <c r="A751" s="318" t="str">
        <f>HYPERLINK("http://www.ofsted.gov.uk/inspection-reports/find-inspection-report/provider/ELS/140046 ","Ofsted School Webpage")</f>
        <v>Ofsted School Webpage</v>
      </c>
      <c r="B751" s="319">
        <v>140046</v>
      </c>
      <c r="C751" s="319">
        <v>8506090</v>
      </c>
      <c r="D751" s="319" t="s">
        <v>2241</v>
      </c>
      <c r="E751" s="319" t="s">
        <v>168</v>
      </c>
      <c r="F751" s="319" t="s">
        <v>81</v>
      </c>
      <c r="G751" s="319" t="s">
        <v>81</v>
      </c>
      <c r="H751" s="319" t="s">
        <v>81</v>
      </c>
      <c r="I751" s="319" t="s">
        <v>78</v>
      </c>
      <c r="J751" s="319" t="s">
        <v>424</v>
      </c>
      <c r="K751" s="319" t="s">
        <v>514</v>
      </c>
      <c r="L751" s="319" t="s">
        <v>514</v>
      </c>
      <c r="M751" s="319" t="s">
        <v>515</v>
      </c>
      <c r="N751" s="319" t="s">
        <v>2952</v>
      </c>
      <c r="O751" s="319" t="s">
        <v>1464</v>
      </c>
      <c r="P751" s="319">
        <v>31</v>
      </c>
      <c r="Q751" s="319" t="s">
        <v>429</v>
      </c>
      <c r="R751" s="320">
        <v>10033963</v>
      </c>
      <c r="S751" s="321">
        <v>43060</v>
      </c>
      <c r="T751" s="321">
        <v>43062</v>
      </c>
      <c r="U751" s="321">
        <v>43108</v>
      </c>
      <c r="V751" s="319" t="s">
        <v>425</v>
      </c>
      <c r="W751" s="319" t="s">
        <v>2767</v>
      </c>
      <c r="X751" s="319">
        <v>2</v>
      </c>
      <c r="Y751" s="319" t="s">
        <v>173</v>
      </c>
      <c r="Z751" s="319" t="s">
        <v>173</v>
      </c>
      <c r="AA751" s="319" t="s">
        <v>173</v>
      </c>
      <c r="AB751" s="319">
        <v>2</v>
      </c>
      <c r="AC751" s="319" t="s">
        <v>169</v>
      </c>
      <c r="AD751" s="319" t="s">
        <v>173</v>
      </c>
      <c r="AE751" s="319">
        <v>2</v>
      </c>
      <c r="AF751" s="319" t="s">
        <v>427</v>
      </c>
      <c r="AG751" s="319" t="s">
        <v>171</v>
      </c>
      <c r="AH751" s="319" t="s">
        <v>190</v>
      </c>
      <c r="AI751" s="319" t="s">
        <v>190</v>
      </c>
      <c r="AJ751" s="319" t="s">
        <v>190</v>
      </c>
      <c r="AK751" s="319" t="s">
        <v>190</v>
      </c>
      <c r="AL751" s="319" t="s">
        <v>190</v>
      </c>
      <c r="AM751" s="319" t="s">
        <v>190</v>
      </c>
      <c r="AN751" s="319" t="s">
        <v>190</v>
      </c>
      <c r="AO751" s="319" t="s">
        <v>190</v>
      </c>
      <c r="AP751" s="319" t="s">
        <v>190</v>
      </c>
      <c r="AQ751" s="319" t="s">
        <v>190</v>
      </c>
      <c r="AR751" s="319" t="s">
        <v>190</v>
      </c>
      <c r="AS751" s="319" t="s">
        <v>190</v>
      </c>
      <c r="AT751" s="319" t="s">
        <v>190</v>
      </c>
      <c r="AU751" s="319" t="s">
        <v>190</v>
      </c>
      <c r="AV751" s="319" t="s">
        <v>190</v>
      </c>
      <c r="AW751" s="319" t="s">
        <v>190</v>
      </c>
      <c r="AX751" s="319" t="s">
        <v>428</v>
      </c>
      <c r="AY751" s="319" t="s">
        <v>190</v>
      </c>
      <c r="AZ751" s="319" t="s">
        <v>190</v>
      </c>
      <c r="BA751" s="319" t="s">
        <v>190</v>
      </c>
      <c r="BB751" s="319" t="s">
        <v>190</v>
      </c>
      <c r="BC751" s="319" t="s">
        <v>190</v>
      </c>
      <c r="BD751" s="319" t="s">
        <v>190</v>
      </c>
      <c r="BE751" s="319" t="s">
        <v>190</v>
      </c>
      <c r="BF751" s="319" t="s">
        <v>428</v>
      </c>
      <c r="BG751" s="319" t="s">
        <v>190</v>
      </c>
      <c r="BH751" s="319" t="s">
        <v>190</v>
      </c>
      <c r="BI751" s="319" t="s">
        <v>190</v>
      </c>
      <c r="BJ751" s="319" t="s">
        <v>190</v>
      </c>
      <c r="BK751" s="319" t="s">
        <v>190</v>
      </c>
      <c r="BL751" s="319" t="s">
        <v>190</v>
      </c>
      <c r="BM751" s="319" t="s">
        <v>190</v>
      </c>
      <c r="BN751" s="319" t="s">
        <v>190</v>
      </c>
      <c r="BO751" s="319" t="s">
        <v>190</v>
      </c>
      <c r="BP751" s="319" t="s">
        <v>190</v>
      </c>
      <c r="BQ751" s="319" t="s">
        <v>190</v>
      </c>
      <c r="BR751" s="319" t="s">
        <v>190</v>
      </c>
      <c r="BS751" s="319" t="s">
        <v>190</v>
      </c>
      <c r="BT751" s="319" t="s">
        <v>190</v>
      </c>
      <c r="BU751" s="319" t="s">
        <v>190</v>
      </c>
      <c r="BV751" s="319" t="s">
        <v>190</v>
      </c>
      <c r="BW751" s="319" t="s">
        <v>190</v>
      </c>
      <c r="BX751" s="319" t="s">
        <v>190</v>
      </c>
      <c r="BY751" s="319" t="s">
        <v>190</v>
      </c>
      <c r="BZ751" s="319" t="s">
        <v>190</v>
      </c>
      <c r="CA751" s="319" t="s">
        <v>190</v>
      </c>
      <c r="CB751" s="319" t="s">
        <v>190</v>
      </c>
      <c r="CC751" s="319" t="s">
        <v>190</v>
      </c>
      <c r="CD751" s="319" t="s">
        <v>190</v>
      </c>
      <c r="CE751" s="319" t="s">
        <v>190</v>
      </c>
      <c r="CF751" s="319" t="s">
        <v>190</v>
      </c>
      <c r="CG751" s="319" t="s">
        <v>190</v>
      </c>
      <c r="CH751" s="319" t="s">
        <v>190</v>
      </c>
      <c r="CI751" s="319" t="s">
        <v>190</v>
      </c>
      <c r="CJ751" s="319" t="s">
        <v>190</v>
      </c>
      <c r="CK751" s="319" t="s">
        <v>190</v>
      </c>
      <c r="CL751" s="319" t="s">
        <v>190</v>
      </c>
      <c r="CM751" s="319" t="s">
        <v>190</v>
      </c>
      <c r="CN751" s="319" t="s">
        <v>190</v>
      </c>
      <c r="CO751" s="319" t="s">
        <v>428</v>
      </c>
      <c r="CP751" s="319" t="s">
        <v>428</v>
      </c>
      <c r="CQ751" s="319" t="s">
        <v>190</v>
      </c>
      <c r="CR751" s="319" t="s">
        <v>190</v>
      </c>
      <c r="CS751" s="319" t="s">
        <v>190</v>
      </c>
      <c r="CT751" s="319" t="s">
        <v>190</v>
      </c>
      <c r="CU751" s="319" t="s">
        <v>190</v>
      </c>
      <c r="CV751" s="319" t="s">
        <v>190</v>
      </c>
      <c r="CW751" s="319" t="s">
        <v>190</v>
      </c>
      <c r="CX751" s="319" t="s">
        <v>190</v>
      </c>
      <c r="CY751" s="319" t="s">
        <v>190</v>
      </c>
      <c r="CZ751" s="319" t="s">
        <v>190</v>
      </c>
      <c r="DA751" s="319" t="s">
        <v>190</v>
      </c>
      <c r="DB751" s="319" t="s">
        <v>190</v>
      </c>
      <c r="DC751" s="319" t="s">
        <v>190</v>
      </c>
      <c r="DD751" s="319" t="s">
        <v>190</v>
      </c>
      <c r="DE751" s="319" t="s">
        <v>190</v>
      </c>
      <c r="DF751" s="319" t="s">
        <v>190</v>
      </c>
      <c r="DG751" s="319" t="s">
        <v>190</v>
      </c>
      <c r="DH751" s="319" t="s">
        <v>190</v>
      </c>
      <c r="DI751" s="319" t="s">
        <v>190</v>
      </c>
      <c r="DJ751" s="319" t="s">
        <v>190</v>
      </c>
      <c r="DK751" s="319" t="s">
        <v>190</v>
      </c>
      <c r="DL751" s="319" t="s">
        <v>190</v>
      </c>
      <c r="DM751" s="319" t="s">
        <v>190</v>
      </c>
      <c r="DN751" s="319" t="s">
        <v>428</v>
      </c>
      <c r="DO751" s="319" t="s">
        <v>190</v>
      </c>
      <c r="DP751" s="319" t="s">
        <v>428</v>
      </c>
      <c r="DQ751" s="319" t="s">
        <v>428</v>
      </c>
      <c r="DR751" s="319" t="s">
        <v>428</v>
      </c>
      <c r="DS751" s="319" t="s">
        <v>428</v>
      </c>
      <c r="DT751" s="319" t="s">
        <v>428</v>
      </c>
      <c r="DU751" s="319" t="s">
        <v>428</v>
      </c>
      <c r="DV751" s="319" t="s">
        <v>173</v>
      </c>
      <c r="DW751" s="319" t="s">
        <v>428</v>
      </c>
      <c r="DX751" s="319" t="s">
        <v>428</v>
      </c>
      <c r="DY751" s="319" t="s">
        <v>428</v>
      </c>
      <c r="DZ751" s="319" t="s">
        <v>428</v>
      </c>
      <c r="EA751" s="319" t="s">
        <v>428</v>
      </c>
      <c r="EB751" s="319" t="s">
        <v>428</v>
      </c>
      <c r="EC751" s="319" t="s">
        <v>428</v>
      </c>
      <c r="ED751" s="319" t="s">
        <v>190</v>
      </c>
      <c r="EE751" s="319" t="s">
        <v>190</v>
      </c>
      <c r="EF751" s="319" t="s">
        <v>190</v>
      </c>
      <c r="EG751" s="319" t="s">
        <v>190</v>
      </c>
      <c r="EH751" s="319" t="s">
        <v>190</v>
      </c>
      <c r="EI751" s="319" t="s">
        <v>190</v>
      </c>
      <c r="EJ751" s="319" t="s">
        <v>190</v>
      </c>
      <c r="EK751" s="319" t="s">
        <v>190</v>
      </c>
      <c r="EL751" s="319" t="s">
        <v>190</v>
      </c>
      <c r="EM751" s="319" t="s">
        <v>190</v>
      </c>
      <c r="EN751" s="319" t="s">
        <v>190</v>
      </c>
      <c r="EO751" s="319" t="s">
        <v>190</v>
      </c>
      <c r="EP751" s="319" t="s">
        <v>190</v>
      </c>
      <c r="EQ751" s="319" t="s">
        <v>190</v>
      </c>
      <c r="ER751" s="319" t="s">
        <v>190</v>
      </c>
      <c r="ES751" s="319" t="s">
        <v>190</v>
      </c>
      <c r="ET751" s="319" t="s">
        <v>190</v>
      </c>
      <c r="EU751" s="319" t="s">
        <v>190</v>
      </c>
      <c r="EV751" s="319" t="s">
        <v>190</v>
      </c>
      <c r="EW751" s="319" t="s">
        <v>190</v>
      </c>
      <c r="EX751" s="319" t="s">
        <v>190</v>
      </c>
      <c r="EY751" s="319" t="s">
        <v>190</v>
      </c>
      <c r="EZ751" s="319" t="s">
        <v>190</v>
      </c>
      <c r="FA751" s="319" t="s">
        <v>190</v>
      </c>
      <c r="FB751" s="319" t="s">
        <v>428</v>
      </c>
      <c r="FC751" s="319" t="s">
        <v>428</v>
      </c>
      <c r="FD751" s="319" t="s">
        <v>428</v>
      </c>
      <c r="FE751" s="319" t="s">
        <v>428</v>
      </c>
      <c r="FF751" s="319" t="s">
        <v>428</v>
      </c>
      <c r="FG751" s="319" t="s">
        <v>428</v>
      </c>
      <c r="FH751" s="319" t="s">
        <v>190</v>
      </c>
      <c r="FI751" s="319" t="s">
        <v>190</v>
      </c>
      <c r="FJ751" s="319" t="s">
        <v>190</v>
      </c>
      <c r="FK751" s="319" t="s">
        <v>190</v>
      </c>
      <c r="FL751" s="319" t="s">
        <v>190</v>
      </c>
      <c r="FM751" s="319" t="s">
        <v>190</v>
      </c>
      <c r="FN751" s="319" t="s">
        <v>190</v>
      </c>
      <c r="FO751" s="319" t="s">
        <v>428</v>
      </c>
      <c r="FP751" s="319" t="s">
        <v>190</v>
      </c>
      <c r="FQ751" s="319" t="s">
        <v>190</v>
      </c>
      <c r="FR751" s="319" t="s">
        <v>190</v>
      </c>
      <c r="FS751" s="319" t="s">
        <v>190</v>
      </c>
      <c r="FT751" s="319" t="s">
        <v>190</v>
      </c>
      <c r="FU751" s="319" t="s">
        <v>190</v>
      </c>
      <c r="FV751" s="319" t="s">
        <v>190</v>
      </c>
      <c r="FW751" s="319" t="s">
        <v>190</v>
      </c>
      <c r="FX751" s="319" t="s">
        <v>190</v>
      </c>
      <c r="FY751" s="319" t="s">
        <v>190</v>
      </c>
      <c r="FZ751" s="319" t="s">
        <v>190</v>
      </c>
      <c r="GA751" s="319" t="s">
        <v>190</v>
      </c>
      <c r="GB751" s="319" t="s">
        <v>190</v>
      </c>
      <c r="GC751" s="319" t="s">
        <v>190</v>
      </c>
      <c r="GD751" s="319" t="s">
        <v>190</v>
      </c>
      <c r="GE751" s="319" t="s">
        <v>190</v>
      </c>
      <c r="GF751" s="319" t="s">
        <v>190</v>
      </c>
      <c r="GG751" s="319" t="s">
        <v>190</v>
      </c>
      <c r="GH751" s="319" t="s">
        <v>190</v>
      </c>
      <c r="GI751" s="319" t="s">
        <v>428</v>
      </c>
      <c r="GJ751" s="319" t="s">
        <v>190</v>
      </c>
      <c r="GK751" s="319" t="s">
        <v>428</v>
      </c>
      <c r="GL751" s="319" t="s">
        <v>190</v>
      </c>
      <c r="GM751" s="319" t="s">
        <v>190</v>
      </c>
      <c r="GN751" s="319" t="s">
        <v>190</v>
      </c>
      <c r="GO751" s="319" t="s">
        <v>190</v>
      </c>
      <c r="GP751" s="319" t="s">
        <v>190</v>
      </c>
      <c r="GQ751" s="319" t="s">
        <v>428</v>
      </c>
      <c r="GR751" s="319" t="s">
        <v>190</v>
      </c>
      <c r="GS751" s="319" t="s">
        <v>190</v>
      </c>
      <c r="GT751" s="319" t="s">
        <v>190</v>
      </c>
      <c r="GU751" s="319" t="s">
        <v>190</v>
      </c>
      <c r="GV751" s="319" t="s">
        <v>190</v>
      </c>
      <c r="GW751" s="319" t="s">
        <v>190</v>
      </c>
      <c r="GX751" s="319" t="s">
        <v>190</v>
      </c>
      <c r="GY751" s="319" t="s">
        <v>190</v>
      </c>
      <c r="GZ751" s="319" t="s">
        <v>428</v>
      </c>
      <c r="HA751" s="319" t="s">
        <v>190</v>
      </c>
      <c r="HB751" s="319" t="s">
        <v>428</v>
      </c>
      <c r="HC751" s="319" t="s">
        <v>190</v>
      </c>
      <c r="HD751" s="319" t="s">
        <v>190</v>
      </c>
      <c r="HE751" s="319" t="s">
        <v>190</v>
      </c>
      <c r="HF751" s="319" t="s">
        <v>190</v>
      </c>
      <c r="HG751" s="319" t="s">
        <v>190</v>
      </c>
      <c r="HH751" s="319" t="s">
        <v>190</v>
      </c>
      <c r="HI751" s="319" t="s">
        <v>190</v>
      </c>
      <c r="HJ751" s="319" t="s">
        <v>190</v>
      </c>
      <c r="HK751" s="319" t="s">
        <v>190</v>
      </c>
      <c r="HL751" s="319" t="s">
        <v>190</v>
      </c>
      <c r="HM751" s="319" t="s">
        <v>428</v>
      </c>
      <c r="HN751" s="319" t="s">
        <v>428</v>
      </c>
      <c r="HO751" s="319" t="s">
        <v>428</v>
      </c>
      <c r="HP751" s="319" t="s">
        <v>190</v>
      </c>
      <c r="HQ751" s="319" t="s">
        <v>190</v>
      </c>
      <c r="HR751" s="319" t="s">
        <v>190</v>
      </c>
      <c r="HS751" s="319" t="s">
        <v>190</v>
      </c>
      <c r="HT751" s="319" t="s">
        <v>190</v>
      </c>
      <c r="HU751" s="319" t="s">
        <v>190</v>
      </c>
      <c r="HV751" s="319" t="s">
        <v>190</v>
      </c>
      <c r="HW751" s="319" t="s">
        <v>190</v>
      </c>
      <c r="HX751" s="319" t="s">
        <v>190</v>
      </c>
      <c r="HY751" s="319" t="s">
        <v>190</v>
      </c>
      <c r="HZ751" s="319" t="s">
        <v>190</v>
      </c>
      <c r="IA751" s="319" t="s">
        <v>190</v>
      </c>
      <c r="IB751" s="319" t="s">
        <v>190</v>
      </c>
      <c r="IC751" s="319" t="s">
        <v>190</v>
      </c>
      <c r="ID751" s="319" t="s">
        <v>190</v>
      </c>
      <c r="IE751" s="319" t="s">
        <v>190</v>
      </c>
      <c r="IF751" s="319" t="s">
        <v>190</v>
      </c>
      <c r="IG751" s="319" t="s">
        <v>190</v>
      </c>
      <c r="IH751" s="319" t="s">
        <v>190</v>
      </c>
      <c r="II751" s="319" t="s">
        <v>190</v>
      </c>
      <c r="IJ751" s="319" t="s">
        <v>3487</v>
      </c>
      <c r="IK751" s="321">
        <v>41793</v>
      </c>
      <c r="IL751" s="321">
        <v>41794</v>
      </c>
      <c r="IM751" s="321">
        <v>41817</v>
      </c>
      <c r="IN751" s="319">
        <v>2</v>
      </c>
      <c r="IO751" s="319" t="s">
        <v>173</v>
      </c>
      <c r="IP751" s="319" t="s">
        <v>173</v>
      </c>
      <c r="IQ751" s="321" t="s">
        <v>173</v>
      </c>
      <c r="IR751" s="320" t="s">
        <v>173</v>
      </c>
      <c r="IS751" s="322" t="s">
        <v>173</v>
      </c>
      <c r="IT751" s="319" t="s">
        <v>173</v>
      </c>
    </row>
    <row r="752" spans="1:254" s="271" customFormat="1" x14ac:dyDescent="0.25">
      <c r="A752" s="318" t="str">
        <f>HYPERLINK("http://www.ofsted.gov.uk/inspection-reports/find-inspection-report/provider/ELS/140205 ","Ofsted School Webpage")</f>
        <v>Ofsted School Webpage</v>
      </c>
      <c r="B752" s="319">
        <v>140205</v>
      </c>
      <c r="C752" s="319">
        <v>3516002</v>
      </c>
      <c r="D752" s="319" t="s">
        <v>2242</v>
      </c>
      <c r="E752" s="319" t="s">
        <v>168</v>
      </c>
      <c r="F752" s="319" t="s">
        <v>81</v>
      </c>
      <c r="G752" s="319" t="s">
        <v>81</v>
      </c>
      <c r="H752" s="319" t="s">
        <v>81</v>
      </c>
      <c r="I752" s="319" t="s">
        <v>78</v>
      </c>
      <c r="J752" s="319" t="s">
        <v>424</v>
      </c>
      <c r="K752" s="319" t="s">
        <v>431</v>
      </c>
      <c r="L752" s="319" t="s">
        <v>431</v>
      </c>
      <c r="M752" s="319" t="s">
        <v>936</v>
      </c>
      <c r="N752" s="319" t="s">
        <v>2868</v>
      </c>
      <c r="O752" s="319" t="s">
        <v>2243</v>
      </c>
      <c r="P752" s="319">
        <v>15</v>
      </c>
      <c r="Q752" s="319" t="s">
        <v>429</v>
      </c>
      <c r="R752" s="320">
        <v>10034033</v>
      </c>
      <c r="S752" s="321">
        <v>43025</v>
      </c>
      <c r="T752" s="321">
        <v>43027</v>
      </c>
      <c r="U752" s="321">
        <v>43052</v>
      </c>
      <c r="V752" s="319" t="s">
        <v>425</v>
      </c>
      <c r="W752" s="319" t="s">
        <v>2767</v>
      </c>
      <c r="X752" s="319">
        <v>2</v>
      </c>
      <c r="Y752" s="319" t="s">
        <v>173</v>
      </c>
      <c r="Z752" s="319" t="s">
        <v>173</v>
      </c>
      <c r="AA752" s="319" t="s">
        <v>173</v>
      </c>
      <c r="AB752" s="319">
        <v>2</v>
      </c>
      <c r="AC752" s="319" t="s">
        <v>169</v>
      </c>
      <c r="AD752" s="319" t="s">
        <v>173</v>
      </c>
      <c r="AE752" s="319" t="s">
        <v>173</v>
      </c>
      <c r="AF752" s="319" t="s">
        <v>427</v>
      </c>
      <c r="AG752" s="319" t="s">
        <v>171</v>
      </c>
      <c r="AH752" s="319" t="s">
        <v>190</v>
      </c>
      <c r="AI752" s="319" t="s">
        <v>190</v>
      </c>
      <c r="AJ752" s="319" t="s">
        <v>190</v>
      </c>
      <c r="AK752" s="319" t="s">
        <v>190</v>
      </c>
      <c r="AL752" s="319" t="s">
        <v>190</v>
      </c>
      <c r="AM752" s="319" t="s">
        <v>190</v>
      </c>
      <c r="AN752" s="319" t="s">
        <v>190</v>
      </c>
      <c r="AO752" s="319" t="s">
        <v>190</v>
      </c>
      <c r="AP752" s="319" t="s">
        <v>190</v>
      </c>
      <c r="AQ752" s="319" t="s">
        <v>190</v>
      </c>
      <c r="AR752" s="319" t="s">
        <v>190</v>
      </c>
      <c r="AS752" s="319" t="s">
        <v>190</v>
      </c>
      <c r="AT752" s="319" t="s">
        <v>190</v>
      </c>
      <c r="AU752" s="319" t="s">
        <v>190</v>
      </c>
      <c r="AV752" s="319" t="s">
        <v>190</v>
      </c>
      <c r="AW752" s="319" t="s">
        <v>190</v>
      </c>
      <c r="AX752" s="319" t="s">
        <v>428</v>
      </c>
      <c r="AY752" s="319" t="s">
        <v>190</v>
      </c>
      <c r="AZ752" s="319" t="s">
        <v>190</v>
      </c>
      <c r="BA752" s="319" t="s">
        <v>190</v>
      </c>
      <c r="BB752" s="319" t="s">
        <v>190</v>
      </c>
      <c r="BC752" s="319" t="s">
        <v>190</v>
      </c>
      <c r="BD752" s="319" t="s">
        <v>190</v>
      </c>
      <c r="BE752" s="319" t="s">
        <v>190</v>
      </c>
      <c r="BF752" s="319" t="s">
        <v>428</v>
      </c>
      <c r="BG752" s="319" t="s">
        <v>428</v>
      </c>
      <c r="BH752" s="319" t="s">
        <v>190</v>
      </c>
      <c r="BI752" s="319" t="s">
        <v>190</v>
      </c>
      <c r="BJ752" s="319" t="s">
        <v>190</v>
      </c>
      <c r="BK752" s="319" t="s">
        <v>190</v>
      </c>
      <c r="BL752" s="319" t="s">
        <v>190</v>
      </c>
      <c r="BM752" s="319" t="s">
        <v>190</v>
      </c>
      <c r="BN752" s="319" t="s">
        <v>190</v>
      </c>
      <c r="BO752" s="319" t="s">
        <v>190</v>
      </c>
      <c r="BP752" s="319" t="s">
        <v>190</v>
      </c>
      <c r="BQ752" s="319" t="s">
        <v>190</v>
      </c>
      <c r="BR752" s="319" t="s">
        <v>190</v>
      </c>
      <c r="BS752" s="319" t="s">
        <v>190</v>
      </c>
      <c r="BT752" s="319" t="s">
        <v>190</v>
      </c>
      <c r="BU752" s="319" t="s">
        <v>190</v>
      </c>
      <c r="BV752" s="319" t="s">
        <v>190</v>
      </c>
      <c r="BW752" s="319" t="s">
        <v>190</v>
      </c>
      <c r="BX752" s="319" t="s">
        <v>190</v>
      </c>
      <c r="BY752" s="319" t="s">
        <v>190</v>
      </c>
      <c r="BZ752" s="319" t="s">
        <v>190</v>
      </c>
      <c r="CA752" s="319" t="s">
        <v>190</v>
      </c>
      <c r="CB752" s="319" t="s">
        <v>190</v>
      </c>
      <c r="CC752" s="319" t="s">
        <v>190</v>
      </c>
      <c r="CD752" s="319" t="s">
        <v>190</v>
      </c>
      <c r="CE752" s="319" t="s">
        <v>190</v>
      </c>
      <c r="CF752" s="319" t="s">
        <v>190</v>
      </c>
      <c r="CG752" s="319" t="s">
        <v>190</v>
      </c>
      <c r="CH752" s="319" t="s">
        <v>190</v>
      </c>
      <c r="CI752" s="319" t="s">
        <v>190</v>
      </c>
      <c r="CJ752" s="319" t="s">
        <v>190</v>
      </c>
      <c r="CK752" s="319" t="s">
        <v>190</v>
      </c>
      <c r="CL752" s="319" t="s">
        <v>190</v>
      </c>
      <c r="CM752" s="319" t="s">
        <v>190</v>
      </c>
      <c r="CN752" s="319" t="s">
        <v>428</v>
      </c>
      <c r="CO752" s="319" t="s">
        <v>428</v>
      </c>
      <c r="CP752" s="319" t="s">
        <v>428</v>
      </c>
      <c r="CQ752" s="319" t="s">
        <v>190</v>
      </c>
      <c r="CR752" s="319" t="s">
        <v>190</v>
      </c>
      <c r="CS752" s="319" t="s">
        <v>190</v>
      </c>
      <c r="CT752" s="319" t="s">
        <v>190</v>
      </c>
      <c r="CU752" s="319" t="s">
        <v>190</v>
      </c>
      <c r="CV752" s="319" t="s">
        <v>190</v>
      </c>
      <c r="CW752" s="319" t="s">
        <v>190</v>
      </c>
      <c r="CX752" s="319" t="s">
        <v>190</v>
      </c>
      <c r="CY752" s="319" t="s">
        <v>190</v>
      </c>
      <c r="CZ752" s="319" t="s">
        <v>190</v>
      </c>
      <c r="DA752" s="319" t="s">
        <v>190</v>
      </c>
      <c r="DB752" s="319" t="s">
        <v>190</v>
      </c>
      <c r="DC752" s="319" t="s">
        <v>190</v>
      </c>
      <c r="DD752" s="319" t="s">
        <v>190</v>
      </c>
      <c r="DE752" s="319" t="s">
        <v>190</v>
      </c>
      <c r="DF752" s="319" t="s">
        <v>190</v>
      </c>
      <c r="DG752" s="319" t="s">
        <v>190</v>
      </c>
      <c r="DH752" s="319" t="s">
        <v>190</v>
      </c>
      <c r="DI752" s="319" t="s">
        <v>190</v>
      </c>
      <c r="DJ752" s="319" t="s">
        <v>190</v>
      </c>
      <c r="DK752" s="319" t="s">
        <v>190</v>
      </c>
      <c r="DL752" s="319" t="s">
        <v>190</v>
      </c>
      <c r="DM752" s="319" t="s">
        <v>190</v>
      </c>
      <c r="DN752" s="319" t="s">
        <v>428</v>
      </c>
      <c r="DO752" s="319" t="s">
        <v>190</v>
      </c>
      <c r="DP752" s="319" t="s">
        <v>190</v>
      </c>
      <c r="DQ752" s="319" t="s">
        <v>190</v>
      </c>
      <c r="DR752" s="319" t="s">
        <v>190</v>
      </c>
      <c r="DS752" s="319" t="s">
        <v>190</v>
      </c>
      <c r="DT752" s="319" t="s">
        <v>190</v>
      </c>
      <c r="DU752" s="319" t="s">
        <v>190</v>
      </c>
      <c r="DV752" s="319" t="s">
        <v>173</v>
      </c>
      <c r="DW752" s="319" t="s">
        <v>190</v>
      </c>
      <c r="DX752" s="319" t="s">
        <v>190</v>
      </c>
      <c r="DY752" s="319" t="s">
        <v>190</v>
      </c>
      <c r="DZ752" s="319" t="s">
        <v>190</v>
      </c>
      <c r="EA752" s="319" t="s">
        <v>190</v>
      </c>
      <c r="EB752" s="319" t="s">
        <v>190</v>
      </c>
      <c r="EC752" s="319" t="s">
        <v>428</v>
      </c>
      <c r="ED752" s="319" t="s">
        <v>190</v>
      </c>
      <c r="EE752" s="319" t="s">
        <v>190</v>
      </c>
      <c r="EF752" s="319" t="s">
        <v>190</v>
      </c>
      <c r="EG752" s="319" t="s">
        <v>190</v>
      </c>
      <c r="EH752" s="319" t="s">
        <v>190</v>
      </c>
      <c r="EI752" s="319" t="s">
        <v>190</v>
      </c>
      <c r="EJ752" s="319" t="s">
        <v>190</v>
      </c>
      <c r="EK752" s="319" t="s">
        <v>190</v>
      </c>
      <c r="EL752" s="319" t="s">
        <v>428</v>
      </c>
      <c r="EM752" s="319" t="s">
        <v>428</v>
      </c>
      <c r="EN752" s="319" t="s">
        <v>190</v>
      </c>
      <c r="EO752" s="319" t="s">
        <v>190</v>
      </c>
      <c r="EP752" s="319" t="s">
        <v>190</v>
      </c>
      <c r="EQ752" s="319" t="s">
        <v>190</v>
      </c>
      <c r="ER752" s="319" t="s">
        <v>190</v>
      </c>
      <c r="ES752" s="319" t="s">
        <v>190</v>
      </c>
      <c r="ET752" s="319" t="s">
        <v>190</v>
      </c>
      <c r="EU752" s="319" t="s">
        <v>190</v>
      </c>
      <c r="EV752" s="319" t="s">
        <v>190</v>
      </c>
      <c r="EW752" s="319" t="s">
        <v>190</v>
      </c>
      <c r="EX752" s="319" t="s">
        <v>190</v>
      </c>
      <c r="EY752" s="319" t="s">
        <v>190</v>
      </c>
      <c r="EZ752" s="319" t="s">
        <v>190</v>
      </c>
      <c r="FA752" s="319" t="s">
        <v>190</v>
      </c>
      <c r="FB752" s="319" t="s">
        <v>190</v>
      </c>
      <c r="FC752" s="319" t="s">
        <v>190</v>
      </c>
      <c r="FD752" s="319" t="s">
        <v>190</v>
      </c>
      <c r="FE752" s="319" t="s">
        <v>190</v>
      </c>
      <c r="FF752" s="319" t="s">
        <v>190</v>
      </c>
      <c r="FG752" s="319" t="s">
        <v>190</v>
      </c>
      <c r="FH752" s="319" t="s">
        <v>190</v>
      </c>
      <c r="FI752" s="319" t="s">
        <v>190</v>
      </c>
      <c r="FJ752" s="319" t="s">
        <v>190</v>
      </c>
      <c r="FK752" s="319" t="s">
        <v>190</v>
      </c>
      <c r="FL752" s="319" t="s">
        <v>190</v>
      </c>
      <c r="FM752" s="319" t="s">
        <v>190</v>
      </c>
      <c r="FN752" s="319" t="s">
        <v>190</v>
      </c>
      <c r="FO752" s="319" t="s">
        <v>190</v>
      </c>
      <c r="FP752" s="319" t="s">
        <v>190</v>
      </c>
      <c r="FQ752" s="319" t="s">
        <v>190</v>
      </c>
      <c r="FR752" s="319" t="s">
        <v>190</v>
      </c>
      <c r="FS752" s="319" t="s">
        <v>190</v>
      </c>
      <c r="FT752" s="319" t="s">
        <v>190</v>
      </c>
      <c r="FU752" s="319" t="s">
        <v>190</v>
      </c>
      <c r="FV752" s="319" t="s">
        <v>190</v>
      </c>
      <c r="FW752" s="319" t="s">
        <v>190</v>
      </c>
      <c r="FX752" s="319" t="s">
        <v>190</v>
      </c>
      <c r="FY752" s="319" t="s">
        <v>190</v>
      </c>
      <c r="FZ752" s="319" t="s">
        <v>190</v>
      </c>
      <c r="GA752" s="319" t="s">
        <v>190</v>
      </c>
      <c r="GB752" s="319" t="s">
        <v>190</v>
      </c>
      <c r="GC752" s="319" t="s">
        <v>190</v>
      </c>
      <c r="GD752" s="319" t="s">
        <v>190</v>
      </c>
      <c r="GE752" s="319" t="s">
        <v>190</v>
      </c>
      <c r="GF752" s="319" t="s">
        <v>190</v>
      </c>
      <c r="GG752" s="319" t="s">
        <v>190</v>
      </c>
      <c r="GH752" s="319" t="s">
        <v>190</v>
      </c>
      <c r="GI752" s="319" t="s">
        <v>190</v>
      </c>
      <c r="GJ752" s="319" t="s">
        <v>190</v>
      </c>
      <c r="GK752" s="319" t="s">
        <v>428</v>
      </c>
      <c r="GL752" s="319" t="s">
        <v>190</v>
      </c>
      <c r="GM752" s="319" t="s">
        <v>190</v>
      </c>
      <c r="GN752" s="319" t="s">
        <v>190</v>
      </c>
      <c r="GO752" s="319" t="s">
        <v>190</v>
      </c>
      <c r="GP752" s="319" t="s">
        <v>190</v>
      </c>
      <c r="GQ752" s="319" t="s">
        <v>190</v>
      </c>
      <c r="GR752" s="319" t="s">
        <v>190</v>
      </c>
      <c r="GS752" s="319" t="s">
        <v>190</v>
      </c>
      <c r="GT752" s="319" t="s">
        <v>190</v>
      </c>
      <c r="GU752" s="319" t="s">
        <v>190</v>
      </c>
      <c r="GV752" s="319" t="s">
        <v>190</v>
      </c>
      <c r="GW752" s="319" t="s">
        <v>190</v>
      </c>
      <c r="GX752" s="319" t="s">
        <v>190</v>
      </c>
      <c r="GY752" s="319" t="s">
        <v>190</v>
      </c>
      <c r="GZ752" s="319" t="s">
        <v>190</v>
      </c>
      <c r="HA752" s="319" t="s">
        <v>190</v>
      </c>
      <c r="HB752" s="319" t="s">
        <v>190</v>
      </c>
      <c r="HC752" s="319" t="s">
        <v>190</v>
      </c>
      <c r="HD752" s="319" t="s">
        <v>190</v>
      </c>
      <c r="HE752" s="319" t="s">
        <v>190</v>
      </c>
      <c r="HF752" s="319" t="s">
        <v>190</v>
      </c>
      <c r="HG752" s="319" t="s">
        <v>190</v>
      </c>
      <c r="HH752" s="319" t="s">
        <v>190</v>
      </c>
      <c r="HI752" s="319" t="s">
        <v>190</v>
      </c>
      <c r="HJ752" s="319" t="s">
        <v>190</v>
      </c>
      <c r="HK752" s="319" t="s">
        <v>190</v>
      </c>
      <c r="HL752" s="319" t="s">
        <v>428</v>
      </c>
      <c r="HM752" s="319" t="s">
        <v>428</v>
      </c>
      <c r="HN752" s="319" t="s">
        <v>428</v>
      </c>
      <c r="HO752" s="319" t="s">
        <v>428</v>
      </c>
      <c r="HP752" s="319" t="s">
        <v>190</v>
      </c>
      <c r="HQ752" s="319" t="s">
        <v>190</v>
      </c>
      <c r="HR752" s="319" t="s">
        <v>190</v>
      </c>
      <c r="HS752" s="319" t="s">
        <v>190</v>
      </c>
      <c r="HT752" s="319" t="s">
        <v>190</v>
      </c>
      <c r="HU752" s="319" t="s">
        <v>190</v>
      </c>
      <c r="HV752" s="319" t="s">
        <v>190</v>
      </c>
      <c r="HW752" s="319" t="s">
        <v>190</v>
      </c>
      <c r="HX752" s="319" t="s">
        <v>190</v>
      </c>
      <c r="HY752" s="319" t="s">
        <v>190</v>
      </c>
      <c r="HZ752" s="319" t="s">
        <v>190</v>
      </c>
      <c r="IA752" s="319" t="s">
        <v>190</v>
      </c>
      <c r="IB752" s="319" t="s">
        <v>190</v>
      </c>
      <c r="IC752" s="319" t="s">
        <v>190</v>
      </c>
      <c r="ID752" s="319" t="s">
        <v>190</v>
      </c>
      <c r="IE752" s="319" t="s">
        <v>190</v>
      </c>
      <c r="IF752" s="319" t="s">
        <v>190</v>
      </c>
      <c r="IG752" s="319" t="s">
        <v>190</v>
      </c>
      <c r="IH752" s="319" t="s">
        <v>190</v>
      </c>
      <c r="II752" s="319" t="s">
        <v>190</v>
      </c>
      <c r="IJ752" s="319" t="s">
        <v>3488</v>
      </c>
      <c r="IK752" s="321">
        <v>41800</v>
      </c>
      <c r="IL752" s="321">
        <v>41801</v>
      </c>
      <c r="IM752" s="321">
        <v>41823</v>
      </c>
      <c r="IN752" s="319">
        <v>2</v>
      </c>
      <c r="IO752" s="319" t="s">
        <v>173</v>
      </c>
      <c r="IP752" s="319" t="s">
        <v>173</v>
      </c>
      <c r="IQ752" s="321" t="s">
        <v>173</v>
      </c>
      <c r="IR752" s="320" t="s">
        <v>173</v>
      </c>
      <c r="IS752" s="322" t="s">
        <v>173</v>
      </c>
      <c r="IT752" s="319" t="s">
        <v>173</v>
      </c>
    </row>
    <row r="753" spans="1:254" s="271" customFormat="1" x14ac:dyDescent="0.25">
      <c r="A753" s="318" t="str">
        <f>HYPERLINK("http://www.ofsted.gov.uk/inspection-reports/find-inspection-report/provider/ELS/140225 ","Ofsted School Webpage")</f>
        <v>Ofsted School Webpage</v>
      </c>
      <c r="B753" s="319">
        <v>140225</v>
      </c>
      <c r="C753" s="319">
        <v>2076007</v>
      </c>
      <c r="D753" s="319" t="s">
        <v>2244</v>
      </c>
      <c r="E753" s="319" t="s">
        <v>167</v>
      </c>
      <c r="F753" s="319" t="s">
        <v>81</v>
      </c>
      <c r="G753" s="319" t="s">
        <v>81</v>
      </c>
      <c r="H753" s="319" t="s">
        <v>81</v>
      </c>
      <c r="I753" s="319" t="s">
        <v>78</v>
      </c>
      <c r="J753" s="319" t="s">
        <v>424</v>
      </c>
      <c r="K753" s="319" t="s">
        <v>441</v>
      </c>
      <c r="L753" s="319" t="s">
        <v>441</v>
      </c>
      <c r="M753" s="319" t="s">
        <v>567</v>
      </c>
      <c r="N753" s="319" t="s">
        <v>2790</v>
      </c>
      <c r="O753" s="319" t="s">
        <v>2245</v>
      </c>
      <c r="P753" s="319">
        <v>11</v>
      </c>
      <c r="Q753" s="319" t="s">
        <v>2776</v>
      </c>
      <c r="R753" s="320">
        <v>10035812</v>
      </c>
      <c r="S753" s="321">
        <v>43151</v>
      </c>
      <c r="T753" s="321">
        <v>43153</v>
      </c>
      <c r="U753" s="321">
        <v>43175</v>
      </c>
      <c r="V753" s="319" t="s">
        <v>425</v>
      </c>
      <c r="W753" s="319" t="s">
        <v>2767</v>
      </c>
      <c r="X753" s="319">
        <v>2</v>
      </c>
      <c r="Y753" s="319" t="s">
        <v>173</v>
      </c>
      <c r="Z753" s="319" t="s">
        <v>173</v>
      </c>
      <c r="AA753" s="319" t="s">
        <v>173</v>
      </c>
      <c r="AB753" s="319">
        <v>2</v>
      </c>
      <c r="AC753" s="319" t="s">
        <v>169</v>
      </c>
      <c r="AD753" s="319" t="s">
        <v>173</v>
      </c>
      <c r="AE753" s="319" t="s">
        <v>173</v>
      </c>
      <c r="AF753" s="319" t="s">
        <v>427</v>
      </c>
      <c r="AG753" s="319" t="s">
        <v>171</v>
      </c>
      <c r="AH753" s="319" t="s">
        <v>190</v>
      </c>
      <c r="AI753" s="319" t="s">
        <v>190</v>
      </c>
      <c r="AJ753" s="319" t="s">
        <v>190</v>
      </c>
      <c r="AK753" s="319" t="s">
        <v>190</v>
      </c>
      <c r="AL753" s="319" t="s">
        <v>190</v>
      </c>
      <c r="AM753" s="319" t="s">
        <v>190</v>
      </c>
      <c r="AN753" s="319" t="s">
        <v>190</v>
      </c>
      <c r="AO753" s="319" t="s">
        <v>190</v>
      </c>
      <c r="AP753" s="319" t="s">
        <v>190</v>
      </c>
      <c r="AQ753" s="319" t="s">
        <v>190</v>
      </c>
      <c r="AR753" s="319" t="s">
        <v>190</v>
      </c>
      <c r="AS753" s="319" t="s">
        <v>190</v>
      </c>
      <c r="AT753" s="319" t="s">
        <v>190</v>
      </c>
      <c r="AU753" s="319" t="s">
        <v>190</v>
      </c>
      <c r="AV753" s="319" t="s">
        <v>190</v>
      </c>
      <c r="AW753" s="319" t="s">
        <v>190</v>
      </c>
      <c r="AX753" s="319" t="s">
        <v>428</v>
      </c>
      <c r="AY753" s="319" t="s">
        <v>190</v>
      </c>
      <c r="AZ753" s="319" t="s">
        <v>190</v>
      </c>
      <c r="BA753" s="319" t="s">
        <v>190</v>
      </c>
      <c r="BB753" s="319" t="s">
        <v>190</v>
      </c>
      <c r="BC753" s="319" t="s">
        <v>190</v>
      </c>
      <c r="BD753" s="319" t="s">
        <v>190</v>
      </c>
      <c r="BE753" s="319" t="s">
        <v>190</v>
      </c>
      <c r="BF753" s="319" t="s">
        <v>428</v>
      </c>
      <c r="BG753" s="319" t="s">
        <v>190</v>
      </c>
      <c r="BH753" s="319" t="s">
        <v>190</v>
      </c>
      <c r="BI753" s="319" t="s">
        <v>190</v>
      </c>
      <c r="BJ753" s="319" t="s">
        <v>190</v>
      </c>
      <c r="BK753" s="319" t="s">
        <v>190</v>
      </c>
      <c r="BL753" s="319" t="s">
        <v>190</v>
      </c>
      <c r="BM753" s="319" t="s">
        <v>190</v>
      </c>
      <c r="BN753" s="319" t="s">
        <v>190</v>
      </c>
      <c r="BO753" s="319" t="s">
        <v>190</v>
      </c>
      <c r="BP753" s="319" t="s">
        <v>190</v>
      </c>
      <c r="BQ753" s="319" t="s">
        <v>190</v>
      </c>
      <c r="BR753" s="319" t="s">
        <v>190</v>
      </c>
      <c r="BS753" s="319" t="s">
        <v>190</v>
      </c>
      <c r="BT753" s="319" t="s">
        <v>190</v>
      </c>
      <c r="BU753" s="319" t="s">
        <v>190</v>
      </c>
      <c r="BV753" s="319" t="s">
        <v>190</v>
      </c>
      <c r="BW753" s="319" t="s">
        <v>190</v>
      </c>
      <c r="BX753" s="319" t="s">
        <v>190</v>
      </c>
      <c r="BY753" s="319" t="s">
        <v>190</v>
      </c>
      <c r="BZ753" s="319" t="s">
        <v>190</v>
      </c>
      <c r="CA753" s="319" t="s">
        <v>190</v>
      </c>
      <c r="CB753" s="319" t="s">
        <v>190</v>
      </c>
      <c r="CC753" s="319" t="s">
        <v>190</v>
      </c>
      <c r="CD753" s="319" t="s">
        <v>190</v>
      </c>
      <c r="CE753" s="319" t="s">
        <v>190</v>
      </c>
      <c r="CF753" s="319" t="s">
        <v>190</v>
      </c>
      <c r="CG753" s="319" t="s">
        <v>190</v>
      </c>
      <c r="CH753" s="319" t="s">
        <v>190</v>
      </c>
      <c r="CI753" s="319" t="s">
        <v>190</v>
      </c>
      <c r="CJ753" s="319" t="s">
        <v>190</v>
      </c>
      <c r="CK753" s="319" t="s">
        <v>190</v>
      </c>
      <c r="CL753" s="319" t="s">
        <v>190</v>
      </c>
      <c r="CM753" s="319" t="s">
        <v>190</v>
      </c>
      <c r="CN753" s="319" t="s">
        <v>428</v>
      </c>
      <c r="CO753" s="319" t="s">
        <v>428</v>
      </c>
      <c r="CP753" s="319" t="s">
        <v>428</v>
      </c>
      <c r="CQ753" s="319" t="s">
        <v>190</v>
      </c>
      <c r="CR753" s="319" t="s">
        <v>190</v>
      </c>
      <c r="CS753" s="319" t="s">
        <v>190</v>
      </c>
      <c r="CT753" s="319" t="s">
        <v>190</v>
      </c>
      <c r="CU753" s="319" t="s">
        <v>190</v>
      </c>
      <c r="CV753" s="319" t="s">
        <v>190</v>
      </c>
      <c r="CW753" s="319" t="s">
        <v>190</v>
      </c>
      <c r="CX753" s="319" t="s">
        <v>190</v>
      </c>
      <c r="CY753" s="319" t="s">
        <v>190</v>
      </c>
      <c r="CZ753" s="319" t="s">
        <v>190</v>
      </c>
      <c r="DA753" s="319" t="s">
        <v>190</v>
      </c>
      <c r="DB753" s="319" t="s">
        <v>190</v>
      </c>
      <c r="DC753" s="319" t="s">
        <v>190</v>
      </c>
      <c r="DD753" s="319" t="s">
        <v>190</v>
      </c>
      <c r="DE753" s="319" t="s">
        <v>190</v>
      </c>
      <c r="DF753" s="319" t="s">
        <v>190</v>
      </c>
      <c r="DG753" s="319" t="s">
        <v>190</v>
      </c>
      <c r="DH753" s="319" t="s">
        <v>190</v>
      </c>
      <c r="DI753" s="319" t="s">
        <v>190</v>
      </c>
      <c r="DJ753" s="319" t="s">
        <v>190</v>
      </c>
      <c r="DK753" s="319" t="s">
        <v>190</v>
      </c>
      <c r="DL753" s="319" t="s">
        <v>190</v>
      </c>
      <c r="DM753" s="319" t="s">
        <v>428</v>
      </c>
      <c r="DN753" s="319" t="s">
        <v>428</v>
      </c>
      <c r="DO753" s="319" t="s">
        <v>190</v>
      </c>
      <c r="DP753" s="319" t="s">
        <v>190</v>
      </c>
      <c r="DQ753" s="319" t="s">
        <v>190</v>
      </c>
      <c r="DR753" s="319" t="s">
        <v>190</v>
      </c>
      <c r="DS753" s="319" t="s">
        <v>190</v>
      </c>
      <c r="DT753" s="319" t="s">
        <v>190</v>
      </c>
      <c r="DU753" s="319" t="s">
        <v>190</v>
      </c>
      <c r="DV753" s="319" t="s">
        <v>173</v>
      </c>
      <c r="DW753" s="319" t="s">
        <v>190</v>
      </c>
      <c r="DX753" s="319" t="s">
        <v>190</v>
      </c>
      <c r="DY753" s="319" t="s">
        <v>190</v>
      </c>
      <c r="DZ753" s="319" t="s">
        <v>190</v>
      </c>
      <c r="EA753" s="319" t="s">
        <v>190</v>
      </c>
      <c r="EB753" s="319" t="s">
        <v>190</v>
      </c>
      <c r="EC753" s="319" t="s">
        <v>428</v>
      </c>
      <c r="ED753" s="319" t="s">
        <v>190</v>
      </c>
      <c r="EE753" s="319" t="s">
        <v>190</v>
      </c>
      <c r="EF753" s="319" t="s">
        <v>190</v>
      </c>
      <c r="EG753" s="319" t="s">
        <v>190</v>
      </c>
      <c r="EH753" s="319" t="s">
        <v>190</v>
      </c>
      <c r="EI753" s="319" t="s">
        <v>190</v>
      </c>
      <c r="EJ753" s="319" t="s">
        <v>190</v>
      </c>
      <c r="EK753" s="319" t="s">
        <v>190</v>
      </c>
      <c r="EL753" s="319" t="s">
        <v>428</v>
      </c>
      <c r="EM753" s="319" t="s">
        <v>190</v>
      </c>
      <c r="EN753" s="319" t="s">
        <v>190</v>
      </c>
      <c r="EO753" s="319" t="s">
        <v>190</v>
      </c>
      <c r="EP753" s="319" t="s">
        <v>190</v>
      </c>
      <c r="EQ753" s="319" t="s">
        <v>190</v>
      </c>
      <c r="ER753" s="319" t="s">
        <v>190</v>
      </c>
      <c r="ES753" s="319" t="s">
        <v>190</v>
      </c>
      <c r="ET753" s="319" t="s">
        <v>190</v>
      </c>
      <c r="EU753" s="319" t="s">
        <v>190</v>
      </c>
      <c r="EV753" s="319" t="s">
        <v>190</v>
      </c>
      <c r="EW753" s="319" t="s">
        <v>190</v>
      </c>
      <c r="EX753" s="319" t="s">
        <v>190</v>
      </c>
      <c r="EY753" s="319" t="s">
        <v>190</v>
      </c>
      <c r="EZ753" s="319" t="s">
        <v>190</v>
      </c>
      <c r="FA753" s="319" t="s">
        <v>428</v>
      </c>
      <c r="FB753" s="319" t="s">
        <v>190</v>
      </c>
      <c r="FC753" s="319" t="s">
        <v>190</v>
      </c>
      <c r="FD753" s="319" t="s">
        <v>190</v>
      </c>
      <c r="FE753" s="319" t="s">
        <v>190</v>
      </c>
      <c r="FF753" s="319" t="s">
        <v>190</v>
      </c>
      <c r="FG753" s="319" t="s">
        <v>190</v>
      </c>
      <c r="FH753" s="319" t="s">
        <v>428</v>
      </c>
      <c r="FI753" s="319" t="s">
        <v>428</v>
      </c>
      <c r="FJ753" s="319" t="s">
        <v>429</v>
      </c>
      <c r="FK753" s="319" t="s">
        <v>428</v>
      </c>
      <c r="FL753" s="319" t="s">
        <v>190</v>
      </c>
      <c r="FM753" s="319" t="s">
        <v>190</v>
      </c>
      <c r="FN753" s="319" t="s">
        <v>190</v>
      </c>
      <c r="FO753" s="319" t="s">
        <v>190</v>
      </c>
      <c r="FP753" s="319" t="s">
        <v>190</v>
      </c>
      <c r="FQ753" s="319" t="s">
        <v>190</v>
      </c>
      <c r="FR753" s="319" t="s">
        <v>190</v>
      </c>
      <c r="FS753" s="319" t="s">
        <v>428</v>
      </c>
      <c r="FT753" s="319" t="s">
        <v>428</v>
      </c>
      <c r="FU753" s="319" t="s">
        <v>190</v>
      </c>
      <c r="FV753" s="319" t="s">
        <v>190</v>
      </c>
      <c r="FW753" s="319" t="s">
        <v>190</v>
      </c>
      <c r="FX753" s="319" t="s">
        <v>190</v>
      </c>
      <c r="FY753" s="319" t="s">
        <v>190</v>
      </c>
      <c r="FZ753" s="319" t="s">
        <v>190</v>
      </c>
      <c r="GA753" s="319" t="s">
        <v>190</v>
      </c>
      <c r="GB753" s="319" t="s">
        <v>190</v>
      </c>
      <c r="GC753" s="319" t="s">
        <v>190</v>
      </c>
      <c r="GD753" s="319" t="s">
        <v>190</v>
      </c>
      <c r="GE753" s="319" t="s">
        <v>190</v>
      </c>
      <c r="GF753" s="319" t="s">
        <v>190</v>
      </c>
      <c r="GG753" s="319" t="s">
        <v>190</v>
      </c>
      <c r="GH753" s="319" t="s">
        <v>190</v>
      </c>
      <c r="GI753" s="319" t="s">
        <v>190</v>
      </c>
      <c r="GJ753" s="319" t="s">
        <v>190</v>
      </c>
      <c r="GK753" s="319" t="s">
        <v>428</v>
      </c>
      <c r="GL753" s="319" t="s">
        <v>190</v>
      </c>
      <c r="GM753" s="319" t="s">
        <v>190</v>
      </c>
      <c r="GN753" s="319" t="s">
        <v>190</v>
      </c>
      <c r="GO753" s="319" t="s">
        <v>190</v>
      </c>
      <c r="GP753" s="319" t="s">
        <v>190</v>
      </c>
      <c r="GQ753" s="319" t="s">
        <v>428</v>
      </c>
      <c r="GR753" s="319" t="s">
        <v>190</v>
      </c>
      <c r="GS753" s="319" t="s">
        <v>190</v>
      </c>
      <c r="GT753" s="319" t="s">
        <v>428</v>
      </c>
      <c r="GU753" s="319" t="s">
        <v>190</v>
      </c>
      <c r="GV753" s="319" t="s">
        <v>190</v>
      </c>
      <c r="GW753" s="319" t="s">
        <v>190</v>
      </c>
      <c r="GX753" s="319" t="s">
        <v>190</v>
      </c>
      <c r="GY753" s="319" t="s">
        <v>190</v>
      </c>
      <c r="GZ753" s="319" t="s">
        <v>190</v>
      </c>
      <c r="HA753" s="319" t="s">
        <v>428</v>
      </c>
      <c r="HB753" s="319" t="s">
        <v>190</v>
      </c>
      <c r="HC753" s="319" t="s">
        <v>190</v>
      </c>
      <c r="HD753" s="319" t="s">
        <v>190</v>
      </c>
      <c r="HE753" s="319" t="s">
        <v>190</v>
      </c>
      <c r="HF753" s="319" t="s">
        <v>190</v>
      </c>
      <c r="HG753" s="319" t="s">
        <v>190</v>
      </c>
      <c r="HH753" s="319" t="s">
        <v>190</v>
      </c>
      <c r="HI753" s="319" t="s">
        <v>190</v>
      </c>
      <c r="HJ753" s="319" t="s">
        <v>190</v>
      </c>
      <c r="HK753" s="319" t="s">
        <v>190</v>
      </c>
      <c r="HL753" s="319" t="s">
        <v>428</v>
      </c>
      <c r="HM753" s="319" t="s">
        <v>428</v>
      </c>
      <c r="HN753" s="319" t="s">
        <v>428</v>
      </c>
      <c r="HO753" s="319" t="s">
        <v>428</v>
      </c>
      <c r="HP753" s="319" t="s">
        <v>190</v>
      </c>
      <c r="HQ753" s="319" t="s">
        <v>190</v>
      </c>
      <c r="HR753" s="319" t="s">
        <v>190</v>
      </c>
      <c r="HS753" s="319" t="s">
        <v>190</v>
      </c>
      <c r="HT753" s="319" t="s">
        <v>190</v>
      </c>
      <c r="HU753" s="319" t="s">
        <v>190</v>
      </c>
      <c r="HV753" s="319" t="s">
        <v>190</v>
      </c>
      <c r="HW753" s="319" t="s">
        <v>190</v>
      </c>
      <c r="HX753" s="319" t="s">
        <v>190</v>
      </c>
      <c r="HY753" s="319" t="s">
        <v>190</v>
      </c>
      <c r="HZ753" s="319" t="s">
        <v>190</v>
      </c>
      <c r="IA753" s="319" t="s">
        <v>190</v>
      </c>
      <c r="IB753" s="319" t="s">
        <v>190</v>
      </c>
      <c r="IC753" s="319" t="s">
        <v>190</v>
      </c>
      <c r="ID753" s="319" t="s">
        <v>190</v>
      </c>
      <c r="IE753" s="319" t="s">
        <v>190</v>
      </c>
      <c r="IF753" s="319" t="s">
        <v>190</v>
      </c>
      <c r="IG753" s="319" t="s">
        <v>190</v>
      </c>
      <c r="IH753" s="319" t="s">
        <v>190</v>
      </c>
      <c r="II753" s="319" t="s">
        <v>190</v>
      </c>
      <c r="IJ753" s="319" t="s">
        <v>3489</v>
      </c>
      <c r="IK753" s="321">
        <v>41794</v>
      </c>
      <c r="IL753" s="321">
        <v>41796</v>
      </c>
      <c r="IM753" s="321">
        <v>41815</v>
      </c>
      <c r="IN753" s="319">
        <v>3</v>
      </c>
      <c r="IO753" s="319" t="s">
        <v>173</v>
      </c>
      <c r="IP753" s="319" t="s">
        <v>173</v>
      </c>
      <c r="IQ753" s="319" t="s">
        <v>173</v>
      </c>
      <c r="IR753" s="320" t="s">
        <v>173</v>
      </c>
      <c r="IS753" s="320" t="s">
        <v>173</v>
      </c>
      <c r="IT753" s="319" t="s">
        <v>173</v>
      </c>
    </row>
    <row r="754" spans="1:254" s="271" customFormat="1" x14ac:dyDescent="0.25">
      <c r="A754" s="318" t="str">
        <f>HYPERLINK("http://www.ofsted.gov.uk/inspection-reports/find-inspection-report/provider/ELS/140226 ","Ofsted School Webpage")</f>
        <v>Ofsted School Webpage</v>
      </c>
      <c r="B754" s="319">
        <v>140226</v>
      </c>
      <c r="C754" s="319">
        <v>2036002</v>
      </c>
      <c r="D754" s="319" t="s">
        <v>2246</v>
      </c>
      <c r="E754" s="319" t="s">
        <v>167</v>
      </c>
      <c r="F754" s="319" t="s">
        <v>81</v>
      </c>
      <c r="G754" s="319" t="s">
        <v>81</v>
      </c>
      <c r="H754" s="319" t="s">
        <v>81</v>
      </c>
      <c r="I754" s="319" t="s">
        <v>78</v>
      </c>
      <c r="J754" s="319" t="s">
        <v>424</v>
      </c>
      <c r="K754" s="319" t="s">
        <v>441</v>
      </c>
      <c r="L754" s="319" t="s">
        <v>441</v>
      </c>
      <c r="M754" s="319" t="s">
        <v>731</v>
      </c>
      <c r="N754" s="319" t="s">
        <v>3358</v>
      </c>
      <c r="O754" s="319" t="s">
        <v>2247</v>
      </c>
      <c r="P754" s="319">
        <v>10</v>
      </c>
      <c r="Q754" s="319" t="s">
        <v>2766</v>
      </c>
      <c r="R754" s="320">
        <v>10035813</v>
      </c>
      <c r="S754" s="321">
        <v>43172</v>
      </c>
      <c r="T754" s="321">
        <v>43174</v>
      </c>
      <c r="U754" s="321">
        <v>43213</v>
      </c>
      <c r="V754" s="319" t="s">
        <v>425</v>
      </c>
      <c r="W754" s="319" t="s">
        <v>2767</v>
      </c>
      <c r="X754" s="319">
        <v>2</v>
      </c>
      <c r="Y754" s="319" t="s">
        <v>173</v>
      </c>
      <c r="Z754" s="319" t="s">
        <v>173</v>
      </c>
      <c r="AA754" s="319" t="s">
        <v>173</v>
      </c>
      <c r="AB754" s="319">
        <v>2</v>
      </c>
      <c r="AC754" s="319" t="s">
        <v>169</v>
      </c>
      <c r="AD754" s="319" t="s">
        <v>173</v>
      </c>
      <c r="AE754" s="319" t="s">
        <v>173</v>
      </c>
      <c r="AF754" s="319" t="s">
        <v>427</v>
      </c>
      <c r="AG754" s="319" t="s">
        <v>171</v>
      </c>
      <c r="AH754" s="319" t="s">
        <v>190</v>
      </c>
      <c r="AI754" s="319" t="s">
        <v>190</v>
      </c>
      <c r="AJ754" s="319" t="s">
        <v>190</v>
      </c>
      <c r="AK754" s="319" t="s">
        <v>190</v>
      </c>
      <c r="AL754" s="319" t="s">
        <v>190</v>
      </c>
      <c r="AM754" s="319" t="s">
        <v>190</v>
      </c>
      <c r="AN754" s="319" t="s">
        <v>190</v>
      </c>
      <c r="AO754" s="319" t="s">
        <v>190</v>
      </c>
      <c r="AP754" s="319" t="s">
        <v>190</v>
      </c>
      <c r="AQ754" s="319" t="s">
        <v>190</v>
      </c>
      <c r="AR754" s="319" t="s">
        <v>190</v>
      </c>
      <c r="AS754" s="319" t="s">
        <v>190</v>
      </c>
      <c r="AT754" s="319" t="s">
        <v>190</v>
      </c>
      <c r="AU754" s="319" t="s">
        <v>190</v>
      </c>
      <c r="AV754" s="319" t="s">
        <v>190</v>
      </c>
      <c r="AW754" s="319" t="s">
        <v>190</v>
      </c>
      <c r="AX754" s="319" t="s">
        <v>190</v>
      </c>
      <c r="AY754" s="319" t="s">
        <v>190</v>
      </c>
      <c r="AZ754" s="319" t="s">
        <v>190</v>
      </c>
      <c r="BA754" s="319" t="s">
        <v>190</v>
      </c>
      <c r="BB754" s="319" t="s">
        <v>190</v>
      </c>
      <c r="BC754" s="319" t="s">
        <v>190</v>
      </c>
      <c r="BD754" s="319" t="s">
        <v>190</v>
      </c>
      <c r="BE754" s="319" t="s">
        <v>190</v>
      </c>
      <c r="BF754" s="319" t="s">
        <v>428</v>
      </c>
      <c r="BG754" s="319" t="s">
        <v>428</v>
      </c>
      <c r="BH754" s="319" t="s">
        <v>190</v>
      </c>
      <c r="BI754" s="319" t="s">
        <v>190</v>
      </c>
      <c r="BJ754" s="319" t="s">
        <v>190</v>
      </c>
      <c r="BK754" s="319" t="s">
        <v>190</v>
      </c>
      <c r="BL754" s="319" t="s">
        <v>190</v>
      </c>
      <c r="BM754" s="319" t="s">
        <v>190</v>
      </c>
      <c r="BN754" s="319" t="s">
        <v>190</v>
      </c>
      <c r="BO754" s="319" t="s">
        <v>190</v>
      </c>
      <c r="BP754" s="319" t="s">
        <v>190</v>
      </c>
      <c r="BQ754" s="319" t="s">
        <v>190</v>
      </c>
      <c r="BR754" s="319" t="s">
        <v>190</v>
      </c>
      <c r="BS754" s="319" t="s">
        <v>190</v>
      </c>
      <c r="BT754" s="319" t="s">
        <v>190</v>
      </c>
      <c r="BU754" s="319" t="s">
        <v>190</v>
      </c>
      <c r="BV754" s="319" t="s">
        <v>190</v>
      </c>
      <c r="BW754" s="319" t="s">
        <v>190</v>
      </c>
      <c r="BX754" s="319" t="s">
        <v>190</v>
      </c>
      <c r="BY754" s="319" t="s">
        <v>190</v>
      </c>
      <c r="BZ754" s="319" t="s">
        <v>190</v>
      </c>
      <c r="CA754" s="319" t="s">
        <v>190</v>
      </c>
      <c r="CB754" s="319" t="s">
        <v>190</v>
      </c>
      <c r="CC754" s="319" t="s">
        <v>190</v>
      </c>
      <c r="CD754" s="319" t="s">
        <v>190</v>
      </c>
      <c r="CE754" s="319" t="s">
        <v>190</v>
      </c>
      <c r="CF754" s="319" t="s">
        <v>190</v>
      </c>
      <c r="CG754" s="319" t="s">
        <v>190</v>
      </c>
      <c r="CH754" s="319" t="s">
        <v>190</v>
      </c>
      <c r="CI754" s="319" t="s">
        <v>190</v>
      </c>
      <c r="CJ754" s="319" t="s">
        <v>190</v>
      </c>
      <c r="CK754" s="319" t="s">
        <v>190</v>
      </c>
      <c r="CL754" s="319" t="s">
        <v>190</v>
      </c>
      <c r="CM754" s="319" t="s">
        <v>190</v>
      </c>
      <c r="CN754" s="319" t="s">
        <v>428</v>
      </c>
      <c r="CO754" s="319" t="s">
        <v>428</v>
      </c>
      <c r="CP754" s="319" t="s">
        <v>428</v>
      </c>
      <c r="CQ754" s="319" t="s">
        <v>190</v>
      </c>
      <c r="CR754" s="319" t="s">
        <v>190</v>
      </c>
      <c r="CS754" s="319" t="s">
        <v>190</v>
      </c>
      <c r="CT754" s="319" t="s">
        <v>190</v>
      </c>
      <c r="CU754" s="319" t="s">
        <v>190</v>
      </c>
      <c r="CV754" s="319" t="s">
        <v>190</v>
      </c>
      <c r="CW754" s="319" t="s">
        <v>190</v>
      </c>
      <c r="CX754" s="319" t="s">
        <v>190</v>
      </c>
      <c r="CY754" s="319" t="s">
        <v>190</v>
      </c>
      <c r="CZ754" s="319" t="s">
        <v>190</v>
      </c>
      <c r="DA754" s="319" t="s">
        <v>190</v>
      </c>
      <c r="DB754" s="319" t="s">
        <v>190</v>
      </c>
      <c r="DC754" s="319" t="s">
        <v>190</v>
      </c>
      <c r="DD754" s="319" t="s">
        <v>190</v>
      </c>
      <c r="DE754" s="319" t="s">
        <v>190</v>
      </c>
      <c r="DF754" s="319" t="s">
        <v>190</v>
      </c>
      <c r="DG754" s="319" t="s">
        <v>190</v>
      </c>
      <c r="DH754" s="319" t="s">
        <v>190</v>
      </c>
      <c r="DI754" s="319" t="s">
        <v>190</v>
      </c>
      <c r="DJ754" s="319" t="s">
        <v>190</v>
      </c>
      <c r="DK754" s="319" t="s">
        <v>190</v>
      </c>
      <c r="DL754" s="319" t="s">
        <v>190</v>
      </c>
      <c r="DM754" s="319" t="s">
        <v>190</v>
      </c>
      <c r="DN754" s="319" t="s">
        <v>190</v>
      </c>
      <c r="DO754" s="319" t="s">
        <v>190</v>
      </c>
      <c r="DP754" s="319" t="s">
        <v>190</v>
      </c>
      <c r="DQ754" s="319" t="s">
        <v>190</v>
      </c>
      <c r="DR754" s="319" t="s">
        <v>190</v>
      </c>
      <c r="DS754" s="319" t="s">
        <v>190</v>
      </c>
      <c r="DT754" s="319" t="s">
        <v>190</v>
      </c>
      <c r="DU754" s="319" t="s">
        <v>190</v>
      </c>
      <c r="DV754" s="319" t="s">
        <v>173</v>
      </c>
      <c r="DW754" s="319" t="s">
        <v>190</v>
      </c>
      <c r="DX754" s="319" t="s">
        <v>190</v>
      </c>
      <c r="DY754" s="319" t="s">
        <v>190</v>
      </c>
      <c r="DZ754" s="319" t="s">
        <v>190</v>
      </c>
      <c r="EA754" s="319" t="s">
        <v>190</v>
      </c>
      <c r="EB754" s="319" t="s">
        <v>190</v>
      </c>
      <c r="EC754" s="319" t="s">
        <v>190</v>
      </c>
      <c r="ED754" s="319" t="s">
        <v>190</v>
      </c>
      <c r="EE754" s="319" t="s">
        <v>428</v>
      </c>
      <c r="EF754" s="319" t="s">
        <v>428</v>
      </c>
      <c r="EG754" s="319" t="s">
        <v>428</v>
      </c>
      <c r="EH754" s="319" t="s">
        <v>428</v>
      </c>
      <c r="EI754" s="319" t="s">
        <v>428</v>
      </c>
      <c r="EJ754" s="319" t="s">
        <v>428</v>
      </c>
      <c r="EK754" s="319" t="s">
        <v>428</v>
      </c>
      <c r="EL754" s="319" t="s">
        <v>428</v>
      </c>
      <c r="EM754" s="319" t="s">
        <v>190</v>
      </c>
      <c r="EN754" s="319" t="s">
        <v>190</v>
      </c>
      <c r="EO754" s="319" t="s">
        <v>190</v>
      </c>
      <c r="EP754" s="319" t="s">
        <v>190</v>
      </c>
      <c r="EQ754" s="319" t="s">
        <v>190</v>
      </c>
      <c r="ER754" s="319" t="s">
        <v>190</v>
      </c>
      <c r="ES754" s="319" t="s">
        <v>190</v>
      </c>
      <c r="ET754" s="319" t="s">
        <v>190</v>
      </c>
      <c r="EU754" s="319" t="s">
        <v>190</v>
      </c>
      <c r="EV754" s="319" t="s">
        <v>190</v>
      </c>
      <c r="EW754" s="319" t="s">
        <v>190</v>
      </c>
      <c r="EX754" s="319" t="s">
        <v>190</v>
      </c>
      <c r="EY754" s="319" t="s">
        <v>190</v>
      </c>
      <c r="EZ754" s="319" t="s">
        <v>190</v>
      </c>
      <c r="FA754" s="319" t="s">
        <v>190</v>
      </c>
      <c r="FB754" s="319" t="s">
        <v>190</v>
      </c>
      <c r="FC754" s="319" t="s">
        <v>190</v>
      </c>
      <c r="FD754" s="319" t="s">
        <v>190</v>
      </c>
      <c r="FE754" s="319" t="s">
        <v>190</v>
      </c>
      <c r="FF754" s="319" t="s">
        <v>190</v>
      </c>
      <c r="FG754" s="319" t="s">
        <v>190</v>
      </c>
      <c r="FH754" s="319" t="s">
        <v>428</v>
      </c>
      <c r="FI754" s="319" t="s">
        <v>428</v>
      </c>
      <c r="FJ754" s="319" t="s">
        <v>429</v>
      </c>
      <c r="FK754" s="319" t="s">
        <v>428</v>
      </c>
      <c r="FL754" s="319" t="s">
        <v>190</v>
      </c>
      <c r="FM754" s="319" t="s">
        <v>190</v>
      </c>
      <c r="FN754" s="319" t="s">
        <v>190</v>
      </c>
      <c r="FO754" s="319" t="s">
        <v>190</v>
      </c>
      <c r="FP754" s="319" t="s">
        <v>190</v>
      </c>
      <c r="FQ754" s="319" t="s">
        <v>190</v>
      </c>
      <c r="FR754" s="319" t="s">
        <v>190</v>
      </c>
      <c r="FS754" s="319" t="s">
        <v>428</v>
      </c>
      <c r="FT754" s="319" t="s">
        <v>190</v>
      </c>
      <c r="FU754" s="319" t="s">
        <v>190</v>
      </c>
      <c r="FV754" s="319" t="s">
        <v>190</v>
      </c>
      <c r="FW754" s="319" t="s">
        <v>190</v>
      </c>
      <c r="FX754" s="319" t="s">
        <v>190</v>
      </c>
      <c r="FY754" s="319" t="s">
        <v>190</v>
      </c>
      <c r="FZ754" s="319" t="s">
        <v>190</v>
      </c>
      <c r="GA754" s="319" t="s">
        <v>190</v>
      </c>
      <c r="GB754" s="319" t="s">
        <v>190</v>
      </c>
      <c r="GC754" s="319" t="s">
        <v>190</v>
      </c>
      <c r="GD754" s="319" t="s">
        <v>190</v>
      </c>
      <c r="GE754" s="319" t="s">
        <v>190</v>
      </c>
      <c r="GF754" s="319" t="s">
        <v>190</v>
      </c>
      <c r="GG754" s="319" t="s">
        <v>190</v>
      </c>
      <c r="GH754" s="319" t="s">
        <v>190</v>
      </c>
      <c r="GI754" s="319" t="s">
        <v>190</v>
      </c>
      <c r="GJ754" s="319" t="s">
        <v>190</v>
      </c>
      <c r="GK754" s="319" t="s">
        <v>428</v>
      </c>
      <c r="GL754" s="319" t="s">
        <v>190</v>
      </c>
      <c r="GM754" s="319" t="s">
        <v>190</v>
      </c>
      <c r="GN754" s="319" t="s">
        <v>190</v>
      </c>
      <c r="GO754" s="319" t="s">
        <v>190</v>
      </c>
      <c r="GP754" s="319" t="s">
        <v>190</v>
      </c>
      <c r="GQ754" s="319" t="s">
        <v>190</v>
      </c>
      <c r="GR754" s="319" t="s">
        <v>190</v>
      </c>
      <c r="GS754" s="319" t="s">
        <v>190</v>
      </c>
      <c r="GT754" s="319" t="s">
        <v>190</v>
      </c>
      <c r="GU754" s="319" t="s">
        <v>190</v>
      </c>
      <c r="GV754" s="319" t="s">
        <v>190</v>
      </c>
      <c r="GW754" s="319" t="s">
        <v>190</v>
      </c>
      <c r="GX754" s="319" t="s">
        <v>190</v>
      </c>
      <c r="GY754" s="319" t="s">
        <v>190</v>
      </c>
      <c r="GZ754" s="319" t="s">
        <v>190</v>
      </c>
      <c r="HA754" s="319" t="s">
        <v>428</v>
      </c>
      <c r="HB754" s="319" t="s">
        <v>190</v>
      </c>
      <c r="HC754" s="319" t="s">
        <v>190</v>
      </c>
      <c r="HD754" s="319" t="s">
        <v>190</v>
      </c>
      <c r="HE754" s="319" t="s">
        <v>190</v>
      </c>
      <c r="HF754" s="319" t="s">
        <v>190</v>
      </c>
      <c r="HG754" s="319" t="s">
        <v>190</v>
      </c>
      <c r="HH754" s="319" t="s">
        <v>190</v>
      </c>
      <c r="HI754" s="319" t="s">
        <v>190</v>
      </c>
      <c r="HJ754" s="319" t="s">
        <v>190</v>
      </c>
      <c r="HK754" s="319" t="s">
        <v>190</v>
      </c>
      <c r="HL754" s="319" t="s">
        <v>190</v>
      </c>
      <c r="HM754" s="319" t="s">
        <v>428</v>
      </c>
      <c r="HN754" s="319" t="s">
        <v>428</v>
      </c>
      <c r="HO754" s="319" t="s">
        <v>428</v>
      </c>
      <c r="HP754" s="319" t="s">
        <v>190</v>
      </c>
      <c r="HQ754" s="319" t="s">
        <v>190</v>
      </c>
      <c r="HR754" s="319" t="s">
        <v>190</v>
      </c>
      <c r="HS754" s="319" t="s">
        <v>190</v>
      </c>
      <c r="HT754" s="319" t="s">
        <v>190</v>
      </c>
      <c r="HU754" s="319" t="s">
        <v>190</v>
      </c>
      <c r="HV754" s="319" t="s">
        <v>190</v>
      </c>
      <c r="HW754" s="319" t="s">
        <v>190</v>
      </c>
      <c r="HX754" s="319" t="s">
        <v>190</v>
      </c>
      <c r="HY754" s="319" t="s">
        <v>190</v>
      </c>
      <c r="HZ754" s="319" t="s">
        <v>190</v>
      </c>
      <c r="IA754" s="319" t="s">
        <v>190</v>
      </c>
      <c r="IB754" s="319" t="s">
        <v>190</v>
      </c>
      <c r="IC754" s="319" t="s">
        <v>190</v>
      </c>
      <c r="ID754" s="319" t="s">
        <v>190</v>
      </c>
      <c r="IE754" s="319" t="s">
        <v>190</v>
      </c>
      <c r="IF754" s="319" t="s">
        <v>190</v>
      </c>
      <c r="IG754" s="319" t="s">
        <v>190</v>
      </c>
      <c r="IH754" s="319" t="s">
        <v>190</v>
      </c>
      <c r="II754" s="319" t="s">
        <v>190</v>
      </c>
      <c r="IJ754" s="319" t="s">
        <v>3490</v>
      </c>
      <c r="IK754" s="321">
        <v>41793</v>
      </c>
      <c r="IL754" s="321">
        <v>41795</v>
      </c>
      <c r="IM754" s="321">
        <v>41814</v>
      </c>
      <c r="IN754" s="319">
        <v>2</v>
      </c>
      <c r="IO754" s="319" t="s">
        <v>173</v>
      </c>
      <c r="IP754" s="319" t="s">
        <v>173</v>
      </c>
      <c r="IQ754" s="321" t="s">
        <v>173</v>
      </c>
      <c r="IR754" s="320" t="s">
        <v>173</v>
      </c>
      <c r="IS754" s="322" t="s">
        <v>173</v>
      </c>
      <c r="IT754" s="319" t="s">
        <v>173</v>
      </c>
    </row>
    <row r="755" spans="1:254" s="271" customFormat="1" x14ac:dyDescent="0.25">
      <c r="A755" s="318" t="str">
        <f>HYPERLINK("http://www.ofsted.gov.uk/inspection-reports/find-inspection-report/provider/ELS/140227 ","Ofsted School Webpage")</f>
        <v>Ofsted School Webpage</v>
      </c>
      <c r="B755" s="319">
        <v>140227</v>
      </c>
      <c r="C755" s="319">
        <v>8936032</v>
      </c>
      <c r="D755" s="319" t="s">
        <v>3491</v>
      </c>
      <c r="E755" s="319" t="s">
        <v>167</v>
      </c>
      <c r="F755" s="319" t="s">
        <v>81</v>
      </c>
      <c r="G755" s="319" t="s">
        <v>81</v>
      </c>
      <c r="H755" s="319" t="s">
        <v>81</v>
      </c>
      <c r="I755" s="319" t="s">
        <v>78</v>
      </c>
      <c r="J755" s="319" t="s">
        <v>424</v>
      </c>
      <c r="K755" s="319" t="s">
        <v>437</v>
      </c>
      <c r="L755" s="319" t="s">
        <v>437</v>
      </c>
      <c r="M755" s="319" t="s">
        <v>587</v>
      </c>
      <c r="N755" s="319" t="s">
        <v>2784</v>
      </c>
      <c r="O755" s="319" t="s">
        <v>539</v>
      </c>
      <c r="P755" s="319">
        <v>4</v>
      </c>
      <c r="Q755" s="319" t="s">
        <v>2776</v>
      </c>
      <c r="R755" s="320">
        <v>10033584</v>
      </c>
      <c r="S755" s="321">
        <v>42913</v>
      </c>
      <c r="T755" s="321">
        <v>42915</v>
      </c>
      <c r="U755" s="321">
        <v>42990</v>
      </c>
      <c r="V755" s="319" t="s">
        <v>425</v>
      </c>
      <c r="W755" s="319" t="s">
        <v>2767</v>
      </c>
      <c r="X755" s="319">
        <v>2</v>
      </c>
      <c r="Y755" s="319" t="s">
        <v>173</v>
      </c>
      <c r="Z755" s="319" t="s">
        <v>173</v>
      </c>
      <c r="AA755" s="319" t="s">
        <v>173</v>
      </c>
      <c r="AB755" s="319">
        <v>2</v>
      </c>
      <c r="AC755" s="319" t="s">
        <v>169</v>
      </c>
      <c r="AD755" s="319" t="s">
        <v>173</v>
      </c>
      <c r="AE755" s="319" t="s">
        <v>173</v>
      </c>
      <c r="AF755" s="319" t="s">
        <v>173</v>
      </c>
      <c r="AG755" s="319" t="s">
        <v>171</v>
      </c>
      <c r="AH755" s="319" t="s">
        <v>190</v>
      </c>
      <c r="AI755" s="319" t="s">
        <v>190</v>
      </c>
      <c r="AJ755" s="319" t="s">
        <v>190</v>
      </c>
      <c r="AK755" s="319" t="s">
        <v>190</v>
      </c>
      <c r="AL755" s="319" t="s">
        <v>190</v>
      </c>
      <c r="AM755" s="319" t="s">
        <v>190</v>
      </c>
      <c r="AN755" s="319" t="s">
        <v>190</v>
      </c>
      <c r="AO755" s="319" t="s">
        <v>190</v>
      </c>
      <c r="AP755" s="319" t="s">
        <v>190</v>
      </c>
      <c r="AQ755" s="319" t="s">
        <v>190</v>
      </c>
      <c r="AR755" s="319" t="s">
        <v>190</v>
      </c>
      <c r="AS755" s="319" t="s">
        <v>190</v>
      </c>
      <c r="AT755" s="319" t="s">
        <v>190</v>
      </c>
      <c r="AU755" s="319" t="s">
        <v>190</v>
      </c>
      <c r="AV755" s="319" t="s">
        <v>190</v>
      </c>
      <c r="AW755" s="319" t="s">
        <v>190</v>
      </c>
      <c r="AX755" s="319" t="s">
        <v>429</v>
      </c>
      <c r="AY755" s="319" t="s">
        <v>190</v>
      </c>
      <c r="AZ755" s="319" t="s">
        <v>190</v>
      </c>
      <c r="BA755" s="319" t="s">
        <v>190</v>
      </c>
      <c r="BB755" s="319" t="s">
        <v>190</v>
      </c>
      <c r="BC755" s="319" t="s">
        <v>190</v>
      </c>
      <c r="BD755" s="319" t="s">
        <v>190</v>
      </c>
      <c r="BE755" s="319" t="s">
        <v>190</v>
      </c>
      <c r="BF755" s="319" t="s">
        <v>190</v>
      </c>
      <c r="BG755" s="319" t="s">
        <v>190</v>
      </c>
      <c r="BH755" s="319" t="s">
        <v>190</v>
      </c>
      <c r="BI755" s="319" t="s">
        <v>190</v>
      </c>
      <c r="BJ755" s="319" t="s">
        <v>190</v>
      </c>
      <c r="BK755" s="319" t="s">
        <v>190</v>
      </c>
      <c r="BL755" s="319" t="s">
        <v>190</v>
      </c>
      <c r="BM755" s="319" t="s">
        <v>190</v>
      </c>
      <c r="BN755" s="319" t="s">
        <v>190</v>
      </c>
      <c r="BO755" s="319" t="s">
        <v>190</v>
      </c>
      <c r="BP755" s="319" t="s">
        <v>190</v>
      </c>
      <c r="BQ755" s="319" t="s">
        <v>190</v>
      </c>
      <c r="BR755" s="319" t="s">
        <v>190</v>
      </c>
      <c r="BS755" s="319" t="s">
        <v>190</v>
      </c>
      <c r="BT755" s="319" t="s">
        <v>190</v>
      </c>
      <c r="BU755" s="319" t="s">
        <v>190</v>
      </c>
      <c r="BV755" s="319" t="s">
        <v>190</v>
      </c>
      <c r="BW755" s="319" t="s">
        <v>190</v>
      </c>
      <c r="BX755" s="319" t="s">
        <v>190</v>
      </c>
      <c r="BY755" s="319" t="s">
        <v>190</v>
      </c>
      <c r="BZ755" s="319" t="s">
        <v>190</v>
      </c>
      <c r="CA755" s="319" t="s">
        <v>190</v>
      </c>
      <c r="CB755" s="319" t="s">
        <v>190</v>
      </c>
      <c r="CC755" s="319" t="s">
        <v>190</v>
      </c>
      <c r="CD755" s="319" t="s">
        <v>190</v>
      </c>
      <c r="CE755" s="319" t="s">
        <v>190</v>
      </c>
      <c r="CF755" s="319" t="s">
        <v>190</v>
      </c>
      <c r="CG755" s="319" t="s">
        <v>190</v>
      </c>
      <c r="CH755" s="319" t="s">
        <v>190</v>
      </c>
      <c r="CI755" s="319" t="s">
        <v>190</v>
      </c>
      <c r="CJ755" s="319" t="s">
        <v>190</v>
      </c>
      <c r="CK755" s="319" t="s">
        <v>190</v>
      </c>
      <c r="CL755" s="319" t="s">
        <v>190</v>
      </c>
      <c r="CM755" s="319" t="s">
        <v>190</v>
      </c>
      <c r="CN755" s="319" t="s">
        <v>429</v>
      </c>
      <c r="CO755" s="319" t="s">
        <v>429</v>
      </c>
      <c r="CP755" s="319" t="s">
        <v>429</v>
      </c>
      <c r="CQ755" s="319" t="s">
        <v>190</v>
      </c>
      <c r="CR755" s="319" t="s">
        <v>190</v>
      </c>
      <c r="CS755" s="319" t="s">
        <v>190</v>
      </c>
      <c r="CT755" s="319" t="s">
        <v>190</v>
      </c>
      <c r="CU755" s="319" t="s">
        <v>190</v>
      </c>
      <c r="CV755" s="319" t="s">
        <v>190</v>
      </c>
      <c r="CW755" s="319" t="s">
        <v>190</v>
      </c>
      <c r="CX755" s="319" t="s">
        <v>190</v>
      </c>
      <c r="CY755" s="319" t="s">
        <v>190</v>
      </c>
      <c r="CZ755" s="319" t="s">
        <v>190</v>
      </c>
      <c r="DA755" s="319" t="s">
        <v>190</v>
      </c>
      <c r="DB755" s="319" t="s">
        <v>190</v>
      </c>
      <c r="DC755" s="319" t="s">
        <v>190</v>
      </c>
      <c r="DD755" s="319" t="s">
        <v>190</v>
      </c>
      <c r="DE755" s="319" t="s">
        <v>190</v>
      </c>
      <c r="DF755" s="319" t="s">
        <v>190</v>
      </c>
      <c r="DG755" s="319" t="s">
        <v>190</v>
      </c>
      <c r="DH755" s="319" t="s">
        <v>190</v>
      </c>
      <c r="DI755" s="319" t="s">
        <v>190</v>
      </c>
      <c r="DJ755" s="319" t="s">
        <v>190</v>
      </c>
      <c r="DK755" s="319" t="s">
        <v>190</v>
      </c>
      <c r="DL755" s="319" t="s">
        <v>190</v>
      </c>
      <c r="DM755" s="319" t="s">
        <v>190</v>
      </c>
      <c r="DN755" s="319" t="s">
        <v>190</v>
      </c>
      <c r="DO755" s="319" t="s">
        <v>190</v>
      </c>
      <c r="DP755" s="319" t="s">
        <v>190</v>
      </c>
      <c r="DQ755" s="319" t="s">
        <v>190</v>
      </c>
      <c r="DR755" s="319" t="s">
        <v>190</v>
      </c>
      <c r="DS755" s="319" t="s">
        <v>190</v>
      </c>
      <c r="DT755" s="319" t="s">
        <v>190</v>
      </c>
      <c r="DU755" s="319" t="s">
        <v>190</v>
      </c>
      <c r="DV755" s="319" t="s">
        <v>173</v>
      </c>
      <c r="DW755" s="319" t="s">
        <v>190</v>
      </c>
      <c r="DX755" s="319" t="s">
        <v>190</v>
      </c>
      <c r="DY755" s="319" t="s">
        <v>190</v>
      </c>
      <c r="DZ755" s="319" t="s">
        <v>190</v>
      </c>
      <c r="EA755" s="319" t="s">
        <v>190</v>
      </c>
      <c r="EB755" s="319" t="s">
        <v>190</v>
      </c>
      <c r="EC755" s="319" t="s">
        <v>190</v>
      </c>
      <c r="ED755" s="319" t="s">
        <v>190</v>
      </c>
      <c r="EE755" s="319" t="s">
        <v>190</v>
      </c>
      <c r="EF755" s="319" t="s">
        <v>190</v>
      </c>
      <c r="EG755" s="319" t="s">
        <v>190</v>
      </c>
      <c r="EH755" s="319" t="s">
        <v>190</v>
      </c>
      <c r="EI755" s="319" t="s">
        <v>190</v>
      </c>
      <c r="EJ755" s="319" t="s">
        <v>190</v>
      </c>
      <c r="EK755" s="319" t="s">
        <v>190</v>
      </c>
      <c r="EL755" s="319" t="s">
        <v>190</v>
      </c>
      <c r="EM755" s="319" t="s">
        <v>190</v>
      </c>
      <c r="EN755" s="319" t="s">
        <v>190</v>
      </c>
      <c r="EO755" s="319" t="s">
        <v>190</v>
      </c>
      <c r="EP755" s="319" t="s">
        <v>190</v>
      </c>
      <c r="EQ755" s="319" t="s">
        <v>190</v>
      </c>
      <c r="ER755" s="319" t="s">
        <v>190</v>
      </c>
      <c r="ES755" s="319" t="s">
        <v>190</v>
      </c>
      <c r="ET755" s="319" t="s">
        <v>190</v>
      </c>
      <c r="EU755" s="319" t="s">
        <v>190</v>
      </c>
      <c r="EV755" s="319" t="s">
        <v>190</v>
      </c>
      <c r="EW755" s="319" t="s">
        <v>190</v>
      </c>
      <c r="EX755" s="319" t="s">
        <v>190</v>
      </c>
      <c r="EY755" s="319" t="s">
        <v>190</v>
      </c>
      <c r="EZ755" s="319" t="s">
        <v>190</v>
      </c>
      <c r="FA755" s="319" t="s">
        <v>190</v>
      </c>
      <c r="FB755" s="319" t="s">
        <v>190</v>
      </c>
      <c r="FC755" s="319" t="s">
        <v>190</v>
      </c>
      <c r="FD755" s="319" t="s">
        <v>190</v>
      </c>
      <c r="FE755" s="319" t="s">
        <v>190</v>
      </c>
      <c r="FF755" s="319" t="s">
        <v>190</v>
      </c>
      <c r="FG755" s="319" t="s">
        <v>190</v>
      </c>
      <c r="FH755" s="319" t="s">
        <v>190</v>
      </c>
      <c r="FI755" s="319" t="s">
        <v>190</v>
      </c>
      <c r="FJ755" s="319" t="s">
        <v>190</v>
      </c>
      <c r="FK755" s="319" t="s">
        <v>190</v>
      </c>
      <c r="FL755" s="319" t="s">
        <v>190</v>
      </c>
      <c r="FM755" s="319" t="s">
        <v>190</v>
      </c>
      <c r="FN755" s="319" t="s">
        <v>190</v>
      </c>
      <c r="FO755" s="319" t="s">
        <v>190</v>
      </c>
      <c r="FP755" s="319" t="s">
        <v>190</v>
      </c>
      <c r="FQ755" s="319" t="s">
        <v>190</v>
      </c>
      <c r="FR755" s="319" t="s">
        <v>190</v>
      </c>
      <c r="FS755" s="319" t="s">
        <v>190</v>
      </c>
      <c r="FT755" s="319" t="s">
        <v>190</v>
      </c>
      <c r="FU755" s="319" t="s">
        <v>190</v>
      </c>
      <c r="FV755" s="319" t="s">
        <v>190</v>
      </c>
      <c r="FW755" s="319" t="s">
        <v>190</v>
      </c>
      <c r="FX755" s="319" t="s">
        <v>190</v>
      </c>
      <c r="FY755" s="319" t="s">
        <v>190</v>
      </c>
      <c r="FZ755" s="319" t="s">
        <v>190</v>
      </c>
      <c r="GA755" s="319" t="s">
        <v>190</v>
      </c>
      <c r="GB755" s="319" t="s">
        <v>190</v>
      </c>
      <c r="GC755" s="319" t="s">
        <v>190</v>
      </c>
      <c r="GD755" s="319" t="s">
        <v>190</v>
      </c>
      <c r="GE755" s="319" t="s">
        <v>190</v>
      </c>
      <c r="GF755" s="319" t="s">
        <v>190</v>
      </c>
      <c r="GG755" s="319" t="s">
        <v>190</v>
      </c>
      <c r="GH755" s="319" t="s">
        <v>190</v>
      </c>
      <c r="GI755" s="319" t="s">
        <v>190</v>
      </c>
      <c r="GJ755" s="319" t="s">
        <v>190</v>
      </c>
      <c r="GK755" s="319" t="s">
        <v>190</v>
      </c>
      <c r="GL755" s="319" t="s">
        <v>190</v>
      </c>
      <c r="GM755" s="319" t="s">
        <v>190</v>
      </c>
      <c r="GN755" s="319" t="s">
        <v>190</v>
      </c>
      <c r="GO755" s="319" t="s">
        <v>190</v>
      </c>
      <c r="GP755" s="319" t="s">
        <v>190</v>
      </c>
      <c r="GQ755" s="319" t="s">
        <v>190</v>
      </c>
      <c r="GR755" s="319" t="s">
        <v>190</v>
      </c>
      <c r="GS755" s="319" t="s">
        <v>190</v>
      </c>
      <c r="GT755" s="319" t="s">
        <v>190</v>
      </c>
      <c r="GU755" s="319" t="s">
        <v>190</v>
      </c>
      <c r="GV755" s="319" t="s">
        <v>190</v>
      </c>
      <c r="GW755" s="319" t="s">
        <v>190</v>
      </c>
      <c r="GX755" s="319" t="s">
        <v>190</v>
      </c>
      <c r="GY755" s="319" t="s">
        <v>190</v>
      </c>
      <c r="GZ755" s="319" t="s">
        <v>190</v>
      </c>
      <c r="HA755" s="319" t="s">
        <v>190</v>
      </c>
      <c r="HB755" s="319" t="s">
        <v>190</v>
      </c>
      <c r="HC755" s="319" t="s">
        <v>190</v>
      </c>
      <c r="HD755" s="319" t="s">
        <v>190</v>
      </c>
      <c r="HE755" s="319" t="s">
        <v>190</v>
      </c>
      <c r="HF755" s="319" t="s">
        <v>190</v>
      </c>
      <c r="HG755" s="319" t="s">
        <v>190</v>
      </c>
      <c r="HH755" s="319" t="s">
        <v>190</v>
      </c>
      <c r="HI755" s="319" t="s">
        <v>190</v>
      </c>
      <c r="HJ755" s="319" t="s">
        <v>190</v>
      </c>
      <c r="HK755" s="319" t="s">
        <v>190</v>
      </c>
      <c r="HL755" s="319" t="s">
        <v>190</v>
      </c>
      <c r="HM755" s="319" t="s">
        <v>429</v>
      </c>
      <c r="HN755" s="319" t="s">
        <v>429</v>
      </c>
      <c r="HO755" s="319" t="s">
        <v>429</v>
      </c>
      <c r="HP755" s="319" t="s">
        <v>190</v>
      </c>
      <c r="HQ755" s="319" t="s">
        <v>190</v>
      </c>
      <c r="HR755" s="319" t="s">
        <v>190</v>
      </c>
      <c r="HS755" s="319" t="s">
        <v>190</v>
      </c>
      <c r="HT755" s="319" t="s">
        <v>190</v>
      </c>
      <c r="HU755" s="319" t="s">
        <v>190</v>
      </c>
      <c r="HV755" s="319" t="s">
        <v>190</v>
      </c>
      <c r="HW755" s="319" t="s">
        <v>190</v>
      </c>
      <c r="HX755" s="319" t="s">
        <v>190</v>
      </c>
      <c r="HY755" s="319" t="s">
        <v>190</v>
      </c>
      <c r="HZ755" s="319" t="s">
        <v>190</v>
      </c>
      <c r="IA755" s="319" t="s">
        <v>190</v>
      </c>
      <c r="IB755" s="319" t="s">
        <v>190</v>
      </c>
      <c r="IC755" s="319" t="s">
        <v>190</v>
      </c>
      <c r="ID755" s="319" t="s">
        <v>190</v>
      </c>
      <c r="IE755" s="319" t="s">
        <v>190</v>
      </c>
      <c r="IF755" s="319" t="s">
        <v>190</v>
      </c>
      <c r="IG755" s="319" t="s">
        <v>190</v>
      </c>
      <c r="IH755" s="319" t="s">
        <v>190</v>
      </c>
      <c r="II755" s="319" t="s">
        <v>190</v>
      </c>
      <c r="IJ755" s="319" t="s">
        <v>3492</v>
      </c>
      <c r="IK755" s="321">
        <v>41794</v>
      </c>
      <c r="IL755" s="321">
        <v>41796</v>
      </c>
      <c r="IM755" s="321">
        <v>41815</v>
      </c>
      <c r="IN755" s="319">
        <v>2</v>
      </c>
      <c r="IO755" s="319" t="s">
        <v>173</v>
      </c>
      <c r="IP755" s="319" t="s">
        <v>173</v>
      </c>
      <c r="IQ755" s="321" t="s">
        <v>173</v>
      </c>
      <c r="IR755" s="320" t="s">
        <v>173</v>
      </c>
      <c r="IS755" s="322" t="s">
        <v>173</v>
      </c>
      <c r="IT755" s="319" t="s">
        <v>173</v>
      </c>
    </row>
    <row r="756" spans="1:254" s="271" customFormat="1" x14ac:dyDescent="0.25">
      <c r="A756" s="318" t="str">
        <f>HYPERLINK("http://www.ofsted.gov.uk/inspection-reports/find-inspection-report/provider/ELS/140272 ","Ofsted School Webpage")</f>
        <v>Ofsted School Webpage</v>
      </c>
      <c r="B756" s="319">
        <v>140272</v>
      </c>
      <c r="C756" s="319">
        <v>8086004</v>
      </c>
      <c r="D756" s="319" t="s">
        <v>1183</v>
      </c>
      <c r="E756" s="319" t="s">
        <v>168</v>
      </c>
      <c r="F756" s="319" t="s">
        <v>81</v>
      </c>
      <c r="G756" s="319" t="s">
        <v>81</v>
      </c>
      <c r="H756" s="319" t="s">
        <v>81</v>
      </c>
      <c r="I756" s="319" t="s">
        <v>78</v>
      </c>
      <c r="J756" s="319" t="s">
        <v>424</v>
      </c>
      <c r="K756" s="319" t="s">
        <v>458</v>
      </c>
      <c r="L756" s="319" t="s">
        <v>474</v>
      </c>
      <c r="M756" s="319" t="s">
        <v>1184</v>
      </c>
      <c r="N756" s="319" t="s">
        <v>3493</v>
      </c>
      <c r="O756" s="319" t="s">
        <v>1185</v>
      </c>
      <c r="P756" s="319">
        <v>45</v>
      </c>
      <c r="Q756" s="319" t="s">
        <v>429</v>
      </c>
      <c r="R756" s="320">
        <v>10093651</v>
      </c>
      <c r="S756" s="321">
        <v>43621</v>
      </c>
      <c r="T756" s="321">
        <v>43623</v>
      </c>
      <c r="U756" s="321">
        <v>43655</v>
      </c>
      <c r="V756" s="319" t="s">
        <v>425</v>
      </c>
      <c r="W756" s="319" t="s">
        <v>2767</v>
      </c>
      <c r="X756" s="319">
        <v>2</v>
      </c>
      <c r="Y756" s="319" t="s">
        <v>173</v>
      </c>
      <c r="Z756" s="319" t="s">
        <v>173</v>
      </c>
      <c r="AA756" s="319" t="s">
        <v>173</v>
      </c>
      <c r="AB756" s="319">
        <v>2</v>
      </c>
      <c r="AC756" s="319" t="s">
        <v>169</v>
      </c>
      <c r="AD756" s="319" t="s">
        <v>173</v>
      </c>
      <c r="AE756" s="319" t="s">
        <v>173</v>
      </c>
      <c r="AF756" s="319" t="s">
        <v>427</v>
      </c>
      <c r="AG756" s="319" t="s">
        <v>171</v>
      </c>
      <c r="AH756" s="319" t="s">
        <v>190</v>
      </c>
      <c r="AI756" s="319" t="s">
        <v>190</v>
      </c>
      <c r="AJ756" s="319" t="s">
        <v>190</v>
      </c>
      <c r="AK756" s="319" t="s">
        <v>190</v>
      </c>
      <c r="AL756" s="319" t="s">
        <v>190</v>
      </c>
      <c r="AM756" s="319" t="s">
        <v>190</v>
      </c>
      <c r="AN756" s="319" t="s">
        <v>190</v>
      </c>
      <c r="AO756" s="319" t="s">
        <v>190</v>
      </c>
      <c r="AP756" s="319" t="s">
        <v>190</v>
      </c>
      <c r="AQ756" s="319" t="s">
        <v>190</v>
      </c>
      <c r="AR756" s="319" t="s">
        <v>190</v>
      </c>
      <c r="AS756" s="319" t="s">
        <v>190</v>
      </c>
      <c r="AT756" s="319" t="s">
        <v>190</v>
      </c>
      <c r="AU756" s="319" t="s">
        <v>190</v>
      </c>
      <c r="AV756" s="319" t="s">
        <v>190</v>
      </c>
      <c r="AW756" s="319" t="s">
        <v>190</v>
      </c>
      <c r="AX756" s="319" t="s">
        <v>428</v>
      </c>
      <c r="AY756" s="319" t="s">
        <v>190</v>
      </c>
      <c r="AZ756" s="319" t="s">
        <v>190</v>
      </c>
      <c r="BA756" s="319" t="s">
        <v>190</v>
      </c>
      <c r="BB756" s="319" t="s">
        <v>190</v>
      </c>
      <c r="BC756" s="319" t="s">
        <v>190</v>
      </c>
      <c r="BD756" s="319" t="s">
        <v>190</v>
      </c>
      <c r="BE756" s="319" t="s">
        <v>190</v>
      </c>
      <c r="BF756" s="319" t="s">
        <v>428</v>
      </c>
      <c r="BG756" s="319" t="s">
        <v>428</v>
      </c>
      <c r="BH756" s="319" t="s">
        <v>190</v>
      </c>
      <c r="BI756" s="319" t="s">
        <v>190</v>
      </c>
      <c r="BJ756" s="319" t="s">
        <v>190</v>
      </c>
      <c r="BK756" s="319" t="s">
        <v>190</v>
      </c>
      <c r="BL756" s="319" t="s">
        <v>190</v>
      </c>
      <c r="BM756" s="319" t="s">
        <v>190</v>
      </c>
      <c r="BN756" s="319" t="s">
        <v>190</v>
      </c>
      <c r="BO756" s="319" t="s">
        <v>190</v>
      </c>
      <c r="BP756" s="319" t="s">
        <v>190</v>
      </c>
      <c r="BQ756" s="319" t="s">
        <v>190</v>
      </c>
      <c r="BR756" s="319" t="s">
        <v>190</v>
      </c>
      <c r="BS756" s="319" t="s">
        <v>190</v>
      </c>
      <c r="BT756" s="319" t="s">
        <v>190</v>
      </c>
      <c r="BU756" s="319" t="s">
        <v>190</v>
      </c>
      <c r="BV756" s="319" t="s">
        <v>190</v>
      </c>
      <c r="BW756" s="319" t="s">
        <v>190</v>
      </c>
      <c r="BX756" s="319" t="s">
        <v>190</v>
      </c>
      <c r="BY756" s="319" t="s">
        <v>190</v>
      </c>
      <c r="BZ756" s="319" t="s">
        <v>190</v>
      </c>
      <c r="CA756" s="319" t="s">
        <v>190</v>
      </c>
      <c r="CB756" s="319" t="s">
        <v>190</v>
      </c>
      <c r="CC756" s="319" t="s">
        <v>190</v>
      </c>
      <c r="CD756" s="319" t="s">
        <v>190</v>
      </c>
      <c r="CE756" s="319" t="s">
        <v>190</v>
      </c>
      <c r="CF756" s="319" t="s">
        <v>190</v>
      </c>
      <c r="CG756" s="319" t="s">
        <v>190</v>
      </c>
      <c r="CH756" s="319" t="s">
        <v>190</v>
      </c>
      <c r="CI756" s="319" t="s">
        <v>190</v>
      </c>
      <c r="CJ756" s="319" t="s">
        <v>190</v>
      </c>
      <c r="CK756" s="319" t="s">
        <v>190</v>
      </c>
      <c r="CL756" s="319" t="s">
        <v>190</v>
      </c>
      <c r="CM756" s="319" t="s">
        <v>190</v>
      </c>
      <c r="CN756" s="319" t="s">
        <v>428</v>
      </c>
      <c r="CO756" s="319" t="s">
        <v>428</v>
      </c>
      <c r="CP756" s="319" t="s">
        <v>428</v>
      </c>
      <c r="CQ756" s="319" t="s">
        <v>190</v>
      </c>
      <c r="CR756" s="319" t="s">
        <v>190</v>
      </c>
      <c r="CS756" s="319" t="s">
        <v>190</v>
      </c>
      <c r="CT756" s="319" t="s">
        <v>190</v>
      </c>
      <c r="CU756" s="319" t="s">
        <v>190</v>
      </c>
      <c r="CV756" s="319" t="s">
        <v>190</v>
      </c>
      <c r="CW756" s="319" t="s">
        <v>190</v>
      </c>
      <c r="CX756" s="319" t="s">
        <v>190</v>
      </c>
      <c r="CY756" s="319" t="s">
        <v>190</v>
      </c>
      <c r="CZ756" s="319" t="s">
        <v>190</v>
      </c>
      <c r="DA756" s="319" t="s">
        <v>190</v>
      </c>
      <c r="DB756" s="319" t="s">
        <v>190</v>
      </c>
      <c r="DC756" s="319" t="s">
        <v>190</v>
      </c>
      <c r="DD756" s="319" t="s">
        <v>190</v>
      </c>
      <c r="DE756" s="319" t="s">
        <v>190</v>
      </c>
      <c r="DF756" s="319" t="s">
        <v>190</v>
      </c>
      <c r="DG756" s="319" t="s">
        <v>190</v>
      </c>
      <c r="DH756" s="319" t="s">
        <v>190</v>
      </c>
      <c r="DI756" s="319" t="s">
        <v>190</v>
      </c>
      <c r="DJ756" s="319" t="s">
        <v>190</v>
      </c>
      <c r="DK756" s="319" t="s">
        <v>190</v>
      </c>
      <c r="DL756" s="319" t="s">
        <v>190</v>
      </c>
      <c r="DM756" s="319" t="s">
        <v>190</v>
      </c>
      <c r="DN756" s="319" t="s">
        <v>428</v>
      </c>
      <c r="DO756" s="319" t="s">
        <v>190</v>
      </c>
      <c r="DP756" s="319" t="s">
        <v>190</v>
      </c>
      <c r="DQ756" s="319" t="s">
        <v>190</v>
      </c>
      <c r="DR756" s="319" t="s">
        <v>190</v>
      </c>
      <c r="DS756" s="319" t="s">
        <v>190</v>
      </c>
      <c r="DT756" s="319" t="s">
        <v>190</v>
      </c>
      <c r="DU756" s="319" t="s">
        <v>190</v>
      </c>
      <c r="DV756" s="319" t="s">
        <v>173</v>
      </c>
      <c r="DW756" s="319" t="s">
        <v>190</v>
      </c>
      <c r="DX756" s="319" t="s">
        <v>190</v>
      </c>
      <c r="DY756" s="319" t="s">
        <v>190</v>
      </c>
      <c r="DZ756" s="319" t="s">
        <v>190</v>
      </c>
      <c r="EA756" s="319" t="s">
        <v>190</v>
      </c>
      <c r="EB756" s="319" t="s">
        <v>190</v>
      </c>
      <c r="EC756" s="319" t="s">
        <v>428</v>
      </c>
      <c r="ED756" s="319" t="s">
        <v>190</v>
      </c>
      <c r="EE756" s="319" t="s">
        <v>190</v>
      </c>
      <c r="EF756" s="319" t="s">
        <v>190</v>
      </c>
      <c r="EG756" s="319" t="s">
        <v>190</v>
      </c>
      <c r="EH756" s="319" t="s">
        <v>190</v>
      </c>
      <c r="EI756" s="319" t="s">
        <v>190</v>
      </c>
      <c r="EJ756" s="319" t="s">
        <v>190</v>
      </c>
      <c r="EK756" s="319" t="s">
        <v>190</v>
      </c>
      <c r="EL756" s="319" t="s">
        <v>190</v>
      </c>
      <c r="EM756" s="319" t="s">
        <v>190</v>
      </c>
      <c r="EN756" s="319" t="s">
        <v>190</v>
      </c>
      <c r="EO756" s="319" t="s">
        <v>190</v>
      </c>
      <c r="EP756" s="319" t="s">
        <v>190</v>
      </c>
      <c r="EQ756" s="319" t="s">
        <v>190</v>
      </c>
      <c r="ER756" s="319" t="s">
        <v>190</v>
      </c>
      <c r="ES756" s="319" t="s">
        <v>190</v>
      </c>
      <c r="ET756" s="319" t="s">
        <v>190</v>
      </c>
      <c r="EU756" s="319" t="s">
        <v>190</v>
      </c>
      <c r="EV756" s="319" t="s">
        <v>190</v>
      </c>
      <c r="EW756" s="319" t="s">
        <v>190</v>
      </c>
      <c r="EX756" s="319" t="s">
        <v>190</v>
      </c>
      <c r="EY756" s="319" t="s">
        <v>190</v>
      </c>
      <c r="EZ756" s="319" t="s">
        <v>190</v>
      </c>
      <c r="FA756" s="319" t="s">
        <v>190</v>
      </c>
      <c r="FB756" s="319" t="s">
        <v>190</v>
      </c>
      <c r="FC756" s="319" t="s">
        <v>190</v>
      </c>
      <c r="FD756" s="319" t="s">
        <v>190</v>
      </c>
      <c r="FE756" s="319" t="s">
        <v>190</v>
      </c>
      <c r="FF756" s="319" t="s">
        <v>190</v>
      </c>
      <c r="FG756" s="319" t="s">
        <v>190</v>
      </c>
      <c r="FH756" s="319" t="s">
        <v>190</v>
      </c>
      <c r="FI756" s="319" t="s">
        <v>190</v>
      </c>
      <c r="FJ756" s="319" t="s">
        <v>190</v>
      </c>
      <c r="FK756" s="319" t="s">
        <v>190</v>
      </c>
      <c r="FL756" s="319" t="s">
        <v>190</v>
      </c>
      <c r="FM756" s="319" t="s">
        <v>190</v>
      </c>
      <c r="FN756" s="319" t="s">
        <v>190</v>
      </c>
      <c r="FO756" s="319" t="s">
        <v>190</v>
      </c>
      <c r="FP756" s="319" t="s">
        <v>190</v>
      </c>
      <c r="FQ756" s="319" t="s">
        <v>190</v>
      </c>
      <c r="FR756" s="319" t="s">
        <v>190</v>
      </c>
      <c r="FS756" s="319" t="s">
        <v>428</v>
      </c>
      <c r="FT756" s="319" t="s">
        <v>190</v>
      </c>
      <c r="FU756" s="319" t="s">
        <v>190</v>
      </c>
      <c r="FV756" s="319" t="s">
        <v>190</v>
      </c>
      <c r="FW756" s="319" t="s">
        <v>190</v>
      </c>
      <c r="FX756" s="319" t="s">
        <v>190</v>
      </c>
      <c r="FY756" s="319" t="s">
        <v>190</v>
      </c>
      <c r="FZ756" s="319" t="s">
        <v>190</v>
      </c>
      <c r="GA756" s="319" t="s">
        <v>190</v>
      </c>
      <c r="GB756" s="319" t="s">
        <v>190</v>
      </c>
      <c r="GC756" s="319" t="s">
        <v>190</v>
      </c>
      <c r="GD756" s="319" t="s">
        <v>190</v>
      </c>
      <c r="GE756" s="319" t="s">
        <v>190</v>
      </c>
      <c r="GF756" s="319" t="s">
        <v>190</v>
      </c>
      <c r="GG756" s="319" t="s">
        <v>190</v>
      </c>
      <c r="GH756" s="319" t="s">
        <v>190</v>
      </c>
      <c r="GI756" s="319" t="s">
        <v>190</v>
      </c>
      <c r="GJ756" s="319" t="s">
        <v>190</v>
      </c>
      <c r="GK756" s="319" t="s">
        <v>428</v>
      </c>
      <c r="GL756" s="319" t="s">
        <v>190</v>
      </c>
      <c r="GM756" s="319" t="s">
        <v>190</v>
      </c>
      <c r="GN756" s="319" t="s">
        <v>190</v>
      </c>
      <c r="GO756" s="319" t="s">
        <v>190</v>
      </c>
      <c r="GP756" s="319" t="s">
        <v>190</v>
      </c>
      <c r="GQ756" s="319" t="s">
        <v>428</v>
      </c>
      <c r="GR756" s="319" t="s">
        <v>190</v>
      </c>
      <c r="GS756" s="319" t="s">
        <v>190</v>
      </c>
      <c r="GT756" s="319" t="s">
        <v>190</v>
      </c>
      <c r="GU756" s="319" t="s">
        <v>190</v>
      </c>
      <c r="GV756" s="319" t="s">
        <v>190</v>
      </c>
      <c r="GW756" s="319" t="s">
        <v>190</v>
      </c>
      <c r="GX756" s="319" t="s">
        <v>190</v>
      </c>
      <c r="GY756" s="319" t="s">
        <v>190</v>
      </c>
      <c r="GZ756" s="319" t="s">
        <v>190</v>
      </c>
      <c r="HA756" s="319" t="s">
        <v>428</v>
      </c>
      <c r="HB756" s="319" t="s">
        <v>190</v>
      </c>
      <c r="HC756" s="319" t="s">
        <v>190</v>
      </c>
      <c r="HD756" s="319" t="s">
        <v>190</v>
      </c>
      <c r="HE756" s="319" t="s">
        <v>190</v>
      </c>
      <c r="HF756" s="319" t="s">
        <v>190</v>
      </c>
      <c r="HG756" s="319" t="s">
        <v>190</v>
      </c>
      <c r="HH756" s="319" t="s">
        <v>190</v>
      </c>
      <c r="HI756" s="319" t="s">
        <v>190</v>
      </c>
      <c r="HJ756" s="319" t="s">
        <v>190</v>
      </c>
      <c r="HK756" s="319" t="s">
        <v>190</v>
      </c>
      <c r="HL756" s="319" t="s">
        <v>428</v>
      </c>
      <c r="HM756" s="319" t="s">
        <v>428</v>
      </c>
      <c r="HN756" s="319" t="s">
        <v>428</v>
      </c>
      <c r="HO756" s="319" t="s">
        <v>428</v>
      </c>
      <c r="HP756" s="319" t="s">
        <v>190</v>
      </c>
      <c r="HQ756" s="319" t="s">
        <v>190</v>
      </c>
      <c r="HR756" s="319" t="s">
        <v>190</v>
      </c>
      <c r="HS756" s="319" t="s">
        <v>190</v>
      </c>
      <c r="HT756" s="319" t="s">
        <v>190</v>
      </c>
      <c r="HU756" s="319" t="s">
        <v>190</v>
      </c>
      <c r="HV756" s="319" t="s">
        <v>190</v>
      </c>
      <c r="HW756" s="319" t="s">
        <v>190</v>
      </c>
      <c r="HX756" s="319" t="s">
        <v>190</v>
      </c>
      <c r="HY756" s="319" t="s">
        <v>190</v>
      </c>
      <c r="HZ756" s="319" t="s">
        <v>190</v>
      </c>
      <c r="IA756" s="319" t="s">
        <v>190</v>
      </c>
      <c r="IB756" s="319" t="s">
        <v>190</v>
      </c>
      <c r="IC756" s="319" t="s">
        <v>190</v>
      </c>
      <c r="ID756" s="319" t="s">
        <v>190</v>
      </c>
      <c r="IE756" s="319" t="s">
        <v>190</v>
      </c>
      <c r="IF756" s="319" t="s">
        <v>190</v>
      </c>
      <c r="IG756" s="319" t="s">
        <v>190</v>
      </c>
      <c r="IH756" s="319" t="s">
        <v>190</v>
      </c>
      <c r="II756" s="319" t="s">
        <v>190</v>
      </c>
      <c r="IJ756" s="319">
        <v>10040144</v>
      </c>
      <c r="IK756" s="321">
        <v>42997</v>
      </c>
      <c r="IL756" s="321">
        <v>42999</v>
      </c>
      <c r="IM756" s="321">
        <v>43025</v>
      </c>
      <c r="IN756" s="319">
        <v>3</v>
      </c>
      <c r="IO756" s="319" t="s">
        <v>173</v>
      </c>
      <c r="IP756" s="319" t="s">
        <v>173</v>
      </c>
      <c r="IQ756" s="321" t="s">
        <v>173</v>
      </c>
      <c r="IR756" s="320" t="s">
        <v>173</v>
      </c>
      <c r="IS756" s="322" t="s">
        <v>173</v>
      </c>
      <c r="IT756" s="319" t="s">
        <v>173</v>
      </c>
    </row>
    <row r="757" spans="1:254" s="271" customFormat="1" x14ac:dyDescent="0.25">
      <c r="A757" s="318" t="str">
        <f>HYPERLINK("http://www.ofsted.gov.uk/inspection-reports/find-inspection-report/provider/ELS/140273 ","Ofsted School Webpage")</f>
        <v>Ofsted School Webpage</v>
      </c>
      <c r="B757" s="319">
        <v>140273</v>
      </c>
      <c r="C757" s="319">
        <v>3356002</v>
      </c>
      <c r="D757" s="319" t="s">
        <v>2248</v>
      </c>
      <c r="E757" s="319" t="s">
        <v>168</v>
      </c>
      <c r="F757" s="319" t="s">
        <v>81</v>
      </c>
      <c r="G757" s="319" t="s">
        <v>81</v>
      </c>
      <c r="H757" s="319" t="s">
        <v>81</v>
      </c>
      <c r="I757" s="319" t="s">
        <v>78</v>
      </c>
      <c r="J757" s="319" t="s">
        <v>424</v>
      </c>
      <c r="K757" s="319" t="s">
        <v>437</v>
      </c>
      <c r="L757" s="319" t="s">
        <v>437</v>
      </c>
      <c r="M757" s="319" t="s">
        <v>1580</v>
      </c>
      <c r="N757" s="319" t="s">
        <v>2784</v>
      </c>
      <c r="O757" s="319" t="s">
        <v>539</v>
      </c>
      <c r="P757" s="319">
        <v>10</v>
      </c>
      <c r="Q757" s="319" t="s">
        <v>2766</v>
      </c>
      <c r="R757" s="320">
        <v>10026238</v>
      </c>
      <c r="S757" s="321">
        <v>43046</v>
      </c>
      <c r="T757" s="321">
        <v>43048</v>
      </c>
      <c r="U757" s="321">
        <v>43090</v>
      </c>
      <c r="V757" s="319" t="s">
        <v>425</v>
      </c>
      <c r="W757" s="319" t="s">
        <v>2767</v>
      </c>
      <c r="X757" s="319">
        <v>2</v>
      </c>
      <c r="Y757" s="319" t="s">
        <v>173</v>
      </c>
      <c r="Z757" s="319" t="s">
        <v>173</v>
      </c>
      <c r="AA757" s="319" t="s">
        <v>173</v>
      </c>
      <c r="AB757" s="319">
        <v>2</v>
      </c>
      <c r="AC757" s="319" t="s">
        <v>169</v>
      </c>
      <c r="AD757" s="319" t="s">
        <v>173</v>
      </c>
      <c r="AE757" s="319" t="s">
        <v>173</v>
      </c>
      <c r="AF757" s="319" t="s">
        <v>427</v>
      </c>
      <c r="AG757" s="319" t="s">
        <v>171</v>
      </c>
      <c r="AH757" s="319" t="s">
        <v>190</v>
      </c>
      <c r="AI757" s="319" t="s">
        <v>190</v>
      </c>
      <c r="AJ757" s="319" t="s">
        <v>190</v>
      </c>
      <c r="AK757" s="319" t="s">
        <v>190</v>
      </c>
      <c r="AL757" s="319" t="s">
        <v>190</v>
      </c>
      <c r="AM757" s="319" t="s">
        <v>190</v>
      </c>
      <c r="AN757" s="319" t="s">
        <v>190</v>
      </c>
      <c r="AO757" s="319" t="s">
        <v>190</v>
      </c>
      <c r="AP757" s="319" t="s">
        <v>190</v>
      </c>
      <c r="AQ757" s="319" t="s">
        <v>190</v>
      </c>
      <c r="AR757" s="319" t="s">
        <v>190</v>
      </c>
      <c r="AS757" s="319" t="s">
        <v>190</v>
      </c>
      <c r="AT757" s="319" t="s">
        <v>190</v>
      </c>
      <c r="AU757" s="319" t="s">
        <v>190</v>
      </c>
      <c r="AV757" s="319" t="s">
        <v>190</v>
      </c>
      <c r="AW757" s="319" t="s">
        <v>190</v>
      </c>
      <c r="AX757" s="319" t="s">
        <v>428</v>
      </c>
      <c r="AY757" s="319" t="s">
        <v>190</v>
      </c>
      <c r="AZ757" s="319" t="s">
        <v>190</v>
      </c>
      <c r="BA757" s="319" t="s">
        <v>190</v>
      </c>
      <c r="BB757" s="319" t="s">
        <v>190</v>
      </c>
      <c r="BC757" s="319" t="s">
        <v>190</v>
      </c>
      <c r="BD757" s="319" t="s">
        <v>190</v>
      </c>
      <c r="BE757" s="319" t="s">
        <v>190</v>
      </c>
      <c r="BF757" s="319" t="s">
        <v>428</v>
      </c>
      <c r="BG757" s="319" t="s">
        <v>428</v>
      </c>
      <c r="BH757" s="319" t="s">
        <v>190</v>
      </c>
      <c r="BI757" s="319" t="s">
        <v>190</v>
      </c>
      <c r="BJ757" s="319" t="s">
        <v>190</v>
      </c>
      <c r="BK757" s="319" t="s">
        <v>190</v>
      </c>
      <c r="BL757" s="319" t="s">
        <v>190</v>
      </c>
      <c r="BM757" s="319" t="s">
        <v>190</v>
      </c>
      <c r="BN757" s="319" t="s">
        <v>190</v>
      </c>
      <c r="BO757" s="319" t="s">
        <v>190</v>
      </c>
      <c r="BP757" s="319" t="s">
        <v>190</v>
      </c>
      <c r="BQ757" s="319" t="s">
        <v>190</v>
      </c>
      <c r="BR757" s="319" t="s">
        <v>190</v>
      </c>
      <c r="BS757" s="319" t="s">
        <v>190</v>
      </c>
      <c r="BT757" s="319" t="s">
        <v>190</v>
      </c>
      <c r="BU757" s="319" t="s">
        <v>190</v>
      </c>
      <c r="BV757" s="319" t="s">
        <v>190</v>
      </c>
      <c r="BW757" s="319" t="s">
        <v>190</v>
      </c>
      <c r="BX757" s="319" t="s">
        <v>190</v>
      </c>
      <c r="BY757" s="319" t="s">
        <v>190</v>
      </c>
      <c r="BZ757" s="319" t="s">
        <v>190</v>
      </c>
      <c r="CA757" s="319" t="s">
        <v>190</v>
      </c>
      <c r="CB757" s="319" t="s">
        <v>190</v>
      </c>
      <c r="CC757" s="319" t="s">
        <v>190</v>
      </c>
      <c r="CD757" s="319" t="s">
        <v>190</v>
      </c>
      <c r="CE757" s="319" t="s">
        <v>190</v>
      </c>
      <c r="CF757" s="319" t="s">
        <v>190</v>
      </c>
      <c r="CG757" s="319" t="s">
        <v>190</v>
      </c>
      <c r="CH757" s="319" t="s">
        <v>190</v>
      </c>
      <c r="CI757" s="319" t="s">
        <v>190</v>
      </c>
      <c r="CJ757" s="319" t="s">
        <v>190</v>
      </c>
      <c r="CK757" s="319" t="s">
        <v>190</v>
      </c>
      <c r="CL757" s="319" t="s">
        <v>190</v>
      </c>
      <c r="CM757" s="319" t="s">
        <v>190</v>
      </c>
      <c r="CN757" s="319" t="s">
        <v>428</v>
      </c>
      <c r="CO757" s="319" t="s">
        <v>428</v>
      </c>
      <c r="CP757" s="319" t="s">
        <v>428</v>
      </c>
      <c r="CQ757" s="319" t="s">
        <v>190</v>
      </c>
      <c r="CR757" s="319" t="s">
        <v>190</v>
      </c>
      <c r="CS757" s="319" t="s">
        <v>190</v>
      </c>
      <c r="CT757" s="319" t="s">
        <v>190</v>
      </c>
      <c r="CU757" s="319" t="s">
        <v>190</v>
      </c>
      <c r="CV757" s="319" t="s">
        <v>190</v>
      </c>
      <c r="CW757" s="319" t="s">
        <v>190</v>
      </c>
      <c r="CX757" s="319" t="s">
        <v>190</v>
      </c>
      <c r="CY757" s="319" t="s">
        <v>190</v>
      </c>
      <c r="CZ757" s="319" t="s">
        <v>190</v>
      </c>
      <c r="DA757" s="319" t="s">
        <v>190</v>
      </c>
      <c r="DB757" s="319" t="s">
        <v>190</v>
      </c>
      <c r="DC757" s="319" t="s">
        <v>190</v>
      </c>
      <c r="DD757" s="319" t="s">
        <v>190</v>
      </c>
      <c r="DE757" s="319" t="s">
        <v>190</v>
      </c>
      <c r="DF757" s="319" t="s">
        <v>190</v>
      </c>
      <c r="DG757" s="319" t="s">
        <v>190</v>
      </c>
      <c r="DH757" s="319" t="s">
        <v>190</v>
      </c>
      <c r="DI757" s="319" t="s">
        <v>190</v>
      </c>
      <c r="DJ757" s="319" t="s">
        <v>190</v>
      </c>
      <c r="DK757" s="319" t="s">
        <v>190</v>
      </c>
      <c r="DL757" s="319" t="s">
        <v>190</v>
      </c>
      <c r="DM757" s="319" t="s">
        <v>190</v>
      </c>
      <c r="DN757" s="319" t="s">
        <v>428</v>
      </c>
      <c r="DO757" s="319" t="s">
        <v>190</v>
      </c>
      <c r="DP757" s="319" t="s">
        <v>190</v>
      </c>
      <c r="DQ757" s="319" t="s">
        <v>190</v>
      </c>
      <c r="DR757" s="319" t="s">
        <v>190</v>
      </c>
      <c r="DS757" s="319" t="s">
        <v>190</v>
      </c>
      <c r="DT757" s="319" t="s">
        <v>190</v>
      </c>
      <c r="DU757" s="319" t="s">
        <v>190</v>
      </c>
      <c r="DV757" s="319" t="s">
        <v>173</v>
      </c>
      <c r="DW757" s="319" t="s">
        <v>190</v>
      </c>
      <c r="DX757" s="319" t="s">
        <v>190</v>
      </c>
      <c r="DY757" s="319" t="s">
        <v>190</v>
      </c>
      <c r="DZ757" s="319" t="s">
        <v>190</v>
      </c>
      <c r="EA757" s="319" t="s">
        <v>190</v>
      </c>
      <c r="EB757" s="319" t="s">
        <v>190</v>
      </c>
      <c r="EC757" s="319" t="s">
        <v>428</v>
      </c>
      <c r="ED757" s="319" t="s">
        <v>190</v>
      </c>
      <c r="EE757" s="319" t="s">
        <v>190</v>
      </c>
      <c r="EF757" s="319" t="s">
        <v>190</v>
      </c>
      <c r="EG757" s="319" t="s">
        <v>190</v>
      </c>
      <c r="EH757" s="319" t="s">
        <v>190</v>
      </c>
      <c r="EI757" s="319" t="s">
        <v>190</v>
      </c>
      <c r="EJ757" s="319" t="s">
        <v>190</v>
      </c>
      <c r="EK757" s="319" t="s">
        <v>190</v>
      </c>
      <c r="EL757" s="319" t="s">
        <v>190</v>
      </c>
      <c r="EM757" s="319" t="s">
        <v>190</v>
      </c>
      <c r="EN757" s="319" t="s">
        <v>190</v>
      </c>
      <c r="EO757" s="319" t="s">
        <v>190</v>
      </c>
      <c r="EP757" s="319" t="s">
        <v>190</v>
      </c>
      <c r="EQ757" s="319" t="s">
        <v>190</v>
      </c>
      <c r="ER757" s="319" t="s">
        <v>190</v>
      </c>
      <c r="ES757" s="319" t="s">
        <v>190</v>
      </c>
      <c r="ET757" s="319" t="s">
        <v>190</v>
      </c>
      <c r="EU757" s="319" t="s">
        <v>190</v>
      </c>
      <c r="EV757" s="319" t="s">
        <v>190</v>
      </c>
      <c r="EW757" s="319" t="s">
        <v>190</v>
      </c>
      <c r="EX757" s="319" t="s">
        <v>190</v>
      </c>
      <c r="EY757" s="319" t="s">
        <v>190</v>
      </c>
      <c r="EZ757" s="319" t="s">
        <v>190</v>
      </c>
      <c r="FA757" s="319" t="s">
        <v>190</v>
      </c>
      <c r="FB757" s="319" t="s">
        <v>190</v>
      </c>
      <c r="FC757" s="319" t="s">
        <v>190</v>
      </c>
      <c r="FD757" s="319" t="s">
        <v>190</v>
      </c>
      <c r="FE757" s="319" t="s">
        <v>190</v>
      </c>
      <c r="FF757" s="319" t="s">
        <v>190</v>
      </c>
      <c r="FG757" s="319" t="s">
        <v>190</v>
      </c>
      <c r="FH757" s="319" t="s">
        <v>190</v>
      </c>
      <c r="FI757" s="319" t="s">
        <v>190</v>
      </c>
      <c r="FJ757" s="319" t="s">
        <v>190</v>
      </c>
      <c r="FK757" s="319" t="s">
        <v>190</v>
      </c>
      <c r="FL757" s="319" t="s">
        <v>190</v>
      </c>
      <c r="FM757" s="319" t="s">
        <v>190</v>
      </c>
      <c r="FN757" s="319" t="s">
        <v>190</v>
      </c>
      <c r="FO757" s="319" t="s">
        <v>190</v>
      </c>
      <c r="FP757" s="319" t="s">
        <v>190</v>
      </c>
      <c r="FQ757" s="319" t="s">
        <v>190</v>
      </c>
      <c r="FR757" s="319" t="s">
        <v>190</v>
      </c>
      <c r="FS757" s="319" t="s">
        <v>428</v>
      </c>
      <c r="FT757" s="319" t="s">
        <v>190</v>
      </c>
      <c r="FU757" s="319" t="s">
        <v>190</v>
      </c>
      <c r="FV757" s="319" t="s">
        <v>190</v>
      </c>
      <c r="FW757" s="319" t="s">
        <v>190</v>
      </c>
      <c r="FX757" s="319" t="s">
        <v>190</v>
      </c>
      <c r="FY757" s="319" t="s">
        <v>190</v>
      </c>
      <c r="FZ757" s="319" t="s">
        <v>190</v>
      </c>
      <c r="GA757" s="319" t="s">
        <v>190</v>
      </c>
      <c r="GB757" s="319" t="s">
        <v>190</v>
      </c>
      <c r="GC757" s="319" t="s">
        <v>190</v>
      </c>
      <c r="GD757" s="319" t="s">
        <v>190</v>
      </c>
      <c r="GE757" s="319" t="s">
        <v>190</v>
      </c>
      <c r="GF757" s="319" t="s">
        <v>190</v>
      </c>
      <c r="GG757" s="319" t="s">
        <v>190</v>
      </c>
      <c r="GH757" s="319" t="s">
        <v>190</v>
      </c>
      <c r="GI757" s="319" t="s">
        <v>190</v>
      </c>
      <c r="GJ757" s="319" t="s">
        <v>190</v>
      </c>
      <c r="GK757" s="319" t="s">
        <v>428</v>
      </c>
      <c r="GL757" s="319" t="s">
        <v>190</v>
      </c>
      <c r="GM757" s="319" t="s">
        <v>190</v>
      </c>
      <c r="GN757" s="319" t="s">
        <v>190</v>
      </c>
      <c r="GO757" s="319" t="s">
        <v>190</v>
      </c>
      <c r="GP757" s="319" t="s">
        <v>190</v>
      </c>
      <c r="GQ757" s="319" t="s">
        <v>428</v>
      </c>
      <c r="GR757" s="319" t="s">
        <v>190</v>
      </c>
      <c r="GS757" s="319" t="s">
        <v>190</v>
      </c>
      <c r="GT757" s="319" t="s">
        <v>190</v>
      </c>
      <c r="GU757" s="319" t="s">
        <v>190</v>
      </c>
      <c r="GV757" s="319" t="s">
        <v>190</v>
      </c>
      <c r="GW757" s="319" t="s">
        <v>190</v>
      </c>
      <c r="GX757" s="319" t="s">
        <v>190</v>
      </c>
      <c r="GY757" s="319" t="s">
        <v>190</v>
      </c>
      <c r="GZ757" s="319" t="s">
        <v>190</v>
      </c>
      <c r="HA757" s="319" t="s">
        <v>428</v>
      </c>
      <c r="HB757" s="319" t="s">
        <v>428</v>
      </c>
      <c r="HC757" s="319" t="s">
        <v>190</v>
      </c>
      <c r="HD757" s="319" t="s">
        <v>190</v>
      </c>
      <c r="HE757" s="319" t="s">
        <v>190</v>
      </c>
      <c r="HF757" s="319" t="s">
        <v>190</v>
      </c>
      <c r="HG757" s="319" t="s">
        <v>190</v>
      </c>
      <c r="HH757" s="319" t="s">
        <v>190</v>
      </c>
      <c r="HI757" s="319" t="s">
        <v>190</v>
      </c>
      <c r="HJ757" s="319" t="s">
        <v>190</v>
      </c>
      <c r="HK757" s="319" t="s">
        <v>190</v>
      </c>
      <c r="HL757" s="319" t="s">
        <v>428</v>
      </c>
      <c r="HM757" s="319" t="s">
        <v>428</v>
      </c>
      <c r="HN757" s="319" t="s">
        <v>428</v>
      </c>
      <c r="HO757" s="319" t="s">
        <v>428</v>
      </c>
      <c r="HP757" s="319" t="s">
        <v>190</v>
      </c>
      <c r="HQ757" s="319" t="s">
        <v>190</v>
      </c>
      <c r="HR757" s="319" t="s">
        <v>190</v>
      </c>
      <c r="HS757" s="319" t="s">
        <v>190</v>
      </c>
      <c r="HT757" s="319" t="s">
        <v>190</v>
      </c>
      <c r="HU757" s="319" t="s">
        <v>190</v>
      </c>
      <c r="HV757" s="319" t="s">
        <v>190</v>
      </c>
      <c r="HW757" s="319" t="s">
        <v>190</v>
      </c>
      <c r="HX757" s="319" t="s">
        <v>190</v>
      </c>
      <c r="HY757" s="319" t="s">
        <v>190</v>
      </c>
      <c r="HZ757" s="319" t="s">
        <v>190</v>
      </c>
      <c r="IA757" s="319" t="s">
        <v>190</v>
      </c>
      <c r="IB757" s="319" t="s">
        <v>190</v>
      </c>
      <c r="IC757" s="319" t="s">
        <v>190</v>
      </c>
      <c r="ID757" s="319" t="s">
        <v>190</v>
      </c>
      <c r="IE757" s="319" t="s">
        <v>190</v>
      </c>
      <c r="IF757" s="319" t="s">
        <v>190</v>
      </c>
      <c r="IG757" s="319" t="s">
        <v>190</v>
      </c>
      <c r="IH757" s="319" t="s">
        <v>190</v>
      </c>
      <c r="II757" s="319" t="s">
        <v>190</v>
      </c>
      <c r="IJ757" s="319" t="s">
        <v>3494</v>
      </c>
      <c r="IK757" s="321">
        <v>42073</v>
      </c>
      <c r="IL757" s="321">
        <v>42075</v>
      </c>
      <c r="IM757" s="321">
        <v>42116</v>
      </c>
      <c r="IN757" s="319">
        <v>2</v>
      </c>
      <c r="IO757" s="319" t="s">
        <v>173</v>
      </c>
      <c r="IP757" s="319" t="s">
        <v>173</v>
      </c>
      <c r="IQ757" s="319" t="s">
        <v>173</v>
      </c>
      <c r="IR757" s="320" t="s">
        <v>173</v>
      </c>
      <c r="IS757" s="320" t="s">
        <v>173</v>
      </c>
      <c r="IT757" s="319" t="s">
        <v>173</v>
      </c>
    </row>
    <row r="758" spans="1:254" s="271" customFormat="1" x14ac:dyDescent="0.25">
      <c r="A758" s="318" t="str">
        <f>HYPERLINK("http://www.ofsted.gov.uk/inspection-reports/find-inspection-report/provider/ELS/140330 ","Ofsted School Webpage")</f>
        <v>Ofsted School Webpage</v>
      </c>
      <c r="B758" s="319">
        <v>140330</v>
      </c>
      <c r="C758" s="319">
        <v>8616011</v>
      </c>
      <c r="D758" s="319" t="s">
        <v>2249</v>
      </c>
      <c r="E758" s="319" t="s">
        <v>167</v>
      </c>
      <c r="F758" s="319" t="s">
        <v>81</v>
      </c>
      <c r="G758" s="319" t="s">
        <v>81</v>
      </c>
      <c r="H758" s="319" t="s">
        <v>81</v>
      </c>
      <c r="I758" s="319" t="s">
        <v>78</v>
      </c>
      <c r="J758" s="319" t="s">
        <v>424</v>
      </c>
      <c r="K758" s="319" t="s">
        <v>437</v>
      </c>
      <c r="L758" s="319" t="s">
        <v>437</v>
      </c>
      <c r="M758" s="319" t="s">
        <v>580</v>
      </c>
      <c r="N758" s="319" t="s">
        <v>3369</v>
      </c>
      <c r="O758" s="319" t="s">
        <v>2250</v>
      </c>
      <c r="P758" s="319">
        <v>15</v>
      </c>
      <c r="Q758" s="319" t="s">
        <v>2766</v>
      </c>
      <c r="R758" s="320">
        <v>10038847</v>
      </c>
      <c r="S758" s="321">
        <v>43039</v>
      </c>
      <c r="T758" s="321">
        <v>43041</v>
      </c>
      <c r="U758" s="321">
        <v>43059</v>
      </c>
      <c r="V758" s="319" t="s">
        <v>425</v>
      </c>
      <c r="W758" s="319" t="s">
        <v>2767</v>
      </c>
      <c r="X758" s="319">
        <v>2</v>
      </c>
      <c r="Y758" s="319" t="s">
        <v>173</v>
      </c>
      <c r="Z758" s="319" t="s">
        <v>173</v>
      </c>
      <c r="AA758" s="319" t="s">
        <v>173</v>
      </c>
      <c r="AB758" s="319">
        <v>1</v>
      </c>
      <c r="AC758" s="319" t="s">
        <v>169</v>
      </c>
      <c r="AD758" s="319" t="s">
        <v>173</v>
      </c>
      <c r="AE758" s="319" t="s">
        <v>173</v>
      </c>
      <c r="AF758" s="319" t="s">
        <v>447</v>
      </c>
      <c r="AG758" s="319" t="s">
        <v>171</v>
      </c>
      <c r="AH758" s="319" t="s">
        <v>190</v>
      </c>
      <c r="AI758" s="319" t="s">
        <v>190</v>
      </c>
      <c r="AJ758" s="319" t="s">
        <v>190</v>
      </c>
      <c r="AK758" s="319" t="s">
        <v>190</v>
      </c>
      <c r="AL758" s="319" t="s">
        <v>190</v>
      </c>
      <c r="AM758" s="319" t="s">
        <v>190</v>
      </c>
      <c r="AN758" s="319" t="s">
        <v>190</v>
      </c>
      <c r="AO758" s="319" t="s">
        <v>190</v>
      </c>
      <c r="AP758" s="319" t="s">
        <v>190</v>
      </c>
      <c r="AQ758" s="319" t="s">
        <v>190</v>
      </c>
      <c r="AR758" s="319" t="s">
        <v>190</v>
      </c>
      <c r="AS758" s="319" t="s">
        <v>190</v>
      </c>
      <c r="AT758" s="319" t="s">
        <v>190</v>
      </c>
      <c r="AU758" s="319" t="s">
        <v>190</v>
      </c>
      <c r="AV758" s="319" t="s">
        <v>190</v>
      </c>
      <c r="AW758" s="319" t="s">
        <v>190</v>
      </c>
      <c r="AX758" s="319" t="s">
        <v>428</v>
      </c>
      <c r="AY758" s="319" t="s">
        <v>190</v>
      </c>
      <c r="AZ758" s="319" t="s">
        <v>190</v>
      </c>
      <c r="BA758" s="319" t="s">
        <v>190</v>
      </c>
      <c r="BB758" s="319" t="s">
        <v>190</v>
      </c>
      <c r="BC758" s="319" t="s">
        <v>190</v>
      </c>
      <c r="BD758" s="319" t="s">
        <v>190</v>
      </c>
      <c r="BE758" s="319" t="s">
        <v>190</v>
      </c>
      <c r="BF758" s="319" t="s">
        <v>428</v>
      </c>
      <c r="BG758" s="319" t="s">
        <v>428</v>
      </c>
      <c r="BH758" s="319" t="s">
        <v>190</v>
      </c>
      <c r="BI758" s="319" t="s">
        <v>190</v>
      </c>
      <c r="BJ758" s="319" t="s">
        <v>190</v>
      </c>
      <c r="BK758" s="319" t="s">
        <v>190</v>
      </c>
      <c r="BL758" s="319" t="s">
        <v>190</v>
      </c>
      <c r="BM758" s="319" t="s">
        <v>190</v>
      </c>
      <c r="BN758" s="319" t="s">
        <v>190</v>
      </c>
      <c r="BO758" s="319" t="s">
        <v>190</v>
      </c>
      <c r="BP758" s="319" t="s">
        <v>190</v>
      </c>
      <c r="BQ758" s="319" t="s">
        <v>190</v>
      </c>
      <c r="BR758" s="319" t="s">
        <v>190</v>
      </c>
      <c r="BS758" s="319" t="s">
        <v>190</v>
      </c>
      <c r="BT758" s="319" t="s">
        <v>190</v>
      </c>
      <c r="BU758" s="319" t="s">
        <v>190</v>
      </c>
      <c r="BV758" s="319" t="s">
        <v>190</v>
      </c>
      <c r="BW758" s="319" t="s">
        <v>190</v>
      </c>
      <c r="BX758" s="319" t="s">
        <v>190</v>
      </c>
      <c r="BY758" s="319" t="s">
        <v>190</v>
      </c>
      <c r="BZ758" s="319" t="s">
        <v>190</v>
      </c>
      <c r="CA758" s="319" t="s">
        <v>190</v>
      </c>
      <c r="CB758" s="319" t="s">
        <v>190</v>
      </c>
      <c r="CC758" s="319" t="s">
        <v>190</v>
      </c>
      <c r="CD758" s="319" t="s">
        <v>190</v>
      </c>
      <c r="CE758" s="319" t="s">
        <v>190</v>
      </c>
      <c r="CF758" s="319" t="s">
        <v>190</v>
      </c>
      <c r="CG758" s="319" t="s">
        <v>190</v>
      </c>
      <c r="CH758" s="319" t="s">
        <v>190</v>
      </c>
      <c r="CI758" s="319" t="s">
        <v>190</v>
      </c>
      <c r="CJ758" s="319" t="s">
        <v>190</v>
      </c>
      <c r="CK758" s="319" t="s">
        <v>190</v>
      </c>
      <c r="CL758" s="319" t="s">
        <v>190</v>
      </c>
      <c r="CM758" s="319" t="s">
        <v>190</v>
      </c>
      <c r="CN758" s="319" t="s">
        <v>190</v>
      </c>
      <c r="CO758" s="319" t="s">
        <v>428</v>
      </c>
      <c r="CP758" s="319" t="s">
        <v>428</v>
      </c>
      <c r="CQ758" s="319" t="s">
        <v>190</v>
      </c>
      <c r="CR758" s="319" t="s">
        <v>190</v>
      </c>
      <c r="CS758" s="319" t="s">
        <v>190</v>
      </c>
      <c r="CT758" s="319" t="s">
        <v>190</v>
      </c>
      <c r="CU758" s="319" t="s">
        <v>190</v>
      </c>
      <c r="CV758" s="319" t="s">
        <v>190</v>
      </c>
      <c r="CW758" s="319" t="s">
        <v>190</v>
      </c>
      <c r="CX758" s="319" t="s">
        <v>190</v>
      </c>
      <c r="CY758" s="319" t="s">
        <v>190</v>
      </c>
      <c r="CZ758" s="319" t="s">
        <v>190</v>
      </c>
      <c r="DA758" s="319" t="s">
        <v>190</v>
      </c>
      <c r="DB758" s="319" t="s">
        <v>190</v>
      </c>
      <c r="DC758" s="319" t="s">
        <v>190</v>
      </c>
      <c r="DD758" s="319" t="s">
        <v>190</v>
      </c>
      <c r="DE758" s="319" t="s">
        <v>190</v>
      </c>
      <c r="DF758" s="319" t="s">
        <v>190</v>
      </c>
      <c r="DG758" s="319" t="s">
        <v>190</v>
      </c>
      <c r="DH758" s="319" t="s">
        <v>190</v>
      </c>
      <c r="DI758" s="319" t="s">
        <v>190</v>
      </c>
      <c r="DJ758" s="319" t="s">
        <v>190</v>
      </c>
      <c r="DK758" s="319" t="s">
        <v>190</v>
      </c>
      <c r="DL758" s="319" t="s">
        <v>190</v>
      </c>
      <c r="DM758" s="319" t="s">
        <v>190</v>
      </c>
      <c r="DN758" s="319" t="s">
        <v>428</v>
      </c>
      <c r="DO758" s="319" t="s">
        <v>190</v>
      </c>
      <c r="DP758" s="319" t="s">
        <v>190</v>
      </c>
      <c r="DQ758" s="319" t="s">
        <v>190</v>
      </c>
      <c r="DR758" s="319" t="s">
        <v>190</v>
      </c>
      <c r="DS758" s="319" t="s">
        <v>190</v>
      </c>
      <c r="DT758" s="319" t="s">
        <v>190</v>
      </c>
      <c r="DU758" s="319" t="s">
        <v>190</v>
      </c>
      <c r="DV758" s="319" t="s">
        <v>173</v>
      </c>
      <c r="DW758" s="319" t="s">
        <v>190</v>
      </c>
      <c r="DX758" s="319" t="s">
        <v>190</v>
      </c>
      <c r="DY758" s="319" t="s">
        <v>190</v>
      </c>
      <c r="DZ758" s="319" t="s">
        <v>190</v>
      </c>
      <c r="EA758" s="319" t="s">
        <v>190</v>
      </c>
      <c r="EB758" s="319" t="s">
        <v>190</v>
      </c>
      <c r="EC758" s="319" t="s">
        <v>190</v>
      </c>
      <c r="ED758" s="319" t="s">
        <v>190</v>
      </c>
      <c r="EE758" s="319" t="s">
        <v>190</v>
      </c>
      <c r="EF758" s="319" t="s">
        <v>190</v>
      </c>
      <c r="EG758" s="319" t="s">
        <v>190</v>
      </c>
      <c r="EH758" s="319" t="s">
        <v>190</v>
      </c>
      <c r="EI758" s="319" t="s">
        <v>190</v>
      </c>
      <c r="EJ758" s="319" t="s">
        <v>190</v>
      </c>
      <c r="EK758" s="319" t="s">
        <v>190</v>
      </c>
      <c r="EL758" s="319" t="s">
        <v>190</v>
      </c>
      <c r="EM758" s="319" t="s">
        <v>190</v>
      </c>
      <c r="EN758" s="319" t="s">
        <v>190</v>
      </c>
      <c r="EO758" s="319" t="s">
        <v>190</v>
      </c>
      <c r="EP758" s="319" t="s">
        <v>190</v>
      </c>
      <c r="EQ758" s="319" t="s">
        <v>190</v>
      </c>
      <c r="ER758" s="319" t="s">
        <v>190</v>
      </c>
      <c r="ES758" s="319" t="s">
        <v>190</v>
      </c>
      <c r="ET758" s="319" t="s">
        <v>190</v>
      </c>
      <c r="EU758" s="319" t="s">
        <v>190</v>
      </c>
      <c r="EV758" s="319" t="s">
        <v>190</v>
      </c>
      <c r="EW758" s="319" t="s">
        <v>190</v>
      </c>
      <c r="EX758" s="319" t="s">
        <v>190</v>
      </c>
      <c r="EY758" s="319" t="s">
        <v>190</v>
      </c>
      <c r="EZ758" s="319" t="s">
        <v>190</v>
      </c>
      <c r="FA758" s="319" t="s">
        <v>190</v>
      </c>
      <c r="FB758" s="319" t="s">
        <v>190</v>
      </c>
      <c r="FC758" s="319" t="s">
        <v>190</v>
      </c>
      <c r="FD758" s="319" t="s">
        <v>190</v>
      </c>
      <c r="FE758" s="319" t="s">
        <v>190</v>
      </c>
      <c r="FF758" s="319" t="s">
        <v>190</v>
      </c>
      <c r="FG758" s="319" t="s">
        <v>190</v>
      </c>
      <c r="FH758" s="319" t="s">
        <v>190</v>
      </c>
      <c r="FI758" s="319" t="s">
        <v>190</v>
      </c>
      <c r="FJ758" s="319" t="s">
        <v>190</v>
      </c>
      <c r="FK758" s="319" t="s">
        <v>190</v>
      </c>
      <c r="FL758" s="319" t="s">
        <v>190</v>
      </c>
      <c r="FM758" s="319" t="s">
        <v>190</v>
      </c>
      <c r="FN758" s="319" t="s">
        <v>190</v>
      </c>
      <c r="FO758" s="319" t="s">
        <v>190</v>
      </c>
      <c r="FP758" s="319" t="s">
        <v>190</v>
      </c>
      <c r="FQ758" s="319" t="s">
        <v>190</v>
      </c>
      <c r="FR758" s="319" t="s">
        <v>190</v>
      </c>
      <c r="FS758" s="319" t="s">
        <v>428</v>
      </c>
      <c r="FT758" s="319" t="s">
        <v>190</v>
      </c>
      <c r="FU758" s="319" t="s">
        <v>190</v>
      </c>
      <c r="FV758" s="319" t="s">
        <v>190</v>
      </c>
      <c r="FW758" s="319" t="s">
        <v>190</v>
      </c>
      <c r="FX758" s="319" t="s">
        <v>190</v>
      </c>
      <c r="FY758" s="319" t="s">
        <v>190</v>
      </c>
      <c r="FZ758" s="319" t="s">
        <v>190</v>
      </c>
      <c r="GA758" s="319" t="s">
        <v>190</v>
      </c>
      <c r="GB758" s="319" t="s">
        <v>190</v>
      </c>
      <c r="GC758" s="319" t="s">
        <v>190</v>
      </c>
      <c r="GD758" s="319" t="s">
        <v>190</v>
      </c>
      <c r="GE758" s="319" t="s">
        <v>190</v>
      </c>
      <c r="GF758" s="319" t="s">
        <v>190</v>
      </c>
      <c r="GG758" s="319" t="s">
        <v>190</v>
      </c>
      <c r="GH758" s="319" t="s">
        <v>190</v>
      </c>
      <c r="GI758" s="319" t="s">
        <v>190</v>
      </c>
      <c r="GJ758" s="319" t="s">
        <v>190</v>
      </c>
      <c r="GK758" s="319" t="s">
        <v>428</v>
      </c>
      <c r="GL758" s="319" t="s">
        <v>190</v>
      </c>
      <c r="GM758" s="319" t="s">
        <v>190</v>
      </c>
      <c r="GN758" s="319" t="s">
        <v>190</v>
      </c>
      <c r="GO758" s="319" t="s">
        <v>190</v>
      </c>
      <c r="GP758" s="319" t="s">
        <v>190</v>
      </c>
      <c r="GQ758" s="319" t="s">
        <v>190</v>
      </c>
      <c r="GR758" s="319" t="s">
        <v>190</v>
      </c>
      <c r="GS758" s="319" t="s">
        <v>190</v>
      </c>
      <c r="GT758" s="319" t="s">
        <v>190</v>
      </c>
      <c r="GU758" s="319" t="s">
        <v>190</v>
      </c>
      <c r="GV758" s="319" t="s">
        <v>190</v>
      </c>
      <c r="GW758" s="319" t="s">
        <v>190</v>
      </c>
      <c r="GX758" s="319" t="s">
        <v>190</v>
      </c>
      <c r="GY758" s="319" t="s">
        <v>190</v>
      </c>
      <c r="GZ758" s="319" t="s">
        <v>190</v>
      </c>
      <c r="HA758" s="319" t="s">
        <v>428</v>
      </c>
      <c r="HB758" s="319" t="s">
        <v>428</v>
      </c>
      <c r="HC758" s="319" t="s">
        <v>190</v>
      </c>
      <c r="HD758" s="319" t="s">
        <v>190</v>
      </c>
      <c r="HE758" s="319" t="s">
        <v>190</v>
      </c>
      <c r="HF758" s="319" t="s">
        <v>190</v>
      </c>
      <c r="HG758" s="319" t="s">
        <v>190</v>
      </c>
      <c r="HH758" s="319" t="s">
        <v>190</v>
      </c>
      <c r="HI758" s="319" t="s">
        <v>190</v>
      </c>
      <c r="HJ758" s="319" t="s">
        <v>190</v>
      </c>
      <c r="HK758" s="319" t="s">
        <v>190</v>
      </c>
      <c r="HL758" s="319" t="s">
        <v>190</v>
      </c>
      <c r="HM758" s="319" t="s">
        <v>428</v>
      </c>
      <c r="HN758" s="319" t="s">
        <v>428</v>
      </c>
      <c r="HO758" s="319" t="s">
        <v>428</v>
      </c>
      <c r="HP758" s="319" t="s">
        <v>190</v>
      </c>
      <c r="HQ758" s="319" t="s">
        <v>190</v>
      </c>
      <c r="HR758" s="319" t="s">
        <v>190</v>
      </c>
      <c r="HS758" s="319" t="s">
        <v>190</v>
      </c>
      <c r="HT758" s="319" t="s">
        <v>190</v>
      </c>
      <c r="HU758" s="319" t="s">
        <v>190</v>
      </c>
      <c r="HV758" s="319" t="s">
        <v>190</v>
      </c>
      <c r="HW758" s="319" t="s">
        <v>190</v>
      </c>
      <c r="HX758" s="319" t="s">
        <v>190</v>
      </c>
      <c r="HY758" s="319" t="s">
        <v>190</v>
      </c>
      <c r="HZ758" s="319" t="s">
        <v>190</v>
      </c>
      <c r="IA758" s="319" t="s">
        <v>190</v>
      </c>
      <c r="IB758" s="319" t="s">
        <v>190</v>
      </c>
      <c r="IC758" s="319" t="s">
        <v>190</v>
      </c>
      <c r="ID758" s="319" t="s">
        <v>190</v>
      </c>
      <c r="IE758" s="319" t="s">
        <v>190</v>
      </c>
      <c r="IF758" s="319" t="s">
        <v>190</v>
      </c>
      <c r="IG758" s="319" t="s">
        <v>190</v>
      </c>
      <c r="IH758" s="319" t="s">
        <v>190</v>
      </c>
      <c r="II758" s="319" t="s">
        <v>190</v>
      </c>
      <c r="IJ758" s="319" t="s">
        <v>3495</v>
      </c>
      <c r="IK758" s="321">
        <v>41926</v>
      </c>
      <c r="IL758" s="321">
        <v>41928</v>
      </c>
      <c r="IM758" s="321">
        <v>41953</v>
      </c>
      <c r="IN758" s="319">
        <v>2</v>
      </c>
      <c r="IO758" s="319" t="s">
        <v>173</v>
      </c>
      <c r="IP758" s="319" t="s">
        <v>173</v>
      </c>
      <c r="IQ758" s="319" t="s">
        <v>173</v>
      </c>
      <c r="IR758" s="320" t="s">
        <v>173</v>
      </c>
      <c r="IS758" s="320" t="s">
        <v>173</v>
      </c>
      <c r="IT758" s="319" t="s">
        <v>173</v>
      </c>
    </row>
    <row r="759" spans="1:254" s="271" customFormat="1" x14ac:dyDescent="0.25">
      <c r="A759" s="318" t="str">
        <f>HYPERLINK("http://www.ofsted.gov.uk/inspection-reports/find-inspection-report/provider/ELS/140354 ","Ofsted School Webpage")</f>
        <v>Ofsted School Webpage</v>
      </c>
      <c r="B759" s="319">
        <v>140354</v>
      </c>
      <c r="C759" s="319">
        <v>9376008</v>
      </c>
      <c r="D759" s="319" t="s">
        <v>991</v>
      </c>
      <c r="E759" s="319" t="s">
        <v>168</v>
      </c>
      <c r="F759" s="319" t="s">
        <v>81</v>
      </c>
      <c r="G759" s="319" t="s">
        <v>81</v>
      </c>
      <c r="H759" s="319" t="s">
        <v>81</v>
      </c>
      <c r="I759" s="319" t="s">
        <v>78</v>
      </c>
      <c r="J759" s="319" t="s">
        <v>424</v>
      </c>
      <c r="K759" s="319" t="s">
        <v>437</v>
      </c>
      <c r="L759" s="319" t="s">
        <v>437</v>
      </c>
      <c r="M759" s="319" t="s">
        <v>438</v>
      </c>
      <c r="N759" s="319" t="s">
        <v>3496</v>
      </c>
      <c r="O759" s="319" t="s">
        <v>992</v>
      </c>
      <c r="P759" s="319">
        <v>50</v>
      </c>
      <c r="Q759" s="319" t="s">
        <v>429</v>
      </c>
      <c r="R759" s="320">
        <v>10038848</v>
      </c>
      <c r="S759" s="321">
        <v>43131</v>
      </c>
      <c r="T759" s="321">
        <v>43133</v>
      </c>
      <c r="U759" s="321">
        <v>43188</v>
      </c>
      <c r="V759" s="319" t="s">
        <v>425</v>
      </c>
      <c r="W759" s="319" t="s">
        <v>2767</v>
      </c>
      <c r="X759" s="319">
        <v>4</v>
      </c>
      <c r="Y759" s="319" t="s">
        <v>173</v>
      </c>
      <c r="Z759" s="319" t="s">
        <v>173</v>
      </c>
      <c r="AA759" s="319" t="s">
        <v>173</v>
      </c>
      <c r="AB759" s="319">
        <v>4</v>
      </c>
      <c r="AC759" s="319" t="s">
        <v>170</v>
      </c>
      <c r="AD759" s="319" t="s">
        <v>173</v>
      </c>
      <c r="AE759" s="319" t="s">
        <v>173</v>
      </c>
      <c r="AF759" s="319" t="s">
        <v>427</v>
      </c>
      <c r="AG759" s="319" t="s">
        <v>172</v>
      </c>
      <c r="AH759" s="319" t="s">
        <v>190</v>
      </c>
      <c r="AI759" s="319" t="s">
        <v>190</v>
      </c>
      <c r="AJ759" s="319" t="s">
        <v>479</v>
      </c>
      <c r="AK759" s="319" t="s">
        <v>190</v>
      </c>
      <c r="AL759" s="319" t="s">
        <v>190</v>
      </c>
      <c r="AM759" s="319" t="s">
        <v>190</v>
      </c>
      <c r="AN759" s="319" t="s">
        <v>190</v>
      </c>
      <c r="AO759" s="319" t="s">
        <v>479</v>
      </c>
      <c r="AP759" s="319" t="s">
        <v>190</v>
      </c>
      <c r="AQ759" s="319" t="s">
        <v>190</v>
      </c>
      <c r="AR759" s="319" t="s">
        <v>190</v>
      </c>
      <c r="AS759" s="319" t="s">
        <v>190</v>
      </c>
      <c r="AT759" s="319" t="s">
        <v>190</v>
      </c>
      <c r="AU759" s="319" t="s">
        <v>190</v>
      </c>
      <c r="AV759" s="319" t="s">
        <v>190</v>
      </c>
      <c r="AW759" s="319" t="s">
        <v>190</v>
      </c>
      <c r="AX759" s="319" t="s">
        <v>428</v>
      </c>
      <c r="AY759" s="319" t="s">
        <v>190</v>
      </c>
      <c r="AZ759" s="319" t="s">
        <v>190</v>
      </c>
      <c r="BA759" s="319" t="s">
        <v>190</v>
      </c>
      <c r="BB759" s="319" t="s">
        <v>190</v>
      </c>
      <c r="BC759" s="319" t="s">
        <v>190</v>
      </c>
      <c r="BD759" s="319" t="s">
        <v>190</v>
      </c>
      <c r="BE759" s="319" t="s">
        <v>190</v>
      </c>
      <c r="BF759" s="319" t="s">
        <v>428</v>
      </c>
      <c r="BG759" s="319" t="s">
        <v>428</v>
      </c>
      <c r="BH759" s="319" t="s">
        <v>190</v>
      </c>
      <c r="BI759" s="319" t="s">
        <v>190</v>
      </c>
      <c r="BJ759" s="319" t="s">
        <v>190</v>
      </c>
      <c r="BK759" s="319" t="s">
        <v>190</v>
      </c>
      <c r="BL759" s="319" t="s">
        <v>190</v>
      </c>
      <c r="BM759" s="319" t="s">
        <v>190</v>
      </c>
      <c r="BN759" s="319" t="s">
        <v>190</v>
      </c>
      <c r="BO759" s="319" t="s">
        <v>190</v>
      </c>
      <c r="BP759" s="319" t="s">
        <v>190</v>
      </c>
      <c r="BQ759" s="319" t="s">
        <v>190</v>
      </c>
      <c r="BR759" s="319" t="s">
        <v>190</v>
      </c>
      <c r="BS759" s="319" t="s">
        <v>190</v>
      </c>
      <c r="BT759" s="319" t="s">
        <v>190</v>
      </c>
      <c r="BU759" s="319" t="s">
        <v>190</v>
      </c>
      <c r="BV759" s="319" t="s">
        <v>190</v>
      </c>
      <c r="BW759" s="319" t="s">
        <v>190</v>
      </c>
      <c r="BX759" s="319" t="s">
        <v>190</v>
      </c>
      <c r="BY759" s="319" t="s">
        <v>190</v>
      </c>
      <c r="BZ759" s="319" t="s">
        <v>190</v>
      </c>
      <c r="CA759" s="319" t="s">
        <v>190</v>
      </c>
      <c r="CB759" s="319" t="s">
        <v>190</v>
      </c>
      <c r="CC759" s="319" t="s">
        <v>190</v>
      </c>
      <c r="CD759" s="319" t="s">
        <v>190</v>
      </c>
      <c r="CE759" s="319" t="s">
        <v>190</v>
      </c>
      <c r="CF759" s="319" t="s">
        <v>190</v>
      </c>
      <c r="CG759" s="319" t="s">
        <v>190</v>
      </c>
      <c r="CH759" s="319" t="s">
        <v>190</v>
      </c>
      <c r="CI759" s="319" t="s">
        <v>190</v>
      </c>
      <c r="CJ759" s="319" t="s">
        <v>190</v>
      </c>
      <c r="CK759" s="319" t="s">
        <v>191</v>
      </c>
      <c r="CL759" s="319" t="s">
        <v>191</v>
      </c>
      <c r="CM759" s="319" t="s">
        <v>191</v>
      </c>
      <c r="CN759" s="319" t="s">
        <v>428</v>
      </c>
      <c r="CO759" s="319" t="s">
        <v>428</v>
      </c>
      <c r="CP759" s="319" t="s">
        <v>428</v>
      </c>
      <c r="CQ759" s="319" t="s">
        <v>191</v>
      </c>
      <c r="CR759" s="319" t="s">
        <v>190</v>
      </c>
      <c r="CS759" s="319" t="s">
        <v>191</v>
      </c>
      <c r="CT759" s="319" t="s">
        <v>190</v>
      </c>
      <c r="CU759" s="319" t="s">
        <v>191</v>
      </c>
      <c r="CV759" s="319" t="s">
        <v>190</v>
      </c>
      <c r="CW759" s="319" t="s">
        <v>190</v>
      </c>
      <c r="CX759" s="319" t="s">
        <v>190</v>
      </c>
      <c r="CY759" s="319" t="s">
        <v>190</v>
      </c>
      <c r="CZ759" s="319" t="s">
        <v>190</v>
      </c>
      <c r="DA759" s="319" t="s">
        <v>190</v>
      </c>
      <c r="DB759" s="319" t="s">
        <v>190</v>
      </c>
      <c r="DC759" s="319" t="s">
        <v>190</v>
      </c>
      <c r="DD759" s="319" t="s">
        <v>190</v>
      </c>
      <c r="DE759" s="319" t="s">
        <v>190</v>
      </c>
      <c r="DF759" s="319" t="s">
        <v>190</v>
      </c>
      <c r="DG759" s="319" t="s">
        <v>190</v>
      </c>
      <c r="DH759" s="319" t="s">
        <v>190</v>
      </c>
      <c r="DI759" s="319" t="s">
        <v>190</v>
      </c>
      <c r="DJ759" s="319" t="s">
        <v>190</v>
      </c>
      <c r="DK759" s="319" t="s">
        <v>190</v>
      </c>
      <c r="DL759" s="319" t="s">
        <v>190</v>
      </c>
      <c r="DM759" s="319" t="s">
        <v>190</v>
      </c>
      <c r="DN759" s="319" t="s">
        <v>428</v>
      </c>
      <c r="DO759" s="319" t="s">
        <v>428</v>
      </c>
      <c r="DP759" s="319" t="s">
        <v>190</v>
      </c>
      <c r="DQ759" s="319" t="s">
        <v>190</v>
      </c>
      <c r="DR759" s="319" t="s">
        <v>190</v>
      </c>
      <c r="DS759" s="319" t="s">
        <v>190</v>
      </c>
      <c r="DT759" s="319" t="s">
        <v>190</v>
      </c>
      <c r="DU759" s="319" t="s">
        <v>190</v>
      </c>
      <c r="DV759" s="319" t="s">
        <v>173</v>
      </c>
      <c r="DW759" s="319" t="s">
        <v>190</v>
      </c>
      <c r="DX759" s="319" t="s">
        <v>190</v>
      </c>
      <c r="DY759" s="319" t="s">
        <v>190</v>
      </c>
      <c r="DZ759" s="319" t="s">
        <v>190</v>
      </c>
      <c r="EA759" s="319" t="s">
        <v>190</v>
      </c>
      <c r="EB759" s="319" t="s">
        <v>190</v>
      </c>
      <c r="EC759" s="319" t="s">
        <v>428</v>
      </c>
      <c r="ED759" s="319" t="s">
        <v>190</v>
      </c>
      <c r="EE759" s="319" t="s">
        <v>190</v>
      </c>
      <c r="EF759" s="319" t="s">
        <v>190</v>
      </c>
      <c r="EG759" s="319" t="s">
        <v>190</v>
      </c>
      <c r="EH759" s="319" t="s">
        <v>190</v>
      </c>
      <c r="EI759" s="319" t="s">
        <v>190</v>
      </c>
      <c r="EJ759" s="319" t="s">
        <v>190</v>
      </c>
      <c r="EK759" s="319" t="s">
        <v>190</v>
      </c>
      <c r="EL759" s="319" t="s">
        <v>190</v>
      </c>
      <c r="EM759" s="319" t="s">
        <v>190</v>
      </c>
      <c r="EN759" s="319" t="s">
        <v>190</v>
      </c>
      <c r="EO759" s="319" t="s">
        <v>190</v>
      </c>
      <c r="EP759" s="319" t="s">
        <v>190</v>
      </c>
      <c r="EQ759" s="319" t="s">
        <v>190</v>
      </c>
      <c r="ER759" s="319" t="s">
        <v>190</v>
      </c>
      <c r="ES759" s="319" t="s">
        <v>190</v>
      </c>
      <c r="ET759" s="319" t="s">
        <v>190</v>
      </c>
      <c r="EU759" s="319" t="s">
        <v>190</v>
      </c>
      <c r="EV759" s="319" t="s">
        <v>190</v>
      </c>
      <c r="EW759" s="319" t="s">
        <v>190</v>
      </c>
      <c r="EX759" s="319" t="s">
        <v>190</v>
      </c>
      <c r="EY759" s="319" t="s">
        <v>190</v>
      </c>
      <c r="EZ759" s="319" t="s">
        <v>190</v>
      </c>
      <c r="FA759" s="319" t="s">
        <v>190</v>
      </c>
      <c r="FB759" s="319" t="s">
        <v>190</v>
      </c>
      <c r="FC759" s="319" t="s">
        <v>190</v>
      </c>
      <c r="FD759" s="319" t="s">
        <v>190</v>
      </c>
      <c r="FE759" s="319" t="s">
        <v>190</v>
      </c>
      <c r="FF759" s="319" t="s">
        <v>190</v>
      </c>
      <c r="FG759" s="319" t="s">
        <v>190</v>
      </c>
      <c r="FH759" s="319" t="s">
        <v>190</v>
      </c>
      <c r="FI759" s="319" t="s">
        <v>190</v>
      </c>
      <c r="FJ759" s="319" t="s">
        <v>190</v>
      </c>
      <c r="FK759" s="319" t="s">
        <v>190</v>
      </c>
      <c r="FL759" s="319" t="s">
        <v>190</v>
      </c>
      <c r="FM759" s="319" t="s">
        <v>190</v>
      </c>
      <c r="FN759" s="319" t="s">
        <v>190</v>
      </c>
      <c r="FO759" s="319" t="s">
        <v>190</v>
      </c>
      <c r="FP759" s="319" t="s">
        <v>190</v>
      </c>
      <c r="FQ759" s="319" t="s">
        <v>190</v>
      </c>
      <c r="FR759" s="319" t="s">
        <v>190</v>
      </c>
      <c r="FS759" s="319" t="s">
        <v>190</v>
      </c>
      <c r="FT759" s="319" t="s">
        <v>190</v>
      </c>
      <c r="FU759" s="319" t="s">
        <v>190</v>
      </c>
      <c r="FV759" s="319" t="s">
        <v>190</v>
      </c>
      <c r="FW759" s="319" t="s">
        <v>190</v>
      </c>
      <c r="FX759" s="319" t="s">
        <v>190</v>
      </c>
      <c r="FY759" s="319" t="s">
        <v>190</v>
      </c>
      <c r="FZ759" s="319" t="s">
        <v>190</v>
      </c>
      <c r="GA759" s="319" t="s">
        <v>190</v>
      </c>
      <c r="GB759" s="319" t="s">
        <v>190</v>
      </c>
      <c r="GC759" s="319" t="s">
        <v>190</v>
      </c>
      <c r="GD759" s="319" t="s">
        <v>190</v>
      </c>
      <c r="GE759" s="319" t="s">
        <v>190</v>
      </c>
      <c r="GF759" s="319" t="s">
        <v>190</v>
      </c>
      <c r="GG759" s="319" t="s">
        <v>190</v>
      </c>
      <c r="GH759" s="319" t="s">
        <v>190</v>
      </c>
      <c r="GI759" s="319" t="s">
        <v>190</v>
      </c>
      <c r="GJ759" s="319" t="s">
        <v>190</v>
      </c>
      <c r="GK759" s="319" t="s">
        <v>428</v>
      </c>
      <c r="GL759" s="319" t="s">
        <v>190</v>
      </c>
      <c r="GM759" s="319" t="s">
        <v>190</v>
      </c>
      <c r="GN759" s="319" t="s">
        <v>190</v>
      </c>
      <c r="GO759" s="319" t="s">
        <v>190</v>
      </c>
      <c r="GP759" s="319" t="s">
        <v>190</v>
      </c>
      <c r="GQ759" s="319" t="s">
        <v>190</v>
      </c>
      <c r="GR759" s="319" t="s">
        <v>190</v>
      </c>
      <c r="GS759" s="319" t="s">
        <v>190</v>
      </c>
      <c r="GT759" s="319" t="s">
        <v>190</v>
      </c>
      <c r="GU759" s="319" t="s">
        <v>190</v>
      </c>
      <c r="GV759" s="319" t="s">
        <v>190</v>
      </c>
      <c r="GW759" s="319" t="s">
        <v>190</v>
      </c>
      <c r="GX759" s="319" t="s">
        <v>190</v>
      </c>
      <c r="GY759" s="319" t="s">
        <v>190</v>
      </c>
      <c r="GZ759" s="319" t="s">
        <v>428</v>
      </c>
      <c r="HA759" s="319" t="s">
        <v>190</v>
      </c>
      <c r="HB759" s="319" t="s">
        <v>190</v>
      </c>
      <c r="HC759" s="319" t="s">
        <v>190</v>
      </c>
      <c r="HD759" s="319" t="s">
        <v>190</v>
      </c>
      <c r="HE759" s="319" t="s">
        <v>190</v>
      </c>
      <c r="HF759" s="319" t="s">
        <v>190</v>
      </c>
      <c r="HG759" s="319" t="s">
        <v>190</v>
      </c>
      <c r="HH759" s="319" t="s">
        <v>190</v>
      </c>
      <c r="HI759" s="319" t="s">
        <v>190</v>
      </c>
      <c r="HJ759" s="319" t="s">
        <v>190</v>
      </c>
      <c r="HK759" s="319" t="s">
        <v>190</v>
      </c>
      <c r="HL759" s="319" t="s">
        <v>190</v>
      </c>
      <c r="HM759" s="319" t="s">
        <v>190</v>
      </c>
      <c r="HN759" s="319" t="s">
        <v>190</v>
      </c>
      <c r="HO759" s="319" t="s">
        <v>190</v>
      </c>
      <c r="HP759" s="319" t="s">
        <v>190</v>
      </c>
      <c r="HQ759" s="319" t="s">
        <v>190</v>
      </c>
      <c r="HR759" s="319" t="s">
        <v>190</v>
      </c>
      <c r="HS759" s="319" t="s">
        <v>190</v>
      </c>
      <c r="HT759" s="319" t="s">
        <v>190</v>
      </c>
      <c r="HU759" s="319" t="s">
        <v>190</v>
      </c>
      <c r="HV759" s="319" t="s">
        <v>190</v>
      </c>
      <c r="HW759" s="319" t="s">
        <v>190</v>
      </c>
      <c r="HX759" s="319" t="s">
        <v>190</v>
      </c>
      <c r="HY759" s="319" t="s">
        <v>190</v>
      </c>
      <c r="HZ759" s="319" t="s">
        <v>190</v>
      </c>
      <c r="IA759" s="319" t="s">
        <v>190</v>
      </c>
      <c r="IB759" s="319" t="s">
        <v>190</v>
      </c>
      <c r="IC759" s="319" t="s">
        <v>190</v>
      </c>
      <c r="ID759" s="319" t="s">
        <v>190</v>
      </c>
      <c r="IE759" s="319" t="s">
        <v>190</v>
      </c>
      <c r="IF759" s="319" t="s">
        <v>191</v>
      </c>
      <c r="IG759" s="319" t="s">
        <v>191</v>
      </c>
      <c r="IH759" s="319" t="s">
        <v>191</v>
      </c>
      <c r="II759" s="319" t="s">
        <v>191</v>
      </c>
      <c r="IJ759" s="319" t="s">
        <v>3497</v>
      </c>
      <c r="IK759" s="321">
        <v>41919</v>
      </c>
      <c r="IL759" s="321">
        <v>41921</v>
      </c>
      <c r="IM759" s="321">
        <v>41948</v>
      </c>
      <c r="IN759" s="319">
        <v>2</v>
      </c>
      <c r="IO759" s="319">
        <v>10068615</v>
      </c>
      <c r="IP759" s="319" t="s">
        <v>985</v>
      </c>
      <c r="IQ759" s="321">
        <v>43354</v>
      </c>
      <c r="IR759" s="320" t="s">
        <v>1223</v>
      </c>
      <c r="IS759" s="322">
        <v>43374</v>
      </c>
      <c r="IT759" s="319" t="s">
        <v>165</v>
      </c>
    </row>
    <row r="760" spans="1:254" s="271" customFormat="1" x14ac:dyDescent="0.25">
      <c r="A760" s="318" t="str">
        <f>HYPERLINK("http://www.ofsted.gov.uk/inspection-reports/find-inspection-report/provider/ELS/140382 ","Ofsted School Webpage")</f>
        <v>Ofsted School Webpage</v>
      </c>
      <c r="B760" s="319">
        <v>140382</v>
      </c>
      <c r="C760" s="319">
        <v>3306016</v>
      </c>
      <c r="D760" s="319" t="s">
        <v>2251</v>
      </c>
      <c r="E760" s="319" t="s">
        <v>167</v>
      </c>
      <c r="F760" s="319" t="s">
        <v>81</v>
      </c>
      <c r="G760" s="319" t="s">
        <v>72</v>
      </c>
      <c r="H760" s="319" t="s">
        <v>72</v>
      </c>
      <c r="I760" s="319" t="s">
        <v>72</v>
      </c>
      <c r="J760" s="319" t="s">
        <v>424</v>
      </c>
      <c r="K760" s="319" t="s">
        <v>437</v>
      </c>
      <c r="L760" s="319" t="s">
        <v>437</v>
      </c>
      <c r="M760" s="319" t="s">
        <v>813</v>
      </c>
      <c r="N760" s="319" t="s">
        <v>2858</v>
      </c>
      <c r="O760" s="319" t="s">
        <v>2252</v>
      </c>
      <c r="P760" s="319">
        <v>49</v>
      </c>
      <c r="Q760" s="319" t="s">
        <v>2776</v>
      </c>
      <c r="R760" s="320">
        <v>10038849</v>
      </c>
      <c r="S760" s="321">
        <v>43130</v>
      </c>
      <c r="T760" s="321">
        <v>43132</v>
      </c>
      <c r="U760" s="321">
        <v>43208</v>
      </c>
      <c r="V760" s="319" t="s">
        <v>425</v>
      </c>
      <c r="W760" s="319" t="s">
        <v>2767</v>
      </c>
      <c r="X760" s="319">
        <v>2</v>
      </c>
      <c r="Y760" s="319" t="s">
        <v>173</v>
      </c>
      <c r="Z760" s="319" t="s">
        <v>173</v>
      </c>
      <c r="AA760" s="319" t="s">
        <v>173</v>
      </c>
      <c r="AB760" s="319">
        <v>2</v>
      </c>
      <c r="AC760" s="319" t="s">
        <v>169</v>
      </c>
      <c r="AD760" s="319" t="s">
        <v>173</v>
      </c>
      <c r="AE760" s="319" t="s">
        <v>173</v>
      </c>
      <c r="AF760" s="319" t="s">
        <v>427</v>
      </c>
      <c r="AG760" s="319" t="s">
        <v>171</v>
      </c>
      <c r="AH760" s="319" t="s">
        <v>190</v>
      </c>
      <c r="AI760" s="319" t="s">
        <v>190</v>
      </c>
      <c r="AJ760" s="319" t="s">
        <v>190</v>
      </c>
      <c r="AK760" s="319" t="s">
        <v>190</v>
      </c>
      <c r="AL760" s="319" t="s">
        <v>190</v>
      </c>
      <c r="AM760" s="319" t="s">
        <v>190</v>
      </c>
      <c r="AN760" s="319" t="s">
        <v>190</v>
      </c>
      <c r="AO760" s="319" t="s">
        <v>190</v>
      </c>
      <c r="AP760" s="319" t="s">
        <v>190</v>
      </c>
      <c r="AQ760" s="319" t="s">
        <v>190</v>
      </c>
      <c r="AR760" s="319" t="s">
        <v>190</v>
      </c>
      <c r="AS760" s="319" t="s">
        <v>190</v>
      </c>
      <c r="AT760" s="319" t="s">
        <v>190</v>
      </c>
      <c r="AU760" s="319" t="s">
        <v>190</v>
      </c>
      <c r="AV760" s="319" t="s">
        <v>190</v>
      </c>
      <c r="AW760" s="319" t="s">
        <v>190</v>
      </c>
      <c r="AX760" s="319" t="s">
        <v>428</v>
      </c>
      <c r="AY760" s="319" t="s">
        <v>190</v>
      </c>
      <c r="AZ760" s="319" t="s">
        <v>190</v>
      </c>
      <c r="BA760" s="319" t="s">
        <v>190</v>
      </c>
      <c r="BB760" s="319" t="s">
        <v>190</v>
      </c>
      <c r="BC760" s="319" t="s">
        <v>190</v>
      </c>
      <c r="BD760" s="319" t="s">
        <v>190</v>
      </c>
      <c r="BE760" s="319" t="s">
        <v>190</v>
      </c>
      <c r="BF760" s="319" t="s">
        <v>428</v>
      </c>
      <c r="BG760" s="319" t="s">
        <v>428</v>
      </c>
      <c r="BH760" s="319" t="s">
        <v>190</v>
      </c>
      <c r="BI760" s="319" t="s">
        <v>190</v>
      </c>
      <c r="BJ760" s="319" t="s">
        <v>190</v>
      </c>
      <c r="BK760" s="319" t="s">
        <v>190</v>
      </c>
      <c r="BL760" s="319" t="s">
        <v>190</v>
      </c>
      <c r="BM760" s="319" t="s">
        <v>190</v>
      </c>
      <c r="BN760" s="319" t="s">
        <v>190</v>
      </c>
      <c r="BO760" s="319" t="s">
        <v>190</v>
      </c>
      <c r="BP760" s="319" t="s">
        <v>190</v>
      </c>
      <c r="BQ760" s="319" t="s">
        <v>190</v>
      </c>
      <c r="BR760" s="319" t="s">
        <v>190</v>
      </c>
      <c r="BS760" s="319" t="s">
        <v>190</v>
      </c>
      <c r="BT760" s="319" t="s">
        <v>190</v>
      </c>
      <c r="BU760" s="319" t="s">
        <v>190</v>
      </c>
      <c r="BV760" s="319" t="s">
        <v>190</v>
      </c>
      <c r="BW760" s="319" t="s">
        <v>190</v>
      </c>
      <c r="BX760" s="319" t="s">
        <v>190</v>
      </c>
      <c r="BY760" s="319" t="s">
        <v>190</v>
      </c>
      <c r="BZ760" s="319" t="s">
        <v>190</v>
      </c>
      <c r="CA760" s="319" t="s">
        <v>190</v>
      </c>
      <c r="CB760" s="319" t="s">
        <v>190</v>
      </c>
      <c r="CC760" s="319" t="s">
        <v>190</v>
      </c>
      <c r="CD760" s="319" t="s">
        <v>190</v>
      </c>
      <c r="CE760" s="319" t="s">
        <v>190</v>
      </c>
      <c r="CF760" s="319" t="s">
        <v>190</v>
      </c>
      <c r="CG760" s="319" t="s">
        <v>190</v>
      </c>
      <c r="CH760" s="319" t="s">
        <v>190</v>
      </c>
      <c r="CI760" s="319" t="s">
        <v>190</v>
      </c>
      <c r="CJ760" s="319" t="s">
        <v>190</v>
      </c>
      <c r="CK760" s="319" t="s">
        <v>190</v>
      </c>
      <c r="CL760" s="319" t="s">
        <v>190</v>
      </c>
      <c r="CM760" s="319" t="s">
        <v>190</v>
      </c>
      <c r="CN760" s="319" t="s">
        <v>428</v>
      </c>
      <c r="CO760" s="319" t="s">
        <v>428</v>
      </c>
      <c r="CP760" s="319" t="s">
        <v>428</v>
      </c>
      <c r="CQ760" s="319" t="s">
        <v>190</v>
      </c>
      <c r="CR760" s="319" t="s">
        <v>190</v>
      </c>
      <c r="CS760" s="319" t="s">
        <v>190</v>
      </c>
      <c r="CT760" s="319" t="s">
        <v>190</v>
      </c>
      <c r="CU760" s="319" t="s">
        <v>190</v>
      </c>
      <c r="CV760" s="319" t="s">
        <v>190</v>
      </c>
      <c r="CW760" s="319" t="s">
        <v>190</v>
      </c>
      <c r="CX760" s="319" t="s">
        <v>190</v>
      </c>
      <c r="CY760" s="319" t="s">
        <v>190</v>
      </c>
      <c r="CZ760" s="319" t="s">
        <v>190</v>
      </c>
      <c r="DA760" s="319" t="s">
        <v>190</v>
      </c>
      <c r="DB760" s="319" t="s">
        <v>190</v>
      </c>
      <c r="DC760" s="319" t="s">
        <v>190</v>
      </c>
      <c r="DD760" s="319" t="s">
        <v>190</v>
      </c>
      <c r="DE760" s="319" t="s">
        <v>190</v>
      </c>
      <c r="DF760" s="319" t="s">
        <v>190</v>
      </c>
      <c r="DG760" s="319" t="s">
        <v>190</v>
      </c>
      <c r="DH760" s="319" t="s">
        <v>190</v>
      </c>
      <c r="DI760" s="319" t="s">
        <v>190</v>
      </c>
      <c r="DJ760" s="319" t="s">
        <v>190</v>
      </c>
      <c r="DK760" s="319" t="s">
        <v>190</v>
      </c>
      <c r="DL760" s="319" t="s">
        <v>190</v>
      </c>
      <c r="DM760" s="319" t="s">
        <v>190</v>
      </c>
      <c r="DN760" s="319" t="s">
        <v>428</v>
      </c>
      <c r="DO760" s="319" t="s">
        <v>190</v>
      </c>
      <c r="DP760" s="319" t="s">
        <v>428</v>
      </c>
      <c r="DQ760" s="319" t="s">
        <v>428</v>
      </c>
      <c r="DR760" s="319" t="s">
        <v>428</v>
      </c>
      <c r="DS760" s="319" t="s">
        <v>428</v>
      </c>
      <c r="DT760" s="319" t="s">
        <v>428</v>
      </c>
      <c r="DU760" s="319" t="s">
        <v>428</v>
      </c>
      <c r="DV760" s="319" t="s">
        <v>173</v>
      </c>
      <c r="DW760" s="319" t="s">
        <v>428</v>
      </c>
      <c r="DX760" s="319" t="s">
        <v>428</v>
      </c>
      <c r="DY760" s="319" t="s">
        <v>428</v>
      </c>
      <c r="DZ760" s="319" t="s">
        <v>428</v>
      </c>
      <c r="EA760" s="319" t="s">
        <v>428</v>
      </c>
      <c r="EB760" s="319" t="s">
        <v>428</v>
      </c>
      <c r="EC760" s="319" t="s">
        <v>428</v>
      </c>
      <c r="ED760" s="319" t="s">
        <v>428</v>
      </c>
      <c r="EE760" s="319" t="s">
        <v>190</v>
      </c>
      <c r="EF760" s="319" t="s">
        <v>190</v>
      </c>
      <c r="EG760" s="319" t="s">
        <v>190</v>
      </c>
      <c r="EH760" s="319" t="s">
        <v>190</v>
      </c>
      <c r="EI760" s="319" t="s">
        <v>190</v>
      </c>
      <c r="EJ760" s="319" t="s">
        <v>190</v>
      </c>
      <c r="EK760" s="319" t="s">
        <v>190</v>
      </c>
      <c r="EL760" s="319" t="s">
        <v>190</v>
      </c>
      <c r="EM760" s="319" t="s">
        <v>190</v>
      </c>
      <c r="EN760" s="319" t="s">
        <v>190</v>
      </c>
      <c r="EO760" s="319" t="s">
        <v>190</v>
      </c>
      <c r="EP760" s="319" t="s">
        <v>190</v>
      </c>
      <c r="EQ760" s="319" t="s">
        <v>190</v>
      </c>
      <c r="ER760" s="319" t="s">
        <v>190</v>
      </c>
      <c r="ES760" s="319" t="s">
        <v>190</v>
      </c>
      <c r="ET760" s="319" t="s">
        <v>190</v>
      </c>
      <c r="EU760" s="319" t="s">
        <v>190</v>
      </c>
      <c r="EV760" s="319" t="s">
        <v>190</v>
      </c>
      <c r="EW760" s="319" t="s">
        <v>190</v>
      </c>
      <c r="EX760" s="319" t="s">
        <v>190</v>
      </c>
      <c r="EY760" s="319" t="s">
        <v>190</v>
      </c>
      <c r="EZ760" s="319" t="s">
        <v>190</v>
      </c>
      <c r="FA760" s="319" t="s">
        <v>190</v>
      </c>
      <c r="FB760" s="319" t="s">
        <v>428</v>
      </c>
      <c r="FC760" s="319" t="s">
        <v>428</v>
      </c>
      <c r="FD760" s="319" t="s">
        <v>428</v>
      </c>
      <c r="FE760" s="319" t="s">
        <v>428</v>
      </c>
      <c r="FF760" s="319" t="s">
        <v>428</v>
      </c>
      <c r="FG760" s="319" t="s">
        <v>428</v>
      </c>
      <c r="FH760" s="319" t="s">
        <v>190</v>
      </c>
      <c r="FI760" s="319" t="s">
        <v>190</v>
      </c>
      <c r="FJ760" s="319" t="s">
        <v>190</v>
      </c>
      <c r="FK760" s="319" t="s">
        <v>190</v>
      </c>
      <c r="FL760" s="319" t="s">
        <v>190</v>
      </c>
      <c r="FM760" s="319" t="s">
        <v>190</v>
      </c>
      <c r="FN760" s="319" t="s">
        <v>190</v>
      </c>
      <c r="FO760" s="319" t="s">
        <v>190</v>
      </c>
      <c r="FP760" s="319" t="s">
        <v>190</v>
      </c>
      <c r="FQ760" s="319" t="s">
        <v>190</v>
      </c>
      <c r="FR760" s="319" t="s">
        <v>190</v>
      </c>
      <c r="FS760" s="319" t="s">
        <v>190</v>
      </c>
      <c r="FT760" s="319" t="s">
        <v>190</v>
      </c>
      <c r="FU760" s="319" t="s">
        <v>190</v>
      </c>
      <c r="FV760" s="319" t="s">
        <v>190</v>
      </c>
      <c r="FW760" s="319" t="s">
        <v>190</v>
      </c>
      <c r="FX760" s="319" t="s">
        <v>190</v>
      </c>
      <c r="FY760" s="319" t="s">
        <v>190</v>
      </c>
      <c r="FZ760" s="319" t="s">
        <v>190</v>
      </c>
      <c r="GA760" s="319" t="s">
        <v>190</v>
      </c>
      <c r="GB760" s="319" t="s">
        <v>190</v>
      </c>
      <c r="GC760" s="319" t="s">
        <v>190</v>
      </c>
      <c r="GD760" s="319" t="s">
        <v>190</v>
      </c>
      <c r="GE760" s="319" t="s">
        <v>190</v>
      </c>
      <c r="GF760" s="319" t="s">
        <v>190</v>
      </c>
      <c r="GG760" s="319" t="s">
        <v>190</v>
      </c>
      <c r="GH760" s="319" t="s">
        <v>190</v>
      </c>
      <c r="GI760" s="319" t="s">
        <v>190</v>
      </c>
      <c r="GJ760" s="319" t="s">
        <v>190</v>
      </c>
      <c r="GK760" s="319" t="s">
        <v>428</v>
      </c>
      <c r="GL760" s="319" t="s">
        <v>190</v>
      </c>
      <c r="GM760" s="319" t="s">
        <v>190</v>
      </c>
      <c r="GN760" s="319" t="s">
        <v>190</v>
      </c>
      <c r="GO760" s="319" t="s">
        <v>190</v>
      </c>
      <c r="GP760" s="319" t="s">
        <v>190</v>
      </c>
      <c r="GQ760" s="319" t="s">
        <v>428</v>
      </c>
      <c r="GR760" s="319" t="s">
        <v>190</v>
      </c>
      <c r="GS760" s="319" t="s">
        <v>190</v>
      </c>
      <c r="GT760" s="319" t="s">
        <v>190</v>
      </c>
      <c r="GU760" s="319" t="s">
        <v>190</v>
      </c>
      <c r="GV760" s="319" t="s">
        <v>190</v>
      </c>
      <c r="GW760" s="319" t="s">
        <v>190</v>
      </c>
      <c r="GX760" s="319" t="s">
        <v>190</v>
      </c>
      <c r="GY760" s="319" t="s">
        <v>190</v>
      </c>
      <c r="GZ760" s="319" t="s">
        <v>190</v>
      </c>
      <c r="HA760" s="319" t="s">
        <v>428</v>
      </c>
      <c r="HB760" s="319" t="s">
        <v>190</v>
      </c>
      <c r="HC760" s="319" t="s">
        <v>190</v>
      </c>
      <c r="HD760" s="319" t="s">
        <v>190</v>
      </c>
      <c r="HE760" s="319" t="s">
        <v>190</v>
      </c>
      <c r="HF760" s="319" t="s">
        <v>190</v>
      </c>
      <c r="HG760" s="319" t="s">
        <v>190</v>
      </c>
      <c r="HH760" s="319" t="s">
        <v>190</v>
      </c>
      <c r="HI760" s="319" t="s">
        <v>190</v>
      </c>
      <c r="HJ760" s="319" t="s">
        <v>190</v>
      </c>
      <c r="HK760" s="319" t="s">
        <v>190</v>
      </c>
      <c r="HL760" s="319" t="s">
        <v>428</v>
      </c>
      <c r="HM760" s="319" t="s">
        <v>428</v>
      </c>
      <c r="HN760" s="319" t="s">
        <v>428</v>
      </c>
      <c r="HO760" s="319" t="s">
        <v>428</v>
      </c>
      <c r="HP760" s="319" t="s">
        <v>190</v>
      </c>
      <c r="HQ760" s="319" t="s">
        <v>190</v>
      </c>
      <c r="HR760" s="319" t="s">
        <v>190</v>
      </c>
      <c r="HS760" s="319" t="s">
        <v>190</v>
      </c>
      <c r="HT760" s="319" t="s">
        <v>190</v>
      </c>
      <c r="HU760" s="319" t="s">
        <v>190</v>
      </c>
      <c r="HV760" s="319" t="s">
        <v>190</v>
      </c>
      <c r="HW760" s="319" t="s">
        <v>190</v>
      </c>
      <c r="HX760" s="319" t="s">
        <v>190</v>
      </c>
      <c r="HY760" s="319" t="s">
        <v>190</v>
      </c>
      <c r="HZ760" s="319" t="s">
        <v>173</v>
      </c>
      <c r="IA760" s="319" t="s">
        <v>173</v>
      </c>
      <c r="IB760" s="319" t="s">
        <v>190</v>
      </c>
      <c r="IC760" s="319" t="s">
        <v>190</v>
      </c>
      <c r="ID760" s="319" t="s">
        <v>190</v>
      </c>
      <c r="IE760" s="319" t="s">
        <v>190</v>
      </c>
      <c r="IF760" s="319" t="s">
        <v>190</v>
      </c>
      <c r="IG760" s="319" t="s">
        <v>190</v>
      </c>
      <c r="IH760" s="319" t="s">
        <v>190</v>
      </c>
      <c r="II760" s="319" t="s">
        <v>190</v>
      </c>
      <c r="IJ760" s="319" t="s">
        <v>3498</v>
      </c>
      <c r="IK760" s="321">
        <v>41905</v>
      </c>
      <c r="IL760" s="321">
        <v>41907</v>
      </c>
      <c r="IM760" s="321">
        <v>41927</v>
      </c>
      <c r="IN760" s="319">
        <v>3</v>
      </c>
      <c r="IO760" s="319" t="s">
        <v>173</v>
      </c>
      <c r="IP760" s="319" t="s">
        <v>173</v>
      </c>
      <c r="IQ760" s="321" t="s">
        <v>173</v>
      </c>
      <c r="IR760" s="320" t="s">
        <v>173</v>
      </c>
      <c r="IS760" s="322" t="s">
        <v>173</v>
      </c>
      <c r="IT760" s="319" t="s">
        <v>173</v>
      </c>
    </row>
    <row r="761" spans="1:254" s="271" customFormat="1" x14ac:dyDescent="0.25">
      <c r="A761" s="318" t="str">
        <f>HYPERLINK("http://www.ofsted.gov.uk/inspection-reports/find-inspection-report/provider/ELS/140479 ","Ofsted School Webpage")</f>
        <v>Ofsted School Webpage</v>
      </c>
      <c r="B761" s="319">
        <v>140479</v>
      </c>
      <c r="C761" s="319">
        <v>3736004</v>
      </c>
      <c r="D761" s="319" t="s">
        <v>485</v>
      </c>
      <c r="E761" s="319" t="s">
        <v>167</v>
      </c>
      <c r="F761" s="319" t="s">
        <v>81</v>
      </c>
      <c r="G761" s="319" t="s">
        <v>72</v>
      </c>
      <c r="H761" s="319" t="s">
        <v>72</v>
      </c>
      <c r="I761" s="319" t="s">
        <v>72</v>
      </c>
      <c r="J761" s="319" t="s">
        <v>424</v>
      </c>
      <c r="K761" s="319" t="s">
        <v>458</v>
      </c>
      <c r="L761" s="319" t="s">
        <v>459</v>
      </c>
      <c r="M761" s="319" t="s">
        <v>486</v>
      </c>
      <c r="N761" s="319" t="s">
        <v>3087</v>
      </c>
      <c r="O761" s="319" t="s">
        <v>487</v>
      </c>
      <c r="P761" s="319">
        <v>99</v>
      </c>
      <c r="Q761" s="319" t="s">
        <v>2766</v>
      </c>
      <c r="R761" s="320">
        <v>10040145</v>
      </c>
      <c r="S761" s="321">
        <v>43368</v>
      </c>
      <c r="T761" s="321">
        <v>43370</v>
      </c>
      <c r="U761" s="321">
        <v>43415</v>
      </c>
      <c r="V761" s="319" t="s">
        <v>425</v>
      </c>
      <c r="W761" s="319" t="s">
        <v>2767</v>
      </c>
      <c r="X761" s="319">
        <v>2</v>
      </c>
      <c r="Y761" s="319" t="s">
        <v>173</v>
      </c>
      <c r="Z761" s="319" t="s">
        <v>173</v>
      </c>
      <c r="AA761" s="319" t="s">
        <v>173</v>
      </c>
      <c r="AB761" s="319">
        <v>2</v>
      </c>
      <c r="AC761" s="319" t="s">
        <v>169</v>
      </c>
      <c r="AD761" s="319" t="s">
        <v>173</v>
      </c>
      <c r="AE761" s="319" t="s">
        <v>173</v>
      </c>
      <c r="AF761" s="319" t="s">
        <v>427</v>
      </c>
      <c r="AG761" s="319" t="s">
        <v>171</v>
      </c>
      <c r="AH761" s="319" t="s">
        <v>190</v>
      </c>
      <c r="AI761" s="319" t="s">
        <v>190</v>
      </c>
      <c r="AJ761" s="319" t="s">
        <v>190</v>
      </c>
      <c r="AK761" s="319" t="s">
        <v>190</v>
      </c>
      <c r="AL761" s="319" t="s">
        <v>190</v>
      </c>
      <c r="AM761" s="319" t="s">
        <v>190</v>
      </c>
      <c r="AN761" s="319" t="s">
        <v>190</v>
      </c>
      <c r="AO761" s="319" t="s">
        <v>190</v>
      </c>
      <c r="AP761" s="319" t="s">
        <v>190</v>
      </c>
      <c r="AQ761" s="319" t="s">
        <v>190</v>
      </c>
      <c r="AR761" s="319" t="s">
        <v>190</v>
      </c>
      <c r="AS761" s="319" t="s">
        <v>190</v>
      </c>
      <c r="AT761" s="319" t="s">
        <v>190</v>
      </c>
      <c r="AU761" s="319" t="s">
        <v>190</v>
      </c>
      <c r="AV761" s="319" t="s">
        <v>190</v>
      </c>
      <c r="AW761" s="319" t="s">
        <v>190</v>
      </c>
      <c r="AX761" s="319" t="s">
        <v>428</v>
      </c>
      <c r="AY761" s="319" t="s">
        <v>190</v>
      </c>
      <c r="AZ761" s="319" t="s">
        <v>190</v>
      </c>
      <c r="BA761" s="319" t="s">
        <v>190</v>
      </c>
      <c r="BB761" s="319" t="s">
        <v>190</v>
      </c>
      <c r="BC761" s="319" t="s">
        <v>190</v>
      </c>
      <c r="BD761" s="319" t="s">
        <v>190</v>
      </c>
      <c r="BE761" s="319" t="s">
        <v>190</v>
      </c>
      <c r="BF761" s="319" t="s">
        <v>190</v>
      </c>
      <c r="BG761" s="319" t="s">
        <v>428</v>
      </c>
      <c r="BH761" s="319" t="s">
        <v>190</v>
      </c>
      <c r="BI761" s="319" t="s">
        <v>190</v>
      </c>
      <c r="BJ761" s="319" t="s">
        <v>190</v>
      </c>
      <c r="BK761" s="319" t="s">
        <v>190</v>
      </c>
      <c r="BL761" s="319" t="s">
        <v>190</v>
      </c>
      <c r="BM761" s="319" t="s">
        <v>190</v>
      </c>
      <c r="BN761" s="319" t="s">
        <v>190</v>
      </c>
      <c r="BO761" s="319" t="s">
        <v>190</v>
      </c>
      <c r="BP761" s="319" t="s">
        <v>190</v>
      </c>
      <c r="BQ761" s="319" t="s">
        <v>190</v>
      </c>
      <c r="BR761" s="319" t="s">
        <v>190</v>
      </c>
      <c r="BS761" s="319" t="s">
        <v>190</v>
      </c>
      <c r="BT761" s="319" t="s">
        <v>190</v>
      </c>
      <c r="BU761" s="319" t="s">
        <v>190</v>
      </c>
      <c r="BV761" s="319" t="s">
        <v>190</v>
      </c>
      <c r="BW761" s="319" t="s">
        <v>190</v>
      </c>
      <c r="BX761" s="319" t="s">
        <v>190</v>
      </c>
      <c r="BY761" s="319" t="s">
        <v>190</v>
      </c>
      <c r="BZ761" s="319" t="s">
        <v>190</v>
      </c>
      <c r="CA761" s="319" t="s">
        <v>190</v>
      </c>
      <c r="CB761" s="319" t="s">
        <v>190</v>
      </c>
      <c r="CC761" s="319" t="s">
        <v>190</v>
      </c>
      <c r="CD761" s="319" t="s">
        <v>190</v>
      </c>
      <c r="CE761" s="319" t="s">
        <v>190</v>
      </c>
      <c r="CF761" s="319" t="s">
        <v>190</v>
      </c>
      <c r="CG761" s="319" t="s">
        <v>190</v>
      </c>
      <c r="CH761" s="319" t="s">
        <v>190</v>
      </c>
      <c r="CI761" s="319" t="s">
        <v>190</v>
      </c>
      <c r="CJ761" s="319" t="s">
        <v>190</v>
      </c>
      <c r="CK761" s="319" t="s">
        <v>190</v>
      </c>
      <c r="CL761" s="319" t="s">
        <v>190</v>
      </c>
      <c r="CM761" s="319" t="s">
        <v>190</v>
      </c>
      <c r="CN761" s="319" t="s">
        <v>428</v>
      </c>
      <c r="CO761" s="319" t="s">
        <v>428</v>
      </c>
      <c r="CP761" s="319" t="s">
        <v>428</v>
      </c>
      <c r="CQ761" s="319" t="s">
        <v>190</v>
      </c>
      <c r="CR761" s="319" t="s">
        <v>190</v>
      </c>
      <c r="CS761" s="319" t="s">
        <v>190</v>
      </c>
      <c r="CT761" s="319" t="s">
        <v>190</v>
      </c>
      <c r="CU761" s="319" t="s">
        <v>190</v>
      </c>
      <c r="CV761" s="319" t="s">
        <v>190</v>
      </c>
      <c r="CW761" s="319" t="s">
        <v>190</v>
      </c>
      <c r="CX761" s="319" t="s">
        <v>190</v>
      </c>
      <c r="CY761" s="319" t="s">
        <v>190</v>
      </c>
      <c r="CZ761" s="319" t="s">
        <v>190</v>
      </c>
      <c r="DA761" s="319" t="s">
        <v>190</v>
      </c>
      <c r="DB761" s="319" t="s">
        <v>190</v>
      </c>
      <c r="DC761" s="319" t="s">
        <v>190</v>
      </c>
      <c r="DD761" s="319" t="s">
        <v>190</v>
      </c>
      <c r="DE761" s="319" t="s">
        <v>190</v>
      </c>
      <c r="DF761" s="319" t="s">
        <v>190</v>
      </c>
      <c r="DG761" s="319" t="s">
        <v>190</v>
      </c>
      <c r="DH761" s="319" t="s">
        <v>190</v>
      </c>
      <c r="DI761" s="319" t="s">
        <v>190</v>
      </c>
      <c r="DJ761" s="319" t="s">
        <v>190</v>
      </c>
      <c r="DK761" s="319" t="s">
        <v>190</v>
      </c>
      <c r="DL761" s="319" t="s">
        <v>190</v>
      </c>
      <c r="DM761" s="319" t="s">
        <v>428</v>
      </c>
      <c r="DN761" s="319" t="s">
        <v>428</v>
      </c>
      <c r="DO761" s="319" t="s">
        <v>190</v>
      </c>
      <c r="DP761" s="319" t="s">
        <v>428</v>
      </c>
      <c r="DQ761" s="319" t="s">
        <v>428</v>
      </c>
      <c r="DR761" s="319" t="s">
        <v>428</v>
      </c>
      <c r="DS761" s="319" t="s">
        <v>428</v>
      </c>
      <c r="DT761" s="319" t="s">
        <v>428</v>
      </c>
      <c r="DU761" s="319" t="s">
        <v>428</v>
      </c>
      <c r="DV761" s="319" t="s">
        <v>173</v>
      </c>
      <c r="DW761" s="319" t="s">
        <v>428</v>
      </c>
      <c r="DX761" s="319" t="s">
        <v>428</v>
      </c>
      <c r="DY761" s="319" t="s">
        <v>428</v>
      </c>
      <c r="DZ761" s="319" t="s">
        <v>428</v>
      </c>
      <c r="EA761" s="319" t="s">
        <v>428</v>
      </c>
      <c r="EB761" s="319" t="s">
        <v>428</v>
      </c>
      <c r="EC761" s="319" t="s">
        <v>428</v>
      </c>
      <c r="ED761" s="319" t="s">
        <v>428</v>
      </c>
      <c r="EE761" s="319" t="s">
        <v>190</v>
      </c>
      <c r="EF761" s="319" t="s">
        <v>190</v>
      </c>
      <c r="EG761" s="319" t="s">
        <v>190</v>
      </c>
      <c r="EH761" s="319" t="s">
        <v>190</v>
      </c>
      <c r="EI761" s="319" t="s">
        <v>190</v>
      </c>
      <c r="EJ761" s="319" t="s">
        <v>190</v>
      </c>
      <c r="EK761" s="319" t="s">
        <v>190</v>
      </c>
      <c r="EL761" s="319" t="s">
        <v>190</v>
      </c>
      <c r="EM761" s="319" t="s">
        <v>190</v>
      </c>
      <c r="EN761" s="319" t="s">
        <v>190</v>
      </c>
      <c r="EO761" s="319" t="s">
        <v>190</v>
      </c>
      <c r="EP761" s="319" t="s">
        <v>190</v>
      </c>
      <c r="EQ761" s="319" t="s">
        <v>190</v>
      </c>
      <c r="ER761" s="319" t="s">
        <v>190</v>
      </c>
      <c r="ES761" s="319" t="s">
        <v>190</v>
      </c>
      <c r="ET761" s="319" t="s">
        <v>190</v>
      </c>
      <c r="EU761" s="319" t="s">
        <v>190</v>
      </c>
      <c r="EV761" s="319" t="s">
        <v>190</v>
      </c>
      <c r="EW761" s="319" t="s">
        <v>190</v>
      </c>
      <c r="EX761" s="319" t="s">
        <v>190</v>
      </c>
      <c r="EY761" s="319" t="s">
        <v>190</v>
      </c>
      <c r="EZ761" s="319" t="s">
        <v>190</v>
      </c>
      <c r="FA761" s="319" t="s">
        <v>428</v>
      </c>
      <c r="FB761" s="319" t="s">
        <v>428</v>
      </c>
      <c r="FC761" s="319" t="s">
        <v>428</v>
      </c>
      <c r="FD761" s="319" t="s">
        <v>428</v>
      </c>
      <c r="FE761" s="319" t="s">
        <v>428</v>
      </c>
      <c r="FF761" s="319" t="s">
        <v>428</v>
      </c>
      <c r="FG761" s="319" t="s">
        <v>428</v>
      </c>
      <c r="FH761" s="319" t="s">
        <v>190</v>
      </c>
      <c r="FI761" s="319" t="s">
        <v>428</v>
      </c>
      <c r="FJ761" s="319" t="s">
        <v>429</v>
      </c>
      <c r="FK761" s="319" t="s">
        <v>428</v>
      </c>
      <c r="FL761" s="319" t="s">
        <v>190</v>
      </c>
      <c r="FM761" s="319" t="s">
        <v>190</v>
      </c>
      <c r="FN761" s="319" t="s">
        <v>190</v>
      </c>
      <c r="FO761" s="319" t="s">
        <v>190</v>
      </c>
      <c r="FP761" s="319" t="s">
        <v>190</v>
      </c>
      <c r="FQ761" s="319" t="s">
        <v>190</v>
      </c>
      <c r="FR761" s="319" t="s">
        <v>190</v>
      </c>
      <c r="FS761" s="319" t="s">
        <v>428</v>
      </c>
      <c r="FT761" s="319" t="s">
        <v>190</v>
      </c>
      <c r="FU761" s="319" t="s">
        <v>190</v>
      </c>
      <c r="FV761" s="319" t="s">
        <v>190</v>
      </c>
      <c r="FW761" s="319" t="s">
        <v>190</v>
      </c>
      <c r="FX761" s="319" t="s">
        <v>190</v>
      </c>
      <c r="FY761" s="319" t="s">
        <v>190</v>
      </c>
      <c r="FZ761" s="319" t="s">
        <v>190</v>
      </c>
      <c r="GA761" s="319" t="s">
        <v>190</v>
      </c>
      <c r="GB761" s="319" t="s">
        <v>190</v>
      </c>
      <c r="GC761" s="319" t="s">
        <v>190</v>
      </c>
      <c r="GD761" s="319" t="s">
        <v>190</v>
      </c>
      <c r="GE761" s="319" t="s">
        <v>190</v>
      </c>
      <c r="GF761" s="319" t="s">
        <v>190</v>
      </c>
      <c r="GG761" s="319" t="s">
        <v>190</v>
      </c>
      <c r="GH761" s="319" t="s">
        <v>190</v>
      </c>
      <c r="GI761" s="319" t="s">
        <v>190</v>
      </c>
      <c r="GJ761" s="319" t="s">
        <v>190</v>
      </c>
      <c r="GK761" s="319" t="s">
        <v>428</v>
      </c>
      <c r="GL761" s="319" t="s">
        <v>190</v>
      </c>
      <c r="GM761" s="319" t="s">
        <v>190</v>
      </c>
      <c r="GN761" s="319" t="s">
        <v>190</v>
      </c>
      <c r="GO761" s="319" t="s">
        <v>190</v>
      </c>
      <c r="GP761" s="319" t="s">
        <v>190</v>
      </c>
      <c r="GQ761" s="319" t="s">
        <v>428</v>
      </c>
      <c r="GR761" s="319" t="s">
        <v>190</v>
      </c>
      <c r="GS761" s="319" t="s">
        <v>190</v>
      </c>
      <c r="GT761" s="319" t="s">
        <v>428</v>
      </c>
      <c r="GU761" s="319" t="s">
        <v>428</v>
      </c>
      <c r="GV761" s="319" t="s">
        <v>190</v>
      </c>
      <c r="GW761" s="319" t="s">
        <v>190</v>
      </c>
      <c r="GX761" s="319" t="s">
        <v>190</v>
      </c>
      <c r="GY761" s="319" t="s">
        <v>190</v>
      </c>
      <c r="GZ761" s="319" t="s">
        <v>428</v>
      </c>
      <c r="HA761" s="319" t="s">
        <v>190</v>
      </c>
      <c r="HB761" s="319" t="s">
        <v>190</v>
      </c>
      <c r="HC761" s="319" t="s">
        <v>190</v>
      </c>
      <c r="HD761" s="319" t="s">
        <v>190</v>
      </c>
      <c r="HE761" s="319" t="s">
        <v>190</v>
      </c>
      <c r="HF761" s="319" t="s">
        <v>190</v>
      </c>
      <c r="HG761" s="319" t="s">
        <v>190</v>
      </c>
      <c r="HH761" s="319" t="s">
        <v>190</v>
      </c>
      <c r="HI761" s="319" t="s">
        <v>190</v>
      </c>
      <c r="HJ761" s="319" t="s">
        <v>190</v>
      </c>
      <c r="HK761" s="319" t="s">
        <v>190</v>
      </c>
      <c r="HL761" s="319" t="s">
        <v>428</v>
      </c>
      <c r="HM761" s="319" t="s">
        <v>428</v>
      </c>
      <c r="HN761" s="319" t="s">
        <v>428</v>
      </c>
      <c r="HO761" s="319" t="s">
        <v>428</v>
      </c>
      <c r="HP761" s="319" t="s">
        <v>190</v>
      </c>
      <c r="HQ761" s="319" t="s">
        <v>190</v>
      </c>
      <c r="HR761" s="319" t="s">
        <v>190</v>
      </c>
      <c r="HS761" s="319" t="s">
        <v>190</v>
      </c>
      <c r="HT761" s="319" t="s">
        <v>190</v>
      </c>
      <c r="HU761" s="319" t="s">
        <v>190</v>
      </c>
      <c r="HV761" s="319" t="s">
        <v>190</v>
      </c>
      <c r="HW761" s="319" t="s">
        <v>190</v>
      </c>
      <c r="HX761" s="319" t="s">
        <v>190</v>
      </c>
      <c r="HY761" s="319" t="s">
        <v>190</v>
      </c>
      <c r="HZ761" s="319" t="s">
        <v>190</v>
      </c>
      <c r="IA761" s="319" t="s">
        <v>190</v>
      </c>
      <c r="IB761" s="319" t="s">
        <v>190</v>
      </c>
      <c r="IC761" s="319" t="s">
        <v>190</v>
      </c>
      <c r="ID761" s="319" t="s">
        <v>190</v>
      </c>
      <c r="IE761" s="319" t="s">
        <v>190</v>
      </c>
      <c r="IF761" s="319" t="s">
        <v>190</v>
      </c>
      <c r="IG761" s="319" t="s">
        <v>190</v>
      </c>
      <c r="IH761" s="319" t="s">
        <v>190</v>
      </c>
      <c r="II761" s="319" t="s">
        <v>190</v>
      </c>
      <c r="IJ761" s="319" t="s">
        <v>3499</v>
      </c>
      <c r="IK761" s="321">
        <v>41975</v>
      </c>
      <c r="IL761" s="321">
        <v>41977</v>
      </c>
      <c r="IM761" s="321">
        <v>42018</v>
      </c>
      <c r="IN761" s="319">
        <v>2</v>
      </c>
      <c r="IO761" s="319" t="s">
        <v>173</v>
      </c>
      <c r="IP761" s="319" t="s">
        <v>173</v>
      </c>
      <c r="IQ761" s="319" t="s">
        <v>173</v>
      </c>
      <c r="IR761" s="320" t="s">
        <v>173</v>
      </c>
      <c r="IS761" s="320" t="s">
        <v>173</v>
      </c>
      <c r="IT761" s="319" t="s">
        <v>173</v>
      </c>
    </row>
    <row r="762" spans="1:254" s="271" customFormat="1" x14ac:dyDescent="0.25">
      <c r="A762" s="318" t="str">
        <f>HYPERLINK("http://www.ofsted.gov.uk/inspection-reports/find-inspection-report/provider/ELS/140486 ","Ofsted School Webpage")</f>
        <v>Ofsted School Webpage</v>
      </c>
      <c r="B762" s="319">
        <v>140486</v>
      </c>
      <c r="C762" s="319">
        <v>3516003</v>
      </c>
      <c r="D762" s="319" t="s">
        <v>2253</v>
      </c>
      <c r="E762" s="319" t="s">
        <v>168</v>
      </c>
      <c r="F762" s="319" t="s">
        <v>81</v>
      </c>
      <c r="G762" s="319" t="s">
        <v>81</v>
      </c>
      <c r="H762" s="319" t="s">
        <v>81</v>
      </c>
      <c r="I762" s="319" t="s">
        <v>78</v>
      </c>
      <c r="J762" s="319" t="s">
        <v>424</v>
      </c>
      <c r="K762" s="319" t="s">
        <v>431</v>
      </c>
      <c r="L762" s="319" t="s">
        <v>431</v>
      </c>
      <c r="M762" s="319" t="s">
        <v>936</v>
      </c>
      <c r="N762" s="319" t="s">
        <v>2991</v>
      </c>
      <c r="O762" s="319" t="s">
        <v>2254</v>
      </c>
      <c r="P762" s="319">
        <v>9</v>
      </c>
      <c r="Q762" s="319" t="s">
        <v>429</v>
      </c>
      <c r="R762" s="320">
        <v>10038936</v>
      </c>
      <c r="S762" s="321">
        <v>43053</v>
      </c>
      <c r="T762" s="321">
        <v>43055</v>
      </c>
      <c r="U762" s="321">
        <v>43077</v>
      </c>
      <c r="V762" s="319" t="s">
        <v>425</v>
      </c>
      <c r="W762" s="319" t="s">
        <v>2767</v>
      </c>
      <c r="X762" s="319">
        <v>2</v>
      </c>
      <c r="Y762" s="319" t="s">
        <v>173</v>
      </c>
      <c r="Z762" s="319" t="s">
        <v>173</v>
      </c>
      <c r="AA762" s="319" t="s">
        <v>173</v>
      </c>
      <c r="AB762" s="319">
        <v>2</v>
      </c>
      <c r="AC762" s="319" t="s">
        <v>169</v>
      </c>
      <c r="AD762" s="319" t="s">
        <v>173</v>
      </c>
      <c r="AE762" s="319" t="s">
        <v>173</v>
      </c>
      <c r="AF762" s="319" t="s">
        <v>427</v>
      </c>
      <c r="AG762" s="319" t="s">
        <v>171</v>
      </c>
      <c r="AH762" s="319" t="s">
        <v>190</v>
      </c>
      <c r="AI762" s="319" t="s">
        <v>190</v>
      </c>
      <c r="AJ762" s="319" t="s">
        <v>190</v>
      </c>
      <c r="AK762" s="319" t="s">
        <v>190</v>
      </c>
      <c r="AL762" s="319" t="s">
        <v>190</v>
      </c>
      <c r="AM762" s="319" t="s">
        <v>190</v>
      </c>
      <c r="AN762" s="319" t="s">
        <v>190</v>
      </c>
      <c r="AO762" s="319" t="s">
        <v>190</v>
      </c>
      <c r="AP762" s="319" t="s">
        <v>190</v>
      </c>
      <c r="AQ762" s="319" t="s">
        <v>190</v>
      </c>
      <c r="AR762" s="319" t="s">
        <v>190</v>
      </c>
      <c r="AS762" s="319" t="s">
        <v>190</v>
      </c>
      <c r="AT762" s="319" t="s">
        <v>190</v>
      </c>
      <c r="AU762" s="319" t="s">
        <v>190</v>
      </c>
      <c r="AV762" s="319" t="s">
        <v>190</v>
      </c>
      <c r="AW762" s="319" t="s">
        <v>190</v>
      </c>
      <c r="AX762" s="319" t="s">
        <v>428</v>
      </c>
      <c r="AY762" s="319" t="s">
        <v>190</v>
      </c>
      <c r="AZ762" s="319" t="s">
        <v>190</v>
      </c>
      <c r="BA762" s="319" t="s">
        <v>190</v>
      </c>
      <c r="BB762" s="319" t="s">
        <v>190</v>
      </c>
      <c r="BC762" s="319" t="s">
        <v>190</v>
      </c>
      <c r="BD762" s="319" t="s">
        <v>190</v>
      </c>
      <c r="BE762" s="319" t="s">
        <v>190</v>
      </c>
      <c r="BF762" s="319" t="s">
        <v>428</v>
      </c>
      <c r="BG762" s="319" t="s">
        <v>428</v>
      </c>
      <c r="BH762" s="319" t="s">
        <v>190</v>
      </c>
      <c r="BI762" s="319" t="s">
        <v>190</v>
      </c>
      <c r="BJ762" s="319" t="s">
        <v>190</v>
      </c>
      <c r="BK762" s="319" t="s">
        <v>190</v>
      </c>
      <c r="BL762" s="319" t="s">
        <v>190</v>
      </c>
      <c r="BM762" s="319" t="s">
        <v>190</v>
      </c>
      <c r="BN762" s="319" t="s">
        <v>190</v>
      </c>
      <c r="BO762" s="319" t="s">
        <v>190</v>
      </c>
      <c r="BP762" s="319" t="s">
        <v>190</v>
      </c>
      <c r="BQ762" s="319" t="s">
        <v>190</v>
      </c>
      <c r="BR762" s="319" t="s">
        <v>190</v>
      </c>
      <c r="BS762" s="319" t="s">
        <v>190</v>
      </c>
      <c r="BT762" s="319" t="s">
        <v>190</v>
      </c>
      <c r="BU762" s="319" t="s">
        <v>190</v>
      </c>
      <c r="BV762" s="319" t="s">
        <v>190</v>
      </c>
      <c r="BW762" s="319" t="s">
        <v>190</v>
      </c>
      <c r="BX762" s="319" t="s">
        <v>190</v>
      </c>
      <c r="BY762" s="319" t="s">
        <v>190</v>
      </c>
      <c r="BZ762" s="319" t="s">
        <v>190</v>
      </c>
      <c r="CA762" s="319" t="s">
        <v>190</v>
      </c>
      <c r="CB762" s="319" t="s">
        <v>190</v>
      </c>
      <c r="CC762" s="319" t="s">
        <v>190</v>
      </c>
      <c r="CD762" s="319" t="s">
        <v>190</v>
      </c>
      <c r="CE762" s="319" t="s">
        <v>190</v>
      </c>
      <c r="CF762" s="319" t="s">
        <v>190</v>
      </c>
      <c r="CG762" s="319" t="s">
        <v>190</v>
      </c>
      <c r="CH762" s="319" t="s">
        <v>190</v>
      </c>
      <c r="CI762" s="319" t="s">
        <v>190</v>
      </c>
      <c r="CJ762" s="319" t="s">
        <v>190</v>
      </c>
      <c r="CK762" s="319" t="s">
        <v>190</v>
      </c>
      <c r="CL762" s="319" t="s">
        <v>190</v>
      </c>
      <c r="CM762" s="319" t="s">
        <v>190</v>
      </c>
      <c r="CN762" s="319" t="s">
        <v>428</v>
      </c>
      <c r="CO762" s="319" t="s">
        <v>428</v>
      </c>
      <c r="CP762" s="319" t="s">
        <v>428</v>
      </c>
      <c r="CQ762" s="319" t="s">
        <v>190</v>
      </c>
      <c r="CR762" s="319" t="s">
        <v>190</v>
      </c>
      <c r="CS762" s="319" t="s">
        <v>190</v>
      </c>
      <c r="CT762" s="319" t="s">
        <v>190</v>
      </c>
      <c r="CU762" s="319" t="s">
        <v>190</v>
      </c>
      <c r="CV762" s="319" t="s">
        <v>190</v>
      </c>
      <c r="CW762" s="319" t="s">
        <v>190</v>
      </c>
      <c r="CX762" s="319" t="s">
        <v>190</v>
      </c>
      <c r="CY762" s="319" t="s">
        <v>190</v>
      </c>
      <c r="CZ762" s="319" t="s">
        <v>190</v>
      </c>
      <c r="DA762" s="319" t="s">
        <v>190</v>
      </c>
      <c r="DB762" s="319" t="s">
        <v>190</v>
      </c>
      <c r="DC762" s="319" t="s">
        <v>190</v>
      </c>
      <c r="DD762" s="319" t="s">
        <v>190</v>
      </c>
      <c r="DE762" s="319" t="s">
        <v>190</v>
      </c>
      <c r="DF762" s="319" t="s">
        <v>190</v>
      </c>
      <c r="DG762" s="319" t="s">
        <v>190</v>
      </c>
      <c r="DH762" s="319" t="s">
        <v>190</v>
      </c>
      <c r="DI762" s="319" t="s">
        <v>190</v>
      </c>
      <c r="DJ762" s="319" t="s">
        <v>190</v>
      </c>
      <c r="DK762" s="319" t="s">
        <v>190</v>
      </c>
      <c r="DL762" s="319" t="s">
        <v>190</v>
      </c>
      <c r="DM762" s="319" t="s">
        <v>190</v>
      </c>
      <c r="DN762" s="319" t="s">
        <v>428</v>
      </c>
      <c r="DO762" s="319" t="s">
        <v>190</v>
      </c>
      <c r="DP762" s="319" t="s">
        <v>190</v>
      </c>
      <c r="DQ762" s="319" t="s">
        <v>190</v>
      </c>
      <c r="DR762" s="319" t="s">
        <v>190</v>
      </c>
      <c r="DS762" s="319" t="s">
        <v>190</v>
      </c>
      <c r="DT762" s="319" t="s">
        <v>190</v>
      </c>
      <c r="DU762" s="319" t="s">
        <v>190</v>
      </c>
      <c r="DV762" s="319" t="s">
        <v>173</v>
      </c>
      <c r="DW762" s="319" t="s">
        <v>190</v>
      </c>
      <c r="DX762" s="319" t="s">
        <v>190</v>
      </c>
      <c r="DY762" s="319" t="s">
        <v>190</v>
      </c>
      <c r="DZ762" s="319" t="s">
        <v>190</v>
      </c>
      <c r="EA762" s="319" t="s">
        <v>190</v>
      </c>
      <c r="EB762" s="319" t="s">
        <v>190</v>
      </c>
      <c r="EC762" s="319" t="s">
        <v>428</v>
      </c>
      <c r="ED762" s="319" t="s">
        <v>190</v>
      </c>
      <c r="EE762" s="319" t="s">
        <v>190</v>
      </c>
      <c r="EF762" s="319" t="s">
        <v>190</v>
      </c>
      <c r="EG762" s="319" t="s">
        <v>190</v>
      </c>
      <c r="EH762" s="319" t="s">
        <v>190</v>
      </c>
      <c r="EI762" s="319" t="s">
        <v>190</v>
      </c>
      <c r="EJ762" s="319" t="s">
        <v>190</v>
      </c>
      <c r="EK762" s="319" t="s">
        <v>190</v>
      </c>
      <c r="EL762" s="319" t="s">
        <v>190</v>
      </c>
      <c r="EM762" s="319" t="s">
        <v>190</v>
      </c>
      <c r="EN762" s="319" t="s">
        <v>190</v>
      </c>
      <c r="EO762" s="319" t="s">
        <v>190</v>
      </c>
      <c r="EP762" s="319" t="s">
        <v>190</v>
      </c>
      <c r="EQ762" s="319" t="s">
        <v>190</v>
      </c>
      <c r="ER762" s="319" t="s">
        <v>190</v>
      </c>
      <c r="ES762" s="319" t="s">
        <v>428</v>
      </c>
      <c r="ET762" s="319" t="s">
        <v>190</v>
      </c>
      <c r="EU762" s="319" t="s">
        <v>190</v>
      </c>
      <c r="EV762" s="319" t="s">
        <v>190</v>
      </c>
      <c r="EW762" s="319" t="s">
        <v>190</v>
      </c>
      <c r="EX762" s="319" t="s">
        <v>190</v>
      </c>
      <c r="EY762" s="319" t="s">
        <v>190</v>
      </c>
      <c r="EZ762" s="319" t="s">
        <v>190</v>
      </c>
      <c r="FA762" s="319" t="s">
        <v>428</v>
      </c>
      <c r="FB762" s="319" t="s">
        <v>190</v>
      </c>
      <c r="FC762" s="319" t="s">
        <v>190</v>
      </c>
      <c r="FD762" s="319" t="s">
        <v>190</v>
      </c>
      <c r="FE762" s="319" t="s">
        <v>190</v>
      </c>
      <c r="FF762" s="319" t="s">
        <v>190</v>
      </c>
      <c r="FG762" s="319" t="s">
        <v>190</v>
      </c>
      <c r="FH762" s="319" t="s">
        <v>190</v>
      </c>
      <c r="FI762" s="319" t="s">
        <v>190</v>
      </c>
      <c r="FJ762" s="319" t="s">
        <v>190</v>
      </c>
      <c r="FK762" s="319" t="s">
        <v>190</v>
      </c>
      <c r="FL762" s="319" t="s">
        <v>190</v>
      </c>
      <c r="FM762" s="319" t="s">
        <v>190</v>
      </c>
      <c r="FN762" s="319" t="s">
        <v>190</v>
      </c>
      <c r="FO762" s="319" t="s">
        <v>190</v>
      </c>
      <c r="FP762" s="319" t="s">
        <v>190</v>
      </c>
      <c r="FQ762" s="319" t="s">
        <v>190</v>
      </c>
      <c r="FR762" s="319" t="s">
        <v>190</v>
      </c>
      <c r="FS762" s="319" t="s">
        <v>428</v>
      </c>
      <c r="FT762" s="319" t="s">
        <v>190</v>
      </c>
      <c r="FU762" s="319" t="s">
        <v>190</v>
      </c>
      <c r="FV762" s="319" t="s">
        <v>190</v>
      </c>
      <c r="FW762" s="319" t="s">
        <v>190</v>
      </c>
      <c r="FX762" s="319" t="s">
        <v>190</v>
      </c>
      <c r="FY762" s="319" t="s">
        <v>190</v>
      </c>
      <c r="FZ762" s="319" t="s">
        <v>190</v>
      </c>
      <c r="GA762" s="319" t="s">
        <v>190</v>
      </c>
      <c r="GB762" s="319" t="s">
        <v>190</v>
      </c>
      <c r="GC762" s="319" t="s">
        <v>190</v>
      </c>
      <c r="GD762" s="319" t="s">
        <v>190</v>
      </c>
      <c r="GE762" s="319" t="s">
        <v>190</v>
      </c>
      <c r="GF762" s="319" t="s">
        <v>190</v>
      </c>
      <c r="GG762" s="319" t="s">
        <v>190</v>
      </c>
      <c r="GH762" s="319" t="s">
        <v>190</v>
      </c>
      <c r="GI762" s="319" t="s">
        <v>190</v>
      </c>
      <c r="GJ762" s="319" t="s">
        <v>190</v>
      </c>
      <c r="GK762" s="319" t="s">
        <v>428</v>
      </c>
      <c r="GL762" s="319" t="s">
        <v>190</v>
      </c>
      <c r="GM762" s="319" t="s">
        <v>190</v>
      </c>
      <c r="GN762" s="319" t="s">
        <v>190</v>
      </c>
      <c r="GO762" s="319" t="s">
        <v>190</v>
      </c>
      <c r="GP762" s="319" t="s">
        <v>190</v>
      </c>
      <c r="GQ762" s="319" t="s">
        <v>428</v>
      </c>
      <c r="GR762" s="319" t="s">
        <v>190</v>
      </c>
      <c r="GS762" s="319" t="s">
        <v>190</v>
      </c>
      <c r="GT762" s="319" t="s">
        <v>190</v>
      </c>
      <c r="GU762" s="319" t="s">
        <v>190</v>
      </c>
      <c r="GV762" s="319" t="s">
        <v>428</v>
      </c>
      <c r="GW762" s="319" t="s">
        <v>190</v>
      </c>
      <c r="GX762" s="319" t="s">
        <v>190</v>
      </c>
      <c r="GY762" s="319" t="s">
        <v>190</v>
      </c>
      <c r="GZ762" s="319" t="s">
        <v>428</v>
      </c>
      <c r="HA762" s="319" t="s">
        <v>190</v>
      </c>
      <c r="HB762" s="319" t="s">
        <v>428</v>
      </c>
      <c r="HC762" s="319" t="s">
        <v>190</v>
      </c>
      <c r="HD762" s="319" t="s">
        <v>190</v>
      </c>
      <c r="HE762" s="319" t="s">
        <v>190</v>
      </c>
      <c r="HF762" s="319" t="s">
        <v>190</v>
      </c>
      <c r="HG762" s="319" t="s">
        <v>190</v>
      </c>
      <c r="HH762" s="319" t="s">
        <v>190</v>
      </c>
      <c r="HI762" s="319" t="s">
        <v>190</v>
      </c>
      <c r="HJ762" s="319" t="s">
        <v>190</v>
      </c>
      <c r="HK762" s="319" t="s">
        <v>190</v>
      </c>
      <c r="HL762" s="319" t="s">
        <v>428</v>
      </c>
      <c r="HM762" s="319" t="s">
        <v>428</v>
      </c>
      <c r="HN762" s="319" t="s">
        <v>428</v>
      </c>
      <c r="HO762" s="319" t="s">
        <v>428</v>
      </c>
      <c r="HP762" s="319" t="s">
        <v>190</v>
      </c>
      <c r="HQ762" s="319" t="s">
        <v>190</v>
      </c>
      <c r="HR762" s="319" t="s">
        <v>190</v>
      </c>
      <c r="HS762" s="319" t="s">
        <v>190</v>
      </c>
      <c r="HT762" s="319" t="s">
        <v>190</v>
      </c>
      <c r="HU762" s="319" t="s">
        <v>190</v>
      </c>
      <c r="HV762" s="319" t="s">
        <v>190</v>
      </c>
      <c r="HW762" s="319" t="s">
        <v>190</v>
      </c>
      <c r="HX762" s="319" t="s">
        <v>190</v>
      </c>
      <c r="HY762" s="319" t="s">
        <v>190</v>
      </c>
      <c r="HZ762" s="319" t="s">
        <v>190</v>
      </c>
      <c r="IA762" s="319" t="s">
        <v>190</v>
      </c>
      <c r="IB762" s="319" t="s">
        <v>190</v>
      </c>
      <c r="IC762" s="319" t="s">
        <v>190</v>
      </c>
      <c r="ID762" s="319" t="s">
        <v>190</v>
      </c>
      <c r="IE762" s="319" t="s">
        <v>190</v>
      </c>
      <c r="IF762" s="319" t="s">
        <v>190</v>
      </c>
      <c r="IG762" s="319" t="s">
        <v>190</v>
      </c>
      <c r="IH762" s="319" t="s">
        <v>190</v>
      </c>
      <c r="II762" s="319" t="s">
        <v>190</v>
      </c>
      <c r="IJ762" s="319" t="s">
        <v>3500</v>
      </c>
      <c r="IK762" s="321">
        <v>41961</v>
      </c>
      <c r="IL762" s="321">
        <v>41963</v>
      </c>
      <c r="IM762" s="321">
        <v>42017</v>
      </c>
      <c r="IN762" s="319">
        <v>2</v>
      </c>
      <c r="IO762" s="319" t="s">
        <v>173</v>
      </c>
      <c r="IP762" s="319" t="s">
        <v>173</v>
      </c>
      <c r="IQ762" s="321" t="s">
        <v>173</v>
      </c>
      <c r="IR762" s="320" t="s">
        <v>173</v>
      </c>
      <c r="IS762" s="322" t="s">
        <v>173</v>
      </c>
      <c r="IT762" s="319" t="s">
        <v>173</v>
      </c>
    </row>
    <row r="763" spans="1:254" s="271" customFormat="1" x14ac:dyDescent="0.25">
      <c r="A763" s="318" t="str">
        <f>HYPERLINK("http://www.ofsted.gov.uk/inspection-reports/find-inspection-report/provider/ELS/140487 ","Ofsted School Webpage")</f>
        <v>Ofsted School Webpage</v>
      </c>
      <c r="B763" s="319">
        <v>140487</v>
      </c>
      <c r="C763" s="319">
        <v>8926017</v>
      </c>
      <c r="D763" s="319" t="s">
        <v>2255</v>
      </c>
      <c r="E763" s="319" t="s">
        <v>167</v>
      </c>
      <c r="F763" s="319" t="s">
        <v>81</v>
      </c>
      <c r="G763" s="319" t="s">
        <v>81</v>
      </c>
      <c r="H763" s="319" t="s">
        <v>81</v>
      </c>
      <c r="I763" s="319" t="s">
        <v>78</v>
      </c>
      <c r="J763" s="319" t="s">
        <v>424</v>
      </c>
      <c r="K763" s="319" t="s">
        <v>506</v>
      </c>
      <c r="L763" s="319" t="s">
        <v>506</v>
      </c>
      <c r="M763" s="319" t="s">
        <v>673</v>
      </c>
      <c r="N763" s="319" t="s">
        <v>3501</v>
      </c>
      <c r="O763" s="319" t="s">
        <v>2256</v>
      </c>
      <c r="P763" s="319">
        <v>15</v>
      </c>
      <c r="Q763" s="319" t="s">
        <v>2776</v>
      </c>
      <c r="R763" s="320">
        <v>10039192</v>
      </c>
      <c r="S763" s="321">
        <v>43214</v>
      </c>
      <c r="T763" s="321">
        <v>43216</v>
      </c>
      <c r="U763" s="321">
        <v>43245</v>
      </c>
      <c r="V763" s="319" t="s">
        <v>425</v>
      </c>
      <c r="W763" s="319" t="s">
        <v>2767</v>
      </c>
      <c r="X763" s="319">
        <v>2</v>
      </c>
      <c r="Y763" s="319" t="s">
        <v>173</v>
      </c>
      <c r="Z763" s="319" t="s">
        <v>173</v>
      </c>
      <c r="AA763" s="319" t="s">
        <v>173</v>
      </c>
      <c r="AB763" s="319">
        <v>1</v>
      </c>
      <c r="AC763" s="319" t="s">
        <v>169</v>
      </c>
      <c r="AD763" s="319" t="s">
        <v>173</v>
      </c>
      <c r="AE763" s="319" t="s">
        <v>173</v>
      </c>
      <c r="AF763" s="319" t="s">
        <v>427</v>
      </c>
      <c r="AG763" s="319" t="s">
        <v>171</v>
      </c>
      <c r="AH763" s="319" t="s">
        <v>190</v>
      </c>
      <c r="AI763" s="319" t="s">
        <v>190</v>
      </c>
      <c r="AJ763" s="319" t="s">
        <v>190</v>
      </c>
      <c r="AK763" s="319" t="s">
        <v>190</v>
      </c>
      <c r="AL763" s="319" t="s">
        <v>190</v>
      </c>
      <c r="AM763" s="319" t="s">
        <v>190</v>
      </c>
      <c r="AN763" s="319" t="s">
        <v>190</v>
      </c>
      <c r="AO763" s="319" t="s">
        <v>190</v>
      </c>
      <c r="AP763" s="319" t="s">
        <v>190</v>
      </c>
      <c r="AQ763" s="319" t="s">
        <v>190</v>
      </c>
      <c r="AR763" s="319" t="s">
        <v>190</v>
      </c>
      <c r="AS763" s="319" t="s">
        <v>190</v>
      </c>
      <c r="AT763" s="319" t="s">
        <v>190</v>
      </c>
      <c r="AU763" s="319" t="s">
        <v>190</v>
      </c>
      <c r="AV763" s="319" t="s">
        <v>190</v>
      </c>
      <c r="AW763" s="319" t="s">
        <v>190</v>
      </c>
      <c r="AX763" s="319" t="s">
        <v>428</v>
      </c>
      <c r="AY763" s="319" t="s">
        <v>190</v>
      </c>
      <c r="AZ763" s="319" t="s">
        <v>190</v>
      </c>
      <c r="BA763" s="319" t="s">
        <v>190</v>
      </c>
      <c r="BB763" s="319" t="s">
        <v>190</v>
      </c>
      <c r="BC763" s="319" t="s">
        <v>190</v>
      </c>
      <c r="BD763" s="319" t="s">
        <v>190</v>
      </c>
      <c r="BE763" s="319" t="s">
        <v>190</v>
      </c>
      <c r="BF763" s="319" t="s">
        <v>428</v>
      </c>
      <c r="BG763" s="319" t="s">
        <v>428</v>
      </c>
      <c r="BH763" s="319" t="s">
        <v>190</v>
      </c>
      <c r="BI763" s="319" t="s">
        <v>190</v>
      </c>
      <c r="BJ763" s="319" t="s">
        <v>190</v>
      </c>
      <c r="BK763" s="319" t="s">
        <v>190</v>
      </c>
      <c r="BL763" s="319" t="s">
        <v>190</v>
      </c>
      <c r="BM763" s="319" t="s">
        <v>190</v>
      </c>
      <c r="BN763" s="319" t="s">
        <v>190</v>
      </c>
      <c r="BO763" s="319" t="s">
        <v>190</v>
      </c>
      <c r="BP763" s="319" t="s">
        <v>190</v>
      </c>
      <c r="BQ763" s="319" t="s">
        <v>190</v>
      </c>
      <c r="BR763" s="319" t="s">
        <v>190</v>
      </c>
      <c r="BS763" s="319" t="s">
        <v>190</v>
      </c>
      <c r="BT763" s="319" t="s">
        <v>190</v>
      </c>
      <c r="BU763" s="319" t="s">
        <v>190</v>
      </c>
      <c r="BV763" s="319" t="s">
        <v>190</v>
      </c>
      <c r="BW763" s="319" t="s">
        <v>190</v>
      </c>
      <c r="BX763" s="319" t="s">
        <v>190</v>
      </c>
      <c r="BY763" s="319" t="s">
        <v>190</v>
      </c>
      <c r="BZ763" s="319" t="s">
        <v>190</v>
      </c>
      <c r="CA763" s="319" t="s">
        <v>190</v>
      </c>
      <c r="CB763" s="319" t="s">
        <v>190</v>
      </c>
      <c r="CC763" s="319" t="s">
        <v>190</v>
      </c>
      <c r="CD763" s="319" t="s">
        <v>190</v>
      </c>
      <c r="CE763" s="319" t="s">
        <v>190</v>
      </c>
      <c r="CF763" s="319" t="s">
        <v>190</v>
      </c>
      <c r="CG763" s="319" t="s">
        <v>190</v>
      </c>
      <c r="CH763" s="319" t="s">
        <v>190</v>
      </c>
      <c r="CI763" s="319" t="s">
        <v>190</v>
      </c>
      <c r="CJ763" s="319" t="s">
        <v>190</v>
      </c>
      <c r="CK763" s="319" t="s">
        <v>190</v>
      </c>
      <c r="CL763" s="319" t="s">
        <v>190</v>
      </c>
      <c r="CM763" s="319" t="s">
        <v>190</v>
      </c>
      <c r="CN763" s="319" t="s">
        <v>428</v>
      </c>
      <c r="CO763" s="319" t="s">
        <v>428</v>
      </c>
      <c r="CP763" s="319" t="s">
        <v>428</v>
      </c>
      <c r="CQ763" s="319" t="s">
        <v>190</v>
      </c>
      <c r="CR763" s="319" t="s">
        <v>190</v>
      </c>
      <c r="CS763" s="319" t="s">
        <v>190</v>
      </c>
      <c r="CT763" s="319" t="s">
        <v>190</v>
      </c>
      <c r="CU763" s="319" t="s">
        <v>190</v>
      </c>
      <c r="CV763" s="319" t="s">
        <v>190</v>
      </c>
      <c r="CW763" s="319" t="s">
        <v>190</v>
      </c>
      <c r="CX763" s="319" t="s">
        <v>190</v>
      </c>
      <c r="CY763" s="319" t="s">
        <v>190</v>
      </c>
      <c r="CZ763" s="319" t="s">
        <v>190</v>
      </c>
      <c r="DA763" s="319" t="s">
        <v>190</v>
      </c>
      <c r="DB763" s="319" t="s">
        <v>190</v>
      </c>
      <c r="DC763" s="319" t="s">
        <v>190</v>
      </c>
      <c r="DD763" s="319" t="s">
        <v>190</v>
      </c>
      <c r="DE763" s="319" t="s">
        <v>190</v>
      </c>
      <c r="DF763" s="319" t="s">
        <v>190</v>
      </c>
      <c r="DG763" s="319" t="s">
        <v>190</v>
      </c>
      <c r="DH763" s="319" t="s">
        <v>190</v>
      </c>
      <c r="DI763" s="319" t="s">
        <v>190</v>
      </c>
      <c r="DJ763" s="319" t="s">
        <v>190</v>
      </c>
      <c r="DK763" s="319" t="s">
        <v>190</v>
      </c>
      <c r="DL763" s="319" t="s">
        <v>190</v>
      </c>
      <c r="DM763" s="319" t="s">
        <v>190</v>
      </c>
      <c r="DN763" s="319" t="s">
        <v>428</v>
      </c>
      <c r="DO763" s="319" t="s">
        <v>190</v>
      </c>
      <c r="DP763" s="319" t="s">
        <v>428</v>
      </c>
      <c r="DQ763" s="319" t="s">
        <v>428</v>
      </c>
      <c r="DR763" s="319" t="s">
        <v>428</v>
      </c>
      <c r="DS763" s="319" t="s">
        <v>428</v>
      </c>
      <c r="DT763" s="319" t="s">
        <v>428</v>
      </c>
      <c r="DU763" s="319" t="s">
        <v>428</v>
      </c>
      <c r="DV763" s="319" t="s">
        <v>173</v>
      </c>
      <c r="DW763" s="319" t="s">
        <v>428</v>
      </c>
      <c r="DX763" s="319" t="s">
        <v>428</v>
      </c>
      <c r="DY763" s="319" t="s">
        <v>428</v>
      </c>
      <c r="DZ763" s="319" t="s">
        <v>428</v>
      </c>
      <c r="EA763" s="319" t="s">
        <v>428</v>
      </c>
      <c r="EB763" s="319" t="s">
        <v>428</v>
      </c>
      <c r="EC763" s="319" t="s">
        <v>428</v>
      </c>
      <c r="ED763" s="319" t="s">
        <v>190</v>
      </c>
      <c r="EE763" s="319" t="s">
        <v>190</v>
      </c>
      <c r="EF763" s="319" t="s">
        <v>190</v>
      </c>
      <c r="EG763" s="319" t="s">
        <v>190</v>
      </c>
      <c r="EH763" s="319" t="s">
        <v>190</v>
      </c>
      <c r="EI763" s="319" t="s">
        <v>190</v>
      </c>
      <c r="EJ763" s="319" t="s">
        <v>190</v>
      </c>
      <c r="EK763" s="319" t="s">
        <v>190</v>
      </c>
      <c r="EL763" s="319" t="s">
        <v>190</v>
      </c>
      <c r="EM763" s="319" t="s">
        <v>190</v>
      </c>
      <c r="EN763" s="319" t="s">
        <v>190</v>
      </c>
      <c r="EO763" s="319" t="s">
        <v>190</v>
      </c>
      <c r="EP763" s="319" t="s">
        <v>190</v>
      </c>
      <c r="EQ763" s="319" t="s">
        <v>190</v>
      </c>
      <c r="ER763" s="319" t="s">
        <v>190</v>
      </c>
      <c r="ES763" s="319" t="s">
        <v>190</v>
      </c>
      <c r="ET763" s="319" t="s">
        <v>190</v>
      </c>
      <c r="EU763" s="319" t="s">
        <v>190</v>
      </c>
      <c r="EV763" s="319" t="s">
        <v>190</v>
      </c>
      <c r="EW763" s="319" t="s">
        <v>190</v>
      </c>
      <c r="EX763" s="319" t="s">
        <v>190</v>
      </c>
      <c r="EY763" s="319" t="s">
        <v>190</v>
      </c>
      <c r="EZ763" s="319" t="s">
        <v>190</v>
      </c>
      <c r="FA763" s="319" t="s">
        <v>428</v>
      </c>
      <c r="FB763" s="319" t="s">
        <v>428</v>
      </c>
      <c r="FC763" s="319" t="s">
        <v>428</v>
      </c>
      <c r="FD763" s="319" t="s">
        <v>428</v>
      </c>
      <c r="FE763" s="319" t="s">
        <v>428</v>
      </c>
      <c r="FF763" s="319" t="s">
        <v>428</v>
      </c>
      <c r="FG763" s="319" t="s">
        <v>428</v>
      </c>
      <c r="FH763" s="319" t="s">
        <v>190</v>
      </c>
      <c r="FI763" s="319" t="s">
        <v>428</v>
      </c>
      <c r="FJ763" s="319" t="s">
        <v>429</v>
      </c>
      <c r="FK763" s="319" t="s">
        <v>428</v>
      </c>
      <c r="FL763" s="319" t="s">
        <v>190</v>
      </c>
      <c r="FM763" s="319" t="s">
        <v>190</v>
      </c>
      <c r="FN763" s="319" t="s">
        <v>190</v>
      </c>
      <c r="FO763" s="319" t="s">
        <v>190</v>
      </c>
      <c r="FP763" s="319" t="s">
        <v>190</v>
      </c>
      <c r="FQ763" s="319" t="s">
        <v>190</v>
      </c>
      <c r="FR763" s="319" t="s">
        <v>190</v>
      </c>
      <c r="FS763" s="319" t="s">
        <v>428</v>
      </c>
      <c r="FT763" s="319" t="s">
        <v>190</v>
      </c>
      <c r="FU763" s="319" t="s">
        <v>190</v>
      </c>
      <c r="FV763" s="319" t="s">
        <v>190</v>
      </c>
      <c r="FW763" s="319" t="s">
        <v>190</v>
      </c>
      <c r="FX763" s="319" t="s">
        <v>190</v>
      </c>
      <c r="FY763" s="319" t="s">
        <v>190</v>
      </c>
      <c r="FZ763" s="319" t="s">
        <v>190</v>
      </c>
      <c r="GA763" s="319" t="s">
        <v>190</v>
      </c>
      <c r="GB763" s="319" t="s">
        <v>190</v>
      </c>
      <c r="GC763" s="319" t="s">
        <v>190</v>
      </c>
      <c r="GD763" s="319" t="s">
        <v>190</v>
      </c>
      <c r="GE763" s="319" t="s">
        <v>190</v>
      </c>
      <c r="GF763" s="319" t="s">
        <v>190</v>
      </c>
      <c r="GG763" s="319" t="s">
        <v>190</v>
      </c>
      <c r="GH763" s="319" t="s">
        <v>190</v>
      </c>
      <c r="GI763" s="319" t="s">
        <v>190</v>
      </c>
      <c r="GJ763" s="319" t="s">
        <v>190</v>
      </c>
      <c r="GK763" s="319" t="s">
        <v>428</v>
      </c>
      <c r="GL763" s="319" t="s">
        <v>190</v>
      </c>
      <c r="GM763" s="319" t="s">
        <v>190</v>
      </c>
      <c r="GN763" s="319" t="s">
        <v>190</v>
      </c>
      <c r="GO763" s="319" t="s">
        <v>190</v>
      </c>
      <c r="GP763" s="319" t="s">
        <v>190</v>
      </c>
      <c r="GQ763" s="319" t="s">
        <v>428</v>
      </c>
      <c r="GR763" s="319" t="s">
        <v>190</v>
      </c>
      <c r="GS763" s="319" t="s">
        <v>190</v>
      </c>
      <c r="GT763" s="319" t="s">
        <v>190</v>
      </c>
      <c r="GU763" s="319" t="s">
        <v>190</v>
      </c>
      <c r="GV763" s="319" t="s">
        <v>428</v>
      </c>
      <c r="GW763" s="319" t="s">
        <v>190</v>
      </c>
      <c r="GX763" s="319" t="s">
        <v>190</v>
      </c>
      <c r="GY763" s="319" t="s">
        <v>190</v>
      </c>
      <c r="GZ763" s="319" t="s">
        <v>428</v>
      </c>
      <c r="HA763" s="319" t="s">
        <v>190</v>
      </c>
      <c r="HB763" s="319" t="s">
        <v>190</v>
      </c>
      <c r="HC763" s="319" t="s">
        <v>190</v>
      </c>
      <c r="HD763" s="319" t="s">
        <v>190</v>
      </c>
      <c r="HE763" s="319" t="s">
        <v>190</v>
      </c>
      <c r="HF763" s="319" t="s">
        <v>190</v>
      </c>
      <c r="HG763" s="319" t="s">
        <v>190</v>
      </c>
      <c r="HH763" s="319" t="s">
        <v>190</v>
      </c>
      <c r="HI763" s="319" t="s">
        <v>190</v>
      </c>
      <c r="HJ763" s="319" t="s">
        <v>190</v>
      </c>
      <c r="HK763" s="319" t="s">
        <v>190</v>
      </c>
      <c r="HL763" s="319" t="s">
        <v>428</v>
      </c>
      <c r="HM763" s="319" t="s">
        <v>428</v>
      </c>
      <c r="HN763" s="319" t="s">
        <v>428</v>
      </c>
      <c r="HO763" s="319" t="s">
        <v>428</v>
      </c>
      <c r="HP763" s="319" t="s">
        <v>190</v>
      </c>
      <c r="HQ763" s="319" t="s">
        <v>190</v>
      </c>
      <c r="HR763" s="319" t="s">
        <v>190</v>
      </c>
      <c r="HS763" s="319" t="s">
        <v>190</v>
      </c>
      <c r="HT763" s="319" t="s">
        <v>190</v>
      </c>
      <c r="HU763" s="319" t="s">
        <v>190</v>
      </c>
      <c r="HV763" s="319" t="s">
        <v>190</v>
      </c>
      <c r="HW763" s="319" t="s">
        <v>190</v>
      </c>
      <c r="HX763" s="319" t="s">
        <v>190</v>
      </c>
      <c r="HY763" s="319" t="s">
        <v>190</v>
      </c>
      <c r="HZ763" s="319" t="s">
        <v>190</v>
      </c>
      <c r="IA763" s="319" t="s">
        <v>190</v>
      </c>
      <c r="IB763" s="319" t="s">
        <v>190</v>
      </c>
      <c r="IC763" s="319" t="s">
        <v>190</v>
      </c>
      <c r="ID763" s="319" t="s">
        <v>190</v>
      </c>
      <c r="IE763" s="319" t="s">
        <v>190</v>
      </c>
      <c r="IF763" s="319" t="s">
        <v>190</v>
      </c>
      <c r="IG763" s="319" t="s">
        <v>190</v>
      </c>
      <c r="IH763" s="319" t="s">
        <v>190</v>
      </c>
      <c r="II763" s="319" t="s">
        <v>190</v>
      </c>
      <c r="IJ763" s="319" t="s">
        <v>3502</v>
      </c>
      <c r="IK763" s="321">
        <v>41961</v>
      </c>
      <c r="IL763" s="321">
        <v>41963</v>
      </c>
      <c r="IM763" s="321">
        <v>41983</v>
      </c>
      <c r="IN763" s="319">
        <v>2</v>
      </c>
      <c r="IO763" s="319" t="s">
        <v>173</v>
      </c>
      <c r="IP763" s="319" t="s">
        <v>173</v>
      </c>
      <c r="IQ763" s="319" t="s">
        <v>173</v>
      </c>
      <c r="IR763" s="320" t="s">
        <v>173</v>
      </c>
      <c r="IS763" s="320" t="s">
        <v>173</v>
      </c>
      <c r="IT763" s="319" t="s">
        <v>173</v>
      </c>
    </row>
    <row r="764" spans="1:254" s="271" customFormat="1" x14ac:dyDescent="0.25">
      <c r="A764" s="318" t="str">
        <f>HYPERLINK("http://www.ofsted.gov.uk/inspection-reports/find-inspection-report/provider/ELS/140491 ","Ofsted School Webpage")</f>
        <v>Ofsted School Webpage</v>
      </c>
      <c r="B764" s="319">
        <v>140491</v>
      </c>
      <c r="C764" s="319">
        <v>3556001</v>
      </c>
      <c r="D764" s="319" t="s">
        <v>532</v>
      </c>
      <c r="E764" s="319" t="s">
        <v>167</v>
      </c>
      <c r="F764" s="319" t="s">
        <v>81</v>
      </c>
      <c r="G764" s="319" t="s">
        <v>69</v>
      </c>
      <c r="H764" s="319" t="s">
        <v>69</v>
      </c>
      <c r="I764" s="319" t="s">
        <v>69</v>
      </c>
      <c r="J764" s="319" t="s">
        <v>424</v>
      </c>
      <c r="K764" s="319" t="s">
        <v>431</v>
      </c>
      <c r="L764" s="319" t="s">
        <v>431</v>
      </c>
      <c r="M764" s="319" t="s">
        <v>533</v>
      </c>
      <c r="N764" s="319" t="s">
        <v>2874</v>
      </c>
      <c r="O764" s="319" t="s">
        <v>534</v>
      </c>
      <c r="P764" s="319">
        <v>192</v>
      </c>
      <c r="Q764" s="319" t="s">
        <v>2766</v>
      </c>
      <c r="R764" s="320">
        <v>10056405</v>
      </c>
      <c r="S764" s="321">
        <v>43381</v>
      </c>
      <c r="T764" s="321">
        <v>43383</v>
      </c>
      <c r="U764" s="321">
        <v>43423</v>
      </c>
      <c r="V764" s="319" t="s">
        <v>425</v>
      </c>
      <c r="W764" s="319" t="s">
        <v>2767</v>
      </c>
      <c r="X764" s="319">
        <v>2</v>
      </c>
      <c r="Y764" s="319" t="s">
        <v>173</v>
      </c>
      <c r="Z764" s="319" t="s">
        <v>173</v>
      </c>
      <c r="AA764" s="319" t="s">
        <v>173</v>
      </c>
      <c r="AB764" s="319">
        <v>2</v>
      </c>
      <c r="AC764" s="319" t="s">
        <v>169</v>
      </c>
      <c r="AD764" s="319">
        <v>2</v>
      </c>
      <c r="AE764" s="319" t="s">
        <v>173</v>
      </c>
      <c r="AF764" s="319" t="s">
        <v>447</v>
      </c>
      <c r="AG764" s="319" t="s">
        <v>171</v>
      </c>
      <c r="AH764" s="319" t="s">
        <v>190</v>
      </c>
      <c r="AI764" s="319" t="s">
        <v>190</v>
      </c>
      <c r="AJ764" s="319" t="s">
        <v>190</v>
      </c>
      <c r="AK764" s="319" t="s">
        <v>190</v>
      </c>
      <c r="AL764" s="319" t="s">
        <v>190</v>
      </c>
      <c r="AM764" s="319" t="s">
        <v>190</v>
      </c>
      <c r="AN764" s="319" t="s">
        <v>190</v>
      </c>
      <c r="AO764" s="319" t="s">
        <v>190</v>
      </c>
      <c r="AP764" s="319" t="s">
        <v>190</v>
      </c>
      <c r="AQ764" s="319" t="s">
        <v>190</v>
      </c>
      <c r="AR764" s="319" t="s">
        <v>190</v>
      </c>
      <c r="AS764" s="319" t="s">
        <v>190</v>
      </c>
      <c r="AT764" s="319" t="s">
        <v>190</v>
      </c>
      <c r="AU764" s="319" t="s">
        <v>190</v>
      </c>
      <c r="AV764" s="319" t="s">
        <v>190</v>
      </c>
      <c r="AW764" s="319" t="s">
        <v>190</v>
      </c>
      <c r="AX764" s="319" t="s">
        <v>190</v>
      </c>
      <c r="AY764" s="319" t="s">
        <v>190</v>
      </c>
      <c r="AZ764" s="319" t="s">
        <v>190</v>
      </c>
      <c r="BA764" s="319" t="s">
        <v>190</v>
      </c>
      <c r="BB764" s="319" t="s">
        <v>428</v>
      </c>
      <c r="BC764" s="319" t="s">
        <v>428</v>
      </c>
      <c r="BD764" s="319" t="s">
        <v>428</v>
      </c>
      <c r="BE764" s="319" t="s">
        <v>428</v>
      </c>
      <c r="BF764" s="319" t="s">
        <v>190</v>
      </c>
      <c r="BG764" s="319" t="s">
        <v>428</v>
      </c>
      <c r="BH764" s="319" t="s">
        <v>190</v>
      </c>
      <c r="BI764" s="319" t="s">
        <v>190</v>
      </c>
      <c r="BJ764" s="319" t="s">
        <v>190</v>
      </c>
      <c r="BK764" s="319" t="s">
        <v>190</v>
      </c>
      <c r="BL764" s="319" t="s">
        <v>190</v>
      </c>
      <c r="BM764" s="319" t="s">
        <v>190</v>
      </c>
      <c r="BN764" s="319" t="s">
        <v>190</v>
      </c>
      <c r="BO764" s="319" t="s">
        <v>190</v>
      </c>
      <c r="BP764" s="319" t="s">
        <v>190</v>
      </c>
      <c r="BQ764" s="319" t="s">
        <v>190</v>
      </c>
      <c r="BR764" s="319" t="s">
        <v>190</v>
      </c>
      <c r="BS764" s="319" t="s">
        <v>190</v>
      </c>
      <c r="BT764" s="319" t="s">
        <v>190</v>
      </c>
      <c r="BU764" s="319" t="s">
        <v>190</v>
      </c>
      <c r="BV764" s="319" t="s">
        <v>190</v>
      </c>
      <c r="BW764" s="319" t="s">
        <v>190</v>
      </c>
      <c r="BX764" s="319" t="s">
        <v>190</v>
      </c>
      <c r="BY764" s="319" t="s">
        <v>190</v>
      </c>
      <c r="BZ764" s="319" t="s">
        <v>190</v>
      </c>
      <c r="CA764" s="319" t="s">
        <v>190</v>
      </c>
      <c r="CB764" s="319" t="s">
        <v>190</v>
      </c>
      <c r="CC764" s="319" t="s">
        <v>190</v>
      </c>
      <c r="CD764" s="319" t="s">
        <v>190</v>
      </c>
      <c r="CE764" s="319" t="s">
        <v>190</v>
      </c>
      <c r="CF764" s="319" t="s">
        <v>190</v>
      </c>
      <c r="CG764" s="319" t="s">
        <v>190</v>
      </c>
      <c r="CH764" s="319" t="s">
        <v>190</v>
      </c>
      <c r="CI764" s="319" t="s">
        <v>190</v>
      </c>
      <c r="CJ764" s="319" t="s">
        <v>190</v>
      </c>
      <c r="CK764" s="319" t="s">
        <v>190</v>
      </c>
      <c r="CL764" s="319" t="s">
        <v>190</v>
      </c>
      <c r="CM764" s="319" t="s">
        <v>190</v>
      </c>
      <c r="CN764" s="319" t="s">
        <v>428</v>
      </c>
      <c r="CO764" s="319" t="s">
        <v>428</v>
      </c>
      <c r="CP764" s="319" t="s">
        <v>428</v>
      </c>
      <c r="CQ764" s="319" t="s">
        <v>190</v>
      </c>
      <c r="CR764" s="319" t="s">
        <v>190</v>
      </c>
      <c r="CS764" s="319" t="s">
        <v>190</v>
      </c>
      <c r="CT764" s="319" t="s">
        <v>190</v>
      </c>
      <c r="CU764" s="319" t="s">
        <v>190</v>
      </c>
      <c r="CV764" s="319" t="s">
        <v>190</v>
      </c>
      <c r="CW764" s="319" t="s">
        <v>190</v>
      </c>
      <c r="CX764" s="319" t="s">
        <v>190</v>
      </c>
      <c r="CY764" s="319" t="s">
        <v>190</v>
      </c>
      <c r="CZ764" s="319" t="s">
        <v>190</v>
      </c>
      <c r="DA764" s="319" t="s">
        <v>190</v>
      </c>
      <c r="DB764" s="319" t="s">
        <v>190</v>
      </c>
      <c r="DC764" s="319" t="s">
        <v>190</v>
      </c>
      <c r="DD764" s="319" t="s">
        <v>190</v>
      </c>
      <c r="DE764" s="319" t="s">
        <v>190</v>
      </c>
      <c r="DF764" s="319" t="s">
        <v>190</v>
      </c>
      <c r="DG764" s="319" t="s">
        <v>190</v>
      </c>
      <c r="DH764" s="319" t="s">
        <v>190</v>
      </c>
      <c r="DI764" s="319" t="s">
        <v>190</v>
      </c>
      <c r="DJ764" s="319" t="s">
        <v>190</v>
      </c>
      <c r="DK764" s="319" t="s">
        <v>190</v>
      </c>
      <c r="DL764" s="319" t="s">
        <v>190</v>
      </c>
      <c r="DM764" s="319" t="s">
        <v>190</v>
      </c>
      <c r="DN764" s="319" t="s">
        <v>428</v>
      </c>
      <c r="DO764" s="319" t="s">
        <v>190</v>
      </c>
      <c r="DP764" s="319" t="s">
        <v>428</v>
      </c>
      <c r="DQ764" s="319" t="s">
        <v>428</v>
      </c>
      <c r="DR764" s="319" t="s">
        <v>428</v>
      </c>
      <c r="DS764" s="319" t="s">
        <v>428</v>
      </c>
      <c r="DT764" s="319" t="s">
        <v>428</v>
      </c>
      <c r="DU764" s="319" t="s">
        <v>428</v>
      </c>
      <c r="DV764" s="319" t="s">
        <v>173</v>
      </c>
      <c r="DW764" s="319" t="s">
        <v>428</v>
      </c>
      <c r="DX764" s="319" t="s">
        <v>428</v>
      </c>
      <c r="DY764" s="319" t="s">
        <v>428</v>
      </c>
      <c r="DZ764" s="319" t="s">
        <v>428</v>
      </c>
      <c r="EA764" s="319" t="s">
        <v>428</v>
      </c>
      <c r="EB764" s="319" t="s">
        <v>428</v>
      </c>
      <c r="EC764" s="319" t="s">
        <v>428</v>
      </c>
      <c r="ED764" s="319" t="s">
        <v>428</v>
      </c>
      <c r="EE764" s="319" t="s">
        <v>428</v>
      </c>
      <c r="EF764" s="319" t="s">
        <v>428</v>
      </c>
      <c r="EG764" s="319" t="s">
        <v>428</v>
      </c>
      <c r="EH764" s="319" t="s">
        <v>428</v>
      </c>
      <c r="EI764" s="319" t="s">
        <v>428</v>
      </c>
      <c r="EJ764" s="319" t="s">
        <v>428</v>
      </c>
      <c r="EK764" s="319" t="s">
        <v>428</v>
      </c>
      <c r="EL764" s="319" t="s">
        <v>428</v>
      </c>
      <c r="EM764" s="319" t="s">
        <v>428</v>
      </c>
      <c r="EN764" s="319" t="s">
        <v>190</v>
      </c>
      <c r="EO764" s="319" t="s">
        <v>190</v>
      </c>
      <c r="EP764" s="319" t="s">
        <v>190</v>
      </c>
      <c r="EQ764" s="319" t="s">
        <v>190</v>
      </c>
      <c r="ER764" s="319" t="s">
        <v>190</v>
      </c>
      <c r="ES764" s="319" t="s">
        <v>190</v>
      </c>
      <c r="ET764" s="319" t="s">
        <v>190</v>
      </c>
      <c r="EU764" s="319" t="s">
        <v>190</v>
      </c>
      <c r="EV764" s="319" t="s">
        <v>190</v>
      </c>
      <c r="EW764" s="319" t="s">
        <v>190</v>
      </c>
      <c r="EX764" s="319" t="s">
        <v>190</v>
      </c>
      <c r="EY764" s="319" t="s">
        <v>190</v>
      </c>
      <c r="EZ764" s="319" t="s">
        <v>190</v>
      </c>
      <c r="FA764" s="319" t="s">
        <v>428</v>
      </c>
      <c r="FB764" s="319" t="s">
        <v>428</v>
      </c>
      <c r="FC764" s="319" t="s">
        <v>428</v>
      </c>
      <c r="FD764" s="319" t="s">
        <v>428</v>
      </c>
      <c r="FE764" s="319" t="s">
        <v>428</v>
      </c>
      <c r="FF764" s="319" t="s">
        <v>428</v>
      </c>
      <c r="FG764" s="319" t="s">
        <v>428</v>
      </c>
      <c r="FH764" s="319" t="s">
        <v>428</v>
      </c>
      <c r="FI764" s="319" t="s">
        <v>428</v>
      </c>
      <c r="FJ764" s="319" t="s">
        <v>429</v>
      </c>
      <c r="FK764" s="319" t="s">
        <v>428</v>
      </c>
      <c r="FL764" s="319" t="s">
        <v>190</v>
      </c>
      <c r="FM764" s="319" t="s">
        <v>190</v>
      </c>
      <c r="FN764" s="319" t="s">
        <v>190</v>
      </c>
      <c r="FO764" s="319" t="s">
        <v>428</v>
      </c>
      <c r="FP764" s="319" t="s">
        <v>190</v>
      </c>
      <c r="FQ764" s="319" t="s">
        <v>190</v>
      </c>
      <c r="FR764" s="319" t="s">
        <v>190</v>
      </c>
      <c r="FS764" s="319" t="s">
        <v>428</v>
      </c>
      <c r="FT764" s="319" t="s">
        <v>190</v>
      </c>
      <c r="FU764" s="319" t="s">
        <v>190</v>
      </c>
      <c r="FV764" s="319" t="s">
        <v>190</v>
      </c>
      <c r="FW764" s="319" t="s">
        <v>190</v>
      </c>
      <c r="FX764" s="319" t="s">
        <v>190</v>
      </c>
      <c r="FY764" s="319" t="s">
        <v>190</v>
      </c>
      <c r="FZ764" s="319" t="s">
        <v>190</v>
      </c>
      <c r="GA764" s="319" t="s">
        <v>190</v>
      </c>
      <c r="GB764" s="319" t="s">
        <v>190</v>
      </c>
      <c r="GC764" s="319" t="s">
        <v>190</v>
      </c>
      <c r="GD764" s="319" t="s">
        <v>190</v>
      </c>
      <c r="GE764" s="319" t="s">
        <v>190</v>
      </c>
      <c r="GF764" s="319" t="s">
        <v>190</v>
      </c>
      <c r="GG764" s="319" t="s">
        <v>190</v>
      </c>
      <c r="GH764" s="319" t="s">
        <v>190</v>
      </c>
      <c r="GI764" s="319" t="s">
        <v>190</v>
      </c>
      <c r="GJ764" s="319" t="s">
        <v>190</v>
      </c>
      <c r="GK764" s="319" t="s">
        <v>428</v>
      </c>
      <c r="GL764" s="319" t="s">
        <v>190</v>
      </c>
      <c r="GM764" s="319" t="s">
        <v>190</v>
      </c>
      <c r="GN764" s="319" t="s">
        <v>190</v>
      </c>
      <c r="GO764" s="319" t="s">
        <v>190</v>
      </c>
      <c r="GP764" s="319" t="s">
        <v>190</v>
      </c>
      <c r="GQ764" s="319" t="s">
        <v>428</v>
      </c>
      <c r="GR764" s="319" t="s">
        <v>190</v>
      </c>
      <c r="GS764" s="319" t="s">
        <v>190</v>
      </c>
      <c r="GT764" s="319" t="s">
        <v>428</v>
      </c>
      <c r="GU764" s="319" t="s">
        <v>428</v>
      </c>
      <c r="GV764" s="319" t="s">
        <v>428</v>
      </c>
      <c r="GW764" s="319" t="s">
        <v>428</v>
      </c>
      <c r="GX764" s="319" t="s">
        <v>190</v>
      </c>
      <c r="GY764" s="319" t="s">
        <v>190</v>
      </c>
      <c r="GZ764" s="319" t="s">
        <v>190</v>
      </c>
      <c r="HA764" s="319" t="s">
        <v>428</v>
      </c>
      <c r="HB764" s="319" t="s">
        <v>190</v>
      </c>
      <c r="HC764" s="319" t="s">
        <v>190</v>
      </c>
      <c r="HD764" s="319" t="s">
        <v>190</v>
      </c>
      <c r="HE764" s="319" t="s">
        <v>190</v>
      </c>
      <c r="HF764" s="319" t="s">
        <v>190</v>
      </c>
      <c r="HG764" s="319" t="s">
        <v>190</v>
      </c>
      <c r="HH764" s="319" t="s">
        <v>190</v>
      </c>
      <c r="HI764" s="319" t="s">
        <v>190</v>
      </c>
      <c r="HJ764" s="319" t="s">
        <v>190</v>
      </c>
      <c r="HK764" s="319" t="s">
        <v>190</v>
      </c>
      <c r="HL764" s="319" t="s">
        <v>428</v>
      </c>
      <c r="HM764" s="319" t="s">
        <v>428</v>
      </c>
      <c r="HN764" s="319" t="s">
        <v>428</v>
      </c>
      <c r="HO764" s="319" t="s">
        <v>428</v>
      </c>
      <c r="HP764" s="319" t="s">
        <v>190</v>
      </c>
      <c r="HQ764" s="319" t="s">
        <v>190</v>
      </c>
      <c r="HR764" s="319" t="s">
        <v>190</v>
      </c>
      <c r="HS764" s="319" t="s">
        <v>190</v>
      </c>
      <c r="HT764" s="319" t="s">
        <v>190</v>
      </c>
      <c r="HU764" s="319" t="s">
        <v>190</v>
      </c>
      <c r="HV764" s="319" t="s">
        <v>190</v>
      </c>
      <c r="HW764" s="319" t="s">
        <v>190</v>
      </c>
      <c r="HX764" s="319" t="s">
        <v>190</v>
      </c>
      <c r="HY764" s="319" t="s">
        <v>190</v>
      </c>
      <c r="HZ764" s="319" t="s">
        <v>190</v>
      </c>
      <c r="IA764" s="319" t="s">
        <v>190</v>
      </c>
      <c r="IB764" s="319" t="s">
        <v>190</v>
      </c>
      <c r="IC764" s="319" t="s">
        <v>190</v>
      </c>
      <c r="ID764" s="319" t="s">
        <v>190</v>
      </c>
      <c r="IE764" s="319" t="s">
        <v>190</v>
      </c>
      <c r="IF764" s="319" t="s">
        <v>190</v>
      </c>
      <c r="IG764" s="319" t="s">
        <v>190</v>
      </c>
      <c r="IH764" s="319" t="s">
        <v>190</v>
      </c>
      <c r="II764" s="319" t="s">
        <v>190</v>
      </c>
      <c r="IJ764" s="319">
        <v>10026019</v>
      </c>
      <c r="IK764" s="321">
        <v>42780</v>
      </c>
      <c r="IL764" s="321">
        <v>42782</v>
      </c>
      <c r="IM764" s="321">
        <v>42817</v>
      </c>
      <c r="IN764" s="319">
        <v>4</v>
      </c>
      <c r="IO764" s="319" t="s">
        <v>173</v>
      </c>
      <c r="IP764" s="319" t="s">
        <v>173</v>
      </c>
      <c r="IQ764" s="321" t="s">
        <v>173</v>
      </c>
      <c r="IR764" s="320" t="s">
        <v>173</v>
      </c>
      <c r="IS764" s="322" t="s">
        <v>173</v>
      </c>
      <c r="IT764" s="319" t="s">
        <v>173</v>
      </c>
    </row>
    <row r="765" spans="1:254" s="271" customFormat="1" x14ac:dyDescent="0.25">
      <c r="A765" s="318" t="str">
        <f>HYPERLINK("http://www.ofsted.gov.uk/inspection-reports/find-inspection-report/provider/ELS/140492 ","Ofsted School Webpage")</f>
        <v>Ofsted School Webpage</v>
      </c>
      <c r="B765" s="319">
        <v>140492</v>
      </c>
      <c r="C765" s="319">
        <v>3026007</v>
      </c>
      <c r="D765" s="319" t="s">
        <v>2257</v>
      </c>
      <c r="E765" s="319" t="s">
        <v>167</v>
      </c>
      <c r="F765" s="319" t="s">
        <v>81</v>
      </c>
      <c r="G765" s="319" t="s">
        <v>69</v>
      </c>
      <c r="H765" s="319" t="s">
        <v>69</v>
      </c>
      <c r="I765" s="319" t="s">
        <v>69</v>
      </c>
      <c r="J765" s="319" t="s">
        <v>424</v>
      </c>
      <c r="K765" s="319" t="s">
        <v>441</v>
      </c>
      <c r="L765" s="319" t="s">
        <v>441</v>
      </c>
      <c r="M765" s="319" t="s">
        <v>544</v>
      </c>
      <c r="N765" s="319" t="s">
        <v>2818</v>
      </c>
      <c r="O765" s="319" t="s">
        <v>2258</v>
      </c>
      <c r="P765" s="319">
        <v>71</v>
      </c>
      <c r="Q765" s="319" t="s">
        <v>2766</v>
      </c>
      <c r="R765" s="320">
        <v>10038178</v>
      </c>
      <c r="S765" s="321">
        <v>43263</v>
      </c>
      <c r="T765" s="321">
        <v>43265</v>
      </c>
      <c r="U765" s="321">
        <v>43439</v>
      </c>
      <c r="V765" s="319" t="s">
        <v>425</v>
      </c>
      <c r="W765" s="319" t="s">
        <v>2767</v>
      </c>
      <c r="X765" s="319">
        <v>4</v>
      </c>
      <c r="Y765" s="319" t="s">
        <v>173</v>
      </c>
      <c r="Z765" s="319" t="s">
        <v>173</v>
      </c>
      <c r="AA765" s="319" t="s">
        <v>173</v>
      </c>
      <c r="AB765" s="319">
        <v>4</v>
      </c>
      <c r="AC765" s="319" t="s">
        <v>169</v>
      </c>
      <c r="AD765" s="319" t="s">
        <v>173</v>
      </c>
      <c r="AE765" s="319" t="s">
        <v>173</v>
      </c>
      <c r="AF765" s="319" t="s">
        <v>427</v>
      </c>
      <c r="AG765" s="319" t="s">
        <v>172</v>
      </c>
      <c r="AH765" s="319" t="s">
        <v>479</v>
      </c>
      <c r="AI765" s="319" t="s">
        <v>479</v>
      </c>
      <c r="AJ765" s="319" t="s">
        <v>190</v>
      </c>
      <c r="AK765" s="319" t="s">
        <v>190</v>
      </c>
      <c r="AL765" s="319" t="s">
        <v>190</v>
      </c>
      <c r="AM765" s="319" t="s">
        <v>190</v>
      </c>
      <c r="AN765" s="319" t="s">
        <v>190</v>
      </c>
      <c r="AO765" s="319" t="s">
        <v>479</v>
      </c>
      <c r="AP765" s="319" t="s">
        <v>191</v>
      </c>
      <c r="AQ765" s="319" t="s">
        <v>191</v>
      </c>
      <c r="AR765" s="319" t="s">
        <v>190</v>
      </c>
      <c r="AS765" s="319" t="s">
        <v>190</v>
      </c>
      <c r="AT765" s="319" t="s">
        <v>190</v>
      </c>
      <c r="AU765" s="319" t="s">
        <v>191</v>
      </c>
      <c r="AV765" s="319" t="s">
        <v>191</v>
      </c>
      <c r="AW765" s="319" t="s">
        <v>190</v>
      </c>
      <c r="AX765" s="319" t="s">
        <v>190</v>
      </c>
      <c r="AY765" s="319" t="s">
        <v>191</v>
      </c>
      <c r="AZ765" s="319" t="s">
        <v>190</v>
      </c>
      <c r="BA765" s="319" t="s">
        <v>191</v>
      </c>
      <c r="BB765" s="319" t="s">
        <v>191</v>
      </c>
      <c r="BC765" s="319" t="s">
        <v>191</v>
      </c>
      <c r="BD765" s="319" t="s">
        <v>191</v>
      </c>
      <c r="BE765" s="319" t="s">
        <v>191</v>
      </c>
      <c r="BF765" s="319" t="s">
        <v>428</v>
      </c>
      <c r="BG765" s="319" t="s">
        <v>428</v>
      </c>
      <c r="BH765" s="319" t="s">
        <v>190</v>
      </c>
      <c r="BI765" s="319" t="s">
        <v>191</v>
      </c>
      <c r="BJ765" s="319" t="s">
        <v>190</v>
      </c>
      <c r="BK765" s="319" t="s">
        <v>190</v>
      </c>
      <c r="BL765" s="319" t="s">
        <v>190</v>
      </c>
      <c r="BM765" s="319" t="s">
        <v>190</v>
      </c>
      <c r="BN765" s="319" t="s">
        <v>190</v>
      </c>
      <c r="BO765" s="319" t="s">
        <v>190</v>
      </c>
      <c r="BP765" s="319" t="s">
        <v>190</v>
      </c>
      <c r="BQ765" s="319" t="s">
        <v>190</v>
      </c>
      <c r="BR765" s="319" t="s">
        <v>190</v>
      </c>
      <c r="BS765" s="319" t="s">
        <v>190</v>
      </c>
      <c r="BT765" s="319" t="s">
        <v>190</v>
      </c>
      <c r="BU765" s="319" t="s">
        <v>190</v>
      </c>
      <c r="BV765" s="319" t="s">
        <v>191</v>
      </c>
      <c r="BW765" s="319" t="s">
        <v>191</v>
      </c>
      <c r="BX765" s="319" t="s">
        <v>191</v>
      </c>
      <c r="BY765" s="319" t="s">
        <v>190</v>
      </c>
      <c r="BZ765" s="319" t="s">
        <v>190</v>
      </c>
      <c r="CA765" s="319" t="s">
        <v>190</v>
      </c>
      <c r="CB765" s="319" t="s">
        <v>190</v>
      </c>
      <c r="CC765" s="319" t="s">
        <v>191</v>
      </c>
      <c r="CD765" s="319" t="s">
        <v>191</v>
      </c>
      <c r="CE765" s="319" t="s">
        <v>190</v>
      </c>
      <c r="CF765" s="319" t="s">
        <v>190</v>
      </c>
      <c r="CG765" s="319" t="s">
        <v>190</v>
      </c>
      <c r="CH765" s="319" t="s">
        <v>190</v>
      </c>
      <c r="CI765" s="319" t="s">
        <v>190</v>
      </c>
      <c r="CJ765" s="319" t="s">
        <v>190</v>
      </c>
      <c r="CK765" s="319" t="s">
        <v>190</v>
      </c>
      <c r="CL765" s="319" t="s">
        <v>190</v>
      </c>
      <c r="CM765" s="319" t="s">
        <v>190</v>
      </c>
      <c r="CN765" s="319" t="s">
        <v>190</v>
      </c>
      <c r="CO765" s="319" t="s">
        <v>190</v>
      </c>
      <c r="CP765" s="319" t="s">
        <v>190</v>
      </c>
      <c r="CQ765" s="319" t="s">
        <v>190</v>
      </c>
      <c r="CR765" s="319" t="s">
        <v>190</v>
      </c>
      <c r="CS765" s="319" t="s">
        <v>190</v>
      </c>
      <c r="CT765" s="319" t="s">
        <v>190</v>
      </c>
      <c r="CU765" s="319" t="s">
        <v>190</v>
      </c>
      <c r="CV765" s="319" t="s">
        <v>190</v>
      </c>
      <c r="CW765" s="319" t="s">
        <v>190</v>
      </c>
      <c r="CX765" s="319" t="s">
        <v>190</v>
      </c>
      <c r="CY765" s="319" t="s">
        <v>190</v>
      </c>
      <c r="CZ765" s="319" t="s">
        <v>190</v>
      </c>
      <c r="DA765" s="319" t="s">
        <v>190</v>
      </c>
      <c r="DB765" s="319" t="s">
        <v>190</v>
      </c>
      <c r="DC765" s="319" t="s">
        <v>190</v>
      </c>
      <c r="DD765" s="319" t="s">
        <v>190</v>
      </c>
      <c r="DE765" s="319" t="s">
        <v>190</v>
      </c>
      <c r="DF765" s="319" t="s">
        <v>190</v>
      </c>
      <c r="DG765" s="319" t="s">
        <v>190</v>
      </c>
      <c r="DH765" s="319" t="s">
        <v>190</v>
      </c>
      <c r="DI765" s="319" t="s">
        <v>190</v>
      </c>
      <c r="DJ765" s="319" t="s">
        <v>190</v>
      </c>
      <c r="DK765" s="319" t="s">
        <v>190</v>
      </c>
      <c r="DL765" s="319" t="s">
        <v>190</v>
      </c>
      <c r="DM765" s="319" t="s">
        <v>190</v>
      </c>
      <c r="DN765" s="319" t="s">
        <v>190</v>
      </c>
      <c r="DO765" s="319" t="s">
        <v>190</v>
      </c>
      <c r="DP765" s="319" t="s">
        <v>428</v>
      </c>
      <c r="DQ765" s="319" t="s">
        <v>428</v>
      </c>
      <c r="DR765" s="319" t="s">
        <v>428</v>
      </c>
      <c r="DS765" s="319" t="s">
        <v>428</v>
      </c>
      <c r="DT765" s="319" t="s">
        <v>428</v>
      </c>
      <c r="DU765" s="319" t="s">
        <v>428</v>
      </c>
      <c r="DV765" s="319" t="s">
        <v>173</v>
      </c>
      <c r="DW765" s="319" t="s">
        <v>428</v>
      </c>
      <c r="DX765" s="319" t="s">
        <v>428</v>
      </c>
      <c r="DY765" s="319" t="s">
        <v>428</v>
      </c>
      <c r="DZ765" s="319" t="s">
        <v>428</v>
      </c>
      <c r="EA765" s="319" t="s">
        <v>428</v>
      </c>
      <c r="EB765" s="319" t="s">
        <v>428</v>
      </c>
      <c r="EC765" s="319" t="s">
        <v>428</v>
      </c>
      <c r="ED765" s="319" t="s">
        <v>428</v>
      </c>
      <c r="EE765" s="319" t="s">
        <v>190</v>
      </c>
      <c r="EF765" s="319" t="s">
        <v>190</v>
      </c>
      <c r="EG765" s="319" t="s">
        <v>190</v>
      </c>
      <c r="EH765" s="319" t="s">
        <v>190</v>
      </c>
      <c r="EI765" s="319" t="s">
        <v>190</v>
      </c>
      <c r="EJ765" s="319" t="s">
        <v>190</v>
      </c>
      <c r="EK765" s="319" t="s">
        <v>190</v>
      </c>
      <c r="EL765" s="319" t="s">
        <v>190</v>
      </c>
      <c r="EM765" s="319" t="s">
        <v>190</v>
      </c>
      <c r="EN765" s="319" t="s">
        <v>190</v>
      </c>
      <c r="EO765" s="319" t="s">
        <v>190</v>
      </c>
      <c r="EP765" s="319" t="s">
        <v>190</v>
      </c>
      <c r="EQ765" s="319" t="s">
        <v>190</v>
      </c>
      <c r="ER765" s="319" t="s">
        <v>190</v>
      </c>
      <c r="ES765" s="319" t="s">
        <v>190</v>
      </c>
      <c r="ET765" s="319" t="s">
        <v>190</v>
      </c>
      <c r="EU765" s="319" t="s">
        <v>190</v>
      </c>
      <c r="EV765" s="319" t="s">
        <v>190</v>
      </c>
      <c r="EW765" s="319" t="s">
        <v>190</v>
      </c>
      <c r="EX765" s="319" t="s">
        <v>190</v>
      </c>
      <c r="EY765" s="319" t="s">
        <v>190</v>
      </c>
      <c r="EZ765" s="319" t="s">
        <v>190</v>
      </c>
      <c r="FA765" s="319" t="s">
        <v>190</v>
      </c>
      <c r="FB765" s="319" t="s">
        <v>428</v>
      </c>
      <c r="FC765" s="319" t="s">
        <v>428</v>
      </c>
      <c r="FD765" s="319" t="s">
        <v>428</v>
      </c>
      <c r="FE765" s="319" t="s">
        <v>428</v>
      </c>
      <c r="FF765" s="319" t="s">
        <v>428</v>
      </c>
      <c r="FG765" s="319" t="s">
        <v>428</v>
      </c>
      <c r="FH765" s="319" t="s">
        <v>428</v>
      </c>
      <c r="FI765" s="319" t="s">
        <v>428</v>
      </c>
      <c r="FJ765" s="319" t="s">
        <v>429</v>
      </c>
      <c r="FK765" s="319" t="s">
        <v>428</v>
      </c>
      <c r="FL765" s="319" t="s">
        <v>190</v>
      </c>
      <c r="FM765" s="319" t="s">
        <v>190</v>
      </c>
      <c r="FN765" s="319" t="s">
        <v>428</v>
      </c>
      <c r="FO765" s="319" t="s">
        <v>190</v>
      </c>
      <c r="FP765" s="319" t="s">
        <v>190</v>
      </c>
      <c r="FQ765" s="319" t="s">
        <v>190</v>
      </c>
      <c r="FR765" s="319" t="s">
        <v>190</v>
      </c>
      <c r="FS765" s="319" t="s">
        <v>428</v>
      </c>
      <c r="FT765" s="319" t="s">
        <v>190</v>
      </c>
      <c r="FU765" s="319" t="s">
        <v>190</v>
      </c>
      <c r="FV765" s="319" t="s">
        <v>190</v>
      </c>
      <c r="FW765" s="319" t="s">
        <v>190</v>
      </c>
      <c r="FX765" s="319" t="s">
        <v>190</v>
      </c>
      <c r="FY765" s="319" t="s">
        <v>190</v>
      </c>
      <c r="FZ765" s="319" t="s">
        <v>190</v>
      </c>
      <c r="GA765" s="319" t="s">
        <v>190</v>
      </c>
      <c r="GB765" s="319" t="s">
        <v>190</v>
      </c>
      <c r="GC765" s="319" t="s">
        <v>190</v>
      </c>
      <c r="GD765" s="319" t="s">
        <v>190</v>
      </c>
      <c r="GE765" s="319" t="s">
        <v>190</v>
      </c>
      <c r="GF765" s="319" t="s">
        <v>190</v>
      </c>
      <c r="GG765" s="319" t="s">
        <v>190</v>
      </c>
      <c r="GH765" s="319" t="s">
        <v>190</v>
      </c>
      <c r="GI765" s="319" t="s">
        <v>190</v>
      </c>
      <c r="GJ765" s="319" t="s">
        <v>190</v>
      </c>
      <c r="GK765" s="319" t="s">
        <v>428</v>
      </c>
      <c r="GL765" s="319" t="s">
        <v>190</v>
      </c>
      <c r="GM765" s="319" t="s">
        <v>190</v>
      </c>
      <c r="GN765" s="319" t="s">
        <v>190</v>
      </c>
      <c r="GO765" s="319" t="s">
        <v>190</v>
      </c>
      <c r="GP765" s="319" t="s">
        <v>190</v>
      </c>
      <c r="GQ765" s="319" t="s">
        <v>190</v>
      </c>
      <c r="GR765" s="319" t="s">
        <v>190</v>
      </c>
      <c r="GS765" s="319" t="s">
        <v>190</v>
      </c>
      <c r="GT765" s="319" t="s">
        <v>428</v>
      </c>
      <c r="GU765" s="319" t="s">
        <v>428</v>
      </c>
      <c r="GV765" s="319" t="s">
        <v>190</v>
      </c>
      <c r="GW765" s="319" t="s">
        <v>190</v>
      </c>
      <c r="GX765" s="319" t="s">
        <v>190</v>
      </c>
      <c r="GY765" s="319" t="s">
        <v>190</v>
      </c>
      <c r="GZ765" s="319" t="s">
        <v>190</v>
      </c>
      <c r="HA765" s="319" t="s">
        <v>190</v>
      </c>
      <c r="HB765" s="319" t="s">
        <v>190</v>
      </c>
      <c r="HC765" s="319" t="s">
        <v>190</v>
      </c>
      <c r="HD765" s="319" t="s">
        <v>190</v>
      </c>
      <c r="HE765" s="319" t="s">
        <v>190</v>
      </c>
      <c r="HF765" s="319" t="s">
        <v>428</v>
      </c>
      <c r="HG765" s="319" t="s">
        <v>190</v>
      </c>
      <c r="HH765" s="319" t="s">
        <v>190</v>
      </c>
      <c r="HI765" s="319" t="s">
        <v>190</v>
      </c>
      <c r="HJ765" s="319" t="s">
        <v>190</v>
      </c>
      <c r="HK765" s="319" t="s">
        <v>190</v>
      </c>
      <c r="HL765" s="319" t="s">
        <v>190</v>
      </c>
      <c r="HM765" s="319" t="s">
        <v>190</v>
      </c>
      <c r="HN765" s="319" t="s">
        <v>190</v>
      </c>
      <c r="HO765" s="319" t="s">
        <v>190</v>
      </c>
      <c r="HP765" s="319" t="s">
        <v>190</v>
      </c>
      <c r="HQ765" s="319" t="s">
        <v>190</v>
      </c>
      <c r="HR765" s="319" t="s">
        <v>190</v>
      </c>
      <c r="HS765" s="319" t="s">
        <v>190</v>
      </c>
      <c r="HT765" s="319" t="s">
        <v>190</v>
      </c>
      <c r="HU765" s="319" t="s">
        <v>190</v>
      </c>
      <c r="HV765" s="319" t="s">
        <v>190</v>
      </c>
      <c r="HW765" s="319" t="s">
        <v>190</v>
      </c>
      <c r="HX765" s="319" t="s">
        <v>190</v>
      </c>
      <c r="HY765" s="319" t="s">
        <v>190</v>
      </c>
      <c r="HZ765" s="319" t="s">
        <v>190</v>
      </c>
      <c r="IA765" s="319" t="s">
        <v>190</v>
      </c>
      <c r="IB765" s="319" t="s">
        <v>190</v>
      </c>
      <c r="IC765" s="319" t="s">
        <v>190</v>
      </c>
      <c r="ID765" s="319" t="s">
        <v>190</v>
      </c>
      <c r="IE765" s="319" t="s">
        <v>190</v>
      </c>
      <c r="IF765" s="319" t="s">
        <v>191</v>
      </c>
      <c r="IG765" s="319" t="s">
        <v>191</v>
      </c>
      <c r="IH765" s="319" t="s">
        <v>191</v>
      </c>
      <c r="II765" s="319" t="s">
        <v>191</v>
      </c>
      <c r="IJ765" s="319" t="s">
        <v>3503</v>
      </c>
      <c r="IK765" s="321">
        <v>41975</v>
      </c>
      <c r="IL765" s="321">
        <v>41977</v>
      </c>
      <c r="IM765" s="321">
        <v>42053</v>
      </c>
      <c r="IN765" s="319">
        <v>3</v>
      </c>
      <c r="IO765" s="319">
        <v>10099820</v>
      </c>
      <c r="IP765" s="319" t="s">
        <v>985</v>
      </c>
      <c r="IQ765" s="321">
        <v>43557</v>
      </c>
      <c r="IR765" s="320" t="s">
        <v>1223</v>
      </c>
      <c r="IS765" s="322">
        <v>43594</v>
      </c>
      <c r="IT765" s="319" t="s">
        <v>166</v>
      </c>
    </row>
    <row r="766" spans="1:254" s="271" customFormat="1" x14ac:dyDescent="0.25">
      <c r="A766" s="318" t="str">
        <f>HYPERLINK("http://www.ofsted.gov.uk/inspection-reports/find-inspection-report/provider/ELS/140496 ","Ofsted School Webpage")</f>
        <v>Ofsted School Webpage</v>
      </c>
      <c r="B766" s="319">
        <v>140496</v>
      </c>
      <c r="C766" s="319">
        <v>3156006</v>
      </c>
      <c r="D766" s="319" t="s">
        <v>1192</v>
      </c>
      <c r="E766" s="319" t="s">
        <v>167</v>
      </c>
      <c r="F766" s="319" t="s">
        <v>81</v>
      </c>
      <c r="G766" s="319" t="s">
        <v>81</v>
      </c>
      <c r="H766" s="319" t="s">
        <v>81</v>
      </c>
      <c r="I766" s="319" t="s">
        <v>78</v>
      </c>
      <c r="J766" s="319" t="s">
        <v>424</v>
      </c>
      <c r="K766" s="319" t="s">
        <v>441</v>
      </c>
      <c r="L766" s="319" t="s">
        <v>441</v>
      </c>
      <c r="M766" s="319" t="s">
        <v>1193</v>
      </c>
      <c r="N766" s="319" t="s">
        <v>2905</v>
      </c>
      <c r="O766" s="319" t="s">
        <v>1194</v>
      </c>
      <c r="P766" s="319">
        <v>15</v>
      </c>
      <c r="Q766" s="319" t="s">
        <v>2766</v>
      </c>
      <c r="R766" s="320">
        <v>10096201</v>
      </c>
      <c r="S766" s="321">
        <v>43648</v>
      </c>
      <c r="T766" s="321">
        <v>43650</v>
      </c>
      <c r="U766" s="321">
        <v>43667</v>
      </c>
      <c r="V766" s="319" t="s">
        <v>425</v>
      </c>
      <c r="W766" s="319" t="s">
        <v>2767</v>
      </c>
      <c r="X766" s="319">
        <v>2</v>
      </c>
      <c r="Y766" s="319" t="s">
        <v>173</v>
      </c>
      <c r="Z766" s="319" t="s">
        <v>173</v>
      </c>
      <c r="AA766" s="319" t="s">
        <v>173</v>
      </c>
      <c r="AB766" s="319">
        <v>2</v>
      </c>
      <c r="AC766" s="319" t="s">
        <v>169</v>
      </c>
      <c r="AD766" s="319" t="s">
        <v>173</v>
      </c>
      <c r="AE766" s="319" t="s">
        <v>173</v>
      </c>
      <c r="AF766" s="319" t="s">
        <v>427</v>
      </c>
      <c r="AG766" s="319" t="s">
        <v>171</v>
      </c>
      <c r="AH766" s="319" t="s">
        <v>190</v>
      </c>
      <c r="AI766" s="319" t="s">
        <v>190</v>
      </c>
      <c r="AJ766" s="319" t="s">
        <v>190</v>
      </c>
      <c r="AK766" s="319" t="s">
        <v>190</v>
      </c>
      <c r="AL766" s="319" t="s">
        <v>190</v>
      </c>
      <c r="AM766" s="319" t="s">
        <v>190</v>
      </c>
      <c r="AN766" s="319" t="s">
        <v>190</v>
      </c>
      <c r="AO766" s="319" t="s">
        <v>190</v>
      </c>
      <c r="AP766" s="319" t="s">
        <v>190</v>
      </c>
      <c r="AQ766" s="319" t="s">
        <v>190</v>
      </c>
      <c r="AR766" s="319" t="s">
        <v>190</v>
      </c>
      <c r="AS766" s="319" t="s">
        <v>190</v>
      </c>
      <c r="AT766" s="319" t="s">
        <v>190</v>
      </c>
      <c r="AU766" s="319" t="s">
        <v>190</v>
      </c>
      <c r="AV766" s="319" t="s">
        <v>190</v>
      </c>
      <c r="AW766" s="319" t="s">
        <v>190</v>
      </c>
      <c r="AX766" s="319" t="s">
        <v>428</v>
      </c>
      <c r="AY766" s="319" t="s">
        <v>190</v>
      </c>
      <c r="AZ766" s="319" t="s">
        <v>190</v>
      </c>
      <c r="BA766" s="319" t="s">
        <v>190</v>
      </c>
      <c r="BB766" s="319" t="s">
        <v>190</v>
      </c>
      <c r="BC766" s="319" t="s">
        <v>190</v>
      </c>
      <c r="BD766" s="319" t="s">
        <v>190</v>
      </c>
      <c r="BE766" s="319" t="s">
        <v>190</v>
      </c>
      <c r="BF766" s="319" t="s">
        <v>428</v>
      </c>
      <c r="BG766" s="319" t="s">
        <v>428</v>
      </c>
      <c r="BH766" s="319" t="s">
        <v>190</v>
      </c>
      <c r="BI766" s="319" t="s">
        <v>190</v>
      </c>
      <c r="BJ766" s="319" t="s">
        <v>190</v>
      </c>
      <c r="BK766" s="319" t="s">
        <v>190</v>
      </c>
      <c r="BL766" s="319" t="s">
        <v>190</v>
      </c>
      <c r="BM766" s="319" t="s">
        <v>190</v>
      </c>
      <c r="BN766" s="319" t="s">
        <v>190</v>
      </c>
      <c r="BO766" s="319" t="s">
        <v>190</v>
      </c>
      <c r="BP766" s="319" t="s">
        <v>190</v>
      </c>
      <c r="BQ766" s="319" t="s">
        <v>190</v>
      </c>
      <c r="BR766" s="319" t="s">
        <v>190</v>
      </c>
      <c r="BS766" s="319" t="s">
        <v>190</v>
      </c>
      <c r="BT766" s="319" t="s">
        <v>190</v>
      </c>
      <c r="BU766" s="319" t="s">
        <v>190</v>
      </c>
      <c r="BV766" s="319" t="s">
        <v>190</v>
      </c>
      <c r="BW766" s="319" t="s">
        <v>190</v>
      </c>
      <c r="BX766" s="319" t="s">
        <v>190</v>
      </c>
      <c r="BY766" s="319" t="s">
        <v>190</v>
      </c>
      <c r="BZ766" s="319" t="s">
        <v>190</v>
      </c>
      <c r="CA766" s="319" t="s">
        <v>190</v>
      </c>
      <c r="CB766" s="319" t="s">
        <v>190</v>
      </c>
      <c r="CC766" s="319" t="s">
        <v>190</v>
      </c>
      <c r="CD766" s="319" t="s">
        <v>190</v>
      </c>
      <c r="CE766" s="319" t="s">
        <v>190</v>
      </c>
      <c r="CF766" s="319" t="s">
        <v>190</v>
      </c>
      <c r="CG766" s="319" t="s">
        <v>190</v>
      </c>
      <c r="CH766" s="319" t="s">
        <v>190</v>
      </c>
      <c r="CI766" s="319" t="s">
        <v>190</v>
      </c>
      <c r="CJ766" s="319" t="s">
        <v>190</v>
      </c>
      <c r="CK766" s="319" t="s">
        <v>190</v>
      </c>
      <c r="CL766" s="319" t="s">
        <v>190</v>
      </c>
      <c r="CM766" s="319" t="s">
        <v>190</v>
      </c>
      <c r="CN766" s="319" t="s">
        <v>428</v>
      </c>
      <c r="CO766" s="319" t="s">
        <v>428</v>
      </c>
      <c r="CP766" s="319" t="s">
        <v>428</v>
      </c>
      <c r="CQ766" s="319" t="s">
        <v>190</v>
      </c>
      <c r="CR766" s="319" t="s">
        <v>190</v>
      </c>
      <c r="CS766" s="319" t="s">
        <v>190</v>
      </c>
      <c r="CT766" s="319" t="s">
        <v>190</v>
      </c>
      <c r="CU766" s="319" t="s">
        <v>190</v>
      </c>
      <c r="CV766" s="319" t="s">
        <v>190</v>
      </c>
      <c r="CW766" s="319" t="s">
        <v>190</v>
      </c>
      <c r="CX766" s="319" t="s">
        <v>190</v>
      </c>
      <c r="CY766" s="319" t="s">
        <v>190</v>
      </c>
      <c r="CZ766" s="319" t="s">
        <v>190</v>
      </c>
      <c r="DA766" s="319" t="s">
        <v>190</v>
      </c>
      <c r="DB766" s="319" t="s">
        <v>190</v>
      </c>
      <c r="DC766" s="319" t="s">
        <v>190</v>
      </c>
      <c r="DD766" s="319" t="s">
        <v>190</v>
      </c>
      <c r="DE766" s="319" t="s">
        <v>190</v>
      </c>
      <c r="DF766" s="319" t="s">
        <v>190</v>
      </c>
      <c r="DG766" s="319" t="s">
        <v>190</v>
      </c>
      <c r="DH766" s="319" t="s">
        <v>190</v>
      </c>
      <c r="DI766" s="319" t="s">
        <v>190</v>
      </c>
      <c r="DJ766" s="319" t="s">
        <v>190</v>
      </c>
      <c r="DK766" s="319" t="s">
        <v>190</v>
      </c>
      <c r="DL766" s="319" t="s">
        <v>190</v>
      </c>
      <c r="DM766" s="319" t="s">
        <v>190</v>
      </c>
      <c r="DN766" s="319" t="s">
        <v>428</v>
      </c>
      <c r="DO766" s="319" t="s">
        <v>190</v>
      </c>
      <c r="DP766" s="319" t="s">
        <v>428</v>
      </c>
      <c r="DQ766" s="319" t="s">
        <v>428</v>
      </c>
      <c r="DR766" s="319" t="s">
        <v>428</v>
      </c>
      <c r="DS766" s="319" t="s">
        <v>428</v>
      </c>
      <c r="DT766" s="319" t="s">
        <v>428</v>
      </c>
      <c r="DU766" s="319" t="s">
        <v>428</v>
      </c>
      <c r="DV766" s="319" t="s">
        <v>173</v>
      </c>
      <c r="DW766" s="319" t="s">
        <v>428</v>
      </c>
      <c r="DX766" s="319" t="s">
        <v>428</v>
      </c>
      <c r="DY766" s="319" t="s">
        <v>428</v>
      </c>
      <c r="DZ766" s="319" t="s">
        <v>428</v>
      </c>
      <c r="EA766" s="319" t="s">
        <v>428</v>
      </c>
      <c r="EB766" s="319" t="s">
        <v>428</v>
      </c>
      <c r="EC766" s="319" t="s">
        <v>428</v>
      </c>
      <c r="ED766" s="319" t="s">
        <v>428</v>
      </c>
      <c r="EE766" s="319" t="s">
        <v>190</v>
      </c>
      <c r="EF766" s="319" t="s">
        <v>190</v>
      </c>
      <c r="EG766" s="319" t="s">
        <v>190</v>
      </c>
      <c r="EH766" s="319" t="s">
        <v>190</v>
      </c>
      <c r="EI766" s="319" t="s">
        <v>190</v>
      </c>
      <c r="EJ766" s="319" t="s">
        <v>190</v>
      </c>
      <c r="EK766" s="319" t="s">
        <v>190</v>
      </c>
      <c r="EL766" s="319" t="s">
        <v>190</v>
      </c>
      <c r="EM766" s="319" t="s">
        <v>190</v>
      </c>
      <c r="EN766" s="319" t="s">
        <v>190</v>
      </c>
      <c r="EO766" s="319" t="s">
        <v>190</v>
      </c>
      <c r="EP766" s="319" t="s">
        <v>190</v>
      </c>
      <c r="EQ766" s="319" t="s">
        <v>190</v>
      </c>
      <c r="ER766" s="319" t="s">
        <v>190</v>
      </c>
      <c r="ES766" s="319" t="s">
        <v>190</v>
      </c>
      <c r="ET766" s="319" t="s">
        <v>190</v>
      </c>
      <c r="EU766" s="319" t="s">
        <v>190</v>
      </c>
      <c r="EV766" s="319" t="s">
        <v>190</v>
      </c>
      <c r="EW766" s="319" t="s">
        <v>190</v>
      </c>
      <c r="EX766" s="319" t="s">
        <v>190</v>
      </c>
      <c r="EY766" s="319" t="s">
        <v>190</v>
      </c>
      <c r="EZ766" s="319" t="s">
        <v>190</v>
      </c>
      <c r="FA766" s="319" t="s">
        <v>428</v>
      </c>
      <c r="FB766" s="319" t="s">
        <v>428</v>
      </c>
      <c r="FC766" s="319" t="s">
        <v>428</v>
      </c>
      <c r="FD766" s="319" t="s">
        <v>428</v>
      </c>
      <c r="FE766" s="319" t="s">
        <v>428</v>
      </c>
      <c r="FF766" s="319" t="s">
        <v>428</v>
      </c>
      <c r="FG766" s="319" t="s">
        <v>428</v>
      </c>
      <c r="FH766" s="319" t="s">
        <v>190</v>
      </c>
      <c r="FI766" s="319" t="s">
        <v>428</v>
      </c>
      <c r="FJ766" s="319" t="s">
        <v>429</v>
      </c>
      <c r="FK766" s="319" t="s">
        <v>428</v>
      </c>
      <c r="FL766" s="319" t="s">
        <v>190</v>
      </c>
      <c r="FM766" s="319" t="s">
        <v>190</v>
      </c>
      <c r="FN766" s="319" t="s">
        <v>190</v>
      </c>
      <c r="FO766" s="319" t="s">
        <v>584</v>
      </c>
      <c r="FP766" s="319" t="s">
        <v>190</v>
      </c>
      <c r="FQ766" s="319" t="s">
        <v>190</v>
      </c>
      <c r="FR766" s="319" t="s">
        <v>190</v>
      </c>
      <c r="FS766" s="319" t="s">
        <v>428</v>
      </c>
      <c r="FT766" s="319" t="s">
        <v>190</v>
      </c>
      <c r="FU766" s="319" t="s">
        <v>190</v>
      </c>
      <c r="FV766" s="319" t="s">
        <v>190</v>
      </c>
      <c r="FW766" s="319" t="s">
        <v>190</v>
      </c>
      <c r="FX766" s="319" t="s">
        <v>190</v>
      </c>
      <c r="FY766" s="319" t="s">
        <v>190</v>
      </c>
      <c r="FZ766" s="319" t="s">
        <v>190</v>
      </c>
      <c r="GA766" s="319" t="s">
        <v>190</v>
      </c>
      <c r="GB766" s="319" t="s">
        <v>190</v>
      </c>
      <c r="GC766" s="319" t="s">
        <v>190</v>
      </c>
      <c r="GD766" s="319" t="s">
        <v>190</v>
      </c>
      <c r="GE766" s="319" t="s">
        <v>190</v>
      </c>
      <c r="GF766" s="319" t="s">
        <v>190</v>
      </c>
      <c r="GG766" s="319" t="s">
        <v>190</v>
      </c>
      <c r="GH766" s="319" t="s">
        <v>190</v>
      </c>
      <c r="GI766" s="319" t="s">
        <v>190</v>
      </c>
      <c r="GJ766" s="319" t="s">
        <v>190</v>
      </c>
      <c r="GK766" s="319" t="s">
        <v>428</v>
      </c>
      <c r="GL766" s="319" t="s">
        <v>190</v>
      </c>
      <c r="GM766" s="319" t="s">
        <v>190</v>
      </c>
      <c r="GN766" s="319" t="s">
        <v>190</v>
      </c>
      <c r="GO766" s="319" t="s">
        <v>190</v>
      </c>
      <c r="GP766" s="319" t="s">
        <v>190</v>
      </c>
      <c r="GQ766" s="319" t="s">
        <v>190</v>
      </c>
      <c r="GR766" s="319" t="s">
        <v>190</v>
      </c>
      <c r="GS766" s="319" t="s">
        <v>190</v>
      </c>
      <c r="GT766" s="319" t="s">
        <v>190</v>
      </c>
      <c r="GU766" s="319" t="s">
        <v>190</v>
      </c>
      <c r="GV766" s="319" t="s">
        <v>190</v>
      </c>
      <c r="GW766" s="319" t="s">
        <v>190</v>
      </c>
      <c r="GX766" s="319" t="s">
        <v>190</v>
      </c>
      <c r="GY766" s="319" t="s">
        <v>190</v>
      </c>
      <c r="GZ766" s="319" t="s">
        <v>190</v>
      </c>
      <c r="HA766" s="319" t="s">
        <v>428</v>
      </c>
      <c r="HB766" s="319" t="s">
        <v>190</v>
      </c>
      <c r="HC766" s="319" t="s">
        <v>190</v>
      </c>
      <c r="HD766" s="319" t="s">
        <v>190</v>
      </c>
      <c r="HE766" s="319" t="s">
        <v>190</v>
      </c>
      <c r="HF766" s="319" t="s">
        <v>190</v>
      </c>
      <c r="HG766" s="319" t="s">
        <v>190</v>
      </c>
      <c r="HH766" s="319" t="s">
        <v>190</v>
      </c>
      <c r="HI766" s="319" t="s">
        <v>190</v>
      </c>
      <c r="HJ766" s="319" t="s">
        <v>190</v>
      </c>
      <c r="HK766" s="319" t="s">
        <v>190</v>
      </c>
      <c r="HL766" s="319" t="s">
        <v>190</v>
      </c>
      <c r="HM766" s="319" t="s">
        <v>428</v>
      </c>
      <c r="HN766" s="319" t="s">
        <v>428</v>
      </c>
      <c r="HO766" s="319" t="s">
        <v>428</v>
      </c>
      <c r="HP766" s="319" t="s">
        <v>190</v>
      </c>
      <c r="HQ766" s="319" t="s">
        <v>190</v>
      </c>
      <c r="HR766" s="319" t="s">
        <v>190</v>
      </c>
      <c r="HS766" s="319" t="s">
        <v>190</v>
      </c>
      <c r="HT766" s="319" t="s">
        <v>190</v>
      </c>
      <c r="HU766" s="319" t="s">
        <v>190</v>
      </c>
      <c r="HV766" s="319" t="s">
        <v>190</v>
      </c>
      <c r="HW766" s="319" t="s">
        <v>190</v>
      </c>
      <c r="HX766" s="319" t="s">
        <v>190</v>
      </c>
      <c r="HY766" s="319" t="s">
        <v>190</v>
      </c>
      <c r="HZ766" s="319" t="s">
        <v>190</v>
      </c>
      <c r="IA766" s="319" t="s">
        <v>190</v>
      </c>
      <c r="IB766" s="319" t="s">
        <v>190</v>
      </c>
      <c r="IC766" s="319" t="s">
        <v>190</v>
      </c>
      <c r="ID766" s="319" t="s">
        <v>190</v>
      </c>
      <c r="IE766" s="319" t="s">
        <v>190</v>
      </c>
      <c r="IF766" s="319" t="s">
        <v>190</v>
      </c>
      <c r="IG766" s="319" t="s">
        <v>190</v>
      </c>
      <c r="IH766" s="319" t="s">
        <v>190</v>
      </c>
      <c r="II766" s="319" t="s">
        <v>190</v>
      </c>
      <c r="IJ766" s="319">
        <v>10038179</v>
      </c>
      <c r="IK766" s="321">
        <v>43277</v>
      </c>
      <c r="IL766" s="321">
        <v>43279</v>
      </c>
      <c r="IM766" s="321">
        <v>43411</v>
      </c>
      <c r="IN766" s="319">
        <v>4</v>
      </c>
      <c r="IO766" s="319" t="s">
        <v>173</v>
      </c>
      <c r="IP766" s="319" t="s">
        <v>173</v>
      </c>
      <c r="IQ766" s="321" t="s">
        <v>173</v>
      </c>
      <c r="IR766" s="320" t="s">
        <v>173</v>
      </c>
      <c r="IS766" s="322" t="s">
        <v>173</v>
      </c>
      <c r="IT766" s="319" t="s">
        <v>173</v>
      </c>
    </row>
    <row r="767" spans="1:254" s="271" customFormat="1" x14ac:dyDescent="0.25">
      <c r="A767" s="318" t="str">
        <f>HYPERLINK("http://www.ofsted.gov.uk/inspection-reports/find-inspection-report/provider/ELS/140566 ","Ofsted School Webpage")</f>
        <v>Ofsted School Webpage</v>
      </c>
      <c r="B767" s="319">
        <v>140566</v>
      </c>
      <c r="C767" s="319">
        <v>3806009</v>
      </c>
      <c r="D767" s="319" t="s">
        <v>3504</v>
      </c>
      <c r="E767" s="319" t="s">
        <v>168</v>
      </c>
      <c r="F767" s="319" t="s">
        <v>81</v>
      </c>
      <c r="G767" s="319" t="s">
        <v>81</v>
      </c>
      <c r="H767" s="319" t="s">
        <v>81</v>
      </c>
      <c r="I767" s="319" t="s">
        <v>78</v>
      </c>
      <c r="J767" s="319" t="s">
        <v>424</v>
      </c>
      <c r="K767" s="319" t="s">
        <v>458</v>
      </c>
      <c r="L767" s="319" t="s">
        <v>459</v>
      </c>
      <c r="M767" s="319" t="s">
        <v>595</v>
      </c>
      <c r="N767" s="319" t="s">
        <v>3181</v>
      </c>
      <c r="O767" s="319" t="s">
        <v>2259</v>
      </c>
      <c r="P767" s="319">
        <v>35</v>
      </c>
      <c r="Q767" s="319" t="s">
        <v>429</v>
      </c>
      <c r="R767" s="320">
        <v>10093653</v>
      </c>
      <c r="S767" s="321">
        <v>43655</v>
      </c>
      <c r="T767" s="321">
        <v>43657</v>
      </c>
      <c r="U767" s="321">
        <v>43716</v>
      </c>
      <c r="V767" s="319" t="s">
        <v>425</v>
      </c>
      <c r="W767" s="319" t="s">
        <v>2767</v>
      </c>
      <c r="X767" s="319">
        <v>2</v>
      </c>
      <c r="Y767" s="319" t="s">
        <v>173</v>
      </c>
      <c r="Z767" s="319" t="s">
        <v>173</v>
      </c>
      <c r="AA767" s="319" t="s">
        <v>173</v>
      </c>
      <c r="AB767" s="319">
        <v>2</v>
      </c>
      <c r="AC767" s="319" t="s">
        <v>169</v>
      </c>
      <c r="AD767" s="319" t="s">
        <v>173</v>
      </c>
      <c r="AE767" s="319" t="s">
        <v>173</v>
      </c>
      <c r="AF767" s="319" t="s">
        <v>427</v>
      </c>
      <c r="AG767" s="319" t="s">
        <v>171</v>
      </c>
      <c r="AH767" s="319" t="s">
        <v>190</v>
      </c>
      <c r="AI767" s="319" t="s">
        <v>190</v>
      </c>
      <c r="AJ767" s="319" t="s">
        <v>190</v>
      </c>
      <c r="AK767" s="319" t="s">
        <v>190</v>
      </c>
      <c r="AL767" s="319" t="s">
        <v>190</v>
      </c>
      <c r="AM767" s="319" t="s">
        <v>190</v>
      </c>
      <c r="AN767" s="319" t="s">
        <v>190</v>
      </c>
      <c r="AO767" s="319" t="s">
        <v>190</v>
      </c>
      <c r="AP767" s="319" t="s">
        <v>190</v>
      </c>
      <c r="AQ767" s="319" t="s">
        <v>190</v>
      </c>
      <c r="AR767" s="319" t="s">
        <v>190</v>
      </c>
      <c r="AS767" s="319" t="s">
        <v>190</v>
      </c>
      <c r="AT767" s="319" t="s">
        <v>190</v>
      </c>
      <c r="AU767" s="319" t="s">
        <v>190</v>
      </c>
      <c r="AV767" s="319" t="s">
        <v>190</v>
      </c>
      <c r="AW767" s="319" t="s">
        <v>190</v>
      </c>
      <c r="AX767" s="319" t="s">
        <v>428</v>
      </c>
      <c r="AY767" s="319" t="s">
        <v>190</v>
      </c>
      <c r="AZ767" s="319" t="s">
        <v>190</v>
      </c>
      <c r="BA767" s="319" t="s">
        <v>190</v>
      </c>
      <c r="BB767" s="319" t="s">
        <v>190</v>
      </c>
      <c r="BC767" s="319" t="s">
        <v>190</v>
      </c>
      <c r="BD767" s="319" t="s">
        <v>190</v>
      </c>
      <c r="BE767" s="319" t="s">
        <v>190</v>
      </c>
      <c r="BF767" s="319" t="s">
        <v>428</v>
      </c>
      <c r="BG767" s="319" t="s">
        <v>190</v>
      </c>
      <c r="BH767" s="319" t="s">
        <v>190</v>
      </c>
      <c r="BI767" s="319" t="s">
        <v>190</v>
      </c>
      <c r="BJ767" s="319" t="s">
        <v>190</v>
      </c>
      <c r="BK767" s="319" t="s">
        <v>190</v>
      </c>
      <c r="BL767" s="319" t="s">
        <v>190</v>
      </c>
      <c r="BM767" s="319" t="s">
        <v>190</v>
      </c>
      <c r="BN767" s="319" t="s">
        <v>190</v>
      </c>
      <c r="BO767" s="319" t="s">
        <v>190</v>
      </c>
      <c r="BP767" s="319" t="s">
        <v>190</v>
      </c>
      <c r="BQ767" s="319" t="s">
        <v>190</v>
      </c>
      <c r="BR767" s="319" t="s">
        <v>190</v>
      </c>
      <c r="BS767" s="319" t="s">
        <v>190</v>
      </c>
      <c r="BT767" s="319" t="s">
        <v>190</v>
      </c>
      <c r="BU767" s="319" t="s">
        <v>190</v>
      </c>
      <c r="BV767" s="319" t="s">
        <v>190</v>
      </c>
      <c r="BW767" s="319" t="s">
        <v>190</v>
      </c>
      <c r="BX767" s="319" t="s">
        <v>190</v>
      </c>
      <c r="BY767" s="319" t="s">
        <v>190</v>
      </c>
      <c r="BZ767" s="319" t="s">
        <v>190</v>
      </c>
      <c r="CA767" s="319" t="s">
        <v>190</v>
      </c>
      <c r="CB767" s="319" t="s">
        <v>190</v>
      </c>
      <c r="CC767" s="319" t="s">
        <v>190</v>
      </c>
      <c r="CD767" s="319" t="s">
        <v>190</v>
      </c>
      <c r="CE767" s="319" t="s">
        <v>190</v>
      </c>
      <c r="CF767" s="319" t="s">
        <v>190</v>
      </c>
      <c r="CG767" s="319" t="s">
        <v>190</v>
      </c>
      <c r="CH767" s="319" t="s">
        <v>190</v>
      </c>
      <c r="CI767" s="319" t="s">
        <v>190</v>
      </c>
      <c r="CJ767" s="319" t="s">
        <v>190</v>
      </c>
      <c r="CK767" s="319" t="s">
        <v>190</v>
      </c>
      <c r="CL767" s="319" t="s">
        <v>190</v>
      </c>
      <c r="CM767" s="319" t="s">
        <v>190</v>
      </c>
      <c r="CN767" s="319" t="s">
        <v>428</v>
      </c>
      <c r="CO767" s="319" t="s">
        <v>428</v>
      </c>
      <c r="CP767" s="319" t="s">
        <v>428</v>
      </c>
      <c r="CQ767" s="319" t="s">
        <v>190</v>
      </c>
      <c r="CR767" s="319" t="s">
        <v>190</v>
      </c>
      <c r="CS767" s="319" t="s">
        <v>190</v>
      </c>
      <c r="CT767" s="319" t="s">
        <v>190</v>
      </c>
      <c r="CU767" s="319" t="s">
        <v>190</v>
      </c>
      <c r="CV767" s="319" t="s">
        <v>190</v>
      </c>
      <c r="CW767" s="319" t="s">
        <v>190</v>
      </c>
      <c r="CX767" s="319" t="s">
        <v>190</v>
      </c>
      <c r="CY767" s="319" t="s">
        <v>190</v>
      </c>
      <c r="CZ767" s="319" t="s">
        <v>190</v>
      </c>
      <c r="DA767" s="319" t="s">
        <v>190</v>
      </c>
      <c r="DB767" s="319" t="s">
        <v>190</v>
      </c>
      <c r="DC767" s="319" t="s">
        <v>190</v>
      </c>
      <c r="DD767" s="319" t="s">
        <v>190</v>
      </c>
      <c r="DE767" s="319" t="s">
        <v>190</v>
      </c>
      <c r="DF767" s="319" t="s">
        <v>190</v>
      </c>
      <c r="DG767" s="319" t="s">
        <v>190</v>
      </c>
      <c r="DH767" s="319" t="s">
        <v>190</v>
      </c>
      <c r="DI767" s="319" t="s">
        <v>190</v>
      </c>
      <c r="DJ767" s="319" t="s">
        <v>190</v>
      </c>
      <c r="DK767" s="319" t="s">
        <v>190</v>
      </c>
      <c r="DL767" s="319" t="s">
        <v>190</v>
      </c>
      <c r="DM767" s="319" t="s">
        <v>190</v>
      </c>
      <c r="DN767" s="319" t="s">
        <v>428</v>
      </c>
      <c r="DO767" s="319" t="s">
        <v>190</v>
      </c>
      <c r="DP767" s="319" t="s">
        <v>428</v>
      </c>
      <c r="DQ767" s="319" t="s">
        <v>428</v>
      </c>
      <c r="DR767" s="319" t="s">
        <v>428</v>
      </c>
      <c r="DS767" s="319" t="s">
        <v>428</v>
      </c>
      <c r="DT767" s="319" t="s">
        <v>428</v>
      </c>
      <c r="DU767" s="319" t="s">
        <v>428</v>
      </c>
      <c r="DV767" s="319" t="s">
        <v>173</v>
      </c>
      <c r="DW767" s="319" t="s">
        <v>428</v>
      </c>
      <c r="DX767" s="319" t="s">
        <v>428</v>
      </c>
      <c r="DY767" s="319" t="s">
        <v>428</v>
      </c>
      <c r="DZ767" s="319" t="s">
        <v>428</v>
      </c>
      <c r="EA767" s="319" t="s">
        <v>428</v>
      </c>
      <c r="EB767" s="319" t="s">
        <v>428</v>
      </c>
      <c r="EC767" s="319" t="s">
        <v>428</v>
      </c>
      <c r="ED767" s="319" t="s">
        <v>428</v>
      </c>
      <c r="EE767" s="319" t="s">
        <v>190</v>
      </c>
      <c r="EF767" s="319" t="s">
        <v>190</v>
      </c>
      <c r="EG767" s="319" t="s">
        <v>190</v>
      </c>
      <c r="EH767" s="319" t="s">
        <v>190</v>
      </c>
      <c r="EI767" s="319" t="s">
        <v>190</v>
      </c>
      <c r="EJ767" s="319" t="s">
        <v>190</v>
      </c>
      <c r="EK767" s="319" t="s">
        <v>190</v>
      </c>
      <c r="EL767" s="319" t="s">
        <v>190</v>
      </c>
      <c r="EM767" s="319" t="s">
        <v>190</v>
      </c>
      <c r="EN767" s="319" t="s">
        <v>190</v>
      </c>
      <c r="EO767" s="319" t="s">
        <v>190</v>
      </c>
      <c r="EP767" s="319" t="s">
        <v>190</v>
      </c>
      <c r="EQ767" s="319" t="s">
        <v>190</v>
      </c>
      <c r="ER767" s="319" t="s">
        <v>190</v>
      </c>
      <c r="ES767" s="319" t="s">
        <v>190</v>
      </c>
      <c r="ET767" s="319" t="s">
        <v>190</v>
      </c>
      <c r="EU767" s="319" t="s">
        <v>190</v>
      </c>
      <c r="EV767" s="319" t="s">
        <v>190</v>
      </c>
      <c r="EW767" s="319" t="s">
        <v>190</v>
      </c>
      <c r="EX767" s="319" t="s">
        <v>190</v>
      </c>
      <c r="EY767" s="319" t="s">
        <v>190</v>
      </c>
      <c r="EZ767" s="319" t="s">
        <v>190</v>
      </c>
      <c r="FA767" s="319" t="s">
        <v>190</v>
      </c>
      <c r="FB767" s="319" t="s">
        <v>428</v>
      </c>
      <c r="FC767" s="319" t="s">
        <v>428</v>
      </c>
      <c r="FD767" s="319" t="s">
        <v>428</v>
      </c>
      <c r="FE767" s="319" t="s">
        <v>428</v>
      </c>
      <c r="FF767" s="319" t="s">
        <v>428</v>
      </c>
      <c r="FG767" s="319" t="s">
        <v>428</v>
      </c>
      <c r="FH767" s="319" t="s">
        <v>190</v>
      </c>
      <c r="FI767" s="319" t="s">
        <v>190</v>
      </c>
      <c r="FJ767" s="319" t="s">
        <v>190</v>
      </c>
      <c r="FK767" s="319" t="s">
        <v>190</v>
      </c>
      <c r="FL767" s="319" t="s">
        <v>190</v>
      </c>
      <c r="FM767" s="319" t="s">
        <v>190</v>
      </c>
      <c r="FN767" s="319" t="s">
        <v>190</v>
      </c>
      <c r="FO767" s="319" t="s">
        <v>190</v>
      </c>
      <c r="FP767" s="319" t="s">
        <v>190</v>
      </c>
      <c r="FQ767" s="319" t="s">
        <v>190</v>
      </c>
      <c r="FR767" s="319" t="s">
        <v>190</v>
      </c>
      <c r="FS767" s="319" t="s">
        <v>428</v>
      </c>
      <c r="FT767" s="319" t="s">
        <v>190</v>
      </c>
      <c r="FU767" s="319" t="s">
        <v>190</v>
      </c>
      <c r="FV767" s="319" t="s">
        <v>190</v>
      </c>
      <c r="FW767" s="319" t="s">
        <v>190</v>
      </c>
      <c r="FX767" s="319" t="s">
        <v>190</v>
      </c>
      <c r="FY767" s="319" t="s">
        <v>190</v>
      </c>
      <c r="FZ767" s="319" t="s">
        <v>190</v>
      </c>
      <c r="GA767" s="319" t="s">
        <v>190</v>
      </c>
      <c r="GB767" s="319" t="s">
        <v>190</v>
      </c>
      <c r="GC767" s="319" t="s">
        <v>190</v>
      </c>
      <c r="GD767" s="319" t="s">
        <v>190</v>
      </c>
      <c r="GE767" s="319" t="s">
        <v>190</v>
      </c>
      <c r="GF767" s="319" t="s">
        <v>190</v>
      </c>
      <c r="GG767" s="319" t="s">
        <v>190</v>
      </c>
      <c r="GH767" s="319" t="s">
        <v>190</v>
      </c>
      <c r="GI767" s="319" t="s">
        <v>190</v>
      </c>
      <c r="GJ767" s="319" t="s">
        <v>190</v>
      </c>
      <c r="GK767" s="319" t="s">
        <v>428</v>
      </c>
      <c r="GL767" s="319" t="s">
        <v>190</v>
      </c>
      <c r="GM767" s="319" t="s">
        <v>190</v>
      </c>
      <c r="GN767" s="319" t="s">
        <v>190</v>
      </c>
      <c r="GO767" s="319" t="s">
        <v>190</v>
      </c>
      <c r="GP767" s="319" t="s">
        <v>190</v>
      </c>
      <c r="GQ767" s="319" t="s">
        <v>428</v>
      </c>
      <c r="GR767" s="319" t="s">
        <v>190</v>
      </c>
      <c r="GS767" s="319" t="s">
        <v>190</v>
      </c>
      <c r="GT767" s="319" t="s">
        <v>190</v>
      </c>
      <c r="GU767" s="319" t="s">
        <v>190</v>
      </c>
      <c r="GV767" s="319" t="s">
        <v>428</v>
      </c>
      <c r="GW767" s="319" t="s">
        <v>190</v>
      </c>
      <c r="GX767" s="319" t="s">
        <v>190</v>
      </c>
      <c r="GY767" s="319" t="s">
        <v>190</v>
      </c>
      <c r="GZ767" s="319" t="s">
        <v>428</v>
      </c>
      <c r="HA767" s="319" t="s">
        <v>190</v>
      </c>
      <c r="HB767" s="319" t="s">
        <v>190</v>
      </c>
      <c r="HC767" s="319" t="s">
        <v>190</v>
      </c>
      <c r="HD767" s="319" t="s">
        <v>190</v>
      </c>
      <c r="HE767" s="319" t="s">
        <v>190</v>
      </c>
      <c r="HF767" s="319" t="s">
        <v>190</v>
      </c>
      <c r="HG767" s="319" t="s">
        <v>190</v>
      </c>
      <c r="HH767" s="319" t="s">
        <v>190</v>
      </c>
      <c r="HI767" s="319" t="s">
        <v>190</v>
      </c>
      <c r="HJ767" s="319" t="s">
        <v>190</v>
      </c>
      <c r="HK767" s="319" t="s">
        <v>190</v>
      </c>
      <c r="HL767" s="319" t="s">
        <v>428</v>
      </c>
      <c r="HM767" s="319" t="s">
        <v>428</v>
      </c>
      <c r="HN767" s="319" t="s">
        <v>428</v>
      </c>
      <c r="HO767" s="319" t="s">
        <v>428</v>
      </c>
      <c r="HP767" s="319" t="s">
        <v>190</v>
      </c>
      <c r="HQ767" s="319" t="s">
        <v>190</v>
      </c>
      <c r="HR767" s="319" t="s">
        <v>190</v>
      </c>
      <c r="HS767" s="319" t="s">
        <v>190</v>
      </c>
      <c r="HT767" s="319" t="s">
        <v>190</v>
      </c>
      <c r="HU767" s="319" t="s">
        <v>190</v>
      </c>
      <c r="HV767" s="319" t="s">
        <v>190</v>
      </c>
      <c r="HW767" s="319" t="s">
        <v>190</v>
      </c>
      <c r="HX767" s="319" t="s">
        <v>190</v>
      </c>
      <c r="HY767" s="319" t="s">
        <v>190</v>
      </c>
      <c r="HZ767" s="319" t="s">
        <v>190</v>
      </c>
      <c r="IA767" s="319" t="s">
        <v>190</v>
      </c>
      <c r="IB767" s="319" t="s">
        <v>190</v>
      </c>
      <c r="IC767" s="319" t="s">
        <v>190</v>
      </c>
      <c r="ID767" s="319" t="s">
        <v>190</v>
      </c>
      <c r="IE767" s="319" t="s">
        <v>190</v>
      </c>
      <c r="IF767" s="319" t="s">
        <v>190</v>
      </c>
      <c r="IG767" s="319" t="s">
        <v>190</v>
      </c>
      <c r="IH767" s="319" t="s">
        <v>190</v>
      </c>
      <c r="II767" s="319" t="s">
        <v>190</v>
      </c>
      <c r="IJ767" s="319">
        <v>10043658</v>
      </c>
      <c r="IK767" s="321">
        <v>43130</v>
      </c>
      <c r="IL767" s="321">
        <v>43132</v>
      </c>
      <c r="IM767" s="321">
        <v>43161</v>
      </c>
      <c r="IN767" s="319">
        <v>3</v>
      </c>
      <c r="IO767" s="319" t="s">
        <v>173</v>
      </c>
      <c r="IP767" s="319" t="s">
        <v>173</v>
      </c>
      <c r="IQ767" s="319" t="s">
        <v>173</v>
      </c>
      <c r="IR767" s="320" t="s">
        <v>173</v>
      </c>
      <c r="IS767" s="320" t="s">
        <v>173</v>
      </c>
      <c r="IT767" s="319" t="s">
        <v>173</v>
      </c>
    </row>
    <row r="768" spans="1:254" s="271" customFormat="1" x14ac:dyDescent="0.25">
      <c r="A768" s="318" t="str">
        <f>HYPERLINK("http://www.ofsted.gov.uk/inspection-reports/find-inspection-report/provider/ELS/140603 ","Ofsted School Webpage")</f>
        <v>Ofsted School Webpage</v>
      </c>
      <c r="B768" s="319">
        <v>140603</v>
      </c>
      <c r="C768" s="319">
        <v>2076009</v>
      </c>
      <c r="D768" s="319" t="s">
        <v>2260</v>
      </c>
      <c r="E768" s="319" t="s">
        <v>167</v>
      </c>
      <c r="F768" s="319" t="s">
        <v>81</v>
      </c>
      <c r="G768" s="319" t="s">
        <v>81</v>
      </c>
      <c r="H768" s="319" t="s">
        <v>81</v>
      </c>
      <c r="I768" s="319" t="s">
        <v>78</v>
      </c>
      <c r="J768" s="319" t="s">
        <v>424</v>
      </c>
      <c r="K768" s="319" t="s">
        <v>441</v>
      </c>
      <c r="L768" s="319" t="s">
        <v>441</v>
      </c>
      <c r="M768" s="319" t="s">
        <v>567</v>
      </c>
      <c r="N768" s="319" t="s">
        <v>2790</v>
      </c>
      <c r="O768" s="319" t="s">
        <v>2261</v>
      </c>
      <c r="P768" s="319">
        <v>37</v>
      </c>
      <c r="Q768" s="319" t="s">
        <v>2776</v>
      </c>
      <c r="R768" s="320">
        <v>10041402</v>
      </c>
      <c r="S768" s="321">
        <v>43235</v>
      </c>
      <c r="T768" s="321">
        <v>43237</v>
      </c>
      <c r="U768" s="321">
        <v>43364</v>
      </c>
      <c r="V768" s="319" t="s">
        <v>425</v>
      </c>
      <c r="W768" s="319" t="s">
        <v>2767</v>
      </c>
      <c r="X768" s="319">
        <v>1</v>
      </c>
      <c r="Y768" s="319" t="s">
        <v>173</v>
      </c>
      <c r="Z768" s="319" t="s">
        <v>173</v>
      </c>
      <c r="AA768" s="319" t="s">
        <v>173</v>
      </c>
      <c r="AB768" s="319">
        <v>1</v>
      </c>
      <c r="AC768" s="319" t="s">
        <v>169</v>
      </c>
      <c r="AD768" s="319" t="s">
        <v>173</v>
      </c>
      <c r="AE768" s="319">
        <v>1</v>
      </c>
      <c r="AF768" s="319" t="s">
        <v>447</v>
      </c>
      <c r="AG768" s="319" t="s">
        <v>171</v>
      </c>
      <c r="AH768" s="319" t="s">
        <v>190</v>
      </c>
      <c r="AI768" s="319" t="s">
        <v>190</v>
      </c>
      <c r="AJ768" s="319" t="s">
        <v>190</v>
      </c>
      <c r="AK768" s="319" t="s">
        <v>190</v>
      </c>
      <c r="AL768" s="319" t="s">
        <v>190</v>
      </c>
      <c r="AM768" s="319" t="s">
        <v>190</v>
      </c>
      <c r="AN768" s="319" t="s">
        <v>190</v>
      </c>
      <c r="AO768" s="319" t="s">
        <v>190</v>
      </c>
      <c r="AP768" s="319" t="s">
        <v>190</v>
      </c>
      <c r="AQ768" s="319" t="s">
        <v>190</v>
      </c>
      <c r="AR768" s="319" t="s">
        <v>190</v>
      </c>
      <c r="AS768" s="319" t="s">
        <v>190</v>
      </c>
      <c r="AT768" s="319" t="s">
        <v>190</v>
      </c>
      <c r="AU768" s="319" t="s">
        <v>190</v>
      </c>
      <c r="AV768" s="319" t="s">
        <v>190</v>
      </c>
      <c r="AW768" s="319" t="s">
        <v>190</v>
      </c>
      <c r="AX768" s="319" t="s">
        <v>428</v>
      </c>
      <c r="AY768" s="319" t="s">
        <v>190</v>
      </c>
      <c r="AZ768" s="319" t="s">
        <v>190</v>
      </c>
      <c r="BA768" s="319" t="s">
        <v>190</v>
      </c>
      <c r="BB768" s="319" t="s">
        <v>190</v>
      </c>
      <c r="BC768" s="319" t="s">
        <v>190</v>
      </c>
      <c r="BD768" s="319" t="s">
        <v>190</v>
      </c>
      <c r="BE768" s="319" t="s">
        <v>190</v>
      </c>
      <c r="BF768" s="319" t="s">
        <v>428</v>
      </c>
      <c r="BG768" s="319" t="s">
        <v>190</v>
      </c>
      <c r="BH768" s="319" t="s">
        <v>190</v>
      </c>
      <c r="BI768" s="319" t="s">
        <v>190</v>
      </c>
      <c r="BJ768" s="319" t="s">
        <v>190</v>
      </c>
      <c r="BK768" s="319" t="s">
        <v>190</v>
      </c>
      <c r="BL768" s="319" t="s">
        <v>190</v>
      </c>
      <c r="BM768" s="319" t="s">
        <v>190</v>
      </c>
      <c r="BN768" s="319" t="s">
        <v>190</v>
      </c>
      <c r="BO768" s="319" t="s">
        <v>190</v>
      </c>
      <c r="BP768" s="319" t="s">
        <v>190</v>
      </c>
      <c r="BQ768" s="319" t="s">
        <v>190</v>
      </c>
      <c r="BR768" s="319" t="s">
        <v>190</v>
      </c>
      <c r="BS768" s="319" t="s">
        <v>190</v>
      </c>
      <c r="BT768" s="319" t="s">
        <v>190</v>
      </c>
      <c r="BU768" s="319" t="s">
        <v>190</v>
      </c>
      <c r="BV768" s="319" t="s">
        <v>190</v>
      </c>
      <c r="BW768" s="319" t="s">
        <v>190</v>
      </c>
      <c r="BX768" s="319" t="s">
        <v>190</v>
      </c>
      <c r="BY768" s="319" t="s">
        <v>190</v>
      </c>
      <c r="BZ768" s="319" t="s">
        <v>190</v>
      </c>
      <c r="CA768" s="319" t="s">
        <v>190</v>
      </c>
      <c r="CB768" s="319" t="s">
        <v>190</v>
      </c>
      <c r="CC768" s="319" t="s">
        <v>190</v>
      </c>
      <c r="CD768" s="319" t="s">
        <v>190</v>
      </c>
      <c r="CE768" s="319" t="s">
        <v>190</v>
      </c>
      <c r="CF768" s="319" t="s">
        <v>190</v>
      </c>
      <c r="CG768" s="319" t="s">
        <v>190</v>
      </c>
      <c r="CH768" s="319" t="s">
        <v>190</v>
      </c>
      <c r="CI768" s="319" t="s">
        <v>190</v>
      </c>
      <c r="CJ768" s="319" t="s">
        <v>190</v>
      </c>
      <c r="CK768" s="319" t="s">
        <v>190</v>
      </c>
      <c r="CL768" s="319" t="s">
        <v>190</v>
      </c>
      <c r="CM768" s="319" t="s">
        <v>190</v>
      </c>
      <c r="CN768" s="319" t="s">
        <v>190</v>
      </c>
      <c r="CO768" s="319" t="s">
        <v>428</v>
      </c>
      <c r="CP768" s="319" t="s">
        <v>428</v>
      </c>
      <c r="CQ768" s="319" t="s">
        <v>190</v>
      </c>
      <c r="CR768" s="319" t="s">
        <v>190</v>
      </c>
      <c r="CS768" s="319" t="s">
        <v>190</v>
      </c>
      <c r="CT768" s="319" t="s">
        <v>190</v>
      </c>
      <c r="CU768" s="319" t="s">
        <v>190</v>
      </c>
      <c r="CV768" s="319" t="s">
        <v>190</v>
      </c>
      <c r="CW768" s="319" t="s">
        <v>190</v>
      </c>
      <c r="CX768" s="319" t="s">
        <v>190</v>
      </c>
      <c r="CY768" s="319" t="s">
        <v>190</v>
      </c>
      <c r="CZ768" s="319" t="s">
        <v>190</v>
      </c>
      <c r="DA768" s="319" t="s">
        <v>190</v>
      </c>
      <c r="DB768" s="319" t="s">
        <v>190</v>
      </c>
      <c r="DC768" s="319" t="s">
        <v>190</v>
      </c>
      <c r="DD768" s="319" t="s">
        <v>190</v>
      </c>
      <c r="DE768" s="319" t="s">
        <v>190</v>
      </c>
      <c r="DF768" s="319" t="s">
        <v>190</v>
      </c>
      <c r="DG768" s="319" t="s">
        <v>190</v>
      </c>
      <c r="DH768" s="319" t="s">
        <v>190</v>
      </c>
      <c r="DI768" s="319" t="s">
        <v>190</v>
      </c>
      <c r="DJ768" s="319" t="s">
        <v>190</v>
      </c>
      <c r="DK768" s="319" t="s">
        <v>190</v>
      </c>
      <c r="DL768" s="319" t="s">
        <v>190</v>
      </c>
      <c r="DM768" s="319" t="s">
        <v>190</v>
      </c>
      <c r="DN768" s="319" t="s">
        <v>428</v>
      </c>
      <c r="DO768" s="319" t="s">
        <v>190</v>
      </c>
      <c r="DP768" s="319" t="s">
        <v>428</v>
      </c>
      <c r="DQ768" s="319" t="s">
        <v>428</v>
      </c>
      <c r="DR768" s="319" t="s">
        <v>428</v>
      </c>
      <c r="DS768" s="319" t="s">
        <v>428</v>
      </c>
      <c r="DT768" s="319" t="s">
        <v>428</v>
      </c>
      <c r="DU768" s="319" t="s">
        <v>428</v>
      </c>
      <c r="DV768" s="319" t="s">
        <v>173</v>
      </c>
      <c r="DW768" s="319" t="s">
        <v>428</v>
      </c>
      <c r="DX768" s="319" t="s">
        <v>428</v>
      </c>
      <c r="DY768" s="319" t="s">
        <v>428</v>
      </c>
      <c r="DZ768" s="319" t="s">
        <v>428</v>
      </c>
      <c r="EA768" s="319" t="s">
        <v>428</v>
      </c>
      <c r="EB768" s="319" t="s">
        <v>428</v>
      </c>
      <c r="EC768" s="319" t="s">
        <v>428</v>
      </c>
      <c r="ED768" s="319" t="s">
        <v>428</v>
      </c>
      <c r="EE768" s="319" t="s">
        <v>190</v>
      </c>
      <c r="EF768" s="319" t="s">
        <v>190</v>
      </c>
      <c r="EG768" s="319" t="s">
        <v>190</v>
      </c>
      <c r="EH768" s="319" t="s">
        <v>190</v>
      </c>
      <c r="EI768" s="319" t="s">
        <v>190</v>
      </c>
      <c r="EJ768" s="319" t="s">
        <v>190</v>
      </c>
      <c r="EK768" s="319" t="s">
        <v>190</v>
      </c>
      <c r="EL768" s="319" t="s">
        <v>428</v>
      </c>
      <c r="EM768" s="319" t="s">
        <v>428</v>
      </c>
      <c r="EN768" s="319" t="s">
        <v>190</v>
      </c>
      <c r="EO768" s="319" t="s">
        <v>190</v>
      </c>
      <c r="EP768" s="319" t="s">
        <v>190</v>
      </c>
      <c r="EQ768" s="319" t="s">
        <v>190</v>
      </c>
      <c r="ER768" s="319" t="s">
        <v>190</v>
      </c>
      <c r="ES768" s="319" t="s">
        <v>190</v>
      </c>
      <c r="ET768" s="319" t="s">
        <v>190</v>
      </c>
      <c r="EU768" s="319" t="s">
        <v>190</v>
      </c>
      <c r="EV768" s="319" t="s">
        <v>190</v>
      </c>
      <c r="EW768" s="319" t="s">
        <v>190</v>
      </c>
      <c r="EX768" s="319" t="s">
        <v>190</v>
      </c>
      <c r="EY768" s="319" t="s">
        <v>190</v>
      </c>
      <c r="EZ768" s="319" t="s">
        <v>190</v>
      </c>
      <c r="FA768" s="319" t="s">
        <v>190</v>
      </c>
      <c r="FB768" s="319" t="s">
        <v>428</v>
      </c>
      <c r="FC768" s="319" t="s">
        <v>428</v>
      </c>
      <c r="FD768" s="319" t="s">
        <v>428</v>
      </c>
      <c r="FE768" s="319" t="s">
        <v>428</v>
      </c>
      <c r="FF768" s="319" t="s">
        <v>428</v>
      </c>
      <c r="FG768" s="319" t="s">
        <v>428</v>
      </c>
      <c r="FH768" s="319" t="s">
        <v>428</v>
      </c>
      <c r="FI768" s="319" t="s">
        <v>190</v>
      </c>
      <c r="FJ768" s="319" t="s">
        <v>190</v>
      </c>
      <c r="FK768" s="319" t="s">
        <v>190</v>
      </c>
      <c r="FL768" s="319" t="s">
        <v>190</v>
      </c>
      <c r="FM768" s="319" t="s">
        <v>190</v>
      </c>
      <c r="FN768" s="319" t="s">
        <v>190</v>
      </c>
      <c r="FO768" s="319" t="s">
        <v>190</v>
      </c>
      <c r="FP768" s="319" t="s">
        <v>190</v>
      </c>
      <c r="FQ768" s="319" t="s">
        <v>190</v>
      </c>
      <c r="FR768" s="319" t="s">
        <v>190</v>
      </c>
      <c r="FS768" s="319" t="s">
        <v>428</v>
      </c>
      <c r="FT768" s="319" t="s">
        <v>428</v>
      </c>
      <c r="FU768" s="319" t="s">
        <v>190</v>
      </c>
      <c r="FV768" s="319" t="s">
        <v>190</v>
      </c>
      <c r="FW768" s="319" t="s">
        <v>190</v>
      </c>
      <c r="FX768" s="319" t="s">
        <v>190</v>
      </c>
      <c r="FY768" s="319" t="s">
        <v>190</v>
      </c>
      <c r="FZ768" s="319" t="s">
        <v>190</v>
      </c>
      <c r="GA768" s="319" t="s">
        <v>190</v>
      </c>
      <c r="GB768" s="319" t="s">
        <v>190</v>
      </c>
      <c r="GC768" s="319" t="s">
        <v>190</v>
      </c>
      <c r="GD768" s="319" t="s">
        <v>190</v>
      </c>
      <c r="GE768" s="319" t="s">
        <v>190</v>
      </c>
      <c r="GF768" s="319" t="s">
        <v>190</v>
      </c>
      <c r="GG768" s="319" t="s">
        <v>190</v>
      </c>
      <c r="GH768" s="319" t="s">
        <v>190</v>
      </c>
      <c r="GI768" s="319" t="s">
        <v>190</v>
      </c>
      <c r="GJ768" s="319" t="s">
        <v>190</v>
      </c>
      <c r="GK768" s="319" t="s">
        <v>428</v>
      </c>
      <c r="GL768" s="319" t="s">
        <v>190</v>
      </c>
      <c r="GM768" s="319" t="s">
        <v>190</v>
      </c>
      <c r="GN768" s="319" t="s">
        <v>190</v>
      </c>
      <c r="GO768" s="319" t="s">
        <v>190</v>
      </c>
      <c r="GP768" s="319" t="s">
        <v>190</v>
      </c>
      <c r="GQ768" s="319" t="s">
        <v>428</v>
      </c>
      <c r="GR768" s="319" t="s">
        <v>190</v>
      </c>
      <c r="GS768" s="319" t="s">
        <v>190</v>
      </c>
      <c r="GT768" s="319" t="s">
        <v>190</v>
      </c>
      <c r="GU768" s="319" t="s">
        <v>190</v>
      </c>
      <c r="GV768" s="319" t="s">
        <v>190</v>
      </c>
      <c r="GW768" s="319" t="s">
        <v>190</v>
      </c>
      <c r="GX768" s="319" t="s">
        <v>190</v>
      </c>
      <c r="GY768" s="319" t="s">
        <v>190</v>
      </c>
      <c r="GZ768" s="319" t="s">
        <v>190</v>
      </c>
      <c r="HA768" s="319" t="s">
        <v>428</v>
      </c>
      <c r="HB768" s="319" t="s">
        <v>428</v>
      </c>
      <c r="HC768" s="319" t="s">
        <v>190</v>
      </c>
      <c r="HD768" s="319" t="s">
        <v>190</v>
      </c>
      <c r="HE768" s="319" t="s">
        <v>190</v>
      </c>
      <c r="HF768" s="319" t="s">
        <v>190</v>
      </c>
      <c r="HG768" s="319" t="s">
        <v>190</v>
      </c>
      <c r="HH768" s="319" t="s">
        <v>190</v>
      </c>
      <c r="HI768" s="319" t="s">
        <v>190</v>
      </c>
      <c r="HJ768" s="319" t="s">
        <v>190</v>
      </c>
      <c r="HK768" s="319" t="s">
        <v>190</v>
      </c>
      <c r="HL768" s="319" t="s">
        <v>428</v>
      </c>
      <c r="HM768" s="319" t="s">
        <v>428</v>
      </c>
      <c r="HN768" s="319" t="s">
        <v>428</v>
      </c>
      <c r="HO768" s="319" t="s">
        <v>428</v>
      </c>
      <c r="HP768" s="319" t="s">
        <v>190</v>
      </c>
      <c r="HQ768" s="319" t="s">
        <v>190</v>
      </c>
      <c r="HR768" s="319" t="s">
        <v>190</v>
      </c>
      <c r="HS768" s="319" t="s">
        <v>190</v>
      </c>
      <c r="HT768" s="319" t="s">
        <v>190</v>
      </c>
      <c r="HU768" s="319" t="s">
        <v>190</v>
      </c>
      <c r="HV768" s="319" t="s">
        <v>190</v>
      </c>
      <c r="HW768" s="319" t="s">
        <v>190</v>
      </c>
      <c r="HX768" s="319" t="s">
        <v>190</v>
      </c>
      <c r="HY768" s="319" t="s">
        <v>190</v>
      </c>
      <c r="HZ768" s="319" t="s">
        <v>190</v>
      </c>
      <c r="IA768" s="319" t="s">
        <v>190</v>
      </c>
      <c r="IB768" s="319" t="s">
        <v>190</v>
      </c>
      <c r="IC768" s="319" t="s">
        <v>190</v>
      </c>
      <c r="ID768" s="319" t="s">
        <v>190</v>
      </c>
      <c r="IE768" s="319" t="s">
        <v>190</v>
      </c>
      <c r="IF768" s="319" t="s">
        <v>190</v>
      </c>
      <c r="IG768" s="319" t="s">
        <v>190</v>
      </c>
      <c r="IH768" s="319" t="s">
        <v>190</v>
      </c>
      <c r="II768" s="319" t="s">
        <v>190</v>
      </c>
      <c r="IJ768" s="319" t="s">
        <v>3505</v>
      </c>
      <c r="IK768" s="321">
        <v>42046</v>
      </c>
      <c r="IL768" s="321">
        <v>42048</v>
      </c>
      <c r="IM768" s="321">
        <v>42082</v>
      </c>
      <c r="IN768" s="319">
        <v>1</v>
      </c>
      <c r="IO768" s="319" t="s">
        <v>173</v>
      </c>
      <c r="IP768" s="319" t="s">
        <v>173</v>
      </c>
      <c r="IQ768" s="321" t="s">
        <v>173</v>
      </c>
      <c r="IR768" s="320" t="s">
        <v>173</v>
      </c>
      <c r="IS768" s="322" t="s">
        <v>173</v>
      </c>
      <c r="IT768" s="319" t="s">
        <v>173</v>
      </c>
    </row>
    <row r="769" spans="1:254" s="271" customFormat="1" x14ac:dyDescent="0.25">
      <c r="A769" s="318" t="str">
        <f>HYPERLINK("http://www.ofsted.gov.uk/inspection-reports/find-inspection-report/provider/ELS/140624 ","Ofsted School Webpage")</f>
        <v>Ofsted School Webpage</v>
      </c>
      <c r="B769" s="319">
        <v>140624</v>
      </c>
      <c r="C769" s="319">
        <v>8516000</v>
      </c>
      <c r="D769" s="319" t="s">
        <v>2262</v>
      </c>
      <c r="E769" s="319" t="s">
        <v>167</v>
      </c>
      <c r="F769" s="319" t="s">
        <v>81</v>
      </c>
      <c r="G769" s="319" t="s">
        <v>72</v>
      </c>
      <c r="H769" s="319" t="s">
        <v>72</v>
      </c>
      <c r="I769" s="319" t="s">
        <v>72</v>
      </c>
      <c r="J769" s="319" t="s">
        <v>424</v>
      </c>
      <c r="K769" s="319" t="s">
        <v>514</v>
      </c>
      <c r="L769" s="319" t="s">
        <v>514</v>
      </c>
      <c r="M769" s="319" t="s">
        <v>2263</v>
      </c>
      <c r="N769" s="319" t="s">
        <v>3506</v>
      </c>
      <c r="O769" s="319" t="s">
        <v>2264</v>
      </c>
      <c r="P769" s="319">
        <v>40</v>
      </c>
      <c r="Q769" s="319" t="s">
        <v>2766</v>
      </c>
      <c r="R769" s="320">
        <v>10091653</v>
      </c>
      <c r="S769" s="321">
        <v>43599</v>
      </c>
      <c r="T769" s="321">
        <v>43601</v>
      </c>
      <c r="U769" s="321">
        <v>43629</v>
      </c>
      <c r="V769" s="319" t="s">
        <v>425</v>
      </c>
      <c r="W769" s="319" t="s">
        <v>2767</v>
      </c>
      <c r="X769" s="319">
        <v>2</v>
      </c>
      <c r="Y769" s="319" t="s">
        <v>173</v>
      </c>
      <c r="Z769" s="319" t="s">
        <v>173</v>
      </c>
      <c r="AA769" s="319" t="s">
        <v>173</v>
      </c>
      <c r="AB769" s="319">
        <v>2</v>
      </c>
      <c r="AC769" s="319" t="s">
        <v>169</v>
      </c>
      <c r="AD769" s="319" t="s">
        <v>173</v>
      </c>
      <c r="AE769" s="319" t="s">
        <v>173</v>
      </c>
      <c r="AF769" s="319" t="s">
        <v>427</v>
      </c>
      <c r="AG769" s="319" t="s">
        <v>171</v>
      </c>
      <c r="AH769" s="319" t="s">
        <v>190</v>
      </c>
      <c r="AI769" s="319" t="s">
        <v>190</v>
      </c>
      <c r="AJ769" s="319" t="s">
        <v>190</v>
      </c>
      <c r="AK769" s="319" t="s">
        <v>190</v>
      </c>
      <c r="AL769" s="319" t="s">
        <v>190</v>
      </c>
      <c r="AM769" s="319" t="s">
        <v>190</v>
      </c>
      <c r="AN769" s="319" t="s">
        <v>190</v>
      </c>
      <c r="AO769" s="319" t="s">
        <v>190</v>
      </c>
      <c r="AP769" s="319" t="s">
        <v>190</v>
      </c>
      <c r="AQ769" s="319" t="s">
        <v>190</v>
      </c>
      <c r="AR769" s="319" t="s">
        <v>190</v>
      </c>
      <c r="AS769" s="319" t="s">
        <v>190</v>
      </c>
      <c r="AT769" s="319" t="s">
        <v>190</v>
      </c>
      <c r="AU769" s="319" t="s">
        <v>190</v>
      </c>
      <c r="AV769" s="319" t="s">
        <v>190</v>
      </c>
      <c r="AW769" s="319" t="s">
        <v>190</v>
      </c>
      <c r="AX769" s="319" t="s">
        <v>428</v>
      </c>
      <c r="AY769" s="319" t="s">
        <v>190</v>
      </c>
      <c r="AZ769" s="319" t="s">
        <v>190</v>
      </c>
      <c r="BA769" s="319" t="s">
        <v>190</v>
      </c>
      <c r="BB769" s="319" t="s">
        <v>428</v>
      </c>
      <c r="BC769" s="319" t="s">
        <v>428</v>
      </c>
      <c r="BD769" s="319" t="s">
        <v>428</v>
      </c>
      <c r="BE769" s="319" t="s">
        <v>428</v>
      </c>
      <c r="BF769" s="319" t="s">
        <v>428</v>
      </c>
      <c r="BG769" s="319" t="s">
        <v>190</v>
      </c>
      <c r="BH769" s="319" t="s">
        <v>190</v>
      </c>
      <c r="BI769" s="319" t="s">
        <v>190</v>
      </c>
      <c r="BJ769" s="319" t="s">
        <v>190</v>
      </c>
      <c r="BK769" s="319" t="s">
        <v>190</v>
      </c>
      <c r="BL769" s="319" t="s">
        <v>190</v>
      </c>
      <c r="BM769" s="319" t="s">
        <v>190</v>
      </c>
      <c r="BN769" s="319" t="s">
        <v>190</v>
      </c>
      <c r="BO769" s="319" t="s">
        <v>190</v>
      </c>
      <c r="BP769" s="319" t="s">
        <v>190</v>
      </c>
      <c r="BQ769" s="319" t="s">
        <v>190</v>
      </c>
      <c r="BR769" s="319" t="s">
        <v>190</v>
      </c>
      <c r="BS769" s="319" t="s">
        <v>190</v>
      </c>
      <c r="BT769" s="319" t="s">
        <v>190</v>
      </c>
      <c r="BU769" s="319" t="s">
        <v>190</v>
      </c>
      <c r="BV769" s="319" t="s">
        <v>190</v>
      </c>
      <c r="BW769" s="319" t="s">
        <v>190</v>
      </c>
      <c r="BX769" s="319" t="s">
        <v>190</v>
      </c>
      <c r="BY769" s="319" t="s">
        <v>190</v>
      </c>
      <c r="BZ769" s="319" t="s">
        <v>190</v>
      </c>
      <c r="CA769" s="319" t="s">
        <v>190</v>
      </c>
      <c r="CB769" s="319" t="s">
        <v>190</v>
      </c>
      <c r="CC769" s="319" t="s">
        <v>190</v>
      </c>
      <c r="CD769" s="319" t="s">
        <v>190</v>
      </c>
      <c r="CE769" s="319" t="s">
        <v>190</v>
      </c>
      <c r="CF769" s="319" t="s">
        <v>190</v>
      </c>
      <c r="CG769" s="319" t="s">
        <v>190</v>
      </c>
      <c r="CH769" s="319" t="s">
        <v>190</v>
      </c>
      <c r="CI769" s="319" t="s">
        <v>190</v>
      </c>
      <c r="CJ769" s="319" t="s">
        <v>190</v>
      </c>
      <c r="CK769" s="319" t="s">
        <v>190</v>
      </c>
      <c r="CL769" s="319" t="s">
        <v>190</v>
      </c>
      <c r="CM769" s="319" t="s">
        <v>190</v>
      </c>
      <c r="CN769" s="319" t="s">
        <v>428</v>
      </c>
      <c r="CO769" s="319" t="s">
        <v>428</v>
      </c>
      <c r="CP769" s="319" t="s">
        <v>428</v>
      </c>
      <c r="CQ769" s="319" t="s">
        <v>190</v>
      </c>
      <c r="CR769" s="319" t="s">
        <v>190</v>
      </c>
      <c r="CS769" s="319" t="s">
        <v>190</v>
      </c>
      <c r="CT769" s="319" t="s">
        <v>190</v>
      </c>
      <c r="CU769" s="319" t="s">
        <v>190</v>
      </c>
      <c r="CV769" s="319" t="s">
        <v>190</v>
      </c>
      <c r="CW769" s="319" t="s">
        <v>190</v>
      </c>
      <c r="CX769" s="319" t="s">
        <v>190</v>
      </c>
      <c r="CY769" s="319" t="s">
        <v>190</v>
      </c>
      <c r="CZ769" s="319" t="s">
        <v>190</v>
      </c>
      <c r="DA769" s="319" t="s">
        <v>190</v>
      </c>
      <c r="DB769" s="319" t="s">
        <v>190</v>
      </c>
      <c r="DC769" s="319" t="s">
        <v>190</v>
      </c>
      <c r="DD769" s="319" t="s">
        <v>190</v>
      </c>
      <c r="DE769" s="319" t="s">
        <v>190</v>
      </c>
      <c r="DF769" s="319" t="s">
        <v>190</v>
      </c>
      <c r="DG769" s="319" t="s">
        <v>190</v>
      </c>
      <c r="DH769" s="319" t="s">
        <v>190</v>
      </c>
      <c r="DI769" s="319" t="s">
        <v>190</v>
      </c>
      <c r="DJ769" s="319" t="s">
        <v>190</v>
      </c>
      <c r="DK769" s="319" t="s">
        <v>190</v>
      </c>
      <c r="DL769" s="319" t="s">
        <v>190</v>
      </c>
      <c r="DM769" s="319" t="s">
        <v>190</v>
      </c>
      <c r="DN769" s="319" t="s">
        <v>428</v>
      </c>
      <c r="DO769" s="319" t="s">
        <v>190</v>
      </c>
      <c r="DP769" s="319" t="s">
        <v>190</v>
      </c>
      <c r="DQ769" s="319" t="s">
        <v>190</v>
      </c>
      <c r="DR769" s="319" t="s">
        <v>190</v>
      </c>
      <c r="DS769" s="319" t="s">
        <v>190</v>
      </c>
      <c r="DT769" s="319" t="s">
        <v>190</v>
      </c>
      <c r="DU769" s="319" t="s">
        <v>190</v>
      </c>
      <c r="DV769" s="319" t="s">
        <v>173</v>
      </c>
      <c r="DW769" s="319" t="s">
        <v>190</v>
      </c>
      <c r="DX769" s="319" t="s">
        <v>190</v>
      </c>
      <c r="DY769" s="319" t="s">
        <v>190</v>
      </c>
      <c r="DZ769" s="319" t="s">
        <v>190</v>
      </c>
      <c r="EA769" s="319" t="s">
        <v>190</v>
      </c>
      <c r="EB769" s="319" t="s">
        <v>190</v>
      </c>
      <c r="EC769" s="319" t="s">
        <v>428</v>
      </c>
      <c r="ED769" s="319" t="s">
        <v>190</v>
      </c>
      <c r="EE769" s="319" t="s">
        <v>190</v>
      </c>
      <c r="EF769" s="319" t="s">
        <v>190</v>
      </c>
      <c r="EG769" s="319" t="s">
        <v>190</v>
      </c>
      <c r="EH769" s="319" t="s">
        <v>190</v>
      </c>
      <c r="EI769" s="319" t="s">
        <v>190</v>
      </c>
      <c r="EJ769" s="319" t="s">
        <v>190</v>
      </c>
      <c r="EK769" s="319" t="s">
        <v>190</v>
      </c>
      <c r="EL769" s="319" t="s">
        <v>190</v>
      </c>
      <c r="EM769" s="319" t="s">
        <v>190</v>
      </c>
      <c r="EN769" s="319" t="s">
        <v>190</v>
      </c>
      <c r="EO769" s="319" t="s">
        <v>190</v>
      </c>
      <c r="EP769" s="319" t="s">
        <v>190</v>
      </c>
      <c r="EQ769" s="319" t="s">
        <v>190</v>
      </c>
      <c r="ER769" s="319" t="s">
        <v>190</v>
      </c>
      <c r="ES769" s="319" t="s">
        <v>190</v>
      </c>
      <c r="ET769" s="319" t="s">
        <v>190</v>
      </c>
      <c r="EU769" s="319" t="s">
        <v>190</v>
      </c>
      <c r="EV769" s="319" t="s">
        <v>190</v>
      </c>
      <c r="EW769" s="319" t="s">
        <v>190</v>
      </c>
      <c r="EX769" s="319" t="s">
        <v>190</v>
      </c>
      <c r="EY769" s="319" t="s">
        <v>190</v>
      </c>
      <c r="EZ769" s="319" t="s">
        <v>190</v>
      </c>
      <c r="FA769" s="319" t="s">
        <v>190</v>
      </c>
      <c r="FB769" s="319" t="s">
        <v>190</v>
      </c>
      <c r="FC769" s="319" t="s">
        <v>190</v>
      </c>
      <c r="FD769" s="319" t="s">
        <v>190</v>
      </c>
      <c r="FE769" s="319" t="s">
        <v>190</v>
      </c>
      <c r="FF769" s="319" t="s">
        <v>190</v>
      </c>
      <c r="FG769" s="319" t="s">
        <v>190</v>
      </c>
      <c r="FH769" s="319" t="s">
        <v>190</v>
      </c>
      <c r="FI769" s="319" t="s">
        <v>190</v>
      </c>
      <c r="FJ769" s="319" t="s">
        <v>190</v>
      </c>
      <c r="FK769" s="319" t="s">
        <v>190</v>
      </c>
      <c r="FL769" s="319" t="s">
        <v>190</v>
      </c>
      <c r="FM769" s="319" t="s">
        <v>190</v>
      </c>
      <c r="FN769" s="319" t="s">
        <v>190</v>
      </c>
      <c r="FO769" s="319" t="s">
        <v>190</v>
      </c>
      <c r="FP769" s="319" t="s">
        <v>190</v>
      </c>
      <c r="FQ769" s="319" t="s">
        <v>190</v>
      </c>
      <c r="FR769" s="319" t="s">
        <v>190</v>
      </c>
      <c r="FS769" s="319" t="s">
        <v>428</v>
      </c>
      <c r="FT769" s="319" t="s">
        <v>190</v>
      </c>
      <c r="FU769" s="319" t="s">
        <v>190</v>
      </c>
      <c r="FV769" s="319" t="s">
        <v>190</v>
      </c>
      <c r="FW769" s="319" t="s">
        <v>190</v>
      </c>
      <c r="FX769" s="319" t="s">
        <v>190</v>
      </c>
      <c r="FY769" s="319" t="s">
        <v>190</v>
      </c>
      <c r="FZ769" s="319" t="s">
        <v>190</v>
      </c>
      <c r="GA769" s="319" t="s">
        <v>190</v>
      </c>
      <c r="GB769" s="319" t="s">
        <v>190</v>
      </c>
      <c r="GC769" s="319" t="s">
        <v>190</v>
      </c>
      <c r="GD769" s="319" t="s">
        <v>190</v>
      </c>
      <c r="GE769" s="319" t="s">
        <v>190</v>
      </c>
      <c r="GF769" s="319" t="s">
        <v>190</v>
      </c>
      <c r="GG769" s="319" t="s">
        <v>190</v>
      </c>
      <c r="GH769" s="319" t="s">
        <v>190</v>
      </c>
      <c r="GI769" s="319" t="s">
        <v>190</v>
      </c>
      <c r="GJ769" s="319" t="s">
        <v>190</v>
      </c>
      <c r="GK769" s="319" t="s">
        <v>428</v>
      </c>
      <c r="GL769" s="319" t="s">
        <v>190</v>
      </c>
      <c r="GM769" s="319" t="s">
        <v>190</v>
      </c>
      <c r="GN769" s="319" t="s">
        <v>190</v>
      </c>
      <c r="GO769" s="319" t="s">
        <v>190</v>
      </c>
      <c r="GP769" s="319" t="s">
        <v>190</v>
      </c>
      <c r="GQ769" s="319" t="s">
        <v>190</v>
      </c>
      <c r="GR769" s="319" t="s">
        <v>190</v>
      </c>
      <c r="GS769" s="319" t="s">
        <v>190</v>
      </c>
      <c r="GT769" s="319" t="s">
        <v>190</v>
      </c>
      <c r="GU769" s="319" t="s">
        <v>190</v>
      </c>
      <c r="GV769" s="319" t="s">
        <v>190</v>
      </c>
      <c r="GW769" s="319" t="s">
        <v>190</v>
      </c>
      <c r="GX769" s="319" t="s">
        <v>190</v>
      </c>
      <c r="GY769" s="319" t="s">
        <v>190</v>
      </c>
      <c r="GZ769" s="319" t="s">
        <v>190</v>
      </c>
      <c r="HA769" s="319" t="s">
        <v>428</v>
      </c>
      <c r="HB769" s="319" t="s">
        <v>190</v>
      </c>
      <c r="HC769" s="319" t="s">
        <v>190</v>
      </c>
      <c r="HD769" s="319" t="s">
        <v>190</v>
      </c>
      <c r="HE769" s="319" t="s">
        <v>190</v>
      </c>
      <c r="HF769" s="319" t="s">
        <v>190</v>
      </c>
      <c r="HG769" s="319" t="s">
        <v>190</v>
      </c>
      <c r="HH769" s="319" t="s">
        <v>190</v>
      </c>
      <c r="HI769" s="319" t="s">
        <v>428</v>
      </c>
      <c r="HJ769" s="319" t="s">
        <v>190</v>
      </c>
      <c r="HK769" s="319" t="s">
        <v>190</v>
      </c>
      <c r="HL769" s="319" t="s">
        <v>190</v>
      </c>
      <c r="HM769" s="319" t="s">
        <v>190</v>
      </c>
      <c r="HN769" s="319" t="s">
        <v>190</v>
      </c>
      <c r="HO769" s="319" t="s">
        <v>190</v>
      </c>
      <c r="HP769" s="319" t="s">
        <v>190</v>
      </c>
      <c r="HQ769" s="319" t="s">
        <v>190</v>
      </c>
      <c r="HR769" s="319" t="s">
        <v>190</v>
      </c>
      <c r="HS769" s="319" t="s">
        <v>190</v>
      </c>
      <c r="HT769" s="319" t="s">
        <v>190</v>
      </c>
      <c r="HU769" s="319" t="s">
        <v>190</v>
      </c>
      <c r="HV769" s="319" t="s">
        <v>190</v>
      </c>
      <c r="HW769" s="319" t="s">
        <v>190</v>
      </c>
      <c r="HX769" s="319" t="s">
        <v>190</v>
      </c>
      <c r="HY769" s="319" t="s">
        <v>190</v>
      </c>
      <c r="HZ769" s="319" t="s">
        <v>190</v>
      </c>
      <c r="IA769" s="319" t="s">
        <v>190</v>
      </c>
      <c r="IB769" s="319" t="s">
        <v>190</v>
      </c>
      <c r="IC769" s="319" t="s">
        <v>190</v>
      </c>
      <c r="ID769" s="319" t="s">
        <v>190</v>
      </c>
      <c r="IE769" s="319" t="s">
        <v>190</v>
      </c>
      <c r="IF769" s="319" t="s">
        <v>190</v>
      </c>
      <c r="IG769" s="319" t="s">
        <v>190</v>
      </c>
      <c r="IH769" s="319" t="s">
        <v>190</v>
      </c>
      <c r="II769" s="319" t="s">
        <v>190</v>
      </c>
      <c r="IJ769" s="319">
        <v>10025993</v>
      </c>
      <c r="IK769" s="321">
        <v>42920</v>
      </c>
      <c r="IL769" s="321">
        <v>42922</v>
      </c>
      <c r="IM769" s="321">
        <v>42996</v>
      </c>
      <c r="IN769" s="319">
        <v>3</v>
      </c>
      <c r="IO769" s="319" t="s">
        <v>173</v>
      </c>
      <c r="IP769" s="319" t="s">
        <v>173</v>
      </c>
      <c r="IQ769" s="321" t="s">
        <v>173</v>
      </c>
      <c r="IR769" s="320" t="s">
        <v>173</v>
      </c>
      <c r="IS769" s="322" t="s">
        <v>173</v>
      </c>
      <c r="IT769" s="319" t="s">
        <v>173</v>
      </c>
    </row>
    <row r="770" spans="1:254" s="271" customFormat="1" x14ac:dyDescent="0.25">
      <c r="A770" s="318" t="str">
        <f>HYPERLINK("http://www.ofsted.gov.uk/inspection-reports/find-inspection-report/provider/ELS/140655 ","Ofsted School Webpage")</f>
        <v>Ofsted School Webpage</v>
      </c>
      <c r="B770" s="319">
        <v>140655</v>
      </c>
      <c r="C770" s="319">
        <v>9196053</v>
      </c>
      <c r="D770" s="319" t="s">
        <v>2265</v>
      </c>
      <c r="E770" s="319" t="s">
        <v>168</v>
      </c>
      <c r="F770" s="319" t="s">
        <v>81</v>
      </c>
      <c r="G770" s="319" t="s">
        <v>81</v>
      </c>
      <c r="H770" s="319" t="s">
        <v>81</v>
      </c>
      <c r="I770" s="319" t="s">
        <v>78</v>
      </c>
      <c r="J770" s="319" t="s">
        <v>424</v>
      </c>
      <c r="K770" s="319" t="s">
        <v>451</v>
      </c>
      <c r="L770" s="319" t="s">
        <v>451</v>
      </c>
      <c r="M770" s="319" t="s">
        <v>489</v>
      </c>
      <c r="N770" s="319" t="s">
        <v>3507</v>
      </c>
      <c r="O770" s="319" t="s">
        <v>2266</v>
      </c>
      <c r="P770" s="319">
        <v>9</v>
      </c>
      <c r="Q770" s="319" t="s">
        <v>429</v>
      </c>
      <c r="R770" s="320">
        <v>10043521</v>
      </c>
      <c r="S770" s="321">
        <v>43215</v>
      </c>
      <c r="T770" s="321">
        <v>43217</v>
      </c>
      <c r="U770" s="321">
        <v>43256</v>
      </c>
      <c r="V770" s="319" t="s">
        <v>425</v>
      </c>
      <c r="W770" s="319" t="s">
        <v>2767</v>
      </c>
      <c r="X770" s="319">
        <v>3</v>
      </c>
      <c r="Y770" s="319" t="s">
        <v>173</v>
      </c>
      <c r="Z770" s="319" t="s">
        <v>173</v>
      </c>
      <c r="AA770" s="319" t="s">
        <v>173</v>
      </c>
      <c r="AB770" s="319">
        <v>3</v>
      </c>
      <c r="AC770" s="319" t="s">
        <v>169</v>
      </c>
      <c r="AD770" s="319" t="s">
        <v>173</v>
      </c>
      <c r="AE770" s="319" t="s">
        <v>173</v>
      </c>
      <c r="AF770" s="319" t="s">
        <v>427</v>
      </c>
      <c r="AG770" s="319" t="s">
        <v>172</v>
      </c>
      <c r="AH770" s="319" t="s">
        <v>479</v>
      </c>
      <c r="AI770" s="319" t="s">
        <v>190</v>
      </c>
      <c r="AJ770" s="319" t="s">
        <v>190</v>
      </c>
      <c r="AK770" s="319" t="s">
        <v>190</v>
      </c>
      <c r="AL770" s="319" t="s">
        <v>190</v>
      </c>
      <c r="AM770" s="319" t="s">
        <v>190</v>
      </c>
      <c r="AN770" s="319" t="s">
        <v>190</v>
      </c>
      <c r="AO770" s="319" t="s">
        <v>479</v>
      </c>
      <c r="AP770" s="319" t="s">
        <v>191</v>
      </c>
      <c r="AQ770" s="319" t="s">
        <v>191</v>
      </c>
      <c r="AR770" s="319" t="s">
        <v>191</v>
      </c>
      <c r="AS770" s="319" t="s">
        <v>191</v>
      </c>
      <c r="AT770" s="319" t="s">
        <v>190</v>
      </c>
      <c r="AU770" s="319" t="s">
        <v>191</v>
      </c>
      <c r="AV770" s="319" t="s">
        <v>191</v>
      </c>
      <c r="AW770" s="319" t="s">
        <v>190</v>
      </c>
      <c r="AX770" s="319" t="s">
        <v>428</v>
      </c>
      <c r="AY770" s="319" t="s">
        <v>190</v>
      </c>
      <c r="AZ770" s="319" t="s">
        <v>190</v>
      </c>
      <c r="BA770" s="319" t="s">
        <v>190</v>
      </c>
      <c r="BB770" s="319" t="s">
        <v>190</v>
      </c>
      <c r="BC770" s="319" t="s">
        <v>190</v>
      </c>
      <c r="BD770" s="319" t="s">
        <v>190</v>
      </c>
      <c r="BE770" s="319" t="s">
        <v>190</v>
      </c>
      <c r="BF770" s="319" t="s">
        <v>428</v>
      </c>
      <c r="BG770" s="319" t="s">
        <v>428</v>
      </c>
      <c r="BH770" s="319" t="s">
        <v>190</v>
      </c>
      <c r="BI770" s="319" t="s">
        <v>190</v>
      </c>
      <c r="BJ770" s="319" t="s">
        <v>191</v>
      </c>
      <c r="BK770" s="319" t="s">
        <v>191</v>
      </c>
      <c r="BL770" s="319" t="s">
        <v>190</v>
      </c>
      <c r="BM770" s="319" t="s">
        <v>191</v>
      </c>
      <c r="BN770" s="319" t="s">
        <v>191</v>
      </c>
      <c r="BO770" s="319" t="s">
        <v>190</v>
      </c>
      <c r="BP770" s="319" t="s">
        <v>191</v>
      </c>
      <c r="BQ770" s="319" t="s">
        <v>191</v>
      </c>
      <c r="BR770" s="319" t="s">
        <v>190</v>
      </c>
      <c r="BS770" s="319" t="s">
        <v>190</v>
      </c>
      <c r="BT770" s="319" t="s">
        <v>190</v>
      </c>
      <c r="BU770" s="319" t="s">
        <v>191</v>
      </c>
      <c r="BV770" s="319" t="s">
        <v>190</v>
      </c>
      <c r="BW770" s="319" t="s">
        <v>190</v>
      </c>
      <c r="BX770" s="319" t="s">
        <v>190</v>
      </c>
      <c r="BY770" s="319" t="s">
        <v>190</v>
      </c>
      <c r="BZ770" s="319" t="s">
        <v>190</v>
      </c>
      <c r="CA770" s="319" t="s">
        <v>190</v>
      </c>
      <c r="CB770" s="319" t="s">
        <v>190</v>
      </c>
      <c r="CC770" s="319" t="s">
        <v>190</v>
      </c>
      <c r="CD770" s="319" t="s">
        <v>190</v>
      </c>
      <c r="CE770" s="319" t="s">
        <v>190</v>
      </c>
      <c r="CF770" s="319" t="s">
        <v>190</v>
      </c>
      <c r="CG770" s="319" t="s">
        <v>190</v>
      </c>
      <c r="CH770" s="319" t="s">
        <v>190</v>
      </c>
      <c r="CI770" s="319" t="s">
        <v>190</v>
      </c>
      <c r="CJ770" s="319" t="s">
        <v>190</v>
      </c>
      <c r="CK770" s="319" t="s">
        <v>190</v>
      </c>
      <c r="CL770" s="319" t="s">
        <v>190</v>
      </c>
      <c r="CM770" s="319" t="s">
        <v>190</v>
      </c>
      <c r="CN770" s="319" t="s">
        <v>428</v>
      </c>
      <c r="CO770" s="319" t="s">
        <v>428</v>
      </c>
      <c r="CP770" s="319" t="s">
        <v>428</v>
      </c>
      <c r="CQ770" s="319" t="s">
        <v>190</v>
      </c>
      <c r="CR770" s="319" t="s">
        <v>190</v>
      </c>
      <c r="CS770" s="319" t="s">
        <v>190</v>
      </c>
      <c r="CT770" s="319" t="s">
        <v>190</v>
      </c>
      <c r="CU770" s="319" t="s">
        <v>190</v>
      </c>
      <c r="CV770" s="319" t="s">
        <v>190</v>
      </c>
      <c r="CW770" s="319" t="s">
        <v>190</v>
      </c>
      <c r="CX770" s="319" t="s">
        <v>190</v>
      </c>
      <c r="CY770" s="319" t="s">
        <v>190</v>
      </c>
      <c r="CZ770" s="319" t="s">
        <v>190</v>
      </c>
      <c r="DA770" s="319" t="s">
        <v>190</v>
      </c>
      <c r="DB770" s="319" t="s">
        <v>190</v>
      </c>
      <c r="DC770" s="319" t="s">
        <v>190</v>
      </c>
      <c r="DD770" s="319" t="s">
        <v>190</v>
      </c>
      <c r="DE770" s="319" t="s">
        <v>190</v>
      </c>
      <c r="DF770" s="319" t="s">
        <v>190</v>
      </c>
      <c r="DG770" s="319" t="s">
        <v>190</v>
      </c>
      <c r="DH770" s="319" t="s">
        <v>190</v>
      </c>
      <c r="DI770" s="319" t="s">
        <v>190</v>
      </c>
      <c r="DJ770" s="319" t="s">
        <v>190</v>
      </c>
      <c r="DK770" s="319" t="s">
        <v>190</v>
      </c>
      <c r="DL770" s="319" t="s">
        <v>190</v>
      </c>
      <c r="DM770" s="319" t="s">
        <v>190</v>
      </c>
      <c r="DN770" s="319" t="s">
        <v>428</v>
      </c>
      <c r="DO770" s="319" t="s">
        <v>190</v>
      </c>
      <c r="DP770" s="319" t="s">
        <v>428</v>
      </c>
      <c r="DQ770" s="319" t="s">
        <v>428</v>
      </c>
      <c r="DR770" s="319" t="s">
        <v>428</v>
      </c>
      <c r="DS770" s="319" t="s">
        <v>428</v>
      </c>
      <c r="DT770" s="319" t="s">
        <v>428</v>
      </c>
      <c r="DU770" s="319" t="s">
        <v>428</v>
      </c>
      <c r="DV770" s="319" t="s">
        <v>173</v>
      </c>
      <c r="DW770" s="319" t="s">
        <v>428</v>
      </c>
      <c r="DX770" s="319" t="s">
        <v>428</v>
      </c>
      <c r="DY770" s="319" t="s">
        <v>428</v>
      </c>
      <c r="DZ770" s="319" t="s">
        <v>428</v>
      </c>
      <c r="EA770" s="319" t="s">
        <v>428</v>
      </c>
      <c r="EB770" s="319" t="s">
        <v>428</v>
      </c>
      <c r="EC770" s="319" t="s">
        <v>428</v>
      </c>
      <c r="ED770" s="319" t="s">
        <v>428</v>
      </c>
      <c r="EE770" s="319" t="s">
        <v>190</v>
      </c>
      <c r="EF770" s="319" t="s">
        <v>190</v>
      </c>
      <c r="EG770" s="319" t="s">
        <v>190</v>
      </c>
      <c r="EH770" s="319" t="s">
        <v>190</v>
      </c>
      <c r="EI770" s="319" t="s">
        <v>190</v>
      </c>
      <c r="EJ770" s="319" t="s">
        <v>190</v>
      </c>
      <c r="EK770" s="319" t="s">
        <v>190</v>
      </c>
      <c r="EL770" s="319" t="s">
        <v>190</v>
      </c>
      <c r="EM770" s="319" t="s">
        <v>190</v>
      </c>
      <c r="EN770" s="319" t="s">
        <v>190</v>
      </c>
      <c r="EO770" s="319" t="s">
        <v>190</v>
      </c>
      <c r="EP770" s="319" t="s">
        <v>190</v>
      </c>
      <c r="EQ770" s="319" t="s">
        <v>190</v>
      </c>
      <c r="ER770" s="319" t="s">
        <v>190</v>
      </c>
      <c r="ES770" s="319" t="s">
        <v>190</v>
      </c>
      <c r="ET770" s="319" t="s">
        <v>190</v>
      </c>
      <c r="EU770" s="319" t="s">
        <v>190</v>
      </c>
      <c r="EV770" s="319" t="s">
        <v>190</v>
      </c>
      <c r="EW770" s="319" t="s">
        <v>190</v>
      </c>
      <c r="EX770" s="319" t="s">
        <v>190</v>
      </c>
      <c r="EY770" s="319" t="s">
        <v>190</v>
      </c>
      <c r="EZ770" s="319" t="s">
        <v>190</v>
      </c>
      <c r="FA770" s="319" t="s">
        <v>190</v>
      </c>
      <c r="FB770" s="319" t="s">
        <v>428</v>
      </c>
      <c r="FC770" s="319" t="s">
        <v>428</v>
      </c>
      <c r="FD770" s="319" t="s">
        <v>428</v>
      </c>
      <c r="FE770" s="319" t="s">
        <v>428</v>
      </c>
      <c r="FF770" s="319" t="s">
        <v>428</v>
      </c>
      <c r="FG770" s="319" t="s">
        <v>428</v>
      </c>
      <c r="FH770" s="319" t="s">
        <v>190</v>
      </c>
      <c r="FI770" s="319" t="s">
        <v>190</v>
      </c>
      <c r="FJ770" s="319" t="s">
        <v>190</v>
      </c>
      <c r="FK770" s="319" t="s">
        <v>190</v>
      </c>
      <c r="FL770" s="319" t="s">
        <v>190</v>
      </c>
      <c r="FM770" s="319" t="s">
        <v>190</v>
      </c>
      <c r="FN770" s="319" t="s">
        <v>190</v>
      </c>
      <c r="FO770" s="319" t="s">
        <v>190</v>
      </c>
      <c r="FP770" s="319" t="s">
        <v>190</v>
      </c>
      <c r="FQ770" s="319" t="s">
        <v>190</v>
      </c>
      <c r="FR770" s="319" t="s">
        <v>190</v>
      </c>
      <c r="FS770" s="319" t="s">
        <v>190</v>
      </c>
      <c r="FT770" s="319" t="s">
        <v>190</v>
      </c>
      <c r="FU770" s="319" t="s">
        <v>190</v>
      </c>
      <c r="FV770" s="319" t="s">
        <v>190</v>
      </c>
      <c r="FW770" s="319" t="s">
        <v>190</v>
      </c>
      <c r="FX770" s="319" t="s">
        <v>190</v>
      </c>
      <c r="FY770" s="319" t="s">
        <v>190</v>
      </c>
      <c r="FZ770" s="319" t="s">
        <v>190</v>
      </c>
      <c r="GA770" s="319" t="s">
        <v>190</v>
      </c>
      <c r="GB770" s="319" t="s">
        <v>190</v>
      </c>
      <c r="GC770" s="319" t="s">
        <v>190</v>
      </c>
      <c r="GD770" s="319" t="s">
        <v>190</v>
      </c>
      <c r="GE770" s="319" t="s">
        <v>190</v>
      </c>
      <c r="GF770" s="319" t="s">
        <v>190</v>
      </c>
      <c r="GG770" s="319" t="s">
        <v>190</v>
      </c>
      <c r="GH770" s="319" t="s">
        <v>190</v>
      </c>
      <c r="GI770" s="319" t="s">
        <v>190</v>
      </c>
      <c r="GJ770" s="319" t="s">
        <v>190</v>
      </c>
      <c r="GK770" s="319" t="s">
        <v>428</v>
      </c>
      <c r="GL770" s="319" t="s">
        <v>190</v>
      </c>
      <c r="GM770" s="319" t="s">
        <v>190</v>
      </c>
      <c r="GN770" s="319" t="s">
        <v>190</v>
      </c>
      <c r="GO770" s="319" t="s">
        <v>190</v>
      </c>
      <c r="GP770" s="319" t="s">
        <v>190</v>
      </c>
      <c r="GQ770" s="319" t="s">
        <v>190</v>
      </c>
      <c r="GR770" s="319" t="s">
        <v>190</v>
      </c>
      <c r="GS770" s="319" t="s">
        <v>190</v>
      </c>
      <c r="GT770" s="319" t="s">
        <v>190</v>
      </c>
      <c r="GU770" s="319" t="s">
        <v>190</v>
      </c>
      <c r="GV770" s="319" t="s">
        <v>190</v>
      </c>
      <c r="GW770" s="319" t="s">
        <v>190</v>
      </c>
      <c r="GX770" s="319" t="s">
        <v>190</v>
      </c>
      <c r="GY770" s="319" t="s">
        <v>190</v>
      </c>
      <c r="GZ770" s="319" t="s">
        <v>190</v>
      </c>
      <c r="HA770" s="319" t="s">
        <v>428</v>
      </c>
      <c r="HB770" s="319" t="s">
        <v>190</v>
      </c>
      <c r="HC770" s="319" t="s">
        <v>190</v>
      </c>
      <c r="HD770" s="319" t="s">
        <v>190</v>
      </c>
      <c r="HE770" s="319" t="s">
        <v>190</v>
      </c>
      <c r="HF770" s="319" t="s">
        <v>190</v>
      </c>
      <c r="HG770" s="319" t="s">
        <v>190</v>
      </c>
      <c r="HH770" s="319" t="s">
        <v>190</v>
      </c>
      <c r="HI770" s="319" t="s">
        <v>190</v>
      </c>
      <c r="HJ770" s="319" t="s">
        <v>190</v>
      </c>
      <c r="HK770" s="319" t="s">
        <v>428</v>
      </c>
      <c r="HL770" s="319" t="s">
        <v>428</v>
      </c>
      <c r="HM770" s="319" t="s">
        <v>428</v>
      </c>
      <c r="HN770" s="319" t="s">
        <v>428</v>
      </c>
      <c r="HO770" s="319" t="s">
        <v>428</v>
      </c>
      <c r="HP770" s="319" t="s">
        <v>190</v>
      </c>
      <c r="HQ770" s="319" t="s">
        <v>190</v>
      </c>
      <c r="HR770" s="319" t="s">
        <v>190</v>
      </c>
      <c r="HS770" s="319" t="s">
        <v>190</v>
      </c>
      <c r="HT770" s="319" t="s">
        <v>190</v>
      </c>
      <c r="HU770" s="319" t="s">
        <v>190</v>
      </c>
      <c r="HV770" s="319" t="s">
        <v>190</v>
      </c>
      <c r="HW770" s="319" t="s">
        <v>190</v>
      </c>
      <c r="HX770" s="319" t="s">
        <v>190</v>
      </c>
      <c r="HY770" s="319" t="s">
        <v>190</v>
      </c>
      <c r="HZ770" s="319" t="s">
        <v>190</v>
      </c>
      <c r="IA770" s="319" t="s">
        <v>190</v>
      </c>
      <c r="IB770" s="319" t="s">
        <v>190</v>
      </c>
      <c r="IC770" s="319" t="s">
        <v>190</v>
      </c>
      <c r="ID770" s="319" t="s">
        <v>190</v>
      </c>
      <c r="IE770" s="319" t="s">
        <v>190</v>
      </c>
      <c r="IF770" s="319" t="s">
        <v>191</v>
      </c>
      <c r="IG770" s="319" t="s">
        <v>191</v>
      </c>
      <c r="IH770" s="319" t="s">
        <v>191</v>
      </c>
      <c r="II770" s="319" t="s">
        <v>190</v>
      </c>
      <c r="IJ770" s="319" t="s">
        <v>3508</v>
      </c>
      <c r="IK770" s="321">
        <v>42059</v>
      </c>
      <c r="IL770" s="321">
        <v>42061</v>
      </c>
      <c r="IM770" s="321">
        <v>42109</v>
      </c>
      <c r="IN770" s="319">
        <v>2</v>
      </c>
      <c r="IO770" s="319">
        <v>10101557</v>
      </c>
      <c r="IP770" s="319" t="s">
        <v>985</v>
      </c>
      <c r="IQ770" s="321">
        <v>43593</v>
      </c>
      <c r="IR770" s="320" t="s">
        <v>1223</v>
      </c>
      <c r="IS770" s="322">
        <v>43625</v>
      </c>
      <c r="IT770" s="319" t="s">
        <v>165</v>
      </c>
    </row>
    <row r="771" spans="1:254" s="271" customFormat="1" x14ac:dyDescent="0.25">
      <c r="A771" s="318" t="str">
        <f>HYPERLINK("http://www.ofsted.gov.uk/inspection-reports/find-inspection-report/provider/ELS/140814 ","Ofsted School Webpage")</f>
        <v>Ofsted School Webpage</v>
      </c>
      <c r="B771" s="319">
        <v>140814</v>
      </c>
      <c r="C771" s="319">
        <v>3576004</v>
      </c>
      <c r="D771" s="319" t="s">
        <v>2267</v>
      </c>
      <c r="E771" s="319" t="s">
        <v>168</v>
      </c>
      <c r="F771" s="319" t="s">
        <v>81</v>
      </c>
      <c r="G771" s="319" t="s">
        <v>81</v>
      </c>
      <c r="H771" s="319" t="s">
        <v>81</v>
      </c>
      <c r="I771" s="319" t="s">
        <v>78</v>
      </c>
      <c r="J771" s="319" t="s">
        <v>424</v>
      </c>
      <c r="K771" s="319" t="s">
        <v>431</v>
      </c>
      <c r="L771" s="319" t="s">
        <v>431</v>
      </c>
      <c r="M771" s="319" t="s">
        <v>742</v>
      </c>
      <c r="N771" s="319" t="s">
        <v>3509</v>
      </c>
      <c r="O771" s="319" t="s">
        <v>2268</v>
      </c>
      <c r="P771" s="319">
        <v>6</v>
      </c>
      <c r="Q771" s="319" t="s">
        <v>429</v>
      </c>
      <c r="R771" s="320">
        <v>10043785</v>
      </c>
      <c r="S771" s="321">
        <v>43081</v>
      </c>
      <c r="T771" s="321">
        <v>43083</v>
      </c>
      <c r="U771" s="321">
        <v>43130</v>
      </c>
      <c r="V771" s="319" t="s">
        <v>425</v>
      </c>
      <c r="W771" s="319" t="s">
        <v>2767</v>
      </c>
      <c r="X771" s="319">
        <v>2</v>
      </c>
      <c r="Y771" s="319" t="s">
        <v>173</v>
      </c>
      <c r="Z771" s="319" t="s">
        <v>173</v>
      </c>
      <c r="AA771" s="319" t="s">
        <v>173</v>
      </c>
      <c r="AB771" s="319">
        <v>2</v>
      </c>
      <c r="AC771" s="319" t="s">
        <v>169</v>
      </c>
      <c r="AD771" s="319" t="s">
        <v>173</v>
      </c>
      <c r="AE771" s="319" t="s">
        <v>173</v>
      </c>
      <c r="AF771" s="319" t="s">
        <v>427</v>
      </c>
      <c r="AG771" s="319" t="s">
        <v>171</v>
      </c>
      <c r="AH771" s="319" t="s">
        <v>190</v>
      </c>
      <c r="AI771" s="319" t="s">
        <v>190</v>
      </c>
      <c r="AJ771" s="319" t="s">
        <v>190</v>
      </c>
      <c r="AK771" s="319" t="s">
        <v>190</v>
      </c>
      <c r="AL771" s="319" t="s">
        <v>190</v>
      </c>
      <c r="AM771" s="319" t="s">
        <v>190</v>
      </c>
      <c r="AN771" s="319" t="s">
        <v>190</v>
      </c>
      <c r="AO771" s="319" t="s">
        <v>190</v>
      </c>
      <c r="AP771" s="319" t="s">
        <v>190</v>
      </c>
      <c r="AQ771" s="319" t="s">
        <v>190</v>
      </c>
      <c r="AR771" s="319" t="s">
        <v>190</v>
      </c>
      <c r="AS771" s="319" t="s">
        <v>190</v>
      </c>
      <c r="AT771" s="319" t="s">
        <v>190</v>
      </c>
      <c r="AU771" s="319" t="s">
        <v>190</v>
      </c>
      <c r="AV771" s="319" t="s">
        <v>190</v>
      </c>
      <c r="AW771" s="319" t="s">
        <v>190</v>
      </c>
      <c r="AX771" s="319" t="s">
        <v>428</v>
      </c>
      <c r="AY771" s="319" t="s">
        <v>190</v>
      </c>
      <c r="AZ771" s="319" t="s">
        <v>190</v>
      </c>
      <c r="BA771" s="319" t="s">
        <v>190</v>
      </c>
      <c r="BB771" s="319" t="s">
        <v>190</v>
      </c>
      <c r="BC771" s="319" t="s">
        <v>190</v>
      </c>
      <c r="BD771" s="319" t="s">
        <v>190</v>
      </c>
      <c r="BE771" s="319" t="s">
        <v>190</v>
      </c>
      <c r="BF771" s="319" t="s">
        <v>428</v>
      </c>
      <c r="BG771" s="319" t="s">
        <v>428</v>
      </c>
      <c r="BH771" s="319" t="s">
        <v>190</v>
      </c>
      <c r="BI771" s="319" t="s">
        <v>190</v>
      </c>
      <c r="BJ771" s="319" t="s">
        <v>190</v>
      </c>
      <c r="BK771" s="319" t="s">
        <v>190</v>
      </c>
      <c r="BL771" s="319" t="s">
        <v>190</v>
      </c>
      <c r="BM771" s="319" t="s">
        <v>190</v>
      </c>
      <c r="BN771" s="319" t="s">
        <v>190</v>
      </c>
      <c r="BO771" s="319" t="s">
        <v>190</v>
      </c>
      <c r="BP771" s="319" t="s">
        <v>190</v>
      </c>
      <c r="BQ771" s="319" t="s">
        <v>190</v>
      </c>
      <c r="BR771" s="319" t="s">
        <v>190</v>
      </c>
      <c r="BS771" s="319" t="s">
        <v>190</v>
      </c>
      <c r="BT771" s="319" t="s">
        <v>190</v>
      </c>
      <c r="BU771" s="319" t="s">
        <v>190</v>
      </c>
      <c r="BV771" s="319" t="s">
        <v>190</v>
      </c>
      <c r="BW771" s="319" t="s">
        <v>190</v>
      </c>
      <c r="BX771" s="319" t="s">
        <v>190</v>
      </c>
      <c r="BY771" s="319" t="s">
        <v>190</v>
      </c>
      <c r="BZ771" s="319" t="s">
        <v>190</v>
      </c>
      <c r="CA771" s="319" t="s">
        <v>190</v>
      </c>
      <c r="CB771" s="319" t="s">
        <v>190</v>
      </c>
      <c r="CC771" s="319" t="s">
        <v>190</v>
      </c>
      <c r="CD771" s="319" t="s">
        <v>190</v>
      </c>
      <c r="CE771" s="319" t="s">
        <v>190</v>
      </c>
      <c r="CF771" s="319" t="s">
        <v>190</v>
      </c>
      <c r="CG771" s="319" t="s">
        <v>190</v>
      </c>
      <c r="CH771" s="319" t="s">
        <v>190</v>
      </c>
      <c r="CI771" s="319" t="s">
        <v>190</v>
      </c>
      <c r="CJ771" s="319" t="s">
        <v>190</v>
      </c>
      <c r="CK771" s="319" t="s">
        <v>190</v>
      </c>
      <c r="CL771" s="319" t="s">
        <v>190</v>
      </c>
      <c r="CM771" s="319" t="s">
        <v>190</v>
      </c>
      <c r="CN771" s="319" t="s">
        <v>428</v>
      </c>
      <c r="CO771" s="319" t="s">
        <v>428</v>
      </c>
      <c r="CP771" s="319" t="s">
        <v>428</v>
      </c>
      <c r="CQ771" s="319" t="s">
        <v>190</v>
      </c>
      <c r="CR771" s="319" t="s">
        <v>190</v>
      </c>
      <c r="CS771" s="319" t="s">
        <v>190</v>
      </c>
      <c r="CT771" s="319" t="s">
        <v>190</v>
      </c>
      <c r="CU771" s="319" t="s">
        <v>190</v>
      </c>
      <c r="CV771" s="319" t="s">
        <v>190</v>
      </c>
      <c r="CW771" s="319" t="s">
        <v>190</v>
      </c>
      <c r="CX771" s="319" t="s">
        <v>190</v>
      </c>
      <c r="CY771" s="319" t="s">
        <v>190</v>
      </c>
      <c r="CZ771" s="319" t="s">
        <v>190</v>
      </c>
      <c r="DA771" s="319" t="s">
        <v>190</v>
      </c>
      <c r="DB771" s="319" t="s">
        <v>190</v>
      </c>
      <c r="DC771" s="319" t="s">
        <v>190</v>
      </c>
      <c r="DD771" s="319" t="s">
        <v>190</v>
      </c>
      <c r="DE771" s="319" t="s">
        <v>190</v>
      </c>
      <c r="DF771" s="319" t="s">
        <v>190</v>
      </c>
      <c r="DG771" s="319" t="s">
        <v>190</v>
      </c>
      <c r="DH771" s="319" t="s">
        <v>190</v>
      </c>
      <c r="DI771" s="319" t="s">
        <v>190</v>
      </c>
      <c r="DJ771" s="319" t="s">
        <v>190</v>
      </c>
      <c r="DK771" s="319" t="s">
        <v>190</v>
      </c>
      <c r="DL771" s="319" t="s">
        <v>190</v>
      </c>
      <c r="DM771" s="319" t="s">
        <v>190</v>
      </c>
      <c r="DN771" s="319" t="s">
        <v>428</v>
      </c>
      <c r="DO771" s="319" t="s">
        <v>190</v>
      </c>
      <c r="DP771" s="319" t="s">
        <v>190</v>
      </c>
      <c r="DQ771" s="319" t="s">
        <v>190</v>
      </c>
      <c r="DR771" s="319" t="s">
        <v>190</v>
      </c>
      <c r="DS771" s="319" t="s">
        <v>190</v>
      </c>
      <c r="DT771" s="319" t="s">
        <v>190</v>
      </c>
      <c r="DU771" s="319" t="s">
        <v>190</v>
      </c>
      <c r="DV771" s="319" t="s">
        <v>173</v>
      </c>
      <c r="DW771" s="319" t="s">
        <v>190</v>
      </c>
      <c r="DX771" s="319" t="s">
        <v>190</v>
      </c>
      <c r="DY771" s="319" t="s">
        <v>190</v>
      </c>
      <c r="DZ771" s="319" t="s">
        <v>190</v>
      </c>
      <c r="EA771" s="319" t="s">
        <v>190</v>
      </c>
      <c r="EB771" s="319" t="s">
        <v>190</v>
      </c>
      <c r="EC771" s="319" t="s">
        <v>428</v>
      </c>
      <c r="ED771" s="319" t="s">
        <v>190</v>
      </c>
      <c r="EE771" s="319" t="s">
        <v>190</v>
      </c>
      <c r="EF771" s="319" t="s">
        <v>190</v>
      </c>
      <c r="EG771" s="319" t="s">
        <v>190</v>
      </c>
      <c r="EH771" s="319" t="s">
        <v>190</v>
      </c>
      <c r="EI771" s="319" t="s">
        <v>190</v>
      </c>
      <c r="EJ771" s="319" t="s">
        <v>190</v>
      </c>
      <c r="EK771" s="319" t="s">
        <v>190</v>
      </c>
      <c r="EL771" s="319" t="s">
        <v>190</v>
      </c>
      <c r="EM771" s="319" t="s">
        <v>190</v>
      </c>
      <c r="EN771" s="319" t="s">
        <v>190</v>
      </c>
      <c r="EO771" s="319" t="s">
        <v>190</v>
      </c>
      <c r="EP771" s="319" t="s">
        <v>190</v>
      </c>
      <c r="EQ771" s="319" t="s">
        <v>190</v>
      </c>
      <c r="ER771" s="319" t="s">
        <v>190</v>
      </c>
      <c r="ES771" s="319" t="s">
        <v>428</v>
      </c>
      <c r="ET771" s="319" t="s">
        <v>190</v>
      </c>
      <c r="EU771" s="319" t="s">
        <v>190</v>
      </c>
      <c r="EV771" s="319" t="s">
        <v>190</v>
      </c>
      <c r="EW771" s="319" t="s">
        <v>190</v>
      </c>
      <c r="EX771" s="319" t="s">
        <v>190</v>
      </c>
      <c r="EY771" s="319" t="s">
        <v>190</v>
      </c>
      <c r="EZ771" s="319" t="s">
        <v>190</v>
      </c>
      <c r="FA771" s="319" t="s">
        <v>428</v>
      </c>
      <c r="FB771" s="319" t="s">
        <v>428</v>
      </c>
      <c r="FC771" s="319" t="s">
        <v>190</v>
      </c>
      <c r="FD771" s="319" t="s">
        <v>190</v>
      </c>
      <c r="FE771" s="319" t="s">
        <v>190</v>
      </c>
      <c r="FF771" s="319" t="s">
        <v>190</v>
      </c>
      <c r="FG771" s="319" t="s">
        <v>190</v>
      </c>
      <c r="FH771" s="319" t="s">
        <v>190</v>
      </c>
      <c r="FI771" s="319" t="s">
        <v>190</v>
      </c>
      <c r="FJ771" s="319" t="s">
        <v>190</v>
      </c>
      <c r="FK771" s="319" t="s">
        <v>190</v>
      </c>
      <c r="FL771" s="319" t="s">
        <v>190</v>
      </c>
      <c r="FM771" s="319" t="s">
        <v>190</v>
      </c>
      <c r="FN771" s="319" t="s">
        <v>190</v>
      </c>
      <c r="FO771" s="319" t="s">
        <v>190</v>
      </c>
      <c r="FP771" s="319" t="s">
        <v>190</v>
      </c>
      <c r="FQ771" s="319" t="s">
        <v>190</v>
      </c>
      <c r="FR771" s="319" t="s">
        <v>190</v>
      </c>
      <c r="FS771" s="319" t="s">
        <v>428</v>
      </c>
      <c r="FT771" s="319" t="s">
        <v>190</v>
      </c>
      <c r="FU771" s="319" t="s">
        <v>190</v>
      </c>
      <c r="FV771" s="319" t="s">
        <v>190</v>
      </c>
      <c r="FW771" s="319" t="s">
        <v>190</v>
      </c>
      <c r="FX771" s="319" t="s">
        <v>190</v>
      </c>
      <c r="FY771" s="319" t="s">
        <v>190</v>
      </c>
      <c r="FZ771" s="319" t="s">
        <v>190</v>
      </c>
      <c r="GA771" s="319" t="s">
        <v>190</v>
      </c>
      <c r="GB771" s="319" t="s">
        <v>190</v>
      </c>
      <c r="GC771" s="319" t="s">
        <v>190</v>
      </c>
      <c r="GD771" s="319" t="s">
        <v>190</v>
      </c>
      <c r="GE771" s="319" t="s">
        <v>190</v>
      </c>
      <c r="GF771" s="319" t="s">
        <v>190</v>
      </c>
      <c r="GG771" s="319" t="s">
        <v>190</v>
      </c>
      <c r="GH771" s="319" t="s">
        <v>190</v>
      </c>
      <c r="GI771" s="319" t="s">
        <v>190</v>
      </c>
      <c r="GJ771" s="319" t="s">
        <v>190</v>
      </c>
      <c r="GK771" s="319" t="s">
        <v>428</v>
      </c>
      <c r="GL771" s="319" t="s">
        <v>190</v>
      </c>
      <c r="GM771" s="319" t="s">
        <v>190</v>
      </c>
      <c r="GN771" s="319" t="s">
        <v>190</v>
      </c>
      <c r="GO771" s="319" t="s">
        <v>190</v>
      </c>
      <c r="GP771" s="319" t="s">
        <v>190</v>
      </c>
      <c r="GQ771" s="319" t="s">
        <v>428</v>
      </c>
      <c r="GR771" s="319" t="s">
        <v>190</v>
      </c>
      <c r="GS771" s="319" t="s">
        <v>190</v>
      </c>
      <c r="GT771" s="319" t="s">
        <v>190</v>
      </c>
      <c r="GU771" s="319" t="s">
        <v>190</v>
      </c>
      <c r="GV771" s="319" t="s">
        <v>428</v>
      </c>
      <c r="GW771" s="319" t="s">
        <v>190</v>
      </c>
      <c r="GX771" s="319" t="s">
        <v>190</v>
      </c>
      <c r="GY771" s="319" t="s">
        <v>190</v>
      </c>
      <c r="GZ771" s="319" t="s">
        <v>428</v>
      </c>
      <c r="HA771" s="319" t="s">
        <v>190</v>
      </c>
      <c r="HB771" s="319" t="s">
        <v>428</v>
      </c>
      <c r="HC771" s="319" t="s">
        <v>190</v>
      </c>
      <c r="HD771" s="319" t="s">
        <v>190</v>
      </c>
      <c r="HE771" s="319" t="s">
        <v>190</v>
      </c>
      <c r="HF771" s="319" t="s">
        <v>190</v>
      </c>
      <c r="HG771" s="319" t="s">
        <v>190</v>
      </c>
      <c r="HH771" s="319" t="s">
        <v>190</v>
      </c>
      <c r="HI771" s="319" t="s">
        <v>190</v>
      </c>
      <c r="HJ771" s="319" t="s">
        <v>190</v>
      </c>
      <c r="HK771" s="319" t="s">
        <v>190</v>
      </c>
      <c r="HL771" s="319" t="s">
        <v>428</v>
      </c>
      <c r="HM771" s="319" t="s">
        <v>428</v>
      </c>
      <c r="HN771" s="319" t="s">
        <v>428</v>
      </c>
      <c r="HO771" s="319" t="s">
        <v>428</v>
      </c>
      <c r="HP771" s="319" t="s">
        <v>190</v>
      </c>
      <c r="HQ771" s="319" t="s">
        <v>190</v>
      </c>
      <c r="HR771" s="319" t="s">
        <v>190</v>
      </c>
      <c r="HS771" s="319" t="s">
        <v>190</v>
      </c>
      <c r="HT771" s="319" t="s">
        <v>190</v>
      </c>
      <c r="HU771" s="319" t="s">
        <v>190</v>
      </c>
      <c r="HV771" s="319" t="s">
        <v>190</v>
      </c>
      <c r="HW771" s="319" t="s">
        <v>190</v>
      </c>
      <c r="HX771" s="319" t="s">
        <v>190</v>
      </c>
      <c r="HY771" s="319" t="s">
        <v>190</v>
      </c>
      <c r="HZ771" s="319" t="s">
        <v>190</v>
      </c>
      <c r="IA771" s="319" t="s">
        <v>190</v>
      </c>
      <c r="IB771" s="319" t="s">
        <v>190</v>
      </c>
      <c r="IC771" s="319" t="s">
        <v>190</v>
      </c>
      <c r="ID771" s="319" t="s">
        <v>190</v>
      </c>
      <c r="IE771" s="319" t="s">
        <v>190</v>
      </c>
      <c r="IF771" s="319" t="s">
        <v>190</v>
      </c>
      <c r="IG771" s="319" t="s">
        <v>190</v>
      </c>
      <c r="IH771" s="319" t="s">
        <v>190</v>
      </c>
      <c r="II771" s="319" t="s">
        <v>190</v>
      </c>
      <c r="IJ771" s="319" t="s">
        <v>3510</v>
      </c>
      <c r="IK771" s="321">
        <v>42038</v>
      </c>
      <c r="IL771" s="321">
        <v>42039</v>
      </c>
      <c r="IM771" s="321">
        <v>42073</v>
      </c>
      <c r="IN771" s="319">
        <v>2</v>
      </c>
      <c r="IO771" s="319" t="s">
        <v>173</v>
      </c>
      <c r="IP771" s="319" t="s">
        <v>173</v>
      </c>
      <c r="IQ771" s="321" t="s">
        <v>173</v>
      </c>
      <c r="IR771" s="320" t="s">
        <v>173</v>
      </c>
      <c r="IS771" s="322" t="s">
        <v>173</v>
      </c>
      <c r="IT771" s="319" t="s">
        <v>173</v>
      </c>
    </row>
    <row r="772" spans="1:254" s="271" customFormat="1" x14ac:dyDescent="0.25">
      <c r="A772" s="318" t="str">
        <f>HYPERLINK("http://www.ofsted.gov.uk/inspection-reports/find-inspection-report/provider/ELS/140816 ","Ofsted School Webpage")</f>
        <v>Ofsted School Webpage</v>
      </c>
      <c r="B772" s="319">
        <v>140816</v>
      </c>
      <c r="C772" s="319">
        <v>3716001</v>
      </c>
      <c r="D772" s="319" t="s">
        <v>2269</v>
      </c>
      <c r="E772" s="319" t="s">
        <v>168</v>
      </c>
      <c r="F772" s="319" t="s">
        <v>81</v>
      </c>
      <c r="G772" s="319" t="s">
        <v>81</v>
      </c>
      <c r="H772" s="319" t="s">
        <v>81</v>
      </c>
      <c r="I772" s="319" t="s">
        <v>78</v>
      </c>
      <c r="J772" s="319" t="s">
        <v>424</v>
      </c>
      <c r="K772" s="319" t="s">
        <v>458</v>
      </c>
      <c r="L772" s="319" t="s">
        <v>459</v>
      </c>
      <c r="M772" s="319" t="s">
        <v>716</v>
      </c>
      <c r="N772" s="319" t="s">
        <v>2880</v>
      </c>
      <c r="O772" s="319" t="s">
        <v>2270</v>
      </c>
      <c r="P772" s="319">
        <v>39</v>
      </c>
      <c r="Q772" s="319" t="s">
        <v>429</v>
      </c>
      <c r="R772" s="320">
        <v>10040146</v>
      </c>
      <c r="S772" s="321">
        <v>43081</v>
      </c>
      <c r="T772" s="321">
        <v>43083</v>
      </c>
      <c r="U772" s="321">
        <v>43115</v>
      </c>
      <c r="V772" s="319" t="s">
        <v>425</v>
      </c>
      <c r="W772" s="319" t="s">
        <v>2767</v>
      </c>
      <c r="X772" s="319">
        <v>2</v>
      </c>
      <c r="Y772" s="319" t="s">
        <v>173</v>
      </c>
      <c r="Z772" s="319" t="s">
        <v>173</v>
      </c>
      <c r="AA772" s="319" t="s">
        <v>173</v>
      </c>
      <c r="AB772" s="319">
        <v>2</v>
      </c>
      <c r="AC772" s="319" t="s">
        <v>169</v>
      </c>
      <c r="AD772" s="319" t="s">
        <v>173</v>
      </c>
      <c r="AE772" s="319" t="s">
        <v>173</v>
      </c>
      <c r="AF772" s="319" t="s">
        <v>427</v>
      </c>
      <c r="AG772" s="319" t="s">
        <v>171</v>
      </c>
      <c r="AH772" s="319" t="s">
        <v>190</v>
      </c>
      <c r="AI772" s="319" t="s">
        <v>190</v>
      </c>
      <c r="AJ772" s="319" t="s">
        <v>190</v>
      </c>
      <c r="AK772" s="319" t="s">
        <v>190</v>
      </c>
      <c r="AL772" s="319" t="s">
        <v>190</v>
      </c>
      <c r="AM772" s="319" t="s">
        <v>190</v>
      </c>
      <c r="AN772" s="319" t="s">
        <v>190</v>
      </c>
      <c r="AO772" s="319" t="s">
        <v>190</v>
      </c>
      <c r="AP772" s="319" t="s">
        <v>190</v>
      </c>
      <c r="AQ772" s="319" t="s">
        <v>190</v>
      </c>
      <c r="AR772" s="319" t="s">
        <v>190</v>
      </c>
      <c r="AS772" s="319" t="s">
        <v>190</v>
      </c>
      <c r="AT772" s="319" t="s">
        <v>190</v>
      </c>
      <c r="AU772" s="319" t="s">
        <v>190</v>
      </c>
      <c r="AV772" s="319" t="s">
        <v>190</v>
      </c>
      <c r="AW772" s="319" t="s">
        <v>190</v>
      </c>
      <c r="AX772" s="319" t="s">
        <v>428</v>
      </c>
      <c r="AY772" s="319" t="s">
        <v>190</v>
      </c>
      <c r="AZ772" s="319" t="s">
        <v>190</v>
      </c>
      <c r="BA772" s="319" t="s">
        <v>190</v>
      </c>
      <c r="BB772" s="319" t="s">
        <v>190</v>
      </c>
      <c r="BC772" s="319" t="s">
        <v>190</v>
      </c>
      <c r="BD772" s="319" t="s">
        <v>190</v>
      </c>
      <c r="BE772" s="319" t="s">
        <v>190</v>
      </c>
      <c r="BF772" s="319" t="s">
        <v>190</v>
      </c>
      <c r="BG772" s="319" t="s">
        <v>190</v>
      </c>
      <c r="BH772" s="319" t="s">
        <v>190</v>
      </c>
      <c r="BI772" s="319" t="s">
        <v>190</v>
      </c>
      <c r="BJ772" s="319" t="s">
        <v>190</v>
      </c>
      <c r="BK772" s="319" t="s">
        <v>190</v>
      </c>
      <c r="BL772" s="319" t="s">
        <v>190</v>
      </c>
      <c r="BM772" s="319" t="s">
        <v>190</v>
      </c>
      <c r="BN772" s="319" t="s">
        <v>190</v>
      </c>
      <c r="BO772" s="319" t="s">
        <v>190</v>
      </c>
      <c r="BP772" s="319" t="s">
        <v>190</v>
      </c>
      <c r="BQ772" s="319" t="s">
        <v>190</v>
      </c>
      <c r="BR772" s="319" t="s">
        <v>190</v>
      </c>
      <c r="BS772" s="319" t="s">
        <v>190</v>
      </c>
      <c r="BT772" s="319" t="s">
        <v>190</v>
      </c>
      <c r="BU772" s="319" t="s">
        <v>190</v>
      </c>
      <c r="BV772" s="319" t="s">
        <v>190</v>
      </c>
      <c r="BW772" s="319" t="s">
        <v>190</v>
      </c>
      <c r="BX772" s="319" t="s">
        <v>190</v>
      </c>
      <c r="BY772" s="319" t="s">
        <v>190</v>
      </c>
      <c r="BZ772" s="319" t="s">
        <v>190</v>
      </c>
      <c r="CA772" s="319" t="s">
        <v>190</v>
      </c>
      <c r="CB772" s="319" t="s">
        <v>190</v>
      </c>
      <c r="CC772" s="319" t="s">
        <v>190</v>
      </c>
      <c r="CD772" s="319" t="s">
        <v>190</v>
      </c>
      <c r="CE772" s="319" t="s">
        <v>190</v>
      </c>
      <c r="CF772" s="319" t="s">
        <v>190</v>
      </c>
      <c r="CG772" s="319" t="s">
        <v>190</v>
      </c>
      <c r="CH772" s="319" t="s">
        <v>190</v>
      </c>
      <c r="CI772" s="319" t="s">
        <v>190</v>
      </c>
      <c r="CJ772" s="319" t="s">
        <v>190</v>
      </c>
      <c r="CK772" s="319" t="s">
        <v>190</v>
      </c>
      <c r="CL772" s="319" t="s">
        <v>190</v>
      </c>
      <c r="CM772" s="319" t="s">
        <v>190</v>
      </c>
      <c r="CN772" s="319" t="s">
        <v>428</v>
      </c>
      <c r="CO772" s="319" t="s">
        <v>428</v>
      </c>
      <c r="CP772" s="319" t="s">
        <v>428</v>
      </c>
      <c r="CQ772" s="319" t="s">
        <v>190</v>
      </c>
      <c r="CR772" s="319" t="s">
        <v>190</v>
      </c>
      <c r="CS772" s="319" t="s">
        <v>190</v>
      </c>
      <c r="CT772" s="319" t="s">
        <v>190</v>
      </c>
      <c r="CU772" s="319" t="s">
        <v>190</v>
      </c>
      <c r="CV772" s="319" t="s">
        <v>190</v>
      </c>
      <c r="CW772" s="319" t="s">
        <v>190</v>
      </c>
      <c r="CX772" s="319" t="s">
        <v>190</v>
      </c>
      <c r="CY772" s="319" t="s">
        <v>190</v>
      </c>
      <c r="CZ772" s="319" t="s">
        <v>190</v>
      </c>
      <c r="DA772" s="319" t="s">
        <v>190</v>
      </c>
      <c r="DB772" s="319" t="s">
        <v>190</v>
      </c>
      <c r="DC772" s="319" t="s">
        <v>190</v>
      </c>
      <c r="DD772" s="319" t="s">
        <v>190</v>
      </c>
      <c r="DE772" s="319" t="s">
        <v>190</v>
      </c>
      <c r="DF772" s="319" t="s">
        <v>190</v>
      </c>
      <c r="DG772" s="319" t="s">
        <v>190</v>
      </c>
      <c r="DH772" s="319" t="s">
        <v>190</v>
      </c>
      <c r="DI772" s="319" t="s">
        <v>190</v>
      </c>
      <c r="DJ772" s="319" t="s">
        <v>190</v>
      </c>
      <c r="DK772" s="319" t="s">
        <v>190</v>
      </c>
      <c r="DL772" s="319" t="s">
        <v>190</v>
      </c>
      <c r="DM772" s="319" t="s">
        <v>190</v>
      </c>
      <c r="DN772" s="319" t="s">
        <v>428</v>
      </c>
      <c r="DO772" s="319" t="s">
        <v>190</v>
      </c>
      <c r="DP772" s="319" t="s">
        <v>190</v>
      </c>
      <c r="DQ772" s="319" t="s">
        <v>190</v>
      </c>
      <c r="DR772" s="319" t="s">
        <v>190</v>
      </c>
      <c r="DS772" s="319" t="s">
        <v>190</v>
      </c>
      <c r="DT772" s="319" t="s">
        <v>190</v>
      </c>
      <c r="DU772" s="319" t="s">
        <v>190</v>
      </c>
      <c r="DV772" s="319" t="s">
        <v>173</v>
      </c>
      <c r="DW772" s="319" t="s">
        <v>190</v>
      </c>
      <c r="DX772" s="319" t="s">
        <v>190</v>
      </c>
      <c r="DY772" s="319" t="s">
        <v>190</v>
      </c>
      <c r="DZ772" s="319" t="s">
        <v>190</v>
      </c>
      <c r="EA772" s="319" t="s">
        <v>190</v>
      </c>
      <c r="EB772" s="319" t="s">
        <v>190</v>
      </c>
      <c r="EC772" s="319" t="s">
        <v>428</v>
      </c>
      <c r="ED772" s="319" t="s">
        <v>190</v>
      </c>
      <c r="EE772" s="319" t="s">
        <v>190</v>
      </c>
      <c r="EF772" s="319" t="s">
        <v>190</v>
      </c>
      <c r="EG772" s="319" t="s">
        <v>190</v>
      </c>
      <c r="EH772" s="319" t="s">
        <v>190</v>
      </c>
      <c r="EI772" s="319" t="s">
        <v>190</v>
      </c>
      <c r="EJ772" s="319" t="s">
        <v>190</v>
      </c>
      <c r="EK772" s="319" t="s">
        <v>190</v>
      </c>
      <c r="EL772" s="319" t="s">
        <v>190</v>
      </c>
      <c r="EM772" s="319" t="s">
        <v>190</v>
      </c>
      <c r="EN772" s="319" t="s">
        <v>190</v>
      </c>
      <c r="EO772" s="319" t="s">
        <v>190</v>
      </c>
      <c r="EP772" s="319" t="s">
        <v>190</v>
      </c>
      <c r="EQ772" s="319" t="s">
        <v>190</v>
      </c>
      <c r="ER772" s="319" t="s">
        <v>190</v>
      </c>
      <c r="ES772" s="319" t="s">
        <v>190</v>
      </c>
      <c r="ET772" s="319" t="s">
        <v>190</v>
      </c>
      <c r="EU772" s="319" t="s">
        <v>190</v>
      </c>
      <c r="EV772" s="319" t="s">
        <v>190</v>
      </c>
      <c r="EW772" s="319" t="s">
        <v>190</v>
      </c>
      <c r="EX772" s="319" t="s">
        <v>190</v>
      </c>
      <c r="EY772" s="319" t="s">
        <v>190</v>
      </c>
      <c r="EZ772" s="319" t="s">
        <v>190</v>
      </c>
      <c r="FA772" s="319" t="s">
        <v>190</v>
      </c>
      <c r="FB772" s="319" t="s">
        <v>190</v>
      </c>
      <c r="FC772" s="319" t="s">
        <v>190</v>
      </c>
      <c r="FD772" s="319" t="s">
        <v>190</v>
      </c>
      <c r="FE772" s="319" t="s">
        <v>190</v>
      </c>
      <c r="FF772" s="319" t="s">
        <v>190</v>
      </c>
      <c r="FG772" s="319" t="s">
        <v>190</v>
      </c>
      <c r="FH772" s="319" t="s">
        <v>190</v>
      </c>
      <c r="FI772" s="319" t="s">
        <v>190</v>
      </c>
      <c r="FJ772" s="319" t="s">
        <v>190</v>
      </c>
      <c r="FK772" s="319" t="s">
        <v>190</v>
      </c>
      <c r="FL772" s="319" t="s">
        <v>190</v>
      </c>
      <c r="FM772" s="319" t="s">
        <v>190</v>
      </c>
      <c r="FN772" s="319" t="s">
        <v>190</v>
      </c>
      <c r="FO772" s="319" t="s">
        <v>190</v>
      </c>
      <c r="FP772" s="319" t="s">
        <v>190</v>
      </c>
      <c r="FQ772" s="319" t="s">
        <v>190</v>
      </c>
      <c r="FR772" s="319" t="s">
        <v>190</v>
      </c>
      <c r="FS772" s="319" t="s">
        <v>190</v>
      </c>
      <c r="FT772" s="319" t="s">
        <v>190</v>
      </c>
      <c r="FU772" s="319" t="s">
        <v>190</v>
      </c>
      <c r="FV772" s="319" t="s">
        <v>190</v>
      </c>
      <c r="FW772" s="319" t="s">
        <v>190</v>
      </c>
      <c r="FX772" s="319" t="s">
        <v>190</v>
      </c>
      <c r="FY772" s="319" t="s">
        <v>190</v>
      </c>
      <c r="FZ772" s="319" t="s">
        <v>190</v>
      </c>
      <c r="GA772" s="319" t="s">
        <v>190</v>
      </c>
      <c r="GB772" s="319" t="s">
        <v>190</v>
      </c>
      <c r="GC772" s="319" t="s">
        <v>190</v>
      </c>
      <c r="GD772" s="319" t="s">
        <v>190</v>
      </c>
      <c r="GE772" s="319" t="s">
        <v>190</v>
      </c>
      <c r="GF772" s="319" t="s">
        <v>190</v>
      </c>
      <c r="GG772" s="319" t="s">
        <v>190</v>
      </c>
      <c r="GH772" s="319" t="s">
        <v>190</v>
      </c>
      <c r="GI772" s="319" t="s">
        <v>190</v>
      </c>
      <c r="GJ772" s="319" t="s">
        <v>190</v>
      </c>
      <c r="GK772" s="319" t="s">
        <v>190</v>
      </c>
      <c r="GL772" s="319" t="s">
        <v>190</v>
      </c>
      <c r="GM772" s="319" t="s">
        <v>190</v>
      </c>
      <c r="GN772" s="319" t="s">
        <v>190</v>
      </c>
      <c r="GO772" s="319" t="s">
        <v>190</v>
      </c>
      <c r="GP772" s="319" t="s">
        <v>190</v>
      </c>
      <c r="GQ772" s="319" t="s">
        <v>190</v>
      </c>
      <c r="GR772" s="319" t="s">
        <v>190</v>
      </c>
      <c r="GS772" s="319" t="s">
        <v>190</v>
      </c>
      <c r="GT772" s="319" t="s">
        <v>190</v>
      </c>
      <c r="GU772" s="319" t="s">
        <v>190</v>
      </c>
      <c r="GV772" s="319" t="s">
        <v>190</v>
      </c>
      <c r="GW772" s="319" t="s">
        <v>190</v>
      </c>
      <c r="GX772" s="319" t="s">
        <v>190</v>
      </c>
      <c r="GY772" s="319" t="s">
        <v>190</v>
      </c>
      <c r="GZ772" s="319" t="s">
        <v>190</v>
      </c>
      <c r="HA772" s="319" t="s">
        <v>190</v>
      </c>
      <c r="HB772" s="319" t="s">
        <v>190</v>
      </c>
      <c r="HC772" s="319" t="s">
        <v>190</v>
      </c>
      <c r="HD772" s="319" t="s">
        <v>190</v>
      </c>
      <c r="HE772" s="319" t="s">
        <v>190</v>
      </c>
      <c r="HF772" s="319" t="s">
        <v>190</v>
      </c>
      <c r="HG772" s="319" t="s">
        <v>190</v>
      </c>
      <c r="HH772" s="319" t="s">
        <v>190</v>
      </c>
      <c r="HI772" s="319" t="s">
        <v>190</v>
      </c>
      <c r="HJ772" s="319" t="s">
        <v>190</v>
      </c>
      <c r="HK772" s="319" t="s">
        <v>190</v>
      </c>
      <c r="HL772" s="319" t="s">
        <v>190</v>
      </c>
      <c r="HM772" s="319" t="s">
        <v>428</v>
      </c>
      <c r="HN772" s="319" t="s">
        <v>428</v>
      </c>
      <c r="HO772" s="319" t="s">
        <v>428</v>
      </c>
      <c r="HP772" s="319" t="s">
        <v>190</v>
      </c>
      <c r="HQ772" s="319" t="s">
        <v>190</v>
      </c>
      <c r="HR772" s="319" t="s">
        <v>190</v>
      </c>
      <c r="HS772" s="319" t="s">
        <v>190</v>
      </c>
      <c r="HT772" s="319" t="s">
        <v>190</v>
      </c>
      <c r="HU772" s="319" t="s">
        <v>190</v>
      </c>
      <c r="HV772" s="319" t="s">
        <v>190</v>
      </c>
      <c r="HW772" s="319" t="s">
        <v>190</v>
      </c>
      <c r="HX772" s="319" t="s">
        <v>190</v>
      </c>
      <c r="HY772" s="319" t="s">
        <v>190</v>
      </c>
      <c r="HZ772" s="319" t="s">
        <v>190</v>
      </c>
      <c r="IA772" s="319" t="s">
        <v>190</v>
      </c>
      <c r="IB772" s="319" t="s">
        <v>190</v>
      </c>
      <c r="IC772" s="319" t="s">
        <v>190</v>
      </c>
      <c r="ID772" s="319" t="s">
        <v>190</v>
      </c>
      <c r="IE772" s="319" t="s">
        <v>190</v>
      </c>
      <c r="IF772" s="319" t="s">
        <v>190</v>
      </c>
      <c r="IG772" s="319" t="s">
        <v>190</v>
      </c>
      <c r="IH772" s="319" t="s">
        <v>190</v>
      </c>
      <c r="II772" s="319" t="s">
        <v>190</v>
      </c>
      <c r="IJ772" s="319">
        <v>10006604</v>
      </c>
      <c r="IK772" s="321">
        <v>42311</v>
      </c>
      <c r="IL772" s="321">
        <v>42313</v>
      </c>
      <c r="IM772" s="321">
        <v>42353</v>
      </c>
      <c r="IN772" s="319">
        <v>3</v>
      </c>
      <c r="IO772" s="319" t="s">
        <v>173</v>
      </c>
      <c r="IP772" s="319" t="s">
        <v>173</v>
      </c>
      <c r="IQ772" s="321" t="s">
        <v>173</v>
      </c>
      <c r="IR772" s="320" t="s">
        <v>173</v>
      </c>
      <c r="IS772" s="322" t="s">
        <v>173</v>
      </c>
      <c r="IT772" s="319" t="s">
        <v>173</v>
      </c>
    </row>
    <row r="773" spans="1:254" s="271" customFormat="1" x14ac:dyDescent="0.25">
      <c r="A773" s="318" t="str">
        <f>HYPERLINK("http://www.ofsted.gov.uk/inspection-reports/find-inspection-report/provider/ELS/140942 ","Ofsted School Webpage")</f>
        <v>Ofsted School Webpage</v>
      </c>
      <c r="B773" s="319">
        <v>140942</v>
      </c>
      <c r="C773" s="319">
        <v>9086003</v>
      </c>
      <c r="D773" s="319" t="s">
        <v>2271</v>
      </c>
      <c r="E773" s="319" t="s">
        <v>168</v>
      </c>
      <c r="F773" s="319" t="s">
        <v>81</v>
      </c>
      <c r="G773" s="319" t="s">
        <v>81</v>
      </c>
      <c r="H773" s="319" t="s">
        <v>81</v>
      </c>
      <c r="I773" s="319" t="s">
        <v>78</v>
      </c>
      <c r="J773" s="319" t="s">
        <v>424</v>
      </c>
      <c r="K773" s="319" t="s">
        <v>422</v>
      </c>
      <c r="L773" s="319" t="s">
        <v>422</v>
      </c>
      <c r="M773" s="319" t="s">
        <v>1204</v>
      </c>
      <c r="N773" s="319" t="s">
        <v>3511</v>
      </c>
      <c r="O773" s="319" t="s">
        <v>2272</v>
      </c>
      <c r="P773" s="319">
        <v>51</v>
      </c>
      <c r="Q773" s="319" t="s">
        <v>429</v>
      </c>
      <c r="R773" s="320">
        <v>10041380</v>
      </c>
      <c r="S773" s="321">
        <v>43180</v>
      </c>
      <c r="T773" s="321">
        <v>43182</v>
      </c>
      <c r="U773" s="321">
        <v>43221</v>
      </c>
      <c r="V773" s="319" t="s">
        <v>425</v>
      </c>
      <c r="W773" s="319" t="s">
        <v>2767</v>
      </c>
      <c r="X773" s="319">
        <v>1</v>
      </c>
      <c r="Y773" s="319" t="s">
        <v>173</v>
      </c>
      <c r="Z773" s="319" t="s">
        <v>173</v>
      </c>
      <c r="AA773" s="319" t="s">
        <v>173</v>
      </c>
      <c r="AB773" s="319">
        <v>1</v>
      </c>
      <c r="AC773" s="319" t="s">
        <v>169</v>
      </c>
      <c r="AD773" s="319" t="s">
        <v>173</v>
      </c>
      <c r="AE773" s="319" t="s">
        <v>173</v>
      </c>
      <c r="AF773" s="319" t="s">
        <v>427</v>
      </c>
      <c r="AG773" s="319" t="s">
        <v>171</v>
      </c>
      <c r="AH773" s="319" t="s">
        <v>190</v>
      </c>
      <c r="AI773" s="319" t="s">
        <v>190</v>
      </c>
      <c r="AJ773" s="319" t="s">
        <v>190</v>
      </c>
      <c r="AK773" s="319" t="s">
        <v>190</v>
      </c>
      <c r="AL773" s="319" t="s">
        <v>190</v>
      </c>
      <c r="AM773" s="319" t="s">
        <v>190</v>
      </c>
      <c r="AN773" s="319" t="s">
        <v>190</v>
      </c>
      <c r="AO773" s="319" t="s">
        <v>190</v>
      </c>
      <c r="AP773" s="319" t="s">
        <v>190</v>
      </c>
      <c r="AQ773" s="319" t="s">
        <v>190</v>
      </c>
      <c r="AR773" s="319" t="s">
        <v>190</v>
      </c>
      <c r="AS773" s="319" t="s">
        <v>190</v>
      </c>
      <c r="AT773" s="319" t="s">
        <v>190</v>
      </c>
      <c r="AU773" s="319" t="s">
        <v>190</v>
      </c>
      <c r="AV773" s="319" t="s">
        <v>190</v>
      </c>
      <c r="AW773" s="319" t="s">
        <v>190</v>
      </c>
      <c r="AX773" s="319" t="s">
        <v>428</v>
      </c>
      <c r="AY773" s="319" t="s">
        <v>190</v>
      </c>
      <c r="AZ773" s="319" t="s">
        <v>190</v>
      </c>
      <c r="BA773" s="319" t="s">
        <v>190</v>
      </c>
      <c r="BB773" s="319" t="s">
        <v>190</v>
      </c>
      <c r="BC773" s="319" t="s">
        <v>190</v>
      </c>
      <c r="BD773" s="319" t="s">
        <v>190</v>
      </c>
      <c r="BE773" s="319" t="s">
        <v>190</v>
      </c>
      <c r="BF773" s="319" t="s">
        <v>428</v>
      </c>
      <c r="BG773" s="319" t="s">
        <v>428</v>
      </c>
      <c r="BH773" s="319" t="s">
        <v>190</v>
      </c>
      <c r="BI773" s="319" t="s">
        <v>190</v>
      </c>
      <c r="BJ773" s="319" t="s">
        <v>190</v>
      </c>
      <c r="BK773" s="319" t="s">
        <v>190</v>
      </c>
      <c r="BL773" s="319" t="s">
        <v>190</v>
      </c>
      <c r="BM773" s="319" t="s">
        <v>190</v>
      </c>
      <c r="BN773" s="319" t="s">
        <v>190</v>
      </c>
      <c r="BO773" s="319" t="s">
        <v>190</v>
      </c>
      <c r="BP773" s="319" t="s">
        <v>190</v>
      </c>
      <c r="BQ773" s="319" t="s">
        <v>190</v>
      </c>
      <c r="BR773" s="319" t="s">
        <v>190</v>
      </c>
      <c r="BS773" s="319" t="s">
        <v>190</v>
      </c>
      <c r="BT773" s="319" t="s">
        <v>190</v>
      </c>
      <c r="BU773" s="319" t="s">
        <v>190</v>
      </c>
      <c r="BV773" s="319" t="s">
        <v>190</v>
      </c>
      <c r="BW773" s="319" t="s">
        <v>190</v>
      </c>
      <c r="BX773" s="319" t="s">
        <v>190</v>
      </c>
      <c r="BY773" s="319" t="s">
        <v>190</v>
      </c>
      <c r="BZ773" s="319" t="s">
        <v>190</v>
      </c>
      <c r="CA773" s="319" t="s">
        <v>190</v>
      </c>
      <c r="CB773" s="319" t="s">
        <v>190</v>
      </c>
      <c r="CC773" s="319" t="s">
        <v>190</v>
      </c>
      <c r="CD773" s="319" t="s">
        <v>190</v>
      </c>
      <c r="CE773" s="319" t="s">
        <v>190</v>
      </c>
      <c r="CF773" s="319" t="s">
        <v>190</v>
      </c>
      <c r="CG773" s="319" t="s">
        <v>190</v>
      </c>
      <c r="CH773" s="319" t="s">
        <v>190</v>
      </c>
      <c r="CI773" s="319" t="s">
        <v>190</v>
      </c>
      <c r="CJ773" s="319" t="s">
        <v>190</v>
      </c>
      <c r="CK773" s="319" t="s">
        <v>190</v>
      </c>
      <c r="CL773" s="319" t="s">
        <v>190</v>
      </c>
      <c r="CM773" s="319" t="s">
        <v>190</v>
      </c>
      <c r="CN773" s="319" t="s">
        <v>428</v>
      </c>
      <c r="CO773" s="319" t="s">
        <v>428</v>
      </c>
      <c r="CP773" s="319" t="s">
        <v>428</v>
      </c>
      <c r="CQ773" s="319" t="s">
        <v>190</v>
      </c>
      <c r="CR773" s="319" t="s">
        <v>190</v>
      </c>
      <c r="CS773" s="319" t="s">
        <v>190</v>
      </c>
      <c r="CT773" s="319" t="s">
        <v>190</v>
      </c>
      <c r="CU773" s="319" t="s">
        <v>190</v>
      </c>
      <c r="CV773" s="319" t="s">
        <v>190</v>
      </c>
      <c r="CW773" s="319" t="s">
        <v>190</v>
      </c>
      <c r="CX773" s="319" t="s">
        <v>190</v>
      </c>
      <c r="CY773" s="319" t="s">
        <v>190</v>
      </c>
      <c r="CZ773" s="319" t="s">
        <v>190</v>
      </c>
      <c r="DA773" s="319" t="s">
        <v>190</v>
      </c>
      <c r="DB773" s="319" t="s">
        <v>190</v>
      </c>
      <c r="DC773" s="319" t="s">
        <v>190</v>
      </c>
      <c r="DD773" s="319" t="s">
        <v>190</v>
      </c>
      <c r="DE773" s="319" t="s">
        <v>190</v>
      </c>
      <c r="DF773" s="319" t="s">
        <v>190</v>
      </c>
      <c r="DG773" s="319" t="s">
        <v>190</v>
      </c>
      <c r="DH773" s="319" t="s">
        <v>190</v>
      </c>
      <c r="DI773" s="319" t="s">
        <v>190</v>
      </c>
      <c r="DJ773" s="319" t="s">
        <v>190</v>
      </c>
      <c r="DK773" s="319" t="s">
        <v>190</v>
      </c>
      <c r="DL773" s="319" t="s">
        <v>190</v>
      </c>
      <c r="DM773" s="319" t="s">
        <v>190</v>
      </c>
      <c r="DN773" s="319" t="s">
        <v>428</v>
      </c>
      <c r="DO773" s="319" t="s">
        <v>190</v>
      </c>
      <c r="DP773" s="319" t="s">
        <v>190</v>
      </c>
      <c r="DQ773" s="319" t="s">
        <v>190</v>
      </c>
      <c r="DR773" s="319" t="s">
        <v>190</v>
      </c>
      <c r="DS773" s="319" t="s">
        <v>190</v>
      </c>
      <c r="DT773" s="319" t="s">
        <v>190</v>
      </c>
      <c r="DU773" s="319" t="s">
        <v>190</v>
      </c>
      <c r="DV773" s="319" t="s">
        <v>173</v>
      </c>
      <c r="DW773" s="319" t="s">
        <v>190</v>
      </c>
      <c r="DX773" s="319" t="s">
        <v>190</v>
      </c>
      <c r="DY773" s="319" t="s">
        <v>190</v>
      </c>
      <c r="DZ773" s="319" t="s">
        <v>190</v>
      </c>
      <c r="EA773" s="319" t="s">
        <v>190</v>
      </c>
      <c r="EB773" s="319" t="s">
        <v>190</v>
      </c>
      <c r="EC773" s="319" t="s">
        <v>428</v>
      </c>
      <c r="ED773" s="319" t="s">
        <v>190</v>
      </c>
      <c r="EE773" s="319" t="s">
        <v>428</v>
      </c>
      <c r="EF773" s="319" t="s">
        <v>428</v>
      </c>
      <c r="EG773" s="319" t="s">
        <v>428</v>
      </c>
      <c r="EH773" s="319" t="s">
        <v>428</v>
      </c>
      <c r="EI773" s="319" t="s">
        <v>428</v>
      </c>
      <c r="EJ773" s="319" t="s">
        <v>428</v>
      </c>
      <c r="EK773" s="319" t="s">
        <v>428</v>
      </c>
      <c r="EL773" s="319" t="s">
        <v>428</v>
      </c>
      <c r="EM773" s="319" t="s">
        <v>428</v>
      </c>
      <c r="EN773" s="319" t="s">
        <v>190</v>
      </c>
      <c r="EO773" s="319" t="s">
        <v>190</v>
      </c>
      <c r="EP773" s="319" t="s">
        <v>190</v>
      </c>
      <c r="EQ773" s="319" t="s">
        <v>190</v>
      </c>
      <c r="ER773" s="319" t="s">
        <v>190</v>
      </c>
      <c r="ES773" s="319" t="s">
        <v>190</v>
      </c>
      <c r="ET773" s="319" t="s">
        <v>190</v>
      </c>
      <c r="EU773" s="319" t="s">
        <v>190</v>
      </c>
      <c r="EV773" s="319" t="s">
        <v>190</v>
      </c>
      <c r="EW773" s="319" t="s">
        <v>190</v>
      </c>
      <c r="EX773" s="319" t="s">
        <v>190</v>
      </c>
      <c r="EY773" s="319" t="s">
        <v>190</v>
      </c>
      <c r="EZ773" s="319" t="s">
        <v>190</v>
      </c>
      <c r="FA773" s="319" t="s">
        <v>190</v>
      </c>
      <c r="FB773" s="319" t="s">
        <v>190</v>
      </c>
      <c r="FC773" s="319" t="s">
        <v>190</v>
      </c>
      <c r="FD773" s="319" t="s">
        <v>190</v>
      </c>
      <c r="FE773" s="319" t="s">
        <v>190</v>
      </c>
      <c r="FF773" s="319" t="s">
        <v>190</v>
      </c>
      <c r="FG773" s="319" t="s">
        <v>190</v>
      </c>
      <c r="FH773" s="319" t="s">
        <v>190</v>
      </c>
      <c r="FI773" s="319" t="s">
        <v>190</v>
      </c>
      <c r="FJ773" s="319" t="s">
        <v>190</v>
      </c>
      <c r="FK773" s="319" t="s">
        <v>190</v>
      </c>
      <c r="FL773" s="319" t="s">
        <v>190</v>
      </c>
      <c r="FM773" s="319" t="s">
        <v>190</v>
      </c>
      <c r="FN773" s="319" t="s">
        <v>190</v>
      </c>
      <c r="FO773" s="319" t="s">
        <v>190</v>
      </c>
      <c r="FP773" s="319" t="s">
        <v>190</v>
      </c>
      <c r="FQ773" s="319" t="s">
        <v>190</v>
      </c>
      <c r="FR773" s="319" t="s">
        <v>190</v>
      </c>
      <c r="FS773" s="319" t="s">
        <v>190</v>
      </c>
      <c r="FT773" s="319" t="s">
        <v>190</v>
      </c>
      <c r="FU773" s="319" t="s">
        <v>190</v>
      </c>
      <c r="FV773" s="319" t="s">
        <v>190</v>
      </c>
      <c r="FW773" s="319" t="s">
        <v>190</v>
      </c>
      <c r="FX773" s="319" t="s">
        <v>190</v>
      </c>
      <c r="FY773" s="319" t="s">
        <v>190</v>
      </c>
      <c r="FZ773" s="319" t="s">
        <v>190</v>
      </c>
      <c r="GA773" s="319" t="s">
        <v>190</v>
      </c>
      <c r="GB773" s="319" t="s">
        <v>190</v>
      </c>
      <c r="GC773" s="319" t="s">
        <v>190</v>
      </c>
      <c r="GD773" s="319" t="s">
        <v>190</v>
      </c>
      <c r="GE773" s="319" t="s">
        <v>190</v>
      </c>
      <c r="GF773" s="319" t="s">
        <v>190</v>
      </c>
      <c r="GG773" s="319" t="s">
        <v>190</v>
      </c>
      <c r="GH773" s="319" t="s">
        <v>190</v>
      </c>
      <c r="GI773" s="319" t="s">
        <v>190</v>
      </c>
      <c r="GJ773" s="319" t="s">
        <v>190</v>
      </c>
      <c r="GK773" s="319" t="s">
        <v>428</v>
      </c>
      <c r="GL773" s="319" t="s">
        <v>190</v>
      </c>
      <c r="GM773" s="319" t="s">
        <v>190</v>
      </c>
      <c r="GN773" s="319" t="s">
        <v>190</v>
      </c>
      <c r="GO773" s="319" t="s">
        <v>190</v>
      </c>
      <c r="GP773" s="319" t="s">
        <v>190</v>
      </c>
      <c r="GQ773" s="319" t="s">
        <v>190</v>
      </c>
      <c r="GR773" s="319" t="s">
        <v>190</v>
      </c>
      <c r="GS773" s="319" t="s">
        <v>190</v>
      </c>
      <c r="GT773" s="319" t="s">
        <v>190</v>
      </c>
      <c r="GU773" s="319" t="s">
        <v>190</v>
      </c>
      <c r="GV773" s="319" t="s">
        <v>190</v>
      </c>
      <c r="GW773" s="319" t="s">
        <v>190</v>
      </c>
      <c r="GX773" s="319" t="s">
        <v>190</v>
      </c>
      <c r="GY773" s="319" t="s">
        <v>190</v>
      </c>
      <c r="GZ773" s="319" t="s">
        <v>428</v>
      </c>
      <c r="HA773" s="319" t="s">
        <v>190</v>
      </c>
      <c r="HB773" s="319" t="s">
        <v>428</v>
      </c>
      <c r="HC773" s="319" t="s">
        <v>190</v>
      </c>
      <c r="HD773" s="319" t="s">
        <v>190</v>
      </c>
      <c r="HE773" s="319" t="s">
        <v>190</v>
      </c>
      <c r="HF773" s="319" t="s">
        <v>190</v>
      </c>
      <c r="HG773" s="319" t="s">
        <v>190</v>
      </c>
      <c r="HH773" s="319" t="s">
        <v>190</v>
      </c>
      <c r="HI773" s="319" t="s">
        <v>190</v>
      </c>
      <c r="HJ773" s="319" t="s">
        <v>190</v>
      </c>
      <c r="HK773" s="319" t="s">
        <v>190</v>
      </c>
      <c r="HL773" s="319" t="s">
        <v>428</v>
      </c>
      <c r="HM773" s="319" t="s">
        <v>428</v>
      </c>
      <c r="HN773" s="319" t="s">
        <v>428</v>
      </c>
      <c r="HO773" s="319" t="s">
        <v>428</v>
      </c>
      <c r="HP773" s="319" t="s">
        <v>190</v>
      </c>
      <c r="HQ773" s="319" t="s">
        <v>190</v>
      </c>
      <c r="HR773" s="319" t="s">
        <v>190</v>
      </c>
      <c r="HS773" s="319" t="s">
        <v>190</v>
      </c>
      <c r="HT773" s="319" t="s">
        <v>190</v>
      </c>
      <c r="HU773" s="319" t="s">
        <v>190</v>
      </c>
      <c r="HV773" s="319" t="s">
        <v>190</v>
      </c>
      <c r="HW773" s="319" t="s">
        <v>190</v>
      </c>
      <c r="HX773" s="319" t="s">
        <v>190</v>
      </c>
      <c r="HY773" s="319" t="s">
        <v>190</v>
      </c>
      <c r="HZ773" s="319" t="s">
        <v>190</v>
      </c>
      <c r="IA773" s="319" t="s">
        <v>190</v>
      </c>
      <c r="IB773" s="319" t="s">
        <v>190</v>
      </c>
      <c r="IC773" s="319" t="s">
        <v>190</v>
      </c>
      <c r="ID773" s="319" t="s">
        <v>190</v>
      </c>
      <c r="IE773" s="319" t="s">
        <v>190</v>
      </c>
      <c r="IF773" s="319" t="s">
        <v>190</v>
      </c>
      <c r="IG773" s="319" t="s">
        <v>190</v>
      </c>
      <c r="IH773" s="319" t="s">
        <v>190</v>
      </c>
      <c r="II773" s="319" t="s">
        <v>190</v>
      </c>
      <c r="IJ773" s="319" t="s">
        <v>3512</v>
      </c>
      <c r="IK773" s="321">
        <v>42080</v>
      </c>
      <c r="IL773" s="321">
        <v>42082</v>
      </c>
      <c r="IM773" s="321">
        <v>42144</v>
      </c>
      <c r="IN773" s="319">
        <v>2</v>
      </c>
      <c r="IO773" s="319" t="s">
        <v>173</v>
      </c>
      <c r="IP773" s="319" t="s">
        <v>173</v>
      </c>
      <c r="IQ773" s="321" t="s">
        <v>173</v>
      </c>
      <c r="IR773" s="320" t="s">
        <v>173</v>
      </c>
      <c r="IS773" s="322" t="s">
        <v>173</v>
      </c>
      <c r="IT773" s="319" t="s">
        <v>173</v>
      </c>
    </row>
    <row r="774" spans="1:254" s="271" customFormat="1" x14ac:dyDescent="0.25">
      <c r="A774" s="318" t="str">
        <f>HYPERLINK("http://www.ofsted.gov.uk/inspection-reports/find-inspection-report/provider/ELS/140960 ","Ofsted School Webpage")</f>
        <v>Ofsted School Webpage</v>
      </c>
      <c r="B774" s="319">
        <v>140960</v>
      </c>
      <c r="C774" s="319">
        <v>8866142</v>
      </c>
      <c r="D774" s="319" t="s">
        <v>2273</v>
      </c>
      <c r="E774" s="319" t="s">
        <v>168</v>
      </c>
      <c r="F774" s="319" t="s">
        <v>81</v>
      </c>
      <c r="G774" s="319" t="s">
        <v>81</v>
      </c>
      <c r="H774" s="319" t="s">
        <v>81</v>
      </c>
      <c r="I774" s="319" t="s">
        <v>78</v>
      </c>
      <c r="J774" s="319" t="s">
        <v>424</v>
      </c>
      <c r="K774" s="319" t="s">
        <v>514</v>
      </c>
      <c r="L774" s="319" t="s">
        <v>514</v>
      </c>
      <c r="M774" s="319" t="s">
        <v>614</v>
      </c>
      <c r="N774" s="319" t="s">
        <v>3127</v>
      </c>
      <c r="O774" s="319" t="s">
        <v>2274</v>
      </c>
      <c r="P774" s="319">
        <v>12</v>
      </c>
      <c r="Q774" s="319" t="s">
        <v>429</v>
      </c>
      <c r="R774" s="320">
        <v>10039168</v>
      </c>
      <c r="S774" s="321">
        <v>43221</v>
      </c>
      <c r="T774" s="321">
        <v>43223</v>
      </c>
      <c r="U774" s="321">
        <v>43243</v>
      </c>
      <c r="V774" s="319" t="s">
        <v>425</v>
      </c>
      <c r="W774" s="319" t="s">
        <v>2767</v>
      </c>
      <c r="X774" s="319">
        <v>2</v>
      </c>
      <c r="Y774" s="319" t="s">
        <v>173</v>
      </c>
      <c r="Z774" s="319" t="s">
        <v>173</v>
      </c>
      <c r="AA774" s="319" t="s">
        <v>173</v>
      </c>
      <c r="AB774" s="319">
        <v>2</v>
      </c>
      <c r="AC774" s="319" t="s">
        <v>169</v>
      </c>
      <c r="AD774" s="319" t="s">
        <v>173</v>
      </c>
      <c r="AE774" s="319" t="s">
        <v>173</v>
      </c>
      <c r="AF774" s="319" t="s">
        <v>427</v>
      </c>
      <c r="AG774" s="319" t="s">
        <v>171</v>
      </c>
      <c r="AH774" s="319" t="s">
        <v>190</v>
      </c>
      <c r="AI774" s="319" t="s">
        <v>190</v>
      </c>
      <c r="AJ774" s="319" t="s">
        <v>190</v>
      </c>
      <c r="AK774" s="319" t="s">
        <v>190</v>
      </c>
      <c r="AL774" s="319" t="s">
        <v>190</v>
      </c>
      <c r="AM774" s="319" t="s">
        <v>190</v>
      </c>
      <c r="AN774" s="319" t="s">
        <v>190</v>
      </c>
      <c r="AO774" s="319" t="s">
        <v>190</v>
      </c>
      <c r="AP774" s="319" t="s">
        <v>190</v>
      </c>
      <c r="AQ774" s="319" t="s">
        <v>190</v>
      </c>
      <c r="AR774" s="319" t="s">
        <v>190</v>
      </c>
      <c r="AS774" s="319" t="s">
        <v>190</v>
      </c>
      <c r="AT774" s="319" t="s">
        <v>190</v>
      </c>
      <c r="AU774" s="319" t="s">
        <v>190</v>
      </c>
      <c r="AV774" s="319" t="s">
        <v>190</v>
      </c>
      <c r="AW774" s="319" t="s">
        <v>190</v>
      </c>
      <c r="AX774" s="319" t="s">
        <v>428</v>
      </c>
      <c r="AY774" s="319" t="s">
        <v>190</v>
      </c>
      <c r="AZ774" s="319" t="s">
        <v>190</v>
      </c>
      <c r="BA774" s="319" t="s">
        <v>190</v>
      </c>
      <c r="BB774" s="319" t="s">
        <v>190</v>
      </c>
      <c r="BC774" s="319" t="s">
        <v>190</v>
      </c>
      <c r="BD774" s="319" t="s">
        <v>190</v>
      </c>
      <c r="BE774" s="319" t="s">
        <v>190</v>
      </c>
      <c r="BF774" s="319" t="s">
        <v>428</v>
      </c>
      <c r="BG774" s="319" t="s">
        <v>190</v>
      </c>
      <c r="BH774" s="319" t="s">
        <v>190</v>
      </c>
      <c r="BI774" s="319" t="s">
        <v>190</v>
      </c>
      <c r="BJ774" s="319" t="s">
        <v>190</v>
      </c>
      <c r="BK774" s="319" t="s">
        <v>190</v>
      </c>
      <c r="BL774" s="319" t="s">
        <v>190</v>
      </c>
      <c r="BM774" s="319" t="s">
        <v>190</v>
      </c>
      <c r="BN774" s="319" t="s">
        <v>190</v>
      </c>
      <c r="BO774" s="319" t="s">
        <v>190</v>
      </c>
      <c r="BP774" s="319" t="s">
        <v>190</v>
      </c>
      <c r="BQ774" s="319" t="s">
        <v>190</v>
      </c>
      <c r="BR774" s="319" t="s">
        <v>190</v>
      </c>
      <c r="BS774" s="319" t="s">
        <v>190</v>
      </c>
      <c r="BT774" s="319" t="s">
        <v>190</v>
      </c>
      <c r="BU774" s="319" t="s">
        <v>190</v>
      </c>
      <c r="BV774" s="319" t="s">
        <v>190</v>
      </c>
      <c r="BW774" s="319" t="s">
        <v>190</v>
      </c>
      <c r="BX774" s="319" t="s">
        <v>190</v>
      </c>
      <c r="BY774" s="319" t="s">
        <v>190</v>
      </c>
      <c r="BZ774" s="319" t="s">
        <v>190</v>
      </c>
      <c r="CA774" s="319" t="s">
        <v>190</v>
      </c>
      <c r="CB774" s="319" t="s">
        <v>190</v>
      </c>
      <c r="CC774" s="319" t="s">
        <v>190</v>
      </c>
      <c r="CD774" s="319" t="s">
        <v>190</v>
      </c>
      <c r="CE774" s="319" t="s">
        <v>190</v>
      </c>
      <c r="CF774" s="319" t="s">
        <v>190</v>
      </c>
      <c r="CG774" s="319" t="s">
        <v>190</v>
      </c>
      <c r="CH774" s="319" t="s">
        <v>190</v>
      </c>
      <c r="CI774" s="319" t="s">
        <v>190</v>
      </c>
      <c r="CJ774" s="319" t="s">
        <v>190</v>
      </c>
      <c r="CK774" s="319" t="s">
        <v>190</v>
      </c>
      <c r="CL774" s="319" t="s">
        <v>190</v>
      </c>
      <c r="CM774" s="319" t="s">
        <v>190</v>
      </c>
      <c r="CN774" s="319" t="s">
        <v>428</v>
      </c>
      <c r="CO774" s="319" t="s">
        <v>428</v>
      </c>
      <c r="CP774" s="319" t="s">
        <v>428</v>
      </c>
      <c r="CQ774" s="319" t="s">
        <v>190</v>
      </c>
      <c r="CR774" s="319" t="s">
        <v>190</v>
      </c>
      <c r="CS774" s="319" t="s">
        <v>190</v>
      </c>
      <c r="CT774" s="319" t="s">
        <v>190</v>
      </c>
      <c r="CU774" s="319" t="s">
        <v>190</v>
      </c>
      <c r="CV774" s="319" t="s">
        <v>190</v>
      </c>
      <c r="CW774" s="319" t="s">
        <v>190</v>
      </c>
      <c r="CX774" s="319" t="s">
        <v>190</v>
      </c>
      <c r="CY774" s="319" t="s">
        <v>190</v>
      </c>
      <c r="CZ774" s="319" t="s">
        <v>190</v>
      </c>
      <c r="DA774" s="319" t="s">
        <v>190</v>
      </c>
      <c r="DB774" s="319" t="s">
        <v>190</v>
      </c>
      <c r="DC774" s="319" t="s">
        <v>190</v>
      </c>
      <c r="DD774" s="319" t="s">
        <v>190</v>
      </c>
      <c r="DE774" s="319" t="s">
        <v>190</v>
      </c>
      <c r="DF774" s="319" t="s">
        <v>190</v>
      </c>
      <c r="DG774" s="319" t="s">
        <v>190</v>
      </c>
      <c r="DH774" s="319" t="s">
        <v>190</v>
      </c>
      <c r="DI774" s="319" t="s">
        <v>190</v>
      </c>
      <c r="DJ774" s="319" t="s">
        <v>190</v>
      </c>
      <c r="DK774" s="319" t="s">
        <v>190</v>
      </c>
      <c r="DL774" s="319" t="s">
        <v>190</v>
      </c>
      <c r="DM774" s="319" t="s">
        <v>190</v>
      </c>
      <c r="DN774" s="319" t="s">
        <v>428</v>
      </c>
      <c r="DO774" s="319" t="s">
        <v>190</v>
      </c>
      <c r="DP774" s="319" t="s">
        <v>190</v>
      </c>
      <c r="DQ774" s="319" t="s">
        <v>190</v>
      </c>
      <c r="DR774" s="319" t="s">
        <v>190</v>
      </c>
      <c r="DS774" s="319" t="s">
        <v>190</v>
      </c>
      <c r="DT774" s="319" t="s">
        <v>190</v>
      </c>
      <c r="DU774" s="319" t="s">
        <v>190</v>
      </c>
      <c r="DV774" s="319" t="s">
        <v>173</v>
      </c>
      <c r="DW774" s="319" t="s">
        <v>190</v>
      </c>
      <c r="DX774" s="319" t="s">
        <v>190</v>
      </c>
      <c r="DY774" s="319" t="s">
        <v>190</v>
      </c>
      <c r="DZ774" s="319" t="s">
        <v>190</v>
      </c>
      <c r="EA774" s="319" t="s">
        <v>190</v>
      </c>
      <c r="EB774" s="319" t="s">
        <v>190</v>
      </c>
      <c r="EC774" s="319" t="s">
        <v>428</v>
      </c>
      <c r="ED774" s="319" t="s">
        <v>190</v>
      </c>
      <c r="EE774" s="319" t="s">
        <v>190</v>
      </c>
      <c r="EF774" s="319" t="s">
        <v>190</v>
      </c>
      <c r="EG774" s="319" t="s">
        <v>190</v>
      </c>
      <c r="EH774" s="319" t="s">
        <v>190</v>
      </c>
      <c r="EI774" s="319" t="s">
        <v>190</v>
      </c>
      <c r="EJ774" s="319" t="s">
        <v>190</v>
      </c>
      <c r="EK774" s="319" t="s">
        <v>190</v>
      </c>
      <c r="EL774" s="319" t="s">
        <v>190</v>
      </c>
      <c r="EM774" s="319" t="s">
        <v>190</v>
      </c>
      <c r="EN774" s="319" t="s">
        <v>190</v>
      </c>
      <c r="EO774" s="319" t="s">
        <v>190</v>
      </c>
      <c r="EP774" s="319" t="s">
        <v>190</v>
      </c>
      <c r="EQ774" s="319" t="s">
        <v>190</v>
      </c>
      <c r="ER774" s="319" t="s">
        <v>190</v>
      </c>
      <c r="ES774" s="319" t="s">
        <v>190</v>
      </c>
      <c r="ET774" s="319" t="s">
        <v>190</v>
      </c>
      <c r="EU774" s="319" t="s">
        <v>190</v>
      </c>
      <c r="EV774" s="319" t="s">
        <v>190</v>
      </c>
      <c r="EW774" s="319" t="s">
        <v>190</v>
      </c>
      <c r="EX774" s="319" t="s">
        <v>190</v>
      </c>
      <c r="EY774" s="319" t="s">
        <v>190</v>
      </c>
      <c r="EZ774" s="319" t="s">
        <v>190</v>
      </c>
      <c r="FA774" s="319" t="s">
        <v>190</v>
      </c>
      <c r="FB774" s="319" t="s">
        <v>190</v>
      </c>
      <c r="FC774" s="319" t="s">
        <v>190</v>
      </c>
      <c r="FD774" s="319" t="s">
        <v>190</v>
      </c>
      <c r="FE774" s="319" t="s">
        <v>190</v>
      </c>
      <c r="FF774" s="319" t="s">
        <v>190</v>
      </c>
      <c r="FG774" s="319" t="s">
        <v>190</v>
      </c>
      <c r="FH774" s="319" t="s">
        <v>190</v>
      </c>
      <c r="FI774" s="319" t="s">
        <v>190</v>
      </c>
      <c r="FJ774" s="319" t="s">
        <v>190</v>
      </c>
      <c r="FK774" s="319" t="s">
        <v>190</v>
      </c>
      <c r="FL774" s="319" t="s">
        <v>190</v>
      </c>
      <c r="FM774" s="319" t="s">
        <v>190</v>
      </c>
      <c r="FN774" s="319" t="s">
        <v>190</v>
      </c>
      <c r="FO774" s="319" t="s">
        <v>190</v>
      </c>
      <c r="FP774" s="319" t="s">
        <v>190</v>
      </c>
      <c r="FQ774" s="319" t="s">
        <v>190</v>
      </c>
      <c r="FR774" s="319" t="s">
        <v>190</v>
      </c>
      <c r="FS774" s="319" t="s">
        <v>428</v>
      </c>
      <c r="FT774" s="319" t="s">
        <v>190</v>
      </c>
      <c r="FU774" s="319" t="s">
        <v>190</v>
      </c>
      <c r="FV774" s="319" t="s">
        <v>190</v>
      </c>
      <c r="FW774" s="319" t="s">
        <v>190</v>
      </c>
      <c r="FX774" s="319" t="s">
        <v>190</v>
      </c>
      <c r="FY774" s="319" t="s">
        <v>190</v>
      </c>
      <c r="FZ774" s="319" t="s">
        <v>190</v>
      </c>
      <c r="GA774" s="319" t="s">
        <v>190</v>
      </c>
      <c r="GB774" s="319" t="s">
        <v>190</v>
      </c>
      <c r="GC774" s="319" t="s">
        <v>190</v>
      </c>
      <c r="GD774" s="319" t="s">
        <v>190</v>
      </c>
      <c r="GE774" s="319" t="s">
        <v>190</v>
      </c>
      <c r="GF774" s="319" t="s">
        <v>190</v>
      </c>
      <c r="GG774" s="319" t="s">
        <v>190</v>
      </c>
      <c r="GH774" s="319" t="s">
        <v>190</v>
      </c>
      <c r="GI774" s="319" t="s">
        <v>190</v>
      </c>
      <c r="GJ774" s="319" t="s">
        <v>190</v>
      </c>
      <c r="GK774" s="319" t="s">
        <v>428</v>
      </c>
      <c r="GL774" s="319" t="s">
        <v>190</v>
      </c>
      <c r="GM774" s="319" t="s">
        <v>190</v>
      </c>
      <c r="GN774" s="319" t="s">
        <v>190</v>
      </c>
      <c r="GO774" s="319" t="s">
        <v>190</v>
      </c>
      <c r="GP774" s="319" t="s">
        <v>190</v>
      </c>
      <c r="GQ774" s="319" t="s">
        <v>428</v>
      </c>
      <c r="GR774" s="319" t="s">
        <v>190</v>
      </c>
      <c r="GS774" s="319" t="s">
        <v>190</v>
      </c>
      <c r="GT774" s="319" t="s">
        <v>190</v>
      </c>
      <c r="GU774" s="319" t="s">
        <v>190</v>
      </c>
      <c r="GV774" s="319" t="s">
        <v>190</v>
      </c>
      <c r="GW774" s="319" t="s">
        <v>190</v>
      </c>
      <c r="GX774" s="319" t="s">
        <v>190</v>
      </c>
      <c r="GY774" s="319" t="s">
        <v>190</v>
      </c>
      <c r="GZ774" s="319" t="s">
        <v>428</v>
      </c>
      <c r="HA774" s="319" t="s">
        <v>190</v>
      </c>
      <c r="HB774" s="319" t="s">
        <v>190</v>
      </c>
      <c r="HC774" s="319" t="s">
        <v>190</v>
      </c>
      <c r="HD774" s="319" t="s">
        <v>190</v>
      </c>
      <c r="HE774" s="319" t="s">
        <v>190</v>
      </c>
      <c r="HF774" s="319" t="s">
        <v>190</v>
      </c>
      <c r="HG774" s="319" t="s">
        <v>190</v>
      </c>
      <c r="HH774" s="319" t="s">
        <v>190</v>
      </c>
      <c r="HI774" s="319" t="s">
        <v>428</v>
      </c>
      <c r="HJ774" s="319" t="s">
        <v>190</v>
      </c>
      <c r="HK774" s="319" t="s">
        <v>190</v>
      </c>
      <c r="HL774" s="319" t="s">
        <v>190</v>
      </c>
      <c r="HM774" s="319" t="s">
        <v>190</v>
      </c>
      <c r="HN774" s="319" t="s">
        <v>190</v>
      </c>
      <c r="HO774" s="319" t="s">
        <v>190</v>
      </c>
      <c r="HP774" s="319" t="s">
        <v>190</v>
      </c>
      <c r="HQ774" s="319" t="s">
        <v>190</v>
      </c>
      <c r="HR774" s="319" t="s">
        <v>190</v>
      </c>
      <c r="HS774" s="319" t="s">
        <v>190</v>
      </c>
      <c r="HT774" s="319" t="s">
        <v>190</v>
      </c>
      <c r="HU774" s="319" t="s">
        <v>190</v>
      </c>
      <c r="HV774" s="319" t="s">
        <v>190</v>
      </c>
      <c r="HW774" s="319" t="s">
        <v>190</v>
      </c>
      <c r="HX774" s="319" t="s">
        <v>190</v>
      </c>
      <c r="HY774" s="319" t="s">
        <v>190</v>
      </c>
      <c r="HZ774" s="319" t="s">
        <v>190</v>
      </c>
      <c r="IA774" s="319" t="s">
        <v>190</v>
      </c>
      <c r="IB774" s="319" t="s">
        <v>190</v>
      </c>
      <c r="IC774" s="319" t="s">
        <v>190</v>
      </c>
      <c r="ID774" s="319" t="s">
        <v>190</v>
      </c>
      <c r="IE774" s="319" t="s">
        <v>190</v>
      </c>
      <c r="IF774" s="319" t="s">
        <v>190</v>
      </c>
      <c r="IG774" s="319" t="s">
        <v>190</v>
      </c>
      <c r="IH774" s="319" t="s">
        <v>190</v>
      </c>
      <c r="II774" s="319" t="s">
        <v>190</v>
      </c>
      <c r="IJ774" s="319">
        <v>10006351</v>
      </c>
      <c r="IK774" s="321">
        <v>42277</v>
      </c>
      <c r="IL774" s="321">
        <v>42279</v>
      </c>
      <c r="IM774" s="321">
        <v>42412</v>
      </c>
      <c r="IN774" s="319">
        <v>3</v>
      </c>
      <c r="IO774" s="319" t="s">
        <v>173</v>
      </c>
      <c r="IP774" s="319" t="s">
        <v>173</v>
      </c>
      <c r="IQ774" s="321" t="s">
        <v>173</v>
      </c>
      <c r="IR774" s="320" t="s">
        <v>173</v>
      </c>
      <c r="IS774" s="322" t="s">
        <v>173</v>
      </c>
      <c r="IT774" s="319" t="s">
        <v>173</v>
      </c>
    </row>
    <row r="775" spans="1:254" s="271" customFormat="1" x14ac:dyDescent="0.25">
      <c r="A775" s="318" t="str">
        <f>HYPERLINK("http://www.ofsted.gov.uk/inspection-reports/find-inspection-report/provider/ELS/141001 ","Ofsted School Webpage")</f>
        <v>Ofsted School Webpage</v>
      </c>
      <c r="B775" s="319">
        <v>141001</v>
      </c>
      <c r="C775" s="319">
        <v>3336006</v>
      </c>
      <c r="D775" s="319" t="s">
        <v>637</v>
      </c>
      <c r="E775" s="319" t="s">
        <v>167</v>
      </c>
      <c r="F775" s="319" t="s">
        <v>81</v>
      </c>
      <c r="G775" s="319" t="s">
        <v>72</v>
      </c>
      <c r="H775" s="319" t="s">
        <v>72</v>
      </c>
      <c r="I775" s="319" t="s">
        <v>72</v>
      </c>
      <c r="J775" s="319" t="s">
        <v>424</v>
      </c>
      <c r="K775" s="319" t="s">
        <v>437</v>
      </c>
      <c r="L775" s="319" t="s">
        <v>437</v>
      </c>
      <c r="M775" s="319" t="s">
        <v>638</v>
      </c>
      <c r="N775" s="319" t="s">
        <v>3513</v>
      </c>
      <c r="O775" s="319" t="s">
        <v>639</v>
      </c>
      <c r="P775" s="319">
        <v>41</v>
      </c>
      <c r="Q775" s="319" t="s">
        <v>2766</v>
      </c>
      <c r="R775" s="320">
        <v>10047134</v>
      </c>
      <c r="S775" s="321">
        <v>43411</v>
      </c>
      <c r="T775" s="321">
        <v>43413</v>
      </c>
      <c r="U775" s="321">
        <v>43451</v>
      </c>
      <c r="V775" s="319" t="s">
        <v>425</v>
      </c>
      <c r="W775" s="319" t="s">
        <v>2767</v>
      </c>
      <c r="X775" s="319">
        <v>4</v>
      </c>
      <c r="Y775" s="319" t="s">
        <v>173</v>
      </c>
      <c r="Z775" s="319" t="s">
        <v>173</v>
      </c>
      <c r="AA775" s="319" t="s">
        <v>173</v>
      </c>
      <c r="AB775" s="319">
        <v>4</v>
      </c>
      <c r="AC775" s="319" t="s">
        <v>169</v>
      </c>
      <c r="AD775" s="319">
        <v>3</v>
      </c>
      <c r="AE775" s="319" t="s">
        <v>173</v>
      </c>
      <c r="AF775" s="319" t="s">
        <v>447</v>
      </c>
      <c r="AG775" s="319" t="s">
        <v>172</v>
      </c>
      <c r="AH775" s="319" t="s">
        <v>479</v>
      </c>
      <c r="AI775" s="319" t="s">
        <v>190</v>
      </c>
      <c r="AJ775" s="319" t="s">
        <v>190</v>
      </c>
      <c r="AK775" s="319" t="s">
        <v>190</v>
      </c>
      <c r="AL775" s="319" t="s">
        <v>190</v>
      </c>
      <c r="AM775" s="319" t="s">
        <v>190</v>
      </c>
      <c r="AN775" s="319" t="s">
        <v>190</v>
      </c>
      <c r="AO775" s="319" t="s">
        <v>479</v>
      </c>
      <c r="AP775" s="319" t="s">
        <v>191</v>
      </c>
      <c r="AQ775" s="319" t="s">
        <v>191</v>
      </c>
      <c r="AR775" s="319" t="s">
        <v>191</v>
      </c>
      <c r="AS775" s="319" t="s">
        <v>191</v>
      </c>
      <c r="AT775" s="319" t="s">
        <v>190</v>
      </c>
      <c r="AU775" s="319" t="s">
        <v>190</v>
      </c>
      <c r="AV775" s="319" t="s">
        <v>190</v>
      </c>
      <c r="AW775" s="319" t="s">
        <v>190</v>
      </c>
      <c r="AX775" s="319" t="s">
        <v>428</v>
      </c>
      <c r="AY775" s="319" t="s">
        <v>190</v>
      </c>
      <c r="AZ775" s="319" t="s">
        <v>190</v>
      </c>
      <c r="BA775" s="319" t="s">
        <v>190</v>
      </c>
      <c r="BB775" s="319" t="s">
        <v>428</v>
      </c>
      <c r="BC775" s="319" t="s">
        <v>428</v>
      </c>
      <c r="BD775" s="319" t="s">
        <v>428</v>
      </c>
      <c r="BE775" s="319" t="s">
        <v>428</v>
      </c>
      <c r="BF775" s="319" t="s">
        <v>190</v>
      </c>
      <c r="BG775" s="319" t="s">
        <v>428</v>
      </c>
      <c r="BH775" s="319" t="s">
        <v>190</v>
      </c>
      <c r="BI775" s="319" t="s">
        <v>190</v>
      </c>
      <c r="BJ775" s="319" t="s">
        <v>191</v>
      </c>
      <c r="BK775" s="319" t="s">
        <v>191</v>
      </c>
      <c r="BL775" s="319" t="s">
        <v>191</v>
      </c>
      <c r="BM775" s="319" t="s">
        <v>191</v>
      </c>
      <c r="BN775" s="319" t="s">
        <v>191</v>
      </c>
      <c r="BO775" s="319" t="s">
        <v>191</v>
      </c>
      <c r="BP775" s="319" t="s">
        <v>191</v>
      </c>
      <c r="BQ775" s="319" t="s">
        <v>191</v>
      </c>
      <c r="BR775" s="319" t="s">
        <v>190</v>
      </c>
      <c r="BS775" s="319" t="s">
        <v>190</v>
      </c>
      <c r="BT775" s="319" t="s">
        <v>190</v>
      </c>
      <c r="BU775" s="319" t="s">
        <v>190</v>
      </c>
      <c r="BV775" s="319" t="s">
        <v>190</v>
      </c>
      <c r="BW775" s="319" t="s">
        <v>190</v>
      </c>
      <c r="BX775" s="319" t="s">
        <v>190</v>
      </c>
      <c r="BY775" s="319" t="s">
        <v>190</v>
      </c>
      <c r="BZ775" s="319" t="s">
        <v>190</v>
      </c>
      <c r="CA775" s="319" t="s">
        <v>190</v>
      </c>
      <c r="CB775" s="319" t="s">
        <v>190</v>
      </c>
      <c r="CC775" s="319" t="s">
        <v>190</v>
      </c>
      <c r="CD775" s="319" t="s">
        <v>190</v>
      </c>
      <c r="CE775" s="319" t="s">
        <v>190</v>
      </c>
      <c r="CF775" s="319" t="s">
        <v>190</v>
      </c>
      <c r="CG775" s="319" t="s">
        <v>190</v>
      </c>
      <c r="CH775" s="319" t="s">
        <v>190</v>
      </c>
      <c r="CI775" s="319" t="s">
        <v>190</v>
      </c>
      <c r="CJ775" s="319" t="s">
        <v>190</v>
      </c>
      <c r="CK775" s="319" t="s">
        <v>190</v>
      </c>
      <c r="CL775" s="319" t="s">
        <v>190</v>
      </c>
      <c r="CM775" s="319" t="s">
        <v>190</v>
      </c>
      <c r="CN775" s="319" t="s">
        <v>428</v>
      </c>
      <c r="CO775" s="319" t="s">
        <v>428</v>
      </c>
      <c r="CP775" s="319" t="s">
        <v>428</v>
      </c>
      <c r="CQ775" s="319" t="s">
        <v>190</v>
      </c>
      <c r="CR775" s="319" t="s">
        <v>190</v>
      </c>
      <c r="CS775" s="319" t="s">
        <v>190</v>
      </c>
      <c r="CT775" s="319" t="s">
        <v>190</v>
      </c>
      <c r="CU775" s="319" t="s">
        <v>190</v>
      </c>
      <c r="CV775" s="319" t="s">
        <v>190</v>
      </c>
      <c r="CW775" s="319" t="s">
        <v>190</v>
      </c>
      <c r="CX775" s="319" t="s">
        <v>190</v>
      </c>
      <c r="CY775" s="319" t="s">
        <v>190</v>
      </c>
      <c r="CZ775" s="319" t="s">
        <v>190</v>
      </c>
      <c r="DA775" s="319" t="s">
        <v>190</v>
      </c>
      <c r="DB775" s="319" t="s">
        <v>190</v>
      </c>
      <c r="DC775" s="319" t="s">
        <v>190</v>
      </c>
      <c r="DD775" s="319" t="s">
        <v>190</v>
      </c>
      <c r="DE775" s="319" t="s">
        <v>190</v>
      </c>
      <c r="DF775" s="319" t="s">
        <v>190</v>
      </c>
      <c r="DG775" s="319" t="s">
        <v>190</v>
      </c>
      <c r="DH775" s="319" t="s">
        <v>190</v>
      </c>
      <c r="DI775" s="319" t="s">
        <v>190</v>
      </c>
      <c r="DJ775" s="319" t="s">
        <v>190</v>
      </c>
      <c r="DK775" s="319" t="s">
        <v>190</v>
      </c>
      <c r="DL775" s="319" t="s">
        <v>190</v>
      </c>
      <c r="DM775" s="319" t="s">
        <v>190</v>
      </c>
      <c r="DN775" s="319" t="s">
        <v>428</v>
      </c>
      <c r="DO775" s="319" t="s">
        <v>190</v>
      </c>
      <c r="DP775" s="319" t="s">
        <v>428</v>
      </c>
      <c r="DQ775" s="319" t="s">
        <v>428</v>
      </c>
      <c r="DR775" s="319" t="s">
        <v>428</v>
      </c>
      <c r="DS775" s="319" t="s">
        <v>428</v>
      </c>
      <c r="DT775" s="319" t="s">
        <v>428</v>
      </c>
      <c r="DU775" s="319" t="s">
        <v>428</v>
      </c>
      <c r="DV775" s="319" t="s">
        <v>173</v>
      </c>
      <c r="DW775" s="319" t="s">
        <v>428</v>
      </c>
      <c r="DX775" s="319" t="s">
        <v>428</v>
      </c>
      <c r="DY775" s="319" t="s">
        <v>428</v>
      </c>
      <c r="DZ775" s="319" t="s">
        <v>428</v>
      </c>
      <c r="EA775" s="319" t="s">
        <v>428</v>
      </c>
      <c r="EB775" s="319" t="s">
        <v>428</v>
      </c>
      <c r="EC775" s="319" t="s">
        <v>428</v>
      </c>
      <c r="ED775" s="319" t="s">
        <v>428</v>
      </c>
      <c r="EE775" s="319" t="s">
        <v>428</v>
      </c>
      <c r="EF775" s="319" t="s">
        <v>428</v>
      </c>
      <c r="EG775" s="319" t="s">
        <v>428</v>
      </c>
      <c r="EH775" s="319" t="s">
        <v>428</v>
      </c>
      <c r="EI775" s="319" t="s">
        <v>428</v>
      </c>
      <c r="EJ775" s="319" t="s">
        <v>428</v>
      </c>
      <c r="EK775" s="319" t="s">
        <v>428</v>
      </c>
      <c r="EL775" s="319" t="s">
        <v>428</v>
      </c>
      <c r="EM775" s="319" t="s">
        <v>428</v>
      </c>
      <c r="EN775" s="319" t="s">
        <v>190</v>
      </c>
      <c r="EO775" s="319" t="s">
        <v>190</v>
      </c>
      <c r="EP775" s="319" t="s">
        <v>190</v>
      </c>
      <c r="EQ775" s="319" t="s">
        <v>190</v>
      </c>
      <c r="ER775" s="319" t="s">
        <v>190</v>
      </c>
      <c r="ES775" s="319" t="s">
        <v>190</v>
      </c>
      <c r="ET775" s="319" t="s">
        <v>190</v>
      </c>
      <c r="EU775" s="319" t="s">
        <v>190</v>
      </c>
      <c r="EV775" s="319" t="s">
        <v>190</v>
      </c>
      <c r="EW775" s="319" t="s">
        <v>190</v>
      </c>
      <c r="EX775" s="319" t="s">
        <v>190</v>
      </c>
      <c r="EY775" s="319" t="s">
        <v>190</v>
      </c>
      <c r="EZ775" s="319" t="s">
        <v>190</v>
      </c>
      <c r="FA775" s="319" t="s">
        <v>190</v>
      </c>
      <c r="FB775" s="319" t="s">
        <v>428</v>
      </c>
      <c r="FC775" s="319" t="s">
        <v>428</v>
      </c>
      <c r="FD775" s="319" t="s">
        <v>428</v>
      </c>
      <c r="FE775" s="319" t="s">
        <v>428</v>
      </c>
      <c r="FF775" s="319" t="s">
        <v>428</v>
      </c>
      <c r="FG775" s="319" t="s">
        <v>428</v>
      </c>
      <c r="FH775" s="319" t="s">
        <v>428</v>
      </c>
      <c r="FI775" s="319" t="s">
        <v>428</v>
      </c>
      <c r="FJ775" s="319" t="s">
        <v>429</v>
      </c>
      <c r="FK775" s="319" t="s">
        <v>428</v>
      </c>
      <c r="FL775" s="319" t="s">
        <v>190</v>
      </c>
      <c r="FM775" s="319" t="s">
        <v>190</v>
      </c>
      <c r="FN775" s="319" t="s">
        <v>190</v>
      </c>
      <c r="FO775" s="319" t="s">
        <v>428</v>
      </c>
      <c r="FP775" s="319" t="s">
        <v>190</v>
      </c>
      <c r="FQ775" s="319" t="s">
        <v>190</v>
      </c>
      <c r="FR775" s="319" t="s">
        <v>190</v>
      </c>
      <c r="FS775" s="319" t="s">
        <v>428</v>
      </c>
      <c r="FT775" s="319" t="s">
        <v>190</v>
      </c>
      <c r="FU775" s="319" t="s">
        <v>190</v>
      </c>
      <c r="FV775" s="319" t="s">
        <v>190</v>
      </c>
      <c r="FW775" s="319" t="s">
        <v>190</v>
      </c>
      <c r="FX775" s="319" t="s">
        <v>190</v>
      </c>
      <c r="FY775" s="319" t="s">
        <v>190</v>
      </c>
      <c r="FZ775" s="319" t="s">
        <v>190</v>
      </c>
      <c r="GA775" s="319" t="s">
        <v>190</v>
      </c>
      <c r="GB775" s="319" t="s">
        <v>190</v>
      </c>
      <c r="GC775" s="319" t="s">
        <v>190</v>
      </c>
      <c r="GD775" s="319" t="s">
        <v>190</v>
      </c>
      <c r="GE775" s="319" t="s">
        <v>190</v>
      </c>
      <c r="GF775" s="319" t="s">
        <v>190</v>
      </c>
      <c r="GG775" s="319" t="s">
        <v>190</v>
      </c>
      <c r="GH775" s="319" t="s">
        <v>190</v>
      </c>
      <c r="GI775" s="319" t="s">
        <v>190</v>
      </c>
      <c r="GJ775" s="319" t="s">
        <v>190</v>
      </c>
      <c r="GK775" s="319" t="s">
        <v>428</v>
      </c>
      <c r="GL775" s="319" t="s">
        <v>190</v>
      </c>
      <c r="GM775" s="319" t="s">
        <v>190</v>
      </c>
      <c r="GN775" s="319" t="s">
        <v>190</v>
      </c>
      <c r="GO775" s="319" t="s">
        <v>190</v>
      </c>
      <c r="GP775" s="319" t="s">
        <v>190</v>
      </c>
      <c r="GQ775" s="319" t="s">
        <v>428</v>
      </c>
      <c r="GR775" s="319" t="s">
        <v>190</v>
      </c>
      <c r="GS775" s="319" t="s">
        <v>190</v>
      </c>
      <c r="GT775" s="319" t="s">
        <v>428</v>
      </c>
      <c r="GU775" s="319" t="s">
        <v>428</v>
      </c>
      <c r="GV775" s="319" t="s">
        <v>428</v>
      </c>
      <c r="GW775" s="319" t="s">
        <v>190</v>
      </c>
      <c r="GX775" s="319" t="s">
        <v>190</v>
      </c>
      <c r="GY775" s="319" t="s">
        <v>190</v>
      </c>
      <c r="GZ775" s="319" t="s">
        <v>190</v>
      </c>
      <c r="HA775" s="319" t="s">
        <v>428</v>
      </c>
      <c r="HB775" s="319" t="s">
        <v>428</v>
      </c>
      <c r="HC775" s="319" t="s">
        <v>190</v>
      </c>
      <c r="HD775" s="319" t="s">
        <v>190</v>
      </c>
      <c r="HE775" s="319" t="s">
        <v>190</v>
      </c>
      <c r="HF775" s="319" t="s">
        <v>190</v>
      </c>
      <c r="HG775" s="319" t="s">
        <v>190</v>
      </c>
      <c r="HH775" s="319" t="s">
        <v>190</v>
      </c>
      <c r="HI775" s="319" t="s">
        <v>191</v>
      </c>
      <c r="HJ775" s="319" t="s">
        <v>190</v>
      </c>
      <c r="HK775" s="319" t="s">
        <v>190</v>
      </c>
      <c r="HL775" s="319" t="s">
        <v>428</v>
      </c>
      <c r="HM775" s="319" t="s">
        <v>428</v>
      </c>
      <c r="HN775" s="319" t="s">
        <v>428</v>
      </c>
      <c r="HO775" s="319" t="s">
        <v>428</v>
      </c>
      <c r="HP775" s="319" t="s">
        <v>190</v>
      </c>
      <c r="HQ775" s="319" t="s">
        <v>190</v>
      </c>
      <c r="HR775" s="319" t="s">
        <v>190</v>
      </c>
      <c r="HS775" s="319" t="s">
        <v>190</v>
      </c>
      <c r="HT775" s="319" t="s">
        <v>190</v>
      </c>
      <c r="HU775" s="319" t="s">
        <v>190</v>
      </c>
      <c r="HV775" s="319" t="s">
        <v>190</v>
      </c>
      <c r="HW775" s="319" t="s">
        <v>190</v>
      </c>
      <c r="HX775" s="319" t="s">
        <v>190</v>
      </c>
      <c r="HY775" s="319" t="s">
        <v>190</v>
      </c>
      <c r="HZ775" s="319" t="s">
        <v>190</v>
      </c>
      <c r="IA775" s="319" t="s">
        <v>190</v>
      </c>
      <c r="IB775" s="319" t="s">
        <v>190</v>
      </c>
      <c r="IC775" s="319" t="s">
        <v>190</v>
      </c>
      <c r="ID775" s="319" t="s">
        <v>190</v>
      </c>
      <c r="IE775" s="319" t="s">
        <v>190</v>
      </c>
      <c r="IF775" s="319" t="s">
        <v>191</v>
      </c>
      <c r="IG775" s="319" t="s">
        <v>191</v>
      </c>
      <c r="IH775" s="319" t="s">
        <v>191</v>
      </c>
      <c r="II775" s="319" t="s">
        <v>190</v>
      </c>
      <c r="IJ775" s="319" t="s">
        <v>3514</v>
      </c>
      <c r="IK775" s="321">
        <v>42109</v>
      </c>
      <c r="IL775" s="321">
        <v>42111</v>
      </c>
      <c r="IM775" s="321">
        <v>42135</v>
      </c>
      <c r="IN775" s="319">
        <v>2</v>
      </c>
      <c r="IO775" s="319">
        <v>10104198</v>
      </c>
      <c r="IP775" s="319" t="s">
        <v>985</v>
      </c>
      <c r="IQ775" s="321">
        <v>43642</v>
      </c>
      <c r="IR775" s="320" t="s">
        <v>1223</v>
      </c>
      <c r="IS775" s="322">
        <v>43718</v>
      </c>
      <c r="IT775" s="319" t="s">
        <v>165</v>
      </c>
    </row>
    <row r="776" spans="1:254" s="271" customFormat="1" x14ac:dyDescent="0.25">
      <c r="A776" s="318" t="str">
        <f>HYPERLINK("http://www.ofsted.gov.uk/inspection-reports/find-inspection-report/provider/ELS/141007 ","Ofsted School Webpage")</f>
        <v>Ofsted School Webpage</v>
      </c>
      <c r="B776" s="319">
        <v>141007</v>
      </c>
      <c r="C776" s="319">
        <v>9376011</v>
      </c>
      <c r="D776" s="319" t="s">
        <v>2275</v>
      </c>
      <c r="E776" s="319" t="s">
        <v>168</v>
      </c>
      <c r="F776" s="319" t="s">
        <v>81</v>
      </c>
      <c r="G776" s="319" t="s">
        <v>81</v>
      </c>
      <c r="H776" s="319" t="s">
        <v>81</v>
      </c>
      <c r="I776" s="319" t="s">
        <v>78</v>
      </c>
      <c r="J776" s="319" t="s">
        <v>424</v>
      </c>
      <c r="K776" s="319" t="s">
        <v>437</v>
      </c>
      <c r="L776" s="319" t="s">
        <v>437</v>
      </c>
      <c r="M776" s="319" t="s">
        <v>438</v>
      </c>
      <c r="N776" s="319" t="s">
        <v>3047</v>
      </c>
      <c r="O776" s="319" t="s">
        <v>3048</v>
      </c>
      <c r="P776" s="319">
        <v>22</v>
      </c>
      <c r="Q776" s="319" t="s">
        <v>429</v>
      </c>
      <c r="R776" s="320">
        <v>10047135</v>
      </c>
      <c r="S776" s="321">
        <v>43291</v>
      </c>
      <c r="T776" s="321">
        <v>43293</v>
      </c>
      <c r="U776" s="321">
        <v>43353</v>
      </c>
      <c r="V776" s="319" t="s">
        <v>425</v>
      </c>
      <c r="W776" s="319" t="s">
        <v>2767</v>
      </c>
      <c r="X776" s="319">
        <v>2</v>
      </c>
      <c r="Y776" s="319" t="s">
        <v>173</v>
      </c>
      <c r="Z776" s="319" t="s">
        <v>173</v>
      </c>
      <c r="AA776" s="319" t="s">
        <v>173</v>
      </c>
      <c r="AB776" s="319">
        <v>2</v>
      </c>
      <c r="AC776" s="319" t="s">
        <v>169</v>
      </c>
      <c r="AD776" s="319" t="s">
        <v>173</v>
      </c>
      <c r="AE776" s="319" t="s">
        <v>173</v>
      </c>
      <c r="AF776" s="319" t="s">
        <v>427</v>
      </c>
      <c r="AG776" s="319" t="s">
        <v>171</v>
      </c>
      <c r="AH776" s="319" t="s">
        <v>190</v>
      </c>
      <c r="AI776" s="319" t="s">
        <v>190</v>
      </c>
      <c r="AJ776" s="319" t="s">
        <v>190</v>
      </c>
      <c r="AK776" s="319" t="s">
        <v>190</v>
      </c>
      <c r="AL776" s="319" t="s">
        <v>190</v>
      </c>
      <c r="AM776" s="319" t="s">
        <v>190</v>
      </c>
      <c r="AN776" s="319" t="s">
        <v>190</v>
      </c>
      <c r="AO776" s="319" t="s">
        <v>190</v>
      </c>
      <c r="AP776" s="319" t="s">
        <v>190</v>
      </c>
      <c r="AQ776" s="319" t="s">
        <v>190</v>
      </c>
      <c r="AR776" s="319" t="s">
        <v>190</v>
      </c>
      <c r="AS776" s="319" t="s">
        <v>190</v>
      </c>
      <c r="AT776" s="319" t="s">
        <v>190</v>
      </c>
      <c r="AU776" s="319" t="s">
        <v>190</v>
      </c>
      <c r="AV776" s="319" t="s">
        <v>190</v>
      </c>
      <c r="AW776" s="319" t="s">
        <v>190</v>
      </c>
      <c r="AX776" s="319" t="s">
        <v>428</v>
      </c>
      <c r="AY776" s="319" t="s">
        <v>190</v>
      </c>
      <c r="AZ776" s="319" t="s">
        <v>190</v>
      </c>
      <c r="BA776" s="319" t="s">
        <v>190</v>
      </c>
      <c r="BB776" s="319" t="s">
        <v>428</v>
      </c>
      <c r="BC776" s="319" t="s">
        <v>428</v>
      </c>
      <c r="BD776" s="319" t="s">
        <v>428</v>
      </c>
      <c r="BE776" s="319" t="s">
        <v>428</v>
      </c>
      <c r="BF776" s="319" t="s">
        <v>428</v>
      </c>
      <c r="BG776" s="319" t="s">
        <v>428</v>
      </c>
      <c r="BH776" s="319" t="s">
        <v>190</v>
      </c>
      <c r="BI776" s="319" t="s">
        <v>190</v>
      </c>
      <c r="BJ776" s="319" t="s">
        <v>190</v>
      </c>
      <c r="BK776" s="319" t="s">
        <v>190</v>
      </c>
      <c r="BL776" s="319" t="s">
        <v>190</v>
      </c>
      <c r="BM776" s="319" t="s">
        <v>190</v>
      </c>
      <c r="BN776" s="319" t="s">
        <v>190</v>
      </c>
      <c r="BO776" s="319" t="s">
        <v>190</v>
      </c>
      <c r="BP776" s="319" t="s">
        <v>190</v>
      </c>
      <c r="BQ776" s="319" t="s">
        <v>190</v>
      </c>
      <c r="BR776" s="319" t="s">
        <v>190</v>
      </c>
      <c r="BS776" s="319" t="s">
        <v>190</v>
      </c>
      <c r="BT776" s="319" t="s">
        <v>190</v>
      </c>
      <c r="BU776" s="319" t="s">
        <v>190</v>
      </c>
      <c r="BV776" s="319" t="s">
        <v>190</v>
      </c>
      <c r="BW776" s="319" t="s">
        <v>190</v>
      </c>
      <c r="BX776" s="319" t="s">
        <v>190</v>
      </c>
      <c r="BY776" s="319" t="s">
        <v>190</v>
      </c>
      <c r="BZ776" s="319" t="s">
        <v>190</v>
      </c>
      <c r="CA776" s="319" t="s">
        <v>190</v>
      </c>
      <c r="CB776" s="319" t="s">
        <v>190</v>
      </c>
      <c r="CC776" s="319" t="s">
        <v>190</v>
      </c>
      <c r="CD776" s="319" t="s">
        <v>190</v>
      </c>
      <c r="CE776" s="319" t="s">
        <v>190</v>
      </c>
      <c r="CF776" s="319" t="s">
        <v>190</v>
      </c>
      <c r="CG776" s="319" t="s">
        <v>190</v>
      </c>
      <c r="CH776" s="319" t="s">
        <v>190</v>
      </c>
      <c r="CI776" s="319" t="s">
        <v>190</v>
      </c>
      <c r="CJ776" s="319" t="s">
        <v>190</v>
      </c>
      <c r="CK776" s="319" t="s">
        <v>190</v>
      </c>
      <c r="CL776" s="319" t="s">
        <v>190</v>
      </c>
      <c r="CM776" s="319" t="s">
        <v>190</v>
      </c>
      <c r="CN776" s="319" t="s">
        <v>428</v>
      </c>
      <c r="CO776" s="319" t="s">
        <v>428</v>
      </c>
      <c r="CP776" s="319" t="s">
        <v>428</v>
      </c>
      <c r="CQ776" s="319" t="s">
        <v>190</v>
      </c>
      <c r="CR776" s="319" t="s">
        <v>190</v>
      </c>
      <c r="CS776" s="319" t="s">
        <v>190</v>
      </c>
      <c r="CT776" s="319" t="s">
        <v>190</v>
      </c>
      <c r="CU776" s="319" t="s">
        <v>190</v>
      </c>
      <c r="CV776" s="319" t="s">
        <v>190</v>
      </c>
      <c r="CW776" s="319" t="s">
        <v>190</v>
      </c>
      <c r="CX776" s="319" t="s">
        <v>190</v>
      </c>
      <c r="CY776" s="319" t="s">
        <v>190</v>
      </c>
      <c r="CZ776" s="319" t="s">
        <v>190</v>
      </c>
      <c r="DA776" s="319" t="s">
        <v>190</v>
      </c>
      <c r="DB776" s="319" t="s">
        <v>190</v>
      </c>
      <c r="DC776" s="319" t="s">
        <v>190</v>
      </c>
      <c r="DD776" s="319" t="s">
        <v>190</v>
      </c>
      <c r="DE776" s="319" t="s">
        <v>190</v>
      </c>
      <c r="DF776" s="319" t="s">
        <v>190</v>
      </c>
      <c r="DG776" s="319" t="s">
        <v>190</v>
      </c>
      <c r="DH776" s="319" t="s">
        <v>190</v>
      </c>
      <c r="DI776" s="319" t="s">
        <v>190</v>
      </c>
      <c r="DJ776" s="319" t="s">
        <v>190</v>
      </c>
      <c r="DK776" s="319" t="s">
        <v>190</v>
      </c>
      <c r="DL776" s="319" t="s">
        <v>190</v>
      </c>
      <c r="DM776" s="319" t="s">
        <v>190</v>
      </c>
      <c r="DN776" s="319" t="s">
        <v>428</v>
      </c>
      <c r="DO776" s="319" t="s">
        <v>190</v>
      </c>
      <c r="DP776" s="319" t="s">
        <v>190</v>
      </c>
      <c r="DQ776" s="319" t="s">
        <v>190</v>
      </c>
      <c r="DR776" s="319" t="s">
        <v>190</v>
      </c>
      <c r="DS776" s="319" t="s">
        <v>190</v>
      </c>
      <c r="DT776" s="319" t="s">
        <v>190</v>
      </c>
      <c r="DU776" s="319" t="s">
        <v>190</v>
      </c>
      <c r="DV776" s="319" t="s">
        <v>173</v>
      </c>
      <c r="DW776" s="319" t="s">
        <v>190</v>
      </c>
      <c r="DX776" s="319" t="s">
        <v>190</v>
      </c>
      <c r="DY776" s="319" t="s">
        <v>190</v>
      </c>
      <c r="DZ776" s="319" t="s">
        <v>190</v>
      </c>
      <c r="EA776" s="319" t="s">
        <v>190</v>
      </c>
      <c r="EB776" s="319" t="s">
        <v>190</v>
      </c>
      <c r="EC776" s="319" t="s">
        <v>428</v>
      </c>
      <c r="ED776" s="319" t="s">
        <v>190</v>
      </c>
      <c r="EE776" s="319" t="s">
        <v>190</v>
      </c>
      <c r="EF776" s="319" t="s">
        <v>190</v>
      </c>
      <c r="EG776" s="319" t="s">
        <v>190</v>
      </c>
      <c r="EH776" s="319" t="s">
        <v>190</v>
      </c>
      <c r="EI776" s="319" t="s">
        <v>190</v>
      </c>
      <c r="EJ776" s="319" t="s">
        <v>190</v>
      </c>
      <c r="EK776" s="319" t="s">
        <v>190</v>
      </c>
      <c r="EL776" s="319" t="s">
        <v>190</v>
      </c>
      <c r="EM776" s="319" t="s">
        <v>190</v>
      </c>
      <c r="EN776" s="319" t="s">
        <v>190</v>
      </c>
      <c r="EO776" s="319" t="s">
        <v>190</v>
      </c>
      <c r="EP776" s="319" t="s">
        <v>190</v>
      </c>
      <c r="EQ776" s="319" t="s">
        <v>190</v>
      </c>
      <c r="ER776" s="319" t="s">
        <v>190</v>
      </c>
      <c r="ES776" s="319" t="s">
        <v>190</v>
      </c>
      <c r="ET776" s="319" t="s">
        <v>190</v>
      </c>
      <c r="EU776" s="319" t="s">
        <v>190</v>
      </c>
      <c r="EV776" s="319" t="s">
        <v>190</v>
      </c>
      <c r="EW776" s="319" t="s">
        <v>190</v>
      </c>
      <c r="EX776" s="319" t="s">
        <v>190</v>
      </c>
      <c r="EY776" s="319" t="s">
        <v>190</v>
      </c>
      <c r="EZ776" s="319" t="s">
        <v>190</v>
      </c>
      <c r="FA776" s="319" t="s">
        <v>190</v>
      </c>
      <c r="FB776" s="319" t="s">
        <v>190</v>
      </c>
      <c r="FC776" s="319" t="s">
        <v>190</v>
      </c>
      <c r="FD776" s="319" t="s">
        <v>190</v>
      </c>
      <c r="FE776" s="319" t="s">
        <v>190</v>
      </c>
      <c r="FF776" s="319" t="s">
        <v>190</v>
      </c>
      <c r="FG776" s="319" t="s">
        <v>190</v>
      </c>
      <c r="FH776" s="319" t="s">
        <v>190</v>
      </c>
      <c r="FI776" s="319" t="s">
        <v>190</v>
      </c>
      <c r="FJ776" s="319" t="s">
        <v>190</v>
      </c>
      <c r="FK776" s="319" t="s">
        <v>190</v>
      </c>
      <c r="FL776" s="319" t="s">
        <v>190</v>
      </c>
      <c r="FM776" s="319" t="s">
        <v>190</v>
      </c>
      <c r="FN776" s="319" t="s">
        <v>190</v>
      </c>
      <c r="FO776" s="319" t="s">
        <v>428</v>
      </c>
      <c r="FP776" s="319" t="s">
        <v>190</v>
      </c>
      <c r="FQ776" s="319" t="s">
        <v>190</v>
      </c>
      <c r="FR776" s="319" t="s">
        <v>190</v>
      </c>
      <c r="FS776" s="319" t="s">
        <v>190</v>
      </c>
      <c r="FT776" s="319" t="s">
        <v>190</v>
      </c>
      <c r="FU776" s="319" t="s">
        <v>190</v>
      </c>
      <c r="FV776" s="319" t="s">
        <v>190</v>
      </c>
      <c r="FW776" s="319" t="s">
        <v>190</v>
      </c>
      <c r="FX776" s="319" t="s">
        <v>190</v>
      </c>
      <c r="FY776" s="319" t="s">
        <v>190</v>
      </c>
      <c r="FZ776" s="319" t="s">
        <v>190</v>
      </c>
      <c r="GA776" s="319" t="s">
        <v>190</v>
      </c>
      <c r="GB776" s="319" t="s">
        <v>190</v>
      </c>
      <c r="GC776" s="319" t="s">
        <v>190</v>
      </c>
      <c r="GD776" s="319" t="s">
        <v>190</v>
      </c>
      <c r="GE776" s="319" t="s">
        <v>190</v>
      </c>
      <c r="GF776" s="319" t="s">
        <v>190</v>
      </c>
      <c r="GG776" s="319" t="s">
        <v>190</v>
      </c>
      <c r="GH776" s="319" t="s">
        <v>190</v>
      </c>
      <c r="GI776" s="319" t="s">
        <v>190</v>
      </c>
      <c r="GJ776" s="319" t="s">
        <v>190</v>
      </c>
      <c r="GK776" s="319" t="s">
        <v>428</v>
      </c>
      <c r="GL776" s="319" t="s">
        <v>190</v>
      </c>
      <c r="GM776" s="319" t="s">
        <v>190</v>
      </c>
      <c r="GN776" s="319" t="s">
        <v>190</v>
      </c>
      <c r="GO776" s="319" t="s">
        <v>190</v>
      </c>
      <c r="GP776" s="319" t="s">
        <v>190</v>
      </c>
      <c r="GQ776" s="319" t="s">
        <v>190</v>
      </c>
      <c r="GR776" s="319" t="s">
        <v>190</v>
      </c>
      <c r="GS776" s="319" t="s">
        <v>190</v>
      </c>
      <c r="GT776" s="319" t="s">
        <v>190</v>
      </c>
      <c r="GU776" s="319" t="s">
        <v>190</v>
      </c>
      <c r="GV776" s="319" t="s">
        <v>190</v>
      </c>
      <c r="GW776" s="319" t="s">
        <v>190</v>
      </c>
      <c r="GX776" s="319" t="s">
        <v>190</v>
      </c>
      <c r="GY776" s="319" t="s">
        <v>190</v>
      </c>
      <c r="GZ776" s="319" t="s">
        <v>190</v>
      </c>
      <c r="HA776" s="319" t="s">
        <v>190</v>
      </c>
      <c r="HB776" s="319" t="s">
        <v>190</v>
      </c>
      <c r="HC776" s="319" t="s">
        <v>190</v>
      </c>
      <c r="HD776" s="319" t="s">
        <v>190</v>
      </c>
      <c r="HE776" s="319" t="s">
        <v>190</v>
      </c>
      <c r="HF776" s="319" t="s">
        <v>190</v>
      </c>
      <c r="HG776" s="319" t="s">
        <v>190</v>
      </c>
      <c r="HH776" s="319" t="s">
        <v>190</v>
      </c>
      <c r="HI776" s="319" t="s">
        <v>190</v>
      </c>
      <c r="HJ776" s="319" t="s">
        <v>190</v>
      </c>
      <c r="HK776" s="319" t="s">
        <v>190</v>
      </c>
      <c r="HL776" s="319" t="s">
        <v>428</v>
      </c>
      <c r="HM776" s="319" t="s">
        <v>428</v>
      </c>
      <c r="HN776" s="319" t="s">
        <v>428</v>
      </c>
      <c r="HO776" s="319" t="s">
        <v>428</v>
      </c>
      <c r="HP776" s="319" t="s">
        <v>190</v>
      </c>
      <c r="HQ776" s="319" t="s">
        <v>190</v>
      </c>
      <c r="HR776" s="319" t="s">
        <v>190</v>
      </c>
      <c r="HS776" s="319" t="s">
        <v>190</v>
      </c>
      <c r="HT776" s="319" t="s">
        <v>190</v>
      </c>
      <c r="HU776" s="319" t="s">
        <v>190</v>
      </c>
      <c r="HV776" s="319" t="s">
        <v>190</v>
      </c>
      <c r="HW776" s="319" t="s">
        <v>190</v>
      </c>
      <c r="HX776" s="319" t="s">
        <v>190</v>
      </c>
      <c r="HY776" s="319" t="s">
        <v>190</v>
      </c>
      <c r="HZ776" s="319" t="s">
        <v>190</v>
      </c>
      <c r="IA776" s="319" t="s">
        <v>190</v>
      </c>
      <c r="IB776" s="319" t="s">
        <v>190</v>
      </c>
      <c r="IC776" s="319" t="s">
        <v>190</v>
      </c>
      <c r="ID776" s="319" t="s">
        <v>190</v>
      </c>
      <c r="IE776" s="319" t="s">
        <v>190</v>
      </c>
      <c r="IF776" s="319" t="s">
        <v>190</v>
      </c>
      <c r="IG776" s="319" t="s">
        <v>190</v>
      </c>
      <c r="IH776" s="319" t="s">
        <v>190</v>
      </c>
      <c r="II776" s="319" t="s">
        <v>190</v>
      </c>
      <c r="IJ776" s="319" t="s">
        <v>3515</v>
      </c>
      <c r="IK776" s="321">
        <v>42158</v>
      </c>
      <c r="IL776" s="321">
        <v>42160</v>
      </c>
      <c r="IM776" s="321">
        <v>42195</v>
      </c>
      <c r="IN776" s="319">
        <v>2</v>
      </c>
      <c r="IO776" s="319" t="s">
        <v>173</v>
      </c>
      <c r="IP776" s="319" t="s">
        <v>173</v>
      </c>
      <c r="IQ776" s="321" t="s">
        <v>173</v>
      </c>
      <c r="IR776" s="320" t="s">
        <v>173</v>
      </c>
      <c r="IS776" s="322" t="s">
        <v>173</v>
      </c>
      <c r="IT776" s="319" t="s">
        <v>173</v>
      </c>
    </row>
    <row r="777" spans="1:254" s="271" customFormat="1" x14ac:dyDescent="0.25">
      <c r="A777" s="318" t="str">
        <f>HYPERLINK("http://www.ofsted.gov.uk/inspection-reports/find-inspection-report/provider/ELS/141008 ","Ofsted School Webpage")</f>
        <v>Ofsted School Webpage</v>
      </c>
      <c r="B777" s="319">
        <v>141008</v>
      </c>
      <c r="C777" s="319">
        <v>9376012</v>
      </c>
      <c r="D777" s="319" t="s">
        <v>2276</v>
      </c>
      <c r="E777" s="319" t="s">
        <v>168</v>
      </c>
      <c r="F777" s="319" t="s">
        <v>81</v>
      </c>
      <c r="G777" s="319" t="s">
        <v>81</v>
      </c>
      <c r="H777" s="319" t="s">
        <v>81</v>
      </c>
      <c r="I777" s="319" t="s">
        <v>78</v>
      </c>
      <c r="J777" s="319" t="s">
        <v>424</v>
      </c>
      <c r="K777" s="319" t="s">
        <v>437</v>
      </c>
      <c r="L777" s="319" t="s">
        <v>437</v>
      </c>
      <c r="M777" s="319" t="s">
        <v>438</v>
      </c>
      <c r="N777" s="319" t="s">
        <v>3047</v>
      </c>
      <c r="O777" s="319" t="s">
        <v>3048</v>
      </c>
      <c r="P777" s="319">
        <v>41</v>
      </c>
      <c r="Q777" s="319" t="s">
        <v>429</v>
      </c>
      <c r="R777" s="320">
        <v>10047136</v>
      </c>
      <c r="S777" s="321">
        <v>43242</v>
      </c>
      <c r="T777" s="321">
        <v>43244</v>
      </c>
      <c r="U777" s="321">
        <v>43285</v>
      </c>
      <c r="V777" s="319" t="s">
        <v>425</v>
      </c>
      <c r="W777" s="319" t="s">
        <v>2767</v>
      </c>
      <c r="X777" s="319">
        <v>2</v>
      </c>
      <c r="Y777" s="319" t="s">
        <v>173</v>
      </c>
      <c r="Z777" s="319" t="s">
        <v>173</v>
      </c>
      <c r="AA777" s="319" t="s">
        <v>173</v>
      </c>
      <c r="AB777" s="319">
        <v>2</v>
      </c>
      <c r="AC777" s="319" t="s">
        <v>169</v>
      </c>
      <c r="AD777" s="319" t="s">
        <v>173</v>
      </c>
      <c r="AE777" s="319" t="s">
        <v>173</v>
      </c>
      <c r="AF777" s="319" t="s">
        <v>427</v>
      </c>
      <c r="AG777" s="319" t="s">
        <v>171</v>
      </c>
      <c r="AH777" s="319" t="s">
        <v>190</v>
      </c>
      <c r="AI777" s="319" t="s">
        <v>190</v>
      </c>
      <c r="AJ777" s="319" t="s">
        <v>190</v>
      </c>
      <c r="AK777" s="319" t="s">
        <v>190</v>
      </c>
      <c r="AL777" s="319" t="s">
        <v>190</v>
      </c>
      <c r="AM777" s="319" t="s">
        <v>190</v>
      </c>
      <c r="AN777" s="319" t="s">
        <v>190</v>
      </c>
      <c r="AO777" s="319" t="s">
        <v>190</v>
      </c>
      <c r="AP777" s="319" t="s">
        <v>190</v>
      </c>
      <c r="AQ777" s="319" t="s">
        <v>190</v>
      </c>
      <c r="AR777" s="319" t="s">
        <v>190</v>
      </c>
      <c r="AS777" s="319" t="s">
        <v>190</v>
      </c>
      <c r="AT777" s="319" t="s">
        <v>190</v>
      </c>
      <c r="AU777" s="319" t="s">
        <v>190</v>
      </c>
      <c r="AV777" s="319" t="s">
        <v>190</v>
      </c>
      <c r="AW777" s="319" t="s">
        <v>190</v>
      </c>
      <c r="AX777" s="319" t="s">
        <v>428</v>
      </c>
      <c r="AY777" s="319" t="s">
        <v>190</v>
      </c>
      <c r="AZ777" s="319" t="s">
        <v>190</v>
      </c>
      <c r="BA777" s="319" t="s">
        <v>190</v>
      </c>
      <c r="BB777" s="319" t="s">
        <v>190</v>
      </c>
      <c r="BC777" s="319" t="s">
        <v>190</v>
      </c>
      <c r="BD777" s="319" t="s">
        <v>190</v>
      </c>
      <c r="BE777" s="319" t="s">
        <v>190</v>
      </c>
      <c r="BF777" s="319" t="s">
        <v>428</v>
      </c>
      <c r="BG777" s="319" t="s">
        <v>428</v>
      </c>
      <c r="BH777" s="319" t="s">
        <v>190</v>
      </c>
      <c r="BI777" s="319" t="s">
        <v>190</v>
      </c>
      <c r="BJ777" s="319" t="s">
        <v>190</v>
      </c>
      <c r="BK777" s="319" t="s">
        <v>190</v>
      </c>
      <c r="BL777" s="319" t="s">
        <v>190</v>
      </c>
      <c r="BM777" s="319" t="s">
        <v>190</v>
      </c>
      <c r="BN777" s="319" t="s">
        <v>190</v>
      </c>
      <c r="BO777" s="319" t="s">
        <v>190</v>
      </c>
      <c r="BP777" s="319" t="s">
        <v>190</v>
      </c>
      <c r="BQ777" s="319" t="s">
        <v>190</v>
      </c>
      <c r="BR777" s="319" t="s">
        <v>190</v>
      </c>
      <c r="BS777" s="319" t="s">
        <v>190</v>
      </c>
      <c r="BT777" s="319" t="s">
        <v>190</v>
      </c>
      <c r="BU777" s="319" t="s">
        <v>190</v>
      </c>
      <c r="BV777" s="319" t="s">
        <v>190</v>
      </c>
      <c r="BW777" s="319" t="s">
        <v>190</v>
      </c>
      <c r="BX777" s="319" t="s">
        <v>190</v>
      </c>
      <c r="BY777" s="319" t="s">
        <v>190</v>
      </c>
      <c r="BZ777" s="319" t="s">
        <v>190</v>
      </c>
      <c r="CA777" s="319" t="s">
        <v>190</v>
      </c>
      <c r="CB777" s="319" t="s">
        <v>190</v>
      </c>
      <c r="CC777" s="319" t="s">
        <v>190</v>
      </c>
      <c r="CD777" s="319" t="s">
        <v>190</v>
      </c>
      <c r="CE777" s="319" t="s">
        <v>190</v>
      </c>
      <c r="CF777" s="319" t="s">
        <v>190</v>
      </c>
      <c r="CG777" s="319" t="s">
        <v>190</v>
      </c>
      <c r="CH777" s="319" t="s">
        <v>190</v>
      </c>
      <c r="CI777" s="319" t="s">
        <v>190</v>
      </c>
      <c r="CJ777" s="319" t="s">
        <v>190</v>
      </c>
      <c r="CK777" s="319" t="s">
        <v>190</v>
      </c>
      <c r="CL777" s="319" t="s">
        <v>190</v>
      </c>
      <c r="CM777" s="319" t="s">
        <v>190</v>
      </c>
      <c r="CN777" s="319" t="s">
        <v>428</v>
      </c>
      <c r="CO777" s="319" t="s">
        <v>428</v>
      </c>
      <c r="CP777" s="319" t="s">
        <v>428</v>
      </c>
      <c r="CQ777" s="319" t="s">
        <v>190</v>
      </c>
      <c r="CR777" s="319" t="s">
        <v>190</v>
      </c>
      <c r="CS777" s="319" t="s">
        <v>190</v>
      </c>
      <c r="CT777" s="319" t="s">
        <v>190</v>
      </c>
      <c r="CU777" s="319" t="s">
        <v>190</v>
      </c>
      <c r="CV777" s="319" t="s">
        <v>190</v>
      </c>
      <c r="CW777" s="319" t="s">
        <v>190</v>
      </c>
      <c r="CX777" s="319" t="s">
        <v>190</v>
      </c>
      <c r="CY777" s="319" t="s">
        <v>190</v>
      </c>
      <c r="CZ777" s="319" t="s">
        <v>190</v>
      </c>
      <c r="DA777" s="319" t="s">
        <v>190</v>
      </c>
      <c r="DB777" s="319" t="s">
        <v>190</v>
      </c>
      <c r="DC777" s="319" t="s">
        <v>190</v>
      </c>
      <c r="DD777" s="319" t="s">
        <v>190</v>
      </c>
      <c r="DE777" s="319" t="s">
        <v>190</v>
      </c>
      <c r="DF777" s="319" t="s">
        <v>190</v>
      </c>
      <c r="DG777" s="319" t="s">
        <v>190</v>
      </c>
      <c r="DH777" s="319" t="s">
        <v>190</v>
      </c>
      <c r="DI777" s="319" t="s">
        <v>190</v>
      </c>
      <c r="DJ777" s="319" t="s">
        <v>190</v>
      </c>
      <c r="DK777" s="319" t="s">
        <v>190</v>
      </c>
      <c r="DL777" s="319" t="s">
        <v>190</v>
      </c>
      <c r="DM777" s="319" t="s">
        <v>190</v>
      </c>
      <c r="DN777" s="319" t="s">
        <v>428</v>
      </c>
      <c r="DO777" s="319" t="s">
        <v>190</v>
      </c>
      <c r="DP777" s="319" t="s">
        <v>190</v>
      </c>
      <c r="DQ777" s="319" t="s">
        <v>190</v>
      </c>
      <c r="DR777" s="319" t="s">
        <v>190</v>
      </c>
      <c r="DS777" s="319" t="s">
        <v>190</v>
      </c>
      <c r="DT777" s="319" t="s">
        <v>190</v>
      </c>
      <c r="DU777" s="319" t="s">
        <v>190</v>
      </c>
      <c r="DV777" s="319" t="s">
        <v>173</v>
      </c>
      <c r="DW777" s="319" t="s">
        <v>190</v>
      </c>
      <c r="DX777" s="319" t="s">
        <v>190</v>
      </c>
      <c r="DY777" s="319" t="s">
        <v>190</v>
      </c>
      <c r="DZ777" s="319" t="s">
        <v>190</v>
      </c>
      <c r="EA777" s="319" t="s">
        <v>190</v>
      </c>
      <c r="EB777" s="319" t="s">
        <v>190</v>
      </c>
      <c r="EC777" s="319" t="s">
        <v>428</v>
      </c>
      <c r="ED777" s="319" t="s">
        <v>190</v>
      </c>
      <c r="EE777" s="319" t="s">
        <v>190</v>
      </c>
      <c r="EF777" s="319" t="s">
        <v>190</v>
      </c>
      <c r="EG777" s="319" t="s">
        <v>190</v>
      </c>
      <c r="EH777" s="319" t="s">
        <v>190</v>
      </c>
      <c r="EI777" s="319" t="s">
        <v>190</v>
      </c>
      <c r="EJ777" s="319" t="s">
        <v>190</v>
      </c>
      <c r="EK777" s="319" t="s">
        <v>190</v>
      </c>
      <c r="EL777" s="319" t="s">
        <v>190</v>
      </c>
      <c r="EM777" s="319" t="s">
        <v>190</v>
      </c>
      <c r="EN777" s="319" t="s">
        <v>190</v>
      </c>
      <c r="EO777" s="319" t="s">
        <v>190</v>
      </c>
      <c r="EP777" s="319" t="s">
        <v>190</v>
      </c>
      <c r="EQ777" s="319" t="s">
        <v>190</v>
      </c>
      <c r="ER777" s="319" t="s">
        <v>190</v>
      </c>
      <c r="ES777" s="319" t="s">
        <v>190</v>
      </c>
      <c r="ET777" s="319" t="s">
        <v>190</v>
      </c>
      <c r="EU777" s="319" t="s">
        <v>190</v>
      </c>
      <c r="EV777" s="319" t="s">
        <v>190</v>
      </c>
      <c r="EW777" s="319" t="s">
        <v>190</v>
      </c>
      <c r="EX777" s="319" t="s">
        <v>190</v>
      </c>
      <c r="EY777" s="319" t="s">
        <v>190</v>
      </c>
      <c r="EZ777" s="319" t="s">
        <v>190</v>
      </c>
      <c r="FA777" s="319" t="s">
        <v>190</v>
      </c>
      <c r="FB777" s="319" t="s">
        <v>190</v>
      </c>
      <c r="FC777" s="319" t="s">
        <v>190</v>
      </c>
      <c r="FD777" s="319" t="s">
        <v>190</v>
      </c>
      <c r="FE777" s="319" t="s">
        <v>190</v>
      </c>
      <c r="FF777" s="319" t="s">
        <v>190</v>
      </c>
      <c r="FG777" s="319" t="s">
        <v>190</v>
      </c>
      <c r="FH777" s="319" t="s">
        <v>190</v>
      </c>
      <c r="FI777" s="319" t="s">
        <v>190</v>
      </c>
      <c r="FJ777" s="319" t="s">
        <v>190</v>
      </c>
      <c r="FK777" s="319" t="s">
        <v>190</v>
      </c>
      <c r="FL777" s="319" t="s">
        <v>190</v>
      </c>
      <c r="FM777" s="319" t="s">
        <v>190</v>
      </c>
      <c r="FN777" s="319" t="s">
        <v>190</v>
      </c>
      <c r="FO777" s="319" t="s">
        <v>190</v>
      </c>
      <c r="FP777" s="319" t="s">
        <v>190</v>
      </c>
      <c r="FQ777" s="319" t="s">
        <v>190</v>
      </c>
      <c r="FR777" s="319" t="s">
        <v>190</v>
      </c>
      <c r="FS777" s="319" t="s">
        <v>190</v>
      </c>
      <c r="FT777" s="319" t="s">
        <v>190</v>
      </c>
      <c r="FU777" s="319" t="s">
        <v>190</v>
      </c>
      <c r="FV777" s="319" t="s">
        <v>190</v>
      </c>
      <c r="FW777" s="319" t="s">
        <v>190</v>
      </c>
      <c r="FX777" s="319" t="s">
        <v>190</v>
      </c>
      <c r="FY777" s="319" t="s">
        <v>190</v>
      </c>
      <c r="FZ777" s="319" t="s">
        <v>190</v>
      </c>
      <c r="GA777" s="319" t="s">
        <v>190</v>
      </c>
      <c r="GB777" s="319" t="s">
        <v>190</v>
      </c>
      <c r="GC777" s="319" t="s">
        <v>190</v>
      </c>
      <c r="GD777" s="319" t="s">
        <v>190</v>
      </c>
      <c r="GE777" s="319" t="s">
        <v>190</v>
      </c>
      <c r="GF777" s="319" t="s">
        <v>190</v>
      </c>
      <c r="GG777" s="319" t="s">
        <v>190</v>
      </c>
      <c r="GH777" s="319" t="s">
        <v>190</v>
      </c>
      <c r="GI777" s="319" t="s">
        <v>190</v>
      </c>
      <c r="GJ777" s="319" t="s">
        <v>190</v>
      </c>
      <c r="GK777" s="319" t="s">
        <v>428</v>
      </c>
      <c r="GL777" s="319" t="s">
        <v>190</v>
      </c>
      <c r="GM777" s="319" t="s">
        <v>190</v>
      </c>
      <c r="GN777" s="319" t="s">
        <v>190</v>
      </c>
      <c r="GO777" s="319" t="s">
        <v>190</v>
      </c>
      <c r="GP777" s="319" t="s">
        <v>190</v>
      </c>
      <c r="GQ777" s="319" t="s">
        <v>190</v>
      </c>
      <c r="GR777" s="319" t="s">
        <v>190</v>
      </c>
      <c r="GS777" s="319" t="s">
        <v>190</v>
      </c>
      <c r="GT777" s="319" t="s">
        <v>190</v>
      </c>
      <c r="GU777" s="319" t="s">
        <v>190</v>
      </c>
      <c r="GV777" s="319" t="s">
        <v>190</v>
      </c>
      <c r="GW777" s="319" t="s">
        <v>190</v>
      </c>
      <c r="GX777" s="319" t="s">
        <v>190</v>
      </c>
      <c r="GY777" s="319" t="s">
        <v>190</v>
      </c>
      <c r="GZ777" s="319" t="s">
        <v>428</v>
      </c>
      <c r="HA777" s="319" t="s">
        <v>190</v>
      </c>
      <c r="HB777" s="319" t="s">
        <v>190</v>
      </c>
      <c r="HC777" s="319" t="s">
        <v>190</v>
      </c>
      <c r="HD777" s="319" t="s">
        <v>190</v>
      </c>
      <c r="HE777" s="319" t="s">
        <v>190</v>
      </c>
      <c r="HF777" s="319" t="s">
        <v>190</v>
      </c>
      <c r="HG777" s="319" t="s">
        <v>190</v>
      </c>
      <c r="HH777" s="319" t="s">
        <v>190</v>
      </c>
      <c r="HI777" s="319" t="s">
        <v>190</v>
      </c>
      <c r="HJ777" s="319" t="s">
        <v>190</v>
      </c>
      <c r="HK777" s="319" t="s">
        <v>190</v>
      </c>
      <c r="HL777" s="319" t="s">
        <v>190</v>
      </c>
      <c r="HM777" s="319" t="s">
        <v>190</v>
      </c>
      <c r="HN777" s="319" t="s">
        <v>190</v>
      </c>
      <c r="HO777" s="319" t="s">
        <v>190</v>
      </c>
      <c r="HP777" s="319" t="s">
        <v>190</v>
      </c>
      <c r="HQ777" s="319" t="s">
        <v>190</v>
      </c>
      <c r="HR777" s="319" t="s">
        <v>190</v>
      </c>
      <c r="HS777" s="319" t="s">
        <v>190</v>
      </c>
      <c r="HT777" s="319" t="s">
        <v>190</v>
      </c>
      <c r="HU777" s="319" t="s">
        <v>190</v>
      </c>
      <c r="HV777" s="319" t="s">
        <v>190</v>
      </c>
      <c r="HW777" s="319" t="s">
        <v>190</v>
      </c>
      <c r="HX777" s="319" t="s">
        <v>190</v>
      </c>
      <c r="HY777" s="319" t="s">
        <v>190</v>
      </c>
      <c r="HZ777" s="319" t="s">
        <v>190</v>
      </c>
      <c r="IA777" s="319" t="s">
        <v>190</v>
      </c>
      <c r="IB777" s="319" t="s">
        <v>190</v>
      </c>
      <c r="IC777" s="319" t="s">
        <v>190</v>
      </c>
      <c r="ID777" s="319" t="s">
        <v>190</v>
      </c>
      <c r="IE777" s="319" t="s">
        <v>190</v>
      </c>
      <c r="IF777" s="319" t="s">
        <v>190</v>
      </c>
      <c r="IG777" s="319" t="s">
        <v>190</v>
      </c>
      <c r="IH777" s="319" t="s">
        <v>190</v>
      </c>
      <c r="II777" s="319" t="s">
        <v>190</v>
      </c>
      <c r="IJ777" s="319" t="s">
        <v>3516</v>
      </c>
      <c r="IK777" s="321">
        <v>42158</v>
      </c>
      <c r="IL777" s="321">
        <v>42160</v>
      </c>
      <c r="IM777" s="321">
        <v>42195</v>
      </c>
      <c r="IN777" s="319">
        <v>2</v>
      </c>
      <c r="IO777" s="319" t="s">
        <v>173</v>
      </c>
      <c r="IP777" s="319" t="s">
        <v>173</v>
      </c>
      <c r="IQ777" s="321" t="s">
        <v>173</v>
      </c>
      <c r="IR777" s="320" t="s">
        <v>173</v>
      </c>
      <c r="IS777" s="322" t="s">
        <v>173</v>
      </c>
      <c r="IT777" s="319" t="s">
        <v>173</v>
      </c>
    </row>
    <row r="778" spans="1:254" s="271" customFormat="1" x14ac:dyDescent="0.25">
      <c r="A778" s="318" t="str">
        <f>HYPERLINK("http://www.ofsted.gov.uk/inspection-reports/find-inspection-report/provider/ELS/141023 ","Ofsted School Webpage")</f>
        <v>Ofsted School Webpage</v>
      </c>
      <c r="B778" s="319">
        <v>141023</v>
      </c>
      <c r="C778" s="319">
        <v>3156007</v>
      </c>
      <c r="D778" s="319" t="s">
        <v>2277</v>
      </c>
      <c r="E778" s="319" t="s">
        <v>167</v>
      </c>
      <c r="F778" s="319" t="s">
        <v>81</v>
      </c>
      <c r="G778" s="319" t="s">
        <v>81</v>
      </c>
      <c r="H778" s="319" t="s">
        <v>81</v>
      </c>
      <c r="I778" s="319" t="s">
        <v>78</v>
      </c>
      <c r="J778" s="319" t="s">
        <v>424</v>
      </c>
      <c r="K778" s="319" t="s">
        <v>441</v>
      </c>
      <c r="L778" s="319" t="s">
        <v>441</v>
      </c>
      <c r="M778" s="319" t="s">
        <v>1193</v>
      </c>
      <c r="N778" s="319" t="s">
        <v>2846</v>
      </c>
      <c r="O778" s="319" t="s">
        <v>1305</v>
      </c>
      <c r="P778" s="319">
        <v>17</v>
      </c>
      <c r="Q778" s="319" t="s">
        <v>2766</v>
      </c>
      <c r="R778" s="320">
        <v>10048721</v>
      </c>
      <c r="S778" s="321">
        <v>43242</v>
      </c>
      <c r="T778" s="321">
        <v>43244</v>
      </c>
      <c r="U778" s="321">
        <v>43272</v>
      </c>
      <c r="V778" s="319" t="s">
        <v>425</v>
      </c>
      <c r="W778" s="319" t="s">
        <v>2767</v>
      </c>
      <c r="X778" s="319">
        <v>2</v>
      </c>
      <c r="Y778" s="319" t="s">
        <v>173</v>
      </c>
      <c r="Z778" s="319" t="s">
        <v>173</v>
      </c>
      <c r="AA778" s="319" t="s">
        <v>173</v>
      </c>
      <c r="AB778" s="319">
        <v>2</v>
      </c>
      <c r="AC778" s="319" t="s">
        <v>169</v>
      </c>
      <c r="AD778" s="319" t="s">
        <v>173</v>
      </c>
      <c r="AE778" s="319" t="s">
        <v>173</v>
      </c>
      <c r="AF778" s="319" t="s">
        <v>427</v>
      </c>
      <c r="AG778" s="319" t="s">
        <v>171</v>
      </c>
      <c r="AH778" s="319" t="s">
        <v>190</v>
      </c>
      <c r="AI778" s="319" t="s">
        <v>190</v>
      </c>
      <c r="AJ778" s="319" t="s">
        <v>190</v>
      </c>
      <c r="AK778" s="319" t="s">
        <v>190</v>
      </c>
      <c r="AL778" s="319" t="s">
        <v>190</v>
      </c>
      <c r="AM778" s="319" t="s">
        <v>190</v>
      </c>
      <c r="AN778" s="319" t="s">
        <v>190</v>
      </c>
      <c r="AO778" s="319" t="s">
        <v>190</v>
      </c>
      <c r="AP778" s="319" t="s">
        <v>190</v>
      </c>
      <c r="AQ778" s="319" t="s">
        <v>190</v>
      </c>
      <c r="AR778" s="319" t="s">
        <v>190</v>
      </c>
      <c r="AS778" s="319" t="s">
        <v>190</v>
      </c>
      <c r="AT778" s="319" t="s">
        <v>190</v>
      </c>
      <c r="AU778" s="319" t="s">
        <v>428</v>
      </c>
      <c r="AV778" s="319" t="s">
        <v>428</v>
      </c>
      <c r="AW778" s="319" t="s">
        <v>190</v>
      </c>
      <c r="AX778" s="319" t="s">
        <v>190</v>
      </c>
      <c r="AY778" s="319" t="s">
        <v>190</v>
      </c>
      <c r="AZ778" s="319" t="s">
        <v>190</v>
      </c>
      <c r="BA778" s="319" t="s">
        <v>190</v>
      </c>
      <c r="BB778" s="319" t="s">
        <v>428</v>
      </c>
      <c r="BC778" s="319" t="s">
        <v>428</v>
      </c>
      <c r="BD778" s="319" t="s">
        <v>428</v>
      </c>
      <c r="BE778" s="319" t="s">
        <v>428</v>
      </c>
      <c r="BF778" s="319" t="s">
        <v>190</v>
      </c>
      <c r="BG778" s="319" t="s">
        <v>428</v>
      </c>
      <c r="BH778" s="319" t="s">
        <v>190</v>
      </c>
      <c r="BI778" s="319" t="s">
        <v>190</v>
      </c>
      <c r="BJ778" s="319" t="s">
        <v>190</v>
      </c>
      <c r="BK778" s="319" t="s">
        <v>190</v>
      </c>
      <c r="BL778" s="319" t="s">
        <v>190</v>
      </c>
      <c r="BM778" s="319" t="s">
        <v>190</v>
      </c>
      <c r="BN778" s="319" t="s">
        <v>190</v>
      </c>
      <c r="BO778" s="319" t="s">
        <v>190</v>
      </c>
      <c r="BP778" s="319" t="s">
        <v>190</v>
      </c>
      <c r="BQ778" s="319" t="s">
        <v>190</v>
      </c>
      <c r="BR778" s="319" t="s">
        <v>190</v>
      </c>
      <c r="BS778" s="319" t="s">
        <v>190</v>
      </c>
      <c r="BT778" s="319" t="s">
        <v>190</v>
      </c>
      <c r="BU778" s="319" t="s">
        <v>190</v>
      </c>
      <c r="BV778" s="319" t="s">
        <v>190</v>
      </c>
      <c r="BW778" s="319" t="s">
        <v>190</v>
      </c>
      <c r="BX778" s="319" t="s">
        <v>190</v>
      </c>
      <c r="BY778" s="319" t="s">
        <v>190</v>
      </c>
      <c r="BZ778" s="319" t="s">
        <v>190</v>
      </c>
      <c r="CA778" s="319" t="s">
        <v>190</v>
      </c>
      <c r="CB778" s="319" t="s">
        <v>190</v>
      </c>
      <c r="CC778" s="319" t="s">
        <v>190</v>
      </c>
      <c r="CD778" s="319" t="s">
        <v>190</v>
      </c>
      <c r="CE778" s="319" t="s">
        <v>190</v>
      </c>
      <c r="CF778" s="319" t="s">
        <v>190</v>
      </c>
      <c r="CG778" s="319" t="s">
        <v>190</v>
      </c>
      <c r="CH778" s="319" t="s">
        <v>190</v>
      </c>
      <c r="CI778" s="319" t="s">
        <v>190</v>
      </c>
      <c r="CJ778" s="319" t="s">
        <v>190</v>
      </c>
      <c r="CK778" s="319" t="s">
        <v>190</v>
      </c>
      <c r="CL778" s="319" t="s">
        <v>190</v>
      </c>
      <c r="CM778" s="319" t="s">
        <v>190</v>
      </c>
      <c r="CN778" s="319" t="s">
        <v>190</v>
      </c>
      <c r="CO778" s="319" t="s">
        <v>190</v>
      </c>
      <c r="CP778" s="319" t="s">
        <v>428</v>
      </c>
      <c r="CQ778" s="319" t="s">
        <v>190</v>
      </c>
      <c r="CR778" s="319" t="s">
        <v>190</v>
      </c>
      <c r="CS778" s="319" t="s">
        <v>190</v>
      </c>
      <c r="CT778" s="319" t="s">
        <v>190</v>
      </c>
      <c r="CU778" s="319" t="s">
        <v>190</v>
      </c>
      <c r="CV778" s="319" t="s">
        <v>190</v>
      </c>
      <c r="CW778" s="319" t="s">
        <v>190</v>
      </c>
      <c r="CX778" s="319" t="s">
        <v>190</v>
      </c>
      <c r="CY778" s="319" t="s">
        <v>190</v>
      </c>
      <c r="CZ778" s="319" t="s">
        <v>190</v>
      </c>
      <c r="DA778" s="319" t="s">
        <v>190</v>
      </c>
      <c r="DB778" s="319" t="s">
        <v>190</v>
      </c>
      <c r="DC778" s="319" t="s">
        <v>190</v>
      </c>
      <c r="DD778" s="319" t="s">
        <v>190</v>
      </c>
      <c r="DE778" s="319" t="s">
        <v>190</v>
      </c>
      <c r="DF778" s="319" t="s">
        <v>190</v>
      </c>
      <c r="DG778" s="319" t="s">
        <v>190</v>
      </c>
      <c r="DH778" s="319" t="s">
        <v>190</v>
      </c>
      <c r="DI778" s="319" t="s">
        <v>190</v>
      </c>
      <c r="DJ778" s="319" t="s">
        <v>190</v>
      </c>
      <c r="DK778" s="319" t="s">
        <v>190</v>
      </c>
      <c r="DL778" s="319" t="s">
        <v>190</v>
      </c>
      <c r="DM778" s="319" t="s">
        <v>190</v>
      </c>
      <c r="DN778" s="319" t="s">
        <v>428</v>
      </c>
      <c r="DO778" s="319" t="s">
        <v>190</v>
      </c>
      <c r="DP778" s="319" t="s">
        <v>428</v>
      </c>
      <c r="DQ778" s="319" t="s">
        <v>428</v>
      </c>
      <c r="DR778" s="319" t="s">
        <v>428</v>
      </c>
      <c r="DS778" s="319" t="s">
        <v>428</v>
      </c>
      <c r="DT778" s="319" t="s">
        <v>428</v>
      </c>
      <c r="DU778" s="319" t="s">
        <v>428</v>
      </c>
      <c r="DV778" s="319" t="s">
        <v>173</v>
      </c>
      <c r="DW778" s="319" t="s">
        <v>428</v>
      </c>
      <c r="DX778" s="319" t="s">
        <v>428</v>
      </c>
      <c r="DY778" s="319" t="s">
        <v>428</v>
      </c>
      <c r="DZ778" s="319" t="s">
        <v>190</v>
      </c>
      <c r="EA778" s="319" t="s">
        <v>190</v>
      </c>
      <c r="EB778" s="319" t="s">
        <v>190</v>
      </c>
      <c r="EC778" s="319" t="s">
        <v>428</v>
      </c>
      <c r="ED778" s="319" t="s">
        <v>428</v>
      </c>
      <c r="EE778" s="319" t="s">
        <v>190</v>
      </c>
      <c r="EF778" s="319" t="s">
        <v>190</v>
      </c>
      <c r="EG778" s="319" t="s">
        <v>190</v>
      </c>
      <c r="EH778" s="319" t="s">
        <v>190</v>
      </c>
      <c r="EI778" s="319" t="s">
        <v>190</v>
      </c>
      <c r="EJ778" s="319" t="s">
        <v>190</v>
      </c>
      <c r="EK778" s="319" t="s">
        <v>190</v>
      </c>
      <c r="EL778" s="319" t="s">
        <v>190</v>
      </c>
      <c r="EM778" s="319" t="s">
        <v>190</v>
      </c>
      <c r="EN778" s="319" t="s">
        <v>190</v>
      </c>
      <c r="EO778" s="319" t="s">
        <v>190</v>
      </c>
      <c r="EP778" s="319" t="s">
        <v>190</v>
      </c>
      <c r="EQ778" s="319" t="s">
        <v>190</v>
      </c>
      <c r="ER778" s="319" t="s">
        <v>190</v>
      </c>
      <c r="ES778" s="319" t="s">
        <v>190</v>
      </c>
      <c r="ET778" s="319" t="s">
        <v>190</v>
      </c>
      <c r="EU778" s="319" t="s">
        <v>190</v>
      </c>
      <c r="EV778" s="319" t="s">
        <v>190</v>
      </c>
      <c r="EW778" s="319" t="s">
        <v>190</v>
      </c>
      <c r="EX778" s="319" t="s">
        <v>190</v>
      </c>
      <c r="EY778" s="319" t="s">
        <v>190</v>
      </c>
      <c r="EZ778" s="319" t="s">
        <v>190</v>
      </c>
      <c r="FA778" s="319" t="s">
        <v>190</v>
      </c>
      <c r="FB778" s="319" t="s">
        <v>428</v>
      </c>
      <c r="FC778" s="319" t="s">
        <v>428</v>
      </c>
      <c r="FD778" s="319" t="s">
        <v>428</v>
      </c>
      <c r="FE778" s="319" t="s">
        <v>428</v>
      </c>
      <c r="FF778" s="319" t="s">
        <v>428</v>
      </c>
      <c r="FG778" s="319" t="s">
        <v>428</v>
      </c>
      <c r="FH778" s="319" t="s">
        <v>190</v>
      </c>
      <c r="FI778" s="319" t="s">
        <v>190</v>
      </c>
      <c r="FJ778" s="319" t="s">
        <v>190</v>
      </c>
      <c r="FK778" s="319" t="s">
        <v>190</v>
      </c>
      <c r="FL778" s="319" t="s">
        <v>190</v>
      </c>
      <c r="FM778" s="319" t="s">
        <v>190</v>
      </c>
      <c r="FN778" s="319" t="s">
        <v>428</v>
      </c>
      <c r="FO778" s="319" t="s">
        <v>428</v>
      </c>
      <c r="FP778" s="319" t="s">
        <v>190</v>
      </c>
      <c r="FQ778" s="319" t="s">
        <v>190</v>
      </c>
      <c r="FR778" s="319" t="s">
        <v>190</v>
      </c>
      <c r="FS778" s="319" t="s">
        <v>190</v>
      </c>
      <c r="FT778" s="319" t="s">
        <v>190</v>
      </c>
      <c r="FU778" s="319" t="s">
        <v>190</v>
      </c>
      <c r="FV778" s="319" t="s">
        <v>190</v>
      </c>
      <c r="FW778" s="319" t="s">
        <v>190</v>
      </c>
      <c r="FX778" s="319" t="s">
        <v>190</v>
      </c>
      <c r="FY778" s="319" t="s">
        <v>190</v>
      </c>
      <c r="FZ778" s="319" t="s">
        <v>190</v>
      </c>
      <c r="GA778" s="319" t="s">
        <v>190</v>
      </c>
      <c r="GB778" s="319" t="s">
        <v>190</v>
      </c>
      <c r="GC778" s="319" t="s">
        <v>190</v>
      </c>
      <c r="GD778" s="319" t="s">
        <v>190</v>
      </c>
      <c r="GE778" s="319" t="s">
        <v>190</v>
      </c>
      <c r="GF778" s="319" t="s">
        <v>190</v>
      </c>
      <c r="GG778" s="319" t="s">
        <v>190</v>
      </c>
      <c r="GH778" s="319" t="s">
        <v>190</v>
      </c>
      <c r="GI778" s="319" t="s">
        <v>190</v>
      </c>
      <c r="GJ778" s="319" t="s">
        <v>190</v>
      </c>
      <c r="GK778" s="319" t="s">
        <v>428</v>
      </c>
      <c r="GL778" s="319" t="s">
        <v>190</v>
      </c>
      <c r="GM778" s="319" t="s">
        <v>190</v>
      </c>
      <c r="GN778" s="319" t="s">
        <v>190</v>
      </c>
      <c r="GO778" s="319" t="s">
        <v>190</v>
      </c>
      <c r="GP778" s="319" t="s">
        <v>190</v>
      </c>
      <c r="GQ778" s="319" t="s">
        <v>190</v>
      </c>
      <c r="GR778" s="319" t="s">
        <v>190</v>
      </c>
      <c r="GS778" s="319" t="s">
        <v>190</v>
      </c>
      <c r="GT778" s="319" t="s">
        <v>428</v>
      </c>
      <c r="GU778" s="319" t="s">
        <v>428</v>
      </c>
      <c r="GV778" s="319" t="s">
        <v>190</v>
      </c>
      <c r="GW778" s="319" t="s">
        <v>190</v>
      </c>
      <c r="GX778" s="319" t="s">
        <v>190</v>
      </c>
      <c r="GY778" s="319" t="s">
        <v>190</v>
      </c>
      <c r="GZ778" s="319" t="s">
        <v>428</v>
      </c>
      <c r="HA778" s="319" t="s">
        <v>190</v>
      </c>
      <c r="HB778" s="319" t="s">
        <v>190</v>
      </c>
      <c r="HC778" s="319" t="s">
        <v>190</v>
      </c>
      <c r="HD778" s="319" t="s">
        <v>190</v>
      </c>
      <c r="HE778" s="319" t="s">
        <v>190</v>
      </c>
      <c r="HF778" s="319" t="s">
        <v>428</v>
      </c>
      <c r="HG778" s="319" t="s">
        <v>190</v>
      </c>
      <c r="HH778" s="319" t="s">
        <v>190</v>
      </c>
      <c r="HI778" s="319" t="s">
        <v>428</v>
      </c>
      <c r="HJ778" s="319" t="s">
        <v>190</v>
      </c>
      <c r="HK778" s="319" t="s">
        <v>190</v>
      </c>
      <c r="HL778" s="319" t="s">
        <v>428</v>
      </c>
      <c r="HM778" s="319" t="s">
        <v>428</v>
      </c>
      <c r="HN778" s="319" t="s">
        <v>428</v>
      </c>
      <c r="HO778" s="319" t="s">
        <v>428</v>
      </c>
      <c r="HP778" s="319" t="s">
        <v>190</v>
      </c>
      <c r="HQ778" s="319" t="s">
        <v>190</v>
      </c>
      <c r="HR778" s="319" t="s">
        <v>190</v>
      </c>
      <c r="HS778" s="319" t="s">
        <v>190</v>
      </c>
      <c r="HT778" s="319" t="s">
        <v>190</v>
      </c>
      <c r="HU778" s="319" t="s">
        <v>190</v>
      </c>
      <c r="HV778" s="319" t="s">
        <v>190</v>
      </c>
      <c r="HW778" s="319" t="s">
        <v>190</v>
      </c>
      <c r="HX778" s="319" t="s">
        <v>190</v>
      </c>
      <c r="HY778" s="319" t="s">
        <v>190</v>
      </c>
      <c r="HZ778" s="319" t="s">
        <v>190</v>
      </c>
      <c r="IA778" s="319" t="s">
        <v>190</v>
      </c>
      <c r="IB778" s="319" t="s">
        <v>190</v>
      </c>
      <c r="IC778" s="319" t="s">
        <v>190</v>
      </c>
      <c r="ID778" s="319" t="s">
        <v>190</v>
      </c>
      <c r="IE778" s="319" t="s">
        <v>190</v>
      </c>
      <c r="IF778" s="319" t="s">
        <v>190</v>
      </c>
      <c r="IG778" s="319" t="s">
        <v>190</v>
      </c>
      <c r="IH778" s="319" t="s">
        <v>190</v>
      </c>
      <c r="II778" s="319" t="s">
        <v>190</v>
      </c>
      <c r="IJ778" s="319" t="s">
        <v>3517</v>
      </c>
      <c r="IK778" s="321">
        <v>42108</v>
      </c>
      <c r="IL778" s="321">
        <v>42110</v>
      </c>
      <c r="IM778" s="321">
        <v>42146</v>
      </c>
      <c r="IN778" s="319">
        <v>1</v>
      </c>
      <c r="IO778" s="319" t="s">
        <v>173</v>
      </c>
      <c r="IP778" s="319" t="s">
        <v>173</v>
      </c>
      <c r="IQ778" s="321" t="s">
        <v>173</v>
      </c>
      <c r="IR778" s="320" t="s">
        <v>173</v>
      </c>
      <c r="IS778" s="322" t="s">
        <v>173</v>
      </c>
      <c r="IT778" s="319" t="s">
        <v>173</v>
      </c>
    </row>
    <row r="779" spans="1:254" s="271" customFormat="1" x14ac:dyDescent="0.25">
      <c r="A779" s="318" t="str">
        <f>HYPERLINK("http://www.ofsted.gov.uk/inspection-reports/find-inspection-report/provider/ELS/141029 ","Ofsted School Webpage")</f>
        <v>Ofsted School Webpage</v>
      </c>
      <c r="B779" s="319">
        <v>141029</v>
      </c>
      <c r="C779" s="319">
        <v>2046009</v>
      </c>
      <c r="D779" s="319" t="s">
        <v>2278</v>
      </c>
      <c r="E779" s="319" t="s">
        <v>168</v>
      </c>
      <c r="F779" s="319" t="s">
        <v>81</v>
      </c>
      <c r="G779" s="319" t="s">
        <v>81</v>
      </c>
      <c r="H779" s="319" t="s">
        <v>81</v>
      </c>
      <c r="I779" s="319" t="s">
        <v>78</v>
      </c>
      <c r="J779" s="319" t="s">
        <v>424</v>
      </c>
      <c r="K779" s="319" t="s">
        <v>441</v>
      </c>
      <c r="L779" s="319" t="s">
        <v>441</v>
      </c>
      <c r="M779" s="319" t="s">
        <v>547</v>
      </c>
      <c r="N779" s="319" t="s">
        <v>2774</v>
      </c>
      <c r="O779" s="319" t="s">
        <v>2279</v>
      </c>
      <c r="P779" s="319">
        <v>27</v>
      </c>
      <c r="Q779" s="319" t="s">
        <v>429</v>
      </c>
      <c r="R779" s="320">
        <v>10048722</v>
      </c>
      <c r="S779" s="321">
        <v>43256</v>
      </c>
      <c r="T779" s="321">
        <v>43258</v>
      </c>
      <c r="U779" s="321">
        <v>43285</v>
      </c>
      <c r="V779" s="319" t="s">
        <v>425</v>
      </c>
      <c r="W779" s="319" t="s">
        <v>2767</v>
      </c>
      <c r="X779" s="319">
        <v>2</v>
      </c>
      <c r="Y779" s="319" t="s">
        <v>173</v>
      </c>
      <c r="Z779" s="319" t="s">
        <v>173</v>
      </c>
      <c r="AA779" s="319" t="s">
        <v>173</v>
      </c>
      <c r="AB779" s="319">
        <v>2</v>
      </c>
      <c r="AC779" s="319" t="s">
        <v>169</v>
      </c>
      <c r="AD779" s="319" t="s">
        <v>173</v>
      </c>
      <c r="AE779" s="319" t="s">
        <v>173</v>
      </c>
      <c r="AF779" s="319" t="s">
        <v>427</v>
      </c>
      <c r="AG779" s="319" t="s">
        <v>171</v>
      </c>
      <c r="AH779" s="319" t="s">
        <v>190</v>
      </c>
      <c r="AI779" s="319" t="s">
        <v>190</v>
      </c>
      <c r="AJ779" s="319" t="s">
        <v>190</v>
      </c>
      <c r="AK779" s="319" t="s">
        <v>190</v>
      </c>
      <c r="AL779" s="319" t="s">
        <v>190</v>
      </c>
      <c r="AM779" s="319" t="s">
        <v>190</v>
      </c>
      <c r="AN779" s="319" t="s">
        <v>190</v>
      </c>
      <c r="AO779" s="319" t="s">
        <v>190</v>
      </c>
      <c r="AP779" s="319" t="s">
        <v>190</v>
      </c>
      <c r="AQ779" s="319" t="s">
        <v>190</v>
      </c>
      <c r="AR779" s="319" t="s">
        <v>190</v>
      </c>
      <c r="AS779" s="319" t="s">
        <v>190</v>
      </c>
      <c r="AT779" s="319" t="s">
        <v>190</v>
      </c>
      <c r="AU779" s="319" t="s">
        <v>190</v>
      </c>
      <c r="AV779" s="319" t="s">
        <v>190</v>
      </c>
      <c r="AW779" s="319" t="s">
        <v>190</v>
      </c>
      <c r="AX779" s="319" t="s">
        <v>428</v>
      </c>
      <c r="AY779" s="319" t="s">
        <v>190</v>
      </c>
      <c r="AZ779" s="319" t="s">
        <v>190</v>
      </c>
      <c r="BA779" s="319" t="s">
        <v>190</v>
      </c>
      <c r="BB779" s="319" t="s">
        <v>190</v>
      </c>
      <c r="BC779" s="319" t="s">
        <v>190</v>
      </c>
      <c r="BD779" s="319" t="s">
        <v>190</v>
      </c>
      <c r="BE779" s="319" t="s">
        <v>190</v>
      </c>
      <c r="BF779" s="319" t="s">
        <v>428</v>
      </c>
      <c r="BG779" s="319" t="s">
        <v>190</v>
      </c>
      <c r="BH779" s="319" t="s">
        <v>190</v>
      </c>
      <c r="BI779" s="319" t="s">
        <v>190</v>
      </c>
      <c r="BJ779" s="319" t="s">
        <v>190</v>
      </c>
      <c r="BK779" s="319" t="s">
        <v>190</v>
      </c>
      <c r="BL779" s="319" t="s">
        <v>190</v>
      </c>
      <c r="BM779" s="319" t="s">
        <v>190</v>
      </c>
      <c r="BN779" s="319" t="s">
        <v>190</v>
      </c>
      <c r="BO779" s="319" t="s">
        <v>190</v>
      </c>
      <c r="BP779" s="319" t="s">
        <v>190</v>
      </c>
      <c r="BQ779" s="319" t="s">
        <v>190</v>
      </c>
      <c r="BR779" s="319" t="s">
        <v>190</v>
      </c>
      <c r="BS779" s="319" t="s">
        <v>190</v>
      </c>
      <c r="BT779" s="319" t="s">
        <v>190</v>
      </c>
      <c r="BU779" s="319" t="s">
        <v>190</v>
      </c>
      <c r="BV779" s="319" t="s">
        <v>190</v>
      </c>
      <c r="BW779" s="319" t="s">
        <v>190</v>
      </c>
      <c r="BX779" s="319" t="s">
        <v>190</v>
      </c>
      <c r="BY779" s="319" t="s">
        <v>190</v>
      </c>
      <c r="BZ779" s="319" t="s">
        <v>190</v>
      </c>
      <c r="CA779" s="319" t="s">
        <v>190</v>
      </c>
      <c r="CB779" s="319" t="s">
        <v>190</v>
      </c>
      <c r="CC779" s="319" t="s">
        <v>190</v>
      </c>
      <c r="CD779" s="319" t="s">
        <v>190</v>
      </c>
      <c r="CE779" s="319" t="s">
        <v>190</v>
      </c>
      <c r="CF779" s="319" t="s">
        <v>190</v>
      </c>
      <c r="CG779" s="319" t="s">
        <v>190</v>
      </c>
      <c r="CH779" s="319" t="s">
        <v>190</v>
      </c>
      <c r="CI779" s="319" t="s">
        <v>190</v>
      </c>
      <c r="CJ779" s="319" t="s">
        <v>190</v>
      </c>
      <c r="CK779" s="319" t="s">
        <v>190</v>
      </c>
      <c r="CL779" s="319" t="s">
        <v>190</v>
      </c>
      <c r="CM779" s="319" t="s">
        <v>190</v>
      </c>
      <c r="CN779" s="319" t="s">
        <v>428</v>
      </c>
      <c r="CO779" s="319" t="s">
        <v>428</v>
      </c>
      <c r="CP779" s="319" t="s">
        <v>428</v>
      </c>
      <c r="CQ779" s="319" t="s">
        <v>190</v>
      </c>
      <c r="CR779" s="319" t="s">
        <v>190</v>
      </c>
      <c r="CS779" s="319" t="s">
        <v>190</v>
      </c>
      <c r="CT779" s="319" t="s">
        <v>190</v>
      </c>
      <c r="CU779" s="319" t="s">
        <v>190</v>
      </c>
      <c r="CV779" s="319" t="s">
        <v>190</v>
      </c>
      <c r="CW779" s="319" t="s">
        <v>190</v>
      </c>
      <c r="CX779" s="319" t="s">
        <v>190</v>
      </c>
      <c r="CY779" s="319" t="s">
        <v>190</v>
      </c>
      <c r="CZ779" s="319" t="s">
        <v>190</v>
      </c>
      <c r="DA779" s="319" t="s">
        <v>190</v>
      </c>
      <c r="DB779" s="319" t="s">
        <v>190</v>
      </c>
      <c r="DC779" s="319" t="s">
        <v>190</v>
      </c>
      <c r="DD779" s="319" t="s">
        <v>190</v>
      </c>
      <c r="DE779" s="319" t="s">
        <v>190</v>
      </c>
      <c r="DF779" s="319" t="s">
        <v>190</v>
      </c>
      <c r="DG779" s="319" t="s">
        <v>190</v>
      </c>
      <c r="DH779" s="319" t="s">
        <v>190</v>
      </c>
      <c r="DI779" s="319" t="s">
        <v>190</v>
      </c>
      <c r="DJ779" s="319" t="s">
        <v>190</v>
      </c>
      <c r="DK779" s="319" t="s">
        <v>190</v>
      </c>
      <c r="DL779" s="319" t="s">
        <v>190</v>
      </c>
      <c r="DM779" s="319" t="s">
        <v>190</v>
      </c>
      <c r="DN779" s="319" t="s">
        <v>428</v>
      </c>
      <c r="DO779" s="319" t="s">
        <v>190</v>
      </c>
      <c r="DP779" s="319" t="s">
        <v>428</v>
      </c>
      <c r="DQ779" s="319" t="s">
        <v>428</v>
      </c>
      <c r="DR779" s="319" t="s">
        <v>428</v>
      </c>
      <c r="DS779" s="319" t="s">
        <v>428</v>
      </c>
      <c r="DT779" s="319" t="s">
        <v>428</v>
      </c>
      <c r="DU779" s="319" t="s">
        <v>428</v>
      </c>
      <c r="DV779" s="319" t="s">
        <v>173</v>
      </c>
      <c r="DW779" s="319" t="s">
        <v>428</v>
      </c>
      <c r="DX779" s="319" t="s">
        <v>428</v>
      </c>
      <c r="DY779" s="319" t="s">
        <v>428</v>
      </c>
      <c r="DZ779" s="319" t="s">
        <v>428</v>
      </c>
      <c r="EA779" s="319" t="s">
        <v>428</v>
      </c>
      <c r="EB779" s="319" t="s">
        <v>428</v>
      </c>
      <c r="EC779" s="319" t="s">
        <v>428</v>
      </c>
      <c r="ED779" s="319" t="s">
        <v>428</v>
      </c>
      <c r="EE779" s="319" t="s">
        <v>190</v>
      </c>
      <c r="EF779" s="319" t="s">
        <v>190</v>
      </c>
      <c r="EG779" s="319" t="s">
        <v>190</v>
      </c>
      <c r="EH779" s="319" t="s">
        <v>190</v>
      </c>
      <c r="EI779" s="319" t="s">
        <v>190</v>
      </c>
      <c r="EJ779" s="319" t="s">
        <v>190</v>
      </c>
      <c r="EK779" s="319" t="s">
        <v>190</v>
      </c>
      <c r="EL779" s="319" t="s">
        <v>190</v>
      </c>
      <c r="EM779" s="319" t="s">
        <v>190</v>
      </c>
      <c r="EN779" s="319" t="s">
        <v>190</v>
      </c>
      <c r="EO779" s="319" t="s">
        <v>190</v>
      </c>
      <c r="EP779" s="319" t="s">
        <v>190</v>
      </c>
      <c r="EQ779" s="319" t="s">
        <v>190</v>
      </c>
      <c r="ER779" s="319" t="s">
        <v>190</v>
      </c>
      <c r="ES779" s="319" t="s">
        <v>190</v>
      </c>
      <c r="ET779" s="319" t="s">
        <v>190</v>
      </c>
      <c r="EU779" s="319" t="s">
        <v>190</v>
      </c>
      <c r="EV779" s="319" t="s">
        <v>190</v>
      </c>
      <c r="EW779" s="319" t="s">
        <v>190</v>
      </c>
      <c r="EX779" s="319" t="s">
        <v>190</v>
      </c>
      <c r="EY779" s="319" t="s">
        <v>190</v>
      </c>
      <c r="EZ779" s="319" t="s">
        <v>190</v>
      </c>
      <c r="FA779" s="319" t="s">
        <v>428</v>
      </c>
      <c r="FB779" s="319" t="s">
        <v>428</v>
      </c>
      <c r="FC779" s="319" t="s">
        <v>428</v>
      </c>
      <c r="FD779" s="319" t="s">
        <v>428</v>
      </c>
      <c r="FE779" s="319" t="s">
        <v>428</v>
      </c>
      <c r="FF779" s="319" t="s">
        <v>428</v>
      </c>
      <c r="FG779" s="319" t="s">
        <v>428</v>
      </c>
      <c r="FH779" s="319" t="s">
        <v>190</v>
      </c>
      <c r="FI779" s="319" t="s">
        <v>428</v>
      </c>
      <c r="FJ779" s="319" t="s">
        <v>429</v>
      </c>
      <c r="FK779" s="319" t="s">
        <v>428</v>
      </c>
      <c r="FL779" s="319" t="s">
        <v>190</v>
      </c>
      <c r="FM779" s="319" t="s">
        <v>190</v>
      </c>
      <c r="FN779" s="319" t="s">
        <v>190</v>
      </c>
      <c r="FO779" s="319" t="s">
        <v>190</v>
      </c>
      <c r="FP779" s="319" t="s">
        <v>190</v>
      </c>
      <c r="FQ779" s="319" t="s">
        <v>190</v>
      </c>
      <c r="FR779" s="319" t="s">
        <v>190</v>
      </c>
      <c r="FS779" s="319" t="s">
        <v>190</v>
      </c>
      <c r="FT779" s="319" t="s">
        <v>190</v>
      </c>
      <c r="FU779" s="319" t="s">
        <v>190</v>
      </c>
      <c r="FV779" s="319" t="s">
        <v>190</v>
      </c>
      <c r="FW779" s="319" t="s">
        <v>190</v>
      </c>
      <c r="FX779" s="319" t="s">
        <v>190</v>
      </c>
      <c r="FY779" s="319" t="s">
        <v>190</v>
      </c>
      <c r="FZ779" s="319" t="s">
        <v>190</v>
      </c>
      <c r="GA779" s="319" t="s">
        <v>190</v>
      </c>
      <c r="GB779" s="319" t="s">
        <v>190</v>
      </c>
      <c r="GC779" s="319" t="s">
        <v>190</v>
      </c>
      <c r="GD779" s="319" t="s">
        <v>190</v>
      </c>
      <c r="GE779" s="319" t="s">
        <v>190</v>
      </c>
      <c r="GF779" s="319" t="s">
        <v>190</v>
      </c>
      <c r="GG779" s="319" t="s">
        <v>190</v>
      </c>
      <c r="GH779" s="319" t="s">
        <v>190</v>
      </c>
      <c r="GI779" s="319" t="s">
        <v>190</v>
      </c>
      <c r="GJ779" s="319" t="s">
        <v>190</v>
      </c>
      <c r="GK779" s="319" t="s">
        <v>428</v>
      </c>
      <c r="GL779" s="319" t="s">
        <v>190</v>
      </c>
      <c r="GM779" s="319" t="s">
        <v>190</v>
      </c>
      <c r="GN779" s="319" t="s">
        <v>190</v>
      </c>
      <c r="GO779" s="319" t="s">
        <v>190</v>
      </c>
      <c r="GP779" s="319" t="s">
        <v>190</v>
      </c>
      <c r="GQ779" s="319" t="s">
        <v>428</v>
      </c>
      <c r="GR779" s="319" t="s">
        <v>190</v>
      </c>
      <c r="GS779" s="319" t="s">
        <v>190</v>
      </c>
      <c r="GT779" s="319" t="s">
        <v>190</v>
      </c>
      <c r="GU779" s="319" t="s">
        <v>190</v>
      </c>
      <c r="GV779" s="319" t="s">
        <v>428</v>
      </c>
      <c r="GW779" s="319" t="s">
        <v>190</v>
      </c>
      <c r="GX779" s="319" t="s">
        <v>190</v>
      </c>
      <c r="GY779" s="319" t="s">
        <v>190</v>
      </c>
      <c r="GZ779" s="319" t="s">
        <v>428</v>
      </c>
      <c r="HA779" s="319" t="s">
        <v>190</v>
      </c>
      <c r="HB779" s="319" t="s">
        <v>190</v>
      </c>
      <c r="HC779" s="319" t="s">
        <v>190</v>
      </c>
      <c r="HD779" s="319" t="s">
        <v>190</v>
      </c>
      <c r="HE779" s="319" t="s">
        <v>190</v>
      </c>
      <c r="HF779" s="319" t="s">
        <v>190</v>
      </c>
      <c r="HG779" s="319" t="s">
        <v>190</v>
      </c>
      <c r="HH779" s="319" t="s">
        <v>190</v>
      </c>
      <c r="HI779" s="319" t="s">
        <v>190</v>
      </c>
      <c r="HJ779" s="319" t="s">
        <v>190</v>
      </c>
      <c r="HK779" s="319" t="s">
        <v>190</v>
      </c>
      <c r="HL779" s="319" t="s">
        <v>428</v>
      </c>
      <c r="HM779" s="319" t="s">
        <v>428</v>
      </c>
      <c r="HN779" s="319" t="s">
        <v>428</v>
      </c>
      <c r="HO779" s="319" t="s">
        <v>428</v>
      </c>
      <c r="HP779" s="319" t="s">
        <v>190</v>
      </c>
      <c r="HQ779" s="319" t="s">
        <v>190</v>
      </c>
      <c r="HR779" s="319" t="s">
        <v>190</v>
      </c>
      <c r="HS779" s="319" t="s">
        <v>190</v>
      </c>
      <c r="HT779" s="319" t="s">
        <v>190</v>
      </c>
      <c r="HU779" s="319" t="s">
        <v>190</v>
      </c>
      <c r="HV779" s="319" t="s">
        <v>190</v>
      </c>
      <c r="HW779" s="319" t="s">
        <v>190</v>
      </c>
      <c r="HX779" s="319" t="s">
        <v>190</v>
      </c>
      <c r="HY779" s="319" t="s">
        <v>190</v>
      </c>
      <c r="HZ779" s="319" t="s">
        <v>190</v>
      </c>
      <c r="IA779" s="319" t="s">
        <v>190</v>
      </c>
      <c r="IB779" s="319" t="s">
        <v>190</v>
      </c>
      <c r="IC779" s="319" t="s">
        <v>190</v>
      </c>
      <c r="ID779" s="319" t="s">
        <v>190</v>
      </c>
      <c r="IE779" s="319" t="s">
        <v>190</v>
      </c>
      <c r="IF779" s="319" t="s">
        <v>190</v>
      </c>
      <c r="IG779" s="319" t="s">
        <v>190</v>
      </c>
      <c r="IH779" s="319" t="s">
        <v>190</v>
      </c>
      <c r="II779" s="319" t="s">
        <v>190</v>
      </c>
      <c r="IJ779" s="319" t="s">
        <v>3518</v>
      </c>
      <c r="IK779" s="321">
        <v>42165</v>
      </c>
      <c r="IL779" s="321">
        <v>42167</v>
      </c>
      <c r="IM779" s="321">
        <v>42202</v>
      </c>
      <c r="IN779" s="319">
        <v>2</v>
      </c>
      <c r="IO779" s="319" t="s">
        <v>173</v>
      </c>
      <c r="IP779" s="319" t="s">
        <v>173</v>
      </c>
      <c r="IQ779" s="321" t="s">
        <v>173</v>
      </c>
      <c r="IR779" s="320" t="s">
        <v>173</v>
      </c>
      <c r="IS779" s="322" t="s">
        <v>173</v>
      </c>
      <c r="IT779" s="319" t="s">
        <v>173</v>
      </c>
    </row>
    <row r="780" spans="1:254" s="271" customFormat="1" x14ac:dyDescent="0.25">
      <c r="A780" s="318" t="str">
        <f>HYPERLINK("http://www.ofsted.gov.uk/inspection-reports/find-inspection-report/provider/ELS/141031 ","Ofsted School Webpage")</f>
        <v>Ofsted School Webpage</v>
      </c>
      <c r="B780" s="319">
        <v>141031</v>
      </c>
      <c r="C780" s="319">
        <v>2106005</v>
      </c>
      <c r="D780" s="319" t="s">
        <v>2280</v>
      </c>
      <c r="E780" s="319" t="s">
        <v>168</v>
      </c>
      <c r="F780" s="319" t="s">
        <v>81</v>
      </c>
      <c r="G780" s="319" t="s">
        <v>81</v>
      </c>
      <c r="H780" s="319" t="s">
        <v>81</v>
      </c>
      <c r="I780" s="319" t="s">
        <v>78</v>
      </c>
      <c r="J780" s="319" t="s">
        <v>424</v>
      </c>
      <c r="K780" s="319" t="s">
        <v>441</v>
      </c>
      <c r="L780" s="319" t="s">
        <v>441</v>
      </c>
      <c r="M780" s="319" t="s">
        <v>1150</v>
      </c>
      <c r="N780" s="319" t="s">
        <v>3203</v>
      </c>
      <c r="O780" s="319" t="s">
        <v>2281</v>
      </c>
      <c r="P780" s="319">
        <v>9</v>
      </c>
      <c r="Q780" s="319" t="s">
        <v>429</v>
      </c>
      <c r="R780" s="320">
        <v>10048723</v>
      </c>
      <c r="S780" s="321">
        <v>43235</v>
      </c>
      <c r="T780" s="321">
        <v>43237</v>
      </c>
      <c r="U780" s="321">
        <v>43270</v>
      </c>
      <c r="V780" s="319" t="s">
        <v>425</v>
      </c>
      <c r="W780" s="319" t="s">
        <v>2767</v>
      </c>
      <c r="X780" s="319">
        <v>3</v>
      </c>
      <c r="Y780" s="319" t="s">
        <v>173</v>
      </c>
      <c r="Z780" s="319" t="s">
        <v>173</v>
      </c>
      <c r="AA780" s="319" t="s">
        <v>173</v>
      </c>
      <c r="AB780" s="319">
        <v>3</v>
      </c>
      <c r="AC780" s="319" t="s">
        <v>169</v>
      </c>
      <c r="AD780" s="319" t="s">
        <v>173</v>
      </c>
      <c r="AE780" s="319" t="s">
        <v>173</v>
      </c>
      <c r="AF780" s="319" t="s">
        <v>427</v>
      </c>
      <c r="AG780" s="319" t="s">
        <v>172</v>
      </c>
      <c r="AH780" s="319" t="s">
        <v>190</v>
      </c>
      <c r="AI780" s="319" t="s">
        <v>190</v>
      </c>
      <c r="AJ780" s="319" t="s">
        <v>479</v>
      </c>
      <c r="AK780" s="319" t="s">
        <v>190</v>
      </c>
      <c r="AL780" s="319" t="s">
        <v>479</v>
      </c>
      <c r="AM780" s="319" t="s">
        <v>190</v>
      </c>
      <c r="AN780" s="319" t="s">
        <v>190</v>
      </c>
      <c r="AO780" s="319" t="s">
        <v>479</v>
      </c>
      <c r="AP780" s="319" t="s">
        <v>190</v>
      </c>
      <c r="AQ780" s="319" t="s">
        <v>190</v>
      </c>
      <c r="AR780" s="319" t="s">
        <v>190</v>
      </c>
      <c r="AS780" s="319" t="s">
        <v>190</v>
      </c>
      <c r="AT780" s="319" t="s">
        <v>190</v>
      </c>
      <c r="AU780" s="319" t="s">
        <v>190</v>
      </c>
      <c r="AV780" s="319" t="s">
        <v>190</v>
      </c>
      <c r="AW780" s="319" t="s">
        <v>190</v>
      </c>
      <c r="AX780" s="319" t="s">
        <v>428</v>
      </c>
      <c r="AY780" s="319" t="s">
        <v>190</v>
      </c>
      <c r="AZ780" s="319" t="s">
        <v>190</v>
      </c>
      <c r="BA780" s="319" t="s">
        <v>190</v>
      </c>
      <c r="BB780" s="319" t="s">
        <v>190</v>
      </c>
      <c r="BC780" s="319" t="s">
        <v>190</v>
      </c>
      <c r="BD780" s="319" t="s">
        <v>190</v>
      </c>
      <c r="BE780" s="319" t="s">
        <v>190</v>
      </c>
      <c r="BF780" s="319" t="s">
        <v>428</v>
      </c>
      <c r="BG780" s="319" t="s">
        <v>190</v>
      </c>
      <c r="BH780" s="319" t="s">
        <v>190</v>
      </c>
      <c r="BI780" s="319" t="s">
        <v>190</v>
      </c>
      <c r="BJ780" s="319" t="s">
        <v>190</v>
      </c>
      <c r="BK780" s="319" t="s">
        <v>190</v>
      </c>
      <c r="BL780" s="319" t="s">
        <v>190</v>
      </c>
      <c r="BM780" s="319" t="s">
        <v>190</v>
      </c>
      <c r="BN780" s="319" t="s">
        <v>190</v>
      </c>
      <c r="BO780" s="319" t="s">
        <v>190</v>
      </c>
      <c r="BP780" s="319" t="s">
        <v>190</v>
      </c>
      <c r="BQ780" s="319" t="s">
        <v>190</v>
      </c>
      <c r="BR780" s="319" t="s">
        <v>190</v>
      </c>
      <c r="BS780" s="319" t="s">
        <v>190</v>
      </c>
      <c r="BT780" s="319" t="s">
        <v>190</v>
      </c>
      <c r="BU780" s="319" t="s">
        <v>190</v>
      </c>
      <c r="BV780" s="319" t="s">
        <v>190</v>
      </c>
      <c r="BW780" s="319" t="s">
        <v>190</v>
      </c>
      <c r="BX780" s="319" t="s">
        <v>190</v>
      </c>
      <c r="BY780" s="319" t="s">
        <v>190</v>
      </c>
      <c r="BZ780" s="319" t="s">
        <v>190</v>
      </c>
      <c r="CA780" s="319" t="s">
        <v>190</v>
      </c>
      <c r="CB780" s="319" t="s">
        <v>190</v>
      </c>
      <c r="CC780" s="319" t="s">
        <v>190</v>
      </c>
      <c r="CD780" s="319" t="s">
        <v>190</v>
      </c>
      <c r="CE780" s="319" t="s">
        <v>190</v>
      </c>
      <c r="CF780" s="319" t="s">
        <v>190</v>
      </c>
      <c r="CG780" s="319" t="s">
        <v>190</v>
      </c>
      <c r="CH780" s="319" t="s">
        <v>190</v>
      </c>
      <c r="CI780" s="319" t="s">
        <v>190</v>
      </c>
      <c r="CJ780" s="319" t="s">
        <v>190</v>
      </c>
      <c r="CK780" s="319" t="s">
        <v>190</v>
      </c>
      <c r="CL780" s="319" t="s">
        <v>190</v>
      </c>
      <c r="CM780" s="319" t="s">
        <v>190</v>
      </c>
      <c r="CN780" s="319" t="s">
        <v>428</v>
      </c>
      <c r="CO780" s="319" t="s">
        <v>428</v>
      </c>
      <c r="CP780" s="319" t="s">
        <v>428</v>
      </c>
      <c r="CQ780" s="319" t="s">
        <v>190</v>
      </c>
      <c r="CR780" s="319" t="s">
        <v>190</v>
      </c>
      <c r="CS780" s="319" t="s">
        <v>190</v>
      </c>
      <c r="CT780" s="319" t="s">
        <v>190</v>
      </c>
      <c r="CU780" s="319" t="s">
        <v>190</v>
      </c>
      <c r="CV780" s="319" t="s">
        <v>190</v>
      </c>
      <c r="CW780" s="319" t="s">
        <v>191</v>
      </c>
      <c r="CX780" s="319" t="s">
        <v>191</v>
      </c>
      <c r="CY780" s="319" t="s">
        <v>190</v>
      </c>
      <c r="CZ780" s="319" t="s">
        <v>190</v>
      </c>
      <c r="DA780" s="319" t="s">
        <v>190</v>
      </c>
      <c r="DB780" s="319" t="s">
        <v>190</v>
      </c>
      <c r="DC780" s="319" t="s">
        <v>190</v>
      </c>
      <c r="DD780" s="319" t="s">
        <v>190</v>
      </c>
      <c r="DE780" s="319" t="s">
        <v>190</v>
      </c>
      <c r="DF780" s="319" t="s">
        <v>190</v>
      </c>
      <c r="DG780" s="319" t="s">
        <v>190</v>
      </c>
      <c r="DH780" s="319" t="s">
        <v>190</v>
      </c>
      <c r="DI780" s="319" t="s">
        <v>190</v>
      </c>
      <c r="DJ780" s="319" t="s">
        <v>190</v>
      </c>
      <c r="DK780" s="319" t="s">
        <v>190</v>
      </c>
      <c r="DL780" s="319" t="s">
        <v>190</v>
      </c>
      <c r="DM780" s="319" t="s">
        <v>190</v>
      </c>
      <c r="DN780" s="319" t="s">
        <v>428</v>
      </c>
      <c r="DO780" s="319" t="s">
        <v>190</v>
      </c>
      <c r="DP780" s="319" t="s">
        <v>190</v>
      </c>
      <c r="DQ780" s="319" t="s">
        <v>190</v>
      </c>
      <c r="DR780" s="319" t="s">
        <v>190</v>
      </c>
      <c r="DS780" s="319" t="s">
        <v>190</v>
      </c>
      <c r="DT780" s="319" t="s">
        <v>190</v>
      </c>
      <c r="DU780" s="319" t="s">
        <v>190</v>
      </c>
      <c r="DV780" s="319" t="s">
        <v>173</v>
      </c>
      <c r="DW780" s="319" t="s">
        <v>190</v>
      </c>
      <c r="DX780" s="319" t="s">
        <v>190</v>
      </c>
      <c r="DY780" s="319" t="s">
        <v>190</v>
      </c>
      <c r="DZ780" s="319" t="s">
        <v>190</v>
      </c>
      <c r="EA780" s="319" t="s">
        <v>190</v>
      </c>
      <c r="EB780" s="319" t="s">
        <v>190</v>
      </c>
      <c r="EC780" s="319" t="s">
        <v>428</v>
      </c>
      <c r="ED780" s="319" t="s">
        <v>190</v>
      </c>
      <c r="EE780" s="319" t="s">
        <v>190</v>
      </c>
      <c r="EF780" s="319" t="s">
        <v>190</v>
      </c>
      <c r="EG780" s="319" t="s">
        <v>190</v>
      </c>
      <c r="EH780" s="319" t="s">
        <v>190</v>
      </c>
      <c r="EI780" s="319" t="s">
        <v>190</v>
      </c>
      <c r="EJ780" s="319" t="s">
        <v>190</v>
      </c>
      <c r="EK780" s="319" t="s">
        <v>190</v>
      </c>
      <c r="EL780" s="319" t="s">
        <v>190</v>
      </c>
      <c r="EM780" s="319" t="s">
        <v>190</v>
      </c>
      <c r="EN780" s="319" t="s">
        <v>190</v>
      </c>
      <c r="EO780" s="319" t="s">
        <v>190</v>
      </c>
      <c r="EP780" s="319" t="s">
        <v>190</v>
      </c>
      <c r="EQ780" s="319" t="s">
        <v>190</v>
      </c>
      <c r="ER780" s="319" t="s">
        <v>190</v>
      </c>
      <c r="ES780" s="319" t="s">
        <v>190</v>
      </c>
      <c r="ET780" s="319" t="s">
        <v>190</v>
      </c>
      <c r="EU780" s="319" t="s">
        <v>190</v>
      </c>
      <c r="EV780" s="319" t="s">
        <v>190</v>
      </c>
      <c r="EW780" s="319" t="s">
        <v>190</v>
      </c>
      <c r="EX780" s="319" t="s">
        <v>190</v>
      </c>
      <c r="EY780" s="319" t="s">
        <v>190</v>
      </c>
      <c r="EZ780" s="319" t="s">
        <v>190</v>
      </c>
      <c r="FA780" s="319" t="s">
        <v>428</v>
      </c>
      <c r="FB780" s="319" t="s">
        <v>190</v>
      </c>
      <c r="FC780" s="319" t="s">
        <v>190</v>
      </c>
      <c r="FD780" s="319" t="s">
        <v>190</v>
      </c>
      <c r="FE780" s="319" t="s">
        <v>190</v>
      </c>
      <c r="FF780" s="319" t="s">
        <v>190</v>
      </c>
      <c r="FG780" s="319" t="s">
        <v>190</v>
      </c>
      <c r="FH780" s="319" t="s">
        <v>190</v>
      </c>
      <c r="FI780" s="319" t="s">
        <v>428</v>
      </c>
      <c r="FJ780" s="319" t="s">
        <v>429</v>
      </c>
      <c r="FK780" s="319" t="s">
        <v>428</v>
      </c>
      <c r="FL780" s="319" t="s">
        <v>190</v>
      </c>
      <c r="FM780" s="319" t="s">
        <v>190</v>
      </c>
      <c r="FN780" s="319" t="s">
        <v>190</v>
      </c>
      <c r="FO780" s="319" t="s">
        <v>190</v>
      </c>
      <c r="FP780" s="319" t="s">
        <v>191</v>
      </c>
      <c r="FQ780" s="319" t="s">
        <v>191</v>
      </c>
      <c r="FR780" s="319" t="s">
        <v>191</v>
      </c>
      <c r="FS780" s="319" t="s">
        <v>428</v>
      </c>
      <c r="FT780" s="319" t="s">
        <v>191</v>
      </c>
      <c r="FU780" s="319" t="s">
        <v>190</v>
      </c>
      <c r="FV780" s="319" t="s">
        <v>190</v>
      </c>
      <c r="FW780" s="319" t="s">
        <v>190</v>
      </c>
      <c r="FX780" s="319" t="s">
        <v>190</v>
      </c>
      <c r="FY780" s="319" t="s">
        <v>190</v>
      </c>
      <c r="FZ780" s="319" t="s">
        <v>190</v>
      </c>
      <c r="GA780" s="319" t="s">
        <v>190</v>
      </c>
      <c r="GB780" s="319" t="s">
        <v>190</v>
      </c>
      <c r="GC780" s="319" t="s">
        <v>190</v>
      </c>
      <c r="GD780" s="319" t="s">
        <v>190</v>
      </c>
      <c r="GE780" s="319" t="s">
        <v>190</v>
      </c>
      <c r="GF780" s="319" t="s">
        <v>190</v>
      </c>
      <c r="GG780" s="319" t="s">
        <v>190</v>
      </c>
      <c r="GH780" s="319" t="s">
        <v>190</v>
      </c>
      <c r="GI780" s="319" t="s">
        <v>190</v>
      </c>
      <c r="GJ780" s="319" t="s">
        <v>190</v>
      </c>
      <c r="GK780" s="319" t="s">
        <v>428</v>
      </c>
      <c r="GL780" s="319" t="s">
        <v>190</v>
      </c>
      <c r="GM780" s="319" t="s">
        <v>190</v>
      </c>
      <c r="GN780" s="319" t="s">
        <v>190</v>
      </c>
      <c r="GO780" s="319" t="s">
        <v>190</v>
      </c>
      <c r="GP780" s="319" t="s">
        <v>190</v>
      </c>
      <c r="GQ780" s="319" t="s">
        <v>428</v>
      </c>
      <c r="GR780" s="319" t="s">
        <v>190</v>
      </c>
      <c r="GS780" s="319" t="s">
        <v>190</v>
      </c>
      <c r="GT780" s="319" t="s">
        <v>190</v>
      </c>
      <c r="GU780" s="319" t="s">
        <v>190</v>
      </c>
      <c r="GV780" s="319" t="s">
        <v>190</v>
      </c>
      <c r="GW780" s="319" t="s">
        <v>190</v>
      </c>
      <c r="GX780" s="319" t="s">
        <v>190</v>
      </c>
      <c r="GY780" s="319" t="s">
        <v>190</v>
      </c>
      <c r="GZ780" s="319" t="s">
        <v>428</v>
      </c>
      <c r="HA780" s="319" t="s">
        <v>190</v>
      </c>
      <c r="HB780" s="319" t="s">
        <v>428</v>
      </c>
      <c r="HC780" s="319" t="s">
        <v>190</v>
      </c>
      <c r="HD780" s="319" t="s">
        <v>190</v>
      </c>
      <c r="HE780" s="319" t="s">
        <v>190</v>
      </c>
      <c r="HF780" s="319" t="s">
        <v>190</v>
      </c>
      <c r="HG780" s="319" t="s">
        <v>190</v>
      </c>
      <c r="HH780" s="319" t="s">
        <v>190</v>
      </c>
      <c r="HI780" s="319" t="s">
        <v>190</v>
      </c>
      <c r="HJ780" s="319" t="s">
        <v>190</v>
      </c>
      <c r="HK780" s="319" t="s">
        <v>190</v>
      </c>
      <c r="HL780" s="319" t="s">
        <v>428</v>
      </c>
      <c r="HM780" s="319" t="s">
        <v>428</v>
      </c>
      <c r="HN780" s="319" t="s">
        <v>428</v>
      </c>
      <c r="HO780" s="319" t="s">
        <v>428</v>
      </c>
      <c r="HP780" s="319" t="s">
        <v>190</v>
      </c>
      <c r="HQ780" s="319" t="s">
        <v>190</v>
      </c>
      <c r="HR780" s="319" t="s">
        <v>190</v>
      </c>
      <c r="HS780" s="319" t="s">
        <v>190</v>
      </c>
      <c r="HT780" s="319" t="s">
        <v>190</v>
      </c>
      <c r="HU780" s="319" t="s">
        <v>190</v>
      </c>
      <c r="HV780" s="319" t="s">
        <v>190</v>
      </c>
      <c r="HW780" s="319" t="s">
        <v>190</v>
      </c>
      <c r="HX780" s="319" t="s">
        <v>190</v>
      </c>
      <c r="HY780" s="319" t="s">
        <v>190</v>
      </c>
      <c r="HZ780" s="319" t="s">
        <v>190</v>
      </c>
      <c r="IA780" s="319" t="s">
        <v>190</v>
      </c>
      <c r="IB780" s="319" t="s">
        <v>190</v>
      </c>
      <c r="IC780" s="319" t="s">
        <v>190</v>
      </c>
      <c r="ID780" s="319" t="s">
        <v>190</v>
      </c>
      <c r="IE780" s="319" t="s">
        <v>190</v>
      </c>
      <c r="IF780" s="319" t="s">
        <v>191</v>
      </c>
      <c r="IG780" s="319" t="s">
        <v>191</v>
      </c>
      <c r="IH780" s="319" t="s">
        <v>191</v>
      </c>
      <c r="II780" s="319" t="s">
        <v>191</v>
      </c>
      <c r="IJ780" s="319" t="s">
        <v>3519</v>
      </c>
      <c r="IK780" s="321">
        <v>42193</v>
      </c>
      <c r="IL780" s="321">
        <v>42195</v>
      </c>
      <c r="IM780" s="321">
        <v>42258</v>
      </c>
      <c r="IN780" s="319">
        <v>2</v>
      </c>
      <c r="IO780" s="319" t="s">
        <v>173</v>
      </c>
      <c r="IP780" s="319" t="s">
        <v>173</v>
      </c>
      <c r="IQ780" s="321" t="s">
        <v>173</v>
      </c>
      <c r="IR780" s="320" t="s">
        <v>173</v>
      </c>
      <c r="IS780" s="322" t="s">
        <v>173</v>
      </c>
      <c r="IT780" s="319" t="s">
        <v>173</v>
      </c>
    </row>
    <row r="781" spans="1:254" s="271" customFormat="1" x14ac:dyDescent="0.25">
      <c r="A781" s="318" t="str">
        <f>HYPERLINK("http://www.ofsted.gov.uk/inspection-reports/find-inspection-report/provider/ELS/141087 ","Ofsted School Webpage")</f>
        <v>Ofsted School Webpage</v>
      </c>
      <c r="B781" s="319">
        <v>141087</v>
      </c>
      <c r="C781" s="319">
        <v>3536002</v>
      </c>
      <c r="D781" s="319" t="s">
        <v>1093</v>
      </c>
      <c r="E781" s="319" t="s">
        <v>167</v>
      </c>
      <c r="F781" s="319" t="s">
        <v>81</v>
      </c>
      <c r="G781" s="319" t="s">
        <v>72</v>
      </c>
      <c r="H781" s="319" t="s">
        <v>72</v>
      </c>
      <c r="I781" s="319" t="s">
        <v>72</v>
      </c>
      <c r="J781" s="319" t="s">
        <v>424</v>
      </c>
      <c r="K781" s="319" t="s">
        <v>431</v>
      </c>
      <c r="L781" s="319" t="s">
        <v>431</v>
      </c>
      <c r="M781" s="319" t="s">
        <v>784</v>
      </c>
      <c r="N781" s="319" t="s">
        <v>2872</v>
      </c>
      <c r="O781" s="319" t="s">
        <v>1094</v>
      </c>
      <c r="P781" s="319">
        <v>50</v>
      </c>
      <c r="Q781" s="319" t="s">
        <v>2766</v>
      </c>
      <c r="R781" s="320">
        <v>10067918</v>
      </c>
      <c r="S781" s="321">
        <v>43550</v>
      </c>
      <c r="T781" s="321">
        <v>43552</v>
      </c>
      <c r="U781" s="321">
        <v>43593</v>
      </c>
      <c r="V781" s="319" t="s">
        <v>425</v>
      </c>
      <c r="W781" s="319" t="s">
        <v>2767</v>
      </c>
      <c r="X781" s="319">
        <v>2</v>
      </c>
      <c r="Y781" s="319" t="s">
        <v>173</v>
      </c>
      <c r="Z781" s="319" t="s">
        <v>173</v>
      </c>
      <c r="AA781" s="319" t="s">
        <v>173</v>
      </c>
      <c r="AB781" s="319">
        <v>2</v>
      </c>
      <c r="AC781" s="319" t="s">
        <v>169</v>
      </c>
      <c r="AD781" s="319" t="s">
        <v>173</v>
      </c>
      <c r="AE781" s="319" t="s">
        <v>173</v>
      </c>
      <c r="AF781" s="319" t="s">
        <v>427</v>
      </c>
      <c r="AG781" s="319" t="s">
        <v>171</v>
      </c>
      <c r="AH781" s="319" t="s">
        <v>190</v>
      </c>
      <c r="AI781" s="319" t="s">
        <v>190</v>
      </c>
      <c r="AJ781" s="319" t="s">
        <v>190</v>
      </c>
      <c r="AK781" s="319" t="s">
        <v>190</v>
      </c>
      <c r="AL781" s="319" t="s">
        <v>190</v>
      </c>
      <c r="AM781" s="319" t="s">
        <v>190</v>
      </c>
      <c r="AN781" s="319" t="s">
        <v>190</v>
      </c>
      <c r="AO781" s="319" t="s">
        <v>190</v>
      </c>
      <c r="AP781" s="319" t="s">
        <v>190</v>
      </c>
      <c r="AQ781" s="319" t="s">
        <v>190</v>
      </c>
      <c r="AR781" s="319" t="s">
        <v>190</v>
      </c>
      <c r="AS781" s="319" t="s">
        <v>190</v>
      </c>
      <c r="AT781" s="319" t="s">
        <v>190</v>
      </c>
      <c r="AU781" s="319" t="s">
        <v>190</v>
      </c>
      <c r="AV781" s="319" t="s">
        <v>190</v>
      </c>
      <c r="AW781" s="319" t="s">
        <v>190</v>
      </c>
      <c r="AX781" s="319" t="s">
        <v>428</v>
      </c>
      <c r="AY781" s="319" t="s">
        <v>190</v>
      </c>
      <c r="AZ781" s="319" t="s">
        <v>190</v>
      </c>
      <c r="BA781" s="319" t="s">
        <v>190</v>
      </c>
      <c r="BB781" s="319" t="s">
        <v>190</v>
      </c>
      <c r="BC781" s="319" t="s">
        <v>190</v>
      </c>
      <c r="BD781" s="319" t="s">
        <v>190</v>
      </c>
      <c r="BE781" s="319" t="s">
        <v>190</v>
      </c>
      <c r="BF781" s="319" t="s">
        <v>428</v>
      </c>
      <c r="BG781" s="319" t="s">
        <v>428</v>
      </c>
      <c r="BH781" s="319" t="s">
        <v>190</v>
      </c>
      <c r="BI781" s="319" t="s">
        <v>190</v>
      </c>
      <c r="BJ781" s="319" t="s">
        <v>190</v>
      </c>
      <c r="BK781" s="319" t="s">
        <v>190</v>
      </c>
      <c r="BL781" s="319" t="s">
        <v>190</v>
      </c>
      <c r="BM781" s="319" t="s">
        <v>190</v>
      </c>
      <c r="BN781" s="319" t="s">
        <v>190</v>
      </c>
      <c r="BO781" s="319" t="s">
        <v>190</v>
      </c>
      <c r="BP781" s="319" t="s">
        <v>190</v>
      </c>
      <c r="BQ781" s="319" t="s">
        <v>190</v>
      </c>
      <c r="BR781" s="319" t="s">
        <v>190</v>
      </c>
      <c r="BS781" s="319" t="s">
        <v>190</v>
      </c>
      <c r="BT781" s="319" t="s">
        <v>190</v>
      </c>
      <c r="BU781" s="319" t="s">
        <v>190</v>
      </c>
      <c r="BV781" s="319" t="s">
        <v>190</v>
      </c>
      <c r="BW781" s="319" t="s">
        <v>190</v>
      </c>
      <c r="BX781" s="319" t="s">
        <v>190</v>
      </c>
      <c r="BY781" s="319" t="s">
        <v>190</v>
      </c>
      <c r="BZ781" s="319" t="s">
        <v>190</v>
      </c>
      <c r="CA781" s="319" t="s">
        <v>190</v>
      </c>
      <c r="CB781" s="319" t="s">
        <v>190</v>
      </c>
      <c r="CC781" s="319" t="s">
        <v>190</v>
      </c>
      <c r="CD781" s="319" t="s">
        <v>190</v>
      </c>
      <c r="CE781" s="319" t="s">
        <v>190</v>
      </c>
      <c r="CF781" s="319" t="s">
        <v>190</v>
      </c>
      <c r="CG781" s="319" t="s">
        <v>190</v>
      </c>
      <c r="CH781" s="319" t="s">
        <v>190</v>
      </c>
      <c r="CI781" s="319" t="s">
        <v>190</v>
      </c>
      <c r="CJ781" s="319" t="s">
        <v>190</v>
      </c>
      <c r="CK781" s="319" t="s">
        <v>190</v>
      </c>
      <c r="CL781" s="319" t="s">
        <v>190</v>
      </c>
      <c r="CM781" s="319" t="s">
        <v>190</v>
      </c>
      <c r="CN781" s="319" t="s">
        <v>428</v>
      </c>
      <c r="CO781" s="319" t="s">
        <v>428</v>
      </c>
      <c r="CP781" s="319" t="s">
        <v>428</v>
      </c>
      <c r="CQ781" s="319" t="s">
        <v>190</v>
      </c>
      <c r="CR781" s="319" t="s">
        <v>190</v>
      </c>
      <c r="CS781" s="319" t="s">
        <v>190</v>
      </c>
      <c r="CT781" s="319" t="s">
        <v>190</v>
      </c>
      <c r="CU781" s="319" t="s">
        <v>190</v>
      </c>
      <c r="CV781" s="319" t="s">
        <v>190</v>
      </c>
      <c r="CW781" s="319" t="s">
        <v>190</v>
      </c>
      <c r="CX781" s="319" t="s">
        <v>190</v>
      </c>
      <c r="CY781" s="319" t="s">
        <v>190</v>
      </c>
      <c r="CZ781" s="319" t="s">
        <v>190</v>
      </c>
      <c r="DA781" s="319" t="s">
        <v>190</v>
      </c>
      <c r="DB781" s="319" t="s">
        <v>190</v>
      </c>
      <c r="DC781" s="319" t="s">
        <v>190</v>
      </c>
      <c r="DD781" s="319" t="s">
        <v>190</v>
      </c>
      <c r="DE781" s="319" t="s">
        <v>190</v>
      </c>
      <c r="DF781" s="319" t="s">
        <v>190</v>
      </c>
      <c r="DG781" s="319" t="s">
        <v>190</v>
      </c>
      <c r="DH781" s="319" t="s">
        <v>190</v>
      </c>
      <c r="DI781" s="319" t="s">
        <v>190</v>
      </c>
      <c r="DJ781" s="319" t="s">
        <v>190</v>
      </c>
      <c r="DK781" s="319" t="s">
        <v>190</v>
      </c>
      <c r="DL781" s="319" t="s">
        <v>190</v>
      </c>
      <c r="DM781" s="319" t="s">
        <v>190</v>
      </c>
      <c r="DN781" s="319" t="s">
        <v>428</v>
      </c>
      <c r="DO781" s="319" t="s">
        <v>190</v>
      </c>
      <c r="DP781" s="319" t="s">
        <v>190</v>
      </c>
      <c r="DQ781" s="319" t="s">
        <v>190</v>
      </c>
      <c r="DR781" s="319" t="s">
        <v>190</v>
      </c>
      <c r="DS781" s="319" t="s">
        <v>190</v>
      </c>
      <c r="DT781" s="319" t="s">
        <v>190</v>
      </c>
      <c r="DU781" s="319" t="s">
        <v>190</v>
      </c>
      <c r="DV781" s="319" t="s">
        <v>173</v>
      </c>
      <c r="DW781" s="319" t="s">
        <v>190</v>
      </c>
      <c r="DX781" s="319" t="s">
        <v>190</v>
      </c>
      <c r="DY781" s="319" t="s">
        <v>190</v>
      </c>
      <c r="DZ781" s="319" t="s">
        <v>190</v>
      </c>
      <c r="EA781" s="319" t="s">
        <v>190</v>
      </c>
      <c r="EB781" s="319" t="s">
        <v>190</v>
      </c>
      <c r="EC781" s="319" t="s">
        <v>428</v>
      </c>
      <c r="ED781" s="319" t="s">
        <v>190</v>
      </c>
      <c r="EE781" s="319" t="s">
        <v>190</v>
      </c>
      <c r="EF781" s="319" t="s">
        <v>190</v>
      </c>
      <c r="EG781" s="319" t="s">
        <v>190</v>
      </c>
      <c r="EH781" s="319" t="s">
        <v>190</v>
      </c>
      <c r="EI781" s="319" t="s">
        <v>190</v>
      </c>
      <c r="EJ781" s="319" t="s">
        <v>190</v>
      </c>
      <c r="EK781" s="319" t="s">
        <v>190</v>
      </c>
      <c r="EL781" s="319" t="s">
        <v>190</v>
      </c>
      <c r="EM781" s="319" t="s">
        <v>190</v>
      </c>
      <c r="EN781" s="319" t="s">
        <v>190</v>
      </c>
      <c r="EO781" s="319" t="s">
        <v>190</v>
      </c>
      <c r="EP781" s="319" t="s">
        <v>190</v>
      </c>
      <c r="EQ781" s="319" t="s">
        <v>190</v>
      </c>
      <c r="ER781" s="319" t="s">
        <v>190</v>
      </c>
      <c r="ES781" s="319" t="s">
        <v>190</v>
      </c>
      <c r="ET781" s="319" t="s">
        <v>190</v>
      </c>
      <c r="EU781" s="319" t="s">
        <v>190</v>
      </c>
      <c r="EV781" s="319" t="s">
        <v>190</v>
      </c>
      <c r="EW781" s="319" t="s">
        <v>190</v>
      </c>
      <c r="EX781" s="319" t="s">
        <v>190</v>
      </c>
      <c r="EY781" s="319" t="s">
        <v>190</v>
      </c>
      <c r="EZ781" s="319" t="s">
        <v>190</v>
      </c>
      <c r="FA781" s="319" t="s">
        <v>428</v>
      </c>
      <c r="FB781" s="319" t="s">
        <v>190</v>
      </c>
      <c r="FC781" s="319" t="s">
        <v>190</v>
      </c>
      <c r="FD781" s="319" t="s">
        <v>190</v>
      </c>
      <c r="FE781" s="319" t="s">
        <v>190</v>
      </c>
      <c r="FF781" s="319" t="s">
        <v>428</v>
      </c>
      <c r="FG781" s="319" t="s">
        <v>190</v>
      </c>
      <c r="FH781" s="319" t="s">
        <v>190</v>
      </c>
      <c r="FI781" s="319" t="s">
        <v>428</v>
      </c>
      <c r="FJ781" s="319" t="s">
        <v>190</v>
      </c>
      <c r="FK781" s="319" t="s">
        <v>190</v>
      </c>
      <c r="FL781" s="319" t="s">
        <v>190</v>
      </c>
      <c r="FM781" s="319" t="s">
        <v>190</v>
      </c>
      <c r="FN781" s="319" t="s">
        <v>428</v>
      </c>
      <c r="FO781" s="319" t="s">
        <v>190</v>
      </c>
      <c r="FP781" s="319" t="s">
        <v>190</v>
      </c>
      <c r="FQ781" s="319" t="s">
        <v>190</v>
      </c>
      <c r="FR781" s="319" t="s">
        <v>190</v>
      </c>
      <c r="FS781" s="319" t="s">
        <v>428</v>
      </c>
      <c r="FT781" s="319" t="s">
        <v>190</v>
      </c>
      <c r="FU781" s="319" t="s">
        <v>190</v>
      </c>
      <c r="FV781" s="319" t="s">
        <v>190</v>
      </c>
      <c r="FW781" s="319" t="s">
        <v>190</v>
      </c>
      <c r="FX781" s="319" t="s">
        <v>190</v>
      </c>
      <c r="FY781" s="319" t="s">
        <v>190</v>
      </c>
      <c r="FZ781" s="319" t="s">
        <v>190</v>
      </c>
      <c r="GA781" s="319" t="s">
        <v>190</v>
      </c>
      <c r="GB781" s="319" t="s">
        <v>190</v>
      </c>
      <c r="GC781" s="319" t="s">
        <v>190</v>
      </c>
      <c r="GD781" s="319" t="s">
        <v>190</v>
      </c>
      <c r="GE781" s="319" t="s">
        <v>190</v>
      </c>
      <c r="GF781" s="319" t="s">
        <v>190</v>
      </c>
      <c r="GG781" s="319" t="s">
        <v>190</v>
      </c>
      <c r="GH781" s="319" t="s">
        <v>190</v>
      </c>
      <c r="GI781" s="319" t="s">
        <v>190</v>
      </c>
      <c r="GJ781" s="319" t="s">
        <v>190</v>
      </c>
      <c r="GK781" s="319" t="s">
        <v>428</v>
      </c>
      <c r="GL781" s="319" t="s">
        <v>190</v>
      </c>
      <c r="GM781" s="319" t="s">
        <v>190</v>
      </c>
      <c r="GN781" s="319" t="s">
        <v>190</v>
      </c>
      <c r="GO781" s="319" t="s">
        <v>190</v>
      </c>
      <c r="GP781" s="319" t="s">
        <v>190</v>
      </c>
      <c r="GQ781" s="319" t="s">
        <v>428</v>
      </c>
      <c r="GR781" s="319" t="s">
        <v>190</v>
      </c>
      <c r="GS781" s="319" t="s">
        <v>190</v>
      </c>
      <c r="GT781" s="319" t="s">
        <v>428</v>
      </c>
      <c r="GU781" s="319" t="s">
        <v>428</v>
      </c>
      <c r="GV781" s="319" t="s">
        <v>190</v>
      </c>
      <c r="GW781" s="319" t="s">
        <v>190</v>
      </c>
      <c r="GX781" s="319" t="s">
        <v>190</v>
      </c>
      <c r="GY781" s="319" t="s">
        <v>190</v>
      </c>
      <c r="GZ781" s="319" t="s">
        <v>428</v>
      </c>
      <c r="HA781" s="319" t="s">
        <v>190</v>
      </c>
      <c r="HB781" s="319" t="s">
        <v>190</v>
      </c>
      <c r="HC781" s="319" t="s">
        <v>190</v>
      </c>
      <c r="HD781" s="319" t="s">
        <v>190</v>
      </c>
      <c r="HE781" s="319" t="s">
        <v>190</v>
      </c>
      <c r="HF781" s="319" t="s">
        <v>190</v>
      </c>
      <c r="HG781" s="319" t="s">
        <v>190</v>
      </c>
      <c r="HH781" s="319" t="s">
        <v>190</v>
      </c>
      <c r="HI781" s="319" t="s">
        <v>190</v>
      </c>
      <c r="HJ781" s="319" t="s">
        <v>190</v>
      </c>
      <c r="HK781" s="319" t="s">
        <v>190</v>
      </c>
      <c r="HL781" s="319" t="s">
        <v>428</v>
      </c>
      <c r="HM781" s="319" t="s">
        <v>428</v>
      </c>
      <c r="HN781" s="319" t="s">
        <v>428</v>
      </c>
      <c r="HO781" s="319" t="s">
        <v>428</v>
      </c>
      <c r="HP781" s="319" t="s">
        <v>190</v>
      </c>
      <c r="HQ781" s="319" t="s">
        <v>190</v>
      </c>
      <c r="HR781" s="319" t="s">
        <v>190</v>
      </c>
      <c r="HS781" s="319" t="s">
        <v>190</v>
      </c>
      <c r="HT781" s="319" t="s">
        <v>190</v>
      </c>
      <c r="HU781" s="319" t="s">
        <v>190</v>
      </c>
      <c r="HV781" s="319" t="s">
        <v>190</v>
      </c>
      <c r="HW781" s="319" t="s">
        <v>190</v>
      </c>
      <c r="HX781" s="319" t="s">
        <v>190</v>
      </c>
      <c r="HY781" s="319" t="s">
        <v>190</v>
      </c>
      <c r="HZ781" s="319" t="s">
        <v>190</v>
      </c>
      <c r="IA781" s="319" t="s">
        <v>190</v>
      </c>
      <c r="IB781" s="319" t="s">
        <v>190</v>
      </c>
      <c r="IC781" s="319" t="s">
        <v>190</v>
      </c>
      <c r="ID781" s="319" t="s">
        <v>190</v>
      </c>
      <c r="IE781" s="319" t="s">
        <v>190</v>
      </c>
      <c r="IF781" s="319" t="s">
        <v>190</v>
      </c>
      <c r="IG781" s="319" t="s">
        <v>190</v>
      </c>
      <c r="IH781" s="319" t="s">
        <v>190</v>
      </c>
      <c r="II781" s="319" t="s">
        <v>190</v>
      </c>
      <c r="IJ781" s="319">
        <v>10034034</v>
      </c>
      <c r="IK781" s="321">
        <v>42892</v>
      </c>
      <c r="IL781" s="321">
        <v>42894</v>
      </c>
      <c r="IM781" s="321">
        <v>42998</v>
      </c>
      <c r="IN781" s="319">
        <v>4</v>
      </c>
      <c r="IO781" s="319" t="s">
        <v>173</v>
      </c>
      <c r="IP781" s="319" t="s">
        <v>173</v>
      </c>
      <c r="IQ781" s="321" t="s">
        <v>173</v>
      </c>
      <c r="IR781" s="320" t="s">
        <v>173</v>
      </c>
      <c r="IS781" s="322" t="s">
        <v>173</v>
      </c>
      <c r="IT781" s="319" t="s">
        <v>173</v>
      </c>
    </row>
    <row r="782" spans="1:254" s="271" customFormat="1" x14ac:dyDescent="0.25">
      <c r="A782" s="318" t="str">
        <f>HYPERLINK("http://www.ofsted.gov.uk/inspection-reports/find-inspection-report/provider/ELS/141127 ","Ofsted School Webpage")</f>
        <v>Ofsted School Webpage</v>
      </c>
      <c r="B782" s="319">
        <v>141127</v>
      </c>
      <c r="C782" s="319">
        <v>8556033</v>
      </c>
      <c r="D782" s="319" t="s">
        <v>2282</v>
      </c>
      <c r="E782" s="319" t="s">
        <v>168</v>
      </c>
      <c r="F782" s="319" t="s">
        <v>81</v>
      </c>
      <c r="G782" s="319" t="s">
        <v>81</v>
      </c>
      <c r="H782" s="319" t="s">
        <v>81</v>
      </c>
      <c r="I782" s="319" t="s">
        <v>78</v>
      </c>
      <c r="J782" s="319" t="s">
        <v>424</v>
      </c>
      <c r="K782" s="319" t="s">
        <v>506</v>
      </c>
      <c r="L782" s="319" t="s">
        <v>506</v>
      </c>
      <c r="M782" s="319" t="s">
        <v>862</v>
      </c>
      <c r="N782" s="319" t="s">
        <v>3269</v>
      </c>
      <c r="O782" s="319" t="s">
        <v>2283</v>
      </c>
      <c r="P782" s="319">
        <v>32</v>
      </c>
      <c r="Q782" s="319" t="s">
        <v>429</v>
      </c>
      <c r="R782" s="320">
        <v>10043801</v>
      </c>
      <c r="S782" s="321">
        <v>43123</v>
      </c>
      <c r="T782" s="321">
        <v>43125</v>
      </c>
      <c r="U782" s="321">
        <v>43164</v>
      </c>
      <c r="V782" s="319" t="s">
        <v>425</v>
      </c>
      <c r="W782" s="319" t="s">
        <v>2767</v>
      </c>
      <c r="X782" s="319">
        <v>1</v>
      </c>
      <c r="Y782" s="319" t="s">
        <v>173</v>
      </c>
      <c r="Z782" s="319" t="s">
        <v>173</v>
      </c>
      <c r="AA782" s="319" t="s">
        <v>173</v>
      </c>
      <c r="AB782" s="319">
        <v>1</v>
      </c>
      <c r="AC782" s="319" t="s">
        <v>169</v>
      </c>
      <c r="AD782" s="319" t="s">
        <v>173</v>
      </c>
      <c r="AE782" s="319">
        <v>1</v>
      </c>
      <c r="AF782" s="319" t="s">
        <v>427</v>
      </c>
      <c r="AG782" s="319" t="s">
        <v>171</v>
      </c>
      <c r="AH782" s="319" t="s">
        <v>190</v>
      </c>
      <c r="AI782" s="319" t="s">
        <v>190</v>
      </c>
      <c r="AJ782" s="319" t="s">
        <v>190</v>
      </c>
      <c r="AK782" s="319" t="s">
        <v>190</v>
      </c>
      <c r="AL782" s="319" t="s">
        <v>190</v>
      </c>
      <c r="AM782" s="319" t="s">
        <v>190</v>
      </c>
      <c r="AN782" s="319" t="s">
        <v>190</v>
      </c>
      <c r="AO782" s="319" t="s">
        <v>190</v>
      </c>
      <c r="AP782" s="319" t="s">
        <v>190</v>
      </c>
      <c r="AQ782" s="319" t="s">
        <v>190</v>
      </c>
      <c r="AR782" s="319" t="s">
        <v>190</v>
      </c>
      <c r="AS782" s="319" t="s">
        <v>190</v>
      </c>
      <c r="AT782" s="319" t="s">
        <v>190</v>
      </c>
      <c r="AU782" s="319" t="s">
        <v>190</v>
      </c>
      <c r="AV782" s="319" t="s">
        <v>190</v>
      </c>
      <c r="AW782" s="319" t="s">
        <v>190</v>
      </c>
      <c r="AX782" s="319" t="s">
        <v>428</v>
      </c>
      <c r="AY782" s="319" t="s">
        <v>190</v>
      </c>
      <c r="AZ782" s="319" t="s">
        <v>190</v>
      </c>
      <c r="BA782" s="319" t="s">
        <v>190</v>
      </c>
      <c r="BB782" s="319" t="s">
        <v>190</v>
      </c>
      <c r="BC782" s="319" t="s">
        <v>190</v>
      </c>
      <c r="BD782" s="319" t="s">
        <v>190</v>
      </c>
      <c r="BE782" s="319" t="s">
        <v>190</v>
      </c>
      <c r="BF782" s="319" t="s">
        <v>428</v>
      </c>
      <c r="BG782" s="319" t="s">
        <v>190</v>
      </c>
      <c r="BH782" s="319" t="s">
        <v>190</v>
      </c>
      <c r="BI782" s="319" t="s">
        <v>190</v>
      </c>
      <c r="BJ782" s="319" t="s">
        <v>190</v>
      </c>
      <c r="BK782" s="319" t="s">
        <v>190</v>
      </c>
      <c r="BL782" s="319" t="s">
        <v>190</v>
      </c>
      <c r="BM782" s="319" t="s">
        <v>190</v>
      </c>
      <c r="BN782" s="319" t="s">
        <v>190</v>
      </c>
      <c r="BO782" s="319" t="s">
        <v>190</v>
      </c>
      <c r="BP782" s="319" t="s">
        <v>190</v>
      </c>
      <c r="BQ782" s="319" t="s">
        <v>190</v>
      </c>
      <c r="BR782" s="319" t="s">
        <v>190</v>
      </c>
      <c r="BS782" s="319" t="s">
        <v>190</v>
      </c>
      <c r="BT782" s="319" t="s">
        <v>190</v>
      </c>
      <c r="BU782" s="319" t="s">
        <v>190</v>
      </c>
      <c r="BV782" s="319" t="s">
        <v>190</v>
      </c>
      <c r="BW782" s="319" t="s">
        <v>190</v>
      </c>
      <c r="BX782" s="319" t="s">
        <v>190</v>
      </c>
      <c r="BY782" s="319" t="s">
        <v>190</v>
      </c>
      <c r="BZ782" s="319" t="s">
        <v>190</v>
      </c>
      <c r="CA782" s="319" t="s">
        <v>190</v>
      </c>
      <c r="CB782" s="319" t="s">
        <v>190</v>
      </c>
      <c r="CC782" s="319" t="s">
        <v>190</v>
      </c>
      <c r="CD782" s="319" t="s">
        <v>190</v>
      </c>
      <c r="CE782" s="319" t="s">
        <v>190</v>
      </c>
      <c r="CF782" s="319" t="s">
        <v>190</v>
      </c>
      <c r="CG782" s="319" t="s">
        <v>190</v>
      </c>
      <c r="CH782" s="319" t="s">
        <v>190</v>
      </c>
      <c r="CI782" s="319" t="s">
        <v>190</v>
      </c>
      <c r="CJ782" s="319" t="s">
        <v>190</v>
      </c>
      <c r="CK782" s="319" t="s">
        <v>190</v>
      </c>
      <c r="CL782" s="319" t="s">
        <v>190</v>
      </c>
      <c r="CM782" s="319" t="s">
        <v>190</v>
      </c>
      <c r="CN782" s="319" t="s">
        <v>428</v>
      </c>
      <c r="CO782" s="319" t="s">
        <v>428</v>
      </c>
      <c r="CP782" s="319" t="s">
        <v>428</v>
      </c>
      <c r="CQ782" s="319" t="s">
        <v>190</v>
      </c>
      <c r="CR782" s="319" t="s">
        <v>190</v>
      </c>
      <c r="CS782" s="319" t="s">
        <v>190</v>
      </c>
      <c r="CT782" s="319" t="s">
        <v>190</v>
      </c>
      <c r="CU782" s="319" t="s">
        <v>190</v>
      </c>
      <c r="CV782" s="319" t="s">
        <v>190</v>
      </c>
      <c r="CW782" s="319" t="s">
        <v>190</v>
      </c>
      <c r="CX782" s="319" t="s">
        <v>190</v>
      </c>
      <c r="CY782" s="319" t="s">
        <v>190</v>
      </c>
      <c r="CZ782" s="319" t="s">
        <v>190</v>
      </c>
      <c r="DA782" s="319" t="s">
        <v>190</v>
      </c>
      <c r="DB782" s="319" t="s">
        <v>190</v>
      </c>
      <c r="DC782" s="319" t="s">
        <v>190</v>
      </c>
      <c r="DD782" s="319" t="s">
        <v>190</v>
      </c>
      <c r="DE782" s="319" t="s">
        <v>190</v>
      </c>
      <c r="DF782" s="319" t="s">
        <v>190</v>
      </c>
      <c r="DG782" s="319" t="s">
        <v>190</v>
      </c>
      <c r="DH782" s="319" t="s">
        <v>190</v>
      </c>
      <c r="DI782" s="319" t="s">
        <v>190</v>
      </c>
      <c r="DJ782" s="319" t="s">
        <v>190</v>
      </c>
      <c r="DK782" s="319" t="s">
        <v>190</v>
      </c>
      <c r="DL782" s="319" t="s">
        <v>190</v>
      </c>
      <c r="DM782" s="319" t="s">
        <v>190</v>
      </c>
      <c r="DN782" s="319" t="s">
        <v>428</v>
      </c>
      <c r="DO782" s="319" t="s">
        <v>190</v>
      </c>
      <c r="DP782" s="319" t="s">
        <v>428</v>
      </c>
      <c r="DQ782" s="319" t="s">
        <v>428</v>
      </c>
      <c r="DR782" s="319" t="s">
        <v>428</v>
      </c>
      <c r="DS782" s="319" t="s">
        <v>428</v>
      </c>
      <c r="DT782" s="319" t="s">
        <v>428</v>
      </c>
      <c r="DU782" s="319" t="s">
        <v>428</v>
      </c>
      <c r="DV782" s="319" t="s">
        <v>173</v>
      </c>
      <c r="DW782" s="319" t="s">
        <v>428</v>
      </c>
      <c r="DX782" s="319" t="s">
        <v>428</v>
      </c>
      <c r="DY782" s="319" t="s">
        <v>428</v>
      </c>
      <c r="DZ782" s="319" t="s">
        <v>428</v>
      </c>
      <c r="EA782" s="319" t="s">
        <v>428</v>
      </c>
      <c r="EB782" s="319" t="s">
        <v>428</v>
      </c>
      <c r="EC782" s="319" t="s">
        <v>428</v>
      </c>
      <c r="ED782" s="319" t="s">
        <v>428</v>
      </c>
      <c r="EE782" s="319" t="s">
        <v>190</v>
      </c>
      <c r="EF782" s="319" t="s">
        <v>190</v>
      </c>
      <c r="EG782" s="319" t="s">
        <v>190</v>
      </c>
      <c r="EH782" s="319" t="s">
        <v>190</v>
      </c>
      <c r="EI782" s="319" t="s">
        <v>190</v>
      </c>
      <c r="EJ782" s="319" t="s">
        <v>190</v>
      </c>
      <c r="EK782" s="319" t="s">
        <v>190</v>
      </c>
      <c r="EL782" s="319" t="s">
        <v>190</v>
      </c>
      <c r="EM782" s="319" t="s">
        <v>190</v>
      </c>
      <c r="EN782" s="319" t="s">
        <v>190</v>
      </c>
      <c r="EO782" s="319" t="s">
        <v>190</v>
      </c>
      <c r="EP782" s="319" t="s">
        <v>190</v>
      </c>
      <c r="EQ782" s="319" t="s">
        <v>190</v>
      </c>
      <c r="ER782" s="319" t="s">
        <v>190</v>
      </c>
      <c r="ES782" s="319" t="s">
        <v>190</v>
      </c>
      <c r="ET782" s="319" t="s">
        <v>190</v>
      </c>
      <c r="EU782" s="319" t="s">
        <v>190</v>
      </c>
      <c r="EV782" s="319" t="s">
        <v>190</v>
      </c>
      <c r="EW782" s="319" t="s">
        <v>190</v>
      </c>
      <c r="EX782" s="319" t="s">
        <v>190</v>
      </c>
      <c r="EY782" s="319" t="s">
        <v>190</v>
      </c>
      <c r="EZ782" s="319" t="s">
        <v>190</v>
      </c>
      <c r="FA782" s="319" t="s">
        <v>428</v>
      </c>
      <c r="FB782" s="319" t="s">
        <v>428</v>
      </c>
      <c r="FC782" s="319" t="s">
        <v>428</v>
      </c>
      <c r="FD782" s="319" t="s">
        <v>428</v>
      </c>
      <c r="FE782" s="319" t="s">
        <v>428</v>
      </c>
      <c r="FF782" s="319" t="s">
        <v>428</v>
      </c>
      <c r="FG782" s="319" t="s">
        <v>428</v>
      </c>
      <c r="FH782" s="319" t="s">
        <v>190</v>
      </c>
      <c r="FI782" s="319" t="s">
        <v>428</v>
      </c>
      <c r="FJ782" s="319" t="s">
        <v>429</v>
      </c>
      <c r="FK782" s="319" t="s">
        <v>428</v>
      </c>
      <c r="FL782" s="319" t="s">
        <v>190</v>
      </c>
      <c r="FM782" s="319" t="s">
        <v>190</v>
      </c>
      <c r="FN782" s="319" t="s">
        <v>190</v>
      </c>
      <c r="FO782" s="319" t="s">
        <v>190</v>
      </c>
      <c r="FP782" s="319" t="s">
        <v>190</v>
      </c>
      <c r="FQ782" s="319" t="s">
        <v>190</v>
      </c>
      <c r="FR782" s="319" t="s">
        <v>190</v>
      </c>
      <c r="FS782" s="319" t="s">
        <v>428</v>
      </c>
      <c r="FT782" s="319" t="s">
        <v>190</v>
      </c>
      <c r="FU782" s="319" t="s">
        <v>190</v>
      </c>
      <c r="FV782" s="319" t="s">
        <v>190</v>
      </c>
      <c r="FW782" s="319" t="s">
        <v>190</v>
      </c>
      <c r="FX782" s="319" t="s">
        <v>190</v>
      </c>
      <c r="FY782" s="319" t="s">
        <v>190</v>
      </c>
      <c r="FZ782" s="319" t="s">
        <v>190</v>
      </c>
      <c r="GA782" s="319" t="s">
        <v>190</v>
      </c>
      <c r="GB782" s="319" t="s">
        <v>190</v>
      </c>
      <c r="GC782" s="319" t="s">
        <v>190</v>
      </c>
      <c r="GD782" s="319" t="s">
        <v>190</v>
      </c>
      <c r="GE782" s="319" t="s">
        <v>190</v>
      </c>
      <c r="GF782" s="319" t="s">
        <v>190</v>
      </c>
      <c r="GG782" s="319" t="s">
        <v>190</v>
      </c>
      <c r="GH782" s="319" t="s">
        <v>190</v>
      </c>
      <c r="GI782" s="319" t="s">
        <v>190</v>
      </c>
      <c r="GJ782" s="319" t="s">
        <v>190</v>
      </c>
      <c r="GK782" s="319" t="s">
        <v>428</v>
      </c>
      <c r="GL782" s="319" t="s">
        <v>190</v>
      </c>
      <c r="GM782" s="319" t="s">
        <v>190</v>
      </c>
      <c r="GN782" s="319" t="s">
        <v>190</v>
      </c>
      <c r="GO782" s="319" t="s">
        <v>190</v>
      </c>
      <c r="GP782" s="319" t="s">
        <v>190</v>
      </c>
      <c r="GQ782" s="319" t="s">
        <v>428</v>
      </c>
      <c r="GR782" s="319" t="s">
        <v>190</v>
      </c>
      <c r="GS782" s="319" t="s">
        <v>190</v>
      </c>
      <c r="GT782" s="319" t="s">
        <v>190</v>
      </c>
      <c r="GU782" s="319" t="s">
        <v>190</v>
      </c>
      <c r="GV782" s="319" t="s">
        <v>428</v>
      </c>
      <c r="GW782" s="319" t="s">
        <v>190</v>
      </c>
      <c r="GX782" s="319" t="s">
        <v>190</v>
      </c>
      <c r="GY782" s="319" t="s">
        <v>190</v>
      </c>
      <c r="GZ782" s="319" t="s">
        <v>428</v>
      </c>
      <c r="HA782" s="319" t="s">
        <v>190</v>
      </c>
      <c r="HB782" s="319" t="s">
        <v>428</v>
      </c>
      <c r="HC782" s="319" t="s">
        <v>190</v>
      </c>
      <c r="HD782" s="319" t="s">
        <v>190</v>
      </c>
      <c r="HE782" s="319" t="s">
        <v>190</v>
      </c>
      <c r="HF782" s="319" t="s">
        <v>190</v>
      </c>
      <c r="HG782" s="319" t="s">
        <v>190</v>
      </c>
      <c r="HH782" s="319" t="s">
        <v>190</v>
      </c>
      <c r="HI782" s="319" t="s">
        <v>190</v>
      </c>
      <c r="HJ782" s="319" t="s">
        <v>190</v>
      </c>
      <c r="HK782" s="319" t="s">
        <v>190</v>
      </c>
      <c r="HL782" s="319" t="s">
        <v>428</v>
      </c>
      <c r="HM782" s="319" t="s">
        <v>428</v>
      </c>
      <c r="HN782" s="319" t="s">
        <v>428</v>
      </c>
      <c r="HO782" s="319" t="s">
        <v>428</v>
      </c>
      <c r="HP782" s="319" t="s">
        <v>190</v>
      </c>
      <c r="HQ782" s="319" t="s">
        <v>190</v>
      </c>
      <c r="HR782" s="319" t="s">
        <v>190</v>
      </c>
      <c r="HS782" s="319" t="s">
        <v>190</v>
      </c>
      <c r="HT782" s="319" t="s">
        <v>190</v>
      </c>
      <c r="HU782" s="319" t="s">
        <v>190</v>
      </c>
      <c r="HV782" s="319" t="s">
        <v>190</v>
      </c>
      <c r="HW782" s="319" t="s">
        <v>190</v>
      </c>
      <c r="HX782" s="319" t="s">
        <v>190</v>
      </c>
      <c r="HY782" s="319" t="s">
        <v>190</v>
      </c>
      <c r="HZ782" s="319" t="s">
        <v>190</v>
      </c>
      <c r="IA782" s="319" t="s">
        <v>190</v>
      </c>
      <c r="IB782" s="319" t="s">
        <v>190</v>
      </c>
      <c r="IC782" s="319" t="s">
        <v>190</v>
      </c>
      <c r="ID782" s="319" t="s">
        <v>190</v>
      </c>
      <c r="IE782" s="319" t="s">
        <v>190</v>
      </c>
      <c r="IF782" s="319" t="s">
        <v>190</v>
      </c>
      <c r="IG782" s="319" t="s">
        <v>190</v>
      </c>
      <c r="IH782" s="319" t="s">
        <v>190</v>
      </c>
      <c r="II782" s="319" t="s">
        <v>190</v>
      </c>
      <c r="IJ782" s="319" t="s">
        <v>3520</v>
      </c>
      <c r="IK782" s="321">
        <v>42032</v>
      </c>
      <c r="IL782" s="321">
        <v>42034</v>
      </c>
      <c r="IM782" s="321">
        <v>42062</v>
      </c>
      <c r="IN782" s="319">
        <v>2</v>
      </c>
      <c r="IO782" s="319" t="s">
        <v>173</v>
      </c>
      <c r="IP782" s="319" t="s">
        <v>173</v>
      </c>
      <c r="IQ782" s="321" t="s">
        <v>173</v>
      </c>
      <c r="IR782" s="320" t="s">
        <v>173</v>
      </c>
      <c r="IS782" s="322" t="s">
        <v>173</v>
      </c>
      <c r="IT782" s="319" t="s">
        <v>173</v>
      </c>
    </row>
    <row r="783" spans="1:254" s="271" customFormat="1" x14ac:dyDescent="0.25">
      <c r="A783" s="318" t="str">
        <f>HYPERLINK("http://www.ofsted.gov.uk/inspection-reports/find-inspection-report/provider/ELS/141128 ","Ofsted School Webpage")</f>
        <v>Ofsted School Webpage</v>
      </c>
      <c r="B783" s="319">
        <v>141128</v>
      </c>
      <c r="C783" s="319">
        <v>8616012</v>
      </c>
      <c r="D783" s="319" t="s">
        <v>1050</v>
      </c>
      <c r="E783" s="319" t="s">
        <v>167</v>
      </c>
      <c r="F783" s="319" t="s">
        <v>81</v>
      </c>
      <c r="G783" s="319" t="s">
        <v>81</v>
      </c>
      <c r="H783" s="319" t="s">
        <v>81</v>
      </c>
      <c r="I783" s="319" t="s">
        <v>78</v>
      </c>
      <c r="J783" s="319" t="s">
        <v>424</v>
      </c>
      <c r="K783" s="319" t="s">
        <v>437</v>
      </c>
      <c r="L783" s="319" t="s">
        <v>437</v>
      </c>
      <c r="M783" s="319" t="s">
        <v>580</v>
      </c>
      <c r="N783" s="319" t="s">
        <v>3417</v>
      </c>
      <c r="O783" s="319" t="s">
        <v>1051</v>
      </c>
      <c r="P783" s="319">
        <v>38</v>
      </c>
      <c r="Q783" s="319" t="s">
        <v>429</v>
      </c>
      <c r="R783" s="320">
        <v>10047137</v>
      </c>
      <c r="S783" s="321">
        <v>43207</v>
      </c>
      <c r="T783" s="321">
        <v>43209</v>
      </c>
      <c r="U783" s="321">
        <v>43230</v>
      </c>
      <c r="V783" s="319" t="s">
        <v>425</v>
      </c>
      <c r="W783" s="319" t="s">
        <v>2767</v>
      </c>
      <c r="X783" s="319">
        <v>2</v>
      </c>
      <c r="Y783" s="319" t="s">
        <v>173</v>
      </c>
      <c r="Z783" s="319" t="s">
        <v>173</v>
      </c>
      <c r="AA783" s="319" t="s">
        <v>173</v>
      </c>
      <c r="AB783" s="319">
        <v>2</v>
      </c>
      <c r="AC783" s="319" t="s">
        <v>169</v>
      </c>
      <c r="AD783" s="319" t="s">
        <v>173</v>
      </c>
      <c r="AE783" s="319" t="s">
        <v>173</v>
      </c>
      <c r="AF783" s="319" t="s">
        <v>447</v>
      </c>
      <c r="AG783" s="319" t="s">
        <v>171</v>
      </c>
      <c r="AH783" s="319" t="s">
        <v>190</v>
      </c>
      <c r="AI783" s="319" t="s">
        <v>190</v>
      </c>
      <c r="AJ783" s="319" t="s">
        <v>190</v>
      </c>
      <c r="AK783" s="319" t="s">
        <v>190</v>
      </c>
      <c r="AL783" s="319" t="s">
        <v>190</v>
      </c>
      <c r="AM783" s="319" t="s">
        <v>190</v>
      </c>
      <c r="AN783" s="319" t="s">
        <v>190</v>
      </c>
      <c r="AO783" s="319" t="s">
        <v>190</v>
      </c>
      <c r="AP783" s="319" t="s">
        <v>190</v>
      </c>
      <c r="AQ783" s="319" t="s">
        <v>190</v>
      </c>
      <c r="AR783" s="319" t="s">
        <v>190</v>
      </c>
      <c r="AS783" s="319" t="s">
        <v>190</v>
      </c>
      <c r="AT783" s="319" t="s">
        <v>190</v>
      </c>
      <c r="AU783" s="319" t="s">
        <v>190</v>
      </c>
      <c r="AV783" s="319" t="s">
        <v>190</v>
      </c>
      <c r="AW783" s="319" t="s">
        <v>190</v>
      </c>
      <c r="AX783" s="319" t="s">
        <v>428</v>
      </c>
      <c r="AY783" s="319" t="s">
        <v>190</v>
      </c>
      <c r="AZ783" s="319" t="s">
        <v>190</v>
      </c>
      <c r="BA783" s="319" t="s">
        <v>190</v>
      </c>
      <c r="BB783" s="319" t="s">
        <v>190</v>
      </c>
      <c r="BC783" s="319" t="s">
        <v>190</v>
      </c>
      <c r="BD783" s="319" t="s">
        <v>190</v>
      </c>
      <c r="BE783" s="319" t="s">
        <v>190</v>
      </c>
      <c r="BF783" s="319" t="s">
        <v>428</v>
      </c>
      <c r="BG783" s="319" t="s">
        <v>428</v>
      </c>
      <c r="BH783" s="319" t="s">
        <v>190</v>
      </c>
      <c r="BI783" s="319" t="s">
        <v>190</v>
      </c>
      <c r="BJ783" s="319" t="s">
        <v>190</v>
      </c>
      <c r="BK783" s="319" t="s">
        <v>190</v>
      </c>
      <c r="BL783" s="319" t="s">
        <v>190</v>
      </c>
      <c r="BM783" s="319" t="s">
        <v>190</v>
      </c>
      <c r="BN783" s="319" t="s">
        <v>190</v>
      </c>
      <c r="BO783" s="319" t="s">
        <v>190</v>
      </c>
      <c r="BP783" s="319" t="s">
        <v>190</v>
      </c>
      <c r="BQ783" s="319" t="s">
        <v>190</v>
      </c>
      <c r="BR783" s="319" t="s">
        <v>190</v>
      </c>
      <c r="BS783" s="319" t="s">
        <v>190</v>
      </c>
      <c r="BT783" s="319" t="s">
        <v>190</v>
      </c>
      <c r="BU783" s="319" t="s">
        <v>190</v>
      </c>
      <c r="BV783" s="319" t="s">
        <v>190</v>
      </c>
      <c r="BW783" s="319" t="s">
        <v>190</v>
      </c>
      <c r="BX783" s="319" t="s">
        <v>190</v>
      </c>
      <c r="BY783" s="319" t="s">
        <v>190</v>
      </c>
      <c r="BZ783" s="319" t="s">
        <v>190</v>
      </c>
      <c r="CA783" s="319" t="s">
        <v>190</v>
      </c>
      <c r="CB783" s="319" t="s">
        <v>190</v>
      </c>
      <c r="CC783" s="319" t="s">
        <v>190</v>
      </c>
      <c r="CD783" s="319" t="s">
        <v>190</v>
      </c>
      <c r="CE783" s="319" t="s">
        <v>190</v>
      </c>
      <c r="CF783" s="319" t="s">
        <v>190</v>
      </c>
      <c r="CG783" s="319" t="s">
        <v>190</v>
      </c>
      <c r="CH783" s="319" t="s">
        <v>190</v>
      </c>
      <c r="CI783" s="319" t="s">
        <v>190</v>
      </c>
      <c r="CJ783" s="319" t="s">
        <v>190</v>
      </c>
      <c r="CK783" s="319" t="s">
        <v>190</v>
      </c>
      <c r="CL783" s="319" t="s">
        <v>190</v>
      </c>
      <c r="CM783" s="319" t="s">
        <v>190</v>
      </c>
      <c r="CN783" s="319" t="s">
        <v>428</v>
      </c>
      <c r="CO783" s="319" t="s">
        <v>428</v>
      </c>
      <c r="CP783" s="319" t="s">
        <v>428</v>
      </c>
      <c r="CQ783" s="319" t="s">
        <v>190</v>
      </c>
      <c r="CR783" s="319" t="s">
        <v>190</v>
      </c>
      <c r="CS783" s="319" t="s">
        <v>190</v>
      </c>
      <c r="CT783" s="319" t="s">
        <v>190</v>
      </c>
      <c r="CU783" s="319" t="s">
        <v>190</v>
      </c>
      <c r="CV783" s="319" t="s">
        <v>190</v>
      </c>
      <c r="CW783" s="319" t="s">
        <v>190</v>
      </c>
      <c r="CX783" s="319" t="s">
        <v>190</v>
      </c>
      <c r="CY783" s="319" t="s">
        <v>190</v>
      </c>
      <c r="CZ783" s="319" t="s">
        <v>190</v>
      </c>
      <c r="DA783" s="319" t="s">
        <v>190</v>
      </c>
      <c r="DB783" s="319" t="s">
        <v>190</v>
      </c>
      <c r="DC783" s="319" t="s">
        <v>190</v>
      </c>
      <c r="DD783" s="319" t="s">
        <v>190</v>
      </c>
      <c r="DE783" s="319" t="s">
        <v>190</v>
      </c>
      <c r="DF783" s="319" t="s">
        <v>190</v>
      </c>
      <c r="DG783" s="319" t="s">
        <v>190</v>
      </c>
      <c r="DH783" s="319" t="s">
        <v>190</v>
      </c>
      <c r="DI783" s="319" t="s">
        <v>190</v>
      </c>
      <c r="DJ783" s="319" t="s">
        <v>190</v>
      </c>
      <c r="DK783" s="319" t="s">
        <v>190</v>
      </c>
      <c r="DL783" s="319" t="s">
        <v>190</v>
      </c>
      <c r="DM783" s="319" t="s">
        <v>190</v>
      </c>
      <c r="DN783" s="319" t="s">
        <v>190</v>
      </c>
      <c r="DO783" s="319" t="s">
        <v>190</v>
      </c>
      <c r="DP783" s="319" t="s">
        <v>190</v>
      </c>
      <c r="DQ783" s="319" t="s">
        <v>190</v>
      </c>
      <c r="DR783" s="319" t="s">
        <v>190</v>
      </c>
      <c r="DS783" s="319" t="s">
        <v>190</v>
      </c>
      <c r="DT783" s="319" t="s">
        <v>190</v>
      </c>
      <c r="DU783" s="319" t="s">
        <v>190</v>
      </c>
      <c r="DV783" s="319" t="s">
        <v>173</v>
      </c>
      <c r="DW783" s="319" t="s">
        <v>190</v>
      </c>
      <c r="DX783" s="319" t="s">
        <v>190</v>
      </c>
      <c r="DY783" s="319" t="s">
        <v>190</v>
      </c>
      <c r="DZ783" s="319" t="s">
        <v>190</v>
      </c>
      <c r="EA783" s="319" t="s">
        <v>190</v>
      </c>
      <c r="EB783" s="319" t="s">
        <v>190</v>
      </c>
      <c r="EC783" s="319" t="s">
        <v>190</v>
      </c>
      <c r="ED783" s="319" t="s">
        <v>190</v>
      </c>
      <c r="EE783" s="319" t="s">
        <v>190</v>
      </c>
      <c r="EF783" s="319" t="s">
        <v>190</v>
      </c>
      <c r="EG783" s="319" t="s">
        <v>190</v>
      </c>
      <c r="EH783" s="319" t="s">
        <v>190</v>
      </c>
      <c r="EI783" s="319" t="s">
        <v>190</v>
      </c>
      <c r="EJ783" s="319" t="s">
        <v>190</v>
      </c>
      <c r="EK783" s="319" t="s">
        <v>190</v>
      </c>
      <c r="EL783" s="319" t="s">
        <v>190</v>
      </c>
      <c r="EM783" s="319" t="s">
        <v>190</v>
      </c>
      <c r="EN783" s="319" t="s">
        <v>190</v>
      </c>
      <c r="EO783" s="319" t="s">
        <v>190</v>
      </c>
      <c r="EP783" s="319" t="s">
        <v>190</v>
      </c>
      <c r="EQ783" s="319" t="s">
        <v>190</v>
      </c>
      <c r="ER783" s="319" t="s">
        <v>190</v>
      </c>
      <c r="ES783" s="319" t="s">
        <v>190</v>
      </c>
      <c r="ET783" s="319" t="s">
        <v>190</v>
      </c>
      <c r="EU783" s="319" t="s">
        <v>190</v>
      </c>
      <c r="EV783" s="319" t="s">
        <v>190</v>
      </c>
      <c r="EW783" s="319" t="s">
        <v>190</v>
      </c>
      <c r="EX783" s="319" t="s">
        <v>190</v>
      </c>
      <c r="EY783" s="319" t="s">
        <v>190</v>
      </c>
      <c r="EZ783" s="319" t="s">
        <v>190</v>
      </c>
      <c r="FA783" s="319" t="s">
        <v>190</v>
      </c>
      <c r="FB783" s="319" t="s">
        <v>190</v>
      </c>
      <c r="FC783" s="319" t="s">
        <v>190</v>
      </c>
      <c r="FD783" s="319" t="s">
        <v>190</v>
      </c>
      <c r="FE783" s="319" t="s">
        <v>190</v>
      </c>
      <c r="FF783" s="319" t="s">
        <v>190</v>
      </c>
      <c r="FG783" s="319" t="s">
        <v>190</v>
      </c>
      <c r="FH783" s="319" t="s">
        <v>190</v>
      </c>
      <c r="FI783" s="319" t="s">
        <v>190</v>
      </c>
      <c r="FJ783" s="319" t="s">
        <v>190</v>
      </c>
      <c r="FK783" s="319" t="s">
        <v>190</v>
      </c>
      <c r="FL783" s="319" t="s">
        <v>190</v>
      </c>
      <c r="FM783" s="319" t="s">
        <v>190</v>
      </c>
      <c r="FN783" s="319" t="s">
        <v>190</v>
      </c>
      <c r="FO783" s="319" t="s">
        <v>190</v>
      </c>
      <c r="FP783" s="319" t="s">
        <v>190</v>
      </c>
      <c r="FQ783" s="319" t="s">
        <v>190</v>
      </c>
      <c r="FR783" s="319" t="s">
        <v>190</v>
      </c>
      <c r="FS783" s="319" t="s">
        <v>190</v>
      </c>
      <c r="FT783" s="319" t="s">
        <v>190</v>
      </c>
      <c r="FU783" s="319" t="s">
        <v>190</v>
      </c>
      <c r="FV783" s="319" t="s">
        <v>190</v>
      </c>
      <c r="FW783" s="319" t="s">
        <v>190</v>
      </c>
      <c r="FX783" s="319" t="s">
        <v>190</v>
      </c>
      <c r="FY783" s="319" t="s">
        <v>190</v>
      </c>
      <c r="FZ783" s="319" t="s">
        <v>190</v>
      </c>
      <c r="GA783" s="319" t="s">
        <v>190</v>
      </c>
      <c r="GB783" s="319" t="s">
        <v>190</v>
      </c>
      <c r="GC783" s="319" t="s">
        <v>190</v>
      </c>
      <c r="GD783" s="319" t="s">
        <v>190</v>
      </c>
      <c r="GE783" s="319" t="s">
        <v>190</v>
      </c>
      <c r="GF783" s="319" t="s">
        <v>190</v>
      </c>
      <c r="GG783" s="319" t="s">
        <v>190</v>
      </c>
      <c r="GH783" s="319" t="s">
        <v>190</v>
      </c>
      <c r="GI783" s="319" t="s">
        <v>190</v>
      </c>
      <c r="GJ783" s="319" t="s">
        <v>190</v>
      </c>
      <c r="GK783" s="319" t="s">
        <v>428</v>
      </c>
      <c r="GL783" s="319" t="s">
        <v>190</v>
      </c>
      <c r="GM783" s="319" t="s">
        <v>190</v>
      </c>
      <c r="GN783" s="319" t="s">
        <v>190</v>
      </c>
      <c r="GO783" s="319" t="s">
        <v>190</v>
      </c>
      <c r="GP783" s="319" t="s">
        <v>190</v>
      </c>
      <c r="GQ783" s="319" t="s">
        <v>190</v>
      </c>
      <c r="GR783" s="319" t="s">
        <v>190</v>
      </c>
      <c r="GS783" s="319" t="s">
        <v>190</v>
      </c>
      <c r="GT783" s="319" t="s">
        <v>190</v>
      </c>
      <c r="GU783" s="319" t="s">
        <v>190</v>
      </c>
      <c r="GV783" s="319" t="s">
        <v>190</v>
      </c>
      <c r="GW783" s="319" t="s">
        <v>190</v>
      </c>
      <c r="GX783" s="319" t="s">
        <v>190</v>
      </c>
      <c r="GY783" s="319" t="s">
        <v>190</v>
      </c>
      <c r="GZ783" s="319" t="s">
        <v>190</v>
      </c>
      <c r="HA783" s="319" t="s">
        <v>190</v>
      </c>
      <c r="HB783" s="319" t="s">
        <v>428</v>
      </c>
      <c r="HC783" s="319" t="s">
        <v>190</v>
      </c>
      <c r="HD783" s="319" t="s">
        <v>190</v>
      </c>
      <c r="HE783" s="319" t="s">
        <v>190</v>
      </c>
      <c r="HF783" s="319" t="s">
        <v>190</v>
      </c>
      <c r="HG783" s="319" t="s">
        <v>190</v>
      </c>
      <c r="HH783" s="319" t="s">
        <v>190</v>
      </c>
      <c r="HI783" s="319" t="s">
        <v>190</v>
      </c>
      <c r="HJ783" s="319" t="s">
        <v>190</v>
      </c>
      <c r="HK783" s="319" t="s">
        <v>190</v>
      </c>
      <c r="HL783" s="319" t="s">
        <v>428</v>
      </c>
      <c r="HM783" s="319" t="s">
        <v>428</v>
      </c>
      <c r="HN783" s="319" t="s">
        <v>428</v>
      </c>
      <c r="HO783" s="319" t="s">
        <v>428</v>
      </c>
      <c r="HP783" s="319" t="s">
        <v>190</v>
      </c>
      <c r="HQ783" s="319" t="s">
        <v>190</v>
      </c>
      <c r="HR783" s="319" t="s">
        <v>190</v>
      </c>
      <c r="HS783" s="319" t="s">
        <v>190</v>
      </c>
      <c r="HT783" s="319" t="s">
        <v>190</v>
      </c>
      <c r="HU783" s="319" t="s">
        <v>190</v>
      </c>
      <c r="HV783" s="319" t="s">
        <v>190</v>
      </c>
      <c r="HW783" s="319" t="s">
        <v>190</v>
      </c>
      <c r="HX783" s="319" t="s">
        <v>190</v>
      </c>
      <c r="HY783" s="319" t="s">
        <v>190</v>
      </c>
      <c r="HZ783" s="319" t="s">
        <v>190</v>
      </c>
      <c r="IA783" s="319" t="s">
        <v>190</v>
      </c>
      <c r="IB783" s="319" t="s">
        <v>190</v>
      </c>
      <c r="IC783" s="319" t="s">
        <v>190</v>
      </c>
      <c r="ID783" s="319" t="s">
        <v>190</v>
      </c>
      <c r="IE783" s="319" t="s">
        <v>190</v>
      </c>
      <c r="IF783" s="319" t="s">
        <v>190</v>
      </c>
      <c r="IG783" s="319" t="s">
        <v>190</v>
      </c>
      <c r="IH783" s="319" t="s">
        <v>190</v>
      </c>
      <c r="II783" s="319" t="s">
        <v>190</v>
      </c>
      <c r="IJ783" s="319" t="s">
        <v>3521</v>
      </c>
      <c r="IK783" s="321">
        <v>42122</v>
      </c>
      <c r="IL783" s="321">
        <v>42124</v>
      </c>
      <c r="IM783" s="321">
        <v>42167</v>
      </c>
      <c r="IN783" s="319">
        <v>1</v>
      </c>
      <c r="IO783" s="319" t="s">
        <v>173</v>
      </c>
      <c r="IP783" s="319" t="s">
        <v>173</v>
      </c>
      <c r="IQ783" s="319" t="s">
        <v>173</v>
      </c>
      <c r="IR783" s="320" t="s">
        <v>173</v>
      </c>
      <c r="IS783" s="320" t="s">
        <v>173</v>
      </c>
      <c r="IT783" s="319" t="s">
        <v>173</v>
      </c>
    </row>
    <row r="784" spans="1:254" s="271" customFormat="1" x14ac:dyDescent="0.25">
      <c r="A784" s="318" t="str">
        <f>HYPERLINK("http://www.ofsted.gov.uk/inspection-reports/find-inspection-report/provider/ELS/141138 ","Ofsted School Webpage")</f>
        <v>Ofsted School Webpage</v>
      </c>
      <c r="B784" s="319">
        <v>141138</v>
      </c>
      <c r="C784" s="319">
        <v>8386038</v>
      </c>
      <c r="D784" s="319" t="s">
        <v>569</v>
      </c>
      <c r="E784" s="319" t="s">
        <v>167</v>
      </c>
      <c r="F784" s="319" t="s">
        <v>81</v>
      </c>
      <c r="G784" s="319" t="s">
        <v>81</v>
      </c>
      <c r="H784" s="319" t="s">
        <v>81</v>
      </c>
      <c r="I784" s="319" t="s">
        <v>78</v>
      </c>
      <c r="J784" s="319" t="s">
        <v>424</v>
      </c>
      <c r="K784" s="319" t="s">
        <v>422</v>
      </c>
      <c r="L784" s="319" t="s">
        <v>422</v>
      </c>
      <c r="M784" s="319" t="s">
        <v>570</v>
      </c>
      <c r="N784" s="319" t="s">
        <v>2933</v>
      </c>
      <c r="O784" s="319" t="s">
        <v>571</v>
      </c>
      <c r="P784" s="319">
        <v>13</v>
      </c>
      <c r="Q784" s="319" t="s">
        <v>2776</v>
      </c>
      <c r="R784" s="320">
        <v>10053793</v>
      </c>
      <c r="S784" s="321">
        <v>43389</v>
      </c>
      <c r="T784" s="321">
        <v>43391</v>
      </c>
      <c r="U784" s="321">
        <v>43422</v>
      </c>
      <c r="V784" s="319" t="s">
        <v>554</v>
      </c>
      <c r="W784" s="319" t="s">
        <v>2767</v>
      </c>
      <c r="X784" s="319">
        <v>4</v>
      </c>
      <c r="Y784" s="319" t="s">
        <v>173</v>
      </c>
      <c r="Z784" s="319" t="s">
        <v>173</v>
      </c>
      <c r="AA784" s="319" t="s">
        <v>173</v>
      </c>
      <c r="AB784" s="319">
        <v>4</v>
      </c>
      <c r="AC784" s="319" t="s">
        <v>170</v>
      </c>
      <c r="AD784" s="319" t="s">
        <v>173</v>
      </c>
      <c r="AE784" s="319" t="s">
        <v>173</v>
      </c>
      <c r="AF784" s="319" t="s">
        <v>427</v>
      </c>
      <c r="AG784" s="319" t="s">
        <v>172</v>
      </c>
      <c r="AH784" s="319" t="s">
        <v>479</v>
      </c>
      <c r="AI784" s="319" t="s">
        <v>190</v>
      </c>
      <c r="AJ784" s="319" t="s">
        <v>479</v>
      </c>
      <c r="AK784" s="319" t="s">
        <v>479</v>
      </c>
      <c r="AL784" s="319" t="s">
        <v>479</v>
      </c>
      <c r="AM784" s="319" t="s">
        <v>190</v>
      </c>
      <c r="AN784" s="319" t="s">
        <v>190</v>
      </c>
      <c r="AO784" s="319" t="s">
        <v>479</v>
      </c>
      <c r="AP784" s="319" t="s">
        <v>191</v>
      </c>
      <c r="AQ784" s="319" t="s">
        <v>191</v>
      </c>
      <c r="AR784" s="319" t="s">
        <v>191</v>
      </c>
      <c r="AS784" s="319" t="s">
        <v>191</v>
      </c>
      <c r="AT784" s="319" t="s">
        <v>190</v>
      </c>
      <c r="AU784" s="319" t="s">
        <v>191</v>
      </c>
      <c r="AV784" s="319" t="s">
        <v>190</v>
      </c>
      <c r="AW784" s="319" t="s">
        <v>190</v>
      </c>
      <c r="AX784" s="319" t="s">
        <v>428</v>
      </c>
      <c r="AY784" s="319" t="s">
        <v>190</v>
      </c>
      <c r="AZ784" s="319" t="s">
        <v>190</v>
      </c>
      <c r="BA784" s="319" t="s">
        <v>190</v>
      </c>
      <c r="BB784" s="319" t="s">
        <v>190</v>
      </c>
      <c r="BC784" s="319" t="s">
        <v>190</v>
      </c>
      <c r="BD784" s="319" t="s">
        <v>190</v>
      </c>
      <c r="BE784" s="319" t="s">
        <v>190</v>
      </c>
      <c r="BF784" s="319" t="s">
        <v>428</v>
      </c>
      <c r="BG784" s="319" t="s">
        <v>191</v>
      </c>
      <c r="BH784" s="319" t="s">
        <v>191</v>
      </c>
      <c r="BI784" s="319" t="s">
        <v>190</v>
      </c>
      <c r="BJ784" s="319" t="s">
        <v>191</v>
      </c>
      <c r="BK784" s="319" t="s">
        <v>191</v>
      </c>
      <c r="BL784" s="319" t="s">
        <v>191</v>
      </c>
      <c r="BM784" s="319" t="s">
        <v>191</v>
      </c>
      <c r="BN784" s="319" t="s">
        <v>191</v>
      </c>
      <c r="BO784" s="319" t="s">
        <v>190</v>
      </c>
      <c r="BP784" s="319" t="s">
        <v>190</v>
      </c>
      <c r="BQ784" s="319" t="s">
        <v>191</v>
      </c>
      <c r="BR784" s="319" t="s">
        <v>190</v>
      </c>
      <c r="BS784" s="319" t="s">
        <v>190</v>
      </c>
      <c r="BT784" s="319" t="s">
        <v>190</v>
      </c>
      <c r="BU784" s="319" t="s">
        <v>191</v>
      </c>
      <c r="BV784" s="319" t="s">
        <v>190</v>
      </c>
      <c r="BW784" s="319" t="s">
        <v>190</v>
      </c>
      <c r="BX784" s="319" t="s">
        <v>190</v>
      </c>
      <c r="BY784" s="319" t="s">
        <v>190</v>
      </c>
      <c r="BZ784" s="319" t="s">
        <v>190</v>
      </c>
      <c r="CA784" s="319" t="s">
        <v>190</v>
      </c>
      <c r="CB784" s="319" t="s">
        <v>190</v>
      </c>
      <c r="CC784" s="319" t="s">
        <v>190</v>
      </c>
      <c r="CD784" s="319" t="s">
        <v>190</v>
      </c>
      <c r="CE784" s="319" t="s">
        <v>190</v>
      </c>
      <c r="CF784" s="319" t="s">
        <v>190</v>
      </c>
      <c r="CG784" s="319" t="s">
        <v>190</v>
      </c>
      <c r="CH784" s="319" t="s">
        <v>190</v>
      </c>
      <c r="CI784" s="319" t="s">
        <v>190</v>
      </c>
      <c r="CJ784" s="319" t="s">
        <v>190</v>
      </c>
      <c r="CK784" s="319" t="s">
        <v>191</v>
      </c>
      <c r="CL784" s="319" t="s">
        <v>191</v>
      </c>
      <c r="CM784" s="319" t="s">
        <v>191</v>
      </c>
      <c r="CN784" s="319" t="s">
        <v>191</v>
      </c>
      <c r="CO784" s="319" t="s">
        <v>191</v>
      </c>
      <c r="CP784" s="319" t="s">
        <v>191</v>
      </c>
      <c r="CQ784" s="319" t="s">
        <v>190</v>
      </c>
      <c r="CR784" s="319" t="s">
        <v>190</v>
      </c>
      <c r="CS784" s="319" t="s">
        <v>190</v>
      </c>
      <c r="CT784" s="319" t="s">
        <v>190</v>
      </c>
      <c r="CU784" s="319" t="s">
        <v>190</v>
      </c>
      <c r="CV784" s="319" t="s">
        <v>191</v>
      </c>
      <c r="CW784" s="319" t="s">
        <v>191</v>
      </c>
      <c r="CX784" s="319" t="s">
        <v>190</v>
      </c>
      <c r="CY784" s="319" t="s">
        <v>191</v>
      </c>
      <c r="CZ784" s="319" t="s">
        <v>190</v>
      </c>
      <c r="DA784" s="319" t="s">
        <v>191</v>
      </c>
      <c r="DB784" s="319" t="s">
        <v>191</v>
      </c>
      <c r="DC784" s="319" t="s">
        <v>191</v>
      </c>
      <c r="DD784" s="319" t="s">
        <v>191</v>
      </c>
      <c r="DE784" s="319" t="s">
        <v>191</v>
      </c>
      <c r="DF784" s="319" t="s">
        <v>190</v>
      </c>
      <c r="DG784" s="319" t="s">
        <v>190</v>
      </c>
      <c r="DH784" s="319" t="s">
        <v>190</v>
      </c>
      <c r="DI784" s="319" t="s">
        <v>190</v>
      </c>
      <c r="DJ784" s="319" t="s">
        <v>190</v>
      </c>
      <c r="DK784" s="319" t="s">
        <v>190</v>
      </c>
      <c r="DL784" s="319" t="s">
        <v>191</v>
      </c>
      <c r="DM784" s="319" t="s">
        <v>191</v>
      </c>
      <c r="DN784" s="319" t="s">
        <v>191</v>
      </c>
      <c r="DO784" s="319" t="s">
        <v>191</v>
      </c>
      <c r="DP784" s="319" t="s">
        <v>428</v>
      </c>
      <c r="DQ784" s="319" t="s">
        <v>428</v>
      </c>
      <c r="DR784" s="319" t="s">
        <v>428</v>
      </c>
      <c r="DS784" s="319" t="s">
        <v>428</v>
      </c>
      <c r="DT784" s="319" t="s">
        <v>428</v>
      </c>
      <c r="DU784" s="319" t="s">
        <v>428</v>
      </c>
      <c r="DV784" s="319" t="s">
        <v>173</v>
      </c>
      <c r="DW784" s="319" t="s">
        <v>428</v>
      </c>
      <c r="DX784" s="319" t="s">
        <v>428</v>
      </c>
      <c r="DY784" s="319" t="s">
        <v>428</v>
      </c>
      <c r="DZ784" s="319" t="s">
        <v>428</v>
      </c>
      <c r="EA784" s="319" t="s">
        <v>428</v>
      </c>
      <c r="EB784" s="319" t="s">
        <v>428</v>
      </c>
      <c r="EC784" s="319" t="s">
        <v>428</v>
      </c>
      <c r="ED784" s="319" t="s">
        <v>428</v>
      </c>
      <c r="EE784" s="319" t="s">
        <v>190</v>
      </c>
      <c r="EF784" s="319" t="s">
        <v>190</v>
      </c>
      <c r="EG784" s="319" t="s">
        <v>190</v>
      </c>
      <c r="EH784" s="319" t="s">
        <v>190</v>
      </c>
      <c r="EI784" s="319" t="s">
        <v>190</v>
      </c>
      <c r="EJ784" s="319" t="s">
        <v>190</v>
      </c>
      <c r="EK784" s="319" t="s">
        <v>190</v>
      </c>
      <c r="EL784" s="319" t="s">
        <v>190</v>
      </c>
      <c r="EM784" s="319" t="s">
        <v>190</v>
      </c>
      <c r="EN784" s="319" t="s">
        <v>190</v>
      </c>
      <c r="EO784" s="319" t="s">
        <v>190</v>
      </c>
      <c r="EP784" s="319" t="s">
        <v>190</v>
      </c>
      <c r="EQ784" s="319" t="s">
        <v>190</v>
      </c>
      <c r="ER784" s="319" t="s">
        <v>190</v>
      </c>
      <c r="ES784" s="319" t="s">
        <v>190</v>
      </c>
      <c r="ET784" s="319" t="s">
        <v>190</v>
      </c>
      <c r="EU784" s="319" t="s">
        <v>190</v>
      </c>
      <c r="EV784" s="319" t="s">
        <v>190</v>
      </c>
      <c r="EW784" s="319" t="s">
        <v>190</v>
      </c>
      <c r="EX784" s="319" t="s">
        <v>190</v>
      </c>
      <c r="EY784" s="319" t="s">
        <v>190</v>
      </c>
      <c r="EZ784" s="319" t="s">
        <v>190</v>
      </c>
      <c r="FA784" s="319" t="s">
        <v>190</v>
      </c>
      <c r="FB784" s="319" t="s">
        <v>428</v>
      </c>
      <c r="FC784" s="319" t="s">
        <v>428</v>
      </c>
      <c r="FD784" s="319" t="s">
        <v>428</v>
      </c>
      <c r="FE784" s="319" t="s">
        <v>428</v>
      </c>
      <c r="FF784" s="319" t="s">
        <v>428</v>
      </c>
      <c r="FG784" s="319" t="s">
        <v>428</v>
      </c>
      <c r="FH784" s="319" t="s">
        <v>428</v>
      </c>
      <c r="FI784" s="319" t="s">
        <v>190</v>
      </c>
      <c r="FJ784" s="319" t="s">
        <v>190</v>
      </c>
      <c r="FK784" s="319" t="s">
        <v>190</v>
      </c>
      <c r="FL784" s="319" t="s">
        <v>190</v>
      </c>
      <c r="FM784" s="319" t="s">
        <v>190</v>
      </c>
      <c r="FN784" s="319" t="s">
        <v>190</v>
      </c>
      <c r="FO784" s="319" t="s">
        <v>190</v>
      </c>
      <c r="FP784" s="319" t="s">
        <v>190</v>
      </c>
      <c r="FQ784" s="319" t="s">
        <v>190</v>
      </c>
      <c r="FR784" s="319" t="s">
        <v>190</v>
      </c>
      <c r="FS784" s="319" t="s">
        <v>428</v>
      </c>
      <c r="FT784" s="319" t="s">
        <v>190</v>
      </c>
      <c r="FU784" s="319" t="s">
        <v>191</v>
      </c>
      <c r="FV784" s="319" t="s">
        <v>190</v>
      </c>
      <c r="FW784" s="319" t="s">
        <v>190</v>
      </c>
      <c r="FX784" s="319" t="s">
        <v>190</v>
      </c>
      <c r="FY784" s="319" t="s">
        <v>190</v>
      </c>
      <c r="FZ784" s="319" t="s">
        <v>191</v>
      </c>
      <c r="GA784" s="319" t="s">
        <v>190</v>
      </c>
      <c r="GB784" s="319" t="s">
        <v>190</v>
      </c>
      <c r="GC784" s="319" t="s">
        <v>190</v>
      </c>
      <c r="GD784" s="319" t="s">
        <v>191</v>
      </c>
      <c r="GE784" s="319" t="s">
        <v>190</v>
      </c>
      <c r="GF784" s="319" t="s">
        <v>190</v>
      </c>
      <c r="GG784" s="319" t="s">
        <v>190</v>
      </c>
      <c r="GH784" s="319" t="s">
        <v>190</v>
      </c>
      <c r="GI784" s="319" t="s">
        <v>190</v>
      </c>
      <c r="GJ784" s="319" t="s">
        <v>190</v>
      </c>
      <c r="GK784" s="319" t="s">
        <v>191</v>
      </c>
      <c r="GL784" s="319" t="s">
        <v>190</v>
      </c>
      <c r="GM784" s="319" t="s">
        <v>190</v>
      </c>
      <c r="GN784" s="319" t="s">
        <v>190</v>
      </c>
      <c r="GO784" s="319" t="s">
        <v>190</v>
      </c>
      <c r="GP784" s="319" t="s">
        <v>190</v>
      </c>
      <c r="GQ784" s="319" t="s">
        <v>190</v>
      </c>
      <c r="GR784" s="319" t="s">
        <v>190</v>
      </c>
      <c r="GS784" s="319" t="s">
        <v>190</v>
      </c>
      <c r="GT784" s="319" t="s">
        <v>428</v>
      </c>
      <c r="GU784" s="319" t="s">
        <v>428</v>
      </c>
      <c r="GV784" s="319" t="s">
        <v>428</v>
      </c>
      <c r="GW784" s="319" t="s">
        <v>190</v>
      </c>
      <c r="GX784" s="319" t="s">
        <v>190</v>
      </c>
      <c r="GY784" s="319" t="s">
        <v>190</v>
      </c>
      <c r="GZ784" s="319" t="s">
        <v>190</v>
      </c>
      <c r="HA784" s="319" t="s">
        <v>428</v>
      </c>
      <c r="HB784" s="319" t="s">
        <v>428</v>
      </c>
      <c r="HC784" s="319" t="s">
        <v>190</v>
      </c>
      <c r="HD784" s="319" t="s">
        <v>190</v>
      </c>
      <c r="HE784" s="319" t="s">
        <v>190</v>
      </c>
      <c r="HF784" s="319" t="s">
        <v>190</v>
      </c>
      <c r="HG784" s="319" t="s">
        <v>190</v>
      </c>
      <c r="HH784" s="319" t="s">
        <v>190</v>
      </c>
      <c r="HI784" s="319" t="s">
        <v>190</v>
      </c>
      <c r="HJ784" s="319" t="s">
        <v>190</v>
      </c>
      <c r="HK784" s="319" t="s">
        <v>190</v>
      </c>
      <c r="HL784" s="319" t="s">
        <v>428</v>
      </c>
      <c r="HM784" s="319" t="s">
        <v>428</v>
      </c>
      <c r="HN784" s="319" t="s">
        <v>428</v>
      </c>
      <c r="HO784" s="319" t="s">
        <v>428</v>
      </c>
      <c r="HP784" s="319" t="s">
        <v>190</v>
      </c>
      <c r="HQ784" s="319" t="s">
        <v>190</v>
      </c>
      <c r="HR784" s="319" t="s">
        <v>190</v>
      </c>
      <c r="HS784" s="319" t="s">
        <v>190</v>
      </c>
      <c r="HT784" s="319" t="s">
        <v>190</v>
      </c>
      <c r="HU784" s="319" t="s">
        <v>190</v>
      </c>
      <c r="HV784" s="319" t="s">
        <v>190</v>
      </c>
      <c r="HW784" s="319" t="s">
        <v>190</v>
      </c>
      <c r="HX784" s="319" t="s">
        <v>190</v>
      </c>
      <c r="HY784" s="319" t="s">
        <v>190</v>
      </c>
      <c r="HZ784" s="319" t="s">
        <v>190</v>
      </c>
      <c r="IA784" s="319" t="s">
        <v>190</v>
      </c>
      <c r="IB784" s="319" t="s">
        <v>190</v>
      </c>
      <c r="IC784" s="319" t="s">
        <v>190</v>
      </c>
      <c r="ID784" s="319" t="s">
        <v>190</v>
      </c>
      <c r="IE784" s="319" t="s">
        <v>190</v>
      </c>
      <c r="IF784" s="319" t="s">
        <v>191</v>
      </c>
      <c r="IG784" s="319" t="s">
        <v>191</v>
      </c>
      <c r="IH784" s="319" t="s">
        <v>191</v>
      </c>
      <c r="II784" s="319" t="s">
        <v>191</v>
      </c>
      <c r="IJ784" s="319">
        <v>10006027</v>
      </c>
      <c r="IK784" s="321">
        <v>42339</v>
      </c>
      <c r="IL784" s="321">
        <v>42341</v>
      </c>
      <c r="IM784" s="321">
        <v>42402</v>
      </c>
      <c r="IN784" s="319">
        <v>1</v>
      </c>
      <c r="IO784" s="319">
        <v>10100873</v>
      </c>
      <c r="IP784" s="319" t="s">
        <v>1061</v>
      </c>
      <c r="IQ784" s="321">
        <v>43608</v>
      </c>
      <c r="IR784" s="320" t="s">
        <v>1223</v>
      </c>
      <c r="IS784" s="322">
        <v>43633</v>
      </c>
      <c r="IT784" s="319" t="s">
        <v>166</v>
      </c>
    </row>
    <row r="785" spans="1:254" s="271" customFormat="1" x14ac:dyDescent="0.25">
      <c r="A785" s="318" t="str">
        <f>HYPERLINK("http://www.ofsted.gov.uk/inspection-reports/find-inspection-report/provider/ELS/141207 ","Ofsted School Webpage")</f>
        <v>Ofsted School Webpage</v>
      </c>
      <c r="B785" s="319">
        <v>141207</v>
      </c>
      <c r="C785" s="319">
        <v>3526009</v>
      </c>
      <c r="D785" s="319" t="s">
        <v>2284</v>
      </c>
      <c r="E785" s="319" t="s">
        <v>168</v>
      </c>
      <c r="F785" s="319" t="s">
        <v>81</v>
      </c>
      <c r="G785" s="319" t="s">
        <v>81</v>
      </c>
      <c r="H785" s="319" t="s">
        <v>81</v>
      </c>
      <c r="I785" s="319" t="s">
        <v>78</v>
      </c>
      <c r="J785" s="319" t="s">
        <v>424</v>
      </c>
      <c r="K785" s="319" t="s">
        <v>431</v>
      </c>
      <c r="L785" s="319" t="s">
        <v>431</v>
      </c>
      <c r="M785" s="319" t="s">
        <v>660</v>
      </c>
      <c r="N785" s="319" t="s">
        <v>3522</v>
      </c>
      <c r="O785" s="319" t="s">
        <v>2285</v>
      </c>
      <c r="P785" s="319">
        <v>14</v>
      </c>
      <c r="Q785" s="319" t="s">
        <v>429</v>
      </c>
      <c r="R785" s="320">
        <v>10034035</v>
      </c>
      <c r="S785" s="321">
        <v>42871</v>
      </c>
      <c r="T785" s="321">
        <v>42873</v>
      </c>
      <c r="U785" s="321">
        <v>42898</v>
      </c>
      <c r="V785" s="319" t="s">
        <v>425</v>
      </c>
      <c r="W785" s="319" t="s">
        <v>2767</v>
      </c>
      <c r="X785" s="319">
        <v>2</v>
      </c>
      <c r="Y785" s="319" t="s">
        <v>173</v>
      </c>
      <c r="Z785" s="319" t="s">
        <v>173</v>
      </c>
      <c r="AA785" s="319" t="s">
        <v>173</v>
      </c>
      <c r="AB785" s="319">
        <v>2</v>
      </c>
      <c r="AC785" s="319" t="s">
        <v>169</v>
      </c>
      <c r="AD785" s="319" t="s">
        <v>173</v>
      </c>
      <c r="AE785" s="319" t="s">
        <v>173</v>
      </c>
      <c r="AF785" s="319" t="s">
        <v>173</v>
      </c>
      <c r="AG785" s="319" t="s">
        <v>171</v>
      </c>
      <c r="AH785" s="319" t="s">
        <v>190</v>
      </c>
      <c r="AI785" s="319" t="s">
        <v>190</v>
      </c>
      <c r="AJ785" s="319" t="s">
        <v>190</v>
      </c>
      <c r="AK785" s="319" t="s">
        <v>190</v>
      </c>
      <c r="AL785" s="319" t="s">
        <v>190</v>
      </c>
      <c r="AM785" s="319" t="s">
        <v>190</v>
      </c>
      <c r="AN785" s="319" t="s">
        <v>190</v>
      </c>
      <c r="AO785" s="319" t="s">
        <v>190</v>
      </c>
      <c r="AP785" s="319" t="s">
        <v>190</v>
      </c>
      <c r="AQ785" s="319" t="s">
        <v>190</v>
      </c>
      <c r="AR785" s="319" t="s">
        <v>190</v>
      </c>
      <c r="AS785" s="319" t="s">
        <v>190</v>
      </c>
      <c r="AT785" s="319" t="s">
        <v>190</v>
      </c>
      <c r="AU785" s="319" t="s">
        <v>190</v>
      </c>
      <c r="AV785" s="319" t="s">
        <v>190</v>
      </c>
      <c r="AW785" s="319" t="s">
        <v>190</v>
      </c>
      <c r="AX785" s="319" t="s">
        <v>429</v>
      </c>
      <c r="AY785" s="319" t="s">
        <v>190</v>
      </c>
      <c r="AZ785" s="319" t="s">
        <v>190</v>
      </c>
      <c r="BA785" s="319" t="s">
        <v>190</v>
      </c>
      <c r="BB785" s="319" t="s">
        <v>190</v>
      </c>
      <c r="BC785" s="319" t="s">
        <v>190</v>
      </c>
      <c r="BD785" s="319" t="s">
        <v>190</v>
      </c>
      <c r="BE785" s="319" t="s">
        <v>190</v>
      </c>
      <c r="BF785" s="319" t="s">
        <v>429</v>
      </c>
      <c r="BG785" s="319" t="s">
        <v>429</v>
      </c>
      <c r="BH785" s="319" t="s">
        <v>190</v>
      </c>
      <c r="BI785" s="319" t="s">
        <v>190</v>
      </c>
      <c r="BJ785" s="319" t="s">
        <v>190</v>
      </c>
      <c r="BK785" s="319" t="s">
        <v>190</v>
      </c>
      <c r="BL785" s="319" t="s">
        <v>190</v>
      </c>
      <c r="BM785" s="319" t="s">
        <v>190</v>
      </c>
      <c r="BN785" s="319" t="s">
        <v>190</v>
      </c>
      <c r="BO785" s="319" t="s">
        <v>190</v>
      </c>
      <c r="BP785" s="319" t="s">
        <v>190</v>
      </c>
      <c r="BQ785" s="319" t="s">
        <v>190</v>
      </c>
      <c r="BR785" s="319" t="s">
        <v>190</v>
      </c>
      <c r="BS785" s="319" t="s">
        <v>190</v>
      </c>
      <c r="BT785" s="319" t="s">
        <v>190</v>
      </c>
      <c r="BU785" s="319" t="s">
        <v>190</v>
      </c>
      <c r="BV785" s="319" t="s">
        <v>190</v>
      </c>
      <c r="BW785" s="319" t="s">
        <v>190</v>
      </c>
      <c r="BX785" s="319" t="s">
        <v>190</v>
      </c>
      <c r="BY785" s="319" t="s">
        <v>190</v>
      </c>
      <c r="BZ785" s="319" t="s">
        <v>190</v>
      </c>
      <c r="CA785" s="319" t="s">
        <v>190</v>
      </c>
      <c r="CB785" s="319" t="s">
        <v>190</v>
      </c>
      <c r="CC785" s="319" t="s">
        <v>190</v>
      </c>
      <c r="CD785" s="319" t="s">
        <v>190</v>
      </c>
      <c r="CE785" s="319" t="s">
        <v>190</v>
      </c>
      <c r="CF785" s="319" t="s">
        <v>190</v>
      </c>
      <c r="CG785" s="319" t="s">
        <v>190</v>
      </c>
      <c r="CH785" s="319" t="s">
        <v>190</v>
      </c>
      <c r="CI785" s="319" t="s">
        <v>190</v>
      </c>
      <c r="CJ785" s="319" t="s">
        <v>190</v>
      </c>
      <c r="CK785" s="319" t="s">
        <v>190</v>
      </c>
      <c r="CL785" s="319" t="s">
        <v>190</v>
      </c>
      <c r="CM785" s="319" t="s">
        <v>190</v>
      </c>
      <c r="CN785" s="319" t="s">
        <v>429</v>
      </c>
      <c r="CO785" s="319" t="s">
        <v>429</v>
      </c>
      <c r="CP785" s="319" t="s">
        <v>429</v>
      </c>
      <c r="CQ785" s="319" t="s">
        <v>190</v>
      </c>
      <c r="CR785" s="319" t="s">
        <v>190</v>
      </c>
      <c r="CS785" s="319" t="s">
        <v>190</v>
      </c>
      <c r="CT785" s="319" t="s">
        <v>190</v>
      </c>
      <c r="CU785" s="319" t="s">
        <v>190</v>
      </c>
      <c r="CV785" s="319" t="s">
        <v>190</v>
      </c>
      <c r="CW785" s="319" t="s">
        <v>190</v>
      </c>
      <c r="CX785" s="319" t="s">
        <v>190</v>
      </c>
      <c r="CY785" s="319" t="s">
        <v>190</v>
      </c>
      <c r="CZ785" s="319" t="s">
        <v>190</v>
      </c>
      <c r="DA785" s="319" t="s">
        <v>190</v>
      </c>
      <c r="DB785" s="319" t="s">
        <v>190</v>
      </c>
      <c r="DC785" s="319" t="s">
        <v>190</v>
      </c>
      <c r="DD785" s="319" t="s">
        <v>190</v>
      </c>
      <c r="DE785" s="319" t="s">
        <v>190</v>
      </c>
      <c r="DF785" s="319" t="s">
        <v>190</v>
      </c>
      <c r="DG785" s="319" t="s">
        <v>190</v>
      </c>
      <c r="DH785" s="319" t="s">
        <v>190</v>
      </c>
      <c r="DI785" s="319" t="s">
        <v>190</v>
      </c>
      <c r="DJ785" s="319" t="s">
        <v>190</v>
      </c>
      <c r="DK785" s="319" t="s">
        <v>190</v>
      </c>
      <c r="DL785" s="319" t="s">
        <v>190</v>
      </c>
      <c r="DM785" s="319" t="s">
        <v>429</v>
      </c>
      <c r="DN785" s="319" t="s">
        <v>429</v>
      </c>
      <c r="DO785" s="319" t="s">
        <v>190</v>
      </c>
      <c r="DP785" s="319" t="s">
        <v>190</v>
      </c>
      <c r="DQ785" s="319" t="s">
        <v>190</v>
      </c>
      <c r="DR785" s="319" t="s">
        <v>190</v>
      </c>
      <c r="DS785" s="319" t="s">
        <v>190</v>
      </c>
      <c r="DT785" s="319" t="s">
        <v>190</v>
      </c>
      <c r="DU785" s="319" t="s">
        <v>190</v>
      </c>
      <c r="DV785" s="319" t="s">
        <v>173</v>
      </c>
      <c r="DW785" s="319" t="s">
        <v>190</v>
      </c>
      <c r="DX785" s="319" t="s">
        <v>190</v>
      </c>
      <c r="DY785" s="319" t="s">
        <v>190</v>
      </c>
      <c r="DZ785" s="319" t="s">
        <v>190</v>
      </c>
      <c r="EA785" s="319" t="s">
        <v>190</v>
      </c>
      <c r="EB785" s="319" t="s">
        <v>190</v>
      </c>
      <c r="EC785" s="319" t="s">
        <v>429</v>
      </c>
      <c r="ED785" s="319" t="s">
        <v>190</v>
      </c>
      <c r="EE785" s="319" t="s">
        <v>190</v>
      </c>
      <c r="EF785" s="319" t="s">
        <v>190</v>
      </c>
      <c r="EG785" s="319" t="s">
        <v>190</v>
      </c>
      <c r="EH785" s="319" t="s">
        <v>190</v>
      </c>
      <c r="EI785" s="319" t="s">
        <v>190</v>
      </c>
      <c r="EJ785" s="319" t="s">
        <v>190</v>
      </c>
      <c r="EK785" s="319" t="s">
        <v>190</v>
      </c>
      <c r="EL785" s="319" t="s">
        <v>429</v>
      </c>
      <c r="EM785" s="319" t="s">
        <v>190</v>
      </c>
      <c r="EN785" s="319" t="s">
        <v>190</v>
      </c>
      <c r="EO785" s="319" t="s">
        <v>190</v>
      </c>
      <c r="EP785" s="319" t="s">
        <v>190</v>
      </c>
      <c r="EQ785" s="319" t="s">
        <v>190</v>
      </c>
      <c r="ER785" s="319" t="s">
        <v>190</v>
      </c>
      <c r="ES785" s="319" t="s">
        <v>190</v>
      </c>
      <c r="ET785" s="319" t="s">
        <v>190</v>
      </c>
      <c r="EU785" s="319" t="s">
        <v>190</v>
      </c>
      <c r="EV785" s="319" t="s">
        <v>190</v>
      </c>
      <c r="EW785" s="319" t="s">
        <v>190</v>
      </c>
      <c r="EX785" s="319" t="s">
        <v>190</v>
      </c>
      <c r="EY785" s="319" t="s">
        <v>190</v>
      </c>
      <c r="EZ785" s="319" t="s">
        <v>190</v>
      </c>
      <c r="FA785" s="319" t="s">
        <v>429</v>
      </c>
      <c r="FB785" s="319" t="s">
        <v>429</v>
      </c>
      <c r="FC785" s="319" t="s">
        <v>429</v>
      </c>
      <c r="FD785" s="319" t="s">
        <v>429</v>
      </c>
      <c r="FE785" s="319" t="s">
        <v>429</v>
      </c>
      <c r="FF785" s="319" t="s">
        <v>429</v>
      </c>
      <c r="FG785" s="319" t="s">
        <v>429</v>
      </c>
      <c r="FH785" s="319" t="s">
        <v>190</v>
      </c>
      <c r="FI785" s="319" t="s">
        <v>429</v>
      </c>
      <c r="FJ785" s="319" t="s">
        <v>429</v>
      </c>
      <c r="FK785" s="319" t="s">
        <v>429</v>
      </c>
      <c r="FL785" s="319" t="s">
        <v>190</v>
      </c>
      <c r="FM785" s="319" t="s">
        <v>190</v>
      </c>
      <c r="FN785" s="319" t="s">
        <v>190</v>
      </c>
      <c r="FO785" s="319" t="s">
        <v>190</v>
      </c>
      <c r="FP785" s="319" t="s">
        <v>190</v>
      </c>
      <c r="FQ785" s="319" t="s">
        <v>190</v>
      </c>
      <c r="FR785" s="319" t="s">
        <v>190</v>
      </c>
      <c r="FS785" s="319" t="s">
        <v>429</v>
      </c>
      <c r="FT785" s="319" t="s">
        <v>190</v>
      </c>
      <c r="FU785" s="319" t="s">
        <v>190</v>
      </c>
      <c r="FV785" s="319" t="s">
        <v>190</v>
      </c>
      <c r="FW785" s="319" t="s">
        <v>190</v>
      </c>
      <c r="FX785" s="319" t="s">
        <v>190</v>
      </c>
      <c r="FY785" s="319" t="s">
        <v>190</v>
      </c>
      <c r="FZ785" s="319" t="s">
        <v>190</v>
      </c>
      <c r="GA785" s="319" t="s">
        <v>190</v>
      </c>
      <c r="GB785" s="319" t="s">
        <v>190</v>
      </c>
      <c r="GC785" s="319" t="s">
        <v>190</v>
      </c>
      <c r="GD785" s="319" t="s">
        <v>190</v>
      </c>
      <c r="GE785" s="319" t="s">
        <v>190</v>
      </c>
      <c r="GF785" s="319" t="s">
        <v>190</v>
      </c>
      <c r="GG785" s="319" t="s">
        <v>190</v>
      </c>
      <c r="GH785" s="319" t="s">
        <v>190</v>
      </c>
      <c r="GI785" s="319" t="s">
        <v>190</v>
      </c>
      <c r="GJ785" s="319" t="s">
        <v>190</v>
      </c>
      <c r="GK785" s="319" t="s">
        <v>190</v>
      </c>
      <c r="GL785" s="319" t="s">
        <v>190</v>
      </c>
      <c r="GM785" s="319" t="s">
        <v>190</v>
      </c>
      <c r="GN785" s="319" t="s">
        <v>190</v>
      </c>
      <c r="GO785" s="319" t="s">
        <v>190</v>
      </c>
      <c r="GP785" s="319" t="s">
        <v>190</v>
      </c>
      <c r="GQ785" s="319" t="s">
        <v>429</v>
      </c>
      <c r="GR785" s="319" t="s">
        <v>190</v>
      </c>
      <c r="GS785" s="319" t="s">
        <v>190</v>
      </c>
      <c r="GT785" s="319" t="s">
        <v>190</v>
      </c>
      <c r="GU785" s="319" t="s">
        <v>429</v>
      </c>
      <c r="GV785" s="319" t="s">
        <v>190</v>
      </c>
      <c r="GW785" s="319" t="s">
        <v>190</v>
      </c>
      <c r="GX785" s="319" t="s">
        <v>190</v>
      </c>
      <c r="GY785" s="319" t="s">
        <v>190</v>
      </c>
      <c r="GZ785" s="319" t="s">
        <v>190</v>
      </c>
      <c r="HA785" s="319" t="s">
        <v>190</v>
      </c>
      <c r="HB785" s="319" t="s">
        <v>429</v>
      </c>
      <c r="HC785" s="319" t="s">
        <v>190</v>
      </c>
      <c r="HD785" s="319" t="s">
        <v>190</v>
      </c>
      <c r="HE785" s="319" t="s">
        <v>190</v>
      </c>
      <c r="HF785" s="319" t="s">
        <v>429</v>
      </c>
      <c r="HG785" s="319" t="s">
        <v>190</v>
      </c>
      <c r="HH785" s="319" t="s">
        <v>190</v>
      </c>
      <c r="HI785" s="319" t="s">
        <v>190</v>
      </c>
      <c r="HJ785" s="319" t="s">
        <v>190</v>
      </c>
      <c r="HK785" s="319" t="s">
        <v>190</v>
      </c>
      <c r="HL785" s="319" t="s">
        <v>429</v>
      </c>
      <c r="HM785" s="319" t="s">
        <v>429</v>
      </c>
      <c r="HN785" s="319" t="s">
        <v>429</v>
      </c>
      <c r="HO785" s="319" t="s">
        <v>429</v>
      </c>
      <c r="HP785" s="319" t="s">
        <v>190</v>
      </c>
      <c r="HQ785" s="319" t="s">
        <v>190</v>
      </c>
      <c r="HR785" s="319" t="s">
        <v>190</v>
      </c>
      <c r="HS785" s="319" t="s">
        <v>190</v>
      </c>
      <c r="HT785" s="319" t="s">
        <v>190</v>
      </c>
      <c r="HU785" s="319" t="s">
        <v>190</v>
      </c>
      <c r="HV785" s="319" t="s">
        <v>190</v>
      </c>
      <c r="HW785" s="319" t="s">
        <v>190</v>
      </c>
      <c r="HX785" s="319" t="s">
        <v>190</v>
      </c>
      <c r="HY785" s="319" t="s">
        <v>190</v>
      </c>
      <c r="HZ785" s="319" t="s">
        <v>190</v>
      </c>
      <c r="IA785" s="319" t="s">
        <v>190</v>
      </c>
      <c r="IB785" s="319" t="s">
        <v>190</v>
      </c>
      <c r="IC785" s="319" t="s">
        <v>190</v>
      </c>
      <c r="ID785" s="319" t="s">
        <v>190</v>
      </c>
      <c r="IE785" s="319" t="s">
        <v>190</v>
      </c>
      <c r="IF785" s="319" t="s">
        <v>190</v>
      </c>
      <c r="IG785" s="319" t="s">
        <v>190</v>
      </c>
      <c r="IH785" s="319" t="s">
        <v>190</v>
      </c>
      <c r="II785" s="319" t="s">
        <v>190</v>
      </c>
      <c r="IJ785" s="319" t="s">
        <v>3523</v>
      </c>
      <c r="IK785" s="321">
        <v>42171</v>
      </c>
      <c r="IL785" s="321">
        <v>42173</v>
      </c>
      <c r="IM785" s="321">
        <v>42258</v>
      </c>
      <c r="IN785" s="319">
        <v>3</v>
      </c>
      <c r="IO785" s="319" t="s">
        <v>173</v>
      </c>
      <c r="IP785" s="319" t="s">
        <v>173</v>
      </c>
      <c r="IQ785" s="321" t="s">
        <v>173</v>
      </c>
      <c r="IR785" s="320" t="s">
        <v>173</v>
      </c>
      <c r="IS785" s="322" t="s">
        <v>173</v>
      </c>
      <c r="IT785" s="319" t="s">
        <v>173</v>
      </c>
    </row>
    <row r="786" spans="1:254" s="271" customFormat="1" x14ac:dyDescent="0.25">
      <c r="A786" s="318" t="str">
        <f>HYPERLINK("http://www.ofsted.gov.uk/inspection-reports/find-inspection-report/provider/ELS/141225 ","Ofsted School Webpage")</f>
        <v>Ofsted School Webpage</v>
      </c>
      <c r="B786" s="319">
        <v>141225</v>
      </c>
      <c r="C786" s="319">
        <v>8686022</v>
      </c>
      <c r="D786" s="319" t="s">
        <v>549</v>
      </c>
      <c r="E786" s="319" t="s">
        <v>167</v>
      </c>
      <c r="F786" s="319" t="s">
        <v>81</v>
      </c>
      <c r="G786" s="319" t="s">
        <v>81</v>
      </c>
      <c r="H786" s="319" t="s">
        <v>81</v>
      </c>
      <c r="I786" s="319" t="s">
        <v>78</v>
      </c>
      <c r="J786" s="319" t="s">
        <v>424</v>
      </c>
      <c r="K786" s="319" t="s">
        <v>514</v>
      </c>
      <c r="L786" s="319" t="s">
        <v>514</v>
      </c>
      <c r="M786" s="319" t="s">
        <v>550</v>
      </c>
      <c r="N786" s="319" t="s">
        <v>2906</v>
      </c>
      <c r="O786" s="319" t="s">
        <v>551</v>
      </c>
      <c r="P786" s="319">
        <v>26</v>
      </c>
      <c r="Q786" s="319" t="s">
        <v>2776</v>
      </c>
      <c r="R786" s="320">
        <v>10054081</v>
      </c>
      <c r="S786" s="321">
        <v>43382</v>
      </c>
      <c r="T786" s="321">
        <v>43384</v>
      </c>
      <c r="U786" s="321">
        <v>43420</v>
      </c>
      <c r="V786" s="319" t="s">
        <v>425</v>
      </c>
      <c r="W786" s="319" t="s">
        <v>2767</v>
      </c>
      <c r="X786" s="319">
        <v>1</v>
      </c>
      <c r="Y786" s="319" t="s">
        <v>173</v>
      </c>
      <c r="Z786" s="319" t="s">
        <v>173</v>
      </c>
      <c r="AA786" s="319" t="s">
        <v>173</v>
      </c>
      <c r="AB786" s="319">
        <v>1</v>
      </c>
      <c r="AC786" s="319" t="s">
        <v>169</v>
      </c>
      <c r="AD786" s="319" t="s">
        <v>173</v>
      </c>
      <c r="AE786" s="319">
        <v>1</v>
      </c>
      <c r="AF786" s="319" t="s">
        <v>447</v>
      </c>
      <c r="AG786" s="319" t="s">
        <v>171</v>
      </c>
      <c r="AH786" s="319" t="s">
        <v>190</v>
      </c>
      <c r="AI786" s="319" t="s">
        <v>190</v>
      </c>
      <c r="AJ786" s="319" t="s">
        <v>190</v>
      </c>
      <c r="AK786" s="319" t="s">
        <v>190</v>
      </c>
      <c r="AL786" s="319" t="s">
        <v>190</v>
      </c>
      <c r="AM786" s="319" t="s">
        <v>190</v>
      </c>
      <c r="AN786" s="319" t="s">
        <v>190</v>
      </c>
      <c r="AO786" s="319" t="s">
        <v>190</v>
      </c>
      <c r="AP786" s="319" t="s">
        <v>190</v>
      </c>
      <c r="AQ786" s="319" t="s">
        <v>190</v>
      </c>
      <c r="AR786" s="319" t="s">
        <v>190</v>
      </c>
      <c r="AS786" s="319" t="s">
        <v>190</v>
      </c>
      <c r="AT786" s="319" t="s">
        <v>190</v>
      </c>
      <c r="AU786" s="319" t="s">
        <v>190</v>
      </c>
      <c r="AV786" s="319" t="s">
        <v>190</v>
      </c>
      <c r="AW786" s="319" t="s">
        <v>190</v>
      </c>
      <c r="AX786" s="319" t="s">
        <v>428</v>
      </c>
      <c r="AY786" s="319" t="s">
        <v>190</v>
      </c>
      <c r="AZ786" s="319" t="s">
        <v>190</v>
      </c>
      <c r="BA786" s="319" t="s">
        <v>190</v>
      </c>
      <c r="BB786" s="319" t="s">
        <v>190</v>
      </c>
      <c r="BC786" s="319" t="s">
        <v>190</v>
      </c>
      <c r="BD786" s="319" t="s">
        <v>190</v>
      </c>
      <c r="BE786" s="319" t="s">
        <v>190</v>
      </c>
      <c r="BF786" s="319" t="s">
        <v>428</v>
      </c>
      <c r="BG786" s="319" t="s">
        <v>190</v>
      </c>
      <c r="BH786" s="319" t="s">
        <v>190</v>
      </c>
      <c r="BI786" s="319" t="s">
        <v>190</v>
      </c>
      <c r="BJ786" s="319" t="s">
        <v>190</v>
      </c>
      <c r="BK786" s="319" t="s">
        <v>190</v>
      </c>
      <c r="BL786" s="319" t="s">
        <v>190</v>
      </c>
      <c r="BM786" s="319" t="s">
        <v>190</v>
      </c>
      <c r="BN786" s="319" t="s">
        <v>190</v>
      </c>
      <c r="BO786" s="319" t="s">
        <v>190</v>
      </c>
      <c r="BP786" s="319" t="s">
        <v>190</v>
      </c>
      <c r="BQ786" s="319" t="s">
        <v>190</v>
      </c>
      <c r="BR786" s="319" t="s">
        <v>190</v>
      </c>
      <c r="BS786" s="319" t="s">
        <v>190</v>
      </c>
      <c r="BT786" s="319" t="s">
        <v>190</v>
      </c>
      <c r="BU786" s="319" t="s">
        <v>190</v>
      </c>
      <c r="BV786" s="319" t="s">
        <v>190</v>
      </c>
      <c r="BW786" s="319" t="s">
        <v>190</v>
      </c>
      <c r="BX786" s="319" t="s">
        <v>190</v>
      </c>
      <c r="BY786" s="319" t="s">
        <v>190</v>
      </c>
      <c r="BZ786" s="319" t="s">
        <v>190</v>
      </c>
      <c r="CA786" s="319" t="s">
        <v>190</v>
      </c>
      <c r="CB786" s="319" t="s">
        <v>190</v>
      </c>
      <c r="CC786" s="319" t="s">
        <v>190</v>
      </c>
      <c r="CD786" s="319" t="s">
        <v>190</v>
      </c>
      <c r="CE786" s="319" t="s">
        <v>190</v>
      </c>
      <c r="CF786" s="319" t="s">
        <v>190</v>
      </c>
      <c r="CG786" s="319" t="s">
        <v>190</v>
      </c>
      <c r="CH786" s="319" t="s">
        <v>190</v>
      </c>
      <c r="CI786" s="319" t="s">
        <v>190</v>
      </c>
      <c r="CJ786" s="319" t="s">
        <v>190</v>
      </c>
      <c r="CK786" s="319" t="s">
        <v>190</v>
      </c>
      <c r="CL786" s="319" t="s">
        <v>190</v>
      </c>
      <c r="CM786" s="319" t="s">
        <v>190</v>
      </c>
      <c r="CN786" s="319" t="s">
        <v>428</v>
      </c>
      <c r="CO786" s="319" t="s">
        <v>428</v>
      </c>
      <c r="CP786" s="319" t="s">
        <v>428</v>
      </c>
      <c r="CQ786" s="319" t="s">
        <v>190</v>
      </c>
      <c r="CR786" s="319" t="s">
        <v>190</v>
      </c>
      <c r="CS786" s="319" t="s">
        <v>190</v>
      </c>
      <c r="CT786" s="319" t="s">
        <v>190</v>
      </c>
      <c r="CU786" s="319" t="s">
        <v>190</v>
      </c>
      <c r="CV786" s="319" t="s">
        <v>190</v>
      </c>
      <c r="CW786" s="319" t="s">
        <v>190</v>
      </c>
      <c r="CX786" s="319" t="s">
        <v>190</v>
      </c>
      <c r="CY786" s="319" t="s">
        <v>190</v>
      </c>
      <c r="CZ786" s="319" t="s">
        <v>190</v>
      </c>
      <c r="DA786" s="319" t="s">
        <v>190</v>
      </c>
      <c r="DB786" s="319" t="s">
        <v>190</v>
      </c>
      <c r="DC786" s="319" t="s">
        <v>190</v>
      </c>
      <c r="DD786" s="319" t="s">
        <v>190</v>
      </c>
      <c r="DE786" s="319" t="s">
        <v>190</v>
      </c>
      <c r="DF786" s="319" t="s">
        <v>190</v>
      </c>
      <c r="DG786" s="319" t="s">
        <v>190</v>
      </c>
      <c r="DH786" s="319" t="s">
        <v>190</v>
      </c>
      <c r="DI786" s="319" t="s">
        <v>190</v>
      </c>
      <c r="DJ786" s="319" t="s">
        <v>190</v>
      </c>
      <c r="DK786" s="319" t="s">
        <v>190</v>
      </c>
      <c r="DL786" s="319" t="s">
        <v>190</v>
      </c>
      <c r="DM786" s="319" t="s">
        <v>190</v>
      </c>
      <c r="DN786" s="319" t="s">
        <v>428</v>
      </c>
      <c r="DO786" s="319" t="s">
        <v>190</v>
      </c>
      <c r="DP786" s="319" t="s">
        <v>428</v>
      </c>
      <c r="DQ786" s="319" t="s">
        <v>428</v>
      </c>
      <c r="DR786" s="319" t="s">
        <v>428</v>
      </c>
      <c r="DS786" s="319" t="s">
        <v>428</v>
      </c>
      <c r="DT786" s="319" t="s">
        <v>428</v>
      </c>
      <c r="DU786" s="319" t="s">
        <v>428</v>
      </c>
      <c r="DV786" s="319" t="s">
        <v>173</v>
      </c>
      <c r="DW786" s="319" t="s">
        <v>428</v>
      </c>
      <c r="DX786" s="319" t="s">
        <v>428</v>
      </c>
      <c r="DY786" s="319" t="s">
        <v>428</v>
      </c>
      <c r="DZ786" s="319" t="s">
        <v>428</v>
      </c>
      <c r="EA786" s="319" t="s">
        <v>428</v>
      </c>
      <c r="EB786" s="319" t="s">
        <v>428</v>
      </c>
      <c r="EC786" s="319" t="s">
        <v>428</v>
      </c>
      <c r="ED786" s="319" t="s">
        <v>190</v>
      </c>
      <c r="EE786" s="319" t="s">
        <v>190</v>
      </c>
      <c r="EF786" s="319" t="s">
        <v>190</v>
      </c>
      <c r="EG786" s="319" t="s">
        <v>190</v>
      </c>
      <c r="EH786" s="319" t="s">
        <v>190</v>
      </c>
      <c r="EI786" s="319" t="s">
        <v>190</v>
      </c>
      <c r="EJ786" s="319" t="s">
        <v>190</v>
      </c>
      <c r="EK786" s="319" t="s">
        <v>190</v>
      </c>
      <c r="EL786" s="319" t="s">
        <v>190</v>
      </c>
      <c r="EM786" s="319" t="s">
        <v>190</v>
      </c>
      <c r="EN786" s="319" t="s">
        <v>190</v>
      </c>
      <c r="EO786" s="319" t="s">
        <v>190</v>
      </c>
      <c r="EP786" s="319" t="s">
        <v>190</v>
      </c>
      <c r="EQ786" s="319" t="s">
        <v>190</v>
      </c>
      <c r="ER786" s="319" t="s">
        <v>190</v>
      </c>
      <c r="ES786" s="319" t="s">
        <v>190</v>
      </c>
      <c r="ET786" s="319" t="s">
        <v>190</v>
      </c>
      <c r="EU786" s="319" t="s">
        <v>190</v>
      </c>
      <c r="EV786" s="319" t="s">
        <v>190</v>
      </c>
      <c r="EW786" s="319" t="s">
        <v>190</v>
      </c>
      <c r="EX786" s="319" t="s">
        <v>190</v>
      </c>
      <c r="EY786" s="319" t="s">
        <v>190</v>
      </c>
      <c r="EZ786" s="319" t="s">
        <v>190</v>
      </c>
      <c r="FA786" s="319" t="s">
        <v>428</v>
      </c>
      <c r="FB786" s="319" t="s">
        <v>428</v>
      </c>
      <c r="FC786" s="319" t="s">
        <v>428</v>
      </c>
      <c r="FD786" s="319" t="s">
        <v>428</v>
      </c>
      <c r="FE786" s="319" t="s">
        <v>428</v>
      </c>
      <c r="FF786" s="319" t="s">
        <v>428</v>
      </c>
      <c r="FG786" s="319" t="s">
        <v>428</v>
      </c>
      <c r="FH786" s="319" t="s">
        <v>190</v>
      </c>
      <c r="FI786" s="319" t="s">
        <v>190</v>
      </c>
      <c r="FJ786" s="319" t="s">
        <v>190</v>
      </c>
      <c r="FK786" s="319" t="s">
        <v>190</v>
      </c>
      <c r="FL786" s="319" t="s">
        <v>190</v>
      </c>
      <c r="FM786" s="319" t="s">
        <v>190</v>
      </c>
      <c r="FN786" s="319" t="s">
        <v>190</v>
      </c>
      <c r="FO786" s="319" t="s">
        <v>190</v>
      </c>
      <c r="FP786" s="319" t="s">
        <v>190</v>
      </c>
      <c r="FQ786" s="319" t="s">
        <v>190</v>
      </c>
      <c r="FR786" s="319" t="s">
        <v>190</v>
      </c>
      <c r="FS786" s="319" t="s">
        <v>428</v>
      </c>
      <c r="FT786" s="319" t="s">
        <v>190</v>
      </c>
      <c r="FU786" s="319" t="s">
        <v>190</v>
      </c>
      <c r="FV786" s="319" t="s">
        <v>190</v>
      </c>
      <c r="FW786" s="319" t="s">
        <v>190</v>
      </c>
      <c r="FX786" s="319" t="s">
        <v>190</v>
      </c>
      <c r="FY786" s="319" t="s">
        <v>190</v>
      </c>
      <c r="FZ786" s="319" t="s">
        <v>190</v>
      </c>
      <c r="GA786" s="319" t="s">
        <v>190</v>
      </c>
      <c r="GB786" s="319" t="s">
        <v>190</v>
      </c>
      <c r="GC786" s="319" t="s">
        <v>190</v>
      </c>
      <c r="GD786" s="319" t="s">
        <v>190</v>
      </c>
      <c r="GE786" s="319" t="s">
        <v>190</v>
      </c>
      <c r="GF786" s="319" t="s">
        <v>190</v>
      </c>
      <c r="GG786" s="319" t="s">
        <v>190</v>
      </c>
      <c r="GH786" s="319" t="s">
        <v>190</v>
      </c>
      <c r="GI786" s="319" t="s">
        <v>190</v>
      </c>
      <c r="GJ786" s="319" t="s">
        <v>190</v>
      </c>
      <c r="GK786" s="319" t="s">
        <v>428</v>
      </c>
      <c r="GL786" s="319" t="s">
        <v>190</v>
      </c>
      <c r="GM786" s="319" t="s">
        <v>190</v>
      </c>
      <c r="GN786" s="319" t="s">
        <v>190</v>
      </c>
      <c r="GO786" s="319" t="s">
        <v>190</v>
      </c>
      <c r="GP786" s="319" t="s">
        <v>190</v>
      </c>
      <c r="GQ786" s="319" t="s">
        <v>428</v>
      </c>
      <c r="GR786" s="319" t="s">
        <v>190</v>
      </c>
      <c r="GS786" s="319" t="s">
        <v>190</v>
      </c>
      <c r="GT786" s="319" t="s">
        <v>190</v>
      </c>
      <c r="GU786" s="319" t="s">
        <v>190</v>
      </c>
      <c r="GV786" s="319" t="s">
        <v>190</v>
      </c>
      <c r="GW786" s="319" t="s">
        <v>190</v>
      </c>
      <c r="GX786" s="319" t="s">
        <v>190</v>
      </c>
      <c r="GY786" s="319" t="s">
        <v>190</v>
      </c>
      <c r="GZ786" s="319" t="s">
        <v>428</v>
      </c>
      <c r="HA786" s="319" t="s">
        <v>190</v>
      </c>
      <c r="HB786" s="319" t="s">
        <v>190</v>
      </c>
      <c r="HC786" s="319" t="s">
        <v>190</v>
      </c>
      <c r="HD786" s="319" t="s">
        <v>190</v>
      </c>
      <c r="HE786" s="319" t="s">
        <v>190</v>
      </c>
      <c r="HF786" s="319" t="s">
        <v>190</v>
      </c>
      <c r="HG786" s="319" t="s">
        <v>190</v>
      </c>
      <c r="HH786" s="319" t="s">
        <v>190</v>
      </c>
      <c r="HI786" s="319" t="s">
        <v>190</v>
      </c>
      <c r="HJ786" s="319" t="s">
        <v>190</v>
      </c>
      <c r="HK786" s="319" t="s">
        <v>190</v>
      </c>
      <c r="HL786" s="319" t="s">
        <v>190</v>
      </c>
      <c r="HM786" s="319" t="s">
        <v>190</v>
      </c>
      <c r="HN786" s="319" t="s">
        <v>190</v>
      </c>
      <c r="HO786" s="319" t="s">
        <v>190</v>
      </c>
      <c r="HP786" s="319" t="s">
        <v>190</v>
      </c>
      <c r="HQ786" s="319" t="s">
        <v>190</v>
      </c>
      <c r="HR786" s="319" t="s">
        <v>190</v>
      </c>
      <c r="HS786" s="319" t="s">
        <v>190</v>
      </c>
      <c r="HT786" s="319" t="s">
        <v>190</v>
      </c>
      <c r="HU786" s="319" t="s">
        <v>190</v>
      </c>
      <c r="HV786" s="319" t="s">
        <v>190</v>
      </c>
      <c r="HW786" s="319" t="s">
        <v>190</v>
      </c>
      <c r="HX786" s="319" t="s">
        <v>190</v>
      </c>
      <c r="HY786" s="319" t="s">
        <v>190</v>
      </c>
      <c r="HZ786" s="319" t="s">
        <v>190</v>
      </c>
      <c r="IA786" s="319" t="s">
        <v>190</v>
      </c>
      <c r="IB786" s="319" t="s">
        <v>190</v>
      </c>
      <c r="IC786" s="319" t="s">
        <v>190</v>
      </c>
      <c r="ID786" s="319" t="s">
        <v>190</v>
      </c>
      <c r="IE786" s="319" t="s">
        <v>190</v>
      </c>
      <c r="IF786" s="319" t="s">
        <v>190</v>
      </c>
      <c r="IG786" s="319" t="s">
        <v>190</v>
      </c>
      <c r="IH786" s="319" t="s">
        <v>190</v>
      </c>
      <c r="II786" s="319" t="s">
        <v>190</v>
      </c>
      <c r="IJ786" s="319">
        <v>10006029</v>
      </c>
      <c r="IK786" s="321">
        <v>42284</v>
      </c>
      <c r="IL786" s="321">
        <v>42286</v>
      </c>
      <c r="IM786" s="321">
        <v>42317</v>
      </c>
      <c r="IN786" s="319">
        <v>2</v>
      </c>
      <c r="IO786" s="319" t="s">
        <v>173</v>
      </c>
      <c r="IP786" s="319" t="s">
        <v>173</v>
      </c>
      <c r="IQ786" s="319" t="s">
        <v>173</v>
      </c>
      <c r="IR786" s="320" t="s">
        <v>173</v>
      </c>
      <c r="IS786" s="320" t="s">
        <v>173</v>
      </c>
      <c r="IT786" s="319" t="s">
        <v>173</v>
      </c>
    </row>
    <row r="787" spans="1:254" s="271" customFormat="1" x14ac:dyDescent="0.25">
      <c r="A787" s="318" t="str">
        <f>HYPERLINK("http://www.ofsted.gov.uk/inspection-reports/find-inspection-report/provider/ELS/141242 ","Ofsted School Webpage")</f>
        <v>Ofsted School Webpage</v>
      </c>
      <c r="B787" s="319">
        <v>141242</v>
      </c>
      <c r="C787" s="319">
        <v>3306017</v>
      </c>
      <c r="D787" s="319" t="s">
        <v>2286</v>
      </c>
      <c r="E787" s="319" t="s">
        <v>167</v>
      </c>
      <c r="F787" s="319" t="s">
        <v>81</v>
      </c>
      <c r="G787" s="319" t="s">
        <v>81</v>
      </c>
      <c r="H787" s="319" t="s">
        <v>81</v>
      </c>
      <c r="I787" s="319" t="s">
        <v>78</v>
      </c>
      <c r="J787" s="319" t="s">
        <v>424</v>
      </c>
      <c r="K787" s="319" t="s">
        <v>437</v>
      </c>
      <c r="L787" s="319" t="s">
        <v>437</v>
      </c>
      <c r="M787" s="319" t="s">
        <v>813</v>
      </c>
      <c r="N787" s="319" t="s">
        <v>2855</v>
      </c>
      <c r="O787" s="319" t="s">
        <v>2287</v>
      </c>
      <c r="P787" s="319">
        <v>32</v>
      </c>
      <c r="Q787" s="319" t="s">
        <v>2776</v>
      </c>
      <c r="R787" s="320">
        <v>10047138</v>
      </c>
      <c r="S787" s="321">
        <v>43277</v>
      </c>
      <c r="T787" s="321">
        <v>43279</v>
      </c>
      <c r="U787" s="321">
        <v>43335</v>
      </c>
      <c r="V787" s="319" t="s">
        <v>425</v>
      </c>
      <c r="W787" s="319" t="s">
        <v>2767</v>
      </c>
      <c r="X787" s="319">
        <v>2</v>
      </c>
      <c r="Y787" s="319" t="s">
        <v>173</v>
      </c>
      <c r="Z787" s="319" t="s">
        <v>173</v>
      </c>
      <c r="AA787" s="319" t="s">
        <v>173</v>
      </c>
      <c r="AB787" s="319">
        <v>2</v>
      </c>
      <c r="AC787" s="319" t="s">
        <v>169</v>
      </c>
      <c r="AD787" s="319" t="s">
        <v>173</v>
      </c>
      <c r="AE787" s="319" t="s">
        <v>173</v>
      </c>
      <c r="AF787" s="319" t="s">
        <v>427</v>
      </c>
      <c r="AG787" s="319" t="s">
        <v>171</v>
      </c>
      <c r="AH787" s="319" t="s">
        <v>190</v>
      </c>
      <c r="AI787" s="319" t="s">
        <v>190</v>
      </c>
      <c r="AJ787" s="319" t="s">
        <v>190</v>
      </c>
      <c r="AK787" s="319" t="s">
        <v>190</v>
      </c>
      <c r="AL787" s="319" t="s">
        <v>190</v>
      </c>
      <c r="AM787" s="319" t="s">
        <v>190</v>
      </c>
      <c r="AN787" s="319" t="s">
        <v>190</v>
      </c>
      <c r="AO787" s="319" t="s">
        <v>190</v>
      </c>
      <c r="AP787" s="319" t="s">
        <v>190</v>
      </c>
      <c r="AQ787" s="319" t="s">
        <v>190</v>
      </c>
      <c r="AR787" s="319" t="s">
        <v>190</v>
      </c>
      <c r="AS787" s="319" t="s">
        <v>190</v>
      </c>
      <c r="AT787" s="319" t="s">
        <v>190</v>
      </c>
      <c r="AU787" s="319" t="s">
        <v>190</v>
      </c>
      <c r="AV787" s="319" t="s">
        <v>190</v>
      </c>
      <c r="AW787" s="319" t="s">
        <v>190</v>
      </c>
      <c r="AX787" s="319" t="s">
        <v>428</v>
      </c>
      <c r="AY787" s="319" t="s">
        <v>190</v>
      </c>
      <c r="AZ787" s="319" t="s">
        <v>190</v>
      </c>
      <c r="BA787" s="319" t="s">
        <v>190</v>
      </c>
      <c r="BB787" s="319" t="s">
        <v>190</v>
      </c>
      <c r="BC787" s="319" t="s">
        <v>190</v>
      </c>
      <c r="BD787" s="319" t="s">
        <v>190</v>
      </c>
      <c r="BE787" s="319" t="s">
        <v>190</v>
      </c>
      <c r="BF787" s="319" t="s">
        <v>428</v>
      </c>
      <c r="BG787" s="319" t="s">
        <v>428</v>
      </c>
      <c r="BH787" s="319" t="s">
        <v>190</v>
      </c>
      <c r="BI787" s="319" t="s">
        <v>190</v>
      </c>
      <c r="BJ787" s="319" t="s">
        <v>190</v>
      </c>
      <c r="BK787" s="319" t="s">
        <v>190</v>
      </c>
      <c r="BL787" s="319" t="s">
        <v>190</v>
      </c>
      <c r="BM787" s="319" t="s">
        <v>190</v>
      </c>
      <c r="BN787" s="319" t="s">
        <v>190</v>
      </c>
      <c r="BO787" s="319" t="s">
        <v>190</v>
      </c>
      <c r="BP787" s="319" t="s">
        <v>190</v>
      </c>
      <c r="BQ787" s="319" t="s">
        <v>190</v>
      </c>
      <c r="BR787" s="319" t="s">
        <v>190</v>
      </c>
      <c r="BS787" s="319" t="s">
        <v>190</v>
      </c>
      <c r="BT787" s="319" t="s">
        <v>190</v>
      </c>
      <c r="BU787" s="319" t="s">
        <v>190</v>
      </c>
      <c r="BV787" s="319" t="s">
        <v>190</v>
      </c>
      <c r="BW787" s="319" t="s">
        <v>190</v>
      </c>
      <c r="BX787" s="319" t="s">
        <v>190</v>
      </c>
      <c r="BY787" s="319" t="s">
        <v>190</v>
      </c>
      <c r="BZ787" s="319" t="s">
        <v>190</v>
      </c>
      <c r="CA787" s="319" t="s">
        <v>190</v>
      </c>
      <c r="CB787" s="319" t="s">
        <v>190</v>
      </c>
      <c r="CC787" s="319" t="s">
        <v>190</v>
      </c>
      <c r="CD787" s="319" t="s">
        <v>190</v>
      </c>
      <c r="CE787" s="319" t="s">
        <v>190</v>
      </c>
      <c r="CF787" s="319" t="s">
        <v>190</v>
      </c>
      <c r="CG787" s="319" t="s">
        <v>190</v>
      </c>
      <c r="CH787" s="319" t="s">
        <v>190</v>
      </c>
      <c r="CI787" s="319" t="s">
        <v>190</v>
      </c>
      <c r="CJ787" s="319" t="s">
        <v>190</v>
      </c>
      <c r="CK787" s="319" t="s">
        <v>190</v>
      </c>
      <c r="CL787" s="319" t="s">
        <v>190</v>
      </c>
      <c r="CM787" s="319" t="s">
        <v>190</v>
      </c>
      <c r="CN787" s="319" t="s">
        <v>428</v>
      </c>
      <c r="CO787" s="319" t="s">
        <v>428</v>
      </c>
      <c r="CP787" s="319" t="s">
        <v>428</v>
      </c>
      <c r="CQ787" s="319" t="s">
        <v>190</v>
      </c>
      <c r="CR787" s="319" t="s">
        <v>190</v>
      </c>
      <c r="CS787" s="319" t="s">
        <v>190</v>
      </c>
      <c r="CT787" s="319" t="s">
        <v>190</v>
      </c>
      <c r="CU787" s="319" t="s">
        <v>190</v>
      </c>
      <c r="CV787" s="319" t="s">
        <v>190</v>
      </c>
      <c r="CW787" s="319" t="s">
        <v>190</v>
      </c>
      <c r="CX787" s="319" t="s">
        <v>190</v>
      </c>
      <c r="CY787" s="319" t="s">
        <v>190</v>
      </c>
      <c r="CZ787" s="319" t="s">
        <v>190</v>
      </c>
      <c r="DA787" s="319" t="s">
        <v>190</v>
      </c>
      <c r="DB787" s="319" t="s">
        <v>190</v>
      </c>
      <c r="DC787" s="319" t="s">
        <v>190</v>
      </c>
      <c r="DD787" s="319" t="s">
        <v>190</v>
      </c>
      <c r="DE787" s="319" t="s">
        <v>190</v>
      </c>
      <c r="DF787" s="319" t="s">
        <v>190</v>
      </c>
      <c r="DG787" s="319" t="s">
        <v>190</v>
      </c>
      <c r="DH787" s="319" t="s">
        <v>190</v>
      </c>
      <c r="DI787" s="319" t="s">
        <v>190</v>
      </c>
      <c r="DJ787" s="319" t="s">
        <v>190</v>
      </c>
      <c r="DK787" s="319" t="s">
        <v>190</v>
      </c>
      <c r="DL787" s="319" t="s">
        <v>190</v>
      </c>
      <c r="DM787" s="319" t="s">
        <v>190</v>
      </c>
      <c r="DN787" s="319" t="s">
        <v>428</v>
      </c>
      <c r="DO787" s="319" t="s">
        <v>190</v>
      </c>
      <c r="DP787" s="319" t="s">
        <v>428</v>
      </c>
      <c r="DQ787" s="319" t="s">
        <v>428</v>
      </c>
      <c r="DR787" s="319" t="s">
        <v>428</v>
      </c>
      <c r="DS787" s="319" t="s">
        <v>428</v>
      </c>
      <c r="DT787" s="319" t="s">
        <v>428</v>
      </c>
      <c r="DU787" s="319" t="s">
        <v>428</v>
      </c>
      <c r="DV787" s="319" t="s">
        <v>173</v>
      </c>
      <c r="DW787" s="319" t="s">
        <v>428</v>
      </c>
      <c r="DX787" s="319" t="s">
        <v>428</v>
      </c>
      <c r="DY787" s="319" t="s">
        <v>428</v>
      </c>
      <c r="DZ787" s="319" t="s">
        <v>428</v>
      </c>
      <c r="EA787" s="319" t="s">
        <v>428</v>
      </c>
      <c r="EB787" s="319" t="s">
        <v>428</v>
      </c>
      <c r="EC787" s="319" t="s">
        <v>428</v>
      </c>
      <c r="ED787" s="319" t="s">
        <v>428</v>
      </c>
      <c r="EE787" s="319" t="s">
        <v>190</v>
      </c>
      <c r="EF787" s="319" t="s">
        <v>190</v>
      </c>
      <c r="EG787" s="319" t="s">
        <v>190</v>
      </c>
      <c r="EH787" s="319" t="s">
        <v>190</v>
      </c>
      <c r="EI787" s="319" t="s">
        <v>190</v>
      </c>
      <c r="EJ787" s="319" t="s">
        <v>190</v>
      </c>
      <c r="EK787" s="319" t="s">
        <v>190</v>
      </c>
      <c r="EL787" s="319" t="s">
        <v>190</v>
      </c>
      <c r="EM787" s="319" t="s">
        <v>190</v>
      </c>
      <c r="EN787" s="319" t="s">
        <v>190</v>
      </c>
      <c r="EO787" s="319" t="s">
        <v>190</v>
      </c>
      <c r="EP787" s="319" t="s">
        <v>190</v>
      </c>
      <c r="EQ787" s="319" t="s">
        <v>190</v>
      </c>
      <c r="ER787" s="319" t="s">
        <v>190</v>
      </c>
      <c r="ES787" s="319" t="s">
        <v>190</v>
      </c>
      <c r="ET787" s="319" t="s">
        <v>190</v>
      </c>
      <c r="EU787" s="319" t="s">
        <v>190</v>
      </c>
      <c r="EV787" s="319" t="s">
        <v>190</v>
      </c>
      <c r="EW787" s="319" t="s">
        <v>190</v>
      </c>
      <c r="EX787" s="319" t="s">
        <v>190</v>
      </c>
      <c r="EY787" s="319" t="s">
        <v>190</v>
      </c>
      <c r="EZ787" s="319" t="s">
        <v>190</v>
      </c>
      <c r="FA787" s="319" t="s">
        <v>190</v>
      </c>
      <c r="FB787" s="319" t="s">
        <v>428</v>
      </c>
      <c r="FC787" s="319" t="s">
        <v>428</v>
      </c>
      <c r="FD787" s="319" t="s">
        <v>428</v>
      </c>
      <c r="FE787" s="319" t="s">
        <v>428</v>
      </c>
      <c r="FF787" s="319" t="s">
        <v>428</v>
      </c>
      <c r="FG787" s="319" t="s">
        <v>428</v>
      </c>
      <c r="FH787" s="319" t="s">
        <v>190</v>
      </c>
      <c r="FI787" s="319" t="s">
        <v>190</v>
      </c>
      <c r="FJ787" s="319" t="s">
        <v>190</v>
      </c>
      <c r="FK787" s="319" t="s">
        <v>190</v>
      </c>
      <c r="FL787" s="319" t="s">
        <v>190</v>
      </c>
      <c r="FM787" s="319" t="s">
        <v>190</v>
      </c>
      <c r="FN787" s="319" t="s">
        <v>190</v>
      </c>
      <c r="FO787" s="319" t="s">
        <v>190</v>
      </c>
      <c r="FP787" s="319" t="s">
        <v>190</v>
      </c>
      <c r="FQ787" s="319" t="s">
        <v>190</v>
      </c>
      <c r="FR787" s="319" t="s">
        <v>190</v>
      </c>
      <c r="FS787" s="319" t="s">
        <v>428</v>
      </c>
      <c r="FT787" s="319" t="s">
        <v>190</v>
      </c>
      <c r="FU787" s="319" t="s">
        <v>190</v>
      </c>
      <c r="FV787" s="319" t="s">
        <v>190</v>
      </c>
      <c r="FW787" s="319" t="s">
        <v>190</v>
      </c>
      <c r="FX787" s="319" t="s">
        <v>190</v>
      </c>
      <c r="FY787" s="319" t="s">
        <v>190</v>
      </c>
      <c r="FZ787" s="319" t="s">
        <v>190</v>
      </c>
      <c r="GA787" s="319" t="s">
        <v>190</v>
      </c>
      <c r="GB787" s="319" t="s">
        <v>190</v>
      </c>
      <c r="GC787" s="319" t="s">
        <v>190</v>
      </c>
      <c r="GD787" s="319" t="s">
        <v>190</v>
      </c>
      <c r="GE787" s="319" t="s">
        <v>190</v>
      </c>
      <c r="GF787" s="319" t="s">
        <v>190</v>
      </c>
      <c r="GG787" s="319" t="s">
        <v>190</v>
      </c>
      <c r="GH787" s="319" t="s">
        <v>190</v>
      </c>
      <c r="GI787" s="319" t="s">
        <v>190</v>
      </c>
      <c r="GJ787" s="319" t="s">
        <v>190</v>
      </c>
      <c r="GK787" s="319" t="s">
        <v>428</v>
      </c>
      <c r="GL787" s="319" t="s">
        <v>190</v>
      </c>
      <c r="GM787" s="319" t="s">
        <v>190</v>
      </c>
      <c r="GN787" s="319" t="s">
        <v>190</v>
      </c>
      <c r="GO787" s="319" t="s">
        <v>190</v>
      </c>
      <c r="GP787" s="319" t="s">
        <v>190</v>
      </c>
      <c r="GQ787" s="319" t="s">
        <v>190</v>
      </c>
      <c r="GR787" s="319" t="s">
        <v>190</v>
      </c>
      <c r="GS787" s="319" t="s">
        <v>190</v>
      </c>
      <c r="GT787" s="319" t="s">
        <v>190</v>
      </c>
      <c r="GU787" s="319" t="s">
        <v>190</v>
      </c>
      <c r="GV787" s="319" t="s">
        <v>190</v>
      </c>
      <c r="GW787" s="319" t="s">
        <v>190</v>
      </c>
      <c r="GX787" s="319" t="s">
        <v>190</v>
      </c>
      <c r="GY787" s="319" t="s">
        <v>190</v>
      </c>
      <c r="GZ787" s="319" t="s">
        <v>190</v>
      </c>
      <c r="HA787" s="319" t="s">
        <v>428</v>
      </c>
      <c r="HB787" s="319" t="s">
        <v>190</v>
      </c>
      <c r="HC787" s="319" t="s">
        <v>190</v>
      </c>
      <c r="HD787" s="319" t="s">
        <v>190</v>
      </c>
      <c r="HE787" s="319" t="s">
        <v>190</v>
      </c>
      <c r="HF787" s="319" t="s">
        <v>190</v>
      </c>
      <c r="HG787" s="319" t="s">
        <v>190</v>
      </c>
      <c r="HH787" s="319" t="s">
        <v>190</v>
      </c>
      <c r="HI787" s="319" t="s">
        <v>190</v>
      </c>
      <c r="HJ787" s="319" t="s">
        <v>190</v>
      </c>
      <c r="HK787" s="319" t="s">
        <v>190</v>
      </c>
      <c r="HL787" s="319" t="s">
        <v>428</v>
      </c>
      <c r="HM787" s="319" t="s">
        <v>428</v>
      </c>
      <c r="HN787" s="319" t="s">
        <v>428</v>
      </c>
      <c r="HO787" s="319" t="s">
        <v>428</v>
      </c>
      <c r="HP787" s="319" t="s">
        <v>190</v>
      </c>
      <c r="HQ787" s="319" t="s">
        <v>190</v>
      </c>
      <c r="HR787" s="319" t="s">
        <v>190</v>
      </c>
      <c r="HS787" s="319" t="s">
        <v>190</v>
      </c>
      <c r="HT787" s="319" t="s">
        <v>190</v>
      </c>
      <c r="HU787" s="319" t="s">
        <v>190</v>
      </c>
      <c r="HV787" s="319" t="s">
        <v>190</v>
      </c>
      <c r="HW787" s="319" t="s">
        <v>190</v>
      </c>
      <c r="HX787" s="319" t="s">
        <v>190</v>
      </c>
      <c r="HY787" s="319" t="s">
        <v>190</v>
      </c>
      <c r="HZ787" s="319" t="s">
        <v>190</v>
      </c>
      <c r="IA787" s="319" t="s">
        <v>190</v>
      </c>
      <c r="IB787" s="319" t="s">
        <v>190</v>
      </c>
      <c r="IC787" s="319" t="s">
        <v>190</v>
      </c>
      <c r="ID787" s="319" t="s">
        <v>190</v>
      </c>
      <c r="IE787" s="319" t="s">
        <v>190</v>
      </c>
      <c r="IF787" s="319" t="s">
        <v>190</v>
      </c>
      <c r="IG787" s="319" t="s">
        <v>190</v>
      </c>
      <c r="IH787" s="319" t="s">
        <v>190</v>
      </c>
      <c r="II787" s="319" t="s">
        <v>190</v>
      </c>
      <c r="IJ787" s="319" t="s">
        <v>3524</v>
      </c>
      <c r="IK787" s="321">
        <v>42130</v>
      </c>
      <c r="IL787" s="321">
        <v>42131</v>
      </c>
      <c r="IM787" s="321">
        <v>42160</v>
      </c>
      <c r="IN787" s="319">
        <v>2</v>
      </c>
      <c r="IO787" s="319" t="s">
        <v>173</v>
      </c>
      <c r="IP787" s="319" t="s">
        <v>173</v>
      </c>
      <c r="IQ787" s="321" t="s">
        <v>173</v>
      </c>
      <c r="IR787" s="320" t="s">
        <v>173</v>
      </c>
      <c r="IS787" s="322" t="s">
        <v>173</v>
      </c>
      <c r="IT787" s="319" t="s">
        <v>173</v>
      </c>
    </row>
    <row r="788" spans="1:254" s="271" customFormat="1" x14ac:dyDescent="0.25">
      <c r="A788" s="318" t="str">
        <f>HYPERLINK("http://www.ofsted.gov.uk/inspection-reports/find-inspection-report/provider/ELS/141247 ","Ofsted School Webpage")</f>
        <v>Ofsted School Webpage</v>
      </c>
      <c r="B788" s="319">
        <v>141247</v>
      </c>
      <c r="C788" s="319">
        <v>3086003</v>
      </c>
      <c r="D788" s="319" t="s">
        <v>2288</v>
      </c>
      <c r="E788" s="319" t="s">
        <v>167</v>
      </c>
      <c r="F788" s="319" t="s">
        <v>81</v>
      </c>
      <c r="G788" s="319" t="s">
        <v>81</v>
      </c>
      <c r="H788" s="319" t="s">
        <v>81</v>
      </c>
      <c r="I788" s="319" t="s">
        <v>78</v>
      </c>
      <c r="J788" s="319" t="s">
        <v>424</v>
      </c>
      <c r="K788" s="319" t="s">
        <v>441</v>
      </c>
      <c r="L788" s="319" t="s">
        <v>441</v>
      </c>
      <c r="M788" s="319" t="s">
        <v>561</v>
      </c>
      <c r="N788" s="319" t="s">
        <v>3525</v>
      </c>
      <c r="O788" s="319" t="s">
        <v>2289</v>
      </c>
      <c r="P788" s="319">
        <v>25</v>
      </c>
      <c r="Q788" s="319" t="s">
        <v>2766</v>
      </c>
      <c r="R788" s="320">
        <v>10092910</v>
      </c>
      <c r="S788" s="321">
        <v>43536</v>
      </c>
      <c r="T788" s="321">
        <v>43538</v>
      </c>
      <c r="U788" s="321">
        <v>43557</v>
      </c>
      <c r="V788" s="319" t="s">
        <v>425</v>
      </c>
      <c r="W788" s="319" t="s">
        <v>2767</v>
      </c>
      <c r="X788" s="319">
        <v>2</v>
      </c>
      <c r="Y788" s="319" t="s">
        <v>173</v>
      </c>
      <c r="Z788" s="319" t="s">
        <v>173</v>
      </c>
      <c r="AA788" s="319" t="s">
        <v>173</v>
      </c>
      <c r="AB788" s="319">
        <v>2</v>
      </c>
      <c r="AC788" s="319" t="s">
        <v>169</v>
      </c>
      <c r="AD788" s="319" t="s">
        <v>173</v>
      </c>
      <c r="AE788" s="319" t="s">
        <v>173</v>
      </c>
      <c r="AF788" s="319" t="s">
        <v>427</v>
      </c>
      <c r="AG788" s="319" t="s">
        <v>171</v>
      </c>
      <c r="AH788" s="319" t="s">
        <v>190</v>
      </c>
      <c r="AI788" s="319" t="s">
        <v>190</v>
      </c>
      <c r="AJ788" s="319" t="s">
        <v>190</v>
      </c>
      <c r="AK788" s="319" t="s">
        <v>190</v>
      </c>
      <c r="AL788" s="319" t="s">
        <v>190</v>
      </c>
      <c r="AM788" s="319" t="s">
        <v>190</v>
      </c>
      <c r="AN788" s="319" t="s">
        <v>190</v>
      </c>
      <c r="AO788" s="319" t="s">
        <v>190</v>
      </c>
      <c r="AP788" s="319" t="s">
        <v>190</v>
      </c>
      <c r="AQ788" s="319" t="s">
        <v>190</v>
      </c>
      <c r="AR788" s="319" t="s">
        <v>190</v>
      </c>
      <c r="AS788" s="319" t="s">
        <v>190</v>
      </c>
      <c r="AT788" s="319" t="s">
        <v>190</v>
      </c>
      <c r="AU788" s="319" t="s">
        <v>190</v>
      </c>
      <c r="AV788" s="319" t="s">
        <v>190</v>
      </c>
      <c r="AW788" s="319" t="s">
        <v>190</v>
      </c>
      <c r="AX788" s="319" t="s">
        <v>428</v>
      </c>
      <c r="AY788" s="319" t="s">
        <v>190</v>
      </c>
      <c r="AZ788" s="319" t="s">
        <v>190</v>
      </c>
      <c r="BA788" s="319" t="s">
        <v>190</v>
      </c>
      <c r="BB788" s="319" t="s">
        <v>190</v>
      </c>
      <c r="BC788" s="319" t="s">
        <v>190</v>
      </c>
      <c r="BD788" s="319" t="s">
        <v>190</v>
      </c>
      <c r="BE788" s="319" t="s">
        <v>190</v>
      </c>
      <c r="BF788" s="319" t="s">
        <v>428</v>
      </c>
      <c r="BG788" s="319" t="s">
        <v>428</v>
      </c>
      <c r="BH788" s="319" t="s">
        <v>190</v>
      </c>
      <c r="BI788" s="319" t="s">
        <v>190</v>
      </c>
      <c r="BJ788" s="319" t="s">
        <v>190</v>
      </c>
      <c r="BK788" s="319" t="s">
        <v>190</v>
      </c>
      <c r="BL788" s="319" t="s">
        <v>190</v>
      </c>
      <c r="BM788" s="319" t="s">
        <v>190</v>
      </c>
      <c r="BN788" s="319" t="s">
        <v>190</v>
      </c>
      <c r="BO788" s="319" t="s">
        <v>190</v>
      </c>
      <c r="BP788" s="319" t="s">
        <v>190</v>
      </c>
      <c r="BQ788" s="319" t="s">
        <v>190</v>
      </c>
      <c r="BR788" s="319" t="s">
        <v>190</v>
      </c>
      <c r="BS788" s="319" t="s">
        <v>190</v>
      </c>
      <c r="BT788" s="319" t="s">
        <v>190</v>
      </c>
      <c r="BU788" s="319" t="s">
        <v>190</v>
      </c>
      <c r="BV788" s="319" t="s">
        <v>190</v>
      </c>
      <c r="BW788" s="319" t="s">
        <v>190</v>
      </c>
      <c r="BX788" s="319" t="s">
        <v>190</v>
      </c>
      <c r="BY788" s="319" t="s">
        <v>190</v>
      </c>
      <c r="BZ788" s="319" t="s">
        <v>190</v>
      </c>
      <c r="CA788" s="319" t="s">
        <v>190</v>
      </c>
      <c r="CB788" s="319" t="s">
        <v>190</v>
      </c>
      <c r="CC788" s="319" t="s">
        <v>190</v>
      </c>
      <c r="CD788" s="319" t="s">
        <v>190</v>
      </c>
      <c r="CE788" s="319" t="s">
        <v>190</v>
      </c>
      <c r="CF788" s="319" t="s">
        <v>190</v>
      </c>
      <c r="CG788" s="319" t="s">
        <v>190</v>
      </c>
      <c r="CH788" s="319" t="s">
        <v>190</v>
      </c>
      <c r="CI788" s="319" t="s">
        <v>190</v>
      </c>
      <c r="CJ788" s="319" t="s">
        <v>190</v>
      </c>
      <c r="CK788" s="319" t="s">
        <v>190</v>
      </c>
      <c r="CL788" s="319" t="s">
        <v>190</v>
      </c>
      <c r="CM788" s="319" t="s">
        <v>190</v>
      </c>
      <c r="CN788" s="319" t="s">
        <v>428</v>
      </c>
      <c r="CO788" s="319" t="s">
        <v>428</v>
      </c>
      <c r="CP788" s="319" t="s">
        <v>428</v>
      </c>
      <c r="CQ788" s="319" t="s">
        <v>190</v>
      </c>
      <c r="CR788" s="319" t="s">
        <v>190</v>
      </c>
      <c r="CS788" s="319" t="s">
        <v>190</v>
      </c>
      <c r="CT788" s="319" t="s">
        <v>190</v>
      </c>
      <c r="CU788" s="319" t="s">
        <v>190</v>
      </c>
      <c r="CV788" s="319" t="s">
        <v>190</v>
      </c>
      <c r="CW788" s="319" t="s">
        <v>190</v>
      </c>
      <c r="CX788" s="319" t="s">
        <v>190</v>
      </c>
      <c r="CY788" s="319" t="s">
        <v>190</v>
      </c>
      <c r="CZ788" s="319" t="s">
        <v>190</v>
      </c>
      <c r="DA788" s="319" t="s">
        <v>190</v>
      </c>
      <c r="DB788" s="319" t="s">
        <v>190</v>
      </c>
      <c r="DC788" s="319" t="s">
        <v>190</v>
      </c>
      <c r="DD788" s="319" t="s">
        <v>190</v>
      </c>
      <c r="DE788" s="319" t="s">
        <v>190</v>
      </c>
      <c r="DF788" s="319" t="s">
        <v>190</v>
      </c>
      <c r="DG788" s="319" t="s">
        <v>190</v>
      </c>
      <c r="DH788" s="319" t="s">
        <v>190</v>
      </c>
      <c r="DI788" s="319" t="s">
        <v>190</v>
      </c>
      <c r="DJ788" s="319" t="s">
        <v>190</v>
      </c>
      <c r="DK788" s="319" t="s">
        <v>190</v>
      </c>
      <c r="DL788" s="319" t="s">
        <v>190</v>
      </c>
      <c r="DM788" s="319" t="s">
        <v>428</v>
      </c>
      <c r="DN788" s="319" t="s">
        <v>428</v>
      </c>
      <c r="DO788" s="319" t="s">
        <v>190</v>
      </c>
      <c r="DP788" s="319" t="s">
        <v>190</v>
      </c>
      <c r="DQ788" s="319" t="s">
        <v>190</v>
      </c>
      <c r="DR788" s="319" t="s">
        <v>190</v>
      </c>
      <c r="DS788" s="319" t="s">
        <v>190</v>
      </c>
      <c r="DT788" s="319" t="s">
        <v>190</v>
      </c>
      <c r="DU788" s="319" t="s">
        <v>190</v>
      </c>
      <c r="DV788" s="319" t="s">
        <v>173</v>
      </c>
      <c r="DW788" s="319" t="s">
        <v>190</v>
      </c>
      <c r="DX788" s="319" t="s">
        <v>190</v>
      </c>
      <c r="DY788" s="319" t="s">
        <v>190</v>
      </c>
      <c r="DZ788" s="319" t="s">
        <v>190</v>
      </c>
      <c r="EA788" s="319" t="s">
        <v>190</v>
      </c>
      <c r="EB788" s="319" t="s">
        <v>190</v>
      </c>
      <c r="EC788" s="319" t="s">
        <v>428</v>
      </c>
      <c r="ED788" s="319" t="s">
        <v>190</v>
      </c>
      <c r="EE788" s="319" t="s">
        <v>190</v>
      </c>
      <c r="EF788" s="319" t="s">
        <v>190</v>
      </c>
      <c r="EG788" s="319" t="s">
        <v>190</v>
      </c>
      <c r="EH788" s="319" t="s">
        <v>190</v>
      </c>
      <c r="EI788" s="319" t="s">
        <v>190</v>
      </c>
      <c r="EJ788" s="319" t="s">
        <v>190</v>
      </c>
      <c r="EK788" s="319" t="s">
        <v>190</v>
      </c>
      <c r="EL788" s="319" t="s">
        <v>428</v>
      </c>
      <c r="EM788" s="319" t="s">
        <v>190</v>
      </c>
      <c r="EN788" s="319" t="s">
        <v>190</v>
      </c>
      <c r="EO788" s="319" t="s">
        <v>190</v>
      </c>
      <c r="EP788" s="319" t="s">
        <v>190</v>
      </c>
      <c r="EQ788" s="319" t="s">
        <v>190</v>
      </c>
      <c r="ER788" s="319" t="s">
        <v>190</v>
      </c>
      <c r="ES788" s="319" t="s">
        <v>190</v>
      </c>
      <c r="ET788" s="319" t="s">
        <v>190</v>
      </c>
      <c r="EU788" s="319" t="s">
        <v>190</v>
      </c>
      <c r="EV788" s="319" t="s">
        <v>190</v>
      </c>
      <c r="EW788" s="319" t="s">
        <v>190</v>
      </c>
      <c r="EX788" s="319" t="s">
        <v>190</v>
      </c>
      <c r="EY788" s="319" t="s">
        <v>190</v>
      </c>
      <c r="EZ788" s="319" t="s">
        <v>190</v>
      </c>
      <c r="FA788" s="319" t="s">
        <v>190</v>
      </c>
      <c r="FB788" s="319" t="s">
        <v>190</v>
      </c>
      <c r="FC788" s="319" t="s">
        <v>190</v>
      </c>
      <c r="FD788" s="319" t="s">
        <v>190</v>
      </c>
      <c r="FE788" s="319" t="s">
        <v>190</v>
      </c>
      <c r="FF788" s="319" t="s">
        <v>190</v>
      </c>
      <c r="FG788" s="319" t="s">
        <v>190</v>
      </c>
      <c r="FH788" s="319" t="s">
        <v>428</v>
      </c>
      <c r="FI788" s="319" t="s">
        <v>428</v>
      </c>
      <c r="FJ788" s="319" t="s">
        <v>429</v>
      </c>
      <c r="FK788" s="319" t="s">
        <v>428</v>
      </c>
      <c r="FL788" s="319" t="s">
        <v>190</v>
      </c>
      <c r="FM788" s="319" t="s">
        <v>190</v>
      </c>
      <c r="FN788" s="319" t="s">
        <v>190</v>
      </c>
      <c r="FO788" s="319" t="s">
        <v>190</v>
      </c>
      <c r="FP788" s="319" t="s">
        <v>190</v>
      </c>
      <c r="FQ788" s="319" t="s">
        <v>190</v>
      </c>
      <c r="FR788" s="319" t="s">
        <v>190</v>
      </c>
      <c r="FS788" s="319" t="s">
        <v>428</v>
      </c>
      <c r="FT788" s="319" t="s">
        <v>190</v>
      </c>
      <c r="FU788" s="319" t="s">
        <v>190</v>
      </c>
      <c r="FV788" s="319" t="s">
        <v>190</v>
      </c>
      <c r="FW788" s="319" t="s">
        <v>190</v>
      </c>
      <c r="FX788" s="319" t="s">
        <v>190</v>
      </c>
      <c r="FY788" s="319" t="s">
        <v>190</v>
      </c>
      <c r="FZ788" s="319" t="s">
        <v>190</v>
      </c>
      <c r="GA788" s="319" t="s">
        <v>190</v>
      </c>
      <c r="GB788" s="319" t="s">
        <v>190</v>
      </c>
      <c r="GC788" s="319" t="s">
        <v>190</v>
      </c>
      <c r="GD788" s="319" t="s">
        <v>190</v>
      </c>
      <c r="GE788" s="319" t="s">
        <v>190</v>
      </c>
      <c r="GF788" s="319" t="s">
        <v>190</v>
      </c>
      <c r="GG788" s="319" t="s">
        <v>190</v>
      </c>
      <c r="GH788" s="319" t="s">
        <v>190</v>
      </c>
      <c r="GI788" s="319" t="s">
        <v>190</v>
      </c>
      <c r="GJ788" s="319" t="s">
        <v>190</v>
      </c>
      <c r="GK788" s="319" t="s">
        <v>428</v>
      </c>
      <c r="GL788" s="319" t="s">
        <v>190</v>
      </c>
      <c r="GM788" s="319" t="s">
        <v>190</v>
      </c>
      <c r="GN788" s="319" t="s">
        <v>190</v>
      </c>
      <c r="GO788" s="319" t="s">
        <v>190</v>
      </c>
      <c r="GP788" s="319" t="s">
        <v>190</v>
      </c>
      <c r="GQ788" s="319" t="s">
        <v>428</v>
      </c>
      <c r="GR788" s="319" t="s">
        <v>190</v>
      </c>
      <c r="GS788" s="319" t="s">
        <v>190</v>
      </c>
      <c r="GT788" s="319" t="s">
        <v>428</v>
      </c>
      <c r="GU788" s="319" t="s">
        <v>428</v>
      </c>
      <c r="GV788" s="319" t="s">
        <v>190</v>
      </c>
      <c r="GW788" s="319" t="s">
        <v>190</v>
      </c>
      <c r="GX788" s="319" t="s">
        <v>190</v>
      </c>
      <c r="GY788" s="319" t="s">
        <v>190</v>
      </c>
      <c r="GZ788" s="319" t="s">
        <v>190</v>
      </c>
      <c r="HA788" s="319" t="s">
        <v>428</v>
      </c>
      <c r="HB788" s="319" t="s">
        <v>428</v>
      </c>
      <c r="HC788" s="319" t="s">
        <v>190</v>
      </c>
      <c r="HD788" s="319" t="s">
        <v>190</v>
      </c>
      <c r="HE788" s="319" t="s">
        <v>190</v>
      </c>
      <c r="HF788" s="319" t="s">
        <v>428</v>
      </c>
      <c r="HG788" s="319" t="s">
        <v>190</v>
      </c>
      <c r="HH788" s="319" t="s">
        <v>190</v>
      </c>
      <c r="HI788" s="319" t="s">
        <v>190</v>
      </c>
      <c r="HJ788" s="319" t="s">
        <v>190</v>
      </c>
      <c r="HK788" s="319" t="s">
        <v>190</v>
      </c>
      <c r="HL788" s="319" t="s">
        <v>428</v>
      </c>
      <c r="HM788" s="319" t="s">
        <v>428</v>
      </c>
      <c r="HN788" s="319" t="s">
        <v>428</v>
      </c>
      <c r="HO788" s="319" t="s">
        <v>428</v>
      </c>
      <c r="HP788" s="319" t="s">
        <v>190</v>
      </c>
      <c r="HQ788" s="319" t="s">
        <v>190</v>
      </c>
      <c r="HR788" s="319" t="s">
        <v>190</v>
      </c>
      <c r="HS788" s="319" t="s">
        <v>190</v>
      </c>
      <c r="HT788" s="319" t="s">
        <v>190</v>
      </c>
      <c r="HU788" s="319" t="s">
        <v>190</v>
      </c>
      <c r="HV788" s="319" t="s">
        <v>190</v>
      </c>
      <c r="HW788" s="319" t="s">
        <v>190</v>
      </c>
      <c r="HX788" s="319" t="s">
        <v>190</v>
      </c>
      <c r="HY788" s="319" t="s">
        <v>190</v>
      </c>
      <c r="HZ788" s="319" t="s">
        <v>190</v>
      </c>
      <c r="IA788" s="319" t="s">
        <v>190</v>
      </c>
      <c r="IB788" s="319" t="s">
        <v>190</v>
      </c>
      <c r="IC788" s="319" t="s">
        <v>190</v>
      </c>
      <c r="ID788" s="319" t="s">
        <v>190</v>
      </c>
      <c r="IE788" s="319" t="s">
        <v>190</v>
      </c>
      <c r="IF788" s="319" t="s">
        <v>190</v>
      </c>
      <c r="IG788" s="319" t="s">
        <v>190</v>
      </c>
      <c r="IH788" s="319" t="s">
        <v>190</v>
      </c>
      <c r="II788" s="319" t="s">
        <v>190</v>
      </c>
      <c r="IJ788" s="319">
        <v>10035814</v>
      </c>
      <c r="IK788" s="321">
        <v>42990</v>
      </c>
      <c r="IL788" s="321">
        <v>42992</v>
      </c>
      <c r="IM788" s="321">
        <v>43021</v>
      </c>
      <c r="IN788" s="319">
        <v>2</v>
      </c>
      <c r="IO788" s="319" t="s">
        <v>173</v>
      </c>
      <c r="IP788" s="319" t="s">
        <v>173</v>
      </c>
      <c r="IQ788" s="321" t="s">
        <v>173</v>
      </c>
      <c r="IR788" s="320" t="s">
        <v>173</v>
      </c>
      <c r="IS788" s="322" t="s">
        <v>173</v>
      </c>
      <c r="IT788" s="319" t="s">
        <v>173</v>
      </c>
    </row>
    <row r="789" spans="1:254" s="271" customFormat="1" x14ac:dyDescent="0.25">
      <c r="A789" s="318" t="str">
        <f>HYPERLINK("http://www.ofsted.gov.uk/inspection-reports/find-inspection-report/provider/ELS/141315 ","Ofsted School Webpage")</f>
        <v>Ofsted School Webpage</v>
      </c>
      <c r="B789" s="319">
        <v>141315</v>
      </c>
      <c r="C789" s="319">
        <v>2036004</v>
      </c>
      <c r="D789" s="319" t="s">
        <v>2290</v>
      </c>
      <c r="E789" s="319" t="s">
        <v>167</v>
      </c>
      <c r="F789" s="319" t="s">
        <v>81</v>
      </c>
      <c r="G789" s="319" t="s">
        <v>81</v>
      </c>
      <c r="H789" s="319" t="s">
        <v>81</v>
      </c>
      <c r="I789" s="319" t="s">
        <v>78</v>
      </c>
      <c r="J789" s="319" t="s">
        <v>424</v>
      </c>
      <c r="K789" s="319" t="s">
        <v>441</v>
      </c>
      <c r="L789" s="319" t="s">
        <v>441</v>
      </c>
      <c r="M789" s="319" t="s">
        <v>731</v>
      </c>
      <c r="N789" s="319" t="s">
        <v>3145</v>
      </c>
      <c r="O789" s="319" t="s">
        <v>2291</v>
      </c>
      <c r="P789" s="319">
        <v>14</v>
      </c>
      <c r="Q789" s="319" t="s">
        <v>2766</v>
      </c>
      <c r="R789" s="320">
        <v>10092526</v>
      </c>
      <c r="S789" s="321">
        <v>43781</v>
      </c>
      <c r="T789" s="321">
        <v>43783</v>
      </c>
      <c r="U789" s="321">
        <v>43815</v>
      </c>
      <c r="V789" s="319" t="s">
        <v>425</v>
      </c>
      <c r="W789" s="319" t="s">
        <v>2767</v>
      </c>
      <c r="X789" s="319">
        <v>2</v>
      </c>
      <c r="Y789" s="319">
        <v>2</v>
      </c>
      <c r="Z789" s="319">
        <v>2</v>
      </c>
      <c r="AA789" s="319">
        <v>2</v>
      </c>
      <c r="AB789" s="319">
        <v>2</v>
      </c>
      <c r="AC789" s="319" t="s">
        <v>169</v>
      </c>
      <c r="AD789" s="319" t="s">
        <v>173</v>
      </c>
      <c r="AE789" s="319" t="s">
        <v>173</v>
      </c>
      <c r="AF789" s="319" t="s">
        <v>427</v>
      </c>
      <c r="AG789" s="319" t="s">
        <v>171</v>
      </c>
      <c r="AH789" s="319" t="s">
        <v>190</v>
      </c>
      <c r="AI789" s="319" t="s">
        <v>190</v>
      </c>
      <c r="AJ789" s="319" t="s">
        <v>190</v>
      </c>
      <c r="AK789" s="319" t="s">
        <v>190</v>
      </c>
      <c r="AL789" s="319" t="s">
        <v>190</v>
      </c>
      <c r="AM789" s="319" t="s">
        <v>190</v>
      </c>
      <c r="AN789" s="319" t="s">
        <v>190</v>
      </c>
      <c r="AO789" s="319" t="s">
        <v>190</v>
      </c>
      <c r="AP789" s="319" t="s">
        <v>190</v>
      </c>
      <c r="AQ789" s="319" t="s">
        <v>190</v>
      </c>
      <c r="AR789" s="319" t="s">
        <v>190</v>
      </c>
      <c r="AS789" s="319" t="s">
        <v>190</v>
      </c>
      <c r="AT789" s="319" t="s">
        <v>190</v>
      </c>
      <c r="AU789" s="319" t="s">
        <v>190</v>
      </c>
      <c r="AV789" s="319" t="s">
        <v>190</v>
      </c>
      <c r="AW789" s="319" t="s">
        <v>190</v>
      </c>
      <c r="AX789" s="319" t="s">
        <v>190</v>
      </c>
      <c r="AY789" s="319" t="s">
        <v>190</v>
      </c>
      <c r="AZ789" s="319" t="s">
        <v>190</v>
      </c>
      <c r="BA789" s="319" t="s">
        <v>190</v>
      </c>
      <c r="BB789" s="319" t="s">
        <v>190</v>
      </c>
      <c r="BC789" s="319" t="s">
        <v>190</v>
      </c>
      <c r="BD789" s="319" t="s">
        <v>190</v>
      </c>
      <c r="BE789" s="319" t="s">
        <v>190</v>
      </c>
      <c r="BF789" s="319" t="s">
        <v>428</v>
      </c>
      <c r="BG789" s="319" t="s">
        <v>190</v>
      </c>
      <c r="BH789" s="319" t="s">
        <v>190</v>
      </c>
      <c r="BI789" s="319" t="s">
        <v>190</v>
      </c>
      <c r="BJ789" s="319" t="s">
        <v>190</v>
      </c>
      <c r="BK789" s="319" t="s">
        <v>190</v>
      </c>
      <c r="BL789" s="319" t="s">
        <v>190</v>
      </c>
      <c r="BM789" s="319" t="s">
        <v>190</v>
      </c>
      <c r="BN789" s="319" t="s">
        <v>190</v>
      </c>
      <c r="BO789" s="319" t="s">
        <v>190</v>
      </c>
      <c r="BP789" s="319" t="s">
        <v>190</v>
      </c>
      <c r="BQ789" s="319" t="s">
        <v>190</v>
      </c>
      <c r="BR789" s="319" t="s">
        <v>190</v>
      </c>
      <c r="BS789" s="319" t="s">
        <v>190</v>
      </c>
      <c r="BT789" s="319" t="s">
        <v>190</v>
      </c>
      <c r="BU789" s="319" t="s">
        <v>190</v>
      </c>
      <c r="BV789" s="319" t="s">
        <v>190</v>
      </c>
      <c r="BW789" s="319" t="s">
        <v>190</v>
      </c>
      <c r="BX789" s="319" t="s">
        <v>190</v>
      </c>
      <c r="BY789" s="319" t="s">
        <v>190</v>
      </c>
      <c r="BZ789" s="319" t="s">
        <v>190</v>
      </c>
      <c r="CA789" s="319" t="s">
        <v>190</v>
      </c>
      <c r="CB789" s="319" t="s">
        <v>190</v>
      </c>
      <c r="CC789" s="319" t="s">
        <v>190</v>
      </c>
      <c r="CD789" s="319" t="s">
        <v>190</v>
      </c>
      <c r="CE789" s="319" t="s">
        <v>190</v>
      </c>
      <c r="CF789" s="319" t="s">
        <v>190</v>
      </c>
      <c r="CG789" s="319" t="s">
        <v>190</v>
      </c>
      <c r="CH789" s="319" t="s">
        <v>190</v>
      </c>
      <c r="CI789" s="319" t="s">
        <v>190</v>
      </c>
      <c r="CJ789" s="319" t="s">
        <v>190</v>
      </c>
      <c r="CK789" s="319" t="s">
        <v>190</v>
      </c>
      <c r="CL789" s="319" t="s">
        <v>190</v>
      </c>
      <c r="CM789" s="319" t="s">
        <v>190</v>
      </c>
      <c r="CN789" s="319" t="s">
        <v>428</v>
      </c>
      <c r="CO789" s="319" t="s">
        <v>428</v>
      </c>
      <c r="CP789" s="319" t="s">
        <v>428</v>
      </c>
      <c r="CQ789" s="319" t="s">
        <v>190</v>
      </c>
      <c r="CR789" s="319" t="s">
        <v>190</v>
      </c>
      <c r="CS789" s="319" t="s">
        <v>190</v>
      </c>
      <c r="CT789" s="319" t="s">
        <v>190</v>
      </c>
      <c r="CU789" s="319" t="s">
        <v>190</v>
      </c>
      <c r="CV789" s="319" t="s">
        <v>190</v>
      </c>
      <c r="CW789" s="319" t="s">
        <v>190</v>
      </c>
      <c r="CX789" s="319" t="s">
        <v>190</v>
      </c>
      <c r="CY789" s="319" t="s">
        <v>190</v>
      </c>
      <c r="CZ789" s="319" t="s">
        <v>190</v>
      </c>
      <c r="DA789" s="319" t="s">
        <v>190</v>
      </c>
      <c r="DB789" s="319" t="s">
        <v>190</v>
      </c>
      <c r="DC789" s="319" t="s">
        <v>190</v>
      </c>
      <c r="DD789" s="319" t="s">
        <v>190</v>
      </c>
      <c r="DE789" s="319" t="s">
        <v>190</v>
      </c>
      <c r="DF789" s="319" t="s">
        <v>190</v>
      </c>
      <c r="DG789" s="319" t="s">
        <v>190</v>
      </c>
      <c r="DH789" s="319" t="s">
        <v>190</v>
      </c>
      <c r="DI789" s="319" t="s">
        <v>190</v>
      </c>
      <c r="DJ789" s="319" t="s">
        <v>190</v>
      </c>
      <c r="DK789" s="319" t="s">
        <v>190</v>
      </c>
      <c r="DL789" s="319" t="s">
        <v>190</v>
      </c>
      <c r="DM789" s="319" t="s">
        <v>190</v>
      </c>
      <c r="DN789" s="319" t="s">
        <v>428</v>
      </c>
      <c r="DO789" s="319" t="s">
        <v>190</v>
      </c>
      <c r="DP789" s="319" t="s">
        <v>428</v>
      </c>
      <c r="DQ789" s="319" t="s">
        <v>428</v>
      </c>
      <c r="DR789" s="319" t="s">
        <v>428</v>
      </c>
      <c r="DS789" s="319" t="s">
        <v>428</v>
      </c>
      <c r="DT789" s="319" t="s">
        <v>428</v>
      </c>
      <c r="DU789" s="319" t="s">
        <v>428</v>
      </c>
      <c r="DV789" s="319" t="s">
        <v>428</v>
      </c>
      <c r="DW789" s="319" t="s">
        <v>428</v>
      </c>
      <c r="DX789" s="319" t="s">
        <v>428</v>
      </c>
      <c r="DY789" s="319" t="s">
        <v>428</v>
      </c>
      <c r="DZ789" s="319" t="s">
        <v>428</v>
      </c>
      <c r="EA789" s="319" t="s">
        <v>428</v>
      </c>
      <c r="EB789" s="319" t="s">
        <v>428</v>
      </c>
      <c r="EC789" s="319" t="s">
        <v>428</v>
      </c>
      <c r="ED789" s="319" t="s">
        <v>428</v>
      </c>
      <c r="EE789" s="319" t="s">
        <v>190</v>
      </c>
      <c r="EF789" s="319" t="s">
        <v>190</v>
      </c>
      <c r="EG789" s="319" t="s">
        <v>190</v>
      </c>
      <c r="EH789" s="319" t="s">
        <v>190</v>
      </c>
      <c r="EI789" s="319" t="s">
        <v>190</v>
      </c>
      <c r="EJ789" s="319" t="s">
        <v>190</v>
      </c>
      <c r="EK789" s="319" t="s">
        <v>190</v>
      </c>
      <c r="EL789" s="319" t="s">
        <v>190</v>
      </c>
      <c r="EM789" s="319" t="s">
        <v>190</v>
      </c>
      <c r="EN789" s="319" t="s">
        <v>190</v>
      </c>
      <c r="EO789" s="319" t="s">
        <v>190</v>
      </c>
      <c r="EP789" s="319" t="s">
        <v>190</v>
      </c>
      <c r="EQ789" s="319" t="s">
        <v>190</v>
      </c>
      <c r="ER789" s="319" t="s">
        <v>190</v>
      </c>
      <c r="ES789" s="319" t="s">
        <v>190</v>
      </c>
      <c r="ET789" s="319" t="s">
        <v>190</v>
      </c>
      <c r="EU789" s="319" t="s">
        <v>190</v>
      </c>
      <c r="EV789" s="319" t="s">
        <v>190</v>
      </c>
      <c r="EW789" s="319" t="s">
        <v>190</v>
      </c>
      <c r="EX789" s="319" t="s">
        <v>190</v>
      </c>
      <c r="EY789" s="319" t="s">
        <v>190</v>
      </c>
      <c r="EZ789" s="319" t="s">
        <v>190</v>
      </c>
      <c r="FA789" s="319" t="s">
        <v>428</v>
      </c>
      <c r="FB789" s="319" t="s">
        <v>428</v>
      </c>
      <c r="FC789" s="319" t="s">
        <v>428</v>
      </c>
      <c r="FD789" s="319" t="s">
        <v>428</v>
      </c>
      <c r="FE789" s="319" t="s">
        <v>428</v>
      </c>
      <c r="FF789" s="319" t="s">
        <v>428</v>
      </c>
      <c r="FG789" s="319" t="s">
        <v>428</v>
      </c>
      <c r="FH789" s="319" t="s">
        <v>190</v>
      </c>
      <c r="FI789" s="319" t="s">
        <v>428</v>
      </c>
      <c r="FJ789" s="319" t="s">
        <v>190</v>
      </c>
      <c r="FK789" s="319" t="s">
        <v>190</v>
      </c>
      <c r="FL789" s="319" t="s">
        <v>190</v>
      </c>
      <c r="FM789" s="319" t="s">
        <v>190</v>
      </c>
      <c r="FN789" s="319" t="s">
        <v>190</v>
      </c>
      <c r="FO789" s="319" t="s">
        <v>190</v>
      </c>
      <c r="FP789" s="319" t="s">
        <v>190</v>
      </c>
      <c r="FQ789" s="319" t="s">
        <v>190</v>
      </c>
      <c r="FR789" s="319" t="s">
        <v>190</v>
      </c>
      <c r="FS789" s="319" t="s">
        <v>428</v>
      </c>
      <c r="FT789" s="319" t="s">
        <v>190</v>
      </c>
      <c r="FU789" s="319" t="s">
        <v>190</v>
      </c>
      <c r="FV789" s="319" t="s">
        <v>190</v>
      </c>
      <c r="FW789" s="319" t="s">
        <v>190</v>
      </c>
      <c r="FX789" s="319" t="s">
        <v>190</v>
      </c>
      <c r="FY789" s="319" t="s">
        <v>190</v>
      </c>
      <c r="FZ789" s="319" t="s">
        <v>190</v>
      </c>
      <c r="GA789" s="319" t="s">
        <v>190</v>
      </c>
      <c r="GB789" s="319" t="s">
        <v>190</v>
      </c>
      <c r="GC789" s="319" t="s">
        <v>190</v>
      </c>
      <c r="GD789" s="319" t="s">
        <v>190</v>
      </c>
      <c r="GE789" s="319" t="s">
        <v>190</v>
      </c>
      <c r="GF789" s="319" t="s">
        <v>190</v>
      </c>
      <c r="GG789" s="319" t="s">
        <v>190</v>
      </c>
      <c r="GH789" s="319" t="s">
        <v>190</v>
      </c>
      <c r="GI789" s="319" t="s">
        <v>190</v>
      </c>
      <c r="GJ789" s="319" t="s">
        <v>428</v>
      </c>
      <c r="GK789" s="319" t="s">
        <v>428</v>
      </c>
      <c r="GL789" s="319" t="s">
        <v>190</v>
      </c>
      <c r="GM789" s="319" t="s">
        <v>190</v>
      </c>
      <c r="GN789" s="319" t="s">
        <v>190</v>
      </c>
      <c r="GO789" s="319" t="s">
        <v>190</v>
      </c>
      <c r="GP789" s="319" t="s">
        <v>190</v>
      </c>
      <c r="GQ789" s="319" t="s">
        <v>190</v>
      </c>
      <c r="GR789" s="319" t="s">
        <v>190</v>
      </c>
      <c r="GS789" s="319" t="s">
        <v>190</v>
      </c>
      <c r="GT789" s="319" t="s">
        <v>190</v>
      </c>
      <c r="GU789" s="319" t="s">
        <v>190</v>
      </c>
      <c r="GV789" s="319" t="s">
        <v>190</v>
      </c>
      <c r="GW789" s="319" t="s">
        <v>190</v>
      </c>
      <c r="GX789" s="319" t="s">
        <v>190</v>
      </c>
      <c r="GY789" s="319" t="s">
        <v>190</v>
      </c>
      <c r="GZ789" s="319" t="s">
        <v>190</v>
      </c>
      <c r="HA789" s="319" t="s">
        <v>428</v>
      </c>
      <c r="HB789" s="319" t="s">
        <v>428</v>
      </c>
      <c r="HC789" s="319" t="s">
        <v>190</v>
      </c>
      <c r="HD789" s="319" t="s">
        <v>190</v>
      </c>
      <c r="HE789" s="319" t="s">
        <v>190</v>
      </c>
      <c r="HF789" s="319" t="s">
        <v>190</v>
      </c>
      <c r="HG789" s="319" t="s">
        <v>190</v>
      </c>
      <c r="HH789" s="319" t="s">
        <v>190</v>
      </c>
      <c r="HI789" s="319" t="s">
        <v>190</v>
      </c>
      <c r="HJ789" s="319" t="s">
        <v>190</v>
      </c>
      <c r="HK789" s="319" t="s">
        <v>190</v>
      </c>
      <c r="HL789" s="319" t="s">
        <v>190</v>
      </c>
      <c r="HM789" s="319" t="s">
        <v>190</v>
      </c>
      <c r="HN789" s="319" t="s">
        <v>190</v>
      </c>
      <c r="HO789" s="319" t="s">
        <v>190</v>
      </c>
      <c r="HP789" s="319" t="s">
        <v>190</v>
      </c>
      <c r="HQ789" s="319" t="s">
        <v>190</v>
      </c>
      <c r="HR789" s="319" t="s">
        <v>190</v>
      </c>
      <c r="HS789" s="319" t="s">
        <v>190</v>
      </c>
      <c r="HT789" s="319" t="s">
        <v>190</v>
      </c>
      <c r="HU789" s="319" t="s">
        <v>190</v>
      </c>
      <c r="HV789" s="319" t="s">
        <v>190</v>
      </c>
      <c r="HW789" s="319" t="s">
        <v>190</v>
      </c>
      <c r="HX789" s="319" t="s">
        <v>190</v>
      </c>
      <c r="HY789" s="319" t="s">
        <v>190</v>
      </c>
      <c r="HZ789" s="319" t="s">
        <v>190</v>
      </c>
      <c r="IA789" s="319" t="s">
        <v>190</v>
      </c>
      <c r="IB789" s="319" t="s">
        <v>190</v>
      </c>
      <c r="IC789" s="319" t="s">
        <v>190</v>
      </c>
      <c r="ID789" s="319" t="s">
        <v>190</v>
      </c>
      <c r="IE789" s="319" t="s">
        <v>190</v>
      </c>
      <c r="IF789" s="319" t="s">
        <v>190</v>
      </c>
      <c r="IG789" s="319" t="s">
        <v>190</v>
      </c>
      <c r="IH789" s="319" t="s">
        <v>190</v>
      </c>
      <c r="II789" s="319" t="s">
        <v>190</v>
      </c>
      <c r="IJ789" s="319">
        <v>10035815</v>
      </c>
      <c r="IK789" s="321">
        <v>43011</v>
      </c>
      <c r="IL789" s="321">
        <v>43013</v>
      </c>
      <c r="IM789" s="321">
        <v>43061</v>
      </c>
      <c r="IN789" s="319">
        <v>3</v>
      </c>
      <c r="IO789" s="319" t="s">
        <v>173</v>
      </c>
      <c r="IP789" s="319" t="s">
        <v>173</v>
      </c>
      <c r="IQ789" s="321" t="s">
        <v>173</v>
      </c>
      <c r="IR789" s="320" t="s">
        <v>173</v>
      </c>
      <c r="IS789" s="322" t="s">
        <v>173</v>
      </c>
      <c r="IT789" s="319" t="s">
        <v>173</v>
      </c>
    </row>
    <row r="790" spans="1:254" s="271" customFormat="1" x14ac:dyDescent="0.25">
      <c r="A790" s="318" t="str">
        <f>HYPERLINK("http://www.ofsted.gov.uk/inspection-reports/find-inspection-report/provider/ELS/141411 ","Ofsted School Webpage")</f>
        <v>Ofsted School Webpage</v>
      </c>
      <c r="B790" s="319">
        <v>141411</v>
      </c>
      <c r="C790" s="319">
        <v>3206005</v>
      </c>
      <c r="D790" s="319" t="s">
        <v>891</v>
      </c>
      <c r="E790" s="319" t="s">
        <v>167</v>
      </c>
      <c r="F790" s="319" t="s">
        <v>81</v>
      </c>
      <c r="G790" s="319" t="s">
        <v>81</v>
      </c>
      <c r="H790" s="319" t="s">
        <v>81</v>
      </c>
      <c r="I790" s="319" t="s">
        <v>78</v>
      </c>
      <c r="J790" s="319" t="s">
        <v>424</v>
      </c>
      <c r="K790" s="319" t="s">
        <v>441</v>
      </c>
      <c r="L790" s="319" t="s">
        <v>441</v>
      </c>
      <c r="M790" s="319" t="s">
        <v>592</v>
      </c>
      <c r="N790" s="319" t="s">
        <v>3224</v>
      </c>
      <c r="O790" s="319" t="s">
        <v>892</v>
      </c>
      <c r="P790" s="319">
        <v>7</v>
      </c>
      <c r="Q790" s="319" t="s">
        <v>2766</v>
      </c>
      <c r="R790" s="320">
        <v>10067217</v>
      </c>
      <c r="S790" s="321">
        <v>43494</v>
      </c>
      <c r="T790" s="321">
        <v>43496</v>
      </c>
      <c r="U790" s="321">
        <v>43527</v>
      </c>
      <c r="V790" s="319" t="s">
        <v>425</v>
      </c>
      <c r="W790" s="319" t="s">
        <v>2767</v>
      </c>
      <c r="X790" s="319">
        <v>2</v>
      </c>
      <c r="Y790" s="319" t="s">
        <v>173</v>
      </c>
      <c r="Z790" s="319" t="s">
        <v>173</v>
      </c>
      <c r="AA790" s="319" t="s">
        <v>173</v>
      </c>
      <c r="AB790" s="319">
        <v>2</v>
      </c>
      <c r="AC790" s="319" t="s">
        <v>169</v>
      </c>
      <c r="AD790" s="319" t="s">
        <v>173</v>
      </c>
      <c r="AE790" s="319" t="s">
        <v>173</v>
      </c>
      <c r="AF790" s="319" t="s">
        <v>447</v>
      </c>
      <c r="AG790" s="319" t="s">
        <v>171</v>
      </c>
      <c r="AH790" s="319" t="s">
        <v>190</v>
      </c>
      <c r="AI790" s="319" t="s">
        <v>190</v>
      </c>
      <c r="AJ790" s="319" t="s">
        <v>190</v>
      </c>
      <c r="AK790" s="319" t="s">
        <v>190</v>
      </c>
      <c r="AL790" s="319" t="s">
        <v>190</v>
      </c>
      <c r="AM790" s="319" t="s">
        <v>190</v>
      </c>
      <c r="AN790" s="319" t="s">
        <v>190</v>
      </c>
      <c r="AO790" s="319" t="s">
        <v>190</v>
      </c>
      <c r="AP790" s="319" t="s">
        <v>190</v>
      </c>
      <c r="AQ790" s="319" t="s">
        <v>190</v>
      </c>
      <c r="AR790" s="319" t="s">
        <v>190</v>
      </c>
      <c r="AS790" s="319" t="s">
        <v>190</v>
      </c>
      <c r="AT790" s="319" t="s">
        <v>190</v>
      </c>
      <c r="AU790" s="319" t="s">
        <v>190</v>
      </c>
      <c r="AV790" s="319" t="s">
        <v>190</v>
      </c>
      <c r="AW790" s="319" t="s">
        <v>190</v>
      </c>
      <c r="AX790" s="319" t="s">
        <v>428</v>
      </c>
      <c r="AY790" s="319" t="s">
        <v>190</v>
      </c>
      <c r="AZ790" s="319" t="s">
        <v>190</v>
      </c>
      <c r="BA790" s="319" t="s">
        <v>190</v>
      </c>
      <c r="BB790" s="319" t="s">
        <v>190</v>
      </c>
      <c r="BC790" s="319" t="s">
        <v>190</v>
      </c>
      <c r="BD790" s="319" t="s">
        <v>190</v>
      </c>
      <c r="BE790" s="319" t="s">
        <v>190</v>
      </c>
      <c r="BF790" s="319" t="s">
        <v>428</v>
      </c>
      <c r="BG790" s="319" t="s">
        <v>428</v>
      </c>
      <c r="BH790" s="319" t="s">
        <v>190</v>
      </c>
      <c r="BI790" s="319" t="s">
        <v>190</v>
      </c>
      <c r="BJ790" s="319" t="s">
        <v>190</v>
      </c>
      <c r="BK790" s="319" t="s">
        <v>190</v>
      </c>
      <c r="BL790" s="319" t="s">
        <v>190</v>
      </c>
      <c r="BM790" s="319" t="s">
        <v>190</v>
      </c>
      <c r="BN790" s="319" t="s">
        <v>190</v>
      </c>
      <c r="BO790" s="319" t="s">
        <v>190</v>
      </c>
      <c r="BP790" s="319" t="s">
        <v>190</v>
      </c>
      <c r="BQ790" s="319" t="s">
        <v>190</v>
      </c>
      <c r="BR790" s="319" t="s">
        <v>190</v>
      </c>
      <c r="BS790" s="319" t="s">
        <v>190</v>
      </c>
      <c r="BT790" s="319" t="s">
        <v>190</v>
      </c>
      <c r="BU790" s="319" t="s">
        <v>190</v>
      </c>
      <c r="BV790" s="319" t="s">
        <v>190</v>
      </c>
      <c r="BW790" s="319" t="s">
        <v>190</v>
      </c>
      <c r="BX790" s="319" t="s">
        <v>190</v>
      </c>
      <c r="BY790" s="319" t="s">
        <v>190</v>
      </c>
      <c r="BZ790" s="319" t="s">
        <v>190</v>
      </c>
      <c r="CA790" s="319" t="s">
        <v>190</v>
      </c>
      <c r="CB790" s="319" t="s">
        <v>190</v>
      </c>
      <c r="CC790" s="319" t="s">
        <v>190</v>
      </c>
      <c r="CD790" s="319" t="s">
        <v>190</v>
      </c>
      <c r="CE790" s="319" t="s">
        <v>190</v>
      </c>
      <c r="CF790" s="319" t="s">
        <v>190</v>
      </c>
      <c r="CG790" s="319" t="s">
        <v>190</v>
      </c>
      <c r="CH790" s="319" t="s">
        <v>190</v>
      </c>
      <c r="CI790" s="319" t="s">
        <v>190</v>
      </c>
      <c r="CJ790" s="319" t="s">
        <v>190</v>
      </c>
      <c r="CK790" s="319" t="s">
        <v>190</v>
      </c>
      <c r="CL790" s="319" t="s">
        <v>190</v>
      </c>
      <c r="CM790" s="319" t="s">
        <v>190</v>
      </c>
      <c r="CN790" s="319" t="s">
        <v>428</v>
      </c>
      <c r="CO790" s="319" t="s">
        <v>428</v>
      </c>
      <c r="CP790" s="319" t="s">
        <v>428</v>
      </c>
      <c r="CQ790" s="319" t="s">
        <v>190</v>
      </c>
      <c r="CR790" s="319" t="s">
        <v>190</v>
      </c>
      <c r="CS790" s="319" t="s">
        <v>190</v>
      </c>
      <c r="CT790" s="319" t="s">
        <v>190</v>
      </c>
      <c r="CU790" s="319" t="s">
        <v>190</v>
      </c>
      <c r="CV790" s="319" t="s">
        <v>190</v>
      </c>
      <c r="CW790" s="319" t="s">
        <v>190</v>
      </c>
      <c r="CX790" s="319" t="s">
        <v>190</v>
      </c>
      <c r="CY790" s="319" t="s">
        <v>190</v>
      </c>
      <c r="CZ790" s="319" t="s">
        <v>190</v>
      </c>
      <c r="DA790" s="319" t="s">
        <v>190</v>
      </c>
      <c r="DB790" s="319" t="s">
        <v>190</v>
      </c>
      <c r="DC790" s="319" t="s">
        <v>190</v>
      </c>
      <c r="DD790" s="319" t="s">
        <v>190</v>
      </c>
      <c r="DE790" s="319" t="s">
        <v>190</v>
      </c>
      <c r="DF790" s="319" t="s">
        <v>190</v>
      </c>
      <c r="DG790" s="319" t="s">
        <v>190</v>
      </c>
      <c r="DH790" s="319" t="s">
        <v>190</v>
      </c>
      <c r="DI790" s="319" t="s">
        <v>190</v>
      </c>
      <c r="DJ790" s="319" t="s">
        <v>190</v>
      </c>
      <c r="DK790" s="319" t="s">
        <v>190</v>
      </c>
      <c r="DL790" s="319" t="s">
        <v>190</v>
      </c>
      <c r="DM790" s="319" t="s">
        <v>190</v>
      </c>
      <c r="DN790" s="319" t="s">
        <v>428</v>
      </c>
      <c r="DO790" s="319" t="s">
        <v>190</v>
      </c>
      <c r="DP790" s="319" t="s">
        <v>190</v>
      </c>
      <c r="DQ790" s="319" t="s">
        <v>190</v>
      </c>
      <c r="DR790" s="319" t="s">
        <v>190</v>
      </c>
      <c r="DS790" s="319" t="s">
        <v>190</v>
      </c>
      <c r="DT790" s="319" t="s">
        <v>190</v>
      </c>
      <c r="DU790" s="319" t="s">
        <v>190</v>
      </c>
      <c r="DV790" s="319" t="s">
        <v>173</v>
      </c>
      <c r="DW790" s="319" t="s">
        <v>190</v>
      </c>
      <c r="DX790" s="319" t="s">
        <v>190</v>
      </c>
      <c r="DY790" s="319" t="s">
        <v>190</v>
      </c>
      <c r="DZ790" s="319" t="s">
        <v>190</v>
      </c>
      <c r="EA790" s="319" t="s">
        <v>190</v>
      </c>
      <c r="EB790" s="319" t="s">
        <v>190</v>
      </c>
      <c r="EC790" s="319" t="s">
        <v>190</v>
      </c>
      <c r="ED790" s="319" t="s">
        <v>190</v>
      </c>
      <c r="EE790" s="319" t="s">
        <v>190</v>
      </c>
      <c r="EF790" s="319" t="s">
        <v>190</v>
      </c>
      <c r="EG790" s="319" t="s">
        <v>190</v>
      </c>
      <c r="EH790" s="319" t="s">
        <v>190</v>
      </c>
      <c r="EI790" s="319" t="s">
        <v>190</v>
      </c>
      <c r="EJ790" s="319" t="s">
        <v>190</v>
      </c>
      <c r="EK790" s="319" t="s">
        <v>190</v>
      </c>
      <c r="EL790" s="319" t="s">
        <v>190</v>
      </c>
      <c r="EM790" s="319" t="s">
        <v>190</v>
      </c>
      <c r="EN790" s="319" t="s">
        <v>190</v>
      </c>
      <c r="EO790" s="319" t="s">
        <v>190</v>
      </c>
      <c r="EP790" s="319" t="s">
        <v>190</v>
      </c>
      <c r="EQ790" s="319" t="s">
        <v>190</v>
      </c>
      <c r="ER790" s="319" t="s">
        <v>190</v>
      </c>
      <c r="ES790" s="319" t="s">
        <v>190</v>
      </c>
      <c r="ET790" s="319" t="s">
        <v>190</v>
      </c>
      <c r="EU790" s="319" t="s">
        <v>190</v>
      </c>
      <c r="EV790" s="319" t="s">
        <v>190</v>
      </c>
      <c r="EW790" s="319" t="s">
        <v>190</v>
      </c>
      <c r="EX790" s="319" t="s">
        <v>190</v>
      </c>
      <c r="EY790" s="319" t="s">
        <v>190</v>
      </c>
      <c r="EZ790" s="319" t="s">
        <v>190</v>
      </c>
      <c r="FA790" s="319" t="s">
        <v>190</v>
      </c>
      <c r="FB790" s="319" t="s">
        <v>190</v>
      </c>
      <c r="FC790" s="319" t="s">
        <v>190</v>
      </c>
      <c r="FD790" s="319" t="s">
        <v>190</v>
      </c>
      <c r="FE790" s="319" t="s">
        <v>190</v>
      </c>
      <c r="FF790" s="319" t="s">
        <v>190</v>
      </c>
      <c r="FG790" s="319" t="s">
        <v>190</v>
      </c>
      <c r="FH790" s="319" t="s">
        <v>190</v>
      </c>
      <c r="FI790" s="319" t="s">
        <v>190</v>
      </c>
      <c r="FJ790" s="319" t="s">
        <v>190</v>
      </c>
      <c r="FK790" s="319" t="s">
        <v>190</v>
      </c>
      <c r="FL790" s="319" t="s">
        <v>190</v>
      </c>
      <c r="FM790" s="319" t="s">
        <v>190</v>
      </c>
      <c r="FN790" s="319" t="s">
        <v>190</v>
      </c>
      <c r="FO790" s="319" t="s">
        <v>190</v>
      </c>
      <c r="FP790" s="319" t="s">
        <v>190</v>
      </c>
      <c r="FQ790" s="319" t="s">
        <v>190</v>
      </c>
      <c r="FR790" s="319" t="s">
        <v>190</v>
      </c>
      <c r="FS790" s="319" t="s">
        <v>428</v>
      </c>
      <c r="FT790" s="319" t="s">
        <v>190</v>
      </c>
      <c r="FU790" s="319" t="s">
        <v>190</v>
      </c>
      <c r="FV790" s="319" t="s">
        <v>190</v>
      </c>
      <c r="FW790" s="319" t="s">
        <v>190</v>
      </c>
      <c r="FX790" s="319" t="s">
        <v>190</v>
      </c>
      <c r="FY790" s="319" t="s">
        <v>190</v>
      </c>
      <c r="FZ790" s="319" t="s">
        <v>190</v>
      </c>
      <c r="GA790" s="319" t="s">
        <v>190</v>
      </c>
      <c r="GB790" s="319" t="s">
        <v>190</v>
      </c>
      <c r="GC790" s="319" t="s">
        <v>190</v>
      </c>
      <c r="GD790" s="319" t="s">
        <v>190</v>
      </c>
      <c r="GE790" s="319" t="s">
        <v>190</v>
      </c>
      <c r="GF790" s="319" t="s">
        <v>190</v>
      </c>
      <c r="GG790" s="319" t="s">
        <v>190</v>
      </c>
      <c r="GH790" s="319" t="s">
        <v>428</v>
      </c>
      <c r="GI790" s="319" t="s">
        <v>428</v>
      </c>
      <c r="GJ790" s="319" t="s">
        <v>428</v>
      </c>
      <c r="GK790" s="319" t="s">
        <v>428</v>
      </c>
      <c r="GL790" s="319" t="s">
        <v>190</v>
      </c>
      <c r="GM790" s="319" t="s">
        <v>190</v>
      </c>
      <c r="GN790" s="319" t="s">
        <v>190</v>
      </c>
      <c r="GO790" s="319" t="s">
        <v>190</v>
      </c>
      <c r="GP790" s="319" t="s">
        <v>190</v>
      </c>
      <c r="GQ790" s="319" t="s">
        <v>190</v>
      </c>
      <c r="GR790" s="319" t="s">
        <v>190</v>
      </c>
      <c r="GS790" s="319" t="s">
        <v>190</v>
      </c>
      <c r="GT790" s="319" t="s">
        <v>190</v>
      </c>
      <c r="GU790" s="319" t="s">
        <v>190</v>
      </c>
      <c r="GV790" s="319" t="s">
        <v>190</v>
      </c>
      <c r="GW790" s="319" t="s">
        <v>190</v>
      </c>
      <c r="GX790" s="319" t="s">
        <v>190</v>
      </c>
      <c r="GY790" s="319" t="s">
        <v>190</v>
      </c>
      <c r="GZ790" s="319" t="s">
        <v>190</v>
      </c>
      <c r="HA790" s="319" t="s">
        <v>428</v>
      </c>
      <c r="HB790" s="319" t="s">
        <v>428</v>
      </c>
      <c r="HC790" s="319" t="s">
        <v>190</v>
      </c>
      <c r="HD790" s="319" t="s">
        <v>190</v>
      </c>
      <c r="HE790" s="319" t="s">
        <v>190</v>
      </c>
      <c r="HF790" s="319" t="s">
        <v>190</v>
      </c>
      <c r="HG790" s="319" t="s">
        <v>190</v>
      </c>
      <c r="HH790" s="319" t="s">
        <v>190</v>
      </c>
      <c r="HI790" s="319" t="s">
        <v>190</v>
      </c>
      <c r="HJ790" s="319" t="s">
        <v>190</v>
      </c>
      <c r="HK790" s="319" t="s">
        <v>190</v>
      </c>
      <c r="HL790" s="319" t="s">
        <v>190</v>
      </c>
      <c r="HM790" s="319" t="s">
        <v>428</v>
      </c>
      <c r="HN790" s="319" t="s">
        <v>428</v>
      </c>
      <c r="HO790" s="319" t="s">
        <v>428</v>
      </c>
      <c r="HP790" s="319" t="s">
        <v>190</v>
      </c>
      <c r="HQ790" s="319" t="s">
        <v>190</v>
      </c>
      <c r="HR790" s="319" t="s">
        <v>190</v>
      </c>
      <c r="HS790" s="319" t="s">
        <v>190</v>
      </c>
      <c r="HT790" s="319" t="s">
        <v>190</v>
      </c>
      <c r="HU790" s="319" t="s">
        <v>190</v>
      </c>
      <c r="HV790" s="319" t="s">
        <v>190</v>
      </c>
      <c r="HW790" s="319" t="s">
        <v>190</v>
      </c>
      <c r="HX790" s="319" t="s">
        <v>190</v>
      </c>
      <c r="HY790" s="319" t="s">
        <v>190</v>
      </c>
      <c r="HZ790" s="319" t="s">
        <v>190</v>
      </c>
      <c r="IA790" s="319" t="s">
        <v>190</v>
      </c>
      <c r="IB790" s="319" t="s">
        <v>190</v>
      </c>
      <c r="IC790" s="319" t="s">
        <v>190</v>
      </c>
      <c r="ID790" s="319" t="s">
        <v>190</v>
      </c>
      <c r="IE790" s="319" t="s">
        <v>190</v>
      </c>
      <c r="IF790" s="319" t="s">
        <v>190</v>
      </c>
      <c r="IG790" s="319" t="s">
        <v>190</v>
      </c>
      <c r="IH790" s="319" t="s">
        <v>190</v>
      </c>
      <c r="II790" s="319" t="s">
        <v>190</v>
      </c>
      <c r="IJ790" s="319">
        <v>10006032</v>
      </c>
      <c r="IK790" s="321">
        <v>42437</v>
      </c>
      <c r="IL790" s="321">
        <v>42439</v>
      </c>
      <c r="IM790" s="321">
        <v>42478</v>
      </c>
      <c r="IN790" s="319">
        <v>2</v>
      </c>
      <c r="IO790" s="319" t="s">
        <v>173</v>
      </c>
      <c r="IP790" s="319" t="s">
        <v>173</v>
      </c>
      <c r="IQ790" s="319" t="s">
        <v>173</v>
      </c>
      <c r="IR790" s="320" t="s">
        <v>173</v>
      </c>
      <c r="IS790" s="320" t="s">
        <v>173</v>
      </c>
      <c r="IT790" s="319" t="s">
        <v>173</v>
      </c>
    </row>
    <row r="791" spans="1:254" s="271" customFormat="1" x14ac:dyDescent="0.25">
      <c r="A791" s="318" t="str">
        <f>HYPERLINK("http://www.ofsted.gov.uk/inspection-reports/find-inspection-report/provider/ELS/141501 ","Ofsted School Webpage")</f>
        <v>Ofsted School Webpage</v>
      </c>
      <c r="B791" s="319">
        <v>141501</v>
      </c>
      <c r="C791" s="319">
        <v>3336007</v>
      </c>
      <c r="D791" s="319" t="s">
        <v>686</v>
      </c>
      <c r="E791" s="319" t="s">
        <v>168</v>
      </c>
      <c r="F791" s="319" t="s">
        <v>66</v>
      </c>
      <c r="G791" s="319" t="s">
        <v>59</v>
      </c>
      <c r="H791" s="319" t="s">
        <v>66</v>
      </c>
      <c r="I791" s="319" t="s">
        <v>59</v>
      </c>
      <c r="J791" s="319" t="s">
        <v>424</v>
      </c>
      <c r="K791" s="319" t="s">
        <v>437</v>
      </c>
      <c r="L791" s="319" t="s">
        <v>437</v>
      </c>
      <c r="M791" s="319" t="s">
        <v>638</v>
      </c>
      <c r="N791" s="319" t="s">
        <v>3327</v>
      </c>
      <c r="O791" s="319" t="s">
        <v>687</v>
      </c>
      <c r="P791" s="319">
        <v>2</v>
      </c>
      <c r="Q791" s="319" t="s">
        <v>429</v>
      </c>
      <c r="R791" s="320">
        <v>10056359</v>
      </c>
      <c r="S791" s="321">
        <v>43424</v>
      </c>
      <c r="T791" s="321">
        <v>43425</v>
      </c>
      <c r="U791" s="321">
        <v>43475</v>
      </c>
      <c r="V791" s="319" t="s">
        <v>425</v>
      </c>
      <c r="W791" s="319" t="s">
        <v>2767</v>
      </c>
      <c r="X791" s="319">
        <v>4</v>
      </c>
      <c r="Y791" s="319" t="s">
        <v>173</v>
      </c>
      <c r="Z791" s="319" t="s">
        <v>173</v>
      </c>
      <c r="AA791" s="319" t="s">
        <v>173</v>
      </c>
      <c r="AB791" s="319">
        <v>4</v>
      </c>
      <c r="AC791" s="319" t="s">
        <v>170</v>
      </c>
      <c r="AD791" s="319" t="s">
        <v>173</v>
      </c>
      <c r="AE791" s="319" t="s">
        <v>173</v>
      </c>
      <c r="AF791" s="319" t="s">
        <v>427</v>
      </c>
      <c r="AG791" s="319" t="s">
        <v>172</v>
      </c>
      <c r="AH791" s="319" t="s">
        <v>479</v>
      </c>
      <c r="AI791" s="319" t="s">
        <v>479</v>
      </c>
      <c r="AJ791" s="319" t="s">
        <v>479</v>
      </c>
      <c r="AK791" s="319" t="s">
        <v>190</v>
      </c>
      <c r="AL791" s="319" t="s">
        <v>479</v>
      </c>
      <c r="AM791" s="319" t="s">
        <v>479</v>
      </c>
      <c r="AN791" s="319" t="s">
        <v>190</v>
      </c>
      <c r="AO791" s="319" t="s">
        <v>479</v>
      </c>
      <c r="AP791" s="319" t="s">
        <v>191</v>
      </c>
      <c r="AQ791" s="319" t="s">
        <v>191</v>
      </c>
      <c r="AR791" s="319" t="s">
        <v>191</v>
      </c>
      <c r="AS791" s="319" t="s">
        <v>191</v>
      </c>
      <c r="AT791" s="319" t="s">
        <v>191</v>
      </c>
      <c r="AU791" s="319" t="s">
        <v>191</v>
      </c>
      <c r="AV791" s="319" t="s">
        <v>191</v>
      </c>
      <c r="AW791" s="319" t="s">
        <v>191</v>
      </c>
      <c r="AX791" s="319" t="s">
        <v>428</v>
      </c>
      <c r="AY791" s="319" t="s">
        <v>191</v>
      </c>
      <c r="AZ791" s="319" t="s">
        <v>191</v>
      </c>
      <c r="BA791" s="319" t="s">
        <v>191</v>
      </c>
      <c r="BB791" s="319" t="s">
        <v>428</v>
      </c>
      <c r="BC791" s="319" t="s">
        <v>428</v>
      </c>
      <c r="BD791" s="319" t="s">
        <v>428</v>
      </c>
      <c r="BE791" s="319" t="s">
        <v>428</v>
      </c>
      <c r="BF791" s="319" t="s">
        <v>428</v>
      </c>
      <c r="BG791" s="319" t="s">
        <v>428</v>
      </c>
      <c r="BH791" s="319" t="s">
        <v>191</v>
      </c>
      <c r="BI791" s="319" t="s">
        <v>191</v>
      </c>
      <c r="BJ791" s="319" t="s">
        <v>191</v>
      </c>
      <c r="BK791" s="319" t="s">
        <v>191</v>
      </c>
      <c r="BL791" s="319" t="s">
        <v>191</v>
      </c>
      <c r="BM791" s="319" t="s">
        <v>191</v>
      </c>
      <c r="BN791" s="319" t="s">
        <v>191</v>
      </c>
      <c r="BO791" s="319" t="s">
        <v>191</v>
      </c>
      <c r="BP791" s="319" t="s">
        <v>191</v>
      </c>
      <c r="BQ791" s="319" t="s">
        <v>190</v>
      </c>
      <c r="BR791" s="319" t="s">
        <v>190</v>
      </c>
      <c r="BS791" s="319" t="s">
        <v>191</v>
      </c>
      <c r="BT791" s="319" t="s">
        <v>191</v>
      </c>
      <c r="BU791" s="319" t="s">
        <v>190</v>
      </c>
      <c r="BV791" s="319" t="s">
        <v>191</v>
      </c>
      <c r="BW791" s="319" t="s">
        <v>191</v>
      </c>
      <c r="BX791" s="319" t="s">
        <v>190</v>
      </c>
      <c r="BY791" s="319" t="s">
        <v>190</v>
      </c>
      <c r="BZ791" s="319" t="s">
        <v>190</v>
      </c>
      <c r="CA791" s="319" t="s">
        <v>190</v>
      </c>
      <c r="CB791" s="319" t="s">
        <v>190</v>
      </c>
      <c r="CC791" s="319" t="s">
        <v>191</v>
      </c>
      <c r="CD791" s="319" t="s">
        <v>191</v>
      </c>
      <c r="CE791" s="319" t="s">
        <v>190</v>
      </c>
      <c r="CF791" s="319" t="s">
        <v>191</v>
      </c>
      <c r="CG791" s="319" t="s">
        <v>191</v>
      </c>
      <c r="CH791" s="319" t="s">
        <v>191</v>
      </c>
      <c r="CI791" s="319" t="s">
        <v>191</v>
      </c>
      <c r="CJ791" s="319" t="s">
        <v>191</v>
      </c>
      <c r="CK791" s="319" t="s">
        <v>191</v>
      </c>
      <c r="CL791" s="319" t="s">
        <v>191</v>
      </c>
      <c r="CM791" s="319" t="s">
        <v>191</v>
      </c>
      <c r="CN791" s="319" t="s">
        <v>428</v>
      </c>
      <c r="CO791" s="319" t="s">
        <v>428</v>
      </c>
      <c r="CP791" s="319" t="s">
        <v>428</v>
      </c>
      <c r="CQ791" s="319" t="s">
        <v>190</v>
      </c>
      <c r="CR791" s="319" t="s">
        <v>190</v>
      </c>
      <c r="CS791" s="319" t="s">
        <v>190</v>
      </c>
      <c r="CT791" s="319" t="s">
        <v>190</v>
      </c>
      <c r="CU791" s="319" t="s">
        <v>190</v>
      </c>
      <c r="CV791" s="319" t="s">
        <v>191</v>
      </c>
      <c r="CW791" s="319" t="s">
        <v>191</v>
      </c>
      <c r="CX791" s="319" t="s">
        <v>191</v>
      </c>
      <c r="CY791" s="319" t="s">
        <v>191</v>
      </c>
      <c r="CZ791" s="319" t="s">
        <v>191</v>
      </c>
      <c r="DA791" s="319" t="s">
        <v>191</v>
      </c>
      <c r="DB791" s="319" t="s">
        <v>191</v>
      </c>
      <c r="DC791" s="319" t="s">
        <v>191</v>
      </c>
      <c r="DD791" s="319" t="s">
        <v>190</v>
      </c>
      <c r="DE791" s="319" t="s">
        <v>190</v>
      </c>
      <c r="DF791" s="319" t="s">
        <v>190</v>
      </c>
      <c r="DG791" s="319" t="s">
        <v>190</v>
      </c>
      <c r="DH791" s="319" t="s">
        <v>190</v>
      </c>
      <c r="DI791" s="319" t="s">
        <v>190</v>
      </c>
      <c r="DJ791" s="319" t="s">
        <v>190</v>
      </c>
      <c r="DK791" s="319" t="s">
        <v>190</v>
      </c>
      <c r="DL791" s="319" t="s">
        <v>190</v>
      </c>
      <c r="DM791" s="319" t="s">
        <v>190</v>
      </c>
      <c r="DN791" s="319" t="s">
        <v>428</v>
      </c>
      <c r="DO791" s="319" t="s">
        <v>190</v>
      </c>
      <c r="DP791" s="319" t="s">
        <v>428</v>
      </c>
      <c r="DQ791" s="319" t="s">
        <v>428</v>
      </c>
      <c r="DR791" s="319" t="s">
        <v>428</v>
      </c>
      <c r="DS791" s="319" t="s">
        <v>428</v>
      </c>
      <c r="DT791" s="319" t="s">
        <v>428</v>
      </c>
      <c r="DU791" s="319" t="s">
        <v>428</v>
      </c>
      <c r="DV791" s="319" t="s">
        <v>173</v>
      </c>
      <c r="DW791" s="319" t="s">
        <v>428</v>
      </c>
      <c r="DX791" s="319" t="s">
        <v>428</v>
      </c>
      <c r="DY791" s="319" t="s">
        <v>428</v>
      </c>
      <c r="DZ791" s="319" t="s">
        <v>428</v>
      </c>
      <c r="EA791" s="319" t="s">
        <v>428</v>
      </c>
      <c r="EB791" s="319" t="s">
        <v>428</v>
      </c>
      <c r="EC791" s="319" t="s">
        <v>428</v>
      </c>
      <c r="ED791" s="319" t="s">
        <v>428</v>
      </c>
      <c r="EE791" s="319" t="s">
        <v>190</v>
      </c>
      <c r="EF791" s="319" t="s">
        <v>190</v>
      </c>
      <c r="EG791" s="319" t="s">
        <v>190</v>
      </c>
      <c r="EH791" s="319" t="s">
        <v>190</v>
      </c>
      <c r="EI791" s="319" t="s">
        <v>190</v>
      </c>
      <c r="EJ791" s="319" t="s">
        <v>190</v>
      </c>
      <c r="EK791" s="319" t="s">
        <v>190</v>
      </c>
      <c r="EL791" s="319" t="s">
        <v>428</v>
      </c>
      <c r="EM791" s="319" t="s">
        <v>190</v>
      </c>
      <c r="EN791" s="319" t="s">
        <v>190</v>
      </c>
      <c r="EO791" s="319" t="s">
        <v>190</v>
      </c>
      <c r="EP791" s="319" t="s">
        <v>190</v>
      </c>
      <c r="EQ791" s="319" t="s">
        <v>190</v>
      </c>
      <c r="ER791" s="319" t="s">
        <v>190</v>
      </c>
      <c r="ES791" s="319" t="s">
        <v>190</v>
      </c>
      <c r="ET791" s="319" t="s">
        <v>190</v>
      </c>
      <c r="EU791" s="319" t="s">
        <v>190</v>
      </c>
      <c r="EV791" s="319" t="s">
        <v>190</v>
      </c>
      <c r="EW791" s="319" t="s">
        <v>190</v>
      </c>
      <c r="EX791" s="319" t="s">
        <v>190</v>
      </c>
      <c r="EY791" s="319" t="s">
        <v>190</v>
      </c>
      <c r="EZ791" s="319" t="s">
        <v>190</v>
      </c>
      <c r="FA791" s="319" t="s">
        <v>428</v>
      </c>
      <c r="FB791" s="319" t="s">
        <v>428</v>
      </c>
      <c r="FC791" s="319" t="s">
        <v>428</v>
      </c>
      <c r="FD791" s="319" t="s">
        <v>428</v>
      </c>
      <c r="FE791" s="319" t="s">
        <v>428</v>
      </c>
      <c r="FF791" s="319" t="s">
        <v>428</v>
      </c>
      <c r="FG791" s="319" t="s">
        <v>428</v>
      </c>
      <c r="FH791" s="319" t="s">
        <v>190</v>
      </c>
      <c r="FI791" s="319" t="s">
        <v>428</v>
      </c>
      <c r="FJ791" s="319" t="s">
        <v>190</v>
      </c>
      <c r="FK791" s="319" t="s">
        <v>190</v>
      </c>
      <c r="FL791" s="319" t="s">
        <v>191</v>
      </c>
      <c r="FM791" s="319" t="s">
        <v>191</v>
      </c>
      <c r="FN791" s="319" t="s">
        <v>190</v>
      </c>
      <c r="FO791" s="319" t="s">
        <v>428</v>
      </c>
      <c r="FP791" s="319" t="s">
        <v>190</v>
      </c>
      <c r="FQ791" s="319" t="s">
        <v>190</v>
      </c>
      <c r="FR791" s="319" t="s">
        <v>190</v>
      </c>
      <c r="FS791" s="319" t="s">
        <v>428</v>
      </c>
      <c r="FT791" s="319" t="s">
        <v>190</v>
      </c>
      <c r="FU791" s="319" t="s">
        <v>191</v>
      </c>
      <c r="FV791" s="319" t="s">
        <v>190</v>
      </c>
      <c r="FW791" s="319" t="s">
        <v>191</v>
      </c>
      <c r="FX791" s="319" t="s">
        <v>191</v>
      </c>
      <c r="FY791" s="319" t="s">
        <v>190</v>
      </c>
      <c r="FZ791" s="319" t="s">
        <v>191</v>
      </c>
      <c r="GA791" s="319" t="s">
        <v>190</v>
      </c>
      <c r="GB791" s="319" t="s">
        <v>190</v>
      </c>
      <c r="GC791" s="319" t="s">
        <v>190</v>
      </c>
      <c r="GD791" s="319" t="s">
        <v>191</v>
      </c>
      <c r="GE791" s="319" t="s">
        <v>190</v>
      </c>
      <c r="GF791" s="319" t="s">
        <v>190</v>
      </c>
      <c r="GG791" s="319" t="s">
        <v>190</v>
      </c>
      <c r="GH791" s="319" t="s">
        <v>191</v>
      </c>
      <c r="GI791" s="319" t="s">
        <v>191</v>
      </c>
      <c r="GJ791" s="319" t="s">
        <v>191</v>
      </c>
      <c r="GK791" s="319" t="s">
        <v>428</v>
      </c>
      <c r="GL791" s="319" t="s">
        <v>191</v>
      </c>
      <c r="GM791" s="319" t="s">
        <v>190</v>
      </c>
      <c r="GN791" s="319" t="s">
        <v>190</v>
      </c>
      <c r="GO791" s="319" t="s">
        <v>190</v>
      </c>
      <c r="GP791" s="319" t="s">
        <v>190</v>
      </c>
      <c r="GQ791" s="319" t="s">
        <v>428</v>
      </c>
      <c r="GR791" s="319" t="s">
        <v>190</v>
      </c>
      <c r="GS791" s="319" t="s">
        <v>190</v>
      </c>
      <c r="GT791" s="319" t="s">
        <v>428</v>
      </c>
      <c r="GU791" s="319" t="s">
        <v>428</v>
      </c>
      <c r="GV791" s="319" t="s">
        <v>190</v>
      </c>
      <c r="GW791" s="319" t="s">
        <v>190</v>
      </c>
      <c r="GX791" s="319" t="s">
        <v>190</v>
      </c>
      <c r="GY791" s="319" t="s">
        <v>190</v>
      </c>
      <c r="GZ791" s="319" t="s">
        <v>190</v>
      </c>
      <c r="HA791" s="319" t="s">
        <v>428</v>
      </c>
      <c r="HB791" s="319" t="s">
        <v>428</v>
      </c>
      <c r="HC791" s="319" t="s">
        <v>190</v>
      </c>
      <c r="HD791" s="319" t="s">
        <v>191</v>
      </c>
      <c r="HE791" s="319" t="s">
        <v>190</v>
      </c>
      <c r="HF791" s="319" t="s">
        <v>191</v>
      </c>
      <c r="HG791" s="319" t="s">
        <v>190</v>
      </c>
      <c r="HH791" s="319" t="s">
        <v>190</v>
      </c>
      <c r="HI791" s="319" t="s">
        <v>190</v>
      </c>
      <c r="HJ791" s="319" t="s">
        <v>191</v>
      </c>
      <c r="HK791" s="319" t="s">
        <v>190</v>
      </c>
      <c r="HL791" s="319" t="s">
        <v>428</v>
      </c>
      <c r="HM791" s="319" t="s">
        <v>428</v>
      </c>
      <c r="HN791" s="319" t="s">
        <v>428</v>
      </c>
      <c r="HO791" s="319" t="s">
        <v>428</v>
      </c>
      <c r="HP791" s="319" t="s">
        <v>190</v>
      </c>
      <c r="HQ791" s="319" t="s">
        <v>190</v>
      </c>
      <c r="HR791" s="319" t="s">
        <v>190</v>
      </c>
      <c r="HS791" s="319" t="s">
        <v>190</v>
      </c>
      <c r="HT791" s="319" t="s">
        <v>190</v>
      </c>
      <c r="HU791" s="319" t="s">
        <v>190</v>
      </c>
      <c r="HV791" s="319" t="s">
        <v>190</v>
      </c>
      <c r="HW791" s="319" t="s">
        <v>190</v>
      </c>
      <c r="HX791" s="319" t="s">
        <v>190</v>
      </c>
      <c r="HY791" s="319" t="s">
        <v>190</v>
      </c>
      <c r="HZ791" s="319" t="s">
        <v>190</v>
      </c>
      <c r="IA791" s="319" t="s">
        <v>190</v>
      </c>
      <c r="IB791" s="319" t="s">
        <v>190</v>
      </c>
      <c r="IC791" s="319" t="s">
        <v>190</v>
      </c>
      <c r="ID791" s="319" t="s">
        <v>190</v>
      </c>
      <c r="IE791" s="319" t="s">
        <v>190</v>
      </c>
      <c r="IF791" s="319" t="s">
        <v>191</v>
      </c>
      <c r="IG791" s="319" t="s">
        <v>191</v>
      </c>
      <c r="IH791" s="319" t="s">
        <v>191</v>
      </c>
      <c r="II791" s="319" t="s">
        <v>191</v>
      </c>
      <c r="IJ791" s="319">
        <v>10006307</v>
      </c>
      <c r="IK791" s="321">
        <v>42480</v>
      </c>
      <c r="IL791" s="321">
        <v>42481</v>
      </c>
      <c r="IM791" s="321">
        <v>42551</v>
      </c>
      <c r="IN791" s="319">
        <v>4</v>
      </c>
      <c r="IO791" s="319">
        <v>10105624</v>
      </c>
      <c r="IP791" s="319" t="s">
        <v>985</v>
      </c>
      <c r="IQ791" s="321">
        <v>43606</v>
      </c>
      <c r="IR791" s="320" t="s">
        <v>1223</v>
      </c>
      <c r="IS791" s="322">
        <v>43641</v>
      </c>
      <c r="IT791" s="319" t="s">
        <v>166</v>
      </c>
    </row>
    <row r="792" spans="1:254" s="271" customFormat="1" x14ac:dyDescent="0.25">
      <c r="A792" s="318" t="str">
        <f>HYPERLINK("http://www.ofsted.gov.uk/inspection-reports/find-inspection-report/provider/ELS/141502 ","Ofsted School Webpage")</f>
        <v>Ofsted School Webpage</v>
      </c>
      <c r="B792" s="319">
        <v>141502</v>
      </c>
      <c r="C792" s="319">
        <v>8956001</v>
      </c>
      <c r="D792" s="319" t="s">
        <v>879</v>
      </c>
      <c r="E792" s="319" t="s">
        <v>168</v>
      </c>
      <c r="F792" s="319" t="s">
        <v>81</v>
      </c>
      <c r="G792" s="319" t="s">
        <v>81</v>
      </c>
      <c r="H792" s="319" t="s">
        <v>81</v>
      </c>
      <c r="I792" s="319" t="s">
        <v>78</v>
      </c>
      <c r="J792" s="319" t="s">
        <v>424</v>
      </c>
      <c r="K792" s="319" t="s">
        <v>431</v>
      </c>
      <c r="L792" s="319" t="s">
        <v>431</v>
      </c>
      <c r="M792" s="319" t="s">
        <v>880</v>
      </c>
      <c r="N792" s="319" t="s">
        <v>3047</v>
      </c>
      <c r="O792" s="319" t="s">
        <v>3048</v>
      </c>
      <c r="P792" s="319">
        <v>32</v>
      </c>
      <c r="Q792" s="319" t="s">
        <v>429</v>
      </c>
      <c r="R792" s="320">
        <v>10067920</v>
      </c>
      <c r="S792" s="321">
        <v>43494</v>
      </c>
      <c r="T792" s="321">
        <v>43496</v>
      </c>
      <c r="U792" s="321">
        <v>43529</v>
      </c>
      <c r="V792" s="319" t="s">
        <v>425</v>
      </c>
      <c r="W792" s="319" t="s">
        <v>2767</v>
      </c>
      <c r="X792" s="319">
        <v>2</v>
      </c>
      <c r="Y792" s="319" t="s">
        <v>173</v>
      </c>
      <c r="Z792" s="319" t="s">
        <v>173</v>
      </c>
      <c r="AA792" s="319" t="s">
        <v>173</v>
      </c>
      <c r="AB792" s="319">
        <v>2</v>
      </c>
      <c r="AC792" s="319" t="s">
        <v>169</v>
      </c>
      <c r="AD792" s="319" t="s">
        <v>173</v>
      </c>
      <c r="AE792" s="319" t="s">
        <v>173</v>
      </c>
      <c r="AF792" s="319" t="s">
        <v>427</v>
      </c>
      <c r="AG792" s="319" t="s">
        <v>171</v>
      </c>
      <c r="AH792" s="319" t="s">
        <v>190</v>
      </c>
      <c r="AI792" s="319" t="s">
        <v>190</v>
      </c>
      <c r="AJ792" s="319" t="s">
        <v>190</v>
      </c>
      <c r="AK792" s="319" t="s">
        <v>190</v>
      </c>
      <c r="AL792" s="319" t="s">
        <v>190</v>
      </c>
      <c r="AM792" s="319" t="s">
        <v>190</v>
      </c>
      <c r="AN792" s="319" t="s">
        <v>190</v>
      </c>
      <c r="AO792" s="319" t="s">
        <v>190</v>
      </c>
      <c r="AP792" s="319" t="s">
        <v>190</v>
      </c>
      <c r="AQ792" s="319" t="s">
        <v>190</v>
      </c>
      <c r="AR792" s="319" t="s">
        <v>190</v>
      </c>
      <c r="AS792" s="319" t="s">
        <v>190</v>
      </c>
      <c r="AT792" s="319" t="s">
        <v>190</v>
      </c>
      <c r="AU792" s="319" t="s">
        <v>190</v>
      </c>
      <c r="AV792" s="319" t="s">
        <v>190</v>
      </c>
      <c r="AW792" s="319" t="s">
        <v>190</v>
      </c>
      <c r="AX792" s="319" t="s">
        <v>428</v>
      </c>
      <c r="AY792" s="319" t="s">
        <v>190</v>
      </c>
      <c r="AZ792" s="319" t="s">
        <v>190</v>
      </c>
      <c r="BA792" s="319" t="s">
        <v>190</v>
      </c>
      <c r="BB792" s="319" t="s">
        <v>190</v>
      </c>
      <c r="BC792" s="319" t="s">
        <v>190</v>
      </c>
      <c r="BD792" s="319" t="s">
        <v>190</v>
      </c>
      <c r="BE792" s="319" t="s">
        <v>190</v>
      </c>
      <c r="BF792" s="319" t="s">
        <v>428</v>
      </c>
      <c r="BG792" s="319" t="s">
        <v>190</v>
      </c>
      <c r="BH792" s="319" t="s">
        <v>190</v>
      </c>
      <c r="BI792" s="319" t="s">
        <v>190</v>
      </c>
      <c r="BJ792" s="319" t="s">
        <v>190</v>
      </c>
      <c r="BK792" s="319" t="s">
        <v>190</v>
      </c>
      <c r="BL792" s="319" t="s">
        <v>190</v>
      </c>
      <c r="BM792" s="319" t="s">
        <v>190</v>
      </c>
      <c r="BN792" s="319" t="s">
        <v>190</v>
      </c>
      <c r="BO792" s="319" t="s">
        <v>190</v>
      </c>
      <c r="BP792" s="319" t="s">
        <v>190</v>
      </c>
      <c r="BQ792" s="319" t="s">
        <v>190</v>
      </c>
      <c r="BR792" s="319" t="s">
        <v>190</v>
      </c>
      <c r="BS792" s="319" t="s">
        <v>190</v>
      </c>
      <c r="BT792" s="319" t="s">
        <v>190</v>
      </c>
      <c r="BU792" s="319" t="s">
        <v>190</v>
      </c>
      <c r="BV792" s="319" t="s">
        <v>190</v>
      </c>
      <c r="BW792" s="319" t="s">
        <v>190</v>
      </c>
      <c r="BX792" s="319" t="s">
        <v>190</v>
      </c>
      <c r="BY792" s="319" t="s">
        <v>190</v>
      </c>
      <c r="BZ792" s="319" t="s">
        <v>190</v>
      </c>
      <c r="CA792" s="319" t="s">
        <v>190</v>
      </c>
      <c r="CB792" s="319" t="s">
        <v>190</v>
      </c>
      <c r="CC792" s="319" t="s">
        <v>190</v>
      </c>
      <c r="CD792" s="319" t="s">
        <v>190</v>
      </c>
      <c r="CE792" s="319" t="s">
        <v>190</v>
      </c>
      <c r="CF792" s="319" t="s">
        <v>190</v>
      </c>
      <c r="CG792" s="319" t="s">
        <v>190</v>
      </c>
      <c r="CH792" s="319" t="s">
        <v>190</v>
      </c>
      <c r="CI792" s="319" t="s">
        <v>190</v>
      </c>
      <c r="CJ792" s="319" t="s">
        <v>190</v>
      </c>
      <c r="CK792" s="319" t="s">
        <v>190</v>
      </c>
      <c r="CL792" s="319" t="s">
        <v>190</v>
      </c>
      <c r="CM792" s="319" t="s">
        <v>190</v>
      </c>
      <c r="CN792" s="319" t="s">
        <v>190</v>
      </c>
      <c r="CO792" s="319" t="s">
        <v>428</v>
      </c>
      <c r="CP792" s="319" t="s">
        <v>428</v>
      </c>
      <c r="CQ792" s="319" t="s">
        <v>190</v>
      </c>
      <c r="CR792" s="319" t="s">
        <v>190</v>
      </c>
      <c r="CS792" s="319" t="s">
        <v>190</v>
      </c>
      <c r="CT792" s="319" t="s">
        <v>190</v>
      </c>
      <c r="CU792" s="319" t="s">
        <v>190</v>
      </c>
      <c r="CV792" s="319" t="s">
        <v>190</v>
      </c>
      <c r="CW792" s="319" t="s">
        <v>190</v>
      </c>
      <c r="CX792" s="319" t="s">
        <v>190</v>
      </c>
      <c r="CY792" s="319" t="s">
        <v>190</v>
      </c>
      <c r="CZ792" s="319" t="s">
        <v>190</v>
      </c>
      <c r="DA792" s="319" t="s">
        <v>190</v>
      </c>
      <c r="DB792" s="319" t="s">
        <v>190</v>
      </c>
      <c r="DC792" s="319" t="s">
        <v>190</v>
      </c>
      <c r="DD792" s="319" t="s">
        <v>190</v>
      </c>
      <c r="DE792" s="319" t="s">
        <v>190</v>
      </c>
      <c r="DF792" s="319" t="s">
        <v>190</v>
      </c>
      <c r="DG792" s="319" t="s">
        <v>190</v>
      </c>
      <c r="DH792" s="319" t="s">
        <v>190</v>
      </c>
      <c r="DI792" s="319" t="s">
        <v>190</v>
      </c>
      <c r="DJ792" s="319" t="s">
        <v>190</v>
      </c>
      <c r="DK792" s="319" t="s">
        <v>190</v>
      </c>
      <c r="DL792" s="319" t="s">
        <v>190</v>
      </c>
      <c r="DM792" s="319" t="s">
        <v>190</v>
      </c>
      <c r="DN792" s="319" t="s">
        <v>190</v>
      </c>
      <c r="DO792" s="319" t="s">
        <v>190</v>
      </c>
      <c r="DP792" s="319" t="s">
        <v>190</v>
      </c>
      <c r="DQ792" s="319" t="s">
        <v>190</v>
      </c>
      <c r="DR792" s="319" t="s">
        <v>190</v>
      </c>
      <c r="DS792" s="319" t="s">
        <v>190</v>
      </c>
      <c r="DT792" s="319" t="s">
        <v>190</v>
      </c>
      <c r="DU792" s="319" t="s">
        <v>190</v>
      </c>
      <c r="DV792" s="319" t="s">
        <v>173</v>
      </c>
      <c r="DW792" s="319" t="s">
        <v>190</v>
      </c>
      <c r="DX792" s="319" t="s">
        <v>190</v>
      </c>
      <c r="DY792" s="319" t="s">
        <v>190</v>
      </c>
      <c r="DZ792" s="319" t="s">
        <v>190</v>
      </c>
      <c r="EA792" s="319" t="s">
        <v>190</v>
      </c>
      <c r="EB792" s="319" t="s">
        <v>190</v>
      </c>
      <c r="EC792" s="319" t="s">
        <v>190</v>
      </c>
      <c r="ED792" s="319" t="s">
        <v>190</v>
      </c>
      <c r="EE792" s="319" t="s">
        <v>190</v>
      </c>
      <c r="EF792" s="319" t="s">
        <v>190</v>
      </c>
      <c r="EG792" s="319" t="s">
        <v>190</v>
      </c>
      <c r="EH792" s="319" t="s">
        <v>190</v>
      </c>
      <c r="EI792" s="319" t="s">
        <v>190</v>
      </c>
      <c r="EJ792" s="319" t="s">
        <v>190</v>
      </c>
      <c r="EK792" s="319" t="s">
        <v>190</v>
      </c>
      <c r="EL792" s="319" t="s">
        <v>190</v>
      </c>
      <c r="EM792" s="319" t="s">
        <v>190</v>
      </c>
      <c r="EN792" s="319" t="s">
        <v>190</v>
      </c>
      <c r="EO792" s="319" t="s">
        <v>190</v>
      </c>
      <c r="EP792" s="319" t="s">
        <v>190</v>
      </c>
      <c r="EQ792" s="319" t="s">
        <v>190</v>
      </c>
      <c r="ER792" s="319" t="s">
        <v>190</v>
      </c>
      <c r="ES792" s="319" t="s">
        <v>190</v>
      </c>
      <c r="ET792" s="319" t="s">
        <v>190</v>
      </c>
      <c r="EU792" s="319" t="s">
        <v>190</v>
      </c>
      <c r="EV792" s="319" t="s">
        <v>190</v>
      </c>
      <c r="EW792" s="319" t="s">
        <v>190</v>
      </c>
      <c r="EX792" s="319" t="s">
        <v>190</v>
      </c>
      <c r="EY792" s="319" t="s">
        <v>190</v>
      </c>
      <c r="EZ792" s="319" t="s">
        <v>190</v>
      </c>
      <c r="FA792" s="319" t="s">
        <v>190</v>
      </c>
      <c r="FB792" s="319" t="s">
        <v>190</v>
      </c>
      <c r="FC792" s="319" t="s">
        <v>190</v>
      </c>
      <c r="FD792" s="319" t="s">
        <v>190</v>
      </c>
      <c r="FE792" s="319" t="s">
        <v>190</v>
      </c>
      <c r="FF792" s="319" t="s">
        <v>190</v>
      </c>
      <c r="FG792" s="319" t="s">
        <v>190</v>
      </c>
      <c r="FH792" s="319" t="s">
        <v>190</v>
      </c>
      <c r="FI792" s="319" t="s">
        <v>190</v>
      </c>
      <c r="FJ792" s="319" t="s">
        <v>190</v>
      </c>
      <c r="FK792" s="319" t="s">
        <v>190</v>
      </c>
      <c r="FL792" s="319" t="s">
        <v>190</v>
      </c>
      <c r="FM792" s="319" t="s">
        <v>190</v>
      </c>
      <c r="FN792" s="319" t="s">
        <v>190</v>
      </c>
      <c r="FO792" s="319" t="s">
        <v>190</v>
      </c>
      <c r="FP792" s="319" t="s">
        <v>190</v>
      </c>
      <c r="FQ792" s="319" t="s">
        <v>190</v>
      </c>
      <c r="FR792" s="319" t="s">
        <v>190</v>
      </c>
      <c r="FS792" s="319" t="s">
        <v>428</v>
      </c>
      <c r="FT792" s="319" t="s">
        <v>190</v>
      </c>
      <c r="FU792" s="319" t="s">
        <v>190</v>
      </c>
      <c r="FV792" s="319" t="s">
        <v>190</v>
      </c>
      <c r="FW792" s="319" t="s">
        <v>190</v>
      </c>
      <c r="FX792" s="319" t="s">
        <v>190</v>
      </c>
      <c r="FY792" s="319" t="s">
        <v>190</v>
      </c>
      <c r="FZ792" s="319" t="s">
        <v>190</v>
      </c>
      <c r="GA792" s="319" t="s">
        <v>190</v>
      </c>
      <c r="GB792" s="319" t="s">
        <v>190</v>
      </c>
      <c r="GC792" s="319" t="s">
        <v>190</v>
      </c>
      <c r="GD792" s="319" t="s">
        <v>190</v>
      </c>
      <c r="GE792" s="319" t="s">
        <v>190</v>
      </c>
      <c r="GF792" s="319" t="s">
        <v>190</v>
      </c>
      <c r="GG792" s="319" t="s">
        <v>190</v>
      </c>
      <c r="GH792" s="319" t="s">
        <v>190</v>
      </c>
      <c r="GI792" s="319" t="s">
        <v>190</v>
      </c>
      <c r="GJ792" s="319" t="s">
        <v>190</v>
      </c>
      <c r="GK792" s="319" t="s">
        <v>428</v>
      </c>
      <c r="GL792" s="319" t="s">
        <v>190</v>
      </c>
      <c r="GM792" s="319" t="s">
        <v>190</v>
      </c>
      <c r="GN792" s="319" t="s">
        <v>190</v>
      </c>
      <c r="GO792" s="319" t="s">
        <v>190</v>
      </c>
      <c r="GP792" s="319" t="s">
        <v>190</v>
      </c>
      <c r="GQ792" s="319" t="s">
        <v>190</v>
      </c>
      <c r="GR792" s="319" t="s">
        <v>190</v>
      </c>
      <c r="GS792" s="319" t="s">
        <v>190</v>
      </c>
      <c r="GT792" s="319" t="s">
        <v>190</v>
      </c>
      <c r="GU792" s="319" t="s">
        <v>190</v>
      </c>
      <c r="GV792" s="319" t="s">
        <v>190</v>
      </c>
      <c r="GW792" s="319" t="s">
        <v>190</v>
      </c>
      <c r="GX792" s="319" t="s">
        <v>190</v>
      </c>
      <c r="GY792" s="319" t="s">
        <v>190</v>
      </c>
      <c r="GZ792" s="319" t="s">
        <v>190</v>
      </c>
      <c r="HA792" s="319" t="s">
        <v>190</v>
      </c>
      <c r="HB792" s="319" t="s">
        <v>190</v>
      </c>
      <c r="HC792" s="319" t="s">
        <v>190</v>
      </c>
      <c r="HD792" s="319" t="s">
        <v>190</v>
      </c>
      <c r="HE792" s="319" t="s">
        <v>190</v>
      </c>
      <c r="HF792" s="319" t="s">
        <v>190</v>
      </c>
      <c r="HG792" s="319" t="s">
        <v>190</v>
      </c>
      <c r="HH792" s="319" t="s">
        <v>190</v>
      </c>
      <c r="HI792" s="319" t="s">
        <v>190</v>
      </c>
      <c r="HJ792" s="319" t="s">
        <v>190</v>
      </c>
      <c r="HK792" s="319" t="s">
        <v>190</v>
      </c>
      <c r="HL792" s="319" t="s">
        <v>190</v>
      </c>
      <c r="HM792" s="319" t="s">
        <v>190</v>
      </c>
      <c r="HN792" s="319" t="s">
        <v>190</v>
      </c>
      <c r="HO792" s="319" t="s">
        <v>190</v>
      </c>
      <c r="HP792" s="319" t="s">
        <v>190</v>
      </c>
      <c r="HQ792" s="319" t="s">
        <v>190</v>
      </c>
      <c r="HR792" s="319" t="s">
        <v>190</v>
      </c>
      <c r="HS792" s="319" t="s">
        <v>190</v>
      </c>
      <c r="HT792" s="319" t="s">
        <v>190</v>
      </c>
      <c r="HU792" s="319" t="s">
        <v>190</v>
      </c>
      <c r="HV792" s="319" t="s">
        <v>190</v>
      </c>
      <c r="HW792" s="319" t="s">
        <v>190</v>
      </c>
      <c r="HX792" s="319" t="s">
        <v>190</v>
      </c>
      <c r="HY792" s="319" t="s">
        <v>190</v>
      </c>
      <c r="HZ792" s="319" t="s">
        <v>190</v>
      </c>
      <c r="IA792" s="319" t="s">
        <v>190</v>
      </c>
      <c r="IB792" s="319" t="s">
        <v>190</v>
      </c>
      <c r="IC792" s="319" t="s">
        <v>190</v>
      </c>
      <c r="ID792" s="319" t="s">
        <v>190</v>
      </c>
      <c r="IE792" s="319" t="s">
        <v>190</v>
      </c>
      <c r="IF792" s="319" t="s">
        <v>190</v>
      </c>
      <c r="IG792" s="319" t="s">
        <v>190</v>
      </c>
      <c r="IH792" s="319" t="s">
        <v>190</v>
      </c>
      <c r="II792" s="319" t="s">
        <v>190</v>
      </c>
      <c r="IJ792" s="319">
        <v>10006313</v>
      </c>
      <c r="IK792" s="321">
        <v>42451</v>
      </c>
      <c r="IL792" s="321">
        <v>42453</v>
      </c>
      <c r="IM792" s="321">
        <v>42499</v>
      </c>
      <c r="IN792" s="319">
        <v>2</v>
      </c>
      <c r="IO792" s="319" t="s">
        <v>173</v>
      </c>
      <c r="IP792" s="319" t="s">
        <v>173</v>
      </c>
      <c r="IQ792" s="321" t="s">
        <v>173</v>
      </c>
      <c r="IR792" s="320" t="s">
        <v>173</v>
      </c>
      <c r="IS792" s="322" t="s">
        <v>173</v>
      </c>
      <c r="IT792" s="319" t="s">
        <v>173</v>
      </c>
    </row>
    <row r="793" spans="1:254" s="271" customFormat="1" x14ac:dyDescent="0.25">
      <c r="A793" s="318" t="str">
        <f>HYPERLINK("http://www.ofsted.gov.uk/inspection-reports/find-inspection-report/provider/ELS/141515 ","Ofsted School Webpage")</f>
        <v>Ofsted School Webpage</v>
      </c>
      <c r="B793" s="319">
        <v>141515</v>
      </c>
      <c r="C793" s="319">
        <v>8786064</v>
      </c>
      <c r="D793" s="319" t="s">
        <v>1206</v>
      </c>
      <c r="E793" s="319" t="s">
        <v>168</v>
      </c>
      <c r="F793" s="319" t="s">
        <v>81</v>
      </c>
      <c r="G793" s="319" t="s">
        <v>81</v>
      </c>
      <c r="H793" s="319" t="s">
        <v>81</v>
      </c>
      <c r="I793" s="319" t="s">
        <v>78</v>
      </c>
      <c r="J793" s="319" t="s">
        <v>424</v>
      </c>
      <c r="K793" s="319" t="s">
        <v>422</v>
      </c>
      <c r="L793" s="319" t="s">
        <v>422</v>
      </c>
      <c r="M793" s="319" t="s">
        <v>663</v>
      </c>
      <c r="N793" s="319" t="s">
        <v>3526</v>
      </c>
      <c r="O793" s="319" t="s">
        <v>1207</v>
      </c>
      <c r="P793" s="319">
        <v>32</v>
      </c>
      <c r="Q793" s="319" t="s">
        <v>429</v>
      </c>
      <c r="R793" s="320">
        <v>10041381</v>
      </c>
      <c r="S793" s="321">
        <v>43158</v>
      </c>
      <c r="T793" s="321">
        <v>43164</v>
      </c>
      <c r="U793" s="321">
        <v>43209</v>
      </c>
      <c r="V793" s="319" t="s">
        <v>425</v>
      </c>
      <c r="W793" s="319" t="s">
        <v>2767</v>
      </c>
      <c r="X793" s="319">
        <v>2</v>
      </c>
      <c r="Y793" s="319" t="s">
        <v>173</v>
      </c>
      <c r="Z793" s="319" t="s">
        <v>173</v>
      </c>
      <c r="AA793" s="319" t="s">
        <v>173</v>
      </c>
      <c r="AB793" s="319">
        <v>2</v>
      </c>
      <c r="AC793" s="319" t="s">
        <v>169</v>
      </c>
      <c r="AD793" s="319" t="s">
        <v>173</v>
      </c>
      <c r="AE793" s="319" t="s">
        <v>173</v>
      </c>
      <c r="AF793" s="319" t="s">
        <v>427</v>
      </c>
      <c r="AG793" s="319" t="s">
        <v>171</v>
      </c>
      <c r="AH793" s="319" t="s">
        <v>190</v>
      </c>
      <c r="AI793" s="319" t="s">
        <v>190</v>
      </c>
      <c r="AJ793" s="319" t="s">
        <v>190</v>
      </c>
      <c r="AK793" s="319" t="s">
        <v>190</v>
      </c>
      <c r="AL793" s="319" t="s">
        <v>190</v>
      </c>
      <c r="AM793" s="319" t="s">
        <v>190</v>
      </c>
      <c r="AN793" s="319" t="s">
        <v>190</v>
      </c>
      <c r="AO793" s="319" t="s">
        <v>190</v>
      </c>
      <c r="AP793" s="319" t="s">
        <v>190</v>
      </c>
      <c r="AQ793" s="319" t="s">
        <v>190</v>
      </c>
      <c r="AR793" s="319" t="s">
        <v>190</v>
      </c>
      <c r="AS793" s="319" t="s">
        <v>190</v>
      </c>
      <c r="AT793" s="319" t="s">
        <v>190</v>
      </c>
      <c r="AU793" s="319" t="s">
        <v>190</v>
      </c>
      <c r="AV793" s="319" t="s">
        <v>190</v>
      </c>
      <c r="AW793" s="319" t="s">
        <v>190</v>
      </c>
      <c r="AX793" s="319" t="s">
        <v>428</v>
      </c>
      <c r="AY793" s="319" t="s">
        <v>190</v>
      </c>
      <c r="AZ793" s="319" t="s">
        <v>190</v>
      </c>
      <c r="BA793" s="319" t="s">
        <v>190</v>
      </c>
      <c r="BB793" s="319" t="s">
        <v>190</v>
      </c>
      <c r="BC793" s="319" t="s">
        <v>190</v>
      </c>
      <c r="BD793" s="319" t="s">
        <v>190</v>
      </c>
      <c r="BE793" s="319" t="s">
        <v>190</v>
      </c>
      <c r="BF793" s="319" t="s">
        <v>428</v>
      </c>
      <c r="BG793" s="319" t="s">
        <v>428</v>
      </c>
      <c r="BH793" s="319" t="s">
        <v>190</v>
      </c>
      <c r="BI793" s="319" t="s">
        <v>190</v>
      </c>
      <c r="BJ793" s="319" t="s">
        <v>190</v>
      </c>
      <c r="BK793" s="319" t="s">
        <v>190</v>
      </c>
      <c r="BL793" s="319" t="s">
        <v>190</v>
      </c>
      <c r="BM793" s="319" t="s">
        <v>190</v>
      </c>
      <c r="BN793" s="319" t="s">
        <v>190</v>
      </c>
      <c r="BO793" s="319" t="s">
        <v>190</v>
      </c>
      <c r="BP793" s="319" t="s">
        <v>190</v>
      </c>
      <c r="BQ793" s="319" t="s">
        <v>190</v>
      </c>
      <c r="BR793" s="319" t="s">
        <v>190</v>
      </c>
      <c r="BS793" s="319" t="s">
        <v>190</v>
      </c>
      <c r="BT793" s="319" t="s">
        <v>190</v>
      </c>
      <c r="BU793" s="319" t="s">
        <v>190</v>
      </c>
      <c r="BV793" s="319" t="s">
        <v>190</v>
      </c>
      <c r="BW793" s="319" t="s">
        <v>190</v>
      </c>
      <c r="BX793" s="319" t="s">
        <v>190</v>
      </c>
      <c r="BY793" s="319" t="s">
        <v>190</v>
      </c>
      <c r="BZ793" s="319" t="s">
        <v>190</v>
      </c>
      <c r="CA793" s="319" t="s">
        <v>190</v>
      </c>
      <c r="CB793" s="319" t="s">
        <v>190</v>
      </c>
      <c r="CC793" s="319" t="s">
        <v>190</v>
      </c>
      <c r="CD793" s="319" t="s">
        <v>190</v>
      </c>
      <c r="CE793" s="319" t="s">
        <v>190</v>
      </c>
      <c r="CF793" s="319" t="s">
        <v>190</v>
      </c>
      <c r="CG793" s="319" t="s">
        <v>190</v>
      </c>
      <c r="CH793" s="319" t="s">
        <v>190</v>
      </c>
      <c r="CI793" s="319" t="s">
        <v>190</v>
      </c>
      <c r="CJ793" s="319" t="s">
        <v>190</v>
      </c>
      <c r="CK793" s="319" t="s">
        <v>190</v>
      </c>
      <c r="CL793" s="319" t="s">
        <v>190</v>
      </c>
      <c r="CM793" s="319" t="s">
        <v>190</v>
      </c>
      <c r="CN793" s="319" t="s">
        <v>428</v>
      </c>
      <c r="CO793" s="319" t="s">
        <v>428</v>
      </c>
      <c r="CP793" s="319" t="s">
        <v>428</v>
      </c>
      <c r="CQ793" s="319" t="s">
        <v>190</v>
      </c>
      <c r="CR793" s="319" t="s">
        <v>190</v>
      </c>
      <c r="CS793" s="319" t="s">
        <v>190</v>
      </c>
      <c r="CT793" s="319" t="s">
        <v>190</v>
      </c>
      <c r="CU793" s="319" t="s">
        <v>190</v>
      </c>
      <c r="CV793" s="319" t="s">
        <v>190</v>
      </c>
      <c r="CW793" s="319" t="s">
        <v>190</v>
      </c>
      <c r="CX793" s="319" t="s">
        <v>190</v>
      </c>
      <c r="CY793" s="319" t="s">
        <v>190</v>
      </c>
      <c r="CZ793" s="319" t="s">
        <v>190</v>
      </c>
      <c r="DA793" s="319" t="s">
        <v>190</v>
      </c>
      <c r="DB793" s="319" t="s">
        <v>190</v>
      </c>
      <c r="DC793" s="319" t="s">
        <v>190</v>
      </c>
      <c r="DD793" s="319" t="s">
        <v>190</v>
      </c>
      <c r="DE793" s="319" t="s">
        <v>190</v>
      </c>
      <c r="DF793" s="319" t="s">
        <v>190</v>
      </c>
      <c r="DG793" s="319" t="s">
        <v>190</v>
      </c>
      <c r="DH793" s="319" t="s">
        <v>190</v>
      </c>
      <c r="DI793" s="319" t="s">
        <v>190</v>
      </c>
      <c r="DJ793" s="319" t="s">
        <v>190</v>
      </c>
      <c r="DK793" s="319" t="s">
        <v>190</v>
      </c>
      <c r="DL793" s="319" t="s">
        <v>190</v>
      </c>
      <c r="DM793" s="319" t="s">
        <v>428</v>
      </c>
      <c r="DN793" s="319" t="s">
        <v>428</v>
      </c>
      <c r="DO793" s="319" t="s">
        <v>190</v>
      </c>
      <c r="DP793" s="319" t="s">
        <v>190</v>
      </c>
      <c r="DQ793" s="319" t="s">
        <v>190</v>
      </c>
      <c r="DR793" s="319" t="s">
        <v>190</v>
      </c>
      <c r="DS793" s="319" t="s">
        <v>190</v>
      </c>
      <c r="DT793" s="319" t="s">
        <v>190</v>
      </c>
      <c r="DU793" s="319" t="s">
        <v>190</v>
      </c>
      <c r="DV793" s="319" t="s">
        <v>173</v>
      </c>
      <c r="DW793" s="319" t="s">
        <v>190</v>
      </c>
      <c r="DX793" s="319" t="s">
        <v>190</v>
      </c>
      <c r="DY793" s="319" t="s">
        <v>190</v>
      </c>
      <c r="DZ793" s="319" t="s">
        <v>190</v>
      </c>
      <c r="EA793" s="319" t="s">
        <v>190</v>
      </c>
      <c r="EB793" s="319" t="s">
        <v>190</v>
      </c>
      <c r="EC793" s="319" t="s">
        <v>428</v>
      </c>
      <c r="ED793" s="319" t="s">
        <v>190</v>
      </c>
      <c r="EE793" s="319" t="s">
        <v>190</v>
      </c>
      <c r="EF793" s="319" t="s">
        <v>190</v>
      </c>
      <c r="EG793" s="319" t="s">
        <v>190</v>
      </c>
      <c r="EH793" s="319" t="s">
        <v>190</v>
      </c>
      <c r="EI793" s="319" t="s">
        <v>190</v>
      </c>
      <c r="EJ793" s="319" t="s">
        <v>190</v>
      </c>
      <c r="EK793" s="319" t="s">
        <v>190</v>
      </c>
      <c r="EL793" s="319" t="s">
        <v>428</v>
      </c>
      <c r="EM793" s="319" t="s">
        <v>190</v>
      </c>
      <c r="EN793" s="319" t="s">
        <v>190</v>
      </c>
      <c r="EO793" s="319" t="s">
        <v>190</v>
      </c>
      <c r="EP793" s="319" t="s">
        <v>190</v>
      </c>
      <c r="EQ793" s="319" t="s">
        <v>190</v>
      </c>
      <c r="ER793" s="319" t="s">
        <v>190</v>
      </c>
      <c r="ES793" s="319" t="s">
        <v>190</v>
      </c>
      <c r="ET793" s="319" t="s">
        <v>190</v>
      </c>
      <c r="EU793" s="319" t="s">
        <v>190</v>
      </c>
      <c r="EV793" s="319" t="s">
        <v>190</v>
      </c>
      <c r="EW793" s="319" t="s">
        <v>190</v>
      </c>
      <c r="EX793" s="319" t="s">
        <v>190</v>
      </c>
      <c r="EY793" s="319" t="s">
        <v>428</v>
      </c>
      <c r="EZ793" s="319" t="s">
        <v>190</v>
      </c>
      <c r="FA793" s="319" t="s">
        <v>428</v>
      </c>
      <c r="FB793" s="319" t="s">
        <v>190</v>
      </c>
      <c r="FC793" s="319" t="s">
        <v>190</v>
      </c>
      <c r="FD793" s="319" t="s">
        <v>190</v>
      </c>
      <c r="FE793" s="319" t="s">
        <v>190</v>
      </c>
      <c r="FF793" s="319" t="s">
        <v>428</v>
      </c>
      <c r="FG793" s="319" t="s">
        <v>190</v>
      </c>
      <c r="FH793" s="319" t="s">
        <v>190</v>
      </c>
      <c r="FI793" s="319" t="s">
        <v>428</v>
      </c>
      <c r="FJ793" s="319" t="s">
        <v>190</v>
      </c>
      <c r="FK793" s="319" t="s">
        <v>190</v>
      </c>
      <c r="FL793" s="319" t="s">
        <v>190</v>
      </c>
      <c r="FM793" s="319" t="s">
        <v>190</v>
      </c>
      <c r="FN793" s="319" t="s">
        <v>190</v>
      </c>
      <c r="FO793" s="319" t="s">
        <v>190</v>
      </c>
      <c r="FP793" s="319" t="s">
        <v>190</v>
      </c>
      <c r="FQ793" s="319" t="s">
        <v>190</v>
      </c>
      <c r="FR793" s="319" t="s">
        <v>190</v>
      </c>
      <c r="FS793" s="319" t="s">
        <v>428</v>
      </c>
      <c r="FT793" s="319" t="s">
        <v>190</v>
      </c>
      <c r="FU793" s="319" t="s">
        <v>190</v>
      </c>
      <c r="FV793" s="319" t="s">
        <v>190</v>
      </c>
      <c r="FW793" s="319" t="s">
        <v>190</v>
      </c>
      <c r="FX793" s="319" t="s">
        <v>190</v>
      </c>
      <c r="FY793" s="319" t="s">
        <v>190</v>
      </c>
      <c r="FZ793" s="319" t="s">
        <v>190</v>
      </c>
      <c r="GA793" s="319" t="s">
        <v>190</v>
      </c>
      <c r="GB793" s="319" t="s">
        <v>190</v>
      </c>
      <c r="GC793" s="319" t="s">
        <v>190</v>
      </c>
      <c r="GD793" s="319" t="s">
        <v>190</v>
      </c>
      <c r="GE793" s="319" t="s">
        <v>190</v>
      </c>
      <c r="GF793" s="319" t="s">
        <v>190</v>
      </c>
      <c r="GG793" s="319" t="s">
        <v>190</v>
      </c>
      <c r="GH793" s="319" t="s">
        <v>190</v>
      </c>
      <c r="GI793" s="319" t="s">
        <v>190</v>
      </c>
      <c r="GJ793" s="319" t="s">
        <v>190</v>
      </c>
      <c r="GK793" s="319" t="s">
        <v>428</v>
      </c>
      <c r="GL793" s="319" t="s">
        <v>190</v>
      </c>
      <c r="GM793" s="319" t="s">
        <v>190</v>
      </c>
      <c r="GN793" s="319" t="s">
        <v>190</v>
      </c>
      <c r="GO793" s="319" t="s">
        <v>190</v>
      </c>
      <c r="GP793" s="319" t="s">
        <v>190</v>
      </c>
      <c r="GQ793" s="319" t="s">
        <v>428</v>
      </c>
      <c r="GR793" s="319" t="s">
        <v>190</v>
      </c>
      <c r="GS793" s="319" t="s">
        <v>190</v>
      </c>
      <c r="GT793" s="319" t="s">
        <v>190</v>
      </c>
      <c r="GU793" s="319" t="s">
        <v>190</v>
      </c>
      <c r="GV793" s="319" t="s">
        <v>190</v>
      </c>
      <c r="GW793" s="319" t="s">
        <v>190</v>
      </c>
      <c r="GX793" s="319" t="s">
        <v>190</v>
      </c>
      <c r="GY793" s="319" t="s">
        <v>190</v>
      </c>
      <c r="GZ793" s="319" t="s">
        <v>428</v>
      </c>
      <c r="HA793" s="319" t="s">
        <v>190</v>
      </c>
      <c r="HB793" s="319" t="s">
        <v>190</v>
      </c>
      <c r="HC793" s="319" t="s">
        <v>190</v>
      </c>
      <c r="HD793" s="319" t="s">
        <v>190</v>
      </c>
      <c r="HE793" s="319" t="s">
        <v>190</v>
      </c>
      <c r="HF793" s="319" t="s">
        <v>190</v>
      </c>
      <c r="HG793" s="319" t="s">
        <v>190</v>
      </c>
      <c r="HH793" s="319" t="s">
        <v>190</v>
      </c>
      <c r="HI793" s="319" t="s">
        <v>190</v>
      </c>
      <c r="HJ793" s="319" t="s">
        <v>190</v>
      </c>
      <c r="HK793" s="319" t="s">
        <v>190</v>
      </c>
      <c r="HL793" s="319" t="s">
        <v>190</v>
      </c>
      <c r="HM793" s="319" t="s">
        <v>428</v>
      </c>
      <c r="HN793" s="319" t="s">
        <v>428</v>
      </c>
      <c r="HO793" s="319" t="s">
        <v>428</v>
      </c>
      <c r="HP793" s="319" t="s">
        <v>190</v>
      </c>
      <c r="HQ793" s="319" t="s">
        <v>190</v>
      </c>
      <c r="HR793" s="319" t="s">
        <v>190</v>
      </c>
      <c r="HS793" s="319" t="s">
        <v>190</v>
      </c>
      <c r="HT793" s="319" t="s">
        <v>190</v>
      </c>
      <c r="HU793" s="319" t="s">
        <v>190</v>
      </c>
      <c r="HV793" s="319" t="s">
        <v>190</v>
      </c>
      <c r="HW793" s="319" t="s">
        <v>190</v>
      </c>
      <c r="HX793" s="319" t="s">
        <v>190</v>
      </c>
      <c r="HY793" s="319" t="s">
        <v>190</v>
      </c>
      <c r="HZ793" s="319" t="s">
        <v>190</v>
      </c>
      <c r="IA793" s="319" t="s">
        <v>190</v>
      </c>
      <c r="IB793" s="319" t="s">
        <v>190</v>
      </c>
      <c r="IC793" s="319" t="s">
        <v>190</v>
      </c>
      <c r="ID793" s="319" t="s">
        <v>190</v>
      </c>
      <c r="IE793" s="319" t="s">
        <v>190</v>
      </c>
      <c r="IF793" s="319" t="s">
        <v>190</v>
      </c>
      <c r="IG793" s="319" t="s">
        <v>190</v>
      </c>
      <c r="IH793" s="319" t="s">
        <v>190</v>
      </c>
      <c r="II793" s="319" t="s">
        <v>190</v>
      </c>
      <c r="IJ793" s="319">
        <v>10006312</v>
      </c>
      <c r="IK793" s="321">
        <v>42381</v>
      </c>
      <c r="IL793" s="321">
        <v>42383</v>
      </c>
      <c r="IM793" s="321">
        <v>42430</v>
      </c>
      <c r="IN793" s="319">
        <v>3</v>
      </c>
      <c r="IO793" s="319" t="s">
        <v>173</v>
      </c>
      <c r="IP793" s="319" t="s">
        <v>173</v>
      </c>
      <c r="IQ793" s="321" t="s">
        <v>173</v>
      </c>
      <c r="IR793" s="320" t="s">
        <v>173</v>
      </c>
      <c r="IS793" s="322" t="s">
        <v>173</v>
      </c>
      <c r="IT793" s="319" t="s">
        <v>173</v>
      </c>
    </row>
    <row r="794" spans="1:254" s="271" customFormat="1" x14ac:dyDescent="0.25">
      <c r="A794" s="318" t="str">
        <f>HYPERLINK("http://www.ofsted.gov.uk/inspection-reports/find-inspection-report/provider/ELS/141560 ","Ofsted School Webpage")</f>
        <v>Ofsted School Webpage</v>
      </c>
      <c r="B794" s="319">
        <v>141560</v>
      </c>
      <c r="C794" s="319">
        <v>3326010</v>
      </c>
      <c r="D794" s="319" t="s">
        <v>2292</v>
      </c>
      <c r="E794" s="319" t="s">
        <v>167</v>
      </c>
      <c r="F794" s="319" t="s">
        <v>81</v>
      </c>
      <c r="G794" s="319" t="s">
        <v>81</v>
      </c>
      <c r="H794" s="319" t="s">
        <v>81</v>
      </c>
      <c r="I794" s="319" t="s">
        <v>78</v>
      </c>
      <c r="J794" s="319" t="s">
        <v>424</v>
      </c>
      <c r="K794" s="319" t="s">
        <v>437</v>
      </c>
      <c r="L794" s="319" t="s">
        <v>437</v>
      </c>
      <c r="M794" s="319" t="s">
        <v>619</v>
      </c>
      <c r="N794" s="319" t="s">
        <v>3527</v>
      </c>
      <c r="O794" s="319" t="s">
        <v>3528</v>
      </c>
      <c r="P794" s="319">
        <v>0</v>
      </c>
      <c r="Q794" s="319" t="s">
        <v>2766</v>
      </c>
      <c r="R794" s="320">
        <v>10093008</v>
      </c>
      <c r="S794" s="321">
        <v>43585</v>
      </c>
      <c r="T794" s="321">
        <v>43587</v>
      </c>
      <c r="U794" s="321">
        <v>43629</v>
      </c>
      <c r="V794" s="319" t="s">
        <v>425</v>
      </c>
      <c r="W794" s="319" t="s">
        <v>2767</v>
      </c>
      <c r="X794" s="319">
        <v>2</v>
      </c>
      <c r="Y794" s="319" t="s">
        <v>173</v>
      </c>
      <c r="Z794" s="319" t="s">
        <v>173</v>
      </c>
      <c r="AA794" s="319" t="s">
        <v>173</v>
      </c>
      <c r="AB794" s="319">
        <v>2</v>
      </c>
      <c r="AC794" s="319" t="s">
        <v>169</v>
      </c>
      <c r="AD794" s="319" t="s">
        <v>173</v>
      </c>
      <c r="AE794" s="319" t="s">
        <v>173</v>
      </c>
      <c r="AF794" s="319" t="s">
        <v>427</v>
      </c>
      <c r="AG794" s="319" t="s">
        <v>171</v>
      </c>
      <c r="AH794" s="319" t="s">
        <v>190</v>
      </c>
      <c r="AI794" s="319" t="s">
        <v>190</v>
      </c>
      <c r="AJ794" s="319" t="s">
        <v>190</v>
      </c>
      <c r="AK794" s="319" t="s">
        <v>190</v>
      </c>
      <c r="AL794" s="319" t="s">
        <v>190</v>
      </c>
      <c r="AM794" s="319" t="s">
        <v>190</v>
      </c>
      <c r="AN794" s="319" t="s">
        <v>190</v>
      </c>
      <c r="AO794" s="319" t="s">
        <v>190</v>
      </c>
      <c r="AP794" s="319" t="s">
        <v>190</v>
      </c>
      <c r="AQ794" s="319" t="s">
        <v>190</v>
      </c>
      <c r="AR794" s="319" t="s">
        <v>190</v>
      </c>
      <c r="AS794" s="319" t="s">
        <v>190</v>
      </c>
      <c r="AT794" s="319" t="s">
        <v>190</v>
      </c>
      <c r="AU794" s="319" t="s">
        <v>190</v>
      </c>
      <c r="AV794" s="319" t="s">
        <v>190</v>
      </c>
      <c r="AW794" s="319" t="s">
        <v>190</v>
      </c>
      <c r="AX794" s="319" t="s">
        <v>428</v>
      </c>
      <c r="AY794" s="319" t="s">
        <v>190</v>
      </c>
      <c r="AZ794" s="319" t="s">
        <v>190</v>
      </c>
      <c r="BA794" s="319" t="s">
        <v>190</v>
      </c>
      <c r="BB794" s="319" t="s">
        <v>190</v>
      </c>
      <c r="BC794" s="319" t="s">
        <v>190</v>
      </c>
      <c r="BD794" s="319" t="s">
        <v>190</v>
      </c>
      <c r="BE794" s="319" t="s">
        <v>190</v>
      </c>
      <c r="BF794" s="319" t="s">
        <v>428</v>
      </c>
      <c r="BG794" s="319" t="s">
        <v>428</v>
      </c>
      <c r="BH794" s="319" t="s">
        <v>190</v>
      </c>
      <c r="BI794" s="319" t="s">
        <v>190</v>
      </c>
      <c r="BJ794" s="319" t="s">
        <v>190</v>
      </c>
      <c r="BK794" s="319" t="s">
        <v>190</v>
      </c>
      <c r="BL794" s="319" t="s">
        <v>190</v>
      </c>
      <c r="BM794" s="319" t="s">
        <v>190</v>
      </c>
      <c r="BN794" s="319" t="s">
        <v>190</v>
      </c>
      <c r="BO794" s="319" t="s">
        <v>190</v>
      </c>
      <c r="BP794" s="319" t="s">
        <v>190</v>
      </c>
      <c r="BQ794" s="319" t="s">
        <v>190</v>
      </c>
      <c r="BR794" s="319" t="s">
        <v>190</v>
      </c>
      <c r="BS794" s="319" t="s">
        <v>190</v>
      </c>
      <c r="BT794" s="319" t="s">
        <v>190</v>
      </c>
      <c r="BU794" s="319" t="s">
        <v>190</v>
      </c>
      <c r="BV794" s="319" t="s">
        <v>190</v>
      </c>
      <c r="BW794" s="319" t="s">
        <v>190</v>
      </c>
      <c r="BX794" s="319" t="s">
        <v>190</v>
      </c>
      <c r="BY794" s="319" t="s">
        <v>190</v>
      </c>
      <c r="BZ794" s="319" t="s">
        <v>190</v>
      </c>
      <c r="CA794" s="319" t="s">
        <v>190</v>
      </c>
      <c r="CB794" s="319" t="s">
        <v>190</v>
      </c>
      <c r="CC794" s="319" t="s">
        <v>190</v>
      </c>
      <c r="CD794" s="319" t="s">
        <v>190</v>
      </c>
      <c r="CE794" s="319" t="s">
        <v>190</v>
      </c>
      <c r="CF794" s="319" t="s">
        <v>190</v>
      </c>
      <c r="CG794" s="319" t="s">
        <v>190</v>
      </c>
      <c r="CH794" s="319" t="s">
        <v>190</v>
      </c>
      <c r="CI794" s="319" t="s">
        <v>190</v>
      </c>
      <c r="CJ794" s="319" t="s">
        <v>190</v>
      </c>
      <c r="CK794" s="319" t="s">
        <v>190</v>
      </c>
      <c r="CL794" s="319" t="s">
        <v>190</v>
      </c>
      <c r="CM794" s="319" t="s">
        <v>190</v>
      </c>
      <c r="CN794" s="319" t="s">
        <v>190</v>
      </c>
      <c r="CO794" s="319" t="s">
        <v>428</v>
      </c>
      <c r="CP794" s="319" t="s">
        <v>428</v>
      </c>
      <c r="CQ794" s="319" t="s">
        <v>190</v>
      </c>
      <c r="CR794" s="319" t="s">
        <v>190</v>
      </c>
      <c r="CS794" s="319" t="s">
        <v>190</v>
      </c>
      <c r="CT794" s="319" t="s">
        <v>190</v>
      </c>
      <c r="CU794" s="319" t="s">
        <v>190</v>
      </c>
      <c r="CV794" s="319" t="s">
        <v>190</v>
      </c>
      <c r="CW794" s="319" t="s">
        <v>190</v>
      </c>
      <c r="CX794" s="319" t="s">
        <v>190</v>
      </c>
      <c r="CY794" s="319" t="s">
        <v>190</v>
      </c>
      <c r="CZ794" s="319" t="s">
        <v>190</v>
      </c>
      <c r="DA794" s="319" t="s">
        <v>190</v>
      </c>
      <c r="DB794" s="319" t="s">
        <v>190</v>
      </c>
      <c r="DC794" s="319" t="s">
        <v>190</v>
      </c>
      <c r="DD794" s="319" t="s">
        <v>190</v>
      </c>
      <c r="DE794" s="319" t="s">
        <v>190</v>
      </c>
      <c r="DF794" s="319" t="s">
        <v>190</v>
      </c>
      <c r="DG794" s="319" t="s">
        <v>190</v>
      </c>
      <c r="DH794" s="319" t="s">
        <v>190</v>
      </c>
      <c r="DI794" s="319" t="s">
        <v>190</v>
      </c>
      <c r="DJ794" s="319" t="s">
        <v>190</v>
      </c>
      <c r="DK794" s="319" t="s">
        <v>190</v>
      </c>
      <c r="DL794" s="319" t="s">
        <v>190</v>
      </c>
      <c r="DM794" s="319" t="s">
        <v>190</v>
      </c>
      <c r="DN794" s="319" t="s">
        <v>190</v>
      </c>
      <c r="DO794" s="319" t="s">
        <v>190</v>
      </c>
      <c r="DP794" s="319" t="s">
        <v>190</v>
      </c>
      <c r="DQ794" s="319" t="s">
        <v>190</v>
      </c>
      <c r="DR794" s="319" t="s">
        <v>190</v>
      </c>
      <c r="DS794" s="319" t="s">
        <v>190</v>
      </c>
      <c r="DT794" s="319" t="s">
        <v>190</v>
      </c>
      <c r="DU794" s="319" t="s">
        <v>190</v>
      </c>
      <c r="DV794" s="319" t="s">
        <v>173</v>
      </c>
      <c r="DW794" s="319" t="s">
        <v>190</v>
      </c>
      <c r="DX794" s="319" t="s">
        <v>190</v>
      </c>
      <c r="DY794" s="319" t="s">
        <v>190</v>
      </c>
      <c r="DZ794" s="319" t="s">
        <v>190</v>
      </c>
      <c r="EA794" s="319" t="s">
        <v>190</v>
      </c>
      <c r="EB794" s="319" t="s">
        <v>190</v>
      </c>
      <c r="EC794" s="319" t="s">
        <v>190</v>
      </c>
      <c r="ED794" s="319" t="s">
        <v>190</v>
      </c>
      <c r="EE794" s="319" t="s">
        <v>190</v>
      </c>
      <c r="EF794" s="319" t="s">
        <v>190</v>
      </c>
      <c r="EG794" s="319" t="s">
        <v>190</v>
      </c>
      <c r="EH794" s="319" t="s">
        <v>190</v>
      </c>
      <c r="EI794" s="319" t="s">
        <v>190</v>
      </c>
      <c r="EJ794" s="319" t="s">
        <v>190</v>
      </c>
      <c r="EK794" s="319" t="s">
        <v>190</v>
      </c>
      <c r="EL794" s="319" t="s">
        <v>190</v>
      </c>
      <c r="EM794" s="319" t="s">
        <v>190</v>
      </c>
      <c r="EN794" s="319" t="s">
        <v>190</v>
      </c>
      <c r="EO794" s="319" t="s">
        <v>190</v>
      </c>
      <c r="EP794" s="319" t="s">
        <v>190</v>
      </c>
      <c r="EQ794" s="319" t="s">
        <v>190</v>
      </c>
      <c r="ER794" s="319" t="s">
        <v>190</v>
      </c>
      <c r="ES794" s="319" t="s">
        <v>190</v>
      </c>
      <c r="ET794" s="319" t="s">
        <v>190</v>
      </c>
      <c r="EU794" s="319" t="s">
        <v>190</v>
      </c>
      <c r="EV794" s="319" t="s">
        <v>190</v>
      </c>
      <c r="EW794" s="319" t="s">
        <v>190</v>
      </c>
      <c r="EX794" s="319" t="s">
        <v>190</v>
      </c>
      <c r="EY794" s="319" t="s">
        <v>190</v>
      </c>
      <c r="EZ794" s="319" t="s">
        <v>190</v>
      </c>
      <c r="FA794" s="319" t="s">
        <v>190</v>
      </c>
      <c r="FB794" s="319" t="s">
        <v>190</v>
      </c>
      <c r="FC794" s="319" t="s">
        <v>190</v>
      </c>
      <c r="FD794" s="319" t="s">
        <v>190</v>
      </c>
      <c r="FE794" s="319" t="s">
        <v>190</v>
      </c>
      <c r="FF794" s="319" t="s">
        <v>190</v>
      </c>
      <c r="FG794" s="319" t="s">
        <v>190</v>
      </c>
      <c r="FH794" s="319" t="s">
        <v>190</v>
      </c>
      <c r="FI794" s="319" t="s">
        <v>190</v>
      </c>
      <c r="FJ794" s="319" t="s">
        <v>190</v>
      </c>
      <c r="FK794" s="319" t="s">
        <v>190</v>
      </c>
      <c r="FL794" s="319" t="s">
        <v>190</v>
      </c>
      <c r="FM794" s="319" t="s">
        <v>190</v>
      </c>
      <c r="FN794" s="319" t="s">
        <v>190</v>
      </c>
      <c r="FO794" s="319" t="s">
        <v>190</v>
      </c>
      <c r="FP794" s="319" t="s">
        <v>190</v>
      </c>
      <c r="FQ794" s="319" t="s">
        <v>190</v>
      </c>
      <c r="FR794" s="319" t="s">
        <v>190</v>
      </c>
      <c r="FS794" s="319" t="s">
        <v>190</v>
      </c>
      <c r="FT794" s="319" t="s">
        <v>190</v>
      </c>
      <c r="FU794" s="319" t="s">
        <v>190</v>
      </c>
      <c r="FV794" s="319" t="s">
        <v>190</v>
      </c>
      <c r="FW794" s="319" t="s">
        <v>190</v>
      </c>
      <c r="FX794" s="319" t="s">
        <v>190</v>
      </c>
      <c r="FY794" s="319" t="s">
        <v>190</v>
      </c>
      <c r="FZ794" s="319" t="s">
        <v>190</v>
      </c>
      <c r="GA794" s="319" t="s">
        <v>190</v>
      </c>
      <c r="GB794" s="319" t="s">
        <v>190</v>
      </c>
      <c r="GC794" s="319" t="s">
        <v>190</v>
      </c>
      <c r="GD794" s="319" t="s">
        <v>190</v>
      </c>
      <c r="GE794" s="319" t="s">
        <v>190</v>
      </c>
      <c r="GF794" s="319" t="s">
        <v>190</v>
      </c>
      <c r="GG794" s="319" t="s">
        <v>190</v>
      </c>
      <c r="GH794" s="319" t="s">
        <v>190</v>
      </c>
      <c r="GI794" s="319" t="s">
        <v>190</v>
      </c>
      <c r="GJ794" s="319" t="s">
        <v>190</v>
      </c>
      <c r="GK794" s="319" t="s">
        <v>190</v>
      </c>
      <c r="GL794" s="319" t="s">
        <v>190</v>
      </c>
      <c r="GM794" s="319" t="s">
        <v>190</v>
      </c>
      <c r="GN794" s="319" t="s">
        <v>190</v>
      </c>
      <c r="GO794" s="319" t="s">
        <v>190</v>
      </c>
      <c r="GP794" s="319" t="s">
        <v>190</v>
      </c>
      <c r="GQ794" s="319" t="s">
        <v>190</v>
      </c>
      <c r="GR794" s="319" t="s">
        <v>190</v>
      </c>
      <c r="GS794" s="319" t="s">
        <v>190</v>
      </c>
      <c r="GT794" s="319" t="s">
        <v>428</v>
      </c>
      <c r="GU794" s="319" t="s">
        <v>428</v>
      </c>
      <c r="GV794" s="319" t="s">
        <v>190</v>
      </c>
      <c r="GW794" s="319" t="s">
        <v>190</v>
      </c>
      <c r="GX794" s="319" t="s">
        <v>190</v>
      </c>
      <c r="GY794" s="319" t="s">
        <v>190</v>
      </c>
      <c r="GZ794" s="319" t="s">
        <v>428</v>
      </c>
      <c r="HA794" s="319" t="s">
        <v>190</v>
      </c>
      <c r="HB794" s="319" t="s">
        <v>428</v>
      </c>
      <c r="HC794" s="319" t="s">
        <v>190</v>
      </c>
      <c r="HD794" s="319" t="s">
        <v>190</v>
      </c>
      <c r="HE794" s="319" t="s">
        <v>190</v>
      </c>
      <c r="HF794" s="319" t="s">
        <v>190</v>
      </c>
      <c r="HG794" s="319" t="s">
        <v>190</v>
      </c>
      <c r="HH794" s="319" t="s">
        <v>190</v>
      </c>
      <c r="HI794" s="319" t="s">
        <v>190</v>
      </c>
      <c r="HJ794" s="319" t="s">
        <v>190</v>
      </c>
      <c r="HK794" s="319" t="s">
        <v>190</v>
      </c>
      <c r="HL794" s="319" t="s">
        <v>190</v>
      </c>
      <c r="HM794" s="319" t="s">
        <v>428</v>
      </c>
      <c r="HN794" s="319" t="s">
        <v>428</v>
      </c>
      <c r="HO794" s="319" t="s">
        <v>428</v>
      </c>
      <c r="HP794" s="319" t="s">
        <v>190</v>
      </c>
      <c r="HQ794" s="319" t="s">
        <v>190</v>
      </c>
      <c r="HR794" s="319" t="s">
        <v>190</v>
      </c>
      <c r="HS794" s="319" t="s">
        <v>190</v>
      </c>
      <c r="HT794" s="319" t="s">
        <v>190</v>
      </c>
      <c r="HU794" s="319" t="s">
        <v>190</v>
      </c>
      <c r="HV794" s="319" t="s">
        <v>190</v>
      </c>
      <c r="HW794" s="319" t="s">
        <v>190</v>
      </c>
      <c r="HX794" s="319" t="s">
        <v>190</v>
      </c>
      <c r="HY794" s="319" t="s">
        <v>190</v>
      </c>
      <c r="HZ794" s="319" t="s">
        <v>190</v>
      </c>
      <c r="IA794" s="319" t="s">
        <v>190</v>
      </c>
      <c r="IB794" s="319" t="s">
        <v>190</v>
      </c>
      <c r="IC794" s="319" t="s">
        <v>190</v>
      </c>
      <c r="ID794" s="319" t="s">
        <v>190</v>
      </c>
      <c r="IE794" s="319" t="s">
        <v>190</v>
      </c>
      <c r="IF794" s="319" t="s">
        <v>190</v>
      </c>
      <c r="IG794" s="319" t="s">
        <v>190</v>
      </c>
      <c r="IH794" s="319" t="s">
        <v>190</v>
      </c>
      <c r="II794" s="319" t="s">
        <v>190</v>
      </c>
      <c r="IJ794" s="319">
        <v>10006308</v>
      </c>
      <c r="IK794" s="321">
        <v>42858</v>
      </c>
      <c r="IL794" s="321">
        <v>42860</v>
      </c>
      <c r="IM794" s="321">
        <v>42902</v>
      </c>
      <c r="IN794" s="319">
        <v>3</v>
      </c>
      <c r="IO794" s="319" t="s">
        <v>173</v>
      </c>
      <c r="IP794" s="319" t="s">
        <v>173</v>
      </c>
      <c r="IQ794" s="319" t="s">
        <v>173</v>
      </c>
      <c r="IR794" s="320" t="s">
        <v>173</v>
      </c>
      <c r="IS794" s="320" t="s">
        <v>173</v>
      </c>
      <c r="IT794" s="319" t="s">
        <v>173</v>
      </c>
    </row>
    <row r="795" spans="1:254" s="271" customFormat="1" x14ac:dyDescent="0.25">
      <c r="A795" s="318" t="str">
        <f>HYPERLINK("http://www.ofsted.gov.uk/inspection-reports/find-inspection-report/provider/ELS/141603 ","Ofsted School Webpage")</f>
        <v>Ofsted School Webpage</v>
      </c>
      <c r="B795" s="319">
        <v>141603</v>
      </c>
      <c r="C795" s="319">
        <v>3806011</v>
      </c>
      <c r="D795" s="319" t="s">
        <v>2293</v>
      </c>
      <c r="E795" s="319" t="s">
        <v>168</v>
      </c>
      <c r="F795" s="319" t="s">
        <v>81</v>
      </c>
      <c r="G795" s="319" t="s">
        <v>81</v>
      </c>
      <c r="H795" s="319" t="s">
        <v>81</v>
      </c>
      <c r="I795" s="319" t="s">
        <v>78</v>
      </c>
      <c r="J795" s="319" t="s">
        <v>424</v>
      </c>
      <c r="K795" s="319" t="s">
        <v>458</v>
      </c>
      <c r="L795" s="319" t="s">
        <v>459</v>
      </c>
      <c r="M795" s="319" t="s">
        <v>595</v>
      </c>
      <c r="N795" s="319" t="s">
        <v>3064</v>
      </c>
      <c r="O795" s="319" t="s">
        <v>2294</v>
      </c>
      <c r="P795" s="319">
        <v>5</v>
      </c>
      <c r="Q795" s="319" t="s">
        <v>429</v>
      </c>
      <c r="R795" s="320">
        <v>10046955</v>
      </c>
      <c r="S795" s="321">
        <v>43263</v>
      </c>
      <c r="T795" s="321">
        <v>43265</v>
      </c>
      <c r="U795" s="321">
        <v>43290</v>
      </c>
      <c r="V795" s="319" t="s">
        <v>425</v>
      </c>
      <c r="W795" s="319" t="s">
        <v>2767</v>
      </c>
      <c r="X795" s="319">
        <v>2</v>
      </c>
      <c r="Y795" s="319" t="s">
        <v>173</v>
      </c>
      <c r="Z795" s="319" t="s">
        <v>173</v>
      </c>
      <c r="AA795" s="319" t="s">
        <v>173</v>
      </c>
      <c r="AB795" s="319">
        <v>2</v>
      </c>
      <c r="AC795" s="319" t="s">
        <v>169</v>
      </c>
      <c r="AD795" s="319" t="s">
        <v>173</v>
      </c>
      <c r="AE795" s="319" t="s">
        <v>173</v>
      </c>
      <c r="AF795" s="319" t="s">
        <v>427</v>
      </c>
      <c r="AG795" s="319" t="s">
        <v>171</v>
      </c>
      <c r="AH795" s="319" t="s">
        <v>190</v>
      </c>
      <c r="AI795" s="319" t="s">
        <v>190</v>
      </c>
      <c r="AJ795" s="319" t="s">
        <v>190</v>
      </c>
      <c r="AK795" s="319" t="s">
        <v>190</v>
      </c>
      <c r="AL795" s="319" t="s">
        <v>190</v>
      </c>
      <c r="AM795" s="319" t="s">
        <v>190</v>
      </c>
      <c r="AN795" s="319" t="s">
        <v>190</v>
      </c>
      <c r="AO795" s="319" t="s">
        <v>190</v>
      </c>
      <c r="AP795" s="319" t="s">
        <v>190</v>
      </c>
      <c r="AQ795" s="319" t="s">
        <v>190</v>
      </c>
      <c r="AR795" s="319" t="s">
        <v>190</v>
      </c>
      <c r="AS795" s="319" t="s">
        <v>190</v>
      </c>
      <c r="AT795" s="319" t="s">
        <v>190</v>
      </c>
      <c r="AU795" s="319" t="s">
        <v>190</v>
      </c>
      <c r="AV795" s="319" t="s">
        <v>190</v>
      </c>
      <c r="AW795" s="319" t="s">
        <v>190</v>
      </c>
      <c r="AX795" s="319" t="s">
        <v>428</v>
      </c>
      <c r="AY795" s="319" t="s">
        <v>190</v>
      </c>
      <c r="AZ795" s="319" t="s">
        <v>190</v>
      </c>
      <c r="BA795" s="319" t="s">
        <v>190</v>
      </c>
      <c r="BB795" s="319" t="s">
        <v>190</v>
      </c>
      <c r="BC795" s="319" t="s">
        <v>190</v>
      </c>
      <c r="BD795" s="319" t="s">
        <v>190</v>
      </c>
      <c r="BE795" s="319" t="s">
        <v>190</v>
      </c>
      <c r="BF795" s="319" t="s">
        <v>428</v>
      </c>
      <c r="BG795" s="319" t="s">
        <v>428</v>
      </c>
      <c r="BH795" s="319" t="s">
        <v>190</v>
      </c>
      <c r="BI795" s="319" t="s">
        <v>190</v>
      </c>
      <c r="BJ795" s="319" t="s">
        <v>190</v>
      </c>
      <c r="BK795" s="319" t="s">
        <v>190</v>
      </c>
      <c r="BL795" s="319" t="s">
        <v>190</v>
      </c>
      <c r="BM795" s="319" t="s">
        <v>190</v>
      </c>
      <c r="BN795" s="319" t="s">
        <v>190</v>
      </c>
      <c r="BO795" s="319" t="s">
        <v>190</v>
      </c>
      <c r="BP795" s="319" t="s">
        <v>190</v>
      </c>
      <c r="BQ795" s="319" t="s">
        <v>190</v>
      </c>
      <c r="BR795" s="319" t="s">
        <v>190</v>
      </c>
      <c r="BS795" s="319" t="s">
        <v>190</v>
      </c>
      <c r="BT795" s="319" t="s">
        <v>190</v>
      </c>
      <c r="BU795" s="319" t="s">
        <v>190</v>
      </c>
      <c r="BV795" s="319" t="s">
        <v>190</v>
      </c>
      <c r="BW795" s="319" t="s">
        <v>190</v>
      </c>
      <c r="BX795" s="319" t="s">
        <v>190</v>
      </c>
      <c r="BY795" s="319" t="s">
        <v>190</v>
      </c>
      <c r="BZ795" s="319" t="s">
        <v>190</v>
      </c>
      <c r="CA795" s="319" t="s">
        <v>190</v>
      </c>
      <c r="CB795" s="319" t="s">
        <v>190</v>
      </c>
      <c r="CC795" s="319" t="s">
        <v>190</v>
      </c>
      <c r="CD795" s="319" t="s">
        <v>190</v>
      </c>
      <c r="CE795" s="319" t="s">
        <v>190</v>
      </c>
      <c r="CF795" s="319" t="s">
        <v>190</v>
      </c>
      <c r="CG795" s="319" t="s">
        <v>190</v>
      </c>
      <c r="CH795" s="319" t="s">
        <v>190</v>
      </c>
      <c r="CI795" s="319" t="s">
        <v>190</v>
      </c>
      <c r="CJ795" s="319" t="s">
        <v>190</v>
      </c>
      <c r="CK795" s="319" t="s">
        <v>190</v>
      </c>
      <c r="CL795" s="319" t="s">
        <v>190</v>
      </c>
      <c r="CM795" s="319" t="s">
        <v>190</v>
      </c>
      <c r="CN795" s="319" t="s">
        <v>190</v>
      </c>
      <c r="CO795" s="319" t="s">
        <v>428</v>
      </c>
      <c r="CP795" s="319" t="s">
        <v>428</v>
      </c>
      <c r="CQ795" s="319" t="s">
        <v>190</v>
      </c>
      <c r="CR795" s="319" t="s">
        <v>190</v>
      </c>
      <c r="CS795" s="319" t="s">
        <v>190</v>
      </c>
      <c r="CT795" s="319" t="s">
        <v>190</v>
      </c>
      <c r="CU795" s="319" t="s">
        <v>190</v>
      </c>
      <c r="CV795" s="319" t="s">
        <v>190</v>
      </c>
      <c r="CW795" s="319" t="s">
        <v>190</v>
      </c>
      <c r="CX795" s="319" t="s">
        <v>190</v>
      </c>
      <c r="CY795" s="319" t="s">
        <v>190</v>
      </c>
      <c r="CZ795" s="319" t="s">
        <v>190</v>
      </c>
      <c r="DA795" s="319" t="s">
        <v>190</v>
      </c>
      <c r="DB795" s="319" t="s">
        <v>190</v>
      </c>
      <c r="DC795" s="319" t="s">
        <v>190</v>
      </c>
      <c r="DD795" s="319" t="s">
        <v>190</v>
      </c>
      <c r="DE795" s="319" t="s">
        <v>190</v>
      </c>
      <c r="DF795" s="319" t="s">
        <v>190</v>
      </c>
      <c r="DG795" s="319" t="s">
        <v>190</v>
      </c>
      <c r="DH795" s="319" t="s">
        <v>190</v>
      </c>
      <c r="DI795" s="319" t="s">
        <v>190</v>
      </c>
      <c r="DJ795" s="319" t="s">
        <v>190</v>
      </c>
      <c r="DK795" s="319" t="s">
        <v>190</v>
      </c>
      <c r="DL795" s="319" t="s">
        <v>190</v>
      </c>
      <c r="DM795" s="319" t="s">
        <v>190</v>
      </c>
      <c r="DN795" s="319" t="s">
        <v>428</v>
      </c>
      <c r="DO795" s="319" t="s">
        <v>190</v>
      </c>
      <c r="DP795" s="319" t="s">
        <v>428</v>
      </c>
      <c r="DQ795" s="319" t="s">
        <v>428</v>
      </c>
      <c r="DR795" s="319" t="s">
        <v>428</v>
      </c>
      <c r="DS795" s="319" t="s">
        <v>428</v>
      </c>
      <c r="DT795" s="319" t="s">
        <v>428</v>
      </c>
      <c r="DU795" s="319" t="s">
        <v>428</v>
      </c>
      <c r="DV795" s="319" t="s">
        <v>173</v>
      </c>
      <c r="DW795" s="319" t="s">
        <v>428</v>
      </c>
      <c r="DX795" s="319" t="s">
        <v>428</v>
      </c>
      <c r="DY795" s="319" t="s">
        <v>428</v>
      </c>
      <c r="DZ795" s="319" t="s">
        <v>428</v>
      </c>
      <c r="EA795" s="319" t="s">
        <v>428</v>
      </c>
      <c r="EB795" s="319" t="s">
        <v>428</v>
      </c>
      <c r="EC795" s="319" t="s">
        <v>428</v>
      </c>
      <c r="ED795" s="319" t="s">
        <v>428</v>
      </c>
      <c r="EE795" s="319" t="s">
        <v>428</v>
      </c>
      <c r="EF795" s="319" t="s">
        <v>428</v>
      </c>
      <c r="EG795" s="319" t="s">
        <v>428</v>
      </c>
      <c r="EH795" s="319" t="s">
        <v>428</v>
      </c>
      <c r="EI795" s="319" t="s">
        <v>428</v>
      </c>
      <c r="EJ795" s="319" t="s">
        <v>428</v>
      </c>
      <c r="EK795" s="319" t="s">
        <v>428</v>
      </c>
      <c r="EL795" s="319" t="s">
        <v>428</v>
      </c>
      <c r="EM795" s="319" t="s">
        <v>428</v>
      </c>
      <c r="EN795" s="319" t="s">
        <v>190</v>
      </c>
      <c r="EO795" s="319" t="s">
        <v>190</v>
      </c>
      <c r="EP795" s="319" t="s">
        <v>190</v>
      </c>
      <c r="EQ795" s="319" t="s">
        <v>190</v>
      </c>
      <c r="ER795" s="319" t="s">
        <v>190</v>
      </c>
      <c r="ES795" s="319" t="s">
        <v>190</v>
      </c>
      <c r="ET795" s="319" t="s">
        <v>190</v>
      </c>
      <c r="EU795" s="319" t="s">
        <v>190</v>
      </c>
      <c r="EV795" s="319" t="s">
        <v>190</v>
      </c>
      <c r="EW795" s="319" t="s">
        <v>190</v>
      </c>
      <c r="EX795" s="319" t="s">
        <v>190</v>
      </c>
      <c r="EY795" s="319" t="s">
        <v>190</v>
      </c>
      <c r="EZ795" s="319" t="s">
        <v>190</v>
      </c>
      <c r="FA795" s="319" t="s">
        <v>428</v>
      </c>
      <c r="FB795" s="319" t="s">
        <v>428</v>
      </c>
      <c r="FC795" s="319" t="s">
        <v>428</v>
      </c>
      <c r="FD795" s="319" t="s">
        <v>428</v>
      </c>
      <c r="FE795" s="319" t="s">
        <v>428</v>
      </c>
      <c r="FF795" s="319" t="s">
        <v>428</v>
      </c>
      <c r="FG795" s="319" t="s">
        <v>428</v>
      </c>
      <c r="FH795" s="319" t="s">
        <v>428</v>
      </c>
      <c r="FI795" s="319" t="s">
        <v>428</v>
      </c>
      <c r="FJ795" s="319" t="s">
        <v>429</v>
      </c>
      <c r="FK795" s="319" t="s">
        <v>428</v>
      </c>
      <c r="FL795" s="319" t="s">
        <v>190</v>
      </c>
      <c r="FM795" s="319" t="s">
        <v>190</v>
      </c>
      <c r="FN795" s="319" t="s">
        <v>190</v>
      </c>
      <c r="FO795" s="319" t="s">
        <v>190</v>
      </c>
      <c r="FP795" s="319" t="s">
        <v>190</v>
      </c>
      <c r="FQ795" s="319" t="s">
        <v>190</v>
      </c>
      <c r="FR795" s="319" t="s">
        <v>190</v>
      </c>
      <c r="FS795" s="319" t="s">
        <v>428</v>
      </c>
      <c r="FT795" s="319" t="s">
        <v>190</v>
      </c>
      <c r="FU795" s="319" t="s">
        <v>190</v>
      </c>
      <c r="FV795" s="319" t="s">
        <v>190</v>
      </c>
      <c r="FW795" s="319" t="s">
        <v>190</v>
      </c>
      <c r="FX795" s="319" t="s">
        <v>190</v>
      </c>
      <c r="FY795" s="319" t="s">
        <v>190</v>
      </c>
      <c r="FZ795" s="319" t="s">
        <v>190</v>
      </c>
      <c r="GA795" s="319" t="s">
        <v>190</v>
      </c>
      <c r="GB795" s="319" t="s">
        <v>190</v>
      </c>
      <c r="GC795" s="319" t="s">
        <v>190</v>
      </c>
      <c r="GD795" s="319" t="s">
        <v>190</v>
      </c>
      <c r="GE795" s="319" t="s">
        <v>190</v>
      </c>
      <c r="GF795" s="319" t="s">
        <v>190</v>
      </c>
      <c r="GG795" s="319" t="s">
        <v>190</v>
      </c>
      <c r="GH795" s="319" t="s">
        <v>190</v>
      </c>
      <c r="GI795" s="319" t="s">
        <v>190</v>
      </c>
      <c r="GJ795" s="319" t="s">
        <v>190</v>
      </c>
      <c r="GK795" s="319" t="s">
        <v>428</v>
      </c>
      <c r="GL795" s="319" t="s">
        <v>190</v>
      </c>
      <c r="GM795" s="319" t="s">
        <v>190</v>
      </c>
      <c r="GN795" s="319" t="s">
        <v>190</v>
      </c>
      <c r="GO795" s="319" t="s">
        <v>190</v>
      </c>
      <c r="GP795" s="319" t="s">
        <v>190</v>
      </c>
      <c r="GQ795" s="319" t="s">
        <v>190</v>
      </c>
      <c r="GR795" s="319" t="s">
        <v>190</v>
      </c>
      <c r="GS795" s="319" t="s">
        <v>190</v>
      </c>
      <c r="GT795" s="319" t="s">
        <v>428</v>
      </c>
      <c r="GU795" s="319" t="s">
        <v>428</v>
      </c>
      <c r="GV795" s="319" t="s">
        <v>190</v>
      </c>
      <c r="GW795" s="319" t="s">
        <v>190</v>
      </c>
      <c r="GX795" s="319" t="s">
        <v>190</v>
      </c>
      <c r="GY795" s="319" t="s">
        <v>190</v>
      </c>
      <c r="GZ795" s="319" t="s">
        <v>190</v>
      </c>
      <c r="HA795" s="319" t="s">
        <v>428</v>
      </c>
      <c r="HB795" s="319" t="s">
        <v>428</v>
      </c>
      <c r="HC795" s="319" t="s">
        <v>190</v>
      </c>
      <c r="HD795" s="319" t="s">
        <v>190</v>
      </c>
      <c r="HE795" s="319" t="s">
        <v>190</v>
      </c>
      <c r="HF795" s="319" t="s">
        <v>190</v>
      </c>
      <c r="HG795" s="319" t="s">
        <v>190</v>
      </c>
      <c r="HH795" s="319" t="s">
        <v>190</v>
      </c>
      <c r="HI795" s="319" t="s">
        <v>190</v>
      </c>
      <c r="HJ795" s="319" t="s">
        <v>190</v>
      </c>
      <c r="HK795" s="319" t="s">
        <v>190</v>
      </c>
      <c r="HL795" s="319" t="s">
        <v>190</v>
      </c>
      <c r="HM795" s="319" t="s">
        <v>190</v>
      </c>
      <c r="HN795" s="319" t="s">
        <v>190</v>
      </c>
      <c r="HO795" s="319" t="s">
        <v>190</v>
      </c>
      <c r="HP795" s="319" t="s">
        <v>190</v>
      </c>
      <c r="HQ795" s="319" t="s">
        <v>190</v>
      </c>
      <c r="HR795" s="319" t="s">
        <v>190</v>
      </c>
      <c r="HS795" s="319" t="s">
        <v>190</v>
      </c>
      <c r="HT795" s="319" t="s">
        <v>190</v>
      </c>
      <c r="HU795" s="319" t="s">
        <v>190</v>
      </c>
      <c r="HV795" s="319" t="s">
        <v>190</v>
      </c>
      <c r="HW795" s="319" t="s">
        <v>190</v>
      </c>
      <c r="HX795" s="319" t="s">
        <v>190</v>
      </c>
      <c r="HY795" s="319" t="s">
        <v>190</v>
      </c>
      <c r="HZ795" s="319" t="s">
        <v>190</v>
      </c>
      <c r="IA795" s="319" t="s">
        <v>190</v>
      </c>
      <c r="IB795" s="319" t="s">
        <v>190</v>
      </c>
      <c r="IC795" s="319" t="s">
        <v>190</v>
      </c>
      <c r="ID795" s="319" t="s">
        <v>190</v>
      </c>
      <c r="IE795" s="319" t="s">
        <v>190</v>
      </c>
      <c r="IF795" s="319" t="s">
        <v>190</v>
      </c>
      <c r="IG795" s="319" t="s">
        <v>190</v>
      </c>
      <c r="IH795" s="319" t="s">
        <v>190</v>
      </c>
      <c r="II795" s="319" t="s">
        <v>190</v>
      </c>
      <c r="IJ795" s="319">
        <v>10006310</v>
      </c>
      <c r="IK795" s="321">
        <v>42549</v>
      </c>
      <c r="IL795" s="321">
        <v>42551</v>
      </c>
      <c r="IM795" s="321">
        <v>42625</v>
      </c>
      <c r="IN795" s="319">
        <v>3</v>
      </c>
      <c r="IO795" s="319" t="s">
        <v>173</v>
      </c>
      <c r="IP795" s="319" t="s">
        <v>173</v>
      </c>
      <c r="IQ795" s="319" t="s">
        <v>173</v>
      </c>
      <c r="IR795" s="320" t="s">
        <v>173</v>
      </c>
      <c r="IS795" s="320" t="s">
        <v>173</v>
      </c>
      <c r="IT795" s="319" t="s">
        <v>173</v>
      </c>
    </row>
    <row r="796" spans="1:254" s="271" customFormat="1" x14ac:dyDescent="0.25">
      <c r="A796" s="318" t="str">
        <f>HYPERLINK("http://www.ofsted.gov.uk/inspection-reports/find-inspection-report/provider/ELS/141607 ","Ofsted School Webpage")</f>
        <v>Ofsted School Webpage</v>
      </c>
      <c r="B796" s="319">
        <v>141607</v>
      </c>
      <c r="C796" s="319">
        <v>3086004</v>
      </c>
      <c r="D796" s="319" t="s">
        <v>1023</v>
      </c>
      <c r="E796" s="319" t="s">
        <v>168</v>
      </c>
      <c r="F796" s="319" t="s">
        <v>81</v>
      </c>
      <c r="G796" s="319" t="s">
        <v>81</v>
      </c>
      <c r="H796" s="319" t="s">
        <v>81</v>
      </c>
      <c r="I796" s="319" t="s">
        <v>78</v>
      </c>
      <c r="J796" s="319" t="s">
        <v>424</v>
      </c>
      <c r="K796" s="319" t="s">
        <v>441</v>
      </c>
      <c r="L796" s="319" t="s">
        <v>441</v>
      </c>
      <c r="M796" s="319" t="s">
        <v>561</v>
      </c>
      <c r="N796" s="319" t="s">
        <v>2840</v>
      </c>
      <c r="O796" s="319" t="s">
        <v>1024</v>
      </c>
      <c r="P796" s="319">
        <v>4</v>
      </c>
      <c r="Q796" s="319" t="s">
        <v>429</v>
      </c>
      <c r="R796" s="320">
        <v>10092476</v>
      </c>
      <c r="S796" s="321">
        <v>43599</v>
      </c>
      <c r="T796" s="321">
        <v>43600</v>
      </c>
      <c r="U796" s="321">
        <v>43632</v>
      </c>
      <c r="V796" s="319" t="s">
        <v>425</v>
      </c>
      <c r="W796" s="319" t="s">
        <v>2767</v>
      </c>
      <c r="X796" s="319">
        <v>2</v>
      </c>
      <c r="Y796" s="319" t="s">
        <v>173</v>
      </c>
      <c r="Z796" s="319" t="s">
        <v>173</v>
      </c>
      <c r="AA796" s="319" t="s">
        <v>173</v>
      </c>
      <c r="AB796" s="319">
        <v>2</v>
      </c>
      <c r="AC796" s="319" t="s">
        <v>169</v>
      </c>
      <c r="AD796" s="319" t="s">
        <v>173</v>
      </c>
      <c r="AE796" s="319" t="s">
        <v>173</v>
      </c>
      <c r="AF796" s="319" t="s">
        <v>427</v>
      </c>
      <c r="AG796" s="319" t="s">
        <v>171</v>
      </c>
      <c r="AH796" s="319" t="s">
        <v>190</v>
      </c>
      <c r="AI796" s="319" t="s">
        <v>190</v>
      </c>
      <c r="AJ796" s="319" t="s">
        <v>190</v>
      </c>
      <c r="AK796" s="319" t="s">
        <v>190</v>
      </c>
      <c r="AL796" s="319" t="s">
        <v>190</v>
      </c>
      <c r="AM796" s="319" t="s">
        <v>190</v>
      </c>
      <c r="AN796" s="319" t="s">
        <v>190</v>
      </c>
      <c r="AO796" s="319" t="s">
        <v>190</v>
      </c>
      <c r="AP796" s="319" t="s">
        <v>190</v>
      </c>
      <c r="AQ796" s="319" t="s">
        <v>190</v>
      </c>
      <c r="AR796" s="319" t="s">
        <v>190</v>
      </c>
      <c r="AS796" s="319" t="s">
        <v>190</v>
      </c>
      <c r="AT796" s="319" t="s">
        <v>190</v>
      </c>
      <c r="AU796" s="319" t="s">
        <v>190</v>
      </c>
      <c r="AV796" s="319" t="s">
        <v>190</v>
      </c>
      <c r="AW796" s="319" t="s">
        <v>190</v>
      </c>
      <c r="AX796" s="319" t="s">
        <v>428</v>
      </c>
      <c r="AY796" s="319" t="s">
        <v>190</v>
      </c>
      <c r="AZ796" s="319" t="s">
        <v>190</v>
      </c>
      <c r="BA796" s="319" t="s">
        <v>190</v>
      </c>
      <c r="BB796" s="319" t="s">
        <v>190</v>
      </c>
      <c r="BC796" s="319" t="s">
        <v>190</v>
      </c>
      <c r="BD796" s="319" t="s">
        <v>190</v>
      </c>
      <c r="BE796" s="319" t="s">
        <v>190</v>
      </c>
      <c r="BF796" s="319" t="s">
        <v>428</v>
      </c>
      <c r="BG796" s="319" t="s">
        <v>428</v>
      </c>
      <c r="BH796" s="319" t="s">
        <v>190</v>
      </c>
      <c r="BI796" s="319" t="s">
        <v>190</v>
      </c>
      <c r="BJ796" s="319" t="s">
        <v>190</v>
      </c>
      <c r="BK796" s="319" t="s">
        <v>190</v>
      </c>
      <c r="BL796" s="319" t="s">
        <v>190</v>
      </c>
      <c r="BM796" s="319" t="s">
        <v>190</v>
      </c>
      <c r="BN796" s="319" t="s">
        <v>190</v>
      </c>
      <c r="BO796" s="319" t="s">
        <v>190</v>
      </c>
      <c r="BP796" s="319" t="s">
        <v>190</v>
      </c>
      <c r="BQ796" s="319" t="s">
        <v>190</v>
      </c>
      <c r="BR796" s="319" t="s">
        <v>190</v>
      </c>
      <c r="BS796" s="319" t="s">
        <v>190</v>
      </c>
      <c r="BT796" s="319" t="s">
        <v>190</v>
      </c>
      <c r="BU796" s="319" t="s">
        <v>190</v>
      </c>
      <c r="BV796" s="319" t="s">
        <v>190</v>
      </c>
      <c r="BW796" s="319" t="s">
        <v>190</v>
      </c>
      <c r="BX796" s="319" t="s">
        <v>190</v>
      </c>
      <c r="BY796" s="319" t="s">
        <v>190</v>
      </c>
      <c r="BZ796" s="319" t="s">
        <v>190</v>
      </c>
      <c r="CA796" s="319" t="s">
        <v>190</v>
      </c>
      <c r="CB796" s="319" t="s">
        <v>190</v>
      </c>
      <c r="CC796" s="319" t="s">
        <v>190</v>
      </c>
      <c r="CD796" s="319" t="s">
        <v>190</v>
      </c>
      <c r="CE796" s="319" t="s">
        <v>190</v>
      </c>
      <c r="CF796" s="319" t="s">
        <v>190</v>
      </c>
      <c r="CG796" s="319" t="s">
        <v>190</v>
      </c>
      <c r="CH796" s="319" t="s">
        <v>190</v>
      </c>
      <c r="CI796" s="319" t="s">
        <v>190</v>
      </c>
      <c r="CJ796" s="319" t="s">
        <v>190</v>
      </c>
      <c r="CK796" s="319" t="s">
        <v>190</v>
      </c>
      <c r="CL796" s="319" t="s">
        <v>190</v>
      </c>
      <c r="CM796" s="319" t="s">
        <v>190</v>
      </c>
      <c r="CN796" s="319" t="s">
        <v>428</v>
      </c>
      <c r="CO796" s="319" t="s">
        <v>428</v>
      </c>
      <c r="CP796" s="319" t="s">
        <v>428</v>
      </c>
      <c r="CQ796" s="319" t="s">
        <v>190</v>
      </c>
      <c r="CR796" s="319" t="s">
        <v>190</v>
      </c>
      <c r="CS796" s="319" t="s">
        <v>190</v>
      </c>
      <c r="CT796" s="319" t="s">
        <v>190</v>
      </c>
      <c r="CU796" s="319" t="s">
        <v>190</v>
      </c>
      <c r="CV796" s="319" t="s">
        <v>190</v>
      </c>
      <c r="CW796" s="319" t="s">
        <v>190</v>
      </c>
      <c r="CX796" s="319" t="s">
        <v>190</v>
      </c>
      <c r="CY796" s="319" t="s">
        <v>190</v>
      </c>
      <c r="CZ796" s="319" t="s">
        <v>190</v>
      </c>
      <c r="DA796" s="319" t="s">
        <v>190</v>
      </c>
      <c r="DB796" s="319" t="s">
        <v>190</v>
      </c>
      <c r="DC796" s="319" t="s">
        <v>190</v>
      </c>
      <c r="DD796" s="319" t="s">
        <v>190</v>
      </c>
      <c r="DE796" s="319" t="s">
        <v>190</v>
      </c>
      <c r="DF796" s="319" t="s">
        <v>190</v>
      </c>
      <c r="DG796" s="319" t="s">
        <v>190</v>
      </c>
      <c r="DH796" s="319" t="s">
        <v>190</v>
      </c>
      <c r="DI796" s="319" t="s">
        <v>190</v>
      </c>
      <c r="DJ796" s="319" t="s">
        <v>190</v>
      </c>
      <c r="DK796" s="319" t="s">
        <v>190</v>
      </c>
      <c r="DL796" s="319" t="s">
        <v>190</v>
      </c>
      <c r="DM796" s="319" t="s">
        <v>190</v>
      </c>
      <c r="DN796" s="319" t="s">
        <v>428</v>
      </c>
      <c r="DO796" s="319" t="s">
        <v>190</v>
      </c>
      <c r="DP796" s="319" t="s">
        <v>428</v>
      </c>
      <c r="DQ796" s="319" t="s">
        <v>428</v>
      </c>
      <c r="DR796" s="319" t="s">
        <v>428</v>
      </c>
      <c r="DS796" s="319" t="s">
        <v>428</v>
      </c>
      <c r="DT796" s="319" t="s">
        <v>428</v>
      </c>
      <c r="DU796" s="319" t="s">
        <v>428</v>
      </c>
      <c r="DV796" s="319" t="s">
        <v>173</v>
      </c>
      <c r="DW796" s="319" t="s">
        <v>428</v>
      </c>
      <c r="DX796" s="319" t="s">
        <v>428</v>
      </c>
      <c r="DY796" s="319" t="s">
        <v>428</v>
      </c>
      <c r="DZ796" s="319" t="s">
        <v>428</v>
      </c>
      <c r="EA796" s="319" t="s">
        <v>428</v>
      </c>
      <c r="EB796" s="319" t="s">
        <v>428</v>
      </c>
      <c r="EC796" s="319" t="s">
        <v>428</v>
      </c>
      <c r="ED796" s="319" t="s">
        <v>428</v>
      </c>
      <c r="EE796" s="319" t="s">
        <v>428</v>
      </c>
      <c r="EF796" s="319" t="s">
        <v>428</v>
      </c>
      <c r="EG796" s="319" t="s">
        <v>428</v>
      </c>
      <c r="EH796" s="319" t="s">
        <v>428</v>
      </c>
      <c r="EI796" s="319" t="s">
        <v>428</v>
      </c>
      <c r="EJ796" s="319" t="s">
        <v>428</v>
      </c>
      <c r="EK796" s="319" t="s">
        <v>428</v>
      </c>
      <c r="EL796" s="319" t="s">
        <v>428</v>
      </c>
      <c r="EM796" s="319" t="s">
        <v>428</v>
      </c>
      <c r="EN796" s="319" t="s">
        <v>190</v>
      </c>
      <c r="EO796" s="319" t="s">
        <v>190</v>
      </c>
      <c r="EP796" s="319" t="s">
        <v>190</v>
      </c>
      <c r="EQ796" s="319" t="s">
        <v>190</v>
      </c>
      <c r="ER796" s="319" t="s">
        <v>190</v>
      </c>
      <c r="ES796" s="319" t="s">
        <v>190</v>
      </c>
      <c r="ET796" s="319" t="s">
        <v>190</v>
      </c>
      <c r="EU796" s="319" t="s">
        <v>190</v>
      </c>
      <c r="EV796" s="319" t="s">
        <v>190</v>
      </c>
      <c r="EW796" s="319" t="s">
        <v>190</v>
      </c>
      <c r="EX796" s="319" t="s">
        <v>190</v>
      </c>
      <c r="EY796" s="319" t="s">
        <v>190</v>
      </c>
      <c r="EZ796" s="319" t="s">
        <v>190</v>
      </c>
      <c r="FA796" s="319" t="s">
        <v>428</v>
      </c>
      <c r="FB796" s="319" t="s">
        <v>428</v>
      </c>
      <c r="FC796" s="319" t="s">
        <v>428</v>
      </c>
      <c r="FD796" s="319" t="s">
        <v>428</v>
      </c>
      <c r="FE796" s="319" t="s">
        <v>428</v>
      </c>
      <c r="FF796" s="319" t="s">
        <v>428</v>
      </c>
      <c r="FG796" s="319" t="s">
        <v>428</v>
      </c>
      <c r="FH796" s="319" t="s">
        <v>428</v>
      </c>
      <c r="FI796" s="319" t="s">
        <v>428</v>
      </c>
      <c r="FJ796" s="319" t="s">
        <v>429</v>
      </c>
      <c r="FK796" s="319" t="s">
        <v>428</v>
      </c>
      <c r="FL796" s="319" t="s">
        <v>190</v>
      </c>
      <c r="FM796" s="319" t="s">
        <v>190</v>
      </c>
      <c r="FN796" s="319" t="s">
        <v>190</v>
      </c>
      <c r="FO796" s="319" t="s">
        <v>190</v>
      </c>
      <c r="FP796" s="319" t="s">
        <v>190</v>
      </c>
      <c r="FQ796" s="319" t="s">
        <v>190</v>
      </c>
      <c r="FR796" s="319" t="s">
        <v>190</v>
      </c>
      <c r="FS796" s="319" t="s">
        <v>190</v>
      </c>
      <c r="FT796" s="319" t="s">
        <v>190</v>
      </c>
      <c r="FU796" s="319" t="s">
        <v>190</v>
      </c>
      <c r="FV796" s="319" t="s">
        <v>190</v>
      </c>
      <c r="FW796" s="319" t="s">
        <v>190</v>
      </c>
      <c r="FX796" s="319" t="s">
        <v>190</v>
      </c>
      <c r="FY796" s="319" t="s">
        <v>190</v>
      </c>
      <c r="FZ796" s="319" t="s">
        <v>190</v>
      </c>
      <c r="GA796" s="319" t="s">
        <v>190</v>
      </c>
      <c r="GB796" s="319" t="s">
        <v>190</v>
      </c>
      <c r="GC796" s="319" t="s">
        <v>190</v>
      </c>
      <c r="GD796" s="319" t="s">
        <v>190</v>
      </c>
      <c r="GE796" s="319" t="s">
        <v>190</v>
      </c>
      <c r="GF796" s="319" t="s">
        <v>190</v>
      </c>
      <c r="GG796" s="319" t="s">
        <v>190</v>
      </c>
      <c r="GH796" s="319" t="s">
        <v>190</v>
      </c>
      <c r="GI796" s="319" t="s">
        <v>190</v>
      </c>
      <c r="GJ796" s="319" t="s">
        <v>190</v>
      </c>
      <c r="GK796" s="319" t="s">
        <v>428</v>
      </c>
      <c r="GL796" s="319" t="s">
        <v>190</v>
      </c>
      <c r="GM796" s="319" t="s">
        <v>190</v>
      </c>
      <c r="GN796" s="319" t="s">
        <v>190</v>
      </c>
      <c r="GO796" s="319" t="s">
        <v>190</v>
      </c>
      <c r="GP796" s="319" t="s">
        <v>190</v>
      </c>
      <c r="GQ796" s="319" t="s">
        <v>428</v>
      </c>
      <c r="GR796" s="319" t="s">
        <v>190</v>
      </c>
      <c r="GS796" s="319" t="s">
        <v>190</v>
      </c>
      <c r="GT796" s="319" t="s">
        <v>190</v>
      </c>
      <c r="GU796" s="319" t="s">
        <v>190</v>
      </c>
      <c r="GV796" s="319" t="s">
        <v>428</v>
      </c>
      <c r="GW796" s="319" t="s">
        <v>190</v>
      </c>
      <c r="GX796" s="319" t="s">
        <v>190</v>
      </c>
      <c r="GY796" s="319" t="s">
        <v>190</v>
      </c>
      <c r="GZ796" s="319" t="s">
        <v>190</v>
      </c>
      <c r="HA796" s="319" t="s">
        <v>428</v>
      </c>
      <c r="HB796" s="319" t="s">
        <v>190</v>
      </c>
      <c r="HC796" s="319" t="s">
        <v>190</v>
      </c>
      <c r="HD796" s="319" t="s">
        <v>190</v>
      </c>
      <c r="HE796" s="319" t="s">
        <v>190</v>
      </c>
      <c r="HF796" s="319" t="s">
        <v>190</v>
      </c>
      <c r="HG796" s="319" t="s">
        <v>190</v>
      </c>
      <c r="HH796" s="319" t="s">
        <v>190</v>
      </c>
      <c r="HI796" s="319" t="s">
        <v>190</v>
      </c>
      <c r="HJ796" s="319" t="s">
        <v>190</v>
      </c>
      <c r="HK796" s="319" t="s">
        <v>190</v>
      </c>
      <c r="HL796" s="319" t="s">
        <v>428</v>
      </c>
      <c r="HM796" s="319" t="s">
        <v>428</v>
      </c>
      <c r="HN796" s="319" t="s">
        <v>428</v>
      </c>
      <c r="HO796" s="319" t="s">
        <v>428</v>
      </c>
      <c r="HP796" s="319" t="s">
        <v>190</v>
      </c>
      <c r="HQ796" s="319" t="s">
        <v>190</v>
      </c>
      <c r="HR796" s="319" t="s">
        <v>190</v>
      </c>
      <c r="HS796" s="319" t="s">
        <v>190</v>
      </c>
      <c r="HT796" s="319" t="s">
        <v>190</v>
      </c>
      <c r="HU796" s="319" t="s">
        <v>190</v>
      </c>
      <c r="HV796" s="319" t="s">
        <v>190</v>
      </c>
      <c r="HW796" s="319" t="s">
        <v>190</v>
      </c>
      <c r="HX796" s="319" t="s">
        <v>190</v>
      </c>
      <c r="HY796" s="319" t="s">
        <v>190</v>
      </c>
      <c r="HZ796" s="319" t="s">
        <v>190</v>
      </c>
      <c r="IA796" s="319" t="s">
        <v>190</v>
      </c>
      <c r="IB796" s="319" t="s">
        <v>190</v>
      </c>
      <c r="IC796" s="319" t="s">
        <v>190</v>
      </c>
      <c r="ID796" s="319" t="s">
        <v>190</v>
      </c>
      <c r="IE796" s="319" t="s">
        <v>190</v>
      </c>
      <c r="IF796" s="319" t="s">
        <v>190</v>
      </c>
      <c r="IG796" s="319" t="s">
        <v>190</v>
      </c>
      <c r="IH796" s="319" t="s">
        <v>190</v>
      </c>
      <c r="II796" s="319" t="s">
        <v>190</v>
      </c>
      <c r="IJ796" s="319">
        <v>10041403</v>
      </c>
      <c r="IK796" s="321">
        <v>43151</v>
      </c>
      <c r="IL796" s="321">
        <v>43152</v>
      </c>
      <c r="IM796" s="321">
        <v>43213</v>
      </c>
      <c r="IN796" s="319">
        <v>4</v>
      </c>
      <c r="IO796" s="319" t="s">
        <v>173</v>
      </c>
      <c r="IP796" s="319" t="s">
        <v>173</v>
      </c>
      <c r="IQ796" s="321" t="s">
        <v>173</v>
      </c>
      <c r="IR796" s="320" t="s">
        <v>173</v>
      </c>
      <c r="IS796" s="322" t="s">
        <v>173</v>
      </c>
      <c r="IT796" s="319" t="s">
        <v>173</v>
      </c>
    </row>
    <row r="797" spans="1:254" s="271" customFormat="1" x14ac:dyDescent="0.25">
      <c r="A797" s="318" t="str">
        <f>HYPERLINK("http://www.ofsted.gov.uk/inspection-reports/find-inspection-report/provider/ELS/141608 ","Ofsted School Webpage")</f>
        <v>Ofsted School Webpage</v>
      </c>
      <c r="B797" s="319">
        <v>141608</v>
      </c>
      <c r="C797" s="319">
        <v>3816015</v>
      </c>
      <c r="D797" s="319" t="s">
        <v>2295</v>
      </c>
      <c r="E797" s="319" t="s">
        <v>168</v>
      </c>
      <c r="F797" s="319" t="s">
        <v>81</v>
      </c>
      <c r="G797" s="319" t="s">
        <v>81</v>
      </c>
      <c r="H797" s="319" t="s">
        <v>81</v>
      </c>
      <c r="I797" s="319" t="s">
        <v>78</v>
      </c>
      <c r="J797" s="319" t="s">
        <v>424</v>
      </c>
      <c r="K797" s="319" t="s">
        <v>458</v>
      </c>
      <c r="L797" s="319" t="s">
        <v>459</v>
      </c>
      <c r="M797" s="319" t="s">
        <v>1616</v>
      </c>
      <c r="N797" s="319" t="s">
        <v>3091</v>
      </c>
      <c r="O797" s="319" t="s">
        <v>2296</v>
      </c>
      <c r="P797" s="319">
        <v>8</v>
      </c>
      <c r="Q797" s="319" t="s">
        <v>429</v>
      </c>
      <c r="R797" s="320">
        <v>10061283</v>
      </c>
      <c r="S797" s="321">
        <v>43536</v>
      </c>
      <c r="T797" s="321">
        <v>43538</v>
      </c>
      <c r="U797" s="321">
        <v>43563</v>
      </c>
      <c r="V797" s="319" t="s">
        <v>425</v>
      </c>
      <c r="W797" s="319" t="s">
        <v>2767</v>
      </c>
      <c r="X797" s="319">
        <v>2</v>
      </c>
      <c r="Y797" s="319" t="s">
        <v>173</v>
      </c>
      <c r="Z797" s="319" t="s">
        <v>173</v>
      </c>
      <c r="AA797" s="319" t="s">
        <v>173</v>
      </c>
      <c r="AB797" s="319">
        <v>2</v>
      </c>
      <c r="AC797" s="319" t="s">
        <v>169</v>
      </c>
      <c r="AD797" s="319" t="s">
        <v>173</v>
      </c>
      <c r="AE797" s="319" t="s">
        <v>173</v>
      </c>
      <c r="AF797" s="319" t="s">
        <v>447</v>
      </c>
      <c r="AG797" s="319" t="s">
        <v>171</v>
      </c>
      <c r="AH797" s="319" t="s">
        <v>190</v>
      </c>
      <c r="AI797" s="319" t="s">
        <v>190</v>
      </c>
      <c r="AJ797" s="319" t="s">
        <v>190</v>
      </c>
      <c r="AK797" s="319" t="s">
        <v>190</v>
      </c>
      <c r="AL797" s="319" t="s">
        <v>190</v>
      </c>
      <c r="AM797" s="319" t="s">
        <v>190</v>
      </c>
      <c r="AN797" s="319" t="s">
        <v>190</v>
      </c>
      <c r="AO797" s="319" t="s">
        <v>190</v>
      </c>
      <c r="AP797" s="319" t="s">
        <v>190</v>
      </c>
      <c r="AQ797" s="319" t="s">
        <v>190</v>
      </c>
      <c r="AR797" s="319" t="s">
        <v>190</v>
      </c>
      <c r="AS797" s="319" t="s">
        <v>190</v>
      </c>
      <c r="AT797" s="319" t="s">
        <v>190</v>
      </c>
      <c r="AU797" s="319" t="s">
        <v>190</v>
      </c>
      <c r="AV797" s="319" t="s">
        <v>190</v>
      </c>
      <c r="AW797" s="319" t="s">
        <v>190</v>
      </c>
      <c r="AX797" s="319" t="s">
        <v>428</v>
      </c>
      <c r="AY797" s="319" t="s">
        <v>190</v>
      </c>
      <c r="AZ797" s="319" t="s">
        <v>190</v>
      </c>
      <c r="BA797" s="319" t="s">
        <v>190</v>
      </c>
      <c r="BB797" s="319" t="s">
        <v>428</v>
      </c>
      <c r="BC797" s="319" t="s">
        <v>428</v>
      </c>
      <c r="BD797" s="319" t="s">
        <v>428</v>
      </c>
      <c r="BE797" s="319" t="s">
        <v>428</v>
      </c>
      <c r="BF797" s="319" t="s">
        <v>428</v>
      </c>
      <c r="BG797" s="319" t="s">
        <v>428</v>
      </c>
      <c r="BH797" s="319" t="s">
        <v>428</v>
      </c>
      <c r="BI797" s="319" t="s">
        <v>428</v>
      </c>
      <c r="BJ797" s="319" t="s">
        <v>190</v>
      </c>
      <c r="BK797" s="319" t="s">
        <v>190</v>
      </c>
      <c r="BL797" s="319" t="s">
        <v>190</v>
      </c>
      <c r="BM797" s="319" t="s">
        <v>190</v>
      </c>
      <c r="BN797" s="319" t="s">
        <v>190</v>
      </c>
      <c r="BO797" s="319" t="s">
        <v>190</v>
      </c>
      <c r="BP797" s="319" t="s">
        <v>190</v>
      </c>
      <c r="BQ797" s="319" t="s">
        <v>190</v>
      </c>
      <c r="BR797" s="319" t="s">
        <v>190</v>
      </c>
      <c r="BS797" s="319" t="s">
        <v>190</v>
      </c>
      <c r="BT797" s="319" t="s">
        <v>190</v>
      </c>
      <c r="BU797" s="319" t="s">
        <v>190</v>
      </c>
      <c r="BV797" s="319" t="s">
        <v>190</v>
      </c>
      <c r="BW797" s="319" t="s">
        <v>190</v>
      </c>
      <c r="BX797" s="319" t="s">
        <v>190</v>
      </c>
      <c r="BY797" s="319" t="s">
        <v>190</v>
      </c>
      <c r="BZ797" s="319" t="s">
        <v>190</v>
      </c>
      <c r="CA797" s="319" t="s">
        <v>190</v>
      </c>
      <c r="CB797" s="319" t="s">
        <v>190</v>
      </c>
      <c r="CC797" s="319" t="s">
        <v>190</v>
      </c>
      <c r="CD797" s="319" t="s">
        <v>190</v>
      </c>
      <c r="CE797" s="319" t="s">
        <v>190</v>
      </c>
      <c r="CF797" s="319" t="s">
        <v>190</v>
      </c>
      <c r="CG797" s="319" t="s">
        <v>190</v>
      </c>
      <c r="CH797" s="319" t="s">
        <v>190</v>
      </c>
      <c r="CI797" s="319" t="s">
        <v>190</v>
      </c>
      <c r="CJ797" s="319" t="s">
        <v>190</v>
      </c>
      <c r="CK797" s="319" t="s">
        <v>190</v>
      </c>
      <c r="CL797" s="319" t="s">
        <v>190</v>
      </c>
      <c r="CM797" s="319" t="s">
        <v>190</v>
      </c>
      <c r="CN797" s="319" t="s">
        <v>428</v>
      </c>
      <c r="CO797" s="319" t="s">
        <v>428</v>
      </c>
      <c r="CP797" s="319" t="s">
        <v>428</v>
      </c>
      <c r="CQ797" s="319" t="s">
        <v>190</v>
      </c>
      <c r="CR797" s="319" t="s">
        <v>190</v>
      </c>
      <c r="CS797" s="319" t="s">
        <v>190</v>
      </c>
      <c r="CT797" s="319" t="s">
        <v>190</v>
      </c>
      <c r="CU797" s="319" t="s">
        <v>190</v>
      </c>
      <c r="CV797" s="319" t="s">
        <v>190</v>
      </c>
      <c r="CW797" s="319" t="s">
        <v>190</v>
      </c>
      <c r="CX797" s="319" t="s">
        <v>190</v>
      </c>
      <c r="CY797" s="319" t="s">
        <v>190</v>
      </c>
      <c r="CZ797" s="319" t="s">
        <v>190</v>
      </c>
      <c r="DA797" s="319" t="s">
        <v>190</v>
      </c>
      <c r="DB797" s="319" t="s">
        <v>190</v>
      </c>
      <c r="DC797" s="319" t="s">
        <v>190</v>
      </c>
      <c r="DD797" s="319" t="s">
        <v>190</v>
      </c>
      <c r="DE797" s="319" t="s">
        <v>190</v>
      </c>
      <c r="DF797" s="319" t="s">
        <v>190</v>
      </c>
      <c r="DG797" s="319" t="s">
        <v>190</v>
      </c>
      <c r="DH797" s="319" t="s">
        <v>190</v>
      </c>
      <c r="DI797" s="319" t="s">
        <v>190</v>
      </c>
      <c r="DJ797" s="319" t="s">
        <v>190</v>
      </c>
      <c r="DK797" s="319" t="s">
        <v>190</v>
      </c>
      <c r="DL797" s="319" t="s">
        <v>190</v>
      </c>
      <c r="DM797" s="319" t="s">
        <v>190</v>
      </c>
      <c r="DN797" s="319" t="s">
        <v>428</v>
      </c>
      <c r="DO797" s="319" t="s">
        <v>190</v>
      </c>
      <c r="DP797" s="319" t="s">
        <v>428</v>
      </c>
      <c r="DQ797" s="319" t="s">
        <v>428</v>
      </c>
      <c r="DR797" s="319" t="s">
        <v>428</v>
      </c>
      <c r="DS797" s="319" t="s">
        <v>428</v>
      </c>
      <c r="DT797" s="319" t="s">
        <v>428</v>
      </c>
      <c r="DU797" s="319" t="s">
        <v>428</v>
      </c>
      <c r="DV797" s="319" t="s">
        <v>173</v>
      </c>
      <c r="DW797" s="319" t="s">
        <v>428</v>
      </c>
      <c r="DX797" s="319" t="s">
        <v>428</v>
      </c>
      <c r="DY797" s="319" t="s">
        <v>428</v>
      </c>
      <c r="DZ797" s="319" t="s">
        <v>428</v>
      </c>
      <c r="EA797" s="319" t="s">
        <v>428</v>
      </c>
      <c r="EB797" s="319" t="s">
        <v>428</v>
      </c>
      <c r="EC797" s="319" t="s">
        <v>428</v>
      </c>
      <c r="ED797" s="319" t="s">
        <v>428</v>
      </c>
      <c r="EE797" s="319" t="s">
        <v>190</v>
      </c>
      <c r="EF797" s="319" t="s">
        <v>190</v>
      </c>
      <c r="EG797" s="319" t="s">
        <v>190</v>
      </c>
      <c r="EH797" s="319" t="s">
        <v>190</v>
      </c>
      <c r="EI797" s="319" t="s">
        <v>190</v>
      </c>
      <c r="EJ797" s="319" t="s">
        <v>190</v>
      </c>
      <c r="EK797" s="319" t="s">
        <v>190</v>
      </c>
      <c r="EL797" s="319" t="s">
        <v>190</v>
      </c>
      <c r="EM797" s="319" t="s">
        <v>190</v>
      </c>
      <c r="EN797" s="319" t="s">
        <v>190</v>
      </c>
      <c r="EO797" s="319" t="s">
        <v>190</v>
      </c>
      <c r="EP797" s="319" t="s">
        <v>190</v>
      </c>
      <c r="EQ797" s="319" t="s">
        <v>190</v>
      </c>
      <c r="ER797" s="319" t="s">
        <v>190</v>
      </c>
      <c r="ES797" s="319" t="s">
        <v>190</v>
      </c>
      <c r="ET797" s="319" t="s">
        <v>190</v>
      </c>
      <c r="EU797" s="319" t="s">
        <v>190</v>
      </c>
      <c r="EV797" s="319" t="s">
        <v>190</v>
      </c>
      <c r="EW797" s="319" t="s">
        <v>190</v>
      </c>
      <c r="EX797" s="319" t="s">
        <v>190</v>
      </c>
      <c r="EY797" s="319" t="s">
        <v>190</v>
      </c>
      <c r="EZ797" s="319" t="s">
        <v>190</v>
      </c>
      <c r="FA797" s="319" t="s">
        <v>190</v>
      </c>
      <c r="FB797" s="319" t="s">
        <v>428</v>
      </c>
      <c r="FC797" s="319" t="s">
        <v>428</v>
      </c>
      <c r="FD797" s="319" t="s">
        <v>428</v>
      </c>
      <c r="FE797" s="319" t="s">
        <v>428</v>
      </c>
      <c r="FF797" s="319" t="s">
        <v>428</v>
      </c>
      <c r="FG797" s="319" t="s">
        <v>428</v>
      </c>
      <c r="FH797" s="319" t="s">
        <v>190</v>
      </c>
      <c r="FI797" s="319" t="s">
        <v>190</v>
      </c>
      <c r="FJ797" s="319" t="s">
        <v>190</v>
      </c>
      <c r="FK797" s="319" t="s">
        <v>190</v>
      </c>
      <c r="FL797" s="319" t="s">
        <v>190</v>
      </c>
      <c r="FM797" s="319" t="s">
        <v>190</v>
      </c>
      <c r="FN797" s="319" t="s">
        <v>190</v>
      </c>
      <c r="FO797" s="319" t="s">
        <v>428</v>
      </c>
      <c r="FP797" s="319" t="s">
        <v>190</v>
      </c>
      <c r="FQ797" s="319" t="s">
        <v>190</v>
      </c>
      <c r="FR797" s="319" t="s">
        <v>190</v>
      </c>
      <c r="FS797" s="319" t="s">
        <v>428</v>
      </c>
      <c r="FT797" s="319" t="s">
        <v>190</v>
      </c>
      <c r="FU797" s="319" t="s">
        <v>190</v>
      </c>
      <c r="FV797" s="319" t="s">
        <v>190</v>
      </c>
      <c r="FW797" s="319" t="s">
        <v>190</v>
      </c>
      <c r="FX797" s="319" t="s">
        <v>190</v>
      </c>
      <c r="FY797" s="319" t="s">
        <v>190</v>
      </c>
      <c r="FZ797" s="319" t="s">
        <v>190</v>
      </c>
      <c r="GA797" s="319" t="s">
        <v>190</v>
      </c>
      <c r="GB797" s="319" t="s">
        <v>190</v>
      </c>
      <c r="GC797" s="319" t="s">
        <v>190</v>
      </c>
      <c r="GD797" s="319" t="s">
        <v>190</v>
      </c>
      <c r="GE797" s="319" t="s">
        <v>190</v>
      </c>
      <c r="GF797" s="319" t="s">
        <v>190</v>
      </c>
      <c r="GG797" s="319" t="s">
        <v>190</v>
      </c>
      <c r="GH797" s="319" t="s">
        <v>190</v>
      </c>
      <c r="GI797" s="319" t="s">
        <v>190</v>
      </c>
      <c r="GJ797" s="319" t="s">
        <v>190</v>
      </c>
      <c r="GK797" s="319" t="s">
        <v>428</v>
      </c>
      <c r="GL797" s="319" t="s">
        <v>190</v>
      </c>
      <c r="GM797" s="319" t="s">
        <v>190</v>
      </c>
      <c r="GN797" s="319" t="s">
        <v>190</v>
      </c>
      <c r="GO797" s="319" t="s">
        <v>190</v>
      </c>
      <c r="GP797" s="319" t="s">
        <v>190</v>
      </c>
      <c r="GQ797" s="319" t="s">
        <v>428</v>
      </c>
      <c r="GR797" s="319" t="s">
        <v>190</v>
      </c>
      <c r="GS797" s="319" t="s">
        <v>190</v>
      </c>
      <c r="GT797" s="319" t="s">
        <v>190</v>
      </c>
      <c r="GU797" s="319" t="s">
        <v>190</v>
      </c>
      <c r="GV797" s="319" t="s">
        <v>428</v>
      </c>
      <c r="GW797" s="319" t="s">
        <v>190</v>
      </c>
      <c r="GX797" s="319" t="s">
        <v>190</v>
      </c>
      <c r="GY797" s="319" t="s">
        <v>190</v>
      </c>
      <c r="GZ797" s="319" t="s">
        <v>428</v>
      </c>
      <c r="HA797" s="319" t="s">
        <v>190</v>
      </c>
      <c r="HB797" s="319" t="s">
        <v>428</v>
      </c>
      <c r="HC797" s="319" t="s">
        <v>190</v>
      </c>
      <c r="HD797" s="319" t="s">
        <v>190</v>
      </c>
      <c r="HE797" s="319" t="s">
        <v>190</v>
      </c>
      <c r="HF797" s="319" t="s">
        <v>190</v>
      </c>
      <c r="HG797" s="319" t="s">
        <v>190</v>
      </c>
      <c r="HH797" s="319" t="s">
        <v>190</v>
      </c>
      <c r="HI797" s="319" t="s">
        <v>190</v>
      </c>
      <c r="HJ797" s="319" t="s">
        <v>190</v>
      </c>
      <c r="HK797" s="319" t="s">
        <v>190</v>
      </c>
      <c r="HL797" s="319" t="s">
        <v>428</v>
      </c>
      <c r="HM797" s="319" t="s">
        <v>428</v>
      </c>
      <c r="HN797" s="319" t="s">
        <v>428</v>
      </c>
      <c r="HO797" s="319" t="s">
        <v>428</v>
      </c>
      <c r="HP797" s="319" t="s">
        <v>190</v>
      </c>
      <c r="HQ797" s="319" t="s">
        <v>190</v>
      </c>
      <c r="HR797" s="319" t="s">
        <v>190</v>
      </c>
      <c r="HS797" s="319" t="s">
        <v>190</v>
      </c>
      <c r="HT797" s="319" t="s">
        <v>190</v>
      </c>
      <c r="HU797" s="319" t="s">
        <v>190</v>
      </c>
      <c r="HV797" s="319" t="s">
        <v>190</v>
      </c>
      <c r="HW797" s="319" t="s">
        <v>190</v>
      </c>
      <c r="HX797" s="319" t="s">
        <v>190</v>
      </c>
      <c r="HY797" s="319" t="s">
        <v>190</v>
      </c>
      <c r="HZ797" s="319" t="s">
        <v>190</v>
      </c>
      <c r="IA797" s="319" t="s">
        <v>190</v>
      </c>
      <c r="IB797" s="319" t="s">
        <v>190</v>
      </c>
      <c r="IC797" s="319" t="s">
        <v>190</v>
      </c>
      <c r="ID797" s="319" t="s">
        <v>190</v>
      </c>
      <c r="IE797" s="319" t="s">
        <v>190</v>
      </c>
      <c r="IF797" s="319" t="s">
        <v>190</v>
      </c>
      <c r="IG797" s="319" t="s">
        <v>190</v>
      </c>
      <c r="IH797" s="319" t="s">
        <v>190</v>
      </c>
      <c r="II797" s="319" t="s">
        <v>190</v>
      </c>
      <c r="IJ797" s="319">
        <v>10006311</v>
      </c>
      <c r="IK797" s="321">
        <v>42430</v>
      </c>
      <c r="IL797" s="321">
        <v>42431</v>
      </c>
      <c r="IM797" s="321">
        <v>42473</v>
      </c>
      <c r="IN797" s="319">
        <v>2</v>
      </c>
      <c r="IO797" s="319" t="s">
        <v>173</v>
      </c>
      <c r="IP797" s="319" t="s">
        <v>173</v>
      </c>
      <c r="IQ797" s="319" t="s">
        <v>173</v>
      </c>
      <c r="IR797" s="320" t="s">
        <v>173</v>
      </c>
      <c r="IS797" s="320" t="s">
        <v>173</v>
      </c>
      <c r="IT797" s="319" t="s">
        <v>173</v>
      </c>
    </row>
    <row r="798" spans="1:254" s="271" customFormat="1" x14ac:dyDescent="0.25">
      <c r="A798" s="318" t="str">
        <f>HYPERLINK("http://www.ofsted.gov.uk/inspection-reports/find-inspection-report/provider/ELS/141680 ","Ofsted School Webpage")</f>
        <v>Ofsted School Webpage</v>
      </c>
      <c r="B798" s="319">
        <v>141680</v>
      </c>
      <c r="C798" s="319">
        <v>3526010</v>
      </c>
      <c r="D798" s="319" t="s">
        <v>659</v>
      </c>
      <c r="E798" s="319" t="s">
        <v>167</v>
      </c>
      <c r="F798" s="319" t="s">
        <v>81</v>
      </c>
      <c r="G798" s="319" t="s">
        <v>81</v>
      </c>
      <c r="H798" s="319" t="s">
        <v>81</v>
      </c>
      <c r="I798" s="319" t="s">
        <v>78</v>
      </c>
      <c r="J798" s="319" t="s">
        <v>424</v>
      </c>
      <c r="K798" s="319" t="s">
        <v>431</v>
      </c>
      <c r="L798" s="319" t="s">
        <v>431</v>
      </c>
      <c r="M798" s="319" t="s">
        <v>660</v>
      </c>
      <c r="N798" s="319" t="s">
        <v>2874</v>
      </c>
      <c r="O798" s="319" t="s">
        <v>661</v>
      </c>
      <c r="P798" s="319">
        <v>47</v>
      </c>
      <c r="Q798" s="319" t="s">
        <v>2766</v>
      </c>
      <c r="R798" s="320">
        <v>10053736</v>
      </c>
      <c r="S798" s="321">
        <v>43417</v>
      </c>
      <c r="T798" s="321">
        <v>43419</v>
      </c>
      <c r="U798" s="321">
        <v>43451</v>
      </c>
      <c r="V798" s="319" t="s">
        <v>425</v>
      </c>
      <c r="W798" s="319" t="s">
        <v>2767</v>
      </c>
      <c r="X798" s="319">
        <v>3</v>
      </c>
      <c r="Y798" s="319" t="s">
        <v>173</v>
      </c>
      <c r="Z798" s="319" t="s">
        <v>173</v>
      </c>
      <c r="AA798" s="319" t="s">
        <v>173</v>
      </c>
      <c r="AB798" s="319">
        <v>3</v>
      </c>
      <c r="AC798" s="319" t="s">
        <v>169</v>
      </c>
      <c r="AD798" s="319" t="s">
        <v>173</v>
      </c>
      <c r="AE798" s="319" t="s">
        <v>173</v>
      </c>
      <c r="AF798" s="319" t="s">
        <v>427</v>
      </c>
      <c r="AG798" s="319" t="s">
        <v>172</v>
      </c>
      <c r="AH798" s="319" t="s">
        <v>190</v>
      </c>
      <c r="AI798" s="319" t="s">
        <v>190</v>
      </c>
      <c r="AJ798" s="319" t="s">
        <v>479</v>
      </c>
      <c r="AK798" s="319" t="s">
        <v>190</v>
      </c>
      <c r="AL798" s="319" t="s">
        <v>190</v>
      </c>
      <c r="AM798" s="319" t="s">
        <v>190</v>
      </c>
      <c r="AN798" s="319" t="s">
        <v>190</v>
      </c>
      <c r="AO798" s="319" t="s">
        <v>190</v>
      </c>
      <c r="AP798" s="319" t="s">
        <v>190</v>
      </c>
      <c r="AQ798" s="319" t="s">
        <v>190</v>
      </c>
      <c r="AR798" s="319" t="s">
        <v>190</v>
      </c>
      <c r="AS798" s="319" t="s">
        <v>190</v>
      </c>
      <c r="AT798" s="319" t="s">
        <v>190</v>
      </c>
      <c r="AU798" s="319" t="s">
        <v>190</v>
      </c>
      <c r="AV798" s="319" t="s">
        <v>190</v>
      </c>
      <c r="AW798" s="319" t="s">
        <v>190</v>
      </c>
      <c r="AX798" s="319" t="s">
        <v>428</v>
      </c>
      <c r="AY798" s="319" t="s">
        <v>190</v>
      </c>
      <c r="AZ798" s="319" t="s">
        <v>190</v>
      </c>
      <c r="BA798" s="319" t="s">
        <v>190</v>
      </c>
      <c r="BB798" s="319" t="s">
        <v>190</v>
      </c>
      <c r="BC798" s="319" t="s">
        <v>190</v>
      </c>
      <c r="BD798" s="319" t="s">
        <v>190</v>
      </c>
      <c r="BE798" s="319" t="s">
        <v>190</v>
      </c>
      <c r="BF798" s="319" t="s">
        <v>428</v>
      </c>
      <c r="BG798" s="319" t="s">
        <v>428</v>
      </c>
      <c r="BH798" s="319" t="s">
        <v>190</v>
      </c>
      <c r="BI798" s="319" t="s">
        <v>190</v>
      </c>
      <c r="BJ798" s="319" t="s">
        <v>190</v>
      </c>
      <c r="BK798" s="319" t="s">
        <v>190</v>
      </c>
      <c r="BL798" s="319" t="s">
        <v>190</v>
      </c>
      <c r="BM798" s="319" t="s">
        <v>190</v>
      </c>
      <c r="BN798" s="319" t="s">
        <v>190</v>
      </c>
      <c r="BO798" s="319" t="s">
        <v>190</v>
      </c>
      <c r="BP798" s="319" t="s">
        <v>190</v>
      </c>
      <c r="BQ798" s="319" t="s">
        <v>190</v>
      </c>
      <c r="BR798" s="319" t="s">
        <v>190</v>
      </c>
      <c r="BS798" s="319" t="s">
        <v>190</v>
      </c>
      <c r="BT798" s="319" t="s">
        <v>190</v>
      </c>
      <c r="BU798" s="319" t="s">
        <v>190</v>
      </c>
      <c r="BV798" s="319" t="s">
        <v>190</v>
      </c>
      <c r="BW798" s="319" t="s">
        <v>190</v>
      </c>
      <c r="BX798" s="319" t="s">
        <v>190</v>
      </c>
      <c r="BY798" s="319" t="s">
        <v>190</v>
      </c>
      <c r="BZ798" s="319" t="s">
        <v>190</v>
      </c>
      <c r="CA798" s="319" t="s">
        <v>190</v>
      </c>
      <c r="CB798" s="319" t="s">
        <v>190</v>
      </c>
      <c r="CC798" s="319" t="s">
        <v>190</v>
      </c>
      <c r="CD798" s="319" t="s">
        <v>190</v>
      </c>
      <c r="CE798" s="319" t="s">
        <v>190</v>
      </c>
      <c r="CF798" s="319" t="s">
        <v>190</v>
      </c>
      <c r="CG798" s="319" t="s">
        <v>190</v>
      </c>
      <c r="CH798" s="319" t="s">
        <v>190</v>
      </c>
      <c r="CI798" s="319" t="s">
        <v>190</v>
      </c>
      <c r="CJ798" s="319" t="s">
        <v>190</v>
      </c>
      <c r="CK798" s="319" t="s">
        <v>191</v>
      </c>
      <c r="CL798" s="319" t="s">
        <v>190</v>
      </c>
      <c r="CM798" s="319" t="s">
        <v>190</v>
      </c>
      <c r="CN798" s="319" t="s">
        <v>190</v>
      </c>
      <c r="CO798" s="319" t="s">
        <v>428</v>
      </c>
      <c r="CP798" s="319" t="s">
        <v>428</v>
      </c>
      <c r="CQ798" s="319" t="s">
        <v>190</v>
      </c>
      <c r="CR798" s="319" t="s">
        <v>190</v>
      </c>
      <c r="CS798" s="319" t="s">
        <v>190</v>
      </c>
      <c r="CT798" s="319" t="s">
        <v>190</v>
      </c>
      <c r="CU798" s="319" t="s">
        <v>190</v>
      </c>
      <c r="CV798" s="319" t="s">
        <v>190</v>
      </c>
      <c r="CW798" s="319" t="s">
        <v>190</v>
      </c>
      <c r="CX798" s="319" t="s">
        <v>190</v>
      </c>
      <c r="CY798" s="319" t="s">
        <v>190</v>
      </c>
      <c r="CZ798" s="319" t="s">
        <v>190</v>
      </c>
      <c r="DA798" s="319" t="s">
        <v>190</v>
      </c>
      <c r="DB798" s="319" t="s">
        <v>190</v>
      </c>
      <c r="DC798" s="319" t="s">
        <v>190</v>
      </c>
      <c r="DD798" s="319" t="s">
        <v>190</v>
      </c>
      <c r="DE798" s="319" t="s">
        <v>190</v>
      </c>
      <c r="DF798" s="319" t="s">
        <v>190</v>
      </c>
      <c r="DG798" s="319" t="s">
        <v>190</v>
      </c>
      <c r="DH798" s="319" t="s">
        <v>190</v>
      </c>
      <c r="DI798" s="319" t="s">
        <v>190</v>
      </c>
      <c r="DJ798" s="319" t="s">
        <v>190</v>
      </c>
      <c r="DK798" s="319" t="s">
        <v>190</v>
      </c>
      <c r="DL798" s="319" t="s">
        <v>190</v>
      </c>
      <c r="DM798" s="319" t="s">
        <v>190</v>
      </c>
      <c r="DN798" s="319" t="s">
        <v>428</v>
      </c>
      <c r="DO798" s="319" t="s">
        <v>190</v>
      </c>
      <c r="DP798" s="319" t="s">
        <v>190</v>
      </c>
      <c r="DQ798" s="319" t="s">
        <v>190</v>
      </c>
      <c r="DR798" s="319" t="s">
        <v>190</v>
      </c>
      <c r="DS798" s="319" t="s">
        <v>190</v>
      </c>
      <c r="DT798" s="319" t="s">
        <v>190</v>
      </c>
      <c r="DU798" s="319" t="s">
        <v>190</v>
      </c>
      <c r="DV798" s="319" t="s">
        <v>173</v>
      </c>
      <c r="DW798" s="319" t="s">
        <v>190</v>
      </c>
      <c r="DX798" s="319" t="s">
        <v>190</v>
      </c>
      <c r="DY798" s="319" t="s">
        <v>190</v>
      </c>
      <c r="DZ798" s="319" t="s">
        <v>190</v>
      </c>
      <c r="EA798" s="319" t="s">
        <v>190</v>
      </c>
      <c r="EB798" s="319" t="s">
        <v>190</v>
      </c>
      <c r="EC798" s="319" t="s">
        <v>190</v>
      </c>
      <c r="ED798" s="319" t="s">
        <v>190</v>
      </c>
      <c r="EE798" s="319" t="s">
        <v>190</v>
      </c>
      <c r="EF798" s="319" t="s">
        <v>190</v>
      </c>
      <c r="EG798" s="319" t="s">
        <v>190</v>
      </c>
      <c r="EH798" s="319" t="s">
        <v>190</v>
      </c>
      <c r="EI798" s="319" t="s">
        <v>190</v>
      </c>
      <c r="EJ798" s="319" t="s">
        <v>190</v>
      </c>
      <c r="EK798" s="319" t="s">
        <v>190</v>
      </c>
      <c r="EL798" s="319" t="s">
        <v>190</v>
      </c>
      <c r="EM798" s="319" t="s">
        <v>190</v>
      </c>
      <c r="EN798" s="319" t="s">
        <v>190</v>
      </c>
      <c r="EO798" s="319" t="s">
        <v>190</v>
      </c>
      <c r="EP798" s="319" t="s">
        <v>190</v>
      </c>
      <c r="EQ798" s="319" t="s">
        <v>190</v>
      </c>
      <c r="ER798" s="319" t="s">
        <v>190</v>
      </c>
      <c r="ES798" s="319" t="s">
        <v>190</v>
      </c>
      <c r="ET798" s="319" t="s">
        <v>190</v>
      </c>
      <c r="EU798" s="319" t="s">
        <v>190</v>
      </c>
      <c r="EV798" s="319" t="s">
        <v>190</v>
      </c>
      <c r="EW798" s="319" t="s">
        <v>190</v>
      </c>
      <c r="EX798" s="319" t="s">
        <v>190</v>
      </c>
      <c r="EY798" s="319" t="s">
        <v>190</v>
      </c>
      <c r="EZ798" s="319" t="s">
        <v>190</v>
      </c>
      <c r="FA798" s="319" t="s">
        <v>190</v>
      </c>
      <c r="FB798" s="319" t="s">
        <v>190</v>
      </c>
      <c r="FC798" s="319" t="s">
        <v>190</v>
      </c>
      <c r="FD798" s="319" t="s">
        <v>190</v>
      </c>
      <c r="FE798" s="319" t="s">
        <v>190</v>
      </c>
      <c r="FF798" s="319" t="s">
        <v>190</v>
      </c>
      <c r="FG798" s="319" t="s">
        <v>190</v>
      </c>
      <c r="FH798" s="319" t="s">
        <v>190</v>
      </c>
      <c r="FI798" s="319" t="s">
        <v>190</v>
      </c>
      <c r="FJ798" s="319" t="s">
        <v>190</v>
      </c>
      <c r="FK798" s="319" t="s">
        <v>190</v>
      </c>
      <c r="FL798" s="319" t="s">
        <v>190</v>
      </c>
      <c r="FM798" s="319" t="s">
        <v>190</v>
      </c>
      <c r="FN798" s="319" t="s">
        <v>190</v>
      </c>
      <c r="FO798" s="319" t="s">
        <v>190</v>
      </c>
      <c r="FP798" s="319" t="s">
        <v>190</v>
      </c>
      <c r="FQ798" s="319" t="s">
        <v>190</v>
      </c>
      <c r="FR798" s="319" t="s">
        <v>190</v>
      </c>
      <c r="FS798" s="319" t="s">
        <v>428</v>
      </c>
      <c r="FT798" s="319" t="s">
        <v>190</v>
      </c>
      <c r="FU798" s="319" t="s">
        <v>190</v>
      </c>
      <c r="FV798" s="319" t="s">
        <v>190</v>
      </c>
      <c r="FW798" s="319" t="s">
        <v>190</v>
      </c>
      <c r="FX798" s="319" t="s">
        <v>190</v>
      </c>
      <c r="FY798" s="319" t="s">
        <v>190</v>
      </c>
      <c r="FZ798" s="319" t="s">
        <v>190</v>
      </c>
      <c r="GA798" s="319" t="s">
        <v>190</v>
      </c>
      <c r="GB798" s="319" t="s">
        <v>190</v>
      </c>
      <c r="GC798" s="319" t="s">
        <v>190</v>
      </c>
      <c r="GD798" s="319" t="s">
        <v>190</v>
      </c>
      <c r="GE798" s="319" t="s">
        <v>190</v>
      </c>
      <c r="GF798" s="319" t="s">
        <v>190</v>
      </c>
      <c r="GG798" s="319" t="s">
        <v>190</v>
      </c>
      <c r="GH798" s="319" t="s">
        <v>190</v>
      </c>
      <c r="GI798" s="319" t="s">
        <v>190</v>
      </c>
      <c r="GJ798" s="319" t="s">
        <v>190</v>
      </c>
      <c r="GK798" s="319" t="s">
        <v>428</v>
      </c>
      <c r="GL798" s="319" t="s">
        <v>190</v>
      </c>
      <c r="GM798" s="319" t="s">
        <v>190</v>
      </c>
      <c r="GN798" s="319" t="s">
        <v>190</v>
      </c>
      <c r="GO798" s="319" t="s">
        <v>190</v>
      </c>
      <c r="GP798" s="319" t="s">
        <v>190</v>
      </c>
      <c r="GQ798" s="319" t="s">
        <v>190</v>
      </c>
      <c r="GR798" s="319" t="s">
        <v>190</v>
      </c>
      <c r="GS798" s="319" t="s">
        <v>190</v>
      </c>
      <c r="GT798" s="319" t="s">
        <v>190</v>
      </c>
      <c r="GU798" s="319" t="s">
        <v>190</v>
      </c>
      <c r="GV798" s="319" t="s">
        <v>190</v>
      </c>
      <c r="GW798" s="319" t="s">
        <v>190</v>
      </c>
      <c r="GX798" s="319" t="s">
        <v>190</v>
      </c>
      <c r="GY798" s="319" t="s">
        <v>190</v>
      </c>
      <c r="GZ798" s="319" t="s">
        <v>190</v>
      </c>
      <c r="HA798" s="319" t="s">
        <v>190</v>
      </c>
      <c r="HB798" s="319" t="s">
        <v>190</v>
      </c>
      <c r="HC798" s="319" t="s">
        <v>190</v>
      </c>
      <c r="HD798" s="319" t="s">
        <v>190</v>
      </c>
      <c r="HE798" s="319" t="s">
        <v>190</v>
      </c>
      <c r="HF798" s="319" t="s">
        <v>190</v>
      </c>
      <c r="HG798" s="319" t="s">
        <v>190</v>
      </c>
      <c r="HH798" s="319" t="s">
        <v>190</v>
      </c>
      <c r="HI798" s="319" t="s">
        <v>190</v>
      </c>
      <c r="HJ798" s="319" t="s">
        <v>190</v>
      </c>
      <c r="HK798" s="319" t="s">
        <v>190</v>
      </c>
      <c r="HL798" s="319" t="s">
        <v>190</v>
      </c>
      <c r="HM798" s="319" t="s">
        <v>190</v>
      </c>
      <c r="HN798" s="319" t="s">
        <v>190</v>
      </c>
      <c r="HO798" s="319" t="s">
        <v>190</v>
      </c>
      <c r="HP798" s="319" t="s">
        <v>190</v>
      </c>
      <c r="HQ798" s="319" t="s">
        <v>190</v>
      </c>
      <c r="HR798" s="319" t="s">
        <v>190</v>
      </c>
      <c r="HS798" s="319" t="s">
        <v>190</v>
      </c>
      <c r="HT798" s="319" t="s">
        <v>190</v>
      </c>
      <c r="HU798" s="319" t="s">
        <v>190</v>
      </c>
      <c r="HV798" s="319" t="s">
        <v>190</v>
      </c>
      <c r="HW798" s="319" t="s">
        <v>190</v>
      </c>
      <c r="HX798" s="319" t="s">
        <v>190</v>
      </c>
      <c r="HY798" s="319" t="s">
        <v>190</v>
      </c>
      <c r="HZ798" s="319" t="s">
        <v>190</v>
      </c>
      <c r="IA798" s="319" t="s">
        <v>190</v>
      </c>
      <c r="IB798" s="319" t="s">
        <v>190</v>
      </c>
      <c r="IC798" s="319" t="s">
        <v>190</v>
      </c>
      <c r="ID798" s="319" t="s">
        <v>190</v>
      </c>
      <c r="IE798" s="319" t="s">
        <v>190</v>
      </c>
      <c r="IF798" s="319" t="s">
        <v>190</v>
      </c>
      <c r="IG798" s="319" t="s">
        <v>190</v>
      </c>
      <c r="IH798" s="319" t="s">
        <v>190</v>
      </c>
      <c r="II798" s="319" t="s">
        <v>190</v>
      </c>
      <c r="IJ798" s="319">
        <v>10006309</v>
      </c>
      <c r="IK798" s="321">
        <v>42710</v>
      </c>
      <c r="IL798" s="321">
        <v>42712</v>
      </c>
      <c r="IM798" s="321">
        <v>43007</v>
      </c>
      <c r="IN798" s="319">
        <v>4</v>
      </c>
      <c r="IO798" s="319" t="s">
        <v>173</v>
      </c>
      <c r="IP798" s="319" t="s">
        <v>173</v>
      </c>
      <c r="IQ798" s="321" t="s">
        <v>173</v>
      </c>
      <c r="IR798" s="320" t="s">
        <v>173</v>
      </c>
      <c r="IS798" s="322" t="s">
        <v>173</v>
      </c>
      <c r="IT798" s="319" t="s">
        <v>173</v>
      </c>
    </row>
    <row r="799" spans="1:254" s="271" customFormat="1" x14ac:dyDescent="0.25">
      <c r="A799" s="318" t="str">
        <f>HYPERLINK("http://www.ofsted.gov.uk/inspection-reports/find-inspection-report/provider/ELS/141697 ","Ofsted School Webpage")</f>
        <v>Ofsted School Webpage</v>
      </c>
      <c r="B799" s="319">
        <v>141697</v>
      </c>
      <c r="C799" s="319">
        <v>3056013</v>
      </c>
      <c r="D799" s="319" t="s">
        <v>2297</v>
      </c>
      <c r="E799" s="319" t="s">
        <v>168</v>
      </c>
      <c r="F799" s="319" t="s">
        <v>81</v>
      </c>
      <c r="G799" s="319" t="s">
        <v>81</v>
      </c>
      <c r="H799" s="319" t="s">
        <v>81</v>
      </c>
      <c r="I799" s="319" t="s">
        <v>78</v>
      </c>
      <c r="J799" s="319" t="s">
        <v>424</v>
      </c>
      <c r="K799" s="319" t="s">
        <v>441</v>
      </c>
      <c r="L799" s="319" t="s">
        <v>441</v>
      </c>
      <c r="M799" s="319" t="s">
        <v>600</v>
      </c>
      <c r="N799" s="319" t="s">
        <v>3110</v>
      </c>
      <c r="O799" s="319" t="s">
        <v>2298</v>
      </c>
      <c r="P799" s="319">
        <v>16</v>
      </c>
      <c r="Q799" s="319" t="s">
        <v>429</v>
      </c>
      <c r="R799" s="320">
        <v>10055488</v>
      </c>
      <c r="S799" s="321">
        <v>43585</v>
      </c>
      <c r="T799" s="321">
        <v>43587</v>
      </c>
      <c r="U799" s="321">
        <v>43629</v>
      </c>
      <c r="V799" s="319" t="s">
        <v>425</v>
      </c>
      <c r="W799" s="319" t="s">
        <v>2767</v>
      </c>
      <c r="X799" s="319">
        <v>4</v>
      </c>
      <c r="Y799" s="319" t="s">
        <v>173</v>
      </c>
      <c r="Z799" s="319" t="s">
        <v>173</v>
      </c>
      <c r="AA799" s="319" t="s">
        <v>173</v>
      </c>
      <c r="AB799" s="319">
        <v>4</v>
      </c>
      <c r="AC799" s="319" t="s">
        <v>170</v>
      </c>
      <c r="AD799" s="319" t="s">
        <v>173</v>
      </c>
      <c r="AE799" s="319" t="s">
        <v>173</v>
      </c>
      <c r="AF799" s="319" t="s">
        <v>427</v>
      </c>
      <c r="AG799" s="319" t="s">
        <v>172</v>
      </c>
      <c r="AH799" s="319" t="s">
        <v>190</v>
      </c>
      <c r="AI799" s="319" t="s">
        <v>190</v>
      </c>
      <c r="AJ799" s="319" t="s">
        <v>479</v>
      </c>
      <c r="AK799" s="319" t="s">
        <v>190</v>
      </c>
      <c r="AL799" s="319" t="s">
        <v>479</v>
      </c>
      <c r="AM799" s="319" t="s">
        <v>190</v>
      </c>
      <c r="AN799" s="319" t="s">
        <v>190</v>
      </c>
      <c r="AO799" s="319" t="s">
        <v>479</v>
      </c>
      <c r="AP799" s="319" t="s">
        <v>190</v>
      </c>
      <c r="AQ799" s="319" t="s">
        <v>190</v>
      </c>
      <c r="AR799" s="319" t="s">
        <v>190</v>
      </c>
      <c r="AS799" s="319" t="s">
        <v>190</v>
      </c>
      <c r="AT799" s="319" t="s">
        <v>190</v>
      </c>
      <c r="AU799" s="319" t="s">
        <v>190</v>
      </c>
      <c r="AV799" s="319" t="s">
        <v>190</v>
      </c>
      <c r="AW799" s="319" t="s">
        <v>190</v>
      </c>
      <c r="AX799" s="319" t="s">
        <v>428</v>
      </c>
      <c r="AY799" s="319" t="s">
        <v>190</v>
      </c>
      <c r="AZ799" s="319" t="s">
        <v>190</v>
      </c>
      <c r="BA799" s="319" t="s">
        <v>190</v>
      </c>
      <c r="BB799" s="319" t="s">
        <v>190</v>
      </c>
      <c r="BC799" s="319" t="s">
        <v>190</v>
      </c>
      <c r="BD799" s="319" t="s">
        <v>190</v>
      </c>
      <c r="BE799" s="319" t="s">
        <v>190</v>
      </c>
      <c r="BF799" s="319" t="s">
        <v>428</v>
      </c>
      <c r="BG799" s="319" t="s">
        <v>190</v>
      </c>
      <c r="BH799" s="319" t="s">
        <v>190</v>
      </c>
      <c r="BI799" s="319" t="s">
        <v>190</v>
      </c>
      <c r="BJ799" s="319" t="s">
        <v>190</v>
      </c>
      <c r="BK799" s="319" t="s">
        <v>190</v>
      </c>
      <c r="BL799" s="319" t="s">
        <v>190</v>
      </c>
      <c r="BM799" s="319" t="s">
        <v>190</v>
      </c>
      <c r="BN799" s="319" t="s">
        <v>190</v>
      </c>
      <c r="BO799" s="319" t="s">
        <v>190</v>
      </c>
      <c r="BP799" s="319" t="s">
        <v>190</v>
      </c>
      <c r="BQ799" s="319" t="s">
        <v>190</v>
      </c>
      <c r="BR799" s="319" t="s">
        <v>190</v>
      </c>
      <c r="BS799" s="319" t="s">
        <v>190</v>
      </c>
      <c r="BT799" s="319" t="s">
        <v>190</v>
      </c>
      <c r="BU799" s="319" t="s">
        <v>190</v>
      </c>
      <c r="BV799" s="319" t="s">
        <v>190</v>
      </c>
      <c r="BW799" s="319" t="s">
        <v>190</v>
      </c>
      <c r="BX799" s="319" t="s">
        <v>190</v>
      </c>
      <c r="BY799" s="319" t="s">
        <v>190</v>
      </c>
      <c r="BZ799" s="319" t="s">
        <v>190</v>
      </c>
      <c r="CA799" s="319" t="s">
        <v>190</v>
      </c>
      <c r="CB799" s="319" t="s">
        <v>190</v>
      </c>
      <c r="CC799" s="319" t="s">
        <v>190</v>
      </c>
      <c r="CD799" s="319" t="s">
        <v>190</v>
      </c>
      <c r="CE799" s="319" t="s">
        <v>190</v>
      </c>
      <c r="CF799" s="319" t="s">
        <v>190</v>
      </c>
      <c r="CG799" s="319" t="s">
        <v>190</v>
      </c>
      <c r="CH799" s="319" t="s">
        <v>190</v>
      </c>
      <c r="CI799" s="319" t="s">
        <v>190</v>
      </c>
      <c r="CJ799" s="319" t="s">
        <v>190</v>
      </c>
      <c r="CK799" s="319" t="s">
        <v>191</v>
      </c>
      <c r="CL799" s="319" t="s">
        <v>191</v>
      </c>
      <c r="CM799" s="319" t="s">
        <v>190</v>
      </c>
      <c r="CN799" s="319" t="s">
        <v>428</v>
      </c>
      <c r="CO799" s="319" t="s">
        <v>428</v>
      </c>
      <c r="CP799" s="319" t="s">
        <v>428</v>
      </c>
      <c r="CQ799" s="319" t="s">
        <v>190</v>
      </c>
      <c r="CR799" s="319" t="s">
        <v>190</v>
      </c>
      <c r="CS799" s="319" t="s">
        <v>190</v>
      </c>
      <c r="CT799" s="319" t="s">
        <v>190</v>
      </c>
      <c r="CU799" s="319" t="s">
        <v>190</v>
      </c>
      <c r="CV799" s="319" t="s">
        <v>190</v>
      </c>
      <c r="CW799" s="319" t="s">
        <v>191</v>
      </c>
      <c r="CX799" s="319" t="s">
        <v>190</v>
      </c>
      <c r="CY799" s="319" t="s">
        <v>190</v>
      </c>
      <c r="CZ799" s="319" t="s">
        <v>190</v>
      </c>
      <c r="DA799" s="319" t="s">
        <v>191</v>
      </c>
      <c r="DB799" s="319" t="s">
        <v>191</v>
      </c>
      <c r="DC799" s="319" t="s">
        <v>191</v>
      </c>
      <c r="DD799" s="319" t="s">
        <v>190</v>
      </c>
      <c r="DE799" s="319" t="s">
        <v>190</v>
      </c>
      <c r="DF799" s="319" t="s">
        <v>190</v>
      </c>
      <c r="DG799" s="319" t="s">
        <v>190</v>
      </c>
      <c r="DH799" s="319" t="s">
        <v>190</v>
      </c>
      <c r="DI799" s="319" t="s">
        <v>190</v>
      </c>
      <c r="DJ799" s="319" t="s">
        <v>190</v>
      </c>
      <c r="DK799" s="319" t="s">
        <v>190</v>
      </c>
      <c r="DL799" s="319" t="s">
        <v>190</v>
      </c>
      <c r="DM799" s="319" t="s">
        <v>190</v>
      </c>
      <c r="DN799" s="319" t="s">
        <v>428</v>
      </c>
      <c r="DO799" s="319" t="s">
        <v>190</v>
      </c>
      <c r="DP799" s="319" t="s">
        <v>428</v>
      </c>
      <c r="DQ799" s="319" t="s">
        <v>428</v>
      </c>
      <c r="DR799" s="319" t="s">
        <v>428</v>
      </c>
      <c r="DS799" s="319" t="s">
        <v>428</v>
      </c>
      <c r="DT799" s="319" t="s">
        <v>428</v>
      </c>
      <c r="DU799" s="319" t="s">
        <v>428</v>
      </c>
      <c r="DV799" s="319" t="s">
        <v>173</v>
      </c>
      <c r="DW799" s="319" t="s">
        <v>428</v>
      </c>
      <c r="DX799" s="319" t="s">
        <v>428</v>
      </c>
      <c r="DY799" s="319" t="s">
        <v>428</v>
      </c>
      <c r="DZ799" s="319" t="s">
        <v>428</v>
      </c>
      <c r="EA799" s="319" t="s">
        <v>428</v>
      </c>
      <c r="EB799" s="319" t="s">
        <v>428</v>
      </c>
      <c r="EC799" s="319" t="s">
        <v>428</v>
      </c>
      <c r="ED799" s="319" t="s">
        <v>428</v>
      </c>
      <c r="EE799" s="319" t="s">
        <v>190</v>
      </c>
      <c r="EF799" s="319" t="s">
        <v>190</v>
      </c>
      <c r="EG799" s="319" t="s">
        <v>190</v>
      </c>
      <c r="EH799" s="319" t="s">
        <v>190</v>
      </c>
      <c r="EI799" s="319" t="s">
        <v>190</v>
      </c>
      <c r="EJ799" s="319" t="s">
        <v>190</v>
      </c>
      <c r="EK799" s="319" t="s">
        <v>190</v>
      </c>
      <c r="EL799" s="319" t="s">
        <v>190</v>
      </c>
      <c r="EM799" s="319" t="s">
        <v>190</v>
      </c>
      <c r="EN799" s="319" t="s">
        <v>190</v>
      </c>
      <c r="EO799" s="319" t="s">
        <v>190</v>
      </c>
      <c r="EP799" s="319" t="s">
        <v>190</v>
      </c>
      <c r="EQ799" s="319" t="s">
        <v>190</v>
      </c>
      <c r="ER799" s="319" t="s">
        <v>190</v>
      </c>
      <c r="ES799" s="319" t="s">
        <v>190</v>
      </c>
      <c r="ET799" s="319" t="s">
        <v>190</v>
      </c>
      <c r="EU799" s="319" t="s">
        <v>190</v>
      </c>
      <c r="EV799" s="319" t="s">
        <v>190</v>
      </c>
      <c r="EW799" s="319" t="s">
        <v>190</v>
      </c>
      <c r="EX799" s="319" t="s">
        <v>190</v>
      </c>
      <c r="EY799" s="319" t="s">
        <v>190</v>
      </c>
      <c r="EZ799" s="319" t="s">
        <v>190</v>
      </c>
      <c r="FA799" s="319" t="s">
        <v>428</v>
      </c>
      <c r="FB799" s="319" t="s">
        <v>428</v>
      </c>
      <c r="FC799" s="319" t="s">
        <v>428</v>
      </c>
      <c r="FD799" s="319" t="s">
        <v>428</v>
      </c>
      <c r="FE799" s="319" t="s">
        <v>428</v>
      </c>
      <c r="FF799" s="319" t="s">
        <v>428</v>
      </c>
      <c r="FG799" s="319" t="s">
        <v>428</v>
      </c>
      <c r="FH799" s="319" t="s">
        <v>190</v>
      </c>
      <c r="FI799" s="319" t="s">
        <v>428</v>
      </c>
      <c r="FJ799" s="319" t="s">
        <v>429</v>
      </c>
      <c r="FK799" s="319" t="s">
        <v>428</v>
      </c>
      <c r="FL799" s="319" t="s">
        <v>190</v>
      </c>
      <c r="FM799" s="319" t="s">
        <v>190</v>
      </c>
      <c r="FN799" s="319" t="s">
        <v>190</v>
      </c>
      <c r="FO799" s="319" t="s">
        <v>190</v>
      </c>
      <c r="FP799" s="319" t="s">
        <v>190</v>
      </c>
      <c r="FQ799" s="319" t="s">
        <v>190</v>
      </c>
      <c r="FR799" s="319" t="s">
        <v>190</v>
      </c>
      <c r="FS799" s="319" t="s">
        <v>190</v>
      </c>
      <c r="FT799" s="319" t="s">
        <v>190</v>
      </c>
      <c r="FU799" s="319" t="s">
        <v>191</v>
      </c>
      <c r="FV799" s="319" t="s">
        <v>190</v>
      </c>
      <c r="FW799" s="319" t="s">
        <v>190</v>
      </c>
      <c r="FX799" s="319" t="s">
        <v>190</v>
      </c>
      <c r="FY799" s="319" t="s">
        <v>190</v>
      </c>
      <c r="FZ799" s="319" t="s">
        <v>190</v>
      </c>
      <c r="GA799" s="319" t="s">
        <v>190</v>
      </c>
      <c r="GB799" s="319" t="s">
        <v>190</v>
      </c>
      <c r="GC799" s="319" t="s">
        <v>190</v>
      </c>
      <c r="GD799" s="319" t="s">
        <v>190</v>
      </c>
      <c r="GE799" s="319" t="s">
        <v>190</v>
      </c>
      <c r="GF799" s="319" t="s">
        <v>190</v>
      </c>
      <c r="GG799" s="319" t="s">
        <v>190</v>
      </c>
      <c r="GH799" s="319" t="s">
        <v>190</v>
      </c>
      <c r="GI799" s="319" t="s">
        <v>190</v>
      </c>
      <c r="GJ799" s="319" t="s">
        <v>190</v>
      </c>
      <c r="GK799" s="319" t="s">
        <v>428</v>
      </c>
      <c r="GL799" s="319" t="s">
        <v>190</v>
      </c>
      <c r="GM799" s="319" t="s">
        <v>190</v>
      </c>
      <c r="GN799" s="319" t="s">
        <v>190</v>
      </c>
      <c r="GO799" s="319" t="s">
        <v>190</v>
      </c>
      <c r="GP799" s="319" t="s">
        <v>190</v>
      </c>
      <c r="GQ799" s="319" t="s">
        <v>428</v>
      </c>
      <c r="GR799" s="319" t="s">
        <v>190</v>
      </c>
      <c r="GS799" s="319" t="s">
        <v>190</v>
      </c>
      <c r="GT799" s="319" t="s">
        <v>190</v>
      </c>
      <c r="GU799" s="319" t="s">
        <v>190</v>
      </c>
      <c r="GV799" s="319" t="s">
        <v>190</v>
      </c>
      <c r="GW799" s="319" t="s">
        <v>190</v>
      </c>
      <c r="GX799" s="319" t="s">
        <v>190</v>
      </c>
      <c r="GY799" s="319" t="s">
        <v>190</v>
      </c>
      <c r="GZ799" s="319" t="s">
        <v>428</v>
      </c>
      <c r="HA799" s="319" t="s">
        <v>190</v>
      </c>
      <c r="HB799" s="319" t="s">
        <v>190</v>
      </c>
      <c r="HC799" s="319" t="s">
        <v>190</v>
      </c>
      <c r="HD799" s="319" t="s">
        <v>190</v>
      </c>
      <c r="HE799" s="319" t="s">
        <v>190</v>
      </c>
      <c r="HF799" s="319" t="s">
        <v>190</v>
      </c>
      <c r="HG799" s="319" t="s">
        <v>190</v>
      </c>
      <c r="HH799" s="319" t="s">
        <v>190</v>
      </c>
      <c r="HI799" s="319" t="s">
        <v>190</v>
      </c>
      <c r="HJ799" s="319" t="s">
        <v>190</v>
      </c>
      <c r="HK799" s="319" t="s">
        <v>190</v>
      </c>
      <c r="HL799" s="319" t="s">
        <v>428</v>
      </c>
      <c r="HM799" s="319" t="s">
        <v>428</v>
      </c>
      <c r="HN799" s="319" t="s">
        <v>428</v>
      </c>
      <c r="HO799" s="319" t="s">
        <v>428</v>
      </c>
      <c r="HP799" s="319" t="s">
        <v>190</v>
      </c>
      <c r="HQ799" s="319" t="s">
        <v>190</v>
      </c>
      <c r="HR799" s="319" t="s">
        <v>190</v>
      </c>
      <c r="HS799" s="319" t="s">
        <v>190</v>
      </c>
      <c r="HT799" s="319" t="s">
        <v>190</v>
      </c>
      <c r="HU799" s="319" t="s">
        <v>190</v>
      </c>
      <c r="HV799" s="319" t="s">
        <v>190</v>
      </c>
      <c r="HW799" s="319" t="s">
        <v>190</v>
      </c>
      <c r="HX799" s="319" t="s">
        <v>190</v>
      </c>
      <c r="HY799" s="319" t="s">
        <v>190</v>
      </c>
      <c r="HZ799" s="319" t="s">
        <v>190</v>
      </c>
      <c r="IA799" s="319" t="s">
        <v>190</v>
      </c>
      <c r="IB799" s="319" t="s">
        <v>190</v>
      </c>
      <c r="IC799" s="319" t="s">
        <v>190</v>
      </c>
      <c r="ID799" s="319" t="s">
        <v>190</v>
      </c>
      <c r="IE799" s="319" t="s">
        <v>190</v>
      </c>
      <c r="IF799" s="319" t="s">
        <v>191</v>
      </c>
      <c r="IG799" s="319" t="s">
        <v>191</v>
      </c>
      <c r="IH799" s="319" t="s">
        <v>191</v>
      </c>
      <c r="II799" s="319" t="s">
        <v>191</v>
      </c>
      <c r="IJ799" s="319">
        <v>10006303</v>
      </c>
      <c r="IK799" s="321">
        <v>42486</v>
      </c>
      <c r="IL799" s="321">
        <v>42488</v>
      </c>
      <c r="IM799" s="321">
        <v>42557</v>
      </c>
      <c r="IN799" s="319">
        <v>2</v>
      </c>
      <c r="IO799" s="319">
        <v>10124193</v>
      </c>
      <c r="IP799" s="319" t="s">
        <v>985</v>
      </c>
      <c r="IQ799" s="321">
        <v>43741</v>
      </c>
      <c r="IR799" s="320" t="s">
        <v>2771</v>
      </c>
      <c r="IS799" s="322">
        <v>43775</v>
      </c>
      <c r="IT799" s="319" t="s">
        <v>165</v>
      </c>
    </row>
    <row r="800" spans="1:254" s="271" customFormat="1" x14ac:dyDescent="0.25">
      <c r="A800" s="318" t="str">
        <f>HYPERLINK("http://www.ofsted.gov.uk/inspection-reports/find-inspection-report/provider/ELS/141701 ","Ofsted School Webpage")</f>
        <v>Ofsted School Webpage</v>
      </c>
      <c r="B800" s="319">
        <v>141701</v>
      </c>
      <c r="C800" s="319">
        <v>2106007</v>
      </c>
      <c r="D800" s="319" t="s">
        <v>2299</v>
      </c>
      <c r="E800" s="319" t="s">
        <v>168</v>
      </c>
      <c r="F800" s="319" t="s">
        <v>81</v>
      </c>
      <c r="G800" s="319" t="s">
        <v>81</v>
      </c>
      <c r="H800" s="319" t="s">
        <v>81</v>
      </c>
      <c r="I800" s="319" t="s">
        <v>78</v>
      </c>
      <c r="J800" s="319" t="s">
        <v>424</v>
      </c>
      <c r="K800" s="319" t="s">
        <v>441</v>
      </c>
      <c r="L800" s="319" t="s">
        <v>441</v>
      </c>
      <c r="M800" s="319" t="s">
        <v>1150</v>
      </c>
      <c r="N800" s="319" t="s">
        <v>3203</v>
      </c>
      <c r="O800" s="319" t="s">
        <v>2300</v>
      </c>
      <c r="P800" s="319">
        <v>15</v>
      </c>
      <c r="Q800" s="319" t="s">
        <v>429</v>
      </c>
      <c r="R800" s="320">
        <v>10048724</v>
      </c>
      <c r="S800" s="321">
        <v>43263</v>
      </c>
      <c r="T800" s="321">
        <v>43265</v>
      </c>
      <c r="U800" s="321">
        <v>43287</v>
      </c>
      <c r="V800" s="319" t="s">
        <v>425</v>
      </c>
      <c r="W800" s="319" t="s">
        <v>2767</v>
      </c>
      <c r="X800" s="319">
        <v>2</v>
      </c>
      <c r="Y800" s="319" t="s">
        <v>173</v>
      </c>
      <c r="Z800" s="319" t="s">
        <v>173</v>
      </c>
      <c r="AA800" s="319" t="s">
        <v>173</v>
      </c>
      <c r="AB800" s="319">
        <v>2</v>
      </c>
      <c r="AC800" s="319" t="s">
        <v>169</v>
      </c>
      <c r="AD800" s="319" t="s">
        <v>173</v>
      </c>
      <c r="AE800" s="319" t="s">
        <v>173</v>
      </c>
      <c r="AF800" s="319" t="s">
        <v>427</v>
      </c>
      <c r="AG800" s="319" t="s">
        <v>171</v>
      </c>
      <c r="AH800" s="319" t="s">
        <v>190</v>
      </c>
      <c r="AI800" s="319" t="s">
        <v>190</v>
      </c>
      <c r="AJ800" s="319" t="s">
        <v>190</v>
      </c>
      <c r="AK800" s="319" t="s">
        <v>190</v>
      </c>
      <c r="AL800" s="319" t="s">
        <v>190</v>
      </c>
      <c r="AM800" s="319" t="s">
        <v>190</v>
      </c>
      <c r="AN800" s="319" t="s">
        <v>190</v>
      </c>
      <c r="AO800" s="319" t="s">
        <v>190</v>
      </c>
      <c r="AP800" s="319" t="s">
        <v>190</v>
      </c>
      <c r="AQ800" s="319" t="s">
        <v>190</v>
      </c>
      <c r="AR800" s="319" t="s">
        <v>190</v>
      </c>
      <c r="AS800" s="319" t="s">
        <v>190</v>
      </c>
      <c r="AT800" s="319" t="s">
        <v>190</v>
      </c>
      <c r="AU800" s="319" t="s">
        <v>190</v>
      </c>
      <c r="AV800" s="319" t="s">
        <v>190</v>
      </c>
      <c r="AW800" s="319" t="s">
        <v>190</v>
      </c>
      <c r="AX800" s="319" t="s">
        <v>428</v>
      </c>
      <c r="AY800" s="319" t="s">
        <v>190</v>
      </c>
      <c r="AZ800" s="319" t="s">
        <v>190</v>
      </c>
      <c r="BA800" s="319" t="s">
        <v>190</v>
      </c>
      <c r="BB800" s="319" t="s">
        <v>190</v>
      </c>
      <c r="BC800" s="319" t="s">
        <v>190</v>
      </c>
      <c r="BD800" s="319" t="s">
        <v>190</v>
      </c>
      <c r="BE800" s="319" t="s">
        <v>190</v>
      </c>
      <c r="BF800" s="319" t="s">
        <v>428</v>
      </c>
      <c r="BG800" s="319" t="s">
        <v>428</v>
      </c>
      <c r="BH800" s="319" t="s">
        <v>190</v>
      </c>
      <c r="BI800" s="319" t="s">
        <v>190</v>
      </c>
      <c r="BJ800" s="319" t="s">
        <v>190</v>
      </c>
      <c r="BK800" s="319" t="s">
        <v>190</v>
      </c>
      <c r="BL800" s="319" t="s">
        <v>190</v>
      </c>
      <c r="BM800" s="319" t="s">
        <v>190</v>
      </c>
      <c r="BN800" s="319" t="s">
        <v>190</v>
      </c>
      <c r="BO800" s="319" t="s">
        <v>190</v>
      </c>
      <c r="BP800" s="319" t="s">
        <v>190</v>
      </c>
      <c r="BQ800" s="319" t="s">
        <v>190</v>
      </c>
      <c r="BR800" s="319" t="s">
        <v>190</v>
      </c>
      <c r="BS800" s="319" t="s">
        <v>190</v>
      </c>
      <c r="BT800" s="319" t="s">
        <v>190</v>
      </c>
      <c r="BU800" s="319" t="s">
        <v>190</v>
      </c>
      <c r="BV800" s="319" t="s">
        <v>190</v>
      </c>
      <c r="BW800" s="319" t="s">
        <v>190</v>
      </c>
      <c r="BX800" s="319" t="s">
        <v>190</v>
      </c>
      <c r="BY800" s="319" t="s">
        <v>190</v>
      </c>
      <c r="BZ800" s="319" t="s">
        <v>190</v>
      </c>
      <c r="CA800" s="319" t="s">
        <v>190</v>
      </c>
      <c r="CB800" s="319" t="s">
        <v>190</v>
      </c>
      <c r="CC800" s="319" t="s">
        <v>190</v>
      </c>
      <c r="CD800" s="319" t="s">
        <v>190</v>
      </c>
      <c r="CE800" s="319" t="s">
        <v>190</v>
      </c>
      <c r="CF800" s="319" t="s">
        <v>190</v>
      </c>
      <c r="CG800" s="319" t="s">
        <v>190</v>
      </c>
      <c r="CH800" s="319" t="s">
        <v>190</v>
      </c>
      <c r="CI800" s="319" t="s">
        <v>190</v>
      </c>
      <c r="CJ800" s="319" t="s">
        <v>190</v>
      </c>
      <c r="CK800" s="319" t="s">
        <v>190</v>
      </c>
      <c r="CL800" s="319" t="s">
        <v>190</v>
      </c>
      <c r="CM800" s="319" t="s">
        <v>190</v>
      </c>
      <c r="CN800" s="319" t="s">
        <v>428</v>
      </c>
      <c r="CO800" s="319" t="s">
        <v>428</v>
      </c>
      <c r="CP800" s="319" t="s">
        <v>428</v>
      </c>
      <c r="CQ800" s="319" t="s">
        <v>190</v>
      </c>
      <c r="CR800" s="319" t="s">
        <v>190</v>
      </c>
      <c r="CS800" s="319" t="s">
        <v>190</v>
      </c>
      <c r="CT800" s="319" t="s">
        <v>190</v>
      </c>
      <c r="CU800" s="319" t="s">
        <v>190</v>
      </c>
      <c r="CV800" s="319" t="s">
        <v>190</v>
      </c>
      <c r="CW800" s="319" t="s">
        <v>190</v>
      </c>
      <c r="CX800" s="319" t="s">
        <v>190</v>
      </c>
      <c r="CY800" s="319" t="s">
        <v>190</v>
      </c>
      <c r="CZ800" s="319" t="s">
        <v>190</v>
      </c>
      <c r="DA800" s="319" t="s">
        <v>190</v>
      </c>
      <c r="DB800" s="319" t="s">
        <v>190</v>
      </c>
      <c r="DC800" s="319" t="s">
        <v>190</v>
      </c>
      <c r="DD800" s="319" t="s">
        <v>190</v>
      </c>
      <c r="DE800" s="319" t="s">
        <v>190</v>
      </c>
      <c r="DF800" s="319" t="s">
        <v>190</v>
      </c>
      <c r="DG800" s="319" t="s">
        <v>190</v>
      </c>
      <c r="DH800" s="319" t="s">
        <v>190</v>
      </c>
      <c r="DI800" s="319" t="s">
        <v>190</v>
      </c>
      <c r="DJ800" s="319" t="s">
        <v>190</v>
      </c>
      <c r="DK800" s="319" t="s">
        <v>190</v>
      </c>
      <c r="DL800" s="319" t="s">
        <v>190</v>
      </c>
      <c r="DM800" s="319" t="s">
        <v>190</v>
      </c>
      <c r="DN800" s="319" t="s">
        <v>428</v>
      </c>
      <c r="DO800" s="319" t="s">
        <v>190</v>
      </c>
      <c r="DP800" s="319" t="s">
        <v>428</v>
      </c>
      <c r="DQ800" s="319" t="s">
        <v>428</v>
      </c>
      <c r="DR800" s="319" t="s">
        <v>428</v>
      </c>
      <c r="DS800" s="319" t="s">
        <v>428</v>
      </c>
      <c r="DT800" s="319" t="s">
        <v>428</v>
      </c>
      <c r="DU800" s="319" t="s">
        <v>428</v>
      </c>
      <c r="DV800" s="319" t="s">
        <v>173</v>
      </c>
      <c r="DW800" s="319" t="s">
        <v>428</v>
      </c>
      <c r="DX800" s="319" t="s">
        <v>428</v>
      </c>
      <c r="DY800" s="319" t="s">
        <v>428</v>
      </c>
      <c r="DZ800" s="319" t="s">
        <v>428</v>
      </c>
      <c r="EA800" s="319" t="s">
        <v>428</v>
      </c>
      <c r="EB800" s="319" t="s">
        <v>428</v>
      </c>
      <c r="EC800" s="319" t="s">
        <v>428</v>
      </c>
      <c r="ED800" s="319" t="s">
        <v>428</v>
      </c>
      <c r="EE800" s="319" t="s">
        <v>428</v>
      </c>
      <c r="EF800" s="319" t="s">
        <v>428</v>
      </c>
      <c r="EG800" s="319" t="s">
        <v>428</v>
      </c>
      <c r="EH800" s="319" t="s">
        <v>428</v>
      </c>
      <c r="EI800" s="319" t="s">
        <v>428</v>
      </c>
      <c r="EJ800" s="319" t="s">
        <v>428</v>
      </c>
      <c r="EK800" s="319" t="s">
        <v>428</v>
      </c>
      <c r="EL800" s="319" t="s">
        <v>428</v>
      </c>
      <c r="EM800" s="319" t="s">
        <v>428</v>
      </c>
      <c r="EN800" s="319" t="s">
        <v>190</v>
      </c>
      <c r="EO800" s="319" t="s">
        <v>190</v>
      </c>
      <c r="EP800" s="319" t="s">
        <v>190</v>
      </c>
      <c r="EQ800" s="319" t="s">
        <v>190</v>
      </c>
      <c r="ER800" s="319" t="s">
        <v>190</v>
      </c>
      <c r="ES800" s="319" t="s">
        <v>190</v>
      </c>
      <c r="ET800" s="319" t="s">
        <v>190</v>
      </c>
      <c r="EU800" s="319" t="s">
        <v>190</v>
      </c>
      <c r="EV800" s="319" t="s">
        <v>190</v>
      </c>
      <c r="EW800" s="319" t="s">
        <v>190</v>
      </c>
      <c r="EX800" s="319" t="s">
        <v>190</v>
      </c>
      <c r="EY800" s="319" t="s">
        <v>190</v>
      </c>
      <c r="EZ800" s="319" t="s">
        <v>190</v>
      </c>
      <c r="FA800" s="319" t="s">
        <v>428</v>
      </c>
      <c r="FB800" s="319" t="s">
        <v>428</v>
      </c>
      <c r="FC800" s="319" t="s">
        <v>428</v>
      </c>
      <c r="FD800" s="319" t="s">
        <v>428</v>
      </c>
      <c r="FE800" s="319" t="s">
        <v>428</v>
      </c>
      <c r="FF800" s="319" t="s">
        <v>428</v>
      </c>
      <c r="FG800" s="319" t="s">
        <v>428</v>
      </c>
      <c r="FH800" s="319" t="s">
        <v>428</v>
      </c>
      <c r="FI800" s="319" t="s">
        <v>428</v>
      </c>
      <c r="FJ800" s="319" t="s">
        <v>429</v>
      </c>
      <c r="FK800" s="319" t="s">
        <v>428</v>
      </c>
      <c r="FL800" s="319" t="s">
        <v>190</v>
      </c>
      <c r="FM800" s="319" t="s">
        <v>190</v>
      </c>
      <c r="FN800" s="319" t="s">
        <v>190</v>
      </c>
      <c r="FO800" s="319" t="s">
        <v>190</v>
      </c>
      <c r="FP800" s="319" t="s">
        <v>190</v>
      </c>
      <c r="FQ800" s="319" t="s">
        <v>190</v>
      </c>
      <c r="FR800" s="319" t="s">
        <v>190</v>
      </c>
      <c r="FS800" s="319" t="s">
        <v>428</v>
      </c>
      <c r="FT800" s="319" t="s">
        <v>190</v>
      </c>
      <c r="FU800" s="319" t="s">
        <v>190</v>
      </c>
      <c r="FV800" s="319" t="s">
        <v>190</v>
      </c>
      <c r="FW800" s="319" t="s">
        <v>190</v>
      </c>
      <c r="FX800" s="319" t="s">
        <v>190</v>
      </c>
      <c r="FY800" s="319" t="s">
        <v>190</v>
      </c>
      <c r="FZ800" s="319" t="s">
        <v>190</v>
      </c>
      <c r="GA800" s="319" t="s">
        <v>190</v>
      </c>
      <c r="GB800" s="319" t="s">
        <v>190</v>
      </c>
      <c r="GC800" s="319" t="s">
        <v>190</v>
      </c>
      <c r="GD800" s="319" t="s">
        <v>190</v>
      </c>
      <c r="GE800" s="319" t="s">
        <v>190</v>
      </c>
      <c r="GF800" s="319" t="s">
        <v>190</v>
      </c>
      <c r="GG800" s="319" t="s">
        <v>190</v>
      </c>
      <c r="GH800" s="319" t="s">
        <v>190</v>
      </c>
      <c r="GI800" s="319" t="s">
        <v>190</v>
      </c>
      <c r="GJ800" s="319" t="s">
        <v>190</v>
      </c>
      <c r="GK800" s="319" t="s">
        <v>428</v>
      </c>
      <c r="GL800" s="319" t="s">
        <v>190</v>
      </c>
      <c r="GM800" s="319" t="s">
        <v>190</v>
      </c>
      <c r="GN800" s="319" t="s">
        <v>190</v>
      </c>
      <c r="GO800" s="319" t="s">
        <v>190</v>
      </c>
      <c r="GP800" s="319" t="s">
        <v>190</v>
      </c>
      <c r="GQ800" s="319" t="s">
        <v>428</v>
      </c>
      <c r="GR800" s="319" t="s">
        <v>190</v>
      </c>
      <c r="GS800" s="319" t="s">
        <v>190</v>
      </c>
      <c r="GT800" s="319" t="s">
        <v>190</v>
      </c>
      <c r="GU800" s="319" t="s">
        <v>190</v>
      </c>
      <c r="GV800" s="319" t="s">
        <v>190</v>
      </c>
      <c r="GW800" s="319" t="s">
        <v>190</v>
      </c>
      <c r="GX800" s="319" t="s">
        <v>190</v>
      </c>
      <c r="GY800" s="319" t="s">
        <v>190</v>
      </c>
      <c r="GZ800" s="319" t="s">
        <v>190</v>
      </c>
      <c r="HA800" s="319" t="s">
        <v>428</v>
      </c>
      <c r="HB800" s="319" t="s">
        <v>190</v>
      </c>
      <c r="HC800" s="319" t="s">
        <v>190</v>
      </c>
      <c r="HD800" s="319" t="s">
        <v>190</v>
      </c>
      <c r="HE800" s="319" t="s">
        <v>190</v>
      </c>
      <c r="HF800" s="319" t="s">
        <v>190</v>
      </c>
      <c r="HG800" s="319" t="s">
        <v>190</v>
      </c>
      <c r="HH800" s="319" t="s">
        <v>190</v>
      </c>
      <c r="HI800" s="319" t="s">
        <v>190</v>
      </c>
      <c r="HJ800" s="319" t="s">
        <v>190</v>
      </c>
      <c r="HK800" s="319" t="s">
        <v>190</v>
      </c>
      <c r="HL800" s="319" t="s">
        <v>428</v>
      </c>
      <c r="HM800" s="319" t="s">
        <v>428</v>
      </c>
      <c r="HN800" s="319" t="s">
        <v>428</v>
      </c>
      <c r="HO800" s="319" t="s">
        <v>428</v>
      </c>
      <c r="HP800" s="319" t="s">
        <v>190</v>
      </c>
      <c r="HQ800" s="319" t="s">
        <v>190</v>
      </c>
      <c r="HR800" s="319" t="s">
        <v>190</v>
      </c>
      <c r="HS800" s="319" t="s">
        <v>190</v>
      </c>
      <c r="HT800" s="319" t="s">
        <v>190</v>
      </c>
      <c r="HU800" s="319" t="s">
        <v>190</v>
      </c>
      <c r="HV800" s="319" t="s">
        <v>190</v>
      </c>
      <c r="HW800" s="319" t="s">
        <v>190</v>
      </c>
      <c r="HX800" s="319" t="s">
        <v>190</v>
      </c>
      <c r="HY800" s="319" t="s">
        <v>190</v>
      </c>
      <c r="HZ800" s="319" t="s">
        <v>190</v>
      </c>
      <c r="IA800" s="319" t="s">
        <v>190</v>
      </c>
      <c r="IB800" s="319" t="s">
        <v>190</v>
      </c>
      <c r="IC800" s="319" t="s">
        <v>190</v>
      </c>
      <c r="ID800" s="319" t="s">
        <v>190</v>
      </c>
      <c r="IE800" s="319" t="s">
        <v>190</v>
      </c>
      <c r="IF800" s="319" t="s">
        <v>190</v>
      </c>
      <c r="IG800" s="319" t="s">
        <v>190</v>
      </c>
      <c r="IH800" s="319" t="s">
        <v>190</v>
      </c>
      <c r="II800" s="319" t="s">
        <v>190</v>
      </c>
      <c r="IJ800" s="319">
        <v>10006183</v>
      </c>
      <c r="IK800" s="321">
        <v>42494</v>
      </c>
      <c r="IL800" s="321">
        <v>42496</v>
      </c>
      <c r="IM800" s="321">
        <v>42562</v>
      </c>
      <c r="IN800" s="319">
        <v>4</v>
      </c>
      <c r="IO800" s="319" t="s">
        <v>173</v>
      </c>
      <c r="IP800" s="319" t="s">
        <v>173</v>
      </c>
      <c r="IQ800" s="321" t="s">
        <v>173</v>
      </c>
      <c r="IR800" s="320" t="s">
        <v>173</v>
      </c>
      <c r="IS800" s="322" t="s">
        <v>173</v>
      </c>
      <c r="IT800" s="319" t="s">
        <v>173</v>
      </c>
    </row>
    <row r="801" spans="1:254" s="271" customFormat="1" x14ac:dyDescent="0.25">
      <c r="A801" s="318" t="str">
        <f>HYPERLINK("http://www.ofsted.gov.uk/inspection-reports/find-inspection-report/provider/ELS/141737 ","Ofsted School Webpage")</f>
        <v>Ofsted School Webpage</v>
      </c>
      <c r="B801" s="319">
        <v>141737</v>
      </c>
      <c r="C801" s="319">
        <v>2046011</v>
      </c>
      <c r="D801" s="319" t="s">
        <v>2301</v>
      </c>
      <c r="E801" s="319" t="s">
        <v>167</v>
      </c>
      <c r="F801" s="319" t="s">
        <v>81</v>
      </c>
      <c r="G801" s="319" t="s">
        <v>81</v>
      </c>
      <c r="H801" s="319" t="s">
        <v>81</v>
      </c>
      <c r="I801" s="319" t="s">
        <v>78</v>
      </c>
      <c r="J801" s="319" t="s">
        <v>424</v>
      </c>
      <c r="K801" s="319" t="s">
        <v>441</v>
      </c>
      <c r="L801" s="319" t="s">
        <v>441</v>
      </c>
      <c r="M801" s="319" t="s">
        <v>547</v>
      </c>
      <c r="N801" s="319" t="s">
        <v>3529</v>
      </c>
      <c r="O801" s="319" t="s">
        <v>2302</v>
      </c>
      <c r="P801" s="319">
        <v>6</v>
      </c>
      <c r="Q801" s="319" t="s">
        <v>2776</v>
      </c>
      <c r="R801" s="320">
        <v>10041404</v>
      </c>
      <c r="S801" s="321">
        <v>43172</v>
      </c>
      <c r="T801" s="321">
        <v>43174</v>
      </c>
      <c r="U801" s="321">
        <v>43199</v>
      </c>
      <c r="V801" s="319" t="s">
        <v>425</v>
      </c>
      <c r="W801" s="319" t="s">
        <v>2767</v>
      </c>
      <c r="X801" s="319">
        <v>2</v>
      </c>
      <c r="Y801" s="319" t="s">
        <v>173</v>
      </c>
      <c r="Z801" s="319" t="s">
        <v>173</v>
      </c>
      <c r="AA801" s="319" t="s">
        <v>173</v>
      </c>
      <c r="AB801" s="319">
        <v>2</v>
      </c>
      <c r="AC801" s="319" t="s">
        <v>169</v>
      </c>
      <c r="AD801" s="319" t="s">
        <v>173</v>
      </c>
      <c r="AE801" s="319" t="s">
        <v>173</v>
      </c>
      <c r="AF801" s="319" t="s">
        <v>427</v>
      </c>
      <c r="AG801" s="319" t="s">
        <v>171</v>
      </c>
      <c r="AH801" s="319" t="s">
        <v>190</v>
      </c>
      <c r="AI801" s="319" t="s">
        <v>190</v>
      </c>
      <c r="AJ801" s="319" t="s">
        <v>190</v>
      </c>
      <c r="AK801" s="319" t="s">
        <v>190</v>
      </c>
      <c r="AL801" s="319" t="s">
        <v>190</v>
      </c>
      <c r="AM801" s="319" t="s">
        <v>190</v>
      </c>
      <c r="AN801" s="319" t="s">
        <v>190</v>
      </c>
      <c r="AO801" s="319" t="s">
        <v>190</v>
      </c>
      <c r="AP801" s="319" t="s">
        <v>190</v>
      </c>
      <c r="AQ801" s="319" t="s">
        <v>190</v>
      </c>
      <c r="AR801" s="319" t="s">
        <v>190</v>
      </c>
      <c r="AS801" s="319" t="s">
        <v>190</v>
      </c>
      <c r="AT801" s="319" t="s">
        <v>190</v>
      </c>
      <c r="AU801" s="319" t="s">
        <v>190</v>
      </c>
      <c r="AV801" s="319" t="s">
        <v>190</v>
      </c>
      <c r="AW801" s="319" t="s">
        <v>190</v>
      </c>
      <c r="AX801" s="319" t="s">
        <v>428</v>
      </c>
      <c r="AY801" s="319" t="s">
        <v>190</v>
      </c>
      <c r="AZ801" s="319" t="s">
        <v>190</v>
      </c>
      <c r="BA801" s="319" t="s">
        <v>190</v>
      </c>
      <c r="BB801" s="319" t="s">
        <v>190</v>
      </c>
      <c r="BC801" s="319" t="s">
        <v>190</v>
      </c>
      <c r="BD801" s="319" t="s">
        <v>190</v>
      </c>
      <c r="BE801" s="319" t="s">
        <v>190</v>
      </c>
      <c r="BF801" s="319" t="s">
        <v>428</v>
      </c>
      <c r="BG801" s="319" t="s">
        <v>428</v>
      </c>
      <c r="BH801" s="319" t="s">
        <v>190</v>
      </c>
      <c r="BI801" s="319" t="s">
        <v>190</v>
      </c>
      <c r="BJ801" s="319" t="s">
        <v>190</v>
      </c>
      <c r="BK801" s="319" t="s">
        <v>190</v>
      </c>
      <c r="BL801" s="319" t="s">
        <v>190</v>
      </c>
      <c r="BM801" s="319" t="s">
        <v>190</v>
      </c>
      <c r="BN801" s="319" t="s">
        <v>190</v>
      </c>
      <c r="BO801" s="319" t="s">
        <v>190</v>
      </c>
      <c r="BP801" s="319" t="s">
        <v>190</v>
      </c>
      <c r="BQ801" s="319" t="s">
        <v>190</v>
      </c>
      <c r="BR801" s="319" t="s">
        <v>190</v>
      </c>
      <c r="BS801" s="319" t="s">
        <v>190</v>
      </c>
      <c r="BT801" s="319" t="s">
        <v>190</v>
      </c>
      <c r="BU801" s="319" t="s">
        <v>190</v>
      </c>
      <c r="BV801" s="319" t="s">
        <v>190</v>
      </c>
      <c r="BW801" s="319" t="s">
        <v>190</v>
      </c>
      <c r="BX801" s="319" t="s">
        <v>190</v>
      </c>
      <c r="BY801" s="319" t="s">
        <v>190</v>
      </c>
      <c r="BZ801" s="319" t="s">
        <v>190</v>
      </c>
      <c r="CA801" s="319" t="s">
        <v>190</v>
      </c>
      <c r="CB801" s="319" t="s">
        <v>190</v>
      </c>
      <c r="CC801" s="319" t="s">
        <v>190</v>
      </c>
      <c r="CD801" s="319" t="s">
        <v>190</v>
      </c>
      <c r="CE801" s="319" t="s">
        <v>190</v>
      </c>
      <c r="CF801" s="319" t="s">
        <v>190</v>
      </c>
      <c r="CG801" s="319" t="s">
        <v>190</v>
      </c>
      <c r="CH801" s="319" t="s">
        <v>190</v>
      </c>
      <c r="CI801" s="319" t="s">
        <v>190</v>
      </c>
      <c r="CJ801" s="319" t="s">
        <v>190</v>
      </c>
      <c r="CK801" s="319" t="s">
        <v>190</v>
      </c>
      <c r="CL801" s="319" t="s">
        <v>190</v>
      </c>
      <c r="CM801" s="319" t="s">
        <v>190</v>
      </c>
      <c r="CN801" s="319" t="s">
        <v>428</v>
      </c>
      <c r="CO801" s="319" t="s">
        <v>428</v>
      </c>
      <c r="CP801" s="319" t="s">
        <v>428</v>
      </c>
      <c r="CQ801" s="319" t="s">
        <v>190</v>
      </c>
      <c r="CR801" s="319" t="s">
        <v>190</v>
      </c>
      <c r="CS801" s="319" t="s">
        <v>190</v>
      </c>
      <c r="CT801" s="319" t="s">
        <v>190</v>
      </c>
      <c r="CU801" s="319" t="s">
        <v>190</v>
      </c>
      <c r="CV801" s="319" t="s">
        <v>190</v>
      </c>
      <c r="CW801" s="319" t="s">
        <v>190</v>
      </c>
      <c r="CX801" s="319" t="s">
        <v>190</v>
      </c>
      <c r="CY801" s="319" t="s">
        <v>190</v>
      </c>
      <c r="CZ801" s="319" t="s">
        <v>190</v>
      </c>
      <c r="DA801" s="319" t="s">
        <v>190</v>
      </c>
      <c r="DB801" s="319" t="s">
        <v>190</v>
      </c>
      <c r="DC801" s="319" t="s">
        <v>190</v>
      </c>
      <c r="DD801" s="319" t="s">
        <v>190</v>
      </c>
      <c r="DE801" s="319" t="s">
        <v>190</v>
      </c>
      <c r="DF801" s="319" t="s">
        <v>190</v>
      </c>
      <c r="DG801" s="319" t="s">
        <v>190</v>
      </c>
      <c r="DH801" s="319" t="s">
        <v>190</v>
      </c>
      <c r="DI801" s="319" t="s">
        <v>190</v>
      </c>
      <c r="DJ801" s="319" t="s">
        <v>190</v>
      </c>
      <c r="DK801" s="319" t="s">
        <v>190</v>
      </c>
      <c r="DL801" s="319" t="s">
        <v>190</v>
      </c>
      <c r="DM801" s="319" t="s">
        <v>190</v>
      </c>
      <c r="DN801" s="319" t="s">
        <v>428</v>
      </c>
      <c r="DO801" s="319" t="s">
        <v>190</v>
      </c>
      <c r="DP801" s="319" t="s">
        <v>190</v>
      </c>
      <c r="DQ801" s="319" t="s">
        <v>190</v>
      </c>
      <c r="DR801" s="319" t="s">
        <v>190</v>
      </c>
      <c r="DS801" s="319" t="s">
        <v>190</v>
      </c>
      <c r="DT801" s="319" t="s">
        <v>190</v>
      </c>
      <c r="DU801" s="319" t="s">
        <v>190</v>
      </c>
      <c r="DV801" s="319" t="s">
        <v>173</v>
      </c>
      <c r="DW801" s="319" t="s">
        <v>190</v>
      </c>
      <c r="DX801" s="319" t="s">
        <v>190</v>
      </c>
      <c r="DY801" s="319" t="s">
        <v>190</v>
      </c>
      <c r="DZ801" s="319" t="s">
        <v>190</v>
      </c>
      <c r="EA801" s="319" t="s">
        <v>190</v>
      </c>
      <c r="EB801" s="319" t="s">
        <v>190</v>
      </c>
      <c r="EC801" s="319" t="s">
        <v>428</v>
      </c>
      <c r="ED801" s="319" t="s">
        <v>428</v>
      </c>
      <c r="EE801" s="319" t="s">
        <v>190</v>
      </c>
      <c r="EF801" s="319" t="s">
        <v>190</v>
      </c>
      <c r="EG801" s="319" t="s">
        <v>190</v>
      </c>
      <c r="EH801" s="319" t="s">
        <v>190</v>
      </c>
      <c r="EI801" s="319" t="s">
        <v>190</v>
      </c>
      <c r="EJ801" s="319" t="s">
        <v>190</v>
      </c>
      <c r="EK801" s="319" t="s">
        <v>190</v>
      </c>
      <c r="EL801" s="319" t="s">
        <v>190</v>
      </c>
      <c r="EM801" s="319" t="s">
        <v>190</v>
      </c>
      <c r="EN801" s="319" t="s">
        <v>190</v>
      </c>
      <c r="EO801" s="319" t="s">
        <v>190</v>
      </c>
      <c r="EP801" s="319" t="s">
        <v>190</v>
      </c>
      <c r="EQ801" s="319" t="s">
        <v>190</v>
      </c>
      <c r="ER801" s="319" t="s">
        <v>190</v>
      </c>
      <c r="ES801" s="319" t="s">
        <v>190</v>
      </c>
      <c r="ET801" s="319" t="s">
        <v>190</v>
      </c>
      <c r="EU801" s="319" t="s">
        <v>190</v>
      </c>
      <c r="EV801" s="319" t="s">
        <v>190</v>
      </c>
      <c r="EW801" s="319" t="s">
        <v>190</v>
      </c>
      <c r="EX801" s="319" t="s">
        <v>190</v>
      </c>
      <c r="EY801" s="319" t="s">
        <v>190</v>
      </c>
      <c r="EZ801" s="319" t="s">
        <v>190</v>
      </c>
      <c r="FA801" s="319" t="s">
        <v>190</v>
      </c>
      <c r="FB801" s="319" t="s">
        <v>190</v>
      </c>
      <c r="FC801" s="319" t="s">
        <v>190</v>
      </c>
      <c r="FD801" s="319" t="s">
        <v>190</v>
      </c>
      <c r="FE801" s="319" t="s">
        <v>190</v>
      </c>
      <c r="FF801" s="319" t="s">
        <v>190</v>
      </c>
      <c r="FG801" s="319" t="s">
        <v>190</v>
      </c>
      <c r="FH801" s="319" t="s">
        <v>190</v>
      </c>
      <c r="FI801" s="319" t="s">
        <v>190</v>
      </c>
      <c r="FJ801" s="319" t="s">
        <v>190</v>
      </c>
      <c r="FK801" s="319" t="s">
        <v>190</v>
      </c>
      <c r="FL801" s="319" t="s">
        <v>190</v>
      </c>
      <c r="FM801" s="319" t="s">
        <v>190</v>
      </c>
      <c r="FN801" s="319" t="s">
        <v>190</v>
      </c>
      <c r="FO801" s="319" t="s">
        <v>190</v>
      </c>
      <c r="FP801" s="319" t="s">
        <v>190</v>
      </c>
      <c r="FQ801" s="319" t="s">
        <v>190</v>
      </c>
      <c r="FR801" s="319" t="s">
        <v>190</v>
      </c>
      <c r="FS801" s="319" t="s">
        <v>428</v>
      </c>
      <c r="FT801" s="319" t="s">
        <v>190</v>
      </c>
      <c r="FU801" s="319" t="s">
        <v>190</v>
      </c>
      <c r="FV801" s="319" t="s">
        <v>190</v>
      </c>
      <c r="FW801" s="319" t="s">
        <v>190</v>
      </c>
      <c r="FX801" s="319" t="s">
        <v>190</v>
      </c>
      <c r="FY801" s="319" t="s">
        <v>190</v>
      </c>
      <c r="FZ801" s="319" t="s">
        <v>190</v>
      </c>
      <c r="GA801" s="319" t="s">
        <v>190</v>
      </c>
      <c r="GB801" s="319" t="s">
        <v>190</v>
      </c>
      <c r="GC801" s="319" t="s">
        <v>190</v>
      </c>
      <c r="GD801" s="319" t="s">
        <v>190</v>
      </c>
      <c r="GE801" s="319" t="s">
        <v>190</v>
      </c>
      <c r="GF801" s="319" t="s">
        <v>190</v>
      </c>
      <c r="GG801" s="319" t="s">
        <v>190</v>
      </c>
      <c r="GH801" s="319" t="s">
        <v>190</v>
      </c>
      <c r="GI801" s="319" t="s">
        <v>190</v>
      </c>
      <c r="GJ801" s="319" t="s">
        <v>190</v>
      </c>
      <c r="GK801" s="319" t="s">
        <v>428</v>
      </c>
      <c r="GL801" s="319" t="s">
        <v>190</v>
      </c>
      <c r="GM801" s="319" t="s">
        <v>190</v>
      </c>
      <c r="GN801" s="319" t="s">
        <v>190</v>
      </c>
      <c r="GO801" s="319" t="s">
        <v>190</v>
      </c>
      <c r="GP801" s="319" t="s">
        <v>190</v>
      </c>
      <c r="GQ801" s="319" t="s">
        <v>190</v>
      </c>
      <c r="GR801" s="319" t="s">
        <v>190</v>
      </c>
      <c r="GS801" s="319" t="s">
        <v>190</v>
      </c>
      <c r="GT801" s="319" t="s">
        <v>428</v>
      </c>
      <c r="GU801" s="319" t="s">
        <v>428</v>
      </c>
      <c r="GV801" s="319" t="s">
        <v>190</v>
      </c>
      <c r="GW801" s="319" t="s">
        <v>190</v>
      </c>
      <c r="GX801" s="319" t="s">
        <v>190</v>
      </c>
      <c r="GY801" s="319" t="s">
        <v>190</v>
      </c>
      <c r="GZ801" s="319" t="s">
        <v>428</v>
      </c>
      <c r="HA801" s="319" t="s">
        <v>190</v>
      </c>
      <c r="HB801" s="319" t="s">
        <v>190</v>
      </c>
      <c r="HC801" s="319" t="s">
        <v>190</v>
      </c>
      <c r="HD801" s="319" t="s">
        <v>190</v>
      </c>
      <c r="HE801" s="319" t="s">
        <v>190</v>
      </c>
      <c r="HF801" s="319" t="s">
        <v>190</v>
      </c>
      <c r="HG801" s="319" t="s">
        <v>190</v>
      </c>
      <c r="HH801" s="319" t="s">
        <v>190</v>
      </c>
      <c r="HI801" s="319" t="s">
        <v>190</v>
      </c>
      <c r="HJ801" s="319" t="s">
        <v>190</v>
      </c>
      <c r="HK801" s="319" t="s">
        <v>190</v>
      </c>
      <c r="HL801" s="319" t="s">
        <v>428</v>
      </c>
      <c r="HM801" s="319" t="s">
        <v>428</v>
      </c>
      <c r="HN801" s="319" t="s">
        <v>428</v>
      </c>
      <c r="HO801" s="319" t="s">
        <v>428</v>
      </c>
      <c r="HP801" s="319" t="s">
        <v>190</v>
      </c>
      <c r="HQ801" s="319" t="s">
        <v>190</v>
      </c>
      <c r="HR801" s="319" t="s">
        <v>190</v>
      </c>
      <c r="HS801" s="319" t="s">
        <v>190</v>
      </c>
      <c r="HT801" s="319" t="s">
        <v>190</v>
      </c>
      <c r="HU801" s="319" t="s">
        <v>190</v>
      </c>
      <c r="HV801" s="319" t="s">
        <v>190</v>
      </c>
      <c r="HW801" s="319" t="s">
        <v>190</v>
      </c>
      <c r="HX801" s="319" t="s">
        <v>190</v>
      </c>
      <c r="HY801" s="319" t="s">
        <v>190</v>
      </c>
      <c r="HZ801" s="319" t="s">
        <v>190</v>
      </c>
      <c r="IA801" s="319" t="s">
        <v>190</v>
      </c>
      <c r="IB801" s="319" t="s">
        <v>190</v>
      </c>
      <c r="IC801" s="319" t="s">
        <v>190</v>
      </c>
      <c r="ID801" s="319" t="s">
        <v>190</v>
      </c>
      <c r="IE801" s="319" t="s">
        <v>190</v>
      </c>
      <c r="IF801" s="319" t="s">
        <v>190</v>
      </c>
      <c r="IG801" s="319" t="s">
        <v>190</v>
      </c>
      <c r="IH801" s="319" t="s">
        <v>190</v>
      </c>
      <c r="II801" s="319" t="s">
        <v>190</v>
      </c>
      <c r="IJ801" s="319">
        <v>10008634</v>
      </c>
      <c r="IK801" s="321">
        <v>42395</v>
      </c>
      <c r="IL801" s="321">
        <v>42397</v>
      </c>
      <c r="IM801" s="321">
        <v>42478</v>
      </c>
      <c r="IN801" s="319">
        <v>4</v>
      </c>
      <c r="IO801" s="319" t="s">
        <v>173</v>
      </c>
      <c r="IP801" s="319" t="s">
        <v>173</v>
      </c>
      <c r="IQ801" s="319" t="s">
        <v>173</v>
      </c>
      <c r="IR801" s="320" t="s">
        <v>173</v>
      </c>
      <c r="IS801" s="320" t="s">
        <v>173</v>
      </c>
      <c r="IT801" s="319" t="s">
        <v>173</v>
      </c>
    </row>
    <row r="802" spans="1:254" s="271" customFormat="1" x14ac:dyDescent="0.25">
      <c r="A802" s="318" t="str">
        <f>HYPERLINK("http://www.ofsted.gov.uk/inspection-reports/find-inspection-report/provider/ELS/141859 ","Ofsted School Webpage")</f>
        <v>Ofsted School Webpage</v>
      </c>
      <c r="B802" s="319">
        <v>141859</v>
      </c>
      <c r="C802" s="319">
        <v>3096004</v>
      </c>
      <c r="D802" s="319" t="s">
        <v>2303</v>
      </c>
      <c r="E802" s="319" t="s">
        <v>167</v>
      </c>
      <c r="F802" s="319" t="s">
        <v>81</v>
      </c>
      <c r="G802" s="319" t="s">
        <v>81</v>
      </c>
      <c r="H802" s="319" t="s">
        <v>81</v>
      </c>
      <c r="I802" s="319" t="s">
        <v>78</v>
      </c>
      <c r="J802" s="319" t="s">
        <v>424</v>
      </c>
      <c r="K802" s="319" t="s">
        <v>441</v>
      </c>
      <c r="L802" s="319" t="s">
        <v>441</v>
      </c>
      <c r="M802" s="319" t="s">
        <v>527</v>
      </c>
      <c r="N802" s="319" t="s">
        <v>2837</v>
      </c>
      <c r="O802" s="319" t="s">
        <v>2304</v>
      </c>
      <c r="P802" s="319">
        <v>42</v>
      </c>
      <c r="Q802" s="319" t="s">
        <v>2766</v>
      </c>
      <c r="R802" s="320">
        <v>10041405</v>
      </c>
      <c r="S802" s="321">
        <v>43130</v>
      </c>
      <c r="T802" s="321">
        <v>43132</v>
      </c>
      <c r="U802" s="321">
        <v>43157</v>
      </c>
      <c r="V802" s="319" t="s">
        <v>425</v>
      </c>
      <c r="W802" s="319" t="s">
        <v>2767</v>
      </c>
      <c r="X802" s="319">
        <v>2</v>
      </c>
      <c r="Y802" s="319" t="s">
        <v>173</v>
      </c>
      <c r="Z802" s="319" t="s">
        <v>173</v>
      </c>
      <c r="AA802" s="319" t="s">
        <v>173</v>
      </c>
      <c r="AB802" s="319">
        <v>2</v>
      </c>
      <c r="AC802" s="319" t="s">
        <v>169</v>
      </c>
      <c r="AD802" s="319" t="s">
        <v>173</v>
      </c>
      <c r="AE802" s="319" t="s">
        <v>173</v>
      </c>
      <c r="AF802" s="319" t="s">
        <v>427</v>
      </c>
      <c r="AG802" s="319" t="s">
        <v>171</v>
      </c>
      <c r="AH802" s="319" t="s">
        <v>190</v>
      </c>
      <c r="AI802" s="319" t="s">
        <v>190</v>
      </c>
      <c r="AJ802" s="319" t="s">
        <v>190</v>
      </c>
      <c r="AK802" s="319" t="s">
        <v>190</v>
      </c>
      <c r="AL802" s="319" t="s">
        <v>190</v>
      </c>
      <c r="AM802" s="319" t="s">
        <v>190</v>
      </c>
      <c r="AN802" s="319" t="s">
        <v>190</v>
      </c>
      <c r="AO802" s="319" t="s">
        <v>190</v>
      </c>
      <c r="AP802" s="319" t="s">
        <v>190</v>
      </c>
      <c r="AQ802" s="319" t="s">
        <v>190</v>
      </c>
      <c r="AR802" s="319" t="s">
        <v>190</v>
      </c>
      <c r="AS802" s="319" t="s">
        <v>190</v>
      </c>
      <c r="AT802" s="319" t="s">
        <v>190</v>
      </c>
      <c r="AU802" s="319" t="s">
        <v>190</v>
      </c>
      <c r="AV802" s="319" t="s">
        <v>190</v>
      </c>
      <c r="AW802" s="319" t="s">
        <v>190</v>
      </c>
      <c r="AX802" s="319" t="s">
        <v>428</v>
      </c>
      <c r="AY802" s="319" t="s">
        <v>190</v>
      </c>
      <c r="AZ802" s="319" t="s">
        <v>190</v>
      </c>
      <c r="BA802" s="319" t="s">
        <v>190</v>
      </c>
      <c r="BB802" s="319" t="s">
        <v>190</v>
      </c>
      <c r="BC802" s="319" t="s">
        <v>190</v>
      </c>
      <c r="BD802" s="319" t="s">
        <v>190</v>
      </c>
      <c r="BE802" s="319" t="s">
        <v>190</v>
      </c>
      <c r="BF802" s="319" t="s">
        <v>428</v>
      </c>
      <c r="BG802" s="319" t="s">
        <v>428</v>
      </c>
      <c r="BH802" s="319" t="s">
        <v>190</v>
      </c>
      <c r="BI802" s="319" t="s">
        <v>190</v>
      </c>
      <c r="BJ802" s="319" t="s">
        <v>190</v>
      </c>
      <c r="BK802" s="319" t="s">
        <v>190</v>
      </c>
      <c r="BL802" s="319" t="s">
        <v>190</v>
      </c>
      <c r="BM802" s="319" t="s">
        <v>190</v>
      </c>
      <c r="BN802" s="319" t="s">
        <v>190</v>
      </c>
      <c r="BO802" s="319" t="s">
        <v>190</v>
      </c>
      <c r="BP802" s="319" t="s">
        <v>190</v>
      </c>
      <c r="BQ802" s="319" t="s">
        <v>190</v>
      </c>
      <c r="BR802" s="319" t="s">
        <v>190</v>
      </c>
      <c r="BS802" s="319" t="s">
        <v>190</v>
      </c>
      <c r="BT802" s="319" t="s">
        <v>190</v>
      </c>
      <c r="BU802" s="319" t="s">
        <v>190</v>
      </c>
      <c r="BV802" s="319" t="s">
        <v>190</v>
      </c>
      <c r="BW802" s="319" t="s">
        <v>190</v>
      </c>
      <c r="BX802" s="319" t="s">
        <v>190</v>
      </c>
      <c r="BY802" s="319" t="s">
        <v>190</v>
      </c>
      <c r="BZ802" s="319" t="s">
        <v>190</v>
      </c>
      <c r="CA802" s="319" t="s">
        <v>190</v>
      </c>
      <c r="CB802" s="319" t="s">
        <v>190</v>
      </c>
      <c r="CC802" s="319" t="s">
        <v>190</v>
      </c>
      <c r="CD802" s="319" t="s">
        <v>190</v>
      </c>
      <c r="CE802" s="319" t="s">
        <v>190</v>
      </c>
      <c r="CF802" s="319" t="s">
        <v>190</v>
      </c>
      <c r="CG802" s="319" t="s">
        <v>190</v>
      </c>
      <c r="CH802" s="319" t="s">
        <v>190</v>
      </c>
      <c r="CI802" s="319" t="s">
        <v>190</v>
      </c>
      <c r="CJ802" s="319" t="s">
        <v>190</v>
      </c>
      <c r="CK802" s="319" t="s">
        <v>190</v>
      </c>
      <c r="CL802" s="319" t="s">
        <v>190</v>
      </c>
      <c r="CM802" s="319" t="s">
        <v>190</v>
      </c>
      <c r="CN802" s="319" t="s">
        <v>428</v>
      </c>
      <c r="CO802" s="319" t="s">
        <v>428</v>
      </c>
      <c r="CP802" s="319" t="s">
        <v>428</v>
      </c>
      <c r="CQ802" s="319" t="s">
        <v>190</v>
      </c>
      <c r="CR802" s="319" t="s">
        <v>190</v>
      </c>
      <c r="CS802" s="319" t="s">
        <v>190</v>
      </c>
      <c r="CT802" s="319" t="s">
        <v>190</v>
      </c>
      <c r="CU802" s="319" t="s">
        <v>190</v>
      </c>
      <c r="CV802" s="319" t="s">
        <v>190</v>
      </c>
      <c r="CW802" s="319" t="s">
        <v>190</v>
      </c>
      <c r="CX802" s="319" t="s">
        <v>190</v>
      </c>
      <c r="CY802" s="319" t="s">
        <v>190</v>
      </c>
      <c r="CZ802" s="319" t="s">
        <v>190</v>
      </c>
      <c r="DA802" s="319" t="s">
        <v>190</v>
      </c>
      <c r="DB802" s="319" t="s">
        <v>190</v>
      </c>
      <c r="DC802" s="319" t="s">
        <v>190</v>
      </c>
      <c r="DD802" s="319" t="s">
        <v>190</v>
      </c>
      <c r="DE802" s="319" t="s">
        <v>190</v>
      </c>
      <c r="DF802" s="319" t="s">
        <v>190</v>
      </c>
      <c r="DG802" s="319" t="s">
        <v>190</v>
      </c>
      <c r="DH802" s="319" t="s">
        <v>190</v>
      </c>
      <c r="DI802" s="319" t="s">
        <v>190</v>
      </c>
      <c r="DJ802" s="319" t="s">
        <v>190</v>
      </c>
      <c r="DK802" s="319" t="s">
        <v>190</v>
      </c>
      <c r="DL802" s="319" t="s">
        <v>190</v>
      </c>
      <c r="DM802" s="319" t="s">
        <v>190</v>
      </c>
      <c r="DN802" s="319" t="s">
        <v>428</v>
      </c>
      <c r="DO802" s="319" t="s">
        <v>190</v>
      </c>
      <c r="DP802" s="319" t="s">
        <v>190</v>
      </c>
      <c r="DQ802" s="319" t="s">
        <v>190</v>
      </c>
      <c r="DR802" s="319" t="s">
        <v>190</v>
      </c>
      <c r="DS802" s="319" t="s">
        <v>190</v>
      </c>
      <c r="DT802" s="319" t="s">
        <v>190</v>
      </c>
      <c r="DU802" s="319" t="s">
        <v>190</v>
      </c>
      <c r="DV802" s="319" t="s">
        <v>173</v>
      </c>
      <c r="DW802" s="319" t="s">
        <v>190</v>
      </c>
      <c r="DX802" s="319" t="s">
        <v>190</v>
      </c>
      <c r="DY802" s="319" t="s">
        <v>190</v>
      </c>
      <c r="DZ802" s="319" t="s">
        <v>190</v>
      </c>
      <c r="EA802" s="319" t="s">
        <v>190</v>
      </c>
      <c r="EB802" s="319" t="s">
        <v>190</v>
      </c>
      <c r="EC802" s="319" t="s">
        <v>428</v>
      </c>
      <c r="ED802" s="319" t="s">
        <v>190</v>
      </c>
      <c r="EE802" s="319" t="s">
        <v>190</v>
      </c>
      <c r="EF802" s="319" t="s">
        <v>190</v>
      </c>
      <c r="EG802" s="319" t="s">
        <v>190</v>
      </c>
      <c r="EH802" s="319" t="s">
        <v>190</v>
      </c>
      <c r="EI802" s="319" t="s">
        <v>190</v>
      </c>
      <c r="EJ802" s="319" t="s">
        <v>190</v>
      </c>
      <c r="EK802" s="319" t="s">
        <v>190</v>
      </c>
      <c r="EL802" s="319" t="s">
        <v>190</v>
      </c>
      <c r="EM802" s="319" t="s">
        <v>190</v>
      </c>
      <c r="EN802" s="319" t="s">
        <v>190</v>
      </c>
      <c r="EO802" s="319" t="s">
        <v>190</v>
      </c>
      <c r="EP802" s="319" t="s">
        <v>190</v>
      </c>
      <c r="EQ802" s="319" t="s">
        <v>190</v>
      </c>
      <c r="ER802" s="319" t="s">
        <v>190</v>
      </c>
      <c r="ES802" s="319" t="s">
        <v>190</v>
      </c>
      <c r="ET802" s="319" t="s">
        <v>190</v>
      </c>
      <c r="EU802" s="319" t="s">
        <v>190</v>
      </c>
      <c r="EV802" s="319" t="s">
        <v>190</v>
      </c>
      <c r="EW802" s="319" t="s">
        <v>190</v>
      </c>
      <c r="EX802" s="319" t="s">
        <v>190</v>
      </c>
      <c r="EY802" s="319" t="s">
        <v>190</v>
      </c>
      <c r="EZ802" s="319" t="s">
        <v>190</v>
      </c>
      <c r="FA802" s="319" t="s">
        <v>190</v>
      </c>
      <c r="FB802" s="319" t="s">
        <v>190</v>
      </c>
      <c r="FC802" s="319" t="s">
        <v>190</v>
      </c>
      <c r="FD802" s="319" t="s">
        <v>190</v>
      </c>
      <c r="FE802" s="319" t="s">
        <v>190</v>
      </c>
      <c r="FF802" s="319" t="s">
        <v>190</v>
      </c>
      <c r="FG802" s="319" t="s">
        <v>190</v>
      </c>
      <c r="FH802" s="319" t="s">
        <v>190</v>
      </c>
      <c r="FI802" s="319" t="s">
        <v>190</v>
      </c>
      <c r="FJ802" s="319" t="s">
        <v>190</v>
      </c>
      <c r="FK802" s="319" t="s">
        <v>190</v>
      </c>
      <c r="FL802" s="319" t="s">
        <v>190</v>
      </c>
      <c r="FM802" s="319" t="s">
        <v>190</v>
      </c>
      <c r="FN802" s="319" t="s">
        <v>190</v>
      </c>
      <c r="FO802" s="319" t="s">
        <v>190</v>
      </c>
      <c r="FP802" s="319" t="s">
        <v>190</v>
      </c>
      <c r="FQ802" s="319" t="s">
        <v>190</v>
      </c>
      <c r="FR802" s="319" t="s">
        <v>190</v>
      </c>
      <c r="FS802" s="319" t="s">
        <v>428</v>
      </c>
      <c r="FT802" s="319" t="s">
        <v>190</v>
      </c>
      <c r="FU802" s="319" t="s">
        <v>190</v>
      </c>
      <c r="FV802" s="319" t="s">
        <v>190</v>
      </c>
      <c r="FW802" s="319" t="s">
        <v>190</v>
      </c>
      <c r="FX802" s="319" t="s">
        <v>190</v>
      </c>
      <c r="FY802" s="319" t="s">
        <v>190</v>
      </c>
      <c r="FZ802" s="319" t="s">
        <v>190</v>
      </c>
      <c r="GA802" s="319" t="s">
        <v>190</v>
      </c>
      <c r="GB802" s="319" t="s">
        <v>190</v>
      </c>
      <c r="GC802" s="319" t="s">
        <v>190</v>
      </c>
      <c r="GD802" s="319" t="s">
        <v>190</v>
      </c>
      <c r="GE802" s="319" t="s">
        <v>190</v>
      </c>
      <c r="GF802" s="319" t="s">
        <v>190</v>
      </c>
      <c r="GG802" s="319" t="s">
        <v>190</v>
      </c>
      <c r="GH802" s="319" t="s">
        <v>190</v>
      </c>
      <c r="GI802" s="319" t="s">
        <v>190</v>
      </c>
      <c r="GJ802" s="319" t="s">
        <v>428</v>
      </c>
      <c r="GK802" s="319" t="s">
        <v>428</v>
      </c>
      <c r="GL802" s="319" t="s">
        <v>190</v>
      </c>
      <c r="GM802" s="319" t="s">
        <v>190</v>
      </c>
      <c r="GN802" s="319" t="s">
        <v>190</v>
      </c>
      <c r="GO802" s="319" t="s">
        <v>190</v>
      </c>
      <c r="GP802" s="319" t="s">
        <v>190</v>
      </c>
      <c r="GQ802" s="319" t="s">
        <v>190</v>
      </c>
      <c r="GR802" s="319" t="s">
        <v>190</v>
      </c>
      <c r="GS802" s="319" t="s">
        <v>190</v>
      </c>
      <c r="GT802" s="319" t="s">
        <v>190</v>
      </c>
      <c r="GU802" s="319" t="s">
        <v>190</v>
      </c>
      <c r="GV802" s="319" t="s">
        <v>190</v>
      </c>
      <c r="GW802" s="319" t="s">
        <v>190</v>
      </c>
      <c r="GX802" s="319" t="s">
        <v>190</v>
      </c>
      <c r="GY802" s="319" t="s">
        <v>190</v>
      </c>
      <c r="GZ802" s="319" t="s">
        <v>428</v>
      </c>
      <c r="HA802" s="319" t="s">
        <v>190</v>
      </c>
      <c r="HB802" s="319" t="s">
        <v>190</v>
      </c>
      <c r="HC802" s="319" t="s">
        <v>190</v>
      </c>
      <c r="HD802" s="319" t="s">
        <v>190</v>
      </c>
      <c r="HE802" s="319" t="s">
        <v>190</v>
      </c>
      <c r="HF802" s="319" t="s">
        <v>190</v>
      </c>
      <c r="HG802" s="319" t="s">
        <v>190</v>
      </c>
      <c r="HH802" s="319" t="s">
        <v>190</v>
      </c>
      <c r="HI802" s="319" t="s">
        <v>190</v>
      </c>
      <c r="HJ802" s="319" t="s">
        <v>190</v>
      </c>
      <c r="HK802" s="319" t="s">
        <v>190</v>
      </c>
      <c r="HL802" s="319" t="s">
        <v>190</v>
      </c>
      <c r="HM802" s="319" t="s">
        <v>190</v>
      </c>
      <c r="HN802" s="319" t="s">
        <v>190</v>
      </c>
      <c r="HO802" s="319" t="s">
        <v>190</v>
      </c>
      <c r="HP802" s="319" t="s">
        <v>190</v>
      </c>
      <c r="HQ802" s="319" t="s">
        <v>190</v>
      </c>
      <c r="HR802" s="319" t="s">
        <v>190</v>
      </c>
      <c r="HS802" s="319" t="s">
        <v>190</v>
      </c>
      <c r="HT802" s="319" t="s">
        <v>190</v>
      </c>
      <c r="HU802" s="319" t="s">
        <v>190</v>
      </c>
      <c r="HV802" s="319" t="s">
        <v>190</v>
      </c>
      <c r="HW802" s="319" t="s">
        <v>190</v>
      </c>
      <c r="HX802" s="319" t="s">
        <v>190</v>
      </c>
      <c r="HY802" s="319" t="s">
        <v>190</v>
      </c>
      <c r="HZ802" s="319" t="s">
        <v>190</v>
      </c>
      <c r="IA802" s="319" t="s">
        <v>190</v>
      </c>
      <c r="IB802" s="319" t="s">
        <v>190</v>
      </c>
      <c r="IC802" s="319" t="s">
        <v>190</v>
      </c>
      <c r="ID802" s="319" t="s">
        <v>190</v>
      </c>
      <c r="IE802" s="319" t="s">
        <v>190</v>
      </c>
      <c r="IF802" s="319" t="s">
        <v>190</v>
      </c>
      <c r="IG802" s="319" t="s">
        <v>190</v>
      </c>
      <c r="IH802" s="319" t="s">
        <v>190</v>
      </c>
      <c r="II802" s="319" t="s">
        <v>190</v>
      </c>
      <c r="IJ802" s="319">
        <v>10008621</v>
      </c>
      <c r="IK802" s="321">
        <v>42381</v>
      </c>
      <c r="IL802" s="321">
        <v>42383</v>
      </c>
      <c r="IM802" s="321">
        <v>42415</v>
      </c>
      <c r="IN802" s="319">
        <v>3</v>
      </c>
      <c r="IO802" s="319" t="s">
        <v>173</v>
      </c>
      <c r="IP802" s="319" t="s">
        <v>173</v>
      </c>
      <c r="IQ802" s="319" t="s">
        <v>173</v>
      </c>
      <c r="IR802" s="320" t="s">
        <v>173</v>
      </c>
      <c r="IS802" s="320" t="s">
        <v>173</v>
      </c>
      <c r="IT802" s="319" t="s">
        <v>173</v>
      </c>
    </row>
    <row r="803" spans="1:254" s="271" customFormat="1" x14ac:dyDescent="0.25">
      <c r="A803" s="318" t="str">
        <f>HYPERLINK("http://www.ofsted.gov.uk/inspection-reports/find-inspection-report/provider/ELS/141860 ","Ofsted School Webpage")</f>
        <v>Ofsted School Webpage</v>
      </c>
      <c r="B803" s="319">
        <v>141860</v>
      </c>
      <c r="C803" s="319">
        <v>3846003</v>
      </c>
      <c r="D803" s="319" t="s">
        <v>457</v>
      </c>
      <c r="E803" s="319" t="s">
        <v>168</v>
      </c>
      <c r="F803" s="319" t="s">
        <v>81</v>
      </c>
      <c r="G803" s="319" t="s">
        <v>81</v>
      </c>
      <c r="H803" s="319" t="s">
        <v>81</v>
      </c>
      <c r="I803" s="319" t="s">
        <v>78</v>
      </c>
      <c r="J803" s="319" t="s">
        <v>424</v>
      </c>
      <c r="K803" s="319" t="s">
        <v>458</v>
      </c>
      <c r="L803" s="319" t="s">
        <v>459</v>
      </c>
      <c r="M803" s="319" t="s">
        <v>460</v>
      </c>
      <c r="N803" s="319" t="s">
        <v>460</v>
      </c>
      <c r="O803" s="319" t="s">
        <v>461</v>
      </c>
      <c r="P803" s="319">
        <v>68</v>
      </c>
      <c r="Q803" s="319" t="s">
        <v>2766</v>
      </c>
      <c r="R803" s="320">
        <v>10055380</v>
      </c>
      <c r="S803" s="321">
        <v>43361</v>
      </c>
      <c r="T803" s="321">
        <v>43363</v>
      </c>
      <c r="U803" s="321">
        <v>43408</v>
      </c>
      <c r="V803" s="319" t="s">
        <v>425</v>
      </c>
      <c r="W803" s="319" t="s">
        <v>2767</v>
      </c>
      <c r="X803" s="319">
        <v>2</v>
      </c>
      <c r="Y803" s="319" t="s">
        <v>173</v>
      </c>
      <c r="Z803" s="319" t="s">
        <v>173</v>
      </c>
      <c r="AA803" s="319" t="s">
        <v>173</v>
      </c>
      <c r="AB803" s="319">
        <v>2</v>
      </c>
      <c r="AC803" s="319" t="s">
        <v>169</v>
      </c>
      <c r="AD803" s="319" t="s">
        <v>173</v>
      </c>
      <c r="AE803" s="319" t="s">
        <v>173</v>
      </c>
      <c r="AF803" s="319" t="s">
        <v>427</v>
      </c>
      <c r="AG803" s="319" t="s">
        <v>171</v>
      </c>
      <c r="AH803" s="319" t="s">
        <v>190</v>
      </c>
      <c r="AI803" s="319" t="s">
        <v>190</v>
      </c>
      <c r="AJ803" s="319" t="s">
        <v>190</v>
      </c>
      <c r="AK803" s="319" t="s">
        <v>190</v>
      </c>
      <c r="AL803" s="319" t="s">
        <v>190</v>
      </c>
      <c r="AM803" s="319" t="s">
        <v>190</v>
      </c>
      <c r="AN803" s="319" t="s">
        <v>190</v>
      </c>
      <c r="AO803" s="319" t="s">
        <v>190</v>
      </c>
      <c r="AP803" s="319" t="s">
        <v>190</v>
      </c>
      <c r="AQ803" s="319" t="s">
        <v>190</v>
      </c>
      <c r="AR803" s="319" t="s">
        <v>190</v>
      </c>
      <c r="AS803" s="319" t="s">
        <v>190</v>
      </c>
      <c r="AT803" s="319" t="s">
        <v>190</v>
      </c>
      <c r="AU803" s="319" t="s">
        <v>190</v>
      </c>
      <c r="AV803" s="319" t="s">
        <v>190</v>
      </c>
      <c r="AW803" s="319" t="s">
        <v>190</v>
      </c>
      <c r="AX803" s="319" t="s">
        <v>190</v>
      </c>
      <c r="AY803" s="319" t="s">
        <v>190</v>
      </c>
      <c r="AZ803" s="319" t="s">
        <v>190</v>
      </c>
      <c r="BA803" s="319" t="s">
        <v>190</v>
      </c>
      <c r="BB803" s="319" t="s">
        <v>190</v>
      </c>
      <c r="BC803" s="319" t="s">
        <v>190</v>
      </c>
      <c r="BD803" s="319" t="s">
        <v>190</v>
      </c>
      <c r="BE803" s="319" t="s">
        <v>190</v>
      </c>
      <c r="BF803" s="319" t="s">
        <v>428</v>
      </c>
      <c r="BG803" s="319" t="s">
        <v>428</v>
      </c>
      <c r="BH803" s="319" t="s">
        <v>190</v>
      </c>
      <c r="BI803" s="319" t="s">
        <v>190</v>
      </c>
      <c r="BJ803" s="319" t="s">
        <v>190</v>
      </c>
      <c r="BK803" s="319" t="s">
        <v>190</v>
      </c>
      <c r="BL803" s="319" t="s">
        <v>190</v>
      </c>
      <c r="BM803" s="319" t="s">
        <v>190</v>
      </c>
      <c r="BN803" s="319" t="s">
        <v>190</v>
      </c>
      <c r="BO803" s="319" t="s">
        <v>190</v>
      </c>
      <c r="BP803" s="319" t="s">
        <v>190</v>
      </c>
      <c r="BQ803" s="319" t="s">
        <v>190</v>
      </c>
      <c r="BR803" s="319" t="s">
        <v>190</v>
      </c>
      <c r="BS803" s="319" t="s">
        <v>190</v>
      </c>
      <c r="BT803" s="319" t="s">
        <v>190</v>
      </c>
      <c r="BU803" s="319" t="s">
        <v>190</v>
      </c>
      <c r="BV803" s="319" t="s">
        <v>190</v>
      </c>
      <c r="BW803" s="319" t="s">
        <v>190</v>
      </c>
      <c r="BX803" s="319" t="s">
        <v>190</v>
      </c>
      <c r="BY803" s="319" t="s">
        <v>190</v>
      </c>
      <c r="BZ803" s="319" t="s">
        <v>190</v>
      </c>
      <c r="CA803" s="319" t="s">
        <v>190</v>
      </c>
      <c r="CB803" s="319" t="s">
        <v>190</v>
      </c>
      <c r="CC803" s="319" t="s">
        <v>190</v>
      </c>
      <c r="CD803" s="319" t="s">
        <v>190</v>
      </c>
      <c r="CE803" s="319" t="s">
        <v>190</v>
      </c>
      <c r="CF803" s="319" t="s">
        <v>190</v>
      </c>
      <c r="CG803" s="319" t="s">
        <v>190</v>
      </c>
      <c r="CH803" s="319" t="s">
        <v>190</v>
      </c>
      <c r="CI803" s="319" t="s">
        <v>190</v>
      </c>
      <c r="CJ803" s="319" t="s">
        <v>190</v>
      </c>
      <c r="CK803" s="319" t="s">
        <v>190</v>
      </c>
      <c r="CL803" s="319" t="s">
        <v>190</v>
      </c>
      <c r="CM803" s="319" t="s">
        <v>190</v>
      </c>
      <c r="CN803" s="319" t="s">
        <v>190</v>
      </c>
      <c r="CO803" s="319" t="s">
        <v>190</v>
      </c>
      <c r="CP803" s="319" t="s">
        <v>190</v>
      </c>
      <c r="CQ803" s="319" t="s">
        <v>190</v>
      </c>
      <c r="CR803" s="319" t="s">
        <v>190</v>
      </c>
      <c r="CS803" s="319" t="s">
        <v>190</v>
      </c>
      <c r="CT803" s="319" t="s">
        <v>190</v>
      </c>
      <c r="CU803" s="319" t="s">
        <v>190</v>
      </c>
      <c r="CV803" s="319" t="s">
        <v>190</v>
      </c>
      <c r="CW803" s="319" t="s">
        <v>190</v>
      </c>
      <c r="CX803" s="319" t="s">
        <v>190</v>
      </c>
      <c r="CY803" s="319" t="s">
        <v>190</v>
      </c>
      <c r="CZ803" s="319" t="s">
        <v>190</v>
      </c>
      <c r="DA803" s="319" t="s">
        <v>190</v>
      </c>
      <c r="DB803" s="319" t="s">
        <v>190</v>
      </c>
      <c r="DC803" s="319" t="s">
        <v>190</v>
      </c>
      <c r="DD803" s="319" t="s">
        <v>190</v>
      </c>
      <c r="DE803" s="319" t="s">
        <v>190</v>
      </c>
      <c r="DF803" s="319" t="s">
        <v>190</v>
      </c>
      <c r="DG803" s="319" t="s">
        <v>190</v>
      </c>
      <c r="DH803" s="319" t="s">
        <v>190</v>
      </c>
      <c r="DI803" s="319" t="s">
        <v>190</v>
      </c>
      <c r="DJ803" s="319" t="s">
        <v>190</v>
      </c>
      <c r="DK803" s="319" t="s">
        <v>190</v>
      </c>
      <c r="DL803" s="319" t="s">
        <v>190</v>
      </c>
      <c r="DM803" s="319" t="s">
        <v>190</v>
      </c>
      <c r="DN803" s="319" t="s">
        <v>428</v>
      </c>
      <c r="DO803" s="319" t="s">
        <v>190</v>
      </c>
      <c r="DP803" s="319" t="s">
        <v>190</v>
      </c>
      <c r="DQ803" s="319" t="s">
        <v>190</v>
      </c>
      <c r="DR803" s="319" t="s">
        <v>190</v>
      </c>
      <c r="DS803" s="319" t="s">
        <v>190</v>
      </c>
      <c r="DT803" s="319" t="s">
        <v>190</v>
      </c>
      <c r="DU803" s="319" t="s">
        <v>190</v>
      </c>
      <c r="DV803" s="319" t="s">
        <v>173</v>
      </c>
      <c r="DW803" s="319" t="s">
        <v>190</v>
      </c>
      <c r="DX803" s="319" t="s">
        <v>190</v>
      </c>
      <c r="DY803" s="319" t="s">
        <v>190</v>
      </c>
      <c r="DZ803" s="319" t="s">
        <v>190</v>
      </c>
      <c r="EA803" s="319" t="s">
        <v>190</v>
      </c>
      <c r="EB803" s="319" t="s">
        <v>190</v>
      </c>
      <c r="EC803" s="319" t="s">
        <v>428</v>
      </c>
      <c r="ED803" s="319" t="s">
        <v>190</v>
      </c>
      <c r="EE803" s="319" t="s">
        <v>190</v>
      </c>
      <c r="EF803" s="319" t="s">
        <v>190</v>
      </c>
      <c r="EG803" s="319" t="s">
        <v>190</v>
      </c>
      <c r="EH803" s="319" t="s">
        <v>190</v>
      </c>
      <c r="EI803" s="319" t="s">
        <v>190</v>
      </c>
      <c r="EJ803" s="319" t="s">
        <v>190</v>
      </c>
      <c r="EK803" s="319" t="s">
        <v>190</v>
      </c>
      <c r="EL803" s="319" t="s">
        <v>190</v>
      </c>
      <c r="EM803" s="319" t="s">
        <v>190</v>
      </c>
      <c r="EN803" s="319" t="s">
        <v>190</v>
      </c>
      <c r="EO803" s="319" t="s">
        <v>190</v>
      </c>
      <c r="EP803" s="319" t="s">
        <v>190</v>
      </c>
      <c r="EQ803" s="319" t="s">
        <v>190</v>
      </c>
      <c r="ER803" s="319" t="s">
        <v>190</v>
      </c>
      <c r="ES803" s="319" t="s">
        <v>190</v>
      </c>
      <c r="ET803" s="319" t="s">
        <v>190</v>
      </c>
      <c r="EU803" s="319" t="s">
        <v>190</v>
      </c>
      <c r="EV803" s="319" t="s">
        <v>190</v>
      </c>
      <c r="EW803" s="319" t="s">
        <v>190</v>
      </c>
      <c r="EX803" s="319" t="s">
        <v>190</v>
      </c>
      <c r="EY803" s="319" t="s">
        <v>190</v>
      </c>
      <c r="EZ803" s="319" t="s">
        <v>190</v>
      </c>
      <c r="FA803" s="319" t="s">
        <v>190</v>
      </c>
      <c r="FB803" s="319" t="s">
        <v>190</v>
      </c>
      <c r="FC803" s="319" t="s">
        <v>190</v>
      </c>
      <c r="FD803" s="319" t="s">
        <v>190</v>
      </c>
      <c r="FE803" s="319" t="s">
        <v>190</v>
      </c>
      <c r="FF803" s="319" t="s">
        <v>190</v>
      </c>
      <c r="FG803" s="319" t="s">
        <v>190</v>
      </c>
      <c r="FH803" s="319" t="s">
        <v>190</v>
      </c>
      <c r="FI803" s="319" t="s">
        <v>190</v>
      </c>
      <c r="FJ803" s="319" t="s">
        <v>190</v>
      </c>
      <c r="FK803" s="319" t="s">
        <v>190</v>
      </c>
      <c r="FL803" s="319" t="s">
        <v>190</v>
      </c>
      <c r="FM803" s="319" t="s">
        <v>190</v>
      </c>
      <c r="FN803" s="319" t="s">
        <v>190</v>
      </c>
      <c r="FO803" s="319" t="s">
        <v>190</v>
      </c>
      <c r="FP803" s="319" t="s">
        <v>190</v>
      </c>
      <c r="FQ803" s="319" t="s">
        <v>190</v>
      </c>
      <c r="FR803" s="319" t="s">
        <v>190</v>
      </c>
      <c r="FS803" s="319" t="s">
        <v>428</v>
      </c>
      <c r="FT803" s="319" t="s">
        <v>190</v>
      </c>
      <c r="FU803" s="319" t="s">
        <v>190</v>
      </c>
      <c r="FV803" s="319" t="s">
        <v>190</v>
      </c>
      <c r="FW803" s="319" t="s">
        <v>190</v>
      </c>
      <c r="FX803" s="319" t="s">
        <v>190</v>
      </c>
      <c r="FY803" s="319" t="s">
        <v>190</v>
      </c>
      <c r="FZ803" s="319" t="s">
        <v>190</v>
      </c>
      <c r="GA803" s="319" t="s">
        <v>190</v>
      </c>
      <c r="GB803" s="319" t="s">
        <v>190</v>
      </c>
      <c r="GC803" s="319" t="s">
        <v>190</v>
      </c>
      <c r="GD803" s="319" t="s">
        <v>190</v>
      </c>
      <c r="GE803" s="319" t="s">
        <v>190</v>
      </c>
      <c r="GF803" s="319" t="s">
        <v>190</v>
      </c>
      <c r="GG803" s="319" t="s">
        <v>190</v>
      </c>
      <c r="GH803" s="319" t="s">
        <v>190</v>
      </c>
      <c r="GI803" s="319" t="s">
        <v>190</v>
      </c>
      <c r="GJ803" s="319" t="s">
        <v>190</v>
      </c>
      <c r="GK803" s="319" t="s">
        <v>428</v>
      </c>
      <c r="GL803" s="319" t="s">
        <v>190</v>
      </c>
      <c r="GM803" s="319" t="s">
        <v>190</v>
      </c>
      <c r="GN803" s="319" t="s">
        <v>190</v>
      </c>
      <c r="GO803" s="319" t="s">
        <v>190</v>
      </c>
      <c r="GP803" s="319" t="s">
        <v>190</v>
      </c>
      <c r="GQ803" s="319" t="s">
        <v>190</v>
      </c>
      <c r="GR803" s="319" t="s">
        <v>190</v>
      </c>
      <c r="GS803" s="319" t="s">
        <v>190</v>
      </c>
      <c r="GT803" s="319" t="s">
        <v>190</v>
      </c>
      <c r="GU803" s="319" t="s">
        <v>190</v>
      </c>
      <c r="GV803" s="319" t="s">
        <v>190</v>
      </c>
      <c r="GW803" s="319" t="s">
        <v>190</v>
      </c>
      <c r="GX803" s="319" t="s">
        <v>190</v>
      </c>
      <c r="GY803" s="319" t="s">
        <v>190</v>
      </c>
      <c r="GZ803" s="319" t="s">
        <v>190</v>
      </c>
      <c r="HA803" s="319" t="s">
        <v>190</v>
      </c>
      <c r="HB803" s="319" t="s">
        <v>428</v>
      </c>
      <c r="HC803" s="319" t="s">
        <v>190</v>
      </c>
      <c r="HD803" s="319" t="s">
        <v>190</v>
      </c>
      <c r="HE803" s="319" t="s">
        <v>190</v>
      </c>
      <c r="HF803" s="319" t="s">
        <v>190</v>
      </c>
      <c r="HG803" s="319" t="s">
        <v>190</v>
      </c>
      <c r="HH803" s="319" t="s">
        <v>190</v>
      </c>
      <c r="HI803" s="319" t="s">
        <v>190</v>
      </c>
      <c r="HJ803" s="319" t="s">
        <v>190</v>
      </c>
      <c r="HK803" s="319" t="s">
        <v>190</v>
      </c>
      <c r="HL803" s="319" t="s">
        <v>428</v>
      </c>
      <c r="HM803" s="319" t="s">
        <v>428</v>
      </c>
      <c r="HN803" s="319" t="s">
        <v>428</v>
      </c>
      <c r="HO803" s="319" t="s">
        <v>428</v>
      </c>
      <c r="HP803" s="319" t="s">
        <v>190</v>
      </c>
      <c r="HQ803" s="319" t="s">
        <v>190</v>
      </c>
      <c r="HR803" s="319" t="s">
        <v>190</v>
      </c>
      <c r="HS803" s="319" t="s">
        <v>190</v>
      </c>
      <c r="HT803" s="319" t="s">
        <v>190</v>
      </c>
      <c r="HU803" s="319" t="s">
        <v>190</v>
      </c>
      <c r="HV803" s="319" t="s">
        <v>190</v>
      </c>
      <c r="HW803" s="319" t="s">
        <v>190</v>
      </c>
      <c r="HX803" s="319" t="s">
        <v>190</v>
      </c>
      <c r="HY803" s="319" t="s">
        <v>190</v>
      </c>
      <c r="HZ803" s="319" t="s">
        <v>190</v>
      </c>
      <c r="IA803" s="319" t="s">
        <v>190</v>
      </c>
      <c r="IB803" s="319" t="s">
        <v>190</v>
      </c>
      <c r="IC803" s="319" t="s">
        <v>190</v>
      </c>
      <c r="ID803" s="319" t="s">
        <v>190</v>
      </c>
      <c r="IE803" s="319" t="s">
        <v>190</v>
      </c>
      <c r="IF803" s="319" t="s">
        <v>190</v>
      </c>
      <c r="IG803" s="319" t="s">
        <v>190</v>
      </c>
      <c r="IH803" s="319" t="s">
        <v>190</v>
      </c>
      <c r="II803" s="319" t="s">
        <v>190</v>
      </c>
      <c r="IJ803" s="319">
        <v>10008622</v>
      </c>
      <c r="IK803" s="321">
        <v>42409</v>
      </c>
      <c r="IL803" s="321">
        <v>42411</v>
      </c>
      <c r="IM803" s="321">
        <v>42453</v>
      </c>
      <c r="IN803" s="319">
        <v>2</v>
      </c>
      <c r="IO803" s="319" t="s">
        <v>173</v>
      </c>
      <c r="IP803" s="319" t="s">
        <v>173</v>
      </c>
      <c r="IQ803" s="321" t="s">
        <v>173</v>
      </c>
      <c r="IR803" s="320" t="s">
        <v>173</v>
      </c>
      <c r="IS803" s="322" t="s">
        <v>173</v>
      </c>
      <c r="IT803" s="319" t="s">
        <v>173</v>
      </c>
    </row>
    <row r="804" spans="1:254" s="271" customFormat="1" x14ac:dyDescent="0.25">
      <c r="A804" s="318" t="str">
        <f>HYPERLINK("http://www.ofsted.gov.uk/inspection-reports/find-inspection-report/provider/ELS/141864 ","Ofsted School Webpage")</f>
        <v>Ofsted School Webpage</v>
      </c>
      <c r="B804" s="319">
        <v>141864</v>
      </c>
      <c r="C804" s="319">
        <v>8886059</v>
      </c>
      <c r="D804" s="319" t="s">
        <v>2305</v>
      </c>
      <c r="E804" s="319" t="s">
        <v>168</v>
      </c>
      <c r="F804" s="319" t="s">
        <v>81</v>
      </c>
      <c r="G804" s="319" t="s">
        <v>81</v>
      </c>
      <c r="H804" s="319" t="s">
        <v>81</v>
      </c>
      <c r="I804" s="319" t="s">
        <v>78</v>
      </c>
      <c r="J804" s="319" t="s">
        <v>424</v>
      </c>
      <c r="K804" s="319" t="s">
        <v>431</v>
      </c>
      <c r="L804" s="319" t="s">
        <v>431</v>
      </c>
      <c r="M804" s="319" t="s">
        <v>469</v>
      </c>
      <c r="N804" s="319" t="s">
        <v>2996</v>
      </c>
      <c r="O804" s="319" t="s">
        <v>2306</v>
      </c>
      <c r="P804" s="319">
        <v>18</v>
      </c>
      <c r="Q804" s="319" t="s">
        <v>429</v>
      </c>
      <c r="R804" s="320">
        <v>10008943</v>
      </c>
      <c r="S804" s="321">
        <v>42822</v>
      </c>
      <c r="T804" s="321">
        <v>42824</v>
      </c>
      <c r="U804" s="321">
        <v>42859</v>
      </c>
      <c r="V804" s="319" t="s">
        <v>435</v>
      </c>
      <c r="W804" s="319" t="s">
        <v>2767</v>
      </c>
      <c r="X804" s="319">
        <v>2</v>
      </c>
      <c r="Y804" s="319" t="s">
        <v>173</v>
      </c>
      <c r="Z804" s="319" t="s">
        <v>173</v>
      </c>
      <c r="AA804" s="319" t="s">
        <v>173</v>
      </c>
      <c r="AB804" s="319">
        <v>1</v>
      </c>
      <c r="AC804" s="319" t="s">
        <v>169</v>
      </c>
      <c r="AD804" s="319" t="s">
        <v>173</v>
      </c>
      <c r="AE804" s="319" t="s">
        <v>173</v>
      </c>
      <c r="AF804" s="319" t="s">
        <v>173</v>
      </c>
      <c r="AG804" s="319" t="s">
        <v>171</v>
      </c>
      <c r="AH804" s="319" t="s">
        <v>190</v>
      </c>
      <c r="AI804" s="319" t="s">
        <v>190</v>
      </c>
      <c r="AJ804" s="319" t="s">
        <v>190</v>
      </c>
      <c r="AK804" s="319" t="s">
        <v>190</v>
      </c>
      <c r="AL804" s="319" t="s">
        <v>190</v>
      </c>
      <c r="AM804" s="319" t="s">
        <v>190</v>
      </c>
      <c r="AN804" s="319" t="s">
        <v>190</v>
      </c>
      <c r="AO804" s="319" t="s">
        <v>190</v>
      </c>
      <c r="AP804" s="319" t="s">
        <v>190</v>
      </c>
      <c r="AQ804" s="319" t="s">
        <v>190</v>
      </c>
      <c r="AR804" s="319" t="s">
        <v>190</v>
      </c>
      <c r="AS804" s="319" t="s">
        <v>190</v>
      </c>
      <c r="AT804" s="319" t="s">
        <v>190</v>
      </c>
      <c r="AU804" s="319" t="s">
        <v>190</v>
      </c>
      <c r="AV804" s="319" t="s">
        <v>190</v>
      </c>
      <c r="AW804" s="319" t="s">
        <v>190</v>
      </c>
      <c r="AX804" s="319" t="s">
        <v>429</v>
      </c>
      <c r="AY804" s="319" t="s">
        <v>190</v>
      </c>
      <c r="AZ804" s="319" t="s">
        <v>190</v>
      </c>
      <c r="BA804" s="319" t="s">
        <v>190</v>
      </c>
      <c r="BB804" s="319" t="s">
        <v>190</v>
      </c>
      <c r="BC804" s="319" t="s">
        <v>190</v>
      </c>
      <c r="BD804" s="319" t="s">
        <v>190</v>
      </c>
      <c r="BE804" s="319" t="s">
        <v>190</v>
      </c>
      <c r="BF804" s="319" t="s">
        <v>429</v>
      </c>
      <c r="BG804" s="319" t="s">
        <v>429</v>
      </c>
      <c r="BH804" s="319" t="s">
        <v>190</v>
      </c>
      <c r="BI804" s="319" t="s">
        <v>190</v>
      </c>
      <c r="BJ804" s="319" t="s">
        <v>190</v>
      </c>
      <c r="BK804" s="319" t="s">
        <v>190</v>
      </c>
      <c r="BL804" s="319" t="s">
        <v>190</v>
      </c>
      <c r="BM804" s="319" t="s">
        <v>190</v>
      </c>
      <c r="BN804" s="319" t="s">
        <v>190</v>
      </c>
      <c r="BO804" s="319" t="s">
        <v>190</v>
      </c>
      <c r="BP804" s="319" t="s">
        <v>190</v>
      </c>
      <c r="BQ804" s="319" t="s">
        <v>190</v>
      </c>
      <c r="BR804" s="319" t="s">
        <v>190</v>
      </c>
      <c r="BS804" s="319" t="s">
        <v>190</v>
      </c>
      <c r="BT804" s="319" t="s">
        <v>190</v>
      </c>
      <c r="BU804" s="319" t="s">
        <v>190</v>
      </c>
      <c r="BV804" s="319" t="s">
        <v>190</v>
      </c>
      <c r="BW804" s="319" t="s">
        <v>190</v>
      </c>
      <c r="BX804" s="319" t="s">
        <v>190</v>
      </c>
      <c r="BY804" s="319" t="s">
        <v>190</v>
      </c>
      <c r="BZ804" s="319" t="s">
        <v>190</v>
      </c>
      <c r="CA804" s="319" t="s">
        <v>190</v>
      </c>
      <c r="CB804" s="319" t="s">
        <v>190</v>
      </c>
      <c r="CC804" s="319" t="s">
        <v>190</v>
      </c>
      <c r="CD804" s="319" t="s">
        <v>190</v>
      </c>
      <c r="CE804" s="319" t="s">
        <v>190</v>
      </c>
      <c r="CF804" s="319" t="s">
        <v>190</v>
      </c>
      <c r="CG804" s="319" t="s">
        <v>190</v>
      </c>
      <c r="CH804" s="319" t="s">
        <v>190</v>
      </c>
      <c r="CI804" s="319" t="s">
        <v>190</v>
      </c>
      <c r="CJ804" s="319" t="s">
        <v>190</v>
      </c>
      <c r="CK804" s="319" t="s">
        <v>190</v>
      </c>
      <c r="CL804" s="319" t="s">
        <v>190</v>
      </c>
      <c r="CM804" s="319" t="s">
        <v>190</v>
      </c>
      <c r="CN804" s="319" t="s">
        <v>190</v>
      </c>
      <c r="CO804" s="319" t="s">
        <v>190</v>
      </c>
      <c r="CP804" s="319" t="s">
        <v>190</v>
      </c>
      <c r="CQ804" s="319" t="s">
        <v>190</v>
      </c>
      <c r="CR804" s="319" t="s">
        <v>190</v>
      </c>
      <c r="CS804" s="319" t="s">
        <v>190</v>
      </c>
      <c r="CT804" s="319" t="s">
        <v>190</v>
      </c>
      <c r="CU804" s="319" t="s">
        <v>190</v>
      </c>
      <c r="CV804" s="319" t="s">
        <v>190</v>
      </c>
      <c r="CW804" s="319" t="s">
        <v>190</v>
      </c>
      <c r="CX804" s="319" t="s">
        <v>190</v>
      </c>
      <c r="CY804" s="319" t="s">
        <v>190</v>
      </c>
      <c r="CZ804" s="319" t="s">
        <v>190</v>
      </c>
      <c r="DA804" s="319" t="s">
        <v>190</v>
      </c>
      <c r="DB804" s="319" t="s">
        <v>190</v>
      </c>
      <c r="DC804" s="319" t="s">
        <v>190</v>
      </c>
      <c r="DD804" s="319" t="s">
        <v>190</v>
      </c>
      <c r="DE804" s="319" t="s">
        <v>190</v>
      </c>
      <c r="DF804" s="319" t="s">
        <v>190</v>
      </c>
      <c r="DG804" s="319" t="s">
        <v>190</v>
      </c>
      <c r="DH804" s="319" t="s">
        <v>190</v>
      </c>
      <c r="DI804" s="319" t="s">
        <v>190</v>
      </c>
      <c r="DJ804" s="319" t="s">
        <v>190</v>
      </c>
      <c r="DK804" s="319" t="s">
        <v>190</v>
      </c>
      <c r="DL804" s="319" t="s">
        <v>190</v>
      </c>
      <c r="DM804" s="319" t="s">
        <v>190</v>
      </c>
      <c r="DN804" s="319" t="s">
        <v>190</v>
      </c>
      <c r="DO804" s="319" t="s">
        <v>190</v>
      </c>
      <c r="DP804" s="319" t="s">
        <v>190</v>
      </c>
      <c r="DQ804" s="319" t="s">
        <v>190</v>
      </c>
      <c r="DR804" s="319" t="s">
        <v>190</v>
      </c>
      <c r="DS804" s="319" t="s">
        <v>190</v>
      </c>
      <c r="DT804" s="319" t="s">
        <v>190</v>
      </c>
      <c r="DU804" s="319" t="s">
        <v>190</v>
      </c>
      <c r="DV804" s="319" t="s">
        <v>173</v>
      </c>
      <c r="DW804" s="319" t="s">
        <v>190</v>
      </c>
      <c r="DX804" s="319" t="s">
        <v>429</v>
      </c>
      <c r="DY804" s="319" t="s">
        <v>429</v>
      </c>
      <c r="DZ804" s="319" t="s">
        <v>190</v>
      </c>
      <c r="EA804" s="319" t="s">
        <v>190</v>
      </c>
      <c r="EB804" s="319" t="s">
        <v>190</v>
      </c>
      <c r="EC804" s="319" t="s">
        <v>190</v>
      </c>
      <c r="ED804" s="319" t="s">
        <v>190</v>
      </c>
      <c r="EE804" s="319" t="s">
        <v>190</v>
      </c>
      <c r="EF804" s="319" t="s">
        <v>190</v>
      </c>
      <c r="EG804" s="319" t="s">
        <v>190</v>
      </c>
      <c r="EH804" s="319" t="s">
        <v>190</v>
      </c>
      <c r="EI804" s="319" t="s">
        <v>190</v>
      </c>
      <c r="EJ804" s="319" t="s">
        <v>190</v>
      </c>
      <c r="EK804" s="319" t="s">
        <v>190</v>
      </c>
      <c r="EL804" s="319" t="s">
        <v>190</v>
      </c>
      <c r="EM804" s="319" t="s">
        <v>190</v>
      </c>
      <c r="EN804" s="319" t="s">
        <v>190</v>
      </c>
      <c r="EO804" s="319" t="s">
        <v>190</v>
      </c>
      <c r="EP804" s="319" t="s">
        <v>190</v>
      </c>
      <c r="EQ804" s="319" t="s">
        <v>190</v>
      </c>
      <c r="ER804" s="319" t="s">
        <v>190</v>
      </c>
      <c r="ES804" s="319" t="s">
        <v>190</v>
      </c>
      <c r="ET804" s="319" t="s">
        <v>190</v>
      </c>
      <c r="EU804" s="319" t="s">
        <v>190</v>
      </c>
      <c r="EV804" s="319" t="s">
        <v>190</v>
      </c>
      <c r="EW804" s="319" t="s">
        <v>190</v>
      </c>
      <c r="EX804" s="319" t="s">
        <v>190</v>
      </c>
      <c r="EY804" s="319" t="s">
        <v>190</v>
      </c>
      <c r="EZ804" s="319" t="s">
        <v>190</v>
      </c>
      <c r="FA804" s="319" t="s">
        <v>190</v>
      </c>
      <c r="FB804" s="319" t="s">
        <v>190</v>
      </c>
      <c r="FC804" s="319" t="s">
        <v>190</v>
      </c>
      <c r="FD804" s="319" t="s">
        <v>190</v>
      </c>
      <c r="FE804" s="319" t="s">
        <v>190</v>
      </c>
      <c r="FF804" s="319" t="s">
        <v>190</v>
      </c>
      <c r="FG804" s="319" t="s">
        <v>190</v>
      </c>
      <c r="FH804" s="319" t="s">
        <v>190</v>
      </c>
      <c r="FI804" s="319" t="s">
        <v>190</v>
      </c>
      <c r="FJ804" s="319" t="s">
        <v>190</v>
      </c>
      <c r="FK804" s="319" t="s">
        <v>190</v>
      </c>
      <c r="FL804" s="319" t="s">
        <v>190</v>
      </c>
      <c r="FM804" s="319" t="s">
        <v>190</v>
      </c>
      <c r="FN804" s="319" t="s">
        <v>190</v>
      </c>
      <c r="FO804" s="319" t="s">
        <v>190</v>
      </c>
      <c r="FP804" s="319" t="s">
        <v>190</v>
      </c>
      <c r="FQ804" s="319" t="s">
        <v>190</v>
      </c>
      <c r="FR804" s="319" t="s">
        <v>190</v>
      </c>
      <c r="FS804" s="319" t="s">
        <v>190</v>
      </c>
      <c r="FT804" s="319" t="s">
        <v>190</v>
      </c>
      <c r="FU804" s="319" t="s">
        <v>190</v>
      </c>
      <c r="FV804" s="319" t="s">
        <v>190</v>
      </c>
      <c r="FW804" s="319" t="s">
        <v>190</v>
      </c>
      <c r="FX804" s="319" t="s">
        <v>190</v>
      </c>
      <c r="FY804" s="319" t="s">
        <v>190</v>
      </c>
      <c r="FZ804" s="319" t="s">
        <v>190</v>
      </c>
      <c r="GA804" s="319" t="s">
        <v>190</v>
      </c>
      <c r="GB804" s="319" t="s">
        <v>190</v>
      </c>
      <c r="GC804" s="319" t="s">
        <v>190</v>
      </c>
      <c r="GD804" s="319" t="s">
        <v>190</v>
      </c>
      <c r="GE804" s="319" t="s">
        <v>190</v>
      </c>
      <c r="GF804" s="319" t="s">
        <v>190</v>
      </c>
      <c r="GG804" s="319" t="s">
        <v>190</v>
      </c>
      <c r="GH804" s="319" t="s">
        <v>190</v>
      </c>
      <c r="GI804" s="319" t="s">
        <v>190</v>
      </c>
      <c r="GJ804" s="319" t="s">
        <v>190</v>
      </c>
      <c r="GK804" s="319" t="s">
        <v>429</v>
      </c>
      <c r="GL804" s="319" t="s">
        <v>190</v>
      </c>
      <c r="GM804" s="319" t="s">
        <v>190</v>
      </c>
      <c r="GN804" s="319" t="s">
        <v>190</v>
      </c>
      <c r="GO804" s="319" t="s">
        <v>190</v>
      </c>
      <c r="GP804" s="319" t="s">
        <v>190</v>
      </c>
      <c r="GQ804" s="319" t="s">
        <v>190</v>
      </c>
      <c r="GR804" s="319" t="s">
        <v>190</v>
      </c>
      <c r="GS804" s="319" t="s">
        <v>190</v>
      </c>
      <c r="GT804" s="319" t="s">
        <v>190</v>
      </c>
      <c r="GU804" s="319" t="s">
        <v>190</v>
      </c>
      <c r="GV804" s="319" t="s">
        <v>190</v>
      </c>
      <c r="GW804" s="319" t="s">
        <v>190</v>
      </c>
      <c r="GX804" s="319" t="s">
        <v>190</v>
      </c>
      <c r="GY804" s="319" t="s">
        <v>190</v>
      </c>
      <c r="GZ804" s="319" t="s">
        <v>190</v>
      </c>
      <c r="HA804" s="319" t="s">
        <v>190</v>
      </c>
      <c r="HB804" s="319" t="s">
        <v>190</v>
      </c>
      <c r="HC804" s="319" t="s">
        <v>190</v>
      </c>
      <c r="HD804" s="319" t="s">
        <v>190</v>
      </c>
      <c r="HE804" s="319" t="s">
        <v>190</v>
      </c>
      <c r="HF804" s="319" t="s">
        <v>190</v>
      </c>
      <c r="HG804" s="319" t="s">
        <v>190</v>
      </c>
      <c r="HH804" s="319" t="s">
        <v>190</v>
      </c>
      <c r="HI804" s="319" t="s">
        <v>190</v>
      </c>
      <c r="HJ804" s="319" t="s">
        <v>190</v>
      </c>
      <c r="HK804" s="319" t="s">
        <v>190</v>
      </c>
      <c r="HL804" s="319" t="s">
        <v>190</v>
      </c>
      <c r="HM804" s="319" t="s">
        <v>190</v>
      </c>
      <c r="HN804" s="319" t="s">
        <v>190</v>
      </c>
      <c r="HO804" s="319" t="s">
        <v>190</v>
      </c>
      <c r="HP804" s="319" t="s">
        <v>190</v>
      </c>
      <c r="HQ804" s="319" t="s">
        <v>190</v>
      </c>
      <c r="HR804" s="319" t="s">
        <v>190</v>
      </c>
      <c r="HS804" s="319" t="s">
        <v>190</v>
      </c>
      <c r="HT804" s="319" t="s">
        <v>190</v>
      </c>
      <c r="HU804" s="319" t="s">
        <v>190</v>
      </c>
      <c r="HV804" s="319" t="s">
        <v>190</v>
      </c>
      <c r="HW804" s="319" t="s">
        <v>190</v>
      </c>
      <c r="HX804" s="319" t="s">
        <v>190</v>
      </c>
      <c r="HY804" s="319" t="s">
        <v>190</v>
      </c>
      <c r="HZ804" s="319" t="s">
        <v>190</v>
      </c>
      <c r="IA804" s="319" t="s">
        <v>190</v>
      </c>
      <c r="IB804" s="319" t="s">
        <v>190</v>
      </c>
      <c r="IC804" s="319" t="s">
        <v>190</v>
      </c>
      <c r="ID804" s="319" t="s">
        <v>190</v>
      </c>
      <c r="IE804" s="319" t="s">
        <v>190</v>
      </c>
      <c r="IF804" s="319" t="s">
        <v>190</v>
      </c>
      <c r="IG804" s="319" t="s">
        <v>190</v>
      </c>
      <c r="IH804" s="319" t="s">
        <v>190</v>
      </c>
      <c r="II804" s="319" t="s">
        <v>190</v>
      </c>
      <c r="IJ804" s="319" t="s">
        <v>173</v>
      </c>
      <c r="IK804" s="319" t="s">
        <v>173</v>
      </c>
      <c r="IL804" s="319" t="s">
        <v>173</v>
      </c>
      <c r="IM804" s="319" t="s">
        <v>173</v>
      </c>
      <c r="IN804" s="319" t="s">
        <v>173</v>
      </c>
      <c r="IO804" s="319" t="s">
        <v>173</v>
      </c>
      <c r="IP804" s="319" t="s">
        <v>173</v>
      </c>
      <c r="IQ804" s="321" t="s">
        <v>173</v>
      </c>
      <c r="IR804" s="320" t="s">
        <v>173</v>
      </c>
      <c r="IS804" s="322" t="s">
        <v>173</v>
      </c>
      <c r="IT804" s="319" t="s">
        <v>173</v>
      </c>
    </row>
    <row r="805" spans="1:254" s="271" customFormat="1" x14ac:dyDescent="0.25">
      <c r="A805" s="318" t="str">
        <f>HYPERLINK("http://www.ofsted.gov.uk/inspection-reports/find-inspection-report/provider/ELS/141879 ","Ofsted School Webpage")</f>
        <v>Ofsted School Webpage</v>
      </c>
      <c r="B805" s="319">
        <v>141879</v>
      </c>
      <c r="C805" s="319">
        <v>8736052</v>
      </c>
      <c r="D805" s="319" t="s">
        <v>939</v>
      </c>
      <c r="E805" s="319" t="s">
        <v>168</v>
      </c>
      <c r="F805" s="319" t="s">
        <v>81</v>
      </c>
      <c r="G805" s="319" t="s">
        <v>81</v>
      </c>
      <c r="H805" s="319" t="s">
        <v>81</v>
      </c>
      <c r="I805" s="319" t="s">
        <v>78</v>
      </c>
      <c r="J805" s="319" t="s">
        <v>424</v>
      </c>
      <c r="K805" s="319" t="s">
        <v>451</v>
      </c>
      <c r="L805" s="319" t="s">
        <v>451</v>
      </c>
      <c r="M805" s="319" t="s">
        <v>772</v>
      </c>
      <c r="N805" s="319" t="s">
        <v>2913</v>
      </c>
      <c r="O805" s="319" t="s">
        <v>940</v>
      </c>
      <c r="P805" s="319">
        <v>25</v>
      </c>
      <c r="Q805" s="319" t="s">
        <v>429</v>
      </c>
      <c r="R805" s="320">
        <v>10056571</v>
      </c>
      <c r="S805" s="321">
        <v>43508</v>
      </c>
      <c r="T805" s="321">
        <v>43510</v>
      </c>
      <c r="U805" s="321">
        <v>43548</v>
      </c>
      <c r="V805" s="319" t="s">
        <v>425</v>
      </c>
      <c r="W805" s="319" t="s">
        <v>2767</v>
      </c>
      <c r="X805" s="319">
        <v>2</v>
      </c>
      <c r="Y805" s="319" t="s">
        <v>173</v>
      </c>
      <c r="Z805" s="319" t="s">
        <v>173</v>
      </c>
      <c r="AA805" s="319" t="s">
        <v>173</v>
      </c>
      <c r="AB805" s="319">
        <v>2</v>
      </c>
      <c r="AC805" s="319" t="s">
        <v>169</v>
      </c>
      <c r="AD805" s="319" t="s">
        <v>173</v>
      </c>
      <c r="AE805" s="319" t="s">
        <v>173</v>
      </c>
      <c r="AF805" s="319" t="s">
        <v>427</v>
      </c>
      <c r="AG805" s="319" t="s">
        <v>171</v>
      </c>
      <c r="AH805" s="319" t="s">
        <v>190</v>
      </c>
      <c r="AI805" s="319" t="s">
        <v>190</v>
      </c>
      <c r="AJ805" s="319" t="s">
        <v>190</v>
      </c>
      <c r="AK805" s="319" t="s">
        <v>190</v>
      </c>
      <c r="AL805" s="319" t="s">
        <v>190</v>
      </c>
      <c r="AM805" s="319" t="s">
        <v>190</v>
      </c>
      <c r="AN805" s="319" t="s">
        <v>190</v>
      </c>
      <c r="AO805" s="319" t="s">
        <v>190</v>
      </c>
      <c r="AP805" s="319" t="s">
        <v>190</v>
      </c>
      <c r="AQ805" s="319" t="s">
        <v>190</v>
      </c>
      <c r="AR805" s="319" t="s">
        <v>190</v>
      </c>
      <c r="AS805" s="319" t="s">
        <v>190</v>
      </c>
      <c r="AT805" s="319" t="s">
        <v>190</v>
      </c>
      <c r="AU805" s="319" t="s">
        <v>190</v>
      </c>
      <c r="AV805" s="319" t="s">
        <v>190</v>
      </c>
      <c r="AW805" s="319" t="s">
        <v>190</v>
      </c>
      <c r="AX805" s="319" t="s">
        <v>428</v>
      </c>
      <c r="AY805" s="319" t="s">
        <v>190</v>
      </c>
      <c r="AZ805" s="319" t="s">
        <v>190</v>
      </c>
      <c r="BA805" s="319" t="s">
        <v>190</v>
      </c>
      <c r="BB805" s="319" t="s">
        <v>190</v>
      </c>
      <c r="BC805" s="319" t="s">
        <v>190</v>
      </c>
      <c r="BD805" s="319" t="s">
        <v>190</v>
      </c>
      <c r="BE805" s="319" t="s">
        <v>190</v>
      </c>
      <c r="BF805" s="319" t="s">
        <v>428</v>
      </c>
      <c r="BG805" s="319" t="s">
        <v>190</v>
      </c>
      <c r="BH805" s="319" t="s">
        <v>190</v>
      </c>
      <c r="BI805" s="319" t="s">
        <v>190</v>
      </c>
      <c r="BJ805" s="319" t="s">
        <v>190</v>
      </c>
      <c r="BK805" s="319" t="s">
        <v>190</v>
      </c>
      <c r="BL805" s="319" t="s">
        <v>190</v>
      </c>
      <c r="BM805" s="319" t="s">
        <v>190</v>
      </c>
      <c r="BN805" s="319" t="s">
        <v>190</v>
      </c>
      <c r="BO805" s="319" t="s">
        <v>190</v>
      </c>
      <c r="BP805" s="319" t="s">
        <v>190</v>
      </c>
      <c r="BQ805" s="319" t="s">
        <v>190</v>
      </c>
      <c r="BR805" s="319" t="s">
        <v>190</v>
      </c>
      <c r="BS805" s="319" t="s">
        <v>190</v>
      </c>
      <c r="BT805" s="319" t="s">
        <v>190</v>
      </c>
      <c r="BU805" s="319" t="s">
        <v>190</v>
      </c>
      <c r="BV805" s="319" t="s">
        <v>190</v>
      </c>
      <c r="BW805" s="319" t="s">
        <v>190</v>
      </c>
      <c r="BX805" s="319" t="s">
        <v>190</v>
      </c>
      <c r="BY805" s="319" t="s">
        <v>190</v>
      </c>
      <c r="BZ805" s="319" t="s">
        <v>190</v>
      </c>
      <c r="CA805" s="319" t="s">
        <v>190</v>
      </c>
      <c r="CB805" s="319" t="s">
        <v>190</v>
      </c>
      <c r="CC805" s="319" t="s">
        <v>190</v>
      </c>
      <c r="CD805" s="319" t="s">
        <v>190</v>
      </c>
      <c r="CE805" s="319" t="s">
        <v>190</v>
      </c>
      <c r="CF805" s="319" t="s">
        <v>190</v>
      </c>
      <c r="CG805" s="319" t="s">
        <v>190</v>
      </c>
      <c r="CH805" s="319" t="s">
        <v>190</v>
      </c>
      <c r="CI805" s="319" t="s">
        <v>190</v>
      </c>
      <c r="CJ805" s="319" t="s">
        <v>190</v>
      </c>
      <c r="CK805" s="319" t="s">
        <v>190</v>
      </c>
      <c r="CL805" s="319" t="s">
        <v>190</v>
      </c>
      <c r="CM805" s="319" t="s">
        <v>190</v>
      </c>
      <c r="CN805" s="319" t="s">
        <v>428</v>
      </c>
      <c r="CO805" s="319" t="s">
        <v>428</v>
      </c>
      <c r="CP805" s="319" t="s">
        <v>428</v>
      </c>
      <c r="CQ805" s="319" t="s">
        <v>190</v>
      </c>
      <c r="CR805" s="319" t="s">
        <v>190</v>
      </c>
      <c r="CS805" s="319" t="s">
        <v>190</v>
      </c>
      <c r="CT805" s="319" t="s">
        <v>190</v>
      </c>
      <c r="CU805" s="319" t="s">
        <v>190</v>
      </c>
      <c r="CV805" s="319" t="s">
        <v>190</v>
      </c>
      <c r="CW805" s="319" t="s">
        <v>190</v>
      </c>
      <c r="CX805" s="319" t="s">
        <v>190</v>
      </c>
      <c r="CY805" s="319" t="s">
        <v>190</v>
      </c>
      <c r="CZ805" s="319" t="s">
        <v>190</v>
      </c>
      <c r="DA805" s="319" t="s">
        <v>190</v>
      </c>
      <c r="DB805" s="319" t="s">
        <v>190</v>
      </c>
      <c r="DC805" s="319" t="s">
        <v>190</v>
      </c>
      <c r="DD805" s="319" t="s">
        <v>190</v>
      </c>
      <c r="DE805" s="319" t="s">
        <v>190</v>
      </c>
      <c r="DF805" s="319" t="s">
        <v>190</v>
      </c>
      <c r="DG805" s="319" t="s">
        <v>190</v>
      </c>
      <c r="DH805" s="319" t="s">
        <v>190</v>
      </c>
      <c r="DI805" s="319" t="s">
        <v>190</v>
      </c>
      <c r="DJ805" s="319" t="s">
        <v>190</v>
      </c>
      <c r="DK805" s="319" t="s">
        <v>190</v>
      </c>
      <c r="DL805" s="319" t="s">
        <v>190</v>
      </c>
      <c r="DM805" s="319" t="s">
        <v>190</v>
      </c>
      <c r="DN805" s="319" t="s">
        <v>428</v>
      </c>
      <c r="DO805" s="319" t="s">
        <v>190</v>
      </c>
      <c r="DP805" s="319" t="s">
        <v>190</v>
      </c>
      <c r="DQ805" s="319" t="s">
        <v>190</v>
      </c>
      <c r="DR805" s="319" t="s">
        <v>190</v>
      </c>
      <c r="DS805" s="319" t="s">
        <v>190</v>
      </c>
      <c r="DT805" s="319" t="s">
        <v>190</v>
      </c>
      <c r="DU805" s="319" t="s">
        <v>190</v>
      </c>
      <c r="DV805" s="319" t="s">
        <v>173</v>
      </c>
      <c r="DW805" s="319" t="s">
        <v>190</v>
      </c>
      <c r="DX805" s="319" t="s">
        <v>190</v>
      </c>
      <c r="DY805" s="319" t="s">
        <v>190</v>
      </c>
      <c r="DZ805" s="319" t="s">
        <v>190</v>
      </c>
      <c r="EA805" s="319" t="s">
        <v>190</v>
      </c>
      <c r="EB805" s="319" t="s">
        <v>190</v>
      </c>
      <c r="EC805" s="319" t="s">
        <v>428</v>
      </c>
      <c r="ED805" s="319" t="s">
        <v>190</v>
      </c>
      <c r="EE805" s="319" t="s">
        <v>190</v>
      </c>
      <c r="EF805" s="319" t="s">
        <v>190</v>
      </c>
      <c r="EG805" s="319" t="s">
        <v>190</v>
      </c>
      <c r="EH805" s="319" t="s">
        <v>190</v>
      </c>
      <c r="EI805" s="319" t="s">
        <v>190</v>
      </c>
      <c r="EJ805" s="319" t="s">
        <v>190</v>
      </c>
      <c r="EK805" s="319" t="s">
        <v>190</v>
      </c>
      <c r="EL805" s="319" t="s">
        <v>190</v>
      </c>
      <c r="EM805" s="319" t="s">
        <v>190</v>
      </c>
      <c r="EN805" s="319" t="s">
        <v>190</v>
      </c>
      <c r="EO805" s="319" t="s">
        <v>190</v>
      </c>
      <c r="EP805" s="319" t="s">
        <v>190</v>
      </c>
      <c r="EQ805" s="319" t="s">
        <v>190</v>
      </c>
      <c r="ER805" s="319" t="s">
        <v>190</v>
      </c>
      <c r="ES805" s="319" t="s">
        <v>190</v>
      </c>
      <c r="ET805" s="319" t="s">
        <v>190</v>
      </c>
      <c r="EU805" s="319" t="s">
        <v>190</v>
      </c>
      <c r="EV805" s="319" t="s">
        <v>190</v>
      </c>
      <c r="EW805" s="319" t="s">
        <v>190</v>
      </c>
      <c r="EX805" s="319" t="s">
        <v>190</v>
      </c>
      <c r="EY805" s="319" t="s">
        <v>190</v>
      </c>
      <c r="EZ805" s="319" t="s">
        <v>190</v>
      </c>
      <c r="FA805" s="319" t="s">
        <v>190</v>
      </c>
      <c r="FB805" s="319" t="s">
        <v>190</v>
      </c>
      <c r="FC805" s="319" t="s">
        <v>190</v>
      </c>
      <c r="FD805" s="319" t="s">
        <v>190</v>
      </c>
      <c r="FE805" s="319" t="s">
        <v>190</v>
      </c>
      <c r="FF805" s="319" t="s">
        <v>190</v>
      </c>
      <c r="FG805" s="319" t="s">
        <v>190</v>
      </c>
      <c r="FH805" s="319" t="s">
        <v>190</v>
      </c>
      <c r="FI805" s="319" t="s">
        <v>190</v>
      </c>
      <c r="FJ805" s="319" t="s">
        <v>190</v>
      </c>
      <c r="FK805" s="319" t="s">
        <v>190</v>
      </c>
      <c r="FL805" s="319" t="s">
        <v>190</v>
      </c>
      <c r="FM805" s="319" t="s">
        <v>190</v>
      </c>
      <c r="FN805" s="319" t="s">
        <v>190</v>
      </c>
      <c r="FO805" s="319" t="s">
        <v>190</v>
      </c>
      <c r="FP805" s="319" t="s">
        <v>190</v>
      </c>
      <c r="FQ805" s="319" t="s">
        <v>190</v>
      </c>
      <c r="FR805" s="319" t="s">
        <v>190</v>
      </c>
      <c r="FS805" s="319" t="s">
        <v>190</v>
      </c>
      <c r="FT805" s="319" t="s">
        <v>190</v>
      </c>
      <c r="FU805" s="319" t="s">
        <v>190</v>
      </c>
      <c r="FV805" s="319" t="s">
        <v>190</v>
      </c>
      <c r="FW805" s="319" t="s">
        <v>190</v>
      </c>
      <c r="FX805" s="319" t="s">
        <v>190</v>
      </c>
      <c r="FY805" s="319" t="s">
        <v>190</v>
      </c>
      <c r="FZ805" s="319" t="s">
        <v>190</v>
      </c>
      <c r="GA805" s="319" t="s">
        <v>190</v>
      </c>
      <c r="GB805" s="319" t="s">
        <v>190</v>
      </c>
      <c r="GC805" s="319" t="s">
        <v>190</v>
      </c>
      <c r="GD805" s="319" t="s">
        <v>190</v>
      </c>
      <c r="GE805" s="319" t="s">
        <v>190</v>
      </c>
      <c r="GF805" s="319" t="s">
        <v>190</v>
      </c>
      <c r="GG805" s="319" t="s">
        <v>190</v>
      </c>
      <c r="GH805" s="319" t="s">
        <v>190</v>
      </c>
      <c r="GI805" s="319" t="s">
        <v>190</v>
      </c>
      <c r="GJ805" s="319" t="s">
        <v>190</v>
      </c>
      <c r="GK805" s="319" t="s">
        <v>428</v>
      </c>
      <c r="GL805" s="319" t="s">
        <v>190</v>
      </c>
      <c r="GM805" s="319" t="s">
        <v>190</v>
      </c>
      <c r="GN805" s="319" t="s">
        <v>190</v>
      </c>
      <c r="GO805" s="319" t="s">
        <v>190</v>
      </c>
      <c r="GP805" s="319" t="s">
        <v>190</v>
      </c>
      <c r="GQ805" s="319" t="s">
        <v>428</v>
      </c>
      <c r="GR805" s="319" t="s">
        <v>190</v>
      </c>
      <c r="GS805" s="319" t="s">
        <v>190</v>
      </c>
      <c r="GT805" s="319" t="s">
        <v>190</v>
      </c>
      <c r="GU805" s="319" t="s">
        <v>190</v>
      </c>
      <c r="GV805" s="319" t="s">
        <v>190</v>
      </c>
      <c r="GW805" s="319" t="s">
        <v>190</v>
      </c>
      <c r="GX805" s="319" t="s">
        <v>190</v>
      </c>
      <c r="GY805" s="319" t="s">
        <v>190</v>
      </c>
      <c r="GZ805" s="319" t="s">
        <v>428</v>
      </c>
      <c r="HA805" s="319" t="s">
        <v>190</v>
      </c>
      <c r="HB805" s="319" t="s">
        <v>190</v>
      </c>
      <c r="HC805" s="319" t="s">
        <v>190</v>
      </c>
      <c r="HD805" s="319" t="s">
        <v>190</v>
      </c>
      <c r="HE805" s="319" t="s">
        <v>190</v>
      </c>
      <c r="HF805" s="319" t="s">
        <v>190</v>
      </c>
      <c r="HG805" s="319" t="s">
        <v>190</v>
      </c>
      <c r="HH805" s="319" t="s">
        <v>190</v>
      </c>
      <c r="HI805" s="319" t="s">
        <v>190</v>
      </c>
      <c r="HJ805" s="319" t="s">
        <v>190</v>
      </c>
      <c r="HK805" s="319" t="s">
        <v>190</v>
      </c>
      <c r="HL805" s="319" t="s">
        <v>190</v>
      </c>
      <c r="HM805" s="319" t="s">
        <v>190</v>
      </c>
      <c r="HN805" s="319" t="s">
        <v>190</v>
      </c>
      <c r="HO805" s="319" t="s">
        <v>190</v>
      </c>
      <c r="HP805" s="319" t="s">
        <v>190</v>
      </c>
      <c r="HQ805" s="319" t="s">
        <v>190</v>
      </c>
      <c r="HR805" s="319" t="s">
        <v>190</v>
      </c>
      <c r="HS805" s="319" t="s">
        <v>190</v>
      </c>
      <c r="HT805" s="319" t="s">
        <v>190</v>
      </c>
      <c r="HU805" s="319" t="s">
        <v>190</v>
      </c>
      <c r="HV805" s="319" t="s">
        <v>190</v>
      </c>
      <c r="HW805" s="319" t="s">
        <v>190</v>
      </c>
      <c r="HX805" s="319" t="s">
        <v>190</v>
      </c>
      <c r="HY805" s="319" t="s">
        <v>190</v>
      </c>
      <c r="HZ805" s="319" t="s">
        <v>190</v>
      </c>
      <c r="IA805" s="319" t="s">
        <v>190</v>
      </c>
      <c r="IB805" s="319" t="s">
        <v>190</v>
      </c>
      <c r="IC805" s="319" t="s">
        <v>190</v>
      </c>
      <c r="ID805" s="319" t="s">
        <v>190</v>
      </c>
      <c r="IE805" s="319" t="s">
        <v>190</v>
      </c>
      <c r="IF805" s="319" t="s">
        <v>190</v>
      </c>
      <c r="IG805" s="319" t="s">
        <v>190</v>
      </c>
      <c r="IH805" s="319" t="s">
        <v>190</v>
      </c>
      <c r="II805" s="319" t="s">
        <v>190</v>
      </c>
      <c r="IJ805" s="319">
        <v>10018105</v>
      </c>
      <c r="IK805" s="321">
        <v>42528</v>
      </c>
      <c r="IL805" s="321">
        <v>42530</v>
      </c>
      <c r="IM805" s="321">
        <v>42563</v>
      </c>
      <c r="IN805" s="319">
        <v>2</v>
      </c>
      <c r="IO805" s="319" t="s">
        <v>173</v>
      </c>
      <c r="IP805" s="319" t="s">
        <v>173</v>
      </c>
      <c r="IQ805" s="321" t="s">
        <v>173</v>
      </c>
      <c r="IR805" s="320" t="s">
        <v>173</v>
      </c>
      <c r="IS805" s="322" t="s">
        <v>173</v>
      </c>
      <c r="IT805" s="319" t="s">
        <v>173</v>
      </c>
    </row>
    <row r="806" spans="1:254" s="271" customFormat="1" x14ac:dyDescent="0.25">
      <c r="A806" s="318" t="str">
        <f>HYPERLINK("http://www.ofsted.gov.uk/inspection-reports/find-inspection-report/provider/ELS/141888 ","Ofsted School Webpage")</f>
        <v>Ofsted School Webpage</v>
      </c>
      <c r="B806" s="319">
        <v>141888</v>
      </c>
      <c r="C806" s="319">
        <v>3406003</v>
      </c>
      <c r="D806" s="319" t="s">
        <v>2307</v>
      </c>
      <c r="E806" s="319" t="s">
        <v>168</v>
      </c>
      <c r="F806" s="319" t="s">
        <v>81</v>
      </c>
      <c r="G806" s="319" t="s">
        <v>81</v>
      </c>
      <c r="H806" s="319" t="s">
        <v>81</v>
      </c>
      <c r="I806" s="319" t="s">
        <v>78</v>
      </c>
      <c r="J806" s="319" t="s">
        <v>424</v>
      </c>
      <c r="K806" s="319" t="s">
        <v>431</v>
      </c>
      <c r="L806" s="319" t="s">
        <v>431</v>
      </c>
      <c r="M806" s="319" t="s">
        <v>493</v>
      </c>
      <c r="N806" s="319" t="s">
        <v>493</v>
      </c>
      <c r="O806" s="319" t="s">
        <v>2308</v>
      </c>
      <c r="P806" s="319">
        <v>5</v>
      </c>
      <c r="Q806" s="319" t="s">
        <v>429</v>
      </c>
      <c r="R806" s="320">
        <v>10092585</v>
      </c>
      <c r="S806" s="321">
        <v>43606</v>
      </c>
      <c r="T806" s="321">
        <v>43608</v>
      </c>
      <c r="U806" s="321">
        <v>43632</v>
      </c>
      <c r="V806" s="319" t="s">
        <v>425</v>
      </c>
      <c r="W806" s="319" t="s">
        <v>2767</v>
      </c>
      <c r="X806" s="319">
        <v>2</v>
      </c>
      <c r="Y806" s="319" t="s">
        <v>173</v>
      </c>
      <c r="Z806" s="319" t="s">
        <v>173</v>
      </c>
      <c r="AA806" s="319" t="s">
        <v>173</v>
      </c>
      <c r="AB806" s="319">
        <v>2</v>
      </c>
      <c r="AC806" s="319" t="s">
        <v>169</v>
      </c>
      <c r="AD806" s="319" t="s">
        <v>173</v>
      </c>
      <c r="AE806" s="319">
        <v>2</v>
      </c>
      <c r="AF806" s="319" t="s">
        <v>427</v>
      </c>
      <c r="AG806" s="319" t="s">
        <v>171</v>
      </c>
      <c r="AH806" s="319" t="s">
        <v>190</v>
      </c>
      <c r="AI806" s="319" t="s">
        <v>190</v>
      </c>
      <c r="AJ806" s="319" t="s">
        <v>190</v>
      </c>
      <c r="AK806" s="319" t="s">
        <v>190</v>
      </c>
      <c r="AL806" s="319" t="s">
        <v>190</v>
      </c>
      <c r="AM806" s="319" t="s">
        <v>190</v>
      </c>
      <c r="AN806" s="319" t="s">
        <v>190</v>
      </c>
      <c r="AO806" s="319" t="s">
        <v>190</v>
      </c>
      <c r="AP806" s="319" t="s">
        <v>190</v>
      </c>
      <c r="AQ806" s="319" t="s">
        <v>190</v>
      </c>
      <c r="AR806" s="319" t="s">
        <v>190</v>
      </c>
      <c r="AS806" s="319" t="s">
        <v>190</v>
      </c>
      <c r="AT806" s="319" t="s">
        <v>190</v>
      </c>
      <c r="AU806" s="319" t="s">
        <v>190</v>
      </c>
      <c r="AV806" s="319" t="s">
        <v>190</v>
      </c>
      <c r="AW806" s="319" t="s">
        <v>190</v>
      </c>
      <c r="AX806" s="319" t="s">
        <v>428</v>
      </c>
      <c r="AY806" s="319" t="s">
        <v>190</v>
      </c>
      <c r="AZ806" s="319" t="s">
        <v>190</v>
      </c>
      <c r="BA806" s="319" t="s">
        <v>190</v>
      </c>
      <c r="BB806" s="319" t="s">
        <v>190</v>
      </c>
      <c r="BC806" s="319" t="s">
        <v>190</v>
      </c>
      <c r="BD806" s="319" t="s">
        <v>190</v>
      </c>
      <c r="BE806" s="319" t="s">
        <v>190</v>
      </c>
      <c r="BF806" s="319" t="s">
        <v>428</v>
      </c>
      <c r="BG806" s="319" t="s">
        <v>190</v>
      </c>
      <c r="BH806" s="319" t="s">
        <v>190</v>
      </c>
      <c r="BI806" s="319" t="s">
        <v>190</v>
      </c>
      <c r="BJ806" s="319" t="s">
        <v>190</v>
      </c>
      <c r="BK806" s="319" t="s">
        <v>190</v>
      </c>
      <c r="BL806" s="319" t="s">
        <v>190</v>
      </c>
      <c r="BM806" s="319" t="s">
        <v>190</v>
      </c>
      <c r="BN806" s="319" t="s">
        <v>190</v>
      </c>
      <c r="BO806" s="319" t="s">
        <v>190</v>
      </c>
      <c r="BP806" s="319" t="s">
        <v>190</v>
      </c>
      <c r="BQ806" s="319" t="s">
        <v>190</v>
      </c>
      <c r="BR806" s="319" t="s">
        <v>190</v>
      </c>
      <c r="BS806" s="319" t="s">
        <v>190</v>
      </c>
      <c r="BT806" s="319" t="s">
        <v>190</v>
      </c>
      <c r="BU806" s="319" t="s">
        <v>190</v>
      </c>
      <c r="BV806" s="319" t="s">
        <v>190</v>
      </c>
      <c r="BW806" s="319" t="s">
        <v>190</v>
      </c>
      <c r="BX806" s="319" t="s">
        <v>190</v>
      </c>
      <c r="BY806" s="319" t="s">
        <v>190</v>
      </c>
      <c r="BZ806" s="319" t="s">
        <v>190</v>
      </c>
      <c r="CA806" s="319" t="s">
        <v>190</v>
      </c>
      <c r="CB806" s="319" t="s">
        <v>190</v>
      </c>
      <c r="CC806" s="319" t="s">
        <v>190</v>
      </c>
      <c r="CD806" s="319" t="s">
        <v>190</v>
      </c>
      <c r="CE806" s="319" t="s">
        <v>190</v>
      </c>
      <c r="CF806" s="319" t="s">
        <v>190</v>
      </c>
      <c r="CG806" s="319" t="s">
        <v>190</v>
      </c>
      <c r="CH806" s="319" t="s">
        <v>190</v>
      </c>
      <c r="CI806" s="319" t="s">
        <v>190</v>
      </c>
      <c r="CJ806" s="319" t="s">
        <v>190</v>
      </c>
      <c r="CK806" s="319" t="s">
        <v>190</v>
      </c>
      <c r="CL806" s="319" t="s">
        <v>190</v>
      </c>
      <c r="CM806" s="319" t="s">
        <v>190</v>
      </c>
      <c r="CN806" s="319" t="s">
        <v>428</v>
      </c>
      <c r="CO806" s="319" t="s">
        <v>428</v>
      </c>
      <c r="CP806" s="319" t="s">
        <v>428</v>
      </c>
      <c r="CQ806" s="319" t="s">
        <v>190</v>
      </c>
      <c r="CR806" s="319" t="s">
        <v>190</v>
      </c>
      <c r="CS806" s="319" t="s">
        <v>190</v>
      </c>
      <c r="CT806" s="319" t="s">
        <v>190</v>
      </c>
      <c r="CU806" s="319" t="s">
        <v>190</v>
      </c>
      <c r="CV806" s="319" t="s">
        <v>190</v>
      </c>
      <c r="CW806" s="319" t="s">
        <v>190</v>
      </c>
      <c r="CX806" s="319" t="s">
        <v>190</v>
      </c>
      <c r="CY806" s="319" t="s">
        <v>190</v>
      </c>
      <c r="CZ806" s="319" t="s">
        <v>190</v>
      </c>
      <c r="DA806" s="319" t="s">
        <v>190</v>
      </c>
      <c r="DB806" s="319" t="s">
        <v>190</v>
      </c>
      <c r="DC806" s="319" t="s">
        <v>190</v>
      </c>
      <c r="DD806" s="319" t="s">
        <v>190</v>
      </c>
      <c r="DE806" s="319" t="s">
        <v>190</v>
      </c>
      <c r="DF806" s="319" t="s">
        <v>190</v>
      </c>
      <c r="DG806" s="319" t="s">
        <v>190</v>
      </c>
      <c r="DH806" s="319" t="s">
        <v>190</v>
      </c>
      <c r="DI806" s="319" t="s">
        <v>190</v>
      </c>
      <c r="DJ806" s="319" t="s">
        <v>190</v>
      </c>
      <c r="DK806" s="319" t="s">
        <v>190</v>
      </c>
      <c r="DL806" s="319" t="s">
        <v>190</v>
      </c>
      <c r="DM806" s="319" t="s">
        <v>190</v>
      </c>
      <c r="DN806" s="319" t="s">
        <v>428</v>
      </c>
      <c r="DO806" s="319" t="s">
        <v>190</v>
      </c>
      <c r="DP806" s="319" t="s">
        <v>190</v>
      </c>
      <c r="DQ806" s="319" t="s">
        <v>190</v>
      </c>
      <c r="DR806" s="319" t="s">
        <v>190</v>
      </c>
      <c r="DS806" s="319" t="s">
        <v>190</v>
      </c>
      <c r="DT806" s="319" t="s">
        <v>190</v>
      </c>
      <c r="DU806" s="319" t="s">
        <v>190</v>
      </c>
      <c r="DV806" s="319" t="s">
        <v>173</v>
      </c>
      <c r="DW806" s="319" t="s">
        <v>190</v>
      </c>
      <c r="DX806" s="319" t="s">
        <v>190</v>
      </c>
      <c r="DY806" s="319" t="s">
        <v>190</v>
      </c>
      <c r="DZ806" s="319" t="s">
        <v>190</v>
      </c>
      <c r="EA806" s="319" t="s">
        <v>190</v>
      </c>
      <c r="EB806" s="319" t="s">
        <v>190</v>
      </c>
      <c r="EC806" s="319" t="s">
        <v>428</v>
      </c>
      <c r="ED806" s="319" t="s">
        <v>190</v>
      </c>
      <c r="EE806" s="319" t="s">
        <v>428</v>
      </c>
      <c r="EF806" s="319" t="s">
        <v>428</v>
      </c>
      <c r="EG806" s="319" t="s">
        <v>428</v>
      </c>
      <c r="EH806" s="319" t="s">
        <v>428</v>
      </c>
      <c r="EI806" s="319" t="s">
        <v>428</v>
      </c>
      <c r="EJ806" s="319" t="s">
        <v>428</v>
      </c>
      <c r="EK806" s="319" t="s">
        <v>428</v>
      </c>
      <c r="EL806" s="319" t="s">
        <v>428</v>
      </c>
      <c r="EM806" s="319" t="s">
        <v>428</v>
      </c>
      <c r="EN806" s="319" t="s">
        <v>190</v>
      </c>
      <c r="EO806" s="319" t="s">
        <v>190</v>
      </c>
      <c r="EP806" s="319" t="s">
        <v>190</v>
      </c>
      <c r="EQ806" s="319" t="s">
        <v>190</v>
      </c>
      <c r="ER806" s="319" t="s">
        <v>190</v>
      </c>
      <c r="ES806" s="319" t="s">
        <v>190</v>
      </c>
      <c r="ET806" s="319" t="s">
        <v>190</v>
      </c>
      <c r="EU806" s="319" t="s">
        <v>190</v>
      </c>
      <c r="EV806" s="319" t="s">
        <v>190</v>
      </c>
      <c r="EW806" s="319" t="s">
        <v>190</v>
      </c>
      <c r="EX806" s="319" t="s">
        <v>190</v>
      </c>
      <c r="EY806" s="319" t="s">
        <v>190</v>
      </c>
      <c r="EZ806" s="319" t="s">
        <v>190</v>
      </c>
      <c r="FA806" s="319" t="s">
        <v>190</v>
      </c>
      <c r="FB806" s="319" t="s">
        <v>190</v>
      </c>
      <c r="FC806" s="319" t="s">
        <v>190</v>
      </c>
      <c r="FD806" s="319" t="s">
        <v>190</v>
      </c>
      <c r="FE806" s="319" t="s">
        <v>190</v>
      </c>
      <c r="FF806" s="319" t="s">
        <v>190</v>
      </c>
      <c r="FG806" s="319" t="s">
        <v>190</v>
      </c>
      <c r="FH806" s="319" t="s">
        <v>190</v>
      </c>
      <c r="FI806" s="319" t="s">
        <v>190</v>
      </c>
      <c r="FJ806" s="319" t="s">
        <v>190</v>
      </c>
      <c r="FK806" s="319" t="s">
        <v>190</v>
      </c>
      <c r="FL806" s="319" t="s">
        <v>190</v>
      </c>
      <c r="FM806" s="319" t="s">
        <v>190</v>
      </c>
      <c r="FN806" s="319" t="s">
        <v>190</v>
      </c>
      <c r="FO806" s="319" t="s">
        <v>190</v>
      </c>
      <c r="FP806" s="319" t="s">
        <v>190</v>
      </c>
      <c r="FQ806" s="319" t="s">
        <v>190</v>
      </c>
      <c r="FR806" s="319" t="s">
        <v>190</v>
      </c>
      <c r="FS806" s="319" t="s">
        <v>428</v>
      </c>
      <c r="FT806" s="319" t="s">
        <v>190</v>
      </c>
      <c r="FU806" s="319" t="s">
        <v>190</v>
      </c>
      <c r="FV806" s="319" t="s">
        <v>190</v>
      </c>
      <c r="FW806" s="319" t="s">
        <v>190</v>
      </c>
      <c r="FX806" s="319" t="s">
        <v>190</v>
      </c>
      <c r="FY806" s="319" t="s">
        <v>190</v>
      </c>
      <c r="FZ806" s="319" t="s">
        <v>190</v>
      </c>
      <c r="GA806" s="319" t="s">
        <v>190</v>
      </c>
      <c r="GB806" s="319" t="s">
        <v>190</v>
      </c>
      <c r="GC806" s="319" t="s">
        <v>190</v>
      </c>
      <c r="GD806" s="319" t="s">
        <v>190</v>
      </c>
      <c r="GE806" s="319" t="s">
        <v>190</v>
      </c>
      <c r="GF806" s="319" t="s">
        <v>190</v>
      </c>
      <c r="GG806" s="319" t="s">
        <v>190</v>
      </c>
      <c r="GH806" s="319" t="s">
        <v>190</v>
      </c>
      <c r="GI806" s="319" t="s">
        <v>190</v>
      </c>
      <c r="GJ806" s="319" t="s">
        <v>190</v>
      </c>
      <c r="GK806" s="319" t="s">
        <v>428</v>
      </c>
      <c r="GL806" s="319" t="s">
        <v>190</v>
      </c>
      <c r="GM806" s="319" t="s">
        <v>190</v>
      </c>
      <c r="GN806" s="319" t="s">
        <v>190</v>
      </c>
      <c r="GO806" s="319" t="s">
        <v>190</v>
      </c>
      <c r="GP806" s="319" t="s">
        <v>190</v>
      </c>
      <c r="GQ806" s="319" t="s">
        <v>428</v>
      </c>
      <c r="GR806" s="319" t="s">
        <v>190</v>
      </c>
      <c r="GS806" s="319" t="s">
        <v>190</v>
      </c>
      <c r="GT806" s="319" t="s">
        <v>190</v>
      </c>
      <c r="GU806" s="319" t="s">
        <v>190</v>
      </c>
      <c r="GV806" s="319" t="s">
        <v>190</v>
      </c>
      <c r="GW806" s="319" t="s">
        <v>190</v>
      </c>
      <c r="GX806" s="319" t="s">
        <v>190</v>
      </c>
      <c r="GY806" s="319" t="s">
        <v>190</v>
      </c>
      <c r="GZ806" s="319" t="s">
        <v>190</v>
      </c>
      <c r="HA806" s="319" t="s">
        <v>428</v>
      </c>
      <c r="HB806" s="319" t="s">
        <v>190</v>
      </c>
      <c r="HC806" s="319" t="s">
        <v>190</v>
      </c>
      <c r="HD806" s="319" t="s">
        <v>190</v>
      </c>
      <c r="HE806" s="319" t="s">
        <v>190</v>
      </c>
      <c r="HF806" s="319" t="s">
        <v>190</v>
      </c>
      <c r="HG806" s="319" t="s">
        <v>190</v>
      </c>
      <c r="HH806" s="319" t="s">
        <v>190</v>
      </c>
      <c r="HI806" s="319" t="s">
        <v>190</v>
      </c>
      <c r="HJ806" s="319" t="s">
        <v>190</v>
      </c>
      <c r="HK806" s="319" t="s">
        <v>190</v>
      </c>
      <c r="HL806" s="319" t="s">
        <v>428</v>
      </c>
      <c r="HM806" s="319" t="s">
        <v>428</v>
      </c>
      <c r="HN806" s="319" t="s">
        <v>428</v>
      </c>
      <c r="HO806" s="319" t="s">
        <v>428</v>
      </c>
      <c r="HP806" s="319" t="s">
        <v>190</v>
      </c>
      <c r="HQ806" s="319" t="s">
        <v>190</v>
      </c>
      <c r="HR806" s="319" t="s">
        <v>190</v>
      </c>
      <c r="HS806" s="319" t="s">
        <v>190</v>
      </c>
      <c r="HT806" s="319" t="s">
        <v>190</v>
      </c>
      <c r="HU806" s="319" t="s">
        <v>190</v>
      </c>
      <c r="HV806" s="319" t="s">
        <v>190</v>
      </c>
      <c r="HW806" s="319" t="s">
        <v>190</v>
      </c>
      <c r="HX806" s="319" t="s">
        <v>190</v>
      </c>
      <c r="HY806" s="319" t="s">
        <v>190</v>
      </c>
      <c r="HZ806" s="319" t="s">
        <v>190</v>
      </c>
      <c r="IA806" s="319" t="s">
        <v>190</v>
      </c>
      <c r="IB806" s="319" t="s">
        <v>190</v>
      </c>
      <c r="IC806" s="319" t="s">
        <v>190</v>
      </c>
      <c r="ID806" s="319" t="s">
        <v>190</v>
      </c>
      <c r="IE806" s="319" t="s">
        <v>190</v>
      </c>
      <c r="IF806" s="319" t="s">
        <v>190</v>
      </c>
      <c r="IG806" s="319" t="s">
        <v>190</v>
      </c>
      <c r="IH806" s="319" t="s">
        <v>190</v>
      </c>
      <c r="II806" s="319" t="s">
        <v>190</v>
      </c>
      <c r="IJ806" s="319">
        <v>10008626</v>
      </c>
      <c r="IK806" s="321">
        <v>42648</v>
      </c>
      <c r="IL806" s="321">
        <v>42650</v>
      </c>
      <c r="IM806" s="321">
        <v>42695</v>
      </c>
      <c r="IN806" s="319">
        <v>2</v>
      </c>
      <c r="IO806" s="319" t="s">
        <v>173</v>
      </c>
      <c r="IP806" s="319" t="s">
        <v>173</v>
      </c>
      <c r="IQ806" s="321" t="s">
        <v>173</v>
      </c>
      <c r="IR806" s="320" t="s">
        <v>173</v>
      </c>
      <c r="IS806" s="322" t="s">
        <v>173</v>
      </c>
      <c r="IT806" s="319" t="s">
        <v>173</v>
      </c>
    </row>
    <row r="807" spans="1:254" s="271" customFormat="1" x14ac:dyDescent="0.25">
      <c r="A807" s="318" t="str">
        <f>HYPERLINK("http://www.ofsted.gov.uk/inspection-reports/find-inspection-report/provider/ELS/141954 ","Ofsted School Webpage")</f>
        <v>Ofsted School Webpage</v>
      </c>
      <c r="B807" s="319">
        <v>141954</v>
      </c>
      <c r="C807" s="319">
        <v>8416007</v>
      </c>
      <c r="D807" s="319" t="s">
        <v>645</v>
      </c>
      <c r="E807" s="319" t="s">
        <v>168</v>
      </c>
      <c r="F807" s="319" t="s">
        <v>81</v>
      </c>
      <c r="G807" s="319" t="s">
        <v>81</v>
      </c>
      <c r="H807" s="319" t="s">
        <v>81</v>
      </c>
      <c r="I807" s="319" t="s">
        <v>78</v>
      </c>
      <c r="J807" s="319" t="s">
        <v>424</v>
      </c>
      <c r="K807" s="319" t="s">
        <v>458</v>
      </c>
      <c r="L807" s="319" t="s">
        <v>474</v>
      </c>
      <c r="M807" s="319" t="s">
        <v>475</v>
      </c>
      <c r="N807" s="319" t="s">
        <v>3258</v>
      </c>
      <c r="O807" s="319" t="s">
        <v>646</v>
      </c>
      <c r="P807" s="319">
        <v>13</v>
      </c>
      <c r="Q807" s="319" t="s">
        <v>429</v>
      </c>
      <c r="R807" s="320">
        <v>10055381</v>
      </c>
      <c r="S807" s="321">
        <v>43417</v>
      </c>
      <c r="T807" s="321">
        <v>43419</v>
      </c>
      <c r="U807" s="321">
        <v>43453</v>
      </c>
      <c r="V807" s="319" t="s">
        <v>425</v>
      </c>
      <c r="W807" s="319" t="s">
        <v>2767</v>
      </c>
      <c r="X807" s="319">
        <v>1</v>
      </c>
      <c r="Y807" s="319" t="s">
        <v>173</v>
      </c>
      <c r="Z807" s="319" t="s">
        <v>173</v>
      </c>
      <c r="AA807" s="319" t="s">
        <v>173</v>
      </c>
      <c r="AB807" s="319">
        <v>1</v>
      </c>
      <c r="AC807" s="319" t="s">
        <v>169</v>
      </c>
      <c r="AD807" s="319" t="s">
        <v>173</v>
      </c>
      <c r="AE807" s="319" t="s">
        <v>173</v>
      </c>
      <c r="AF807" s="319" t="s">
        <v>427</v>
      </c>
      <c r="AG807" s="319" t="s">
        <v>171</v>
      </c>
      <c r="AH807" s="319" t="s">
        <v>190</v>
      </c>
      <c r="AI807" s="319" t="s">
        <v>190</v>
      </c>
      <c r="AJ807" s="319" t="s">
        <v>190</v>
      </c>
      <c r="AK807" s="319" t="s">
        <v>190</v>
      </c>
      <c r="AL807" s="319" t="s">
        <v>190</v>
      </c>
      <c r="AM807" s="319" t="s">
        <v>190</v>
      </c>
      <c r="AN807" s="319" t="s">
        <v>190</v>
      </c>
      <c r="AO807" s="319" t="s">
        <v>190</v>
      </c>
      <c r="AP807" s="319" t="s">
        <v>190</v>
      </c>
      <c r="AQ807" s="319" t="s">
        <v>190</v>
      </c>
      <c r="AR807" s="319" t="s">
        <v>190</v>
      </c>
      <c r="AS807" s="319" t="s">
        <v>190</v>
      </c>
      <c r="AT807" s="319" t="s">
        <v>190</v>
      </c>
      <c r="AU807" s="319" t="s">
        <v>190</v>
      </c>
      <c r="AV807" s="319" t="s">
        <v>190</v>
      </c>
      <c r="AW807" s="319" t="s">
        <v>190</v>
      </c>
      <c r="AX807" s="319" t="s">
        <v>428</v>
      </c>
      <c r="AY807" s="319" t="s">
        <v>190</v>
      </c>
      <c r="AZ807" s="319" t="s">
        <v>190</v>
      </c>
      <c r="BA807" s="319" t="s">
        <v>190</v>
      </c>
      <c r="BB807" s="319" t="s">
        <v>190</v>
      </c>
      <c r="BC807" s="319" t="s">
        <v>190</v>
      </c>
      <c r="BD807" s="319" t="s">
        <v>190</v>
      </c>
      <c r="BE807" s="319" t="s">
        <v>190</v>
      </c>
      <c r="BF807" s="319" t="s">
        <v>428</v>
      </c>
      <c r="BG807" s="319" t="s">
        <v>190</v>
      </c>
      <c r="BH807" s="319" t="s">
        <v>190</v>
      </c>
      <c r="BI807" s="319" t="s">
        <v>190</v>
      </c>
      <c r="BJ807" s="319" t="s">
        <v>190</v>
      </c>
      <c r="BK807" s="319" t="s">
        <v>190</v>
      </c>
      <c r="BL807" s="319" t="s">
        <v>190</v>
      </c>
      <c r="BM807" s="319" t="s">
        <v>190</v>
      </c>
      <c r="BN807" s="319" t="s">
        <v>190</v>
      </c>
      <c r="BO807" s="319" t="s">
        <v>190</v>
      </c>
      <c r="BP807" s="319" t="s">
        <v>190</v>
      </c>
      <c r="BQ807" s="319" t="s">
        <v>190</v>
      </c>
      <c r="BR807" s="319" t="s">
        <v>190</v>
      </c>
      <c r="BS807" s="319" t="s">
        <v>190</v>
      </c>
      <c r="BT807" s="319" t="s">
        <v>190</v>
      </c>
      <c r="BU807" s="319" t="s">
        <v>190</v>
      </c>
      <c r="BV807" s="319" t="s">
        <v>190</v>
      </c>
      <c r="BW807" s="319" t="s">
        <v>190</v>
      </c>
      <c r="BX807" s="319" t="s">
        <v>190</v>
      </c>
      <c r="BY807" s="319" t="s">
        <v>190</v>
      </c>
      <c r="BZ807" s="319" t="s">
        <v>190</v>
      </c>
      <c r="CA807" s="319" t="s">
        <v>190</v>
      </c>
      <c r="CB807" s="319" t="s">
        <v>190</v>
      </c>
      <c r="CC807" s="319" t="s">
        <v>190</v>
      </c>
      <c r="CD807" s="319" t="s">
        <v>190</v>
      </c>
      <c r="CE807" s="319" t="s">
        <v>190</v>
      </c>
      <c r="CF807" s="319" t="s">
        <v>190</v>
      </c>
      <c r="CG807" s="319" t="s">
        <v>190</v>
      </c>
      <c r="CH807" s="319" t="s">
        <v>190</v>
      </c>
      <c r="CI807" s="319" t="s">
        <v>190</v>
      </c>
      <c r="CJ807" s="319" t="s">
        <v>190</v>
      </c>
      <c r="CK807" s="319" t="s">
        <v>190</v>
      </c>
      <c r="CL807" s="319" t="s">
        <v>190</v>
      </c>
      <c r="CM807" s="319" t="s">
        <v>190</v>
      </c>
      <c r="CN807" s="319" t="s">
        <v>428</v>
      </c>
      <c r="CO807" s="319" t="s">
        <v>428</v>
      </c>
      <c r="CP807" s="319" t="s">
        <v>428</v>
      </c>
      <c r="CQ807" s="319" t="s">
        <v>190</v>
      </c>
      <c r="CR807" s="319" t="s">
        <v>190</v>
      </c>
      <c r="CS807" s="319" t="s">
        <v>190</v>
      </c>
      <c r="CT807" s="319" t="s">
        <v>190</v>
      </c>
      <c r="CU807" s="319" t="s">
        <v>190</v>
      </c>
      <c r="CV807" s="319" t="s">
        <v>190</v>
      </c>
      <c r="CW807" s="319" t="s">
        <v>190</v>
      </c>
      <c r="CX807" s="319" t="s">
        <v>190</v>
      </c>
      <c r="CY807" s="319" t="s">
        <v>190</v>
      </c>
      <c r="CZ807" s="319" t="s">
        <v>190</v>
      </c>
      <c r="DA807" s="319" t="s">
        <v>190</v>
      </c>
      <c r="DB807" s="319" t="s">
        <v>190</v>
      </c>
      <c r="DC807" s="319" t="s">
        <v>190</v>
      </c>
      <c r="DD807" s="319" t="s">
        <v>190</v>
      </c>
      <c r="DE807" s="319" t="s">
        <v>190</v>
      </c>
      <c r="DF807" s="319" t="s">
        <v>190</v>
      </c>
      <c r="DG807" s="319" t="s">
        <v>190</v>
      </c>
      <c r="DH807" s="319" t="s">
        <v>190</v>
      </c>
      <c r="DI807" s="319" t="s">
        <v>190</v>
      </c>
      <c r="DJ807" s="319" t="s">
        <v>190</v>
      </c>
      <c r="DK807" s="319" t="s">
        <v>190</v>
      </c>
      <c r="DL807" s="319" t="s">
        <v>190</v>
      </c>
      <c r="DM807" s="319" t="s">
        <v>190</v>
      </c>
      <c r="DN807" s="319" t="s">
        <v>428</v>
      </c>
      <c r="DO807" s="319" t="s">
        <v>190</v>
      </c>
      <c r="DP807" s="319" t="s">
        <v>428</v>
      </c>
      <c r="DQ807" s="319" t="s">
        <v>428</v>
      </c>
      <c r="DR807" s="319" t="s">
        <v>428</v>
      </c>
      <c r="DS807" s="319" t="s">
        <v>428</v>
      </c>
      <c r="DT807" s="319" t="s">
        <v>428</v>
      </c>
      <c r="DU807" s="319" t="s">
        <v>428</v>
      </c>
      <c r="DV807" s="319" t="s">
        <v>173</v>
      </c>
      <c r="DW807" s="319" t="s">
        <v>428</v>
      </c>
      <c r="DX807" s="319" t="s">
        <v>428</v>
      </c>
      <c r="DY807" s="319" t="s">
        <v>428</v>
      </c>
      <c r="DZ807" s="319" t="s">
        <v>428</v>
      </c>
      <c r="EA807" s="319" t="s">
        <v>428</v>
      </c>
      <c r="EB807" s="319" t="s">
        <v>428</v>
      </c>
      <c r="EC807" s="319" t="s">
        <v>428</v>
      </c>
      <c r="ED807" s="319" t="s">
        <v>428</v>
      </c>
      <c r="EE807" s="319" t="s">
        <v>190</v>
      </c>
      <c r="EF807" s="319" t="s">
        <v>190</v>
      </c>
      <c r="EG807" s="319" t="s">
        <v>190</v>
      </c>
      <c r="EH807" s="319" t="s">
        <v>190</v>
      </c>
      <c r="EI807" s="319" t="s">
        <v>190</v>
      </c>
      <c r="EJ807" s="319" t="s">
        <v>190</v>
      </c>
      <c r="EK807" s="319" t="s">
        <v>190</v>
      </c>
      <c r="EL807" s="319" t="s">
        <v>190</v>
      </c>
      <c r="EM807" s="319" t="s">
        <v>190</v>
      </c>
      <c r="EN807" s="319" t="s">
        <v>190</v>
      </c>
      <c r="EO807" s="319" t="s">
        <v>190</v>
      </c>
      <c r="EP807" s="319" t="s">
        <v>190</v>
      </c>
      <c r="EQ807" s="319" t="s">
        <v>190</v>
      </c>
      <c r="ER807" s="319" t="s">
        <v>190</v>
      </c>
      <c r="ES807" s="319" t="s">
        <v>190</v>
      </c>
      <c r="ET807" s="319" t="s">
        <v>190</v>
      </c>
      <c r="EU807" s="319" t="s">
        <v>190</v>
      </c>
      <c r="EV807" s="319" t="s">
        <v>190</v>
      </c>
      <c r="EW807" s="319" t="s">
        <v>190</v>
      </c>
      <c r="EX807" s="319" t="s">
        <v>190</v>
      </c>
      <c r="EY807" s="319" t="s">
        <v>190</v>
      </c>
      <c r="EZ807" s="319" t="s">
        <v>190</v>
      </c>
      <c r="FA807" s="319" t="s">
        <v>428</v>
      </c>
      <c r="FB807" s="319" t="s">
        <v>428</v>
      </c>
      <c r="FC807" s="319" t="s">
        <v>428</v>
      </c>
      <c r="FD807" s="319" t="s">
        <v>428</v>
      </c>
      <c r="FE807" s="319" t="s">
        <v>428</v>
      </c>
      <c r="FF807" s="319" t="s">
        <v>428</v>
      </c>
      <c r="FG807" s="319" t="s">
        <v>428</v>
      </c>
      <c r="FH807" s="319" t="s">
        <v>190</v>
      </c>
      <c r="FI807" s="319" t="s">
        <v>428</v>
      </c>
      <c r="FJ807" s="319" t="s">
        <v>429</v>
      </c>
      <c r="FK807" s="319" t="s">
        <v>428</v>
      </c>
      <c r="FL807" s="319" t="s">
        <v>190</v>
      </c>
      <c r="FM807" s="319" t="s">
        <v>190</v>
      </c>
      <c r="FN807" s="319" t="s">
        <v>190</v>
      </c>
      <c r="FO807" s="319" t="s">
        <v>190</v>
      </c>
      <c r="FP807" s="319" t="s">
        <v>190</v>
      </c>
      <c r="FQ807" s="319" t="s">
        <v>190</v>
      </c>
      <c r="FR807" s="319" t="s">
        <v>190</v>
      </c>
      <c r="FS807" s="319" t="s">
        <v>428</v>
      </c>
      <c r="FT807" s="319" t="s">
        <v>190</v>
      </c>
      <c r="FU807" s="319" t="s">
        <v>190</v>
      </c>
      <c r="FV807" s="319" t="s">
        <v>190</v>
      </c>
      <c r="FW807" s="319" t="s">
        <v>190</v>
      </c>
      <c r="FX807" s="319" t="s">
        <v>190</v>
      </c>
      <c r="FY807" s="319" t="s">
        <v>190</v>
      </c>
      <c r="FZ807" s="319" t="s">
        <v>190</v>
      </c>
      <c r="GA807" s="319" t="s">
        <v>190</v>
      </c>
      <c r="GB807" s="319" t="s">
        <v>190</v>
      </c>
      <c r="GC807" s="319" t="s">
        <v>190</v>
      </c>
      <c r="GD807" s="319" t="s">
        <v>190</v>
      </c>
      <c r="GE807" s="319" t="s">
        <v>190</v>
      </c>
      <c r="GF807" s="319" t="s">
        <v>190</v>
      </c>
      <c r="GG807" s="319" t="s">
        <v>190</v>
      </c>
      <c r="GH807" s="319" t="s">
        <v>190</v>
      </c>
      <c r="GI807" s="319" t="s">
        <v>190</v>
      </c>
      <c r="GJ807" s="319" t="s">
        <v>190</v>
      </c>
      <c r="GK807" s="319" t="s">
        <v>428</v>
      </c>
      <c r="GL807" s="319" t="s">
        <v>190</v>
      </c>
      <c r="GM807" s="319" t="s">
        <v>190</v>
      </c>
      <c r="GN807" s="319" t="s">
        <v>190</v>
      </c>
      <c r="GO807" s="319" t="s">
        <v>190</v>
      </c>
      <c r="GP807" s="319" t="s">
        <v>190</v>
      </c>
      <c r="GQ807" s="319" t="s">
        <v>428</v>
      </c>
      <c r="GR807" s="319" t="s">
        <v>190</v>
      </c>
      <c r="GS807" s="319" t="s">
        <v>190</v>
      </c>
      <c r="GT807" s="319" t="s">
        <v>190</v>
      </c>
      <c r="GU807" s="319" t="s">
        <v>190</v>
      </c>
      <c r="GV807" s="319" t="s">
        <v>428</v>
      </c>
      <c r="GW807" s="319" t="s">
        <v>190</v>
      </c>
      <c r="GX807" s="319" t="s">
        <v>190</v>
      </c>
      <c r="GY807" s="319" t="s">
        <v>190</v>
      </c>
      <c r="GZ807" s="319" t="s">
        <v>190</v>
      </c>
      <c r="HA807" s="319" t="s">
        <v>190</v>
      </c>
      <c r="HB807" s="319" t="s">
        <v>190</v>
      </c>
      <c r="HC807" s="319" t="s">
        <v>190</v>
      </c>
      <c r="HD807" s="319" t="s">
        <v>190</v>
      </c>
      <c r="HE807" s="319" t="s">
        <v>190</v>
      </c>
      <c r="HF807" s="319" t="s">
        <v>190</v>
      </c>
      <c r="HG807" s="319" t="s">
        <v>190</v>
      </c>
      <c r="HH807" s="319" t="s">
        <v>190</v>
      </c>
      <c r="HI807" s="319" t="s">
        <v>190</v>
      </c>
      <c r="HJ807" s="319" t="s">
        <v>190</v>
      </c>
      <c r="HK807" s="319" t="s">
        <v>190</v>
      </c>
      <c r="HL807" s="319" t="s">
        <v>190</v>
      </c>
      <c r="HM807" s="319" t="s">
        <v>428</v>
      </c>
      <c r="HN807" s="319" t="s">
        <v>428</v>
      </c>
      <c r="HO807" s="319" t="s">
        <v>428</v>
      </c>
      <c r="HP807" s="319" t="s">
        <v>190</v>
      </c>
      <c r="HQ807" s="319" t="s">
        <v>190</v>
      </c>
      <c r="HR807" s="319" t="s">
        <v>190</v>
      </c>
      <c r="HS807" s="319" t="s">
        <v>190</v>
      </c>
      <c r="HT807" s="319" t="s">
        <v>190</v>
      </c>
      <c r="HU807" s="319" t="s">
        <v>190</v>
      </c>
      <c r="HV807" s="319" t="s">
        <v>190</v>
      </c>
      <c r="HW807" s="319" t="s">
        <v>190</v>
      </c>
      <c r="HX807" s="319" t="s">
        <v>190</v>
      </c>
      <c r="HY807" s="319" t="s">
        <v>190</v>
      </c>
      <c r="HZ807" s="319" t="s">
        <v>190</v>
      </c>
      <c r="IA807" s="319" t="s">
        <v>190</v>
      </c>
      <c r="IB807" s="319" t="s">
        <v>190</v>
      </c>
      <c r="IC807" s="319" t="s">
        <v>190</v>
      </c>
      <c r="ID807" s="319" t="s">
        <v>190</v>
      </c>
      <c r="IE807" s="319" t="s">
        <v>190</v>
      </c>
      <c r="IF807" s="319" t="s">
        <v>190</v>
      </c>
      <c r="IG807" s="319" t="s">
        <v>190</v>
      </c>
      <c r="IH807" s="319" t="s">
        <v>190</v>
      </c>
      <c r="II807" s="319" t="s">
        <v>190</v>
      </c>
      <c r="IJ807" s="319">
        <v>10008945</v>
      </c>
      <c r="IK807" s="321">
        <v>42395</v>
      </c>
      <c r="IL807" s="321">
        <v>42397</v>
      </c>
      <c r="IM807" s="321">
        <v>42438</v>
      </c>
      <c r="IN807" s="319">
        <v>1</v>
      </c>
      <c r="IO807" s="319" t="s">
        <v>173</v>
      </c>
      <c r="IP807" s="319" t="s">
        <v>173</v>
      </c>
      <c r="IQ807" s="321" t="s">
        <v>173</v>
      </c>
      <c r="IR807" s="320" t="s">
        <v>173</v>
      </c>
      <c r="IS807" s="322" t="s">
        <v>173</v>
      </c>
      <c r="IT807" s="319" t="s">
        <v>173</v>
      </c>
    </row>
    <row r="808" spans="1:254" s="271" customFormat="1" x14ac:dyDescent="0.25">
      <c r="A808" s="318" t="str">
        <f>HYPERLINK("http://www.ofsted.gov.uk/inspection-reports/find-inspection-report/provider/ELS/141968 ","Ofsted School Webpage")</f>
        <v>Ofsted School Webpage</v>
      </c>
      <c r="B808" s="319">
        <v>141968</v>
      </c>
      <c r="C808" s="319">
        <v>3556002</v>
      </c>
      <c r="D808" s="319" t="s">
        <v>2309</v>
      </c>
      <c r="E808" s="319" t="s">
        <v>167</v>
      </c>
      <c r="F808" s="319" t="s">
        <v>81</v>
      </c>
      <c r="G808" s="319" t="s">
        <v>69</v>
      </c>
      <c r="H808" s="319" t="s">
        <v>69</v>
      </c>
      <c r="I808" s="319" t="s">
        <v>69</v>
      </c>
      <c r="J808" s="319" t="s">
        <v>424</v>
      </c>
      <c r="K808" s="319" t="s">
        <v>431</v>
      </c>
      <c r="L808" s="319" t="s">
        <v>431</v>
      </c>
      <c r="M808" s="319" t="s">
        <v>533</v>
      </c>
      <c r="N808" s="319" t="s">
        <v>2874</v>
      </c>
      <c r="O808" s="319" t="s">
        <v>2310</v>
      </c>
      <c r="P808" s="319">
        <v>121</v>
      </c>
      <c r="Q808" s="319" t="s">
        <v>2766</v>
      </c>
      <c r="R808" s="320">
        <v>10067922</v>
      </c>
      <c r="S808" s="321">
        <v>43536</v>
      </c>
      <c r="T808" s="321">
        <v>43538</v>
      </c>
      <c r="U808" s="321">
        <v>43586</v>
      </c>
      <c r="V808" s="319" t="s">
        <v>425</v>
      </c>
      <c r="W808" s="319" t="s">
        <v>2767</v>
      </c>
      <c r="X808" s="319">
        <v>2</v>
      </c>
      <c r="Y808" s="319" t="s">
        <v>173</v>
      </c>
      <c r="Z808" s="319" t="s">
        <v>173</v>
      </c>
      <c r="AA808" s="319" t="s">
        <v>173</v>
      </c>
      <c r="AB808" s="319">
        <v>2</v>
      </c>
      <c r="AC808" s="319" t="s">
        <v>169</v>
      </c>
      <c r="AD808" s="319" t="s">
        <v>173</v>
      </c>
      <c r="AE808" s="319" t="s">
        <v>173</v>
      </c>
      <c r="AF808" s="319" t="s">
        <v>427</v>
      </c>
      <c r="AG808" s="319" t="s">
        <v>171</v>
      </c>
      <c r="AH808" s="319" t="s">
        <v>190</v>
      </c>
      <c r="AI808" s="319" t="s">
        <v>190</v>
      </c>
      <c r="AJ808" s="319" t="s">
        <v>190</v>
      </c>
      <c r="AK808" s="319" t="s">
        <v>190</v>
      </c>
      <c r="AL808" s="319" t="s">
        <v>190</v>
      </c>
      <c r="AM808" s="319" t="s">
        <v>190</v>
      </c>
      <c r="AN808" s="319" t="s">
        <v>190</v>
      </c>
      <c r="AO808" s="319" t="s">
        <v>190</v>
      </c>
      <c r="AP808" s="319" t="s">
        <v>190</v>
      </c>
      <c r="AQ808" s="319" t="s">
        <v>190</v>
      </c>
      <c r="AR808" s="319" t="s">
        <v>190</v>
      </c>
      <c r="AS808" s="319" t="s">
        <v>190</v>
      </c>
      <c r="AT808" s="319" t="s">
        <v>190</v>
      </c>
      <c r="AU808" s="319" t="s">
        <v>190</v>
      </c>
      <c r="AV808" s="319" t="s">
        <v>190</v>
      </c>
      <c r="AW808" s="319" t="s">
        <v>190</v>
      </c>
      <c r="AX808" s="319" t="s">
        <v>428</v>
      </c>
      <c r="AY808" s="319" t="s">
        <v>190</v>
      </c>
      <c r="AZ808" s="319" t="s">
        <v>190</v>
      </c>
      <c r="BA808" s="319" t="s">
        <v>190</v>
      </c>
      <c r="BB808" s="319" t="s">
        <v>190</v>
      </c>
      <c r="BC808" s="319" t="s">
        <v>190</v>
      </c>
      <c r="BD808" s="319" t="s">
        <v>190</v>
      </c>
      <c r="BE808" s="319" t="s">
        <v>190</v>
      </c>
      <c r="BF808" s="319" t="s">
        <v>428</v>
      </c>
      <c r="BG808" s="319" t="s">
        <v>428</v>
      </c>
      <c r="BH808" s="319" t="s">
        <v>190</v>
      </c>
      <c r="BI808" s="319" t="s">
        <v>190</v>
      </c>
      <c r="BJ808" s="319" t="s">
        <v>190</v>
      </c>
      <c r="BK808" s="319" t="s">
        <v>190</v>
      </c>
      <c r="BL808" s="319" t="s">
        <v>190</v>
      </c>
      <c r="BM808" s="319" t="s">
        <v>190</v>
      </c>
      <c r="BN808" s="319" t="s">
        <v>190</v>
      </c>
      <c r="BO808" s="319" t="s">
        <v>190</v>
      </c>
      <c r="BP808" s="319" t="s">
        <v>190</v>
      </c>
      <c r="BQ808" s="319" t="s">
        <v>190</v>
      </c>
      <c r="BR808" s="319" t="s">
        <v>190</v>
      </c>
      <c r="BS808" s="319" t="s">
        <v>190</v>
      </c>
      <c r="BT808" s="319" t="s">
        <v>190</v>
      </c>
      <c r="BU808" s="319" t="s">
        <v>190</v>
      </c>
      <c r="BV808" s="319" t="s">
        <v>190</v>
      </c>
      <c r="BW808" s="319" t="s">
        <v>190</v>
      </c>
      <c r="BX808" s="319" t="s">
        <v>190</v>
      </c>
      <c r="BY808" s="319" t="s">
        <v>190</v>
      </c>
      <c r="BZ808" s="319" t="s">
        <v>190</v>
      </c>
      <c r="CA808" s="319" t="s">
        <v>190</v>
      </c>
      <c r="CB808" s="319" t="s">
        <v>190</v>
      </c>
      <c r="CC808" s="319" t="s">
        <v>190</v>
      </c>
      <c r="CD808" s="319" t="s">
        <v>190</v>
      </c>
      <c r="CE808" s="319" t="s">
        <v>190</v>
      </c>
      <c r="CF808" s="319" t="s">
        <v>190</v>
      </c>
      <c r="CG808" s="319" t="s">
        <v>190</v>
      </c>
      <c r="CH808" s="319" t="s">
        <v>190</v>
      </c>
      <c r="CI808" s="319" t="s">
        <v>190</v>
      </c>
      <c r="CJ808" s="319" t="s">
        <v>190</v>
      </c>
      <c r="CK808" s="319" t="s">
        <v>190</v>
      </c>
      <c r="CL808" s="319" t="s">
        <v>190</v>
      </c>
      <c r="CM808" s="319" t="s">
        <v>190</v>
      </c>
      <c r="CN808" s="319" t="s">
        <v>190</v>
      </c>
      <c r="CO808" s="319" t="s">
        <v>428</v>
      </c>
      <c r="CP808" s="319" t="s">
        <v>428</v>
      </c>
      <c r="CQ808" s="319" t="s">
        <v>190</v>
      </c>
      <c r="CR808" s="319" t="s">
        <v>190</v>
      </c>
      <c r="CS808" s="319" t="s">
        <v>190</v>
      </c>
      <c r="CT808" s="319" t="s">
        <v>190</v>
      </c>
      <c r="CU808" s="319" t="s">
        <v>190</v>
      </c>
      <c r="CV808" s="319" t="s">
        <v>190</v>
      </c>
      <c r="CW808" s="319" t="s">
        <v>190</v>
      </c>
      <c r="CX808" s="319" t="s">
        <v>190</v>
      </c>
      <c r="CY808" s="319" t="s">
        <v>190</v>
      </c>
      <c r="CZ808" s="319" t="s">
        <v>190</v>
      </c>
      <c r="DA808" s="319" t="s">
        <v>190</v>
      </c>
      <c r="DB808" s="319" t="s">
        <v>190</v>
      </c>
      <c r="DC808" s="319" t="s">
        <v>190</v>
      </c>
      <c r="DD808" s="319" t="s">
        <v>190</v>
      </c>
      <c r="DE808" s="319" t="s">
        <v>190</v>
      </c>
      <c r="DF808" s="319" t="s">
        <v>190</v>
      </c>
      <c r="DG808" s="319" t="s">
        <v>190</v>
      </c>
      <c r="DH808" s="319" t="s">
        <v>190</v>
      </c>
      <c r="DI808" s="319" t="s">
        <v>190</v>
      </c>
      <c r="DJ808" s="319" t="s">
        <v>190</v>
      </c>
      <c r="DK808" s="319" t="s">
        <v>190</v>
      </c>
      <c r="DL808" s="319" t="s">
        <v>190</v>
      </c>
      <c r="DM808" s="319" t="s">
        <v>190</v>
      </c>
      <c r="DN808" s="319" t="s">
        <v>428</v>
      </c>
      <c r="DO808" s="319" t="s">
        <v>190</v>
      </c>
      <c r="DP808" s="319" t="s">
        <v>428</v>
      </c>
      <c r="DQ808" s="319" t="s">
        <v>428</v>
      </c>
      <c r="DR808" s="319" t="s">
        <v>428</v>
      </c>
      <c r="DS808" s="319" t="s">
        <v>428</v>
      </c>
      <c r="DT808" s="319" t="s">
        <v>428</v>
      </c>
      <c r="DU808" s="319" t="s">
        <v>428</v>
      </c>
      <c r="DV808" s="319" t="s">
        <v>173</v>
      </c>
      <c r="DW808" s="319" t="s">
        <v>428</v>
      </c>
      <c r="DX808" s="319" t="s">
        <v>428</v>
      </c>
      <c r="DY808" s="319" t="s">
        <v>428</v>
      </c>
      <c r="DZ808" s="319" t="s">
        <v>428</v>
      </c>
      <c r="EA808" s="319" t="s">
        <v>428</v>
      </c>
      <c r="EB808" s="319" t="s">
        <v>428</v>
      </c>
      <c r="EC808" s="319" t="s">
        <v>428</v>
      </c>
      <c r="ED808" s="319" t="s">
        <v>190</v>
      </c>
      <c r="EE808" s="319" t="s">
        <v>190</v>
      </c>
      <c r="EF808" s="319" t="s">
        <v>190</v>
      </c>
      <c r="EG808" s="319" t="s">
        <v>190</v>
      </c>
      <c r="EH808" s="319" t="s">
        <v>190</v>
      </c>
      <c r="EI808" s="319" t="s">
        <v>190</v>
      </c>
      <c r="EJ808" s="319" t="s">
        <v>190</v>
      </c>
      <c r="EK808" s="319" t="s">
        <v>190</v>
      </c>
      <c r="EL808" s="319" t="s">
        <v>190</v>
      </c>
      <c r="EM808" s="319" t="s">
        <v>190</v>
      </c>
      <c r="EN808" s="319" t="s">
        <v>190</v>
      </c>
      <c r="EO808" s="319" t="s">
        <v>190</v>
      </c>
      <c r="EP808" s="319" t="s">
        <v>190</v>
      </c>
      <c r="EQ808" s="319" t="s">
        <v>190</v>
      </c>
      <c r="ER808" s="319" t="s">
        <v>190</v>
      </c>
      <c r="ES808" s="319" t="s">
        <v>190</v>
      </c>
      <c r="ET808" s="319" t="s">
        <v>190</v>
      </c>
      <c r="EU808" s="319" t="s">
        <v>190</v>
      </c>
      <c r="EV808" s="319" t="s">
        <v>190</v>
      </c>
      <c r="EW808" s="319" t="s">
        <v>190</v>
      </c>
      <c r="EX808" s="319" t="s">
        <v>190</v>
      </c>
      <c r="EY808" s="319" t="s">
        <v>190</v>
      </c>
      <c r="EZ808" s="319" t="s">
        <v>190</v>
      </c>
      <c r="FA808" s="319" t="s">
        <v>428</v>
      </c>
      <c r="FB808" s="319" t="s">
        <v>428</v>
      </c>
      <c r="FC808" s="319" t="s">
        <v>428</v>
      </c>
      <c r="FD808" s="319" t="s">
        <v>428</v>
      </c>
      <c r="FE808" s="319" t="s">
        <v>428</v>
      </c>
      <c r="FF808" s="319" t="s">
        <v>428</v>
      </c>
      <c r="FG808" s="319" t="s">
        <v>428</v>
      </c>
      <c r="FH808" s="319" t="s">
        <v>190</v>
      </c>
      <c r="FI808" s="319" t="s">
        <v>428</v>
      </c>
      <c r="FJ808" s="319" t="s">
        <v>190</v>
      </c>
      <c r="FK808" s="319" t="s">
        <v>190</v>
      </c>
      <c r="FL808" s="319" t="s">
        <v>190</v>
      </c>
      <c r="FM808" s="319" t="s">
        <v>190</v>
      </c>
      <c r="FN808" s="319" t="s">
        <v>190</v>
      </c>
      <c r="FO808" s="319" t="s">
        <v>190</v>
      </c>
      <c r="FP808" s="319" t="s">
        <v>190</v>
      </c>
      <c r="FQ808" s="319" t="s">
        <v>190</v>
      </c>
      <c r="FR808" s="319" t="s">
        <v>190</v>
      </c>
      <c r="FS808" s="319" t="s">
        <v>190</v>
      </c>
      <c r="FT808" s="319" t="s">
        <v>190</v>
      </c>
      <c r="FU808" s="319" t="s">
        <v>190</v>
      </c>
      <c r="FV808" s="319" t="s">
        <v>190</v>
      </c>
      <c r="FW808" s="319" t="s">
        <v>190</v>
      </c>
      <c r="FX808" s="319" t="s">
        <v>190</v>
      </c>
      <c r="FY808" s="319" t="s">
        <v>190</v>
      </c>
      <c r="FZ808" s="319" t="s">
        <v>190</v>
      </c>
      <c r="GA808" s="319" t="s">
        <v>190</v>
      </c>
      <c r="GB808" s="319" t="s">
        <v>190</v>
      </c>
      <c r="GC808" s="319" t="s">
        <v>190</v>
      </c>
      <c r="GD808" s="319" t="s">
        <v>190</v>
      </c>
      <c r="GE808" s="319" t="s">
        <v>190</v>
      </c>
      <c r="GF808" s="319" t="s">
        <v>190</v>
      </c>
      <c r="GG808" s="319" t="s">
        <v>190</v>
      </c>
      <c r="GH808" s="319" t="s">
        <v>190</v>
      </c>
      <c r="GI808" s="319" t="s">
        <v>190</v>
      </c>
      <c r="GJ808" s="319" t="s">
        <v>190</v>
      </c>
      <c r="GK808" s="319" t="s">
        <v>428</v>
      </c>
      <c r="GL808" s="319" t="s">
        <v>190</v>
      </c>
      <c r="GM808" s="319" t="s">
        <v>190</v>
      </c>
      <c r="GN808" s="319" t="s">
        <v>190</v>
      </c>
      <c r="GO808" s="319" t="s">
        <v>190</v>
      </c>
      <c r="GP808" s="319" t="s">
        <v>190</v>
      </c>
      <c r="GQ808" s="319" t="s">
        <v>428</v>
      </c>
      <c r="GR808" s="319" t="s">
        <v>190</v>
      </c>
      <c r="GS808" s="319" t="s">
        <v>190</v>
      </c>
      <c r="GT808" s="319" t="s">
        <v>428</v>
      </c>
      <c r="GU808" s="319" t="s">
        <v>428</v>
      </c>
      <c r="GV808" s="319" t="s">
        <v>190</v>
      </c>
      <c r="GW808" s="319" t="s">
        <v>190</v>
      </c>
      <c r="GX808" s="319" t="s">
        <v>190</v>
      </c>
      <c r="GY808" s="319" t="s">
        <v>190</v>
      </c>
      <c r="GZ808" s="319" t="s">
        <v>190</v>
      </c>
      <c r="HA808" s="319" t="s">
        <v>190</v>
      </c>
      <c r="HB808" s="319" t="s">
        <v>190</v>
      </c>
      <c r="HC808" s="319" t="s">
        <v>190</v>
      </c>
      <c r="HD808" s="319" t="s">
        <v>190</v>
      </c>
      <c r="HE808" s="319" t="s">
        <v>190</v>
      </c>
      <c r="HF808" s="319" t="s">
        <v>190</v>
      </c>
      <c r="HG808" s="319" t="s">
        <v>190</v>
      </c>
      <c r="HH808" s="319" t="s">
        <v>190</v>
      </c>
      <c r="HI808" s="319" t="s">
        <v>190</v>
      </c>
      <c r="HJ808" s="319" t="s">
        <v>190</v>
      </c>
      <c r="HK808" s="319" t="s">
        <v>190</v>
      </c>
      <c r="HL808" s="319" t="s">
        <v>428</v>
      </c>
      <c r="HM808" s="319" t="s">
        <v>428</v>
      </c>
      <c r="HN808" s="319" t="s">
        <v>428</v>
      </c>
      <c r="HO808" s="319" t="s">
        <v>428</v>
      </c>
      <c r="HP808" s="319" t="s">
        <v>190</v>
      </c>
      <c r="HQ808" s="319" t="s">
        <v>190</v>
      </c>
      <c r="HR808" s="319" t="s">
        <v>190</v>
      </c>
      <c r="HS808" s="319" t="s">
        <v>190</v>
      </c>
      <c r="HT808" s="319" t="s">
        <v>190</v>
      </c>
      <c r="HU808" s="319" t="s">
        <v>190</v>
      </c>
      <c r="HV808" s="319" t="s">
        <v>190</v>
      </c>
      <c r="HW808" s="319" t="s">
        <v>190</v>
      </c>
      <c r="HX808" s="319" t="s">
        <v>190</v>
      </c>
      <c r="HY808" s="319" t="s">
        <v>190</v>
      </c>
      <c r="HZ808" s="319" t="s">
        <v>190</v>
      </c>
      <c r="IA808" s="319" t="s">
        <v>190</v>
      </c>
      <c r="IB808" s="319" t="s">
        <v>190</v>
      </c>
      <c r="IC808" s="319" t="s">
        <v>190</v>
      </c>
      <c r="ID808" s="319" t="s">
        <v>190</v>
      </c>
      <c r="IE808" s="319" t="s">
        <v>190</v>
      </c>
      <c r="IF808" s="319" t="s">
        <v>190</v>
      </c>
      <c r="IG808" s="319" t="s">
        <v>190</v>
      </c>
      <c r="IH808" s="319" t="s">
        <v>190</v>
      </c>
      <c r="II808" s="319" t="s">
        <v>190</v>
      </c>
      <c r="IJ808" s="319">
        <v>10008628</v>
      </c>
      <c r="IK808" s="321">
        <v>42556</v>
      </c>
      <c r="IL808" s="321">
        <v>42558</v>
      </c>
      <c r="IM808" s="321">
        <v>42627</v>
      </c>
      <c r="IN808" s="319">
        <v>2</v>
      </c>
      <c r="IO808" s="319" t="s">
        <v>173</v>
      </c>
      <c r="IP808" s="319" t="s">
        <v>173</v>
      </c>
      <c r="IQ808" s="321" t="s">
        <v>173</v>
      </c>
      <c r="IR808" s="320" t="s">
        <v>173</v>
      </c>
      <c r="IS808" s="322" t="s">
        <v>173</v>
      </c>
      <c r="IT808" s="319" t="s">
        <v>173</v>
      </c>
    </row>
    <row r="809" spans="1:254" s="271" customFormat="1" x14ac:dyDescent="0.25">
      <c r="A809" s="318" t="str">
        <f>HYPERLINK("http://www.ofsted.gov.uk/inspection-reports/find-inspection-report/provider/ELS/141994 ","Ofsted School Webpage")</f>
        <v>Ofsted School Webpage</v>
      </c>
      <c r="B809" s="319">
        <v>141994</v>
      </c>
      <c r="C809" s="319">
        <v>8306043</v>
      </c>
      <c r="D809" s="319" t="s">
        <v>946</v>
      </c>
      <c r="E809" s="319" t="s">
        <v>168</v>
      </c>
      <c r="F809" s="319" t="s">
        <v>81</v>
      </c>
      <c r="G809" s="319" t="s">
        <v>81</v>
      </c>
      <c r="H809" s="319" t="s">
        <v>81</v>
      </c>
      <c r="I809" s="319" t="s">
        <v>78</v>
      </c>
      <c r="J809" s="319" t="s">
        <v>424</v>
      </c>
      <c r="K809" s="319" t="s">
        <v>506</v>
      </c>
      <c r="L809" s="319" t="s">
        <v>506</v>
      </c>
      <c r="M809" s="319" t="s">
        <v>507</v>
      </c>
      <c r="N809" s="319" t="s">
        <v>2918</v>
      </c>
      <c r="O809" s="319" t="s">
        <v>947</v>
      </c>
      <c r="P809" s="319">
        <v>45</v>
      </c>
      <c r="Q809" s="319" t="s">
        <v>429</v>
      </c>
      <c r="R809" s="320">
        <v>10078671</v>
      </c>
      <c r="S809" s="321">
        <v>43522</v>
      </c>
      <c r="T809" s="321">
        <v>43524</v>
      </c>
      <c r="U809" s="321">
        <v>43549</v>
      </c>
      <c r="V809" s="319" t="s">
        <v>425</v>
      </c>
      <c r="W809" s="319" t="s">
        <v>2767</v>
      </c>
      <c r="X809" s="319">
        <v>2</v>
      </c>
      <c r="Y809" s="319" t="s">
        <v>173</v>
      </c>
      <c r="Z809" s="319" t="s">
        <v>173</v>
      </c>
      <c r="AA809" s="319" t="s">
        <v>173</v>
      </c>
      <c r="AB809" s="319">
        <v>2</v>
      </c>
      <c r="AC809" s="319" t="s">
        <v>169</v>
      </c>
      <c r="AD809" s="319" t="s">
        <v>173</v>
      </c>
      <c r="AE809" s="319">
        <v>2</v>
      </c>
      <c r="AF809" s="319" t="s">
        <v>427</v>
      </c>
      <c r="AG809" s="319" t="s">
        <v>171</v>
      </c>
      <c r="AH809" s="319" t="s">
        <v>190</v>
      </c>
      <c r="AI809" s="319" t="s">
        <v>190</v>
      </c>
      <c r="AJ809" s="319" t="s">
        <v>190</v>
      </c>
      <c r="AK809" s="319" t="s">
        <v>190</v>
      </c>
      <c r="AL809" s="319" t="s">
        <v>190</v>
      </c>
      <c r="AM809" s="319" t="s">
        <v>190</v>
      </c>
      <c r="AN809" s="319" t="s">
        <v>190</v>
      </c>
      <c r="AO809" s="319" t="s">
        <v>190</v>
      </c>
      <c r="AP809" s="319" t="s">
        <v>190</v>
      </c>
      <c r="AQ809" s="319" t="s">
        <v>190</v>
      </c>
      <c r="AR809" s="319" t="s">
        <v>190</v>
      </c>
      <c r="AS809" s="319" t="s">
        <v>190</v>
      </c>
      <c r="AT809" s="319" t="s">
        <v>190</v>
      </c>
      <c r="AU809" s="319" t="s">
        <v>190</v>
      </c>
      <c r="AV809" s="319" t="s">
        <v>190</v>
      </c>
      <c r="AW809" s="319" t="s">
        <v>190</v>
      </c>
      <c r="AX809" s="319" t="s">
        <v>428</v>
      </c>
      <c r="AY809" s="319" t="s">
        <v>190</v>
      </c>
      <c r="AZ809" s="319" t="s">
        <v>190</v>
      </c>
      <c r="BA809" s="319" t="s">
        <v>190</v>
      </c>
      <c r="BB809" s="319" t="s">
        <v>190</v>
      </c>
      <c r="BC809" s="319" t="s">
        <v>190</v>
      </c>
      <c r="BD809" s="319" t="s">
        <v>190</v>
      </c>
      <c r="BE809" s="319" t="s">
        <v>190</v>
      </c>
      <c r="BF809" s="319" t="s">
        <v>428</v>
      </c>
      <c r="BG809" s="319" t="s">
        <v>190</v>
      </c>
      <c r="BH809" s="319" t="s">
        <v>190</v>
      </c>
      <c r="BI809" s="319" t="s">
        <v>190</v>
      </c>
      <c r="BJ809" s="319" t="s">
        <v>190</v>
      </c>
      <c r="BK809" s="319" t="s">
        <v>190</v>
      </c>
      <c r="BL809" s="319" t="s">
        <v>190</v>
      </c>
      <c r="BM809" s="319" t="s">
        <v>190</v>
      </c>
      <c r="BN809" s="319" t="s">
        <v>190</v>
      </c>
      <c r="BO809" s="319" t="s">
        <v>190</v>
      </c>
      <c r="BP809" s="319" t="s">
        <v>190</v>
      </c>
      <c r="BQ809" s="319" t="s">
        <v>190</v>
      </c>
      <c r="BR809" s="319" t="s">
        <v>190</v>
      </c>
      <c r="BS809" s="319" t="s">
        <v>190</v>
      </c>
      <c r="BT809" s="319" t="s">
        <v>190</v>
      </c>
      <c r="BU809" s="319" t="s">
        <v>190</v>
      </c>
      <c r="BV809" s="319" t="s">
        <v>190</v>
      </c>
      <c r="BW809" s="319" t="s">
        <v>190</v>
      </c>
      <c r="BX809" s="319" t="s">
        <v>190</v>
      </c>
      <c r="BY809" s="319" t="s">
        <v>190</v>
      </c>
      <c r="BZ809" s="319" t="s">
        <v>190</v>
      </c>
      <c r="CA809" s="319" t="s">
        <v>190</v>
      </c>
      <c r="CB809" s="319" t="s">
        <v>190</v>
      </c>
      <c r="CC809" s="319" t="s">
        <v>190</v>
      </c>
      <c r="CD809" s="319" t="s">
        <v>190</v>
      </c>
      <c r="CE809" s="319" t="s">
        <v>190</v>
      </c>
      <c r="CF809" s="319" t="s">
        <v>190</v>
      </c>
      <c r="CG809" s="319" t="s">
        <v>190</v>
      </c>
      <c r="CH809" s="319" t="s">
        <v>190</v>
      </c>
      <c r="CI809" s="319" t="s">
        <v>190</v>
      </c>
      <c r="CJ809" s="319" t="s">
        <v>190</v>
      </c>
      <c r="CK809" s="319" t="s">
        <v>190</v>
      </c>
      <c r="CL809" s="319" t="s">
        <v>190</v>
      </c>
      <c r="CM809" s="319" t="s">
        <v>190</v>
      </c>
      <c r="CN809" s="319" t="s">
        <v>428</v>
      </c>
      <c r="CO809" s="319" t="s">
        <v>428</v>
      </c>
      <c r="CP809" s="319" t="s">
        <v>428</v>
      </c>
      <c r="CQ809" s="319" t="s">
        <v>190</v>
      </c>
      <c r="CR809" s="319" t="s">
        <v>190</v>
      </c>
      <c r="CS809" s="319" t="s">
        <v>190</v>
      </c>
      <c r="CT809" s="319" t="s">
        <v>190</v>
      </c>
      <c r="CU809" s="319" t="s">
        <v>190</v>
      </c>
      <c r="CV809" s="319" t="s">
        <v>190</v>
      </c>
      <c r="CW809" s="319" t="s">
        <v>190</v>
      </c>
      <c r="CX809" s="319" t="s">
        <v>190</v>
      </c>
      <c r="CY809" s="319" t="s">
        <v>190</v>
      </c>
      <c r="CZ809" s="319" t="s">
        <v>190</v>
      </c>
      <c r="DA809" s="319" t="s">
        <v>190</v>
      </c>
      <c r="DB809" s="319" t="s">
        <v>190</v>
      </c>
      <c r="DC809" s="319" t="s">
        <v>190</v>
      </c>
      <c r="DD809" s="319" t="s">
        <v>190</v>
      </c>
      <c r="DE809" s="319" t="s">
        <v>190</v>
      </c>
      <c r="DF809" s="319" t="s">
        <v>190</v>
      </c>
      <c r="DG809" s="319" t="s">
        <v>190</v>
      </c>
      <c r="DH809" s="319" t="s">
        <v>190</v>
      </c>
      <c r="DI809" s="319" t="s">
        <v>190</v>
      </c>
      <c r="DJ809" s="319" t="s">
        <v>190</v>
      </c>
      <c r="DK809" s="319" t="s">
        <v>190</v>
      </c>
      <c r="DL809" s="319" t="s">
        <v>190</v>
      </c>
      <c r="DM809" s="319" t="s">
        <v>190</v>
      </c>
      <c r="DN809" s="319" t="s">
        <v>428</v>
      </c>
      <c r="DO809" s="319" t="s">
        <v>190</v>
      </c>
      <c r="DP809" s="319" t="s">
        <v>428</v>
      </c>
      <c r="DQ809" s="319" t="s">
        <v>428</v>
      </c>
      <c r="DR809" s="319" t="s">
        <v>428</v>
      </c>
      <c r="DS809" s="319" t="s">
        <v>428</v>
      </c>
      <c r="DT809" s="319" t="s">
        <v>428</v>
      </c>
      <c r="DU809" s="319" t="s">
        <v>428</v>
      </c>
      <c r="DV809" s="319" t="s">
        <v>173</v>
      </c>
      <c r="DW809" s="319" t="s">
        <v>428</v>
      </c>
      <c r="DX809" s="319" t="s">
        <v>428</v>
      </c>
      <c r="DY809" s="319" t="s">
        <v>428</v>
      </c>
      <c r="DZ809" s="319" t="s">
        <v>428</v>
      </c>
      <c r="EA809" s="319" t="s">
        <v>428</v>
      </c>
      <c r="EB809" s="319" t="s">
        <v>428</v>
      </c>
      <c r="EC809" s="319" t="s">
        <v>428</v>
      </c>
      <c r="ED809" s="319" t="s">
        <v>428</v>
      </c>
      <c r="EE809" s="319" t="s">
        <v>190</v>
      </c>
      <c r="EF809" s="319" t="s">
        <v>190</v>
      </c>
      <c r="EG809" s="319" t="s">
        <v>190</v>
      </c>
      <c r="EH809" s="319" t="s">
        <v>190</v>
      </c>
      <c r="EI809" s="319" t="s">
        <v>190</v>
      </c>
      <c r="EJ809" s="319" t="s">
        <v>190</v>
      </c>
      <c r="EK809" s="319" t="s">
        <v>190</v>
      </c>
      <c r="EL809" s="319" t="s">
        <v>190</v>
      </c>
      <c r="EM809" s="319" t="s">
        <v>190</v>
      </c>
      <c r="EN809" s="319" t="s">
        <v>190</v>
      </c>
      <c r="EO809" s="319" t="s">
        <v>190</v>
      </c>
      <c r="EP809" s="319" t="s">
        <v>190</v>
      </c>
      <c r="EQ809" s="319" t="s">
        <v>190</v>
      </c>
      <c r="ER809" s="319" t="s">
        <v>190</v>
      </c>
      <c r="ES809" s="319" t="s">
        <v>190</v>
      </c>
      <c r="ET809" s="319" t="s">
        <v>190</v>
      </c>
      <c r="EU809" s="319" t="s">
        <v>190</v>
      </c>
      <c r="EV809" s="319" t="s">
        <v>190</v>
      </c>
      <c r="EW809" s="319" t="s">
        <v>190</v>
      </c>
      <c r="EX809" s="319" t="s">
        <v>190</v>
      </c>
      <c r="EY809" s="319" t="s">
        <v>190</v>
      </c>
      <c r="EZ809" s="319" t="s">
        <v>190</v>
      </c>
      <c r="FA809" s="319" t="s">
        <v>190</v>
      </c>
      <c r="FB809" s="319" t="s">
        <v>428</v>
      </c>
      <c r="FC809" s="319" t="s">
        <v>428</v>
      </c>
      <c r="FD809" s="319" t="s">
        <v>428</v>
      </c>
      <c r="FE809" s="319" t="s">
        <v>428</v>
      </c>
      <c r="FF809" s="319" t="s">
        <v>428</v>
      </c>
      <c r="FG809" s="319" t="s">
        <v>428</v>
      </c>
      <c r="FH809" s="319" t="s">
        <v>190</v>
      </c>
      <c r="FI809" s="319" t="s">
        <v>428</v>
      </c>
      <c r="FJ809" s="319" t="s">
        <v>429</v>
      </c>
      <c r="FK809" s="319" t="s">
        <v>428</v>
      </c>
      <c r="FL809" s="319" t="s">
        <v>190</v>
      </c>
      <c r="FM809" s="319" t="s">
        <v>190</v>
      </c>
      <c r="FN809" s="319" t="s">
        <v>190</v>
      </c>
      <c r="FO809" s="319" t="s">
        <v>190</v>
      </c>
      <c r="FP809" s="319" t="s">
        <v>190</v>
      </c>
      <c r="FQ809" s="319" t="s">
        <v>190</v>
      </c>
      <c r="FR809" s="319" t="s">
        <v>190</v>
      </c>
      <c r="FS809" s="319" t="s">
        <v>428</v>
      </c>
      <c r="FT809" s="319" t="s">
        <v>190</v>
      </c>
      <c r="FU809" s="319" t="s">
        <v>190</v>
      </c>
      <c r="FV809" s="319" t="s">
        <v>190</v>
      </c>
      <c r="FW809" s="319" t="s">
        <v>190</v>
      </c>
      <c r="FX809" s="319" t="s">
        <v>190</v>
      </c>
      <c r="FY809" s="319" t="s">
        <v>190</v>
      </c>
      <c r="FZ809" s="319" t="s">
        <v>190</v>
      </c>
      <c r="GA809" s="319" t="s">
        <v>190</v>
      </c>
      <c r="GB809" s="319" t="s">
        <v>190</v>
      </c>
      <c r="GC809" s="319" t="s">
        <v>190</v>
      </c>
      <c r="GD809" s="319" t="s">
        <v>190</v>
      </c>
      <c r="GE809" s="319" t="s">
        <v>190</v>
      </c>
      <c r="GF809" s="319" t="s">
        <v>190</v>
      </c>
      <c r="GG809" s="319" t="s">
        <v>190</v>
      </c>
      <c r="GH809" s="319" t="s">
        <v>190</v>
      </c>
      <c r="GI809" s="319" t="s">
        <v>190</v>
      </c>
      <c r="GJ809" s="319" t="s">
        <v>190</v>
      </c>
      <c r="GK809" s="319" t="s">
        <v>428</v>
      </c>
      <c r="GL809" s="319" t="s">
        <v>190</v>
      </c>
      <c r="GM809" s="319" t="s">
        <v>190</v>
      </c>
      <c r="GN809" s="319" t="s">
        <v>190</v>
      </c>
      <c r="GO809" s="319" t="s">
        <v>190</v>
      </c>
      <c r="GP809" s="319" t="s">
        <v>190</v>
      </c>
      <c r="GQ809" s="319" t="s">
        <v>428</v>
      </c>
      <c r="GR809" s="319" t="s">
        <v>190</v>
      </c>
      <c r="GS809" s="319" t="s">
        <v>190</v>
      </c>
      <c r="GT809" s="319" t="s">
        <v>190</v>
      </c>
      <c r="GU809" s="319" t="s">
        <v>190</v>
      </c>
      <c r="GV809" s="319" t="s">
        <v>190</v>
      </c>
      <c r="GW809" s="319" t="s">
        <v>190</v>
      </c>
      <c r="GX809" s="319" t="s">
        <v>190</v>
      </c>
      <c r="GY809" s="319" t="s">
        <v>190</v>
      </c>
      <c r="GZ809" s="319" t="s">
        <v>428</v>
      </c>
      <c r="HA809" s="319" t="s">
        <v>190</v>
      </c>
      <c r="HB809" s="319" t="s">
        <v>190</v>
      </c>
      <c r="HC809" s="319" t="s">
        <v>190</v>
      </c>
      <c r="HD809" s="319" t="s">
        <v>190</v>
      </c>
      <c r="HE809" s="319" t="s">
        <v>190</v>
      </c>
      <c r="HF809" s="319" t="s">
        <v>190</v>
      </c>
      <c r="HG809" s="319" t="s">
        <v>190</v>
      </c>
      <c r="HH809" s="319" t="s">
        <v>190</v>
      </c>
      <c r="HI809" s="319" t="s">
        <v>190</v>
      </c>
      <c r="HJ809" s="319" t="s">
        <v>190</v>
      </c>
      <c r="HK809" s="319" t="s">
        <v>190</v>
      </c>
      <c r="HL809" s="319" t="s">
        <v>428</v>
      </c>
      <c r="HM809" s="319" t="s">
        <v>428</v>
      </c>
      <c r="HN809" s="319" t="s">
        <v>428</v>
      </c>
      <c r="HO809" s="319" t="s">
        <v>428</v>
      </c>
      <c r="HP809" s="319" t="s">
        <v>190</v>
      </c>
      <c r="HQ809" s="319" t="s">
        <v>190</v>
      </c>
      <c r="HR809" s="319" t="s">
        <v>190</v>
      </c>
      <c r="HS809" s="319" t="s">
        <v>190</v>
      </c>
      <c r="HT809" s="319" t="s">
        <v>190</v>
      </c>
      <c r="HU809" s="319" t="s">
        <v>190</v>
      </c>
      <c r="HV809" s="319" t="s">
        <v>190</v>
      </c>
      <c r="HW809" s="319" t="s">
        <v>190</v>
      </c>
      <c r="HX809" s="319" t="s">
        <v>190</v>
      </c>
      <c r="HY809" s="319" t="s">
        <v>190</v>
      </c>
      <c r="HZ809" s="319" t="s">
        <v>190</v>
      </c>
      <c r="IA809" s="319" t="s">
        <v>190</v>
      </c>
      <c r="IB809" s="319" t="s">
        <v>190</v>
      </c>
      <c r="IC809" s="319" t="s">
        <v>190</v>
      </c>
      <c r="ID809" s="319" t="s">
        <v>190</v>
      </c>
      <c r="IE809" s="319" t="s">
        <v>190</v>
      </c>
      <c r="IF809" s="319" t="s">
        <v>190</v>
      </c>
      <c r="IG809" s="319" t="s">
        <v>190</v>
      </c>
      <c r="IH809" s="319" t="s">
        <v>190</v>
      </c>
      <c r="II809" s="319" t="s">
        <v>190</v>
      </c>
      <c r="IJ809" s="319">
        <v>10008629</v>
      </c>
      <c r="IK809" s="321">
        <v>42451</v>
      </c>
      <c r="IL809" s="321">
        <v>42453</v>
      </c>
      <c r="IM809" s="321">
        <v>42488</v>
      </c>
      <c r="IN809" s="319">
        <v>1</v>
      </c>
      <c r="IO809" s="319" t="s">
        <v>173</v>
      </c>
      <c r="IP809" s="319" t="s">
        <v>173</v>
      </c>
      <c r="IQ809" s="319" t="s">
        <v>173</v>
      </c>
      <c r="IR809" s="320" t="s">
        <v>173</v>
      </c>
      <c r="IS809" s="320" t="s">
        <v>173</v>
      </c>
      <c r="IT809" s="319" t="s">
        <v>173</v>
      </c>
    </row>
    <row r="810" spans="1:254" s="271" customFormat="1" x14ac:dyDescent="0.25">
      <c r="A810" s="318" t="str">
        <f>HYPERLINK("http://www.ofsted.gov.uk/inspection-reports/find-inspection-report/provider/ELS/142011 ","Ofsted School Webpage")</f>
        <v>Ofsted School Webpage</v>
      </c>
      <c r="B810" s="319">
        <v>142011</v>
      </c>
      <c r="C810" s="319">
        <v>8856043</v>
      </c>
      <c r="D810" s="319" t="s">
        <v>2311</v>
      </c>
      <c r="E810" s="319" t="s">
        <v>168</v>
      </c>
      <c r="F810" s="319" t="s">
        <v>81</v>
      </c>
      <c r="G810" s="319" t="s">
        <v>81</v>
      </c>
      <c r="H810" s="319" t="s">
        <v>81</v>
      </c>
      <c r="I810" s="319" t="s">
        <v>78</v>
      </c>
      <c r="J810" s="319" t="s">
        <v>424</v>
      </c>
      <c r="K810" s="319" t="s">
        <v>437</v>
      </c>
      <c r="L810" s="319" t="s">
        <v>437</v>
      </c>
      <c r="M810" s="319" t="s">
        <v>483</v>
      </c>
      <c r="N810" s="319" t="s">
        <v>2962</v>
      </c>
      <c r="O810" s="319" t="s">
        <v>2312</v>
      </c>
      <c r="P810" s="319">
        <v>9</v>
      </c>
      <c r="Q810" s="319" t="s">
        <v>429</v>
      </c>
      <c r="R810" s="320">
        <v>10093009</v>
      </c>
      <c r="S810" s="321">
        <v>43649</v>
      </c>
      <c r="T810" s="321">
        <v>43651</v>
      </c>
      <c r="U810" s="321">
        <v>43725</v>
      </c>
      <c r="V810" s="319" t="s">
        <v>425</v>
      </c>
      <c r="W810" s="319" t="s">
        <v>2767</v>
      </c>
      <c r="X810" s="319">
        <v>1</v>
      </c>
      <c r="Y810" s="319" t="s">
        <v>173</v>
      </c>
      <c r="Z810" s="319" t="s">
        <v>173</v>
      </c>
      <c r="AA810" s="319" t="s">
        <v>173</v>
      </c>
      <c r="AB810" s="319">
        <v>1</v>
      </c>
      <c r="AC810" s="319" t="s">
        <v>169</v>
      </c>
      <c r="AD810" s="319" t="s">
        <v>173</v>
      </c>
      <c r="AE810" s="319">
        <v>2</v>
      </c>
      <c r="AF810" s="319" t="s">
        <v>427</v>
      </c>
      <c r="AG810" s="319" t="s">
        <v>171</v>
      </c>
      <c r="AH810" s="319" t="s">
        <v>190</v>
      </c>
      <c r="AI810" s="319" t="s">
        <v>190</v>
      </c>
      <c r="AJ810" s="319" t="s">
        <v>190</v>
      </c>
      <c r="AK810" s="319" t="s">
        <v>190</v>
      </c>
      <c r="AL810" s="319" t="s">
        <v>190</v>
      </c>
      <c r="AM810" s="319" t="s">
        <v>190</v>
      </c>
      <c r="AN810" s="319" t="s">
        <v>190</v>
      </c>
      <c r="AO810" s="319" t="s">
        <v>190</v>
      </c>
      <c r="AP810" s="319" t="s">
        <v>190</v>
      </c>
      <c r="AQ810" s="319" t="s">
        <v>190</v>
      </c>
      <c r="AR810" s="319" t="s">
        <v>190</v>
      </c>
      <c r="AS810" s="319" t="s">
        <v>190</v>
      </c>
      <c r="AT810" s="319" t="s">
        <v>190</v>
      </c>
      <c r="AU810" s="319" t="s">
        <v>190</v>
      </c>
      <c r="AV810" s="319" t="s">
        <v>190</v>
      </c>
      <c r="AW810" s="319" t="s">
        <v>190</v>
      </c>
      <c r="AX810" s="319" t="s">
        <v>428</v>
      </c>
      <c r="AY810" s="319" t="s">
        <v>190</v>
      </c>
      <c r="AZ810" s="319" t="s">
        <v>190</v>
      </c>
      <c r="BA810" s="319" t="s">
        <v>190</v>
      </c>
      <c r="BB810" s="319" t="s">
        <v>190</v>
      </c>
      <c r="BC810" s="319" t="s">
        <v>190</v>
      </c>
      <c r="BD810" s="319" t="s">
        <v>190</v>
      </c>
      <c r="BE810" s="319" t="s">
        <v>190</v>
      </c>
      <c r="BF810" s="319" t="s">
        <v>428</v>
      </c>
      <c r="BG810" s="319" t="s">
        <v>190</v>
      </c>
      <c r="BH810" s="319" t="s">
        <v>190</v>
      </c>
      <c r="BI810" s="319" t="s">
        <v>190</v>
      </c>
      <c r="BJ810" s="319" t="s">
        <v>190</v>
      </c>
      <c r="BK810" s="319" t="s">
        <v>190</v>
      </c>
      <c r="BL810" s="319" t="s">
        <v>190</v>
      </c>
      <c r="BM810" s="319" t="s">
        <v>190</v>
      </c>
      <c r="BN810" s="319" t="s">
        <v>190</v>
      </c>
      <c r="BO810" s="319" t="s">
        <v>190</v>
      </c>
      <c r="BP810" s="319" t="s">
        <v>190</v>
      </c>
      <c r="BQ810" s="319" t="s">
        <v>190</v>
      </c>
      <c r="BR810" s="319" t="s">
        <v>190</v>
      </c>
      <c r="BS810" s="319" t="s">
        <v>190</v>
      </c>
      <c r="BT810" s="319" t="s">
        <v>190</v>
      </c>
      <c r="BU810" s="319" t="s">
        <v>190</v>
      </c>
      <c r="BV810" s="319" t="s">
        <v>190</v>
      </c>
      <c r="BW810" s="319" t="s">
        <v>190</v>
      </c>
      <c r="BX810" s="319" t="s">
        <v>190</v>
      </c>
      <c r="BY810" s="319" t="s">
        <v>190</v>
      </c>
      <c r="BZ810" s="319" t="s">
        <v>190</v>
      </c>
      <c r="CA810" s="319" t="s">
        <v>190</v>
      </c>
      <c r="CB810" s="319" t="s">
        <v>190</v>
      </c>
      <c r="CC810" s="319" t="s">
        <v>190</v>
      </c>
      <c r="CD810" s="319" t="s">
        <v>190</v>
      </c>
      <c r="CE810" s="319" t="s">
        <v>190</v>
      </c>
      <c r="CF810" s="319" t="s">
        <v>190</v>
      </c>
      <c r="CG810" s="319" t="s">
        <v>190</v>
      </c>
      <c r="CH810" s="319" t="s">
        <v>190</v>
      </c>
      <c r="CI810" s="319" t="s">
        <v>190</v>
      </c>
      <c r="CJ810" s="319" t="s">
        <v>190</v>
      </c>
      <c r="CK810" s="319" t="s">
        <v>190</v>
      </c>
      <c r="CL810" s="319" t="s">
        <v>190</v>
      </c>
      <c r="CM810" s="319" t="s">
        <v>190</v>
      </c>
      <c r="CN810" s="319" t="s">
        <v>428</v>
      </c>
      <c r="CO810" s="319" t="s">
        <v>428</v>
      </c>
      <c r="CP810" s="319" t="s">
        <v>428</v>
      </c>
      <c r="CQ810" s="319" t="s">
        <v>190</v>
      </c>
      <c r="CR810" s="319" t="s">
        <v>190</v>
      </c>
      <c r="CS810" s="319" t="s">
        <v>190</v>
      </c>
      <c r="CT810" s="319" t="s">
        <v>190</v>
      </c>
      <c r="CU810" s="319" t="s">
        <v>190</v>
      </c>
      <c r="CV810" s="319" t="s">
        <v>190</v>
      </c>
      <c r="CW810" s="319" t="s">
        <v>190</v>
      </c>
      <c r="CX810" s="319" t="s">
        <v>190</v>
      </c>
      <c r="CY810" s="319" t="s">
        <v>190</v>
      </c>
      <c r="CZ810" s="319" t="s">
        <v>190</v>
      </c>
      <c r="DA810" s="319" t="s">
        <v>190</v>
      </c>
      <c r="DB810" s="319" t="s">
        <v>190</v>
      </c>
      <c r="DC810" s="319" t="s">
        <v>190</v>
      </c>
      <c r="DD810" s="319" t="s">
        <v>190</v>
      </c>
      <c r="DE810" s="319" t="s">
        <v>190</v>
      </c>
      <c r="DF810" s="319" t="s">
        <v>190</v>
      </c>
      <c r="DG810" s="319" t="s">
        <v>190</v>
      </c>
      <c r="DH810" s="319" t="s">
        <v>190</v>
      </c>
      <c r="DI810" s="319" t="s">
        <v>190</v>
      </c>
      <c r="DJ810" s="319" t="s">
        <v>190</v>
      </c>
      <c r="DK810" s="319" t="s">
        <v>190</v>
      </c>
      <c r="DL810" s="319" t="s">
        <v>190</v>
      </c>
      <c r="DM810" s="319" t="s">
        <v>190</v>
      </c>
      <c r="DN810" s="319" t="s">
        <v>428</v>
      </c>
      <c r="DO810" s="319" t="s">
        <v>190</v>
      </c>
      <c r="DP810" s="319" t="s">
        <v>190</v>
      </c>
      <c r="DQ810" s="319" t="s">
        <v>190</v>
      </c>
      <c r="DR810" s="319" t="s">
        <v>190</v>
      </c>
      <c r="DS810" s="319" t="s">
        <v>190</v>
      </c>
      <c r="DT810" s="319" t="s">
        <v>190</v>
      </c>
      <c r="DU810" s="319" t="s">
        <v>190</v>
      </c>
      <c r="DV810" s="319" t="s">
        <v>173</v>
      </c>
      <c r="DW810" s="319" t="s">
        <v>190</v>
      </c>
      <c r="DX810" s="319" t="s">
        <v>190</v>
      </c>
      <c r="DY810" s="319" t="s">
        <v>190</v>
      </c>
      <c r="DZ810" s="319" t="s">
        <v>190</v>
      </c>
      <c r="EA810" s="319" t="s">
        <v>190</v>
      </c>
      <c r="EB810" s="319" t="s">
        <v>190</v>
      </c>
      <c r="EC810" s="319" t="s">
        <v>428</v>
      </c>
      <c r="ED810" s="319" t="s">
        <v>190</v>
      </c>
      <c r="EE810" s="319" t="s">
        <v>428</v>
      </c>
      <c r="EF810" s="319" t="s">
        <v>428</v>
      </c>
      <c r="EG810" s="319" t="s">
        <v>428</v>
      </c>
      <c r="EH810" s="319" t="s">
        <v>428</v>
      </c>
      <c r="EI810" s="319" t="s">
        <v>428</v>
      </c>
      <c r="EJ810" s="319" t="s">
        <v>428</v>
      </c>
      <c r="EK810" s="319" t="s">
        <v>428</v>
      </c>
      <c r="EL810" s="319" t="s">
        <v>428</v>
      </c>
      <c r="EM810" s="319" t="s">
        <v>428</v>
      </c>
      <c r="EN810" s="319" t="s">
        <v>190</v>
      </c>
      <c r="EO810" s="319" t="s">
        <v>190</v>
      </c>
      <c r="EP810" s="319" t="s">
        <v>190</v>
      </c>
      <c r="EQ810" s="319" t="s">
        <v>190</v>
      </c>
      <c r="ER810" s="319" t="s">
        <v>190</v>
      </c>
      <c r="ES810" s="319" t="s">
        <v>190</v>
      </c>
      <c r="ET810" s="319" t="s">
        <v>190</v>
      </c>
      <c r="EU810" s="319" t="s">
        <v>190</v>
      </c>
      <c r="EV810" s="319" t="s">
        <v>190</v>
      </c>
      <c r="EW810" s="319" t="s">
        <v>190</v>
      </c>
      <c r="EX810" s="319" t="s">
        <v>190</v>
      </c>
      <c r="EY810" s="319" t="s">
        <v>190</v>
      </c>
      <c r="EZ810" s="319" t="s">
        <v>190</v>
      </c>
      <c r="FA810" s="319" t="s">
        <v>190</v>
      </c>
      <c r="FB810" s="319" t="s">
        <v>190</v>
      </c>
      <c r="FC810" s="319" t="s">
        <v>190</v>
      </c>
      <c r="FD810" s="319" t="s">
        <v>190</v>
      </c>
      <c r="FE810" s="319" t="s">
        <v>190</v>
      </c>
      <c r="FF810" s="319" t="s">
        <v>190</v>
      </c>
      <c r="FG810" s="319" t="s">
        <v>190</v>
      </c>
      <c r="FH810" s="319" t="s">
        <v>190</v>
      </c>
      <c r="FI810" s="319" t="s">
        <v>190</v>
      </c>
      <c r="FJ810" s="319" t="s">
        <v>190</v>
      </c>
      <c r="FK810" s="319" t="s">
        <v>190</v>
      </c>
      <c r="FL810" s="319" t="s">
        <v>190</v>
      </c>
      <c r="FM810" s="319" t="s">
        <v>190</v>
      </c>
      <c r="FN810" s="319" t="s">
        <v>190</v>
      </c>
      <c r="FO810" s="319" t="s">
        <v>428</v>
      </c>
      <c r="FP810" s="319" t="s">
        <v>190</v>
      </c>
      <c r="FQ810" s="319" t="s">
        <v>190</v>
      </c>
      <c r="FR810" s="319" t="s">
        <v>190</v>
      </c>
      <c r="FS810" s="319" t="s">
        <v>428</v>
      </c>
      <c r="FT810" s="319" t="s">
        <v>428</v>
      </c>
      <c r="FU810" s="319" t="s">
        <v>190</v>
      </c>
      <c r="FV810" s="319" t="s">
        <v>190</v>
      </c>
      <c r="FW810" s="319" t="s">
        <v>190</v>
      </c>
      <c r="FX810" s="319" t="s">
        <v>190</v>
      </c>
      <c r="FY810" s="319" t="s">
        <v>190</v>
      </c>
      <c r="FZ810" s="319" t="s">
        <v>190</v>
      </c>
      <c r="GA810" s="319" t="s">
        <v>190</v>
      </c>
      <c r="GB810" s="319" t="s">
        <v>190</v>
      </c>
      <c r="GC810" s="319" t="s">
        <v>190</v>
      </c>
      <c r="GD810" s="319" t="s">
        <v>190</v>
      </c>
      <c r="GE810" s="319" t="s">
        <v>190</v>
      </c>
      <c r="GF810" s="319" t="s">
        <v>190</v>
      </c>
      <c r="GG810" s="319" t="s">
        <v>190</v>
      </c>
      <c r="GH810" s="319" t="s">
        <v>190</v>
      </c>
      <c r="GI810" s="319" t="s">
        <v>190</v>
      </c>
      <c r="GJ810" s="319" t="s">
        <v>190</v>
      </c>
      <c r="GK810" s="319" t="s">
        <v>190</v>
      </c>
      <c r="GL810" s="319" t="s">
        <v>190</v>
      </c>
      <c r="GM810" s="319" t="s">
        <v>190</v>
      </c>
      <c r="GN810" s="319" t="s">
        <v>190</v>
      </c>
      <c r="GO810" s="319" t="s">
        <v>190</v>
      </c>
      <c r="GP810" s="319" t="s">
        <v>190</v>
      </c>
      <c r="GQ810" s="319" t="s">
        <v>190</v>
      </c>
      <c r="GR810" s="319" t="s">
        <v>190</v>
      </c>
      <c r="GS810" s="319" t="s">
        <v>190</v>
      </c>
      <c r="GT810" s="319" t="s">
        <v>190</v>
      </c>
      <c r="GU810" s="319" t="s">
        <v>190</v>
      </c>
      <c r="GV810" s="319" t="s">
        <v>190</v>
      </c>
      <c r="GW810" s="319" t="s">
        <v>190</v>
      </c>
      <c r="GX810" s="319" t="s">
        <v>190</v>
      </c>
      <c r="GY810" s="319" t="s">
        <v>190</v>
      </c>
      <c r="GZ810" s="319" t="s">
        <v>428</v>
      </c>
      <c r="HA810" s="319" t="s">
        <v>190</v>
      </c>
      <c r="HB810" s="319" t="s">
        <v>428</v>
      </c>
      <c r="HC810" s="319" t="s">
        <v>190</v>
      </c>
      <c r="HD810" s="319" t="s">
        <v>190</v>
      </c>
      <c r="HE810" s="319" t="s">
        <v>190</v>
      </c>
      <c r="HF810" s="319" t="s">
        <v>190</v>
      </c>
      <c r="HG810" s="319" t="s">
        <v>190</v>
      </c>
      <c r="HH810" s="319" t="s">
        <v>190</v>
      </c>
      <c r="HI810" s="319" t="s">
        <v>190</v>
      </c>
      <c r="HJ810" s="319" t="s">
        <v>190</v>
      </c>
      <c r="HK810" s="319" t="s">
        <v>190</v>
      </c>
      <c r="HL810" s="319" t="s">
        <v>428</v>
      </c>
      <c r="HM810" s="319" t="s">
        <v>428</v>
      </c>
      <c r="HN810" s="319" t="s">
        <v>428</v>
      </c>
      <c r="HO810" s="319" t="s">
        <v>428</v>
      </c>
      <c r="HP810" s="319" t="s">
        <v>190</v>
      </c>
      <c r="HQ810" s="319" t="s">
        <v>190</v>
      </c>
      <c r="HR810" s="319" t="s">
        <v>190</v>
      </c>
      <c r="HS810" s="319" t="s">
        <v>190</v>
      </c>
      <c r="HT810" s="319" t="s">
        <v>190</v>
      </c>
      <c r="HU810" s="319" t="s">
        <v>190</v>
      </c>
      <c r="HV810" s="319" t="s">
        <v>190</v>
      </c>
      <c r="HW810" s="319" t="s">
        <v>190</v>
      </c>
      <c r="HX810" s="319" t="s">
        <v>190</v>
      </c>
      <c r="HY810" s="319" t="s">
        <v>190</v>
      </c>
      <c r="HZ810" s="319" t="s">
        <v>190</v>
      </c>
      <c r="IA810" s="319" t="s">
        <v>190</v>
      </c>
      <c r="IB810" s="319" t="s">
        <v>190</v>
      </c>
      <c r="IC810" s="319" t="s">
        <v>190</v>
      </c>
      <c r="ID810" s="319" t="s">
        <v>190</v>
      </c>
      <c r="IE810" s="319" t="s">
        <v>190</v>
      </c>
      <c r="IF810" s="319" t="s">
        <v>190</v>
      </c>
      <c r="IG810" s="319" t="s">
        <v>190</v>
      </c>
      <c r="IH810" s="319" t="s">
        <v>190</v>
      </c>
      <c r="II810" s="319" t="s">
        <v>190</v>
      </c>
      <c r="IJ810" s="319">
        <v>10008631</v>
      </c>
      <c r="IK810" s="321">
        <v>42472</v>
      </c>
      <c r="IL810" s="321">
        <v>42474</v>
      </c>
      <c r="IM810" s="321">
        <v>42508</v>
      </c>
      <c r="IN810" s="319">
        <v>2</v>
      </c>
      <c r="IO810" s="319" t="s">
        <v>173</v>
      </c>
      <c r="IP810" s="319" t="s">
        <v>173</v>
      </c>
      <c r="IQ810" s="319" t="s">
        <v>173</v>
      </c>
      <c r="IR810" s="320" t="s">
        <v>173</v>
      </c>
      <c r="IS810" s="320" t="s">
        <v>173</v>
      </c>
      <c r="IT810" s="319" t="s">
        <v>173</v>
      </c>
    </row>
    <row r="811" spans="1:254" s="271" customFormat="1" x14ac:dyDescent="0.25">
      <c r="A811" s="318" t="str">
        <f>HYPERLINK("http://www.ofsted.gov.uk/inspection-reports/find-inspection-report/provider/ELS/142013 ","Ofsted School Webpage")</f>
        <v>Ofsted School Webpage</v>
      </c>
      <c r="B811" s="319">
        <v>142013</v>
      </c>
      <c r="C811" s="319">
        <v>8606041</v>
      </c>
      <c r="D811" s="319" t="s">
        <v>967</v>
      </c>
      <c r="E811" s="319" t="s">
        <v>168</v>
      </c>
      <c r="F811" s="319" t="s">
        <v>81</v>
      </c>
      <c r="G811" s="319" t="s">
        <v>81</v>
      </c>
      <c r="H811" s="319" t="s">
        <v>81</v>
      </c>
      <c r="I811" s="319" t="s">
        <v>78</v>
      </c>
      <c r="J811" s="319" t="s">
        <v>424</v>
      </c>
      <c r="K811" s="319" t="s">
        <v>437</v>
      </c>
      <c r="L811" s="319" t="s">
        <v>437</v>
      </c>
      <c r="M811" s="319" t="s">
        <v>577</v>
      </c>
      <c r="N811" s="319" t="s">
        <v>3426</v>
      </c>
      <c r="O811" s="319" t="s">
        <v>968</v>
      </c>
      <c r="P811" s="319">
        <v>32</v>
      </c>
      <c r="Q811" s="319" t="s">
        <v>429</v>
      </c>
      <c r="R811" s="320">
        <v>10056222</v>
      </c>
      <c r="S811" s="321">
        <v>43529</v>
      </c>
      <c r="T811" s="321">
        <v>43531</v>
      </c>
      <c r="U811" s="321">
        <v>43551</v>
      </c>
      <c r="V811" s="319" t="s">
        <v>425</v>
      </c>
      <c r="W811" s="319" t="s">
        <v>2767</v>
      </c>
      <c r="X811" s="319">
        <v>2</v>
      </c>
      <c r="Y811" s="319" t="s">
        <v>173</v>
      </c>
      <c r="Z811" s="319" t="s">
        <v>173</v>
      </c>
      <c r="AA811" s="319" t="s">
        <v>173</v>
      </c>
      <c r="AB811" s="319">
        <v>2</v>
      </c>
      <c r="AC811" s="319" t="s">
        <v>169</v>
      </c>
      <c r="AD811" s="319" t="s">
        <v>173</v>
      </c>
      <c r="AE811" s="319">
        <v>3</v>
      </c>
      <c r="AF811" s="319" t="s">
        <v>427</v>
      </c>
      <c r="AG811" s="319" t="s">
        <v>171</v>
      </c>
      <c r="AH811" s="319" t="s">
        <v>190</v>
      </c>
      <c r="AI811" s="319" t="s">
        <v>190</v>
      </c>
      <c r="AJ811" s="319" t="s">
        <v>190</v>
      </c>
      <c r="AK811" s="319" t="s">
        <v>190</v>
      </c>
      <c r="AL811" s="319" t="s">
        <v>190</v>
      </c>
      <c r="AM811" s="319" t="s">
        <v>190</v>
      </c>
      <c r="AN811" s="319" t="s">
        <v>190</v>
      </c>
      <c r="AO811" s="319" t="s">
        <v>190</v>
      </c>
      <c r="AP811" s="319" t="s">
        <v>190</v>
      </c>
      <c r="AQ811" s="319" t="s">
        <v>190</v>
      </c>
      <c r="AR811" s="319" t="s">
        <v>190</v>
      </c>
      <c r="AS811" s="319" t="s">
        <v>190</v>
      </c>
      <c r="AT811" s="319" t="s">
        <v>190</v>
      </c>
      <c r="AU811" s="319" t="s">
        <v>190</v>
      </c>
      <c r="AV811" s="319" t="s">
        <v>190</v>
      </c>
      <c r="AW811" s="319" t="s">
        <v>190</v>
      </c>
      <c r="AX811" s="319" t="s">
        <v>428</v>
      </c>
      <c r="AY811" s="319" t="s">
        <v>190</v>
      </c>
      <c r="AZ811" s="319" t="s">
        <v>190</v>
      </c>
      <c r="BA811" s="319" t="s">
        <v>190</v>
      </c>
      <c r="BB811" s="319" t="s">
        <v>190</v>
      </c>
      <c r="BC811" s="319" t="s">
        <v>190</v>
      </c>
      <c r="BD811" s="319" t="s">
        <v>190</v>
      </c>
      <c r="BE811" s="319" t="s">
        <v>190</v>
      </c>
      <c r="BF811" s="319" t="s">
        <v>428</v>
      </c>
      <c r="BG811" s="319" t="s">
        <v>190</v>
      </c>
      <c r="BH811" s="319" t="s">
        <v>190</v>
      </c>
      <c r="BI811" s="319" t="s">
        <v>190</v>
      </c>
      <c r="BJ811" s="319" t="s">
        <v>190</v>
      </c>
      <c r="BK811" s="319" t="s">
        <v>190</v>
      </c>
      <c r="BL811" s="319" t="s">
        <v>190</v>
      </c>
      <c r="BM811" s="319" t="s">
        <v>190</v>
      </c>
      <c r="BN811" s="319" t="s">
        <v>190</v>
      </c>
      <c r="BO811" s="319" t="s">
        <v>190</v>
      </c>
      <c r="BP811" s="319" t="s">
        <v>190</v>
      </c>
      <c r="BQ811" s="319" t="s">
        <v>190</v>
      </c>
      <c r="BR811" s="319" t="s">
        <v>190</v>
      </c>
      <c r="BS811" s="319" t="s">
        <v>190</v>
      </c>
      <c r="BT811" s="319" t="s">
        <v>190</v>
      </c>
      <c r="BU811" s="319" t="s">
        <v>190</v>
      </c>
      <c r="BV811" s="319" t="s">
        <v>190</v>
      </c>
      <c r="BW811" s="319" t="s">
        <v>190</v>
      </c>
      <c r="BX811" s="319" t="s">
        <v>190</v>
      </c>
      <c r="BY811" s="319" t="s">
        <v>190</v>
      </c>
      <c r="BZ811" s="319" t="s">
        <v>190</v>
      </c>
      <c r="CA811" s="319" t="s">
        <v>190</v>
      </c>
      <c r="CB811" s="319" t="s">
        <v>190</v>
      </c>
      <c r="CC811" s="319" t="s">
        <v>190</v>
      </c>
      <c r="CD811" s="319" t="s">
        <v>190</v>
      </c>
      <c r="CE811" s="319" t="s">
        <v>190</v>
      </c>
      <c r="CF811" s="319" t="s">
        <v>190</v>
      </c>
      <c r="CG811" s="319" t="s">
        <v>190</v>
      </c>
      <c r="CH811" s="319" t="s">
        <v>190</v>
      </c>
      <c r="CI811" s="319" t="s">
        <v>190</v>
      </c>
      <c r="CJ811" s="319" t="s">
        <v>190</v>
      </c>
      <c r="CK811" s="319" t="s">
        <v>190</v>
      </c>
      <c r="CL811" s="319" t="s">
        <v>190</v>
      </c>
      <c r="CM811" s="319" t="s">
        <v>190</v>
      </c>
      <c r="CN811" s="319" t="s">
        <v>428</v>
      </c>
      <c r="CO811" s="319" t="s">
        <v>428</v>
      </c>
      <c r="CP811" s="319" t="s">
        <v>428</v>
      </c>
      <c r="CQ811" s="319" t="s">
        <v>190</v>
      </c>
      <c r="CR811" s="319" t="s">
        <v>190</v>
      </c>
      <c r="CS811" s="319" t="s">
        <v>190</v>
      </c>
      <c r="CT811" s="319" t="s">
        <v>190</v>
      </c>
      <c r="CU811" s="319" t="s">
        <v>190</v>
      </c>
      <c r="CV811" s="319" t="s">
        <v>190</v>
      </c>
      <c r="CW811" s="319" t="s">
        <v>190</v>
      </c>
      <c r="CX811" s="319" t="s">
        <v>190</v>
      </c>
      <c r="CY811" s="319" t="s">
        <v>190</v>
      </c>
      <c r="CZ811" s="319" t="s">
        <v>190</v>
      </c>
      <c r="DA811" s="319" t="s">
        <v>190</v>
      </c>
      <c r="DB811" s="319" t="s">
        <v>190</v>
      </c>
      <c r="DC811" s="319" t="s">
        <v>190</v>
      </c>
      <c r="DD811" s="319" t="s">
        <v>190</v>
      </c>
      <c r="DE811" s="319" t="s">
        <v>190</v>
      </c>
      <c r="DF811" s="319" t="s">
        <v>190</v>
      </c>
      <c r="DG811" s="319" t="s">
        <v>190</v>
      </c>
      <c r="DH811" s="319" t="s">
        <v>190</v>
      </c>
      <c r="DI811" s="319" t="s">
        <v>190</v>
      </c>
      <c r="DJ811" s="319" t="s">
        <v>190</v>
      </c>
      <c r="DK811" s="319" t="s">
        <v>190</v>
      </c>
      <c r="DL811" s="319" t="s">
        <v>190</v>
      </c>
      <c r="DM811" s="319" t="s">
        <v>190</v>
      </c>
      <c r="DN811" s="319" t="s">
        <v>428</v>
      </c>
      <c r="DO811" s="319" t="s">
        <v>190</v>
      </c>
      <c r="DP811" s="319" t="s">
        <v>428</v>
      </c>
      <c r="DQ811" s="319" t="s">
        <v>428</v>
      </c>
      <c r="DR811" s="319" t="s">
        <v>428</v>
      </c>
      <c r="DS811" s="319" t="s">
        <v>428</v>
      </c>
      <c r="DT811" s="319" t="s">
        <v>428</v>
      </c>
      <c r="DU811" s="319" t="s">
        <v>428</v>
      </c>
      <c r="DV811" s="319" t="s">
        <v>173</v>
      </c>
      <c r="DW811" s="319" t="s">
        <v>428</v>
      </c>
      <c r="DX811" s="319" t="s">
        <v>428</v>
      </c>
      <c r="DY811" s="319" t="s">
        <v>428</v>
      </c>
      <c r="DZ811" s="319" t="s">
        <v>428</v>
      </c>
      <c r="EA811" s="319" t="s">
        <v>428</v>
      </c>
      <c r="EB811" s="319" t="s">
        <v>428</v>
      </c>
      <c r="EC811" s="319" t="s">
        <v>428</v>
      </c>
      <c r="ED811" s="319" t="s">
        <v>428</v>
      </c>
      <c r="EE811" s="319" t="s">
        <v>190</v>
      </c>
      <c r="EF811" s="319" t="s">
        <v>190</v>
      </c>
      <c r="EG811" s="319" t="s">
        <v>190</v>
      </c>
      <c r="EH811" s="319" t="s">
        <v>190</v>
      </c>
      <c r="EI811" s="319" t="s">
        <v>190</v>
      </c>
      <c r="EJ811" s="319" t="s">
        <v>190</v>
      </c>
      <c r="EK811" s="319" t="s">
        <v>190</v>
      </c>
      <c r="EL811" s="319" t="s">
        <v>190</v>
      </c>
      <c r="EM811" s="319" t="s">
        <v>190</v>
      </c>
      <c r="EN811" s="319" t="s">
        <v>190</v>
      </c>
      <c r="EO811" s="319" t="s">
        <v>190</v>
      </c>
      <c r="EP811" s="319" t="s">
        <v>190</v>
      </c>
      <c r="EQ811" s="319" t="s">
        <v>190</v>
      </c>
      <c r="ER811" s="319" t="s">
        <v>190</v>
      </c>
      <c r="ES811" s="319" t="s">
        <v>190</v>
      </c>
      <c r="ET811" s="319" t="s">
        <v>190</v>
      </c>
      <c r="EU811" s="319" t="s">
        <v>190</v>
      </c>
      <c r="EV811" s="319" t="s">
        <v>190</v>
      </c>
      <c r="EW811" s="319" t="s">
        <v>190</v>
      </c>
      <c r="EX811" s="319" t="s">
        <v>190</v>
      </c>
      <c r="EY811" s="319" t="s">
        <v>190</v>
      </c>
      <c r="EZ811" s="319" t="s">
        <v>190</v>
      </c>
      <c r="FA811" s="319" t="s">
        <v>190</v>
      </c>
      <c r="FB811" s="319" t="s">
        <v>428</v>
      </c>
      <c r="FC811" s="319" t="s">
        <v>428</v>
      </c>
      <c r="FD811" s="319" t="s">
        <v>428</v>
      </c>
      <c r="FE811" s="319" t="s">
        <v>428</v>
      </c>
      <c r="FF811" s="319" t="s">
        <v>428</v>
      </c>
      <c r="FG811" s="319" t="s">
        <v>428</v>
      </c>
      <c r="FH811" s="319" t="s">
        <v>190</v>
      </c>
      <c r="FI811" s="319" t="s">
        <v>190</v>
      </c>
      <c r="FJ811" s="319" t="s">
        <v>190</v>
      </c>
      <c r="FK811" s="319" t="s">
        <v>190</v>
      </c>
      <c r="FL811" s="319" t="s">
        <v>190</v>
      </c>
      <c r="FM811" s="319" t="s">
        <v>190</v>
      </c>
      <c r="FN811" s="319" t="s">
        <v>190</v>
      </c>
      <c r="FO811" s="319" t="s">
        <v>190</v>
      </c>
      <c r="FP811" s="319" t="s">
        <v>190</v>
      </c>
      <c r="FQ811" s="319" t="s">
        <v>190</v>
      </c>
      <c r="FR811" s="319" t="s">
        <v>190</v>
      </c>
      <c r="FS811" s="319" t="s">
        <v>428</v>
      </c>
      <c r="FT811" s="319" t="s">
        <v>190</v>
      </c>
      <c r="FU811" s="319" t="s">
        <v>190</v>
      </c>
      <c r="FV811" s="319" t="s">
        <v>190</v>
      </c>
      <c r="FW811" s="319" t="s">
        <v>190</v>
      </c>
      <c r="FX811" s="319" t="s">
        <v>190</v>
      </c>
      <c r="FY811" s="319" t="s">
        <v>190</v>
      </c>
      <c r="FZ811" s="319" t="s">
        <v>190</v>
      </c>
      <c r="GA811" s="319" t="s">
        <v>190</v>
      </c>
      <c r="GB811" s="319" t="s">
        <v>190</v>
      </c>
      <c r="GC811" s="319" t="s">
        <v>190</v>
      </c>
      <c r="GD811" s="319" t="s">
        <v>190</v>
      </c>
      <c r="GE811" s="319" t="s">
        <v>190</v>
      </c>
      <c r="GF811" s="319" t="s">
        <v>190</v>
      </c>
      <c r="GG811" s="319" t="s">
        <v>190</v>
      </c>
      <c r="GH811" s="319" t="s">
        <v>190</v>
      </c>
      <c r="GI811" s="319" t="s">
        <v>190</v>
      </c>
      <c r="GJ811" s="319" t="s">
        <v>190</v>
      </c>
      <c r="GK811" s="319" t="s">
        <v>428</v>
      </c>
      <c r="GL811" s="319" t="s">
        <v>190</v>
      </c>
      <c r="GM811" s="319" t="s">
        <v>190</v>
      </c>
      <c r="GN811" s="319" t="s">
        <v>190</v>
      </c>
      <c r="GO811" s="319" t="s">
        <v>190</v>
      </c>
      <c r="GP811" s="319" t="s">
        <v>190</v>
      </c>
      <c r="GQ811" s="319" t="s">
        <v>428</v>
      </c>
      <c r="GR811" s="319" t="s">
        <v>190</v>
      </c>
      <c r="GS811" s="319" t="s">
        <v>190</v>
      </c>
      <c r="GT811" s="319" t="s">
        <v>190</v>
      </c>
      <c r="GU811" s="319" t="s">
        <v>190</v>
      </c>
      <c r="GV811" s="319" t="s">
        <v>190</v>
      </c>
      <c r="GW811" s="319" t="s">
        <v>190</v>
      </c>
      <c r="GX811" s="319" t="s">
        <v>190</v>
      </c>
      <c r="GY811" s="319" t="s">
        <v>190</v>
      </c>
      <c r="GZ811" s="319" t="s">
        <v>190</v>
      </c>
      <c r="HA811" s="319" t="s">
        <v>190</v>
      </c>
      <c r="HB811" s="319" t="s">
        <v>428</v>
      </c>
      <c r="HC811" s="319" t="s">
        <v>190</v>
      </c>
      <c r="HD811" s="319" t="s">
        <v>190</v>
      </c>
      <c r="HE811" s="319" t="s">
        <v>190</v>
      </c>
      <c r="HF811" s="319" t="s">
        <v>190</v>
      </c>
      <c r="HG811" s="319" t="s">
        <v>190</v>
      </c>
      <c r="HH811" s="319" t="s">
        <v>190</v>
      </c>
      <c r="HI811" s="319" t="s">
        <v>190</v>
      </c>
      <c r="HJ811" s="319" t="s">
        <v>190</v>
      </c>
      <c r="HK811" s="319" t="s">
        <v>190</v>
      </c>
      <c r="HL811" s="319" t="s">
        <v>428</v>
      </c>
      <c r="HM811" s="319" t="s">
        <v>428</v>
      </c>
      <c r="HN811" s="319" t="s">
        <v>428</v>
      </c>
      <c r="HO811" s="319" t="s">
        <v>428</v>
      </c>
      <c r="HP811" s="319" t="s">
        <v>190</v>
      </c>
      <c r="HQ811" s="319" t="s">
        <v>190</v>
      </c>
      <c r="HR811" s="319" t="s">
        <v>190</v>
      </c>
      <c r="HS811" s="319" t="s">
        <v>190</v>
      </c>
      <c r="HT811" s="319" t="s">
        <v>190</v>
      </c>
      <c r="HU811" s="319" t="s">
        <v>190</v>
      </c>
      <c r="HV811" s="319" t="s">
        <v>190</v>
      </c>
      <c r="HW811" s="319" t="s">
        <v>190</v>
      </c>
      <c r="HX811" s="319" t="s">
        <v>190</v>
      </c>
      <c r="HY811" s="319" t="s">
        <v>190</v>
      </c>
      <c r="HZ811" s="319" t="s">
        <v>190</v>
      </c>
      <c r="IA811" s="319" t="s">
        <v>190</v>
      </c>
      <c r="IB811" s="319" t="s">
        <v>190</v>
      </c>
      <c r="IC811" s="319" t="s">
        <v>190</v>
      </c>
      <c r="ID811" s="319" t="s">
        <v>190</v>
      </c>
      <c r="IE811" s="319" t="s">
        <v>190</v>
      </c>
      <c r="IF811" s="319" t="s">
        <v>190</v>
      </c>
      <c r="IG811" s="319" t="s">
        <v>190</v>
      </c>
      <c r="IH811" s="319" t="s">
        <v>190</v>
      </c>
      <c r="II811" s="319" t="s">
        <v>190</v>
      </c>
      <c r="IJ811" s="319">
        <v>10008632</v>
      </c>
      <c r="IK811" s="321">
        <v>42438</v>
      </c>
      <c r="IL811" s="321">
        <v>42440</v>
      </c>
      <c r="IM811" s="321">
        <v>42486</v>
      </c>
      <c r="IN811" s="319">
        <v>2</v>
      </c>
      <c r="IO811" s="319" t="s">
        <v>173</v>
      </c>
      <c r="IP811" s="319" t="s">
        <v>173</v>
      </c>
      <c r="IQ811" s="319" t="s">
        <v>173</v>
      </c>
      <c r="IR811" s="320" t="s">
        <v>173</v>
      </c>
      <c r="IS811" s="320" t="s">
        <v>173</v>
      </c>
      <c r="IT811" s="319" t="s">
        <v>173</v>
      </c>
    </row>
    <row r="812" spans="1:254" s="271" customFormat="1" x14ac:dyDescent="0.25">
      <c r="A812" s="318" t="str">
        <f>HYPERLINK("http://www.ofsted.gov.uk/inspection-reports/find-inspection-report/provider/ELS/142068 ","Ofsted School Webpage")</f>
        <v>Ofsted School Webpage</v>
      </c>
      <c r="B812" s="319">
        <v>142068</v>
      </c>
      <c r="C812" s="319">
        <v>3836003</v>
      </c>
      <c r="D812" s="319" t="s">
        <v>621</v>
      </c>
      <c r="E812" s="319" t="s">
        <v>168</v>
      </c>
      <c r="F812" s="319" t="s">
        <v>81</v>
      </c>
      <c r="G812" s="319" t="s">
        <v>81</v>
      </c>
      <c r="H812" s="319" t="s">
        <v>81</v>
      </c>
      <c r="I812" s="319" t="s">
        <v>78</v>
      </c>
      <c r="J812" s="319" t="s">
        <v>424</v>
      </c>
      <c r="K812" s="319" t="s">
        <v>458</v>
      </c>
      <c r="L812" s="319" t="s">
        <v>459</v>
      </c>
      <c r="M812" s="319" t="s">
        <v>622</v>
      </c>
      <c r="N812" s="319" t="s">
        <v>3432</v>
      </c>
      <c r="O812" s="319" t="s">
        <v>623</v>
      </c>
      <c r="P812" s="319">
        <v>4</v>
      </c>
      <c r="Q812" s="319" t="s">
        <v>429</v>
      </c>
      <c r="R812" s="320">
        <v>10055382</v>
      </c>
      <c r="S812" s="321">
        <v>43411</v>
      </c>
      <c r="T812" s="321">
        <v>43412</v>
      </c>
      <c r="U812" s="321">
        <v>43438</v>
      </c>
      <c r="V812" s="319" t="s">
        <v>425</v>
      </c>
      <c r="W812" s="319" t="s">
        <v>2767</v>
      </c>
      <c r="X812" s="319">
        <v>1</v>
      </c>
      <c r="Y812" s="319" t="s">
        <v>173</v>
      </c>
      <c r="Z812" s="319" t="s">
        <v>173</v>
      </c>
      <c r="AA812" s="319" t="s">
        <v>173</v>
      </c>
      <c r="AB812" s="319">
        <v>1</v>
      </c>
      <c r="AC812" s="319" t="s">
        <v>169</v>
      </c>
      <c r="AD812" s="319" t="s">
        <v>173</v>
      </c>
      <c r="AE812" s="319" t="s">
        <v>173</v>
      </c>
      <c r="AF812" s="319" t="s">
        <v>427</v>
      </c>
      <c r="AG812" s="319" t="s">
        <v>171</v>
      </c>
      <c r="AH812" s="319" t="s">
        <v>190</v>
      </c>
      <c r="AI812" s="319" t="s">
        <v>190</v>
      </c>
      <c r="AJ812" s="319" t="s">
        <v>190</v>
      </c>
      <c r="AK812" s="319" t="s">
        <v>190</v>
      </c>
      <c r="AL812" s="319" t="s">
        <v>190</v>
      </c>
      <c r="AM812" s="319" t="s">
        <v>190</v>
      </c>
      <c r="AN812" s="319" t="s">
        <v>190</v>
      </c>
      <c r="AO812" s="319" t="s">
        <v>190</v>
      </c>
      <c r="AP812" s="319" t="s">
        <v>190</v>
      </c>
      <c r="AQ812" s="319" t="s">
        <v>190</v>
      </c>
      <c r="AR812" s="319" t="s">
        <v>190</v>
      </c>
      <c r="AS812" s="319" t="s">
        <v>190</v>
      </c>
      <c r="AT812" s="319" t="s">
        <v>190</v>
      </c>
      <c r="AU812" s="319" t="s">
        <v>190</v>
      </c>
      <c r="AV812" s="319" t="s">
        <v>190</v>
      </c>
      <c r="AW812" s="319" t="s">
        <v>190</v>
      </c>
      <c r="AX812" s="319" t="s">
        <v>428</v>
      </c>
      <c r="AY812" s="319" t="s">
        <v>190</v>
      </c>
      <c r="AZ812" s="319" t="s">
        <v>190</v>
      </c>
      <c r="BA812" s="319" t="s">
        <v>190</v>
      </c>
      <c r="BB812" s="319" t="s">
        <v>428</v>
      </c>
      <c r="BC812" s="319" t="s">
        <v>428</v>
      </c>
      <c r="BD812" s="319" t="s">
        <v>428</v>
      </c>
      <c r="BE812" s="319" t="s">
        <v>428</v>
      </c>
      <c r="BF812" s="319" t="s">
        <v>428</v>
      </c>
      <c r="BG812" s="319" t="s">
        <v>428</v>
      </c>
      <c r="BH812" s="319" t="s">
        <v>190</v>
      </c>
      <c r="BI812" s="319" t="s">
        <v>190</v>
      </c>
      <c r="BJ812" s="319" t="s">
        <v>190</v>
      </c>
      <c r="BK812" s="319" t="s">
        <v>190</v>
      </c>
      <c r="BL812" s="319" t="s">
        <v>190</v>
      </c>
      <c r="BM812" s="319" t="s">
        <v>190</v>
      </c>
      <c r="BN812" s="319" t="s">
        <v>190</v>
      </c>
      <c r="BO812" s="319" t="s">
        <v>190</v>
      </c>
      <c r="BP812" s="319" t="s">
        <v>190</v>
      </c>
      <c r="BQ812" s="319" t="s">
        <v>190</v>
      </c>
      <c r="BR812" s="319" t="s">
        <v>190</v>
      </c>
      <c r="BS812" s="319" t="s">
        <v>190</v>
      </c>
      <c r="BT812" s="319" t="s">
        <v>190</v>
      </c>
      <c r="BU812" s="319" t="s">
        <v>190</v>
      </c>
      <c r="BV812" s="319" t="s">
        <v>190</v>
      </c>
      <c r="BW812" s="319" t="s">
        <v>190</v>
      </c>
      <c r="BX812" s="319" t="s">
        <v>190</v>
      </c>
      <c r="BY812" s="319" t="s">
        <v>190</v>
      </c>
      <c r="BZ812" s="319" t="s">
        <v>190</v>
      </c>
      <c r="CA812" s="319" t="s">
        <v>190</v>
      </c>
      <c r="CB812" s="319" t="s">
        <v>190</v>
      </c>
      <c r="CC812" s="319" t="s">
        <v>190</v>
      </c>
      <c r="CD812" s="319" t="s">
        <v>190</v>
      </c>
      <c r="CE812" s="319" t="s">
        <v>190</v>
      </c>
      <c r="CF812" s="319" t="s">
        <v>190</v>
      </c>
      <c r="CG812" s="319" t="s">
        <v>190</v>
      </c>
      <c r="CH812" s="319" t="s">
        <v>190</v>
      </c>
      <c r="CI812" s="319" t="s">
        <v>190</v>
      </c>
      <c r="CJ812" s="319" t="s">
        <v>190</v>
      </c>
      <c r="CK812" s="319" t="s">
        <v>190</v>
      </c>
      <c r="CL812" s="319" t="s">
        <v>190</v>
      </c>
      <c r="CM812" s="319" t="s">
        <v>190</v>
      </c>
      <c r="CN812" s="319" t="s">
        <v>428</v>
      </c>
      <c r="CO812" s="319" t="s">
        <v>428</v>
      </c>
      <c r="CP812" s="319" t="s">
        <v>428</v>
      </c>
      <c r="CQ812" s="319" t="s">
        <v>190</v>
      </c>
      <c r="CR812" s="319" t="s">
        <v>190</v>
      </c>
      <c r="CS812" s="319" t="s">
        <v>190</v>
      </c>
      <c r="CT812" s="319" t="s">
        <v>190</v>
      </c>
      <c r="CU812" s="319" t="s">
        <v>190</v>
      </c>
      <c r="CV812" s="319" t="s">
        <v>190</v>
      </c>
      <c r="CW812" s="319" t="s">
        <v>190</v>
      </c>
      <c r="CX812" s="319" t="s">
        <v>190</v>
      </c>
      <c r="CY812" s="319" t="s">
        <v>190</v>
      </c>
      <c r="CZ812" s="319" t="s">
        <v>190</v>
      </c>
      <c r="DA812" s="319" t="s">
        <v>190</v>
      </c>
      <c r="DB812" s="319" t="s">
        <v>190</v>
      </c>
      <c r="DC812" s="319" t="s">
        <v>190</v>
      </c>
      <c r="DD812" s="319" t="s">
        <v>190</v>
      </c>
      <c r="DE812" s="319" t="s">
        <v>190</v>
      </c>
      <c r="DF812" s="319" t="s">
        <v>190</v>
      </c>
      <c r="DG812" s="319" t="s">
        <v>190</v>
      </c>
      <c r="DH812" s="319" t="s">
        <v>190</v>
      </c>
      <c r="DI812" s="319" t="s">
        <v>190</v>
      </c>
      <c r="DJ812" s="319" t="s">
        <v>190</v>
      </c>
      <c r="DK812" s="319" t="s">
        <v>190</v>
      </c>
      <c r="DL812" s="319" t="s">
        <v>190</v>
      </c>
      <c r="DM812" s="319" t="s">
        <v>190</v>
      </c>
      <c r="DN812" s="319" t="s">
        <v>428</v>
      </c>
      <c r="DO812" s="319" t="s">
        <v>190</v>
      </c>
      <c r="DP812" s="319" t="s">
        <v>190</v>
      </c>
      <c r="DQ812" s="319" t="s">
        <v>190</v>
      </c>
      <c r="DR812" s="319" t="s">
        <v>190</v>
      </c>
      <c r="DS812" s="319" t="s">
        <v>190</v>
      </c>
      <c r="DT812" s="319" t="s">
        <v>190</v>
      </c>
      <c r="DU812" s="319" t="s">
        <v>190</v>
      </c>
      <c r="DV812" s="319" t="s">
        <v>173</v>
      </c>
      <c r="DW812" s="319" t="s">
        <v>190</v>
      </c>
      <c r="DX812" s="319" t="s">
        <v>190</v>
      </c>
      <c r="DY812" s="319" t="s">
        <v>190</v>
      </c>
      <c r="DZ812" s="319" t="s">
        <v>190</v>
      </c>
      <c r="EA812" s="319" t="s">
        <v>190</v>
      </c>
      <c r="EB812" s="319" t="s">
        <v>190</v>
      </c>
      <c r="EC812" s="319" t="s">
        <v>428</v>
      </c>
      <c r="ED812" s="319" t="s">
        <v>190</v>
      </c>
      <c r="EE812" s="319" t="s">
        <v>190</v>
      </c>
      <c r="EF812" s="319" t="s">
        <v>190</v>
      </c>
      <c r="EG812" s="319" t="s">
        <v>190</v>
      </c>
      <c r="EH812" s="319" t="s">
        <v>190</v>
      </c>
      <c r="EI812" s="319" t="s">
        <v>190</v>
      </c>
      <c r="EJ812" s="319" t="s">
        <v>190</v>
      </c>
      <c r="EK812" s="319" t="s">
        <v>190</v>
      </c>
      <c r="EL812" s="319" t="s">
        <v>428</v>
      </c>
      <c r="EM812" s="319" t="s">
        <v>190</v>
      </c>
      <c r="EN812" s="319" t="s">
        <v>190</v>
      </c>
      <c r="EO812" s="319" t="s">
        <v>190</v>
      </c>
      <c r="EP812" s="319" t="s">
        <v>190</v>
      </c>
      <c r="EQ812" s="319" t="s">
        <v>190</v>
      </c>
      <c r="ER812" s="319" t="s">
        <v>190</v>
      </c>
      <c r="ES812" s="319" t="s">
        <v>190</v>
      </c>
      <c r="ET812" s="319" t="s">
        <v>190</v>
      </c>
      <c r="EU812" s="319" t="s">
        <v>190</v>
      </c>
      <c r="EV812" s="319" t="s">
        <v>190</v>
      </c>
      <c r="EW812" s="319" t="s">
        <v>190</v>
      </c>
      <c r="EX812" s="319" t="s">
        <v>190</v>
      </c>
      <c r="EY812" s="319" t="s">
        <v>190</v>
      </c>
      <c r="EZ812" s="319" t="s">
        <v>190</v>
      </c>
      <c r="FA812" s="319" t="s">
        <v>428</v>
      </c>
      <c r="FB812" s="319" t="s">
        <v>190</v>
      </c>
      <c r="FC812" s="319" t="s">
        <v>190</v>
      </c>
      <c r="FD812" s="319" t="s">
        <v>190</v>
      </c>
      <c r="FE812" s="319" t="s">
        <v>190</v>
      </c>
      <c r="FF812" s="319" t="s">
        <v>190</v>
      </c>
      <c r="FG812" s="319" t="s">
        <v>190</v>
      </c>
      <c r="FH812" s="319" t="s">
        <v>190</v>
      </c>
      <c r="FI812" s="319" t="s">
        <v>190</v>
      </c>
      <c r="FJ812" s="319" t="s">
        <v>190</v>
      </c>
      <c r="FK812" s="319" t="s">
        <v>190</v>
      </c>
      <c r="FL812" s="319" t="s">
        <v>190</v>
      </c>
      <c r="FM812" s="319" t="s">
        <v>190</v>
      </c>
      <c r="FN812" s="319" t="s">
        <v>190</v>
      </c>
      <c r="FO812" s="319" t="s">
        <v>190</v>
      </c>
      <c r="FP812" s="319" t="s">
        <v>190</v>
      </c>
      <c r="FQ812" s="319" t="s">
        <v>190</v>
      </c>
      <c r="FR812" s="319" t="s">
        <v>190</v>
      </c>
      <c r="FS812" s="319" t="s">
        <v>428</v>
      </c>
      <c r="FT812" s="319" t="s">
        <v>190</v>
      </c>
      <c r="FU812" s="319" t="s">
        <v>190</v>
      </c>
      <c r="FV812" s="319" t="s">
        <v>190</v>
      </c>
      <c r="FW812" s="319" t="s">
        <v>190</v>
      </c>
      <c r="FX812" s="319" t="s">
        <v>190</v>
      </c>
      <c r="FY812" s="319" t="s">
        <v>190</v>
      </c>
      <c r="FZ812" s="319" t="s">
        <v>190</v>
      </c>
      <c r="GA812" s="319" t="s">
        <v>190</v>
      </c>
      <c r="GB812" s="319" t="s">
        <v>190</v>
      </c>
      <c r="GC812" s="319" t="s">
        <v>190</v>
      </c>
      <c r="GD812" s="319" t="s">
        <v>190</v>
      </c>
      <c r="GE812" s="319" t="s">
        <v>190</v>
      </c>
      <c r="GF812" s="319" t="s">
        <v>190</v>
      </c>
      <c r="GG812" s="319" t="s">
        <v>190</v>
      </c>
      <c r="GH812" s="319" t="s">
        <v>190</v>
      </c>
      <c r="GI812" s="319" t="s">
        <v>190</v>
      </c>
      <c r="GJ812" s="319" t="s">
        <v>190</v>
      </c>
      <c r="GK812" s="319" t="s">
        <v>428</v>
      </c>
      <c r="GL812" s="319" t="s">
        <v>190</v>
      </c>
      <c r="GM812" s="319" t="s">
        <v>190</v>
      </c>
      <c r="GN812" s="319" t="s">
        <v>190</v>
      </c>
      <c r="GO812" s="319" t="s">
        <v>190</v>
      </c>
      <c r="GP812" s="319" t="s">
        <v>190</v>
      </c>
      <c r="GQ812" s="319" t="s">
        <v>428</v>
      </c>
      <c r="GR812" s="319" t="s">
        <v>190</v>
      </c>
      <c r="GS812" s="319" t="s">
        <v>190</v>
      </c>
      <c r="GT812" s="319" t="s">
        <v>190</v>
      </c>
      <c r="GU812" s="319" t="s">
        <v>190</v>
      </c>
      <c r="GV812" s="319" t="s">
        <v>190</v>
      </c>
      <c r="GW812" s="319" t="s">
        <v>190</v>
      </c>
      <c r="GX812" s="319" t="s">
        <v>190</v>
      </c>
      <c r="GY812" s="319" t="s">
        <v>190</v>
      </c>
      <c r="GZ812" s="319" t="s">
        <v>428</v>
      </c>
      <c r="HA812" s="319" t="s">
        <v>190</v>
      </c>
      <c r="HB812" s="319" t="s">
        <v>428</v>
      </c>
      <c r="HC812" s="319" t="s">
        <v>190</v>
      </c>
      <c r="HD812" s="319" t="s">
        <v>190</v>
      </c>
      <c r="HE812" s="319" t="s">
        <v>190</v>
      </c>
      <c r="HF812" s="319" t="s">
        <v>190</v>
      </c>
      <c r="HG812" s="319" t="s">
        <v>190</v>
      </c>
      <c r="HH812" s="319" t="s">
        <v>190</v>
      </c>
      <c r="HI812" s="319" t="s">
        <v>190</v>
      </c>
      <c r="HJ812" s="319" t="s">
        <v>190</v>
      </c>
      <c r="HK812" s="319" t="s">
        <v>190</v>
      </c>
      <c r="HL812" s="319" t="s">
        <v>190</v>
      </c>
      <c r="HM812" s="319" t="s">
        <v>190</v>
      </c>
      <c r="HN812" s="319" t="s">
        <v>190</v>
      </c>
      <c r="HO812" s="319" t="s">
        <v>190</v>
      </c>
      <c r="HP812" s="319" t="s">
        <v>190</v>
      </c>
      <c r="HQ812" s="319" t="s">
        <v>190</v>
      </c>
      <c r="HR812" s="319" t="s">
        <v>190</v>
      </c>
      <c r="HS812" s="319" t="s">
        <v>190</v>
      </c>
      <c r="HT812" s="319" t="s">
        <v>190</v>
      </c>
      <c r="HU812" s="319" t="s">
        <v>190</v>
      </c>
      <c r="HV812" s="319" t="s">
        <v>190</v>
      </c>
      <c r="HW812" s="319" t="s">
        <v>190</v>
      </c>
      <c r="HX812" s="319" t="s">
        <v>190</v>
      </c>
      <c r="HY812" s="319" t="s">
        <v>190</v>
      </c>
      <c r="HZ812" s="319" t="s">
        <v>190</v>
      </c>
      <c r="IA812" s="319" t="s">
        <v>190</v>
      </c>
      <c r="IB812" s="319" t="s">
        <v>190</v>
      </c>
      <c r="IC812" s="319" t="s">
        <v>190</v>
      </c>
      <c r="ID812" s="319" t="s">
        <v>190</v>
      </c>
      <c r="IE812" s="319" t="s">
        <v>190</v>
      </c>
      <c r="IF812" s="319" t="s">
        <v>190</v>
      </c>
      <c r="IG812" s="319" t="s">
        <v>190</v>
      </c>
      <c r="IH812" s="319" t="s">
        <v>190</v>
      </c>
      <c r="II812" s="319" t="s">
        <v>190</v>
      </c>
      <c r="IJ812" s="319">
        <v>10008633</v>
      </c>
      <c r="IK812" s="321">
        <v>42423</v>
      </c>
      <c r="IL812" s="321">
        <v>42424</v>
      </c>
      <c r="IM812" s="321">
        <v>42453</v>
      </c>
      <c r="IN812" s="319">
        <v>2</v>
      </c>
      <c r="IO812" s="319" t="s">
        <v>173</v>
      </c>
      <c r="IP812" s="319" t="s">
        <v>173</v>
      </c>
      <c r="IQ812" s="321" t="s">
        <v>173</v>
      </c>
      <c r="IR812" s="320" t="s">
        <v>173</v>
      </c>
      <c r="IS812" s="322" t="s">
        <v>173</v>
      </c>
      <c r="IT812" s="319" t="s">
        <v>173</v>
      </c>
    </row>
    <row r="813" spans="1:254" s="271" customFormat="1" x14ac:dyDescent="0.25">
      <c r="A813" s="318" t="str">
        <f>HYPERLINK("http://www.ofsted.gov.uk/inspection-reports/find-inspection-report/provider/ELS/142069 ","Ofsted School Webpage")</f>
        <v>Ofsted School Webpage</v>
      </c>
      <c r="B813" s="319">
        <v>142069</v>
      </c>
      <c r="C813" s="319">
        <v>8256044</v>
      </c>
      <c r="D813" s="319" t="s">
        <v>2313</v>
      </c>
      <c r="E813" s="319" t="s">
        <v>167</v>
      </c>
      <c r="F813" s="319" t="s">
        <v>81</v>
      </c>
      <c r="G813" s="319" t="s">
        <v>81</v>
      </c>
      <c r="H813" s="319" t="s">
        <v>81</v>
      </c>
      <c r="I813" s="319" t="s">
        <v>78</v>
      </c>
      <c r="J813" s="319" t="s">
        <v>424</v>
      </c>
      <c r="K813" s="319" t="s">
        <v>514</v>
      </c>
      <c r="L813" s="319" t="s">
        <v>514</v>
      </c>
      <c r="M813" s="319" t="s">
        <v>632</v>
      </c>
      <c r="N813" s="319" t="s">
        <v>3530</v>
      </c>
      <c r="O813" s="319" t="s">
        <v>2314</v>
      </c>
      <c r="P813" s="319">
        <v>61</v>
      </c>
      <c r="Q813" s="319" t="s">
        <v>2776</v>
      </c>
      <c r="R813" s="320">
        <v>10010521</v>
      </c>
      <c r="S813" s="321">
        <v>42696</v>
      </c>
      <c r="T813" s="321">
        <v>42698</v>
      </c>
      <c r="U813" s="321">
        <v>42751</v>
      </c>
      <c r="V813" s="319" t="s">
        <v>435</v>
      </c>
      <c r="W813" s="319" t="s">
        <v>2767</v>
      </c>
      <c r="X813" s="319">
        <v>2</v>
      </c>
      <c r="Y813" s="319" t="s">
        <v>173</v>
      </c>
      <c r="Z813" s="319" t="s">
        <v>173</v>
      </c>
      <c r="AA813" s="319" t="s">
        <v>173</v>
      </c>
      <c r="AB813" s="319">
        <v>2</v>
      </c>
      <c r="AC813" s="319" t="s">
        <v>169</v>
      </c>
      <c r="AD813" s="319" t="s">
        <v>173</v>
      </c>
      <c r="AE813" s="319" t="s">
        <v>173</v>
      </c>
      <c r="AF813" s="319" t="s">
        <v>173</v>
      </c>
      <c r="AG813" s="319" t="s">
        <v>171</v>
      </c>
      <c r="AH813" s="319" t="s">
        <v>190</v>
      </c>
      <c r="AI813" s="319" t="s">
        <v>190</v>
      </c>
      <c r="AJ813" s="319" t="s">
        <v>190</v>
      </c>
      <c r="AK813" s="319" t="s">
        <v>190</v>
      </c>
      <c r="AL813" s="319" t="s">
        <v>190</v>
      </c>
      <c r="AM813" s="319" t="s">
        <v>190</v>
      </c>
      <c r="AN813" s="319" t="s">
        <v>190</v>
      </c>
      <c r="AO813" s="319" t="s">
        <v>190</v>
      </c>
      <c r="AP813" s="319" t="s">
        <v>190</v>
      </c>
      <c r="AQ813" s="319" t="s">
        <v>190</v>
      </c>
      <c r="AR813" s="319" t="s">
        <v>190</v>
      </c>
      <c r="AS813" s="319" t="s">
        <v>190</v>
      </c>
      <c r="AT813" s="319" t="s">
        <v>190</v>
      </c>
      <c r="AU813" s="319" t="s">
        <v>190</v>
      </c>
      <c r="AV813" s="319" t="s">
        <v>190</v>
      </c>
      <c r="AW813" s="319" t="s">
        <v>190</v>
      </c>
      <c r="AX813" s="319" t="s">
        <v>429</v>
      </c>
      <c r="AY813" s="319" t="s">
        <v>190</v>
      </c>
      <c r="AZ813" s="319" t="s">
        <v>190</v>
      </c>
      <c r="BA813" s="319" t="s">
        <v>190</v>
      </c>
      <c r="BB813" s="319" t="s">
        <v>190</v>
      </c>
      <c r="BC813" s="319" t="s">
        <v>190</v>
      </c>
      <c r="BD813" s="319" t="s">
        <v>190</v>
      </c>
      <c r="BE813" s="319" t="s">
        <v>190</v>
      </c>
      <c r="BF813" s="319" t="s">
        <v>429</v>
      </c>
      <c r="BG813" s="319" t="s">
        <v>429</v>
      </c>
      <c r="BH813" s="319" t="s">
        <v>190</v>
      </c>
      <c r="BI813" s="319" t="s">
        <v>190</v>
      </c>
      <c r="BJ813" s="319" t="s">
        <v>190</v>
      </c>
      <c r="BK813" s="319" t="s">
        <v>190</v>
      </c>
      <c r="BL813" s="319" t="s">
        <v>190</v>
      </c>
      <c r="BM813" s="319" t="s">
        <v>190</v>
      </c>
      <c r="BN813" s="319" t="s">
        <v>190</v>
      </c>
      <c r="BO813" s="319" t="s">
        <v>190</v>
      </c>
      <c r="BP813" s="319" t="s">
        <v>190</v>
      </c>
      <c r="BQ813" s="319" t="s">
        <v>190</v>
      </c>
      <c r="BR813" s="319" t="s">
        <v>190</v>
      </c>
      <c r="BS813" s="319" t="s">
        <v>190</v>
      </c>
      <c r="BT813" s="319" t="s">
        <v>190</v>
      </c>
      <c r="BU813" s="319" t="s">
        <v>190</v>
      </c>
      <c r="BV813" s="319" t="s">
        <v>190</v>
      </c>
      <c r="BW813" s="319" t="s">
        <v>190</v>
      </c>
      <c r="BX813" s="319" t="s">
        <v>190</v>
      </c>
      <c r="BY813" s="319" t="s">
        <v>190</v>
      </c>
      <c r="BZ813" s="319" t="s">
        <v>190</v>
      </c>
      <c r="CA813" s="319" t="s">
        <v>190</v>
      </c>
      <c r="CB813" s="319" t="s">
        <v>190</v>
      </c>
      <c r="CC813" s="319" t="s">
        <v>190</v>
      </c>
      <c r="CD813" s="319" t="s">
        <v>190</v>
      </c>
      <c r="CE813" s="319" t="s">
        <v>190</v>
      </c>
      <c r="CF813" s="319" t="s">
        <v>190</v>
      </c>
      <c r="CG813" s="319" t="s">
        <v>190</v>
      </c>
      <c r="CH813" s="319" t="s">
        <v>190</v>
      </c>
      <c r="CI813" s="319" t="s">
        <v>190</v>
      </c>
      <c r="CJ813" s="319" t="s">
        <v>190</v>
      </c>
      <c r="CK813" s="319" t="s">
        <v>190</v>
      </c>
      <c r="CL813" s="319" t="s">
        <v>190</v>
      </c>
      <c r="CM813" s="319" t="s">
        <v>190</v>
      </c>
      <c r="CN813" s="319" t="s">
        <v>429</v>
      </c>
      <c r="CO813" s="319" t="s">
        <v>429</v>
      </c>
      <c r="CP813" s="319" t="s">
        <v>429</v>
      </c>
      <c r="CQ813" s="319" t="s">
        <v>190</v>
      </c>
      <c r="CR813" s="319" t="s">
        <v>190</v>
      </c>
      <c r="CS813" s="319" t="s">
        <v>190</v>
      </c>
      <c r="CT813" s="319" t="s">
        <v>190</v>
      </c>
      <c r="CU813" s="319" t="s">
        <v>190</v>
      </c>
      <c r="CV813" s="319" t="s">
        <v>190</v>
      </c>
      <c r="CW813" s="319" t="s">
        <v>190</v>
      </c>
      <c r="CX813" s="319" t="s">
        <v>190</v>
      </c>
      <c r="CY813" s="319" t="s">
        <v>190</v>
      </c>
      <c r="CZ813" s="319" t="s">
        <v>190</v>
      </c>
      <c r="DA813" s="319" t="s">
        <v>190</v>
      </c>
      <c r="DB813" s="319" t="s">
        <v>190</v>
      </c>
      <c r="DC813" s="319" t="s">
        <v>190</v>
      </c>
      <c r="DD813" s="319" t="s">
        <v>190</v>
      </c>
      <c r="DE813" s="319" t="s">
        <v>190</v>
      </c>
      <c r="DF813" s="319" t="s">
        <v>190</v>
      </c>
      <c r="DG813" s="319" t="s">
        <v>190</v>
      </c>
      <c r="DH813" s="319" t="s">
        <v>190</v>
      </c>
      <c r="DI813" s="319" t="s">
        <v>190</v>
      </c>
      <c r="DJ813" s="319" t="s">
        <v>190</v>
      </c>
      <c r="DK813" s="319" t="s">
        <v>190</v>
      </c>
      <c r="DL813" s="319" t="s">
        <v>190</v>
      </c>
      <c r="DM813" s="319" t="s">
        <v>190</v>
      </c>
      <c r="DN813" s="319" t="s">
        <v>429</v>
      </c>
      <c r="DO813" s="319" t="s">
        <v>190</v>
      </c>
      <c r="DP813" s="319" t="s">
        <v>190</v>
      </c>
      <c r="DQ813" s="319" t="s">
        <v>190</v>
      </c>
      <c r="DR813" s="319" t="s">
        <v>190</v>
      </c>
      <c r="DS813" s="319" t="s">
        <v>190</v>
      </c>
      <c r="DT813" s="319" t="s">
        <v>190</v>
      </c>
      <c r="DU813" s="319" t="s">
        <v>190</v>
      </c>
      <c r="DV813" s="319" t="s">
        <v>173</v>
      </c>
      <c r="DW813" s="319" t="s">
        <v>190</v>
      </c>
      <c r="DX813" s="319" t="s">
        <v>190</v>
      </c>
      <c r="DY813" s="319" t="s">
        <v>190</v>
      </c>
      <c r="DZ813" s="319" t="s">
        <v>190</v>
      </c>
      <c r="EA813" s="319" t="s">
        <v>190</v>
      </c>
      <c r="EB813" s="319" t="s">
        <v>190</v>
      </c>
      <c r="EC813" s="319" t="s">
        <v>429</v>
      </c>
      <c r="ED813" s="319" t="s">
        <v>190</v>
      </c>
      <c r="EE813" s="319" t="s">
        <v>190</v>
      </c>
      <c r="EF813" s="319" t="s">
        <v>190</v>
      </c>
      <c r="EG813" s="319" t="s">
        <v>190</v>
      </c>
      <c r="EH813" s="319" t="s">
        <v>190</v>
      </c>
      <c r="EI813" s="319" t="s">
        <v>190</v>
      </c>
      <c r="EJ813" s="319" t="s">
        <v>190</v>
      </c>
      <c r="EK813" s="319" t="s">
        <v>190</v>
      </c>
      <c r="EL813" s="319" t="s">
        <v>190</v>
      </c>
      <c r="EM813" s="319" t="s">
        <v>190</v>
      </c>
      <c r="EN813" s="319" t="s">
        <v>190</v>
      </c>
      <c r="EO813" s="319" t="s">
        <v>190</v>
      </c>
      <c r="EP813" s="319" t="s">
        <v>190</v>
      </c>
      <c r="EQ813" s="319" t="s">
        <v>190</v>
      </c>
      <c r="ER813" s="319" t="s">
        <v>190</v>
      </c>
      <c r="ES813" s="319" t="s">
        <v>190</v>
      </c>
      <c r="ET813" s="319" t="s">
        <v>190</v>
      </c>
      <c r="EU813" s="319" t="s">
        <v>190</v>
      </c>
      <c r="EV813" s="319" t="s">
        <v>190</v>
      </c>
      <c r="EW813" s="319" t="s">
        <v>190</v>
      </c>
      <c r="EX813" s="319" t="s">
        <v>190</v>
      </c>
      <c r="EY813" s="319" t="s">
        <v>190</v>
      </c>
      <c r="EZ813" s="319" t="s">
        <v>190</v>
      </c>
      <c r="FA813" s="319" t="s">
        <v>429</v>
      </c>
      <c r="FB813" s="319" t="s">
        <v>190</v>
      </c>
      <c r="FC813" s="319" t="s">
        <v>190</v>
      </c>
      <c r="FD813" s="319" t="s">
        <v>190</v>
      </c>
      <c r="FE813" s="319" t="s">
        <v>190</v>
      </c>
      <c r="FF813" s="319" t="s">
        <v>190</v>
      </c>
      <c r="FG813" s="319" t="s">
        <v>190</v>
      </c>
      <c r="FH813" s="319" t="s">
        <v>190</v>
      </c>
      <c r="FI813" s="319" t="s">
        <v>429</v>
      </c>
      <c r="FJ813" s="319" t="s">
        <v>429</v>
      </c>
      <c r="FK813" s="319" t="s">
        <v>429</v>
      </c>
      <c r="FL813" s="319" t="s">
        <v>190</v>
      </c>
      <c r="FM813" s="319" t="s">
        <v>190</v>
      </c>
      <c r="FN813" s="319" t="s">
        <v>190</v>
      </c>
      <c r="FO813" s="319" t="s">
        <v>190</v>
      </c>
      <c r="FP813" s="319" t="s">
        <v>190</v>
      </c>
      <c r="FQ813" s="319" t="s">
        <v>190</v>
      </c>
      <c r="FR813" s="319" t="s">
        <v>190</v>
      </c>
      <c r="FS813" s="319" t="s">
        <v>429</v>
      </c>
      <c r="FT813" s="319" t="s">
        <v>190</v>
      </c>
      <c r="FU813" s="319" t="s">
        <v>190</v>
      </c>
      <c r="FV813" s="319" t="s">
        <v>190</v>
      </c>
      <c r="FW813" s="319" t="s">
        <v>190</v>
      </c>
      <c r="FX813" s="319" t="s">
        <v>190</v>
      </c>
      <c r="FY813" s="319" t="s">
        <v>190</v>
      </c>
      <c r="FZ813" s="319" t="s">
        <v>190</v>
      </c>
      <c r="GA813" s="319" t="s">
        <v>190</v>
      </c>
      <c r="GB813" s="319" t="s">
        <v>190</v>
      </c>
      <c r="GC813" s="319" t="s">
        <v>190</v>
      </c>
      <c r="GD813" s="319" t="s">
        <v>190</v>
      </c>
      <c r="GE813" s="319" t="s">
        <v>190</v>
      </c>
      <c r="GF813" s="319" t="s">
        <v>190</v>
      </c>
      <c r="GG813" s="319" t="s">
        <v>190</v>
      </c>
      <c r="GH813" s="319" t="s">
        <v>190</v>
      </c>
      <c r="GI813" s="319" t="s">
        <v>190</v>
      </c>
      <c r="GJ813" s="319" t="s">
        <v>190</v>
      </c>
      <c r="GK813" s="319" t="s">
        <v>429</v>
      </c>
      <c r="GL813" s="319" t="s">
        <v>190</v>
      </c>
      <c r="GM813" s="319" t="s">
        <v>190</v>
      </c>
      <c r="GN813" s="319" t="s">
        <v>190</v>
      </c>
      <c r="GO813" s="319" t="s">
        <v>190</v>
      </c>
      <c r="GP813" s="319" t="s">
        <v>190</v>
      </c>
      <c r="GQ813" s="319" t="s">
        <v>429</v>
      </c>
      <c r="GR813" s="319" t="s">
        <v>190</v>
      </c>
      <c r="GS813" s="319" t="s">
        <v>190</v>
      </c>
      <c r="GT813" s="319" t="s">
        <v>429</v>
      </c>
      <c r="GU813" s="319" t="s">
        <v>429</v>
      </c>
      <c r="GV813" s="319" t="s">
        <v>190</v>
      </c>
      <c r="GW813" s="319" t="s">
        <v>190</v>
      </c>
      <c r="GX813" s="319" t="s">
        <v>190</v>
      </c>
      <c r="GY813" s="319" t="s">
        <v>190</v>
      </c>
      <c r="GZ813" s="319" t="s">
        <v>190</v>
      </c>
      <c r="HA813" s="319" t="s">
        <v>429</v>
      </c>
      <c r="HB813" s="319" t="s">
        <v>429</v>
      </c>
      <c r="HC813" s="319" t="s">
        <v>190</v>
      </c>
      <c r="HD813" s="319" t="s">
        <v>190</v>
      </c>
      <c r="HE813" s="319" t="s">
        <v>190</v>
      </c>
      <c r="HF813" s="319" t="s">
        <v>429</v>
      </c>
      <c r="HG813" s="319" t="s">
        <v>190</v>
      </c>
      <c r="HH813" s="319" t="s">
        <v>190</v>
      </c>
      <c r="HI813" s="319" t="s">
        <v>190</v>
      </c>
      <c r="HJ813" s="319" t="s">
        <v>190</v>
      </c>
      <c r="HK813" s="319" t="s">
        <v>429</v>
      </c>
      <c r="HL813" s="319" t="s">
        <v>190</v>
      </c>
      <c r="HM813" s="319" t="s">
        <v>429</v>
      </c>
      <c r="HN813" s="319" t="s">
        <v>429</v>
      </c>
      <c r="HO813" s="319" t="s">
        <v>429</v>
      </c>
      <c r="HP813" s="319" t="s">
        <v>190</v>
      </c>
      <c r="HQ813" s="319" t="s">
        <v>190</v>
      </c>
      <c r="HR813" s="319" t="s">
        <v>190</v>
      </c>
      <c r="HS813" s="319" t="s">
        <v>190</v>
      </c>
      <c r="HT813" s="319" t="s">
        <v>190</v>
      </c>
      <c r="HU813" s="319" t="s">
        <v>190</v>
      </c>
      <c r="HV813" s="319" t="s">
        <v>190</v>
      </c>
      <c r="HW813" s="319" t="s">
        <v>190</v>
      </c>
      <c r="HX813" s="319" t="s">
        <v>190</v>
      </c>
      <c r="HY813" s="319" t="s">
        <v>190</v>
      </c>
      <c r="HZ813" s="319" t="s">
        <v>190</v>
      </c>
      <c r="IA813" s="319" t="s">
        <v>190</v>
      </c>
      <c r="IB813" s="319" t="s">
        <v>190</v>
      </c>
      <c r="IC813" s="319" t="s">
        <v>190</v>
      </c>
      <c r="ID813" s="319" t="s">
        <v>190</v>
      </c>
      <c r="IE813" s="319" t="s">
        <v>190</v>
      </c>
      <c r="IF813" s="319" t="s">
        <v>190</v>
      </c>
      <c r="IG813" s="319" t="s">
        <v>190</v>
      </c>
      <c r="IH813" s="319" t="s">
        <v>190</v>
      </c>
      <c r="II813" s="319" t="s">
        <v>190</v>
      </c>
      <c r="IJ813" s="319" t="s">
        <v>173</v>
      </c>
      <c r="IK813" s="319" t="s">
        <v>173</v>
      </c>
      <c r="IL813" s="319" t="s">
        <v>173</v>
      </c>
      <c r="IM813" s="319" t="s">
        <v>173</v>
      </c>
      <c r="IN813" s="319" t="s">
        <v>173</v>
      </c>
      <c r="IO813" s="319" t="s">
        <v>173</v>
      </c>
      <c r="IP813" s="319" t="s">
        <v>173</v>
      </c>
      <c r="IQ813" s="321" t="s">
        <v>173</v>
      </c>
      <c r="IR813" s="320" t="s">
        <v>173</v>
      </c>
      <c r="IS813" s="322" t="s">
        <v>173</v>
      </c>
      <c r="IT813" s="319" t="s">
        <v>173</v>
      </c>
    </row>
    <row r="814" spans="1:254" s="271" customFormat="1" x14ac:dyDescent="0.25">
      <c r="A814" s="318" t="str">
        <f>HYPERLINK("http://www.ofsted.gov.uk/inspection-reports/find-inspection-report/provider/ELS/142115 ","Ofsted School Webpage")</f>
        <v>Ofsted School Webpage</v>
      </c>
      <c r="B814" s="319">
        <v>142115</v>
      </c>
      <c r="C814" s="319">
        <v>3306018</v>
      </c>
      <c r="D814" s="319" t="s">
        <v>2315</v>
      </c>
      <c r="E814" s="319" t="s">
        <v>167</v>
      </c>
      <c r="F814" s="319" t="s">
        <v>81</v>
      </c>
      <c r="G814" s="319" t="s">
        <v>81</v>
      </c>
      <c r="H814" s="319" t="s">
        <v>81</v>
      </c>
      <c r="I814" s="319" t="s">
        <v>78</v>
      </c>
      <c r="J814" s="319" t="s">
        <v>424</v>
      </c>
      <c r="K814" s="319" t="s">
        <v>437</v>
      </c>
      <c r="L814" s="319" t="s">
        <v>437</v>
      </c>
      <c r="M814" s="319" t="s">
        <v>813</v>
      </c>
      <c r="N814" s="319" t="s">
        <v>3247</v>
      </c>
      <c r="O814" s="319" t="s">
        <v>2316</v>
      </c>
      <c r="P814" s="319">
        <v>15</v>
      </c>
      <c r="Q814" s="319" t="s">
        <v>2766</v>
      </c>
      <c r="R814" s="320">
        <v>10012881</v>
      </c>
      <c r="S814" s="321">
        <v>42906</v>
      </c>
      <c r="T814" s="321">
        <v>42908</v>
      </c>
      <c r="U814" s="321">
        <v>42937</v>
      </c>
      <c r="V814" s="319" t="s">
        <v>435</v>
      </c>
      <c r="W814" s="319" t="s">
        <v>2767</v>
      </c>
      <c r="X814" s="319">
        <v>2</v>
      </c>
      <c r="Y814" s="319" t="s">
        <v>173</v>
      </c>
      <c r="Z814" s="319" t="s">
        <v>173</v>
      </c>
      <c r="AA814" s="319" t="s">
        <v>173</v>
      </c>
      <c r="AB814" s="319">
        <v>2</v>
      </c>
      <c r="AC814" s="319" t="s">
        <v>169</v>
      </c>
      <c r="AD814" s="319" t="s">
        <v>173</v>
      </c>
      <c r="AE814" s="319" t="s">
        <v>173</v>
      </c>
      <c r="AF814" s="319" t="s">
        <v>173</v>
      </c>
      <c r="AG814" s="319" t="s">
        <v>171</v>
      </c>
      <c r="AH814" s="319" t="s">
        <v>190</v>
      </c>
      <c r="AI814" s="319" t="s">
        <v>190</v>
      </c>
      <c r="AJ814" s="319" t="s">
        <v>190</v>
      </c>
      <c r="AK814" s="319" t="s">
        <v>190</v>
      </c>
      <c r="AL814" s="319" t="s">
        <v>190</v>
      </c>
      <c r="AM814" s="319" t="s">
        <v>190</v>
      </c>
      <c r="AN814" s="319" t="s">
        <v>190</v>
      </c>
      <c r="AO814" s="319" t="s">
        <v>190</v>
      </c>
      <c r="AP814" s="319" t="s">
        <v>190</v>
      </c>
      <c r="AQ814" s="319" t="s">
        <v>190</v>
      </c>
      <c r="AR814" s="319" t="s">
        <v>190</v>
      </c>
      <c r="AS814" s="319" t="s">
        <v>190</v>
      </c>
      <c r="AT814" s="319" t="s">
        <v>190</v>
      </c>
      <c r="AU814" s="319" t="s">
        <v>190</v>
      </c>
      <c r="AV814" s="319" t="s">
        <v>190</v>
      </c>
      <c r="AW814" s="319" t="s">
        <v>190</v>
      </c>
      <c r="AX814" s="319" t="s">
        <v>429</v>
      </c>
      <c r="AY814" s="319" t="s">
        <v>190</v>
      </c>
      <c r="AZ814" s="319" t="s">
        <v>190</v>
      </c>
      <c r="BA814" s="319" t="s">
        <v>190</v>
      </c>
      <c r="BB814" s="319" t="s">
        <v>190</v>
      </c>
      <c r="BC814" s="319" t="s">
        <v>190</v>
      </c>
      <c r="BD814" s="319" t="s">
        <v>190</v>
      </c>
      <c r="BE814" s="319" t="s">
        <v>190</v>
      </c>
      <c r="BF814" s="319" t="s">
        <v>429</v>
      </c>
      <c r="BG814" s="319" t="s">
        <v>429</v>
      </c>
      <c r="BH814" s="319" t="s">
        <v>190</v>
      </c>
      <c r="BI814" s="319" t="s">
        <v>190</v>
      </c>
      <c r="BJ814" s="319" t="s">
        <v>190</v>
      </c>
      <c r="BK814" s="319" t="s">
        <v>190</v>
      </c>
      <c r="BL814" s="319" t="s">
        <v>190</v>
      </c>
      <c r="BM814" s="319" t="s">
        <v>190</v>
      </c>
      <c r="BN814" s="319" t="s">
        <v>190</v>
      </c>
      <c r="BO814" s="319" t="s">
        <v>190</v>
      </c>
      <c r="BP814" s="319" t="s">
        <v>190</v>
      </c>
      <c r="BQ814" s="319" t="s">
        <v>190</v>
      </c>
      <c r="BR814" s="319" t="s">
        <v>190</v>
      </c>
      <c r="BS814" s="319" t="s">
        <v>190</v>
      </c>
      <c r="BT814" s="319" t="s">
        <v>190</v>
      </c>
      <c r="BU814" s="319" t="s">
        <v>190</v>
      </c>
      <c r="BV814" s="319" t="s">
        <v>190</v>
      </c>
      <c r="BW814" s="319" t="s">
        <v>190</v>
      </c>
      <c r="BX814" s="319" t="s">
        <v>190</v>
      </c>
      <c r="BY814" s="319" t="s">
        <v>190</v>
      </c>
      <c r="BZ814" s="319" t="s">
        <v>190</v>
      </c>
      <c r="CA814" s="319" t="s">
        <v>190</v>
      </c>
      <c r="CB814" s="319" t="s">
        <v>190</v>
      </c>
      <c r="CC814" s="319" t="s">
        <v>190</v>
      </c>
      <c r="CD814" s="319" t="s">
        <v>190</v>
      </c>
      <c r="CE814" s="319" t="s">
        <v>190</v>
      </c>
      <c r="CF814" s="319" t="s">
        <v>190</v>
      </c>
      <c r="CG814" s="319" t="s">
        <v>190</v>
      </c>
      <c r="CH814" s="319" t="s">
        <v>190</v>
      </c>
      <c r="CI814" s="319" t="s">
        <v>190</v>
      </c>
      <c r="CJ814" s="319" t="s">
        <v>190</v>
      </c>
      <c r="CK814" s="319" t="s">
        <v>190</v>
      </c>
      <c r="CL814" s="319" t="s">
        <v>190</v>
      </c>
      <c r="CM814" s="319" t="s">
        <v>190</v>
      </c>
      <c r="CN814" s="319" t="s">
        <v>190</v>
      </c>
      <c r="CO814" s="319" t="s">
        <v>429</v>
      </c>
      <c r="CP814" s="319" t="s">
        <v>429</v>
      </c>
      <c r="CQ814" s="319" t="s">
        <v>190</v>
      </c>
      <c r="CR814" s="319" t="s">
        <v>190</v>
      </c>
      <c r="CS814" s="319" t="s">
        <v>190</v>
      </c>
      <c r="CT814" s="319" t="s">
        <v>190</v>
      </c>
      <c r="CU814" s="319" t="s">
        <v>190</v>
      </c>
      <c r="CV814" s="319" t="s">
        <v>190</v>
      </c>
      <c r="CW814" s="319" t="s">
        <v>190</v>
      </c>
      <c r="CX814" s="319" t="s">
        <v>190</v>
      </c>
      <c r="CY814" s="319" t="s">
        <v>190</v>
      </c>
      <c r="CZ814" s="319" t="s">
        <v>190</v>
      </c>
      <c r="DA814" s="319" t="s">
        <v>190</v>
      </c>
      <c r="DB814" s="319" t="s">
        <v>190</v>
      </c>
      <c r="DC814" s="319" t="s">
        <v>190</v>
      </c>
      <c r="DD814" s="319" t="s">
        <v>190</v>
      </c>
      <c r="DE814" s="319" t="s">
        <v>190</v>
      </c>
      <c r="DF814" s="319" t="s">
        <v>190</v>
      </c>
      <c r="DG814" s="319" t="s">
        <v>190</v>
      </c>
      <c r="DH814" s="319" t="s">
        <v>190</v>
      </c>
      <c r="DI814" s="319" t="s">
        <v>190</v>
      </c>
      <c r="DJ814" s="319" t="s">
        <v>190</v>
      </c>
      <c r="DK814" s="319" t="s">
        <v>190</v>
      </c>
      <c r="DL814" s="319" t="s">
        <v>190</v>
      </c>
      <c r="DM814" s="319" t="s">
        <v>429</v>
      </c>
      <c r="DN814" s="319" t="s">
        <v>429</v>
      </c>
      <c r="DO814" s="319" t="s">
        <v>190</v>
      </c>
      <c r="DP814" s="319" t="s">
        <v>190</v>
      </c>
      <c r="DQ814" s="319" t="s">
        <v>190</v>
      </c>
      <c r="DR814" s="319" t="s">
        <v>190</v>
      </c>
      <c r="DS814" s="319" t="s">
        <v>190</v>
      </c>
      <c r="DT814" s="319" t="s">
        <v>190</v>
      </c>
      <c r="DU814" s="319" t="s">
        <v>190</v>
      </c>
      <c r="DV814" s="319" t="s">
        <v>173</v>
      </c>
      <c r="DW814" s="319" t="s">
        <v>190</v>
      </c>
      <c r="DX814" s="319" t="s">
        <v>190</v>
      </c>
      <c r="DY814" s="319" t="s">
        <v>190</v>
      </c>
      <c r="DZ814" s="319" t="s">
        <v>190</v>
      </c>
      <c r="EA814" s="319" t="s">
        <v>190</v>
      </c>
      <c r="EB814" s="319" t="s">
        <v>190</v>
      </c>
      <c r="EC814" s="319" t="s">
        <v>429</v>
      </c>
      <c r="ED814" s="319" t="s">
        <v>190</v>
      </c>
      <c r="EE814" s="319" t="s">
        <v>190</v>
      </c>
      <c r="EF814" s="319" t="s">
        <v>190</v>
      </c>
      <c r="EG814" s="319" t="s">
        <v>190</v>
      </c>
      <c r="EH814" s="319" t="s">
        <v>190</v>
      </c>
      <c r="EI814" s="319" t="s">
        <v>190</v>
      </c>
      <c r="EJ814" s="319" t="s">
        <v>190</v>
      </c>
      <c r="EK814" s="319" t="s">
        <v>190</v>
      </c>
      <c r="EL814" s="319" t="s">
        <v>190</v>
      </c>
      <c r="EM814" s="319" t="s">
        <v>190</v>
      </c>
      <c r="EN814" s="319" t="s">
        <v>190</v>
      </c>
      <c r="EO814" s="319" t="s">
        <v>190</v>
      </c>
      <c r="EP814" s="319" t="s">
        <v>190</v>
      </c>
      <c r="EQ814" s="319" t="s">
        <v>190</v>
      </c>
      <c r="ER814" s="319" t="s">
        <v>190</v>
      </c>
      <c r="ES814" s="319" t="s">
        <v>190</v>
      </c>
      <c r="ET814" s="319" t="s">
        <v>190</v>
      </c>
      <c r="EU814" s="319" t="s">
        <v>190</v>
      </c>
      <c r="EV814" s="319" t="s">
        <v>190</v>
      </c>
      <c r="EW814" s="319" t="s">
        <v>190</v>
      </c>
      <c r="EX814" s="319" t="s">
        <v>190</v>
      </c>
      <c r="EY814" s="319" t="s">
        <v>190</v>
      </c>
      <c r="EZ814" s="319" t="s">
        <v>190</v>
      </c>
      <c r="FA814" s="319" t="s">
        <v>190</v>
      </c>
      <c r="FB814" s="319" t="s">
        <v>190</v>
      </c>
      <c r="FC814" s="319" t="s">
        <v>190</v>
      </c>
      <c r="FD814" s="319" t="s">
        <v>190</v>
      </c>
      <c r="FE814" s="319" t="s">
        <v>190</v>
      </c>
      <c r="FF814" s="319" t="s">
        <v>190</v>
      </c>
      <c r="FG814" s="319" t="s">
        <v>190</v>
      </c>
      <c r="FH814" s="319" t="s">
        <v>190</v>
      </c>
      <c r="FI814" s="319" t="s">
        <v>190</v>
      </c>
      <c r="FJ814" s="319" t="s">
        <v>190</v>
      </c>
      <c r="FK814" s="319" t="s">
        <v>190</v>
      </c>
      <c r="FL814" s="319" t="s">
        <v>190</v>
      </c>
      <c r="FM814" s="319" t="s">
        <v>190</v>
      </c>
      <c r="FN814" s="319" t="s">
        <v>190</v>
      </c>
      <c r="FO814" s="319" t="s">
        <v>429</v>
      </c>
      <c r="FP814" s="319" t="s">
        <v>190</v>
      </c>
      <c r="FQ814" s="319" t="s">
        <v>190</v>
      </c>
      <c r="FR814" s="319" t="s">
        <v>190</v>
      </c>
      <c r="FS814" s="319" t="s">
        <v>429</v>
      </c>
      <c r="FT814" s="319" t="s">
        <v>190</v>
      </c>
      <c r="FU814" s="319" t="s">
        <v>429</v>
      </c>
      <c r="FV814" s="319" t="s">
        <v>190</v>
      </c>
      <c r="FW814" s="319" t="s">
        <v>190</v>
      </c>
      <c r="FX814" s="319" t="s">
        <v>190</v>
      </c>
      <c r="FY814" s="319" t="s">
        <v>429</v>
      </c>
      <c r="FZ814" s="319" t="s">
        <v>190</v>
      </c>
      <c r="GA814" s="319" t="s">
        <v>190</v>
      </c>
      <c r="GB814" s="319" t="s">
        <v>190</v>
      </c>
      <c r="GC814" s="319" t="s">
        <v>190</v>
      </c>
      <c r="GD814" s="319" t="s">
        <v>190</v>
      </c>
      <c r="GE814" s="319" t="s">
        <v>190</v>
      </c>
      <c r="GF814" s="319" t="s">
        <v>190</v>
      </c>
      <c r="GG814" s="319" t="s">
        <v>190</v>
      </c>
      <c r="GH814" s="319" t="s">
        <v>190</v>
      </c>
      <c r="GI814" s="319" t="s">
        <v>190</v>
      </c>
      <c r="GJ814" s="319" t="s">
        <v>190</v>
      </c>
      <c r="GK814" s="319" t="s">
        <v>429</v>
      </c>
      <c r="GL814" s="319" t="s">
        <v>190</v>
      </c>
      <c r="GM814" s="319" t="s">
        <v>190</v>
      </c>
      <c r="GN814" s="319" t="s">
        <v>190</v>
      </c>
      <c r="GO814" s="319" t="s">
        <v>190</v>
      </c>
      <c r="GP814" s="319" t="s">
        <v>190</v>
      </c>
      <c r="GQ814" s="319" t="s">
        <v>190</v>
      </c>
      <c r="GR814" s="319" t="s">
        <v>190</v>
      </c>
      <c r="GS814" s="319" t="s">
        <v>190</v>
      </c>
      <c r="GT814" s="319" t="s">
        <v>190</v>
      </c>
      <c r="GU814" s="319" t="s">
        <v>190</v>
      </c>
      <c r="GV814" s="319" t="s">
        <v>190</v>
      </c>
      <c r="GW814" s="319" t="s">
        <v>190</v>
      </c>
      <c r="GX814" s="319" t="s">
        <v>190</v>
      </c>
      <c r="GY814" s="319" t="s">
        <v>190</v>
      </c>
      <c r="GZ814" s="319" t="s">
        <v>190</v>
      </c>
      <c r="HA814" s="319" t="s">
        <v>190</v>
      </c>
      <c r="HB814" s="319" t="s">
        <v>190</v>
      </c>
      <c r="HC814" s="319" t="s">
        <v>190</v>
      </c>
      <c r="HD814" s="319" t="s">
        <v>190</v>
      </c>
      <c r="HE814" s="319" t="s">
        <v>190</v>
      </c>
      <c r="HF814" s="319" t="s">
        <v>190</v>
      </c>
      <c r="HG814" s="319" t="s">
        <v>190</v>
      </c>
      <c r="HH814" s="319" t="s">
        <v>190</v>
      </c>
      <c r="HI814" s="319" t="s">
        <v>190</v>
      </c>
      <c r="HJ814" s="319" t="s">
        <v>190</v>
      </c>
      <c r="HK814" s="319" t="s">
        <v>190</v>
      </c>
      <c r="HL814" s="319" t="s">
        <v>190</v>
      </c>
      <c r="HM814" s="319" t="s">
        <v>190</v>
      </c>
      <c r="HN814" s="319" t="s">
        <v>190</v>
      </c>
      <c r="HO814" s="319" t="s">
        <v>190</v>
      </c>
      <c r="HP814" s="319" t="s">
        <v>190</v>
      </c>
      <c r="HQ814" s="319" t="s">
        <v>190</v>
      </c>
      <c r="HR814" s="319" t="s">
        <v>190</v>
      </c>
      <c r="HS814" s="319" t="s">
        <v>190</v>
      </c>
      <c r="HT814" s="319" t="s">
        <v>190</v>
      </c>
      <c r="HU814" s="319" t="s">
        <v>190</v>
      </c>
      <c r="HV814" s="319" t="s">
        <v>190</v>
      </c>
      <c r="HW814" s="319" t="s">
        <v>190</v>
      </c>
      <c r="HX814" s="319" t="s">
        <v>190</v>
      </c>
      <c r="HY814" s="319" t="s">
        <v>190</v>
      </c>
      <c r="HZ814" s="319" t="s">
        <v>190</v>
      </c>
      <c r="IA814" s="319" t="s">
        <v>190</v>
      </c>
      <c r="IB814" s="319" t="s">
        <v>190</v>
      </c>
      <c r="IC814" s="319" t="s">
        <v>190</v>
      </c>
      <c r="ID814" s="319" t="s">
        <v>190</v>
      </c>
      <c r="IE814" s="319" t="s">
        <v>190</v>
      </c>
      <c r="IF814" s="319" t="s">
        <v>190</v>
      </c>
      <c r="IG814" s="319" t="s">
        <v>190</v>
      </c>
      <c r="IH814" s="319" t="s">
        <v>190</v>
      </c>
      <c r="II814" s="319" t="s">
        <v>190</v>
      </c>
      <c r="IJ814" s="319" t="s">
        <v>173</v>
      </c>
      <c r="IK814" s="319" t="s">
        <v>173</v>
      </c>
      <c r="IL814" s="319" t="s">
        <v>173</v>
      </c>
      <c r="IM814" s="319" t="s">
        <v>173</v>
      </c>
      <c r="IN814" s="319" t="s">
        <v>173</v>
      </c>
      <c r="IO814" s="319" t="s">
        <v>173</v>
      </c>
      <c r="IP814" s="319" t="s">
        <v>173</v>
      </c>
      <c r="IQ814" s="319" t="s">
        <v>173</v>
      </c>
      <c r="IR814" s="320" t="s">
        <v>173</v>
      </c>
      <c r="IS814" s="320" t="s">
        <v>173</v>
      </c>
      <c r="IT814" s="319" t="s">
        <v>173</v>
      </c>
    </row>
    <row r="815" spans="1:254" s="271" customFormat="1" x14ac:dyDescent="0.25">
      <c r="A815" s="318" t="str">
        <f>HYPERLINK("http://www.ofsted.gov.uk/inspection-reports/find-inspection-report/provider/ELS/142224 ","Ofsted School Webpage")</f>
        <v>Ofsted School Webpage</v>
      </c>
      <c r="B815" s="319">
        <v>142224</v>
      </c>
      <c r="C815" s="319">
        <v>3526011</v>
      </c>
      <c r="D815" s="319" t="s">
        <v>2317</v>
      </c>
      <c r="E815" s="319" t="s">
        <v>167</v>
      </c>
      <c r="F815" s="319" t="s">
        <v>81</v>
      </c>
      <c r="G815" s="319" t="s">
        <v>81</v>
      </c>
      <c r="H815" s="319" t="s">
        <v>81</v>
      </c>
      <c r="I815" s="319" t="s">
        <v>78</v>
      </c>
      <c r="J815" s="319" t="s">
        <v>424</v>
      </c>
      <c r="K815" s="319" t="s">
        <v>431</v>
      </c>
      <c r="L815" s="319" t="s">
        <v>431</v>
      </c>
      <c r="M815" s="319" t="s">
        <v>660</v>
      </c>
      <c r="N815" s="319" t="s">
        <v>3522</v>
      </c>
      <c r="O815" s="319" t="s">
        <v>2318</v>
      </c>
      <c r="P815" s="319">
        <v>26</v>
      </c>
      <c r="Q815" s="319" t="s">
        <v>2766</v>
      </c>
      <c r="R815" s="320">
        <v>10048619</v>
      </c>
      <c r="S815" s="321">
        <v>43256</v>
      </c>
      <c r="T815" s="321">
        <v>43258</v>
      </c>
      <c r="U815" s="321">
        <v>43287</v>
      </c>
      <c r="V815" s="319" t="s">
        <v>425</v>
      </c>
      <c r="W815" s="319" t="s">
        <v>2767</v>
      </c>
      <c r="X815" s="319">
        <v>3</v>
      </c>
      <c r="Y815" s="319" t="s">
        <v>173</v>
      </c>
      <c r="Z815" s="319" t="s">
        <v>173</v>
      </c>
      <c r="AA815" s="319" t="s">
        <v>173</v>
      </c>
      <c r="AB815" s="319">
        <v>2</v>
      </c>
      <c r="AC815" s="319" t="s">
        <v>169</v>
      </c>
      <c r="AD815" s="319" t="s">
        <v>173</v>
      </c>
      <c r="AE815" s="319" t="s">
        <v>173</v>
      </c>
      <c r="AF815" s="319" t="s">
        <v>427</v>
      </c>
      <c r="AG815" s="319" t="s">
        <v>171</v>
      </c>
      <c r="AH815" s="319" t="s">
        <v>190</v>
      </c>
      <c r="AI815" s="319" t="s">
        <v>190</v>
      </c>
      <c r="AJ815" s="319" t="s">
        <v>190</v>
      </c>
      <c r="AK815" s="319" t="s">
        <v>190</v>
      </c>
      <c r="AL815" s="319" t="s">
        <v>190</v>
      </c>
      <c r="AM815" s="319" t="s">
        <v>190</v>
      </c>
      <c r="AN815" s="319" t="s">
        <v>190</v>
      </c>
      <c r="AO815" s="319" t="s">
        <v>190</v>
      </c>
      <c r="AP815" s="319" t="s">
        <v>190</v>
      </c>
      <c r="AQ815" s="319" t="s">
        <v>190</v>
      </c>
      <c r="AR815" s="319" t="s">
        <v>190</v>
      </c>
      <c r="AS815" s="319" t="s">
        <v>190</v>
      </c>
      <c r="AT815" s="319" t="s">
        <v>190</v>
      </c>
      <c r="AU815" s="319" t="s">
        <v>190</v>
      </c>
      <c r="AV815" s="319" t="s">
        <v>190</v>
      </c>
      <c r="AW815" s="319" t="s">
        <v>190</v>
      </c>
      <c r="AX815" s="319" t="s">
        <v>428</v>
      </c>
      <c r="AY815" s="319" t="s">
        <v>190</v>
      </c>
      <c r="AZ815" s="319" t="s">
        <v>190</v>
      </c>
      <c r="BA815" s="319" t="s">
        <v>190</v>
      </c>
      <c r="BB815" s="319" t="s">
        <v>190</v>
      </c>
      <c r="BC815" s="319" t="s">
        <v>190</v>
      </c>
      <c r="BD815" s="319" t="s">
        <v>190</v>
      </c>
      <c r="BE815" s="319" t="s">
        <v>190</v>
      </c>
      <c r="BF815" s="319" t="s">
        <v>428</v>
      </c>
      <c r="BG815" s="319" t="s">
        <v>428</v>
      </c>
      <c r="BH815" s="319" t="s">
        <v>190</v>
      </c>
      <c r="BI815" s="319" t="s">
        <v>190</v>
      </c>
      <c r="BJ815" s="319" t="s">
        <v>190</v>
      </c>
      <c r="BK815" s="319" t="s">
        <v>190</v>
      </c>
      <c r="BL815" s="319" t="s">
        <v>190</v>
      </c>
      <c r="BM815" s="319" t="s">
        <v>190</v>
      </c>
      <c r="BN815" s="319" t="s">
        <v>190</v>
      </c>
      <c r="BO815" s="319" t="s">
        <v>190</v>
      </c>
      <c r="BP815" s="319" t="s">
        <v>190</v>
      </c>
      <c r="BQ815" s="319" t="s">
        <v>190</v>
      </c>
      <c r="BR815" s="319" t="s">
        <v>190</v>
      </c>
      <c r="BS815" s="319" t="s">
        <v>190</v>
      </c>
      <c r="BT815" s="319" t="s">
        <v>190</v>
      </c>
      <c r="BU815" s="319" t="s">
        <v>190</v>
      </c>
      <c r="BV815" s="319" t="s">
        <v>190</v>
      </c>
      <c r="BW815" s="319" t="s">
        <v>190</v>
      </c>
      <c r="BX815" s="319" t="s">
        <v>190</v>
      </c>
      <c r="BY815" s="319" t="s">
        <v>190</v>
      </c>
      <c r="BZ815" s="319" t="s">
        <v>190</v>
      </c>
      <c r="CA815" s="319" t="s">
        <v>190</v>
      </c>
      <c r="CB815" s="319" t="s">
        <v>190</v>
      </c>
      <c r="CC815" s="319" t="s">
        <v>190</v>
      </c>
      <c r="CD815" s="319" t="s">
        <v>190</v>
      </c>
      <c r="CE815" s="319" t="s">
        <v>190</v>
      </c>
      <c r="CF815" s="319" t="s">
        <v>190</v>
      </c>
      <c r="CG815" s="319" t="s">
        <v>190</v>
      </c>
      <c r="CH815" s="319" t="s">
        <v>190</v>
      </c>
      <c r="CI815" s="319" t="s">
        <v>190</v>
      </c>
      <c r="CJ815" s="319" t="s">
        <v>190</v>
      </c>
      <c r="CK815" s="319" t="s">
        <v>190</v>
      </c>
      <c r="CL815" s="319" t="s">
        <v>190</v>
      </c>
      <c r="CM815" s="319" t="s">
        <v>190</v>
      </c>
      <c r="CN815" s="319" t="s">
        <v>428</v>
      </c>
      <c r="CO815" s="319" t="s">
        <v>428</v>
      </c>
      <c r="CP815" s="319" t="s">
        <v>428</v>
      </c>
      <c r="CQ815" s="319" t="s">
        <v>190</v>
      </c>
      <c r="CR815" s="319" t="s">
        <v>190</v>
      </c>
      <c r="CS815" s="319" t="s">
        <v>190</v>
      </c>
      <c r="CT815" s="319" t="s">
        <v>190</v>
      </c>
      <c r="CU815" s="319" t="s">
        <v>190</v>
      </c>
      <c r="CV815" s="319" t="s">
        <v>190</v>
      </c>
      <c r="CW815" s="319" t="s">
        <v>190</v>
      </c>
      <c r="CX815" s="319" t="s">
        <v>190</v>
      </c>
      <c r="CY815" s="319" t="s">
        <v>190</v>
      </c>
      <c r="CZ815" s="319" t="s">
        <v>190</v>
      </c>
      <c r="DA815" s="319" t="s">
        <v>190</v>
      </c>
      <c r="DB815" s="319" t="s">
        <v>190</v>
      </c>
      <c r="DC815" s="319" t="s">
        <v>190</v>
      </c>
      <c r="DD815" s="319" t="s">
        <v>190</v>
      </c>
      <c r="DE815" s="319" t="s">
        <v>190</v>
      </c>
      <c r="DF815" s="319" t="s">
        <v>190</v>
      </c>
      <c r="DG815" s="319" t="s">
        <v>190</v>
      </c>
      <c r="DH815" s="319" t="s">
        <v>190</v>
      </c>
      <c r="DI815" s="319" t="s">
        <v>190</v>
      </c>
      <c r="DJ815" s="319" t="s">
        <v>190</v>
      </c>
      <c r="DK815" s="319" t="s">
        <v>190</v>
      </c>
      <c r="DL815" s="319" t="s">
        <v>190</v>
      </c>
      <c r="DM815" s="319" t="s">
        <v>428</v>
      </c>
      <c r="DN815" s="319" t="s">
        <v>428</v>
      </c>
      <c r="DO815" s="319" t="s">
        <v>190</v>
      </c>
      <c r="DP815" s="319" t="s">
        <v>190</v>
      </c>
      <c r="DQ815" s="319" t="s">
        <v>190</v>
      </c>
      <c r="DR815" s="319" t="s">
        <v>190</v>
      </c>
      <c r="DS815" s="319" t="s">
        <v>190</v>
      </c>
      <c r="DT815" s="319" t="s">
        <v>190</v>
      </c>
      <c r="DU815" s="319" t="s">
        <v>190</v>
      </c>
      <c r="DV815" s="319" t="s">
        <v>173</v>
      </c>
      <c r="DW815" s="319" t="s">
        <v>190</v>
      </c>
      <c r="DX815" s="319" t="s">
        <v>190</v>
      </c>
      <c r="DY815" s="319" t="s">
        <v>190</v>
      </c>
      <c r="DZ815" s="319" t="s">
        <v>190</v>
      </c>
      <c r="EA815" s="319" t="s">
        <v>190</v>
      </c>
      <c r="EB815" s="319" t="s">
        <v>190</v>
      </c>
      <c r="EC815" s="319" t="s">
        <v>428</v>
      </c>
      <c r="ED815" s="319" t="s">
        <v>190</v>
      </c>
      <c r="EE815" s="319" t="s">
        <v>428</v>
      </c>
      <c r="EF815" s="319" t="s">
        <v>428</v>
      </c>
      <c r="EG815" s="319" t="s">
        <v>428</v>
      </c>
      <c r="EH815" s="319" t="s">
        <v>428</v>
      </c>
      <c r="EI815" s="319" t="s">
        <v>428</v>
      </c>
      <c r="EJ815" s="319" t="s">
        <v>428</v>
      </c>
      <c r="EK815" s="319" t="s">
        <v>428</v>
      </c>
      <c r="EL815" s="319" t="s">
        <v>428</v>
      </c>
      <c r="EM815" s="319" t="s">
        <v>428</v>
      </c>
      <c r="EN815" s="319" t="s">
        <v>190</v>
      </c>
      <c r="EO815" s="319" t="s">
        <v>190</v>
      </c>
      <c r="EP815" s="319" t="s">
        <v>190</v>
      </c>
      <c r="EQ815" s="319" t="s">
        <v>190</v>
      </c>
      <c r="ER815" s="319" t="s">
        <v>190</v>
      </c>
      <c r="ES815" s="319" t="s">
        <v>190</v>
      </c>
      <c r="ET815" s="319" t="s">
        <v>190</v>
      </c>
      <c r="EU815" s="319" t="s">
        <v>190</v>
      </c>
      <c r="EV815" s="319" t="s">
        <v>190</v>
      </c>
      <c r="EW815" s="319" t="s">
        <v>190</v>
      </c>
      <c r="EX815" s="319" t="s">
        <v>190</v>
      </c>
      <c r="EY815" s="319" t="s">
        <v>190</v>
      </c>
      <c r="EZ815" s="319" t="s">
        <v>190</v>
      </c>
      <c r="FA815" s="319" t="s">
        <v>428</v>
      </c>
      <c r="FB815" s="319" t="s">
        <v>190</v>
      </c>
      <c r="FC815" s="319" t="s">
        <v>190</v>
      </c>
      <c r="FD815" s="319" t="s">
        <v>190</v>
      </c>
      <c r="FE815" s="319" t="s">
        <v>190</v>
      </c>
      <c r="FF815" s="319" t="s">
        <v>190</v>
      </c>
      <c r="FG815" s="319" t="s">
        <v>190</v>
      </c>
      <c r="FH815" s="319" t="s">
        <v>428</v>
      </c>
      <c r="FI815" s="319" t="s">
        <v>428</v>
      </c>
      <c r="FJ815" s="319" t="s">
        <v>429</v>
      </c>
      <c r="FK815" s="319" t="s">
        <v>428</v>
      </c>
      <c r="FL815" s="319" t="s">
        <v>190</v>
      </c>
      <c r="FM815" s="319" t="s">
        <v>190</v>
      </c>
      <c r="FN815" s="319" t="s">
        <v>190</v>
      </c>
      <c r="FO815" s="319" t="s">
        <v>190</v>
      </c>
      <c r="FP815" s="319" t="s">
        <v>190</v>
      </c>
      <c r="FQ815" s="319" t="s">
        <v>190</v>
      </c>
      <c r="FR815" s="319" t="s">
        <v>190</v>
      </c>
      <c r="FS815" s="319" t="s">
        <v>428</v>
      </c>
      <c r="FT815" s="319" t="s">
        <v>190</v>
      </c>
      <c r="FU815" s="319" t="s">
        <v>190</v>
      </c>
      <c r="FV815" s="319" t="s">
        <v>190</v>
      </c>
      <c r="FW815" s="319" t="s">
        <v>190</v>
      </c>
      <c r="FX815" s="319" t="s">
        <v>190</v>
      </c>
      <c r="FY815" s="319" t="s">
        <v>190</v>
      </c>
      <c r="FZ815" s="319" t="s">
        <v>190</v>
      </c>
      <c r="GA815" s="319" t="s">
        <v>190</v>
      </c>
      <c r="GB815" s="319" t="s">
        <v>190</v>
      </c>
      <c r="GC815" s="319" t="s">
        <v>190</v>
      </c>
      <c r="GD815" s="319" t="s">
        <v>190</v>
      </c>
      <c r="GE815" s="319" t="s">
        <v>190</v>
      </c>
      <c r="GF815" s="319" t="s">
        <v>190</v>
      </c>
      <c r="GG815" s="319" t="s">
        <v>190</v>
      </c>
      <c r="GH815" s="319" t="s">
        <v>190</v>
      </c>
      <c r="GI815" s="319" t="s">
        <v>190</v>
      </c>
      <c r="GJ815" s="319" t="s">
        <v>190</v>
      </c>
      <c r="GK815" s="319" t="s">
        <v>428</v>
      </c>
      <c r="GL815" s="319" t="s">
        <v>190</v>
      </c>
      <c r="GM815" s="319" t="s">
        <v>190</v>
      </c>
      <c r="GN815" s="319" t="s">
        <v>190</v>
      </c>
      <c r="GO815" s="319" t="s">
        <v>190</v>
      </c>
      <c r="GP815" s="319" t="s">
        <v>190</v>
      </c>
      <c r="GQ815" s="319" t="s">
        <v>428</v>
      </c>
      <c r="GR815" s="319" t="s">
        <v>190</v>
      </c>
      <c r="GS815" s="319" t="s">
        <v>190</v>
      </c>
      <c r="GT815" s="319" t="s">
        <v>428</v>
      </c>
      <c r="GU815" s="319" t="s">
        <v>428</v>
      </c>
      <c r="GV815" s="319" t="s">
        <v>428</v>
      </c>
      <c r="GW815" s="319" t="s">
        <v>190</v>
      </c>
      <c r="GX815" s="319" t="s">
        <v>190</v>
      </c>
      <c r="GY815" s="319" t="s">
        <v>190</v>
      </c>
      <c r="GZ815" s="319" t="s">
        <v>190</v>
      </c>
      <c r="HA815" s="319" t="s">
        <v>428</v>
      </c>
      <c r="HB815" s="319" t="s">
        <v>428</v>
      </c>
      <c r="HC815" s="319" t="s">
        <v>190</v>
      </c>
      <c r="HD815" s="319" t="s">
        <v>190</v>
      </c>
      <c r="HE815" s="319" t="s">
        <v>190</v>
      </c>
      <c r="HF815" s="319" t="s">
        <v>190</v>
      </c>
      <c r="HG815" s="319" t="s">
        <v>190</v>
      </c>
      <c r="HH815" s="319" t="s">
        <v>190</v>
      </c>
      <c r="HI815" s="319" t="s">
        <v>190</v>
      </c>
      <c r="HJ815" s="319" t="s">
        <v>190</v>
      </c>
      <c r="HK815" s="319" t="s">
        <v>190</v>
      </c>
      <c r="HL815" s="319" t="s">
        <v>428</v>
      </c>
      <c r="HM815" s="319" t="s">
        <v>428</v>
      </c>
      <c r="HN815" s="319" t="s">
        <v>428</v>
      </c>
      <c r="HO815" s="319" t="s">
        <v>428</v>
      </c>
      <c r="HP815" s="319" t="s">
        <v>190</v>
      </c>
      <c r="HQ815" s="319" t="s">
        <v>190</v>
      </c>
      <c r="HR815" s="319" t="s">
        <v>190</v>
      </c>
      <c r="HS815" s="319" t="s">
        <v>190</v>
      </c>
      <c r="HT815" s="319" t="s">
        <v>190</v>
      </c>
      <c r="HU815" s="319" t="s">
        <v>190</v>
      </c>
      <c r="HV815" s="319" t="s">
        <v>190</v>
      </c>
      <c r="HW815" s="319" t="s">
        <v>190</v>
      </c>
      <c r="HX815" s="319" t="s">
        <v>190</v>
      </c>
      <c r="HY815" s="319" t="s">
        <v>190</v>
      </c>
      <c r="HZ815" s="319" t="s">
        <v>190</v>
      </c>
      <c r="IA815" s="319" t="s">
        <v>190</v>
      </c>
      <c r="IB815" s="319" t="s">
        <v>190</v>
      </c>
      <c r="IC815" s="319" t="s">
        <v>190</v>
      </c>
      <c r="ID815" s="319" t="s">
        <v>190</v>
      </c>
      <c r="IE815" s="319" t="s">
        <v>190</v>
      </c>
      <c r="IF815" s="319" t="s">
        <v>190</v>
      </c>
      <c r="IG815" s="319" t="s">
        <v>190</v>
      </c>
      <c r="IH815" s="319" t="s">
        <v>190</v>
      </c>
      <c r="II815" s="319" t="s">
        <v>190</v>
      </c>
      <c r="IJ815" s="319">
        <v>10012848</v>
      </c>
      <c r="IK815" s="321">
        <v>42501</v>
      </c>
      <c r="IL815" s="321">
        <v>42502</v>
      </c>
      <c r="IM815" s="321">
        <v>42534</v>
      </c>
      <c r="IN815" s="319">
        <v>3</v>
      </c>
      <c r="IO815" s="319" t="s">
        <v>173</v>
      </c>
      <c r="IP815" s="319" t="s">
        <v>173</v>
      </c>
      <c r="IQ815" s="319" t="s">
        <v>173</v>
      </c>
      <c r="IR815" s="320" t="s">
        <v>173</v>
      </c>
      <c r="IS815" s="320" t="s">
        <v>173</v>
      </c>
      <c r="IT815" s="319" t="s">
        <v>173</v>
      </c>
    </row>
    <row r="816" spans="1:254" s="271" customFormat="1" x14ac:dyDescent="0.25">
      <c r="A816" s="318" t="str">
        <f>HYPERLINK("http://www.ofsted.gov.uk/inspection-reports/find-inspection-report/provider/ELS/142225 ","Ofsted School Webpage")</f>
        <v>Ofsted School Webpage</v>
      </c>
      <c r="B816" s="319">
        <v>142225</v>
      </c>
      <c r="C816" s="319">
        <v>3566000</v>
      </c>
      <c r="D816" s="319" t="s">
        <v>2319</v>
      </c>
      <c r="E816" s="319" t="s">
        <v>168</v>
      </c>
      <c r="F816" s="319" t="s">
        <v>81</v>
      </c>
      <c r="G816" s="319" t="s">
        <v>81</v>
      </c>
      <c r="H816" s="319" t="s">
        <v>81</v>
      </c>
      <c r="I816" s="319" t="s">
        <v>78</v>
      </c>
      <c r="J816" s="319" t="s">
        <v>424</v>
      </c>
      <c r="K816" s="319" t="s">
        <v>431</v>
      </c>
      <c r="L816" s="319" t="s">
        <v>431</v>
      </c>
      <c r="M816" s="319" t="s">
        <v>837</v>
      </c>
      <c r="N816" s="319" t="s">
        <v>3306</v>
      </c>
      <c r="O816" s="319" t="s">
        <v>2320</v>
      </c>
      <c r="P816" s="319">
        <v>15</v>
      </c>
      <c r="Q816" s="319" t="s">
        <v>429</v>
      </c>
      <c r="R816" s="320">
        <v>10067923</v>
      </c>
      <c r="S816" s="321">
        <v>43550</v>
      </c>
      <c r="T816" s="321">
        <v>43552</v>
      </c>
      <c r="U816" s="321">
        <v>43585</v>
      </c>
      <c r="V816" s="319" t="s">
        <v>425</v>
      </c>
      <c r="W816" s="319" t="s">
        <v>2767</v>
      </c>
      <c r="X816" s="319">
        <v>2</v>
      </c>
      <c r="Y816" s="319" t="s">
        <v>173</v>
      </c>
      <c r="Z816" s="319" t="s">
        <v>173</v>
      </c>
      <c r="AA816" s="319" t="s">
        <v>173</v>
      </c>
      <c r="AB816" s="319">
        <v>2</v>
      </c>
      <c r="AC816" s="319" t="s">
        <v>169</v>
      </c>
      <c r="AD816" s="319" t="s">
        <v>173</v>
      </c>
      <c r="AE816" s="319" t="s">
        <v>173</v>
      </c>
      <c r="AF816" s="319" t="s">
        <v>427</v>
      </c>
      <c r="AG816" s="319" t="s">
        <v>171</v>
      </c>
      <c r="AH816" s="319" t="s">
        <v>190</v>
      </c>
      <c r="AI816" s="319" t="s">
        <v>190</v>
      </c>
      <c r="AJ816" s="319" t="s">
        <v>190</v>
      </c>
      <c r="AK816" s="319" t="s">
        <v>190</v>
      </c>
      <c r="AL816" s="319" t="s">
        <v>190</v>
      </c>
      <c r="AM816" s="319" t="s">
        <v>190</v>
      </c>
      <c r="AN816" s="319" t="s">
        <v>190</v>
      </c>
      <c r="AO816" s="319" t="s">
        <v>190</v>
      </c>
      <c r="AP816" s="319" t="s">
        <v>190</v>
      </c>
      <c r="AQ816" s="319" t="s">
        <v>190</v>
      </c>
      <c r="AR816" s="319" t="s">
        <v>190</v>
      </c>
      <c r="AS816" s="319" t="s">
        <v>190</v>
      </c>
      <c r="AT816" s="319" t="s">
        <v>190</v>
      </c>
      <c r="AU816" s="319" t="s">
        <v>190</v>
      </c>
      <c r="AV816" s="319" t="s">
        <v>190</v>
      </c>
      <c r="AW816" s="319" t="s">
        <v>190</v>
      </c>
      <c r="AX816" s="319" t="s">
        <v>428</v>
      </c>
      <c r="AY816" s="319" t="s">
        <v>190</v>
      </c>
      <c r="AZ816" s="319" t="s">
        <v>190</v>
      </c>
      <c r="BA816" s="319" t="s">
        <v>190</v>
      </c>
      <c r="BB816" s="319" t="s">
        <v>190</v>
      </c>
      <c r="BC816" s="319" t="s">
        <v>190</v>
      </c>
      <c r="BD816" s="319" t="s">
        <v>190</v>
      </c>
      <c r="BE816" s="319" t="s">
        <v>190</v>
      </c>
      <c r="BF816" s="319" t="s">
        <v>428</v>
      </c>
      <c r="BG816" s="319" t="s">
        <v>428</v>
      </c>
      <c r="BH816" s="319" t="s">
        <v>190</v>
      </c>
      <c r="BI816" s="319" t="s">
        <v>190</v>
      </c>
      <c r="BJ816" s="319" t="s">
        <v>190</v>
      </c>
      <c r="BK816" s="319" t="s">
        <v>190</v>
      </c>
      <c r="BL816" s="319" t="s">
        <v>190</v>
      </c>
      <c r="BM816" s="319" t="s">
        <v>190</v>
      </c>
      <c r="BN816" s="319" t="s">
        <v>190</v>
      </c>
      <c r="BO816" s="319" t="s">
        <v>190</v>
      </c>
      <c r="BP816" s="319" t="s">
        <v>190</v>
      </c>
      <c r="BQ816" s="319" t="s">
        <v>190</v>
      </c>
      <c r="BR816" s="319" t="s">
        <v>190</v>
      </c>
      <c r="BS816" s="319" t="s">
        <v>190</v>
      </c>
      <c r="BT816" s="319" t="s">
        <v>190</v>
      </c>
      <c r="BU816" s="319" t="s">
        <v>190</v>
      </c>
      <c r="BV816" s="319" t="s">
        <v>190</v>
      </c>
      <c r="BW816" s="319" t="s">
        <v>190</v>
      </c>
      <c r="BX816" s="319" t="s">
        <v>190</v>
      </c>
      <c r="BY816" s="319" t="s">
        <v>190</v>
      </c>
      <c r="BZ816" s="319" t="s">
        <v>190</v>
      </c>
      <c r="CA816" s="319" t="s">
        <v>190</v>
      </c>
      <c r="CB816" s="319" t="s">
        <v>190</v>
      </c>
      <c r="CC816" s="319" t="s">
        <v>190</v>
      </c>
      <c r="CD816" s="319" t="s">
        <v>190</v>
      </c>
      <c r="CE816" s="319" t="s">
        <v>190</v>
      </c>
      <c r="CF816" s="319" t="s">
        <v>190</v>
      </c>
      <c r="CG816" s="319" t="s">
        <v>190</v>
      </c>
      <c r="CH816" s="319" t="s">
        <v>190</v>
      </c>
      <c r="CI816" s="319" t="s">
        <v>190</v>
      </c>
      <c r="CJ816" s="319" t="s">
        <v>190</v>
      </c>
      <c r="CK816" s="319" t="s">
        <v>190</v>
      </c>
      <c r="CL816" s="319" t="s">
        <v>190</v>
      </c>
      <c r="CM816" s="319" t="s">
        <v>190</v>
      </c>
      <c r="CN816" s="319" t="s">
        <v>428</v>
      </c>
      <c r="CO816" s="319" t="s">
        <v>428</v>
      </c>
      <c r="CP816" s="319" t="s">
        <v>428</v>
      </c>
      <c r="CQ816" s="319" t="s">
        <v>190</v>
      </c>
      <c r="CR816" s="319" t="s">
        <v>190</v>
      </c>
      <c r="CS816" s="319" t="s">
        <v>190</v>
      </c>
      <c r="CT816" s="319" t="s">
        <v>190</v>
      </c>
      <c r="CU816" s="319" t="s">
        <v>190</v>
      </c>
      <c r="CV816" s="319" t="s">
        <v>190</v>
      </c>
      <c r="CW816" s="319" t="s">
        <v>190</v>
      </c>
      <c r="CX816" s="319" t="s">
        <v>190</v>
      </c>
      <c r="CY816" s="319" t="s">
        <v>190</v>
      </c>
      <c r="CZ816" s="319" t="s">
        <v>190</v>
      </c>
      <c r="DA816" s="319" t="s">
        <v>190</v>
      </c>
      <c r="DB816" s="319" t="s">
        <v>190</v>
      </c>
      <c r="DC816" s="319" t="s">
        <v>190</v>
      </c>
      <c r="DD816" s="319" t="s">
        <v>190</v>
      </c>
      <c r="DE816" s="319" t="s">
        <v>190</v>
      </c>
      <c r="DF816" s="319" t="s">
        <v>190</v>
      </c>
      <c r="DG816" s="319" t="s">
        <v>190</v>
      </c>
      <c r="DH816" s="319" t="s">
        <v>190</v>
      </c>
      <c r="DI816" s="319" t="s">
        <v>190</v>
      </c>
      <c r="DJ816" s="319" t="s">
        <v>190</v>
      </c>
      <c r="DK816" s="319" t="s">
        <v>190</v>
      </c>
      <c r="DL816" s="319" t="s">
        <v>190</v>
      </c>
      <c r="DM816" s="319" t="s">
        <v>190</v>
      </c>
      <c r="DN816" s="319" t="s">
        <v>428</v>
      </c>
      <c r="DO816" s="319" t="s">
        <v>190</v>
      </c>
      <c r="DP816" s="319" t="s">
        <v>190</v>
      </c>
      <c r="DQ816" s="319" t="s">
        <v>190</v>
      </c>
      <c r="DR816" s="319" t="s">
        <v>190</v>
      </c>
      <c r="DS816" s="319" t="s">
        <v>190</v>
      </c>
      <c r="DT816" s="319" t="s">
        <v>190</v>
      </c>
      <c r="DU816" s="319" t="s">
        <v>190</v>
      </c>
      <c r="DV816" s="319" t="s">
        <v>173</v>
      </c>
      <c r="DW816" s="319" t="s">
        <v>190</v>
      </c>
      <c r="DX816" s="319" t="s">
        <v>190</v>
      </c>
      <c r="DY816" s="319" t="s">
        <v>190</v>
      </c>
      <c r="DZ816" s="319" t="s">
        <v>190</v>
      </c>
      <c r="EA816" s="319" t="s">
        <v>190</v>
      </c>
      <c r="EB816" s="319" t="s">
        <v>190</v>
      </c>
      <c r="EC816" s="319" t="s">
        <v>428</v>
      </c>
      <c r="ED816" s="319" t="s">
        <v>190</v>
      </c>
      <c r="EE816" s="319" t="s">
        <v>190</v>
      </c>
      <c r="EF816" s="319" t="s">
        <v>190</v>
      </c>
      <c r="EG816" s="319" t="s">
        <v>190</v>
      </c>
      <c r="EH816" s="319" t="s">
        <v>190</v>
      </c>
      <c r="EI816" s="319" t="s">
        <v>190</v>
      </c>
      <c r="EJ816" s="319" t="s">
        <v>190</v>
      </c>
      <c r="EK816" s="319" t="s">
        <v>190</v>
      </c>
      <c r="EL816" s="319" t="s">
        <v>190</v>
      </c>
      <c r="EM816" s="319" t="s">
        <v>190</v>
      </c>
      <c r="EN816" s="319" t="s">
        <v>190</v>
      </c>
      <c r="EO816" s="319" t="s">
        <v>190</v>
      </c>
      <c r="EP816" s="319" t="s">
        <v>190</v>
      </c>
      <c r="EQ816" s="319" t="s">
        <v>190</v>
      </c>
      <c r="ER816" s="319" t="s">
        <v>190</v>
      </c>
      <c r="ES816" s="319" t="s">
        <v>190</v>
      </c>
      <c r="ET816" s="319" t="s">
        <v>190</v>
      </c>
      <c r="EU816" s="319" t="s">
        <v>190</v>
      </c>
      <c r="EV816" s="319" t="s">
        <v>190</v>
      </c>
      <c r="EW816" s="319" t="s">
        <v>190</v>
      </c>
      <c r="EX816" s="319" t="s">
        <v>190</v>
      </c>
      <c r="EY816" s="319" t="s">
        <v>190</v>
      </c>
      <c r="EZ816" s="319" t="s">
        <v>190</v>
      </c>
      <c r="FA816" s="319" t="s">
        <v>190</v>
      </c>
      <c r="FB816" s="319" t="s">
        <v>190</v>
      </c>
      <c r="FC816" s="319" t="s">
        <v>190</v>
      </c>
      <c r="FD816" s="319" t="s">
        <v>190</v>
      </c>
      <c r="FE816" s="319" t="s">
        <v>190</v>
      </c>
      <c r="FF816" s="319" t="s">
        <v>190</v>
      </c>
      <c r="FG816" s="319" t="s">
        <v>190</v>
      </c>
      <c r="FH816" s="319" t="s">
        <v>190</v>
      </c>
      <c r="FI816" s="319" t="s">
        <v>190</v>
      </c>
      <c r="FJ816" s="319" t="s">
        <v>190</v>
      </c>
      <c r="FK816" s="319" t="s">
        <v>190</v>
      </c>
      <c r="FL816" s="319" t="s">
        <v>190</v>
      </c>
      <c r="FM816" s="319" t="s">
        <v>190</v>
      </c>
      <c r="FN816" s="319" t="s">
        <v>190</v>
      </c>
      <c r="FO816" s="319" t="s">
        <v>190</v>
      </c>
      <c r="FP816" s="319" t="s">
        <v>190</v>
      </c>
      <c r="FQ816" s="319" t="s">
        <v>190</v>
      </c>
      <c r="FR816" s="319" t="s">
        <v>190</v>
      </c>
      <c r="FS816" s="319" t="s">
        <v>428</v>
      </c>
      <c r="FT816" s="319" t="s">
        <v>190</v>
      </c>
      <c r="FU816" s="319" t="s">
        <v>190</v>
      </c>
      <c r="FV816" s="319" t="s">
        <v>190</v>
      </c>
      <c r="FW816" s="319" t="s">
        <v>190</v>
      </c>
      <c r="FX816" s="319" t="s">
        <v>190</v>
      </c>
      <c r="FY816" s="319" t="s">
        <v>190</v>
      </c>
      <c r="FZ816" s="319" t="s">
        <v>190</v>
      </c>
      <c r="GA816" s="319" t="s">
        <v>190</v>
      </c>
      <c r="GB816" s="319" t="s">
        <v>190</v>
      </c>
      <c r="GC816" s="319" t="s">
        <v>190</v>
      </c>
      <c r="GD816" s="319" t="s">
        <v>190</v>
      </c>
      <c r="GE816" s="319" t="s">
        <v>190</v>
      </c>
      <c r="GF816" s="319" t="s">
        <v>190</v>
      </c>
      <c r="GG816" s="319" t="s">
        <v>190</v>
      </c>
      <c r="GH816" s="319" t="s">
        <v>190</v>
      </c>
      <c r="GI816" s="319" t="s">
        <v>190</v>
      </c>
      <c r="GJ816" s="319" t="s">
        <v>190</v>
      </c>
      <c r="GK816" s="319" t="s">
        <v>428</v>
      </c>
      <c r="GL816" s="319" t="s">
        <v>190</v>
      </c>
      <c r="GM816" s="319" t="s">
        <v>190</v>
      </c>
      <c r="GN816" s="319" t="s">
        <v>190</v>
      </c>
      <c r="GO816" s="319" t="s">
        <v>190</v>
      </c>
      <c r="GP816" s="319" t="s">
        <v>190</v>
      </c>
      <c r="GQ816" s="319" t="s">
        <v>428</v>
      </c>
      <c r="GR816" s="319" t="s">
        <v>190</v>
      </c>
      <c r="GS816" s="319" t="s">
        <v>190</v>
      </c>
      <c r="GT816" s="319" t="s">
        <v>190</v>
      </c>
      <c r="GU816" s="319" t="s">
        <v>190</v>
      </c>
      <c r="GV816" s="319" t="s">
        <v>190</v>
      </c>
      <c r="GW816" s="319" t="s">
        <v>190</v>
      </c>
      <c r="GX816" s="319" t="s">
        <v>190</v>
      </c>
      <c r="GY816" s="319" t="s">
        <v>190</v>
      </c>
      <c r="GZ816" s="319" t="s">
        <v>190</v>
      </c>
      <c r="HA816" s="319" t="s">
        <v>428</v>
      </c>
      <c r="HB816" s="319" t="s">
        <v>190</v>
      </c>
      <c r="HC816" s="319" t="s">
        <v>190</v>
      </c>
      <c r="HD816" s="319" t="s">
        <v>190</v>
      </c>
      <c r="HE816" s="319" t="s">
        <v>190</v>
      </c>
      <c r="HF816" s="319" t="s">
        <v>190</v>
      </c>
      <c r="HG816" s="319" t="s">
        <v>190</v>
      </c>
      <c r="HH816" s="319" t="s">
        <v>190</v>
      </c>
      <c r="HI816" s="319" t="s">
        <v>190</v>
      </c>
      <c r="HJ816" s="319" t="s">
        <v>190</v>
      </c>
      <c r="HK816" s="319" t="s">
        <v>428</v>
      </c>
      <c r="HL816" s="319" t="s">
        <v>428</v>
      </c>
      <c r="HM816" s="319" t="s">
        <v>428</v>
      </c>
      <c r="HN816" s="319" t="s">
        <v>428</v>
      </c>
      <c r="HO816" s="319" t="s">
        <v>428</v>
      </c>
      <c r="HP816" s="319" t="s">
        <v>190</v>
      </c>
      <c r="HQ816" s="319" t="s">
        <v>190</v>
      </c>
      <c r="HR816" s="319" t="s">
        <v>190</v>
      </c>
      <c r="HS816" s="319" t="s">
        <v>190</v>
      </c>
      <c r="HT816" s="319" t="s">
        <v>190</v>
      </c>
      <c r="HU816" s="319" t="s">
        <v>190</v>
      </c>
      <c r="HV816" s="319" t="s">
        <v>190</v>
      </c>
      <c r="HW816" s="319" t="s">
        <v>190</v>
      </c>
      <c r="HX816" s="319" t="s">
        <v>190</v>
      </c>
      <c r="HY816" s="319" t="s">
        <v>190</v>
      </c>
      <c r="HZ816" s="319" t="s">
        <v>190</v>
      </c>
      <c r="IA816" s="319" t="s">
        <v>190</v>
      </c>
      <c r="IB816" s="319" t="s">
        <v>190</v>
      </c>
      <c r="IC816" s="319" t="s">
        <v>190</v>
      </c>
      <c r="ID816" s="319" t="s">
        <v>190</v>
      </c>
      <c r="IE816" s="319" t="s">
        <v>190</v>
      </c>
      <c r="IF816" s="319" t="s">
        <v>190</v>
      </c>
      <c r="IG816" s="319" t="s">
        <v>190</v>
      </c>
      <c r="IH816" s="319" t="s">
        <v>190</v>
      </c>
      <c r="II816" s="319" t="s">
        <v>190</v>
      </c>
      <c r="IJ816" s="319">
        <v>10012844</v>
      </c>
      <c r="IK816" s="321">
        <v>42563</v>
      </c>
      <c r="IL816" s="321">
        <v>42565</v>
      </c>
      <c r="IM816" s="321">
        <v>42627</v>
      </c>
      <c r="IN816" s="319">
        <v>2</v>
      </c>
      <c r="IO816" s="319" t="s">
        <v>173</v>
      </c>
      <c r="IP816" s="319" t="s">
        <v>173</v>
      </c>
      <c r="IQ816" s="319" t="s">
        <v>173</v>
      </c>
      <c r="IR816" s="320" t="s">
        <v>173</v>
      </c>
      <c r="IS816" s="320" t="s">
        <v>173</v>
      </c>
      <c r="IT816" s="319" t="s">
        <v>173</v>
      </c>
    </row>
    <row r="817" spans="1:254" s="271" customFormat="1" x14ac:dyDescent="0.25">
      <c r="A817" s="318" t="str">
        <f>HYPERLINK("http://www.ofsted.gov.uk/inspection-reports/find-inspection-report/provider/ELS/142320 ","Ofsted School Webpage")</f>
        <v>Ofsted School Webpage</v>
      </c>
      <c r="B817" s="319">
        <v>142320</v>
      </c>
      <c r="C817" s="319">
        <v>3706000</v>
      </c>
      <c r="D817" s="319" t="s">
        <v>744</v>
      </c>
      <c r="E817" s="319" t="s">
        <v>168</v>
      </c>
      <c r="F817" s="319" t="s">
        <v>81</v>
      </c>
      <c r="G817" s="319" t="s">
        <v>81</v>
      </c>
      <c r="H817" s="319" t="s">
        <v>81</v>
      </c>
      <c r="I817" s="319" t="s">
        <v>78</v>
      </c>
      <c r="J817" s="319" t="s">
        <v>424</v>
      </c>
      <c r="K817" s="319" t="s">
        <v>458</v>
      </c>
      <c r="L817" s="319" t="s">
        <v>459</v>
      </c>
      <c r="M817" s="319" t="s">
        <v>973</v>
      </c>
      <c r="N817" s="319" t="s">
        <v>3531</v>
      </c>
      <c r="O817" s="319" t="s">
        <v>974</v>
      </c>
      <c r="P817" s="319">
        <v>17</v>
      </c>
      <c r="Q817" s="319" t="s">
        <v>429</v>
      </c>
      <c r="R817" s="320">
        <v>10061285</v>
      </c>
      <c r="S817" s="321">
        <v>43529</v>
      </c>
      <c r="T817" s="321">
        <v>43531</v>
      </c>
      <c r="U817" s="321">
        <v>43552</v>
      </c>
      <c r="V817" s="319" t="s">
        <v>425</v>
      </c>
      <c r="W817" s="319" t="s">
        <v>2767</v>
      </c>
      <c r="X817" s="319">
        <v>2</v>
      </c>
      <c r="Y817" s="319" t="s">
        <v>173</v>
      </c>
      <c r="Z817" s="319" t="s">
        <v>173</v>
      </c>
      <c r="AA817" s="319" t="s">
        <v>173</v>
      </c>
      <c r="AB817" s="319">
        <v>2</v>
      </c>
      <c r="AC817" s="319" t="s">
        <v>169</v>
      </c>
      <c r="AD817" s="319" t="s">
        <v>173</v>
      </c>
      <c r="AE817" s="319" t="s">
        <v>173</v>
      </c>
      <c r="AF817" s="319" t="s">
        <v>427</v>
      </c>
      <c r="AG817" s="319" t="s">
        <v>171</v>
      </c>
      <c r="AH817" s="319" t="s">
        <v>190</v>
      </c>
      <c r="AI817" s="319" t="s">
        <v>190</v>
      </c>
      <c r="AJ817" s="319" t="s">
        <v>190</v>
      </c>
      <c r="AK817" s="319" t="s">
        <v>190</v>
      </c>
      <c r="AL817" s="319" t="s">
        <v>190</v>
      </c>
      <c r="AM817" s="319" t="s">
        <v>190</v>
      </c>
      <c r="AN817" s="319" t="s">
        <v>190</v>
      </c>
      <c r="AO817" s="319" t="s">
        <v>190</v>
      </c>
      <c r="AP817" s="319" t="s">
        <v>190</v>
      </c>
      <c r="AQ817" s="319" t="s">
        <v>190</v>
      </c>
      <c r="AR817" s="319" t="s">
        <v>190</v>
      </c>
      <c r="AS817" s="319" t="s">
        <v>190</v>
      </c>
      <c r="AT817" s="319" t="s">
        <v>190</v>
      </c>
      <c r="AU817" s="319" t="s">
        <v>190</v>
      </c>
      <c r="AV817" s="319" t="s">
        <v>190</v>
      </c>
      <c r="AW817" s="319" t="s">
        <v>190</v>
      </c>
      <c r="AX817" s="319" t="s">
        <v>428</v>
      </c>
      <c r="AY817" s="319" t="s">
        <v>190</v>
      </c>
      <c r="AZ817" s="319" t="s">
        <v>190</v>
      </c>
      <c r="BA817" s="319" t="s">
        <v>190</v>
      </c>
      <c r="BB817" s="319" t="s">
        <v>190</v>
      </c>
      <c r="BC817" s="319" t="s">
        <v>190</v>
      </c>
      <c r="BD817" s="319" t="s">
        <v>190</v>
      </c>
      <c r="BE817" s="319" t="s">
        <v>190</v>
      </c>
      <c r="BF817" s="319" t="s">
        <v>428</v>
      </c>
      <c r="BG817" s="319" t="s">
        <v>428</v>
      </c>
      <c r="BH817" s="319" t="s">
        <v>190</v>
      </c>
      <c r="BI817" s="319" t="s">
        <v>190</v>
      </c>
      <c r="BJ817" s="319" t="s">
        <v>190</v>
      </c>
      <c r="BK817" s="319" t="s">
        <v>190</v>
      </c>
      <c r="BL817" s="319" t="s">
        <v>190</v>
      </c>
      <c r="BM817" s="319" t="s">
        <v>190</v>
      </c>
      <c r="BN817" s="319" t="s">
        <v>190</v>
      </c>
      <c r="BO817" s="319" t="s">
        <v>190</v>
      </c>
      <c r="BP817" s="319" t="s">
        <v>190</v>
      </c>
      <c r="BQ817" s="319" t="s">
        <v>190</v>
      </c>
      <c r="BR817" s="319" t="s">
        <v>190</v>
      </c>
      <c r="BS817" s="319" t="s">
        <v>190</v>
      </c>
      <c r="BT817" s="319" t="s">
        <v>190</v>
      </c>
      <c r="BU817" s="319" t="s">
        <v>190</v>
      </c>
      <c r="BV817" s="319" t="s">
        <v>190</v>
      </c>
      <c r="BW817" s="319" t="s">
        <v>190</v>
      </c>
      <c r="BX817" s="319" t="s">
        <v>190</v>
      </c>
      <c r="BY817" s="319" t="s">
        <v>190</v>
      </c>
      <c r="BZ817" s="319" t="s">
        <v>190</v>
      </c>
      <c r="CA817" s="319" t="s">
        <v>190</v>
      </c>
      <c r="CB817" s="319" t="s">
        <v>190</v>
      </c>
      <c r="CC817" s="319" t="s">
        <v>190</v>
      </c>
      <c r="CD817" s="319" t="s">
        <v>190</v>
      </c>
      <c r="CE817" s="319" t="s">
        <v>190</v>
      </c>
      <c r="CF817" s="319" t="s">
        <v>190</v>
      </c>
      <c r="CG817" s="319" t="s">
        <v>190</v>
      </c>
      <c r="CH817" s="319" t="s">
        <v>190</v>
      </c>
      <c r="CI817" s="319" t="s">
        <v>190</v>
      </c>
      <c r="CJ817" s="319" t="s">
        <v>190</v>
      </c>
      <c r="CK817" s="319" t="s">
        <v>190</v>
      </c>
      <c r="CL817" s="319" t="s">
        <v>190</v>
      </c>
      <c r="CM817" s="319" t="s">
        <v>190</v>
      </c>
      <c r="CN817" s="319" t="s">
        <v>428</v>
      </c>
      <c r="CO817" s="319" t="s">
        <v>428</v>
      </c>
      <c r="CP817" s="319" t="s">
        <v>428</v>
      </c>
      <c r="CQ817" s="319" t="s">
        <v>190</v>
      </c>
      <c r="CR817" s="319" t="s">
        <v>190</v>
      </c>
      <c r="CS817" s="319" t="s">
        <v>190</v>
      </c>
      <c r="CT817" s="319" t="s">
        <v>190</v>
      </c>
      <c r="CU817" s="319" t="s">
        <v>190</v>
      </c>
      <c r="CV817" s="319" t="s">
        <v>190</v>
      </c>
      <c r="CW817" s="319" t="s">
        <v>190</v>
      </c>
      <c r="CX817" s="319" t="s">
        <v>190</v>
      </c>
      <c r="CY817" s="319" t="s">
        <v>190</v>
      </c>
      <c r="CZ817" s="319" t="s">
        <v>190</v>
      </c>
      <c r="DA817" s="319" t="s">
        <v>190</v>
      </c>
      <c r="DB817" s="319" t="s">
        <v>190</v>
      </c>
      <c r="DC817" s="319" t="s">
        <v>190</v>
      </c>
      <c r="DD817" s="319" t="s">
        <v>190</v>
      </c>
      <c r="DE817" s="319" t="s">
        <v>190</v>
      </c>
      <c r="DF817" s="319" t="s">
        <v>190</v>
      </c>
      <c r="DG817" s="319" t="s">
        <v>190</v>
      </c>
      <c r="DH817" s="319" t="s">
        <v>190</v>
      </c>
      <c r="DI817" s="319" t="s">
        <v>190</v>
      </c>
      <c r="DJ817" s="319" t="s">
        <v>190</v>
      </c>
      <c r="DK817" s="319" t="s">
        <v>190</v>
      </c>
      <c r="DL817" s="319" t="s">
        <v>190</v>
      </c>
      <c r="DM817" s="319" t="s">
        <v>428</v>
      </c>
      <c r="DN817" s="319" t="s">
        <v>428</v>
      </c>
      <c r="DO817" s="319" t="s">
        <v>190</v>
      </c>
      <c r="DP817" s="319" t="s">
        <v>190</v>
      </c>
      <c r="DQ817" s="319" t="s">
        <v>190</v>
      </c>
      <c r="DR817" s="319" t="s">
        <v>190</v>
      </c>
      <c r="DS817" s="319" t="s">
        <v>190</v>
      </c>
      <c r="DT817" s="319" t="s">
        <v>190</v>
      </c>
      <c r="DU817" s="319" t="s">
        <v>190</v>
      </c>
      <c r="DV817" s="319" t="s">
        <v>173</v>
      </c>
      <c r="DW817" s="319" t="s">
        <v>190</v>
      </c>
      <c r="DX817" s="319" t="s">
        <v>190</v>
      </c>
      <c r="DY817" s="319" t="s">
        <v>190</v>
      </c>
      <c r="DZ817" s="319" t="s">
        <v>190</v>
      </c>
      <c r="EA817" s="319" t="s">
        <v>190</v>
      </c>
      <c r="EB817" s="319" t="s">
        <v>190</v>
      </c>
      <c r="EC817" s="319" t="s">
        <v>428</v>
      </c>
      <c r="ED817" s="319" t="s">
        <v>190</v>
      </c>
      <c r="EE817" s="319" t="s">
        <v>190</v>
      </c>
      <c r="EF817" s="319" t="s">
        <v>190</v>
      </c>
      <c r="EG817" s="319" t="s">
        <v>190</v>
      </c>
      <c r="EH817" s="319" t="s">
        <v>190</v>
      </c>
      <c r="EI817" s="319" t="s">
        <v>190</v>
      </c>
      <c r="EJ817" s="319" t="s">
        <v>190</v>
      </c>
      <c r="EK817" s="319" t="s">
        <v>190</v>
      </c>
      <c r="EL817" s="319" t="s">
        <v>190</v>
      </c>
      <c r="EM817" s="319" t="s">
        <v>190</v>
      </c>
      <c r="EN817" s="319" t="s">
        <v>190</v>
      </c>
      <c r="EO817" s="319" t="s">
        <v>190</v>
      </c>
      <c r="EP817" s="319" t="s">
        <v>190</v>
      </c>
      <c r="EQ817" s="319" t="s">
        <v>190</v>
      </c>
      <c r="ER817" s="319" t="s">
        <v>190</v>
      </c>
      <c r="ES817" s="319" t="s">
        <v>190</v>
      </c>
      <c r="ET817" s="319" t="s">
        <v>190</v>
      </c>
      <c r="EU817" s="319" t="s">
        <v>190</v>
      </c>
      <c r="EV817" s="319" t="s">
        <v>190</v>
      </c>
      <c r="EW817" s="319" t="s">
        <v>190</v>
      </c>
      <c r="EX817" s="319" t="s">
        <v>190</v>
      </c>
      <c r="EY817" s="319" t="s">
        <v>190</v>
      </c>
      <c r="EZ817" s="319" t="s">
        <v>190</v>
      </c>
      <c r="FA817" s="319" t="s">
        <v>428</v>
      </c>
      <c r="FB817" s="319" t="s">
        <v>190</v>
      </c>
      <c r="FC817" s="319" t="s">
        <v>190</v>
      </c>
      <c r="FD817" s="319" t="s">
        <v>190</v>
      </c>
      <c r="FE817" s="319" t="s">
        <v>190</v>
      </c>
      <c r="FF817" s="319" t="s">
        <v>190</v>
      </c>
      <c r="FG817" s="319" t="s">
        <v>190</v>
      </c>
      <c r="FH817" s="319" t="s">
        <v>190</v>
      </c>
      <c r="FI817" s="319" t="s">
        <v>428</v>
      </c>
      <c r="FJ817" s="319" t="s">
        <v>429</v>
      </c>
      <c r="FK817" s="319" t="s">
        <v>428</v>
      </c>
      <c r="FL817" s="319" t="s">
        <v>190</v>
      </c>
      <c r="FM817" s="319" t="s">
        <v>190</v>
      </c>
      <c r="FN817" s="319" t="s">
        <v>190</v>
      </c>
      <c r="FO817" s="319" t="s">
        <v>190</v>
      </c>
      <c r="FP817" s="319" t="s">
        <v>190</v>
      </c>
      <c r="FQ817" s="319" t="s">
        <v>190</v>
      </c>
      <c r="FR817" s="319" t="s">
        <v>190</v>
      </c>
      <c r="FS817" s="319" t="s">
        <v>428</v>
      </c>
      <c r="FT817" s="319" t="s">
        <v>190</v>
      </c>
      <c r="FU817" s="319" t="s">
        <v>190</v>
      </c>
      <c r="FV817" s="319" t="s">
        <v>190</v>
      </c>
      <c r="FW817" s="319" t="s">
        <v>190</v>
      </c>
      <c r="FX817" s="319" t="s">
        <v>190</v>
      </c>
      <c r="FY817" s="319" t="s">
        <v>190</v>
      </c>
      <c r="FZ817" s="319" t="s">
        <v>190</v>
      </c>
      <c r="GA817" s="319" t="s">
        <v>190</v>
      </c>
      <c r="GB817" s="319" t="s">
        <v>190</v>
      </c>
      <c r="GC817" s="319" t="s">
        <v>190</v>
      </c>
      <c r="GD817" s="319" t="s">
        <v>190</v>
      </c>
      <c r="GE817" s="319" t="s">
        <v>190</v>
      </c>
      <c r="GF817" s="319" t="s">
        <v>190</v>
      </c>
      <c r="GG817" s="319" t="s">
        <v>190</v>
      </c>
      <c r="GH817" s="319" t="s">
        <v>190</v>
      </c>
      <c r="GI817" s="319" t="s">
        <v>190</v>
      </c>
      <c r="GJ817" s="319" t="s">
        <v>190</v>
      </c>
      <c r="GK817" s="319" t="s">
        <v>428</v>
      </c>
      <c r="GL817" s="319" t="s">
        <v>190</v>
      </c>
      <c r="GM817" s="319" t="s">
        <v>190</v>
      </c>
      <c r="GN817" s="319" t="s">
        <v>190</v>
      </c>
      <c r="GO817" s="319" t="s">
        <v>190</v>
      </c>
      <c r="GP817" s="319" t="s">
        <v>190</v>
      </c>
      <c r="GQ817" s="319" t="s">
        <v>428</v>
      </c>
      <c r="GR817" s="319" t="s">
        <v>190</v>
      </c>
      <c r="GS817" s="319" t="s">
        <v>190</v>
      </c>
      <c r="GT817" s="319" t="s">
        <v>190</v>
      </c>
      <c r="GU817" s="319" t="s">
        <v>190</v>
      </c>
      <c r="GV817" s="319" t="s">
        <v>190</v>
      </c>
      <c r="GW817" s="319" t="s">
        <v>190</v>
      </c>
      <c r="GX817" s="319" t="s">
        <v>190</v>
      </c>
      <c r="GY817" s="319" t="s">
        <v>190</v>
      </c>
      <c r="GZ817" s="319" t="s">
        <v>428</v>
      </c>
      <c r="HA817" s="319" t="s">
        <v>190</v>
      </c>
      <c r="HB817" s="319" t="s">
        <v>190</v>
      </c>
      <c r="HC817" s="319" t="s">
        <v>190</v>
      </c>
      <c r="HD817" s="319" t="s">
        <v>190</v>
      </c>
      <c r="HE817" s="319" t="s">
        <v>190</v>
      </c>
      <c r="HF817" s="319" t="s">
        <v>190</v>
      </c>
      <c r="HG817" s="319" t="s">
        <v>190</v>
      </c>
      <c r="HH817" s="319" t="s">
        <v>190</v>
      </c>
      <c r="HI817" s="319" t="s">
        <v>190</v>
      </c>
      <c r="HJ817" s="319" t="s">
        <v>190</v>
      </c>
      <c r="HK817" s="319" t="s">
        <v>190</v>
      </c>
      <c r="HL817" s="319" t="s">
        <v>190</v>
      </c>
      <c r="HM817" s="319" t="s">
        <v>190</v>
      </c>
      <c r="HN817" s="319" t="s">
        <v>190</v>
      </c>
      <c r="HO817" s="319" t="s">
        <v>190</v>
      </c>
      <c r="HP817" s="319" t="s">
        <v>190</v>
      </c>
      <c r="HQ817" s="319" t="s">
        <v>190</v>
      </c>
      <c r="HR817" s="319" t="s">
        <v>190</v>
      </c>
      <c r="HS817" s="319" t="s">
        <v>190</v>
      </c>
      <c r="HT817" s="319" t="s">
        <v>190</v>
      </c>
      <c r="HU817" s="319" t="s">
        <v>190</v>
      </c>
      <c r="HV817" s="319" t="s">
        <v>190</v>
      </c>
      <c r="HW817" s="319" t="s">
        <v>190</v>
      </c>
      <c r="HX817" s="319" t="s">
        <v>190</v>
      </c>
      <c r="HY817" s="319" t="s">
        <v>190</v>
      </c>
      <c r="HZ817" s="319" t="s">
        <v>190</v>
      </c>
      <c r="IA817" s="319" t="s">
        <v>190</v>
      </c>
      <c r="IB817" s="319" t="s">
        <v>190</v>
      </c>
      <c r="IC817" s="319" t="s">
        <v>190</v>
      </c>
      <c r="ID817" s="319" t="s">
        <v>190</v>
      </c>
      <c r="IE817" s="319" t="s">
        <v>190</v>
      </c>
      <c r="IF817" s="319" t="s">
        <v>190</v>
      </c>
      <c r="IG817" s="319" t="s">
        <v>190</v>
      </c>
      <c r="IH817" s="319" t="s">
        <v>190</v>
      </c>
      <c r="II817" s="319" t="s">
        <v>190</v>
      </c>
      <c r="IJ817" s="319">
        <v>10012849</v>
      </c>
      <c r="IK817" s="321">
        <v>42472</v>
      </c>
      <c r="IL817" s="321">
        <v>42474</v>
      </c>
      <c r="IM817" s="321">
        <v>42521</v>
      </c>
      <c r="IN817" s="319">
        <v>2</v>
      </c>
      <c r="IO817" s="319" t="s">
        <v>173</v>
      </c>
      <c r="IP817" s="319" t="s">
        <v>173</v>
      </c>
      <c r="IQ817" s="321" t="s">
        <v>173</v>
      </c>
      <c r="IR817" s="320" t="s">
        <v>173</v>
      </c>
      <c r="IS817" s="322" t="s">
        <v>173</v>
      </c>
      <c r="IT817" s="319" t="s">
        <v>173</v>
      </c>
    </row>
    <row r="818" spans="1:254" s="271" customFormat="1" x14ac:dyDescent="0.25">
      <c r="A818" s="318" t="str">
        <f>HYPERLINK("http://www.ofsted.gov.uk/inspection-reports/find-inspection-report/provider/ELS/142322 ","Ofsted School Webpage")</f>
        <v>Ofsted School Webpage</v>
      </c>
      <c r="B818" s="319">
        <v>142322</v>
      </c>
      <c r="C818" s="319">
        <v>8266015</v>
      </c>
      <c r="D818" s="319" t="s">
        <v>762</v>
      </c>
      <c r="E818" s="319" t="s">
        <v>168</v>
      </c>
      <c r="F818" s="319" t="s">
        <v>81</v>
      </c>
      <c r="G818" s="319" t="s">
        <v>81</v>
      </c>
      <c r="H818" s="319" t="s">
        <v>81</v>
      </c>
      <c r="I818" s="319" t="s">
        <v>78</v>
      </c>
      <c r="J818" s="319" t="s">
        <v>424</v>
      </c>
      <c r="K818" s="319" t="s">
        <v>514</v>
      </c>
      <c r="L818" s="319" t="s">
        <v>514</v>
      </c>
      <c r="M818" s="319" t="s">
        <v>763</v>
      </c>
      <c r="N818" s="319" t="s">
        <v>3532</v>
      </c>
      <c r="O818" s="319" t="s">
        <v>764</v>
      </c>
      <c r="P818" s="319">
        <v>34</v>
      </c>
      <c r="Q818" s="319" t="s">
        <v>429</v>
      </c>
      <c r="R818" s="320">
        <v>10055031</v>
      </c>
      <c r="S818" s="321">
        <v>43438</v>
      </c>
      <c r="T818" s="321">
        <v>43440</v>
      </c>
      <c r="U818" s="321">
        <v>43486</v>
      </c>
      <c r="V818" s="319" t="s">
        <v>425</v>
      </c>
      <c r="W818" s="319" t="s">
        <v>2767</v>
      </c>
      <c r="X818" s="319">
        <v>4</v>
      </c>
      <c r="Y818" s="319" t="s">
        <v>173</v>
      </c>
      <c r="Z818" s="319" t="s">
        <v>173</v>
      </c>
      <c r="AA818" s="319" t="s">
        <v>173</v>
      </c>
      <c r="AB818" s="319">
        <v>4</v>
      </c>
      <c r="AC818" s="319" t="s">
        <v>170</v>
      </c>
      <c r="AD818" s="319" t="s">
        <v>173</v>
      </c>
      <c r="AE818" s="319">
        <v>4</v>
      </c>
      <c r="AF818" s="319" t="s">
        <v>427</v>
      </c>
      <c r="AG818" s="319" t="s">
        <v>172</v>
      </c>
      <c r="AH818" s="319" t="s">
        <v>190</v>
      </c>
      <c r="AI818" s="319" t="s">
        <v>190</v>
      </c>
      <c r="AJ818" s="319" t="s">
        <v>479</v>
      </c>
      <c r="AK818" s="319" t="s">
        <v>479</v>
      </c>
      <c r="AL818" s="319" t="s">
        <v>190</v>
      </c>
      <c r="AM818" s="319" t="s">
        <v>190</v>
      </c>
      <c r="AN818" s="319" t="s">
        <v>190</v>
      </c>
      <c r="AO818" s="319" t="s">
        <v>479</v>
      </c>
      <c r="AP818" s="319" t="s">
        <v>190</v>
      </c>
      <c r="AQ818" s="319" t="s">
        <v>190</v>
      </c>
      <c r="AR818" s="319" t="s">
        <v>190</v>
      </c>
      <c r="AS818" s="319" t="s">
        <v>190</v>
      </c>
      <c r="AT818" s="319" t="s">
        <v>190</v>
      </c>
      <c r="AU818" s="319" t="s">
        <v>190</v>
      </c>
      <c r="AV818" s="319" t="s">
        <v>190</v>
      </c>
      <c r="AW818" s="319" t="s">
        <v>190</v>
      </c>
      <c r="AX818" s="319" t="s">
        <v>428</v>
      </c>
      <c r="AY818" s="319" t="s">
        <v>190</v>
      </c>
      <c r="AZ818" s="319" t="s">
        <v>190</v>
      </c>
      <c r="BA818" s="319" t="s">
        <v>190</v>
      </c>
      <c r="BB818" s="319" t="s">
        <v>190</v>
      </c>
      <c r="BC818" s="319" t="s">
        <v>190</v>
      </c>
      <c r="BD818" s="319" t="s">
        <v>190</v>
      </c>
      <c r="BE818" s="319" t="s">
        <v>190</v>
      </c>
      <c r="BF818" s="319" t="s">
        <v>428</v>
      </c>
      <c r="BG818" s="319" t="s">
        <v>190</v>
      </c>
      <c r="BH818" s="319" t="s">
        <v>190</v>
      </c>
      <c r="BI818" s="319" t="s">
        <v>190</v>
      </c>
      <c r="BJ818" s="319" t="s">
        <v>190</v>
      </c>
      <c r="BK818" s="319" t="s">
        <v>190</v>
      </c>
      <c r="BL818" s="319" t="s">
        <v>190</v>
      </c>
      <c r="BM818" s="319" t="s">
        <v>190</v>
      </c>
      <c r="BN818" s="319" t="s">
        <v>190</v>
      </c>
      <c r="BO818" s="319" t="s">
        <v>190</v>
      </c>
      <c r="BP818" s="319" t="s">
        <v>190</v>
      </c>
      <c r="BQ818" s="319" t="s">
        <v>190</v>
      </c>
      <c r="BR818" s="319" t="s">
        <v>190</v>
      </c>
      <c r="BS818" s="319" t="s">
        <v>190</v>
      </c>
      <c r="BT818" s="319" t="s">
        <v>190</v>
      </c>
      <c r="BU818" s="319" t="s">
        <v>190</v>
      </c>
      <c r="BV818" s="319" t="s">
        <v>190</v>
      </c>
      <c r="BW818" s="319" t="s">
        <v>190</v>
      </c>
      <c r="BX818" s="319" t="s">
        <v>190</v>
      </c>
      <c r="BY818" s="319" t="s">
        <v>190</v>
      </c>
      <c r="BZ818" s="319" t="s">
        <v>190</v>
      </c>
      <c r="CA818" s="319" t="s">
        <v>190</v>
      </c>
      <c r="CB818" s="319" t="s">
        <v>190</v>
      </c>
      <c r="CC818" s="319" t="s">
        <v>190</v>
      </c>
      <c r="CD818" s="319" t="s">
        <v>190</v>
      </c>
      <c r="CE818" s="319" t="s">
        <v>190</v>
      </c>
      <c r="CF818" s="319" t="s">
        <v>190</v>
      </c>
      <c r="CG818" s="319" t="s">
        <v>190</v>
      </c>
      <c r="CH818" s="319" t="s">
        <v>190</v>
      </c>
      <c r="CI818" s="319" t="s">
        <v>190</v>
      </c>
      <c r="CJ818" s="319" t="s">
        <v>190</v>
      </c>
      <c r="CK818" s="319" t="s">
        <v>191</v>
      </c>
      <c r="CL818" s="319" t="s">
        <v>191</v>
      </c>
      <c r="CM818" s="319" t="s">
        <v>191</v>
      </c>
      <c r="CN818" s="319" t="s">
        <v>428</v>
      </c>
      <c r="CO818" s="319" t="s">
        <v>428</v>
      </c>
      <c r="CP818" s="319" t="s">
        <v>428</v>
      </c>
      <c r="CQ818" s="319" t="s">
        <v>190</v>
      </c>
      <c r="CR818" s="319" t="s">
        <v>190</v>
      </c>
      <c r="CS818" s="319" t="s">
        <v>190</v>
      </c>
      <c r="CT818" s="319" t="s">
        <v>190</v>
      </c>
      <c r="CU818" s="319" t="s">
        <v>190</v>
      </c>
      <c r="CV818" s="319" t="s">
        <v>190</v>
      </c>
      <c r="CW818" s="319" t="s">
        <v>190</v>
      </c>
      <c r="CX818" s="319" t="s">
        <v>190</v>
      </c>
      <c r="CY818" s="319" t="s">
        <v>190</v>
      </c>
      <c r="CZ818" s="319" t="s">
        <v>190</v>
      </c>
      <c r="DA818" s="319" t="s">
        <v>190</v>
      </c>
      <c r="DB818" s="319" t="s">
        <v>190</v>
      </c>
      <c r="DC818" s="319" t="s">
        <v>190</v>
      </c>
      <c r="DD818" s="319" t="s">
        <v>191</v>
      </c>
      <c r="DE818" s="319" t="s">
        <v>190</v>
      </c>
      <c r="DF818" s="319" t="s">
        <v>191</v>
      </c>
      <c r="DG818" s="319" t="s">
        <v>190</v>
      </c>
      <c r="DH818" s="319" t="s">
        <v>190</v>
      </c>
      <c r="DI818" s="319" t="s">
        <v>190</v>
      </c>
      <c r="DJ818" s="319" t="s">
        <v>190</v>
      </c>
      <c r="DK818" s="319" t="s">
        <v>190</v>
      </c>
      <c r="DL818" s="319" t="s">
        <v>190</v>
      </c>
      <c r="DM818" s="319" t="s">
        <v>190</v>
      </c>
      <c r="DN818" s="319" t="s">
        <v>428</v>
      </c>
      <c r="DO818" s="319" t="s">
        <v>190</v>
      </c>
      <c r="DP818" s="319" t="s">
        <v>190</v>
      </c>
      <c r="DQ818" s="319" t="s">
        <v>190</v>
      </c>
      <c r="DR818" s="319" t="s">
        <v>190</v>
      </c>
      <c r="DS818" s="319" t="s">
        <v>190</v>
      </c>
      <c r="DT818" s="319" t="s">
        <v>190</v>
      </c>
      <c r="DU818" s="319" t="s">
        <v>190</v>
      </c>
      <c r="DV818" s="319" t="s">
        <v>173</v>
      </c>
      <c r="DW818" s="319" t="s">
        <v>190</v>
      </c>
      <c r="DX818" s="319" t="s">
        <v>190</v>
      </c>
      <c r="DY818" s="319" t="s">
        <v>190</v>
      </c>
      <c r="DZ818" s="319" t="s">
        <v>190</v>
      </c>
      <c r="EA818" s="319" t="s">
        <v>190</v>
      </c>
      <c r="EB818" s="319" t="s">
        <v>190</v>
      </c>
      <c r="EC818" s="319" t="s">
        <v>428</v>
      </c>
      <c r="ED818" s="319" t="s">
        <v>190</v>
      </c>
      <c r="EE818" s="319" t="s">
        <v>190</v>
      </c>
      <c r="EF818" s="319" t="s">
        <v>190</v>
      </c>
      <c r="EG818" s="319" t="s">
        <v>190</v>
      </c>
      <c r="EH818" s="319" t="s">
        <v>190</v>
      </c>
      <c r="EI818" s="319" t="s">
        <v>190</v>
      </c>
      <c r="EJ818" s="319" t="s">
        <v>190</v>
      </c>
      <c r="EK818" s="319" t="s">
        <v>190</v>
      </c>
      <c r="EL818" s="319" t="s">
        <v>190</v>
      </c>
      <c r="EM818" s="319" t="s">
        <v>190</v>
      </c>
      <c r="EN818" s="319" t="s">
        <v>190</v>
      </c>
      <c r="EO818" s="319" t="s">
        <v>190</v>
      </c>
      <c r="EP818" s="319" t="s">
        <v>191</v>
      </c>
      <c r="EQ818" s="319" t="s">
        <v>191</v>
      </c>
      <c r="ER818" s="319" t="s">
        <v>190</v>
      </c>
      <c r="ES818" s="319" t="s">
        <v>190</v>
      </c>
      <c r="ET818" s="319" t="s">
        <v>191</v>
      </c>
      <c r="EU818" s="319" t="s">
        <v>190</v>
      </c>
      <c r="EV818" s="319" t="s">
        <v>190</v>
      </c>
      <c r="EW818" s="319" t="s">
        <v>190</v>
      </c>
      <c r="EX818" s="319" t="s">
        <v>190</v>
      </c>
      <c r="EY818" s="319" t="s">
        <v>190</v>
      </c>
      <c r="EZ818" s="319" t="s">
        <v>191</v>
      </c>
      <c r="FA818" s="319" t="s">
        <v>190</v>
      </c>
      <c r="FB818" s="319" t="s">
        <v>190</v>
      </c>
      <c r="FC818" s="319" t="s">
        <v>190</v>
      </c>
      <c r="FD818" s="319" t="s">
        <v>190</v>
      </c>
      <c r="FE818" s="319" t="s">
        <v>190</v>
      </c>
      <c r="FF818" s="319" t="s">
        <v>190</v>
      </c>
      <c r="FG818" s="319" t="s">
        <v>190</v>
      </c>
      <c r="FH818" s="319" t="s">
        <v>190</v>
      </c>
      <c r="FI818" s="319" t="s">
        <v>190</v>
      </c>
      <c r="FJ818" s="319" t="s">
        <v>190</v>
      </c>
      <c r="FK818" s="319" t="s">
        <v>190</v>
      </c>
      <c r="FL818" s="319" t="s">
        <v>190</v>
      </c>
      <c r="FM818" s="319" t="s">
        <v>190</v>
      </c>
      <c r="FN818" s="319" t="s">
        <v>190</v>
      </c>
      <c r="FO818" s="319" t="s">
        <v>190</v>
      </c>
      <c r="FP818" s="319" t="s">
        <v>190</v>
      </c>
      <c r="FQ818" s="319" t="s">
        <v>190</v>
      </c>
      <c r="FR818" s="319" t="s">
        <v>190</v>
      </c>
      <c r="FS818" s="319" t="s">
        <v>190</v>
      </c>
      <c r="FT818" s="319" t="s">
        <v>190</v>
      </c>
      <c r="FU818" s="319" t="s">
        <v>190</v>
      </c>
      <c r="FV818" s="319" t="s">
        <v>190</v>
      </c>
      <c r="FW818" s="319" t="s">
        <v>190</v>
      </c>
      <c r="FX818" s="319" t="s">
        <v>190</v>
      </c>
      <c r="FY818" s="319" t="s">
        <v>190</v>
      </c>
      <c r="FZ818" s="319" t="s">
        <v>190</v>
      </c>
      <c r="GA818" s="319" t="s">
        <v>190</v>
      </c>
      <c r="GB818" s="319" t="s">
        <v>190</v>
      </c>
      <c r="GC818" s="319" t="s">
        <v>190</v>
      </c>
      <c r="GD818" s="319" t="s">
        <v>190</v>
      </c>
      <c r="GE818" s="319" t="s">
        <v>190</v>
      </c>
      <c r="GF818" s="319" t="s">
        <v>190</v>
      </c>
      <c r="GG818" s="319" t="s">
        <v>190</v>
      </c>
      <c r="GH818" s="319" t="s">
        <v>190</v>
      </c>
      <c r="GI818" s="319" t="s">
        <v>190</v>
      </c>
      <c r="GJ818" s="319" t="s">
        <v>190</v>
      </c>
      <c r="GK818" s="319" t="s">
        <v>428</v>
      </c>
      <c r="GL818" s="319" t="s">
        <v>190</v>
      </c>
      <c r="GM818" s="319" t="s">
        <v>190</v>
      </c>
      <c r="GN818" s="319" t="s">
        <v>190</v>
      </c>
      <c r="GO818" s="319" t="s">
        <v>190</v>
      </c>
      <c r="GP818" s="319" t="s">
        <v>190</v>
      </c>
      <c r="GQ818" s="319" t="s">
        <v>190</v>
      </c>
      <c r="GR818" s="319" t="s">
        <v>190</v>
      </c>
      <c r="GS818" s="319" t="s">
        <v>190</v>
      </c>
      <c r="GT818" s="319" t="s">
        <v>190</v>
      </c>
      <c r="GU818" s="319" t="s">
        <v>190</v>
      </c>
      <c r="GV818" s="319" t="s">
        <v>190</v>
      </c>
      <c r="GW818" s="319" t="s">
        <v>190</v>
      </c>
      <c r="GX818" s="319" t="s">
        <v>190</v>
      </c>
      <c r="GY818" s="319" t="s">
        <v>190</v>
      </c>
      <c r="GZ818" s="319" t="s">
        <v>428</v>
      </c>
      <c r="HA818" s="319" t="s">
        <v>190</v>
      </c>
      <c r="HB818" s="319" t="s">
        <v>428</v>
      </c>
      <c r="HC818" s="319" t="s">
        <v>190</v>
      </c>
      <c r="HD818" s="319" t="s">
        <v>190</v>
      </c>
      <c r="HE818" s="319" t="s">
        <v>190</v>
      </c>
      <c r="HF818" s="319" t="s">
        <v>190</v>
      </c>
      <c r="HG818" s="319" t="s">
        <v>190</v>
      </c>
      <c r="HH818" s="319" t="s">
        <v>190</v>
      </c>
      <c r="HI818" s="319" t="s">
        <v>190</v>
      </c>
      <c r="HJ818" s="319" t="s">
        <v>190</v>
      </c>
      <c r="HK818" s="319" t="s">
        <v>190</v>
      </c>
      <c r="HL818" s="319" t="s">
        <v>190</v>
      </c>
      <c r="HM818" s="319" t="s">
        <v>190</v>
      </c>
      <c r="HN818" s="319" t="s">
        <v>190</v>
      </c>
      <c r="HO818" s="319" t="s">
        <v>190</v>
      </c>
      <c r="HP818" s="319" t="s">
        <v>190</v>
      </c>
      <c r="HQ818" s="319" t="s">
        <v>190</v>
      </c>
      <c r="HR818" s="319" t="s">
        <v>190</v>
      </c>
      <c r="HS818" s="319" t="s">
        <v>190</v>
      </c>
      <c r="HT818" s="319" t="s">
        <v>190</v>
      </c>
      <c r="HU818" s="319" t="s">
        <v>190</v>
      </c>
      <c r="HV818" s="319" t="s">
        <v>190</v>
      </c>
      <c r="HW818" s="319" t="s">
        <v>190</v>
      </c>
      <c r="HX818" s="319" t="s">
        <v>190</v>
      </c>
      <c r="HY818" s="319" t="s">
        <v>190</v>
      </c>
      <c r="HZ818" s="319" t="s">
        <v>190</v>
      </c>
      <c r="IA818" s="319" t="s">
        <v>190</v>
      </c>
      <c r="IB818" s="319" t="s">
        <v>190</v>
      </c>
      <c r="IC818" s="319" t="s">
        <v>190</v>
      </c>
      <c r="ID818" s="319" t="s">
        <v>190</v>
      </c>
      <c r="IE818" s="319" t="s">
        <v>190</v>
      </c>
      <c r="IF818" s="319" t="s">
        <v>191</v>
      </c>
      <c r="IG818" s="319" t="s">
        <v>191</v>
      </c>
      <c r="IH818" s="319" t="s">
        <v>191</v>
      </c>
      <c r="II818" s="319" t="s">
        <v>191</v>
      </c>
      <c r="IJ818" s="319">
        <v>10012899</v>
      </c>
      <c r="IK818" s="321">
        <v>42654</v>
      </c>
      <c r="IL818" s="321">
        <v>42656</v>
      </c>
      <c r="IM818" s="321">
        <v>42681</v>
      </c>
      <c r="IN818" s="319">
        <v>2</v>
      </c>
      <c r="IO818" s="319">
        <v>10107885</v>
      </c>
      <c r="IP818" s="319" t="s">
        <v>985</v>
      </c>
      <c r="IQ818" s="321">
        <v>43650</v>
      </c>
      <c r="IR818" s="320" t="s">
        <v>1223</v>
      </c>
      <c r="IS818" s="322">
        <v>43725</v>
      </c>
      <c r="IT818" s="319" t="s">
        <v>166</v>
      </c>
    </row>
    <row r="819" spans="1:254" s="271" customFormat="1" x14ac:dyDescent="0.25">
      <c r="A819" s="318" t="str">
        <f>HYPERLINK("http://www.ofsted.gov.uk/inspection-reports/find-inspection-report/provider/ELS/142324 ","Ofsted School Webpage")</f>
        <v>Ofsted School Webpage</v>
      </c>
      <c r="B819" s="319">
        <v>142324</v>
      </c>
      <c r="C819" s="319">
        <v>3816016</v>
      </c>
      <c r="D819" s="319" t="s">
        <v>2321</v>
      </c>
      <c r="E819" s="319" t="s">
        <v>168</v>
      </c>
      <c r="F819" s="319" t="s">
        <v>81</v>
      </c>
      <c r="G819" s="319" t="s">
        <v>81</v>
      </c>
      <c r="H819" s="319" t="s">
        <v>81</v>
      </c>
      <c r="I819" s="319" t="s">
        <v>78</v>
      </c>
      <c r="J819" s="319" t="s">
        <v>424</v>
      </c>
      <c r="K819" s="319" t="s">
        <v>458</v>
      </c>
      <c r="L819" s="319" t="s">
        <v>459</v>
      </c>
      <c r="M819" s="319" t="s">
        <v>1616</v>
      </c>
      <c r="N819" s="319" t="s">
        <v>3139</v>
      </c>
      <c r="O819" s="319" t="s">
        <v>2322</v>
      </c>
      <c r="P819" s="319">
        <v>11</v>
      </c>
      <c r="Q819" s="319" t="s">
        <v>429</v>
      </c>
      <c r="R819" s="320">
        <v>10061289</v>
      </c>
      <c r="S819" s="321">
        <v>43543</v>
      </c>
      <c r="T819" s="321">
        <v>43545</v>
      </c>
      <c r="U819" s="321">
        <v>43592</v>
      </c>
      <c r="V819" s="319" t="s">
        <v>425</v>
      </c>
      <c r="W819" s="319" t="s">
        <v>2767</v>
      </c>
      <c r="X819" s="319">
        <v>2</v>
      </c>
      <c r="Y819" s="319" t="s">
        <v>173</v>
      </c>
      <c r="Z819" s="319" t="s">
        <v>173</v>
      </c>
      <c r="AA819" s="319" t="s">
        <v>173</v>
      </c>
      <c r="AB819" s="319">
        <v>2</v>
      </c>
      <c r="AC819" s="319" t="s">
        <v>169</v>
      </c>
      <c r="AD819" s="319" t="s">
        <v>173</v>
      </c>
      <c r="AE819" s="319" t="s">
        <v>173</v>
      </c>
      <c r="AF819" s="319" t="s">
        <v>427</v>
      </c>
      <c r="AG819" s="319" t="s">
        <v>171</v>
      </c>
      <c r="AH819" s="319" t="s">
        <v>190</v>
      </c>
      <c r="AI819" s="319" t="s">
        <v>190</v>
      </c>
      <c r="AJ819" s="319" t="s">
        <v>190</v>
      </c>
      <c r="AK819" s="319" t="s">
        <v>190</v>
      </c>
      <c r="AL819" s="319" t="s">
        <v>190</v>
      </c>
      <c r="AM819" s="319" t="s">
        <v>190</v>
      </c>
      <c r="AN819" s="319" t="s">
        <v>190</v>
      </c>
      <c r="AO819" s="319" t="s">
        <v>190</v>
      </c>
      <c r="AP819" s="319" t="s">
        <v>190</v>
      </c>
      <c r="AQ819" s="319" t="s">
        <v>190</v>
      </c>
      <c r="AR819" s="319" t="s">
        <v>190</v>
      </c>
      <c r="AS819" s="319" t="s">
        <v>190</v>
      </c>
      <c r="AT819" s="319" t="s">
        <v>190</v>
      </c>
      <c r="AU819" s="319" t="s">
        <v>190</v>
      </c>
      <c r="AV819" s="319" t="s">
        <v>190</v>
      </c>
      <c r="AW819" s="319" t="s">
        <v>190</v>
      </c>
      <c r="AX819" s="319" t="s">
        <v>428</v>
      </c>
      <c r="AY819" s="319" t="s">
        <v>190</v>
      </c>
      <c r="AZ819" s="319" t="s">
        <v>190</v>
      </c>
      <c r="BA819" s="319" t="s">
        <v>190</v>
      </c>
      <c r="BB819" s="319" t="s">
        <v>190</v>
      </c>
      <c r="BC819" s="319" t="s">
        <v>190</v>
      </c>
      <c r="BD819" s="319" t="s">
        <v>190</v>
      </c>
      <c r="BE819" s="319" t="s">
        <v>190</v>
      </c>
      <c r="BF819" s="319" t="s">
        <v>428</v>
      </c>
      <c r="BG819" s="319" t="s">
        <v>428</v>
      </c>
      <c r="BH819" s="319" t="s">
        <v>190</v>
      </c>
      <c r="BI819" s="319" t="s">
        <v>190</v>
      </c>
      <c r="BJ819" s="319" t="s">
        <v>190</v>
      </c>
      <c r="BK819" s="319" t="s">
        <v>190</v>
      </c>
      <c r="BL819" s="319" t="s">
        <v>190</v>
      </c>
      <c r="BM819" s="319" t="s">
        <v>190</v>
      </c>
      <c r="BN819" s="319" t="s">
        <v>190</v>
      </c>
      <c r="BO819" s="319" t="s">
        <v>190</v>
      </c>
      <c r="BP819" s="319" t="s">
        <v>190</v>
      </c>
      <c r="BQ819" s="319" t="s">
        <v>190</v>
      </c>
      <c r="BR819" s="319" t="s">
        <v>190</v>
      </c>
      <c r="BS819" s="319" t="s">
        <v>190</v>
      </c>
      <c r="BT819" s="319" t="s">
        <v>190</v>
      </c>
      <c r="BU819" s="319" t="s">
        <v>190</v>
      </c>
      <c r="BV819" s="319" t="s">
        <v>190</v>
      </c>
      <c r="BW819" s="319" t="s">
        <v>190</v>
      </c>
      <c r="BX819" s="319" t="s">
        <v>190</v>
      </c>
      <c r="BY819" s="319" t="s">
        <v>190</v>
      </c>
      <c r="BZ819" s="319" t="s">
        <v>190</v>
      </c>
      <c r="CA819" s="319" t="s">
        <v>190</v>
      </c>
      <c r="CB819" s="319" t="s">
        <v>190</v>
      </c>
      <c r="CC819" s="319" t="s">
        <v>190</v>
      </c>
      <c r="CD819" s="319" t="s">
        <v>190</v>
      </c>
      <c r="CE819" s="319" t="s">
        <v>190</v>
      </c>
      <c r="CF819" s="319" t="s">
        <v>190</v>
      </c>
      <c r="CG819" s="319" t="s">
        <v>190</v>
      </c>
      <c r="CH819" s="319" t="s">
        <v>190</v>
      </c>
      <c r="CI819" s="319" t="s">
        <v>190</v>
      </c>
      <c r="CJ819" s="319" t="s">
        <v>190</v>
      </c>
      <c r="CK819" s="319" t="s">
        <v>190</v>
      </c>
      <c r="CL819" s="319" t="s">
        <v>190</v>
      </c>
      <c r="CM819" s="319" t="s">
        <v>190</v>
      </c>
      <c r="CN819" s="319" t="s">
        <v>428</v>
      </c>
      <c r="CO819" s="319" t="s">
        <v>428</v>
      </c>
      <c r="CP819" s="319" t="s">
        <v>428</v>
      </c>
      <c r="CQ819" s="319" t="s">
        <v>190</v>
      </c>
      <c r="CR819" s="319" t="s">
        <v>190</v>
      </c>
      <c r="CS819" s="319" t="s">
        <v>190</v>
      </c>
      <c r="CT819" s="319" t="s">
        <v>190</v>
      </c>
      <c r="CU819" s="319" t="s">
        <v>190</v>
      </c>
      <c r="CV819" s="319" t="s">
        <v>190</v>
      </c>
      <c r="CW819" s="319" t="s">
        <v>190</v>
      </c>
      <c r="CX819" s="319" t="s">
        <v>190</v>
      </c>
      <c r="CY819" s="319" t="s">
        <v>190</v>
      </c>
      <c r="CZ819" s="319" t="s">
        <v>190</v>
      </c>
      <c r="DA819" s="319" t="s">
        <v>190</v>
      </c>
      <c r="DB819" s="319" t="s">
        <v>190</v>
      </c>
      <c r="DC819" s="319" t="s">
        <v>190</v>
      </c>
      <c r="DD819" s="319" t="s">
        <v>190</v>
      </c>
      <c r="DE819" s="319" t="s">
        <v>190</v>
      </c>
      <c r="DF819" s="319" t="s">
        <v>190</v>
      </c>
      <c r="DG819" s="319" t="s">
        <v>190</v>
      </c>
      <c r="DH819" s="319" t="s">
        <v>190</v>
      </c>
      <c r="DI819" s="319" t="s">
        <v>190</v>
      </c>
      <c r="DJ819" s="319" t="s">
        <v>190</v>
      </c>
      <c r="DK819" s="319" t="s">
        <v>190</v>
      </c>
      <c r="DL819" s="319" t="s">
        <v>190</v>
      </c>
      <c r="DM819" s="319" t="s">
        <v>190</v>
      </c>
      <c r="DN819" s="319" t="s">
        <v>428</v>
      </c>
      <c r="DO819" s="319" t="s">
        <v>190</v>
      </c>
      <c r="DP819" s="319" t="s">
        <v>428</v>
      </c>
      <c r="DQ819" s="319" t="s">
        <v>428</v>
      </c>
      <c r="DR819" s="319" t="s">
        <v>428</v>
      </c>
      <c r="DS819" s="319" t="s">
        <v>428</v>
      </c>
      <c r="DT819" s="319" t="s">
        <v>428</v>
      </c>
      <c r="DU819" s="319" t="s">
        <v>428</v>
      </c>
      <c r="DV819" s="319" t="s">
        <v>173</v>
      </c>
      <c r="DW819" s="319" t="s">
        <v>428</v>
      </c>
      <c r="DX819" s="319" t="s">
        <v>428</v>
      </c>
      <c r="DY819" s="319" t="s">
        <v>428</v>
      </c>
      <c r="DZ819" s="319" t="s">
        <v>428</v>
      </c>
      <c r="EA819" s="319" t="s">
        <v>428</v>
      </c>
      <c r="EB819" s="319" t="s">
        <v>428</v>
      </c>
      <c r="EC819" s="319" t="s">
        <v>428</v>
      </c>
      <c r="ED819" s="319" t="s">
        <v>428</v>
      </c>
      <c r="EE819" s="319" t="s">
        <v>190</v>
      </c>
      <c r="EF819" s="319" t="s">
        <v>190</v>
      </c>
      <c r="EG819" s="319" t="s">
        <v>190</v>
      </c>
      <c r="EH819" s="319" t="s">
        <v>190</v>
      </c>
      <c r="EI819" s="319" t="s">
        <v>190</v>
      </c>
      <c r="EJ819" s="319" t="s">
        <v>190</v>
      </c>
      <c r="EK819" s="319" t="s">
        <v>190</v>
      </c>
      <c r="EL819" s="319" t="s">
        <v>190</v>
      </c>
      <c r="EM819" s="319" t="s">
        <v>190</v>
      </c>
      <c r="EN819" s="319" t="s">
        <v>190</v>
      </c>
      <c r="EO819" s="319" t="s">
        <v>190</v>
      </c>
      <c r="EP819" s="319" t="s">
        <v>190</v>
      </c>
      <c r="EQ819" s="319" t="s">
        <v>190</v>
      </c>
      <c r="ER819" s="319" t="s">
        <v>190</v>
      </c>
      <c r="ES819" s="319" t="s">
        <v>190</v>
      </c>
      <c r="ET819" s="319" t="s">
        <v>190</v>
      </c>
      <c r="EU819" s="319" t="s">
        <v>190</v>
      </c>
      <c r="EV819" s="319" t="s">
        <v>190</v>
      </c>
      <c r="EW819" s="319" t="s">
        <v>190</v>
      </c>
      <c r="EX819" s="319" t="s">
        <v>190</v>
      </c>
      <c r="EY819" s="319" t="s">
        <v>190</v>
      </c>
      <c r="EZ819" s="319" t="s">
        <v>190</v>
      </c>
      <c r="FA819" s="319" t="s">
        <v>428</v>
      </c>
      <c r="FB819" s="319" t="s">
        <v>428</v>
      </c>
      <c r="FC819" s="319" t="s">
        <v>428</v>
      </c>
      <c r="FD819" s="319" t="s">
        <v>428</v>
      </c>
      <c r="FE819" s="319" t="s">
        <v>428</v>
      </c>
      <c r="FF819" s="319" t="s">
        <v>428</v>
      </c>
      <c r="FG819" s="319" t="s">
        <v>428</v>
      </c>
      <c r="FH819" s="319" t="s">
        <v>190</v>
      </c>
      <c r="FI819" s="319" t="s">
        <v>428</v>
      </c>
      <c r="FJ819" s="319" t="s">
        <v>429</v>
      </c>
      <c r="FK819" s="319" t="s">
        <v>428</v>
      </c>
      <c r="FL819" s="319" t="s">
        <v>190</v>
      </c>
      <c r="FM819" s="319" t="s">
        <v>190</v>
      </c>
      <c r="FN819" s="319" t="s">
        <v>190</v>
      </c>
      <c r="FO819" s="319" t="s">
        <v>190</v>
      </c>
      <c r="FP819" s="319" t="s">
        <v>190</v>
      </c>
      <c r="FQ819" s="319" t="s">
        <v>190</v>
      </c>
      <c r="FR819" s="319" t="s">
        <v>190</v>
      </c>
      <c r="FS819" s="319" t="s">
        <v>428</v>
      </c>
      <c r="FT819" s="319" t="s">
        <v>190</v>
      </c>
      <c r="FU819" s="319" t="s">
        <v>190</v>
      </c>
      <c r="FV819" s="319" t="s">
        <v>190</v>
      </c>
      <c r="FW819" s="319" t="s">
        <v>190</v>
      </c>
      <c r="FX819" s="319" t="s">
        <v>190</v>
      </c>
      <c r="FY819" s="319" t="s">
        <v>190</v>
      </c>
      <c r="FZ819" s="319" t="s">
        <v>190</v>
      </c>
      <c r="GA819" s="319" t="s">
        <v>190</v>
      </c>
      <c r="GB819" s="319" t="s">
        <v>190</v>
      </c>
      <c r="GC819" s="319" t="s">
        <v>190</v>
      </c>
      <c r="GD819" s="319" t="s">
        <v>190</v>
      </c>
      <c r="GE819" s="319" t="s">
        <v>190</v>
      </c>
      <c r="GF819" s="319" t="s">
        <v>190</v>
      </c>
      <c r="GG819" s="319" t="s">
        <v>190</v>
      </c>
      <c r="GH819" s="319" t="s">
        <v>190</v>
      </c>
      <c r="GI819" s="319" t="s">
        <v>190</v>
      </c>
      <c r="GJ819" s="319" t="s">
        <v>190</v>
      </c>
      <c r="GK819" s="319" t="s">
        <v>428</v>
      </c>
      <c r="GL819" s="319" t="s">
        <v>190</v>
      </c>
      <c r="GM819" s="319" t="s">
        <v>190</v>
      </c>
      <c r="GN819" s="319" t="s">
        <v>190</v>
      </c>
      <c r="GO819" s="319" t="s">
        <v>190</v>
      </c>
      <c r="GP819" s="319" t="s">
        <v>190</v>
      </c>
      <c r="GQ819" s="319" t="s">
        <v>428</v>
      </c>
      <c r="GR819" s="319" t="s">
        <v>190</v>
      </c>
      <c r="GS819" s="319" t="s">
        <v>190</v>
      </c>
      <c r="GT819" s="319" t="s">
        <v>190</v>
      </c>
      <c r="GU819" s="319" t="s">
        <v>190</v>
      </c>
      <c r="GV819" s="319" t="s">
        <v>190</v>
      </c>
      <c r="GW819" s="319" t="s">
        <v>190</v>
      </c>
      <c r="GX819" s="319" t="s">
        <v>190</v>
      </c>
      <c r="GY819" s="319" t="s">
        <v>190</v>
      </c>
      <c r="GZ819" s="319" t="s">
        <v>190</v>
      </c>
      <c r="HA819" s="319" t="s">
        <v>190</v>
      </c>
      <c r="HB819" s="319" t="s">
        <v>190</v>
      </c>
      <c r="HC819" s="319" t="s">
        <v>190</v>
      </c>
      <c r="HD819" s="319" t="s">
        <v>190</v>
      </c>
      <c r="HE819" s="319" t="s">
        <v>190</v>
      </c>
      <c r="HF819" s="319" t="s">
        <v>190</v>
      </c>
      <c r="HG819" s="319" t="s">
        <v>190</v>
      </c>
      <c r="HH819" s="319" t="s">
        <v>190</v>
      </c>
      <c r="HI819" s="319" t="s">
        <v>190</v>
      </c>
      <c r="HJ819" s="319" t="s">
        <v>190</v>
      </c>
      <c r="HK819" s="319" t="s">
        <v>190</v>
      </c>
      <c r="HL819" s="319" t="s">
        <v>190</v>
      </c>
      <c r="HM819" s="319" t="s">
        <v>428</v>
      </c>
      <c r="HN819" s="319" t="s">
        <v>428</v>
      </c>
      <c r="HO819" s="319" t="s">
        <v>428</v>
      </c>
      <c r="HP819" s="319" t="s">
        <v>190</v>
      </c>
      <c r="HQ819" s="319" t="s">
        <v>190</v>
      </c>
      <c r="HR819" s="319" t="s">
        <v>190</v>
      </c>
      <c r="HS819" s="319" t="s">
        <v>190</v>
      </c>
      <c r="HT819" s="319" t="s">
        <v>190</v>
      </c>
      <c r="HU819" s="319" t="s">
        <v>190</v>
      </c>
      <c r="HV819" s="319" t="s">
        <v>190</v>
      </c>
      <c r="HW819" s="319" t="s">
        <v>190</v>
      </c>
      <c r="HX819" s="319" t="s">
        <v>190</v>
      </c>
      <c r="HY819" s="319" t="s">
        <v>190</v>
      </c>
      <c r="HZ819" s="319" t="s">
        <v>190</v>
      </c>
      <c r="IA819" s="319" t="s">
        <v>190</v>
      </c>
      <c r="IB819" s="319" t="s">
        <v>190</v>
      </c>
      <c r="IC819" s="319" t="s">
        <v>190</v>
      </c>
      <c r="ID819" s="319" t="s">
        <v>190</v>
      </c>
      <c r="IE819" s="319" t="s">
        <v>190</v>
      </c>
      <c r="IF819" s="319" t="s">
        <v>190</v>
      </c>
      <c r="IG819" s="319" t="s">
        <v>190</v>
      </c>
      <c r="IH819" s="319" t="s">
        <v>190</v>
      </c>
      <c r="II819" s="319" t="s">
        <v>190</v>
      </c>
      <c r="IJ819" s="319">
        <v>10012870</v>
      </c>
      <c r="IK819" s="321">
        <v>42549</v>
      </c>
      <c r="IL819" s="321">
        <v>42551</v>
      </c>
      <c r="IM819" s="321">
        <v>42634</v>
      </c>
      <c r="IN819" s="319">
        <v>2</v>
      </c>
      <c r="IO819" s="319" t="s">
        <v>173</v>
      </c>
      <c r="IP819" s="319" t="s">
        <v>173</v>
      </c>
      <c r="IQ819" s="321" t="s">
        <v>173</v>
      </c>
      <c r="IR819" s="320" t="s">
        <v>173</v>
      </c>
      <c r="IS819" s="322" t="s">
        <v>173</v>
      </c>
      <c r="IT819" s="319" t="s">
        <v>173</v>
      </c>
    </row>
    <row r="820" spans="1:254" s="271" customFormat="1" x14ac:dyDescent="0.25">
      <c r="A820" s="318" t="str">
        <f>HYPERLINK("http://www.ofsted.gov.uk/inspection-reports/find-inspection-report/provider/ELS/142325 ","Ofsted School Webpage")</f>
        <v>Ofsted School Webpage</v>
      </c>
      <c r="B820" s="319">
        <v>142325</v>
      </c>
      <c r="C820" s="319">
        <v>8686023</v>
      </c>
      <c r="D820" s="319" t="s">
        <v>2323</v>
      </c>
      <c r="E820" s="319" t="s">
        <v>168</v>
      </c>
      <c r="F820" s="319" t="s">
        <v>81</v>
      </c>
      <c r="G820" s="319" t="s">
        <v>81</v>
      </c>
      <c r="H820" s="319" t="s">
        <v>81</v>
      </c>
      <c r="I820" s="319" t="s">
        <v>78</v>
      </c>
      <c r="J820" s="319" t="s">
        <v>424</v>
      </c>
      <c r="K820" s="319" t="s">
        <v>514</v>
      </c>
      <c r="L820" s="319" t="s">
        <v>514</v>
      </c>
      <c r="M820" s="319" t="s">
        <v>550</v>
      </c>
      <c r="N820" s="319" t="s">
        <v>3533</v>
      </c>
      <c r="O820" s="319" t="s">
        <v>2324</v>
      </c>
      <c r="P820" s="319">
        <v>51</v>
      </c>
      <c r="Q820" s="319" t="s">
        <v>429</v>
      </c>
      <c r="R820" s="320">
        <v>10012889</v>
      </c>
      <c r="S820" s="321">
        <v>42556</v>
      </c>
      <c r="T820" s="321">
        <v>42558</v>
      </c>
      <c r="U820" s="321">
        <v>42618</v>
      </c>
      <c r="V820" s="319" t="s">
        <v>435</v>
      </c>
      <c r="W820" s="319" t="s">
        <v>2767</v>
      </c>
      <c r="X820" s="319">
        <v>2</v>
      </c>
      <c r="Y820" s="319" t="s">
        <v>173</v>
      </c>
      <c r="Z820" s="319" t="s">
        <v>173</v>
      </c>
      <c r="AA820" s="319" t="s">
        <v>173</v>
      </c>
      <c r="AB820" s="319">
        <v>2</v>
      </c>
      <c r="AC820" s="319" t="s">
        <v>169</v>
      </c>
      <c r="AD820" s="319" t="s">
        <v>173</v>
      </c>
      <c r="AE820" s="319">
        <v>3</v>
      </c>
      <c r="AF820" s="319" t="s">
        <v>173</v>
      </c>
      <c r="AG820" s="319" t="s">
        <v>171</v>
      </c>
      <c r="AH820" s="319" t="s">
        <v>190</v>
      </c>
      <c r="AI820" s="319" t="s">
        <v>190</v>
      </c>
      <c r="AJ820" s="319" t="s">
        <v>190</v>
      </c>
      <c r="AK820" s="319" t="s">
        <v>190</v>
      </c>
      <c r="AL820" s="319" t="s">
        <v>190</v>
      </c>
      <c r="AM820" s="319" t="s">
        <v>190</v>
      </c>
      <c r="AN820" s="319" t="s">
        <v>190</v>
      </c>
      <c r="AO820" s="319" t="s">
        <v>190</v>
      </c>
      <c r="AP820" s="319" t="s">
        <v>190</v>
      </c>
      <c r="AQ820" s="319" t="s">
        <v>190</v>
      </c>
      <c r="AR820" s="319" t="s">
        <v>173</v>
      </c>
      <c r="AS820" s="319" t="s">
        <v>190</v>
      </c>
      <c r="AT820" s="319" t="s">
        <v>190</v>
      </c>
      <c r="AU820" s="319" t="s">
        <v>173</v>
      </c>
      <c r="AV820" s="319" t="s">
        <v>190</v>
      </c>
      <c r="AW820" s="319" t="s">
        <v>190</v>
      </c>
      <c r="AX820" s="319" t="s">
        <v>429</v>
      </c>
      <c r="AY820" s="319" t="s">
        <v>190</v>
      </c>
      <c r="AZ820" s="319" t="s">
        <v>190</v>
      </c>
      <c r="BA820" s="319" t="s">
        <v>190</v>
      </c>
      <c r="BB820" s="319" t="s">
        <v>190</v>
      </c>
      <c r="BC820" s="319" t="s">
        <v>190</v>
      </c>
      <c r="BD820" s="319" t="s">
        <v>190</v>
      </c>
      <c r="BE820" s="319" t="s">
        <v>190</v>
      </c>
      <c r="BF820" s="319" t="s">
        <v>429</v>
      </c>
      <c r="BG820" s="319" t="s">
        <v>190</v>
      </c>
      <c r="BH820" s="319" t="s">
        <v>190</v>
      </c>
      <c r="BI820" s="319" t="s">
        <v>190</v>
      </c>
      <c r="BJ820" s="319" t="s">
        <v>190</v>
      </c>
      <c r="BK820" s="319" t="s">
        <v>190</v>
      </c>
      <c r="BL820" s="319" t="s">
        <v>190</v>
      </c>
      <c r="BM820" s="319" t="s">
        <v>190</v>
      </c>
      <c r="BN820" s="319" t="s">
        <v>190</v>
      </c>
      <c r="BO820" s="319" t="s">
        <v>190</v>
      </c>
      <c r="BP820" s="319" t="s">
        <v>190</v>
      </c>
      <c r="BQ820" s="319" t="s">
        <v>190</v>
      </c>
      <c r="BR820" s="319" t="s">
        <v>190</v>
      </c>
      <c r="BS820" s="319" t="s">
        <v>190</v>
      </c>
      <c r="BT820" s="319" t="s">
        <v>190</v>
      </c>
      <c r="BU820" s="319" t="s">
        <v>190</v>
      </c>
      <c r="BV820" s="319" t="s">
        <v>190</v>
      </c>
      <c r="BW820" s="319" t="s">
        <v>190</v>
      </c>
      <c r="BX820" s="319" t="s">
        <v>190</v>
      </c>
      <c r="BY820" s="319" t="s">
        <v>190</v>
      </c>
      <c r="BZ820" s="319" t="s">
        <v>190</v>
      </c>
      <c r="CA820" s="319" t="s">
        <v>190</v>
      </c>
      <c r="CB820" s="319" t="s">
        <v>190</v>
      </c>
      <c r="CC820" s="319" t="s">
        <v>190</v>
      </c>
      <c r="CD820" s="319" t="s">
        <v>190</v>
      </c>
      <c r="CE820" s="319" t="s">
        <v>190</v>
      </c>
      <c r="CF820" s="319" t="s">
        <v>190</v>
      </c>
      <c r="CG820" s="319" t="s">
        <v>190</v>
      </c>
      <c r="CH820" s="319" t="s">
        <v>190</v>
      </c>
      <c r="CI820" s="319" t="s">
        <v>190</v>
      </c>
      <c r="CJ820" s="319" t="s">
        <v>190</v>
      </c>
      <c r="CK820" s="319" t="s">
        <v>190</v>
      </c>
      <c r="CL820" s="319" t="s">
        <v>190</v>
      </c>
      <c r="CM820" s="319" t="s">
        <v>190</v>
      </c>
      <c r="CN820" s="319" t="s">
        <v>429</v>
      </c>
      <c r="CO820" s="319" t="s">
        <v>429</v>
      </c>
      <c r="CP820" s="319" t="s">
        <v>429</v>
      </c>
      <c r="CQ820" s="319" t="s">
        <v>190</v>
      </c>
      <c r="CR820" s="319" t="s">
        <v>190</v>
      </c>
      <c r="CS820" s="319" t="s">
        <v>190</v>
      </c>
      <c r="CT820" s="319" t="s">
        <v>190</v>
      </c>
      <c r="CU820" s="319" t="s">
        <v>190</v>
      </c>
      <c r="CV820" s="319" t="s">
        <v>190</v>
      </c>
      <c r="CW820" s="319" t="s">
        <v>190</v>
      </c>
      <c r="CX820" s="319" t="s">
        <v>190</v>
      </c>
      <c r="CY820" s="319" t="s">
        <v>190</v>
      </c>
      <c r="CZ820" s="319" t="s">
        <v>190</v>
      </c>
      <c r="DA820" s="319" t="s">
        <v>190</v>
      </c>
      <c r="DB820" s="319" t="s">
        <v>190</v>
      </c>
      <c r="DC820" s="319" t="s">
        <v>190</v>
      </c>
      <c r="DD820" s="319" t="s">
        <v>190</v>
      </c>
      <c r="DE820" s="319" t="s">
        <v>190</v>
      </c>
      <c r="DF820" s="319" t="s">
        <v>190</v>
      </c>
      <c r="DG820" s="319" t="s">
        <v>190</v>
      </c>
      <c r="DH820" s="319" t="s">
        <v>190</v>
      </c>
      <c r="DI820" s="319" t="s">
        <v>190</v>
      </c>
      <c r="DJ820" s="319" t="s">
        <v>190</v>
      </c>
      <c r="DK820" s="319" t="s">
        <v>190</v>
      </c>
      <c r="DL820" s="319" t="s">
        <v>190</v>
      </c>
      <c r="DM820" s="319" t="s">
        <v>190</v>
      </c>
      <c r="DN820" s="319" t="s">
        <v>429</v>
      </c>
      <c r="DO820" s="319" t="s">
        <v>190</v>
      </c>
      <c r="DP820" s="319" t="s">
        <v>190</v>
      </c>
      <c r="DQ820" s="319" t="s">
        <v>190</v>
      </c>
      <c r="DR820" s="319" t="s">
        <v>190</v>
      </c>
      <c r="DS820" s="319" t="s">
        <v>190</v>
      </c>
      <c r="DT820" s="319" t="s">
        <v>190</v>
      </c>
      <c r="DU820" s="319" t="s">
        <v>190</v>
      </c>
      <c r="DV820" s="319" t="s">
        <v>173</v>
      </c>
      <c r="DW820" s="319" t="s">
        <v>190</v>
      </c>
      <c r="DX820" s="319" t="s">
        <v>190</v>
      </c>
      <c r="DY820" s="319" t="s">
        <v>190</v>
      </c>
      <c r="DZ820" s="319" t="s">
        <v>190</v>
      </c>
      <c r="EA820" s="319" t="s">
        <v>190</v>
      </c>
      <c r="EB820" s="319" t="s">
        <v>190</v>
      </c>
      <c r="EC820" s="319" t="s">
        <v>429</v>
      </c>
      <c r="ED820" s="319" t="s">
        <v>190</v>
      </c>
      <c r="EE820" s="319" t="s">
        <v>190</v>
      </c>
      <c r="EF820" s="319" t="s">
        <v>173</v>
      </c>
      <c r="EG820" s="319" t="s">
        <v>190</v>
      </c>
      <c r="EH820" s="319" t="s">
        <v>190</v>
      </c>
      <c r="EI820" s="319" t="s">
        <v>190</v>
      </c>
      <c r="EJ820" s="319" t="s">
        <v>190</v>
      </c>
      <c r="EK820" s="319" t="s">
        <v>190</v>
      </c>
      <c r="EL820" s="319" t="s">
        <v>190</v>
      </c>
      <c r="EM820" s="319" t="s">
        <v>190</v>
      </c>
      <c r="EN820" s="319" t="s">
        <v>190</v>
      </c>
      <c r="EO820" s="319" t="s">
        <v>190</v>
      </c>
      <c r="EP820" s="319" t="s">
        <v>190</v>
      </c>
      <c r="EQ820" s="319" t="s">
        <v>190</v>
      </c>
      <c r="ER820" s="319" t="s">
        <v>190</v>
      </c>
      <c r="ES820" s="319" t="s">
        <v>190</v>
      </c>
      <c r="ET820" s="319" t="s">
        <v>190</v>
      </c>
      <c r="EU820" s="319" t="s">
        <v>190</v>
      </c>
      <c r="EV820" s="319" t="s">
        <v>190</v>
      </c>
      <c r="EW820" s="319" t="s">
        <v>190</v>
      </c>
      <c r="EX820" s="319" t="s">
        <v>190</v>
      </c>
      <c r="EY820" s="319" t="s">
        <v>190</v>
      </c>
      <c r="EZ820" s="319" t="s">
        <v>190</v>
      </c>
      <c r="FA820" s="319" t="s">
        <v>429</v>
      </c>
      <c r="FB820" s="319" t="s">
        <v>429</v>
      </c>
      <c r="FC820" s="319" t="s">
        <v>429</v>
      </c>
      <c r="FD820" s="319" t="s">
        <v>429</v>
      </c>
      <c r="FE820" s="319" t="s">
        <v>429</v>
      </c>
      <c r="FF820" s="319" t="s">
        <v>429</v>
      </c>
      <c r="FG820" s="319" t="s">
        <v>429</v>
      </c>
      <c r="FH820" s="319" t="s">
        <v>190</v>
      </c>
      <c r="FI820" s="319" t="s">
        <v>190</v>
      </c>
      <c r="FJ820" s="319" t="s">
        <v>190</v>
      </c>
      <c r="FK820" s="319" t="s">
        <v>190</v>
      </c>
      <c r="FL820" s="319" t="s">
        <v>190</v>
      </c>
      <c r="FM820" s="319" t="s">
        <v>190</v>
      </c>
      <c r="FN820" s="319" t="s">
        <v>190</v>
      </c>
      <c r="FO820" s="319" t="s">
        <v>190</v>
      </c>
      <c r="FP820" s="319" t="s">
        <v>190</v>
      </c>
      <c r="FQ820" s="319" t="s">
        <v>190</v>
      </c>
      <c r="FR820" s="319" t="s">
        <v>190</v>
      </c>
      <c r="FS820" s="319" t="s">
        <v>190</v>
      </c>
      <c r="FT820" s="319" t="s">
        <v>173</v>
      </c>
      <c r="FU820" s="319" t="s">
        <v>190</v>
      </c>
      <c r="FV820" s="319" t="s">
        <v>190</v>
      </c>
      <c r="FW820" s="319" t="s">
        <v>190</v>
      </c>
      <c r="FX820" s="319" t="s">
        <v>190</v>
      </c>
      <c r="FY820" s="319" t="s">
        <v>190</v>
      </c>
      <c r="FZ820" s="319" t="s">
        <v>190</v>
      </c>
      <c r="GA820" s="319" t="s">
        <v>190</v>
      </c>
      <c r="GB820" s="319" t="s">
        <v>190</v>
      </c>
      <c r="GC820" s="319" t="s">
        <v>190</v>
      </c>
      <c r="GD820" s="319" t="s">
        <v>190</v>
      </c>
      <c r="GE820" s="319" t="s">
        <v>173</v>
      </c>
      <c r="GF820" s="319" t="s">
        <v>173</v>
      </c>
      <c r="GG820" s="319" t="s">
        <v>173</v>
      </c>
      <c r="GH820" s="319" t="s">
        <v>190</v>
      </c>
      <c r="GI820" s="319" t="s">
        <v>190</v>
      </c>
      <c r="GJ820" s="319" t="s">
        <v>190</v>
      </c>
      <c r="GK820" s="319" t="s">
        <v>429</v>
      </c>
      <c r="GL820" s="319" t="s">
        <v>190</v>
      </c>
      <c r="GM820" s="319" t="s">
        <v>190</v>
      </c>
      <c r="GN820" s="319" t="s">
        <v>190</v>
      </c>
      <c r="GO820" s="319" t="s">
        <v>190</v>
      </c>
      <c r="GP820" s="319" t="s">
        <v>190</v>
      </c>
      <c r="GQ820" s="319" t="s">
        <v>190</v>
      </c>
      <c r="GR820" s="319" t="s">
        <v>190</v>
      </c>
      <c r="GS820" s="319" t="s">
        <v>190</v>
      </c>
      <c r="GT820" s="319" t="s">
        <v>190</v>
      </c>
      <c r="GU820" s="319" t="s">
        <v>190</v>
      </c>
      <c r="GV820" s="319" t="s">
        <v>190</v>
      </c>
      <c r="GW820" s="319" t="s">
        <v>173</v>
      </c>
      <c r="GX820" s="319" t="s">
        <v>173</v>
      </c>
      <c r="GY820" s="319" t="s">
        <v>173</v>
      </c>
      <c r="GZ820" s="319" t="s">
        <v>173</v>
      </c>
      <c r="HA820" s="319" t="s">
        <v>173</v>
      </c>
      <c r="HB820" s="319" t="s">
        <v>173</v>
      </c>
      <c r="HC820" s="319" t="s">
        <v>173</v>
      </c>
      <c r="HD820" s="319" t="s">
        <v>173</v>
      </c>
      <c r="HE820" s="319" t="s">
        <v>173</v>
      </c>
      <c r="HF820" s="319" t="s">
        <v>173</v>
      </c>
      <c r="HG820" s="319" t="s">
        <v>173</v>
      </c>
      <c r="HH820" s="319" t="s">
        <v>173</v>
      </c>
      <c r="HI820" s="319" t="s">
        <v>173</v>
      </c>
      <c r="HJ820" s="319" t="s">
        <v>173</v>
      </c>
      <c r="HK820" s="319" t="s">
        <v>173</v>
      </c>
      <c r="HL820" s="319" t="s">
        <v>173</v>
      </c>
      <c r="HM820" s="319" t="s">
        <v>173</v>
      </c>
      <c r="HN820" s="319" t="s">
        <v>173</v>
      </c>
      <c r="HO820" s="319" t="s">
        <v>173</v>
      </c>
      <c r="HP820" s="319" t="s">
        <v>190</v>
      </c>
      <c r="HQ820" s="319" t="s">
        <v>190</v>
      </c>
      <c r="HR820" s="319" t="s">
        <v>190</v>
      </c>
      <c r="HS820" s="319" t="s">
        <v>190</v>
      </c>
      <c r="HT820" s="319" t="s">
        <v>190</v>
      </c>
      <c r="HU820" s="319" t="s">
        <v>190</v>
      </c>
      <c r="HV820" s="319" t="s">
        <v>190</v>
      </c>
      <c r="HW820" s="319" t="s">
        <v>190</v>
      </c>
      <c r="HX820" s="319" t="s">
        <v>190</v>
      </c>
      <c r="HY820" s="319" t="s">
        <v>190</v>
      </c>
      <c r="HZ820" s="319" t="s">
        <v>190</v>
      </c>
      <c r="IA820" s="319" t="s">
        <v>190</v>
      </c>
      <c r="IB820" s="319" t="s">
        <v>190</v>
      </c>
      <c r="IC820" s="319" t="s">
        <v>190</v>
      </c>
      <c r="ID820" s="319" t="s">
        <v>190</v>
      </c>
      <c r="IE820" s="319" t="s">
        <v>190</v>
      </c>
      <c r="IF820" s="319" t="s">
        <v>190</v>
      </c>
      <c r="IG820" s="319" t="s">
        <v>190</v>
      </c>
      <c r="IH820" s="319" t="s">
        <v>190</v>
      </c>
      <c r="II820" s="319" t="s">
        <v>190</v>
      </c>
      <c r="IJ820" s="319" t="s">
        <v>173</v>
      </c>
      <c r="IK820" s="319" t="s">
        <v>173</v>
      </c>
      <c r="IL820" s="319" t="s">
        <v>173</v>
      </c>
      <c r="IM820" s="319" t="s">
        <v>173</v>
      </c>
      <c r="IN820" s="319" t="s">
        <v>173</v>
      </c>
      <c r="IO820" s="319" t="s">
        <v>173</v>
      </c>
      <c r="IP820" s="319" t="s">
        <v>173</v>
      </c>
      <c r="IQ820" s="319" t="s">
        <v>173</v>
      </c>
      <c r="IR820" s="320" t="s">
        <v>173</v>
      </c>
      <c r="IS820" s="320" t="s">
        <v>173</v>
      </c>
      <c r="IT820" s="319" t="s">
        <v>173</v>
      </c>
    </row>
    <row r="821" spans="1:254" s="271" customFormat="1" x14ac:dyDescent="0.25">
      <c r="A821" s="318" t="str">
        <f>HYPERLINK("http://www.ofsted.gov.uk/inspection-reports/find-inspection-report/provider/ELS/142330 ","Ofsted School Webpage")</f>
        <v>Ofsted School Webpage</v>
      </c>
      <c r="B821" s="319">
        <v>142330</v>
      </c>
      <c r="C821" s="319">
        <v>3826004</v>
      </c>
      <c r="D821" s="319" t="s">
        <v>681</v>
      </c>
      <c r="E821" s="319" t="s">
        <v>167</v>
      </c>
      <c r="F821" s="319" t="s">
        <v>81</v>
      </c>
      <c r="G821" s="319" t="s">
        <v>72</v>
      </c>
      <c r="H821" s="319" t="s">
        <v>72</v>
      </c>
      <c r="I821" s="319" t="s">
        <v>72</v>
      </c>
      <c r="J821" s="319" t="s">
        <v>424</v>
      </c>
      <c r="K821" s="319" t="s">
        <v>458</v>
      </c>
      <c r="L821" s="319" t="s">
        <v>459</v>
      </c>
      <c r="M821" s="319" t="s">
        <v>682</v>
      </c>
      <c r="N821" s="319" t="s">
        <v>3155</v>
      </c>
      <c r="O821" s="319" t="s">
        <v>683</v>
      </c>
      <c r="P821" s="319">
        <v>33</v>
      </c>
      <c r="Q821" s="319" t="s">
        <v>2766</v>
      </c>
      <c r="R821" s="320">
        <v>10053834</v>
      </c>
      <c r="S821" s="321">
        <v>43418</v>
      </c>
      <c r="T821" s="321">
        <v>43420</v>
      </c>
      <c r="U821" s="321">
        <v>43444</v>
      </c>
      <c r="V821" s="319" t="s">
        <v>425</v>
      </c>
      <c r="W821" s="319" t="s">
        <v>2767</v>
      </c>
      <c r="X821" s="319">
        <v>2</v>
      </c>
      <c r="Y821" s="319" t="s">
        <v>173</v>
      </c>
      <c r="Z821" s="319" t="s">
        <v>173</v>
      </c>
      <c r="AA821" s="319" t="s">
        <v>173</v>
      </c>
      <c r="AB821" s="319">
        <v>2</v>
      </c>
      <c r="AC821" s="319" t="s">
        <v>169</v>
      </c>
      <c r="AD821" s="319" t="s">
        <v>173</v>
      </c>
      <c r="AE821" s="319" t="s">
        <v>173</v>
      </c>
      <c r="AF821" s="319" t="s">
        <v>427</v>
      </c>
      <c r="AG821" s="319" t="s">
        <v>171</v>
      </c>
      <c r="AH821" s="319" t="s">
        <v>190</v>
      </c>
      <c r="AI821" s="319" t="s">
        <v>190</v>
      </c>
      <c r="AJ821" s="319" t="s">
        <v>190</v>
      </c>
      <c r="AK821" s="319" t="s">
        <v>190</v>
      </c>
      <c r="AL821" s="319" t="s">
        <v>190</v>
      </c>
      <c r="AM821" s="319" t="s">
        <v>190</v>
      </c>
      <c r="AN821" s="319" t="s">
        <v>190</v>
      </c>
      <c r="AO821" s="319" t="s">
        <v>190</v>
      </c>
      <c r="AP821" s="319" t="s">
        <v>190</v>
      </c>
      <c r="AQ821" s="319" t="s">
        <v>190</v>
      </c>
      <c r="AR821" s="319" t="s">
        <v>190</v>
      </c>
      <c r="AS821" s="319" t="s">
        <v>190</v>
      </c>
      <c r="AT821" s="319" t="s">
        <v>190</v>
      </c>
      <c r="AU821" s="319" t="s">
        <v>190</v>
      </c>
      <c r="AV821" s="319" t="s">
        <v>190</v>
      </c>
      <c r="AW821" s="319" t="s">
        <v>190</v>
      </c>
      <c r="AX821" s="319" t="s">
        <v>428</v>
      </c>
      <c r="AY821" s="319" t="s">
        <v>190</v>
      </c>
      <c r="AZ821" s="319" t="s">
        <v>190</v>
      </c>
      <c r="BA821" s="319" t="s">
        <v>190</v>
      </c>
      <c r="BB821" s="319" t="s">
        <v>190</v>
      </c>
      <c r="BC821" s="319" t="s">
        <v>190</v>
      </c>
      <c r="BD821" s="319" t="s">
        <v>190</v>
      </c>
      <c r="BE821" s="319" t="s">
        <v>190</v>
      </c>
      <c r="BF821" s="319" t="s">
        <v>428</v>
      </c>
      <c r="BG821" s="319" t="s">
        <v>428</v>
      </c>
      <c r="BH821" s="319" t="s">
        <v>190</v>
      </c>
      <c r="BI821" s="319" t="s">
        <v>190</v>
      </c>
      <c r="BJ821" s="319" t="s">
        <v>190</v>
      </c>
      <c r="BK821" s="319" t="s">
        <v>190</v>
      </c>
      <c r="BL821" s="319" t="s">
        <v>190</v>
      </c>
      <c r="BM821" s="319" t="s">
        <v>190</v>
      </c>
      <c r="BN821" s="319" t="s">
        <v>190</v>
      </c>
      <c r="BO821" s="319" t="s">
        <v>190</v>
      </c>
      <c r="BP821" s="319" t="s">
        <v>190</v>
      </c>
      <c r="BQ821" s="319" t="s">
        <v>190</v>
      </c>
      <c r="BR821" s="319" t="s">
        <v>190</v>
      </c>
      <c r="BS821" s="319" t="s">
        <v>190</v>
      </c>
      <c r="BT821" s="319" t="s">
        <v>190</v>
      </c>
      <c r="BU821" s="319" t="s">
        <v>190</v>
      </c>
      <c r="BV821" s="319" t="s">
        <v>190</v>
      </c>
      <c r="BW821" s="319" t="s">
        <v>190</v>
      </c>
      <c r="BX821" s="319" t="s">
        <v>190</v>
      </c>
      <c r="BY821" s="319" t="s">
        <v>190</v>
      </c>
      <c r="BZ821" s="319" t="s">
        <v>190</v>
      </c>
      <c r="CA821" s="319" t="s">
        <v>190</v>
      </c>
      <c r="CB821" s="319" t="s">
        <v>190</v>
      </c>
      <c r="CC821" s="319" t="s">
        <v>190</v>
      </c>
      <c r="CD821" s="319" t="s">
        <v>190</v>
      </c>
      <c r="CE821" s="319" t="s">
        <v>190</v>
      </c>
      <c r="CF821" s="319" t="s">
        <v>190</v>
      </c>
      <c r="CG821" s="319" t="s">
        <v>190</v>
      </c>
      <c r="CH821" s="319" t="s">
        <v>190</v>
      </c>
      <c r="CI821" s="319" t="s">
        <v>190</v>
      </c>
      <c r="CJ821" s="319" t="s">
        <v>190</v>
      </c>
      <c r="CK821" s="319" t="s">
        <v>190</v>
      </c>
      <c r="CL821" s="319" t="s">
        <v>190</v>
      </c>
      <c r="CM821" s="319" t="s">
        <v>190</v>
      </c>
      <c r="CN821" s="319" t="s">
        <v>428</v>
      </c>
      <c r="CO821" s="319" t="s">
        <v>428</v>
      </c>
      <c r="CP821" s="319" t="s">
        <v>428</v>
      </c>
      <c r="CQ821" s="319" t="s">
        <v>190</v>
      </c>
      <c r="CR821" s="319" t="s">
        <v>190</v>
      </c>
      <c r="CS821" s="319" t="s">
        <v>190</v>
      </c>
      <c r="CT821" s="319" t="s">
        <v>190</v>
      </c>
      <c r="CU821" s="319" t="s">
        <v>190</v>
      </c>
      <c r="CV821" s="319" t="s">
        <v>190</v>
      </c>
      <c r="CW821" s="319" t="s">
        <v>190</v>
      </c>
      <c r="CX821" s="319" t="s">
        <v>190</v>
      </c>
      <c r="CY821" s="319" t="s">
        <v>190</v>
      </c>
      <c r="CZ821" s="319" t="s">
        <v>190</v>
      </c>
      <c r="DA821" s="319" t="s">
        <v>190</v>
      </c>
      <c r="DB821" s="319" t="s">
        <v>190</v>
      </c>
      <c r="DC821" s="319" t="s">
        <v>190</v>
      </c>
      <c r="DD821" s="319" t="s">
        <v>190</v>
      </c>
      <c r="DE821" s="319" t="s">
        <v>190</v>
      </c>
      <c r="DF821" s="319" t="s">
        <v>190</v>
      </c>
      <c r="DG821" s="319" t="s">
        <v>190</v>
      </c>
      <c r="DH821" s="319" t="s">
        <v>190</v>
      </c>
      <c r="DI821" s="319" t="s">
        <v>190</v>
      </c>
      <c r="DJ821" s="319" t="s">
        <v>190</v>
      </c>
      <c r="DK821" s="319" t="s">
        <v>190</v>
      </c>
      <c r="DL821" s="319" t="s">
        <v>190</v>
      </c>
      <c r="DM821" s="319" t="s">
        <v>190</v>
      </c>
      <c r="DN821" s="319" t="s">
        <v>428</v>
      </c>
      <c r="DO821" s="319" t="s">
        <v>190</v>
      </c>
      <c r="DP821" s="319" t="s">
        <v>428</v>
      </c>
      <c r="DQ821" s="319" t="s">
        <v>428</v>
      </c>
      <c r="DR821" s="319" t="s">
        <v>428</v>
      </c>
      <c r="DS821" s="319" t="s">
        <v>428</v>
      </c>
      <c r="DT821" s="319" t="s">
        <v>428</v>
      </c>
      <c r="DU821" s="319" t="s">
        <v>428</v>
      </c>
      <c r="DV821" s="319" t="s">
        <v>173</v>
      </c>
      <c r="DW821" s="319" t="s">
        <v>428</v>
      </c>
      <c r="DX821" s="319" t="s">
        <v>428</v>
      </c>
      <c r="DY821" s="319" t="s">
        <v>428</v>
      </c>
      <c r="DZ821" s="319" t="s">
        <v>428</v>
      </c>
      <c r="EA821" s="319" t="s">
        <v>428</v>
      </c>
      <c r="EB821" s="319" t="s">
        <v>428</v>
      </c>
      <c r="EC821" s="319" t="s">
        <v>428</v>
      </c>
      <c r="ED821" s="319" t="s">
        <v>428</v>
      </c>
      <c r="EE821" s="319" t="s">
        <v>190</v>
      </c>
      <c r="EF821" s="319" t="s">
        <v>190</v>
      </c>
      <c r="EG821" s="319" t="s">
        <v>190</v>
      </c>
      <c r="EH821" s="319" t="s">
        <v>190</v>
      </c>
      <c r="EI821" s="319" t="s">
        <v>190</v>
      </c>
      <c r="EJ821" s="319" t="s">
        <v>190</v>
      </c>
      <c r="EK821" s="319" t="s">
        <v>190</v>
      </c>
      <c r="EL821" s="319" t="s">
        <v>190</v>
      </c>
      <c r="EM821" s="319" t="s">
        <v>190</v>
      </c>
      <c r="EN821" s="319" t="s">
        <v>190</v>
      </c>
      <c r="EO821" s="319" t="s">
        <v>190</v>
      </c>
      <c r="EP821" s="319" t="s">
        <v>190</v>
      </c>
      <c r="EQ821" s="319" t="s">
        <v>190</v>
      </c>
      <c r="ER821" s="319" t="s">
        <v>190</v>
      </c>
      <c r="ES821" s="319" t="s">
        <v>190</v>
      </c>
      <c r="ET821" s="319" t="s">
        <v>190</v>
      </c>
      <c r="EU821" s="319" t="s">
        <v>190</v>
      </c>
      <c r="EV821" s="319" t="s">
        <v>190</v>
      </c>
      <c r="EW821" s="319" t="s">
        <v>190</v>
      </c>
      <c r="EX821" s="319" t="s">
        <v>190</v>
      </c>
      <c r="EY821" s="319" t="s">
        <v>190</v>
      </c>
      <c r="EZ821" s="319" t="s">
        <v>190</v>
      </c>
      <c r="FA821" s="319" t="s">
        <v>428</v>
      </c>
      <c r="FB821" s="319" t="s">
        <v>428</v>
      </c>
      <c r="FC821" s="319" t="s">
        <v>428</v>
      </c>
      <c r="FD821" s="319" t="s">
        <v>428</v>
      </c>
      <c r="FE821" s="319" t="s">
        <v>428</v>
      </c>
      <c r="FF821" s="319" t="s">
        <v>428</v>
      </c>
      <c r="FG821" s="319" t="s">
        <v>428</v>
      </c>
      <c r="FH821" s="319" t="s">
        <v>190</v>
      </c>
      <c r="FI821" s="319" t="s">
        <v>428</v>
      </c>
      <c r="FJ821" s="319" t="s">
        <v>429</v>
      </c>
      <c r="FK821" s="319" t="s">
        <v>428</v>
      </c>
      <c r="FL821" s="319" t="s">
        <v>190</v>
      </c>
      <c r="FM821" s="319" t="s">
        <v>190</v>
      </c>
      <c r="FN821" s="319" t="s">
        <v>428</v>
      </c>
      <c r="FO821" s="319" t="s">
        <v>190</v>
      </c>
      <c r="FP821" s="319" t="s">
        <v>190</v>
      </c>
      <c r="FQ821" s="319" t="s">
        <v>190</v>
      </c>
      <c r="FR821" s="319" t="s">
        <v>190</v>
      </c>
      <c r="FS821" s="319" t="s">
        <v>428</v>
      </c>
      <c r="FT821" s="319" t="s">
        <v>190</v>
      </c>
      <c r="FU821" s="319" t="s">
        <v>190</v>
      </c>
      <c r="FV821" s="319" t="s">
        <v>190</v>
      </c>
      <c r="FW821" s="319" t="s">
        <v>190</v>
      </c>
      <c r="FX821" s="319" t="s">
        <v>190</v>
      </c>
      <c r="FY821" s="319" t="s">
        <v>190</v>
      </c>
      <c r="FZ821" s="319" t="s">
        <v>190</v>
      </c>
      <c r="GA821" s="319" t="s">
        <v>190</v>
      </c>
      <c r="GB821" s="319" t="s">
        <v>190</v>
      </c>
      <c r="GC821" s="319" t="s">
        <v>190</v>
      </c>
      <c r="GD821" s="319" t="s">
        <v>190</v>
      </c>
      <c r="GE821" s="319" t="s">
        <v>190</v>
      </c>
      <c r="GF821" s="319" t="s">
        <v>190</v>
      </c>
      <c r="GG821" s="319" t="s">
        <v>190</v>
      </c>
      <c r="GH821" s="319" t="s">
        <v>190</v>
      </c>
      <c r="GI821" s="319" t="s">
        <v>190</v>
      </c>
      <c r="GJ821" s="319" t="s">
        <v>190</v>
      </c>
      <c r="GK821" s="319" t="s">
        <v>428</v>
      </c>
      <c r="GL821" s="319" t="s">
        <v>190</v>
      </c>
      <c r="GM821" s="319" t="s">
        <v>190</v>
      </c>
      <c r="GN821" s="319" t="s">
        <v>190</v>
      </c>
      <c r="GO821" s="319" t="s">
        <v>190</v>
      </c>
      <c r="GP821" s="319" t="s">
        <v>190</v>
      </c>
      <c r="GQ821" s="319" t="s">
        <v>428</v>
      </c>
      <c r="GR821" s="319" t="s">
        <v>190</v>
      </c>
      <c r="GS821" s="319" t="s">
        <v>190</v>
      </c>
      <c r="GT821" s="319" t="s">
        <v>428</v>
      </c>
      <c r="GU821" s="319" t="s">
        <v>428</v>
      </c>
      <c r="GV821" s="319" t="s">
        <v>428</v>
      </c>
      <c r="GW821" s="319" t="s">
        <v>190</v>
      </c>
      <c r="GX821" s="319" t="s">
        <v>190</v>
      </c>
      <c r="GY821" s="319" t="s">
        <v>428</v>
      </c>
      <c r="GZ821" s="319" t="s">
        <v>428</v>
      </c>
      <c r="HA821" s="319" t="s">
        <v>428</v>
      </c>
      <c r="HB821" s="319" t="s">
        <v>190</v>
      </c>
      <c r="HC821" s="319" t="s">
        <v>190</v>
      </c>
      <c r="HD821" s="319" t="s">
        <v>190</v>
      </c>
      <c r="HE821" s="319" t="s">
        <v>190</v>
      </c>
      <c r="HF821" s="319" t="s">
        <v>190</v>
      </c>
      <c r="HG821" s="319" t="s">
        <v>190</v>
      </c>
      <c r="HH821" s="319" t="s">
        <v>190</v>
      </c>
      <c r="HI821" s="319" t="s">
        <v>190</v>
      </c>
      <c r="HJ821" s="319" t="s">
        <v>190</v>
      </c>
      <c r="HK821" s="319" t="s">
        <v>190</v>
      </c>
      <c r="HL821" s="319" t="s">
        <v>428</v>
      </c>
      <c r="HM821" s="319" t="s">
        <v>428</v>
      </c>
      <c r="HN821" s="319" t="s">
        <v>428</v>
      </c>
      <c r="HO821" s="319" t="s">
        <v>428</v>
      </c>
      <c r="HP821" s="319" t="s">
        <v>190</v>
      </c>
      <c r="HQ821" s="319" t="s">
        <v>190</v>
      </c>
      <c r="HR821" s="319" t="s">
        <v>190</v>
      </c>
      <c r="HS821" s="319" t="s">
        <v>190</v>
      </c>
      <c r="HT821" s="319" t="s">
        <v>190</v>
      </c>
      <c r="HU821" s="319" t="s">
        <v>190</v>
      </c>
      <c r="HV821" s="319" t="s">
        <v>190</v>
      </c>
      <c r="HW821" s="319" t="s">
        <v>190</v>
      </c>
      <c r="HX821" s="319" t="s">
        <v>190</v>
      </c>
      <c r="HY821" s="319" t="s">
        <v>190</v>
      </c>
      <c r="HZ821" s="319" t="s">
        <v>190</v>
      </c>
      <c r="IA821" s="319" t="s">
        <v>190</v>
      </c>
      <c r="IB821" s="319" t="s">
        <v>190</v>
      </c>
      <c r="IC821" s="319" t="s">
        <v>190</v>
      </c>
      <c r="ID821" s="319" t="s">
        <v>190</v>
      </c>
      <c r="IE821" s="319" t="s">
        <v>190</v>
      </c>
      <c r="IF821" s="319" t="s">
        <v>190</v>
      </c>
      <c r="IG821" s="319" t="s">
        <v>190</v>
      </c>
      <c r="IH821" s="319" t="s">
        <v>190</v>
      </c>
      <c r="II821" s="319" t="s">
        <v>190</v>
      </c>
      <c r="IJ821" s="319">
        <v>10012860</v>
      </c>
      <c r="IK821" s="321">
        <v>42633</v>
      </c>
      <c r="IL821" s="321">
        <v>42635</v>
      </c>
      <c r="IM821" s="321">
        <v>42683</v>
      </c>
      <c r="IN821" s="319">
        <v>4</v>
      </c>
      <c r="IO821" s="319" t="s">
        <v>173</v>
      </c>
      <c r="IP821" s="319" t="s">
        <v>173</v>
      </c>
      <c r="IQ821" s="319" t="s">
        <v>173</v>
      </c>
      <c r="IR821" s="320" t="s">
        <v>173</v>
      </c>
      <c r="IS821" s="320" t="s">
        <v>173</v>
      </c>
      <c r="IT821" s="319" t="s">
        <v>173</v>
      </c>
    </row>
    <row r="822" spans="1:254" s="271" customFormat="1" x14ac:dyDescent="0.25">
      <c r="A822" s="318" t="str">
        <f>HYPERLINK("http://www.ofsted.gov.uk/inspection-reports/find-inspection-report/provider/ELS/142332 ","Ofsted School Webpage")</f>
        <v>Ofsted School Webpage</v>
      </c>
      <c r="B822" s="319">
        <v>142332</v>
      </c>
      <c r="C822" s="319">
        <v>8966002</v>
      </c>
      <c r="D822" s="319" t="s">
        <v>950</v>
      </c>
      <c r="E822" s="319" t="s">
        <v>167</v>
      </c>
      <c r="F822" s="319" t="s">
        <v>81</v>
      </c>
      <c r="G822" s="319" t="s">
        <v>81</v>
      </c>
      <c r="H822" s="319" t="s">
        <v>81</v>
      </c>
      <c r="I822" s="319" t="s">
        <v>78</v>
      </c>
      <c r="J822" s="319" t="s">
        <v>424</v>
      </c>
      <c r="K822" s="319" t="s">
        <v>431</v>
      </c>
      <c r="L822" s="319" t="s">
        <v>431</v>
      </c>
      <c r="M822" s="319" t="s">
        <v>951</v>
      </c>
      <c r="N822" s="319" t="s">
        <v>3123</v>
      </c>
      <c r="O822" s="319" t="s">
        <v>952</v>
      </c>
      <c r="P822" s="319">
        <v>5</v>
      </c>
      <c r="Q822" s="319" t="s">
        <v>2776</v>
      </c>
      <c r="R822" s="320">
        <v>10067925</v>
      </c>
      <c r="S822" s="321">
        <v>43522</v>
      </c>
      <c r="T822" s="321">
        <v>43524</v>
      </c>
      <c r="U822" s="321">
        <v>43550</v>
      </c>
      <c r="V822" s="319" t="s">
        <v>425</v>
      </c>
      <c r="W822" s="319" t="s">
        <v>2767</v>
      </c>
      <c r="X822" s="319">
        <v>2</v>
      </c>
      <c r="Y822" s="319" t="s">
        <v>173</v>
      </c>
      <c r="Z822" s="319" t="s">
        <v>173</v>
      </c>
      <c r="AA822" s="319" t="s">
        <v>173</v>
      </c>
      <c r="AB822" s="319">
        <v>2</v>
      </c>
      <c r="AC822" s="319" t="s">
        <v>169</v>
      </c>
      <c r="AD822" s="319" t="s">
        <v>173</v>
      </c>
      <c r="AE822" s="319" t="s">
        <v>173</v>
      </c>
      <c r="AF822" s="319" t="s">
        <v>427</v>
      </c>
      <c r="AG822" s="319" t="s">
        <v>171</v>
      </c>
      <c r="AH822" s="319" t="s">
        <v>190</v>
      </c>
      <c r="AI822" s="319" t="s">
        <v>190</v>
      </c>
      <c r="AJ822" s="319" t="s">
        <v>190</v>
      </c>
      <c r="AK822" s="319" t="s">
        <v>190</v>
      </c>
      <c r="AL822" s="319" t="s">
        <v>190</v>
      </c>
      <c r="AM822" s="319" t="s">
        <v>190</v>
      </c>
      <c r="AN822" s="319" t="s">
        <v>190</v>
      </c>
      <c r="AO822" s="319" t="s">
        <v>190</v>
      </c>
      <c r="AP822" s="319" t="s">
        <v>190</v>
      </c>
      <c r="AQ822" s="319" t="s">
        <v>190</v>
      </c>
      <c r="AR822" s="319" t="s">
        <v>190</v>
      </c>
      <c r="AS822" s="319" t="s">
        <v>190</v>
      </c>
      <c r="AT822" s="319" t="s">
        <v>190</v>
      </c>
      <c r="AU822" s="319" t="s">
        <v>190</v>
      </c>
      <c r="AV822" s="319" t="s">
        <v>190</v>
      </c>
      <c r="AW822" s="319" t="s">
        <v>190</v>
      </c>
      <c r="AX822" s="319" t="s">
        <v>428</v>
      </c>
      <c r="AY822" s="319" t="s">
        <v>190</v>
      </c>
      <c r="AZ822" s="319" t="s">
        <v>190</v>
      </c>
      <c r="BA822" s="319" t="s">
        <v>190</v>
      </c>
      <c r="BB822" s="319" t="s">
        <v>190</v>
      </c>
      <c r="BC822" s="319" t="s">
        <v>190</v>
      </c>
      <c r="BD822" s="319" t="s">
        <v>190</v>
      </c>
      <c r="BE822" s="319" t="s">
        <v>190</v>
      </c>
      <c r="BF822" s="319" t="s">
        <v>428</v>
      </c>
      <c r="BG822" s="319" t="s">
        <v>428</v>
      </c>
      <c r="BH822" s="319" t="s">
        <v>190</v>
      </c>
      <c r="BI822" s="319" t="s">
        <v>190</v>
      </c>
      <c r="BJ822" s="319" t="s">
        <v>190</v>
      </c>
      <c r="BK822" s="319" t="s">
        <v>190</v>
      </c>
      <c r="BL822" s="319" t="s">
        <v>190</v>
      </c>
      <c r="BM822" s="319" t="s">
        <v>190</v>
      </c>
      <c r="BN822" s="319" t="s">
        <v>190</v>
      </c>
      <c r="BO822" s="319" t="s">
        <v>190</v>
      </c>
      <c r="BP822" s="319" t="s">
        <v>190</v>
      </c>
      <c r="BQ822" s="319" t="s">
        <v>190</v>
      </c>
      <c r="BR822" s="319" t="s">
        <v>190</v>
      </c>
      <c r="BS822" s="319" t="s">
        <v>190</v>
      </c>
      <c r="BT822" s="319" t="s">
        <v>190</v>
      </c>
      <c r="BU822" s="319" t="s">
        <v>190</v>
      </c>
      <c r="BV822" s="319" t="s">
        <v>190</v>
      </c>
      <c r="BW822" s="319" t="s">
        <v>190</v>
      </c>
      <c r="BX822" s="319" t="s">
        <v>190</v>
      </c>
      <c r="BY822" s="319" t="s">
        <v>190</v>
      </c>
      <c r="BZ822" s="319" t="s">
        <v>190</v>
      </c>
      <c r="CA822" s="319" t="s">
        <v>190</v>
      </c>
      <c r="CB822" s="319" t="s">
        <v>190</v>
      </c>
      <c r="CC822" s="319" t="s">
        <v>190</v>
      </c>
      <c r="CD822" s="319" t="s">
        <v>190</v>
      </c>
      <c r="CE822" s="319" t="s">
        <v>190</v>
      </c>
      <c r="CF822" s="319" t="s">
        <v>190</v>
      </c>
      <c r="CG822" s="319" t="s">
        <v>190</v>
      </c>
      <c r="CH822" s="319" t="s">
        <v>190</v>
      </c>
      <c r="CI822" s="319" t="s">
        <v>190</v>
      </c>
      <c r="CJ822" s="319" t="s">
        <v>190</v>
      </c>
      <c r="CK822" s="319" t="s">
        <v>190</v>
      </c>
      <c r="CL822" s="319" t="s">
        <v>190</v>
      </c>
      <c r="CM822" s="319" t="s">
        <v>190</v>
      </c>
      <c r="CN822" s="319" t="s">
        <v>428</v>
      </c>
      <c r="CO822" s="319" t="s">
        <v>428</v>
      </c>
      <c r="CP822" s="319" t="s">
        <v>428</v>
      </c>
      <c r="CQ822" s="319" t="s">
        <v>190</v>
      </c>
      <c r="CR822" s="319" t="s">
        <v>190</v>
      </c>
      <c r="CS822" s="319" t="s">
        <v>190</v>
      </c>
      <c r="CT822" s="319" t="s">
        <v>190</v>
      </c>
      <c r="CU822" s="319" t="s">
        <v>190</v>
      </c>
      <c r="CV822" s="319" t="s">
        <v>190</v>
      </c>
      <c r="CW822" s="319" t="s">
        <v>190</v>
      </c>
      <c r="CX822" s="319" t="s">
        <v>190</v>
      </c>
      <c r="CY822" s="319" t="s">
        <v>190</v>
      </c>
      <c r="CZ822" s="319" t="s">
        <v>190</v>
      </c>
      <c r="DA822" s="319" t="s">
        <v>190</v>
      </c>
      <c r="DB822" s="319" t="s">
        <v>190</v>
      </c>
      <c r="DC822" s="319" t="s">
        <v>190</v>
      </c>
      <c r="DD822" s="319" t="s">
        <v>190</v>
      </c>
      <c r="DE822" s="319" t="s">
        <v>190</v>
      </c>
      <c r="DF822" s="319" t="s">
        <v>190</v>
      </c>
      <c r="DG822" s="319" t="s">
        <v>190</v>
      </c>
      <c r="DH822" s="319" t="s">
        <v>190</v>
      </c>
      <c r="DI822" s="319" t="s">
        <v>190</v>
      </c>
      <c r="DJ822" s="319" t="s">
        <v>190</v>
      </c>
      <c r="DK822" s="319" t="s">
        <v>190</v>
      </c>
      <c r="DL822" s="319" t="s">
        <v>190</v>
      </c>
      <c r="DM822" s="319" t="s">
        <v>190</v>
      </c>
      <c r="DN822" s="319" t="s">
        <v>428</v>
      </c>
      <c r="DO822" s="319" t="s">
        <v>190</v>
      </c>
      <c r="DP822" s="319" t="s">
        <v>190</v>
      </c>
      <c r="DQ822" s="319" t="s">
        <v>190</v>
      </c>
      <c r="DR822" s="319" t="s">
        <v>190</v>
      </c>
      <c r="DS822" s="319" t="s">
        <v>190</v>
      </c>
      <c r="DT822" s="319" t="s">
        <v>190</v>
      </c>
      <c r="DU822" s="319" t="s">
        <v>190</v>
      </c>
      <c r="DV822" s="319" t="s">
        <v>173</v>
      </c>
      <c r="DW822" s="319" t="s">
        <v>190</v>
      </c>
      <c r="DX822" s="319" t="s">
        <v>190</v>
      </c>
      <c r="DY822" s="319" t="s">
        <v>190</v>
      </c>
      <c r="DZ822" s="319" t="s">
        <v>190</v>
      </c>
      <c r="EA822" s="319" t="s">
        <v>190</v>
      </c>
      <c r="EB822" s="319" t="s">
        <v>190</v>
      </c>
      <c r="EC822" s="319" t="s">
        <v>428</v>
      </c>
      <c r="ED822" s="319" t="s">
        <v>428</v>
      </c>
      <c r="EE822" s="319" t="s">
        <v>190</v>
      </c>
      <c r="EF822" s="319" t="s">
        <v>190</v>
      </c>
      <c r="EG822" s="319" t="s">
        <v>190</v>
      </c>
      <c r="EH822" s="319" t="s">
        <v>190</v>
      </c>
      <c r="EI822" s="319" t="s">
        <v>190</v>
      </c>
      <c r="EJ822" s="319" t="s">
        <v>190</v>
      </c>
      <c r="EK822" s="319" t="s">
        <v>190</v>
      </c>
      <c r="EL822" s="319" t="s">
        <v>190</v>
      </c>
      <c r="EM822" s="319" t="s">
        <v>190</v>
      </c>
      <c r="EN822" s="319" t="s">
        <v>190</v>
      </c>
      <c r="EO822" s="319" t="s">
        <v>190</v>
      </c>
      <c r="EP822" s="319" t="s">
        <v>190</v>
      </c>
      <c r="EQ822" s="319" t="s">
        <v>190</v>
      </c>
      <c r="ER822" s="319" t="s">
        <v>190</v>
      </c>
      <c r="ES822" s="319" t="s">
        <v>190</v>
      </c>
      <c r="ET822" s="319" t="s">
        <v>190</v>
      </c>
      <c r="EU822" s="319" t="s">
        <v>190</v>
      </c>
      <c r="EV822" s="319" t="s">
        <v>190</v>
      </c>
      <c r="EW822" s="319" t="s">
        <v>190</v>
      </c>
      <c r="EX822" s="319" t="s">
        <v>190</v>
      </c>
      <c r="EY822" s="319" t="s">
        <v>190</v>
      </c>
      <c r="EZ822" s="319" t="s">
        <v>190</v>
      </c>
      <c r="FA822" s="319" t="s">
        <v>428</v>
      </c>
      <c r="FB822" s="319" t="s">
        <v>190</v>
      </c>
      <c r="FC822" s="319" t="s">
        <v>190</v>
      </c>
      <c r="FD822" s="319" t="s">
        <v>190</v>
      </c>
      <c r="FE822" s="319" t="s">
        <v>190</v>
      </c>
      <c r="FF822" s="319" t="s">
        <v>190</v>
      </c>
      <c r="FG822" s="319" t="s">
        <v>190</v>
      </c>
      <c r="FH822" s="319" t="s">
        <v>190</v>
      </c>
      <c r="FI822" s="319" t="s">
        <v>428</v>
      </c>
      <c r="FJ822" s="319" t="s">
        <v>190</v>
      </c>
      <c r="FK822" s="319" t="s">
        <v>190</v>
      </c>
      <c r="FL822" s="319" t="s">
        <v>190</v>
      </c>
      <c r="FM822" s="319" t="s">
        <v>190</v>
      </c>
      <c r="FN822" s="319" t="s">
        <v>428</v>
      </c>
      <c r="FO822" s="319" t="s">
        <v>190</v>
      </c>
      <c r="FP822" s="319" t="s">
        <v>190</v>
      </c>
      <c r="FQ822" s="319" t="s">
        <v>190</v>
      </c>
      <c r="FR822" s="319" t="s">
        <v>190</v>
      </c>
      <c r="FS822" s="319" t="s">
        <v>428</v>
      </c>
      <c r="FT822" s="319" t="s">
        <v>190</v>
      </c>
      <c r="FU822" s="319" t="s">
        <v>190</v>
      </c>
      <c r="FV822" s="319" t="s">
        <v>190</v>
      </c>
      <c r="FW822" s="319" t="s">
        <v>190</v>
      </c>
      <c r="FX822" s="319" t="s">
        <v>190</v>
      </c>
      <c r="FY822" s="319" t="s">
        <v>190</v>
      </c>
      <c r="FZ822" s="319" t="s">
        <v>190</v>
      </c>
      <c r="GA822" s="319" t="s">
        <v>190</v>
      </c>
      <c r="GB822" s="319" t="s">
        <v>190</v>
      </c>
      <c r="GC822" s="319" t="s">
        <v>190</v>
      </c>
      <c r="GD822" s="319" t="s">
        <v>190</v>
      </c>
      <c r="GE822" s="319" t="s">
        <v>190</v>
      </c>
      <c r="GF822" s="319" t="s">
        <v>190</v>
      </c>
      <c r="GG822" s="319" t="s">
        <v>190</v>
      </c>
      <c r="GH822" s="319" t="s">
        <v>190</v>
      </c>
      <c r="GI822" s="319" t="s">
        <v>190</v>
      </c>
      <c r="GJ822" s="319" t="s">
        <v>190</v>
      </c>
      <c r="GK822" s="319" t="s">
        <v>428</v>
      </c>
      <c r="GL822" s="319" t="s">
        <v>190</v>
      </c>
      <c r="GM822" s="319" t="s">
        <v>190</v>
      </c>
      <c r="GN822" s="319" t="s">
        <v>190</v>
      </c>
      <c r="GO822" s="319" t="s">
        <v>190</v>
      </c>
      <c r="GP822" s="319" t="s">
        <v>190</v>
      </c>
      <c r="GQ822" s="319" t="s">
        <v>428</v>
      </c>
      <c r="GR822" s="319" t="s">
        <v>190</v>
      </c>
      <c r="GS822" s="319" t="s">
        <v>190</v>
      </c>
      <c r="GT822" s="319" t="s">
        <v>190</v>
      </c>
      <c r="GU822" s="319" t="s">
        <v>190</v>
      </c>
      <c r="GV822" s="319" t="s">
        <v>190</v>
      </c>
      <c r="GW822" s="319" t="s">
        <v>190</v>
      </c>
      <c r="GX822" s="319" t="s">
        <v>190</v>
      </c>
      <c r="GY822" s="319" t="s">
        <v>190</v>
      </c>
      <c r="GZ822" s="319" t="s">
        <v>428</v>
      </c>
      <c r="HA822" s="319" t="s">
        <v>190</v>
      </c>
      <c r="HB822" s="319" t="s">
        <v>190</v>
      </c>
      <c r="HC822" s="319" t="s">
        <v>190</v>
      </c>
      <c r="HD822" s="319" t="s">
        <v>190</v>
      </c>
      <c r="HE822" s="319" t="s">
        <v>190</v>
      </c>
      <c r="HF822" s="319" t="s">
        <v>190</v>
      </c>
      <c r="HG822" s="319" t="s">
        <v>190</v>
      </c>
      <c r="HH822" s="319" t="s">
        <v>190</v>
      </c>
      <c r="HI822" s="319" t="s">
        <v>190</v>
      </c>
      <c r="HJ822" s="319" t="s">
        <v>190</v>
      </c>
      <c r="HK822" s="319" t="s">
        <v>190</v>
      </c>
      <c r="HL822" s="319" t="s">
        <v>428</v>
      </c>
      <c r="HM822" s="319" t="s">
        <v>428</v>
      </c>
      <c r="HN822" s="319" t="s">
        <v>428</v>
      </c>
      <c r="HO822" s="319" t="s">
        <v>428</v>
      </c>
      <c r="HP822" s="319" t="s">
        <v>190</v>
      </c>
      <c r="HQ822" s="319" t="s">
        <v>190</v>
      </c>
      <c r="HR822" s="319" t="s">
        <v>190</v>
      </c>
      <c r="HS822" s="319" t="s">
        <v>190</v>
      </c>
      <c r="HT822" s="319" t="s">
        <v>190</v>
      </c>
      <c r="HU822" s="319" t="s">
        <v>190</v>
      </c>
      <c r="HV822" s="319" t="s">
        <v>190</v>
      </c>
      <c r="HW822" s="319" t="s">
        <v>190</v>
      </c>
      <c r="HX822" s="319" t="s">
        <v>190</v>
      </c>
      <c r="HY822" s="319" t="s">
        <v>190</v>
      </c>
      <c r="HZ822" s="319" t="s">
        <v>190</v>
      </c>
      <c r="IA822" s="319" t="s">
        <v>190</v>
      </c>
      <c r="IB822" s="319" t="s">
        <v>190</v>
      </c>
      <c r="IC822" s="319" t="s">
        <v>190</v>
      </c>
      <c r="ID822" s="319" t="s">
        <v>190</v>
      </c>
      <c r="IE822" s="319" t="s">
        <v>190</v>
      </c>
      <c r="IF822" s="319" t="s">
        <v>190</v>
      </c>
      <c r="IG822" s="319" t="s">
        <v>190</v>
      </c>
      <c r="IH822" s="319" t="s">
        <v>190</v>
      </c>
      <c r="II822" s="319" t="s">
        <v>190</v>
      </c>
      <c r="IJ822" s="319">
        <v>10012942</v>
      </c>
      <c r="IK822" s="321">
        <v>42703</v>
      </c>
      <c r="IL822" s="321">
        <v>42705</v>
      </c>
      <c r="IM822" s="321">
        <v>42752</v>
      </c>
      <c r="IN822" s="319">
        <v>2</v>
      </c>
      <c r="IO822" s="319" t="s">
        <v>173</v>
      </c>
      <c r="IP822" s="319" t="s">
        <v>173</v>
      </c>
      <c r="IQ822" s="319" t="s">
        <v>173</v>
      </c>
      <c r="IR822" s="320" t="s">
        <v>173</v>
      </c>
      <c r="IS822" s="320" t="s">
        <v>173</v>
      </c>
      <c r="IT822" s="319" t="s">
        <v>173</v>
      </c>
    </row>
    <row r="823" spans="1:254" s="271" customFormat="1" x14ac:dyDescent="0.25">
      <c r="A823" s="318" t="str">
        <f>HYPERLINK("http://www.ofsted.gov.uk/inspection-reports/find-inspection-report/provider/ELS/142333 ","Ofsted School Webpage")</f>
        <v>Ofsted School Webpage</v>
      </c>
      <c r="B823" s="319">
        <v>142333</v>
      </c>
      <c r="C823" s="319">
        <v>8886062</v>
      </c>
      <c r="D823" s="319" t="s">
        <v>2325</v>
      </c>
      <c r="E823" s="319" t="s">
        <v>167</v>
      </c>
      <c r="F823" s="319" t="s">
        <v>81</v>
      </c>
      <c r="G823" s="319" t="s">
        <v>81</v>
      </c>
      <c r="H823" s="319" t="s">
        <v>81</v>
      </c>
      <c r="I823" s="319" t="s">
        <v>78</v>
      </c>
      <c r="J823" s="319" t="s">
        <v>424</v>
      </c>
      <c r="K823" s="319" t="s">
        <v>431</v>
      </c>
      <c r="L823" s="319" t="s">
        <v>431</v>
      </c>
      <c r="M823" s="319" t="s">
        <v>469</v>
      </c>
      <c r="N823" s="319" t="s">
        <v>3123</v>
      </c>
      <c r="O823" s="319" t="s">
        <v>952</v>
      </c>
      <c r="P823" s="319">
        <v>4</v>
      </c>
      <c r="Q823" s="319" t="s">
        <v>2776</v>
      </c>
      <c r="R823" s="320">
        <v>10067927</v>
      </c>
      <c r="S823" s="321">
        <v>43529</v>
      </c>
      <c r="T823" s="321">
        <v>43530</v>
      </c>
      <c r="U823" s="321">
        <v>43577</v>
      </c>
      <c r="V823" s="319" t="s">
        <v>425</v>
      </c>
      <c r="W823" s="319" t="s">
        <v>2767</v>
      </c>
      <c r="X823" s="319">
        <v>3</v>
      </c>
      <c r="Y823" s="319" t="s">
        <v>173</v>
      </c>
      <c r="Z823" s="319" t="s">
        <v>173</v>
      </c>
      <c r="AA823" s="319" t="s">
        <v>173</v>
      </c>
      <c r="AB823" s="319">
        <v>3</v>
      </c>
      <c r="AC823" s="319" t="s">
        <v>169</v>
      </c>
      <c r="AD823" s="319" t="s">
        <v>173</v>
      </c>
      <c r="AE823" s="319" t="s">
        <v>173</v>
      </c>
      <c r="AF823" s="319" t="s">
        <v>427</v>
      </c>
      <c r="AG823" s="319" t="s">
        <v>171</v>
      </c>
      <c r="AH823" s="319" t="s">
        <v>190</v>
      </c>
      <c r="AI823" s="319" t="s">
        <v>190</v>
      </c>
      <c r="AJ823" s="319" t="s">
        <v>190</v>
      </c>
      <c r="AK823" s="319" t="s">
        <v>190</v>
      </c>
      <c r="AL823" s="319" t="s">
        <v>190</v>
      </c>
      <c r="AM823" s="319" t="s">
        <v>190</v>
      </c>
      <c r="AN823" s="319" t="s">
        <v>190</v>
      </c>
      <c r="AO823" s="319" t="s">
        <v>190</v>
      </c>
      <c r="AP823" s="319" t="s">
        <v>190</v>
      </c>
      <c r="AQ823" s="319" t="s">
        <v>190</v>
      </c>
      <c r="AR823" s="319" t="s">
        <v>190</v>
      </c>
      <c r="AS823" s="319" t="s">
        <v>190</v>
      </c>
      <c r="AT823" s="319" t="s">
        <v>190</v>
      </c>
      <c r="AU823" s="319" t="s">
        <v>190</v>
      </c>
      <c r="AV823" s="319" t="s">
        <v>190</v>
      </c>
      <c r="AW823" s="319" t="s">
        <v>190</v>
      </c>
      <c r="AX823" s="319" t="s">
        <v>190</v>
      </c>
      <c r="AY823" s="319" t="s">
        <v>190</v>
      </c>
      <c r="AZ823" s="319" t="s">
        <v>190</v>
      </c>
      <c r="BA823" s="319" t="s">
        <v>190</v>
      </c>
      <c r="BB823" s="319" t="s">
        <v>190</v>
      </c>
      <c r="BC823" s="319" t="s">
        <v>190</v>
      </c>
      <c r="BD823" s="319" t="s">
        <v>190</v>
      </c>
      <c r="BE823" s="319" t="s">
        <v>190</v>
      </c>
      <c r="BF823" s="319" t="s">
        <v>428</v>
      </c>
      <c r="BG823" s="319" t="s">
        <v>428</v>
      </c>
      <c r="BH823" s="319" t="s">
        <v>190</v>
      </c>
      <c r="BI823" s="319" t="s">
        <v>190</v>
      </c>
      <c r="BJ823" s="319" t="s">
        <v>190</v>
      </c>
      <c r="BK823" s="319" t="s">
        <v>190</v>
      </c>
      <c r="BL823" s="319" t="s">
        <v>190</v>
      </c>
      <c r="BM823" s="319" t="s">
        <v>190</v>
      </c>
      <c r="BN823" s="319" t="s">
        <v>190</v>
      </c>
      <c r="BO823" s="319" t="s">
        <v>190</v>
      </c>
      <c r="BP823" s="319" t="s">
        <v>190</v>
      </c>
      <c r="BQ823" s="319" t="s">
        <v>190</v>
      </c>
      <c r="BR823" s="319" t="s">
        <v>190</v>
      </c>
      <c r="BS823" s="319" t="s">
        <v>190</v>
      </c>
      <c r="BT823" s="319" t="s">
        <v>190</v>
      </c>
      <c r="BU823" s="319" t="s">
        <v>190</v>
      </c>
      <c r="BV823" s="319" t="s">
        <v>190</v>
      </c>
      <c r="BW823" s="319" t="s">
        <v>190</v>
      </c>
      <c r="BX823" s="319" t="s">
        <v>190</v>
      </c>
      <c r="BY823" s="319" t="s">
        <v>190</v>
      </c>
      <c r="BZ823" s="319" t="s">
        <v>190</v>
      </c>
      <c r="CA823" s="319" t="s">
        <v>190</v>
      </c>
      <c r="CB823" s="319" t="s">
        <v>190</v>
      </c>
      <c r="CC823" s="319" t="s">
        <v>190</v>
      </c>
      <c r="CD823" s="319" t="s">
        <v>190</v>
      </c>
      <c r="CE823" s="319" t="s">
        <v>190</v>
      </c>
      <c r="CF823" s="319" t="s">
        <v>190</v>
      </c>
      <c r="CG823" s="319" t="s">
        <v>190</v>
      </c>
      <c r="CH823" s="319" t="s">
        <v>190</v>
      </c>
      <c r="CI823" s="319" t="s">
        <v>190</v>
      </c>
      <c r="CJ823" s="319" t="s">
        <v>190</v>
      </c>
      <c r="CK823" s="319" t="s">
        <v>190</v>
      </c>
      <c r="CL823" s="319" t="s">
        <v>190</v>
      </c>
      <c r="CM823" s="319" t="s">
        <v>190</v>
      </c>
      <c r="CN823" s="319" t="s">
        <v>190</v>
      </c>
      <c r="CO823" s="319" t="s">
        <v>190</v>
      </c>
      <c r="CP823" s="319" t="s">
        <v>190</v>
      </c>
      <c r="CQ823" s="319" t="s">
        <v>190</v>
      </c>
      <c r="CR823" s="319" t="s">
        <v>190</v>
      </c>
      <c r="CS823" s="319" t="s">
        <v>190</v>
      </c>
      <c r="CT823" s="319" t="s">
        <v>190</v>
      </c>
      <c r="CU823" s="319" t="s">
        <v>190</v>
      </c>
      <c r="CV823" s="319" t="s">
        <v>190</v>
      </c>
      <c r="CW823" s="319" t="s">
        <v>190</v>
      </c>
      <c r="CX823" s="319" t="s">
        <v>173</v>
      </c>
      <c r="CY823" s="319" t="s">
        <v>190</v>
      </c>
      <c r="CZ823" s="319" t="s">
        <v>190</v>
      </c>
      <c r="DA823" s="319" t="s">
        <v>190</v>
      </c>
      <c r="DB823" s="319" t="s">
        <v>190</v>
      </c>
      <c r="DC823" s="319" t="s">
        <v>190</v>
      </c>
      <c r="DD823" s="319" t="s">
        <v>190</v>
      </c>
      <c r="DE823" s="319" t="s">
        <v>190</v>
      </c>
      <c r="DF823" s="319" t="s">
        <v>190</v>
      </c>
      <c r="DG823" s="319" t="s">
        <v>190</v>
      </c>
      <c r="DH823" s="319" t="s">
        <v>190</v>
      </c>
      <c r="DI823" s="319" t="s">
        <v>190</v>
      </c>
      <c r="DJ823" s="319" t="s">
        <v>190</v>
      </c>
      <c r="DK823" s="319" t="s">
        <v>190</v>
      </c>
      <c r="DL823" s="319" t="s">
        <v>190</v>
      </c>
      <c r="DM823" s="319" t="s">
        <v>190</v>
      </c>
      <c r="DN823" s="319" t="s">
        <v>428</v>
      </c>
      <c r="DO823" s="319" t="s">
        <v>190</v>
      </c>
      <c r="DP823" s="319" t="s">
        <v>428</v>
      </c>
      <c r="DQ823" s="319" t="s">
        <v>428</v>
      </c>
      <c r="DR823" s="319" t="s">
        <v>428</v>
      </c>
      <c r="DS823" s="319" t="s">
        <v>428</v>
      </c>
      <c r="DT823" s="319" t="s">
        <v>428</v>
      </c>
      <c r="DU823" s="319" t="s">
        <v>428</v>
      </c>
      <c r="DV823" s="319" t="s">
        <v>173</v>
      </c>
      <c r="DW823" s="319" t="s">
        <v>428</v>
      </c>
      <c r="DX823" s="319" t="s">
        <v>428</v>
      </c>
      <c r="DY823" s="319" t="s">
        <v>428</v>
      </c>
      <c r="DZ823" s="319" t="s">
        <v>428</v>
      </c>
      <c r="EA823" s="319" t="s">
        <v>428</v>
      </c>
      <c r="EB823" s="319" t="s">
        <v>428</v>
      </c>
      <c r="EC823" s="319" t="s">
        <v>428</v>
      </c>
      <c r="ED823" s="319" t="s">
        <v>428</v>
      </c>
      <c r="EE823" s="319" t="s">
        <v>190</v>
      </c>
      <c r="EF823" s="319" t="s">
        <v>190</v>
      </c>
      <c r="EG823" s="319" t="s">
        <v>190</v>
      </c>
      <c r="EH823" s="319" t="s">
        <v>190</v>
      </c>
      <c r="EI823" s="319" t="s">
        <v>190</v>
      </c>
      <c r="EJ823" s="319" t="s">
        <v>190</v>
      </c>
      <c r="EK823" s="319" t="s">
        <v>190</v>
      </c>
      <c r="EL823" s="319" t="s">
        <v>190</v>
      </c>
      <c r="EM823" s="319" t="s">
        <v>190</v>
      </c>
      <c r="EN823" s="319" t="s">
        <v>190</v>
      </c>
      <c r="EO823" s="319" t="s">
        <v>190</v>
      </c>
      <c r="EP823" s="319" t="s">
        <v>190</v>
      </c>
      <c r="EQ823" s="319" t="s">
        <v>190</v>
      </c>
      <c r="ER823" s="319" t="s">
        <v>190</v>
      </c>
      <c r="ES823" s="319" t="s">
        <v>190</v>
      </c>
      <c r="ET823" s="319" t="s">
        <v>190</v>
      </c>
      <c r="EU823" s="319" t="s">
        <v>190</v>
      </c>
      <c r="EV823" s="319" t="s">
        <v>190</v>
      </c>
      <c r="EW823" s="319" t="s">
        <v>190</v>
      </c>
      <c r="EX823" s="319" t="s">
        <v>190</v>
      </c>
      <c r="EY823" s="319" t="s">
        <v>190</v>
      </c>
      <c r="EZ823" s="319" t="s">
        <v>190</v>
      </c>
      <c r="FA823" s="319" t="s">
        <v>190</v>
      </c>
      <c r="FB823" s="319" t="s">
        <v>428</v>
      </c>
      <c r="FC823" s="319" t="s">
        <v>428</v>
      </c>
      <c r="FD823" s="319" t="s">
        <v>428</v>
      </c>
      <c r="FE823" s="319" t="s">
        <v>428</v>
      </c>
      <c r="FF823" s="319" t="s">
        <v>428</v>
      </c>
      <c r="FG823" s="319" t="s">
        <v>428</v>
      </c>
      <c r="FH823" s="319" t="s">
        <v>190</v>
      </c>
      <c r="FI823" s="319" t="s">
        <v>190</v>
      </c>
      <c r="FJ823" s="319" t="s">
        <v>190</v>
      </c>
      <c r="FK823" s="319" t="s">
        <v>190</v>
      </c>
      <c r="FL823" s="319" t="s">
        <v>190</v>
      </c>
      <c r="FM823" s="319" t="s">
        <v>190</v>
      </c>
      <c r="FN823" s="319" t="s">
        <v>428</v>
      </c>
      <c r="FO823" s="319" t="s">
        <v>190</v>
      </c>
      <c r="FP823" s="319" t="s">
        <v>190</v>
      </c>
      <c r="FQ823" s="319" t="s">
        <v>190</v>
      </c>
      <c r="FR823" s="319" t="s">
        <v>190</v>
      </c>
      <c r="FS823" s="319" t="s">
        <v>190</v>
      </c>
      <c r="FT823" s="319" t="s">
        <v>190</v>
      </c>
      <c r="FU823" s="319" t="s">
        <v>190</v>
      </c>
      <c r="FV823" s="319" t="s">
        <v>190</v>
      </c>
      <c r="FW823" s="319" t="s">
        <v>190</v>
      </c>
      <c r="FX823" s="319" t="s">
        <v>190</v>
      </c>
      <c r="FY823" s="319" t="s">
        <v>190</v>
      </c>
      <c r="FZ823" s="319" t="s">
        <v>190</v>
      </c>
      <c r="GA823" s="319" t="s">
        <v>190</v>
      </c>
      <c r="GB823" s="319" t="s">
        <v>190</v>
      </c>
      <c r="GC823" s="319" t="s">
        <v>190</v>
      </c>
      <c r="GD823" s="319" t="s">
        <v>190</v>
      </c>
      <c r="GE823" s="319" t="s">
        <v>190</v>
      </c>
      <c r="GF823" s="319" t="s">
        <v>190</v>
      </c>
      <c r="GG823" s="319" t="s">
        <v>190</v>
      </c>
      <c r="GH823" s="319" t="s">
        <v>190</v>
      </c>
      <c r="GI823" s="319" t="s">
        <v>190</v>
      </c>
      <c r="GJ823" s="319" t="s">
        <v>190</v>
      </c>
      <c r="GK823" s="319" t="s">
        <v>428</v>
      </c>
      <c r="GL823" s="319" t="s">
        <v>190</v>
      </c>
      <c r="GM823" s="319" t="s">
        <v>190</v>
      </c>
      <c r="GN823" s="319" t="s">
        <v>190</v>
      </c>
      <c r="GO823" s="319" t="s">
        <v>190</v>
      </c>
      <c r="GP823" s="319" t="s">
        <v>190</v>
      </c>
      <c r="GQ823" s="319" t="s">
        <v>190</v>
      </c>
      <c r="GR823" s="319" t="s">
        <v>190</v>
      </c>
      <c r="GS823" s="319" t="s">
        <v>190</v>
      </c>
      <c r="GT823" s="319" t="s">
        <v>190</v>
      </c>
      <c r="GU823" s="319" t="s">
        <v>190</v>
      </c>
      <c r="GV823" s="319" t="s">
        <v>190</v>
      </c>
      <c r="GW823" s="319" t="s">
        <v>190</v>
      </c>
      <c r="GX823" s="319" t="s">
        <v>190</v>
      </c>
      <c r="GY823" s="319" t="s">
        <v>190</v>
      </c>
      <c r="GZ823" s="319" t="s">
        <v>190</v>
      </c>
      <c r="HA823" s="319" t="s">
        <v>190</v>
      </c>
      <c r="HB823" s="319" t="s">
        <v>190</v>
      </c>
      <c r="HC823" s="319" t="s">
        <v>190</v>
      </c>
      <c r="HD823" s="319" t="s">
        <v>190</v>
      </c>
      <c r="HE823" s="319" t="s">
        <v>190</v>
      </c>
      <c r="HF823" s="319" t="s">
        <v>190</v>
      </c>
      <c r="HG823" s="319" t="s">
        <v>190</v>
      </c>
      <c r="HH823" s="319" t="s">
        <v>190</v>
      </c>
      <c r="HI823" s="319" t="s">
        <v>190</v>
      </c>
      <c r="HJ823" s="319" t="s">
        <v>190</v>
      </c>
      <c r="HK823" s="319" t="s">
        <v>190</v>
      </c>
      <c r="HL823" s="319" t="s">
        <v>190</v>
      </c>
      <c r="HM823" s="319" t="s">
        <v>428</v>
      </c>
      <c r="HN823" s="319" t="s">
        <v>428</v>
      </c>
      <c r="HO823" s="319" t="s">
        <v>428</v>
      </c>
      <c r="HP823" s="319" t="s">
        <v>190</v>
      </c>
      <c r="HQ823" s="319" t="s">
        <v>190</v>
      </c>
      <c r="HR823" s="319" t="s">
        <v>190</v>
      </c>
      <c r="HS823" s="319" t="s">
        <v>190</v>
      </c>
      <c r="HT823" s="319" t="s">
        <v>190</v>
      </c>
      <c r="HU823" s="319" t="s">
        <v>190</v>
      </c>
      <c r="HV823" s="319" t="s">
        <v>190</v>
      </c>
      <c r="HW823" s="319" t="s">
        <v>190</v>
      </c>
      <c r="HX823" s="319" t="s">
        <v>190</v>
      </c>
      <c r="HY823" s="319" t="s">
        <v>190</v>
      </c>
      <c r="HZ823" s="319" t="s">
        <v>190</v>
      </c>
      <c r="IA823" s="319" t="s">
        <v>190</v>
      </c>
      <c r="IB823" s="319" t="s">
        <v>190</v>
      </c>
      <c r="IC823" s="319" t="s">
        <v>190</v>
      </c>
      <c r="ID823" s="319" t="s">
        <v>190</v>
      </c>
      <c r="IE823" s="319" t="s">
        <v>190</v>
      </c>
      <c r="IF823" s="319" t="s">
        <v>190</v>
      </c>
      <c r="IG823" s="319" t="s">
        <v>190</v>
      </c>
      <c r="IH823" s="319" t="s">
        <v>190</v>
      </c>
      <c r="II823" s="319" t="s">
        <v>190</v>
      </c>
      <c r="IJ823" s="319">
        <v>10012972</v>
      </c>
      <c r="IK823" s="321">
        <v>42633</v>
      </c>
      <c r="IL823" s="321">
        <v>42634</v>
      </c>
      <c r="IM823" s="321">
        <v>42657</v>
      </c>
      <c r="IN823" s="319">
        <v>2</v>
      </c>
      <c r="IO823" s="319" t="s">
        <v>173</v>
      </c>
      <c r="IP823" s="319" t="s">
        <v>173</v>
      </c>
      <c r="IQ823" s="319" t="s">
        <v>173</v>
      </c>
      <c r="IR823" s="320" t="s">
        <v>173</v>
      </c>
      <c r="IS823" s="320" t="s">
        <v>173</v>
      </c>
      <c r="IT823" s="319" t="s">
        <v>173</v>
      </c>
    </row>
    <row r="824" spans="1:254" s="271" customFormat="1" x14ac:dyDescent="0.25">
      <c r="A824" s="318" t="str">
        <f>HYPERLINK("http://www.ofsted.gov.uk/inspection-reports/find-inspection-report/provider/ELS/142334 ","Ofsted School Webpage")</f>
        <v>Ofsted School Webpage</v>
      </c>
      <c r="B824" s="319">
        <v>142334</v>
      </c>
      <c r="C824" s="319">
        <v>3016007</v>
      </c>
      <c r="D824" s="319" t="s">
        <v>609</v>
      </c>
      <c r="E824" s="319" t="s">
        <v>168</v>
      </c>
      <c r="F824" s="319" t="s">
        <v>81</v>
      </c>
      <c r="G824" s="319" t="s">
        <v>81</v>
      </c>
      <c r="H824" s="319" t="s">
        <v>81</v>
      </c>
      <c r="I824" s="319" t="s">
        <v>78</v>
      </c>
      <c r="J824" s="319" t="s">
        <v>424</v>
      </c>
      <c r="K824" s="319" t="s">
        <v>441</v>
      </c>
      <c r="L824" s="319" t="s">
        <v>441</v>
      </c>
      <c r="M824" s="319" t="s">
        <v>604</v>
      </c>
      <c r="N824" s="319" t="s">
        <v>3213</v>
      </c>
      <c r="O824" s="319" t="s">
        <v>610</v>
      </c>
      <c r="P824" s="319">
        <v>16</v>
      </c>
      <c r="Q824" s="319" t="s">
        <v>429</v>
      </c>
      <c r="R824" s="320">
        <v>10055473</v>
      </c>
      <c r="S824" s="321">
        <v>43410</v>
      </c>
      <c r="T824" s="321">
        <v>43412</v>
      </c>
      <c r="U824" s="321">
        <v>43430</v>
      </c>
      <c r="V824" s="319" t="s">
        <v>425</v>
      </c>
      <c r="W824" s="319" t="s">
        <v>2767</v>
      </c>
      <c r="X824" s="319">
        <v>2</v>
      </c>
      <c r="Y824" s="319" t="s">
        <v>173</v>
      </c>
      <c r="Z824" s="319" t="s">
        <v>173</v>
      </c>
      <c r="AA824" s="319" t="s">
        <v>173</v>
      </c>
      <c r="AB824" s="319">
        <v>2</v>
      </c>
      <c r="AC824" s="319" t="s">
        <v>169</v>
      </c>
      <c r="AD824" s="319" t="s">
        <v>173</v>
      </c>
      <c r="AE824" s="319" t="s">
        <v>173</v>
      </c>
      <c r="AF824" s="319" t="s">
        <v>427</v>
      </c>
      <c r="AG824" s="319" t="s">
        <v>171</v>
      </c>
      <c r="AH824" s="319" t="s">
        <v>190</v>
      </c>
      <c r="AI824" s="319" t="s">
        <v>190</v>
      </c>
      <c r="AJ824" s="319" t="s">
        <v>190</v>
      </c>
      <c r="AK824" s="319" t="s">
        <v>190</v>
      </c>
      <c r="AL824" s="319" t="s">
        <v>190</v>
      </c>
      <c r="AM824" s="319" t="s">
        <v>190</v>
      </c>
      <c r="AN824" s="319" t="s">
        <v>190</v>
      </c>
      <c r="AO824" s="319" t="s">
        <v>190</v>
      </c>
      <c r="AP824" s="319" t="s">
        <v>190</v>
      </c>
      <c r="AQ824" s="319" t="s">
        <v>190</v>
      </c>
      <c r="AR824" s="319" t="s">
        <v>190</v>
      </c>
      <c r="AS824" s="319" t="s">
        <v>190</v>
      </c>
      <c r="AT824" s="319" t="s">
        <v>190</v>
      </c>
      <c r="AU824" s="319" t="s">
        <v>190</v>
      </c>
      <c r="AV824" s="319" t="s">
        <v>190</v>
      </c>
      <c r="AW824" s="319" t="s">
        <v>190</v>
      </c>
      <c r="AX824" s="319" t="s">
        <v>428</v>
      </c>
      <c r="AY824" s="319" t="s">
        <v>190</v>
      </c>
      <c r="AZ824" s="319" t="s">
        <v>190</v>
      </c>
      <c r="BA824" s="319" t="s">
        <v>190</v>
      </c>
      <c r="BB824" s="319" t="s">
        <v>190</v>
      </c>
      <c r="BC824" s="319" t="s">
        <v>190</v>
      </c>
      <c r="BD824" s="319" t="s">
        <v>190</v>
      </c>
      <c r="BE824" s="319" t="s">
        <v>190</v>
      </c>
      <c r="BF824" s="319" t="s">
        <v>428</v>
      </c>
      <c r="BG824" s="319" t="s">
        <v>428</v>
      </c>
      <c r="BH824" s="319" t="s">
        <v>190</v>
      </c>
      <c r="BI824" s="319" t="s">
        <v>190</v>
      </c>
      <c r="BJ824" s="319" t="s">
        <v>190</v>
      </c>
      <c r="BK824" s="319" t="s">
        <v>190</v>
      </c>
      <c r="BL824" s="319" t="s">
        <v>190</v>
      </c>
      <c r="BM824" s="319" t="s">
        <v>190</v>
      </c>
      <c r="BN824" s="319" t="s">
        <v>190</v>
      </c>
      <c r="BO824" s="319" t="s">
        <v>190</v>
      </c>
      <c r="BP824" s="319" t="s">
        <v>190</v>
      </c>
      <c r="BQ824" s="319" t="s">
        <v>190</v>
      </c>
      <c r="BR824" s="319" t="s">
        <v>190</v>
      </c>
      <c r="BS824" s="319" t="s">
        <v>190</v>
      </c>
      <c r="BT824" s="319" t="s">
        <v>190</v>
      </c>
      <c r="BU824" s="319" t="s">
        <v>190</v>
      </c>
      <c r="BV824" s="319" t="s">
        <v>190</v>
      </c>
      <c r="BW824" s="319" t="s">
        <v>190</v>
      </c>
      <c r="BX824" s="319" t="s">
        <v>190</v>
      </c>
      <c r="BY824" s="319" t="s">
        <v>190</v>
      </c>
      <c r="BZ824" s="319" t="s">
        <v>190</v>
      </c>
      <c r="CA824" s="319" t="s">
        <v>190</v>
      </c>
      <c r="CB824" s="319" t="s">
        <v>190</v>
      </c>
      <c r="CC824" s="319" t="s">
        <v>190</v>
      </c>
      <c r="CD824" s="319" t="s">
        <v>190</v>
      </c>
      <c r="CE824" s="319" t="s">
        <v>190</v>
      </c>
      <c r="CF824" s="319" t="s">
        <v>190</v>
      </c>
      <c r="CG824" s="319" t="s">
        <v>190</v>
      </c>
      <c r="CH824" s="319" t="s">
        <v>190</v>
      </c>
      <c r="CI824" s="319" t="s">
        <v>190</v>
      </c>
      <c r="CJ824" s="319" t="s">
        <v>190</v>
      </c>
      <c r="CK824" s="319" t="s">
        <v>190</v>
      </c>
      <c r="CL824" s="319" t="s">
        <v>190</v>
      </c>
      <c r="CM824" s="319" t="s">
        <v>190</v>
      </c>
      <c r="CN824" s="319" t="s">
        <v>428</v>
      </c>
      <c r="CO824" s="319" t="s">
        <v>428</v>
      </c>
      <c r="CP824" s="319" t="s">
        <v>428</v>
      </c>
      <c r="CQ824" s="319" t="s">
        <v>190</v>
      </c>
      <c r="CR824" s="319" t="s">
        <v>190</v>
      </c>
      <c r="CS824" s="319" t="s">
        <v>190</v>
      </c>
      <c r="CT824" s="319" t="s">
        <v>190</v>
      </c>
      <c r="CU824" s="319" t="s">
        <v>190</v>
      </c>
      <c r="CV824" s="319" t="s">
        <v>190</v>
      </c>
      <c r="CW824" s="319" t="s">
        <v>190</v>
      </c>
      <c r="CX824" s="319" t="s">
        <v>190</v>
      </c>
      <c r="CY824" s="319" t="s">
        <v>190</v>
      </c>
      <c r="CZ824" s="319" t="s">
        <v>190</v>
      </c>
      <c r="DA824" s="319" t="s">
        <v>190</v>
      </c>
      <c r="DB824" s="319" t="s">
        <v>190</v>
      </c>
      <c r="DC824" s="319" t="s">
        <v>190</v>
      </c>
      <c r="DD824" s="319" t="s">
        <v>190</v>
      </c>
      <c r="DE824" s="319" t="s">
        <v>190</v>
      </c>
      <c r="DF824" s="319" t="s">
        <v>190</v>
      </c>
      <c r="DG824" s="319" t="s">
        <v>190</v>
      </c>
      <c r="DH824" s="319" t="s">
        <v>190</v>
      </c>
      <c r="DI824" s="319" t="s">
        <v>190</v>
      </c>
      <c r="DJ824" s="319" t="s">
        <v>190</v>
      </c>
      <c r="DK824" s="319" t="s">
        <v>190</v>
      </c>
      <c r="DL824" s="319" t="s">
        <v>190</v>
      </c>
      <c r="DM824" s="319" t="s">
        <v>190</v>
      </c>
      <c r="DN824" s="319" t="s">
        <v>428</v>
      </c>
      <c r="DO824" s="319" t="s">
        <v>190</v>
      </c>
      <c r="DP824" s="319" t="s">
        <v>190</v>
      </c>
      <c r="DQ824" s="319" t="s">
        <v>190</v>
      </c>
      <c r="DR824" s="319" t="s">
        <v>190</v>
      </c>
      <c r="DS824" s="319" t="s">
        <v>190</v>
      </c>
      <c r="DT824" s="319" t="s">
        <v>190</v>
      </c>
      <c r="DU824" s="319" t="s">
        <v>190</v>
      </c>
      <c r="DV824" s="319" t="s">
        <v>173</v>
      </c>
      <c r="DW824" s="319" t="s">
        <v>190</v>
      </c>
      <c r="DX824" s="319" t="s">
        <v>190</v>
      </c>
      <c r="DY824" s="319" t="s">
        <v>190</v>
      </c>
      <c r="DZ824" s="319" t="s">
        <v>190</v>
      </c>
      <c r="EA824" s="319" t="s">
        <v>190</v>
      </c>
      <c r="EB824" s="319" t="s">
        <v>190</v>
      </c>
      <c r="EC824" s="319" t="s">
        <v>428</v>
      </c>
      <c r="ED824" s="319" t="s">
        <v>190</v>
      </c>
      <c r="EE824" s="319" t="s">
        <v>190</v>
      </c>
      <c r="EF824" s="319" t="s">
        <v>190</v>
      </c>
      <c r="EG824" s="319" t="s">
        <v>190</v>
      </c>
      <c r="EH824" s="319" t="s">
        <v>190</v>
      </c>
      <c r="EI824" s="319" t="s">
        <v>190</v>
      </c>
      <c r="EJ824" s="319" t="s">
        <v>190</v>
      </c>
      <c r="EK824" s="319" t="s">
        <v>190</v>
      </c>
      <c r="EL824" s="319" t="s">
        <v>190</v>
      </c>
      <c r="EM824" s="319" t="s">
        <v>190</v>
      </c>
      <c r="EN824" s="319" t="s">
        <v>190</v>
      </c>
      <c r="EO824" s="319" t="s">
        <v>190</v>
      </c>
      <c r="EP824" s="319" t="s">
        <v>190</v>
      </c>
      <c r="EQ824" s="319" t="s">
        <v>190</v>
      </c>
      <c r="ER824" s="319" t="s">
        <v>190</v>
      </c>
      <c r="ES824" s="319" t="s">
        <v>190</v>
      </c>
      <c r="ET824" s="319" t="s">
        <v>190</v>
      </c>
      <c r="EU824" s="319" t="s">
        <v>190</v>
      </c>
      <c r="EV824" s="319" t="s">
        <v>190</v>
      </c>
      <c r="EW824" s="319" t="s">
        <v>190</v>
      </c>
      <c r="EX824" s="319" t="s">
        <v>190</v>
      </c>
      <c r="EY824" s="319" t="s">
        <v>190</v>
      </c>
      <c r="EZ824" s="319" t="s">
        <v>190</v>
      </c>
      <c r="FA824" s="319" t="s">
        <v>190</v>
      </c>
      <c r="FB824" s="319" t="s">
        <v>190</v>
      </c>
      <c r="FC824" s="319" t="s">
        <v>190</v>
      </c>
      <c r="FD824" s="319" t="s">
        <v>190</v>
      </c>
      <c r="FE824" s="319" t="s">
        <v>190</v>
      </c>
      <c r="FF824" s="319" t="s">
        <v>190</v>
      </c>
      <c r="FG824" s="319" t="s">
        <v>190</v>
      </c>
      <c r="FH824" s="319" t="s">
        <v>190</v>
      </c>
      <c r="FI824" s="319" t="s">
        <v>190</v>
      </c>
      <c r="FJ824" s="319" t="s">
        <v>190</v>
      </c>
      <c r="FK824" s="319" t="s">
        <v>190</v>
      </c>
      <c r="FL824" s="319" t="s">
        <v>190</v>
      </c>
      <c r="FM824" s="319" t="s">
        <v>190</v>
      </c>
      <c r="FN824" s="319" t="s">
        <v>190</v>
      </c>
      <c r="FO824" s="319" t="s">
        <v>190</v>
      </c>
      <c r="FP824" s="319" t="s">
        <v>190</v>
      </c>
      <c r="FQ824" s="319" t="s">
        <v>190</v>
      </c>
      <c r="FR824" s="319" t="s">
        <v>190</v>
      </c>
      <c r="FS824" s="319" t="s">
        <v>428</v>
      </c>
      <c r="FT824" s="319" t="s">
        <v>190</v>
      </c>
      <c r="FU824" s="319" t="s">
        <v>190</v>
      </c>
      <c r="FV824" s="319" t="s">
        <v>190</v>
      </c>
      <c r="FW824" s="319" t="s">
        <v>190</v>
      </c>
      <c r="FX824" s="319" t="s">
        <v>190</v>
      </c>
      <c r="FY824" s="319" t="s">
        <v>190</v>
      </c>
      <c r="FZ824" s="319" t="s">
        <v>190</v>
      </c>
      <c r="GA824" s="319" t="s">
        <v>190</v>
      </c>
      <c r="GB824" s="319" t="s">
        <v>190</v>
      </c>
      <c r="GC824" s="319" t="s">
        <v>190</v>
      </c>
      <c r="GD824" s="319" t="s">
        <v>190</v>
      </c>
      <c r="GE824" s="319" t="s">
        <v>190</v>
      </c>
      <c r="GF824" s="319" t="s">
        <v>190</v>
      </c>
      <c r="GG824" s="319" t="s">
        <v>190</v>
      </c>
      <c r="GH824" s="319" t="s">
        <v>190</v>
      </c>
      <c r="GI824" s="319" t="s">
        <v>190</v>
      </c>
      <c r="GJ824" s="319" t="s">
        <v>190</v>
      </c>
      <c r="GK824" s="319" t="s">
        <v>428</v>
      </c>
      <c r="GL824" s="319" t="s">
        <v>190</v>
      </c>
      <c r="GM824" s="319" t="s">
        <v>190</v>
      </c>
      <c r="GN824" s="319" t="s">
        <v>190</v>
      </c>
      <c r="GO824" s="319" t="s">
        <v>190</v>
      </c>
      <c r="GP824" s="319" t="s">
        <v>190</v>
      </c>
      <c r="GQ824" s="319" t="s">
        <v>428</v>
      </c>
      <c r="GR824" s="319" t="s">
        <v>190</v>
      </c>
      <c r="GS824" s="319" t="s">
        <v>190</v>
      </c>
      <c r="GT824" s="319" t="s">
        <v>190</v>
      </c>
      <c r="GU824" s="319" t="s">
        <v>190</v>
      </c>
      <c r="GV824" s="319" t="s">
        <v>190</v>
      </c>
      <c r="GW824" s="319" t="s">
        <v>190</v>
      </c>
      <c r="GX824" s="319" t="s">
        <v>190</v>
      </c>
      <c r="GY824" s="319" t="s">
        <v>190</v>
      </c>
      <c r="GZ824" s="319" t="s">
        <v>190</v>
      </c>
      <c r="HA824" s="319" t="s">
        <v>190</v>
      </c>
      <c r="HB824" s="319" t="s">
        <v>190</v>
      </c>
      <c r="HC824" s="319" t="s">
        <v>190</v>
      </c>
      <c r="HD824" s="319" t="s">
        <v>190</v>
      </c>
      <c r="HE824" s="319" t="s">
        <v>190</v>
      </c>
      <c r="HF824" s="319" t="s">
        <v>190</v>
      </c>
      <c r="HG824" s="319" t="s">
        <v>190</v>
      </c>
      <c r="HH824" s="319" t="s">
        <v>190</v>
      </c>
      <c r="HI824" s="319" t="s">
        <v>190</v>
      </c>
      <c r="HJ824" s="319" t="s">
        <v>190</v>
      </c>
      <c r="HK824" s="319" t="s">
        <v>190</v>
      </c>
      <c r="HL824" s="319" t="s">
        <v>428</v>
      </c>
      <c r="HM824" s="319" t="s">
        <v>428</v>
      </c>
      <c r="HN824" s="319" t="s">
        <v>428</v>
      </c>
      <c r="HO824" s="319" t="s">
        <v>428</v>
      </c>
      <c r="HP824" s="319" t="s">
        <v>190</v>
      </c>
      <c r="HQ824" s="319" t="s">
        <v>190</v>
      </c>
      <c r="HR824" s="319" t="s">
        <v>190</v>
      </c>
      <c r="HS824" s="319" t="s">
        <v>190</v>
      </c>
      <c r="HT824" s="319" t="s">
        <v>190</v>
      </c>
      <c r="HU824" s="319" t="s">
        <v>190</v>
      </c>
      <c r="HV824" s="319" t="s">
        <v>190</v>
      </c>
      <c r="HW824" s="319" t="s">
        <v>190</v>
      </c>
      <c r="HX824" s="319" t="s">
        <v>190</v>
      </c>
      <c r="HY824" s="319" t="s">
        <v>190</v>
      </c>
      <c r="HZ824" s="319" t="s">
        <v>190</v>
      </c>
      <c r="IA824" s="319" t="s">
        <v>190</v>
      </c>
      <c r="IB824" s="319" t="s">
        <v>190</v>
      </c>
      <c r="IC824" s="319" t="s">
        <v>190</v>
      </c>
      <c r="ID824" s="319" t="s">
        <v>190</v>
      </c>
      <c r="IE824" s="319" t="s">
        <v>190</v>
      </c>
      <c r="IF824" s="319" t="s">
        <v>190</v>
      </c>
      <c r="IG824" s="319" t="s">
        <v>190</v>
      </c>
      <c r="IH824" s="319" t="s">
        <v>190</v>
      </c>
      <c r="II824" s="319" t="s">
        <v>190</v>
      </c>
      <c r="IJ824" s="319">
        <v>10041270</v>
      </c>
      <c r="IK824" s="321">
        <v>43018</v>
      </c>
      <c r="IL824" s="321">
        <v>43020</v>
      </c>
      <c r="IM824" s="321">
        <v>43077</v>
      </c>
      <c r="IN824" s="319">
        <v>3</v>
      </c>
      <c r="IO824" s="319" t="s">
        <v>173</v>
      </c>
      <c r="IP824" s="319" t="s">
        <v>173</v>
      </c>
      <c r="IQ824" s="319" t="s">
        <v>173</v>
      </c>
      <c r="IR824" s="320" t="s">
        <v>173</v>
      </c>
      <c r="IS824" s="320" t="s">
        <v>173</v>
      </c>
      <c r="IT824" s="319" t="s">
        <v>173</v>
      </c>
    </row>
    <row r="825" spans="1:254" s="271" customFormat="1" x14ac:dyDescent="0.25">
      <c r="A825" s="318" t="str">
        <f>HYPERLINK("http://www.ofsted.gov.uk/inspection-reports/find-inspection-report/provider/ELS/142338 ","Ofsted School Webpage")</f>
        <v>Ofsted School Webpage</v>
      </c>
      <c r="B825" s="319">
        <v>142338</v>
      </c>
      <c r="C825" s="319">
        <v>3306019</v>
      </c>
      <c r="D825" s="319" t="s">
        <v>2326</v>
      </c>
      <c r="E825" s="319" t="s">
        <v>167</v>
      </c>
      <c r="F825" s="319" t="s">
        <v>81</v>
      </c>
      <c r="G825" s="319" t="s">
        <v>81</v>
      </c>
      <c r="H825" s="319" t="s">
        <v>81</v>
      </c>
      <c r="I825" s="319" t="s">
        <v>78</v>
      </c>
      <c r="J825" s="319" t="s">
        <v>424</v>
      </c>
      <c r="K825" s="319" t="s">
        <v>437</v>
      </c>
      <c r="L825" s="319" t="s">
        <v>437</v>
      </c>
      <c r="M825" s="319" t="s">
        <v>813</v>
      </c>
      <c r="N825" s="319" t="s">
        <v>2855</v>
      </c>
      <c r="O825" s="319" t="s">
        <v>2327</v>
      </c>
      <c r="P825" s="319">
        <v>60</v>
      </c>
      <c r="Q825" s="319" t="s">
        <v>2776</v>
      </c>
      <c r="R825" s="320">
        <v>10012983</v>
      </c>
      <c r="S825" s="321">
        <v>42892</v>
      </c>
      <c r="T825" s="321">
        <v>42894</v>
      </c>
      <c r="U825" s="321">
        <v>42983</v>
      </c>
      <c r="V825" s="319" t="s">
        <v>435</v>
      </c>
      <c r="W825" s="319" t="s">
        <v>2767</v>
      </c>
      <c r="X825" s="319">
        <v>3</v>
      </c>
      <c r="Y825" s="319" t="s">
        <v>173</v>
      </c>
      <c r="Z825" s="319" t="s">
        <v>173</v>
      </c>
      <c r="AA825" s="319" t="s">
        <v>173</v>
      </c>
      <c r="AB825" s="319">
        <v>2</v>
      </c>
      <c r="AC825" s="319" t="s">
        <v>169</v>
      </c>
      <c r="AD825" s="319" t="s">
        <v>173</v>
      </c>
      <c r="AE825" s="319">
        <v>3</v>
      </c>
      <c r="AF825" s="319" t="s">
        <v>173</v>
      </c>
      <c r="AG825" s="319" t="s">
        <v>171</v>
      </c>
      <c r="AH825" s="319" t="s">
        <v>190</v>
      </c>
      <c r="AI825" s="319" t="s">
        <v>190</v>
      </c>
      <c r="AJ825" s="319" t="s">
        <v>190</v>
      </c>
      <c r="AK825" s="319" t="s">
        <v>190</v>
      </c>
      <c r="AL825" s="319" t="s">
        <v>190</v>
      </c>
      <c r="AM825" s="319" t="s">
        <v>190</v>
      </c>
      <c r="AN825" s="319" t="s">
        <v>190</v>
      </c>
      <c r="AO825" s="319" t="s">
        <v>190</v>
      </c>
      <c r="AP825" s="319" t="s">
        <v>190</v>
      </c>
      <c r="AQ825" s="319" t="s">
        <v>190</v>
      </c>
      <c r="AR825" s="319" t="s">
        <v>190</v>
      </c>
      <c r="AS825" s="319" t="s">
        <v>190</v>
      </c>
      <c r="AT825" s="319" t="s">
        <v>190</v>
      </c>
      <c r="AU825" s="319" t="s">
        <v>190</v>
      </c>
      <c r="AV825" s="319" t="s">
        <v>190</v>
      </c>
      <c r="AW825" s="319" t="s">
        <v>190</v>
      </c>
      <c r="AX825" s="319" t="s">
        <v>429</v>
      </c>
      <c r="AY825" s="319" t="s">
        <v>190</v>
      </c>
      <c r="AZ825" s="319" t="s">
        <v>190</v>
      </c>
      <c r="BA825" s="319" t="s">
        <v>190</v>
      </c>
      <c r="BB825" s="319" t="s">
        <v>190</v>
      </c>
      <c r="BC825" s="319" t="s">
        <v>190</v>
      </c>
      <c r="BD825" s="319" t="s">
        <v>190</v>
      </c>
      <c r="BE825" s="319" t="s">
        <v>190</v>
      </c>
      <c r="BF825" s="319" t="s">
        <v>429</v>
      </c>
      <c r="BG825" s="319" t="s">
        <v>190</v>
      </c>
      <c r="BH825" s="319" t="s">
        <v>190</v>
      </c>
      <c r="BI825" s="319" t="s">
        <v>190</v>
      </c>
      <c r="BJ825" s="319" t="s">
        <v>190</v>
      </c>
      <c r="BK825" s="319" t="s">
        <v>190</v>
      </c>
      <c r="BL825" s="319" t="s">
        <v>190</v>
      </c>
      <c r="BM825" s="319" t="s">
        <v>190</v>
      </c>
      <c r="BN825" s="319" t="s">
        <v>190</v>
      </c>
      <c r="BO825" s="319" t="s">
        <v>190</v>
      </c>
      <c r="BP825" s="319" t="s">
        <v>190</v>
      </c>
      <c r="BQ825" s="319" t="s">
        <v>190</v>
      </c>
      <c r="BR825" s="319" t="s">
        <v>190</v>
      </c>
      <c r="BS825" s="319" t="s">
        <v>190</v>
      </c>
      <c r="BT825" s="319" t="s">
        <v>190</v>
      </c>
      <c r="BU825" s="319" t="s">
        <v>190</v>
      </c>
      <c r="BV825" s="319" t="s">
        <v>190</v>
      </c>
      <c r="BW825" s="319" t="s">
        <v>190</v>
      </c>
      <c r="BX825" s="319" t="s">
        <v>190</v>
      </c>
      <c r="BY825" s="319" t="s">
        <v>190</v>
      </c>
      <c r="BZ825" s="319" t="s">
        <v>190</v>
      </c>
      <c r="CA825" s="319" t="s">
        <v>190</v>
      </c>
      <c r="CB825" s="319" t="s">
        <v>190</v>
      </c>
      <c r="CC825" s="319" t="s">
        <v>190</v>
      </c>
      <c r="CD825" s="319" t="s">
        <v>190</v>
      </c>
      <c r="CE825" s="319" t="s">
        <v>190</v>
      </c>
      <c r="CF825" s="319" t="s">
        <v>190</v>
      </c>
      <c r="CG825" s="319" t="s">
        <v>190</v>
      </c>
      <c r="CH825" s="319" t="s">
        <v>190</v>
      </c>
      <c r="CI825" s="319" t="s">
        <v>190</v>
      </c>
      <c r="CJ825" s="319" t="s">
        <v>190</v>
      </c>
      <c r="CK825" s="319" t="s">
        <v>190</v>
      </c>
      <c r="CL825" s="319" t="s">
        <v>190</v>
      </c>
      <c r="CM825" s="319" t="s">
        <v>190</v>
      </c>
      <c r="CN825" s="319" t="s">
        <v>429</v>
      </c>
      <c r="CO825" s="319" t="s">
        <v>429</v>
      </c>
      <c r="CP825" s="319" t="s">
        <v>429</v>
      </c>
      <c r="CQ825" s="319" t="s">
        <v>190</v>
      </c>
      <c r="CR825" s="319" t="s">
        <v>190</v>
      </c>
      <c r="CS825" s="319" t="s">
        <v>190</v>
      </c>
      <c r="CT825" s="319" t="s">
        <v>190</v>
      </c>
      <c r="CU825" s="319" t="s">
        <v>190</v>
      </c>
      <c r="CV825" s="319" t="s">
        <v>190</v>
      </c>
      <c r="CW825" s="319" t="s">
        <v>190</v>
      </c>
      <c r="CX825" s="319" t="s">
        <v>190</v>
      </c>
      <c r="CY825" s="319" t="s">
        <v>190</v>
      </c>
      <c r="CZ825" s="319" t="s">
        <v>190</v>
      </c>
      <c r="DA825" s="319" t="s">
        <v>190</v>
      </c>
      <c r="DB825" s="319" t="s">
        <v>190</v>
      </c>
      <c r="DC825" s="319" t="s">
        <v>190</v>
      </c>
      <c r="DD825" s="319" t="s">
        <v>190</v>
      </c>
      <c r="DE825" s="319" t="s">
        <v>190</v>
      </c>
      <c r="DF825" s="319" t="s">
        <v>190</v>
      </c>
      <c r="DG825" s="319" t="s">
        <v>190</v>
      </c>
      <c r="DH825" s="319" t="s">
        <v>190</v>
      </c>
      <c r="DI825" s="319" t="s">
        <v>190</v>
      </c>
      <c r="DJ825" s="319" t="s">
        <v>190</v>
      </c>
      <c r="DK825" s="319" t="s">
        <v>190</v>
      </c>
      <c r="DL825" s="319" t="s">
        <v>190</v>
      </c>
      <c r="DM825" s="319" t="s">
        <v>190</v>
      </c>
      <c r="DN825" s="319" t="s">
        <v>190</v>
      </c>
      <c r="DO825" s="319" t="s">
        <v>190</v>
      </c>
      <c r="DP825" s="319" t="s">
        <v>429</v>
      </c>
      <c r="DQ825" s="319" t="s">
        <v>429</v>
      </c>
      <c r="DR825" s="319" t="s">
        <v>429</v>
      </c>
      <c r="DS825" s="319" t="s">
        <v>429</v>
      </c>
      <c r="DT825" s="319" t="s">
        <v>429</v>
      </c>
      <c r="DU825" s="319" t="s">
        <v>429</v>
      </c>
      <c r="DV825" s="319" t="s">
        <v>173</v>
      </c>
      <c r="DW825" s="319" t="s">
        <v>429</v>
      </c>
      <c r="DX825" s="319" t="s">
        <v>429</v>
      </c>
      <c r="DY825" s="319" t="s">
        <v>429</v>
      </c>
      <c r="DZ825" s="319" t="s">
        <v>429</v>
      </c>
      <c r="EA825" s="319" t="s">
        <v>429</v>
      </c>
      <c r="EB825" s="319" t="s">
        <v>429</v>
      </c>
      <c r="EC825" s="319" t="s">
        <v>429</v>
      </c>
      <c r="ED825" s="319" t="s">
        <v>429</v>
      </c>
      <c r="EE825" s="319" t="s">
        <v>190</v>
      </c>
      <c r="EF825" s="319" t="s">
        <v>190</v>
      </c>
      <c r="EG825" s="319" t="s">
        <v>190</v>
      </c>
      <c r="EH825" s="319" t="s">
        <v>190</v>
      </c>
      <c r="EI825" s="319" t="s">
        <v>190</v>
      </c>
      <c r="EJ825" s="319" t="s">
        <v>190</v>
      </c>
      <c r="EK825" s="319" t="s">
        <v>190</v>
      </c>
      <c r="EL825" s="319" t="s">
        <v>190</v>
      </c>
      <c r="EM825" s="319" t="s">
        <v>190</v>
      </c>
      <c r="EN825" s="319" t="s">
        <v>190</v>
      </c>
      <c r="EO825" s="319" t="s">
        <v>190</v>
      </c>
      <c r="EP825" s="319" t="s">
        <v>190</v>
      </c>
      <c r="EQ825" s="319" t="s">
        <v>190</v>
      </c>
      <c r="ER825" s="319" t="s">
        <v>190</v>
      </c>
      <c r="ES825" s="319" t="s">
        <v>190</v>
      </c>
      <c r="ET825" s="319" t="s">
        <v>190</v>
      </c>
      <c r="EU825" s="319" t="s">
        <v>190</v>
      </c>
      <c r="EV825" s="319" t="s">
        <v>190</v>
      </c>
      <c r="EW825" s="319" t="s">
        <v>190</v>
      </c>
      <c r="EX825" s="319" t="s">
        <v>190</v>
      </c>
      <c r="EY825" s="319" t="s">
        <v>190</v>
      </c>
      <c r="EZ825" s="319" t="s">
        <v>190</v>
      </c>
      <c r="FA825" s="319" t="s">
        <v>429</v>
      </c>
      <c r="FB825" s="319" t="s">
        <v>429</v>
      </c>
      <c r="FC825" s="319" t="s">
        <v>429</v>
      </c>
      <c r="FD825" s="319" t="s">
        <v>429</v>
      </c>
      <c r="FE825" s="319" t="s">
        <v>429</v>
      </c>
      <c r="FF825" s="319" t="s">
        <v>429</v>
      </c>
      <c r="FG825" s="319" t="s">
        <v>429</v>
      </c>
      <c r="FH825" s="319" t="s">
        <v>190</v>
      </c>
      <c r="FI825" s="319" t="s">
        <v>429</v>
      </c>
      <c r="FJ825" s="319" t="s">
        <v>190</v>
      </c>
      <c r="FK825" s="319" t="s">
        <v>190</v>
      </c>
      <c r="FL825" s="319" t="s">
        <v>190</v>
      </c>
      <c r="FM825" s="319" t="s">
        <v>190</v>
      </c>
      <c r="FN825" s="319" t="s">
        <v>190</v>
      </c>
      <c r="FO825" s="319" t="s">
        <v>190</v>
      </c>
      <c r="FP825" s="319" t="s">
        <v>190</v>
      </c>
      <c r="FQ825" s="319" t="s">
        <v>190</v>
      </c>
      <c r="FR825" s="319" t="s">
        <v>190</v>
      </c>
      <c r="FS825" s="319" t="s">
        <v>429</v>
      </c>
      <c r="FT825" s="319" t="s">
        <v>190</v>
      </c>
      <c r="FU825" s="319" t="s">
        <v>190</v>
      </c>
      <c r="FV825" s="319" t="s">
        <v>190</v>
      </c>
      <c r="FW825" s="319" t="s">
        <v>190</v>
      </c>
      <c r="FX825" s="319" t="s">
        <v>190</v>
      </c>
      <c r="FY825" s="319" t="s">
        <v>190</v>
      </c>
      <c r="FZ825" s="319" t="s">
        <v>190</v>
      </c>
      <c r="GA825" s="319" t="s">
        <v>190</v>
      </c>
      <c r="GB825" s="319" t="s">
        <v>190</v>
      </c>
      <c r="GC825" s="319" t="s">
        <v>190</v>
      </c>
      <c r="GD825" s="319" t="s">
        <v>190</v>
      </c>
      <c r="GE825" s="319" t="s">
        <v>190</v>
      </c>
      <c r="GF825" s="319" t="s">
        <v>190</v>
      </c>
      <c r="GG825" s="319" t="s">
        <v>190</v>
      </c>
      <c r="GH825" s="319" t="s">
        <v>190</v>
      </c>
      <c r="GI825" s="319" t="s">
        <v>190</v>
      </c>
      <c r="GJ825" s="319" t="s">
        <v>190</v>
      </c>
      <c r="GK825" s="319" t="s">
        <v>429</v>
      </c>
      <c r="GL825" s="319" t="s">
        <v>190</v>
      </c>
      <c r="GM825" s="319" t="s">
        <v>190</v>
      </c>
      <c r="GN825" s="319" t="s">
        <v>190</v>
      </c>
      <c r="GO825" s="319" t="s">
        <v>190</v>
      </c>
      <c r="GP825" s="319" t="s">
        <v>190</v>
      </c>
      <c r="GQ825" s="319" t="s">
        <v>190</v>
      </c>
      <c r="GR825" s="319" t="s">
        <v>190</v>
      </c>
      <c r="GS825" s="319" t="s">
        <v>190</v>
      </c>
      <c r="GT825" s="319" t="s">
        <v>190</v>
      </c>
      <c r="GU825" s="319" t="s">
        <v>190</v>
      </c>
      <c r="GV825" s="319" t="s">
        <v>190</v>
      </c>
      <c r="GW825" s="319" t="s">
        <v>190</v>
      </c>
      <c r="GX825" s="319" t="s">
        <v>190</v>
      </c>
      <c r="GY825" s="319" t="s">
        <v>190</v>
      </c>
      <c r="GZ825" s="319" t="s">
        <v>190</v>
      </c>
      <c r="HA825" s="319" t="s">
        <v>429</v>
      </c>
      <c r="HB825" s="319" t="s">
        <v>190</v>
      </c>
      <c r="HC825" s="319" t="s">
        <v>190</v>
      </c>
      <c r="HD825" s="319" t="s">
        <v>190</v>
      </c>
      <c r="HE825" s="319" t="s">
        <v>190</v>
      </c>
      <c r="HF825" s="319" t="s">
        <v>190</v>
      </c>
      <c r="HG825" s="319" t="s">
        <v>190</v>
      </c>
      <c r="HH825" s="319" t="s">
        <v>190</v>
      </c>
      <c r="HI825" s="319" t="s">
        <v>429</v>
      </c>
      <c r="HJ825" s="319" t="s">
        <v>190</v>
      </c>
      <c r="HK825" s="319" t="s">
        <v>190</v>
      </c>
      <c r="HL825" s="319" t="s">
        <v>429</v>
      </c>
      <c r="HM825" s="319" t="s">
        <v>429</v>
      </c>
      <c r="HN825" s="319" t="s">
        <v>429</v>
      </c>
      <c r="HO825" s="319" t="s">
        <v>429</v>
      </c>
      <c r="HP825" s="319" t="s">
        <v>190</v>
      </c>
      <c r="HQ825" s="319" t="s">
        <v>190</v>
      </c>
      <c r="HR825" s="319" t="s">
        <v>190</v>
      </c>
      <c r="HS825" s="319" t="s">
        <v>190</v>
      </c>
      <c r="HT825" s="319" t="s">
        <v>190</v>
      </c>
      <c r="HU825" s="319" t="s">
        <v>190</v>
      </c>
      <c r="HV825" s="319" t="s">
        <v>190</v>
      </c>
      <c r="HW825" s="319" t="s">
        <v>190</v>
      </c>
      <c r="HX825" s="319" t="s">
        <v>190</v>
      </c>
      <c r="HY825" s="319" t="s">
        <v>190</v>
      </c>
      <c r="HZ825" s="319" t="s">
        <v>190</v>
      </c>
      <c r="IA825" s="319" t="s">
        <v>190</v>
      </c>
      <c r="IB825" s="319" t="s">
        <v>190</v>
      </c>
      <c r="IC825" s="319" t="s">
        <v>190</v>
      </c>
      <c r="ID825" s="319" t="s">
        <v>190</v>
      </c>
      <c r="IE825" s="319" t="s">
        <v>190</v>
      </c>
      <c r="IF825" s="319" t="s">
        <v>190</v>
      </c>
      <c r="IG825" s="319" t="s">
        <v>190</v>
      </c>
      <c r="IH825" s="319" t="s">
        <v>190</v>
      </c>
      <c r="II825" s="319" t="s">
        <v>190</v>
      </c>
      <c r="IJ825" s="319" t="s">
        <v>173</v>
      </c>
      <c r="IK825" s="319" t="s">
        <v>173</v>
      </c>
      <c r="IL825" s="319" t="s">
        <v>173</v>
      </c>
      <c r="IM825" s="319" t="s">
        <v>173</v>
      </c>
      <c r="IN825" s="319" t="s">
        <v>173</v>
      </c>
      <c r="IO825" s="319" t="s">
        <v>173</v>
      </c>
      <c r="IP825" s="319" t="s">
        <v>173</v>
      </c>
      <c r="IQ825" s="319" t="s">
        <v>173</v>
      </c>
      <c r="IR825" s="320" t="s">
        <v>173</v>
      </c>
      <c r="IS825" s="320" t="s">
        <v>173</v>
      </c>
      <c r="IT825" s="319" t="s">
        <v>173</v>
      </c>
    </row>
    <row r="826" spans="1:254" s="271" customFormat="1" x14ac:dyDescent="0.25">
      <c r="A826" s="318" t="str">
        <f>HYPERLINK("http://www.ofsted.gov.uk/inspection-reports/find-inspection-report/provider/ELS/142411 ","Ofsted School Webpage")</f>
        <v>Ofsted School Webpage</v>
      </c>
      <c r="B826" s="319">
        <v>142411</v>
      </c>
      <c r="C826" s="319">
        <v>8876009</v>
      </c>
      <c r="D826" s="319" t="s">
        <v>2328</v>
      </c>
      <c r="E826" s="319" t="s">
        <v>168</v>
      </c>
      <c r="F826" s="319" t="s">
        <v>81</v>
      </c>
      <c r="G826" s="319" t="s">
        <v>81</v>
      </c>
      <c r="H826" s="319" t="s">
        <v>81</v>
      </c>
      <c r="I826" s="319" t="s">
        <v>78</v>
      </c>
      <c r="J826" s="319" t="s">
        <v>424</v>
      </c>
      <c r="K826" s="319" t="s">
        <v>514</v>
      </c>
      <c r="L826" s="319" t="s">
        <v>514</v>
      </c>
      <c r="M826" s="319" t="s">
        <v>704</v>
      </c>
      <c r="N826" s="319" t="s">
        <v>3149</v>
      </c>
      <c r="O826" s="319" t="s">
        <v>2329</v>
      </c>
      <c r="P826" s="319">
        <v>10</v>
      </c>
      <c r="Q826" s="319" t="s">
        <v>429</v>
      </c>
      <c r="R826" s="320">
        <v>10047028</v>
      </c>
      <c r="S826" s="321">
        <v>43235</v>
      </c>
      <c r="T826" s="321">
        <v>43237</v>
      </c>
      <c r="U826" s="321">
        <v>43315</v>
      </c>
      <c r="V826" s="319" t="s">
        <v>425</v>
      </c>
      <c r="W826" s="319" t="s">
        <v>2767</v>
      </c>
      <c r="X826" s="319">
        <v>4</v>
      </c>
      <c r="Y826" s="319" t="s">
        <v>173</v>
      </c>
      <c r="Z826" s="319" t="s">
        <v>173</v>
      </c>
      <c r="AA826" s="319" t="s">
        <v>173</v>
      </c>
      <c r="AB826" s="319">
        <v>4</v>
      </c>
      <c r="AC826" s="319" t="s">
        <v>170</v>
      </c>
      <c r="AD826" s="319" t="s">
        <v>173</v>
      </c>
      <c r="AE826" s="319" t="s">
        <v>173</v>
      </c>
      <c r="AF826" s="319" t="s">
        <v>447</v>
      </c>
      <c r="AG826" s="319" t="s">
        <v>172</v>
      </c>
      <c r="AH826" s="319" t="s">
        <v>479</v>
      </c>
      <c r="AI826" s="319" t="s">
        <v>190</v>
      </c>
      <c r="AJ826" s="319" t="s">
        <v>479</v>
      </c>
      <c r="AK826" s="319" t="s">
        <v>479</v>
      </c>
      <c r="AL826" s="319" t="s">
        <v>479</v>
      </c>
      <c r="AM826" s="319" t="s">
        <v>190</v>
      </c>
      <c r="AN826" s="319" t="s">
        <v>190</v>
      </c>
      <c r="AO826" s="319" t="s">
        <v>479</v>
      </c>
      <c r="AP826" s="319" t="s">
        <v>191</v>
      </c>
      <c r="AQ826" s="319" t="s">
        <v>191</v>
      </c>
      <c r="AR826" s="319" t="s">
        <v>191</v>
      </c>
      <c r="AS826" s="319" t="s">
        <v>191</v>
      </c>
      <c r="AT826" s="319" t="s">
        <v>190</v>
      </c>
      <c r="AU826" s="319" t="s">
        <v>191</v>
      </c>
      <c r="AV826" s="319" t="s">
        <v>191</v>
      </c>
      <c r="AW826" s="319" t="s">
        <v>191</v>
      </c>
      <c r="AX826" s="319" t="s">
        <v>428</v>
      </c>
      <c r="AY826" s="319" t="s">
        <v>190</v>
      </c>
      <c r="AZ826" s="319" t="s">
        <v>190</v>
      </c>
      <c r="BA826" s="319" t="s">
        <v>190</v>
      </c>
      <c r="BB826" s="319" t="s">
        <v>190</v>
      </c>
      <c r="BC826" s="319" t="s">
        <v>190</v>
      </c>
      <c r="BD826" s="319" t="s">
        <v>190</v>
      </c>
      <c r="BE826" s="319" t="s">
        <v>190</v>
      </c>
      <c r="BF826" s="319" t="s">
        <v>428</v>
      </c>
      <c r="BG826" s="319" t="s">
        <v>428</v>
      </c>
      <c r="BH826" s="319" t="s">
        <v>190</v>
      </c>
      <c r="BI826" s="319" t="s">
        <v>190</v>
      </c>
      <c r="BJ826" s="319" t="s">
        <v>190</v>
      </c>
      <c r="BK826" s="319" t="s">
        <v>190</v>
      </c>
      <c r="BL826" s="319" t="s">
        <v>190</v>
      </c>
      <c r="BM826" s="319" t="s">
        <v>190</v>
      </c>
      <c r="BN826" s="319" t="s">
        <v>190</v>
      </c>
      <c r="BO826" s="319" t="s">
        <v>190</v>
      </c>
      <c r="BP826" s="319" t="s">
        <v>190</v>
      </c>
      <c r="BQ826" s="319" t="s">
        <v>190</v>
      </c>
      <c r="BR826" s="319" t="s">
        <v>190</v>
      </c>
      <c r="BS826" s="319" t="s">
        <v>190</v>
      </c>
      <c r="BT826" s="319" t="s">
        <v>190</v>
      </c>
      <c r="BU826" s="319" t="s">
        <v>190</v>
      </c>
      <c r="BV826" s="319" t="s">
        <v>190</v>
      </c>
      <c r="BW826" s="319" t="s">
        <v>190</v>
      </c>
      <c r="BX826" s="319" t="s">
        <v>190</v>
      </c>
      <c r="BY826" s="319" t="s">
        <v>190</v>
      </c>
      <c r="BZ826" s="319" t="s">
        <v>190</v>
      </c>
      <c r="CA826" s="319" t="s">
        <v>190</v>
      </c>
      <c r="CB826" s="319" t="s">
        <v>190</v>
      </c>
      <c r="CC826" s="319" t="s">
        <v>190</v>
      </c>
      <c r="CD826" s="319" t="s">
        <v>190</v>
      </c>
      <c r="CE826" s="319" t="s">
        <v>190</v>
      </c>
      <c r="CF826" s="319" t="s">
        <v>190</v>
      </c>
      <c r="CG826" s="319" t="s">
        <v>190</v>
      </c>
      <c r="CH826" s="319" t="s">
        <v>190</v>
      </c>
      <c r="CI826" s="319" t="s">
        <v>190</v>
      </c>
      <c r="CJ826" s="319" t="s">
        <v>190</v>
      </c>
      <c r="CK826" s="319" t="s">
        <v>191</v>
      </c>
      <c r="CL826" s="319" t="s">
        <v>191</v>
      </c>
      <c r="CM826" s="319" t="s">
        <v>191</v>
      </c>
      <c r="CN826" s="319" t="s">
        <v>428</v>
      </c>
      <c r="CO826" s="319" t="s">
        <v>428</v>
      </c>
      <c r="CP826" s="319" t="s">
        <v>428</v>
      </c>
      <c r="CQ826" s="319" t="s">
        <v>190</v>
      </c>
      <c r="CR826" s="319" t="s">
        <v>190</v>
      </c>
      <c r="CS826" s="319" t="s">
        <v>190</v>
      </c>
      <c r="CT826" s="319" t="s">
        <v>190</v>
      </c>
      <c r="CU826" s="319" t="s">
        <v>190</v>
      </c>
      <c r="CV826" s="319" t="s">
        <v>190</v>
      </c>
      <c r="CW826" s="319" t="s">
        <v>191</v>
      </c>
      <c r="CX826" s="319" t="s">
        <v>190</v>
      </c>
      <c r="CY826" s="319" t="s">
        <v>190</v>
      </c>
      <c r="CZ826" s="319" t="s">
        <v>190</v>
      </c>
      <c r="DA826" s="319" t="s">
        <v>190</v>
      </c>
      <c r="DB826" s="319" t="s">
        <v>190</v>
      </c>
      <c r="DC826" s="319" t="s">
        <v>190</v>
      </c>
      <c r="DD826" s="319" t="s">
        <v>191</v>
      </c>
      <c r="DE826" s="319" t="s">
        <v>190</v>
      </c>
      <c r="DF826" s="319" t="s">
        <v>191</v>
      </c>
      <c r="DG826" s="319" t="s">
        <v>190</v>
      </c>
      <c r="DH826" s="319" t="s">
        <v>190</v>
      </c>
      <c r="DI826" s="319" t="s">
        <v>190</v>
      </c>
      <c r="DJ826" s="319" t="s">
        <v>190</v>
      </c>
      <c r="DK826" s="319" t="s">
        <v>190</v>
      </c>
      <c r="DL826" s="319" t="s">
        <v>190</v>
      </c>
      <c r="DM826" s="319" t="s">
        <v>190</v>
      </c>
      <c r="DN826" s="319" t="s">
        <v>428</v>
      </c>
      <c r="DO826" s="319" t="s">
        <v>190</v>
      </c>
      <c r="DP826" s="319" t="s">
        <v>190</v>
      </c>
      <c r="DQ826" s="319" t="s">
        <v>190</v>
      </c>
      <c r="DR826" s="319" t="s">
        <v>190</v>
      </c>
      <c r="DS826" s="319" t="s">
        <v>190</v>
      </c>
      <c r="DT826" s="319" t="s">
        <v>190</v>
      </c>
      <c r="DU826" s="319" t="s">
        <v>190</v>
      </c>
      <c r="DV826" s="319" t="s">
        <v>173</v>
      </c>
      <c r="DW826" s="319" t="s">
        <v>190</v>
      </c>
      <c r="DX826" s="319" t="s">
        <v>190</v>
      </c>
      <c r="DY826" s="319" t="s">
        <v>190</v>
      </c>
      <c r="DZ826" s="319" t="s">
        <v>190</v>
      </c>
      <c r="EA826" s="319" t="s">
        <v>190</v>
      </c>
      <c r="EB826" s="319" t="s">
        <v>190</v>
      </c>
      <c r="EC826" s="319" t="s">
        <v>428</v>
      </c>
      <c r="ED826" s="319" t="s">
        <v>190</v>
      </c>
      <c r="EE826" s="319" t="s">
        <v>191</v>
      </c>
      <c r="EF826" s="319" t="s">
        <v>191</v>
      </c>
      <c r="EG826" s="319" t="s">
        <v>190</v>
      </c>
      <c r="EH826" s="319" t="s">
        <v>191</v>
      </c>
      <c r="EI826" s="319" t="s">
        <v>190</v>
      </c>
      <c r="EJ826" s="319" t="s">
        <v>190</v>
      </c>
      <c r="EK826" s="319" t="s">
        <v>190</v>
      </c>
      <c r="EL826" s="319" t="s">
        <v>190</v>
      </c>
      <c r="EM826" s="319" t="s">
        <v>190</v>
      </c>
      <c r="EN826" s="319" t="s">
        <v>190</v>
      </c>
      <c r="EO826" s="319" t="s">
        <v>190</v>
      </c>
      <c r="EP826" s="319" t="s">
        <v>191</v>
      </c>
      <c r="EQ826" s="319" t="s">
        <v>191</v>
      </c>
      <c r="ER826" s="319" t="s">
        <v>190</v>
      </c>
      <c r="ES826" s="319" t="s">
        <v>190</v>
      </c>
      <c r="ET826" s="319" t="s">
        <v>191</v>
      </c>
      <c r="EU826" s="319" t="s">
        <v>190</v>
      </c>
      <c r="EV826" s="319" t="s">
        <v>190</v>
      </c>
      <c r="EW826" s="319" t="s">
        <v>190</v>
      </c>
      <c r="EX826" s="319" t="s">
        <v>190</v>
      </c>
      <c r="EY826" s="319" t="s">
        <v>190</v>
      </c>
      <c r="EZ826" s="319" t="s">
        <v>190</v>
      </c>
      <c r="FA826" s="319" t="s">
        <v>428</v>
      </c>
      <c r="FB826" s="319" t="s">
        <v>190</v>
      </c>
      <c r="FC826" s="319" t="s">
        <v>190</v>
      </c>
      <c r="FD826" s="319" t="s">
        <v>190</v>
      </c>
      <c r="FE826" s="319" t="s">
        <v>190</v>
      </c>
      <c r="FF826" s="319" t="s">
        <v>190</v>
      </c>
      <c r="FG826" s="319" t="s">
        <v>190</v>
      </c>
      <c r="FH826" s="319" t="s">
        <v>190</v>
      </c>
      <c r="FI826" s="319" t="s">
        <v>190</v>
      </c>
      <c r="FJ826" s="319" t="s">
        <v>190</v>
      </c>
      <c r="FK826" s="319" t="s">
        <v>190</v>
      </c>
      <c r="FL826" s="319" t="s">
        <v>190</v>
      </c>
      <c r="FM826" s="319" t="s">
        <v>190</v>
      </c>
      <c r="FN826" s="319" t="s">
        <v>190</v>
      </c>
      <c r="FO826" s="319" t="s">
        <v>190</v>
      </c>
      <c r="FP826" s="319" t="s">
        <v>191</v>
      </c>
      <c r="FQ826" s="319" t="s">
        <v>190</v>
      </c>
      <c r="FR826" s="319" t="s">
        <v>191</v>
      </c>
      <c r="FS826" s="319" t="s">
        <v>428</v>
      </c>
      <c r="FT826" s="319" t="s">
        <v>190</v>
      </c>
      <c r="FU826" s="319" t="s">
        <v>190</v>
      </c>
      <c r="FV826" s="319" t="s">
        <v>190</v>
      </c>
      <c r="FW826" s="319" t="s">
        <v>190</v>
      </c>
      <c r="FX826" s="319" t="s">
        <v>190</v>
      </c>
      <c r="FY826" s="319" t="s">
        <v>190</v>
      </c>
      <c r="FZ826" s="319" t="s">
        <v>190</v>
      </c>
      <c r="GA826" s="319" t="s">
        <v>190</v>
      </c>
      <c r="GB826" s="319" t="s">
        <v>190</v>
      </c>
      <c r="GC826" s="319" t="s">
        <v>190</v>
      </c>
      <c r="GD826" s="319" t="s">
        <v>190</v>
      </c>
      <c r="GE826" s="319" t="s">
        <v>190</v>
      </c>
      <c r="GF826" s="319" t="s">
        <v>190</v>
      </c>
      <c r="GG826" s="319" t="s">
        <v>190</v>
      </c>
      <c r="GH826" s="319" t="s">
        <v>191</v>
      </c>
      <c r="GI826" s="319" t="s">
        <v>190</v>
      </c>
      <c r="GJ826" s="319" t="s">
        <v>191</v>
      </c>
      <c r="GK826" s="319" t="s">
        <v>428</v>
      </c>
      <c r="GL826" s="319" t="s">
        <v>190</v>
      </c>
      <c r="GM826" s="319" t="s">
        <v>190</v>
      </c>
      <c r="GN826" s="319" t="s">
        <v>190</v>
      </c>
      <c r="GO826" s="319" t="s">
        <v>190</v>
      </c>
      <c r="GP826" s="319" t="s">
        <v>190</v>
      </c>
      <c r="GQ826" s="319" t="s">
        <v>190</v>
      </c>
      <c r="GR826" s="319" t="s">
        <v>190</v>
      </c>
      <c r="GS826" s="319" t="s">
        <v>190</v>
      </c>
      <c r="GT826" s="319" t="s">
        <v>190</v>
      </c>
      <c r="GU826" s="319" t="s">
        <v>190</v>
      </c>
      <c r="GV826" s="319" t="s">
        <v>190</v>
      </c>
      <c r="GW826" s="319" t="s">
        <v>190</v>
      </c>
      <c r="GX826" s="319" t="s">
        <v>190</v>
      </c>
      <c r="GY826" s="319" t="s">
        <v>190</v>
      </c>
      <c r="GZ826" s="319" t="s">
        <v>190</v>
      </c>
      <c r="HA826" s="319" t="s">
        <v>428</v>
      </c>
      <c r="HB826" s="319" t="s">
        <v>190</v>
      </c>
      <c r="HC826" s="319" t="s">
        <v>190</v>
      </c>
      <c r="HD826" s="319" t="s">
        <v>190</v>
      </c>
      <c r="HE826" s="319" t="s">
        <v>190</v>
      </c>
      <c r="HF826" s="319" t="s">
        <v>190</v>
      </c>
      <c r="HG826" s="319" t="s">
        <v>190</v>
      </c>
      <c r="HH826" s="319" t="s">
        <v>190</v>
      </c>
      <c r="HI826" s="319" t="s">
        <v>428</v>
      </c>
      <c r="HJ826" s="319" t="s">
        <v>190</v>
      </c>
      <c r="HK826" s="319" t="s">
        <v>190</v>
      </c>
      <c r="HL826" s="319" t="s">
        <v>190</v>
      </c>
      <c r="HM826" s="319" t="s">
        <v>190</v>
      </c>
      <c r="HN826" s="319" t="s">
        <v>190</v>
      </c>
      <c r="HO826" s="319" t="s">
        <v>190</v>
      </c>
      <c r="HP826" s="319" t="s">
        <v>190</v>
      </c>
      <c r="HQ826" s="319" t="s">
        <v>190</v>
      </c>
      <c r="HR826" s="319" t="s">
        <v>190</v>
      </c>
      <c r="HS826" s="319" t="s">
        <v>190</v>
      </c>
      <c r="HT826" s="319" t="s">
        <v>190</v>
      </c>
      <c r="HU826" s="319" t="s">
        <v>190</v>
      </c>
      <c r="HV826" s="319" t="s">
        <v>190</v>
      </c>
      <c r="HW826" s="319" t="s">
        <v>190</v>
      </c>
      <c r="HX826" s="319" t="s">
        <v>190</v>
      </c>
      <c r="HY826" s="319" t="s">
        <v>190</v>
      </c>
      <c r="HZ826" s="319" t="s">
        <v>190</v>
      </c>
      <c r="IA826" s="319" t="s">
        <v>190</v>
      </c>
      <c r="IB826" s="319" t="s">
        <v>190</v>
      </c>
      <c r="IC826" s="319" t="s">
        <v>190</v>
      </c>
      <c r="ID826" s="319" t="s">
        <v>190</v>
      </c>
      <c r="IE826" s="319" t="s">
        <v>190</v>
      </c>
      <c r="IF826" s="319" t="s">
        <v>191</v>
      </c>
      <c r="IG826" s="319" t="s">
        <v>191</v>
      </c>
      <c r="IH826" s="319" t="s">
        <v>191</v>
      </c>
      <c r="II826" s="319" t="s">
        <v>428</v>
      </c>
      <c r="IJ826" s="319">
        <v>10013000</v>
      </c>
      <c r="IK826" s="321">
        <v>42535</v>
      </c>
      <c r="IL826" s="321">
        <v>42536</v>
      </c>
      <c r="IM826" s="321">
        <v>42570</v>
      </c>
      <c r="IN826" s="319">
        <v>3</v>
      </c>
      <c r="IO826" s="319">
        <v>10097268</v>
      </c>
      <c r="IP826" s="319" t="s">
        <v>985</v>
      </c>
      <c r="IQ826" s="321">
        <v>43559</v>
      </c>
      <c r="IR826" s="320" t="s">
        <v>1223</v>
      </c>
      <c r="IS826" s="322">
        <v>43587</v>
      </c>
      <c r="IT826" s="319" t="s">
        <v>165</v>
      </c>
    </row>
    <row r="827" spans="1:254" s="271" customFormat="1" x14ac:dyDescent="0.25">
      <c r="A827" s="318" t="str">
        <f>HYPERLINK("http://www.ofsted.gov.uk/inspection-reports/find-inspection-report/provider/ELS/142413 ","Ofsted School Webpage")</f>
        <v>Ofsted School Webpage</v>
      </c>
      <c r="B827" s="319">
        <v>142413</v>
      </c>
      <c r="C827" s="319">
        <v>9196001</v>
      </c>
      <c r="D827" s="319" t="s">
        <v>713</v>
      </c>
      <c r="E827" s="319" t="s">
        <v>167</v>
      </c>
      <c r="F827" s="319" t="s">
        <v>81</v>
      </c>
      <c r="G827" s="319" t="s">
        <v>81</v>
      </c>
      <c r="H827" s="319" t="s">
        <v>81</v>
      </c>
      <c r="I827" s="319" t="s">
        <v>78</v>
      </c>
      <c r="J827" s="319" t="s">
        <v>424</v>
      </c>
      <c r="K827" s="319" t="s">
        <v>451</v>
      </c>
      <c r="L827" s="319" t="s">
        <v>451</v>
      </c>
      <c r="M827" s="319" t="s">
        <v>489</v>
      </c>
      <c r="N827" s="319" t="s">
        <v>3534</v>
      </c>
      <c r="O827" s="319" t="s">
        <v>714</v>
      </c>
      <c r="P827" s="319">
        <v>31</v>
      </c>
      <c r="Q827" s="319" t="s">
        <v>2766</v>
      </c>
      <c r="R827" s="320">
        <v>10056572</v>
      </c>
      <c r="S827" s="321">
        <v>43431</v>
      </c>
      <c r="T827" s="321">
        <v>43433</v>
      </c>
      <c r="U827" s="321">
        <v>43485</v>
      </c>
      <c r="V827" s="319" t="s">
        <v>425</v>
      </c>
      <c r="W827" s="319" t="s">
        <v>2767</v>
      </c>
      <c r="X827" s="319">
        <v>2</v>
      </c>
      <c r="Y827" s="319" t="s">
        <v>173</v>
      </c>
      <c r="Z827" s="319" t="s">
        <v>173</v>
      </c>
      <c r="AA827" s="319" t="s">
        <v>173</v>
      </c>
      <c r="AB827" s="319">
        <v>2</v>
      </c>
      <c r="AC827" s="319" t="s">
        <v>169</v>
      </c>
      <c r="AD827" s="319">
        <v>2</v>
      </c>
      <c r="AE827" s="319" t="s">
        <v>173</v>
      </c>
      <c r="AF827" s="319" t="s">
        <v>427</v>
      </c>
      <c r="AG827" s="319" t="s">
        <v>171</v>
      </c>
      <c r="AH827" s="319" t="s">
        <v>190</v>
      </c>
      <c r="AI827" s="319" t="s">
        <v>190</v>
      </c>
      <c r="AJ827" s="319" t="s">
        <v>190</v>
      </c>
      <c r="AK827" s="319" t="s">
        <v>190</v>
      </c>
      <c r="AL827" s="319" t="s">
        <v>190</v>
      </c>
      <c r="AM827" s="319" t="s">
        <v>190</v>
      </c>
      <c r="AN827" s="319" t="s">
        <v>190</v>
      </c>
      <c r="AO827" s="319" t="s">
        <v>190</v>
      </c>
      <c r="AP827" s="319" t="s">
        <v>190</v>
      </c>
      <c r="AQ827" s="319" t="s">
        <v>190</v>
      </c>
      <c r="AR827" s="319" t="s">
        <v>190</v>
      </c>
      <c r="AS827" s="319" t="s">
        <v>190</v>
      </c>
      <c r="AT827" s="319" t="s">
        <v>190</v>
      </c>
      <c r="AU827" s="319" t="s">
        <v>190</v>
      </c>
      <c r="AV827" s="319" t="s">
        <v>190</v>
      </c>
      <c r="AW827" s="319" t="s">
        <v>190</v>
      </c>
      <c r="AX827" s="319" t="s">
        <v>428</v>
      </c>
      <c r="AY827" s="319" t="s">
        <v>190</v>
      </c>
      <c r="AZ827" s="319" t="s">
        <v>190</v>
      </c>
      <c r="BA827" s="319" t="s">
        <v>190</v>
      </c>
      <c r="BB827" s="319" t="s">
        <v>428</v>
      </c>
      <c r="BC827" s="319" t="s">
        <v>428</v>
      </c>
      <c r="BD827" s="319" t="s">
        <v>428</v>
      </c>
      <c r="BE827" s="319" t="s">
        <v>428</v>
      </c>
      <c r="BF827" s="319" t="s">
        <v>190</v>
      </c>
      <c r="BG827" s="319" t="s">
        <v>190</v>
      </c>
      <c r="BH827" s="319" t="s">
        <v>190</v>
      </c>
      <c r="BI827" s="319" t="s">
        <v>190</v>
      </c>
      <c r="BJ827" s="319" t="s">
        <v>190</v>
      </c>
      <c r="BK827" s="319" t="s">
        <v>190</v>
      </c>
      <c r="BL827" s="319" t="s">
        <v>190</v>
      </c>
      <c r="BM827" s="319" t="s">
        <v>190</v>
      </c>
      <c r="BN827" s="319" t="s">
        <v>190</v>
      </c>
      <c r="BO827" s="319" t="s">
        <v>190</v>
      </c>
      <c r="BP827" s="319" t="s">
        <v>190</v>
      </c>
      <c r="BQ827" s="319" t="s">
        <v>190</v>
      </c>
      <c r="BR827" s="319" t="s">
        <v>190</v>
      </c>
      <c r="BS827" s="319" t="s">
        <v>190</v>
      </c>
      <c r="BT827" s="319" t="s">
        <v>190</v>
      </c>
      <c r="BU827" s="319" t="s">
        <v>190</v>
      </c>
      <c r="BV827" s="319" t="s">
        <v>190</v>
      </c>
      <c r="BW827" s="319" t="s">
        <v>190</v>
      </c>
      <c r="BX827" s="319" t="s">
        <v>190</v>
      </c>
      <c r="BY827" s="319" t="s">
        <v>190</v>
      </c>
      <c r="BZ827" s="319" t="s">
        <v>190</v>
      </c>
      <c r="CA827" s="319" t="s">
        <v>190</v>
      </c>
      <c r="CB827" s="319" t="s">
        <v>190</v>
      </c>
      <c r="CC827" s="319" t="s">
        <v>190</v>
      </c>
      <c r="CD827" s="319" t="s">
        <v>190</v>
      </c>
      <c r="CE827" s="319" t="s">
        <v>190</v>
      </c>
      <c r="CF827" s="319" t="s">
        <v>190</v>
      </c>
      <c r="CG827" s="319" t="s">
        <v>190</v>
      </c>
      <c r="CH827" s="319" t="s">
        <v>190</v>
      </c>
      <c r="CI827" s="319" t="s">
        <v>190</v>
      </c>
      <c r="CJ827" s="319" t="s">
        <v>190</v>
      </c>
      <c r="CK827" s="319" t="s">
        <v>190</v>
      </c>
      <c r="CL827" s="319" t="s">
        <v>190</v>
      </c>
      <c r="CM827" s="319" t="s">
        <v>190</v>
      </c>
      <c r="CN827" s="319" t="s">
        <v>428</v>
      </c>
      <c r="CO827" s="319" t="s">
        <v>428</v>
      </c>
      <c r="CP827" s="319" t="s">
        <v>428</v>
      </c>
      <c r="CQ827" s="319" t="s">
        <v>190</v>
      </c>
      <c r="CR827" s="319" t="s">
        <v>190</v>
      </c>
      <c r="CS827" s="319" t="s">
        <v>190</v>
      </c>
      <c r="CT827" s="319" t="s">
        <v>190</v>
      </c>
      <c r="CU827" s="319" t="s">
        <v>190</v>
      </c>
      <c r="CV827" s="319" t="s">
        <v>190</v>
      </c>
      <c r="CW827" s="319" t="s">
        <v>190</v>
      </c>
      <c r="CX827" s="319" t="s">
        <v>190</v>
      </c>
      <c r="CY827" s="319" t="s">
        <v>190</v>
      </c>
      <c r="CZ827" s="319" t="s">
        <v>190</v>
      </c>
      <c r="DA827" s="319" t="s">
        <v>190</v>
      </c>
      <c r="DB827" s="319" t="s">
        <v>190</v>
      </c>
      <c r="DC827" s="319" t="s">
        <v>190</v>
      </c>
      <c r="DD827" s="319" t="s">
        <v>190</v>
      </c>
      <c r="DE827" s="319" t="s">
        <v>190</v>
      </c>
      <c r="DF827" s="319" t="s">
        <v>190</v>
      </c>
      <c r="DG827" s="319" t="s">
        <v>190</v>
      </c>
      <c r="DH827" s="319" t="s">
        <v>190</v>
      </c>
      <c r="DI827" s="319" t="s">
        <v>190</v>
      </c>
      <c r="DJ827" s="319" t="s">
        <v>190</v>
      </c>
      <c r="DK827" s="319" t="s">
        <v>190</v>
      </c>
      <c r="DL827" s="319" t="s">
        <v>190</v>
      </c>
      <c r="DM827" s="319" t="s">
        <v>190</v>
      </c>
      <c r="DN827" s="319" t="s">
        <v>428</v>
      </c>
      <c r="DO827" s="319" t="s">
        <v>428</v>
      </c>
      <c r="DP827" s="319" t="s">
        <v>428</v>
      </c>
      <c r="DQ827" s="319" t="s">
        <v>428</v>
      </c>
      <c r="DR827" s="319" t="s">
        <v>428</v>
      </c>
      <c r="DS827" s="319" t="s">
        <v>428</v>
      </c>
      <c r="DT827" s="319" t="s">
        <v>428</v>
      </c>
      <c r="DU827" s="319" t="s">
        <v>428</v>
      </c>
      <c r="DV827" s="319" t="s">
        <v>173</v>
      </c>
      <c r="DW827" s="319" t="s">
        <v>428</v>
      </c>
      <c r="DX827" s="319" t="s">
        <v>428</v>
      </c>
      <c r="DY827" s="319" t="s">
        <v>428</v>
      </c>
      <c r="DZ827" s="319" t="s">
        <v>428</v>
      </c>
      <c r="EA827" s="319" t="s">
        <v>428</v>
      </c>
      <c r="EB827" s="319" t="s">
        <v>428</v>
      </c>
      <c r="EC827" s="319" t="s">
        <v>428</v>
      </c>
      <c r="ED827" s="319" t="s">
        <v>428</v>
      </c>
      <c r="EE827" s="319" t="s">
        <v>190</v>
      </c>
      <c r="EF827" s="319" t="s">
        <v>190</v>
      </c>
      <c r="EG827" s="319" t="s">
        <v>190</v>
      </c>
      <c r="EH827" s="319" t="s">
        <v>190</v>
      </c>
      <c r="EI827" s="319" t="s">
        <v>190</v>
      </c>
      <c r="EJ827" s="319" t="s">
        <v>190</v>
      </c>
      <c r="EK827" s="319" t="s">
        <v>190</v>
      </c>
      <c r="EL827" s="319" t="s">
        <v>190</v>
      </c>
      <c r="EM827" s="319" t="s">
        <v>190</v>
      </c>
      <c r="EN827" s="319" t="s">
        <v>190</v>
      </c>
      <c r="EO827" s="319" t="s">
        <v>190</v>
      </c>
      <c r="EP827" s="319" t="s">
        <v>190</v>
      </c>
      <c r="EQ827" s="319" t="s">
        <v>190</v>
      </c>
      <c r="ER827" s="319" t="s">
        <v>190</v>
      </c>
      <c r="ES827" s="319" t="s">
        <v>190</v>
      </c>
      <c r="ET827" s="319" t="s">
        <v>190</v>
      </c>
      <c r="EU827" s="319" t="s">
        <v>190</v>
      </c>
      <c r="EV827" s="319" t="s">
        <v>190</v>
      </c>
      <c r="EW827" s="319" t="s">
        <v>190</v>
      </c>
      <c r="EX827" s="319" t="s">
        <v>190</v>
      </c>
      <c r="EY827" s="319" t="s">
        <v>190</v>
      </c>
      <c r="EZ827" s="319" t="s">
        <v>190</v>
      </c>
      <c r="FA827" s="319" t="s">
        <v>190</v>
      </c>
      <c r="FB827" s="319" t="s">
        <v>428</v>
      </c>
      <c r="FC827" s="319" t="s">
        <v>428</v>
      </c>
      <c r="FD827" s="319" t="s">
        <v>428</v>
      </c>
      <c r="FE827" s="319" t="s">
        <v>428</v>
      </c>
      <c r="FF827" s="319" t="s">
        <v>428</v>
      </c>
      <c r="FG827" s="319" t="s">
        <v>428</v>
      </c>
      <c r="FH827" s="319" t="s">
        <v>190</v>
      </c>
      <c r="FI827" s="319" t="s">
        <v>190</v>
      </c>
      <c r="FJ827" s="319" t="s">
        <v>190</v>
      </c>
      <c r="FK827" s="319" t="s">
        <v>190</v>
      </c>
      <c r="FL827" s="319" t="s">
        <v>190</v>
      </c>
      <c r="FM827" s="319" t="s">
        <v>190</v>
      </c>
      <c r="FN827" s="319" t="s">
        <v>190</v>
      </c>
      <c r="FO827" s="319" t="s">
        <v>428</v>
      </c>
      <c r="FP827" s="319" t="s">
        <v>190</v>
      </c>
      <c r="FQ827" s="319" t="s">
        <v>190</v>
      </c>
      <c r="FR827" s="319" t="s">
        <v>190</v>
      </c>
      <c r="FS827" s="319" t="s">
        <v>428</v>
      </c>
      <c r="FT827" s="319" t="s">
        <v>190</v>
      </c>
      <c r="FU827" s="319" t="s">
        <v>190</v>
      </c>
      <c r="FV827" s="319" t="s">
        <v>190</v>
      </c>
      <c r="FW827" s="319" t="s">
        <v>190</v>
      </c>
      <c r="FX827" s="319" t="s">
        <v>190</v>
      </c>
      <c r="FY827" s="319" t="s">
        <v>190</v>
      </c>
      <c r="FZ827" s="319" t="s">
        <v>190</v>
      </c>
      <c r="GA827" s="319" t="s">
        <v>190</v>
      </c>
      <c r="GB827" s="319" t="s">
        <v>190</v>
      </c>
      <c r="GC827" s="319" t="s">
        <v>190</v>
      </c>
      <c r="GD827" s="319" t="s">
        <v>190</v>
      </c>
      <c r="GE827" s="319" t="s">
        <v>190</v>
      </c>
      <c r="GF827" s="319" t="s">
        <v>190</v>
      </c>
      <c r="GG827" s="319" t="s">
        <v>190</v>
      </c>
      <c r="GH827" s="319" t="s">
        <v>190</v>
      </c>
      <c r="GI827" s="319" t="s">
        <v>190</v>
      </c>
      <c r="GJ827" s="319" t="s">
        <v>190</v>
      </c>
      <c r="GK827" s="319" t="s">
        <v>428</v>
      </c>
      <c r="GL827" s="319" t="s">
        <v>190</v>
      </c>
      <c r="GM827" s="319" t="s">
        <v>190</v>
      </c>
      <c r="GN827" s="319" t="s">
        <v>190</v>
      </c>
      <c r="GO827" s="319" t="s">
        <v>190</v>
      </c>
      <c r="GP827" s="319" t="s">
        <v>190</v>
      </c>
      <c r="GQ827" s="319" t="s">
        <v>428</v>
      </c>
      <c r="GR827" s="319" t="s">
        <v>190</v>
      </c>
      <c r="GS827" s="319" t="s">
        <v>190</v>
      </c>
      <c r="GT827" s="319" t="s">
        <v>428</v>
      </c>
      <c r="GU827" s="319" t="s">
        <v>428</v>
      </c>
      <c r="GV827" s="319" t="s">
        <v>428</v>
      </c>
      <c r="GW827" s="319" t="s">
        <v>190</v>
      </c>
      <c r="GX827" s="319" t="s">
        <v>190</v>
      </c>
      <c r="GY827" s="319" t="s">
        <v>190</v>
      </c>
      <c r="GZ827" s="319" t="s">
        <v>428</v>
      </c>
      <c r="HA827" s="319" t="s">
        <v>190</v>
      </c>
      <c r="HB827" s="319" t="s">
        <v>190</v>
      </c>
      <c r="HC827" s="319" t="s">
        <v>190</v>
      </c>
      <c r="HD827" s="319" t="s">
        <v>190</v>
      </c>
      <c r="HE827" s="319" t="s">
        <v>190</v>
      </c>
      <c r="HF827" s="319" t="s">
        <v>190</v>
      </c>
      <c r="HG827" s="319" t="s">
        <v>190</v>
      </c>
      <c r="HH827" s="319" t="s">
        <v>190</v>
      </c>
      <c r="HI827" s="319" t="s">
        <v>428</v>
      </c>
      <c r="HJ827" s="319" t="s">
        <v>190</v>
      </c>
      <c r="HK827" s="319" t="s">
        <v>428</v>
      </c>
      <c r="HL827" s="319" t="s">
        <v>428</v>
      </c>
      <c r="HM827" s="319" t="s">
        <v>428</v>
      </c>
      <c r="HN827" s="319" t="s">
        <v>428</v>
      </c>
      <c r="HO827" s="319" t="s">
        <v>428</v>
      </c>
      <c r="HP827" s="319" t="s">
        <v>190</v>
      </c>
      <c r="HQ827" s="319" t="s">
        <v>190</v>
      </c>
      <c r="HR827" s="319" t="s">
        <v>190</v>
      </c>
      <c r="HS827" s="319" t="s">
        <v>190</v>
      </c>
      <c r="HT827" s="319" t="s">
        <v>190</v>
      </c>
      <c r="HU827" s="319" t="s">
        <v>190</v>
      </c>
      <c r="HV827" s="319" t="s">
        <v>190</v>
      </c>
      <c r="HW827" s="319" t="s">
        <v>190</v>
      </c>
      <c r="HX827" s="319" t="s">
        <v>190</v>
      </c>
      <c r="HY827" s="319" t="s">
        <v>190</v>
      </c>
      <c r="HZ827" s="319" t="s">
        <v>190</v>
      </c>
      <c r="IA827" s="319" t="s">
        <v>190</v>
      </c>
      <c r="IB827" s="319" t="s">
        <v>190</v>
      </c>
      <c r="IC827" s="319" t="s">
        <v>190</v>
      </c>
      <c r="ID827" s="319" t="s">
        <v>190</v>
      </c>
      <c r="IE827" s="319" t="s">
        <v>190</v>
      </c>
      <c r="IF827" s="319" t="s">
        <v>190</v>
      </c>
      <c r="IG827" s="319" t="s">
        <v>190</v>
      </c>
      <c r="IH827" s="319" t="s">
        <v>190</v>
      </c>
      <c r="II827" s="319" t="s">
        <v>190</v>
      </c>
      <c r="IJ827" s="319">
        <v>10012985</v>
      </c>
      <c r="IK827" s="321">
        <v>42787</v>
      </c>
      <c r="IL827" s="321">
        <v>42789</v>
      </c>
      <c r="IM827" s="321">
        <v>42822</v>
      </c>
      <c r="IN827" s="319">
        <v>3</v>
      </c>
      <c r="IO827" s="319" t="s">
        <v>173</v>
      </c>
      <c r="IP827" s="319" t="s">
        <v>173</v>
      </c>
      <c r="IQ827" s="321" t="s">
        <v>173</v>
      </c>
      <c r="IR827" s="320" t="s">
        <v>173</v>
      </c>
      <c r="IS827" s="322" t="s">
        <v>173</v>
      </c>
      <c r="IT827" s="319" t="s">
        <v>173</v>
      </c>
    </row>
    <row r="828" spans="1:254" s="271" customFormat="1" x14ac:dyDescent="0.25">
      <c r="A828" s="318" t="str">
        <f>HYPERLINK("http://www.ofsted.gov.uk/inspection-reports/find-inspection-report/provider/ELS/142416 ","Ofsted School Webpage")</f>
        <v>Ofsted School Webpage</v>
      </c>
      <c r="B828" s="319">
        <v>142416</v>
      </c>
      <c r="C828" s="319">
        <v>9366006</v>
      </c>
      <c r="D828" s="319" t="s">
        <v>998</v>
      </c>
      <c r="E828" s="319" t="s">
        <v>168</v>
      </c>
      <c r="F828" s="319" t="s">
        <v>81</v>
      </c>
      <c r="G828" s="319" t="s">
        <v>81</v>
      </c>
      <c r="H828" s="319" t="s">
        <v>81</v>
      </c>
      <c r="I828" s="319" t="s">
        <v>78</v>
      </c>
      <c r="J828" s="319" t="s">
        <v>424</v>
      </c>
      <c r="K828" s="319" t="s">
        <v>514</v>
      </c>
      <c r="L828" s="319" t="s">
        <v>514</v>
      </c>
      <c r="M828" s="319" t="s">
        <v>699</v>
      </c>
      <c r="N828" s="319" t="s">
        <v>3039</v>
      </c>
      <c r="O828" s="319" t="s">
        <v>999</v>
      </c>
      <c r="P828" s="319">
        <v>27</v>
      </c>
      <c r="Q828" s="319" t="s">
        <v>2776</v>
      </c>
      <c r="R828" s="320">
        <v>10025994</v>
      </c>
      <c r="S828" s="321">
        <v>42864</v>
      </c>
      <c r="T828" s="321">
        <v>42865</v>
      </c>
      <c r="U828" s="321">
        <v>42888</v>
      </c>
      <c r="V828" s="319" t="s">
        <v>435</v>
      </c>
      <c r="W828" s="319" t="s">
        <v>2767</v>
      </c>
      <c r="X828" s="319">
        <v>2</v>
      </c>
      <c r="Y828" s="319" t="s">
        <v>173</v>
      </c>
      <c r="Z828" s="319" t="s">
        <v>173</v>
      </c>
      <c r="AA828" s="319" t="s">
        <v>173</v>
      </c>
      <c r="AB828" s="319">
        <v>2</v>
      </c>
      <c r="AC828" s="319" t="s">
        <v>169</v>
      </c>
      <c r="AD828" s="319" t="s">
        <v>173</v>
      </c>
      <c r="AE828" s="319" t="s">
        <v>173</v>
      </c>
      <c r="AF828" s="319" t="s">
        <v>173</v>
      </c>
      <c r="AG828" s="319" t="s">
        <v>171</v>
      </c>
      <c r="AH828" s="319" t="s">
        <v>190</v>
      </c>
      <c r="AI828" s="319" t="s">
        <v>190</v>
      </c>
      <c r="AJ828" s="319" t="s">
        <v>190</v>
      </c>
      <c r="AK828" s="319" t="s">
        <v>190</v>
      </c>
      <c r="AL828" s="319" t="s">
        <v>190</v>
      </c>
      <c r="AM828" s="319" t="s">
        <v>190</v>
      </c>
      <c r="AN828" s="319" t="s">
        <v>190</v>
      </c>
      <c r="AO828" s="319" t="s">
        <v>190</v>
      </c>
      <c r="AP828" s="319" t="s">
        <v>190</v>
      </c>
      <c r="AQ828" s="319" t="s">
        <v>190</v>
      </c>
      <c r="AR828" s="319" t="s">
        <v>190</v>
      </c>
      <c r="AS828" s="319" t="s">
        <v>190</v>
      </c>
      <c r="AT828" s="319" t="s">
        <v>190</v>
      </c>
      <c r="AU828" s="319" t="s">
        <v>190</v>
      </c>
      <c r="AV828" s="319" t="s">
        <v>190</v>
      </c>
      <c r="AW828" s="319" t="s">
        <v>190</v>
      </c>
      <c r="AX828" s="319" t="s">
        <v>190</v>
      </c>
      <c r="AY828" s="319" t="s">
        <v>190</v>
      </c>
      <c r="AZ828" s="319" t="s">
        <v>190</v>
      </c>
      <c r="BA828" s="319" t="s">
        <v>190</v>
      </c>
      <c r="BB828" s="319" t="s">
        <v>190</v>
      </c>
      <c r="BC828" s="319" t="s">
        <v>190</v>
      </c>
      <c r="BD828" s="319" t="s">
        <v>190</v>
      </c>
      <c r="BE828" s="319" t="s">
        <v>190</v>
      </c>
      <c r="BF828" s="319" t="s">
        <v>190</v>
      </c>
      <c r="BG828" s="319" t="s">
        <v>190</v>
      </c>
      <c r="BH828" s="319" t="s">
        <v>190</v>
      </c>
      <c r="BI828" s="319" t="s">
        <v>190</v>
      </c>
      <c r="BJ828" s="319" t="s">
        <v>190</v>
      </c>
      <c r="BK828" s="319" t="s">
        <v>190</v>
      </c>
      <c r="BL828" s="319" t="s">
        <v>190</v>
      </c>
      <c r="BM828" s="319" t="s">
        <v>190</v>
      </c>
      <c r="BN828" s="319" t="s">
        <v>190</v>
      </c>
      <c r="BO828" s="319" t="s">
        <v>190</v>
      </c>
      <c r="BP828" s="319" t="s">
        <v>190</v>
      </c>
      <c r="BQ828" s="319" t="s">
        <v>190</v>
      </c>
      <c r="BR828" s="319" t="s">
        <v>190</v>
      </c>
      <c r="BS828" s="319" t="s">
        <v>190</v>
      </c>
      <c r="BT828" s="319" t="s">
        <v>190</v>
      </c>
      <c r="BU828" s="319" t="s">
        <v>190</v>
      </c>
      <c r="BV828" s="319" t="s">
        <v>190</v>
      </c>
      <c r="BW828" s="319" t="s">
        <v>190</v>
      </c>
      <c r="BX828" s="319" t="s">
        <v>190</v>
      </c>
      <c r="BY828" s="319" t="s">
        <v>190</v>
      </c>
      <c r="BZ828" s="319" t="s">
        <v>190</v>
      </c>
      <c r="CA828" s="319" t="s">
        <v>190</v>
      </c>
      <c r="CB828" s="319" t="s">
        <v>190</v>
      </c>
      <c r="CC828" s="319" t="s">
        <v>190</v>
      </c>
      <c r="CD828" s="319" t="s">
        <v>190</v>
      </c>
      <c r="CE828" s="319" t="s">
        <v>190</v>
      </c>
      <c r="CF828" s="319" t="s">
        <v>190</v>
      </c>
      <c r="CG828" s="319" t="s">
        <v>190</v>
      </c>
      <c r="CH828" s="319" t="s">
        <v>190</v>
      </c>
      <c r="CI828" s="319" t="s">
        <v>190</v>
      </c>
      <c r="CJ828" s="319" t="s">
        <v>190</v>
      </c>
      <c r="CK828" s="319" t="s">
        <v>190</v>
      </c>
      <c r="CL828" s="319" t="s">
        <v>190</v>
      </c>
      <c r="CM828" s="319" t="s">
        <v>190</v>
      </c>
      <c r="CN828" s="319" t="s">
        <v>429</v>
      </c>
      <c r="CO828" s="319" t="s">
        <v>429</v>
      </c>
      <c r="CP828" s="319" t="s">
        <v>429</v>
      </c>
      <c r="CQ828" s="319" t="s">
        <v>190</v>
      </c>
      <c r="CR828" s="319" t="s">
        <v>190</v>
      </c>
      <c r="CS828" s="319" t="s">
        <v>190</v>
      </c>
      <c r="CT828" s="319" t="s">
        <v>190</v>
      </c>
      <c r="CU828" s="319" t="s">
        <v>190</v>
      </c>
      <c r="CV828" s="319" t="s">
        <v>190</v>
      </c>
      <c r="CW828" s="319" t="s">
        <v>190</v>
      </c>
      <c r="CX828" s="319" t="s">
        <v>190</v>
      </c>
      <c r="CY828" s="319" t="s">
        <v>190</v>
      </c>
      <c r="CZ828" s="319" t="s">
        <v>190</v>
      </c>
      <c r="DA828" s="319" t="s">
        <v>190</v>
      </c>
      <c r="DB828" s="319" t="s">
        <v>190</v>
      </c>
      <c r="DC828" s="319" t="s">
        <v>190</v>
      </c>
      <c r="DD828" s="319" t="s">
        <v>190</v>
      </c>
      <c r="DE828" s="319" t="s">
        <v>190</v>
      </c>
      <c r="DF828" s="319" t="s">
        <v>190</v>
      </c>
      <c r="DG828" s="319" t="s">
        <v>190</v>
      </c>
      <c r="DH828" s="319" t="s">
        <v>190</v>
      </c>
      <c r="DI828" s="319" t="s">
        <v>190</v>
      </c>
      <c r="DJ828" s="319" t="s">
        <v>190</v>
      </c>
      <c r="DK828" s="319" t="s">
        <v>190</v>
      </c>
      <c r="DL828" s="319" t="s">
        <v>190</v>
      </c>
      <c r="DM828" s="319" t="s">
        <v>190</v>
      </c>
      <c r="DN828" s="319" t="s">
        <v>429</v>
      </c>
      <c r="DO828" s="319" t="s">
        <v>190</v>
      </c>
      <c r="DP828" s="319" t="s">
        <v>190</v>
      </c>
      <c r="DQ828" s="319" t="s">
        <v>190</v>
      </c>
      <c r="DR828" s="319" t="s">
        <v>190</v>
      </c>
      <c r="DS828" s="319" t="s">
        <v>190</v>
      </c>
      <c r="DT828" s="319" t="s">
        <v>190</v>
      </c>
      <c r="DU828" s="319" t="s">
        <v>190</v>
      </c>
      <c r="DV828" s="319" t="s">
        <v>173</v>
      </c>
      <c r="DW828" s="319" t="s">
        <v>190</v>
      </c>
      <c r="DX828" s="319" t="s">
        <v>190</v>
      </c>
      <c r="DY828" s="319" t="s">
        <v>190</v>
      </c>
      <c r="DZ828" s="319" t="s">
        <v>190</v>
      </c>
      <c r="EA828" s="319" t="s">
        <v>190</v>
      </c>
      <c r="EB828" s="319" t="s">
        <v>190</v>
      </c>
      <c r="EC828" s="319" t="s">
        <v>429</v>
      </c>
      <c r="ED828" s="319" t="s">
        <v>190</v>
      </c>
      <c r="EE828" s="319" t="s">
        <v>190</v>
      </c>
      <c r="EF828" s="319" t="s">
        <v>190</v>
      </c>
      <c r="EG828" s="319" t="s">
        <v>190</v>
      </c>
      <c r="EH828" s="319" t="s">
        <v>190</v>
      </c>
      <c r="EI828" s="319" t="s">
        <v>190</v>
      </c>
      <c r="EJ828" s="319" t="s">
        <v>190</v>
      </c>
      <c r="EK828" s="319" t="s">
        <v>190</v>
      </c>
      <c r="EL828" s="319" t="s">
        <v>190</v>
      </c>
      <c r="EM828" s="319" t="s">
        <v>190</v>
      </c>
      <c r="EN828" s="319" t="s">
        <v>190</v>
      </c>
      <c r="EO828" s="319" t="s">
        <v>190</v>
      </c>
      <c r="EP828" s="319" t="s">
        <v>190</v>
      </c>
      <c r="EQ828" s="319" t="s">
        <v>190</v>
      </c>
      <c r="ER828" s="319" t="s">
        <v>190</v>
      </c>
      <c r="ES828" s="319" t="s">
        <v>190</v>
      </c>
      <c r="ET828" s="319" t="s">
        <v>190</v>
      </c>
      <c r="EU828" s="319" t="s">
        <v>190</v>
      </c>
      <c r="EV828" s="319" t="s">
        <v>190</v>
      </c>
      <c r="EW828" s="319" t="s">
        <v>190</v>
      </c>
      <c r="EX828" s="319" t="s">
        <v>190</v>
      </c>
      <c r="EY828" s="319" t="s">
        <v>190</v>
      </c>
      <c r="EZ828" s="319" t="s">
        <v>190</v>
      </c>
      <c r="FA828" s="319" t="s">
        <v>190</v>
      </c>
      <c r="FB828" s="319" t="s">
        <v>190</v>
      </c>
      <c r="FC828" s="319" t="s">
        <v>190</v>
      </c>
      <c r="FD828" s="319" t="s">
        <v>190</v>
      </c>
      <c r="FE828" s="319" t="s">
        <v>190</v>
      </c>
      <c r="FF828" s="319" t="s">
        <v>190</v>
      </c>
      <c r="FG828" s="319" t="s">
        <v>190</v>
      </c>
      <c r="FH828" s="319" t="s">
        <v>190</v>
      </c>
      <c r="FI828" s="319" t="s">
        <v>190</v>
      </c>
      <c r="FJ828" s="319" t="s">
        <v>190</v>
      </c>
      <c r="FK828" s="319" t="s">
        <v>190</v>
      </c>
      <c r="FL828" s="319" t="s">
        <v>190</v>
      </c>
      <c r="FM828" s="319" t="s">
        <v>190</v>
      </c>
      <c r="FN828" s="319" t="s">
        <v>190</v>
      </c>
      <c r="FO828" s="319" t="s">
        <v>190</v>
      </c>
      <c r="FP828" s="319" t="s">
        <v>190</v>
      </c>
      <c r="FQ828" s="319" t="s">
        <v>190</v>
      </c>
      <c r="FR828" s="319" t="s">
        <v>190</v>
      </c>
      <c r="FS828" s="319" t="s">
        <v>429</v>
      </c>
      <c r="FT828" s="319" t="s">
        <v>190</v>
      </c>
      <c r="FU828" s="319" t="s">
        <v>190</v>
      </c>
      <c r="FV828" s="319" t="s">
        <v>190</v>
      </c>
      <c r="FW828" s="319" t="s">
        <v>190</v>
      </c>
      <c r="FX828" s="319" t="s">
        <v>190</v>
      </c>
      <c r="FY828" s="319" t="s">
        <v>190</v>
      </c>
      <c r="FZ828" s="319" t="s">
        <v>190</v>
      </c>
      <c r="GA828" s="319" t="s">
        <v>190</v>
      </c>
      <c r="GB828" s="319" t="s">
        <v>190</v>
      </c>
      <c r="GC828" s="319" t="s">
        <v>190</v>
      </c>
      <c r="GD828" s="319" t="s">
        <v>190</v>
      </c>
      <c r="GE828" s="319" t="s">
        <v>190</v>
      </c>
      <c r="GF828" s="319" t="s">
        <v>190</v>
      </c>
      <c r="GG828" s="319" t="s">
        <v>190</v>
      </c>
      <c r="GH828" s="319" t="s">
        <v>190</v>
      </c>
      <c r="GI828" s="319" t="s">
        <v>190</v>
      </c>
      <c r="GJ828" s="319" t="s">
        <v>190</v>
      </c>
      <c r="GK828" s="319" t="s">
        <v>429</v>
      </c>
      <c r="GL828" s="319" t="s">
        <v>190</v>
      </c>
      <c r="GM828" s="319" t="s">
        <v>190</v>
      </c>
      <c r="GN828" s="319" t="s">
        <v>190</v>
      </c>
      <c r="GO828" s="319" t="s">
        <v>190</v>
      </c>
      <c r="GP828" s="319" t="s">
        <v>190</v>
      </c>
      <c r="GQ828" s="319" t="s">
        <v>190</v>
      </c>
      <c r="GR828" s="319" t="s">
        <v>190</v>
      </c>
      <c r="GS828" s="319" t="s">
        <v>190</v>
      </c>
      <c r="GT828" s="319" t="s">
        <v>190</v>
      </c>
      <c r="GU828" s="319" t="s">
        <v>190</v>
      </c>
      <c r="GV828" s="319" t="s">
        <v>190</v>
      </c>
      <c r="GW828" s="319" t="s">
        <v>190</v>
      </c>
      <c r="GX828" s="319" t="s">
        <v>190</v>
      </c>
      <c r="GY828" s="319" t="s">
        <v>190</v>
      </c>
      <c r="GZ828" s="319" t="s">
        <v>190</v>
      </c>
      <c r="HA828" s="319" t="s">
        <v>429</v>
      </c>
      <c r="HB828" s="319" t="s">
        <v>190</v>
      </c>
      <c r="HC828" s="319" t="s">
        <v>190</v>
      </c>
      <c r="HD828" s="319" t="s">
        <v>190</v>
      </c>
      <c r="HE828" s="319" t="s">
        <v>190</v>
      </c>
      <c r="HF828" s="319" t="s">
        <v>190</v>
      </c>
      <c r="HG828" s="319" t="s">
        <v>190</v>
      </c>
      <c r="HH828" s="319" t="s">
        <v>190</v>
      </c>
      <c r="HI828" s="319" t="s">
        <v>190</v>
      </c>
      <c r="HJ828" s="319" t="s">
        <v>190</v>
      </c>
      <c r="HK828" s="319" t="s">
        <v>190</v>
      </c>
      <c r="HL828" s="319" t="s">
        <v>190</v>
      </c>
      <c r="HM828" s="319" t="s">
        <v>190</v>
      </c>
      <c r="HN828" s="319" t="s">
        <v>190</v>
      </c>
      <c r="HO828" s="319" t="s">
        <v>190</v>
      </c>
      <c r="HP828" s="319" t="s">
        <v>190</v>
      </c>
      <c r="HQ828" s="319" t="s">
        <v>190</v>
      </c>
      <c r="HR828" s="319" t="s">
        <v>190</v>
      </c>
      <c r="HS828" s="319" t="s">
        <v>190</v>
      </c>
      <c r="HT828" s="319" t="s">
        <v>190</v>
      </c>
      <c r="HU828" s="319" t="s">
        <v>190</v>
      </c>
      <c r="HV828" s="319" t="s">
        <v>190</v>
      </c>
      <c r="HW828" s="319" t="s">
        <v>190</v>
      </c>
      <c r="HX828" s="319" t="s">
        <v>190</v>
      </c>
      <c r="HY828" s="319" t="s">
        <v>190</v>
      </c>
      <c r="HZ828" s="319" t="s">
        <v>190</v>
      </c>
      <c r="IA828" s="319" t="s">
        <v>190</v>
      </c>
      <c r="IB828" s="319" t="s">
        <v>190</v>
      </c>
      <c r="IC828" s="319" t="s">
        <v>190</v>
      </c>
      <c r="ID828" s="319" t="s">
        <v>190</v>
      </c>
      <c r="IE828" s="319" t="s">
        <v>190</v>
      </c>
      <c r="IF828" s="319" t="s">
        <v>190</v>
      </c>
      <c r="IG828" s="319" t="s">
        <v>190</v>
      </c>
      <c r="IH828" s="319" t="s">
        <v>190</v>
      </c>
      <c r="II828" s="319" t="s">
        <v>190</v>
      </c>
      <c r="IJ828" s="319" t="s">
        <v>173</v>
      </c>
      <c r="IK828" s="319" t="s">
        <v>173</v>
      </c>
      <c r="IL828" s="319" t="s">
        <v>173</v>
      </c>
      <c r="IM828" s="319" t="s">
        <v>173</v>
      </c>
      <c r="IN828" s="319" t="s">
        <v>173</v>
      </c>
      <c r="IO828" s="319" t="s">
        <v>173</v>
      </c>
      <c r="IP828" s="319" t="s">
        <v>173</v>
      </c>
      <c r="IQ828" s="321" t="s">
        <v>173</v>
      </c>
      <c r="IR828" s="320" t="s">
        <v>173</v>
      </c>
      <c r="IS828" s="322" t="s">
        <v>173</v>
      </c>
      <c r="IT828" s="319" t="s">
        <v>173</v>
      </c>
    </row>
    <row r="829" spans="1:254" s="271" customFormat="1" x14ac:dyDescent="0.25">
      <c r="A829" s="318" t="str">
        <f>HYPERLINK("http://www.ofsted.gov.uk/inspection-reports/find-inspection-report/provider/ELS/142474 ","Ofsted School Webpage")</f>
        <v>Ofsted School Webpage</v>
      </c>
      <c r="B829" s="319">
        <v>142474</v>
      </c>
      <c r="C829" s="319">
        <v>8406014</v>
      </c>
      <c r="D829" s="319" t="s">
        <v>718</v>
      </c>
      <c r="E829" s="319" t="s">
        <v>167</v>
      </c>
      <c r="F829" s="319" t="s">
        <v>81</v>
      </c>
      <c r="G829" s="319" t="s">
        <v>81</v>
      </c>
      <c r="H829" s="319" t="s">
        <v>81</v>
      </c>
      <c r="I829" s="319" t="s">
        <v>78</v>
      </c>
      <c r="J829" s="319" t="s">
        <v>424</v>
      </c>
      <c r="K829" s="319" t="s">
        <v>458</v>
      </c>
      <c r="L829" s="319" t="s">
        <v>474</v>
      </c>
      <c r="M829" s="319" t="s">
        <v>574</v>
      </c>
      <c r="N829" s="319" t="s">
        <v>3332</v>
      </c>
      <c r="O829" s="319" t="s">
        <v>719</v>
      </c>
      <c r="P829" s="319">
        <v>52</v>
      </c>
      <c r="Q829" s="319" t="s">
        <v>2766</v>
      </c>
      <c r="R829" s="320">
        <v>10053835</v>
      </c>
      <c r="S829" s="321">
        <v>43431</v>
      </c>
      <c r="T829" s="321">
        <v>43433</v>
      </c>
      <c r="U829" s="321">
        <v>43494</v>
      </c>
      <c r="V829" s="319" t="s">
        <v>425</v>
      </c>
      <c r="W829" s="319" t="s">
        <v>2767</v>
      </c>
      <c r="X829" s="319">
        <v>4</v>
      </c>
      <c r="Y829" s="319" t="s">
        <v>173</v>
      </c>
      <c r="Z829" s="319" t="s">
        <v>173</v>
      </c>
      <c r="AA829" s="319" t="s">
        <v>173</v>
      </c>
      <c r="AB829" s="319">
        <v>4</v>
      </c>
      <c r="AC829" s="319" t="s">
        <v>169</v>
      </c>
      <c r="AD829" s="319" t="s">
        <v>173</v>
      </c>
      <c r="AE829" s="319" t="s">
        <v>173</v>
      </c>
      <c r="AF829" s="319" t="s">
        <v>427</v>
      </c>
      <c r="AG829" s="319" t="s">
        <v>172</v>
      </c>
      <c r="AH829" s="319" t="s">
        <v>479</v>
      </c>
      <c r="AI829" s="319" t="s">
        <v>190</v>
      </c>
      <c r="AJ829" s="319" t="s">
        <v>190</v>
      </c>
      <c r="AK829" s="319" t="s">
        <v>190</v>
      </c>
      <c r="AL829" s="319" t="s">
        <v>190</v>
      </c>
      <c r="AM829" s="319" t="s">
        <v>190</v>
      </c>
      <c r="AN829" s="319" t="s">
        <v>190</v>
      </c>
      <c r="AO829" s="319" t="s">
        <v>479</v>
      </c>
      <c r="AP829" s="319" t="s">
        <v>191</v>
      </c>
      <c r="AQ829" s="319" t="s">
        <v>191</v>
      </c>
      <c r="AR829" s="319" t="s">
        <v>191</v>
      </c>
      <c r="AS829" s="319" t="s">
        <v>191</v>
      </c>
      <c r="AT829" s="319" t="s">
        <v>190</v>
      </c>
      <c r="AU829" s="319" t="s">
        <v>190</v>
      </c>
      <c r="AV829" s="319" t="s">
        <v>190</v>
      </c>
      <c r="AW829" s="319" t="s">
        <v>191</v>
      </c>
      <c r="AX829" s="319" t="s">
        <v>428</v>
      </c>
      <c r="AY829" s="319" t="s">
        <v>190</v>
      </c>
      <c r="AZ829" s="319" t="s">
        <v>190</v>
      </c>
      <c r="BA829" s="319" t="s">
        <v>190</v>
      </c>
      <c r="BB829" s="319" t="s">
        <v>190</v>
      </c>
      <c r="BC829" s="319" t="s">
        <v>190</v>
      </c>
      <c r="BD829" s="319" t="s">
        <v>190</v>
      </c>
      <c r="BE829" s="319" t="s">
        <v>190</v>
      </c>
      <c r="BF829" s="319" t="s">
        <v>428</v>
      </c>
      <c r="BG829" s="319" t="s">
        <v>428</v>
      </c>
      <c r="BH829" s="319" t="s">
        <v>190</v>
      </c>
      <c r="BI829" s="319" t="s">
        <v>190</v>
      </c>
      <c r="BJ829" s="319" t="s">
        <v>191</v>
      </c>
      <c r="BK829" s="319" t="s">
        <v>191</v>
      </c>
      <c r="BL829" s="319" t="s">
        <v>190</v>
      </c>
      <c r="BM829" s="319" t="s">
        <v>191</v>
      </c>
      <c r="BN829" s="319" t="s">
        <v>191</v>
      </c>
      <c r="BO829" s="319" t="s">
        <v>190</v>
      </c>
      <c r="BP829" s="319" t="s">
        <v>190</v>
      </c>
      <c r="BQ829" s="319" t="s">
        <v>190</v>
      </c>
      <c r="BR829" s="319" t="s">
        <v>190</v>
      </c>
      <c r="BS829" s="319" t="s">
        <v>190</v>
      </c>
      <c r="BT829" s="319" t="s">
        <v>190</v>
      </c>
      <c r="BU829" s="319" t="s">
        <v>190</v>
      </c>
      <c r="BV829" s="319" t="s">
        <v>190</v>
      </c>
      <c r="BW829" s="319" t="s">
        <v>190</v>
      </c>
      <c r="BX829" s="319" t="s">
        <v>190</v>
      </c>
      <c r="BY829" s="319" t="s">
        <v>190</v>
      </c>
      <c r="BZ829" s="319" t="s">
        <v>190</v>
      </c>
      <c r="CA829" s="319" t="s">
        <v>190</v>
      </c>
      <c r="CB829" s="319" t="s">
        <v>190</v>
      </c>
      <c r="CC829" s="319" t="s">
        <v>190</v>
      </c>
      <c r="CD829" s="319" t="s">
        <v>190</v>
      </c>
      <c r="CE829" s="319" t="s">
        <v>190</v>
      </c>
      <c r="CF829" s="319" t="s">
        <v>190</v>
      </c>
      <c r="CG829" s="319" t="s">
        <v>190</v>
      </c>
      <c r="CH829" s="319" t="s">
        <v>190</v>
      </c>
      <c r="CI829" s="319" t="s">
        <v>190</v>
      </c>
      <c r="CJ829" s="319" t="s">
        <v>190</v>
      </c>
      <c r="CK829" s="319" t="s">
        <v>190</v>
      </c>
      <c r="CL829" s="319" t="s">
        <v>190</v>
      </c>
      <c r="CM829" s="319" t="s">
        <v>190</v>
      </c>
      <c r="CN829" s="319" t="s">
        <v>428</v>
      </c>
      <c r="CO829" s="319" t="s">
        <v>428</v>
      </c>
      <c r="CP829" s="319" t="s">
        <v>428</v>
      </c>
      <c r="CQ829" s="319" t="s">
        <v>190</v>
      </c>
      <c r="CR829" s="319" t="s">
        <v>190</v>
      </c>
      <c r="CS829" s="319" t="s">
        <v>190</v>
      </c>
      <c r="CT829" s="319" t="s">
        <v>190</v>
      </c>
      <c r="CU829" s="319" t="s">
        <v>190</v>
      </c>
      <c r="CV829" s="319" t="s">
        <v>190</v>
      </c>
      <c r="CW829" s="319" t="s">
        <v>190</v>
      </c>
      <c r="CX829" s="319" t="s">
        <v>190</v>
      </c>
      <c r="CY829" s="319" t="s">
        <v>190</v>
      </c>
      <c r="CZ829" s="319" t="s">
        <v>190</v>
      </c>
      <c r="DA829" s="319" t="s">
        <v>190</v>
      </c>
      <c r="DB829" s="319" t="s">
        <v>190</v>
      </c>
      <c r="DC829" s="319" t="s">
        <v>190</v>
      </c>
      <c r="DD829" s="319" t="s">
        <v>190</v>
      </c>
      <c r="DE829" s="319" t="s">
        <v>190</v>
      </c>
      <c r="DF829" s="319" t="s">
        <v>190</v>
      </c>
      <c r="DG829" s="319" t="s">
        <v>190</v>
      </c>
      <c r="DH829" s="319" t="s">
        <v>190</v>
      </c>
      <c r="DI829" s="319" t="s">
        <v>190</v>
      </c>
      <c r="DJ829" s="319" t="s">
        <v>190</v>
      </c>
      <c r="DK829" s="319" t="s">
        <v>190</v>
      </c>
      <c r="DL829" s="319" t="s">
        <v>190</v>
      </c>
      <c r="DM829" s="319" t="s">
        <v>428</v>
      </c>
      <c r="DN829" s="319" t="s">
        <v>428</v>
      </c>
      <c r="DO829" s="319" t="s">
        <v>190</v>
      </c>
      <c r="DP829" s="319" t="s">
        <v>428</v>
      </c>
      <c r="DQ829" s="319" t="s">
        <v>428</v>
      </c>
      <c r="DR829" s="319" t="s">
        <v>428</v>
      </c>
      <c r="DS829" s="319" t="s">
        <v>428</v>
      </c>
      <c r="DT829" s="319" t="s">
        <v>428</v>
      </c>
      <c r="DU829" s="319" t="s">
        <v>428</v>
      </c>
      <c r="DV829" s="319" t="s">
        <v>173</v>
      </c>
      <c r="DW829" s="319" t="s">
        <v>428</v>
      </c>
      <c r="DX829" s="319" t="s">
        <v>428</v>
      </c>
      <c r="DY829" s="319" t="s">
        <v>428</v>
      </c>
      <c r="DZ829" s="319" t="s">
        <v>428</v>
      </c>
      <c r="EA829" s="319" t="s">
        <v>428</v>
      </c>
      <c r="EB829" s="319" t="s">
        <v>428</v>
      </c>
      <c r="EC829" s="319" t="s">
        <v>428</v>
      </c>
      <c r="ED829" s="319" t="s">
        <v>428</v>
      </c>
      <c r="EE829" s="319" t="s">
        <v>428</v>
      </c>
      <c r="EF829" s="319" t="s">
        <v>428</v>
      </c>
      <c r="EG829" s="319" t="s">
        <v>428</v>
      </c>
      <c r="EH829" s="319" t="s">
        <v>428</v>
      </c>
      <c r="EI829" s="319" t="s">
        <v>428</v>
      </c>
      <c r="EJ829" s="319" t="s">
        <v>428</v>
      </c>
      <c r="EK829" s="319" t="s">
        <v>428</v>
      </c>
      <c r="EL829" s="319" t="s">
        <v>428</v>
      </c>
      <c r="EM829" s="319" t="s">
        <v>428</v>
      </c>
      <c r="EN829" s="319" t="s">
        <v>190</v>
      </c>
      <c r="EO829" s="319" t="s">
        <v>190</v>
      </c>
      <c r="EP829" s="319" t="s">
        <v>190</v>
      </c>
      <c r="EQ829" s="319" t="s">
        <v>190</v>
      </c>
      <c r="ER829" s="319" t="s">
        <v>190</v>
      </c>
      <c r="ES829" s="319" t="s">
        <v>190</v>
      </c>
      <c r="ET829" s="319" t="s">
        <v>190</v>
      </c>
      <c r="EU829" s="319" t="s">
        <v>190</v>
      </c>
      <c r="EV829" s="319" t="s">
        <v>190</v>
      </c>
      <c r="EW829" s="319" t="s">
        <v>190</v>
      </c>
      <c r="EX829" s="319" t="s">
        <v>190</v>
      </c>
      <c r="EY829" s="319" t="s">
        <v>190</v>
      </c>
      <c r="EZ829" s="319" t="s">
        <v>190</v>
      </c>
      <c r="FA829" s="319" t="s">
        <v>190</v>
      </c>
      <c r="FB829" s="319" t="s">
        <v>428</v>
      </c>
      <c r="FC829" s="319" t="s">
        <v>428</v>
      </c>
      <c r="FD829" s="319" t="s">
        <v>428</v>
      </c>
      <c r="FE829" s="319" t="s">
        <v>428</v>
      </c>
      <c r="FF829" s="319" t="s">
        <v>428</v>
      </c>
      <c r="FG829" s="319" t="s">
        <v>428</v>
      </c>
      <c r="FH829" s="319" t="s">
        <v>428</v>
      </c>
      <c r="FI829" s="319" t="s">
        <v>428</v>
      </c>
      <c r="FJ829" s="319" t="s">
        <v>429</v>
      </c>
      <c r="FK829" s="319" t="s">
        <v>428</v>
      </c>
      <c r="FL829" s="319" t="s">
        <v>190</v>
      </c>
      <c r="FM829" s="319" t="s">
        <v>190</v>
      </c>
      <c r="FN829" s="319" t="s">
        <v>190</v>
      </c>
      <c r="FO829" s="319" t="s">
        <v>190</v>
      </c>
      <c r="FP829" s="319" t="s">
        <v>190</v>
      </c>
      <c r="FQ829" s="319" t="s">
        <v>190</v>
      </c>
      <c r="FR829" s="319" t="s">
        <v>190</v>
      </c>
      <c r="FS829" s="319" t="s">
        <v>428</v>
      </c>
      <c r="FT829" s="319" t="s">
        <v>190</v>
      </c>
      <c r="FU829" s="319" t="s">
        <v>190</v>
      </c>
      <c r="FV829" s="319" t="s">
        <v>190</v>
      </c>
      <c r="FW829" s="319" t="s">
        <v>190</v>
      </c>
      <c r="FX829" s="319" t="s">
        <v>190</v>
      </c>
      <c r="FY829" s="319" t="s">
        <v>190</v>
      </c>
      <c r="FZ829" s="319" t="s">
        <v>190</v>
      </c>
      <c r="GA829" s="319" t="s">
        <v>190</v>
      </c>
      <c r="GB829" s="319" t="s">
        <v>190</v>
      </c>
      <c r="GC829" s="319" t="s">
        <v>190</v>
      </c>
      <c r="GD829" s="319" t="s">
        <v>190</v>
      </c>
      <c r="GE829" s="319" t="s">
        <v>190</v>
      </c>
      <c r="GF829" s="319" t="s">
        <v>190</v>
      </c>
      <c r="GG829" s="319" t="s">
        <v>190</v>
      </c>
      <c r="GH829" s="319" t="s">
        <v>190</v>
      </c>
      <c r="GI829" s="319" t="s">
        <v>190</v>
      </c>
      <c r="GJ829" s="319" t="s">
        <v>190</v>
      </c>
      <c r="GK829" s="319" t="s">
        <v>428</v>
      </c>
      <c r="GL829" s="319" t="s">
        <v>190</v>
      </c>
      <c r="GM829" s="319" t="s">
        <v>190</v>
      </c>
      <c r="GN829" s="319" t="s">
        <v>190</v>
      </c>
      <c r="GO829" s="319" t="s">
        <v>190</v>
      </c>
      <c r="GP829" s="319" t="s">
        <v>190</v>
      </c>
      <c r="GQ829" s="319" t="s">
        <v>428</v>
      </c>
      <c r="GR829" s="319" t="s">
        <v>190</v>
      </c>
      <c r="GS829" s="319" t="s">
        <v>190</v>
      </c>
      <c r="GT829" s="319" t="s">
        <v>428</v>
      </c>
      <c r="GU829" s="319" t="s">
        <v>428</v>
      </c>
      <c r="GV829" s="319" t="s">
        <v>190</v>
      </c>
      <c r="GW829" s="319" t="s">
        <v>190</v>
      </c>
      <c r="GX829" s="319" t="s">
        <v>190</v>
      </c>
      <c r="GY829" s="319" t="s">
        <v>190</v>
      </c>
      <c r="GZ829" s="319" t="s">
        <v>190</v>
      </c>
      <c r="HA829" s="319" t="s">
        <v>428</v>
      </c>
      <c r="HB829" s="319" t="s">
        <v>428</v>
      </c>
      <c r="HC829" s="319" t="s">
        <v>190</v>
      </c>
      <c r="HD829" s="319" t="s">
        <v>190</v>
      </c>
      <c r="HE829" s="319" t="s">
        <v>190</v>
      </c>
      <c r="HF829" s="319" t="s">
        <v>428</v>
      </c>
      <c r="HG829" s="319" t="s">
        <v>190</v>
      </c>
      <c r="HH829" s="319" t="s">
        <v>190</v>
      </c>
      <c r="HI829" s="319" t="s">
        <v>190</v>
      </c>
      <c r="HJ829" s="319" t="s">
        <v>190</v>
      </c>
      <c r="HK829" s="319" t="s">
        <v>190</v>
      </c>
      <c r="HL829" s="319" t="s">
        <v>428</v>
      </c>
      <c r="HM829" s="319" t="s">
        <v>428</v>
      </c>
      <c r="HN829" s="319" t="s">
        <v>428</v>
      </c>
      <c r="HO829" s="319" t="s">
        <v>428</v>
      </c>
      <c r="HP829" s="319" t="s">
        <v>190</v>
      </c>
      <c r="HQ829" s="319" t="s">
        <v>190</v>
      </c>
      <c r="HR829" s="319" t="s">
        <v>190</v>
      </c>
      <c r="HS829" s="319" t="s">
        <v>190</v>
      </c>
      <c r="HT829" s="319" t="s">
        <v>190</v>
      </c>
      <c r="HU829" s="319" t="s">
        <v>190</v>
      </c>
      <c r="HV829" s="319" t="s">
        <v>190</v>
      </c>
      <c r="HW829" s="319" t="s">
        <v>190</v>
      </c>
      <c r="HX829" s="319" t="s">
        <v>190</v>
      </c>
      <c r="HY829" s="319" t="s">
        <v>190</v>
      </c>
      <c r="HZ829" s="319" t="s">
        <v>190</v>
      </c>
      <c r="IA829" s="319" t="s">
        <v>190</v>
      </c>
      <c r="IB829" s="319" t="s">
        <v>190</v>
      </c>
      <c r="IC829" s="319" t="s">
        <v>190</v>
      </c>
      <c r="ID829" s="319" t="s">
        <v>190</v>
      </c>
      <c r="IE829" s="319" t="s">
        <v>190</v>
      </c>
      <c r="IF829" s="319" t="s">
        <v>191</v>
      </c>
      <c r="IG829" s="319" t="s">
        <v>191</v>
      </c>
      <c r="IH829" s="319" t="s">
        <v>191</v>
      </c>
      <c r="II829" s="319" t="s">
        <v>190</v>
      </c>
      <c r="IJ829" s="319">
        <v>10020870</v>
      </c>
      <c r="IK829" s="321">
        <v>42717</v>
      </c>
      <c r="IL829" s="321">
        <v>42719</v>
      </c>
      <c r="IM829" s="321">
        <v>42761</v>
      </c>
      <c r="IN829" s="319">
        <v>3</v>
      </c>
      <c r="IO829" s="319">
        <v>10113622</v>
      </c>
      <c r="IP829" s="319" t="s">
        <v>985</v>
      </c>
      <c r="IQ829" s="321">
        <v>43655</v>
      </c>
      <c r="IR829" s="320" t="s">
        <v>1223</v>
      </c>
      <c r="IS829" s="322">
        <v>43718</v>
      </c>
      <c r="IT829" s="319" t="s">
        <v>166</v>
      </c>
    </row>
    <row r="830" spans="1:254" s="271" customFormat="1" x14ac:dyDescent="0.25">
      <c r="A830" s="318" t="str">
        <f>HYPERLINK("http://www.ofsted.gov.uk/inspection-reports/find-inspection-report/provider/ELS/142516 ","Ofsted School Webpage")</f>
        <v>Ofsted School Webpage</v>
      </c>
      <c r="B830" s="319">
        <v>142516</v>
      </c>
      <c r="C830" s="319">
        <v>8606042</v>
      </c>
      <c r="D830" s="319" t="s">
        <v>2330</v>
      </c>
      <c r="E830" s="319" t="s">
        <v>168</v>
      </c>
      <c r="F830" s="319" t="s">
        <v>81</v>
      </c>
      <c r="G830" s="319" t="s">
        <v>81</v>
      </c>
      <c r="H830" s="319" t="s">
        <v>81</v>
      </c>
      <c r="I830" s="319" t="s">
        <v>78</v>
      </c>
      <c r="J830" s="319" t="s">
        <v>424</v>
      </c>
      <c r="K830" s="319" t="s">
        <v>437</v>
      </c>
      <c r="L830" s="319" t="s">
        <v>437</v>
      </c>
      <c r="M830" s="319" t="s">
        <v>577</v>
      </c>
      <c r="N830" s="319" t="s">
        <v>3426</v>
      </c>
      <c r="O830" s="319" t="s">
        <v>2331</v>
      </c>
      <c r="P830" s="319">
        <v>25</v>
      </c>
      <c r="Q830" s="319" t="s">
        <v>429</v>
      </c>
      <c r="R830" s="320">
        <v>10033585</v>
      </c>
      <c r="S830" s="321">
        <v>42878</v>
      </c>
      <c r="T830" s="321">
        <v>42880</v>
      </c>
      <c r="U830" s="321">
        <v>42912</v>
      </c>
      <c r="V830" s="319" t="s">
        <v>435</v>
      </c>
      <c r="W830" s="319" t="s">
        <v>2767</v>
      </c>
      <c r="X830" s="319">
        <v>2</v>
      </c>
      <c r="Y830" s="319" t="s">
        <v>173</v>
      </c>
      <c r="Z830" s="319" t="s">
        <v>173</v>
      </c>
      <c r="AA830" s="319" t="s">
        <v>173</v>
      </c>
      <c r="AB830" s="319">
        <v>2</v>
      </c>
      <c r="AC830" s="319" t="s">
        <v>169</v>
      </c>
      <c r="AD830" s="319" t="s">
        <v>173</v>
      </c>
      <c r="AE830" s="319">
        <v>2</v>
      </c>
      <c r="AF830" s="319" t="s">
        <v>173</v>
      </c>
      <c r="AG830" s="319" t="s">
        <v>171</v>
      </c>
      <c r="AH830" s="319" t="s">
        <v>190</v>
      </c>
      <c r="AI830" s="319" t="s">
        <v>190</v>
      </c>
      <c r="AJ830" s="319" t="s">
        <v>190</v>
      </c>
      <c r="AK830" s="319" t="s">
        <v>190</v>
      </c>
      <c r="AL830" s="319" t="s">
        <v>190</v>
      </c>
      <c r="AM830" s="319" t="s">
        <v>190</v>
      </c>
      <c r="AN830" s="319" t="s">
        <v>190</v>
      </c>
      <c r="AO830" s="319" t="s">
        <v>190</v>
      </c>
      <c r="AP830" s="319" t="s">
        <v>190</v>
      </c>
      <c r="AQ830" s="319" t="s">
        <v>190</v>
      </c>
      <c r="AR830" s="319" t="s">
        <v>190</v>
      </c>
      <c r="AS830" s="319" t="s">
        <v>190</v>
      </c>
      <c r="AT830" s="319" t="s">
        <v>190</v>
      </c>
      <c r="AU830" s="319" t="s">
        <v>190</v>
      </c>
      <c r="AV830" s="319" t="s">
        <v>190</v>
      </c>
      <c r="AW830" s="319" t="s">
        <v>190</v>
      </c>
      <c r="AX830" s="319" t="s">
        <v>190</v>
      </c>
      <c r="AY830" s="319" t="s">
        <v>190</v>
      </c>
      <c r="AZ830" s="319" t="s">
        <v>190</v>
      </c>
      <c r="BA830" s="319" t="s">
        <v>190</v>
      </c>
      <c r="BB830" s="319" t="s">
        <v>190</v>
      </c>
      <c r="BC830" s="319" t="s">
        <v>190</v>
      </c>
      <c r="BD830" s="319" t="s">
        <v>190</v>
      </c>
      <c r="BE830" s="319" t="s">
        <v>190</v>
      </c>
      <c r="BF830" s="319" t="s">
        <v>429</v>
      </c>
      <c r="BG830" s="319" t="s">
        <v>190</v>
      </c>
      <c r="BH830" s="319" t="s">
        <v>190</v>
      </c>
      <c r="BI830" s="319" t="s">
        <v>190</v>
      </c>
      <c r="BJ830" s="319" t="s">
        <v>190</v>
      </c>
      <c r="BK830" s="319" t="s">
        <v>190</v>
      </c>
      <c r="BL830" s="319" t="s">
        <v>190</v>
      </c>
      <c r="BM830" s="319" t="s">
        <v>190</v>
      </c>
      <c r="BN830" s="319" t="s">
        <v>190</v>
      </c>
      <c r="BO830" s="319" t="s">
        <v>190</v>
      </c>
      <c r="BP830" s="319" t="s">
        <v>190</v>
      </c>
      <c r="BQ830" s="319" t="s">
        <v>190</v>
      </c>
      <c r="BR830" s="319" t="s">
        <v>190</v>
      </c>
      <c r="BS830" s="319" t="s">
        <v>190</v>
      </c>
      <c r="BT830" s="319" t="s">
        <v>190</v>
      </c>
      <c r="BU830" s="319" t="s">
        <v>190</v>
      </c>
      <c r="BV830" s="319" t="s">
        <v>190</v>
      </c>
      <c r="BW830" s="319" t="s">
        <v>190</v>
      </c>
      <c r="BX830" s="319" t="s">
        <v>190</v>
      </c>
      <c r="BY830" s="319" t="s">
        <v>190</v>
      </c>
      <c r="BZ830" s="319" t="s">
        <v>190</v>
      </c>
      <c r="CA830" s="319" t="s">
        <v>190</v>
      </c>
      <c r="CB830" s="319" t="s">
        <v>190</v>
      </c>
      <c r="CC830" s="319" t="s">
        <v>190</v>
      </c>
      <c r="CD830" s="319" t="s">
        <v>190</v>
      </c>
      <c r="CE830" s="319" t="s">
        <v>190</v>
      </c>
      <c r="CF830" s="319" t="s">
        <v>190</v>
      </c>
      <c r="CG830" s="319" t="s">
        <v>190</v>
      </c>
      <c r="CH830" s="319" t="s">
        <v>190</v>
      </c>
      <c r="CI830" s="319" t="s">
        <v>190</v>
      </c>
      <c r="CJ830" s="319" t="s">
        <v>190</v>
      </c>
      <c r="CK830" s="319" t="s">
        <v>190</v>
      </c>
      <c r="CL830" s="319" t="s">
        <v>190</v>
      </c>
      <c r="CM830" s="319" t="s">
        <v>190</v>
      </c>
      <c r="CN830" s="319" t="s">
        <v>190</v>
      </c>
      <c r="CO830" s="319" t="s">
        <v>429</v>
      </c>
      <c r="CP830" s="319" t="s">
        <v>429</v>
      </c>
      <c r="CQ830" s="319" t="s">
        <v>190</v>
      </c>
      <c r="CR830" s="319" t="s">
        <v>190</v>
      </c>
      <c r="CS830" s="319" t="s">
        <v>190</v>
      </c>
      <c r="CT830" s="319" t="s">
        <v>190</v>
      </c>
      <c r="CU830" s="319" t="s">
        <v>190</v>
      </c>
      <c r="CV830" s="319" t="s">
        <v>190</v>
      </c>
      <c r="CW830" s="319" t="s">
        <v>190</v>
      </c>
      <c r="CX830" s="319" t="s">
        <v>190</v>
      </c>
      <c r="CY830" s="319" t="s">
        <v>190</v>
      </c>
      <c r="CZ830" s="319" t="s">
        <v>190</v>
      </c>
      <c r="DA830" s="319" t="s">
        <v>190</v>
      </c>
      <c r="DB830" s="319" t="s">
        <v>190</v>
      </c>
      <c r="DC830" s="319" t="s">
        <v>190</v>
      </c>
      <c r="DD830" s="319" t="s">
        <v>190</v>
      </c>
      <c r="DE830" s="319" t="s">
        <v>190</v>
      </c>
      <c r="DF830" s="319" t="s">
        <v>190</v>
      </c>
      <c r="DG830" s="319" t="s">
        <v>190</v>
      </c>
      <c r="DH830" s="319" t="s">
        <v>190</v>
      </c>
      <c r="DI830" s="319" t="s">
        <v>190</v>
      </c>
      <c r="DJ830" s="319" t="s">
        <v>190</v>
      </c>
      <c r="DK830" s="319" t="s">
        <v>190</v>
      </c>
      <c r="DL830" s="319" t="s">
        <v>190</v>
      </c>
      <c r="DM830" s="319" t="s">
        <v>190</v>
      </c>
      <c r="DN830" s="319" t="s">
        <v>429</v>
      </c>
      <c r="DO830" s="319" t="s">
        <v>190</v>
      </c>
      <c r="DP830" s="319" t="s">
        <v>190</v>
      </c>
      <c r="DQ830" s="319" t="s">
        <v>190</v>
      </c>
      <c r="DR830" s="319" t="s">
        <v>190</v>
      </c>
      <c r="DS830" s="319" t="s">
        <v>190</v>
      </c>
      <c r="DT830" s="319" t="s">
        <v>190</v>
      </c>
      <c r="DU830" s="319" t="s">
        <v>190</v>
      </c>
      <c r="DV830" s="319" t="s">
        <v>173</v>
      </c>
      <c r="DW830" s="319" t="s">
        <v>190</v>
      </c>
      <c r="DX830" s="319" t="s">
        <v>190</v>
      </c>
      <c r="DY830" s="319" t="s">
        <v>190</v>
      </c>
      <c r="DZ830" s="319" t="s">
        <v>190</v>
      </c>
      <c r="EA830" s="319" t="s">
        <v>190</v>
      </c>
      <c r="EB830" s="319" t="s">
        <v>190</v>
      </c>
      <c r="EC830" s="319" t="s">
        <v>429</v>
      </c>
      <c r="ED830" s="319" t="s">
        <v>190</v>
      </c>
      <c r="EE830" s="319" t="s">
        <v>190</v>
      </c>
      <c r="EF830" s="319" t="s">
        <v>190</v>
      </c>
      <c r="EG830" s="319" t="s">
        <v>190</v>
      </c>
      <c r="EH830" s="319" t="s">
        <v>190</v>
      </c>
      <c r="EI830" s="319" t="s">
        <v>190</v>
      </c>
      <c r="EJ830" s="319" t="s">
        <v>190</v>
      </c>
      <c r="EK830" s="319" t="s">
        <v>190</v>
      </c>
      <c r="EL830" s="319" t="s">
        <v>429</v>
      </c>
      <c r="EM830" s="319" t="s">
        <v>190</v>
      </c>
      <c r="EN830" s="319" t="s">
        <v>190</v>
      </c>
      <c r="EO830" s="319" t="s">
        <v>190</v>
      </c>
      <c r="EP830" s="319" t="s">
        <v>190</v>
      </c>
      <c r="EQ830" s="319" t="s">
        <v>190</v>
      </c>
      <c r="ER830" s="319" t="s">
        <v>190</v>
      </c>
      <c r="ES830" s="319" t="s">
        <v>190</v>
      </c>
      <c r="ET830" s="319" t="s">
        <v>190</v>
      </c>
      <c r="EU830" s="319" t="s">
        <v>190</v>
      </c>
      <c r="EV830" s="319" t="s">
        <v>190</v>
      </c>
      <c r="EW830" s="319" t="s">
        <v>190</v>
      </c>
      <c r="EX830" s="319" t="s">
        <v>190</v>
      </c>
      <c r="EY830" s="319" t="s">
        <v>190</v>
      </c>
      <c r="EZ830" s="319" t="s">
        <v>190</v>
      </c>
      <c r="FA830" s="319" t="s">
        <v>190</v>
      </c>
      <c r="FB830" s="319" t="s">
        <v>190</v>
      </c>
      <c r="FC830" s="319" t="s">
        <v>190</v>
      </c>
      <c r="FD830" s="319" t="s">
        <v>190</v>
      </c>
      <c r="FE830" s="319" t="s">
        <v>190</v>
      </c>
      <c r="FF830" s="319" t="s">
        <v>190</v>
      </c>
      <c r="FG830" s="319" t="s">
        <v>190</v>
      </c>
      <c r="FH830" s="319" t="s">
        <v>190</v>
      </c>
      <c r="FI830" s="319" t="s">
        <v>190</v>
      </c>
      <c r="FJ830" s="319" t="s">
        <v>190</v>
      </c>
      <c r="FK830" s="319" t="s">
        <v>190</v>
      </c>
      <c r="FL830" s="319" t="s">
        <v>190</v>
      </c>
      <c r="FM830" s="319" t="s">
        <v>190</v>
      </c>
      <c r="FN830" s="319" t="s">
        <v>190</v>
      </c>
      <c r="FO830" s="319" t="s">
        <v>190</v>
      </c>
      <c r="FP830" s="319" t="s">
        <v>190</v>
      </c>
      <c r="FQ830" s="319" t="s">
        <v>190</v>
      </c>
      <c r="FR830" s="319" t="s">
        <v>190</v>
      </c>
      <c r="FS830" s="319" t="s">
        <v>190</v>
      </c>
      <c r="FT830" s="319" t="s">
        <v>190</v>
      </c>
      <c r="FU830" s="319" t="s">
        <v>190</v>
      </c>
      <c r="FV830" s="319" t="s">
        <v>190</v>
      </c>
      <c r="FW830" s="319" t="s">
        <v>190</v>
      </c>
      <c r="FX830" s="319" t="s">
        <v>190</v>
      </c>
      <c r="FY830" s="319" t="s">
        <v>190</v>
      </c>
      <c r="FZ830" s="319" t="s">
        <v>190</v>
      </c>
      <c r="GA830" s="319" t="s">
        <v>190</v>
      </c>
      <c r="GB830" s="319" t="s">
        <v>190</v>
      </c>
      <c r="GC830" s="319" t="s">
        <v>190</v>
      </c>
      <c r="GD830" s="319" t="s">
        <v>190</v>
      </c>
      <c r="GE830" s="319" t="s">
        <v>190</v>
      </c>
      <c r="GF830" s="319" t="s">
        <v>190</v>
      </c>
      <c r="GG830" s="319" t="s">
        <v>190</v>
      </c>
      <c r="GH830" s="319" t="s">
        <v>190</v>
      </c>
      <c r="GI830" s="319" t="s">
        <v>190</v>
      </c>
      <c r="GJ830" s="319" t="s">
        <v>190</v>
      </c>
      <c r="GK830" s="319" t="s">
        <v>429</v>
      </c>
      <c r="GL830" s="319" t="s">
        <v>190</v>
      </c>
      <c r="GM830" s="319" t="s">
        <v>190</v>
      </c>
      <c r="GN830" s="319" t="s">
        <v>190</v>
      </c>
      <c r="GO830" s="319" t="s">
        <v>190</v>
      </c>
      <c r="GP830" s="319" t="s">
        <v>190</v>
      </c>
      <c r="GQ830" s="319" t="s">
        <v>190</v>
      </c>
      <c r="GR830" s="319" t="s">
        <v>190</v>
      </c>
      <c r="GS830" s="319" t="s">
        <v>190</v>
      </c>
      <c r="GT830" s="319" t="s">
        <v>190</v>
      </c>
      <c r="GU830" s="319" t="s">
        <v>190</v>
      </c>
      <c r="GV830" s="319" t="s">
        <v>190</v>
      </c>
      <c r="GW830" s="319" t="s">
        <v>190</v>
      </c>
      <c r="GX830" s="319" t="s">
        <v>190</v>
      </c>
      <c r="GY830" s="319" t="s">
        <v>190</v>
      </c>
      <c r="GZ830" s="319" t="s">
        <v>190</v>
      </c>
      <c r="HA830" s="319" t="s">
        <v>190</v>
      </c>
      <c r="HB830" s="319" t="s">
        <v>190</v>
      </c>
      <c r="HC830" s="319" t="s">
        <v>190</v>
      </c>
      <c r="HD830" s="319" t="s">
        <v>190</v>
      </c>
      <c r="HE830" s="319" t="s">
        <v>190</v>
      </c>
      <c r="HF830" s="319" t="s">
        <v>190</v>
      </c>
      <c r="HG830" s="319" t="s">
        <v>190</v>
      </c>
      <c r="HH830" s="319" t="s">
        <v>190</v>
      </c>
      <c r="HI830" s="319" t="s">
        <v>190</v>
      </c>
      <c r="HJ830" s="319" t="s">
        <v>190</v>
      </c>
      <c r="HK830" s="319" t="s">
        <v>190</v>
      </c>
      <c r="HL830" s="319" t="s">
        <v>190</v>
      </c>
      <c r="HM830" s="319" t="s">
        <v>190</v>
      </c>
      <c r="HN830" s="319" t="s">
        <v>190</v>
      </c>
      <c r="HO830" s="319" t="s">
        <v>190</v>
      </c>
      <c r="HP830" s="319" t="s">
        <v>190</v>
      </c>
      <c r="HQ830" s="319" t="s">
        <v>190</v>
      </c>
      <c r="HR830" s="319" t="s">
        <v>190</v>
      </c>
      <c r="HS830" s="319" t="s">
        <v>190</v>
      </c>
      <c r="HT830" s="319" t="s">
        <v>190</v>
      </c>
      <c r="HU830" s="319" t="s">
        <v>190</v>
      </c>
      <c r="HV830" s="319" t="s">
        <v>190</v>
      </c>
      <c r="HW830" s="319" t="s">
        <v>190</v>
      </c>
      <c r="HX830" s="319" t="s">
        <v>190</v>
      </c>
      <c r="HY830" s="319" t="s">
        <v>190</v>
      </c>
      <c r="HZ830" s="319" t="s">
        <v>190</v>
      </c>
      <c r="IA830" s="319" t="s">
        <v>190</v>
      </c>
      <c r="IB830" s="319" t="s">
        <v>190</v>
      </c>
      <c r="IC830" s="319" t="s">
        <v>190</v>
      </c>
      <c r="ID830" s="319" t="s">
        <v>190</v>
      </c>
      <c r="IE830" s="319" t="s">
        <v>190</v>
      </c>
      <c r="IF830" s="319" t="s">
        <v>190</v>
      </c>
      <c r="IG830" s="319" t="s">
        <v>190</v>
      </c>
      <c r="IH830" s="319" t="s">
        <v>190</v>
      </c>
      <c r="II830" s="319" t="s">
        <v>190</v>
      </c>
      <c r="IJ830" s="319" t="s">
        <v>173</v>
      </c>
      <c r="IK830" s="319" t="s">
        <v>173</v>
      </c>
      <c r="IL830" s="319" t="s">
        <v>173</v>
      </c>
      <c r="IM830" s="319" t="s">
        <v>173</v>
      </c>
      <c r="IN830" s="319" t="s">
        <v>173</v>
      </c>
      <c r="IO830" s="319" t="s">
        <v>173</v>
      </c>
      <c r="IP830" s="319" t="s">
        <v>173</v>
      </c>
      <c r="IQ830" s="321" t="s">
        <v>173</v>
      </c>
      <c r="IR830" s="320" t="s">
        <v>173</v>
      </c>
      <c r="IS830" s="322" t="s">
        <v>173</v>
      </c>
      <c r="IT830" s="319" t="s">
        <v>173</v>
      </c>
    </row>
    <row r="831" spans="1:254" s="271" customFormat="1" x14ac:dyDescent="0.25">
      <c r="A831" s="318" t="str">
        <f>HYPERLINK("http://www.ofsted.gov.uk/inspection-reports/find-inspection-report/provider/ELS/142524 ","Ofsted School Webpage")</f>
        <v>Ofsted School Webpage</v>
      </c>
      <c r="B831" s="319">
        <v>142524</v>
      </c>
      <c r="C831" s="319">
        <v>3566006</v>
      </c>
      <c r="D831" s="319" t="s">
        <v>2332</v>
      </c>
      <c r="E831" s="319" t="s">
        <v>167</v>
      </c>
      <c r="F831" s="319" t="s">
        <v>81</v>
      </c>
      <c r="G831" s="319" t="s">
        <v>81</v>
      </c>
      <c r="H831" s="319" t="s">
        <v>81</v>
      </c>
      <c r="I831" s="319" t="s">
        <v>78</v>
      </c>
      <c r="J831" s="319" t="s">
        <v>424</v>
      </c>
      <c r="K831" s="319" t="s">
        <v>431</v>
      </c>
      <c r="L831" s="319" t="s">
        <v>431</v>
      </c>
      <c r="M831" s="319" t="s">
        <v>837</v>
      </c>
      <c r="N831" s="319" t="s">
        <v>2878</v>
      </c>
      <c r="O831" s="319" t="s">
        <v>2333</v>
      </c>
      <c r="P831" s="319">
        <v>48</v>
      </c>
      <c r="Q831" s="319" t="s">
        <v>2776</v>
      </c>
      <c r="R831" s="320">
        <v>10020877</v>
      </c>
      <c r="S831" s="321">
        <v>42654</v>
      </c>
      <c r="T831" s="321">
        <v>42656</v>
      </c>
      <c r="U831" s="321">
        <v>42696</v>
      </c>
      <c r="V831" s="319" t="s">
        <v>435</v>
      </c>
      <c r="W831" s="319" t="s">
        <v>2767</v>
      </c>
      <c r="X831" s="319">
        <v>2</v>
      </c>
      <c r="Y831" s="319" t="s">
        <v>173</v>
      </c>
      <c r="Z831" s="319" t="s">
        <v>173</v>
      </c>
      <c r="AA831" s="319" t="s">
        <v>173</v>
      </c>
      <c r="AB831" s="319">
        <v>2</v>
      </c>
      <c r="AC831" s="319" t="s">
        <v>169</v>
      </c>
      <c r="AD831" s="319" t="s">
        <v>173</v>
      </c>
      <c r="AE831" s="319" t="s">
        <v>173</v>
      </c>
      <c r="AF831" s="319" t="s">
        <v>173</v>
      </c>
      <c r="AG831" s="319" t="s">
        <v>171</v>
      </c>
      <c r="AH831" s="319" t="s">
        <v>190</v>
      </c>
      <c r="AI831" s="319" t="s">
        <v>190</v>
      </c>
      <c r="AJ831" s="319" t="s">
        <v>190</v>
      </c>
      <c r="AK831" s="319" t="s">
        <v>190</v>
      </c>
      <c r="AL831" s="319" t="s">
        <v>190</v>
      </c>
      <c r="AM831" s="319" t="s">
        <v>190</v>
      </c>
      <c r="AN831" s="319" t="s">
        <v>190</v>
      </c>
      <c r="AO831" s="319" t="s">
        <v>190</v>
      </c>
      <c r="AP831" s="319" t="s">
        <v>190</v>
      </c>
      <c r="AQ831" s="319" t="s">
        <v>190</v>
      </c>
      <c r="AR831" s="319" t="s">
        <v>190</v>
      </c>
      <c r="AS831" s="319" t="s">
        <v>190</v>
      </c>
      <c r="AT831" s="319" t="s">
        <v>190</v>
      </c>
      <c r="AU831" s="319" t="s">
        <v>190</v>
      </c>
      <c r="AV831" s="319" t="s">
        <v>190</v>
      </c>
      <c r="AW831" s="319" t="s">
        <v>190</v>
      </c>
      <c r="AX831" s="319" t="s">
        <v>429</v>
      </c>
      <c r="AY831" s="319" t="s">
        <v>190</v>
      </c>
      <c r="AZ831" s="319" t="s">
        <v>190</v>
      </c>
      <c r="BA831" s="319" t="s">
        <v>190</v>
      </c>
      <c r="BB831" s="319" t="s">
        <v>190</v>
      </c>
      <c r="BC831" s="319" t="s">
        <v>190</v>
      </c>
      <c r="BD831" s="319" t="s">
        <v>190</v>
      </c>
      <c r="BE831" s="319" t="s">
        <v>190</v>
      </c>
      <c r="BF831" s="319" t="s">
        <v>429</v>
      </c>
      <c r="BG831" s="319" t="s">
        <v>190</v>
      </c>
      <c r="BH831" s="319" t="s">
        <v>190</v>
      </c>
      <c r="BI831" s="319" t="s">
        <v>190</v>
      </c>
      <c r="BJ831" s="319" t="s">
        <v>190</v>
      </c>
      <c r="BK831" s="319" t="s">
        <v>190</v>
      </c>
      <c r="BL831" s="319" t="s">
        <v>190</v>
      </c>
      <c r="BM831" s="319" t="s">
        <v>190</v>
      </c>
      <c r="BN831" s="319" t="s">
        <v>190</v>
      </c>
      <c r="BO831" s="319" t="s">
        <v>190</v>
      </c>
      <c r="BP831" s="319" t="s">
        <v>190</v>
      </c>
      <c r="BQ831" s="319" t="s">
        <v>190</v>
      </c>
      <c r="BR831" s="319" t="s">
        <v>190</v>
      </c>
      <c r="BS831" s="319" t="s">
        <v>190</v>
      </c>
      <c r="BT831" s="319" t="s">
        <v>190</v>
      </c>
      <c r="BU831" s="319" t="s">
        <v>190</v>
      </c>
      <c r="BV831" s="319" t="s">
        <v>190</v>
      </c>
      <c r="BW831" s="319" t="s">
        <v>190</v>
      </c>
      <c r="BX831" s="319" t="s">
        <v>190</v>
      </c>
      <c r="BY831" s="319" t="s">
        <v>190</v>
      </c>
      <c r="BZ831" s="319" t="s">
        <v>190</v>
      </c>
      <c r="CA831" s="319" t="s">
        <v>190</v>
      </c>
      <c r="CB831" s="319" t="s">
        <v>190</v>
      </c>
      <c r="CC831" s="319" t="s">
        <v>190</v>
      </c>
      <c r="CD831" s="319" t="s">
        <v>190</v>
      </c>
      <c r="CE831" s="319" t="s">
        <v>190</v>
      </c>
      <c r="CF831" s="319" t="s">
        <v>190</v>
      </c>
      <c r="CG831" s="319" t="s">
        <v>190</v>
      </c>
      <c r="CH831" s="319" t="s">
        <v>190</v>
      </c>
      <c r="CI831" s="319" t="s">
        <v>190</v>
      </c>
      <c r="CJ831" s="319" t="s">
        <v>190</v>
      </c>
      <c r="CK831" s="319" t="s">
        <v>190</v>
      </c>
      <c r="CL831" s="319" t="s">
        <v>190</v>
      </c>
      <c r="CM831" s="319" t="s">
        <v>190</v>
      </c>
      <c r="CN831" s="319" t="s">
        <v>190</v>
      </c>
      <c r="CO831" s="319" t="s">
        <v>190</v>
      </c>
      <c r="CP831" s="319" t="s">
        <v>429</v>
      </c>
      <c r="CQ831" s="319" t="s">
        <v>190</v>
      </c>
      <c r="CR831" s="319" t="s">
        <v>190</v>
      </c>
      <c r="CS831" s="319" t="s">
        <v>190</v>
      </c>
      <c r="CT831" s="319" t="s">
        <v>190</v>
      </c>
      <c r="CU831" s="319" t="s">
        <v>190</v>
      </c>
      <c r="CV831" s="319" t="s">
        <v>190</v>
      </c>
      <c r="CW831" s="319" t="s">
        <v>190</v>
      </c>
      <c r="CX831" s="319" t="s">
        <v>190</v>
      </c>
      <c r="CY831" s="319" t="s">
        <v>190</v>
      </c>
      <c r="CZ831" s="319" t="s">
        <v>190</v>
      </c>
      <c r="DA831" s="319" t="s">
        <v>190</v>
      </c>
      <c r="DB831" s="319" t="s">
        <v>190</v>
      </c>
      <c r="DC831" s="319" t="s">
        <v>190</v>
      </c>
      <c r="DD831" s="319" t="s">
        <v>190</v>
      </c>
      <c r="DE831" s="319" t="s">
        <v>190</v>
      </c>
      <c r="DF831" s="319" t="s">
        <v>190</v>
      </c>
      <c r="DG831" s="319" t="s">
        <v>190</v>
      </c>
      <c r="DH831" s="319" t="s">
        <v>190</v>
      </c>
      <c r="DI831" s="319" t="s">
        <v>190</v>
      </c>
      <c r="DJ831" s="319" t="s">
        <v>190</v>
      </c>
      <c r="DK831" s="319" t="s">
        <v>190</v>
      </c>
      <c r="DL831" s="319" t="s">
        <v>190</v>
      </c>
      <c r="DM831" s="319" t="s">
        <v>190</v>
      </c>
      <c r="DN831" s="319" t="s">
        <v>190</v>
      </c>
      <c r="DO831" s="319" t="s">
        <v>190</v>
      </c>
      <c r="DP831" s="319" t="s">
        <v>190</v>
      </c>
      <c r="DQ831" s="319" t="s">
        <v>190</v>
      </c>
      <c r="DR831" s="319" t="s">
        <v>190</v>
      </c>
      <c r="DS831" s="319" t="s">
        <v>190</v>
      </c>
      <c r="DT831" s="319" t="s">
        <v>190</v>
      </c>
      <c r="DU831" s="319" t="s">
        <v>190</v>
      </c>
      <c r="DV831" s="319" t="s">
        <v>173</v>
      </c>
      <c r="DW831" s="319" t="s">
        <v>190</v>
      </c>
      <c r="DX831" s="319" t="s">
        <v>190</v>
      </c>
      <c r="DY831" s="319" t="s">
        <v>190</v>
      </c>
      <c r="DZ831" s="319" t="s">
        <v>190</v>
      </c>
      <c r="EA831" s="319" t="s">
        <v>190</v>
      </c>
      <c r="EB831" s="319" t="s">
        <v>190</v>
      </c>
      <c r="EC831" s="319" t="s">
        <v>190</v>
      </c>
      <c r="ED831" s="319" t="s">
        <v>190</v>
      </c>
      <c r="EE831" s="319" t="s">
        <v>190</v>
      </c>
      <c r="EF831" s="319" t="s">
        <v>190</v>
      </c>
      <c r="EG831" s="319" t="s">
        <v>190</v>
      </c>
      <c r="EH831" s="319" t="s">
        <v>190</v>
      </c>
      <c r="EI831" s="319" t="s">
        <v>190</v>
      </c>
      <c r="EJ831" s="319" t="s">
        <v>190</v>
      </c>
      <c r="EK831" s="319" t="s">
        <v>190</v>
      </c>
      <c r="EL831" s="319" t="s">
        <v>190</v>
      </c>
      <c r="EM831" s="319" t="s">
        <v>190</v>
      </c>
      <c r="EN831" s="319" t="s">
        <v>190</v>
      </c>
      <c r="EO831" s="319" t="s">
        <v>190</v>
      </c>
      <c r="EP831" s="319" t="s">
        <v>190</v>
      </c>
      <c r="EQ831" s="319" t="s">
        <v>190</v>
      </c>
      <c r="ER831" s="319" t="s">
        <v>190</v>
      </c>
      <c r="ES831" s="319" t="s">
        <v>190</v>
      </c>
      <c r="ET831" s="319" t="s">
        <v>190</v>
      </c>
      <c r="EU831" s="319" t="s">
        <v>190</v>
      </c>
      <c r="EV831" s="319" t="s">
        <v>190</v>
      </c>
      <c r="EW831" s="319" t="s">
        <v>190</v>
      </c>
      <c r="EX831" s="319" t="s">
        <v>190</v>
      </c>
      <c r="EY831" s="319" t="s">
        <v>190</v>
      </c>
      <c r="EZ831" s="319" t="s">
        <v>190</v>
      </c>
      <c r="FA831" s="319" t="s">
        <v>190</v>
      </c>
      <c r="FB831" s="319" t="s">
        <v>190</v>
      </c>
      <c r="FC831" s="319" t="s">
        <v>190</v>
      </c>
      <c r="FD831" s="319" t="s">
        <v>190</v>
      </c>
      <c r="FE831" s="319" t="s">
        <v>190</v>
      </c>
      <c r="FF831" s="319" t="s">
        <v>190</v>
      </c>
      <c r="FG831" s="319" t="s">
        <v>190</v>
      </c>
      <c r="FH831" s="319" t="s">
        <v>190</v>
      </c>
      <c r="FI831" s="319" t="s">
        <v>190</v>
      </c>
      <c r="FJ831" s="319" t="s">
        <v>190</v>
      </c>
      <c r="FK831" s="319" t="s">
        <v>190</v>
      </c>
      <c r="FL831" s="319" t="s">
        <v>190</v>
      </c>
      <c r="FM831" s="319" t="s">
        <v>190</v>
      </c>
      <c r="FN831" s="319" t="s">
        <v>190</v>
      </c>
      <c r="FO831" s="319" t="s">
        <v>190</v>
      </c>
      <c r="FP831" s="319" t="s">
        <v>190</v>
      </c>
      <c r="FQ831" s="319" t="s">
        <v>190</v>
      </c>
      <c r="FR831" s="319" t="s">
        <v>190</v>
      </c>
      <c r="FS831" s="319" t="s">
        <v>190</v>
      </c>
      <c r="FT831" s="319" t="s">
        <v>190</v>
      </c>
      <c r="FU831" s="319" t="s">
        <v>190</v>
      </c>
      <c r="FV831" s="319" t="s">
        <v>190</v>
      </c>
      <c r="FW831" s="319" t="s">
        <v>190</v>
      </c>
      <c r="FX831" s="319" t="s">
        <v>190</v>
      </c>
      <c r="FY831" s="319" t="s">
        <v>190</v>
      </c>
      <c r="FZ831" s="319" t="s">
        <v>190</v>
      </c>
      <c r="GA831" s="319" t="s">
        <v>190</v>
      </c>
      <c r="GB831" s="319" t="s">
        <v>190</v>
      </c>
      <c r="GC831" s="319" t="s">
        <v>190</v>
      </c>
      <c r="GD831" s="319" t="s">
        <v>190</v>
      </c>
      <c r="GE831" s="319" t="s">
        <v>190</v>
      </c>
      <c r="GF831" s="319" t="s">
        <v>190</v>
      </c>
      <c r="GG831" s="319" t="s">
        <v>190</v>
      </c>
      <c r="GH831" s="319" t="s">
        <v>190</v>
      </c>
      <c r="GI831" s="319" t="s">
        <v>190</v>
      </c>
      <c r="GJ831" s="319" t="s">
        <v>190</v>
      </c>
      <c r="GK831" s="319" t="s">
        <v>190</v>
      </c>
      <c r="GL831" s="319" t="s">
        <v>190</v>
      </c>
      <c r="GM831" s="319" t="s">
        <v>190</v>
      </c>
      <c r="GN831" s="319" t="s">
        <v>190</v>
      </c>
      <c r="GO831" s="319" t="s">
        <v>190</v>
      </c>
      <c r="GP831" s="319" t="s">
        <v>429</v>
      </c>
      <c r="GQ831" s="319" t="s">
        <v>429</v>
      </c>
      <c r="GR831" s="319" t="s">
        <v>190</v>
      </c>
      <c r="GS831" s="319" t="s">
        <v>190</v>
      </c>
      <c r="GT831" s="319" t="s">
        <v>190</v>
      </c>
      <c r="GU831" s="319" t="s">
        <v>190</v>
      </c>
      <c r="GV831" s="319" t="s">
        <v>190</v>
      </c>
      <c r="GW831" s="319" t="s">
        <v>190</v>
      </c>
      <c r="GX831" s="319" t="s">
        <v>190</v>
      </c>
      <c r="GY831" s="319" t="s">
        <v>190</v>
      </c>
      <c r="GZ831" s="319" t="s">
        <v>429</v>
      </c>
      <c r="HA831" s="319" t="s">
        <v>190</v>
      </c>
      <c r="HB831" s="319" t="s">
        <v>190</v>
      </c>
      <c r="HC831" s="319" t="s">
        <v>190</v>
      </c>
      <c r="HD831" s="319" t="s">
        <v>190</v>
      </c>
      <c r="HE831" s="319" t="s">
        <v>190</v>
      </c>
      <c r="HF831" s="319" t="s">
        <v>190</v>
      </c>
      <c r="HG831" s="319" t="s">
        <v>190</v>
      </c>
      <c r="HH831" s="319" t="s">
        <v>190</v>
      </c>
      <c r="HI831" s="319" t="s">
        <v>190</v>
      </c>
      <c r="HJ831" s="319" t="s">
        <v>190</v>
      </c>
      <c r="HK831" s="319" t="s">
        <v>190</v>
      </c>
      <c r="HL831" s="319" t="s">
        <v>190</v>
      </c>
      <c r="HM831" s="319" t="s">
        <v>190</v>
      </c>
      <c r="HN831" s="319" t="s">
        <v>190</v>
      </c>
      <c r="HO831" s="319" t="s">
        <v>190</v>
      </c>
      <c r="HP831" s="319" t="s">
        <v>190</v>
      </c>
      <c r="HQ831" s="319" t="s">
        <v>190</v>
      </c>
      <c r="HR831" s="319" t="s">
        <v>190</v>
      </c>
      <c r="HS831" s="319" t="s">
        <v>190</v>
      </c>
      <c r="HT831" s="319" t="s">
        <v>190</v>
      </c>
      <c r="HU831" s="319" t="s">
        <v>190</v>
      </c>
      <c r="HV831" s="319" t="s">
        <v>190</v>
      </c>
      <c r="HW831" s="319" t="s">
        <v>190</v>
      </c>
      <c r="HX831" s="319" t="s">
        <v>190</v>
      </c>
      <c r="HY831" s="319" t="s">
        <v>190</v>
      </c>
      <c r="HZ831" s="319" t="s">
        <v>190</v>
      </c>
      <c r="IA831" s="319" t="s">
        <v>190</v>
      </c>
      <c r="IB831" s="319" t="s">
        <v>190</v>
      </c>
      <c r="IC831" s="319" t="s">
        <v>190</v>
      </c>
      <c r="ID831" s="319" t="s">
        <v>190</v>
      </c>
      <c r="IE831" s="319" t="s">
        <v>190</v>
      </c>
      <c r="IF831" s="319" t="s">
        <v>190</v>
      </c>
      <c r="IG831" s="319" t="s">
        <v>190</v>
      </c>
      <c r="IH831" s="319" t="s">
        <v>190</v>
      </c>
      <c r="II831" s="319" t="s">
        <v>190</v>
      </c>
      <c r="IJ831" s="319" t="s">
        <v>173</v>
      </c>
      <c r="IK831" s="319" t="s">
        <v>173</v>
      </c>
      <c r="IL831" s="319" t="s">
        <v>173</v>
      </c>
      <c r="IM831" s="319" t="s">
        <v>173</v>
      </c>
      <c r="IN831" s="319" t="s">
        <v>173</v>
      </c>
      <c r="IO831" s="319" t="s">
        <v>173</v>
      </c>
      <c r="IP831" s="319" t="s">
        <v>173</v>
      </c>
      <c r="IQ831" s="321" t="s">
        <v>173</v>
      </c>
      <c r="IR831" s="320" t="s">
        <v>173</v>
      </c>
      <c r="IS831" s="322" t="s">
        <v>173</v>
      </c>
      <c r="IT831" s="319" t="s">
        <v>173</v>
      </c>
    </row>
    <row r="832" spans="1:254" s="271" customFormat="1" x14ac:dyDescent="0.25">
      <c r="A832" s="318" t="str">
        <f>HYPERLINK("http://www.ofsted.gov.uk/inspection-reports/find-inspection-report/provider/ELS/142531 ","Ofsted School Webpage")</f>
        <v>Ofsted School Webpage</v>
      </c>
      <c r="B832" s="319">
        <v>142531</v>
      </c>
      <c r="C832" s="319">
        <v>8896014</v>
      </c>
      <c r="D832" s="319" t="s">
        <v>640</v>
      </c>
      <c r="E832" s="319" t="s">
        <v>168</v>
      </c>
      <c r="F832" s="319" t="s">
        <v>81</v>
      </c>
      <c r="G832" s="319" t="s">
        <v>81</v>
      </c>
      <c r="H832" s="319" t="s">
        <v>81</v>
      </c>
      <c r="I832" s="319" t="s">
        <v>78</v>
      </c>
      <c r="J832" s="319" t="s">
        <v>424</v>
      </c>
      <c r="K832" s="319" t="s">
        <v>431</v>
      </c>
      <c r="L832" s="319" t="s">
        <v>431</v>
      </c>
      <c r="M832" s="319" t="s">
        <v>541</v>
      </c>
      <c r="N832" s="319" t="s">
        <v>2991</v>
      </c>
      <c r="O832" s="319" t="s">
        <v>641</v>
      </c>
      <c r="P832" s="319">
        <v>5</v>
      </c>
      <c r="Q832" s="319" t="s">
        <v>429</v>
      </c>
      <c r="R832" s="320">
        <v>10053737</v>
      </c>
      <c r="S832" s="321">
        <v>43417</v>
      </c>
      <c r="T832" s="321">
        <v>43418</v>
      </c>
      <c r="U832" s="321">
        <v>43444</v>
      </c>
      <c r="V832" s="319" t="s">
        <v>425</v>
      </c>
      <c r="W832" s="319" t="s">
        <v>2767</v>
      </c>
      <c r="X832" s="319">
        <v>2</v>
      </c>
      <c r="Y832" s="319" t="s">
        <v>173</v>
      </c>
      <c r="Z832" s="319" t="s">
        <v>173</v>
      </c>
      <c r="AA832" s="319" t="s">
        <v>173</v>
      </c>
      <c r="AB832" s="319">
        <v>2</v>
      </c>
      <c r="AC832" s="319" t="s">
        <v>169</v>
      </c>
      <c r="AD832" s="319" t="s">
        <v>173</v>
      </c>
      <c r="AE832" s="319" t="s">
        <v>173</v>
      </c>
      <c r="AF832" s="319" t="s">
        <v>427</v>
      </c>
      <c r="AG832" s="319" t="s">
        <v>171</v>
      </c>
      <c r="AH832" s="319" t="s">
        <v>190</v>
      </c>
      <c r="AI832" s="319" t="s">
        <v>190</v>
      </c>
      <c r="AJ832" s="319" t="s">
        <v>190</v>
      </c>
      <c r="AK832" s="319" t="s">
        <v>190</v>
      </c>
      <c r="AL832" s="319" t="s">
        <v>190</v>
      </c>
      <c r="AM832" s="319" t="s">
        <v>190</v>
      </c>
      <c r="AN832" s="319" t="s">
        <v>190</v>
      </c>
      <c r="AO832" s="319" t="s">
        <v>190</v>
      </c>
      <c r="AP832" s="319" t="s">
        <v>190</v>
      </c>
      <c r="AQ832" s="319" t="s">
        <v>190</v>
      </c>
      <c r="AR832" s="319" t="s">
        <v>190</v>
      </c>
      <c r="AS832" s="319" t="s">
        <v>190</v>
      </c>
      <c r="AT832" s="319" t="s">
        <v>190</v>
      </c>
      <c r="AU832" s="319" t="s">
        <v>190</v>
      </c>
      <c r="AV832" s="319" t="s">
        <v>190</v>
      </c>
      <c r="AW832" s="319" t="s">
        <v>190</v>
      </c>
      <c r="AX832" s="319" t="s">
        <v>428</v>
      </c>
      <c r="AY832" s="319" t="s">
        <v>190</v>
      </c>
      <c r="AZ832" s="319" t="s">
        <v>190</v>
      </c>
      <c r="BA832" s="319" t="s">
        <v>190</v>
      </c>
      <c r="BB832" s="319" t="s">
        <v>190</v>
      </c>
      <c r="BC832" s="319" t="s">
        <v>190</v>
      </c>
      <c r="BD832" s="319" t="s">
        <v>190</v>
      </c>
      <c r="BE832" s="319" t="s">
        <v>190</v>
      </c>
      <c r="BF832" s="319" t="s">
        <v>428</v>
      </c>
      <c r="BG832" s="319" t="s">
        <v>428</v>
      </c>
      <c r="BH832" s="319" t="s">
        <v>190</v>
      </c>
      <c r="BI832" s="319" t="s">
        <v>190</v>
      </c>
      <c r="BJ832" s="319" t="s">
        <v>190</v>
      </c>
      <c r="BK832" s="319" t="s">
        <v>190</v>
      </c>
      <c r="BL832" s="319" t="s">
        <v>190</v>
      </c>
      <c r="BM832" s="319" t="s">
        <v>190</v>
      </c>
      <c r="BN832" s="319" t="s">
        <v>190</v>
      </c>
      <c r="BO832" s="319" t="s">
        <v>190</v>
      </c>
      <c r="BP832" s="319" t="s">
        <v>190</v>
      </c>
      <c r="BQ832" s="319" t="s">
        <v>190</v>
      </c>
      <c r="BR832" s="319" t="s">
        <v>190</v>
      </c>
      <c r="BS832" s="319" t="s">
        <v>190</v>
      </c>
      <c r="BT832" s="319" t="s">
        <v>190</v>
      </c>
      <c r="BU832" s="319" t="s">
        <v>190</v>
      </c>
      <c r="BV832" s="319" t="s">
        <v>190</v>
      </c>
      <c r="BW832" s="319" t="s">
        <v>190</v>
      </c>
      <c r="BX832" s="319" t="s">
        <v>190</v>
      </c>
      <c r="BY832" s="319" t="s">
        <v>190</v>
      </c>
      <c r="BZ832" s="319" t="s">
        <v>190</v>
      </c>
      <c r="CA832" s="319" t="s">
        <v>190</v>
      </c>
      <c r="CB832" s="319" t="s">
        <v>190</v>
      </c>
      <c r="CC832" s="319" t="s">
        <v>190</v>
      </c>
      <c r="CD832" s="319" t="s">
        <v>190</v>
      </c>
      <c r="CE832" s="319" t="s">
        <v>190</v>
      </c>
      <c r="CF832" s="319" t="s">
        <v>190</v>
      </c>
      <c r="CG832" s="319" t="s">
        <v>190</v>
      </c>
      <c r="CH832" s="319" t="s">
        <v>190</v>
      </c>
      <c r="CI832" s="319" t="s">
        <v>190</v>
      </c>
      <c r="CJ832" s="319" t="s">
        <v>190</v>
      </c>
      <c r="CK832" s="319" t="s">
        <v>190</v>
      </c>
      <c r="CL832" s="319" t="s">
        <v>190</v>
      </c>
      <c r="CM832" s="319" t="s">
        <v>190</v>
      </c>
      <c r="CN832" s="319" t="s">
        <v>428</v>
      </c>
      <c r="CO832" s="319" t="s">
        <v>428</v>
      </c>
      <c r="CP832" s="319" t="s">
        <v>428</v>
      </c>
      <c r="CQ832" s="319" t="s">
        <v>190</v>
      </c>
      <c r="CR832" s="319" t="s">
        <v>190</v>
      </c>
      <c r="CS832" s="319" t="s">
        <v>190</v>
      </c>
      <c r="CT832" s="319" t="s">
        <v>190</v>
      </c>
      <c r="CU832" s="319" t="s">
        <v>190</v>
      </c>
      <c r="CV832" s="319" t="s">
        <v>190</v>
      </c>
      <c r="CW832" s="319" t="s">
        <v>190</v>
      </c>
      <c r="CX832" s="319" t="s">
        <v>190</v>
      </c>
      <c r="CY832" s="319" t="s">
        <v>190</v>
      </c>
      <c r="CZ832" s="319" t="s">
        <v>190</v>
      </c>
      <c r="DA832" s="319" t="s">
        <v>190</v>
      </c>
      <c r="DB832" s="319" t="s">
        <v>190</v>
      </c>
      <c r="DC832" s="319" t="s">
        <v>190</v>
      </c>
      <c r="DD832" s="319" t="s">
        <v>190</v>
      </c>
      <c r="DE832" s="319" t="s">
        <v>190</v>
      </c>
      <c r="DF832" s="319" t="s">
        <v>190</v>
      </c>
      <c r="DG832" s="319" t="s">
        <v>190</v>
      </c>
      <c r="DH832" s="319" t="s">
        <v>190</v>
      </c>
      <c r="DI832" s="319" t="s">
        <v>190</v>
      </c>
      <c r="DJ832" s="319" t="s">
        <v>190</v>
      </c>
      <c r="DK832" s="319" t="s">
        <v>190</v>
      </c>
      <c r="DL832" s="319" t="s">
        <v>190</v>
      </c>
      <c r="DM832" s="319" t="s">
        <v>428</v>
      </c>
      <c r="DN832" s="319" t="s">
        <v>428</v>
      </c>
      <c r="DO832" s="319" t="s">
        <v>190</v>
      </c>
      <c r="DP832" s="319" t="s">
        <v>428</v>
      </c>
      <c r="DQ832" s="319" t="s">
        <v>428</v>
      </c>
      <c r="DR832" s="319" t="s">
        <v>428</v>
      </c>
      <c r="DS832" s="319" t="s">
        <v>428</v>
      </c>
      <c r="DT832" s="319" t="s">
        <v>428</v>
      </c>
      <c r="DU832" s="319" t="s">
        <v>428</v>
      </c>
      <c r="DV832" s="319" t="s">
        <v>173</v>
      </c>
      <c r="DW832" s="319" t="s">
        <v>428</v>
      </c>
      <c r="DX832" s="319" t="s">
        <v>428</v>
      </c>
      <c r="DY832" s="319" t="s">
        <v>428</v>
      </c>
      <c r="DZ832" s="319" t="s">
        <v>428</v>
      </c>
      <c r="EA832" s="319" t="s">
        <v>428</v>
      </c>
      <c r="EB832" s="319" t="s">
        <v>428</v>
      </c>
      <c r="EC832" s="319" t="s">
        <v>428</v>
      </c>
      <c r="ED832" s="319" t="s">
        <v>428</v>
      </c>
      <c r="EE832" s="319" t="s">
        <v>428</v>
      </c>
      <c r="EF832" s="319" t="s">
        <v>428</v>
      </c>
      <c r="EG832" s="319" t="s">
        <v>428</v>
      </c>
      <c r="EH832" s="319" t="s">
        <v>428</v>
      </c>
      <c r="EI832" s="319" t="s">
        <v>428</v>
      </c>
      <c r="EJ832" s="319" t="s">
        <v>428</v>
      </c>
      <c r="EK832" s="319" t="s">
        <v>428</v>
      </c>
      <c r="EL832" s="319" t="s">
        <v>428</v>
      </c>
      <c r="EM832" s="319" t="s">
        <v>428</v>
      </c>
      <c r="EN832" s="319" t="s">
        <v>190</v>
      </c>
      <c r="EO832" s="319" t="s">
        <v>190</v>
      </c>
      <c r="EP832" s="319" t="s">
        <v>190</v>
      </c>
      <c r="EQ832" s="319" t="s">
        <v>190</v>
      </c>
      <c r="ER832" s="319" t="s">
        <v>190</v>
      </c>
      <c r="ES832" s="319" t="s">
        <v>190</v>
      </c>
      <c r="ET832" s="319" t="s">
        <v>190</v>
      </c>
      <c r="EU832" s="319" t="s">
        <v>190</v>
      </c>
      <c r="EV832" s="319" t="s">
        <v>190</v>
      </c>
      <c r="EW832" s="319" t="s">
        <v>190</v>
      </c>
      <c r="EX832" s="319" t="s">
        <v>190</v>
      </c>
      <c r="EY832" s="319" t="s">
        <v>190</v>
      </c>
      <c r="EZ832" s="319" t="s">
        <v>190</v>
      </c>
      <c r="FA832" s="319" t="s">
        <v>428</v>
      </c>
      <c r="FB832" s="319" t="s">
        <v>428</v>
      </c>
      <c r="FC832" s="319" t="s">
        <v>428</v>
      </c>
      <c r="FD832" s="319" t="s">
        <v>428</v>
      </c>
      <c r="FE832" s="319" t="s">
        <v>428</v>
      </c>
      <c r="FF832" s="319" t="s">
        <v>428</v>
      </c>
      <c r="FG832" s="319" t="s">
        <v>428</v>
      </c>
      <c r="FH832" s="319" t="s">
        <v>428</v>
      </c>
      <c r="FI832" s="319" t="s">
        <v>428</v>
      </c>
      <c r="FJ832" s="319" t="s">
        <v>429</v>
      </c>
      <c r="FK832" s="319" t="s">
        <v>428</v>
      </c>
      <c r="FL832" s="319" t="s">
        <v>190</v>
      </c>
      <c r="FM832" s="319" t="s">
        <v>190</v>
      </c>
      <c r="FN832" s="319" t="s">
        <v>190</v>
      </c>
      <c r="FO832" s="319" t="s">
        <v>190</v>
      </c>
      <c r="FP832" s="319" t="s">
        <v>190</v>
      </c>
      <c r="FQ832" s="319" t="s">
        <v>190</v>
      </c>
      <c r="FR832" s="319" t="s">
        <v>190</v>
      </c>
      <c r="FS832" s="319" t="s">
        <v>428</v>
      </c>
      <c r="FT832" s="319" t="s">
        <v>190</v>
      </c>
      <c r="FU832" s="319" t="s">
        <v>190</v>
      </c>
      <c r="FV832" s="319" t="s">
        <v>190</v>
      </c>
      <c r="FW832" s="319" t="s">
        <v>190</v>
      </c>
      <c r="FX832" s="319" t="s">
        <v>190</v>
      </c>
      <c r="FY832" s="319" t="s">
        <v>190</v>
      </c>
      <c r="FZ832" s="319" t="s">
        <v>190</v>
      </c>
      <c r="GA832" s="319" t="s">
        <v>190</v>
      </c>
      <c r="GB832" s="319" t="s">
        <v>190</v>
      </c>
      <c r="GC832" s="319" t="s">
        <v>190</v>
      </c>
      <c r="GD832" s="319" t="s">
        <v>190</v>
      </c>
      <c r="GE832" s="319" t="s">
        <v>190</v>
      </c>
      <c r="GF832" s="319" t="s">
        <v>190</v>
      </c>
      <c r="GG832" s="319" t="s">
        <v>190</v>
      </c>
      <c r="GH832" s="319" t="s">
        <v>190</v>
      </c>
      <c r="GI832" s="319" t="s">
        <v>190</v>
      </c>
      <c r="GJ832" s="319" t="s">
        <v>190</v>
      </c>
      <c r="GK832" s="319" t="s">
        <v>428</v>
      </c>
      <c r="GL832" s="319" t="s">
        <v>190</v>
      </c>
      <c r="GM832" s="319" t="s">
        <v>190</v>
      </c>
      <c r="GN832" s="319" t="s">
        <v>190</v>
      </c>
      <c r="GO832" s="319" t="s">
        <v>190</v>
      </c>
      <c r="GP832" s="319" t="s">
        <v>190</v>
      </c>
      <c r="GQ832" s="319" t="s">
        <v>428</v>
      </c>
      <c r="GR832" s="319" t="s">
        <v>190</v>
      </c>
      <c r="GS832" s="319" t="s">
        <v>190</v>
      </c>
      <c r="GT832" s="319" t="s">
        <v>190</v>
      </c>
      <c r="GU832" s="319" t="s">
        <v>190</v>
      </c>
      <c r="GV832" s="319" t="s">
        <v>428</v>
      </c>
      <c r="GW832" s="319" t="s">
        <v>190</v>
      </c>
      <c r="GX832" s="319" t="s">
        <v>190</v>
      </c>
      <c r="GY832" s="319" t="s">
        <v>190</v>
      </c>
      <c r="GZ832" s="319" t="s">
        <v>190</v>
      </c>
      <c r="HA832" s="319" t="s">
        <v>428</v>
      </c>
      <c r="HB832" s="319" t="s">
        <v>428</v>
      </c>
      <c r="HC832" s="319" t="s">
        <v>190</v>
      </c>
      <c r="HD832" s="319" t="s">
        <v>190</v>
      </c>
      <c r="HE832" s="319" t="s">
        <v>190</v>
      </c>
      <c r="HF832" s="319" t="s">
        <v>190</v>
      </c>
      <c r="HG832" s="319" t="s">
        <v>190</v>
      </c>
      <c r="HH832" s="319" t="s">
        <v>190</v>
      </c>
      <c r="HI832" s="319" t="s">
        <v>190</v>
      </c>
      <c r="HJ832" s="319" t="s">
        <v>190</v>
      </c>
      <c r="HK832" s="319" t="s">
        <v>190</v>
      </c>
      <c r="HL832" s="319" t="s">
        <v>428</v>
      </c>
      <c r="HM832" s="319" t="s">
        <v>428</v>
      </c>
      <c r="HN832" s="319" t="s">
        <v>428</v>
      </c>
      <c r="HO832" s="319" t="s">
        <v>428</v>
      </c>
      <c r="HP832" s="319" t="s">
        <v>190</v>
      </c>
      <c r="HQ832" s="319" t="s">
        <v>190</v>
      </c>
      <c r="HR832" s="319" t="s">
        <v>190</v>
      </c>
      <c r="HS832" s="319" t="s">
        <v>190</v>
      </c>
      <c r="HT832" s="319" t="s">
        <v>190</v>
      </c>
      <c r="HU832" s="319" t="s">
        <v>190</v>
      </c>
      <c r="HV832" s="319" t="s">
        <v>190</v>
      </c>
      <c r="HW832" s="319" t="s">
        <v>190</v>
      </c>
      <c r="HX832" s="319" t="s">
        <v>190</v>
      </c>
      <c r="HY832" s="319" t="s">
        <v>190</v>
      </c>
      <c r="HZ832" s="319" t="s">
        <v>190</v>
      </c>
      <c r="IA832" s="319" t="s">
        <v>190</v>
      </c>
      <c r="IB832" s="319" t="s">
        <v>190</v>
      </c>
      <c r="IC832" s="319" t="s">
        <v>190</v>
      </c>
      <c r="ID832" s="319" t="s">
        <v>190</v>
      </c>
      <c r="IE832" s="319" t="s">
        <v>190</v>
      </c>
      <c r="IF832" s="319" t="s">
        <v>190</v>
      </c>
      <c r="IG832" s="319" t="s">
        <v>190</v>
      </c>
      <c r="IH832" s="319" t="s">
        <v>190</v>
      </c>
      <c r="II832" s="319" t="s">
        <v>190</v>
      </c>
      <c r="IJ832" s="319">
        <v>10020878</v>
      </c>
      <c r="IK832" s="321">
        <v>42647</v>
      </c>
      <c r="IL832" s="321">
        <v>42649</v>
      </c>
      <c r="IM832" s="321">
        <v>42689</v>
      </c>
      <c r="IN832" s="319">
        <v>3</v>
      </c>
      <c r="IO832" s="319" t="s">
        <v>173</v>
      </c>
      <c r="IP832" s="319" t="s">
        <v>173</v>
      </c>
      <c r="IQ832" s="321" t="s">
        <v>173</v>
      </c>
      <c r="IR832" s="320" t="s">
        <v>173</v>
      </c>
      <c r="IS832" s="322" t="s">
        <v>173</v>
      </c>
      <c r="IT832" s="319" t="s">
        <v>173</v>
      </c>
    </row>
    <row r="833" spans="1:254" s="271" customFormat="1" x14ac:dyDescent="0.25">
      <c r="A833" s="318" t="str">
        <f>HYPERLINK("http://www.ofsted.gov.uk/inspection-reports/find-inspection-report/provider/ELS/142534 ","Ofsted School Webpage")</f>
        <v>Ofsted School Webpage</v>
      </c>
      <c r="B833" s="319">
        <v>142534</v>
      </c>
      <c r="C833" s="319">
        <v>3086005</v>
      </c>
      <c r="D833" s="319" t="s">
        <v>765</v>
      </c>
      <c r="E833" s="319" t="s">
        <v>167</v>
      </c>
      <c r="F833" s="319" t="s">
        <v>81</v>
      </c>
      <c r="G833" s="319" t="s">
        <v>81</v>
      </c>
      <c r="H833" s="319" t="s">
        <v>81</v>
      </c>
      <c r="I833" s="319" t="s">
        <v>78</v>
      </c>
      <c r="J833" s="319" t="s">
        <v>424</v>
      </c>
      <c r="K833" s="319" t="s">
        <v>441</v>
      </c>
      <c r="L833" s="319" t="s">
        <v>441</v>
      </c>
      <c r="M833" s="319" t="s">
        <v>561</v>
      </c>
      <c r="N833" s="319" t="s">
        <v>3525</v>
      </c>
      <c r="O833" s="319" t="s">
        <v>766</v>
      </c>
      <c r="P833" s="319">
        <v>20</v>
      </c>
      <c r="Q833" s="319" t="s">
        <v>2776</v>
      </c>
      <c r="R833" s="320">
        <v>10055481</v>
      </c>
      <c r="S833" s="321">
        <v>43438</v>
      </c>
      <c r="T833" s="321">
        <v>43440</v>
      </c>
      <c r="U833" s="321">
        <v>43478</v>
      </c>
      <c r="V833" s="319" t="s">
        <v>425</v>
      </c>
      <c r="W833" s="319" t="s">
        <v>2767</v>
      </c>
      <c r="X833" s="319">
        <v>1</v>
      </c>
      <c r="Y833" s="319" t="s">
        <v>173</v>
      </c>
      <c r="Z833" s="319" t="s">
        <v>173</v>
      </c>
      <c r="AA833" s="319" t="s">
        <v>173</v>
      </c>
      <c r="AB833" s="319">
        <v>1</v>
      </c>
      <c r="AC833" s="319" t="s">
        <v>169</v>
      </c>
      <c r="AD833" s="319" t="s">
        <v>173</v>
      </c>
      <c r="AE833" s="319">
        <v>1</v>
      </c>
      <c r="AF833" s="319" t="s">
        <v>427</v>
      </c>
      <c r="AG833" s="319" t="s">
        <v>171</v>
      </c>
      <c r="AH833" s="319" t="s">
        <v>190</v>
      </c>
      <c r="AI833" s="319" t="s">
        <v>190</v>
      </c>
      <c r="AJ833" s="319" t="s">
        <v>190</v>
      </c>
      <c r="AK833" s="319" t="s">
        <v>190</v>
      </c>
      <c r="AL833" s="319" t="s">
        <v>190</v>
      </c>
      <c r="AM833" s="319" t="s">
        <v>190</v>
      </c>
      <c r="AN833" s="319" t="s">
        <v>190</v>
      </c>
      <c r="AO833" s="319" t="s">
        <v>190</v>
      </c>
      <c r="AP833" s="319" t="s">
        <v>190</v>
      </c>
      <c r="AQ833" s="319" t="s">
        <v>190</v>
      </c>
      <c r="AR833" s="319" t="s">
        <v>190</v>
      </c>
      <c r="AS833" s="319" t="s">
        <v>190</v>
      </c>
      <c r="AT833" s="319" t="s">
        <v>190</v>
      </c>
      <c r="AU833" s="319" t="s">
        <v>190</v>
      </c>
      <c r="AV833" s="319" t="s">
        <v>190</v>
      </c>
      <c r="AW833" s="319" t="s">
        <v>190</v>
      </c>
      <c r="AX833" s="319" t="s">
        <v>428</v>
      </c>
      <c r="AY833" s="319" t="s">
        <v>190</v>
      </c>
      <c r="AZ833" s="319" t="s">
        <v>190</v>
      </c>
      <c r="BA833" s="319" t="s">
        <v>190</v>
      </c>
      <c r="BB833" s="319" t="s">
        <v>190</v>
      </c>
      <c r="BC833" s="319" t="s">
        <v>190</v>
      </c>
      <c r="BD833" s="319" t="s">
        <v>190</v>
      </c>
      <c r="BE833" s="319" t="s">
        <v>190</v>
      </c>
      <c r="BF833" s="319" t="s">
        <v>428</v>
      </c>
      <c r="BG833" s="319" t="s">
        <v>190</v>
      </c>
      <c r="BH833" s="319" t="s">
        <v>190</v>
      </c>
      <c r="BI833" s="319" t="s">
        <v>190</v>
      </c>
      <c r="BJ833" s="319" t="s">
        <v>190</v>
      </c>
      <c r="BK833" s="319" t="s">
        <v>190</v>
      </c>
      <c r="BL833" s="319" t="s">
        <v>190</v>
      </c>
      <c r="BM833" s="319" t="s">
        <v>190</v>
      </c>
      <c r="BN833" s="319" t="s">
        <v>190</v>
      </c>
      <c r="BO833" s="319" t="s">
        <v>190</v>
      </c>
      <c r="BP833" s="319" t="s">
        <v>190</v>
      </c>
      <c r="BQ833" s="319" t="s">
        <v>190</v>
      </c>
      <c r="BR833" s="319" t="s">
        <v>190</v>
      </c>
      <c r="BS833" s="319" t="s">
        <v>190</v>
      </c>
      <c r="BT833" s="319" t="s">
        <v>190</v>
      </c>
      <c r="BU833" s="319" t="s">
        <v>190</v>
      </c>
      <c r="BV833" s="319" t="s">
        <v>190</v>
      </c>
      <c r="BW833" s="319" t="s">
        <v>190</v>
      </c>
      <c r="BX833" s="319" t="s">
        <v>190</v>
      </c>
      <c r="BY833" s="319" t="s">
        <v>190</v>
      </c>
      <c r="BZ833" s="319" t="s">
        <v>190</v>
      </c>
      <c r="CA833" s="319" t="s">
        <v>190</v>
      </c>
      <c r="CB833" s="319" t="s">
        <v>190</v>
      </c>
      <c r="CC833" s="319" t="s">
        <v>190</v>
      </c>
      <c r="CD833" s="319" t="s">
        <v>190</v>
      </c>
      <c r="CE833" s="319" t="s">
        <v>190</v>
      </c>
      <c r="CF833" s="319" t="s">
        <v>190</v>
      </c>
      <c r="CG833" s="319" t="s">
        <v>190</v>
      </c>
      <c r="CH833" s="319" t="s">
        <v>190</v>
      </c>
      <c r="CI833" s="319" t="s">
        <v>190</v>
      </c>
      <c r="CJ833" s="319" t="s">
        <v>190</v>
      </c>
      <c r="CK833" s="319" t="s">
        <v>190</v>
      </c>
      <c r="CL833" s="319" t="s">
        <v>190</v>
      </c>
      <c r="CM833" s="319" t="s">
        <v>190</v>
      </c>
      <c r="CN833" s="319" t="s">
        <v>428</v>
      </c>
      <c r="CO833" s="319" t="s">
        <v>428</v>
      </c>
      <c r="CP833" s="319" t="s">
        <v>428</v>
      </c>
      <c r="CQ833" s="319" t="s">
        <v>190</v>
      </c>
      <c r="CR833" s="319" t="s">
        <v>190</v>
      </c>
      <c r="CS833" s="319" t="s">
        <v>190</v>
      </c>
      <c r="CT833" s="319" t="s">
        <v>190</v>
      </c>
      <c r="CU833" s="319" t="s">
        <v>190</v>
      </c>
      <c r="CV833" s="319" t="s">
        <v>190</v>
      </c>
      <c r="CW833" s="319" t="s">
        <v>190</v>
      </c>
      <c r="CX833" s="319" t="s">
        <v>190</v>
      </c>
      <c r="CY833" s="319" t="s">
        <v>190</v>
      </c>
      <c r="CZ833" s="319" t="s">
        <v>190</v>
      </c>
      <c r="DA833" s="319" t="s">
        <v>190</v>
      </c>
      <c r="DB833" s="319" t="s">
        <v>190</v>
      </c>
      <c r="DC833" s="319" t="s">
        <v>190</v>
      </c>
      <c r="DD833" s="319" t="s">
        <v>190</v>
      </c>
      <c r="DE833" s="319" t="s">
        <v>190</v>
      </c>
      <c r="DF833" s="319" t="s">
        <v>190</v>
      </c>
      <c r="DG833" s="319" t="s">
        <v>190</v>
      </c>
      <c r="DH833" s="319" t="s">
        <v>190</v>
      </c>
      <c r="DI833" s="319" t="s">
        <v>190</v>
      </c>
      <c r="DJ833" s="319" t="s">
        <v>190</v>
      </c>
      <c r="DK833" s="319" t="s">
        <v>190</v>
      </c>
      <c r="DL833" s="319" t="s">
        <v>190</v>
      </c>
      <c r="DM833" s="319" t="s">
        <v>190</v>
      </c>
      <c r="DN833" s="319" t="s">
        <v>428</v>
      </c>
      <c r="DO833" s="319" t="s">
        <v>190</v>
      </c>
      <c r="DP833" s="319" t="s">
        <v>428</v>
      </c>
      <c r="DQ833" s="319" t="s">
        <v>428</v>
      </c>
      <c r="DR833" s="319" t="s">
        <v>428</v>
      </c>
      <c r="DS833" s="319" t="s">
        <v>428</v>
      </c>
      <c r="DT833" s="319" t="s">
        <v>428</v>
      </c>
      <c r="DU833" s="319" t="s">
        <v>428</v>
      </c>
      <c r="DV833" s="319" t="s">
        <v>173</v>
      </c>
      <c r="DW833" s="319" t="s">
        <v>428</v>
      </c>
      <c r="DX833" s="319" t="s">
        <v>428</v>
      </c>
      <c r="DY833" s="319" t="s">
        <v>428</v>
      </c>
      <c r="DZ833" s="319" t="s">
        <v>428</v>
      </c>
      <c r="EA833" s="319" t="s">
        <v>428</v>
      </c>
      <c r="EB833" s="319" t="s">
        <v>428</v>
      </c>
      <c r="EC833" s="319" t="s">
        <v>428</v>
      </c>
      <c r="ED833" s="319" t="s">
        <v>428</v>
      </c>
      <c r="EE833" s="319" t="s">
        <v>190</v>
      </c>
      <c r="EF833" s="319" t="s">
        <v>190</v>
      </c>
      <c r="EG833" s="319" t="s">
        <v>190</v>
      </c>
      <c r="EH833" s="319" t="s">
        <v>190</v>
      </c>
      <c r="EI833" s="319" t="s">
        <v>190</v>
      </c>
      <c r="EJ833" s="319" t="s">
        <v>190</v>
      </c>
      <c r="EK833" s="319" t="s">
        <v>190</v>
      </c>
      <c r="EL833" s="319" t="s">
        <v>190</v>
      </c>
      <c r="EM833" s="319" t="s">
        <v>190</v>
      </c>
      <c r="EN833" s="319" t="s">
        <v>190</v>
      </c>
      <c r="EO833" s="319" t="s">
        <v>190</v>
      </c>
      <c r="EP833" s="319" t="s">
        <v>190</v>
      </c>
      <c r="EQ833" s="319" t="s">
        <v>190</v>
      </c>
      <c r="ER833" s="319" t="s">
        <v>190</v>
      </c>
      <c r="ES833" s="319" t="s">
        <v>190</v>
      </c>
      <c r="ET833" s="319" t="s">
        <v>190</v>
      </c>
      <c r="EU833" s="319" t="s">
        <v>190</v>
      </c>
      <c r="EV833" s="319" t="s">
        <v>190</v>
      </c>
      <c r="EW833" s="319" t="s">
        <v>190</v>
      </c>
      <c r="EX833" s="319" t="s">
        <v>190</v>
      </c>
      <c r="EY833" s="319" t="s">
        <v>190</v>
      </c>
      <c r="EZ833" s="319" t="s">
        <v>190</v>
      </c>
      <c r="FA833" s="319" t="s">
        <v>428</v>
      </c>
      <c r="FB833" s="319" t="s">
        <v>428</v>
      </c>
      <c r="FC833" s="319" t="s">
        <v>428</v>
      </c>
      <c r="FD833" s="319" t="s">
        <v>428</v>
      </c>
      <c r="FE833" s="319" t="s">
        <v>428</v>
      </c>
      <c r="FF833" s="319" t="s">
        <v>428</v>
      </c>
      <c r="FG833" s="319" t="s">
        <v>428</v>
      </c>
      <c r="FH833" s="319" t="s">
        <v>190</v>
      </c>
      <c r="FI833" s="319" t="s">
        <v>428</v>
      </c>
      <c r="FJ833" s="319" t="s">
        <v>429</v>
      </c>
      <c r="FK833" s="319" t="s">
        <v>428</v>
      </c>
      <c r="FL833" s="319" t="s">
        <v>190</v>
      </c>
      <c r="FM833" s="319" t="s">
        <v>190</v>
      </c>
      <c r="FN833" s="319" t="s">
        <v>190</v>
      </c>
      <c r="FO833" s="319" t="s">
        <v>190</v>
      </c>
      <c r="FP833" s="319" t="s">
        <v>190</v>
      </c>
      <c r="FQ833" s="319" t="s">
        <v>190</v>
      </c>
      <c r="FR833" s="319" t="s">
        <v>190</v>
      </c>
      <c r="FS833" s="319" t="s">
        <v>190</v>
      </c>
      <c r="FT833" s="319" t="s">
        <v>190</v>
      </c>
      <c r="FU833" s="319" t="s">
        <v>190</v>
      </c>
      <c r="FV833" s="319" t="s">
        <v>190</v>
      </c>
      <c r="FW833" s="319" t="s">
        <v>190</v>
      </c>
      <c r="FX833" s="319" t="s">
        <v>190</v>
      </c>
      <c r="FY833" s="319" t="s">
        <v>190</v>
      </c>
      <c r="FZ833" s="319" t="s">
        <v>190</v>
      </c>
      <c r="GA833" s="319" t="s">
        <v>190</v>
      </c>
      <c r="GB833" s="319" t="s">
        <v>190</v>
      </c>
      <c r="GC833" s="319" t="s">
        <v>190</v>
      </c>
      <c r="GD833" s="319" t="s">
        <v>190</v>
      </c>
      <c r="GE833" s="319" t="s">
        <v>190</v>
      </c>
      <c r="GF833" s="319" t="s">
        <v>190</v>
      </c>
      <c r="GG833" s="319" t="s">
        <v>190</v>
      </c>
      <c r="GH833" s="319" t="s">
        <v>190</v>
      </c>
      <c r="GI833" s="319" t="s">
        <v>190</v>
      </c>
      <c r="GJ833" s="319" t="s">
        <v>190</v>
      </c>
      <c r="GK833" s="319" t="s">
        <v>428</v>
      </c>
      <c r="GL833" s="319" t="s">
        <v>190</v>
      </c>
      <c r="GM833" s="319" t="s">
        <v>190</v>
      </c>
      <c r="GN833" s="319" t="s">
        <v>190</v>
      </c>
      <c r="GO833" s="319" t="s">
        <v>190</v>
      </c>
      <c r="GP833" s="319" t="s">
        <v>190</v>
      </c>
      <c r="GQ833" s="319" t="s">
        <v>428</v>
      </c>
      <c r="GR833" s="319" t="s">
        <v>190</v>
      </c>
      <c r="GS833" s="319" t="s">
        <v>190</v>
      </c>
      <c r="GT833" s="319" t="s">
        <v>190</v>
      </c>
      <c r="GU833" s="319" t="s">
        <v>190</v>
      </c>
      <c r="GV833" s="319" t="s">
        <v>428</v>
      </c>
      <c r="GW833" s="319" t="s">
        <v>190</v>
      </c>
      <c r="GX833" s="319" t="s">
        <v>190</v>
      </c>
      <c r="GY833" s="319" t="s">
        <v>190</v>
      </c>
      <c r="GZ833" s="319" t="s">
        <v>428</v>
      </c>
      <c r="HA833" s="319" t="s">
        <v>190</v>
      </c>
      <c r="HB833" s="319" t="s">
        <v>190</v>
      </c>
      <c r="HC833" s="319" t="s">
        <v>190</v>
      </c>
      <c r="HD833" s="319" t="s">
        <v>190</v>
      </c>
      <c r="HE833" s="319" t="s">
        <v>190</v>
      </c>
      <c r="HF833" s="319" t="s">
        <v>190</v>
      </c>
      <c r="HG833" s="319" t="s">
        <v>190</v>
      </c>
      <c r="HH833" s="319" t="s">
        <v>190</v>
      </c>
      <c r="HI833" s="319" t="s">
        <v>190</v>
      </c>
      <c r="HJ833" s="319" t="s">
        <v>190</v>
      </c>
      <c r="HK833" s="319" t="s">
        <v>190</v>
      </c>
      <c r="HL833" s="319" t="s">
        <v>428</v>
      </c>
      <c r="HM833" s="319" t="s">
        <v>428</v>
      </c>
      <c r="HN833" s="319" t="s">
        <v>428</v>
      </c>
      <c r="HO833" s="319" t="s">
        <v>428</v>
      </c>
      <c r="HP833" s="319" t="s">
        <v>190</v>
      </c>
      <c r="HQ833" s="319" t="s">
        <v>190</v>
      </c>
      <c r="HR833" s="319" t="s">
        <v>190</v>
      </c>
      <c r="HS833" s="319" t="s">
        <v>190</v>
      </c>
      <c r="HT833" s="319" t="s">
        <v>190</v>
      </c>
      <c r="HU833" s="319" t="s">
        <v>190</v>
      </c>
      <c r="HV833" s="319" t="s">
        <v>190</v>
      </c>
      <c r="HW833" s="319" t="s">
        <v>190</v>
      </c>
      <c r="HX833" s="319" t="s">
        <v>190</v>
      </c>
      <c r="HY833" s="319" t="s">
        <v>190</v>
      </c>
      <c r="HZ833" s="319" t="s">
        <v>190</v>
      </c>
      <c r="IA833" s="319" t="s">
        <v>190</v>
      </c>
      <c r="IB833" s="319" t="s">
        <v>190</v>
      </c>
      <c r="IC833" s="319" t="s">
        <v>190</v>
      </c>
      <c r="ID833" s="319" t="s">
        <v>190</v>
      </c>
      <c r="IE833" s="319" t="s">
        <v>190</v>
      </c>
      <c r="IF833" s="319" t="s">
        <v>190</v>
      </c>
      <c r="IG833" s="319" t="s">
        <v>190</v>
      </c>
      <c r="IH833" s="319" t="s">
        <v>190</v>
      </c>
      <c r="II833" s="319" t="s">
        <v>190</v>
      </c>
      <c r="IJ833" s="319">
        <v>10020882</v>
      </c>
      <c r="IK833" s="321">
        <v>42661</v>
      </c>
      <c r="IL833" s="321">
        <v>42663</v>
      </c>
      <c r="IM833" s="321">
        <v>42710</v>
      </c>
      <c r="IN833" s="319">
        <v>2</v>
      </c>
      <c r="IO833" s="319" t="s">
        <v>173</v>
      </c>
      <c r="IP833" s="319" t="s">
        <v>173</v>
      </c>
      <c r="IQ833" s="319" t="s">
        <v>173</v>
      </c>
      <c r="IR833" s="320" t="s">
        <v>173</v>
      </c>
      <c r="IS833" s="320" t="s">
        <v>173</v>
      </c>
      <c r="IT833" s="319" t="s">
        <v>173</v>
      </c>
    </row>
    <row r="834" spans="1:254" s="271" customFormat="1" x14ac:dyDescent="0.25">
      <c r="A834" s="318" t="str">
        <f>HYPERLINK("http://www.ofsted.gov.uk/inspection-reports/find-inspection-report/provider/ELS/142535 ","Ofsted School Webpage")</f>
        <v>Ofsted School Webpage</v>
      </c>
      <c r="B834" s="319">
        <v>142535</v>
      </c>
      <c r="C834" s="319">
        <v>3506003</v>
      </c>
      <c r="D834" s="319" t="s">
        <v>2334</v>
      </c>
      <c r="E834" s="319" t="s">
        <v>167</v>
      </c>
      <c r="F834" s="319" t="s">
        <v>81</v>
      </c>
      <c r="G834" s="319" t="s">
        <v>59</v>
      </c>
      <c r="H834" s="319" t="s">
        <v>59</v>
      </c>
      <c r="I834" s="319" t="s">
        <v>59</v>
      </c>
      <c r="J834" s="319" t="s">
        <v>424</v>
      </c>
      <c r="K834" s="319" t="s">
        <v>431</v>
      </c>
      <c r="L834" s="319" t="s">
        <v>431</v>
      </c>
      <c r="M834" s="319" t="s">
        <v>1031</v>
      </c>
      <c r="N834" s="319" t="s">
        <v>2866</v>
      </c>
      <c r="O834" s="319" t="s">
        <v>2335</v>
      </c>
      <c r="P834" s="319">
        <v>8</v>
      </c>
      <c r="Q834" s="319" t="s">
        <v>2766</v>
      </c>
      <c r="R834" s="320">
        <v>10053750</v>
      </c>
      <c r="S834" s="321">
        <v>43214</v>
      </c>
      <c r="T834" s="321">
        <v>43216</v>
      </c>
      <c r="U834" s="321">
        <v>43258</v>
      </c>
      <c r="V834" s="319" t="s">
        <v>425</v>
      </c>
      <c r="W834" s="319" t="s">
        <v>2767</v>
      </c>
      <c r="X834" s="319">
        <v>2</v>
      </c>
      <c r="Y834" s="319" t="s">
        <v>173</v>
      </c>
      <c r="Z834" s="319" t="s">
        <v>173</v>
      </c>
      <c r="AA834" s="319" t="s">
        <v>173</v>
      </c>
      <c r="AB834" s="319">
        <v>2</v>
      </c>
      <c r="AC834" s="319" t="s">
        <v>169</v>
      </c>
      <c r="AD834" s="319" t="s">
        <v>173</v>
      </c>
      <c r="AE834" s="319" t="s">
        <v>173</v>
      </c>
      <c r="AF834" s="319" t="s">
        <v>427</v>
      </c>
      <c r="AG834" s="319" t="s">
        <v>171</v>
      </c>
      <c r="AH834" s="319" t="s">
        <v>190</v>
      </c>
      <c r="AI834" s="319" t="s">
        <v>190</v>
      </c>
      <c r="AJ834" s="319" t="s">
        <v>190</v>
      </c>
      <c r="AK834" s="319" t="s">
        <v>190</v>
      </c>
      <c r="AL834" s="319" t="s">
        <v>190</v>
      </c>
      <c r="AM834" s="319" t="s">
        <v>190</v>
      </c>
      <c r="AN834" s="319" t="s">
        <v>190</v>
      </c>
      <c r="AO834" s="319" t="s">
        <v>190</v>
      </c>
      <c r="AP834" s="319" t="s">
        <v>190</v>
      </c>
      <c r="AQ834" s="319" t="s">
        <v>190</v>
      </c>
      <c r="AR834" s="319" t="s">
        <v>190</v>
      </c>
      <c r="AS834" s="319" t="s">
        <v>190</v>
      </c>
      <c r="AT834" s="319" t="s">
        <v>190</v>
      </c>
      <c r="AU834" s="319" t="s">
        <v>190</v>
      </c>
      <c r="AV834" s="319" t="s">
        <v>190</v>
      </c>
      <c r="AW834" s="319" t="s">
        <v>190</v>
      </c>
      <c r="AX834" s="319" t="s">
        <v>428</v>
      </c>
      <c r="AY834" s="319" t="s">
        <v>190</v>
      </c>
      <c r="AZ834" s="319" t="s">
        <v>190</v>
      </c>
      <c r="BA834" s="319" t="s">
        <v>190</v>
      </c>
      <c r="BB834" s="319" t="s">
        <v>190</v>
      </c>
      <c r="BC834" s="319" t="s">
        <v>190</v>
      </c>
      <c r="BD834" s="319" t="s">
        <v>190</v>
      </c>
      <c r="BE834" s="319" t="s">
        <v>190</v>
      </c>
      <c r="BF834" s="319" t="s">
        <v>428</v>
      </c>
      <c r="BG834" s="319" t="s">
        <v>428</v>
      </c>
      <c r="BH834" s="319" t="s">
        <v>190</v>
      </c>
      <c r="BI834" s="319" t="s">
        <v>190</v>
      </c>
      <c r="BJ834" s="319" t="s">
        <v>190</v>
      </c>
      <c r="BK834" s="319" t="s">
        <v>190</v>
      </c>
      <c r="BL834" s="319" t="s">
        <v>190</v>
      </c>
      <c r="BM834" s="319" t="s">
        <v>190</v>
      </c>
      <c r="BN834" s="319" t="s">
        <v>190</v>
      </c>
      <c r="BO834" s="319" t="s">
        <v>190</v>
      </c>
      <c r="BP834" s="319" t="s">
        <v>190</v>
      </c>
      <c r="BQ834" s="319" t="s">
        <v>190</v>
      </c>
      <c r="BR834" s="319" t="s">
        <v>190</v>
      </c>
      <c r="BS834" s="319" t="s">
        <v>190</v>
      </c>
      <c r="BT834" s="319" t="s">
        <v>190</v>
      </c>
      <c r="BU834" s="319" t="s">
        <v>190</v>
      </c>
      <c r="BV834" s="319" t="s">
        <v>190</v>
      </c>
      <c r="BW834" s="319" t="s">
        <v>190</v>
      </c>
      <c r="BX834" s="319" t="s">
        <v>190</v>
      </c>
      <c r="BY834" s="319" t="s">
        <v>190</v>
      </c>
      <c r="BZ834" s="319" t="s">
        <v>190</v>
      </c>
      <c r="CA834" s="319" t="s">
        <v>190</v>
      </c>
      <c r="CB834" s="319" t="s">
        <v>190</v>
      </c>
      <c r="CC834" s="319" t="s">
        <v>190</v>
      </c>
      <c r="CD834" s="319" t="s">
        <v>190</v>
      </c>
      <c r="CE834" s="319" t="s">
        <v>190</v>
      </c>
      <c r="CF834" s="319" t="s">
        <v>190</v>
      </c>
      <c r="CG834" s="319" t="s">
        <v>190</v>
      </c>
      <c r="CH834" s="319" t="s">
        <v>190</v>
      </c>
      <c r="CI834" s="319" t="s">
        <v>190</v>
      </c>
      <c r="CJ834" s="319" t="s">
        <v>190</v>
      </c>
      <c r="CK834" s="319" t="s">
        <v>190</v>
      </c>
      <c r="CL834" s="319" t="s">
        <v>190</v>
      </c>
      <c r="CM834" s="319" t="s">
        <v>190</v>
      </c>
      <c r="CN834" s="319" t="s">
        <v>428</v>
      </c>
      <c r="CO834" s="319" t="s">
        <v>428</v>
      </c>
      <c r="CP834" s="319" t="s">
        <v>428</v>
      </c>
      <c r="CQ834" s="319" t="s">
        <v>190</v>
      </c>
      <c r="CR834" s="319" t="s">
        <v>190</v>
      </c>
      <c r="CS834" s="319" t="s">
        <v>190</v>
      </c>
      <c r="CT834" s="319" t="s">
        <v>190</v>
      </c>
      <c r="CU834" s="319" t="s">
        <v>190</v>
      </c>
      <c r="CV834" s="319" t="s">
        <v>190</v>
      </c>
      <c r="CW834" s="319" t="s">
        <v>190</v>
      </c>
      <c r="CX834" s="319" t="s">
        <v>190</v>
      </c>
      <c r="CY834" s="319" t="s">
        <v>190</v>
      </c>
      <c r="CZ834" s="319" t="s">
        <v>190</v>
      </c>
      <c r="DA834" s="319" t="s">
        <v>190</v>
      </c>
      <c r="DB834" s="319" t="s">
        <v>190</v>
      </c>
      <c r="DC834" s="319" t="s">
        <v>190</v>
      </c>
      <c r="DD834" s="319" t="s">
        <v>190</v>
      </c>
      <c r="DE834" s="319" t="s">
        <v>190</v>
      </c>
      <c r="DF834" s="319" t="s">
        <v>190</v>
      </c>
      <c r="DG834" s="319" t="s">
        <v>190</v>
      </c>
      <c r="DH834" s="319" t="s">
        <v>190</v>
      </c>
      <c r="DI834" s="319" t="s">
        <v>190</v>
      </c>
      <c r="DJ834" s="319" t="s">
        <v>190</v>
      </c>
      <c r="DK834" s="319" t="s">
        <v>190</v>
      </c>
      <c r="DL834" s="319" t="s">
        <v>190</v>
      </c>
      <c r="DM834" s="319" t="s">
        <v>190</v>
      </c>
      <c r="DN834" s="319" t="s">
        <v>428</v>
      </c>
      <c r="DO834" s="319" t="s">
        <v>190</v>
      </c>
      <c r="DP834" s="319" t="s">
        <v>428</v>
      </c>
      <c r="DQ834" s="319" t="s">
        <v>428</v>
      </c>
      <c r="DR834" s="319" t="s">
        <v>428</v>
      </c>
      <c r="DS834" s="319" t="s">
        <v>428</v>
      </c>
      <c r="DT834" s="319" t="s">
        <v>428</v>
      </c>
      <c r="DU834" s="319" t="s">
        <v>428</v>
      </c>
      <c r="DV834" s="319" t="s">
        <v>173</v>
      </c>
      <c r="DW834" s="319" t="s">
        <v>428</v>
      </c>
      <c r="DX834" s="319" t="s">
        <v>428</v>
      </c>
      <c r="DY834" s="319" t="s">
        <v>428</v>
      </c>
      <c r="DZ834" s="319" t="s">
        <v>428</v>
      </c>
      <c r="EA834" s="319" t="s">
        <v>428</v>
      </c>
      <c r="EB834" s="319" t="s">
        <v>428</v>
      </c>
      <c r="EC834" s="319" t="s">
        <v>428</v>
      </c>
      <c r="ED834" s="319" t="s">
        <v>428</v>
      </c>
      <c r="EE834" s="319" t="s">
        <v>190</v>
      </c>
      <c r="EF834" s="319" t="s">
        <v>190</v>
      </c>
      <c r="EG834" s="319" t="s">
        <v>190</v>
      </c>
      <c r="EH834" s="319" t="s">
        <v>190</v>
      </c>
      <c r="EI834" s="319" t="s">
        <v>190</v>
      </c>
      <c r="EJ834" s="319" t="s">
        <v>190</v>
      </c>
      <c r="EK834" s="319" t="s">
        <v>190</v>
      </c>
      <c r="EL834" s="319" t="s">
        <v>190</v>
      </c>
      <c r="EM834" s="319" t="s">
        <v>190</v>
      </c>
      <c r="EN834" s="319" t="s">
        <v>190</v>
      </c>
      <c r="EO834" s="319" t="s">
        <v>190</v>
      </c>
      <c r="EP834" s="319" t="s">
        <v>190</v>
      </c>
      <c r="EQ834" s="319" t="s">
        <v>190</v>
      </c>
      <c r="ER834" s="319" t="s">
        <v>190</v>
      </c>
      <c r="ES834" s="319" t="s">
        <v>190</v>
      </c>
      <c r="ET834" s="319" t="s">
        <v>190</v>
      </c>
      <c r="EU834" s="319" t="s">
        <v>190</v>
      </c>
      <c r="EV834" s="319" t="s">
        <v>190</v>
      </c>
      <c r="EW834" s="319" t="s">
        <v>190</v>
      </c>
      <c r="EX834" s="319" t="s">
        <v>190</v>
      </c>
      <c r="EY834" s="319" t="s">
        <v>190</v>
      </c>
      <c r="EZ834" s="319" t="s">
        <v>190</v>
      </c>
      <c r="FA834" s="319" t="s">
        <v>190</v>
      </c>
      <c r="FB834" s="319" t="s">
        <v>428</v>
      </c>
      <c r="FC834" s="319" t="s">
        <v>428</v>
      </c>
      <c r="FD834" s="319" t="s">
        <v>428</v>
      </c>
      <c r="FE834" s="319" t="s">
        <v>428</v>
      </c>
      <c r="FF834" s="319" t="s">
        <v>428</v>
      </c>
      <c r="FG834" s="319" t="s">
        <v>428</v>
      </c>
      <c r="FH834" s="319" t="s">
        <v>190</v>
      </c>
      <c r="FI834" s="319" t="s">
        <v>190</v>
      </c>
      <c r="FJ834" s="319" t="s">
        <v>190</v>
      </c>
      <c r="FK834" s="319" t="s">
        <v>190</v>
      </c>
      <c r="FL834" s="319" t="s">
        <v>190</v>
      </c>
      <c r="FM834" s="319" t="s">
        <v>190</v>
      </c>
      <c r="FN834" s="319" t="s">
        <v>190</v>
      </c>
      <c r="FO834" s="319" t="s">
        <v>190</v>
      </c>
      <c r="FP834" s="319" t="s">
        <v>190</v>
      </c>
      <c r="FQ834" s="319" t="s">
        <v>190</v>
      </c>
      <c r="FR834" s="319" t="s">
        <v>190</v>
      </c>
      <c r="FS834" s="319" t="s">
        <v>428</v>
      </c>
      <c r="FT834" s="319" t="s">
        <v>190</v>
      </c>
      <c r="FU834" s="319" t="s">
        <v>190</v>
      </c>
      <c r="FV834" s="319" t="s">
        <v>190</v>
      </c>
      <c r="FW834" s="319" t="s">
        <v>190</v>
      </c>
      <c r="FX834" s="319" t="s">
        <v>190</v>
      </c>
      <c r="FY834" s="319" t="s">
        <v>190</v>
      </c>
      <c r="FZ834" s="319" t="s">
        <v>190</v>
      </c>
      <c r="GA834" s="319" t="s">
        <v>190</v>
      </c>
      <c r="GB834" s="319" t="s">
        <v>190</v>
      </c>
      <c r="GC834" s="319" t="s">
        <v>190</v>
      </c>
      <c r="GD834" s="319" t="s">
        <v>190</v>
      </c>
      <c r="GE834" s="319" t="s">
        <v>190</v>
      </c>
      <c r="GF834" s="319" t="s">
        <v>190</v>
      </c>
      <c r="GG834" s="319" t="s">
        <v>190</v>
      </c>
      <c r="GH834" s="319" t="s">
        <v>190</v>
      </c>
      <c r="GI834" s="319" t="s">
        <v>190</v>
      </c>
      <c r="GJ834" s="319" t="s">
        <v>190</v>
      </c>
      <c r="GK834" s="319" t="s">
        <v>428</v>
      </c>
      <c r="GL834" s="319" t="s">
        <v>190</v>
      </c>
      <c r="GM834" s="319" t="s">
        <v>190</v>
      </c>
      <c r="GN834" s="319" t="s">
        <v>190</v>
      </c>
      <c r="GO834" s="319" t="s">
        <v>190</v>
      </c>
      <c r="GP834" s="319" t="s">
        <v>190</v>
      </c>
      <c r="GQ834" s="319" t="s">
        <v>428</v>
      </c>
      <c r="GR834" s="319" t="s">
        <v>190</v>
      </c>
      <c r="GS834" s="319" t="s">
        <v>190</v>
      </c>
      <c r="GT834" s="319" t="s">
        <v>190</v>
      </c>
      <c r="GU834" s="319" t="s">
        <v>428</v>
      </c>
      <c r="GV834" s="319" t="s">
        <v>190</v>
      </c>
      <c r="GW834" s="319" t="s">
        <v>190</v>
      </c>
      <c r="GX834" s="319" t="s">
        <v>190</v>
      </c>
      <c r="GY834" s="319" t="s">
        <v>190</v>
      </c>
      <c r="GZ834" s="319" t="s">
        <v>428</v>
      </c>
      <c r="HA834" s="319" t="s">
        <v>190</v>
      </c>
      <c r="HB834" s="319" t="s">
        <v>190</v>
      </c>
      <c r="HC834" s="319" t="s">
        <v>190</v>
      </c>
      <c r="HD834" s="319" t="s">
        <v>190</v>
      </c>
      <c r="HE834" s="319" t="s">
        <v>190</v>
      </c>
      <c r="HF834" s="319" t="s">
        <v>190</v>
      </c>
      <c r="HG834" s="319" t="s">
        <v>190</v>
      </c>
      <c r="HH834" s="319" t="s">
        <v>190</v>
      </c>
      <c r="HI834" s="319" t="s">
        <v>190</v>
      </c>
      <c r="HJ834" s="319" t="s">
        <v>190</v>
      </c>
      <c r="HK834" s="319" t="s">
        <v>190</v>
      </c>
      <c r="HL834" s="319" t="s">
        <v>428</v>
      </c>
      <c r="HM834" s="319" t="s">
        <v>428</v>
      </c>
      <c r="HN834" s="319" t="s">
        <v>428</v>
      </c>
      <c r="HO834" s="319" t="s">
        <v>428</v>
      </c>
      <c r="HP834" s="319" t="s">
        <v>190</v>
      </c>
      <c r="HQ834" s="319" t="s">
        <v>190</v>
      </c>
      <c r="HR834" s="319" t="s">
        <v>190</v>
      </c>
      <c r="HS834" s="319" t="s">
        <v>190</v>
      </c>
      <c r="HT834" s="319" t="s">
        <v>190</v>
      </c>
      <c r="HU834" s="319" t="s">
        <v>190</v>
      </c>
      <c r="HV834" s="319" t="s">
        <v>190</v>
      </c>
      <c r="HW834" s="319" t="s">
        <v>190</v>
      </c>
      <c r="HX834" s="319" t="s">
        <v>190</v>
      </c>
      <c r="HY834" s="319" t="s">
        <v>190</v>
      </c>
      <c r="HZ834" s="319" t="s">
        <v>190</v>
      </c>
      <c r="IA834" s="319" t="s">
        <v>190</v>
      </c>
      <c r="IB834" s="319" t="s">
        <v>190</v>
      </c>
      <c r="IC834" s="319" t="s">
        <v>190</v>
      </c>
      <c r="ID834" s="319" t="s">
        <v>190</v>
      </c>
      <c r="IE834" s="319" t="s">
        <v>190</v>
      </c>
      <c r="IF834" s="319" t="s">
        <v>190</v>
      </c>
      <c r="IG834" s="319" t="s">
        <v>190</v>
      </c>
      <c r="IH834" s="319" t="s">
        <v>190</v>
      </c>
      <c r="II834" s="319" t="s">
        <v>190</v>
      </c>
      <c r="IJ834" s="319">
        <v>10034040</v>
      </c>
      <c r="IK834" s="321">
        <v>42871</v>
      </c>
      <c r="IL834" s="321">
        <v>42872</v>
      </c>
      <c r="IM834" s="321">
        <v>42996</v>
      </c>
      <c r="IN834" s="319">
        <v>4</v>
      </c>
      <c r="IO834" s="319" t="s">
        <v>173</v>
      </c>
      <c r="IP834" s="319" t="s">
        <v>173</v>
      </c>
      <c r="IQ834" s="321" t="s">
        <v>173</v>
      </c>
      <c r="IR834" s="320" t="s">
        <v>173</v>
      </c>
      <c r="IS834" s="322" t="s">
        <v>173</v>
      </c>
      <c r="IT834" s="319" t="s">
        <v>173</v>
      </c>
    </row>
    <row r="835" spans="1:254" s="271" customFormat="1" x14ac:dyDescent="0.25">
      <c r="A835" s="318" t="str">
        <f>HYPERLINK("http://www.ofsted.gov.uk/inspection-reports/find-inspection-report/provider/ELS/142536 ","Ofsted School Webpage")</f>
        <v>Ofsted School Webpage</v>
      </c>
      <c r="B835" s="319">
        <v>142536</v>
      </c>
      <c r="C835" s="319">
        <v>3566012</v>
      </c>
      <c r="D835" s="319" t="s">
        <v>1101</v>
      </c>
      <c r="E835" s="319" t="s">
        <v>168</v>
      </c>
      <c r="F835" s="319" t="s">
        <v>81</v>
      </c>
      <c r="G835" s="319" t="s">
        <v>81</v>
      </c>
      <c r="H835" s="319" t="s">
        <v>81</v>
      </c>
      <c r="I835" s="319" t="s">
        <v>78</v>
      </c>
      <c r="J835" s="319" t="s">
        <v>424</v>
      </c>
      <c r="K835" s="319" t="s">
        <v>431</v>
      </c>
      <c r="L835" s="319" t="s">
        <v>431</v>
      </c>
      <c r="M835" s="319" t="s">
        <v>837</v>
      </c>
      <c r="N835" s="319" t="s">
        <v>3306</v>
      </c>
      <c r="O835" s="319" t="s">
        <v>1102</v>
      </c>
      <c r="P835" s="319">
        <v>61</v>
      </c>
      <c r="Q835" s="319" t="s">
        <v>429</v>
      </c>
      <c r="R835" s="320">
        <v>10067930</v>
      </c>
      <c r="S835" s="321">
        <v>43550</v>
      </c>
      <c r="T835" s="321">
        <v>43552</v>
      </c>
      <c r="U835" s="321">
        <v>43597</v>
      </c>
      <c r="V835" s="319" t="s">
        <v>425</v>
      </c>
      <c r="W835" s="319" t="s">
        <v>2767</v>
      </c>
      <c r="X835" s="319">
        <v>2</v>
      </c>
      <c r="Y835" s="319" t="s">
        <v>173</v>
      </c>
      <c r="Z835" s="319" t="s">
        <v>173</v>
      </c>
      <c r="AA835" s="319" t="s">
        <v>173</v>
      </c>
      <c r="AB835" s="319">
        <v>2</v>
      </c>
      <c r="AC835" s="319" t="s">
        <v>169</v>
      </c>
      <c r="AD835" s="319" t="s">
        <v>173</v>
      </c>
      <c r="AE835" s="319" t="s">
        <v>173</v>
      </c>
      <c r="AF835" s="319" t="s">
        <v>427</v>
      </c>
      <c r="AG835" s="319" t="s">
        <v>171</v>
      </c>
      <c r="AH835" s="319" t="s">
        <v>190</v>
      </c>
      <c r="AI835" s="319" t="s">
        <v>190</v>
      </c>
      <c r="AJ835" s="319" t="s">
        <v>190</v>
      </c>
      <c r="AK835" s="319" t="s">
        <v>190</v>
      </c>
      <c r="AL835" s="319" t="s">
        <v>190</v>
      </c>
      <c r="AM835" s="319" t="s">
        <v>190</v>
      </c>
      <c r="AN835" s="319" t="s">
        <v>190</v>
      </c>
      <c r="AO835" s="319" t="s">
        <v>190</v>
      </c>
      <c r="AP835" s="319" t="s">
        <v>190</v>
      </c>
      <c r="AQ835" s="319" t="s">
        <v>190</v>
      </c>
      <c r="AR835" s="319" t="s">
        <v>190</v>
      </c>
      <c r="AS835" s="319" t="s">
        <v>190</v>
      </c>
      <c r="AT835" s="319" t="s">
        <v>190</v>
      </c>
      <c r="AU835" s="319" t="s">
        <v>190</v>
      </c>
      <c r="AV835" s="319" t="s">
        <v>191</v>
      </c>
      <c r="AW835" s="319" t="s">
        <v>190</v>
      </c>
      <c r="AX835" s="319" t="s">
        <v>428</v>
      </c>
      <c r="AY835" s="319" t="s">
        <v>190</v>
      </c>
      <c r="AZ835" s="319" t="s">
        <v>190</v>
      </c>
      <c r="BA835" s="319" t="s">
        <v>190</v>
      </c>
      <c r="BB835" s="319" t="s">
        <v>190</v>
      </c>
      <c r="BC835" s="319" t="s">
        <v>190</v>
      </c>
      <c r="BD835" s="319" t="s">
        <v>190</v>
      </c>
      <c r="BE835" s="319" t="s">
        <v>190</v>
      </c>
      <c r="BF835" s="319" t="s">
        <v>428</v>
      </c>
      <c r="BG835" s="319" t="s">
        <v>190</v>
      </c>
      <c r="BH835" s="319" t="s">
        <v>190</v>
      </c>
      <c r="BI835" s="319" t="s">
        <v>190</v>
      </c>
      <c r="BJ835" s="319" t="s">
        <v>190</v>
      </c>
      <c r="BK835" s="319" t="s">
        <v>190</v>
      </c>
      <c r="BL835" s="319" t="s">
        <v>190</v>
      </c>
      <c r="BM835" s="319" t="s">
        <v>190</v>
      </c>
      <c r="BN835" s="319" t="s">
        <v>190</v>
      </c>
      <c r="BO835" s="319" t="s">
        <v>190</v>
      </c>
      <c r="BP835" s="319" t="s">
        <v>190</v>
      </c>
      <c r="BQ835" s="319" t="s">
        <v>190</v>
      </c>
      <c r="BR835" s="319" t="s">
        <v>190</v>
      </c>
      <c r="BS835" s="319" t="s">
        <v>190</v>
      </c>
      <c r="BT835" s="319" t="s">
        <v>190</v>
      </c>
      <c r="BU835" s="319" t="s">
        <v>190</v>
      </c>
      <c r="BV835" s="319" t="s">
        <v>190</v>
      </c>
      <c r="BW835" s="319" t="s">
        <v>190</v>
      </c>
      <c r="BX835" s="319" t="s">
        <v>190</v>
      </c>
      <c r="BY835" s="319" t="s">
        <v>190</v>
      </c>
      <c r="BZ835" s="319" t="s">
        <v>190</v>
      </c>
      <c r="CA835" s="319" t="s">
        <v>190</v>
      </c>
      <c r="CB835" s="319" t="s">
        <v>190</v>
      </c>
      <c r="CC835" s="319" t="s">
        <v>190</v>
      </c>
      <c r="CD835" s="319" t="s">
        <v>190</v>
      </c>
      <c r="CE835" s="319" t="s">
        <v>190</v>
      </c>
      <c r="CF835" s="319" t="s">
        <v>190</v>
      </c>
      <c r="CG835" s="319" t="s">
        <v>190</v>
      </c>
      <c r="CH835" s="319" t="s">
        <v>190</v>
      </c>
      <c r="CI835" s="319" t="s">
        <v>190</v>
      </c>
      <c r="CJ835" s="319" t="s">
        <v>190</v>
      </c>
      <c r="CK835" s="319" t="s">
        <v>190</v>
      </c>
      <c r="CL835" s="319" t="s">
        <v>190</v>
      </c>
      <c r="CM835" s="319" t="s">
        <v>190</v>
      </c>
      <c r="CN835" s="319" t="s">
        <v>190</v>
      </c>
      <c r="CO835" s="319" t="s">
        <v>428</v>
      </c>
      <c r="CP835" s="319" t="s">
        <v>428</v>
      </c>
      <c r="CQ835" s="319" t="s">
        <v>190</v>
      </c>
      <c r="CR835" s="319" t="s">
        <v>190</v>
      </c>
      <c r="CS835" s="319" t="s">
        <v>190</v>
      </c>
      <c r="CT835" s="319" t="s">
        <v>190</v>
      </c>
      <c r="CU835" s="319" t="s">
        <v>190</v>
      </c>
      <c r="CV835" s="319" t="s">
        <v>190</v>
      </c>
      <c r="CW835" s="319" t="s">
        <v>190</v>
      </c>
      <c r="CX835" s="319" t="s">
        <v>190</v>
      </c>
      <c r="CY835" s="319" t="s">
        <v>190</v>
      </c>
      <c r="CZ835" s="319" t="s">
        <v>190</v>
      </c>
      <c r="DA835" s="319" t="s">
        <v>190</v>
      </c>
      <c r="DB835" s="319" t="s">
        <v>190</v>
      </c>
      <c r="DC835" s="319" t="s">
        <v>190</v>
      </c>
      <c r="DD835" s="319" t="s">
        <v>190</v>
      </c>
      <c r="DE835" s="319" t="s">
        <v>190</v>
      </c>
      <c r="DF835" s="319" t="s">
        <v>190</v>
      </c>
      <c r="DG835" s="319" t="s">
        <v>190</v>
      </c>
      <c r="DH835" s="319" t="s">
        <v>190</v>
      </c>
      <c r="DI835" s="319" t="s">
        <v>190</v>
      </c>
      <c r="DJ835" s="319" t="s">
        <v>190</v>
      </c>
      <c r="DK835" s="319" t="s">
        <v>190</v>
      </c>
      <c r="DL835" s="319" t="s">
        <v>190</v>
      </c>
      <c r="DM835" s="319" t="s">
        <v>190</v>
      </c>
      <c r="DN835" s="319" t="s">
        <v>190</v>
      </c>
      <c r="DO835" s="319" t="s">
        <v>190</v>
      </c>
      <c r="DP835" s="319" t="s">
        <v>190</v>
      </c>
      <c r="DQ835" s="319" t="s">
        <v>190</v>
      </c>
      <c r="DR835" s="319" t="s">
        <v>190</v>
      </c>
      <c r="DS835" s="319" t="s">
        <v>190</v>
      </c>
      <c r="DT835" s="319" t="s">
        <v>190</v>
      </c>
      <c r="DU835" s="319" t="s">
        <v>190</v>
      </c>
      <c r="DV835" s="319" t="s">
        <v>173</v>
      </c>
      <c r="DW835" s="319" t="s">
        <v>190</v>
      </c>
      <c r="DX835" s="319" t="s">
        <v>190</v>
      </c>
      <c r="DY835" s="319" t="s">
        <v>190</v>
      </c>
      <c r="DZ835" s="319" t="s">
        <v>190</v>
      </c>
      <c r="EA835" s="319" t="s">
        <v>190</v>
      </c>
      <c r="EB835" s="319" t="s">
        <v>190</v>
      </c>
      <c r="EC835" s="319" t="s">
        <v>190</v>
      </c>
      <c r="ED835" s="319" t="s">
        <v>190</v>
      </c>
      <c r="EE835" s="319" t="s">
        <v>190</v>
      </c>
      <c r="EF835" s="319" t="s">
        <v>190</v>
      </c>
      <c r="EG835" s="319" t="s">
        <v>190</v>
      </c>
      <c r="EH835" s="319" t="s">
        <v>190</v>
      </c>
      <c r="EI835" s="319" t="s">
        <v>190</v>
      </c>
      <c r="EJ835" s="319" t="s">
        <v>190</v>
      </c>
      <c r="EK835" s="319" t="s">
        <v>190</v>
      </c>
      <c r="EL835" s="319" t="s">
        <v>190</v>
      </c>
      <c r="EM835" s="319" t="s">
        <v>190</v>
      </c>
      <c r="EN835" s="319" t="s">
        <v>190</v>
      </c>
      <c r="EO835" s="319" t="s">
        <v>190</v>
      </c>
      <c r="EP835" s="319" t="s">
        <v>190</v>
      </c>
      <c r="EQ835" s="319" t="s">
        <v>190</v>
      </c>
      <c r="ER835" s="319" t="s">
        <v>190</v>
      </c>
      <c r="ES835" s="319" t="s">
        <v>190</v>
      </c>
      <c r="ET835" s="319" t="s">
        <v>190</v>
      </c>
      <c r="EU835" s="319" t="s">
        <v>190</v>
      </c>
      <c r="EV835" s="319" t="s">
        <v>190</v>
      </c>
      <c r="EW835" s="319" t="s">
        <v>190</v>
      </c>
      <c r="EX835" s="319" t="s">
        <v>190</v>
      </c>
      <c r="EY835" s="319" t="s">
        <v>190</v>
      </c>
      <c r="EZ835" s="319" t="s">
        <v>190</v>
      </c>
      <c r="FA835" s="319" t="s">
        <v>190</v>
      </c>
      <c r="FB835" s="319" t="s">
        <v>190</v>
      </c>
      <c r="FC835" s="319" t="s">
        <v>190</v>
      </c>
      <c r="FD835" s="319" t="s">
        <v>190</v>
      </c>
      <c r="FE835" s="319" t="s">
        <v>190</v>
      </c>
      <c r="FF835" s="319" t="s">
        <v>190</v>
      </c>
      <c r="FG835" s="319" t="s">
        <v>190</v>
      </c>
      <c r="FH835" s="319" t="s">
        <v>190</v>
      </c>
      <c r="FI835" s="319" t="s">
        <v>190</v>
      </c>
      <c r="FJ835" s="319" t="s">
        <v>190</v>
      </c>
      <c r="FK835" s="319" t="s">
        <v>190</v>
      </c>
      <c r="FL835" s="319" t="s">
        <v>190</v>
      </c>
      <c r="FM835" s="319" t="s">
        <v>190</v>
      </c>
      <c r="FN835" s="319" t="s">
        <v>190</v>
      </c>
      <c r="FO835" s="319" t="s">
        <v>190</v>
      </c>
      <c r="FP835" s="319" t="s">
        <v>190</v>
      </c>
      <c r="FQ835" s="319" t="s">
        <v>190</v>
      </c>
      <c r="FR835" s="319" t="s">
        <v>190</v>
      </c>
      <c r="FS835" s="319" t="s">
        <v>190</v>
      </c>
      <c r="FT835" s="319" t="s">
        <v>190</v>
      </c>
      <c r="FU835" s="319" t="s">
        <v>190</v>
      </c>
      <c r="FV835" s="319" t="s">
        <v>190</v>
      </c>
      <c r="FW835" s="319" t="s">
        <v>190</v>
      </c>
      <c r="FX835" s="319" t="s">
        <v>190</v>
      </c>
      <c r="FY835" s="319" t="s">
        <v>190</v>
      </c>
      <c r="FZ835" s="319" t="s">
        <v>190</v>
      </c>
      <c r="GA835" s="319" t="s">
        <v>190</v>
      </c>
      <c r="GB835" s="319" t="s">
        <v>190</v>
      </c>
      <c r="GC835" s="319" t="s">
        <v>190</v>
      </c>
      <c r="GD835" s="319" t="s">
        <v>190</v>
      </c>
      <c r="GE835" s="319" t="s">
        <v>190</v>
      </c>
      <c r="GF835" s="319" t="s">
        <v>190</v>
      </c>
      <c r="GG835" s="319" t="s">
        <v>190</v>
      </c>
      <c r="GH835" s="319" t="s">
        <v>190</v>
      </c>
      <c r="GI835" s="319" t="s">
        <v>190</v>
      </c>
      <c r="GJ835" s="319" t="s">
        <v>190</v>
      </c>
      <c r="GK835" s="319" t="s">
        <v>428</v>
      </c>
      <c r="GL835" s="319" t="s">
        <v>190</v>
      </c>
      <c r="GM835" s="319" t="s">
        <v>190</v>
      </c>
      <c r="GN835" s="319" t="s">
        <v>190</v>
      </c>
      <c r="GO835" s="319" t="s">
        <v>190</v>
      </c>
      <c r="GP835" s="319" t="s">
        <v>190</v>
      </c>
      <c r="GQ835" s="319" t="s">
        <v>190</v>
      </c>
      <c r="GR835" s="319" t="s">
        <v>190</v>
      </c>
      <c r="GS835" s="319" t="s">
        <v>190</v>
      </c>
      <c r="GT835" s="319" t="s">
        <v>190</v>
      </c>
      <c r="GU835" s="319" t="s">
        <v>190</v>
      </c>
      <c r="GV835" s="319" t="s">
        <v>190</v>
      </c>
      <c r="GW835" s="319" t="s">
        <v>190</v>
      </c>
      <c r="GX835" s="319" t="s">
        <v>190</v>
      </c>
      <c r="GY835" s="319" t="s">
        <v>190</v>
      </c>
      <c r="GZ835" s="319" t="s">
        <v>190</v>
      </c>
      <c r="HA835" s="319" t="s">
        <v>190</v>
      </c>
      <c r="HB835" s="319" t="s">
        <v>190</v>
      </c>
      <c r="HC835" s="319" t="s">
        <v>190</v>
      </c>
      <c r="HD835" s="319" t="s">
        <v>190</v>
      </c>
      <c r="HE835" s="319" t="s">
        <v>190</v>
      </c>
      <c r="HF835" s="319" t="s">
        <v>190</v>
      </c>
      <c r="HG835" s="319" t="s">
        <v>190</v>
      </c>
      <c r="HH835" s="319" t="s">
        <v>190</v>
      </c>
      <c r="HI835" s="319" t="s">
        <v>190</v>
      </c>
      <c r="HJ835" s="319" t="s">
        <v>190</v>
      </c>
      <c r="HK835" s="319" t="s">
        <v>190</v>
      </c>
      <c r="HL835" s="319" t="s">
        <v>190</v>
      </c>
      <c r="HM835" s="319" t="s">
        <v>190</v>
      </c>
      <c r="HN835" s="319" t="s">
        <v>190</v>
      </c>
      <c r="HO835" s="319" t="s">
        <v>190</v>
      </c>
      <c r="HP835" s="319" t="s">
        <v>190</v>
      </c>
      <c r="HQ835" s="319" t="s">
        <v>190</v>
      </c>
      <c r="HR835" s="319" t="s">
        <v>190</v>
      </c>
      <c r="HS835" s="319" t="s">
        <v>190</v>
      </c>
      <c r="HT835" s="319" t="s">
        <v>190</v>
      </c>
      <c r="HU835" s="319" t="s">
        <v>190</v>
      </c>
      <c r="HV835" s="319" t="s">
        <v>190</v>
      </c>
      <c r="HW835" s="319" t="s">
        <v>190</v>
      </c>
      <c r="HX835" s="319" t="s">
        <v>190</v>
      </c>
      <c r="HY835" s="319" t="s">
        <v>190</v>
      </c>
      <c r="HZ835" s="319" t="s">
        <v>190</v>
      </c>
      <c r="IA835" s="319" t="s">
        <v>190</v>
      </c>
      <c r="IB835" s="319" t="s">
        <v>190</v>
      </c>
      <c r="IC835" s="319" t="s">
        <v>190</v>
      </c>
      <c r="ID835" s="319" t="s">
        <v>190</v>
      </c>
      <c r="IE835" s="319" t="s">
        <v>190</v>
      </c>
      <c r="IF835" s="319" t="s">
        <v>190</v>
      </c>
      <c r="IG835" s="319" t="s">
        <v>190</v>
      </c>
      <c r="IH835" s="319" t="s">
        <v>190</v>
      </c>
      <c r="II835" s="319" t="s">
        <v>190</v>
      </c>
      <c r="IJ835" s="319">
        <v>10020876</v>
      </c>
      <c r="IK835" s="321">
        <v>42696</v>
      </c>
      <c r="IL835" s="321">
        <v>42698</v>
      </c>
      <c r="IM835" s="321">
        <v>42752</v>
      </c>
      <c r="IN835" s="319">
        <v>1</v>
      </c>
      <c r="IO835" s="319" t="s">
        <v>173</v>
      </c>
      <c r="IP835" s="319" t="s">
        <v>173</v>
      </c>
      <c r="IQ835" s="319" t="s">
        <v>173</v>
      </c>
      <c r="IR835" s="320" t="s">
        <v>173</v>
      </c>
      <c r="IS835" s="320" t="s">
        <v>173</v>
      </c>
      <c r="IT835" s="319" t="s">
        <v>173</v>
      </c>
    </row>
    <row r="836" spans="1:254" s="271" customFormat="1" x14ac:dyDescent="0.25">
      <c r="A836" s="318" t="str">
        <f>HYPERLINK("http://www.ofsted.gov.uk/inspection-reports/find-inspection-report/provider/ELS/142537 ","Ofsted School Webpage")</f>
        <v>Ofsted School Webpage</v>
      </c>
      <c r="B836" s="319">
        <v>142537</v>
      </c>
      <c r="C836" s="319">
        <v>8816065</v>
      </c>
      <c r="D836" s="319" t="s">
        <v>2336</v>
      </c>
      <c r="E836" s="319" t="s">
        <v>167</v>
      </c>
      <c r="F836" s="319" t="s">
        <v>81</v>
      </c>
      <c r="G836" s="319" t="s">
        <v>81</v>
      </c>
      <c r="H836" s="319" t="s">
        <v>81</v>
      </c>
      <c r="I836" s="319" t="s">
        <v>78</v>
      </c>
      <c r="J836" s="319" t="s">
        <v>424</v>
      </c>
      <c r="K836" s="319" t="s">
        <v>451</v>
      </c>
      <c r="L836" s="319" t="s">
        <v>451</v>
      </c>
      <c r="M836" s="319" t="s">
        <v>679</v>
      </c>
      <c r="N836" s="319" t="s">
        <v>3535</v>
      </c>
      <c r="O836" s="319" t="s">
        <v>2337</v>
      </c>
      <c r="P836" s="319">
        <v>12</v>
      </c>
      <c r="Q836" s="319" t="s">
        <v>2776</v>
      </c>
      <c r="R836" s="320">
        <v>10026075</v>
      </c>
      <c r="S836" s="321">
        <v>42801</v>
      </c>
      <c r="T836" s="321">
        <v>42803</v>
      </c>
      <c r="U836" s="321">
        <v>42849</v>
      </c>
      <c r="V836" s="319" t="s">
        <v>435</v>
      </c>
      <c r="W836" s="319" t="s">
        <v>2767</v>
      </c>
      <c r="X836" s="319">
        <v>1</v>
      </c>
      <c r="Y836" s="319" t="s">
        <v>173</v>
      </c>
      <c r="Z836" s="319" t="s">
        <v>173</v>
      </c>
      <c r="AA836" s="319" t="s">
        <v>173</v>
      </c>
      <c r="AB836" s="319">
        <v>1</v>
      </c>
      <c r="AC836" s="319" t="s">
        <v>169</v>
      </c>
      <c r="AD836" s="319" t="s">
        <v>173</v>
      </c>
      <c r="AE836" s="319">
        <v>1</v>
      </c>
      <c r="AF836" s="319" t="s">
        <v>173</v>
      </c>
      <c r="AG836" s="319" t="s">
        <v>171</v>
      </c>
      <c r="AH836" s="319" t="s">
        <v>190</v>
      </c>
      <c r="AI836" s="319" t="s">
        <v>190</v>
      </c>
      <c r="AJ836" s="319" t="s">
        <v>190</v>
      </c>
      <c r="AK836" s="319" t="s">
        <v>190</v>
      </c>
      <c r="AL836" s="319" t="s">
        <v>190</v>
      </c>
      <c r="AM836" s="319" t="s">
        <v>190</v>
      </c>
      <c r="AN836" s="319" t="s">
        <v>190</v>
      </c>
      <c r="AO836" s="319" t="s">
        <v>190</v>
      </c>
      <c r="AP836" s="319" t="s">
        <v>190</v>
      </c>
      <c r="AQ836" s="319" t="s">
        <v>190</v>
      </c>
      <c r="AR836" s="319" t="s">
        <v>190</v>
      </c>
      <c r="AS836" s="319" t="s">
        <v>190</v>
      </c>
      <c r="AT836" s="319" t="s">
        <v>190</v>
      </c>
      <c r="AU836" s="319" t="s">
        <v>190</v>
      </c>
      <c r="AV836" s="319" t="s">
        <v>190</v>
      </c>
      <c r="AW836" s="319" t="s">
        <v>190</v>
      </c>
      <c r="AX836" s="319" t="s">
        <v>429</v>
      </c>
      <c r="AY836" s="319" t="s">
        <v>190</v>
      </c>
      <c r="AZ836" s="319" t="s">
        <v>190</v>
      </c>
      <c r="BA836" s="319" t="s">
        <v>190</v>
      </c>
      <c r="BB836" s="319" t="s">
        <v>190</v>
      </c>
      <c r="BC836" s="319" t="s">
        <v>190</v>
      </c>
      <c r="BD836" s="319" t="s">
        <v>190</v>
      </c>
      <c r="BE836" s="319" t="s">
        <v>190</v>
      </c>
      <c r="BF836" s="319" t="s">
        <v>429</v>
      </c>
      <c r="BG836" s="319" t="s">
        <v>190</v>
      </c>
      <c r="BH836" s="319" t="s">
        <v>190</v>
      </c>
      <c r="BI836" s="319" t="s">
        <v>190</v>
      </c>
      <c r="BJ836" s="319" t="s">
        <v>190</v>
      </c>
      <c r="BK836" s="319" t="s">
        <v>190</v>
      </c>
      <c r="BL836" s="319" t="s">
        <v>190</v>
      </c>
      <c r="BM836" s="319" t="s">
        <v>190</v>
      </c>
      <c r="BN836" s="319" t="s">
        <v>190</v>
      </c>
      <c r="BO836" s="319" t="s">
        <v>190</v>
      </c>
      <c r="BP836" s="319" t="s">
        <v>190</v>
      </c>
      <c r="BQ836" s="319" t="s">
        <v>190</v>
      </c>
      <c r="BR836" s="319" t="s">
        <v>190</v>
      </c>
      <c r="BS836" s="319" t="s">
        <v>190</v>
      </c>
      <c r="BT836" s="319" t="s">
        <v>190</v>
      </c>
      <c r="BU836" s="319" t="s">
        <v>190</v>
      </c>
      <c r="BV836" s="319" t="s">
        <v>190</v>
      </c>
      <c r="BW836" s="319" t="s">
        <v>190</v>
      </c>
      <c r="BX836" s="319" t="s">
        <v>190</v>
      </c>
      <c r="BY836" s="319" t="s">
        <v>190</v>
      </c>
      <c r="BZ836" s="319" t="s">
        <v>190</v>
      </c>
      <c r="CA836" s="319" t="s">
        <v>190</v>
      </c>
      <c r="CB836" s="319" t="s">
        <v>190</v>
      </c>
      <c r="CC836" s="319" t="s">
        <v>190</v>
      </c>
      <c r="CD836" s="319" t="s">
        <v>190</v>
      </c>
      <c r="CE836" s="319" t="s">
        <v>190</v>
      </c>
      <c r="CF836" s="319" t="s">
        <v>190</v>
      </c>
      <c r="CG836" s="319" t="s">
        <v>190</v>
      </c>
      <c r="CH836" s="319" t="s">
        <v>190</v>
      </c>
      <c r="CI836" s="319" t="s">
        <v>190</v>
      </c>
      <c r="CJ836" s="319" t="s">
        <v>190</v>
      </c>
      <c r="CK836" s="319" t="s">
        <v>190</v>
      </c>
      <c r="CL836" s="319" t="s">
        <v>190</v>
      </c>
      <c r="CM836" s="319" t="s">
        <v>190</v>
      </c>
      <c r="CN836" s="319" t="s">
        <v>429</v>
      </c>
      <c r="CO836" s="319" t="s">
        <v>429</v>
      </c>
      <c r="CP836" s="319" t="s">
        <v>429</v>
      </c>
      <c r="CQ836" s="319" t="s">
        <v>190</v>
      </c>
      <c r="CR836" s="319" t="s">
        <v>190</v>
      </c>
      <c r="CS836" s="319" t="s">
        <v>190</v>
      </c>
      <c r="CT836" s="319" t="s">
        <v>190</v>
      </c>
      <c r="CU836" s="319" t="s">
        <v>190</v>
      </c>
      <c r="CV836" s="319" t="s">
        <v>190</v>
      </c>
      <c r="CW836" s="319" t="s">
        <v>190</v>
      </c>
      <c r="CX836" s="319" t="s">
        <v>190</v>
      </c>
      <c r="CY836" s="319" t="s">
        <v>190</v>
      </c>
      <c r="CZ836" s="319" t="s">
        <v>190</v>
      </c>
      <c r="DA836" s="319" t="s">
        <v>190</v>
      </c>
      <c r="DB836" s="319" t="s">
        <v>190</v>
      </c>
      <c r="DC836" s="319" t="s">
        <v>190</v>
      </c>
      <c r="DD836" s="319" t="s">
        <v>190</v>
      </c>
      <c r="DE836" s="319" t="s">
        <v>190</v>
      </c>
      <c r="DF836" s="319" t="s">
        <v>190</v>
      </c>
      <c r="DG836" s="319" t="s">
        <v>190</v>
      </c>
      <c r="DH836" s="319" t="s">
        <v>190</v>
      </c>
      <c r="DI836" s="319" t="s">
        <v>190</v>
      </c>
      <c r="DJ836" s="319" t="s">
        <v>190</v>
      </c>
      <c r="DK836" s="319" t="s">
        <v>190</v>
      </c>
      <c r="DL836" s="319" t="s">
        <v>190</v>
      </c>
      <c r="DM836" s="319" t="s">
        <v>190</v>
      </c>
      <c r="DN836" s="319" t="s">
        <v>429</v>
      </c>
      <c r="DO836" s="319" t="s">
        <v>190</v>
      </c>
      <c r="DP836" s="319" t="s">
        <v>429</v>
      </c>
      <c r="DQ836" s="319" t="s">
        <v>429</v>
      </c>
      <c r="DR836" s="319" t="s">
        <v>429</v>
      </c>
      <c r="DS836" s="319" t="s">
        <v>429</v>
      </c>
      <c r="DT836" s="319" t="s">
        <v>429</v>
      </c>
      <c r="DU836" s="319" t="s">
        <v>429</v>
      </c>
      <c r="DV836" s="319" t="s">
        <v>173</v>
      </c>
      <c r="DW836" s="319" t="s">
        <v>429</v>
      </c>
      <c r="DX836" s="319" t="s">
        <v>429</v>
      </c>
      <c r="DY836" s="319" t="s">
        <v>429</v>
      </c>
      <c r="DZ836" s="319" t="s">
        <v>429</v>
      </c>
      <c r="EA836" s="319" t="s">
        <v>429</v>
      </c>
      <c r="EB836" s="319" t="s">
        <v>429</v>
      </c>
      <c r="EC836" s="319" t="s">
        <v>429</v>
      </c>
      <c r="ED836" s="319" t="s">
        <v>429</v>
      </c>
      <c r="EE836" s="319" t="s">
        <v>190</v>
      </c>
      <c r="EF836" s="319" t="s">
        <v>190</v>
      </c>
      <c r="EG836" s="319" t="s">
        <v>190</v>
      </c>
      <c r="EH836" s="319" t="s">
        <v>190</v>
      </c>
      <c r="EI836" s="319" t="s">
        <v>190</v>
      </c>
      <c r="EJ836" s="319" t="s">
        <v>190</v>
      </c>
      <c r="EK836" s="319" t="s">
        <v>190</v>
      </c>
      <c r="EL836" s="319" t="s">
        <v>190</v>
      </c>
      <c r="EM836" s="319" t="s">
        <v>190</v>
      </c>
      <c r="EN836" s="319" t="s">
        <v>190</v>
      </c>
      <c r="EO836" s="319" t="s">
        <v>190</v>
      </c>
      <c r="EP836" s="319" t="s">
        <v>190</v>
      </c>
      <c r="EQ836" s="319" t="s">
        <v>190</v>
      </c>
      <c r="ER836" s="319" t="s">
        <v>190</v>
      </c>
      <c r="ES836" s="319" t="s">
        <v>190</v>
      </c>
      <c r="ET836" s="319" t="s">
        <v>190</v>
      </c>
      <c r="EU836" s="319" t="s">
        <v>190</v>
      </c>
      <c r="EV836" s="319" t="s">
        <v>190</v>
      </c>
      <c r="EW836" s="319" t="s">
        <v>190</v>
      </c>
      <c r="EX836" s="319" t="s">
        <v>190</v>
      </c>
      <c r="EY836" s="319" t="s">
        <v>190</v>
      </c>
      <c r="EZ836" s="319" t="s">
        <v>190</v>
      </c>
      <c r="FA836" s="319" t="s">
        <v>429</v>
      </c>
      <c r="FB836" s="319" t="s">
        <v>429</v>
      </c>
      <c r="FC836" s="319" t="s">
        <v>429</v>
      </c>
      <c r="FD836" s="319" t="s">
        <v>429</v>
      </c>
      <c r="FE836" s="319" t="s">
        <v>429</v>
      </c>
      <c r="FF836" s="319" t="s">
        <v>429</v>
      </c>
      <c r="FG836" s="319" t="s">
        <v>429</v>
      </c>
      <c r="FH836" s="319" t="s">
        <v>190</v>
      </c>
      <c r="FI836" s="319" t="s">
        <v>429</v>
      </c>
      <c r="FJ836" s="319" t="s">
        <v>429</v>
      </c>
      <c r="FK836" s="319" t="s">
        <v>429</v>
      </c>
      <c r="FL836" s="319" t="s">
        <v>190</v>
      </c>
      <c r="FM836" s="319" t="s">
        <v>190</v>
      </c>
      <c r="FN836" s="319" t="s">
        <v>190</v>
      </c>
      <c r="FO836" s="319" t="s">
        <v>190</v>
      </c>
      <c r="FP836" s="319" t="s">
        <v>190</v>
      </c>
      <c r="FQ836" s="319" t="s">
        <v>190</v>
      </c>
      <c r="FR836" s="319" t="s">
        <v>190</v>
      </c>
      <c r="FS836" s="319" t="s">
        <v>429</v>
      </c>
      <c r="FT836" s="319" t="s">
        <v>429</v>
      </c>
      <c r="FU836" s="319" t="s">
        <v>190</v>
      </c>
      <c r="FV836" s="319" t="s">
        <v>190</v>
      </c>
      <c r="FW836" s="319" t="s">
        <v>190</v>
      </c>
      <c r="FX836" s="319" t="s">
        <v>190</v>
      </c>
      <c r="FY836" s="319" t="s">
        <v>190</v>
      </c>
      <c r="FZ836" s="319" t="s">
        <v>190</v>
      </c>
      <c r="GA836" s="319" t="s">
        <v>190</v>
      </c>
      <c r="GB836" s="319" t="s">
        <v>190</v>
      </c>
      <c r="GC836" s="319" t="s">
        <v>190</v>
      </c>
      <c r="GD836" s="319" t="s">
        <v>190</v>
      </c>
      <c r="GE836" s="319" t="s">
        <v>190</v>
      </c>
      <c r="GF836" s="319" t="s">
        <v>190</v>
      </c>
      <c r="GG836" s="319" t="s">
        <v>190</v>
      </c>
      <c r="GH836" s="319" t="s">
        <v>190</v>
      </c>
      <c r="GI836" s="319" t="s">
        <v>190</v>
      </c>
      <c r="GJ836" s="319" t="s">
        <v>190</v>
      </c>
      <c r="GK836" s="319" t="s">
        <v>429</v>
      </c>
      <c r="GL836" s="319" t="s">
        <v>190</v>
      </c>
      <c r="GM836" s="319" t="s">
        <v>190</v>
      </c>
      <c r="GN836" s="319" t="s">
        <v>190</v>
      </c>
      <c r="GO836" s="319" t="s">
        <v>190</v>
      </c>
      <c r="GP836" s="319" t="s">
        <v>429</v>
      </c>
      <c r="GQ836" s="319" t="s">
        <v>429</v>
      </c>
      <c r="GR836" s="319" t="s">
        <v>190</v>
      </c>
      <c r="GS836" s="319" t="s">
        <v>190</v>
      </c>
      <c r="GT836" s="319" t="s">
        <v>190</v>
      </c>
      <c r="GU836" s="319" t="s">
        <v>190</v>
      </c>
      <c r="GV836" s="319" t="s">
        <v>429</v>
      </c>
      <c r="GW836" s="319" t="s">
        <v>190</v>
      </c>
      <c r="GX836" s="319" t="s">
        <v>190</v>
      </c>
      <c r="GY836" s="319" t="s">
        <v>190</v>
      </c>
      <c r="GZ836" s="319" t="s">
        <v>429</v>
      </c>
      <c r="HA836" s="319" t="s">
        <v>190</v>
      </c>
      <c r="HB836" s="319" t="s">
        <v>190</v>
      </c>
      <c r="HC836" s="319" t="s">
        <v>190</v>
      </c>
      <c r="HD836" s="319" t="s">
        <v>190</v>
      </c>
      <c r="HE836" s="319" t="s">
        <v>190</v>
      </c>
      <c r="HF836" s="319" t="s">
        <v>190</v>
      </c>
      <c r="HG836" s="319" t="s">
        <v>190</v>
      </c>
      <c r="HH836" s="319" t="s">
        <v>190</v>
      </c>
      <c r="HI836" s="319" t="s">
        <v>429</v>
      </c>
      <c r="HJ836" s="319" t="s">
        <v>190</v>
      </c>
      <c r="HK836" s="319" t="s">
        <v>429</v>
      </c>
      <c r="HL836" s="319" t="s">
        <v>429</v>
      </c>
      <c r="HM836" s="319" t="s">
        <v>429</v>
      </c>
      <c r="HN836" s="319" t="s">
        <v>429</v>
      </c>
      <c r="HO836" s="319" t="s">
        <v>429</v>
      </c>
      <c r="HP836" s="319" t="s">
        <v>190</v>
      </c>
      <c r="HQ836" s="319" t="s">
        <v>190</v>
      </c>
      <c r="HR836" s="319" t="s">
        <v>190</v>
      </c>
      <c r="HS836" s="319" t="s">
        <v>190</v>
      </c>
      <c r="HT836" s="319" t="s">
        <v>190</v>
      </c>
      <c r="HU836" s="319" t="s">
        <v>190</v>
      </c>
      <c r="HV836" s="319" t="s">
        <v>190</v>
      </c>
      <c r="HW836" s="319" t="s">
        <v>190</v>
      </c>
      <c r="HX836" s="319" t="s">
        <v>190</v>
      </c>
      <c r="HY836" s="319" t="s">
        <v>190</v>
      </c>
      <c r="HZ836" s="319" t="s">
        <v>190</v>
      </c>
      <c r="IA836" s="319" t="s">
        <v>190</v>
      </c>
      <c r="IB836" s="319" t="s">
        <v>190</v>
      </c>
      <c r="IC836" s="319" t="s">
        <v>190</v>
      </c>
      <c r="ID836" s="319" t="s">
        <v>190</v>
      </c>
      <c r="IE836" s="319" t="s">
        <v>190</v>
      </c>
      <c r="IF836" s="319" t="s">
        <v>190</v>
      </c>
      <c r="IG836" s="319" t="s">
        <v>190</v>
      </c>
      <c r="IH836" s="319" t="s">
        <v>190</v>
      </c>
      <c r="II836" s="319" t="s">
        <v>190</v>
      </c>
      <c r="IJ836" s="319" t="s">
        <v>173</v>
      </c>
      <c r="IK836" s="319" t="s">
        <v>173</v>
      </c>
      <c r="IL836" s="319" t="s">
        <v>173</v>
      </c>
      <c r="IM836" s="319" t="s">
        <v>173</v>
      </c>
      <c r="IN836" s="319" t="s">
        <v>173</v>
      </c>
      <c r="IO836" s="319" t="s">
        <v>173</v>
      </c>
      <c r="IP836" s="319" t="s">
        <v>173</v>
      </c>
      <c r="IQ836" s="321" t="s">
        <v>173</v>
      </c>
      <c r="IR836" s="320" t="s">
        <v>173</v>
      </c>
      <c r="IS836" s="322" t="s">
        <v>173</v>
      </c>
      <c r="IT836" s="319" t="s">
        <v>173</v>
      </c>
    </row>
    <row r="837" spans="1:254" s="271" customFormat="1" x14ac:dyDescent="0.25">
      <c r="A837" s="318" t="str">
        <f>HYPERLINK("http://www.ofsted.gov.uk/inspection-reports/find-inspection-report/provider/ELS/142538 ","Ofsted School Webpage")</f>
        <v>Ofsted School Webpage</v>
      </c>
      <c r="B837" s="319">
        <v>142538</v>
      </c>
      <c r="C837" s="319">
        <v>8916037</v>
      </c>
      <c r="D837" s="319" t="s">
        <v>2338</v>
      </c>
      <c r="E837" s="319" t="s">
        <v>168</v>
      </c>
      <c r="F837" s="319" t="s">
        <v>81</v>
      </c>
      <c r="G837" s="319" t="s">
        <v>81</v>
      </c>
      <c r="H837" s="319" t="s">
        <v>81</v>
      </c>
      <c r="I837" s="319" t="s">
        <v>78</v>
      </c>
      <c r="J837" s="319" t="s">
        <v>424</v>
      </c>
      <c r="K837" s="319" t="s">
        <v>506</v>
      </c>
      <c r="L837" s="319" t="s">
        <v>506</v>
      </c>
      <c r="M837" s="319" t="s">
        <v>760</v>
      </c>
      <c r="N837" s="319" t="s">
        <v>3016</v>
      </c>
      <c r="O837" s="319" t="s">
        <v>2339</v>
      </c>
      <c r="P837" s="319">
        <v>52</v>
      </c>
      <c r="Q837" s="319" t="s">
        <v>429</v>
      </c>
      <c r="R837" s="320">
        <v>10020879</v>
      </c>
      <c r="S837" s="321">
        <v>42675</v>
      </c>
      <c r="T837" s="321">
        <v>42677</v>
      </c>
      <c r="U837" s="321">
        <v>42717</v>
      </c>
      <c r="V837" s="319" t="s">
        <v>435</v>
      </c>
      <c r="W837" s="319" t="s">
        <v>2767</v>
      </c>
      <c r="X837" s="319">
        <v>2</v>
      </c>
      <c r="Y837" s="319" t="s">
        <v>173</v>
      </c>
      <c r="Z837" s="319" t="s">
        <v>173</v>
      </c>
      <c r="AA837" s="319" t="s">
        <v>173</v>
      </c>
      <c r="AB837" s="319">
        <v>2</v>
      </c>
      <c r="AC837" s="319" t="s">
        <v>169</v>
      </c>
      <c r="AD837" s="319" t="s">
        <v>173</v>
      </c>
      <c r="AE837" s="319">
        <v>2</v>
      </c>
      <c r="AF837" s="319" t="s">
        <v>173</v>
      </c>
      <c r="AG837" s="319" t="s">
        <v>171</v>
      </c>
      <c r="AH837" s="319" t="s">
        <v>190</v>
      </c>
      <c r="AI837" s="319" t="s">
        <v>190</v>
      </c>
      <c r="AJ837" s="319" t="s">
        <v>190</v>
      </c>
      <c r="AK837" s="319" t="s">
        <v>190</v>
      </c>
      <c r="AL837" s="319" t="s">
        <v>190</v>
      </c>
      <c r="AM837" s="319" t="s">
        <v>190</v>
      </c>
      <c r="AN837" s="319" t="s">
        <v>190</v>
      </c>
      <c r="AO837" s="319" t="s">
        <v>190</v>
      </c>
      <c r="AP837" s="319" t="s">
        <v>190</v>
      </c>
      <c r="AQ837" s="319" t="s">
        <v>190</v>
      </c>
      <c r="AR837" s="319" t="s">
        <v>190</v>
      </c>
      <c r="AS837" s="319" t="s">
        <v>190</v>
      </c>
      <c r="AT837" s="319" t="s">
        <v>190</v>
      </c>
      <c r="AU837" s="319" t="s">
        <v>190</v>
      </c>
      <c r="AV837" s="319" t="s">
        <v>190</v>
      </c>
      <c r="AW837" s="319" t="s">
        <v>190</v>
      </c>
      <c r="AX837" s="319" t="s">
        <v>429</v>
      </c>
      <c r="AY837" s="319" t="s">
        <v>190</v>
      </c>
      <c r="AZ837" s="319" t="s">
        <v>190</v>
      </c>
      <c r="BA837" s="319" t="s">
        <v>190</v>
      </c>
      <c r="BB837" s="319" t="s">
        <v>190</v>
      </c>
      <c r="BC837" s="319" t="s">
        <v>190</v>
      </c>
      <c r="BD837" s="319" t="s">
        <v>190</v>
      </c>
      <c r="BE837" s="319" t="s">
        <v>190</v>
      </c>
      <c r="BF837" s="319" t="s">
        <v>429</v>
      </c>
      <c r="BG837" s="319" t="s">
        <v>190</v>
      </c>
      <c r="BH837" s="319" t="s">
        <v>190</v>
      </c>
      <c r="BI837" s="319" t="s">
        <v>190</v>
      </c>
      <c r="BJ837" s="319" t="s">
        <v>190</v>
      </c>
      <c r="BK837" s="319" t="s">
        <v>190</v>
      </c>
      <c r="BL837" s="319" t="s">
        <v>190</v>
      </c>
      <c r="BM837" s="319" t="s">
        <v>190</v>
      </c>
      <c r="BN837" s="319" t="s">
        <v>190</v>
      </c>
      <c r="BO837" s="319" t="s">
        <v>190</v>
      </c>
      <c r="BP837" s="319" t="s">
        <v>190</v>
      </c>
      <c r="BQ837" s="319" t="s">
        <v>190</v>
      </c>
      <c r="BR837" s="319" t="s">
        <v>190</v>
      </c>
      <c r="BS837" s="319" t="s">
        <v>190</v>
      </c>
      <c r="BT837" s="319" t="s">
        <v>190</v>
      </c>
      <c r="BU837" s="319" t="s">
        <v>190</v>
      </c>
      <c r="BV837" s="319" t="s">
        <v>190</v>
      </c>
      <c r="BW837" s="319" t="s">
        <v>190</v>
      </c>
      <c r="BX837" s="319" t="s">
        <v>190</v>
      </c>
      <c r="BY837" s="319" t="s">
        <v>190</v>
      </c>
      <c r="BZ837" s="319" t="s">
        <v>190</v>
      </c>
      <c r="CA837" s="319" t="s">
        <v>190</v>
      </c>
      <c r="CB837" s="319" t="s">
        <v>190</v>
      </c>
      <c r="CC837" s="319" t="s">
        <v>190</v>
      </c>
      <c r="CD837" s="319" t="s">
        <v>190</v>
      </c>
      <c r="CE837" s="319" t="s">
        <v>190</v>
      </c>
      <c r="CF837" s="319" t="s">
        <v>190</v>
      </c>
      <c r="CG837" s="319" t="s">
        <v>190</v>
      </c>
      <c r="CH837" s="319" t="s">
        <v>190</v>
      </c>
      <c r="CI837" s="319" t="s">
        <v>190</v>
      </c>
      <c r="CJ837" s="319" t="s">
        <v>190</v>
      </c>
      <c r="CK837" s="319" t="s">
        <v>190</v>
      </c>
      <c r="CL837" s="319" t="s">
        <v>190</v>
      </c>
      <c r="CM837" s="319" t="s">
        <v>190</v>
      </c>
      <c r="CN837" s="319" t="s">
        <v>429</v>
      </c>
      <c r="CO837" s="319" t="s">
        <v>429</v>
      </c>
      <c r="CP837" s="319" t="s">
        <v>429</v>
      </c>
      <c r="CQ837" s="319" t="s">
        <v>190</v>
      </c>
      <c r="CR837" s="319" t="s">
        <v>190</v>
      </c>
      <c r="CS837" s="319" t="s">
        <v>190</v>
      </c>
      <c r="CT837" s="319" t="s">
        <v>190</v>
      </c>
      <c r="CU837" s="319" t="s">
        <v>190</v>
      </c>
      <c r="CV837" s="319" t="s">
        <v>190</v>
      </c>
      <c r="CW837" s="319" t="s">
        <v>190</v>
      </c>
      <c r="CX837" s="319" t="s">
        <v>190</v>
      </c>
      <c r="CY837" s="319" t="s">
        <v>190</v>
      </c>
      <c r="CZ837" s="319" t="s">
        <v>190</v>
      </c>
      <c r="DA837" s="319" t="s">
        <v>190</v>
      </c>
      <c r="DB837" s="319" t="s">
        <v>190</v>
      </c>
      <c r="DC837" s="319" t="s">
        <v>190</v>
      </c>
      <c r="DD837" s="319" t="s">
        <v>190</v>
      </c>
      <c r="DE837" s="319" t="s">
        <v>190</v>
      </c>
      <c r="DF837" s="319" t="s">
        <v>190</v>
      </c>
      <c r="DG837" s="319" t="s">
        <v>190</v>
      </c>
      <c r="DH837" s="319" t="s">
        <v>190</v>
      </c>
      <c r="DI837" s="319" t="s">
        <v>190</v>
      </c>
      <c r="DJ837" s="319" t="s">
        <v>190</v>
      </c>
      <c r="DK837" s="319" t="s">
        <v>190</v>
      </c>
      <c r="DL837" s="319" t="s">
        <v>190</v>
      </c>
      <c r="DM837" s="319" t="s">
        <v>190</v>
      </c>
      <c r="DN837" s="319" t="s">
        <v>429</v>
      </c>
      <c r="DO837" s="319" t="s">
        <v>190</v>
      </c>
      <c r="DP837" s="319" t="s">
        <v>429</v>
      </c>
      <c r="DQ837" s="319" t="s">
        <v>429</v>
      </c>
      <c r="DR837" s="319" t="s">
        <v>429</v>
      </c>
      <c r="DS837" s="319" t="s">
        <v>429</v>
      </c>
      <c r="DT837" s="319" t="s">
        <v>429</v>
      </c>
      <c r="DU837" s="319" t="s">
        <v>429</v>
      </c>
      <c r="DV837" s="319" t="s">
        <v>173</v>
      </c>
      <c r="DW837" s="319" t="s">
        <v>429</v>
      </c>
      <c r="DX837" s="319" t="s">
        <v>429</v>
      </c>
      <c r="DY837" s="319" t="s">
        <v>429</v>
      </c>
      <c r="DZ837" s="319" t="s">
        <v>429</v>
      </c>
      <c r="EA837" s="319" t="s">
        <v>429</v>
      </c>
      <c r="EB837" s="319" t="s">
        <v>429</v>
      </c>
      <c r="EC837" s="319" t="s">
        <v>429</v>
      </c>
      <c r="ED837" s="319" t="s">
        <v>429</v>
      </c>
      <c r="EE837" s="319" t="s">
        <v>190</v>
      </c>
      <c r="EF837" s="319" t="s">
        <v>190</v>
      </c>
      <c r="EG837" s="319" t="s">
        <v>190</v>
      </c>
      <c r="EH837" s="319" t="s">
        <v>190</v>
      </c>
      <c r="EI837" s="319" t="s">
        <v>190</v>
      </c>
      <c r="EJ837" s="319" t="s">
        <v>190</v>
      </c>
      <c r="EK837" s="319" t="s">
        <v>190</v>
      </c>
      <c r="EL837" s="319" t="s">
        <v>190</v>
      </c>
      <c r="EM837" s="319" t="s">
        <v>429</v>
      </c>
      <c r="EN837" s="319" t="s">
        <v>190</v>
      </c>
      <c r="EO837" s="319" t="s">
        <v>190</v>
      </c>
      <c r="EP837" s="319" t="s">
        <v>190</v>
      </c>
      <c r="EQ837" s="319" t="s">
        <v>190</v>
      </c>
      <c r="ER837" s="319" t="s">
        <v>190</v>
      </c>
      <c r="ES837" s="319" t="s">
        <v>190</v>
      </c>
      <c r="ET837" s="319" t="s">
        <v>190</v>
      </c>
      <c r="EU837" s="319" t="s">
        <v>190</v>
      </c>
      <c r="EV837" s="319" t="s">
        <v>190</v>
      </c>
      <c r="EW837" s="319" t="s">
        <v>190</v>
      </c>
      <c r="EX837" s="319" t="s">
        <v>190</v>
      </c>
      <c r="EY837" s="319" t="s">
        <v>190</v>
      </c>
      <c r="EZ837" s="319" t="s">
        <v>190</v>
      </c>
      <c r="FA837" s="319" t="s">
        <v>429</v>
      </c>
      <c r="FB837" s="319" t="s">
        <v>429</v>
      </c>
      <c r="FC837" s="319" t="s">
        <v>429</v>
      </c>
      <c r="FD837" s="319" t="s">
        <v>429</v>
      </c>
      <c r="FE837" s="319" t="s">
        <v>429</v>
      </c>
      <c r="FF837" s="319" t="s">
        <v>429</v>
      </c>
      <c r="FG837" s="319" t="s">
        <v>429</v>
      </c>
      <c r="FH837" s="319" t="s">
        <v>190</v>
      </c>
      <c r="FI837" s="319" t="s">
        <v>190</v>
      </c>
      <c r="FJ837" s="319" t="s">
        <v>190</v>
      </c>
      <c r="FK837" s="319" t="s">
        <v>190</v>
      </c>
      <c r="FL837" s="319" t="s">
        <v>190</v>
      </c>
      <c r="FM837" s="319" t="s">
        <v>190</v>
      </c>
      <c r="FN837" s="319" t="s">
        <v>190</v>
      </c>
      <c r="FO837" s="319" t="s">
        <v>190</v>
      </c>
      <c r="FP837" s="319" t="s">
        <v>190</v>
      </c>
      <c r="FQ837" s="319" t="s">
        <v>190</v>
      </c>
      <c r="FR837" s="319" t="s">
        <v>190</v>
      </c>
      <c r="FS837" s="319" t="s">
        <v>429</v>
      </c>
      <c r="FT837" s="319" t="s">
        <v>190</v>
      </c>
      <c r="FU837" s="319" t="s">
        <v>190</v>
      </c>
      <c r="FV837" s="319" t="s">
        <v>190</v>
      </c>
      <c r="FW837" s="319" t="s">
        <v>190</v>
      </c>
      <c r="FX837" s="319" t="s">
        <v>190</v>
      </c>
      <c r="FY837" s="319" t="s">
        <v>190</v>
      </c>
      <c r="FZ837" s="319" t="s">
        <v>190</v>
      </c>
      <c r="GA837" s="319" t="s">
        <v>190</v>
      </c>
      <c r="GB837" s="319" t="s">
        <v>190</v>
      </c>
      <c r="GC837" s="319" t="s">
        <v>190</v>
      </c>
      <c r="GD837" s="319" t="s">
        <v>190</v>
      </c>
      <c r="GE837" s="319" t="s">
        <v>190</v>
      </c>
      <c r="GF837" s="319" t="s">
        <v>190</v>
      </c>
      <c r="GG837" s="319" t="s">
        <v>190</v>
      </c>
      <c r="GH837" s="319" t="s">
        <v>190</v>
      </c>
      <c r="GI837" s="319" t="s">
        <v>190</v>
      </c>
      <c r="GJ837" s="319" t="s">
        <v>190</v>
      </c>
      <c r="GK837" s="319" t="s">
        <v>429</v>
      </c>
      <c r="GL837" s="319" t="s">
        <v>190</v>
      </c>
      <c r="GM837" s="319" t="s">
        <v>190</v>
      </c>
      <c r="GN837" s="319" t="s">
        <v>190</v>
      </c>
      <c r="GO837" s="319" t="s">
        <v>190</v>
      </c>
      <c r="GP837" s="319" t="s">
        <v>190</v>
      </c>
      <c r="GQ837" s="319" t="s">
        <v>429</v>
      </c>
      <c r="GR837" s="319" t="s">
        <v>190</v>
      </c>
      <c r="GS837" s="319" t="s">
        <v>190</v>
      </c>
      <c r="GT837" s="319" t="s">
        <v>190</v>
      </c>
      <c r="GU837" s="319" t="s">
        <v>190</v>
      </c>
      <c r="GV837" s="319" t="s">
        <v>429</v>
      </c>
      <c r="GW837" s="319" t="s">
        <v>190</v>
      </c>
      <c r="GX837" s="319" t="s">
        <v>190</v>
      </c>
      <c r="GY837" s="319" t="s">
        <v>190</v>
      </c>
      <c r="GZ837" s="319" t="s">
        <v>429</v>
      </c>
      <c r="HA837" s="319" t="s">
        <v>190</v>
      </c>
      <c r="HB837" s="319" t="s">
        <v>190</v>
      </c>
      <c r="HC837" s="319" t="s">
        <v>190</v>
      </c>
      <c r="HD837" s="319" t="s">
        <v>190</v>
      </c>
      <c r="HE837" s="319" t="s">
        <v>190</v>
      </c>
      <c r="HF837" s="319" t="s">
        <v>190</v>
      </c>
      <c r="HG837" s="319" t="s">
        <v>190</v>
      </c>
      <c r="HH837" s="319" t="s">
        <v>190</v>
      </c>
      <c r="HI837" s="319" t="s">
        <v>190</v>
      </c>
      <c r="HJ837" s="319" t="s">
        <v>190</v>
      </c>
      <c r="HK837" s="319" t="s">
        <v>190</v>
      </c>
      <c r="HL837" s="319" t="s">
        <v>429</v>
      </c>
      <c r="HM837" s="319" t="s">
        <v>429</v>
      </c>
      <c r="HN837" s="319" t="s">
        <v>429</v>
      </c>
      <c r="HO837" s="319" t="s">
        <v>429</v>
      </c>
      <c r="HP837" s="319" t="s">
        <v>190</v>
      </c>
      <c r="HQ837" s="319" t="s">
        <v>190</v>
      </c>
      <c r="HR837" s="319" t="s">
        <v>190</v>
      </c>
      <c r="HS837" s="319" t="s">
        <v>190</v>
      </c>
      <c r="HT837" s="319" t="s">
        <v>190</v>
      </c>
      <c r="HU837" s="319" t="s">
        <v>190</v>
      </c>
      <c r="HV837" s="319" t="s">
        <v>190</v>
      </c>
      <c r="HW837" s="319" t="s">
        <v>190</v>
      </c>
      <c r="HX837" s="319" t="s">
        <v>190</v>
      </c>
      <c r="HY837" s="319" t="s">
        <v>190</v>
      </c>
      <c r="HZ837" s="319" t="s">
        <v>190</v>
      </c>
      <c r="IA837" s="319" t="s">
        <v>190</v>
      </c>
      <c r="IB837" s="319" t="s">
        <v>190</v>
      </c>
      <c r="IC837" s="319" t="s">
        <v>190</v>
      </c>
      <c r="ID837" s="319" t="s">
        <v>190</v>
      </c>
      <c r="IE837" s="319" t="s">
        <v>190</v>
      </c>
      <c r="IF837" s="319" t="s">
        <v>190</v>
      </c>
      <c r="IG837" s="319" t="s">
        <v>190</v>
      </c>
      <c r="IH837" s="319" t="s">
        <v>190</v>
      </c>
      <c r="II837" s="319" t="s">
        <v>190</v>
      </c>
      <c r="IJ837" s="319" t="s">
        <v>173</v>
      </c>
      <c r="IK837" s="319" t="s">
        <v>173</v>
      </c>
      <c r="IL837" s="319" t="s">
        <v>173</v>
      </c>
      <c r="IM837" s="319" t="s">
        <v>173</v>
      </c>
      <c r="IN837" s="319" t="s">
        <v>173</v>
      </c>
      <c r="IO837" s="319" t="s">
        <v>173</v>
      </c>
      <c r="IP837" s="319" t="s">
        <v>173</v>
      </c>
      <c r="IQ837" s="321" t="s">
        <v>173</v>
      </c>
      <c r="IR837" s="320" t="s">
        <v>173</v>
      </c>
      <c r="IS837" s="322" t="s">
        <v>173</v>
      </c>
      <c r="IT837" s="319" t="s">
        <v>173</v>
      </c>
    </row>
    <row r="838" spans="1:254" s="271" customFormat="1" x14ac:dyDescent="0.25">
      <c r="A838" s="318" t="str">
        <f>HYPERLINK("http://www.ofsted.gov.uk/inspection-reports/find-inspection-report/provider/ELS/142568 ","Ofsted School Webpage")</f>
        <v>Ofsted School Webpage</v>
      </c>
      <c r="B838" s="319">
        <v>142568</v>
      </c>
      <c r="C838" s="319">
        <v>8876010</v>
      </c>
      <c r="D838" s="319" t="s">
        <v>2340</v>
      </c>
      <c r="E838" s="319" t="s">
        <v>167</v>
      </c>
      <c r="F838" s="319" t="s">
        <v>81</v>
      </c>
      <c r="G838" s="319" t="s">
        <v>81</v>
      </c>
      <c r="H838" s="319" t="s">
        <v>81</v>
      </c>
      <c r="I838" s="319" t="s">
        <v>78</v>
      </c>
      <c r="J838" s="319" t="s">
        <v>424</v>
      </c>
      <c r="K838" s="319" t="s">
        <v>514</v>
      </c>
      <c r="L838" s="319" t="s">
        <v>514</v>
      </c>
      <c r="M838" s="319" t="s">
        <v>704</v>
      </c>
      <c r="N838" s="319" t="s">
        <v>2980</v>
      </c>
      <c r="O838" s="319" t="s">
        <v>2341</v>
      </c>
      <c r="P838" s="319">
        <v>26</v>
      </c>
      <c r="Q838" s="319" t="s">
        <v>2766</v>
      </c>
      <c r="R838" s="320">
        <v>10085999</v>
      </c>
      <c r="S838" s="321">
        <v>43585</v>
      </c>
      <c r="T838" s="321">
        <v>43587</v>
      </c>
      <c r="U838" s="321">
        <v>43619</v>
      </c>
      <c r="V838" s="319" t="s">
        <v>425</v>
      </c>
      <c r="W838" s="319" t="s">
        <v>2767</v>
      </c>
      <c r="X838" s="319">
        <v>2</v>
      </c>
      <c r="Y838" s="319" t="s">
        <v>173</v>
      </c>
      <c r="Z838" s="319" t="s">
        <v>173</v>
      </c>
      <c r="AA838" s="319" t="s">
        <v>173</v>
      </c>
      <c r="AB838" s="319">
        <v>1</v>
      </c>
      <c r="AC838" s="319" t="s">
        <v>169</v>
      </c>
      <c r="AD838" s="319" t="s">
        <v>173</v>
      </c>
      <c r="AE838" s="319" t="s">
        <v>173</v>
      </c>
      <c r="AF838" s="319" t="s">
        <v>427</v>
      </c>
      <c r="AG838" s="319" t="s">
        <v>171</v>
      </c>
      <c r="AH838" s="319" t="s">
        <v>190</v>
      </c>
      <c r="AI838" s="319" t="s">
        <v>190</v>
      </c>
      <c r="AJ838" s="319" t="s">
        <v>190</v>
      </c>
      <c r="AK838" s="319" t="s">
        <v>190</v>
      </c>
      <c r="AL838" s="319" t="s">
        <v>190</v>
      </c>
      <c r="AM838" s="319" t="s">
        <v>190</v>
      </c>
      <c r="AN838" s="319" t="s">
        <v>190</v>
      </c>
      <c r="AO838" s="319" t="s">
        <v>190</v>
      </c>
      <c r="AP838" s="319" t="s">
        <v>190</v>
      </c>
      <c r="AQ838" s="319" t="s">
        <v>190</v>
      </c>
      <c r="AR838" s="319" t="s">
        <v>190</v>
      </c>
      <c r="AS838" s="319" t="s">
        <v>190</v>
      </c>
      <c r="AT838" s="319" t="s">
        <v>190</v>
      </c>
      <c r="AU838" s="319" t="s">
        <v>190</v>
      </c>
      <c r="AV838" s="319" t="s">
        <v>190</v>
      </c>
      <c r="AW838" s="319" t="s">
        <v>190</v>
      </c>
      <c r="AX838" s="319" t="s">
        <v>428</v>
      </c>
      <c r="AY838" s="319" t="s">
        <v>190</v>
      </c>
      <c r="AZ838" s="319" t="s">
        <v>190</v>
      </c>
      <c r="BA838" s="319" t="s">
        <v>190</v>
      </c>
      <c r="BB838" s="319" t="s">
        <v>190</v>
      </c>
      <c r="BC838" s="319" t="s">
        <v>190</v>
      </c>
      <c r="BD838" s="319" t="s">
        <v>190</v>
      </c>
      <c r="BE838" s="319" t="s">
        <v>190</v>
      </c>
      <c r="BF838" s="319" t="s">
        <v>428</v>
      </c>
      <c r="BG838" s="319" t="s">
        <v>428</v>
      </c>
      <c r="BH838" s="319" t="s">
        <v>190</v>
      </c>
      <c r="BI838" s="319" t="s">
        <v>190</v>
      </c>
      <c r="BJ838" s="319" t="s">
        <v>190</v>
      </c>
      <c r="BK838" s="319" t="s">
        <v>190</v>
      </c>
      <c r="BL838" s="319" t="s">
        <v>190</v>
      </c>
      <c r="BM838" s="319" t="s">
        <v>190</v>
      </c>
      <c r="BN838" s="319" t="s">
        <v>190</v>
      </c>
      <c r="BO838" s="319" t="s">
        <v>190</v>
      </c>
      <c r="BP838" s="319" t="s">
        <v>190</v>
      </c>
      <c r="BQ838" s="319" t="s">
        <v>190</v>
      </c>
      <c r="BR838" s="319" t="s">
        <v>190</v>
      </c>
      <c r="BS838" s="319" t="s">
        <v>190</v>
      </c>
      <c r="BT838" s="319" t="s">
        <v>190</v>
      </c>
      <c r="BU838" s="319" t="s">
        <v>190</v>
      </c>
      <c r="BV838" s="319" t="s">
        <v>190</v>
      </c>
      <c r="BW838" s="319" t="s">
        <v>190</v>
      </c>
      <c r="BX838" s="319" t="s">
        <v>190</v>
      </c>
      <c r="BY838" s="319" t="s">
        <v>190</v>
      </c>
      <c r="BZ838" s="319" t="s">
        <v>190</v>
      </c>
      <c r="CA838" s="319" t="s">
        <v>190</v>
      </c>
      <c r="CB838" s="319" t="s">
        <v>190</v>
      </c>
      <c r="CC838" s="319" t="s">
        <v>190</v>
      </c>
      <c r="CD838" s="319" t="s">
        <v>190</v>
      </c>
      <c r="CE838" s="319" t="s">
        <v>190</v>
      </c>
      <c r="CF838" s="319" t="s">
        <v>190</v>
      </c>
      <c r="CG838" s="319" t="s">
        <v>190</v>
      </c>
      <c r="CH838" s="319" t="s">
        <v>190</v>
      </c>
      <c r="CI838" s="319" t="s">
        <v>190</v>
      </c>
      <c r="CJ838" s="319" t="s">
        <v>190</v>
      </c>
      <c r="CK838" s="319" t="s">
        <v>190</v>
      </c>
      <c r="CL838" s="319" t="s">
        <v>190</v>
      </c>
      <c r="CM838" s="319" t="s">
        <v>190</v>
      </c>
      <c r="CN838" s="319" t="s">
        <v>428</v>
      </c>
      <c r="CO838" s="319" t="s">
        <v>428</v>
      </c>
      <c r="CP838" s="319" t="s">
        <v>428</v>
      </c>
      <c r="CQ838" s="319" t="s">
        <v>190</v>
      </c>
      <c r="CR838" s="319" t="s">
        <v>190</v>
      </c>
      <c r="CS838" s="319" t="s">
        <v>190</v>
      </c>
      <c r="CT838" s="319" t="s">
        <v>190</v>
      </c>
      <c r="CU838" s="319" t="s">
        <v>190</v>
      </c>
      <c r="CV838" s="319" t="s">
        <v>190</v>
      </c>
      <c r="CW838" s="319" t="s">
        <v>190</v>
      </c>
      <c r="CX838" s="319" t="s">
        <v>190</v>
      </c>
      <c r="CY838" s="319" t="s">
        <v>190</v>
      </c>
      <c r="CZ838" s="319" t="s">
        <v>190</v>
      </c>
      <c r="DA838" s="319" t="s">
        <v>190</v>
      </c>
      <c r="DB838" s="319" t="s">
        <v>190</v>
      </c>
      <c r="DC838" s="319" t="s">
        <v>190</v>
      </c>
      <c r="DD838" s="319" t="s">
        <v>190</v>
      </c>
      <c r="DE838" s="319" t="s">
        <v>190</v>
      </c>
      <c r="DF838" s="319" t="s">
        <v>190</v>
      </c>
      <c r="DG838" s="319" t="s">
        <v>190</v>
      </c>
      <c r="DH838" s="319" t="s">
        <v>190</v>
      </c>
      <c r="DI838" s="319" t="s">
        <v>190</v>
      </c>
      <c r="DJ838" s="319" t="s">
        <v>190</v>
      </c>
      <c r="DK838" s="319" t="s">
        <v>190</v>
      </c>
      <c r="DL838" s="319" t="s">
        <v>190</v>
      </c>
      <c r="DM838" s="319" t="s">
        <v>190</v>
      </c>
      <c r="DN838" s="319" t="s">
        <v>428</v>
      </c>
      <c r="DO838" s="319" t="s">
        <v>190</v>
      </c>
      <c r="DP838" s="319" t="s">
        <v>190</v>
      </c>
      <c r="DQ838" s="319" t="s">
        <v>190</v>
      </c>
      <c r="DR838" s="319" t="s">
        <v>190</v>
      </c>
      <c r="DS838" s="319" t="s">
        <v>190</v>
      </c>
      <c r="DT838" s="319" t="s">
        <v>190</v>
      </c>
      <c r="DU838" s="319" t="s">
        <v>190</v>
      </c>
      <c r="DV838" s="319" t="s">
        <v>173</v>
      </c>
      <c r="DW838" s="319" t="s">
        <v>190</v>
      </c>
      <c r="DX838" s="319" t="s">
        <v>190</v>
      </c>
      <c r="DY838" s="319" t="s">
        <v>190</v>
      </c>
      <c r="DZ838" s="319" t="s">
        <v>190</v>
      </c>
      <c r="EA838" s="319" t="s">
        <v>190</v>
      </c>
      <c r="EB838" s="319" t="s">
        <v>190</v>
      </c>
      <c r="EC838" s="319" t="s">
        <v>428</v>
      </c>
      <c r="ED838" s="319" t="s">
        <v>190</v>
      </c>
      <c r="EE838" s="319" t="s">
        <v>190</v>
      </c>
      <c r="EF838" s="319" t="s">
        <v>190</v>
      </c>
      <c r="EG838" s="319" t="s">
        <v>190</v>
      </c>
      <c r="EH838" s="319" t="s">
        <v>190</v>
      </c>
      <c r="EI838" s="319" t="s">
        <v>190</v>
      </c>
      <c r="EJ838" s="319" t="s">
        <v>190</v>
      </c>
      <c r="EK838" s="319" t="s">
        <v>190</v>
      </c>
      <c r="EL838" s="319" t="s">
        <v>190</v>
      </c>
      <c r="EM838" s="319" t="s">
        <v>190</v>
      </c>
      <c r="EN838" s="319" t="s">
        <v>190</v>
      </c>
      <c r="EO838" s="319" t="s">
        <v>190</v>
      </c>
      <c r="EP838" s="319" t="s">
        <v>190</v>
      </c>
      <c r="EQ838" s="319" t="s">
        <v>190</v>
      </c>
      <c r="ER838" s="319" t="s">
        <v>190</v>
      </c>
      <c r="ES838" s="319" t="s">
        <v>190</v>
      </c>
      <c r="ET838" s="319" t="s">
        <v>190</v>
      </c>
      <c r="EU838" s="319" t="s">
        <v>190</v>
      </c>
      <c r="EV838" s="319" t="s">
        <v>190</v>
      </c>
      <c r="EW838" s="319" t="s">
        <v>190</v>
      </c>
      <c r="EX838" s="319" t="s">
        <v>190</v>
      </c>
      <c r="EY838" s="319" t="s">
        <v>190</v>
      </c>
      <c r="EZ838" s="319" t="s">
        <v>190</v>
      </c>
      <c r="FA838" s="319" t="s">
        <v>190</v>
      </c>
      <c r="FB838" s="319" t="s">
        <v>190</v>
      </c>
      <c r="FC838" s="319" t="s">
        <v>190</v>
      </c>
      <c r="FD838" s="319" t="s">
        <v>190</v>
      </c>
      <c r="FE838" s="319" t="s">
        <v>190</v>
      </c>
      <c r="FF838" s="319" t="s">
        <v>190</v>
      </c>
      <c r="FG838" s="319" t="s">
        <v>190</v>
      </c>
      <c r="FH838" s="319" t="s">
        <v>190</v>
      </c>
      <c r="FI838" s="319" t="s">
        <v>190</v>
      </c>
      <c r="FJ838" s="319" t="s">
        <v>190</v>
      </c>
      <c r="FK838" s="319" t="s">
        <v>190</v>
      </c>
      <c r="FL838" s="319" t="s">
        <v>190</v>
      </c>
      <c r="FM838" s="319" t="s">
        <v>190</v>
      </c>
      <c r="FN838" s="319" t="s">
        <v>190</v>
      </c>
      <c r="FO838" s="319" t="s">
        <v>190</v>
      </c>
      <c r="FP838" s="319" t="s">
        <v>190</v>
      </c>
      <c r="FQ838" s="319" t="s">
        <v>190</v>
      </c>
      <c r="FR838" s="319" t="s">
        <v>190</v>
      </c>
      <c r="FS838" s="319" t="s">
        <v>428</v>
      </c>
      <c r="FT838" s="319" t="s">
        <v>190</v>
      </c>
      <c r="FU838" s="319" t="s">
        <v>190</v>
      </c>
      <c r="FV838" s="319" t="s">
        <v>190</v>
      </c>
      <c r="FW838" s="319" t="s">
        <v>190</v>
      </c>
      <c r="FX838" s="319" t="s">
        <v>190</v>
      </c>
      <c r="FY838" s="319" t="s">
        <v>190</v>
      </c>
      <c r="FZ838" s="319" t="s">
        <v>190</v>
      </c>
      <c r="GA838" s="319" t="s">
        <v>190</v>
      </c>
      <c r="GB838" s="319" t="s">
        <v>190</v>
      </c>
      <c r="GC838" s="319" t="s">
        <v>190</v>
      </c>
      <c r="GD838" s="319" t="s">
        <v>190</v>
      </c>
      <c r="GE838" s="319" t="s">
        <v>190</v>
      </c>
      <c r="GF838" s="319" t="s">
        <v>190</v>
      </c>
      <c r="GG838" s="319" t="s">
        <v>190</v>
      </c>
      <c r="GH838" s="319" t="s">
        <v>190</v>
      </c>
      <c r="GI838" s="319" t="s">
        <v>190</v>
      </c>
      <c r="GJ838" s="319" t="s">
        <v>190</v>
      </c>
      <c r="GK838" s="319" t="s">
        <v>428</v>
      </c>
      <c r="GL838" s="319" t="s">
        <v>190</v>
      </c>
      <c r="GM838" s="319" t="s">
        <v>190</v>
      </c>
      <c r="GN838" s="319" t="s">
        <v>190</v>
      </c>
      <c r="GO838" s="319" t="s">
        <v>190</v>
      </c>
      <c r="GP838" s="319" t="s">
        <v>190</v>
      </c>
      <c r="GQ838" s="319" t="s">
        <v>428</v>
      </c>
      <c r="GR838" s="319" t="s">
        <v>190</v>
      </c>
      <c r="GS838" s="319" t="s">
        <v>190</v>
      </c>
      <c r="GT838" s="319" t="s">
        <v>190</v>
      </c>
      <c r="GU838" s="319" t="s">
        <v>190</v>
      </c>
      <c r="GV838" s="319" t="s">
        <v>190</v>
      </c>
      <c r="GW838" s="319" t="s">
        <v>190</v>
      </c>
      <c r="GX838" s="319" t="s">
        <v>190</v>
      </c>
      <c r="GY838" s="319" t="s">
        <v>190</v>
      </c>
      <c r="GZ838" s="319" t="s">
        <v>190</v>
      </c>
      <c r="HA838" s="319" t="s">
        <v>190</v>
      </c>
      <c r="HB838" s="319" t="s">
        <v>190</v>
      </c>
      <c r="HC838" s="319" t="s">
        <v>190</v>
      </c>
      <c r="HD838" s="319" t="s">
        <v>190</v>
      </c>
      <c r="HE838" s="319" t="s">
        <v>190</v>
      </c>
      <c r="HF838" s="319" t="s">
        <v>190</v>
      </c>
      <c r="HG838" s="319" t="s">
        <v>190</v>
      </c>
      <c r="HH838" s="319" t="s">
        <v>190</v>
      </c>
      <c r="HI838" s="319" t="s">
        <v>190</v>
      </c>
      <c r="HJ838" s="319" t="s">
        <v>190</v>
      </c>
      <c r="HK838" s="319" t="s">
        <v>190</v>
      </c>
      <c r="HL838" s="319" t="s">
        <v>428</v>
      </c>
      <c r="HM838" s="319" t="s">
        <v>428</v>
      </c>
      <c r="HN838" s="319" t="s">
        <v>428</v>
      </c>
      <c r="HO838" s="319" t="s">
        <v>428</v>
      </c>
      <c r="HP838" s="319" t="s">
        <v>190</v>
      </c>
      <c r="HQ838" s="319" t="s">
        <v>190</v>
      </c>
      <c r="HR838" s="319" t="s">
        <v>190</v>
      </c>
      <c r="HS838" s="319" t="s">
        <v>190</v>
      </c>
      <c r="HT838" s="319" t="s">
        <v>190</v>
      </c>
      <c r="HU838" s="319" t="s">
        <v>190</v>
      </c>
      <c r="HV838" s="319" t="s">
        <v>190</v>
      </c>
      <c r="HW838" s="319" t="s">
        <v>190</v>
      </c>
      <c r="HX838" s="319" t="s">
        <v>190</v>
      </c>
      <c r="HY838" s="319" t="s">
        <v>190</v>
      </c>
      <c r="HZ838" s="319" t="s">
        <v>190</v>
      </c>
      <c r="IA838" s="319" t="s">
        <v>190</v>
      </c>
      <c r="IB838" s="319" t="s">
        <v>190</v>
      </c>
      <c r="IC838" s="319" t="s">
        <v>190</v>
      </c>
      <c r="ID838" s="319" t="s">
        <v>190</v>
      </c>
      <c r="IE838" s="319" t="s">
        <v>190</v>
      </c>
      <c r="IF838" s="319" t="s">
        <v>190</v>
      </c>
      <c r="IG838" s="319" t="s">
        <v>190</v>
      </c>
      <c r="IH838" s="319" t="s">
        <v>190</v>
      </c>
      <c r="II838" s="319" t="s">
        <v>190</v>
      </c>
      <c r="IJ838" s="319">
        <v>10044261</v>
      </c>
      <c r="IK838" s="321">
        <v>43116</v>
      </c>
      <c r="IL838" s="321">
        <v>43118</v>
      </c>
      <c r="IM838" s="321">
        <v>43137</v>
      </c>
      <c r="IN838" s="319">
        <v>3</v>
      </c>
      <c r="IO838" s="319" t="s">
        <v>173</v>
      </c>
      <c r="IP838" s="319" t="s">
        <v>173</v>
      </c>
      <c r="IQ838" s="319" t="s">
        <v>173</v>
      </c>
      <c r="IR838" s="320" t="s">
        <v>173</v>
      </c>
      <c r="IS838" s="320" t="s">
        <v>173</v>
      </c>
      <c r="IT838" s="319" t="s">
        <v>173</v>
      </c>
    </row>
    <row r="839" spans="1:254" s="271" customFormat="1" x14ac:dyDescent="0.25">
      <c r="A839" s="318" t="str">
        <f>HYPERLINK("http://www.ofsted.gov.uk/inspection-reports/find-inspection-report/provider/ELS/142572 ","Ofsted School Webpage")</f>
        <v>Ofsted School Webpage</v>
      </c>
      <c r="B839" s="319">
        <v>142572</v>
      </c>
      <c r="C839" s="319">
        <v>2046012</v>
      </c>
      <c r="D839" s="319" t="s">
        <v>821</v>
      </c>
      <c r="E839" s="319" t="s">
        <v>167</v>
      </c>
      <c r="F839" s="319" t="s">
        <v>81</v>
      </c>
      <c r="G839" s="319" t="s">
        <v>69</v>
      </c>
      <c r="H839" s="319" t="s">
        <v>69</v>
      </c>
      <c r="I839" s="319" t="s">
        <v>69</v>
      </c>
      <c r="J839" s="319" t="s">
        <v>424</v>
      </c>
      <c r="K839" s="319" t="s">
        <v>441</v>
      </c>
      <c r="L839" s="319" t="s">
        <v>441</v>
      </c>
      <c r="M839" s="319" t="s">
        <v>547</v>
      </c>
      <c r="N839" s="319" t="s">
        <v>2774</v>
      </c>
      <c r="O839" s="319" t="s">
        <v>822</v>
      </c>
      <c r="P839" s="319">
        <v>38</v>
      </c>
      <c r="Q839" s="319" t="s">
        <v>2766</v>
      </c>
      <c r="R839" s="320">
        <v>10055490</v>
      </c>
      <c r="S839" s="321">
        <v>43480</v>
      </c>
      <c r="T839" s="321">
        <v>43482</v>
      </c>
      <c r="U839" s="321">
        <v>43503</v>
      </c>
      <c r="V839" s="319" t="s">
        <v>425</v>
      </c>
      <c r="W839" s="319" t="s">
        <v>2767</v>
      </c>
      <c r="X839" s="319">
        <v>2</v>
      </c>
      <c r="Y839" s="319" t="s">
        <v>173</v>
      </c>
      <c r="Z839" s="319" t="s">
        <v>173</v>
      </c>
      <c r="AA839" s="319" t="s">
        <v>173</v>
      </c>
      <c r="AB839" s="319">
        <v>2</v>
      </c>
      <c r="AC839" s="319" t="s">
        <v>169</v>
      </c>
      <c r="AD839" s="319" t="s">
        <v>173</v>
      </c>
      <c r="AE839" s="319" t="s">
        <v>173</v>
      </c>
      <c r="AF839" s="319" t="s">
        <v>447</v>
      </c>
      <c r="AG839" s="319" t="s">
        <v>171</v>
      </c>
      <c r="AH839" s="319" t="s">
        <v>190</v>
      </c>
      <c r="AI839" s="319" t="s">
        <v>190</v>
      </c>
      <c r="AJ839" s="319" t="s">
        <v>190</v>
      </c>
      <c r="AK839" s="319" t="s">
        <v>190</v>
      </c>
      <c r="AL839" s="319" t="s">
        <v>190</v>
      </c>
      <c r="AM839" s="319" t="s">
        <v>190</v>
      </c>
      <c r="AN839" s="319" t="s">
        <v>190</v>
      </c>
      <c r="AO839" s="319" t="s">
        <v>190</v>
      </c>
      <c r="AP839" s="319" t="s">
        <v>190</v>
      </c>
      <c r="AQ839" s="319" t="s">
        <v>190</v>
      </c>
      <c r="AR839" s="319" t="s">
        <v>190</v>
      </c>
      <c r="AS839" s="319" t="s">
        <v>190</v>
      </c>
      <c r="AT839" s="319" t="s">
        <v>190</v>
      </c>
      <c r="AU839" s="319" t="s">
        <v>190</v>
      </c>
      <c r="AV839" s="319" t="s">
        <v>190</v>
      </c>
      <c r="AW839" s="319" t="s">
        <v>190</v>
      </c>
      <c r="AX839" s="319" t="s">
        <v>190</v>
      </c>
      <c r="AY839" s="319" t="s">
        <v>190</v>
      </c>
      <c r="AZ839" s="319" t="s">
        <v>190</v>
      </c>
      <c r="BA839" s="319" t="s">
        <v>190</v>
      </c>
      <c r="BB839" s="319" t="s">
        <v>428</v>
      </c>
      <c r="BC839" s="319" t="s">
        <v>428</v>
      </c>
      <c r="BD839" s="319" t="s">
        <v>428</v>
      </c>
      <c r="BE839" s="319" t="s">
        <v>428</v>
      </c>
      <c r="BF839" s="319" t="s">
        <v>428</v>
      </c>
      <c r="BG839" s="319" t="s">
        <v>428</v>
      </c>
      <c r="BH839" s="319" t="s">
        <v>190</v>
      </c>
      <c r="BI839" s="319" t="s">
        <v>190</v>
      </c>
      <c r="BJ839" s="319" t="s">
        <v>190</v>
      </c>
      <c r="BK839" s="319" t="s">
        <v>190</v>
      </c>
      <c r="BL839" s="319" t="s">
        <v>190</v>
      </c>
      <c r="BM839" s="319" t="s">
        <v>190</v>
      </c>
      <c r="BN839" s="319" t="s">
        <v>190</v>
      </c>
      <c r="BO839" s="319" t="s">
        <v>190</v>
      </c>
      <c r="BP839" s="319" t="s">
        <v>190</v>
      </c>
      <c r="BQ839" s="319" t="s">
        <v>190</v>
      </c>
      <c r="BR839" s="319" t="s">
        <v>190</v>
      </c>
      <c r="BS839" s="319" t="s">
        <v>190</v>
      </c>
      <c r="BT839" s="319" t="s">
        <v>190</v>
      </c>
      <c r="BU839" s="319" t="s">
        <v>190</v>
      </c>
      <c r="BV839" s="319" t="s">
        <v>190</v>
      </c>
      <c r="BW839" s="319" t="s">
        <v>190</v>
      </c>
      <c r="BX839" s="319" t="s">
        <v>190</v>
      </c>
      <c r="BY839" s="319" t="s">
        <v>190</v>
      </c>
      <c r="BZ839" s="319" t="s">
        <v>190</v>
      </c>
      <c r="CA839" s="319" t="s">
        <v>190</v>
      </c>
      <c r="CB839" s="319" t="s">
        <v>190</v>
      </c>
      <c r="CC839" s="319" t="s">
        <v>190</v>
      </c>
      <c r="CD839" s="319" t="s">
        <v>190</v>
      </c>
      <c r="CE839" s="319" t="s">
        <v>190</v>
      </c>
      <c r="CF839" s="319" t="s">
        <v>190</v>
      </c>
      <c r="CG839" s="319" t="s">
        <v>190</v>
      </c>
      <c r="CH839" s="319" t="s">
        <v>190</v>
      </c>
      <c r="CI839" s="319" t="s">
        <v>190</v>
      </c>
      <c r="CJ839" s="319" t="s">
        <v>190</v>
      </c>
      <c r="CK839" s="319" t="s">
        <v>190</v>
      </c>
      <c r="CL839" s="319" t="s">
        <v>190</v>
      </c>
      <c r="CM839" s="319" t="s">
        <v>190</v>
      </c>
      <c r="CN839" s="319" t="s">
        <v>428</v>
      </c>
      <c r="CO839" s="319" t="s">
        <v>428</v>
      </c>
      <c r="CP839" s="319" t="s">
        <v>428</v>
      </c>
      <c r="CQ839" s="319" t="s">
        <v>190</v>
      </c>
      <c r="CR839" s="319" t="s">
        <v>190</v>
      </c>
      <c r="CS839" s="319" t="s">
        <v>190</v>
      </c>
      <c r="CT839" s="319" t="s">
        <v>190</v>
      </c>
      <c r="CU839" s="319" t="s">
        <v>190</v>
      </c>
      <c r="CV839" s="319" t="s">
        <v>190</v>
      </c>
      <c r="CW839" s="319" t="s">
        <v>190</v>
      </c>
      <c r="CX839" s="319" t="s">
        <v>190</v>
      </c>
      <c r="CY839" s="319" t="s">
        <v>190</v>
      </c>
      <c r="CZ839" s="319" t="s">
        <v>190</v>
      </c>
      <c r="DA839" s="319" t="s">
        <v>190</v>
      </c>
      <c r="DB839" s="319" t="s">
        <v>190</v>
      </c>
      <c r="DC839" s="319" t="s">
        <v>190</v>
      </c>
      <c r="DD839" s="319" t="s">
        <v>190</v>
      </c>
      <c r="DE839" s="319" t="s">
        <v>190</v>
      </c>
      <c r="DF839" s="319" t="s">
        <v>190</v>
      </c>
      <c r="DG839" s="319" t="s">
        <v>190</v>
      </c>
      <c r="DH839" s="319" t="s">
        <v>190</v>
      </c>
      <c r="DI839" s="319" t="s">
        <v>190</v>
      </c>
      <c r="DJ839" s="319" t="s">
        <v>190</v>
      </c>
      <c r="DK839" s="319" t="s">
        <v>190</v>
      </c>
      <c r="DL839" s="319" t="s">
        <v>190</v>
      </c>
      <c r="DM839" s="319" t="s">
        <v>190</v>
      </c>
      <c r="DN839" s="319" t="s">
        <v>428</v>
      </c>
      <c r="DO839" s="319" t="s">
        <v>190</v>
      </c>
      <c r="DP839" s="319" t="s">
        <v>428</v>
      </c>
      <c r="DQ839" s="319" t="s">
        <v>428</v>
      </c>
      <c r="DR839" s="319" t="s">
        <v>428</v>
      </c>
      <c r="DS839" s="319" t="s">
        <v>428</v>
      </c>
      <c r="DT839" s="319" t="s">
        <v>428</v>
      </c>
      <c r="DU839" s="319" t="s">
        <v>428</v>
      </c>
      <c r="DV839" s="319" t="s">
        <v>173</v>
      </c>
      <c r="DW839" s="319" t="s">
        <v>428</v>
      </c>
      <c r="DX839" s="319" t="s">
        <v>428</v>
      </c>
      <c r="DY839" s="319" t="s">
        <v>428</v>
      </c>
      <c r="DZ839" s="319" t="s">
        <v>428</v>
      </c>
      <c r="EA839" s="319" t="s">
        <v>428</v>
      </c>
      <c r="EB839" s="319" t="s">
        <v>428</v>
      </c>
      <c r="EC839" s="319" t="s">
        <v>428</v>
      </c>
      <c r="ED839" s="319" t="s">
        <v>428</v>
      </c>
      <c r="EE839" s="319" t="s">
        <v>190</v>
      </c>
      <c r="EF839" s="319" t="s">
        <v>190</v>
      </c>
      <c r="EG839" s="319" t="s">
        <v>190</v>
      </c>
      <c r="EH839" s="319" t="s">
        <v>190</v>
      </c>
      <c r="EI839" s="319" t="s">
        <v>190</v>
      </c>
      <c r="EJ839" s="319" t="s">
        <v>190</v>
      </c>
      <c r="EK839" s="319" t="s">
        <v>190</v>
      </c>
      <c r="EL839" s="319" t="s">
        <v>190</v>
      </c>
      <c r="EM839" s="319" t="s">
        <v>190</v>
      </c>
      <c r="EN839" s="319" t="s">
        <v>190</v>
      </c>
      <c r="EO839" s="319" t="s">
        <v>190</v>
      </c>
      <c r="EP839" s="319" t="s">
        <v>190</v>
      </c>
      <c r="EQ839" s="319" t="s">
        <v>190</v>
      </c>
      <c r="ER839" s="319" t="s">
        <v>190</v>
      </c>
      <c r="ES839" s="319" t="s">
        <v>190</v>
      </c>
      <c r="ET839" s="319" t="s">
        <v>190</v>
      </c>
      <c r="EU839" s="319" t="s">
        <v>190</v>
      </c>
      <c r="EV839" s="319" t="s">
        <v>190</v>
      </c>
      <c r="EW839" s="319" t="s">
        <v>190</v>
      </c>
      <c r="EX839" s="319" t="s">
        <v>190</v>
      </c>
      <c r="EY839" s="319" t="s">
        <v>190</v>
      </c>
      <c r="EZ839" s="319" t="s">
        <v>190</v>
      </c>
      <c r="FA839" s="319" t="s">
        <v>190</v>
      </c>
      <c r="FB839" s="319" t="s">
        <v>428</v>
      </c>
      <c r="FC839" s="319" t="s">
        <v>428</v>
      </c>
      <c r="FD839" s="319" t="s">
        <v>428</v>
      </c>
      <c r="FE839" s="319" t="s">
        <v>428</v>
      </c>
      <c r="FF839" s="319" t="s">
        <v>428</v>
      </c>
      <c r="FG839" s="319" t="s">
        <v>428</v>
      </c>
      <c r="FH839" s="319" t="s">
        <v>190</v>
      </c>
      <c r="FI839" s="319" t="s">
        <v>190</v>
      </c>
      <c r="FJ839" s="319" t="s">
        <v>190</v>
      </c>
      <c r="FK839" s="319" t="s">
        <v>190</v>
      </c>
      <c r="FL839" s="319" t="s">
        <v>190</v>
      </c>
      <c r="FM839" s="319" t="s">
        <v>190</v>
      </c>
      <c r="FN839" s="319" t="s">
        <v>428</v>
      </c>
      <c r="FO839" s="319" t="s">
        <v>428</v>
      </c>
      <c r="FP839" s="319" t="s">
        <v>190</v>
      </c>
      <c r="FQ839" s="319" t="s">
        <v>190</v>
      </c>
      <c r="FR839" s="319" t="s">
        <v>190</v>
      </c>
      <c r="FS839" s="319" t="s">
        <v>428</v>
      </c>
      <c r="FT839" s="319" t="s">
        <v>428</v>
      </c>
      <c r="FU839" s="319" t="s">
        <v>190</v>
      </c>
      <c r="FV839" s="319" t="s">
        <v>190</v>
      </c>
      <c r="FW839" s="319" t="s">
        <v>190</v>
      </c>
      <c r="FX839" s="319" t="s">
        <v>190</v>
      </c>
      <c r="FY839" s="319" t="s">
        <v>190</v>
      </c>
      <c r="FZ839" s="319" t="s">
        <v>190</v>
      </c>
      <c r="GA839" s="319" t="s">
        <v>190</v>
      </c>
      <c r="GB839" s="319" t="s">
        <v>190</v>
      </c>
      <c r="GC839" s="319" t="s">
        <v>190</v>
      </c>
      <c r="GD839" s="319" t="s">
        <v>190</v>
      </c>
      <c r="GE839" s="319" t="s">
        <v>190</v>
      </c>
      <c r="GF839" s="319" t="s">
        <v>190</v>
      </c>
      <c r="GG839" s="319" t="s">
        <v>190</v>
      </c>
      <c r="GH839" s="319" t="s">
        <v>190</v>
      </c>
      <c r="GI839" s="319" t="s">
        <v>190</v>
      </c>
      <c r="GJ839" s="319" t="s">
        <v>190</v>
      </c>
      <c r="GK839" s="319" t="s">
        <v>428</v>
      </c>
      <c r="GL839" s="319" t="s">
        <v>190</v>
      </c>
      <c r="GM839" s="319" t="s">
        <v>190</v>
      </c>
      <c r="GN839" s="319" t="s">
        <v>190</v>
      </c>
      <c r="GO839" s="319" t="s">
        <v>190</v>
      </c>
      <c r="GP839" s="319" t="s">
        <v>190</v>
      </c>
      <c r="GQ839" s="319" t="s">
        <v>190</v>
      </c>
      <c r="GR839" s="319" t="s">
        <v>190</v>
      </c>
      <c r="GS839" s="319" t="s">
        <v>190</v>
      </c>
      <c r="GT839" s="319" t="s">
        <v>190</v>
      </c>
      <c r="GU839" s="319" t="s">
        <v>190</v>
      </c>
      <c r="GV839" s="319" t="s">
        <v>190</v>
      </c>
      <c r="GW839" s="319" t="s">
        <v>190</v>
      </c>
      <c r="GX839" s="319" t="s">
        <v>190</v>
      </c>
      <c r="GY839" s="319" t="s">
        <v>190</v>
      </c>
      <c r="GZ839" s="319" t="s">
        <v>428</v>
      </c>
      <c r="HA839" s="319" t="s">
        <v>190</v>
      </c>
      <c r="HB839" s="319" t="s">
        <v>190</v>
      </c>
      <c r="HC839" s="319" t="s">
        <v>190</v>
      </c>
      <c r="HD839" s="319" t="s">
        <v>190</v>
      </c>
      <c r="HE839" s="319" t="s">
        <v>190</v>
      </c>
      <c r="HF839" s="319" t="s">
        <v>190</v>
      </c>
      <c r="HG839" s="319" t="s">
        <v>190</v>
      </c>
      <c r="HH839" s="319" t="s">
        <v>190</v>
      </c>
      <c r="HI839" s="319" t="s">
        <v>190</v>
      </c>
      <c r="HJ839" s="319" t="s">
        <v>190</v>
      </c>
      <c r="HK839" s="319" t="s">
        <v>190</v>
      </c>
      <c r="HL839" s="319" t="s">
        <v>190</v>
      </c>
      <c r="HM839" s="319" t="s">
        <v>428</v>
      </c>
      <c r="HN839" s="319" t="s">
        <v>428</v>
      </c>
      <c r="HO839" s="319" t="s">
        <v>428</v>
      </c>
      <c r="HP839" s="319" t="s">
        <v>190</v>
      </c>
      <c r="HQ839" s="319" t="s">
        <v>190</v>
      </c>
      <c r="HR839" s="319" t="s">
        <v>190</v>
      </c>
      <c r="HS839" s="319" t="s">
        <v>190</v>
      </c>
      <c r="HT839" s="319" t="s">
        <v>190</v>
      </c>
      <c r="HU839" s="319" t="s">
        <v>190</v>
      </c>
      <c r="HV839" s="319" t="s">
        <v>190</v>
      </c>
      <c r="HW839" s="319" t="s">
        <v>190</v>
      </c>
      <c r="HX839" s="319" t="s">
        <v>190</v>
      </c>
      <c r="HY839" s="319" t="s">
        <v>190</v>
      </c>
      <c r="HZ839" s="319" t="s">
        <v>190</v>
      </c>
      <c r="IA839" s="319" t="s">
        <v>190</v>
      </c>
      <c r="IB839" s="319" t="s">
        <v>190</v>
      </c>
      <c r="IC839" s="319" t="s">
        <v>190</v>
      </c>
      <c r="ID839" s="319" t="s">
        <v>190</v>
      </c>
      <c r="IE839" s="319" t="s">
        <v>190</v>
      </c>
      <c r="IF839" s="319" t="s">
        <v>190</v>
      </c>
      <c r="IG839" s="319" t="s">
        <v>190</v>
      </c>
      <c r="IH839" s="319" t="s">
        <v>190</v>
      </c>
      <c r="II839" s="319" t="s">
        <v>190</v>
      </c>
      <c r="IJ839" s="319">
        <v>10026300</v>
      </c>
      <c r="IK839" s="321">
        <v>42913</v>
      </c>
      <c r="IL839" s="321">
        <v>42915</v>
      </c>
      <c r="IM839" s="321">
        <v>43033</v>
      </c>
      <c r="IN839" s="319">
        <v>4</v>
      </c>
      <c r="IO839" s="319" t="s">
        <v>173</v>
      </c>
      <c r="IP839" s="319" t="s">
        <v>173</v>
      </c>
      <c r="IQ839" s="321" t="s">
        <v>173</v>
      </c>
      <c r="IR839" s="320" t="s">
        <v>173</v>
      </c>
      <c r="IS839" s="322" t="s">
        <v>173</v>
      </c>
      <c r="IT839" s="319" t="s">
        <v>173</v>
      </c>
    </row>
    <row r="840" spans="1:254" s="271" customFormat="1" x14ac:dyDescent="0.25">
      <c r="A840" s="318" t="str">
        <f>HYPERLINK("http://www.ofsted.gov.uk/inspection-reports/find-inspection-report/provider/ELS/142603 ","Ofsted School Webpage")</f>
        <v>Ofsted School Webpage</v>
      </c>
      <c r="B840" s="319">
        <v>142603</v>
      </c>
      <c r="C840" s="319">
        <v>3366001</v>
      </c>
      <c r="D840" s="319" t="s">
        <v>2342</v>
      </c>
      <c r="E840" s="319" t="s">
        <v>168</v>
      </c>
      <c r="F840" s="319" t="s">
        <v>81</v>
      </c>
      <c r="G840" s="319" t="s">
        <v>81</v>
      </c>
      <c r="H840" s="319" t="s">
        <v>81</v>
      </c>
      <c r="I840" s="319" t="s">
        <v>78</v>
      </c>
      <c r="J840" s="319" t="s">
        <v>424</v>
      </c>
      <c r="K840" s="319" t="s">
        <v>437</v>
      </c>
      <c r="L840" s="319" t="s">
        <v>437</v>
      </c>
      <c r="M840" s="319" t="s">
        <v>503</v>
      </c>
      <c r="N840" s="319" t="s">
        <v>3536</v>
      </c>
      <c r="O840" s="319" t="s">
        <v>2343</v>
      </c>
      <c r="P840" s="319">
        <v>20</v>
      </c>
      <c r="Q840" s="319" t="s">
        <v>429</v>
      </c>
      <c r="R840" s="320">
        <v>10039279</v>
      </c>
      <c r="S840" s="321">
        <v>43074</v>
      </c>
      <c r="T840" s="321">
        <v>43076</v>
      </c>
      <c r="U840" s="321">
        <v>43118</v>
      </c>
      <c r="V840" s="319" t="s">
        <v>435</v>
      </c>
      <c r="W840" s="319" t="s">
        <v>2767</v>
      </c>
      <c r="X840" s="319">
        <v>1</v>
      </c>
      <c r="Y840" s="319" t="s">
        <v>173</v>
      </c>
      <c r="Z840" s="319" t="s">
        <v>173</v>
      </c>
      <c r="AA840" s="319" t="s">
        <v>173</v>
      </c>
      <c r="AB840" s="319">
        <v>1</v>
      </c>
      <c r="AC840" s="319" t="s">
        <v>169</v>
      </c>
      <c r="AD840" s="319" t="s">
        <v>173</v>
      </c>
      <c r="AE840" s="319" t="s">
        <v>173</v>
      </c>
      <c r="AF840" s="319" t="s">
        <v>427</v>
      </c>
      <c r="AG840" s="319" t="s">
        <v>171</v>
      </c>
      <c r="AH840" s="319" t="s">
        <v>190</v>
      </c>
      <c r="AI840" s="319" t="s">
        <v>190</v>
      </c>
      <c r="AJ840" s="319" t="s">
        <v>190</v>
      </c>
      <c r="AK840" s="319" t="s">
        <v>190</v>
      </c>
      <c r="AL840" s="319" t="s">
        <v>190</v>
      </c>
      <c r="AM840" s="319" t="s">
        <v>190</v>
      </c>
      <c r="AN840" s="319" t="s">
        <v>190</v>
      </c>
      <c r="AO840" s="319" t="s">
        <v>190</v>
      </c>
      <c r="AP840" s="319" t="s">
        <v>190</v>
      </c>
      <c r="AQ840" s="319" t="s">
        <v>190</v>
      </c>
      <c r="AR840" s="319" t="s">
        <v>190</v>
      </c>
      <c r="AS840" s="319" t="s">
        <v>190</v>
      </c>
      <c r="AT840" s="319" t="s">
        <v>190</v>
      </c>
      <c r="AU840" s="319" t="s">
        <v>190</v>
      </c>
      <c r="AV840" s="319" t="s">
        <v>190</v>
      </c>
      <c r="AW840" s="319" t="s">
        <v>190</v>
      </c>
      <c r="AX840" s="319" t="s">
        <v>428</v>
      </c>
      <c r="AY840" s="319" t="s">
        <v>190</v>
      </c>
      <c r="AZ840" s="319" t="s">
        <v>190</v>
      </c>
      <c r="BA840" s="319" t="s">
        <v>190</v>
      </c>
      <c r="BB840" s="319" t="s">
        <v>190</v>
      </c>
      <c r="BC840" s="319" t="s">
        <v>190</v>
      </c>
      <c r="BD840" s="319" t="s">
        <v>190</v>
      </c>
      <c r="BE840" s="319" t="s">
        <v>190</v>
      </c>
      <c r="BF840" s="319" t="s">
        <v>428</v>
      </c>
      <c r="BG840" s="319" t="s">
        <v>428</v>
      </c>
      <c r="BH840" s="319" t="s">
        <v>190</v>
      </c>
      <c r="BI840" s="319" t="s">
        <v>190</v>
      </c>
      <c r="BJ840" s="319" t="s">
        <v>190</v>
      </c>
      <c r="BK840" s="319" t="s">
        <v>190</v>
      </c>
      <c r="BL840" s="319" t="s">
        <v>190</v>
      </c>
      <c r="BM840" s="319" t="s">
        <v>190</v>
      </c>
      <c r="BN840" s="319" t="s">
        <v>190</v>
      </c>
      <c r="BO840" s="319" t="s">
        <v>190</v>
      </c>
      <c r="BP840" s="319" t="s">
        <v>190</v>
      </c>
      <c r="BQ840" s="319" t="s">
        <v>190</v>
      </c>
      <c r="BR840" s="319" t="s">
        <v>190</v>
      </c>
      <c r="BS840" s="319" t="s">
        <v>190</v>
      </c>
      <c r="BT840" s="319" t="s">
        <v>190</v>
      </c>
      <c r="BU840" s="319" t="s">
        <v>190</v>
      </c>
      <c r="BV840" s="319" t="s">
        <v>190</v>
      </c>
      <c r="BW840" s="319" t="s">
        <v>190</v>
      </c>
      <c r="BX840" s="319" t="s">
        <v>190</v>
      </c>
      <c r="BY840" s="319" t="s">
        <v>190</v>
      </c>
      <c r="BZ840" s="319" t="s">
        <v>190</v>
      </c>
      <c r="CA840" s="319" t="s">
        <v>190</v>
      </c>
      <c r="CB840" s="319" t="s">
        <v>190</v>
      </c>
      <c r="CC840" s="319" t="s">
        <v>190</v>
      </c>
      <c r="CD840" s="319" t="s">
        <v>190</v>
      </c>
      <c r="CE840" s="319" t="s">
        <v>190</v>
      </c>
      <c r="CF840" s="319" t="s">
        <v>190</v>
      </c>
      <c r="CG840" s="319" t="s">
        <v>190</v>
      </c>
      <c r="CH840" s="319" t="s">
        <v>190</v>
      </c>
      <c r="CI840" s="319" t="s">
        <v>190</v>
      </c>
      <c r="CJ840" s="319" t="s">
        <v>190</v>
      </c>
      <c r="CK840" s="319" t="s">
        <v>190</v>
      </c>
      <c r="CL840" s="319" t="s">
        <v>190</v>
      </c>
      <c r="CM840" s="319" t="s">
        <v>190</v>
      </c>
      <c r="CN840" s="319" t="s">
        <v>428</v>
      </c>
      <c r="CO840" s="319" t="s">
        <v>428</v>
      </c>
      <c r="CP840" s="319" t="s">
        <v>428</v>
      </c>
      <c r="CQ840" s="319" t="s">
        <v>190</v>
      </c>
      <c r="CR840" s="319" t="s">
        <v>190</v>
      </c>
      <c r="CS840" s="319" t="s">
        <v>190</v>
      </c>
      <c r="CT840" s="319" t="s">
        <v>190</v>
      </c>
      <c r="CU840" s="319" t="s">
        <v>190</v>
      </c>
      <c r="CV840" s="319" t="s">
        <v>190</v>
      </c>
      <c r="CW840" s="319" t="s">
        <v>190</v>
      </c>
      <c r="CX840" s="319" t="s">
        <v>190</v>
      </c>
      <c r="CY840" s="319" t="s">
        <v>190</v>
      </c>
      <c r="CZ840" s="319" t="s">
        <v>190</v>
      </c>
      <c r="DA840" s="319" t="s">
        <v>190</v>
      </c>
      <c r="DB840" s="319" t="s">
        <v>190</v>
      </c>
      <c r="DC840" s="319" t="s">
        <v>190</v>
      </c>
      <c r="DD840" s="319" t="s">
        <v>190</v>
      </c>
      <c r="DE840" s="319" t="s">
        <v>190</v>
      </c>
      <c r="DF840" s="319" t="s">
        <v>190</v>
      </c>
      <c r="DG840" s="319" t="s">
        <v>190</v>
      </c>
      <c r="DH840" s="319" t="s">
        <v>190</v>
      </c>
      <c r="DI840" s="319" t="s">
        <v>190</v>
      </c>
      <c r="DJ840" s="319" t="s">
        <v>190</v>
      </c>
      <c r="DK840" s="319" t="s">
        <v>190</v>
      </c>
      <c r="DL840" s="319" t="s">
        <v>190</v>
      </c>
      <c r="DM840" s="319" t="s">
        <v>190</v>
      </c>
      <c r="DN840" s="319" t="s">
        <v>428</v>
      </c>
      <c r="DO840" s="319" t="s">
        <v>190</v>
      </c>
      <c r="DP840" s="319" t="s">
        <v>190</v>
      </c>
      <c r="DQ840" s="319" t="s">
        <v>190</v>
      </c>
      <c r="DR840" s="319" t="s">
        <v>190</v>
      </c>
      <c r="DS840" s="319" t="s">
        <v>190</v>
      </c>
      <c r="DT840" s="319" t="s">
        <v>190</v>
      </c>
      <c r="DU840" s="319" t="s">
        <v>190</v>
      </c>
      <c r="DV840" s="319" t="s">
        <v>173</v>
      </c>
      <c r="DW840" s="319" t="s">
        <v>190</v>
      </c>
      <c r="DX840" s="319" t="s">
        <v>190</v>
      </c>
      <c r="DY840" s="319" t="s">
        <v>190</v>
      </c>
      <c r="DZ840" s="319" t="s">
        <v>190</v>
      </c>
      <c r="EA840" s="319" t="s">
        <v>190</v>
      </c>
      <c r="EB840" s="319" t="s">
        <v>190</v>
      </c>
      <c r="EC840" s="319" t="s">
        <v>428</v>
      </c>
      <c r="ED840" s="319" t="s">
        <v>190</v>
      </c>
      <c r="EE840" s="319" t="s">
        <v>190</v>
      </c>
      <c r="EF840" s="319" t="s">
        <v>190</v>
      </c>
      <c r="EG840" s="319" t="s">
        <v>190</v>
      </c>
      <c r="EH840" s="319" t="s">
        <v>190</v>
      </c>
      <c r="EI840" s="319" t="s">
        <v>190</v>
      </c>
      <c r="EJ840" s="319" t="s">
        <v>190</v>
      </c>
      <c r="EK840" s="319" t="s">
        <v>190</v>
      </c>
      <c r="EL840" s="319" t="s">
        <v>190</v>
      </c>
      <c r="EM840" s="319" t="s">
        <v>190</v>
      </c>
      <c r="EN840" s="319" t="s">
        <v>190</v>
      </c>
      <c r="EO840" s="319" t="s">
        <v>190</v>
      </c>
      <c r="EP840" s="319" t="s">
        <v>190</v>
      </c>
      <c r="EQ840" s="319" t="s">
        <v>190</v>
      </c>
      <c r="ER840" s="319" t="s">
        <v>190</v>
      </c>
      <c r="ES840" s="319" t="s">
        <v>190</v>
      </c>
      <c r="ET840" s="319" t="s">
        <v>190</v>
      </c>
      <c r="EU840" s="319" t="s">
        <v>190</v>
      </c>
      <c r="EV840" s="319" t="s">
        <v>190</v>
      </c>
      <c r="EW840" s="319" t="s">
        <v>190</v>
      </c>
      <c r="EX840" s="319" t="s">
        <v>190</v>
      </c>
      <c r="EY840" s="319" t="s">
        <v>190</v>
      </c>
      <c r="EZ840" s="319" t="s">
        <v>190</v>
      </c>
      <c r="FA840" s="319" t="s">
        <v>428</v>
      </c>
      <c r="FB840" s="319" t="s">
        <v>190</v>
      </c>
      <c r="FC840" s="319" t="s">
        <v>190</v>
      </c>
      <c r="FD840" s="319" t="s">
        <v>190</v>
      </c>
      <c r="FE840" s="319" t="s">
        <v>190</v>
      </c>
      <c r="FF840" s="319" t="s">
        <v>190</v>
      </c>
      <c r="FG840" s="319" t="s">
        <v>190</v>
      </c>
      <c r="FH840" s="319" t="s">
        <v>190</v>
      </c>
      <c r="FI840" s="319" t="s">
        <v>428</v>
      </c>
      <c r="FJ840" s="319" t="s">
        <v>429</v>
      </c>
      <c r="FK840" s="319" t="s">
        <v>428</v>
      </c>
      <c r="FL840" s="319" t="s">
        <v>190</v>
      </c>
      <c r="FM840" s="319" t="s">
        <v>190</v>
      </c>
      <c r="FN840" s="319" t="s">
        <v>190</v>
      </c>
      <c r="FO840" s="319" t="s">
        <v>190</v>
      </c>
      <c r="FP840" s="319" t="s">
        <v>190</v>
      </c>
      <c r="FQ840" s="319" t="s">
        <v>190</v>
      </c>
      <c r="FR840" s="319" t="s">
        <v>190</v>
      </c>
      <c r="FS840" s="319" t="s">
        <v>428</v>
      </c>
      <c r="FT840" s="319" t="s">
        <v>190</v>
      </c>
      <c r="FU840" s="319" t="s">
        <v>190</v>
      </c>
      <c r="FV840" s="319" t="s">
        <v>190</v>
      </c>
      <c r="FW840" s="319" t="s">
        <v>190</v>
      </c>
      <c r="FX840" s="319" t="s">
        <v>190</v>
      </c>
      <c r="FY840" s="319" t="s">
        <v>190</v>
      </c>
      <c r="FZ840" s="319" t="s">
        <v>190</v>
      </c>
      <c r="GA840" s="319" t="s">
        <v>190</v>
      </c>
      <c r="GB840" s="319" t="s">
        <v>190</v>
      </c>
      <c r="GC840" s="319" t="s">
        <v>190</v>
      </c>
      <c r="GD840" s="319" t="s">
        <v>190</v>
      </c>
      <c r="GE840" s="319" t="s">
        <v>190</v>
      </c>
      <c r="GF840" s="319" t="s">
        <v>190</v>
      </c>
      <c r="GG840" s="319" t="s">
        <v>190</v>
      </c>
      <c r="GH840" s="319" t="s">
        <v>190</v>
      </c>
      <c r="GI840" s="319" t="s">
        <v>190</v>
      </c>
      <c r="GJ840" s="319" t="s">
        <v>190</v>
      </c>
      <c r="GK840" s="319" t="s">
        <v>428</v>
      </c>
      <c r="GL840" s="319" t="s">
        <v>190</v>
      </c>
      <c r="GM840" s="319" t="s">
        <v>190</v>
      </c>
      <c r="GN840" s="319" t="s">
        <v>190</v>
      </c>
      <c r="GO840" s="319" t="s">
        <v>190</v>
      </c>
      <c r="GP840" s="319" t="s">
        <v>428</v>
      </c>
      <c r="GQ840" s="319" t="s">
        <v>428</v>
      </c>
      <c r="GR840" s="319" t="s">
        <v>190</v>
      </c>
      <c r="GS840" s="319" t="s">
        <v>190</v>
      </c>
      <c r="GT840" s="319" t="s">
        <v>190</v>
      </c>
      <c r="GU840" s="319" t="s">
        <v>190</v>
      </c>
      <c r="GV840" s="319" t="s">
        <v>190</v>
      </c>
      <c r="GW840" s="319" t="s">
        <v>190</v>
      </c>
      <c r="GX840" s="319" t="s">
        <v>190</v>
      </c>
      <c r="GY840" s="319" t="s">
        <v>190</v>
      </c>
      <c r="GZ840" s="319" t="s">
        <v>190</v>
      </c>
      <c r="HA840" s="319" t="s">
        <v>190</v>
      </c>
      <c r="HB840" s="319" t="s">
        <v>428</v>
      </c>
      <c r="HC840" s="319" t="s">
        <v>190</v>
      </c>
      <c r="HD840" s="319" t="s">
        <v>190</v>
      </c>
      <c r="HE840" s="319" t="s">
        <v>190</v>
      </c>
      <c r="HF840" s="319" t="s">
        <v>190</v>
      </c>
      <c r="HG840" s="319" t="s">
        <v>190</v>
      </c>
      <c r="HH840" s="319" t="s">
        <v>190</v>
      </c>
      <c r="HI840" s="319" t="s">
        <v>190</v>
      </c>
      <c r="HJ840" s="319" t="s">
        <v>190</v>
      </c>
      <c r="HK840" s="319" t="s">
        <v>190</v>
      </c>
      <c r="HL840" s="319" t="s">
        <v>190</v>
      </c>
      <c r="HM840" s="319" t="s">
        <v>190</v>
      </c>
      <c r="HN840" s="319" t="s">
        <v>190</v>
      </c>
      <c r="HO840" s="319" t="s">
        <v>190</v>
      </c>
      <c r="HP840" s="319" t="s">
        <v>190</v>
      </c>
      <c r="HQ840" s="319" t="s">
        <v>190</v>
      </c>
      <c r="HR840" s="319" t="s">
        <v>190</v>
      </c>
      <c r="HS840" s="319" t="s">
        <v>190</v>
      </c>
      <c r="HT840" s="319" t="s">
        <v>190</v>
      </c>
      <c r="HU840" s="319" t="s">
        <v>190</v>
      </c>
      <c r="HV840" s="319" t="s">
        <v>190</v>
      </c>
      <c r="HW840" s="319" t="s">
        <v>190</v>
      </c>
      <c r="HX840" s="319" t="s">
        <v>190</v>
      </c>
      <c r="HY840" s="319" t="s">
        <v>190</v>
      </c>
      <c r="HZ840" s="319" t="s">
        <v>190</v>
      </c>
      <c r="IA840" s="319" t="s">
        <v>190</v>
      </c>
      <c r="IB840" s="319" t="s">
        <v>190</v>
      </c>
      <c r="IC840" s="319" t="s">
        <v>190</v>
      </c>
      <c r="ID840" s="319" t="s">
        <v>190</v>
      </c>
      <c r="IE840" s="319" t="s">
        <v>190</v>
      </c>
      <c r="IF840" s="319" t="s">
        <v>190</v>
      </c>
      <c r="IG840" s="319" t="s">
        <v>190</v>
      </c>
      <c r="IH840" s="319" t="s">
        <v>190</v>
      </c>
      <c r="II840" s="319" t="s">
        <v>190</v>
      </c>
      <c r="IJ840" s="319" t="s">
        <v>173</v>
      </c>
      <c r="IK840" s="319" t="s">
        <v>173</v>
      </c>
      <c r="IL840" s="319" t="s">
        <v>173</v>
      </c>
      <c r="IM840" s="319" t="s">
        <v>173</v>
      </c>
      <c r="IN840" s="319" t="s">
        <v>173</v>
      </c>
      <c r="IO840" s="319" t="s">
        <v>173</v>
      </c>
      <c r="IP840" s="319" t="s">
        <v>173</v>
      </c>
      <c r="IQ840" s="321" t="s">
        <v>173</v>
      </c>
      <c r="IR840" s="320" t="s">
        <v>173</v>
      </c>
      <c r="IS840" s="322" t="s">
        <v>173</v>
      </c>
      <c r="IT840" s="319" t="s">
        <v>173</v>
      </c>
    </row>
    <row r="841" spans="1:254" s="271" customFormat="1" x14ac:dyDescent="0.25">
      <c r="A841" s="318" t="str">
        <f>HYPERLINK("http://www.ofsted.gov.uk/inspection-reports/find-inspection-report/provider/ELS/142621 ","Ofsted School Webpage")</f>
        <v>Ofsted School Webpage</v>
      </c>
      <c r="B841" s="319">
        <v>142621</v>
      </c>
      <c r="C841" s="319">
        <v>3066016</v>
      </c>
      <c r="D841" s="319" t="s">
        <v>2344</v>
      </c>
      <c r="E841" s="319" t="s">
        <v>168</v>
      </c>
      <c r="F841" s="319" t="s">
        <v>81</v>
      </c>
      <c r="G841" s="319" t="s">
        <v>81</v>
      </c>
      <c r="H841" s="319" t="s">
        <v>81</v>
      </c>
      <c r="I841" s="319" t="s">
        <v>78</v>
      </c>
      <c r="J841" s="319" t="s">
        <v>424</v>
      </c>
      <c r="K841" s="319" t="s">
        <v>441</v>
      </c>
      <c r="L841" s="319" t="s">
        <v>441</v>
      </c>
      <c r="M841" s="319" t="s">
        <v>734</v>
      </c>
      <c r="N841" s="319" t="s">
        <v>3160</v>
      </c>
      <c r="O841" s="319" t="s">
        <v>2345</v>
      </c>
      <c r="P841" s="319">
        <v>15</v>
      </c>
      <c r="Q841" s="319" t="s">
        <v>429</v>
      </c>
      <c r="R841" s="320">
        <v>10092532</v>
      </c>
      <c r="S841" s="321">
        <v>43633</v>
      </c>
      <c r="T841" s="321">
        <v>43635</v>
      </c>
      <c r="U841" s="321">
        <v>43657</v>
      </c>
      <c r="V841" s="319" t="s">
        <v>425</v>
      </c>
      <c r="W841" s="319" t="s">
        <v>2767</v>
      </c>
      <c r="X841" s="319">
        <v>2</v>
      </c>
      <c r="Y841" s="319" t="s">
        <v>173</v>
      </c>
      <c r="Z841" s="319" t="s">
        <v>173</v>
      </c>
      <c r="AA841" s="319" t="s">
        <v>173</v>
      </c>
      <c r="AB841" s="319">
        <v>2</v>
      </c>
      <c r="AC841" s="319" t="s">
        <v>169</v>
      </c>
      <c r="AD841" s="319" t="s">
        <v>173</v>
      </c>
      <c r="AE841" s="319" t="s">
        <v>173</v>
      </c>
      <c r="AF841" s="319" t="s">
        <v>427</v>
      </c>
      <c r="AG841" s="319" t="s">
        <v>171</v>
      </c>
      <c r="AH841" s="319" t="s">
        <v>190</v>
      </c>
      <c r="AI841" s="319" t="s">
        <v>190</v>
      </c>
      <c r="AJ841" s="319" t="s">
        <v>190</v>
      </c>
      <c r="AK841" s="319" t="s">
        <v>190</v>
      </c>
      <c r="AL841" s="319" t="s">
        <v>190</v>
      </c>
      <c r="AM841" s="319" t="s">
        <v>190</v>
      </c>
      <c r="AN841" s="319" t="s">
        <v>190</v>
      </c>
      <c r="AO841" s="319" t="s">
        <v>190</v>
      </c>
      <c r="AP841" s="319" t="s">
        <v>190</v>
      </c>
      <c r="AQ841" s="319" t="s">
        <v>190</v>
      </c>
      <c r="AR841" s="319" t="s">
        <v>190</v>
      </c>
      <c r="AS841" s="319" t="s">
        <v>190</v>
      </c>
      <c r="AT841" s="319" t="s">
        <v>190</v>
      </c>
      <c r="AU841" s="319" t="s">
        <v>190</v>
      </c>
      <c r="AV841" s="319" t="s">
        <v>190</v>
      </c>
      <c r="AW841" s="319" t="s">
        <v>190</v>
      </c>
      <c r="AX841" s="319" t="s">
        <v>428</v>
      </c>
      <c r="AY841" s="319" t="s">
        <v>190</v>
      </c>
      <c r="AZ841" s="319" t="s">
        <v>190</v>
      </c>
      <c r="BA841" s="319" t="s">
        <v>190</v>
      </c>
      <c r="BB841" s="319" t="s">
        <v>190</v>
      </c>
      <c r="BC841" s="319" t="s">
        <v>190</v>
      </c>
      <c r="BD841" s="319" t="s">
        <v>190</v>
      </c>
      <c r="BE841" s="319" t="s">
        <v>190</v>
      </c>
      <c r="BF841" s="319" t="s">
        <v>428</v>
      </c>
      <c r="BG841" s="319" t="s">
        <v>428</v>
      </c>
      <c r="BH841" s="319" t="s">
        <v>190</v>
      </c>
      <c r="BI841" s="319" t="s">
        <v>190</v>
      </c>
      <c r="BJ841" s="319" t="s">
        <v>190</v>
      </c>
      <c r="BK841" s="319" t="s">
        <v>190</v>
      </c>
      <c r="BL841" s="319" t="s">
        <v>190</v>
      </c>
      <c r="BM841" s="319" t="s">
        <v>190</v>
      </c>
      <c r="BN841" s="319" t="s">
        <v>190</v>
      </c>
      <c r="BO841" s="319" t="s">
        <v>190</v>
      </c>
      <c r="BP841" s="319" t="s">
        <v>190</v>
      </c>
      <c r="BQ841" s="319" t="s">
        <v>190</v>
      </c>
      <c r="BR841" s="319" t="s">
        <v>190</v>
      </c>
      <c r="BS841" s="319" t="s">
        <v>190</v>
      </c>
      <c r="BT841" s="319" t="s">
        <v>190</v>
      </c>
      <c r="BU841" s="319" t="s">
        <v>190</v>
      </c>
      <c r="BV841" s="319" t="s">
        <v>190</v>
      </c>
      <c r="BW841" s="319" t="s">
        <v>190</v>
      </c>
      <c r="BX841" s="319" t="s">
        <v>190</v>
      </c>
      <c r="BY841" s="319" t="s">
        <v>190</v>
      </c>
      <c r="BZ841" s="319" t="s">
        <v>190</v>
      </c>
      <c r="CA841" s="319" t="s">
        <v>190</v>
      </c>
      <c r="CB841" s="319" t="s">
        <v>190</v>
      </c>
      <c r="CC841" s="319" t="s">
        <v>190</v>
      </c>
      <c r="CD841" s="319" t="s">
        <v>190</v>
      </c>
      <c r="CE841" s="319" t="s">
        <v>190</v>
      </c>
      <c r="CF841" s="319" t="s">
        <v>190</v>
      </c>
      <c r="CG841" s="319" t="s">
        <v>190</v>
      </c>
      <c r="CH841" s="319" t="s">
        <v>190</v>
      </c>
      <c r="CI841" s="319" t="s">
        <v>190</v>
      </c>
      <c r="CJ841" s="319" t="s">
        <v>190</v>
      </c>
      <c r="CK841" s="319" t="s">
        <v>190</v>
      </c>
      <c r="CL841" s="319" t="s">
        <v>190</v>
      </c>
      <c r="CM841" s="319" t="s">
        <v>190</v>
      </c>
      <c r="CN841" s="319" t="s">
        <v>428</v>
      </c>
      <c r="CO841" s="319" t="s">
        <v>428</v>
      </c>
      <c r="CP841" s="319" t="s">
        <v>428</v>
      </c>
      <c r="CQ841" s="319" t="s">
        <v>190</v>
      </c>
      <c r="CR841" s="319" t="s">
        <v>190</v>
      </c>
      <c r="CS841" s="319" t="s">
        <v>190</v>
      </c>
      <c r="CT841" s="319" t="s">
        <v>190</v>
      </c>
      <c r="CU841" s="319" t="s">
        <v>190</v>
      </c>
      <c r="CV841" s="319" t="s">
        <v>190</v>
      </c>
      <c r="CW841" s="319" t="s">
        <v>190</v>
      </c>
      <c r="CX841" s="319" t="s">
        <v>190</v>
      </c>
      <c r="CY841" s="319" t="s">
        <v>190</v>
      </c>
      <c r="CZ841" s="319" t="s">
        <v>190</v>
      </c>
      <c r="DA841" s="319" t="s">
        <v>190</v>
      </c>
      <c r="DB841" s="319" t="s">
        <v>190</v>
      </c>
      <c r="DC841" s="319" t="s">
        <v>190</v>
      </c>
      <c r="DD841" s="319" t="s">
        <v>190</v>
      </c>
      <c r="DE841" s="319" t="s">
        <v>190</v>
      </c>
      <c r="DF841" s="319" t="s">
        <v>190</v>
      </c>
      <c r="DG841" s="319" t="s">
        <v>190</v>
      </c>
      <c r="DH841" s="319" t="s">
        <v>190</v>
      </c>
      <c r="DI841" s="319" t="s">
        <v>190</v>
      </c>
      <c r="DJ841" s="319" t="s">
        <v>190</v>
      </c>
      <c r="DK841" s="319" t="s">
        <v>190</v>
      </c>
      <c r="DL841" s="319" t="s">
        <v>190</v>
      </c>
      <c r="DM841" s="319" t="s">
        <v>190</v>
      </c>
      <c r="DN841" s="319" t="s">
        <v>428</v>
      </c>
      <c r="DO841" s="319" t="s">
        <v>190</v>
      </c>
      <c r="DP841" s="319" t="s">
        <v>428</v>
      </c>
      <c r="DQ841" s="319" t="s">
        <v>428</v>
      </c>
      <c r="DR841" s="319" t="s">
        <v>428</v>
      </c>
      <c r="DS841" s="319" t="s">
        <v>428</v>
      </c>
      <c r="DT841" s="319" t="s">
        <v>428</v>
      </c>
      <c r="DU841" s="319" t="s">
        <v>428</v>
      </c>
      <c r="DV841" s="319" t="s">
        <v>173</v>
      </c>
      <c r="DW841" s="319" t="s">
        <v>428</v>
      </c>
      <c r="DX841" s="319" t="s">
        <v>428</v>
      </c>
      <c r="DY841" s="319" t="s">
        <v>428</v>
      </c>
      <c r="DZ841" s="319" t="s">
        <v>428</v>
      </c>
      <c r="EA841" s="319" t="s">
        <v>428</v>
      </c>
      <c r="EB841" s="319" t="s">
        <v>428</v>
      </c>
      <c r="EC841" s="319" t="s">
        <v>428</v>
      </c>
      <c r="ED841" s="319" t="s">
        <v>428</v>
      </c>
      <c r="EE841" s="319" t="s">
        <v>190</v>
      </c>
      <c r="EF841" s="319" t="s">
        <v>190</v>
      </c>
      <c r="EG841" s="319" t="s">
        <v>190</v>
      </c>
      <c r="EH841" s="319" t="s">
        <v>190</v>
      </c>
      <c r="EI841" s="319" t="s">
        <v>190</v>
      </c>
      <c r="EJ841" s="319" t="s">
        <v>190</v>
      </c>
      <c r="EK841" s="319" t="s">
        <v>190</v>
      </c>
      <c r="EL841" s="319" t="s">
        <v>190</v>
      </c>
      <c r="EM841" s="319" t="s">
        <v>190</v>
      </c>
      <c r="EN841" s="319" t="s">
        <v>190</v>
      </c>
      <c r="EO841" s="319" t="s">
        <v>190</v>
      </c>
      <c r="EP841" s="319" t="s">
        <v>190</v>
      </c>
      <c r="EQ841" s="319" t="s">
        <v>190</v>
      </c>
      <c r="ER841" s="319" t="s">
        <v>190</v>
      </c>
      <c r="ES841" s="319" t="s">
        <v>190</v>
      </c>
      <c r="ET841" s="319" t="s">
        <v>190</v>
      </c>
      <c r="EU841" s="319" t="s">
        <v>190</v>
      </c>
      <c r="EV841" s="319" t="s">
        <v>190</v>
      </c>
      <c r="EW841" s="319" t="s">
        <v>190</v>
      </c>
      <c r="EX841" s="319" t="s">
        <v>190</v>
      </c>
      <c r="EY841" s="319" t="s">
        <v>190</v>
      </c>
      <c r="EZ841" s="319" t="s">
        <v>190</v>
      </c>
      <c r="FA841" s="319" t="s">
        <v>190</v>
      </c>
      <c r="FB841" s="319" t="s">
        <v>428</v>
      </c>
      <c r="FC841" s="319" t="s">
        <v>428</v>
      </c>
      <c r="FD841" s="319" t="s">
        <v>428</v>
      </c>
      <c r="FE841" s="319" t="s">
        <v>428</v>
      </c>
      <c r="FF841" s="319" t="s">
        <v>428</v>
      </c>
      <c r="FG841" s="319" t="s">
        <v>428</v>
      </c>
      <c r="FH841" s="319" t="s">
        <v>190</v>
      </c>
      <c r="FI841" s="319" t="s">
        <v>190</v>
      </c>
      <c r="FJ841" s="319" t="s">
        <v>190</v>
      </c>
      <c r="FK841" s="319" t="s">
        <v>190</v>
      </c>
      <c r="FL841" s="319" t="s">
        <v>190</v>
      </c>
      <c r="FM841" s="319" t="s">
        <v>190</v>
      </c>
      <c r="FN841" s="319" t="s">
        <v>190</v>
      </c>
      <c r="FO841" s="319" t="s">
        <v>190</v>
      </c>
      <c r="FP841" s="319" t="s">
        <v>190</v>
      </c>
      <c r="FQ841" s="319" t="s">
        <v>190</v>
      </c>
      <c r="FR841" s="319" t="s">
        <v>190</v>
      </c>
      <c r="FS841" s="319" t="s">
        <v>428</v>
      </c>
      <c r="FT841" s="319" t="s">
        <v>190</v>
      </c>
      <c r="FU841" s="319" t="s">
        <v>190</v>
      </c>
      <c r="FV841" s="319" t="s">
        <v>190</v>
      </c>
      <c r="FW841" s="319" t="s">
        <v>190</v>
      </c>
      <c r="FX841" s="319" t="s">
        <v>190</v>
      </c>
      <c r="FY841" s="319" t="s">
        <v>190</v>
      </c>
      <c r="FZ841" s="319" t="s">
        <v>190</v>
      </c>
      <c r="GA841" s="319" t="s">
        <v>190</v>
      </c>
      <c r="GB841" s="319" t="s">
        <v>190</v>
      </c>
      <c r="GC841" s="319" t="s">
        <v>190</v>
      </c>
      <c r="GD841" s="319" t="s">
        <v>190</v>
      </c>
      <c r="GE841" s="319" t="s">
        <v>190</v>
      </c>
      <c r="GF841" s="319" t="s">
        <v>190</v>
      </c>
      <c r="GG841" s="319" t="s">
        <v>190</v>
      </c>
      <c r="GH841" s="319" t="s">
        <v>190</v>
      </c>
      <c r="GI841" s="319" t="s">
        <v>190</v>
      </c>
      <c r="GJ841" s="319" t="s">
        <v>190</v>
      </c>
      <c r="GK841" s="319" t="s">
        <v>428</v>
      </c>
      <c r="GL841" s="319" t="s">
        <v>190</v>
      </c>
      <c r="GM841" s="319" t="s">
        <v>190</v>
      </c>
      <c r="GN841" s="319" t="s">
        <v>190</v>
      </c>
      <c r="GO841" s="319" t="s">
        <v>190</v>
      </c>
      <c r="GP841" s="319" t="s">
        <v>190</v>
      </c>
      <c r="GQ841" s="319" t="s">
        <v>428</v>
      </c>
      <c r="GR841" s="319" t="s">
        <v>190</v>
      </c>
      <c r="GS841" s="319" t="s">
        <v>190</v>
      </c>
      <c r="GT841" s="319" t="s">
        <v>190</v>
      </c>
      <c r="GU841" s="319" t="s">
        <v>190</v>
      </c>
      <c r="GV841" s="319" t="s">
        <v>190</v>
      </c>
      <c r="GW841" s="319" t="s">
        <v>190</v>
      </c>
      <c r="GX841" s="319" t="s">
        <v>190</v>
      </c>
      <c r="GY841" s="319" t="s">
        <v>190</v>
      </c>
      <c r="GZ841" s="319" t="s">
        <v>190</v>
      </c>
      <c r="HA841" s="319" t="s">
        <v>428</v>
      </c>
      <c r="HB841" s="319" t="s">
        <v>190</v>
      </c>
      <c r="HC841" s="319" t="s">
        <v>190</v>
      </c>
      <c r="HD841" s="319" t="s">
        <v>190</v>
      </c>
      <c r="HE841" s="319" t="s">
        <v>190</v>
      </c>
      <c r="HF841" s="319" t="s">
        <v>190</v>
      </c>
      <c r="HG841" s="319" t="s">
        <v>190</v>
      </c>
      <c r="HH841" s="319" t="s">
        <v>190</v>
      </c>
      <c r="HI841" s="319" t="s">
        <v>190</v>
      </c>
      <c r="HJ841" s="319" t="s">
        <v>190</v>
      </c>
      <c r="HK841" s="319" t="s">
        <v>190</v>
      </c>
      <c r="HL841" s="319" t="s">
        <v>190</v>
      </c>
      <c r="HM841" s="319" t="s">
        <v>428</v>
      </c>
      <c r="HN841" s="319" t="s">
        <v>428</v>
      </c>
      <c r="HO841" s="319" t="s">
        <v>428</v>
      </c>
      <c r="HP841" s="319" t="s">
        <v>190</v>
      </c>
      <c r="HQ841" s="319" t="s">
        <v>190</v>
      </c>
      <c r="HR841" s="319" t="s">
        <v>190</v>
      </c>
      <c r="HS841" s="319" t="s">
        <v>190</v>
      </c>
      <c r="HT841" s="319" t="s">
        <v>190</v>
      </c>
      <c r="HU841" s="319" t="s">
        <v>190</v>
      </c>
      <c r="HV841" s="319" t="s">
        <v>190</v>
      </c>
      <c r="HW841" s="319" t="s">
        <v>190</v>
      </c>
      <c r="HX841" s="319" t="s">
        <v>190</v>
      </c>
      <c r="HY841" s="319" t="s">
        <v>190</v>
      </c>
      <c r="HZ841" s="319" t="s">
        <v>190</v>
      </c>
      <c r="IA841" s="319" t="s">
        <v>190</v>
      </c>
      <c r="IB841" s="319" t="s">
        <v>190</v>
      </c>
      <c r="IC841" s="319" t="s">
        <v>190</v>
      </c>
      <c r="ID841" s="319" t="s">
        <v>190</v>
      </c>
      <c r="IE841" s="319" t="s">
        <v>190</v>
      </c>
      <c r="IF841" s="319" t="s">
        <v>190</v>
      </c>
      <c r="IG841" s="319" t="s">
        <v>190</v>
      </c>
      <c r="IH841" s="319" t="s">
        <v>190</v>
      </c>
      <c r="II841" s="319" t="s">
        <v>190</v>
      </c>
      <c r="IJ841" s="319">
        <v>10035816</v>
      </c>
      <c r="IK841" s="321">
        <v>43046</v>
      </c>
      <c r="IL841" s="321">
        <v>43048</v>
      </c>
      <c r="IM841" s="321">
        <v>43077</v>
      </c>
      <c r="IN841" s="319">
        <v>3</v>
      </c>
      <c r="IO841" s="319" t="s">
        <v>173</v>
      </c>
      <c r="IP841" s="319" t="s">
        <v>173</v>
      </c>
      <c r="IQ841" s="321" t="s">
        <v>173</v>
      </c>
      <c r="IR841" s="320" t="s">
        <v>173</v>
      </c>
      <c r="IS841" s="322" t="s">
        <v>173</v>
      </c>
      <c r="IT841" s="319" t="s">
        <v>173</v>
      </c>
    </row>
    <row r="842" spans="1:254" s="271" customFormat="1" x14ac:dyDescent="0.25">
      <c r="A842" s="318" t="str">
        <f>HYPERLINK("http://www.ofsted.gov.uk/inspection-reports/find-inspection-report/provider/ELS/142623 ","Ofsted School Webpage")</f>
        <v>Ofsted School Webpage</v>
      </c>
      <c r="B842" s="319">
        <v>142623</v>
      </c>
      <c r="C842" s="319">
        <v>3306025</v>
      </c>
      <c r="D842" s="319" t="s">
        <v>2346</v>
      </c>
      <c r="E842" s="319" t="s">
        <v>167</v>
      </c>
      <c r="F842" s="319" t="s">
        <v>81</v>
      </c>
      <c r="G842" s="319" t="s">
        <v>81</v>
      </c>
      <c r="H842" s="319" t="s">
        <v>81</v>
      </c>
      <c r="I842" s="319" t="s">
        <v>78</v>
      </c>
      <c r="J842" s="319" t="s">
        <v>424</v>
      </c>
      <c r="K842" s="319" t="s">
        <v>437</v>
      </c>
      <c r="L842" s="319" t="s">
        <v>437</v>
      </c>
      <c r="M842" s="319" t="s">
        <v>813</v>
      </c>
      <c r="N842" s="319" t="s">
        <v>2856</v>
      </c>
      <c r="O842" s="319" t="s">
        <v>2347</v>
      </c>
      <c r="P842" s="319">
        <v>21</v>
      </c>
      <c r="Q842" s="319" t="s">
        <v>2776</v>
      </c>
      <c r="R842" s="320">
        <v>10020883</v>
      </c>
      <c r="S842" s="321">
        <v>42997</v>
      </c>
      <c r="T842" s="321">
        <v>42999</v>
      </c>
      <c r="U842" s="321">
        <v>43028</v>
      </c>
      <c r="V842" s="319" t="s">
        <v>435</v>
      </c>
      <c r="W842" s="319" t="s">
        <v>2767</v>
      </c>
      <c r="X842" s="319">
        <v>2</v>
      </c>
      <c r="Y842" s="319" t="s">
        <v>173</v>
      </c>
      <c r="Z842" s="319" t="s">
        <v>173</v>
      </c>
      <c r="AA842" s="319" t="s">
        <v>173</v>
      </c>
      <c r="AB842" s="319">
        <v>2</v>
      </c>
      <c r="AC842" s="319" t="s">
        <v>169</v>
      </c>
      <c r="AD842" s="319" t="s">
        <v>173</v>
      </c>
      <c r="AE842" s="319">
        <v>2</v>
      </c>
      <c r="AF842" s="319" t="s">
        <v>173</v>
      </c>
      <c r="AG842" s="319" t="s">
        <v>171</v>
      </c>
      <c r="AH842" s="319" t="s">
        <v>190</v>
      </c>
      <c r="AI842" s="319" t="s">
        <v>190</v>
      </c>
      <c r="AJ842" s="319" t="s">
        <v>190</v>
      </c>
      <c r="AK842" s="319" t="s">
        <v>190</v>
      </c>
      <c r="AL842" s="319" t="s">
        <v>190</v>
      </c>
      <c r="AM842" s="319" t="s">
        <v>190</v>
      </c>
      <c r="AN842" s="319" t="s">
        <v>190</v>
      </c>
      <c r="AO842" s="319" t="s">
        <v>190</v>
      </c>
      <c r="AP842" s="319" t="s">
        <v>190</v>
      </c>
      <c r="AQ842" s="319" t="s">
        <v>190</v>
      </c>
      <c r="AR842" s="319" t="s">
        <v>190</v>
      </c>
      <c r="AS842" s="319" t="s">
        <v>190</v>
      </c>
      <c r="AT842" s="319" t="s">
        <v>190</v>
      </c>
      <c r="AU842" s="319" t="s">
        <v>190</v>
      </c>
      <c r="AV842" s="319" t="s">
        <v>190</v>
      </c>
      <c r="AW842" s="319" t="s">
        <v>190</v>
      </c>
      <c r="AX842" s="319" t="s">
        <v>190</v>
      </c>
      <c r="AY842" s="319" t="s">
        <v>190</v>
      </c>
      <c r="AZ842" s="319" t="s">
        <v>190</v>
      </c>
      <c r="BA842" s="319" t="s">
        <v>190</v>
      </c>
      <c r="BB842" s="319" t="s">
        <v>190</v>
      </c>
      <c r="BC842" s="319" t="s">
        <v>190</v>
      </c>
      <c r="BD842" s="319" t="s">
        <v>190</v>
      </c>
      <c r="BE842" s="319" t="s">
        <v>190</v>
      </c>
      <c r="BF842" s="319" t="s">
        <v>190</v>
      </c>
      <c r="BG842" s="319" t="s">
        <v>190</v>
      </c>
      <c r="BH842" s="319" t="s">
        <v>190</v>
      </c>
      <c r="BI842" s="319" t="s">
        <v>190</v>
      </c>
      <c r="BJ842" s="319" t="s">
        <v>190</v>
      </c>
      <c r="BK842" s="319" t="s">
        <v>190</v>
      </c>
      <c r="BL842" s="319" t="s">
        <v>190</v>
      </c>
      <c r="BM842" s="319" t="s">
        <v>190</v>
      </c>
      <c r="BN842" s="319" t="s">
        <v>190</v>
      </c>
      <c r="BO842" s="319" t="s">
        <v>190</v>
      </c>
      <c r="BP842" s="319" t="s">
        <v>190</v>
      </c>
      <c r="BQ842" s="319" t="s">
        <v>190</v>
      </c>
      <c r="BR842" s="319" t="s">
        <v>190</v>
      </c>
      <c r="BS842" s="319" t="s">
        <v>190</v>
      </c>
      <c r="BT842" s="319" t="s">
        <v>190</v>
      </c>
      <c r="BU842" s="319" t="s">
        <v>190</v>
      </c>
      <c r="BV842" s="319" t="s">
        <v>190</v>
      </c>
      <c r="BW842" s="319" t="s">
        <v>190</v>
      </c>
      <c r="BX842" s="319" t="s">
        <v>190</v>
      </c>
      <c r="BY842" s="319" t="s">
        <v>190</v>
      </c>
      <c r="BZ842" s="319" t="s">
        <v>190</v>
      </c>
      <c r="CA842" s="319" t="s">
        <v>190</v>
      </c>
      <c r="CB842" s="319" t="s">
        <v>190</v>
      </c>
      <c r="CC842" s="319" t="s">
        <v>190</v>
      </c>
      <c r="CD842" s="319" t="s">
        <v>190</v>
      </c>
      <c r="CE842" s="319" t="s">
        <v>190</v>
      </c>
      <c r="CF842" s="319" t="s">
        <v>190</v>
      </c>
      <c r="CG842" s="319" t="s">
        <v>190</v>
      </c>
      <c r="CH842" s="319" t="s">
        <v>190</v>
      </c>
      <c r="CI842" s="319" t="s">
        <v>190</v>
      </c>
      <c r="CJ842" s="319" t="s">
        <v>190</v>
      </c>
      <c r="CK842" s="319" t="s">
        <v>190</v>
      </c>
      <c r="CL842" s="319" t="s">
        <v>190</v>
      </c>
      <c r="CM842" s="319" t="s">
        <v>190</v>
      </c>
      <c r="CN842" s="319" t="s">
        <v>429</v>
      </c>
      <c r="CO842" s="319" t="s">
        <v>429</v>
      </c>
      <c r="CP842" s="319" t="s">
        <v>429</v>
      </c>
      <c r="CQ842" s="319" t="s">
        <v>190</v>
      </c>
      <c r="CR842" s="319" t="s">
        <v>190</v>
      </c>
      <c r="CS842" s="319" t="s">
        <v>190</v>
      </c>
      <c r="CT842" s="319" t="s">
        <v>190</v>
      </c>
      <c r="CU842" s="319" t="s">
        <v>190</v>
      </c>
      <c r="CV842" s="319" t="s">
        <v>190</v>
      </c>
      <c r="CW842" s="319" t="s">
        <v>190</v>
      </c>
      <c r="CX842" s="319" t="s">
        <v>190</v>
      </c>
      <c r="CY842" s="319" t="s">
        <v>190</v>
      </c>
      <c r="CZ842" s="319" t="s">
        <v>190</v>
      </c>
      <c r="DA842" s="319" t="s">
        <v>190</v>
      </c>
      <c r="DB842" s="319" t="s">
        <v>190</v>
      </c>
      <c r="DC842" s="319" t="s">
        <v>190</v>
      </c>
      <c r="DD842" s="319" t="s">
        <v>190</v>
      </c>
      <c r="DE842" s="319" t="s">
        <v>190</v>
      </c>
      <c r="DF842" s="319" t="s">
        <v>190</v>
      </c>
      <c r="DG842" s="319" t="s">
        <v>190</v>
      </c>
      <c r="DH842" s="319" t="s">
        <v>190</v>
      </c>
      <c r="DI842" s="319" t="s">
        <v>190</v>
      </c>
      <c r="DJ842" s="319" t="s">
        <v>190</v>
      </c>
      <c r="DK842" s="319" t="s">
        <v>190</v>
      </c>
      <c r="DL842" s="319" t="s">
        <v>190</v>
      </c>
      <c r="DM842" s="319" t="s">
        <v>190</v>
      </c>
      <c r="DN842" s="319" t="s">
        <v>190</v>
      </c>
      <c r="DO842" s="319" t="s">
        <v>190</v>
      </c>
      <c r="DP842" s="319" t="s">
        <v>190</v>
      </c>
      <c r="DQ842" s="319" t="s">
        <v>190</v>
      </c>
      <c r="DR842" s="319" t="s">
        <v>190</v>
      </c>
      <c r="DS842" s="319" t="s">
        <v>190</v>
      </c>
      <c r="DT842" s="319" t="s">
        <v>190</v>
      </c>
      <c r="DU842" s="319" t="s">
        <v>190</v>
      </c>
      <c r="DV842" s="319" t="s">
        <v>173</v>
      </c>
      <c r="DW842" s="319" t="s">
        <v>190</v>
      </c>
      <c r="DX842" s="319" t="s">
        <v>190</v>
      </c>
      <c r="DY842" s="319" t="s">
        <v>190</v>
      </c>
      <c r="DZ842" s="319" t="s">
        <v>190</v>
      </c>
      <c r="EA842" s="319" t="s">
        <v>190</v>
      </c>
      <c r="EB842" s="319" t="s">
        <v>190</v>
      </c>
      <c r="EC842" s="319" t="s">
        <v>190</v>
      </c>
      <c r="ED842" s="319" t="s">
        <v>190</v>
      </c>
      <c r="EE842" s="319" t="s">
        <v>190</v>
      </c>
      <c r="EF842" s="319" t="s">
        <v>190</v>
      </c>
      <c r="EG842" s="319" t="s">
        <v>190</v>
      </c>
      <c r="EH842" s="319" t="s">
        <v>190</v>
      </c>
      <c r="EI842" s="319" t="s">
        <v>190</v>
      </c>
      <c r="EJ842" s="319" t="s">
        <v>190</v>
      </c>
      <c r="EK842" s="319" t="s">
        <v>190</v>
      </c>
      <c r="EL842" s="319" t="s">
        <v>190</v>
      </c>
      <c r="EM842" s="319" t="s">
        <v>190</v>
      </c>
      <c r="EN842" s="319" t="s">
        <v>190</v>
      </c>
      <c r="EO842" s="319" t="s">
        <v>190</v>
      </c>
      <c r="EP842" s="319" t="s">
        <v>190</v>
      </c>
      <c r="EQ842" s="319" t="s">
        <v>190</v>
      </c>
      <c r="ER842" s="319" t="s">
        <v>190</v>
      </c>
      <c r="ES842" s="319" t="s">
        <v>190</v>
      </c>
      <c r="ET842" s="319" t="s">
        <v>190</v>
      </c>
      <c r="EU842" s="319" t="s">
        <v>190</v>
      </c>
      <c r="EV842" s="319" t="s">
        <v>190</v>
      </c>
      <c r="EW842" s="319" t="s">
        <v>190</v>
      </c>
      <c r="EX842" s="319" t="s">
        <v>190</v>
      </c>
      <c r="EY842" s="319" t="s">
        <v>190</v>
      </c>
      <c r="EZ842" s="319" t="s">
        <v>190</v>
      </c>
      <c r="FA842" s="319" t="s">
        <v>190</v>
      </c>
      <c r="FB842" s="319" t="s">
        <v>190</v>
      </c>
      <c r="FC842" s="319" t="s">
        <v>190</v>
      </c>
      <c r="FD842" s="319" t="s">
        <v>190</v>
      </c>
      <c r="FE842" s="319" t="s">
        <v>190</v>
      </c>
      <c r="FF842" s="319" t="s">
        <v>190</v>
      </c>
      <c r="FG842" s="319" t="s">
        <v>190</v>
      </c>
      <c r="FH842" s="319" t="s">
        <v>190</v>
      </c>
      <c r="FI842" s="319" t="s">
        <v>190</v>
      </c>
      <c r="FJ842" s="319" t="s">
        <v>190</v>
      </c>
      <c r="FK842" s="319" t="s">
        <v>190</v>
      </c>
      <c r="FL842" s="319" t="s">
        <v>190</v>
      </c>
      <c r="FM842" s="319" t="s">
        <v>190</v>
      </c>
      <c r="FN842" s="319" t="s">
        <v>190</v>
      </c>
      <c r="FO842" s="319" t="s">
        <v>190</v>
      </c>
      <c r="FP842" s="319" t="s">
        <v>190</v>
      </c>
      <c r="FQ842" s="319" t="s">
        <v>190</v>
      </c>
      <c r="FR842" s="319" t="s">
        <v>190</v>
      </c>
      <c r="FS842" s="319" t="s">
        <v>190</v>
      </c>
      <c r="FT842" s="319" t="s">
        <v>190</v>
      </c>
      <c r="FU842" s="319" t="s">
        <v>190</v>
      </c>
      <c r="FV842" s="319" t="s">
        <v>190</v>
      </c>
      <c r="FW842" s="319" t="s">
        <v>190</v>
      </c>
      <c r="FX842" s="319" t="s">
        <v>190</v>
      </c>
      <c r="FY842" s="319" t="s">
        <v>190</v>
      </c>
      <c r="FZ842" s="319" t="s">
        <v>190</v>
      </c>
      <c r="GA842" s="319" t="s">
        <v>190</v>
      </c>
      <c r="GB842" s="319" t="s">
        <v>190</v>
      </c>
      <c r="GC842" s="319" t="s">
        <v>190</v>
      </c>
      <c r="GD842" s="319" t="s">
        <v>190</v>
      </c>
      <c r="GE842" s="319" t="s">
        <v>190</v>
      </c>
      <c r="GF842" s="319" t="s">
        <v>190</v>
      </c>
      <c r="GG842" s="319" t="s">
        <v>190</v>
      </c>
      <c r="GH842" s="319" t="s">
        <v>190</v>
      </c>
      <c r="GI842" s="319" t="s">
        <v>190</v>
      </c>
      <c r="GJ842" s="319" t="s">
        <v>190</v>
      </c>
      <c r="GK842" s="319" t="s">
        <v>190</v>
      </c>
      <c r="GL842" s="319" t="s">
        <v>190</v>
      </c>
      <c r="GM842" s="319" t="s">
        <v>190</v>
      </c>
      <c r="GN842" s="319" t="s">
        <v>190</v>
      </c>
      <c r="GO842" s="319" t="s">
        <v>190</v>
      </c>
      <c r="GP842" s="319" t="s">
        <v>190</v>
      </c>
      <c r="GQ842" s="319" t="s">
        <v>190</v>
      </c>
      <c r="GR842" s="319" t="s">
        <v>190</v>
      </c>
      <c r="GS842" s="319" t="s">
        <v>190</v>
      </c>
      <c r="GT842" s="319" t="s">
        <v>190</v>
      </c>
      <c r="GU842" s="319" t="s">
        <v>190</v>
      </c>
      <c r="GV842" s="319" t="s">
        <v>190</v>
      </c>
      <c r="GW842" s="319" t="s">
        <v>190</v>
      </c>
      <c r="GX842" s="319" t="s">
        <v>190</v>
      </c>
      <c r="GY842" s="319" t="s">
        <v>190</v>
      </c>
      <c r="GZ842" s="319" t="s">
        <v>190</v>
      </c>
      <c r="HA842" s="319" t="s">
        <v>190</v>
      </c>
      <c r="HB842" s="319" t="s">
        <v>190</v>
      </c>
      <c r="HC842" s="319" t="s">
        <v>190</v>
      </c>
      <c r="HD842" s="319" t="s">
        <v>190</v>
      </c>
      <c r="HE842" s="319" t="s">
        <v>190</v>
      </c>
      <c r="HF842" s="319" t="s">
        <v>190</v>
      </c>
      <c r="HG842" s="319" t="s">
        <v>190</v>
      </c>
      <c r="HH842" s="319" t="s">
        <v>190</v>
      </c>
      <c r="HI842" s="319" t="s">
        <v>190</v>
      </c>
      <c r="HJ842" s="319" t="s">
        <v>190</v>
      </c>
      <c r="HK842" s="319" t="s">
        <v>190</v>
      </c>
      <c r="HL842" s="319" t="s">
        <v>190</v>
      </c>
      <c r="HM842" s="319" t="s">
        <v>190</v>
      </c>
      <c r="HN842" s="319" t="s">
        <v>190</v>
      </c>
      <c r="HO842" s="319" t="s">
        <v>190</v>
      </c>
      <c r="HP842" s="319" t="s">
        <v>190</v>
      </c>
      <c r="HQ842" s="319" t="s">
        <v>190</v>
      </c>
      <c r="HR842" s="319" t="s">
        <v>190</v>
      </c>
      <c r="HS842" s="319" t="s">
        <v>190</v>
      </c>
      <c r="HT842" s="319" t="s">
        <v>190</v>
      </c>
      <c r="HU842" s="319" t="s">
        <v>190</v>
      </c>
      <c r="HV842" s="319" t="s">
        <v>190</v>
      </c>
      <c r="HW842" s="319" t="s">
        <v>190</v>
      </c>
      <c r="HX842" s="319" t="s">
        <v>190</v>
      </c>
      <c r="HY842" s="319" t="s">
        <v>190</v>
      </c>
      <c r="HZ842" s="319" t="s">
        <v>190</v>
      </c>
      <c r="IA842" s="319" t="s">
        <v>190</v>
      </c>
      <c r="IB842" s="319" t="s">
        <v>190</v>
      </c>
      <c r="IC842" s="319" t="s">
        <v>190</v>
      </c>
      <c r="ID842" s="319" t="s">
        <v>190</v>
      </c>
      <c r="IE842" s="319" t="s">
        <v>190</v>
      </c>
      <c r="IF842" s="319" t="s">
        <v>190</v>
      </c>
      <c r="IG842" s="319" t="s">
        <v>190</v>
      </c>
      <c r="IH842" s="319" t="s">
        <v>190</v>
      </c>
      <c r="II842" s="319" t="s">
        <v>190</v>
      </c>
      <c r="IJ842" s="319" t="s">
        <v>173</v>
      </c>
      <c r="IK842" s="319" t="s">
        <v>173</v>
      </c>
      <c r="IL842" s="319" t="s">
        <v>173</v>
      </c>
      <c r="IM842" s="319" t="s">
        <v>173</v>
      </c>
      <c r="IN842" s="319" t="s">
        <v>173</v>
      </c>
      <c r="IO842" s="319" t="s">
        <v>173</v>
      </c>
      <c r="IP842" s="319" t="s">
        <v>173</v>
      </c>
      <c r="IQ842" s="319" t="s">
        <v>173</v>
      </c>
      <c r="IR842" s="320" t="s">
        <v>173</v>
      </c>
      <c r="IS842" s="320" t="s">
        <v>173</v>
      </c>
      <c r="IT842" s="319" t="s">
        <v>173</v>
      </c>
    </row>
    <row r="843" spans="1:254" s="271" customFormat="1" x14ac:dyDescent="0.25">
      <c r="A843" s="318" t="str">
        <f>HYPERLINK("http://www.ofsted.gov.uk/inspection-reports/find-inspection-report/provider/ELS/142625 ","Ofsted School Webpage")</f>
        <v>Ofsted School Webpage</v>
      </c>
      <c r="B843" s="319">
        <v>142625</v>
      </c>
      <c r="C843" s="319">
        <v>8736053</v>
      </c>
      <c r="D843" s="319" t="s">
        <v>1106</v>
      </c>
      <c r="E843" s="319" t="s">
        <v>167</v>
      </c>
      <c r="F843" s="319" t="s">
        <v>81</v>
      </c>
      <c r="G843" s="319" t="s">
        <v>81</v>
      </c>
      <c r="H843" s="319" t="s">
        <v>81</v>
      </c>
      <c r="I843" s="319" t="s">
        <v>78</v>
      </c>
      <c r="J843" s="319" t="s">
        <v>424</v>
      </c>
      <c r="K843" s="319" t="s">
        <v>451</v>
      </c>
      <c r="L843" s="319" t="s">
        <v>451</v>
      </c>
      <c r="M843" s="319" t="s">
        <v>772</v>
      </c>
      <c r="N843" s="319" t="s">
        <v>3137</v>
      </c>
      <c r="O843" s="319" t="s">
        <v>1107</v>
      </c>
      <c r="P843" s="319">
        <v>12</v>
      </c>
      <c r="Q843" s="319" t="s">
        <v>2776</v>
      </c>
      <c r="R843" s="320">
        <v>10113591</v>
      </c>
      <c r="S843" s="321">
        <v>43782</v>
      </c>
      <c r="T843" s="321">
        <v>43784</v>
      </c>
      <c r="U843" s="321">
        <v>43810</v>
      </c>
      <c r="V843" s="319" t="s">
        <v>425</v>
      </c>
      <c r="W843" s="319" t="s">
        <v>2767</v>
      </c>
      <c r="X843" s="319">
        <v>3</v>
      </c>
      <c r="Y843" s="319">
        <v>3</v>
      </c>
      <c r="Z843" s="319">
        <v>3</v>
      </c>
      <c r="AA843" s="319">
        <v>2</v>
      </c>
      <c r="AB843" s="319">
        <v>3</v>
      </c>
      <c r="AC843" s="319" t="s">
        <v>169</v>
      </c>
      <c r="AD843" s="319" t="s">
        <v>173</v>
      </c>
      <c r="AE843" s="319" t="s">
        <v>173</v>
      </c>
      <c r="AF843" s="319" t="s">
        <v>447</v>
      </c>
      <c r="AG843" s="319" t="s">
        <v>172</v>
      </c>
      <c r="AH843" s="319" t="s">
        <v>479</v>
      </c>
      <c r="AI843" s="319" t="s">
        <v>190</v>
      </c>
      <c r="AJ843" s="319" t="s">
        <v>479</v>
      </c>
      <c r="AK843" s="319" t="s">
        <v>190</v>
      </c>
      <c r="AL843" s="319" t="s">
        <v>479</v>
      </c>
      <c r="AM843" s="319" t="s">
        <v>479</v>
      </c>
      <c r="AN843" s="319" t="s">
        <v>190</v>
      </c>
      <c r="AO843" s="319" t="s">
        <v>479</v>
      </c>
      <c r="AP843" s="319" t="s">
        <v>190</v>
      </c>
      <c r="AQ843" s="319" t="s">
        <v>190</v>
      </c>
      <c r="AR843" s="319" t="s">
        <v>191</v>
      </c>
      <c r="AS843" s="319" t="s">
        <v>190</v>
      </c>
      <c r="AT843" s="319" t="s">
        <v>190</v>
      </c>
      <c r="AU843" s="319" t="s">
        <v>190</v>
      </c>
      <c r="AV843" s="319" t="s">
        <v>190</v>
      </c>
      <c r="AW843" s="319" t="s">
        <v>190</v>
      </c>
      <c r="AX843" s="319" t="s">
        <v>428</v>
      </c>
      <c r="AY843" s="319" t="s">
        <v>190</v>
      </c>
      <c r="AZ843" s="319" t="s">
        <v>190</v>
      </c>
      <c r="BA843" s="319" t="s">
        <v>190</v>
      </c>
      <c r="BB843" s="319" t="s">
        <v>190</v>
      </c>
      <c r="BC843" s="319" t="s">
        <v>190</v>
      </c>
      <c r="BD843" s="319" t="s">
        <v>190</v>
      </c>
      <c r="BE843" s="319" t="s">
        <v>190</v>
      </c>
      <c r="BF843" s="319" t="s">
        <v>428</v>
      </c>
      <c r="BG843" s="319" t="s">
        <v>190</v>
      </c>
      <c r="BH843" s="319" t="s">
        <v>190</v>
      </c>
      <c r="BI843" s="319" t="s">
        <v>190</v>
      </c>
      <c r="BJ843" s="319" t="s">
        <v>191</v>
      </c>
      <c r="BK843" s="319" t="s">
        <v>191</v>
      </c>
      <c r="BL843" s="319" t="s">
        <v>191</v>
      </c>
      <c r="BM843" s="319" t="s">
        <v>190</v>
      </c>
      <c r="BN843" s="319" t="s">
        <v>190</v>
      </c>
      <c r="BO843" s="319" t="s">
        <v>190</v>
      </c>
      <c r="BP843" s="319" t="s">
        <v>191</v>
      </c>
      <c r="BQ843" s="319" t="s">
        <v>191</v>
      </c>
      <c r="BR843" s="319" t="s">
        <v>190</v>
      </c>
      <c r="BS843" s="319" t="s">
        <v>190</v>
      </c>
      <c r="BT843" s="319" t="s">
        <v>190</v>
      </c>
      <c r="BU843" s="319" t="s">
        <v>191</v>
      </c>
      <c r="BV843" s="319" t="s">
        <v>190</v>
      </c>
      <c r="BW843" s="319" t="s">
        <v>190</v>
      </c>
      <c r="BX843" s="319" t="s">
        <v>190</v>
      </c>
      <c r="BY843" s="319" t="s">
        <v>190</v>
      </c>
      <c r="BZ843" s="319" t="s">
        <v>190</v>
      </c>
      <c r="CA843" s="319" t="s">
        <v>190</v>
      </c>
      <c r="CB843" s="319" t="s">
        <v>190</v>
      </c>
      <c r="CC843" s="319" t="s">
        <v>190</v>
      </c>
      <c r="CD843" s="319" t="s">
        <v>190</v>
      </c>
      <c r="CE843" s="319" t="s">
        <v>190</v>
      </c>
      <c r="CF843" s="319" t="s">
        <v>190</v>
      </c>
      <c r="CG843" s="319" t="s">
        <v>190</v>
      </c>
      <c r="CH843" s="319" t="s">
        <v>190</v>
      </c>
      <c r="CI843" s="319" t="s">
        <v>190</v>
      </c>
      <c r="CJ843" s="319" t="s">
        <v>190</v>
      </c>
      <c r="CK843" s="319" t="s">
        <v>190</v>
      </c>
      <c r="CL843" s="319" t="s">
        <v>190</v>
      </c>
      <c r="CM843" s="319" t="s">
        <v>190</v>
      </c>
      <c r="CN843" s="319" t="s">
        <v>190</v>
      </c>
      <c r="CO843" s="319" t="s">
        <v>190</v>
      </c>
      <c r="CP843" s="319" t="s">
        <v>190</v>
      </c>
      <c r="CQ843" s="319" t="s">
        <v>190</v>
      </c>
      <c r="CR843" s="319" t="s">
        <v>190</v>
      </c>
      <c r="CS843" s="319" t="s">
        <v>190</v>
      </c>
      <c r="CT843" s="319" t="s">
        <v>190</v>
      </c>
      <c r="CU843" s="319" t="s">
        <v>190</v>
      </c>
      <c r="CV843" s="319" t="s">
        <v>191</v>
      </c>
      <c r="CW843" s="319" t="s">
        <v>190</v>
      </c>
      <c r="CX843" s="319" t="s">
        <v>191</v>
      </c>
      <c r="CY843" s="319" t="s">
        <v>190</v>
      </c>
      <c r="CZ843" s="319" t="s">
        <v>190</v>
      </c>
      <c r="DA843" s="319" t="s">
        <v>190</v>
      </c>
      <c r="DB843" s="319" t="s">
        <v>190</v>
      </c>
      <c r="DC843" s="319" t="s">
        <v>190</v>
      </c>
      <c r="DD843" s="319" t="s">
        <v>190</v>
      </c>
      <c r="DE843" s="319" t="s">
        <v>190</v>
      </c>
      <c r="DF843" s="319" t="s">
        <v>190</v>
      </c>
      <c r="DG843" s="319" t="s">
        <v>190</v>
      </c>
      <c r="DH843" s="319" t="s">
        <v>190</v>
      </c>
      <c r="DI843" s="319" t="s">
        <v>190</v>
      </c>
      <c r="DJ843" s="319" t="s">
        <v>190</v>
      </c>
      <c r="DK843" s="319" t="s">
        <v>190</v>
      </c>
      <c r="DL843" s="319" t="s">
        <v>190</v>
      </c>
      <c r="DM843" s="319" t="s">
        <v>190</v>
      </c>
      <c r="DN843" s="319" t="s">
        <v>190</v>
      </c>
      <c r="DO843" s="319" t="s">
        <v>190</v>
      </c>
      <c r="DP843" s="319" t="s">
        <v>190</v>
      </c>
      <c r="DQ843" s="319" t="s">
        <v>190</v>
      </c>
      <c r="DR843" s="319" t="s">
        <v>190</v>
      </c>
      <c r="DS843" s="319" t="s">
        <v>190</v>
      </c>
      <c r="DT843" s="319" t="s">
        <v>190</v>
      </c>
      <c r="DU843" s="319" t="s">
        <v>190</v>
      </c>
      <c r="DV843" s="319" t="s">
        <v>190</v>
      </c>
      <c r="DW843" s="319" t="s">
        <v>190</v>
      </c>
      <c r="DX843" s="319" t="s">
        <v>190</v>
      </c>
      <c r="DY843" s="319" t="s">
        <v>190</v>
      </c>
      <c r="DZ843" s="319" t="s">
        <v>190</v>
      </c>
      <c r="EA843" s="319" t="s">
        <v>190</v>
      </c>
      <c r="EB843" s="319" t="s">
        <v>190</v>
      </c>
      <c r="EC843" s="319" t="s">
        <v>190</v>
      </c>
      <c r="ED843" s="319" t="s">
        <v>190</v>
      </c>
      <c r="EE843" s="319" t="s">
        <v>190</v>
      </c>
      <c r="EF843" s="319" t="s">
        <v>190</v>
      </c>
      <c r="EG843" s="319" t="s">
        <v>190</v>
      </c>
      <c r="EH843" s="319" t="s">
        <v>190</v>
      </c>
      <c r="EI843" s="319" t="s">
        <v>190</v>
      </c>
      <c r="EJ843" s="319" t="s">
        <v>190</v>
      </c>
      <c r="EK843" s="319" t="s">
        <v>190</v>
      </c>
      <c r="EL843" s="319" t="s">
        <v>190</v>
      </c>
      <c r="EM843" s="319" t="s">
        <v>190</v>
      </c>
      <c r="EN843" s="319" t="s">
        <v>190</v>
      </c>
      <c r="EO843" s="319" t="s">
        <v>190</v>
      </c>
      <c r="EP843" s="319" t="s">
        <v>190</v>
      </c>
      <c r="EQ843" s="319" t="s">
        <v>190</v>
      </c>
      <c r="ER843" s="319" t="s">
        <v>190</v>
      </c>
      <c r="ES843" s="319" t="s">
        <v>190</v>
      </c>
      <c r="ET843" s="319" t="s">
        <v>190</v>
      </c>
      <c r="EU843" s="319" t="s">
        <v>190</v>
      </c>
      <c r="EV843" s="319" t="s">
        <v>190</v>
      </c>
      <c r="EW843" s="319" t="s">
        <v>190</v>
      </c>
      <c r="EX843" s="319" t="s">
        <v>190</v>
      </c>
      <c r="EY843" s="319" t="s">
        <v>190</v>
      </c>
      <c r="EZ843" s="319" t="s">
        <v>190</v>
      </c>
      <c r="FA843" s="319" t="s">
        <v>190</v>
      </c>
      <c r="FB843" s="319" t="s">
        <v>190</v>
      </c>
      <c r="FC843" s="319" t="s">
        <v>190</v>
      </c>
      <c r="FD843" s="319" t="s">
        <v>190</v>
      </c>
      <c r="FE843" s="319" t="s">
        <v>190</v>
      </c>
      <c r="FF843" s="319" t="s">
        <v>190</v>
      </c>
      <c r="FG843" s="319" t="s">
        <v>190</v>
      </c>
      <c r="FH843" s="319" t="s">
        <v>190</v>
      </c>
      <c r="FI843" s="319" t="s">
        <v>190</v>
      </c>
      <c r="FJ843" s="319" t="s">
        <v>190</v>
      </c>
      <c r="FK843" s="319" t="s">
        <v>190</v>
      </c>
      <c r="FL843" s="319" t="s">
        <v>190</v>
      </c>
      <c r="FM843" s="319" t="s">
        <v>190</v>
      </c>
      <c r="FN843" s="319" t="s">
        <v>428</v>
      </c>
      <c r="FO843" s="319" t="s">
        <v>190</v>
      </c>
      <c r="FP843" s="319" t="s">
        <v>191</v>
      </c>
      <c r="FQ843" s="319" t="s">
        <v>190</v>
      </c>
      <c r="FR843" s="319" t="s">
        <v>191</v>
      </c>
      <c r="FS843" s="319" t="s">
        <v>428</v>
      </c>
      <c r="FT843" s="319" t="s">
        <v>190</v>
      </c>
      <c r="FU843" s="319" t="s">
        <v>190</v>
      </c>
      <c r="FV843" s="319" t="s">
        <v>190</v>
      </c>
      <c r="FW843" s="319" t="s">
        <v>190</v>
      </c>
      <c r="FX843" s="319" t="s">
        <v>190</v>
      </c>
      <c r="FY843" s="319" t="s">
        <v>190</v>
      </c>
      <c r="FZ843" s="319" t="s">
        <v>190</v>
      </c>
      <c r="GA843" s="319" t="s">
        <v>190</v>
      </c>
      <c r="GB843" s="319" t="s">
        <v>190</v>
      </c>
      <c r="GC843" s="319" t="s">
        <v>190</v>
      </c>
      <c r="GD843" s="319" t="s">
        <v>190</v>
      </c>
      <c r="GE843" s="319" t="s">
        <v>190</v>
      </c>
      <c r="GF843" s="319" t="s">
        <v>190</v>
      </c>
      <c r="GG843" s="319" t="s">
        <v>190</v>
      </c>
      <c r="GH843" s="319" t="s">
        <v>190</v>
      </c>
      <c r="GI843" s="319" t="s">
        <v>190</v>
      </c>
      <c r="GJ843" s="319" t="s">
        <v>190</v>
      </c>
      <c r="GK843" s="319" t="s">
        <v>190</v>
      </c>
      <c r="GL843" s="319" t="s">
        <v>191</v>
      </c>
      <c r="GM843" s="319" t="s">
        <v>190</v>
      </c>
      <c r="GN843" s="319" t="s">
        <v>191</v>
      </c>
      <c r="GO843" s="319" t="s">
        <v>190</v>
      </c>
      <c r="GP843" s="319" t="s">
        <v>190</v>
      </c>
      <c r="GQ843" s="319" t="s">
        <v>190</v>
      </c>
      <c r="GR843" s="319" t="s">
        <v>190</v>
      </c>
      <c r="GS843" s="319" t="s">
        <v>190</v>
      </c>
      <c r="GT843" s="319" t="s">
        <v>191</v>
      </c>
      <c r="GU843" s="319" t="s">
        <v>190</v>
      </c>
      <c r="GV843" s="319" t="s">
        <v>190</v>
      </c>
      <c r="GW843" s="319" t="s">
        <v>190</v>
      </c>
      <c r="GX843" s="319" t="s">
        <v>190</v>
      </c>
      <c r="GY843" s="319" t="s">
        <v>190</v>
      </c>
      <c r="GZ843" s="319" t="s">
        <v>428</v>
      </c>
      <c r="HA843" s="319" t="s">
        <v>190</v>
      </c>
      <c r="HB843" s="319" t="s">
        <v>190</v>
      </c>
      <c r="HC843" s="319" t="s">
        <v>190</v>
      </c>
      <c r="HD843" s="319" t="s">
        <v>190</v>
      </c>
      <c r="HE843" s="319" t="s">
        <v>190</v>
      </c>
      <c r="HF843" s="319" t="s">
        <v>428</v>
      </c>
      <c r="HG843" s="319" t="s">
        <v>190</v>
      </c>
      <c r="HH843" s="319" t="s">
        <v>191</v>
      </c>
      <c r="HI843" s="319" t="s">
        <v>190</v>
      </c>
      <c r="HJ843" s="319" t="s">
        <v>190</v>
      </c>
      <c r="HK843" s="319" t="s">
        <v>190</v>
      </c>
      <c r="HL843" s="319" t="s">
        <v>190</v>
      </c>
      <c r="HM843" s="319" t="s">
        <v>428</v>
      </c>
      <c r="HN843" s="319" t="s">
        <v>428</v>
      </c>
      <c r="HO843" s="319" t="s">
        <v>428</v>
      </c>
      <c r="HP843" s="319" t="s">
        <v>190</v>
      </c>
      <c r="HQ843" s="319" t="s">
        <v>190</v>
      </c>
      <c r="HR843" s="319" t="s">
        <v>190</v>
      </c>
      <c r="HS843" s="319" t="s">
        <v>190</v>
      </c>
      <c r="HT843" s="319" t="s">
        <v>190</v>
      </c>
      <c r="HU843" s="319" t="s">
        <v>190</v>
      </c>
      <c r="HV843" s="319" t="s">
        <v>190</v>
      </c>
      <c r="HW843" s="319" t="s">
        <v>190</v>
      </c>
      <c r="HX843" s="319" t="s">
        <v>190</v>
      </c>
      <c r="HY843" s="319" t="s">
        <v>190</v>
      </c>
      <c r="HZ843" s="319" t="s">
        <v>190</v>
      </c>
      <c r="IA843" s="319" t="s">
        <v>190</v>
      </c>
      <c r="IB843" s="319" t="s">
        <v>190</v>
      </c>
      <c r="IC843" s="319" t="s">
        <v>190</v>
      </c>
      <c r="ID843" s="319" t="s">
        <v>190</v>
      </c>
      <c r="IE843" s="319" t="s">
        <v>190</v>
      </c>
      <c r="IF843" s="319" t="s">
        <v>191</v>
      </c>
      <c r="IG843" s="319" t="s">
        <v>191</v>
      </c>
      <c r="IH843" s="319" t="s">
        <v>191</v>
      </c>
      <c r="II843" s="319" t="s">
        <v>190</v>
      </c>
      <c r="IJ843" s="319">
        <v>10033609</v>
      </c>
      <c r="IK843" s="321">
        <v>43011</v>
      </c>
      <c r="IL843" s="321">
        <v>43013</v>
      </c>
      <c r="IM843" s="321">
        <v>43052</v>
      </c>
      <c r="IN843" s="319">
        <v>3</v>
      </c>
      <c r="IO843" s="319" t="s">
        <v>173</v>
      </c>
      <c r="IP843" s="319" t="s">
        <v>173</v>
      </c>
      <c r="IQ843" s="321" t="s">
        <v>173</v>
      </c>
      <c r="IR843" s="320" t="s">
        <v>173</v>
      </c>
      <c r="IS843" s="322" t="s">
        <v>173</v>
      </c>
      <c r="IT843" s="319" t="s">
        <v>173</v>
      </c>
    </row>
    <row r="844" spans="1:254" s="271" customFormat="1" x14ac:dyDescent="0.25">
      <c r="A844" s="318" t="str">
        <f>HYPERLINK("http://www.ofsted.gov.uk/inspection-reports/find-inspection-report/provider/ELS/142635 ","Ofsted School Webpage")</f>
        <v>Ofsted School Webpage</v>
      </c>
      <c r="B844" s="319">
        <v>142635</v>
      </c>
      <c r="C844" s="319">
        <v>8576006</v>
      </c>
      <c r="D844" s="319" t="s">
        <v>2348</v>
      </c>
      <c r="E844" s="319" t="s">
        <v>168</v>
      </c>
      <c r="F844" s="319" t="s">
        <v>81</v>
      </c>
      <c r="G844" s="319" t="s">
        <v>81</v>
      </c>
      <c r="H844" s="319" t="s">
        <v>81</v>
      </c>
      <c r="I844" s="319" t="s">
        <v>78</v>
      </c>
      <c r="J844" s="319" t="s">
        <v>424</v>
      </c>
      <c r="K844" s="319" t="s">
        <v>506</v>
      </c>
      <c r="L844" s="319" t="s">
        <v>506</v>
      </c>
      <c r="M844" s="319" t="s">
        <v>987</v>
      </c>
      <c r="N844" s="319" t="s">
        <v>2999</v>
      </c>
      <c r="O844" s="319" t="s">
        <v>2349</v>
      </c>
      <c r="P844" s="319">
        <v>8</v>
      </c>
      <c r="Q844" s="319" t="s">
        <v>429</v>
      </c>
      <c r="R844" s="320">
        <v>10026055</v>
      </c>
      <c r="S844" s="321">
        <v>42815</v>
      </c>
      <c r="T844" s="321">
        <v>42817</v>
      </c>
      <c r="U844" s="321">
        <v>42849</v>
      </c>
      <c r="V844" s="319" t="s">
        <v>425</v>
      </c>
      <c r="W844" s="319" t="s">
        <v>2767</v>
      </c>
      <c r="X844" s="319">
        <v>1</v>
      </c>
      <c r="Y844" s="319" t="s">
        <v>173</v>
      </c>
      <c r="Z844" s="319" t="s">
        <v>173</v>
      </c>
      <c r="AA844" s="319" t="s">
        <v>173</v>
      </c>
      <c r="AB844" s="319">
        <v>1</v>
      </c>
      <c r="AC844" s="319" t="s">
        <v>169</v>
      </c>
      <c r="AD844" s="319" t="s">
        <v>173</v>
      </c>
      <c r="AE844" s="319">
        <v>1</v>
      </c>
      <c r="AF844" s="319" t="s">
        <v>173</v>
      </c>
      <c r="AG844" s="319" t="s">
        <v>171</v>
      </c>
      <c r="AH844" s="319" t="s">
        <v>190</v>
      </c>
      <c r="AI844" s="319" t="s">
        <v>190</v>
      </c>
      <c r="AJ844" s="319" t="s">
        <v>190</v>
      </c>
      <c r="AK844" s="319" t="s">
        <v>190</v>
      </c>
      <c r="AL844" s="319" t="s">
        <v>190</v>
      </c>
      <c r="AM844" s="319" t="s">
        <v>190</v>
      </c>
      <c r="AN844" s="319" t="s">
        <v>190</v>
      </c>
      <c r="AO844" s="319" t="s">
        <v>190</v>
      </c>
      <c r="AP844" s="319" t="s">
        <v>190</v>
      </c>
      <c r="AQ844" s="319" t="s">
        <v>190</v>
      </c>
      <c r="AR844" s="319" t="s">
        <v>190</v>
      </c>
      <c r="AS844" s="319" t="s">
        <v>190</v>
      </c>
      <c r="AT844" s="319" t="s">
        <v>190</v>
      </c>
      <c r="AU844" s="319" t="s">
        <v>190</v>
      </c>
      <c r="AV844" s="319" t="s">
        <v>190</v>
      </c>
      <c r="AW844" s="319" t="s">
        <v>190</v>
      </c>
      <c r="AX844" s="319" t="s">
        <v>429</v>
      </c>
      <c r="AY844" s="319" t="s">
        <v>190</v>
      </c>
      <c r="AZ844" s="319" t="s">
        <v>190</v>
      </c>
      <c r="BA844" s="319" t="s">
        <v>190</v>
      </c>
      <c r="BB844" s="319" t="s">
        <v>190</v>
      </c>
      <c r="BC844" s="319" t="s">
        <v>190</v>
      </c>
      <c r="BD844" s="319" t="s">
        <v>190</v>
      </c>
      <c r="BE844" s="319" t="s">
        <v>190</v>
      </c>
      <c r="BF844" s="319" t="s">
        <v>429</v>
      </c>
      <c r="BG844" s="319" t="s">
        <v>190</v>
      </c>
      <c r="BH844" s="319" t="s">
        <v>190</v>
      </c>
      <c r="BI844" s="319" t="s">
        <v>190</v>
      </c>
      <c r="BJ844" s="319" t="s">
        <v>190</v>
      </c>
      <c r="BK844" s="319" t="s">
        <v>190</v>
      </c>
      <c r="BL844" s="319" t="s">
        <v>190</v>
      </c>
      <c r="BM844" s="319" t="s">
        <v>190</v>
      </c>
      <c r="BN844" s="319" t="s">
        <v>190</v>
      </c>
      <c r="BO844" s="319" t="s">
        <v>190</v>
      </c>
      <c r="BP844" s="319" t="s">
        <v>190</v>
      </c>
      <c r="BQ844" s="319" t="s">
        <v>190</v>
      </c>
      <c r="BR844" s="319" t="s">
        <v>190</v>
      </c>
      <c r="BS844" s="319" t="s">
        <v>190</v>
      </c>
      <c r="BT844" s="319" t="s">
        <v>190</v>
      </c>
      <c r="BU844" s="319" t="s">
        <v>190</v>
      </c>
      <c r="BV844" s="319" t="s">
        <v>190</v>
      </c>
      <c r="BW844" s="319" t="s">
        <v>190</v>
      </c>
      <c r="BX844" s="319" t="s">
        <v>190</v>
      </c>
      <c r="BY844" s="319" t="s">
        <v>190</v>
      </c>
      <c r="BZ844" s="319" t="s">
        <v>190</v>
      </c>
      <c r="CA844" s="319" t="s">
        <v>190</v>
      </c>
      <c r="CB844" s="319" t="s">
        <v>190</v>
      </c>
      <c r="CC844" s="319" t="s">
        <v>190</v>
      </c>
      <c r="CD844" s="319" t="s">
        <v>190</v>
      </c>
      <c r="CE844" s="319" t="s">
        <v>190</v>
      </c>
      <c r="CF844" s="319" t="s">
        <v>190</v>
      </c>
      <c r="CG844" s="319" t="s">
        <v>190</v>
      </c>
      <c r="CH844" s="319" t="s">
        <v>190</v>
      </c>
      <c r="CI844" s="319" t="s">
        <v>190</v>
      </c>
      <c r="CJ844" s="319" t="s">
        <v>190</v>
      </c>
      <c r="CK844" s="319" t="s">
        <v>190</v>
      </c>
      <c r="CL844" s="319" t="s">
        <v>190</v>
      </c>
      <c r="CM844" s="319" t="s">
        <v>190</v>
      </c>
      <c r="CN844" s="319" t="s">
        <v>429</v>
      </c>
      <c r="CO844" s="319" t="s">
        <v>429</v>
      </c>
      <c r="CP844" s="319" t="s">
        <v>429</v>
      </c>
      <c r="CQ844" s="319" t="s">
        <v>190</v>
      </c>
      <c r="CR844" s="319" t="s">
        <v>190</v>
      </c>
      <c r="CS844" s="319" t="s">
        <v>190</v>
      </c>
      <c r="CT844" s="319" t="s">
        <v>190</v>
      </c>
      <c r="CU844" s="319" t="s">
        <v>190</v>
      </c>
      <c r="CV844" s="319" t="s">
        <v>190</v>
      </c>
      <c r="CW844" s="319" t="s">
        <v>190</v>
      </c>
      <c r="CX844" s="319" t="s">
        <v>190</v>
      </c>
      <c r="CY844" s="319" t="s">
        <v>190</v>
      </c>
      <c r="CZ844" s="319" t="s">
        <v>190</v>
      </c>
      <c r="DA844" s="319" t="s">
        <v>190</v>
      </c>
      <c r="DB844" s="319" t="s">
        <v>190</v>
      </c>
      <c r="DC844" s="319" t="s">
        <v>190</v>
      </c>
      <c r="DD844" s="319" t="s">
        <v>190</v>
      </c>
      <c r="DE844" s="319" t="s">
        <v>190</v>
      </c>
      <c r="DF844" s="319" t="s">
        <v>190</v>
      </c>
      <c r="DG844" s="319" t="s">
        <v>190</v>
      </c>
      <c r="DH844" s="319" t="s">
        <v>190</v>
      </c>
      <c r="DI844" s="319" t="s">
        <v>190</v>
      </c>
      <c r="DJ844" s="319" t="s">
        <v>190</v>
      </c>
      <c r="DK844" s="319" t="s">
        <v>190</v>
      </c>
      <c r="DL844" s="319" t="s">
        <v>190</v>
      </c>
      <c r="DM844" s="319" t="s">
        <v>190</v>
      </c>
      <c r="DN844" s="319" t="s">
        <v>429</v>
      </c>
      <c r="DO844" s="319" t="s">
        <v>190</v>
      </c>
      <c r="DP844" s="319" t="s">
        <v>429</v>
      </c>
      <c r="DQ844" s="319" t="s">
        <v>429</v>
      </c>
      <c r="DR844" s="319" t="s">
        <v>429</v>
      </c>
      <c r="DS844" s="319" t="s">
        <v>429</v>
      </c>
      <c r="DT844" s="319" t="s">
        <v>429</v>
      </c>
      <c r="DU844" s="319" t="s">
        <v>429</v>
      </c>
      <c r="DV844" s="319" t="s">
        <v>173</v>
      </c>
      <c r="DW844" s="319" t="s">
        <v>429</v>
      </c>
      <c r="DX844" s="319" t="s">
        <v>429</v>
      </c>
      <c r="DY844" s="319" t="s">
        <v>429</v>
      </c>
      <c r="DZ844" s="319" t="s">
        <v>429</v>
      </c>
      <c r="EA844" s="319" t="s">
        <v>429</v>
      </c>
      <c r="EB844" s="319" t="s">
        <v>429</v>
      </c>
      <c r="EC844" s="319" t="s">
        <v>429</v>
      </c>
      <c r="ED844" s="319" t="s">
        <v>190</v>
      </c>
      <c r="EE844" s="319" t="s">
        <v>190</v>
      </c>
      <c r="EF844" s="319" t="s">
        <v>190</v>
      </c>
      <c r="EG844" s="319" t="s">
        <v>190</v>
      </c>
      <c r="EH844" s="319" t="s">
        <v>190</v>
      </c>
      <c r="EI844" s="319" t="s">
        <v>190</v>
      </c>
      <c r="EJ844" s="319" t="s">
        <v>190</v>
      </c>
      <c r="EK844" s="319" t="s">
        <v>190</v>
      </c>
      <c r="EL844" s="319" t="s">
        <v>190</v>
      </c>
      <c r="EM844" s="319" t="s">
        <v>429</v>
      </c>
      <c r="EN844" s="319" t="s">
        <v>190</v>
      </c>
      <c r="EO844" s="319" t="s">
        <v>190</v>
      </c>
      <c r="EP844" s="319" t="s">
        <v>190</v>
      </c>
      <c r="EQ844" s="319" t="s">
        <v>190</v>
      </c>
      <c r="ER844" s="319" t="s">
        <v>190</v>
      </c>
      <c r="ES844" s="319" t="s">
        <v>190</v>
      </c>
      <c r="ET844" s="319" t="s">
        <v>190</v>
      </c>
      <c r="EU844" s="319" t="s">
        <v>190</v>
      </c>
      <c r="EV844" s="319" t="s">
        <v>190</v>
      </c>
      <c r="EW844" s="319" t="s">
        <v>190</v>
      </c>
      <c r="EX844" s="319" t="s">
        <v>190</v>
      </c>
      <c r="EY844" s="319" t="s">
        <v>190</v>
      </c>
      <c r="EZ844" s="319" t="s">
        <v>190</v>
      </c>
      <c r="FA844" s="319" t="s">
        <v>429</v>
      </c>
      <c r="FB844" s="319" t="s">
        <v>429</v>
      </c>
      <c r="FC844" s="319" t="s">
        <v>429</v>
      </c>
      <c r="FD844" s="319" t="s">
        <v>429</v>
      </c>
      <c r="FE844" s="319" t="s">
        <v>429</v>
      </c>
      <c r="FF844" s="319" t="s">
        <v>429</v>
      </c>
      <c r="FG844" s="319" t="s">
        <v>429</v>
      </c>
      <c r="FH844" s="319" t="s">
        <v>190</v>
      </c>
      <c r="FI844" s="319" t="s">
        <v>429</v>
      </c>
      <c r="FJ844" s="319" t="s">
        <v>429</v>
      </c>
      <c r="FK844" s="319" t="s">
        <v>429</v>
      </c>
      <c r="FL844" s="319" t="s">
        <v>190</v>
      </c>
      <c r="FM844" s="319" t="s">
        <v>190</v>
      </c>
      <c r="FN844" s="319" t="s">
        <v>190</v>
      </c>
      <c r="FO844" s="319" t="s">
        <v>190</v>
      </c>
      <c r="FP844" s="319" t="s">
        <v>190</v>
      </c>
      <c r="FQ844" s="319" t="s">
        <v>190</v>
      </c>
      <c r="FR844" s="319" t="s">
        <v>190</v>
      </c>
      <c r="FS844" s="319" t="s">
        <v>429</v>
      </c>
      <c r="FT844" s="319" t="s">
        <v>190</v>
      </c>
      <c r="FU844" s="319" t="s">
        <v>190</v>
      </c>
      <c r="FV844" s="319" t="s">
        <v>190</v>
      </c>
      <c r="FW844" s="319" t="s">
        <v>190</v>
      </c>
      <c r="FX844" s="319" t="s">
        <v>190</v>
      </c>
      <c r="FY844" s="319" t="s">
        <v>190</v>
      </c>
      <c r="FZ844" s="319" t="s">
        <v>190</v>
      </c>
      <c r="GA844" s="319" t="s">
        <v>190</v>
      </c>
      <c r="GB844" s="319" t="s">
        <v>190</v>
      </c>
      <c r="GC844" s="319" t="s">
        <v>190</v>
      </c>
      <c r="GD844" s="319" t="s">
        <v>190</v>
      </c>
      <c r="GE844" s="319" t="s">
        <v>190</v>
      </c>
      <c r="GF844" s="319" t="s">
        <v>190</v>
      </c>
      <c r="GG844" s="319" t="s">
        <v>190</v>
      </c>
      <c r="GH844" s="319" t="s">
        <v>190</v>
      </c>
      <c r="GI844" s="319" t="s">
        <v>190</v>
      </c>
      <c r="GJ844" s="319" t="s">
        <v>190</v>
      </c>
      <c r="GK844" s="319" t="s">
        <v>429</v>
      </c>
      <c r="GL844" s="319" t="s">
        <v>190</v>
      </c>
      <c r="GM844" s="319" t="s">
        <v>190</v>
      </c>
      <c r="GN844" s="319" t="s">
        <v>190</v>
      </c>
      <c r="GO844" s="319" t="s">
        <v>190</v>
      </c>
      <c r="GP844" s="319" t="s">
        <v>190</v>
      </c>
      <c r="GQ844" s="319" t="s">
        <v>429</v>
      </c>
      <c r="GR844" s="319" t="s">
        <v>190</v>
      </c>
      <c r="GS844" s="319" t="s">
        <v>190</v>
      </c>
      <c r="GT844" s="319" t="s">
        <v>190</v>
      </c>
      <c r="GU844" s="319" t="s">
        <v>190</v>
      </c>
      <c r="GV844" s="319" t="s">
        <v>429</v>
      </c>
      <c r="GW844" s="319" t="s">
        <v>190</v>
      </c>
      <c r="GX844" s="319" t="s">
        <v>190</v>
      </c>
      <c r="GY844" s="319" t="s">
        <v>190</v>
      </c>
      <c r="GZ844" s="319" t="s">
        <v>429</v>
      </c>
      <c r="HA844" s="319" t="s">
        <v>190</v>
      </c>
      <c r="HB844" s="319" t="s">
        <v>190</v>
      </c>
      <c r="HC844" s="319" t="s">
        <v>190</v>
      </c>
      <c r="HD844" s="319" t="s">
        <v>190</v>
      </c>
      <c r="HE844" s="319" t="s">
        <v>190</v>
      </c>
      <c r="HF844" s="319" t="s">
        <v>190</v>
      </c>
      <c r="HG844" s="319" t="s">
        <v>190</v>
      </c>
      <c r="HH844" s="319" t="s">
        <v>190</v>
      </c>
      <c r="HI844" s="319" t="s">
        <v>190</v>
      </c>
      <c r="HJ844" s="319" t="s">
        <v>190</v>
      </c>
      <c r="HK844" s="319" t="s">
        <v>190</v>
      </c>
      <c r="HL844" s="319" t="s">
        <v>429</v>
      </c>
      <c r="HM844" s="319" t="s">
        <v>429</v>
      </c>
      <c r="HN844" s="319" t="s">
        <v>429</v>
      </c>
      <c r="HO844" s="319" t="s">
        <v>429</v>
      </c>
      <c r="HP844" s="319" t="s">
        <v>190</v>
      </c>
      <c r="HQ844" s="319" t="s">
        <v>190</v>
      </c>
      <c r="HR844" s="319" t="s">
        <v>190</v>
      </c>
      <c r="HS844" s="319" t="s">
        <v>190</v>
      </c>
      <c r="HT844" s="319" t="s">
        <v>190</v>
      </c>
      <c r="HU844" s="319" t="s">
        <v>190</v>
      </c>
      <c r="HV844" s="319" t="s">
        <v>190</v>
      </c>
      <c r="HW844" s="319" t="s">
        <v>190</v>
      </c>
      <c r="HX844" s="319" t="s">
        <v>190</v>
      </c>
      <c r="HY844" s="319" t="s">
        <v>190</v>
      </c>
      <c r="HZ844" s="319" t="s">
        <v>190</v>
      </c>
      <c r="IA844" s="319" t="s">
        <v>190</v>
      </c>
      <c r="IB844" s="319" t="s">
        <v>190</v>
      </c>
      <c r="IC844" s="319" t="s">
        <v>190</v>
      </c>
      <c r="ID844" s="319" t="s">
        <v>190</v>
      </c>
      <c r="IE844" s="319" t="s">
        <v>190</v>
      </c>
      <c r="IF844" s="319" t="s">
        <v>190</v>
      </c>
      <c r="IG844" s="319" t="s">
        <v>190</v>
      </c>
      <c r="IH844" s="319" t="s">
        <v>190</v>
      </c>
      <c r="II844" s="319" t="s">
        <v>190</v>
      </c>
      <c r="IJ844" s="319" t="s">
        <v>173</v>
      </c>
      <c r="IK844" s="319" t="s">
        <v>173</v>
      </c>
      <c r="IL844" s="319" t="s">
        <v>173</v>
      </c>
      <c r="IM844" s="319" t="s">
        <v>173</v>
      </c>
      <c r="IN844" s="319" t="s">
        <v>173</v>
      </c>
      <c r="IO844" s="319" t="s">
        <v>173</v>
      </c>
      <c r="IP844" s="319" t="s">
        <v>173</v>
      </c>
      <c r="IQ844" s="321" t="s">
        <v>173</v>
      </c>
      <c r="IR844" s="320" t="s">
        <v>173</v>
      </c>
      <c r="IS844" s="322" t="s">
        <v>173</v>
      </c>
      <c r="IT844" s="319" t="s">
        <v>173</v>
      </c>
    </row>
    <row r="845" spans="1:254" s="271" customFormat="1" x14ac:dyDescent="0.25">
      <c r="A845" s="318" t="str">
        <f>HYPERLINK("http://www.ofsted.gov.uk/inspection-reports/find-inspection-report/provider/ELS/142657 ","Ofsted School Webpage")</f>
        <v>Ofsted School Webpage</v>
      </c>
      <c r="B845" s="319">
        <v>142657</v>
      </c>
      <c r="C845" s="319">
        <v>8606043</v>
      </c>
      <c r="D845" s="319" t="s">
        <v>2350</v>
      </c>
      <c r="E845" s="319" t="s">
        <v>167</v>
      </c>
      <c r="F845" s="319" t="s">
        <v>81</v>
      </c>
      <c r="G845" s="319" t="s">
        <v>81</v>
      </c>
      <c r="H845" s="319" t="s">
        <v>81</v>
      </c>
      <c r="I845" s="319" t="s">
        <v>78</v>
      </c>
      <c r="J845" s="319" t="s">
        <v>424</v>
      </c>
      <c r="K845" s="319" t="s">
        <v>437</v>
      </c>
      <c r="L845" s="319" t="s">
        <v>437</v>
      </c>
      <c r="M845" s="319" t="s">
        <v>577</v>
      </c>
      <c r="N845" s="319" t="s">
        <v>3033</v>
      </c>
      <c r="O845" s="319" t="s">
        <v>2351</v>
      </c>
      <c r="P845" s="319">
        <v>3</v>
      </c>
      <c r="Q845" s="319" t="s">
        <v>2766</v>
      </c>
      <c r="R845" s="320">
        <v>10039280</v>
      </c>
      <c r="S845" s="321">
        <v>43074</v>
      </c>
      <c r="T845" s="321">
        <v>43075</v>
      </c>
      <c r="U845" s="321">
        <v>43122</v>
      </c>
      <c r="V845" s="319" t="s">
        <v>435</v>
      </c>
      <c r="W845" s="319" t="s">
        <v>2767</v>
      </c>
      <c r="X845" s="319">
        <v>2</v>
      </c>
      <c r="Y845" s="319" t="s">
        <v>173</v>
      </c>
      <c r="Z845" s="319" t="s">
        <v>173</v>
      </c>
      <c r="AA845" s="319" t="s">
        <v>173</v>
      </c>
      <c r="AB845" s="319">
        <v>2</v>
      </c>
      <c r="AC845" s="319" t="s">
        <v>169</v>
      </c>
      <c r="AD845" s="319" t="s">
        <v>173</v>
      </c>
      <c r="AE845" s="319" t="s">
        <v>173</v>
      </c>
      <c r="AF845" s="319" t="s">
        <v>427</v>
      </c>
      <c r="AG845" s="319" t="s">
        <v>171</v>
      </c>
      <c r="AH845" s="319" t="s">
        <v>190</v>
      </c>
      <c r="AI845" s="319" t="s">
        <v>190</v>
      </c>
      <c r="AJ845" s="319" t="s">
        <v>190</v>
      </c>
      <c r="AK845" s="319" t="s">
        <v>190</v>
      </c>
      <c r="AL845" s="319" t="s">
        <v>190</v>
      </c>
      <c r="AM845" s="319" t="s">
        <v>190</v>
      </c>
      <c r="AN845" s="319" t="s">
        <v>190</v>
      </c>
      <c r="AO845" s="319" t="s">
        <v>190</v>
      </c>
      <c r="AP845" s="319" t="s">
        <v>190</v>
      </c>
      <c r="AQ845" s="319" t="s">
        <v>190</v>
      </c>
      <c r="AR845" s="319" t="s">
        <v>190</v>
      </c>
      <c r="AS845" s="319" t="s">
        <v>190</v>
      </c>
      <c r="AT845" s="319" t="s">
        <v>190</v>
      </c>
      <c r="AU845" s="319" t="s">
        <v>190</v>
      </c>
      <c r="AV845" s="319" t="s">
        <v>190</v>
      </c>
      <c r="AW845" s="319" t="s">
        <v>190</v>
      </c>
      <c r="AX845" s="319" t="s">
        <v>428</v>
      </c>
      <c r="AY845" s="319" t="s">
        <v>190</v>
      </c>
      <c r="AZ845" s="319" t="s">
        <v>190</v>
      </c>
      <c r="BA845" s="319" t="s">
        <v>190</v>
      </c>
      <c r="BB845" s="319" t="s">
        <v>190</v>
      </c>
      <c r="BC845" s="319" t="s">
        <v>190</v>
      </c>
      <c r="BD845" s="319" t="s">
        <v>190</v>
      </c>
      <c r="BE845" s="319" t="s">
        <v>190</v>
      </c>
      <c r="BF845" s="319" t="s">
        <v>428</v>
      </c>
      <c r="BG845" s="319" t="s">
        <v>428</v>
      </c>
      <c r="BH845" s="319" t="s">
        <v>190</v>
      </c>
      <c r="BI845" s="319" t="s">
        <v>190</v>
      </c>
      <c r="BJ845" s="319" t="s">
        <v>190</v>
      </c>
      <c r="BK845" s="319" t="s">
        <v>190</v>
      </c>
      <c r="BL845" s="319" t="s">
        <v>190</v>
      </c>
      <c r="BM845" s="319" t="s">
        <v>190</v>
      </c>
      <c r="BN845" s="319" t="s">
        <v>190</v>
      </c>
      <c r="BO845" s="319" t="s">
        <v>190</v>
      </c>
      <c r="BP845" s="319" t="s">
        <v>190</v>
      </c>
      <c r="BQ845" s="319" t="s">
        <v>190</v>
      </c>
      <c r="BR845" s="319" t="s">
        <v>190</v>
      </c>
      <c r="BS845" s="319" t="s">
        <v>190</v>
      </c>
      <c r="BT845" s="319" t="s">
        <v>190</v>
      </c>
      <c r="BU845" s="319" t="s">
        <v>190</v>
      </c>
      <c r="BV845" s="319" t="s">
        <v>190</v>
      </c>
      <c r="BW845" s="319" t="s">
        <v>190</v>
      </c>
      <c r="BX845" s="319" t="s">
        <v>190</v>
      </c>
      <c r="BY845" s="319" t="s">
        <v>190</v>
      </c>
      <c r="BZ845" s="319" t="s">
        <v>190</v>
      </c>
      <c r="CA845" s="319" t="s">
        <v>190</v>
      </c>
      <c r="CB845" s="319" t="s">
        <v>190</v>
      </c>
      <c r="CC845" s="319" t="s">
        <v>190</v>
      </c>
      <c r="CD845" s="319" t="s">
        <v>190</v>
      </c>
      <c r="CE845" s="319" t="s">
        <v>190</v>
      </c>
      <c r="CF845" s="319" t="s">
        <v>190</v>
      </c>
      <c r="CG845" s="319" t="s">
        <v>190</v>
      </c>
      <c r="CH845" s="319" t="s">
        <v>190</v>
      </c>
      <c r="CI845" s="319" t="s">
        <v>190</v>
      </c>
      <c r="CJ845" s="319" t="s">
        <v>190</v>
      </c>
      <c r="CK845" s="319" t="s">
        <v>190</v>
      </c>
      <c r="CL845" s="319" t="s">
        <v>190</v>
      </c>
      <c r="CM845" s="319" t="s">
        <v>190</v>
      </c>
      <c r="CN845" s="319" t="s">
        <v>190</v>
      </c>
      <c r="CO845" s="319" t="s">
        <v>190</v>
      </c>
      <c r="CP845" s="319" t="s">
        <v>428</v>
      </c>
      <c r="CQ845" s="319" t="s">
        <v>190</v>
      </c>
      <c r="CR845" s="319" t="s">
        <v>190</v>
      </c>
      <c r="CS845" s="319" t="s">
        <v>190</v>
      </c>
      <c r="CT845" s="319" t="s">
        <v>190</v>
      </c>
      <c r="CU845" s="319" t="s">
        <v>190</v>
      </c>
      <c r="CV845" s="319" t="s">
        <v>190</v>
      </c>
      <c r="CW845" s="319" t="s">
        <v>190</v>
      </c>
      <c r="CX845" s="319" t="s">
        <v>190</v>
      </c>
      <c r="CY845" s="319" t="s">
        <v>190</v>
      </c>
      <c r="CZ845" s="319" t="s">
        <v>190</v>
      </c>
      <c r="DA845" s="319" t="s">
        <v>190</v>
      </c>
      <c r="DB845" s="319" t="s">
        <v>190</v>
      </c>
      <c r="DC845" s="319" t="s">
        <v>190</v>
      </c>
      <c r="DD845" s="319" t="s">
        <v>190</v>
      </c>
      <c r="DE845" s="319" t="s">
        <v>190</v>
      </c>
      <c r="DF845" s="319" t="s">
        <v>190</v>
      </c>
      <c r="DG845" s="319" t="s">
        <v>190</v>
      </c>
      <c r="DH845" s="319" t="s">
        <v>190</v>
      </c>
      <c r="DI845" s="319" t="s">
        <v>190</v>
      </c>
      <c r="DJ845" s="319" t="s">
        <v>190</v>
      </c>
      <c r="DK845" s="319" t="s">
        <v>190</v>
      </c>
      <c r="DL845" s="319" t="s">
        <v>190</v>
      </c>
      <c r="DM845" s="319" t="s">
        <v>190</v>
      </c>
      <c r="DN845" s="319" t="s">
        <v>428</v>
      </c>
      <c r="DO845" s="319" t="s">
        <v>190</v>
      </c>
      <c r="DP845" s="319" t="s">
        <v>190</v>
      </c>
      <c r="DQ845" s="319" t="s">
        <v>190</v>
      </c>
      <c r="DR845" s="319" t="s">
        <v>190</v>
      </c>
      <c r="DS845" s="319" t="s">
        <v>190</v>
      </c>
      <c r="DT845" s="319" t="s">
        <v>190</v>
      </c>
      <c r="DU845" s="319" t="s">
        <v>190</v>
      </c>
      <c r="DV845" s="319" t="s">
        <v>173</v>
      </c>
      <c r="DW845" s="319" t="s">
        <v>190</v>
      </c>
      <c r="DX845" s="319" t="s">
        <v>190</v>
      </c>
      <c r="DY845" s="319" t="s">
        <v>190</v>
      </c>
      <c r="DZ845" s="319" t="s">
        <v>190</v>
      </c>
      <c r="EA845" s="319" t="s">
        <v>190</v>
      </c>
      <c r="EB845" s="319" t="s">
        <v>190</v>
      </c>
      <c r="EC845" s="319" t="s">
        <v>428</v>
      </c>
      <c r="ED845" s="319" t="s">
        <v>190</v>
      </c>
      <c r="EE845" s="319" t="s">
        <v>190</v>
      </c>
      <c r="EF845" s="319" t="s">
        <v>190</v>
      </c>
      <c r="EG845" s="319" t="s">
        <v>190</v>
      </c>
      <c r="EH845" s="319" t="s">
        <v>190</v>
      </c>
      <c r="EI845" s="319" t="s">
        <v>190</v>
      </c>
      <c r="EJ845" s="319" t="s">
        <v>190</v>
      </c>
      <c r="EK845" s="319" t="s">
        <v>190</v>
      </c>
      <c r="EL845" s="319" t="s">
        <v>190</v>
      </c>
      <c r="EM845" s="319" t="s">
        <v>190</v>
      </c>
      <c r="EN845" s="319" t="s">
        <v>190</v>
      </c>
      <c r="EO845" s="319" t="s">
        <v>190</v>
      </c>
      <c r="EP845" s="319" t="s">
        <v>190</v>
      </c>
      <c r="EQ845" s="319" t="s">
        <v>190</v>
      </c>
      <c r="ER845" s="319" t="s">
        <v>190</v>
      </c>
      <c r="ES845" s="319" t="s">
        <v>190</v>
      </c>
      <c r="ET845" s="319" t="s">
        <v>190</v>
      </c>
      <c r="EU845" s="319" t="s">
        <v>190</v>
      </c>
      <c r="EV845" s="319" t="s">
        <v>190</v>
      </c>
      <c r="EW845" s="319" t="s">
        <v>190</v>
      </c>
      <c r="EX845" s="319" t="s">
        <v>190</v>
      </c>
      <c r="EY845" s="319" t="s">
        <v>190</v>
      </c>
      <c r="EZ845" s="319" t="s">
        <v>190</v>
      </c>
      <c r="FA845" s="319" t="s">
        <v>190</v>
      </c>
      <c r="FB845" s="319" t="s">
        <v>190</v>
      </c>
      <c r="FC845" s="319" t="s">
        <v>190</v>
      </c>
      <c r="FD845" s="319" t="s">
        <v>190</v>
      </c>
      <c r="FE845" s="319" t="s">
        <v>190</v>
      </c>
      <c r="FF845" s="319" t="s">
        <v>190</v>
      </c>
      <c r="FG845" s="319" t="s">
        <v>190</v>
      </c>
      <c r="FH845" s="319" t="s">
        <v>190</v>
      </c>
      <c r="FI845" s="319" t="s">
        <v>190</v>
      </c>
      <c r="FJ845" s="319" t="s">
        <v>190</v>
      </c>
      <c r="FK845" s="319" t="s">
        <v>190</v>
      </c>
      <c r="FL845" s="319" t="s">
        <v>190</v>
      </c>
      <c r="FM845" s="319" t="s">
        <v>190</v>
      </c>
      <c r="FN845" s="319" t="s">
        <v>190</v>
      </c>
      <c r="FO845" s="319" t="s">
        <v>190</v>
      </c>
      <c r="FP845" s="319" t="s">
        <v>190</v>
      </c>
      <c r="FQ845" s="319" t="s">
        <v>190</v>
      </c>
      <c r="FR845" s="319" t="s">
        <v>190</v>
      </c>
      <c r="FS845" s="319" t="s">
        <v>428</v>
      </c>
      <c r="FT845" s="319" t="s">
        <v>190</v>
      </c>
      <c r="FU845" s="319" t="s">
        <v>190</v>
      </c>
      <c r="FV845" s="319" t="s">
        <v>190</v>
      </c>
      <c r="FW845" s="319" t="s">
        <v>190</v>
      </c>
      <c r="FX845" s="319" t="s">
        <v>190</v>
      </c>
      <c r="FY845" s="319" t="s">
        <v>190</v>
      </c>
      <c r="FZ845" s="319" t="s">
        <v>190</v>
      </c>
      <c r="GA845" s="319" t="s">
        <v>190</v>
      </c>
      <c r="GB845" s="319" t="s">
        <v>190</v>
      </c>
      <c r="GC845" s="319" t="s">
        <v>190</v>
      </c>
      <c r="GD845" s="319" t="s">
        <v>190</v>
      </c>
      <c r="GE845" s="319" t="s">
        <v>190</v>
      </c>
      <c r="GF845" s="319" t="s">
        <v>190</v>
      </c>
      <c r="GG845" s="319" t="s">
        <v>190</v>
      </c>
      <c r="GH845" s="319" t="s">
        <v>190</v>
      </c>
      <c r="GI845" s="319" t="s">
        <v>190</v>
      </c>
      <c r="GJ845" s="319" t="s">
        <v>190</v>
      </c>
      <c r="GK845" s="319" t="s">
        <v>428</v>
      </c>
      <c r="GL845" s="319" t="s">
        <v>190</v>
      </c>
      <c r="GM845" s="319" t="s">
        <v>190</v>
      </c>
      <c r="GN845" s="319" t="s">
        <v>190</v>
      </c>
      <c r="GO845" s="319" t="s">
        <v>190</v>
      </c>
      <c r="GP845" s="319" t="s">
        <v>190</v>
      </c>
      <c r="GQ845" s="319" t="s">
        <v>190</v>
      </c>
      <c r="GR845" s="319" t="s">
        <v>190</v>
      </c>
      <c r="GS845" s="319" t="s">
        <v>190</v>
      </c>
      <c r="GT845" s="319" t="s">
        <v>190</v>
      </c>
      <c r="GU845" s="319" t="s">
        <v>190</v>
      </c>
      <c r="GV845" s="319" t="s">
        <v>190</v>
      </c>
      <c r="GW845" s="319" t="s">
        <v>190</v>
      </c>
      <c r="GX845" s="319" t="s">
        <v>190</v>
      </c>
      <c r="GY845" s="319" t="s">
        <v>190</v>
      </c>
      <c r="GZ845" s="319" t="s">
        <v>190</v>
      </c>
      <c r="HA845" s="319" t="s">
        <v>190</v>
      </c>
      <c r="HB845" s="319" t="s">
        <v>190</v>
      </c>
      <c r="HC845" s="319" t="s">
        <v>190</v>
      </c>
      <c r="HD845" s="319" t="s">
        <v>190</v>
      </c>
      <c r="HE845" s="319" t="s">
        <v>190</v>
      </c>
      <c r="HF845" s="319" t="s">
        <v>190</v>
      </c>
      <c r="HG845" s="319" t="s">
        <v>190</v>
      </c>
      <c r="HH845" s="319" t="s">
        <v>190</v>
      </c>
      <c r="HI845" s="319" t="s">
        <v>190</v>
      </c>
      <c r="HJ845" s="319" t="s">
        <v>190</v>
      </c>
      <c r="HK845" s="319" t="s">
        <v>190</v>
      </c>
      <c r="HL845" s="319" t="s">
        <v>190</v>
      </c>
      <c r="HM845" s="319" t="s">
        <v>428</v>
      </c>
      <c r="HN845" s="319" t="s">
        <v>428</v>
      </c>
      <c r="HO845" s="319" t="s">
        <v>428</v>
      </c>
      <c r="HP845" s="319" t="s">
        <v>190</v>
      </c>
      <c r="HQ845" s="319" t="s">
        <v>190</v>
      </c>
      <c r="HR845" s="319" t="s">
        <v>190</v>
      </c>
      <c r="HS845" s="319" t="s">
        <v>190</v>
      </c>
      <c r="HT845" s="319" t="s">
        <v>190</v>
      </c>
      <c r="HU845" s="319" t="s">
        <v>190</v>
      </c>
      <c r="HV845" s="319" t="s">
        <v>190</v>
      </c>
      <c r="HW845" s="319" t="s">
        <v>190</v>
      </c>
      <c r="HX845" s="319" t="s">
        <v>190</v>
      </c>
      <c r="HY845" s="319" t="s">
        <v>190</v>
      </c>
      <c r="HZ845" s="319" t="s">
        <v>190</v>
      </c>
      <c r="IA845" s="319" t="s">
        <v>190</v>
      </c>
      <c r="IB845" s="319" t="s">
        <v>190</v>
      </c>
      <c r="IC845" s="319" t="s">
        <v>190</v>
      </c>
      <c r="ID845" s="319" t="s">
        <v>190</v>
      </c>
      <c r="IE845" s="319" t="s">
        <v>190</v>
      </c>
      <c r="IF845" s="319" t="s">
        <v>190</v>
      </c>
      <c r="IG845" s="319" t="s">
        <v>190</v>
      </c>
      <c r="IH845" s="319" t="s">
        <v>190</v>
      </c>
      <c r="II845" s="319" t="s">
        <v>190</v>
      </c>
      <c r="IJ845" s="319" t="s">
        <v>173</v>
      </c>
      <c r="IK845" s="319" t="s">
        <v>173</v>
      </c>
      <c r="IL845" s="319" t="s">
        <v>173</v>
      </c>
      <c r="IM845" s="319" t="s">
        <v>173</v>
      </c>
      <c r="IN845" s="319" t="s">
        <v>173</v>
      </c>
      <c r="IO845" s="319" t="s">
        <v>173</v>
      </c>
      <c r="IP845" s="319" t="s">
        <v>173</v>
      </c>
      <c r="IQ845" s="319" t="s">
        <v>173</v>
      </c>
      <c r="IR845" s="320" t="s">
        <v>173</v>
      </c>
      <c r="IS845" s="320" t="s">
        <v>173</v>
      </c>
      <c r="IT845" s="319" t="s">
        <v>173</v>
      </c>
    </row>
    <row r="846" spans="1:254" s="271" customFormat="1" x14ac:dyDescent="0.25">
      <c r="A846" s="318" t="str">
        <f>HYPERLINK("http://www.ofsted.gov.uk/inspection-reports/find-inspection-report/provider/ELS/142659 ","Ofsted School Webpage")</f>
        <v>Ofsted School Webpage</v>
      </c>
      <c r="B846" s="319">
        <v>142659</v>
      </c>
      <c r="C846" s="319">
        <v>8556036</v>
      </c>
      <c r="D846" s="319" t="s">
        <v>2352</v>
      </c>
      <c r="E846" s="319" t="s">
        <v>168</v>
      </c>
      <c r="F846" s="319" t="s">
        <v>81</v>
      </c>
      <c r="G846" s="319" t="s">
        <v>81</v>
      </c>
      <c r="H846" s="319" t="s">
        <v>81</v>
      </c>
      <c r="I846" s="319" t="s">
        <v>78</v>
      </c>
      <c r="J846" s="319" t="s">
        <v>424</v>
      </c>
      <c r="K846" s="319" t="s">
        <v>506</v>
      </c>
      <c r="L846" s="319" t="s">
        <v>506</v>
      </c>
      <c r="M846" s="319" t="s">
        <v>862</v>
      </c>
      <c r="N846" s="319" t="s">
        <v>3059</v>
      </c>
      <c r="O846" s="319" t="s">
        <v>2353</v>
      </c>
      <c r="P846" s="319">
        <v>29</v>
      </c>
      <c r="Q846" s="319" t="s">
        <v>429</v>
      </c>
      <c r="R846" s="320">
        <v>10039199</v>
      </c>
      <c r="S846" s="321">
        <v>42990</v>
      </c>
      <c r="T846" s="321">
        <v>42992</v>
      </c>
      <c r="U846" s="321">
        <v>43018</v>
      </c>
      <c r="V846" s="319" t="s">
        <v>435</v>
      </c>
      <c r="W846" s="319" t="s">
        <v>2767</v>
      </c>
      <c r="X846" s="319">
        <v>2</v>
      </c>
      <c r="Y846" s="319" t="s">
        <v>173</v>
      </c>
      <c r="Z846" s="319" t="s">
        <v>173</v>
      </c>
      <c r="AA846" s="319" t="s">
        <v>173</v>
      </c>
      <c r="AB846" s="319">
        <v>2</v>
      </c>
      <c r="AC846" s="319" t="s">
        <v>169</v>
      </c>
      <c r="AD846" s="319" t="s">
        <v>173</v>
      </c>
      <c r="AE846" s="319" t="s">
        <v>173</v>
      </c>
      <c r="AF846" s="319" t="s">
        <v>447</v>
      </c>
      <c r="AG846" s="319" t="s">
        <v>171</v>
      </c>
      <c r="AH846" s="319" t="s">
        <v>190</v>
      </c>
      <c r="AI846" s="319" t="s">
        <v>190</v>
      </c>
      <c r="AJ846" s="319" t="s">
        <v>190</v>
      </c>
      <c r="AK846" s="319" t="s">
        <v>190</v>
      </c>
      <c r="AL846" s="319" t="s">
        <v>190</v>
      </c>
      <c r="AM846" s="319" t="s">
        <v>190</v>
      </c>
      <c r="AN846" s="319" t="s">
        <v>190</v>
      </c>
      <c r="AO846" s="319" t="s">
        <v>190</v>
      </c>
      <c r="AP846" s="319" t="s">
        <v>190</v>
      </c>
      <c r="AQ846" s="319" t="s">
        <v>190</v>
      </c>
      <c r="AR846" s="319" t="s">
        <v>190</v>
      </c>
      <c r="AS846" s="319" t="s">
        <v>190</v>
      </c>
      <c r="AT846" s="319" t="s">
        <v>190</v>
      </c>
      <c r="AU846" s="319" t="s">
        <v>190</v>
      </c>
      <c r="AV846" s="319" t="s">
        <v>190</v>
      </c>
      <c r="AW846" s="319" t="s">
        <v>190</v>
      </c>
      <c r="AX846" s="319" t="s">
        <v>428</v>
      </c>
      <c r="AY846" s="319" t="s">
        <v>190</v>
      </c>
      <c r="AZ846" s="319" t="s">
        <v>190</v>
      </c>
      <c r="BA846" s="319" t="s">
        <v>190</v>
      </c>
      <c r="BB846" s="319" t="s">
        <v>190</v>
      </c>
      <c r="BC846" s="319" t="s">
        <v>190</v>
      </c>
      <c r="BD846" s="319" t="s">
        <v>190</v>
      </c>
      <c r="BE846" s="319" t="s">
        <v>190</v>
      </c>
      <c r="BF846" s="319" t="s">
        <v>428</v>
      </c>
      <c r="BG846" s="319" t="s">
        <v>428</v>
      </c>
      <c r="BH846" s="319" t="s">
        <v>190</v>
      </c>
      <c r="BI846" s="319" t="s">
        <v>190</v>
      </c>
      <c r="BJ846" s="319" t="s">
        <v>190</v>
      </c>
      <c r="BK846" s="319" t="s">
        <v>190</v>
      </c>
      <c r="BL846" s="319" t="s">
        <v>190</v>
      </c>
      <c r="BM846" s="319" t="s">
        <v>190</v>
      </c>
      <c r="BN846" s="319" t="s">
        <v>190</v>
      </c>
      <c r="BO846" s="319" t="s">
        <v>190</v>
      </c>
      <c r="BP846" s="319" t="s">
        <v>190</v>
      </c>
      <c r="BQ846" s="319" t="s">
        <v>190</v>
      </c>
      <c r="BR846" s="319" t="s">
        <v>190</v>
      </c>
      <c r="BS846" s="319" t="s">
        <v>190</v>
      </c>
      <c r="BT846" s="319" t="s">
        <v>190</v>
      </c>
      <c r="BU846" s="319" t="s">
        <v>190</v>
      </c>
      <c r="BV846" s="319" t="s">
        <v>190</v>
      </c>
      <c r="BW846" s="319" t="s">
        <v>190</v>
      </c>
      <c r="BX846" s="319" t="s">
        <v>190</v>
      </c>
      <c r="BY846" s="319" t="s">
        <v>190</v>
      </c>
      <c r="BZ846" s="319" t="s">
        <v>190</v>
      </c>
      <c r="CA846" s="319" t="s">
        <v>190</v>
      </c>
      <c r="CB846" s="319" t="s">
        <v>190</v>
      </c>
      <c r="CC846" s="319" t="s">
        <v>190</v>
      </c>
      <c r="CD846" s="319" t="s">
        <v>190</v>
      </c>
      <c r="CE846" s="319" t="s">
        <v>190</v>
      </c>
      <c r="CF846" s="319" t="s">
        <v>190</v>
      </c>
      <c r="CG846" s="319" t="s">
        <v>190</v>
      </c>
      <c r="CH846" s="319" t="s">
        <v>190</v>
      </c>
      <c r="CI846" s="319" t="s">
        <v>190</v>
      </c>
      <c r="CJ846" s="319" t="s">
        <v>190</v>
      </c>
      <c r="CK846" s="319" t="s">
        <v>190</v>
      </c>
      <c r="CL846" s="319" t="s">
        <v>190</v>
      </c>
      <c r="CM846" s="319" t="s">
        <v>190</v>
      </c>
      <c r="CN846" s="319" t="s">
        <v>428</v>
      </c>
      <c r="CO846" s="319" t="s">
        <v>428</v>
      </c>
      <c r="CP846" s="319" t="s">
        <v>428</v>
      </c>
      <c r="CQ846" s="319" t="s">
        <v>190</v>
      </c>
      <c r="CR846" s="319" t="s">
        <v>190</v>
      </c>
      <c r="CS846" s="319" t="s">
        <v>190</v>
      </c>
      <c r="CT846" s="319" t="s">
        <v>190</v>
      </c>
      <c r="CU846" s="319" t="s">
        <v>190</v>
      </c>
      <c r="CV846" s="319" t="s">
        <v>190</v>
      </c>
      <c r="CW846" s="319" t="s">
        <v>190</v>
      </c>
      <c r="CX846" s="319" t="s">
        <v>190</v>
      </c>
      <c r="CY846" s="319" t="s">
        <v>190</v>
      </c>
      <c r="CZ846" s="319" t="s">
        <v>190</v>
      </c>
      <c r="DA846" s="319" t="s">
        <v>190</v>
      </c>
      <c r="DB846" s="319" t="s">
        <v>190</v>
      </c>
      <c r="DC846" s="319" t="s">
        <v>190</v>
      </c>
      <c r="DD846" s="319" t="s">
        <v>190</v>
      </c>
      <c r="DE846" s="319" t="s">
        <v>190</v>
      </c>
      <c r="DF846" s="319" t="s">
        <v>190</v>
      </c>
      <c r="DG846" s="319" t="s">
        <v>190</v>
      </c>
      <c r="DH846" s="319" t="s">
        <v>190</v>
      </c>
      <c r="DI846" s="319" t="s">
        <v>190</v>
      </c>
      <c r="DJ846" s="319" t="s">
        <v>190</v>
      </c>
      <c r="DK846" s="319" t="s">
        <v>190</v>
      </c>
      <c r="DL846" s="319" t="s">
        <v>190</v>
      </c>
      <c r="DM846" s="319" t="s">
        <v>190</v>
      </c>
      <c r="DN846" s="319" t="s">
        <v>428</v>
      </c>
      <c r="DO846" s="319" t="s">
        <v>190</v>
      </c>
      <c r="DP846" s="319" t="s">
        <v>428</v>
      </c>
      <c r="DQ846" s="319" t="s">
        <v>428</v>
      </c>
      <c r="DR846" s="319" t="s">
        <v>428</v>
      </c>
      <c r="DS846" s="319" t="s">
        <v>428</v>
      </c>
      <c r="DT846" s="319" t="s">
        <v>428</v>
      </c>
      <c r="DU846" s="319" t="s">
        <v>428</v>
      </c>
      <c r="DV846" s="319" t="s">
        <v>173</v>
      </c>
      <c r="DW846" s="319" t="s">
        <v>428</v>
      </c>
      <c r="DX846" s="319" t="s">
        <v>428</v>
      </c>
      <c r="DY846" s="319" t="s">
        <v>428</v>
      </c>
      <c r="DZ846" s="319" t="s">
        <v>428</v>
      </c>
      <c r="EA846" s="319" t="s">
        <v>428</v>
      </c>
      <c r="EB846" s="319" t="s">
        <v>428</v>
      </c>
      <c r="EC846" s="319" t="s">
        <v>428</v>
      </c>
      <c r="ED846" s="319" t="s">
        <v>428</v>
      </c>
      <c r="EE846" s="319" t="s">
        <v>190</v>
      </c>
      <c r="EF846" s="319" t="s">
        <v>190</v>
      </c>
      <c r="EG846" s="319" t="s">
        <v>190</v>
      </c>
      <c r="EH846" s="319" t="s">
        <v>190</v>
      </c>
      <c r="EI846" s="319" t="s">
        <v>190</v>
      </c>
      <c r="EJ846" s="319" t="s">
        <v>190</v>
      </c>
      <c r="EK846" s="319" t="s">
        <v>190</v>
      </c>
      <c r="EL846" s="319" t="s">
        <v>190</v>
      </c>
      <c r="EM846" s="319" t="s">
        <v>190</v>
      </c>
      <c r="EN846" s="319" t="s">
        <v>190</v>
      </c>
      <c r="EO846" s="319" t="s">
        <v>190</v>
      </c>
      <c r="EP846" s="319" t="s">
        <v>190</v>
      </c>
      <c r="EQ846" s="319" t="s">
        <v>190</v>
      </c>
      <c r="ER846" s="319" t="s">
        <v>190</v>
      </c>
      <c r="ES846" s="319" t="s">
        <v>190</v>
      </c>
      <c r="ET846" s="319" t="s">
        <v>190</v>
      </c>
      <c r="EU846" s="319" t="s">
        <v>190</v>
      </c>
      <c r="EV846" s="319" t="s">
        <v>190</v>
      </c>
      <c r="EW846" s="319" t="s">
        <v>190</v>
      </c>
      <c r="EX846" s="319" t="s">
        <v>190</v>
      </c>
      <c r="EY846" s="319" t="s">
        <v>190</v>
      </c>
      <c r="EZ846" s="319" t="s">
        <v>190</v>
      </c>
      <c r="FA846" s="319" t="s">
        <v>428</v>
      </c>
      <c r="FB846" s="319" t="s">
        <v>428</v>
      </c>
      <c r="FC846" s="319" t="s">
        <v>428</v>
      </c>
      <c r="FD846" s="319" t="s">
        <v>428</v>
      </c>
      <c r="FE846" s="319" t="s">
        <v>428</v>
      </c>
      <c r="FF846" s="319" t="s">
        <v>428</v>
      </c>
      <c r="FG846" s="319" t="s">
        <v>428</v>
      </c>
      <c r="FH846" s="319" t="s">
        <v>190</v>
      </c>
      <c r="FI846" s="319" t="s">
        <v>428</v>
      </c>
      <c r="FJ846" s="319" t="s">
        <v>190</v>
      </c>
      <c r="FK846" s="319" t="s">
        <v>190</v>
      </c>
      <c r="FL846" s="319" t="s">
        <v>190</v>
      </c>
      <c r="FM846" s="319" t="s">
        <v>190</v>
      </c>
      <c r="FN846" s="319" t="s">
        <v>190</v>
      </c>
      <c r="FO846" s="319" t="s">
        <v>190</v>
      </c>
      <c r="FP846" s="319" t="s">
        <v>190</v>
      </c>
      <c r="FQ846" s="319" t="s">
        <v>190</v>
      </c>
      <c r="FR846" s="319" t="s">
        <v>190</v>
      </c>
      <c r="FS846" s="319" t="s">
        <v>428</v>
      </c>
      <c r="FT846" s="319" t="s">
        <v>190</v>
      </c>
      <c r="FU846" s="319" t="s">
        <v>190</v>
      </c>
      <c r="FV846" s="319" t="s">
        <v>190</v>
      </c>
      <c r="FW846" s="319" t="s">
        <v>190</v>
      </c>
      <c r="FX846" s="319" t="s">
        <v>190</v>
      </c>
      <c r="FY846" s="319" t="s">
        <v>190</v>
      </c>
      <c r="FZ846" s="319" t="s">
        <v>190</v>
      </c>
      <c r="GA846" s="319" t="s">
        <v>190</v>
      </c>
      <c r="GB846" s="319" t="s">
        <v>190</v>
      </c>
      <c r="GC846" s="319" t="s">
        <v>190</v>
      </c>
      <c r="GD846" s="319" t="s">
        <v>190</v>
      </c>
      <c r="GE846" s="319" t="s">
        <v>190</v>
      </c>
      <c r="GF846" s="319" t="s">
        <v>190</v>
      </c>
      <c r="GG846" s="319" t="s">
        <v>190</v>
      </c>
      <c r="GH846" s="319" t="s">
        <v>190</v>
      </c>
      <c r="GI846" s="319" t="s">
        <v>190</v>
      </c>
      <c r="GJ846" s="319" t="s">
        <v>190</v>
      </c>
      <c r="GK846" s="319" t="s">
        <v>428</v>
      </c>
      <c r="GL846" s="319" t="s">
        <v>190</v>
      </c>
      <c r="GM846" s="319" t="s">
        <v>190</v>
      </c>
      <c r="GN846" s="319" t="s">
        <v>190</v>
      </c>
      <c r="GO846" s="319" t="s">
        <v>190</v>
      </c>
      <c r="GP846" s="319" t="s">
        <v>428</v>
      </c>
      <c r="GQ846" s="319" t="s">
        <v>428</v>
      </c>
      <c r="GR846" s="319" t="s">
        <v>190</v>
      </c>
      <c r="GS846" s="319" t="s">
        <v>190</v>
      </c>
      <c r="GT846" s="319" t="s">
        <v>190</v>
      </c>
      <c r="GU846" s="319" t="s">
        <v>190</v>
      </c>
      <c r="GV846" s="319" t="s">
        <v>190</v>
      </c>
      <c r="GW846" s="319" t="s">
        <v>190</v>
      </c>
      <c r="GX846" s="319" t="s">
        <v>190</v>
      </c>
      <c r="GY846" s="319" t="s">
        <v>190</v>
      </c>
      <c r="GZ846" s="319" t="s">
        <v>428</v>
      </c>
      <c r="HA846" s="319" t="s">
        <v>190</v>
      </c>
      <c r="HB846" s="319" t="s">
        <v>428</v>
      </c>
      <c r="HC846" s="319" t="s">
        <v>190</v>
      </c>
      <c r="HD846" s="319" t="s">
        <v>190</v>
      </c>
      <c r="HE846" s="319" t="s">
        <v>190</v>
      </c>
      <c r="HF846" s="319" t="s">
        <v>190</v>
      </c>
      <c r="HG846" s="319" t="s">
        <v>190</v>
      </c>
      <c r="HH846" s="319" t="s">
        <v>190</v>
      </c>
      <c r="HI846" s="319" t="s">
        <v>428</v>
      </c>
      <c r="HJ846" s="319" t="s">
        <v>190</v>
      </c>
      <c r="HK846" s="319" t="s">
        <v>428</v>
      </c>
      <c r="HL846" s="319" t="s">
        <v>428</v>
      </c>
      <c r="HM846" s="319" t="s">
        <v>428</v>
      </c>
      <c r="HN846" s="319" t="s">
        <v>428</v>
      </c>
      <c r="HO846" s="319" t="s">
        <v>428</v>
      </c>
      <c r="HP846" s="319" t="s">
        <v>190</v>
      </c>
      <c r="HQ846" s="319" t="s">
        <v>190</v>
      </c>
      <c r="HR846" s="319" t="s">
        <v>190</v>
      </c>
      <c r="HS846" s="319" t="s">
        <v>190</v>
      </c>
      <c r="HT846" s="319" t="s">
        <v>190</v>
      </c>
      <c r="HU846" s="319" t="s">
        <v>190</v>
      </c>
      <c r="HV846" s="319" t="s">
        <v>190</v>
      </c>
      <c r="HW846" s="319" t="s">
        <v>190</v>
      </c>
      <c r="HX846" s="319" t="s">
        <v>190</v>
      </c>
      <c r="HY846" s="319" t="s">
        <v>190</v>
      </c>
      <c r="HZ846" s="319" t="s">
        <v>190</v>
      </c>
      <c r="IA846" s="319" t="s">
        <v>190</v>
      </c>
      <c r="IB846" s="319" t="s">
        <v>190</v>
      </c>
      <c r="IC846" s="319" t="s">
        <v>190</v>
      </c>
      <c r="ID846" s="319" t="s">
        <v>190</v>
      </c>
      <c r="IE846" s="319" t="s">
        <v>190</v>
      </c>
      <c r="IF846" s="319" t="s">
        <v>190</v>
      </c>
      <c r="IG846" s="319" t="s">
        <v>190</v>
      </c>
      <c r="IH846" s="319" t="s">
        <v>190</v>
      </c>
      <c r="II846" s="319" t="s">
        <v>190</v>
      </c>
      <c r="IJ846" s="319" t="s">
        <v>173</v>
      </c>
      <c r="IK846" s="319" t="s">
        <v>173</v>
      </c>
      <c r="IL846" s="319" t="s">
        <v>173</v>
      </c>
      <c r="IM846" s="319" t="s">
        <v>173</v>
      </c>
      <c r="IN846" s="319" t="s">
        <v>173</v>
      </c>
      <c r="IO846" s="319" t="s">
        <v>173</v>
      </c>
      <c r="IP846" s="319" t="s">
        <v>173</v>
      </c>
      <c r="IQ846" s="321" t="s">
        <v>173</v>
      </c>
      <c r="IR846" s="320" t="s">
        <v>173</v>
      </c>
      <c r="IS846" s="322" t="s">
        <v>173</v>
      </c>
      <c r="IT846" s="319" t="s">
        <v>173</v>
      </c>
    </row>
    <row r="847" spans="1:254" s="271" customFormat="1" x14ac:dyDescent="0.25">
      <c r="A847" s="318" t="str">
        <f>HYPERLINK("http://www.ofsted.gov.uk/inspection-reports/find-inspection-report/provider/ELS/142660 ","Ofsted School Webpage")</f>
        <v>Ofsted School Webpage</v>
      </c>
      <c r="B847" s="319">
        <v>142660</v>
      </c>
      <c r="C847" s="319">
        <v>8256047</v>
      </c>
      <c r="D847" s="319" t="s">
        <v>2354</v>
      </c>
      <c r="E847" s="319" t="s">
        <v>167</v>
      </c>
      <c r="F847" s="319" t="s">
        <v>81</v>
      </c>
      <c r="G847" s="319" t="s">
        <v>59</v>
      </c>
      <c r="H847" s="319" t="s">
        <v>59</v>
      </c>
      <c r="I847" s="319" t="s">
        <v>59</v>
      </c>
      <c r="J847" s="319" t="s">
        <v>424</v>
      </c>
      <c r="K847" s="319" t="s">
        <v>514</v>
      </c>
      <c r="L847" s="319" t="s">
        <v>514</v>
      </c>
      <c r="M847" s="319" t="s">
        <v>632</v>
      </c>
      <c r="N847" s="319" t="s">
        <v>3533</v>
      </c>
      <c r="O847" s="319" t="s">
        <v>2355</v>
      </c>
      <c r="P847" s="319">
        <v>20</v>
      </c>
      <c r="Q847" s="319" t="s">
        <v>2776</v>
      </c>
      <c r="R847" s="320">
        <v>10039169</v>
      </c>
      <c r="S847" s="321">
        <v>43067</v>
      </c>
      <c r="T847" s="321">
        <v>43069</v>
      </c>
      <c r="U847" s="321">
        <v>43112</v>
      </c>
      <c r="V847" s="319" t="s">
        <v>435</v>
      </c>
      <c r="W847" s="319" t="s">
        <v>2767</v>
      </c>
      <c r="X847" s="319">
        <v>2</v>
      </c>
      <c r="Y847" s="319" t="s">
        <v>173</v>
      </c>
      <c r="Z847" s="319" t="s">
        <v>173</v>
      </c>
      <c r="AA847" s="319" t="s">
        <v>173</v>
      </c>
      <c r="AB847" s="319">
        <v>2</v>
      </c>
      <c r="AC847" s="319" t="s">
        <v>169</v>
      </c>
      <c r="AD847" s="319" t="s">
        <v>173</v>
      </c>
      <c r="AE847" s="319">
        <v>1</v>
      </c>
      <c r="AF847" s="319" t="s">
        <v>427</v>
      </c>
      <c r="AG847" s="319" t="s">
        <v>171</v>
      </c>
      <c r="AH847" s="319" t="s">
        <v>190</v>
      </c>
      <c r="AI847" s="319" t="s">
        <v>190</v>
      </c>
      <c r="AJ847" s="319" t="s">
        <v>190</v>
      </c>
      <c r="AK847" s="319" t="s">
        <v>190</v>
      </c>
      <c r="AL847" s="319" t="s">
        <v>190</v>
      </c>
      <c r="AM847" s="319" t="s">
        <v>190</v>
      </c>
      <c r="AN847" s="319" t="s">
        <v>190</v>
      </c>
      <c r="AO847" s="319" t="s">
        <v>190</v>
      </c>
      <c r="AP847" s="319" t="s">
        <v>190</v>
      </c>
      <c r="AQ847" s="319" t="s">
        <v>190</v>
      </c>
      <c r="AR847" s="319" t="s">
        <v>190</v>
      </c>
      <c r="AS847" s="319" t="s">
        <v>190</v>
      </c>
      <c r="AT847" s="319" t="s">
        <v>190</v>
      </c>
      <c r="AU847" s="319" t="s">
        <v>190</v>
      </c>
      <c r="AV847" s="319" t="s">
        <v>190</v>
      </c>
      <c r="AW847" s="319" t="s">
        <v>190</v>
      </c>
      <c r="AX847" s="319" t="s">
        <v>428</v>
      </c>
      <c r="AY847" s="319" t="s">
        <v>190</v>
      </c>
      <c r="AZ847" s="319" t="s">
        <v>190</v>
      </c>
      <c r="BA847" s="319" t="s">
        <v>190</v>
      </c>
      <c r="BB847" s="319" t="s">
        <v>190</v>
      </c>
      <c r="BC847" s="319" t="s">
        <v>190</v>
      </c>
      <c r="BD847" s="319" t="s">
        <v>190</v>
      </c>
      <c r="BE847" s="319" t="s">
        <v>190</v>
      </c>
      <c r="BF847" s="319" t="s">
        <v>428</v>
      </c>
      <c r="BG847" s="319" t="s">
        <v>190</v>
      </c>
      <c r="BH847" s="319" t="s">
        <v>190</v>
      </c>
      <c r="BI847" s="319" t="s">
        <v>190</v>
      </c>
      <c r="BJ847" s="319" t="s">
        <v>190</v>
      </c>
      <c r="BK847" s="319" t="s">
        <v>190</v>
      </c>
      <c r="BL847" s="319" t="s">
        <v>190</v>
      </c>
      <c r="BM847" s="319" t="s">
        <v>190</v>
      </c>
      <c r="BN847" s="319" t="s">
        <v>190</v>
      </c>
      <c r="BO847" s="319" t="s">
        <v>190</v>
      </c>
      <c r="BP847" s="319" t="s">
        <v>190</v>
      </c>
      <c r="BQ847" s="319" t="s">
        <v>190</v>
      </c>
      <c r="BR847" s="319" t="s">
        <v>190</v>
      </c>
      <c r="BS847" s="319" t="s">
        <v>190</v>
      </c>
      <c r="BT847" s="319" t="s">
        <v>190</v>
      </c>
      <c r="BU847" s="319" t="s">
        <v>190</v>
      </c>
      <c r="BV847" s="319" t="s">
        <v>190</v>
      </c>
      <c r="BW847" s="319" t="s">
        <v>190</v>
      </c>
      <c r="BX847" s="319" t="s">
        <v>190</v>
      </c>
      <c r="BY847" s="319" t="s">
        <v>190</v>
      </c>
      <c r="BZ847" s="319" t="s">
        <v>190</v>
      </c>
      <c r="CA847" s="319" t="s">
        <v>190</v>
      </c>
      <c r="CB847" s="319" t="s">
        <v>190</v>
      </c>
      <c r="CC847" s="319" t="s">
        <v>190</v>
      </c>
      <c r="CD847" s="319" t="s">
        <v>190</v>
      </c>
      <c r="CE847" s="319" t="s">
        <v>190</v>
      </c>
      <c r="CF847" s="319" t="s">
        <v>190</v>
      </c>
      <c r="CG847" s="319" t="s">
        <v>190</v>
      </c>
      <c r="CH847" s="319" t="s">
        <v>190</v>
      </c>
      <c r="CI847" s="319" t="s">
        <v>190</v>
      </c>
      <c r="CJ847" s="319" t="s">
        <v>190</v>
      </c>
      <c r="CK847" s="319" t="s">
        <v>190</v>
      </c>
      <c r="CL847" s="319" t="s">
        <v>190</v>
      </c>
      <c r="CM847" s="319" t="s">
        <v>190</v>
      </c>
      <c r="CN847" s="319" t="s">
        <v>428</v>
      </c>
      <c r="CO847" s="319" t="s">
        <v>428</v>
      </c>
      <c r="CP847" s="319" t="s">
        <v>428</v>
      </c>
      <c r="CQ847" s="319" t="s">
        <v>190</v>
      </c>
      <c r="CR847" s="319" t="s">
        <v>190</v>
      </c>
      <c r="CS847" s="319" t="s">
        <v>190</v>
      </c>
      <c r="CT847" s="319" t="s">
        <v>190</v>
      </c>
      <c r="CU847" s="319" t="s">
        <v>190</v>
      </c>
      <c r="CV847" s="319" t="s">
        <v>190</v>
      </c>
      <c r="CW847" s="319" t="s">
        <v>190</v>
      </c>
      <c r="CX847" s="319" t="s">
        <v>190</v>
      </c>
      <c r="CY847" s="319" t="s">
        <v>190</v>
      </c>
      <c r="CZ847" s="319" t="s">
        <v>190</v>
      </c>
      <c r="DA847" s="319" t="s">
        <v>190</v>
      </c>
      <c r="DB847" s="319" t="s">
        <v>190</v>
      </c>
      <c r="DC847" s="319" t="s">
        <v>190</v>
      </c>
      <c r="DD847" s="319" t="s">
        <v>190</v>
      </c>
      <c r="DE847" s="319" t="s">
        <v>190</v>
      </c>
      <c r="DF847" s="319" t="s">
        <v>190</v>
      </c>
      <c r="DG847" s="319" t="s">
        <v>190</v>
      </c>
      <c r="DH847" s="319" t="s">
        <v>190</v>
      </c>
      <c r="DI847" s="319" t="s">
        <v>190</v>
      </c>
      <c r="DJ847" s="319" t="s">
        <v>190</v>
      </c>
      <c r="DK847" s="319" t="s">
        <v>190</v>
      </c>
      <c r="DL847" s="319" t="s">
        <v>190</v>
      </c>
      <c r="DM847" s="319" t="s">
        <v>190</v>
      </c>
      <c r="DN847" s="319" t="s">
        <v>428</v>
      </c>
      <c r="DO847" s="319" t="s">
        <v>190</v>
      </c>
      <c r="DP847" s="319" t="s">
        <v>428</v>
      </c>
      <c r="DQ847" s="319" t="s">
        <v>428</v>
      </c>
      <c r="DR847" s="319" t="s">
        <v>428</v>
      </c>
      <c r="DS847" s="319" t="s">
        <v>428</v>
      </c>
      <c r="DT847" s="319" t="s">
        <v>428</v>
      </c>
      <c r="DU847" s="319" t="s">
        <v>428</v>
      </c>
      <c r="DV847" s="319" t="s">
        <v>173</v>
      </c>
      <c r="DW847" s="319" t="s">
        <v>428</v>
      </c>
      <c r="DX847" s="319" t="s">
        <v>428</v>
      </c>
      <c r="DY847" s="319" t="s">
        <v>428</v>
      </c>
      <c r="DZ847" s="319" t="s">
        <v>428</v>
      </c>
      <c r="EA847" s="319" t="s">
        <v>428</v>
      </c>
      <c r="EB847" s="319" t="s">
        <v>428</v>
      </c>
      <c r="EC847" s="319" t="s">
        <v>428</v>
      </c>
      <c r="ED847" s="319" t="s">
        <v>428</v>
      </c>
      <c r="EE847" s="319" t="s">
        <v>190</v>
      </c>
      <c r="EF847" s="319" t="s">
        <v>190</v>
      </c>
      <c r="EG847" s="319" t="s">
        <v>190</v>
      </c>
      <c r="EH847" s="319" t="s">
        <v>190</v>
      </c>
      <c r="EI847" s="319" t="s">
        <v>190</v>
      </c>
      <c r="EJ847" s="319" t="s">
        <v>190</v>
      </c>
      <c r="EK847" s="319" t="s">
        <v>190</v>
      </c>
      <c r="EL847" s="319" t="s">
        <v>190</v>
      </c>
      <c r="EM847" s="319" t="s">
        <v>190</v>
      </c>
      <c r="EN847" s="319" t="s">
        <v>190</v>
      </c>
      <c r="EO847" s="319" t="s">
        <v>190</v>
      </c>
      <c r="EP847" s="319" t="s">
        <v>190</v>
      </c>
      <c r="EQ847" s="319" t="s">
        <v>190</v>
      </c>
      <c r="ER847" s="319" t="s">
        <v>190</v>
      </c>
      <c r="ES847" s="319" t="s">
        <v>190</v>
      </c>
      <c r="ET847" s="319" t="s">
        <v>190</v>
      </c>
      <c r="EU847" s="319" t="s">
        <v>190</v>
      </c>
      <c r="EV847" s="319" t="s">
        <v>190</v>
      </c>
      <c r="EW847" s="319" t="s">
        <v>190</v>
      </c>
      <c r="EX847" s="319" t="s">
        <v>190</v>
      </c>
      <c r="EY847" s="319" t="s">
        <v>190</v>
      </c>
      <c r="EZ847" s="319" t="s">
        <v>190</v>
      </c>
      <c r="FA847" s="319" t="s">
        <v>190</v>
      </c>
      <c r="FB847" s="319" t="s">
        <v>428</v>
      </c>
      <c r="FC847" s="319" t="s">
        <v>428</v>
      </c>
      <c r="FD847" s="319" t="s">
        <v>428</v>
      </c>
      <c r="FE847" s="319" t="s">
        <v>428</v>
      </c>
      <c r="FF847" s="319" t="s">
        <v>428</v>
      </c>
      <c r="FG847" s="319" t="s">
        <v>428</v>
      </c>
      <c r="FH847" s="319" t="s">
        <v>428</v>
      </c>
      <c r="FI847" s="319" t="s">
        <v>428</v>
      </c>
      <c r="FJ847" s="319" t="s">
        <v>429</v>
      </c>
      <c r="FK847" s="319" t="s">
        <v>428</v>
      </c>
      <c r="FL847" s="319" t="s">
        <v>190</v>
      </c>
      <c r="FM847" s="319" t="s">
        <v>190</v>
      </c>
      <c r="FN847" s="319" t="s">
        <v>190</v>
      </c>
      <c r="FO847" s="319" t="s">
        <v>190</v>
      </c>
      <c r="FP847" s="319" t="s">
        <v>190</v>
      </c>
      <c r="FQ847" s="319" t="s">
        <v>190</v>
      </c>
      <c r="FR847" s="319" t="s">
        <v>190</v>
      </c>
      <c r="FS847" s="319" t="s">
        <v>428</v>
      </c>
      <c r="FT847" s="319" t="s">
        <v>190</v>
      </c>
      <c r="FU847" s="319" t="s">
        <v>190</v>
      </c>
      <c r="FV847" s="319" t="s">
        <v>190</v>
      </c>
      <c r="FW847" s="319" t="s">
        <v>190</v>
      </c>
      <c r="FX847" s="319" t="s">
        <v>190</v>
      </c>
      <c r="FY847" s="319" t="s">
        <v>190</v>
      </c>
      <c r="FZ847" s="319" t="s">
        <v>190</v>
      </c>
      <c r="GA847" s="319" t="s">
        <v>190</v>
      </c>
      <c r="GB847" s="319" t="s">
        <v>190</v>
      </c>
      <c r="GC847" s="319" t="s">
        <v>190</v>
      </c>
      <c r="GD847" s="319" t="s">
        <v>190</v>
      </c>
      <c r="GE847" s="319" t="s">
        <v>190</v>
      </c>
      <c r="GF847" s="319" t="s">
        <v>190</v>
      </c>
      <c r="GG847" s="319" t="s">
        <v>190</v>
      </c>
      <c r="GH847" s="319" t="s">
        <v>190</v>
      </c>
      <c r="GI847" s="319" t="s">
        <v>190</v>
      </c>
      <c r="GJ847" s="319" t="s">
        <v>190</v>
      </c>
      <c r="GK847" s="319" t="s">
        <v>428</v>
      </c>
      <c r="GL847" s="319" t="s">
        <v>190</v>
      </c>
      <c r="GM847" s="319" t="s">
        <v>190</v>
      </c>
      <c r="GN847" s="319" t="s">
        <v>190</v>
      </c>
      <c r="GO847" s="319" t="s">
        <v>190</v>
      </c>
      <c r="GP847" s="319" t="s">
        <v>428</v>
      </c>
      <c r="GQ847" s="319" t="s">
        <v>428</v>
      </c>
      <c r="GR847" s="319" t="s">
        <v>190</v>
      </c>
      <c r="GS847" s="319" t="s">
        <v>190</v>
      </c>
      <c r="GT847" s="319" t="s">
        <v>428</v>
      </c>
      <c r="GU847" s="319" t="s">
        <v>428</v>
      </c>
      <c r="GV847" s="319" t="s">
        <v>190</v>
      </c>
      <c r="GW847" s="319" t="s">
        <v>190</v>
      </c>
      <c r="GX847" s="319" t="s">
        <v>190</v>
      </c>
      <c r="GY847" s="319" t="s">
        <v>190</v>
      </c>
      <c r="GZ847" s="319" t="s">
        <v>428</v>
      </c>
      <c r="HA847" s="319" t="s">
        <v>190</v>
      </c>
      <c r="HB847" s="319" t="s">
        <v>428</v>
      </c>
      <c r="HC847" s="319" t="s">
        <v>190</v>
      </c>
      <c r="HD847" s="319" t="s">
        <v>190</v>
      </c>
      <c r="HE847" s="319" t="s">
        <v>190</v>
      </c>
      <c r="HF847" s="319" t="s">
        <v>428</v>
      </c>
      <c r="HG847" s="319" t="s">
        <v>190</v>
      </c>
      <c r="HH847" s="319" t="s">
        <v>190</v>
      </c>
      <c r="HI847" s="319" t="s">
        <v>190</v>
      </c>
      <c r="HJ847" s="319" t="s">
        <v>190</v>
      </c>
      <c r="HK847" s="319" t="s">
        <v>428</v>
      </c>
      <c r="HL847" s="319" t="s">
        <v>428</v>
      </c>
      <c r="HM847" s="319" t="s">
        <v>428</v>
      </c>
      <c r="HN847" s="319" t="s">
        <v>428</v>
      </c>
      <c r="HO847" s="319" t="s">
        <v>428</v>
      </c>
      <c r="HP847" s="319" t="s">
        <v>190</v>
      </c>
      <c r="HQ847" s="319" t="s">
        <v>190</v>
      </c>
      <c r="HR847" s="319" t="s">
        <v>190</v>
      </c>
      <c r="HS847" s="319" t="s">
        <v>190</v>
      </c>
      <c r="HT847" s="319" t="s">
        <v>190</v>
      </c>
      <c r="HU847" s="319" t="s">
        <v>190</v>
      </c>
      <c r="HV847" s="319" t="s">
        <v>190</v>
      </c>
      <c r="HW847" s="319" t="s">
        <v>190</v>
      </c>
      <c r="HX847" s="319" t="s">
        <v>190</v>
      </c>
      <c r="HY847" s="319" t="s">
        <v>190</v>
      </c>
      <c r="HZ847" s="319" t="s">
        <v>190</v>
      </c>
      <c r="IA847" s="319" t="s">
        <v>190</v>
      </c>
      <c r="IB847" s="319" t="s">
        <v>190</v>
      </c>
      <c r="IC847" s="319" t="s">
        <v>190</v>
      </c>
      <c r="ID847" s="319" t="s">
        <v>190</v>
      </c>
      <c r="IE847" s="319" t="s">
        <v>190</v>
      </c>
      <c r="IF847" s="319" t="s">
        <v>190</v>
      </c>
      <c r="IG847" s="319" t="s">
        <v>190</v>
      </c>
      <c r="IH847" s="319" t="s">
        <v>190</v>
      </c>
      <c r="II847" s="319" t="s">
        <v>190</v>
      </c>
      <c r="IJ847" s="319" t="s">
        <v>173</v>
      </c>
      <c r="IK847" s="319" t="s">
        <v>173</v>
      </c>
      <c r="IL847" s="319" t="s">
        <v>173</v>
      </c>
      <c r="IM847" s="319" t="s">
        <v>173</v>
      </c>
      <c r="IN847" s="319" t="s">
        <v>173</v>
      </c>
      <c r="IO847" s="319" t="s">
        <v>173</v>
      </c>
      <c r="IP847" s="319" t="s">
        <v>173</v>
      </c>
      <c r="IQ847" s="321" t="s">
        <v>173</v>
      </c>
      <c r="IR847" s="320" t="s">
        <v>173</v>
      </c>
      <c r="IS847" s="322" t="s">
        <v>173</v>
      </c>
      <c r="IT847" s="319" t="s">
        <v>173</v>
      </c>
    </row>
    <row r="848" spans="1:254" s="271" customFormat="1" x14ac:dyDescent="0.25">
      <c r="A848" s="318" t="str">
        <f>HYPERLINK("http://www.ofsted.gov.uk/inspection-reports/find-inspection-report/provider/ELS/142672 ","Ofsted School Webpage")</f>
        <v>Ofsted School Webpage</v>
      </c>
      <c r="B848" s="319">
        <v>142672</v>
      </c>
      <c r="C848" s="319">
        <v>8216013</v>
      </c>
      <c r="D848" s="319" t="s">
        <v>2356</v>
      </c>
      <c r="E848" s="319" t="s">
        <v>168</v>
      </c>
      <c r="F848" s="319" t="s">
        <v>81</v>
      </c>
      <c r="G848" s="319" t="s">
        <v>81</v>
      </c>
      <c r="H848" s="319" t="s">
        <v>81</v>
      </c>
      <c r="I848" s="319" t="s">
        <v>78</v>
      </c>
      <c r="J848" s="319" t="s">
        <v>424</v>
      </c>
      <c r="K848" s="319" t="s">
        <v>451</v>
      </c>
      <c r="L848" s="319" t="s">
        <v>451</v>
      </c>
      <c r="M848" s="319" t="s">
        <v>452</v>
      </c>
      <c r="N848" s="319" t="s">
        <v>3070</v>
      </c>
      <c r="O848" s="319" t="s">
        <v>2357</v>
      </c>
      <c r="P848" s="319">
        <v>71</v>
      </c>
      <c r="Q848" s="319" t="s">
        <v>429</v>
      </c>
      <c r="R848" s="320">
        <v>10043522</v>
      </c>
      <c r="S848" s="321">
        <v>43123</v>
      </c>
      <c r="T848" s="321">
        <v>43125</v>
      </c>
      <c r="U848" s="321">
        <v>43164</v>
      </c>
      <c r="V848" s="319" t="s">
        <v>435</v>
      </c>
      <c r="W848" s="319" t="s">
        <v>2767</v>
      </c>
      <c r="X848" s="319">
        <v>2</v>
      </c>
      <c r="Y848" s="319" t="s">
        <v>173</v>
      </c>
      <c r="Z848" s="319" t="s">
        <v>173</v>
      </c>
      <c r="AA848" s="319" t="s">
        <v>173</v>
      </c>
      <c r="AB848" s="319">
        <v>2</v>
      </c>
      <c r="AC848" s="319" t="s">
        <v>169</v>
      </c>
      <c r="AD848" s="319" t="s">
        <v>173</v>
      </c>
      <c r="AE848" s="319" t="s">
        <v>173</v>
      </c>
      <c r="AF848" s="319" t="s">
        <v>427</v>
      </c>
      <c r="AG848" s="319" t="s">
        <v>171</v>
      </c>
      <c r="AH848" s="319" t="s">
        <v>190</v>
      </c>
      <c r="AI848" s="319" t="s">
        <v>190</v>
      </c>
      <c r="AJ848" s="319" t="s">
        <v>190</v>
      </c>
      <c r="AK848" s="319" t="s">
        <v>190</v>
      </c>
      <c r="AL848" s="319" t="s">
        <v>190</v>
      </c>
      <c r="AM848" s="319" t="s">
        <v>190</v>
      </c>
      <c r="AN848" s="319" t="s">
        <v>190</v>
      </c>
      <c r="AO848" s="319" t="s">
        <v>190</v>
      </c>
      <c r="AP848" s="319" t="s">
        <v>190</v>
      </c>
      <c r="AQ848" s="319" t="s">
        <v>190</v>
      </c>
      <c r="AR848" s="319" t="s">
        <v>190</v>
      </c>
      <c r="AS848" s="319" t="s">
        <v>190</v>
      </c>
      <c r="AT848" s="319" t="s">
        <v>190</v>
      </c>
      <c r="AU848" s="319" t="s">
        <v>190</v>
      </c>
      <c r="AV848" s="319" t="s">
        <v>190</v>
      </c>
      <c r="AW848" s="319" t="s">
        <v>190</v>
      </c>
      <c r="AX848" s="319" t="s">
        <v>190</v>
      </c>
      <c r="AY848" s="319" t="s">
        <v>190</v>
      </c>
      <c r="AZ848" s="319" t="s">
        <v>190</v>
      </c>
      <c r="BA848" s="319" t="s">
        <v>190</v>
      </c>
      <c r="BB848" s="319" t="s">
        <v>190</v>
      </c>
      <c r="BC848" s="319" t="s">
        <v>190</v>
      </c>
      <c r="BD848" s="319" t="s">
        <v>190</v>
      </c>
      <c r="BE848" s="319" t="s">
        <v>190</v>
      </c>
      <c r="BF848" s="319" t="s">
        <v>190</v>
      </c>
      <c r="BG848" s="319" t="s">
        <v>190</v>
      </c>
      <c r="BH848" s="319" t="s">
        <v>190</v>
      </c>
      <c r="BI848" s="319" t="s">
        <v>190</v>
      </c>
      <c r="BJ848" s="319" t="s">
        <v>190</v>
      </c>
      <c r="BK848" s="319" t="s">
        <v>190</v>
      </c>
      <c r="BL848" s="319" t="s">
        <v>190</v>
      </c>
      <c r="BM848" s="319" t="s">
        <v>190</v>
      </c>
      <c r="BN848" s="319" t="s">
        <v>190</v>
      </c>
      <c r="BO848" s="319" t="s">
        <v>190</v>
      </c>
      <c r="BP848" s="319" t="s">
        <v>190</v>
      </c>
      <c r="BQ848" s="319" t="s">
        <v>190</v>
      </c>
      <c r="BR848" s="319" t="s">
        <v>190</v>
      </c>
      <c r="BS848" s="319" t="s">
        <v>190</v>
      </c>
      <c r="BT848" s="319" t="s">
        <v>190</v>
      </c>
      <c r="BU848" s="319" t="s">
        <v>190</v>
      </c>
      <c r="BV848" s="319" t="s">
        <v>190</v>
      </c>
      <c r="BW848" s="319" t="s">
        <v>190</v>
      </c>
      <c r="BX848" s="319" t="s">
        <v>190</v>
      </c>
      <c r="BY848" s="319" t="s">
        <v>190</v>
      </c>
      <c r="BZ848" s="319" t="s">
        <v>190</v>
      </c>
      <c r="CA848" s="319" t="s">
        <v>190</v>
      </c>
      <c r="CB848" s="319" t="s">
        <v>190</v>
      </c>
      <c r="CC848" s="319" t="s">
        <v>190</v>
      </c>
      <c r="CD848" s="319" t="s">
        <v>190</v>
      </c>
      <c r="CE848" s="319" t="s">
        <v>190</v>
      </c>
      <c r="CF848" s="319" t="s">
        <v>190</v>
      </c>
      <c r="CG848" s="319" t="s">
        <v>190</v>
      </c>
      <c r="CH848" s="319" t="s">
        <v>190</v>
      </c>
      <c r="CI848" s="319" t="s">
        <v>190</v>
      </c>
      <c r="CJ848" s="319" t="s">
        <v>190</v>
      </c>
      <c r="CK848" s="319" t="s">
        <v>190</v>
      </c>
      <c r="CL848" s="319" t="s">
        <v>190</v>
      </c>
      <c r="CM848" s="319" t="s">
        <v>190</v>
      </c>
      <c r="CN848" s="319" t="s">
        <v>190</v>
      </c>
      <c r="CO848" s="319" t="s">
        <v>190</v>
      </c>
      <c r="CP848" s="319" t="s">
        <v>190</v>
      </c>
      <c r="CQ848" s="319" t="s">
        <v>190</v>
      </c>
      <c r="CR848" s="319" t="s">
        <v>190</v>
      </c>
      <c r="CS848" s="319" t="s">
        <v>190</v>
      </c>
      <c r="CT848" s="319" t="s">
        <v>190</v>
      </c>
      <c r="CU848" s="319" t="s">
        <v>190</v>
      </c>
      <c r="CV848" s="319" t="s">
        <v>190</v>
      </c>
      <c r="CW848" s="319" t="s">
        <v>190</v>
      </c>
      <c r="CX848" s="319" t="s">
        <v>190</v>
      </c>
      <c r="CY848" s="319" t="s">
        <v>190</v>
      </c>
      <c r="CZ848" s="319" t="s">
        <v>190</v>
      </c>
      <c r="DA848" s="319" t="s">
        <v>190</v>
      </c>
      <c r="DB848" s="319" t="s">
        <v>190</v>
      </c>
      <c r="DC848" s="319" t="s">
        <v>190</v>
      </c>
      <c r="DD848" s="319" t="s">
        <v>190</v>
      </c>
      <c r="DE848" s="319" t="s">
        <v>190</v>
      </c>
      <c r="DF848" s="319" t="s">
        <v>190</v>
      </c>
      <c r="DG848" s="319" t="s">
        <v>190</v>
      </c>
      <c r="DH848" s="319" t="s">
        <v>190</v>
      </c>
      <c r="DI848" s="319" t="s">
        <v>190</v>
      </c>
      <c r="DJ848" s="319" t="s">
        <v>190</v>
      </c>
      <c r="DK848" s="319" t="s">
        <v>190</v>
      </c>
      <c r="DL848" s="319" t="s">
        <v>190</v>
      </c>
      <c r="DM848" s="319" t="s">
        <v>190</v>
      </c>
      <c r="DN848" s="319" t="s">
        <v>190</v>
      </c>
      <c r="DO848" s="319" t="s">
        <v>190</v>
      </c>
      <c r="DP848" s="319" t="s">
        <v>428</v>
      </c>
      <c r="DQ848" s="319" t="s">
        <v>428</v>
      </c>
      <c r="DR848" s="319" t="s">
        <v>428</v>
      </c>
      <c r="DS848" s="319" t="s">
        <v>428</v>
      </c>
      <c r="DT848" s="319" t="s">
        <v>428</v>
      </c>
      <c r="DU848" s="319" t="s">
        <v>428</v>
      </c>
      <c r="DV848" s="319" t="s">
        <v>173</v>
      </c>
      <c r="DW848" s="319" t="s">
        <v>428</v>
      </c>
      <c r="DX848" s="319" t="s">
        <v>428</v>
      </c>
      <c r="DY848" s="319" t="s">
        <v>428</v>
      </c>
      <c r="DZ848" s="319" t="s">
        <v>428</v>
      </c>
      <c r="EA848" s="319" t="s">
        <v>428</v>
      </c>
      <c r="EB848" s="319" t="s">
        <v>428</v>
      </c>
      <c r="EC848" s="319" t="s">
        <v>428</v>
      </c>
      <c r="ED848" s="319" t="s">
        <v>428</v>
      </c>
      <c r="EE848" s="319" t="s">
        <v>190</v>
      </c>
      <c r="EF848" s="319" t="s">
        <v>190</v>
      </c>
      <c r="EG848" s="319" t="s">
        <v>190</v>
      </c>
      <c r="EH848" s="319" t="s">
        <v>190</v>
      </c>
      <c r="EI848" s="319" t="s">
        <v>190</v>
      </c>
      <c r="EJ848" s="319" t="s">
        <v>190</v>
      </c>
      <c r="EK848" s="319" t="s">
        <v>190</v>
      </c>
      <c r="EL848" s="319" t="s">
        <v>190</v>
      </c>
      <c r="EM848" s="319" t="s">
        <v>190</v>
      </c>
      <c r="EN848" s="319" t="s">
        <v>190</v>
      </c>
      <c r="EO848" s="319" t="s">
        <v>190</v>
      </c>
      <c r="EP848" s="319" t="s">
        <v>190</v>
      </c>
      <c r="EQ848" s="319" t="s">
        <v>190</v>
      </c>
      <c r="ER848" s="319" t="s">
        <v>190</v>
      </c>
      <c r="ES848" s="319" t="s">
        <v>190</v>
      </c>
      <c r="ET848" s="319" t="s">
        <v>190</v>
      </c>
      <c r="EU848" s="319" t="s">
        <v>190</v>
      </c>
      <c r="EV848" s="319" t="s">
        <v>190</v>
      </c>
      <c r="EW848" s="319" t="s">
        <v>190</v>
      </c>
      <c r="EX848" s="319" t="s">
        <v>190</v>
      </c>
      <c r="EY848" s="319" t="s">
        <v>190</v>
      </c>
      <c r="EZ848" s="319" t="s">
        <v>190</v>
      </c>
      <c r="FA848" s="319" t="s">
        <v>190</v>
      </c>
      <c r="FB848" s="319" t="s">
        <v>428</v>
      </c>
      <c r="FC848" s="319" t="s">
        <v>428</v>
      </c>
      <c r="FD848" s="319" t="s">
        <v>428</v>
      </c>
      <c r="FE848" s="319" t="s">
        <v>428</v>
      </c>
      <c r="FF848" s="319" t="s">
        <v>428</v>
      </c>
      <c r="FG848" s="319" t="s">
        <v>428</v>
      </c>
      <c r="FH848" s="319" t="s">
        <v>190</v>
      </c>
      <c r="FI848" s="319" t="s">
        <v>190</v>
      </c>
      <c r="FJ848" s="319" t="s">
        <v>190</v>
      </c>
      <c r="FK848" s="319" t="s">
        <v>190</v>
      </c>
      <c r="FL848" s="319" t="s">
        <v>190</v>
      </c>
      <c r="FM848" s="319" t="s">
        <v>190</v>
      </c>
      <c r="FN848" s="319" t="s">
        <v>190</v>
      </c>
      <c r="FO848" s="319" t="s">
        <v>190</v>
      </c>
      <c r="FP848" s="319" t="s">
        <v>190</v>
      </c>
      <c r="FQ848" s="319" t="s">
        <v>190</v>
      </c>
      <c r="FR848" s="319" t="s">
        <v>190</v>
      </c>
      <c r="FS848" s="319" t="s">
        <v>190</v>
      </c>
      <c r="FT848" s="319" t="s">
        <v>190</v>
      </c>
      <c r="FU848" s="319" t="s">
        <v>190</v>
      </c>
      <c r="FV848" s="319" t="s">
        <v>190</v>
      </c>
      <c r="FW848" s="319" t="s">
        <v>190</v>
      </c>
      <c r="FX848" s="319" t="s">
        <v>190</v>
      </c>
      <c r="FY848" s="319" t="s">
        <v>190</v>
      </c>
      <c r="FZ848" s="319" t="s">
        <v>190</v>
      </c>
      <c r="GA848" s="319" t="s">
        <v>190</v>
      </c>
      <c r="GB848" s="319" t="s">
        <v>190</v>
      </c>
      <c r="GC848" s="319" t="s">
        <v>190</v>
      </c>
      <c r="GD848" s="319" t="s">
        <v>190</v>
      </c>
      <c r="GE848" s="319" t="s">
        <v>190</v>
      </c>
      <c r="GF848" s="319" t="s">
        <v>190</v>
      </c>
      <c r="GG848" s="319" t="s">
        <v>190</v>
      </c>
      <c r="GH848" s="319" t="s">
        <v>190</v>
      </c>
      <c r="GI848" s="319" t="s">
        <v>190</v>
      </c>
      <c r="GJ848" s="319" t="s">
        <v>190</v>
      </c>
      <c r="GK848" s="319" t="s">
        <v>190</v>
      </c>
      <c r="GL848" s="319" t="s">
        <v>190</v>
      </c>
      <c r="GM848" s="319" t="s">
        <v>190</v>
      </c>
      <c r="GN848" s="319" t="s">
        <v>190</v>
      </c>
      <c r="GO848" s="319" t="s">
        <v>190</v>
      </c>
      <c r="GP848" s="319" t="s">
        <v>428</v>
      </c>
      <c r="GQ848" s="319" t="s">
        <v>428</v>
      </c>
      <c r="GR848" s="319" t="s">
        <v>190</v>
      </c>
      <c r="GS848" s="319" t="s">
        <v>190</v>
      </c>
      <c r="GT848" s="319" t="s">
        <v>190</v>
      </c>
      <c r="GU848" s="319" t="s">
        <v>190</v>
      </c>
      <c r="GV848" s="319" t="s">
        <v>190</v>
      </c>
      <c r="GW848" s="319" t="s">
        <v>190</v>
      </c>
      <c r="GX848" s="319" t="s">
        <v>190</v>
      </c>
      <c r="GY848" s="319" t="s">
        <v>190</v>
      </c>
      <c r="GZ848" s="319" t="s">
        <v>190</v>
      </c>
      <c r="HA848" s="319" t="s">
        <v>190</v>
      </c>
      <c r="HB848" s="319" t="s">
        <v>190</v>
      </c>
      <c r="HC848" s="319" t="s">
        <v>190</v>
      </c>
      <c r="HD848" s="319" t="s">
        <v>190</v>
      </c>
      <c r="HE848" s="319" t="s">
        <v>190</v>
      </c>
      <c r="HF848" s="319" t="s">
        <v>190</v>
      </c>
      <c r="HG848" s="319" t="s">
        <v>190</v>
      </c>
      <c r="HH848" s="319" t="s">
        <v>190</v>
      </c>
      <c r="HI848" s="319" t="s">
        <v>190</v>
      </c>
      <c r="HJ848" s="319" t="s">
        <v>190</v>
      </c>
      <c r="HK848" s="319" t="s">
        <v>190</v>
      </c>
      <c r="HL848" s="319" t="s">
        <v>190</v>
      </c>
      <c r="HM848" s="319" t="s">
        <v>190</v>
      </c>
      <c r="HN848" s="319" t="s">
        <v>190</v>
      </c>
      <c r="HO848" s="319" t="s">
        <v>190</v>
      </c>
      <c r="HP848" s="319" t="s">
        <v>190</v>
      </c>
      <c r="HQ848" s="319" t="s">
        <v>190</v>
      </c>
      <c r="HR848" s="319" t="s">
        <v>190</v>
      </c>
      <c r="HS848" s="319" t="s">
        <v>190</v>
      </c>
      <c r="HT848" s="319" t="s">
        <v>190</v>
      </c>
      <c r="HU848" s="319" t="s">
        <v>190</v>
      </c>
      <c r="HV848" s="319" t="s">
        <v>190</v>
      </c>
      <c r="HW848" s="319" t="s">
        <v>190</v>
      </c>
      <c r="HX848" s="319" t="s">
        <v>190</v>
      </c>
      <c r="HY848" s="319" t="s">
        <v>190</v>
      </c>
      <c r="HZ848" s="319" t="s">
        <v>190</v>
      </c>
      <c r="IA848" s="319" t="s">
        <v>190</v>
      </c>
      <c r="IB848" s="319" t="s">
        <v>190</v>
      </c>
      <c r="IC848" s="319" t="s">
        <v>190</v>
      </c>
      <c r="ID848" s="319" t="s">
        <v>190</v>
      </c>
      <c r="IE848" s="319" t="s">
        <v>190</v>
      </c>
      <c r="IF848" s="319" t="s">
        <v>190</v>
      </c>
      <c r="IG848" s="319" t="s">
        <v>190</v>
      </c>
      <c r="IH848" s="319" t="s">
        <v>190</v>
      </c>
      <c r="II848" s="319" t="s">
        <v>190</v>
      </c>
      <c r="IJ848" s="319" t="s">
        <v>173</v>
      </c>
      <c r="IK848" s="319" t="s">
        <v>173</v>
      </c>
      <c r="IL848" s="319" t="s">
        <v>173</v>
      </c>
      <c r="IM848" s="319" t="s">
        <v>173</v>
      </c>
      <c r="IN848" s="319" t="s">
        <v>173</v>
      </c>
      <c r="IO848" s="319" t="s">
        <v>173</v>
      </c>
      <c r="IP848" s="319" t="s">
        <v>173</v>
      </c>
      <c r="IQ848" s="321" t="s">
        <v>173</v>
      </c>
      <c r="IR848" s="320" t="s">
        <v>173</v>
      </c>
      <c r="IS848" s="322" t="s">
        <v>173</v>
      </c>
      <c r="IT848" s="319" t="s">
        <v>173</v>
      </c>
    </row>
    <row r="849" spans="1:254" s="271" customFormat="1" x14ac:dyDescent="0.25">
      <c r="A849" s="318" t="str">
        <f>HYPERLINK("http://www.ofsted.gov.uk/inspection-reports/find-inspection-report/provider/ELS/142674 ","Ofsted School Webpage")</f>
        <v>Ofsted School Webpage</v>
      </c>
      <c r="B849" s="319">
        <v>142674</v>
      </c>
      <c r="C849" s="319">
        <v>3846004</v>
      </c>
      <c r="D849" s="319" t="s">
        <v>2358</v>
      </c>
      <c r="E849" s="319" t="s">
        <v>168</v>
      </c>
      <c r="F849" s="319" t="s">
        <v>81</v>
      </c>
      <c r="G849" s="319" t="s">
        <v>81</v>
      </c>
      <c r="H849" s="319" t="s">
        <v>81</v>
      </c>
      <c r="I849" s="319" t="s">
        <v>78</v>
      </c>
      <c r="J849" s="319" t="s">
        <v>424</v>
      </c>
      <c r="K849" s="319" t="s">
        <v>458</v>
      </c>
      <c r="L849" s="319" t="s">
        <v>459</v>
      </c>
      <c r="M849" s="319" t="s">
        <v>460</v>
      </c>
      <c r="N849" s="319" t="s">
        <v>2887</v>
      </c>
      <c r="O849" s="319" t="s">
        <v>2359</v>
      </c>
      <c r="P849" s="319">
        <v>34</v>
      </c>
      <c r="Q849" s="319" t="s">
        <v>429</v>
      </c>
      <c r="R849" s="320">
        <v>10093654</v>
      </c>
      <c r="S849" s="321">
        <v>43550</v>
      </c>
      <c r="T849" s="321">
        <v>43552</v>
      </c>
      <c r="U849" s="321">
        <v>43593</v>
      </c>
      <c r="V849" s="319" t="s">
        <v>425</v>
      </c>
      <c r="W849" s="319" t="s">
        <v>2767</v>
      </c>
      <c r="X849" s="319">
        <v>2</v>
      </c>
      <c r="Y849" s="319" t="s">
        <v>173</v>
      </c>
      <c r="Z849" s="319" t="s">
        <v>173</v>
      </c>
      <c r="AA849" s="319" t="s">
        <v>173</v>
      </c>
      <c r="AB849" s="319">
        <v>2</v>
      </c>
      <c r="AC849" s="319" t="s">
        <v>169</v>
      </c>
      <c r="AD849" s="319" t="s">
        <v>173</v>
      </c>
      <c r="AE849" s="319" t="s">
        <v>173</v>
      </c>
      <c r="AF849" s="319" t="s">
        <v>427</v>
      </c>
      <c r="AG849" s="319" t="s">
        <v>171</v>
      </c>
      <c r="AH849" s="319" t="s">
        <v>190</v>
      </c>
      <c r="AI849" s="319" t="s">
        <v>190</v>
      </c>
      <c r="AJ849" s="319" t="s">
        <v>190</v>
      </c>
      <c r="AK849" s="319" t="s">
        <v>190</v>
      </c>
      <c r="AL849" s="319" t="s">
        <v>190</v>
      </c>
      <c r="AM849" s="319" t="s">
        <v>190</v>
      </c>
      <c r="AN849" s="319" t="s">
        <v>190</v>
      </c>
      <c r="AO849" s="319" t="s">
        <v>190</v>
      </c>
      <c r="AP849" s="319" t="s">
        <v>190</v>
      </c>
      <c r="AQ849" s="319" t="s">
        <v>190</v>
      </c>
      <c r="AR849" s="319" t="s">
        <v>190</v>
      </c>
      <c r="AS849" s="319" t="s">
        <v>190</v>
      </c>
      <c r="AT849" s="319" t="s">
        <v>190</v>
      </c>
      <c r="AU849" s="319" t="s">
        <v>190</v>
      </c>
      <c r="AV849" s="319" t="s">
        <v>190</v>
      </c>
      <c r="AW849" s="319" t="s">
        <v>190</v>
      </c>
      <c r="AX849" s="319" t="s">
        <v>428</v>
      </c>
      <c r="AY849" s="319" t="s">
        <v>190</v>
      </c>
      <c r="AZ849" s="319" t="s">
        <v>190</v>
      </c>
      <c r="BA849" s="319" t="s">
        <v>190</v>
      </c>
      <c r="BB849" s="319" t="s">
        <v>428</v>
      </c>
      <c r="BC849" s="319" t="s">
        <v>190</v>
      </c>
      <c r="BD849" s="319" t="s">
        <v>428</v>
      </c>
      <c r="BE849" s="319" t="s">
        <v>428</v>
      </c>
      <c r="BF849" s="319" t="s">
        <v>428</v>
      </c>
      <c r="BG849" s="319" t="s">
        <v>428</v>
      </c>
      <c r="BH849" s="319" t="s">
        <v>190</v>
      </c>
      <c r="BI849" s="319" t="s">
        <v>190</v>
      </c>
      <c r="BJ849" s="319" t="s">
        <v>190</v>
      </c>
      <c r="BK849" s="319" t="s">
        <v>190</v>
      </c>
      <c r="BL849" s="319" t="s">
        <v>190</v>
      </c>
      <c r="BM849" s="319" t="s">
        <v>190</v>
      </c>
      <c r="BN849" s="319" t="s">
        <v>190</v>
      </c>
      <c r="BO849" s="319" t="s">
        <v>190</v>
      </c>
      <c r="BP849" s="319" t="s">
        <v>190</v>
      </c>
      <c r="BQ849" s="319" t="s">
        <v>190</v>
      </c>
      <c r="BR849" s="319" t="s">
        <v>190</v>
      </c>
      <c r="BS849" s="319" t="s">
        <v>190</v>
      </c>
      <c r="BT849" s="319" t="s">
        <v>190</v>
      </c>
      <c r="BU849" s="319" t="s">
        <v>190</v>
      </c>
      <c r="BV849" s="319" t="s">
        <v>190</v>
      </c>
      <c r="BW849" s="319" t="s">
        <v>190</v>
      </c>
      <c r="BX849" s="319" t="s">
        <v>190</v>
      </c>
      <c r="BY849" s="319" t="s">
        <v>190</v>
      </c>
      <c r="BZ849" s="319" t="s">
        <v>190</v>
      </c>
      <c r="CA849" s="319" t="s">
        <v>190</v>
      </c>
      <c r="CB849" s="319" t="s">
        <v>190</v>
      </c>
      <c r="CC849" s="319" t="s">
        <v>190</v>
      </c>
      <c r="CD849" s="319" t="s">
        <v>190</v>
      </c>
      <c r="CE849" s="319" t="s">
        <v>190</v>
      </c>
      <c r="CF849" s="319" t="s">
        <v>190</v>
      </c>
      <c r="CG849" s="319" t="s">
        <v>190</v>
      </c>
      <c r="CH849" s="319" t="s">
        <v>190</v>
      </c>
      <c r="CI849" s="319" t="s">
        <v>190</v>
      </c>
      <c r="CJ849" s="319" t="s">
        <v>190</v>
      </c>
      <c r="CK849" s="319" t="s">
        <v>190</v>
      </c>
      <c r="CL849" s="319" t="s">
        <v>190</v>
      </c>
      <c r="CM849" s="319" t="s">
        <v>190</v>
      </c>
      <c r="CN849" s="319" t="s">
        <v>428</v>
      </c>
      <c r="CO849" s="319" t="s">
        <v>428</v>
      </c>
      <c r="CP849" s="319" t="s">
        <v>428</v>
      </c>
      <c r="CQ849" s="319" t="s">
        <v>190</v>
      </c>
      <c r="CR849" s="319" t="s">
        <v>190</v>
      </c>
      <c r="CS849" s="319" t="s">
        <v>190</v>
      </c>
      <c r="CT849" s="319" t="s">
        <v>190</v>
      </c>
      <c r="CU849" s="319" t="s">
        <v>190</v>
      </c>
      <c r="CV849" s="319" t="s">
        <v>190</v>
      </c>
      <c r="CW849" s="319" t="s">
        <v>190</v>
      </c>
      <c r="CX849" s="319" t="s">
        <v>190</v>
      </c>
      <c r="CY849" s="319" t="s">
        <v>190</v>
      </c>
      <c r="CZ849" s="319" t="s">
        <v>190</v>
      </c>
      <c r="DA849" s="319" t="s">
        <v>190</v>
      </c>
      <c r="DB849" s="319" t="s">
        <v>190</v>
      </c>
      <c r="DC849" s="319" t="s">
        <v>190</v>
      </c>
      <c r="DD849" s="319" t="s">
        <v>190</v>
      </c>
      <c r="DE849" s="319" t="s">
        <v>190</v>
      </c>
      <c r="DF849" s="319" t="s">
        <v>190</v>
      </c>
      <c r="DG849" s="319" t="s">
        <v>190</v>
      </c>
      <c r="DH849" s="319" t="s">
        <v>190</v>
      </c>
      <c r="DI849" s="319" t="s">
        <v>190</v>
      </c>
      <c r="DJ849" s="319" t="s">
        <v>190</v>
      </c>
      <c r="DK849" s="319" t="s">
        <v>190</v>
      </c>
      <c r="DL849" s="319" t="s">
        <v>190</v>
      </c>
      <c r="DM849" s="319" t="s">
        <v>190</v>
      </c>
      <c r="DN849" s="319" t="s">
        <v>190</v>
      </c>
      <c r="DO849" s="319" t="s">
        <v>190</v>
      </c>
      <c r="DP849" s="319" t="s">
        <v>428</v>
      </c>
      <c r="DQ849" s="319" t="s">
        <v>428</v>
      </c>
      <c r="DR849" s="319" t="s">
        <v>428</v>
      </c>
      <c r="DS849" s="319" t="s">
        <v>428</v>
      </c>
      <c r="DT849" s="319" t="s">
        <v>428</v>
      </c>
      <c r="DU849" s="319" t="s">
        <v>428</v>
      </c>
      <c r="DV849" s="319" t="s">
        <v>173</v>
      </c>
      <c r="DW849" s="319" t="s">
        <v>428</v>
      </c>
      <c r="DX849" s="319" t="s">
        <v>428</v>
      </c>
      <c r="DY849" s="319" t="s">
        <v>428</v>
      </c>
      <c r="DZ849" s="319" t="s">
        <v>428</v>
      </c>
      <c r="EA849" s="319" t="s">
        <v>428</v>
      </c>
      <c r="EB849" s="319" t="s">
        <v>428</v>
      </c>
      <c r="EC849" s="319" t="s">
        <v>428</v>
      </c>
      <c r="ED849" s="319" t="s">
        <v>190</v>
      </c>
      <c r="EE849" s="319" t="s">
        <v>190</v>
      </c>
      <c r="EF849" s="319" t="s">
        <v>190</v>
      </c>
      <c r="EG849" s="319" t="s">
        <v>190</v>
      </c>
      <c r="EH849" s="319" t="s">
        <v>190</v>
      </c>
      <c r="EI849" s="319" t="s">
        <v>190</v>
      </c>
      <c r="EJ849" s="319" t="s">
        <v>190</v>
      </c>
      <c r="EK849" s="319" t="s">
        <v>190</v>
      </c>
      <c r="EL849" s="319" t="s">
        <v>190</v>
      </c>
      <c r="EM849" s="319" t="s">
        <v>190</v>
      </c>
      <c r="EN849" s="319" t="s">
        <v>190</v>
      </c>
      <c r="EO849" s="319" t="s">
        <v>190</v>
      </c>
      <c r="EP849" s="319" t="s">
        <v>190</v>
      </c>
      <c r="EQ849" s="319" t="s">
        <v>190</v>
      </c>
      <c r="ER849" s="319" t="s">
        <v>190</v>
      </c>
      <c r="ES849" s="319" t="s">
        <v>190</v>
      </c>
      <c r="ET849" s="319" t="s">
        <v>190</v>
      </c>
      <c r="EU849" s="319" t="s">
        <v>190</v>
      </c>
      <c r="EV849" s="319" t="s">
        <v>190</v>
      </c>
      <c r="EW849" s="319" t="s">
        <v>190</v>
      </c>
      <c r="EX849" s="319" t="s">
        <v>190</v>
      </c>
      <c r="EY849" s="319" t="s">
        <v>190</v>
      </c>
      <c r="EZ849" s="319" t="s">
        <v>190</v>
      </c>
      <c r="FA849" s="319" t="s">
        <v>428</v>
      </c>
      <c r="FB849" s="319" t="s">
        <v>428</v>
      </c>
      <c r="FC849" s="319" t="s">
        <v>428</v>
      </c>
      <c r="FD849" s="319" t="s">
        <v>428</v>
      </c>
      <c r="FE849" s="319" t="s">
        <v>428</v>
      </c>
      <c r="FF849" s="319" t="s">
        <v>428</v>
      </c>
      <c r="FG849" s="319" t="s">
        <v>428</v>
      </c>
      <c r="FH849" s="319" t="s">
        <v>190</v>
      </c>
      <c r="FI849" s="319" t="s">
        <v>190</v>
      </c>
      <c r="FJ849" s="319" t="s">
        <v>190</v>
      </c>
      <c r="FK849" s="319" t="s">
        <v>190</v>
      </c>
      <c r="FL849" s="319" t="s">
        <v>190</v>
      </c>
      <c r="FM849" s="319" t="s">
        <v>190</v>
      </c>
      <c r="FN849" s="319" t="s">
        <v>190</v>
      </c>
      <c r="FO849" s="319" t="s">
        <v>190</v>
      </c>
      <c r="FP849" s="319" t="s">
        <v>190</v>
      </c>
      <c r="FQ849" s="319" t="s">
        <v>190</v>
      </c>
      <c r="FR849" s="319" t="s">
        <v>190</v>
      </c>
      <c r="FS849" s="319" t="s">
        <v>190</v>
      </c>
      <c r="FT849" s="319" t="s">
        <v>190</v>
      </c>
      <c r="FU849" s="319" t="s">
        <v>190</v>
      </c>
      <c r="FV849" s="319" t="s">
        <v>190</v>
      </c>
      <c r="FW849" s="319" t="s">
        <v>190</v>
      </c>
      <c r="FX849" s="319" t="s">
        <v>190</v>
      </c>
      <c r="FY849" s="319" t="s">
        <v>190</v>
      </c>
      <c r="FZ849" s="319" t="s">
        <v>190</v>
      </c>
      <c r="GA849" s="319" t="s">
        <v>190</v>
      </c>
      <c r="GB849" s="319" t="s">
        <v>190</v>
      </c>
      <c r="GC849" s="319" t="s">
        <v>190</v>
      </c>
      <c r="GD849" s="319" t="s">
        <v>190</v>
      </c>
      <c r="GE849" s="319" t="s">
        <v>190</v>
      </c>
      <c r="GF849" s="319" t="s">
        <v>190</v>
      </c>
      <c r="GG849" s="319" t="s">
        <v>190</v>
      </c>
      <c r="GH849" s="319" t="s">
        <v>190</v>
      </c>
      <c r="GI849" s="319" t="s">
        <v>190</v>
      </c>
      <c r="GJ849" s="319" t="s">
        <v>190</v>
      </c>
      <c r="GK849" s="319" t="s">
        <v>428</v>
      </c>
      <c r="GL849" s="319" t="s">
        <v>190</v>
      </c>
      <c r="GM849" s="319" t="s">
        <v>190</v>
      </c>
      <c r="GN849" s="319" t="s">
        <v>190</v>
      </c>
      <c r="GO849" s="319" t="s">
        <v>190</v>
      </c>
      <c r="GP849" s="319" t="s">
        <v>190</v>
      </c>
      <c r="GQ849" s="319" t="s">
        <v>428</v>
      </c>
      <c r="GR849" s="319" t="s">
        <v>190</v>
      </c>
      <c r="GS849" s="319" t="s">
        <v>190</v>
      </c>
      <c r="GT849" s="319" t="s">
        <v>190</v>
      </c>
      <c r="GU849" s="319" t="s">
        <v>190</v>
      </c>
      <c r="GV849" s="319" t="s">
        <v>190</v>
      </c>
      <c r="GW849" s="319" t="s">
        <v>190</v>
      </c>
      <c r="GX849" s="319" t="s">
        <v>190</v>
      </c>
      <c r="GY849" s="319" t="s">
        <v>190</v>
      </c>
      <c r="GZ849" s="319" t="s">
        <v>428</v>
      </c>
      <c r="HA849" s="319" t="s">
        <v>190</v>
      </c>
      <c r="HB849" s="319" t="s">
        <v>190</v>
      </c>
      <c r="HC849" s="319" t="s">
        <v>190</v>
      </c>
      <c r="HD849" s="319" t="s">
        <v>190</v>
      </c>
      <c r="HE849" s="319" t="s">
        <v>190</v>
      </c>
      <c r="HF849" s="319" t="s">
        <v>190</v>
      </c>
      <c r="HG849" s="319" t="s">
        <v>190</v>
      </c>
      <c r="HH849" s="319" t="s">
        <v>190</v>
      </c>
      <c r="HI849" s="319" t="s">
        <v>190</v>
      </c>
      <c r="HJ849" s="319" t="s">
        <v>190</v>
      </c>
      <c r="HK849" s="319" t="s">
        <v>190</v>
      </c>
      <c r="HL849" s="319" t="s">
        <v>190</v>
      </c>
      <c r="HM849" s="319" t="s">
        <v>190</v>
      </c>
      <c r="HN849" s="319" t="s">
        <v>190</v>
      </c>
      <c r="HO849" s="319" t="s">
        <v>190</v>
      </c>
      <c r="HP849" s="319" t="s">
        <v>190</v>
      </c>
      <c r="HQ849" s="319" t="s">
        <v>190</v>
      </c>
      <c r="HR849" s="319" t="s">
        <v>190</v>
      </c>
      <c r="HS849" s="319" t="s">
        <v>190</v>
      </c>
      <c r="HT849" s="319" t="s">
        <v>190</v>
      </c>
      <c r="HU849" s="319" t="s">
        <v>190</v>
      </c>
      <c r="HV849" s="319" t="s">
        <v>190</v>
      </c>
      <c r="HW849" s="319" t="s">
        <v>190</v>
      </c>
      <c r="HX849" s="319" t="s">
        <v>190</v>
      </c>
      <c r="HY849" s="319" t="s">
        <v>190</v>
      </c>
      <c r="HZ849" s="319" t="s">
        <v>190</v>
      </c>
      <c r="IA849" s="319" t="s">
        <v>190</v>
      </c>
      <c r="IB849" s="319" t="s">
        <v>190</v>
      </c>
      <c r="IC849" s="319" t="s">
        <v>190</v>
      </c>
      <c r="ID849" s="319" t="s">
        <v>190</v>
      </c>
      <c r="IE849" s="319" t="s">
        <v>190</v>
      </c>
      <c r="IF849" s="319" t="s">
        <v>190</v>
      </c>
      <c r="IG849" s="319" t="s">
        <v>190</v>
      </c>
      <c r="IH849" s="319" t="s">
        <v>190</v>
      </c>
      <c r="II849" s="319" t="s">
        <v>190</v>
      </c>
      <c r="IJ849" s="319">
        <v>10025964</v>
      </c>
      <c r="IK849" s="321">
        <v>42766</v>
      </c>
      <c r="IL849" s="321">
        <v>42768</v>
      </c>
      <c r="IM849" s="321">
        <v>42810</v>
      </c>
      <c r="IN849" s="319">
        <v>2</v>
      </c>
      <c r="IO849" s="319" t="s">
        <v>173</v>
      </c>
      <c r="IP849" s="319" t="s">
        <v>173</v>
      </c>
      <c r="IQ849" s="321" t="s">
        <v>173</v>
      </c>
      <c r="IR849" s="320" t="s">
        <v>173</v>
      </c>
      <c r="IS849" s="322" t="s">
        <v>173</v>
      </c>
      <c r="IT849" s="319" t="s">
        <v>173</v>
      </c>
    </row>
    <row r="850" spans="1:254" s="271" customFormat="1" x14ac:dyDescent="0.25">
      <c r="A850" s="318" t="str">
        <f>HYPERLINK("http://www.ofsted.gov.uk/inspection-reports/find-inspection-report/provider/ELS/142675 ","Ofsted School Webpage")</f>
        <v>Ofsted School Webpage</v>
      </c>
      <c r="B850" s="319">
        <v>142675</v>
      </c>
      <c r="C850" s="319">
        <v>3516004</v>
      </c>
      <c r="D850" s="319" t="s">
        <v>2360</v>
      </c>
      <c r="E850" s="319" t="s">
        <v>168</v>
      </c>
      <c r="F850" s="319" t="s">
        <v>81</v>
      </c>
      <c r="G850" s="319" t="s">
        <v>81</v>
      </c>
      <c r="H850" s="319" t="s">
        <v>81</v>
      </c>
      <c r="I850" s="319" t="s">
        <v>78</v>
      </c>
      <c r="J850" s="319" t="s">
        <v>424</v>
      </c>
      <c r="K850" s="319" t="s">
        <v>431</v>
      </c>
      <c r="L850" s="319" t="s">
        <v>431</v>
      </c>
      <c r="M850" s="319" t="s">
        <v>936</v>
      </c>
      <c r="N850" s="319" t="s">
        <v>2868</v>
      </c>
      <c r="O850" s="319" t="s">
        <v>2361</v>
      </c>
      <c r="P850" s="319">
        <v>31</v>
      </c>
      <c r="Q850" s="319" t="s">
        <v>2776</v>
      </c>
      <c r="R850" s="320">
        <v>10034042</v>
      </c>
      <c r="S850" s="321">
        <v>42912</v>
      </c>
      <c r="T850" s="321">
        <v>42914</v>
      </c>
      <c r="U850" s="321">
        <v>42940</v>
      </c>
      <c r="V850" s="319" t="s">
        <v>435</v>
      </c>
      <c r="W850" s="319" t="s">
        <v>2767</v>
      </c>
      <c r="X850" s="319">
        <v>2</v>
      </c>
      <c r="Y850" s="319" t="s">
        <v>173</v>
      </c>
      <c r="Z850" s="319" t="s">
        <v>173</v>
      </c>
      <c r="AA850" s="319" t="s">
        <v>173</v>
      </c>
      <c r="AB850" s="319">
        <v>2</v>
      </c>
      <c r="AC850" s="319" t="s">
        <v>169</v>
      </c>
      <c r="AD850" s="319" t="s">
        <v>173</v>
      </c>
      <c r="AE850" s="319">
        <v>2</v>
      </c>
      <c r="AF850" s="319" t="s">
        <v>173</v>
      </c>
      <c r="AG850" s="319" t="s">
        <v>171</v>
      </c>
      <c r="AH850" s="319" t="s">
        <v>190</v>
      </c>
      <c r="AI850" s="319" t="s">
        <v>190</v>
      </c>
      <c r="AJ850" s="319" t="s">
        <v>190</v>
      </c>
      <c r="AK850" s="319" t="s">
        <v>190</v>
      </c>
      <c r="AL850" s="319" t="s">
        <v>190</v>
      </c>
      <c r="AM850" s="319" t="s">
        <v>190</v>
      </c>
      <c r="AN850" s="319" t="s">
        <v>190</v>
      </c>
      <c r="AO850" s="319" t="s">
        <v>190</v>
      </c>
      <c r="AP850" s="319" t="s">
        <v>190</v>
      </c>
      <c r="AQ850" s="319" t="s">
        <v>190</v>
      </c>
      <c r="AR850" s="319" t="s">
        <v>190</v>
      </c>
      <c r="AS850" s="319" t="s">
        <v>190</v>
      </c>
      <c r="AT850" s="319" t="s">
        <v>190</v>
      </c>
      <c r="AU850" s="319" t="s">
        <v>190</v>
      </c>
      <c r="AV850" s="319" t="s">
        <v>190</v>
      </c>
      <c r="AW850" s="319" t="s">
        <v>190</v>
      </c>
      <c r="AX850" s="319" t="s">
        <v>429</v>
      </c>
      <c r="AY850" s="319" t="s">
        <v>190</v>
      </c>
      <c r="AZ850" s="319" t="s">
        <v>190</v>
      </c>
      <c r="BA850" s="319" t="s">
        <v>190</v>
      </c>
      <c r="BB850" s="319" t="s">
        <v>190</v>
      </c>
      <c r="BC850" s="319" t="s">
        <v>190</v>
      </c>
      <c r="BD850" s="319" t="s">
        <v>190</v>
      </c>
      <c r="BE850" s="319" t="s">
        <v>190</v>
      </c>
      <c r="BF850" s="319" t="s">
        <v>190</v>
      </c>
      <c r="BG850" s="319" t="s">
        <v>190</v>
      </c>
      <c r="BH850" s="319" t="s">
        <v>190</v>
      </c>
      <c r="BI850" s="319" t="s">
        <v>190</v>
      </c>
      <c r="BJ850" s="319" t="s">
        <v>190</v>
      </c>
      <c r="BK850" s="319" t="s">
        <v>190</v>
      </c>
      <c r="BL850" s="319" t="s">
        <v>190</v>
      </c>
      <c r="BM850" s="319" t="s">
        <v>190</v>
      </c>
      <c r="BN850" s="319" t="s">
        <v>190</v>
      </c>
      <c r="BO850" s="319" t="s">
        <v>190</v>
      </c>
      <c r="BP850" s="319" t="s">
        <v>190</v>
      </c>
      <c r="BQ850" s="319" t="s">
        <v>190</v>
      </c>
      <c r="BR850" s="319" t="s">
        <v>190</v>
      </c>
      <c r="BS850" s="319" t="s">
        <v>190</v>
      </c>
      <c r="BT850" s="319" t="s">
        <v>190</v>
      </c>
      <c r="BU850" s="319" t="s">
        <v>190</v>
      </c>
      <c r="BV850" s="319" t="s">
        <v>190</v>
      </c>
      <c r="BW850" s="319" t="s">
        <v>190</v>
      </c>
      <c r="BX850" s="319" t="s">
        <v>190</v>
      </c>
      <c r="BY850" s="319" t="s">
        <v>190</v>
      </c>
      <c r="BZ850" s="319" t="s">
        <v>190</v>
      </c>
      <c r="CA850" s="319" t="s">
        <v>190</v>
      </c>
      <c r="CB850" s="319" t="s">
        <v>190</v>
      </c>
      <c r="CC850" s="319" t="s">
        <v>190</v>
      </c>
      <c r="CD850" s="319" t="s">
        <v>190</v>
      </c>
      <c r="CE850" s="319" t="s">
        <v>190</v>
      </c>
      <c r="CF850" s="319" t="s">
        <v>190</v>
      </c>
      <c r="CG850" s="319" t="s">
        <v>190</v>
      </c>
      <c r="CH850" s="319" t="s">
        <v>190</v>
      </c>
      <c r="CI850" s="319" t="s">
        <v>190</v>
      </c>
      <c r="CJ850" s="319" t="s">
        <v>190</v>
      </c>
      <c r="CK850" s="319" t="s">
        <v>190</v>
      </c>
      <c r="CL850" s="319" t="s">
        <v>190</v>
      </c>
      <c r="CM850" s="319" t="s">
        <v>190</v>
      </c>
      <c r="CN850" s="319" t="s">
        <v>429</v>
      </c>
      <c r="CO850" s="319" t="s">
        <v>429</v>
      </c>
      <c r="CP850" s="319" t="s">
        <v>429</v>
      </c>
      <c r="CQ850" s="319" t="s">
        <v>190</v>
      </c>
      <c r="CR850" s="319" t="s">
        <v>190</v>
      </c>
      <c r="CS850" s="319" t="s">
        <v>190</v>
      </c>
      <c r="CT850" s="319" t="s">
        <v>190</v>
      </c>
      <c r="CU850" s="319" t="s">
        <v>190</v>
      </c>
      <c r="CV850" s="319" t="s">
        <v>190</v>
      </c>
      <c r="CW850" s="319" t="s">
        <v>190</v>
      </c>
      <c r="CX850" s="319" t="s">
        <v>190</v>
      </c>
      <c r="CY850" s="319" t="s">
        <v>190</v>
      </c>
      <c r="CZ850" s="319" t="s">
        <v>190</v>
      </c>
      <c r="DA850" s="319" t="s">
        <v>190</v>
      </c>
      <c r="DB850" s="319" t="s">
        <v>190</v>
      </c>
      <c r="DC850" s="319" t="s">
        <v>190</v>
      </c>
      <c r="DD850" s="319" t="s">
        <v>190</v>
      </c>
      <c r="DE850" s="319" t="s">
        <v>190</v>
      </c>
      <c r="DF850" s="319" t="s">
        <v>190</v>
      </c>
      <c r="DG850" s="319" t="s">
        <v>190</v>
      </c>
      <c r="DH850" s="319" t="s">
        <v>190</v>
      </c>
      <c r="DI850" s="319" t="s">
        <v>190</v>
      </c>
      <c r="DJ850" s="319" t="s">
        <v>190</v>
      </c>
      <c r="DK850" s="319" t="s">
        <v>190</v>
      </c>
      <c r="DL850" s="319" t="s">
        <v>190</v>
      </c>
      <c r="DM850" s="319" t="s">
        <v>190</v>
      </c>
      <c r="DN850" s="319" t="s">
        <v>429</v>
      </c>
      <c r="DO850" s="319" t="s">
        <v>190</v>
      </c>
      <c r="DP850" s="319" t="s">
        <v>190</v>
      </c>
      <c r="DQ850" s="319" t="s">
        <v>190</v>
      </c>
      <c r="DR850" s="319" t="s">
        <v>190</v>
      </c>
      <c r="DS850" s="319" t="s">
        <v>190</v>
      </c>
      <c r="DT850" s="319" t="s">
        <v>190</v>
      </c>
      <c r="DU850" s="319" t="s">
        <v>190</v>
      </c>
      <c r="DV850" s="319" t="s">
        <v>173</v>
      </c>
      <c r="DW850" s="319" t="s">
        <v>190</v>
      </c>
      <c r="DX850" s="319" t="s">
        <v>190</v>
      </c>
      <c r="DY850" s="319" t="s">
        <v>190</v>
      </c>
      <c r="DZ850" s="319" t="s">
        <v>190</v>
      </c>
      <c r="EA850" s="319" t="s">
        <v>190</v>
      </c>
      <c r="EB850" s="319" t="s">
        <v>190</v>
      </c>
      <c r="EC850" s="319" t="s">
        <v>429</v>
      </c>
      <c r="ED850" s="319" t="s">
        <v>190</v>
      </c>
      <c r="EE850" s="319" t="s">
        <v>190</v>
      </c>
      <c r="EF850" s="319" t="s">
        <v>190</v>
      </c>
      <c r="EG850" s="319" t="s">
        <v>190</v>
      </c>
      <c r="EH850" s="319" t="s">
        <v>190</v>
      </c>
      <c r="EI850" s="319" t="s">
        <v>190</v>
      </c>
      <c r="EJ850" s="319" t="s">
        <v>190</v>
      </c>
      <c r="EK850" s="319" t="s">
        <v>190</v>
      </c>
      <c r="EL850" s="319" t="s">
        <v>190</v>
      </c>
      <c r="EM850" s="319" t="s">
        <v>190</v>
      </c>
      <c r="EN850" s="319" t="s">
        <v>190</v>
      </c>
      <c r="EO850" s="319" t="s">
        <v>190</v>
      </c>
      <c r="EP850" s="319" t="s">
        <v>190</v>
      </c>
      <c r="EQ850" s="319" t="s">
        <v>190</v>
      </c>
      <c r="ER850" s="319" t="s">
        <v>190</v>
      </c>
      <c r="ES850" s="319" t="s">
        <v>190</v>
      </c>
      <c r="ET850" s="319" t="s">
        <v>190</v>
      </c>
      <c r="EU850" s="319" t="s">
        <v>190</v>
      </c>
      <c r="EV850" s="319" t="s">
        <v>190</v>
      </c>
      <c r="EW850" s="319" t="s">
        <v>190</v>
      </c>
      <c r="EX850" s="319" t="s">
        <v>190</v>
      </c>
      <c r="EY850" s="319" t="s">
        <v>190</v>
      </c>
      <c r="EZ850" s="319" t="s">
        <v>190</v>
      </c>
      <c r="FA850" s="319" t="s">
        <v>190</v>
      </c>
      <c r="FB850" s="319" t="s">
        <v>190</v>
      </c>
      <c r="FC850" s="319" t="s">
        <v>190</v>
      </c>
      <c r="FD850" s="319" t="s">
        <v>190</v>
      </c>
      <c r="FE850" s="319" t="s">
        <v>190</v>
      </c>
      <c r="FF850" s="319" t="s">
        <v>190</v>
      </c>
      <c r="FG850" s="319" t="s">
        <v>190</v>
      </c>
      <c r="FH850" s="319" t="s">
        <v>190</v>
      </c>
      <c r="FI850" s="319" t="s">
        <v>190</v>
      </c>
      <c r="FJ850" s="319" t="s">
        <v>190</v>
      </c>
      <c r="FK850" s="319" t="s">
        <v>190</v>
      </c>
      <c r="FL850" s="319" t="s">
        <v>190</v>
      </c>
      <c r="FM850" s="319" t="s">
        <v>190</v>
      </c>
      <c r="FN850" s="319" t="s">
        <v>190</v>
      </c>
      <c r="FO850" s="319" t="s">
        <v>190</v>
      </c>
      <c r="FP850" s="319" t="s">
        <v>190</v>
      </c>
      <c r="FQ850" s="319" t="s">
        <v>190</v>
      </c>
      <c r="FR850" s="319" t="s">
        <v>190</v>
      </c>
      <c r="FS850" s="319" t="s">
        <v>190</v>
      </c>
      <c r="FT850" s="319" t="s">
        <v>190</v>
      </c>
      <c r="FU850" s="319" t="s">
        <v>190</v>
      </c>
      <c r="FV850" s="319" t="s">
        <v>190</v>
      </c>
      <c r="FW850" s="319" t="s">
        <v>190</v>
      </c>
      <c r="FX850" s="319" t="s">
        <v>190</v>
      </c>
      <c r="FY850" s="319" t="s">
        <v>190</v>
      </c>
      <c r="FZ850" s="319" t="s">
        <v>190</v>
      </c>
      <c r="GA850" s="319" t="s">
        <v>190</v>
      </c>
      <c r="GB850" s="319" t="s">
        <v>190</v>
      </c>
      <c r="GC850" s="319" t="s">
        <v>190</v>
      </c>
      <c r="GD850" s="319" t="s">
        <v>190</v>
      </c>
      <c r="GE850" s="319" t="s">
        <v>190</v>
      </c>
      <c r="GF850" s="319" t="s">
        <v>190</v>
      </c>
      <c r="GG850" s="319" t="s">
        <v>190</v>
      </c>
      <c r="GH850" s="319" t="s">
        <v>190</v>
      </c>
      <c r="GI850" s="319" t="s">
        <v>190</v>
      </c>
      <c r="GJ850" s="319" t="s">
        <v>190</v>
      </c>
      <c r="GK850" s="319" t="s">
        <v>429</v>
      </c>
      <c r="GL850" s="319" t="s">
        <v>190</v>
      </c>
      <c r="GM850" s="319" t="s">
        <v>190</v>
      </c>
      <c r="GN850" s="319" t="s">
        <v>190</v>
      </c>
      <c r="GO850" s="319" t="s">
        <v>190</v>
      </c>
      <c r="GP850" s="319" t="s">
        <v>429</v>
      </c>
      <c r="GQ850" s="319" t="s">
        <v>429</v>
      </c>
      <c r="GR850" s="319" t="s">
        <v>190</v>
      </c>
      <c r="GS850" s="319" t="s">
        <v>190</v>
      </c>
      <c r="GT850" s="319" t="s">
        <v>190</v>
      </c>
      <c r="GU850" s="319" t="s">
        <v>190</v>
      </c>
      <c r="GV850" s="319" t="s">
        <v>190</v>
      </c>
      <c r="GW850" s="319" t="s">
        <v>190</v>
      </c>
      <c r="GX850" s="319" t="s">
        <v>190</v>
      </c>
      <c r="GY850" s="319" t="s">
        <v>190</v>
      </c>
      <c r="GZ850" s="319" t="s">
        <v>190</v>
      </c>
      <c r="HA850" s="319" t="s">
        <v>190</v>
      </c>
      <c r="HB850" s="319" t="s">
        <v>190</v>
      </c>
      <c r="HC850" s="319" t="s">
        <v>190</v>
      </c>
      <c r="HD850" s="319" t="s">
        <v>190</v>
      </c>
      <c r="HE850" s="319" t="s">
        <v>190</v>
      </c>
      <c r="HF850" s="319" t="s">
        <v>190</v>
      </c>
      <c r="HG850" s="319" t="s">
        <v>190</v>
      </c>
      <c r="HH850" s="319" t="s">
        <v>190</v>
      </c>
      <c r="HI850" s="319" t="s">
        <v>190</v>
      </c>
      <c r="HJ850" s="319" t="s">
        <v>190</v>
      </c>
      <c r="HK850" s="319" t="s">
        <v>190</v>
      </c>
      <c r="HL850" s="319" t="s">
        <v>190</v>
      </c>
      <c r="HM850" s="319" t="s">
        <v>190</v>
      </c>
      <c r="HN850" s="319" t="s">
        <v>190</v>
      </c>
      <c r="HO850" s="319" t="s">
        <v>190</v>
      </c>
      <c r="HP850" s="319" t="s">
        <v>190</v>
      </c>
      <c r="HQ850" s="319" t="s">
        <v>190</v>
      </c>
      <c r="HR850" s="319" t="s">
        <v>190</v>
      </c>
      <c r="HS850" s="319" t="s">
        <v>190</v>
      </c>
      <c r="HT850" s="319" t="s">
        <v>190</v>
      </c>
      <c r="HU850" s="319" t="s">
        <v>190</v>
      </c>
      <c r="HV850" s="319" t="s">
        <v>190</v>
      </c>
      <c r="HW850" s="319" t="s">
        <v>190</v>
      </c>
      <c r="HX850" s="319" t="s">
        <v>190</v>
      </c>
      <c r="HY850" s="319" t="s">
        <v>190</v>
      </c>
      <c r="HZ850" s="319" t="s">
        <v>190</v>
      </c>
      <c r="IA850" s="319" t="s">
        <v>190</v>
      </c>
      <c r="IB850" s="319" t="s">
        <v>190</v>
      </c>
      <c r="IC850" s="319" t="s">
        <v>190</v>
      </c>
      <c r="ID850" s="319" t="s">
        <v>190</v>
      </c>
      <c r="IE850" s="319" t="s">
        <v>190</v>
      </c>
      <c r="IF850" s="319" t="s">
        <v>190</v>
      </c>
      <c r="IG850" s="319" t="s">
        <v>190</v>
      </c>
      <c r="IH850" s="319" t="s">
        <v>190</v>
      </c>
      <c r="II850" s="319" t="s">
        <v>190</v>
      </c>
      <c r="IJ850" s="319" t="s">
        <v>173</v>
      </c>
      <c r="IK850" s="319" t="s">
        <v>173</v>
      </c>
      <c r="IL850" s="319" t="s">
        <v>173</v>
      </c>
      <c r="IM850" s="319" t="s">
        <v>173</v>
      </c>
      <c r="IN850" s="319" t="s">
        <v>173</v>
      </c>
      <c r="IO850" s="319" t="s">
        <v>173</v>
      </c>
      <c r="IP850" s="319" t="s">
        <v>173</v>
      </c>
      <c r="IQ850" s="321" t="s">
        <v>173</v>
      </c>
      <c r="IR850" s="320" t="s">
        <v>173</v>
      </c>
      <c r="IS850" s="322" t="s">
        <v>173</v>
      </c>
      <c r="IT850" s="319" t="s">
        <v>173</v>
      </c>
    </row>
    <row r="851" spans="1:254" s="271" customFormat="1" x14ac:dyDescent="0.25">
      <c r="A851" s="318" t="str">
        <f>HYPERLINK("http://www.ofsted.gov.uk/inspection-reports/find-inspection-report/provider/ELS/142776 ","Ofsted School Webpage")</f>
        <v>Ofsted School Webpage</v>
      </c>
      <c r="B851" s="319">
        <v>142776</v>
      </c>
      <c r="C851" s="319">
        <v>8736054</v>
      </c>
      <c r="D851" s="319" t="s">
        <v>2362</v>
      </c>
      <c r="E851" s="319" t="s">
        <v>167</v>
      </c>
      <c r="F851" s="319" t="s">
        <v>81</v>
      </c>
      <c r="G851" s="319" t="s">
        <v>81</v>
      </c>
      <c r="H851" s="319" t="s">
        <v>81</v>
      </c>
      <c r="I851" s="319" t="s">
        <v>78</v>
      </c>
      <c r="J851" s="319" t="s">
        <v>424</v>
      </c>
      <c r="K851" s="319" t="s">
        <v>451</v>
      </c>
      <c r="L851" s="319" t="s">
        <v>451</v>
      </c>
      <c r="M851" s="319" t="s">
        <v>772</v>
      </c>
      <c r="N851" s="319" t="s">
        <v>3137</v>
      </c>
      <c r="O851" s="319" t="s">
        <v>2363</v>
      </c>
      <c r="P851" s="319">
        <v>83</v>
      </c>
      <c r="Q851" s="319" t="s">
        <v>2766</v>
      </c>
      <c r="R851" s="320">
        <v>10033610</v>
      </c>
      <c r="S851" s="321">
        <v>42815</v>
      </c>
      <c r="T851" s="321">
        <v>42817</v>
      </c>
      <c r="U851" s="321">
        <v>42858</v>
      </c>
      <c r="V851" s="319" t="s">
        <v>435</v>
      </c>
      <c r="W851" s="319" t="s">
        <v>2767</v>
      </c>
      <c r="X851" s="319">
        <v>2</v>
      </c>
      <c r="Y851" s="319" t="s">
        <v>173</v>
      </c>
      <c r="Z851" s="319" t="s">
        <v>173</v>
      </c>
      <c r="AA851" s="319" t="s">
        <v>173</v>
      </c>
      <c r="AB851" s="319">
        <v>2</v>
      </c>
      <c r="AC851" s="319" t="s">
        <v>169</v>
      </c>
      <c r="AD851" s="319" t="s">
        <v>173</v>
      </c>
      <c r="AE851" s="319" t="s">
        <v>173</v>
      </c>
      <c r="AF851" s="319" t="s">
        <v>173</v>
      </c>
      <c r="AG851" s="319" t="s">
        <v>171</v>
      </c>
      <c r="AH851" s="319" t="s">
        <v>190</v>
      </c>
      <c r="AI851" s="319" t="s">
        <v>190</v>
      </c>
      <c r="AJ851" s="319" t="s">
        <v>190</v>
      </c>
      <c r="AK851" s="319" t="s">
        <v>190</v>
      </c>
      <c r="AL851" s="319" t="s">
        <v>190</v>
      </c>
      <c r="AM851" s="319" t="s">
        <v>190</v>
      </c>
      <c r="AN851" s="319" t="s">
        <v>190</v>
      </c>
      <c r="AO851" s="319" t="s">
        <v>190</v>
      </c>
      <c r="AP851" s="319" t="s">
        <v>190</v>
      </c>
      <c r="AQ851" s="319" t="s">
        <v>190</v>
      </c>
      <c r="AR851" s="319" t="s">
        <v>190</v>
      </c>
      <c r="AS851" s="319" t="s">
        <v>190</v>
      </c>
      <c r="AT851" s="319" t="s">
        <v>190</v>
      </c>
      <c r="AU851" s="319" t="s">
        <v>190</v>
      </c>
      <c r="AV851" s="319" t="s">
        <v>190</v>
      </c>
      <c r="AW851" s="319" t="s">
        <v>190</v>
      </c>
      <c r="AX851" s="319" t="s">
        <v>429</v>
      </c>
      <c r="AY851" s="319" t="s">
        <v>190</v>
      </c>
      <c r="AZ851" s="319" t="s">
        <v>190</v>
      </c>
      <c r="BA851" s="319" t="s">
        <v>190</v>
      </c>
      <c r="BB851" s="319" t="s">
        <v>190</v>
      </c>
      <c r="BC851" s="319" t="s">
        <v>190</v>
      </c>
      <c r="BD851" s="319" t="s">
        <v>190</v>
      </c>
      <c r="BE851" s="319" t="s">
        <v>190</v>
      </c>
      <c r="BF851" s="319" t="s">
        <v>429</v>
      </c>
      <c r="BG851" s="319" t="s">
        <v>429</v>
      </c>
      <c r="BH851" s="319" t="s">
        <v>190</v>
      </c>
      <c r="BI851" s="319" t="s">
        <v>190</v>
      </c>
      <c r="BJ851" s="319" t="s">
        <v>190</v>
      </c>
      <c r="BK851" s="319" t="s">
        <v>190</v>
      </c>
      <c r="BL851" s="319" t="s">
        <v>190</v>
      </c>
      <c r="BM851" s="319" t="s">
        <v>190</v>
      </c>
      <c r="BN851" s="319" t="s">
        <v>190</v>
      </c>
      <c r="BO851" s="319" t="s">
        <v>190</v>
      </c>
      <c r="BP851" s="319" t="s">
        <v>190</v>
      </c>
      <c r="BQ851" s="319" t="s">
        <v>190</v>
      </c>
      <c r="BR851" s="319" t="s">
        <v>190</v>
      </c>
      <c r="BS851" s="319" t="s">
        <v>190</v>
      </c>
      <c r="BT851" s="319" t="s">
        <v>190</v>
      </c>
      <c r="BU851" s="319" t="s">
        <v>190</v>
      </c>
      <c r="BV851" s="319" t="s">
        <v>190</v>
      </c>
      <c r="BW851" s="319" t="s">
        <v>190</v>
      </c>
      <c r="BX851" s="319" t="s">
        <v>190</v>
      </c>
      <c r="BY851" s="319" t="s">
        <v>190</v>
      </c>
      <c r="BZ851" s="319" t="s">
        <v>190</v>
      </c>
      <c r="CA851" s="319" t="s">
        <v>190</v>
      </c>
      <c r="CB851" s="319" t="s">
        <v>190</v>
      </c>
      <c r="CC851" s="319" t="s">
        <v>190</v>
      </c>
      <c r="CD851" s="319" t="s">
        <v>190</v>
      </c>
      <c r="CE851" s="319" t="s">
        <v>190</v>
      </c>
      <c r="CF851" s="319" t="s">
        <v>190</v>
      </c>
      <c r="CG851" s="319" t="s">
        <v>190</v>
      </c>
      <c r="CH851" s="319" t="s">
        <v>190</v>
      </c>
      <c r="CI851" s="319" t="s">
        <v>190</v>
      </c>
      <c r="CJ851" s="319" t="s">
        <v>190</v>
      </c>
      <c r="CK851" s="319" t="s">
        <v>190</v>
      </c>
      <c r="CL851" s="319" t="s">
        <v>190</v>
      </c>
      <c r="CM851" s="319" t="s">
        <v>190</v>
      </c>
      <c r="CN851" s="319" t="s">
        <v>429</v>
      </c>
      <c r="CO851" s="319" t="s">
        <v>429</v>
      </c>
      <c r="CP851" s="319" t="s">
        <v>429</v>
      </c>
      <c r="CQ851" s="319" t="s">
        <v>190</v>
      </c>
      <c r="CR851" s="319" t="s">
        <v>190</v>
      </c>
      <c r="CS851" s="319" t="s">
        <v>190</v>
      </c>
      <c r="CT851" s="319" t="s">
        <v>190</v>
      </c>
      <c r="CU851" s="319" t="s">
        <v>190</v>
      </c>
      <c r="CV851" s="319" t="s">
        <v>190</v>
      </c>
      <c r="CW851" s="319" t="s">
        <v>190</v>
      </c>
      <c r="CX851" s="319" t="s">
        <v>190</v>
      </c>
      <c r="CY851" s="319" t="s">
        <v>190</v>
      </c>
      <c r="CZ851" s="319" t="s">
        <v>190</v>
      </c>
      <c r="DA851" s="319" t="s">
        <v>190</v>
      </c>
      <c r="DB851" s="319" t="s">
        <v>190</v>
      </c>
      <c r="DC851" s="319" t="s">
        <v>190</v>
      </c>
      <c r="DD851" s="319" t="s">
        <v>190</v>
      </c>
      <c r="DE851" s="319" t="s">
        <v>190</v>
      </c>
      <c r="DF851" s="319" t="s">
        <v>190</v>
      </c>
      <c r="DG851" s="319" t="s">
        <v>190</v>
      </c>
      <c r="DH851" s="319" t="s">
        <v>190</v>
      </c>
      <c r="DI851" s="319" t="s">
        <v>190</v>
      </c>
      <c r="DJ851" s="319" t="s">
        <v>190</v>
      </c>
      <c r="DK851" s="319" t="s">
        <v>190</v>
      </c>
      <c r="DL851" s="319" t="s">
        <v>190</v>
      </c>
      <c r="DM851" s="319" t="s">
        <v>190</v>
      </c>
      <c r="DN851" s="319" t="s">
        <v>429</v>
      </c>
      <c r="DO851" s="319" t="s">
        <v>190</v>
      </c>
      <c r="DP851" s="319" t="s">
        <v>429</v>
      </c>
      <c r="DQ851" s="319" t="s">
        <v>429</v>
      </c>
      <c r="DR851" s="319" t="s">
        <v>429</v>
      </c>
      <c r="DS851" s="319" t="s">
        <v>429</v>
      </c>
      <c r="DT851" s="319" t="s">
        <v>429</v>
      </c>
      <c r="DU851" s="319" t="s">
        <v>429</v>
      </c>
      <c r="DV851" s="319" t="s">
        <v>173</v>
      </c>
      <c r="DW851" s="319" t="s">
        <v>429</v>
      </c>
      <c r="DX851" s="319" t="s">
        <v>429</v>
      </c>
      <c r="DY851" s="319" t="s">
        <v>429</v>
      </c>
      <c r="DZ851" s="319" t="s">
        <v>429</v>
      </c>
      <c r="EA851" s="319" t="s">
        <v>429</v>
      </c>
      <c r="EB851" s="319" t="s">
        <v>429</v>
      </c>
      <c r="EC851" s="319" t="s">
        <v>429</v>
      </c>
      <c r="ED851" s="319" t="s">
        <v>429</v>
      </c>
      <c r="EE851" s="319" t="s">
        <v>190</v>
      </c>
      <c r="EF851" s="319" t="s">
        <v>190</v>
      </c>
      <c r="EG851" s="319" t="s">
        <v>190</v>
      </c>
      <c r="EH851" s="319" t="s">
        <v>190</v>
      </c>
      <c r="EI851" s="319" t="s">
        <v>190</v>
      </c>
      <c r="EJ851" s="319" t="s">
        <v>190</v>
      </c>
      <c r="EK851" s="319" t="s">
        <v>190</v>
      </c>
      <c r="EL851" s="319" t="s">
        <v>190</v>
      </c>
      <c r="EM851" s="319" t="s">
        <v>190</v>
      </c>
      <c r="EN851" s="319" t="s">
        <v>190</v>
      </c>
      <c r="EO851" s="319" t="s">
        <v>190</v>
      </c>
      <c r="EP851" s="319" t="s">
        <v>190</v>
      </c>
      <c r="EQ851" s="319" t="s">
        <v>190</v>
      </c>
      <c r="ER851" s="319" t="s">
        <v>190</v>
      </c>
      <c r="ES851" s="319" t="s">
        <v>190</v>
      </c>
      <c r="ET851" s="319" t="s">
        <v>190</v>
      </c>
      <c r="EU851" s="319" t="s">
        <v>190</v>
      </c>
      <c r="EV851" s="319" t="s">
        <v>190</v>
      </c>
      <c r="EW851" s="319" t="s">
        <v>190</v>
      </c>
      <c r="EX851" s="319" t="s">
        <v>190</v>
      </c>
      <c r="EY851" s="319" t="s">
        <v>190</v>
      </c>
      <c r="EZ851" s="319" t="s">
        <v>190</v>
      </c>
      <c r="FA851" s="319" t="s">
        <v>190</v>
      </c>
      <c r="FB851" s="319" t="s">
        <v>429</v>
      </c>
      <c r="FC851" s="319" t="s">
        <v>429</v>
      </c>
      <c r="FD851" s="319" t="s">
        <v>429</v>
      </c>
      <c r="FE851" s="319" t="s">
        <v>429</v>
      </c>
      <c r="FF851" s="319" t="s">
        <v>429</v>
      </c>
      <c r="FG851" s="319" t="s">
        <v>429</v>
      </c>
      <c r="FH851" s="319" t="s">
        <v>190</v>
      </c>
      <c r="FI851" s="319" t="s">
        <v>190</v>
      </c>
      <c r="FJ851" s="319" t="s">
        <v>190</v>
      </c>
      <c r="FK851" s="319" t="s">
        <v>190</v>
      </c>
      <c r="FL851" s="319" t="s">
        <v>190</v>
      </c>
      <c r="FM851" s="319" t="s">
        <v>190</v>
      </c>
      <c r="FN851" s="319" t="s">
        <v>190</v>
      </c>
      <c r="FO851" s="319" t="s">
        <v>190</v>
      </c>
      <c r="FP851" s="319" t="s">
        <v>190</v>
      </c>
      <c r="FQ851" s="319" t="s">
        <v>190</v>
      </c>
      <c r="FR851" s="319" t="s">
        <v>190</v>
      </c>
      <c r="FS851" s="319" t="s">
        <v>429</v>
      </c>
      <c r="FT851" s="319" t="s">
        <v>190</v>
      </c>
      <c r="FU851" s="319" t="s">
        <v>190</v>
      </c>
      <c r="FV851" s="319" t="s">
        <v>190</v>
      </c>
      <c r="FW851" s="319" t="s">
        <v>190</v>
      </c>
      <c r="FX851" s="319" t="s">
        <v>190</v>
      </c>
      <c r="FY851" s="319" t="s">
        <v>190</v>
      </c>
      <c r="FZ851" s="319" t="s">
        <v>190</v>
      </c>
      <c r="GA851" s="319" t="s">
        <v>190</v>
      </c>
      <c r="GB851" s="319" t="s">
        <v>190</v>
      </c>
      <c r="GC851" s="319" t="s">
        <v>190</v>
      </c>
      <c r="GD851" s="319" t="s">
        <v>190</v>
      </c>
      <c r="GE851" s="319" t="s">
        <v>190</v>
      </c>
      <c r="GF851" s="319" t="s">
        <v>190</v>
      </c>
      <c r="GG851" s="319" t="s">
        <v>190</v>
      </c>
      <c r="GH851" s="319" t="s">
        <v>190</v>
      </c>
      <c r="GI851" s="319" t="s">
        <v>190</v>
      </c>
      <c r="GJ851" s="319" t="s">
        <v>190</v>
      </c>
      <c r="GK851" s="319" t="s">
        <v>429</v>
      </c>
      <c r="GL851" s="319" t="s">
        <v>190</v>
      </c>
      <c r="GM851" s="319" t="s">
        <v>190</v>
      </c>
      <c r="GN851" s="319" t="s">
        <v>190</v>
      </c>
      <c r="GO851" s="319" t="s">
        <v>190</v>
      </c>
      <c r="GP851" s="319" t="s">
        <v>190</v>
      </c>
      <c r="GQ851" s="319" t="s">
        <v>429</v>
      </c>
      <c r="GR851" s="319" t="s">
        <v>190</v>
      </c>
      <c r="GS851" s="319" t="s">
        <v>190</v>
      </c>
      <c r="GT851" s="319" t="s">
        <v>429</v>
      </c>
      <c r="GU851" s="319" t="s">
        <v>190</v>
      </c>
      <c r="GV851" s="319" t="s">
        <v>190</v>
      </c>
      <c r="GW851" s="319" t="s">
        <v>190</v>
      </c>
      <c r="GX851" s="319" t="s">
        <v>190</v>
      </c>
      <c r="GY851" s="319" t="s">
        <v>190</v>
      </c>
      <c r="GZ851" s="319" t="s">
        <v>429</v>
      </c>
      <c r="HA851" s="319" t="s">
        <v>190</v>
      </c>
      <c r="HB851" s="319" t="s">
        <v>190</v>
      </c>
      <c r="HC851" s="319" t="s">
        <v>190</v>
      </c>
      <c r="HD851" s="319" t="s">
        <v>190</v>
      </c>
      <c r="HE851" s="319" t="s">
        <v>190</v>
      </c>
      <c r="HF851" s="319" t="s">
        <v>190</v>
      </c>
      <c r="HG851" s="319" t="s">
        <v>190</v>
      </c>
      <c r="HH851" s="319" t="s">
        <v>190</v>
      </c>
      <c r="HI851" s="319" t="s">
        <v>429</v>
      </c>
      <c r="HJ851" s="319" t="s">
        <v>190</v>
      </c>
      <c r="HK851" s="319" t="s">
        <v>190</v>
      </c>
      <c r="HL851" s="319" t="s">
        <v>190</v>
      </c>
      <c r="HM851" s="319" t="s">
        <v>190</v>
      </c>
      <c r="HN851" s="319" t="s">
        <v>190</v>
      </c>
      <c r="HO851" s="319" t="s">
        <v>190</v>
      </c>
      <c r="HP851" s="319" t="s">
        <v>190</v>
      </c>
      <c r="HQ851" s="319" t="s">
        <v>190</v>
      </c>
      <c r="HR851" s="319" t="s">
        <v>190</v>
      </c>
      <c r="HS851" s="319" t="s">
        <v>190</v>
      </c>
      <c r="HT851" s="319" t="s">
        <v>190</v>
      </c>
      <c r="HU851" s="319" t="s">
        <v>190</v>
      </c>
      <c r="HV851" s="319" t="s">
        <v>190</v>
      </c>
      <c r="HW851" s="319" t="s">
        <v>190</v>
      </c>
      <c r="HX851" s="319" t="s">
        <v>190</v>
      </c>
      <c r="HY851" s="319" t="s">
        <v>190</v>
      </c>
      <c r="HZ851" s="319" t="s">
        <v>190</v>
      </c>
      <c r="IA851" s="319" t="s">
        <v>190</v>
      </c>
      <c r="IB851" s="319" t="s">
        <v>190</v>
      </c>
      <c r="IC851" s="319" t="s">
        <v>190</v>
      </c>
      <c r="ID851" s="319" t="s">
        <v>190</v>
      </c>
      <c r="IE851" s="319" t="s">
        <v>190</v>
      </c>
      <c r="IF851" s="319" t="s">
        <v>190</v>
      </c>
      <c r="IG851" s="319" t="s">
        <v>190</v>
      </c>
      <c r="IH851" s="319" t="s">
        <v>190</v>
      </c>
      <c r="II851" s="319" t="s">
        <v>190</v>
      </c>
      <c r="IJ851" s="319" t="s">
        <v>173</v>
      </c>
      <c r="IK851" s="319" t="s">
        <v>173</v>
      </c>
      <c r="IL851" s="319" t="s">
        <v>173</v>
      </c>
      <c r="IM851" s="319" t="s">
        <v>173</v>
      </c>
      <c r="IN851" s="319" t="s">
        <v>173</v>
      </c>
      <c r="IO851" s="319" t="s">
        <v>173</v>
      </c>
      <c r="IP851" s="319" t="s">
        <v>173</v>
      </c>
      <c r="IQ851" s="321" t="s">
        <v>173</v>
      </c>
      <c r="IR851" s="320" t="s">
        <v>173</v>
      </c>
      <c r="IS851" s="322" t="s">
        <v>173</v>
      </c>
      <c r="IT851" s="319" t="s">
        <v>173</v>
      </c>
    </row>
    <row r="852" spans="1:254" s="271" customFormat="1" x14ac:dyDescent="0.25">
      <c r="A852" s="318" t="str">
        <f>HYPERLINK("http://www.ofsted.gov.uk/inspection-reports/find-inspection-report/provider/ELS/142779 ","Ofsted School Webpage")</f>
        <v>Ofsted School Webpage</v>
      </c>
      <c r="B852" s="319">
        <v>142779</v>
      </c>
      <c r="C852" s="319">
        <v>8556037</v>
      </c>
      <c r="D852" s="319" t="s">
        <v>2364</v>
      </c>
      <c r="E852" s="319" t="s">
        <v>168</v>
      </c>
      <c r="F852" s="319" t="s">
        <v>81</v>
      </c>
      <c r="G852" s="319" t="s">
        <v>81</v>
      </c>
      <c r="H852" s="319" t="s">
        <v>81</v>
      </c>
      <c r="I852" s="319" t="s">
        <v>78</v>
      </c>
      <c r="J852" s="319" t="s">
        <v>424</v>
      </c>
      <c r="K852" s="319" t="s">
        <v>506</v>
      </c>
      <c r="L852" s="319" t="s">
        <v>506</v>
      </c>
      <c r="M852" s="319" t="s">
        <v>862</v>
      </c>
      <c r="N852" s="319" t="s">
        <v>3269</v>
      </c>
      <c r="O852" s="319" t="s">
        <v>2365</v>
      </c>
      <c r="P852" s="319">
        <v>14</v>
      </c>
      <c r="Q852" s="319" t="s">
        <v>429</v>
      </c>
      <c r="R852" s="320">
        <v>10043803</v>
      </c>
      <c r="S852" s="321">
        <v>43172</v>
      </c>
      <c r="T852" s="321">
        <v>43174</v>
      </c>
      <c r="U852" s="321">
        <v>43208</v>
      </c>
      <c r="V852" s="319" t="s">
        <v>435</v>
      </c>
      <c r="W852" s="319" t="s">
        <v>2767</v>
      </c>
      <c r="X852" s="319">
        <v>2</v>
      </c>
      <c r="Y852" s="319" t="s">
        <v>173</v>
      </c>
      <c r="Z852" s="319" t="s">
        <v>173</v>
      </c>
      <c r="AA852" s="319" t="s">
        <v>173</v>
      </c>
      <c r="AB852" s="319">
        <v>2</v>
      </c>
      <c r="AC852" s="319" t="s">
        <v>169</v>
      </c>
      <c r="AD852" s="319" t="s">
        <v>173</v>
      </c>
      <c r="AE852" s="319" t="s">
        <v>173</v>
      </c>
      <c r="AF852" s="319" t="s">
        <v>427</v>
      </c>
      <c r="AG852" s="319" t="s">
        <v>171</v>
      </c>
      <c r="AH852" s="319" t="s">
        <v>190</v>
      </c>
      <c r="AI852" s="319" t="s">
        <v>190</v>
      </c>
      <c r="AJ852" s="319" t="s">
        <v>190</v>
      </c>
      <c r="AK852" s="319" t="s">
        <v>190</v>
      </c>
      <c r="AL852" s="319" t="s">
        <v>190</v>
      </c>
      <c r="AM852" s="319" t="s">
        <v>190</v>
      </c>
      <c r="AN852" s="319" t="s">
        <v>190</v>
      </c>
      <c r="AO852" s="319" t="s">
        <v>190</v>
      </c>
      <c r="AP852" s="319" t="s">
        <v>190</v>
      </c>
      <c r="AQ852" s="319" t="s">
        <v>190</v>
      </c>
      <c r="AR852" s="319" t="s">
        <v>190</v>
      </c>
      <c r="AS852" s="319" t="s">
        <v>190</v>
      </c>
      <c r="AT852" s="319" t="s">
        <v>190</v>
      </c>
      <c r="AU852" s="319" t="s">
        <v>190</v>
      </c>
      <c r="AV852" s="319" t="s">
        <v>190</v>
      </c>
      <c r="AW852" s="319" t="s">
        <v>190</v>
      </c>
      <c r="AX852" s="319" t="s">
        <v>428</v>
      </c>
      <c r="AY852" s="319" t="s">
        <v>190</v>
      </c>
      <c r="AZ852" s="319" t="s">
        <v>190</v>
      </c>
      <c r="BA852" s="319" t="s">
        <v>190</v>
      </c>
      <c r="BB852" s="319" t="s">
        <v>190</v>
      </c>
      <c r="BC852" s="319" t="s">
        <v>190</v>
      </c>
      <c r="BD852" s="319" t="s">
        <v>190</v>
      </c>
      <c r="BE852" s="319" t="s">
        <v>190</v>
      </c>
      <c r="BF852" s="319" t="s">
        <v>428</v>
      </c>
      <c r="BG852" s="319" t="s">
        <v>190</v>
      </c>
      <c r="BH852" s="319" t="s">
        <v>190</v>
      </c>
      <c r="BI852" s="319" t="s">
        <v>190</v>
      </c>
      <c r="BJ852" s="319" t="s">
        <v>190</v>
      </c>
      <c r="BK852" s="319" t="s">
        <v>190</v>
      </c>
      <c r="BL852" s="319" t="s">
        <v>190</v>
      </c>
      <c r="BM852" s="319" t="s">
        <v>190</v>
      </c>
      <c r="BN852" s="319" t="s">
        <v>190</v>
      </c>
      <c r="BO852" s="319" t="s">
        <v>190</v>
      </c>
      <c r="BP852" s="319" t="s">
        <v>190</v>
      </c>
      <c r="BQ852" s="319" t="s">
        <v>190</v>
      </c>
      <c r="BR852" s="319" t="s">
        <v>190</v>
      </c>
      <c r="BS852" s="319" t="s">
        <v>190</v>
      </c>
      <c r="BT852" s="319" t="s">
        <v>190</v>
      </c>
      <c r="BU852" s="319" t="s">
        <v>190</v>
      </c>
      <c r="BV852" s="319" t="s">
        <v>190</v>
      </c>
      <c r="BW852" s="319" t="s">
        <v>190</v>
      </c>
      <c r="BX852" s="319" t="s">
        <v>190</v>
      </c>
      <c r="BY852" s="319" t="s">
        <v>190</v>
      </c>
      <c r="BZ852" s="319" t="s">
        <v>190</v>
      </c>
      <c r="CA852" s="319" t="s">
        <v>190</v>
      </c>
      <c r="CB852" s="319" t="s">
        <v>190</v>
      </c>
      <c r="CC852" s="319" t="s">
        <v>190</v>
      </c>
      <c r="CD852" s="319" t="s">
        <v>190</v>
      </c>
      <c r="CE852" s="319" t="s">
        <v>190</v>
      </c>
      <c r="CF852" s="319" t="s">
        <v>190</v>
      </c>
      <c r="CG852" s="319" t="s">
        <v>190</v>
      </c>
      <c r="CH852" s="319" t="s">
        <v>190</v>
      </c>
      <c r="CI852" s="319" t="s">
        <v>190</v>
      </c>
      <c r="CJ852" s="319" t="s">
        <v>190</v>
      </c>
      <c r="CK852" s="319" t="s">
        <v>190</v>
      </c>
      <c r="CL852" s="319" t="s">
        <v>190</v>
      </c>
      <c r="CM852" s="319" t="s">
        <v>190</v>
      </c>
      <c r="CN852" s="319" t="s">
        <v>428</v>
      </c>
      <c r="CO852" s="319" t="s">
        <v>428</v>
      </c>
      <c r="CP852" s="319" t="s">
        <v>428</v>
      </c>
      <c r="CQ852" s="319" t="s">
        <v>190</v>
      </c>
      <c r="CR852" s="319" t="s">
        <v>190</v>
      </c>
      <c r="CS852" s="319" t="s">
        <v>190</v>
      </c>
      <c r="CT852" s="319" t="s">
        <v>190</v>
      </c>
      <c r="CU852" s="319" t="s">
        <v>190</v>
      </c>
      <c r="CV852" s="319" t="s">
        <v>190</v>
      </c>
      <c r="CW852" s="319" t="s">
        <v>190</v>
      </c>
      <c r="CX852" s="319" t="s">
        <v>190</v>
      </c>
      <c r="CY852" s="319" t="s">
        <v>190</v>
      </c>
      <c r="CZ852" s="319" t="s">
        <v>190</v>
      </c>
      <c r="DA852" s="319" t="s">
        <v>190</v>
      </c>
      <c r="DB852" s="319" t="s">
        <v>190</v>
      </c>
      <c r="DC852" s="319" t="s">
        <v>190</v>
      </c>
      <c r="DD852" s="319" t="s">
        <v>190</v>
      </c>
      <c r="DE852" s="319" t="s">
        <v>190</v>
      </c>
      <c r="DF852" s="319" t="s">
        <v>190</v>
      </c>
      <c r="DG852" s="319" t="s">
        <v>190</v>
      </c>
      <c r="DH852" s="319" t="s">
        <v>190</v>
      </c>
      <c r="DI852" s="319" t="s">
        <v>190</v>
      </c>
      <c r="DJ852" s="319" t="s">
        <v>190</v>
      </c>
      <c r="DK852" s="319" t="s">
        <v>190</v>
      </c>
      <c r="DL852" s="319" t="s">
        <v>190</v>
      </c>
      <c r="DM852" s="319" t="s">
        <v>190</v>
      </c>
      <c r="DN852" s="319" t="s">
        <v>428</v>
      </c>
      <c r="DO852" s="319" t="s">
        <v>190</v>
      </c>
      <c r="DP852" s="319" t="s">
        <v>428</v>
      </c>
      <c r="DQ852" s="319" t="s">
        <v>428</v>
      </c>
      <c r="DR852" s="319" t="s">
        <v>428</v>
      </c>
      <c r="DS852" s="319" t="s">
        <v>428</v>
      </c>
      <c r="DT852" s="319" t="s">
        <v>428</v>
      </c>
      <c r="DU852" s="319" t="s">
        <v>428</v>
      </c>
      <c r="DV852" s="319" t="s">
        <v>173</v>
      </c>
      <c r="DW852" s="319" t="s">
        <v>428</v>
      </c>
      <c r="DX852" s="319" t="s">
        <v>428</v>
      </c>
      <c r="DY852" s="319" t="s">
        <v>428</v>
      </c>
      <c r="DZ852" s="319" t="s">
        <v>428</v>
      </c>
      <c r="EA852" s="319" t="s">
        <v>428</v>
      </c>
      <c r="EB852" s="319" t="s">
        <v>428</v>
      </c>
      <c r="EC852" s="319" t="s">
        <v>428</v>
      </c>
      <c r="ED852" s="319" t="s">
        <v>190</v>
      </c>
      <c r="EE852" s="319" t="s">
        <v>428</v>
      </c>
      <c r="EF852" s="319" t="s">
        <v>428</v>
      </c>
      <c r="EG852" s="319" t="s">
        <v>428</v>
      </c>
      <c r="EH852" s="319" t="s">
        <v>428</v>
      </c>
      <c r="EI852" s="319" t="s">
        <v>428</v>
      </c>
      <c r="EJ852" s="319" t="s">
        <v>428</v>
      </c>
      <c r="EK852" s="319" t="s">
        <v>428</v>
      </c>
      <c r="EL852" s="319" t="s">
        <v>428</v>
      </c>
      <c r="EM852" s="319" t="s">
        <v>190</v>
      </c>
      <c r="EN852" s="319" t="s">
        <v>190</v>
      </c>
      <c r="EO852" s="319" t="s">
        <v>190</v>
      </c>
      <c r="EP852" s="319" t="s">
        <v>190</v>
      </c>
      <c r="EQ852" s="319" t="s">
        <v>190</v>
      </c>
      <c r="ER852" s="319" t="s">
        <v>190</v>
      </c>
      <c r="ES852" s="319" t="s">
        <v>190</v>
      </c>
      <c r="ET852" s="319" t="s">
        <v>190</v>
      </c>
      <c r="EU852" s="319" t="s">
        <v>190</v>
      </c>
      <c r="EV852" s="319" t="s">
        <v>190</v>
      </c>
      <c r="EW852" s="319" t="s">
        <v>190</v>
      </c>
      <c r="EX852" s="319" t="s">
        <v>190</v>
      </c>
      <c r="EY852" s="319" t="s">
        <v>190</v>
      </c>
      <c r="EZ852" s="319" t="s">
        <v>190</v>
      </c>
      <c r="FA852" s="319" t="s">
        <v>428</v>
      </c>
      <c r="FB852" s="319" t="s">
        <v>428</v>
      </c>
      <c r="FC852" s="319" t="s">
        <v>428</v>
      </c>
      <c r="FD852" s="319" t="s">
        <v>428</v>
      </c>
      <c r="FE852" s="319" t="s">
        <v>428</v>
      </c>
      <c r="FF852" s="319" t="s">
        <v>428</v>
      </c>
      <c r="FG852" s="319" t="s">
        <v>428</v>
      </c>
      <c r="FH852" s="319" t="s">
        <v>428</v>
      </c>
      <c r="FI852" s="319" t="s">
        <v>428</v>
      </c>
      <c r="FJ852" s="319" t="s">
        <v>429</v>
      </c>
      <c r="FK852" s="319" t="s">
        <v>428</v>
      </c>
      <c r="FL852" s="319" t="s">
        <v>190</v>
      </c>
      <c r="FM852" s="319" t="s">
        <v>190</v>
      </c>
      <c r="FN852" s="319" t="s">
        <v>190</v>
      </c>
      <c r="FO852" s="319" t="s">
        <v>190</v>
      </c>
      <c r="FP852" s="319" t="s">
        <v>190</v>
      </c>
      <c r="FQ852" s="319" t="s">
        <v>190</v>
      </c>
      <c r="FR852" s="319" t="s">
        <v>190</v>
      </c>
      <c r="FS852" s="319" t="s">
        <v>428</v>
      </c>
      <c r="FT852" s="319" t="s">
        <v>190</v>
      </c>
      <c r="FU852" s="319" t="s">
        <v>190</v>
      </c>
      <c r="FV852" s="319" t="s">
        <v>190</v>
      </c>
      <c r="FW852" s="319" t="s">
        <v>190</v>
      </c>
      <c r="FX852" s="319" t="s">
        <v>190</v>
      </c>
      <c r="FY852" s="319" t="s">
        <v>190</v>
      </c>
      <c r="FZ852" s="319" t="s">
        <v>190</v>
      </c>
      <c r="GA852" s="319" t="s">
        <v>190</v>
      </c>
      <c r="GB852" s="319" t="s">
        <v>190</v>
      </c>
      <c r="GC852" s="319" t="s">
        <v>190</v>
      </c>
      <c r="GD852" s="319" t="s">
        <v>190</v>
      </c>
      <c r="GE852" s="319" t="s">
        <v>190</v>
      </c>
      <c r="GF852" s="319" t="s">
        <v>190</v>
      </c>
      <c r="GG852" s="319" t="s">
        <v>190</v>
      </c>
      <c r="GH852" s="319" t="s">
        <v>190</v>
      </c>
      <c r="GI852" s="319" t="s">
        <v>190</v>
      </c>
      <c r="GJ852" s="319" t="s">
        <v>190</v>
      </c>
      <c r="GK852" s="319" t="s">
        <v>428</v>
      </c>
      <c r="GL852" s="319" t="s">
        <v>190</v>
      </c>
      <c r="GM852" s="319" t="s">
        <v>190</v>
      </c>
      <c r="GN852" s="319" t="s">
        <v>190</v>
      </c>
      <c r="GO852" s="319" t="s">
        <v>190</v>
      </c>
      <c r="GP852" s="319" t="s">
        <v>190</v>
      </c>
      <c r="GQ852" s="319" t="s">
        <v>428</v>
      </c>
      <c r="GR852" s="319" t="s">
        <v>190</v>
      </c>
      <c r="GS852" s="319" t="s">
        <v>190</v>
      </c>
      <c r="GT852" s="319" t="s">
        <v>190</v>
      </c>
      <c r="GU852" s="319" t="s">
        <v>190</v>
      </c>
      <c r="GV852" s="319" t="s">
        <v>428</v>
      </c>
      <c r="GW852" s="319" t="s">
        <v>190</v>
      </c>
      <c r="GX852" s="319" t="s">
        <v>190</v>
      </c>
      <c r="GY852" s="319" t="s">
        <v>190</v>
      </c>
      <c r="GZ852" s="319" t="s">
        <v>190</v>
      </c>
      <c r="HA852" s="319" t="s">
        <v>428</v>
      </c>
      <c r="HB852" s="319" t="s">
        <v>190</v>
      </c>
      <c r="HC852" s="319" t="s">
        <v>190</v>
      </c>
      <c r="HD852" s="319" t="s">
        <v>190</v>
      </c>
      <c r="HE852" s="319" t="s">
        <v>190</v>
      </c>
      <c r="HF852" s="319" t="s">
        <v>190</v>
      </c>
      <c r="HG852" s="319" t="s">
        <v>190</v>
      </c>
      <c r="HH852" s="319" t="s">
        <v>190</v>
      </c>
      <c r="HI852" s="319" t="s">
        <v>190</v>
      </c>
      <c r="HJ852" s="319" t="s">
        <v>190</v>
      </c>
      <c r="HK852" s="319" t="s">
        <v>190</v>
      </c>
      <c r="HL852" s="319" t="s">
        <v>428</v>
      </c>
      <c r="HM852" s="319" t="s">
        <v>428</v>
      </c>
      <c r="HN852" s="319" t="s">
        <v>428</v>
      </c>
      <c r="HO852" s="319" t="s">
        <v>428</v>
      </c>
      <c r="HP852" s="319" t="s">
        <v>190</v>
      </c>
      <c r="HQ852" s="319" t="s">
        <v>190</v>
      </c>
      <c r="HR852" s="319" t="s">
        <v>190</v>
      </c>
      <c r="HS852" s="319" t="s">
        <v>190</v>
      </c>
      <c r="HT852" s="319" t="s">
        <v>190</v>
      </c>
      <c r="HU852" s="319" t="s">
        <v>190</v>
      </c>
      <c r="HV852" s="319" t="s">
        <v>190</v>
      </c>
      <c r="HW852" s="319" t="s">
        <v>190</v>
      </c>
      <c r="HX852" s="319" t="s">
        <v>190</v>
      </c>
      <c r="HY852" s="319" t="s">
        <v>190</v>
      </c>
      <c r="HZ852" s="319" t="s">
        <v>190</v>
      </c>
      <c r="IA852" s="319" t="s">
        <v>190</v>
      </c>
      <c r="IB852" s="319" t="s">
        <v>190</v>
      </c>
      <c r="IC852" s="319" t="s">
        <v>190</v>
      </c>
      <c r="ID852" s="319" t="s">
        <v>190</v>
      </c>
      <c r="IE852" s="319" t="s">
        <v>190</v>
      </c>
      <c r="IF852" s="319" t="s">
        <v>190</v>
      </c>
      <c r="IG852" s="319" t="s">
        <v>190</v>
      </c>
      <c r="IH852" s="319" t="s">
        <v>190</v>
      </c>
      <c r="II852" s="319" t="s">
        <v>190</v>
      </c>
      <c r="IJ852" s="319" t="s">
        <v>173</v>
      </c>
      <c r="IK852" s="319" t="s">
        <v>173</v>
      </c>
      <c r="IL852" s="319" t="s">
        <v>173</v>
      </c>
      <c r="IM852" s="319" t="s">
        <v>173</v>
      </c>
      <c r="IN852" s="319" t="s">
        <v>173</v>
      </c>
      <c r="IO852" s="319" t="s">
        <v>173</v>
      </c>
      <c r="IP852" s="319" t="s">
        <v>173</v>
      </c>
      <c r="IQ852" s="319" t="s">
        <v>173</v>
      </c>
      <c r="IR852" s="320" t="s">
        <v>173</v>
      </c>
      <c r="IS852" s="320" t="s">
        <v>173</v>
      </c>
      <c r="IT852" s="319" t="s">
        <v>173</v>
      </c>
    </row>
    <row r="853" spans="1:254" s="271" customFormat="1" x14ac:dyDescent="0.25">
      <c r="A853" s="318" t="str">
        <f>HYPERLINK("http://www.ofsted.gov.uk/inspection-reports/find-inspection-report/provider/ELS/142784 ","Ofsted School Webpage")</f>
        <v>Ofsted School Webpage</v>
      </c>
      <c r="B853" s="319">
        <v>142784</v>
      </c>
      <c r="C853" s="319">
        <v>3806013</v>
      </c>
      <c r="D853" s="319" t="s">
        <v>1131</v>
      </c>
      <c r="E853" s="319" t="s">
        <v>168</v>
      </c>
      <c r="F853" s="319" t="s">
        <v>81</v>
      </c>
      <c r="G853" s="319" t="s">
        <v>81</v>
      </c>
      <c r="H853" s="319" t="s">
        <v>81</v>
      </c>
      <c r="I853" s="319" t="s">
        <v>78</v>
      </c>
      <c r="J853" s="319" t="s">
        <v>424</v>
      </c>
      <c r="K853" s="319" t="s">
        <v>458</v>
      </c>
      <c r="L853" s="319" t="s">
        <v>459</v>
      </c>
      <c r="M853" s="319" t="s">
        <v>595</v>
      </c>
      <c r="N853" s="319" t="s">
        <v>3202</v>
      </c>
      <c r="O853" s="319" t="s">
        <v>1132</v>
      </c>
      <c r="P853" s="319">
        <v>10</v>
      </c>
      <c r="Q853" s="319" t="s">
        <v>429</v>
      </c>
      <c r="R853" s="320">
        <v>10033925</v>
      </c>
      <c r="S853" s="321">
        <v>42864</v>
      </c>
      <c r="T853" s="321">
        <v>42866</v>
      </c>
      <c r="U853" s="321">
        <v>42909</v>
      </c>
      <c r="V853" s="319" t="s">
        <v>435</v>
      </c>
      <c r="W853" s="319" t="s">
        <v>2767</v>
      </c>
      <c r="X853" s="319">
        <v>2</v>
      </c>
      <c r="Y853" s="319" t="s">
        <v>173</v>
      </c>
      <c r="Z853" s="319" t="s">
        <v>173</v>
      </c>
      <c r="AA853" s="319" t="s">
        <v>173</v>
      </c>
      <c r="AB853" s="319">
        <v>1</v>
      </c>
      <c r="AC853" s="319" t="s">
        <v>169</v>
      </c>
      <c r="AD853" s="319" t="s">
        <v>173</v>
      </c>
      <c r="AE853" s="319" t="s">
        <v>173</v>
      </c>
      <c r="AF853" s="319" t="s">
        <v>173</v>
      </c>
      <c r="AG853" s="319" t="s">
        <v>171</v>
      </c>
      <c r="AH853" s="319" t="s">
        <v>190</v>
      </c>
      <c r="AI853" s="319" t="s">
        <v>190</v>
      </c>
      <c r="AJ853" s="319" t="s">
        <v>190</v>
      </c>
      <c r="AK853" s="319" t="s">
        <v>190</v>
      </c>
      <c r="AL853" s="319" t="s">
        <v>190</v>
      </c>
      <c r="AM853" s="319" t="s">
        <v>190</v>
      </c>
      <c r="AN853" s="319" t="s">
        <v>190</v>
      </c>
      <c r="AO853" s="319" t="s">
        <v>190</v>
      </c>
      <c r="AP853" s="319" t="s">
        <v>190</v>
      </c>
      <c r="AQ853" s="319" t="s">
        <v>190</v>
      </c>
      <c r="AR853" s="319" t="s">
        <v>190</v>
      </c>
      <c r="AS853" s="319" t="s">
        <v>190</v>
      </c>
      <c r="AT853" s="319" t="s">
        <v>190</v>
      </c>
      <c r="AU853" s="319" t="s">
        <v>190</v>
      </c>
      <c r="AV853" s="319" t="s">
        <v>190</v>
      </c>
      <c r="AW853" s="319" t="s">
        <v>190</v>
      </c>
      <c r="AX853" s="319" t="s">
        <v>429</v>
      </c>
      <c r="AY853" s="319" t="s">
        <v>190</v>
      </c>
      <c r="AZ853" s="319" t="s">
        <v>190</v>
      </c>
      <c r="BA853" s="319" t="s">
        <v>190</v>
      </c>
      <c r="BB853" s="319" t="s">
        <v>190</v>
      </c>
      <c r="BC853" s="319" t="s">
        <v>190</v>
      </c>
      <c r="BD853" s="319" t="s">
        <v>190</v>
      </c>
      <c r="BE853" s="319" t="s">
        <v>190</v>
      </c>
      <c r="BF853" s="319" t="s">
        <v>429</v>
      </c>
      <c r="BG853" s="319" t="s">
        <v>429</v>
      </c>
      <c r="BH853" s="319" t="s">
        <v>190</v>
      </c>
      <c r="BI853" s="319" t="s">
        <v>190</v>
      </c>
      <c r="BJ853" s="319" t="s">
        <v>190</v>
      </c>
      <c r="BK853" s="319" t="s">
        <v>190</v>
      </c>
      <c r="BL853" s="319" t="s">
        <v>190</v>
      </c>
      <c r="BM853" s="319" t="s">
        <v>190</v>
      </c>
      <c r="BN853" s="319" t="s">
        <v>190</v>
      </c>
      <c r="BO853" s="319" t="s">
        <v>190</v>
      </c>
      <c r="BP853" s="319" t="s">
        <v>190</v>
      </c>
      <c r="BQ853" s="319" t="s">
        <v>190</v>
      </c>
      <c r="BR853" s="319" t="s">
        <v>190</v>
      </c>
      <c r="BS853" s="319" t="s">
        <v>190</v>
      </c>
      <c r="BT853" s="319" t="s">
        <v>190</v>
      </c>
      <c r="BU853" s="319" t="s">
        <v>190</v>
      </c>
      <c r="BV853" s="319" t="s">
        <v>190</v>
      </c>
      <c r="BW853" s="319" t="s">
        <v>190</v>
      </c>
      <c r="BX853" s="319" t="s">
        <v>190</v>
      </c>
      <c r="BY853" s="319" t="s">
        <v>190</v>
      </c>
      <c r="BZ853" s="319" t="s">
        <v>190</v>
      </c>
      <c r="CA853" s="319" t="s">
        <v>190</v>
      </c>
      <c r="CB853" s="319" t="s">
        <v>190</v>
      </c>
      <c r="CC853" s="319" t="s">
        <v>190</v>
      </c>
      <c r="CD853" s="319" t="s">
        <v>190</v>
      </c>
      <c r="CE853" s="319" t="s">
        <v>190</v>
      </c>
      <c r="CF853" s="319" t="s">
        <v>190</v>
      </c>
      <c r="CG853" s="319" t="s">
        <v>190</v>
      </c>
      <c r="CH853" s="319" t="s">
        <v>190</v>
      </c>
      <c r="CI853" s="319" t="s">
        <v>190</v>
      </c>
      <c r="CJ853" s="319" t="s">
        <v>190</v>
      </c>
      <c r="CK853" s="319" t="s">
        <v>190</v>
      </c>
      <c r="CL853" s="319" t="s">
        <v>190</v>
      </c>
      <c r="CM853" s="319" t="s">
        <v>190</v>
      </c>
      <c r="CN853" s="319" t="s">
        <v>429</v>
      </c>
      <c r="CO853" s="319" t="s">
        <v>429</v>
      </c>
      <c r="CP853" s="319" t="s">
        <v>429</v>
      </c>
      <c r="CQ853" s="319" t="s">
        <v>190</v>
      </c>
      <c r="CR853" s="319" t="s">
        <v>190</v>
      </c>
      <c r="CS853" s="319" t="s">
        <v>190</v>
      </c>
      <c r="CT853" s="319" t="s">
        <v>190</v>
      </c>
      <c r="CU853" s="319" t="s">
        <v>190</v>
      </c>
      <c r="CV853" s="319" t="s">
        <v>190</v>
      </c>
      <c r="CW853" s="319" t="s">
        <v>190</v>
      </c>
      <c r="CX853" s="319" t="s">
        <v>190</v>
      </c>
      <c r="CY853" s="319" t="s">
        <v>190</v>
      </c>
      <c r="CZ853" s="319" t="s">
        <v>190</v>
      </c>
      <c r="DA853" s="319" t="s">
        <v>190</v>
      </c>
      <c r="DB853" s="319" t="s">
        <v>190</v>
      </c>
      <c r="DC853" s="319" t="s">
        <v>190</v>
      </c>
      <c r="DD853" s="319" t="s">
        <v>190</v>
      </c>
      <c r="DE853" s="319" t="s">
        <v>190</v>
      </c>
      <c r="DF853" s="319" t="s">
        <v>190</v>
      </c>
      <c r="DG853" s="319" t="s">
        <v>190</v>
      </c>
      <c r="DH853" s="319" t="s">
        <v>190</v>
      </c>
      <c r="DI853" s="319" t="s">
        <v>190</v>
      </c>
      <c r="DJ853" s="319" t="s">
        <v>190</v>
      </c>
      <c r="DK853" s="319" t="s">
        <v>190</v>
      </c>
      <c r="DL853" s="319" t="s">
        <v>190</v>
      </c>
      <c r="DM853" s="319" t="s">
        <v>190</v>
      </c>
      <c r="DN853" s="319" t="s">
        <v>429</v>
      </c>
      <c r="DO853" s="319" t="s">
        <v>190</v>
      </c>
      <c r="DP853" s="319" t="s">
        <v>429</v>
      </c>
      <c r="DQ853" s="319" t="s">
        <v>429</v>
      </c>
      <c r="DR853" s="319" t="s">
        <v>429</v>
      </c>
      <c r="DS853" s="319" t="s">
        <v>429</v>
      </c>
      <c r="DT853" s="319" t="s">
        <v>429</v>
      </c>
      <c r="DU853" s="319" t="s">
        <v>429</v>
      </c>
      <c r="DV853" s="319" t="s">
        <v>173</v>
      </c>
      <c r="DW853" s="319" t="s">
        <v>429</v>
      </c>
      <c r="DX853" s="319" t="s">
        <v>429</v>
      </c>
      <c r="DY853" s="319" t="s">
        <v>429</v>
      </c>
      <c r="DZ853" s="319" t="s">
        <v>429</v>
      </c>
      <c r="EA853" s="319" t="s">
        <v>429</v>
      </c>
      <c r="EB853" s="319" t="s">
        <v>429</v>
      </c>
      <c r="EC853" s="319" t="s">
        <v>429</v>
      </c>
      <c r="ED853" s="319" t="s">
        <v>429</v>
      </c>
      <c r="EE853" s="319" t="s">
        <v>190</v>
      </c>
      <c r="EF853" s="319" t="s">
        <v>190</v>
      </c>
      <c r="EG853" s="319" t="s">
        <v>190</v>
      </c>
      <c r="EH853" s="319" t="s">
        <v>190</v>
      </c>
      <c r="EI853" s="319" t="s">
        <v>190</v>
      </c>
      <c r="EJ853" s="319" t="s">
        <v>190</v>
      </c>
      <c r="EK853" s="319" t="s">
        <v>190</v>
      </c>
      <c r="EL853" s="319" t="s">
        <v>190</v>
      </c>
      <c r="EM853" s="319" t="s">
        <v>190</v>
      </c>
      <c r="EN853" s="319" t="s">
        <v>190</v>
      </c>
      <c r="EO853" s="319" t="s">
        <v>190</v>
      </c>
      <c r="EP853" s="319" t="s">
        <v>190</v>
      </c>
      <c r="EQ853" s="319" t="s">
        <v>190</v>
      </c>
      <c r="ER853" s="319" t="s">
        <v>190</v>
      </c>
      <c r="ES853" s="319" t="s">
        <v>190</v>
      </c>
      <c r="ET853" s="319" t="s">
        <v>190</v>
      </c>
      <c r="EU853" s="319" t="s">
        <v>190</v>
      </c>
      <c r="EV853" s="319" t="s">
        <v>190</v>
      </c>
      <c r="EW853" s="319" t="s">
        <v>190</v>
      </c>
      <c r="EX853" s="319" t="s">
        <v>190</v>
      </c>
      <c r="EY853" s="319" t="s">
        <v>190</v>
      </c>
      <c r="EZ853" s="319" t="s">
        <v>190</v>
      </c>
      <c r="FA853" s="319" t="s">
        <v>429</v>
      </c>
      <c r="FB853" s="319" t="s">
        <v>429</v>
      </c>
      <c r="FC853" s="319" t="s">
        <v>429</v>
      </c>
      <c r="FD853" s="319" t="s">
        <v>429</v>
      </c>
      <c r="FE853" s="319" t="s">
        <v>429</v>
      </c>
      <c r="FF853" s="319" t="s">
        <v>429</v>
      </c>
      <c r="FG853" s="319" t="s">
        <v>429</v>
      </c>
      <c r="FH853" s="319" t="s">
        <v>190</v>
      </c>
      <c r="FI853" s="319" t="s">
        <v>190</v>
      </c>
      <c r="FJ853" s="319" t="s">
        <v>190</v>
      </c>
      <c r="FK853" s="319" t="s">
        <v>190</v>
      </c>
      <c r="FL853" s="319" t="s">
        <v>190</v>
      </c>
      <c r="FM853" s="319" t="s">
        <v>190</v>
      </c>
      <c r="FN853" s="319" t="s">
        <v>190</v>
      </c>
      <c r="FO853" s="319" t="s">
        <v>190</v>
      </c>
      <c r="FP853" s="319" t="s">
        <v>190</v>
      </c>
      <c r="FQ853" s="319" t="s">
        <v>190</v>
      </c>
      <c r="FR853" s="319" t="s">
        <v>190</v>
      </c>
      <c r="FS853" s="319" t="s">
        <v>429</v>
      </c>
      <c r="FT853" s="319" t="s">
        <v>190</v>
      </c>
      <c r="FU853" s="319" t="s">
        <v>190</v>
      </c>
      <c r="FV853" s="319" t="s">
        <v>190</v>
      </c>
      <c r="FW853" s="319" t="s">
        <v>190</v>
      </c>
      <c r="FX853" s="319" t="s">
        <v>190</v>
      </c>
      <c r="FY853" s="319" t="s">
        <v>190</v>
      </c>
      <c r="FZ853" s="319" t="s">
        <v>190</v>
      </c>
      <c r="GA853" s="319" t="s">
        <v>190</v>
      </c>
      <c r="GB853" s="319" t="s">
        <v>190</v>
      </c>
      <c r="GC853" s="319" t="s">
        <v>190</v>
      </c>
      <c r="GD853" s="319" t="s">
        <v>190</v>
      </c>
      <c r="GE853" s="319" t="s">
        <v>190</v>
      </c>
      <c r="GF853" s="319" t="s">
        <v>190</v>
      </c>
      <c r="GG853" s="319" t="s">
        <v>190</v>
      </c>
      <c r="GH853" s="319" t="s">
        <v>190</v>
      </c>
      <c r="GI853" s="319" t="s">
        <v>190</v>
      </c>
      <c r="GJ853" s="319" t="s">
        <v>190</v>
      </c>
      <c r="GK853" s="319" t="s">
        <v>429</v>
      </c>
      <c r="GL853" s="319" t="s">
        <v>190</v>
      </c>
      <c r="GM853" s="319" t="s">
        <v>190</v>
      </c>
      <c r="GN853" s="319" t="s">
        <v>190</v>
      </c>
      <c r="GO853" s="319" t="s">
        <v>190</v>
      </c>
      <c r="GP853" s="319" t="s">
        <v>429</v>
      </c>
      <c r="GQ853" s="319" t="s">
        <v>429</v>
      </c>
      <c r="GR853" s="319" t="s">
        <v>190</v>
      </c>
      <c r="GS853" s="319" t="s">
        <v>190</v>
      </c>
      <c r="GT853" s="319" t="s">
        <v>190</v>
      </c>
      <c r="GU853" s="319" t="s">
        <v>190</v>
      </c>
      <c r="GV853" s="319" t="s">
        <v>190</v>
      </c>
      <c r="GW853" s="319" t="s">
        <v>190</v>
      </c>
      <c r="GX853" s="319" t="s">
        <v>190</v>
      </c>
      <c r="GY853" s="319" t="s">
        <v>190</v>
      </c>
      <c r="GZ853" s="319" t="s">
        <v>429</v>
      </c>
      <c r="HA853" s="319" t="s">
        <v>190</v>
      </c>
      <c r="HB853" s="319" t="s">
        <v>429</v>
      </c>
      <c r="HC853" s="319" t="s">
        <v>190</v>
      </c>
      <c r="HD853" s="319" t="s">
        <v>190</v>
      </c>
      <c r="HE853" s="319" t="s">
        <v>190</v>
      </c>
      <c r="HF853" s="319" t="s">
        <v>190</v>
      </c>
      <c r="HG853" s="319" t="s">
        <v>190</v>
      </c>
      <c r="HH853" s="319" t="s">
        <v>190</v>
      </c>
      <c r="HI853" s="319" t="s">
        <v>429</v>
      </c>
      <c r="HJ853" s="319" t="s">
        <v>190</v>
      </c>
      <c r="HK853" s="319" t="s">
        <v>429</v>
      </c>
      <c r="HL853" s="319" t="s">
        <v>190</v>
      </c>
      <c r="HM853" s="319" t="s">
        <v>429</v>
      </c>
      <c r="HN853" s="319" t="s">
        <v>429</v>
      </c>
      <c r="HO853" s="319" t="s">
        <v>429</v>
      </c>
      <c r="HP853" s="319" t="s">
        <v>190</v>
      </c>
      <c r="HQ853" s="319" t="s">
        <v>190</v>
      </c>
      <c r="HR853" s="319" t="s">
        <v>190</v>
      </c>
      <c r="HS853" s="319" t="s">
        <v>190</v>
      </c>
      <c r="HT853" s="319" t="s">
        <v>190</v>
      </c>
      <c r="HU853" s="319" t="s">
        <v>190</v>
      </c>
      <c r="HV853" s="319" t="s">
        <v>190</v>
      </c>
      <c r="HW853" s="319" t="s">
        <v>190</v>
      </c>
      <c r="HX853" s="319" t="s">
        <v>190</v>
      </c>
      <c r="HY853" s="319" t="s">
        <v>190</v>
      </c>
      <c r="HZ853" s="319" t="s">
        <v>190</v>
      </c>
      <c r="IA853" s="319" t="s">
        <v>190</v>
      </c>
      <c r="IB853" s="319" t="s">
        <v>190</v>
      </c>
      <c r="IC853" s="319" t="s">
        <v>190</v>
      </c>
      <c r="ID853" s="319" t="s">
        <v>190</v>
      </c>
      <c r="IE853" s="319" t="s">
        <v>190</v>
      </c>
      <c r="IF853" s="319" t="s">
        <v>190</v>
      </c>
      <c r="IG853" s="319" t="s">
        <v>190</v>
      </c>
      <c r="IH853" s="319" t="s">
        <v>190</v>
      </c>
      <c r="II853" s="319" t="s">
        <v>190</v>
      </c>
      <c r="IJ853" s="319" t="s">
        <v>173</v>
      </c>
      <c r="IK853" s="319" t="s">
        <v>173</v>
      </c>
      <c r="IL853" s="319" t="s">
        <v>173</v>
      </c>
      <c r="IM853" s="319" t="s">
        <v>173</v>
      </c>
      <c r="IN853" s="319" t="s">
        <v>173</v>
      </c>
      <c r="IO853" s="319" t="s">
        <v>173</v>
      </c>
      <c r="IP853" s="319" t="s">
        <v>173</v>
      </c>
      <c r="IQ853" s="321" t="s">
        <v>173</v>
      </c>
      <c r="IR853" s="320" t="s">
        <v>173</v>
      </c>
      <c r="IS853" s="322" t="s">
        <v>173</v>
      </c>
      <c r="IT853" s="319" t="s">
        <v>173</v>
      </c>
    </row>
    <row r="854" spans="1:254" s="271" customFormat="1" x14ac:dyDescent="0.25">
      <c r="A854" s="318" t="str">
        <f>HYPERLINK("http://www.ofsted.gov.uk/inspection-reports/find-inspection-report/provider/ELS/142828 ","Ofsted School Webpage")</f>
        <v>Ofsted School Webpage</v>
      </c>
      <c r="B854" s="319">
        <v>142828</v>
      </c>
      <c r="C854" s="319">
        <v>8126004</v>
      </c>
      <c r="D854" s="319" t="s">
        <v>1181</v>
      </c>
      <c r="E854" s="319" t="s">
        <v>168</v>
      </c>
      <c r="F854" s="319" t="s">
        <v>81</v>
      </c>
      <c r="G854" s="319" t="s">
        <v>81</v>
      </c>
      <c r="H854" s="319" t="s">
        <v>81</v>
      </c>
      <c r="I854" s="319" t="s">
        <v>78</v>
      </c>
      <c r="J854" s="319" t="s">
        <v>424</v>
      </c>
      <c r="K854" s="319" t="s">
        <v>458</v>
      </c>
      <c r="L854" s="319" t="s">
        <v>459</v>
      </c>
      <c r="M854" s="319" t="s">
        <v>1076</v>
      </c>
      <c r="N854" s="319" t="s">
        <v>3212</v>
      </c>
      <c r="O854" s="319" t="s">
        <v>1182</v>
      </c>
      <c r="P854" s="319">
        <v>9</v>
      </c>
      <c r="Q854" s="319" t="s">
        <v>429</v>
      </c>
      <c r="R854" s="320">
        <v>10093655</v>
      </c>
      <c r="S854" s="321">
        <v>43606</v>
      </c>
      <c r="T854" s="321">
        <v>43608</v>
      </c>
      <c r="U854" s="321">
        <v>43648</v>
      </c>
      <c r="V854" s="319" t="s">
        <v>425</v>
      </c>
      <c r="W854" s="319" t="s">
        <v>2767</v>
      </c>
      <c r="X854" s="319">
        <v>4</v>
      </c>
      <c r="Y854" s="319" t="s">
        <v>173</v>
      </c>
      <c r="Z854" s="319" t="s">
        <v>173</v>
      </c>
      <c r="AA854" s="319" t="s">
        <v>173</v>
      </c>
      <c r="AB854" s="319">
        <v>4</v>
      </c>
      <c r="AC854" s="319" t="s">
        <v>170</v>
      </c>
      <c r="AD854" s="319" t="s">
        <v>173</v>
      </c>
      <c r="AE854" s="319" t="s">
        <v>173</v>
      </c>
      <c r="AF854" s="319" t="s">
        <v>427</v>
      </c>
      <c r="AG854" s="319" t="s">
        <v>172</v>
      </c>
      <c r="AH854" s="319" t="s">
        <v>479</v>
      </c>
      <c r="AI854" s="319" t="s">
        <v>190</v>
      </c>
      <c r="AJ854" s="319" t="s">
        <v>479</v>
      </c>
      <c r="AK854" s="319" t="s">
        <v>190</v>
      </c>
      <c r="AL854" s="319" t="s">
        <v>190</v>
      </c>
      <c r="AM854" s="319" t="s">
        <v>190</v>
      </c>
      <c r="AN854" s="319" t="s">
        <v>190</v>
      </c>
      <c r="AO854" s="319" t="s">
        <v>479</v>
      </c>
      <c r="AP854" s="319" t="s">
        <v>190</v>
      </c>
      <c r="AQ854" s="319" t="s">
        <v>190</v>
      </c>
      <c r="AR854" s="319" t="s">
        <v>190</v>
      </c>
      <c r="AS854" s="319" t="s">
        <v>190</v>
      </c>
      <c r="AT854" s="319" t="s">
        <v>190</v>
      </c>
      <c r="AU854" s="319" t="s">
        <v>190</v>
      </c>
      <c r="AV854" s="319" t="s">
        <v>190</v>
      </c>
      <c r="AW854" s="319" t="s">
        <v>190</v>
      </c>
      <c r="AX854" s="319" t="s">
        <v>428</v>
      </c>
      <c r="AY854" s="319" t="s">
        <v>190</v>
      </c>
      <c r="AZ854" s="319" t="s">
        <v>190</v>
      </c>
      <c r="BA854" s="319" t="s">
        <v>190</v>
      </c>
      <c r="BB854" s="319" t="s">
        <v>428</v>
      </c>
      <c r="BC854" s="319" t="s">
        <v>428</v>
      </c>
      <c r="BD854" s="319" t="s">
        <v>428</v>
      </c>
      <c r="BE854" s="319" t="s">
        <v>428</v>
      </c>
      <c r="BF854" s="319" t="s">
        <v>428</v>
      </c>
      <c r="BG854" s="319" t="s">
        <v>428</v>
      </c>
      <c r="BH854" s="319" t="s">
        <v>190</v>
      </c>
      <c r="BI854" s="319" t="s">
        <v>190</v>
      </c>
      <c r="BJ854" s="319" t="s">
        <v>191</v>
      </c>
      <c r="BK854" s="319" t="s">
        <v>191</v>
      </c>
      <c r="BL854" s="319" t="s">
        <v>190</v>
      </c>
      <c r="BM854" s="319" t="s">
        <v>191</v>
      </c>
      <c r="BN854" s="319" t="s">
        <v>191</v>
      </c>
      <c r="BO854" s="319" t="s">
        <v>191</v>
      </c>
      <c r="BP854" s="319" t="s">
        <v>190</v>
      </c>
      <c r="BQ854" s="319" t="s">
        <v>190</v>
      </c>
      <c r="BR854" s="319" t="s">
        <v>190</v>
      </c>
      <c r="BS854" s="319" t="s">
        <v>190</v>
      </c>
      <c r="BT854" s="319" t="s">
        <v>190</v>
      </c>
      <c r="BU854" s="319" t="s">
        <v>190</v>
      </c>
      <c r="BV854" s="319" t="s">
        <v>190</v>
      </c>
      <c r="BW854" s="319" t="s">
        <v>190</v>
      </c>
      <c r="BX854" s="319" t="s">
        <v>190</v>
      </c>
      <c r="BY854" s="319" t="s">
        <v>190</v>
      </c>
      <c r="BZ854" s="319" t="s">
        <v>190</v>
      </c>
      <c r="CA854" s="319" t="s">
        <v>190</v>
      </c>
      <c r="CB854" s="319" t="s">
        <v>190</v>
      </c>
      <c r="CC854" s="319" t="s">
        <v>190</v>
      </c>
      <c r="CD854" s="319" t="s">
        <v>190</v>
      </c>
      <c r="CE854" s="319" t="s">
        <v>190</v>
      </c>
      <c r="CF854" s="319" t="s">
        <v>190</v>
      </c>
      <c r="CG854" s="319" t="s">
        <v>190</v>
      </c>
      <c r="CH854" s="319" t="s">
        <v>190</v>
      </c>
      <c r="CI854" s="319" t="s">
        <v>190</v>
      </c>
      <c r="CJ854" s="319" t="s">
        <v>190</v>
      </c>
      <c r="CK854" s="319" t="s">
        <v>191</v>
      </c>
      <c r="CL854" s="319" t="s">
        <v>191</v>
      </c>
      <c r="CM854" s="319" t="s">
        <v>191</v>
      </c>
      <c r="CN854" s="319" t="s">
        <v>428</v>
      </c>
      <c r="CO854" s="319" t="s">
        <v>428</v>
      </c>
      <c r="CP854" s="319" t="s">
        <v>428</v>
      </c>
      <c r="CQ854" s="319" t="s">
        <v>190</v>
      </c>
      <c r="CR854" s="319" t="s">
        <v>190</v>
      </c>
      <c r="CS854" s="319" t="s">
        <v>190</v>
      </c>
      <c r="CT854" s="319" t="s">
        <v>190</v>
      </c>
      <c r="CU854" s="319" t="s">
        <v>190</v>
      </c>
      <c r="CV854" s="319" t="s">
        <v>190</v>
      </c>
      <c r="CW854" s="319" t="s">
        <v>190</v>
      </c>
      <c r="CX854" s="319" t="s">
        <v>190</v>
      </c>
      <c r="CY854" s="319" t="s">
        <v>190</v>
      </c>
      <c r="CZ854" s="319" t="s">
        <v>190</v>
      </c>
      <c r="DA854" s="319" t="s">
        <v>190</v>
      </c>
      <c r="DB854" s="319" t="s">
        <v>190</v>
      </c>
      <c r="DC854" s="319" t="s">
        <v>190</v>
      </c>
      <c r="DD854" s="319" t="s">
        <v>190</v>
      </c>
      <c r="DE854" s="319" t="s">
        <v>190</v>
      </c>
      <c r="DF854" s="319" t="s">
        <v>190</v>
      </c>
      <c r="DG854" s="319" t="s">
        <v>190</v>
      </c>
      <c r="DH854" s="319" t="s">
        <v>190</v>
      </c>
      <c r="DI854" s="319" t="s">
        <v>190</v>
      </c>
      <c r="DJ854" s="319" t="s">
        <v>190</v>
      </c>
      <c r="DK854" s="319" t="s">
        <v>190</v>
      </c>
      <c r="DL854" s="319" t="s">
        <v>190</v>
      </c>
      <c r="DM854" s="319" t="s">
        <v>190</v>
      </c>
      <c r="DN854" s="319" t="s">
        <v>428</v>
      </c>
      <c r="DO854" s="319" t="s">
        <v>190</v>
      </c>
      <c r="DP854" s="319" t="s">
        <v>428</v>
      </c>
      <c r="DQ854" s="319" t="s">
        <v>428</v>
      </c>
      <c r="DR854" s="319" t="s">
        <v>428</v>
      </c>
      <c r="DS854" s="319" t="s">
        <v>428</v>
      </c>
      <c r="DT854" s="319" t="s">
        <v>428</v>
      </c>
      <c r="DU854" s="319" t="s">
        <v>428</v>
      </c>
      <c r="DV854" s="319" t="s">
        <v>173</v>
      </c>
      <c r="DW854" s="319" t="s">
        <v>428</v>
      </c>
      <c r="DX854" s="319" t="s">
        <v>428</v>
      </c>
      <c r="DY854" s="319" t="s">
        <v>428</v>
      </c>
      <c r="DZ854" s="319" t="s">
        <v>428</v>
      </c>
      <c r="EA854" s="319" t="s">
        <v>428</v>
      </c>
      <c r="EB854" s="319" t="s">
        <v>428</v>
      </c>
      <c r="EC854" s="319" t="s">
        <v>428</v>
      </c>
      <c r="ED854" s="319" t="s">
        <v>428</v>
      </c>
      <c r="EE854" s="319" t="s">
        <v>190</v>
      </c>
      <c r="EF854" s="319" t="s">
        <v>190</v>
      </c>
      <c r="EG854" s="319" t="s">
        <v>190</v>
      </c>
      <c r="EH854" s="319" t="s">
        <v>190</v>
      </c>
      <c r="EI854" s="319" t="s">
        <v>190</v>
      </c>
      <c r="EJ854" s="319" t="s">
        <v>190</v>
      </c>
      <c r="EK854" s="319" t="s">
        <v>190</v>
      </c>
      <c r="EL854" s="319" t="s">
        <v>190</v>
      </c>
      <c r="EM854" s="319" t="s">
        <v>190</v>
      </c>
      <c r="EN854" s="319" t="s">
        <v>190</v>
      </c>
      <c r="EO854" s="319" t="s">
        <v>190</v>
      </c>
      <c r="EP854" s="319" t="s">
        <v>190</v>
      </c>
      <c r="EQ854" s="319" t="s">
        <v>190</v>
      </c>
      <c r="ER854" s="319" t="s">
        <v>190</v>
      </c>
      <c r="ES854" s="319" t="s">
        <v>190</v>
      </c>
      <c r="ET854" s="319" t="s">
        <v>190</v>
      </c>
      <c r="EU854" s="319" t="s">
        <v>190</v>
      </c>
      <c r="EV854" s="319" t="s">
        <v>190</v>
      </c>
      <c r="EW854" s="319" t="s">
        <v>190</v>
      </c>
      <c r="EX854" s="319" t="s">
        <v>190</v>
      </c>
      <c r="EY854" s="319" t="s">
        <v>190</v>
      </c>
      <c r="EZ854" s="319" t="s">
        <v>190</v>
      </c>
      <c r="FA854" s="319" t="s">
        <v>428</v>
      </c>
      <c r="FB854" s="319" t="s">
        <v>428</v>
      </c>
      <c r="FC854" s="319" t="s">
        <v>428</v>
      </c>
      <c r="FD854" s="319" t="s">
        <v>428</v>
      </c>
      <c r="FE854" s="319" t="s">
        <v>428</v>
      </c>
      <c r="FF854" s="319" t="s">
        <v>428</v>
      </c>
      <c r="FG854" s="319" t="s">
        <v>428</v>
      </c>
      <c r="FH854" s="319" t="s">
        <v>190</v>
      </c>
      <c r="FI854" s="319" t="s">
        <v>428</v>
      </c>
      <c r="FJ854" s="319" t="s">
        <v>429</v>
      </c>
      <c r="FK854" s="319" t="s">
        <v>428</v>
      </c>
      <c r="FL854" s="319" t="s">
        <v>190</v>
      </c>
      <c r="FM854" s="319" t="s">
        <v>190</v>
      </c>
      <c r="FN854" s="319" t="s">
        <v>190</v>
      </c>
      <c r="FO854" s="319" t="s">
        <v>428</v>
      </c>
      <c r="FP854" s="319" t="s">
        <v>190</v>
      </c>
      <c r="FQ854" s="319" t="s">
        <v>190</v>
      </c>
      <c r="FR854" s="319" t="s">
        <v>190</v>
      </c>
      <c r="FS854" s="319" t="s">
        <v>428</v>
      </c>
      <c r="FT854" s="319" t="s">
        <v>190</v>
      </c>
      <c r="FU854" s="319" t="s">
        <v>190</v>
      </c>
      <c r="FV854" s="319" t="s">
        <v>190</v>
      </c>
      <c r="FW854" s="319" t="s">
        <v>190</v>
      </c>
      <c r="FX854" s="319" t="s">
        <v>190</v>
      </c>
      <c r="FY854" s="319" t="s">
        <v>190</v>
      </c>
      <c r="FZ854" s="319" t="s">
        <v>190</v>
      </c>
      <c r="GA854" s="319" t="s">
        <v>190</v>
      </c>
      <c r="GB854" s="319" t="s">
        <v>190</v>
      </c>
      <c r="GC854" s="319" t="s">
        <v>190</v>
      </c>
      <c r="GD854" s="319" t="s">
        <v>190</v>
      </c>
      <c r="GE854" s="319" t="s">
        <v>190</v>
      </c>
      <c r="GF854" s="319" t="s">
        <v>190</v>
      </c>
      <c r="GG854" s="319" t="s">
        <v>190</v>
      </c>
      <c r="GH854" s="319" t="s">
        <v>190</v>
      </c>
      <c r="GI854" s="319" t="s">
        <v>190</v>
      </c>
      <c r="GJ854" s="319" t="s">
        <v>190</v>
      </c>
      <c r="GK854" s="319" t="s">
        <v>428</v>
      </c>
      <c r="GL854" s="319" t="s">
        <v>190</v>
      </c>
      <c r="GM854" s="319" t="s">
        <v>190</v>
      </c>
      <c r="GN854" s="319" t="s">
        <v>190</v>
      </c>
      <c r="GO854" s="319" t="s">
        <v>190</v>
      </c>
      <c r="GP854" s="319" t="s">
        <v>190</v>
      </c>
      <c r="GQ854" s="319" t="s">
        <v>428</v>
      </c>
      <c r="GR854" s="319" t="s">
        <v>190</v>
      </c>
      <c r="GS854" s="319" t="s">
        <v>190</v>
      </c>
      <c r="GT854" s="319" t="s">
        <v>190</v>
      </c>
      <c r="GU854" s="319" t="s">
        <v>190</v>
      </c>
      <c r="GV854" s="319" t="s">
        <v>190</v>
      </c>
      <c r="GW854" s="319" t="s">
        <v>190</v>
      </c>
      <c r="GX854" s="319" t="s">
        <v>190</v>
      </c>
      <c r="GY854" s="319" t="s">
        <v>190</v>
      </c>
      <c r="GZ854" s="319" t="s">
        <v>190</v>
      </c>
      <c r="HA854" s="319" t="s">
        <v>428</v>
      </c>
      <c r="HB854" s="319" t="s">
        <v>190</v>
      </c>
      <c r="HC854" s="319" t="s">
        <v>190</v>
      </c>
      <c r="HD854" s="319" t="s">
        <v>190</v>
      </c>
      <c r="HE854" s="319" t="s">
        <v>190</v>
      </c>
      <c r="HF854" s="319" t="s">
        <v>190</v>
      </c>
      <c r="HG854" s="319" t="s">
        <v>190</v>
      </c>
      <c r="HH854" s="319" t="s">
        <v>190</v>
      </c>
      <c r="HI854" s="319" t="s">
        <v>190</v>
      </c>
      <c r="HJ854" s="319" t="s">
        <v>190</v>
      </c>
      <c r="HK854" s="319" t="s">
        <v>190</v>
      </c>
      <c r="HL854" s="319" t="s">
        <v>428</v>
      </c>
      <c r="HM854" s="319" t="s">
        <v>428</v>
      </c>
      <c r="HN854" s="319" t="s">
        <v>428</v>
      </c>
      <c r="HO854" s="319" t="s">
        <v>428</v>
      </c>
      <c r="HP854" s="319" t="s">
        <v>190</v>
      </c>
      <c r="HQ854" s="319" t="s">
        <v>190</v>
      </c>
      <c r="HR854" s="319" t="s">
        <v>190</v>
      </c>
      <c r="HS854" s="319" t="s">
        <v>190</v>
      </c>
      <c r="HT854" s="319" t="s">
        <v>190</v>
      </c>
      <c r="HU854" s="319" t="s">
        <v>190</v>
      </c>
      <c r="HV854" s="319" t="s">
        <v>190</v>
      </c>
      <c r="HW854" s="319" t="s">
        <v>190</v>
      </c>
      <c r="HX854" s="319" t="s">
        <v>190</v>
      </c>
      <c r="HY854" s="319" t="s">
        <v>190</v>
      </c>
      <c r="HZ854" s="319" t="s">
        <v>190</v>
      </c>
      <c r="IA854" s="319" t="s">
        <v>190</v>
      </c>
      <c r="IB854" s="319" t="s">
        <v>190</v>
      </c>
      <c r="IC854" s="319" t="s">
        <v>190</v>
      </c>
      <c r="ID854" s="319" t="s">
        <v>190</v>
      </c>
      <c r="IE854" s="319" t="s">
        <v>190</v>
      </c>
      <c r="IF854" s="319" t="s">
        <v>191</v>
      </c>
      <c r="IG854" s="319" t="s">
        <v>191</v>
      </c>
      <c r="IH854" s="319" t="s">
        <v>191</v>
      </c>
      <c r="II854" s="319" t="s">
        <v>191</v>
      </c>
      <c r="IJ854" s="319">
        <v>10040148</v>
      </c>
      <c r="IK854" s="321">
        <v>43018</v>
      </c>
      <c r="IL854" s="321">
        <v>43019</v>
      </c>
      <c r="IM854" s="321">
        <v>43063</v>
      </c>
      <c r="IN854" s="319">
        <v>3</v>
      </c>
      <c r="IO854" s="319" t="s">
        <v>173</v>
      </c>
      <c r="IP854" s="319" t="s">
        <v>173</v>
      </c>
      <c r="IQ854" s="319" t="s">
        <v>173</v>
      </c>
      <c r="IR854" s="320" t="s">
        <v>173</v>
      </c>
      <c r="IS854" s="320" t="s">
        <v>173</v>
      </c>
      <c r="IT854" s="319" t="s">
        <v>173</v>
      </c>
    </row>
    <row r="855" spans="1:254" s="271" customFormat="1" x14ac:dyDescent="0.25">
      <c r="A855" s="318" t="str">
        <f>HYPERLINK("http://www.ofsted.gov.uk/inspection-reports/find-inspection-report/provider/ELS/142832 ","Ofsted School Webpage")</f>
        <v>Ofsted School Webpage</v>
      </c>
      <c r="B855" s="319">
        <v>142832</v>
      </c>
      <c r="C855" s="319">
        <v>3046003</v>
      </c>
      <c r="D855" s="319" t="s">
        <v>2366</v>
      </c>
      <c r="E855" s="319" t="s">
        <v>167</v>
      </c>
      <c r="F855" s="319" t="s">
        <v>81</v>
      </c>
      <c r="G855" s="319" t="s">
        <v>59</v>
      </c>
      <c r="H855" s="319" t="s">
        <v>59</v>
      </c>
      <c r="I855" s="319" t="s">
        <v>59</v>
      </c>
      <c r="J855" s="319" t="s">
        <v>424</v>
      </c>
      <c r="K855" s="319" t="s">
        <v>441</v>
      </c>
      <c r="L855" s="319" t="s">
        <v>441</v>
      </c>
      <c r="M855" s="319" t="s">
        <v>477</v>
      </c>
      <c r="N855" s="319" t="s">
        <v>3283</v>
      </c>
      <c r="O855" s="319" t="s">
        <v>3537</v>
      </c>
      <c r="P855" s="319">
        <v>35</v>
      </c>
      <c r="Q855" s="319" t="s">
        <v>2776</v>
      </c>
      <c r="R855" s="320">
        <v>10041406</v>
      </c>
      <c r="S855" s="321">
        <v>43116</v>
      </c>
      <c r="T855" s="321">
        <v>43118</v>
      </c>
      <c r="U855" s="321">
        <v>43146</v>
      </c>
      <c r="V855" s="319" t="s">
        <v>435</v>
      </c>
      <c r="W855" s="319" t="s">
        <v>2767</v>
      </c>
      <c r="X855" s="319">
        <v>3</v>
      </c>
      <c r="Y855" s="319" t="s">
        <v>173</v>
      </c>
      <c r="Z855" s="319" t="s">
        <v>173</v>
      </c>
      <c r="AA855" s="319" t="s">
        <v>173</v>
      </c>
      <c r="AB855" s="319">
        <v>3</v>
      </c>
      <c r="AC855" s="319" t="s">
        <v>169</v>
      </c>
      <c r="AD855" s="319" t="s">
        <v>173</v>
      </c>
      <c r="AE855" s="319" t="s">
        <v>173</v>
      </c>
      <c r="AF855" s="319" t="s">
        <v>427</v>
      </c>
      <c r="AG855" s="319" t="s">
        <v>171</v>
      </c>
      <c r="AH855" s="319" t="s">
        <v>190</v>
      </c>
      <c r="AI855" s="319" t="s">
        <v>190</v>
      </c>
      <c r="AJ855" s="319" t="s">
        <v>190</v>
      </c>
      <c r="AK855" s="319" t="s">
        <v>190</v>
      </c>
      <c r="AL855" s="319" t="s">
        <v>190</v>
      </c>
      <c r="AM855" s="319" t="s">
        <v>190</v>
      </c>
      <c r="AN855" s="319" t="s">
        <v>190</v>
      </c>
      <c r="AO855" s="319" t="s">
        <v>190</v>
      </c>
      <c r="AP855" s="319" t="s">
        <v>190</v>
      </c>
      <c r="AQ855" s="319" t="s">
        <v>190</v>
      </c>
      <c r="AR855" s="319" t="s">
        <v>190</v>
      </c>
      <c r="AS855" s="319" t="s">
        <v>190</v>
      </c>
      <c r="AT855" s="319" t="s">
        <v>190</v>
      </c>
      <c r="AU855" s="319" t="s">
        <v>190</v>
      </c>
      <c r="AV855" s="319" t="s">
        <v>190</v>
      </c>
      <c r="AW855" s="319" t="s">
        <v>190</v>
      </c>
      <c r="AX855" s="319" t="s">
        <v>428</v>
      </c>
      <c r="AY855" s="319" t="s">
        <v>190</v>
      </c>
      <c r="AZ855" s="319" t="s">
        <v>190</v>
      </c>
      <c r="BA855" s="319" t="s">
        <v>190</v>
      </c>
      <c r="BB855" s="319" t="s">
        <v>190</v>
      </c>
      <c r="BC855" s="319" t="s">
        <v>190</v>
      </c>
      <c r="BD855" s="319" t="s">
        <v>190</v>
      </c>
      <c r="BE855" s="319" t="s">
        <v>190</v>
      </c>
      <c r="BF855" s="319" t="s">
        <v>428</v>
      </c>
      <c r="BG855" s="319" t="s">
        <v>428</v>
      </c>
      <c r="BH855" s="319" t="s">
        <v>190</v>
      </c>
      <c r="BI855" s="319" t="s">
        <v>190</v>
      </c>
      <c r="BJ855" s="319" t="s">
        <v>190</v>
      </c>
      <c r="BK855" s="319" t="s">
        <v>190</v>
      </c>
      <c r="BL855" s="319" t="s">
        <v>190</v>
      </c>
      <c r="BM855" s="319" t="s">
        <v>190</v>
      </c>
      <c r="BN855" s="319" t="s">
        <v>190</v>
      </c>
      <c r="BO855" s="319" t="s">
        <v>190</v>
      </c>
      <c r="BP855" s="319" t="s">
        <v>190</v>
      </c>
      <c r="BQ855" s="319" t="s">
        <v>190</v>
      </c>
      <c r="BR855" s="319" t="s">
        <v>190</v>
      </c>
      <c r="BS855" s="319" t="s">
        <v>190</v>
      </c>
      <c r="BT855" s="319" t="s">
        <v>190</v>
      </c>
      <c r="BU855" s="319" t="s">
        <v>190</v>
      </c>
      <c r="BV855" s="319" t="s">
        <v>190</v>
      </c>
      <c r="BW855" s="319" t="s">
        <v>190</v>
      </c>
      <c r="BX855" s="319" t="s">
        <v>190</v>
      </c>
      <c r="BY855" s="319" t="s">
        <v>190</v>
      </c>
      <c r="BZ855" s="319" t="s">
        <v>190</v>
      </c>
      <c r="CA855" s="319" t="s">
        <v>190</v>
      </c>
      <c r="CB855" s="319" t="s">
        <v>190</v>
      </c>
      <c r="CC855" s="319" t="s">
        <v>190</v>
      </c>
      <c r="CD855" s="319" t="s">
        <v>190</v>
      </c>
      <c r="CE855" s="319" t="s">
        <v>190</v>
      </c>
      <c r="CF855" s="319" t="s">
        <v>190</v>
      </c>
      <c r="CG855" s="319" t="s">
        <v>190</v>
      </c>
      <c r="CH855" s="319" t="s">
        <v>190</v>
      </c>
      <c r="CI855" s="319" t="s">
        <v>190</v>
      </c>
      <c r="CJ855" s="319" t="s">
        <v>190</v>
      </c>
      <c r="CK855" s="319" t="s">
        <v>190</v>
      </c>
      <c r="CL855" s="319" t="s">
        <v>190</v>
      </c>
      <c r="CM855" s="319" t="s">
        <v>190</v>
      </c>
      <c r="CN855" s="319" t="s">
        <v>428</v>
      </c>
      <c r="CO855" s="319" t="s">
        <v>428</v>
      </c>
      <c r="CP855" s="319" t="s">
        <v>428</v>
      </c>
      <c r="CQ855" s="319" t="s">
        <v>190</v>
      </c>
      <c r="CR855" s="319" t="s">
        <v>190</v>
      </c>
      <c r="CS855" s="319" t="s">
        <v>190</v>
      </c>
      <c r="CT855" s="319" t="s">
        <v>190</v>
      </c>
      <c r="CU855" s="319" t="s">
        <v>190</v>
      </c>
      <c r="CV855" s="319" t="s">
        <v>190</v>
      </c>
      <c r="CW855" s="319" t="s">
        <v>190</v>
      </c>
      <c r="CX855" s="319" t="s">
        <v>190</v>
      </c>
      <c r="CY855" s="319" t="s">
        <v>190</v>
      </c>
      <c r="CZ855" s="319" t="s">
        <v>190</v>
      </c>
      <c r="DA855" s="319" t="s">
        <v>190</v>
      </c>
      <c r="DB855" s="319" t="s">
        <v>190</v>
      </c>
      <c r="DC855" s="319" t="s">
        <v>190</v>
      </c>
      <c r="DD855" s="319" t="s">
        <v>190</v>
      </c>
      <c r="DE855" s="319" t="s">
        <v>190</v>
      </c>
      <c r="DF855" s="319" t="s">
        <v>190</v>
      </c>
      <c r="DG855" s="319" t="s">
        <v>190</v>
      </c>
      <c r="DH855" s="319" t="s">
        <v>190</v>
      </c>
      <c r="DI855" s="319" t="s">
        <v>190</v>
      </c>
      <c r="DJ855" s="319" t="s">
        <v>190</v>
      </c>
      <c r="DK855" s="319" t="s">
        <v>190</v>
      </c>
      <c r="DL855" s="319" t="s">
        <v>190</v>
      </c>
      <c r="DM855" s="319" t="s">
        <v>190</v>
      </c>
      <c r="DN855" s="319" t="s">
        <v>428</v>
      </c>
      <c r="DO855" s="319" t="s">
        <v>190</v>
      </c>
      <c r="DP855" s="319" t="s">
        <v>190</v>
      </c>
      <c r="DQ855" s="319" t="s">
        <v>190</v>
      </c>
      <c r="DR855" s="319" t="s">
        <v>190</v>
      </c>
      <c r="DS855" s="319" t="s">
        <v>190</v>
      </c>
      <c r="DT855" s="319" t="s">
        <v>190</v>
      </c>
      <c r="DU855" s="319" t="s">
        <v>190</v>
      </c>
      <c r="DV855" s="319" t="s">
        <v>173</v>
      </c>
      <c r="DW855" s="319" t="s">
        <v>190</v>
      </c>
      <c r="DX855" s="319" t="s">
        <v>190</v>
      </c>
      <c r="DY855" s="319" t="s">
        <v>190</v>
      </c>
      <c r="DZ855" s="319" t="s">
        <v>190</v>
      </c>
      <c r="EA855" s="319" t="s">
        <v>190</v>
      </c>
      <c r="EB855" s="319" t="s">
        <v>190</v>
      </c>
      <c r="EC855" s="319" t="s">
        <v>428</v>
      </c>
      <c r="ED855" s="319" t="s">
        <v>190</v>
      </c>
      <c r="EE855" s="319" t="s">
        <v>190</v>
      </c>
      <c r="EF855" s="319" t="s">
        <v>190</v>
      </c>
      <c r="EG855" s="319" t="s">
        <v>190</v>
      </c>
      <c r="EH855" s="319" t="s">
        <v>190</v>
      </c>
      <c r="EI855" s="319" t="s">
        <v>190</v>
      </c>
      <c r="EJ855" s="319" t="s">
        <v>190</v>
      </c>
      <c r="EK855" s="319" t="s">
        <v>190</v>
      </c>
      <c r="EL855" s="319" t="s">
        <v>190</v>
      </c>
      <c r="EM855" s="319" t="s">
        <v>190</v>
      </c>
      <c r="EN855" s="319" t="s">
        <v>190</v>
      </c>
      <c r="EO855" s="319" t="s">
        <v>190</v>
      </c>
      <c r="EP855" s="319" t="s">
        <v>190</v>
      </c>
      <c r="EQ855" s="319" t="s">
        <v>190</v>
      </c>
      <c r="ER855" s="319" t="s">
        <v>190</v>
      </c>
      <c r="ES855" s="319" t="s">
        <v>190</v>
      </c>
      <c r="ET855" s="319" t="s">
        <v>190</v>
      </c>
      <c r="EU855" s="319" t="s">
        <v>190</v>
      </c>
      <c r="EV855" s="319" t="s">
        <v>190</v>
      </c>
      <c r="EW855" s="319" t="s">
        <v>190</v>
      </c>
      <c r="EX855" s="319" t="s">
        <v>190</v>
      </c>
      <c r="EY855" s="319" t="s">
        <v>190</v>
      </c>
      <c r="EZ855" s="319" t="s">
        <v>190</v>
      </c>
      <c r="FA855" s="319" t="s">
        <v>190</v>
      </c>
      <c r="FB855" s="319" t="s">
        <v>190</v>
      </c>
      <c r="FC855" s="319" t="s">
        <v>190</v>
      </c>
      <c r="FD855" s="319" t="s">
        <v>190</v>
      </c>
      <c r="FE855" s="319" t="s">
        <v>190</v>
      </c>
      <c r="FF855" s="319" t="s">
        <v>190</v>
      </c>
      <c r="FG855" s="319" t="s">
        <v>190</v>
      </c>
      <c r="FH855" s="319" t="s">
        <v>190</v>
      </c>
      <c r="FI855" s="319" t="s">
        <v>190</v>
      </c>
      <c r="FJ855" s="319" t="s">
        <v>190</v>
      </c>
      <c r="FK855" s="319" t="s">
        <v>190</v>
      </c>
      <c r="FL855" s="319" t="s">
        <v>190</v>
      </c>
      <c r="FM855" s="319" t="s">
        <v>190</v>
      </c>
      <c r="FN855" s="319" t="s">
        <v>190</v>
      </c>
      <c r="FO855" s="319" t="s">
        <v>190</v>
      </c>
      <c r="FP855" s="319" t="s">
        <v>190</v>
      </c>
      <c r="FQ855" s="319" t="s">
        <v>190</v>
      </c>
      <c r="FR855" s="319" t="s">
        <v>190</v>
      </c>
      <c r="FS855" s="319" t="s">
        <v>428</v>
      </c>
      <c r="FT855" s="319" t="s">
        <v>190</v>
      </c>
      <c r="FU855" s="319" t="s">
        <v>190</v>
      </c>
      <c r="FV855" s="319" t="s">
        <v>190</v>
      </c>
      <c r="FW855" s="319" t="s">
        <v>190</v>
      </c>
      <c r="FX855" s="319" t="s">
        <v>190</v>
      </c>
      <c r="FY855" s="319" t="s">
        <v>190</v>
      </c>
      <c r="FZ855" s="319" t="s">
        <v>190</v>
      </c>
      <c r="GA855" s="319" t="s">
        <v>190</v>
      </c>
      <c r="GB855" s="319" t="s">
        <v>190</v>
      </c>
      <c r="GC855" s="319" t="s">
        <v>190</v>
      </c>
      <c r="GD855" s="319" t="s">
        <v>190</v>
      </c>
      <c r="GE855" s="319" t="s">
        <v>190</v>
      </c>
      <c r="GF855" s="319" t="s">
        <v>190</v>
      </c>
      <c r="GG855" s="319" t="s">
        <v>190</v>
      </c>
      <c r="GH855" s="319" t="s">
        <v>190</v>
      </c>
      <c r="GI855" s="319" t="s">
        <v>190</v>
      </c>
      <c r="GJ855" s="319" t="s">
        <v>190</v>
      </c>
      <c r="GK855" s="319" t="s">
        <v>428</v>
      </c>
      <c r="GL855" s="319" t="s">
        <v>190</v>
      </c>
      <c r="GM855" s="319" t="s">
        <v>190</v>
      </c>
      <c r="GN855" s="319" t="s">
        <v>190</v>
      </c>
      <c r="GO855" s="319" t="s">
        <v>190</v>
      </c>
      <c r="GP855" s="319" t="s">
        <v>190</v>
      </c>
      <c r="GQ855" s="319" t="s">
        <v>190</v>
      </c>
      <c r="GR855" s="319" t="s">
        <v>190</v>
      </c>
      <c r="GS855" s="319" t="s">
        <v>190</v>
      </c>
      <c r="GT855" s="319" t="s">
        <v>190</v>
      </c>
      <c r="GU855" s="319" t="s">
        <v>190</v>
      </c>
      <c r="GV855" s="319" t="s">
        <v>190</v>
      </c>
      <c r="GW855" s="319" t="s">
        <v>190</v>
      </c>
      <c r="GX855" s="319" t="s">
        <v>190</v>
      </c>
      <c r="GY855" s="319" t="s">
        <v>190</v>
      </c>
      <c r="GZ855" s="319" t="s">
        <v>190</v>
      </c>
      <c r="HA855" s="319" t="s">
        <v>190</v>
      </c>
      <c r="HB855" s="319" t="s">
        <v>428</v>
      </c>
      <c r="HC855" s="319" t="s">
        <v>190</v>
      </c>
      <c r="HD855" s="319" t="s">
        <v>190</v>
      </c>
      <c r="HE855" s="319" t="s">
        <v>190</v>
      </c>
      <c r="HF855" s="319" t="s">
        <v>190</v>
      </c>
      <c r="HG855" s="319" t="s">
        <v>190</v>
      </c>
      <c r="HH855" s="319" t="s">
        <v>190</v>
      </c>
      <c r="HI855" s="319" t="s">
        <v>190</v>
      </c>
      <c r="HJ855" s="319" t="s">
        <v>190</v>
      </c>
      <c r="HK855" s="319" t="s">
        <v>190</v>
      </c>
      <c r="HL855" s="319" t="s">
        <v>190</v>
      </c>
      <c r="HM855" s="319" t="s">
        <v>190</v>
      </c>
      <c r="HN855" s="319" t="s">
        <v>190</v>
      </c>
      <c r="HO855" s="319" t="s">
        <v>190</v>
      </c>
      <c r="HP855" s="319" t="s">
        <v>190</v>
      </c>
      <c r="HQ855" s="319" t="s">
        <v>190</v>
      </c>
      <c r="HR855" s="319" t="s">
        <v>190</v>
      </c>
      <c r="HS855" s="319" t="s">
        <v>190</v>
      </c>
      <c r="HT855" s="319" t="s">
        <v>190</v>
      </c>
      <c r="HU855" s="319" t="s">
        <v>190</v>
      </c>
      <c r="HV855" s="319" t="s">
        <v>190</v>
      </c>
      <c r="HW855" s="319" t="s">
        <v>190</v>
      </c>
      <c r="HX855" s="319" t="s">
        <v>190</v>
      </c>
      <c r="HY855" s="319" t="s">
        <v>190</v>
      </c>
      <c r="HZ855" s="319" t="s">
        <v>190</v>
      </c>
      <c r="IA855" s="319" t="s">
        <v>190</v>
      </c>
      <c r="IB855" s="319" t="s">
        <v>190</v>
      </c>
      <c r="IC855" s="319" t="s">
        <v>190</v>
      </c>
      <c r="ID855" s="319" t="s">
        <v>190</v>
      </c>
      <c r="IE855" s="319" t="s">
        <v>190</v>
      </c>
      <c r="IF855" s="319" t="s">
        <v>190</v>
      </c>
      <c r="IG855" s="319" t="s">
        <v>190</v>
      </c>
      <c r="IH855" s="319" t="s">
        <v>190</v>
      </c>
      <c r="II855" s="319" t="s">
        <v>190</v>
      </c>
      <c r="IJ855" s="319" t="s">
        <v>173</v>
      </c>
      <c r="IK855" s="319" t="s">
        <v>173</v>
      </c>
      <c r="IL855" s="319" t="s">
        <v>173</v>
      </c>
      <c r="IM855" s="319" t="s">
        <v>173</v>
      </c>
      <c r="IN855" s="319" t="s">
        <v>173</v>
      </c>
      <c r="IO855" s="319" t="s">
        <v>173</v>
      </c>
      <c r="IP855" s="319" t="s">
        <v>173</v>
      </c>
      <c r="IQ855" s="321" t="s">
        <v>173</v>
      </c>
      <c r="IR855" s="320" t="s">
        <v>173</v>
      </c>
      <c r="IS855" s="322" t="s">
        <v>173</v>
      </c>
      <c r="IT855" s="319" t="s">
        <v>173</v>
      </c>
    </row>
    <row r="856" spans="1:254" s="271" customFormat="1" x14ac:dyDescent="0.25">
      <c r="A856" s="318" t="str">
        <f>HYPERLINK("http://www.ofsted.gov.uk/inspection-reports/find-inspection-report/provider/ELS/142833 ","Ofsted School Webpage")</f>
        <v>Ofsted School Webpage</v>
      </c>
      <c r="B856" s="319">
        <v>142833</v>
      </c>
      <c r="C856" s="319">
        <v>8856044</v>
      </c>
      <c r="D856" s="319" t="s">
        <v>2367</v>
      </c>
      <c r="E856" s="319" t="s">
        <v>167</v>
      </c>
      <c r="F856" s="319" t="s">
        <v>81</v>
      </c>
      <c r="G856" s="319" t="s">
        <v>2368</v>
      </c>
      <c r="H856" s="319" t="s">
        <v>2368</v>
      </c>
      <c r="I856" s="319" t="s">
        <v>59</v>
      </c>
      <c r="J856" s="319" t="s">
        <v>424</v>
      </c>
      <c r="K856" s="319" t="s">
        <v>437</v>
      </c>
      <c r="L856" s="319" t="s">
        <v>437</v>
      </c>
      <c r="M856" s="319" t="s">
        <v>483</v>
      </c>
      <c r="N856" s="319" t="s">
        <v>3387</v>
      </c>
      <c r="O856" s="319" t="s">
        <v>2369</v>
      </c>
      <c r="P856" s="319">
        <v>28</v>
      </c>
      <c r="Q856" s="319" t="s">
        <v>2776</v>
      </c>
      <c r="R856" s="320">
        <v>10033586</v>
      </c>
      <c r="S856" s="321">
        <v>42899</v>
      </c>
      <c r="T856" s="321">
        <v>42901</v>
      </c>
      <c r="U856" s="321">
        <v>42950</v>
      </c>
      <c r="V856" s="319" t="s">
        <v>435</v>
      </c>
      <c r="W856" s="319" t="s">
        <v>2767</v>
      </c>
      <c r="X856" s="319">
        <v>1</v>
      </c>
      <c r="Y856" s="319" t="s">
        <v>173</v>
      </c>
      <c r="Z856" s="319" t="s">
        <v>173</v>
      </c>
      <c r="AA856" s="319" t="s">
        <v>173</v>
      </c>
      <c r="AB856" s="319">
        <v>1</v>
      </c>
      <c r="AC856" s="319" t="s">
        <v>169</v>
      </c>
      <c r="AD856" s="319" t="s">
        <v>173</v>
      </c>
      <c r="AE856" s="319">
        <v>1</v>
      </c>
      <c r="AF856" s="319" t="s">
        <v>173</v>
      </c>
      <c r="AG856" s="319" t="s">
        <v>171</v>
      </c>
      <c r="AH856" s="319" t="s">
        <v>190</v>
      </c>
      <c r="AI856" s="319" t="s">
        <v>190</v>
      </c>
      <c r="AJ856" s="319" t="s">
        <v>190</v>
      </c>
      <c r="AK856" s="319" t="s">
        <v>190</v>
      </c>
      <c r="AL856" s="319" t="s">
        <v>190</v>
      </c>
      <c r="AM856" s="319" t="s">
        <v>190</v>
      </c>
      <c r="AN856" s="319" t="s">
        <v>190</v>
      </c>
      <c r="AO856" s="319" t="s">
        <v>190</v>
      </c>
      <c r="AP856" s="319" t="s">
        <v>190</v>
      </c>
      <c r="AQ856" s="319" t="s">
        <v>190</v>
      </c>
      <c r="AR856" s="319" t="s">
        <v>190</v>
      </c>
      <c r="AS856" s="319" t="s">
        <v>190</v>
      </c>
      <c r="AT856" s="319" t="s">
        <v>190</v>
      </c>
      <c r="AU856" s="319" t="s">
        <v>190</v>
      </c>
      <c r="AV856" s="319" t="s">
        <v>190</v>
      </c>
      <c r="AW856" s="319" t="s">
        <v>190</v>
      </c>
      <c r="AX856" s="319" t="s">
        <v>429</v>
      </c>
      <c r="AY856" s="319" t="s">
        <v>190</v>
      </c>
      <c r="AZ856" s="319" t="s">
        <v>190</v>
      </c>
      <c r="BA856" s="319" t="s">
        <v>190</v>
      </c>
      <c r="BB856" s="319" t="s">
        <v>190</v>
      </c>
      <c r="BC856" s="319" t="s">
        <v>190</v>
      </c>
      <c r="BD856" s="319" t="s">
        <v>190</v>
      </c>
      <c r="BE856" s="319" t="s">
        <v>190</v>
      </c>
      <c r="BF856" s="319" t="s">
        <v>429</v>
      </c>
      <c r="BG856" s="319" t="s">
        <v>190</v>
      </c>
      <c r="BH856" s="319" t="s">
        <v>190</v>
      </c>
      <c r="BI856" s="319" t="s">
        <v>190</v>
      </c>
      <c r="BJ856" s="319" t="s">
        <v>190</v>
      </c>
      <c r="BK856" s="319" t="s">
        <v>190</v>
      </c>
      <c r="BL856" s="319" t="s">
        <v>190</v>
      </c>
      <c r="BM856" s="319" t="s">
        <v>190</v>
      </c>
      <c r="BN856" s="319" t="s">
        <v>190</v>
      </c>
      <c r="BO856" s="319" t="s">
        <v>190</v>
      </c>
      <c r="BP856" s="319" t="s">
        <v>190</v>
      </c>
      <c r="BQ856" s="319" t="s">
        <v>190</v>
      </c>
      <c r="BR856" s="319" t="s">
        <v>190</v>
      </c>
      <c r="BS856" s="319" t="s">
        <v>190</v>
      </c>
      <c r="BT856" s="319" t="s">
        <v>190</v>
      </c>
      <c r="BU856" s="319" t="s">
        <v>190</v>
      </c>
      <c r="BV856" s="319" t="s">
        <v>190</v>
      </c>
      <c r="BW856" s="319" t="s">
        <v>190</v>
      </c>
      <c r="BX856" s="319" t="s">
        <v>190</v>
      </c>
      <c r="BY856" s="319" t="s">
        <v>190</v>
      </c>
      <c r="BZ856" s="319" t="s">
        <v>190</v>
      </c>
      <c r="CA856" s="319" t="s">
        <v>190</v>
      </c>
      <c r="CB856" s="319" t="s">
        <v>190</v>
      </c>
      <c r="CC856" s="319" t="s">
        <v>190</v>
      </c>
      <c r="CD856" s="319" t="s">
        <v>190</v>
      </c>
      <c r="CE856" s="319" t="s">
        <v>190</v>
      </c>
      <c r="CF856" s="319" t="s">
        <v>190</v>
      </c>
      <c r="CG856" s="319" t="s">
        <v>190</v>
      </c>
      <c r="CH856" s="319" t="s">
        <v>190</v>
      </c>
      <c r="CI856" s="319" t="s">
        <v>190</v>
      </c>
      <c r="CJ856" s="319" t="s">
        <v>190</v>
      </c>
      <c r="CK856" s="319" t="s">
        <v>190</v>
      </c>
      <c r="CL856" s="319" t="s">
        <v>190</v>
      </c>
      <c r="CM856" s="319" t="s">
        <v>190</v>
      </c>
      <c r="CN856" s="319" t="s">
        <v>429</v>
      </c>
      <c r="CO856" s="319" t="s">
        <v>429</v>
      </c>
      <c r="CP856" s="319" t="s">
        <v>429</v>
      </c>
      <c r="CQ856" s="319" t="s">
        <v>190</v>
      </c>
      <c r="CR856" s="319" t="s">
        <v>190</v>
      </c>
      <c r="CS856" s="319" t="s">
        <v>190</v>
      </c>
      <c r="CT856" s="319" t="s">
        <v>190</v>
      </c>
      <c r="CU856" s="319" t="s">
        <v>190</v>
      </c>
      <c r="CV856" s="319" t="s">
        <v>190</v>
      </c>
      <c r="CW856" s="319" t="s">
        <v>190</v>
      </c>
      <c r="CX856" s="319" t="s">
        <v>190</v>
      </c>
      <c r="CY856" s="319" t="s">
        <v>190</v>
      </c>
      <c r="CZ856" s="319" t="s">
        <v>190</v>
      </c>
      <c r="DA856" s="319" t="s">
        <v>190</v>
      </c>
      <c r="DB856" s="319" t="s">
        <v>190</v>
      </c>
      <c r="DC856" s="319" t="s">
        <v>190</v>
      </c>
      <c r="DD856" s="319" t="s">
        <v>190</v>
      </c>
      <c r="DE856" s="319" t="s">
        <v>190</v>
      </c>
      <c r="DF856" s="319" t="s">
        <v>190</v>
      </c>
      <c r="DG856" s="319" t="s">
        <v>190</v>
      </c>
      <c r="DH856" s="319" t="s">
        <v>190</v>
      </c>
      <c r="DI856" s="319" t="s">
        <v>190</v>
      </c>
      <c r="DJ856" s="319" t="s">
        <v>190</v>
      </c>
      <c r="DK856" s="319" t="s">
        <v>190</v>
      </c>
      <c r="DL856" s="319" t="s">
        <v>190</v>
      </c>
      <c r="DM856" s="319" t="s">
        <v>190</v>
      </c>
      <c r="DN856" s="319" t="s">
        <v>429</v>
      </c>
      <c r="DO856" s="319" t="s">
        <v>190</v>
      </c>
      <c r="DP856" s="319" t="s">
        <v>190</v>
      </c>
      <c r="DQ856" s="319" t="s">
        <v>190</v>
      </c>
      <c r="DR856" s="319" t="s">
        <v>190</v>
      </c>
      <c r="DS856" s="319" t="s">
        <v>190</v>
      </c>
      <c r="DT856" s="319" t="s">
        <v>190</v>
      </c>
      <c r="DU856" s="319" t="s">
        <v>190</v>
      </c>
      <c r="DV856" s="319" t="s">
        <v>173</v>
      </c>
      <c r="DW856" s="319" t="s">
        <v>190</v>
      </c>
      <c r="DX856" s="319" t="s">
        <v>190</v>
      </c>
      <c r="DY856" s="319" t="s">
        <v>190</v>
      </c>
      <c r="DZ856" s="319" t="s">
        <v>190</v>
      </c>
      <c r="EA856" s="319" t="s">
        <v>190</v>
      </c>
      <c r="EB856" s="319" t="s">
        <v>190</v>
      </c>
      <c r="EC856" s="319" t="s">
        <v>429</v>
      </c>
      <c r="ED856" s="319" t="s">
        <v>190</v>
      </c>
      <c r="EE856" s="319" t="s">
        <v>190</v>
      </c>
      <c r="EF856" s="319" t="s">
        <v>190</v>
      </c>
      <c r="EG856" s="319" t="s">
        <v>190</v>
      </c>
      <c r="EH856" s="319" t="s">
        <v>190</v>
      </c>
      <c r="EI856" s="319" t="s">
        <v>190</v>
      </c>
      <c r="EJ856" s="319" t="s">
        <v>190</v>
      </c>
      <c r="EK856" s="319" t="s">
        <v>190</v>
      </c>
      <c r="EL856" s="319" t="s">
        <v>190</v>
      </c>
      <c r="EM856" s="319" t="s">
        <v>190</v>
      </c>
      <c r="EN856" s="319" t="s">
        <v>190</v>
      </c>
      <c r="EO856" s="319" t="s">
        <v>190</v>
      </c>
      <c r="EP856" s="319" t="s">
        <v>190</v>
      </c>
      <c r="EQ856" s="319" t="s">
        <v>190</v>
      </c>
      <c r="ER856" s="319" t="s">
        <v>190</v>
      </c>
      <c r="ES856" s="319" t="s">
        <v>190</v>
      </c>
      <c r="ET856" s="319" t="s">
        <v>190</v>
      </c>
      <c r="EU856" s="319" t="s">
        <v>190</v>
      </c>
      <c r="EV856" s="319" t="s">
        <v>190</v>
      </c>
      <c r="EW856" s="319" t="s">
        <v>190</v>
      </c>
      <c r="EX856" s="319" t="s">
        <v>190</v>
      </c>
      <c r="EY856" s="319" t="s">
        <v>190</v>
      </c>
      <c r="EZ856" s="319" t="s">
        <v>190</v>
      </c>
      <c r="FA856" s="319" t="s">
        <v>190</v>
      </c>
      <c r="FB856" s="319" t="s">
        <v>190</v>
      </c>
      <c r="FC856" s="319" t="s">
        <v>190</v>
      </c>
      <c r="FD856" s="319" t="s">
        <v>190</v>
      </c>
      <c r="FE856" s="319" t="s">
        <v>190</v>
      </c>
      <c r="FF856" s="319" t="s">
        <v>190</v>
      </c>
      <c r="FG856" s="319" t="s">
        <v>190</v>
      </c>
      <c r="FH856" s="319" t="s">
        <v>190</v>
      </c>
      <c r="FI856" s="319" t="s">
        <v>190</v>
      </c>
      <c r="FJ856" s="319" t="s">
        <v>190</v>
      </c>
      <c r="FK856" s="319" t="s">
        <v>190</v>
      </c>
      <c r="FL856" s="319" t="s">
        <v>190</v>
      </c>
      <c r="FM856" s="319" t="s">
        <v>190</v>
      </c>
      <c r="FN856" s="319" t="s">
        <v>190</v>
      </c>
      <c r="FO856" s="319" t="s">
        <v>190</v>
      </c>
      <c r="FP856" s="319" t="s">
        <v>190</v>
      </c>
      <c r="FQ856" s="319" t="s">
        <v>190</v>
      </c>
      <c r="FR856" s="319" t="s">
        <v>190</v>
      </c>
      <c r="FS856" s="319" t="s">
        <v>429</v>
      </c>
      <c r="FT856" s="319" t="s">
        <v>190</v>
      </c>
      <c r="FU856" s="319" t="s">
        <v>190</v>
      </c>
      <c r="FV856" s="319" t="s">
        <v>190</v>
      </c>
      <c r="FW856" s="319" t="s">
        <v>190</v>
      </c>
      <c r="FX856" s="319" t="s">
        <v>190</v>
      </c>
      <c r="FY856" s="319" t="s">
        <v>190</v>
      </c>
      <c r="FZ856" s="319" t="s">
        <v>190</v>
      </c>
      <c r="GA856" s="319" t="s">
        <v>190</v>
      </c>
      <c r="GB856" s="319" t="s">
        <v>190</v>
      </c>
      <c r="GC856" s="319" t="s">
        <v>190</v>
      </c>
      <c r="GD856" s="319" t="s">
        <v>190</v>
      </c>
      <c r="GE856" s="319" t="s">
        <v>190</v>
      </c>
      <c r="GF856" s="319" t="s">
        <v>190</v>
      </c>
      <c r="GG856" s="319" t="s">
        <v>190</v>
      </c>
      <c r="GH856" s="319" t="s">
        <v>190</v>
      </c>
      <c r="GI856" s="319" t="s">
        <v>190</v>
      </c>
      <c r="GJ856" s="319" t="s">
        <v>190</v>
      </c>
      <c r="GK856" s="319" t="s">
        <v>429</v>
      </c>
      <c r="GL856" s="319" t="s">
        <v>190</v>
      </c>
      <c r="GM856" s="319" t="s">
        <v>190</v>
      </c>
      <c r="GN856" s="319" t="s">
        <v>190</v>
      </c>
      <c r="GO856" s="319" t="s">
        <v>190</v>
      </c>
      <c r="GP856" s="319" t="s">
        <v>429</v>
      </c>
      <c r="GQ856" s="319" t="s">
        <v>429</v>
      </c>
      <c r="GR856" s="319" t="s">
        <v>190</v>
      </c>
      <c r="GS856" s="319" t="s">
        <v>190</v>
      </c>
      <c r="GT856" s="319" t="s">
        <v>190</v>
      </c>
      <c r="GU856" s="319" t="s">
        <v>190</v>
      </c>
      <c r="GV856" s="319" t="s">
        <v>190</v>
      </c>
      <c r="GW856" s="319" t="s">
        <v>190</v>
      </c>
      <c r="GX856" s="319" t="s">
        <v>190</v>
      </c>
      <c r="GY856" s="319" t="s">
        <v>190</v>
      </c>
      <c r="GZ856" s="319" t="s">
        <v>190</v>
      </c>
      <c r="HA856" s="319" t="s">
        <v>190</v>
      </c>
      <c r="HB856" s="319" t="s">
        <v>190</v>
      </c>
      <c r="HC856" s="319" t="s">
        <v>190</v>
      </c>
      <c r="HD856" s="319" t="s">
        <v>190</v>
      </c>
      <c r="HE856" s="319" t="s">
        <v>190</v>
      </c>
      <c r="HF856" s="319" t="s">
        <v>190</v>
      </c>
      <c r="HG856" s="319" t="s">
        <v>190</v>
      </c>
      <c r="HH856" s="319" t="s">
        <v>190</v>
      </c>
      <c r="HI856" s="319" t="s">
        <v>190</v>
      </c>
      <c r="HJ856" s="319" t="s">
        <v>190</v>
      </c>
      <c r="HK856" s="319" t="s">
        <v>429</v>
      </c>
      <c r="HL856" s="319" t="s">
        <v>429</v>
      </c>
      <c r="HM856" s="319" t="s">
        <v>429</v>
      </c>
      <c r="HN856" s="319" t="s">
        <v>429</v>
      </c>
      <c r="HO856" s="319" t="s">
        <v>429</v>
      </c>
      <c r="HP856" s="319" t="s">
        <v>190</v>
      </c>
      <c r="HQ856" s="319" t="s">
        <v>190</v>
      </c>
      <c r="HR856" s="319" t="s">
        <v>190</v>
      </c>
      <c r="HS856" s="319" t="s">
        <v>190</v>
      </c>
      <c r="HT856" s="319" t="s">
        <v>190</v>
      </c>
      <c r="HU856" s="319" t="s">
        <v>190</v>
      </c>
      <c r="HV856" s="319" t="s">
        <v>190</v>
      </c>
      <c r="HW856" s="319" t="s">
        <v>190</v>
      </c>
      <c r="HX856" s="319" t="s">
        <v>190</v>
      </c>
      <c r="HY856" s="319" t="s">
        <v>190</v>
      </c>
      <c r="HZ856" s="319" t="s">
        <v>190</v>
      </c>
      <c r="IA856" s="319" t="s">
        <v>190</v>
      </c>
      <c r="IB856" s="319" t="s">
        <v>190</v>
      </c>
      <c r="IC856" s="319" t="s">
        <v>190</v>
      </c>
      <c r="ID856" s="319" t="s">
        <v>190</v>
      </c>
      <c r="IE856" s="319" t="s">
        <v>190</v>
      </c>
      <c r="IF856" s="319" t="s">
        <v>190</v>
      </c>
      <c r="IG856" s="319" t="s">
        <v>190</v>
      </c>
      <c r="IH856" s="319" t="s">
        <v>190</v>
      </c>
      <c r="II856" s="319" t="s">
        <v>190</v>
      </c>
      <c r="IJ856" s="319" t="s">
        <v>173</v>
      </c>
      <c r="IK856" s="319" t="s">
        <v>173</v>
      </c>
      <c r="IL856" s="319" t="s">
        <v>173</v>
      </c>
      <c r="IM856" s="319" t="s">
        <v>173</v>
      </c>
      <c r="IN856" s="319" t="s">
        <v>173</v>
      </c>
      <c r="IO856" s="319" t="s">
        <v>173</v>
      </c>
      <c r="IP856" s="319" t="s">
        <v>173</v>
      </c>
      <c r="IQ856" s="321" t="s">
        <v>173</v>
      </c>
      <c r="IR856" s="320" t="s">
        <v>173</v>
      </c>
      <c r="IS856" s="322" t="s">
        <v>173</v>
      </c>
      <c r="IT856" s="319" t="s">
        <v>173</v>
      </c>
    </row>
    <row r="857" spans="1:254" s="271" customFormat="1" x14ac:dyDescent="0.25">
      <c r="A857" s="318" t="str">
        <f>HYPERLINK("http://www.ofsted.gov.uk/inspection-reports/find-inspection-report/provider/ELS/142859 ","Ofsted School Webpage")</f>
        <v>Ofsted School Webpage</v>
      </c>
      <c r="B857" s="319">
        <v>142859</v>
      </c>
      <c r="C857" s="319">
        <v>8866143</v>
      </c>
      <c r="D857" s="319" t="s">
        <v>1177</v>
      </c>
      <c r="E857" s="319" t="s">
        <v>168</v>
      </c>
      <c r="F857" s="319" t="s">
        <v>81</v>
      </c>
      <c r="G857" s="319" t="s">
        <v>81</v>
      </c>
      <c r="H857" s="319" t="s">
        <v>81</v>
      </c>
      <c r="I857" s="319" t="s">
        <v>78</v>
      </c>
      <c r="J857" s="319" t="s">
        <v>424</v>
      </c>
      <c r="K857" s="319" t="s">
        <v>514</v>
      </c>
      <c r="L857" s="319" t="s">
        <v>514</v>
      </c>
      <c r="M857" s="319" t="s">
        <v>614</v>
      </c>
      <c r="N857" s="319" t="s">
        <v>2978</v>
      </c>
      <c r="O857" s="319" t="s">
        <v>1178</v>
      </c>
      <c r="P857" s="319">
        <v>5</v>
      </c>
      <c r="Q857" s="319" t="s">
        <v>429</v>
      </c>
      <c r="R857" s="320">
        <v>10044146</v>
      </c>
      <c r="S857" s="321">
        <v>43284</v>
      </c>
      <c r="T857" s="321">
        <v>43286</v>
      </c>
      <c r="U857" s="321">
        <v>43353</v>
      </c>
      <c r="V857" s="319" t="s">
        <v>435</v>
      </c>
      <c r="W857" s="319" t="s">
        <v>2767</v>
      </c>
      <c r="X857" s="319">
        <v>2</v>
      </c>
      <c r="Y857" s="319" t="s">
        <v>173</v>
      </c>
      <c r="Z857" s="319" t="s">
        <v>173</v>
      </c>
      <c r="AA857" s="319" t="s">
        <v>173</v>
      </c>
      <c r="AB857" s="319">
        <v>2</v>
      </c>
      <c r="AC857" s="319" t="s">
        <v>169</v>
      </c>
      <c r="AD857" s="319" t="s">
        <v>173</v>
      </c>
      <c r="AE857" s="319" t="s">
        <v>173</v>
      </c>
      <c r="AF857" s="319" t="s">
        <v>427</v>
      </c>
      <c r="AG857" s="319" t="s">
        <v>171</v>
      </c>
      <c r="AH857" s="319" t="s">
        <v>190</v>
      </c>
      <c r="AI857" s="319" t="s">
        <v>190</v>
      </c>
      <c r="AJ857" s="319" t="s">
        <v>190</v>
      </c>
      <c r="AK857" s="319" t="s">
        <v>190</v>
      </c>
      <c r="AL857" s="319" t="s">
        <v>190</v>
      </c>
      <c r="AM857" s="319" t="s">
        <v>190</v>
      </c>
      <c r="AN857" s="319" t="s">
        <v>190</v>
      </c>
      <c r="AO857" s="319" t="s">
        <v>190</v>
      </c>
      <c r="AP857" s="319" t="s">
        <v>190</v>
      </c>
      <c r="AQ857" s="319" t="s">
        <v>190</v>
      </c>
      <c r="AR857" s="319" t="s">
        <v>190</v>
      </c>
      <c r="AS857" s="319" t="s">
        <v>190</v>
      </c>
      <c r="AT857" s="319" t="s">
        <v>190</v>
      </c>
      <c r="AU857" s="319" t="s">
        <v>190</v>
      </c>
      <c r="AV857" s="319" t="s">
        <v>190</v>
      </c>
      <c r="AW857" s="319" t="s">
        <v>190</v>
      </c>
      <c r="AX857" s="319" t="s">
        <v>428</v>
      </c>
      <c r="AY857" s="319" t="s">
        <v>190</v>
      </c>
      <c r="AZ857" s="319" t="s">
        <v>190</v>
      </c>
      <c r="BA857" s="319" t="s">
        <v>190</v>
      </c>
      <c r="BB857" s="319" t="s">
        <v>428</v>
      </c>
      <c r="BC857" s="319" t="s">
        <v>428</v>
      </c>
      <c r="BD857" s="319" t="s">
        <v>428</v>
      </c>
      <c r="BE857" s="319" t="s">
        <v>428</v>
      </c>
      <c r="BF857" s="319" t="s">
        <v>190</v>
      </c>
      <c r="BG857" s="319" t="s">
        <v>428</v>
      </c>
      <c r="BH857" s="319" t="s">
        <v>190</v>
      </c>
      <c r="BI857" s="319" t="s">
        <v>190</v>
      </c>
      <c r="BJ857" s="319" t="s">
        <v>190</v>
      </c>
      <c r="BK857" s="319" t="s">
        <v>190</v>
      </c>
      <c r="BL857" s="319" t="s">
        <v>190</v>
      </c>
      <c r="BM857" s="319" t="s">
        <v>190</v>
      </c>
      <c r="BN857" s="319" t="s">
        <v>190</v>
      </c>
      <c r="BO857" s="319" t="s">
        <v>190</v>
      </c>
      <c r="BP857" s="319" t="s">
        <v>190</v>
      </c>
      <c r="BQ857" s="319" t="s">
        <v>190</v>
      </c>
      <c r="BR857" s="319" t="s">
        <v>190</v>
      </c>
      <c r="BS857" s="319" t="s">
        <v>190</v>
      </c>
      <c r="BT857" s="319" t="s">
        <v>190</v>
      </c>
      <c r="BU857" s="319" t="s">
        <v>190</v>
      </c>
      <c r="BV857" s="319" t="s">
        <v>190</v>
      </c>
      <c r="BW857" s="319" t="s">
        <v>190</v>
      </c>
      <c r="BX857" s="319" t="s">
        <v>190</v>
      </c>
      <c r="BY857" s="319" t="s">
        <v>190</v>
      </c>
      <c r="BZ857" s="319" t="s">
        <v>190</v>
      </c>
      <c r="CA857" s="319" t="s">
        <v>190</v>
      </c>
      <c r="CB857" s="319" t="s">
        <v>190</v>
      </c>
      <c r="CC857" s="319" t="s">
        <v>190</v>
      </c>
      <c r="CD857" s="319" t="s">
        <v>190</v>
      </c>
      <c r="CE857" s="319" t="s">
        <v>190</v>
      </c>
      <c r="CF857" s="319" t="s">
        <v>190</v>
      </c>
      <c r="CG857" s="319" t="s">
        <v>190</v>
      </c>
      <c r="CH857" s="319" t="s">
        <v>190</v>
      </c>
      <c r="CI857" s="319" t="s">
        <v>190</v>
      </c>
      <c r="CJ857" s="319" t="s">
        <v>190</v>
      </c>
      <c r="CK857" s="319" t="s">
        <v>190</v>
      </c>
      <c r="CL857" s="319" t="s">
        <v>190</v>
      </c>
      <c r="CM857" s="319" t="s">
        <v>190</v>
      </c>
      <c r="CN857" s="319" t="s">
        <v>428</v>
      </c>
      <c r="CO857" s="319" t="s">
        <v>428</v>
      </c>
      <c r="CP857" s="319" t="s">
        <v>428</v>
      </c>
      <c r="CQ857" s="319" t="s">
        <v>190</v>
      </c>
      <c r="CR857" s="319" t="s">
        <v>190</v>
      </c>
      <c r="CS857" s="319" t="s">
        <v>190</v>
      </c>
      <c r="CT857" s="319" t="s">
        <v>190</v>
      </c>
      <c r="CU857" s="319" t="s">
        <v>190</v>
      </c>
      <c r="CV857" s="319" t="s">
        <v>190</v>
      </c>
      <c r="CW857" s="319" t="s">
        <v>190</v>
      </c>
      <c r="CX857" s="319" t="s">
        <v>190</v>
      </c>
      <c r="CY857" s="319" t="s">
        <v>190</v>
      </c>
      <c r="CZ857" s="319" t="s">
        <v>190</v>
      </c>
      <c r="DA857" s="319" t="s">
        <v>190</v>
      </c>
      <c r="DB857" s="319" t="s">
        <v>190</v>
      </c>
      <c r="DC857" s="319" t="s">
        <v>190</v>
      </c>
      <c r="DD857" s="319" t="s">
        <v>190</v>
      </c>
      <c r="DE857" s="319" t="s">
        <v>190</v>
      </c>
      <c r="DF857" s="319" t="s">
        <v>190</v>
      </c>
      <c r="DG857" s="319" t="s">
        <v>190</v>
      </c>
      <c r="DH857" s="319" t="s">
        <v>190</v>
      </c>
      <c r="DI857" s="319" t="s">
        <v>190</v>
      </c>
      <c r="DJ857" s="319" t="s">
        <v>190</v>
      </c>
      <c r="DK857" s="319" t="s">
        <v>190</v>
      </c>
      <c r="DL857" s="319" t="s">
        <v>190</v>
      </c>
      <c r="DM857" s="319" t="s">
        <v>190</v>
      </c>
      <c r="DN857" s="319" t="s">
        <v>428</v>
      </c>
      <c r="DO857" s="319" t="s">
        <v>190</v>
      </c>
      <c r="DP857" s="319" t="s">
        <v>428</v>
      </c>
      <c r="DQ857" s="319" t="s">
        <v>428</v>
      </c>
      <c r="DR857" s="319" t="s">
        <v>428</v>
      </c>
      <c r="DS857" s="319" t="s">
        <v>428</v>
      </c>
      <c r="DT857" s="319" t="s">
        <v>428</v>
      </c>
      <c r="DU857" s="319" t="s">
        <v>428</v>
      </c>
      <c r="DV857" s="319" t="s">
        <v>173</v>
      </c>
      <c r="DW857" s="319" t="s">
        <v>428</v>
      </c>
      <c r="DX857" s="319" t="s">
        <v>428</v>
      </c>
      <c r="DY857" s="319" t="s">
        <v>428</v>
      </c>
      <c r="DZ857" s="319" t="s">
        <v>428</v>
      </c>
      <c r="EA857" s="319" t="s">
        <v>428</v>
      </c>
      <c r="EB857" s="319" t="s">
        <v>428</v>
      </c>
      <c r="EC857" s="319" t="s">
        <v>428</v>
      </c>
      <c r="ED857" s="319" t="s">
        <v>428</v>
      </c>
      <c r="EE857" s="319" t="s">
        <v>428</v>
      </c>
      <c r="EF857" s="319" t="s">
        <v>428</v>
      </c>
      <c r="EG857" s="319" t="s">
        <v>428</v>
      </c>
      <c r="EH857" s="319" t="s">
        <v>428</v>
      </c>
      <c r="EI857" s="319" t="s">
        <v>428</v>
      </c>
      <c r="EJ857" s="319" t="s">
        <v>428</v>
      </c>
      <c r="EK857" s="319" t="s">
        <v>428</v>
      </c>
      <c r="EL857" s="319" t="s">
        <v>428</v>
      </c>
      <c r="EM857" s="319" t="s">
        <v>428</v>
      </c>
      <c r="EN857" s="319" t="s">
        <v>190</v>
      </c>
      <c r="EO857" s="319" t="s">
        <v>190</v>
      </c>
      <c r="EP857" s="319" t="s">
        <v>190</v>
      </c>
      <c r="EQ857" s="319" t="s">
        <v>190</v>
      </c>
      <c r="ER857" s="319" t="s">
        <v>190</v>
      </c>
      <c r="ES857" s="319" t="s">
        <v>190</v>
      </c>
      <c r="ET857" s="319" t="s">
        <v>190</v>
      </c>
      <c r="EU857" s="319" t="s">
        <v>190</v>
      </c>
      <c r="EV857" s="319" t="s">
        <v>190</v>
      </c>
      <c r="EW857" s="319" t="s">
        <v>190</v>
      </c>
      <c r="EX857" s="319" t="s">
        <v>190</v>
      </c>
      <c r="EY857" s="319" t="s">
        <v>190</v>
      </c>
      <c r="EZ857" s="319" t="s">
        <v>190</v>
      </c>
      <c r="FA857" s="319" t="s">
        <v>190</v>
      </c>
      <c r="FB857" s="319" t="s">
        <v>428</v>
      </c>
      <c r="FC857" s="319" t="s">
        <v>428</v>
      </c>
      <c r="FD857" s="319" t="s">
        <v>428</v>
      </c>
      <c r="FE857" s="319" t="s">
        <v>428</v>
      </c>
      <c r="FF857" s="319" t="s">
        <v>428</v>
      </c>
      <c r="FG857" s="319" t="s">
        <v>428</v>
      </c>
      <c r="FH857" s="319" t="s">
        <v>428</v>
      </c>
      <c r="FI857" s="319" t="s">
        <v>428</v>
      </c>
      <c r="FJ857" s="319" t="s">
        <v>429</v>
      </c>
      <c r="FK857" s="319" t="s">
        <v>428</v>
      </c>
      <c r="FL857" s="319" t="s">
        <v>190</v>
      </c>
      <c r="FM857" s="319" t="s">
        <v>190</v>
      </c>
      <c r="FN857" s="319" t="s">
        <v>190</v>
      </c>
      <c r="FO857" s="319" t="s">
        <v>190</v>
      </c>
      <c r="FP857" s="319" t="s">
        <v>190</v>
      </c>
      <c r="FQ857" s="319" t="s">
        <v>190</v>
      </c>
      <c r="FR857" s="319" t="s">
        <v>190</v>
      </c>
      <c r="FS857" s="319" t="s">
        <v>190</v>
      </c>
      <c r="FT857" s="319" t="s">
        <v>190</v>
      </c>
      <c r="FU857" s="319" t="s">
        <v>190</v>
      </c>
      <c r="FV857" s="319" t="s">
        <v>190</v>
      </c>
      <c r="FW857" s="319" t="s">
        <v>190</v>
      </c>
      <c r="FX857" s="319" t="s">
        <v>190</v>
      </c>
      <c r="FY857" s="319" t="s">
        <v>190</v>
      </c>
      <c r="FZ857" s="319" t="s">
        <v>190</v>
      </c>
      <c r="GA857" s="319" t="s">
        <v>190</v>
      </c>
      <c r="GB857" s="319" t="s">
        <v>190</v>
      </c>
      <c r="GC857" s="319" t="s">
        <v>190</v>
      </c>
      <c r="GD857" s="319" t="s">
        <v>190</v>
      </c>
      <c r="GE857" s="319" t="s">
        <v>190</v>
      </c>
      <c r="GF857" s="319" t="s">
        <v>190</v>
      </c>
      <c r="GG857" s="319" t="s">
        <v>190</v>
      </c>
      <c r="GH857" s="319" t="s">
        <v>190</v>
      </c>
      <c r="GI857" s="319" t="s">
        <v>190</v>
      </c>
      <c r="GJ857" s="319" t="s">
        <v>190</v>
      </c>
      <c r="GK857" s="319" t="s">
        <v>428</v>
      </c>
      <c r="GL857" s="319" t="s">
        <v>190</v>
      </c>
      <c r="GM857" s="319" t="s">
        <v>190</v>
      </c>
      <c r="GN857" s="319" t="s">
        <v>190</v>
      </c>
      <c r="GO857" s="319" t="s">
        <v>190</v>
      </c>
      <c r="GP857" s="319" t="s">
        <v>190</v>
      </c>
      <c r="GQ857" s="319" t="s">
        <v>428</v>
      </c>
      <c r="GR857" s="319" t="s">
        <v>190</v>
      </c>
      <c r="GS857" s="319" t="s">
        <v>190</v>
      </c>
      <c r="GT857" s="319" t="s">
        <v>190</v>
      </c>
      <c r="GU857" s="319" t="s">
        <v>190</v>
      </c>
      <c r="GV857" s="319" t="s">
        <v>190</v>
      </c>
      <c r="GW857" s="319" t="s">
        <v>190</v>
      </c>
      <c r="GX857" s="319" t="s">
        <v>190</v>
      </c>
      <c r="GY857" s="319" t="s">
        <v>190</v>
      </c>
      <c r="GZ857" s="319" t="s">
        <v>190</v>
      </c>
      <c r="HA857" s="319" t="s">
        <v>428</v>
      </c>
      <c r="HB857" s="319" t="s">
        <v>190</v>
      </c>
      <c r="HC857" s="319" t="s">
        <v>190</v>
      </c>
      <c r="HD857" s="319" t="s">
        <v>190</v>
      </c>
      <c r="HE857" s="319" t="s">
        <v>190</v>
      </c>
      <c r="HF857" s="319" t="s">
        <v>190</v>
      </c>
      <c r="HG857" s="319" t="s">
        <v>190</v>
      </c>
      <c r="HH857" s="319" t="s">
        <v>190</v>
      </c>
      <c r="HI857" s="319" t="s">
        <v>190</v>
      </c>
      <c r="HJ857" s="319" t="s">
        <v>190</v>
      </c>
      <c r="HK857" s="319" t="s">
        <v>190</v>
      </c>
      <c r="HL857" s="319" t="s">
        <v>190</v>
      </c>
      <c r="HM857" s="319" t="s">
        <v>190</v>
      </c>
      <c r="HN857" s="319" t="s">
        <v>190</v>
      </c>
      <c r="HO857" s="319" t="s">
        <v>190</v>
      </c>
      <c r="HP857" s="319" t="s">
        <v>190</v>
      </c>
      <c r="HQ857" s="319" t="s">
        <v>190</v>
      </c>
      <c r="HR857" s="319" t="s">
        <v>190</v>
      </c>
      <c r="HS857" s="319" t="s">
        <v>190</v>
      </c>
      <c r="HT857" s="319" t="s">
        <v>190</v>
      </c>
      <c r="HU857" s="319" t="s">
        <v>190</v>
      </c>
      <c r="HV857" s="319" t="s">
        <v>190</v>
      </c>
      <c r="HW857" s="319" t="s">
        <v>190</v>
      </c>
      <c r="HX857" s="319" t="s">
        <v>190</v>
      </c>
      <c r="HY857" s="319" t="s">
        <v>190</v>
      </c>
      <c r="HZ857" s="319" t="s">
        <v>190</v>
      </c>
      <c r="IA857" s="319" t="s">
        <v>190</v>
      </c>
      <c r="IB857" s="319" t="s">
        <v>190</v>
      </c>
      <c r="IC857" s="319" t="s">
        <v>190</v>
      </c>
      <c r="ID857" s="319" t="s">
        <v>190</v>
      </c>
      <c r="IE857" s="319" t="s">
        <v>190</v>
      </c>
      <c r="IF857" s="319" t="s">
        <v>190</v>
      </c>
      <c r="IG857" s="319" t="s">
        <v>190</v>
      </c>
      <c r="IH857" s="319" t="s">
        <v>190</v>
      </c>
      <c r="II857" s="319" t="s">
        <v>190</v>
      </c>
      <c r="IJ857" s="319" t="s">
        <v>173</v>
      </c>
      <c r="IK857" s="319" t="s">
        <v>173</v>
      </c>
      <c r="IL857" s="319" t="s">
        <v>173</v>
      </c>
      <c r="IM857" s="319" t="s">
        <v>173</v>
      </c>
      <c r="IN857" s="319" t="s">
        <v>173</v>
      </c>
      <c r="IO857" s="319" t="s">
        <v>173</v>
      </c>
      <c r="IP857" s="319" t="s">
        <v>173</v>
      </c>
      <c r="IQ857" s="319" t="s">
        <v>173</v>
      </c>
      <c r="IR857" s="320" t="s">
        <v>173</v>
      </c>
      <c r="IS857" s="320" t="s">
        <v>173</v>
      </c>
      <c r="IT857" s="319" t="s">
        <v>173</v>
      </c>
    </row>
    <row r="858" spans="1:254" s="271" customFormat="1" x14ac:dyDescent="0.25">
      <c r="A858" s="318" t="str">
        <f>HYPERLINK("http://www.ofsted.gov.uk/inspection-reports/find-inspection-report/provider/ELS/142911 ","Ofsted School Webpage")</f>
        <v>Ofsted School Webpage</v>
      </c>
      <c r="B858" s="319">
        <v>142911</v>
      </c>
      <c r="C858" s="319">
        <v>8156034</v>
      </c>
      <c r="D858" s="319" t="s">
        <v>2370</v>
      </c>
      <c r="E858" s="319" t="s">
        <v>168</v>
      </c>
      <c r="F858" s="319" t="s">
        <v>81</v>
      </c>
      <c r="G858" s="319" t="s">
        <v>81</v>
      </c>
      <c r="H858" s="319" t="s">
        <v>81</v>
      </c>
      <c r="I858" s="319" t="s">
        <v>78</v>
      </c>
      <c r="J858" s="319" t="s">
        <v>424</v>
      </c>
      <c r="K858" s="319" t="s">
        <v>458</v>
      </c>
      <c r="L858" s="319" t="s">
        <v>459</v>
      </c>
      <c r="M858" s="319" t="s">
        <v>754</v>
      </c>
      <c r="N858" s="319" t="s">
        <v>2916</v>
      </c>
      <c r="O858" s="319" t="s">
        <v>2371</v>
      </c>
      <c r="P858" s="319">
        <v>29</v>
      </c>
      <c r="Q858" s="319" t="s">
        <v>429</v>
      </c>
      <c r="R858" s="320">
        <v>10033927</v>
      </c>
      <c r="S858" s="321">
        <v>42912</v>
      </c>
      <c r="T858" s="321">
        <v>42914</v>
      </c>
      <c r="U858" s="321">
        <v>42985</v>
      </c>
      <c r="V858" s="319" t="s">
        <v>435</v>
      </c>
      <c r="W858" s="319" t="s">
        <v>2767</v>
      </c>
      <c r="X858" s="319">
        <v>2</v>
      </c>
      <c r="Y858" s="319" t="s">
        <v>173</v>
      </c>
      <c r="Z858" s="319" t="s">
        <v>173</v>
      </c>
      <c r="AA858" s="319" t="s">
        <v>173</v>
      </c>
      <c r="AB858" s="319">
        <v>2</v>
      </c>
      <c r="AC858" s="319" t="s">
        <v>169</v>
      </c>
      <c r="AD858" s="319" t="s">
        <v>173</v>
      </c>
      <c r="AE858" s="319" t="s">
        <v>173</v>
      </c>
      <c r="AF858" s="319" t="s">
        <v>173</v>
      </c>
      <c r="AG858" s="319" t="s">
        <v>171</v>
      </c>
      <c r="AH858" s="319" t="s">
        <v>190</v>
      </c>
      <c r="AI858" s="319" t="s">
        <v>190</v>
      </c>
      <c r="AJ858" s="319" t="s">
        <v>190</v>
      </c>
      <c r="AK858" s="319" t="s">
        <v>190</v>
      </c>
      <c r="AL858" s="319" t="s">
        <v>190</v>
      </c>
      <c r="AM858" s="319" t="s">
        <v>190</v>
      </c>
      <c r="AN858" s="319" t="s">
        <v>190</v>
      </c>
      <c r="AO858" s="319" t="s">
        <v>190</v>
      </c>
      <c r="AP858" s="319" t="s">
        <v>190</v>
      </c>
      <c r="AQ858" s="319" t="s">
        <v>190</v>
      </c>
      <c r="AR858" s="319" t="s">
        <v>190</v>
      </c>
      <c r="AS858" s="319" t="s">
        <v>190</v>
      </c>
      <c r="AT858" s="319" t="s">
        <v>190</v>
      </c>
      <c r="AU858" s="319" t="s">
        <v>190</v>
      </c>
      <c r="AV858" s="319" t="s">
        <v>190</v>
      </c>
      <c r="AW858" s="319" t="s">
        <v>190</v>
      </c>
      <c r="AX858" s="319" t="s">
        <v>190</v>
      </c>
      <c r="AY858" s="319" t="s">
        <v>190</v>
      </c>
      <c r="AZ858" s="319" t="s">
        <v>190</v>
      </c>
      <c r="BA858" s="319" t="s">
        <v>190</v>
      </c>
      <c r="BB858" s="319" t="s">
        <v>190</v>
      </c>
      <c r="BC858" s="319" t="s">
        <v>190</v>
      </c>
      <c r="BD858" s="319" t="s">
        <v>190</v>
      </c>
      <c r="BE858" s="319" t="s">
        <v>190</v>
      </c>
      <c r="BF858" s="319" t="s">
        <v>429</v>
      </c>
      <c r="BG858" s="319" t="s">
        <v>190</v>
      </c>
      <c r="BH858" s="319" t="s">
        <v>190</v>
      </c>
      <c r="BI858" s="319" t="s">
        <v>190</v>
      </c>
      <c r="BJ858" s="319" t="s">
        <v>190</v>
      </c>
      <c r="BK858" s="319" t="s">
        <v>190</v>
      </c>
      <c r="BL858" s="319" t="s">
        <v>190</v>
      </c>
      <c r="BM858" s="319" t="s">
        <v>190</v>
      </c>
      <c r="BN858" s="319" t="s">
        <v>190</v>
      </c>
      <c r="BO858" s="319" t="s">
        <v>190</v>
      </c>
      <c r="BP858" s="319" t="s">
        <v>190</v>
      </c>
      <c r="BQ858" s="319" t="s">
        <v>190</v>
      </c>
      <c r="BR858" s="319" t="s">
        <v>190</v>
      </c>
      <c r="BS858" s="319" t="s">
        <v>190</v>
      </c>
      <c r="BT858" s="319" t="s">
        <v>190</v>
      </c>
      <c r="BU858" s="319" t="s">
        <v>190</v>
      </c>
      <c r="BV858" s="319" t="s">
        <v>190</v>
      </c>
      <c r="BW858" s="319" t="s">
        <v>190</v>
      </c>
      <c r="BX858" s="319" t="s">
        <v>190</v>
      </c>
      <c r="BY858" s="319" t="s">
        <v>190</v>
      </c>
      <c r="BZ858" s="319" t="s">
        <v>190</v>
      </c>
      <c r="CA858" s="319" t="s">
        <v>190</v>
      </c>
      <c r="CB858" s="319" t="s">
        <v>190</v>
      </c>
      <c r="CC858" s="319" t="s">
        <v>190</v>
      </c>
      <c r="CD858" s="319" t="s">
        <v>190</v>
      </c>
      <c r="CE858" s="319" t="s">
        <v>190</v>
      </c>
      <c r="CF858" s="319" t="s">
        <v>190</v>
      </c>
      <c r="CG858" s="319" t="s">
        <v>190</v>
      </c>
      <c r="CH858" s="319" t="s">
        <v>190</v>
      </c>
      <c r="CI858" s="319" t="s">
        <v>190</v>
      </c>
      <c r="CJ858" s="319" t="s">
        <v>190</v>
      </c>
      <c r="CK858" s="319" t="s">
        <v>190</v>
      </c>
      <c r="CL858" s="319" t="s">
        <v>190</v>
      </c>
      <c r="CM858" s="319" t="s">
        <v>190</v>
      </c>
      <c r="CN858" s="319" t="s">
        <v>190</v>
      </c>
      <c r="CO858" s="319" t="s">
        <v>429</v>
      </c>
      <c r="CP858" s="319" t="s">
        <v>429</v>
      </c>
      <c r="CQ858" s="319" t="s">
        <v>190</v>
      </c>
      <c r="CR858" s="319" t="s">
        <v>190</v>
      </c>
      <c r="CS858" s="319" t="s">
        <v>190</v>
      </c>
      <c r="CT858" s="319" t="s">
        <v>190</v>
      </c>
      <c r="CU858" s="319" t="s">
        <v>190</v>
      </c>
      <c r="CV858" s="319" t="s">
        <v>190</v>
      </c>
      <c r="CW858" s="319" t="s">
        <v>190</v>
      </c>
      <c r="CX858" s="319" t="s">
        <v>190</v>
      </c>
      <c r="CY858" s="319" t="s">
        <v>190</v>
      </c>
      <c r="CZ858" s="319" t="s">
        <v>190</v>
      </c>
      <c r="DA858" s="319" t="s">
        <v>190</v>
      </c>
      <c r="DB858" s="319" t="s">
        <v>190</v>
      </c>
      <c r="DC858" s="319" t="s">
        <v>190</v>
      </c>
      <c r="DD858" s="319" t="s">
        <v>190</v>
      </c>
      <c r="DE858" s="319" t="s">
        <v>190</v>
      </c>
      <c r="DF858" s="319" t="s">
        <v>190</v>
      </c>
      <c r="DG858" s="319" t="s">
        <v>190</v>
      </c>
      <c r="DH858" s="319" t="s">
        <v>190</v>
      </c>
      <c r="DI858" s="319" t="s">
        <v>190</v>
      </c>
      <c r="DJ858" s="319" t="s">
        <v>190</v>
      </c>
      <c r="DK858" s="319" t="s">
        <v>190</v>
      </c>
      <c r="DL858" s="319" t="s">
        <v>190</v>
      </c>
      <c r="DM858" s="319" t="s">
        <v>190</v>
      </c>
      <c r="DN858" s="319" t="s">
        <v>190</v>
      </c>
      <c r="DO858" s="319" t="s">
        <v>190</v>
      </c>
      <c r="DP858" s="319" t="s">
        <v>190</v>
      </c>
      <c r="DQ858" s="319" t="s">
        <v>190</v>
      </c>
      <c r="DR858" s="319" t="s">
        <v>190</v>
      </c>
      <c r="DS858" s="319" t="s">
        <v>190</v>
      </c>
      <c r="DT858" s="319" t="s">
        <v>190</v>
      </c>
      <c r="DU858" s="319" t="s">
        <v>190</v>
      </c>
      <c r="DV858" s="319" t="s">
        <v>173</v>
      </c>
      <c r="DW858" s="319" t="s">
        <v>190</v>
      </c>
      <c r="DX858" s="319" t="s">
        <v>190</v>
      </c>
      <c r="DY858" s="319" t="s">
        <v>190</v>
      </c>
      <c r="DZ858" s="319" t="s">
        <v>190</v>
      </c>
      <c r="EA858" s="319" t="s">
        <v>190</v>
      </c>
      <c r="EB858" s="319" t="s">
        <v>190</v>
      </c>
      <c r="EC858" s="319" t="s">
        <v>190</v>
      </c>
      <c r="ED858" s="319" t="s">
        <v>190</v>
      </c>
      <c r="EE858" s="319" t="s">
        <v>190</v>
      </c>
      <c r="EF858" s="319" t="s">
        <v>190</v>
      </c>
      <c r="EG858" s="319" t="s">
        <v>190</v>
      </c>
      <c r="EH858" s="319" t="s">
        <v>190</v>
      </c>
      <c r="EI858" s="319" t="s">
        <v>190</v>
      </c>
      <c r="EJ858" s="319" t="s">
        <v>190</v>
      </c>
      <c r="EK858" s="319" t="s">
        <v>190</v>
      </c>
      <c r="EL858" s="319" t="s">
        <v>190</v>
      </c>
      <c r="EM858" s="319" t="s">
        <v>190</v>
      </c>
      <c r="EN858" s="319" t="s">
        <v>190</v>
      </c>
      <c r="EO858" s="319" t="s">
        <v>190</v>
      </c>
      <c r="EP858" s="319" t="s">
        <v>190</v>
      </c>
      <c r="EQ858" s="319" t="s">
        <v>190</v>
      </c>
      <c r="ER858" s="319" t="s">
        <v>190</v>
      </c>
      <c r="ES858" s="319" t="s">
        <v>190</v>
      </c>
      <c r="ET858" s="319" t="s">
        <v>190</v>
      </c>
      <c r="EU858" s="319" t="s">
        <v>190</v>
      </c>
      <c r="EV858" s="319" t="s">
        <v>190</v>
      </c>
      <c r="EW858" s="319" t="s">
        <v>190</v>
      </c>
      <c r="EX858" s="319" t="s">
        <v>190</v>
      </c>
      <c r="EY858" s="319" t="s">
        <v>190</v>
      </c>
      <c r="EZ858" s="319" t="s">
        <v>190</v>
      </c>
      <c r="FA858" s="319" t="s">
        <v>190</v>
      </c>
      <c r="FB858" s="319" t="s">
        <v>190</v>
      </c>
      <c r="FC858" s="319" t="s">
        <v>190</v>
      </c>
      <c r="FD858" s="319" t="s">
        <v>190</v>
      </c>
      <c r="FE858" s="319" t="s">
        <v>190</v>
      </c>
      <c r="FF858" s="319" t="s">
        <v>190</v>
      </c>
      <c r="FG858" s="319" t="s">
        <v>190</v>
      </c>
      <c r="FH858" s="319" t="s">
        <v>190</v>
      </c>
      <c r="FI858" s="319" t="s">
        <v>190</v>
      </c>
      <c r="FJ858" s="319" t="s">
        <v>190</v>
      </c>
      <c r="FK858" s="319" t="s">
        <v>190</v>
      </c>
      <c r="FL858" s="319" t="s">
        <v>190</v>
      </c>
      <c r="FM858" s="319" t="s">
        <v>190</v>
      </c>
      <c r="FN858" s="319" t="s">
        <v>190</v>
      </c>
      <c r="FO858" s="319" t="s">
        <v>190</v>
      </c>
      <c r="FP858" s="319" t="s">
        <v>190</v>
      </c>
      <c r="FQ858" s="319" t="s">
        <v>190</v>
      </c>
      <c r="FR858" s="319" t="s">
        <v>190</v>
      </c>
      <c r="FS858" s="319" t="s">
        <v>429</v>
      </c>
      <c r="FT858" s="319" t="s">
        <v>190</v>
      </c>
      <c r="FU858" s="319" t="s">
        <v>190</v>
      </c>
      <c r="FV858" s="319" t="s">
        <v>190</v>
      </c>
      <c r="FW858" s="319" t="s">
        <v>190</v>
      </c>
      <c r="FX858" s="319" t="s">
        <v>190</v>
      </c>
      <c r="FY858" s="319" t="s">
        <v>190</v>
      </c>
      <c r="FZ858" s="319" t="s">
        <v>190</v>
      </c>
      <c r="GA858" s="319" t="s">
        <v>190</v>
      </c>
      <c r="GB858" s="319" t="s">
        <v>190</v>
      </c>
      <c r="GC858" s="319" t="s">
        <v>190</v>
      </c>
      <c r="GD858" s="319" t="s">
        <v>190</v>
      </c>
      <c r="GE858" s="319" t="s">
        <v>190</v>
      </c>
      <c r="GF858" s="319" t="s">
        <v>190</v>
      </c>
      <c r="GG858" s="319" t="s">
        <v>190</v>
      </c>
      <c r="GH858" s="319" t="s">
        <v>190</v>
      </c>
      <c r="GI858" s="319" t="s">
        <v>190</v>
      </c>
      <c r="GJ858" s="319" t="s">
        <v>190</v>
      </c>
      <c r="GK858" s="319" t="s">
        <v>429</v>
      </c>
      <c r="GL858" s="319" t="s">
        <v>190</v>
      </c>
      <c r="GM858" s="319" t="s">
        <v>190</v>
      </c>
      <c r="GN858" s="319" t="s">
        <v>190</v>
      </c>
      <c r="GO858" s="319" t="s">
        <v>190</v>
      </c>
      <c r="GP858" s="319" t="s">
        <v>190</v>
      </c>
      <c r="GQ858" s="319" t="s">
        <v>190</v>
      </c>
      <c r="GR858" s="319" t="s">
        <v>190</v>
      </c>
      <c r="GS858" s="319" t="s">
        <v>190</v>
      </c>
      <c r="GT858" s="319" t="s">
        <v>190</v>
      </c>
      <c r="GU858" s="319" t="s">
        <v>190</v>
      </c>
      <c r="GV858" s="319" t="s">
        <v>190</v>
      </c>
      <c r="GW858" s="319" t="s">
        <v>190</v>
      </c>
      <c r="GX858" s="319" t="s">
        <v>190</v>
      </c>
      <c r="GY858" s="319" t="s">
        <v>190</v>
      </c>
      <c r="GZ858" s="319" t="s">
        <v>190</v>
      </c>
      <c r="HA858" s="319" t="s">
        <v>190</v>
      </c>
      <c r="HB858" s="319" t="s">
        <v>190</v>
      </c>
      <c r="HC858" s="319" t="s">
        <v>190</v>
      </c>
      <c r="HD858" s="319" t="s">
        <v>190</v>
      </c>
      <c r="HE858" s="319" t="s">
        <v>190</v>
      </c>
      <c r="HF858" s="319" t="s">
        <v>190</v>
      </c>
      <c r="HG858" s="319" t="s">
        <v>190</v>
      </c>
      <c r="HH858" s="319" t="s">
        <v>190</v>
      </c>
      <c r="HI858" s="319" t="s">
        <v>190</v>
      </c>
      <c r="HJ858" s="319" t="s">
        <v>190</v>
      </c>
      <c r="HK858" s="319" t="s">
        <v>190</v>
      </c>
      <c r="HL858" s="319" t="s">
        <v>190</v>
      </c>
      <c r="HM858" s="319" t="s">
        <v>190</v>
      </c>
      <c r="HN858" s="319" t="s">
        <v>190</v>
      </c>
      <c r="HO858" s="319" t="s">
        <v>190</v>
      </c>
      <c r="HP858" s="319" t="s">
        <v>190</v>
      </c>
      <c r="HQ858" s="319" t="s">
        <v>190</v>
      </c>
      <c r="HR858" s="319" t="s">
        <v>190</v>
      </c>
      <c r="HS858" s="319" t="s">
        <v>190</v>
      </c>
      <c r="HT858" s="319" t="s">
        <v>190</v>
      </c>
      <c r="HU858" s="319" t="s">
        <v>190</v>
      </c>
      <c r="HV858" s="319" t="s">
        <v>190</v>
      </c>
      <c r="HW858" s="319" t="s">
        <v>190</v>
      </c>
      <c r="HX858" s="319" t="s">
        <v>190</v>
      </c>
      <c r="HY858" s="319" t="s">
        <v>190</v>
      </c>
      <c r="HZ858" s="319" t="s">
        <v>190</v>
      </c>
      <c r="IA858" s="319" t="s">
        <v>190</v>
      </c>
      <c r="IB858" s="319" t="s">
        <v>190</v>
      </c>
      <c r="IC858" s="319" t="s">
        <v>190</v>
      </c>
      <c r="ID858" s="319" t="s">
        <v>190</v>
      </c>
      <c r="IE858" s="319" t="s">
        <v>190</v>
      </c>
      <c r="IF858" s="319" t="s">
        <v>190</v>
      </c>
      <c r="IG858" s="319" t="s">
        <v>190</v>
      </c>
      <c r="IH858" s="319" t="s">
        <v>190</v>
      </c>
      <c r="II858" s="319" t="s">
        <v>190</v>
      </c>
      <c r="IJ858" s="319" t="s">
        <v>173</v>
      </c>
      <c r="IK858" s="319" t="s">
        <v>173</v>
      </c>
      <c r="IL858" s="319" t="s">
        <v>173</v>
      </c>
      <c r="IM858" s="319" t="s">
        <v>173</v>
      </c>
      <c r="IN858" s="319" t="s">
        <v>173</v>
      </c>
      <c r="IO858" s="319" t="s">
        <v>173</v>
      </c>
      <c r="IP858" s="319" t="s">
        <v>173</v>
      </c>
      <c r="IQ858" s="321" t="s">
        <v>173</v>
      </c>
      <c r="IR858" s="320" t="s">
        <v>173</v>
      </c>
      <c r="IS858" s="322" t="s">
        <v>173</v>
      </c>
      <c r="IT858" s="319" t="s">
        <v>173</v>
      </c>
    </row>
    <row r="859" spans="1:254" s="271" customFormat="1" x14ac:dyDescent="0.25">
      <c r="A859" s="318" t="str">
        <f>HYPERLINK("http://www.ofsted.gov.uk/inspection-reports/find-inspection-report/provider/ELS/142912 ","Ofsted School Webpage")</f>
        <v>Ofsted School Webpage</v>
      </c>
      <c r="B859" s="319">
        <v>142912</v>
      </c>
      <c r="C859" s="319">
        <v>3736006</v>
      </c>
      <c r="D859" s="319" t="s">
        <v>2372</v>
      </c>
      <c r="E859" s="319" t="s">
        <v>168</v>
      </c>
      <c r="F859" s="319" t="s">
        <v>81</v>
      </c>
      <c r="G859" s="319" t="s">
        <v>81</v>
      </c>
      <c r="H859" s="319" t="s">
        <v>81</v>
      </c>
      <c r="I859" s="319" t="s">
        <v>78</v>
      </c>
      <c r="J859" s="319" t="s">
        <v>424</v>
      </c>
      <c r="K859" s="319" t="s">
        <v>458</v>
      </c>
      <c r="L859" s="319" t="s">
        <v>459</v>
      </c>
      <c r="M859" s="319" t="s">
        <v>486</v>
      </c>
      <c r="N859" s="319" t="s">
        <v>3538</v>
      </c>
      <c r="O859" s="319" t="s">
        <v>2373</v>
      </c>
      <c r="P859" s="319">
        <v>12</v>
      </c>
      <c r="Q859" s="319" t="s">
        <v>429</v>
      </c>
      <c r="R859" s="320">
        <v>10033928</v>
      </c>
      <c r="S859" s="321">
        <v>42920</v>
      </c>
      <c r="T859" s="321">
        <v>42922</v>
      </c>
      <c r="U859" s="321">
        <v>43000</v>
      </c>
      <c r="V859" s="319" t="s">
        <v>435</v>
      </c>
      <c r="W859" s="319" t="s">
        <v>2767</v>
      </c>
      <c r="X859" s="319">
        <v>2</v>
      </c>
      <c r="Y859" s="319" t="s">
        <v>173</v>
      </c>
      <c r="Z859" s="319" t="s">
        <v>173</v>
      </c>
      <c r="AA859" s="319" t="s">
        <v>173</v>
      </c>
      <c r="AB859" s="319">
        <v>2</v>
      </c>
      <c r="AC859" s="319" t="s">
        <v>169</v>
      </c>
      <c r="AD859" s="319" t="s">
        <v>173</v>
      </c>
      <c r="AE859" s="319" t="s">
        <v>173</v>
      </c>
      <c r="AF859" s="319" t="s">
        <v>173</v>
      </c>
      <c r="AG859" s="319" t="s">
        <v>171</v>
      </c>
      <c r="AH859" s="319" t="s">
        <v>190</v>
      </c>
      <c r="AI859" s="319" t="s">
        <v>190</v>
      </c>
      <c r="AJ859" s="319" t="s">
        <v>190</v>
      </c>
      <c r="AK859" s="319" t="s">
        <v>190</v>
      </c>
      <c r="AL859" s="319" t="s">
        <v>190</v>
      </c>
      <c r="AM859" s="319" t="s">
        <v>190</v>
      </c>
      <c r="AN859" s="319" t="s">
        <v>190</v>
      </c>
      <c r="AO859" s="319" t="s">
        <v>190</v>
      </c>
      <c r="AP859" s="319" t="s">
        <v>190</v>
      </c>
      <c r="AQ859" s="319" t="s">
        <v>190</v>
      </c>
      <c r="AR859" s="319" t="s">
        <v>190</v>
      </c>
      <c r="AS859" s="319" t="s">
        <v>190</v>
      </c>
      <c r="AT859" s="319" t="s">
        <v>190</v>
      </c>
      <c r="AU859" s="319" t="s">
        <v>190</v>
      </c>
      <c r="AV859" s="319" t="s">
        <v>190</v>
      </c>
      <c r="AW859" s="319" t="s">
        <v>190</v>
      </c>
      <c r="AX859" s="319" t="s">
        <v>429</v>
      </c>
      <c r="AY859" s="319" t="s">
        <v>190</v>
      </c>
      <c r="AZ859" s="319" t="s">
        <v>190</v>
      </c>
      <c r="BA859" s="319" t="s">
        <v>190</v>
      </c>
      <c r="BB859" s="319" t="s">
        <v>190</v>
      </c>
      <c r="BC859" s="319" t="s">
        <v>190</v>
      </c>
      <c r="BD859" s="319" t="s">
        <v>190</v>
      </c>
      <c r="BE859" s="319" t="s">
        <v>190</v>
      </c>
      <c r="BF859" s="319" t="s">
        <v>429</v>
      </c>
      <c r="BG859" s="319" t="s">
        <v>190</v>
      </c>
      <c r="BH859" s="319" t="s">
        <v>190</v>
      </c>
      <c r="BI859" s="319" t="s">
        <v>190</v>
      </c>
      <c r="BJ859" s="319" t="s">
        <v>190</v>
      </c>
      <c r="BK859" s="319" t="s">
        <v>190</v>
      </c>
      <c r="BL859" s="319" t="s">
        <v>190</v>
      </c>
      <c r="BM859" s="319" t="s">
        <v>190</v>
      </c>
      <c r="BN859" s="319" t="s">
        <v>190</v>
      </c>
      <c r="BO859" s="319" t="s">
        <v>190</v>
      </c>
      <c r="BP859" s="319" t="s">
        <v>190</v>
      </c>
      <c r="BQ859" s="319" t="s">
        <v>190</v>
      </c>
      <c r="BR859" s="319" t="s">
        <v>190</v>
      </c>
      <c r="BS859" s="319" t="s">
        <v>190</v>
      </c>
      <c r="BT859" s="319" t="s">
        <v>190</v>
      </c>
      <c r="BU859" s="319" t="s">
        <v>190</v>
      </c>
      <c r="BV859" s="319" t="s">
        <v>190</v>
      </c>
      <c r="BW859" s="319" t="s">
        <v>190</v>
      </c>
      <c r="BX859" s="319" t="s">
        <v>190</v>
      </c>
      <c r="BY859" s="319" t="s">
        <v>190</v>
      </c>
      <c r="BZ859" s="319" t="s">
        <v>190</v>
      </c>
      <c r="CA859" s="319" t="s">
        <v>190</v>
      </c>
      <c r="CB859" s="319" t="s">
        <v>190</v>
      </c>
      <c r="CC859" s="319" t="s">
        <v>190</v>
      </c>
      <c r="CD859" s="319" t="s">
        <v>190</v>
      </c>
      <c r="CE859" s="319" t="s">
        <v>190</v>
      </c>
      <c r="CF859" s="319" t="s">
        <v>190</v>
      </c>
      <c r="CG859" s="319" t="s">
        <v>190</v>
      </c>
      <c r="CH859" s="319" t="s">
        <v>190</v>
      </c>
      <c r="CI859" s="319" t="s">
        <v>190</v>
      </c>
      <c r="CJ859" s="319" t="s">
        <v>190</v>
      </c>
      <c r="CK859" s="319" t="s">
        <v>190</v>
      </c>
      <c r="CL859" s="319" t="s">
        <v>190</v>
      </c>
      <c r="CM859" s="319" t="s">
        <v>190</v>
      </c>
      <c r="CN859" s="319" t="s">
        <v>190</v>
      </c>
      <c r="CO859" s="319" t="s">
        <v>429</v>
      </c>
      <c r="CP859" s="319" t="s">
        <v>429</v>
      </c>
      <c r="CQ859" s="319" t="s">
        <v>190</v>
      </c>
      <c r="CR859" s="319" t="s">
        <v>190</v>
      </c>
      <c r="CS859" s="319" t="s">
        <v>190</v>
      </c>
      <c r="CT859" s="319" t="s">
        <v>190</v>
      </c>
      <c r="CU859" s="319" t="s">
        <v>190</v>
      </c>
      <c r="CV859" s="319" t="s">
        <v>190</v>
      </c>
      <c r="CW859" s="319" t="s">
        <v>190</v>
      </c>
      <c r="CX859" s="319" t="s">
        <v>190</v>
      </c>
      <c r="CY859" s="319" t="s">
        <v>190</v>
      </c>
      <c r="CZ859" s="319" t="s">
        <v>190</v>
      </c>
      <c r="DA859" s="319" t="s">
        <v>190</v>
      </c>
      <c r="DB859" s="319" t="s">
        <v>190</v>
      </c>
      <c r="DC859" s="319" t="s">
        <v>190</v>
      </c>
      <c r="DD859" s="319" t="s">
        <v>190</v>
      </c>
      <c r="DE859" s="319" t="s">
        <v>190</v>
      </c>
      <c r="DF859" s="319" t="s">
        <v>190</v>
      </c>
      <c r="DG859" s="319" t="s">
        <v>190</v>
      </c>
      <c r="DH859" s="319" t="s">
        <v>190</v>
      </c>
      <c r="DI859" s="319" t="s">
        <v>190</v>
      </c>
      <c r="DJ859" s="319" t="s">
        <v>190</v>
      </c>
      <c r="DK859" s="319" t="s">
        <v>190</v>
      </c>
      <c r="DL859" s="319" t="s">
        <v>190</v>
      </c>
      <c r="DM859" s="319" t="s">
        <v>190</v>
      </c>
      <c r="DN859" s="319" t="s">
        <v>190</v>
      </c>
      <c r="DO859" s="319" t="s">
        <v>190</v>
      </c>
      <c r="DP859" s="319" t="s">
        <v>190</v>
      </c>
      <c r="DQ859" s="319" t="s">
        <v>190</v>
      </c>
      <c r="DR859" s="319" t="s">
        <v>190</v>
      </c>
      <c r="DS859" s="319" t="s">
        <v>190</v>
      </c>
      <c r="DT859" s="319" t="s">
        <v>190</v>
      </c>
      <c r="DU859" s="319" t="s">
        <v>190</v>
      </c>
      <c r="DV859" s="319" t="s">
        <v>173</v>
      </c>
      <c r="DW859" s="319" t="s">
        <v>190</v>
      </c>
      <c r="DX859" s="319" t="s">
        <v>190</v>
      </c>
      <c r="DY859" s="319" t="s">
        <v>190</v>
      </c>
      <c r="DZ859" s="319" t="s">
        <v>190</v>
      </c>
      <c r="EA859" s="319" t="s">
        <v>190</v>
      </c>
      <c r="EB859" s="319" t="s">
        <v>190</v>
      </c>
      <c r="EC859" s="319" t="s">
        <v>190</v>
      </c>
      <c r="ED859" s="319" t="s">
        <v>190</v>
      </c>
      <c r="EE859" s="319" t="s">
        <v>190</v>
      </c>
      <c r="EF859" s="319" t="s">
        <v>190</v>
      </c>
      <c r="EG859" s="319" t="s">
        <v>190</v>
      </c>
      <c r="EH859" s="319" t="s">
        <v>190</v>
      </c>
      <c r="EI859" s="319" t="s">
        <v>190</v>
      </c>
      <c r="EJ859" s="319" t="s">
        <v>190</v>
      </c>
      <c r="EK859" s="319" t="s">
        <v>190</v>
      </c>
      <c r="EL859" s="319" t="s">
        <v>190</v>
      </c>
      <c r="EM859" s="319" t="s">
        <v>190</v>
      </c>
      <c r="EN859" s="319" t="s">
        <v>190</v>
      </c>
      <c r="EO859" s="319" t="s">
        <v>190</v>
      </c>
      <c r="EP859" s="319" t="s">
        <v>190</v>
      </c>
      <c r="EQ859" s="319" t="s">
        <v>190</v>
      </c>
      <c r="ER859" s="319" t="s">
        <v>190</v>
      </c>
      <c r="ES859" s="319" t="s">
        <v>190</v>
      </c>
      <c r="ET859" s="319" t="s">
        <v>190</v>
      </c>
      <c r="EU859" s="319" t="s">
        <v>190</v>
      </c>
      <c r="EV859" s="319" t="s">
        <v>190</v>
      </c>
      <c r="EW859" s="319" t="s">
        <v>190</v>
      </c>
      <c r="EX859" s="319" t="s">
        <v>190</v>
      </c>
      <c r="EY859" s="319" t="s">
        <v>190</v>
      </c>
      <c r="EZ859" s="319" t="s">
        <v>190</v>
      </c>
      <c r="FA859" s="319" t="s">
        <v>190</v>
      </c>
      <c r="FB859" s="319" t="s">
        <v>190</v>
      </c>
      <c r="FC859" s="319" t="s">
        <v>190</v>
      </c>
      <c r="FD859" s="319" t="s">
        <v>190</v>
      </c>
      <c r="FE859" s="319" t="s">
        <v>190</v>
      </c>
      <c r="FF859" s="319" t="s">
        <v>190</v>
      </c>
      <c r="FG859" s="319" t="s">
        <v>190</v>
      </c>
      <c r="FH859" s="319" t="s">
        <v>190</v>
      </c>
      <c r="FI859" s="319" t="s">
        <v>190</v>
      </c>
      <c r="FJ859" s="319" t="s">
        <v>190</v>
      </c>
      <c r="FK859" s="319" t="s">
        <v>190</v>
      </c>
      <c r="FL859" s="319" t="s">
        <v>190</v>
      </c>
      <c r="FM859" s="319" t="s">
        <v>190</v>
      </c>
      <c r="FN859" s="319" t="s">
        <v>190</v>
      </c>
      <c r="FO859" s="319" t="s">
        <v>190</v>
      </c>
      <c r="FP859" s="319" t="s">
        <v>190</v>
      </c>
      <c r="FQ859" s="319" t="s">
        <v>190</v>
      </c>
      <c r="FR859" s="319" t="s">
        <v>190</v>
      </c>
      <c r="FS859" s="319" t="s">
        <v>190</v>
      </c>
      <c r="FT859" s="319" t="s">
        <v>190</v>
      </c>
      <c r="FU859" s="319" t="s">
        <v>190</v>
      </c>
      <c r="FV859" s="319" t="s">
        <v>190</v>
      </c>
      <c r="FW859" s="319" t="s">
        <v>190</v>
      </c>
      <c r="FX859" s="319" t="s">
        <v>190</v>
      </c>
      <c r="FY859" s="319" t="s">
        <v>190</v>
      </c>
      <c r="FZ859" s="319" t="s">
        <v>190</v>
      </c>
      <c r="GA859" s="319" t="s">
        <v>190</v>
      </c>
      <c r="GB859" s="319" t="s">
        <v>190</v>
      </c>
      <c r="GC859" s="319" t="s">
        <v>190</v>
      </c>
      <c r="GD859" s="319" t="s">
        <v>190</v>
      </c>
      <c r="GE859" s="319" t="s">
        <v>190</v>
      </c>
      <c r="GF859" s="319" t="s">
        <v>190</v>
      </c>
      <c r="GG859" s="319" t="s">
        <v>190</v>
      </c>
      <c r="GH859" s="319" t="s">
        <v>190</v>
      </c>
      <c r="GI859" s="319" t="s">
        <v>190</v>
      </c>
      <c r="GJ859" s="319" t="s">
        <v>190</v>
      </c>
      <c r="GK859" s="319" t="s">
        <v>190</v>
      </c>
      <c r="GL859" s="319" t="s">
        <v>190</v>
      </c>
      <c r="GM859" s="319" t="s">
        <v>190</v>
      </c>
      <c r="GN859" s="319" t="s">
        <v>190</v>
      </c>
      <c r="GO859" s="319" t="s">
        <v>190</v>
      </c>
      <c r="GP859" s="319" t="s">
        <v>190</v>
      </c>
      <c r="GQ859" s="319" t="s">
        <v>190</v>
      </c>
      <c r="GR859" s="319" t="s">
        <v>190</v>
      </c>
      <c r="GS859" s="319" t="s">
        <v>190</v>
      </c>
      <c r="GT859" s="319" t="s">
        <v>190</v>
      </c>
      <c r="GU859" s="319" t="s">
        <v>190</v>
      </c>
      <c r="GV859" s="319" t="s">
        <v>190</v>
      </c>
      <c r="GW859" s="319" t="s">
        <v>190</v>
      </c>
      <c r="GX859" s="319" t="s">
        <v>190</v>
      </c>
      <c r="GY859" s="319" t="s">
        <v>190</v>
      </c>
      <c r="GZ859" s="319" t="s">
        <v>190</v>
      </c>
      <c r="HA859" s="319" t="s">
        <v>190</v>
      </c>
      <c r="HB859" s="319" t="s">
        <v>190</v>
      </c>
      <c r="HC859" s="319" t="s">
        <v>190</v>
      </c>
      <c r="HD859" s="319" t="s">
        <v>190</v>
      </c>
      <c r="HE859" s="319" t="s">
        <v>190</v>
      </c>
      <c r="HF859" s="319" t="s">
        <v>190</v>
      </c>
      <c r="HG859" s="319" t="s">
        <v>190</v>
      </c>
      <c r="HH859" s="319" t="s">
        <v>190</v>
      </c>
      <c r="HI859" s="319" t="s">
        <v>190</v>
      </c>
      <c r="HJ859" s="319" t="s">
        <v>190</v>
      </c>
      <c r="HK859" s="319" t="s">
        <v>190</v>
      </c>
      <c r="HL859" s="319" t="s">
        <v>190</v>
      </c>
      <c r="HM859" s="319" t="s">
        <v>190</v>
      </c>
      <c r="HN859" s="319" t="s">
        <v>190</v>
      </c>
      <c r="HO859" s="319" t="s">
        <v>190</v>
      </c>
      <c r="HP859" s="319" t="s">
        <v>190</v>
      </c>
      <c r="HQ859" s="319" t="s">
        <v>190</v>
      </c>
      <c r="HR859" s="319" t="s">
        <v>190</v>
      </c>
      <c r="HS859" s="319" t="s">
        <v>190</v>
      </c>
      <c r="HT859" s="319" t="s">
        <v>190</v>
      </c>
      <c r="HU859" s="319" t="s">
        <v>190</v>
      </c>
      <c r="HV859" s="319" t="s">
        <v>190</v>
      </c>
      <c r="HW859" s="319" t="s">
        <v>190</v>
      </c>
      <c r="HX859" s="319" t="s">
        <v>190</v>
      </c>
      <c r="HY859" s="319" t="s">
        <v>190</v>
      </c>
      <c r="HZ859" s="319" t="s">
        <v>190</v>
      </c>
      <c r="IA859" s="319" t="s">
        <v>190</v>
      </c>
      <c r="IB859" s="319" t="s">
        <v>190</v>
      </c>
      <c r="IC859" s="319" t="s">
        <v>190</v>
      </c>
      <c r="ID859" s="319" t="s">
        <v>190</v>
      </c>
      <c r="IE859" s="319" t="s">
        <v>190</v>
      </c>
      <c r="IF859" s="319" t="s">
        <v>190</v>
      </c>
      <c r="IG859" s="319" t="s">
        <v>190</v>
      </c>
      <c r="IH859" s="319" t="s">
        <v>190</v>
      </c>
      <c r="II859" s="319" t="s">
        <v>190</v>
      </c>
      <c r="IJ859" s="319" t="s">
        <v>173</v>
      </c>
      <c r="IK859" s="319" t="s">
        <v>173</v>
      </c>
      <c r="IL859" s="319" t="s">
        <v>173</v>
      </c>
      <c r="IM859" s="319" t="s">
        <v>173</v>
      </c>
      <c r="IN859" s="319" t="s">
        <v>173</v>
      </c>
      <c r="IO859" s="319" t="s">
        <v>173</v>
      </c>
      <c r="IP859" s="319" t="s">
        <v>173</v>
      </c>
      <c r="IQ859" s="321" t="s">
        <v>173</v>
      </c>
      <c r="IR859" s="320" t="s">
        <v>173</v>
      </c>
      <c r="IS859" s="322" t="s">
        <v>173</v>
      </c>
      <c r="IT859" s="319" t="s">
        <v>173</v>
      </c>
    </row>
    <row r="860" spans="1:254" s="271" customFormat="1" x14ac:dyDescent="0.25">
      <c r="A860" s="318" t="str">
        <f>HYPERLINK("http://www.ofsted.gov.uk/inspection-reports/find-inspection-report/provider/ELS/142925 ","Ofsted School Webpage")</f>
        <v>Ofsted School Webpage</v>
      </c>
      <c r="B860" s="319">
        <v>142925</v>
      </c>
      <c r="C860" s="319">
        <v>8456062</v>
      </c>
      <c r="D860" s="319" t="s">
        <v>2374</v>
      </c>
      <c r="E860" s="319" t="s">
        <v>167</v>
      </c>
      <c r="F860" s="319" t="s">
        <v>81</v>
      </c>
      <c r="G860" s="319" t="s">
        <v>81</v>
      </c>
      <c r="H860" s="319" t="s">
        <v>81</v>
      </c>
      <c r="I860" s="319" t="s">
        <v>78</v>
      </c>
      <c r="J860" s="319" t="s">
        <v>424</v>
      </c>
      <c r="K860" s="319" t="s">
        <v>514</v>
      </c>
      <c r="L860" s="319" t="s">
        <v>514</v>
      </c>
      <c r="M860" s="319" t="s">
        <v>676</v>
      </c>
      <c r="N860" s="319" t="s">
        <v>2939</v>
      </c>
      <c r="O860" s="319" t="s">
        <v>2375</v>
      </c>
      <c r="P860" s="319">
        <v>8</v>
      </c>
      <c r="Q860" s="319" t="s">
        <v>2776</v>
      </c>
      <c r="R860" s="320">
        <v>10033965</v>
      </c>
      <c r="S860" s="321">
        <v>42850</v>
      </c>
      <c r="T860" s="321">
        <v>42852</v>
      </c>
      <c r="U860" s="321">
        <v>42873</v>
      </c>
      <c r="V860" s="319" t="s">
        <v>435</v>
      </c>
      <c r="W860" s="319" t="s">
        <v>2767</v>
      </c>
      <c r="X860" s="319">
        <v>2</v>
      </c>
      <c r="Y860" s="319" t="s">
        <v>173</v>
      </c>
      <c r="Z860" s="319" t="s">
        <v>173</v>
      </c>
      <c r="AA860" s="319" t="s">
        <v>173</v>
      </c>
      <c r="AB860" s="319">
        <v>1</v>
      </c>
      <c r="AC860" s="319" t="s">
        <v>169</v>
      </c>
      <c r="AD860" s="319" t="s">
        <v>173</v>
      </c>
      <c r="AE860" s="319">
        <v>2</v>
      </c>
      <c r="AF860" s="319" t="s">
        <v>173</v>
      </c>
      <c r="AG860" s="319" t="s">
        <v>171</v>
      </c>
      <c r="AH860" s="319" t="s">
        <v>190</v>
      </c>
      <c r="AI860" s="319" t="s">
        <v>190</v>
      </c>
      <c r="AJ860" s="319" t="s">
        <v>190</v>
      </c>
      <c r="AK860" s="319" t="s">
        <v>190</v>
      </c>
      <c r="AL860" s="319" t="s">
        <v>190</v>
      </c>
      <c r="AM860" s="319" t="s">
        <v>190</v>
      </c>
      <c r="AN860" s="319" t="s">
        <v>190</v>
      </c>
      <c r="AO860" s="319" t="s">
        <v>190</v>
      </c>
      <c r="AP860" s="319" t="s">
        <v>190</v>
      </c>
      <c r="AQ860" s="319" t="s">
        <v>190</v>
      </c>
      <c r="AR860" s="319" t="s">
        <v>190</v>
      </c>
      <c r="AS860" s="319" t="s">
        <v>190</v>
      </c>
      <c r="AT860" s="319" t="s">
        <v>190</v>
      </c>
      <c r="AU860" s="319" t="s">
        <v>190</v>
      </c>
      <c r="AV860" s="319" t="s">
        <v>190</v>
      </c>
      <c r="AW860" s="319" t="s">
        <v>190</v>
      </c>
      <c r="AX860" s="319" t="s">
        <v>429</v>
      </c>
      <c r="AY860" s="319" t="s">
        <v>190</v>
      </c>
      <c r="AZ860" s="319" t="s">
        <v>190</v>
      </c>
      <c r="BA860" s="319" t="s">
        <v>190</v>
      </c>
      <c r="BB860" s="319" t="s">
        <v>190</v>
      </c>
      <c r="BC860" s="319" t="s">
        <v>190</v>
      </c>
      <c r="BD860" s="319" t="s">
        <v>190</v>
      </c>
      <c r="BE860" s="319" t="s">
        <v>190</v>
      </c>
      <c r="BF860" s="319" t="s">
        <v>429</v>
      </c>
      <c r="BG860" s="319" t="s">
        <v>190</v>
      </c>
      <c r="BH860" s="319" t="s">
        <v>190</v>
      </c>
      <c r="BI860" s="319" t="s">
        <v>190</v>
      </c>
      <c r="BJ860" s="319" t="s">
        <v>190</v>
      </c>
      <c r="BK860" s="319" t="s">
        <v>190</v>
      </c>
      <c r="BL860" s="319" t="s">
        <v>190</v>
      </c>
      <c r="BM860" s="319" t="s">
        <v>190</v>
      </c>
      <c r="BN860" s="319" t="s">
        <v>190</v>
      </c>
      <c r="BO860" s="319" t="s">
        <v>190</v>
      </c>
      <c r="BP860" s="319" t="s">
        <v>190</v>
      </c>
      <c r="BQ860" s="319" t="s">
        <v>190</v>
      </c>
      <c r="BR860" s="319" t="s">
        <v>190</v>
      </c>
      <c r="BS860" s="319" t="s">
        <v>190</v>
      </c>
      <c r="BT860" s="319" t="s">
        <v>190</v>
      </c>
      <c r="BU860" s="319" t="s">
        <v>190</v>
      </c>
      <c r="BV860" s="319" t="s">
        <v>190</v>
      </c>
      <c r="BW860" s="319" t="s">
        <v>190</v>
      </c>
      <c r="BX860" s="319" t="s">
        <v>190</v>
      </c>
      <c r="BY860" s="319" t="s">
        <v>190</v>
      </c>
      <c r="BZ860" s="319" t="s">
        <v>190</v>
      </c>
      <c r="CA860" s="319" t="s">
        <v>190</v>
      </c>
      <c r="CB860" s="319" t="s">
        <v>190</v>
      </c>
      <c r="CC860" s="319" t="s">
        <v>190</v>
      </c>
      <c r="CD860" s="319" t="s">
        <v>190</v>
      </c>
      <c r="CE860" s="319" t="s">
        <v>190</v>
      </c>
      <c r="CF860" s="319" t="s">
        <v>190</v>
      </c>
      <c r="CG860" s="319" t="s">
        <v>190</v>
      </c>
      <c r="CH860" s="319" t="s">
        <v>190</v>
      </c>
      <c r="CI860" s="319" t="s">
        <v>190</v>
      </c>
      <c r="CJ860" s="319" t="s">
        <v>190</v>
      </c>
      <c r="CK860" s="319" t="s">
        <v>190</v>
      </c>
      <c r="CL860" s="319" t="s">
        <v>190</v>
      </c>
      <c r="CM860" s="319" t="s">
        <v>190</v>
      </c>
      <c r="CN860" s="319" t="s">
        <v>429</v>
      </c>
      <c r="CO860" s="319" t="s">
        <v>429</v>
      </c>
      <c r="CP860" s="319" t="s">
        <v>429</v>
      </c>
      <c r="CQ860" s="319" t="s">
        <v>190</v>
      </c>
      <c r="CR860" s="319" t="s">
        <v>190</v>
      </c>
      <c r="CS860" s="319" t="s">
        <v>190</v>
      </c>
      <c r="CT860" s="319" t="s">
        <v>190</v>
      </c>
      <c r="CU860" s="319" t="s">
        <v>190</v>
      </c>
      <c r="CV860" s="319" t="s">
        <v>190</v>
      </c>
      <c r="CW860" s="319" t="s">
        <v>190</v>
      </c>
      <c r="CX860" s="319" t="s">
        <v>190</v>
      </c>
      <c r="CY860" s="319" t="s">
        <v>190</v>
      </c>
      <c r="CZ860" s="319" t="s">
        <v>190</v>
      </c>
      <c r="DA860" s="319" t="s">
        <v>190</v>
      </c>
      <c r="DB860" s="319" t="s">
        <v>190</v>
      </c>
      <c r="DC860" s="319" t="s">
        <v>190</v>
      </c>
      <c r="DD860" s="319" t="s">
        <v>190</v>
      </c>
      <c r="DE860" s="319" t="s">
        <v>190</v>
      </c>
      <c r="DF860" s="319" t="s">
        <v>190</v>
      </c>
      <c r="DG860" s="319" t="s">
        <v>190</v>
      </c>
      <c r="DH860" s="319" t="s">
        <v>190</v>
      </c>
      <c r="DI860" s="319" t="s">
        <v>190</v>
      </c>
      <c r="DJ860" s="319" t="s">
        <v>190</v>
      </c>
      <c r="DK860" s="319" t="s">
        <v>190</v>
      </c>
      <c r="DL860" s="319" t="s">
        <v>190</v>
      </c>
      <c r="DM860" s="319" t="s">
        <v>190</v>
      </c>
      <c r="DN860" s="319" t="s">
        <v>429</v>
      </c>
      <c r="DO860" s="319" t="s">
        <v>190</v>
      </c>
      <c r="DP860" s="319" t="s">
        <v>190</v>
      </c>
      <c r="DQ860" s="319" t="s">
        <v>190</v>
      </c>
      <c r="DR860" s="319" t="s">
        <v>190</v>
      </c>
      <c r="DS860" s="319" t="s">
        <v>190</v>
      </c>
      <c r="DT860" s="319" t="s">
        <v>190</v>
      </c>
      <c r="DU860" s="319" t="s">
        <v>190</v>
      </c>
      <c r="DV860" s="319" t="s">
        <v>173</v>
      </c>
      <c r="DW860" s="319" t="s">
        <v>190</v>
      </c>
      <c r="DX860" s="319" t="s">
        <v>190</v>
      </c>
      <c r="DY860" s="319" t="s">
        <v>190</v>
      </c>
      <c r="DZ860" s="319" t="s">
        <v>190</v>
      </c>
      <c r="EA860" s="319" t="s">
        <v>190</v>
      </c>
      <c r="EB860" s="319" t="s">
        <v>190</v>
      </c>
      <c r="EC860" s="319" t="s">
        <v>429</v>
      </c>
      <c r="ED860" s="319" t="s">
        <v>190</v>
      </c>
      <c r="EE860" s="319" t="s">
        <v>190</v>
      </c>
      <c r="EF860" s="319" t="s">
        <v>190</v>
      </c>
      <c r="EG860" s="319" t="s">
        <v>190</v>
      </c>
      <c r="EH860" s="319" t="s">
        <v>190</v>
      </c>
      <c r="EI860" s="319" t="s">
        <v>190</v>
      </c>
      <c r="EJ860" s="319" t="s">
        <v>190</v>
      </c>
      <c r="EK860" s="319" t="s">
        <v>190</v>
      </c>
      <c r="EL860" s="319" t="s">
        <v>190</v>
      </c>
      <c r="EM860" s="319" t="s">
        <v>190</v>
      </c>
      <c r="EN860" s="319" t="s">
        <v>190</v>
      </c>
      <c r="EO860" s="319" t="s">
        <v>190</v>
      </c>
      <c r="EP860" s="319" t="s">
        <v>190</v>
      </c>
      <c r="EQ860" s="319" t="s">
        <v>190</v>
      </c>
      <c r="ER860" s="319" t="s">
        <v>190</v>
      </c>
      <c r="ES860" s="319" t="s">
        <v>190</v>
      </c>
      <c r="ET860" s="319" t="s">
        <v>190</v>
      </c>
      <c r="EU860" s="319" t="s">
        <v>190</v>
      </c>
      <c r="EV860" s="319" t="s">
        <v>190</v>
      </c>
      <c r="EW860" s="319" t="s">
        <v>190</v>
      </c>
      <c r="EX860" s="319" t="s">
        <v>190</v>
      </c>
      <c r="EY860" s="319" t="s">
        <v>190</v>
      </c>
      <c r="EZ860" s="319" t="s">
        <v>190</v>
      </c>
      <c r="FA860" s="319" t="s">
        <v>190</v>
      </c>
      <c r="FB860" s="319" t="s">
        <v>190</v>
      </c>
      <c r="FC860" s="319" t="s">
        <v>190</v>
      </c>
      <c r="FD860" s="319" t="s">
        <v>190</v>
      </c>
      <c r="FE860" s="319" t="s">
        <v>190</v>
      </c>
      <c r="FF860" s="319" t="s">
        <v>190</v>
      </c>
      <c r="FG860" s="319" t="s">
        <v>190</v>
      </c>
      <c r="FH860" s="319" t="s">
        <v>190</v>
      </c>
      <c r="FI860" s="319" t="s">
        <v>190</v>
      </c>
      <c r="FJ860" s="319" t="s">
        <v>190</v>
      </c>
      <c r="FK860" s="319" t="s">
        <v>190</v>
      </c>
      <c r="FL860" s="319" t="s">
        <v>190</v>
      </c>
      <c r="FM860" s="319" t="s">
        <v>190</v>
      </c>
      <c r="FN860" s="319" t="s">
        <v>190</v>
      </c>
      <c r="FO860" s="319" t="s">
        <v>190</v>
      </c>
      <c r="FP860" s="319" t="s">
        <v>190</v>
      </c>
      <c r="FQ860" s="319" t="s">
        <v>190</v>
      </c>
      <c r="FR860" s="319" t="s">
        <v>190</v>
      </c>
      <c r="FS860" s="319" t="s">
        <v>190</v>
      </c>
      <c r="FT860" s="319" t="s">
        <v>190</v>
      </c>
      <c r="FU860" s="319" t="s">
        <v>190</v>
      </c>
      <c r="FV860" s="319" t="s">
        <v>190</v>
      </c>
      <c r="FW860" s="319" t="s">
        <v>190</v>
      </c>
      <c r="FX860" s="319" t="s">
        <v>190</v>
      </c>
      <c r="FY860" s="319" t="s">
        <v>190</v>
      </c>
      <c r="FZ860" s="319" t="s">
        <v>190</v>
      </c>
      <c r="GA860" s="319" t="s">
        <v>190</v>
      </c>
      <c r="GB860" s="319" t="s">
        <v>190</v>
      </c>
      <c r="GC860" s="319" t="s">
        <v>190</v>
      </c>
      <c r="GD860" s="319" t="s">
        <v>190</v>
      </c>
      <c r="GE860" s="319" t="s">
        <v>190</v>
      </c>
      <c r="GF860" s="319" t="s">
        <v>190</v>
      </c>
      <c r="GG860" s="319" t="s">
        <v>190</v>
      </c>
      <c r="GH860" s="319" t="s">
        <v>190</v>
      </c>
      <c r="GI860" s="319" t="s">
        <v>190</v>
      </c>
      <c r="GJ860" s="319" t="s">
        <v>190</v>
      </c>
      <c r="GK860" s="319" t="s">
        <v>429</v>
      </c>
      <c r="GL860" s="319" t="s">
        <v>190</v>
      </c>
      <c r="GM860" s="319" t="s">
        <v>190</v>
      </c>
      <c r="GN860" s="319" t="s">
        <v>190</v>
      </c>
      <c r="GO860" s="319" t="s">
        <v>190</v>
      </c>
      <c r="GP860" s="319" t="s">
        <v>190</v>
      </c>
      <c r="GQ860" s="319" t="s">
        <v>190</v>
      </c>
      <c r="GR860" s="319" t="s">
        <v>190</v>
      </c>
      <c r="GS860" s="319" t="s">
        <v>190</v>
      </c>
      <c r="GT860" s="319" t="s">
        <v>190</v>
      </c>
      <c r="GU860" s="319" t="s">
        <v>190</v>
      </c>
      <c r="GV860" s="319" t="s">
        <v>190</v>
      </c>
      <c r="GW860" s="319" t="s">
        <v>190</v>
      </c>
      <c r="GX860" s="319" t="s">
        <v>190</v>
      </c>
      <c r="GY860" s="319" t="s">
        <v>190</v>
      </c>
      <c r="GZ860" s="319" t="s">
        <v>190</v>
      </c>
      <c r="HA860" s="319" t="s">
        <v>190</v>
      </c>
      <c r="HB860" s="319" t="s">
        <v>190</v>
      </c>
      <c r="HC860" s="319" t="s">
        <v>190</v>
      </c>
      <c r="HD860" s="319" t="s">
        <v>190</v>
      </c>
      <c r="HE860" s="319" t="s">
        <v>190</v>
      </c>
      <c r="HF860" s="319" t="s">
        <v>190</v>
      </c>
      <c r="HG860" s="319" t="s">
        <v>190</v>
      </c>
      <c r="HH860" s="319" t="s">
        <v>190</v>
      </c>
      <c r="HI860" s="319" t="s">
        <v>190</v>
      </c>
      <c r="HJ860" s="319" t="s">
        <v>190</v>
      </c>
      <c r="HK860" s="319" t="s">
        <v>190</v>
      </c>
      <c r="HL860" s="319" t="s">
        <v>190</v>
      </c>
      <c r="HM860" s="319" t="s">
        <v>190</v>
      </c>
      <c r="HN860" s="319" t="s">
        <v>190</v>
      </c>
      <c r="HO860" s="319" t="s">
        <v>190</v>
      </c>
      <c r="HP860" s="319" t="s">
        <v>190</v>
      </c>
      <c r="HQ860" s="319" t="s">
        <v>190</v>
      </c>
      <c r="HR860" s="319" t="s">
        <v>190</v>
      </c>
      <c r="HS860" s="319" t="s">
        <v>190</v>
      </c>
      <c r="HT860" s="319" t="s">
        <v>190</v>
      </c>
      <c r="HU860" s="319" t="s">
        <v>190</v>
      </c>
      <c r="HV860" s="319" t="s">
        <v>190</v>
      </c>
      <c r="HW860" s="319" t="s">
        <v>190</v>
      </c>
      <c r="HX860" s="319" t="s">
        <v>190</v>
      </c>
      <c r="HY860" s="319" t="s">
        <v>190</v>
      </c>
      <c r="HZ860" s="319" t="s">
        <v>190</v>
      </c>
      <c r="IA860" s="319" t="s">
        <v>190</v>
      </c>
      <c r="IB860" s="319" t="s">
        <v>190</v>
      </c>
      <c r="IC860" s="319" t="s">
        <v>190</v>
      </c>
      <c r="ID860" s="319" t="s">
        <v>190</v>
      </c>
      <c r="IE860" s="319" t="s">
        <v>190</v>
      </c>
      <c r="IF860" s="319" t="s">
        <v>190</v>
      </c>
      <c r="IG860" s="319" t="s">
        <v>190</v>
      </c>
      <c r="IH860" s="319" t="s">
        <v>190</v>
      </c>
      <c r="II860" s="319" t="s">
        <v>190</v>
      </c>
      <c r="IJ860" s="319" t="s">
        <v>173</v>
      </c>
      <c r="IK860" s="319" t="s">
        <v>173</v>
      </c>
      <c r="IL860" s="319" t="s">
        <v>173</v>
      </c>
      <c r="IM860" s="319" t="s">
        <v>173</v>
      </c>
      <c r="IN860" s="319" t="s">
        <v>173</v>
      </c>
      <c r="IO860" s="319" t="s">
        <v>173</v>
      </c>
      <c r="IP860" s="319" t="s">
        <v>173</v>
      </c>
      <c r="IQ860" s="321" t="s">
        <v>173</v>
      </c>
      <c r="IR860" s="320" t="s">
        <v>173</v>
      </c>
      <c r="IS860" s="322" t="s">
        <v>173</v>
      </c>
      <c r="IT860" s="319" t="s">
        <v>173</v>
      </c>
    </row>
    <row r="861" spans="1:254" s="271" customFormat="1" x14ac:dyDescent="0.25">
      <c r="A861" s="318" t="str">
        <f>HYPERLINK("http://www.ofsted.gov.uk/inspection-reports/find-inspection-report/provider/ELS/142930 ","Ofsted School Webpage")</f>
        <v>Ofsted School Webpage</v>
      </c>
      <c r="B861" s="319">
        <v>142930</v>
      </c>
      <c r="C861" s="319">
        <v>8926021</v>
      </c>
      <c r="D861" s="319" t="s">
        <v>2376</v>
      </c>
      <c r="E861" s="319" t="s">
        <v>167</v>
      </c>
      <c r="F861" s="319" t="s">
        <v>81</v>
      </c>
      <c r="G861" s="319" t="s">
        <v>81</v>
      </c>
      <c r="H861" s="319" t="s">
        <v>81</v>
      </c>
      <c r="I861" s="319" t="s">
        <v>78</v>
      </c>
      <c r="J861" s="319" t="s">
        <v>424</v>
      </c>
      <c r="K861" s="319" t="s">
        <v>506</v>
      </c>
      <c r="L861" s="319" t="s">
        <v>506</v>
      </c>
      <c r="M861" s="319" t="s">
        <v>673</v>
      </c>
      <c r="N861" s="319" t="s">
        <v>3019</v>
      </c>
      <c r="O861" s="319" t="s">
        <v>2377</v>
      </c>
      <c r="P861" s="319">
        <v>30</v>
      </c>
      <c r="Q861" s="319" t="s">
        <v>2766</v>
      </c>
      <c r="R861" s="320">
        <v>10043805</v>
      </c>
      <c r="S861" s="321">
        <v>43130</v>
      </c>
      <c r="T861" s="321">
        <v>43132</v>
      </c>
      <c r="U861" s="321">
        <v>43165</v>
      </c>
      <c r="V861" s="319" t="s">
        <v>435</v>
      </c>
      <c r="W861" s="319" t="s">
        <v>2767</v>
      </c>
      <c r="X861" s="319">
        <v>2</v>
      </c>
      <c r="Y861" s="319" t="s">
        <v>173</v>
      </c>
      <c r="Z861" s="319" t="s">
        <v>173</v>
      </c>
      <c r="AA861" s="319" t="s">
        <v>173</v>
      </c>
      <c r="AB861" s="319">
        <v>2</v>
      </c>
      <c r="AC861" s="319" t="s">
        <v>169</v>
      </c>
      <c r="AD861" s="319" t="s">
        <v>173</v>
      </c>
      <c r="AE861" s="319" t="s">
        <v>173</v>
      </c>
      <c r="AF861" s="319" t="s">
        <v>427</v>
      </c>
      <c r="AG861" s="319" t="s">
        <v>171</v>
      </c>
      <c r="AH861" s="319" t="s">
        <v>190</v>
      </c>
      <c r="AI861" s="319" t="s">
        <v>190</v>
      </c>
      <c r="AJ861" s="319" t="s">
        <v>190</v>
      </c>
      <c r="AK861" s="319" t="s">
        <v>190</v>
      </c>
      <c r="AL861" s="319" t="s">
        <v>190</v>
      </c>
      <c r="AM861" s="319" t="s">
        <v>190</v>
      </c>
      <c r="AN861" s="319" t="s">
        <v>190</v>
      </c>
      <c r="AO861" s="319" t="s">
        <v>190</v>
      </c>
      <c r="AP861" s="319" t="s">
        <v>190</v>
      </c>
      <c r="AQ861" s="319" t="s">
        <v>190</v>
      </c>
      <c r="AR861" s="319" t="s">
        <v>190</v>
      </c>
      <c r="AS861" s="319" t="s">
        <v>190</v>
      </c>
      <c r="AT861" s="319" t="s">
        <v>190</v>
      </c>
      <c r="AU861" s="319" t="s">
        <v>190</v>
      </c>
      <c r="AV861" s="319" t="s">
        <v>190</v>
      </c>
      <c r="AW861" s="319" t="s">
        <v>190</v>
      </c>
      <c r="AX861" s="319" t="s">
        <v>428</v>
      </c>
      <c r="AY861" s="319" t="s">
        <v>190</v>
      </c>
      <c r="AZ861" s="319" t="s">
        <v>190</v>
      </c>
      <c r="BA861" s="319" t="s">
        <v>190</v>
      </c>
      <c r="BB861" s="319" t="s">
        <v>190</v>
      </c>
      <c r="BC861" s="319" t="s">
        <v>190</v>
      </c>
      <c r="BD861" s="319" t="s">
        <v>190</v>
      </c>
      <c r="BE861" s="319" t="s">
        <v>190</v>
      </c>
      <c r="BF861" s="319" t="s">
        <v>428</v>
      </c>
      <c r="BG861" s="319" t="s">
        <v>428</v>
      </c>
      <c r="BH861" s="319" t="s">
        <v>190</v>
      </c>
      <c r="BI861" s="319" t="s">
        <v>190</v>
      </c>
      <c r="BJ861" s="319" t="s">
        <v>190</v>
      </c>
      <c r="BK861" s="319" t="s">
        <v>190</v>
      </c>
      <c r="BL861" s="319" t="s">
        <v>190</v>
      </c>
      <c r="BM861" s="319" t="s">
        <v>190</v>
      </c>
      <c r="BN861" s="319" t="s">
        <v>190</v>
      </c>
      <c r="BO861" s="319" t="s">
        <v>190</v>
      </c>
      <c r="BP861" s="319" t="s">
        <v>190</v>
      </c>
      <c r="BQ861" s="319" t="s">
        <v>190</v>
      </c>
      <c r="BR861" s="319" t="s">
        <v>190</v>
      </c>
      <c r="BS861" s="319" t="s">
        <v>190</v>
      </c>
      <c r="BT861" s="319" t="s">
        <v>190</v>
      </c>
      <c r="BU861" s="319" t="s">
        <v>190</v>
      </c>
      <c r="BV861" s="319" t="s">
        <v>190</v>
      </c>
      <c r="BW861" s="319" t="s">
        <v>190</v>
      </c>
      <c r="BX861" s="319" t="s">
        <v>190</v>
      </c>
      <c r="BY861" s="319" t="s">
        <v>190</v>
      </c>
      <c r="BZ861" s="319" t="s">
        <v>190</v>
      </c>
      <c r="CA861" s="319" t="s">
        <v>190</v>
      </c>
      <c r="CB861" s="319" t="s">
        <v>190</v>
      </c>
      <c r="CC861" s="319" t="s">
        <v>190</v>
      </c>
      <c r="CD861" s="319" t="s">
        <v>190</v>
      </c>
      <c r="CE861" s="319" t="s">
        <v>190</v>
      </c>
      <c r="CF861" s="319" t="s">
        <v>190</v>
      </c>
      <c r="CG861" s="319" t="s">
        <v>190</v>
      </c>
      <c r="CH861" s="319" t="s">
        <v>190</v>
      </c>
      <c r="CI861" s="319" t="s">
        <v>190</v>
      </c>
      <c r="CJ861" s="319" t="s">
        <v>190</v>
      </c>
      <c r="CK861" s="319" t="s">
        <v>190</v>
      </c>
      <c r="CL861" s="319" t="s">
        <v>190</v>
      </c>
      <c r="CM861" s="319" t="s">
        <v>190</v>
      </c>
      <c r="CN861" s="319" t="s">
        <v>428</v>
      </c>
      <c r="CO861" s="319" t="s">
        <v>428</v>
      </c>
      <c r="CP861" s="319" t="s">
        <v>428</v>
      </c>
      <c r="CQ861" s="319" t="s">
        <v>190</v>
      </c>
      <c r="CR861" s="319" t="s">
        <v>190</v>
      </c>
      <c r="CS861" s="319" t="s">
        <v>190</v>
      </c>
      <c r="CT861" s="319" t="s">
        <v>190</v>
      </c>
      <c r="CU861" s="319" t="s">
        <v>190</v>
      </c>
      <c r="CV861" s="319" t="s">
        <v>190</v>
      </c>
      <c r="CW861" s="319" t="s">
        <v>190</v>
      </c>
      <c r="CX861" s="319" t="s">
        <v>190</v>
      </c>
      <c r="CY861" s="319" t="s">
        <v>190</v>
      </c>
      <c r="CZ861" s="319" t="s">
        <v>190</v>
      </c>
      <c r="DA861" s="319" t="s">
        <v>190</v>
      </c>
      <c r="DB861" s="319" t="s">
        <v>190</v>
      </c>
      <c r="DC861" s="319" t="s">
        <v>190</v>
      </c>
      <c r="DD861" s="319" t="s">
        <v>190</v>
      </c>
      <c r="DE861" s="319" t="s">
        <v>190</v>
      </c>
      <c r="DF861" s="319" t="s">
        <v>190</v>
      </c>
      <c r="DG861" s="319" t="s">
        <v>190</v>
      </c>
      <c r="DH861" s="319" t="s">
        <v>190</v>
      </c>
      <c r="DI861" s="319" t="s">
        <v>190</v>
      </c>
      <c r="DJ861" s="319" t="s">
        <v>190</v>
      </c>
      <c r="DK861" s="319" t="s">
        <v>190</v>
      </c>
      <c r="DL861" s="319" t="s">
        <v>190</v>
      </c>
      <c r="DM861" s="319" t="s">
        <v>190</v>
      </c>
      <c r="DN861" s="319" t="s">
        <v>428</v>
      </c>
      <c r="DO861" s="319" t="s">
        <v>190</v>
      </c>
      <c r="DP861" s="319" t="s">
        <v>428</v>
      </c>
      <c r="DQ861" s="319" t="s">
        <v>428</v>
      </c>
      <c r="DR861" s="319" t="s">
        <v>428</v>
      </c>
      <c r="DS861" s="319" t="s">
        <v>428</v>
      </c>
      <c r="DT861" s="319" t="s">
        <v>428</v>
      </c>
      <c r="DU861" s="319" t="s">
        <v>428</v>
      </c>
      <c r="DV861" s="319" t="s">
        <v>173</v>
      </c>
      <c r="DW861" s="319" t="s">
        <v>428</v>
      </c>
      <c r="DX861" s="319" t="s">
        <v>428</v>
      </c>
      <c r="DY861" s="319" t="s">
        <v>428</v>
      </c>
      <c r="DZ861" s="319" t="s">
        <v>428</v>
      </c>
      <c r="EA861" s="319" t="s">
        <v>428</v>
      </c>
      <c r="EB861" s="319" t="s">
        <v>428</v>
      </c>
      <c r="EC861" s="319" t="s">
        <v>428</v>
      </c>
      <c r="ED861" s="319" t="s">
        <v>428</v>
      </c>
      <c r="EE861" s="319" t="s">
        <v>190</v>
      </c>
      <c r="EF861" s="319" t="s">
        <v>190</v>
      </c>
      <c r="EG861" s="319" t="s">
        <v>190</v>
      </c>
      <c r="EH861" s="319" t="s">
        <v>190</v>
      </c>
      <c r="EI861" s="319" t="s">
        <v>190</v>
      </c>
      <c r="EJ861" s="319" t="s">
        <v>190</v>
      </c>
      <c r="EK861" s="319" t="s">
        <v>190</v>
      </c>
      <c r="EL861" s="319" t="s">
        <v>190</v>
      </c>
      <c r="EM861" s="319" t="s">
        <v>190</v>
      </c>
      <c r="EN861" s="319" t="s">
        <v>190</v>
      </c>
      <c r="EO861" s="319" t="s">
        <v>190</v>
      </c>
      <c r="EP861" s="319" t="s">
        <v>190</v>
      </c>
      <c r="EQ861" s="319" t="s">
        <v>190</v>
      </c>
      <c r="ER861" s="319" t="s">
        <v>190</v>
      </c>
      <c r="ES861" s="319" t="s">
        <v>190</v>
      </c>
      <c r="ET861" s="319" t="s">
        <v>190</v>
      </c>
      <c r="EU861" s="319" t="s">
        <v>190</v>
      </c>
      <c r="EV861" s="319" t="s">
        <v>190</v>
      </c>
      <c r="EW861" s="319" t="s">
        <v>190</v>
      </c>
      <c r="EX861" s="319" t="s">
        <v>190</v>
      </c>
      <c r="EY861" s="319" t="s">
        <v>190</v>
      </c>
      <c r="EZ861" s="319" t="s">
        <v>190</v>
      </c>
      <c r="FA861" s="319" t="s">
        <v>428</v>
      </c>
      <c r="FB861" s="319" t="s">
        <v>428</v>
      </c>
      <c r="FC861" s="319" t="s">
        <v>428</v>
      </c>
      <c r="FD861" s="319" t="s">
        <v>428</v>
      </c>
      <c r="FE861" s="319" t="s">
        <v>428</v>
      </c>
      <c r="FF861" s="319" t="s">
        <v>428</v>
      </c>
      <c r="FG861" s="319" t="s">
        <v>428</v>
      </c>
      <c r="FH861" s="319" t="s">
        <v>190</v>
      </c>
      <c r="FI861" s="319" t="s">
        <v>428</v>
      </c>
      <c r="FJ861" s="319" t="s">
        <v>429</v>
      </c>
      <c r="FK861" s="319" t="s">
        <v>428</v>
      </c>
      <c r="FL861" s="319" t="s">
        <v>190</v>
      </c>
      <c r="FM861" s="319" t="s">
        <v>190</v>
      </c>
      <c r="FN861" s="319" t="s">
        <v>190</v>
      </c>
      <c r="FO861" s="319" t="s">
        <v>190</v>
      </c>
      <c r="FP861" s="319" t="s">
        <v>190</v>
      </c>
      <c r="FQ861" s="319" t="s">
        <v>190</v>
      </c>
      <c r="FR861" s="319" t="s">
        <v>190</v>
      </c>
      <c r="FS861" s="319" t="s">
        <v>428</v>
      </c>
      <c r="FT861" s="319" t="s">
        <v>190</v>
      </c>
      <c r="FU861" s="319" t="s">
        <v>190</v>
      </c>
      <c r="FV861" s="319" t="s">
        <v>190</v>
      </c>
      <c r="FW861" s="319" t="s">
        <v>190</v>
      </c>
      <c r="FX861" s="319" t="s">
        <v>190</v>
      </c>
      <c r="FY861" s="319" t="s">
        <v>190</v>
      </c>
      <c r="FZ861" s="319" t="s">
        <v>190</v>
      </c>
      <c r="GA861" s="319" t="s">
        <v>190</v>
      </c>
      <c r="GB861" s="319" t="s">
        <v>190</v>
      </c>
      <c r="GC861" s="319" t="s">
        <v>190</v>
      </c>
      <c r="GD861" s="319" t="s">
        <v>190</v>
      </c>
      <c r="GE861" s="319" t="s">
        <v>190</v>
      </c>
      <c r="GF861" s="319" t="s">
        <v>190</v>
      </c>
      <c r="GG861" s="319" t="s">
        <v>190</v>
      </c>
      <c r="GH861" s="319" t="s">
        <v>190</v>
      </c>
      <c r="GI861" s="319" t="s">
        <v>190</v>
      </c>
      <c r="GJ861" s="319" t="s">
        <v>190</v>
      </c>
      <c r="GK861" s="319" t="s">
        <v>428</v>
      </c>
      <c r="GL861" s="319" t="s">
        <v>190</v>
      </c>
      <c r="GM861" s="319" t="s">
        <v>190</v>
      </c>
      <c r="GN861" s="319" t="s">
        <v>190</v>
      </c>
      <c r="GO861" s="319" t="s">
        <v>190</v>
      </c>
      <c r="GP861" s="319" t="s">
        <v>190</v>
      </c>
      <c r="GQ861" s="319" t="s">
        <v>428</v>
      </c>
      <c r="GR861" s="319" t="s">
        <v>190</v>
      </c>
      <c r="GS861" s="319" t="s">
        <v>190</v>
      </c>
      <c r="GT861" s="319" t="s">
        <v>190</v>
      </c>
      <c r="GU861" s="319" t="s">
        <v>190</v>
      </c>
      <c r="GV861" s="319" t="s">
        <v>190</v>
      </c>
      <c r="GW861" s="319" t="s">
        <v>190</v>
      </c>
      <c r="GX861" s="319" t="s">
        <v>190</v>
      </c>
      <c r="GY861" s="319" t="s">
        <v>190</v>
      </c>
      <c r="GZ861" s="319" t="s">
        <v>428</v>
      </c>
      <c r="HA861" s="319" t="s">
        <v>190</v>
      </c>
      <c r="HB861" s="319" t="s">
        <v>428</v>
      </c>
      <c r="HC861" s="319" t="s">
        <v>190</v>
      </c>
      <c r="HD861" s="319" t="s">
        <v>190</v>
      </c>
      <c r="HE861" s="319" t="s">
        <v>190</v>
      </c>
      <c r="HF861" s="319" t="s">
        <v>190</v>
      </c>
      <c r="HG861" s="319" t="s">
        <v>190</v>
      </c>
      <c r="HH861" s="319" t="s">
        <v>190</v>
      </c>
      <c r="HI861" s="319" t="s">
        <v>190</v>
      </c>
      <c r="HJ861" s="319" t="s">
        <v>190</v>
      </c>
      <c r="HK861" s="319" t="s">
        <v>190</v>
      </c>
      <c r="HL861" s="319" t="s">
        <v>428</v>
      </c>
      <c r="HM861" s="319" t="s">
        <v>428</v>
      </c>
      <c r="HN861" s="319" t="s">
        <v>428</v>
      </c>
      <c r="HO861" s="319" t="s">
        <v>428</v>
      </c>
      <c r="HP861" s="319" t="s">
        <v>190</v>
      </c>
      <c r="HQ861" s="319" t="s">
        <v>190</v>
      </c>
      <c r="HR861" s="319" t="s">
        <v>190</v>
      </c>
      <c r="HS861" s="319" t="s">
        <v>190</v>
      </c>
      <c r="HT861" s="319" t="s">
        <v>190</v>
      </c>
      <c r="HU861" s="319" t="s">
        <v>190</v>
      </c>
      <c r="HV861" s="319" t="s">
        <v>190</v>
      </c>
      <c r="HW861" s="319" t="s">
        <v>190</v>
      </c>
      <c r="HX861" s="319" t="s">
        <v>190</v>
      </c>
      <c r="HY861" s="319" t="s">
        <v>190</v>
      </c>
      <c r="HZ861" s="319" t="s">
        <v>190</v>
      </c>
      <c r="IA861" s="319" t="s">
        <v>190</v>
      </c>
      <c r="IB861" s="319" t="s">
        <v>190</v>
      </c>
      <c r="IC861" s="319" t="s">
        <v>190</v>
      </c>
      <c r="ID861" s="319" t="s">
        <v>190</v>
      </c>
      <c r="IE861" s="319" t="s">
        <v>190</v>
      </c>
      <c r="IF861" s="319" t="s">
        <v>190</v>
      </c>
      <c r="IG861" s="319" t="s">
        <v>190</v>
      </c>
      <c r="IH861" s="319" t="s">
        <v>190</v>
      </c>
      <c r="II861" s="319" t="s">
        <v>190</v>
      </c>
      <c r="IJ861" s="319" t="s">
        <v>173</v>
      </c>
      <c r="IK861" s="319" t="s">
        <v>173</v>
      </c>
      <c r="IL861" s="319" t="s">
        <v>173</v>
      </c>
      <c r="IM861" s="319" t="s">
        <v>173</v>
      </c>
      <c r="IN861" s="319" t="s">
        <v>173</v>
      </c>
      <c r="IO861" s="319" t="s">
        <v>173</v>
      </c>
      <c r="IP861" s="319" t="s">
        <v>173</v>
      </c>
      <c r="IQ861" s="319" t="s">
        <v>173</v>
      </c>
      <c r="IR861" s="320" t="s">
        <v>173</v>
      </c>
      <c r="IS861" s="320" t="s">
        <v>173</v>
      </c>
      <c r="IT861" s="319" t="s">
        <v>173</v>
      </c>
    </row>
    <row r="862" spans="1:254" s="271" customFormat="1" x14ac:dyDescent="0.25">
      <c r="A862" s="318" t="str">
        <f>HYPERLINK("http://www.ofsted.gov.uk/inspection-reports/find-inspection-report/provider/ELS/142931 ","Ofsted School Webpage")</f>
        <v>Ofsted School Webpage</v>
      </c>
      <c r="B862" s="319">
        <v>142931</v>
      </c>
      <c r="C862" s="319">
        <v>8896015</v>
      </c>
      <c r="D862" s="319" t="s">
        <v>1154</v>
      </c>
      <c r="E862" s="319" t="s">
        <v>167</v>
      </c>
      <c r="F862" s="319" t="s">
        <v>81</v>
      </c>
      <c r="G862" s="319" t="s">
        <v>71</v>
      </c>
      <c r="H862" s="319" t="s">
        <v>71</v>
      </c>
      <c r="I862" s="319" t="s">
        <v>72</v>
      </c>
      <c r="J862" s="319" t="s">
        <v>424</v>
      </c>
      <c r="K862" s="319" t="s">
        <v>431</v>
      </c>
      <c r="L862" s="319" t="s">
        <v>431</v>
      </c>
      <c r="M862" s="319" t="s">
        <v>541</v>
      </c>
      <c r="N862" s="319" t="s">
        <v>2993</v>
      </c>
      <c r="O862" s="319" t="s">
        <v>1155</v>
      </c>
      <c r="P862" s="319">
        <v>18</v>
      </c>
      <c r="Q862" s="319" t="s">
        <v>2766</v>
      </c>
      <c r="R862" s="320">
        <v>10112083</v>
      </c>
      <c r="S862" s="321">
        <v>43781</v>
      </c>
      <c r="T862" s="321">
        <v>43783</v>
      </c>
      <c r="U862" s="321">
        <v>43808</v>
      </c>
      <c r="V862" s="319" t="s">
        <v>425</v>
      </c>
      <c r="W862" s="319" t="s">
        <v>2767</v>
      </c>
      <c r="X862" s="319">
        <v>4</v>
      </c>
      <c r="Y862" s="319">
        <v>4</v>
      </c>
      <c r="Z862" s="319">
        <v>3</v>
      </c>
      <c r="AA862" s="319">
        <v>3</v>
      </c>
      <c r="AB862" s="319">
        <v>4</v>
      </c>
      <c r="AC862" s="319" t="s">
        <v>169</v>
      </c>
      <c r="AD862" s="319">
        <v>4</v>
      </c>
      <c r="AE862" s="319" t="s">
        <v>173</v>
      </c>
      <c r="AF862" s="319" t="s">
        <v>427</v>
      </c>
      <c r="AG862" s="319" t="s">
        <v>172</v>
      </c>
      <c r="AH862" s="319" t="s">
        <v>479</v>
      </c>
      <c r="AI862" s="319" t="s">
        <v>190</v>
      </c>
      <c r="AJ862" s="319" t="s">
        <v>479</v>
      </c>
      <c r="AK862" s="319" t="s">
        <v>190</v>
      </c>
      <c r="AL862" s="319" t="s">
        <v>190</v>
      </c>
      <c r="AM862" s="319" t="s">
        <v>190</v>
      </c>
      <c r="AN862" s="319" t="s">
        <v>190</v>
      </c>
      <c r="AO862" s="319" t="s">
        <v>479</v>
      </c>
      <c r="AP862" s="319" t="s">
        <v>191</v>
      </c>
      <c r="AQ862" s="319" t="s">
        <v>191</v>
      </c>
      <c r="AR862" s="319" t="s">
        <v>191</v>
      </c>
      <c r="AS862" s="319" t="s">
        <v>191</v>
      </c>
      <c r="AT862" s="319" t="s">
        <v>190</v>
      </c>
      <c r="AU862" s="319" t="s">
        <v>191</v>
      </c>
      <c r="AV862" s="319" t="s">
        <v>191</v>
      </c>
      <c r="AW862" s="319" t="s">
        <v>191</v>
      </c>
      <c r="AX862" s="319" t="s">
        <v>428</v>
      </c>
      <c r="AY862" s="319" t="s">
        <v>190</v>
      </c>
      <c r="AZ862" s="319" t="s">
        <v>190</v>
      </c>
      <c r="BA862" s="319" t="s">
        <v>190</v>
      </c>
      <c r="BB862" s="319" t="s">
        <v>428</v>
      </c>
      <c r="BC862" s="319" t="s">
        <v>428</v>
      </c>
      <c r="BD862" s="319" t="s">
        <v>428</v>
      </c>
      <c r="BE862" s="319" t="s">
        <v>428</v>
      </c>
      <c r="BF862" s="319" t="s">
        <v>428</v>
      </c>
      <c r="BG862" s="319" t="s">
        <v>428</v>
      </c>
      <c r="BH862" s="319" t="s">
        <v>191</v>
      </c>
      <c r="BI862" s="319" t="s">
        <v>190</v>
      </c>
      <c r="BJ862" s="319" t="s">
        <v>191</v>
      </c>
      <c r="BK862" s="319" t="s">
        <v>191</v>
      </c>
      <c r="BL862" s="319" t="s">
        <v>191</v>
      </c>
      <c r="BM862" s="319" t="s">
        <v>191</v>
      </c>
      <c r="BN862" s="319" t="s">
        <v>191</v>
      </c>
      <c r="BO862" s="319" t="s">
        <v>191</v>
      </c>
      <c r="BP862" s="319" t="s">
        <v>191</v>
      </c>
      <c r="BQ862" s="319" t="s">
        <v>191</v>
      </c>
      <c r="BR862" s="319" t="s">
        <v>191</v>
      </c>
      <c r="BS862" s="319" t="s">
        <v>190</v>
      </c>
      <c r="BT862" s="319" t="s">
        <v>190</v>
      </c>
      <c r="BU862" s="319" t="s">
        <v>191</v>
      </c>
      <c r="BV862" s="319" t="s">
        <v>190</v>
      </c>
      <c r="BW862" s="319" t="s">
        <v>190</v>
      </c>
      <c r="BX862" s="319" t="s">
        <v>190</v>
      </c>
      <c r="BY862" s="319" t="s">
        <v>190</v>
      </c>
      <c r="BZ862" s="319" t="s">
        <v>190</v>
      </c>
      <c r="CA862" s="319" t="s">
        <v>190</v>
      </c>
      <c r="CB862" s="319" t="s">
        <v>190</v>
      </c>
      <c r="CC862" s="319" t="s">
        <v>190</v>
      </c>
      <c r="CD862" s="319" t="s">
        <v>190</v>
      </c>
      <c r="CE862" s="319" t="s">
        <v>190</v>
      </c>
      <c r="CF862" s="319" t="s">
        <v>190</v>
      </c>
      <c r="CG862" s="319" t="s">
        <v>190</v>
      </c>
      <c r="CH862" s="319" t="s">
        <v>190</v>
      </c>
      <c r="CI862" s="319" t="s">
        <v>190</v>
      </c>
      <c r="CJ862" s="319" t="s">
        <v>190</v>
      </c>
      <c r="CK862" s="319" t="s">
        <v>190</v>
      </c>
      <c r="CL862" s="319" t="s">
        <v>190</v>
      </c>
      <c r="CM862" s="319" t="s">
        <v>190</v>
      </c>
      <c r="CN862" s="319" t="s">
        <v>428</v>
      </c>
      <c r="CO862" s="319" t="s">
        <v>428</v>
      </c>
      <c r="CP862" s="319" t="s">
        <v>428</v>
      </c>
      <c r="CQ862" s="319" t="s">
        <v>191</v>
      </c>
      <c r="CR862" s="319" t="s">
        <v>191</v>
      </c>
      <c r="CS862" s="319" t="s">
        <v>191</v>
      </c>
      <c r="CT862" s="319" t="s">
        <v>190</v>
      </c>
      <c r="CU862" s="319" t="s">
        <v>190</v>
      </c>
      <c r="CV862" s="319" t="s">
        <v>190</v>
      </c>
      <c r="CW862" s="319" t="s">
        <v>190</v>
      </c>
      <c r="CX862" s="319" t="s">
        <v>190</v>
      </c>
      <c r="CY862" s="319" t="s">
        <v>190</v>
      </c>
      <c r="CZ862" s="319" t="s">
        <v>190</v>
      </c>
      <c r="DA862" s="319" t="s">
        <v>190</v>
      </c>
      <c r="DB862" s="319" t="s">
        <v>190</v>
      </c>
      <c r="DC862" s="319" t="s">
        <v>190</v>
      </c>
      <c r="DD862" s="319" t="s">
        <v>190</v>
      </c>
      <c r="DE862" s="319" t="s">
        <v>190</v>
      </c>
      <c r="DF862" s="319" t="s">
        <v>190</v>
      </c>
      <c r="DG862" s="319" t="s">
        <v>190</v>
      </c>
      <c r="DH862" s="319" t="s">
        <v>190</v>
      </c>
      <c r="DI862" s="319" t="s">
        <v>190</v>
      </c>
      <c r="DJ862" s="319" t="s">
        <v>190</v>
      </c>
      <c r="DK862" s="319" t="s">
        <v>190</v>
      </c>
      <c r="DL862" s="319" t="s">
        <v>190</v>
      </c>
      <c r="DM862" s="319" t="s">
        <v>190</v>
      </c>
      <c r="DN862" s="319" t="s">
        <v>428</v>
      </c>
      <c r="DO862" s="319" t="s">
        <v>190</v>
      </c>
      <c r="DP862" s="319" t="s">
        <v>428</v>
      </c>
      <c r="DQ862" s="319" t="s">
        <v>428</v>
      </c>
      <c r="DR862" s="319" t="s">
        <v>428</v>
      </c>
      <c r="DS862" s="319" t="s">
        <v>428</v>
      </c>
      <c r="DT862" s="319" t="s">
        <v>428</v>
      </c>
      <c r="DU862" s="319" t="s">
        <v>428</v>
      </c>
      <c r="DV862" s="319" t="s">
        <v>428</v>
      </c>
      <c r="DW862" s="319" t="s">
        <v>428</v>
      </c>
      <c r="DX862" s="319" t="s">
        <v>428</v>
      </c>
      <c r="DY862" s="319" t="s">
        <v>428</v>
      </c>
      <c r="DZ862" s="319" t="s">
        <v>428</v>
      </c>
      <c r="EA862" s="319" t="s">
        <v>428</v>
      </c>
      <c r="EB862" s="319" t="s">
        <v>428</v>
      </c>
      <c r="EC862" s="319" t="s">
        <v>428</v>
      </c>
      <c r="ED862" s="319" t="s">
        <v>190</v>
      </c>
      <c r="EE862" s="319" t="s">
        <v>190</v>
      </c>
      <c r="EF862" s="319" t="s">
        <v>190</v>
      </c>
      <c r="EG862" s="319" t="s">
        <v>190</v>
      </c>
      <c r="EH862" s="319" t="s">
        <v>190</v>
      </c>
      <c r="EI862" s="319" t="s">
        <v>190</v>
      </c>
      <c r="EJ862" s="319" t="s">
        <v>190</v>
      </c>
      <c r="EK862" s="319" t="s">
        <v>190</v>
      </c>
      <c r="EL862" s="319" t="s">
        <v>190</v>
      </c>
      <c r="EM862" s="319" t="s">
        <v>190</v>
      </c>
      <c r="EN862" s="319" t="s">
        <v>190</v>
      </c>
      <c r="EO862" s="319" t="s">
        <v>190</v>
      </c>
      <c r="EP862" s="319" t="s">
        <v>190</v>
      </c>
      <c r="EQ862" s="319" t="s">
        <v>190</v>
      </c>
      <c r="ER862" s="319" t="s">
        <v>190</v>
      </c>
      <c r="ES862" s="319" t="s">
        <v>190</v>
      </c>
      <c r="ET862" s="319" t="s">
        <v>190</v>
      </c>
      <c r="EU862" s="319" t="s">
        <v>190</v>
      </c>
      <c r="EV862" s="319" t="s">
        <v>190</v>
      </c>
      <c r="EW862" s="319" t="s">
        <v>190</v>
      </c>
      <c r="EX862" s="319" t="s">
        <v>190</v>
      </c>
      <c r="EY862" s="319" t="s">
        <v>190</v>
      </c>
      <c r="EZ862" s="319" t="s">
        <v>190</v>
      </c>
      <c r="FA862" s="319" t="s">
        <v>190</v>
      </c>
      <c r="FB862" s="319" t="s">
        <v>428</v>
      </c>
      <c r="FC862" s="319" t="s">
        <v>428</v>
      </c>
      <c r="FD862" s="319" t="s">
        <v>428</v>
      </c>
      <c r="FE862" s="319" t="s">
        <v>428</v>
      </c>
      <c r="FF862" s="319" t="s">
        <v>428</v>
      </c>
      <c r="FG862" s="319" t="s">
        <v>428</v>
      </c>
      <c r="FH862" s="319" t="s">
        <v>190</v>
      </c>
      <c r="FI862" s="319" t="s">
        <v>190</v>
      </c>
      <c r="FJ862" s="319" t="s">
        <v>190</v>
      </c>
      <c r="FK862" s="319" t="s">
        <v>190</v>
      </c>
      <c r="FL862" s="319" t="s">
        <v>190</v>
      </c>
      <c r="FM862" s="319" t="s">
        <v>190</v>
      </c>
      <c r="FN862" s="319" t="s">
        <v>190</v>
      </c>
      <c r="FO862" s="319" t="s">
        <v>190</v>
      </c>
      <c r="FP862" s="319" t="s">
        <v>190</v>
      </c>
      <c r="FQ862" s="319" t="s">
        <v>190</v>
      </c>
      <c r="FR862" s="319" t="s">
        <v>190</v>
      </c>
      <c r="FS862" s="319" t="s">
        <v>428</v>
      </c>
      <c r="FT862" s="319" t="s">
        <v>190</v>
      </c>
      <c r="FU862" s="319" t="s">
        <v>190</v>
      </c>
      <c r="FV862" s="319" t="s">
        <v>190</v>
      </c>
      <c r="FW862" s="319" t="s">
        <v>190</v>
      </c>
      <c r="FX862" s="319" t="s">
        <v>190</v>
      </c>
      <c r="FY862" s="319" t="s">
        <v>190</v>
      </c>
      <c r="FZ862" s="319" t="s">
        <v>190</v>
      </c>
      <c r="GA862" s="319" t="s">
        <v>190</v>
      </c>
      <c r="GB862" s="319" t="s">
        <v>190</v>
      </c>
      <c r="GC862" s="319" t="s">
        <v>428</v>
      </c>
      <c r="GD862" s="319" t="s">
        <v>190</v>
      </c>
      <c r="GE862" s="319" t="s">
        <v>190</v>
      </c>
      <c r="GF862" s="319" t="s">
        <v>190</v>
      </c>
      <c r="GG862" s="319" t="s">
        <v>190</v>
      </c>
      <c r="GH862" s="319" t="s">
        <v>190</v>
      </c>
      <c r="GI862" s="319" t="s">
        <v>190</v>
      </c>
      <c r="GJ862" s="319" t="s">
        <v>190</v>
      </c>
      <c r="GK862" s="319" t="s">
        <v>428</v>
      </c>
      <c r="GL862" s="319" t="s">
        <v>190</v>
      </c>
      <c r="GM862" s="319" t="s">
        <v>190</v>
      </c>
      <c r="GN862" s="319" t="s">
        <v>190</v>
      </c>
      <c r="GO862" s="319" t="s">
        <v>190</v>
      </c>
      <c r="GP862" s="319" t="s">
        <v>190</v>
      </c>
      <c r="GQ862" s="319" t="s">
        <v>428</v>
      </c>
      <c r="GR862" s="319" t="s">
        <v>190</v>
      </c>
      <c r="GS862" s="319" t="s">
        <v>190</v>
      </c>
      <c r="GT862" s="319" t="s">
        <v>190</v>
      </c>
      <c r="GU862" s="319" t="s">
        <v>190</v>
      </c>
      <c r="GV862" s="319" t="s">
        <v>190</v>
      </c>
      <c r="GW862" s="319" t="s">
        <v>190</v>
      </c>
      <c r="GX862" s="319" t="s">
        <v>190</v>
      </c>
      <c r="GY862" s="319" t="s">
        <v>190</v>
      </c>
      <c r="GZ862" s="319" t="s">
        <v>428</v>
      </c>
      <c r="HA862" s="319" t="s">
        <v>190</v>
      </c>
      <c r="HB862" s="319" t="s">
        <v>428</v>
      </c>
      <c r="HC862" s="319" t="s">
        <v>190</v>
      </c>
      <c r="HD862" s="319" t="s">
        <v>190</v>
      </c>
      <c r="HE862" s="319" t="s">
        <v>190</v>
      </c>
      <c r="HF862" s="319" t="s">
        <v>190</v>
      </c>
      <c r="HG862" s="319" t="s">
        <v>190</v>
      </c>
      <c r="HH862" s="319" t="s">
        <v>190</v>
      </c>
      <c r="HI862" s="319" t="s">
        <v>190</v>
      </c>
      <c r="HJ862" s="319" t="s">
        <v>190</v>
      </c>
      <c r="HK862" s="319" t="s">
        <v>190</v>
      </c>
      <c r="HL862" s="319" t="s">
        <v>428</v>
      </c>
      <c r="HM862" s="319" t="s">
        <v>428</v>
      </c>
      <c r="HN862" s="319" t="s">
        <v>428</v>
      </c>
      <c r="HO862" s="319" t="s">
        <v>428</v>
      </c>
      <c r="HP862" s="319" t="s">
        <v>190</v>
      </c>
      <c r="HQ862" s="319" t="s">
        <v>190</v>
      </c>
      <c r="HR862" s="319" t="s">
        <v>190</v>
      </c>
      <c r="HS862" s="319" t="s">
        <v>190</v>
      </c>
      <c r="HT862" s="319" t="s">
        <v>190</v>
      </c>
      <c r="HU862" s="319" t="s">
        <v>190</v>
      </c>
      <c r="HV862" s="319" t="s">
        <v>190</v>
      </c>
      <c r="HW862" s="319" t="s">
        <v>190</v>
      </c>
      <c r="HX862" s="319" t="s">
        <v>190</v>
      </c>
      <c r="HY862" s="319" t="s">
        <v>190</v>
      </c>
      <c r="HZ862" s="319" t="s">
        <v>190</v>
      </c>
      <c r="IA862" s="319" t="s">
        <v>190</v>
      </c>
      <c r="IB862" s="319" t="s">
        <v>190</v>
      </c>
      <c r="IC862" s="319" t="s">
        <v>190</v>
      </c>
      <c r="ID862" s="319" t="s">
        <v>190</v>
      </c>
      <c r="IE862" s="319" t="s">
        <v>190</v>
      </c>
      <c r="IF862" s="319" t="s">
        <v>191</v>
      </c>
      <c r="IG862" s="319" t="s">
        <v>191</v>
      </c>
      <c r="IH862" s="319" t="s">
        <v>191</v>
      </c>
      <c r="II862" s="319" t="s">
        <v>190</v>
      </c>
      <c r="IJ862" s="319">
        <v>10048598</v>
      </c>
      <c r="IK862" s="321">
        <v>43242</v>
      </c>
      <c r="IL862" s="321">
        <v>43249</v>
      </c>
      <c r="IM862" s="321">
        <v>43287</v>
      </c>
      <c r="IN862" s="319">
        <v>4</v>
      </c>
      <c r="IO862" s="319" t="s">
        <v>173</v>
      </c>
      <c r="IP862" s="319" t="s">
        <v>173</v>
      </c>
      <c r="IQ862" s="321" t="s">
        <v>173</v>
      </c>
      <c r="IR862" s="320" t="s">
        <v>173</v>
      </c>
      <c r="IS862" s="322" t="s">
        <v>173</v>
      </c>
      <c r="IT862" s="319" t="s">
        <v>173</v>
      </c>
    </row>
    <row r="863" spans="1:254" s="271" customFormat="1" x14ac:dyDescent="0.25">
      <c r="A863" s="318" t="str">
        <f>HYPERLINK("http://www.ofsted.gov.uk/inspection-reports/find-inspection-report/provider/ELS/142939 ","Ofsted School Webpage")</f>
        <v>Ofsted School Webpage</v>
      </c>
      <c r="B863" s="319">
        <v>142939</v>
      </c>
      <c r="C863" s="319">
        <v>8556038</v>
      </c>
      <c r="D863" s="319" t="s">
        <v>2378</v>
      </c>
      <c r="E863" s="319" t="s">
        <v>167</v>
      </c>
      <c r="F863" s="319" t="s">
        <v>81</v>
      </c>
      <c r="G863" s="319" t="s">
        <v>81</v>
      </c>
      <c r="H863" s="319" t="s">
        <v>81</v>
      </c>
      <c r="I863" s="319" t="s">
        <v>78</v>
      </c>
      <c r="J863" s="319" t="s">
        <v>424</v>
      </c>
      <c r="K863" s="319" t="s">
        <v>506</v>
      </c>
      <c r="L863" s="319" t="s">
        <v>506</v>
      </c>
      <c r="M863" s="319" t="s">
        <v>862</v>
      </c>
      <c r="N863" s="319" t="s">
        <v>2999</v>
      </c>
      <c r="O863" s="319" t="s">
        <v>2379</v>
      </c>
      <c r="P863" s="319">
        <v>11</v>
      </c>
      <c r="Q863" s="319" t="s">
        <v>2776</v>
      </c>
      <c r="R863" s="320">
        <v>10039198</v>
      </c>
      <c r="S863" s="321">
        <v>43116</v>
      </c>
      <c r="T863" s="321">
        <v>43118</v>
      </c>
      <c r="U863" s="321">
        <v>43143</v>
      </c>
      <c r="V863" s="319" t="s">
        <v>435</v>
      </c>
      <c r="W863" s="319" t="s">
        <v>2767</v>
      </c>
      <c r="X863" s="319">
        <v>2</v>
      </c>
      <c r="Y863" s="319" t="s">
        <v>173</v>
      </c>
      <c r="Z863" s="319" t="s">
        <v>173</v>
      </c>
      <c r="AA863" s="319" t="s">
        <v>173</v>
      </c>
      <c r="AB863" s="319">
        <v>2</v>
      </c>
      <c r="AC863" s="319" t="s">
        <v>169</v>
      </c>
      <c r="AD863" s="319" t="s">
        <v>173</v>
      </c>
      <c r="AE863" s="319" t="s">
        <v>173</v>
      </c>
      <c r="AF863" s="319" t="s">
        <v>427</v>
      </c>
      <c r="AG863" s="319" t="s">
        <v>171</v>
      </c>
      <c r="AH863" s="319" t="s">
        <v>190</v>
      </c>
      <c r="AI863" s="319" t="s">
        <v>190</v>
      </c>
      <c r="AJ863" s="319" t="s">
        <v>190</v>
      </c>
      <c r="AK863" s="319" t="s">
        <v>190</v>
      </c>
      <c r="AL863" s="319" t="s">
        <v>190</v>
      </c>
      <c r="AM863" s="319" t="s">
        <v>190</v>
      </c>
      <c r="AN863" s="319" t="s">
        <v>190</v>
      </c>
      <c r="AO863" s="319" t="s">
        <v>190</v>
      </c>
      <c r="AP863" s="319" t="s">
        <v>190</v>
      </c>
      <c r="AQ863" s="319" t="s">
        <v>190</v>
      </c>
      <c r="AR863" s="319" t="s">
        <v>190</v>
      </c>
      <c r="AS863" s="319" t="s">
        <v>190</v>
      </c>
      <c r="AT863" s="319" t="s">
        <v>190</v>
      </c>
      <c r="AU863" s="319" t="s">
        <v>190</v>
      </c>
      <c r="AV863" s="319" t="s">
        <v>190</v>
      </c>
      <c r="AW863" s="319" t="s">
        <v>190</v>
      </c>
      <c r="AX863" s="319" t="s">
        <v>428</v>
      </c>
      <c r="AY863" s="319" t="s">
        <v>190</v>
      </c>
      <c r="AZ863" s="319" t="s">
        <v>190</v>
      </c>
      <c r="BA863" s="319" t="s">
        <v>190</v>
      </c>
      <c r="BB863" s="319" t="s">
        <v>190</v>
      </c>
      <c r="BC863" s="319" t="s">
        <v>190</v>
      </c>
      <c r="BD863" s="319" t="s">
        <v>190</v>
      </c>
      <c r="BE863" s="319" t="s">
        <v>190</v>
      </c>
      <c r="BF863" s="319" t="s">
        <v>428</v>
      </c>
      <c r="BG863" s="319" t="s">
        <v>428</v>
      </c>
      <c r="BH863" s="319" t="s">
        <v>190</v>
      </c>
      <c r="BI863" s="319" t="s">
        <v>190</v>
      </c>
      <c r="BJ863" s="319" t="s">
        <v>190</v>
      </c>
      <c r="BK863" s="319" t="s">
        <v>190</v>
      </c>
      <c r="BL863" s="319" t="s">
        <v>190</v>
      </c>
      <c r="BM863" s="319" t="s">
        <v>190</v>
      </c>
      <c r="BN863" s="319" t="s">
        <v>190</v>
      </c>
      <c r="BO863" s="319" t="s">
        <v>190</v>
      </c>
      <c r="BP863" s="319" t="s">
        <v>190</v>
      </c>
      <c r="BQ863" s="319" t="s">
        <v>190</v>
      </c>
      <c r="BR863" s="319" t="s">
        <v>190</v>
      </c>
      <c r="BS863" s="319" t="s">
        <v>190</v>
      </c>
      <c r="BT863" s="319" t="s">
        <v>190</v>
      </c>
      <c r="BU863" s="319" t="s">
        <v>190</v>
      </c>
      <c r="BV863" s="319" t="s">
        <v>190</v>
      </c>
      <c r="BW863" s="319" t="s">
        <v>190</v>
      </c>
      <c r="BX863" s="319" t="s">
        <v>190</v>
      </c>
      <c r="BY863" s="319" t="s">
        <v>190</v>
      </c>
      <c r="BZ863" s="319" t="s">
        <v>190</v>
      </c>
      <c r="CA863" s="319" t="s">
        <v>190</v>
      </c>
      <c r="CB863" s="319" t="s">
        <v>190</v>
      </c>
      <c r="CC863" s="319" t="s">
        <v>190</v>
      </c>
      <c r="CD863" s="319" t="s">
        <v>190</v>
      </c>
      <c r="CE863" s="319" t="s">
        <v>190</v>
      </c>
      <c r="CF863" s="319" t="s">
        <v>190</v>
      </c>
      <c r="CG863" s="319" t="s">
        <v>190</v>
      </c>
      <c r="CH863" s="319" t="s">
        <v>190</v>
      </c>
      <c r="CI863" s="319" t="s">
        <v>190</v>
      </c>
      <c r="CJ863" s="319" t="s">
        <v>190</v>
      </c>
      <c r="CK863" s="319" t="s">
        <v>190</v>
      </c>
      <c r="CL863" s="319" t="s">
        <v>190</v>
      </c>
      <c r="CM863" s="319" t="s">
        <v>190</v>
      </c>
      <c r="CN863" s="319" t="s">
        <v>428</v>
      </c>
      <c r="CO863" s="319" t="s">
        <v>428</v>
      </c>
      <c r="CP863" s="319" t="s">
        <v>428</v>
      </c>
      <c r="CQ863" s="319" t="s">
        <v>190</v>
      </c>
      <c r="CR863" s="319" t="s">
        <v>190</v>
      </c>
      <c r="CS863" s="319" t="s">
        <v>190</v>
      </c>
      <c r="CT863" s="319" t="s">
        <v>190</v>
      </c>
      <c r="CU863" s="319" t="s">
        <v>190</v>
      </c>
      <c r="CV863" s="319" t="s">
        <v>190</v>
      </c>
      <c r="CW863" s="319" t="s">
        <v>190</v>
      </c>
      <c r="CX863" s="319" t="s">
        <v>190</v>
      </c>
      <c r="CY863" s="319" t="s">
        <v>190</v>
      </c>
      <c r="CZ863" s="319" t="s">
        <v>190</v>
      </c>
      <c r="DA863" s="319" t="s">
        <v>190</v>
      </c>
      <c r="DB863" s="319" t="s">
        <v>190</v>
      </c>
      <c r="DC863" s="319" t="s">
        <v>190</v>
      </c>
      <c r="DD863" s="319" t="s">
        <v>190</v>
      </c>
      <c r="DE863" s="319" t="s">
        <v>190</v>
      </c>
      <c r="DF863" s="319" t="s">
        <v>190</v>
      </c>
      <c r="DG863" s="319" t="s">
        <v>190</v>
      </c>
      <c r="DH863" s="319" t="s">
        <v>190</v>
      </c>
      <c r="DI863" s="319" t="s">
        <v>190</v>
      </c>
      <c r="DJ863" s="319" t="s">
        <v>190</v>
      </c>
      <c r="DK863" s="319" t="s">
        <v>190</v>
      </c>
      <c r="DL863" s="319" t="s">
        <v>190</v>
      </c>
      <c r="DM863" s="319" t="s">
        <v>190</v>
      </c>
      <c r="DN863" s="319" t="s">
        <v>428</v>
      </c>
      <c r="DO863" s="319" t="s">
        <v>190</v>
      </c>
      <c r="DP863" s="319" t="s">
        <v>428</v>
      </c>
      <c r="DQ863" s="319" t="s">
        <v>428</v>
      </c>
      <c r="DR863" s="319" t="s">
        <v>428</v>
      </c>
      <c r="DS863" s="319" t="s">
        <v>428</v>
      </c>
      <c r="DT863" s="319" t="s">
        <v>428</v>
      </c>
      <c r="DU863" s="319" t="s">
        <v>428</v>
      </c>
      <c r="DV863" s="319" t="s">
        <v>173</v>
      </c>
      <c r="DW863" s="319" t="s">
        <v>428</v>
      </c>
      <c r="DX863" s="319" t="s">
        <v>428</v>
      </c>
      <c r="DY863" s="319" t="s">
        <v>428</v>
      </c>
      <c r="DZ863" s="319" t="s">
        <v>428</v>
      </c>
      <c r="EA863" s="319" t="s">
        <v>428</v>
      </c>
      <c r="EB863" s="319" t="s">
        <v>428</v>
      </c>
      <c r="EC863" s="319" t="s">
        <v>428</v>
      </c>
      <c r="ED863" s="319" t="s">
        <v>428</v>
      </c>
      <c r="EE863" s="319" t="s">
        <v>190</v>
      </c>
      <c r="EF863" s="319" t="s">
        <v>190</v>
      </c>
      <c r="EG863" s="319" t="s">
        <v>190</v>
      </c>
      <c r="EH863" s="319" t="s">
        <v>190</v>
      </c>
      <c r="EI863" s="319" t="s">
        <v>190</v>
      </c>
      <c r="EJ863" s="319" t="s">
        <v>190</v>
      </c>
      <c r="EK863" s="319" t="s">
        <v>190</v>
      </c>
      <c r="EL863" s="319" t="s">
        <v>190</v>
      </c>
      <c r="EM863" s="319" t="s">
        <v>428</v>
      </c>
      <c r="EN863" s="319" t="s">
        <v>190</v>
      </c>
      <c r="EO863" s="319" t="s">
        <v>190</v>
      </c>
      <c r="EP863" s="319" t="s">
        <v>190</v>
      </c>
      <c r="EQ863" s="319" t="s">
        <v>190</v>
      </c>
      <c r="ER863" s="319" t="s">
        <v>190</v>
      </c>
      <c r="ES863" s="319" t="s">
        <v>190</v>
      </c>
      <c r="ET863" s="319" t="s">
        <v>190</v>
      </c>
      <c r="EU863" s="319" t="s">
        <v>190</v>
      </c>
      <c r="EV863" s="319" t="s">
        <v>190</v>
      </c>
      <c r="EW863" s="319" t="s">
        <v>190</v>
      </c>
      <c r="EX863" s="319" t="s">
        <v>190</v>
      </c>
      <c r="EY863" s="319" t="s">
        <v>190</v>
      </c>
      <c r="EZ863" s="319" t="s">
        <v>190</v>
      </c>
      <c r="FA863" s="319" t="s">
        <v>428</v>
      </c>
      <c r="FB863" s="319" t="s">
        <v>428</v>
      </c>
      <c r="FC863" s="319" t="s">
        <v>428</v>
      </c>
      <c r="FD863" s="319" t="s">
        <v>428</v>
      </c>
      <c r="FE863" s="319" t="s">
        <v>428</v>
      </c>
      <c r="FF863" s="319" t="s">
        <v>428</v>
      </c>
      <c r="FG863" s="319" t="s">
        <v>428</v>
      </c>
      <c r="FH863" s="319" t="s">
        <v>190</v>
      </c>
      <c r="FI863" s="319" t="s">
        <v>428</v>
      </c>
      <c r="FJ863" s="319" t="s">
        <v>429</v>
      </c>
      <c r="FK863" s="319" t="s">
        <v>428</v>
      </c>
      <c r="FL863" s="319" t="s">
        <v>190</v>
      </c>
      <c r="FM863" s="319" t="s">
        <v>190</v>
      </c>
      <c r="FN863" s="319" t="s">
        <v>190</v>
      </c>
      <c r="FO863" s="319" t="s">
        <v>190</v>
      </c>
      <c r="FP863" s="319" t="s">
        <v>190</v>
      </c>
      <c r="FQ863" s="319" t="s">
        <v>190</v>
      </c>
      <c r="FR863" s="319" t="s">
        <v>190</v>
      </c>
      <c r="FS863" s="319" t="s">
        <v>428</v>
      </c>
      <c r="FT863" s="319" t="s">
        <v>190</v>
      </c>
      <c r="FU863" s="319" t="s">
        <v>190</v>
      </c>
      <c r="FV863" s="319" t="s">
        <v>190</v>
      </c>
      <c r="FW863" s="319" t="s">
        <v>190</v>
      </c>
      <c r="FX863" s="319" t="s">
        <v>190</v>
      </c>
      <c r="FY863" s="319" t="s">
        <v>190</v>
      </c>
      <c r="FZ863" s="319" t="s">
        <v>190</v>
      </c>
      <c r="GA863" s="319" t="s">
        <v>190</v>
      </c>
      <c r="GB863" s="319" t="s">
        <v>190</v>
      </c>
      <c r="GC863" s="319" t="s">
        <v>190</v>
      </c>
      <c r="GD863" s="319" t="s">
        <v>190</v>
      </c>
      <c r="GE863" s="319" t="s">
        <v>190</v>
      </c>
      <c r="GF863" s="319" t="s">
        <v>190</v>
      </c>
      <c r="GG863" s="319" t="s">
        <v>190</v>
      </c>
      <c r="GH863" s="319" t="s">
        <v>190</v>
      </c>
      <c r="GI863" s="319" t="s">
        <v>190</v>
      </c>
      <c r="GJ863" s="319" t="s">
        <v>190</v>
      </c>
      <c r="GK863" s="319" t="s">
        <v>428</v>
      </c>
      <c r="GL863" s="319" t="s">
        <v>190</v>
      </c>
      <c r="GM863" s="319" t="s">
        <v>190</v>
      </c>
      <c r="GN863" s="319" t="s">
        <v>190</v>
      </c>
      <c r="GO863" s="319" t="s">
        <v>190</v>
      </c>
      <c r="GP863" s="319" t="s">
        <v>428</v>
      </c>
      <c r="GQ863" s="319" t="s">
        <v>428</v>
      </c>
      <c r="GR863" s="319" t="s">
        <v>190</v>
      </c>
      <c r="GS863" s="319" t="s">
        <v>190</v>
      </c>
      <c r="GT863" s="319" t="s">
        <v>190</v>
      </c>
      <c r="GU863" s="319" t="s">
        <v>190</v>
      </c>
      <c r="GV863" s="319" t="s">
        <v>428</v>
      </c>
      <c r="GW863" s="319" t="s">
        <v>190</v>
      </c>
      <c r="GX863" s="319" t="s">
        <v>190</v>
      </c>
      <c r="GY863" s="319" t="s">
        <v>190</v>
      </c>
      <c r="GZ863" s="319" t="s">
        <v>190</v>
      </c>
      <c r="HA863" s="319" t="s">
        <v>190</v>
      </c>
      <c r="HB863" s="319" t="s">
        <v>190</v>
      </c>
      <c r="HC863" s="319" t="s">
        <v>190</v>
      </c>
      <c r="HD863" s="319" t="s">
        <v>190</v>
      </c>
      <c r="HE863" s="319" t="s">
        <v>190</v>
      </c>
      <c r="HF863" s="319" t="s">
        <v>190</v>
      </c>
      <c r="HG863" s="319" t="s">
        <v>190</v>
      </c>
      <c r="HH863" s="319" t="s">
        <v>190</v>
      </c>
      <c r="HI863" s="319" t="s">
        <v>190</v>
      </c>
      <c r="HJ863" s="319" t="s">
        <v>190</v>
      </c>
      <c r="HK863" s="319" t="s">
        <v>190</v>
      </c>
      <c r="HL863" s="319" t="s">
        <v>428</v>
      </c>
      <c r="HM863" s="319" t="s">
        <v>428</v>
      </c>
      <c r="HN863" s="319" t="s">
        <v>428</v>
      </c>
      <c r="HO863" s="319" t="s">
        <v>428</v>
      </c>
      <c r="HP863" s="319" t="s">
        <v>190</v>
      </c>
      <c r="HQ863" s="319" t="s">
        <v>190</v>
      </c>
      <c r="HR863" s="319" t="s">
        <v>190</v>
      </c>
      <c r="HS863" s="319" t="s">
        <v>190</v>
      </c>
      <c r="HT863" s="319" t="s">
        <v>190</v>
      </c>
      <c r="HU863" s="319" t="s">
        <v>190</v>
      </c>
      <c r="HV863" s="319" t="s">
        <v>190</v>
      </c>
      <c r="HW863" s="319" t="s">
        <v>190</v>
      </c>
      <c r="HX863" s="319" t="s">
        <v>190</v>
      </c>
      <c r="HY863" s="319" t="s">
        <v>190</v>
      </c>
      <c r="HZ863" s="319" t="s">
        <v>190</v>
      </c>
      <c r="IA863" s="319" t="s">
        <v>190</v>
      </c>
      <c r="IB863" s="319" t="s">
        <v>190</v>
      </c>
      <c r="IC863" s="319" t="s">
        <v>190</v>
      </c>
      <c r="ID863" s="319" t="s">
        <v>190</v>
      </c>
      <c r="IE863" s="319" t="s">
        <v>190</v>
      </c>
      <c r="IF863" s="319" t="s">
        <v>190</v>
      </c>
      <c r="IG863" s="319" t="s">
        <v>190</v>
      </c>
      <c r="IH863" s="319" t="s">
        <v>190</v>
      </c>
      <c r="II863" s="319" t="s">
        <v>190</v>
      </c>
      <c r="IJ863" s="319" t="s">
        <v>173</v>
      </c>
      <c r="IK863" s="319" t="s">
        <v>173</v>
      </c>
      <c r="IL863" s="319" t="s">
        <v>173</v>
      </c>
      <c r="IM863" s="319" t="s">
        <v>173</v>
      </c>
      <c r="IN863" s="319" t="s">
        <v>173</v>
      </c>
      <c r="IO863" s="319" t="s">
        <v>173</v>
      </c>
      <c r="IP863" s="319" t="s">
        <v>173</v>
      </c>
      <c r="IQ863" s="319" t="s">
        <v>173</v>
      </c>
      <c r="IR863" s="320" t="s">
        <v>173</v>
      </c>
      <c r="IS863" s="320" t="s">
        <v>173</v>
      </c>
      <c r="IT863" s="319" t="s">
        <v>173</v>
      </c>
    </row>
    <row r="864" spans="1:254" s="271" customFormat="1" x14ac:dyDescent="0.25">
      <c r="A864" s="318" t="str">
        <f>HYPERLINK("http://www.ofsted.gov.uk/inspection-reports/find-inspection-report/provider/ELS/143018 ","Ofsted School Webpage")</f>
        <v>Ofsted School Webpage</v>
      </c>
      <c r="B864" s="319">
        <v>143018</v>
      </c>
      <c r="C864" s="319">
        <v>9166006</v>
      </c>
      <c r="D864" s="319" t="s">
        <v>2756</v>
      </c>
      <c r="E864" s="319" t="s">
        <v>167</v>
      </c>
      <c r="F864" s="319" t="s">
        <v>81</v>
      </c>
      <c r="G864" s="319" t="s">
        <v>81</v>
      </c>
      <c r="H864" s="319" t="s">
        <v>81</v>
      </c>
      <c r="I864" s="319" t="s">
        <v>78</v>
      </c>
      <c r="J864" s="319" t="s">
        <v>424</v>
      </c>
      <c r="K864" s="319" t="s">
        <v>422</v>
      </c>
      <c r="L864" s="319" t="s">
        <v>422</v>
      </c>
      <c r="M864" s="319" t="s">
        <v>846</v>
      </c>
      <c r="N864" s="319" t="s">
        <v>2951</v>
      </c>
      <c r="O864" s="319" t="s">
        <v>1011</v>
      </c>
      <c r="P864" s="319">
        <v>39</v>
      </c>
      <c r="Q864" s="319" t="s">
        <v>2766</v>
      </c>
      <c r="R864" s="320">
        <v>10035559</v>
      </c>
      <c r="S864" s="321">
        <v>43067</v>
      </c>
      <c r="T864" s="321">
        <v>43069</v>
      </c>
      <c r="U864" s="321">
        <v>43123</v>
      </c>
      <c r="V864" s="319" t="s">
        <v>435</v>
      </c>
      <c r="W864" s="319" t="s">
        <v>2767</v>
      </c>
      <c r="X864" s="319">
        <v>4</v>
      </c>
      <c r="Y864" s="319" t="s">
        <v>173</v>
      </c>
      <c r="Z864" s="319" t="s">
        <v>173</v>
      </c>
      <c r="AA864" s="319" t="s">
        <v>173</v>
      </c>
      <c r="AB864" s="319">
        <v>4</v>
      </c>
      <c r="AC864" s="319" t="s">
        <v>170</v>
      </c>
      <c r="AD864" s="319" t="s">
        <v>173</v>
      </c>
      <c r="AE864" s="319" t="s">
        <v>173</v>
      </c>
      <c r="AF864" s="319" t="s">
        <v>427</v>
      </c>
      <c r="AG864" s="319" t="s">
        <v>172</v>
      </c>
      <c r="AH864" s="319" t="s">
        <v>479</v>
      </c>
      <c r="AI864" s="319" t="s">
        <v>190</v>
      </c>
      <c r="AJ864" s="319" t="s">
        <v>479</v>
      </c>
      <c r="AK864" s="319" t="s">
        <v>479</v>
      </c>
      <c r="AL864" s="319" t="s">
        <v>190</v>
      </c>
      <c r="AM864" s="319" t="s">
        <v>190</v>
      </c>
      <c r="AN864" s="319" t="s">
        <v>190</v>
      </c>
      <c r="AO864" s="319" t="s">
        <v>479</v>
      </c>
      <c r="AP864" s="319" t="s">
        <v>190</v>
      </c>
      <c r="AQ864" s="319" t="s">
        <v>190</v>
      </c>
      <c r="AR864" s="319" t="s">
        <v>190</v>
      </c>
      <c r="AS864" s="319" t="s">
        <v>190</v>
      </c>
      <c r="AT864" s="319" t="s">
        <v>190</v>
      </c>
      <c r="AU864" s="319" t="s">
        <v>190</v>
      </c>
      <c r="AV864" s="319" t="s">
        <v>190</v>
      </c>
      <c r="AW864" s="319" t="s">
        <v>190</v>
      </c>
      <c r="AX864" s="319" t="s">
        <v>428</v>
      </c>
      <c r="AY864" s="319" t="s">
        <v>190</v>
      </c>
      <c r="AZ864" s="319" t="s">
        <v>190</v>
      </c>
      <c r="BA864" s="319" t="s">
        <v>190</v>
      </c>
      <c r="BB864" s="319" t="s">
        <v>190</v>
      </c>
      <c r="BC864" s="319" t="s">
        <v>190</v>
      </c>
      <c r="BD864" s="319" t="s">
        <v>190</v>
      </c>
      <c r="BE864" s="319" t="s">
        <v>190</v>
      </c>
      <c r="BF864" s="319" t="s">
        <v>428</v>
      </c>
      <c r="BG864" s="319" t="s">
        <v>428</v>
      </c>
      <c r="BH864" s="319" t="s">
        <v>190</v>
      </c>
      <c r="BI864" s="319" t="s">
        <v>190</v>
      </c>
      <c r="BJ864" s="319" t="s">
        <v>191</v>
      </c>
      <c r="BK864" s="319" t="s">
        <v>191</v>
      </c>
      <c r="BL864" s="319" t="s">
        <v>191</v>
      </c>
      <c r="BM864" s="319" t="s">
        <v>191</v>
      </c>
      <c r="BN864" s="319" t="s">
        <v>191</v>
      </c>
      <c r="BO864" s="319" t="s">
        <v>190</v>
      </c>
      <c r="BP864" s="319" t="s">
        <v>190</v>
      </c>
      <c r="BQ864" s="319" t="s">
        <v>190</v>
      </c>
      <c r="BR864" s="319" t="s">
        <v>190</v>
      </c>
      <c r="BS864" s="319" t="s">
        <v>190</v>
      </c>
      <c r="BT864" s="319" t="s">
        <v>190</v>
      </c>
      <c r="BU864" s="319" t="s">
        <v>190</v>
      </c>
      <c r="BV864" s="319" t="s">
        <v>190</v>
      </c>
      <c r="BW864" s="319" t="s">
        <v>190</v>
      </c>
      <c r="BX864" s="319" t="s">
        <v>190</v>
      </c>
      <c r="BY864" s="319" t="s">
        <v>190</v>
      </c>
      <c r="BZ864" s="319" t="s">
        <v>190</v>
      </c>
      <c r="CA864" s="319" t="s">
        <v>190</v>
      </c>
      <c r="CB864" s="319" t="s">
        <v>190</v>
      </c>
      <c r="CC864" s="319" t="s">
        <v>190</v>
      </c>
      <c r="CD864" s="319" t="s">
        <v>190</v>
      </c>
      <c r="CE864" s="319" t="s">
        <v>190</v>
      </c>
      <c r="CF864" s="319" t="s">
        <v>190</v>
      </c>
      <c r="CG864" s="319" t="s">
        <v>190</v>
      </c>
      <c r="CH864" s="319" t="s">
        <v>190</v>
      </c>
      <c r="CI864" s="319" t="s">
        <v>190</v>
      </c>
      <c r="CJ864" s="319" t="s">
        <v>190</v>
      </c>
      <c r="CK864" s="319" t="s">
        <v>191</v>
      </c>
      <c r="CL864" s="319" t="s">
        <v>191</v>
      </c>
      <c r="CM864" s="319" t="s">
        <v>191</v>
      </c>
      <c r="CN864" s="319" t="s">
        <v>428</v>
      </c>
      <c r="CO864" s="319" t="s">
        <v>428</v>
      </c>
      <c r="CP864" s="319" t="s">
        <v>428</v>
      </c>
      <c r="CQ864" s="319" t="s">
        <v>190</v>
      </c>
      <c r="CR864" s="319" t="s">
        <v>190</v>
      </c>
      <c r="CS864" s="319" t="s">
        <v>190</v>
      </c>
      <c r="CT864" s="319" t="s">
        <v>190</v>
      </c>
      <c r="CU864" s="319" t="s">
        <v>190</v>
      </c>
      <c r="CV864" s="319" t="s">
        <v>191</v>
      </c>
      <c r="CW864" s="319" t="s">
        <v>190</v>
      </c>
      <c r="CX864" s="319" t="s">
        <v>191</v>
      </c>
      <c r="CY864" s="319" t="s">
        <v>190</v>
      </c>
      <c r="CZ864" s="319" t="s">
        <v>191</v>
      </c>
      <c r="DA864" s="319" t="s">
        <v>191</v>
      </c>
      <c r="DB864" s="319" t="s">
        <v>191</v>
      </c>
      <c r="DC864" s="319" t="s">
        <v>191</v>
      </c>
      <c r="DD864" s="319" t="s">
        <v>191</v>
      </c>
      <c r="DE864" s="319" t="s">
        <v>190</v>
      </c>
      <c r="DF864" s="319" t="s">
        <v>190</v>
      </c>
      <c r="DG864" s="319" t="s">
        <v>190</v>
      </c>
      <c r="DH864" s="319" t="s">
        <v>190</v>
      </c>
      <c r="DI864" s="319" t="s">
        <v>190</v>
      </c>
      <c r="DJ864" s="319" t="s">
        <v>190</v>
      </c>
      <c r="DK864" s="319" t="s">
        <v>190</v>
      </c>
      <c r="DL864" s="319" t="s">
        <v>190</v>
      </c>
      <c r="DM864" s="319" t="s">
        <v>191</v>
      </c>
      <c r="DN864" s="319" t="s">
        <v>190</v>
      </c>
      <c r="DO864" s="319" t="s">
        <v>190</v>
      </c>
      <c r="DP864" s="319" t="s">
        <v>428</v>
      </c>
      <c r="DQ864" s="319" t="s">
        <v>428</v>
      </c>
      <c r="DR864" s="319" t="s">
        <v>428</v>
      </c>
      <c r="DS864" s="319" t="s">
        <v>428</v>
      </c>
      <c r="DT864" s="319" t="s">
        <v>428</v>
      </c>
      <c r="DU864" s="319" t="s">
        <v>428</v>
      </c>
      <c r="DV864" s="319" t="s">
        <v>173</v>
      </c>
      <c r="DW864" s="319" t="s">
        <v>428</v>
      </c>
      <c r="DX864" s="319" t="s">
        <v>428</v>
      </c>
      <c r="DY864" s="319" t="s">
        <v>428</v>
      </c>
      <c r="DZ864" s="319" t="s">
        <v>428</v>
      </c>
      <c r="EA864" s="319" t="s">
        <v>428</v>
      </c>
      <c r="EB864" s="319" t="s">
        <v>428</v>
      </c>
      <c r="EC864" s="319" t="s">
        <v>428</v>
      </c>
      <c r="ED864" s="319" t="s">
        <v>428</v>
      </c>
      <c r="EE864" s="319" t="s">
        <v>428</v>
      </c>
      <c r="EF864" s="319" t="s">
        <v>428</v>
      </c>
      <c r="EG864" s="319" t="s">
        <v>428</v>
      </c>
      <c r="EH864" s="319" t="s">
        <v>428</v>
      </c>
      <c r="EI864" s="319" t="s">
        <v>428</v>
      </c>
      <c r="EJ864" s="319" t="s">
        <v>428</v>
      </c>
      <c r="EK864" s="319" t="s">
        <v>428</v>
      </c>
      <c r="EL864" s="319" t="s">
        <v>428</v>
      </c>
      <c r="EM864" s="319" t="s">
        <v>428</v>
      </c>
      <c r="EN864" s="319" t="s">
        <v>191</v>
      </c>
      <c r="EO864" s="319" t="s">
        <v>190</v>
      </c>
      <c r="EP864" s="319" t="s">
        <v>191</v>
      </c>
      <c r="EQ864" s="319" t="s">
        <v>190</v>
      </c>
      <c r="ER864" s="319" t="s">
        <v>190</v>
      </c>
      <c r="ES864" s="319" t="s">
        <v>190</v>
      </c>
      <c r="ET864" s="319" t="s">
        <v>190</v>
      </c>
      <c r="EU864" s="319" t="s">
        <v>190</v>
      </c>
      <c r="EV864" s="319" t="s">
        <v>190</v>
      </c>
      <c r="EW864" s="319" t="s">
        <v>190</v>
      </c>
      <c r="EX864" s="319" t="s">
        <v>190</v>
      </c>
      <c r="EY864" s="319" t="s">
        <v>191</v>
      </c>
      <c r="EZ864" s="319" t="s">
        <v>190</v>
      </c>
      <c r="FA864" s="319" t="s">
        <v>428</v>
      </c>
      <c r="FB864" s="319" t="s">
        <v>428</v>
      </c>
      <c r="FC864" s="319" t="s">
        <v>428</v>
      </c>
      <c r="FD864" s="319" t="s">
        <v>428</v>
      </c>
      <c r="FE864" s="319" t="s">
        <v>428</v>
      </c>
      <c r="FF864" s="319" t="s">
        <v>428</v>
      </c>
      <c r="FG864" s="319" t="s">
        <v>428</v>
      </c>
      <c r="FH864" s="319" t="s">
        <v>428</v>
      </c>
      <c r="FI864" s="319" t="s">
        <v>428</v>
      </c>
      <c r="FJ864" s="319" t="s">
        <v>429</v>
      </c>
      <c r="FK864" s="319" t="s">
        <v>428</v>
      </c>
      <c r="FL864" s="319" t="s">
        <v>190</v>
      </c>
      <c r="FM864" s="319" t="s">
        <v>190</v>
      </c>
      <c r="FN864" s="319" t="s">
        <v>190</v>
      </c>
      <c r="FO864" s="319" t="s">
        <v>190</v>
      </c>
      <c r="FP864" s="319" t="s">
        <v>190</v>
      </c>
      <c r="FQ864" s="319" t="s">
        <v>190</v>
      </c>
      <c r="FR864" s="319" t="s">
        <v>190</v>
      </c>
      <c r="FS864" s="319" t="s">
        <v>428</v>
      </c>
      <c r="FT864" s="319" t="s">
        <v>190</v>
      </c>
      <c r="FU864" s="319" t="s">
        <v>190</v>
      </c>
      <c r="FV864" s="319" t="s">
        <v>190</v>
      </c>
      <c r="FW864" s="319" t="s">
        <v>190</v>
      </c>
      <c r="FX864" s="319" t="s">
        <v>190</v>
      </c>
      <c r="FY864" s="319" t="s">
        <v>190</v>
      </c>
      <c r="FZ864" s="319" t="s">
        <v>190</v>
      </c>
      <c r="GA864" s="319" t="s">
        <v>190</v>
      </c>
      <c r="GB864" s="319" t="s">
        <v>190</v>
      </c>
      <c r="GC864" s="319" t="s">
        <v>190</v>
      </c>
      <c r="GD864" s="319" t="s">
        <v>190</v>
      </c>
      <c r="GE864" s="319" t="s">
        <v>190</v>
      </c>
      <c r="GF864" s="319" t="s">
        <v>190</v>
      </c>
      <c r="GG864" s="319" t="s">
        <v>190</v>
      </c>
      <c r="GH864" s="319" t="s">
        <v>190</v>
      </c>
      <c r="GI864" s="319" t="s">
        <v>190</v>
      </c>
      <c r="GJ864" s="319" t="s">
        <v>190</v>
      </c>
      <c r="GK864" s="319" t="s">
        <v>428</v>
      </c>
      <c r="GL864" s="319" t="s">
        <v>190</v>
      </c>
      <c r="GM864" s="319" t="s">
        <v>190</v>
      </c>
      <c r="GN864" s="319" t="s">
        <v>190</v>
      </c>
      <c r="GO864" s="319" t="s">
        <v>190</v>
      </c>
      <c r="GP864" s="319" t="s">
        <v>428</v>
      </c>
      <c r="GQ864" s="319" t="s">
        <v>428</v>
      </c>
      <c r="GR864" s="319" t="s">
        <v>190</v>
      </c>
      <c r="GS864" s="319" t="s">
        <v>190</v>
      </c>
      <c r="GT864" s="319" t="s">
        <v>428</v>
      </c>
      <c r="GU864" s="319" t="s">
        <v>190</v>
      </c>
      <c r="GV864" s="319" t="s">
        <v>190</v>
      </c>
      <c r="GW864" s="319" t="s">
        <v>190</v>
      </c>
      <c r="GX864" s="319" t="s">
        <v>190</v>
      </c>
      <c r="GY864" s="319" t="s">
        <v>190</v>
      </c>
      <c r="GZ864" s="319" t="s">
        <v>190</v>
      </c>
      <c r="HA864" s="319" t="s">
        <v>428</v>
      </c>
      <c r="HB864" s="319" t="s">
        <v>428</v>
      </c>
      <c r="HC864" s="319" t="s">
        <v>190</v>
      </c>
      <c r="HD864" s="319" t="s">
        <v>190</v>
      </c>
      <c r="HE864" s="319" t="s">
        <v>190</v>
      </c>
      <c r="HF864" s="319" t="s">
        <v>190</v>
      </c>
      <c r="HG864" s="319" t="s">
        <v>190</v>
      </c>
      <c r="HH864" s="319" t="s">
        <v>190</v>
      </c>
      <c r="HI864" s="319" t="s">
        <v>190</v>
      </c>
      <c r="HJ864" s="319" t="s">
        <v>190</v>
      </c>
      <c r="HK864" s="319" t="s">
        <v>428</v>
      </c>
      <c r="HL864" s="319" t="s">
        <v>428</v>
      </c>
      <c r="HM864" s="319" t="s">
        <v>428</v>
      </c>
      <c r="HN864" s="319" t="s">
        <v>428</v>
      </c>
      <c r="HO864" s="319" t="s">
        <v>428</v>
      </c>
      <c r="HP864" s="319" t="s">
        <v>190</v>
      </c>
      <c r="HQ864" s="319" t="s">
        <v>190</v>
      </c>
      <c r="HR864" s="319" t="s">
        <v>190</v>
      </c>
      <c r="HS864" s="319" t="s">
        <v>190</v>
      </c>
      <c r="HT864" s="319" t="s">
        <v>190</v>
      </c>
      <c r="HU864" s="319" t="s">
        <v>190</v>
      </c>
      <c r="HV864" s="319" t="s">
        <v>190</v>
      </c>
      <c r="HW864" s="319" t="s">
        <v>190</v>
      </c>
      <c r="HX864" s="319" t="s">
        <v>190</v>
      </c>
      <c r="HY864" s="319" t="s">
        <v>190</v>
      </c>
      <c r="HZ864" s="319" t="s">
        <v>190</v>
      </c>
      <c r="IA864" s="319" t="s">
        <v>190</v>
      </c>
      <c r="IB864" s="319" t="s">
        <v>190</v>
      </c>
      <c r="IC864" s="319" t="s">
        <v>190</v>
      </c>
      <c r="ID864" s="319" t="s">
        <v>190</v>
      </c>
      <c r="IE864" s="319" t="s">
        <v>190</v>
      </c>
      <c r="IF864" s="319" t="s">
        <v>191</v>
      </c>
      <c r="IG864" s="319" t="s">
        <v>191</v>
      </c>
      <c r="IH864" s="319" t="s">
        <v>191</v>
      </c>
      <c r="II864" s="319" t="s">
        <v>191</v>
      </c>
      <c r="IJ864" s="319" t="s">
        <v>173</v>
      </c>
      <c r="IK864" s="319" t="s">
        <v>173</v>
      </c>
      <c r="IL864" s="319" t="s">
        <v>173</v>
      </c>
      <c r="IM864" s="319" t="s">
        <v>173</v>
      </c>
      <c r="IN864" s="319" t="s">
        <v>173</v>
      </c>
      <c r="IO864" s="319">
        <v>10118366</v>
      </c>
      <c r="IP864" s="319" t="s">
        <v>985</v>
      </c>
      <c r="IQ864" s="321">
        <v>43781</v>
      </c>
      <c r="IR864" s="320" t="s">
        <v>2771</v>
      </c>
      <c r="IS864" s="322">
        <v>43801</v>
      </c>
      <c r="IT864" s="319" t="s">
        <v>165</v>
      </c>
    </row>
    <row r="865" spans="1:254" s="271" customFormat="1" x14ac:dyDescent="0.25">
      <c r="A865" s="318" t="str">
        <f>HYPERLINK("http://www.ofsted.gov.uk/inspection-reports/find-inspection-report/provider/ELS/143019 ","Ofsted School Webpage")</f>
        <v>Ofsted School Webpage</v>
      </c>
      <c r="B865" s="319">
        <v>143019</v>
      </c>
      <c r="C865" s="319">
        <v>3016005</v>
      </c>
      <c r="D865" s="319" t="s">
        <v>2380</v>
      </c>
      <c r="E865" s="319" t="s">
        <v>167</v>
      </c>
      <c r="F865" s="319" t="s">
        <v>81</v>
      </c>
      <c r="G865" s="319" t="s">
        <v>81</v>
      </c>
      <c r="H865" s="319" t="s">
        <v>81</v>
      </c>
      <c r="I865" s="319" t="s">
        <v>78</v>
      </c>
      <c r="J865" s="319" t="s">
        <v>424</v>
      </c>
      <c r="K865" s="319" t="s">
        <v>441</v>
      </c>
      <c r="L865" s="319" t="s">
        <v>441</v>
      </c>
      <c r="M865" s="319" t="s">
        <v>604</v>
      </c>
      <c r="N865" s="319" t="s">
        <v>3213</v>
      </c>
      <c r="O865" s="319" t="s">
        <v>2381</v>
      </c>
      <c r="P865" s="319">
        <v>0</v>
      </c>
      <c r="Q865" s="319" t="s">
        <v>2766</v>
      </c>
      <c r="R865" s="320">
        <v>10035817</v>
      </c>
      <c r="S865" s="321">
        <v>43039</v>
      </c>
      <c r="T865" s="321">
        <v>43041</v>
      </c>
      <c r="U865" s="321">
        <v>43070</v>
      </c>
      <c r="V865" s="319" t="s">
        <v>435</v>
      </c>
      <c r="W865" s="319" t="s">
        <v>2767</v>
      </c>
      <c r="X865" s="319">
        <v>2</v>
      </c>
      <c r="Y865" s="319" t="s">
        <v>173</v>
      </c>
      <c r="Z865" s="319" t="s">
        <v>173</v>
      </c>
      <c r="AA865" s="319" t="s">
        <v>173</v>
      </c>
      <c r="AB865" s="319">
        <v>2</v>
      </c>
      <c r="AC865" s="319" t="s">
        <v>169</v>
      </c>
      <c r="AD865" s="319" t="s">
        <v>173</v>
      </c>
      <c r="AE865" s="319" t="s">
        <v>173</v>
      </c>
      <c r="AF865" s="319" t="s">
        <v>427</v>
      </c>
      <c r="AG865" s="319" t="s">
        <v>171</v>
      </c>
      <c r="AH865" s="319" t="s">
        <v>190</v>
      </c>
      <c r="AI865" s="319" t="s">
        <v>190</v>
      </c>
      <c r="AJ865" s="319" t="s">
        <v>190</v>
      </c>
      <c r="AK865" s="319" t="s">
        <v>190</v>
      </c>
      <c r="AL865" s="319" t="s">
        <v>190</v>
      </c>
      <c r="AM865" s="319" t="s">
        <v>190</v>
      </c>
      <c r="AN865" s="319" t="s">
        <v>190</v>
      </c>
      <c r="AO865" s="319" t="s">
        <v>190</v>
      </c>
      <c r="AP865" s="319" t="s">
        <v>190</v>
      </c>
      <c r="AQ865" s="319" t="s">
        <v>190</v>
      </c>
      <c r="AR865" s="319" t="s">
        <v>190</v>
      </c>
      <c r="AS865" s="319" t="s">
        <v>190</v>
      </c>
      <c r="AT865" s="319" t="s">
        <v>190</v>
      </c>
      <c r="AU865" s="319" t="s">
        <v>190</v>
      </c>
      <c r="AV865" s="319" t="s">
        <v>190</v>
      </c>
      <c r="AW865" s="319" t="s">
        <v>190</v>
      </c>
      <c r="AX865" s="319" t="s">
        <v>428</v>
      </c>
      <c r="AY865" s="319" t="s">
        <v>190</v>
      </c>
      <c r="AZ865" s="319" t="s">
        <v>190</v>
      </c>
      <c r="BA865" s="319" t="s">
        <v>190</v>
      </c>
      <c r="BB865" s="319" t="s">
        <v>190</v>
      </c>
      <c r="BC865" s="319" t="s">
        <v>190</v>
      </c>
      <c r="BD865" s="319" t="s">
        <v>190</v>
      </c>
      <c r="BE865" s="319" t="s">
        <v>190</v>
      </c>
      <c r="BF865" s="319" t="s">
        <v>190</v>
      </c>
      <c r="BG865" s="319" t="s">
        <v>190</v>
      </c>
      <c r="BH865" s="319" t="s">
        <v>190</v>
      </c>
      <c r="BI865" s="319" t="s">
        <v>190</v>
      </c>
      <c r="BJ865" s="319" t="s">
        <v>190</v>
      </c>
      <c r="BK865" s="319" t="s">
        <v>190</v>
      </c>
      <c r="BL865" s="319" t="s">
        <v>190</v>
      </c>
      <c r="BM865" s="319" t="s">
        <v>190</v>
      </c>
      <c r="BN865" s="319" t="s">
        <v>190</v>
      </c>
      <c r="BO865" s="319" t="s">
        <v>190</v>
      </c>
      <c r="BP865" s="319" t="s">
        <v>190</v>
      </c>
      <c r="BQ865" s="319" t="s">
        <v>190</v>
      </c>
      <c r="BR865" s="319" t="s">
        <v>190</v>
      </c>
      <c r="BS865" s="319" t="s">
        <v>190</v>
      </c>
      <c r="BT865" s="319" t="s">
        <v>190</v>
      </c>
      <c r="BU865" s="319" t="s">
        <v>190</v>
      </c>
      <c r="BV865" s="319" t="s">
        <v>190</v>
      </c>
      <c r="BW865" s="319" t="s">
        <v>190</v>
      </c>
      <c r="BX865" s="319" t="s">
        <v>190</v>
      </c>
      <c r="BY865" s="319" t="s">
        <v>190</v>
      </c>
      <c r="BZ865" s="319" t="s">
        <v>190</v>
      </c>
      <c r="CA865" s="319" t="s">
        <v>190</v>
      </c>
      <c r="CB865" s="319" t="s">
        <v>190</v>
      </c>
      <c r="CC865" s="319" t="s">
        <v>190</v>
      </c>
      <c r="CD865" s="319" t="s">
        <v>190</v>
      </c>
      <c r="CE865" s="319" t="s">
        <v>190</v>
      </c>
      <c r="CF865" s="319" t="s">
        <v>190</v>
      </c>
      <c r="CG865" s="319" t="s">
        <v>190</v>
      </c>
      <c r="CH865" s="319" t="s">
        <v>190</v>
      </c>
      <c r="CI865" s="319" t="s">
        <v>190</v>
      </c>
      <c r="CJ865" s="319" t="s">
        <v>190</v>
      </c>
      <c r="CK865" s="319" t="s">
        <v>190</v>
      </c>
      <c r="CL865" s="319" t="s">
        <v>190</v>
      </c>
      <c r="CM865" s="319" t="s">
        <v>190</v>
      </c>
      <c r="CN865" s="319" t="s">
        <v>428</v>
      </c>
      <c r="CO865" s="319" t="s">
        <v>428</v>
      </c>
      <c r="CP865" s="319" t="s">
        <v>428</v>
      </c>
      <c r="CQ865" s="319" t="s">
        <v>190</v>
      </c>
      <c r="CR865" s="319" t="s">
        <v>190</v>
      </c>
      <c r="CS865" s="319" t="s">
        <v>190</v>
      </c>
      <c r="CT865" s="319" t="s">
        <v>190</v>
      </c>
      <c r="CU865" s="319" t="s">
        <v>190</v>
      </c>
      <c r="CV865" s="319" t="s">
        <v>190</v>
      </c>
      <c r="CW865" s="319" t="s">
        <v>190</v>
      </c>
      <c r="CX865" s="319" t="s">
        <v>190</v>
      </c>
      <c r="CY865" s="319" t="s">
        <v>190</v>
      </c>
      <c r="CZ865" s="319" t="s">
        <v>190</v>
      </c>
      <c r="DA865" s="319" t="s">
        <v>190</v>
      </c>
      <c r="DB865" s="319" t="s">
        <v>190</v>
      </c>
      <c r="DC865" s="319" t="s">
        <v>190</v>
      </c>
      <c r="DD865" s="319" t="s">
        <v>190</v>
      </c>
      <c r="DE865" s="319" t="s">
        <v>190</v>
      </c>
      <c r="DF865" s="319" t="s">
        <v>190</v>
      </c>
      <c r="DG865" s="319" t="s">
        <v>190</v>
      </c>
      <c r="DH865" s="319" t="s">
        <v>190</v>
      </c>
      <c r="DI865" s="319" t="s">
        <v>190</v>
      </c>
      <c r="DJ865" s="319" t="s">
        <v>190</v>
      </c>
      <c r="DK865" s="319" t="s">
        <v>190</v>
      </c>
      <c r="DL865" s="319" t="s">
        <v>190</v>
      </c>
      <c r="DM865" s="319" t="s">
        <v>190</v>
      </c>
      <c r="DN865" s="319" t="s">
        <v>190</v>
      </c>
      <c r="DO865" s="319" t="s">
        <v>190</v>
      </c>
      <c r="DP865" s="319" t="s">
        <v>428</v>
      </c>
      <c r="DQ865" s="319" t="s">
        <v>428</v>
      </c>
      <c r="DR865" s="319" t="s">
        <v>428</v>
      </c>
      <c r="DS865" s="319" t="s">
        <v>428</v>
      </c>
      <c r="DT865" s="319" t="s">
        <v>428</v>
      </c>
      <c r="DU865" s="319" t="s">
        <v>428</v>
      </c>
      <c r="DV865" s="319" t="s">
        <v>173</v>
      </c>
      <c r="DW865" s="319" t="s">
        <v>428</v>
      </c>
      <c r="DX865" s="319" t="s">
        <v>428</v>
      </c>
      <c r="DY865" s="319" t="s">
        <v>428</v>
      </c>
      <c r="DZ865" s="319" t="s">
        <v>428</v>
      </c>
      <c r="EA865" s="319" t="s">
        <v>428</v>
      </c>
      <c r="EB865" s="319" t="s">
        <v>428</v>
      </c>
      <c r="EC865" s="319" t="s">
        <v>428</v>
      </c>
      <c r="ED865" s="319" t="s">
        <v>428</v>
      </c>
      <c r="EE865" s="319" t="s">
        <v>428</v>
      </c>
      <c r="EF865" s="319" t="s">
        <v>428</v>
      </c>
      <c r="EG865" s="319" t="s">
        <v>428</v>
      </c>
      <c r="EH865" s="319" t="s">
        <v>428</v>
      </c>
      <c r="EI865" s="319" t="s">
        <v>428</v>
      </c>
      <c r="EJ865" s="319" t="s">
        <v>428</v>
      </c>
      <c r="EK865" s="319" t="s">
        <v>428</v>
      </c>
      <c r="EL865" s="319" t="s">
        <v>428</v>
      </c>
      <c r="EM865" s="319" t="s">
        <v>428</v>
      </c>
      <c r="EN865" s="319" t="s">
        <v>190</v>
      </c>
      <c r="EO865" s="319" t="s">
        <v>190</v>
      </c>
      <c r="EP865" s="319" t="s">
        <v>190</v>
      </c>
      <c r="EQ865" s="319" t="s">
        <v>190</v>
      </c>
      <c r="ER865" s="319" t="s">
        <v>190</v>
      </c>
      <c r="ES865" s="319" t="s">
        <v>190</v>
      </c>
      <c r="ET865" s="319" t="s">
        <v>190</v>
      </c>
      <c r="EU865" s="319" t="s">
        <v>190</v>
      </c>
      <c r="EV865" s="319" t="s">
        <v>190</v>
      </c>
      <c r="EW865" s="319" t="s">
        <v>190</v>
      </c>
      <c r="EX865" s="319" t="s">
        <v>190</v>
      </c>
      <c r="EY865" s="319" t="s">
        <v>190</v>
      </c>
      <c r="EZ865" s="319" t="s">
        <v>190</v>
      </c>
      <c r="FA865" s="319" t="s">
        <v>190</v>
      </c>
      <c r="FB865" s="319" t="s">
        <v>190</v>
      </c>
      <c r="FC865" s="319" t="s">
        <v>190</v>
      </c>
      <c r="FD865" s="319" t="s">
        <v>190</v>
      </c>
      <c r="FE865" s="319" t="s">
        <v>190</v>
      </c>
      <c r="FF865" s="319" t="s">
        <v>190</v>
      </c>
      <c r="FG865" s="319" t="s">
        <v>190</v>
      </c>
      <c r="FH865" s="319" t="s">
        <v>190</v>
      </c>
      <c r="FI865" s="319" t="s">
        <v>190</v>
      </c>
      <c r="FJ865" s="319" t="s">
        <v>190</v>
      </c>
      <c r="FK865" s="319" t="s">
        <v>190</v>
      </c>
      <c r="FL865" s="319" t="s">
        <v>190</v>
      </c>
      <c r="FM865" s="319" t="s">
        <v>190</v>
      </c>
      <c r="FN865" s="319" t="s">
        <v>190</v>
      </c>
      <c r="FO865" s="319" t="s">
        <v>190</v>
      </c>
      <c r="FP865" s="319" t="s">
        <v>190</v>
      </c>
      <c r="FQ865" s="319" t="s">
        <v>190</v>
      </c>
      <c r="FR865" s="319" t="s">
        <v>190</v>
      </c>
      <c r="FS865" s="319" t="s">
        <v>428</v>
      </c>
      <c r="FT865" s="319" t="s">
        <v>428</v>
      </c>
      <c r="FU865" s="319" t="s">
        <v>190</v>
      </c>
      <c r="FV865" s="319" t="s">
        <v>190</v>
      </c>
      <c r="FW865" s="319" t="s">
        <v>190</v>
      </c>
      <c r="FX865" s="319" t="s">
        <v>190</v>
      </c>
      <c r="FY865" s="319" t="s">
        <v>190</v>
      </c>
      <c r="FZ865" s="319" t="s">
        <v>190</v>
      </c>
      <c r="GA865" s="319" t="s">
        <v>190</v>
      </c>
      <c r="GB865" s="319" t="s">
        <v>190</v>
      </c>
      <c r="GC865" s="319" t="s">
        <v>190</v>
      </c>
      <c r="GD865" s="319" t="s">
        <v>190</v>
      </c>
      <c r="GE865" s="319" t="s">
        <v>190</v>
      </c>
      <c r="GF865" s="319" t="s">
        <v>190</v>
      </c>
      <c r="GG865" s="319" t="s">
        <v>190</v>
      </c>
      <c r="GH865" s="319" t="s">
        <v>190</v>
      </c>
      <c r="GI865" s="319" t="s">
        <v>190</v>
      </c>
      <c r="GJ865" s="319" t="s">
        <v>190</v>
      </c>
      <c r="GK865" s="319" t="s">
        <v>428</v>
      </c>
      <c r="GL865" s="319" t="s">
        <v>190</v>
      </c>
      <c r="GM865" s="319" t="s">
        <v>190</v>
      </c>
      <c r="GN865" s="319" t="s">
        <v>190</v>
      </c>
      <c r="GO865" s="319" t="s">
        <v>190</v>
      </c>
      <c r="GP865" s="319" t="s">
        <v>190</v>
      </c>
      <c r="GQ865" s="319" t="s">
        <v>428</v>
      </c>
      <c r="GR865" s="319" t="s">
        <v>190</v>
      </c>
      <c r="GS865" s="319" t="s">
        <v>190</v>
      </c>
      <c r="GT865" s="319" t="s">
        <v>428</v>
      </c>
      <c r="GU865" s="319" t="s">
        <v>428</v>
      </c>
      <c r="GV865" s="319" t="s">
        <v>190</v>
      </c>
      <c r="GW865" s="319" t="s">
        <v>190</v>
      </c>
      <c r="GX865" s="319" t="s">
        <v>190</v>
      </c>
      <c r="GY865" s="319" t="s">
        <v>190</v>
      </c>
      <c r="GZ865" s="319" t="s">
        <v>190</v>
      </c>
      <c r="HA865" s="319" t="s">
        <v>428</v>
      </c>
      <c r="HB865" s="319" t="s">
        <v>428</v>
      </c>
      <c r="HC865" s="319" t="s">
        <v>190</v>
      </c>
      <c r="HD865" s="319" t="s">
        <v>190</v>
      </c>
      <c r="HE865" s="319" t="s">
        <v>190</v>
      </c>
      <c r="HF865" s="319" t="s">
        <v>190</v>
      </c>
      <c r="HG865" s="319" t="s">
        <v>190</v>
      </c>
      <c r="HH865" s="319" t="s">
        <v>190</v>
      </c>
      <c r="HI865" s="319" t="s">
        <v>190</v>
      </c>
      <c r="HJ865" s="319" t="s">
        <v>190</v>
      </c>
      <c r="HK865" s="319" t="s">
        <v>428</v>
      </c>
      <c r="HL865" s="319" t="s">
        <v>428</v>
      </c>
      <c r="HM865" s="319" t="s">
        <v>428</v>
      </c>
      <c r="HN865" s="319" t="s">
        <v>428</v>
      </c>
      <c r="HO865" s="319" t="s">
        <v>428</v>
      </c>
      <c r="HP865" s="319" t="s">
        <v>190</v>
      </c>
      <c r="HQ865" s="319" t="s">
        <v>190</v>
      </c>
      <c r="HR865" s="319" t="s">
        <v>190</v>
      </c>
      <c r="HS865" s="319" t="s">
        <v>190</v>
      </c>
      <c r="HT865" s="319" t="s">
        <v>190</v>
      </c>
      <c r="HU865" s="319" t="s">
        <v>190</v>
      </c>
      <c r="HV865" s="319" t="s">
        <v>190</v>
      </c>
      <c r="HW865" s="319" t="s">
        <v>190</v>
      </c>
      <c r="HX865" s="319" t="s">
        <v>190</v>
      </c>
      <c r="HY865" s="319" t="s">
        <v>190</v>
      </c>
      <c r="HZ865" s="319" t="s">
        <v>190</v>
      </c>
      <c r="IA865" s="319" t="s">
        <v>190</v>
      </c>
      <c r="IB865" s="319" t="s">
        <v>190</v>
      </c>
      <c r="IC865" s="319" t="s">
        <v>190</v>
      </c>
      <c r="ID865" s="319" t="s">
        <v>190</v>
      </c>
      <c r="IE865" s="319" t="s">
        <v>190</v>
      </c>
      <c r="IF865" s="319" t="s">
        <v>190</v>
      </c>
      <c r="IG865" s="319" t="s">
        <v>190</v>
      </c>
      <c r="IH865" s="319" t="s">
        <v>190</v>
      </c>
      <c r="II865" s="319" t="s">
        <v>190</v>
      </c>
      <c r="IJ865" s="319" t="s">
        <v>173</v>
      </c>
      <c r="IK865" s="319" t="s">
        <v>173</v>
      </c>
      <c r="IL865" s="319" t="s">
        <v>173</v>
      </c>
      <c r="IM865" s="319" t="s">
        <v>173</v>
      </c>
      <c r="IN865" s="319" t="s">
        <v>173</v>
      </c>
      <c r="IO865" s="319" t="s">
        <v>173</v>
      </c>
      <c r="IP865" s="319" t="s">
        <v>173</v>
      </c>
      <c r="IQ865" s="319" t="s">
        <v>173</v>
      </c>
      <c r="IR865" s="320" t="s">
        <v>173</v>
      </c>
      <c r="IS865" s="320" t="s">
        <v>173</v>
      </c>
      <c r="IT865" s="319" t="s">
        <v>173</v>
      </c>
    </row>
    <row r="866" spans="1:254" s="271" customFormat="1" x14ac:dyDescent="0.25">
      <c r="A866" s="318" t="str">
        <f>HYPERLINK("http://www.ofsted.gov.uk/inspection-reports/find-inspection-report/provider/ELS/143026 ","Ofsted School Webpage")</f>
        <v>Ofsted School Webpage</v>
      </c>
      <c r="B866" s="319">
        <v>143026</v>
      </c>
      <c r="C866" s="319">
        <v>3506004</v>
      </c>
      <c r="D866" s="319" t="s">
        <v>2382</v>
      </c>
      <c r="E866" s="319" t="s">
        <v>168</v>
      </c>
      <c r="F866" s="319" t="s">
        <v>81</v>
      </c>
      <c r="G866" s="319" t="s">
        <v>81</v>
      </c>
      <c r="H866" s="319" t="s">
        <v>81</v>
      </c>
      <c r="I866" s="319" t="s">
        <v>78</v>
      </c>
      <c r="J866" s="319" t="s">
        <v>424</v>
      </c>
      <c r="K866" s="319" t="s">
        <v>431</v>
      </c>
      <c r="L866" s="319" t="s">
        <v>431</v>
      </c>
      <c r="M866" s="319" t="s">
        <v>1031</v>
      </c>
      <c r="N866" s="319" t="s">
        <v>2866</v>
      </c>
      <c r="O866" s="319" t="s">
        <v>2383</v>
      </c>
      <c r="P866" s="319">
        <v>31</v>
      </c>
      <c r="Q866" s="319" t="s">
        <v>429</v>
      </c>
      <c r="R866" s="320">
        <v>10034043</v>
      </c>
      <c r="S866" s="321">
        <v>42920</v>
      </c>
      <c r="T866" s="321">
        <v>42922</v>
      </c>
      <c r="U866" s="321">
        <v>42940</v>
      </c>
      <c r="V866" s="319" t="s">
        <v>435</v>
      </c>
      <c r="W866" s="319" t="s">
        <v>2767</v>
      </c>
      <c r="X866" s="319">
        <v>2</v>
      </c>
      <c r="Y866" s="319" t="s">
        <v>173</v>
      </c>
      <c r="Z866" s="319" t="s">
        <v>173</v>
      </c>
      <c r="AA866" s="319" t="s">
        <v>173</v>
      </c>
      <c r="AB866" s="319">
        <v>2</v>
      </c>
      <c r="AC866" s="319" t="s">
        <v>169</v>
      </c>
      <c r="AD866" s="319" t="s">
        <v>173</v>
      </c>
      <c r="AE866" s="319">
        <v>2</v>
      </c>
      <c r="AF866" s="319" t="s">
        <v>173</v>
      </c>
      <c r="AG866" s="319" t="s">
        <v>171</v>
      </c>
      <c r="AH866" s="319" t="s">
        <v>190</v>
      </c>
      <c r="AI866" s="319" t="s">
        <v>190</v>
      </c>
      <c r="AJ866" s="319" t="s">
        <v>190</v>
      </c>
      <c r="AK866" s="319" t="s">
        <v>190</v>
      </c>
      <c r="AL866" s="319" t="s">
        <v>190</v>
      </c>
      <c r="AM866" s="319" t="s">
        <v>190</v>
      </c>
      <c r="AN866" s="319" t="s">
        <v>190</v>
      </c>
      <c r="AO866" s="319" t="s">
        <v>190</v>
      </c>
      <c r="AP866" s="319" t="s">
        <v>190</v>
      </c>
      <c r="AQ866" s="319" t="s">
        <v>190</v>
      </c>
      <c r="AR866" s="319" t="s">
        <v>190</v>
      </c>
      <c r="AS866" s="319" t="s">
        <v>190</v>
      </c>
      <c r="AT866" s="319" t="s">
        <v>190</v>
      </c>
      <c r="AU866" s="319" t="s">
        <v>190</v>
      </c>
      <c r="AV866" s="319" t="s">
        <v>190</v>
      </c>
      <c r="AW866" s="319" t="s">
        <v>190</v>
      </c>
      <c r="AX866" s="319" t="s">
        <v>429</v>
      </c>
      <c r="AY866" s="319" t="s">
        <v>190</v>
      </c>
      <c r="AZ866" s="319" t="s">
        <v>190</v>
      </c>
      <c r="BA866" s="319" t="s">
        <v>190</v>
      </c>
      <c r="BB866" s="319" t="s">
        <v>190</v>
      </c>
      <c r="BC866" s="319" t="s">
        <v>190</v>
      </c>
      <c r="BD866" s="319" t="s">
        <v>190</v>
      </c>
      <c r="BE866" s="319" t="s">
        <v>190</v>
      </c>
      <c r="BF866" s="319" t="s">
        <v>429</v>
      </c>
      <c r="BG866" s="319" t="s">
        <v>190</v>
      </c>
      <c r="BH866" s="319" t="s">
        <v>190</v>
      </c>
      <c r="BI866" s="319" t="s">
        <v>190</v>
      </c>
      <c r="BJ866" s="319" t="s">
        <v>190</v>
      </c>
      <c r="BK866" s="319" t="s">
        <v>190</v>
      </c>
      <c r="BL866" s="319" t="s">
        <v>190</v>
      </c>
      <c r="BM866" s="319" t="s">
        <v>190</v>
      </c>
      <c r="BN866" s="319" t="s">
        <v>190</v>
      </c>
      <c r="BO866" s="319" t="s">
        <v>190</v>
      </c>
      <c r="BP866" s="319" t="s">
        <v>190</v>
      </c>
      <c r="BQ866" s="319" t="s">
        <v>190</v>
      </c>
      <c r="BR866" s="319" t="s">
        <v>190</v>
      </c>
      <c r="BS866" s="319" t="s">
        <v>190</v>
      </c>
      <c r="BT866" s="319" t="s">
        <v>190</v>
      </c>
      <c r="BU866" s="319" t="s">
        <v>190</v>
      </c>
      <c r="BV866" s="319" t="s">
        <v>190</v>
      </c>
      <c r="BW866" s="319" t="s">
        <v>190</v>
      </c>
      <c r="BX866" s="319" t="s">
        <v>190</v>
      </c>
      <c r="BY866" s="319" t="s">
        <v>190</v>
      </c>
      <c r="BZ866" s="319" t="s">
        <v>190</v>
      </c>
      <c r="CA866" s="319" t="s">
        <v>190</v>
      </c>
      <c r="CB866" s="319" t="s">
        <v>190</v>
      </c>
      <c r="CC866" s="319" t="s">
        <v>190</v>
      </c>
      <c r="CD866" s="319" t="s">
        <v>190</v>
      </c>
      <c r="CE866" s="319" t="s">
        <v>190</v>
      </c>
      <c r="CF866" s="319" t="s">
        <v>190</v>
      </c>
      <c r="CG866" s="319" t="s">
        <v>190</v>
      </c>
      <c r="CH866" s="319" t="s">
        <v>190</v>
      </c>
      <c r="CI866" s="319" t="s">
        <v>190</v>
      </c>
      <c r="CJ866" s="319" t="s">
        <v>190</v>
      </c>
      <c r="CK866" s="319" t="s">
        <v>190</v>
      </c>
      <c r="CL866" s="319" t="s">
        <v>190</v>
      </c>
      <c r="CM866" s="319" t="s">
        <v>190</v>
      </c>
      <c r="CN866" s="319" t="s">
        <v>429</v>
      </c>
      <c r="CO866" s="319" t="s">
        <v>429</v>
      </c>
      <c r="CP866" s="319" t="s">
        <v>429</v>
      </c>
      <c r="CQ866" s="319" t="s">
        <v>190</v>
      </c>
      <c r="CR866" s="319" t="s">
        <v>190</v>
      </c>
      <c r="CS866" s="319" t="s">
        <v>190</v>
      </c>
      <c r="CT866" s="319" t="s">
        <v>190</v>
      </c>
      <c r="CU866" s="319" t="s">
        <v>190</v>
      </c>
      <c r="CV866" s="319" t="s">
        <v>190</v>
      </c>
      <c r="CW866" s="319" t="s">
        <v>190</v>
      </c>
      <c r="CX866" s="319" t="s">
        <v>190</v>
      </c>
      <c r="CY866" s="319" t="s">
        <v>190</v>
      </c>
      <c r="CZ866" s="319" t="s">
        <v>190</v>
      </c>
      <c r="DA866" s="319" t="s">
        <v>190</v>
      </c>
      <c r="DB866" s="319" t="s">
        <v>190</v>
      </c>
      <c r="DC866" s="319" t="s">
        <v>190</v>
      </c>
      <c r="DD866" s="319" t="s">
        <v>190</v>
      </c>
      <c r="DE866" s="319" t="s">
        <v>190</v>
      </c>
      <c r="DF866" s="319" t="s">
        <v>190</v>
      </c>
      <c r="DG866" s="319" t="s">
        <v>190</v>
      </c>
      <c r="DH866" s="319" t="s">
        <v>190</v>
      </c>
      <c r="DI866" s="319" t="s">
        <v>190</v>
      </c>
      <c r="DJ866" s="319" t="s">
        <v>190</v>
      </c>
      <c r="DK866" s="319" t="s">
        <v>190</v>
      </c>
      <c r="DL866" s="319" t="s">
        <v>190</v>
      </c>
      <c r="DM866" s="319" t="s">
        <v>190</v>
      </c>
      <c r="DN866" s="319" t="s">
        <v>429</v>
      </c>
      <c r="DO866" s="319" t="s">
        <v>190</v>
      </c>
      <c r="DP866" s="319" t="s">
        <v>190</v>
      </c>
      <c r="DQ866" s="319" t="s">
        <v>429</v>
      </c>
      <c r="DR866" s="319" t="s">
        <v>429</v>
      </c>
      <c r="DS866" s="319" t="s">
        <v>429</v>
      </c>
      <c r="DT866" s="319" t="s">
        <v>429</v>
      </c>
      <c r="DU866" s="319" t="s">
        <v>429</v>
      </c>
      <c r="DV866" s="319" t="s">
        <v>173</v>
      </c>
      <c r="DW866" s="319" t="s">
        <v>429</v>
      </c>
      <c r="DX866" s="319" t="s">
        <v>429</v>
      </c>
      <c r="DY866" s="319" t="s">
        <v>429</v>
      </c>
      <c r="DZ866" s="319" t="s">
        <v>429</v>
      </c>
      <c r="EA866" s="319" t="s">
        <v>429</v>
      </c>
      <c r="EB866" s="319" t="s">
        <v>429</v>
      </c>
      <c r="EC866" s="319" t="s">
        <v>429</v>
      </c>
      <c r="ED866" s="319" t="s">
        <v>429</v>
      </c>
      <c r="EE866" s="319" t="s">
        <v>429</v>
      </c>
      <c r="EF866" s="319" t="s">
        <v>429</v>
      </c>
      <c r="EG866" s="319" t="s">
        <v>190</v>
      </c>
      <c r="EH866" s="319" t="s">
        <v>190</v>
      </c>
      <c r="EI866" s="319" t="s">
        <v>190</v>
      </c>
      <c r="EJ866" s="319" t="s">
        <v>190</v>
      </c>
      <c r="EK866" s="319" t="s">
        <v>190</v>
      </c>
      <c r="EL866" s="319" t="s">
        <v>429</v>
      </c>
      <c r="EM866" s="319" t="s">
        <v>429</v>
      </c>
      <c r="EN866" s="319" t="s">
        <v>190</v>
      </c>
      <c r="EO866" s="319" t="s">
        <v>190</v>
      </c>
      <c r="EP866" s="319" t="s">
        <v>190</v>
      </c>
      <c r="EQ866" s="319" t="s">
        <v>190</v>
      </c>
      <c r="ER866" s="319" t="s">
        <v>190</v>
      </c>
      <c r="ES866" s="319" t="s">
        <v>190</v>
      </c>
      <c r="ET866" s="319" t="s">
        <v>190</v>
      </c>
      <c r="EU866" s="319" t="s">
        <v>190</v>
      </c>
      <c r="EV866" s="319" t="s">
        <v>190</v>
      </c>
      <c r="EW866" s="319" t="s">
        <v>190</v>
      </c>
      <c r="EX866" s="319" t="s">
        <v>190</v>
      </c>
      <c r="EY866" s="319" t="s">
        <v>190</v>
      </c>
      <c r="EZ866" s="319" t="s">
        <v>190</v>
      </c>
      <c r="FA866" s="319" t="s">
        <v>190</v>
      </c>
      <c r="FB866" s="319" t="s">
        <v>429</v>
      </c>
      <c r="FC866" s="319" t="s">
        <v>429</v>
      </c>
      <c r="FD866" s="319" t="s">
        <v>429</v>
      </c>
      <c r="FE866" s="319" t="s">
        <v>429</v>
      </c>
      <c r="FF866" s="319" t="s">
        <v>429</v>
      </c>
      <c r="FG866" s="319" t="s">
        <v>429</v>
      </c>
      <c r="FH866" s="319" t="s">
        <v>429</v>
      </c>
      <c r="FI866" s="319" t="s">
        <v>429</v>
      </c>
      <c r="FJ866" s="319" t="s">
        <v>429</v>
      </c>
      <c r="FK866" s="319" t="s">
        <v>429</v>
      </c>
      <c r="FL866" s="319" t="s">
        <v>190</v>
      </c>
      <c r="FM866" s="319" t="s">
        <v>190</v>
      </c>
      <c r="FN866" s="319" t="s">
        <v>190</v>
      </c>
      <c r="FO866" s="319" t="s">
        <v>190</v>
      </c>
      <c r="FP866" s="319" t="s">
        <v>190</v>
      </c>
      <c r="FQ866" s="319" t="s">
        <v>190</v>
      </c>
      <c r="FR866" s="319" t="s">
        <v>190</v>
      </c>
      <c r="FS866" s="319" t="s">
        <v>429</v>
      </c>
      <c r="FT866" s="319" t="s">
        <v>190</v>
      </c>
      <c r="FU866" s="319" t="s">
        <v>190</v>
      </c>
      <c r="FV866" s="319" t="s">
        <v>190</v>
      </c>
      <c r="FW866" s="319" t="s">
        <v>190</v>
      </c>
      <c r="FX866" s="319" t="s">
        <v>190</v>
      </c>
      <c r="FY866" s="319" t="s">
        <v>190</v>
      </c>
      <c r="FZ866" s="319" t="s">
        <v>190</v>
      </c>
      <c r="GA866" s="319" t="s">
        <v>190</v>
      </c>
      <c r="GB866" s="319" t="s">
        <v>190</v>
      </c>
      <c r="GC866" s="319" t="s">
        <v>190</v>
      </c>
      <c r="GD866" s="319" t="s">
        <v>190</v>
      </c>
      <c r="GE866" s="319" t="s">
        <v>190</v>
      </c>
      <c r="GF866" s="319" t="s">
        <v>190</v>
      </c>
      <c r="GG866" s="319" t="s">
        <v>190</v>
      </c>
      <c r="GH866" s="319" t="s">
        <v>190</v>
      </c>
      <c r="GI866" s="319" t="s">
        <v>190</v>
      </c>
      <c r="GJ866" s="319" t="s">
        <v>190</v>
      </c>
      <c r="GK866" s="319" t="s">
        <v>429</v>
      </c>
      <c r="GL866" s="319" t="s">
        <v>190</v>
      </c>
      <c r="GM866" s="319" t="s">
        <v>190</v>
      </c>
      <c r="GN866" s="319" t="s">
        <v>190</v>
      </c>
      <c r="GO866" s="319" t="s">
        <v>190</v>
      </c>
      <c r="GP866" s="319" t="s">
        <v>429</v>
      </c>
      <c r="GQ866" s="319" t="s">
        <v>429</v>
      </c>
      <c r="GR866" s="319" t="s">
        <v>190</v>
      </c>
      <c r="GS866" s="319" t="s">
        <v>429</v>
      </c>
      <c r="GT866" s="319" t="s">
        <v>190</v>
      </c>
      <c r="GU866" s="319" t="s">
        <v>190</v>
      </c>
      <c r="GV866" s="319" t="s">
        <v>190</v>
      </c>
      <c r="GW866" s="319" t="s">
        <v>190</v>
      </c>
      <c r="GX866" s="319" t="s">
        <v>190</v>
      </c>
      <c r="GY866" s="319" t="s">
        <v>190</v>
      </c>
      <c r="GZ866" s="319" t="s">
        <v>190</v>
      </c>
      <c r="HA866" s="319" t="s">
        <v>190</v>
      </c>
      <c r="HB866" s="319" t="s">
        <v>190</v>
      </c>
      <c r="HC866" s="319" t="s">
        <v>190</v>
      </c>
      <c r="HD866" s="319" t="s">
        <v>190</v>
      </c>
      <c r="HE866" s="319" t="s">
        <v>190</v>
      </c>
      <c r="HF866" s="319" t="s">
        <v>190</v>
      </c>
      <c r="HG866" s="319" t="s">
        <v>190</v>
      </c>
      <c r="HH866" s="319" t="s">
        <v>190</v>
      </c>
      <c r="HI866" s="319" t="s">
        <v>190</v>
      </c>
      <c r="HJ866" s="319" t="s">
        <v>190</v>
      </c>
      <c r="HK866" s="319" t="s">
        <v>429</v>
      </c>
      <c r="HL866" s="319" t="s">
        <v>429</v>
      </c>
      <c r="HM866" s="319" t="s">
        <v>429</v>
      </c>
      <c r="HN866" s="319" t="s">
        <v>429</v>
      </c>
      <c r="HO866" s="319" t="s">
        <v>429</v>
      </c>
      <c r="HP866" s="319" t="s">
        <v>190</v>
      </c>
      <c r="HQ866" s="319" t="s">
        <v>190</v>
      </c>
      <c r="HR866" s="319" t="s">
        <v>190</v>
      </c>
      <c r="HS866" s="319" t="s">
        <v>190</v>
      </c>
      <c r="HT866" s="319" t="s">
        <v>190</v>
      </c>
      <c r="HU866" s="319" t="s">
        <v>190</v>
      </c>
      <c r="HV866" s="319" t="s">
        <v>190</v>
      </c>
      <c r="HW866" s="319" t="s">
        <v>190</v>
      </c>
      <c r="HX866" s="319" t="s">
        <v>190</v>
      </c>
      <c r="HY866" s="319" t="s">
        <v>190</v>
      </c>
      <c r="HZ866" s="319" t="s">
        <v>190</v>
      </c>
      <c r="IA866" s="319" t="s">
        <v>190</v>
      </c>
      <c r="IB866" s="319" t="s">
        <v>190</v>
      </c>
      <c r="IC866" s="319" t="s">
        <v>190</v>
      </c>
      <c r="ID866" s="319" t="s">
        <v>190</v>
      </c>
      <c r="IE866" s="319" t="s">
        <v>190</v>
      </c>
      <c r="IF866" s="319" t="s">
        <v>190</v>
      </c>
      <c r="IG866" s="319" t="s">
        <v>190</v>
      </c>
      <c r="IH866" s="319" t="s">
        <v>190</v>
      </c>
      <c r="II866" s="319" t="s">
        <v>190</v>
      </c>
      <c r="IJ866" s="319" t="s">
        <v>173</v>
      </c>
      <c r="IK866" s="319" t="s">
        <v>173</v>
      </c>
      <c r="IL866" s="319" t="s">
        <v>173</v>
      </c>
      <c r="IM866" s="319" t="s">
        <v>173</v>
      </c>
      <c r="IN866" s="319" t="s">
        <v>173</v>
      </c>
      <c r="IO866" s="319" t="s">
        <v>173</v>
      </c>
      <c r="IP866" s="319" t="s">
        <v>173</v>
      </c>
      <c r="IQ866" s="321" t="s">
        <v>173</v>
      </c>
      <c r="IR866" s="320" t="s">
        <v>173</v>
      </c>
      <c r="IS866" s="322" t="s">
        <v>173</v>
      </c>
      <c r="IT866" s="319" t="s">
        <v>173</v>
      </c>
    </row>
    <row r="867" spans="1:254" s="271" customFormat="1" x14ac:dyDescent="0.25">
      <c r="A867" s="318" t="str">
        <f>HYPERLINK("http://www.ofsted.gov.uk/inspection-reports/find-inspection-report/provider/ELS/143036 ","Ofsted School Webpage")</f>
        <v>Ofsted School Webpage</v>
      </c>
      <c r="B867" s="319">
        <v>143036</v>
      </c>
      <c r="C867" s="319">
        <v>3086006</v>
      </c>
      <c r="D867" s="319" t="s">
        <v>2384</v>
      </c>
      <c r="E867" s="319" t="s">
        <v>167</v>
      </c>
      <c r="F867" s="319" t="s">
        <v>81</v>
      </c>
      <c r="G867" s="319" t="s">
        <v>81</v>
      </c>
      <c r="H867" s="319" t="s">
        <v>81</v>
      </c>
      <c r="I867" s="319" t="s">
        <v>78</v>
      </c>
      <c r="J867" s="319" t="s">
        <v>424</v>
      </c>
      <c r="K867" s="319" t="s">
        <v>441</v>
      </c>
      <c r="L867" s="319" t="s">
        <v>441</v>
      </c>
      <c r="M867" s="319" t="s">
        <v>561</v>
      </c>
      <c r="N867" s="319" t="s">
        <v>3225</v>
      </c>
      <c r="O867" s="319" t="s">
        <v>2385</v>
      </c>
      <c r="P867" s="319">
        <v>19</v>
      </c>
      <c r="Q867" s="319" t="s">
        <v>2766</v>
      </c>
      <c r="R867" s="320">
        <v>10035818</v>
      </c>
      <c r="S867" s="321">
        <v>43039</v>
      </c>
      <c r="T867" s="321">
        <v>43041</v>
      </c>
      <c r="U867" s="321">
        <v>43069</v>
      </c>
      <c r="V867" s="319" t="s">
        <v>435</v>
      </c>
      <c r="W867" s="319" t="s">
        <v>2767</v>
      </c>
      <c r="X867" s="319">
        <v>2</v>
      </c>
      <c r="Y867" s="319" t="s">
        <v>173</v>
      </c>
      <c r="Z867" s="319" t="s">
        <v>173</v>
      </c>
      <c r="AA867" s="319" t="s">
        <v>173</v>
      </c>
      <c r="AB867" s="319">
        <v>2</v>
      </c>
      <c r="AC867" s="319" t="s">
        <v>169</v>
      </c>
      <c r="AD867" s="319" t="s">
        <v>173</v>
      </c>
      <c r="AE867" s="319" t="s">
        <v>173</v>
      </c>
      <c r="AF867" s="319" t="s">
        <v>427</v>
      </c>
      <c r="AG867" s="319" t="s">
        <v>171</v>
      </c>
      <c r="AH867" s="319" t="s">
        <v>190</v>
      </c>
      <c r="AI867" s="319" t="s">
        <v>190</v>
      </c>
      <c r="AJ867" s="319" t="s">
        <v>190</v>
      </c>
      <c r="AK867" s="319" t="s">
        <v>190</v>
      </c>
      <c r="AL867" s="319" t="s">
        <v>190</v>
      </c>
      <c r="AM867" s="319" t="s">
        <v>190</v>
      </c>
      <c r="AN867" s="319" t="s">
        <v>190</v>
      </c>
      <c r="AO867" s="319" t="s">
        <v>190</v>
      </c>
      <c r="AP867" s="319" t="s">
        <v>190</v>
      </c>
      <c r="AQ867" s="319" t="s">
        <v>190</v>
      </c>
      <c r="AR867" s="319" t="s">
        <v>190</v>
      </c>
      <c r="AS867" s="319" t="s">
        <v>190</v>
      </c>
      <c r="AT867" s="319" t="s">
        <v>190</v>
      </c>
      <c r="AU867" s="319" t="s">
        <v>190</v>
      </c>
      <c r="AV867" s="319" t="s">
        <v>190</v>
      </c>
      <c r="AW867" s="319" t="s">
        <v>190</v>
      </c>
      <c r="AX867" s="319" t="s">
        <v>428</v>
      </c>
      <c r="AY867" s="319" t="s">
        <v>190</v>
      </c>
      <c r="AZ867" s="319" t="s">
        <v>190</v>
      </c>
      <c r="BA867" s="319" t="s">
        <v>190</v>
      </c>
      <c r="BB867" s="319" t="s">
        <v>190</v>
      </c>
      <c r="BC867" s="319" t="s">
        <v>190</v>
      </c>
      <c r="BD867" s="319" t="s">
        <v>190</v>
      </c>
      <c r="BE867" s="319" t="s">
        <v>190</v>
      </c>
      <c r="BF867" s="319" t="s">
        <v>428</v>
      </c>
      <c r="BG867" s="319" t="s">
        <v>428</v>
      </c>
      <c r="BH867" s="319" t="s">
        <v>190</v>
      </c>
      <c r="BI867" s="319" t="s">
        <v>190</v>
      </c>
      <c r="BJ867" s="319" t="s">
        <v>190</v>
      </c>
      <c r="BK867" s="319" t="s">
        <v>190</v>
      </c>
      <c r="BL867" s="319" t="s">
        <v>190</v>
      </c>
      <c r="BM867" s="319" t="s">
        <v>190</v>
      </c>
      <c r="BN867" s="319" t="s">
        <v>190</v>
      </c>
      <c r="BO867" s="319" t="s">
        <v>190</v>
      </c>
      <c r="BP867" s="319" t="s">
        <v>190</v>
      </c>
      <c r="BQ867" s="319" t="s">
        <v>190</v>
      </c>
      <c r="BR867" s="319" t="s">
        <v>190</v>
      </c>
      <c r="BS867" s="319" t="s">
        <v>190</v>
      </c>
      <c r="BT867" s="319" t="s">
        <v>190</v>
      </c>
      <c r="BU867" s="319" t="s">
        <v>190</v>
      </c>
      <c r="BV867" s="319" t="s">
        <v>190</v>
      </c>
      <c r="BW867" s="319" t="s">
        <v>190</v>
      </c>
      <c r="BX867" s="319" t="s">
        <v>190</v>
      </c>
      <c r="BY867" s="319" t="s">
        <v>190</v>
      </c>
      <c r="BZ867" s="319" t="s">
        <v>190</v>
      </c>
      <c r="CA867" s="319" t="s">
        <v>190</v>
      </c>
      <c r="CB867" s="319" t="s">
        <v>190</v>
      </c>
      <c r="CC867" s="319" t="s">
        <v>190</v>
      </c>
      <c r="CD867" s="319" t="s">
        <v>190</v>
      </c>
      <c r="CE867" s="319" t="s">
        <v>190</v>
      </c>
      <c r="CF867" s="319" t="s">
        <v>190</v>
      </c>
      <c r="CG867" s="319" t="s">
        <v>190</v>
      </c>
      <c r="CH867" s="319" t="s">
        <v>190</v>
      </c>
      <c r="CI867" s="319" t="s">
        <v>190</v>
      </c>
      <c r="CJ867" s="319" t="s">
        <v>190</v>
      </c>
      <c r="CK867" s="319" t="s">
        <v>190</v>
      </c>
      <c r="CL867" s="319" t="s">
        <v>190</v>
      </c>
      <c r="CM867" s="319" t="s">
        <v>190</v>
      </c>
      <c r="CN867" s="319" t="s">
        <v>428</v>
      </c>
      <c r="CO867" s="319" t="s">
        <v>428</v>
      </c>
      <c r="CP867" s="319" t="s">
        <v>428</v>
      </c>
      <c r="CQ867" s="319" t="s">
        <v>190</v>
      </c>
      <c r="CR867" s="319" t="s">
        <v>190</v>
      </c>
      <c r="CS867" s="319" t="s">
        <v>190</v>
      </c>
      <c r="CT867" s="319" t="s">
        <v>190</v>
      </c>
      <c r="CU867" s="319" t="s">
        <v>190</v>
      </c>
      <c r="CV867" s="319" t="s">
        <v>190</v>
      </c>
      <c r="CW867" s="319" t="s">
        <v>190</v>
      </c>
      <c r="CX867" s="319" t="s">
        <v>190</v>
      </c>
      <c r="CY867" s="319" t="s">
        <v>190</v>
      </c>
      <c r="CZ867" s="319" t="s">
        <v>190</v>
      </c>
      <c r="DA867" s="319" t="s">
        <v>190</v>
      </c>
      <c r="DB867" s="319" t="s">
        <v>190</v>
      </c>
      <c r="DC867" s="319" t="s">
        <v>190</v>
      </c>
      <c r="DD867" s="319" t="s">
        <v>190</v>
      </c>
      <c r="DE867" s="319" t="s">
        <v>190</v>
      </c>
      <c r="DF867" s="319" t="s">
        <v>190</v>
      </c>
      <c r="DG867" s="319" t="s">
        <v>190</v>
      </c>
      <c r="DH867" s="319" t="s">
        <v>190</v>
      </c>
      <c r="DI867" s="319" t="s">
        <v>190</v>
      </c>
      <c r="DJ867" s="319" t="s">
        <v>190</v>
      </c>
      <c r="DK867" s="319" t="s">
        <v>190</v>
      </c>
      <c r="DL867" s="319" t="s">
        <v>190</v>
      </c>
      <c r="DM867" s="319" t="s">
        <v>190</v>
      </c>
      <c r="DN867" s="319" t="s">
        <v>428</v>
      </c>
      <c r="DO867" s="319" t="s">
        <v>190</v>
      </c>
      <c r="DP867" s="319" t="s">
        <v>428</v>
      </c>
      <c r="DQ867" s="319" t="s">
        <v>428</v>
      </c>
      <c r="DR867" s="319" t="s">
        <v>428</v>
      </c>
      <c r="DS867" s="319" t="s">
        <v>428</v>
      </c>
      <c r="DT867" s="319" t="s">
        <v>428</v>
      </c>
      <c r="DU867" s="319" t="s">
        <v>428</v>
      </c>
      <c r="DV867" s="319" t="s">
        <v>173</v>
      </c>
      <c r="DW867" s="319" t="s">
        <v>428</v>
      </c>
      <c r="DX867" s="319" t="s">
        <v>428</v>
      </c>
      <c r="DY867" s="319" t="s">
        <v>428</v>
      </c>
      <c r="DZ867" s="319" t="s">
        <v>428</v>
      </c>
      <c r="EA867" s="319" t="s">
        <v>428</v>
      </c>
      <c r="EB867" s="319" t="s">
        <v>428</v>
      </c>
      <c r="EC867" s="319" t="s">
        <v>428</v>
      </c>
      <c r="ED867" s="319" t="s">
        <v>428</v>
      </c>
      <c r="EE867" s="319" t="s">
        <v>190</v>
      </c>
      <c r="EF867" s="319" t="s">
        <v>190</v>
      </c>
      <c r="EG867" s="319" t="s">
        <v>190</v>
      </c>
      <c r="EH867" s="319" t="s">
        <v>190</v>
      </c>
      <c r="EI867" s="319" t="s">
        <v>190</v>
      </c>
      <c r="EJ867" s="319" t="s">
        <v>190</v>
      </c>
      <c r="EK867" s="319" t="s">
        <v>190</v>
      </c>
      <c r="EL867" s="319" t="s">
        <v>190</v>
      </c>
      <c r="EM867" s="319" t="s">
        <v>190</v>
      </c>
      <c r="EN867" s="319" t="s">
        <v>190</v>
      </c>
      <c r="EO867" s="319" t="s">
        <v>190</v>
      </c>
      <c r="EP867" s="319" t="s">
        <v>190</v>
      </c>
      <c r="EQ867" s="319" t="s">
        <v>190</v>
      </c>
      <c r="ER867" s="319" t="s">
        <v>190</v>
      </c>
      <c r="ES867" s="319" t="s">
        <v>190</v>
      </c>
      <c r="ET867" s="319" t="s">
        <v>190</v>
      </c>
      <c r="EU867" s="319" t="s">
        <v>190</v>
      </c>
      <c r="EV867" s="319" t="s">
        <v>190</v>
      </c>
      <c r="EW867" s="319" t="s">
        <v>190</v>
      </c>
      <c r="EX867" s="319" t="s">
        <v>190</v>
      </c>
      <c r="EY867" s="319" t="s">
        <v>190</v>
      </c>
      <c r="EZ867" s="319" t="s">
        <v>190</v>
      </c>
      <c r="FA867" s="319" t="s">
        <v>190</v>
      </c>
      <c r="FB867" s="319" t="s">
        <v>428</v>
      </c>
      <c r="FC867" s="319" t="s">
        <v>428</v>
      </c>
      <c r="FD867" s="319" t="s">
        <v>428</v>
      </c>
      <c r="FE867" s="319" t="s">
        <v>428</v>
      </c>
      <c r="FF867" s="319" t="s">
        <v>428</v>
      </c>
      <c r="FG867" s="319" t="s">
        <v>428</v>
      </c>
      <c r="FH867" s="319" t="s">
        <v>190</v>
      </c>
      <c r="FI867" s="319" t="s">
        <v>190</v>
      </c>
      <c r="FJ867" s="319" t="s">
        <v>190</v>
      </c>
      <c r="FK867" s="319" t="s">
        <v>190</v>
      </c>
      <c r="FL867" s="319" t="s">
        <v>190</v>
      </c>
      <c r="FM867" s="319" t="s">
        <v>190</v>
      </c>
      <c r="FN867" s="319" t="s">
        <v>190</v>
      </c>
      <c r="FO867" s="319" t="s">
        <v>190</v>
      </c>
      <c r="FP867" s="319" t="s">
        <v>190</v>
      </c>
      <c r="FQ867" s="319" t="s">
        <v>190</v>
      </c>
      <c r="FR867" s="319" t="s">
        <v>190</v>
      </c>
      <c r="FS867" s="319" t="s">
        <v>428</v>
      </c>
      <c r="FT867" s="319" t="s">
        <v>190</v>
      </c>
      <c r="FU867" s="319" t="s">
        <v>190</v>
      </c>
      <c r="FV867" s="319" t="s">
        <v>190</v>
      </c>
      <c r="FW867" s="319" t="s">
        <v>190</v>
      </c>
      <c r="FX867" s="319" t="s">
        <v>190</v>
      </c>
      <c r="FY867" s="319" t="s">
        <v>190</v>
      </c>
      <c r="FZ867" s="319" t="s">
        <v>190</v>
      </c>
      <c r="GA867" s="319" t="s">
        <v>190</v>
      </c>
      <c r="GB867" s="319" t="s">
        <v>190</v>
      </c>
      <c r="GC867" s="319" t="s">
        <v>190</v>
      </c>
      <c r="GD867" s="319" t="s">
        <v>190</v>
      </c>
      <c r="GE867" s="319" t="s">
        <v>190</v>
      </c>
      <c r="GF867" s="319" t="s">
        <v>190</v>
      </c>
      <c r="GG867" s="319" t="s">
        <v>190</v>
      </c>
      <c r="GH867" s="319" t="s">
        <v>428</v>
      </c>
      <c r="GI867" s="319" t="s">
        <v>428</v>
      </c>
      <c r="GJ867" s="319" t="s">
        <v>428</v>
      </c>
      <c r="GK867" s="319" t="s">
        <v>428</v>
      </c>
      <c r="GL867" s="319" t="s">
        <v>190</v>
      </c>
      <c r="GM867" s="319" t="s">
        <v>190</v>
      </c>
      <c r="GN867" s="319" t="s">
        <v>190</v>
      </c>
      <c r="GO867" s="319" t="s">
        <v>190</v>
      </c>
      <c r="GP867" s="319" t="s">
        <v>190</v>
      </c>
      <c r="GQ867" s="319" t="s">
        <v>428</v>
      </c>
      <c r="GR867" s="319" t="s">
        <v>190</v>
      </c>
      <c r="GS867" s="319" t="s">
        <v>190</v>
      </c>
      <c r="GT867" s="319" t="s">
        <v>428</v>
      </c>
      <c r="GU867" s="319" t="s">
        <v>428</v>
      </c>
      <c r="GV867" s="319" t="s">
        <v>190</v>
      </c>
      <c r="GW867" s="319" t="s">
        <v>190</v>
      </c>
      <c r="GX867" s="319" t="s">
        <v>190</v>
      </c>
      <c r="GY867" s="319" t="s">
        <v>190</v>
      </c>
      <c r="GZ867" s="319" t="s">
        <v>190</v>
      </c>
      <c r="HA867" s="319" t="s">
        <v>428</v>
      </c>
      <c r="HB867" s="319" t="s">
        <v>428</v>
      </c>
      <c r="HC867" s="319" t="s">
        <v>190</v>
      </c>
      <c r="HD867" s="319" t="s">
        <v>190</v>
      </c>
      <c r="HE867" s="319" t="s">
        <v>190</v>
      </c>
      <c r="HF867" s="319" t="s">
        <v>190</v>
      </c>
      <c r="HG867" s="319" t="s">
        <v>190</v>
      </c>
      <c r="HH867" s="319" t="s">
        <v>190</v>
      </c>
      <c r="HI867" s="319" t="s">
        <v>190</v>
      </c>
      <c r="HJ867" s="319" t="s">
        <v>190</v>
      </c>
      <c r="HK867" s="319" t="s">
        <v>190</v>
      </c>
      <c r="HL867" s="319" t="s">
        <v>428</v>
      </c>
      <c r="HM867" s="319" t="s">
        <v>428</v>
      </c>
      <c r="HN867" s="319" t="s">
        <v>428</v>
      </c>
      <c r="HO867" s="319" t="s">
        <v>428</v>
      </c>
      <c r="HP867" s="319" t="s">
        <v>190</v>
      </c>
      <c r="HQ867" s="319" t="s">
        <v>190</v>
      </c>
      <c r="HR867" s="319" t="s">
        <v>190</v>
      </c>
      <c r="HS867" s="319" t="s">
        <v>190</v>
      </c>
      <c r="HT867" s="319" t="s">
        <v>190</v>
      </c>
      <c r="HU867" s="319" t="s">
        <v>190</v>
      </c>
      <c r="HV867" s="319" t="s">
        <v>190</v>
      </c>
      <c r="HW867" s="319" t="s">
        <v>190</v>
      </c>
      <c r="HX867" s="319" t="s">
        <v>190</v>
      </c>
      <c r="HY867" s="319" t="s">
        <v>190</v>
      </c>
      <c r="HZ867" s="319" t="s">
        <v>190</v>
      </c>
      <c r="IA867" s="319" t="s">
        <v>190</v>
      </c>
      <c r="IB867" s="319" t="s">
        <v>190</v>
      </c>
      <c r="IC867" s="319" t="s">
        <v>190</v>
      </c>
      <c r="ID867" s="319" t="s">
        <v>190</v>
      </c>
      <c r="IE867" s="319" t="s">
        <v>190</v>
      </c>
      <c r="IF867" s="319" t="s">
        <v>190</v>
      </c>
      <c r="IG867" s="319" t="s">
        <v>190</v>
      </c>
      <c r="IH867" s="319" t="s">
        <v>190</v>
      </c>
      <c r="II867" s="319" t="s">
        <v>190</v>
      </c>
      <c r="IJ867" s="319" t="s">
        <v>173</v>
      </c>
      <c r="IK867" s="319" t="s">
        <v>173</v>
      </c>
      <c r="IL867" s="319" t="s">
        <v>173</v>
      </c>
      <c r="IM867" s="319" t="s">
        <v>173</v>
      </c>
      <c r="IN867" s="319" t="s">
        <v>173</v>
      </c>
      <c r="IO867" s="319" t="s">
        <v>173</v>
      </c>
      <c r="IP867" s="319" t="s">
        <v>173</v>
      </c>
      <c r="IQ867" s="321" t="s">
        <v>173</v>
      </c>
      <c r="IR867" s="320" t="s">
        <v>173</v>
      </c>
      <c r="IS867" s="322" t="s">
        <v>173</v>
      </c>
      <c r="IT867" s="319" t="s">
        <v>173</v>
      </c>
    </row>
    <row r="868" spans="1:254" s="271" customFormat="1" x14ac:dyDescent="0.25">
      <c r="A868" s="318" t="str">
        <f>HYPERLINK("http://www.ofsted.gov.uk/inspection-reports/find-inspection-report/provider/ELS/143038 ","Ofsted School Webpage")</f>
        <v>Ofsted School Webpage</v>
      </c>
      <c r="B868" s="319">
        <v>143038</v>
      </c>
      <c r="C868" s="319">
        <v>3336011</v>
      </c>
      <c r="D868" s="319" t="s">
        <v>1123</v>
      </c>
      <c r="E868" s="319" t="s">
        <v>167</v>
      </c>
      <c r="F868" s="319" t="s">
        <v>81</v>
      </c>
      <c r="G868" s="319" t="s">
        <v>81</v>
      </c>
      <c r="H868" s="319" t="s">
        <v>81</v>
      </c>
      <c r="I868" s="319" t="s">
        <v>78</v>
      </c>
      <c r="J868" s="319" t="s">
        <v>424</v>
      </c>
      <c r="K868" s="319" t="s">
        <v>437</v>
      </c>
      <c r="L868" s="319" t="s">
        <v>437</v>
      </c>
      <c r="M868" s="319" t="s">
        <v>638</v>
      </c>
      <c r="N868" s="319" t="s">
        <v>3327</v>
      </c>
      <c r="O868" s="319" t="s">
        <v>1124</v>
      </c>
      <c r="P868" s="319">
        <v>140</v>
      </c>
      <c r="Q868" s="319" t="s">
        <v>2776</v>
      </c>
      <c r="R868" s="320">
        <v>10033587</v>
      </c>
      <c r="S868" s="321">
        <v>43018</v>
      </c>
      <c r="T868" s="321">
        <v>43020</v>
      </c>
      <c r="U868" s="321">
        <v>43060</v>
      </c>
      <c r="V868" s="319" t="s">
        <v>435</v>
      </c>
      <c r="W868" s="319" t="s">
        <v>2767</v>
      </c>
      <c r="X868" s="319">
        <v>2</v>
      </c>
      <c r="Y868" s="319" t="s">
        <v>173</v>
      </c>
      <c r="Z868" s="319" t="s">
        <v>173</v>
      </c>
      <c r="AA868" s="319" t="s">
        <v>173</v>
      </c>
      <c r="AB868" s="319">
        <v>2</v>
      </c>
      <c r="AC868" s="319" t="s">
        <v>169</v>
      </c>
      <c r="AD868" s="319" t="s">
        <v>173</v>
      </c>
      <c r="AE868" s="319">
        <v>2</v>
      </c>
      <c r="AF868" s="319" t="s">
        <v>427</v>
      </c>
      <c r="AG868" s="319" t="s">
        <v>171</v>
      </c>
      <c r="AH868" s="319" t="s">
        <v>190</v>
      </c>
      <c r="AI868" s="319" t="s">
        <v>190</v>
      </c>
      <c r="AJ868" s="319" t="s">
        <v>190</v>
      </c>
      <c r="AK868" s="319" t="s">
        <v>190</v>
      </c>
      <c r="AL868" s="319" t="s">
        <v>190</v>
      </c>
      <c r="AM868" s="319" t="s">
        <v>190</v>
      </c>
      <c r="AN868" s="319" t="s">
        <v>190</v>
      </c>
      <c r="AO868" s="319" t="s">
        <v>190</v>
      </c>
      <c r="AP868" s="319" t="s">
        <v>190</v>
      </c>
      <c r="AQ868" s="319" t="s">
        <v>190</v>
      </c>
      <c r="AR868" s="319" t="s">
        <v>190</v>
      </c>
      <c r="AS868" s="319" t="s">
        <v>190</v>
      </c>
      <c r="AT868" s="319" t="s">
        <v>190</v>
      </c>
      <c r="AU868" s="319" t="s">
        <v>190</v>
      </c>
      <c r="AV868" s="319" t="s">
        <v>190</v>
      </c>
      <c r="AW868" s="319" t="s">
        <v>190</v>
      </c>
      <c r="AX868" s="319" t="s">
        <v>190</v>
      </c>
      <c r="AY868" s="319" t="s">
        <v>190</v>
      </c>
      <c r="AZ868" s="319" t="s">
        <v>190</v>
      </c>
      <c r="BA868" s="319" t="s">
        <v>190</v>
      </c>
      <c r="BB868" s="319" t="s">
        <v>190</v>
      </c>
      <c r="BC868" s="319" t="s">
        <v>190</v>
      </c>
      <c r="BD868" s="319" t="s">
        <v>190</v>
      </c>
      <c r="BE868" s="319" t="s">
        <v>190</v>
      </c>
      <c r="BF868" s="319" t="s">
        <v>190</v>
      </c>
      <c r="BG868" s="319" t="s">
        <v>190</v>
      </c>
      <c r="BH868" s="319" t="s">
        <v>190</v>
      </c>
      <c r="BI868" s="319" t="s">
        <v>190</v>
      </c>
      <c r="BJ868" s="319" t="s">
        <v>190</v>
      </c>
      <c r="BK868" s="319" t="s">
        <v>190</v>
      </c>
      <c r="BL868" s="319" t="s">
        <v>190</v>
      </c>
      <c r="BM868" s="319" t="s">
        <v>190</v>
      </c>
      <c r="BN868" s="319" t="s">
        <v>190</v>
      </c>
      <c r="BO868" s="319" t="s">
        <v>190</v>
      </c>
      <c r="BP868" s="319" t="s">
        <v>190</v>
      </c>
      <c r="BQ868" s="319" t="s">
        <v>190</v>
      </c>
      <c r="BR868" s="319" t="s">
        <v>190</v>
      </c>
      <c r="BS868" s="319" t="s">
        <v>190</v>
      </c>
      <c r="BT868" s="319" t="s">
        <v>190</v>
      </c>
      <c r="BU868" s="319" t="s">
        <v>190</v>
      </c>
      <c r="BV868" s="319" t="s">
        <v>190</v>
      </c>
      <c r="BW868" s="319" t="s">
        <v>190</v>
      </c>
      <c r="BX868" s="319" t="s">
        <v>190</v>
      </c>
      <c r="BY868" s="319" t="s">
        <v>190</v>
      </c>
      <c r="BZ868" s="319" t="s">
        <v>190</v>
      </c>
      <c r="CA868" s="319" t="s">
        <v>190</v>
      </c>
      <c r="CB868" s="319" t="s">
        <v>190</v>
      </c>
      <c r="CC868" s="319" t="s">
        <v>190</v>
      </c>
      <c r="CD868" s="319" t="s">
        <v>190</v>
      </c>
      <c r="CE868" s="319" t="s">
        <v>190</v>
      </c>
      <c r="CF868" s="319" t="s">
        <v>190</v>
      </c>
      <c r="CG868" s="319" t="s">
        <v>190</v>
      </c>
      <c r="CH868" s="319" t="s">
        <v>190</v>
      </c>
      <c r="CI868" s="319" t="s">
        <v>190</v>
      </c>
      <c r="CJ868" s="319" t="s">
        <v>190</v>
      </c>
      <c r="CK868" s="319" t="s">
        <v>190</v>
      </c>
      <c r="CL868" s="319" t="s">
        <v>190</v>
      </c>
      <c r="CM868" s="319" t="s">
        <v>190</v>
      </c>
      <c r="CN868" s="319" t="s">
        <v>190</v>
      </c>
      <c r="CO868" s="319" t="s">
        <v>190</v>
      </c>
      <c r="CP868" s="319" t="s">
        <v>190</v>
      </c>
      <c r="CQ868" s="319" t="s">
        <v>190</v>
      </c>
      <c r="CR868" s="319" t="s">
        <v>190</v>
      </c>
      <c r="CS868" s="319" t="s">
        <v>190</v>
      </c>
      <c r="CT868" s="319" t="s">
        <v>190</v>
      </c>
      <c r="CU868" s="319" t="s">
        <v>190</v>
      </c>
      <c r="CV868" s="319" t="s">
        <v>190</v>
      </c>
      <c r="CW868" s="319" t="s">
        <v>190</v>
      </c>
      <c r="CX868" s="319" t="s">
        <v>190</v>
      </c>
      <c r="CY868" s="319" t="s">
        <v>190</v>
      </c>
      <c r="CZ868" s="319" t="s">
        <v>190</v>
      </c>
      <c r="DA868" s="319" t="s">
        <v>190</v>
      </c>
      <c r="DB868" s="319" t="s">
        <v>190</v>
      </c>
      <c r="DC868" s="319" t="s">
        <v>190</v>
      </c>
      <c r="DD868" s="319" t="s">
        <v>190</v>
      </c>
      <c r="DE868" s="319" t="s">
        <v>190</v>
      </c>
      <c r="DF868" s="319" t="s">
        <v>190</v>
      </c>
      <c r="DG868" s="319" t="s">
        <v>190</v>
      </c>
      <c r="DH868" s="319" t="s">
        <v>190</v>
      </c>
      <c r="DI868" s="319" t="s">
        <v>190</v>
      </c>
      <c r="DJ868" s="319" t="s">
        <v>190</v>
      </c>
      <c r="DK868" s="319" t="s">
        <v>190</v>
      </c>
      <c r="DL868" s="319" t="s">
        <v>190</v>
      </c>
      <c r="DM868" s="319" t="s">
        <v>190</v>
      </c>
      <c r="DN868" s="319" t="s">
        <v>428</v>
      </c>
      <c r="DO868" s="319" t="s">
        <v>190</v>
      </c>
      <c r="DP868" s="319" t="s">
        <v>190</v>
      </c>
      <c r="DQ868" s="319" t="s">
        <v>190</v>
      </c>
      <c r="DR868" s="319" t="s">
        <v>190</v>
      </c>
      <c r="DS868" s="319" t="s">
        <v>190</v>
      </c>
      <c r="DT868" s="319" t="s">
        <v>190</v>
      </c>
      <c r="DU868" s="319" t="s">
        <v>190</v>
      </c>
      <c r="DV868" s="319" t="s">
        <v>173</v>
      </c>
      <c r="DW868" s="319" t="s">
        <v>190</v>
      </c>
      <c r="DX868" s="319" t="s">
        <v>190</v>
      </c>
      <c r="DY868" s="319" t="s">
        <v>190</v>
      </c>
      <c r="DZ868" s="319" t="s">
        <v>190</v>
      </c>
      <c r="EA868" s="319" t="s">
        <v>190</v>
      </c>
      <c r="EB868" s="319" t="s">
        <v>190</v>
      </c>
      <c r="EC868" s="319" t="s">
        <v>190</v>
      </c>
      <c r="ED868" s="319" t="s">
        <v>190</v>
      </c>
      <c r="EE868" s="319" t="s">
        <v>190</v>
      </c>
      <c r="EF868" s="319" t="s">
        <v>190</v>
      </c>
      <c r="EG868" s="319" t="s">
        <v>190</v>
      </c>
      <c r="EH868" s="319" t="s">
        <v>190</v>
      </c>
      <c r="EI868" s="319" t="s">
        <v>190</v>
      </c>
      <c r="EJ868" s="319" t="s">
        <v>190</v>
      </c>
      <c r="EK868" s="319" t="s">
        <v>190</v>
      </c>
      <c r="EL868" s="319" t="s">
        <v>190</v>
      </c>
      <c r="EM868" s="319" t="s">
        <v>190</v>
      </c>
      <c r="EN868" s="319" t="s">
        <v>190</v>
      </c>
      <c r="EO868" s="319" t="s">
        <v>190</v>
      </c>
      <c r="EP868" s="319" t="s">
        <v>190</v>
      </c>
      <c r="EQ868" s="319" t="s">
        <v>190</v>
      </c>
      <c r="ER868" s="319" t="s">
        <v>190</v>
      </c>
      <c r="ES868" s="319" t="s">
        <v>190</v>
      </c>
      <c r="ET868" s="319" t="s">
        <v>190</v>
      </c>
      <c r="EU868" s="319" t="s">
        <v>190</v>
      </c>
      <c r="EV868" s="319" t="s">
        <v>190</v>
      </c>
      <c r="EW868" s="319" t="s">
        <v>190</v>
      </c>
      <c r="EX868" s="319" t="s">
        <v>190</v>
      </c>
      <c r="EY868" s="319" t="s">
        <v>190</v>
      </c>
      <c r="EZ868" s="319" t="s">
        <v>190</v>
      </c>
      <c r="FA868" s="319" t="s">
        <v>190</v>
      </c>
      <c r="FB868" s="319" t="s">
        <v>190</v>
      </c>
      <c r="FC868" s="319" t="s">
        <v>190</v>
      </c>
      <c r="FD868" s="319" t="s">
        <v>190</v>
      </c>
      <c r="FE868" s="319" t="s">
        <v>190</v>
      </c>
      <c r="FF868" s="319" t="s">
        <v>190</v>
      </c>
      <c r="FG868" s="319" t="s">
        <v>190</v>
      </c>
      <c r="FH868" s="319" t="s">
        <v>190</v>
      </c>
      <c r="FI868" s="319" t="s">
        <v>190</v>
      </c>
      <c r="FJ868" s="319" t="s">
        <v>190</v>
      </c>
      <c r="FK868" s="319" t="s">
        <v>190</v>
      </c>
      <c r="FL868" s="319" t="s">
        <v>190</v>
      </c>
      <c r="FM868" s="319" t="s">
        <v>190</v>
      </c>
      <c r="FN868" s="319" t="s">
        <v>190</v>
      </c>
      <c r="FO868" s="319" t="s">
        <v>190</v>
      </c>
      <c r="FP868" s="319" t="s">
        <v>190</v>
      </c>
      <c r="FQ868" s="319" t="s">
        <v>190</v>
      </c>
      <c r="FR868" s="319" t="s">
        <v>190</v>
      </c>
      <c r="FS868" s="319" t="s">
        <v>190</v>
      </c>
      <c r="FT868" s="319" t="s">
        <v>190</v>
      </c>
      <c r="FU868" s="319" t="s">
        <v>190</v>
      </c>
      <c r="FV868" s="319" t="s">
        <v>190</v>
      </c>
      <c r="FW868" s="319" t="s">
        <v>190</v>
      </c>
      <c r="FX868" s="319" t="s">
        <v>190</v>
      </c>
      <c r="FY868" s="319" t="s">
        <v>190</v>
      </c>
      <c r="FZ868" s="319" t="s">
        <v>190</v>
      </c>
      <c r="GA868" s="319" t="s">
        <v>190</v>
      </c>
      <c r="GB868" s="319" t="s">
        <v>190</v>
      </c>
      <c r="GC868" s="319" t="s">
        <v>190</v>
      </c>
      <c r="GD868" s="319" t="s">
        <v>190</v>
      </c>
      <c r="GE868" s="319" t="s">
        <v>190</v>
      </c>
      <c r="GF868" s="319" t="s">
        <v>190</v>
      </c>
      <c r="GG868" s="319" t="s">
        <v>190</v>
      </c>
      <c r="GH868" s="319" t="s">
        <v>190</v>
      </c>
      <c r="GI868" s="319" t="s">
        <v>190</v>
      </c>
      <c r="GJ868" s="319" t="s">
        <v>190</v>
      </c>
      <c r="GK868" s="319" t="s">
        <v>428</v>
      </c>
      <c r="GL868" s="319" t="s">
        <v>190</v>
      </c>
      <c r="GM868" s="319" t="s">
        <v>190</v>
      </c>
      <c r="GN868" s="319" t="s">
        <v>190</v>
      </c>
      <c r="GO868" s="319" t="s">
        <v>190</v>
      </c>
      <c r="GP868" s="319" t="s">
        <v>190</v>
      </c>
      <c r="GQ868" s="319" t="s">
        <v>428</v>
      </c>
      <c r="GR868" s="319" t="s">
        <v>190</v>
      </c>
      <c r="GS868" s="319" t="s">
        <v>190</v>
      </c>
      <c r="GT868" s="319" t="s">
        <v>190</v>
      </c>
      <c r="GU868" s="319" t="s">
        <v>190</v>
      </c>
      <c r="GV868" s="319" t="s">
        <v>190</v>
      </c>
      <c r="GW868" s="319" t="s">
        <v>190</v>
      </c>
      <c r="GX868" s="319" t="s">
        <v>190</v>
      </c>
      <c r="GY868" s="319" t="s">
        <v>190</v>
      </c>
      <c r="GZ868" s="319" t="s">
        <v>190</v>
      </c>
      <c r="HA868" s="319" t="s">
        <v>190</v>
      </c>
      <c r="HB868" s="319" t="s">
        <v>190</v>
      </c>
      <c r="HC868" s="319" t="s">
        <v>190</v>
      </c>
      <c r="HD868" s="319" t="s">
        <v>190</v>
      </c>
      <c r="HE868" s="319" t="s">
        <v>190</v>
      </c>
      <c r="HF868" s="319" t="s">
        <v>190</v>
      </c>
      <c r="HG868" s="319" t="s">
        <v>190</v>
      </c>
      <c r="HH868" s="319" t="s">
        <v>190</v>
      </c>
      <c r="HI868" s="319" t="s">
        <v>190</v>
      </c>
      <c r="HJ868" s="319" t="s">
        <v>190</v>
      </c>
      <c r="HK868" s="319" t="s">
        <v>190</v>
      </c>
      <c r="HL868" s="319" t="s">
        <v>190</v>
      </c>
      <c r="HM868" s="319" t="s">
        <v>190</v>
      </c>
      <c r="HN868" s="319" t="s">
        <v>190</v>
      </c>
      <c r="HO868" s="319" t="s">
        <v>190</v>
      </c>
      <c r="HP868" s="319" t="s">
        <v>190</v>
      </c>
      <c r="HQ868" s="319" t="s">
        <v>190</v>
      </c>
      <c r="HR868" s="319" t="s">
        <v>190</v>
      </c>
      <c r="HS868" s="319" t="s">
        <v>190</v>
      </c>
      <c r="HT868" s="319" t="s">
        <v>190</v>
      </c>
      <c r="HU868" s="319" t="s">
        <v>190</v>
      </c>
      <c r="HV868" s="319" t="s">
        <v>190</v>
      </c>
      <c r="HW868" s="319" t="s">
        <v>190</v>
      </c>
      <c r="HX868" s="319" t="s">
        <v>190</v>
      </c>
      <c r="HY868" s="319" t="s">
        <v>190</v>
      </c>
      <c r="HZ868" s="319" t="s">
        <v>190</v>
      </c>
      <c r="IA868" s="319" t="s">
        <v>190</v>
      </c>
      <c r="IB868" s="319" t="s">
        <v>190</v>
      </c>
      <c r="IC868" s="319" t="s">
        <v>190</v>
      </c>
      <c r="ID868" s="319" t="s">
        <v>190</v>
      </c>
      <c r="IE868" s="319" t="s">
        <v>190</v>
      </c>
      <c r="IF868" s="319" t="s">
        <v>190</v>
      </c>
      <c r="IG868" s="319" t="s">
        <v>190</v>
      </c>
      <c r="IH868" s="319" t="s">
        <v>190</v>
      </c>
      <c r="II868" s="319" t="s">
        <v>190</v>
      </c>
      <c r="IJ868" s="319" t="s">
        <v>173</v>
      </c>
      <c r="IK868" s="319" t="s">
        <v>173</v>
      </c>
      <c r="IL868" s="319" t="s">
        <v>173</v>
      </c>
      <c r="IM868" s="319" t="s">
        <v>173</v>
      </c>
      <c r="IN868" s="319" t="s">
        <v>173</v>
      </c>
      <c r="IO868" s="319" t="s">
        <v>173</v>
      </c>
      <c r="IP868" s="319" t="s">
        <v>173</v>
      </c>
      <c r="IQ868" s="321" t="s">
        <v>173</v>
      </c>
      <c r="IR868" s="320" t="s">
        <v>173</v>
      </c>
      <c r="IS868" s="322" t="s">
        <v>173</v>
      </c>
      <c r="IT868" s="319" t="s">
        <v>173</v>
      </c>
    </row>
    <row r="869" spans="1:254" s="271" customFormat="1" x14ac:dyDescent="0.25">
      <c r="A869" s="318" t="str">
        <f>HYPERLINK("http://www.ofsted.gov.uk/inspection-reports/find-inspection-report/provider/ELS/143039 ","Ofsted School Webpage")</f>
        <v>Ofsted School Webpage</v>
      </c>
      <c r="B869" s="319">
        <v>143039</v>
      </c>
      <c r="C869" s="319">
        <v>3306026</v>
      </c>
      <c r="D869" s="319" t="s">
        <v>989</v>
      </c>
      <c r="E869" s="319" t="s">
        <v>167</v>
      </c>
      <c r="F869" s="319" t="s">
        <v>81</v>
      </c>
      <c r="G869" s="319" t="s">
        <v>81</v>
      </c>
      <c r="H869" s="319" t="s">
        <v>81</v>
      </c>
      <c r="I869" s="319" t="s">
        <v>78</v>
      </c>
      <c r="J869" s="319" t="s">
        <v>424</v>
      </c>
      <c r="K869" s="319" t="s">
        <v>437</v>
      </c>
      <c r="L869" s="319" t="s">
        <v>437</v>
      </c>
      <c r="M869" s="319" t="s">
        <v>813</v>
      </c>
      <c r="N869" s="319" t="s">
        <v>2858</v>
      </c>
      <c r="O869" s="319" t="s">
        <v>990</v>
      </c>
      <c r="P869" s="319">
        <v>7</v>
      </c>
      <c r="Q869" s="319" t="s">
        <v>2776</v>
      </c>
      <c r="R869" s="320">
        <v>10039278</v>
      </c>
      <c r="S869" s="321">
        <v>43242</v>
      </c>
      <c r="T869" s="321">
        <v>43244</v>
      </c>
      <c r="U869" s="321">
        <v>43283</v>
      </c>
      <c r="V869" s="319" t="s">
        <v>435</v>
      </c>
      <c r="W869" s="319" t="s">
        <v>2767</v>
      </c>
      <c r="X869" s="319">
        <v>2</v>
      </c>
      <c r="Y869" s="319" t="s">
        <v>173</v>
      </c>
      <c r="Z869" s="319" t="s">
        <v>173</v>
      </c>
      <c r="AA869" s="319" t="s">
        <v>173</v>
      </c>
      <c r="AB869" s="319">
        <v>2</v>
      </c>
      <c r="AC869" s="319" t="s">
        <v>169</v>
      </c>
      <c r="AD869" s="319" t="s">
        <v>173</v>
      </c>
      <c r="AE869" s="319" t="s">
        <v>173</v>
      </c>
      <c r="AF869" s="319" t="s">
        <v>427</v>
      </c>
      <c r="AG869" s="319" t="s">
        <v>171</v>
      </c>
      <c r="AH869" s="319" t="s">
        <v>190</v>
      </c>
      <c r="AI869" s="319" t="s">
        <v>190</v>
      </c>
      <c r="AJ869" s="319" t="s">
        <v>190</v>
      </c>
      <c r="AK869" s="319" t="s">
        <v>190</v>
      </c>
      <c r="AL869" s="319" t="s">
        <v>190</v>
      </c>
      <c r="AM869" s="319" t="s">
        <v>190</v>
      </c>
      <c r="AN869" s="319" t="s">
        <v>190</v>
      </c>
      <c r="AO869" s="319" t="s">
        <v>190</v>
      </c>
      <c r="AP869" s="319" t="s">
        <v>190</v>
      </c>
      <c r="AQ869" s="319" t="s">
        <v>190</v>
      </c>
      <c r="AR869" s="319" t="s">
        <v>190</v>
      </c>
      <c r="AS869" s="319" t="s">
        <v>190</v>
      </c>
      <c r="AT869" s="319" t="s">
        <v>190</v>
      </c>
      <c r="AU869" s="319" t="s">
        <v>190</v>
      </c>
      <c r="AV869" s="319" t="s">
        <v>190</v>
      </c>
      <c r="AW869" s="319" t="s">
        <v>190</v>
      </c>
      <c r="AX869" s="319" t="s">
        <v>190</v>
      </c>
      <c r="AY869" s="319" t="s">
        <v>190</v>
      </c>
      <c r="AZ869" s="319" t="s">
        <v>190</v>
      </c>
      <c r="BA869" s="319" t="s">
        <v>190</v>
      </c>
      <c r="BB869" s="319" t="s">
        <v>190</v>
      </c>
      <c r="BC869" s="319" t="s">
        <v>190</v>
      </c>
      <c r="BD869" s="319" t="s">
        <v>190</v>
      </c>
      <c r="BE869" s="319" t="s">
        <v>190</v>
      </c>
      <c r="BF869" s="319" t="s">
        <v>428</v>
      </c>
      <c r="BG869" s="319" t="s">
        <v>428</v>
      </c>
      <c r="BH869" s="319" t="s">
        <v>190</v>
      </c>
      <c r="BI869" s="319" t="s">
        <v>190</v>
      </c>
      <c r="BJ869" s="319" t="s">
        <v>190</v>
      </c>
      <c r="BK869" s="319" t="s">
        <v>190</v>
      </c>
      <c r="BL869" s="319" t="s">
        <v>190</v>
      </c>
      <c r="BM869" s="319" t="s">
        <v>190</v>
      </c>
      <c r="BN869" s="319" t="s">
        <v>190</v>
      </c>
      <c r="BO869" s="319" t="s">
        <v>190</v>
      </c>
      <c r="BP869" s="319" t="s">
        <v>190</v>
      </c>
      <c r="BQ869" s="319" t="s">
        <v>190</v>
      </c>
      <c r="BR869" s="319" t="s">
        <v>190</v>
      </c>
      <c r="BS869" s="319" t="s">
        <v>190</v>
      </c>
      <c r="BT869" s="319" t="s">
        <v>190</v>
      </c>
      <c r="BU869" s="319" t="s">
        <v>190</v>
      </c>
      <c r="BV869" s="319" t="s">
        <v>190</v>
      </c>
      <c r="BW869" s="319" t="s">
        <v>190</v>
      </c>
      <c r="BX869" s="319" t="s">
        <v>190</v>
      </c>
      <c r="BY869" s="319" t="s">
        <v>190</v>
      </c>
      <c r="BZ869" s="319" t="s">
        <v>190</v>
      </c>
      <c r="CA869" s="319" t="s">
        <v>190</v>
      </c>
      <c r="CB869" s="319" t="s">
        <v>190</v>
      </c>
      <c r="CC869" s="319" t="s">
        <v>190</v>
      </c>
      <c r="CD869" s="319" t="s">
        <v>190</v>
      </c>
      <c r="CE869" s="319" t="s">
        <v>190</v>
      </c>
      <c r="CF869" s="319" t="s">
        <v>190</v>
      </c>
      <c r="CG869" s="319" t="s">
        <v>190</v>
      </c>
      <c r="CH869" s="319" t="s">
        <v>190</v>
      </c>
      <c r="CI869" s="319" t="s">
        <v>190</v>
      </c>
      <c r="CJ869" s="319" t="s">
        <v>190</v>
      </c>
      <c r="CK869" s="319" t="s">
        <v>190</v>
      </c>
      <c r="CL869" s="319" t="s">
        <v>190</v>
      </c>
      <c r="CM869" s="319" t="s">
        <v>190</v>
      </c>
      <c r="CN869" s="319" t="s">
        <v>428</v>
      </c>
      <c r="CO869" s="319" t="s">
        <v>428</v>
      </c>
      <c r="CP869" s="319" t="s">
        <v>428</v>
      </c>
      <c r="CQ869" s="319" t="s">
        <v>190</v>
      </c>
      <c r="CR869" s="319" t="s">
        <v>190</v>
      </c>
      <c r="CS869" s="319" t="s">
        <v>190</v>
      </c>
      <c r="CT869" s="319" t="s">
        <v>190</v>
      </c>
      <c r="CU869" s="319" t="s">
        <v>190</v>
      </c>
      <c r="CV869" s="319" t="s">
        <v>190</v>
      </c>
      <c r="CW869" s="319" t="s">
        <v>190</v>
      </c>
      <c r="CX869" s="319" t="s">
        <v>190</v>
      </c>
      <c r="CY869" s="319" t="s">
        <v>190</v>
      </c>
      <c r="CZ869" s="319" t="s">
        <v>190</v>
      </c>
      <c r="DA869" s="319" t="s">
        <v>190</v>
      </c>
      <c r="DB869" s="319" t="s">
        <v>190</v>
      </c>
      <c r="DC869" s="319" t="s">
        <v>190</v>
      </c>
      <c r="DD869" s="319" t="s">
        <v>190</v>
      </c>
      <c r="DE869" s="319" t="s">
        <v>190</v>
      </c>
      <c r="DF869" s="319" t="s">
        <v>190</v>
      </c>
      <c r="DG869" s="319" t="s">
        <v>190</v>
      </c>
      <c r="DH869" s="319" t="s">
        <v>190</v>
      </c>
      <c r="DI869" s="319" t="s">
        <v>190</v>
      </c>
      <c r="DJ869" s="319" t="s">
        <v>190</v>
      </c>
      <c r="DK869" s="319" t="s">
        <v>190</v>
      </c>
      <c r="DL869" s="319" t="s">
        <v>190</v>
      </c>
      <c r="DM869" s="319" t="s">
        <v>190</v>
      </c>
      <c r="DN869" s="319" t="s">
        <v>190</v>
      </c>
      <c r="DO869" s="319" t="s">
        <v>190</v>
      </c>
      <c r="DP869" s="319" t="s">
        <v>190</v>
      </c>
      <c r="DQ869" s="319" t="s">
        <v>190</v>
      </c>
      <c r="DR869" s="319" t="s">
        <v>190</v>
      </c>
      <c r="DS869" s="319" t="s">
        <v>190</v>
      </c>
      <c r="DT869" s="319" t="s">
        <v>190</v>
      </c>
      <c r="DU869" s="319" t="s">
        <v>190</v>
      </c>
      <c r="DV869" s="319" t="s">
        <v>173</v>
      </c>
      <c r="DW869" s="319" t="s">
        <v>190</v>
      </c>
      <c r="DX869" s="319" t="s">
        <v>190</v>
      </c>
      <c r="DY869" s="319" t="s">
        <v>190</v>
      </c>
      <c r="DZ869" s="319" t="s">
        <v>190</v>
      </c>
      <c r="EA869" s="319" t="s">
        <v>190</v>
      </c>
      <c r="EB869" s="319" t="s">
        <v>190</v>
      </c>
      <c r="EC869" s="319" t="s">
        <v>190</v>
      </c>
      <c r="ED869" s="319" t="s">
        <v>190</v>
      </c>
      <c r="EE869" s="319" t="s">
        <v>190</v>
      </c>
      <c r="EF869" s="319" t="s">
        <v>190</v>
      </c>
      <c r="EG869" s="319" t="s">
        <v>190</v>
      </c>
      <c r="EH869" s="319" t="s">
        <v>190</v>
      </c>
      <c r="EI869" s="319" t="s">
        <v>190</v>
      </c>
      <c r="EJ869" s="319" t="s">
        <v>190</v>
      </c>
      <c r="EK869" s="319" t="s">
        <v>190</v>
      </c>
      <c r="EL869" s="319" t="s">
        <v>190</v>
      </c>
      <c r="EM869" s="319" t="s">
        <v>190</v>
      </c>
      <c r="EN869" s="319" t="s">
        <v>190</v>
      </c>
      <c r="EO869" s="319" t="s">
        <v>190</v>
      </c>
      <c r="EP869" s="319" t="s">
        <v>190</v>
      </c>
      <c r="EQ869" s="319" t="s">
        <v>190</v>
      </c>
      <c r="ER869" s="319" t="s">
        <v>190</v>
      </c>
      <c r="ES869" s="319" t="s">
        <v>190</v>
      </c>
      <c r="ET869" s="319" t="s">
        <v>190</v>
      </c>
      <c r="EU869" s="319" t="s">
        <v>190</v>
      </c>
      <c r="EV869" s="319" t="s">
        <v>190</v>
      </c>
      <c r="EW869" s="319" t="s">
        <v>190</v>
      </c>
      <c r="EX869" s="319" t="s">
        <v>190</v>
      </c>
      <c r="EY869" s="319" t="s">
        <v>190</v>
      </c>
      <c r="EZ869" s="319" t="s">
        <v>190</v>
      </c>
      <c r="FA869" s="319" t="s">
        <v>190</v>
      </c>
      <c r="FB869" s="319" t="s">
        <v>190</v>
      </c>
      <c r="FC869" s="319" t="s">
        <v>190</v>
      </c>
      <c r="FD869" s="319" t="s">
        <v>190</v>
      </c>
      <c r="FE869" s="319" t="s">
        <v>190</v>
      </c>
      <c r="FF869" s="319" t="s">
        <v>190</v>
      </c>
      <c r="FG869" s="319" t="s">
        <v>190</v>
      </c>
      <c r="FH869" s="319" t="s">
        <v>190</v>
      </c>
      <c r="FI869" s="319" t="s">
        <v>190</v>
      </c>
      <c r="FJ869" s="319" t="s">
        <v>190</v>
      </c>
      <c r="FK869" s="319" t="s">
        <v>190</v>
      </c>
      <c r="FL869" s="319" t="s">
        <v>190</v>
      </c>
      <c r="FM869" s="319" t="s">
        <v>190</v>
      </c>
      <c r="FN869" s="319" t="s">
        <v>190</v>
      </c>
      <c r="FO869" s="319" t="s">
        <v>190</v>
      </c>
      <c r="FP869" s="319" t="s">
        <v>190</v>
      </c>
      <c r="FQ869" s="319" t="s">
        <v>190</v>
      </c>
      <c r="FR869" s="319" t="s">
        <v>190</v>
      </c>
      <c r="FS869" s="319" t="s">
        <v>428</v>
      </c>
      <c r="FT869" s="319" t="s">
        <v>190</v>
      </c>
      <c r="FU869" s="319" t="s">
        <v>190</v>
      </c>
      <c r="FV869" s="319" t="s">
        <v>190</v>
      </c>
      <c r="FW869" s="319" t="s">
        <v>190</v>
      </c>
      <c r="FX869" s="319" t="s">
        <v>190</v>
      </c>
      <c r="FY869" s="319" t="s">
        <v>190</v>
      </c>
      <c r="FZ869" s="319" t="s">
        <v>190</v>
      </c>
      <c r="GA869" s="319" t="s">
        <v>190</v>
      </c>
      <c r="GB869" s="319" t="s">
        <v>190</v>
      </c>
      <c r="GC869" s="319" t="s">
        <v>190</v>
      </c>
      <c r="GD869" s="319" t="s">
        <v>190</v>
      </c>
      <c r="GE869" s="319" t="s">
        <v>190</v>
      </c>
      <c r="GF869" s="319" t="s">
        <v>190</v>
      </c>
      <c r="GG869" s="319" t="s">
        <v>190</v>
      </c>
      <c r="GH869" s="319" t="s">
        <v>190</v>
      </c>
      <c r="GI869" s="319" t="s">
        <v>190</v>
      </c>
      <c r="GJ869" s="319" t="s">
        <v>190</v>
      </c>
      <c r="GK869" s="319" t="s">
        <v>428</v>
      </c>
      <c r="GL869" s="319" t="s">
        <v>190</v>
      </c>
      <c r="GM869" s="319" t="s">
        <v>190</v>
      </c>
      <c r="GN869" s="319" t="s">
        <v>190</v>
      </c>
      <c r="GO869" s="319" t="s">
        <v>190</v>
      </c>
      <c r="GP869" s="319" t="s">
        <v>190</v>
      </c>
      <c r="GQ869" s="319" t="s">
        <v>190</v>
      </c>
      <c r="GR869" s="319" t="s">
        <v>190</v>
      </c>
      <c r="GS869" s="319" t="s">
        <v>190</v>
      </c>
      <c r="GT869" s="319" t="s">
        <v>190</v>
      </c>
      <c r="GU869" s="319" t="s">
        <v>190</v>
      </c>
      <c r="GV869" s="319" t="s">
        <v>190</v>
      </c>
      <c r="GW869" s="319" t="s">
        <v>190</v>
      </c>
      <c r="GX869" s="319" t="s">
        <v>190</v>
      </c>
      <c r="GY869" s="319" t="s">
        <v>190</v>
      </c>
      <c r="GZ869" s="319" t="s">
        <v>190</v>
      </c>
      <c r="HA869" s="319" t="s">
        <v>190</v>
      </c>
      <c r="HB869" s="319" t="s">
        <v>190</v>
      </c>
      <c r="HC869" s="319" t="s">
        <v>190</v>
      </c>
      <c r="HD869" s="319" t="s">
        <v>190</v>
      </c>
      <c r="HE869" s="319" t="s">
        <v>190</v>
      </c>
      <c r="HF869" s="319" t="s">
        <v>190</v>
      </c>
      <c r="HG869" s="319" t="s">
        <v>190</v>
      </c>
      <c r="HH869" s="319" t="s">
        <v>190</v>
      </c>
      <c r="HI869" s="319" t="s">
        <v>190</v>
      </c>
      <c r="HJ869" s="319" t="s">
        <v>190</v>
      </c>
      <c r="HK869" s="319" t="s">
        <v>190</v>
      </c>
      <c r="HL869" s="319" t="s">
        <v>428</v>
      </c>
      <c r="HM869" s="319" t="s">
        <v>428</v>
      </c>
      <c r="HN869" s="319" t="s">
        <v>428</v>
      </c>
      <c r="HO869" s="319" t="s">
        <v>428</v>
      </c>
      <c r="HP869" s="319" t="s">
        <v>190</v>
      </c>
      <c r="HQ869" s="319" t="s">
        <v>190</v>
      </c>
      <c r="HR869" s="319" t="s">
        <v>190</v>
      </c>
      <c r="HS869" s="319" t="s">
        <v>190</v>
      </c>
      <c r="HT869" s="319" t="s">
        <v>190</v>
      </c>
      <c r="HU869" s="319" t="s">
        <v>190</v>
      </c>
      <c r="HV869" s="319" t="s">
        <v>190</v>
      </c>
      <c r="HW869" s="319" t="s">
        <v>190</v>
      </c>
      <c r="HX869" s="319" t="s">
        <v>190</v>
      </c>
      <c r="HY869" s="319" t="s">
        <v>190</v>
      </c>
      <c r="HZ869" s="319" t="s">
        <v>190</v>
      </c>
      <c r="IA869" s="319" t="s">
        <v>190</v>
      </c>
      <c r="IB869" s="319" t="s">
        <v>190</v>
      </c>
      <c r="IC869" s="319" t="s">
        <v>190</v>
      </c>
      <c r="ID869" s="319" t="s">
        <v>190</v>
      </c>
      <c r="IE869" s="319" t="s">
        <v>190</v>
      </c>
      <c r="IF869" s="319" t="s">
        <v>190</v>
      </c>
      <c r="IG869" s="319" t="s">
        <v>190</v>
      </c>
      <c r="IH869" s="319" t="s">
        <v>190</v>
      </c>
      <c r="II869" s="319" t="s">
        <v>190</v>
      </c>
      <c r="IJ869" s="319" t="s">
        <v>173</v>
      </c>
      <c r="IK869" s="319" t="s">
        <v>173</v>
      </c>
      <c r="IL869" s="319" t="s">
        <v>173</v>
      </c>
      <c r="IM869" s="319" t="s">
        <v>173</v>
      </c>
      <c r="IN869" s="319" t="s">
        <v>173</v>
      </c>
      <c r="IO869" s="319" t="s">
        <v>173</v>
      </c>
      <c r="IP869" s="319" t="s">
        <v>173</v>
      </c>
      <c r="IQ869" s="319" t="s">
        <v>173</v>
      </c>
      <c r="IR869" s="320" t="s">
        <v>173</v>
      </c>
      <c r="IS869" s="320" t="s">
        <v>173</v>
      </c>
      <c r="IT869" s="319" t="s">
        <v>173</v>
      </c>
    </row>
    <row r="870" spans="1:254" s="271" customFormat="1" x14ac:dyDescent="0.25">
      <c r="A870" s="318" t="str">
        <f>HYPERLINK("http://www.ofsted.gov.uk/inspection-reports/find-inspection-report/provider/ELS/143040 ","Ofsted School Webpage")</f>
        <v>Ofsted School Webpage</v>
      </c>
      <c r="B870" s="319">
        <v>143040</v>
      </c>
      <c r="C870" s="319">
        <v>3306030</v>
      </c>
      <c r="D870" s="319" t="s">
        <v>1160</v>
      </c>
      <c r="E870" s="319" t="s">
        <v>167</v>
      </c>
      <c r="F870" s="319" t="s">
        <v>81</v>
      </c>
      <c r="G870" s="319" t="s">
        <v>81</v>
      </c>
      <c r="H870" s="319" t="s">
        <v>81</v>
      </c>
      <c r="I870" s="319" t="s">
        <v>78</v>
      </c>
      <c r="J870" s="319" t="s">
        <v>424</v>
      </c>
      <c r="K870" s="319" t="s">
        <v>437</v>
      </c>
      <c r="L870" s="319" t="s">
        <v>437</v>
      </c>
      <c r="M870" s="319" t="s">
        <v>813</v>
      </c>
      <c r="N870" s="319" t="s">
        <v>3247</v>
      </c>
      <c r="O870" s="319" t="s">
        <v>1161</v>
      </c>
      <c r="P870" s="319">
        <v>2</v>
      </c>
      <c r="Q870" s="319" t="s">
        <v>2766</v>
      </c>
      <c r="R870" s="320">
        <v>10045267</v>
      </c>
      <c r="S870" s="321">
        <v>43214</v>
      </c>
      <c r="T870" s="321">
        <v>43216</v>
      </c>
      <c r="U870" s="321">
        <v>43244</v>
      </c>
      <c r="V870" s="319" t="s">
        <v>435</v>
      </c>
      <c r="W870" s="319" t="s">
        <v>2767</v>
      </c>
      <c r="X870" s="319">
        <v>3</v>
      </c>
      <c r="Y870" s="319" t="s">
        <v>173</v>
      </c>
      <c r="Z870" s="319" t="s">
        <v>173</v>
      </c>
      <c r="AA870" s="319" t="s">
        <v>173</v>
      </c>
      <c r="AB870" s="319">
        <v>3</v>
      </c>
      <c r="AC870" s="319" t="s">
        <v>169</v>
      </c>
      <c r="AD870" s="319" t="s">
        <v>173</v>
      </c>
      <c r="AE870" s="319" t="s">
        <v>173</v>
      </c>
      <c r="AF870" s="319" t="s">
        <v>427</v>
      </c>
      <c r="AG870" s="319" t="s">
        <v>172</v>
      </c>
      <c r="AH870" s="319" t="s">
        <v>479</v>
      </c>
      <c r="AI870" s="319" t="s">
        <v>190</v>
      </c>
      <c r="AJ870" s="319" t="s">
        <v>190</v>
      </c>
      <c r="AK870" s="319" t="s">
        <v>190</v>
      </c>
      <c r="AL870" s="319" t="s">
        <v>190</v>
      </c>
      <c r="AM870" s="319" t="s">
        <v>190</v>
      </c>
      <c r="AN870" s="319" t="s">
        <v>190</v>
      </c>
      <c r="AO870" s="319" t="s">
        <v>479</v>
      </c>
      <c r="AP870" s="319" t="s">
        <v>190</v>
      </c>
      <c r="AQ870" s="319" t="s">
        <v>190</v>
      </c>
      <c r="AR870" s="319" t="s">
        <v>190</v>
      </c>
      <c r="AS870" s="319" t="s">
        <v>190</v>
      </c>
      <c r="AT870" s="319" t="s">
        <v>190</v>
      </c>
      <c r="AU870" s="319" t="s">
        <v>190</v>
      </c>
      <c r="AV870" s="319" t="s">
        <v>190</v>
      </c>
      <c r="AW870" s="319" t="s">
        <v>190</v>
      </c>
      <c r="AX870" s="319" t="s">
        <v>428</v>
      </c>
      <c r="AY870" s="319" t="s">
        <v>190</v>
      </c>
      <c r="AZ870" s="319" t="s">
        <v>190</v>
      </c>
      <c r="BA870" s="319" t="s">
        <v>190</v>
      </c>
      <c r="BB870" s="319" t="s">
        <v>190</v>
      </c>
      <c r="BC870" s="319" t="s">
        <v>190</v>
      </c>
      <c r="BD870" s="319" t="s">
        <v>190</v>
      </c>
      <c r="BE870" s="319" t="s">
        <v>190</v>
      </c>
      <c r="BF870" s="319" t="s">
        <v>428</v>
      </c>
      <c r="BG870" s="319" t="s">
        <v>428</v>
      </c>
      <c r="BH870" s="319" t="s">
        <v>190</v>
      </c>
      <c r="BI870" s="319" t="s">
        <v>190</v>
      </c>
      <c r="BJ870" s="319" t="s">
        <v>191</v>
      </c>
      <c r="BK870" s="319" t="s">
        <v>191</v>
      </c>
      <c r="BL870" s="319" t="s">
        <v>190</v>
      </c>
      <c r="BM870" s="319" t="s">
        <v>191</v>
      </c>
      <c r="BN870" s="319" t="s">
        <v>191</v>
      </c>
      <c r="BO870" s="319" t="s">
        <v>190</v>
      </c>
      <c r="BP870" s="319" t="s">
        <v>190</v>
      </c>
      <c r="BQ870" s="319" t="s">
        <v>191</v>
      </c>
      <c r="BR870" s="319" t="s">
        <v>190</v>
      </c>
      <c r="BS870" s="319" t="s">
        <v>190</v>
      </c>
      <c r="BT870" s="319" t="s">
        <v>190</v>
      </c>
      <c r="BU870" s="319" t="s">
        <v>190</v>
      </c>
      <c r="BV870" s="319" t="s">
        <v>190</v>
      </c>
      <c r="BW870" s="319" t="s">
        <v>190</v>
      </c>
      <c r="BX870" s="319" t="s">
        <v>190</v>
      </c>
      <c r="BY870" s="319" t="s">
        <v>190</v>
      </c>
      <c r="BZ870" s="319" t="s">
        <v>190</v>
      </c>
      <c r="CA870" s="319" t="s">
        <v>190</v>
      </c>
      <c r="CB870" s="319" t="s">
        <v>190</v>
      </c>
      <c r="CC870" s="319" t="s">
        <v>190</v>
      </c>
      <c r="CD870" s="319" t="s">
        <v>190</v>
      </c>
      <c r="CE870" s="319" t="s">
        <v>190</v>
      </c>
      <c r="CF870" s="319" t="s">
        <v>190</v>
      </c>
      <c r="CG870" s="319" t="s">
        <v>190</v>
      </c>
      <c r="CH870" s="319" t="s">
        <v>190</v>
      </c>
      <c r="CI870" s="319" t="s">
        <v>190</v>
      </c>
      <c r="CJ870" s="319" t="s">
        <v>190</v>
      </c>
      <c r="CK870" s="319" t="s">
        <v>190</v>
      </c>
      <c r="CL870" s="319" t="s">
        <v>190</v>
      </c>
      <c r="CM870" s="319" t="s">
        <v>190</v>
      </c>
      <c r="CN870" s="319" t="s">
        <v>428</v>
      </c>
      <c r="CO870" s="319" t="s">
        <v>428</v>
      </c>
      <c r="CP870" s="319" t="s">
        <v>428</v>
      </c>
      <c r="CQ870" s="319" t="s">
        <v>190</v>
      </c>
      <c r="CR870" s="319" t="s">
        <v>190</v>
      </c>
      <c r="CS870" s="319" t="s">
        <v>190</v>
      </c>
      <c r="CT870" s="319" t="s">
        <v>190</v>
      </c>
      <c r="CU870" s="319" t="s">
        <v>190</v>
      </c>
      <c r="CV870" s="319" t="s">
        <v>190</v>
      </c>
      <c r="CW870" s="319" t="s">
        <v>190</v>
      </c>
      <c r="CX870" s="319" t="s">
        <v>190</v>
      </c>
      <c r="CY870" s="319" t="s">
        <v>190</v>
      </c>
      <c r="CZ870" s="319" t="s">
        <v>190</v>
      </c>
      <c r="DA870" s="319" t="s">
        <v>190</v>
      </c>
      <c r="DB870" s="319" t="s">
        <v>190</v>
      </c>
      <c r="DC870" s="319" t="s">
        <v>190</v>
      </c>
      <c r="DD870" s="319" t="s">
        <v>190</v>
      </c>
      <c r="DE870" s="319" t="s">
        <v>190</v>
      </c>
      <c r="DF870" s="319" t="s">
        <v>190</v>
      </c>
      <c r="DG870" s="319" t="s">
        <v>190</v>
      </c>
      <c r="DH870" s="319" t="s">
        <v>190</v>
      </c>
      <c r="DI870" s="319" t="s">
        <v>190</v>
      </c>
      <c r="DJ870" s="319" t="s">
        <v>190</v>
      </c>
      <c r="DK870" s="319" t="s">
        <v>190</v>
      </c>
      <c r="DL870" s="319" t="s">
        <v>190</v>
      </c>
      <c r="DM870" s="319" t="s">
        <v>190</v>
      </c>
      <c r="DN870" s="319" t="s">
        <v>428</v>
      </c>
      <c r="DO870" s="319" t="s">
        <v>190</v>
      </c>
      <c r="DP870" s="319" t="s">
        <v>428</v>
      </c>
      <c r="DQ870" s="319" t="s">
        <v>428</v>
      </c>
      <c r="DR870" s="319" t="s">
        <v>428</v>
      </c>
      <c r="DS870" s="319" t="s">
        <v>428</v>
      </c>
      <c r="DT870" s="319" t="s">
        <v>428</v>
      </c>
      <c r="DU870" s="319" t="s">
        <v>428</v>
      </c>
      <c r="DV870" s="319" t="s">
        <v>173</v>
      </c>
      <c r="DW870" s="319" t="s">
        <v>428</v>
      </c>
      <c r="DX870" s="319" t="s">
        <v>428</v>
      </c>
      <c r="DY870" s="319" t="s">
        <v>428</v>
      </c>
      <c r="DZ870" s="319" t="s">
        <v>428</v>
      </c>
      <c r="EA870" s="319" t="s">
        <v>428</v>
      </c>
      <c r="EB870" s="319" t="s">
        <v>428</v>
      </c>
      <c r="EC870" s="319" t="s">
        <v>428</v>
      </c>
      <c r="ED870" s="319" t="s">
        <v>190</v>
      </c>
      <c r="EE870" s="319" t="s">
        <v>190</v>
      </c>
      <c r="EF870" s="319" t="s">
        <v>190</v>
      </c>
      <c r="EG870" s="319" t="s">
        <v>190</v>
      </c>
      <c r="EH870" s="319" t="s">
        <v>190</v>
      </c>
      <c r="EI870" s="319" t="s">
        <v>190</v>
      </c>
      <c r="EJ870" s="319" t="s">
        <v>190</v>
      </c>
      <c r="EK870" s="319" t="s">
        <v>190</v>
      </c>
      <c r="EL870" s="319" t="s">
        <v>190</v>
      </c>
      <c r="EM870" s="319" t="s">
        <v>190</v>
      </c>
      <c r="EN870" s="319" t="s">
        <v>190</v>
      </c>
      <c r="EO870" s="319" t="s">
        <v>190</v>
      </c>
      <c r="EP870" s="319" t="s">
        <v>190</v>
      </c>
      <c r="EQ870" s="319" t="s">
        <v>190</v>
      </c>
      <c r="ER870" s="319" t="s">
        <v>190</v>
      </c>
      <c r="ES870" s="319" t="s">
        <v>190</v>
      </c>
      <c r="ET870" s="319" t="s">
        <v>190</v>
      </c>
      <c r="EU870" s="319" t="s">
        <v>190</v>
      </c>
      <c r="EV870" s="319" t="s">
        <v>190</v>
      </c>
      <c r="EW870" s="319" t="s">
        <v>190</v>
      </c>
      <c r="EX870" s="319" t="s">
        <v>190</v>
      </c>
      <c r="EY870" s="319" t="s">
        <v>190</v>
      </c>
      <c r="EZ870" s="319" t="s">
        <v>190</v>
      </c>
      <c r="FA870" s="319" t="s">
        <v>428</v>
      </c>
      <c r="FB870" s="319" t="s">
        <v>428</v>
      </c>
      <c r="FC870" s="319" t="s">
        <v>428</v>
      </c>
      <c r="FD870" s="319" t="s">
        <v>428</v>
      </c>
      <c r="FE870" s="319" t="s">
        <v>428</v>
      </c>
      <c r="FF870" s="319" t="s">
        <v>428</v>
      </c>
      <c r="FG870" s="319" t="s">
        <v>428</v>
      </c>
      <c r="FH870" s="319" t="s">
        <v>190</v>
      </c>
      <c r="FI870" s="319" t="s">
        <v>428</v>
      </c>
      <c r="FJ870" s="319" t="s">
        <v>429</v>
      </c>
      <c r="FK870" s="319" t="s">
        <v>428</v>
      </c>
      <c r="FL870" s="319" t="s">
        <v>190</v>
      </c>
      <c r="FM870" s="319" t="s">
        <v>190</v>
      </c>
      <c r="FN870" s="319" t="s">
        <v>190</v>
      </c>
      <c r="FO870" s="319" t="s">
        <v>190</v>
      </c>
      <c r="FP870" s="319" t="s">
        <v>190</v>
      </c>
      <c r="FQ870" s="319" t="s">
        <v>190</v>
      </c>
      <c r="FR870" s="319" t="s">
        <v>190</v>
      </c>
      <c r="FS870" s="319" t="s">
        <v>428</v>
      </c>
      <c r="FT870" s="319" t="s">
        <v>190</v>
      </c>
      <c r="FU870" s="319" t="s">
        <v>190</v>
      </c>
      <c r="FV870" s="319" t="s">
        <v>190</v>
      </c>
      <c r="FW870" s="319" t="s">
        <v>190</v>
      </c>
      <c r="FX870" s="319" t="s">
        <v>190</v>
      </c>
      <c r="FY870" s="319" t="s">
        <v>190</v>
      </c>
      <c r="FZ870" s="319" t="s">
        <v>190</v>
      </c>
      <c r="GA870" s="319" t="s">
        <v>190</v>
      </c>
      <c r="GB870" s="319" t="s">
        <v>190</v>
      </c>
      <c r="GC870" s="319" t="s">
        <v>190</v>
      </c>
      <c r="GD870" s="319" t="s">
        <v>190</v>
      </c>
      <c r="GE870" s="319" t="s">
        <v>190</v>
      </c>
      <c r="GF870" s="319" t="s">
        <v>190</v>
      </c>
      <c r="GG870" s="319" t="s">
        <v>190</v>
      </c>
      <c r="GH870" s="319" t="s">
        <v>190</v>
      </c>
      <c r="GI870" s="319" t="s">
        <v>190</v>
      </c>
      <c r="GJ870" s="319" t="s">
        <v>190</v>
      </c>
      <c r="GK870" s="319" t="s">
        <v>428</v>
      </c>
      <c r="GL870" s="319" t="s">
        <v>190</v>
      </c>
      <c r="GM870" s="319" t="s">
        <v>190</v>
      </c>
      <c r="GN870" s="319" t="s">
        <v>190</v>
      </c>
      <c r="GO870" s="319" t="s">
        <v>190</v>
      </c>
      <c r="GP870" s="319" t="s">
        <v>190</v>
      </c>
      <c r="GQ870" s="319" t="s">
        <v>428</v>
      </c>
      <c r="GR870" s="319" t="s">
        <v>190</v>
      </c>
      <c r="GS870" s="319" t="s">
        <v>190</v>
      </c>
      <c r="GT870" s="319" t="s">
        <v>428</v>
      </c>
      <c r="GU870" s="319" t="s">
        <v>428</v>
      </c>
      <c r="GV870" s="319" t="s">
        <v>190</v>
      </c>
      <c r="GW870" s="319" t="s">
        <v>190</v>
      </c>
      <c r="GX870" s="319" t="s">
        <v>190</v>
      </c>
      <c r="GY870" s="319" t="s">
        <v>190</v>
      </c>
      <c r="GZ870" s="319" t="s">
        <v>190</v>
      </c>
      <c r="HA870" s="319" t="s">
        <v>428</v>
      </c>
      <c r="HB870" s="319" t="s">
        <v>190</v>
      </c>
      <c r="HC870" s="319" t="s">
        <v>190</v>
      </c>
      <c r="HD870" s="319" t="s">
        <v>190</v>
      </c>
      <c r="HE870" s="319" t="s">
        <v>190</v>
      </c>
      <c r="HF870" s="319" t="s">
        <v>190</v>
      </c>
      <c r="HG870" s="319" t="s">
        <v>190</v>
      </c>
      <c r="HH870" s="319" t="s">
        <v>190</v>
      </c>
      <c r="HI870" s="319" t="s">
        <v>190</v>
      </c>
      <c r="HJ870" s="319" t="s">
        <v>190</v>
      </c>
      <c r="HK870" s="319" t="s">
        <v>190</v>
      </c>
      <c r="HL870" s="319" t="s">
        <v>428</v>
      </c>
      <c r="HM870" s="319" t="s">
        <v>428</v>
      </c>
      <c r="HN870" s="319" t="s">
        <v>428</v>
      </c>
      <c r="HO870" s="319" t="s">
        <v>428</v>
      </c>
      <c r="HP870" s="319" t="s">
        <v>190</v>
      </c>
      <c r="HQ870" s="319" t="s">
        <v>190</v>
      </c>
      <c r="HR870" s="319" t="s">
        <v>190</v>
      </c>
      <c r="HS870" s="319" t="s">
        <v>190</v>
      </c>
      <c r="HT870" s="319" t="s">
        <v>190</v>
      </c>
      <c r="HU870" s="319" t="s">
        <v>190</v>
      </c>
      <c r="HV870" s="319" t="s">
        <v>190</v>
      </c>
      <c r="HW870" s="319" t="s">
        <v>190</v>
      </c>
      <c r="HX870" s="319" t="s">
        <v>190</v>
      </c>
      <c r="HY870" s="319" t="s">
        <v>190</v>
      </c>
      <c r="HZ870" s="319" t="s">
        <v>190</v>
      </c>
      <c r="IA870" s="319" t="s">
        <v>190</v>
      </c>
      <c r="IB870" s="319" t="s">
        <v>190</v>
      </c>
      <c r="IC870" s="319" t="s">
        <v>190</v>
      </c>
      <c r="ID870" s="319" t="s">
        <v>190</v>
      </c>
      <c r="IE870" s="319" t="s">
        <v>190</v>
      </c>
      <c r="IF870" s="319" t="s">
        <v>191</v>
      </c>
      <c r="IG870" s="319" t="s">
        <v>191</v>
      </c>
      <c r="IH870" s="319" t="s">
        <v>191</v>
      </c>
      <c r="II870" s="319" t="s">
        <v>190</v>
      </c>
      <c r="IJ870" s="319" t="s">
        <v>173</v>
      </c>
      <c r="IK870" s="319" t="s">
        <v>173</v>
      </c>
      <c r="IL870" s="319" t="s">
        <v>173</v>
      </c>
      <c r="IM870" s="319" t="s">
        <v>173</v>
      </c>
      <c r="IN870" s="319" t="s">
        <v>173</v>
      </c>
      <c r="IO870" s="319">
        <v>10085969</v>
      </c>
      <c r="IP870" s="319" t="s">
        <v>985</v>
      </c>
      <c r="IQ870" s="321">
        <v>43488</v>
      </c>
      <c r="IR870" s="320" t="s">
        <v>1223</v>
      </c>
      <c r="IS870" s="322">
        <v>43528</v>
      </c>
      <c r="IT870" s="319" t="s">
        <v>165</v>
      </c>
    </row>
    <row r="871" spans="1:254" s="271" customFormat="1" x14ac:dyDescent="0.25">
      <c r="A871" s="318" t="str">
        <f>HYPERLINK("http://www.ofsted.gov.uk/inspection-reports/find-inspection-report/provider/ELS/143041 ","Ofsted School Webpage")</f>
        <v>Ofsted School Webpage</v>
      </c>
      <c r="B871" s="319">
        <v>143041</v>
      </c>
      <c r="C871" s="319">
        <v>8886064</v>
      </c>
      <c r="D871" s="319" t="s">
        <v>1925</v>
      </c>
      <c r="E871" s="319" t="s">
        <v>167</v>
      </c>
      <c r="F871" s="319" t="s">
        <v>81</v>
      </c>
      <c r="G871" s="319" t="s">
        <v>81</v>
      </c>
      <c r="H871" s="319" t="s">
        <v>81</v>
      </c>
      <c r="I871" s="319" t="s">
        <v>78</v>
      </c>
      <c r="J871" s="319" t="s">
        <v>424</v>
      </c>
      <c r="K871" s="319" t="s">
        <v>431</v>
      </c>
      <c r="L871" s="319" t="s">
        <v>431</v>
      </c>
      <c r="M871" s="319" t="s">
        <v>469</v>
      </c>
      <c r="N871" s="319" t="s">
        <v>3123</v>
      </c>
      <c r="O871" s="319" t="s">
        <v>952</v>
      </c>
      <c r="P871" s="319">
        <v>4</v>
      </c>
      <c r="Q871" s="319" t="s">
        <v>2776</v>
      </c>
      <c r="R871" s="320">
        <v>10038937</v>
      </c>
      <c r="S871" s="321">
        <v>43004</v>
      </c>
      <c r="T871" s="321">
        <v>43005</v>
      </c>
      <c r="U871" s="321">
        <v>43027</v>
      </c>
      <c r="V871" s="319" t="s">
        <v>425</v>
      </c>
      <c r="W871" s="319" t="s">
        <v>2767</v>
      </c>
      <c r="X871" s="319">
        <v>2</v>
      </c>
      <c r="Y871" s="319" t="s">
        <v>173</v>
      </c>
      <c r="Z871" s="319" t="s">
        <v>173</v>
      </c>
      <c r="AA871" s="319" t="s">
        <v>173</v>
      </c>
      <c r="AB871" s="319">
        <v>2</v>
      </c>
      <c r="AC871" s="319" t="s">
        <v>169</v>
      </c>
      <c r="AD871" s="319" t="s">
        <v>173</v>
      </c>
      <c r="AE871" s="319" t="s">
        <v>173</v>
      </c>
      <c r="AF871" s="319" t="s">
        <v>427</v>
      </c>
      <c r="AG871" s="319" t="s">
        <v>171</v>
      </c>
      <c r="AH871" s="319" t="s">
        <v>190</v>
      </c>
      <c r="AI871" s="319" t="s">
        <v>190</v>
      </c>
      <c r="AJ871" s="319" t="s">
        <v>190</v>
      </c>
      <c r="AK871" s="319" t="s">
        <v>190</v>
      </c>
      <c r="AL871" s="319" t="s">
        <v>190</v>
      </c>
      <c r="AM871" s="319" t="s">
        <v>190</v>
      </c>
      <c r="AN871" s="319" t="s">
        <v>190</v>
      </c>
      <c r="AO871" s="319" t="s">
        <v>190</v>
      </c>
      <c r="AP871" s="319" t="s">
        <v>190</v>
      </c>
      <c r="AQ871" s="319" t="s">
        <v>190</v>
      </c>
      <c r="AR871" s="319" t="s">
        <v>190</v>
      </c>
      <c r="AS871" s="319" t="s">
        <v>190</v>
      </c>
      <c r="AT871" s="319" t="s">
        <v>190</v>
      </c>
      <c r="AU871" s="319" t="s">
        <v>190</v>
      </c>
      <c r="AV871" s="319" t="s">
        <v>190</v>
      </c>
      <c r="AW871" s="319" t="s">
        <v>190</v>
      </c>
      <c r="AX871" s="319" t="s">
        <v>428</v>
      </c>
      <c r="AY871" s="319" t="s">
        <v>190</v>
      </c>
      <c r="AZ871" s="319" t="s">
        <v>190</v>
      </c>
      <c r="BA871" s="319" t="s">
        <v>190</v>
      </c>
      <c r="BB871" s="319" t="s">
        <v>190</v>
      </c>
      <c r="BC871" s="319" t="s">
        <v>190</v>
      </c>
      <c r="BD871" s="319" t="s">
        <v>190</v>
      </c>
      <c r="BE871" s="319" t="s">
        <v>190</v>
      </c>
      <c r="BF871" s="319" t="s">
        <v>428</v>
      </c>
      <c r="BG871" s="319" t="s">
        <v>428</v>
      </c>
      <c r="BH871" s="319" t="s">
        <v>190</v>
      </c>
      <c r="BI871" s="319" t="s">
        <v>190</v>
      </c>
      <c r="BJ871" s="319" t="s">
        <v>190</v>
      </c>
      <c r="BK871" s="319" t="s">
        <v>190</v>
      </c>
      <c r="BL871" s="319" t="s">
        <v>190</v>
      </c>
      <c r="BM871" s="319" t="s">
        <v>190</v>
      </c>
      <c r="BN871" s="319" t="s">
        <v>190</v>
      </c>
      <c r="BO871" s="319" t="s">
        <v>190</v>
      </c>
      <c r="BP871" s="319" t="s">
        <v>190</v>
      </c>
      <c r="BQ871" s="319" t="s">
        <v>190</v>
      </c>
      <c r="BR871" s="319" t="s">
        <v>190</v>
      </c>
      <c r="BS871" s="319" t="s">
        <v>190</v>
      </c>
      <c r="BT871" s="319" t="s">
        <v>190</v>
      </c>
      <c r="BU871" s="319" t="s">
        <v>190</v>
      </c>
      <c r="BV871" s="319" t="s">
        <v>190</v>
      </c>
      <c r="BW871" s="319" t="s">
        <v>190</v>
      </c>
      <c r="BX871" s="319" t="s">
        <v>190</v>
      </c>
      <c r="BY871" s="319" t="s">
        <v>190</v>
      </c>
      <c r="BZ871" s="319" t="s">
        <v>190</v>
      </c>
      <c r="CA871" s="319" t="s">
        <v>190</v>
      </c>
      <c r="CB871" s="319" t="s">
        <v>190</v>
      </c>
      <c r="CC871" s="319" t="s">
        <v>190</v>
      </c>
      <c r="CD871" s="319" t="s">
        <v>190</v>
      </c>
      <c r="CE871" s="319" t="s">
        <v>190</v>
      </c>
      <c r="CF871" s="319" t="s">
        <v>190</v>
      </c>
      <c r="CG871" s="319" t="s">
        <v>190</v>
      </c>
      <c r="CH871" s="319" t="s">
        <v>190</v>
      </c>
      <c r="CI871" s="319" t="s">
        <v>190</v>
      </c>
      <c r="CJ871" s="319" t="s">
        <v>190</v>
      </c>
      <c r="CK871" s="319" t="s">
        <v>190</v>
      </c>
      <c r="CL871" s="319" t="s">
        <v>190</v>
      </c>
      <c r="CM871" s="319" t="s">
        <v>190</v>
      </c>
      <c r="CN871" s="319" t="s">
        <v>190</v>
      </c>
      <c r="CO871" s="319" t="s">
        <v>428</v>
      </c>
      <c r="CP871" s="319" t="s">
        <v>428</v>
      </c>
      <c r="CQ871" s="319" t="s">
        <v>190</v>
      </c>
      <c r="CR871" s="319" t="s">
        <v>190</v>
      </c>
      <c r="CS871" s="319" t="s">
        <v>190</v>
      </c>
      <c r="CT871" s="319" t="s">
        <v>190</v>
      </c>
      <c r="CU871" s="319" t="s">
        <v>190</v>
      </c>
      <c r="CV871" s="319" t="s">
        <v>190</v>
      </c>
      <c r="CW871" s="319" t="s">
        <v>190</v>
      </c>
      <c r="CX871" s="319" t="s">
        <v>190</v>
      </c>
      <c r="CY871" s="319" t="s">
        <v>190</v>
      </c>
      <c r="CZ871" s="319" t="s">
        <v>190</v>
      </c>
      <c r="DA871" s="319" t="s">
        <v>190</v>
      </c>
      <c r="DB871" s="319" t="s">
        <v>190</v>
      </c>
      <c r="DC871" s="319" t="s">
        <v>190</v>
      </c>
      <c r="DD871" s="319" t="s">
        <v>190</v>
      </c>
      <c r="DE871" s="319" t="s">
        <v>190</v>
      </c>
      <c r="DF871" s="319" t="s">
        <v>190</v>
      </c>
      <c r="DG871" s="319" t="s">
        <v>190</v>
      </c>
      <c r="DH871" s="319" t="s">
        <v>190</v>
      </c>
      <c r="DI871" s="319" t="s">
        <v>190</v>
      </c>
      <c r="DJ871" s="319" t="s">
        <v>190</v>
      </c>
      <c r="DK871" s="319" t="s">
        <v>190</v>
      </c>
      <c r="DL871" s="319" t="s">
        <v>190</v>
      </c>
      <c r="DM871" s="319" t="s">
        <v>190</v>
      </c>
      <c r="DN871" s="319" t="s">
        <v>428</v>
      </c>
      <c r="DO871" s="319" t="s">
        <v>190</v>
      </c>
      <c r="DP871" s="319" t="s">
        <v>428</v>
      </c>
      <c r="DQ871" s="319" t="s">
        <v>428</v>
      </c>
      <c r="DR871" s="319" t="s">
        <v>428</v>
      </c>
      <c r="DS871" s="319" t="s">
        <v>428</v>
      </c>
      <c r="DT871" s="319" t="s">
        <v>428</v>
      </c>
      <c r="DU871" s="319" t="s">
        <v>428</v>
      </c>
      <c r="DV871" s="319" t="s">
        <v>173</v>
      </c>
      <c r="DW871" s="319" t="s">
        <v>428</v>
      </c>
      <c r="DX871" s="319" t="s">
        <v>190</v>
      </c>
      <c r="DY871" s="319" t="s">
        <v>428</v>
      </c>
      <c r="DZ871" s="319" t="s">
        <v>428</v>
      </c>
      <c r="EA871" s="319" t="s">
        <v>190</v>
      </c>
      <c r="EB871" s="319" t="s">
        <v>428</v>
      </c>
      <c r="EC871" s="319" t="s">
        <v>428</v>
      </c>
      <c r="ED871" s="319" t="s">
        <v>428</v>
      </c>
      <c r="EE871" s="319" t="s">
        <v>190</v>
      </c>
      <c r="EF871" s="319" t="s">
        <v>190</v>
      </c>
      <c r="EG871" s="319" t="s">
        <v>190</v>
      </c>
      <c r="EH871" s="319" t="s">
        <v>190</v>
      </c>
      <c r="EI871" s="319" t="s">
        <v>190</v>
      </c>
      <c r="EJ871" s="319" t="s">
        <v>190</v>
      </c>
      <c r="EK871" s="319" t="s">
        <v>190</v>
      </c>
      <c r="EL871" s="319" t="s">
        <v>190</v>
      </c>
      <c r="EM871" s="319" t="s">
        <v>190</v>
      </c>
      <c r="EN871" s="319" t="s">
        <v>428</v>
      </c>
      <c r="EO871" s="319" t="s">
        <v>190</v>
      </c>
      <c r="EP871" s="319" t="s">
        <v>190</v>
      </c>
      <c r="EQ871" s="319" t="s">
        <v>190</v>
      </c>
      <c r="ER871" s="319" t="s">
        <v>190</v>
      </c>
      <c r="ES871" s="319" t="s">
        <v>190</v>
      </c>
      <c r="ET871" s="319" t="s">
        <v>190</v>
      </c>
      <c r="EU871" s="319" t="s">
        <v>190</v>
      </c>
      <c r="EV871" s="319" t="s">
        <v>190</v>
      </c>
      <c r="EW871" s="319" t="s">
        <v>190</v>
      </c>
      <c r="EX871" s="319" t="s">
        <v>190</v>
      </c>
      <c r="EY871" s="319" t="s">
        <v>190</v>
      </c>
      <c r="EZ871" s="319" t="s">
        <v>190</v>
      </c>
      <c r="FA871" s="319" t="s">
        <v>428</v>
      </c>
      <c r="FB871" s="319" t="s">
        <v>428</v>
      </c>
      <c r="FC871" s="319" t="s">
        <v>428</v>
      </c>
      <c r="FD871" s="319" t="s">
        <v>428</v>
      </c>
      <c r="FE871" s="319" t="s">
        <v>428</v>
      </c>
      <c r="FF871" s="319" t="s">
        <v>428</v>
      </c>
      <c r="FG871" s="319" t="s">
        <v>428</v>
      </c>
      <c r="FH871" s="319" t="s">
        <v>428</v>
      </c>
      <c r="FI871" s="319" t="s">
        <v>428</v>
      </c>
      <c r="FJ871" s="319" t="s">
        <v>429</v>
      </c>
      <c r="FK871" s="319" t="s">
        <v>428</v>
      </c>
      <c r="FL871" s="319" t="s">
        <v>190</v>
      </c>
      <c r="FM871" s="319" t="s">
        <v>190</v>
      </c>
      <c r="FN871" s="319" t="s">
        <v>428</v>
      </c>
      <c r="FO871" s="319" t="s">
        <v>190</v>
      </c>
      <c r="FP871" s="319" t="s">
        <v>190</v>
      </c>
      <c r="FQ871" s="319" t="s">
        <v>190</v>
      </c>
      <c r="FR871" s="319" t="s">
        <v>190</v>
      </c>
      <c r="FS871" s="319" t="s">
        <v>428</v>
      </c>
      <c r="FT871" s="319" t="s">
        <v>190</v>
      </c>
      <c r="FU871" s="319" t="s">
        <v>190</v>
      </c>
      <c r="FV871" s="319" t="s">
        <v>190</v>
      </c>
      <c r="FW871" s="319" t="s">
        <v>190</v>
      </c>
      <c r="FX871" s="319" t="s">
        <v>190</v>
      </c>
      <c r="FY871" s="319" t="s">
        <v>190</v>
      </c>
      <c r="FZ871" s="319" t="s">
        <v>190</v>
      </c>
      <c r="GA871" s="319" t="s">
        <v>190</v>
      </c>
      <c r="GB871" s="319" t="s">
        <v>190</v>
      </c>
      <c r="GC871" s="319" t="s">
        <v>190</v>
      </c>
      <c r="GD871" s="319" t="s">
        <v>190</v>
      </c>
      <c r="GE871" s="319" t="s">
        <v>190</v>
      </c>
      <c r="GF871" s="319" t="s">
        <v>190</v>
      </c>
      <c r="GG871" s="319" t="s">
        <v>190</v>
      </c>
      <c r="GH871" s="319" t="s">
        <v>190</v>
      </c>
      <c r="GI871" s="319" t="s">
        <v>190</v>
      </c>
      <c r="GJ871" s="319" t="s">
        <v>190</v>
      </c>
      <c r="GK871" s="319" t="s">
        <v>190</v>
      </c>
      <c r="GL871" s="319" t="s">
        <v>190</v>
      </c>
      <c r="GM871" s="319" t="s">
        <v>190</v>
      </c>
      <c r="GN871" s="319" t="s">
        <v>190</v>
      </c>
      <c r="GO871" s="319" t="s">
        <v>190</v>
      </c>
      <c r="GP871" s="319" t="s">
        <v>190</v>
      </c>
      <c r="GQ871" s="319" t="s">
        <v>190</v>
      </c>
      <c r="GR871" s="319" t="s">
        <v>190</v>
      </c>
      <c r="GS871" s="319" t="s">
        <v>190</v>
      </c>
      <c r="GT871" s="319" t="s">
        <v>190</v>
      </c>
      <c r="GU871" s="319" t="s">
        <v>190</v>
      </c>
      <c r="GV871" s="319" t="s">
        <v>190</v>
      </c>
      <c r="GW871" s="319" t="s">
        <v>190</v>
      </c>
      <c r="GX871" s="319" t="s">
        <v>190</v>
      </c>
      <c r="GY871" s="319" t="s">
        <v>190</v>
      </c>
      <c r="GZ871" s="319" t="s">
        <v>190</v>
      </c>
      <c r="HA871" s="319" t="s">
        <v>190</v>
      </c>
      <c r="HB871" s="319" t="s">
        <v>190</v>
      </c>
      <c r="HC871" s="319" t="s">
        <v>190</v>
      </c>
      <c r="HD871" s="319" t="s">
        <v>190</v>
      </c>
      <c r="HE871" s="319" t="s">
        <v>190</v>
      </c>
      <c r="HF871" s="319" t="s">
        <v>190</v>
      </c>
      <c r="HG871" s="319" t="s">
        <v>190</v>
      </c>
      <c r="HH871" s="319" t="s">
        <v>190</v>
      </c>
      <c r="HI871" s="319" t="s">
        <v>190</v>
      </c>
      <c r="HJ871" s="319" t="s">
        <v>190</v>
      </c>
      <c r="HK871" s="319" t="s">
        <v>190</v>
      </c>
      <c r="HL871" s="319" t="s">
        <v>190</v>
      </c>
      <c r="HM871" s="319" t="s">
        <v>190</v>
      </c>
      <c r="HN871" s="319" t="s">
        <v>190</v>
      </c>
      <c r="HO871" s="319" t="s">
        <v>190</v>
      </c>
      <c r="HP871" s="319" t="s">
        <v>190</v>
      </c>
      <c r="HQ871" s="319" t="s">
        <v>190</v>
      </c>
      <c r="HR871" s="319" t="s">
        <v>190</v>
      </c>
      <c r="HS871" s="319" t="s">
        <v>190</v>
      </c>
      <c r="HT871" s="319" t="s">
        <v>190</v>
      </c>
      <c r="HU871" s="319" t="s">
        <v>190</v>
      </c>
      <c r="HV871" s="319" t="s">
        <v>190</v>
      </c>
      <c r="HW871" s="319" t="s">
        <v>190</v>
      </c>
      <c r="HX871" s="319" t="s">
        <v>190</v>
      </c>
      <c r="HY871" s="319" t="s">
        <v>190</v>
      </c>
      <c r="HZ871" s="319" t="s">
        <v>190</v>
      </c>
      <c r="IA871" s="319" t="s">
        <v>190</v>
      </c>
      <c r="IB871" s="319" t="s">
        <v>190</v>
      </c>
      <c r="IC871" s="319" t="s">
        <v>190</v>
      </c>
      <c r="ID871" s="319" t="s">
        <v>190</v>
      </c>
      <c r="IE871" s="319" t="s">
        <v>190</v>
      </c>
      <c r="IF871" s="319" t="s">
        <v>190</v>
      </c>
      <c r="IG871" s="319" t="s">
        <v>190</v>
      </c>
      <c r="IH871" s="319" t="s">
        <v>190</v>
      </c>
      <c r="II871" s="319" t="s">
        <v>190</v>
      </c>
      <c r="IJ871" s="319" t="s">
        <v>173</v>
      </c>
      <c r="IK871" s="319" t="s">
        <v>173</v>
      </c>
      <c r="IL871" s="319" t="s">
        <v>173</v>
      </c>
      <c r="IM871" s="319" t="s">
        <v>173</v>
      </c>
      <c r="IN871" s="319" t="s">
        <v>173</v>
      </c>
      <c r="IO871" s="319" t="s">
        <v>173</v>
      </c>
      <c r="IP871" s="319" t="s">
        <v>173</v>
      </c>
      <c r="IQ871" s="321" t="s">
        <v>173</v>
      </c>
      <c r="IR871" s="320" t="s">
        <v>173</v>
      </c>
      <c r="IS871" s="322" t="s">
        <v>173</v>
      </c>
      <c r="IT871" s="319" t="s">
        <v>173</v>
      </c>
    </row>
    <row r="872" spans="1:254" s="271" customFormat="1" x14ac:dyDescent="0.25">
      <c r="A872" s="318" t="str">
        <f>HYPERLINK("http://www.ofsted.gov.uk/inspection-reports/find-inspection-report/provider/ELS/143046 ","Ofsted School Webpage")</f>
        <v>Ofsted School Webpage</v>
      </c>
      <c r="B872" s="319">
        <v>143046</v>
      </c>
      <c r="C872" s="319">
        <v>8466024</v>
      </c>
      <c r="D872" s="319" t="s">
        <v>2386</v>
      </c>
      <c r="E872" s="319" t="s">
        <v>167</v>
      </c>
      <c r="F872" s="319" t="s">
        <v>81</v>
      </c>
      <c r="G872" s="319" t="s">
        <v>81</v>
      </c>
      <c r="H872" s="319" t="s">
        <v>81</v>
      </c>
      <c r="I872" s="319" t="s">
        <v>78</v>
      </c>
      <c r="J872" s="319" t="s">
        <v>424</v>
      </c>
      <c r="K872" s="319" t="s">
        <v>514</v>
      </c>
      <c r="L872" s="319" t="s">
        <v>514</v>
      </c>
      <c r="M872" s="319" t="s">
        <v>828</v>
      </c>
      <c r="N872" s="319" t="s">
        <v>3172</v>
      </c>
      <c r="O872" s="319" t="s">
        <v>2387</v>
      </c>
      <c r="P872" s="319">
        <v>80</v>
      </c>
      <c r="Q872" s="319" t="s">
        <v>2776</v>
      </c>
      <c r="R872" s="320">
        <v>10044147</v>
      </c>
      <c r="S872" s="321">
        <v>43278</v>
      </c>
      <c r="T872" s="321">
        <v>43280</v>
      </c>
      <c r="U872" s="321">
        <v>43304</v>
      </c>
      <c r="V872" s="319" t="s">
        <v>435</v>
      </c>
      <c r="W872" s="319" t="s">
        <v>2767</v>
      </c>
      <c r="X872" s="319">
        <v>2</v>
      </c>
      <c r="Y872" s="319" t="s">
        <v>173</v>
      </c>
      <c r="Z872" s="319" t="s">
        <v>173</v>
      </c>
      <c r="AA872" s="319" t="s">
        <v>173</v>
      </c>
      <c r="AB872" s="319">
        <v>2</v>
      </c>
      <c r="AC872" s="319" t="s">
        <v>169</v>
      </c>
      <c r="AD872" s="319" t="s">
        <v>173</v>
      </c>
      <c r="AE872" s="319" t="s">
        <v>173</v>
      </c>
      <c r="AF872" s="319" t="s">
        <v>427</v>
      </c>
      <c r="AG872" s="319" t="s">
        <v>171</v>
      </c>
      <c r="AH872" s="319" t="s">
        <v>190</v>
      </c>
      <c r="AI872" s="319" t="s">
        <v>190</v>
      </c>
      <c r="AJ872" s="319" t="s">
        <v>190</v>
      </c>
      <c r="AK872" s="319" t="s">
        <v>190</v>
      </c>
      <c r="AL872" s="319" t="s">
        <v>190</v>
      </c>
      <c r="AM872" s="319" t="s">
        <v>190</v>
      </c>
      <c r="AN872" s="319" t="s">
        <v>190</v>
      </c>
      <c r="AO872" s="319" t="s">
        <v>190</v>
      </c>
      <c r="AP872" s="319" t="s">
        <v>190</v>
      </c>
      <c r="AQ872" s="319" t="s">
        <v>190</v>
      </c>
      <c r="AR872" s="319" t="s">
        <v>190</v>
      </c>
      <c r="AS872" s="319" t="s">
        <v>190</v>
      </c>
      <c r="AT872" s="319" t="s">
        <v>190</v>
      </c>
      <c r="AU872" s="319" t="s">
        <v>190</v>
      </c>
      <c r="AV872" s="319" t="s">
        <v>190</v>
      </c>
      <c r="AW872" s="319" t="s">
        <v>190</v>
      </c>
      <c r="AX872" s="319" t="s">
        <v>428</v>
      </c>
      <c r="AY872" s="319" t="s">
        <v>190</v>
      </c>
      <c r="AZ872" s="319" t="s">
        <v>190</v>
      </c>
      <c r="BA872" s="319" t="s">
        <v>190</v>
      </c>
      <c r="BB872" s="319" t="s">
        <v>190</v>
      </c>
      <c r="BC872" s="319" t="s">
        <v>190</v>
      </c>
      <c r="BD872" s="319" t="s">
        <v>190</v>
      </c>
      <c r="BE872" s="319" t="s">
        <v>190</v>
      </c>
      <c r="BF872" s="319" t="s">
        <v>428</v>
      </c>
      <c r="BG872" s="319" t="s">
        <v>190</v>
      </c>
      <c r="BH872" s="319" t="s">
        <v>190</v>
      </c>
      <c r="BI872" s="319" t="s">
        <v>190</v>
      </c>
      <c r="BJ872" s="319" t="s">
        <v>190</v>
      </c>
      <c r="BK872" s="319" t="s">
        <v>190</v>
      </c>
      <c r="BL872" s="319" t="s">
        <v>190</v>
      </c>
      <c r="BM872" s="319" t="s">
        <v>190</v>
      </c>
      <c r="BN872" s="319" t="s">
        <v>190</v>
      </c>
      <c r="BO872" s="319" t="s">
        <v>190</v>
      </c>
      <c r="BP872" s="319" t="s">
        <v>190</v>
      </c>
      <c r="BQ872" s="319" t="s">
        <v>190</v>
      </c>
      <c r="BR872" s="319" t="s">
        <v>190</v>
      </c>
      <c r="BS872" s="319" t="s">
        <v>190</v>
      </c>
      <c r="BT872" s="319" t="s">
        <v>190</v>
      </c>
      <c r="BU872" s="319" t="s">
        <v>190</v>
      </c>
      <c r="BV872" s="319" t="s">
        <v>190</v>
      </c>
      <c r="BW872" s="319" t="s">
        <v>190</v>
      </c>
      <c r="BX872" s="319" t="s">
        <v>190</v>
      </c>
      <c r="BY872" s="319" t="s">
        <v>190</v>
      </c>
      <c r="BZ872" s="319" t="s">
        <v>190</v>
      </c>
      <c r="CA872" s="319" t="s">
        <v>190</v>
      </c>
      <c r="CB872" s="319" t="s">
        <v>190</v>
      </c>
      <c r="CC872" s="319" t="s">
        <v>190</v>
      </c>
      <c r="CD872" s="319" t="s">
        <v>190</v>
      </c>
      <c r="CE872" s="319" t="s">
        <v>190</v>
      </c>
      <c r="CF872" s="319" t="s">
        <v>190</v>
      </c>
      <c r="CG872" s="319" t="s">
        <v>190</v>
      </c>
      <c r="CH872" s="319" t="s">
        <v>190</v>
      </c>
      <c r="CI872" s="319" t="s">
        <v>190</v>
      </c>
      <c r="CJ872" s="319" t="s">
        <v>190</v>
      </c>
      <c r="CK872" s="319" t="s">
        <v>190</v>
      </c>
      <c r="CL872" s="319" t="s">
        <v>190</v>
      </c>
      <c r="CM872" s="319" t="s">
        <v>190</v>
      </c>
      <c r="CN872" s="319" t="s">
        <v>428</v>
      </c>
      <c r="CO872" s="319" t="s">
        <v>428</v>
      </c>
      <c r="CP872" s="319" t="s">
        <v>428</v>
      </c>
      <c r="CQ872" s="319" t="s">
        <v>190</v>
      </c>
      <c r="CR872" s="319" t="s">
        <v>190</v>
      </c>
      <c r="CS872" s="319" t="s">
        <v>190</v>
      </c>
      <c r="CT872" s="319" t="s">
        <v>190</v>
      </c>
      <c r="CU872" s="319" t="s">
        <v>190</v>
      </c>
      <c r="CV872" s="319" t="s">
        <v>190</v>
      </c>
      <c r="CW872" s="319" t="s">
        <v>190</v>
      </c>
      <c r="CX872" s="319" t="s">
        <v>190</v>
      </c>
      <c r="CY872" s="319" t="s">
        <v>190</v>
      </c>
      <c r="CZ872" s="319" t="s">
        <v>190</v>
      </c>
      <c r="DA872" s="319" t="s">
        <v>190</v>
      </c>
      <c r="DB872" s="319" t="s">
        <v>190</v>
      </c>
      <c r="DC872" s="319" t="s">
        <v>190</v>
      </c>
      <c r="DD872" s="319" t="s">
        <v>190</v>
      </c>
      <c r="DE872" s="319" t="s">
        <v>190</v>
      </c>
      <c r="DF872" s="319" t="s">
        <v>190</v>
      </c>
      <c r="DG872" s="319" t="s">
        <v>190</v>
      </c>
      <c r="DH872" s="319" t="s">
        <v>190</v>
      </c>
      <c r="DI872" s="319" t="s">
        <v>190</v>
      </c>
      <c r="DJ872" s="319" t="s">
        <v>190</v>
      </c>
      <c r="DK872" s="319" t="s">
        <v>190</v>
      </c>
      <c r="DL872" s="319" t="s">
        <v>190</v>
      </c>
      <c r="DM872" s="319" t="s">
        <v>190</v>
      </c>
      <c r="DN872" s="319" t="s">
        <v>428</v>
      </c>
      <c r="DO872" s="319" t="s">
        <v>190</v>
      </c>
      <c r="DP872" s="319" t="s">
        <v>190</v>
      </c>
      <c r="DQ872" s="319" t="s">
        <v>190</v>
      </c>
      <c r="DR872" s="319" t="s">
        <v>190</v>
      </c>
      <c r="DS872" s="319" t="s">
        <v>190</v>
      </c>
      <c r="DT872" s="319" t="s">
        <v>190</v>
      </c>
      <c r="DU872" s="319" t="s">
        <v>190</v>
      </c>
      <c r="DV872" s="319" t="s">
        <v>173</v>
      </c>
      <c r="DW872" s="319" t="s">
        <v>190</v>
      </c>
      <c r="DX872" s="319" t="s">
        <v>190</v>
      </c>
      <c r="DY872" s="319" t="s">
        <v>190</v>
      </c>
      <c r="DZ872" s="319" t="s">
        <v>190</v>
      </c>
      <c r="EA872" s="319" t="s">
        <v>190</v>
      </c>
      <c r="EB872" s="319" t="s">
        <v>190</v>
      </c>
      <c r="EC872" s="319" t="s">
        <v>428</v>
      </c>
      <c r="ED872" s="319" t="s">
        <v>190</v>
      </c>
      <c r="EE872" s="319" t="s">
        <v>190</v>
      </c>
      <c r="EF872" s="319" t="s">
        <v>190</v>
      </c>
      <c r="EG872" s="319" t="s">
        <v>190</v>
      </c>
      <c r="EH872" s="319" t="s">
        <v>190</v>
      </c>
      <c r="EI872" s="319" t="s">
        <v>190</v>
      </c>
      <c r="EJ872" s="319" t="s">
        <v>190</v>
      </c>
      <c r="EK872" s="319" t="s">
        <v>190</v>
      </c>
      <c r="EL872" s="319" t="s">
        <v>190</v>
      </c>
      <c r="EM872" s="319" t="s">
        <v>190</v>
      </c>
      <c r="EN872" s="319" t="s">
        <v>190</v>
      </c>
      <c r="EO872" s="319" t="s">
        <v>190</v>
      </c>
      <c r="EP872" s="319" t="s">
        <v>190</v>
      </c>
      <c r="EQ872" s="319" t="s">
        <v>190</v>
      </c>
      <c r="ER872" s="319" t="s">
        <v>190</v>
      </c>
      <c r="ES872" s="319" t="s">
        <v>190</v>
      </c>
      <c r="ET872" s="319" t="s">
        <v>190</v>
      </c>
      <c r="EU872" s="319" t="s">
        <v>190</v>
      </c>
      <c r="EV872" s="319" t="s">
        <v>190</v>
      </c>
      <c r="EW872" s="319" t="s">
        <v>190</v>
      </c>
      <c r="EX872" s="319" t="s">
        <v>190</v>
      </c>
      <c r="EY872" s="319" t="s">
        <v>190</v>
      </c>
      <c r="EZ872" s="319" t="s">
        <v>190</v>
      </c>
      <c r="FA872" s="319" t="s">
        <v>190</v>
      </c>
      <c r="FB872" s="319" t="s">
        <v>190</v>
      </c>
      <c r="FC872" s="319" t="s">
        <v>190</v>
      </c>
      <c r="FD872" s="319" t="s">
        <v>190</v>
      </c>
      <c r="FE872" s="319" t="s">
        <v>190</v>
      </c>
      <c r="FF872" s="319" t="s">
        <v>190</v>
      </c>
      <c r="FG872" s="319" t="s">
        <v>190</v>
      </c>
      <c r="FH872" s="319" t="s">
        <v>190</v>
      </c>
      <c r="FI872" s="319" t="s">
        <v>190</v>
      </c>
      <c r="FJ872" s="319" t="s">
        <v>190</v>
      </c>
      <c r="FK872" s="319" t="s">
        <v>190</v>
      </c>
      <c r="FL872" s="319" t="s">
        <v>190</v>
      </c>
      <c r="FM872" s="319" t="s">
        <v>190</v>
      </c>
      <c r="FN872" s="319" t="s">
        <v>190</v>
      </c>
      <c r="FO872" s="319" t="s">
        <v>190</v>
      </c>
      <c r="FP872" s="319" t="s">
        <v>190</v>
      </c>
      <c r="FQ872" s="319" t="s">
        <v>190</v>
      </c>
      <c r="FR872" s="319" t="s">
        <v>190</v>
      </c>
      <c r="FS872" s="319" t="s">
        <v>428</v>
      </c>
      <c r="FT872" s="319" t="s">
        <v>190</v>
      </c>
      <c r="FU872" s="319" t="s">
        <v>190</v>
      </c>
      <c r="FV872" s="319" t="s">
        <v>190</v>
      </c>
      <c r="FW872" s="319" t="s">
        <v>190</v>
      </c>
      <c r="FX872" s="319" t="s">
        <v>190</v>
      </c>
      <c r="FY872" s="319" t="s">
        <v>190</v>
      </c>
      <c r="FZ872" s="319" t="s">
        <v>190</v>
      </c>
      <c r="GA872" s="319" t="s">
        <v>190</v>
      </c>
      <c r="GB872" s="319" t="s">
        <v>190</v>
      </c>
      <c r="GC872" s="319" t="s">
        <v>190</v>
      </c>
      <c r="GD872" s="319" t="s">
        <v>190</v>
      </c>
      <c r="GE872" s="319" t="s">
        <v>190</v>
      </c>
      <c r="GF872" s="319" t="s">
        <v>190</v>
      </c>
      <c r="GG872" s="319" t="s">
        <v>190</v>
      </c>
      <c r="GH872" s="319" t="s">
        <v>190</v>
      </c>
      <c r="GI872" s="319" t="s">
        <v>190</v>
      </c>
      <c r="GJ872" s="319" t="s">
        <v>190</v>
      </c>
      <c r="GK872" s="319" t="s">
        <v>428</v>
      </c>
      <c r="GL872" s="319" t="s">
        <v>190</v>
      </c>
      <c r="GM872" s="319" t="s">
        <v>190</v>
      </c>
      <c r="GN872" s="319" t="s">
        <v>190</v>
      </c>
      <c r="GO872" s="319" t="s">
        <v>190</v>
      </c>
      <c r="GP872" s="319" t="s">
        <v>190</v>
      </c>
      <c r="GQ872" s="319" t="s">
        <v>428</v>
      </c>
      <c r="GR872" s="319" t="s">
        <v>190</v>
      </c>
      <c r="GS872" s="319" t="s">
        <v>190</v>
      </c>
      <c r="GT872" s="319" t="s">
        <v>428</v>
      </c>
      <c r="GU872" s="319" t="s">
        <v>428</v>
      </c>
      <c r="GV872" s="319" t="s">
        <v>428</v>
      </c>
      <c r="GW872" s="319" t="s">
        <v>190</v>
      </c>
      <c r="GX872" s="319" t="s">
        <v>190</v>
      </c>
      <c r="GY872" s="319" t="s">
        <v>190</v>
      </c>
      <c r="GZ872" s="319" t="s">
        <v>428</v>
      </c>
      <c r="HA872" s="319" t="s">
        <v>190</v>
      </c>
      <c r="HB872" s="319" t="s">
        <v>428</v>
      </c>
      <c r="HC872" s="319" t="s">
        <v>190</v>
      </c>
      <c r="HD872" s="319" t="s">
        <v>190</v>
      </c>
      <c r="HE872" s="319" t="s">
        <v>190</v>
      </c>
      <c r="HF872" s="319" t="s">
        <v>190</v>
      </c>
      <c r="HG872" s="319" t="s">
        <v>190</v>
      </c>
      <c r="HH872" s="319" t="s">
        <v>190</v>
      </c>
      <c r="HI872" s="319" t="s">
        <v>428</v>
      </c>
      <c r="HJ872" s="319" t="s">
        <v>190</v>
      </c>
      <c r="HK872" s="319" t="s">
        <v>428</v>
      </c>
      <c r="HL872" s="319" t="s">
        <v>428</v>
      </c>
      <c r="HM872" s="319" t="s">
        <v>428</v>
      </c>
      <c r="HN872" s="319" t="s">
        <v>428</v>
      </c>
      <c r="HO872" s="319" t="s">
        <v>428</v>
      </c>
      <c r="HP872" s="319" t="s">
        <v>190</v>
      </c>
      <c r="HQ872" s="319" t="s">
        <v>190</v>
      </c>
      <c r="HR872" s="319" t="s">
        <v>190</v>
      </c>
      <c r="HS872" s="319" t="s">
        <v>190</v>
      </c>
      <c r="HT872" s="319" t="s">
        <v>190</v>
      </c>
      <c r="HU872" s="319" t="s">
        <v>190</v>
      </c>
      <c r="HV872" s="319" t="s">
        <v>190</v>
      </c>
      <c r="HW872" s="319" t="s">
        <v>190</v>
      </c>
      <c r="HX872" s="319" t="s">
        <v>190</v>
      </c>
      <c r="HY872" s="319" t="s">
        <v>190</v>
      </c>
      <c r="HZ872" s="319" t="s">
        <v>190</v>
      </c>
      <c r="IA872" s="319" t="s">
        <v>190</v>
      </c>
      <c r="IB872" s="319" t="s">
        <v>190</v>
      </c>
      <c r="IC872" s="319" t="s">
        <v>190</v>
      </c>
      <c r="ID872" s="319" t="s">
        <v>190</v>
      </c>
      <c r="IE872" s="319" t="s">
        <v>190</v>
      </c>
      <c r="IF872" s="319" t="s">
        <v>190</v>
      </c>
      <c r="IG872" s="319" t="s">
        <v>190</v>
      </c>
      <c r="IH872" s="319" t="s">
        <v>190</v>
      </c>
      <c r="II872" s="319" t="s">
        <v>190</v>
      </c>
      <c r="IJ872" s="319" t="s">
        <v>173</v>
      </c>
      <c r="IK872" s="319" t="s">
        <v>173</v>
      </c>
      <c r="IL872" s="319" t="s">
        <v>173</v>
      </c>
      <c r="IM872" s="319" t="s">
        <v>173</v>
      </c>
      <c r="IN872" s="319" t="s">
        <v>173</v>
      </c>
      <c r="IO872" s="319" t="s">
        <v>173</v>
      </c>
      <c r="IP872" s="319" t="s">
        <v>173</v>
      </c>
      <c r="IQ872" s="319" t="s">
        <v>173</v>
      </c>
      <c r="IR872" s="320" t="s">
        <v>173</v>
      </c>
      <c r="IS872" s="320" t="s">
        <v>173</v>
      </c>
      <c r="IT872" s="319" t="s">
        <v>173</v>
      </c>
    </row>
    <row r="873" spans="1:254" s="271" customFormat="1" x14ac:dyDescent="0.25">
      <c r="A873" s="318" t="str">
        <f>HYPERLINK("http://www.ofsted.gov.uk/inspection-reports/find-inspection-report/provider/ELS/143048 ","Ofsted School Webpage")</f>
        <v>Ofsted School Webpage</v>
      </c>
      <c r="B873" s="319">
        <v>143048</v>
      </c>
      <c r="C873" s="319">
        <v>2056007</v>
      </c>
      <c r="D873" s="319" t="s">
        <v>1020</v>
      </c>
      <c r="E873" s="319" t="s">
        <v>167</v>
      </c>
      <c r="F873" s="319" t="s">
        <v>81</v>
      </c>
      <c r="G873" s="319" t="s">
        <v>81</v>
      </c>
      <c r="H873" s="319" t="s">
        <v>81</v>
      </c>
      <c r="I873" s="319" t="s">
        <v>78</v>
      </c>
      <c r="J873" s="319" t="s">
        <v>424</v>
      </c>
      <c r="K873" s="319" t="s">
        <v>441</v>
      </c>
      <c r="L873" s="319" t="s">
        <v>441</v>
      </c>
      <c r="M873" s="319" t="s">
        <v>768</v>
      </c>
      <c r="N873" s="319" t="s">
        <v>2784</v>
      </c>
      <c r="O873" s="319" t="s">
        <v>3539</v>
      </c>
      <c r="P873" s="319">
        <v>50</v>
      </c>
      <c r="Q873" s="319" t="s">
        <v>2766</v>
      </c>
      <c r="R873" s="320">
        <v>10041013</v>
      </c>
      <c r="S873" s="321">
        <v>43060</v>
      </c>
      <c r="T873" s="321">
        <v>43062</v>
      </c>
      <c r="U873" s="321">
        <v>43091</v>
      </c>
      <c r="V873" s="319" t="s">
        <v>435</v>
      </c>
      <c r="W873" s="319" t="s">
        <v>2767</v>
      </c>
      <c r="X873" s="319">
        <v>2</v>
      </c>
      <c r="Y873" s="319" t="s">
        <v>173</v>
      </c>
      <c r="Z873" s="319" t="s">
        <v>173</v>
      </c>
      <c r="AA873" s="319" t="s">
        <v>173</v>
      </c>
      <c r="AB873" s="319">
        <v>2</v>
      </c>
      <c r="AC873" s="319" t="s">
        <v>169</v>
      </c>
      <c r="AD873" s="319" t="s">
        <v>173</v>
      </c>
      <c r="AE873" s="319" t="s">
        <v>173</v>
      </c>
      <c r="AF873" s="319" t="s">
        <v>427</v>
      </c>
      <c r="AG873" s="319" t="s">
        <v>171</v>
      </c>
      <c r="AH873" s="319" t="s">
        <v>190</v>
      </c>
      <c r="AI873" s="319" t="s">
        <v>190</v>
      </c>
      <c r="AJ873" s="319" t="s">
        <v>190</v>
      </c>
      <c r="AK873" s="319" t="s">
        <v>190</v>
      </c>
      <c r="AL873" s="319" t="s">
        <v>190</v>
      </c>
      <c r="AM873" s="319" t="s">
        <v>190</v>
      </c>
      <c r="AN873" s="319" t="s">
        <v>190</v>
      </c>
      <c r="AO873" s="319" t="s">
        <v>190</v>
      </c>
      <c r="AP873" s="319" t="s">
        <v>190</v>
      </c>
      <c r="AQ873" s="319" t="s">
        <v>190</v>
      </c>
      <c r="AR873" s="319" t="s">
        <v>190</v>
      </c>
      <c r="AS873" s="319" t="s">
        <v>190</v>
      </c>
      <c r="AT873" s="319" t="s">
        <v>190</v>
      </c>
      <c r="AU873" s="319" t="s">
        <v>190</v>
      </c>
      <c r="AV873" s="319" t="s">
        <v>190</v>
      </c>
      <c r="AW873" s="319" t="s">
        <v>190</v>
      </c>
      <c r="AX873" s="319" t="s">
        <v>190</v>
      </c>
      <c r="AY873" s="319" t="s">
        <v>190</v>
      </c>
      <c r="AZ873" s="319" t="s">
        <v>190</v>
      </c>
      <c r="BA873" s="319" t="s">
        <v>190</v>
      </c>
      <c r="BB873" s="319" t="s">
        <v>428</v>
      </c>
      <c r="BC873" s="319" t="s">
        <v>428</v>
      </c>
      <c r="BD873" s="319" t="s">
        <v>428</v>
      </c>
      <c r="BE873" s="319" t="s">
        <v>428</v>
      </c>
      <c r="BF873" s="319" t="s">
        <v>428</v>
      </c>
      <c r="BG873" s="319" t="s">
        <v>428</v>
      </c>
      <c r="BH873" s="319" t="s">
        <v>190</v>
      </c>
      <c r="BI873" s="319" t="s">
        <v>190</v>
      </c>
      <c r="BJ873" s="319" t="s">
        <v>190</v>
      </c>
      <c r="BK873" s="319" t="s">
        <v>190</v>
      </c>
      <c r="BL873" s="319" t="s">
        <v>190</v>
      </c>
      <c r="BM873" s="319" t="s">
        <v>190</v>
      </c>
      <c r="BN873" s="319" t="s">
        <v>190</v>
      </c>
      <c r="BO873" s="319" t="s">
        <v>190</v>
      </c>
      <c r="BP873" s="319" t="s">
        <v>190</v>
      </c>
      <c r="BQ873" s="319" t="s">
        <v>190</v>
      </c>
      <c r="BR873" s="319" t="s">
        <v>190</v>
      </c>
      <c r="BS873" s="319" t="s">
        <v>190</v>
      </c>
      <c r="BT873" s="319" t="s">
        <v>190</v>
      </c>
      <c r="BU873" s="319" t="s">
        <v>190</v>
      </c>
      <c r="BV873" s="319" t="s">
        <v>190</v>
      </c>
      <c r="BW873" s="319" t="s">
        <v>190</v>
      </c>
      <c r="BX873" s="319" t="s">
        <v>173</v>
      </c>
      <c r="BY873" s="319" t="s">
        <v>190</v>
      </c>
      <c r="BZ873" s="319" t="s">
        <v>190</v>
      </c>
      <c r="CA873" s="319" t="s">
        <v>190</v>
      </c>
      <c r="CB873" s="319" t="s">
        <v>190</v>
      </c>
      <c r="CC873" s="319" t="s">
        <v>190</v>
      </c>
      <c r="CD873" s="319" t="s">
        <v>190</v>
      </c>
      <c r="CE873" s="319" t="s">
        <v>190</v>
      </c>
      <c r="CF873" s="319" t="s">
        <v>190</v>
      </c>
      <c r="CG873" s="319" t="s">
        <v>190</v>
      </c>
      <c r="CH873" s="319" t="s">
        <v>190</v>
      </c>
      <c r="CI873" s="319" t="s">
        <v>190</v>
      </c>
      <c r="CJ873" s="319" t="s">
        <v>190</v>
      </c>
      <c r="CK873" s="319" t="s">
        <v>190</v>
      </c>
      <c r="CL873" s="319" t="s">
        <v>190</v>
      </c>
      <c r="CM873" s="319" t="s">
        <v>190</v>
      </c>
      <c r="CN873" s="319" t="s">
        <v>190</v>
      </c>
      <c r="CO873" s="319" t="s">
        <v>428</v>
      </c>
      <c r="CP873" s="319" t="s">
        <v>428</v>
      </c>
      <c r="CQ873" s="319" t="s">
        <v>190</v>
      </c>
      <c r="CR873" s="319" t="s">
        <v>190</v>
      </c>
      <c r="CS873" s="319" t="s">
        <v>190</v>
      </c>
      <c r="CT873" s="319" t="s">
        <v>173</v>
      </c>
      <c r="CU873" s="319" t="s">
        <v>190</v>
      </c>
      <c r="CV873" s="319" t="s">
        <v>190</v>
      </c>
      <c r="CW873" s="319" t="s">
        <v>190</v>
      </c>
      <c r="CX873" s="319" t="s">
        <v>190</v>
      </c>
      <c r="CY873" s="319" t="s">
        <v>190</v>
      </c>
      <c r="CZ873" s="319" t="s">
        <v>190</v>
      </c>
      <c r="DA873" s="319" t="s">
        <v>190</v>
      </c>
      <c r="DB873" s="319" t="s">
        <v>190</v>
      </c>
      <c r="DC873" s="319" t="s">
        <v>190</v>
      </c>
      <c r="DD873" s="319" t="s">
        <v>190</v>
      </c>
      <c r="DE873" s="319" t="s">
        <v>190</v>
      </c>
      <c r="DF873" s="319" t="s">
        <v>190</v>
      </c>
      <c r="DG873" s="319" t="s">
        <v>190</v>
      </c>
      <c r="DH873" s="319" t="s">
        <v>190</v>
      </c>
      <c r="DI873" s="319" t="s">
        <v>190</v>
      </c>
      <c r="DJ873" s="319" t="s">
        <v>190</v>
      </c>
      <c r="DK873" s="319" t="s">
        <v>190</v>
      </c>
      <c r="DL873" s="319" t="s">
        <v>190</v>
      </c>
      <c r="DM873" s="319" t="s">
        <v>190</v>
      </c>
      <c r="DN873" s="319" t="s">
        <v>428</v>
      </c>
      <c r="DO873" s="319" t="s">
        <v>190</v>
      </c>
      <c r="DP873" s="319" t="s">
        <v>190</v>
      </c>
      <c r="DQ873" s="319" t="s">
        <v>190</v>
      </c>
      <c r="DR873" s="319" t="s">
        <v>190</v>
      </c>
      <c r="DS873" s="319" t="s">
        <v>190</v>
      </c>
      <c r="DT873" s="319" t="s">
        <v>190</v>
      </c>
      <c r="DU873" s="319" t="s">
        <v>190</v>
      </c>
      <c r="DV873" s="319" t="s">
        <v>173</v>
      </c>
      <c r="DW873" s="319" t="s">
        <v>190</v>
      </c>
      <c r="DX873" s="319" t="s">
        <v>190</v>
      </c>
      <c r="DY873" s="319" t="s">
        <v>190</v>
      </c>
      <c r="DZ873" s="319" t="s">
        <v>190</v>
      </c>
      <c r="EA873" s="319" t="s">
        <v>190</v>
      </c>
      <c r="EB873" s="319" t="s">
        <v>190</v>
      </c>
      <c r="EC873" s="319" t="s">
        <v>173</v>
      </c>
      <c r="ED873" s="319" t="s">
        <v>190</v>
      </c>
      <c r="EE873" s="319" t="s">
        <v>190</v>
      </c>
      <c r="EF873" s="319" t="s">
        <v>190</v>
      </c>
      <c r="EG873" s="319" t="s">
        <v>190</v>
      </c>
      <c r="EH873" s="319" t="s">
        <v>190</v>
      </c>
      <c r="EI873" s="319" t="s">
        <v>190</v>
      </c>
      <c r="EJ873" s="319" t="s">
        <v>190</v>
      </c>
      <c r="EK873" s="319" t="s">
        <v>190</v>
      </c>
      <c r="EL873" s="319" t="s">
        <v>190</v>
      </c>
      <c r="EM873" s="319" t="s">
        <v>190</v>
      </c>
      <c r="EN873" s="319" t="s">
        <v>190</v>
      </c>
      <c r="EO873" s="319" t="s">
        <v>190</v>
      </c>
      <c r="EP873" s="319" t="s">
        <v>190</v>
      </c>
      <c r="EQ873" s="319" t="s">
        <v>190</v>
      </c>
      <c r="ER873" s="319" t="s">
        <v>190</v>
      </c>
      <c r="ES873" s="319" t="s">
        <v>190</v>
      </c>
      <c r="ET873" s="319" t="s">
        <v>190</v>
      </c>
      <c r="EU873" s="319" t="s">
        <v>190</v>
      </c>
      <c r="EV873" s="319" t="s">
        <v>190</v>
      </c>
      <c r="EW873" s="319" t="s">
        <v>190</v>
      </c>
      <c r="EX873" s="319" t="s">
        <v>190</v>
      </c>
      <c r="EY873" s="319" t="s">
        <v>190</v>
      </c>
      <c r="EZ873" s="319" t="s">
        <v>190</v>
      </c>
      <c r="FA873" s="319" t="s">
        <v>190</v>
      </c>
      <c r="FB873" s="319" t="s">
        <v>190</v>
      </c>
      <c r="FC873" s="319" t="s">
        <v>190</v>
      </c>
      <c r="FD873" s="319" t="s">
        <v>190</v>
      </c>
      <c r="FE873" s="319" t="s">
        <v>190</v>
      </c>
      <c r="FF873" s="319" t="s">
        <v>190</v>
      </c>
      <c r="FG873" s="319" t="s">
        <v>190</v>
      </c>
      <c r="FH873" s="319" t="s">
        <v>190</v>
      </c>
      <c r="FI873" s="319" t="s">
        <v>190</v>
      </c>
      <c r="FJ873" s="319" t="s">
        <v>190</v>
      </c>
      <c r="FK873" s="319" t="s">
        <v>190</v>
      </c>
      <c r="FL873" s="319" t="s">
        <v>190</v>
      </c>
      <c r="FM873" s="319" t="s">
        <v>190</v>
      </c>
      <c r="FN873" s="319" t="s">
        <v>190</v>
      </c>
      <c r="FO873" s="319" t="s">
        <v>428</v>
      </c>
      <c r="FP873" s="319" t="s">
        <v>190</v>
      </c>
      <c r="FQ873" s="319" t="s">
        <v>190</v>
      </c>
      <c r="FR873" s="319" t="s">
        <v>190</v>
      </c>
      <c r="FS873" s="319" t="s">
        <v>428</v>
      </c>
      <c r="FT873" s="319" t="s">
        <v>190</v>
      </c>
      <c r="FU873" s="319" t="s">
        <v>190</v>
      </c>
      <c r="FV873" s="319" t="s">
        <v>190</v>
      </c>
      <c r="FW873" s="319" t="s">
        <v>190</v>
      </c>
      <c r="FX873" s="319" t="s">
        <v>190</v>
      </c>
      <c r="FY873" s="319" t="s">
        <v>190</v>
      </c>
      <c r="FZ873" s="319" t="s">
        <v>190</v>
      </c>
      <c r="GA873" s="319" t="s">
        <v>190</v>
      </c>
      <c r="GB873" s="319" t="s">
        <v>190</v>
      </c>
      <c r="GC873" s="319" t="s">
        <v>190</v>
      </c>
      <c r="GD873" s="319" t="s">
        <v>190</v>
      </c>
      <c r="GE873" s="319" t="s">
        <v>190</v>
      </c>
      <c r="GF873" s="319" t="s">
        <v>190</v>
      </c>
      <c r="GG873" s="319" t="s">
        <v>190</v>
      </c>
      <c r="GH873" s="319" t="s">
        <v>190</v>
      </c>
      <c r="GI873" s="319" t="s">
        <v>190</v>
      </c>
      <c r="GJ873" s="319" t="s">
        <v>190</v>
      </c>
      <c r="GK873" s="319" t="s">
        <v>428</v>
      </c>
      <c r="GL873" s="319" t="s">
        <v>190</v>
      </c>
      <c r="GM873" s="319" t="s">
        <v>190</v>
      </c>
      <c r="GN873" s="319" t="s">
        <v>190</v>
      </c>
      <c r="GO873" s="319" t="s">
        <v>190</v>
      </c>
      <c r="GP873" s="319" t="s">
        <v>190</v>
      </c>
      <c r="GQ873" s="319" t="s">
        <v>190</v>
      </c>
      <c r="GR873" s="319" t="s">
        <v>190</v>
      </c>
      <c r="GS873" s="319" t="s">
        <v>190</v>
      </c>
      <c r="GT873" s="319" t="s">
        <v>428</v>
      </c>
      <c r="GU873" s="319" t="s">
        <v>428</v>
      </c>
      <c r="GV873" s="319" t="s">
        <v>190</v>
      </c>
      <c r="GW873" s="319" t="s">
        <v>190</v>
      </c>
      <c r="GX873" s="319" t="s">
        <v>190</v>
      </c>
      <c r="GY873" s="319" t="s">
        <v>190</v>
      </c>
      <c r="GZ873" s="319" t="s">
        <v>428</v>
      </c>
      <c r="HA873" s="319" t="s">
        <v>190</v>
      </c>
      <c r="HB873" s="319" t="s">
        <v>190</v>
      </c>
      <c r="HC873" s="319" t="s">
        <v>190</v>
      </c>
      <c r="HD873" s="319" t="s">
        <v>190</v>
      </c>
      <c r="HE873" s="319" t="s">
        <v>190</v>
      </c>
      <c r="HF873" s="319" t="s">
        <v>190</v>
      </c>
      <c r="HG873" s="319" t="s">
        <v>190</v>
      </c>
      <c r="HH873" s="319" t="s">
        <v>190</v>
      </c>
      <c r="HI873" s="319" t="s">
        <v>190</v>
      </c>
      <c r="HJ873" s="319" t="s">
        <v>190</v>
      </c>
      <c r="HK873" s="319" t="s">
        <v>190</v>
      </c>
      <c r="HL873" s="319" t="s">
        <v>190</v>
      </c>
      <c r="HM873" s="319" t="s">
        <v>190</v>
      </c>
      <c r="HN873" s="319" t="s">
        <v>190</v>
      </c>
      <c r="HO873" s="319" t="s">
        <v>190</v>
      </c>
      <c r="HP873" s="319" t="s">
        <v>190</v>
      </c>
      <c r="HQ873" s="319" t="s">
        <v>190</v>
      </c>
      <c r="HR873" s="319" t="s">
        <v>190</v>
      </c>
      <c r="HS873" s="319" t="s">
        <v>190</v>
      </c>
      <c r="HT873" s="319" t="s">
        <v>190</v>
      </c>
      <c r="HU873" s="319" t="s">
        <v>190</v>
      </c>
      <c r="HV873" s="319" t="s">
        <v>190</v>
      </c>
      <c r="HW873" s="319" t="s">
        <v>190</v>
      </c>
      <c r="HX873" s="319" t="s">
        <v>190</v>
      </c>
      <c r="HY873" s="319" t="s">
        <v>190</v>
      </c>
      <c r="HZ873" s="319" t="s">
        <v>190</v>
      </c>
      <c r="IA873" s="319" t="s">
        <v>190</v>
      </c>
      <c r="IB873" s="319" t="s">
        <v>190</v>
      </c>
      <c r="IC873" s="319" t="s">
        <v>190</v>
      </c>
      <c r="ID873" s="319" t="s">
        <v>190</v>
      </c>
      <c r="IE873" s="319" t="s">
        <v>190</v>
      </c>
      <c r="IF873" s="319" t="s">
        <v>190</v>
      </c>
      <c r="IG873" s="319" t="s">
        <v>190</v>
      </c>
      <c r="IH873" s="319" t="s">
        <v>190</v>
      </c>
      <c r="II873" s="319" t="s">
        <v>190</v>
      </c>
      <c r="IJ873" s="319" t="s">
        <v>173</v>
      </c>
      <c r="IK873" s="319" t="s">
        <v>173</v>
      </c>
      <c r="IL873" s="319" t="s">
        <v>173</v>
      </c>
      <c r="IM873" s="319" t="s">
        <v>173</v>
      </c>
      <c r="IN873" s="319" t="s">
        <v>173</v>
      </c>
      <c r="IO873" s="319" t="s">
        <v>173</v>
      </c>
      <c r="IP873" s="319" t="s">
        <v>173</v>
      </c>
      <c r="IQ873" s="321" t="s">
        <v>173</v>
      </c>
      <c r="IR873" s="320" t="s">
        <v>173</v>
      </c>
      <c r="IS873" s="322" t="s">
        <v>173</v>
      </c>
      <c r="IT873" s="319" t="s">
        <v>173</v>
      </c>
    </row>
    <row r="874" spans="1:254" s="271" customFormat="1" x14ac:dyDescent="0.25">
      <c r="A874" s="318" t="str">
        <f>HYPERLINK("http://www.ofsted.gov.uk/inspection-reports/find-inspection-report/provider/ELS/143049 ","Ofsted School Webpage")</f>
        <v>Ofsted School Webpage</v>
      </c>
      <c r="B874" s="319">
        <v>143049</v>
      </c>
      <c r="C874" s="319">
        <v>3926005</v>
      </c>
      <c r="D874" s="319" t="s">
        <v>2388</v>
      </c>
      <c r="E874" s="319" t="s">
        <v>167</v>
      </c>
      <c r="F874" s="319" t="s">
        <v>81</v>
      </c>
      <c r="G874" s="319" t="s">
        <v>81</v>
      </c>
      <c r="H874" s="319" t="s">
        <v>81</v>
      </c>
      <c r="I874" s="319" t="s">
        <v>78</v>
      </c>
      <c r="J874" s="319" t="s">
        <v>424</v>
      </c>
      <c r="K874" s="319" t="s">
        <v>458</v>
      </c>
      <c r="L874" s="319" t="s">
        <v>474</v>
      </c>
      <c r="M874" s="319" t="s">
        <v>564</v>
      </c>
      <c r="N874" s="319" t="s">
        <v>564</v>
      </c>
      <c r="O874" s="319" t="s">
        <v>2389</v>
      </c>
      <c r="P874" s="319">
        <v>11</v>
      </c>
      <c r="Q874" s="319" t="s">
        <v>2766</v>
      </c>
      <c r="R874" s="320">
        <v>10043660</v>
      </c>
      <c r="S874" s="321">
        <v>43137</v>
      </c>
      <c r="T874" s="321">
        <v>43139</v>
      </c>
      <c r="U874" s="321">
        <v>43174</v>
      </c>
      <c r="V874" s="319" t="s">
        <v>435</v>
      </c>
      <c r="W874" s="319" t="s">
        <v>2767</v>
      </c>
      <c r="X874" s="319">
        <v>2</v>
      </c>
      <c r="Y874" s="319" t="s">
        <v>173</v>
      </c>
      <c r="Z874" s="319" t="s">
        <v>173</v>
      </c>
      <c r="AA874" s="319" t="s">
        <v>173</v>
      </c>
      <c r="AB874" s="319">
        <v>1</v>
      </c>
      <c r="AC874" s="319" t="s">
        <v>169</v>
      </c>
      <c r="AD874" s="319" t="s">
        <v>173</v>
      </c>
      <c r="AE874" s="319" t="s">
        <v>173</v>
      </c>
      <c r="AF874" s="319" t="s">
        <v>427</v>
      </c>
      <c r="AG874" s="319" t="s">
        <v>171</v>
      </c>
      <c r="AH874" s="319" t="s">
        <v>190</v>
      </c>
      <c r="AI874" s="319" t="s">
        <v>190</v>
      </c>
      <c r="AJ874" s="319" t="s">
        <v>190</v>
      </c>
      <c r="AK874" s="319" t="s">
        <v>190</v>
      </c>
      <c r="AL874" s="319" t="s">
        <v>190</v>
      </c>
      <c r="AM874" s="319" t="s">
        <v>190</v>
      </c>
      <c r="AN874" s="319" t="s">
        <v>190</v>
      </c>
      <c r="AO874" s="319" t="s">
        <v>190</v>
      </c>
      <c r="AP874" s="319" t="s">
        <v>190</v>
      </c>
      <c r="AQ874" s="319" t="s">
        <v>190</v>
      </c>
      <c r="AR874" s="319" t="s">
        <v>190</v>
      </c>
      <c r="AS874" s="319" t="s">
        <v>190</v>
      </c>
      <c r="AT874" s="319" t="s">
        <v>190</v>
      </c>
      <c r="AU874" s="319" t="s">
        <v>190</v>
      </c>
      <c r="AV874" s="319" t="s">
        <v>190</v>
      </c>
      <c r="AW874" s="319" t="s">
        <v>190</v>
      </c>
      <c r="AX874" s="319" t="s">
        <v>428</v>
      </c>
      <c r="AY874" s="319" t="s">
        <v>190</v>
      </c>
      <c r="AZ874" s="319" t="s">
        <v>190</v>
      </c>
      <c r="BA874" s="319" t="s">
        <v>190</v>
      </c>
      <c r="BB874" s="319" t="s">
        <v>190</v>
      </c>
      <c r="BC874" s="319" t="s">
        <v>190</v>
      </c>
      <c r="BD874" s="319" t="s">
        <v>190</v>
      </c>
      <c r="BE874" s="319" t="s">
        <v>190</v>
      </c>
      <c r="BF874" s="319" t="s">
        <v>428</v>
      </c>
      <c r="BG874" s="319" t="s">
        <v>428</v>
      </c>
      <c r="BH874" s="319" t="s">
        <v>190</v>
      </c>
      <c r="BI874" s="319" t="s">
        <v>190</v>
      </c>
      <c r="BJ874" s="319" t="s">
        <v>190</v>
      </c>
      <c r="BK874" s="319" t="s">
        <v>190</v>
      </c>
      <c r="BL874" s="319" t="s">
        <v>190</v>
      </c>
      <c r="BM874" s="319" t="s">
        <v>190</v>
      </c>
      <c r="BN874" s="319" t="s">
        <v>190</v>
      </c>
      <c r="BO874" s="319" t="s">
        <v>190</v>
      </c>
      <c r="BP874" s="319" t="s">
        <v>190</v>
      </c>
      <c r="BQ874" s="319" t="s">
        <v>190</v>
      </c>
      <c r="BR874" s="319" t="s">
        <v>190</v>
      </c>
      <c r="BS874" s="319" t="s">
        <v>190</v>
      </c>
      <c r="BT874" s="319" t="s">
        <v>190</v>
      </c>
      <c r="BU874" s="319" t="s">
        <v>190</v>
      </c>
      <c r="BV874" s="319" t="s">
        <v>190</v>
      </c>
      <c r="BW874" s="319" t="s">
        <v>190</v>
      </c>
      <c r="BX874" s="319" t="s">
        <v>190</v>
      </c>
      <c r="BY874" s="319" t="s">
        <v>190</v>
      </c>
      <c r="BZ874" s="319" t="s">
        <v>190</v>
      </c>
      <c r="CA874" s="319" t="s">
        <v>190</v>
      </c>
      <c r="CB874" s="319" t="s">
        <v>190</v>
      </c>
      <c r="CC874" s="319" t="s">
        <v>190</v>
      </c>
      <c r="CD874" s="319" t="s">
        <v>190</v>
      </c>
      <c r="CE874" s="319" t="s">
        <v>190</v>
      </c>
      <c r="CF874" s="319" t="s">
        <v>190</v>
      </c>
      <c r="CG874" s="319" t="s">
        <v>190</v>
      </c>
      <c r="CH874" s="319" t="s">
        <v>190</v>
      </c>
      <c r="CI874" s="319" t="s">
        <v>190</v>
      </c>
      <c r="CJ874" s="319" t="s">
        <v>190</v>
      </c>
      <c r="CK874" s="319" t="s">
        <v>190</v>
      </c>
      <c r="CL874" s="319" t="s">
        <v>190</v>
      </c>
      <c r="CM874" s="319" t="s">
        <v>190</v>
      </c>
      <c r="CN874" s="319" t="s">
        <v>428</v>
      </c>
      <c r="CO874" s="319" t="s">
        <v>428</v>
      </c>
      <c r="CP874" s="319" t="s">
        <v>428</v>
      </c>
      <c r="CQ874" s="319" t="s">
        <v>190</v>
      </c>
      <c r="CR874" s="319" t="s">
        <v>190</v>
      </c>
      <c r="CS874" s="319" t="s">
        <v>190</v>
      </c>
      <c r="CT874" s="319" t="s">
        <v>190</v>
      </c>
      <c r="CU874" s="319" t="s">
        <v>190</v>
      </c>
      <c r="CV874" s="319" t="s">
        <v>190</v>
      </c>
      <c r="CW874" s="319" t="s">
        <v>190</v>
      </c>
      <c r="CX874" s="319" t="s">
        <v>190</v>
      </c>
      <c r="CY874" s="319" t="s">
        <v>190</v>
      </c>
      <c r="CZ874" s="319" t="s">
        <v>190</v>
      </c>
      <c r="DA874" s="319" t="s">
        <v>190</v>
      </c>
      <c r="DB874" s="319" t="s">
        <v>190</v>
      </c>
      <c r="DC874" s="319" t="s">
        <v>190</v>
      </c>
      <c r="DD874" s="319" t="s">
        <v>190</v>
      </c>
      <c r="DE874" s="319" t="s">
        <v>190</v>
      </c>
      <c r="DF874" s="319" t="s">
        <v>190</v>
      </c>
      <c r="DG874" s="319" t="s">
        <v>190</v>
      </c>
      <c r="DH874" s="319" t="s">
        <v>190</v>
      </c>
      <c r="DI874" s="319" t="s">
        <v>190</v>
      </c>
      <c r="DJ874" s="319" t="s">
        <v>190</v>
      </c>
      <c r="DK874" s="319" t="s">
        <v>190</v>
      </c>
      <c r="DL874" s="319" t="s">
        <v>190</v>
      </c>
      <c r="DM874" s="319" t="s">
        <v>428</v>
      </c>
      <c r="DN874" s="319" t="s">
        <v>428</v>
      </c>
      <c r="DO874" s="319" t="s">
        <v>190</v>
      </c>
      <c r="DP874" s="319" t="s">
        <v>428</v>
      </c>
      <c r="DQ874" s="319" t="s">
        <v>428</v>
      </c>
      <c r="DR874" s="319" t="s">
        <v>428</v>
      </c>
      <c r="DS874" s="319" t="s">
        <v>428</v>
      </c>
      <c r="DT874" s="319" t="s">
        <v>428</v>
      </c>
      <c r="DU874" s="319" t="s">
        <v>428</v>
      </c>
      <c r="DV874" s="319" t="s">
        <v>173</v>
      </c>
      <c r="DW874" s="319" t="s">
        <v>428</v>
      </c>
      <c r="DX874" s="319" t="s">
        <v>428</v>
      </c>
      <c r="DY874" s="319" t="s">
        <v>428</v>
      </c>
      <c r="DZ874" s="319" t="s">
        <v>428</v>
      </c>
      <c r="EA874" s="319" t="s">
        <v>428</v>
      </c>
      <c r="EB874" s="319" t="s">
        <v>428</v>
      </c>
      <c r="EC874" s="319" t="s">
        <v>428</v>
      </c>
      <c r="ED874" s="319" t="s">
        <v>428</v>
      </c>
      <c r="EE874" s="319" t="s">
        <v>190</v>
      </c>
      <c r="EF874" s="319" t="s">
        <v>190</v>
      </c>
      <c r="EG874" s="319" t="s">
        <v>190</v>
      </c>
      <c r="EH874" s="319" t="s">
        <v>190</v>
      </c>
      <c r="EI874" s="319" t="s">
        <v>190</v>
      </c>
      <c r="EJ874" s="319" t="s">
        <v>190</v>
      </c>
      <c r="EK874" s="319" t="s">
        <v>190</v>
      </c>
      <c r="EL874" s="319" t="s">
        <v>190</v>
      </c>
      <c r="EM874" s="319" t="s">
        <v>190</v>
      </c>
      <c r="EN874" s="319" t="s">
        <v>190</v>
      </c>
      <c r="EO874" s="319" t="s">
        <v>190</v>
      </c>
      <c r="EP874" s="319" t="s">
        <v>190</v>
      </c>
      <c r="EQ874" s="319" t="s">
        <v>190</v>
      </c>
      <c r="ER874" s="319" t="s">
        <v>190</v>
      </c>
      <c r="ES874" s="319" t="s">
        <v>190</v>
      </c>
      <c r="ET874" s="319" t="s">
        <v>190</v>
      </c>
      <c r="EU874" s="319" t="s">
        <v>190</v>
      </c>
      <c r="EV874" s="319" t="s">
        <v>190</v>
      </c>
      <c r="EW874" s="319" t="s">
        <v>190</v>
      </c>
      <c r="EX874" s="319" t="s">
        <v>190</v>
      </c>
      <c r="EY874" s="319" t="s">
        <v>190</v>
      </c>
      <c r="EZ874" s="319" t="s">
        <v>190</v>
      </c>
      <c r="FA874" s="319" t="s">
        <v>190</v>
      </c>
      <c r="FB874" s="319" t="s">
        <v>428</v>
      </c>
      <c r="FC874" s="319" t="s">
        <v>428</v>
      </c>
      <c r="FD874" s="319" t="s">
        <v>428</v>
      </c>
      <c r="FE874" s="319" t="s">
        <v>428</v>
      </c>
      <c r="FF874" s="319" t="s">
        <v>428</v>
      </c>
      <c r="FG874" s="319" t="s">
        <v>428</v>
      </c>
      <c r="FH874" s="319" t="s">
        <v>190</v>
      </c>
      <c r="FI874" s="319" t="s">
        <v>190</v>
      </c>
      <c r="FJ874" s="319" t="s">
        <v>190</v>
      </c>
      <c r="FK874" s="319" t="s">
        <v>190</v>
      </c>
      <c r="FL874" s="319" t="s">
        <v>190</v>
      </c>
      <c r="FM874" s="319" t="s">
        <v>190</v>
      </c>
      <c r="FN874" s="319" t="s">
        <v>190</v>
      </c>
      <c r="FO874" s="319" t="s">
        <v>190</v>
      </c>
      <c r="FP874" s="319" t="s">
        <v>190</v>
      </c>
      <c r="FQ874" s="319" t="s">
        <v>190</v>
      </c>
      <c r="FR874" s="319" t="s">
        <v>190</v>
      </c>
      <c r="FS874" s="319" t="s">
        <v>428</v>
      </c>
      <c r="FT874" s="319" t="s">
        <v>190</v>
      </c>
      <c r="FU874" s="319" t="s">
        <v>190</v>
      </c>
      <c r="FV874" s="319" t="s">
        <v>190</v>
      </c>
      <c r="FW874" s="319" t="s">
        <v>190</v>
      </c>
      <c r="FX874" s="319" t="s">
        <v>190</v>
      </c>
      <c r="FY874" s="319" t="s">
        <v>190</v>
      </c>
      <c r="FZ874" s="319" t="s">
        <v>190</v>
      </c>
      <c r="GA874" s="319" t="s">
        <v>190</v>
      </c>
      <c r="GB874" s="319" t="s">
        <v>190</v>
      </c>
      <c r="GC874" s="319" t="s">
        <v>190</v>
      </c>
      <c r="GD874" s="319" t="s">
        <v>190</v>
      </c>
      <c r="GE874" s="319" t="s">
        <v>190</v>
      </c>
      <c r="GF874" s="319" t="s">
        <v>190</v>
      </c>
      <c r="GG874" s="319" t="s">
        <v>190</v>
      </c>
      <c r="GH874" s="319" t="s">
        <v>190</v>
      </c>
      <c r="GI874" s="319" t="s">
        <v>190</v>
      </c>
      <c r="GJ874" s="319" t="s">
        <v>190</v>
      </c>
      <c r="GK874" s="319" t="s">
        <v>428</v>
      </c>
      <c r="GL874" s="319" t="s">
        <v>190</v>
      </c>
      <c r="GM874" s="319" t="s">
        <v>190</v>
      </c>
      <c r="GN874" s="319" t="s">
        <v>190</v>
      </c>
      <c r="GO874" s="319" t="s">
        <v>190</v>
      </c>
      <c r="GP874" s="319" t="s">
        <v>428</v>
      </c>
      <c r="GQ874" s="319" t="s">
        <v>428</v>
      </c>
      <c r="GR874" s="319" t="s">
        <v>190</v>
      </c>
      <c r="GS874" s="319" t="s">
        <v>190</v>
      </c>
      <c r="GT874" s="319" t="s">
        <v>190</v>
      </c>
      <c r="GU874" s="319" t="s">
        <v>190</v>
      </c>
      <c r="GV874" s="319" t="s">
        <v>428</v>
      </c>
      <c r="GW874" s="319" t="s">
        <v>190</v>
      </c>
      <c r="GX874" s="319" t="s">
        <v>190</v>
      </c>
      <c r="GY874" s="319" t="s">
        <v>190</v>
      </c>
      <c r="GZ874" s="319" t="s">
        <v>428</v>
      </c>
      <c r="HA874" s="319" t="s">
        <v>190</v>
      </c>
      <c r="HB874" s="319" t="s">
        <v>190</v>
      </c>
      <c r="HC874" s="319" t="s">
        <v>190</v>
      </c>
      <c r="HD874" s="319" t="s">
        <v>190</v>
      </c>
      <c r="HE874" s="319" t="s">
        <v>190</v>
      </c>
      <c r="HF874" s="319" t="s">
        <v>190</v>
      </c>
      <c r="HG874" s="319" t="s">
        <v>190</v>
      </c>
      <c r="HH874" s="319" t="s">
        <v>190</v>
      </c>
      <c r="HI874" s="319" t="s">
        <v>190</v>
      </c>
      <c r="HJ874" s="319" t="s">
        <v>190</v>
      </c>
      <c r="HK874" s="319" t="s">
        <v>428</v>
      </c>
      <c r="HL874" s="319" t="s">
        <v>428</v>
      </c>
      <c r="HM874" s="319" t="s">
        <v>428</v>
      </c>
      <c r="HN874" s="319" t="s">
        <v>428</v>
      </c>
      <c r="HO874" s="319" t="s">
        <v>428</v>
      </c>
      <c r="HP874" s="319" t="s">
        <v>190</v>
      </c>
      <c r="HQ874" s="319" t="s">
        <v>190</v>
      </c>
      <c r="HR874" s="319" t="s">
        <v>190</v>
      </c>
      <c r="HS874" s="319" t="s">
        <v>190</v>
      </c>
      <c r="HT874" s="319" t="s">
        <v>190</v>
      </c>
      <c r="HU874" s="319" t="s">
        <v>190</v>
      </c>
      <c r="HV874" s="319" t="s">
        <v>190</v>
      </c>
      <c r="HW874" s="319" t="s">
        <v>190</v>
      </c>
      <c r="HX874" s="319" t="s">
        <v>190</v>
      </c>
      <c r="HY874" s="319" t="s">
        <v>190</v>
      </c>
      <c r="HZ874" s="319" t="s">
        <v>190</v>
      </c>
      <c r="IA874" s="319" t="s">
        <v>190</v>
      </c>
      <c r="IB874" s="319" t="s">
        <v>190</v>
      </c>
      <c r="IC874" s="319" t="s">
        <v>190</v>
      </c>
      <c r="ID874" s="319" t="s">
        <v>190</v>
      </c>
      <c r="IE874" s="319" t="s">
        <v>190</v>
      </c>
      <c r="IF874" s="319" t="s">
        <v>190</v>
      </c>
      <c r="IG874" s="319" t="s">
        <v>190</v>
      </c>
      <c r="IH874" s="319" t="s">
        <v>190</v>
      </c>
      <c r="II874" s="319" t="s">
        <v>190</v>
      </c>
      <c r="IJ874" s="319" t="s">
        <v>173</v>
      </c>
      <c r="IK874" s="319" t="s">
        <v>173</v>
      </c>
      <c r="IL874" s="319" t="s">
        <v>173</v>
      </c>
      <c r="IM874" s="319" t="s">
        <v>173</v>
      </c>
      <c r="IN874" s="319" t="s">
        <v>173</v>
      </c>
      <c r="IO874" s="319" t="s">
        <v>173</v>
      </c>
      <c r="IP874" s="319" t="s">
        <v>173</v>
      </c>
      <c r="IQ874" s="319" t="s">
        <v>173</v>
      </c>
      <c r="IR874" s="320" t="s">
        <v>173</v>
      </c>
      <c r="IS874" s="320" t="s">
        <v>173</v>
      </c>
      <c r="IT874" s="319" t="s">
        <v>173</v>
      </c>
    </row>
    <row r="875" spans="1:254" s="271" customFormat="1" x14ac:dyDescent="0.25">
      <c r="A875" s="318" t="str">
        <f>HYPERLINK("http://www.ofsted.gov.uk/inspection-reports/find-inspection-report/provider/ELS/143081 ","Ofsted School Webpage")</f>
        <v>Ofsted School Webpage</v>
      </c>
      <c r="B875" s="319">
        <v>143081</v>
      </c>
      <c r="C875" s="319">
        <v>9356009</v>
      </c>
      <c r="D875" s="319" t="s">
        <v>1044</v>
      </c>
      <c r="E875" s="319" t="s">
        <v>167</v>
      </c>
      <c r="F875" s="319" t="s">
        <v>81</v>
      </c>
      <c r="G875" s="319" t="s">
        <v>81</v>
      </c>
      <c r="H875" s="319" t="s">
        <v>81</v>
      </c>
      <c r="I875" s="319" t="s">
        <v>78</v>
      </c>
      <c r="J875" s="319" t="s">
        <v>424</v>
      </c>
      <c r="K875" s="319" t="s">
        <v>451</v>
      </c>
      <c r="L875" s="319" t="s">
        <v>451</v>
      </c>
      <c r="M875" s="319" t="s">
        <v>839</v>
      </c>
      <c r="N875" s="319" t="s">
        <v>3540</v>
      </c>
      <c r="O875" s="319" t="s">
        <v>1045</v>
      </c>
      <c r="P875" s="319">
        <v>41</v>
      </c>
      <c r="Q875" s="319" t="s">
        <v>2766</v>
      </c>
      <c r="R875" s="320">
        <v>10093918</v>
      </c>
      <c r="S875" s="321">
        <v>43599</v>
      </c>
      <c r="T875" s="321">
        <v>43601</v>
      </c>
      <c r="U875" s="321">
        <v>43650</v>
      </c>
      <c r="V875" s="319" t="s">
        <v>425</v>
      </c>
      <c r="W875" s="319" t="s">
        <v>2767</v>
      </c>
      <c r="X875" s="319">
        <v>4</v>
      </c>
      <c r="Y875" s="319" t="s">
        <v>173</v>
      </c>
      <c r="Z875" s="319" t="s">
        <v>173</v>
      </c>
      <c r="AA875" s="319" t="s">
        <v>173</v>
      </c>
      <c r="AB875" s="319">
        <v>4</v>
      </c>
      <c r="AC875" s="319" t="s">
        <v>170</v>
      </c>
      <c r="AD875" s="319" t="s">
        <v>173</v>
      </c>
      <c r="AE875" s="319" t="s">
        <v>173</v>
      </c>
      <c r="AF875" s="319" t="s">
        <v>427</v>
      </c>
      <c r="AG875" s="319" t="s">
        <v>172</v>
      </c>
      <c r="AH875" s="319" t="s">
        <v>479</v>
      </c>
      <c r="AI875" s="319" t="s">
        <v>479</v>
      </c>
      <c r="AJ875" s="319" t="s">
        <v>479</v>
      </c>
      <c r="AK875" s="319" t="s">
        <v>190</v>
      </c>
      <c r="AL875" s="319" t="s">
        <v>479</v>
      </c>
      <c r="AM875" s="319" t="s">
        <v>479</v>
      </c>
      <c r="AN875" s="319" t="s">
        <v>190</v>
      </c>
      <c r="AO875" s="319" t="s">
        <v>479</v>
      </c>
      <c r="AP875" s="319" t="s">
        <v>191</v>
      </c>
      <c r="AQ875" s="319" t="s">
        <v>191</v>
      </c>
      <c r="AR875" s="319" t="s">
        <v>191</v>
      </c>
      <c r="AS875" s="319" t="s">
        <v>191</v>
      </c>
      <c r="AT875" s="319" t="s">
        <v>191</v>
      </c>
      <c r="AU875" s="319" t="s">
        <v>191</v>
      </c>
      <c r="AV875" s="319" t="s">
        <v>191</v>
      </c>
      <c r="AW875" s="319" t="s">
        <v>191</v>
      </c>
      <c r="AX875" s="319" t="s">
        <v>428</v>
      </c>
      <c r="AY875" s="319" t="s">
        <v>191</v>
      </c>
      <c r="AZ875" s="319" t="s">
        <v>191</v>
      </c>
      <c r="BA875" s="319" t="s">
        <v>191</v>
      </c>
      <c r="BB875" s="319" t="s">
        <v>191</v>
      </c>
      <c r="BC875" s="319" t="s">
        <v>191</v>
      </c>
      <c r="BD875" s="319" t="s">
        <v>191</v>
      </c>
      <c r="BE875" s="319" t="s">
        <v>191</v>
      </c>
      <c r="BF875" s="319" t="s">
        <v>428</v>
      </c>
      <c r="BG875" s="319" t="s">
        <v>428</v>
      </c>
      <c r="BH875" s="319" t="s">
        <v>191</v>
      </c>
      <c r="BI875" s="319" t="s">
        <v>191</v>
      </c>
      <c r="BJ875" s="319" t="s">
        <v>191</v>
      </c>
      <c r="BK875" s="319" t="s">
        <v>191</v>
      </c>
      <c r="BL875" s="319" t="s">
        <v>191</v>
      </c>
      <c r="BM875" s="319" t="s">
        <v>191</v>
      </c>
      <c r="BN875" s="319" t="s">
        <v>191</v>
      </c>
      <c r="BO875" s="319" t="s">
        <v>191</v>
      </c>
      <c r="BP875" s="319" t="s">
        <v>191</v>
      </c>
      <c r="BQ875" s="319" t="s">
        <v>191</v>
      </c>
      <c r="BR875" s="319" t="s">
        <v>191</v>
      </c>
      <c r="BS875" s="319" t="s">
        <v>191</v>
      </c>
      <c r="BT875" s="319" t="s">
        <v>191</v>
      </c>
      <c r="BU875" s="319" t="s">
        <v>191</v>
      </c>
      <c r="BV875" s="319" t="s">
        <v>191</v>
      </c>
      <c r="BW875" s="319" t="s">
        <v>191</v>
      </c>
      <c r="BX875" s="319" t="s">
        <v>191</v>
      </c>
      <c r="BY875" s="319" t="s">
        <v>191</v>
      </c>
      <c r="BZ875" s="319" t="s">
        <v>191</v>
      </c>
      <c r="CA875" s="319" t="s">
        <v>191</v>
      </c>
      <c r="CB875" s="319" t="s">
        <v>191</v>
      </c>
      <c r="CC875" s="319" t="s">
        <v>191</v>
      </c>
      <c r="CD875" s="319" t="s">
        <v>191</v>
      </c>
      <c r="CE875" s="319" t="s">
        <v>191</v>
      </c>
      <c r="CF875" s="319" t="s">
        <v>191</v>
      </c>
      <c r="CG875" s="319" t="s">
        <v>191</v>
      </c>
      <c r="CH875" s="319" t="s">
        <v>191</v>
      </c>
      <c r="CI875" s="319" t="s">
        <v>191</v>
      </c>
      <c r="CJ875" s="319" t="s">
        <v>191</v>
      </c>
      <c r="CK875" s="319" t="s">
        <v>191</v>
      </c>
      <c r="CL875" s="319" t="s">
        <v>191</v>
      </c>
      <c r="CM875" s="319" t="s">
        <v>191</v>
      </c>
      <c r="CN875" s="319" t="s">
        <v>428</v>
      </c>
      <c r="CO875" s="319" t="s">
        <v>428</v>
      </c>
      <c r="CP875" s="319" t="s">
        <v>428</v>
      </c>
      <c r="CQ875" s="319" t="s">
        <v>191</v>
      </c>
      <c r="CR875" s="319" t="s">
        <v>190</v>
      </c>
      <c r="CS875" s="319" t="s">
        <v>191</v>
      </c>
      <c r="CT875" s="319" t="s">
        <v>191</v>
      </c>
      <c r="CU875" s="319" t="s">
        <v>190</v>
      </c>
      <c r="CV875" s="319" t="s">
        <v>191</v>
      </c>
      <c r="CW875" s="319" t="s">
        <v>191</v>
      </c>
      <c r="CX875" s="319" t="s">
        <v>190</v>
      </c>
      <c r="CY875" s="319" t="s">
        <v>190</v>
      </c>
      <c r="CZ875" s="319" t="s">
        <v>190</v>
      </c>
      <c r="DA875" s="319" t="s">
        <v>191</v>
      </c>
      <c r="DB875" s="319" t="s">
        <v>191</v>
      </c>
      <c r="DC875" s="319" t="s">
        <v>191</v>
      </c>
      <c r="DD875" s="319" t="s">
        <v>190</v>
      </c>
      <c r="DE875" s="319" t="s">
        <v>190</v>
      </c>
      <c r="DF875" s="319" t="s">
        <v>190</v>
      </c>
      <c r="DG875" s="319" t="s">
        <v>190</v>
      </c>
      <c r="DH875" s="319" t="s">
        <v>190</v>
      </c>
      <c r="DI875" s="319" t="s">
        <v>190</v>
      </c>
      <c r="DJ875" s="319" t="s">
        <v>190</v>
      </c>
      <c r="DK875" s="319" t="s">
        <v>190</v>
      </c>
      <c r="DL875" s="319" t="s">
        <v>190</v>
      </c>
      <c r="DM875" s="319" t="s">
        <v>190</v>
      </c>
      <c r="DN875" s="319" t="s">
        <v>190</v>
      </c>
      <c r="DO875" s="319" t="s">
        <v>190</v>
      </c>
      <c r="DP875" s="319" t="s">
        <v>190</v>
      </c>
      <c r="DQ875" s="319" t="s">
        <v>190</v>
      </c>
      <c r="DR875" s="319" t="s">
        <v>190</v>
      </c>
      <c r="DS875" s="319" t="s">
        <v>190</v>
      </c>
      <c r="DT875" s="319" t="s">
        <v>190</v>
      </c>
      <c r="DU875" s="319" t="s">
        <v>190</v>
      </c>
      <c r="DV875" s="319" t="s">
        <v>173</v>
      </c>
      <c r="DW875" s="319" t="s">
        <v>190</v>
      </c>
      <c r="DX875" s="319" t="s">
        <v>190</v>
      </c>
      <c r="DY875" s="319" t="s">
        <v>190</v>
      </c>
      <c r="DZ875" s="319" t="s">
        <v>190</v>
      </c>
      <c r="EA875" s="319" t="s">
        <v>190</v>
      </c>
      <c r="EB875" s="319" t="s">
        <v>190</v>
      </c>
      <c r="EC875" s="319" t="s">
        <v>428</v>
      </c>
      <c r="ED875" s="319" t="s">
        <v>190</v>
      </c>
      <c r="EE875" s="319" t="s">
        <v>190</v>
      </c>
      <c r="EF875" s="319" t="s">
        <v>190</v>
      </c>
      <c r="EG875" s="319" t="s">
        <v>190</v>
      </c>
      <c r="EH875" s="319" t="s">
        <v>190</v>
      </c>
      <c r="EI875" s="319" t="s">
        <v>190</v>
      </c>
      <c r="EJ875" s="319" t="s">
        <v>190</v>
      </c>
      <c r="EK875" s="319" t="s">
        <v>190</v>
      </c>
      <c r="EL875" s="319" t="s">
        <v>190</v>
      </c>
      <c r="EM875" s="319" t="s">
        <v>190</v>
      </c>
      <c r="EN875" s="319" t="s">
        <v>190</v>
      </c>
      <c r="EO875" s="319" t="s">
        <v>190</v>
      </c>
      <c r="EP875" s="319" t="s">
        <v>190</v>
      </c>
      <c r="EQ875" s="319" t="s">
        <v>190</v>
      </c>
      <c r="ER875" s="319" t="s">
        <v>190</v>
      </c>
      <c r="ES875" s="319" t="s">
        <v>190</v>
      </c>
      <c r="ET875" s="319" t="s">
        <v>190</v>
      </c>
      <c r="EU875" s="319" t="s">
        <v>190</v>
      </c>
      <c r="EV875" s="319" t="s">
        <v>190</v>
      </c>
      <c r="EW875" s="319" t="s">
        <v>190</v>
      </c>
      <c r="EX875" s="319" t="s">
        <v>190</v>
      </c>
      <c r="EY875" s="319" t="s">
        <v>190</v>
      </c>
      <c r="EZ875" s="319" t="s">
        <v>190</v>
      </c>
      <c r="FA875" s="319" t="s">
        <v>190</v>
      </c>
      <c r="FB875" s="319" t="s">
        <v>190</v>
      </c>
      <c r="FC875" s="319" t="s">
        <v>190</v>
      </c>
      <c r="FD875" s="319" t="s">
        <v>190</v>
      </c>
      <c r="FE875" s="319" t="s">
        <v>190</v>
      </c>
      <c r="FF875" s="319" t="s">
        <v>190</v>
      </c>
      <c r="FG875" s="319" t="s">
        <v>190</v>
      </c>
      <c r="FH875" s="319" t="s">
        <v>190</v>
      </c>
      <c r="FI875" s="319" t="s">
        <v>190</v>
      </c>
      <c r="FJ875" s="319" t="s">
        <v>190</v>
      </c>
      <c r="FK875" s="319" t="s">
        <v>190</v>
      </c>
      <c r="FL875" s="319" t="s">
        <v>190</v>
      </c>
      <c r="FM875" s="319" t="s">
        <v>190</v>
      </c>
      <c r="FN875" s="319" t="s">
        <v>190</v>
      </c>
      <c r="FO875" s="319" t="s">
        <v>190</v>
      </c>
      <c r="FP875" s="319" t="s">
        <v>190</v>
      </c>
      <c r="FQ875" s="319" t="s">
        <v>190</v>
      </c>
      <c r="FR875" s="319" t="s">
        <v>190</v>
      </c>
      <c r="FS875" s="319" t="s">
        <v>428</v>
      </c>
      <c r="FT875" s="319" t="s">
        <v>190</v>
      </c>
      <c r="FU875" s="319" t="s">
        <v>191</v>
      </c>
      <c r="FV875" s="319" t="s">
        <v>190</v>
      </c>
      <c r="FW875" s="319" t="s">
        <v>191</v>
      </c>
      <c r="FX875" s="319" t="s">
        <v>190</v>
      </c>
      <c r="FY875" s="319" t="s">
        <v>191</v>
      </c>
      <c r="FZ875" s="319" t="s">
        <v>190</v>
      </c>
      <c r="GA875" s="319" t="s">
        <v>190</v>
      </c>
      <c r="GB875" s="319" t="s">
        <v>190</v>
      </c>
      <c r="GC875" s="319" t="s">
        <v>190</v>
      </c>
      <c r="GD875" s="319" t="s">
        <v>190</v>
      </c>
      <c r="GE875" s="319" t="s">
        <v>190</v>
      </c>
      <c r="GF875" s="319" t="s">
        <v>190</v>
      </c>
      <c r="GG875" s="319" t="s">
        <v>190</v>
      </c>
      <c r="GH875" s="319" t="s">
        <v>191</v>
      </c>
      <c r="GI875" s="319" t="s">
        <v>191</v>
      </c>
      <c r="GJ875" s="319" t="s">
        <v>191</v>
      </c>
      <c r="GK875" s="319" t="s">
        <v>428</v>
      </c>
      <c r="GL875" s="319" t="s">
        <v>191</v>
      </c>
      <c r="GM875" s="319" t="s">
        <v>190</v>
      </c>
      <c r="GN875" s="319" t="s">
        <v>191</v>
      </c>
      <c r="GO875" s="319" t="s">
        <v>191</v>
      </c>
      <c r="GP875" s="319" t="s">
        <v>191</v>
      </c>
      <c r="GQ875" s="319" t="s">
        <v>428</v>
      </c>
      <c r="GR875" s="319" t="s">
        <v>191</v>
      </c>
      <c r="GS875" s="319" t="s">
        <v>190</v>
      </c>
      <c r="GT875" s="319" t="s">
        <v>190</v>
      </c>
      <c r="GU875" s="319" t="s">
        <v>190</v>
      </c>
      <c r="GV875" s="319" t="s">
        <v>191</v>
      </c>
      <c r="GW875" s="319" t="s">
        <v>190</v>
      </c>
      <c r="GX875" s="319" t="s">
        <v>190</v>
      </c>
      <c r="GY875" s="319" t="s">
        <v>190</v>
      </c>
      <c r="GZ875" s="319" t="s">
        <v>428</v>
      </c>
      <c r="HA875" s="319" t="s">
        <v>190</v>
      </c>
      <c r="HB875" s="319" t="s">
        <v>190</v>
      </c>
      <c r="HC875" s="319" t="s">
        <v>190</v>
      </c>
      <c r="HD875" s="319" t="s">
        <v>191</v>
      </c>
      <c r="HE875" s="319" t="s">
        <v>190</v>
      </c>
      <c r="HF875" s="319" t="s">
        <v>190</v>
      </c>
      <c r="HG875" s="319" t="s">
        <v>190</v>
      </c>
      <c r="HH875" s="319" t="s">
        <v>191</v>
      </c>
      <c r="HI875" s="319" t="s">
        <v>191</v>
      </c>
      <c r="HJ875" s="319" t="s">
        <v>190</v>
      </c>
      <c r="HK875" s="319" t="s">
        <v>191</v>
      </c>
      <c r="HL875" s="319" t="s">
        <v>428</v>
      </c>
      <c r="HM875" s="319" t="s">
        <v>428</v>
      </c>
      <c r="HN875" s="319" t="s">
        <v>428</v>
      </c>
      <c r="HO875" s="319" t="s">
        <v>428</v>
      </c>
      <c r="HP875" s="319" t="s">
        <v>190</v>
      </c>
      <c r="HQ875" s="319" t="s">
        <v>190</v>
      </c>
      <c r="HR875" s="319" t="s">
        <v>190</v>
      </c>
      <c r="HS875" s="319" t="s">
        <v>190</v>
      </c>
      <c r="HT875" s="319" t="s">
        <v>190</v>
      </c>
      <c r="HU875" s="319" t="s">
        <v>190</v>
      </c>
      <c r="HV875" s="319" t="s">
        <v>190</v>
      </c>
      <c r="HW875" s="319" t="s">
        <v>190</v>
      </c>
      <c r="HX875" s="319" t="s">
        <v>190</v>
      </c>
      <c r="HY875" s="319" t="s">
        <v>190</v>
      </c>
      <c r="HZ875" s="319" t="s">
        <v>190</v>
      </c>
      <c r="IA875" s="319" t="s">
        <v>190</v>
      </c>
      <c r="IB875" s="319" t="s">
        <v>190</v>
      </c>
      <c r="IC875" s="319" t="s">
        <v>190</v>
      </c>
      <c r="ID875" s="319" t="s">
        <v>190</v>
      </c>
      <c r="IE875" s="319" t="s">
        <v>190</v>
      </c>
      <c r="IF875" s="319" t="s">
        <v>191</v>
      </c>
      <c r="IG875" s="319" t="s">
        <v>191</v>
      </c>
      <c r="IH875" s="319" t="s">
        <v>191</v>
      </c>
      <c r="II875" s="319" t="s">
        <v>191</v>
      </c>
      <c r="IJ875" s="319">
        <v>10033611</v>
      </c>
      <c r="IK875" s="321">
        <v>42899</v>
      </c>
      <c r="IL875" s="321">
        <v>42901</v>
      </c>
      <c r="IM875" s="321">
        <v>42936</v>
      </c>
      <c r="IN875" s="319">
        <v>3</v>
      </c>
      <c r="IO875" s="319" t="s">
        <v>173</v>
      </c>
      <c r="IP875" s="319" t="s">
        <v>173</v>
      </c>
      <c r="IQ875" s="321" t="s">
        <v>173</v>
      </c>
      <c r="IR875" s="320" t="s">
        <v>173</v>
      </c>
      <c r="IS875" s="322" t="s">
        <v>173</v>
      </c>
      <c r="IT875" s="319" t="s">
        <v>173</v>
      </c>
    </row>
    <row r="876" spans="1:254" s="271" customFormat="1" ht="30" x14ac:dyDescent="0.25">
      <c r="A876" s="318" t="str">
        <f>HYPERLINK("http://www.ofsted.gov.uk/inspection-reports/find-inspection-report/provider/ELS/143102 ","Ofsted School Webpage")</f>
        <v>Ofsted School Webpage</v>
      </c>
      <c r="B876" s="319">
        <v>143102</v>
      </c>
      <c r="C876" s="319">
        <v>3846005</v>
      </c>
      <c r="D876" s="319" t="s">
        <v>2390</v>
      </c>
      <c r="E876" s="319" t="s">
        <v>167</v>
      </c>
      <c r="F876" s="319" t="s">
        <v>59</v>
      </c>
      <c r="G876" s="319" t="s">
        <v>59</v>
      </c>
      <c r="H876" s="319" t="s">
        <v>59</v>
      </c>
      <c r="I876" s="319" t="s">
        <v>59</v>
      </c>
      <c r="J876" s="319" t="s">
        <v>424</v>
      </c>
      <c r="K876" s="319" t="s">
        <v>458</v>
      </c>
      <c r="L876" s="319" t="s">
        <v>459</v>
      </c>
      <c r="M876" s="319" t="s">
        <v>460</v>
      </c>
      <c r="N876" s="319" t="s">
        <v>3541</v>
      </c>
      <c r="O876" s="319" t="s">
        <v>2391</v>
      </c>
      <c r="P876" s="319">
        <v>5</v>
      </c>
      <c r="Q876" s="319" t="s">
        <v>2766</v>
      </c>
      <c r="R876" s="320">
        <v>10110723</v>
      </c>
      <c r="S876" s="321">
        <v>43781</v>
      </c>
      <c r="T876" s="321">
        <v>43783</v>
      </c>
      <c r="U876" s="321">
        <v>43817</v>
      </c>
      <c r="V876" s="319" t="s">
        <v>425</v>
      </c>
      <c r="W876" s="319" t="s">
        <v>2767</v>
      </c>
      <c r="X876" s="319">
        <v>2</v>
      </c>
      <c r="Y876" s="319">
        <v>2</v>
      </c>
      <c r="Z876" s="319">
        <v>2</v>
      </c>
      <c r="AA876" s="319">
        <v>2</v>
      </c>
      <c r="AB876" s="319">
        <v>2</v>
      </c>
      <c r="AC876" s="319" t="s">
        <v>169</v>
      </c>
      <c r="AD876" s="319" t="s">
        <v>173</v>
      </c>
      <c r="AE876" s="319" t="s">
        <v>173</v>
      </c>
      <c r="AF876" s="319" t="s">
        <v>427</v>
      </c>
      <c r="AG876" s="319" t="s">
        <v>171</v>
      </c>
      <c r="AH876" s="319" t="s">
        <v>190</v>
      </c>
      <c r="AI876" s="319" t="s">
        <v>190</v>
      </c>
      <c r="AJ876" s="319" t="s">
        <v>190</v>
      </c>
      <c r="AK876" s="319" t="s">
        <v>190</v>
      </c>
      <c r="AL876" s="319" t="s">
        <v>190</v>
      </c>
      <c r="AM876" s="319" t="s">
        <v>190</v>
      </c>
      <c r="AN876" s="319" t="s">
        <v>190</v>
      </c>
      <c r="AO876" s="319" t="s">
        <v>190</v>
      </c>
      <c r="AP876" s="319" t="s">
        <v>190</v>
      </c>
      <c r="AQ876" s="319" t="s">
        <v>190</v>
      </c>
      <c r="AR876" s="319" t="s">
        <v>190</v>
      </c>
      <c r="AS876" s="319" t="s">
        <v>190</v>
      </c>
      <c r="AT876" s="319" t="s">
        <v>190</v>
      </c>
      <c r="AU876" s="319" t="s">
        <v>190</v>
      </c>
      <c r="AV876" s="319" t="s">
        <v>190</v>
      </c>
      <c r="AW876" s="319" t="s">
        <v>190</v>
      </c>
      <c r="AX876" s="319" t="s">
        <v>428</v>
      </c>
      <c r="AY876" s="319" t="s">
        <v>190</v>
      </c>
      <c r="AZ876" s="319" t="s">
        <v>190</v>
      </c>
      <c r="BA876" s="319" t="s">
        <v>190</v>
      </c>
      <c r="BB876" s="319" t="s">
        <v>190</v>
      </c>
      <c r="BC876" s="319" t="s">
        <v>190</v>
      </c>
      <c r="BD876" s="319" t="s">
        <v>190</v>
      </c>
      <c r="BE876" s="319" t="s">
        <v>190</v>
      </c>
      <c r="BF876" s="319" t="s">
        <v>428</v>
      </c>
      <c r="BG876" s="319" t="s">
        <v>428</v>
      </c>
      <c r="BH876" s="319" t="s">
        <v>190</v>
      </c>
      <c r="BI876" s="319" t="s">
        <v>190</v>
      </c>
      <c r="BJ876" s="319" t="s">
        <v>190</v>
      </c>
      <c r="BK876" s="319" t="s">
        <v>190</v>
      </c>
      <c r="BL876" s="319" t="s">
        <v>190</v>
      </c>
      <c r="BM876" s="319" t="s">
        <v>190</v>
      </c>
      <c r="BN876" s="319" t="s">
        <v>190</v>
      </c>
      <c r="BO876" s="319" t="s">
        <v>190</v>
      </c>
      <c r="BP876" s="319" t="s">
        <v>190</v>
      </c>
      <c r="BQ876" s="319" t="s">
        <v>190</v>
      </c>
      <c r="BR876" s="319" t="s">
        <v>190</v>
      </c>
      <c r="BS876" s="319" t="s">
        <v>190</v>
      </c>
      <c r="BT876" s="319" t="s">
        <v>190</v>
      </c>
      <c r="BU876" s="319" t="s">
        <v>190</v>
      </c>
      <c r="BV876" s="319" t="s">
        <v>190</v>
      </c>
      <c r="BW876" s="319" t="s">
        <v>190</v>
      </c>
      <c r="BX876" s="319" t="s">
        <v>190</v>
      </c>
      <c r="BY876" s="319" t="s">
        <v>190</v>
      </c>
      <c r="BZ876" s="319" t="s">
        <v>190</v>
      </c>
      <c r="CA876" s="319" t="s">
        <v>190</v>
      </c>
      <c r="CB876" s="319" t="s">
        <v>190</v>
      </c>
      <c r="CC876" s="319" t="s">
        <v>190</v>
      </c>
      <c r="CD876" s="319" t="s">
        <v>190</v>
      </c>
      <c r="CE876" s="319" t="s">
        <v>190</v>
      </c>
      <c r="CF876" s="319" t="s">
        <v>190</v>
      </c>
      <c r="CG876" s="319" t="s">
        <v>190</v>
      </c>
      <c r="CH876" s="319" t="s">
        <v>190</v>
      </c>
      <c r="CI876" s="319" t="s">
        <v>190</v>
      </c>
      <c r="CJ876" s="319" t="s">
        <v>190</v>
      </c>
      <c r="CK876" s="319" t="s">
        <v>190</v>
      </c>
      <c r="CL876" s="319" t="s">
        <v>190</v>
      </c>
      <c r="CM876" s="319" t="s">
        <v>190</v>
      </c>
      <c r="CN876" s="319" t="s">
        <v>428</v>
      </c>
      <c r="CO876" s="319" t="s">
        <v>428</v>
      </c>
      <c r="CP876" s="319" t="s">
        <v>428</v>
      </c>
      <c r="CQ876" s="319" t="s">
        <v>190</v>
      </c>
      <c r="CR876" s="319" t="s">
        <v>190</v>
      </c>
      <c r="CS876" s="319" t="s">
        <v>190</v>
      </c>
      <c r="CT876" s="319" t="s">
        <v>190</v>
      </c>
      <c r="CU876" s="319" t="s">
        <v>190</v>
      </c>
      <c r="CV876" s="319" t="s">
        <v>190</v>
      </c>
      <c r="CW876" s="319" t="s">
        <v>190</v>
      </c>
      <c r="CX876" s="319" t="s">
        <v>190</v>
      </c>
      <c r="CY876" s="319" t="s">
        <v>190</v>
      </c>
      <c r="CZ876" s="319" t="s">
        <v>190</v>
      </c>
      <c r="DA876" s="319" t="s">
        <v>190</v>
      </c>
      <c r="DB876" s="319" t="s">
        <v>190</v>
      </c>
      <c r="DC876" s="319" t="s">
        <v>190</v>
      </c>
      <c r="DD876" s="319" t="s">
        <v>190</v>
      </c>
      <c r="DE876" s="319" t="s">
        <v>190</v>
      </c>
      <c r="DF876" s="319" t="s">
        <v>190</v>
      </c>
      <c r="DG876" s="319" t="s">
        <v>190</v>
      </c>
      <c r="DH876" s="319" t="s">
        <v>190</v>
      </c>
      <c r="DI876" s="319" t="s">
        <v>190</v>
      </c>
      <c r="DJ876" s="319" t="s">
        <v>190</v>
      </c>
      <c r="DK876" s="319" t="s">
        <v>190</v>
      </c>
      <c r="DL876" s="319" t="s">
        <v>190</v>
      </c>
      <c r="DM876" s="319" t="s">
        <v>190</v>
      </c>
      <c r="DN876" s="319" t="s">
        <v>428</v>
      </c>
      <c r="DO876" s="319" t="s">
        <v>190</v>
      </c>
      <c r="DP876" s="319" t="s">
        <v>190</v>
      </c>
      <c r="DQ876" s="319" t="s">
        <v>190</v>
      </c>
      <c r="DR876" s="319" t="s">
        <v>190</v>
      </c>
      <c r="DS876" s="319" t="s">
        <v>190</v>
      </c>
      <c r="DT876" s="319" t="s">
        <v>190</v>
      </c>
      <c r="DU876" s="319" t="s">
        <v>190</v>
      </c>
      <c r="DV876" s="319" t="s">
        <v>190</v>
      </c>
      <c r="DW876" s="319" t="s">
        <v>190</v>
      </c>
      <c r="DX876" s="319" t="s">
        <v>190</v>
      </c>
      <c r="DY876" s="319" t="s">
        <v>190</v>
      </c>
      <c r="DZ876" s="319" t="s">
        <v>190</v>
      </c>
      <c r="EA876" s="319" t="s">
        <v>190</v>
      </c>
      <c r="EB876" s="319" t="s">
        <v>190</v>
      </c>
      <c r="EC876" s="319" t="s">
        <v>428</v>
      </c>
      <c r="ED876" s="319" t="s">
        <v>190</v>
      </c>
      <c r="EE876" s="319" t="s">
        <v>190</v>
      </c>
      <c r="EF876" s="319" t="s">
        <v>190</v>
      </c>
      <c r="EG876" s="319" t="s">
        <v>190</v>
      </c>
      <c r="EH876" s="319" t="s">
        <v>190</v>
      </c>
      <c r="EI876" s="319" t="s">
        <v>190</v>
      </c>
      <c r="EJ876" s="319" t="s">
        <v>190</v>
      </c>
      <c r="EK876" s="319" t="s">
        <v>190</v>
      </c>
      <c r="EL876" s="319" t="s">
        <v>190</v>
      </c>
      <c r="EM876" s="319" t="s">
        <v>190</v>
      </c>
      <c r="EN876" s="319" t="s">
        <v>190</v>
      </c>
      <c r="EO876" s="319" t="s">
        <v>190</v>
      </c>
      <c r="EP876" s="319" t="s">
        <v>190</v>
      </c>
      <c r="EQ876" s="319" t="s">
        <v>190</v>
      </c>
      <c r="ER876" s="319" t="s">
        <v>190</v>
      </c>
      <c r="ES876" s="319" t="s">
        <v>190</v>
      </c>
      <c r="ET876" s="319" t="s">
        <v>190</v>
      </c>
      <c r="EU876" s="319" t="s">
        <v>190</v>
      </c>
      <c r="EV876" s="319" t="s">
        <v>190</v>
      </c>
      <c r="EW876" s="319" t="s">
        <v>190</v>
      </c>
      <c r="EX876" s="319" t="s">
        <v>190</v>
      </c>
      <c r="EY876" s="319" t="s">
        <v>190</v>
      </c>
      <c r="EZ876" s="319" t="s">
        <v>190</v>
      </c>
      <c r="FA876" s="319" t="s">
        <v>428</v>
      </c>
      <c r="FB876" s="319" t="s">
        <v>190</v>
      </c>
      <c r="FC876" s="319" t="s">
        <v>190</v>
      </c>
      <c r="FD876" s="319" t="s">
        <v>190</v>
      </c>
      <c r="FE876" s="319" t="s">
        <v>190</v>
      </c>
      <c r="FF876" s="319" t="s">
        <v>190</v>
      </c>
      <c r="FG876" s="319" t="s">
        <v>190</v>
      </c>
      <c r="FH876" s="319" t="s">
        <v>190</v>
      </c>
      <c r="FI876" s="319" t="s">
        <v>428</v>
      </c>
      <c r="FJ876" s="319" t="s">
        <v>190</v>
      </c>
      <c r="FK876" s="319" t="s">
        <v>190</v>
      </c>
      <c r="FL876" s="319" t="s">
        <v>190</v>
      </c>
      <c r="FM876" s="319" t="s">
        <v>190</v>
      </c>
      <c r="FN876" s="319" t="s">
        <v>190</v>
      </c>
      <c r="FO876" s="319" t="s">
        <v>190</v>
      </c>
      <c r="FP876" s="319" t="s">
        <v>190</v>
      </c>
      <c r="FQ876" s="319" t="s">
        <v>190</v>
      </c>
      <c r="FR876" s="319" t="s">
        <v>190</v>
      </c>
      <c r="FS876" s="319" t="s">
        <v>428</v>
      </c>
      <c r="FT876" s="319" t="s">
        <v>190</v>
      </c>
      <c r="FU876" s="319" t="s">
        <v>190</v>
      </c>
      <c r="FV876" s="319" t="s">
        <v>190</v>
      </c>
      <c r="FW876" s="319" t="s">
        <v>190</v>
      </c>
      <c r="FX876" s="319" t="s">
        <v>190</v>
      </c>
      <c r="FY876" s="319" t="s">
        <v>190</v>
      </c>
      <c r="FZ876" s="319" t="s">
        <v>190</v>
      </c>
      <c r="GA876" s="319" t="s">
        <v>190</v>
      </c>
      <c r="GB876" s="319" t="s">
        <v>190</v>
      </c>
      <c r="GC876" s="319" t="s">
        <v>190</v>
      </c>
      <c r="GD876" s="319" t="s">
        <v>190</v>
      </c>
      <c r="GE876" s="319" t="s">
        <v>190</v>
      </c>
      <c r="GF876" s="319" t="s">
        <v>190</v>
      </c>
      <c r="GG876" s="319" t="s">
        <v>190</v>
      </c>
      <c r="GH876" s="319" t="s">
        <v>190</v>
      </c>
      <c r="GI876" s="319" t="s">
        <v>190</v>
      </c>
      <c r="GJ876" s="319" t="s">
        <v>190</v>
      </c>
      <c r="GK876" s="319" t="s">
        <v>428</v>
      </c>
      <c r="GL876" s="319" t="s">
        <v>190</v>
      </c>
      <c r="GM876" s="319" t="s">
        <v>190</v>
      </c>
      <c r="GN876" s="319" t="s">
        <v>190</v>
      </c>
      <c r="GO876" s="319" t="s">
        <v>190</v>
      </c>
      <c r="GP876" s="319" t="s">
        <v>190</v>
      </c>
      <c r="GQ876" s="319" t="s">
        <v>428</v>
      </c>
      <c r="GR876" s="319" t="s">
        <v>190</v>
      </c>
      <c r="GS876" s="319" t="s">
        <v>190</v>
      </c>
      <c r="GT876" s="319" t="s">
        <v>190</v>
      </c>
      <c r="GU876" s="319" t="s">
        <v>190</v>
      </c>
      <c r="GV876" s="319" t="s">
        <v>190</v>
      </c>
      <c r="GW876" s="319" t="s">
        <v>190</v>
      </c>
      <c r="GX876" s="319" t="s">
        <v>190</v>
      </c>
      <c r="GY876" s="319" t="s">
        <v>190</v>
      </c>
      <c r="GZ876" s="319" t="s">
        <v>428</v>
      </c>
      <c r="HA876" s="319" t="s">
        <v>190</v>
      </c>
      <c r="HB876" s="319" t="s">
        <v>190</v>
      </c>
      <c r="HC876" s="319" t="s">
        <v>190</v>
      </c>
      <c r="HD876" s="319" t="s">
        <v>190</v>
      </c>
      <c r="HE876" s="319" t="s">
        <v>190</v>
      </c>
      <c r="HF876" s="319" t="s">
        <v>190</v>
      </c>
      <c r="HG876" s="319" t="s">
        <v>190</v>
      </c>
      <c r="HH876" s="319" t="s">
        <v>190</v>
      </c>
      <c r="HI876" s="319" t="s">
        <v>190</v>
      </c>
      <c r="HJ876" s="319" t="s">
        <v>190</v>
      </c>
      <c r="HK876" s="319" t="s">
        <v>190</v>
      </c>
      <c r="HL876" s="319" t="s">
        <v>190</v>
      </c>
      <c r="HM876" s="319" t="s">
        <v>190</v>
      </c>
      <c r="HN876" s="319" t="s">
        <v>190</v>
      </c>
      <c r="HO876" s="319" t="s">
        <v>190</v>
      </c>
      <c r="HP876" s="319" t="s">
        <v>190</v>
      </c>
      <c r="HQ876" s="319" t="s">
        <v>190</v>
      </c>
      <c r="HR876" s="319" t="s">
        <v>190</v>
      </c>
      <c r="HS876" s="319" t="s">
        <v>190</v>
      </c>
      <c r="HT876" s="319" t="s">
        <v>190</v>
      </c>
      <c r="HU876" s="319" t="s">
        <v>190</v>
      </c>
      <c r="HV876" s="319" t="s">
        <v>190</v>
      </c>
      <c r="HW876" s="319" t="s">
        <v>190</v>
      </c>
      <c r="HX876" s="319" t="s">
        <v>190</v>
      </c>
      <c r="HY876" s="319" t="s">
        <v>190</v>
      </c>
      <c r="HZ876" s="319" t="s">
        <v>190</v>
      </c>
      <c r="IA876" s="319" t="s">
        <v>190</v>
      </c>
      <c r="IB876" s="319" t="s">
        <v>190</v>
      </c>
      <c r="IC876" s="319" t="s">
        <v>190</v>
      </c>
      <c r="ID876" s="319" t="s">
        <v>190</v>
      </c>
      <c r="IE876" s="319" t="s">
        <v>190</v>
      </c>
      <c r="IF876" s="319" t="s">
        <v>190</v>
      </c>
      <c r="IG876" s="319" t="s">
        <v>190</v>
      </c>
      <c r="IH876" s="319" t="s">
        <v>190</v>
      </c>
      <c r="II876" s="319" t="s">
        <v>190</v>
      </c>
      <c r="IJ876" s="319">
        <v>10046957</v>
      </c>
      <c r="IK876" s="321">
        <v>43242</v>
      </c>
      <c r="IL876" s="321">
        <v>43244</v>
      </c>
      <c r="IM876" s="321">
        <v>43285</v>
      </c>
      <c r="IN876" s="319">
        <v>3</v>
      </c>
      <c r="IO876" s="319" t="s">
        <v>173</v>
      </c>
      <c r="IP876" s="319" t="s">
        <v>173</v>
      </c>
      <c r="IQ876" s="321" t="s">
        <v>173</v>
      </c>
      <c r="IR876" s="320" t="s">
        <v>173</v>
      </c>
      <c r="IS876" s="322" t="s">
        <v>173</v>
      </c>
      <c r="IT876" s="319" t="s">
        <v>173</v>
      </c>
    </row>
    <row r="877" spans="1:254" s="271" customFormat="1" x14ac:dyDescent="0.25">
      <c r="A877" s="318" t="str">
        <f>HYPERLINK("http://www.ofsted.gov.uk/inspection-reports/find-inspection-report/provider/ELS/143105 ","Ofsted School Webpage")</f>
        <v>Ofsted School Webpage</v>
      </c>
      <c r="B877" s="319">
        <v>143105</v>
      </c>
      <c r="C877" s="319">
        <v>3316004</v>
      </c>
      <c r="D877" s="319" t="s">
        <v>2392</v>
      </c>
      <c r="E877" s="319" t="s">
        <v>167</v>
      </c>
      <c r="F877" s="319" t="s">
        <v>81</v>
      </c>
      <c r="G877" s="319" t="s">
        <v>81</v>
      </c>
      <c r="H877" s="319" t="s">
        <v>81</v>
      </c>
      <c r="I877" s="319" t="s">
        <v>78</v>
      </c>
      <c r="J877" s="319" t="s">
        <v>424</v>
      </c>
      <c r="K877" s="319" t="s">
        <v>437</v>
      </c>
      <c r="L877" s="319" t="s">
        <v>437</v>
      </c>
      <c r="M877" s="319" t="s">
        <v>1327</v>
      </c>
      <c r="N877" s="319" t="s">
        <v>3542</v>
      </c>
      <c r="O877" s="319" t="s">
        <v>2393</v>
      </c>
      <c r="P877" s="319">
        <v>36</v>
      </c>
      <c r="Q877" s="319" t="s">
        <v>2776</v>
      </c>
      <c r="R877" s="320">
        <v>10033590</v>
      </c>
      <c r="S877" s="321">
        <v>43221</v>
      </c>
      <c r="T877" s="321">
        <v>43223</v>
      </c>
      <c r="U877" s="321">
        <v>43262</v>
      </c>
      <c r="V877" s="319" t="s">
        <v>2394</v>
      </c>
      <c r="W877" s="319" t="s">
        <v>2767</v>
      </c>
      <c r="X877" s="319">
        <v>3</v>
      </c>
      <c r="Y877" s="319" t="s">
        <v>173</v>
      </c>
      <c r="Z877" s="319" t="s">
        <v>173</v>
      </c>
      <c r="AA877" s="319" t="s">
        <v>173</v>
      </c>
      <c r="AB877" s="319">
        <v>3</v>
      </c>
      <c r="AC877" s="319" t="s">
        <v>169</v>
      </c>
      <c r="AD877" s="319" t="s">
        <v>173</v>
      </c>
      <c r="AE877" s="319">
        <v>2</v>
      </c>
      <c r="AF877" s="319" t="s">
        <v>447</v>
      </c>
      <c r="AG877" s="319" t="s">
        <v>171</v>
      </c>
      <c r="AH877" s="319" t="s">
        <v>190</v>
      </c>
      <c r="AI877" s="319" t="s">
        <v>190</v>
      </c>
      <c r="AJ877" s="319" t="s">
        <v>190</v>
      </c>
      <c r="AK877" s="319" t="s">
        <v>190</v>
      </c>
      <c r="AL877" s="319" t="s">
        <v>190</v>
      </c>
      <c r="AM877" s="319" t="s">
        <v>190</v>
      </c>
      <c r="AN877" s="319" t="s">
        <v>190</v>
      </c>
      <c r="AO877" s="319" t="s">
        <v>190</v>
      </c>
      <c r="AP877" s="319" t="s">
        <v>190</v>
      </c>
      <c r="AQ877" s="319" t="s">
        <v>190</v>
      </c>
      <c r="AR877" s="319" t="s">
        <v>190</v>
      </c>
      <c r="AS877" s="319" t="s">
        <v>190</v>
      </c>
      <c r="AT877" s="319" t="s">
        <v>190</v>
      </c>
      <c r="AU877" s="319" t="s">
        <v>190</v>
      </c>
      <c r="AV877" s="319" t="s">
        <v>190</v>
      </c>
      <c r="AW877" s="319" t="s">
        <v>190</v>
      </c>
      <c r="AX877" s="319" t="s">
        <v>428</v>
      </c>
      <c r="AY877" s="319" t="s">
        <v>190</v>
      </c>
      <c r="AZ877" s="319" t="s">
        <v>190</v>
      </c>
      <c r="BA877" s="319" t="s">
        <v>190</v>
      </c>
      <c r="BB877" s="319" t="s">
        <v>190</v>
      </c>
      <c r="BC877" s="319" t="s">
        <v>190</v>
      </c>
      <c r="BD877" s="319" t="s">
        <v>190</v>
      </c>
      <c r="BE877" s="319" t="s">
        <v>190</v>
      </c>
      <c r="BF877" s="319" t="s">
        <v>428</v>
      </c>
      <c r="BG877" s="319" t="s">
        <v>190</v>
      </c>
      <c r="BH877" s="319" t="s">
        <v>190</v>
      </c>
      <c r="BI877" s="319" t="s">
        <v>190</v>
      </c>
      <c r="BJ877" s="319" t="s">
        <v>190</v>
      </c>
      <c r="BK877" s="319" t="s">
        <v>190</v>
      </c>
      <c r="BL877" s="319" t="s">
        <v>190</v>
      </c>
      <c r="BM877" s="319" t="s">
        <v>190</v>
      </c>
      <c r="BN877" s="319" t="s">
        <v>190</v>
      </c>
      <c r="BO877" s="319" t="s">
        <v>190</v>
      </c>
      <c r="BP877" s="319" t="s">
        <v>190</v>
      </c>
      <c r="BQ877" s="319" t="s">
        <v>190</v>
      </c>
      <c r="BR877" s="319" t="s">
        <v>190</v>
      </c>
      <c r="BS877" s="319" t="s">
        <v>190</v>
      </c>
      <c r="BT877" s="319" t="s">
        <v>190</v>
      </c>
      <c r="BU877" s="319" t="s">
        <v>190</v>
      </c>
      <c r="BV877" s="319" t="s">
        <v>190</v>
      </c>
      <c r="BW877" s="319" t="s">
        <v>190</v>
      </c>
      <c r="BX877" s="319" t="s">
        <v>190</v>
      </c>
      <c r="BY877" s="319" t="s">
        <v>190</v>
      </c>
      <c r="BZ877" s="319" t="s">
        <v>190</v>
      </c>
      <c r="CA877" s="319" t="s">
        <v>190</v>
      </c>
      <c r="CB877" s="319" t="s">
        <v>190</v>
      </c>
      <c r="CC877" s="319" t="s">
        <v>190</v>
      </c>
      <c r="CD877" s="319" t="s">
        <v>190</v>
      </c>
      <c r="CE877" s="319" t="s">
        <v>190</v>
      </c>
      <c r="CF877" s="319" t="s">
        <v>190</v>
      </c>
      <c r="CG877" s="319" t="s">
        <v>190</v>
      </c>
      <c r="CH877" s="319" t="s">
        <v>190</v>
      </c>
      <c r="CI877" s="319" t="s">
        <v>190</v>
      </c>
      <c r="CJ877" s="319" t="s">
        <v>190</v>
      </c>
      <c r="CK877" s="319" t="s">
        <v>190</v>
      </c>
      <c r="CL877" s="319" t="s">
        <v>190</v>
      </c>
      <c r="CM877" s="319" t="s">
        <v>190</v>
      </c>
      <c r="CN877" s="319" t="s">
        <v>190</v>
      </c>
      <c r="CO877" s="319" t="s">
        <v>190</v>
      </c>
      <c r="CP877" s="319" t="s">
        <v>190</v>
      </c>
      <c r="CQ877" s="319" t="s">
        <v>190</v>
      </c>
      <c r="CR877" s="319" t="s">
        <v>190</v>
      </c>
      <c r="CS877" s="319" t="s">
        <v>190</v>
      </c>
      <c r="CT877" s="319" t="s">
        <v>190</v>
      </c>
      <c r="CU877" s="319" t="s">
        <v>190</v>
      </c>
      <c r="CV877" s="319" t="s">
        <v>190</v>
      </c>
      <c r="CW877" s="319" t="s">
        <v>190</v>
      </c>
      <c r="CX877" s="319" t="s">
        <v>190</v>
      </c>
      <c r="CY877" s="319" t="s">
        <v>190</v>
      </c>
      <c r="CZ877" s="319" t="s">
        <v>190</v>
      </c>
      <c r="DA877" s="319" t="s">
        <v>190</v>
      </c>
      <c r="DB877" s="319" t="s">
        <v>190</v>
      </c>
      <c r="DC877" s="319" t="s">
        <v>190</v>
      </c>
      <c r="DD877" s="319" t="s">
        <v>190</v>
      </c>
      <c r="DE877" s="319" t="s">
        <v>190</v>
      </c>
      <c r="DF877" s="319" t="s">
        <v>190</v>
      </c>
      <c r="DG877" s="319" t="s">
        <v>190</v>
      </c>
      <c r="DH877" s="319" t="s">
        <v>190</v>
      </c>
      <c r="DI877" s="319" t="s">
        <v>190</v>
      </c>
      <c r="DJ877" s="319" t="s">
        <v>190</v>
      </c>
      <c r="DK877" s="319" t="s">
        <v>190</v>
      </c>
      <c r="DL877" s="319" t="s">
        <v>190</v>
      </c>
      <c r="DM877" s="319" t="s">
        <v>190</v>
      </c>
      <c r="DN877" s="319" t="s">
        <v>190</v>
      </c>
      <c r="DO877" s="319" t="s">
        <v>190</v>
      </c>
      <c r="DP877" s="319" t="s">
        <v>190</v>
      </c>
      <c r="DQ877" s="319" t="s">
        <v>190</v>
      </c>
      <c r="DR877" s="319" t="s">
        <v>190</v>
      </c>
      <c r="DS877" s="319" t="s">
        <v>190</v>
      </c>
      <c r="DT877" s="319" t="s">
        <v>190</v>
      </c>
      <c r="DU877" s="319" t="s">
        <v>190</v>
      </c>
      <c r="DV877" s="319" t="s">
        <v>173</v>
      </c>
      <c r="DW877" s="319" t="s">
        <v>190</v>
      </c>
      <c r="DX877" s="319" t="s">
        <v>190</v>
      </c>
      <c r="DY877" s="319" t="s">
        <v>190</v>
      </c>
      <c r="DZ877" s="319" t="s">
        <v>190</v>
      </c>
      <c r="EA877" s="319" t="s">
        <v>190</v>
      </c>
      <c r="EB877" s="319" t="s">
        <v>190</v>
      </c>
      <c r="EC877" s="319" t="s">
        <v>190</v>
      </c>
      <c r="ED877" s="319" t="s">
        <v>190</v>
      </c>
      <c r="EE877" s="319" t="s">
        <v>190</v>
      </c>
      <c r="EF877" s="319" t="s">
        <v>190</v>
      </c>
      <c r="EG877" s="319" t="s">
        <v>190</v>
      </c>
      <c r="EH877" s="319" t="s">
        <v>190</v>
      </c>
      <c r="EI877" s="319" t="s">
        <v>190</v>
      </c>
      <c r="EJ877" s="319" t="s">
        <v>190</v>
      </c>
      <c r="EK877" s="319" t="s">
        <v>190</v>
      </c>
      <c r="EL877" s="319" t="s">
        <v>190</v>
      </c>
      <c r="EM877" s="319" t="s">
        <v>190</v>
      </c>
      <c r="EN877" s="319" t="s">
        <v>190</v>
      </c>
      <c r="EO877" s="319" t="s">
        <v>190</v>
      </c>
      <c r="EP877" s="319" t="s">
        <v>190</v>
      </c>
      <c r="EQ877" s="319" t="s">
        <v>190</v>
      </c>
      <c r="ER877" s="319" t="s">
        <v>190</v>
      </c>
      <c r="ES877" s="319" t="s">
        <v>190</v>
      </c>
      <c r="ET877" s="319" t="s">
        <v>190</v>
      </c>
      <c r="EU877" s="319" t="s">
        <v>190</v>
      </c>
      <c r="EV877" s="319" t="s">
        <v>190</v>
      </c>
      <c r="EW877" s="319" t="s">
        <v>190</v>
      </c>
      <c r="EX877" s="319" t="s">
        <v>190</v>
      </c>
      <c r="EY877" s="319" t="s">
        <v>190</v>
      </c>
      <c r="EZ877" s="319" t="s">
        <v>190</v>
      </c>
      <c r="FA877" s="319" t="s">
        <v>190</v>
      </c>
      <c r="FB877" s="319" t="s">
        <v>190</v>
      </c>
      <c r="FC877" s="319" t="s">
        <v>190</v>
      </c>
      <c r="FD877" s="319" t="s">
        <v>190</v>
      </c>
      <c r="FE877" s="319" t="s">
        <v>190</v>
      </c>
      <c r="FF877" s="319" t="s">
        <v>190</v>
      </c>
      <c r="FG877" s="319" t="s">
        <v>190</v>
      </c>
      <c r="FH877" s="319" t="s">
        <v>190</v>
      </c>
      <c r="FI877" s="319" t="s">
        <v>190</v>
      </c>
      <c r="FJ877" s="319" t="s">
        <v>190</v>
      </c>
      <c r="FK877" s="319" t="s">
        <v>190</v>
      </c>
      <c r="FL877" s="319" t="s">
        <v>190</v>
      </c>
      <c r="FM877" s="319" t="s">
        <v>190</v>
      </c>
      <c r="FN877" s="319" t="s">
        <v>190</v>
      </c>
      <c r="FO877" s="319" t="s">
        <v>190</v>
      </c>
      <c r="FP877" s="319" t="s">
        <v>190</v>
      </c>
      <c r="FQ877" s="319" t="s">
        <v>190</v>
      </c>
      <c r="FR877" s="319" t="s">
        <v>190</v>
      </c>
      <c r="FS877" s="319" t="s">
        <v>428</v>
      </c>
      <c r="FT877" s="319" t="s">
        <v>190</v>
      </c>
      <c r="FU877" s="319" t="s">
        <v>190</v>
      </c>
      <c r="FV877" s="319" t="s">
        <v>190</v>
      </c>
      <c r="FW877" s="319" t="s">
        <v>190</v>
      </c>
      <c r="FX877" s="319" t="s">
        <v>190</v>
      </c>
      <c r="FY877" s="319" t="s">
        <v>190</v>
      </c>
      <c r="FZ877" s="319" t="s">
        <v>190</v>
      </c>
      <c r="GA877" s="319" t="s">
        <v>190</v>
      </c>
      <c r="GB877" s="319" t="s">
        <v>190</v>
      </c>
      <c r="GC877" s="319" t="s">
        <v>190</v>
      </c>
      <c r="GD877" s="319" t="s">
        <v>190</v>
      </c>
      <c r="GE877" s="319" t="s">
        <v>190</v>
      </c>
      <c r="GF877" s="319" t="s">
        <v>190</v>
      </c>
      <c r="GG877" s="319" t="s">
        <v>190</v>
      </c>
      <c r="GH877" s="319" t="s">
        <v>190</v>
      </c>
      <c r="GI877" s="319" t="s">
        <v>190</v>
      </c>
      <c r="GJ877" s="319" t="s">
        <v>190</v>
      </c>
      <c r="GK877" s="319" t="s">
        <v>190</v>
      </c>
      <c r="GL877" s="319" t="s">
        <v>190</v>
      </c>
      <c r="GM877" s="319" t="s">
        <v>190</v>
      </c>
      <c r="GN877" s="319" t="s">
        <v>190</v>
      </c>
      <c r="GO877" s="319" t="s">
        <v>190</v>
      </c>
      <c r="GP877" s="319" t="s">
        <v>190</v>
      </c>
      <c r="GQ877" s="319" t="s">
        <v>190</v>
      </c>
      <c r="GR877" s="319" t="s">
        <v>190</v>
      </c>
      <c r="GS877" s="319" t="s">
        <v>190</v>
      </c>
      <c r="GT877" s="319" t="s">
        <v>190</v>
      </c>
      <c r="GU877" s="319" t="s">
        <v>190</v>
      </c>
      <c r="GV877" s="319" t="s">
        <v>190</v>
      </c>
      <c r="GW877" s="319" t="s">
        <v>190</v>
      </c>
      <c r="GX877" s="319" t="s">
        <v>190</v>
      </c>
      <c r="GY877" s="319" t="s">
        <v>190</v>
      </c>
      <c r="GZ877" s="319" t="s">
        <v>428</v>
      </c>
      <c r="HA877" s="319" t="s">
        <v>190</v>
      </c>
      <c r="HB877" s="319" t="s">
        <v>190</v>
      </c>
      <c r="HC877" s="319" t="s">
        <v>190</v>
      </c>
      <c r="HD877" s="319" t="s">
        <v>190</v>
      </c>
      <c r="HE877" s="319" t="s">
        <v>190</v>
      </c>
      <c r="HF877" s="319" t="s">
        <v>190</v>
      </c>
      <c r="HG877" s="319" t="s">
        <v>190</v>
      </c>
      <c r="HH877" s="319" t="s">
        <v>190</v>
      </c>
      <c r="HI877" s="319" t="s">
        <v>190</v>
      </c>
      <c r="HJ877" s="319" t="s">
        <v>190</v>
      </c>
      <c r="HK877" s="319" t="s">
        <v>190</v>
      </c>
      <c r="HL877" s="319" t="s">
        <v>190</v>
      </c>
      <c r="HM877" s="319" t="s">
        <v>190</v>
      </c>
      <c r="HN877" s="319" t="s">
        <v>190</v>
      </c>
      <c r="HO877" s="319" t="s">
        <v>190</v>
      </c>
      <c r="HP877" s="319" t="s">
        <v>190</v>
      </c>
      <c r="HQ877" s="319" t="s">
        <v>190</v>
      </c>
      <c r="HR877" s="319" t="s">
        <v>190</v>
      </c>
      <c r="HS877" s="319" t="s">
        <v>190</v>
      </c>
      <c r="HT877" s="319" t="s">
        <v>190</v>
      </c>
      <c r="HU877" s="319" t="s">
        <v>190</v>
      </c>
      <c r="HV877" s="319" t="s">
        <v>190</v>
      </c>
      <c r="HW877" s="319" t="s">
        <v>190</v>
      </c>
      <c r="HX877" s="319" t="s">
        <v>190</v>
      </c>
      <c r="HY877" s="319" t="s">
        <v>190</v>
      </c>
      <c r="HZ877" s="319" t="s">
        <v>190</v>
      </c>
      <c r="IA877" s="319" t="s">
        <v>190</v>
      </c>
      <c r="IB877" s="319" t="s">
        <v>190</v>
      </c>
      <c r="IC877" s="319" t="s">
        <v>190</v>
      </c>
      <c r="ID877" s="319" t="s">
        <v>190</v>
      </c>
      <c r="IE877" s="319" t="s">
        <v>190</v>
      </c>
      <c r="IF877" s="319" t="s">
        <v>190</v>
      </c>
      <c r="IG877" s="319" t="s">
        <v>190</v>
      </c>
      <c r="IH877" s="319" t="s">
        <v>190</v>
      </c>
      <c r="II877" s="319" t="s">
        <v>190</v>
      </c>
      <c r="IJ877" s="319" t="s">
        <v>173</v>
      </c>
      <c r="IK877" s="319" t="s">
        <v>173</v>
      </c>
      <c r="IL877" s="319" t="s">
        <v>173</v>
      </c>
      <c r="IM877" s="319" t="s">
        <v>173</v>
      </c>
      <c r="IN877" s="319" t="s">
        <v>173</v>
      </c>
      <c r="IO877" s="319" t="s">
        <v>173</v>
      </c>
      <c r="IP877" s="319" t="s">
        <v>173</v>
      </c>
      <c r="IQ877" s="321" t="s">
        <v>173</v>
      </c>
      <c r="IR877" s="320" t="s">
        <v>173</v>
      </c>
      <c r="IS877" s="322" t="s">
        <v>173</v>
      </c>
      <c r="IT877" s="319" t="s">
        <v>173</v>
      </c>
    </row>
    <row r="878" spans="1:254" s="271" customFormat="1" x14ac:dyDescent="0.25">
      <c r="A878" s="318" t="str">
        <f>HYPERLINK("http://www.ofsted.gov.uk/inspection-reports/find-inspection-report/provider/ELS/143106 ","Ofsted School Webpage")</f>
        <v>Ofsted School Webpage</v>
      </c>
      <c r="B878" s="319">
        <v>143106</v>
      </c>
      <c r="C878" s="319">
        <v>8856045</v>
      </c>
      <c r="D878" s="319" t="s">
        <v>2395</v>
      </c>
      <c r="E878" s="319" t="s">
        <v>168</v>
      </c>
      <c r="F878" s="319" t="s">
        <v>81</v>
      </c>
      <c r="G878" s="319" t="s">
        <v>81</v>
      </c>
      <c r="H878" s="319" t="s">
        <v>81</v>
      </c>
      <c r="I878" s="319" t="s">
        <v>78</v>
      </c>
      <c r="J878" s="319" t="s">
        <v>424</v>
      </c>
      <c r="K878" s="319" t="s">
        <v>437</v>
      </c>
      <c r="L878" s="319" t="s">
        <v>437</v>
      </c>
      <c r="M878" s="319" t="s">
        <v>483</v>
      </c>
      <c r="N878" s="319" t="s">
        <v>2962</v>
      </c>
      <c r="O878" s="319" t="s">
        <v>2396</v>
      </c>
      <c r="P878" s="319">
        <v>8</v>
      </c>
      <c r="Q878" s="319" t="s">
        <v>429</v>
      </c>
      <c r="R878" s="320">
        <v>10041368</v>
      </c>
      <c r="S878" s="321">
        <v>43144</v>
      </c>
      <c r="T878" s="321">
        <v>43146</v>
      </c>
      <c r="U878" s="321">
        <v>43181</v>
      </c>
      <c r="V878" s="319" t="s">
        <v>435</v>
      </c>
      <c r="W878" s="319" t="s">
        <v>2767</v>
      </c>
      <c r="X878" s="319">
        <v>2</v>
      </c>
      <c r="Y878" s="319" t="s">
        <v>173</v>
      </c>
      <c r="Z878" s="319" t="s">
        <v>173</v>
      </c>
      <c r="AA878" s="319" t="s">
        <v>173</v>
      </c>
      <c r="AB878" s="319">
        <v>2</v>
      </c>
      <c r="AC878" s="319" t="s">
        <v>169</v>
      </c>
      <c r="AD878" s="319" t="s">
        <v>173</v>
      </c>
      <c r="AE878" s="319" t="s">
        <v>173</v>
      </c>
      <c r="AF878" s="319" t="s">
        <v>427</v>
      </c>
      <c r="AG878" s="319" t="s">
        <v>171</v>
      </c>
      <c r="AH878" s="319" t="s">
        <v>190</v>
      </c>
      <c r="AI878" s="319" t="s">
        <v>190</v>
      </c>
      <c r="AJ878" s="319" t="s">
        <v>190</v>
      </c>
      <c r="AK878" s="319" t="s">
        <v>190</v>
      </c>
      <c r="AL878" s="319" t="s">
        <v>190</v>
      </c>
      <c r="AM878" s="319" t="s">
        <v>190</v>
      </c>
      <c r="AN878" s="319" t="s">
        <v>190</v>
      </c>
      <c r="AO878" s="319" t="s">
        <v>190</v>
      </c>
      <c r="AP878" s="319" t="s">
        <v>190</v>
      </c>
      <c r="AQ878" s="319" t="s">
        <v>190</v>
      </c>
      <c r="AR878" s="319" t="s">
        <v>190</v>
      </c>
      <c r="AS878" s="319" t="s">
        <v>190</v>
      </c>
      <c r="AT878" s="319" t="s">
        <v>190</v>
      </c>
      <c r="AU878" s="319" t="s">
        <v>190</v>
      </c>
      <c r="AV878" s="319" t="s">
        <v>190</v>
      </c>
      <c r="AW878" s="319" t="s">
        <v>190</v>
      </c>
      <c r="AX878" s="319" t="s">
        <v>428</v>
      </c>
      <c r="AY878" s="319" t="s">
        <v>190</v>
      </c>
      <c r="AZ878" s="319" t="s">
        <v>190</v>
      </c>
      <c r="BA878" s="319" t="s">
        <v>190</v>
      </c>
      <c r="BB878" s="319" t="s">
        <v>428</v>
      </c>
      <c r="BC878" s="319" t="s">
        <v>428</v>
      </c>
      <c r="BD878" s="319" t="s">
        <v>428</v>
      </c>
      <c r="BE878" s="319" t="s">
        <v>428</v>
      </c>
      <c r="BF878" s="319" t="s">
        <v>428</v>
      </c>
      <c r="BG878" s="319" t="s">
        <v>428</v>
      </c>
      <c r="BH878" s="319" t="s">
        <v>190</v>
      </c>
      <c r="BI878" s="319" t="s">
        <v>190</v>
      </c>
      <c r="BJ878" s="319" t="s">
        <v>190</v>
      </c>
      <c r="BK878" s="319" t="s">
        <v>190</v>
      </c>
      <c r="BL878" s="319" t="s">
        <v>190</v>
      </c>
      <c r="BM878" s="319" t="s">
        <v>190</v>
      </c>
      <c r="BN878" s="319" t="s">
        <v>190</v>
      </c>
      <c r="BO878" s="319" t="s">
        <v>190</v>
      </c>
      <c r="BP878" s="319" t="s">
        <v>190</v>
      </c>
      <c r="BQ878" s="319" t="s">
        <v>190</v>
      </c>
      <c r="BR878" s="319" t="s">
        <v>190</v>
      </c>
      <c r="BS878" s="319" t="s">
        <v>190</v>
      </c>
      <c r="BT878" s="319" t="s">
        <v>190</v>
      </c>
      <c r="BU878" s="319" t="s">
        <v>190</v>
      </c>
      <c r="BV878" s="319" t="s">
        <v>190</v>
      </c>
      <c r="BW878" s="319" t="s">
        <v>190</v>
      </c>
      <c r="BX878" s="319" t="s">
        <v>190</v>
      </c>
      <c r="BY878" s="319" t="s">
        <v>190</v>
      </c>
      <c r="BZ878" s="319" t="s">
        <v>190</v>
      </c>
      <c r="CA878" s="319" t="s">
        <v>190</v>
      </c>
      <c r="CB878" s="319" t="s">
        <v>190</v>
      </c>
      <c r="CC878" s="319" t="s">
        <v>190</v>
      </c>
      <c r="CD878" s="319" t="s">
        <v>190</v>
      </c>
      <c r="CE878" s="319" t="s">
        <v>190</v>
      </c>
      <c r="CF878" s="319" t="s">
        <v>190</v>
      </c>
      <c r="CG878" s="319" t="s">
        <v>190</v>
      </c>
      <c r="CH878" s="319" t="s">
        <v>190</v>
      </c>
      <c r="CI878" s="319" t="s">
        <v>190</v>
      </c>
      <c r="CJ878" s="319" t="s">
        <v>190</v>
      </c>
      <c r="CK878" s="319" t="s">
        <v>190</v>
      </c>
      <c r="CL878" s="319" t="s">
        <v>190</v>
      </c>
      <c r="CM878" s="319" t="s">
        <v>190</v>
      </c>
      <c r="CN878" s="319" t="s">
        <v>428</v>
      </c>
      <c r="CO878" s="319" t="s">
        <v>428</v>
      </c>
      <c r="CP878" s="319" t="s">
        <v>428</v>
      </c>
      <c r="CQ878" s="319" t="s">
        <v>190</v>
      </c>
      <c r="CR878" s="319" t="s">
        <v>190</v>
      </c>
      <c r="CS878" s="319" t="s">
        <v>190</v>
      </c>
      <c r="CT878" s="319" t="s">
        <v>190</v>
      </c>
      <c r="CU878" s="319" t="s">
        <v>190</v>
      </c>
      <c r="CV878" s="319" t="s">
        <v>190</v>
      </c>
      <c r="CW878" s="319" t="s">
        <v>190</v>
      </c>
      <c r="CX878" s="319" t="s">
        <v>190</v>
      </c>
      <c r="CY878" s="319" t="s">
        <v>190</v>
      </c>
      <c r="CZ878" s="319" t="s">
        <v>190</v>
      </c>
      <c r="DA878" s="319" t="s">
        <v>190</v>
      </c>
      <c r="DB878" s="319" t="s">
        <v>190</v>
      </c>
      <c r="DC878" s="319" t="s">
        <v>190</v>
      </c>
      <c r="DD878" s="319" t="s">
        <v>190</v>
      </c>
      <c r="DE878" s="319" t="s">
        <v>190</v>
      </c>
      <c r="DF878" s="319" t="s">
        <v>190</v>
      </c>
      <c r="DG878" s="319" t="s">
        <v>190</v>
      </c>
      <c r="DH878" s="319" t="s">
        <v>190</v>
      </c>
      <c r="DI878" s="319" t="s">
        <v>190</v>
      </c>
      <c r="DJ878" s="319" t="s">
        <v>190</v>
      </c>
      <c r="DK878" s="319" t="s">
        <v>190</v>
      </c>
      <c r="DL878" s="319" t="s">
        <v>190</v>
      </c>
      <c r="DM878" s="319" t="s">
        <v>428</v>
      </c>
      <c r="DN878" s="319" t="s">
        <v>428</v>
      </c>
      <c r="DO878" s="319" t="s">
        <v>190</v>
      </c>
      <c r="DP878" s="319" t="s">
        <v>428</v>
      </c>
      <c r="DQ878" s="319" t="s">
        <v>428</v>
      </c>
      <c r="DR878" s="319" t="s">
        <v>428</v>
      </c>
      <c r="DS878" s="319" t="s">
        <v>428</v>
      </c>
      <c r="DT878" s="319" t="s">
        <v>428</v>
      </c>
      <c r="DU878" s="319" t="s">
        <v>428</v>
      </c>
      <c r="DV878" s="319" t="s">
        <v>173</v>
      </c>
      <c r="DW878" s="319" t="s">
        <v>428</v>
      </c>
      <c r="DX878" s="319" t="s">
        <v>428</v>
      </c>
      <c r="DY878" s="319" t="s">
        <v>428</v>
      </c>
      <c r="DZ878" s="319" t="s">
        <v>428</v>
      </c>
      <c r="EA878" s="319" t="s">
        <v>428</v>
      </c>
      <c r="EB878" s="319" t="s">
        <v>428</v>
      </c>
      <c r="EC878" s="319" t="s">
        <v>428</v>
      </c>
      <c r="ED878" s="319" t="s">
        <v>190</v>
      </c>
      <c r="EE878" s="319" t="s">
        <v>190</v>
      </c>
      <c r="EF878" s="319" t="s">
        <v>428</v>
      </c>
      <c r="EG878" s="319" t="s">
        <v>428</v>
      </c>
      <c r="EH878" s="319" t="s">
        <v>428</v>
      </c>
      <c r="EI878" s="319" t="s">
        <v>428</v>
      </c>
      <c r="EJ878" s="319" t="s">
        <v>428</v>
      </c>
      <c r="EK878" s="319" t="s">
        <v>428</v>
      </c>
      <c r="EL878" s="319" t="s">
        <v>428</v>
      </c>
      <c r="EM878" s="319" t="s">
        <v>428</v>
      </c>
      <c r="EN878" s="319" t="s">
        <v>190</v>
      </c>
      <c r="EO878" s="319" t="s">
        <v>190</v>
      </c>
      <c r="EP878" s="319" t="s">
        <v>190</v>
      </c>
      <c r="EQ878" s="319" t="s">
        <v>190</v>
      </c>
      <c r="ER878" s="319" t="s">
        <v>190</v>
      </c>
      <c r="ES878" s="319" t="s">
        <v>190</v>
      </c>
      <c r="ET878" s="319" t="s">
        <v>190</v>
      </c>
      <c r="EU878" s="319" t="s">
        <v>190</v>
      </c>
      <c r="EV878" s="319" t="s">
        <v>190</v>
      </c>
      <c r="EW878" s="319" t="s">
        <v>190</v>
      </c>
      <c r="EX878" s="319" t="s">
        <v>190</v>
      </c>
      <c r="EY878" s="319" t="s">
        <v>190</v>
      </c>
      <c r="EZ878" s="319" t="s">
        <v>190</v>
      </c>
      <c r="FA878" s="319" t="s">
        <v>190</v>
      </c>
      <c r="FB878" s="319" t="s">
        <v>428</v>
      </c>
      <c r="FC878" s="319" t="s">
        <v>428</v>
      </c>
      <c r="FD878" s="319" t="s">
        <v>428</v>
      </c>
      <c r="FE878" s="319" t="s">
        <v>428</v>
      </c>
      <c r="FF878" s="319" t="s">
        <v>428</v>
      </c>
      <c r="FG878" s="319" t="s">
        <v>428</v>
      </c>
      <c r="FH878" s="319" t="s">
        <v>428</v>
      </c>
      <c r="FI878" s="319" t="s">
        <v>190</v>
      </c>
      <c r="FJ878" s="319" t="s">
        <v>190</v>
      </c>
      <c r="FK878" s="319" t="s">
        <v>190</v>
      </c>
      <c r="FL878" s="319" t="s">
        <v>190</v>
      </c>
      <c r="FM878" s="319" t="s">
        <v>190</v>
      </c>
      <c r="FN878" s="319" t="s">
        <v>190</v>
      </c>
      <c r="FO878" s="319" t="s">
        <v>190</v>
      </c>
      <c r="FP878" s="319" t="s">
        <v>190</v>
      </c>
      <c r="FQ878" s="319" t="s">
        <v>190</v>
      </c>
      <c r="FR878" s="319" t="s">
        <v>190</v>
      </c>
      <c r="FS878" s="319" t="s">
        <v>428</v>
      </c>
      <c r="FT878" s="319" t="s">
        <v>428</v>
      </c>
      <c r="FU878" s="319" t="s">
        <v>190</v>
      </c>
      <c r="FV878" s="319" t="s">
        <v>190</v>
      </c>
      <c r="FW878" s="319" t="s">
        <v>190</v>
      </c>
      <c r="FX878" s="319" t="s">
        <v>190</v>
      </c>
      <c r="FY878" s="319" t="s">
        <v>190</v>
      </c>
      <c r="FZ878" s="319" t="s">
        <v>190</v>
      </c>
      <c r="GA878" s="319" t="s">
        <v>190</v>
      </c>
      <c r="GB878" s="319" t="s">
        <v>190</v>
      </c>
      <c r="GC878" s="319" t="s">
        <v>190</v>
      </c>
      <c r="GD878" s="319" t="s">
        <v>190</v>
      </c>
      <c r="GE878" s="319" t="s">
        <v>190</v>
      </c>
      <c r="GF878" s="319" t="s">
        <v>190</v>
      </c>
      <c r="GG878" s="319" t="s">
        <v>190</v>
      </c>
      <c r="GH878" s="319" t="s">
        <v>190</v>
      </c>
      <c r="GI878" s="319" t="s">
        <v>190</v>
      </c>
      <c r="GJ878" s="319" t="s">
        <v>190</v>
      </c>
      <c r="GK878" s="319" t="s">
        <v>428</v>
      </c>
      <c r="GL878" s="319" t="s">
        <v>190</v>
      </c>
      <c r="GM878" s="319" t="s">
        <v>190</v>
      </c>
      <c r="GN878" s="319" t="s">
        <v>190</v>
      </c>
      <c r="GO878" s="319" t="s">
        <v>190</v>
      </c>
      <c r="GP878" s="319" t="s">
        <v>190</v>
      </c>
      <c r="GQ878" s="319" t="s">
        <v>428</v>
      </c>
      <c r="GR878" s="319" t="s">
        <v>190</v>
      </c>
      <c r="GS878" s="319" t="s">
        <v>190</v>
      </c>
      <c r="GT878" s="319" t="s">
        <v>190</v>
      </c>
      <c r="GU878" s="319" t="s">
        <v>190</v>
      </c>
      <c r="GV878" s="319" t="s">
        <v>190</v>
      </c>
      <c r="GW878" s="319" t="s">
        <v>190</v>
      </c>
      <c r="GX878" s="319" t="s">
        <v>190</v>
      </c>
      <c r="GY878" s="319" t="s">
        <v>190</v>
      </c>
      <c r="GZ878" s="319" t="s">
        <v>190</v>
      </c>
      <c r="HA878" s="319" t="s">
        <v>428</v>
      </c>
      <c r="HB878" s="319" t="s">
        <v>428</v>
      </c>
      <c r="HC878" s="319" t="s">
        <v>190</v>
      </c>
      <c r="HD878" s="319" t="s">
        <v>190</v>
      </c>
      <c r="HE878" s="319" t="s">
        <v>190</v>
      </c>
      <c r="HF878" s="319" t="s">
        <v>190</v>
      </c>
      <c r="HG878" s="319" t="s">
        <v>190</v>
      </c>
      <c r="HH878" s="319" t="s">
        <v>190</v>
      </c>
      <c r="HI878" s="319" t="s">
        <v>190</v>
      </c>
      <c r="HJ878" s="319" t="s">
        <v>190</v>
      </c>
      <c r="HK878" s="319" t="s">
        <v>428</v>
      </c>
      <c r="HL878" s="319" t="s">
        <v>428</v>
      </c>
      <c r="HM878" s="319" t="s">
        <v>428</v>
      </c>
      <c r="HN878" s="319" t="s">
        <v>428</v>
      </c>
      <c r="HO878" s="319" t="s">
        <v>428</v>
      </c>
      <c r="HP878" s="319" t="s">
        <v>190</v>
      </c>
      <c r="HQ878" s="319" t="s">
        <v>190</v>
      </c>
      <c r="HR878" s="319" t="s">
        <v>190</v>
      </c>
      <c r="HS878" s="319" t="s">
        <v>190</v>
      </c>
      <c r="HT878" s="319" t="s">
        <v>190</v>
      </c>
      <c r="HU878" s="319" t="s">
        <v>190</v>
      </c>
      <c r="HV878" s="319" t="s">
        <v>190</v>
      </c>
      <c r="HW878" s="319" t="s">
        <v>190</v>
      </c>
      <c r="HX878" s="319" t="s">
        <v>190</v>
      </c>
      <c r="HY878" s="319" t="s">
        <v>190</v>
      </c>
      <c r="HZ878" s="319" t="s">
        <v>190</v>
      </c>
      <c r="IA878" s="319" t="s">
        <v>190</v>
      </c>
      <c r="IB878" s="319" t="s">
        <v>190</v>
      </c>
      <c r="IC878" s="319" t="s">
        <v>190</v>
      </c>
      <c r="ID878" s="319" t="s">
        <v>190</v>
      </c>
      <c r="IE878" s="319" t="s">
        <v>190</v>
      </c>
      <c r="IF878" s="319" t="s">
        <v>190</v>
      </c>
      <c r="IG878" s="319" t="s">
        <v>190</v>
      </c>
      <c r="IH878" s="319" t="s">
        <v>190</v>
      </c>
      <c r="II878" s="319" t="s">
        <v>190</v>
      </c>
      <c r="IJ878" s="319" t="s">
        <v>173</v>
      </c>
      <c r="IK878" s="319" t="s">
        <v>173</v>
      </c>
      <c r="IL878" s="319" t="s">
        <v>173</v>
      </c>
      <c r="IM878" s="319" t="s">
        <v>173</v>
      </c>
      <c r="IN878" s="319" t="s">
        <v>173</v>
      </c>
      <c r="IO878" s="319" t="s">
        <v>173</v>
      </c>
      <c r="IP878" s="319" t="s">
        <v>173</v>
      </c>
      <c r="IQ878" s="321" t="s">
        <v>173</v>
      </c>
      <c r="IR878" s="320" t="s">
        <v>173</v>
      </c>
      <c r="IS878" s="322" t="s">
        <v>173</v>
      </c>
      <c r="IT878" s="319" t="s">
        <v>173</v>
      </c>
    </row>
    <row r="879" spans="1:254" s="271" customFormat="1" x14ac:dyDescent="0.25">
      <c r="A879" s="318" t="str">
        <f>HYPERLINK("http://www.ofsted.gov.uk/inspection-reports/find-inspection-report/provider/ELS/143174 ","Ofsted School Webpage")</f>
        <v>Ofsted School Webpage</v>
      </c>
      <c r="B879" s="319">
        <v>143174</v>
      </c>
      <c r="C879" s="319">
        <v>3306031</v>
      </c>
      <c r="D879" s="319" t="s">
        <v>1095</v>
      </c>
      <c r="E879" s="319" t="s">
        <v>167</v>
      </c>
      <c r="F879" s="319" t="s">
        <v>81</v>
      </c>
      <c r="G879" s="319" t="s">
        <v>81</v>
      </c>
      <c r="H879" s="319" t="s">
        <v>81</v>
      </c>
      <c r="I879" s="319" t="s">
        <v>78</v>
      </c>
      <c r="J879" s="319" t="s">
        <v>424</v>
      </c>
      <c r="K879" s="319" t="s">
        <v>437</v>
      </c>
      <c r="L879" s="319" t="s">
        <v>437</v>
      </c>
      <c r="M879" s="319" t="s">
        <v>813</v>
      </c>
      <c r="N879" s="319" t="s">
        <v>2858</v>
      </c>
      <c r="O879" s="319" t="s">
        <v>3543</v>
      </c>
      <c r="P879" s="319">
        <v>10</v>
      </c>
      <c r="Q879" s="319" t="s">
        <v>2776</v>
      </c>
      <c r="R879" s="320">
        <v>10093011</v>
      </c>
      <c r="S879" s="321">
        <v>43641</v>
      </c>
      <c r="T879" s="321">
        <v>43643</v>
      </c>
      <c r="U879" s="321">
        <v>43732</v>
      </c>
      <c r="V879" s="319" t="s">
        <v>425</v>
      </c>
      <c r="W879" s="319" t="s">
        <v>2767</v>
      </c>
      <c r="X879" s="319">
        <v>3</v>
      </c>
      <c r="Y879" s="319" t="s">
        <v>173</v>
      </c>
      <c r="Z879" s="319" t="s">
        <v>173</v>
      </c>
      <c r="AA879" s="319" t="s">
        <v>173</v>
      </c>
      <c r="AB879" s="319">
        <v>3</v>
      </c>
      <c r="AC879" s="319" t="s">
        <v>169</v>
      </c>
      <c r="AD879" s="319" t="s">
        <v>173</v>
      </c>
      <c r="AE879" s="319" t="s">
        <v>173</v>
      </c>
      <c r="AF879" s="319" t="s">
        <v>447</v>
      </c>
      <c r="AG879" s="319" t="s">
        <v>171</v>
      </c>
      <c r="AH879" s="319" t="s">
        <v>190</v>
      </c>
      <c r="AI879" s="319" t="s">
        <v>190</v>
      </c>
      <c r="AJ879" s="319" t="s">
        <v>190</v>
      </c>
      <c r="AK879" s="319" t="s">
        <v>190</v>
      </c>
      <c r="AL879" s="319" t="s">
        <v>190</v>
      </c>
      <c r="AM879" s="319" t="s">
        <v>190</v>
      </c>
      <c r="AN879" s="319" t="s">
        <v>190</v>
      </c>
      <c r="AO879" s="319" t="s">
        <v>190</v>
      </c>
      <c r="AP879" s="319" t="s">
        <v>190</v>
      </c>
      <c r="AQ879" s="319" t="s">
        <v>190</v>
      </c>
      <c r="AR879" s="319" t="s">
        <v>190</v>
      </c>
      <c r="AS879" s="319" t="s">
        <v>190</v>
      </c>
      <c r="AT879" s="319" t="s">
        <v>190</v>
      </c>
      <c r="AU879" s="319" t="s">
        <v>190</v>
      </c>
      <c r="AV879" s="319" t="s">
        <v>190</v>
      </c>
      <c r="AW879" s="319" t="s">
        <v>190</v>
      </c>
      <c r="AX879" s="319" t="s">
        <v>428</v>
      </c>
      <c r="AY879" s="319" t="s">
        <v>190</v>
      </c>
      <c r="AZ879" s="319" t="s">
        <v>190</v>
      </c>
      <c r="BA879" s="319" t="s">
        <v>190</v>
      </c>
      <c r="BB879" s="319" t="s">
        <v>190</v>
      </c>
      <c r="BC879" s="319" t="s">
        <v>190</v>
      </c>
      <c r="BD879" s="319" t="s">
        <v>190</v>
      </c>
      <c r="BE879" s="319" t="s">
        <v>190</v>
      </c>
      <c r="BF879" s="319" t="s">
        <v>428</v>
      </c>
      <c r="BG879" s="319" t="s">
        <v>190</v>
      </c>
      <c r="BH879" s="319" t="s">
        <v>190</v>
      </c>
      <c r="BI879" s="319" t="s">
        <v>190</v>
      </c>
      <c r="BJ879" s="319" t="s">
        <v>190</v>
      </c>
      <c r="BK879" s="319" t="s">
        <v>190</v>
      </c>
      <c r="BL879" s="319" t="s">
        <v>190</v>
      </c>
      <c r="BM879" s="319" t="s">
        <v>190</v>
      </c>
      <c r="BN879" s="319" t="s">
        <v>190</v>
      </c>
      <c r="BO879" s="319" t="s">
        <v>190</v>
      </c>
      <c r="BP879" s="319" t="s">
        <v>190</v>
      </c>
      <c r="BQ879" s="319" t="s">
        <v>190</v>
      </c>
      <c r="BR879" s="319" t="s">
        <v>190</v>
      </c>
      <c r="BS879" s="319" t="s">
        <v>190</v>
      </c>
      <c r="BT879" s="319" t="s">
        <v>190</v>
      </c>
      <c r="BU879" s="319" t="s">
        <v>190</v>
      </c>
      <c r="BV879" s="319" t="s">
        <v>190</v>
      </c>
      <c r="BW879" s="319" t="s">
        <v>190</v>
      </c>
      <c r="BX879" s="319" t="s">
        <v>190</v>
      </c>
      <c r="BY879" s="319" t="s">
        <v>190</v>
      </c>
      <c r="BZ879" s="319" t="s">
        <v>190</v>
      </c>
      <c r="CA879" s="319" t="s">
        <v>190</v>
      </c>
      <c r="CB879" s="319" t="s">
        <v>190</v>
      </c>
      <c r="CC879" s="319" t="s">
        <v>190</v>
      </c>
      <c r="CD879" s="319" t="s">
        <v>190</v>
      </c>
      <c r="CE879" s="319" t="s">
        <v>190</v>
      </c>
      <c r="CF879" s="319" t="s">
        <v>190</v>
      </c>
      <c r="CG879" s="319" t="s">
        <v>190</v>
      </c>
      <c r="CH879" s="319" t="s">
        <v>190</v>
      </c>
      <c r="CI879" s="319" t="s">
        <v>190</v>
      </c>
      <c r="CJ879" s="319" t="s">
        <v>190</v>
      </c>
      <c r="CK879" s="319" t="s">
        <v>190</v>
      </c>
      <c r="CL879" s="319" t="s">
        <v>190</v>
      </c>
      <c r="CM879" s="319" t="s">
        <v>190</v>
      </c>
      <c r="CN879" s="319" t="s">
        <v>428</v>
      </c>
      <c r="CO879" s="319" t="s">
        <v>428</v>
      </c>
      <c r="CP879" s="319" t="s">
        <v>428</v>
      </c>
      <c r="CQ879" s="319" t="s">
        <v>190</v>
      </c>
      <c r="CR879" s="319" t="s">
        <v>190</v>
      </c>
      <c r="CS879" s="319" t="s">
        <v>190</v>
      </c>
      <c r="CT879" s="319" t="s">
        <v>190</v>
      </c>
      <c r="CU879" s="319" t="s">
        <v>190</v>
      </c>
      <c r="CV879" s="319" t="s">
        <v>190</v>
      </c>
      <c r="CW879" s="319" t="s">
        <v>190</v>
      </c>
      <c r="CX879" s="319" t="s">
        <v>190</v>
      </c>
      <c r="CY879" s="319" t="s">
        <v>190</v>
      </c>
      <c r="CZ879" s="319" t="s">
        <v>190</v>
      </c>
      <c r="DA879" s="319" t="s">
        <v>190</v>
      </c>
      <c r="DB879" s="319" t="s">
        <v>190</v>
      </c>
      <c r="DC879" s="319" t="s">
        <v>190</v>
      </c>
      <c r="DD879" s="319" t="s">
        <v>190</v>
      </c>
      <c r="DE879" s="319" t="s">
        <v>190</v>
      </c>
      <c r="DF879" s="319" t="s">
        <v>190</v>
      </c>
      <c r="DG879" s="319" t="s">
        <v>190</v>
      </c>
      <c r="DH879" s="319" t="s">
        <v>190</v>
      </c>
      <c r="DI879" s="319" t="s">
        <v>190</v>
      </c>
      <c r="DJ879" s="319" t="s">
        <v>190</v>
      </c>
      <c r="DK879" s="319" t="s">
        <v>190</v>
      </c>
      <c r="DL879" s="319" t="s">
        <v>190</v>
      </c>
      <c r="DM879" s="319" t="s">
        <v>190</v>
      </c>
      <c r="DN879" s="319" t="s">
        <v>428</v>
      </c>
      <c r="DO879" s="319" t="s">
        <v>190</v>
      </c>
      <c r="DP879" s="319" t="s">
        <v>428</v>
      </c>
      <c r="DQ879" s="319" t="s">
        <v>428</v>
      </c>
      <c r="DR879" s="319" t="s">
        <v>428</v>
      </c>
      <c r="DS879" s="319" t="s">
        <v>428</v>
      </c>
      <c r="DT879" s="319" t="s">
        <v>428</v>
      </c>
      <c r="DU879" s="319" t="s">
        <v>428</v>
      </c>
      <c r="DV879" s="319" t="s">
        <v>173</v>
      </c>
      <c r="DW879" s="319" t="s">
        <v>428</v>
      </c>
      <c r="DX879" s="319" t="s">
        <v>428</v>
      </c>
      <c r="DY879" s="319" t="s">
        <v>428</v>
      </c>
      <c r="DZ879" s="319" t="s">
        <v>428</v>
      </c>
      <c r="EA879" s="319" t="s">
        <v>428</v>
      </c>
      <c r="EB879" s="319" t="s">
        <v>428</v>
      </c>
      <c r="EC879" s="319" t="s">
        <v>428</v>
      </c>
      <c r="ED879" s="319" t="s">
        <v>428</v>
      </c>
      <c r="EE879" s="319" t="s">
        <v>190</v>
      </c>
      <c r="EF879" s="319" t="s">
        <v>190</v>
      </c>
      <c r="EG879" s="319" t="s">
        <v>190</v>
      </c>
      <c r="EH879" s="319" t="s">
        <v>190</v>
      </c>
      <c r="EI879" s="319" t="s">
        <v>190</v>
      </c>
      <c r="EJ879" s="319" t="s">
        <v>190</v>
      </c>
      <c r="EK879" s="319" t="s">
        <v>190</v>
      </c>
      <c r="EL879" s="319" t="s">
        <v>190</v>
      </c>
      <c r="EM879" s="319" t="s">
        <v>190</v>
      </c>
      <c r="EN879" s="319" t="s">
        <v>190</v>
      </c>
      <c r="EO879" s="319" t="s">
        <v>190</v>
      </c>
      <c r="EP879" s="319" t="s">
        <v>190</v>
      </c>
      <c r="EQ879" s="319" t="s">
        <v>190</v>
      </c>
      <c r="ER879" s="319" t="s">
        <v>190</v>
      </c>
      <c r="ES879" s="319" t="s">
        <v>190</v>
      </c>
      <c r="ET879" s="319" t="s">
        <v>190</v>
      </c>
      <c r="EU879" s="319" t="s">
        <v>190</v>
      </c>
      <c r="EV879" s="319" t="s">
        <v>190</v>
      </c>
      <c r="EW879" s="319" t="s">
        <v>190</v>
      </c>
      <c r="EX879" s="319" t="s">
        <v>190</v>
      </c>
      <c r="EY879" s="319" t="s">
        <v>190</v>
      </c>
      <c r="EZ879" s="319" t="s">
        <v>190</v>
      </c>
      <c r="FA879" s="319" t="s">
        <v>428</v>
      </c>
      <c r="FB879" s="319" t="s">
        <v>428</v>
      </c>
      <c r="FC879" s="319" t="s">
        <v>428</v>
      </c>
      <c r="FD879" s="319" t="s">
        <v>428</v>
      </c>
      <c r="FE879" s="319" t="s">
        <v>428</v>
      </c>
      <c r="FF879" s="319" t="s">
        <v>428</v>
      </c>
      <c r="FG879" s="319" t="s">
        <v>428</v>
      </c>
      <c r="FH879" s="319" t="s">
        <v>190</v>
      </c>
      <c r="FI879" s="319" t="s">
        <v>428</v>
      </c>
      <c r="FJ879" s="319" t="s">
        <v>429</v>
      </c>
      <c r="FK879" s="319" t="s">
        <v>428</v>
      </c>
      <c r="FL879" s="319" t="s">
        <v>190</v>
      </c>
      <c r="FM879" s="319" t="s">
        <v>190</v>
      </c>
      <c r="FN879" s="319" t="s">
        <v>190</v>
      </c>
      <c r="FO879" s="319" t="s">
        <v>190</v>
      </c>
      <c r="FP879" s="319" t="s">
        <v>190</v>
      </c>
      <c r="FQ879" s="319" t="s">
        <v>190</v>
      </c>
      <c r="FR879" s="319" t="s">
        <v>190</v>
      </c>
      <c r="FS879" s="319" t="s">
        <v>428</v>
      </c>
      <c r="FT879" s="319" t="s">
        <v>190</v>
      </c>
      <c r="FU879" s="319" t="s">
        <v>190</v>
      </c>
      <c r="FV879" s="319" t="s">
        <v>190</v>
      </c>
      <c r="FW879" s="319" t="s">
        <v>190</v>
      </c>
      <c r="FX879" s="319" t="s">
        <v>190</v>
      </c>
      <c r="FY879" s="319" t="s">
        <v>190</v>
      </c>
      <c r="FZ879" s="319" t="s">
        <v>190</v>
      </c>
      <c r="GA879" s="319" t="s">
        <v>190</v>
      </c>
      <c r="GB879" s="319" t="s">
        <v>190</v>
      </c>
      <c r="GC879" s="319" t="s">
        <v>190</v>
      </c>
      <c r="GD879" s="319" t="s">
        <v>190</v>
      </c>
      <c r="GE879" s="319" t="s">
        <v>190</v>
      </c>
      <c r="GF879" s="319" t="s">
        <v>190</v>
      </c>
      <c r="GG879" s="319" t="s">
        <v>190</v>
      </c>
      <c r="GH879" s="319" t="s">
        <v>190</v>
      </c>
      <c r="GI879" s="319" t="s">
        <v>190</v>
      </c>
      <c r="GJ879" s="319" t="s">
        <v>190</v>
      </c>
      <c r="GK879" s="319" t="s">
        <v>428</v>
      </c>
      <c r="GL879" s="319" t="s">
        <v>190</v>
      </c>
      <c r="GM879" s="319" t="s">
        <v>190</v>
      </c>
      <c r="GN879" s="319" t="s">
        <v>190</v>
      </c>
      <c r="GO879" s="319" t="s">
        <v>190</v>
      </c>
      <c r="GP879" s="319" t="s">
        <v>190</v>
      </c>
      <c r="GQ879" s="319" t="s">
        <v>428</v>
      </c>
      <c r="GR879" s="319" t="s">
        <v>190</v>
      </c>
      <c r="GS879" s="319" t="s">
        <v>190</v>
      </c>
      <c r="GT879" s="319" t="s">
        <v>190</v>
      </c>
      <c r="GU879" s="319" t="s">
        <v>190</v>
      </c>
      <c r="GV879" s="319" t="s">
        <v>190</v>
      </c>
      <c r="GW879" s="319" t="s">
        <v>190</v>
      </c>
      <c r="GX879" s="319" t="s">
        <v>190</v>
      </c>
      <c r="GY879" s="319" t="s">
        <v>190</v>
      </c>
      <c r="GZ879" s="319" t="s">
        <v>190</v>
      </c>
      <c r="HA879" s="319" t="s">
        <v>190</v>
      </c>
      <c r="HB879" s="319" t="s">
        <v>190</v>
      </c>
      <c r="HC879" s="319" t="s">
        <v>190</v>
      </c>
      <c r="HD879" s="319" t="s">
        <v>190</v>
      </c>
      <c r="HE879" s="319" t="s">
        <v>190</v>
      </c>
      <c r="HF879" s="319" t="s">
        <v>190</v>
      </c>
      <c r="HG879" s="319" t="s">
        <v>190</v>
      </c>
      <c r="HH879" s="319" t="s">
        <v>190</v>
      </c>
      <c r="HI879" s="319" t="s">
        <v>190</v>
      </c>
      <c r="HJ879" s="319" t="s">
        <v>190</v>
      </c>
      <c r="HK879" s="319" t="s">
        <v>190</v>
      </c>
      <c r="HL879" s="319" t="s">
        <v>190</v>
      </c>
      <c r="HM879" s="319" t="s">
        <v>190</v>
      </c>
      <c r="HN879" s="319" t="s">
        <v>190</v>
      </c>
      <c r="HO879" s="319" t="s">
        <v>190</v>
      </c>
      <c r="HP879" s="319" t="s">
        <v>190</v>
      </c>
      <c r="HQ879" s="319" t="s">
        <v>190</v>
      </c>
      <c r="HR879" s="319" t="s">
        <v>190</v>
      </c>
      <c r="HS879" s="319" t="s">
        <v>190</v>
      </c>
      <c r="HT879" s="319" t="s">
        <v>190</v>
      </c>
      <c r="HU879" s="319" t="s">
        <v>190</v>
      </c>
      <c r="HV879" s="319" t="s">
        <v>190</v>
      </c>
      <c r="HW879" s="319" t="s">
        <v>190</v>
      </c>
      <c r="HX879" s="319" t="s">
        <v>190</v>
      </c>
      <c r="HY879" s="319" t="s">
        <v>190</v>
      </c>
      <c r="HZ879" s="319" t="s">
        <v>190</v>
      </c>
      <c r="IA879" s="319" t="s">
        <v>190</v>
      </c>
      <c r="IB879" s="319" t="s">
        <v>190</v>
      </c>
      <c r="IC879" s="319" t="s">
        <v>190</v>
      </c>
      <c r="ID879" s="319" t="s">
        <v>190</v>
      </c>
      <c r="IE879" s="319" t="s">
        <v>190</v>
      </c>
      <c r="IF879" s="319" t="s">
        <v>190</v>
      </c>
      <c r="IG879" s="319" t="s">
        <v>190</v>
      </c>
      <c r="IH879" s="319" t="s">
        <v>190</v>
      </c>
      <c r="II879" s="319" t="s">
        <v>190</v>
      </c>
      <c r="IJ879" s="319">
        <v>10039277</v>
      </c>
      <c r="IK879" s="321">
        <v>43060</v>
      </c>
      <c r="IL879" s="321">
        <v>43062</v>
      </c>
      <c r="IM879" s="321">
        <v>43137</v>
      </c>
      <c r="IN879" s="319">
        <v>4</v>
      </c>
      <c r="IO879" s="319" t="s">
        <v>173</v>
      </c>
      <c r="IP879" s="319" t="s">
        <v>173</v>
      </c>
      <c r="IQ879" s="321" t="s">
        <v>173</v>
      </c>
      <c r="IR879" s="320" t="s">
        <v>173</v>
      </c>
      <c r="IS879" s="322" t="s">
        <v>173</v>
      </c>
      <c r="IT879" s="319" t="s">
        <v>173</v>
      </c>
    </row>
    <row r="880" spans="1:254" s="271" customFormat="1" x14ac:dyDescent="0.25">
      <c r="A880" s="318" t="str">
        <f>HYPERLINK("http://www.ofsted.gov.uk/inspection-reports/find-inspection-report/provider/ELS/143400 ","Ofsted School Webpage")</f>
        <v>Ofsted School Webpage</v>
      </c>
      <c r="B880" s="319">
        <v>143400</v>
      </c>
      <c r="C880" s="319">
        <v>9386002</v>
      </c>
      <c r="D880" s="319" t="s">
        <v>2397</v>
      </c>
      <c r="E880" s="319" t="s">
        <v>168</v>
      </c>
      <c r="F880" s="319" t="s">
        <v>81</v>
      </c>
      <c r="G880" s="319" t="s">
        <v>81</v>
      </c>
      <c r="H880" s="319" t="s">
        <v>81</v>
      </c>
      <c r="I880" s="319" t="s">
        <v>78</v>
      </c>
      <c r="J880" s="319" t="s">
        <v>424</v>
      </c>
      <c r="K880" s="319" t="s">
        <v>514</v>
      </c>
      <c r="L880" s="319" t="s">
        <v>514</v>
      </c>
      <c r="M880" s="319" t="s">
        <v>737</v>
      </c>
      <c r="N880" s="319" t="s">
        <v>3051</v>
      </c>
      <c r="O880" s="319" t="s">
        <v>2398</v>
      </c>
      <c r="P880" s="319">
        <v>16</v>
      </c>
      <c r="Q880" s="319" t="s">
        <v>429</v>
      </c>
      <c r="R880" s="320">
        <v>10044148</v>
      </c>
      <c r="S880" s="321">
        <v>43235</v>
      </c>
      <c r="T880" s="321">
        <v>43237</v>
      </c>
      <c r="U880" s="321">
        <v>43269</v>
      </c>
      <c r="V880" s="319" t="s">
        <v>435</v>
      </c>
      <c r="W880" s="319" t="s">
        <v>2767</v>
      </c>
      <c r="X880" s="319">
        <v>2</v>
      </c>
      <c r="Y880" s="319" t="s">
        <v>173</v>
      </c>
      <c r="Z880" s="319" t="s">
        <v>173</v>
      </c>
      <c r="AA880" s="319" t="s">
        <v>173</v>
      </c>
      <c r="AB880" s="319">
        <v>2</v>
      </c>
      <c r="AC880" s="319" t="s">
        <v>169</v>
      </c>
      <c r="AD880" s="319" t="s">
        <v>173</v>
      </c>
      <c r="AE880" s="319" t="s">
        <v>173</v>
      </c>
      <c r="AF880" s="319" t="s">
        <v>427</v>
      </c>
      <c r="AG880" s="319" t="s">
        <v>171</v>
      </c>
      <c r="AH880" s="319" t="s">
        <v>190</v>
      </c>
      <c r="AI880" s="319" t="s">
        <v>190</v>
      </c>
      <c r="AJ880" s="319" t="s">
        <v>190</v>
      </c>
      <c r="AK880" s="319" t="s">
        <v>190</v>
      </c>
      <c r="AL880" s="319" t="s">
        <v>190</v>
      </c>
      <c r="AM880" s="319" t="s">
        <v>190</v>
      </c>
      <c r="AN880" s="319" t="s">
        <v>190</v>
      </c>
      <c r="AO880" s="319" t="s">
        <v>190</v>
      </c>
      <c r="AP880" s="319" t="s">
        <v>190</v>
      </c>
      <c r="AQ880" s="319" t="s">
        <v>190</v>
      </c>
      <c r="AR880" s="319" t="s">
        <v>190</v>
      </c>
      <c r="AS880" s="319" t="s">
        <v>190</v>
      </c>
      <c r="AT880" s="319" t="s">
        <v>190</v>
      </c>
      <c r="AU880" s="319" t="s">
        <v>190</v>
      </c>
      <c r="AV880" s="319" t="s">
        <v>190</v>
      </c>
      <c r="AW880" s="319" t="s">
        <v>190</v>
      </c>
      <c r="AX880" s="319" t="s">
        <v>428</v>
      </c>
      <c r="AY880" s="319" t="s">
        <v>190</v>
      </c>
      <c r="AZ880" s="319" t="s">
        <v>190</v>
      </c>
      <c r="BA880" s="319" t="s">
        <v>190</v>
      </c>
      <c r="BB880" s="319" t="s">
        <v>190</v>
      </c>
      <c r="BC880" s="319" t="s">
        <v>190</v>
      </c>
      <c r="BD880" s="319" t="s">
        <v>190</v>
      </c>
      <c r="BE880" s="319" t="s">
        <v>190</v>
      </c>
      <c r="BF880" s="319" t="s">
        <v>428</v>
      </c>
      <c r="BG880" s="319" t="s">
        <v>190</v>
      </c>
      <c r="BH880" s="319" t="s">
        <v>190</v>
      </c>
      <c r="BI880" s="319" t="s">
        <v>190</v>
      </c>
      <c r="BJ880" s="319" t="s">
        <v>190</v>
      </c>
      <c r="BK880" s="319" t="s">
        <v>190</v>
      </c>
      <c r="BL880" s="319" t="s">
        <v>190</v>
      </c>
      <c r="BM880" s="319" t="s">
        <v>190</v>
      </c>
      <c r="BN880" s="319" t="s">
        <v>190</v>
      </c>
      <c r="BO880" s="319" t="s">
        <v>190</v>
      </c>
      <c r="BP880" s="319" t="s">
        <v>190</v>
      </c>
      <c r="BQ880" s="319" t="s">
        <v>190</v>
      </c>
      <c r="BR880" s="319" t="s">
        <v>190</v>
      </c>
      <c r="BS880" s="319" t="s">
        <v>190</v>
      </c>
      <c r="BT880" s="319" t="s">
        <v>190</v>
      </c>
      <c r="BU880" s="319" t="s">
        <v>190</v>
      </c>
      <c r="BV880" s="319" t="s">
        <v>190</v>
      </c>
      <c r="BW880" s="319" t="s">
        <v>190</v>
      </c>
      <c r="BX880" s="319" t="s">
        <v>190</v>
      </c>
      <c r="BY880" s="319" t="s">
        <v>190</v>
      </c>
      <c r="BZ880" s="319" t="s">
        <v>190</v>
      </c>
      <c r="CA880" s="319" t="s">
        <v>190</v>
      </c>
      <c r="CB880" s="319" t="s">
        <v>190</v>
      </c>
      <c r="CC880" s="319" t="s">
        <v>190</v>
      </c>
      <c r="CD880" s="319" t="s">
        <v>190</v>
      </c>
      <c r="CE880" s="319" t="s">
        <v>190</v>
      </c>
      <c r="CF880" s="319" t="s">
        <v>190</v>
      </c>
      <c r="CG880" s="319" t="s">
        <v>190</v>
      </c>
      <c r="CH880" s="319" t="s">
        <v>190</v>
      </c>
      <c r="CI880" s="319" t="s">
        <v>190</v>
      </c>
      <c r="CJ880" s="319" t="s">
        <v>190</v>
      </c>
      <c r="CK880" s="319" t="s">
        <v>190</v>
      </c>
      <c r="CL880" s="319" t="s">
        <v>190</v>
      </c>
      <c r="CM880" s="319" t="s">
        <v>190</v>
      </c>
      <c r="CN880" s="319" t="s">
        <v>190</v>
      </c>
      <c r="CO880" s="319" t="s">
        <v>428</v>
      </c>
      <c r="CP880" s="319" t="s">
        <v>428</v>
      </c>
      <c r="CQ880" s="319" t="s">
        <v>190</v>
      </c>
      <c r="CR880" s="319" t="s">
        <v>190</v>
      </c>
      <c r="CS880" s="319" t="s">
        <v>190</v>
      </c>
      <c r="CT880" s="319" t="s">
        <v>190</v>
      </c>
      <c r="CU880" s="319" t="s">
        <v>190</v>
      </c>
      <c r="CV880" s="319" t="s">
        <v>190</v>
      </c>
      <c r="CW880" s="319" t="s">
        <v>190</v>
      </c>
      <c r="CX880" s="319" t="s">
        <v>190</v>
      </c>
      <c r="CY880" s="319" t="s">
        <v>190</v>
      </c>
      <c r="CZ880" s="319" t="s">
        <v>190</v>
      </c>
      <c r="DA880" s="319" t="s">
        <v>190</v>
      </c>
      <c r="DB880" s="319" t="s">
        <v>190</v>
      </c>
      <c r="DC880" s="319" t="s">
        <v>190</v>
      </c>
      <c r="DD880" s="319" t="s">
        <v>190</v>
      </c>
      <c r="DE880" s="319" t="s">
        <v>190</v>
      </c>
      <c r="DF880" s="319" t="s">
        <v>190</v>
      </c>
      <c r="DG880" s="319" t="s">
        <v>190</v>
      </c>
      <c r="DH880" s="319" t="s">
        <v>190</v>
      </c>
      <c r="DI880" s="319" t="s">
        <v>190</v>
      </c>
      <c r="DJ880" s="319" t="s">
        <v>190</v>
      </c>
      <c r="DK880" s="319" t="s">
        <v>190</v>
      </c>
      <c r="DL880" s="319" t="s">
        <v>190</v>
      </c>
      <c r="DM880" s="319" t="s">
        <v>190</v>
      </c>
      <c r="DN880" s="319" t="s">
        <v>428</v>
      </c>
      <c r="DO880" s="319" t="s">
        <v>190</v>
      </c>
      <c r="DP880" s="319" t="s">
        <v>190</v>
      </c>
      <c r="DQ880" s="319" t="s">
        <v>190</v>
      </c>
      <c r="DR880" s="319" t="s">
        <v>190</v>
      </c>
      <c r="DS880" s="319" t="s">
        <v>190</v>
      </c>
      <c r="DT880" s="319" t="s">
        <v>190</v>
      </c>
      <c r="DU880" s="319" t="s">
        <v>190</v>
      </c>
      <c r="DV880" s="319" t="s">
        <v>173</v>
      </c>
      <c r="DW880" s="319" t="s">
        <v>190</v>
      </c>
      <c r="DX880" s="319" t="s">
        <v>190</v>
      </c>
      <c r="DY880" s="319" t="s">
        <v>190</v>
      </c>
      <c r="DZ880" s="319" t="s">
        <v>190</v>
      </c>
      <c r="EA880" s="319" t="s">
        <v>190</v>
      </c>
      <c r="EB880" s="319" t="s">
        <v>190</v>
      </c>
      <c r="EC880" s="319" t="s">
        <v>428</v>
      </c>
      <c r="ED880" s="319" t="s">
        <v>190</v>
      </c>
      <c r="EE880" s="319" t="s">
        <v>190</v>
      </c>
      <c r="EF880" s="319" t="s">
        <v>190</v>
      </c>
      <c r="EG880" s="319" t="s">
        <v>190</v>
      </c>
      <c r="EH880" s="319" t="s">
        <v>190</v>
      </c>
      <c r="EI880" s="319" t="s">
        <v>190</v>
      </c>
      <c r="EJ880" s="319" t="s">
        <v>190</v>
      </c>
      <c r="EK880" s="319" t="s">
        <v>190</v>
      </c>
      <c r="EL880" s="319" t="s">
        <v>190</v>
      </c>
      <c r="EM880" s="319" t="s">
        <v>190</v>
      </c>
      <c r="EN880" s="319" t="s">
        <v>190</v>
      </c>
      <c r="EO880" s="319" t="s">
        <v>190</v>
      </c>
      <c r="EP880" s="319" t="s">
        <v>190</v>
      </c>
      <c r="EQ880" s="319" t="s">
        <v>190</v>
      </c>
      <c r="ER880" s="319" t="s">
        <v>190</v>
      </c>
      <c r="ES880" s="319" t="s">
        <v>190</v>
      </c>
      <c r="ET880" s="319" t="s">
        <v>190</v>
      </c>
      <c r="EU880" s="319" t="s">
        <v>190</v>
      </c>
      <c r="EV880" s="319" t="s">
        <v>190</v>
      </c>
      <c r="EW880" s="319" t="s">
        <v>190</v>
      </c>
      <c r="EX880" s="319" t="s">
        <v>190</v>
      </c>
      <c r="EY880" s="319" t="s">
        <v>190</v>
      </c>
      <c r="EZ880" s="319" t="s">
        <v>190</v>
      </c>
      <c r="FA880" s="319" t="s">
        <v>190</v>
      </c>
      <c r="FB880" s="319" t="s">
        <v>190</v>
      </c>
      <c r="FC880" s="319" t="s">
        <v>190</v>
      </c>
      <c r="FD880" s="319" t="s">
        <v>190</v>
      </c>
      <c r="FE880" s="319" t="s">
        <v>190</v>
      </c>
      <c r="FF880" s="319" t="s">
        <v>190</v>
      </c>
      <c r="FG880" s="319" t="s">
        <v>190</v>
      </c>
      <c r="FH880" s="319" t="s">
        <v>190</v>
      </c>
      <c r="FI880" s="319" t="s">
        <v>190</v>
      </c>
      <c r="FJ880" s="319" t="s">
        <v>190</v>
      </c>
      <c r="FK880" s="319" t="s">
        <v>190</v>
      </c>
      <c r="FL880" s="319" t="s">
        <v>190</v>
      </c>
      <c r="FM880" s="319" t="s">
        <v>190</v>
      </c>
      <c r="FN880" s="319" t="s">
        <v>190</v>
      </c>
      <c r="FO880" s="319" t="s">
        <v>190</v>
      </c>
      <c r="FP880" s="319" t="s">
        <v>190</v>
      </c>
      <c r="FQ880" s="319" t="s">
        <v>190</v>
      </c>
      <c r="FR880" s="319" t="s">
        <v>190</v>
      </c>
      <c r="FS880" s="319" t="s">
        <v>428</v>
      </c>
      <c r="FT880" s="319" t="s">
        <v>190</v>
      </c>
      <c r="FU880" s="319" t="s">
        <v>190</v>
      </c>
      <c r="FV880" s="319" t="s">
        <v>190</v>
      </c>
      <c r="FW880" s="319" t="s">
        <v>190</v>
      </c>
      <c r="FX880" s="319" t="s">
        <v>190</v>
      </c>
      <c r="FY880" s="319" t="s">
        <v>190</v>
      </c>
      <c r="FZ880" s="319" t="s">
        <v>190</v>
      </c>
      <c r="GA880" s="319" t="s">
        <v>190</v>
      </c>
      <c r="GB880" s="319" t="s">
        <v>190</v>
      </c>
      <c r="GC880" s="319" t="s">
        <v>190</v>
      </c>
      <c r="GD880" s="319" t="s">
        <v>190</v>
      </c>
      <c r="GE880" s="319" t="s">
        <v>190</v>
      </c>
      <c r="GF880" s="319" t="s">
        <v>190</v>
      </c>
      <c r="GG880" s="319" t="s">
        <v>190</v>
      </c>
      <c r="GH880" s="319" t="s">
        <v>190</v>
      </c>
      <c r="GI880" s="319" t="s">
        <v>190</v>
      </c>
      <c r="GJ880" s="319" t="s">
        <v>190</v>
      </c>
      <c r="GK880" s="319" t="s">
        <v>428</v>
      </c>
      <c r="GL880" s="319" t="s">
        <v>190</v>
      </c>
      <c r="GM880" s="319" t="s">
        <v>190</v>
      </c>
      <c r="GN880" s="319" t="s">
        <v>190</v>
      </c>
      <c r="GO880" s="319" t="s">
        <v>190</v>
      </c>
      <c r="GP880" s="319" t="s">
        <v>190</v>
      </c>
      <c r="GQ880" s="319" t="s">
        <v>190</v>
      </c>
      <c r="GR880" s="319" t="s">
        <v>190</v>
      </c>
      <c r="GS880" s="319" t="s">
        <v>190</v>
      </c>
      <c r="GT880" s="319" t="s">
        <v>190</v>
      </c>
      <c r="GU880" s="319" t="s">
        <v>190</v>
      </c>
      <c r="GV880" s="319" t="s">
        <v>190</v>
      </c>
      <c r="GW880" s="319" t="s">
        <v>190</v>
      </c>
      <c r="GX880" s="319" t="s">
        <v>190</v>
      </c>
      <c r="GY880" s="319" t="s">
        <v>190</v>
      </c>
      <c r="GZ880" s="319" t="s">
        <v>428</v>
      </c>
      <c r="HA880" s="319" t="s">
        <v>190</v>
      </c>
      <c r="HB880" s="319" t="s">
        <v>190</v>
      </c>
      <c r="HC880" s="319" t="s">
        <v>190</v>
      </c>
      <c r="HD880" s="319" t="s">
        <v>190</v>
      </c>
      <c r="HE880" s="319" t="s">
        <v>190</v>
      </c>
      <c r="HF880" s="319" t="s">
        <v>190</v>
      </c>
      <c r="HG880" s="319" t="s">
        <v>190</v>
      </c>
      <c r="HH880" s="319" t="s">
        <v>190</v>
      </c>
      <c r="HI880" s="319" t="s">
        <v>190</v>
      </c>
      <c r="HJ880" s="319" t="s">
        <v>190</v>
      </c>
      <c r="HK880" s="319" t="s">
        <v>190</v>
      </c>
      <c r="HL880" s="319" t="s">
        <v>190</v>
      </c>
      <c r="HM880" s="319" t="s">
        <v>190</v>
      </c>
      <c r="HN880" s="319" t="s">
        <v>190</v>
      </c>
      <c r="HO880" s="319" t="s">
        <v>190</v>
      </c>
      <c r="HP880" s="319" t="s">
        <v>190</v>
      </c>
      <c r="HQ880" s="319" t="s">
        <v>190</v>
      </c>
      <c r="HR880" s="319" t="s">
        <v>190</v>
      </c>
      <c r="HS880" s="319" t="s">
        <v>190</v>
      </c>
      <c r="HT880" s="319" t="s">
        <v>190</v>
      </c>
      <c r="HU880" s="319" t="s">
        <v>190</v>
      </c>
      <c r="HV880" s="319" t="s">
        <v>190</v>
      </c>
      <c r="HW880" s="319" t="s">
        <v>190</v>
      </c>
      <c r="HX880" s="319" t="s">
        <v>190</v>
      </c>
      <c r="HY880" s="319" t="s">
        <v>190</v>
      </c>
      <c r="HZ880" s="319" t="s">
        <v>190</v>
      </c>
      <c r="IA880" s="319" t="s">
        <v>190</v>
      </c>
      <c r="IB880" s="319" t="s">
        <v>190</v>
      </c>
      <c r="IC880" s="319" t="s">
        <v>190</v>
      </c>
      <c r="ID880" s="319" t="s">
        <v>190</v>
      </c>
      <c r="IE880" s="319" t="s">
        <v>190</v>
      </c>
      <c r="IF880" s="319" t="s">
        <v>190</v>
      </c>
      <c r="IG880" s="319" t="s">
        <v>190</v>
      </c>
      <c r="IH880" s="319" t="s">
        <v>190</v>
      </c>
      <c r="II880" s="319" t="s">
        <v>190</v>
      </c>
      <c r="IJ880" s="319" t="s">
        <v>173</v>
      </c>
      <c r="IK880" s="319" t="s">
        <v>173</v>
      </c>
      <c r="IL880" s="319" t="s">
        <v>173</v>
      </c>
      <c r="IM880" s="319" t="s">
        <v>173</v>
      </c>
      <c r="IN880" s="319" t="s">
        <v>173</v>
      </c>
      <c r="IO880" s="319" t="s">
        <v>173</v>
      </c>
      <c r="IP880" s="319" t="s">
        <v>173</v>
      </c>
      <c r="IQ880" s="321" t="s">
        <v>173</v>
      </c>
      <c r="IR880" s="320" t="s">
        <v>173</v>
      </c>
      <c r="IS880" s="322" t="s">
        <v>173</v>
      </c>
      <c r="IT880" s="319" t="s">
        <v>173</v>
      </c>
    </row>
    <row r="881" spans="1:254" s="271" customFormat="1" x14ac:dyDescent="0.25">
      <c r="A881" s="318" t="str">
        <f>HYPERLINK("http://www.ofsted.gov.uk/inspection-reports/find-inspection-report/provider/ELS/143406 ","Ofsted School Webpage")</f>
        <v>Ofsted School Webpage</v>
      </c>
      <c r="B881" s="319">
        <v>143406</v>
      </c>
      <c r="C881" s="319">
        <v>3176005</v>
      </c>
      <c r="D881" s="319" t="s">
        <v>2399</v>
      </c>
      <c r="E881" s="319" t="s">
        <v>168</v>
      </c>
      <c r="F881" s="319" t="s">
        <v>81</v>
      </c>
      <c r="G881" s="319" t="s">
        <v>81</v>
      </c>
      <c r="H881" s="319" t="s">
        <v>81</v>
      </c>
      <c r="I881" s="319" t="s">
        <v>78</v>
      </c>
      <c r="J881" s="319" t="s">
        <v>424</v>
      </c>
      <c r="K881" s="319" t="s">
        <v>441</v>
      </c>
      <c r="L881" s="319" t="s">
        <v>441</v>
      </c>
      <c r="M881" s="319" t="s">
        <v>648</v>
      </c>
      <c r="N881" s="319" t="s">
        <v>2847</v>
      </c>
      <c r="O881" s="319" t="s">
        <v>2400</v>
      </c>
      <c r="P881" s="319">
        <v>0</v>
      </c>
      <c r="Q881" s="319" t="s">
        <v>429</v>
      </c>
      <c r="R881" s="320">
        <v>10068032</v>
      </c>
      <c r="S881" s="321">
        <v>43550</v>
      </c>
      <c r="T881" s="321">
        <v>43552</v>
      </c>
      <c r="U881" s="321">
        <v>43593</v>
      </c>
      <c r="V881" s="319" t="s">
        <v>425</v>
      </c>
      <c r="W881" s="319" t="s">
        <v>2767</v>
      </c>
      <c r="X881" s="319">
        <v>2</v>
      </c>
      <c r="Y881" s="319" t="s">
        <v>173</v>
      </c>
      <c r="Z881" s="319" t="s">
        <v>173</v>
      </c>
      <c r="AA881" s="319" t="s">
        <v>173</v>
      </c>
      <c r="AB881" s="319">
        <v>2</v>
      </c>
      <c r="AC881" s="319" t="s">
        <v>169</v>
      </c>
      <c r="AD881" s="319" t="s">
        <v>173</v>
      </c>
      <c r="AE881" s="319" t="s">
        <v>173</v>
      </c>
      <c r="AF881" s="319" t="s">
        <v>427</v>
      </c>
      <c r="AG881" s="319" t="s">
        <v>171</v>
      </c>
      <c r="AH881" s="319" t="s">
        <v>190</v>
      </c>
      <c r="AI881" s="319" t="s">
        <v>190</v>
      </c>
      <c r="AJ881" s="319" t="s">
        <v>190</v>
      </c>
      <c r="AK881" s="319" t="s">
        <v>190</v>
      </c>
      <c r="AL881" s="319" t="s">
        <v>190</v>
      </c>
      <c r="AM881" s="319" t="s">
        <v>190</v>
      </c>
      <c r="AN881" s="319" t="s">
        <v>190</v>
      </c>
      <c r="AO881" s="319" t="s">
        <v>190</v>
      </c>
      <c r="AP881" s="319" t="s">
        <v>190</v>
      </c>
      <c r="AQ881" s="319" t="s">
        <v>190</v>
      </c>
      <c r="AR881" s="319" t="s">
        <v>190</v>
      </c>
      <c r="AS881" s="319" t="s">
        <v>190</v>
      </c>
      <c r="AT881" s="319" t="s">
        <v>190</v>
      </c>
      <c r="AU881" s="319" t="s">
        <v>190</v>
      </c>
      <c r="AV881" s="319" t="s">
        <v>190</v>
      </c>
      <c r="AW881" s="319" t="s">
        <v>190</v>
      </c>
      <c r="AX881" s="319" t="s">
        <v>428</v>
      </c>
      <c r="AY881" s="319" t="s">
        <v>190</v>
      </c>
      <c r="AZ881" s="319" t="s">
        <v>190</v>
      </c>
      <c r="BA881" s="319" t="s">
        <v>190</v>
      </c>
      <c r="BB881" s="319" t="s">
        <v>190</v>
      </c>
      <c r="BC881" s="319" t="s">
        <v>190</v>
      </c>
      <c r="BD881" s="319" t="s">
        <v>190</v>
      </c>
      <c r="BE881" s="319" t="s">
        <v>190</v>
      </c>
      <c r="BF881" s="319" t="s">
        <v>428</v>
      </c>
      <c r="BG881" s="319" t="s">
        <v>428</v>
      </c>
      <c r="BH881" s="319" t="s">
        <v>190</v>
      </c>
      <c r="BI881" s="319" t="s">
        <v>190</v>
      </c>
      <c r="BJ881" s="319" t="s">
        <v>190</v>
      </c>
      <c r="BK881" s="319" t="s">
        <v>190</v>
      </c>
      <c r="BL881" s="319" t="s">
        <v>190</v>
      </c>
      <c r="BM881" s="319" t="s">
        <v>190</v>
      </c>
      <c r="BN881" s="319" t="s">
        <v>190</v>
      </c>
      <c r="BO881" s="319" t="s">
        <v>190</v>
      </c>
      <c r="BP881" s="319" t="s">
        <v>190</v>
      </c>
      <c r="BQ881" s="319" t="s">
        <v>190</v>
      </c>
      <c r="BR881" s="319" t="s">
        <v>190</v>
      </c>
      <c r="BS881" s="319" t="s">
        <v>190</v>
      </c>
      <c r="BT881" s="319" t="s">
        <v>190</v>
      </c>
      <c r="BU881" s="319" t="s">
        <v>190</v>
      </c>
      <c r="BV881" s="319" t="s">
        <v>190</v>
      </c>
      <c r="BW881" s="319" t="s">
        <v>190</v>
      </c>
      <c r="BX881" s="319" t="s">
        <v>190</v>
      </c>
      <c r="BY881" s="319" t="s">
        <v>190</v>
      </c>
      <c r="BZ881" s="319" t="s">
        <v>190</v>
      </c>
      <c r="CA881" s="319" t="s">
        <v>190</v>
      </c>
      <c r="CB881" s="319" t="s">
        <v>190</v>
      </c>
      <c r="CC881" s="319" t="s">
        <v>190</v>
      </c>
      <c r="CD881" s="319" t="s">
        <v>190</v>
      </c>
      <c r="CE881" s="319" t="s">
        <v>190</v>
      </c>
      <c r="CF881" s="319" t="s">
        <v>190</v>
      </c>
      <c r="CG881" s="319" t="s">
        <v>190</v>
      </c>
      <c r="CH881" s="319" t="s">
        <v>190</v>
      </c>
      <c r="CI881" s="319" t="s">
        <v>190</v>
      </c>
      <c r="CJ881" s="319" t="s">
        <v>190</v>
      </c>
      <c r="CK881" s="319" t="s">
        <v>190</v>
      </c>
      <c r="CL881" s="319" t="s">
        <v>190</v>
      </c>
      <c r="CM881" s="319" t="s">
        <v>190</v>
      </c>
      <c r="CN881" s="319" t="s">
        <v>428</v>
      </c>
      <c r="CO881" s="319" t="s">
        <v>428</v>
      </c>
      <c r="CP881" s="319" t="s">
        <v>428</v>
      </c>
      <c r="CQ881" s="319" t="s">
        <v>190</v>
      </c>
      <c r="CR881" s="319" t="s">
        <v>190</v>
      </c>
      <c r="CS881" s="319" t="s">
        <v>190</v>
      </c>
      <c r="CT881" s="319" t="s">
        <v>190</v>
      </c>
      <c r="CU881" s="319" t="s">
        <v>190</v>
      </c>
      <c r="CV881" s="319" t="s">
        <v>190</v>
      </c>
      <c r="CW881" s="319" t="s">
        <v>190</v>
      </c>
      <c r="CX881" s="319" t="s">
        <v>190</v>
      </c>
      <c r="CY881" s="319" t="s">
        <v>190</v>
      </c>
      <c r="CZ881" s="319" t="s">
        <v>190</v>
      </c>
      <c r="DA881" s="319" t="s">
        <v>190</v>
      </c>
      <c r="DB881" s="319" t="s">
        <v>190</v>
      </c>
      <c r="DC881" s="319" t="s">
        <v>190</v>
      </c>
      <c r="DD881" s="319" t="s">
        <v>190</v>
      </c>
      <c r="DE881" s="319" t="s">
        <v>190</v>
      </c>
      <c r="DF881" s="319" t="s">
        <v>190</v>
      </c>
      <c r="DG881" s="319" t="s">
        <v>190</v>
      </c>
      <c r="DH881" s="319" t="s">
        <v>190</v>
      </c>
      <c r="DI881" s="319" t="s">
        <v>190</v>
      </c>
      <c r="DJ881" s="319" t="s">
        <v>190</v>
      </c>
      <c r="DK881" s="319" t="s">
        <v>190</v>
      </c>
      <c r="DL881" s="319" t="s">
        <v>190</v>
      </c>
      <c r="DM881" s="319" t="s">
        <v>190</v>
      </c>
      <c r="DN881" s="319" t="s">
        <v>428</v>
      </c>
      <c r="DO881" s="319" t="s">
        <v>190</v>
      </c>
      <c r="DP881" s="319" t="s">
        <v>428</v>
      </c>
      <c r="DQ881" s="319" t="s">
        <v>428</v>
      </c>
      <c r="DR881" s="319" t="s">
        <v>428</v>
      </c>
      <c r="DS881" s="319" t="s">
        <v>428</v>
      </c>
      <c r="DT881" s="319" t="s">
        <v>428</v>
      </c>
      <c r="DU881" s="319" t="s">
        <v>428</v>
      </c>
      <c r="DV881" s="319" t="s">
        <v>173</v>
      </c>
      <c r="DW881" s="319" t="s">
        <v>428</v>
      </c>
      <c r="DX881" s="319" t="s">
        <v>428</v>
      </c>
      <c r="DY881" s="319" t="s">
        <v>428</v>
      </c>
      <c r="DZ881" s="319" t="s">
        <v>428</v>
      </c>
      <c r="EA881" s="319" t="s">
        <v>428</v>
      </c>
      <c r="EB881" s="319" t="s">
        <v>428</v>
      </c>
      <c r="EC881" s="319" t="s">
        <v>428</v>
      </c>
      <c r="ED881" s="319" t="s">
        <v>190</v>
      </c>
      <c r="EE881" s="319" t="s">
        <v>190</v>
      </c>
      <c r="EF881" s="319" t="s">
        <v>190</v>
      </c>
      <c r="EG881" s="319" t="s">
        <v>190</v>
      </c>
      <c r="EH881" s="319" t="s">
        <v>190</v>
      </c>
      <c r="EI881" s="319" t="s">
        <v>190</v>
      </c>
      <c r="EJ881" s="319" t="s">
        <v>190</v>
      </c>
      <c r="EK881" s="319" t="s">
        <v>190</v>
      </c>
      <c r="EL881" s="319" t="s">
        <v>190</v>
      </c>
      <c r="EM881" s="319" t="s">
        <v>190</v>
      </c>
      <c r="EN881" s="319" t="s">
        <v>190</v>
      </c>
      <c r="EO881" s="319" t="s">
        <v>190</v>
      </c>
      <c r="EP881" s="319" t="s">
        <v>190</v>
      </c>
      <c r="EQ881" s="319" t="s">
        <v>190</v>
      </c>
      <c r="ER881" s="319" t="s">
        <v>190</v>
      </c>
      <c r="ES881" s="319" t="s">
        <v>190</v>
      </c>
      <c r="ET881" s="319" t="s">
        <v>190</v>
      </c>
      <c r="EU881" s="319" t="s">
        <v>190</v>
      </c>
      <c r="EV881" s="319" t="s">
        <v>190</v>
      </c>
      <c r="EW881" s="319" t="s">
        <v>190</v>
      </c>
      <c r="EX881" s="319" t="s">
        <v>190</v>
      </c>
      <c r="EY881" s="319" t="s">
        <v>190</v>
      </c>
      <c r="EZ881" s="319" t="s">
        <v>190</v>
      </c>
      <c r="FA881" s="319" t="s">
        <v>190</v>
      </c>
      <c r="FB881" s="319" t="s">
        <v>428</v>
      </c>
      <c r="FC881" s="319" t="s">
        <v>428</v>
      </c>
      <c r="FD881" s="319" t="s">
        <v>428</v>
      </c>
      <c r="FE881" s="319" t="s">
        <v>428</v>
      </c>
      <c r="FF881" s="319" t="s">
        <v>428</v>
      </c>
      <c r="FG881" s="319" t="s">
        <v>428</v>
      </c>
      <c r="FH881" s="319" t="s">
        <v>190</v>
      </c>
      <c r="FI881" s="319" t="s">
        <v>190</v>
      </c>
      <c r="FJ881" s="319" t="s">
        <v>190</v>
      </c>
      <c r="FK881" s="319" t="s">
        <v>190</v>
      </c>
      <c r="FL881" s="319" t="s">
        <v>190</v>
      </c>
      <c r="FM881" s="319" t="s">
        <v>190</v>
      </c>
      <c r="FN881" s="319" t="s">
        <v>190</v>
      </c>
      <c r="FO881" s="319" t="s">
        <v>190</v>
      </c>
      <c r="FP881" s="319" t="s">
        <v>190</v>
      </c>
      <c r="FQ881" s="319" t="s">
        <v>190</v>
      </c>
      <c r="FR881" s="319" t="s">
        <v>190</v>
      </c>
      <c r="FS881" s="319" t="s">
        <v>428</v>
      </c>
      <c r="FT881" s="319" t="s">
        <v>190</v>
      </c>
      <c r="FU881" s="319" t="s">
        <v>190</v>
      </c>
      <c r="FV881" s="319" t="s">
        <v>190</v>
      </c>
      <c r="FW881" s="319" t="s">
        <v>190</v>
      </c>
      <c r="FX881" s="319" t="s">
        <v>190</v>
      </c>
      <c r="FY881" s="319" t="s">
        <v>190</v>
      </c>
      <c r="FZ881" s="319" t="s">
        <v>190</v>
      </c>
      <c r="GA881" s="319" t="s">
        <v>190</v>
      </c>
      <c r="GB881" s="319" t="s">
        <v>190</v>
      </c>
      <c r="GC881" s="319" t="s">
        <v>190</v>
      </c>
      <c r="GD881" s="319" t="s">
        <v>190</v>
      </c>
      <c r="GE881" s="319" t="s">
        <v>190</v>
      </c>
      <c r="GF881" s="319" t="s">
        <v>190</v>
      </c>
      <c r="GG881" s="319" t="s">
        <v>190</v>
      </c>
      <c r="GH881" s="319" t="s">
        <v>190</v>
      </c>
      <c r="GI881" s="319" t="s">
        <v>190</v>
      </c>
      <c r="GJ881" s="319" t="s">
        <v>190</v>
      </c>
      <c r="GK881" s="319" t="s">
        <v>428</v>
      </c>
      <c r="GL881" s="319" t="s">
        <v>190</v>
      </c>
      <c r="GM881" s="319" t="s">
        <v>190</v>
      </c>
      <c r="GN881" s="319" t="s">
        <v>190</v>
      </c>
      <c r="GO881" s="319" t="s">
        <v>190</v>
      </c>
      <c r="GP881" s="319" t="s">
        <v>190</v>
      </c>
      <c r="GQ881" s="319" t="s">
        <v>428</v>
      </c>
      <c r="GR881" s="319" t="s">
        <v>190</v>
      </c>
      <c r="GS881" s="319" t="s">
        <v>190</v>
      </c>
      <c r="GT881" s="319" t="s">
        <v>190</v>
      </c>
      <c r="GU881" s="319" t="s">
        <v>190</v>
      </c>
      <c r="GV881" s="319" t="s">
        <v>428</v>
      </c>
      <c r="GW881" s="319" t="s">
        <v>190</v>
      </c>
      <c r="GX881" s="319" t="s">
        <v>190</v>
      </c>
      <c r="GY881" s="319" t="s">
        <v>190</v>
      </c>
      <c r="GZ881" s="319" t="s">
        <v>190</v>
      </c>
      <c r="HA881" s="319" t="s">
        <v>428</v>
      </c>
      <c r="HB881" s="319" t="s">
        <v>190</v>
      </c>
      <c r="HC881" s="319" t="s">
        <v>190</v>
      </c>
      <c r="HD881" s="319" t="s">
        <v>190</v>
      </c>
      <c r="HE881" s="319" t="s">
        <v>190</v>
      </c>
      <c r="HF881" s="319" t="s">
        <v>190</v>
      </c>
      <c r="HG881" s="319" t="s">
        <v>190</v>
      </c>
      <c r="HH881" s="319" t="s">
        <v>190</v>
      </c>
      <c r="HI881" s="319" t="s">
        <v>428</v>
      </c>
      <c r="HJ881" s="319" t="s">
        <v>190</v>
      </c>
      <c r="HK881" s="319" t="s">
        <v>190</v>
      </c>
      <c r="HL881" s="319" t="s">
        <v>428</v>
      </c>
      <c r="HM881" s="319" t="s">
        <v>428</v>
      </c>
      <c r="HN881" s="319" t="s">
        <v>428</v>
      </c>
      <c r="HO881" s="319" t="s">
        <v>428</v>
      </c>
      <c r="HP881" s="319" t="s">
        <v>190</v>
      </c>
      <c r="HQ881" s="319" t="s">
        <v>190</v>
      </c>
      <c r="HR881" s="319" t="s">
        <v>190</v>
      </c>
      <c r="HS881" s="319" t="s">
        <v>190</v>
      </c>
      <c r="HT881" s="319" t="s">
        <v>190</v>
      </c>
      <c r="HU881" s="319" t="s">
        <v>190</v>
      </c>
      <c r="HV881" s="319" t="s">
        <v>190</v>
      </c>
      <c r="HW881" s="319" t="s">
        <v>190</v>
      </c>
      <c r="HX881" s="319" t="s">
        <v>190</v>
      </c>
      <c r="HY881" s="319" t="s">
        <v>190</v>
      </c>
      <c r="HZ881" s="319" t="s">
        <v>190</v>
      </c>
      <c r="IA881" s="319" t="s">
        <v>190</v>
      </c>
      <c r="IB881" s="319" t="s">
        <v>190</v>
      </c>
      <c r="IC881" s="319" t="s">
        <v>190</v>
      </c>
      <c r="ID881" s="319" t="s">
        <v>190</v>
      </c>
      <c r="IE881" s="319" t="s">
        <v>190</v>
      </c>
      <c r="IF881" s="319" t="s">
        <v>190</v>
      </c>
      <c r="IG881" s="319" t="s">
        <v>190</v>
      </c>
      <c r="IH881" s="319" t="s">
        <v>190</v>
      </c>
      <c r="II881" s="319" t="s">
        <v>190</v>
      </c>
      <c r="IJ881" s="319">
        <v>10035820</v>
      </c>
      <c r="IK881" s="321">
        <v>43018</v>
      </c>
      <c r="IL881" s="321">
        <v>43020</v>
      </c>
      <c r="IM881" s="321">
        <v>43077</v>
      </c>
      <c r="IN881" s="319">
        <v>4</v>
      </c>
      <c r="IO881" s="319" t="s">
        <v>173</v>
      </c>
      <c r="IP881" s="319" t="s">
        <v>173</v>
      </c>
      <c r="IQ881" s="321" t="s">
        <v>173</v>
      </c>
      <c r="IR881" s="320" t="s">
        <v>173</v>
      </c>
      <c r="IS881" s="322" t="s">
        <v>173</v>
      </c>
      <c r="IT881" s="319" t="s">
        <v>173</v>
      </c>
    </row>
    <row r="882" spans="1:254" s="271" customFormat="1" x14ac:dyDescent="0.25">
      <c r="A882" s="318" t="str">
        <f>HYPERLINK("http://www.ofsted.gov.uk/inspection-reports/find-inspection-report/provider/ELS/143407 ","Ofsted School Webpage")</f>
        <v>Ofsted School Webpage</v>
      </c>
      <c r="B882" s="319">
        <v>143407</v>
      </c>
      <c r="C882" s="319">
        <v>8786066</v>
      </c>
      <c r="D882" s="319" t="s">
        <v>2401</v>
      </c>
      <c r="E882" s="319" t="s">
        <v>167</v>
      </c>
      <c r="F882" s="319" t="s">
        <v>81</v>
      </c>
      <c r="G882" s="319" t="s">
        <v>81</v>
      </c>
      <c r="H882" s="319" t="s">
        <v>81</v>
      </c>
      <c r="I882" s="319" t="s">
        <v>78</v>
      </c>
      <c r="J882" s="319" t="s">
        <v>424</v>
      </c>
      <c r="K882" s="319" t="s">
        <v>422</v>
      </c>
      <c r="L882" s="319" t="s">
        <v>422</v>
      </c>
      <c r="M882" s="319" t="s">
        <v>663</v>
      </c>
      <c r="N882" s="319" t="s">
        <v>3526</v>
      </c>
      <c r="O882" s="319" t="s">
        <v>2402</v>
      </c>
      <c r="P882" s="319">
        <v>31</v>
      </c>
      <c r="Q882" s="319" t="s">
        <v>429</v>
      </c>
      <c r="R882" s="320">
        <v>10047186</v>
      </c>
      <c r="S882" s="321">
        <v>43263</v>
      </c>
      <c r="T882" s="321">
        <v>43265</v>
      </c>
      <c r="U882" s="321">
        <v>43299</v>
      </c>
      <c r="V882" s="319" t="s">
        <v>435</v>
      </c>
      <c r="W882" s="319" t="s">
        <v>2767</v>
      </c>
      <c r="X882" s="319">
        <v>3</v>
      </c>
      <c r="Y882" s="319" t="s">
        <v>173</v>
      </c>
      <c r="Z882" s="319" t="s">
        <v>173</v>
      </c>
      <c r="AA882" s="319" t="s">
        <v>173</v>
      </c>
      <c r="AB882" s="319">
        <v>3</v>
      </c>
      <c r="AC882" s="319" t="s">
        <v>169</v>
      </c>
      <c r="AD882" s="319" t="s">
        <v>173</v>
      </c>
      <c r="AE882" s="319" t="s">
        <v>173</v>
      </c>
      <c r="AF882" s="319" t="s">
        <v>427</v>
      </c>
      <c r="AG882" s="319" t="s">
        <v>171</v>
      </c>
      <c r="AH882" s="319" t="s">
        <v>190</v>
      </c>
      <c r="AI882" s="319" t="s">
        <v>190</v>
      </c>
      <c r="AJ882" s="319" t="s">
        <v>190</v>
      </c>
      <c r="AK882" s="319" t="s">
        <v>190</v>
      </c>
      <c r="AL882" s="319" t="s">
        <v>190</v>
      </c>
      <c r="AM882" s="319" t="s">
        <v>190</v>
      </c>
      <c r="AN882" s="319" t="s">
        <v>190</v>
      </c>
      <c r="AO882" s="319" t="s">
        <v>190</v>
      </c>
      <c r="AP882" s="319" t="s">
        <v>190</v>
      </c>
      <c r="AQ882" s="319" t="s">
        <v>190</v>
      </c>
      <c r="AR882" s="319" t="s">
        <v>190</v>
      </c>
      <c r="AS882" s="319" t="s">
        <v>190</v>
      </c>
      <c r="AT882" s="319" t="s">
        <v>190</v>
      </c>
      <c r="AU882" s="319" t="s">
        <v>190</v>
      </c>
      <c r="AV882" s="319" t="s">
        <v>190</v>
      </c>
      <c r="AW882" s="319" t="s">
        <v>190</v>
      </c>
      <c r="AX882" s="319" t="s">
        <v>428</v>
      </c>
      <c r="AY882" s="319" t="s">
        <v>190</v>
      </c>
      <c r="AZ882" s="319" t="s">
        <v>190</v>
      </c>
      <c r="BA882" s="319" t="s">
        <v>190</v>
      </c>
      <c r="BB882" s="319" t="s">
        <v>190</v>
      </c>
      <c r="BC882" s="319" t="s">
        <v>190</v>
      </c>
      <c r="BD882" s="319" t="s">
        <v>190</v>
      </c>
      <c r="BE882" s="319" t="s">
        <v>190</v>
      </c>
      <c r="BF882" s="319" t="s">
        <v>428</v>
      </c>
      <c r="BG882" s="319" t="s">
        <v>428</v>
      </c>
      <c r="BH882" s="319" t="s">
        <v>190</v>
      </c>
      <c r="BI882" s="319" t="s">
        <v>190</v>
      </c>
      <c r="BJ882" s="319" t="s">
        <v>190</v>
      </c>
      <c r="BK882" s="319" t="s">
        <v>190</v>
      </c>
      <c r="BL882" s="319" t="s">
        <v>190</v>
      </c>
      <c r="BM882" s="319" t="s">
        <v>190</v>
      </c>
      <c r="BN882" s="319" t="s">
        <v>190</v>
      </c>
      <c r="BO882" s="319" t="s">
        <v>190</v>
      </c>
      <c r="BP882" s="319" t="s">
        <v>190</v>
      </c>
      <c r="BQ882" s="319" t="s">
        <v>190</v>
      </c>
      <c r="BR882" s="319" t="s">
        <v>190</v>
      </c>
      <c r="BS882" s="319" t="s">
        <v>190</v>
      </c>
      <c r="BT882" s="319" t="s">
        <v>190</v>
      </c>
      <c r="BU882" s="319" t="s">
        <v>190</v>
      </c>
      <c r="BV882" s="319" t="s">
        <v>190</v>
      </c>
      <c r="BW882" s="319" t="s">
        <v>190</v>
      </c>
      <c r="BX882" s="319" t="s">
        <v>190</v>
      </c>
      <c r="BY882" s="319" t="s">
        <v>190</v>
      </c>
      <c r="BZ882" s="319" t="s">
        <v>190</v>
      </c>
      <c r="CA882" s="319" t="s">
        <v>190</v>
      </c>
      <c r="CB882" s="319" t="s">
        <v>190</v>
      </c>
      <c r="CC882" s="319" t="s">
        <v>190</v>
      </c>
      <c r="CD882" s="319" t="s">
        <v>190</v>
      </c>
      <c r="CE882" s="319" t="s">
        <v>190</v>
      </c>
      <c r="CF882" s="319" t="s">
        <v>190</v>
      </c>
      <c r="CG882" s="319" t="s">
        <v>190</v>
      </c>
      <c r="CH882" s="319" t="s">
        <v>190</v>
      </c>
      <c r="CI882" s="319" t="s">
        <v>190</v>
      </c>
      <c r="CJ882" s="319" t="s">
        <v>190</v>
      </c>
      <c r="CK882" s="319" t="s">
        <v>190</v>
      </c>
      <c r="CL882" s="319" t="s">
        <v>190</v>
      </c>
      <c r="CM882" s="319" t="s">
        <v>190</v>
      </c>
      <c r="CN882" s="319" t="s">
        <v>190</v>
      </c>
      <c r="CO882" s="319" t="s">
        <v>428</v>
      </c>
      <c r="CP882" s="319" t="s">
        <v>428</v>
      </c>
      <c r="CQ882" s="319" t="s">
        <v>190</v>
      </c>
      <c r="CR882" s="319" t="s">
        <v>190</v>
      </c>
      <c r="CS882" s="319" t="s">
        <v>190</v>
      </c>
      <c r="CT882" s="319" t="s">
        <v>190</v>
      </c>
      <c r="CU882" s="319" t="s">
        <v>190</v>
      </c>
      <c r="CV882" s="319" t="s">
        <v>190</v>
      </c>
      <c r="CW882" s="319" t="s">
        <v>190</v>
      </c>
      <c r="CX882" s="319" t="s">
        <v>190</v>
      </c>
      <c r="CY882" s="319" t="s">
        <v>190</v>
      </c>
      <c r="CZ882" s="319" t="s">
        <v>190</v>
      </c>
      <c r="DA882" s="319" t="s">
        <v>190</v>
      </c>
      <c r="DB882" s="319" t="s">
        <v>190</v>
      </c>
      <c r="DC882" s="319" t="s">
        <v>190</v>
      </c>
      <c r="DD882" s="319" t="s">
        <v>190</v>
      </c>
      <c r="DE882" s="319" t="s">
        <v>190</v>
      </c>
      <c r="DF882" s="319" t="s">
        <v>190</v>
      </c>
      <c r="DG882" s="319" t="s">
        <v>190</v>
      </c>
      <c r="DH882" s="319" t="s">
        <v>190</v>
      </c>
      <c r="DI882" s="319" t="s">
        <v>190</v>
      </c>
      <c r="DJ882" s="319" t="s">
        <v>190</v>
      </c>
      <c r="DK882" s="319" t="s">
        <v>190</v>
      </c>
      <c r="DL882" s="319" t="s">
        <v>190</v>
      </c>
      <c r="DM882" s="319" t="s">
        <v>428</v>
      </c>
      <c r="DN882" s="319" t="s">
        <v>428</v>
      </c>
      <c r="DO882" s="319" t="s">
        <v>190</v>
      </c>
      <c r="DP882" s="319" t="s">
        <v>428</v>
      </c>
      <c r="DQ882" s="319" t="s">
        <v>428</v>
      </c>
      <c r="DR882" s="319" t="s">
        <v>428</v>
      </c>
      <c r="DS882" s="319" t="s">
        <v>428</v>
      </c>
      <c r="DT882" s="319" t="s">
        <v>428</v>
      </c>
      <c r="DU882" s="319" t="s">
        <v>428</v>
      </c>
      <c r="DV882" s="319" t="s">
        <v>173</v>
      </c>
      <c r="DW882" s="319" t="s">
        <v>428</v>
      </c>
      <c r="DX882" s="319" t="s">
        <v>428</v>
      </c>
      <c r="DY882" s="319" t="s">
        <v>428</v>
      </c>
      <c r="DZ882" s="319" t="s">
        <v>428</v>
      </c>
      <c r="EA882" s="319" t="s">
        <v>428</v>
      </c>
      <c r="EB882" s="319" t="s">
        <v>428</v>
      </c>
      <c r="EC882" s="319" t="s">
        <v>428</v>
      </c>
      <c r="ED882" s="319" t="s">
        <v>428</v>
      </c>
      <c r="EE882" s="319" t="s">
        <v>190</v>
      </c>
      <c r="EF882" s="319" t="s">
        <v>190</v>
      </c>
      <c r="EG882" s="319" t="s">
        <v>190</v>
      </c>
      <c r="EH882" s="319" t="s">
        <v>190</v>
      </c>
      <c r="EI882" s="319" t="s">
        <v>190</v>
      </c>
      <c r="EJ882" s="319" t="s">
        <v>190</v>
      </c>
      <c r="EK882" s="319" t="s">
        <v>190</v>
      </c>
      <c r="EL882" s="319" t="s">
        <v>190</v>
      </c>
      <c r="EM882" s="319" t="s">
        <v>190</v>
      </c>
      <c r="EN882" s="319" t="s">
        <v>190</v>
      </c>
      <c r="EO882" s="319" t="s">
        <v>190</v>
      </c>
      <c r="EP882" s="319" t="s">
        <v>190</v>
      </c>
      <c r="EQ882" s="319" t="s">
        <v>190</v>
      </c>
      <c r="ER882" s="319" t="s">
        <v>190</v>
      </c>
      <c r="ES882" s="319" t="s">
        <v>190</v>
      </c>
      <c r="ET882" s="319" t="s">
        <v>190</v>
      </c>
      <c r="EU882" s="319" t="s">
        <v>190</v>
      </c>
      <c r="EV882" s="319" t="s">
        <v>190</v>
      </c>
      <c r="EW882" s="319" t="s">
        <v>190</v>
      </c>
      <c r="EX882" s="319" t="s">
        <v>190</v>
      </c>
      <c r="EY882" s="319" t="s">
        <v>190</v>
      </c>
      <c r="EZ882" s="319" t="s">
        <v>190</v>
      </c>
      <c r="FA882" s="319" t="s">
        <v>190</v>
      </c>
      <c r="FB882" s="319" t="s">
        <v>428</v>
      </c>
      <c r="FC882" s="319" t="s">
        <v>428</v>
      </c>
      <c r="FD882" s="319" t="s">
        <v>428</v>
      </c>
      <c r="FE882" s="319" t="s">
        <v>428</v>
      </c>
      <c r="FF882" s="319" t="s">
        <v>428</v>
      </c>
      <c r="FG882" s="319" t="s">
        <v>428</v>
      </c>
      <c r="FH882" s="319" t="s">
        <v>190</v>
      </c>
      <c r="FI882" s="319" t="s">
        <v>190</v>
      </c>
      <c r="FJ882" s="319" t="s">
        <v>190</v>
      </c>
      <c r="FK882" s="319" t="s">
        <v>190</v>
      </c>
      <c r="FL882" s="319" t="s">
        <v>190</v>
      </c>
      <c r="FM882" s="319" t="s">
        <v>190</v>
      </c>
      <c r="FN882" s="319" t="s">
        <v>190</v>
      </c>
      <c r="FO882" s="319" t="s">
        <v>190</v>
      </c>
      <c r="FP882" s="319" t="s">
        <v>190</v>
      </c>
      <c r="FQ882" s="319" t="s">
        <v>190</v>
      </c>
      <c r="FR882" s="319" t="s">
        <v>190</v>
      </c>
      <c r="FS882" s="319" t="s">
        <v>428</v>
      </c>
      <c r="FT882" s="319" t="s">
        <v>190</v>
      </c>
      <c r="FU882" s="319" t="s">
        <v>190</v>
      </c>
      <c r="FV882" s="319" t="s">
        <v>190</v>
      </c>
      <c r="FW882" s="319" t="s">
        <v>190</v>
      </c>
      <c r="FX882" s="319" t="s">
        <v>190</v>
      </c>
      <c r="FY882" s="319" t="s">
        <v>190</v>
      </c>
      <c r="FZ882" s="319" t="s">
        <v>190</v>
      </c>
      <c r="GA882" s="319" t="s">
        <v>190</v>
      </c>
      <c r="GB882" s="319" t="s">
        <v>190</v>
      </c>
      <c r="GC882" s="319" t="s">
        <v>190</v>
      </c>
      <c r="GD882" s="319" t="s">
        <v>190</v>
      </c>
      <c r="GE882" s="319" t="s">
        <v>190</v>
      </c>
      <c r="GF882" s="319" t="s">
        <v>190</v>
      </c>
      <c r="GG882" s="319" t="s">
        <v>190</v>
      </c>
      <c r="GH882" s="319" t="s">
        <v>190</v>
      </c>
      <c r="GI882" s="319" t="s">
        <v>190</v>
      </c>
      <c r="GJ882" s="319" t="s">
        <v>190</v>
      </c>
      <c r="GK882" s="319" t="s">
        <v>190</v>
      </c>
      <c r="GL882" s="319" t="s">
        <v>190</v>
      </c>
      <c r="GM882" s="319" t="s">
        <v>190</v>
      </c>
      <c r="GN882" s="319" t="s">
        <v>190</v>
      </c>
      <c r="GO882" s="319" t="s">
        <v>190</v>
      </c>
      <c r="GP882" s="319" t="s">
        <v>428</v>
      </c>
      <c r="GQ882" s="319" t="s">
        <v>428</v>
      </c>
      <c r="GR882" s="319" t="s">
        <v>190</v>
      </c>
      <c r="GS882" s="319" t="s">
        <v>190</v>
      </c>
      <c r="GT882" s="319" t="s">
        <v>428</v>
      </c>
      <c r="GU882" s="319" t="s">
        <v>190</v>
      </c>
      <c r="GV882" s="319" t="s">
        <v>190</v>
      </c>
      <c r="GW882" s="319" t="s">
        <v>190</v>
      </c>
      <c r="GX882" s="319" t="s">
        <v>190</v>
      </c>
      <c r="GY882" s="319" t="s">
        <v>190</v>
      </c>
      <c r="GZ882" s="319" t="s">
        <v>428</v>
      </c>
      <c r="HA882" s="319" t="s">
        <v>190</v>
      </c>
      <c r="HB882" s="319" t="s">
        <v>190</v>
      </c>
      <c r="HC882" s="319" t="s">
        <v>190</v>
      </c>
      <c r="HD882" s="319" t="s">
        <v>190</v>
      </c>
      <c r="HE882" s="319" t="s">
        <v>190</v>
      </c>
      <c r="HF882" s="319" t="s">
        <v>190</v>
      </c>
      <c r="HG882" s="319" t="s">
        <v>190</v>
      </c>
      <c r="HH882" s="319" t="s">
        <v>190</v>
      </c>
      <c r="HI882" s="319" t="s">
        <v>190</v>
      </c>
      <c r="HJ882" s="319" t="s">
        <v>190</v>
      </c>
      <c r="HK882" s="319" t="s">
        <v>428</v>
      </c>
      <c r="HL882" s="319" t="s">
        <v>428</v>
      </c>
      <c r="HM882" s="319" t="s">
        <v>428</v>
      </c>
      <c r="HN882" s="319" t="s">
        <v>428</v>
      </c>
      <c r="HO882" s="319" t="s">
        <v>428</v>
      </c>
      <c r="HP882" s="319" t="s">
        <v>190</v>
      </c>
      <c r="HQ882" s="319" t="s">
        <v>190</v>
      </c>
      <c r="HR882" s="319" t="s">
        <v>190</v>
      </c>
      <c r="HS882" s="319" t="s">
        <v>190</v>
      </c>
      <c r="HT882" s="319" t="s">
        <v>190</v>
      </c>
      <c r="HU882" s="319" t="s">
        <v>190</v>
      </c>
      <c r="HV882" s="319" t="s">
        <v>190</v>
      </c>
      <c r="HW882" s="319" t="s">
        <v>190</v>
      </c>
      <c r="HX882" s="319" t="s">
        <v>190</v>
      </c>
      <c r="HY882" s="319" t="s">
        <v>190</v>
      </c>
      <c r="HZ882" s="319" t="s">
        <v>190</v>
      </c>
      <c r="IA882" s="319" t="s">
        <v>190</v>
      </c>
      <c r="IB882" s="319" t="s">
        <v>190</v>
      </c>
      <c r="IC882" s="319" t="s">
        <v>190</v>
      </c>
      <c r="ID882" s="319" t="s">
        <v>190</v>
      </c>
      <c r="IE882" s="319" t="s">
        <v>190</v>
      </c>
      <c r="IF882" s="319" t="s">
        <v>190</v>
      </c>
      <c r="IG882" s="319" t="s">
        <v>190</v>
      </c>
      <c r="IH882" s="319" t="s">
        <v>190</v>
      </c>
      <c r="II882" s="319" t="s">
        <v>190</v>
      </c>
      <c r="IJ882" s="319" t="s">
        <v>173</v>
      </c>
      <c r="IK882" s="319" t="s">
        <v>173</v>
      </c>
      <c r="IL882" s="319" t="s">
        <v>173</v>
      </c>
      <c r="IM882" s="319" t="s">
        <v>173</v>
      </c>
      <c r="IN882" s="319" t="s">
        <v>173</v>
      </c>
      <c r="IO882" s="319" t="s">
        <v>173</v>
      </c>
      <c r="IP882" s="319" t="s">
        <v>173</v>
      </c>
      <c r="IQ882" s="321" t="s">
        <v>173</v>
      </c>
      <c r="IR882" s="320" t="s">
        <v>173</v>
      </c>
      <c r="IS882" s="322" t="s">
        <v>173</v>
      </c>
      <c r="IT882" s="319" t="s">
        <v>173</v>
      </c>
    </row>
    <row r="883" spans="1:254" s="271" customFormat="1" x14ac:dyDescent="0.25">
      <c r="A883" s="318" t="str">
        <f>HYPERLINK("http://www.ofsted.gov.uk/inspection-reports/find-inspection-report/provider/ELS/143418 ","Ofsted School Webpage")</f>
        <v>Ofsted School Webpage</v>
      </c>
      <c r="B883" s="319">
        <v>143418</v>
      </c>
      <c r="C883" s="319">
        <v>3306032</v>
      </c>
      <c r="D883" s="319" t="s">
        <v>2403</v>
      </c>
      <c r="E883" s="319" t="s">
        <v>167</v>
      </c>
      <c r="F883" s="319" t="s">
        <v>81</v>
      </c>
      <c r="G883" s="319" t="s">
        <v>81</v>
      </c>
      <c r="H883" s="319" t="s">
        <v>81</v>
      </c>
      <c r="I883" s="319" t="s">
        <v>78</v>
      </c>
      <c r="J883" s="319" t="s">
        <v>424</v>
      </c>
      <c r="K883" s="319" t="s">
        <v>437</v>
      </c>
      <c r="L883" s="319" t="s">
        <v>437</v>
      </c>
      <c r="M883" s="319" t="s">
        <v>813</v>
      </c>
      <c r="N883" s="319" t="s">
        <v>2858</v>
      </c>
      <c r="O883" s="319" t="s">
        <v>2404</v>
      </c>
      <c r="P883" s="319">
        <v>9</v>
      </c>
      <c r="Q883" s="319" t="s">
        <v>2776</v>
      </c>
      <c r="R883" s="320">
        <v>10033591</v>
      </c>
      <c r="S883" s="321">
        <v>42899</v>
      </c>
      <c r="T883" s="321">
        <v>42901</v>
      </c>
      <c r="U883" s="321">
        <v>42937</v>
      </c>
      <c r="V883" s="319" t="s">
        <v>435</v>
      </c>
      <c r="W883" s="319" t="s">
        <v>2767</v>
      </c>
      <c r="X883" s="319">
        <v>2</v>
      </c>
      <c r="Y883" s="319" t="s">
        <v>173</v>
      </c>
      <c r="Z883" s="319" t="s">
        <v>173</v>
      </c>
      <c r="AA883" s="319" t="s">
        <v>173</v>
      </c>
      <c r="AB883" s="319">
        <v>2</v>
      </c>
      <c r="AC883" s="319" t="s">
        <v>169</v>
      </c>
      <c r="AD883" s="319" t="s">
        <v>173</v>
      </c>
      <c r="AE883" s="319" t="s">
        <v>173</v>
      </c>
      <c r="AF883" s="319" t="s">
        <v>173</v>
      </c>
      <c r="AG883" s="319" t="s">
        <v>171</v>
      </c>
      <c r="AH883" s="319" t="s">
        <v>190</v>
      </c>
      <c r="AI883" s="319" t="s">
        <v>190</v>
      </c>
      <c r="AJ883" s="319" t="s">
        <v>190</v>
      </c>
      <c r="AK883" s="319" t="s">
        <v>190</v>
      </c>
      <c r="AL883" s="319" t="s">
        <v>190</v>
      </c>
      <c r="AM883" s="319" t="s">
        <v>190</v>
      </c>
      <c r="AN883" s="319" t="s">
        <v>190</v>
      </c>
      <c r="AO883" s="319" t="s">
        <v>190</v>
      </c>
      <c r="AP883" s="319" t="s">
        <v>190</v>
      </c>
      <c r="AQ883" s="319" t="s">
        <v>190</v>
      </c>
      <c r="AR883" s="319" t="s">
        <v>190</v>
      </c>
      <c r="AS883" s="319" t="s">
        <v>190</v>
      </c>
      <c r="AT883" s="319" t="s">
        <v>190</v>
      </c>
      <c r="AU883" s="319" t="s">
        <v>190</v>
      </c>
      <c r="AV883" s="319" t="s">
        <v>190</v>
      </c>
      <c r="AW883" s="319" t="s">
        <v>190</v>
      </c>
      <c r="AX883" s="319" t="s">
        <v>429</v>
      </c>
      <c r="AY883" s="319" t="s">
        <v>190</v>
      </c>
      <c r="AZ883" s="319" t="s">
        <v>190</v>
      </c>
      <c r="BA883" s="319" t="s">
        <v>190</v>
      </c>
      <c r="BB883" s="319" t="s">
        <v>190</v>
      </c>
      <c r="BC883" s="319" t="s">
        <v>190</v>
      </c>
      <c r="BD883" s="319" t="s">
        <v>190</v>
      </c>
      <c r="BE883" s="319" t="s">
        <v>190</v>
      </c>
      <c r="BF883" s="319" t="s">
        <v>429</v>
      </c>
      <c r="BG883" s="319" t="s">
        <v>190</v>
      </c>
      <c r="BH883" s="319" t="s">
        <v>190</v>
      </c>
      <c r="BI883" s="319" t="s">
        <v>190</v>
      </c>
      <c r="BJ883" s="319" t="s">
        <v>190</v>
      </c>
      <c r="BK883" s="319" t="s">
        <v>190</v>
      </c>
      <c r="BL883" s="319" t="s">
        <v>190</v>
      </c>
      <c r="BM883" s="319" t="s">
        <v>190</v>
      </c>
      <c r="BN883" s="319" t="s">
        <v>190</v>
      </c>
      <c r="BO883" s="319" t="s">
        <v>190</v>
      </c>
      <c r="BP883" s="319" t="s">
        <v>190</v>
      </c>
      <c r="BQ883" s="319" t="s">
        <v>190</v>
      </c>
      <c r="BR883" s="319" t="s">
        <v>190</v>
      </c>
      <c r="BS883" s="319" t="s">
        <v>190</v>
      </c>
      <c r="BT883" s="319" t="s">
        <v>190</v>
      </c>
      <c r="BU883" s="319" t="s">
        <v>190</v>
      </c>
      <c r="BV883" s="319" t="s">
        <v>190</v>
      </c>
      <c r="BW883" s="319" t="s">
        <v>190</v>
      </c>
      <c r="BX883" s="319" t="s">
        <v>190</v>
      </c>
      <c r="BY883" s="319" t="s">
        <v>190</v>
      </c>
      <c r="BZ883" s="319" t="s">
        <v>190</v>
      </c>
      <c r="CA883" s="319" t="s">
        <v>190</v>
      </c>
      <c r="CB883" s="319" t="s">
        <v>190</v>
      </c>
      <c r="CC883" s="319" t="s">
        <v>190</v>
      </c>
      <c r="CD883" s="319" t="s">
        <v>190</v>
      </c>
      <c r="CE883" s="319" t="s">
        <v>190</v>
      </c>
      <c r="CF883" s="319" t="s">
        <v>190</v>
      </c>
      <c r="CG883" s="319" t="s">
        <v>190</v>
      </c>
      <c r="CH883" s="319" t="s">
        <v>190</v>
      </c>
      <c r="CI883" s="319" t="s">
        <v>190</v>
      </c>
      <c r="CJ883" s="319" t="s">
        <v>190</v>
      </c>
      <c r="CK883" s="319" t="s">
        <v>190</v>
      </c>
      <c r="CL883" s="319" t="s">
        <v>190</v>
      </c>
      <c r="CM883" s="319" t="s">
        <v>190</v>
      </c>
      <c r="CN883" s="319" t="s">
        <v>429</v>
      </c>
      <c r="CO883" s="319" t="s">
        <v>429</v>
      </c>
      <c r="CP883" s="319" t="s">
        <v>429</v>
      </c>
      <c r="CQ883" s="319" t="s">
        <v>190</v>
      </c>
      <c r="CR883" s="319" t="s">
        <v>190</v>
      </c>
      <c r="CS883" s="319" t="s">
        <v>190</v>
      </c>
      <c r="CT883" s="319" t="s">
        <v>190</v>
      </c>
      <c r="CU883" s="319" t="s">
        <v>190</v>
      </c>
      <c r="CV883" s="319" t="s">
        <v>190</v>
      </c>
      <c r="CW883" s="319" t="s">
        <v>190</v>
      </c>
      <c r="CX883" s="319" t="s">
        <v>190</v>
      </c>
      <c r="CY883" s="319" t="s">
        <v>190</v>
      </c>
      <c r="CZ883" s="319" t="s">
        <v>190</v>
      </c>
      <c r="DA883" s="319" t="s">
        <v>190</v>
      </c>
      <c r="DB883" s="319" t="s">
        <v>190</v>
      </c>
      <c r="DC883" s="319" t="s">
        <v>190</v>
      </c>
      <c r="DD883" s="319" t="s">
        <v>190</v>
      </c>
      <c r="DE883" s="319" t="s">
        <v>190</v>
      </c>
      <c r="DF883" s="319" t="s">
        <v>190</v>
      </c>
      <c r="DG883" s="319" t="s">
        <v>190</v>
      </c>
      <c r="DH883" s="319" t="s">
        <v>190</v>
      </c>
      <c r="DI883" s="319" t="s">
        <v>190</v>
      </c>
      <c r="DJ883" s="319" t="s">
        <v>190</v>
      </c>
      <c r="DK883" s="319" t="s">
        <v>190</v>
      </c>
      <c r="DL883" s="319" t="s">
        <v>190</v>
      </c>
      <c r="DM883" s="319" t="s">
        <v>429</v>
      </c>
      <c r="DN883" s="319" t="s">
        <v>429</v>
      </c>
      <c r="DO883" s="319" t="s">
        <v>190</v>
      </c>
      <c r="DP883" s="319" t="s">
        <v>429</v>
      </c>
      <c r="DQ883" s="319" t="s">
        <v>429</v>
      </c>
      <c r="DR883" s="319" t="s">
        <v>429</v>
      </c>
      <c r="DS883" s="319" t="s">
        <v>429</v>
      </c>
      <c r="DT883" s="319" t="s">
        <v>429</v>
      </c>
      <c r="DU883" s="319" t="s">
        <v>429</v>
      </c>
      <c r="DV883" s="319" t="s">
        <v>173</v>
      </c>
      <c r="DW883" s="319" t="s">
        <v>429</v>
      </c>
      <c r="DX883" s="319" t="s">
        <v>429</v>
      </c>
      <c r="DY883" s="319" t="s">
        <v>429</v>
      </c>
      <c r="DZ883" s="319" t="s">
        <v>429</v>
      </c>
      <c r="EA883" s="319" t="s">
        <v>429</v>
      </c>
      <c r="EB883" s="319" t="s">
        <v>429</v>
      </c>
      <c r="EC883" s="319" t="s">
        <v>429</v>
      </c>
      <c r="ED883" s="319" t="s">
        <v>190</v>
      </c>
      <c r="EE883" s="319" t="s">
        <v>190</v>
      </c>
      <c r="EF883" s="319" t="s">
        <v>190</v>
      </c>
      <c r="EG883" s="319" t="s">
        <v>190</v>
      </c>
      <c r="EH883" s="319" t="s">
        <v>190</v>
      </c>
      <c r="EI883" s="319" t="s">
        <v>190</v>
      </c>
      <c r="EJ883" s="319" t="s">
        <v>190</v>
      </c>
      <c r="EK883" s="319" t="s">
        <v>190</v>
      </c>
      <c r="EL883" s="319" t="s">
        <v>190</v>
      </c>
      <c r="EM883" s="319" t="s">
        <v>190</v>
      </c>
      <c r="EN883" s="319" t="s">
        <v>190</v>
      </c>
      <c r="EO883" s="319" t="s">
        <v>190</v>
      </c>
      <c r="EP883" s="319" t="s">
        <v>190</v>
      </c>
      <c r="EQ883" s="319" t="s">
        <v>190</v>
      </c>
      <c r="ER883" s="319" t="s">
        <v>190</v>
      </c>
      <c r="ES883" s="319" t="s">
        <v>190</v>
      </c>
      <c r="ET883" s="319" t="s">
        <v>190</v>
      </c>
      <c r="EU883" s="319" t="s">
        <v>190</v>
      </c>
      <c r="EV883" s="319" t="s">
        <v>190</v>
      </c>
      <c r="EW883" s="319" t="s">
        <v>190</v>
      </c>
      <c r="EX883" s="319" t="s">
        <v>190</v>
      </c>
      <c r="EY883" s="319" t="s">
        <v>190</v>
      </c>
      <c r="EZ883" s="319" t="s">
        <v>190</v>
      </c>
      <c r="FA883" s="319" t="s">
        <v>429</v>
      </c>
      <c r="FB883" s="319" t="s">
        <v>429</v>
      </c>
      <c r="FC883" s="319" t="s">
        <v>429</v>
      </c>
      <c r="FD883" s="319" t="s">
        <v>429</v>
      </c>
      <c r="FE883" s="319" t="s">
        <v>429</v>
      </c>
      <c r="FF883" s="319" t="s">
        <v>429</v>
      </c>
      <c r="FG883" s="319" t="s">
        <v>429</v>
      </c>
      <c r="FH883" s="319" t="s">
        <v>190</v>
      </c>
      <c r="FI883" s="319" t="s">
        <v>190</v>
      </c>
      <c r="FJ883" s="319" t="s">
        <v>190</v>
      </c>
      <c r="FK883" s="319" t="s">
        <v>190</v>
      </c>
      <c r="FL883" s="319" t="s">
        <v>190</v>
      </c>
      <c r="FM883" s="319" t="s">
        <v>190</v>
      </c>
      <c r="FN883" s="319" t="s">
        <v>190</v>
      </c>
      <c r="FO883" s="319" t="s">
        <v>190</v>
      </c>
      <c r="FP883" s="319" t="s">
        <v>190</v>
      </c>
      <c r="FQ883" s="319" t="s">
        <v>190</v>
      </c>
      <c r="FR883" s="319" t="s">
        <v>190</v>
      </c>
      <c r="FS883" s="319" t="s">
        <v>429</v>
      </c>
      <c r="FT883" s="319" t="s">
        <v>190</v>
      </c>
      <c r="FU883" s="319" t="s">
        <v>190</v>
      </c>
      <c r="FV883" s="319" t="s">
        <v>190</v>
      </c>
      <c r="FW883" s="319" t="s">
        <v>190</v>
      </c>
      <c r="FX883" s="319" t="s">
        <v>190</v>
      </c>
      <c r="FY883" s="319" t="s">
        <v>190</v>
      </c>
      <c r="FZ883" s="319" t="s">
        <v>190</v>
      </c>
      <c r="GA883" s="319" t="s">
        <v>190</v>
      </c>
      <c r="GB883" s="319" t="s">
        <v>190</v>
      </c>
      <c r="GC883" s="319" t="s">
        <v>190</v>
      </c>
      <c r="GD883" s="319" t="s">
        <v>190</v>
      </c>
      <c r="GE883" s="319" t="s">
        <v>190</v>
      </c>
      <c r="GF883" s="319" t="s">
        <v>190</v>
      </c>
      <c r="GG883" s="319" t="s">
        <v>190</v>
      </c>
      <c r="GH883" s="319" t="s">
        <v>190</v>
      </c>
      <c r="GI883" s="319" t="s">
        <v>190</v>
      </c>
      <c r="GJ883" s="319" t="s">
        <v>190</v>
      </c>
      <c r="GK883" s="319" t="s">
        <v>429</v>
      </c>
      <c r="GL883" s="319" t="s">
        <v>190</v>
      </c>
      <c r="GM883" s="319" t="s">
        <v>190</v>
      </c>
      <c r="GN883" s="319" t="s">
        <v>190</v>
      </c>
      <c r="GO883" s="319" t="s">
        <v>190</v>
      </c>
      <c r="GP883" s="319" t="s">
        <v>190</v>
      </c>
      <c r="GQ883" s="319" t="s">
        <v>190</v>
      </c>
      <c r="GR883" s="319" t="s">
        <v>190</v>
      </c>
      <c r="GS883" s="319" t="s">
        <v>190</v>
      </c>
      <c r="GT883" s="319" t="s">
        <v>190</v>
      </c>
      <c r="GU883" s="319" t="s">
        <v>429</v>
      </c>
      <c r="GV883" s="319" t="s">
        <v>190</v>
      </c>
      <c r="GW883" s="319" t="s">
        <v>190</v>
      </c>
      <c r="GX883" s="319" t="s">
        <v>190</v>
      </c>
      <c r="GY883" s="319" t="s">
        <v>190</v>
      </c>
      <c r="GZ883" s="319" t="s">
        <v>190</v>
      </c>
      <c r="HA883" s="319" t="s">
        <v>190</v>
      </c>
      <c r="HB883" s="319" t="s">
        <v>429</v>
      </c>
      <c r="HC883" s="319" t="s">
        <v>190</v>
      </c>
      <c r="HD883" s="319" t="s">
        <v>190</v>
      </c>
      <c r="HE883" s="319" t="s">
        <v>190</v>
      </c>
      <c r="HF883" s="319" t="s">
        <v>190</v>
      </c>
      <c r="HG883" s="319" t="s">
        <v>190</v>
      </c>
      <c r="HH883" s="319" t="s">
        <v>190</v>
      </c>
      <c r="HI883" s="319" t="s">
        <v>190</v>
      </c>
      <c r="HJ883" s="319" t="s">
        <v>190</v>
      </c>
      <c r="HK883" s="319" t="s">
        <v>190</v>
      </c>
      <c r="HL883" s="319" t="s">
        <v>429</v>
      </c>
      <c r="HM883" s="319" t="s">
        <v>429</v>
      </c>
      <c r="HN883" s="319" t="s">
        <v>429</v>
      </c>
      <c r="HO883" s="319" t="s">
        <v>429</v>
      </c>
      <c r="HP883" s="319" t="s">
        <v>190</v>
      </c>
      <c r="HQ883" s="319" t="s">
        <v>190</v>
      </c>
      <c r="HR883" s="319" t="s">
        <v>190</v>
      </c>
      <c r="HS883" s="319" t="s">
        <v>190</v>
      </c>
      <c r="HT883" s="319" t="s">
        <v>190</v>
      </c>
      <c r="HU883" s="319" t="s">
        <v>190</v>
      </c>
      <c r="HV883" s="319" t="s">
        <v>190</v>
      </c>
      <c r="HW883" s="319" t="s">
        <v>190</v>
      </c>
      <c r="HX883" s="319" t="s">
        <v>190</v>
      </c>
      <c r="HY883" s="319" t="s">
        <v>190</v>
      </c>
      <c r="HZ883" s="319" t="s">
        <v>190</v>
      </c>
      <c r="IA883" s="319" t="s">
        <v>190</v>
      </c>
      <c r="IB883" s="319" t="s">
        <v>190</v>
      </c>
      <c r="IC883" s="319" t="s">
        <v>190</v>
      </c>
      <c r="ID883" s="319" t="s">
        <v>190</v>
      </c>
      <c r="IE883" s="319" t="s">
        <v>190</v>
      </c>
      <c r="IF883" s="319" t="s">
        <v>190</v>
      </c>
      <c r="IG883" s="319" t="s">
        <v>190</v>
      </c>
      <c r="IH883" s="319" t="s">
        <v>190</v>
      </c>
      <c r="II883" s="319" t="s">
        <v>190</v>
      </c>
      <c r="IJ883" s="319" t="s">
        <v>173</v>
      </c>
      <c r="IK883" s="319" t="s">
        <v>173</v>
      </c>
      <c r="IL883" s="319" t="s">
        <v>173</v>
      </c>
      <c r="IM883" s="319" t="s">
        <v>173</v>
      </c>
      <c r="IN883" s="319" t="s">
        <v>173</v>
      </c>
      <c r="IO883" s="319" t="s">
        <v>173</v>
      </c>
      <c r="IP883" s="319" t="s">
        <v>173</v>
      </c>
      <c r="IQ883" s="321" t="s">
        <v>173</v>
      </c>
      <c r="IR883" s="320" t="s">
        <v>173</v>
      </c>
      <c r="IS883" s="322" t="s">
        <v>173</v>
      </c>
      <c r="IT883" s="319" t="s">
        <v>173</v>
      </c>
    </row>
    <row r="884" spans="1:254" s="271" customFormat="1" ht="30" x14ac:dyDescent="0.25">
      <c r="A884" s="318" t="str">
        <f>HYPERLINK("http://www.ofsted.gov.uk/inspection-reports/find-inspection-report/provider/ELS/143429 ","Ofsted School Webpage")</f>
        <v>Ofsted School Webpage</v>
      </c>
      <c r="B884" s="319">
        <v>143429</v>
      </c>
      <c r="C884" s="319">
        <v>8076001</v>
      </c>
      <c r="D884" s="319" t="s">
        <v>1052</v>
      </c>
      <c r="E884" s="319" t="s">
        <v>167</v>
      </c>
      <c r="F884" s="319" t="s">
        <v>81</v>
      </c>
      <c r="G884" s="319" t="s">
        <v>81</v>
      </c>
      <c r="H884" s="319" t="s">
        <v>81</v>
      </c>
      <c r="I884" s="319" t="s">
        <v>78</v>
      </c>
      <c r="J884" s="319" t="s">
        <v>424</v>
      </c>
      <c r="K884" s="319" t="s">
        <v>458</v>
      </c>
      <c r="L884" s="319" t="s">
        <v>474</v>
      </c>
      <c r="M884" s="319" t="s">
        <v>1053</v>
      </c>
      <c r="N884" s="319" t="s">
        <v>3544</v>
      </c>
      <c r="O884" s="319" t="s">
        <v>1054</v>
      </c>
      <c r="P884" s="319">
        <v>16</v>
      </c>
      <c r="Q884" s="319" t="s">
        <v>2766</v>
      </c>
      <c r="R884" s="320">
        <v>10040149</v>
      </c>
      <c r="S884" s="321">
        <v>43074</v>
      </c>
      <c r="T884" s="321">
        <v>43076</v>
      </c>
      <c r="U884" s="321">
        <v>43124</v>
      </c>
      <c r="V884" s="319" t="s">
        <v>435</v>
      </c>
      <c r="W884" s="319" t="s">
        <v>2767</v>
      </c>
      <c r="X884" s="319">
        <v>2</v>
      </c>
      <c r="Y884" s="319" t="s">
        <v>173</v>
      </c>
      <c r="Z884" s="319" t="s">
        <v>173</v>
      </c>
      <c r="AA884" s="319" t="s">
        <v>173</v>
      </c>
      <c r="AB884" s="319">
        <v>2</v>
      </c>
      <c r="AC884" s="319" t="s">
        <v>169</v>
      </c>
      <c r="AD884" s="319" t="s">
        <v>173</v>
      </c>
      <c r="AE884" s="319" t="s">
        <v>173</v>
      </c>
      <c r="AF884" s="319" t="s">
        <v>427</v>
      </c>
      <c r="AG884" s="319" t="s">
        <v>171</v>
      </c>
      <c r="AH884" s="319" t="s">
        <v>190</v>
      </c>
      <c r="AI884" s="319" t="s">
        <v>190</v>
      </c>
      <c r="AJ884" s="319" t="s">
        <v>190</v>
      </c>
      <c r="AK884" s="319" t="s">
        <v>190</v>
      </c>
      <c r="AL884" s="319" t="s">
        <v>190</v>
      </c>
      <c r="AM884" s="319" t="s">
        <v>190</v>
      </c>
      <c r="AN884" s="319" t="s">
        <v>190</v>
      </c>
      <c r="AO884" s="319" t="s">
        <v>190</v>
      </c>
      <c r="AP884" s="319" t="s">
        <v>190</v>
      </c>
      <c r="AQ884" s="319" t="s">
        <v>190</v>
      </c>
      <c r="AR884" s="319" t="s">
        <v>190</v>
      </c>
      <c r="AS884" s="319" t="s">
        <v>190</v>
      </c>
      <c r="AT884" s="319" t="s">
        <v>190</v>
      </c>
      <c r="AU884" s="319" t="s">
        <v>190</v>
      </c>
      <c r="AV884" s="319" t="s">
        <v>190</v>
      </c>
      <c r="AW884" s="319" t="s">
        <v>190</v>
      </c>
      <c r="AX884" s="319" t="s">
        <v>428</v>
      </c>
      <c r="AY884" s="319" t="s">
        <v>190</v>
      </c>
      <c r="AZ884" s="319" t="s">
        <v>190</v>
      </c>
      <c r="BA884" s="319" t="s">
        <v>190</v>
      </c>
      <c r="BB884" s="319" t="s">
        <v>190</v>
      </c>
      <c r="BC884" s="319" t="s">
        <v>190</v>
      </c>
      <c r="BD884" s="319" t="s">
        <v>190</v>
      </c>
      <c r="BE884" s="319" t="s">
        <v>190</v>
      </c>
      <c r="BF884" s="319" t="s">
        <v>428</v>
      </c>
      <c r="BG884" s="319" t="s">
        <v>428</v>
      </c>
      <c r="BH884" s="319" t="s">
        <v>190</v>
      </c>
      <c r="BI884" s="319" t="s">
        <v>190</v>
      </c>
      <c r="BJ884" s="319" t="s">
        <v>190</v>
      </c>
      <c r="BK884" s="319" t="s">
        <v>190</v>
      </c>
      <c r="BL884" s="319" t="s">
        <v>190</v>
      </c>
      <c r="BM884" s="319" t="s">
        <v>190</v>
      </c>
      <c r="BN884" s="319" t="s">
        <v>190</v>
      </c>
      <c r="BO884" s="319" t="s">
        <v>190</v>
      </c>
      <c r="BP884" s="319" t="s">
        <v>190</v>
      </c>
      <c r="BQ884" s="319" t="s">
        <v>190</v>
      </c>
      <c r="BR884" s="319" t="s">
        <v>190</v>
      </c>
      <c r="BS884" s="319" t="s">
        <v>190</v>
      </c>
      <c r="BT884" s="319" t="s">
        <v>190</v>
      </c>
      <c r="BU884" s="319" t="s">
        <v>190</v>
      </c>
      <c r="BV884" s="319" t="s">
        <v>190</v>
      </c>
      <c r="BW884" s="319" t="s">
        <v>190</v>
      </c>
      <c r="BX884" s="319" t="s">
        <v>190</v>
      </c>
      <c r="BY884" s="319" t="s">
        <v>190</v>
      </c>
      <c r="BZ884" s="319" t="s">
        <v>190</v>
      </c>
      <c r="CA884" s="319" t="s">
        <v>190</v>
      </c>
      <c r="CB884" s="319" t="s">
        <v>190</v>
      </c>
      <c r="CC884" s="319" t="s">
        <v>190</v>
      </c>
      <c r="CD884" s="319" t="s">
        <v>190</v>
      </c>
      <c r="CE884" s="319" t="s">
        <v>190</v>
      </c>
      <c r="CF884" s="319" t="s">
        <v>190</v>
      </c>
      <c r="CG884" s="319" t="s">
        <v>190</v>
      </c>
      <c r="CH884" s="319" t="s">
        <v>190</v>
      </c>
      <c r="CI884" s="319" t="s">
        <v>190</v>
      </c>
      <c r="CJ884" s="319" t="s">
        <v>190</v>
      </c>
      <c r="CK884" s="319" t="s">
        <v>190</v>
      </c>
      <c r="CL884" s="319" t="s">
        <v>190</v>
      </c>
      <c r="CM884" s="319" t="s">
        <v>190</v>
      </c>
      <c r="CN884" s="319" t="s">
        <v>428</v>
      </c>
      <c r="CO884" s="319" t="s">
        <v>428</v>
      </c>
      <c r="CP884" s="319" t="s">
        <v>428</v>
      </c>
      <c r="CQ884" s="319" t="s">
        <v>190</v>
      </c>
      <c r="CR884" s="319" t="s">
        <v>190</v>
      </c>
      <c r="CS884" s="319" t="s">
        <v>190</v>
      </c>
      <c r="CT884" s="319" t="s">
        <v>190</v>
      </c>
      <c r="CU884" s="319" t="s">
        <v>190</v>
      </c>
      <c r="CV884" s="319" t="s">
        <v>190</v>
      </c>
      <c r="CW884" s="319" t="s">
        <v>190</v>
      </c>
      <c r="CX884" s="319" t="s">
        <v>190</v>
      </c>
      <c r="CY884" s="319" t="s">
        <v>190</v>
      </c>
      <c r="CZ884" s="319" t="s">
        <v>190</v>
      </c>
      <c r="DA884" s="319" t="s">
        <v>190</v>
      </c>
      <c r="DB884" s="319" t="s">
        <v>190</v>
      </c>
      <c r="DC884" s="319" t="s">
        <v>190</v>
      </c>
      <c r="DD884" s="319" t="s">
        <v>190</v>
      </c>
      <c r="DE884" s="319" t="s">
        <v>190</v>
      </c>
      <c r="DF884" s="319" t="s">
        <v>190</v>
      </c>
      <c r="DG884" s="319" t="s">
        <v>190</v>
      </c>
      <c r="DH884" s="319" t="s">
        <v>190</v>
      </c>
      <c r="DI884" s="319" t="s">
        <v>190</v>
      </c>
      <c r="DJ884" s="319" t="s">
        <v>190</v>
      </c>
      <c r="DK884" s="319" t="s">
        <v>190</v>
      </c>
      <c r="DL884" s="319" t="s">
        <v>190</v>
      </c>
      <c r="DM884" s="319" t="s">
        <v>428</v>
      </c>
      <c r="DN884" s="319" t="s">
        <v>428</v>
      </c>
      <c r="DO884" s="319" t="s">
        <v>190</v>
      </c>
      <c r="DP884" s="319" t="s">
        <v>428</v>
      </c>
      <c r="DQ884" s="319" t="s">
        <v>428</v>
      </c>
      <c r="DR884" s="319" t="s">
        <v>428</v>
      </c>
      <c r="DS884" s="319" t="s">
        <v>428</v>
      </c>
      <c r="DT884" s="319" t="s">
        <v>428</v>
      </c>
      <c r="DU884" s="319" t="s">
        <v>428</v>
      </c>
      <c r="DV884" s="319" t="s">
        <v>173</v>
      </c>
      <c r="DW884" s="319" t="s">
        <v>428</v>
      </c>
      <c r="DX884" s="319" t="s">
        <v>428</v>
      </c>
      <c r="DY884" s="319" t="s">
        <v>428</v>
      </c>
      <c r="DZ884" s="319" t="s">
        <v>428</v>
      </c>
      <c r="EA884" s="319" t="s">
        <v>428</v>
      </c>
      <c r="EB884" s="319" t="s">
        <v>428</v>
      </c>
      <c r="EC884" s="319" t="s">
        <v>428</v>
      </c>
      <c r="ED884" s="319" t="s">
        <v>428</v>
      </c>
      <c r="EE884" s="319" t="s">
        <v>190</v>
      </c>
      <c r="EF884" s="319" t="s">
        <v>190</v>
      </c>
      <c r="EG884" s="319" t="s">
        <v>190</v>
      </c>
      <c r="EH884" s="319" t="s">
        <v>190</v>
      </c>
      <c r="EI884" s="319" t="s">
        <v>190</v>
      </c>
      <c r="EJ884" s="319" t="s">
        <v>190</v>
      </c>
      <c r="EK884" s="319" t="s">
        <v>190</v>
      </c>
      <c r="EL884" s="319" t="s">
        <v>428</v>
      </c>
      <c r="EM884" s="319" t="s">
        <v>190</v>
      </c>
      <c r="EN884" s="319" t="s">
        <v>190</v>
      </c>
      <c r="EO884" s="319" t="s">
        <v>190</v>
      </c>
      <c r="EP884" s="319" t="s">
        <v>190</v>
      </c>
      <c r="EQ884" s="319" t="s">
        <v>190</v>
      </c>
      <c r="ER884" s="319" t="s">
        <v>190</v>
      </c>
      <c r="ES884" s="319" t="s">
        <v>190</v>
      </c>
      <c r="ET884" s="319" t="s">
        <v>190</v>
      </c>
      <c r="EU884" s="319" t="s">
        <v>190</v>
      </c>
      <c r="EV884" s="319" t="s">
        <v>190</v>
      </c>
      <c r="EW884" s="319" t="s">
        <v>190</v>
      </c>
      <c r="EX884" s="319" t="s">
        <v>190</v>
      </c>
      <c r="EY884" s="319" t="s">
        <v>190</v>
      </c>
      <c r="EZ884" s="319" t="s">
        <v>190</v>
      </c>
      <c r="FA884" s="319" t="s">
        <v>428</v>
      </c>
      <c r="FB884" s="319" t="s">
        <v>428</v>
      </c>
      <c r="FC884" s="319" t="s">
        <v>428</v>
      </c>
      <c r="FD884" s="319" t="s">
        <v>428</v>
      </c>
      <c r="FE884" s="319" t="s">
        <v>428</v>
      </c>
      <c r="FF884" s="319" t="s">
        <v>428</v>
      </c>
      <c r="FG884" s="319" t="s">
        <v>428</v>
      </c>
      <c r="FH884" s="319" t="s">
        <v>190</v>
      </c>
      <c r="FI884" s="319" t="s">
        <v>428</v>
      </c>
      <c r="FJ884" s="319" t="s">
        <v>429</v>
      </c>
      <c r="FK884" s="319" t="s">
        <v>428</v>
      </c>
      <c r="FL884" s="319" t="s">
        <v>190</v>
      </c>
      <c r="FM884" s="319" t="s">
        <v>190</v>
      </c>
      <c r="FN884" s="319" t="s">
        <v>190</v>
      </c>
      <c r="FO884" s="319" t="s">
        <v>190</v>
      </c>
      <c r="FP884" s="319" t="s">
        <v>190</v>
      </c>
      <c r="FQ884" s="319" t="s">
        <v>190</v>
      </c>
      <c r="FR884" s="319" t="s">
        <v>190</v>
      </c>
      <c r="FS884" s="319" t="s">
        <v>428</v>
      </c>
      <c r="FT884" s="319" t="s">
        <v>190</v>
      </c>
      <c r="FU884" s="319" t="s">
        <v>190</v>
      </c>
      <c r="FV884" s="319" t="s">
        <v>190</v>
      </c>
      <c r="FW884" s="319" t="s">
        <v>190</v>
      </c>
      <c r="FX884" s="319" t="s">
        <v>190</v>
      </c>
      <c r="FY884" s="319" t="s">
        <v>190</v>
      </c>
      <c r="FZ884" s="319" t="s">
        <v>190</v>
      </c>
      <c r="GA884" s="319" t="s">
        <v>190</v>
      </c>
      <c r="GB884" s="319" t="s">
        <v>190</v>
      </c>
      <c r="GC884" s="319" t="s">
        <v>190</v>
      </c>
      <c r="GD884" s="319" t="s">
        <v>190</v>
      </c>
      <c r="GE884" s="319" t="s">
        <v>190</v>
      </c>
      <c r="GF884" s="319" t="s">
        <v>190</v>
      </c>
      <c r="GG884" s="319" t="s">
        <v>190</v>
      </c>
      <c r="GH884" s="319" t="s">
        <v>190</v>
      </c>
      <c r="GI884" s="319" t="s">
        <v>190</v>
      </c>
      <c r="GJ884" s="319" t="s">
        <v>190</v>
      </c>
      <c r="GK884" s="319" t="s">
        <v>428</v>
      </c>
      <c r="GL884" s="319" t="s">
        <v>190</v>
      </c>
      <c r="GM884" s="319" t="s">
        <v>190</v>
      </c>
      <c r="GN884" s="319" t="s">
        <v>190</v>
      </c>
      <c r="GO884" s="319" t="s">
        <v>190</v>
      </c>
      <c r="GP884" s="319" t="s">
        <v>190</v>
      </c>
      <c r="GQ884" s="319" t="s">
        <v>428</v>
      </c>
      <c r="GR884" s="319" t="s">
        <v>190</v>
      </c>
      <c r="GS884" s="319" t="s">
        <v>190</v>
      </c>
      <c r="GT884" s="319" t="s">
        <v>190</v>
      </c>
      <c r="GU884" s="319" t="s">
        <v>190</v>
      </c>
      <c r="GV884" s="319" t="s">
        <v>190</v>
      </c>
      <c r="GW884" s="319" t="s">
        <v>190</v>
      </c>
      <c r="GX884" s="319" t="s">
        <v>190</v>
      </c>
      <c r="GY884" s="319" t="s">
        <v>190</v>
      </c>
      <c r="GZ884" s="319" t="s">
        <v>190</v>
      </c>
      <c r="HA884" s="319" t="s">
        <v>428</v>
      </c>
      <c r="HB884" s="319" t="s">
        <v>428</v>
      </c>
      <c r="HC884" s="319" t="s">
        <v>190</v>
      </c>
      <c r="HD884" s="319" t="s">
        <v>190</v>
      </c>
      <c r="HE884" s="319" t="s">
        <v>190</v>
      </c>
      <c r="HF884" s="319" t="s">
        <v>190</v>
      </c>
      <c r="HG884" s="319" t="s">
        <v>190</v>
      </c>
      <c r="HH884" s="319" t="s">
        <v>190</v>
      </c>
      <c r="HI884" s="319" t="s">
        <v>190</v>
      </c>
      <c r="HJ884" s="319" t="s">
        <v>190</v>
      </c>
      <c r="HK884" s="319" t="s">
        <v>190</v>
      </c>
      <c r="HL884" s="319" t="s">
        <v>190</v>
      </c>
      <c r="HM884" s="319" t="s">
        <v>428</v>
      </c>
      <c r="HN884" s="319" t="s">
        <v>428</v>
      </c>
      <c r="HO884" s="319" t="s">
        <v>428</v>
      </c>
      <c r="HP884" s="319" t="s">
        <v>190</v>
      </c>
      <c r="HQ884" s="319" t="s">
        <v>190</v>
      </c>
      <c r="HR884" s="319" t="s">
        <v>190</v>
      </c>
      <c r="HS884" s="319" t="s">
        <v>190</v>
      </c>
      <c r="HT884" s="319" t="s">
        <v>190</v>
      </c>
      <c r="HU884" s="319" t="s">
        <v>190</v>
      </c>
      <c r="HV884" s="319" t="s">
        <v>190</v>
      </c>
      <c r="HW884" s="319" t="s">
        <v>190</v>
      </c>
      <c r="HX884" s="319" t="s">
        <v>190</v>
      </c>
      <c r="HY884" s="319" t="s">
        <v>190</v>
      </c>
      <c r="HZ884" s="319" t="s">
        <v>190</v>
      </c>
      <c r="IA884" s="319" t="s">
        <v>190</v>
      </c>
      <c r="IB884" s="319" t="s">
        <v>190</v>
      </c>
      <c r="IC884" s="319" t="s">
        <v>190</v>
      </c>
      <c r="ID884" s="319" t="s">
        <v>190</v>
      </c>
      <c r="IE884" s="319" t="s">
        <v>190</v>
      </c>
      <c r="IF884" s="319" t="s">
        <v>190</v>
      </c>
      <c r="IG884" s="319" t="s">
        <v>190</v>
      </c>
      <c r="IH884" s="319" t="s">
        <v>190</v>
      </c>
      <c r="II884" s="319" t="s">
        <v>190</v>
      </c>
      <c r="IJ884" s="319" t="s">
        <v>173</v>
      </c>
      <c r="IK884" s="319" t="s">
        <v>173</v>
      </c>
      <c r="IL884" s="319" t="s">
        <v>173</v>
      </c>
      <c r="IM884" s="319" t="s">
        <v>173</v>
      </c>
      <c r="IN884" s="319" t="s">
        <v>173</v>
      </c>
      <c r="IO884" s="319" t="s">
        <v>173</v>
      </c>
      <c r="IP884" s="319" t="s">
        <v>173</v>
      </c>
      <c r="IQ884" s="321" t="s">
        <v>173</v>
      </c>
      <c r="IR884" s="320" t="s">
        <v>173</v>
      </c>
      <c r="IS884" s="322" t="s">
        <v>173</v>
      </c>
      <c r="IT884" s="319" t="s">
        <v>173</v>
      </c>
    </row>
    <row r="885" spans="1:254" s="271" customFormat="1" x14ac:dyDescent="0.25">
      <c r="A885" s="318" t="str">
        <f>HYPERLINK("http://www.ofsted.gov.uk/inspection-reports/find-inspection-report/provider/ELS/143531 ","Ofsted School Webpage")</f>
        <v>Ofsted School Webpage</v>
      </c>
      <c r="B885" s="319">
        <v>143531</v>
      </c>
      <c r="C885" s="319">
        <v>8956003</v>
      </c>
      <c r="D885" s="319" t="s">
        <v>2405</v>
      </c>
      <c r="E885" s="319" t="s">
        <v>168</v>
      </c>
      <c r="F885" s="319" t="s">
        <v>81</v>
      </c>
      <c r="G885" s="319" t="s">
        <v>81</v>
      </c>
      <c r="H885" s="319" t="s">
        <v>81</v>
      </c>
      <c r="I885" s="319" t="s">
        <v>78</v>
      </c>
      <c r="J885" s="319" t="s">
        <v>424</v>
      </c>
      <c r="K885" s="319" t="s">
        <v>431</v>
      </c>
      <c r="L885" s="319" t="s">
        <v>431</v>
      </c>
      <c r="M885" s="319" t="s">
        <v>880</v>
      </c>
      <c r="N885" s="319" t="s">
        <v>3354</v>
      </c>
      <c r="O885" s="319" t="s">
        <v>3545</v>
      </c>
      <c r="P885" s="319">
        <v>2</v>
      </c>
      <c r="Q885" s="319" t="s">
        <v>429</v>
      </c>
      <c r="R885" s="320">
        <v>10103125</v>
      </c>
      <c r="S885" s="321">
        <v>43642</v>
      </c>
      <c r="T885" s="321">
        <v>43643</v>
      </c>
      <c r="U885" s="321">
        <v>43661</v>
      </c>
      <c r="V885" s="319" t="s">
        <v>425</v>
      </c>
      <c r="W885" s="319" t="s">
        <v>2767</v>
      </c>
      <c r="X885" s="319">
        <v>2</v>
      </c>
      <c r="Y885" s="319" t="s">
        <v>173</v>
      </c>
      <c r="Z885" s="319" t="s">
        <v>173</v>
      </c>
      <c r="AA885" s="319" t="s">
        <v>173</v>
      </c>
      <c r="AB885" s="319">
        <v>2</v>
      </c>
      <c r="AC885" s="319" t="s">
        <v>169</v>
      </c>
      <c r="AD885" s="319" t="s">
        <v>173</v>
      </c>
      <c r="AE885" s="319" t="s">
        <v>173</v>
      </c>
      <c r="AF885" s="319" t="s">
        <v>427</v>
      </c>
      <c r="AG885" s="319" t="s">
        <v>171</v>
      </c>
      <c r="AH885" s="319" t="s">
        <v>190</v>
      </c>
      <c r="AI885" s="319" t="s">
        <v>190</v>
      </c>
      <c r="AJ885" s="319" t="s">
        <v>190</v>
      </c>
      <c r="AK885" s="319" t="s">
        <v>190</v>
      </c>
      <c r="AL885" s="319" t="s">
        <v>190</v>
      </c>
      <c r="AM885" s="319" t="s">
        <v>190</v>
      </c>
      <c r="AN885" s="319" t="s">
        <v>190</v>
      </c>
      <c r="AO885" s="319" t="s">
        <v>190</v>
      </c>
      <c r="AP885" s="319" t="s">
        <v>190</v>
      </c>
      <c r="AQ885" s="319" t="s">
        <v>190</v>
      </c>
      <c r="AR885" s="319" t="s">
        <v>190</v>
      </c>
      <c r="AS885" s="319" t="s">
        <v>190</v>
      </c>
      <c r="AT885" s="319" t="s">
        <v>190</v>
      </c>
      <c r="AU885" s="319" t="s">
        <v>190</v>
      </c>
      <c r="AV885" s="319" t="s">
        <v>190</v>
      </c>
      <c r="AW885" s="319" t="s">
        <v>190</v>
      </c>
      <c r="AX885" s="319" t="s">
        <v>428</v>
      </c>
      <c r="AY885" s="319" t="s">
        <v>190</v>
      </c>
      <c r="AZ885" s="319" t="s">
        <v>190</v>
      </c>
      <c r="BA885" s="319" t="s">
        <v>190</v>
      </c>
      <c r="BB885" s="319" t="s">
        <v>190</v>
      </c>
      <c r="BC885" s="319" t="s">
        <v>190</v>
      </c>
      <c r="BD885" s="319" t="s">
        <v>190</v>
      </c>
      <c r="BE885" s="319" t="s">
        <v>190</v>
      </c>
      <c r="BF885" s="319" t="s">
        <v>428</v>
      </c>
      <c r="BG885" s="319" t="s">
        <v>428</v>
      </c>
      <c r="BH885" s="319" t="s">
        <v>190</v>
      </c>
      <c r="BI885" s="319" t="s">
        <v>190</v>
      </c>
      <c r="BJ885" s="319" t="s">
        <v>190</v>
      </c>
      <c r="BK885" s="319" t="s">
        <v>190</v>
      </c>
      <c r="BL885" s="319" t="s">
        <v>190</v>
      </c>
      <c r="BM885" s="319" t="s">
        <v>190</v>
      </c>
      <c r="BN885" s="319" t="s">
        <v>190</v>
      </c>
      <c r="BO885" s="319" t="s">
        <v>190</v>
      </c>
      <c r="BP885" s="319" t="s">
        <v>190</v>
      </c>
      <c r="BQ885" s="319" t="s">
        <v>190</v>
      </c>
      <c r="BR885" s="319" t="s">
        <v>190</v>
      </c>
      <c r="BS885" s="319" t="s">
        <v>190</v>
      </c>
      <c r="BT885" s="319" t="s">
        <v>190</v>
      </c>
      <c r="BU885" s="319" t="s">
        <v>190</v>
      </c>
      <c r="BV885" s="319" t="s">
        <v>190</v>
      </c>
      <c r="BW885" s="319" t="s">
        <v>190</v>
      </c>
      <c r="BX885" s="319" t="s">
        <v>190</v>
      </c>
      <c r="BY885" s="319" t="s">
        <v>190</v>
      </c>
      <c r="BZ885" s="319" t="s">
        <v>190</v>
      </c>
      <c r="CA885" s="319" t="s">
        <v>190</v>
      </c>
      <c r="CB885" s="319" t="s">
        <v>190</v>
      </c>
      <c r="CC885" s="319" t="s">
        <v>190</v>
      </c>
      <c r="CD885" s="319" t="s">
        <v>190</v>
      </c>
      <c r="CE885" s="319" t="s">
        <v>190</v>
      </c>
      <c r="CF885" s="319" t="s">
        <v>190</v>
      </c>
      <c r="CG885" s="319" t="s">
        <v>190</v>
      </c>
      <c r="CH885" s="319" t="s">
        <v>190</v>
      </c>
      <c r="CI885" s="319" t="s">
        <v>190</v>
      </c>
      <c r="CJ885" s="319" t="s">
        <v>190</v>
      </c>
      <c r="CK885" s="319" t="s">
        <v>190</v>
      </c>
      <c r="CL885" s="319" t="s">
        <v>190</v>
      </c>
      <c r="CM885" s="319" t="s">
        <v>190</v>
      </c>
      <c r="CN885" s="319" t="s">
        <v>428</v>
      </c>
      <c r="CO885" s="319" t="s">
        <v>428</v>
      </c>
      <c r="CP885" s="319" t="s">
        <v>428</v>
      </c>
      <c r="CQ885" s="319" t="s">
        <v>190</v>
      </c>
      <c r="CR885" s="319" t="s">
        <v>190</v>
      </c>
      <c r="CS885" s="319" t="s">
        <v>190</v>
      </c>
      <c r="CT885" s="319" t="s">
        <v>190</v>
      </c>
      <c r="CU885" s="319" t="s">
        <v>190</v>
      </c>
      <c r="CV885" s="319" t="s">
        <v>190</v>
      </c>
      <c r="CW885" s="319" t="s">
        <v>190</v>
      </c>
      <c r="CX885" s="319" t="s">
        <v>190</v>
      </c>
      <c r="CY885" s="319" t="s">
        <v>190</v>
      </c>
      <c r="CZ885" s="319" t="s">
        <v>190</v>
      </c>
      <c r="DA885" s="319" t="s">
        <v>190</v>
      </c>
      <c r="DB885" s="319" t="s">
        <v>190</v>
      </c>
      <c r="DC885" s="319" t="s">
        <v>190</v>
      </c>
      <c r="DD885" s="319" t="s">
        <v>190</v>
      </c>
      <c r="DE885" s="319" t="s">
        <v>190</v>
      </c>
      <c r="DF885" s="319" t="s">
        <v>190</v>
      </c>
      <c r="DG885" s="319" t="s">
        <v>190</v>
      </c>
      <c r="DH885" s="319" t="s">
        <v>190</v>
      </c>
      <c r="DI885" s="319" t="s">
        <v>190</v>
      </c>
      <c r="DJ885" s="319" t="s">
        <v>190</v>
      </c>
      <c r="DK885" s="319" t="s">
        <v>190</v>
      </c>
      <c r="DL885" s="319" t="s">
        <v>190</v>
      </c>
      <c r="DM885" s="319" t="s">
        <v>190</v>
      </c>
      <c r="DN885" s="319" t="s">
        <v>428</v>
      </c>
      <c r="DO885" s="319" t="s">
        <v>190</v>
      </c>
      <c r="DP885" s="319" t="s">
        <v>190</v>
      </c>
      <c r="DQ885" s="319" t="s">
        <v>190</v>
      </c>
      <c r="DR885" s="319" t="s">
        <v>190</v>
      </c>
      <c r="DS885" s="319" t="s">
        <v>190</v>
      </c>
      <c r="DT885" s="319" t="s">
        <v>190</v>
      </c>
      <c r="DU885" s="319" t="s">
        <v>190</v>
      </c>
      <c r="DV885" s="319" t="s">
        <v>173</v>
      </c>
      <c r="DW885" s="319" t="s">
        <v>190</v>
      </c>
      <c r="DX885" s="319" t="s">
        <v>190</v>
      </c>
      <c r="DY885" s="319" t="s">
        <v>190</v>
      </c>
      <c r="DZ885" s="319" t="s">
        <v>190</v>
      </c>
      <c r="EA885" s="319" t="s">
        <v>190</v>
      </c>
      <c r="EB885" s="319" t="s">
        <v>190</v>
      </c>
      <c r="EC885" s="319" t="s">
        <v>428</v>
      </c>
      <c r="ED885" s="319" t="s">
        <v>190</v>
      </c>
      <c r="EE885" s="319" t="s">
        <v>190</v>
      </c>
      <c r="EF885" s="319" t="s">
        <v>190</v>
      </c>
      <c r="EG885" s="319" t="s">
        <v>190</v>
      </c>
      <c r="EH885" s="319" t="s">
        <v>190</v>
      </c>
      <c r="EI885" s="319" t="s">
        <v>190</v>
      </c>
      <c r="EJ885" s="319" t="s">
        <v>190</v>
      </c>
      <c r="EK885" s="319" t="s">
        <v>190</v>
      </c>
      <c r="EL885" s="319" t="s">
        <v>190</v>
      </c>
      <c r="EM885" s="319" t="s">
        <v>190</v>
      </c>
      <c r="EN885" s="319" t="s">
        <v>190</v>
      </c>
      <c r="EO885" s="319" t="s">
        <v>190</v>
      </c>
      <c r="EP885" s="319" t="s">
        <v>190</v>
      </c>
      <c r="EQ885" s="319" t="s">
        <v>190</v>
      </c>
      <c r="ER885" s="319" t="s">
        <v>190</v>
      </c>
      <c r="ES885" s="319" t="s">
        <v>190</v>
      </c>
      <c r="ET885" s="319" t="s">
        <v>190</v>
      </c>
      <c r="EU885" s="319" t="s">
        <v>190</v>
      </c>
      <c r="EV885" s="319" t="s">
        <v>190</v>
      </c>
      <c r="EW885" s="319" t="s">
        <v>190</v>
      </c>
      <c r="EX885" s="319" t="s">
        <v>190</v>
      </c>
      <c r="EY885" s="319" t="s">
        <v>190</v>
      </c>
      <c r="EZ885" s="319" t="s">
        <v>190</v>
      </c>
      <c r="FA885" s="319" t="s">
        <v>428</v>
      </c>
      <c r="FB885" s="319" t="s">
        <v>190</v>
      </c>
      <c r="FC885" s="319" t="s">
        <v>190</v>
      </c>
      <c r="FD885" s="319" t="s">
        <v>190</v>
      </c>
      <c r="FE885" s="319" t="s">
        <v>190</v>
      </c>
      <c r="FF885" s="319" t="s">
        <v>428</v>
      </c>
      <c r="FG885" s="319" t="s">
        <v>190</v>
      </c>
      <c r="FH885" s="319" t="s">
        <v>190</v>
      </c>
      <c r="FI885" s="319" t="s">
        <v>428</v>
      </c>
      <c r="FJ885" s="319" t="s">
        <v>190</v>
      </c>
      <c r="FK885" s="319" t="s">
        <v>190</v>
      </c>
      <c r="FL885" s="319" t="s">
        <v>190</v>
      </c>
      <c r="FM885" s="319" t="s">
        <v>190</v>
      </c>
      <c r="FN885" s="319" t="s">
        <v>190</v>
      </c>
      <c r="FO885" s="319" t="s">
        <v>190</v>
      </c>
      <c r="FP885" s="319" t="s">
        <v>190</v>
      </c>
      <c r="FQ885" s="319" t="s">
        <v>190</v>
      </c>
      <c r="FR885" s="319" t="s">
        <v>190</v>
      </c>
      <c r="FS885" s="319" t="s">
        <v>428</v>
      </c>
      <c r="FT885" s="319" t="s">
        <v>190</v>
      </c>
      <c r="FU885" s="319" t="s">
        <v>190</v>
      </c>
      <c r="FV885" s="319" t="s">
        <v>190</v>
      </c>
      <c r="FW885" s="319" t="s">
        <v>190</v>
      </c>
      <c r="FX885" s="319" t="s">
        <v>190</v>
      </c>
      <c r="FY885" s="319" t="s">
        <v>190</v>
      </c>
      <c r="FZ885" s="319" t="s">
        <v>190</v>
      </c>
      <c r="GA885" s="319" t="s">
        <v>190</v>
      </c>
      <c r="GB885" s="319" t="s">
        <v>190</v>
      </c>
      <c r="GC885" s="319" t="s">
        <v>190</v>
      </c>
      <c r="GD885" s="319" t="s">
        <v>190</v>
      </c>
      <c r="GE885" s="319" t="s">
        <v>190</v>
      </c>
      <c r="GF885" s="319" t="s">
        <v>190</v>
      </c>
      <c r="GG885" s="319" t="s">
        <v>190</v>
      </c>
      <c r="GH885" s="319" t="s">
        <v>190</v>
      </c>
      <c r="GI885" s="319" t="s">
        <v>190</v>
      </c>
      <c r="GJ885" s="319" t="s">
        <v>190</v>
      </c>
      <c r="GK885" s="319" t="s">
        <v>428</v>
      </c>
      <c r="GL885" s="319" t="s">
        <v>190</v>
      </c>
      <c r="GM885" s="319" t="s">
        <v>190</v>
      </c>
      <c r="GN885" s="319" t="s">
        <v>190</v>
      </c>
      <c r="GO885" s="319" t="s">
        <v>190</v>
      </c>
      <c r="GP885" s="319" t="s">
        <v>190</v>
      </c>
      <c r="GQ885" s="319" t="s">
        <v>428</v>
      </c>
      <c r="GR885" s="319" t="s">
        <v>190</v>
      </c>
      <c r="GS885" s="319" t="s">
        <v>190</v>
      </c>
      <c r="GT885" s="319" t="s">
        <v>428</v>
      </c>
      <c r="GU885" s="319" t="s">
        <v>190</v>
      </c>
      <c r="GV885" s="319" t="s">
        <v>190</v>
      </c>
      <c r="GW885" s="319" t="s">
        <v>190</v>
      </c>
      <c r="GX885" s="319" t="s">
        <v>190</v>
      </c>
      <c r="GY885" s="319" t="s">
        <v>190</v>
      </c>
      <c r="GZ885" s="319" t="s">
        <v>428</v>
      </c>
      <c r="HA885" s="319" t="s">
        <v>190</v>
      </c>
      <c r="HB885" s="319" t="s">
        <v>190</v>
      </c>
      <c r="HC885" s="319" t="s">
        <v>190</v>
      </c>
      <c r="HD885" s="319" t="s">
        <v>190</v>
      </c>
      <c r="HE885" s="319" t="s">
        <v>190</v>
      </c>
      <c r="HF885" s="319" t="s">
        <v>190</v>
      </c>
      <c r="HG885" s="319" t="s">
        <v>190</v>
      </c>
      <c r="HH885" s="319" t="s">
        <v>190</v>
      </c>
      <c r="HI885" s="319" t="s">
        <v>190</v>
      </c>
      <c r="HJ885" s="319" t="s">
        <v>190</v>
      </c>
      <c r="HK885" s="319" t="s">
        <v>190</v>
      </c>
      <c r="HL885" s="319" t="s">
        <v>428</v>
      </c>
      <c r="HM885" s="319" t="s">
        <v>428</v>
      </c>
      <c r="HN885" s="319" t="s">
        <v>428</v>
      </c>
      <c r="HO885" s="319" t="s">
        <v>428</v>
      </c>
      <c r="HP885" s="319" t="s">
        <v>190</v>
      </c>
      <c r="HQ885" s="319" t="s">
        <v>190</v>
      </c>
      <c r="HR885" s="319" t="s">
        <v>190</v>
      </c>
      <c r="HS885" s="319" t="s">
        <v>190</v>
      </c>
      <c r="HT885" s="319" t="s">
        <v>190</v>
      </c>
      <c r="HU885" s="319" t="s">
        <v>190</v>
      </c>
      <c r="HV885" s="319" t="s">
        <v>190</v>
      </c>
      <c r="HW885" s="319" t="s">
        <v>190</v>
      </c>
      <c r="HX885" s="319" t="s">
        <v>190</v>
      </c>
      <c r="HY885" s="319" t="s">
        <v>190</v>
      </c>
      <c r="HZ885" s="319" t="s">
        <v>190</v>
      </c>
      <c r="IA885" s="319" t="s">
        <v>190</v>
      </c>
      <c r="IB885" s="319" t="s">
        <v>190</v>
      </c>
      <c r="IC885" s="319" t="s">
        <v>190</v>
      </c>
      <c r="ID885" s="319" t="s">
        <v>190</v>
      </c>
      <c r="IE885" s="319" t="s">
        <v>190</v>
      </c>
      <c r="IF885" s="319" t="s">
        <v>190</v>
      </c>
      <c r="IG885" s="319" t="s">
        <v>190</v>
      </c>
      <c r="IH885" s="319" t="s">
        <v>190</v>
      </c>
      <c r="II885" s="319" t="s">
        <v>190</v>
      </c>
      <c r="IJ885" s="319">
        <v>10043786</v>
      </c>
      <c r="IK885" s="321">
        <v>43298</v>
      </c>
      <c r="IL885" s="321">
        <v>43299</v>
      </c>
      <c r="IM885" s="321">
        <v>43318</v>
      </c>
      <c r="IN885" s="319">
        <v>0</v>
      </c>
      <c r="IO885" s="319" t="s">
        <v>173</v>
      </c>
      <c r="IP885" s="319" t="s">
        <v>173</v>
      </c>
      <c r="IQ885" s="321" t="s">
        <v>173</v>
      </c>
      <c r="IR885" s="320" t="s">
        <v>173</v>
      </c>
      <c r="IS885" s="322" t="s">
        <v>173</v>
      </c>
      <c r="IT885" s="319" t="s">
        <v>173</v>
      </c>
    </row>
    <row r="886" spans="1:254" s="271" customFormat="1" x14ac:dyDescent="0.25">
      <c r="A886" s="318" t="str">
        <f>HYPERLINK("http://www.ofsted.gov.uk/inspection-reports/find-inspection-report/provider/ELS/143532 ","Ofsted School Webpage")</f>
        <v>Ofsted School Webpage</v>
      </c>
      <c r="B886" s="319">
        <v>143532</v>
      </c>
      <c r="C886" s="319">
        <v>3946000</v>
      </c>
      <c r="D886" s="319" t="s">
        <v>2406</v>
      </c>
      <c r="E886" s="319" t="s">
        <v>168</v>
      </c>
      <c r="F886" s="319" t="s">
        <v>81</v>
      </c>
      <c r="G886" s="319" t="s">
        <v>81</v>
      </c>
      <c r="H886" s="319" t="s">
        <v>81</v>
      </c>
      <c r="I886" s="319" t="s">
        <v>78</v>
      </c>
      <c r="J886" s="319" t="s">
        <v>424</v>
      </c>
      <c r="K886" s="319" t="s">
        <v>458</v>
      </c>
      <c r="L886" s="319" t="s">
        <v>474</v>
      </c>
      <c r="M886" s="319" t="s">
        <v>666</v>
      </c>
      <c r="N886" s="319" t="s">
        <v>2892</v>
      </c>
      <c r="O886" s="319" t="s">
        <v>2407</v>
      </c>
      <c r="P886" s="319">
        <v>56</v>
      </c>
      <c r="Q886" s="319" t="s">
        <v>429</v>
      </c>
      <c r="R886" s="320">
        <v>10043661</v>
      </c>
      <c r="S886" s="321">
        <v>43172</v>
      </c>
      <c r="T886" s="321">
        <v>43174</v>
      </c>
      <c r="U886" s="321">
        <v>43221</v>
      </c>
      <c r="V886" s="319" t="s">
        <v>435</v>
      </c>
      <c r="W886" s="319" t="s">
        <v>2767</v>
      </c>
      <c r="X886" s="319">
        <v>2</v>
      </c>
      <c r="Y886" s="319" t="s">
        <v>173</v>
      </c>
      <c r="Z886" s="319" t="s">
        <v>173</v>
      </c>
      <c r="AA886" s="319" t="s">
        <v>173</v>
      </c>
      <c r="AB886" s="319">
        <v>2</v>
      </c>
      <c r="AC886" s="319" t="s">
        <v>169</v>
      </c>
      <c r="AD886" s="319" t="s">
        <v>173</v>
      </c>
      <c r="AE886" s="319" t="s">
        <v>173</v>
      </c>
      <c r="AF886" s="319" t="s">
        <v>427</v>
      </c>
      <c r="AG886" s="319" t="s">
        <v>171</v>
      </c>
      <c r="AH886" s="319" t="s">
        <v>190</v>
      </c>
      <c r="AI886" s="319" t="s">
        <v>190</v>
      </c>
      <c r="AJ886" s="319" t="s">
        <v>190</v>
      </c>
      <c r="AK886" s="319" t="s">
        <v>190</v>
      </c>
      <c r="AL886" s="319" t="s">
        <v>190</v>
      </c>
      <c r="AM886" s="319" t="s">
        <v>190</v>
      </c>
      <c r="AN886" s="319" t="s">
        <v>190</v>
      </c>
      <c r="AO886" s="319" t="s">
        <v>190</v>
      </c>
      <c r="AP886" s="319" t="s">
        <v>190</v>
      </c>
      <c r="AQ886" s="319" t="s">
        <v>190</v>
      </c>
      <c r="AR886" s="319" t="s">
        <v>190</v>
      </c>
      <c r="AS886" s="319" t="s">
        <v>190</v>
      </c>
      <c r="AT886" s="319" t="s">
        <v>190</v>
      </c>
      <c r="AU886" s="319" t="s">
        <v>190</v>
      </c>
      <c r="AV886" s="319" t="s">
        <v>190</v>
      </c>
      <c r="AW886" s="319" t="s">
        <v>190</v>
      </c>
      <c r="AX886" s="319" t="s">
        <v>428</v>
      </c>
      <c r="AY886" s="319" t="s">
        <v>190</v>
      </c>
      <c r="AZ886" s="319" t="s">
        <v>190</v>
      </c>
      <c r="BA886" s="319" t="s">
        <v>190</v>
      </c>
      <c r="BB886" s="319" t="s">
        <v>190</v>
      </c>
      <c r="BC886" s="319" t="s">
        <v>190</v>
      </c>
      <c r="BD886" s="319" t="s">
        <v>190</v>
      </c>
      <c r="BE886" s="319" t="s">
        <v>190</v>
      </c>
      <c r="BF886" s="319" t="s">
        <v>428</v>
      </c>
      <c r="BG886" s="319" t="s">
        <v>428</v>
      </c>
      <c r="BH886" s="319" t="s">
        <v>190</v>
      </c>
      <c r="BI886" s="319" t="s">
        <v>190</v>
      </c>
      <c r="BJ886" s="319" t="s">
        <v>190</v>
      </c>
      <c r="BK886" s="319" t="s">
        <v>190</v>
      </c>
      <c r="BL886" s="319" t="s">
        <v>190</v>
      </c>
      <c r="BM886" s="319" t="s">
        <v>190</v>
      </c>
      <c r="BN886" s="319" t="s">
        <v>190</v>
      </c>
      <c r="BO886" s="319" t="s">
        <v>190</v>
      </c>
      <c r="BP886" s="319" t="s">
        <v>190</v>
      </c>
      <c r="BQ886" s="319" t="s">
        <v>190</v>
      </c>
      <c r="BR886" s="319" t="s">
        <v>190</v>
      </c>
      <c r="BS886" s="319" t="s">
        <v>190</v>
      </c>
      <c r="BT886" s="319" t="s">
        <v>190</v>
      </c>
      <c r="BU886" s="319" t="s">
        <v>190</v>
      </c>
      <c r="BV886" s="319" t="s">
        <v>190</v>
      </c>
      <c r="BW886" s="319" t="s">
        <v>190</v>
      </c>
      <c r="BX886" s="319" t="s">
        <v>190</v>
      </c>
      <c r="BY886" s="319" t="s">
        <v>190</v>
      </c>
      <c r="BZ886" s="319" t="s">
        <v>190</v>
      </c>
      <c r="CA886" s="319" t="s">
        <v>190</v>
      </c>
      <c r="CB886" s="319" t="s">
        <v>190</v>
      </c>
      <c r="CC886" s="319" t="s">
        <v>190</v>
      </c>
      <c r="CD886" s="319" t="s">
        <v>190</v>
      </c>
      <c r="CE886" s="319" t="s">
        <v>190</v>
      </c>
      <c r="CF886" s="319" t="s">
        <v>190</v>
      </c>
      <c r="CG886" s="319" t="s">
        <v>190</v>
      </c>
      <c r="CH886" s="319" t="s">
        <v>190</v>
      </c>
      <c r="CI886" s="319" t="s">
        <v>190</v>
      </c>
      <c r="CJ886" s="319" t="s">
        <v>190</v>
      </c>
      <c r="CK886" s="319" t="s">
        <v>190</v>
      </c>
      <c r="CL886" s="319" t="s">
        <v>190</v>
      </c>
      <c r="CM886" s="319" t="s">
        <v>190</v>
      </c>
      <c r="CN886" s="319" t="s">
        <v>428</v>
      </c>
      <c r="CO886" s="319" t="s">
        <v>428</v>
      </c>
      <c r="CP886" s="319" t="s">
        <v>428</v>
      </c>
      <c r="CQ886" s="319" t="s">
        <v>190</v>
      </c>
      <c r="CR886" s="319" t="s">
        <v>190</v>
      </c>
      <c r="CS886" s="319" t="s">
        <v>190</v>
      </c>
      <c r="CT886" s="319" t="s">
        <v>190</v>
      </c>
      <c r="CU886" s="319" t="s">
        <v>190</v>
      </c>
      <c r="CV886" s="319" t="s">
        <v>190</v>
      </c>
      <c r="CW886" s="319" t="s">
        <v>190</v>
      </c>
      <c r="CX886" s="319" t="s">
        <v>190</v>
      </c>
      <c r="CY886" s="319" t="s">
        <v>190</v>
      </c>
      <c r="CZ886" s="319" t="s">
        <v>190</v>
      </c>
      <c r="DA886" s="319" t="s">
        <v>190</v>
      </c>
      <c r="DB886" s="319" t="s">
        <v>190</v>
      </c>
      <c r="DC886" s="319" t="s">
        <v>190</v>
      </c>
      <c r="DD886" s="319" t="s">
        <v>190</v>
      </c>
      <c r="DE886" s="319" t="s">
        <v>190</v>
      </c>
      <c r="DF886" s="319" t="s">
        <v>190</v>
      </c>
      <c r="DG886" s="319" t="s">
        <v>190</v>
      </c>
      <c r="DH886" s="319" t="s">
        <v>190</v>
      </c>
      <c r="DI886" s="319" t="s">
        <v>190</v>
      </c>
      <c r="DJ886" s="319" t="s">
        <v>190</v>
      </c>
      <c r="DK886" s="319" t="s">
        <v>190</v>
      </c>
      <c r="DL886" s="319" t="s">
        <v>190</v>
      </c>
      <c r="DM886" s="319" t="s">
        <v>428</v>
      </c>
      <c r="DN886" s="319" t="s">
        <v>428</v>
      </c>
      <c r="DO886" s="319" t="s">
        <v>190</v>
      </c>
      <c r="DP886" s="319" t="s">
        <v>190</v>
      </c>
      <c r="DQ886" s="319" t="s">
        <v>190</v>
      </c>
      <c r="DR886" s="319" t="s">
        <v>190</v>
      </c>
      <c r="DS886" s="319" t="s">
        <v>190</v>
      </c>
      <c r="DT886" s="319" t="s">
        <v>190</v>
      </c>
      <c r="DU886" s="319" t="s">
        <v>190</v>
      </c>
      <c r="DV886" s="319" t="s">
        <v>173</v>
      </c>
      <c r="DW886" s="319" t="s">
        <v>190</v>
      </c>
      <c r="DX886" s="319" t="s">
        <v>190</v>
      </c>
      <c r="DY886" s="319" t="s">
        <v>190</v>
      </c>
      <c r="DZ886" s="319" t="s">
        <v>190</v>
      </c>
      <c r="EA886" s="319" t="s">
        <v>190</v>
      </c>
      <c r="EB886" s="319" t="s">
        <v>190</v>
      </c>
      <c r="EC886" s="319" t="s">
        <v>428</v>
      </c>
      <c r="ED886" s="319" t="s">
        <v>190</v>
      </c>
      <c r="EE886" s="319" t="s">
        <v>190</v>
      </c>
      <c r="EF886" s="319" t="s">
        <v>190</v>
      </c>
      <c r="EG886" s="319" t="s">
        <v>190</v>
      </c>
      <c r="EH886" s="319" t="s">
        <v>190</v>
      </c>
      <c r="EI886" s="319" t="s">
        <v>190</v>
      </c>
      <c r="EJ886" s="319" t="s">
        <v>190</v>
      </c>
      <c r="EK886" s="319" t="s">
        <v>190</v>
      </c>
      <c r="EL886" s="319" t="s">
        <v>428</v>
      </c>
      <c r="EM886" s="319" t="s">
        <v>190</v>
      </c>
      <c r="EN886" s="319" t="s">
        <v>190</v>
      </c>
      <c r="EO886" s="319" t="s">
        <v>190</v>
      </c>
      <c r="EP886" s="319" t="s">
        <v>190</v>
      </c>
      <c r="EQ886" s="319" t="s">
        <v>190</v>
      </c>
      <c r="ER886" s="319" t="s">
        <v>190</v>
      </c>
      <c r="ES886" s="319" t="s">
        <v>190</v>
      </c>
      <c r="ET886" s="319" t="s">
        <v>190</v>
      </c>
      <c r="EU886" s="319" t="s">
        <v>190</v>
      </c>
      <c r="EV886" s="319" t="s">
        <v>190</v>
      </c>
      <c r="EW886" s="319" t="s">
        <v>190</v>
      </c>
      <c r="EX886" s="319" t="s">
        <v>190</v>
      </c>
      <c r="EY886" s="319" t="s">
        <v>190</v>
      </c>
      <c r="EZ886" s="319" t="s">
        <v>190</v>
      </c>
      <c r="FA886" s="319" t="s">
        <v>428</v>
      </c>
      <c r="FB886" s="319" t="s">
        <v>190</v>
      </c>
      <c r="FC886" s="319" t="s">
        <v>190</v>
      </c>
      <c r="FD886" s="319" t="s">
        <v>190</v>
      </c>
      <c r="FE886" s="319" t="s">
        <v>190</v>
      </c>
      <c r="FF886" s="319" t="s">
        <v>190</v>
      </c>
      <c r="FG886" s="319" t="s">
        <v>190</v>
      </c>
      <c r="FH886" s="319" t="s">
        <v>190</v>
      </c>
      <c r="FI886" s="319" t="s">
        <v>428</v>
      </c>
      <c r="FJ886" s="319" t="s">
        <v>429</v>
      </c>
      <c r="FK886" s="319" t="s">
        <v>428</v>
      </c>
      <c r="FL886" s="319" t="s">
        <v>190</v>
      </c>
      <c r="FM886" s="319" t="s">
        <v>190</v>
      </c>
      <c r="FN886" s="319" t="s">
        <v>190</v>
      </c>
      <c r="FO886" s="319" t="s">
        <v>190</v>
      </c>
      <c r="FP886" s="319" t="s">
        <v>190</v>
      </c>
      <c r="FQ886" s="319" t="s">
        <v>190</v>
      </c>
      <c r="FR886" s="319" t="s">
        <v>190</v>
      </c>
      <c r="FS886" s="319" t="s">
        <v>428</v>
      </c>
      <c r="FT886" s="319" t="s">
        <v>190</v>
      </c>
      <c r="FU886" s="319" t="s">
        <v>190</v>
      </c>
      <c r="FV886" s="319" t="s">
        <v>190</v>
      </c>
      <c r="FW886" s="319" t="s">
        <v>190</v>
      </c>
      <c r="FX886" s="319" t="s">
        <v>190</v>
      </c>
      <c r="FY886" s="319" t="s">
        <v>190</v>
      </c>
      <c r="FZ886" s="319" t="s">
        <v>190</v>
      </c>
      <c r="GA886" s="319" t="s">
        <v>190</v>
      </c>
      <c r="GB886" s="319" t="s">
        <v>190</v>
      </c>
      <c r="GC886" s="319" t="s">
        <v>190</v>
      </c>
      <c r="GD886" s="319" t="s">
        <v>190</v>
      </c>
      <c r="GE886" s="319" t="s">
        <v>190</v>
      </c>
      <c r="GF886" s="319" t="s">
        <v>190</v>
      </c>
      <c r="GG886" s="319" t="s">
        <v>190</v>
      </c>
      <c r="GH886" s="319" t="s">
        <v>190</v>
      </c>
      <c r="GI886" s="319" t="s">
        <v>190</v>
      </c>
      <c r="GJ886" s="319" t="s">
        <v>190</v>
      </c>
      <c r="GK886" s="319" t="s">
        <v>428</v>
      </c>
      <c r="GL886" s="319" t="s">
        <v>190</v>
      </c>
      <c r="GM886" s="319" t="s">
        <v>190</v>
      </c>
      <c r="GN886" s="319" t="s">
        <v>190</v>
      </c>
      <c r="GO886" s="319" t="s">
        <v>190</v>
      </c>
      <c r="GP886" s="319" t="s">
        <v>190</v>
      </c>
      <c r="GQ886" s="319" t="s">
        <v>428</v>
      </c>
      <c r="GR886" s="319" t="s">
        <v>190</v>
      </c>
      <c r="GS886" s="319" t="s">
        <v>190</v>
      </c>
      <c r="GT886" s="319" t="s">
        <v>190</v>
      </c>
      <c r="GU886" s="319" t="s">
        <v>190</v>
      </c>
      <c r="GV886" s="319" t="s">
        <v>428</v>
      </c>
      <c r="GW886" s="319" t="s">
        <v>190</v>
      </c>
      <c r="GX886" s="319" t="s">
        <v>190</v>
      </c>
      <c r="GY886" s="319" t="s">
        <v>190</v>
      </c>
      <c r="GZ886" s="319" t="s">
        <v>428</v>
      </c>
      <c r="HA886" s="319" t="s">
        <v>190</v>
      </c>
      <c r="HB886" s="319" t="s">
        <v>190</v>
      </c>
      <c r="HC886" s="319" t="s">
        <v>190</v>
      </c>
      <c r="HD886" s="319" t="s">
        <v>190</v>
      </c>
      <c r="HE886" s="319" t="s">
        <v>190</v>
      </c>
      <c r="HF886" s="319" t="s">
        <v>190</v>
      </c>
      <c r="HG886" s="319" t="s">
        <v>190</v>
      </c>
      <c r="HH886" s="319" t="s">
        <v>190</v>
      </c>
      <c r="HI886" s="319" t="s">
        <v>190</v>
      </c>
      <c r="HJ886" s="319" t="s">
        <v>190</v>
      </c>
      <c r="HK886" s="319" t="s">
        <v>190</v>
      </c>
      <c r="HL886" s="319" t="s">
        <v>428</v>
      </c>
      <c r="HM886" s="319" t="s">
        <v>428</v>
      </c>
      <c r="HN886" s="319" t="s">
        <v>428</v>
      </c>
      <c r="HO886" s="319" t="s">
        <v>428</v>
      </c>
      <c r="HP886" s="319" t="s">
        <v>190</v>
      </c>
      <c r="HQ886" s="319" t="s">
        <v>190</v>
      </c>
      <c r="HR886" s="319" t="s">
        <v>190</v>
      </c>
      <c r="HS886" s="319" t="s">
        <v>190</v>
      </c>
      <c r="HT886" s="319" t="s">
        <v>190</v>
      </c>
      <c r="HU886" s="319" t="s">
        <v>190</v>
      </c>
      <c r="HV886" s="319" t="s">
        <v>190</v>
      </c>
      <c r="HW886" s="319" t="s">
        <v>190</v>
      </c>
      <c r="HX886" s="319" t="s">
        <v>190</v>
      </c>
      <c r="HY886" s="319" t="s">
        <v>190</v>
      </c>
      <c r="HZ886" s="319" t="s">
        <v>190</v>
      </c>
      <c r="IA886" s="319" t="s">
        <v>190</v>
      </c>
      <c r="IB886" s="319" t="s">
        <v>190</v>
      </c>
      <c r="IC886" s="319" t="s">
        <v>190</v>
      </c>
      <c r="ID886" s="319" t="s">
        <v>190</v>
      </c>
      <c r="IE886" s="319" t="s">
        <v>190</v>
      </c>
      <c r="IF886" s="319" t="s">
        <v>190</v>
      </c>
      <c r="IG886" s="319" t="s">
        <v>190</v>
      </c>
      <c r="IH886" s="319" t="s">
        <v>190</v>
      </c>
      <c r="II886" s="319" t="s">
        <v>190</v>
      </c>
      <c r="IJ886" s="319" t="s">
        <v>173</v>
      </c>
      <c r="IK886" s="319" t="s">
        <v>173</v>
      </c>
      <c r="IL886" s="319" t="s">
        <v>173</v>
      </c>
      <c r="IM886" s="319" t="s">
        <v>173</v>
      </c>
      <c r="IN886" s="319" t="s">
        <v>173</v>
      </c>
      <c r="IO886" s="319" t="s">
        <v>173</v>
      </c>
      <c r="IP886" s="319" t="s">
        <v>173</v>
      </c>
      <c r="IQ886" s="321" t="s">
        <v>173</v>
      </c>
      <c r="IR886" s="320" t="s">
        <v>173</v>
      </c>
      <c r="IS886" s="322" t="s">
        <v>173</v>
      </c>
      <c r="IT886" s="319" t="s">
        <v>173</v>
      </c>
    </row>
    <row r="887" spans="1:254" s="271" customFormat="1" x14ac:dyDescent="0.25">
      <c r="A887" s="318" t="str">
        <f>HYPERLINK("http://www.ofsted.gov.uk/inspection-reports/find-inspection-report/provider/ELS/143539 ","Ofsted School Webpage")</f>
        <v>Ofsted School Webpage</v>
      </c>
      <c r="B887" s="319">
        <v>143539</v>
      </c>
      <c r="C887" s="319">
        <v>8786067</v>
      </c>
      <c r="D887" s="319" t="s">
        <v>2408</v>
      </c>
      <c r="E887" s="319" t="s">
        <v>168</v>
      </c>
      <c r="F887" s="319" t="s">
        <v>81</v>
      </c>
      <c r="G887" s="319" t="s">
        <v>81</v>
      </c>
      <c r="H887" s="319" t="s">
        <v>81</v>
      </c>
      <c r="I887" s="319" t="s">
        <v>78</v>
      </c>
      <c r="J887" s="319" t="s">
        <v>424</v>
      </c>
      <c r="K887" s="319" t="s">
        <v>422</v>
      </c>
      <c r="L887" s="319" t="s">
        <v>422</v>
      </c>
      <c r="M887" s="319" t="s">
        <v>663</v>
      </c>
      <c r="N887" s="319" t="s">
        <v>3546</v>
      </c>
      <c r="O887" s="319" t="s">
        <v>2409</v>
      </c>
      <c r="P887" s="319">
        <v>5</v>
      </c>
      <c r="Q887" s="319" t="s">
        <v>429</v>
      </c>
      <c r="R887" s="320">
        <v>10090669</v>
      </c>
      <c r="S887" s="321">
        <v>43648</v>
      </c>
      <c r="T887" s="321">
        <v>43650</v>
      </c>
      <c r="U887" s="321">
        <v>43663</v>
      </c>
      <c r="V887" s="319" t="s">
        <v>425</v>
      </c>
      <c r="W887" s="319" t="s">
        <v>2767</v>
      </c>
      <c r="X887" s="319">
        <v>2</v>
      </c>
      <c r="Y887" s="319" t="s">
        <v>173</v>
      </c>
      <c r="Z887" s="319" t="s">
        <v>173</v>
      </c>
      <c r="AA887" s="319" t="s">
        <v>173</v>
      </c>
      <c r="AB887" s="319">
        <v>2</v>
      </c>
      <c r="AC887" s="319" t="s">
        <v>169</v>
      </c>
      <c r="AD887" s="319" t="s">
        <v>173</v>
      </c>
      <c r="AE887" s="319" t="s">
        <v>173</v>
      </c>
      <c r="AF887" s="319" t="s">
        <v>427</v>
      </c>
      <c r="AG887" s="319" t="s">
        <v>171</v>
      </c>
      <c r="AH887" s="319" t="s">
        <v>190</v>
      </c>
      <c r="AI887" s="319" t="s">
        <v>190</v>
      </c>
      <c r="AJ887" s="319" t="s">
        <v>190</v>
      </c>
      <c r="AK887" s="319" t="s">
        <v>190</v>
      </c>
      <c r="AL887" s="319" t="s">
        <v>190</v>
      </c>
      <c r="AM887" s="319" t="s">
        <v>190</v>
      </c>
      <c r="AN887" s="319" t="s">
        <v>190</v>
      </c>
      <c r="AO887" s="319" t="s">
        <v>190</v>
      </c>
      <c r="AP887" s="319" t="s">
        <v>190</v>
      </c>
      <c r="AQ887" s="319" t="s">
        <v>190</v>
      </c>
      <c r="AR887" s="319" t="s">
        <v>190</v>
      </c>
      <c r="AS887" s="319" t="s">
        <v>190</v>
      </c>
      <c r="AT887" s="319" t="s">
        <v>190</v>
      </c>
      <c r="AU887" s="319" t="s">
        <v>190</v>
      </c>
      <c r="AV887" s="319" t="s">
        <v>190</v>
      </c>
      <c r="AW887" s="319" t="s">
        <v>190</v>
      </c>
      <c r="AX887" s="319" t="s">
        <v>428</v>
      </c>
      <c r="AY887" s="319" t="s">
        <v>190</v>
      </c>
      <c r="AZ887" s="319" t="s">
        <v>190</v>
      </c>
      <c r="BA887" s="319" t="s">
        <v>190</v>
      </c>
      <c r="BB887" s="319" t="s">
        <v>190</v>
      </c>
      <c r="BC887" s="319" t="s">
        <v>190</v>
      </c>
      <c r="BD887" s="319" t="s">
        <v>190</v>
      </c>
      <c r="BE887" s="319" t="s">
        <v>190</v>
      </c>
      <c r="BF887" s="319" t="s">
        <v>428</v>
      </c>
      <c r="BG887" s="319" t="s">
        <v>428</v>
      </c>
      <c r="BH887" s="319" t="s">
        <v>190</v>
      </c>
      <c r="BI887" s="319" t="s">
        <v>190</v>
      </c>
      <c r="BJ887" s="319" t="s">
        <v>190</v>
      </c>
      <c r="BK887" s="319" t="s">
        <v>190</v>
      </c>
      <c r="BL887" s="319" t="s">
        <v>190</v>
      </c>
      <c r="BM887" s="319" t="s">
        <v>190</v>
      </c>
      <c r="BN887" s="319" t="s">
        <v>190</v>
      </c>
      <c r="BO887" s="319" t="s">
        <v>190</v>
      </c>
      <c r="BP887" s="319" t="s">
        <v>190</v>
      </c>
      <c r="BQ887" s="319" t="s">
        <v>190</v>
      </c>
      <c r="BR887" s="319" t="s">
        <v>190</v>
      </c>
      <c r="BS887" s="319" t="s">
        <v>190</v>
      </c>
      <c r="BT887" s="319" t="s">
        <v>190</v>
      </c>
      <c r="BU887" s="319" t="s">
        <v>190</v>
      </c>
      <c r="BV887" s="319" t="s">
        <v>190</v>
      </c>
      <c r="BW887" s="319" t="s">
        <v>190</v>
      </c>
      <c r="BX887" s="319" t="s">
        <v>190</v>
      </c>
      <c r="BY887" s="319" t="s">
        <v>190</v>
      </c>
      <c r="BZ887" s="319" t="s">
        <v>190</v>
      </c>
      <c r="CA887" s="319" t="s">
        <v>190</v>
      </c>
      <c r="CB887" s="319" t="s">
        <v>190</v>
      </c>
      <c r="CC887" s="319" t="s">
        <v>190</v>
      </c>
      <c r="CD887" s="319" t="s">
        <v>190</v>
      </c>
      <c r="CE887" s="319" t="s">
        <v>190</v>
      </c>
      <c r="CF887" s="319" t="s">
        <v>190</v>
      </c>
      <c r="CG887" s="319" t="s">
        <v>190</v>
      </c>
      <c r="CH887" s="319" t="s">
        <v>190</v>
      </c>
      <c r="CI887" s="319" t="s">
        <v>190</v>
      </c>
      <c r="CJ887" s="319" t="s">
        <v>190</v>
      </c>
      <c r="CK887" s="319" t="s">
        <v>190</v>
      </c>
      <c r="CL887" s="319" t="s">
        <v>190</v>
      </c>
      <c r="CM887" s="319" t="s">
        <v>190</v>
      </c>
      <c r="CN887" s="319" t="s">
        <v>428</v>
      </c>
      <c r="CO887" s="319" t="s">
        <v>428</v>
      </c>
      <c r="CP887" s="319" t="s">
        <v>428</v>
      </c>
      <c r="CQ887" s="319" t="s">
        <v>190</v>
      </c>
      <c r="CR887" s="319" t="s">
        <v>190</v>
      </c>
      <c r="CS887" s="319" t="s">
        <v>190</v>
      </c>
      <c r="CT887" s="319" t="s">
        <v>190</v>
      </c>
      <c r="CU887" s="319" t="s">
        <v>190</v>
      </c>
      <c r="CV887" s="319" t="s">
        <v>190</v>
      </c>
      <c r="CW887" s="319" t="s">
        <v>190</v>
      </c>
      <c r="CX887" s="319" t="s">
        <v>190</v>
      </c>
      <c r="CY887" s="319" t="s">
        <v>190</v>
      </c>
      <c r="CZ887" s="319" t="s">
        <v>190</v>
      </c>
      <c r="DA887" s="319" t="s">
        <v>190</v>
      </c>
      <c r="DB887" s="319" t="s">
        <v>190</v>
      </c>
      <c r="DC887" s="319" t="s">
        <v>190</v>
      </c>
      <c r="DD887" s="319" t="s">
        <v>190</v>
      </c>
      <c r="DE887" s="319" t="s">
        <v>190</v>
      </c>
      <c r="DF887" s="319" t="s">
        <v>190</v>
      </c>
      <c r="DG887" s="319" t="s">
        <v>190</v>
      </c>
      <c r="DH887" s="319" t="s">
        <v>190</v>
      </c>
      <c r="DI887" s="319" t="s">
        <v>190</v>
      </c>
      <c r="DJ887" s="319" t="s">
        <v>190</v>
      </c>
      <c r="DK887" s="319" t="s">
        <v>190</v>
      </c>
      <c r="DL887" s="319" t="s">
        <v>190</v>
      </c>
      <c r="DM887" s="319" t="s">
        <v>428</v>
      </c>
      <c r="DN887" s="319" t="s">
        <v>428</v>
      </c>
      <c r="DO887" s="319" t="s">
        <v>190</v>
      </c>
      <c r="DP887" s="319" t="s">
        <v>428</v>
      </c>
      <c r="DQ887" s="319" t="s">
        <v>428</v>
      </c>
      <c r="DR887" s="319" t="s">
        <v>428</v>
      </c>
      <c r="DS887" s="319" t="s">
        <v>428</v>
      </c>
      <c r="DT887" s="319" t="s">
        <v>428</v>
      </c>
      <c r="DU887" s="319" t="s">
        <v>428</v>
      </c>
      <c r="DV887" s="319" t="s">
        <v>173</v>
      </c>
      <c r="DW887" s="319" t="s">
        <v>428</v>
      </c>
      <c r="DX887" s="319" t="s">
        <v>428</v>
      </c>
      <c r="DY887" s="319" t="s">
        <v>428</v>
      </c>
      <c r="DZ887" s="319" t="s">
        <v>428</v>
      </c>
      <c r="EA887" s="319" t="s">
        <v>428</v>
      </c>
      <c r="EB887" s="319" t="s">
        <v>428</v>
      </c>
      <c r="EC887" s="319" t="s">
        <v>428</v>
      </c>
      <c r="ED887" s="319" t="s">
        <v>428</v>
      </c>
      <c r="EE887" s="319" t="s">
        <v>190</v>
      </c>
      <c r="EF887" s="319" t="s">
        <v>190</v>
      </c>
      <c r="EG887" s="319" t="s">
        <v>190</v>
      </c>
      <c r="EH887" s="319" t="s">
        <v>190</v>
      </c>
      <c r="EI887" s="319" t="s">
        <v>190</v>
      </c>
      <c r="EJ887" s="319" t="s">
        <v>190</v>
      </c>
      <c r="EK887" s="319" t="s">
        <v>190</v>
      </c>
      <c r="EL887" s="319" t="s">
        <v>428</v>
      </c>
      <c r="EM887" s="319" t="s">
        <v>190</v>
      </c>
      <c r="EN887" s="319" t="s">
        <v>190</v>
      </c>
      <c r="EO887" s="319" t="s">
        <v>190</v>
      </c>
      <c r="EP887" s="319" t="s">
        <v>190</v>
      </c>
      <c r="EQ887" s="319" t="s">
        <v>190</v>
      </c>
      <c r="ER887" s="319" t="s">
        <v>190</v>
      </c>
      <c r="ES887" s="319" t="s">
        <v>190</v>
      </c>
      <c r="ET887" s="319" t="s">
        <v>190</v>
      </c>
      <c r="EU887" s="319" t="s">
        <v>190</v>
      </c>
      <c r="EV887" s="319" t="s">
        <v>190</v>
      </c>
      <c r="EW887" s="319" t="s">
        <v>190</v>
      </c>
      <c r="EX887" s="319" t="s">
        <v>428</v>
      </c>
      <c r="EY887" s="319" t="s">
        <v>190</v>
      </c>
      <c r="EZ887" s="319" t="s">
        <v>190</v>
      </c>
      <c r="FA887" s="319" t="s">
        <v>190</v>
      </c>
      <c r="FB887" s="319" t="s">
        <v>190</v>
      </c>
      <c r="FC887" s="319" t="s">
        <v>190</v>
      </c>
      <c r="FD887" s="319" t="s">
        <v>190</v>
      </c>
      <c r="FE887" s="319" t="s">
        <v>190</v>
      </c>
      <c r="FF887" s="319" t="s">
        <v>190</v>
      </c>
      <c r="FG887" s="319" t="s">
        <v>190</v>
      </c>
      <c r="FH887" s="319" t="s">
        <v>190</v>
      </c>
      <c r="FI887" s="319" t="s">
        <v>190</v>
      </c>
      <c r="FJ887" s="319" t="s">
        <v>190</v>
      </c>
      <c r="FK887" s="319" t="s">
        <v>190</v>
      </c>
      <c r="FL887" s="319" t="s">
        <v>190</v>
      </c>
      <c r="FM887" s="319" t="s">
        <v>190</v>
      </c>
      <c r="FN887" s="319" t="s">
        <v>190</v>
      </c>
      <c r="FO887" s="319" t="s">
        <v>428</v>
      </c>
      <c r="FP887" s="319" t="s">
        <v>190</v>
      </c>
      <c r="FQ887" s="319" t="s">
        <v>190</v>
      </c>
      <c r="FR887" s="319" t="s">
        <v>190</v>
      </c>
      <c r="FS887" s="319" t="s">
        <v>428</v>
      </c>
      <c r="FT887" s="319" t="s">
        <v>190</v>
      </c>
      <c r="FU887" s="319" t="s">
        <v>190</v>
      </c>
      <c r="FV887" s="319" t="s">
        <v>190</v>
      </c>
      <c r="FW887" s="319" t="s">
        <v>190</v>
      </c>
      <c r="FX887" s="319" t="s">
        <v>190</v>
      </c>
      <c r="FY887" s="319" t="s">
        <v>190</v>
      </c>
      <c r="FZ887" s="319" t="s">
        <v>190</v>
      </c>
      <c r="GA887" s="319" t="s">
        <v>190</v>
      </c>
      <c r="GB887" s="319" t="s">
        <v>190</v>
      </c>
      <c r="GC887" s="319" t="s">
        <v>190</v>
      </c>
      <c r="GD887" s="319" t="s">
        <v>190</v>
      </c>
      <c r="GE887" s="319" t="s">
        <v>190</v>
      </c>
      <c r="GF887" s="319" t="s">
        <v>190</v>
      </c>
      <c r="GG887" s="319" t="s">
        <v>190</v>
      </c>
      <c r="GH887" s="319" t="s">
        <v>190</v>
      </c>
      <c r="GI887" s="319" t="s">
        <v>190</v>
      </c>
      <c r="GJ887" s="319" t="s">
        <v>190</v>
      </c>
      <c r="GK887" s="319" t="s">
        <v>428</v>
      </c>
      <c r="GL887" s="319" t="s">
        <v>190</v>
      </c>
      <c r="GM887" s="319" t="s">
        <v>190</v>
      </c>
      <c r="GN887" s="319" t="s">
        <v>190</v>
      </c>
      <c r="GO887" s="319" t="s">
        <v>190</v>
      </c>
      <c r="GP887" s="319" t="s">
        <v>190</v>
      </c>
      <c r="GQ887" s="319" t="s">
        <v>428</v>
      </c>
      <c r="GR887" s="319" t="s">
        <v>190</v>
      </c>
      <c r="GS887" s="319" t="s">
        <v>190</v>
      </c>
      <c r="GT887" s="319" t="s">
        <v>190</v>
      </c>
      <c r="GU887" s="319" t="s">
        <v>190</v>
      </c>
      <c r="GV887" s="319" t="s">
        <v>190</v>
      </c>
      <c r="GW887" s="319" t="s">
        <v>190</v>
      </c>
      <c r="GX887" s="319" t="s">
        <v>190</v>
      </c>
      <c r="GY887" s="319" t="s">
        <v>428</v>
      </c>
      <c r="GZ887" s="319" t="s">
        <v>428</v>
      </c>
      <c r="HA887" s="319" t="s">
        <v>190</v>
      </c>
      <c r="HB887" s="319" t="s">
        <v>190</v>
      </c>
      <c r="HC887" s="319" t="s">
        <v>190</v>
      </c>
      <c r="HD887" s="319" t="s">
        <v>190</v>
      </c>
      <c r="HE887" s="319" t="s">
        <v>190</v>
      </c>
      <c r="HF887" s="319" t="s">
        <v>190</v>
      </c>
      <c r="HG887" s="319" t="s">
        <v>190</v>
      </c>
      <c r="HH887" s="319" t="s">
        <v>190</v>
      </c>
      <c r="HI887" s="319" t="s">
        <v>190</v>
      </c>
      <c r="HJ887" s="319" t="s">
        <v>190</v>
      </c>
      <c r="HK887" s="319" t="s">
        <v>190</v>
      </c>
      <c r="HL887" s="319" t="s">
        <v>190</v>
      </c>
      <c r="HM887" s="319" t="s">
        <v>428</v>
      </c>
      <c r="HN887" s="319" t="s">
        <v>428</v>
      </c>
      <c r="HO887" s="319" t="s">
        <v>428</v>
      </c>
      <c r="HP887" s="319" t="s">
        <v>190</v>
      </c>
      <c r="HQ887" s="319" t="s">
        <v>190</v>
      </c>
      <c r="HR887" s="319" t="s">
        <v>190</v>
      </c>
      <c r="HS887" s="319" t="s">
        <v>190</v>
      </c>
      <c r="HT887" s="319" t="s">
        <v>190</v>
      </c>
      <c r="HU887" s="319" t="s">
        <v>190</v>
      </c>
      <c r="HV887" s="319" t="s">
        <v>190</v>
      </c>
      <c r="HW887" s="319" t="s">
        <v>190</v>
      </c>
      <c r="HX887" s="319" t="s">
        <v>190</v>
      </c>
      <c r="HY887" s="319" t="s">
        <v>190</v>
      </c>
      <c r="HZ887" s="319" t="s">
        <v>190</v>
      </c>
      <c r="IA887" s="319" t="s">
        <v>190</v>
      </c>
      <c r="IB887" s="319" t="s">
        <v>190</v>
      </c>
      <c r="IC887" s="319" t="s">
        <v>190</v>
      </c>
      <c r="ID887" s="319" t="s">
        <v>190</v>
      </c>
      <c r="IE887" s="319" t="s">
        <v>190</v>
      </c>
      <c r="IF887" s="319" t="s">
        <v>190</v>
      </c>
      <c r="IG887" s="319" t="s">
        <v>190</v>
      </c>
      <c r="IH887" s="319" t="s">
        <v>190</v>
      </c>
      <c r="II887" s="319" t="s">
        <v>190</v>
      </c>
      <c r="IJ887" s="319">
        <v>10033897</v>
      </c>
      <c r="IK887" s="321">
        <v>42997</v>
      </c>
      <c r="IL887" s="321">
        <v>42999</v>
      </c>
      <c r="IM887" s="321">
        <v>43045</v>
      </c>
      <c r="IN887" s="319">
        <v>4</v>
      </c>
      <c r="IO887" s="319" t="s">
        <v>173</v>
      </c>
      <c r="IP887" s="319" t="s">
        <v>173</v>
      </c>
      <c r="IQ887" s="319" t="s">
        <v>173</v>
      </c>
      <c r="IR887" s="320" t="s">
        <v>173</v>
      </c>
      <c r="IS887" s="320" t="s">
        <v>173</v>
      </c>
      <c r="IT887" s="319" t="s">
        <v>173</v>
      </c>
    </row>
    <row r="888" spans="1:254" s="271" customFormat="1" x14ac:dyDescent="0.25">
      <c r="A888" s="318" t="str">
        <f>HYPERLINK("http://www.ofsted.gov.uk/inspection-reports/find-inspection-report/provider/ELS/143640 ","Ofsted School Webpage")</f>
        <v>Ofsted School Webpage</v>
      </c>
      <c r="B888" s="319">
        <v>143640</v>
      </c>
      <c r="C888" s="319">
        <v>3046004</v>
      </c>
      <c r="D888" s="319" t="s">
        <v>1121</v>
      </c>
      <c r="E888" s="319" t="s">
        <v>167</v>
      </c>
      <c r="F888" s="319" t="s">
        <v>81</v>
      </c>
      <c r="G888" s="319" t="s">
        <v>71</v>
      </c>
      <c r="H888" s="319" t="s">
        <v>71</v>
      </c>
      <c r="I888" s="319" t="s">
        <v>72</v>
      </c>
      <c r="J888" s="319" t="s">
        <v>424</v>
      </c>
      <c r="K888" s="319" t="s">
        <v>441</v>
      </c>
      <c r="L888" s="319" t="s">
        <v>441</v>
      </c>
      <c r="M888" s="319" t="s">
        <v>477</v>
      </c>
      <c r="N888" s="319" t="s">
        <v>3420</v>
      </c>
      <c r="O888" s="319" t="s">
        <v>1122</v>
      </c>
      <c r="P888" s="319">
        <v>94</v>
      </c>
      <c r="Q888" s="319" t="s">
        <v>2766</v>
      </c>
      <c r="R888" s="320">
        <v>10041410</v>
      </c>
      <c r="S888" s="321">
        <v>43214</v>
      </c>
      <c r="T888" s="321">
        <v>43216</v>
      </c>
      <c r="U888" s="321">
        <v>43241</v>
      </c>
      <c r="V888" s="319" t="s">
        <v>435</v>
      </c>
      <c r="W888" s="319" t="s">
        <v>2767</v>
      </c>
      <c r="X888" s="319">
        <v>3</v>
      </c>
      <c r="Y888" s="319" t="s">
        <v>173</v>
      </c>
      <c r="Z888" s="319" t="s">
        <v>173</v>
      </c>
      <c r="AA888" s="319" t="s">
        <v>173</v>
      </c>
      <c r="AB888" s="319">
        <v>3</v>
      </c>
      <c r="AC888" s="319" t="s">
        <v>169</v>
      </c>
      <c r="AD888" s="319">
        <v>3</v>
      </c>
      <c r="AE888" s="319" t="s">
        <v>173</v>
      </c>
      <c r="AF888" s="319" t="s">
        <v>427</v>
      </c>
      <c r="AG888" s="319" t="s">
        <v>172</v>
      </c>
      <c r="AH888" s="319" t="s">
        <v>190</v>
      </c>
      <c r="AI888" s="319" t="s">
        <v>190</v>
      </c>
      <c r="AJ888" s="319" t="s">
        <v>479</v>
      </c>
      <c r="AK888" s="319" t="s">
        <v>190</v>
      </c>
      <c r="AL888" s="319" t="s">
        <v>479</v>
      </c>
      <c r="AM888" s="319" t="s">
        <v>190</v>
      </c>
      <c r="AN888" s="319" t="s">
        <v>190</v>
      </c>
      <c r="AO888" s="319" t="s">
        <v>479</v>
      </c>
      <c r="AP888" s="319" t="s">
        <v>190</v>
      </c>
      <c r="AQ888" s="319" t="s">
        <v>190</v>
      </c>
      <c r="AR888" s="319" t="s">
        <v>190</v>
      </c>
      <c r="AS888" s="319" t="s">
        <v>190</v>
      </c>
      <c r="AT888" s="319" t="s">
        <v>190</v>
      </c>
      <c r="AU888" s="319" t="s">
        <v>190</v>
      </c>
      <c r="AV888" s="319" t="s">
        <v>190</v>
      </c>
      <c r="AW888" s="319" t="s">
        <v>190</v>
      </c>
      <c r="AX888" s="319" t="s">
        <v>428</v>
      </c>
      <c r="AY888" s="319" t="s">
        <v>190</v>
      </c>
      <c r="AZ888" s="319" t="s">
        <v>190</v>
      </c>
      <c r="BA888" s="319" t="s">
        <v>190</v>
      </c>
      <c r="BB888" s="319" t="s">
        <v>428</v>
      </c>
      <c r="BC888" s="319" t="s">
        <v>428</v>
      </c>
      <c r="BD888" s="319" t="s">
        <v>428</v>
      </c>
      <c r="BE888" s="319" t="s">
        <v>428</v>
      </c>
      <c r="BF888" s="319" t="s">
        <v>190</v>
      </c>
      <c r="BG888" s="319" t="s">
        <v>190</v>
      </c>
      <c r="BH888" s="319" t="s">
        <v>190</v>
      </c>
      <c r="BI888" s="319" t="s">
        <v>190</v>
      </c>
      <c r="BJ888" s="319" t="s">
        <v>190</v>
      </c>
      <c r="BK888" s="319" t="s">
        <v>190</v>
      </c>
      <c r="BL888" s="319" t="s">
        <v>190</v>
      </c>
      <c r="BM888" s="319" t="s">
        <v>190</v>
      </c>
      <c r="BN888" s="319" t="s">
        <v>190</v>
      </c>
      <c r="BO888" s="319" t="s">
        <v>190</v>
      </c>
      <c r="BP888" s="319" t="s">
        <v>190</v>
      </c>
      <c r="BQ888" s="319" t="s">
        <v>190</v>
      </c>
      <c r="BR888" s="319" t="s">
        <v>190</v>
      </c>
      <c r="BS888" s="319" t="s">
        <v>190</v>
      </c>
      <c r="BT888" s="319" t="s">
        <v>190</v>
      </c>
      <c r="BU888" s="319" t="s">
        <v>190</v>
      </c>
      <c r="BV888" s="319" t="s">
        <v>190</v>
      </c>
      <c r="BW888" s="319" t="s">
        <v>190</v>
      </c>
      <c r="BX888" s="319" t="s">
        <v>190</v>
      </c>
      <c r="BY888" s="319" t="s">
        <v>190</v>
      </c>
      <c r="BZ888" s="319" t="s">
        <v>190</v>
      </c>
      <c r="CA888" s="319" t="s">
        <v>190</v>
      </c>
      <c r="CB888" s="319" t="s">
        <v>190</v>
      </c>
      <c r="CC888" s="319" t="s">
        <v>190</v>
      </c>
      <c r="CD888" s="319" t="s">
        <v>190</v>
      </c>
      <c r="CE888" s="319" t="s">
        <v>190</v>
      </c>
      <c r="CF888" s="319" t="s">
        <v>190</v>
      </c>
      <c r="CG888" s="319" t="s">
        <v>190</v>
      </c>
      <c r="CH888" s="319" t="s">
        <v>190</v>
      </c>
      <c r="CI888" s="319" t="s">
        <v>190</v>
      </c>
      <c r="CJ888" s="319" t="s">
        <v>190</v>
      </c>
      <c r="CK888" s="319" t="s">
        <v>190</v>
      </c>
      <c r="CL888" s="319" t="s">
        <v>190</v>
      </c>
      <c r="CM888" s="319" t="s">
        <v>190</v>
      </c>
      <c r="CN888" s="319" t="s">
        <v>428</v>
      </c>
      <c r="CO888" s="319" t="s">
        <v>428</v>
      </c>
      <c r="CP888" s="319" t="s">
        <v>428</v>
      </c>
      <c r="CQ888" s="319" t="s">
        <v>190</v>
      </c>
      <c r="CR888" s="319" t="s">
        <v>190</v>
      </c>
      <c r="CS888" s="319" t="s">
        <v>190</v>
      </c>
      <c r="CT888" s="319" t="s">
        <v>190</v>
      </c>
      <c r="CU888" s="319" t="s">
        <v>190</v>
      </c>
      <c r="CV888" s="319" t="s">
        <v>190</v>
      </c>
      <c r="CW888" s="319" t="s">
        <v>190</v>
      </c>
      <c r="CX888" s="319" t="s">
        <v>190</v>
      </c>
      <c r="CY888" s="319" t="s">
        <v>190</v>
      </c>
      <c r="CZ888" s="319" t="s">
        <v>191</v>
      </c>
      <c r="DA888" s="319" t="s">
        <v>190</v>
      </c>
      <c r="DB888" s="319" t="s">
        <v>190</v>
      </c>
      <c r="DC888" s="319" t="s">
        <v>190</v>
      </c>
      <c r="DD888" s="319" t="s">
        <v>190</v>
      </c>
      <c r="DE888" s="319" t="s">
        <v>190</v>
      </c>
      <c r="DF888" s="319" t="s">
        <v>190</v>
      </c>
      <c r="DG888" s="319" t="s">
        <v>190</v>
      </c>
      <c r="DH888" s="319" t="s">
        <v>190</v>
      </c>
      <c r="DI888" s="319" t="s">
        <v>190</v>
      </c>
      <c r="DJ888" s="319" t="s">
        <v>190</v>
      </c>
      <c r="DK888" s="319" t="s">
        <v>190</v>
      </c>
      <c r="DL888" s="319" t="s">
        <v>190</v>
      </c>
      <c r="DM888" s="319" t="s">
        <v>190</v>
      </c>
      <c r="DN888" s="319" t="s">
        <v>428</v>
      </c>
      <c r="DO888" s="319" t="s">
        <v>190</v>
      </c>
      <c r="DP888" s="319" t="s">
        <v>190</v>
      </c>
      <c r="DQ888" s="319" t="s">
        <v>190</v>
      </c>
      <c r="DR888" s="319" t="s">
        <v>190</v>
      </c>
      <c r="DS888" s="319" t="s">
        <v>190</v>
      </c>
      <c r="DT888" s="319" t="s">
        <v>190</v>
      </c>
      <c r="DU888" s="319" t="s">
        <v>190</v>
      </c>
      <c r="DV888" s="319" t="s">
        <v>173</v>
      </c>
      <c r="DW888" s="319" t="s">
        <v>190</v>
      </c>
      <c r="DX888" s="319" t="s">
        <v>190</v>
      </c>
      <c r="DY888" s="319" t="s">
        <v>190</v>
      </c>
      <c r="DZ888" s="319" t="s">
        <v>190</v>
      </c>
      <c r="EA888" s="319" t="s">
        <v>190</v>
      </c>
      <c r="EB888" s="319" t="s">
        <v>190</v>
      </c>
      <c r="EC888" s="319" t="s">
        <v>428</v>
      </c>
      <c r="ED888" s="319" t="s">
        <v>190</v>
      </c>
      <c r="EE888" s="319" t="s">
        <v>190</v>
      </c>
      <c r="EF888" s="319" t="s">
        <v>190</v>
      </c>
      <c r="EG888" s="319" t="s">
        <v>190</v>
      </c>
      <c r="EH888" s="319" t="s">
        <v>190</v>
      </c>
      <c r="EI888" s="319" t="s">
        <v>190</v>
      </c>
      <c r="EJ888" s="319" t="s">
        <v>190</v>
      </c>
      <c r="EK888" s="319" t="s">
        <v>190</v>
      </c>
      <c r="EL888" s="319" t="s">
        <v>190</v>
      </c>
      <c r="EM888" s="319" t="s">
        <v>190</v>
      </c>
      <c r="EN888" s="319" t="s">
        <v>190</v>
      </c>
      <c r="EO888" s="319" t="s">
        <v>190</v>
      </c>
      <c r="EP888" s="319" t="s">
        <v>190</v>
      </c>
      <c r="EQ888" s="319" t="s">
        <v>190</v>
      </c>
      <c r="ER888" s="319" t="s">
        <v>190</v>
      </c>
      <c r="ES888" s="319" t="s">
        <v>190</v>
      </c>
      <c r="ET888" s="319" t="s">
        <v>190</v>
      </c>
      <c r="EU888" s="319" t="s">
        <v>190</v>
      </c>
      <c r="EV888" s="319" t="s">
        <v>190</v>
      </c>
      <c r="EW888" s="319" t="s">
        <v>190</v>
      </c>
      <c r="EX888" s="319" t="s">
        <v>190</v>
      </c>
      <c r="EY888" s="319" t="s">
        <v>190</v>
      </c>
      <c r="EZ888" s="319" t="s">
        <v>190</v>
      </c>
      <c r="FA888" s="319" t="s">
        <v>190</v>
      </c>
      <c r="FB888" s="319" t="s">
        <v>190</v>
      </c>
      <c r="FC888" s="319" t="s">
        <v>190</v>
      </c>
      <c r="FD888" s="319" t="s">
        <v>190</v>
      </c>
      <c r="FE888" s="319" t="s">
        <v>190</v>
      </c>
      <c r="FF888" s="319" t="s">
        <v>428</v>
      </c>
      <c r="FG888" s="319" t="s">
        <v>190</v>
      </c>
      <c r="FH888" s="319" t="s">
        <v>190</v>
      </c>
      <c r="FI888" s="319" t="s">
        <v>190</v>
      </c>
      <c r="FJ888" s="319" t="s">
        <v>190</v>
      </c>
      <c r="FK888" s="319" t="s">
        <v>190</v>
      </c>
      <c r="FL888" s="319" t="s">
        <v>190</v>
      </c>
      <c r="FM888" s="319" t="s">
        <v>190</v>
      </c>
      <c r="FN888" s="319" t="s">
        <v>190</v>
      </c>
      <c r="FO888" s="319" t="s">
        <v>428</v>
      </c>
      <c r="FP888" s="319" t="s">
        <v>190</v>
      </c>
      <c r="FQ888" s="319" t="s">
        <v>190</v>
      </c>
      <c r="FR888" s="319" t="s">
        <v>190</v>
      </c>
      <c r="FS888" s="319" t="s">
        <v>428</v>
      </c>
      <c r="FT888" s="319" t="s">
        <v>190</v>
      </c>
      <c r="FU888" s="319" t="s">
        <v>190</v>
      </c>
      <c r="FV888" s="319" t="s">
        <v>190</v>
      </c>
      <c r="FW888" s="319" t="s">
        <v>191</v>
      </c>
      <c r="FX888" s="319" t="s">
        <v>190</v>
      </c>
      <c r="FY888" s="319" t="s">
        <v>191</v>
      </c>
      <c r="FZ888" s="319" t="s">
        <v>190</v>
      </c>
      <c r="GA888" s="319" t="s">
        <v>190</v>
      </c>
      <c r="GB888" s="319" t="s">
        <v>190</v>
      </c>
      <c r="GC888" s="319" t="s">
        <v>190</v>
      </c>
      <c r="GD888" s="319" t="s">
        <v>190</v>
      </c>
      <c r="GE888" s="319" t="s">
        <v>190</v>
      </c>
      <c r="GF888" s="319" t="s">
        <v>190</v>
      </c>
      <c r="GG888" s="319" t="s">
        <v>190</v>
      </c>
      <c r="GH888" s="319" t="s">
        <v>190</v>
      </c>
      <c r="GI888" s="319" t="s">
        <v>190</v>
      </c>
      <c r="GJ888" s="319" t="s">
        <v>190</v>
      </c>
      <c r="GK888" s="319" t="s">
        <v>428</v>
      </c>
      <c r="GL888" s="319" t="s">
        <v>190</v>
      </c>
      <c r="GM888" s="319" t="s">
        <v>190</v>
      </c>
      <c r="GN888" s="319" t="s">
        <v>190</v>
      </c>
      <c r="GO888" s="319" t="s">
        <v>190</v>
      </c>
      <c r="GP888" s="319" t="s">
        <v>190</v>
      </c>
      <c r="GQ888" s="319" t="s">
        <v>428</v>
      </c>
      <c r="GR888" s="319" t="s">
        <v>190</v>
      </c>
      <c r="GS888" s="319" t="s">
        <v>190</v>
      </c>
      <c r="GT888" s="319" t="s">
        <v>428</v>
      </c>
      <c r="GU888" s="319" t="s">
        <v>428</v>
      </c>
      <c r="GV888" s="319" t="s">
        <v>190</v>
      </c>
      <c r="GW888" s="319" t="s">
        <v>190</v>
      </c>
      <c r="GX888" s="319" t="s">
        <v>190</v>
      </c>
      <c r="GY888" s="319" t="s">
        <v>190</v>
      </c>
      <c r="GZ888" s="319" t="s">
        <v>428</v>
      </c>
      <c r="HA888" s="319" t="s">
        <v>190</v>
      </c>
      <c r="HB888" s="319" t="s">
        <v>190</v>
      </c>
      <c r="HC888" s="319" t="s">
        <v>190</v>
      </c>
      <c r="HD888" s="319" t="s">
        <v>191</v>
      </c>
      <c r="HE888" s="319" t="s">
        <v>190</v>
      </c>
      <c r="HF888" s="319" t="s">
        <v>191</v>
      </c>
      <c r="HG888" s="319" t="s">
        <v>190</v>
      </c>
      <c r="HH888" s="319" t="s">
        <v>190</v>
      </c>
      <c r="HI888" s="319" t="s">
        <v>190</v>
      </c>
      <c r="HJ888" s="319" t="s">
        <v>190</v>
      </c>
      <c r="HK888" s="319" t="s">
        <v>190</v>
      </c>
      <c r="HL888" s="319" t="s">
        <v>428</v>
      </c>
      <c r="HM888" s="319" t="s">
        <v>428</v>
      </c>
      <c r="HN888" s="319" t="s">
        <v>428</v>
      </c>
      <c r="HO888" s="319" t="s">
        <v>428</v>
      </c>
      <c r="HP888" s="319" t="s">
        <v>190</v>
      </c>
      <c r="HQ888" s="319" t="s">
        <v>190</v>
      </c>
      <c r="HR888" s="319" t="s">
        <v>190</v>
      </c>
      <c r="HS888" s="319" t="s">
        <v>190</v>
      </c>
      <c r="HT888" s="319" t="s">
        <v>190</v>
      </c>
      <c r="HU888" s="319" t="s">
        <v>190</v>
      </c>
      <c r="HV888" s="319" t="s">
        <v>190</v>
      </c>
      <c r="HW888" s="319" t="s">
        <v>190</v>
      </c>
      <c r="HX888" s="319" t="s">
        <v>190</v>
      </c>
      <c r="HY888" s="319" t="s">
        <v>190</v>
      </c>
      <c r="HZ888" s="319" t="s">
        <v>190</v>
      </c>
      <c r="IA888" s="319" t="s">
        <v>190</v>
      </c>
      <c r="IB888" s="319" t="s">
        <v>190</v>
      </c>
      <c r="IC888" s="319" t="s">
        <v>190</v>
      </c>
      <c r="ID888" s="319" t="s">
        <v>190</v>
      </c>
      <c r="IE888" s="319" t="s">
        <v>190</v>
      </c>
      <c r="IF888" s="319" t="s">
        <v>191</v>
      </c>
      <c r="IG888" s="319" t="s">
        <v>191</v>
      </c>
      <c r="IH888" s="319" t="s">
        <v>191</v>
      </c>
      <c r="II888" s="319" t="s">
        <v>190</v>
      </c>
      <c r="IJ888" s="319" t="s">
        <v>173</v>
      </c>
      <c r="IK888" s="319" t="s">
        <v>173</v>
      </c>
      <c r="IL888" s="319" t="s">
        <v>173</v>
      </c>
      <c r="IM888" s="319" t="s">
        <v>173</v>
      </c>
      <c r="IN888" s="319" t="s">
        <v>173</v>
      </c>
      <c r="IO888" s="319">
        <v>10103137</v>
      </c>
      <c r="IP888" s="319" t="s">
        <v>985</v>
      </c>
      <c r="IQ888" s="321">
        <v>43657</v>
      </c>
      <c r="IR888" s="320" t="s">
        <v>1223</v>
      </c>
      <c r="IS888" s="322">
        <v>43730</v>
      </c>
      <c r="IT888" s="319" t="s">
        <v>165</v>
      </c>
    </row>
    <row r="889" spans="1:254" s="271" customFormat="1" x14ac:dyDescent="0.25">
      <c r="A889" s="318" t="str">
        <f>HYPERLINK("http://www.ofsted.gov.uk/inspection-reports/find-inspection-report/provider/ELS/143642 ","Ofsted School Webpage")</f>
        <v>Ofsted School Webpage</v>
      </c>
      <c r="B889" s="319">
        <v>143642</v>
      </c>
      <c r="C889" s="319">
        <v>8386039</v>
      </c>
      <c r="D889" s="319" t="s">
        <v>2410</v>
      </c>
      <c r="E889" s="319" t="s">
        <v>168</v>
      </c>
      <c r="F889" s="319" t="s">
        <v>81</v>
      </c>
      <c r="G889" s="319" t="s">
        <v>81</v>
      </c>
      <c r="H889" s="319" t="s">
        <v>81</v>
      </c>
      <c r="I889" s="319" t="s">
        <v>78</v>
      </c>
      <c r="J889" s="319" t="s">
        <v>424</v>
      </c>
      <c r="K889" s="319" t="s">
        <v>422</v>
      </c>
      <c r="L889" s="319" t="s">
        <v>422</v>
      </c>
      <c r="M889" s="319" t="s">
        <v>570</v>
      </c>
      <c r="N889" s="319" t="s">
        <v>2933</v>
      </c>
      <c r="O889" s="319" t="s">
        <v>2411</v>
      </c>
      <c r="P889" s="319">
        <v>7</v>
      </c>
      <c r="Q889" s="319" t="s">
        <v>429</v>
      </c>
      <c r="R889" s="320">
        <v>10047187</v>
      </c>
      <c r="S889" s="321">
        <v>43277</v>
      </c>
      <c r="T889" s="321">
        <v>43279</v>
      </c>
      <c r="U889" s="321">
        <v>43305</v>
      </c>
      <c r="V889" s="319" t="s">
        <v>435</v>
      </c>
      <c r="W889" s="319" t="s">
        <v>2767</v>
      </c>
      <c r="X889" s="319">
        <v>2</v>
      </c>
      <c r="Y889" s="319" t="s">
        <v>173</v>
      </c>
      <c r="Z889" s="319" t="s">
        <v>173</v>
      </c>
      <c r="AA889" s="319" t="s">
        <v>173</v>
      </c>
      <c r="AB889" s="319">
        <v>2</v>
      </c>
      <c r="AC889" s="319" t="s">
        <v>169</v>
      </c>
      <c r="AD889" s="319" t="s">
        <v>173</v>
      </c>
      <c r="AE889" s="319" t="s">
        <v>173</v>
      </c>
      <c r="AF889" s="319" t="s">
        <v>427</v>
      </c>
      <c r="AG889" s="319" t="s">
        <v>171</v>
      </c>
      <c r="AH889" s="319" t="s">
        <v>190</v>
      </c>
      <c r="AI889" s="319" t="s">
        <v>190</v>
      </c>
      <c r="AJ889" s="319" t="s">
        <v>190</v>
      </c>
      <c r="AK889" s="319" t="s">
        <v>190</v>
      </c>
      <c r="AL889" s="319" t="s">
        <v>190</v>
      </c>
      <c r="AM889" s="319" t="s">
        <v>190</v>
      </c>
      <c r="AN889" s="319" t="s">
        <v>190</v>
      </c>
      <c r="AO889" s="319" t="s">
        <v>190</v>
      </c>
      <c r="AP889" s="319" t="s">
        <v>190</v>
      </c>
      <c r="AQ889" s="319" t="s">
        <v>190</v>
      </c>
      <c r="AR889" s="319" t="s">
        <v>190</v>
      </c>
      <c r="AS889" s="319" t="s">
        <v>190</v>
      </c>
      <c r="AT889" s="319" t="s">
        <v>190</v>
      </c>
      <c r="AU889" s="319" t="s">
        <v>190</v>
      </c>
      <c r="AV889" s="319" t="s">
        <v>190</v>
      </c>
      <c r="AW889" s="319" t="s">
        <v>190</v>
      </c>
      <c r="AX889" s="319" t="s">
        <v>428</v>
      </c>
      <c r="AY889" s="319" t="s">
        <v>190</v>
      </c>
      <c r="AZ889" s="319" t="s">
        <v>190</v>
      </c>
      <c r="BA889" s="319" t="s">
        <v>190</v>
      </c>
      <c r="BB889" s="319" t="s">
        <v>190</v>
      </c>
      <c r="BC889" s="319" t="s">
        <v>190</v>
      </c>
      <c r="BD889" s="319" t="s">
        <v>190</v>
      </c>
      <c r="BE889" s="319" t="s">
        <v>190</v>
      </c>
      <c r="BF889" s="319" t="s">
        <v>190</v>
      </c>
      <c r="BG889" s="319" t="s">
        <v>190</v>
      </c>
      <c r="BH889" s="319" t="s">
        <v>190</v>
      </c>
      <c r="BI889" s="319" t="s">
        <v>190</v>
      </c>
      <c r="BJ889" s="319" t="s">
        <v>190</v>
      </c>
      <c r="BK889" s="319" t="s">
        <v>190</v>
      </c>
      <c r="BL889" s="319" t="s">
        <v>190</v>
      </c>
      <c r="BM889" s="319" t="s">
        <v>190</v>
      </c>
      <c r="BN889" s="319" t="s">
        <v>190</v>
      </c>
      <c r="BO889" s="319" t="s">
        <v>190</v>
      </c>
      <c r="BP889" s="319" t="s">
        <v>190</v>
      </c>
      <c r="BQ889" s="319" t="s">
        <v>190</v>
      </c>
      <c r="BR889" s="319" t="s">
        <v>190</v>
      </c>
      <c r="BS889" s="319" t="s">
        <v>190</v>
      </c>
      <c r="BT889" s="319" t="s">
        <v>190</v>
      </c>
      <c r="BU889" s="319" t="s">
        <v>190</v>
      </c>
      <c r="BV889" s="319" t="s">
        <v>190</v>
      </c>
      <c r="BW889" s="319" t="s">
        <v>190</v>
      </c>
      <c r="BX889" s="319" t="s">
        <v>190</v>
      </c>
      <c r="BY889" s="319" t="s">
        <v>190</v>
      </c>
      <c r="BZ889" s="319" t="s">
        <v>190</v>
      </c>
      <c r="CA889" s="319" t="s">
        <v>190</v>
      </c>
      <c r="CB889" s="319" t="s">
        <v>190</v>
      </c>
      <c r="CC889" s="319" t="s">
        <v>190</v>
      </c>
      <c r="CD889" s="319" t="s">
        <v>190</v>
      </c>
      <c r="CE889" s="319" t="s">
        <v>190</v>
      </c>
      <c r="CF889" s="319" t="s">
        <v>190</v>
      </c>
      <c r="CG889" s="319" t="s">
        <v>190</v>
      </c>
      <c r="CH889" s="319" t="s">
        <v>190</v>
      </c>
      <c r="CI889" s="319" t="s">
        <v>190</v>
      </c>
      <c r="CJ889" s="319" t="s">
        <v>190</v>
      </c>
      <c r="CK889" s="319" t="s">
        <v>190</v>
      </c>
      <c r="CL889" s="319" t="s">
        <v>190</v>
      </c>
      <c r="CM889" s="319" t="s">
        <v>190</v>
      </c>
      <c r="CN889" s="319" t="s">
        <v>190</v>
      </c>
      <c r="CO889" s="319" t="s">
        <v>428</v>
      </c>
      <c r="CP889" s="319" t="s">
        <v>428</v>
      </c>
      <c r="CQ889" s="319" t="s">
        <v>190</v>
      </c>
      <c r="CR889" s="319" t="s">
        <v>190</v>
      </c>
      <c r="CS889" s="319" t="s">
        <v>190</v>
      </c>
      <c r="CT889" s="319" t="s">
        <v>190</v>
      </c>
      <c r="CU889" s="319" t="s">
        <v>190</v>
      </c>
      <c r="CV889" s="319" t="s">
        <v>190</v>
      </c>
      <c r="CW889" s="319" t="s">
        <v>190</v>
      </c>
      <c r="CX889" s="319" t="s">
        <v>190</v>
      </c>
      <c r="CY889" s="319" t="s">
        <v>190</v>
      </c>
      <c r="CZ889" s="319" t="s">
        <v>190</v>
      </c>
      <c r="DA889" s="319" t="s">
        <v>190</v>
      </c>
      <c r="DB889" s="319" t="s">
        <v>190</v>
      </c>
      <c r="DC889" s="319" t="s">
        <v>190</v>
      </c>
      <c r="DD889" s="319" t="s">
        <v>190</v>
      </c>
      <c r="DE889" s="319" t="s">
        <v>190</v>
      </c>
      <c r="DF889" s="319" t="s">
        <v>190</v>
      </c>
      <c r="DG889" s="319" t="s">
        <v>190</v>
      </c>
      <c r="DH889" s="319" t="s">
        <v>190</v>
      </c>
      <c r="DI889" s="319" t="s">
        <v>190</v>
      </c>
      <c r="DJ889" s="319" t="s">
        <v>190</v>
      </c>
      <c r="DK889" s="319" t="s">
        <v>190</v>
      </c>
      <c r="DL889" s="319" t="s">
        <v>190</v>
      </c>
      <c r="DM889" s="319" t="s">
        <v>190</v>
      </c>
      <c r="DN889" s="319" t="s">
        <v>428</v>
      </c>
      <c r="DO889" s="319" t="s">
        <v>190</v>
      </c>
      <c r="DP889" s="319" t="s">
        <v>190</v>
      </c>
      <c r="DQ889" s="319" t="s">
        <v>190</v>
      </c>
      <c r="DR889" s="319" t="s">
        <v>190</v>
      </c>
      <c r="DS889" s="319" t="s">
        <v>190</v>
      </c>
      <c r="DT889" s="319" t="s">
        <v>190</v>
      </c>
      <c r="DU889" s="319" t="s">
        <v>190</v>
      </c>
      <c r="DV889" s="319" t="s">
        <v>173</v>
      </c>
      <c r="DW889" s="319" t="s">
        <v>190</v>
      </c>
      <c r="DX889" s="319" t="s">
        <v>190</v>
      </c>
      <c r="DY889" s="319" t="s">
        <v>190</v>
      </c>
      <c r="DZ889" s="319" t="s">
        <v>190</v>
      </c>
      <c r="EA889" s="319" t="s">
        <v>190</v>
      </c>
      <c r="EB889" s="319" t="s">
        <v>190</v>
      </c>
      <c r="EC889" s="319" t="s">
        <v>428</v>
      </c>
      <c r="ED889" s="319" t="s">
        <v>190</v>
      </c>
      <c r="EE889" s="319" t="s">
        <v>190</v>
      </c>
      <c r="EF889" s="319" t="s">
        <v>190</v>
      </c>
      <c r="EG889" s="319" t="s">
        <v>190</v>
      </c>
      <c r="EH889" s="319" t="s">
        <v>190</v>
      </c>
      <c r="EI889" s="319" t="s">
        <v>190</v>
      </c>
      <c r="EJ889" s="319" t="s">
        <v>190</v>
      </c>
      <c r="EK889" s="319" t="s">
        <v>190</v>
      </c>
      <c r="EL889" s="319" t="s">
        <v>190</v>
      </c>
      <c r="EM889" s="319" t="s">
        <v>190</v>
      </c>
      <c r="EN889" s="319" t="s">
        <v>190</v>
      </c>
      <c r="EO889" s="319" t="s">
        <v>190</v>
      </c>
      <c r="EP889" s="319" t="s">
        <v>190</v>
      </c>
      <c r="EQ889" s="319" t="s">
        <v>190</v>
      </c>
      <c r="ER889" s="319" t="s">
        <v>190</v>
      </c>
      <c r="ES889" s="319" t="s">
        <v>190</v>
      </c>
      <c r="ET889" s="319" t="s">
        <v>190</v>
      </c>
      <c r="EU889" s="319" t="s">
        <v>190</v>
      </c>
      <c r="EV889" s="319" t="s">
        <v>190</v>
      </c>
      <c r="EW889" s="319" t="s">
        <v>190</v>
      </c>
      <c r="EX889" s="319" t="s">
        <v>190</v>
      </c>
      <c r="EY889" s="319" t="s">
        <v>190</v>
      </c>
      <c r="EZ889" s="319" t="s">
        <v>190</v>
      </c>
      <c r="FA889" s="319" t="s">
        <v>190</v>
      </c>
      <c r="FB889" s="319" t="s">
        <v>190</v>
      </c>
      <c r="FC889" s="319" t="s">
        <v>190</v>
      </c>
      <c r="FD889" s="319" t="s">
        <v>190</v>
      </c>
      <c r="FE889" s="319" t="s">
        <v>190</v>
      </c>
      <c r="FF889" s="319" t="s">
        <v>190</v>
      </c>
      <c r="FG889" s="319" t="s">
        <v>190</v>
      </c>
      <c r="FH889" s="319" t="s">
        <v>190</v>
      </c>
      <c r="FI889" s="319" t="s">
        <v>190</v>
      </c>
      <c r="FJ889" s="319" t="s">
        <v>190</v>
      </c>
      <c r="FK889" s="319" t="s">
        <v>190</v>
      </c>
      <c r="FL889" s="319" t="s">
        <v>190</v>
      </c>
      <c r="FM889" s="319" t="s">
        <v>190</v>
      </c>
      <c r="FN889" s="319" t="s">
        <v>190</v>
      </c>
      <c r="FO889" s="319" t="s">
        <v>190</v>
      </c>
      <c r="FP889" s="319" t="s">
        <v>190</v>
      </c>
      <c r="FQ889" s="319" t="s">
        <v>190</v>
      </c>
      <c r="FR889" s="319" t="s">
        <v>190</v>
      </c>
      <c r="FS889" s="319" t="s">
        <v>190</v>
      </c>
      <c r="FT889" s="319" t="s">
        <v>190</v>
      </c>
      <c r="FU889" s="319" t="s">
        <v>190</v>
      </c>
      <c r="FV889" s="319" t="s">
        <v>190</v>
      </c>
      <c r="FW889" s="319" t="s">
        <v>190</v>
      </c>
      <c r="FX889" s="319" t="s">
        <v>190</v>
      </c>
      <c r="FY889" s="319" t="s">
        <v>190</v>
      </c>
      <c r="FZ889" s="319" t="s">
        <v>190</v>
      </c>
      <c r="GA889" s="319" t="s">
        <v>190</v>
      </c>
      <c r="GB889" s="319" t="s">
        <v>190</v>
      </c>
      <c r="GC889" s="319" t="s">
        <v>190</v>
      </c>
      <c r="GD889" s="319" t="s">
        <v>190</v>
      </c>
      <c r="GE889" s="319" t="s">
        <v>190</v>
      </c>
      <c r="GF889" s="319" t="s">
        <v>190</v>
      </c>
      <c r="GG889" s="319" t="s">
        <v>190</v>
      </c>
      <c r="GH889" s="319" t="s">
        <v>190</v>
      </c>
      <c r="GI889" s="319" t="s">
        <v>190</v>
      </c>
      <c r="GJ889" s="319" t="s">
        <v>190</v>
      </c>
      <c r="GK889" s="319" t="s">
        <v>428</v>
      </c>
      <c r="GL889" s="319" t="s">
        <v>190</v>
      </c>
      <c r="GM889" s="319" t="s">
        <v>190</v>
      </c>
      <c r="GN889" s="319" t="s">
        <v>190</v>
      </c>
      <c r="GO889" s="319" t="s">
        <v>190</v>
      </c>
      <c r="GP889" s="319" t="s">
        <v>190</v>
      </c>
      <c r="GQ889" s="319" t="s">
        <v>190</v>
      </c>
      <c r="GR889" s="319" t="s">
        <v>190</v>
      </c>
      <c r="GS889" s="319" t="s">
        <v>190</v>
      </c>
      <c r="GT889" s="319" t="s">
        <v>190</v>
      </c>
      <c r="GU889" s="319" t="s">
        <v>190</v>
      </c>
      <c r="GV889" s="319" t="s">
        <v>190</v>
      </c>
      <c r="GW889" s="319" t="s">
        <v>190</v>
      </c>
      <c r="GX889" s="319" t="s">
        <v>190</v>
      </c>
      <c r="GY889" s="319" t="s">
        <v>190</v>
      </c>
      <c r="GZ889" s="319" t="s">
        <v>428</v>
      </c>
      <c r="HA889" s="319" t="s">
        <v>190</v>
      </c>
      <c r="HB889" s="319" t="s">
        <v>190</v>
      </c>
      <c r="HC889" s="319" t="s">
        <v>190</v>
      </c>
      <c r="HD889" s="319" t="s">
        <v>190</v>
      </c>
      <c r="HE889" s="319" t="s">
        <v>190</v>
      </c>
      <c r="HF889" s="319" t="s">
        <v>190</v>
      </c>
      <c r="HG889" s="319" t="s">
        <v>190</v>
      </c>
      <c r="HH889" s="319" t="s">
        <v>190</v>
      </c>
      <c r="HI889" s="319" t="s">
        <v>190</v>
      </c>
      <c r="HJ889" s="319" t="s">
        <v>190</v>
      </c>
      <c r="HK889" s="319" t="s">
        <v>190</v>
      </c>
      <c r="HL889" s="319" t="s">
        <v>190</v>
      </c>
      <c r="HM889" s="319" t="s">
        <v>190</v>
      </c>
      <c r="HN889" s="319" t="s">
        <v>190</v>
      </c>
      <c r="HO889" s="319" t="s">
        <v>190</v>
      </c>
      <c r="HP889" s="319" t="s">
        <v>190</v>
      </c>
      <c r="HQ889" s="319" t="s">
        <v>190</v>
      </c>
      <c r="HR889" s="319" t="s">
        <v>190</v>
      </c>
      <c r="HS889" s="319" t="s">
        <v>190</v>
      </c>
      <c r="HT889" s="319" t="s">
        <v>190</v>
      </c>
      <c r="HU889" s="319" t="s">
        <v>190</v>
      </c>
      <c r="HV889" s="319" t="s">
        <v>190</v>
      </c>
      <c r="HW889" s="319" t="s">
        <v>190</v>
      </c>
      <c r="HX889" s="319" t="s">
        <v>190</v>
      </c>
      <c r="HY889" s="319" t="s">
        <v>190</v>
      </c>
      <c r="HZ889" s="319" t="s">
        <v>190</v>
      </c>
      <c r="IA889" s="319" t="s">
        <v>190</v>
      </c>
      <c r="IB889" s="319" t="s">
        <v>190</v>
      </c>
      <c r="IC889" s="319" t="s">
        <v>190</v>
      </c>
      <c r="ID889" s="319" t="s">
        <v>190</v>
      </c>
      <c r="IE889" s="319" t="s">
        <v>190</v>
      </c>
      <c r="IF889" s="319" t="s">
        <v>190</v>
      </c>
      <c r="IG889" s="319" t="s">
        <v>190</v>
      </c>
      <c r="IH889" s="319" t="s">
        <v>190</v>
      </c>
      <c r="II889" s="319" t="s">
        <v>190</v>
      </c>
      <c r="IJ889" s="319" t="s">
        <v>173</v>
      </c>
      <c r="IK889" s="319" t="s">
        <v>173</v>
      </c>
      <c r="IL889" s="319" t="s">
        <v>173</v>
      </c>
      <c r="IM889" s="319" t="s">
        <v>173</v>
      </c>
      <c r="IN889" s="319" t="s">
        <v>173</v>
      </c>
      <c r="IO889" s="319" t="s">
        <v>173</v>
      </c>
      <c r="IP889" s="319" t="s">
        <v>173</v>
      </c>
      <c r="IQ889" s="321" t="s">
        <v>173</v>
      </c>
      <c r="IR889" s="320" t="s">
        <v>173</v>
      </c>
      <c r="IS889" s="322" t="s">
        <v>173</v>
      </c>
      <c r="IT889" s="319" t="s">
        <v>173</v>
      </c>
    </row>
    <row r="890" spans="1:254" s="271" customFormat="1" x14ac:dyDescent="0.25">
      <c r="A890" s="318" t="str">
        <f>HYPERLINK("http://www.ofsted.gov.uk/inspection-reports/find-inspection-report/provider/ELS/143646 ","Ofsted School Webpage")</f>
        <v>Ofsted School Webpage</v>
      </c>
      <c r="B890" s="319">
        <v>143646</v>
      </c>
      <c r="C890" s="319">
        <v>3516006</v>
      </c>
      <c r="D890" s="319" t="s">
        <v>2412</v>
      </c>
      <c r="E890" s="319" t="s">
        <v>167</v>
      </c>
      <c r="F890" s="319" t="s">
        <v>81</v>
      </c>
      <c r="G890" s="319" t="s">
        <v>81</v>
      </c>
      <c r="H890" s="319" t="s">
        <v>81</v>
      </c>
      <c r="I890" s="319" t="s">
        <v>78</v>
      </c>
      <c r="J890" s="319" t="s">
        <v>424</v>
      </c>
      <c r="K890" s="319" t="s">
        <v>431</v>
      </c>
      <c r="L890" s="319" t="s">
        <v>431</v>
      </c>
      <c r="M890" s="319" t="s">
        <v>936</v>
      </c>
      <c r="N890" s="319" t="s">
        <v>2868</v>
      </c>
      <c r="O890" s="319" t="s">
        <v>2413</v>
      </c>
      <c r="P890" s="319">
        <v>22</v>
      </c>
      <c r="Q890" s="319" t="s">
        <v>2776</v>
      </c>
      <c r="R890" s="320">
        <v>10043787</v>
      </c>
      <c r="S890" s="321">
        <v>43284</v>
      </c>
      <c r="T890" s="321">
        <v>43286</v>
      </c>
      <c r="U890" s="321">
        <v>43304</v>
      </c>
      <c r="V890" s="319" t="s">
        <v>435</v>
      </c>
      <c r="W890" s="319" t="s">
        <v>2767</v>
      </c>
      <c r="X890" s="319">
        <v>2</v>
      </c>
      <c r="Y890" s="319" t="s">
        <v>173</v>
      </c>
      <c r="Z890" s="319" t="s">
        <v>173</v>
      </c>
      <c r="AA890" s="319" t="s">
        <v>173</v>
      </c>
      <c r="AB890" s="319">
        <v>2</v>
      </c>
      <c r="AC890" s="319" t="s">
        <v>169</v>
      </c>
      <c r="AD890" s="319" t="s">
        <v>173</v>
      </c>
      <c r="AE890" s="319">
        <v>2</v>
      </c>
      <c r="AF890" s="319" t="s">
        <v>427</v>
      </c>
      <c r="AG890" s="319" t="s">
        <v>171</v>
      </c>
      <c r="AH890" s="319" t="s">
        <v>190</v>
      </c>
      <c r="AI890" s="319" t="s">
        <v>190</v>
      </c>
      <c r="AJ890" s="319" t="s">
        <v>190</v>
      </c>
      <c r="AK890" s="319" t="s">
        <v>190</v>
      </c>
      <c r="AL890" s="319" t="s">
        <v>190</v>
      </c>
      <c r="AM890" s="319" t="s">
        <v>190</v>
      </c>
      <c r="AN890" s="319" t="s">
        <v>190</v>
      </c>
      <c r="AO890" s="319" t="s">
        <v>190</v>
      </c>
      <c r="AP890" s="319" t="s">
        <v>190</v>
      </c>
      <c r="AQ890" s="319" t="s">
        <v>190</v>
      </c>
      <c r="AR890" s="319" t="s">
        <v>190</v>
      </c>
      <c r="AS890" s="319" t="s">
        <v>190</v>
      </c>
      <c r="AT890" s="319" t="s">
        <v>190</v>
      </c>
      <c r="AU890" s="319" t="s">
        <v>190</v>
      </c>
      <c r="AV890" s="319" t="s">
        <v>190</v>
      </c>
      <c r="AW890" s="319" t="s">
        <v>190</v>
      </c>
      <c r="AX890" s="319" t="s">
        <v>428</v>
      </c>
      <c r="AY890" s="319" t="s">
        <v>190</v>
      </c>
      <c r="AZ890" s="319" t="s">
        <v>190</v>
      </c>
      <c r="BA890" s="319" t="s">
        <v>190</v>
      </c>
      <c r="BB890" s="319" t="s">
        <v>190</v>
      </c>
      <c r="BC890" s="319" t="s">
        <v>190</v>
      </c>
      <c r="BD890" s="319" t="s">
        <v>190</v>
      </c>
      <c r="BE890" s="319" t="s">
        <v>190</v>
      </c>
      <c r="BF890" s="319" t="s">
        <v>428</v>
      </c>
      <c r="BG890" s="319" t="s">
        <v>190</v>
      </c>
      <c r="BH890" s="319" t="s">
        <v>190</v>
      </c>
      <c r="BI890" s="319" t="s">
        <v>190</v>
      </c>
      <c r="BJ890" s="319" t="s">
        <v>190</v>
      </c>
      <c r="BK890" s="319" t="s">
        <v>190</v>
      </c>
      <c r="BL890" s="319" t="s">
        <v>190</v>
      </c>
      <c r="BM890" s="319" t="s">
        <v>190</v>
      </c>
      <c r="BN890" s="319" t="s">
        <v>190</v>
      </c>
      <c r="BO890" s="319" t="s">
        <v>190</v>
      </c>
      <c r="BP890" s="319" t="s">
        <v>190</v>
      </c>
      <c r="BQ890" s="319" t="s">
        <v>190</v>
      </c>
      <c r="BR890" s="319" t="s">
        <v>190</v>
      </c>
      <c r="BS890" s="319" t="s">
        <v>190</v>
      </c>
      <c r="BT890" s="319" t="s">
        <v>190</v>
      </c>
      <c r="BU890" s="319" t="s">
        <v>190</v>
      </c>
      <c r="BV890" s="319" t="s">
        <v>190</v>
      </c>
      <c r="BW890" s="319" t="s">
        <v>190</v>
      </c>
      <c r="BX890" s="319" t="s">
        <v>190</v>
      </c>
      <c r="BY890" s="319" t="s">
        <v>190</v>
      </c>
      <c r="BZ890" s="319" t="s">
        <v>190</v>
      </c>
      <c r="CA890" s="319" t="s">
        <v>190</v>
      </c>
      <c r="CB890" s="319" t="s">
        <v>190</v>
      </c>
      <c r="CC890" s="319" t="s">
        <v>190</v>
      </c>
      <c r="CD890" s="319" t="s">
        <v>190</v>
      </c>
      <c r="CE890" s="319" t="s">
        <v>190</v>
      </c>
      <c r="CF890" s="319" t="s">
        <v>190</v>
      </c>
      <c r="CG890" s="319" t="s">
        <v>190</v>
      </c>
      <c r="CH890" s="319" t="s">
        <v>190</v>
      </c>
      <c r="CI890" s="319" t="s">
        <v>190</v>
      </c>
      <c r="CJ890" s="319" t="s">
        <v>190</v>
      </c>
      <c r="CK890" s="319" t="s">
        <v>190</v>
      </c>
      <c r="CL890" s="319" t="s">
        <v>190</v>
      </c>
      <c r="CM890" s="319" t="s">
        <v>190</v>
      </c>
      <c r="CN890" s="319" t="s">
        <v>190</v>
      </c>
      <c r="CO890" s="319" t="s">
        <v>190</v>
      </c>
      <c r="CP890" s="319" t="s">
        <v>190</v>
      </c>
      <c r="CQ890" s="319" t="s">
        <v>190</v>
      </c>
      <c r="CR890" s="319" t="s">
        <v>190</v>
      </c>
      <c r="CS890" s="319" t="s">
        <v>190</v>
      </c>
      <c r="CT890" s="319" t="s">
        <v>190</v>
      </c>
      <c r="CU890" s="319" t="s">
        <v>190</v>
      </c>
      <c r="CV890" s="319" t="s">
        <v>190</v>
      </c>
      <c r="CW890" s="319" t="s">
        <v>190</v>
      </c>
      <c r="CX890" s="319" t="s">
        <v>190</v>
      </c>
      <c r="CY890" s="319" t="s">
        <v>190</v>
      </c>
      <c r="CZ890" s="319" t="s">
        <v>190</v>
      </c>
      <c r="DA890" s="319" t="s">
        <v>190</v>
      </c>
      <c r="DB890" s="319" t="s">
        <v>190</v>
      </c>
      <c r="DC890" s="319" t="s">
        <v>190</v>
      </c>
      <c r="DD890" s="319" t="s">
        <v>190</v>
      </c>
      <c r="DE890" s="319" t="s">
        <v>190</v>
      </c>
      <c r="DF890" s="319" t="s">
        <v>190</v>
      </c>
      <c r="DG890" s="319" t="s">
        <v>190</v>
      </c>
      <c r="DH890" s="319" t="s">
        <v>190</v>
      </c>
      <c r="DI890" s="319" t="s">
        <v>190</v>
      </c>
      <c r="DJ890" s="319" t="s">
        <v>190</v>
      </c>
      <c r="DK890" s="319" t="s">
        <v>190</v>
      </c>
      <c r="DL890" s="319" t="s">
        <v>190</v>
      </c>
      <c r="DM890" s="319" t="s">
        <v>190</v>
      </c>
      <c r="DN890" s="319" t="s">
        <v>428</v>
      </c>
      <c r="DO890" s="319" t="s">
        <v>190</v>
      </c>
      <c r="DP890" s="319" t="s">
        <v>190</v>
      </c>
      <c r="DQ890" s="319" t="s">
        <v>190</v>
      </c>
      <c r="DR890" s="319" t="s">
        <v>190</v>
      </c>
      <c r="DS890" s="319" t="s">
        <v>190</v>
      </c>
      <c r="DT890" s="319" t="s">
        <v>190</v>
      </c>
      <c r="DU890" s="319" t="s">
        <v>190</v>
      </c>
      <c r="DV890" s="319" t="s">
        <v>173</v>
      </c>
      <c r="DW890" s="319" t="s">
        <v>190</v>
      </c>
      <c r="DX890" s="319" t="s">
        <v>190</v>
      </c>
      <c r="DY890" s="319" t="s">
        <v>190</v>
      </c>
      <c r="DZ890" s="319" t="s">
        <v>190</v>
      </c>
      <c r="EA890" s="319" t="s">
        <v>190</v>
      </c>
      <c r="EB890" s="319" t="s">
        <v>190</v>
      </c>
      <c r="EC890" s="319" t="s">
        <v>428</v>
      </c>
      <c r="ED890" s="319" t="s">
        <v>190</v>
      </c>
      <c r="EE890" s="319" t="s">
        <v>190</v>
      </c>
      <c r="EF890" s="319" t="s">
        <v>190</v>
      </c>
      <c r="EG890" s="319" t="s">
        <v>190</v>
      </c>
      <c r="EH890" s="319" t="s">
        <v>190</v>
      </c>
      <c r="EI890" s="319" t="s">
        <v>190</v>
      </c>
      <c r="EJ890" s="319" t="s">
        <v>190</v>
      </c>
      <c r="EK890" s="319" t="s">
        <v>190</v>
      </c>
      <c r="EL890" s="319" t="s">
        <v>190</v>
      </c>
      <c r="EM890" s="319" t="s">
        <v>190</v>
      </c>
      <c r="EN890" s="319" t="s">
        <v>190</v>
      </c>
      <c r="EO890" s="319" t="s">
        <v>190</v>
      </c>
      <c r="EP890" s="319" t="s">
        <v>190</v>
      </c>
      <c r="EQ890" s="319" t="s">
        <v>190</v>
      </c>
      <c r="ER890" s="319" t="s">
        <v>190</v>
      </c>
      <c r="ES890" s="319" t="s">
        <v>190</v>
      </c>
      <c r="ET890" s="319" t="s">
        <v>190</v>
      </c>
      <c r="EU890" s="319" t="s">
        <v>190</v>
      </c>
      <c r="EV890" s="319" t="s">
        <v>190</v>
      </c>
      <c r="EW890" s="319" t="s">
        <v>190</v>
      </c>
      <c r="EX890" s="319" t="s">
        <v>190</v>
      </c>
      <c r="EY890" s="319" t="s">
        <v>190</v>
      </c>
      <c r="EZ890" s="319" t="s">
        <v>190</v>
      </c>
      <c r="FA890" s="319" t="s">
        <v>190</v>
      </c>
      <c r="FB890" s="319" t="s">
        <v>190</v>
      </c>
      <c r="FC890" s="319" t="s">
        <v>190</v>
      </c>
      <c r="FD890" s="319" t="s">
        <v>190</v>
      </c>
      <c r="FE890" s="319" t="s">
        <v>190</v>
      </c>
      <c r="FF890" s="319" t="s">
        <v>190</v>
      </c>
      <c r="FG890" s="319" t="s">
        <v>190</v>
      </c>
      <c r="FH890" s="319" t="s">
        <v>190</v>
      </c>
      <c r="FI890" s="319" t="s">
        <v>190</v>
      </c>
      <c r="FJ890" s="319" t="s">
        <v>190</v>
      </c>
      <c r="FK890" s="319" t="s">
        <v>190</v>
      </c>
      <c r="FL890" s="319" t="s">
        <v>190</v>
      </c>
      <c r="FM890" s="319" t="s">
        <v>190</v>
      </c>
      <c r="FN890" s="319" t="s">
        <v>190</v>
      </c>
      <c r="FO890" s="319" t="s">
        <v>190</v>
      </c>
      <c r="FP890" s="319" t="s">
        <v>190</v>
      </c>
      <c r="FQ890" s="319" t="s">
        <v>190</v>
      </c>
      <c r="FR890" s="319" t="s">
        <v>190</v>
      </c>
      <c r="FS890" s="319" t="s">
        <v>428</v>
      </c>
      <c r="FT890" s="319" t="s">
        <v>190</v>
      </c>
      <c r="FU890" s="319" t="s">
        <v>190</v>
      </c>
      <c r="FV890" s="319" t="s">
        <v>190</v>
      </c>
      <c r="FW890" s="319" t="s">
        <v>190</v>
      </c>
      <c r="FX890" s="319" t="s">
        <v>190</v>
      </c>
      <c r="FY890" s="319" t="s">
        <v>190</v>
      </c>
      <c r="FZ890" s="319" t="s">
        <v>190</v>
      </c>
      <c r="GA890" s="319" t="s">
        <v>190</v>
      </c>
      <c r="GB890" s="319" t="s">
        <v>190</v>
      </c>
      <c r="GC890" s="319" t="s">
        <v>190</v>
      </c>
      <c r="GD890" s="319" t="s">
        <v>190</v>
      </c>
      <c r="GE890" s="319" t="s">
        <v>190</v>
      </c>
      <c r="GF890" s="319" t="s">
        <v>190</v>
      </c>
      <c r="GG890" s="319" t="s">
        <v>190</v>
      </c>
      <c r="GH890" s="319" t="s">
        <v>190</v>
      </c>
      <c r="GI890" s="319" t="s">
        <v>190</v>
      </c>
      <c r="GJ890" s="319" t="s">
        <v>190</v>
      </c>
      <c r="GK890" s="319" t="s">
        <v>428</v>
      </c>
      <c r="GL890" s="319" t="s">
        <v>190</v>
      </c>
      <c r="GM890" s="319" t="s">
        <v>190</v>
      </c>
      <c r="GN890" s="319" t="s">
        <v>190</v>
      </c>
      <c r="GO890" s="319" t="s">
        <v>190</v>
      </c>
      <c r="GP890" s="319" t="s">
        <v>428</v>
      </c>
      <c r="GQ890" s="319" t="s">
        <v>428</v>
      </c>
      <c r="GR890" s="319" t="s">
        <v>190</v>
      </c>
      <c r="GS890" s="319" t="s">
        <v>190</v>
      </c>
      <c r="GT890" s="319" t="s">
        <v>428</v>
      </c>
      <c r="GU890" s="319" t="s">
        <v>428</v>
      </c>
      <c r="GV890" s="319" t="s">
        <v>190</v>
      </c>
      <c r="GW890" s="319" t="s">
        <v>190</v>
      </c>
      <c r="GX890" s="319" t="s">
        <v>190</v>
      </c>
      <c r="GY890" s="319" t="s">
        <v>190</v>
      </c>
      <c r="GZ890" s="319" t="s">
        <v>428</v>
      </c>
      <c r="HA890" s="319" t="s">
        <v>190</v>
      </c>
      <c r="HB890" s="319" t="s">
        <v>190</v>
      </c>
      <c r="HC890" s="319" t="s">
        <v>190</v>
      </c>
      <c r="HD890" s="319" t="s">
        <v>190</v>
      </c>
      <c r="HE890" s="319" t="s">
        <v>190</v>
      </c>
      <c r="HF890" s="319" t="s">
        <v>190</v>
      </c>
      <c r="HG890" s="319" t="s">
        <v>190</v>
      </c>
      <c r="HH890" s="319" t="s">
        <v>190</v>
      </c>
      <c r="HI890" s="319" t="s">
        <v>190</v>
      </c>
      <c r="HJ890" s="319" t="s">
        <v>190</v>
      </c>
      <c r="HK890" s="319" t="s">
        <v>428</v>
      </c>
      <c r="HL890" s="319" t="s">
        <v>428</v>
      </c>
      <c r="HM890" s="319" t="s">
        <v>428</v>
      </c>
      <c r="HN890" s="319" t="s">
        <v>428</v>
      </c>
      <c r="HO890" s="319" t="s">
        <v>428</v>
      </c>
      <c r="HP890" s="319" t="s">
        <v>190</v>
      </c>
      <c r="HQ890" s="319" t="s">
        <v>190</v>
      </c>
      <c r="HR890" s="319" t="s">
        <v>190</v>
      </c>
      <c r="HS890" s="319" t="s">
        <v>190</v>
      </c>
      <c r="HT890" s="319" t="s">
        <v>190</v>
      </c>
      <c r="HU890" s="319" t="s">
        <v>190</v>
      </c>
      <c r="HV890" s="319" t="s">
        <v>190</v>
      </c>
      <c r="HW890" s="319" t="s">
        <v>190</v>
      </c>
      <c r="HX890" s="319" t="s">
        <v>190</v>
      </c>
      <c r="HY890" s="319" t="s">
        <v>190</v>
      </c>
      <c r="HZ890" s="319" t="s">
        <v>190</v>
      </c>
      <c r="IA890" s="319" t="s">
        <v>190</v>
      </c>
      <c r="IB890" s="319" t="s">
        <v>190</v>
      </c>
      <c r="IC890" s="319" t="s">
        <v>190</v>
      </c>
      <c r="ID890" s="319" t="s">
        <v>190</v>
      </c>
      <c r="IE890" s="319" t="s">
        <v>190</v>
      </c>
      <c r="IF890" s="319" t="s">
        <v>190</v>
      </c>
      <c r="IG890" s="319" t="s">
        <v>190</v>
      </c>
      <c r="IH890" s="319" t="s">
        <v>190</v>
      </c>
      <c r="II890" s="319" t="s">
        <v>190</v>
      </c>
      <c r="IJ890" s="319" t="s">
        <v>173</v>
      </c>
      <c r="IK890" s="319" t="s">
        <v>173</v>
      </c>
      <c r="IL890" s="319" t="s">
        <v>173</v>
      </c>
      <c r="IM890" s="319" t="s">
        <v>173</v>
      </c>
      <c r="IN890" s="319" t="s">
        <v>173</v>
      </c>
      <c r="IO890" s="319" t="s">
        <v>173</v>
      </c>
      <c r="IP890" s="319" t="s">
        <v>173</v>
      </c>
      <c r="IQ890" s="319" t="s">
        <v>173</v>
      </c>
      <c r="IR890" s="320" t="s">
        <v>173</v>
      </c>
      <c r="IS890" s="320" t="s">
        <v>173</v>
      </c>
      <c r="IT890" s="319" t="s">
        <v>173</v>
      </c>
    </row>
    <row r="891" spans="1:254" s="271" customFormat="1" x14ac:dyDescent="0.25">
      <c r="A891" s="318" t="str">
        <f>HYPERLINK("http://www.ofsted.gov.uk/inspection-reports/find-inspection-report/provider/ELS/143653 ","Ofsted School Webpage")</f>
        <v>Ofsted School Webpage</v>
      </c>
      <c r="B891" s="319">
        <v>143653</v>
      </c>
      <c r="C891" s="319">
        <v>8616013</v>
      </c>
      <c r="D891" s="319" t="s">
        <v>2414</v>
      </c>
      <c r="E891" s="319" t="s">
        <v>168</v>
      </c>
      <c r="F891" s="319" t="s">
        <v>81</v>
      </c>
      <c r="G891" s="319" t="s">
        <v>81</v>
      </c>
      <c r="H891" s="319" t="s">
        <v>81</v>
      </c>
      <c r="I891" s="319" t="s">
        <v>78</v>
      </c>
      <c r="J891" s="319" t="s">
        <v>424</v>
      </c>
      <c r="K891" s="319" t="s">
        <v>437</v>
      </c>
      <c r="L891" s="319" t="s">
        <v>437</v>
      </c>
      <c r="M891" s="319" t="s">
        <v>580</v>
      </c>
      <c r="N891" s="319" t="s">
        <v>3417</v>
      </c>
      <c r="O891" s="319" t="s">
        <v>2415</v>
      </c>
      <c r="P891" s="319">
        <v>39</v>
      </c>
      <c r="Q891" s="319" t="s">
        <v>429</v>
      </c>
      <c r="R891" s="320">
        <v>10041367</v>
      </c>
      <c r="S891" s="321">
        <v>43165</v>
      </c>
      <c r="T891" s="321">
        <v>43167</v>
      </c>
      <c r="U891" s="321">
        <v>43217</v>
      </c>
      <c r="V891" s="319" t="s">
        <v>435</v>
      </c>
      <c r="W891" s="319" t="s">
        <v>2767</v>
      </c>
      <c r="X891" s="319">
        <v>2</v>
      </c>
      <c r="Y891" s="319" t="s">
        <v>173</v>
      </c>
      <c r="Z891" s="319" t="s">
        <v>173</v>
      </c>
      <c r="AA891" s="319" t="s">
        <v>173</v>
      </c>
      <c r="AB891" s="319">
        <v>2</v>
      </c>
      <c r="AC891" s="319" t="s">
        <v>169</v>
      </c>
      <c r="AD891" s="319" t="s">
        <v>173</v>
      </c>
      <c r="AE891" s="319">
        <v>2</v>
      </c>
      <c r="AF891" s="319" t="s">
        <v>427</v>
      </c>
      <c r="AG891" s="319" t="s">
        <v>171</v>
      </c>
      <c r="AH891" s="319" t="s">
        <v>190</v>
      </c>
      <c r="AI891" s="319" t="s">
        <v>190</v>
      </c>
      <c r="AJ891" s="319" t="s">
        <v>190</v>
      </c>
      <c r="AK891" s="319" t="s">
        <v>190</v>
      </c>
      <c r="AL891" s="319" t="s">
        <v>190</v>
      </c>
      <c r="AM891" s="319" t="s">
        <v>190</v>
      </c>
      <c r="AN891" s="319" t="s">
        <v>190</v>
      </c>
      <c r="AO891" s="319" t="s">
        <v>190</v>
      </c>
      <c r="AP891" s="319" t="s">
        <v>190</v>
      </c>
      <c r="AQ891" s="319" t="s">
        <v>190</v>
      </c>
      <c r="AR891" s="319" t="s">
        <v>190</v>
      </c>
      <c r="AS891" s="319" t="s">
        <v>190</v>
      </c>
      <c r="AT891" s="319" t="s">
        <v>190</v>
      </c>
      <c r="AU891" s="319" t="s">
        <v>190</v>
      </c>
      <c r="AV891" s="319" t="s">
        <v>190</v>
      </c>
      <c r="AW891" s="319" t="s">
        <v>190</v>
      </c>
      <c r="AX891" s="319" t="s">
        <v>190</v>
      </c>
      <c r="AY891" s="319" t="s">
        <v>190</v>
      </c>
      <c r="AZ891" s="319" t="s">
        <v>190</v>
      </c>
      <c r="BA891" s="319" t="s">
        <v>190</v>
      </c>
      <c r="BB891" s="319" t="s">
        <v>190</v>
      </c>
      <c r="BC891" s="319" t="s">
        <v>190</v>
      </c>
      <c r="BD891" s="319" t="s">
        <v>190</v>
      </c>
      <c r="BE891" s="319" t="s">
        <v>190</v>
      </c>
      <c r="BF891" s="319" t="s">
        <v>428</v>
      </c>
      <c r="BG891" s="319" t="s">
        <v>190</v>
      </c>
      <c r="BH891" s="319" t="s">
        <v>190</v>
      </c>
      <c r="BI891" s="319" t="s">
        <v>190</v>
      </c>
      <c r="BJ891" s="319" t="s">
        <v>190</v>
      </c>
      <c r="BK891" s="319" t="s">
        <v>190</v>
      </c>
      <c r="BL891" s="319" t="s">
        <v>190</v>
      </c>
      <c r="BM891" s="319" t="s">
        <v>190</v>
      </c>
      <c r="BN891" s="319" t="s">
        <v>190</v>
      </c>
      <c r="BO891" s="319" t="s">
        <v>190</v>
      </c>
      <c r="BP891" s="319" t="s">
        <v>190</v>
      </c>
      <c r="BQ891" s="319" t="s">
        <v>190</v>
      </c>
      <c r="BR891" s="319" t="s">
        <v>190</v>
      </c>
      <c r="BS891" s="319" t="s">
        <v>190</v>
      </c>
      <c r="BT891" s="319" t="s">
        <v>190</v>
      </c>
      <c r="BU891" s="319" t="s">
        <v>190</v>
      </c>
      <c r="BV891" s="319" t="s">
        <v>190</v>
      </c>
      <c r="BW891" s="319" t="s">
        <v>190</v>
      </c>
      <c r="BX891" s="319" t="s">
        <v>190</v>
      </c>
      <c r="BY891" s="319" t="s">
        <v>190</v>
      </c>
      <c r="BZ891" s="319" t="s">
        <v>190</v>
      </c>
      <c r="CA891" s="319" t="s">
        <v>190</v>
      </c>
      <c r="CB891" s="319" t="s">
        <v>190</v>
      </c>
      <c r="CC891" s="319" t="s">
        <v>190</v>
      </c>
      <c r="CD891" s="319" t="s">
        <v>190</v>
      </c>
      <c r="CE891" s="319" t="s">
        <v>190</v>
      </c>
      <c r="CF891" s="319" t="s">
        <v>190</v>
      </c>
      <c r="CG891" s="319" t="s">
        <v>190</v>
      </c>
      <c r="CH891" s="319" t="s">
        <v>190</v>
      </c>
      <c r="CI891" s="319" t="s">
        <v>190</v>
      </c>
      <c r="CJ891" s="319" t="s">
        <v>190</v>
      </c>
      <c r="CK891" s="319" t="s">
        <v>190</v>
      </c>
      <c r="CL891" s="319" t="s">
        <v>190</v>
      </c>
      <c r="CM891" s="319" t="s">
        <v>190</v>
      </c>
      <c r="CN891" s="319" t="s">
        <v>428</v>
      </c>
      <c r="CO891" s="319" t="s">
        <v>428</v>
      </c>
      <c r="CP891" s="319" t="s">
        <v>428</v>
      </c>
      <c r="CQ891" s="319" t="s">
        <v>190</v>
      </c>
      <c r="CR891" s="319" t="s">
        <v>190</v>
      </c>
      <c r="CS891" s="319" t="s">
        <v>190</v>
      </c>
      <c r="CT891" s="319" t="s">
        <v>190</v>
      </c>
      <c r="CU891" s="319" t="s">
        <v>190</v>
      </c>
      <c r="CV891" s="319" t="s">
        <v>190</v>
      </c>
      <c r="CW891" s="319" t="s">
        <v>190</v>
      </c>
      <c r="CX891" s="319" t="s">
        <v>190</v>
      </c>
      <c r="CY891" s="319" t="s">
        <v>190</v>
      </c>
      <c r="CZ891" s="319" t="s">
        <v>190</v>
      </c>
      <c r="DA891" s="319" t="s">
        <v>190</v>
      </c>
      <c r="DB891" s="319" t="s">
        <v>190</v>
      </c>
      <c r="DC891" s="319" t="s">
        <v>190</v>
      </c>
      <c r="DD891" s="319" t="s">
        <v>190</v>
      </c>
      <c r="DE891" s="319" t="s">
        <v>190</v>
      </c>
      <c r="DF891" s="319" t="s">
        <v>190</v>
      </c>
      <c r="DG891" s="319" t="s">
        <v>190</v>
      </c>
      <c r="DH891" s="319" t="s">
        <v>190</v>
      </c>
      <c r="DI891" s="319" t="s">
        <v>190</v>
      </c>
      <c r="DJ891" s="319" t="s">
        <v>190</v>
      </c>
      <c r="DK891" s="319" t="s">
        <v>190</v>
      </c>
      <c r="DL891" s="319" t="s">
        <v>190</v>
      </c>
      <c r="DM891" s="319" t="s">
        <v>190</v>
      </c>
      <c r="DN891" s="319" t="s">
        <v>428</v>
      </c>
      <c r="DO891" s="319" t="s">
        <v>190</v>
      </c>
      <c r="DP891" s="319" t="s">
        <v>190</v>
      </c>
      <c r="DQ891" s="319" t="s">
        <v>190</v>
      </c>
      <c r="DR891" s="319" t="s">
        <v>190</v>
      </c>
      <c r="DS891" s="319" t="s">
        <v>190</v>
      </c>
      <c r="DT891" s="319" t="s">
        <v>190</v>
      </c>
      <c r="DU891" s="319" t="s">
        <v>190</v>
      </c>
      <c r="DV891" s="319" t="s">
        <v>173</v>
      </c>
      <c r="DW891" s="319" t="s">
        <v>190</v>
      </c>
      <c r="DX891" s="319" t="s">
        <v>190</v>
      </c>
      <c r="DY891" s="319" t="s">
        <v>190</v>
      </c>
      <c r="DZ891" s="319" t="s">
        <v>190</v>
      </c>
      <c r="EA891" s="319" t="s">
        <v>190</v>
      </c>
      <c r="EB891" s="319" t="s">
        <v>190</v>
      </c>
      <c r="EC891" s="319" t="s">
        <v>428</v>
      </c>
      <c r="ED891" s="319" t="s">
        <v>190</v>
      </c>
      <c r="EE891" s="319" t="s">
        <v>190</v>
      </c>
      <c r="EF891" s="319" t="s">
        <v>190</v>
      </c>
      <c r="EG891" s="319" t="s">
        <v>190</v>
      </c>
      <c r="EH891" s="319" t="s">
        <v>190</v>
      </c>
      <c r="EI891" s="319" t="s">
        <v>190</v>
      </c>
      <c r="EJ891" s="319" t="s">
        <v>190</v>
      </c>
      <c r="EK891" s="319" t="s">
        <v>190</v>
      </c>
      <c r="EL891" s="319" t="s">
        <v>190</v>
      </c>
      <c r="EM891" s="319" t="s">
        <v>190</v>
      </c>
      <c r="EN891" s="319" t="s">
        <v>190</v>
      </c>
      <c r="EO891" s="319" t="s">
        <v>190</v>
      </c>
      <c r="EP891" s="319" t="s">
        <v>190</v>
      </c>
      <c r="EQ891" s="319" t="s">
        <v>190</v>
      </c>
      <c r="ER891" s="319" t="s">
        <v>190</v>
      </c>
      <c r="ES891" s="319" t="s">
        <v>190</v>
      </c>
      <c r="ET891" s="319" t="s">
        <v>190</v>
      </c>
      <c r="EU891" s="319" t="s">
        <v>190</v>
      </c>
      <c r="EV891" s="319" t="s">
        <v>190</v>
      </c>
      <c r="EW891" s="319" t="s">
        <v>190</v>
      </c>
      <c r="EX891" s="319" t="s">
        <v>190</v>
      </c>
      <c r="EY891" s="319" t="s">
        <v>190</v>
      </c>
      <c r="EZ891" s="319" t="s">
        <v>190</v>
      </c>
      <c r="FA891" s="319" t="s">
        <v>190</v>
      </c>
      <c r="FB891" s="319" t="s">
        <v>190</v>
      </c>
      <c r="FC891" s="319" t="s">
        <v>190</v>
      </c>
      <c r="FD891" s="319" t="s">
        <v>190</v>
      </c>
      <c r="FE891" s="319" t="s">
        <v>190</v>
      </c>
      <c r="FF891" s="319" t="s">
        <v>190</v>
      </c>
      <c r="FG891" s="319" t="s">
        <v>190</v>
      </c>
      <c r="FH891" s="319" t="s">
        <v>190</v>
      </c>
      <c r="FI891" s="319" t="s">
        <v>190</v>
      </c>
      <c r="FJ891" s="319" t="s">
        <v>190</v>
      </c>
      <c r="FK891" s="319" t="s">
        <v>190</v>
      </c>
      <c r="FL891" s="319" t="s">
        <v>190</v>
      </c>
      <c r="FM891" s="319" t="s">
        <v>190</v>
      </c>
      <c r="FN891" s="319" t="s">
        <v>190</v>
      </c>
      <c r="FO891" s="319" t="s">
        <v>190</v>
      </c>
      <c r="FP891" s="319" t="s">
        <v>190</v>
      </c>
      <c r="FQ891" s="319" t="s">
        <v>190</v>
      </c>
      <c r="FR891" s="319" t="s">
        <v>190</v>
      </c>
      <c r="FS891" s="319" t="s">
        <v>428</v>
      </c>
      <c r="FT891" s="319" t="s">
        <v>190</v>
      </c>
      <c r="FU891" s="319" t="s">
        <v>190</v>
      </c>
      <c r="FV891" s="319" t="s">
        <v>190</v>
      </c>
      <c r="FW891" s="319" t="s">
        <v>190</v>
      </c>
      <c r="FX891" s="319" t="s">
        <v>190</v>
      </c>
      <c r="FY891" s="319" t="s">
        <v>190</v>
      </c>
      <c r="FZ891" s="319" t="s">
        <v>190</v>
      </c>
      <c r="GA891" s="319" t="s">
        <v>190</v>
      </c>
      <c r="GB891" s="319" t="s">
        <v>190</v>
      </c>
      <c r="GC891" s="319" t="s">
        <v>190</v>
      </c>
      <c r="GD891" s="319" t="s">
        <v>190</v>
      </c>
      <c r="GE891" s="319" t="s">
        <v>190</v>
      </c>
      <c r="GF891" s="319" t="s">
        <v>190</v>
      </c>
      <c r="GG891" s="319" t="s">
        <v>190</v>
      </c>
      <c r="GH891" s="319" t="s">
        <v>190</v>
      </c>
      <c r="GI891" s="319" t="s">
        <v>190</v>
      </c>
      <c r="GJ891" s="319" t="s">
        <v>190</v>
      </c>
      <c r="GK891" s="319" t="s">
        <v>428</v>
      </c>
      <c r="GL891" s="319" t="s">
        <v>190</v>
      </c>
      <c r="GM891" s="319" t="s">
        <v>190</v>
      </c>
      <c r="GN891" s="319" t="s">
        <v>190</v>
      </c>
      <c r="GO891" s="319" t="s">
        <v>190</v>
      </c>
      <c r="GP891" s="319" t="s">
        <v>190</v>
      </c>
      <c r="GQ891" s="319" t="s">
        <v>190</v>
      </c>
      <c r="GR891" s="319" t="s">
        <v>190</v>
      </c>
      <c r="GS891" s="319" t="s">
        <v>190</v>
      </c>
      <c r="GT891" s="319" t="s">
        <v>190</v>
      </c>
      <c r="GU891" s="319" t="s">
        <v>190</v>
      </c>
      <c r="GV891" s="319" t="s">
        <v>190</v>
      </c>
      <c r="GW891" s="319" t="s">
        <v>190</v>
      </c>
      <c r="GX891" s="319" t="s">
        <v>190</v>
      </c>
      <c r="GY891" s="319" t="s">
        <v>190</v>
      </c>
      <c r="GZ891" s="319" t="s">
        <v>190</v>
      </c>
      <c r="HA891" s="319" t="s">
        <v>428</v>
      </c>
      <c r="HB891" s="319" t="s">
        <v>428</v>
      </c>
      <c r="HC891" s="319" t="s">
        <v>190</v>
      </c>
      <c r="HD891" s="319" t="s">
        <v>190</v>
      </c>
      <c r="HE891" s="319" t="s">
        <v>190</v>
      </c>
      <c r="HF891" s="319" t="s">
        <v>190</v>
      </c>
      <c r="HG891" s="319" t="s">
        <v>190</v>
      </c>
      <c r="HH891" s="319" t="s">
        <v>190</v>
      </c>
      <c r="HI891" s="319" t="s">
        <v>190</v>
      </c>
      <c r="HJ891" s="319" t="s">
        <v>190</v>
      </c>
      <c r="HK891" s="319" t="s">
        <v>190</v>
      </c>
      <c r="HL891" s="319" t="s">
        <v>428</v>
      </c>
      <c r="HM891" s="319" t="s">
        <v>428</v>
      </c>
      <c r="HN891" s="319" t="s">
        <v>428</v>
      </c>
      <c r="HO891" s="319" t="s">
        <v>428</v>
      </c>
      <c r="HP891" s="319" t="s">
        <v>190</v>
      </c>
      <c r="HQ891" s="319" t="s">
        <v>190</v>
      </c>
      <c r="HR891" s="319" t="s">
        <v>190</v>
      </c>
      <c r="HS891" s="319" t="s">
        <v>190</v>
      </c>
      <c r="HT891" s="319" t="s">
        <v>190</v>
      </c>
      <c r="HU891" s="319" t="s">
        <v>190</v>
      </c>
      <c r="HV891" s="319" t="s">
        <v>190</v>
      </c>
      <c r="HW891" s="319" t="s">
        <v>190</v>
      </c>
      <c r="HX891" s="319" t="s">
        <v>190</v>
      </c>
      <c r="HY891" s="319" t="s">
        <v>190</v>
      </c>
      <c r="HZ891" s="319" t="s">
        <v>190</v>
      </c>
      <c r="IA891" s="319" t="s">
        <v>190</v>
      </c>
      <c r="IB891" s="319" t="s">
        <v>190</v>
      </c>
      <c r="IC891" s="319" t="s">
        <v>190</v>
      </c>
      <c r="ID891" s="319" t="s">
        <v>190</v>
      </c>
      <c r="IE891" s="319" t="s">
        <v>190</v>
      </c>
      <c r="IF891" s="319" t="s">
        <v>190</v>
      </c>
      <c r="IG891" s="319" t="s">
        <v>190</v>
      </c>
      <c r="IH891" s="319" t="s">
        <v>190</v>
      </c>
      <c r="II891" s="319" t="s">
        <v>190</v>
      </c>
      <c r="IJ891" s="319" t="s">
        <v>173</v>
      </c>
      <c r="IK891" s="319" t="s">
        <v>173</v>
      </c>
      <c r="IL891" s="319" t="s">
        <v>173</v>
      </c>
      <c r="IM891" s="319" t="s">
        <v>173</v>
      </c>
      <c r="IN891" s="319" t="s">
        <v>173</v>
      </c>
      <c r="IO891" s="319" t="s">
        <v>173</v>
      </c>
      <c r="IP891" s="319" t="s">
        <v>173</v>
      </c>
      <c r="IQ891" s="321" t="s">
        <v>173</v>
      </c>
      <c r="IR891" s="320" t="s">
        <v>173</v>
      </c>
      <c r="IS891" s="322" t="s">
        <v>173</v>
      </c>
      <c r="IT891" s="319" t="s">
        <v>173</v>
      </c>
    </row>
    <row r="892" spans="1:254" s="271" customFormat="1" x14ac:dyDescent="0.25">
      <c r="A892" s="318" t="str">
        <f>HYPERLINK("http://www.ofsted.gov.uk/inspection-reports/find-inspection-report/provider/ELS/143838 ","Ofsted School Webpage")</f>
        <v>Ofsted School Webpage</v>
      </c>
      <c r="B892" s="319">
        <v>143838</v>
      </c>
      <c r="C892" s="319">
        <v>2096002</v>
      </c>
      <c r="D892" s="319" t="s">
        <v>2416</v>
      </c>
      <c r="E892" s="319" t="s">
        <v>167</v>
      </c>
      <c r="F892" s="319" t="s">
        <v>81</v>
      </c>
      <c r="G892" s="319" t="s">
        <v>59</v>
      </c>
      <c r="H892" s="319" t="s">
        <v>59</v>
      </c>
      <c r="I892" s="319" t="s">
        <v>59</v>
      </c>
      <c r="J892" s="319" t="s">
        <v>424</v>
      </c>
      <c r="K892" s="319" t="s">
        <v>441</v>
      </c>
      <c r="L892" s="319" t="s">
        <v>441</v>
      </c>
      <c r="M892" s="319" t="s">
        <v>655</v>
      </c>
      <c r="N892" s="319" t="s">
        <v>3180</v>
      </c>
      <c r="O892" s="319" t="s">
        <v>2417</v>
      </c>
      <c r="P892" s="319">
        <v>14</v>
      </c>
      <c r="Q892" s="319" t="s">
        <v>2766</v>
      </c>
      <c r="R892" s="320">
        <v>10044417</v>
      </c>
      <c r="S892" s="321">
        <v>43179</v>
      </c>
      <c r="T892" s="321">
        <v>43181</v>
      </c>
      <c r="U892" s="321">
        <v>43220</v>
      </c>
      <c r="V892" s="319" t="s">
        <v>435</v>
      </c>
      <c r="W892" s="319" t="s">
        <v>2767</v>
      </c>
      <c r="X892" s="319">
        <v>2</v>
      </c>
      <c r="Y892" s="319" t="s">
        <v>173</v>
      </c>
      <c r="Z892" s="319" t="s">
        <v>173</v>
      </c>
      <c r="AA892" s="319" t="s">
        <v>173</v>
      </c>
      <c r="AB892" s="319">
        <v>2</v>
      </c>
      <c r="AC892" s="319" t="s">
        <v>169</v>
      </c>
      <c r="AD892" s="319" t="s">
        <v>173</v>
      </c>
      <c r="AE892" s="319" t="s">
        <v>173</v>
      </c>
      <c r="AF892" s="319" t="s">
        <v>427</v>
      </c>
      <c r="AG892" s="319" t="s">
        <v>171</v>
      </c>
      <c r="AH892" s="319" t="s">
        <v>190</v>
      </c>
      <c r="AI892" s="319" t="s">
        <v>190</v>
      </c>
      <c r="AJ892" s="319" t="s">
        <v>190</v>
      </c>
      <c r="AK892" s="319" t="s">
        <v>190</v>
      </c>
      <c r="AL892" s="319" t="s">
        <v>190</v>
      </c>
      <c r="AM892" s="319" t="s">
        <v>190</v>
      </c>
      <c r="AN892" s="319" t="s">
        <v>190</v>
      </c>
      <c r="AO892" s="319" t="s">
        <v>190</v>
      </c>
      <c r="AP892" s="319" t="s">
        <v>190</v>
      </c>
      <c r="AQ892" s="319" t="s">
        <v>190</v>
      </c>
      <c r="AR892" s="319" t="s">
        <v>190</v>
      </c>
      <c r="AS892" s="319" t="s">
        <v>190</v>
      </c>
      <c r="AT892" s="319" t="s">
        <v>190</v>
      </c>
      <c r="AU892" s="319" t="s">
        <v>190</v>
      </c>
      <c r="AV892" s="319" t="s">
        <v>190</v>
      </c>
      <c r="AW892" s="319" t="s">
        <v>190</v>
      </c>
      <c r="AX892" s="319" t="s">
        <v>428</v>
      </c>
      <c r="AY892" s="319" t="s">
        <v>190</v>
      </c>
      <c r="AZ892" s="319" t="s">
        <v>190</v>
      </c>
      <c r="BA892" s="319" t="s">
        <v>190</v>
      </c>
      <c r="BB892" s="319" t="s">
        <v>190</v>
      </c>
      <c r="BC892" s="319" t="s">
        <v>190</v>
      </c>
      <c r="BD892" s="319" t="s">
        <v>190</v>
      </c>
      <c r="BE892" s="319" t="s">
        <v>190</v>
      </c>
      <c r="BF892" s="319" t="s">
        <v>190</v>
      </c>
      <c r="BG892" s="319" t="s">
        <v>190</v>
      </c>
      <c r="BH892" s="319" t="s">
        <v>190</v>
      </c>
      <c r="BI892" s="319" t="s">
        <v>190</v>
      </c>
      <c r="BJ892" s="319" t="s">
        <v>190</v>
      </c>
      <c r="BK892" s="319" t="s">
        <v>190</v>
      </c>
      <c r="BL892" s="319" t="s">
        <v>190</v>
      </c>
      <c r="BM892" s="319" t="s">
        <v>190</v>
      </c>
      <c r="BN892" s="319" t="s">
        <v>190</v>
      </c>
      <c r="BO892" s="319" t="s">
        <v>190</v>
      </c>
      <c r="BP892" s="319" t="s">
        <v>190</v>
      </c>
      <c r="BQ892" s="319" t="s">
        <v>190</v>
      </c>
      <c r="BR892" s="319" t="s">
        <v>190</v>
      </c>
      <c r="BS892" s="319" t="s">
        <v>190</v>
      </c>
      <c r="BT892" s="319" t="s">
        <v>190</v>
      </c>
      <c r="BU892" s="319" t="s">
        <v>190</v>
      </c>
      <c r="BV892" s="319" t="s">
        <v>190</v>
      </c>
      <c r="BW892" s="319" t="s">
        <v>190</v>
      </c>
      <c r="BX892" s="319" t="s">
        <v>190</v>
      </c>
      <c r="BY892" s="319" t="s">
        <v>190</v>
      </c>
      <c r="BZ892" s="319" t="s">
        <v>190</v>
      </c>
      <c r="CA892" s="319" t="s">
        <v>190</v>
      </c>
      <c r="CB892" s="319" t="s">
        <v>190</v>
      </c>
      <c r="CC892" s="319" t="s">
        <v>190</v>
      </c>
      <c r="CD892" s="319" t="s">
        <v>190</v>
      </c>
      <c r="CE892" s="319" t="s">
        <v>190</v>
      </c>
      <c r="CF892" s="319" t="s">
        <v>190</v>
      </c>
      <c r="CG892" s="319" t="s">
        <v>190</v>
      </c>
      <c r="CH892" s="319" t="s">
        <v>190</v>
      </c>
      <c r="CI892" s="319" t="s">
        <v>190</v>
      </c>
      <c r="CJ892" s="319" t="s">
        <v>190</v>
      </c>
      <c r="CK892" s="319" t="s">
        <v>190</v>
      </c>
      <c r="CL892" s="319" t="s">
        <v>190</v>
      </c>
      <c r="CM892" s="319" t="s">
        <v>190</v>
      </c>
      <c r="CN892" s="319" t="s">
        <v>428</v>
      </c>
      <c r="CO892" s="319" t="s">
        <v>428</v>
      </c>
      <c r="CP892" s="319" t="s">
        <v>428</v>
      </c>
      <c r="CQ892" s="319" t="s">
        <v>190</v>
      </c>
      <c r="CR892" s="319" t="s">
        <v>190</v>
      </c>
      <c r="CS892" s="319" t="s">
        <v>190</v>
      </c>
      <c r="CT892" s="319" t="s">
        <v>190</v>
      </c>
      <c r="CU892" s="319" t="s">
        <v>190</v>
      </c>
      <c r="CV892" s="319" t="s">
        <v>190</v>
      </c>
      <c r="CW892" s="319" t="s">
        <v>190</v>
      </c>
      <c r="CX892" s="319" t="s">
        <v>190</v>
      </c>
      <c r="CY892" s="319" t="s">
        <v>190</v>
      </c>
      <c r="CZ892" s="319" t="s">
        <v>190</v>
      </c>
      <c r="DA892" s="319" t="s">
        <v>190</v>
      </c>
      <c r="DB892" s="319" t="s">
        <v>190</v>
      </c>
      <c r="DC892" s="319" t="s">
        <v>190</v>
      </c>
      <c r="DD892" s="319" t="s">
        <v>190</v>
      </c>
      <c r="DE892" s="319" t="s">
        <v>190</v>
      </c>
      <c r="DF892" s="319" t="s">
        <v>190</v>
      </c>
      <c r="DG892" s="319" t="s">
        <v>190</v>
      </c>
      <c r="DH892" s="319" t="s">
        <v>190</v>
      </c>
      <c r="DI892" s="319" t="s">
        <v>190</v>
      </c>
      <c r="DJ892" s="319" t="s">
        <v>190</v>
      </c>
      <c r="DK892" s="319" t="s">
        <v>190</v>
      </c>
      <c r="DL892" s="319" t="s">
        <v>190</v>
      </c>
      <c r="DM892" s="319" t="s">
        <v>190</v>
      </c>
      <c r="DN892" s="319" t="s">
        <v>428</v>
      </c>
      <c r="DO892" s="319" t="s">
        <v>190</v>
      </c>
      <c r="DP892" s="319" t="s">
        <v>190</v>
      </c>
      <c r="DQ892" s="319" t="s">
        <v>190</v>
      </c>
      <c r="DR892" s="319" t="s">
        <v>190</v>
      </c>
      <c r="DS892" s="319" t="s">
        <v>190</v>
      </c>
      <c r="DT892" s="319" t="s">
        <v>190</v>
      </c>
      <c r="DU892" s="319" t="s">
        <v>190</v>
      </c>
      <c r="DV892" s="319" t="s">
        <v>173</v>
      </c>
      <c r="DW892" s="319" t="s">
        <v>190</v>
      </c>
      <c r="DX892" s="319" t="s">
        <v>190</v>
      </c>
      <c r="DY892" s="319" t="s">
        <v>190</v>
      </c>
      <c r="DZ892" s="319" t="s">
        <v>190</v>
      </c>
      <c r="EA892" s="319" t="s">
        <v>190</v>
      </c>
      <c r="EB892" s="319" t="s">
        <v>190</v>
      </c>
      <c r="EC892" s="319" t="s">
        <v>428</v>
      </c>
      <c r="ED892" s="319" t="s">
        <v>190</v>
      </c>
      <c r="EE892" s="319" t="s">
        <v>190</v>
      </c>
      <c r="EF892" s="319" t="s">
        <v>190</v>
      </c>
      <c r="EG892" s="319" t="s">
        <v>190</v>
      </c>
      <c r="EH892" s="319" t="s">
        <v>190</v>
      </c>
      <c r="EI892" s="319" t="s">
        <v>190</v>
      </c>
      <c r="EJ892" s="319" t="s">
        <v>190</v>
      </c>
      <c r="EK892" s="319" t="s">
        <v>190</v>
      </c>
      <c r="EL892" s="319" t="s">
        <v>190</v>
      </c>
      <c r="EM892" s="319" t="s">
        <v>190</v>
      </c>
      <c r="EN892" s="319" t="s">
        <v>190</v>
      </c>
      <c r="EO892" s="319" t="s">
        <v>190</v>
      </c>
      <c r="EP892" s="319" t="s">
        <v>190</v>
      </c>
      <c r="EQ892" s="319" t="s">
        <v>190</v>
      </c>
      <c r="ER892" s="319" t="s">
        <v>190</v>
      </c>
      <c r="ES892" s="319" t="s">
        <v>190</v>
      </c>
      <c r="ET892" s="319" t="s">
        <v>190</v>
      </c>
      <c r="EU892" s="319" t="s">
        <v>190</v>
      </c>
      <c r="EV892" s="319" t="s">
        <v>190</v>
      </c>
      <c r="EW892" s="319" t="s">
        <v>190</v>
      </c>
      <c r="EX892" s="319" t="s">
        <v>190</v>
      </c>
      <c r="EY892" s="319" t="s">
        <v>190</v>
      </c>
      <c r="EZ892" s="319" t="s">
        <v>190</v>
      </c>
      <c r="FA892" s="319" t="s">
        <v>190</v>
      </c>
      <c r="FB892" s="319" t="s">
        <v>190</v>
      </c>
      <c r="FC892" s="319" t="s">
        <v>190</v>
      </c>
      <c r="FD892" s="319" t="s">
        <v>190</v>
      </c>
      <c r="FE892" s="319" t="s">
        <v>190</v>
      </c>
      <c r="FF892" s="319" t="s">
        <v>190</v>
      </c>
      <c r="FG892" s="319" t="s">
        <v>190</v>
      </c>
      <c r="FH892" s="319" t="s">
        <v>190</v>
      </c>
      <c r="FI892" s="319" t="s">
        <v>190</v>
      </c>
      <c r="FJ892" s="319" t="s">
        <v>190</v>
      </c>
      <c r="FK892" s="319" t="s">
        <v>190</v>
      </c>
      <c r="FL892" s="319" t="s">
        <v>190</v>
      </c>
      <c r="FM892" s="319" t="s">
        <v>190</v>
      </c>
      <c r="FN892" s="319" t="s">
        <v>190</v>
      </c>
      <c r="FO892" s="319" t="s">
        <v>190</v>
      </c>
      <c r="FP892" s="319" t="s">
        <v>190</v>
      </c>
      <c r="FQ892" s="319" t="s">
        <v>190</v>
      </c>
      <c r="FR892" s="319" t="s">
        <v>190</v>
      </c>
      <c r="FS892" s="319" t="s">
        <v>428</v>
      </c>
      <c r="FT892" s="319" t="s">
        <v>190</v>
      </c>
      <c r="FU892" s="319" t="s">
        <v>190</v>
      </c>
      <c r="FV892" s="319" t="s">
        <v>190</v>
      </c>
      <c r="FW892" s="319" t="s">
        <v>190</v>
      </c>
      <c r="FX892" s="319" t="s">
        <v>190</v>
      </c>
      <c r="FY892" s="319" t="s">
        <v>190</v>
      </c>
      <c r="FZ892" s="319" t="s">
        <v>190</v>
      </c>
      <c r="GA892" s="319" t="s">
        <v>190</v>
      </c>
      <c r="GB892" s="319" t="s">
        <v>190</v>
      </c>
      <c r="GC892" s="319" t="s">
        <v>190</v>
      </c>
      <c r="GD892" s="319" t="s">
        <v>190</v>
      </c>
      <c r="GE892" s="319" t="s">
        <v>190</v>
      </c>
      <c r="GF892" s="319" t="s">
        <v>190</v>
      </c>
      <c r="GG892" s="319" t="s">
        <v>190</v>
      </c>
      <c r="GH892" s="319" t="s">
        <v>190</v>
      </c>
      <c r="GI892" s="319" t="s">
        <v>190</v>
      </c>
      <c r="GJ892" s="319" t="s">
        <v>190</v>
      </c>
      <c r="GK892" s="319" t="s">
        <v>428</v>
      </c>
      <c r="GL892" s="319" t="s">
        <v>190</v>
      </c>
      <c r="GM892" s="319" t="s">
        <v>190</v>
      </c>
      <c r="GN892" s="319" t="s">
        <v>190</v>
      </c>
      <c r="GO892" s="319" t="s">
        <v>190</v>
      </c>
      <c r="GP892" s="319" t="s">
        <v>190</v>
      </c>
      <c r="GQ892" s="319" t="s">
        <v>428</v>
      </c>
      <c r="GR892" s="319" t="s">
        <v>190</v>
      </c>
      <c r="GS892" s="319" t="s">
        <v>190</v>
      </c>
      <c r="GT892" s="319" t="s">
        <v>190</v>
      </c>
      <c r="GU892" s="319" t="s">
        <v>190</v>
      </c>
      <c r="GV892" s="319" t="s">
        <v>190</v>
      </c>
      <c r="GW892" s="319" t="s">
        <v>190</v>
      </c>
      <c r="GX892" s="319" t="s">
        <v>190</v>
      </c>
      <c r="GY892" s="319" t="s">
        <v>190</v>
      </c>
      <c r="GZ892" s="319" t="s">
        <v>428</v>
      </c>
      <c r="HA892" s="319" t="s">
        <v>190</v>
      </c>
      <c r="HB892" s="319" t="s">
        <v>190</v>
      </c>
      <c r="HC892" s="319" t="s">
        <v>190</v>
      </c>
      <c r="HD892" s="319" t="s">
        <v>190</v>
      </c>
      <c r="HE892" s="319" t="s">
        <v>190</v>
      </c>
      <c r="HF892" s="319" t="s">
        <v>190</v>
      </c>
      <c r="HG892" s="319" t="s">
        <v>190</v>
      </c>
      <c r="HH892" s="319" t="s">
        <v>190</v>
      </c>
      <c r="HI892" s="319" t="s">
        <v>190</v>
      </c>
      <c r="HJ892" s="319" t="s">
        <v>190</v>
      </c>
      <c r="HK892" s="319" t="s">
        <v>190</v>
      </c>
      <c r="HL892" s="319" t="s">
        <v>428</v>
      </c>
      <c r="HM892" s="319" t="s">
        <v>428</v>
      </c>
      <c r="HN892" s="319" t="s">
        <v>428</v>
      </c>
      <c r="HO892" s="319" t="s">
        <v>428</v>
      </c>
      <c r="HP892" s="319" t="s">
        <v>190</v>
      </c>
      <c r="HQ892" s="319" t="s">
        <v>190</v>
      </c>
      <c r="HR892" s="319" t="s">
        <v>190</v>
      </c>
      <c r="HS892" s="319" t="s">
        <v>190</v>
      </c>
      <c r="HT892" s="319" t="s">
        <v>190</v>
      </c>
      <c r="HU892" s="319" t="s">
        <v>190</v>
      </c>
      <c r="HV892" s="319" t="s">
        <v>190</v>
      </c>
      <c r="HW892" s="319" t="s">
        <v>190</v>
      </c>
      <c r="HX892" s="319" t="s">
        <v>190</v>
      </c>
      <c r="HY892" s="319" t="s">
        <v>190</v>
      </c>
      <c r="HZ892" s="319" t="s">
        <v>190</v>
      </c>
      <c r="IA892" s="319" t="s">
        <v>190</v>
      </c>
      <c r="IB892" s="319" t="s">
        <v>190</v>
      </c>
      <c r="IC892" s="319" t="s">
        <v>190</v>
      </c>
      <c r="ID892" s="319" t="s">
        <v>190</v>
      </c>
      <c r="IE892" s="319" t="s">
        <v>190</v>
      </c>
      <c r="IF892" s="319" t="s">
        <v>190</v>
      </c>
      <c r="IG892" s="319" t="s">
        <v>190</v>
      </c>
      <c r="IH892" s="319" t="s">
        <v>190</v>
      </c>
      <c r="II892" s="319" t="s">
        <v>190</v>
      </c>
      <c r="IJ892" s="319" t="s">
        <v>173</v>
      </c>
      <c r="IK892" s="319" t="s">
        <v>173</v>
      </c>
      <c r="IL892" s="319" t="s">
        <v>173</v>
      </c>
      <c r="IM892" s="319" t="s">
        <v>173</v>
      </c>
      <c r="IN892" s="319" t="s">
        <v>173</v>
      </c>
      <c r="IO892" s="319" t="s">
        <v>173</v>
      </c>
      <c r="IP892" s="319" t="s">
        <v>173</v>
      </c>
      <c r="IQ892" s="321" t="s">
        <v>173</v>
      </c>
      <c r="IR892" s="320" t="s">
        <v>173</v>
      </c>
      <c r="IS892" s="322" t="s">
        <v>173</v>
      </c>
      <c r="IT892" s="319" t="s">
        <v>173</v>
      </c>
    </row>
    <row r="893" spans="1:254" s="271" customFormat="1" x14ac:dyDescent="0.25">
      <c r="A893" s="318" t="str">
        <f>HYPERLINK("http://www.ofsted.gov.uk/inspection-reports/find-inspection-report/provider/ELS/143839 ","Ofsted School Webpage")</f>
        <v>Ofsted School Webpage</v>
      </c>
      <c r="B893" s="319">
        <v>143839</v>
      </c>
      <c r="C893" s="319">
        <v>8606044</v>
      </c>
      <c r="D893" s="319" t="s">
        <v>1199</v>
      </c>
      <c r="E893" s="319" t="s">
        <v>168</v>
      </c>
      <c r="F893" s="319" t="s">
        <v>81</v>
      </c>
      <c r="G893" s="319" t="s">
        <v>81</v>
      </c>
      <c r="H893" s="319" t="s">
        <v>81</v>
      </c>
      <c r="I893" s="319" t="s">
        <v>78</v>
      </c>
      <c r="J893" s="319" t="s">
        <v>424</v>
      </c>
      <c r="K893" s="319" t="s">
        <v>437</v>
      </c>
      <c r="L893" s="319" t="s">
        <v>437</v>
      </c>
      <c r="M893" s="319" t="s">
        <v>577</v>
      </c>
      <c r="N893" s="319" t="s">
        <v>3033</v>
      </c>
      <c r="O893" s="319" t="s">
        <v>1200</v>
      </c>
      <c r="P893" s="319">
        <v>18</v>
      </c>
      <c r="Q893" s="319" t="s">
        <v>429</v>
      </c>
      <c r="R893" s="320">
        <v>10045268</v>
      </c>
      <c r="S893" s="321">
        <v>43270</v>
      </c>
      <c r="T893" s="321">
        <v>43272</v>
      </c>
      <c r="U893" s="321">
        <v>43348</v>
      </c>
      <c r="V893" s="319" t="s">
        <v>435</v>
      </c>
      <c r="W893" s="319" t="s">
        <v>2767</v>
      </c>
      <c r="X893" s="319">
        <v>1</v>
      </c>
      <c r="Y893" s="319" t="s">
        <v>173</v>
      </c>
      <c r="Z893" s="319" t="s">
        <v>173</v>
      </c>
      <c r="AA893" s="319" t="s">
        <v>173</v>
      </c>
      <c r="AB893" s="319">
        <v>1</v>
      </c>
      <c r="AC893" s="319" t="s">
        <v>169</v>
      </c>
      <c r="AD893" s="319" t="s">
        <v>173</v>
      </c>
      <c r="AE893" s="319" t="s">
        <v>173</v>
      </c>
      <c r="AF893" s="319" t="s">
        <v>427</v>
      </c>
      <c r="AG893" s="319" t="s">
        <v>171</v>
      </c>
      <c r="AH893" s="319" t="s">
        <v>190</v>
      </c>
      <c r="AI893" s="319" t="s">
        <v>190</v>
      </c>
      <c r="AJ893" s="319" t="s">
        <v>190</v>
      </c>
      <c r="AK893" s="319" t="s">
        <v>190</v>
      </c>
      <c r="AL893" s="319" t="s">
        <v>190</v>
      </c>
      <c r="AM893" s="319" t="s">
        <v>190</v>
      </c>
      <c r="AN893" s="319" t="s">
        <v>190</v>
      </c>
      <c r="AO893" s="319" t="s">
        <v>190</v>
      </c>
      <c r="AP893" s="319" t="s">
        <v>190</v>
      </c>
      <c r="AQ893" s="319" t="s">
        <v>190</v>
      </c>
      <c r="AR893" s="319" t="s">
        <v>190</v>
      </c>
      <c r="AS893" s="319" t="s">
        <v>190</v>
      </c>
      <c r="AT893" s="319" t="s">
        <v>190</v>
      </c>
      <c r="AU893" s="319" t="s">
        <v>190</v>
      </c>
      <c r="AV893" s="319" t="s">
        <v>190</v>
      </c>
      <c r="AW893" s="319" t="s">
        <v>190</v>
      </c>
      <c r="AX893" s="319" t="s">
        <v>428</v>
      </c>
      <c r="AY893" s="319" t="s">
        <v>190</v>
      </c>
      <c r="AZ893" s="319" t="s">
        <v>190</v>
      </c>
      <c r="BA893" s="319" t="s">
        <v>190</v>
      </c>
      <c r="BB893" s="319" t="s">
        <v>190</v>
      </c>
      <c r="BC893" s="319" t="s">
        <v>190</v>
      </c>
      <c r="BD893" s="319" t="s">
        <v>190</v>
      </c>
      <c r="BE893" s="319" t="s">
        <v>190</v>
      </c>
      <c r="BF893" s="319" t="s">
        <v>428</v>
      </c>
      <c r="BG893" s="319" t="s">
        <v>428</v>
      </c>
      <c r="BH893" s="319" t="s">
        <v>190</v>
      </c>
      <c r="BI893" s="319" t="s">
        <v>190</v>
      </c>
      <c r="BJ893" s="319" t="s">
        <v>190</v>
      </c>
      <c r="BK893" s="319" t="s">
        <v>190</v>
      </c>
      <c r="BL893" s="319" t="s">
        <v>190</v>
      </c>
      <c r="BM893" s="319" t="s">
        <v>190</v>
      </c>
      <c r="BN893" s="319" t="s">
        <v>190</v>
      </c>
      <c r="BO893" s="319" t="s">
        <v>190</v>
      </c>
      <c r="BP893" s="319" t="s">
        <v>190</v>
      </c>
      <c r="BQ893" s="319" t="s">
        <v>190</v>
      </c>
      <c r="BR893" s="319" t="s">
        <v>190</v>
      </c>
      <c r="BS893" s="319" t="s">
        <v>190</v>
      </c>
      <c r="BT893" s="319" t="s">
        <v>190</v>
      </c>
      <c r="BU893" s="319" t="s">
        <v>190</v>
      </c>
      <c r="BV893" s="319" t="s">
        <v>190</v>
      </c>
      <c r="BW893" s="319" t="s">
        <v>190</v>
      </c>
      <c r="BX893" s="319" t="s">
        <v>190</v>
      </c>
      <c r="BY893" s="319" t="s">
        <v>190</v>
      </c>
      <c r="BZ893" s="319" t="s">
        <v>190</v>
      </c>
      <c r="CA893" s="319" t="s">
        <v>190</v>
      </c>
      <c r="CB893" s="319" t="s">
        <v>190</v>
      </c>
      <c r="CC893" s="319" t="s">
        <v>190</v>
      </c>
      <c r="CD893" s="319" t="s">
        <v>190</v>
      </c>
      <c r="CE893" s="319" t="s">
        <v>190</v>
      </c>
      <c r="CF893" s="319" t="s">
        <v>190</v>
      </c>
      <c r="CG893" s="319" t="s">
        <v>190</v>
      </c>
      <c r="CH893" s="319" t="s">
        <v>190</v>
      </c>
      <c r="CI893" s="319" t="s">
        <v>190</v>
      </c>
      <c r="CJ893" s="319" t="s">
        <v>190</v>
      </c>
      <c r="CK893" s="319" t="s">
        <v>190</v>
      </c>
      <c r="CL893" s="319" t="s">
        <v>190</v>
      </c>
      <c r="CM893" s="319" t="s">
        <v>190</v>
      </c>
      <c r="CN893" s="319" t="s">
        <v>428</v>
      </c>
      <c r="CO893" s="319" t="s">
        <v>428</v>
      </c>
      <c r="CP893" s="319" t="s">
        <v>428</v>
      </c>
      <c r="CQ893" s="319" t="s">
        <v>190</v>
      </c>
      <c r="CR893" s="319" t="s">
        <v>190</v>
      </c>
      <c r="CS893" s="319" t="s">
        <v>190</v>
      </c>
      <c r="CT893" s="319" t="s">
        <v>190</v>
      </c>
      <c r="CU893" s="319" t="s">
        <v>190</v>
      </c>
      <c r="CV893" s="319" t="s">
        <v>190</v>
      </c>
      <c r="CW893" s="319" t="s">
        <v>190</v>
      </c>
      <c r="CX893" s="319" t="s">
        <v>190</v>
      </c>
      <c r="CY893" s="319" t="s">
        <v>190</v>
      </c>
      <c r="CZ893" s="319" t="s">
        <v>190</v>
      </c>
      <c r="DA893" s="319" t="s">
        <v>190</v>
      </c>
      <c r="DB893" s="319" t="s">
        <v>190</v>
      </c>
      <c r="DC893" s="319" t="s">
        <v>190</v>
      </c>
      <c r="DD893" s="319" t="s">
        <v>190</v>
      </c>
      <c r="DE893" s="319" t="s">
        <v>190</v>
      </c>
      <c r="DF893" s="319" t="s">
        <v>190</v>
      </c>
      <c r="DG893" s="319" t="s">
        <v>190</v>
      </c>
      <c r="DH893" s="319" t="s">
        <v>190</v>
      </c>
      <c r="DI893" s="319" t="s">
        <v>190</v>
      </c>
      <c r="DJ893" s="319" t="s">
        <v>190</v>
      </c>
      <c r="DK893" s="319" t="s">
        <v>190</v>
      </c>
      <c r="DL893" s="319" t="s">
        <v>190</v>
      </c>
      <c r="DM893" s="319" t="s">
        <v>190</v>
      </c>
      <c r="DN893" s="319" t="s">
        <v>428</v>
      </c>
      <c r="DO893" s="319" t="s">
        <v>190</v>
      </c>
      <c r="DP893" s="319" t="s">
        <v>190</v>
      </c>
      <c r="DQ893" s="319" t="s">
        <v>190</v>
      </c>
      <c r="DR893" s="319" t="s">
        <v>190</v>
      </c>
      <c r="DS893" s="319" t="s">
        <v>190</v>
      </c>
      <c r="DT893" s="319" t="s">
        <v>190</v>
      </c>
      <c r="DU893" s="319" t="s">
        <v>190</v>
      </c>
      <c r="DV893" s="319" t="s">
        <v>173</v>
      </c>
      <c r="DW893" s="319" t="s">
        <v>190</v>
      </c>
      <c r="DX893" s="319" t="s">
        <v>190</v>
      </c>
      <c r="DY893" s="319" t="s">
        <v>190</v>
      </c>
      <c r="DZ893" s="319" t="s">
        <v>190</v>
      </c>
      <c r="EA893" s="319" t="s">
        <v>190</v>
      </c>
      <c r="EB893" s="319" t="s">
        <v>190</v>
      </c>
      <c r="EC893" s="319" t="s">
        <v>428</v>
      </c>
      <c r="ED893" s="319" t="s">
        <v>190</v>
      </c>
      <c r="EE893" s="319" t="s">
        <v>190</v>
      </c>
      <c r="EF893" s="319" t="s">
        <v>190</v>
      </c>
      <c r="EG893" s="319" t="s">
        <v>190</v>
      </c>
      <c r="EH893" s="319" t="s">
        <v>190</v>
      </c>
      <c r="EI893" s="319" t="s">
        <v>190</v>
      </c>
      <c r="EJ893" s="319" t="s">
        <v>190</v>
      </c>
      <c r="EK893" s="319" t="s">
        <v>190</v>
      </c>
      <c r="EL893" s="319" t="s">
        <v>190</v>
      </c>
      <c r="EM893" s="319" t="s">
        <v>190</v>
      </c>
      <c r="EN893" s="319" t="s">
        <v>190</v>
      </c>
      <c r="EO893" s="319" t="s">
        <v>190</v>
      </c>
      <c r="EP893" s="319" t="s">
        <v>190</v>
      </c>
      <c r="EQ893" s="319" t="s">
        <v>190</v>
      </c>
      <c r="ER893" s="319" t="s">
        <v>190</v>
      </c>
      <c r="ES893" s="319" t="s">
        <v>190</v>
      </c>
      <c r="ET893" s="319" t="s">
        <v>190</v>
      </c>
      <c r="EU893" s="319" t="s">
        <v>190</v>
      </c>
      <c r="EV893" s="319" t="s">
        <v>190</v>
      </c>
      <c r="EW893" s="319" t="s">
        <v>190</v>
      </c>
      <c r="EX893" s="319" t="s">
        <v>190</v>
      </c>
      <c r="EY893" s="319" t="s">
        <v>190</v>
      </c>
      <c r="EZ893" s="319" t="s">
        <v>190</v>
      </c>
      <c r="FA893" s="319" t="s">
        <v>428</v>
      </c>
      <c r="FB893" s="319" t="s">
        <v>190</v>
      </c>
      <c r="FC893" s="319" t="s">
        <v>190</v>
      </c>
      <c r="FD893" s="319" t="s">
        <v>190</v>
      </c>
      <c r="FE893" s="319" t="s">
        <v>190</v>
      </c>
      <c r="FF893" s="319" t="s">
        <v>190</v>
      </c>
      <c r="FG893" s="319" t="s">
        <v>190</v>
      </c>
      <c r="FH893" s="319" t="s">
        <v>190</v>
      </c>
      <c r="FI893" s="319" t="s">
        <v>428</v>
      </c>
      <c r="FJ893" s="319" t="s">
        <v>429</v>
      </c>
      <c r="FK893" s="319" t="s">
        <v>428</v>
      </c>
      <c r="FL893" s="319" t="s">
        <v>190</v>
      </c>
      <c r="FM893" s="319" t="s">
        <v>190</v>
      </c>
      <c r="FN893" s="319" t="s">
        <v>190</v>
      </c>
      <c r="FO893" s="319" t="s">
        <v>190</v>
      </c>
      <c r="FP893" s="319" t="s">
        <v>190</v>
      </c>
      <c r="FQ893" s="319" t="s">
        <v>190</v>
      </c>
      <c r="FR893" s="319" t="s">
        <v>190</v>
      </c>
      <c r="FS893" s="319" t="s">
        <v>428</v>
      </c>
      <c r="FT893" s="319" t="s">
        <v>190</v>
      </c>
      <c r="FU893" s="319" t="s">
        <v>190</v>
      </c>
      <c r="FV893" s="319" t="s">
        <v>190</v>
      </c>
      <c r="FW893" s="319" t="s">
        <v>190</v>
      </c>
      <c r="FX893" s="319" t="s">
        <v>190</v>
      </c>
      <c r="FY893" s="319" t="s">
        <v>190</v>
      </c>
      <c r="FZ893" s="319" t="s">
        <v>190</v>
      </c>
      <c r="GA893" s="319" t="s">
        <v>190</v>
      </c>
      <c r="GB893" s="319" t="s">
        <v>190</v>
      </c>
      <c r="GC893" s="319" t="s">
        <v>190</v>
      </c>
      <c r="GD893" s="319" t="s">
        <v>190</v>
      </c>
      <c r="GE893" s="319" t="s">
        <v>190</v>
      </c>
      <c r="GF893" s="319" t="s">
        <v>190</v>
      </c>
      <c r="GG893" s="319" t="s">
        <v>190</v>
      </c>
      <c r="GH893" s="319" t="s">
        <v>190</v>
      </c>
      <c r="GI893" s="319" t="s">
        <v>190</v>
      </c>
      <c r="GJ893" s="319" t="s">
        <v>190</v>
      </c>
      <c r="GK893" s="319" t="s">
        <v>428</v>
      </c>
      <c r="GL893" s="319" t="s">
        <v>190</v>
      </c>
      <c r="GM893" s="319" t="s">
        <v>190</v>
      </c>
      <c r="GN893" s="319" t="s">
        <v>190</v>
      </c>
      <c r="GO893" s="319" t="s">
        <v>190</v>
      </c>
      <c r="GP893" s="319" t="s">
        <v>428</v>
      </c>
      <c r="GQ893" s="319" t="s">
        <v>428</v>
      </c>
      <c r="GR893" s="319" t="s">
        <v>190</v>
      </c>
      <c r="GS893" s="319" t="s">
        <v>190</v>
      </c>
      <c r="GT893" s="319" t="s">
        <v>190</v>
      </c>
      <c r="GU893" s="319" t="s">
        <v>190</v>
      </c>
      <c r="GV893" s="319" t="s">
        <v>190</v>
      </c>
      <c r="GW893" s="319" t="s">
        <v>190</v>
      </c>
      <c r="GX893" s="319" t="s">
        <v>190</v>
      </c>
      <c r="GY893" s="319" t="s">
        <v>190</v>
      </c>
      <c r="GZ893" s="319" t="s">
        <v>428</v>
      </c>
      <c r="HA893" s="319" t="s">
        <v>190</v>
      </c>
      <c r="HB893" s="319" t="s">
        <v>190</v>
      </c>
      <c r="HC893" s="319" t="s">
        <v>190</v>
      </c>
      <c r="HD893" s="319" t="s">
        <v>190</v>
      </c>
      <c r="HE893" s="319" t="s">
        <v>190</v>
      </c>
      <c r="HF893" s="319" t="s">
        <v>190</v>
      </c>
      <c r="HG893" s="319" t="s">
        <v>190</v>
      </c>
      <c r="HH893" s="319" t="s">
        <v>190</v>
      </c>
      <c r="HI893" s="319" t="s">
        <v>428</v>
      </c>
      <c r="HJ893" s="319" t="s">
        <v>190</v>
      </c>
      <c r="HK893" s="319" t="s">
        <v>428</v>
      </c>
      <c r="HL893" s="319" t="s">
        <v>428</v>
      </c>
      <c r="HM893" s="319" t="s">
        <v>428</v>
      </c>
      <c r="HN893" s="319" t="s">
        <v>428</v>
      </c>
      <c r="HO893" s="319" t="s">
        <v>428</v>
      </c>
      <c r="HP893" s="319" t="s">
        <v>190</v>
      </c>
      <c r="HQ893" s="319" t="s">
        <v>190</v>
      </c>
      <c r="HR893" s="319" t="s">
        <v>190</v>
      </c>
      <c r="HS893" s="319" t="s">
        <v>190</v>
      </c>
      <c r="HT893" s="319" t="s">
        <v>190</v>
      </c>
      <c r="HU893" s="319" t="s">
        <v>190</v>
      </c>
      <c r="HV893" s="319" t="s">
        <v>190</v>
      </c>
      <c r="HW893" s="319" t="s">
        <v>190</v>
      </c>
      <c r="HX893" s="319" t="s">
        <v>190</v>
      </c>
      <c r="HY893" s="319" t="s">
        <v>190</v>
      </c>
      <c r="HZ893" s="319" t="s">
        <v>190</v>
      </c>
      <c r="IA893" s="319" t="s">
        <v>190</v>
      </c>
      <c r="IB893" s="319" t="s">
        <v>190</v>
      </c>
      <c r="IC893" s="319" t="s">
        <v>190</v>
      </c>
      <c r="ID893" s="319" t="s">
        <v>190</v>
      </c>
      <c r="IE893" s="319" t="s">
        <v>190</v>
      </c>
      <c r="IF893" s="319" t="s">
        <v>190</v>
      </c>
      <c r="IG893" s="319" t="s">
        <v>190</v>
      </c>
      <c r="IH893" s="319" t="s">
        <v>190</v>
      </c>
      <c r="II893" s="319" t="s">
        <v>190</v>
      </c>
      <c r="IJ893" s="319" t="s">
        <v>173</v>
      </c>
      <c r="IK893" s="319" t="s">
        <v>173</v>
      </c>
      <c r="IL893" s="319" t="s">
        <v>173</v>
      </c>
      <c r="IM893" s="319" t="s">
        <v>173</v>
      </c>
      <c r="IN893" s="319" t="s">
        <v>173</v>
      </c>
      <c r="IO893" s="319" t="s">
        <v>173</v>
      </c>
      <c r="IP893" s="319" t="s">
        <v>173</v>
      </c>
      <c r="IQ893" s="321" t="s">
        <v>173</v>
      </c>
      <c r="IR893" s="320" t="s">
        <v>173</v>
      </c>
      <c r="IS893" s="322" t="s">
        <v>173</v>
      </c>
      <c r="IT893" s="319" t="s">
        <v>173</v>
      </c>
    </row>
    <row r="894" spans="1:254" s="271" customFormat="1" x14ac:dyDescent="0.25">
      <c r="A894" s="318" t="str">
        <f>HYPERLINK("http://www.ofsted.gov.uk/inspection-reports/find-inspection-report/provider/ELS/143841 ","Ofsted School Webpage")</f>
        <v>Ofsted School Webpage</v>
      </c>
      <c r="B894" s="319">
        <v>143841</v>
      </c>
      <c r="C894" s="319">
        <v>3816019</v>
      </c>
      <c r="D894" s="319" t="s">
        <v>2418</v>
      </c>
      <c r="E894" s="319" t="s">
        <v>167</v>
      </c>
      <c r="F894" s="319" t="s">
        <v>81</v>
      </c>
      <c r="G894" s="319" t="s">
        <v>81</v>
      </c>
      <c r="H894" s="319" t="s">
        <v>81</v>
      </c>
      <c r="I894" s="319" t="s">
        <v>78</v>
      </c>
      <c r="J894" s="319" t="s">
        <v>424</v>
      </c>
      <c r="K894" s="319" t="s">
        <v>458</v>
      </c>
      <c r="L894" s="319" t="s">
        <v>459</v>
      </c>
      <c r="M894" s="319" t="s">
        <v>1616</v>
      </c>
      <c r="N894" s="319" t="s">
        <v>3123</v>
      </c>
      <c r="O894" s="319" t="s">
        <v>952</v>
      </c>
      <c r="P894" s="319">
        <v>4</v>
      </c>
      <c r="Q894" s="319" t="s">
        <v>2776</v>
      </c>
      <c r="R894" s="320">
        <v>10043662</v>
      </c>
      <c r="S894" s="321">
        <v>43270</v>
      </c>
      <c r="T894" s="321">
        <v>43271</v>
      </c>
      <c r="U894" s="321">
        <v>43378</v>
      </c>
      <c r="V894" s="319" t="s">
        <v>435</v>
      </c>
      <c r="W894" s="319" t="s">
        <v>2767</v>
      </c>
      <c r="X894" s="319">
        <v>4</v>
      </c>
      <c r="Y894" s="319" t="s">
        <v>173</v>
      </c>
      <c r="Z894" s="319" t="s">
        <v>173</v>
      </c>
      <c r="AA894" s="319" t="s">
        <v>173</v>
      </c>
      <c r="AB894" s="319">
        <v>4</v>
      </c>
      <c r="AC894" s="319" t="s">
        <v>169</v>
      </c>
      <c r="AD894" s="319" t="s">
        <v>173</v>
      </c>
      <c r="AE894" s="319" t="s">
        <v>173</v>
      </c>
      <c r="AF894" s="319" t="s">
        <v>427</v>
      </c>
      <c r="AG894" s="319" t="s">
        <v>172</v>
      </c>
      <c r="AH894" s="319" t="s">
        <v>479</v>
      </c>
      <c r="AI894" s="319" t="s">
        <v>190</v>
      </c>
      <c r="AJ894" s="319" t="s">
        <v>190</v>
      </c>
      <c r="AK894" s="319" t="s">
        <v>190</v>
      </c>
      <c r="AL894" s="319" t="s">
        <v>190</v>
      </c>
      <c r="AM894" s="319" t="s">
        <v>190</v>
      </c>
      <c r="AN894" s="319" t="s">
        <v>190</v>
      </c>
      <c r="AO894" s="319" t="s">
        <v>479</v>
      </c>
      <c r="AP894" s="319" t="s">
        <v>191</v>
      </c>
      <c r="AQ894" s="319" t="s">
        <v>191</v>
      </c>
      <c r="AR894" s="319" t="s">
        <v>191</v>
      </c>
      <c r="AS894" s="319" t="s">
        <v>191</v>
      </c>
      <c r="AT894" s="319" t="s">
        <v>190</v>
      </c>
      <c r="AU894" s="319" t="s">
        <v>191</v>
      </c>
      <c r="AV894" s="319" t="s">
        <v>191</v>
      </c>
      <c r="AW894" s="319" t="s">
        <v>190</v>
      </c>
      <c r="AX894" s="319" t="s">
        <v>428</v>
      </c>
      <c r="AY894" s="319" t="s">
        <v>190</v>
      </c>
      <c r="AZ894" s="319" t="s">
        <v>190</v>
      </c>
      <c r="BA894" s="319" t="s">
        <v>190</v>
      </c>
      <c r="BB894" s="319" t="s">
        <v>191</v>
      </c>
      <c r="BC894" s="319" t="s">
        <v>191</v>
      </c>
      <c r="BD894" s="319" t="s">
        <v>191</v>
      </c>
      <c r="BE894" s="319" t="s">
        <v>191</v>
      </c>
      <c r="BF894" s="319" t="s">
        <v>428</v>
      </c>
      <c r="BG894" s="319" t="s">
        <v>428</v>
      </c>
      <c r="BH894" s="319" t="s">
        <v>190</v>
      </c>
      <c r="BI894" s="319" t="s">
        <v>190</v>
      </c>
      <c r="BJ894" s="319" t="s">
        <v>191</v>
      </c>
      <c r="BK894" s="319" t="s">
        <v>191</v>
      </c>
      <c r="BL894" s="319" t="s">
        <v>191</v>
      </c>
      <c r="BM894" s="319" t="s">
        <v>191</v>
      </c>
      <c r="BN894" s="319" t="s">
        <v>191</v>
      </c>
      <c r="BO894" s="319" t="s">
        <v>191</v>
      </c>
      <c r="BP894" s="319" t="s">
        <v>190</v>
      </c>
      <c r="BQ894" s="319" t="s">
        <v>190</v>
      </c>
      <c r="BR894" s="319" t="s">
        <v>190</v>
      </c>
      <c r="BS894" s="319" t="s">
        <v>190</v>
      </c>
      <c r="BT894" s="319" t="s">
        <v>190</v>
      </c>
      <c r="BU894" s="319" t="s">
        <v>190</v>
      </c>
      <c r="BV894" s="319" t="s">
        <v>190</v>
      </c>
      <c r="BW894" s="319" t="s">
        <v>190</v>
      </c>
      <c r="BX894" s="319" t="s">
        <v>190</v>
      </c>
      <c r="BY894" s="319" t="s">
        <v>190</v>
      </c>
      <c r="BZ894" s="319" t="s">
        <v>190</v>
      </c>
      <c r="CA894" s="319" t="s">
        <v>190</v>
      </c>
      <c r="CB894" s="319" t="s">
        <v>190</v>
      </c>
      <c r="CC894" s="319" t="s">
        <v>190</v>
      </c>
      <c r="CD894" s="319" t="s">
        <v>190</v>
      </c>
      <c r="CE894" s="319" t="s">
        <v>190</v>
      </c>
      <c r="CF894" s="319" t="s">
        <v>190</v>
      </c>
      <c r="CG894" s="319" t="s">
        <v>190</v>
      </c>
      <c r="CH894" s="319" t="s">
        <v>190</v>
      </c>
      <c r="CI894" s="319" t="s">
        <v>190</v>
      </c>
      <c r="CJ894" s="319" t="s">
        <v>190</v>
      </c>
      <c r="CK894" s="319" t="s">
        <v>190</v>
      </c>
      <c r="CL894" s="319" t="s">
        <v>190</v>
      </c>
      <c r="CM894" s="319" t="s">
        <v>190</v>
      </c>
      <c r="CN894" s="319" t="s">
        <v>190</v>
      </c>
      <c r="CO894" s="319" t="s">
        <v>190</v>
      </c>
      <c r="CP894" s="319" t="s">
        <v>190</v>
      </c>
      <c r="CQ894" s="319" t="s">
        <v>190</v>
      </c>
      <c r="CR894" s="319" t="s">
        <v>190</v>
      </c>
      <c r="CS894" s="319" t="s">
        <v>190</v>
      </c>
      <c r="CT894" s="319" t="s">
        <v>190</v>
      </c>
      <c r="CU894" s="319" t="s">
        <v>190</v>
      </c>
      <c r="CV894" s="319" t="s">
        <v>190</v>
      </c>
      <c r="CW894" s="319" t="s">
        <v>190</v>
      </c>
      <c r="CX894" s="319" t="s">
        <v>190</v>
      </c>
      <c r="CY894" s="319" t="s">
        <v>190</v>
      </c>
      <c r="CZ894" s="319" t="s">
        <v>190</v>
      </c>
      <c r="DA894" s="319" t="s">
        <v>190</v>
      </c>
      <c r="DB894" s="319" t="s">
        <v>190</v>
      </c>
      <c r="DC894" s="319" t="s">
        <v>190</v>
      </c>
      <c r="DD894" s="319" t="s">
        <v>190</v>
      </c>
      <c r="DE894" s="319" t="s">
        <v>190</v>
      </c>
      <c r="DF894" s="319" t="s">
        <v>190</v>
      </c>
      <c r="DG894" s="319" t="s">
        <v>190</v>
      </c>
      <c r="DH894" s="319" t="s">
        <v>190</v>
      </c>
      <c r="DI894" s="319" t="s">
        <v>190</v>
      </c>
      <c r="DJ894" s="319" t="s">
        <v>190</v>
      </c>
      <c r="DK894" s="319" t="s">
        <v>190</v>
      </c>
      <c r="DL894" s="319" t="s">
        <v>190</v>
      </c>
      <c r="DM894" s="319" t="s">
        <v>190</v>
      </c>
      <c r="DN894" s="319" t="s">
        <v>428</v>
      </c>
      <c r="DO894" s="319" t="s">
        <v>190</v>
      </c>
      <c r="DP894" s="319" t="s">
        <v>428</v>
      </c>
      <c r="DQ894" s="319" t="s">
        <v>428</v>
      </c>
      <c r="DR894" s="319" t="s">
        <v>428</v>
      </c>
      <c r="DS894" s="319" t="s">
        <v>428</v>
      </c>
      <c r="DT894" s="319" t="s">
        <v>428</v>
      </c>
      <c r="DU894" s="319" t="s">
        <v>428</v>
      </c>
      <c r="DV894" s="319" t="s">
        <v>173</v>
      </c>
      <c r="DW894" s="319" t="s">
        <v>428</v>
      </c>
      <c r="DX894" s="319" t="s">
        <v>428</v>
      </c>
      <c r="DY894" s="319" t="s">
        <v>428</v>
      </c>
      <c r="DZ894" s="319" t="s">
        <v>428</v>
      </c>
      <c r="EA894" s="319" t="s">
        <v>428</v>
      </c>
      <c r="EB894" s="319" t="s">
        <v>428</v>
      </c>
      <c r="EC894" s="319" t="s">
        <v>428</v>
      </c>
      <c r="ED894" s="319" t="s">
        <v>428</v>
      </c>
      <c r="EE894" s="319" t="s">
        <v>190</v>
      </c>
      <c r="EF894" s="319" t="s">
        <v>190</v>
      </c>
      <c r="EG894" s="319" t="s">
        <v>190</v>
      </c>
      <c r="EH894" s="319" t="s">
        <v>190</v>
      </c>
      <c r="EI894" s="319" t="s">
        <v>190</v>
      </c>
      <c r="EJ894" s="319" t="s">
        <v>190</v>
      </c>
      <c r="EK894" s="319" t="s">
        <v>190</v>
      </c>
      <c r="EL894" s="319" t="s">
        <v>190</v>
      </c>
      <c r="EM894" s="319" t="s">
        <v>190</v>
      </c>
      <c r="EN894" s="319" t="s">
        <v>190</v>
      </c>
      <c r="EO894" s="319" t="s">
        <v>190</v>
      </c>
      <c r="EP894" s="319" t="s">
        <v>190</v>
      </c>
      <c r="EQ894" s="319" t="s">
        <v>190</v>
      </c>
      <c r="ER894" s="319" t="s">
        <v>190</v>
      </c>
      <c r="ES894" s="319" t="s">
        <v>190</v>
      </c>
      <c r="ET894" s="319" t="s">
        <v>190</v>
      </c>
      <c r="EU894" s="319" t="s">
        <v>190</v>
      </c>
      <c r="EV894" s="319" t="s">
        <v>190</v>
      </c>
      <c r="EW894" s="319" t="s">
        <v>190</v>
      </c>
      <c r="EX894" s="319" t="s">
        <v>190</v>
      </c>
      <c r="EY894" s="319" t="s">
        <v>190</v>
      </c>
      <c r="EZ894" s="319" t="s">
        <v>190</v>
      </c>
      <c r="FA894" s="319" t="s">
        <v>190</v>
      </c>
      <c r="FB894" s="319" t="s">
        <v>428</v>
      </c>
      <c r="FC894" s="319" t="s">
        <v>428</v>
      </c>
      <c r="FD894" s="319" t="s">
        <v>428</v>
      </c>
      <c r="FE894" s="319" t="s">
        <v>428</v>
      </c>
      <c r="FF894" s="319" t="s">
        <v>428</v>
      </c>
      <c r="FG894" s="319" t="s">
        <v>428</v>
      </c>
      <c r="FH894" s="319" t="s">
        <v>190</v>
      </c>
      <c r="FI894" s="319" t="s">
        <v>190</v>
      </c>
      <c r="FJ894" s="319" t="s">
        <v>190</v>
      </c>
      <c r="FK894" s="319" t="s">
        <v>190</v>
      </c>
      <c r="FL894" s="319" t="s">
        <v>190</v>
      </c>
      <c r="FM894" s="319" t="s">
        <v>190</v>
      </c>
      <c r="FN894" s="319" t="s">
        <v>190</v>
      </c>
      <c r="FO894" s="319" t="s">
        <v>190</v>
      </c>
      <c r="FP894" s="319" t="s">
        <v>190</v>
      </c>
      <c r="FQ894" s="319" t="s">
        <v>190</v>
      </c>
      <c r="FR894" s="319" t="s">
        <v>190</v>
      </c>
      <c r="FS894" s="319" t="s">
        <v>428</v>
      </c>
      <c r="FT894" s="319" t="s">
        <v>190</v>
      </c>
      <c r="FU894" s="319" t="s">
        <v>190</v>
      </c>
      <c r="FV894" s="319" t="s">
        <v>190</v>
      </c>
      <c r="FW894" s="319" t="s">
        <v>190</v>
      </c>
      <c r="FX894" s="319" t="s">
        <v>190</v>
      </c>
      <c r="FY894" s="319" t="s">
        <v>190</v>
      </c>
      <c r="FZ894" s="319" t="s">
        <v>190</v>
      </c>
      <c r="GA894" s="319" t="s">
        <v>190</v>
      </c>
      <c r="GB894" s="319" t="s">
        <v>190</v>
      </c>
      <c r="GC894" s="319" t="s">
        <v>190</v>
      </c>
      <c r="GD894" s="319" t="s">
        <v>190</v>
      </c>
      <c r="GE894" s="319" t="s">
        <v>190</v>
      </c>
      <c r="GF894" s="319" t="s">
        <v>190</v>
      </c>
      <c r="GG894" s="319" t="s">
        <v>190</v>
      </c>
      <c r="GH894" s="319" t="s">
        <v>190</v>
      </c>
      <c r="GI894" s="319" t="s">
        <v>190</v>
      </c>
      <c r="GJ894" s="319" t="s">
        <v>190</v>
      </c>
      <c r="GK894" s="319" t="s">
        <v>428</v>
      </c>
      <c r="GL894" s="319" t="s">
        <v>190</v>
      </c>
      <c r="GM894" s="319" t="s">
        <v>190</v>
      </c>
      <c r="GN894" s="319" t="s">
        <v>190</v>
      </c>
      <c r="GO894" s="319" t="s">
        <v>190</v>
      </c>
      <c r="GP894" s="319" t="s">
        <v>190</v>
      </c>
      <c r="GQ894" s="319" t="s">
        <v>190</v>
      </c>
      <c r="GR894" s="319" t="s">
        <v>190</v>
      </c>
      <c r="GS894" s="319" t="s">
        <v>190</v>
      </c>
      <c r="GT894" s="319" t="s">
        <v>190</v>
      </c>
      <c r="GU894" s="319" t="s">
        <v>428</v>
      </c>
      <c r="GV894" s="319" t="s">
        <v>190</v>
      </c>
      <c r="GW894" s="319" t="s">
        <v>190</v>
      </c>
      <c r="GX894" s="319" t="s">
        <v>190</v>
      </c>
      <c r="GY894" s="319" t="s">
        <v>190</v>
      </c>
      <c r="GZ894" s="319" t="s">
        <v>190</v>
      </c>
      <c r="HA894" s="319" t="s">
        <v>428</v>
      </c>
      <c r="HB894" s="319" t="s">
        <v>428</v>
      </c>
      <c r="HC894" s="319" t="s">
        <v>190</v>
      </c>
      <c r="HD894" s="319" t="s">
        <v>190</v>
      </c>
      <c r="HE894" s="319" t="s">
        <v>428</v>
      </c>
      <c r="HF894" s="319" t="s">
        <v>428</v>
      </c>
      <c r="HG894" s="319" t="s">
        <v>190</v>
      </c>
      <c r="HH894" s="319" t="s">
        <v>190</v>
      </c>
      <c r="HI894" s="319" t="s">
        <v>428</v>
      </c>
      <c r="HJ894" s="319" t="s">
        <v>190</v>
      </c>
      <c r="HK894" s="319" t="s">
        <v>428</v>
      </c>
      <c r="HL894" s="319" t="s">
        <v>190</v>
      </c>
      <c r="HM894" s="319" t="s">
        <v>428</v>
      </c>
      <c r="HN894" s="319" t="s">
        <v>428</v>
      </c>
      <c r="HO894" s="319" t="s">
        <v>428</v>
      </c>
      <c r="HP894" s="319" t="s">
        <v>190</v>
      </c>
      <c r="HQ894" s="319" t="s">
        <v>190</v>
      </c>
      <c r="HR894" s="319" t="s">
        <v>190</v>
      </c>
      <c r="HS894" s="319" t="s">
        <v>190</v>
      </c>
      <c r="HT894" s="319" t="s">
        <v>190</v>
      </c>
      <c r="HU894" s="319" t="s">
        <v>190</v>
      </c>
      <c r="HV894" s="319" t="s">
        <v>190</v>
      </c>
      <c r="HW894" s="319" t="s">
        <v>190</v>
      </c>
      <c r="HX894" s="319" t="s">
        <v>190</v>
      </c>
      <c r="HY894" s="319" t="s">
        <v>190</v>
      </c>
      <c r="HZ894" s="319" t="s">
        <v>190</v>
      </c>
      <c r="IA894" s="319" t="s">
        <v>190</v>
      </c>
      <c r="IB894" s="319" t="s">
        <v>190</v>
      </c>
      <c r="IC894" s="319" t="s">
        <v>190</v>
      </c>
      <c r="ID894" s="319" t="s">
        <v>190</v>
      </c>
      <c r="IE894" s="319" t="s">
        <v>190</v>
      </c>
      <c r="IF894" s="319" t="s">
        <v>191</v>
      </c>
      <c r="IG894" s="319" t="s">
        <v>191</v>
      </c>
      <c r="IH894" s="319" t="s">
        <v>191</v>
      </c>
      <c r="II894" s="319" t="s">
        <v>190</v>
      </c>
      <c r="IJ894" s="319" t="s">
        <v>173</v>
      </c>
      <c r="IK894" s="319" t="s">
        <v>173</v>
      </c>
      <c r="IL894" s="319" t="s">
        <v>173</v>
      </c>
      <c r="IM894" s="319" t="s">
        <v>173</v>
      </c>
      <c r="IN894" s="319" t="s">
        <v>173</v>
      </c>
      <c r="IO894" s="319" t="s">
        <v>173</v>
      </c>
      <c r="IP894" s="319" t="s">
        <v>173</v>
      </c>
      <c r="IQ894" s="321" t="s">
        <v>173</v>
      </c>
      <c r="IR894" s="320" t="s">
        <v>173</v>
      </c>
      <c r="IS894" s="322" t="s">
        <v>173</v>
      </c>
      <c r="IT894" s="319" t="s">
        <v>173</v>
      </c>
    </row>
    <row r="895" spans="1:254" s="271" customFormat="1" x14ac:dyDescent="0.25">
      <c r="A895" s="318" t="str">
        <f>HYPERLINK("http://www.ofsted.gov.uk/inspection-reports/find-inspection-report/provider/ELS/143858 ","Ofsted School Webpage")</f>
        <v>Ofsted School Webpage</v>
      </c>
      <c r="B895" s="319">
        <v>143858</v>
      </c>
      <c r="C895" s="319">
        <v>8886067</v>
      </c>
      <c r="D895" s="319" t="s">
        <v>2419</v>
      </c>
      <c r="E895" s="319" t="s">
        <v>167</v>
      </c>
      <c r="F895" s="319" t="s">
        <v>81</v>
      </c>
      <c r="G895" s="319" t="s">
        <v>81</v>
      </c>
      <c r="H895" s="319" t="s">
        <v>81</v>
      </c>
      <c r="I895" s="319" t="s">
        <v>78</v>
      </c>
      <c r="J895" s="319" t="s">
        <v>424</v>
      </c>
      <c r="K895" s="319" t="s">
        <v>431</v>
      </c>
      <c r="L895" s="319" t="s">
        <v>431</v>
      </c>
      <c r="M895" s="319" t="s">
        <v>469</v>
      </c>
      <c r="N895" s="319" t="s">
        <v>3123</v>
      </c>
      <c r="O895" s="319" t="s">
        <v>952</v>
      </c>
      <c r="P895" s="319">
        <v>5</v>
      </c>
      <c r="Q895" s="319" t="s">
        <v>2776</v>
      </c>
      <c r="R895" s="320">
        <v>10043788</v>
      </c>
      <c r="S895" s="321">
        <v>43207</v>
      </c>
      <c r="T895" s="321">
        <v>43209</v>
      </c>
      <c r="U895" s="321">
        <v>43242</v>
      </c>
      <c r="V895" s="319" t="s">
        <v>435</v>
      </c>
      <c r="W895" s="319" t="s">
        <v>2767</v>
      </c>
      <c r="X895" s="319">
        <v>2</v>
      </c>
      <c r="Y895" s="319" t="s">
        <v>173</v>
      </c>
      <c r="Z895" s="319" t="s">
        <v>173</v>
      </c>
      <c r="AA895" s="319" t="s">
        <v>173</v>
      </c>
      <c r="AB895" s="319">
        <v>2</v>
      </c>
      <c r="AC895" s="319" t="s">
        <v>169</v>
      </c>
      <c r="AD895" s="319" t="s">
        <v>173</v>
      </c>
      <c r="AE895" s="319">
        <v>2</v>
      </c>
      <c r="AF895" s="319" t="s">
        <v>427</v>
      </c>
      <c r="AG895" s="319" t="s">
        <v>171</v>
      </c>
      <c r="AH895" s="319" t="s">
        <v>190</v>
      </c>
      <c r="AI895" s="319" t="s">
        <v>190</v>
      </c>
      <c r="AJ895" s="319" t="s">
        <v>190</v>
      </c>
      <c r="AK895" s="319" t="s">
        <v>190</v>
      </c>
      <c r="AL895" s="319" t="s">
        <v>190</v>
      </c>
      <c r="AM895" s="319" t="s">
        <v>190</v>
      </c>
      <c r="AN895" s="319" t="s">
        <v>190</v>
      </c>
      <c r="AO895" s="319" t="s">
        <v>190</v>
      </c>
      <c r="AP895" s="319" t="s">
        <v>190</v>
      </c>
      <c r="AQ895" s="319" t="s">
        <v>190</v>
      </c>
      <c r="AR895" s="319" t="s">
        <v>190</v>
      </c>
      <c r="AS895" s="319" t="s">
        <v>190</v>
      </c>
      <c r="AT895" s="319" t="s">
        <v>190</v>
      </c>
      <c r="AU895" s="319" t="s">
        <v>190</v>
      </c>
      <c r="AV895" s="319" t="s">
        <v>190</v>
      </c>
      <c r="AW895" s="319" t="s">
        <v>190</v>
      </c>
      <c r="AX895" s="319" t="s">
        <v>428</v>
      </c>
      <c r="AY895" s="319" t="s">
        <v>190</v>
      </c>
      <c r="AZ895" s="319" t="s">
        <v>190</v>
      </c>
      <c r="BA895" s="319" t="s">
        <v>190</v>
      </c>
      <c r="BB895" s="319" t="s">
        <v>190</v>
      </c>
      <c r="BC895" s="319" t="s">
        <v>190</v>
      </c>
      <c r="BD895" s="319" t="s">
        <v>190</v>
      </c>
      <c r="BE895" s="319" t="s">
        <v>190</v>
      </c>
      <c r="BF895" s="319" t="s">
        <v>428</v>
      </c>
      <c r="BG895" s="319" t="s">
        <v>190</v>
      </c>
      <c r="BH895" s="319" t="s">
        <v>190</v>
      </c>
      <c r="BI895" s="319" t="s">
        <v>190</v>
      </c>
      <c r="BJ895" s="319" t="s">
        <v>190</v>
      </c>
      <c r="BK895" s="319" t="s">
        <v>190</v>
      </c>
      <c r="BL895" s="319" t="s">
        <v>190</v>
      </c>
      <c r="BM895" s="319" t="s">
        <v>190</v>
      </c>
      <c r="BN895" s="319" t="s">
        <v>190</v>
      </c>
      <c r="BO895" s="319" t="s">
        <v>190</v>
      </c>
      <c r="BP895" s="319" t="s">
        <v>190</v>
      </c>
      <c r="BQ895" s="319" t="s">
        <v>190</v>
      </c>
      <c r="BR895" s="319" t="s">
        <v>190</v>
      </c>
      <c r="BS895" s="319" t="s">
        <v>190</v>
      </c>
      <c r="BT895" s="319" t="s">
        <v>190</v>
      </c>
      <c r="BU895" s="319" t="s">
        <v>190</v>
      </c>
      <c r="BV895" s="319" t="s">
        <v>190</v>
      </c>
      <c r="BW895" s="319" t="s">
        <v>190</v>
      </c>
      <c r="BX895" s="319" t="s">
        <v>190</v>
      </c>
      <c r="BY895" s="319" t="s">
        <v>190</v>
      </c>
      <c r="BZ895" s="319" t="s">
        <v>190</v>
      </c>
      <c r="CA895" s="319" t="s">
        <v>190</v>
      </c>
      <c r="CB895" s="319" t="s">
        <v>190</v>
      </c>
      <c r="CC895" s="319" t="s">
        <v>190</v>
      </c>
      <c r="CD895" s="319" t="s">
        <v>190</v>
      </c>
      <c r="CE895" s="319" t="s">
        <v>190</v>
      </c>
      <c r="CF895" s="319" t="s">
        <v>190</v>
      </c>
      <c r="CG895" s="319" t="s">
        <v>190</v>
      </c>
      <c r="CH895" s="319" t="s">
        <v>190</v>
      </c>
      <c r="CI895" s="319" t="s">
        <v>190</v>
      </c>
      <c r="CJ895" s="319" t="s">
        <v>190</v>
      </c>
      <c r="CK895" s="319" t="s">
        <v>190</v>
      </c>
      <c r="CL895" s="319" t="s">
        <v>190</v>
      </c>
      <c r="CM895" s="319" t="s">
        <v>190</v>
      </c>
      <c r="CN895" s="319" t="s">
        <v>428</v>
      </c>
      <c r="CO895" s="319" t="s">
        <v>428</v>
      </c>
      <c r="CP895" s="319" t="s">
        <v>428</v>
      </c>
      <c r="CQ895" s="319" t="s">
        <v>190</v>
      </c>
      <c r="CR895" s="319" t="s">
        <v>190</v>
      </c>
      <c r="CS895" s="319" t="s">
        <v>190</v>
      </c>
      <c r="CT895" s="319" t="s">
        <v>190</v>
      </c>
      <c r="CU895" s="319" t="s">
        <v>190</v>
      </c>
      <c r="CV895" s="319" t="s">
        <v>190</v>
      </c>
      <c r="CW895" s="319" t="s">
        <v>190</v>
      </c>
      <c r="CX895" s="319" t="s">
        <v>190</v>
      </c>
      <c r="CY895" s="319" t="s">
        <v>190</v>
      </c>
      <c r="CZ895" s="319" t="s">
        <v>190</v>
      </c>
      <c r="DA895" s="319" t="s">
        <v>190</v>
      </c>
      <c r="DB895" s="319" t="s">
        <v>190</v>
      </c>
      <c r="DC895" s="319" t="s">
        <v>190</v>
      </c>
      <c r="DD895" s="319" t="s">
        <v>190</v>
      </c>
      <c r="DE895" s="319" t="s">
        <v>190</v>
      </c>
      <c r="DF895" s="319" t="s">
        <v>190</v>
      </c>
      <c r="DG895" s="319" t="s">
        <v>190</v>
      </c>
      <c r="DH895" s="319" t="s">
        <v>190</v>
      </c>
      <c r="DI895" s="319" t="s">
        <v>190</v>
      </c>
      <c r="DJ895" s="319" t="s">
        <v>190</v>
      </c>
      <c r="DK895" s="319" t="s">
        <v>190</v>
      </c>
      <c r="DL895" s="319" t="s">
        <v>190</v>
      </c>
      <c r="DM895" s="319" t="s">
        <v>190</v>
      </c>
      <c r="DN895" s="319" t="s">
        <v>428</v>
      </c>
      <c r="DO895" s="319" t="s">
        <v>190</v>
      </c>
      <c r="DP895" s="319" t="s">
        <v>428</v>
      </c>
      <c r="DQ895" s="319" t="s">
        <v>428</v>
      </c>
      <c r="DR895" s="319" t="s">
        <v>428</v>
      </c>
      <c r="DS895" s="319" t="s">
        <v>428</v>
      </c>
      <c r="DT895" s="319" t="s">
        <v>428</v>
      </c>
      <c r="DU895" s="319" t="s">
        <v>428</v>
      </c>
      <c r="DV895" s="319" t="s">
        <v>173</v>
      </c>
      <c r="DW895" s="319" t="s">
        <v>428</v>
      </c>
      <c r="DX895" s="319" t="s">
        <v>428</v>
      </c>
      <c r="DY895" s="319" t="s">
        <v>428</v>
      </c>
      <c r="DZ895" s="319" t="s">
        <v>428</v>
      </c>
      <c r="EA895" s="319" t="s">
        <v>428</v>
      </c>
      <c r="EB895" s="319" t="s">
        <v>428</v>
      </c>
      <c r="EC895" s="319" t="s">
        <v>428</v>
      </c>
      <c r="ED895" s="319" t="s">
        <v>428</v>
      </c>
      <c r="EE895" s="319" t="s">
        <v>190</v>
      </c>
      <c r="EF895" s="319" t="s">
        <v>190</v>
      </c>
      <c r="EG895" s="319" t="s">
        <v>190</v>
      </c>
      <c r="EH895" s="319" t="s">
        <v>190</v>
      </c>
      <c r="EI895" s="319" t="s">
        <v>190</v>
      </c>
      <c r="EJ895" s="319" t="s">
        <v>190</v>
      </c>
      <c r="EK895" s="319" t="s">
        <v>190</v>
      </c>
      <c r="EL895" s="319" t="s">
        <v>190</v>
      </c>
      <c r="EM895" s="319" t="s">
        <v>190</v>
      </c>
      <c r="EN895" s="319" t="s">
        <v>190</v>
      </c>
      <c r="EO895" s="319" t="s">
        <v>190</v>
      </c>
      <c r="EP895" s="319" t="s">
        <v>190</v>
      </c>
      <c r="EQ895" s="319" t="s">
        <v>190</v>
      </c>
      <c r="ER895" s="319" t="s">
        <v>190</v>
      </c>
      <c r="ES895" s="319" t="s">
        <v>190</v>
      </c>
      <c r="ET895" s="319" t="s">
        <v>190</v>
      </c>
      <c r="EU895" s="319" t="s">
        <v>190</v>
      </c>
      <c r="EV895" s="319" t="s">
        <v>190</v>
      </c>
      <c r="EW895" s="319" t="s">
        <v>190</v>
      </c>
      <c r="EX895" s="319" t="s">
        <v>190</v>
      </c>
      <c r="EY895" s="319" t="s">
        <v>190</v>
      </c>
      <c r="EZ895" s="319" t="s">
        <v>190</v>
      </c>
      <c r="FA895" s="319" t="s">
        <v>428</v>
      </c>
      <c r="FB895" s="319" t="s">
        <v>428</v>
      </c>
      <c r="FC895" s="319" t="s">
        <v>428</v>
      </c>
      <c r="FD895" s="319" t="s">
        <v>428</v>
      </c>
      <c r="FE895" s="319" t="s">
        <v>428</v>
      </c>
      <c r="FF895" s="319" t="s">
        <v>428</v>
      </c>
      <c r="FG895" s="319" t="s">
        <v>428</v>
      </c>
      <c r="FH895" s="319" t="s">
        <v>190</v>
      </c>
      <c r="FI895" s="319" t="s">
        <v>428</v>
      </c>
      <c r="FJ895" s="319" t="s">
        <v>190</v>
      </c>
      <c r="FK895" s="319" t="s">
        <v>190</v>
      </c>
      <c r="FL895" s="319" t="s">
        <v>190</v>
      </c>
      <c r="FM895" s="319" t="s">
        <v>190</v>
      </c>
      <c r="FN895" s="319" t="s">
        <v>428</v>
      </c>
      <c r="FO895" s="319" t="s">
        <v>190</v>
      </c>
      <c r="FP895" s="319" t="s">
        <v>190</v>
      </c>
      <c r="FQ895" s="319" t="s">
        <v>190</v>
      </c>
      <c r="FR895" s="319" t="s">
        <v>190</v>
      </c>
      <c r="FS895" s="319" t="s">
        <v>190</v>
      </c>
      <c r="FT895" s="319" t="s">
        <v>190</v>
      </c>
      <c r="FU895" s="319" t="s">
        <v>190</v>
      </c>
      <c r="FV895" s="319" t="s">
        <v>190</v>
      </c>
      <c r="FW895" s="319" t="s">
        <v>190</v>
      </c>
      <c r="FX895" s="319" t="s">
        <v>190</v>
      </c>
      <c r="FY895" s="319" t="s">
        <v>190</v>
      </c>
      <c r="FZ895" s="319" t="s">
        <v>190</v>
      </c>
      <c r="GA895" s="319" t="s">
        <v>190</v>
      </c>
      <c r="GB895" s="319" t="s">
        <v>190</v>
      </c>
      <c r="GC895" s="319" t="s">
        <v>190</v>
      </c>
      <c r="GD895" s="319" t="s">
        <v>190</v>
      </c>
      <c r="GE895" s="319" t="s">
        <v>190</v>
      </c>
      <c r="GF895" s="319" t="s">
        <v>190</v>
      </c>
      <c r="GG895" s="319" t="s">
        <v>190</v>
      </c>
      <c r="GH895" s="319" t="s">
        <v>190</v>
      </c>
      <c r="GI895" s="319" t="s">
        <v>190</v>
      </c>
      <c r="GJ895" s="319" t="s">
        <v>190</v>
      </c>
      <c r="GK895" s="319" t="s">
        <v>190</v>
      </c>
      <c r="GL895" s="319" t="s">
        <v>190</v>
      </c>
      <c r="GM895" s="319" t="s">
        <v>190</v>
      </c>
      <c r="GN895" s="319" t="s">
        <v>190</v>
      </c>
      <c r="GO895" s="319" t="s">
        <v>190</v>
      </c>
      <c r="GP895" s="319" t="s">
        <v>190</v>
      </c>
      <c r="GQ895" s="319" t="s">
        <v>428</v>
      </c>
      <c r="GR895" s="319" t="s">
        <v>190</v>
      </c>
      <c r="GS895" s="319" t="s">
        <v>190</v>
      </c>
      <c r="GT895" s="319" t="s">
        <v>190</v>
      </c>
      <c r="GU895" s="319" t="s">
        <v>190</v>
      </c>
      <c r="GV895" s="319" t="s">
        <v>190</v>
      </c>
      <c r="GW895" s="319" t="s">
        <v>190</v>
      </c>
      <c r="GX895" s="319" t="s">
        <v>190</v>
      </c>
      <c r="GY895" s="319" t="s">
        <v>190</v>
      </c>
      <c r="GZ895" s="319" t="s">
        <v>190</v>
      </c>
      <c r="HA895" s="319" t="s">
        <v>190</v>
      </c>
      <c r="HB895" s="319" t="s">
        <v>190</v>
      </c>
      <c r="HC895" s="319" t="s">
        <v>190</v>
      </c>
      <c r="HD895" s="319" t="s">
        <v>190</v>
      </c>
      <c r="HE895" s="319" t="s">
        <v>190</v>
      </c>
      <c r="HF895" s="319" t="s">
        <v>190</v>
      </c>
      <c r="HG895" s="319" t="s">
        <v>190</v>
      </c>
      <c r="HH895" s="319" t="s">
        <v>190</v>
      </c>
      <c r="HI895" s="319" t="s">
        <v>190</v>
      </c>
      <c r="HJ895" s="319" t="s">
        <v>190</v>
      </c>
      <c r="HK895" s="319" t="s">
        <v>190</v>
      </c>
      <c r="HL895" s="319" t="s">
        <v>190</v>
      </c>
      <c r="HM895" s="319" t="s">
        <v>190</v>
      </c>
      <c r="HN895" s="319" t="s">
        <v>190</v>
      </c>
      <c r="HO895" s="319" t="s">
        <v>190</v>
      </c>
      <c r="HP895" s="319" t="s">
        <v>190</v>
      </c>
      <c r="HQ895" s="319" t="s">
        <v>190</v>
      </c>
      <c r="HR895" s="319" t="s">
        <v>190</v>
      </c>
      <c r="HS895" s="319" t="s">
        <v>190</v>
      </c>
      <c r="HT895" s="319" t="s">
        <v>190</v>
      </c>
      <c r="HU895" s="319" t="s">
        <v>190</v>
      </c>
      <c r="HV895" s="319" t="s">
        <v>190</v>
      </c>
      <c r="HW895" s="319" t="s">
        <v>190</v>
      </c>
      <c r="HX895" s="319" t="s">
        <v>190</v>
      </c>
      <c r="HY895" s="319" t="s">
        <v>190</v>
      </c>
      <c r="HZ895" s="319" t="s">
        <v>190</v>
      </c>
      <c r="IA895" s="319" t="s">
        <v>190</v>
      </c>
      <c r="IB895" s="319" t="s">
        <v>190</v>
      </c>
      <c r="IC895" s="319" t="s">
        <v>190</v>
      </c>
      <c r="ID895" s="319" t="s">
        <v>190</v>
      </c>
      <c r="IE895" s="319" t="s">
        <v>190</v>
      </c>
      <c r="IF895" s="319" t="s">
        <v>190</v>
      </c>
      <c r="IG895" s="319" t="s">
        <v>190</v>
      </c>
      <c r="IH895" s="319" t="s">
        <v>190</v>
      </c>
      <c r="II895" s="319" t="s">
        <v>190</v>
      </c>
      <c r="IJ895" s="319" t="s">
        <v>173</v>
      </c>
      <c r="IK895" s="319" t="s">
        <v>173</v>
      </c>
      <c r="IL895" s="319" t="s">
        <v>173</v>
      </c>
      <c r="IM895" s="319" t="s">
        <v>173</v>
      </c>
      <c r="IN895" s="319" t="s">
        <v>173</v>
      </c>
      <c r="IO895" s="319" t="s">
        <v>173</v>
      </c>
      <c r="IP895" s="319" t="s">
        <v>173</v>
      </c>
      <c r="IQ895" s="321" t="s">
        <v>173</v>
      </c>
      <c r="IR895" s="320" t="s">
        <v>173</v>
      </c>
      <c r="IS895" s="322" t="s">
        <v>173</v>
      </c>
      <c r="IT895" s="319" t="s">
        <v>173</v>
      </c>
    </row>
    <row r="896" spans="1:254" s="271" customFormat="1" x14ac:dyDescent="0.25">
      <c r="A896" s="318" t="str">
        <f>HYPERLINK("http://www.ofsted.gov.uk/inspection-reports/find-inspection-report/provider/ELS/143911 ","Ofsted School Webpage")</f>
        <v>Ofsted School Webpage</v>
      </c>
      <c r="B896" s="319">
        <v>143911</v>
      </c>
      <c r="C896" s="319">
        <v>9356004</v>
      </c>
      <c r="D896" s="319" t="s">
        <v>2420</v>
      </c>
      <c r="E896" s="319" t="s">
        <v>168</v>
      </c>
      <c r="F896" s="319" t="s">
        <v>81</v>
      </c>
      <c r="G896" s="319" t="s">
        <v>81</v>
      </c>
      <c r="H896" s="319" t="s">
        <v>81</v>
      </c>
      <c r="I896" s="319" t="s">
        <v>78</v>
      </c>
      <c r="J896" s="319" t="s">
        <v>424</v>
      </c>
      <c r="K896" s="319" t="s">
        <v>451</v>
      </c>
      <c r="L896" s="319" t="s">
        <v>451</v>
      </c>
      <c r="M896" s="319" t="s">
        <v>839</v>
      </c>
      <c r="N896" s="319" t="s">
        <v>3037</v>
      </c>
      <c r="O896" s="319" t="s">
        <v>2421</v>
      </c>
      <c r="P896" s="319">
        <v>21</v>
      </c>
      <c r="Q896" s="319" t="s">
        <v>429</v>
      </c>
      <c r="R896" s="320">
        <v>10038910</v>
      </c>
      <c r="S896" s="321">
        <v>43074</v>
      </c>
      <c r="T896" s="321">
        <v>43076</v>
      </c>
      <c r="U896" s="321">
        <v>43116</v>
      </c>
      <c r="V896" s="319" t="s">
        <v>425</v>
      </c>
      <c r="W896" s="319" t="s">
        <v>2767</v>
      </c>
      <c r="X896" s="319">
        <v>2</v>
      </c>
      <c r="Y896" s="319" t="s">
        <v>173</v>
      </c>
      <c r="Z896" s="319" t="s">
        <v>173</v>
      </c>
      <c r="AA896" s="319" t="s">
        <v>173</v>
      </c>
      <c r="AB896" s="319">
        <v>2</v>
      </c>
      <c r="AC896" s="319" t="s">
        <v>169</v>
      </c>
      <c r="AD896" s="319" t="s">
        <v>173</v>
      </c>
      <c r="AE896" s="319">
        <v>2</v>
      </c>
      <c r="AF896" s="319" t="s">
        <v>427</v>
      </c>
      <c r="AG896" s="319" t="s">
        <v>171</v>
      </c>
      <c r="AH896" s="319" t="s">
        <v>190</v>
      </c>
      <c r="AI896" s="319" t="s">
        <v>190</v>
      </c>
      <c r="AJ896" s="319" t="s">
        <v>190</v>
      </c>
      <c r="AK896" s="319" t="s">
        <v>190</v>
      </c>
      <c r="AL896" s="319" t="s">
        <v>190</v>
      </c>
      <c r="AM896" s="319" t="s">
        <v>190</v>
      </c>
      <c r="AN896" s="319" t="s">
        <v>190</v>
      </c>
      <c r="AO896" s="319" t="s">
        <v>190</v>
      </c>
      <c r="AP896" s="319" t="s">
        <v>190</v>
      </c>
      <c r="AQ896" s="319" t="s">
        <v>190</v>
      </c>
      <c r="AR896" s="319" t="s">
        <v>190</v>
      </c>
      <c r="AS896" s="319" t="s">
        <v>190</v>
      </c>
      <c r="AT896" s="319" t="s">
        <v>190</v>
      </c>
      <c r="AU896" s="319" t="s">
        <v>190</v>
      </c>
      <c r="AV896" s="319" t="s">
        <v>190</v>
      </c>
      <c r="AW896" s="319" t="s">
        <v>190</v>
      </c>
      <c r="AX896" s="319" t="s">
        <v>428</v>
      </c>
      <c r="AY896" s="319" t="s">
        <v>190</v>
      </c>
      <c r="AZ896" s="319" t="s">
        <v>190</v>
      </c>
      <c r="BA896" s="319" t="s">
        <v>190</v>
      </c>
      <c r="BB896" s="319" t="s">
        <v>190</v>
      </c>
      <c r="BC896" s="319" t="s">
        <v>190</v>
      </c>
      <c r="BD896" s="319" t="s">
        <v>190</v>
      </c>
      <c r="BE896" s="319" t="s">
        <v>190</v>
      </c>
      <c r="BF896" s="319" t="s">
        <v>428</v>
      </c>
      <c r="BG896" s="319" t="s">
        <v>190</v>
      </c>
      <c r="BH896" s="319" t="s">
        <v>190</v>
      </c>
      <c r="BI896" s="319" t="s">
        <v>190</v>
      </c>
      <c r="BJ896" s="319" t="s">
        <v>190</v>
      </c>
      <c r="BK896" s="319" t="s">
        <v>190</v>
      </c>
      <c r="BL896" s="319" t="s">
        <v>190</v>
      </c>
      <c r="BM896" s="319" t="s">
        <v>190</v>
      </c>
      <c r="BN896" s="319" t="s">
        <v>190</v>
      </c>
      <c r="BO896" s="319" t="s">
        <v>190</v>
      </c>
      <c r="BP896" s="319" t="s">
        <v>190</v>
      </c>
      <c r="BQ896" s="319" t="s">
        <v>190</v>
      </c>
      <c r="BR896" s="319" t="s">
        <v>190</v>
      </c>
      <c r="BS896" s="319" t="s">
        <v>190</v>
      </c>
      <c r="BT896" s="319" t="s">
        <v>190</v>
      </c>
      <c r="BU896" s="319" t="s">
        <v>190</v>
      </c>
      <c r="BV896" s="319" t="s">
        <v>190</v>
      </c>
      <c r="BW896" s="319" t="s">
        <v>190</v>
      </c>
      <c r="BX896" s="319" t="s">
        <v>190</v>
      </c>
      <c r="BY896" s="319" t="s">
        <v>190</v>
      </c>
      <c r="BZ896" s="319" t="s">
        <v>190</v>
      </c>
      <c r="CA896" s="319" t="s">
        <v>190</v>
      </c>
      <c r="CB896" s="319" t="s">
        <v>190</v>
      </c>
      <c r="CC896" s="319" t="s">
        <v>190</v>
      </c>
      <c r="CD896" s="319" t="s">
        <v>190</v>
      </c>
      <c r="CE896" s="319" t="s">
        <v>190</v>
      </c>
      <c r="CF896" s="319" t="s">
        <v>190</v>
      </c>
      <c r="CG896" s="319" t="s">
        <v>190</v>
      </c>
      <c r="CH896" s="319" t="s">
        <v>190</v>
      </c>
      <c r="CI896" s="319" t="s">
        <v>190</v>
      </c>
      <c r="CJ896" s="319" t="s">
        <v>190</v>
      </c>
      <c r="CK896" s="319" t="s">
        <v>190</v>
      </c>
      <c r="CL896" s="319" t="s">
        <v>190</v>
      </c>
      <c r="CM896" s="319" t="s">
        <v>190</v>
      </c>
      <c r="CN896" s="319" t="s">
        <v>428</v>
      </c>
      <c r="CO896" s="319" t="s">
        <v>428</v>
      </c>
      <c r="CP896" s="319" t="s">
        <v>428</v>
      </c>
      <c r="CQ896" s="319" t="s">
        <v>190</v>
      </c>
      <c r="CR896" s="319" t="s">
        <v>190</v>
      </c>
      <c r="CS896" s="319" t="s">
        <v>190</v>
      </c>
      <c r="CT896" s="319" t="s">
        <v>190</v>
      </c>
      <c r="CU896" s="319" t="s">
        <v>190</v>
      </c>
      <c r="CV896" s="319" t="s">
        <v>190</v>
      </c>
      <c r="CW896" s="319" t="s">
        <v>190</v>
      </c>
      <c r="CX896" s="319" t="s">
        <v>190</v>
      </c>
      <c r="CY896" s="319" t="s">
        <v>190</v>
      </c>
      <c r="CZ896" s="319" t="s">
        <v>190</v>
      </c>
      <c r="DA896" s="319" t="s">
        <v>190</v>
      </c>
      <c r="DB896" s="319" t="s">
        <v>190</v>
      </c>
      <c r="DC896" s="319" t="s">
        <v>190</v>
      </c>
      <c r="DD896" s="319" t="s">
        <v>190</v>
      </c>
      <c r="DE896" s="319" t="s">
        <v>190</v>
      </c>
      <c r="DF896" s="319" t="s">
        <v>190</v>
      </c>
      <c r="DG896" s="319" t="s">
        <v>190</v>
      </c>
      <c r="DH896" s="319" t="s">
        <v>190</v>
      </c>
      <c r="DI896" s="319" t="s">
        <v>190</v>
      </c>
      <c r="DJ896" s="319" t="s">
        <v>190</v>
      </c>
      <c r="DK896" s="319" t="s">
        <v>190</v>
      </c>
      <c r="DL896" s="319" t="s">
        <v>190</v>
      </c>
      <c r="DM896" s="319" t="s">
        <v>190</v>
      </c>
      <c r="DN896" s="319" t="s">
        <v>428</v>
      </c>
      <c r="DO896" s="319" t="s">
        <v>190</v>
      </c>
      <c r="DP896" s="319" t="s">
        <v>428</v>
      </c>
      <c r="DQ896" s="319" t="s">
        <v>428</v>
      </c>
      <c r="DR896" s="319" t="s">
        <v>428</v>
      </c>
      <c r="DS896" s="319" t="s">
        <v>428</v>
      </c>
      <c r="DT896" s="319" t="s">
        <v>428</v>
      </c>
      <c r="DU896" s="319" t="s">
        <v>428</v>
      </c>
      <c r="DV896" s="319" t="s">
        <v>173</v>
      </c>
      <c r="DW896" s="319" t="s">
        <v>428</v>
      </c>
      <c r="DX896" s="319" t="s">
        <v>428</v>
      </c>
      <c r="DY896" s="319" t="s">
        <v>428</v>
      </c>
      <c r="DZ896" s="319" t="s">
        <v>428</v>
      </c>
      <c r="EA896" s="319" t="s">
        <v>428</v>
      </c>
      <c r="EB896" s="319" t="s">
        <v>428</v>
      </c>
      <c r="EC896" s="319" t="s">
        <v>428</v>
      </c>
      <c r="ED896" s="319" t="s">
        <v>190</v>
      </c>
      <c r="EE896" s="319" t="s">
        <v>190</v>
      </c>
      <c r="EF896" s="319" t="s">
        <v>190</v>
      </c>
      <c r="EG896" s="319" t="s">
        <v>190</v>
      </c>
      <c r="EH896" s="319" t="s">
        <v>190</v>
      </c>
      <c r="EI896" s="319" t="s">
        <v>190</v>
      </c>
      <c r="EJ896" s="319" t="s">
        <v>190</v>
      </c>
      <c r="EK896" s="319" t="s">
        <v>190</v>
      </c>
      <c r="EL896" s="319" t="s">
        <v>190</v>
      </c>
      <c r="EM896" s="319" t="s">
        <v>190</v>
      </c>
      <c r="EN896" s="319" t="s">
        <v>190</v>
      </c>
      <c r="EO896" s="319" t="s">
        <v>190</v>
      </c>
      <c r="EP896" s="319" t="s">
        <v>190</v>
      </c>
      <c r="EQ896" s="319" t="s">
        <v>190</v>
      </c>
      <c r="ER896" s="319" t="s">
        <v>190</v>
      </c>
      <c r="ES896" s="319" t="s">
        <v>190</v>
      </c>
      <c r="ET896" s="319" t="s">
        <v>190</v>
      </c>
      <c r="EU896" s="319" t="s">
        <v>190</v>
      </c>
      <c r="EV896" s="319" t="s">
        <v>190</v>
      </c>
      <c r="EW896" s="319" t="s">
        <v>190</v>
      </c>
      <c r="EX896" s="319" t="s">
        <v>190</v>
      </c>
      <c r="EY896" s="319" t="s">
        <v>190</v>
      </c>
      <c r="EZ896" s="319" t="s">
        <v>190</v>
      </c>
      <c r="FA896" s="319" t="s">
        <v>190</v>
      </c>
      <c r="FB896" s="319" t="s">
        <v>428</v>
      </c>
      <c r="FC896" s="319" t="s">
        <v>428</v>
      </c>
      <c r="FD896" s="319" t="s">
        <v>428</v>
      </c>
      <c r="FE896" s="319" t="s">
        <v>428</v>
      </c>
      <c r="FF896" s="319" t="s">
        <v>428</v>
      </c>
      <c r="FG896" s="319" t="s">
        <v>428</v>
      </c>
      <c r="FH896" s="319" t="s">
        <v>190</v>
      </c>
      <c r="FI896" s="319" t="s">
        <v>190</v>
      </c>
      <c r="FJ896" s="319" t="s">
        <v>190</v>
      </c>
      <c r="FK896" s="319" t="s">
        <v>190</v>
      </c>
      <c r="FL896" s="319" t="s">
        <v>190</v>
      </c>
      <c r="FM896" s="319" t="s">
        <v>190</v>
      </c>
      <c r="FN896" s="319" t="s">
        <v>190</v>
      </c>
      <c r="FO896" s="319" t="s">
        <v>190</v>
      </c>
      <c r="FP896" s="319" t="s">
        <v>190</v>
      </c>
      <c r="FQ896" s="319" t="s">
        <v>190</v>
      </c>
      <c r="FR896" s="319" t="s">
        <v>190</v>
      </c>
      <c r="FS896" s="319" t="s">
        <v>428</v>
      </c>
      <c r="FT896" s="319" t="s">
        <v>190</v>
      </c>
      <c r="FU896" s="319" t="s">
        <v>190</v>
      </c>
      <c r="FV896" s="319" t="s">
        <v>190</v>
      </c>
      <c r="FW896" s="319" t="s">
        <v>190</v>
      </c>
      <c r="FX896" s="319" t="s">
        <v>190</v>
      </c>
      <c r="FY896" s="319" t="s">
        <v>190</v>
      </c>
      <c r="FZ896" s="319" t="s">
        <v>190</v>
      </c>
      <c r="GA896" s="319" t="s">
        <v>190</v>
      </c>
      <c r="GB896" s="319" t="s">
        <v>190</v>
      </c>
      <c r="GC896" s="319" t="s">
        <v>190</v>
      </c>
      <c r="GD896" s="319" t="s">
        <v>190</v>
      </c>
      <c r="GE896" s="319" t="s">
        <v>190</v>
      </c>
      <c r="GF896" s="319" t="s">
        <v>190</v>
      </c>
      <c r="GG896" s="319" t="s">
        <v>190</v>
      </c>
      <c r="GH896" s="319" t="s">
        <v>190</v>
      </c>
      <c r="GI896" s="319" t="s">
        <v>190</v>
      </c>
      <c r="GJ896" s="319" t="s">
        <v>190</v>
      </c>
      <c r="GK896" s="319" t="s">
        <v>190</v>
      </c>
      <c r="GL896" s="319" t="s">
        <v>190</v>
      </c>
      <c r="GM896" s="319" t="s">
        <v>190</v>
      </c>
      <c r="GN896" s="319" t="s">
        <v>190</v>
      </c>
      <c r="GO896" s="319" t="s">
        <v>190</v>
      </c>
      <c r="GP896" s="319" t="s">
        <v>190</v>
      </c>
      <c r="GQ896" s="319" t="s">
        <v>190</v>
      </c>
      <c r="GR896" s="319" t="s">
        <v>190</v>
      </c>
      <c r="GS896" s="319" t="s">
        <v>190</v>
      </c>
      <c r="GT896" s="319" t="s">
        <v>190</v>
      </c>
      <c r="GU896" s="319" t="s">
        <v>190</v>
      </c>
      <c r="GV896" s="319" t="s">
        <v>190</v>
      </c>
      <c r="GW896" s="319" t="s">
        <v>190</v>
      </c>
      <c r="GX896" s="319" t="s">
        <v>190</v>
      </c>
      <c r="GY896" s="319" t="s">
        <v>190</v>
      </c>
      <c r="GZ896" s="319" t="s">
        <v>428</v>
      </c>
      <c r="HA896" s="319" t="s">
        <v>190</v>
      </c>
      <c r="HB896" s="319" t="s">
        <v>190</v>
      </c>
      <c r="HC896" s="319" t="s">
        <v>190</v>
      </c>
      <c r="HD896" s="319" t="s">
        <v>190</v>
      </c>
      <c r="HE896" s="319" t="s">
        <v>190</v>
      </c>
      <c r="HF896" s="319" t="s">
        <v>190</v>
      </c>
      <c r="HG896" s="319" t="s">
        <v>190</v>
      </c>
      <c r="HH896" s="319" t="s">
        <v>190</v>
      </c>
      <c r="HI896" s="319" t="s">
        <v>190</v>
      </c>
      <c r="HJ896" s="319" t="s">
        <v>190</v>
      </c>
      <c r="HK896" s="319" t="s">
        <v>190</v>
      </c>
      <c r="HL896" s="319" t="s">
        <v>190</v>
      </c>
      <c r="HM896" s="319" t="s">
        <v>190</v>
      </c>
      <c r="HN896" s="319" t="s">
        <v>190</v>
      </c>
      <c r="HO896" s="319" t="s">
        <v>190</v>
      </c>
      <c r="HP896" s="319" t="s">
        <v>190</v>
      </c>
      <c r="HQ896" s="319" t="s">
        <v>190</v>
      </c>
      <c r="HR896" s="319" t="s">
        <v>190</v>
      </c>
      <c r="HS896" s="319" t="s">
        <v>190</v>
      </c>
      <c r="HT896" s="319" t="s">
        <v>190</v>
      </c>
      <c r="HU896" s="319" t="s">
        <v>190</v>
      </c>
      <c r="HV896" s="319" t="s">
        <v>190</v>
      </c>
      <c r="HW896" s="319" t="s">
        <v>190</v>
      </c>
      <c r="HX896" s="319" t="s">
        <v>190</v>
      </c>
      <c r="HY896" s="319" t="s">
        <v>190</v>
      </c>
      <c r="HZ896" s="319" t="s">
        <v>190</v>
      </c>
      <c r="IA896" s="319" t="s">
        <v>190</v>
      </c>
      <c r="IB896" s="319" t="s">
        <v>190</v>
      </c>
      <c r="IC896" s="319" t="s">
        <v>190</v>
      </c>
      <c r="ID896" s="319" t="s">
        <v>190</v>
      </c>
      <c r="IE896" s="319" t="s">
        <v>190</v>
      </c>
      <c r="IF896" s="319" t="s">
        <v>190</v>
      </c>
      <c r="IG896" s="319" t="s">
        <v>190</v>
      </c>
      <c r="IH896" s="319" t="s">
        <v>190</v>
      </c>
      <c r="II896" s="319" t="s">
        <v>190</v>
      </c>
      <c r="IJ896" s="319" t="s">
        <v>173</v>
      </c>
      <c r="IK896" s="319" t="s">
        <v>173</v>
      </c>
      <c r="IL896" s="319" t="s">
        <v>173</v>
      </c>
      <c r="IM896" s="319" t="s">
        <v>173</v>
      </c>
      <c r="IN896" s="319" t="s">
        <v>173</v>
      </c>
      <c r="IO896" s="319" t="s">
        <v>173</v>
      </c>
      <c r="IP896" s="319" t="s">
        <v>173</v>
      </c>
      <c r="IQ896" s="319" t="s">
        <v>173</v>
      </c>
      <c r="IR896" s="320" t="s">
        <v>173</v>
      </c>
      <c r="IS896" s="320" t="s">
        <v>173</v>
      </c>
      <c r="IT896" s="319" t="s">
        <v>173</v>
      </c>
    </row>
    <row r="897" spans="1:254" s="271" customFormat="1" x14ac:dyDescent="0.25">
      <c r="A897" s="318" t="str">
        <f>HYPERLINK("http://www.ofsted.gov.uk/inspection-reports/find-inspection-report/provider/ELS/143912 ","Ofsted School Webpage")</f>
        <v>Ofsted School Webpage</v>
      </c>
      <c r="B897" s="319">
        <v>143912</v>
      </c>
      <c r="C897" s="319">
        <v>3416008</v>
      </c>
      <c r="D897" s="319" t="s">
        <v>2422</v>
      </c>
      <c r="E897" s="319" t="s">
        <v>167</v>
      </c>
      <c r="F897" s="319" t="s">
        <v>81</v>
      </c>
      <c r="G897" s="319" t="s">
        <v>81</v>
      </c>
      <c r="H897" s="319" t="s">
        <v>81</v>
      </c>
      <c r="I897" s="319" t="s">
        <v>78</v>
      </c>
      <c r="J897" s="319" t="s">
        <v>424</v>
      </c>
      <c r="K897" s="319" t="s">
        <v>431</v>
      </c>
      <c r="L897" s="319" t="s">
        <v>431</v>
      </c>
      <c r="M897" s="319" t="s">
        <v>652</v>
      </c>
      <c r="N897" s="319" t="s">
        <v>3152</v>
      </c>
      <c r="O897" s="319" t="s">
        <v>2423</v>
      </c>
      <c r="P897" s="319">
        <v>7</v>
      </c>
      <c r="Q897" s="319" t="s">
        <v>2766</v>
      </c>
      <c r="R897" s="320">
        <v>10043789</v>
      </c>
      <c r="S897" s="321">
        <v>43235</v>
      </c>
      <c r="T897" s="321">
        <v>43237</v>
      </c>
      <c r="U897" s="321">
        <v>43280</v>
      </c>
      <c r="V897" s="319" t="s">
        <v>435</v>
      </c>
      <c r="W897" s="319" t="s">
        <v>2767</v>
      </c>
      <c r="X897" s="319">
        <v>2</v>
      </c>
      <c r="Y897" s="319" t="s">
        <v>173</v>
      </c>
      <c r="Z897" s="319" t="s">
        <v>173</v>
      </c>
      <c r="AA897" s="319" t="s">
        <v>173</v>
      </c>
      <c r="AB897" s="319">
        <v>2</v>
      </c>
      <c r="AC897" s="319" t="s">
        <v>169</v>
      </c>
      <c r="AD897" s="319" t="s">
        <v>173</v>
      </c>
      <c r="AE897" s="319" t="s">
        <v>173</v>
      </c>
      <c r="AF897" s="319" t="s">
        <v>427</v>
      </c>
      <c r="AG897" s="319" t="s">
        <v>171</v>
      </c>
      <c r="AH897" s="319" t="s">
        <v>190</v>
      </c>
      <c r="AI897" s="319" t="s">
        <v>190</v>
      </c>
      <c r="AJ897" s="319" t="s">
        <v>190</v>
      </c>
      <c r="AK897" s="319" t="s">
        <v>190</v>
      </c>
      <c r="AL897" s="319" t="s">
        <v>190</v>
      </c>
      <c r="AM897" s="319" t="s">
        <v>190</v>
      </c>
      <c r="AN897" s="319" t="s">
        <v>190</v>
      </c>
      <c r="AO897" s="319" t="s">
        <v>190</v>
      </c>
      <c r="AP897" s="319" t="s">
        <v>190</v>
      </c>
      <c r="AQ897" s="319" t="s">
        <v>190</v>
      </c>
      <c r="AR897" s="319" t="s">
        <v>190</v>
      </c>
      <c r="AS897" s="319" t="s">
        <v>190</v>
      </c>
      <c r="AT897" s="319" t="s">
        <v>190</v>
      </c>
      <c r="AU897" s="319" t="s">
        <v>190</v>
      </c>
      <c r="AV897" s="319" t="s">
        <v>190</v>
      </c>
      <c r="AW897" s="319" t="s">
        <v>190</v>
      </c>
      <c r="AX897" s="319" t="s">
        <v>428</v>
      </c>
      <c r="AY897" s="319" t="s">
        <v>190</v>
      </c>
      <c r="AZ897" s="319" t="s">
        <v>190</v>
      </c>
      <c r="BA897" s="319" t="s">
        <v>190</v>
      </c>
      <c r="BB897" s="319" t="s">
        <v>190</v>
      </c>
      <c r="BC897" s="319" t="s">
        <v>190</v>
      </c>
      <c r="BD897" s="319" t="s">
        <v>190</v>
      </c>
      <c r="BE897" s="319" t="s">
        <v>190</v>
      </c>
      <c r="BF897" s="319" t="s">
        <v>428</v>
      </c>
      <c r="BG897" s="319" t="s">
        <v>428</v>
      </c>
      <c r="BH897" s="319" t="s">
        <v>190</v>
      </c>
      <c r="BI897" s="319" t="s">
        <v>190</v>
      </c>
      <c r="BJ897" s="319" t="s">
        <v>190</v>
      </c>
      <c r="BK897" s="319" t="s">
        <v>190</v>
      </c>
      <c r="BL897" s="319" t="s">
        <v>190</v>
      </c>
      <c r="BM897" s="319" t="s">
        <v>190</v>
      </c>
      <c r="BN897" s="319" t="s">
        <v>190</v>
      </c>
      <c r="BO897" s="319" t="s">
        <v>190</v>
      </c>
      <c r="BP897" s="319" t="s">
        <v>190</v>
      </c>
      <c r="BQ897" s="319" t="s">
        <v>190</v>
      </c>
      <c r="BR897" s="319" t="s">
        <v>190</v>
      </c>
      <c r="BS897" s="319" t="s">
        <v>190</v>
      </c>
      <c r="BT897" s="319" t="s">
        <v>190</v>
      </c>
      <c r="BU897" s="319" t="s">
        <v>190</v>
      </c>
      <c r="BV897" s="319" t="s">
        <v>190</v>
      </c>
      <c r="BW897" s="319" t="s">
        <v>190</v>
      </c>
      <c r="BX897" s="319" t="s">
        <v>190</v>
      </c>
      <c r="BY897" s="319" t="s">
        <v>190</v>
      </c>
      <c r="BZ897" s="319" t="s">
        <v>190</v>
      </c>
      <c r="CA897" s="319" t="s">
        <v>190</v>
      </c>
      <c r="CB897" s="319" t="s">
        <v>190</v>
      </c>
      <c r="CC897" s="319" t="s">
        <v>190</v>
      </c>
      <c r="CD897" s="319" t="s">
        <v>190</v>
      </c>
      <c r="CE897" s="319" t="s">
        <v>190</v>
      </c>
      <c r="CF897" s="319" t="s">
        <v>190</v>
      </c>
      <c r="CG897" s="319" t="s">
        <v>190</v>
      </c>
      <c r="CH897" s="319" t="s">
        <v>190</v>
      </c>
      <c r="CI897" s="319" t="s">
        <v>190</v>
      </c>
      <c r="CJ897" s="319" t="s">
        <v>190</v>
      </c>
      <c r="CK897" s="319" t="s">
        <v>190</v>
      </c>
      <c r="CL897" s="319" t="s">
        <v>190</v>
      </c>
      <c r="CM897" s="319" t="s">
        <v>190</v>
      </c>
      <c r="CN897" s="319" t="s">
        <v>190</v>
      </c>
      <c r="CO897" s="319" t="s">
        <v>428</v>
      </c>
      <c r="CP897" s="319" t="s">
        <v>428</v>
      </c>
      <c r="CQ897" s="319" t="s">
        <v>190</v>
      </c>
      <c r="CR897" s="319" t="s">
        <v>190</v>
      </c>
      <c r="CS897" s="319" t="s">
        <v>190</v>
      </c>
      <c r="CT897" s="319" t="s">
        <v>190</v>
      </c>
      <c r="CU897" s="319" t="s">
        <v>190</v>
      </c>
      <c r="CV897" s="319" t="s">
        <v>190</v>
      </c>
      <c r="CW897" s="319" t="s">
        <v>190</v>
      </c>
      <c r="CX897" s="319" t="s">
        <v>190</v>
      </c>
      <c r="CY897" s="319" t="s">
        <v>190</v>
      </c>
      <c r="CZ897" s="319" t="s">
        <v>190</v>
      </c>
      <c r="DA897" s="319" t="s">
        <v>190</v>
      </c>
      <c r="DB897" s="319" t="s">
        <v>190</v>
      </c>
      <c r="DC897" s="319" t="s">
        <v>190</v>
      </c>
      <c r="DD897" s="319" t="s">
        <v>190</v>
      </c>
      <c r="DE897" s="319" t="s">
        <v>190</v>
      </c>
      <c r="DF897" s="319" t="s">
        <v>190</v>
      </c>
      <c r="DG897" s="319" t="s">
        <v>190</v>
      </c>
      <c r="DH897" s="319" t="s">
        <v>190</v>
      </c>
      <c r="DI897" s="319" t="s">
        <v>190</v>
      </c>
      <c r="DJ897" s="319" t="s">
        <v>190</v>
      </c>
      <c r="DK897" s="319" t="s">
        <v>190</v>
      </c>
      <c r="DL897" s="319" t="s">
        <v>190</v>
      </c>
      <c r="DM897" s="319" t="s">
        <v>190</v>
      </c>
      <c r="DN897" s="319" t="s">
        <v>428</v>
      </c>
      <c r="DO897" s="319" t="s">
        <v>190</v>
      </c>
      <c r="DP897" s="319" t="s">
        <v>190</v>
      </c>
      <c r="DQ897" s="319" t="s">
        <v>190</v>
      </c>
      <c r="DR897" s="319" t="s">
        <v>190</v>
      </c>
      <c r="DS897" s="319" t="s">
        <v>190</v>
      </c>
      <c r="DT897" s="319" t="s">
        <v>190</v>
      </c>
      <c r="DU897" s="319" t="s">
        <v>190</v>
      </c>
      <c r="DV897" s="319" t="s">
        <v>173</v>
      </c>
      <c r="DW897" s="319" t="s">
        <v>190</v>
      </c>
      <c r="DX897" s="319" t="s">
        <v>190</v>
      </c>
      <c r="DY897" s="319" t="s">
        <v>190</v>
      </c>
      <c r="DZ897" s="319" t="s">
        <v>190</v>
      </c>
      <c r="EA897" s="319" t="s">
        <v>190</v>
      </c>
      <c r="EB897" s="319" t="s">
        <v>190</v>
      </c>
      <c r="EC897" s="319" t="s">
        <v>190</v>
      </c>
      <c r="ED897" s="319" t="s">
        <v>190</v>
      </c>
      <c r="EE897" s="319" t="s">
        <v>190</v>
      </c>
      <c r="EF897" s="319" t="s">
        <v>190</v>
      </c>
      <c r="EG897" s="319" t="s">
        <v>190</v>
      </c>
      <c r="EH897" s="319" t="s">
        <v>190</v>
      </c>
      <c r="EI897" s="319" t="s">
        <v>190</v>
      </c>
      <c r="EJ897" s="319" t="s">
        <v>190</v>
      </c>
      <c r="EK897" s="319" t="s">
        <v>190</v>
      </c>
      <c r="EL897" s="319" t="s">
        <v>190</v>
      </c>
      <c r="EM897" s="319" t="s">
        <v>190</v>
      </c>
      <c r="EN897" s="319" t="s">
        <v>190</v>
      </c>
      <c r="EO897" s="319" t="s">
        <v>190</v>
      </c>
      <c r="EP897" s="319" t="s">
        <v>190</v>
      </c>
      <c r="EQ897" s="319" t="s">
        <v>190</v>
      </c>
      <c r="ER897" s="319" t="s">
        <v>190</v>
      </c>
      <c r="ES897" s="319" t="s">
        <v>190</v>
      </c>
      <c r="ET897" s="319" t="s">
        <v>190</v>
      </c>
      <c r="EU897" s="319" t="s">
        <v>190</v>
      </c>
      <c r="EV897" s="319" t="s">
        <v>190</v>
      </c>
      <c r="EW897" s="319" t="s">
        <v>190</v>
      </c>
      <c r="EX897" s="319" t="s">
        <v>190</v>
      </c>
      <c r="EY897" s="319" t="s">
        <v>190</v>
      </c>
      <c r="EZ897" s="319" t="s">
        <v>190</v>
      </c>
      <c r="FA897" s="319" t="s">
        <v>190</v>
      </c>
      <c r="FB897" s="319" t="s">
        <v>190</v>
      </c>
      <c r="FC897" s="319" t="s">
        <v>190</v>
      </c>
      <c r="FD897" s="319" t="s">
        <v>190</v>
      </c>
      <c r="FE897" s="319" t="s">
        <v>190</v>
      </c>
      <c r="FF897" s="319" t="s">
        <v>190</v>
      </c>
      <c r="FG897" s="319" t="s">
        <v>190</v>
      </c>
      <c r="FH897" s="319" t="s">
        <v>190</v>
      </c>
      <c r="FI897" s="319" t="s">
        <v>190</v>
      </c>
      <c r="FJ897" s="319" t="s">
        <v>190</v>
      </c>
      <c r="FK897" s="319" t="s">
        <v>190</v>
      </c>
      <c r="FL897" s="319" t="s">
        <v>190</v>
      </c>
      <c r="FM897" s="319" t="s">
        <v>190</v>
      </c>
      <c r="FN897" s="319" t="s">
        <v>190</v>
      </c>
      <c r="FO897" s="319" t="s">
        <v>190</v>
      </c>
      <c r="FP897" s="319" t="s">
        <v>190</v>
      </c>
      <c r="FQ897" s="319" t="s">
        <v>190</v>
      </c>
      <c r="FR897" s="319" t="s">
        <v>190</v>
      </c>
      <c r="FS897" s="319" t="s">
        <v>428</v>
      </c>
      <c r="FT897" s="319" t="s">
        <v>190</v>
      </c>
      <c r="FU897" s="319" t="s">
        <v>190</v>
      </c>
      <c r="FV897" s="319" t="s">
        <v>190</v>
      </c>
      <c r="FW897" s="319" t="s">
        <v>190</v>
      </c>
      <c r="FX897" s="319" t="s">
        <v>190</v>
      </c>
      <c r="FY897" s="319" t="s">
        <v>190</v>
      </c>
      <c r="FZ897" s="319" t="s">
        <v>190</v>
      </c>
      <c r="GA897" s="319" t="s">
        <v>190</v>
      </c>
      <c r="GB897" s="319" t="s">
        <v>190</v>
      </c>
      <c r="GC897" s="319" t="s">
        <v>190</v>
      </c>
      <c r="GD897" s="319" t="s">
        <v>190</v>
      </c>
      <c r="GE897" s="319" t="s">
        <v>190</v>
      </c>
      <c r="GF897" s="319" t="s">
        <v>190</v>
      </c>
      <c r="GG897" s="319" t="s">
        <v>190</v>
      </c>
      <c r="GH897" s="319" t="s">
        <v>190</v>
      </c>
      <c r="GI897" s="319" t="s">
        <v>190</v>
      </c>
      <c r="GJ897" s="319" t="s">
        <v>190</v>
      </c>
      <c r="GK897" s="319" t="s">
        <v>428</v>
      </c>
      <c r="GL897" s="319" t="s">
        <v>190</v>
      </c>
      <c r="GM897" s="319" t="s">
        <v>190</v>
      </c>
      <c r="GN897" s="319" t="s">
        <v>190</v>
      </c>
      <c r="GO897" s="319" t="s">
        <v>190</v>
      </c>
      <c r="GP897" s="319" t="s">
        <v>190</v>
      </c>
      <c r="GQ897" s="319" t="s">
        <v>428</v>
      </c>
      <c r="GR897" s="319" t="s">
        <v>190</v>
      </c>
      <c r="GS897" s="319" t="s">
        <v>190</v>
      </c>
      <c r="GT897" s="319" t="s">
        <v>190</v>
      </c>
      <c r="GU897" s="319" t="s">
        <v>190</v>
      </c>
      <c r="GV897" s="319" t="s">
        <v>190</v>
      </c>
      <c r="GW897" s="319" t="s">
        <v>190</v>
      </c>
      <c r="GX897" s="319" t="s">
        <v>190</v>
      </c>
      <c r="GY897" s="319" t="s">
        <v>190</v>
      </c>
      <c r="GZ897" s="319" t="s">
        <v>190</v>
      </c>
      <c r="HA897" s="319" t="s">
        <v>190</v>
      </c>
      <c r="HB897" s="319" t="s">
        <v>190</v>
      </c>
      <c r="HC897" s="319" t="s">
        <v>190</v>
      </c>
      <c r="HD897" s="319" t="s">
        <v>190</v>
      </c>
      <c r="HE897" s="319" t="s">
        <v>190</v>
      </c>
      <c r="HF897" s="319" t="s">
        <v>190</v>
      </c>
      <c r="HG897" s="319" t="s">
        <v>190</v>
      </c>
      <c r="HH897" s="319" t="s">
        <v>190</v>
      </c>
      <c r="HI897" s="319" t="s">
        <v>190</v>
      </c>
      <c r="HJ897" s="319" t="s">
        <v>190</v>
      </c>
      <c r="HK897" s="319" t="s">
        <v>190</v>
      </c>
      <c r="HL897" s="319" t="s">
        <v>190</v>
      </c>
      <c r="HM897" s="319" t="s">
        <v>190</v>
      </c>
      <c r="HN897" s="319" t="s">
        <v>190</v>
      </c>
      <c r="HO897" s="319" t="s">
        <v>190</v>
      </c>
      <c r="HP897" s="319" t="s">
        <v>190</v>
      </c>
      <c r="HQ897" s="319" t="s">
        <v>190</v>
      </c>
      <c r="HR897" s="319" t="s">
        <v>190</v>
      </c>
      <c r="HS897" s="319" t="s">
        <v>190</v>
      </c>
      <c r="HT897" s="319" t="s">
        <v>190</v>
      </c>
      <c r="HU897" s="319" t="s">
        <v>190</v>
      </c>
      <c r="HV897" s="319" t="s">
        <v>190</v>
      </c>
      <c r="HW897" s="319" t="s">
        <v>190</v>
      </c>
      <c r="HX897" s="319" t="s">
        <v>190</v>
      </c>
      <c r="HY897" s="319" t="s">
        <v>190</v>
      </c>
      <c r="HZ897" s="319" t="s">
        <v>190</v>
      </c>
      <c r="IA897" s="319" t="s">
        <v>190</v>
      </c>
      <c r="IB897" s="319" t="s">
        <v>190</v>
      </c>
      <c r="IC897" s="319" t="s">
        <v>190</v>
      </c>
      <c r="ID897" s="319" t="s">
        <v>428</v>
      </c>
      <c r="IE897" s="319" t="s">
        <v>190</v>
      </c>
      <c r="IF897" s="319" t="s">
        <v>190</v>
      </c>
      <c r="IG897" s="319" t="s">
        <v>190</v>
      </c>
      <c r="IH897" s="319" t="s">
        <v>190</v>
      </c>
      <c r="II897" s="319" t="s">
        <v>190</v>
      </c>
      <c r="IJ897" s="319" t="s">
        <v>173</v>
      </c>
      <c r="IK897" s="319" t="s">
        <v>173</v>
      </c>
      <c r="IL897" s="319" t="s">
        <v>173</v>
      </c>
      <c r="IM897" s="319" t="s">
        <v>173</v>
      </c>
      <c r="IN897" s="319" t="s">
        <v>173</v>
      </c>
      <c r="IO897" s="319" t="s">
        <v>173</v>
      </c>
      <c r="IP897" s="319" t="s">
        <v>173</v>
      </c>
      <c r="IQ897" s="321" t="s">
        <v>173</v>
      </c>
      <c r="IR897" s="320" t="s">
        <v>173</v>
      </c>
      <c r="IS897" s="322" t="s">
        <v>173</v>
      </c>
      <c r="IT897" s="319" t="s">
        <v>173</v>
      </c>
    </row>
    <row r="898" spans="1:254" s="271" customFormat="1" x14ac:dyDescent="0.25">
      <c r="A898" s="318" t="str">
        <f>HYPERLINK("http://www.ofsted.gov.uk/inspection-reports/find-inspection-report/provider/ELS/143928 ","Ofsted School Webpage")</f>
        <v>Ofsted School Webpage</v>
      </c>
      <c r="B898" s="319">
        <v>143928</v>
      </c>
      <c r="C898" s="319">
        <v>8616014</v>
      </c>
      <c r="D898" s="319" t="s">
        <v>2424</v>
      </c>
      <c r="E898" s="319" t="s">
        <v>167</v>
      </c>
      <c r="F898" s="319" t="s">
        <v>81</v>
      </c>
      <c r="G898" s="319" t="s">
        <v>81</v>
      </c>
      <c r="H898" s="319" t="s">
        <v>81</v>
      </c>
      <c r="I898" s="319" t="s">
        <v>78</v>
      </c>
      <c r="J898" s="319" t="s">
        <v>424</v>
      </c>
      <c r="K898" s="319" t="s">
        <v>437</v>
      </c>
      <c r="L898" s="319" t="s">
        <v>437</v>
      </c>
      <c r="M898" s="319" t="s">
        <v>580</v>
      </c>
      <c r="N898" s="319" t="s">
        <v>3452</v>
      </c>
      <c r="O898" s="319" t="s">
        <v>2425</v>
      </c>
      <c r="P898" s="319">
        <v>14</v>
      </c>
      <c r="Q898" s="319" t="s">
        <v>2776</v>
      </c>
      <c r="R898" s="320">
        <v>10041369</v>
      </c>
      <c r="S898" s="321">
        <v>43130</v>
      </c>
      <c r="T898" s="321">
        <v>43132</v>
      </c>
      <c r="U898" s="321">
        <v>43172</v>
      </c>
      <c r="V898" s="319" t="s">
        <v>435</v>
      </c>
      <c r="W898" s="319" t="s">
        <v>2767</v>
      </c>
      <c r="X898" s="319">
        <v>2</v>
      </c>
      <c r="Y898" s="319" t="s">
        <v>173</v>
      </c>
      <c r="Z898" s="319" t="s">
        <v>173</v>
      </c>
      <c r="AA898" s="319" t="s">
        <v>173</v>
      </c>
      <c r="AB898" s="319">
        <v>2</v>
      </c>
      <c r="AC898" s="319" t="s">
        <v>169</v>
      </c>
      <c r="AD898" s="319" t="s">
        <v>173</v>
      </c>
      <c r="AE898" s="319" t="s">
        <v>173</v>
      </c>
      <c r="AF898" s="319" t="s">
        <v>427</v>
      </c>
      <c r="AG898" s="319" t="s">
        <v>171</v>
      </c>
      <c r="AH898" s="319" t="s">
        <v>190</v>
      </c>
      <c r="AI898" s="319" t="s">
        <v>190</v>
      </c>
      <c r="AJ898" s="319" t="s">
        <v>190</v>
      </c>
      <c r="AK898" s="319" t="s">
        <v>190</v>
      </c>
      <c r="AL898" s="319" t="s">
        <v>190</v>
      </c>
      <c r="AM898" s="319" t="s">
        <v>190</v>
      </c>
      <c r="AN898" s="319" t="s">
        <v>190</v>
      </c>
      <c r="AO898" s="319" t="s">
        <v>190</v>
      </c>
      <c r="AP898" s="319" t="s">
        <v>190</v>
      </c>
      <c r="AQ898" s="319" t="s">
        <v>190</v>
      </c>
      <c r="AR898" s="319" t="s">
        <v>190</v>
      </c>
      <c r="AS898" s="319" t="s">
        <v>190</v>
      </c>
      <c r="AT898" s="319" t="s">
        <v>190</v>
      </c>
      <c r="AU898" s="319" t="s">
        <v>190</v>
      </c>
      <c r="AV898" s="319" t="s">
        <v>190</v>
      </c>
      <c r="AW898" s="319" t="s">
        <v>190</v>
      </c>
      <c r="AX898" s="319" t="s">
        <v>428</v>
      </c>
      <c r="AY898" s="319" t="s">
        <v>190</v>
      </c>
      <c r="AZ898" s="319" t="s">
        <v>190</v>
      </c>
      <c r="BA898" s="319" t="s">
        <v>190</v>
      </c>
      <c r="BB898" s="319" t="s">
        <v>190</v>
      </c>
      <c r="BC898" s="319" t="s">
        <v>190</v>
      </c>
      <c r="BD898" s="319" t="s">
        <v>190</v>
      </c>
      <c r="BE898" s="319" t="s">
        <v>190</v>
      </c>
      <c r="BF898" s="319" t="s">
        <v>428</v>
      </c>
      <c r="BG898" s="319" t="s">
        <v>428</v>
      </c>
      <c r="BH898" s="319" t="s">
        <v>190</v>
      </c>
      <c r="BI898" s="319" t="s">
        <v>190</v>
      </c>
      <c r="BJ898" s="319" t="s">
        <v>190</v>
      </c>
      <c r="BK898" s="319" t="s">
        <v>190</v>
      </c>
      <c r="BL898" s="319" t="s">
        <v>190</v>
      </c>
      <c r="BM898" s="319" t="s">
        <v>190</v>
      </c>
      <c r="BN898" s="319" t="s">
        <v>190</v>
      </c>
      <c r="BO898" s="319" t="s">
        <v>190</v>
      </c>
      <c r="BP898" s="319" t="s">
        <v>190</v>
      </c>
      <c r="BQ898" s="319" t="s">
        <v>190</v>
      </c>
      <c r="BR898" s="319" t="s">
        <v>190</v>
      </c>
      <c r="BS898" s="319" t="s">
        <v>190</v>
      </c>
      <c r="BT898" s="319" t="s">
        <v>190</v>
      </c>
      <c r="BU898" s="319" t="s">
        <v>190</v>
      </c>
      <c r="BV898" s="319" t="s">
        <v>190</v>
      </c>
      <c r="BW898" s="319" t="s">
        <v>190</v>
      </c>
      <c r="BX898" s="319" t="s">
        <v>190</v>
      </c>
      <c r="BY898" s="319" t="s">
        <v>190</v>
      </c>
      <c r="BZ898" s="319" t="s">
        <v>190</v>
      </c>
      <c r="CA898" s="319" t="s">
        <v>190</v>
      </c>
      <c r="CB898" s="319" t="s">
        <v>190</v>
      </c>
      <c r="CC898" s="319" t="s">
        <v>190</v>
      </c>
      <c r="CD898" s="319" t="s">
        <v>190</v>
      </c>
      <c r="CE898" s="319" t="s">
        <v>190</v>
      </c>
      <c r="CF898" s="319" t="s">
        <v>190</v>
      </c>
      <c r="CG898" s="319" t="s">
        <v>190</v>
      </c>
      <c r="CH898" s="319" t="s">
        <v>190</v>
      </c>
      <c r="CI898" s="319" t="s">
        <v>190</v>
      </c>
      <c r="CJ898" s="319" t="s">
        <v>190</v>
      </c>
      <c r="CK898" s="319" t="s">
        <v>190</v>
      </c>
      <c r="CL898" s="319" t="s">
        <v>190</v>
      </c>
      <c r="CM898" s="319" t="s">
        <v>190</v>
      </c>
      <c r="CN898" s="319" t="s">
        <v>428</v>
      </c>
      <c r="CO898" s="319" t="s">
        <v>428</v>
      </c>
      <c r="CP898" s="319" t="s">
        <v>428</v>
      </c>
      <c r="CQ898" s="319" t="s">
        <v>190</v>
      </c>
      <c r="CR898" s="319" t="s">
        <v>190</v>
      </c>
      <c r="CS898" s="319" t="s">
        <v>190</v>
      </c>
      <c r="CT898" s="319" t="s">
        <v>190</v>
      </c>
      <c r="CU898" s="319" t="s">
        <v>190</v>
      </c>
      <c r="CV898" s="319" t="s">
        <v>190</v>
      </c>
      <c r="CW898" s="319" t="s">
        <v>190</v>
      </c>
      <c r="CX898" s="319" t="s">
        <v>190</v>
      </c>
      <c r="CY898" s="319" t="s">
        <v>190</v>
      </c>
      <c r="CZ898" s="319" t="s">
        <v>190</v>
      </c>
      <c r="DA898" s="319" t="s">
        <v>190</v>
      </c>
      <c r="DB898" s="319" t="s">
        <v>190</v>
      </c>
      <c r="DC898" s="319" t="s">
        <v>190</v>
      </c>
      <c r="DD898" s="319" t="s">
        <v>190</v>
      </c>
      <c r="DE898" s="319" t="s">
        <v>190</v>
      </c>
      <c r="DF898" s="319" t="s">
        <v>190</v>
      </c>
      <c r="DG898" s="319" t="s">
        <v>190</v>
      </c>
      <c r="DH898" s="319" t="s">
        <v>190</v>
      </c>
      <c r="DI898" s="319" t="s">
        <v>190</v>
      </c>
      <c r="DJ898" s="319" t="s">
        <v>190</v>
      </c>
      <c r="DK898" s="319" t="s">
        <v>190</v>
      </c>
      <c r="DL898" s="319" t="s">
        <v>190</v>
      </c>
      <c r="DM898" s="319" t="s">
        <v>190</v>
      </c>
      <c r="DN898" s="319" t="s">
        <v>190</v>
      </c>
      <c r="DO898" s="319" t="s">
        <v>190</v>
      </c>
      <c r="DP898" s="319" t="s">
        <v>190</v>
      </c>
      <c r="DQ898" s="319" t="s">
        <v>190</v>
      </c>
      <c r="DR898" s="319" t="s">
        <v>190</v>
      </c>
      <c r="DS898" s="319" t="s">
        <v>190</v>
      </c>
      <c r="DT898" s="319" t="s">
        <v>190</v>
      </c>
      <c r="DU898" s="319" t="s">
        <v>190</v>
      </c>
      <c r="DV898" s="319" t="s">
        <v>173</v>
      </c>
      <c r="DW898" s="319" t="s">
        <v>190</v>
      </c>
      <c r="DX898" s="319" t="s">
        <v>190</v>
      </c>
      <c r="DY898" s="319" t="s">
        <v>190</v>
      </c>
      <c r="DZ898" s="319" t="s">
        <v>190</v>
      </c>
      <c r="EA898" s="319" t="s">
        <v>190</v>
      </c>
      <c r="EB898" s="319" t="s">
        <v>190</v>
      </c>
      <c r="EC898" s="319" t="s">
        <v>190</v>
      </c>
      <c r="ED898" s="319" t="s">
        <v>190</v>
      </c>
      <c r="EE898" s="319" t="s">
        <v>190</v>
      </c>
      <c r="EF898" s="319" t="s">
        <v>190</v>
      </c>
      <c r="EG898" s="319" t="s">
        <v>190</v>
      </c>
      <c r="EH898" s="319" t="s">
        <v>190</v>
      </c>
      <c r="EI898" s="319" t="s">
        <v>190</v>
      </c>
      <c r="EJ898" s="319" t="s">
        <v>190</v>
      </c>
      <c r="EK898" s="319" t="s">
        <v>190</v>
      </c>
      <c r="EL898" s="319" t="s">
        <v>190</v>
      </c>
      <c r="EM898" s="319" t="s">
        <v>190</v>
      </c>
      <c r="EN898" s="319" t="s">
        <v>190</v>
      </c>
      <c r="EO898" s="319" t="s">
        <v>190</v>
      </c>
      <c r="EP898" s="319" t="s">
        <v>190</v>
      </c>
      <c r="EQ898" s="319" t="s">
        <v>190</v>
      </c>
      <c r="ER898" s="319" t="s">
        <v>190</v>
      </c>
      <c r="ES898" s="319" t="s">
        <v>190</v>
      </c>
      <c r="ET898" s="319" t="s">
        <v>190</v>
      </c>
      <c r="EU898" s="319" t="s">
        <v>190</v>
      </c>
      <c r="EV898" s="319" t="s">
        <v>190</v>
      </c>
      <c r="EW898" s="319" t="s">
        <v>190</v>
      </c>
      <c r="EX898" s="319" t="s">
        <v>190</v>
      </c>
      <c r="EY898" s="319" t="s">
        <v>190</v>
      </c>
      <c r="EZ898" s="319" t="s">
        <v>190</v>
      </c>
      <c r="FA898" s="319" t="s">
        <v>190</v>
      </c>
      <c r="FB898" s="319" t="s">
        <v>190</v>
      </c>
      <c r="FC898" s="319" t="s">
        <v>190</v>
      </c>
      <c r="FD898" s="319" t="s">
        <v>190</v>
      </c>
      <c r="FE898" s="319" t="s">
        <v>190</v>
      </c>
      <c r="FF898" s="319" t="s">
        <v>190</v>
      </c>
      <c r="FG898" s="319" t="s">
        <v>190</v>
      </c>
      <c r="FH898" s="319" t="s">
        <v>190</v>
      </c>
      <c r="FI898" s="319" t="s">
        <v>190</v>
      </c>
      <c r="FJ898" s="319" t="s">
        <v>190</v>
      </c>
      <c r="FK898" s="319" t="s">
        <v>190</v>
      </c>
      <c r="FL898" s="319" t="s">
        <v>190</v>
      </c>
      <c r="FM898" s="319" t="s">
        <v>190</v>
      </c>
      <c r="FN898" s="319" t="s">
        <v>190</v>
      </c>
      <c r="FO898" s="319" t="s">
        <v>190</v>
      </c>
      <c r="FP898" s="319" t="s">
        <v>190</v>
      </c>
      <c r="FQ898" s="319" t="s">
        <v>190</v>
      </c>
      <c r="FR898" s="319" t="s">
        <v>190</v>
      </c>
      <c r="FS898" s="319" t="s">
        <v>428</v>
      </c>
      <c r="FT898" s="319" t="s">
        <v>428</v>
      </c>
      <c r="FU898" s="319" t="s">
        <v>190</v>
      </c>
      <c r="FV898" s="319" t="s">
        <v>190</v>
      </c>
      <c r="FW898" s="319" t="s">
        <v>190</v>
      </c>
      <c r="FX898" s="319" t="s">
        <v>190</v>
      </c>
      <c r="FY898" s="319" t="s">
        <v>190</v>
      </c>
      <c r="FZ898" s="319" t="s">
        <v>190</v>
      </c>
      <c r="GA898" s="319" t="s">
        <v>190</v>
      </c>
      <c r="GB898" s="319" t="s">
        <v>190</v>
      </c>
      <c r="GC898" s="319" t="s">
        <v>190</v>
      </c>
      <c r="GD898" s="319" t="s">
        <v>190</v>
      </c>
      <c r="GE898" s="319" t="s">
        <v>190</v>
      </c>
      <c r="GF898" s="319" t="s">
        <v>190</v>
      </c>
      <c r="GG898" s="319" t="s">
        <v>190</v>
      </c>
      <c r="GH898" s="319" t="s">
        <v>190</v>
      </c>
      <c r="GI898" s="319" t="s">
        <v>190</v>
      </c>
      <c r="GJ898" s="319" t="s">
        <v>190</v>
      </c>
      <c r="GK898" s="319" t="s">
        <v>428</v>
      </c>
      <c r="GL898" s="319" t="s">
        <v>190</v>
      </c>
      <c r="GM898" s="319" t="s">
        <v>190</v>
      </c>
      <c r="GN898" s="319" t="s">
        <v>190</v>
      </c>
      <c r="GO898" s="319" t="s">
        <v>190</v>
      </c>
      <c r="GP898" s="319" t="s">
        <v>190</v>
      </c>
      <c r="GQ898" s="319" t="s">
        <v>190</v>
      </c>
      <c r="GR898" s="319" t="s">
        <v>190</v>
      </c>
      <c r="GS898" s="319" t="s">
        <v>190</v>
      </c>
      <c r="GT898" s="319" t="s">
        <v>190</v>
      </c>
      <c r="GU898" s="319" t="s">
        <v>190</v>
      </c>
      <c r="GV898" s="319" t="s">
        <v>190</v>
      </c>
      <c r="GW898" s="319" t="s">
        <v>190</v>
      </c>
      <c r="GX898" s="319" t="s">
        <v>190</v>
      </c>
      <c r="GY898" s="319" t="s">
        <v>190</v>
      </c>
      <c r="GZ898" s="319" t="s">
        <v>190</v>
      </c>
      <c r="HA898" s="319" t="s">
        <v>190</v>
      </c>
      <c r="HB898" s="319" t="s">
        <v>190</v>
      </c>
      <c r="HC898" s="319" t="s">
        <v>190</v>
      </c>
      <c r="HD898" s="319" t="s">
        <v>190</v>
      </c>
      <c r="HE898" s="319" t="s">
        <v>190</v>
      </c>
      <c r="HF898" s="319" t="s">
        <v>190</v>
      </c>
      <c r="HG898" s="319" t="s">
        <v>190</v>
      </c>
      <c r="HH898" s="319" t="s">
        <v>190</v>
      </c>
      <c r="HI898" s="319" t="s">
        <v>190</v>
      </c>
      <c r="HJ898" s="319" t="s">
        <v>190</v>
      </c>
      <c r="HK898" s="319" t="s">
        <v>190</v>
      </c>
      <c r="HL898" s="319" t="s">
        <v>190</v>
      </c>
      <c r="HM898" s="319" t="s">
        <v>428</v>
      </c>
      <c r="HN898" s="319" t="s">
        <v>428</v>
      </c>
      <c r="HO898" s="319" t="s">
        <v>428</v>
      </c>
      <c r="HP898" s="319" t="s">
        <v>190</v>
      </c>
      <c r="HQ898" s="319" t="s">
        <v>190</v>
      </c>
      <c r="HR898" s="319" t="s">
        <v>190</v>
      </c>
      <c r="HS898" s="319" t="s">
        <v>190</v>
      </c>
      <c r="HT898" s="319" t="s">
        <v>190</v>
      </c>
      <c r="HU898" s="319" t="s">
        <v>190</v>
      </c>
      <c r="HV898" s="319" t="s">
        <v>190</v>
      </c>
      <c r="HW898" s="319" t="s">
        <v>190</v>
      </c>
      <c r="HX898" s="319" t="s">
        <v>190</v>
      </c>
      <c r="HY898" s="319" t="s">
        <v>190</v>
      </c>
      <c r="HZ898" s="319" t="s">
        <v>190</v>
      </c>
      <c r="IA898" s="319" t="s">
        <v>190</v>
      </c>
      <c r="IB898" s="319" t="s">
        <v>190</v>
      </c>
      <c r="IC898" s="319" t="s">
        <v>190</v>
      </c>
      <c r="ID898" s="319" t="s">
        <v>190</v>
      </c>
      <c r="IE898" s="319" t="s">
        <v>190</v>
      </c>
      <c r="IF898" s="319" t="s">
        <v>190</v>
      </c>
      <c r="IG898" s="319" t="s">
        <v>190</v>
      </c>
      <c r="IH898" s="319" t="s">
        <v>190</v>
      </c>
      <c r="II898" s="319" t="s">
        <v>190</v>
      </c>
      <c r="IJ898" s="319" t="s">
        <v>173</v>
      </c>
      <c r="IK898" s="319" t="s">
        <v>173</v>
      </c>
      <c r="IL898" s="319" t="s">
        <v>173</v>
      </c>
      <c r="IM898" s="319" t="s">
        <v>173</v>
      </c>
      <c r="IN898" s="319" t="s">
        <v>173</v>
      </c>
      <c r="IO898" s="319" t="s">
        <v>173</v>
      </c>
      <c r="IP898" s="319" t="s">
        <v>173</v>
      </c>
      <c r="IQ898" s="319" t="s">
        <v>173</v>
      </c>
      <c r="IR898" s="320" t="s">
        <v>173</v>
      </c>
      <c r="IS898" s="320" t="s">
        <v>173</v>
      </c>
      <c r="IT898" s="319" t="s">
        <v>173</v>
      </c>
    </row>
    <row r="899" spans="1:254" s="271" customFormat="1" x14ac:dyDescent="0.25">
      <c r="A899" s="318" t="str">
        <f>HYPERLINK("http://www.ofsted.gov.uk/inspection-reports/find-inspection-report/provider/ELS/143930 ","Ofsted School Webpage")</f>
        <v>Ofsted School Webpage</v>
      </c>
      <c r="B899" s="319">
        <v>143930</v>
      </c>
      <c r="C899" s="319">
        <v>8956004</v>
      </c>
      <c r="D899" s="319" t="s">
        <v>2426</v>
      </c>
      <c r="E899" s="319" t="s">
        <v>167</v>
      </c>
      <c r="F899" s="319" t="s">
        <v>81</v>
      </c>
      <c r="G899" s="319" t="s">
        <v>81</v>
      </c>
      <c r="H899" s="319" t="s">
        <v>81</v>
      </c>
      <c r="I899" s="319" t="s">
        <v>78</v>
      </c>
      <c r="J899" s="319" t="s">
        <v>424</v>
      </c>
      <c r="K899" s="319" t="s">
        <v>431</v>
      </c>
      <c r="L899" s="319" t="s">
        <v>431</v>
      </c>
      <c r="M899" s="319" t="s">
        <v>880</v>
      </c>
      <c r="N899" s="319" t="s">
        <v>3050</v>
      </c>
      <c r="O899" s="319" t="s">
        <v>2427</v>
      </c>
      <c r="P899" s="319">
        <v>23</v>
      </c>
      <c r="Q899" s="319" t="s">
        <v>2766</v>
      </c>
      <c r="R899" s="320">
        <v>10043790</v>
      </c>
      <c r="S899" s="321">
        <v>43270</v>
      </c>
      <c r="T899" s="321">
        <v>43272</v>
      </c>
      <c r="U899" s="321">
        <v>43301</v>
      </c>
      <c r="V899" s="319" t="s">
        <v>435</v>
      </c>
      <c r="W899" s="319" t="s">
        <v>2767</v>
      </c>
      <c r="X899" s="319">
        <v>3</v>
      </c>
      <c r="Y899" s="319" t="s">
        <v>173</v>
      </c>
      <c r="Z899" s="319" t="s">
        <v>173</v>
      </c>
      <c r="AA899" s="319" t="s">
        <v>173</v>
      </c>
      <c r="AB899" s="319">
        <v>3</v>
      </c>
      <c r="AC899" s="319" t="s">
        <v>169</v>
      </c>
      <c r="AD899" s="319" t="s">
        <v>173</v>
      </c>
      <c r="AE899" s="319" t="s">
        <v>173</v>
      </c>
      <c r="AF899" s="319" t="s">
        <v>427</v>
      </c>
      <c r="AG899" s="319" t="s">
        <v>171</v>
      </c>
      <c r="AH899" s="319" t="s">
        <v>190</v>
      </c>
      <c r="AI899" s="319" t="s">
        <v>190</v>
      </c>
      <c r="AJ899" s="319" t="s">
        <v>190</v>
      </c>
      <c r="AK899" s="319" t="s">
        <v>190</v>
      </c>
      <c r="AL899" s="319" t="s">
        <v>190</v>
      </c>
      <c r="AM899" s="319" t="s">
        <v>190</v>
      </c>
      <c r="AN899" s="319" t="s">
        <v>190</v>
      </c>
      <c r="AO899" s="319" t="s">
        <v>190</v>
      </c>
      <c r="AP899" s="319" t="s">
        <v>190</v>
      </c>
      <c r="AQ899" s="319" t="s">
        <v>190</v>
      </c>
      <c r="AR899" s="319" t="s">
        <v>190</v>
      </c>
      <c r="AS899" s="319" t="s">
        <v>190</v>
      </c>
      <c r="AT899" s="319" t="s">
        <v>190</v>
      </c>
      <c r="AU899" s="319" t="s">
        <v>190</v>
      </c>
      <c r="AV899" s="319" t="s">
        <v>190</v>
      </c>
      <c r="AW899" s="319" t="s">
        <v>190</v>
      </c>
      <c r="AX899" s="319" t="s">
        <v>428</v>
      </c>
      <c r="AY899" s="319" t="s">
        <v>190</v>
      </c>
      <c r="AZ899" s="319" t="s">
        <v>190</v>
      </c>
      <c r="BA899" s="319" t="s">
        <v>190</v>
      </c>
      <c r="BB899" s="319" t="s">
        <v>190</v>
      </c>
      <c r="BC899" s="319" t="s">
        <v>190</v>
      </c>
      <c r="BD899" s="319" t="s">
        <v>190</v>
      </c>
      <c r="BE899" s="319" t="s">
        <v>190</v>
      </c>
      <c r="BF899" s="319" t="s">
        <v>428</v>
      </c>
      <c r="BG899" s="319" t="s">
        <v>428</v>
      </c>
      <c r="BH899" s="319" t="s">
        <v>190</v>
      </c>
      <c r="BI899" s="319" t="s">
        <v>190</v>
      </c>
      <c r="BJ899" s="319" t="s">
        <v>190</v>
      </c>
      <c r="BK899" s="319" t="s">
        <v>190</v>
      </c>
      <c r="BL899" s="319" t="s">
        <v>190</v>
      </c>
      <c r="BM899" s="319" t="s">
        <v>190</v>
      </c>
      <c r="BN899" s="319" t="s">
        <v>190</v>
      </c>
      <c r="BO899" s="319" t="s">
        <v>190</v>
      </c>
      <c r="BP899" s="319" t="s">
        <v>190</v>
      </c>
      <c r="BQ899" s="319" t="s">
        <v>190</v>
      </c>
      <c r="BR899" s="319" t="s">
        <v>190</v>
      </c>
      <c r="BS899" s="319" t="s">
        <v>190</v>
      </c>
      <c r="BT899" s="319" t="s">
        <v>190</v>
      </c>
      <c r="BU899" s="319" t="s">
        <v>190</v>
      </c>
      <c r="BV899" s="319" t="s">
        <v>190</v>
      </c>
      <c r="BW899" s="319" t="s">
        <v>190</v>
      </c>
      <c r="BX899" s="319" t="s">
        <v>190</v>
      </c>
      <c r="BY899" s="319" t="s">
        <v>190</v>
      </c>
      <c r="BZ899" s="319" t="s">
        <v>190</v>
      </c>
      <c r="CA899" s="319" t="s">
        <v>190</v>
      </c>
      <c r="CB899" s="319" t="s">
        <v>190</v>
      </c>
      <c r="CC899" s="319" t="s">
        <v>190</v>
      </c>
      <c r="CD899" s="319" t="s">
        <v>190</v>
      </c>
      <c r="CE899" s="319" t="s">
        <v>190</v>
      </c>
      <c r="CF899" s="319" t="s">
        <v>190</v>
      </c>
      <c r="CG899" s="319" t="s">
        <v>190</v>
      </c>
      <c r="CH899" s="319" t="s">
        <v>190</v>
      </c>
      <c r="CI899" s="319" t="s">
        <v>190</v>
      </c>
      <c r="CJ899" s="319" t="s">
        <v>190</v>
      </c>
      <c r="CK899" s="319" t="s">
        <v>190</v>
      </c>
      <c r="CL899" s="319" t="s">
        <v>190</v>
      </c>
      <c r="CM899" s="319" t="s">
        <v>190</v>
      </c>
      <c r="CN899" s="319" t="s">
        <v>428</v>
      </c>
      <c r="CO899" s="319" t="s">
        <v>428</v>
      </c>
      <c r="CP899" s="319" t="s">
        <v>428</v>
      </c>
      <c r="CQ899" s="319" t="s">
        <v>190</v>
      </c>
      <c r="CR899" s="319" t="s">
        <v>190</v>
      </c>
      <c r="CS899" s="319" t="s">
        <v>190</v>
      </c>
      <c r="CT899" s="319" t="s">
        <v>190</v>
      </c>
      <c r="CU899" s="319" t="s">
        <v>190</v>
      </c>
      <c r="CV899" s="319" t="s">
        <v>190</v>
      </c>
      <c r="CW899" s="319" t="s">
        <v>190</v>
      </c>
      <c r="CX899" s="319" t="s">
        <v>190</v>
      </c>
      <c r="CY899" s="319" t="s">
        <v>190</v>
      </c>
      <c r="CZ899" s="319" t="s">
        <v>190</v>
      </c>
      <c r="DA899" s="319" t="s">
        <v>190</v>
      </c>
      <c r="DB899" s="319" t="s">
        <v>190</v>
      </c>
      <c r="DC899" s="319" t="s">
        <v>190</v>
      </c>
      <c r="DD899" s="319" t="s">
        <v>190</v>
      </c>
      <c r="DE899" s="319" t="s">
        <v>190</v>
      </c>
      <c r="DF899" s="319" t="s">
        <v>190</v>
      </c>
      <c r="DG899" s="319" t="s">
        <v>190</v>
      </c>
      <c r="DH899" s="319" t="s">
        <v>190</v>
      </c>
      <c r="DI899" s="319" t="s">
        <v>190</v>
      </c>
      <c r="DJ899" s="319" t="s">
        <v>190</v>
      </c>
      <c r="DK899" s="319" t="s">
        <v>190</v>
      </c>
      <c r="DL899" s="319" t="s">
        <v>190</v>
      </c>
      <c r="DM899" s="319" t="s">
        <v>190</v>
      </c>
      <c r="DN899" s="319" t="s">
        <v>428</v>
      </c>
      <c r="DO899" s="319" t="s">
        <v>190</v>
      </c>
      <c r="DP899" s="319" t="s">
        <v>190</v>
      </c>
      <c r="DQ899" s="319" t="s">
        <v>190</v>
      </c>
      <c r="DR899" s="319" t="s">
        <v>190</v>
      </c>
      <c r="DS899" s="319" t="s">
        <v>190</v>
      </c>
      <c r="DT899" s="319" t="s">
        <v>190</v>
      </c>
      <c r="DU899" s="319" t="s">
        <v>190</v>
      </c>
      <c r="DV899" s="319" t="s">
        <v>173</v>
      </c>
      <c r="DW899" s="319" t="s">
        <v>190</v>
      </c>
      <c r="DX899" s="319" t="s">
        <v>190</v>
      </c>
      <c r="DY899" s="319" t="s">
        <v>190</v>
      </c>
      <c r="DZ899" s="319" t="s">
        <v>190</v>
      </c>
      <c r="EA899" s="319" t="s">
        <v>190</v>
      </c>
      <c r="EB899" s="319" t="s">
        <v>190</v>
      </c>
      <c r="EC899" s="319" t="s">
        <v>428</v>
      </c>
      <c r="ED899" s="319" t="s">
        <v>190</v>
      </c>
      <c r="EE899" s="319" t="s">
        <v>190</v>
      </c>
      <c r="EF899" s="319" t="s">
        <v>190</v>
      </c>
      <c r="EG899" s="319" t="s">
        <v>190</v>
      </c>
      <c r="EH899" s="319" t="s">
        <v>190</v>
      </c>
      <c r="EI899" s="319" t="s">
        <v>190</v>
      </c>
      <c r="EJ899" s="319" t="s">
        <v>190</v>
      </c>
      <c r="EK899" s="319" t="s">
        <v>190</v>
      </c>
      <c r="EL899" s="319" t="s">
        <v>190</v>
      </c>
      <c r="EM899" s="319" t="s">
        <v>190</v>
      </c>
      <c r="EN899" s="319" t="s">
        <v>190</v>
      </c>
      <c r="EO899" s="319" t="s">
        <v>190</v>
      </c>
      <c r="EP899" s="319" t="s">
        <v>190</v>
      </c>
      <c r="EQ899" s="319" t="s">
        <v>190</v>
      </c>
      <c r="ER899" s="319" t="s">
        <v>190</v>
      </c>
      <c r="ES899" s="319" t="s">
        <v>190</v>
      </c>
      <c r="ET899" s="319" t="s">
        <v>190</v>
      </c>
      <c r="EU899" s="319" t="s">
        <v>190</v>
      </c>
      <c r="EV899" s="319" t="s">
        <v>190</v>
      </c>
      <c r="EW899" s="319" t="s">
        <v>190</v>
      </c>
      <c r="EX899" s="319" t="s">
        <v>190</v>
      </c>
      <c r="EY899" s="319" t="s">
        <v>190</v>
      </c>
      <c r="EZ899" s="319" t="s">
        <v>190</v>
      </c>
      <c r="FA899" s="319" t="s">
        <v>190</v>
      </c>
      <c r="FB899" s="319" t="s">
        <v>190</v>
      </c>
      <c r="FC899" s="319" t="s">
        <v>190</v>
      </c>
      <c r="FD899" s="319" t="s">
        <v>190</v>
      </c>
      <c r="FE899" s="319" t="s">
        <v>190</v>
      </c>
      <c r="FF899" s="319" t="s">
        <v>190</v>
      </c>
      <c r="FG899" s="319" t="s">
        <v>190</v>
      </c>
      <c r="FH899" s="319" t="s">
        <v>190</v>
      </c>
      <c r="FI899" s="319" t="s">
        <v>190</v>
      </c>
      <c r="FJ899" s="319" t="s">
        <v>190</v>
      </c>
      <c r="FK899" s="319" t="s">
        <v>190</v>
      </c>
      <c r="FL899" s="319" t="s">
        <v>190</v>
      </c>
      <c r="FM899" s="319" t="s">
        <v>190</v>
      </c>
      <c r="FN899" s="319" t="s">
        <v>190</v>
      </c>
      <c r="FO899" s="319" t="s">
        <v>190</v>
      </c>
      <c r="FP899" s="319" t="s">
        <v>190</v>
      </c>
      <c r="FQ899" s="319" t="s">
        <v>190</v>
      </c>
      <c r="FR899" s="319" t="s">
        <v>190</v>
      </c>
      <c r="FS899" s="319" t="s">
        <v>428</v>
      </c>
      <c r="FT899" s="319" t="s">
        <v>190</v>
      </c>
      <c r="FU899" s="319" t="s">
        <v>190</v>
      </c>
      <c r="FV899" s="319" t="s">
        <v>190</v>
      </c>
      <c r="FW899" s="319" t="s">
        <v>190</v>
      </c>
      <c r="FX899" s="319" t="s">
        <v>190</v>
      </c>
      <c r="FY899" s="319" t="s">
        <v>190</v>
      </c>
      <c r="FZ899" s="319" t="s">
        <v>190</v>
      </c>
      <c r="GA899" s="319" t="s">
        <v>190</v>
      </c>
      <c r="GB899" s="319" t="s">
        <v>190</v>
      </c>
      <c r="GC899" s="319" t="s">
        <v>190</v>
      </c>
      <c r="GD899" s="319" t="s">
        <v>190</v>
      </c>
      <c r="GE899" s="319" t="s">
        <v>190</v>
      </c>
      <c r="GF899" s="319" t="s">
        <v>190</v>
      </c>
      <c r="GG899" s="319" t="s">
        <v>190</v>
      </c>
      <c r="GH899" s="319" t="s">
        <v>190</v>
      </c>
      <c r="GI899" s="319" t="s">
        <v>190</v>
      </c>
      <c r="GJ899" s="319" t="s">
        <v>190</v>
      </c>
      <c r="GK899" s="319" t="s">
        <v>428</v>
      </c>
      <c r="GL899" s="319" t="s">
        <v>190</v>
      </c>
      <c r="GM899" s="319" t="s">
        <v>190</v>
      </c>
      <c r="GN899" s="319" t="s">
        <v>190</v>
      </c>
      <c r="GO899" s="319" t="s">
        <v>190</v>
      </c>
      <c r="GP899" s="319" t="s">
        <v>190</v>
      </c>
      <c r="GQ899" s="319" t="s">
        <v>428</v>
      </c>
      <c r="GR899" s="319" t="s">
        <v>190</v>
      </c>
      <c r="GS899" s="319" t="s">
        <v>190</v>
      </c>
      <c r="GT899" s="319" t="s">
        <v>190</v>
      </c>
      <c r="GU899" s="319" t="s">
        <v>190</v>
      </c>
      <c r="GV899" s="319" t="s">
        <v>190</v>
      </c>
      <c r="GW899" s="319" t="s">
        <v>190</v>
      </c>
      <c r="GX899" s="319" t="s">
        <v>190</v>
      </c>
      <c r="GY899" s="319" t="s">
        <v>190</v>
      </c>
      <c r="GZ899" s="319" t="s">
        <v>190</v>
      </c>
      <c r="HA899" s="319" t="s">
        <v>190</v>
      </c>
      <c r="HB899" s="319" t="s">
        <v>190</v>
      </c>
      <c r="HC899" s="319" t="s">
        <v>190</v>
      </c>
      <c r="HD899" s="319" t="s">
        <v>190</v>
      </c>
      <c r="HE899" s="319" t="s">
        <v>190</v>
      </c>
      <c r="HF899" s="319" t="s">
        <v>190</v>
      </c>
      <c r="HG899" s="319" t="s">
        <v>190</v>
      </c>
      <c r="HH899" s="319" t="s">
        <v>190</v>
      </c>
      <c r="HI899" s="319" t="s">
        <v>190</v>
      </c>
      <c r="HJ899" s="319" t="s">
        <v>190</v>
      </c>
      <c r="HK899" s="319" t="s">
        <v>190</v>
      </c>
      <c r="HL899" s="319" t="s">
        <v>190</v>
      </c>
      <c r="HM899" s="319" t="s">
        <v>190</v>
      </c>
      <c r="HN899" s="319" t="s">
        <v>190</v>
      </c>
      <c r="HO899" s="319" t="s">
        <v>190</v>
      </c>
      <c r="HP899" s="319" t="s">
        <v>190</v>
      </c>
      <c r="HQ899" s="319" t="s">
        <v>190</v>
      </c>
      <c r="HR899" s="319" t="s">
        <v>190</v>
      </c>
      <c r="HS899" s="319" t="s">
        <v>190</v>
      </c>
      <c r="HT899" s="319" t="s">
        <v>190</v>
      </c>
      <c r="HU899" s="319" t="s">
        <v>190</v>
      </c>
      <c r="HV899" s="319" t="s">
        <v>190</v>
      </c>
      <c r="HW899" s="319" t="s">
        <v>190</v>
      </c>
      <c r="HX899" s="319" t="s">
        <v>190</v>
      </c>
      <c r="HY899" s="319" t="s">
        <v>190</v>
      </c>
      <c r="HZ899" s="319" t="s">
        <v>190</v>
      </c>
      <c r="IA899" s="319" t="s">
        <v>190</v>
      </c>
      <c r="IB899" s="319" t="s">
        <v>190</v>
      </c>
      <c r="IC899" s="319" t="s">
        <v>190</v>
      </c>
      <c r="ID899" s="319" t="s">
        <v>190</v>
      </c>
      <c r="IE899" s="319" t="s">
        <v>190</v>
      </c>
      <c r="IF899" s="319" t="s">
        <v>190</v>
      </c>
      <c r="IG899" s="319" t="s">
        <v>190</v>
      </c>
      <c r="IH899" s="319" t="s">
        <v>190</v>
      </c>
      <c r="II899" s="319" t="s">
        <v>190</v>
      </c>
      <c r="IJ899" s="319" t="s">
        <v>173</v>
      </c>
      <c r="IK899" s="319" t="s">
        <v>173</v>
      </c>
      <c r="IL899" s="319" t="s">
        <v>173</v>
      </c>
      <c r="IM899" s="319" t="s">
        <v>173</v>
      </c>
      <c r="IN899" s="319" t="s">
        <v>173</v>
      </c>
      <c r="IO899" s="319" t="s">
        <v>173</v>
      </c>
      <c r="IP899" s="319" t="s">
        <v>173</v>
      </c>
      <c r="IQ899" s="319" t="s">
        <v>173</v>
      </c>
      <c r="IR899" s="320" t="s">
        <v>173</v>
      </c>
      <c r="IS899" s="320" t="s">
        <v>173</v>
      </c>
      <c r="IT899" s="319" t="s">
        <v>173</v>
      </c>
    </row>
    <row r="900" spans="1:254" s="271" customFormat="1" x14ac:dyDescent="0.25">
      <c r="A900" s="318" t="str">
        <f>HYPERLINK("http://www.ofsted.gov.uk/inspection-reports/find-inspection-report/provider/ELS/143932 ","Ofsted School Webpage")</f>
        <v>Ofsted School Webpage</v>
      </c>
      <c r="B900" s="319">
        <v>143932</v>
      </c>
      <c r="C900" s="319">
        <v>8606045</v>
      </c>
      <c r="D900" s="319" t="s">
        <v>2428</v>
      </c>
      <c r="E900" s="319" t="s">
        <v>168</v>
      </c>
      <c r="F900" s="319" t="s">
        <v>81</v>
      </c>
      <c r="G900" s="319" t="s">
        <v>81</v>
      </c>
      <c r="H900" s="319" t="s">
        <v>81</v>
      </c>
      <c r="I900" s="319" t="s">
        <v>78</v>
      </c>
      <c r="J900" s="319" t="s">
        <v>424</v>
      </c>
      <c r="K900" s="319" t="s">
        <v>437</v>
      </c>
      <c r="L900" s="319" t="s">
        <v>437</v>
      </c>
      <c r="M900" s="319" t="s">
        <v>577</v>
      </c>
      <c r="N900" s="319" t="s">
        <v>3452</v>
      </c>
      <c r="O900" s="319" t="s">
        <v>2429</v>
      </c>
      <c r="P900" s="319">
        <v>46</v>
      </c>
      <c r="Q900" s="319" t="s">
        <v>429</v>
      </c>
      <c r="R900" s="320">
        <v>10045269</v>
      </c>
      <c r="S900" s="321">
        <v>43277</v>
      </c>
      <c r="T900" s="321">
        <v>43279</v>
      </c>
      <c r="U900" s="321">
        <v>43361</v>
      </c>
      <c r="V900" s="319" t="s">
        <v>435</v>
      </c>
      <c r="W900" s="319" t="s">
        <v>2767</v>
      </c>
      <c r="X900" s="319">
        <v>1</v>
      </c>
      <c r="Y900" s="319" t="s">
        <v>173</v>
      </c>
      <c r="Z900" s="319" t="s">
        <v>173</v>
      </c>
      <c r="AA900" s="319" t="s">
        <v>173</v>
      </c>
      <c r="AB900" s="319">
        <v>1</v>
      </c>
      <c r="AC900" s="319" t="s">
        <v>169</v>
      </c>
      <c r="AD900" s="319" t="s">
        <v>173</v>
      </c>
      <c r="AE900" s="319" t="s">
        <v>173</v>
      </c>
      <c r="AF900" s="319" t="s">
        <v>427</v>
      </c>
      <c r="AG900" s="319" t="s">
        <v>171</v>
      </c>
      <c r="AH900" s="319" t="s">
        <v>190</v>
      </c>
      <c r="AI900" s="319" t="s">
        <v>190</v>
      </c>
      <c r="AJ900" s="319" t="s">
        <v>190</v>
      </c>
      <c r="AK900" s="319" t="s">
        <v>190</v>
      </c>
      <c r="AL900" s="319" t="s">
        <v>190</v>
      </c>
      <c r="AM900" s="319" t="s">
        <v>190</v>
      </c>
      <c r="AN900" s="319" t="s">
        <v>190</v>
      </c>
      <c r="AO900" s="319" t="s">
        <v>190</v>
      </c>
      <c r="AP900" s="319" t="s">
        <v>190</v>
      </c>
      <c r="AQ900" s="319" t="s">
        <v>190</v>
      </c>
      <c r="AR900" s="319" t="s">
        <v>190</v>
      </c>
      <c r="AS900" s="319" t="s">
        <v>190</v>
      </c>
      <c r="AT900" s="319" t="s">
        <v>190</v>
      </c>
      <c r="AU900" s="319" t="s">
        <v>190</v>
      </c>
      <c r="AV900" s="319" t="s">
        <v>190</v>
      </c>
      <c r="AW900" s="319" t="s">
        <v>190</v>
      </c>
      <c r="AX900" s="319" t="s">
        <v>428</v>
      </c>
      <c r="AY900" s="319" t="s">
        <v>190</v>
      </c>
      <c r="AZ900" s="319" t="s">
        <v>190</v>
      </c>
      <c r="BA900" s="319" t="s">
        <v>190</v>
      </c>
      <c r="BB900" s="319" t="s">
        <v>190</v>
      </c>
      <c r="BC900" s="319" t="s">
        <v>190</v>
      </c>
      <c r="BD900" s="319" t="s">
        <v>190</v>
      </c>
      <c r="BE900" s="319" t="s">
        <v>190</v>
      </c>
      <c r="BF900" s="319" t="s">
        <v>428</v>
      </c>
      <c r="BG900" s="319" t="s">
        <v>428</v>
      </c>
      <c r="BH900" s="319" t="s">
        <v>190</v>
      </c>
      <c r="BI900" s="319" t="s">
        <v>190</v>
      </c>
      <c r="BJ900" s="319" t="s">
        <v>190</v>
      </c>
      <c r="BK900" s="319" t="s">
        <v>190</v>
      </c>
      <c r="BL900" s="319" t="s">
        <v>190</v>
      </c>
      <c r="BM900" s="319" t="s">
        <v>190</v>
      </c>
      <c r="BN900" s="319" t="s">
        <v>190</v>
      </c>
      <c r="BO900" s="319" t="s">
        <v>190</v>
      </c>
      <c r="BP900" s="319" t="s">
        <v>190</v>
      </c>
      <c r="BQ900" s="319" t="s">
        <v>190</v>
      </c>
      <c r="BR900" s="319" t="s">
        <v>190</v>
      </c>
      <c r="BS900" s="319" t="s">
        <v>190</v>
      </c>
      <c r="BT900" s="319" t="s">
        <v>190</v>
      </c>
      <c r="BU900" s="319" t="s">
        <v>190</v>
      </c>
      <c r="BV900" s="319" t="s">
        <v>190</v>
      </c>
      <c r="BW900" s="319" t="s">
        <v>190</v>
      </c>
      <c r="BX900" s="319" t="s">
        <v>190</v>
      </c>
      <c r="BY900" s="319" t="s">
        <v>190</v>
      </c>
      <c r="BZ900" s="319" t="s">
        <v>190</v>
      </c>
      <c r="CA900" s="319" t="s">
        <v>190</v>
      </c>
      <c r="CB900" s="319" t="s">
        <v>190</v>
      </c>
      <c r="CC900" s="319" t="s">
        <v>190</v>
      </c>
      <c r="CD900" s="319" t="s">
        <v>190</v>
      </c>
      <c r="CE900" s="319" t="s">
        <v>190</v>
      </c>
      <c r="CF900" s="319" t="s">
        <v>190</v>
      </c>
      <c r="CG900" s="319" t="s">
        <v>190</v>
      </c>
      <c r="CH900" s="319" t="s">
        <v>190</v>
      </c>
      <c r="CI900" s="319" t="s">
        <v>190</v>
      </c>
      <c r="CJ900" s="319" t="s">
        <v>190</v>
      </c>
      <c r="CK900" s="319" t="s">
        <v>190</v>
      </c>
      <c r="CL900" s="319" t="s">
        <v>190</v>
      </c>
      <c r="CM900" s="319" t="s">
        <v>190</v>
      </c>
      <c r="CN900" s="319" t="s">
        <v>428</v>
      </c>
      <c r="CO900" s="319" t="s">
        <v>428</v>
      </c>
      <c r="CP900" s="319" t="s">
        <v>428</v>
      </c>
      <c r="CQ900" s="319" t="s">
        <v>190</v>
      </c>
      <c r="CR900" s="319" t="s">
        <v>190</v>
      </c>
      <c r="CS900" s="319" t="s">
        <v>190</v>
      </c>
      <c r="CT900" s="319" t="s">
        <v>190</v>
      </c>
      <c r="CU900" s="319" t="s">
        <v>190</v>
      </c>
      <c r="CV900" s="319" t="s">
        <v>190</v>
      </c>
      <c r="CW900" s="319" t="s">
        <v>190</v>
      </c>
      <c r="CX900" s="319" t="s">
        <v>190</v>
      </c>
      <c r="CY900" s="319" t="s">
        <v>190</v>
      </c>
      <c r="CZ900" s="319" t="s">
        <v>190</v>
      </c>
      <c r="DA900" s="319" t="s">
        <v>190</v>
      </c>
      <c r="DB900" s="319" t="s">
        <v>190</v>
      </c>
      <c r="DC900" s="319" t="s">
        <v>190</v>
      </c>
      <c r="DD900" s="319" t="s">
        <v>190</v>
      </c>
      <c r="DE900" s="319" t="s">
        <v>190</v>
      </c>
      <c r="DF900" s="319" t="s">
        <v>190</v>
      </c>
      <c r="DG900" s="319" t="s">
        <v>190</v>
      </c>
      <c r="DH900" s="319" t="s">
        <v>190</v>
      </c>
      <c r="DI900" s="319" t="s">
        <v>190</v>
      </c>
      <c r="DJ900" s="319" t="s">
        <v>190</v>
      </c>
      <c r="DK900" s="319" t="s">
        <v>190</v>
      </c>
      <c r="DL900" s="319" t="s">
        <v>190</v>
      </c>
      <c r="DM900" s="319" t="s">
        <v>190</v>
      </c>
      <c r="DN900" s="319" t="s">
        <v>428</v>
      </c>
      <c r="DO900" s="319" t="s">
        <v>190</v>
      </c>
      <c r="DP900" s="319" t="s">
        <v>428</v>
      </c>
      <c r="DQ900" s="319" t="s">
        <v>428</v>
      </c>
      <c r="DR900" s="319" t="s">
        <v>428</v>
      </c>
      <c r="DS900" s="319" t="s">
        <v>428</v>
      </c>
      <c r="DT900" s="319" t="s">
        <v>428</v>
      </c>
      <c r="DU900" s="319" t="s">
        <v>428</v>
      </c>
      <c r="DV900" s="319" t="s">
        <v>173</v>
      </c>
      <c r="DW900" s="319" t="s">
        <v>428</v>
      </c>
      <c r="DX900" s="319" t="s">
        <v>428</v>
      </c>
      <c r="DY900" s="319" t="s">
        <v>428</v>
      </c>
      <c r="DZ900" s="319" t="s">
        <v>428</v>
      </c>
      <c r="EA900" s="319" t="s">
        <v>428</v>
      </c>
      <c r="EB900" s="319" t="s">
        <v>428</v>
      </c>
      <c r="EC900" s="319" t="s">
        <v>428</v>
      </c>
      <c r="ED900" s="319" t="s">
        <v>428</v>
      </c>
      <c r="EE900" s="319" t="s">
        <v>190</v>
      </c>
      <c r="EF900" s="319" t="s">
        <v>190</v>
      </c>
      <c r="EG900" s="319" t="s">
        <v>190</v>
      </c>
      <c r="EH900" s="319" t="s">
        <v>190</v>
      </c>
      <c r="EI900" s="319" t="s">
        <v>190</v>
      </c>
      <c r="EJ900" s="319" t="s">
        <v>190</v>
      </c>
      <c r="EK900" s="319" t="s">
        <v>190</v>
      </c>
      <c r="EL900" s="319" t="s">
        <v>190</v>
      </c>
      <c r="EM900" s="319" t="s">
        <v>190</v>
      </c>
      <c r="EN900" s="319" t="s">
        <v>190</v>
      </c>
      <c r="EO900" s="319" t="s">
        <v>190</v>
      </c>
      <c r="EP900" s="319" t="s">
        <v>190</v>
      </c>
      <c r="EQ900" s="319" t="s">
        <v>190</v>
      </c>
      <c r="ER900" s="319" t="s">
        <v>190</v>
      </c>
      <c r="ES900" s="319" t="s">
        <v>190</v>
      </c>
      <c r="ET900" s="319" t="s">
        <v>190</v>
      </c>
      <c r="EU900" s="319" t="s">
        <v>190</v>
      </c>
      <c r="EV900" s="319" t="s">
        <v>190</v>
      </c>
      <c r="EW900" s="319" t="s">
        <v>190</v>
      </c>
      <c r="EX900" s="319" t="s">
        <v>190</v>
      </c>
      <c r="EY900" s="319" t="s">
        <v>190</v>
      </c>
      <c r="EZ900" s="319" t="s">
        <v>190</v>
      </c>
      <c r="FA900" s="319" t="s">
        <v>428</v>
      </c>
      <c r="FB900" s="319" t="s">
        <v>428</v>
      </c>
      <c r="FC900" s="319" t="s">
        <v>428</v>
      </c>
      <c r="FD900" s="319" t="s">
        <v>428</v>
      </c>
      <c r="FE900" s="319" t="s">
        <v>428</v>
      </c>
      <c r="FF900" s="319" t="s">
        <v>428</v>
      </c>
      <c r="FG900" s="319" t="s">
        <v>428</v>
      </c>
      <c r="FH900" s="319" t="s">
        <v>190</v>
      </c>
      <c r="FI900" s="319" t="s">
        <v>428</v>
      </c>
      <c r="FJ900" s="319" t="s">
        <v>190</v>
      </c>
      <c r="FK900" s="319" t="s">
        <v>190</v>
      </c>
      <c r="FL900" s="319" t="s">
        <v>190</v>
      </c>
      <c r="FM900" s="319" t="s">
        <v>190</v>
      </c>
      <c r="FN900" s="319" t="s">
        <v>190</v>
      </c>
      <c r="FO900" s="319" t="s">
        <v>190</v>
      </c>
      <c r="FP900" s="319" t="s">
        <v>190</v>
      </c>
      <c r="FQ900" s="319" t="s">
        <v>190</v>
      </c>
      <c r="FR900" s="319" t="s">
        <v>190</v>
      </c>
      <c r="FS900" s="319" t="s">
        <v>190</v>
      </c>
      <c r="FT900" s="319" t="s">
        <v>190</v>
      </c>
      <c r="FU900" s="319" t="s">
        <v>190</v>
      </c>
      <c r="FV900" s="319" t="s">
        <v>190</v>
      </c>
      <c r="FW900" s="319" t="s">
        <v>190</v>
      </c>
      <c r="FX900" s="319" t="s">
        <v>190</v>
      </c>
      <c r="FY900" s="319" t="s">
        <v>190</v>
      </c>
      <c r="FZ900" s="319" t="s">
        <v>190</v>
      </c>
      <c r="GA900" s="319" t="s">
        <v>190</v>
      </c>
      <c r="GB900" s="319" t="s">
        <v>190</v>
      </c>
      <c r="GC900" s="319" t="s">
        <v>190</v>
      </c>
      <c r="GD900" s="319" t="s">
        <v>190</v>
      </c>
      <c r="GE900" s="319" t="s">
        <v>190</v>
      </c>
      <c r="GF900" s="319" t="s">
        <v>190</v>
      </c>
      <c r="GG900" s="319" t="s">
        <v>190</v>
      </c>
      <c r="GH900" s="319" t="s">
        <v>190</v>
      </c>
      <c r="GI900" s="319" t="s">
        <v>190</v>
      </c>
      <c r="GJ900" s="319" t="s">
        <v>190</v>
      </c>
      <c r="GK900" s="319" t="s">
        <v>428</v>
      </c>
      <c r="GL900" s="319" t="s">
        <v>190</v>
      </c>
      <c r="GM900" s="319" t="s">
        <v>190</v>
      </c>
      <c r="GN900" s="319" t="s">
        <v>190</v>
      </c>
      <c r="GO900" s="319" t="s">
        <v>190</v>
      </c>
      <c r="GP900" s="319" t="s">
        <v>428</v>
      </c>
      <c r="GQ900" s="319" t="s">
        <v>428</v>
      </c>
      <c r="GR900" s="319" t="s">
        <v>190</v>
      </c>
      <c r="GS900" s="319" t="s">
        <v>190</v>
      </c>
      <c r="GT900" s="319" t="s">
        <v>190</v>
      </c>
      <c r="GU900" s="319" t="s">
        <v>190</v>
      </c>
      <c r="GV900" s="319" t="s">
        <v>190</v>
      </c>
      <c r="GW900" s="319" t="s">
        <v>190</v>
      </c>
      <c r="GX900" s="319" t="s">
        <v>190</v>
      </c>
      <c r="GY900" s="319" t="s">
        <v>190</v>
      </c>
      <c r="GZ900" s="319" t="s">
        <v>428</v>
      </c>
      <c r="HA900" s="319" t="s">
        <v>190</v>
      </c>
      <c r="HB900" s="319" t="s">
        <v>428</v>
      </c>
      <c r="HC900" s="319" t="s">
        <v>190</v>
      </c>
      <c r="HD900" s="319" t="s">
        <v>190</v>
      </c>
      <c r="HE900" s="319" t="s">
        <v>190</v>
      </c>
      <c r="HF900" s="319" t="s">
        <v>190</v>
      </c>
      <c r="HG900" s="319" t="s">
        <v>190</v>
      </c>
      <c r="HH900" s="319" t="s">
        <v>190</v>
      </c>
      <c r="HI900" s="319" t="s">
        <v>190</v>
      </c>
      <c r="HJ900" s="319" t="s">
        <v>190</v>
      </c>
      <c r="HK900" s="319" t="s">
        <v>428</v>
      </c>
      <c r="HL900" s="319" t="s">
        <v>190</v>
      </c>
      <c r="HM900" s="319" t="s">
        <v>428</v>
      </c>
      <c r="HN900" s="319" t="s">
        <v>428</v>
      </c>
      <c r="HO900" s="319" t="s">
        <v>428</v>
      </c>
      <c r="HP900" s="319" t="s">
        <v>190</v>
      </c>
      <c r="HQ900" s="319" t="s">
        <v>190</v>
      </c>
      <c r="HR900" s="319" t="s">
        <v>190</v>
      </c>
      <c r="HS900" s="319" t="s">
        <v>190</v>
      </c>
      <c r="HT900" s="319" t="s">
        <v>190</v>
      </c>
      <c r="HU900" s="319" t="s">
        <v>190</v>
      </c>
      <c r="HV900" s="319" t="s">
        <v>190</v>
      </c>
      <c r="HW900" s="319" t="s">
        <v>190</v>
      </c>
      <c r="HX900" s="319" t="s">
        <v>190</v>
      </c>
      <c r="HY900" s="319" t="s">
        <v>190</v>
      </c>
      <c r="HZ900" s="319" t="s">
        <v>190</v>
      </c>
      <c r="IA900" s="319" t="s">
        <v>190</v>
      </c>
      <c r="IB900" s="319" t="s">
        <v>190</v>
      </c>
      <c r="IC900" s="319" t="s">
        <v>190</v>
      </c>
      <c r="ID900" s="319" t="s">
        <v>190</v>
      </c>
      <c r="IE900" s="319" t="s">
        <v>190</v>
      </c>
      <c r="IF900" s="319" t="s">
        <v>190</v>
      </c>
      <c r="IG900" s="319" t="s">
        <v>190</v>
      </c>
      <c r="IH900" s="319" t="s">
        <v>190</v>
      </c>
      <c r="II900" s="319" t="s">
        <v>190</v>
      </c>
      <c r="IJ900" s="319" t="s">
        <v>173</v>
      </c>
      <c r="IK900" s="319" t="s">
        <v>173</v>
      </c>
      <c r="IL900" s="319" t="s">
        <v>173</v>
      </c>
      <c r="IM900" s="319" t="s">
        <v>173</v>
      </c>
      <c r="IN900" s="319" t="s">
        <v>173</v>
      </c>
      <c r="IO900" s="319" t="s">
        <v>173</v>
      </c>
      <c r="IP900" s="319" t="s">
        <v>173</v>
      </c>
      <c r="IQ900" s="321" t="s">
        <v>173</v>
      </c>
      <c r="IR900" s="320" t="s">
        <v>173</v>
      </c>
      <c r="IS900" s="322" t="s">
        <v>173</v>
      </c>
      <c r="IT900" s="319" t="s">
        <v>173</v>
      </c>
    </row>
    <row r="901" spans="1:254" s="271" customFormat="1" x14ac:dyDescent="0.25">
      <c r="A901" s="318" t="str">
        <f>HYPERLINK("http://www.ofsted.gov.uk/inspection-reports/find-inspection-report/provider/ELS/143933 ","Ofsted School Webpage")</f>
        <v>Ofsted School Webpage</v>
      </c>
      <c r="B901" s="319">
        <v>143933</v>
      </c>
      <c r="C901" s="319">
        <v>2096003</v>
      </c>
      <c r="D901" s="319" t="s">
        <v>1112</v>
      </c>
      <c r="E901" s="319" t="s">
        <v>167</v>
      </c>
      <c r="F901" s="319" t="s">
        <v>81</v>
      </c>
      <c r="G901" s="319" t="s">
        <v>81</v>
      </c>
      <c r="H901" s="319" t="s">
        <v>81</v>
      </c>
      <c r="I901" s="319" t="s">
        <v>78</v>
      </c>
      <c r="J901" s="319" t="s">
        <v>424</v>
      </c>
      <c r="K901" s="319" t="s">
        <v>441</v>
      </c>
      <c r="L901" s="319" t="s">
        <v>441</v>
      </c>
      <c r="M901" s="319" t="s">
        <v>655</v>
      </c>
      <c r="N901" s="319" t="s">
        <v>3547</v>
      </c>
      <c r="O901" s="319" t="s">
        <v>2746</v>
      </c>
      <c r="P901" s="319">
        <v>5</v>
      </c>
      <c r="Q901" s="319" t="s">
        <v>2766</v>
      </c>
      <c r="R901" s="320">
        <v>10038182</v>
      </c>
      <c r="S901" s="321">
        <v>43179</v>
      </c>
      <c r="T901" s="321">
        <v>43181</v>
      </c>
      <c r="U901" s="321">
        <v>43224</v>
      </c>
      <c r="V901" s="319" t="s">
        <v>435</v>
      </c>
      <c r="W901" s="319" t="s">
        <v>2767</v>
      </c>
      <c r="X901" s="319">
        <v>3</v>
      </c>
      <c r="Y901" s="319" t="s">
        <v>173</v>
      </c>
      <c r="Z901" s="319" t="s">
        <v>173</v>
      </c>
      <c r="AA901" s="319" t="s">
        <v>173</v>
      </c>
      <c r="AB901" s="319">
        <v>3</v>
      </c>
      <c r="AC901" s="319" t="s">
        <v>169</v>
      </c>
      <c r="AD901" s="319" t="s">
        <v>173</v>
      </c>
      <c r="AE901" s="319" t="s">
        <v>173</v>
      </c>
      <c r="AF901" s="319" t="s">
        <v>427</v>
      </c>
      <c r="AG901" s="319" t="s">
        <v>172</v>
      </c>
      <c r="AH901" s="319" t="s">
        <v>190</v>
      </c>
      <c r="AI901" s="319" t="s">
        <v>190</v>
      </c>
      <c r="AJ901" s="319" t="s">
        <v>190</v>
      </c>
      <c r="AK901" s="319" t="s">
        <v>190</v>
      </c>
      <c r="AL901" s="319" t="s">
        <v>479</v>
      </c>
      <c r="AM901" s="319" t="s">
        <v>190</v>
      </c>
      <c r="AN901" s="319" t="s">
        <v>190</v>
      </c>
      <c r="AO901" s="319" t="s">
        <v>190</v>
      </c>
      <c r="AP901" s="319" t="s">
        <v>190</v>
      </c>
      <c r="AQ901" s="319" t="s">
        <v>190</v>
      </c>
      <c r="AR901" s="319" t="s">
        <v>190</v>
      </c>
      <c r="AS901" s="319" t="s">
        <v>190</v>
      </c>
      <c r="AT901" s="319" t="s">
        <v>190</v>
      </c>
      <c r="AU901" s="319" t="s">
        <v>190</v>
      </c>
      <c r="AV901" s="319" t="s">
        <v>190</v>
      </c>
      <c r="AW901" s="319" t="s">
        <v>190</v>
      </c>
      <c r="AX901" s="319" t="s">
        <v>190</v>
      </c>
      <c r="AY901" s="319" t="s">
        <v>190</v>
      </c>
      <c r="AZ901" s="319" t="s">
        <v>190</v>
      </c>
      <c r="BA901" s="319" t="s">
        <v>190</v>
      </c>
      <c r="BB901" s="319" t="s">
        <v>190</v>
      </c>
      <c r="BC901" s="319" t="s">
        <v>190</v>
      </c>
      <c r="BD901" s="319" t="s">
        <v>190</v>
      </c>
      <c r="BE901" s="319" t="s">
        <v>190</v>
      </c>
      <c r="BF901" s="319" t="s">
        <v>190</v>
      </c>
      <c r="BG901" s="319" t="s">
        <v>190</v>
      </c>
      <c r="BH901" s="319" t="s">
        <v>190</v>
      </c>
      <c r="BI901" s="319" t="s">
        <v>190</v>
      </c>
      <c r="BJ901" s="319" t="s">
        <v>190</v>
      </c>
      <c r="BK901" s="319" t="s">
        <v>190</v>
      </c>
      <c r="BL901" s="319" t="s">
        <v>190</v>
      </c>
      <c r="BM901" s="319" t="s">
        <v>190</v>
      </c>
      <c r="BN901" s="319" t="s">
        <v>190</v>
      </c>
      <c r="BO901" s="319" t="s">
        <v>190</v>
      </c>
      <c r="BP901" s="319" t="s">
        <v>190</v>
      </c>
      <c r="BQ901" s="319" t="s">
        <v>190</v>
      </c>
      <c r="BR901" s="319" t="s">
        <v>190</v>
      </c>
      <c r="BS901" s="319" t="s">
        <v>190</v>
      </c>
      <c r="BT901" s="319" t="s">
        <v>190</v>
      </c>
      <c r="BU901" s="319" t="s">
        <v>190</v>
      </c>
      <c r="BV901" s="319" t="s">
        <v>190</v>
      </c>
      <c r="BW901" s="319" t="s">
        <v>190</v>
      </c>
      <c r="BX901" s="319" t="s">
        <v>190</v>
      </c>
      <c r="BY901" s="319" t="s">
        <v>190</v>
      </c>
      <c r="BZ901" s="319" t="s">
        <v>190</v>
      </c>
      <c r="CA901" s="319" t="s">
        <v>190</v>
      </c>
      <c r="CB901" s="319" t="s">
        <v>190</v>
      </c>
      <c r="CC901" s="319" t="s">
        <v>190</v>
      </c>
      <c r="CD901" s="319" t="s">
        <v>190</v>
      </c>
      <c r="CE901" s="319" t="s">
        <v>190</v>
      </c>
      <c r="CF901" s="319" t="s">
        <v>190</v>
      </c>
      <c r="CG901" s="319" t="s">
        <v>190</v>
      </c>
      <c r="CH901" s="319" t="s">
        <v>190</v>
      </c>
      <c r="CI901" s="319" t="s">
        <v>190</v>
      </c>
      <c r="CJ901" s="319" t="s">
        <v>190</v>
      </c>
      <c r="CK901" s="319" t="s">
        <v>190</v>
      </c>
      <c r="CL901" s="319" t="s">
        <v>190</v>
      </c>
      <c r="CM901" s="319" t="s">
        <v>190</v>
      </c>
      <c r="CN901" s="319" t="s">
        <v>428</v>
      </c>
      <c r="CO901" s="319" t="s">
        <v>428</v>
      </c>
      <c r="CP901" s="319" t="s">
        <v>428</v>
      </c>
      <c r="CQ901" s="319" t="s">
        <v>190</v>
      </c>
      <c r="CR901" s="319" t="s">
        <v>190</v>
      </c>
      <c r="CS901" s="319" t="s">
        <v>190</v>
      </c>
      <c r="CT901" s="319" t="s">
        <v>190</v>
      </c>
      <c r="CU901" s="319" t="s">
        <v>190</v>
      </c>
      <c r="CV901" s="319" t="s">
        <v>190</v>
      </c>
      <c r="CW901" s="319" t="s">
        <v>190</v>
      </c>
      <c r="CX901" s="319" t="s">
        <v>190</v>
      </c>
      <c r="CY901" s="319" t="s">
        <v>190</v>
      </c>
      <c r="CZ901" s="319" t="s">
        <v>190</v>
      </c>
      <c r="DA901" s="319" t="s">
        <v>190</v>
      </c>
      <c r="DB901" s="319" t="s">
        <v>190</v>
      </c>
      <c r="DC901" s="319" t="s">
        <v>190</v>
      </c>
      <c r="DD901" s="319" t="s">
        <v>190</v>
      </c>
      <c r="DE901" s="319" t="s">
        <v>190</v>
      </c>
      <c r="DF901" s="319" t="s">
        <v>190</v>
      </c>
      <c r="DG901" s="319" t="s">
        <v>190</v>
      </c>
      <c r="DH901" s="319" t="s">
        <v>190</v>
      </c>
      <c r="DI901" s="319" t="s">
        <v>190</v>
      </c>
      <c r="DJ901" s="319" t="s">
        <v>190</v>
      </c>
      <c r="DK901" s="319" t="s">
        <v>190</v>
      </c>
      <c r="DL901" s="319" t="s">
        <v>190</v>
      </c>
      <c r="DM901" s="319" t="s">
        <v>190</v>
      </c>
      <c r="DN901" s="319" t="s">
        <v>190</v>
      </c>
      <c r="DO901" s="319" t="s">
        <v>190</v>
      </c>
      <c r="DP901" s="319" t="s">
        <v>190</v>
      </c>
      <c r="DQ901" s="319" t="s">
        <v>190</v>
      </c>
      <c r="DR901" s="319" t="s">
        <v>190</v>
      </c>
      <c r="DS901" s="319" t="s">
        <v>190</v>
      </c>
      <c r="DT901" s="319" t="s">
        <v>190</v>
      </c>
      <c r="DU901" s="319" t="s">
        <v>190</v>
      </c>
      <c r="DV901" s="319" t="s">
        <v>173</v>
      </c>
      <c r="DW901" s="319" t="s">
        <v>190</v>
      </c>
      <c r="DX901" s="319" t="s">
        <v>190</v>
      </c>
      <c r="DY901" s="319" t="s">
        <v>190</v>
      </c>
      <c r="DZ901" s="319" t="s">
        <v>190</v>
      </c>
      <c r="EA901" s="319" t="s">
        <v>190</v>
      </c>
      <c r="EB901" s="319" t="s">
        <v>190</v>
      </c>
      <c r="EC901" s="319" t="s">
        <v>428</v>
      </c>
      <c r="ED901" s="319" t="s">
        <v>190</v>
      </c>
      <c r="EE901" s="319" t="s">
        <v>190</v>
      </c>
      <c r="EF901" s="319" t="s">
        <v>190</v>
      </c>
      <c r="EG901" s="319" t="s">
        <v>190</v>
      </c>
      <c r="EH901" s="319" t="s">
        <v>190</v>
      </c>
      <c r="EI901" s="319" t="s">
        <v>190</v>
      </c>
      <c r="EJ901" s="319" t="s">
        <v>190</v>
      </c>
      <c r="EK901" s="319" t="s">
        <v>190</v>
      </c>
      <c r="EL901" s="319" t="s">
        <v>190</v>
      </c>
      <c r="EM901" s="319" t="s">
        <v>190</v>
      </c>
      <c r="EN901" s="319" t="s">
        <v>190</v>
      </c>
      <c r="EO901" s="319" t="s">
        <v>190</v>
      </c>
      <c r="EP901" s="319" t="s">
        <v>190</v>
      </c>
      <c r="EQ901" s="319" t="s">
        <v>190</v>
      </c>
      <c r="ER901" s="319" t="s">
        <v>190</v>
      </c>
      <c r="ES901" s="319" t="s">
        <v>190</v>
      </c>
      <c r="ET901" s="319" t="s">
        <v>190</v>
      </c>
      <c r="EU901" s="319" t="s">
        <v>190</v>
      </c>
      <c r="EV901" s="319" t="s">
        <v>190</v>
      </c>
      <c r="EW901" s="319" t="s">
        <v>190</v>
      </c>
      <c r="EX901" s="319" t="s">
        <v>190</v>
      </c>
      <c r="EY901" s="319" t="s">
        <v>190</v>
      </c>
      <c r="EZ901" s="319" t="s">
        <v>190</v>
      </c>
      <c r="FA901" s="319" t="s">
        <v>190</v>
      </c>
      <c r="FB901" s="319" t="s">
        <v>190</v>
      </c>
      <c r="FC901" s="319" t="s">
        <v>190</v>
      </c>
      <c r="FD901" s="319" t="s">
        <v>190</v>
      </c>
      <c r="FE901" s="319" t="s">
        <v>190</v>
      </c>
      <c r="FF901" s="319" t="s">
        <v>190</v>
      </c>
      <c r="FG901" s="319" t="s">
        <v>190</v>
      </c>
      <c r="FH901" s="319" t="s">
        <v>190</v>
      </c>
      <c r="FI901" s="319" t="s">
        <v>190</v>
      </c>
      <c r="FJ901" s="319" t="s">
        <v>190</v>
      </c>
      <c r="FK901" s="319" t="s">
        <v>190</v>
      </c>
      <c r="FL901" s="319" t="s">
        <v>190</v>
      </c>
      <c r="FM901" s="319" t="s">
        <v>190</v>
      </c>
      <c r="FN901" s="319" t="s">
        <v>190</v>
      </c>
      <c r="FO901" s="319" t="s">
        <v>190</v>
      </c>
      <c r="FP901" s="319" t="s">
        <v>190</v>
      </c>
      <c r="FQ901" s="319" t="s">
        <v>190</v>
      </c>
      <c r="FR901" s="319" t="s">
        <v>190</v>
      </c>
      <c r="FS901" s="319" t="s">
        <v>428</v>
      </c>
      <c r="FT901" s="319" t="s">
        <v>190</v>
      </c>
      <c r="FU901" s="319" t="s">
        <v>190</v>
      </c>
      <c r="FV901" s="319" t="s">
        <v>190</v>
      </c>
      <c r="FW901" s="319" t="s">
        <v>190</v>
      </c>
      <c r="FX901" s="319" t="s">
        <v>190</v>
      </c>
      <c r="FY901" s="319" t="s">
        <v>190</v>
      </c>
      <c r="FZ901" s="319" t="s">
        <v>191</v>
      </c>
      <c r="GA901" s="319" t="s">
        <v>190</v>
      </c>
      <c r="GB901" s="319" t="s">
        <v>191</v>
      </c>
      <c r="GC901" s="319" t="s">
        <v>190</v>
      </c>
      <c r="GD901" s="319" t="s">
        <v>584</v>
      </c>
      <c r="GE901" s="319" t="s">
        <v>190</v>
      </c>
      <c r="GF901" s="319" t="s">
        <v>190</v>
      </c>
      <c r="GG901" s="319" t="s">
        <v>190</v>
      </c>
      <c r="GH901" s="319" t="s">
        <v>190</v>
      </c>
      <c r="GI901" s="319" t="s">
        <v>190</v>
      </c>
      <c r="GJ901" s="319" t="s">
        <v>190</v>
      </c>
      <c r="GK901" s="319" t="s">
        <v>428</v>
      </c>
      <c r="GL901" s="319" t="s">
        <v>190</v>
      </c>
      <c r="GM901" s="319" t="s">
        <v>190</v>
      </c>
      <c r="GN901" s="319" t="s">
        <v>190</v>
      </c>
      <c r="GO901" s="319" t="s">
        <v>190</v>
      </c>
      <c r="GP901" s="319" t="s">
        <v>190</v>
      </c>
      <c r="GQ901" s="319" t="s">
        <v>190</v>
      </c>
      <c r="GR901" s="319" t="s">
        <v>190</v>
      </c>
      <c r="GS901" s="319" t="s">
        <v>190</v>
      </c>
      <c r="GT901" s="319" t="s">
        <v>190</v>
      </c>
      <c r="GU901" s="319" t="s">
        <v>190</v>
      </c>
      <c r="GV901" s="319" t="s">
        <v>190</v>
      </c>
      <c r="GW901" s="319" t="s">
        <v>190</v>
      </c>
      <c r="GX901" s="319" t="s">
        <v>190</v>
      </c>
      <c r="GY901" s="319" t="s">
        <v>190</v>
      </c>
      <c r="GZ901" s="319" t="s">
        <v>190</v>
      </c>
      <c r="HA901" s="319" t="s">
        <v>190</v>
      </c>
      <c r="HB901" s="319" t="s">
        <v>190</v>
      </c>
      <c r="HC901" s="319" t="s">
        <v>190</v>
      </c>
      <c r="HD901" s="319" t="s">
        <v>190</v>
      </c>
      <c r="HE901" s="319" t="s">
        <v>190</v>
      </c>
      <c r="HF901" s="319" t="s">
        <v>190</v>
      </c>
      <c r="HG901" s="319" t="s">
        <v>190</v>
      </c>
      <c r="HH901" s="319" t="s">
        <v>190</v>
      </c>
      <c r="HI901" s="319" t="s">
        <v>428</v>
      </c>
      <c r="HJ901" s="319" t="s">
        <v>190</v>
      </c>
      <c r="HK901" s="319" t="s">
        <v>190</v>
      </c>
      <c r="HL901" s="319" t="s">
        <v>190</v>
      </c>
      <c r="HM901" s="319" t="s">
        <v>190</v>
      </c>
      <c r="HN901" s="319" t="s">
        <v>190</v>
      </c>
      <c r="HO901" s="319" t="s">
        <v>190</v>
      </c>
      <c r="HP901" s="319" t="s">
        <v>190</v>
      </c>
      <c r="HQ901" s="319" t="s">
        <v>190</v>
      </c>
      <c r="HR901" s="319" t="s">
        <v>190</v>
      </c>
      <c r="HS901" s="319" t="s">
        <v>190</v>
      </c>
      <c r="HT901" s="319" t="s">
        <v>190</v>
      </c>
      <c r="HU901" s="319" t="s">
        <v>190</v>
      </c>
      <c r="HV901" s="319" t="s">
        <v>190</v>
      </c>
      <c r="HW901" s="319" t="s">
        <v>190</v>
      </c>
      <c r="HX901" s="319" t="s">
        <v>190</v>
      </c>
      <c r="HY901" s="319" t="s">
        <v>190</v>
      </c>
      <c r="HZ901" s="319" t="s">
        <v>190</v>
      </c>
      <c r="IA901" s="319" t="s">
        <v>190</v>
      </c>
      <c r="IB901" s="319" t="s">
        <v>190</v>
      </c>
      <c r="IC901" s="319" t="s">
        <v>190</v>
      </c>
      <c r="ID901" s="319" t="s">
        <v>190</v>
      </c>
      <c r="IE901" s="319" t="s">
        <v>190</v>
      </c>
      <c r="IF901" s="319" t="s">
        <v>190</v>
      </c>
      <c r="IG901" s="319" t="s">
        <v>190</v>
      </c>
      <c r="IH901" s="319" t="s">
        <v>190</v>
      </c>
      <c r="II901" s="319" t="s">
        <v>190</v>
      </c>
      <c r="IJ901" s="319" t="s">
        <v>173</v>
      </c>
      <c r="IK901" s="319" t="s">
        <v>173</v>
      </c>
      <c r="IL901" s="319" t="s">
        <v>173</v>
      </c>
      <c r="IM901" s="319" t="s">
        <v>173</v>
      </c>
      <c r="IN901" s="319" t="s">
        <v>173</v>
      </c>
      <c r="IO901" s="319">
        <v>10128872</v>
      </c>
      <c r="IP901" s="319" t="s">
        <v>985</v>
      </c>
      <c r="IQ901" s="321">
        <v>43768</v>
      </c>
      <c r="IR901" s="320" t="s">
        <v>2771</v>
      </c>
      <c r="IS901" s="322">
        <v>43796</v>
      </c>
      <c r="IT901" s="319" t="s">
        <v>165</v>
      </c>
    </row>
    <row r="902" spans="1:254" s="271" customFormat="1" x14ac:dyDescent="0.25">
      <c r="A902" s="318" t="str">
        <f>HYPERLINK("http://www.ofsted.gov.uk/inspection-reports/find-inspection-report/provider/ELS/143935 ","Ofsted School Webpage")</f>
        <v>Ofsted School Webpage</v>
      </c>
      <c r="B902" s="319">
        <v>143935</v>
      </c>
      <c r="C902" s="319">
        <v>9386003</v>
      </c>
      <c r="D902" s="319" t="s">
        <v>2430</v>
      </c>
      <c r="E902" s="319" t="s">
        <v>167</v>
      </c>
      <c r="F902" s="319" t="s">
        <v>81</v>
      </c>
      <c r="G902" s="319" t="s">
        <v>81</v>
      </c>
      <c r="H902" s="319" t="s">
        <v>81</v>
      </c>
      <c r="I902" s="319" t="s">
        <v>78</v>
      </c>
      <c r="J902" s="319" t="s">
        <v>424</v>
      </c>
      <c r="K902" s="319" t="s">
        <v>514</v>
      </c>
      <c r="L902" s="319" t="s">
        <v>514</v>
      </c>
      <c r="M902" s="319" t="s">
        <v>737</v>
      </c>
      <c r="N902" s="319" t="s">
        <v>3548</v>
      </c>
      <c r="O902" s="319" t="s">
        <v>2431</v>
      </c>
      <c r="P902" s="319">
        <v>16</v>
      </c>
      <c r="Q902" s="319" t="s">
        <v>2766</v>
      </c>
      <c r="R902" s="320">
        <v>10044150</v>
      </c>
      <c r="S902" s="321">
        <v>43242</v>
      </c>
      <c r="T902" s="321">
        <v>43244</v>
      </c>
      <c r="U902" s="321">
        <v>43277</v>
      </c>
      <c r="V902" s="319" t="s">
        <v>435</v>
      </c>
      <c r="W902" s="319" t="s">
        <v>2767</v>
      </c>
      <c r="X902" s="319">
        <v>2</v>
      </c>
      <c r="Y902" s="319" t="s">
        <v>173</v>
      </c>
      <c r="Z902" s="319" t="s">
        <v>173</v>
      </c>
      <c r="AA902" s="319" t="s">
        <v>173</v>
      </c>
      <c r="AB902" s="319">
        <v>2</v>
      </c>
      <c r="AC902" s="319" t="s">
        <v>169</v>
      </c>
      <c r="AD902" s="319">
        <v>2</v>
      </c>
      <c r="AE902" s="319" t="s">
        <v>173</v>
      </c>
      <c r="AF902" s="319" t="s">
        <v>427</v>
      </c>
      <c r="AG902" s="319" t="s">
        <v>171</v>
      </c>
      <c r="AH902" s="319" t="s">
        <v>190</v>
      </c>
      <c r="AI902" s="319" t="s">
        <v>190</v>
      </c>
      <c r="AJ902" s="319" t="s">
        <v>190</v>
      </c>
      <c r="AK902" s="319" t="s">
        <v>190</v>
      </c>
      <c r="AL902" s="319" t="s">
        <v>190</v>
      </c>
      <c r="AM902" s="319" t="s">
        <v>190</v>
      </c>
      <c r="AN902" s="319" t="s">
        <v>190</v>
      </c>
      <c r="AO902" s="319" t="s">
        <v>190</v>
      </c>
      <c r="AP902" s="319" t="s">
        <v>190</v>
      </c>
      <c r="AQ902" s="319" t="s">
        <v>190</v>
      </c>
      <c r="AR902" s="319" t="s">
        <v>190</v>
      </c>
      <c r="AS902" s="319" t="s">
        <v>190</v>
      </c>
      <c r="AT902" s="319" t="s">
        <v>190</v>
      </c>
      <c r="AU902" s="319" t="s">
        <v>190</v>
      </c>
      <c r="AV902" s="319" t="s">
        <v>190</v>
      </c>
      <c r="AW902" s="319" t="s">
        <v>190</v>
      </c>
      <c r="AX902" s="319" t="s">
        <v>428</v>
      </c>
      <c r="AY902" s="319" t="s">
        <v>190</v>
      </c>
      <c r="AZ902" s="319" t="s">
        <v>190</v>
      </c>
      <c r="BA902" s="319" t="s">
        <v>190</v>
      </c>
      <c r="BB902" s="319" t="s">
        <v>428</v>
      </c>
      <c r="BC902" s="319" t="s">
        <v>428</v>
      </c>
      <c r="BD902" s="319" t="s">
        <v>428</v>
      </c>
      <c r="BE902" s="319" t="s">
        <v>428</v>
      </c>
      <c r="BF902" s="319" t="s">
        <v>428</v>
      </c>
      <c r="BG902" s="319" t="s">
        <v>190</v>
      </c>
      <c r="BH902" s="319" t="s">
        <v>190</v>
      </c>
      <c r="BI902" s="319" t="s">
        <v>190</v>
      </c>
      <c r="BJ902" s="319" t="s">
        <v>190</v>
      </c>
      <c r="BK902" s="319" t="s">
        <v>190</v>
      </c>
      <c r="BL902" s="319" t="s">
        <v>190</v>
      </c>
      <c r="BM902" s="319" t="s">
        <v>190</v>
      </c>
      <c r="BN902" s="319" t="s">
        <v>190</v>
      </c>
      <c r="BO902" s="319" t="s">
        <v>190</v>
      </c>
      <c r="BP902" s="319" t="s">
        <v>190</v>
      </c>
      <c r="BQ902" s="319" t="s">
        <v>190</v>
      </c>
      <c r="BR902" s="319" t="s">
        <v>190</v>
      </c>
      <c r="BS902" s="319" t="s">
        <v>190</v>
      </c>
      <c r="BT902" s="319" t="s">
        <v>190</v>
      </c>
      <c r="BU902" s="319" t="s">
        <v>190</v>
      </c>
      <c r="BV902" s="319" t="s">
        <v>190</v>
      </c>
      <c r="BW902" s="319" t="s">
        <v>190</v>
      </c>
      <c r="BX902" s="319" t="s">
        <v>190</v>
      </c>
      <c r="BY902" s="319" t="s">
        <v>190</v>
      </c>
      <c r="BZ902" s="319" t="s">
        <v>190</v>
      </c>
      <c r="CA902" s="319" t="s">
        <v>190</v>
      </c>
      <c r="CB902" s="319" t="s">
        <v>190</v>
      </c>
      <c r="CC902" s="319" t="s">
        <v>190</v>
      </c>
      <c r="CD902" s="319" t="s">
        <v>190</v>
      </c>
      <c r="CE902" s="319" t="s">
        <v>190</v>
      </c>
      <c r="CF902" s="319" t="s">
        <v>190</v>
      </c>
      <c r="CG902" s="319" t="s">
        <v>190</v>
      </c>
      <c r="CH902" s="319" t="s">
        <v>190</v>
      </c>
      <c r="CI902" s="319" t="s">
        <v>190</v>
      </c>
      <c r="CJ902" s="319" t="s">
        <v>190</v>
      </c>
      <c r="CK902" s="319" t="s">
        <v>190</v>
      </c>
      <c r="CL902" s="319" t="s">
        <v>190</v>
      </c>
      <c r="CM902" s="319" t="s">
        <v>190</v>
      </c>
      <c r="CN902" s="319" t="s">
        <v>428</v>
      </c>
      <c r="CO902" s="319" t="s">
        <v>428</v>
      </c>
      <c r="CP902" s="319" t="s">
        <v>428</v>
      </c>
      <c r="CQ902" s="319" t="s">
        <v>190</v>
      </c>
      <c r="CR902" s="319" t="s">
        <v>190</v>
      </c>
      <c r="CS902" s="319" t="s">
        <v>190</v>
      </c>
      <c r="CT902" s="319" t="s">
        <v>190</v>
      </c>
      <c r="CU902" s="319" t="s">
        <v>190</v>
      </c>
      <c r="CV902" s="319" t="s">
        <v>190</v>
      </c>
      <c r="CW902" s="319" t="s">
        <v>190</v>
      </c>
      <c r="CX902" s="319" t="s">
        <v>190</v>
      </c>
      <c r="CY902" s="319" t="s">
        <v>190</v>
      </c>
      <c r="CZ902" s="319" t="s">
        <v>190</v>
      </c>
      <c r="DA902" s="319" t="s">
        <v>190</v>
      </c>
      <c r="DB902" s="319" t="s">
        <v>190</v>
      </c>
      <c r="DC902" s="319" t="s">
        <v>190</v>
      </c>
      <c r="DD902" s="319" t="s">
        <v>190</v>
      </c>
      <c r="DE902" s="319" t="s">
        <v>190</v>
      </c>
      <c r="DF902" s="319" t="s">
        <v>190</v>
      </c>
      <c r="DG902" s="319" t="s">
        <v>190</v>
      </c>
      <c r="DH902" s="319" t="s">
        <v>190</v>
      </c>
      <c r="DI902" s="319" t="s">
        <v>190</v>
      </c>
      <c r="DJ902" s="319" t="s">
        <v>190</v>
      </c>
      <c r="DK902" s="319" t="s">
        <v>190</v>
      </c>
      <c r="DL902" s="319" t="s">
        <v>190</v>
      </c>
      <c r="DM902" s="319" t="s">
        <v>428</v>
      </c>
      <c r="DN902" s="319" t="s">
        <v>428</v>
      </c>
      <c r="DO902" s="319" t="s">
        <v>190</v>
      </c>
      <c r="DP902" s="319" t="s">
        <v>428</v>
      </c>
      <c r="DQ902" s="319" t="s">
        <v>428</v>
      </c>
      <c r="DR902" s="319" t="s">
        <v>428</v>
      </c>
      <c r="DS902" s="319" t="s">
        <v>428</v>
      </c>
      <c r="DT902" s="319" t="s">
        <v>428</v>
      </c>
      <c r="DU902" s="319" t="s">
        <v>428</v>
      </c>
      <c r="DV902" s="319" t="s">
        <v>173</v>
      </c>
      <c r="DW902" s="319" t="s">
        <v>428</v>
      </c>
      <c r="DX902" s="319" t="s">
        <v>428</v>
      </c>
      <c r="DY902" s="319" t="s">
        <v>428</v>
      </c>
      <c r="DZ902" s="319" t="s">
        <v>428</v>
      </c>
      <c r="EA902" s="319" t="s">
        <v>428</v>
      </c>
      <c r="EB902" s="319" t="s">
        <v>428</v>
      </c>
      <c r="EC902" s="319" t="s">
        <v>428</v>
      </c>
      <c r="ED902" s="319" t="s">
        <v>428</v>
      </c>
      <c r="EE902" s="319" t="s">
        <v>190</v>
      </c>
      <c r="EF902" s="319" t="s">
        <v>190</v>
      </c>
      <c r="EG902" s="319" t="s">
        <v>190</v>
      </c>
      <c r="EH902" s="319" t="s">
        <v>190</v>
      </c>
      <c r="EI902" s="319" t="s">
        <v>190</v>
      </c>
      <c r="EJ902" s="319" t="s">
        <v>190</v>
      </c>
      <c r="EK902" s="319" t="s">
        <v>190</v>
      </c>
      <c r="EL902" s="319" t="s">
        <v>190</v>
      </c>
      <c r="EM902" s="319" t="s">
        <v>190</v>
      </c>
      <c r="EN902" s="319" t="s">
        <v>190</v>
      </c>
      <c r="EO902" s="319" t="s">
        <v>190</v>
      </c>
      <c r="EP902" s="319" t="s">
        <v>190</v>
      </c>
      <c r="EQ902" s="319" t="s">
        <v>190</v>
      </c>
      <c r="ER902" s="319" t="s">
        <v>190</v>
      </c>
      <c r="ES902" s="319" t="s">
        <v>190</v>
      </c>
      <c r="ET902" s="319" t="s">
        <v>190</v>
      </c>
      <c r="EU902" s="319" t="s">
        <v>190</v>
      </c>
      <c r="EV902" s="319" t="s">
        <v>190</v>
      </c>
      <c r="EW902" s="319" t="s">
        <v>190</v>
      </c>
      <c r="EX902" s="319" t="s">
        <v>190</v>
      </c>
      <c r="EY902" s="319" t="s">
        <v>190</v>
      </c>
      <c r="EZ902" s="319" t="s">
        <v>190</v>
      </c>
      <c r="FA902" s="319" t="s">
        <v>190</v>
      </c>
      <c r="FB902" s="319" t="s">
        <v>190</v>
      </c>
      <c r="FC902" s="319" t="s">
        <v>190</v>
      </c>
      <c r="FD902" s="319" t="s">
        <v>190</v>
      </c>
      <c r="FE902" s="319" t="s">
        <v>190</v>
      </c>
      <c r="FF902" s="319" t="s">
        <v>190</v>
      </c>
      <c r="FG902" s="319" t="s">
        <v>190</v>
      </c>
      <c r="FH902" s="319" t="s">
        <v>190</v>
      </c>
      <c r="FI902" s="319" t="s">
        <v>190</v>
      </c>
      <c r="FJ902" s="319" t="s">
        <v>190</v>
      </c>
      <c r="FK902" s="319" t="s">
        <v>190</v>
      </c>
      <c r="FL902" s="319" t="s">
        <v>190</v>
      </c>
      <c r="FM902" s="319" t="s">
        <v>190</v>
      </c>
      <c r="FN902" s="319" t="s">
        <v>190</v>
      </c>
      <c r="FO902" s="319" t="s">
        <v>428</v>
      </c>
      <c r="FP902" s="319" t="s">
        <v>190</v>
      </c>
      <c r="FQ902" s="319" t="s">
        <v>190</v>
      </c>
      <c r="FR902" s="319" t="s">
        <v>190</v>
      </c>
      <c r="FS902" s="319" t="s">
        <v>190</v>
      </c>
      <c r="FT902" s="319" t="s">
        <v>190</v>
      </c>
      <c r="FU902" s="319" t="s">
        <v>190</v>
      </c>
      <c r="FV902" s="319" t="s">
        <v>190</v>
      </c>
      <c r="FW902" s="319" t="s">
        <v>190</v>
      </c>
      <c r="FX902" s="319" t="s">
        <v>190</v>
      </c>
      <c r="FY902" s="319" t="s">
        <v>190</v>
      </c>
      <c r="FZ902" s="319" t="s">
        <v>190</v>
      </c>
      <c r="GA902" s="319" t="s">
        <v>190</v>
      </c>
      <c r="GB902" s="319" t="s">
        <v>190</v>
      </c>
      <c r="GC902" s="319" t="s">
        <v>190</v>
      </c>
      <c r="GD902" s="319" t="s">
        <v>190</v>
      </c>
      <c r="GE902" s="319" t="s">
        <v>190</v>
      </c>
      <c r="GF902" s="319" t="s">
        <v>190</v>
      </c>
      <c r="GG902" s="319" t="s">
        <v>190</v>
      </c>
      <c r="GH902" s="319" t="s">
        <v>190</v>
      </c>
      <c r="GI902" s="319" t="s">
        <v>190</v>
      </c>
      <c r="GJ902" s="319" t="s">
        <v>190</v>
      </c>
      <c r="GK902" s="319" t="s">
        <v>428</v>
      </c>
      <c r="GL902" s="319" t="s">
        <v>190</v>
      </c>
      <c r="GM902" s="319" t="s">
        <v>190</v>
      </c>
      <c r="GN902" s="319" t="s">
        <v>190</v>
      </c>
      <c r="GO902" s="319" t="s">
        <v>190</v>
      </c>
      <c r="GP902" s="319" t="s">
        <v>428</v>
      </c>
      <c r="GQ902" s="319" t="s">
        <v>190</v>
      </c>
      <c r="GR902" s="319" t="s">
        <v>190</v>
      </c>
      <c r="GS902" s="319" t="s">
        <v>190</v>
      </c>
      <c r="GT902" s="319" t="s">
        <v>428</v>
      </c>
      <c r="GU902" s="319" t="s">
        <v>428</v>
      </c>
      <c r="GV902" s="319" t="s">
        <v>428</v>
      </c>
      <c r="GW902" s="319" t="s">
        <v>190</v>
      </c>
      <c r="GX902" s="319" t="s">
        <v>190</v>
      </c>
      <c r="GY902" s="319" t="s">
        <v>190</v>
      </c>
      <c r="GZ902" s="319" t="s">
        <v>190</v>
      </c>
      <c r="HA902" s="319" t="s">
        <v>428</v>
      </c>
      <c r="HB902" s="319" t="s">
        <v>428</v>
      </c>
      <c r="HC902" s="319" t="s">
        <v>190</v>
      </c>
      <c r="HD902" s="319" t="s">
        <v>190</v>
      </c>
      <c r="HE902" s="319" t="s">
        <v>190</v>
      </c>
      <c r="HF902" s="319" t="s">
        <v>428</v>
      </c>
      <c r="HG902" s="319" t="s">
        <v>428</v>
      </c>
      <c r="HH902" s="319" t="s">
        <v>190</v>
      </c>
      <c r="HI902" s="319" t="s">
        <v>428</v>
      </c>
      <c r="HJ902" s="319" t="s">
        <v>190</v>
      </c>
      <c r="HK902" s="319" t="s">
        <v>428</v>
      </c>
      <c r="HL902" s="319" t="s">
        <v>190</v>
      </c>
      <c r="HM902" s="319" t="s">
        <v>428</v>
      </c>
      <c r="HN902" s="319" t="s">
        <v>428</v>
      </c>
      <c r="HO902" s="319" t="s">
        <v>428</v>
      </c>
      <c r="HP902" s="319" t="s">
        <v>190</v>
      </c>
      <c r="HQ902" s="319" t="s">
        <v>190</v>
      </c>
      <c r="HR902" s="319" t="s">
        <v>190</v>
      </c>
      <c r="HS902" s="319" t="s">
        <v>190</v>
      </c>
      <c r="HT902" s="319" t="s">
        <v>190</v>
      </c>
      <c r="HU902" s="319" t="s">
        <v>190</v>
      </c>
      <c r="HV902" s="319" t="s">
        <v>190</v>
      </c>
      <c r="HW902" s="319" t="s">
        <v>190</v>
      </c>
      <c r="HX902" s="319" t="s">
        <v>190</v>
      </c>
      <c r="HY902" s="319" t="s">
        <v>190</v>
      </c>
      <c r="HZ902" s="319" t="s">
        <v>190</v>
      </c>
      <c r="IA902" s="319" t="s">
        <v>190</v>
      </c>
      <c r="IB902" s="319" t="s">
        <v>190</v>
      </c>
      <c r="IC902" s="319" t="s">
        <v>190</v>
      </c>
      <c r="ID902" s="319" t="s">
        <v>190</v>
      </c>
      <c r="IE902" s="319" t="s">
        <v>190</v>
      </c>
      <c r="IF902" s="319" t="s">
        <v>190</v>
      </c>
      <c r="IG902" s="319" t="s">
        <v>190</v>
      </c>
      <c r="IH902" s="319" t="s">
        <v>190</v>
      </c>
      <c r="II902" s="319" t="s">
        <v>190</v>
      </c>
      <c r="IJ902" s="319" t="s">
        <v>173</v>
      </c>
      <c r="IK902" s="319" t="s">
        <v>173</v>
      </c>
      <c r="IL902" s="319" t="s">
        <v>173</v>
      </c>
      <c r="IM902" s="319" t="s">
        <v>173</v>
      </c>
      <c r="IN902" s="319" t="s">
        <v>173</v>
      </c>
      <c r="IO902" s="319" t="s">
        <v>173</v>
      </c>
      <c r="IP902" s="319" t="s">
        <v>173</v>
      </c>
      <c r="IQ902" s="321" t="s">
        <v>173</v>
      </c>
      <c r="IR902" s="320" t="s">
        <v>173</v>
      </c>
      <c r="IS902" s="322" t="s">
        <v>173</v>
      </c>
      <c r="IT902" s="319" t="s">
        <v>173</v>
      </c>
    </row>
    <row r="903" spans="1:254" s="271" customFormat="1" x14ac:dyDescent="0.25">
      <c r="A903" s="318" t="str">
        <f>HYPERLINK("http://www.ofsted.gov.uk/inspection-reports/find-inspection-report/provider/ELS/143936 ","Ofsted School Webpage")</f>
        <v>Ofsted School Webpage</v>
      </c>
      <c r="B903" s="319">
        <v>143936</v>
      </c>
      <c r="C903" s="319">
        <v>8886069</v>
      </c>
      <c r="D903" s="319" t="s">
        <v>1127</v>
      </c>
      <c r="E903" s="319" t="s">
        <v>168</v>
      </c>
      <c r="F903" s="319" t="s">
        <v>81</v>
      </c>
      <c r="G903" s="319" t="s">
        <v>81</v>
      </c>
      <c r="H903" s="319" t="s">
        <v>81</v>
      </c>
      <c r="I903" s="319" t="s">
        <v>78</v>
      </c>
      <c r="J903" s="319" t="s">
        <v>424</v>
      </c>
      <c r="K903" s="319" t="s">
        <v>431</v>
      </c>
      <c r="L903" s="319" t="s">
        <v>431</v>
      </c>
      <c r="M903" s="319" t="s">
        <v>469</v>
      </c>
      <c r="N903" s="319" t="s">
        <v>3062</v>
      </c>
      <c r="O903" s="319" t="s">
        <v>1128</v>
      </c>
      <c r="P903" s="319">
        <v>2</v>
      </c>
      <c r="Q903" s="319" t="s">
        <v>429</v>
      </c>
      <c r="R903" s="320">
        <v>10048610</v>
      </c>
      <c r="S903" s="321">
        <v>43263</v>
      </c>
      <c r="T903" s="321">
        <v>43264</v>
      </c>
      <c r="U903" s="321">
        <v>43286</v>
      </c>
      <c r="V903" s="319" t="s">
        <v>435</v>
      </c>
      <c r="W903" s="319" t="s">
        <v>2767</v>
      </c>
      <c r="X903" s="319">
        <v>3</v>
      </c>
      <c r="Y903" s="319" t="s">
        <v>173</v>
      </c>
      <c r="Z903" s="319" t="s">
        <v>173</v>
      </c>
      <c r="AA903" s="319" t="s">
        <v>173</v>
      </c>
      <c r="AB903" s="319">
        <v>3</v>
      </c>
      <c r="AC903" s="319" t="s">
        <v>169</v>
      </c>
      <c r="AD903" s="319" t="s">
        <v>173</v>
      </c>
      <c r="AE903" s="319" t="s">
        <v>173</v>
      </c>
      <c r="AF903" s="319" t="s">
        <v>427</v>
      </c>
      <c r="AG903" s="319" t="s">
        <v>171</v>
      </c>
      <c r="AH903" s="319" t="s">
        <v>190</v>
      </c>
      <c r="AI903" s="319" t="s">
        <v>190</v>
      </c>
      <c r="AJ903" s="319" t="s">
        <v>190</v>
      </c>
      <c r="AK903" s="319" t="s">
        <v>190</v>
      </c>
      <c r="AL903" s="319" t="s">
        <v>190</v>
      </c>
      <c r="AM903" s="319" t="s">
        <v>190</v>
      </c>
      <c r="AN903" s="319" t="s">
        <v>190</v>
      </c>
      <c r="AO903" s="319" t="s">
        <v>190</v>
      </c>
      <c r="AP903" s="319" t="s">
        <v>190</v>
      </c>
      <c r="AQ903" s="319" t="s">
        <v>190</v>
      </c>
      <c r="AR903" s="319" t="s">
        <v>190</v>
      </c>
      <c r="AS903" s="319" t="s">
        <v>190</v>
      </c>
      <c r="AT903" s="319" t="s">
        <v>190</v>
      </c>
      <c r="AU903" s="319" t="s">
        <v>190</v>
      </c>
      <c r="AV903" s="319" t="s">
        <v>190</v>
      </c>
      <c r="AW903" s="319" t="s">
        <v>190</v>
      </c>
      <c r="AX903" s="319" t="s">
        <v>428</v>
      </c>
      <c r="AY903" s="319" t="s">
        <v>190</v>
      </c>
      <c r="AZ903" s="319" t="s">
        <v>190</v>
      </c>
      <c r="BA903" s="319" t="s">
        <v>190</v>
      </c>
      <c r="BB903" s="319" t="s">
        <v>190</v>
      </c>
      <c r="BC903" s="319" t="s">
        <v>190</v>
      </c>
      <c r="BD903" s="319" t="s">
        <v>190</v>
      </c>
      <c r="BE903" s="319" t="s">
        <v>190</v>
      </c>
      <c r="BF903" s="319" t="s">
        <v>428</v>
      </c>
      <c r="BG903" s="319" t="s">
        <v>428</v>
      </c>
      <c r="BH903" s="319" t="s">
        <v>190</v>
      </c>
      <c r="BI903" s="319" t="s">
        <v>190</v>
      </c>
      <c r="BJ903" s="319" t="s">
        <v>190</v>
      </c>
      <c r="BK903" s="319" t="s">
        <v>190</v>
      </c>
      <c r="BL903" s="319" t="s">
        <v>190</v>
      </c>
      <c r="BM903" s="319" t="s">
        <v>190</v>
      </c>
      <c r="BN903" s="319" t="s">
        <v>190</v>
      </c>
      <c r="BO903" s="319" t="s">
        <v>190</v>
      </c>
      <c r="BP903" s="319" t="s">
        <v>190</v>
      </c>
      <c r="BQ903" s="319" t="s">
        <v>190</v>
      </c>
      <c r="BR903" s="319" t="s">
        <v>190</v>
      </c>
      <c r="BS903" s="319" t="s">
        <v>190</v>
      </c>
      <c r="BT903" s="319" t="s">
        <v>190</v>
      </c>
      <c r="BU903" s="319" t="s">
        <v>190</v>
      </c>
      <c r="BV903" s="319" t="s">
        <v>190</v>
      </c>
      <c r="BW903" s="319" t="s">
        <v>190</v>
      </c>
      <c r="BX903" s="319" t="s">
        <v>190</v>
      </c>
      <c r="BY903" s="319" t="s">
        <v>190</v>
      </c>
      <c r="BZ903" s="319" t="s">
        <v>190</v>
      </c>
      <c r="CA903" s="319" t="s">
        <v>190</v>
      </c>
      <c r="CB903" s="319" t="s">
        <v>190</v>
      </c>
      <c r="CC903" s="319" t="s">
        <v>190</v>
      </c>
      <c r="CD903" s="319" t="s">
        <v>190</v>
      </c>
      <c r="CE903" s="319" t="s">
        <v>190</v>
      </c>
      <c r="CF903" s="319" t="s">
        <v>190</v>
      </c>
      <c r="CG903" s="319" t="s">
        <v>190</v>
      </c>
      <c r="CH903" s="319" t="s">
        <v>190</v>
      </c>
      <c r="CI903" s="319" t="s">
        <v>190</v>
      </c>
      <c r="CJ903" s="319" t="s">
        <v>190</v>
      </c>
      <c r="CK903" s="319" t="s">
        <v>190</v>
      </c>
      <c r="CL903" s="319" t="s">
        <v>190</v>
      </c>
      <c r="CM903" s="319" t="s">
        <v>190</v>
      </c>
      <c r="CN903" s="319" t="s">
        <v>428</v>
      </c>
      <c r="CO903" s="319" t="s">
        <v>428</v>
      </c>
      <c r="CP903" s="319" t="s">
        <v>428</v>
      </c>
      <c r="CQ903" s="319" t="s">
        <v>190</v>
      </c>
      <c r="CR903" s="319" t="s">
        <v>190</v>
      </c>
      <c r="CS903" s="319" t="s">
        <v>190</v>
      </c>
      <c r="CT903" s="319" t="s">
        <v>190</v>
      </c>
      <c r="CU903" s="319" t="s">
        <v>190</v>
      </c>
      <c r="CV903" s="319" t="s">
        <v>190</v>
      </c>
      <c r="CW903" s="319" t="s">
        <v>190</v>
      </c>
      <c r="CX903" s="319" t="s">
        <v>190</v>
      </c>
      <c r="CY903" s="319" t="s">
        <v>190</v>
      </c>
      <c r="CZ903" s="319" t="s">
        <v>190</v>
      </c>
      <c r="DA903" s="319" t="s">
        <v>190</v>
      </c>
      <c r="DB903" s="319" t="s">
        <v>190</v>
      </c>
      <c r="DC903" s="319" t="s">
        <v>190</v>
      </c>
      <c r="DD903" s="319" t="s">
        <v>190</v>
      </c>
      <c r="DE903" s="319" t="s">
        <v>190</v>
      </c>
      <c r="DF903" s="319" t="s">
        <v>190</v>
      </c>
      <c r="DG903" s="319" t="s">
        <v>190</v>
      </c>
      <c r="DH903" s="319" t="s">
        <v>190</v>
      </c>
      <c r="DI903" s="319" t="s">
        <v>190</v>
      </c>
      <c r="DJ903" s="319" t="s">
        <v>190</v>
      </c>
      <c r="DK903" s="319" t="s">
        <v>190</v>
      </c>
      <c r="DL903" s="319" t="s">
        <v>190</v>
      </c>
      <c r="DM903" s="319" t="s">
        <v>190</v>
      </c>
      <c r="DN903" s="319" t="s">
        <v>428</v>
      </c>
      <c r="DO903" s="319" t="s">
        <v>190</v>
      </c>
      <c r="DP903" s="319" t="s">
        <v>190</v>
      </c>
      <c r="DQ903" s="319" t="s">
        <v>190</v>
      </c>
      <c r="DR903" s="319" t="s">
        <v>190</v>
      </c>
      <c r="DS903" s="319" t="s">
        <v>190</v>
      </c>
      <c r="DT903" s="319" t="s">
        <v>190</v>
      </c>
      <c r="DU903" s="319" t="s">
        <v>190</v>
      </c>
      <c r="DV903" s="319" t="s">
        <v>173</v>
      </c>
      <c r="DW903" s="319" t="s">
        <v>190</v>
      </c>
      <c r="DX903" s="319" t="s">
        <v>190</v>
      </c>
      <c r="DY903" s="319" t="s">
        <v>190</v>
      </c>
      <c r="DZ903" s="319" t="s">
        <v>190</v>
      </c>
      <c r="EA903" s="319" t="s">
        <v>190</v>
      </c>
      <c r="EB903" s="319" t="s">
        <v>190</v>
      </c>
      <c r="EC903" s="319" t="s">
        <v>428</v>
      </c>
      <c r="ED903" s="319" t="s">
        <v>190</v>
      </c>
      <c r="EE903" s="319" t="s">
        <v>190</v>
      </c>
      <c r="EF903" s="319" t="s">
        <v>190</v>
      </c>
      <c r="EG903" s="319" t="s">
        <v>190</v>
      </c>
      <c r="EH903" s="319" t="s">
        <v>190</v>
      </c>
      <c r="EI903" s="319" t="s">
        <v>190</v>
      </c>
      <c r="EJ903" s="319" t="s">
        <v>190</v>
      </c>
      <c r="EK903" s="319" t="s">
        <v>190</v>
      </c>
      <c r="EL903" s="319" t="s">
        <v>190</v>
      </c>
      <c r="EM903" s="319" t="s">
        <v>190</v>
      </c>
      <c r="EN903" s="319" t="s">
        <v>190</v>
      </c>
      <c r="EO903" s="319" t="s">
        <v>190</v>
      </c>
      <c r="EP903" s="319" t="s">
        <v>190</v>
      </c>
      <c r="EQ903" s="319" t="s">
        <v>190</v>
      </c>
      <c r="ER903" s="319" t="s">
        <v>190</v>
      </c>
      <c r="ES903" s="319" t="s">
        <v>190</v>
      </c>
      <c r="ET903" s="319" t="s">
        <v>190</v>
      </c>
      <c r="EU903" s="319" t="s">
        <v>190</v>
      </c>
      <c r="EV903" s="319" t="s">
        <v>190</v>
      </c>
      <c r="EW903" s="319" t="s">
        <v>190</v>
      </c>
      <c r="EX903" s="319" t="s">
        <v>190</v>
      </c>
      <c r="EY903" s="319" t="s">
        <v>190</v>
      </c>
      <c r="EZ903" s="319" t="s">
        <v>190</v>
      </c>
      <c r="FA903" s="319" t="s">
        <v>428</v>
      </c>
      <c r="FB903" s="319" t="s">
        <v>190</v>
      </c>
      <c r="FC903" s="319" t="s">
        <v>190</v>
      </c>
      <c r="FD903" s="319" t="s">
        <v>190</v>
      </c>
      <c r="FE903" s="319" t="s">
        <v>190</v>
      </c>
      <c r="FF903" s="319" t="s">
        <v>190</v>
      </c>
      <c r="FG903" s="319" t="s">
        <v>190</v>
      </c>
      <c r="FH903" s="319" t="s">
        <v>190</v>
      </c>
      <c r="FI903" s="319" t="s">
        <v>428</v>
      </c>
      <c r="FJ903" s="319" t="s">
        <v>429</v>
      </c>
      <c r="FK903" s="319" t="s">
        <v>428</v>
      </c>
      <c r="FL903" s="319" t="s">
        <v>190</v>
      </c>
      <c r="FM903" s="319" t="s">
        <v>190</v>
      </c>
      <c r="FN903" s="319" t="s">
        <v>190</v>
      </c>
      <c r="FO903" s="319" t="s">
        <v>190</v>
      </c>
      <c r="FP903" s="319" t="s">
        <v>190</v>
      </c>
      <c r="FQ903" s="319" t="s">
        <v>190</v>
      </c>
      <c r="FR903" s="319" t="s">
        <v>190</v>
      </c>
      <c r="FS903" s="319" t="s">
        <v>428</v>
      </c>
      <c r="FT903" s="319" t="s">
        <v>190</v>
      </c>
      <c r="FU903" s="319" t="s">
        <v>190</v>
      </c>
      <c r="FV903" s="319" t="s">
        <v>190</v>
      </c>
      <c r="FW903" s="319" t="s">
        <v>190</v>
      </c>
      <c r="FX903" s="319" t="s">
        <v>190</v>
      </c>
      <c r="FY903" s="319" t="s">
        <v>190</v>
      </c>
      <c r="FZ903" s="319" t="s">
        <v>190</v>
      </c>
      <c r="GA903" s="319" t="s">
        <v>190</v>
      </c>
      <c r="GB903" s="319" t="s">
        <v>190</v>
      </c>
      <c r="GC903" s="319" t="s">
        <v>190</v>
      </c>
      <c r="GD903" s="319" t="s">
        <v>190</v>
      </c>
      <c r="GE903" s="319" t="s">
        <v>190</v>
      </c>
      <c r="GF903" s="319" t="s">
        <v>190</v>
      </c>
      <c r="GG903" s="319" t="s">
        <v>190</v>
      </c>
      <c r="GH903" s="319" t="s">
        <v>190</v>
      </c>
      <c r="GI903" s="319" t="s">
        <v>190</v>
      </c>
      <c r="GJ903" s="319" t="s">
        <v>190</v>
      </c>
      <c r="GK903" s="319" t="s">
        <v>428</v>
      </c>
      <c r="GL903" s="319" t="s">
        <v>190</v>
      </c>
      <c r="GM903" s="319" t="s">
        <v>190</v>
      </c>
      <c r="GN903" s="319" t="s">
        <v>190</v>
      </c>
      <c r="GO903" s="319" t="s">
        <v>190</v>
      </c>
      <c r="GP903" s="319" t="s">
        <v>190</v>
      </c>
      <c r="GQ903" s="319" t="s">
        <v>190</v>
      </c>
      <c r="GR903" s="319" t="s">
        <v>190</v>
      </c>
      <c r="GS903" s="319" t="s">
        <v>190</v>
      </c>
      <c r="GT903" s="319" t="s">
        <v>190</v>
      </c>
      <c r="GU903" s="319" t="s">
        <v>190</v>
      </c>
      <c r="GV903" s="319" t="s">
        <v>190</v>
      </c>
      <c r="GW903" s="319" t="s">
        <v>190</v>
      </c>
      <c r="GX903" s="319" t="s">
        <v>190</v>
      </c>
      <c r="GY903" s="319" t="s">
        <v>190</v>
      </c>
      <c r="GZ903" s="319" t="s">
        <v>190</v>
      </c>
      <c r="HA903" s="319" t="s">
        <v>190</v>
      </c>
      <c r="HB903" s="319" t="s">
        <v>428</v>
      </c>
      <c r="HC903" s="319" t="s">
        <v>190</v>
      </c>
      <c r="HD903" s="319" t="s">
        <v>190</v>
      </c>
      <c r="HE903" s="319" t="s">
        <v>190</v>
      </c>
      <c r="HF903" s="319" t="s">
        <v>190</v>
      </c>
      <c r="HG903" s="319" t="s">
        <v>190</v>
      </c>
      <c r="HH903" s="319" t="s">
        <v>190</v>
      </c>
      <c r="HI903" s="319" t="s">
        <v>190</v>
      </c>
      <c r="HJ903" s="319" t="s">
        <v>190</v>
      </c>
      <c r="HK903" s="319" t="s">
        <v>190</v>
      </c>
      <c r="HL903" s="319" t="s">
        <v>190</v>
      </c>
      <c r="HM903" s="319" t="s">
        <v>190</v>
      </c>
      <c r="HN903" s="319" t="s">
        <v>190</v>
      </c>
      <c r="HO903" s="319" t="s">
        <v>190</v>
      </c>
      <c r="HP903" s="319" t="s">
        <v>190</v>
      </c>
      <c r="HQ903" s="319" t="s">
        <v>190</v>
      </c>
      <c r="HR903" s="319" t="s">
        <v>190</v>
      </c>
      <c r="HS903" s="319" t="s">
        <v>190</v>
      </c>
      <c r="HT903" s="319" t="s">
        <v>190</v>
      </c>
      <c r="HU903" s="319" t="s">
        <v>190</v>
      </c>
      <c r="HV903" s="319" t="s">
        <v>190</v>
      </c>
      <c r="HW903" s="319" t="s">
        <v>190</v>
      </c>
      <c r="HX903" s="319" t="s">
        <v>190</v>
      </c>
      <c r="HY903" s="319" t="s">
        <v>190</v>
      </c>
      <c r="HZ903" s="319" t="s">
        <v>190</v>
      </c>
      <c r="IA903" s="319" t="s">
        <v>190</v>
      </c>
      <c r="IB903" s="319" t="s">
        <v>190</v>
      </c>
      <c r="IC903" s="319" t="s">
        <v>190</v>
      </c>
      <c r="ID903" s="319" t="s">
        <v>190</v>
      </c>
      <c r="IE903" s="319" t="s">
        <v>190</v>
      </c>
      <c r="IF903" s="319" t="s">
        <v>190</v>
      </c>
      <c r="IG903" s="319" t="s">
        <v>190</v>
      </c>
      <c r="IH903" s="319" t="s">
        <v>190</v>
      </c>
      <c r="II903" s="319" t="s">
        <v>190</v>
      </c>
      <c r="IJ903" s="319" t="s">
        <v>173</v>
      </c>
      <c r="IK903" s="319" t="s">
        <v>173</v>
      </c>
      <c r="IL903" s="319" t="s">
        <v>173</v>
      </c>
      <c r="IM903" s="319" t="s">
        <v>173</v>
      </c>
      <c r="IN903" s="319" t="s">
        <v>173</v>
      </c>
      <c r="IO903" s="319" t="s">
        <v>173</v>
      </c>
      <c r="IP903" s="319" t="s">
        <v>173</v>
      </c>
      <c r="IQ903" s="321" t="s">
        <v>173</v>
      </c>
      <c r="IR903" s="320" t="s">
        <v>173</v>
      </c>
      <c r="IS903" s="322" t="s">
        <v>173</v>
      </c>
      <c r="IT903" s="319" t="s">
        <v>173</v>
      </c>
    </row>
    <row r="904" spans="1:254" s="271" customFormat="1" x14ac:dyDescent="0.25">
      <c r="A904" s="318" t="str">
        <f>HYPERLINK("http://www.ofsted.gov.uk/inspection-reports/find-inspection-report/provider/ELS/144033 ","Ofsted School Webpage")</f>
        <v>Ofsted School Webpage</v>
      </c>
      <c r="B904" s="319">
        <v>144033</v>
      </c>
      <c r="C904" s="319">
        <v>8696019</v>
      </c>
      <c r="D904" s="319" t="s">
        <v>3549</v>
      </c>
      <c r="E904" s="319" t="s">
        <v>168</v>
      </c>
      <c r="F904" s="319" t="s">
        <v>81</v>
      </c>
      <c r="G904" s="319" t="s">
        <v>81</v>
      </c>
      <c r="H904" s="319" t="s">
        <v>81</v>
      </c>
      <c r="I904" s="319" t="s">
        <v>78</v>
      </c>
      <c r="J904" s="319" t="s">
        <v>424</v>
      </c>
      <c r="K904" s="319" t="s">
        <v>514</v>
      </c>
      <c r="L904" s="319" t="s">
        <v>514</v>
      </c>
      <c r="M904" s="319" t="s">
        <v>1382</v>
      </c>
      <c r="N904" s="319" t="s">
        <v>3143</v>
      </c>
      <c r="O904" s="319" t="s">
        <v>2432</v>
      </c>
      <c r="P904" s="319">
        <v>30</v>
      </c>
      <c r="Q904" s="319" t="s">
        <v>429</v>
      </c>
      <c r="R904" s="320">
        <v>10043102</v>
      </c>
      <c r="S904" s="321">
        <v>43074</v>
      </c>
      <c r="T904" s="321">
        <v>43076</v>
      </c>
      <c r="U904" s="321">
        <v>43116</v>
      </c>
      <c r="V904" s="319" t="s">
        <v>435</v>
      </c>
      <c r="W904" s="319" t="s">
        <v>2767</v>
      </c>
      <c r="X904" s="319">
        <v>2</v>
      </c>
      <c r="Y904" s="319" t="s">
        <v>173</v>
      </c>
      <c r="Z904" s="319" t="s">
        <v>173</v>
      </c>
      <c r="AA904" s="319" t="s">
        <v>173</v>
      </c>
      <c r="AB904" s="319">
        <v>2</v>
      </c>
      <c r="AC904" s="319" t="s">
        <v>169</v>
      </c>
      <c r="AD904" s="319" t="s">
        <v>173</v>
      </c>
      <c r="AE904" s="319" t="s">
        <v>173</v>
      </c>
      <c r="AF904" s="319" t="s">
        <v>427</v>
      </c>
      <c r="AG904" s="319" t="s">
        <v>171</v>
      </c>
      <c r="AH904" s="319" t="s">
        <v>190</v>
      </c>
      <c r="AI904" s="319" t="s">
        <v>190</v>
      </c>
      <c r="AJ904" s="319" t="s">
        <v>190</v>
      </c>
      <c r="AK904" s="319" t="s">
        <v>190</v>
      </c>
      <c r="AL904" s="319" t="s">
        <v>190</v>
      </c>
      <c r="AM904" s="319" t="s">
        <v>190</v>
      </c>
      <c r="AN904" s="319" t="s">
        <v>190</v>
      </c>
      <c r="AO904" s="319" t="s">
        <v>190</v>
      </c>
      <c r="AP904" s="319" t="s">
        <v>190</v>
      </c>
      <c r="AQ904" s="319" t="s">
        <v>190</v>
      </c>
      <c r="AR904" s="319" t="s">
        <v>190</v>
      </c>
      <c r="AS904" s="319" t="s">
        <v>190</v>
      </c>
      <c r="AT904" s="319" t="s">
        <v>190</v>
      </c>
      <c r="AU904" s="319" t="s">
        <v>190</v>
      </c>
      <c r="AV904" s="319" t="s">
        <v>190</v>
      </c>
      <c r="AW904" s="319" t="s">
        <v>190</v>
      </c>
      <c r="AX904" s="319" t="s">
        <v>428</v>
      </c>
      <c r="AY904" s="319" t="s">
        <v>190</v>
      </c>
      <c r="AZ904" s="319" t="s">
        <v>190</v>
      </c>
      <c r="BA904" s="319" t="s">
        <v>190</v>
      </c>
      <c r="BB904" s="319" t="s">
        <v>190</v>
      </c>
      <c r="BC904" s="319" t="s">
        <v>190</v>
      </c>
      <c r="BD904" s="319" t="s">
        <v>190</v>
      </c>
      <c r="BE904" s="319" t="s">
        <v>190</v>
      </c>
      <c r="BF904" s="319" t="s">
        <v>428</v>
      </c>
      <c r="BG904" s="319" t="s">
        <v>428</v>
      </c>
      <c r="BH904" s="319" t="s">
        <v>190</v>
      </c>
      <c r="BI904" s="319" t="s">
        <v>190</v>
      </c>
      <c r="BJ904" s="319" t="s">
        <v>190</v>
      </c>
      <c r="BK904" s="319" t="s">
        <v>190</v>
      </c>
      <c r="BL904" s="319" t="s">
        <v>190</v>
      </c>
      <c r="BM904" s="319" t="s">
        <v>190</v>
      </c>
      <c r="BN904" s="319" t="s">
        <v>190</v>
      </c>
      <c r="BO904" s="319" t="s">
        <v>190</v>
      </c>
      <c r="BP904" s="319" t="s">
        <v>190</v>
      </c>
      <c r="BQ904" s="319" t="s">
        <v>190</v>
      </c>
      <c r="BR904" s="319" t="s">
        <v>190</v>
      </c>
      <c r="BS904" s="319" t="s">
        <v>190</v>
      </c>
      <c r="BT904" s="319" t="s">
        <v>190</v>
      </c>
      <c r="BU904" s="319" t="s">
        <v>190</v>
      </c>
      <c r="BV904" s="319" t="s">
        <v>190</v>
      </c>
      <c r="BW904" s="319" t="s">
        <v>190</v>
      </c>
      <c r="BX904" s="319" t="s">
        <v>190</v>
      </c>
      <c r="BY904" s="319" t="s">
        <v>190</v>
      </c>
      <c r="BZ904" s="319" t="s">
        <v>190</v>
      </c>
      <c r="CA904" s="319" t="s">
        <v>190</v>
      </c>
      <c r="CB904" s="319" t="s">
        <v>190</v>
      </c>
      <c r="CC904" s="319" t="s">
        <v>190</v>
      </c>
      <c r="CD904" s="319" t="s">
        <v>190</v>
      </c>
      <c r="CE904" s="319" t="s">
        <v>190</v>
      </c>
      <c r="CF904" s="319" t="s">
        <v>190</v>
      </c>
      <c r="CG904" s="319" t="s">
        <v>190</v>
      </c>
      <c r="CH904" s="319" t="s">
        <v>190</v>
      </c>
      <c r="CI904" s="319" t="s">
        <v>190</v>
      </c>
      <c r="CJ904" s="319" t="s">
        <v>190</v>
      </c>
      <c r="CK904" s="319" t="s">
        <v>190</v>
      </c>
      <c r="CL904" s="319" t="s">
        <v>190</v>
      </c>
      <c r="CM904" s="319" t="s">
        <v>190</v>
      </c>
      <c r="CN904" s="319" t="s">
        <v>428</v>
      </c>
      <c r="CO904" s="319" t="s">
        <v>428</v>
      </c>
      <c r="CP904" s="319" t="s">
        <v>428</v>
      </c>
      <c r="CQ904" s="319" t="s">
        <v>190</v>
      </c>
      <c r="CR904" s="319" t="s">
        <v>190</v>
      </c>
      <c r="CS904" s="319" t="s">
        <v>190</v>
      </c>
      <c r="CT904" s="319" t="s">
        <v>190</v>
      </c>
      <c r="CU904" s="319" t="s">
        <v>190</v>
      </c>
      <c r="CV904" s="319" t="s">
        <v>190</v>
      </c>
      <c r="CW904" s="319" t="s">
        <v>190</v>
      </c>
      <c r="CX904" s="319" t="s">
        <v>190</v>
      </c>
      <c r="CY904" s="319" t="s">
        <v>190</v>
      </c>
      <c r="CZ904" s="319" t="s">
        <v>190</v>
      </c>
      <c r="DA904" s="319" t="s">
        <v>190</v>
      </c>
      <c r="DB904" s="319" t="s">
        <v>190</v>
      </c>
      <c r="DC904" s="319" t="s">
        <v>190</v>
      </c>
      <c r="DD904" s="319" t="s">
        <v>190</v>
      </c>
      <c r="DE904" s="319" t="s">
        <v>190</v>
      </c>
      <c r="DF904" s="319" t="s">
        <v>190</v>
      </c>
      <c r="DG904" s="319" t="s">
        <v>190</v>
      </c>
      <c r="DH904" s="319" t="s">
        <v>190</v>
      </c>
      <c r="DI904" s="319" t="s">
        <v>190</v>
      </c>
      <c r="DJ904" s="319" t="s">
        <v>190</v>
      </c>
      <c r="DK904" s="319" t="s">
        <v>190</v>
      </c>
      <c r="DL904" s="319" t="s">
        <v>190</v>
      </c>
      <c r="DM904" s="319" t="s">
        <v>190</v>
      </c>
      <c r="DN904" s="319" t="s">
        <v>428</v>
      </c>
      <c r="DO904" s="319" t="s">
        <v>190</v>
      </c>
      <c r="DP904" s="319" t="s">
        <v>190</v>
      </c>
      <c r="DQ904" s="319" t="s">
        <v>190</v>
      </c>
      <c r="DR904" s="319" t="s">
        <v>190</v>
      </c>
      <c r="DS904" s="319" t="s">
        <v>190</v>
      </c>
      <c r="DT904" s="319" t="s">
        <v>190</v>
      </c>
      <c r="DU904" s="319" t="s">
        <v>190</v>
      </c>
      <c r="DV904" s="319" t="s">
        <v>173</v>
      </c>
      <c r="DW904" s="319" t="s">
        <v>190</v>
      </c>
      <c r="DX904" s="319" t="s">
        <v>190</v>
      </c>
      <c r="DY904" s="319" t="s">
        <v>190</v>
      </c>
      <c r="DZ904" s="319" t="s">
        <v>190</v>
      </c>
      <c r="EA904" s="319" t="s">
        <v>190</v>
      </c>
      <c r="EB904" s="319" t="s">
        <v>190</v>
      </c>
      <c r="EC904" s="319" t="s">
        <v>428</v>
      </c>
      <c r="ED904" s="319" t="s">
        <v>190</v>
      </c>
      <c r="EE904" s="319" t="s">
        <v>190</v>
      </c>
      <c r="EF904" s="319" t="s">
        <v>190</v>
      </c>
      <c r="EG904" s="319" t="s">
        <v>190</v>
      </c>
      <c r="EH904" s="319" t="s">
        <v>190</v>
      </c>
      <c r="EI904" s="319" t="s">
        <v>190</v>
      </c>
      <c r="EJ904" s="319" t="s">
        <v>190</v>
      </c>
      <c r="EK904" s="319" t="s">
        <v>190</v>
      </c>
      <c r="EL904" s="319" t="s">
        <v>190</v>
      </c>
      <c r="EM904" s="319" t="s">
        <v>190</v>
      </c>
      <c r="EN904" s="319" t="s">
        <v>190</v>
      </c>
      <c r="EO904" s="319" t="s">
        <v>190</v>
      </c>
      <c r="EP904" s="319" t="s">
        <v>190</v>
      </c>
      <c r="EQ904" s="319" t="s">
        <v>190</v>
      </c>
      <c r="ER904" s="319" t="s">
        <v>190</v>
      </c>
      <c r="ES904" s="319" t="s">
        <v>190</v>
      </c>
      <c r="ET904" s="319" t="s">
        <v>190</v>
      </c>
      <c r="EU904" s="319" t="s">
        <v>190</v>
      </c>
      <c r="EV904" s="319" t="s">
        <v>190</v>
      </c>
      <c r="EW904" s="319" t="s">
        <v>190</v>
      </c>
      <c r="EX904" s="319" t="s">
        <v>190</v>
      </c>
      <c r="EY904" s="319" t="s">
        <v>190</v>
      </c>
      <c r="EZ904" s="319" t="s">
        <v>190</v>
      </c>
      <c r="FA904" s="319" t="s">
        <v>428</v>
      </c>
      <c r="FB904" s="319" t="s">
        <v>428</v>
      </c>
      <c r="FC904" s="319" t="s">
        <v>428</v>
      </c>
      <c r="FD904" s="319" t="s">
        <v>428</v>
      </c>
      <c r="FE904" s="319" t="s">
        <v>428</v>
      </c>
      <c r="FF904" s="319" t="s">
        <v>428</v>
      </c>
      <c r="FG904" s="319" t="s">
        <v>428</v>
      </c>
      <c r="FH904" s="319" t="s">
        <v>190</v>
      </c>
      <c r="FI904" s="319" t="s">
        <v>428</v>
      </c>
      <c r="FJ904" s="319" t="s">
        <v>190</v>
      </c>
      <c r="FK904" s="319" t="s">
        <v>190</v>
      </c>
      <c r="FL904" s="319" t="s">
        <v>190</v>
      </c>
      <c r="FM904" s="319" t="s">
        <v>190</v>
      </c>
      <c r="FN904" s="319" t="s">
        <v>190</v>
      </c>
      <c r="FO904" s="319" t="s">
        <v>190</v>
      </c>
      <c r="FP904" s="319" t="s">
        <v>190</v>
      </c>
      <c r="FQ904" s="319" t="s">
        <v>190</v>
      </c>
      <c r="FR904" s="319" t="s">
        <v>190</v>
      </c>
      <c r="FS904" s="319" t="s">
        <v>428</v>
      </c>
      <c r="FT904" s="319" t="s">
        <v>190</v>
      </c>
      <c r="FU904" s="319" t="s">
        <v>190</v>
      </c>
      <c r="FV904" s="319" t="s">
        <v>190</v>
      </c>
      <c r="FW904" s="319" t="s">
        <v>190</v>
      </c>
      <c r="FX904" s="319" t="s">
        <v>190</v>
      </c>
      <c r="FY904" s="319" t="s">
        <v>190</v>
      </c>
      <c r="FZ904" s="319" t="s">
        <v>190</v>
      </c>
      <c r="GA904" s="319" t="s">
        <v>190</v>
      </c>
      <c r="GB904" s="319" t="s">
        <v>190</v>
      </c>
      <c r="GC904" s="319" t="s">
        <v>190</v>
      </c>
      <c r="GD904" s="319" t="s">
        <v>190</v>
      </c>
      <c r="GE904" s="319" t="s">
        <v>190</v>
      </c>
      <c r="GF904" s="319" t="s">
        <v>190</v>
      </c>
      <c r="GG904" s="319" t="s">
        <v>190</v>
      </c>
      <c r="GH904" s="319" t="s">
        <v>190</v>
      </c>
      <c r="GI904" s="319" t="s">
        <v>190</v>
      </c>
      <c r="GJ904" s="319" t="s">
        <v>190</v>
      </c>
      <c r="GK904" s="319" t="s">
        <v>428</v>
      </c>
      <c r="GL904" s="319" t="s">
        <v>190</v>
      </c>
      <c r="GM904" s="319" t="s">
        <v>190</v>
      </c>
      <c r="GN904" s="319" t="s">
        <v>190</v>
      </c>
      <c r="GO904" s="319" t="s">
        <v>190</v>
      </c>
      <c r="GP904" s="319" t="s">
        <v>190</v>
      </c>
      <c r="GQ904" s="319" t="s">
        <v>428</v>
      </c>
      <c r="GR904" s="319" t="s">
        <v>190</v>
      </c>
      <c r="GS904" s="319" t="s">
        <v>190</v>
      </c>
      <c r="GT904" s="319" t="s">
        <v>190</v>
      </c>
      <c r="GU904" s="319" t="s">
        <v>190</v>
      </c>
      <c r="GV904" s="319" t="s">
        <v>190</v>
      </c>
      <c r="GW904" s="319" t="s">
        <v>190</v>
      </c>
      <c r="GX904" s="319" t="s">
        <v>190</v>
      </c>
      <c r="GY904" s="319" t="s">
        <v>190</v>
      </c>
      <c r="GZ904" s="319" t="s">
        <v>190</v>
      </c>
      <c r="HA904" s="319" t="s">
        <v>190</v>
      </c>
      <c r="HB904" s="319" t="s">
        <v>190</v>
      </c>
      <c r="HC904" s="319" t="s">
        <v>190</v>
      </c>
      <c r="HD904" s="319" t="s">
        <v>190</v>
      </c>
      <c r="HE904" s="319" t="s">
        <v>190</v>
      </c>
      <c r="HF904" s="319" t="s">
        <v>190</v>
      </c>
      <c r="HG904" s="319" t="s">
        <v>190</v>
      </c>
      <c r="HH904" s="319" t="s">
        <v>190</v>
      </c>
      <c r="HI904" s="319" t="s">
        <v>190</v>
      </c>
      <c r="HJ904" s="319" t="s">
        <v>190</v>
      </c>
      <c r="HK904" s="319" t="s">
        <v>190</v>
      </c>
      <c r="HL904" s="319" t="s">
        <v>190</v>
      </c>
      <c r="HM904" s="319" t="s">
        <v>428</v>
      </c>
      <c r="HN904" s="319" t="s">
        <v>428</v>
      </c>
      <c r="HO904" s="319" t="s">
        <v>428</v>
      </c>
      <c r="HP904" s="319" t="s">
        <v>190</v>
      </c>
      <c r="HQ904" s="319" t="s">
        <v>190</v>
      </c>
      <c r="HR904" s="319" t="s">
        <v>190</v>
      </c>
      <c r="HS904" s="319" t="s">
        <v>190</v>
      </c>
      <c r="HT904" s="319" t="s">
        <v>190</v>
      </c>
      <c r="HU904" s="319" t="s">
        <v>190</v>
      </c>
      <c r="HV904" s="319" t="s">
        <v>190</v>
      </c>
      <c r="HW904" s="319" t="s">
        <v>190</v>
      </c>
      <c r="HX904" s="319" t="s">
        <v>190</v>
      </c>
      <c r="HY904" s="319" t="s">
        <v>190</v>
      </c>
      <c r="HZ904" s="319" t="s">
        <v>190</v>
      </c>
      <c r="IA904" s="319" t="s">
        <v>190</v>
      </c>
      <c r="IB904" s="319" t="s">
        <v>190</v>
      </c>
      <c r="IC904" s="319" t="s">
        <v>190</v>
      </c>
      <c r="ID904" s="319" t="s">
        <v>190</v>
      </c>
      <c r="IE904" s="319" t="s">
        <v>190</v>
      </c>
      <c r="IF904" s="319" t="s">
        <v>190</v>
      </c>
      <c r="IG904" s="319" t="s">
        <v>190</v>
      </c>
      <c r="IH904" s="319" t="s">
        <v>190</v>
      </c>
      <c r="II904" s="319" t="s">
        <v>190</v>
      </c>
      <c r="IJ904" s="319" t="s">
        <v>173</v>
      </c>
      <c r="IK904" s="319" t="s">
        <v>173</v>
      </c>
      <c r="IL904" s="319" t="s">
        <v>173</v>
      </c>
      <c r="IM904" s="319" t="s">
        <v>173</v>
      </c>
      <c r="IN904" s="319" t="s">
        <v>173</v>
      </c>
      <c r="IO904" s="319" t="s">
        <v>173</v>
      </c>
      <c r="IP904" s="319" t="s">
        <v>173</v>
      </c>
      <c r="IQ904" s="321" t="s">
        <v>173</v>
      </c>
      <c r="IR904" s="320" t="s">
        <v>173</v>
      </c>
      <c r="IS904" s="322" t="s">
        <v>173</v>
      </c>
      <c r="IT904" s="319" t="s">
        <v>173</v>
      </c>
    </row>
    <row r="905" spans="1:254" s="271" customFormat="1" x14ac:dyDescent="0.25">
      <c r="A905" s="318" t="str">
        <f>HYPERLINK("http://www.ofsted.gov.uk/inspection-reports/find-inspection-report/provider/ELS/144363 ","Ofsted School Webpage")</f>
        <v>Ofsted School Webpage</v>
      </c>
      <c r="B905" s="319">
        <v>144363</v>
      </c>
      <c r="C905" s="319">
        <v>3026017</v>
      </c>
      <c r="D905" s="319" t="s">
        <v>2433</v>
      </c>
      <c r="E905" s="319" t="s">
        <v>167</v>
      </c>
      <c r="F905" s="319" t="s">
        <v>81</v>
      </c>
      <c r="G905" s="319" t="s">
        <v>70</v>
      </c>
      <c r="H905" s="319" t="s">
        <v>70</v>
      </c>
      <c r="I905" s="319" t="s">
        <v>69</v>
      </c>
      <c r="J905" s="319" t="s">
        <v>424</v>
      </c>
      <c r="K905" s="319" t="s">
        <v>441</v>
      </c>
      <c r="L905" s="319" t="s">
        <v>441</v>
      </c>
      <c r="M905" s="319" t="s">
        <v>544</v>
      </c>
      <c r="N905" s="319" t="s">
        <v>2816</v>
      </c>
      <c r="O905" s="319" t="s">
        <v>1148</v>
      </c>
      <c r="P905" s="319">
        <v>24</v>
      </c>
      <c r="Q905" s="319" t="s">
        <v>2766</v>
      </c>
      <c r="R905" s="320">
        <v>10041408</v>
      </c>
      <c r="S905" s="321">
        <v>43270</v>
      </c>
      <c r="T905" s="321">
        <v>43272</v>
      </c>
      <c r="U905" s="321">
        <v>43384</v>
      </c>
      <c r="V905" s="319" t="s">
        <v>435</v>
      </c>
      <c r="W905" s="319" t="s">
        <v>2767</v>
      </c>
      <c r="X905" s="319">
        <v>4</v>
      </c>
      <c r="Y905" s="319" t="s">
        <v>173</v>
      </c>
      <c r="Z905" s="319" t="s">
        <v>173</v>
      </c>
      <c r="AA905" s="319" t="s">
        <v>173</v>
      </c>
      <c r="AB905" s="319">
        <v>4</v>
      </c>
      <c r="AC905" s="319" t="s">
        <v>170</v>
      </c>
      <c r="AD905" s="319" t="s">
        <v>173</v>
      </c>
      <c r="AE905" s="319" t="s">
        <v>173</v>
      </c>
      <c r="AF905" s="319" t="s">
        <v>427</v>
      </c>
      <c r="AG905" s="319" t="s">
        <v>172</v>
      </c>
      <c r="AH905" s="319" t="s">
        <v>479</v>
      </c>
      <c r="AI905" s="319" t="s">
        <v>190</v>
      </c>
      <c r="AJ905" s="319" t="s">
        <v>479</v>
      </c>
      <c r="AK905" s="319" t="s">
        <v>479</v>
      </c>
      <c r="AL905" s="319" t="s">
        <v>479</v>
      </c>
      <c r="AM905" s="319" t="s">
        <v>190</v>
      </c>
      <c r="AN905" s="319" t="s">
        <v>190</v>
      </c>
      <c r="AO905" s="319" t="s">
        <v>479</v>
      </c>
      <c r="AP905" s="319" t="s">
        <v>191</v>
      </c>
      <c r="AQ905" s="319" t="s">
        <v>191</v>
      </c>
      <c r="AR905" s="319" t="s">
        <v>191</v>
      </c>
      <c r="AS905" s="319" t="s">
        <v>191</v>
      </c>
      <c r="AT905" s="319" t="s">
        <v>190</v>
      </c>
      <c r="AU905" s="319" t="s">
        <v>191</v>
      </c>
      <c r="AV905" s="319" t="s">
        <v>191</v>
      </c>
      <c r="AW905" s="319" t="s">
        <v>190</v>
      </c>
      <c r="AX905" s="319" t="s">
        <v>428</v>
      </c>
      <c r="AY905" s="319" t="s">
        <v>190</v>
      </c>
      <c r="AZ905" s="319" t="s">
        <v>190</v>
      </c>
      <c r="BA905" s="319" t="s">
        <v>190</v>
      </c>
      <c r="BB905" s="319" t="s">
        <v>190</v>
      </c>
      <c r="BC905" s="319" t="s">
        <v>190</v>
      </c>
      <c r="BD905" s="319" t="s">
        <v>190</v>
      </c>
      <c r="BE905" s="319" t="s">
        <v>190</v>
      </c>
      <c r="BF905" s="319" t="s">
        <v>428</v>
      </c>
      <c r="BG905" s="319" t="s">
        <v>428</v>
      </c>
      <c r="BH905" s="319" t="s">
        <v>190</v>
      </c>
      <c r="BI905" s="319" t="s">
        <v>190</v>
      </c>
      <c r="BJ905" s="319" t="s">
        <v>191</v>
      </c>
      <c r="BK905" s="319" t="s">
        <v>191</v>
      </c>
      <c r="BL905" s="319" t="s">
        <v>191</v>
      </c>
      <c r="BM905" s="319" t="s">
        <v>191</v>
      </c>
      <c r="BN905" s="319" t="s">
        <v>191</v>
      </c>
      <c r="BO905" s="319" t="s">
        <v>191</v>
      </c>
      <c r="BP905" s="319" t="s">
        <v>191</v>
      </c>
      <c r="BQ905" s="319" t="s">
        <v>191</v>
      </c>
      <c r="BR905" s="319" t="s">
        <v>190</v>
      </c>
      <c r="BS905" s="319" t="s">
        <v>190</v>
      </c>
      <c r="BT905" s="319" t="s">
        <v>190</v>
      </c>
      <c r="BU905" s="319" t="s">
        <v>191</v>
      </c>
      <c r="BV905" s="319" t="s">
        <v>190</v>
      </c>
      <c r="BW905" s="319" t="s">
        <v>190</v>
      </c>
      <c r="BX905" s="319" t="s">
        <v>190</v>
      </c>
      <c r="BY905" s="319" t="s">
        <v>190</v>
      </c>
      <c r="BZ905" s="319" t="s">
        <v>190</v>
      </c>
      <c r="CA905" s="319" t="s">
        <v>190</v>
      </c>
      <c r="CB905" s="319" t="s">
        <v>190</v>
      </c>
      <c r="CC905" s="319" t="s">
        <v>190</v>
      </c>
      <c r="CD905" s="319" t="s">
        <v>190</v>
      </c>
      <c r="CE905" s="319" t="s">
        <v>190</v>
      </c>
      <c r="CF905" s="319" t="s">
        <v>190</v>
      </c>
      <c r="CG905" s="319" t="s">
        <v>190</v>
      </c>
      <c r="CH905" s="319" t="s">
        <v>190</v>
      </c>
      <c r="CI905" s="319" t="s">
        <v>190</v>
      </c>
      <c r="CJ905" s="319" t="s">
        <v>190</v>
      </c>
      <c r="CK905" s="319" t="s">
        <v>191</v>
      </c>
      <c r="CL905" s="319" t="s">
        <v>191</v>
      </c>
      <c r="CM905" s="319" t="s">
        <v>191</v>
      </c>
      <c r="CN905" s="319" t="s">
        <v>428</v>
      </c>
      <c r="CO905" s="319" t="s">
        <v>428</v>
      </c>
      <c r="CP905" s="319" t="s">
        <v>428</v>
      </c>
      <c r="CQ905" s="319" t="s">
        <v>190</v>
      </c>
      <c r="CR905" s="319" t="s">
        <v>190</v>
      </c>
      <c r="CS905" s="319" t="s">
        <v>190</v>
      </c>
      <c r="CT905" s="319" t="s">
        <v>190</v>
      </c>
      <c r="CU905" s="319" t="s">
        <v>190</v>
      </c>
      <c r="CV905" s="319" t="s">
        <v>190</v>
      </c>
      <c r="CW905" s="319" t="s">
        <v>190</v>
      </c>
      <c r="CX905" s="319" t="s">
        <v>190</v>
      </c>
      <c r="CY905" s="319" t="s">
        <v>190</v>
      </c>
      <c r="CZ905" s="319" t="s">
        <v>190</v>
      </c>
      <c r="DA905" s="319" t="s">
        <v>190</v>
      </c>
      <c r="DB905" s="319" t="s">
        <v>190</v>
      </c>
      <c r="DC905" s="319" t="s">
        <v>190</v>
      </c>
      <c r="DD905" s="319" t="s">
        <v>191</v>
      </c>
      <c r="DE905" s="319" t="s">
        <v>191</v>
      </c>
      <c r="DF905" s="319" t="s">
        <v>191</v>
      </c>
      <c r="DG905" s="319" t="s">
        <v>191</v>
      </c>
      <c r="DH905" s="319" t="s">
        <v>190</v>
      </c>
      <c r="DI905" s="319" t="s">
        <v>191</v>
      </c>
      <c r="DJ905" s="319" t="s">
        <v>191</v>
      </c>
      <c r="DK905" s="319" t="s">
        <v>191</v>
      </c>
      <c r="DL905" s="319" t="s">
        <v>190</v>
      </c>
      <c r="DM905" s="319" t="s">
        <v>191</v>
      </c>
      <c r="DN905" s="319" t="s">
        <v>428</v>
      </c>
      <c r="DO905" s="319" t="s">
        <v>190</v>
      </c>
      <c r="DP905" s="319" t="s">
        <v>428</v>
      </c>
      <c r="DQ905" s="319" t="s">
        <v>428</v>
      </c>
      <c r="DR905" s="319" t="s">
        <v>428</v>
      </c>
      <c r="DS905" s="319" t="s">
        <v>428</v>
      </c>
      <c r="DT905" s="319" t="s">
        <v>428</v>
      </c>
      <c r="DU905" s="319" t="s">
        <v>428</v>
      </c>
      <c r="DV905" s="319" t="s">
        <v>173</v>
      </c>
      <c r="DW905" s="319" t="s">
        <v>428</v>
      </c>
      <c r="DX905" s="319" t="s">
        <v>428</v>
      </c>
      <c r="DY905" s="319" t="s">
        <v>428</v>
      </c>
      <c r="DZ905" s="319" t="s">
        <v>428</v>
      </c>
      <c r="EA905" s="319" t="s">
        <v>428</v>
      </c>
      <c r="EB905" s="319" t="s">
        <v>428</v>
      </c>
      <c r="EC905" s="319" t="s">
        <v>428</v>
      </c>
      <c r="ED905" s="319" t="s">
        <v>428</v>
      </c>
      <c r="EE905" s="319" t="s">
        <v>190</v>
      </c>
      <c r="EF905" s="319" t="s">
        <v>190</v>
      </c>
      <c r="EG905" s="319" t="s">
        <v>190</v>
      </c>
      <c r="EH905" s="319" t="s">
        <v>190</v>
      </c>
      <c r="EI905" s="319" t="s">
        <v>190</v>
      </c>
      <c r="EJ905" s="319" t="s">
        <v>190</v>
      </c>
      <c r="EK905" s="319" t="s">
        <v>190</v>
      </c>
      <c r="EL905" s="319" t="s">
        <v>190</v>
      </c>
      <c r="EM905" s="319" t="s">
        <v>190</v>
      </c>
      <c r="EN905" s="319" t="s">
        <v>190</v>
      </c>
      <c r="EO905" s="319" t="s">
        <v>190</v>
      </c>
      <c r="EP905" s="319" t="s">
        <v>190</v>
      </c>
      <c r="EQ905" s="319" t="s">
        <v>190</v>
      </c>
      <c r="ER905" s="319" t="s">
        <v>190</v>
      </c>
      <c r="ES905" s="319" t="s">
        <v>190</v>
      </c>
      <c r="ET905" s="319" t="s">
        <v>190</v>
      </c>
      <c r="EU905" s="319" t="s">
        <v>191</v>
      </c>
      <c r="EV905" s="319" t="s">
        <v>190</v>
      </c>
      <c r="EW905" s="319" t="s">
        <v>190</v>
      </c>
      <c r="EX905" s="319" t="s">
        <v>191</v>
      </c>
      <c r="EY905" s="319" t="s">
        <v>191</v>
      </c>
      <c r="EZ905" s="319" t="s">
        <v>191</v>
      </c>
      <c r="FA905" s="319" t="s">
        <v>190</v>
      </c>
      <c r="FB905" s="319" t="s">
        <v>428</v>
      </c>
      <c r="FC905" s="319" t="s">
        <v>428</v>
      </c>
      <c r="FD905" s="319" t="s">
        <v>428</v>
      </c>
      <c r="FE905" s="319" t="s">
        <v>428</v>
      </c>
      <c r="FF905" s="319" t="s">
        <v>428</v>
      </c>
      <c r="FG905" s="319" t="s">
        <v>428</v>
      </c>
      <c r="FH905" s="319" t="s">
        <v>428</v>
      </c>
      <c r="FI905" s="319" t="s">
        <v>190</v>
      </c>
      <c r="FJ905" s="319" t="s">
        <v>190</v>
      </c>
      <c r="FK905" s="319" t="s">
        <v>190</v>
      </c>
      <c r="FL905" s="319" t="s">
        <v>191</v>
      </c>
      <c r="FM905" s="319" t="s">
        <v>190</v>
      </c>
      <c r="FN905" s="319" t="s">
        <v>428</v>
      </c>
      <c r="FO905" s="319" t="s">
        <v>191</v>
      </c>
      <c r="FP905" s="319" t="s">
        <v>190</v>
      </c>
      <c r="FQ905" s="319" t="s">
        <v>190</v>
      </c>
      <c r="FR905" s="319" t="s">
        <v>190</v>
      </c>
      <c r="FS905" s="319" t="s">
        <v>428</v>
      </c>
      <c r="FT905" s="319" t="s">
        <v>190</v>
      </c>
      <c r="FU905" s="319" t="s">
        <v>190</v>
      </c>
      <c r="FV905" s="319" t="s">
        <v>190</v>
      </c>
      <c r="FW905" s="319" t="s">
        <v>190</v>
      </c>
      <c r="FX905" s="319" t="s">
        <v>190</v>
      </c>
      <c r="FY905" s="319" t="s">
        <v>190</v>
      </c>
      <c r="FZ905" s="319" t="s">
        <v>190</v>
      </c>
      <c r="GA905" s="319" t="s">
        <v>190</v>
      </c>
      <c r="GB905" s="319" t="s">
        <v>190</v>
      </c>
      <c r="GC905" s="319" t="s">
        <v>190</v>
      </c>
      <c r="GD905" s="319" t="s">
        <v>190</v>
      </c>
      <c r="GE905" s="319" t="s">
        <v>190</v>
      </c>
      <c r="GF905" s="319" t="s">
        <v>190</v>
      </c>
      <c r="GG905" s="319" t="s">
        <v>190</v>
      </c>
      <c r="GH905" s="319" t="s">
        <v>190</v>
      </c>
      <c r="GI905" s="319" t="s">
        <v>190</v>
      </c>
      <c r="GJ905" s="319" t="s">
        <v>190</v>
      </c>
      <c r="GK905" s="319" t="s">
        <v>190</v>
      </c>
      <c r="GL905" s="319" t="s">
        <v>190</v>
      </c>
      <c r="GM905" s="319" t="s">
        <v>190</v>
      </c>
      <c r="GN905" s="319" t="s">
        <v>190</v>
      </c>
      <c r="GO905" s="319" t="s">
        <v>190</v>
      </c>
      <c r="GP905" s="319" t="s">
        <v>190</v>
      </c>
      <c r="GQ905" s="319" t="s">
        <v>190</v>
      </c>
      <c r="GR905" s="319" t="s">
        <v>190</v>
      </c>
      <c r="GS905" s="319" t="s">
        <v>190</v>
      </c>
      <c r="GT905" s="319" t="s">
        <v>190</v>
      </c>
      <c r="GU905" s="319" t="s">
        <v>190</v>
      </c>
      <c r="GV905" s="319" t="s">
        <v>190</v>
      </c>
      <c r="GW905" s="319" t="s">
        <v>190</v>
      </c>
      <c r="GX905" s="319" t="s">
        <v>190</v>
      </c>
      <c r="GY905" s="319" t="s">
        <v>190</v>
      </c>
      <c r="GZ905" s="319" t="s">
        <v>190</v>
      </c>
      <c r="HA905" s="319" t="s">
        <v>190</v>
      </c>
      <c r="HB905" s="319" t="s">
        <v>190</v>
      </c>
      <c r="HC905" s="319" t="s">
        <v>190</v>
      </c>
      <c r="HD905" s="319" t="s">
        <v>190</v>
      </c>
      <c r="HE905" s="319" t="s">
        <v>190</v>
      </c>
      <c r="HF905" s="319" t="s">
        <v>190</v>
      </c>
      <c r="HG905" s="319" t="s">
        <v>190</v>
      </c>
      <c r="HH905" s="319" t="s">
        <v>190</v>
      </c>
      <c r="HI905" s="319" t="s">
        <v>190</v>
      </c>
      <c r="HJ905" s="319" t="s">
        <v>190</v>
      </c>
      <c r="HK905" s="319" t="s">
        <v>190</v>
      </c>
      <c r="HL905" s="319" t="s">
        <v>190</v>
      </c>
      <c r="HM905" s="319" t="s">
        <v>190</v>
      </c>
      <c r="HN905" s="319" t="s">
        <v>190</v>
      </c>
      <c r="HO905" s="319" t="s">
        <v>190</v>
      </c>
      <c r="HP905" s="319" t="s">
        <v>190</v>
      </c>
      <c r="HQ905" s="319" t="s">
        <v>190</v>
      </c>
      <c r="HR905" s="319" t="s">
        <v>190</v>
      </c>
      <c r="HS905" s="319" t="s">
        <v>190</v>
      </c>
      <c r="HT905" s="319" t="s">
        <v>190</v>
      </c>
      <c r="HU905" s="319" t="s">
        <v>190</v>
      </c>
      <c r="HV905" s="319" t="s">
        <v>190</v>
      </c>
      <c r="HW905" s="319" t="s">
        <v>190</v>
      </c>
      <c r="HX905" s="319" t="s">
        <v>190</v>
      </c>
      <c r="HY905" s="319" t="s">
        <v>190</v>
      </c>
      <c r="HZ905" s="319" t="s">
        <v>190</v>
      </c>
      <c r="IA905" s="319" t="s">
        <v>190</v>
      </c>
      <c r="IB905" s="319" t="s">
        <v>190</v>
      </c>
      <c r="IC905" s="319" t="s">
        <v>190</v>
      </c>
      <c r="ID905" s="319" t="s">
        <v>190</v>
      </c>
      <c r="IE905" s="319" t="s">
        <v>190</v>
      </c>
      <c r="IF905" s="319" t="s">
        <v>191</v>
      </c>
      <c r="IG905" s="319" t="s">
        <v>191</v>
      </c>
      <c r="IH905" s="319" t="s">
        <v>191</v>
      </c>
      <c r="II905" s="319" t="s">
        <v>191</v>
      </c>
      <c r="IJ905" s="319" t="s">
        <v>173</v>
      </c>
      <c r="IK905" s="319" t="s">
        <v>173</v>
      </c>
      <c r="IL905" s="319" t="s">
        <v>173</v>
      </c>
      <c r="IM905" s="319" t="s">
        <v>173</v>
      </c>
      <c r="IN905" s="319" t="s">
        <v>173</v>
      </c>
      <c r="IO905" s="319">
        <v>10095081</v>
      </c>
      <c r="IP905" s="319" t="s">
        <v>985</v>
      </c>
      <c r="IQ905" s="321">
        <v>43558</v>
      </c>
      <c r="IR905" s="320" t="s">
        <v>1223</v>
      </c>
      <c r="IS905" s="322">
        <v>43630</v>
      </c>
      <c r="IT905" s="319" t="s">
        <v>166</v>
      </c>
    </row>
    <row r="906" spans="1:254" s="271" customFormat="1" x14ac:dyDescent="0.25">
      <c r="A906" s="318" t="str">
        <f>HYPERLINK("http://www.ofsted.gov.uk/inspection-reports/find-inspection-report/provider/ELS/144366 ","Ofsted School Webpage")</f>
        <v>Ofsted School Webpage</v>
      </c>
      <c r="B906" s="319">
        <v>144366</v>
      </c>
      <c r="C906" s="319">
        <v>8126005</v>
      </c>
      <c r="D906" s="319" t="s">
        <v>1075</v>
      </c>
      <c r="E906" s="319" t="s">
        <v>168</v>
      </c>
      <c r="F906" s="319" t="s">
        <v>81</v>
      </c>
      <c r="G906" s="319" t="s">
        <v>81</v>
      </c>
      <c r="H906" s="319" t="s">
        <v>81</v>
      </c>
      <c r="I906" s="319" t="s">
        <v>78</v>
      </c>
      <c r="J906" s="319" t="s">
        <v>424</v>
      </c>
      <c r="K906" s="319" t="s">
        <v>458</v>
      </c>
      <c r="L906" s="319" t="s">
        <v>459</v>
      </c>
      <c r="M906" s="319" t="s">
        <v>1076</v>
      </c>
      <c r="N906" s="319" t="s">
        <v>3550</v>
      </c>
      <c r="O906" s="319" t="s">
        <v>1077</v>
      </c>
      <c r="P906" s="319">
        <v>57</v>
      </c>
      <c r="Q906" s="319" t="s">
        <v>2766</v>
      </c>
      <c r="R906" s="320">
        <v>10043663</v>
      </c>
      <c r="S906" s="321">
        <v>43172</v>
      </c>
      <c r="T906" s="321">
        <v>43174</v>
      </c>
      <c r="U906" s="321">
        <v>43221</v>
      </c>
      <c r="V906" s="319" t="s">
        <v>435</v>
      </c>
      <c r="W906" s="319" t="s">
        <v>2767</v>
      </c>
      <c r="X906" s="319">
        <v>2</v>
      </c>
      <c r="Y906" s="319" t="s">
        <v>173</v>
      </c>
      <c r="Z906" s="319" t="s">
        <v>173</v>
      </c>
      <c r="AA906" s="319" t="s">
        <v>173</v>
      </c>
      <c r="AB906" s="319">
        <v>2</v>
      </c>
      <c r="AC906" s="319" t="s">
        <v>169</v>
      </c>
      <c r="AD906" s="319" t="s">
        <v>173</v>
      </c>
      <c r="AE906" s="319" t="s">
        <v>173</v>
      </c>
      <c r="AF906" s="319" t="s">
        <v>447</v>
      </c>
      <c r="AG906" s="319" t="s">
        <v>171</v>
      </c>
      <c r="AH906" s="319" t="s">
        <v>190</v>
      </c>
      <c r="AI906" s="319" t="s">
        <v>190</v>
      </c>
      <c r="AJ906" s="319" t="s">
        <v>190</v>
      </c>
      <c r="AK906" s="319" t="s">
        <v>190</v>
      </c>
      <c r="AL906" s="319" t="s">
        <v>190</v>
      </c>
      <c r="AM906" s="319" t="s">
        <v>190</v>
      </c>
      <c r="AN906" s="319" t="s">
        <v>190</v>
      </c>
      <c r="AO906" s="319" t="s">
        <v>190</v>
      </c>
      <c r="AP906" s="319" t="s">
        <v>190</v>
      </c>
      <c r="AQ906" s="319" t="s">
        <v>190</v>
      </c>
      <c r="AR906" s="319" t="s">
        <v>190</v>
      </c>
      <c r="AS906" s="319" t="s">
        <v>190</v>
      </c>
      <c r="AT906" s="319" t="s">
        <v>190</v>
      </c>
      <c r="AU906" s="319" t="s">
        <v>190</v>
      </c>
      <c r="AV906" s="319" t="s">
        <v>190</v>
      </c>
      <c r="AW906" s="319" t="s">
        <v>190</v>
      </c>
      <c r="AX906" s="319" t="s">
        <v>428</v>
      </c>
      <c r="AY906" s="319" t="s">
        <v>190</v>
      </c>
      <c r="AZ906" s="319" t="s">
        <v>190</v>
      </c>
      <c r="BA906" s="319" t="s">
        <v>190</v>
      </c>
      <c r="BB906" s="319" t="s">
        <v>190</v>
      </c>
      <c r="BC906" s="319" t="s">
        <v>190</v>
      </c>
      <c r="BD906" s="319" t="s">
        <v>190</v>
      </c>
      <c r="BE906" s="319" t="s">
        <v>190</v>
      </c>
      <c r="BF906" s="319" t="s">
        <v>428</v>
      </c>
      <c r="BG906" s="319" t="s">
        <v>428</v>
      </c>
      <c r="BH906" s="319" t="s">
        <v>190</v>
      </c>
      <c r="BI906" s="319" t="s">
        <v>190</v>
      </c>
      <c r="BJ906" s="319" t="s">
        <v>190</v>
      </c>
      <c r="BK906" s="319" t="s">
        <v>190</v>
      </c>
      <c r="BL906" s="319" t="s">
        <v>190</v>
      </c>
      <c r="BM906" s="319" t="s">
        <v>190</v>
      </c>
      <c r="BN906" s="319" t="s">
        <v>190</v>
      </c>
      <c r="BO906" s="319" t="s">
        <v>190</v>
      </c>
      <c r="BP906" s="319" t="s">
        <v>190</v>
      </c>
      <c r="BQ906" s="319" t="s">
        <v>190</v>
      </c>
      <c r="BR906" s="319" t="s">
        <v>190</v>
      </c>
      <c r="BS906" s="319" t="s">
        <v>190</v>
      </c>
      <c r="BT906" s="319" t="s">
        <v>190</v>
      </c>
      <c r="BU906" s="319" t="s">
        <v>190</v>
      </c>
      <c r="BV906" s="319" t="s">
        <v>190</v>
      </c>
      <c r="BW906" s="319" t="s">
        <v>190</v>
      </c>
      <c r="BX906" s="319" t="s">
        <v>190</v>
      </c>
      <c r="BY906" s="319" t="s">
        <v>190</v>
      </c>
      <c r="BZ906" s="319" t="s">
        <v>190</v>
      </c>
      <c r="CA906" s="319" t="s">
        <v>190</v>
      </c>
      <c r="CB906" s="319" t="s">
        <v>190</v>
      </c>
      <c r="CC906" s="319" t="s">
        <v>190</v>
      </c>
      <c r="CD906" s="319" t="s">
        <v>190</v>
      </c>
      <c r="CE906" s="319" t="s">
        <v>190</v>
      </c>
      <c r="CF906" s="319" t="s">
        <v>190</v>
      </c>
      <c r="CG906" s="319" t="s">
        <v>190</v>
      </c>
      <c r="CH906" s="319" t="s">
        <v>190</v>
      </c>
      <c r="CI906" s="319" t="s">
        <v>190</v>
      </c>
      <c r="CJ906" s="319" t="s">
        <v>190</v>
      </c>
      <c r="CK906" s="319" t="s">
        <v>190</v>
      </c>
      <c r="CL906" s="319" t="s">
        <v>190</v>
      </c>
      <c r="CM906" s="319" t="s">
        <v>190</v>
      </c>
      <c r="CN906" s="319" t="s">
        <v>428</v>
      </c>
      <c r="CO906" s="319" t="s">
        <v>428</v>
      </c>
      <c r="CP906" s="319" t="s">
        <v>428</v>
      </c>
      <c r="CQ906" s="319" t="s">
        <v>190</v>
      </c>
      <c r="CR906" s="319" t="s">
        <v>190</v>
      </c>
      <c r="CS906" s="319" t="s">
        <v>190</v>
      </c>
      <c r="CT906" s="319" t="s">
        <v>190</v>
      </c>
      <c r="CU906" s="319" t="s">
        <v>190</v>
      </c>
      <c r="CV906" s="319" t="s">
        <v>190</v>
      </c>
      <c r="CW906" s="319" t="s">
        <v>190</v>
      </c>
      <c r="CX906" s="319" t="s">
        <v>190</v>
      </c>
      <c r="CY906" s="319" t="s">
        <v>190</v>
      </c>
      <c r="CZ906" s="319" t="s">
        <v>190</v>
      </c>
      <c r="DA906" s="319" t="s">
        <v>190</v>
      </c>
      <c r="DB906" s="319" t="s">
        <v>190</v>
      </c>
      <c r="DC906" s="319" t="s">
        <v>190</v>
      </c>
      <c r="DD906" s="319" t="s">
        <v>190</v>
      </c>
      <c r="DE906" s="319" t="s">
        <v>190</v>
      </c>
      <c r="DF906" s="319" t="s">
        <v>190</v>
      </c>
      <c r="DG906" s="319" t="s">
        <v>190</v>
      </c>
      <c r="DH906" s="319" t="s">
        <v>190</v>
      </c>
      <c r="DI906" s="319" t="s">
        <v>190</v>
      </c>
      <c r="DJ906" s="319" t="s">
        <v>190</v>
      </c>
      <c r="DK906" s="319" t="s">
        <v>190</v>
      </c>
      <c r="DL906" s="319" t="s">
        <v>190</v>
      </c>
      <c r="DM906" s="319" t="s">
        <v>428</v>
      </c>
      <c r="DN906" s="319" t="s">
        <v>428</v>
      </c>
      <c r="DO906" s="319" t="s">
        <v>190</v>
      </c>
      <c r="DP906" s="319" t="s">
        <v>428</v>
      </c>
      <c r="DQ906" s="319" t="s">
        <v>428</v>
      </c>
      <c r="DR906" s="319" t="s">
        <v>428</v>
      </c>
      <c r="DS906" s="319" t="s">
        <v>428</v>
      </c>
      <c r="DT906" s="319" t="s">
        <v>428</v>
      </c>
      <c r="DU906" s="319" t="s">
        <v>428</v>
      </c>
      <c r="DV906" s="319" t="s">
        <v>173</v>
      </c>
      <c r="DW906" s="319" t="s">
        <v>428</v>
      </c>
      <c r="DX906" s="319" t="s">
        <v>428</v>
      </c>
      <c r="DY906" s="319" t="s">
        <v>428</v>
      </c>
      <c r="DZ906" s="319" t="s">
        <v>428</v>
      </c>
      <c r="EA906" s="319" t="s">
        <v>428</v>
      </c>
      <c r="EB906" s="319" t="s">
        <v>428</v>
      </c>
      <c r="EC906" s="319" t="s">
        <v>428</v>
      </c>
      <c r="ED906" s="319" t="s">
        <v>428</v>
      </c>
      <c r="EE906" s="319" t="s">
        <v>190</v>
      </c>
      <c r="EF906" s="319" t="s">
        <v>190</v>
      </c>
      <c r="EG906" s="319" t="s">
        <v>190</v>
      </c>
      <c r="EH906" s="319" t="s">
        <v>190</v>
      </c>
      <c r="EI906" s="319" t="s">
        <v>190</v>
      </c>
      <c r="EJ906" s="319" t="s">
        <v>190</v>
      </c>
      <c r="EK906" s="319" t="s">
        <v>190</v>
      </c>
      <c r="EL906" s="319" t="s">
        <v>428</v>
      </c>
      <c r="EM906" s="319" t="s">
        <v>190</v>
      </c>
      <c r="EN906" s="319" t="s">
        <v>190</v>
      </c>
      <c r="EO906" s="319" t="s">
        <v>190</v>
      </c>
      <c r="EP906" s="319" t="s">
        <v>190</v>
      </c>
      <c r="EQ906" s="319" t="s">
        <v>190</v>
      </c>
      <c r="ER906" s="319" t="s">
        <v>190</v>
      </c>
      <c r="ES906" s="319" t="s">
        <v>190</v>
      </c>
      <c r="ET906" s="319" t="s">
        <v>190</v>
      </c>
      <c r="EU906" s="319" t="s">
        <v>190</v>
      </c>
      <c r="EV906" s="319" t="s">
        <v>190</v>
      </c>
      <c r="EW906" s="319" t="s">
        <v>190</v>
      </c>
      <c r="EX906" s="319" t="s">
        <v>190</v>
      </c>
      <c r="EY906" s="319" t="s">
        <v>190</v>
      </c>
      <c r="EZ906" s="319" t="s">
        <v>190</v>
      </c>
      <c r="FA906" s="319" t="s">
        <v>428</v>
      </c>
      <c r="FB906" s="319" t="s">
        <v>428</v>
      </c>
      <c r="FC906" s="319" t="s">
        <v>428</v>
      </c>
      <c r="FD906" s="319" t="s">
        <v>428</v>
      </c>
      <c r="FE906" s="319" t="s">
        <v>428</v>
      </c>
      <c r="FF906" s="319" t="s">
        <v>428</v>
      </c>
      <c r="FG906" s="319" t="s">
        <v>428</v>
      </c>
      <c r="FH906" s="319" t="s">
        <v>190</v>
      </c>
      <c r="FI906" s="319" t="s">
        <v>428</v>
      </c>
      <c r="FJ906" s="319" t="s">
        <v>429</v>
      </c>
      <c r="FK906" s="319" t="s">
        <v>428</v>
      </c>
      <c r="FL906" s="319" t="s">
        <v>190</v>
      </c>
      <c r="FM906" s="319" t="s">
        <v>190</v>
      </c>
      <c r="FN906" s="319" t="s">
        <v>190</v>
      </c>
      <c r="FO906" s="319" t="s">
        <v>190</v>
      </c>
      <c r="FP906" s="319" t="s">
        <v>190</v>
      </c>
      <c r="FQ906" s="319" t="s">
        <v>190</v>
      </c>
      <c r="FR906" s="319" t="s">
        <v>190</v>
      </c>
      <c r="FS906" s="319" t="s">
        <v>428</v>
      </c>
      <c r="FT906" s="319" t="s">
        <v>190</v>
      </c>
      <c r="FU906" s="319" t="s">
        <v>190</v>
      </c>
      <c r="FV906" s="319" t="s">
        <v>190</v>
      </c>
      <c r="FW906" s="319" t="s">
        <v>190</v>
      </c>
      <c r="FX906" s="319" t="s">
        <v>190</v>
      </c>
      <c r="FY906" s="319" t="s">
        <v>190</v>
      </c>
      <c r="FZ906" s="319" t="s">
        <v>190</v>
      </c>
      <c r="GA906" s="319" t="s">
        <v>190</v>
      </c>
      <c r="GB906" s="319" t="s">
        <v>190</v>
      </c>
      <c r="GC906" s="319" t="s">
        <v>190</v>
      </c>
      <c r="GD906" s="319" t="s">
        <v>190</v>
      </c>
      <c r="GE906" s="319" t="s">
        <v>190</v>
      </c>
      <c r="GF906" s="319" t="s">
        <v>190</v>
      </c>
      <c r="GG906" s="319" t="s">
        <v>190</v>
      </c>
      <c r="GH906" s="319" t="s">
        <v>190</v>
      </c>
      <c r="GI906" s="319" t="s">
        <v>190</v>
      </c>
      <c r="GJ906" s="319" t="s">
        <v>190</v>
      </c>
      <c r="GK906" s="319" t="s">
        <v>428</v>
      </c>
      <c r="GL906" s="319" t="s">
        <v>190</v>
      </c>
      <c r="GM906" s="319" t="s">
        <v>190</v>
      </c>
      <c r="GN906" s="319" t="s">
        <v>190</v>
      </c>
      <c r="GO906" s="319" t="s">
        <v>190</v>
      </c>
      <c r="GP906" s="319" t="s">
        <v>190</v>
      </c>
      <c r="GQ906" s="319" t="s">
        <v>428</v>
      </c>
      <c r="GR906" s="319" t="s">
        <v>190</v>
      </c>
      <c r="GS906" s="319" t="s">
        <v>190</v>
      </c>
      <c r="GT906" s="319" t="s">
        <v>190</v>
      </c>
      <c r="GU906" s="319" t="s">
        <v>190</v>
      </c>
      <c r="GV906" s="319" t="s">
        <v>190</v>
      </c>
      <c r="GW906" s="319" t="s">
        <v>190</v>
      </c>
      <c r="GX906" s="319" t="s">
        <v>190</v>
      </c>
      <c r="GY906" s="319" t="s">
        <v>190</v>
      </c>
      <c r="GZ906" s="319" t="s">
        <v>428</v>
      </c>
      <c r="HA906" s="319" t="s">
        <v>190</v>
      </c>
      <c r="HB906" s="319" t="s">
        <v>428</v>
      </c>
      <c r="HC906" s="319" t="s">
        <v>190</v>
      </c>
      <c r="HD906" s="319" t="s">
        <v>190</v>
      </c>
      <c r="HE906" s="319" t="s">
        <v>190</v>
      </c>
      <c r="HF906" s="319" t="s">
        <v>190</v>
      </c>
      <c r="HG906" s="319" t="s">
        <v>190</v>
      </c>
      <c r="HH906" s="319" t="s">
        <v>190</v>
      </c>
      <c r="HI906" s="319" t="s">
        <v>190</v>
      </c>
      <c r="HJ906" s="319" t="s">
        <v>190</v>
      </c>
      <c r="HK906" s="319" t="s">
        <v>190</v>
      </c>
      <c r="HL906" s="319" t="s">
        <v>428</v>
      </c>
      <c r="HM906" s="319" t="s">
        <v>428</v>
      </c>
      <c r="HN906" s="319" t="s">
        <v>428</v>
      </c>
      <c r="HO906" s="319" t="s">
        <v>428</v>
      </c>
      <c r="HP906" s="319" t="s">
        <v>190</v>
      </c>
      <c r="HQ906" s="319" t="s">
        <v>190</v>
      </c>
      <c r="HR906" s="319" t="s">
        <v>190</v>
      </c>
      <c r="HS906" s="319" t="s">
        <v>190</v>
      </c>
      <c r="HT906" s="319" t="s">
        <v>190</v>
      </c>
      <c r="HU906" s="319" t="s">
        <v>190</v>
      </c>
      <c r="HV906" s="319" t="s">
        <v>190</v>
      </c>
      <c r="HW906" s="319" t="s">
        <v>190</v>
      </c>
      <c r="HX906" s="319" t="s">
        <v>190</v>
      </c>
      <c r="HY906" s="319" t="s">
        <v>190</v>
      </c>
      <c r="HZ906" s="319" t="s">
        <v>190</v>
      </c>
      <c r="IA906" s="319" t="s">
        <v>190</v>
      </c>
      <c r="IB906" s="319" t="s">
        <v>190</v>
      </c>
      <c r="IC906" s="319" t="s">
        <v>190</v>
      </c>
      <c r="ID906" s="319" t="s">
        <v>190</v>
      </c>
      <c r="IE906" s="319" t="s">
        <v>190</v>
      </c>
      <c r="IF906" s="319" t="s">
        <v>190</v>
      </c>
      <c r="IG906" s="319" t="s">
        <v>190</v>
      </c>
      <c r="IH906" s="319" t="s">
        <v>190</v>
      </c>
      <c r="II906" s="319" t="s">
        <v>190</v>
      </c>
      <c r="IJ906" s="319" t="s">
        <v>173</v>
      </c>
      <c r="IK906" s="319" t="s">
        <v>173</v>
      </c>
      <c r="IL906" s="319" t="s">
        <v>173</v>
      </c>
      <c r="IM906" s="319" t="s">
        <v>173</v>
      </c>
      <c r="IN906" s="319" t="s">
        <v>173</v>
      </c>
      <c r="IO906" s="319" t="s">
        <v>173</v>
      </c>
      <c r="IP906" s="319" t="s">
        <v>173</v>
      </c>
      <c r="IQ906" s="319" t="s">
        <v>173</v>
      </c>
      <c r="IR906" s="320" t="s">
        <v>173</v>
      </c>
      <c r="IS906" s="320" t="s">
        <v>173</v>
      </c>
      <c r="IT906" s="319" t="s">
        <v>173</v>
      </c>
    </row>
    <row r="907" spans="1:254" s="271" customFormat="1" x14ac:dyDescent="0.25">
      <c r="A907" s="318" t="str">
        <f>HYPERLINK("http://www.ofsted.gov.uk/inspection-reports/find-inspection-report/provider/ELS/144370 ","Ofsted School Webpage")</f>
        <v>Ofsted School Webpage</v>
      </c>
      <c r="B907" s="319">
        <v>144370</v>
      </c>
      <c r="C907" s="319">
        <v>3416009</v>
      </c>
      <c r="D907" s="319" t="s">
        <v>2434</v>
      </c>
      <c r="E907" s="319" t="s">
        <v>167</v>
      </c>
      <c r="F907" s="319" t="s">
        <v>81</v>
      </c>
      <c r="G907" s="319" t="s">
        <v>81</v>
      </c>
      <c r="H907" s="319" t="s">
        <v>81</v>
      </c>
      <c r="I907" s="319" t="s">
        <v>78</v>
      </c>
      <c r="J907" s="319" t="s">
        <v>424</v>
      </c>
      <c r="K907" s="319" t="s">
        <v>431</v>
      </c>
      <c r="L907" s="319" t="s">
        <v>431</v>
      </c>
      <c r="M907" s="319" t="s">
        <v>652</v>
      </c>
      <c r="N907" s="319" t="s">
        <v>3152</v>
      </c>
      <c r="O907" s="319" t="s">
        <v>2435</v>
      </c>
      <c r="P907" s="319">
        <v>8</v>
      </c>
      <c r="Q907" s="319" t="s">
        <v>2776</v>
      </c>
      <c r="R907" s="320">
        <v>10048611</v>
      </c>
      <c r="S907" s="321">
        <v>43291</v>
      </c>
      <c r="T907" s="321">
        <v>43293</v>
      </c>
      <c r="U907" s="321">
        <v>43361</v>
      </c>
      <c r="V907" s="319" t="s">
        <v>435</v>
      </c>
      <c r="W907" s="319" t="s">
        <v>2767</v>
      </c>
      <c r="X907" s="319">
        <v>3</v>
      </c>
      <c r="Y907" s="319" t="s">
        <v>173</v>
      </c>
      <c r="Z907" s="319" t="s">
        <v>173</v>
      </c>
      <c r="AA907" s="319" t="s">
        <v>173</v>
      </c>
      <c r="AB907" s="319">
        <v>3</v>
      </c>
      <c r="AC907" s="319" t="s">
        <v>169</v>
      </c>
      <c r="AD907" s="319" t="s">
        <v>173</v>
      </c>
      <c r="AE907" s="319" t="s">
        <v>173</v>
      </c>
      <c r="AF907" s="319" t="s">
        <v>427</v>
      </c>
      <c r="AG907" s="319" t="s">
        <v>171</v>
      </c>
      <c r="AH907" s="319" t="s">
        <v>190</v>
      </c>
      <c r="AI907" s="319" t="s">
        <v>190</v>
      </c>
      <c r="AJ907" s="319" t="s">
        <v>190</v>
      </c>
      <c r="AK907" s="319" t="s">
        <v>190</v>
      </c>
      <c r="AL907" s="319" t="s">
        <v>190</v>
      </c>
      <c r="AM907" s="319" t="s">
        <v>190</v>
      </c>
      <c r="AN907" s="319" t="s">
        <v>190</v>
      </c>
      <c r="AO907" s="319" t="s">
        <v>190</v>
      </c>
      <c r="AP907" s="319" t="s">
        <v>190</v>
      </c>
      <c r="AQ907" s="319" t="s">
        <v>190</v>
      </c>
      <c r="AR907" s="319" t="s">
        <v>190</v>
      </c>
      <c r="AS907" s="319" t="s">
        <v>190</v>
      </c>
      <c r="AT907" s="319" t="s">
        <v>190</v>
      </c>
      <c r="AU907" s="319" t="s">
        <v>190</v>
      </c>
      <c r="AV907" s="319" t="s">
        <v>190</v>
      </c>
      <c r="AW907" s="319" t="s">
        <v>190</v>
      </c>
      <c r="AX907" s="319" t="s">
        <v>428</v>
      </c>
      <c r="AY907" s="319" t="s">
        <v>190</v>
      </c>
      <c r="AZ907" s="319" t="s">
        <v>190</v>
      </c>
      <c r="BA907" s="319" t="s">
        <v>190</v>
      </c>
      <c r="BB907" s="319" t="s">
        <v>190</v>
      </c>
      <c r="BC907" s="319" t="s">
        <v>190</v>
      </c>
      <c r="BD907" s="319" t="s">
        <v>190</v>
      </c>
      <c r="BE907" s="319" t="s">
        <v>190</v>
      </c>
      <c r="BF907" s="319" t="s">
        <v>428</v>
      </c>
      <c r="BG907" s="319" t="s">
        <v>428</v>
      </c>
      <c r="BH907" s="319" t="s">
        <v>190</v>
      </c>
      <c r="BI907" s="319" t="s">
        <v>190</v>
      </c>
      <c r="BJ907" s="319" t="s">
        <v>190</v>
      </c>
      <c r="BK907" s="319" t="s">
        <v>190</v>
      </c>
      <c r="BL907" s="319" t="s">
        <v>190</v>
      </c>
      <c r="BM907" s="319" t="s">
        <v>190</v>
      </c>
      <c r="BN907" s="319" t="s">
        <v>190</v>
      </c>
      <c r="BO907" s="319" t="s">
        <v>190</v>
      </c>
      <c r="BP907" s="319" t="s">
        <v>190</v>
      </c>
      <c r="BQ907" s="319" t="s">
        <v>190</v>
      </c>
      <c r="BR907" s="319" t="s">
        <v>190</v>
      </c>
      <c r="BS907" s="319" t="s">
        <v>190</v>
      </c>
      <c r="BT907" s="319" t="s">
        <v>190</v>
      </c>
      <c r="BU907" s="319" t="s">
        <v>190</v>
      </c>
      <c r="BV907" s="319" t="s">
        <v>190</v>
      </c>
      <c r="BW907" s="319" t="s">
        <v>190</v>
      </c>
      <c r="BX907" s="319" t="s">
        <v>190</v>
      </c>
      <c r="BY907" s="319" t="s">
        <v>190</v>
      </c>
      <c r="BZ907" s="319" t="s">
        <v>190</v>
      </c>
      <c r="CA907" s="319" t="s">
        <v>190</v>
      </c>
      <c r="CB907" s="319" t="s">
        <v>190</v>
      </c>
      <c r="CC907" s="319" t="s">
        <v>190</v>
      </c>
      <c r="CD907" s="319" t="s">
        <v>190</v>
      </c>
      <c r="CE907" s="319" t="s">
        <v>190</v>
      </c>
      <c r="CF907" s="319" t="s">
        <v>190</v>
      </c>
      <c r="CG907" s="319" t="s">
        <v>190</v>
      </c>
      <c r="CH907" s="319" t="s">
        <v>190</v>
      </c>
      <c r="CI907" s="319" t="s">
        <v>190</v>
      </c>
      <c r="CJ907" s="319" t="s">
        <v>190</v>
      </c>
      <c r="CK907" s="319" t="s">
        <v>190</v>
      </c>
      <c r="CL907" s="319" t="s">
        <v>190</v>
      </c>
      <c r="CM907" s="319" t="s">
        <v>190</v>
      </c>
      <c r="CN907" s="319" t="s">
        <v>190</v>
      </c>
      <c r="CO907" s="319" t="s">
        <v>190</v>
      </c>
      <c r="CP907" s="319" t="s">
        <v>428</v>
      </c>
      <c r="CQ907" s="319" t="s">
        <v>190</v>
      </c>
      <c r="CR907" s="319" t="s">
        <v>190</v>
      </c>
      <c r="CS907" s="319" t="s">
        <v>190</v>
      </c>
      <c r="CT907" s="319" t="s">
        <v>190</v>
      </c>
      <c r="CU907" s="319" t="s">
        <v>190</v>
      </c>
      <c r="CV907" s="319" t="s">
        <v>190</v>
      </c>
      <c r="CW907" s="319" t="s">
        <v>190</v>
      </c>
      <c r="CX907" s="319" t="s">
        <v>190</v>
      </c>
      <c r="CY907" s="319" t="s">
        <v>190</v>
      </c>
      <c r="CZ907" s="319" t="s">
        <v>190</v>
      </c>
      <c r="DA907" s="319" t="s">
        <v>190</v>
      </c>
      <c r="DB907" s="319" t="s">
        <v>190</v>
      </c>
      <c r="DC907" s="319" t="s">
        <v>190</v>
      </c>
      <c r="DD907" s="319" t="s">
        <v>190</v>
      </c>
      <c r="DE907" s="319" t="s">
        <v>190</v>
      </c>
      <c r="DF907" s="319" t="s">
        <v>190</v>
      </c>
      <c r="DG907" s="319" t="s">
        <v>190</v>
      </c>
      <c r="DH907" s="319" t="s">
        <v>190</v>
      </c>
      <c r="DI907" s="319" t="s">
        <v>190</v>
      </c>
      <c r="DJ907" s="319" t="s">
        <v>190</v>
      </c>
      <c r="DK907" s="319" t="s">
        <v>190</v>
      </c>
      <c r="DL907" s="319" t="s">
        <v>190</v>
      </c>
      <c r="DM907" s="319" t="s">
        <v>190</v>
      </c>
      <c r="DN907" s="319" t="s">
        <v>428</v>
      </c>
      <c r="DO907" s="319" t="s">
        <v>190</v>
      </c>
      <c r="DP907" s="319" t="s">
        <v>190</v>
      </c>
      <c r="DQ907" s="319" t="s">
        <v>190</v>
      </c>
      <c r="DR907" s="319" t="s">
        <v>190</v>
      </c>
      <c r="DS907" s="319" t="s">
        <v>190</v>
      </c>
      <c r="DT907" s="319" t="s">
        <v>190</v>
      </c>
      <c r="DU907" s="319" t="s">
        <v>190</v>
      </c>
      <c r="DV907" s="319" t="s">
        <v>173</v>
      </c>
      <c r="DW907" s="319" t="s">
        <v>190</v>
      </c>
      <c r="DX907" s="319" t="s">
        <v>190</v>
      </c>
      <c r="DY907" s="319" t="s">
        <v>190</v>
      </c>
      <c r="DZ907" s="319" t="s">
        <v>190</v>
      </c>
      <c r="EA907" s="319" t="s">
        <v>190</v>
      </c>
      <c r="EB907" s="319" t="s">
        <v>190</v>
      </c>
      <c r="EC907" s="319" t="s">
        <v>428</v>
      </c>
      <c r="ED907" s="319" t="s">
        <v>190</v>
      </c>
      <c r="EE907" s="319" t="s">
        <v>190</v>
      </c>
      <c r="EF907" s="319" t="s">
        <v>190</v>
      </c>
      <c r="EG907" s="319" t="s">
        <v>190</v>
      </c>
      <c r="EH907" s="319" t="s">
        <v>190</v>
      </c>
      <c r="EI907" s="319" t="s">
        <v>190</v>
      </c>
      <c r="EJ907" s="319" t="s">
        <v>190</v>
      </c>
      <c r="EK907" s="319" t="s">
        <v>190</v>
      </c>
      <c r="EL907" s="319" t="s">
        <v>190</v>
      </c>
      <c r="EM907" s="319" t="s">
        <v>190</v>
      </c>
      <c r="EN907" s="319" t="s">
        <v>190</v>
      </c>
      <c r="EO907" s="319" t="s">
        <v>190</v>
      </c>
      <c r="EP907" s="319" t="s">
        <v>190</v>
      </c>
      <c r="EQ907" s="319" t="s">
        <v>190</v>
      </c>
      <c r="ER907" s="319" t="s">
        <v>190</v>
      </c>
      <c r="ES907" s="319" t="s">
        <v>190</v>
      </c>
      <c r="ET907" s="319" t="s">
        <v>190</v>
      </c>
      <c r="EU907" s="319" t="s">
        <v>190</v>
      </c>
      <c r="EV907" s="319" t="s">
        <v>190</v>
      </c>
      <c r="EW907" s="319" t="s">
        <v>190</v>
      </c>
      <c r="EX907" s="319" t="s">
        <v>190</v>
      </c>
      <c r="EY907" s="319" t="s">
        <v>190</v>
      </c>
      <c r="EZ907" s="319" t="s">
        <v>190</v>
      </c>
      <c r="FA907" s="319" t="s">
        <v>428</v>
      </c>
      <c r="FB907" s="319" t="s">
        <v>428</v>
      </c>
      <c r="FC907" s="319" t="s">
        <v>428</v>
      </c>
      <c r="FD907" s="319" t="s">
        <v>428</v>
      </c>
      <c r="FE907" s="319" t="s">
        <v>428</v>
      </c>
      <c r="FF907" s="319" t="s">
        <v>428</v>
      </c>
      <c r="FG907" s="319" t="s">
        <v>428</v>
      </c>
      <c r="FH907" s="319" t="s">
        <v>428</v>
      </c>
      <c r="FI907" s="319" t="s">
        <v>428</v>
      </c>
      <c r="FJ907" s="319" t="s">
        <v>429</v>
      </c>
      <c r="FK907" s="319" t="s">
        <v>428</v>
      </c>
      <c r="FL907" s="319" t="s">
        <v>190</v>
      </c>
      <c r="FM907" s="319" t="s">
        <v>190</v>
      </c>
      <c r="FN907" s="319" t="s">
        <v>190</v>
      </c>
      <c r="FO907" s="319" t="s">
        <v>190</v>
      </c>
      <c r="FP907" s="319" t="s">
        <v>190</v>
      </c>
      <c r="FQ907" s="319" t="s">
        <v>190</v>
      </c>
      <c r="FR907" s="319" t="s">
        <v>190</v>
      </c>
      <c r="FS907" s="319" t="s">
        <v>428</v>
      </c>
      <c r="FT907" s="319" t="s">
        <v>190</v>
      </c>
      <c r="FU907" s="319" t="s">
        <v>190</v>
      </c>
      <c r="FV907" s="319" t="s">
        <v>190</v>
      </c>
      <c r="FW907" s="319" t="s">
        <v>190</v>
      </c>
      <c r="FX907" s="319" t="s">
        <v>190</v>
      </c>
      <c r="FY907" s="319" t="s">
        <v>190</v>
      </c>
      <c r="FZ907" s="319" t="s">
        <v>190</v>
      </c>
      <c r="GA907" s="319" t="s">
        <v>190</v>
      </c>
      <c r="GB907" s="319" t="s">
        <v>190</v>
      </c>
      <c r="GC907" s="319" t="s">
        <v>190</v>
      </c>
      <c r="GD907" s="319" t="s">
        <v>190</v>
      </c>
      <c r="GE907" s="319" t="s">
        <v>190</v>
      </c>
      <c r="GF907" s="319" t="s">
        <v>190</v>
      </c>
      <c r="GG907" s="319" t="s">
        <v>190</v>
      </c>
      <c r="GH907" s="319" t="s">
        <v>190</v>
      </c>
      <c r="GI907" s="319" t="s">
        <v>190</v>
      </c>
      <c r="GJ907" s="319" t="s">
        <v>190</v>
      </c>
      <c r="GK907" s="319" t="s">
        <v>190</v>
      </c>
      <c r="GL907" s="319" t="s">
        <v>190</v>
      </c>
      <c r="GM907" s="319" t="s">
        <v>190</v>
      </c>
      <c r="GN907" s="319" t="s">
        <v>190</v>
      </c>
      <c r="GO907" s="319" t="s">
        <v>190</v>
      </c>
      <c r="GP907" s="319" t="s">
        <v>190</v>
      </c>
      <c r="GQ907" s="319" t="s">
        <v>190</v>
      </c>
      <c r="GR907" s="319" t="s">
        <v>190</v>
      </c>
      <c r="GS907" s="319" t="s">
        <v>190</v>
      </c>
      <c r="GT907" s="319" t="s">
        <v>190</v>
      </c>
      <c r="GU907" s="319" t="s">
        <v>190</v>
      </c>
      <c r="GV907" s="319" t="s">
        <v>190</v>
      </c>
      <c r="GW907" s="319" t="s">
        <v>190</v>
      </c>
      <c r="GX907" s="319" t="s">
        <v>190</v>
      </c>
      <c r="GY907" s="319" t="s">
        <v>190</v>
      </c>
      <c r="GZ907" s="319" t="s">
        <v>428</v>
      </c>
      <c r="HA907" s="319" t="s">
        <v>190</v>
      </c>
      <c r="HB907" s="319" t="s">
        <v>190</v>
      </c>
      <c r="HC907" s="319" t="s">
        <v>190</v>
      </c>
      <c r="HD907" s="319" t="s">
        <v>190</v>
      </c>
      <c r="HE907" s="319" t="s">
        <v>190</v>
      </c>
      <c r="HF907" s="319" t="s">
        <v>190</v>
      </c>
      <c r="HG907" s="319" t="s">
        <v>190</v>
      </c>
      <c r="HH907" s="319" t="s">
        <v>190</v>
      </c>
      <c r="HI907" s="319" t="s">
        <v>428</v>
      </c>
      <c r="HJ907" s="319" t="s">
        <v>190</v>
      </c>
      <c r="HK907" s="319" t="s">
        <v>428</v>
      </c>
      <c r="HL907" s="319" t="s">
        <v>428</v>
      </c>
      <c r="HM907" s="319" t="s">
        <v>428</v>
      </c>
      <c r="HN907" s="319" t="s">
        <v>428</v>
      </c>
      <c r="HO907" s="319" t="s">
        <v>428</v>
      </c>
      <c r="HP907" s="319" t="s">
        <v>190</v>
      </c>
      <c r="HQ907" s="319" t="s">
        <v>190</v>
      </c>
      <c r="HR907" s="319" t="s">
        <v>190</v>
      </c>
      <c r="HS907" s="319" t="s">
        <v>190</v>
      </c>
      <c r="HT907" s="319" t="s">
        <v>190</v>
      </c>
      <c r="HU907" s="319" t="s">
        <v>190</v>
      </c>
      <c r="HV907" s="319" t="s">
        <v>190</v>
      </c>
      <c r="HW907" s="319" t="s">
        <v>190</v>
      </c>
      <c r="HX907" s="319" t="s">
        <v>190</v>
      </c>
      <c r="HY907" s="319" t="s">
        <v>190</v>
      </c>
      <c r="HZ907" s="319" t="s">
        <v>190</v>
      </c>
      <c r="IA907" s="319" t="s">
        <v>190</v>
      </c>
      <c r="IB907" s="319" t="s">
        <v>190</v>
      </c>
      <c r="IC907" s="319" t="s">
        <v>190</v>
      </c>
      <c r="ID907" s="319" t="s">
        <v>190</v>
      </c>
      <c r="IE907" s="319" t="s">
        <v>190</v>
      </c>
      <c r="IF907" s="319" t="s">
        <v>190</v>
      </c>
      <c r="IG907" s="319" t="s">
        <v>190</v>
      </c>
      <c r="IH907" s="319" t="s">
        <v>190</v>
      </c>
      <c r="II907" s="319" t="s">
        <v>190</v>
      </c>
      <c r="IJ907" s="319" t="s">
        <v>173</v>
      </c>
      <c r="IK907" s="319" t="s">
        <v>173</v>
      </c>
      <c r="IL907" s="319" t="s">
        <v>173</v>
      </c>
      <c r="IM907" s="319" t="s">
        <v>173</v>
      </c>
      <c r="IN907" s="319" t="s">
        <v>173</v>
      </c>
      <c r="IO907" s="319" t="s">
        <v>173</v>
      </c>
      <c r="IP907" s="319" t="s">
        <v>173</v>
      </c>
      <c r="IQ907" s="319" t="s">
        <v>173</v>
      </c>
      <c r="IR907" s="320" t="s">
        <v>173</v>
      </c>
      <c r="IS907" s="320" t="s">
        <v>173</v>
      </c>
      <c r="IT907" s="319" t="s">
        <v>173</v>
      </c>
    </row>
    <row r="908" spans="1:254" s="271" customFormat="1" x14ac:dyDescent="0.25">
      <c r="A908" s="318" t="str">
        <f>HYPERLINK("http://www.ofsted.gov.uk/inspection-reports/find-inspection-report/provider/ELS/144374 ","Ofsted School Webpage")</f>
        <v>Ofsted School Webpage</v>
      </c>
      <c r="B908" s="319">
        <v>144374</v>
      </c>
      <c r="C908" s="319">
        <v>3326008</v>
      </c>
      <c r="D908" s="319" t="s">
        <v>2436</v>
      </c>
      <c r="E908" s="319" t="s">
        <v>168</v>
      </c>
      <c r="F908" s="319" t="s">
        <v>81</v>
      </c>
      <c r="G908" s="319" t="s">
        <v>81</v>
      </c>
      <c r="H908" s="319" t="s">
        <v>81</v>
      </c>
      <c r="I908" s="319" t="s">
        <v>78</v>
      </c>
      <c r="J908" s="319" t="s">
        <v>424</v>
      </c>
      <c r="K908" s="319" t="s">
        <v>437</v>
      </c>
      <c r="L908" s="319" t="s">
        <v>437</v>
      </c>
      <c r="M908" s="319" t="s">
        <v>619</v>
      </c>
      <c r="N908" s="319" t="s">
        <v>3536</v>
      </c>
      <c r="O908" s="319" t="s">
        <v>2437</v>
      </c>
      <c r="P908" s="319">
        <v>19</v>
      </c>
      <c r="Q908" s="319" t="s">
        <v>429</v>
      </c>
      <c r="R908" s="320">
        <v>10045270</v>
      </c>
      <c r="S908" s="321">
        <v>43270</v>
      </c>
      <c r="T908" s="321">
        <v>43272</v>
      </c>
      <c r="U908" s="321">
        <v>43356</v>
      </c>
      <c r="V908" s="319" t="s">
        <v>435</v>
      </c>
      <c r="W908" s="319" t="s">
        <v>2767</v>
      </c>
      <c r="X908" s="319">
        <v>4</v>
      </c>
      <c r="Y908" s="319" t="s">
        <v>173</v>
      </c>
      <c r="Z908" s="319" t="s">
        <v>173</v>
      </c>
      <c r="AA908" s="319" t="s">
        <v>173</v>
      </c>
      <c r="AB908" s="319">
        <v>4</v>
      </c>
      <c r="AC908" s="319" t="s">
        <v>170</v>
      </c>
      <c r="AD908" s="319" t="s">
        <v>173</v>
      </c>
      <c r="AE908" s="319" t="s">
        <v>173</v>
      </c>
      <c r="AF908" s="319" t="s">
        <v>427</v>
      </c>
      <c r="AG908" s="319" t="s">
        <v>172</v>
      </c>
      <c r="AH908" s="319" t="s">
        <v>479</v>
      </c>
      <c r="AI908" s="319" t="s">
        <v>479</v>
      </c>
      <c r="AJ908" s="319" t="s">
        <v>479</v>
      </c>
      <c r="AK908" s="319" t="s">
        <v>190</v>
      </c>
      <c r="AL908" s="319" t="s">
        <v>479</v>
      </c>
      <c r="AM908" s="319" t="s">
        <v>190</v>
      </c>
      <c r="AN908" s="319" t="s">
        <v>190</v>
      </c>
      <c r="AO908" s="319" t="s">
        <v>479</v>
      </c>
      <c r="AP908" s="319" t="s">
        <v>191</v>
      </c>
      <c r="AQ908" s="319" t="s">
        <v>191</v>
      </c>
      <c r="AR908" s="319" t="s">
        <v>191</v>
      </c>
      <c r="AS908" s="319" t="s">
        <v>191</v>
      </c>
      <c r="AT908" s="319" t="s">
        <v>190</v>
      </c>
      <c r="AU908" s="319" t="s">
        <v>191</v>
      </c>
      <c r="AV908" s="319" t="s">
        <v>190</v>
      </c>
      <c r="AW908" s="319" t="s">
        <v>190</v>
      </c>
      <c r="AX908" s="319" t="s">
        <v>428</v>
      </c>
      <c r="AY908" s="319" t="s">
        <v>191</v>
      </c>
      <c r="AZ908" s="319" t="s">
        <v>191</v>
      </c>
      <c r="BA908" s="319" t="s">
        <v>191</v>
      </c>
      <c r="BB908" s="319" t="s">
        <v>428</v>
      </c>
      <c r="BC908" s="319" t="s">
        <v>428</v>
      </c>
      <c r="BD908" s="319" t="s">
        <v>428</v>
      </c>
      <c r="BE908" s="319" t="s">
        <v>428</v>
      </c>
      <c r="BF908" s="319" t="s">
        <v>428</v>
      </c>
      <c r="BG908" s="319" t="s">
        <v>428</v>
      </c>
      <c r="BH908" s="319" t="s">
        <v>190</v>
      </c>
      <c r="BI908" s="319" t="s">
        <v>190</v>
      </c>
      <c r="BJ908" s="319" t="s">
        <v>191</v>
      </c>
      <c r="BK908" s="319" t="s">
        <v>191</v>
      </c>
      <c r="BL908" s="319" t="s">
        <v>191</v>
      </c>
      <c r="BM908" s="319" t="s">
        <v>191</v>
      </c>
      <c r="BN908" s="319" t="s">
        <v>191</v>
      </c>
      <c r="BO908" s="319" t="s">
        <v>190</v>
      </c>
      <c r="BP908" s="319" t="s">
        <v>191</v>
      </c>
      <c r="BQ908" s="319" t="s">
        <v>191</v>
      </c>
      <c r="BR908" s="319" t="s">
        <v>190</v>
      </c>
      <c r="BS908" s="319" t="s">
        <v>190</v>
      </c>
      <c r="BT908" s="319" t="s">
        <v>190</v>
      </c>
      <c r="BU908" s="319" t="s">
        <v>190</v>
      </c>
      <c r="BV908" s="319" t="s">
        <v>191</v>
      </c>
      <c r="BW908" s="319" t="s">
        <v>190</v>
      </c>
      <c r="BX908" s="319" t="s">
        <v>191</v>
      </c>
      <c r="BY908" s="319" t="s">
        <v>190</v>
      </c>
      <c r="BZ908" s="319" t="s">
        <v>190</v>
      </c>
      <c r="CA908" s="319" t="s">
        <v>190</v>
      </c>
      <c r="CB908" s="319" t="s">
        <v>191</v>
      </c>
      <c r="CC908" s="319" t="s">
        <v>191</v>
      </c>
      <c r="CD908" s="319" t="s">
        <v>190</v>
      </c>
      <c r="CE908" s="319" t="s">
        <v>190</v>
      </c>
      <c r="CF908" s="319" t="s">
        <v>190</v>
      </c>
      <c r="CG908" s="319" t="s">
        <v>190</v>
      </c>
      <c r="CH908" s="319" t="s">
        <v>190</v>
      </c>
      <c r="CI908" s="319" t="s">
        <v>190</v>
      </c>
      <c r="CJ908" s="319" t="s">
        <v>190</v>
      </c>
      <c r="CK908" s="319" t="s">
        <v>191</v>
      </c>
      <c r="CL908" s="319" t="s">
        <v>191</v>
      </c>
      <c r="CM908" s="319" t="s">
        <v>191</v>
      </c>
      <c r="CN908" s="319" t="s">
        <v>428</v>
      </c>
      <c r="CO908" s="319" t="s">
        <v>428</v>
      </c>
      <c r="CP908" s="319" t="s">
        <v>428</v>
      </c>
      <c r="CQ908" s="319" t="s">
        <v>190</v>
      </c>
      <c r="CR908" s="319" t="s">
        <v>190</v>
      </c>
      <c r="CS908" s="319" t="s">
        <v>190</v>
      </c>
      <c r="CT908" s="319" t="s">
        <v>190</v>
      </c>
      <c r="CU908" s="319" t="s">
        <v>190</v>
      </c>
      <c r="CV908" s="319" t="s">
        <v>191</v>
      </c>
      <c r="CW908" s="319" t="s">
        <v>191</v>
      </c>
      <c r="CX908" s="319" t="s">
        <v>190</v>
      </c>
      <c r="CY908" s="319" t="s">
        <v>190</v>
      </c>
      <c r="CZ908" s="319" t="s">
        <v>190</v>
      </c>
      <c r="DA908" s="319" t="s">
        <v>191</v>
      </c>
      <c r="DB908" s="319" t="s">
        <v>191</v>
      </c>
      <c r="DC908" s="319" t="s">
        <v>191</v>
      </c>
      <c r="DD908" s="319" t="s">
        <v>190</v>
      </c>
      <c r="DE908" s="319" t="s">
        <v>190</v>
      </c>
      <c r="DF908" s="319" t="s">
        <v>190</v>
      </c>
      <c r="DG908" s="319" t="s">
        <v>190</v>
      </c>
      <c r="DH908" s="319" t="s">
        <v>190</v>
      </c>
      <c r="DI908" s="319" t="s">
        <v>190</v>
      </c>
      <c r="DJ908" s="319" t="s">
        <v>190</v>
      </c>
      <c r="DK908" s="319" t="s">
        <v>190</v>
      </c>
      <c r="DL908" s="319" t="s">
        <v>190</v>
      </c>
      <c r="DM908" s="319" t="s">
        <v>428</v>
      </c>
      <c r="DN908" s="319" t="s">
        <v>428</v>
      </c>
      <c r="DO908" s="319" t="s">
        <v>190</v>
      </c>
      <c r="DP908" s="319" t="s">
        <v>190</v>
      </c>
      <c r="DQ908" s="319" t="s">
        <v>190</v>
      </c>
      <c r="DR908" s="319" t="s">
        <v>190</v>
      </c>
      <c r="DS908" s="319" t="s">
        <v>190</v>
      </c>
      <c r="DT908" s="319" t="s">
        <v>190</v>
      </c>
      <c r="DU908" s="319" t="s">
        <v>190</v>
      </c>
      <c r="DV908" s="319" t="s">
        <v>173</v>
      </c>
      <c r="DW908" s="319" t="s">
        <v>190</v>
      </c>
      <c r="DX908" s="319" t="s">
        <v>190</v>
      </c>
      <c r="DY908" s="319" t="s">
        <v>190</v>
      </c>
      <c r="DZ908" s="319" t="s">
        <v>190</v>
      </c>
      <c r="EA908" s="319" t="s">
        <v>190</v>
      </c>
      <c r="EB908" s="319" t="s">
        <v>190</v>
      </c>
      <c r="EC908" s="319" t="s">
        <v>428</v>
      </c>
      <c r="ED908" s="319" t="s">
        <v>190</v>
      </c>
      <c r="EE908" s="319" t="s">
        <v>190</v>
      </c>
      <c r="EF908" s="319" t="s">
        <v>190</v>
      </c>
      <c r="EG908" s="319" t="s">
        <v>190</v>
      </c>
      <c r="EH908" s="319" t="s">
        <v>190</v>
      </c>
      <c r="EI908" s="319" t="s">
        <v>190</v>
      </c>
      <c r="EJ908" s="319" t="s">
        <v>190</v>
      </c>
      <c r="EK908" s="319" t="s">
        <v>190</v>
      </c>
      <c r="EL908" s="319" t="s">
        <v>428</v>
      </c>
      <c r="EM908" s="319" t="s">
        <v>190</v>
      </c>
      <c r="EN908" s="319" t="s">
        <v>190</v>
      </c>
      <c r="EO908" s="319" t="s">
        <v>190</v>
      </c>
      <c r="EP908" s="319" t="s">
        <v>190</v>
      </c>
      <c r="EQ908" s="319" t="s">
        <v>190</v>
      </c>
      <c r="ER908" s="319" t="s">
        <v>190</v>
      </c>
      <c r="ES908" s="319" t="s">
        <v>190</v>
      </c>
      <c r="ET908" s="319" t="s">
        <v>190</v>
      </c>
      <c r="EU908" s="319" t="s">
        <v>190</v>
      </c>
      <c r="EV908" s="319" t="s">
        <v>190</v>
      </c>
      <c r="EW908" s="319" t="s">
        <v>190</v>
      </c>
      <c r="EX908" s="319" t="s">
        <v>190</v>
      </c>
      <c r="EY908" s="319" t="s">
        <v>190</v>
      </c>
      <c r="EZ908" s="319" t="s">
        <v>190</v>
      </c>
      <c r="FA908" s="319" t="s">
        <v>428</v>
      </c>
      <c r="FB908" s="319" t="s">
        <v>190</v>
      </c>
      <c r="FC908" s="319" t="s">
        <v>190</v>
      </c>
      <c r="FD908" s="319" t="s">
        <v>190</v>
      </c>
      <c r="FE908" s="319" t="s">
        <v>190</v>
      </c>
      <c r="FF908" s="319" t="s">
        <v>190</v>
      </c>
      <c r="FG908" s="319" t="s">
        <v>190</v>
      </c>
      <c r="FH908" s="319" t="s">
        <v>190</v>
      </c>
      <c r="FI908" s="319" t="s">
        <v>428</v>
      </c>
      <c r="FJ908" s="319" t="s">
        <v>429</v>
      </c>
      <c r="FK908" s="319" t="s">
        <v>428</v>
      </c>
      <c r="FL908" s="319" t="s">
        <v>190</v>
      </c>
      <c r="FM908" s="319" t="s">
        <v>190</v>
      </c>
      <c r="FN908" s="319" t="s">
        <v>190</v>
      </c>
      <c r="FO908" s="319" t="s">
        <v>428</v>
      </c>
      <c r="FP908" s="319" t="s">
        <v>190</v>
      </c>
      <c r="FQ908" s="319" t="s">
        <v>190</v>
      </c>
      <c r="FR908" s="319" t="s">
        <v>190</v>
      </c>
      <c r="FS908" s="319" t="s">
        <v>428</v>
      </c>
      <c r="FT908" s="319" t="s">
        <v>428</v>
      </c>
      <c r="FU908" s="319" t="s">
        <v>191</v>
      </c>
      <c r="FV908" s="319" t="s">
        <v>190</v>
      </c>
      <c r="FW908" s="319" t="s">
        <v>190</v>
      </c>
      <c r="FX908" s="319" t="s">
        <v>190</v>
      </c>
      <c r="FY908" s="319" t="s">
        <v>190</v>
      </c>
      <c r="FZ908" s="319" t="s">
        <v>190</v>
      </c>
      <c r="GA908" s="319" t="s">
        <v>190</v>
      </c>
      <c r="GB908" s="319" t="s">
        <v>190</v>
      </c>
      <c r="GC908" s="319" t="s">
        <v>190</v>
      </c>
      <c r="GD908" s="319" t="s">
        <v>190</v>
      </c>
      <c r="GE908" s="319" t="s">
        <v>190</v>
      </c>
      <c r="GF908" s="319" t="s">
        <v>190</v>
      </c>
      <c r="GG908" s="319" t="s">
        <v>190</v>
      </c>
      <c r="GH908" s="319" t="s">
        <v>190</v>
      </c>
      <c r="GI908" s="319" t="s">
        <v>190</v>
      </c>
      <c r="GJ908" s="319" t="s">
        <v>190</v>
      </c>
      <c r="GK908" s="319" t="s">
        <v>428</v>
      </c>
      <c r="GL908" s="319" t="s">
        <v>190</v>
      </c>
      <c r="GM908" s="319" t="s">
        <v>190</v>
      </c>
      <c r="GN908" s="319" t="s">
        <v>190</v>
      </c>
      <c r="GO908" s="319" t="s">
        <v>190</v>
      </c>
      <c r="GP908" s="319" t="s">
        <v>428</v>
      </c>
      <c r="GQ908" s="319" t="s">
        <v>428</v>
      </c>
      <c r="GR908" s="319" t="s">
        <v>190</v>
      </c>
      <c r="GS908" s="319" t="s">
        <v>190</v>
      </c>
      <c r="GT908" s="319" t="s">
        <v>190</v>
      </c>
      <c r="GU908" s="319" t="s">
        <v>190</v>
      </c>
      <c r="GV908" s="319" t="s">
        <v>190</v>
      </c>
      <c r="GW908" s="319" t="s">
        <v>190</v>
      </c>
      <c r="GX908" s="319" t="s">
        <v>190</v>
      </c>
      <c r="GY908" s="319" t="s">
        <v>190</v>
      </c>
      <c r="GZ908" s="319" t="s">
        <v>190</v>
      </c>
      <c r="HA908" s="319" t="s">
        <v>190</v>
      </c>
      <c r="HB908" s="319" t="s">
        <v>190</v>
      </c>
      <c r="HC908" s="319" t="s">
        <v>190</v>
      </c>
      <c r="HD908" s="319" t="s">
        <v>190</v>
      </c>
      <c r="HE908" s="319" t="s">
        <v>190</v>
      </c>
      <c r="HF908" s="319" t="s">
        <v>190</v>
      </c>
      <c r="HG908" s="319" t="s">
        <v>190</v>
      </c>
      <c r="HH908" s="319" t="s">
        <v>190</v>
      </c>
      <c r="HI908" s="319" t="s">
        <v>190</v>
      </c>
      <c r="HJ908" s="319" t="s">
        <v>190</v>
      </c>
      <c r="HK908" s="319" t="s">
        <v>190</v>
      </c>
      <c r="HL908" s="319" t="s">
        <v>428</v>
      </c>
      <c r="HM908" s="319" t="s">
        <v>428</v>
      </c>
      <c r="HN908" s="319" t="s">
        <v>428</v>
      </c>
      <c r="HO908" s="319" t="s">
        <v>428</v>
      </c>
      <c r="HP908" s="319" t="s">
        <v>190</v>
      </c>
      <c r="HQ908" s="319" t="s">
        <v>190</v>
      </c>
      <c r="HR908" s="319" t="s">
        <v>190</v>
      </c>
      <c r="HS908" s="319" t="s">
        <v>191</v>
      </c>
      <c r="HT908" s="319" t="s">
        <v>190</v>
      </c>
      <c r="HU908" s="319" t="s">
        <v>190</v>
      </c>
      <c r="HV908" s="319" t="s">
        <v>190</v>
      </c>
      <c r="HW908" s="319" t="s">
        <v>190</v>
      </c>
      <c r="HX908" s="319" t="s">
        <v>190</v>
      </c>
      <c r="HY908" s="319" t="s">
        <v>190</v>
      </c>
      <c r="HZ908" s="319" t="s">
        <v>190</v>
      </c>
      <c r="IA908" s="319" t="s">
        <v>190</v>
      </c>
      <c r="IB908" s="319" t="s">
        <v>190</v>
      </c>
      <c r="IC908" s="319" t="s">
        <v>190</v>
      </c>
      <c r="ID908" s="319" t="s">
        <v>190</v>
      </c>
      <c r="IE908" s="319" t="s">
        <v>191</v>
      </c>
      <c r="IF908" s="319" t="s">
        <v>191</v>
      </c>
      <c r="IG908" s="319" t="s">
        <v>191</v>
      </c>
      <c r="IH908" s="319" t="s">
        <v>191</v>
      </c>
      <c r="II908" s="319" t="s">
        <v>191</v>
      </c>
      <c r="IJ908" s="319" t="s">
        <v>173</v>
      </c>
      <c r="IK908" s="319" t="s">
        <v>173</v>
      </c>
      <c r="IL908" s="319" t="s">
        <v>173</v>
      </c>
      <c r="IM908" s="319" t="s">
        <v>173</v>
      </c>
      <c r="IN908" s="319" t="s">
        <v>173</v>
      </c>
      <c r="IO908" s="319">
        <v>10114550</v>
      </c>
      <c r="IP908" s="319" t="s">
        <v>985</v>
      </c>
      <c r="IQ908" s="321">
        <v>43725</v>
      </c>
      <c r="IR908" s="320" t="s">
        <v>2771</v>
      </c>
      <c r="IS908" s="322">
        <v>43751</v>
      </c>
      <c r="IT908" s="319" t="s">
        <v>165</v>
      </c>
    </row>
    <row r="909" spans="1:254" s="271" customFormat="1" x14ac:dyDescent="0.25">
      <c r="A909" s="318" t="str">
        <f>HYPERLINK("http://www.ofsted.gov.uk/inspection-reports/find-inspection-report/provider/ELS/144375 ","Ofsted School Webpage")</f>
        <v>Ofsted School Webpage</v>
      </c>
      <c r="B909" s="319">
        <v>144375</v>
      </c>
      <c r="C909" s="319">
        <v>8886070</v>
      </c>
      <c r="D909" s="319" t="s">
        <v>2438</v>
      </c>
      <c r="E909" s="319" t="s">
        <v>168</v>
      </c>
      <c r="F909" s="319" t="s">
        <v>81</v>
      </c>
      <c r="G909" s="319" t="s">
        <v>81</v>
      </c>
      <c r="H909" s="319" t="s">
        <v>81</v>
      </c>
      <c r="I909" s="319" t="s">
        <v>78</v>
      </c>
      <c r="J909" s="319" t="s">
        <v>424</v>
      </c>
      <c r="K909" s="319" t="s">
        <v>431</v>
      </c>
      <c r="L909" s="319" t="s">
        <v>431</v>
      </c>
      <c r="M909" s="319" t="s">
        <v>469</v>
      </c>
      <c r="N909" s="319" t="s">
        <v>3551</v>
      </c>
      <c r="O909" s="319" t="s">
        <v>2439</v>
      </c>
      <c r="P909" s="319">
        <v>5</v>
      </c>
      <c r="Q909" s="319" t="s">
        <v>429</v>
      </c>
      <c r="R909" s="320">
        <v>10043791</v>
      </c>
      <c r="S909" s="321">
        <v>43264</v>
      </c>
      <c r="T909" s="321">
        <v>43266</v>
      </c>
      <c r="U909" s="321">
        <v>43298</v>
      </c>
      <c r="V909" s="319" t="s">
        <v>435</v>
      </c>
      <c r="W909" s="319" t="s">
        <v>2767</v>
      </c>
      <c r="X909" s="319">
        <v>2</v>
      </c>
      <c r="Y909" s="319" t="s">
        <v>173</v>
      </c>
      <c r="Z909" s="319" t="s">
        <v>173</v>
      </c>
      <c r="AA909" s="319" t="s">
        <v>173</v>
      </c>
      <c r="AB909" s="319">
        <v>2</v>
      </c>
      <c r="AC909" s="319" t="s">
        <v>169</v>
      </c>
      <c r="AD909" s="319" t="s">
        <v>173</v>
      </c>
      <c r="AE909" s="319" t="s">
        <v>173</v>
      </c>
      <c r="AF909" s="319" t="s">
        <v>427</v>
      </c>
      <c r="AG909" s="319" t="s">
        <v>171</v>
      </c>
      <c r="AH909" s="319" t="s">
        <v>190</v>
      </c>
      <c r="AI909" s="319" t="s">
        <v>190</v>
      </c>
      <c r="AJ909" s="319" t="s">
        <v>190</v>
      </c>
      <c r="AK909" s="319" t="s">
        <v>190</v>
      </c>
      <c r="AL909" s="319" t="s">
        <v>190</v>
      </c>
      <c r="AM909" s="319" t="s">
        <v>190</v>
      </c>
      <c r="AN909" s="319" t="s">
        <v>190</v>
      </c>
      <c r="AO909" s="319" t="s">
        <v>190</v>
      </c>
      <c r="AP909" s="319" t="s">
        <v>190</v>
      </c>
      <c r="AQ909" s="319" t="s">
        <v>190</v>
      </c>
      <c r="AR909" s="319" t="s">
        <v>190</v>
      </c>
      <c r="AS909" s="319" t="s">
        <v>190</v>
      </c>
      <c r="AT909" s="319" t="s">
        <v>190</v>
      </c>
      <c r="AU909" s="319" t="s">
        <v>190</v>
      </c>
      <c r="AV909" s="319" t="s">
        <v>190</v>
      </c>
      <c r="AW909" s="319" t="s">
        <v>190</v>
      </c>
      <c r="AX909" s="319" t="s">
        <v>190</v>
      </c>
      <c r="AY909" s="319" t="s">
        <v>190</v>
      </c>
      <c r="AZ909" s="319" t="s">
        <v>190</v>
      </c>
      <c r="BA909" s="319" t="s">
        <v>190</v>
      </c>
      <c r="BB909" s="319" t="s">
        <v>190</v>
      </c>
      <c r="BC909" s="319" t="s">
        <v>190</v>
      </c>
      <c r="BD909" s="319" t="s">
        <v>190</v>
      </c>
      <c r="BE909" s="319" t="s">
        <v>190</v>
      </c>
      <c r="BF909" s="319" t="s">
        <v>190</v>
      </c>
      <c r="BG909" s="319" t="s">
        <v>190</v>
      </c>
      <c r="BH909" s="319" t="s">
        <v>190</v>
      </c>
      <c r="BI909" s="319" t="s">
        <v>190</v>
      </c>
      <c r="BJ909" s="319" t="s">
        <v>190</v>
      </c>
      <c r="BK909" s="319" t="s">
        <v>190</v>
      </c>
      <c r="BL909" s="319" t="s">
        <v>190</v>
      </c>
      <c r="BM909" s="319" t="s">
        <v>190</v>
      </c>
      <c r="BN909" s="319" t="s">
        <v>190</v>
      </c>
      <c r="BO909" s="319" t="s">
        <v>190</v>
      </c>
      <c r="BP909" s="319" t="s">
        <v>190</v>
      </c>
      <c r="BQ909" s="319" t="s">
        <v>190</v>
      </c>
      <c r="BR909" s="319" t="s">
        <v>190</v>
      </c>
      <c r="BS909" s="319" t="s">
        <v>190</v>
      </c>
      <c r="BT909" s="319" t="s">
        <v>190</v>
      </c>
      <c r="BU909" s="319" t="s">
        <v>190</v>
      </c>
      <c r="BV909" s="319" t="s">
        <v>190</v>
      </c>
      <c r="BW909" s="319" t="s">
        <v>190</v>
      </c>
      <c r="BX909" s="319" t="s">
        <v>190</v>
      </c>
      <c r="BY909" s="319" t="s">
        <v>190</v>
      </c>
      <c r="BZ909" s="319" t="s">
        <v>190</v>
      </c>
      <c r="CA909" s="319" t="s">
        <v>190</v>
      </c>
      <c r="CB909" s="319" t="s">
        <v>190</v>
      </c>
      <c r="CC909" s="319" t="s">
        <v>190</v>
      </c>
      <c r="CD909" s="319" t="s">
        <v>190</v>
      </c>
      <c r="CE909" s="319" t="s">
        <v>190</v>
      </c>
      <c r="CF909" s="319" t="s">
        <v>190</v>
      </c>
      <c r="CG909" s="319" t="s">
        <v>190</v>
      </c>
      <c r="CH909" s="319" t="s">
        <v>190</v>
      </c>
      <c r="CI909" s="319" t="s">
        <v>190</v>
      </c>
      <c r="CJ909" s="319" t="s">
        <v>190</v>
      </c>
      <c r="CK909" s="319" t="s">
        <v>190</v>
      </c>
      <c r="CL909" s="319" t="s">
        <v>190</v>
      </c>
      <c r="CM909" s="319" t="s">
        <v>190</v>
      </c>
      <c r="CN909" s="319" t="s">
        <v>190</v>
      </c>
      <c r="CO909" s="319" t="s">
        <v>190</v>
      </c>
      <c r="CP909" s="319" t="s">
        <v>190</v>
      </c>
      <c r="CQ909" s="319" t="s">
        <v>190</v>
      </c>
      <c r="CR909" s="319" t="s">
        <v>190</v>
      </c>
      <c r="CS909" s="319" t="s">
        <v>190</v>
      </c>
      <c r="CT909" s="319" t="s">
        <v>190</v>
      </c>
      <c r="CU909" s="319" t="s">
        <v>190</v>
      </c>
      <c r="CV909" s="319" t="s">
        <v>190</v>
      </c>
      <c r="CW909" s="319" t="s">
        <v>190</v>
      </c>
      <c r="CX909" s="319" t="s">
        <v>190</v>
      </c>
      <c r="CY909" s="319" t="s">
        <v>190</v>
      </c>
      <c r="CZ909" s="319" t="s">
        <v>190</v>
      </c>
      <c r="DA909" s="319" t="s">
        <v>190</v>
      </c>
      <c r="DB909" s="319" t="s">
        <v>190</v>
      </c>
      <c r="DC909" s="319" t="s">
        <v>190</v>
      </c>
      <c r="DD909" s="319" t="s">
        <v>190</v>
      </c>
      <c r="DE909" s="319" t="s">
        <v>190</v>
      </c>
      <c r="DF909" s="319" t="s">
        <v>190</v>
      </c>
      <c r="DG909" s="319" t="s">
        <v>190</v>
      </c>
      <c r="DH909" s="319" t="s">
        <v>190</v>
      </c>
      <c r="DI909" s="319" t="s">
        <v>190</v>
      </c>
      <c r="DJ909" s="319" t="s">
        <v>190</v>
      </c>
      <c r="DK909" s="319" t="s">
        <v>190</v>
      </c>
      <c r="DL909" s="319" t="s">
        <v>190</v>
      </c>
      <c r="DM909" s="319" t="s">
        <v>428</v>
      </c>
      <c r="DN909" s="319" t="s">
        <v>428</v>
      </c>
      <c r="DO909" s="319" t="s">
        <v>190</v>
      </c>
      <c r="DP909" s="319" t="s">
        <v>190</v>
      </c>
      <c r="DQ909" s="319" t="s">
        <v>190</v>
      </c>
      <c r="DR909" s="319" t="s">
        <v>190</v>
      </c>
      <c r="DS909" s="319" t="s">
        <v>190</v>
      </c>
      <c r="DT909" s="319" t="s">
        <v>190</v>
      </c>
      <c r="DU909" s="319" t="s">
        <v>190</v>
      </c>
      <c r="DV909" s="319" t="s">
        <v>173</v>
      </c>
      <c r="DW909" s="319" t="s">
        <v>190</v>
      </c>
      <c r="DX909" s="319" t="s">
        <v>190</v>
      </c>
      <c r="DY909" s="319" t="s">
        <v>190</v>
      </c>
      <c r="DZ909" s="319" t="s">
        <v>190</v>
      </c>
      <c r="EA909" s="319" t="s">
        <v>190</v>
      </c>
      <c r="EB909" s="319" t="s">
        <v>190</v>
      </c>
      <c r="EC909" s="319" t="s">
        <v>428</v>
      </c>
      <c r="ED909" s="319" t="s">
        <v>190</v>
      </c>
      <c r="EE909" s="319" t="s">
        <v>190</v>
      </c>
      <c r="EF909" s="319" t="s">
        <v>190</v>
      </c>
      <c r="EG909" s="319" t="s">
        <v>190</v>
      </c>
      <c r="EH909" s="319" t="s">
        <v>190</v>
      </c>
      <c r="EI909" s="319" t="s">
        <v>190</v>
      </c>
      <c r="EJ909" s="319" t="s">
        <v>190</v>
      </c>
      <c r="EK909" s="319" t="s">
        <v>190</v>
      </c>
      <c r="EL909" s="319" t="s">
        <v>428</v>
      </c>
      <c r="EM909" s="319" t="s">
        <v>428</v>
      </c>
      <c r="EN909" s="319" t="s">
        <v>190</v>
      </c>
      <c r="EO909" s="319" t="s">
        <v>190</v>
      </c>
      <c r="EP909" s="319" t="s">
        <v>190</v>
      </c>
      <c r="EQ909" s="319" t="s">
        <v>190</v>
      </c>
      <c r="ER909" s="319" t="s">
        <v>190</v>
      </c>
      <c r="ES909" s="319" t="s">
        <v>190</v>
      </c>
      <c r="ET909" s="319" t="s">
        <v>190</v>
      </c>
      <c r="EU909" s="319" t="s">
        <v>190</v>
      </c>
      <c r="EV909" s="319" t="s">
        <v>190</v>
      </c>
      <c r="EW909" s="319" t="s">
        <v>190</v>
      </c>
      <c r="EX909" s="319" t="s">
        <v>190</v>
      </c>
      <c r="EY909" s="319" t="s">
        <v>190</v>
      </c>
      <c r="EZ909" s="319" t="s">
        <v>190</v>
      </c>
      <c r="FA909" s="319" t="s">
        <v>190</v>
      </c>
      <c r="FB909" s="319" t="s">
        <v>190</v>
      </c>
      <c r="FC909" s="319" t="s">
        <v>190</v>
      </c>
      <c r="FD909" s="319" t="s">
        <v>190</v>
      </c>
      <c r="FE909" s="319" t="s">
        <v>190</v>
      </c>
      <c r="FF909" s="319" t="s">
        <v>190</v>
      </c>
      <c r="FG909" s="319" t="s">
        <v>190</v>
      </c>
      <c r="FH909" s="319" t="s">
        <v>190</v>
      </c>
      <c r="FI909" s="319" t="s">
        <v>428</v>
      </c>
      <c r="FJ909" s="319" t="s">
        <v>429</v>
      </c>
      <c r="FK909" s="319" t="s">
        <v>428</v>
      </c>
      <c r="FL909" s="319" t="s">
        <v>190</v>
      </c>
      <c r="FM909" s="319" t="s">
        <v>190</v>
      </c>
      <c r="FN909" s="319" t="s">
        <v>190</v>
      </c>
      <c r="FO909" s="319" t="s">
        <v>190</v>
      </c>
      <c r="FP909" s="319" t="s">
        <v>190</v>
      </c>
      <c r="FQ909" s="319" t="s">
        <v>190</v>
      </c>
      <c r="FR909" s="319" t="s">
        <v>190</v>
      </c>
      <c r="FS909" s="319" t="s">
        <v>428</v>
      </c>
      <c r="FT909" s="319" t="s">
        <v>190</v>
      </c>
      <c r="FU909" s="319" t="s">
        <v>190</v>
      </c>
      <c r="FV909" s="319" t="s">
        <v>190</v>
      </c>
      <c r="FW909" s="319" t="s">
        <v>190</v>
      </c>
      <c r="FX909" s="319" t="s">
        <v>190</v>
      </c>
      <c r="FY909" s="319" t="s">
        <v>190</v>
      </c>
      <c r="FZ909" s="319" t="s">
        <v>190</v>
      </c>
      <c r="GA909" s="319" t="s">
        <v>190</v>
      </c>
      <c r="GB909" s="319" t="s">
        <v>190</v>
      </c>
      <c r="GC909" s="319" t="s">
        <v>190</v>
      </c>
      <c r="GD909" s="319" t="s">
        <v>190</v>
      </c>
      <c r="GE909" s="319" t="s">
        <v>190</v>
      </c>
      <c r="GF909" s="319" t="s">
        <v>190</v>
      </c>
      <c r="GG909" s="319" t="s">
        <v>190</v>
      </c>
      <c r="GH909" s="319" t="s">
        <v>190</v>
      </c>
      <c r="GI909" s="319" t="s">
        <v>190</v>
      </c>
      <c r="GJ909" s="319" t="s">
        <v>190</v>
      </c>
      <c r="GK909" s="319" t="s">
        <v>428</v>
      </c>
      <c r="GL909" s="319" t="s">
        <v>190</v>
      </c>
      <c r="GM909" s="319" t="s">
        <v>190</v>
      </c>
      <c r="GN909" s="319" t="s">
        <v>190</v>
      </c>
      <c r="GO909" s="319" t="s">
        <v>190</v>
      </c>
      <c r="GP909" s="319" t="s">
        <v>190</v>
      </c>
      <c r="GQ909" s="319" t="s">
        <v>190</v>
      </c>
      <c r="GR909" s="319" t="s">
        <v>190</v>
      </c>
      <c r="GS909" s="319" t="s">
        <v>190</v>
      </c>
      <c r="GT909" s="319" t="s">
        <v>190</v>
      </c>
      <c r="GU909" s="319" t="s">
        <v>190</v>
      </c>
      <c r="GV909" s="319" t="s">
        <v>190</v>
      </c>
      <c r="GW909" s="319" t="s">
        <v>190</v>
      </c>
      <c r="GX909" s="319" t="s">
        <v>190</v>
      </c>
      <c r="GY909" s="319" t="s">
        <v>190</v>
      </c>
      <c r="GZ909" s="319" t="s">
        <v>428</v>
      </c>
      <c r="HA909" s="319" t="s">
        <v>190</v>
      </c>
      <c r="HB909" s="319" t="s">
        <v>428</v>
      </c>
      <c r="HC909" s="319" t="s">
        <v>190</v>
      </c>
      <c r="HD909" s="319" t="s">
        <v>190</v>
      </c>
      <c r="HE909" s="319" t="s">
        <v>190</v>
      </c>
      <c r="HF909" s="319" t="s">
        <v>190</v>
      </c>
      <c r="HG909" s="319" t="s">
        <v>190</v>
      </c>
      <c r="HH909" s="319" t="s">
        <v>190</v>
      </c>
      <c r="HI909" s="319" t="s">
        <v>190</v>
      </c>
      <c r="HJ909" s="319" t="s">
        <v>190</v>
      </c>
      <c r="HK909" s="319" t="s">
        <v>190</v>
      </c>
      <c r="HL909" s="319" t="s">
        <v>428</v>
      </c>
      <c r="HM909" s="319" t="s">
        <v>428</v>
      </c>
      <c r="HN909" s="319" t="s">
        <v>428</v>
      </c>
      <c r="HO909" s="319" t="s">
        <v>428</v>
      </c>
      <c r="HP909" s="319" t="s">
        <v>190</v>
      </c>
      <c r="HQ909" s="319" t="s">
        <v>190</v>
      </c>
      <c r="HR909" s="319" t="s">
        <v>190</v>
      </c>
      <c r="HS909" s="319" t="s">
        <v>190</v>
      </c>
      <c r="HT909" s="319" t="s">
        <v>190</v>
      </c>
      <c r="HU909" s="319" t="s">
        <v>190</v>
      </c>
      <c r="HV909" s="319" t="s">
        <v>190</v>
      </c>
      <c r="HW909" s="319" t="s">
        <v>190</v>
      </c>
      <c r="HX909" s="319" t="s">
        <v>190</v>
      </c>
      <c r="HY909" s="319" t="s">
        <v>190</v>
      </c>
      <c r="HZ909" s="319" t="s">
        <v>190</v>
      </c>
      <c r="IA909" s="319" t="s">
        <v>190</v>
      </c>
      <c r="IB909" s="319" t="s">
        <v>190</v>
      </c>
      <c r="IC909" s="319" t="s">
        <v>190</v>
      </c>
      <c r="ID909" s="319" t="s">
        <v>190</v>
      </c>
      <c r="IE909" s="319" t="s">
        <v>190</v>
      </c>
      <c r="IF909" s="319" t="s">
        <v>190</v>
      </c>
      <c r="IG909" s="319" t="s">
        <v>190</v>
      </c>
      <c r="IH909" s="319" t="s">
        <v>190</v>
      </c>
      <c r="II909" s="319" t="s">
        <v>190</v>
      </c>
      <c r="IJ909" s="319" t="s">
        <v>173</v>
      </c>
      <c r="IK909" s="319" t="s">
        <v>173</v>
      </c>
      <c r="IL909" s="319" t="s">
        <v>173</v>
      </c>
      <c r="IM909" s="319" t="s">
        <v>173</v>
      </c>
      <c r="IN909" s="319" t="s">
        <v>173</v>
      </c>
      <c r="IO909" s="319" t="s">
        <v>173</v>
      </c>
      <c r="IP909" s="319" t="s">
        <v>173</v>
      </c>
      <c r="IQ909" s="321" t="s">
        <v>173</v>
      </c>
      <c r="IR909" s="320" t="s">
        <v>173</v>
      </c>
      <c r="IS909" s="322" t="s">
        <v>173</v>
      </c>
      <c r="IT909" s="319" t="s">
        <v>173</v>
      </c>
    </row>
    <row r="910" spans="1:254" s="271" customFormat="1" x14ac:dyDescent="0.25">
      <c r="A910" s="318" t="str">
        <f>HYPERLINK("http://www.ofsted.gov.uk/inspection-reports/find-inspection-report/provider/ELS/144377 ","Ofsted School Webpage")</f>
        <v>Ofsted School Webpage</v>
      </c>
      <c r="B910" s="319">
        <v>144377</v>
      </c>
      <c r="C910" s="319">
        <v>9286003</v>
      </c>
      <c r="D910" s="319" t="s">
        <v>2440</v>
      </c>
      <c r="E910" s="319" t="s">
        <v>167</v>
      </c>
      <c r="F910" s="319" t="s">
        <v>81</v>
      </c>
      <c r="G910" s="319" t="s">
        <v>81</v>
      </c>
      <c r="H910" s="319" t="s">
        <v>81</v>
      </c>
      <c r="I910" s="319" t="s">
        <v>78</v>
      </c>
      <c r="J910" s="319" t="s">
        <v>424</v>
      </c>
      <c r="K910" s="319" t="s">
        <v>506</v>
      </c>
      <c r="L910" s="319" t="s">
        <v>506</v>
      </c>
      <c r="M910" s="319" t="s">
        <v>1136</v>
      </c>
      <c r="N910" s="319" t="s">
        <v>3552</v>
      </c>
      <c r="O910" s="319" t="s">
        <v>2441</v>
      </c>
      <c r="P910" s="319">
        <v>9</v>
      </c>
      <c r="Q910" s="319" t="s">
        <v>2766</v>
      </c>
      <c r="R910" s="320">
        <v>10053985</v>
      </c>
      <c r="S910" s="321">
        <v>43557</v>
      </c>
      <c r="T910" s="321">
        <v>43559</v>
      </c>
      <c r="U910" s="321">
        <v>43593</v>
      </c>
      <c r="V910" s="319" t="s">
        <v>435</v>
      </c>
      <c r="W910" s="319" t="s">
        <v>2767</v>
      </c>
      <c r="X910" s="319">
        <v>2</v>
      </c>
      <c r="Y910" s="319" t="s">
        <v>173</v>
      </c>
      <c r="Z910" s="319" t="s">
        <v>173</v>
      </c>
      <c r="AA910" s="319" t="s">
        <v>173</v>
      </c>
      <c r="AB910" s="319">
        <v>2</v>
      </c>
      <c r="AC910" s="319" t="s">
        <v>169</v>
      </c>
      <c r="AD910" s="319" t="s">
        <v>173</v>
      </c>
      <c r="AE910" s="319" t="s">
        <v>173</v>
      </c>
      <c r="AF910" s="319" t="s">
        <v>427</v>
      </c>
      <c r="AG910" s="319" t="s">
        <v>171</v>
      </c>
      <c r="AH910" s="319" t="s">
        <v>190</v>
      </c>
      <c r="AI910" s="319" t="s">
        <v>190</v>
      </c>
      <c r="AJ910" s="319" t="s">
        <v>190</v>
      </c>
      <c r="AK910" s="319" t="s">
        <v>190</v>
      </c>
      <c r="AL910" s="319" t="s">
        <v>190</v>
      </c>
      <c r="AM910" s="319" t="s">
        <v>190</v>
      </c>
      <c r="AN910" s="319" t="s">
        <v>190</v>
      </c>
      <c r="AO910" s="319" t="s">
        <v>190</v>
      </c>
      <c r="AP910" s="319" t="s">
        <v>190</v>
      </c>
      <c r="AQ910" s="319" t="s">
        <v>190</v>
      </c>
      <c r="AR910" s="319" t="s">
        <v>190</v>
      </c>
      <c r="AS910" s="319" t="s">
        <v>190</v>
      </c>
      <c r="AT910" s="319" t="s">
        <v>190</v>
      </c>
      <c r="AU910" s="319" t="s">
        <v>190</v>
      </c>
      <c r="AV910" s="319" t="s">
        <v>190</v>
      </c>
      <c r="AW910" s="319" t="s">
        <v>190</v>
      </c>
      <c r="AX910" s="319" t="s">
        <v>428</v>
      </c>
      <c r="AY910" s="319" t="s">
        <v>190</v>
      </c>
      <c r="AZ910" s="319" t="s">
        <v>190</v>
      </c>
      <c r="BA910" s="319" t="s">
        <v>190</v>
      </c>
      <c r="BB910" s="319" t="s">
        <v>190</v>
      </c>
      <c r="BC910" s="319" t="s">
        <v>190</v>
      </c>
      <c r="BD910" s="319" t="s">
        <v>190</v>
      </c>
      <c r="BE910" s="319" t="s">
        <v>190</v>
      </c>
      <c r="BF910" s="319" t="s">
        <v>428</v>
      </c>
      <c r="BG910" s="319" t="s">
        <v>428</v>
      </c>
      <c r="BH910" s="319" t="s">
        <v>190</v>
      </c>
      <c r="BI910" s="319" t="s">
        <v>190</v>
      </c>
      <c r="BJ910" s="319" t="s">
        <v>190</v>
      </c>
      <c r="BK910" s="319" t="s">
        <v>190</v>
      </c>
      <c r="BL910" s="319" t="s">
        <v>190</v>
      </c>
      <c r="BM910" s="319" t="s">
        <v>190</v>
      </c>
      <c r="BN910" s="319" t="s">
        <v>190</v>
      </c>
      <c r="BO910" s="319" t="s">
        <v>190</v>
      </c>
      <c r="BP910" s="319" t="s">
        <v>190</v>
      </c>
      <c r="BQ910" s="319" t="s">
        <v>190</v>
      </c>
      <c r="BR910" s="319" t="s">
        <v>190</v>
      </c>
      <c r="BS910" s="319" t="s">
        <v>190</v>
      </c>
      <c r="BT910" s="319" t="s">
        <v>190</v>
      </c>
      <c r="BU910" s="319" t="s">
        <v>190</v>
      </c>
      <c r="BV910" s="319" t="s">
        <v>190</v>
      </c>
      <c r="BW910" s="319" t="s">
        <v>190</v>
      </c>
      <c r="BX910" s="319" t="s">
        <v>190</v>
      </c>
      <c r="BY910" s="319" t="s">
        <v>190</v>
      </c>
      <c r="BZ910" s="319" t="s">
        <v>190</v>
      </c>
      <c r="CA910" s="319" t="s">
        <v>190</v>
      </c>
      <c r="CB910" s="319" t="s">
        <v>190</v>
      </c>
      <c r="CC910" s="319" t="s">
        <v>190</v>
      </c>
      <c r="CD910" s="319" t="s">
        <v>190</v>
      </c>
      <c r="CE910" s="319" t="s">
        <v>190</v>
      </c>
      <c r="CF910" s="319" t="s">
        <v>190</v>
      </c>
      <c r="CG910" s="319" t="s">
        <v>190</v>
      </c>
      <c r="CH910" s="319" t="s">
        <v>190</v>
      </c>
      <c r="CI910" s="319" t="s">
        <v>190</v>
      </c>
      <c r="CJ910" s="319" t="s">
        <v>190</v>
      </c>
      <c r="CK910" s="319" t="s">
        <v>190</v>
      </c>
      <c r="CL910" s="319" t="s">
        <v>190</v>
      </c>
      <c r="CM910" s="319" t="s">
        <v>190</v>
      </c>
      <c r="CN910" s="319" t="s">
        <v>428</v>
      </c>
      <c r="CO910" s="319" t="s">
        <v>428</v>
      </c>
      <c r="CP910" s="319" t="s">
        <v>428</v>
      </c>
      <c r="CQ910" s="319" t="s">
        <v>190</v>
      </c>
      <c r="CR910" s="319" t="s">
        <v>190</v>
      </c>
      <c r="CS910" s="319" t="s">
        <v>190</v>
      </c>
      <c r="CT910" s="319" t="s">
        <v>190</v>
      </c>
      <c r="CU910" s="319" t="s">
        <v>190</v>
      </c>
      <c r="CV910" s="319" t="s">
        <v>190</v>
      </c>
      <c r="CW910" s="319" t="s">
        <v>190</v>
      </c>
      <c r="CX910" s="319" t="s">
        <v>190</v>
      </c>
      <c r="CY910" s="319" t="s">
        <v>190</v>
      </c>
      <c r="CZ910" s="319" t="s">
        <v>190</v>
      </c>
      <c r="DA910" s="319" t="s">
        <v>190</v>
      </c>
      <c r="DB910" s="319" t="s">
        <v>190</v>
      </c>
      <c r="DC910" s="319" t="s">
        <v>190</v>
      </c>
      <c r="DD910" s="319" t="s">
        <v>190</v>
      </c>
      <c r="DE910" s="319" t="s">
        <v>190</v>
      </c>
      <c r="DF910" s="319" t="s">
        <v>190</v>
      </c>
      <c r="DG910" s="319" t="s">
        <v>190</v>
      </c>
      <c r="DH910" s="319" t="s">
        <v>190</v>
      </c>
      <c r="DI910" s="319" t="s">
        <v>190</v>
      </c>
      <c r="DJ910" s="319" t="s">
        <v>190</v>
      </c>
      <c r="DK910" s="319" t="s">
        <v>190</v>
      </c>
      <c r="DL910" s="319" t="s">
        <v>190</v>
      </c>
      <c r="DM910" s="319" t="s">
        <v>190</v>
      </c>
      <c r="DN910" s="319" t="s">
        <v>428</v>
      </c>
      <c r="DO910" s="319" t="s">
        <v>190</v>
      </c>
      <c r="DP910" s="319" t="s">
        <v>428</v>
      </c>
      <c r="DQ910" s="319" t="s">
        <v>428</v>
      </c>
      <c r="DR910" s="319" t="s">
        <v>428</v>
      </c>
      <c r="DS910" s="319" t="s">
        <v>428</v>
      </c>
      <c r="DT910" s="319" t="s">
        <v>428</v>
      </c>
      <c r="DU910" s="319" t="s">
        <v>428</v>
      </c>
      <c r="DV910" s="319" t="s">
        <v>173</v>
      </c>
      <c r="DW910" s="319" t="s">
        <v>428</v>
      </c>
      <c r="DX910" s="319" t="s">
        <v>428</v>
      </c>
      <c r="DY910" s="319" t="s">
        <v>428</v>
      </c>
      <c r="DZ910" s="319" t="s">
        <v>428</v>
      </c>
      <c r="EA910" s="319" t="s">
        <v>428</v>
      </c>
      <c r="EB910" s="319" t="s">
        <v>428</v>
      </c>
      <c r="EC910" s="319" t="s">
        <v>428</v>
      </c>
      <c r="ED910" s="319" t="s">
        <v>428</v>
      </c>
      <c r="EE910" s="319" t="s">
        <v>190</v>
      </c>
      <c r="EF910" s="319" t="s">
        <v>190</v>
      </c>
      <c r="EG910" s="319" t="s">
        <v>190</v>
      </c>
      <c r="EH910" s="319" t="s">
        <v>190</v>
      </c>
      <c r="EI910" s="319" t="s">
        <v>190</v>
      </c>
      <c r="EJ910" s="319" t="s">
        <v>190</v>
      </c>
      <c r="EK910" s="319" t="s">
        <v>190</v>
      </c>
      <c r="EL910" s="319" t="s">
        <v>190</v>
      </c>
      <c r="EM910" s="319" t="s">
        <v>190</v>
      </c>
      <c r="EN910" s="319" t="s">
        <v>190</v>
      </c>
      <c r="EO910" s="319" t="s">
        <v>190</v>
      </c>
      <c r="EP910" s="319" t="s">
        <v>190</v>
      </c>
      <c r="EQ910" s="319" t="s">
        <v>190</v>
      </c>
      <c r="ER910" s="319" t="s">
        <v>190</v>
      </c>
      <c r="ES910" s="319" t="s">
        <v>190</v>
      </c>
      <c r="ET910" s="319" t="s">
        <v>190</v>
      </c>
      <c r="EU910" s="319" t="s">
        <v>190</v>
      </c>
      <c r="EV910" s="319" t="s">
        <v>190</v>
      </c>
      <c r="EW910" s="319" t="s">
        <v>190</v>
      </c>
      <c r="EX910" s="319" t="s">
        <v>190</v>
      </c>
      <c r="EY910" s="319" t="s">
        <v>190</v>
      </c>
      <c r="EZ910" s="319" t="s">
        <v>190</v>
      </c>
      <c r="FA910" s="319" t="s">
        <v>428</v>
      </c>
      <c r="FB910" s="319" t="s">
        <v>428</v>
      </c>
      <c r="FC910" s="319" t="s">
        <v>428</v>
      </c>
      <c r="FD910" s="319" t="s">
        <v>428</v>
      </c>
      <c r="FE910" s="319" t="s">
        <v>428</v>
      </c>
      <c r="FF910" s="319" t="s">
        <v>428</v>
      </c>
      <c r="FG910" s="319" t="s">
        <v>428</v>
      </c>
      <c r="FH910" s="319" t="s">
        <v>190</v>
      </c>
      <c r="FI910" s="319" t="s">
        <v>428</v>
      </c>
      <c r="FJ910" s="319" t="s">
        <v>429</v>
      </c>
      <c r="FK910" s="319" t="s">
        <v>428</v>
      </c>
      <c r="FL910" s="319" t="s">
        <v>190</v>
      </c>
      <c r="FM910" s="319" t="s">
        <v>190</v>
      </c>
      <c r="FN910" s="319" t="s">
        <v>190</v>
      </c>
      <c r="FO910" s="319" t="s">
        <v>190</v>
      </c>
      <c r="FP910" s="319" t="s">
        <v>190</v>
      </c>
      <c r="FQ910" s="319" t="s">
        <v>190</v>
      </c>
      <c r="FR910" s="319" t="s">
        <v>190</v>
      </c>
      <c r="FS910" s="319" t="s">
        <v>428</v>
      </c>
      <c r="FT910" s="319" t="s">
        <v>190</v>
      </c>
      <c r="FU910" s="319" t="s">
        <v>190</v>
      </c>
      <c r="FV910" s="319" t="s">
        <v>190</v>
      </c>
      <c r="FW910" s="319" t="s">
        <v>190</v>
      </c>
      <c r="FX910" s="319" t="s">
        <v>190</v>
      </c>
      <c r="FY910" s="319" t="s">
        <v>190</v>
      </c>
      <c r="FZ910" s="319" t="s">
        <v>190</v>
      </c>
      <c r="GA910" s="319" t="s">
        <v>190</v>
      </c>
      <c r="GB910" s="319" t="s">
        <v>190</v>
      </c>
      <c r="GC910" s="319" t="s">
        <v>190</v>
      </c>
      <c r="GD910" s="319" t="s">
        <v>190</v>
      </c>
      <c r="GE910" s="319" t="s">
        <v>190</v>
      </c>
      <c r="GF910" s="319" t="s">
        <v>190</v>
      </c>
      <c r="GG910" s="319" t="s">
        <v>190</v>
      </c>
      <c r="GH910" s="319" t="s">
        <v>190</v>
      </c>
      <c r="GI910" s="319" t="s">
        <v>190</v>
      </c>
      <c r="GJ910" s="319" t="s">
        <v>190</v>
      </c>
      <c r="GK910" s="319" t="s">
        <v>190</v>
      </c>
      <c r="GL910" s="319" t="s">
        <v>190</v>
      </c>
      <c r="GM910" s="319" t="s">
        <v>190</v>
      </c>
      <c r="GN910" s="319" t="s">
        <v>190</v>
      </c>
      <c r="GO910" s="319" t="s">
        <v>190</v>
      </c>
      <c r="GP910" s="319" t="s">
        <v>428</v>
      </c>
      <c r="GQ910" s="319" t="s">
        <v>428</v>
      </c>
      <c r="GR910" s="319" t="s">
        <v>190</v>
      </c>
      <c r="GS910" s="319" t="s">
        <v>190</v>
      </c>
      <c r="GT910" s="319" t="s">
        <v>428</v>
      </c>
      <c r="GU910" s="319" t="s">
        <v>190</v>
      </c>
      <c r="GV910" s="319" t="s">
        <v>190</v>
      </c>
      <c r="GW910" s="319" t="s">
        <v>190</v>
      </c>
      <c r="GX910" s="319" t="s">
        <v>190</v>
      </c>
      <c r="GY910" s="319" t="s">
        <v>190</v>
      </c>
      <c r="GZ910" s="319" t="s">
        <v>190</v>
      </c>
      <c r="HA910" s="319" t="s">
        <v>190</v>
      </c>
      <c r="HB910" s="319" t="s">
        <v>190</v>
      </c>
      <c r="HC910" s="319" t="s">
        <v>190</v>
      </c>
      <c r="HD910" s="319" t="s">
        <v>190</v>
      </c>
      <c r="HE910" s="319" t="s">
        <v>190</v>
      </c>
      <c r="HF910" s="319" t="s">
        <v>190</v>
      </c>
      <c r="HG910" s="319" t="s">
        <v>190</v>
      </c>
      <c r="HH910" s="319" t="s">
        <v>190</v>
      </c>
      <c r="HI910" s="319" t="s">
        <v>190</v>
      </c>
      <c r="HJ910" s="319" t="s">
        <v>190</v>
      </c>
      <c r="HK910" s="319" t="s">
        <v>428</v>
      </c>
      <c r="HL910" s="319" t="s">
        <v>428</v>
      </c>
      <c r="HM910" s="319" t="s">
        <v>428</v>
      </c>
      <c r="HN910" s="319" t="s">
        <v>428</v>
      </c>
      <c r="HO910" s="319" t="s">
        <v>428</v>
      </c>
      <c r="HP910" s="319" t="s">
        <v>190</v>
      </c>
      <c r="HQ910" s="319" t="s">
        <v>190</v>
      </c>
      <c r="HR910" s="319" t="s">
        <v>190</v>
      </c>
      <c r="HS910" s="319" t="s">
        <v>190</v>
      </c>
      <c r="HT910" s="319" t="s">
        <v>190</v>
      </c>
      <c r="HU910" s="319" t="s">
        <v>190</v>
      </c>
      <c r="HV910" s="319" t="s">
        <v>190</v>
      </c>
      <c r="HW910" s="319" t="s">
        <v>190</v>
      </c>
      <c r="HX910" s="319" t="s">
        <v>190</v>
      </c>
      <c r="HY910" s="319" t="s">
        <v>190</v>
      </c>
      <c r="HZ910" s="319" t="s">
        <v>190</v>
      </c>
      <c r="IA910" s="319" t="s">
        <v>190</v>
      </c>
      <c r="IB910" s="319" t="s">
        <v>190</v>
      </c>
      <c r="IC910" s="319" t="s">
        <v>190</v>
      </c>
      <c r="ID910" s="319" t="s">
        <v>190</v>
      </c>
      <c r="IE910" s="319" t="s">
        <v>190</v>
      </c>
      <c r="IF910" s="319" t="s">
        <v>190</v>
      </c>
      <c r="IG910" s="319" t="s">
        <v>190</v>
      </c>
      <c r="IH910" s="319" t="s">
        <v>190</v>
      </c>
      <c r="II910" s="319" t="s">
        <v>190</v>
      </c>
      <c r="IJ910" s="319" t="s">
        <v>173</v>
      </c>
      <c r="IK910" s="319" t="s">
        <v>173</v>
      </c>
      <c r="IL910" s="319" t="s">
        <v>173</v>
      </c>
      <c r="IM910" s="319" t="s">
        <v>173</v>
      </c>
      <c r="IN910" s="319" t="s">
        <v>173</v>
      </c>
      <c r="IO910" s="319" t="s">
        <v>173</v>
      </c>
      <c r="IP910" s="319" t="s">
        <v>173</v>
      </c>
      <c r="IQ910" s="321" t="s">
        <v>173</v>
      </c>
      <c r="IR910" s="320" t="s">
        <v>173</v>
      </c>
      <c r="IS910" s="322" t="s">
        <v>173</v>
      </c>
      <c r="IT910" s="319" t="s">
        <v>173</v>
      </c>
    </row>
    <row r="911" spans="1:254" s="271" customFormat="1" x14ac:dyDescent="0.25">
      <c r="A911" s="318" t="str">
        <f>HYPERLINK("http://www.ofsted.gov.uk/inspection-reports/find-inspection-report/provider/ELS/144378 ","Ofsted School Webpage")</f>
        <v>Ofsted School Webpage</v>
      </c>
      <c r="B911" s="319">
        <v>144378</v>
      </c>
      <c r="C911" s="319">
        <v>8816067</v>
      </c>
      <c r="D911" s="319" t="s">
        <v>1033</v>
      </c>
      <c r="E911" s="319" t="s">
        <v>168</v>
      </c>
      <c r="F911" s="319" t="s">
        <v>81</v>
      </c>
      <c r="G911" s="319" t="s">
        <v>81</v>
      </c>
      <c r="H911" s="319" t="s">
        <v>81</v>
      </c>
      <c r="I911" s="319" t="s">
        <v>78</v>
      </c>
      <c r="J911" s="319" t="s">
        <v>424</v>
      </c>
      <c r="K911" s="319" t="s">
        <v>451</v>
      </c>
      <c r="L911" s="319" t="s">
        <v>451</v>
      </c>
      <c r="M911" s="319" t="s">
        <v>679</v>
      </c>
      <c r="N911" s="319" t="s">
        <v>2945</v>
      </c>
      <c r="O911" s="319" t="s">
        <v>1034</v>
      </c>
      <c r="P911" s="319">
        <v>11</v>
      </c>
      <c r="Q911" s="319" t="s">
        <v>429</v>
      </c>
      <c r="R911" s="320">
        <v>10043524</v>
      </c>
      <c r="S911" s="321">
        <v>43172</v>
      </c>
      <c r="T911" s="321">
        <v>43174</v>
      </c>
      <c r="U911" s="321">
        <v>43231</v>
      </c>
      <c r="V911" s="319" t="s">
        <v>435</v>
      </c>
      <c r="W911" s="319" t="s">
        <v>2767</v>
      </c>
      <c r="X911" s="319">
        <v>4</v>
      </c>
      <c r="Y911" s="319" t="s">
        <v>173</v>
      </c>
      <c r="Z911" s="319" t="s">
        <v>173</v>
      </c>
      <c r="AA911" s="319" t="s">
        <v>173</v>
      </c>
      <c r="AB911" s="319">
        <v>4</v>
      </c>
      <c r="AC911" s="319" t="s">
        <v>170</v>
      </c>
      <c r="AD911" s="319" t="s">
        <v>173</v>
      </c>
      <c r="AE911" s="319" t="s">
        <v>173</v>
      </c>
      <c r="AF911" s="319" t="s">
        <v>427</v>
      </c>
      <c r="AG911" s="319" t="s">
        <v>172</v>
      </c>
      <c r="AH911" s="319" t="s">
        <v>479</v>
      </c>
      <c r="AI911" s="319" t="s">
        <v>190</v>
      </c>
      <c r="AJ911" s="319" t="s">
        <v>479</v>
      </c>
      <c r="AK911" s="319" t="s">
        <v>479</v>
      </c>
      <c r="AL911" s="319" t="s">
        <v>479</v>
      </c>
      <c r="AM911" s="319" t="s">
        <v>479</v>
      </c>
      <c r="AN911" s="319" t="s">
        <v>190</v>
      </c>
      <c r="AO911" s="319" t="s">
        <v>479</v>
      </c>
      <c r="AP911" s="319" t="s">
        <v>191</v>
      </c>
      <c r="AQ911" s="319" t="s">
        <v>191</v>
      </c>
      <c r="AR911" s="319" t="s">
        <v>191</v>
      </c>
      <c r="AS911" s="319" t="s">
        <v>191</v>
      </c>
      <c r="AT911" s="319" t="s">
        <v>191</v>
      </c>
      <c r="AU911" s="319" t="s">
        <v>191</v>
      </c>
      <c r="AV911" s="319" t="s">
        <v>191</v>
      </c>
      <c r="AW911" s="319" t="s">
        <v>191</v>
      </c>
      <c r="AX911" s="319" t="s">
        <v>428</v>
      </c>
      <c r="AY911" s="319" t="s">
        <v>191</v>
      </c>
      <c r="AZ911" s="319" t="s">
        <v>191</v>
      </c>
      <c r="BA911" s="319" t="s">
        <v>191</v>
      </c>
      <c r="BB911" s="319" t="s">
        <v>191</v>
      </c>
      <c r="BC911" s="319" t="s">
        <v>191</v>
      </c>
      <c r="BD911" s="319" t="s">
        <v>191</v>
      </c>
      <c r="BE911" s="319" t="s">
        <v>191</v>
      </c>
      <c r="BF911" s="319" t="s">
        <v>191</v>
      </c>
      <c r="BG911" s="319" t="s">
        <v>191</v>
      </c>
      <c r="BH911" s="319" t="s">
        <v>191</v>
      </c>
      <c r="BI911" s="319" t="s">
        <v>191</v>
      </c>
      <c r="BJ911" s="319" t="s">
        <v>191</v>
      </c>
      <c r="BK911" s="319" t="s">
        <v>191</v>
      </c>
      <c r="BL911" s="319" t="s">
        <v>191</v>
      </c>
      <c r="BM911" s="319" t="s">
        <v>191</v>
      </c>
      <c r="BN911" s="319" t="s">
        <v>191</v>
      </c>
      <c r="BO911" s="319" t="s">
        <v>191</v>
      </c>
      <c r="BP911" s="319" t="s">
        <v>191</v>
      </c>
      <c r="BQ911" s="319" t="s">
        <v>191</v>
      </c>
      <c r="BR911" s="319" t="s">
        <v>190</v>
      </c>
      <c r="BS911" s="319" t="s">
        <v>190</v>
      </c>
      <c r="BT911" s="319" t="s">
        <v>190</v>
      </c>
      <c r="BU911" s="319" t="s">
        <v>191</v>
      </c>
      <c r="BV911" s="319" t="s">
        <v>190</v>
      </c>
      <c r="BW911" s="319" t="s">
        <v>190</v>
      </c>
      <c r="BX911" s="319" t="s">
        <v>190</v>
      </c>
      <c r="BY911" s="319" t="s">
        <v>190</v>
      </c>
      <c r="BZ911" s="319" t="s">
        <v>190</v>
      </c>
      <c r="CA911" s="319" t="s">
        <v>190</v>
      </c>
      <c r="CB911" s="319" t="s">
        <v>190</v>
      </c>
      <c r="CC911" s="319" t="s">
        <v>190</v>
      </c>
      <c r="CD911" s="319" t="s">
        <v>190</v>
      </c>
      <c r="CE911" s="319" t="s">
        <v>190</v>
      </c>
      <c r="CF911" s="319" t="s">
        <v>190</v>
      </c>
      <c r="CG911" s="319" t="s">
        <v>190</v>
      </c>
      <c r="CH911" s="319" t="s">
        <v>190</v>
      </c>
      <c r="CI911" s="319" t="s">
        <v>190</v>
      </c>
      <c r="CJ911" s="319" t="s">
        <v>190</v>
      </c>
      <c r="CK911" s="319" t="s">
        <v>191</v>
      </c>
      <c r="CL911" s="319" t="s">
        <v>191</v>
      </c>
      <c r="CM911" s="319" t="s">
        <v>191</v>
      </c>
      <c r="CN911" s="319" t="s">
        <v>428</v>
      </c>
      <c r="CO911" s="319" t="s">
        <v>428</v>
      </c>
      <c r="CP911" s="319" t="s">
        <v>428</v>
      </c>
      <c r="CQ911" s="319" t="s">
        <v>191</v>
      </c>
      <c r="CR911" s="319" t="s">
        <v>190</v>
      </c>
      <c r="CS911" s="319" t="s">
        <v>191</v>
      </c>
      <c r="CT911" s="319" t="s">
        <v>190</v>
      </c>
      <c r="CU911" s="319" t="s">
        <v>190</v>
      </c>
      <c r="CV911" s="319" t="s">
        <v>191</v>
      </c>
      <c r="CW911" s="319" t="s">
        <v>191</v>
      </c>
      <c r="CX911" s="319" t="s">
        <v>190</v>
      </c>
      <c r="CY911" s="319" t="s">
        <v>190</v>
      </c>
      <c r="CZ911" s="319" t="s">
        <v>191</v>
      </c>
      <c r="DA911" s="319" t="s">
        <v>191</v>
      </c>
      <c r="DB911" s="319" t="s">
        <v>191</v>
      </c>
      <c r="DC911" s="319" t="s">
        <v>191</v>
      </c>
      <c r="DD911" s="319" t="s">
        <v>191</v>
      </c>
      <c r="DE911" s="319" t="s">
        <v>190</v>
      </c>
      <c r="DF911" s="319" t="s">
        <v>191</v>
      </c>
      <c r="DG911" s="319" t="s">
        <v>191</v>
      </c>
      <c r="DH911" s="319" t="s">
        <v>190</v>
      </c>
      <c r="DI911" s="319" t="s">
        <v>191</v>
      </c>
      <c r="DJ911" s="319" t="s">
        <v>190</v>
      </c>
      <c r="DK911" s="319" t="s">
        <v>190</v>
      </c>
      <c r="DL911" s="319" t="s">
        <v>190</v>
      </c>
      <c r="DM911" s="319" t="s">
        <v>191</v>
      </c>
      <c r="DN911" s="319" t="s">
        <v>428</v>
      </c>
      <c r="DO911" s="319" t="s">
        <v>191</v>
      </c>
      <c r="DP911" s="319" t="s">
        <v>428</v>
      </c>
      <c r="DQ911" s="319" t="s">
        <v>428</v>
      </c>
      <c r="DR911" s="319" t="s">
        <v>428</v>
      </c>
      <c r="DS911" s="319" t="s">
        <v>428</v>
      </c>
      <c r="DT911" s="319" t="s">
        <v>428</v>
      </c>
      <c r="DU911" s="319" t="s">
        <v>428</v>
      </c>
      <c r="DV911" s="319" t="s">
        <v>173</v>
      </c>
      <c r="DW911" s="319" t="s">
        <v>428</v>
      </c>
      <c r="DX911" s="319" t="s">
        <v>428</v>
      </c>
      <c r="DY911" s="319" t="s">
        <v>428</v>
      </c>
      <c r="DZ911" s="319" t="s">
        <v>428</v>
      </c>
      <c r="EA911" s="319" t="s">
        <v>428</v>
      </c>
      <c r="EB911" s="319" t="s">
        <v>428</v>
      </c>
      <c r="EC911" s="319" t="s">
        <v>428</v>
      </c>
      <c r="ED911" s="319" t="s">
        <v>428</v>
      </c>
      <c r="EE911" s="319" t="s">
        <v>190</v>
      </c>
      <c r="EF911" s="319" t="s">
        <v>190</v>
      </c>
      <c r="EG911" s="319" t="s">
        <v>190</v>
      </c>
      <c r="EH911" s="319" t="s">
        <v>190</v>
      </c>
      <c r="EI911" s="319" t="s">
        <v>190</v>
      </c>
      <c r="EJ911" s="319" t="s">
        <v>190</v>
      </c>
      <c r="EK911" s="319" t="s">
        <v>190</v>
      </c>
      <c r="EL911" s="319" t="s">
        <v>190</v>
      </c>
      <c r="EM911" s="319" t="s">
        <v>190</v>
      </c>
      <c r="EN911" s="319" t="s">
        <v>191</v>
      </c>
      <c r="EO911" s="319" t="s">
        <v>190</v>
      </c>
      <c r="EP911" s="319" t="s">
        <v>191</v>
      </c>
      <c r="EQ911" s="319" t="s">
        <v>191</v>
      </c>
      <c r="ER911" s="319" t="s">
        <v>190</v>
      </c>
      <c r="ES911" s="319" t="s">
        <v>190</v>
      </c>
      <c r="ET911" s="319" t="s">
        <v>191</v>
      </c>
      <c r="EU911" s="319" t="s">
        <v>190</v>
      </c>
      <c r="EV911" s="319" t="s">
        <v>190</v>
      </c>
      <c r="EW911" s="319" t="s">
        <v>190</v>
      </c>
      <c r="EX911" s="319" t="s">
        <v>190</v>
      </c>
      <c r="EY911" s="319" t="s">
        <v>191</v>
      </c>
      <c r="EZ911" s="319" t="s">
        <v>191</v>
      </c>
      <c r="FA911" s="319" t="s">
        <v>428</v>
      </c>
      <c r="FB911" s="319" t="s">
        <v>428</v>
      </c>
      <c r="FC911" s="319" t="s">
        <v>428</v>
      </c>
      <c r="FD911" s="319" t="s">
        <v>428</v>
      </c>
      <c r="FE911" s="319" t="s">
        <v>428</v>
      </c>
      <c r="FF911" s="319" t="s">
        <v>428</v>
      </c>
      <c r="FG911" s="319" t="s">
        <v>428</v>
      </c>
      <c r="FH911" s="319" t="s">
        <v>190</v>
      </c>
      <c r="FI911" s="319" t="s">
        <v>190</v>
      </c>
      <c r="FJ911" s="319" t="s">
        <v>190</v>
      </c>
      <c r="FK911" s="319" t="s">
        <v>190</v>
      </c>
      <c r="FL911" s="319" t="s">
        <v>190</v>
      </c>
      <c r="FM911" s="319" t="s">
        <v>190</v>
      </c>
      <c r="FN911" s="319" t="s">
        <v>190</v>
      </c>
      <c r="FO911" s="319" t="s">
        <v>190</v>
      </c>
      <c r="FP911" s="319" t="s">
        <v>191</v>
      </c>
      <c r="FQ911" s="319" t="s">
        <v>191</v>
      </c>
      <c r="FR911" s="319" t="s">
        <v>191</v>
      </c>
      <c r="FS911" s="319" t="s">
        <v>428</v>
      </c>
      <c r="FT911" s="319" t="s">
        <v>428</v>
      </c>
      <c r="FU911" s="319" t="s">
        <v>190</v>
      </c>
      <c r="FV911" s="319" t="s">
        <v>190</v>
      </c>
      <c r="FW911" s="319" t="s">
        <v>190</v>
      </c>
      <c r="FX911" s="319" t="s">
        <v>190</v>
      </c>
      <c r="FY911" s="319" t="s">
        <v>190</v>
      </c>
      <c r="FZ911" s="319" t="s">
        <v>190</v>
      </c>
      <c r="GA911" s="319" t="s">
        <v>190</v>
      </c>
      <c r="GB911" s="319" t="s">
        <v>190</v>
      </c>
      <c r="GC911" s="319" t="s">
        <v>190</v>
      </c>
      <c r="GD911" s="319" t="s">
        <v>190</v>
      </c>
      <c r="GE911" s="319" t="s">
        <v>190</v>
      </c>
      <c r="GF911" s="319" t="s">
        <v>190</v>
      </c>
      <c r="GG911" s="319" t="s">
        <v>190</v>
      </c>
      <c r="GH911" s="319" t="s">
        <v>190</v>
      </c>
      <c r="GI911" s="319" t="s">
        <v>190</v>
      </c>
      <c r="GJ911" s="319" t="s">
        <v>190</v>
      </c>
      <c r="GK911" s="319" t="s">
        <v>428</v>
      </c>
      <c r="GL911" s="319" t="s">
        <v>191</v>
      </c>
      <c r="GM911" s="319" t="s">
        <v>191</v>
      </c>
      <c r="GN911" s="319" t="s">
        <v>191</v>
      </c>
      <c r="GO911" s="319" t="s">
        <v>191</v>
      </c>
      <c r="GP911" s="319" t="s">
        <v>428</v>
      </c>
      <c r="GQ911" s="319" t="s">
        <v>428</v>
      </c>
      <c r="GR911" s="319" t="s">
        <v>190</v>
      </c>
      <c r="GS911" s="319" t="s">
        <v>191</v>
      </c>
      <c r="GT911" s="319" t="s">
        <v>190</v>
      </c>
      <c r="GU911" s="319" t="s">
        <v>190</v>
      </c>
      <c r="GV911" s="319" t="s">
        <v>191</v>
      </c>
      <c r="GW911" s="319" t="s">
        <v>191</v>
      </c>
      <c r="GX911" s="319" t="s">
        <v>190</v>
      </c>
      <c r="GY911" s="319" t="s">
        <v>190</v>
      </c>
      <c r="GZ911" s="319" t="s">
        <v>190</v>
      </c>
      <c r="HA911" s="319" t="s">
        <v>428</v>
      </c>
      <c r="HB911" s="319" t="s">
        <v>428</v>
      </c>
      <c r="HC911" s="319" t="s">
        <v>191</v>
      </c>
      <c r="HD911" s="319" t="s">
        <v>191</v>
      </c>
      <c r="HE911" s="319" t="s">
        <v>190</v>
      </c>
      <c r="HF911" s="319" t="s">
        <v>190</v>
      </c>
      <c r="HG911" s="319" t="s">
        <v>190</v>
      </c>
      <c r="HH911" s="319" t="s">
        <v>190</v>
      </c>
      <c r="HI911" s="319" t="s">
        <v>191</v>
      </c>
      <c r="HJ911" s="319" t="s">
        <v>191</v>
      </c>
      <c r="HK911" s="319" t="s">
        <v>428</v>
      </c>
      <c r="HL911" s="319" t="s">
        <v>428</v>
      </c>
      <c r="HM911" s="319" t="s">
        <v>428</v>
      </c>
      <c r="HN911" s="319" t="s">
        <v>428</v>
      </c>
      <c r="HO911" s="319" t="s">
        <v>428</v>
      </c>
      <c r="HP911" s="319" t="s">
        <v>190</v>
      </c>
      <c r="HQ911" s="319" t="s">
        <v>190</v>
      </c>
      <c r="HR911" s="319" t="s">
        <v>190</v>
      </c>
      <c r="HS911" s="319" t="s">
        <v>190</v>
      </c>
      <c r="HT911" s="319" t="s">
        <v>190</v>
      </c>
      <c r="HU911" s="319" t="s">
        <v>190</v>
      </c>
      <c r="HV911" s="319" t="s">
        <v>190</v>
      </c>
      <c r="HW911" s="319" t="s">
        <v>190</v>
      </c>
      <c r="HX911" s="319" t="s">
        <v>190</v>
      </c>
      <c r="HY911" s="319" t="s">
        <v>190</v>
      </c>
      <c r="HZ911" s="319" t="s">
        <v>190</v>
      </c>
      <c r="IA911" s="319" t="s">
        <v>190</v>
      </c>
      <c r="IB911" s="319" t="s">
        <v>190</v>
      </c>
      <c r="IC911" s="319" t="s">
        <v>190</v>
      </c>
      <c r="ID911" s="319" t="s">
        <v>190</v>
      </c>
      <c r="IE911" s="319" t="s">
        <v>190</v>
      </c>
      <c r="IF911" s="319" t="s">
        <v>191</v>
      </c>
      <c r="IG911" s="319" t="s">
        <v>191</v>
      </c>
      <c r="IH911" s="319" t="s">
        <v>191</v>
      </c>
      <c r="II911" s="319" t="s">
        <v>191</v>
      </c>
      <c r="IJ911" s="319" t="s">
        <v>173</v>
      </c>
      <c r="IK911" s="319" t="s">
        <v>173</v>
      </c>
      <c r="IL911" s="319" t="s">
        <v>173</v>
      </c>
      <c r="IM911" s="319" t="s">
        <v>173</v>
      </c>
      <c r="IN911" s="319" t="s">
        <v>173</v>
      </c>
      <c r="IO911" s="319">
        <v>10056692</v>
      </c>
      <c r="IP911" s="319" t="s">
        <v>985</v>
      </c>
      <c r="IQ911" s="321">
        <v>43370</v>
      </c>
      <c r="IR911" s="320" t="s">
        <v>1223</v>
      </c>
      <c r="IS911" s="322">
        <v>43409</v>
      </c>
      <c r="IT911" s="319" t="s">
        <v>165</v>
      </c>
    </row>
    <row r="912" spans="1:254" s="271" customFormat="1" x14ac:dyDescent="0.25">
      <c r="A912" s="318" t="str">
        <f>HYPERLINK("http://www.ofsted.gov.uk/inspection-reports/find-inspection-report/provider/ELS/144404 ","Ofsted School Webpage")</f>
        <v>Ofsted School Webpage</v>
      </c>
      <c r="B912" s="319">
        <v>144404</v>
      </c>
      <c r="C912" s="319">
        <v>8946009</v>
      </c>
      <c r="D912" s="319" t="s">
        <v>2442</v>
      </c>
      <c r="E912" s="319" t="s">
        <v>167</v>
      </c>
      <c r="F912" s="319" t="s">
        <v>81</v>
      </c>
      <c r="G912" s="319" t="s">
        <v>81</v>
      </c>
      <c r="H912" s="319" t="s">
        <v>81</v>
      </c>
      <c r="I912" s="319" t="s">
        <v>78</v>
      </c>
      <c r="J912" s="319" t="s">
        <v>424</v>
      </c>
      <c r="K912" s="319" t="s">
        <v>437</v>
      </c>
      <c r="L912" s="319" t="s">
        <v>437</v>
      </c>
      <c r="M912" s="319" t="s">
        <v>455</v>
      </c>
      <c r="N912" s="319" t="s">
        <v>3123</v>
      </c>
      <c r="O912" s="319" t="s">
        <v>952</v>
      </c>
      <c r="P912" s="319">
        <v>4</v>
      </c>
      <c r="Q912" s="319" t="s">
        <v>2776</v>
      </c>
      <c r="R912" s="320">
        <v>10045271</v>
      </c>
      <c r="S912" s="321">
        <v>43284</v>
      </c>
      <c r="T912" s="321">
        <v>43286</v>
      </c>
      <c r="U912" s="321">
        <v>43356</v>
      </c>
      <c r="V912" s="319" t="s">
        <v>435</v>
      </c>
      <c r="W912" s="319" t="s">
        <v>2767</v>
      </c>
      <c r="X912" s="319">
        <v>2</v>
      </c>
      <c r="Y912" s="319" t="s">
        <v>173</v>
      </c>
      <c r="Z912" s="319" t="s">
        <v>173</v>
      </c>
      <c r="AA912" s="319" t="s">
        <v>173</v>
      </c>
      <c r="AB912" s="319">
        <v>2</v>
      </c>
      <c r="AC912" s="319" t="s">
        <v>169</v>
      </c>
      <c r="AD912" s="319" t="s">
        <v>173</v>
      </c>
      <c r="AE912" s="319" t="s">
        <v>173</v>
      </c>
      <c r="AF912" s="319" t="s">
        <v>427</v>
      </c>
      <c r="AG912" s="319" t="s">
        <v>171</v>
      </c>
      <c r="AH912" s="319" t="s">
        <v>190</v>
      </c>
      <c r="AI912" s="319" t="s">
        <v>190</v>
      </c>
      <c r="AJ912" s="319" t="s">
        <v>190</v>
      </c>
      <c r="AK912" s="319" t="s">
        <v>190</v>
      </c>
      <c r="AL912" s="319" t="s">
        <v>190</v>
      </c>
      <c r="AM912" s="319" t="s">
        <v>190</v>
      </c>
      <c r="AN912" s="319" t="s">
        <v>190</v>
      </c>
      <c r="AO912" s="319" t="s">
        <v>190</v>
      </c>
      <c r="AP912" s="319" t="s">
        <v>190</v>
      </c>
      <c r="AQ912" s="319" t="s">
        <v>190</v>
      </c>
      <c r="AR912" s="319" t="s">
        <v>190</v>
      </c>
      <c r="AS912" s="319" t="s">
        <v>190</v>
      </c>
      <c r="AT912" s="319" t="s">
        <v>190</v>
      </c>
      <c r="AU912" s="319" t="s">
        <v>190</v>
      </c>
      <c r="AV912" s="319" t="s">
        <v>190</v>
      </c>
      <c r="AW912" s="319" t="s">
        <v>190</v>
      </c>
      <c r="AX912" s="319" t="s">
        <v>428</v>
      </c>
      <c r="AY912" s="319" t="s">
        <v>190</v>
      </c>
      <c r="AZ912" s="319" t="s">
        <v>190</v>
      </c>
      <c r="BA912" s="319" t="s">
        <v>190</v>
      </c>
      <c r="BB912" s="319" t="s">
        <v>190</v>
      </c>
      <c r="BC912" s="319" t="s">
        <v>190</v>
      </c>
      <c r="BD912" s="319" t="s">
        <v>190</v>
      </c>
      <c r="BE912" s="319" t="s">
        <v>190</v>
      </c>
      <c r="BF912" s="319" t="s">
        <v>428</v>
      </c>
      <c r="BG912" s="319" t="s">
        <v>190</v>
      </c>
      <c r="BH912" s="319" t="s">
        <v>190</v>
      </c>
      <c r="BI912" s="319" t="s">
        <v>190</v>
      </c>
      <c r="BJ912" s="319" t="s">
        <v>190</v>
      </c>
      <c r="BK912" s="319" t="s">
        <v>190</v>
      </c>
      <c r="BL912" s="319" t="s">
        <v>190</v>
      </c>
      <c r="BM912" s="319" t="s">
        <v>190</v>
      </c>
      <c r="BN912" s="319" t="s">
        <v>190</v>
      </c>
      <c r="BO912" s="319" t="s">
        <v>190</v>
      </c>
      <c r="BP912" s="319" t="s">
        <v>190</v>
      </c>
      <c r="BQ912" s="319" t="s">
        <v>190</v>
      </c>
      <c r="BR912" s="319" t="s">
        <v>190</v>
      </c>
      <c r="BS912" s="319" t="s">
        <v>190</v>
      </c>
      <c r="BT912" s="319" t="s">
        <v>190</v>
      </c>
      <c r="BU912" s="319" t="s">
        <v>190</v>
      </c>
      <c r="BV912" s="319" t="s">
        <v>190</v>
      </c>
      <c r="BW912" s="319" t="s">
        <v>190</v>
      </c>
      <c r="BX912" s="319" t="s">
        <v>190</v>
      </c>
      <c r="BY912" s="319" t="s">
        <v>190</v>
      </c>
      <c r="BZ912" s="319" t="s">
        <v>190</v>
      </c>
      <c r="CA912" s="319" t="s">
        <v>190</v>
      </c>
      <c r="CB912" s="319" t="s">
        <v>190</v>
      </c>
      <c r="CC912" s="319" t="s">
        <v>190</v>
      </c>
      <c r="CD912" s="319" t="s">
        <v>190</v>
      </c>
      <c r="CE912" s="319" t="s">
        <v>190</v>
      </c>
      <c r="CF912" s="319" t="s">
        <v>190</v>
      </c>
      <c r="CG912" s="319" t="s">
        <v>190</v>
      </c>
      <c r="CH912" s="319" t="s">
        <v>190</v>
      </c>
      <c r="CI912" s="319" t="s">
        <v>190</v>
      </c>
      <c r="CJ912" s="319" t="s">
        <v>190</v>
      </c>
      <c r="CK912" s="319" t="s">
        <v>190</v>
      </c>
      <c r="CL912" s="319" t="s">
        <v>190</v>
      </c>
      <c r="CM912" s="319" t="s">
        <v>190</v>
      </c>
      <c r="CN912" s="319" t="s">
        <v>173</v>
      </c>
      <c r="CO912" s="319" t="s">
        <v>190</v>
      </c>
      <c r="CP912" s="319" t="s">
        <v>190</v>
      </c>
      <c r="CQ912" s="319" t="s">
        <v>190</v>
      </c>
      <c r="CR912" s="319" t="s">
        <v>190</v>
      </c>
      <c r="CS912" s="319" t="s">
        <v>190</v>
      </c>
      <c r="CT912" s="319" t="s">
        <v>190</v>
      </c>
      <c r="CU912" s="319" t="s">
        <v>190</v>
      </c>
      <c r="CV912" s="319" t="s">
        <v>190</v>
      </c>
      <c r="CW912" s="319" t="s">
        <v>190</v>
      </c>
      <c r="CX912" s="319" t="s">
        <v>190</v>
      </c>
      <c r="CY912" s="319" t="s">
        <v>190</v>
      </c>
      <c r="CZ912" s="319" t="s">
        <v>190</v>
      </c>
      <c r="DA912" s="319" t="s">
        <v>190</v>
      </c>
      <c r="DB912" s="319" t="s">
        <v>190</v>
      </c>
      <c r="DC912" s="319" t="s">
        <v>190</v>
      </c>
      <c r="DD912" s="319" t="s">
        <v>190</v>
      </c>
      <c r="DE912" s="319" t="s">
        <v>190</v>
      </c>
      <c r="DF912" s="319" t="s">
        <v>190</v>
      </c>
      <c r="DG912" s="319" t="s">
        <v>190</v>
      </c>
      <c r="DH912" s="319" t="s">
        <v>190</v>
      </c>
      <c r="DI912" s="319" t="s">
        <v>190</v>
      </c>
      <c r="DJ912" s="319" t="s">
        <v>190</v>
      </c>
      <c r="DK912" s="319" t="s">
        <v>190</v>
      </c>
      <c r="DL912" s="319" t="s">
        <v>190</v>
      </c>
      <c r="DM912" s="319" t="s">
        <v>190</v>
      </c>
      <c r="DN912" s="319" t="s">
        <v>190</v>
      </c>
      <c r="DO912" s="319" t="s">
        <v>190</v>
      </c>
      <c r="DP912" s="319" t="s">
        <v>190</v>
      </c>
      <c r="DQ912" s="319" t="s">
        <v>190</v>
      </c>
      <c r="DR912" s="319" t="s">
        <v>190</v>
      </c>
      <c r="DS912" s="319" t="s">
        <v>190</v>
      </c>
      <c r="DT912" s="319" t="s">
        <v>190</v>
      </c>
      <c r="DU912" s="319" t="s">
        <v>190</v>
      </c>
      <c r="DV912" s="319" t="s">
        <v>173</v>
      </c>
      <c r="DW912" s="319" t="s">
        <v>190</v>
      </c>
      <c r="DX912" s="319" t="s">
        <v>190</v>
      </c>
      <c r="DY912" s="319" t="s">
        <v>190</v>
      </c>
      <c r="DZ912" s="319" t="s">
        <v>190</v>
      </c>
      <c r="EA912" s="319" t="s">
        <v>190</v>
      </c>
      <c r="EB912" s="319" t="s">
        <v>190</v>
      </c>
      <c r="EC912" s="319" t="s">
        <v>190</v>
      </c>
      <c r="ED912" s="319" t="s">
        <v>190</v>
      </c>
      <c r="EE912" s="319" t="s">
        <v>190</v>
      </c>
      <c r="EF912" s="319" t="s">
        <v>190</v>
      </c>
      <c r="EG912" s="319" t="s">
        <v>190</v>
      </c>
      <c r="EH912" s="319" t="s">
        <v>190</v>
      </c>
      <c r="EI912" s="319" t="s">
        <v>190</v>
      </c>
      <c r="EJ912" s="319" t="s">
        <v>190</v>
      </c>
      <c r="EK912" s="319" t="s">
        <v>190</v>
      </c>
      <c r="EL912" s="319" t="s">
        <v>190</v>
      </c>
      <c r="EM912" s="319" t="s">
        <v>190</v>
      </c>
      <c r="EN912" s="319" t="s">
        <v>190</v>
      </c>
      <c r="EO912" s="319" t="s">
        <v>190</v>
      </c>
      <c r="EP912" s="319" t="s">
        <v>190</v>
      </c>
      <c r="EQ912" s="319" t="s">
        <v>190</v>
      </c>
      <c r="ER912" s="319" t="s">
        <v>190</v>
      </c>
      <c r="ES912" s="319" t="s">
        <v>190</v>
      </c>
      <c r="ET912" s="319" t="s">
        <v>190</v>
      </c>
      <c r="EU912" s="319" t="s">
        <v>190</v>
      </c>
      <c r="EV912" s="319" t="s">
        <v>190</v>
      </c>
      <c r="EW912" s="319" t="s">
        <v>190</v>
      </c>
      <c r="EX912" s="319" t="s">
        <v>190</v>
      </c>
      <c r="EY912" s="319" t="s">
        <v>190</v>
      </c>
      <c r="EZ912" s="319" t="s">
        <v>190</v>
      </c>
      <c r="FA912" s="319" t="s">
        <v>190</v>
      </c>
      <c r="FB912" s="319" t="s">
        <v>190</v>
      </c>
      <c r="FC912" s="319" t="s">
        <v>190</v>
      </c>
      <c r="FD912" s="319" t="s">
        <v>190</v>
      </c>
      <c r="FE912" s="319" t="s">
        <v>190</v>
      </c>
      <c r="FF912" s="319" t="s">
        <v>190</v>
      </c>
      <c r="FG912" s="319" t="s">
        <v>190</v>
      </c>
      <c r="FH912" s="319" t="s">
        <v>190</v>
      </c>
      <c r="FI912" s="319" t="s">
        <v>190</v>
      </c>
      <c r="FJ912" s="319" t="s">
        <v>190</v>
      </c>
      <c r="FK912" s="319" t="s">
        <v>190</v>
      </c>
      <c r="FL912" s="319" t="s">
        <v>190</v>
      </c>
      <c r="FM912" s="319" t="s">
        <v>190</v>
      </c>
      <c r="FN912" s="319" t="s">
        <v>190</v>
      </c>
      <c r="FO912" s="319" t="s">
        <v>190</v>
      </c>
      <c r="FP912" s="319" t="s">
        <v>190</v>
      </c>
      <c r="FQ912" s="319" t="s">
        <v>190</v>
      </c>
      <c r="FR912" s="319" t="s">
        <v>190</v>
      </c>
      <c r="FS912" s="319" t="s">
        <v>190</v>
      </c>
      <c r="FT912" s="319" t="s">
        <v>190</v>
      </c>
      <c r="FU912" s="319" t="s">
        <v>190</v>
      </c>
      <c r="FV912" s="319" t="s">
        <v>190</v>
      </c>
      <c r="FW912" s="319" t="s">
        <v>190</v>
      </c>
      <c r="FX912" s="319" t="s">
        <v>190</v>
      </c>
      <c r="FY912" s="319" t="s">
        <v>190</v>
      </c>
      <c r="FZ912" s="319" t="s">
        <v>190</v>
      </c>
      <c r="GA912" s="319" t="s">
        <v>190</v>
      </c>
      <c r="GB912" s="319" t="s">
        <v>190</v>
      </c>
      <c r="GC912" s="319" t="s">
        <v>190</v>
      </c>
      <c r="GD912" s="319" t="s">
        <v>190</v>
      </c>
      <c r="GE912" s="319" t="s">
        <v>190</v>
      </c>
      <c r="GF912" s="319" t="s">
        <v>190</v>
      </c>
      <c r="GG912" s="319" t="s">
        <v>190</v>
      </c>
      <c r="GH912" s="319" t="s">
        <v>190</v>
      </c>
      <c r="GI912" s="319" t="s">
        <v>190</v>
      </c>
      <c r="GJ912" s="319" t="s">
        <v>190</v>
      </c>
      <c r="GK912" s="319" t="s">
        <v>190</v>
      </c>
      <c r="GL912" s="319" t="s">
        <v>190</v>
      </c>
      <c r="GM912" s="319" t="s">
        <v>190</v>
      </c>
      <c r="GN912" s="319" t="s">
        <v>190</v>
      </c>
      <c r="GO912" s="319" t="s">
        <v>190</v>
      </c>
      <c r="GP912" s="319" t="s">
        <v>190</v>
      </c>
      <c r="GQ912" s="319" t="s">
        <v>190</v>
      </c>
      <c r="GR912" s="319" t="s">
        <v>190</v>
      </c>
      <c r="GS912" s="319" t="s">
        <v>190</v>
      </c>
      <c r="GT912" s="319" t="s">
        <v>190</v>
      </c>
      <c r="GU912" s="319" t="s">
        <v>190</v>
      </c>
      <c r="GV912" s="319" t="s">
        <v>190</v>
      </c>
      <c r="GW912" s="319" t="s">
        <v>190</v>
      </c>
      <c r="GX912" s="319" t="s">
        <v>190</v>
      </c>
      <c r="GY912" s="319" t="s">
        <v>190</v>
      </c>
      <c r="GZ912" s="319" t="s">
        <v>190</v>
      </c>
      <c r="HA912" s="319" t="s">
        <v>190</v>
      </c>
      <c r="HB912" s="319" t="s">
        <v>190</v>
      </c>
      <c r="HC912" s="319" t="s">
        <v>190</v>
      </c>
      <c r="HD912" s="319" t="s">
        <v>190</v>
      </c>
      <c r="HE912" s="319" t="s">
        <v>190</v>
      </c>
      <c r="HF912" s="319" t="s">
        <v>190</v>
      </c>
      <c r="HG912" s="319" t="s">
        <v>190</v>
      </c>
      <c r="HH912" s="319" t="s">
        <v>190</v>
      </c>
      <c r="HI912" s="319" t="s">
        <v>190</v>
      </c>
      <c r="HJ912" s="319" t="s">
        <v>190</v>
      </c>
      <c r="HK912" s="319" t="s">
        <v>190</v>
      </c>
      <c r="HL912" s="319" t="s">
        <v>190</v>
      </c>
      <c r="HM912" s="319" t="s">
        <v>190</v>
      </c>
      <c r="HN912" s="319" t="s">
        <v>190</v>
      </c>
      <c r="HO912" s="319" t="s">
        <v>190</v>
      </c>
      <c r="HP912" s="319" t="s">
        <v>190</v>
      </c>
      <c r="HQ912" s="319" t="s">
        <v>190</v>
      </c>
      <c r="HR912" s="319" t="s">
        <v>190</v>
      </c>
      <c r="HS912" s="319" t="s">
        <v>190</v>
      </c>
      <c r="HT912" s="319" t="s">
        <v>190</v>
      </c>
      <c r="HU912" s="319" t="s">
        <v>190</v>
      </c>
      <c r="HV912" s="319" t="s">
        <v>190</v>
      </c>
      <c r="HW912" s="319" t="s">
        <v>190</v>
      </c>
      <c r="HX912" s="319" t="s">
        <v>190</v>
      </c>
      <c r="HY912" s="319" t="s">
        <v>190</v>
      </c>
      <c r="HZ912" s="319" t="s">
        <v>190</v>
      </c>
      <c r="IA912" s="319" t="s">
        <v>190</v>
      </c>
      <c r="IB912" s="319" t="s">
        <v>190</v>
      </c>
      <c r="IC912" s="319" t="s">
        <v>190</v>
      </c>
      <c r="ID912" s="319" t="s">
        <v>190</v>
      </c>
      <c r="IE912" s="319" t="s">
        <v>190</v>
      </c>
      <c r="IF912" s="319" t="s">
        <v>190</v>
      </c>
      <c r="IG912" s="319" t="s">
        <v>190</v>
      </c>
      <c r="IH912" s="319" t="s">
        <v>190</v>
      </c>
      <c r="II912" s="319" t="s">
        <v>190</v>
      </c>
      <c r="IJ912" s="319" t="s">
        <v>173</v>
      </c>
      <c r="IK912" s="319" t="s">
        <v>173</v>
      </c>
      <c r="IL912" s="319" t="s">
        <v>173</v>
      </c>
      <c r="IM912" s="319" t="s">
        <v>173</v>
      </c>
      <c r="IN912" s="319" t="s">
        <v>173</v>
      </c>
      <c r="IO912" s="319" t="s">
        <v>173</v>
      </c>
      <c r="IP912" s="319" t="s">
        <v>173</v>
      </c>
      <c r="IQ912" s="319" t="s">
        <v>173</v>
      </c>
      <c r="IR912" s="320" t="s">
        <v>173</v>
      </c>
      <c r="IS912" s="320" t="s">
        <v>173</v>
      </c>
      <c r="IT912" s="319" t="s">
        <v>173</v>
      </c>
    </row>
    <row r="913" spans="1:254" s="271" customFormat="1" x14ac:dyDescent="0.25">
      <c r="A913" s="318" t="str">
        <f>HYPERLINK("http://www.ofsted.gov.uk/inspection-reports/find-inspection-report/provider/ELS/144475 ","Ofsted School Webpage")</f>
        <v>Ofsted School Webpage</v>
      </c>
      <c r="B913" s="319">
        <v>144475</v>
      </c>
      <c r="C913" s="319">
        <v>8866144</v>
      </c>
      <c r="D913" s="319" t="s">
        <v>2443</v>
      </c>
      <c r="E913" s="319" t="s">
        <v>168</v>
      </c>
      <c r="F913" s="319" t="s">
        <v>81</v>
      </c>
      <c r="G913" s="319" t="s">
        <v>81</v>
      </c>
      <c r="H913" s="319" t="s">
        <v>81</v>
      </c>
      <c r="I913" s="319" t="s">
        <v>78</v>
      </c>
      <c r="J913" s="319" t="s">
        <v>424</v>
      </c>
      <c r="K913" s="319" t="s">
        <v>514</v>
      </c>
      <c r="L913" s="319" t="s">
        <v>514</v>
      </c>
      <c r="M913" s="319" t="s">
        <v>614</v>
      </c>
      <c r="N913" s="319" t="s">
        <v>3077</v>
      </c>
      <c r="O913" s="319" t="s">
        <v>2444</v>
      </c>
      <c r="P913" s="319">
        <v>7</v>
      </c>
      <c r="Q913" s="319" t="s">
        <v>429</v>
      </c>
      <c r="R913" s="320">
        <v>10124944</v>
      </c>
      <c r="S913" s="321">
        <v>43774</v>
      </c>
      <c r="T913" s="321">
        <v>43776</v>
      </c>
      <c r="U913" s="321">
        <v>43801</v>
      </c>
      <c r="V913" s="319" t="s">
        <v>425</v>
      </c>
      <c r="W913" s="319" t="s">
        <v>2767</v>
      </c>
      <c r="X913" s="319">
        <v>2</v>
      </c>
      <c r="Y913" s="319">
        <v>2</v>
      </c>
      <c r="Z913" s="319">
        <v>2</v>
      </c>
      <c r="AA913" s="319">
        <v>2</v>
      </c>
      <c r="AB913" s="319">
        <v>2</v>
      </c>
      <c r="AC913" s="319" t="s">
        <v>169</v>
      </c>
      <c r="AD913" s="319" t="s">
        <v>173</v>
      </c>
      <c r="AE913" s="319" t="s">
        <v>173</v>
      </c>
      <c r="AF913" s="319" t="s">
        <v>427</v>
      </c>
      <c r="AG913" s="319" t="s">
        <v>171</v>
      </c>
      <c r="AH913" s="319" t="s">
        <v>190</v>
      </c>
      <c r="AI913" s="319" t="s">
        <v>190</v>
      </c>
      <c r="AJ913" s="319" t="s">
        <v>190</v>
      </c>
      <c r="AK913" s="319" t="s">
        <v>190</v>
      </c>
      <c r="AL913" s="319" t="s">
        <v>190</v>
      </c>
      <c r="AM913" s="319" t="s">
        <v>190</v>
      </c>
      <c r="AN913" s="319" t="s">
        <v>190</v>
      </c>
      <c r="AO913" s="319" t="s">
        <v>190</v>
      </c>
      <c r="AP913" s="319" t="s">
        <v>190</v>
      </c>
      <c r="AQ913" s="319" t="s">
        <v>190</v>
      </c>
      <c r="AR913" s="319" t="s">
        <v>190</v>
      </c>
      <c r="AS913" s="319" t="s">
        <v>190</v>
      </c>
      <c r="AT913" s="319" t="s">
        <v>190</v>
      </c>
      <c r="AU913" s="319" t="s">
        <v>190</v>
      </c>
      <c r="AV913" s="319" t="s">
        <v>190</v>
      </c>
      <c r="AW913" s="319" t="s">
        <v>190</v>
      </c>
      <c r="AX913" s="319" t="s">
        <v>428</v>
      </c>
      <c r="AY913" s="319" t="s">
        <v>190</v>
      </c>
      <c r="AZ913" s="319" t="s">
        <v>190</v>
      </c>
      <c r="BA913" s="319" t="s">
        <v>190</v>
      </c>
      <c r="BB913" s="319" t="s">
        <v>190</v>
      </c>
      <c r="BC913" s="319" t="s">
        <v>190</v>
      </c>
      <c r="BD913" s="319" t="s">
        <v>190</v>
      </c>
      <c r="BE913" s="319" t="s">
        <v>190</v>
      </c>
      <c r="BF913" s="319" t="s">
        <v>428</v>
      </c>
      <c r="BG913" s="319" t="s">
        <v>428</v>
      </c>
      <c r="BH913" s="319" t="s">
        <v>190</v>
      </c>
      <c r="BI913" s="319" t="s">
        <v>190</v>
      </c>
      <c r="BJ913" s="319" t="s">
        <v>190</v>
      </c>
      <c r="BK913" s="319" t="s">
        <v>190</v>
      </c>
      <c r="BL913" s="319" t="s">
        <v>190</v>
      </c>
      <c r="BM913" s="319" t="s">
        <v>190</v>
      </c>
      <c r="BN913" s="319" t="s">
        <v>190</v>
      </c>
      <c r="BO913" s="319" t="s">
        <v>190</v>
      </c>
      <c r="BP913" s="319" t="s">
        <v>190</v>
      </c>
      <c r="BQ913" s="319" t="s">
        <v>190</v>
      </c>
      <c r="BR913" s="319" t="s">
        <v>190</v>
      </c>
      <c r="BS913" s="319" t="s">
        <v>190</v>
      </c>
      <c r="BT913" s="319" t="s">
        <v>190</v>
      </c>
      <c r="BU913" s="319" t="s">
        <v>190</v>
      </c>
      <c r="BV913" s="319" t="s">
        <v>190</v>
      </c>
      <c r="BW913" s="319" t="s">
        <v>190</v>
      </c>
      <c r="BX913" s="319" t="s">
        <v>190</v>
      </c>
      <c r="BY913" s="319" t="s">
        <v>190</v>
      </c>
      <c r="BZ913" s="319" t="s">
        <v>190</v>
      </c>
      <c r="CA913" s="319" t="s">
        <v>190</v>
      </c>
      <c r="CB913" s="319" t="s">
        <v>190</v>
      </c>
      <c r="CC913" s="319" t="s">
        <v>190</v>
      </c>
      <c r="CD913" s="319" t="s">
        <v>190</v>
      </c>
      <c r="CE913" s="319" t="s">
        <v>190</v>
      </c>
      <c r="CF913" s="319" t="s">
        <v>190</v>
      </c>
      <c r="CG913" s="319" t="s">
        <v>190</v>
      </c>
      <c r="CH913" s="319" t="s">
        <v>190</v>
      </c>
      <c r="CI913" s="319" t="s">
        <v>190</v>
      </c>
      <c r="CJ913" s="319" t="s">
        <v>190</v>
      </c>
      <c r="CK913" s="319" t="s">
        <v>190</v>
      </c>
      <c r="CL913" s="319" t="s">
        <v>190</v>
      </c>
      <c r="CM913" s="319" t="s">
        <v>190</v>
      </c>
      <c r="CN913" s="319" t="s">
        <v>428</v>
      </c>
      <c r="CO913" s="319" t="s">
        <v>428</v>
      </c>
      <c r="CP913" s="319" t="s">
        <v>428</v>
      </c>
      <c r="CQ913" s="319" t="s">
        <v>190</v>
      </c>
      <c r="CR913" s="319" t="s">
        <v>190</v>
      </c>
      <c r="CS913" s="319" t="s">
        <v>190</v>
      </c>
      <c r="CT913" s="319" t="s">
        <v>190</v>
      </c>
      <c r="CU913" s="319" t="s">
        <v>190</v>
      </c>
      <c r="CV913" s="319" t="s">
        <v>190</v>
      </c>
      <c r="CW913" s="319" t="s">
        <v>190</v>
      </c>
      <c r="CX913" s="319" t="s">
        <v>190</v>
      </c>
      <c r="CY913" s="319" t="s">
        <v>190</v>
      </c>
      <c r="CZ913" s="319" t="s">
        <v>190</v>
      </c>
      <c r="DA913" s="319" t="s">
        <v>190</v>
      </c>
      <c r="DB913" s="319" t="s">
        <v>190</v>
      </c>
      <c r="DC913" s="319" t="s">
        <v>190</v>
      </c>
      <c r="DD913" s="319" t="s">
        <v>190</v>
      </c>
      <c r="DE913" s="319" t="s">
        <v>190</v>
      </c>
      <c r="DF913" s="319" t="s">
        <v>190</v>
      </c>
      <c r="DG913" s="319" t="s">
        <v>190</v>
      </c>
      <c r="DH913" s="319" t="s">
        <v>190</v>
      </c>
      <c r="DI913" s="319" t="s">
        <v>190</v>
      </c>
      <c r="DJ913" s="319" t="s">
        <v>190</v>
      </c>
      <c r="DK913" s="319" t="s">
        <v>190</v>
      </c>
      <c r="DL913" s="319" t="s">
        <v>190</v>
      </c>
      <c r="DM913" s="319" t="s">
        <v>190</v>
      </c>
      <c r="DN913" s="319" t="s">
        <v>428</v>
      </c>
      <c r="DO913" s="319" t="s">
        <v>190</v>
      </c>
      <c r="DP913" s="319" t="s">
        <v>428</v>
      </c>
      <c r="DQ913" s="319" t="s">
        <v>428</v>
      </c>
      <c r="DR913" s="319" t="s">
        <v>428</v>
      </c>
      <c r="DS913" s="319" t="s">
        <v>428</v>
      </c>
      <c r="DT913" s="319" t="s">
        <v>428</v>
      </c>
      <c r="DU913" s="319" t="s">
        <v>428</v>
      </c>
      <c r="DV913" s="319" t="s">
        <v>428</v>
      </c>
      <c r="DW913" s="319" t="s">
        <v>428</v>
      </c>
      <c r="DX913" s="319" t="s">
        <v>428</v>
      </c>
      <c r="DY913" s="319" t="s">
        <v>428</v>
      </c>
      <c r="DZ913" s="319" t="s">
        <v>428</v>
      </c>
      <c r="EA913" s="319" t="s">
        <v>428</v>
      </c>
      <c r="EB913" s="319" t="s">
        <v>428</v>
      </c>
      <c r="EC913" s="319" t="s">
        <v>428</v>
      </c>
      <c r="ED913" s="319" t="s">
        <v>428</v>
      </c>
      <c r="EE913" s="319" t="s">
        <v>190</v>
      </c>
      <c r="EF913" s="319" t="s">
        <v>190</v>
      </c>
      <c r="EG913" s="319" t="s">
        <v>190</v>
      </c>
      <c r="EH913" s="319" t="s">
        <v>190</v>
      </c>
      <c r="EI913" s="319" t="s">
        <v>190</v>
      </c>
      <c r="EJ913" s="319" t="s">
        <v>190</v>
      </c>
      <c r="EK913" s="319" t="s">
        <v>190</v>
      </c>
      <c r="EL913" s="319" t="s">
        <v>190</v>
      </c>
      <c r="EM913" s="319" t="s">
        <v>190</v>
      </c>
      <c r="EN913" s="319" t="s">
        <v>190</v>
      </c>
      <c r="EO913" s="319" t="s">
        <v>190</v>
      </c>
      <c r="EP913" s="319" t="s">
        <v>190</v>
      </c>
      <c r="EQ913" s="319" t="s">
        <v>190</v>
      </c>
      <c r="ER913" s="319" t="s">
        <v>190</v>
      </c>
      <c r="ES913" s="319" t="s">
        <v>190</v>
      </c>
      <c r="ET913" s="319" t="s">
        <v>190</v>
      </c>
      <c r="EU913" s="319" t="s">
        <v>190</v>
      </c>
      <c r="EV913" s="319" t="s">
        <v>190</v>
      </c>
      <c r="EW913" s="319" t="s">
        <v>190</v>
      </c>
      <c r="EX913" s="319" t="s">
        <v>190</v>
      </c>
      <c r="EY913" s="319" t="s">
        <v>190</v>
      </c>
      <c r="EZ913" s="319" t="s">
        <v>190</v>
      </c>
      <c r="FA913" s="319" t="s">
        <v>428</v>
      </c>
      <c r="FB913" s="319" t="s">
        <v>428</v>
      </c>
      <c r="FC913" s="319" t="s">
        <v>428</v>
      </c>
      <c r="FD913" s="319" t="s">
        <v>428</v>
      </c>
      <c r="FE913" s="319" t="s">
        <v>428</v>
      </c>
      <c r="FF913" s="319" t="s">
        <v>428</v>
      </c>
      <c r="FG913" s="319" t="s">
        <v>428</v>
      </c>
      <c r="FH913" s="319" t="s">
        <v>190</v>
      </c>
      <c r="FI913" s="319" t="s">
        <v>190</v>
      </c>
      <c r="FJ913" s="319" t="s">
        <v>190</v>
      </c>
      <c r="FK913" s="319" t="s">
        <v>190</v>
      </c>
      <c r="FL913" s="319" t="s">
        <v>190</v>
      </c>
      <c r="FM913" s="319" t="s">
        <v>190</v>
      </c>
      <c r="FN913" s="319" t="s">
        <v>190</v>
      </c>
      <c r="FO913" s="319" t="s">
        <v>190</v>
      </c>
      <c r="FP913" s="319" t="s">
        <v>190</v>
      </c>
      <c r="FQ913" s="319" t="s">
        <v>190</v>
      </c>
      <c r="FR913" s="319" t="s">
        <v>190</v>
      </c>
      <c r="FS913" s="319" t="s">
        <v>428</v>
      </c>
      <c r="FT913" s="319" t="s">
        <v>428</v>
      </c>
      <c r="FU913" s="319" t="s">
        <v>190</v>
      </c>
      <c r="FV913" s="319" t="s">
        <v>190</v>
      </c>
      <c r="FW913" s="319" t="s">
        <v>190</v>
      </c>
      <c r="FX913" s="319" t="s">
        <v>190</v>
      </c>
      <c r="FY913" s="319" t="s">
        <v>190</v>
      </c>
      <c r="FZ913" s="319" t="s">
        <v>190</v>
      </c>
      <c r="GA913" s="319" t="s">
        <v>190</v>
      </c>
      <c r="GB913" s="319" t="s">
        <v>190</v>
      </c>
      <c r="GC913" s="319" t="s">
        <v>190</v>
      </c>
      <c r="GD913" s="319" t="s">
        <v>190</v>
      </c>
      <c r="GE913" s="319" t="s">
        <v>190</v>
      </c>
      <c r="GF913" s="319" t="s">
        <v>190</v>
      </c>
      <c r="GG913" s="319" t="s">
        <v>190</v>
      </c>
      <c r="GH913" s="319" t="s">
        <v>190</v>
      </c>
      <c r="GI913" s="319" t="s">
        <v>190</v>
      </c>
      <c r="GJ913" s="319" t="s">
        <v>190</v>
      </c>
      <c r="GK913" s="319" t="s">
        <v>428</v>
      </c>
      <c r="GL913" s="319" t="s">
        <v>190</v>
      </c>
      <c r="GM913" s="319" t="s">
        <v>190</v>
      </c>
      <c r="GN913" s="319" t="s">
        <v>190</v>
      </c>
      <c r="GO913" s="319" t="s">
        <v>190</v>
      </c>
      <c r="GP913" s="319" t="s">
        <v>190</v>
      </c>
      <c r="GQ913" s="319" t="s">
        <v>428</v>
      </c>
      <c r="GR913" s="319" t="s">
        <v>190</v>
      </c>
      <c r="GS913" s="319" t="s">
        <v>190</v>
      </c>
      <c r="GT913" s="319" t="s">
        <v>190</v>
      </c>
      <c r="GU913" s="319" t="s">
        <v>190</v>
      </c>
      <c r="GV913" s="319" t="s">
        <v>190</v>
      </c>
      <c r="GW913" s="319" t="s">
        <v>190</v>
      </c>
      <c r="GX913" s="319" t="s">
        <v>190</v>
      </c>
      <c r="GY913" s="319" t="s">
        <v>190</v>
      </c>
      <c r="GZ913" s="319" t="s">
        <v>428</v>
      </c>
      <c r="HA913" s="319" t="s">
        <v>190</v>
      </c>
      <c r="HB913" s="319" t="s">
        <v>428</v>
      </c>
      <c r="HC913" s="319" t="s">
        <v>190</v>
      </c>
      <c r="HD913" s="319" t="s">
        <v>190</v>
      </c>
      <c r="HE913" s="319" t="s">
        <v>190</v>
      </c>
      <c r="HF913" s="319" t="s">
        <v>190</v>
      </c>
      <c r="HG913" s="319" t="s">
        <v>190</v>
      </c>
      <c r="HH913" s="319" t="s">
        <v>190</v>
      </c>
      <c r="HI913" s="319" t="s">
        <v>190</v>
      </c>
      <c r="HJ913" s="319" t="s">
        <v>190</v>
      </c>
      <c r="HK913" s="319" t="s">
        <v>190</v>
      </c>
      <c r="HL913" s="319" t="s">
        <v>190</v>
      </c>
      <c r="HM913" s="319" t="s">
        <v>190</v>
      </c>
      <c r="HN913" s="319" t="s">
        <v>190</v>
      </c>
      <c r="HO913" s="319" t="s">
        <v>190</v>
      </c>
      <c r="HP913" s="319" t="s">
        <v>190</v>
      </c>
      <c r="HQ913" s="319" t="s">
        <v>190</v>
      </c>
      <c r="HR913" s="319" t="s">
        <v>190</v>
      </c>
      <c r="HS913" s="319" t="s">
        <v>190</v>
      </c>
      <c r="HT913" s="319" t="s">
        <v>190</v>
      </c>
      <c r="HU913" s="319" t="s">
        <v>190</v>
      </c>
      <c r="HV913" s="319" t="s">
        <v>190</v>
      </c>
      <c r="HW913" s="319" t="s">
        <v>190</v>
      </c>
      <c r="HX913" s="319" t="s">
        <v>190</v>
      </c>
      <c r="HY913" s="319" t="s">
        <v>190</v>
      </c>
      <c r="HZ913" s="319" t="s">
        <v>190</v>
      </c>
      <c r="IA913" s="319" t="s">
        <v>190</v>
      </c>
      <c r="IB913" s="319" t="s">
        <v>190</v>
      </c>
      <c r="IC913" s="319" t="s">
        <v>190</v>
      </c>
      <c r="ID913" s="319" t="s">
        <v>190</v>
      </c>
      <c r="IE913" s="319" t="s">
        <v>190</v>
      </c>
      <c r="IF913" s="319" t="s">
        <v>190</v>
      </c>
      <c r="IG913" s="319" t="s">
        <v>190</v>
      </c>
      <c r="IH913" s="319" t="s">
        <v>190</v>
      </c>
      <c r="II913" s="319" t="s">
        <v>190</v>
      </c>
      <c r="IJ913" s="319">
        <v>10044151</v>
      </c>
      <c r="IK913" s="321">
        <v>43270</v>
      </c>
      <c r="IL913" s="321">
        <v>43272</v>
      </c>
      <c r="IM913" s="321">
        <v>43293</v>
      </c>
      <c r="IN913" s="319">
        <v>2</v>
      </c>
      <c r="IO913" s="319" t="s">
        <v>173</v>
      </c>
      <c r="IP913" s="319" t="s">
        <v>173</v>
      </c>
      <c r="IQ913" s="321" t="s">
        <v>173</v>
      </c>
      <c r="IR913" s="320" t="s">
        <v>173</v>
      </c>
      <c r="IS913" s="322" t="s">
        <v>173</v>
      </c>
      <c r="IT913" s="319" t="s">
        <v>173</v>
      </c>
    </row>
    <row r="914" spans="1:254" s="271" customFormat="1" x14ac:dyDescent="0.25">
      <c r="A914" s="318" t="str">
        <f>HYPERLINK("http://www.ofsted.gov.uk/inspection-reports/find-inspection-report/provider/ELS/144514 ","Ofsted School Webpage")</f>
        <v>Ofsted School Webpage</v>
      </c>
      <c r="B914" s="319">
        <v>144514</v>
      </c>
      <c r="C914" s="319">
        <v>8656046</v>
      </c>
      <c r="D914" s="319" t="s">
        <v>2445</v>
      </c>
      <c r="E914" s="319" t="s">
        <v>167</v>
      </c>
      <c r="F914" s="319" t="s">
        <v>81</v>
      </c>
      <c r="G914" s="319" t="s">
        <v>81</v>
      </c>
      <c r="H914" s="319" t="s">
        <v>81</v>
      </c>
      <c r="I914" s="319" t="s">
        <v>78</v>
      </c>
      <c r="J914" s="319" t="s">
        <v>424</v>
      </c>
      <c r="K914" s="319" t="s">
        <v>422</v>
      </c>
      <c r="L914" s="319" t="s">
        <v>422</v>
      </c>
      <c r="M914" s="319" t="s">
        <v>702</v>
      </c>
      <c r="N914" s="319" t="s">
        <v>3432</v>
      </c>
      <c r="O914" s="319" t="s">
        <v>2446</v>
      </c>
      <c r="P914" s="319">
        <v>15</v>
      </c>
      <c r="Q914" s="319" t="s">
        <v>2766</v>
      </c>
      <c r="R914" s="320">
        <v>10047188</v>
      </c>
      <c r="S914" s="321">
        <v>43235</v>
      </c>
      <c r="T914" s="321">
        <v>43237</v>
      </c>
      <c r="U914" s="321">
        <v>43269</v>
      </c>
      <c r="V914" s="319" t="s">
        <v>435</v>
      </c>
      <c r="W914" s="319" t="s">
        <v>2767</v>
      </c>
      <c r="X914" s="319">
        <v>3</v>
      </c>
      <c r="Y914" s="319" t="s">
        <v>173</v>
      </c>
      <c r="Z914" s="319" t="s">
        <v>173</v>
      </c>
      <c r="AA914" s="319" t="s">
        <v>173</v>
      </c>
      <c r="AB914" s="319">
        <v>3</v>
      </c>
      <c r="AC914" s="319" t="s">
        <v>169</v>
      </c>
      <c r="AD914" s="319" t="s">
        <v>173</v>
      </c>
      <c r="AE914" s="319" t="s">
        <v>173</v>
      </c>
      <c r="AF914" s="319" t="s">
        <v>427</v>
      </c>
      <c r="AG914" s="319" t="s">
        <v>172</v>
      </c>
      <c r="AH914" s="319" t="s">
        <v>190</v>
      </c>
      <c r="AI914" s="319" t="s">
        <v>190</v>
      </c>
      <c r="AJ914" s="319" t="s">
        <v>190</v>
      </c>
      <c r="AK914" s="319" t="s">
        <v>479</v>
      </c>
      <c r="AL914" s="319" t="s">
        <v>479</v>
      </c>
      <c r="AM914" s="319" t="s">
        <v>190</v>
      </c>
      <c r="AN914" s="319" t="s">
        <v>190</v>
      </c>
      <c r="AO914" s="319" t="s">
        <v>479</v>
      </c>
      <c r="AP914" s="319" t="s">
        <v>190</v>
      </c>
      <c r="AQ914" s="319" t="s">
        <v>190</v>
      </c>
      <c r="AR914" s="319" t="s">
        <v>190</v>
      </c>
      <c r="AS914" s="319" t="s">
        <v>190</v>
      </c>
      <c r="AT914" s="319" t="s">
        <v>190</v>
      </c>
      <c r="AU914" s="319" t="s">
        <v>190</v>
      </c>
      <c r="AV914" s="319" t="s">
        <v>190</v>
      </c>
      <c r="AW914" s="319" t="s">
        <v>190</v>
      </c>
      <c r="AX914" s="319" t="s">
        <v>428</v>
      </c>
      <c r="AY914" s="319" t="s">
        <v>190</v>
      </c>
      <c r="AZ914" s="319" t="s">
        <v>190</v>
      </c>
      <c r="BA914" s="319" t="s">
        <v>190</v>
      </c>
      <c r="BB914" s="319" t="s">
        <v>190</v>
      </c>
      <c r="BC914" s="319" t="s">
        <v>190</v>
      </c>
      <c r="BD914" s="319" t="s">
        <v>190</v>
      </c>
      <c r="BE914" s="319" t="s">
        <v>190</v>
      </c>
      <c r="BF914" s="319" t="s">
        <v>428</v>
      </c>
      <c r="BG914" s="319" t="s">
        <v>428</v>
      </c>
      <c r="BH914" s="319" t="s">
        <v>190</v>
      </c>
      <c r="BI914" s="319" t="s">
        <v>190</v>
      </c>
      <c r="BJ914" s="319" t="s">
        <v>190</v>
      </c>
      <c r="BK914" s="319" t="s">
        <v>190</v>
      </c>
      <c r="BL914" s="319" t="s">
        <v>190</v>
      </c>
      <c r="BM914" s="319" t="s">
        <v>190</v>
      </c>
      <c r="BN914" s="319" t="s">
        <v>190</v>
      </c>
      <c r="BO914" s="319" t="s">
        <v>190</v>
      </c>
      <c r="BP914" s="319" t="s">
        <v>190</v>
      </c>
      <c r="BQ914" s="319" t="s">
        <v>190</v>
      </c>
      <c r="BR914" s="319" t="s">
        <v>190</v>
      </c>
      <c r="BS914" s="319" t="s">
        <v>190</v>
      </c>
      <c r="BT914" s="319" t="s">
        <v>190</v>
      </c>
      <c r="BU914" s="319" t="s">
        <v>190</v>
      </c>
      <c r="BV914" s="319" t="s">
        <v>190</v>
      </c>
      <c r="BW914" s="319" t="s">
        <v>190</v>
      </c>
      <c r="BX914" s="319" t="s">
        <v>190</v>
      </c>
      <c r="BY914" s="319" t="s">
        <v>190</v>
      </c>
      <c r="BZ914" s="319" t="s">
        <v>190</v>
      </c>
      <c r="CA914" s="319" t="s">
        <v>190</v>
      </c>
      <c r="CB914" s="319" t="s">
        <v>190</v>
      </c>
      <c r="CC914" s="319" t="s">
        <v>190</v>
      </c>
      <c r="CD914" s="319" t="s">
        <v>190</v>
      </c>
      <c r="CE914" s="319" t="s">
        <v>190</v>
      </c>
      <c r="CF914" s="319" t="s">
        <v>190</v>
      </c>
      <c r="CG914" s="319" t="s">
        <v>190</v>
      </c>
      <c r="CH914" s="319" t="s">
        <v>190</v>
      </c>
      <c r="CI914" s="319" t="s">
        <v>190</v>
      </c>
      <c r="CJ914" s="319" t="s">
        <v>190</v>
      </c>
      <c r="CK914" s="319" t="s">
        <v>190</v>
      </c>
      <c r="CL914" s="319" t="s">
        <v>190</v>
      </c>
      <c r="CM914" s="319" t="s">
        <v>190</v>
      </c>
      <c r="CN914" s="319" t="s">
        <v>428</v>
      </c>
      <c r="CO914" s="319" t="s">
        <v>428</v>
      </c>
      <c r="CP914" s="319" t="s">
        <v>428</v>
      </c>
      <c r="CQ914" s="319" t="s">
        <v>190</v>
      </c>
      <c r="CR914" s="319" t="s">
        <v>190</v>
      </c>
      <c r="CS914" s="319" t="s">
        <v>190</v>
      </c>
      <c r="CT914" s="319" t="s">
        <v>190</v>
      </c>
      <c r="CU914" s="319" t="s">
        <v>190</v>
      </c>
      <c r="CV914" s="319" t="s">
        <v>190</v>
      </c>
      <c r="CW914" s="319" t="s">
        <v>190</v>
      </c>
      <c r="CX914" s="319" t="s">
        <v>190</v>
      </c>
      <c r="CY914" s="319" t="s">
        <v>190</v>
      </c>
      <c r="CZ914" s="319" t="s">
        <v>190</v>
      </c>
      <c r="DA914" s="319" t="s">
        <v>190</v>
      </c>
      <c r="DB914" s="319" t="s">
        <v>190</v>
      </c>
      <c r="DC914" s="319" t="s">
        <v>190</v>
      </c>
      <c r="DD914" s="319" t="s">
        <v>191</v>
      </c>
      <c r="DE914" s="319" t="s">
        <v>190</v>
      </c>
      <c r="DF914" s="319" t="s">
        <v>190</v>
      </c>
      <c r="DG914" s="319" t="s">
        <v>190</v>
      </c>
      <c r="DH914" s="319" t="s">
        <v>190</v>
      </c>
      <c r="DI914" s="319" t="s">
        <v>190</v>
      </c>
      <c r="DJ914" s="319" t="s">
        <v>190</v>
      </c>
      <c r="DK914" s="319" t="s">
        <v>190</v>
      </c>
      <c r="DL914" s="319" t="s">
        <v>191</v>
      </c>
      <c r="DM914" s="319" t="s">
        <v>428</v>
      </c>
      <c r="DN914" s="319" t="s">
        <v>428</v>
      </c>
      <c r="DO914" s="319" t="s">
        <v>191</v>
      </c>
      <c r="DP914" s="319" t="s">
        <v>190</v>
      </c>
      <c r="DQ914" s="319" t="s">
        <v>190</v>
      </c>
      <c r="DR914" s="319" t="s">
        <v>190</v>
      </c>
      <c r="DS914" s="319" t="s">
        <v>190</v>
      </c>
      <c r="DT914" s="319" t="s">
        <v>190</v>
      </c>
      <c r="DU914" s="319" t="s">
        <v>190</v>
      </c>
      <c r="DV914" s="319" t="s">
        <v>173</v>
      </c>
      <c r="DW914" s="319" t="s">
        <v>190</v>
      </c>
      <c r="DX914" s="319" t="s">
        <v>190</v>
      </c>
      <c r="DY914" s="319" t="s">
        <v>190</v>
      </c>
      <c r="DZ914" s="319" t="s">
        <v>190</v>
      </c>
      <c r="EA914" s="319" t="s">
        <v>190</v>
      </c>
      <c r="EB914" s="319" t="s">
        <v>190</v>
      </c>
      <c r="EC914" s="319" t="s">
        <v>428</v>
      </c>
      <c r="ED914" s="319" t="s">
        <v>190</v>
      </c>
      <c r="EE914" s="319" t="s">
        <v>190</v>
      </c>
      <c r="EF914" s="319" t="s">
        <v>190</v>
      </c>
      <c r="EG914" s="319" t="s">
        <v>190</v>
      </c>
      <c r="EH914" s="319" t="s">
        <v>190</v>
      </c>
      <c r="EI914" s="319" t="s">
        <v>190</v>
      </c>
      <c r="EJ914" s="319" t="s">
        <v>190</v>
      </c>
      <c r="EK914" s="319" t="s">
        <v>190</v>
      </c>
      <c r="EL914" s="319" t="s">
        <v>190</v>
      </c>
      <c r="EM914" s="319" t="s">
        <v>190</v>
      </c>
      <c r="EN914" s="319" t="s">
        <v>191</v>
      </c>
      <c r="EO914" s="319" t="s">
        <v>190</v>
      </c>
      <c r="EP914" s="319" t="s">
        <v>191</v>
      </c>
      <c r="EQ914" s="319" t="s">
        <v>191</v>
      </c>
      <c r="ER914" s="319" t="s">
        <v>190</v>
      </c>
      <c r="ES914" s="319" t="s">
        <v>190</v>
      </c>
      <c r="ET914" s="319" t="s">
        <v>190</v>
      </c>
      <c r="EU914" s="319" t="s">
        <v>190</v>
      </c>
      <c r="EV914" s="319" t="s">
        <v>191</v>
      </c>
      <c r="EW914" s="319" t="s">
        <v>191</v>
      </c>
      <c r="EX914" s="319" t="s">
        <v>190</v>
      </c>
      <c r="EY914" s="319" t="s">
        <v>428</v>
      </c>
      <c r="EZ914" s="319" t="s">
        <v>190</v>
      </c>
      <c r="FA914" s="319" t="s">
        <v>428</v>
      </c>
      <c r="FB914" s="319" t="s">
        <v>428</v>
      </c>
      <c r="FC914" s="319" t="s">
        <v>428</v>
      </c>
      <c r="FD914" s="319" t="s">
        <v>428</v>
      </c>
      <c r="FE914" s="319" t="s">
        <v>428</v>
      </c>
      <c r="FF914" s="319" t="s">
        <v>428</v>
      </c>
      <c r="FG914" s="319" t="s">
        <v>428</v>
      </c>
      <c r="FH914" s="319" t="s">
        <v>190</v>
      </c>
      <c r="FI914" s="319" t="s">
        <v>428</v>
      </c>
      <c r="FJ914" s="319" t="s">
        <v>429</v>
      </c>
      <c r="FK914" s="319" t="s">
        <v>428</v>
      </c>
      <c r="FL914" s="319" t="s">
        <v>191</v>
      </c>
      <c r="FM914" s="319" t="s">
        <v>190</v>
      </c>
      <c r="FN914" s="319" t="s">
        <v>190</v>
      </c>
      <c r="FO914" s="319" t="s">
        <v>191</v>
      </c>
      <c r="FP914" s="319" t="s">
        <v>190</v>
      </c>
      <c r="FQ914" s="319" t="s">
        <v>190</v>
      </c>
      <c r="FR914" s="319" t="s">
        <v>190</v>
      </c>
      <c r="FS914" s="319" t="s">
        <v>190</v>
      </c>
      <c r="FT914" s="319" t="s">
        <v>190</v>
      </c>
      <c r="FU914" s="319" t="s">
        <v>190</v>
      </c>
      <c r="FV914" s="319" t="s">
        <v>190</v>
      </c>
      <c r="FW914" s="319" t="s">
        <v>190</v>
      </c>
      <c r="FX914" s="319" t="s">
        <v>190</v>
      </c>
      <c r="FY914" s="319" t="s">
        <v>190</v>
      </c>
      <c r="FZ914" s="319" t="s">
        <v>190</v>
      </c>
      <c r="GA914" s="319" t="s">
        <v>190</v>
      </c>
      <c r="GB914" s="319" t="s">
        <v>190</v>
      </c>
      <c r="GC914" s="319" t="s">
        <v>190</v>
      </c>
      <c r="GD914" s="319" t="s">
        <v>190</v>
      </c>
      <c r="GE914" s="319" t="s">
        <v>190</v>
      </c>
      <c r="GF914" s="319" t="s">
        <v>190</v>
      </c>
      <c r="GG914" s="319" t="s">
        <v>190</v>
      </c>
      <c r="GH914" s="319" t="s">
        <v>190</v>
      </c>
      <c r="GI914" s="319" t="s">
        <v>190</v>
      </c>
      <c r="GJ914" s="319" t="s">
        <v>190</v>
      </c>
      <c r="GK914" s="319" t="s">
        <v>428</v>
      </c>
      <c r="GL914" s="319" t="s">
        <v>190</v>
      </c>
      <c r="GM914" s="319" t="s">
        <v>190</v>
      </c>
      <c r="GN914" s="319" t="s">
        <v>190</v>
      </c>
      <c r="GO914" s="319" t="s">
        <v>190</v>
      </c>
      <c r="GP914" s="319" t="s">
        <v>428</v>
      </c>
      <c r="GQ914" s="319" t="s">
        <v>428</v>
      </c>
      <c r="GR914" s="319" t="s">
        <v>190</v>
      </c>
      <c r="GS914" s="319" t="s">
        <v>428</v>
      </c>
      <c r="GT914" s="319" t="s">
        <v>190</v>
      </c>
      <c r="GU914" s="319" t="s">
        <v>190</v>
      </c>
      <c r="GV914" s="319" t="s">
        <v>190</v>
      </c>
      <c r="GW914" s="319" t="s">
        <v>190</v>
      </c>
      <c r="GX914" s="319" t="s">
        <v>190</v>
      </c>
      <c r="GY914" s="319" t="s">
        <v>190</v>
      </c>
      <c r="GZ914" s="319" t="s">
        <v>428</v>
      </c>
      <c r="HA914" s="319" t="s">
        <v>190</v>
      </c>
      <c r="HB914" s="319" t="s">
        <v>190</v>
      </c>
      <c r="HC914" s="319" t="s">
        <v>190</v>
      </c>
      <c r="HD914" s="319" t="s">
        <v>190</v>
      </c>
      <c r="HE914" s="319" t="s">
        <v>190</v>
      </c>
      <c r="HF914" s="319" t="s">
        <v>190</v>
      </c>
      <c r="HG914" s="319" t="s">
        <v>190</v>
      </c>
      <c r="HH914" s="319" t="s">
        <v>190</v>
      </c>
      <c r="HI914" s="319" t="s">
        <v>428</v>
      </c>
      <c r="HJ914" s="319" t="s">
        <v>190</v>
      </c>
      <c r="HK914" s="319" t="s">
        <v>428</v>
      </c>
      <c r="HL914" s="319" t="s">
        <v>428</v>
      </c>
      <c r="HM914" s="319" t="s">
        <v>428</v>
      </c>
      <c r="HN914" s="319" t="s">
        <v>428</v>
      </c>
      <c r="HO914" s="319" t="s">
        <v>428</v>
      </c>
      <c r="HP914" s="319" t="s">
        <v>190</v>
      </c>
      <c r="HQ914" s="319" t="s">
        <v>190</v>
      </c>
      <c r="HR914" s="319" t="s">
        <v>190</v>
      </c>
      <c r="HS914" s="319" t="s">
        <v>190</v>
      </c>
      <c r="HT914" s="319" t="s">
        <v>190</v>
      </c>
      <c r="HU914" s="319" t="s">
        <v>190</v>
      </c>
      <c r="HV914" s="319" t="s">
        <v>190</v>
      </c>
      <c r="HW914" s="319" t="s">
        <v>190</v>
      </c>
      <c r="HX914" s="319" t="s">
        <v>190</v>
      </c>
      <c r="HY914" s="319" t="s">
        <v>190</v>
      </c>
      <c r="HZ914" s="319" t="s">
        <v>190</v>
      </c>
      <c r="IA914" s="319" t="s">
        <v>190</v>
      </c>
      <c r="IB914" s="319" t="s">
        <v>190</v>
      </c>
      <c r="IC914" s="319" t="s">
        <v>190</v>
      </c>
      <c r="ID914" s="319" t="s">
        <v>190</v>
      </c>
      <c r="IE914" s="319" t="s">
        <v>190</v>
      </c>
      <c r="IF914" s="319" t="s">
        <v>191</v>
      </c>
      <c r="IG914" s="319" t="s">
        <v>191</v>
      </c>
      <c r="IH914" s="319" t="s">
        <v>191</v>
      </c>
      <c r="II914" s="319" t="s">
        <v>190</v>
      </c>
      <c r="IJ914" s="319" t="s">
        <v>173</v>
      </c>
      <c r="IK914" s="319" t="s">
        <v>173</v>
      </c>
      <c r="IL914" s="319" t="s">
        <v>173</v>
      </c>
      <c r="IM914" s="319" t="s">
        <v>173</v>
      </c>
      <c r="IN914" s="319" t="s">
        <v>173</v>
      </c>
      <c r="IO914" s="319">
        <v>10105062</v>
      </c>
      <c r="IP914" s="319" t="s">
        <v>985</v>
      </c>
      <c r="IQ914" s="321">
        <v>43655</v>
      </c>
      <c r="IR914" s="320" t="s">
        <v>1223</v>
      </c>
      <c r="IS914" s="322">
        <v>43670</v>
      </c>
      <c r="IT914" s="319" t="s">
        <v>165</v>
      </c>
    </row>
    <row r="915" spans="1:254" s="271" customFormat="1" x14ac:dyDescent="0.25">
      <c r="A915" s="318" t="str">
        <f>HYPERLINK("http://www.ofsted.gov.uk/inspection-reports/find-inspection-report/provider/ELS/144516 ","Ofsted School Webpage")</f>
        <v>Ofsted School Webpage</v>
      </c>
      <c r="B915" s="319">
        <v>144516</v>
      </c>
      <c r="C915" s="319">
        <v>2076013</v>
      </c>
      <c r="D915" s="319" t="s">
        <v>2447</v>
      </c>
      <c r="E915" s="319" t="s">
        <v>167</v>
      </c>
      <c r="F915" s="319" t="s">
        <v>81</v>
      </c>
      <c r="G915" s="319" t="s">
        <v>81</v>
      </c>
      <c r="H915" s="319" t="s">
        <v>81</v>
      </c>
      <c r="I915" s="319" t="s">
        <v>78</v>
      </c>
      <c r="J915" s="319" t="s">
        <v>424</v>
      </c>
      <c r="K915" s="319" t="s">
        <v>441</v>
      </c>
      <c r="L915" s="319" t="s">
        <v>441</v>
      </c>
      <c r="M915" s="319" t="s">
        <v>567</v>
      </c>
      <c r="N915" s="319" t="s">
        <v>2790</v>
      </c>
      <c r="O915" s="319" t="s">
        <v>2448</v>
      </c>
      <c r="P915" s="319">
        <v>79</v>
      </c>
      <c r="Q915" s="319" t="s">
        <v>2766</v>
      </c>
      <c r="R915" s="320">
        <v>10044446</v>
      </c>
      <c r="S915" s="321">
        <v>43264</v>
      </c>
      <c r="T915" s="321">
        <v>43266</v>
      </c>
      <c r="U915" s="321">
        <v>43287</v>
      </c>
      <c r="V915" s="319" t="s">
        <v>435</v>
      </c>
      <c r="W915" s="319" t="s">
        <v>2767</v>
      </c>
      <c r="X915" s="319">
        <v>2</v>
      </c>
      <c r="Y915" s="319" t="s">
        <v>173</v>
      </c>
      <c r="Z915" s="319" t="s">
        <v>173</v>
      </c>
      <c r="AA915" s="319" t="s">
        <v>173</v>
      </c>
      <c r="AB915" s="319">
        <v>2</v>
      </c>
      <c r="AC915" s="319" t="s">
        <v>169</v>
      </c>
      <c r="AD915" s="319">
        <v>2</v>
      </c>
      <c r="AE915" s="319" t="s">
        <v>173</v>
      </c>
      <c r="AF915" s="319" t="s">
        <v>427</v>
      </c>
      <c r="AG915" s="319" t="s">
        <v>171</v>
      </c>
      <c r="AH915" s="319" t="s">
        <v>190</v>
      </c>
      <c r="AI915" s="319" t="s">
        <v>190</v>
      </c>
      <c r="AJ915" s="319" t="s">
        <v>190</v>
      </c>
      <c r="AK915" s="319" t="s">
        <v>190</v>
      </c>
      <c r="AL915" s="319" t="s">
        <v>190</v>
      </c>
      <c r="AM915" s="319" t="s">
        <v>190</v>
      </c>
      <c r="AN915" s="319" t="s">
        <v>190</v>
      </c>
      <c r="AO915" s="319" t="s">
        <v>190</v>
      </c>
      <c r="AP915" s="319" t="s">
        <v>190</v>
      </c>
      <c r="AQ915" s="319" t="s">
        <v>190</v>
      </c>
      <c r="AR915" s="319" t="s">
        <v>190</v>
      </c>
      <c r="AS915" s="319" t="s">
        <v>190</v>
      </c>
      <c r="AT915" s="319" t="s">
        <v>190</v>
      </c>
      <c r="AU915" s="319" t="s">
        <v>190</v>
      </c>
      <c r="AV915" s="319" t="s">
        <v>190</v>
      </c>
      <c r="AW915" s="319" t="s">
        <v>190</v>
      </c>
      <c r="AX915" s="319" t="s">
        <v>428</v>
      </c>
      <c r="AY915" s="319" t="s">
        <v>190</v>
      </c>
      <c r="AZ915" s="319" t="s">
        <v>190</v>
      </c>
      <c r="BA915" s="319" t="s">
        <v>190</v>
      </c>
      <c r="BB915" s="319" t="s">
        <v>428</v>
      </c>
      <c r="BC915" s="319" t="s">
        <v>428</v>
      </c>
      <c r="BD915" s="319" t="s">
        <v>428</v>
      </c>
      <c r="BE915" s="319" t="s">
        <v>428</v>
      </c>
      <c r="BF915" s="319" t="s">
        <v>190</v>
      </c>
      <c r="BG915" s="319" t="s">
        <v>428</v>
      </c>
      <c r="BH915" s="319" t="s">
        <v>190</v>
      </c>
      <c r="BI915" s="319" t="s">
        <v>190</v>
      </c>
      <c r="BJ915" s="319" t="s">
        <v>190</v>
      </c>
      <c r="BK915" s="319" t="s">
        <v>190</v>
      </c>
      <c r="BL915" s="319" t="s">
        <v>190</v>
      </c>
      <c r="BM915" s="319" t="s">
        <v>190</v>
      </c>
      <c r="BN915" s="319" t="s">
        <v>190</v>
      </c>
      <c r="BO915" s="319" t="s">
        <v>190</v>
      </c>
      <c r="BP915" s="319" t="s">
        <v>190</v>
      </c>
      <c r="BQ915" s="319" t="s">
        <v>190</v>
      </c>
      <c r="BR915" s="319" t="s">
        <v>190</v>
      </c>
      <c r="BS915" s="319" t="s">
        <v>190</v>
      </c>
      <c r="BT915" s="319" t="s">
        <v>190</v>
      </c>
      <c r="BU915" s="319" t="s">
        <v>190</v>
      </c>
      <c r="BV915" s="319" t="s">
        <v>190</v>
      </c>
      <c r="BW915" s="319" t="s">
        <v>190</v>
      </c>
      <c r="BX915" s="319" t="s">
        <v>190</v>
      </c>
      <c r="BY915" s="319" t="s">
        <v>190</v>
      </c>
      <c r="BZ915" s="319" t="s">
        <v>190</v>
      </c>
      <c r="CA915" s="319" t="s">
        <v>190</v>
      </c>
      <c r="CB915" s="319" t="s">
        <v>190</v>
      </c>
      <c r="CC915" s="319" t="s">
        <v>190</v>
      </c>
      <c r="CD915" s="319" t="s">
        <v>190</v>
      </c>
      <c r="CE915" s="319" t="s">
        <v>190</v>
      </c>
      <c r="CF915" s="319" t="s">
        <v>190</v>
      </c>
      <c r="CG915" s="319" t="s">
        <v>190</v>
      </c>
      <c r="CH915" s="319" t="s">
        <v>190</v>
      </c>
      <c r="CI915" s="319" t="s">
        <v>190</v>
      </c>
      <c r="CJ915" s="319" t="s">
        <v>190</v>
      </c>
      <c r="CK915" s="319" t="s">
        <v>190</v>
      </c>
      <c r="CL915" s="319" t="s">
        <v>190</v>
      </c>
      <c r="CM915" s="319" t="s">
        <v>190</v>
      </c>
      <c r="CN915" s="319" t="s">
        <v>428</v>
      </c>
      <c r="CO915" s="319" t="s">
        <v>428</v>
      </c>
      <c r="CP915" s="319" t="s">
        <v>428</v>
      </c>
      <c r="CQ915" s="319" t="s">
        <v>190</v>
      </c>
      <c r="CR915" s="319" t="s">
        <v>190</v>
      </c>
      <c r="CS915" s="319" t="s">
        <v>190</v>
      </c>
      <c r="CT915" s="319" t="s">
        <v>190</v>
      </c>
      <c r="CU915" s="319" t="s">
        <v>190</v>
      </c>
      <c r="CV915" s="319" t="s">
        <v>190</v>
      </c>
      <c r="CW915" s="319" t="s">
        <v>190</v>
      </c>
      <c r="CX915" s="319" t="s">
        <v>190</v>
      </c>
      <c r="CY915" s="319" t="s">
        <v>190</v>
      </c>
      <c r="CZ915" s="319" t="s">
        <v>190</v>
      </c>
      <c r="DA915" s="319" t="s">
        <v>190</v>
      </c>
      <c r="DB915" s="319" t="s">
        <v>190</v>
      </c>
      <c r="DC915" s="319" t="s">
        <v>190</v>
      </c>
      <c r="DD915" s="319" t="s">
        <v>190</v>
      </c>
      <c r="DE915" s="319" t="s">
        <v>190</v>
      </c>
      <c r="DF915" s="319" t="s">
        <v>190</v>
      </c>
      <c r="DG915" s="319" t="s">
        <v>190</v>
      </c>
      <c r="DH915" s="319" t="s">
        <v>190</v>
      </c>
      <c r="DI915" s="319" t="s">
        <v>190</v>
      </c>
      <c r="DJ915" s="319" t="s">
        <v>190</v>
      </c>
      <c r="DK915" s="319" t="s">
        <v>190</v>
      </c>
      <c r="DL915" s="319" t="s">
        <v>190</v>
      </c>
      <c r="DM915" s="319" t="s">
        <v>428</v>
      </c>
      <c r="DN915" s="319" t="s">
        <v>428</v>
      </c>
      <c r="DO915" s="319" t="s">
        <v>190</v>
      </c>
      <c r="DP915" s="319" t="s">
        <v>190</v>
      </c>
      <c r="DQ915" s="319" t="s">
        <v>190</v>
      </c>
      <c r="DR915" s="319" t="s">
        <v>190</v>
      </c>
      <c r="DS915" s="319" t="s">
        <v>190</v>
      </c>
      <c r="DT915" s="319" t="s">
        <v>190</v>
      </c>
      <c r="DU915" s="319" t="s">
        <v>190</v>
      </c>
      <c r="DV915" s="319" t="s">
        <v>173</v>
      </c>
      <c r="DW915" s="319" t="s">
        <v>190</v>
      </c>
      <c r="DX915" s="319" t="s">
        <v>190</v>
      </c>
      <c r="DY915" s="319" t="s">
        <v>190</v>
      </c>
      <c r="DZ915" s="319" t="s">
        <v>190</v>
      </c>
      <c r="EA915" s="319" t="s">
        <v>190</v>
      </c>
      <c r="EB915" s="319" t="s">
        <v>190</v>
      </c>
      <c r="EC915" s="319" t="s">
        <v>428</v>
      </c>
      <c r="ED915" s="319" t="s">
        <v>190</v>
      </c>
      <c r="EE915" s="319" t="s">
        <v>190</v>
      </c>
      <c r="EF915" s="319" t="s">
        <v>190</v>
      </c>
      <c r="EG915" s="319" t="s">
        <v>190</v>
      </c>
      <c r="EH915" s="319" t="s">
        <v>190</v>
      </c>
      <c r="EI915" s="319" t="s">
        <v>190</v>
      </c>
      <c r="EJ915" s="319" t="s">
        <v>190</v>
      </c>
      <c r="EK915" s="319" t="s">
        <v>190</v>
      </c>
      <c r="EL915" s="319" t="s">
        <v>428</v>
      </c>
      <c r="EM915" s="319" t="s">
        <v>190</v>
      </c>
      <c r="EN915" s="319" t="s">
        <v>190</v>
      </c>
      <c r="EO915" s="319" t="s">
        <v>190</v>
      </c>
      <c r="EP915" s="319" t="s">
        <v>190</v>
      </c>
      <c r="EQ915" s="319" t="s">
        <v>190</v>
      </c>
      <c r="ER915" s="319" t="s">
        <v>190</v>
      </c>
      <c r="ES915" s="319" t="s">
        <v>190</v>
      </c>
      <c r="ET915" s="319" t="s">
        <v>190</v>
      </c>
      <c r="EU915" s="319" t="s">
        <v>190</v>
      </c>
      <c r="EV915" s="319" t="s">
        <v>190</v>
      </c>
      <c r="EW915" s="319" t="s">
        <v>190</v>
      </c>
      <c r="EX915" s="319" t="s">
        <v>190</v>
      </c>
      <c r="EY915" s="319" t="s">
        <v>190</v>
      </c>
      <c r="EZ915" s="319" t="s">
        <v>190</v>
      </c>
      <c r="FA915" s="319" t="s">
        <v>428</v>
      </c>
      <c r="FB915" s="319" t="s">
        <v>190</v>
      </c>
      <c r="FC915" s="319" t="s">
        <v>190</v>
      </c>
      <c r="FD915" s="319" t="s">
        <v>190</v>
      </c>
      <c r="FE915" s="319" t="s">
        <v>190</v>
      </c>
      <c r="FF915" s="319" t="s">
        <v>190</v>
      </c>
      <c r="FG915" s="319" t="s">
        <v>190</v>
      </c>
      <c r="FH915" s="319" t="s">
        <v>190</v>
      </c>
      <c r="FI915" s="319" t="s">
        <v>190</v>
      </c>
      <c r="FJ915" s="319" t="s">
        <v>190</v>
      </c>
      <c r="FK915" s="319" t="s">
        <v>190</v>
      </c>
      <c r="FL915" s="319" t="s">
        <v>190</v>
      </c>
      <c r="FM915" s="319" t="s">
        <v>190</v>
      </c>
      <c r="FN915" s="319" t="s">
        <v>428</v>
      </c>
      <c r="FO915" s="319" t="s">
        <v>428</v>
      </c>
      <c r="FP915" s="319" t="s">
        <v>190</v>
      </c>
      <c r="FQ915" s="319" t="s">
        <v>190</v>
      </c>
      <c r="FR915" s="319" t="s">
        <v>190</v>
      </c>
      <c r="FS915" s="319" t="s">
        <v>428</v>
      </c>
      <c r="FT915" s="319" t="s">
        <v>428</v>
      </c>
      <c r="FU915" s="319" t="s">
        <v>190</v>
      </c>
      <c r="FV915" s="319" t="s">
        <v>190</v>
      </c>
      <c r="FW915" s="319" t="s">
        <v>190</v>
      </c>
      <c r="FX915" s="319" t="s">
        <v>190</v>
      </c>
      <c r="FY915" s="319" t="s">
        <v>190</v>
      </c>
      <c r="FZ915" s="319" t="s">
        <v>190</v>
      </c>
      <c r="GA915" s="319" t="s">
        <v>190</v>
      </c>
      <c r="GB915" s="319" t="s">
        <v>190</v>
      </c>
      <c r="GC915" s="319" t="s">
        <v>190</v>
      </c>
      <c r="GD915" s="319" t="s">
        <v>190</v>
      </c>
      <c r="GE915" s="319" t="s">
        <v>190</v>
      </c>
      <c r="GF915" s="319" t="s">
        <v>190</v>
      </c>
      <c r="GG915" s="319" t="s">
        <v>190</v>
      </c>
      <c r="GH915" s="319" t="s">
        <v>190</v>
      </c>
      <c r="GI915" s="319" t="s">
        <v>190</v>
      </c>
      <c r="GJ915" s="319" t="s">
        <v>190</v>
      </c>
      <c r="GK915" s="319" t="s">
        <v>428</v>
      </c>
      <c r="GL915" s="319" t="s">
        <v>190</v>
      </c>
      <c r="GM915" s="319" t="s">
        <v>190</v>
      </c>
      <c r="GN915" s="319" t="s">
        <v>190</v>
      </c>
      <c r="GO915" s="319" t="s">
        <v>190</v>
      </c>
      <c r="GP915" s="319" t="s">
        <v>428</v>
      </c>
      <c r="GQ915" s="319" t="s">
        <v>428</v>
      </c>
      <c r="GR915" s="319" t="s">
        <v>190</v>
      </c>
      <c r="GS915" s="319" t="s">
        <v>190</v>
      </c>
      <c r="GT915" s="319" t="s">
        <v>428</v>
      </c>
      <c r="GU915" s="319" t="s">
        <v>428</v>
      </c>
      <c r="GV915" s="319" t="s">
        <v>190</v>
      </c>
      <c r="GW915" s="319" t="s">
        <v>190</v>
      </c>
      <c r="GX915" s="319" t="s">
        <v>190</v>
      </c>
      <c r="GY915" s="319" t="s">
        <v>190</v>
      </c>
      <c r="GZ915" s="319" t="s">
        <v>428</v>
      </c>
      <c r="HA915" s="319" t="s">
        <v>190</v>
      </c>
      <c r="HB915" s="319" t="s">
        <v>190</v>
      </c>
      <c r="HC915" s="319" t="s">
        <v>190</v>
      </c>
      <c r="HD915" s="319" t="s">
        <v>190</v>
      </c>
      <c r="HE915" s="319" t="s">
        <v>190</v>
      </c>
      <c r="HF915" s="319" t="s">
        <v>190</v>
      </c>
      <c r="HG915" s="319" t="s">
        <v>190</v>
      </c>
      <c r="HH915" s="319" t="s">
        <v>190</v>
      </c>
      <c r="HI915" s="319" t="s">
        <v>584</v>
      </c>
      <c r="HJ915" s="319" t="s">
        <v>190</v>
      </c>
      <c r="HK915" s="319" t="s">
        <v>428</v>
      </c>
      <c r="HL915" s="319" t="s">
        <v>428</v>
      </c>
      <c r="HM915" s="319" t="s">
        <v>428</v>
      </c>
      <c r="HN915" s="319" t="s">
        <v>428</v>
      </c>
      <c r="HO915" s="319" t="s">
        <v>428</v>
      </c>
      <c r="HP915" s="319" t="s">
        <v>190</v>
      </c>
      <c r="HQ915" s="319" t="s">
        <v>190</v>
      </c>
      <c r="HR915" s="319" t="s">
        <v>190</v>
      </c>
      <c r="HS915" s="319" t="s">
        <v>190</v>
      </c>
      <c r="HT915" s="319" t="s">
        <v>190</v>
      </c>
      <c r="HU915" s="319" t="s">
        <v>190</v>
      </c>
      <c r="HV915" s="319" t="s">
        <v>190</v>
      </c>
      <c r="HW915" s="319" t="s">
        <v>190</v>
      </c>
      <c r="HX915" s="319" t="s">
        <v>190</v>
      </c>
      <c r="HY915" s="319" t="s">
        <v>190</v>
      </c>
      <c r="HZ915" s="319" t="s">
        <v>190</v>
      </c>
      <c r="IA915" s="319" t="s">
        <v>190</v>
      </c>
      <c r="IB915" s="319" t="s">
        <v>190</v>
      </c>
      <c r="IC915" s="319" t="s">
        <v>190</v>
      </c>
      <c r="ID915" s="319" t="s">
        <v>190</v>
      </c>
      <c r="IE915" s="319" t="s">
        <v>190</v>
      </c>
      <c r="IF915" s="319" t="s">
        <v>190</v>
      </c>
      <c r="IG915" s="319" t="s">
        <v>190</v>
      </c>
      <c r="IH915" s="319" t="s">
        <v>190</v>
      </c>
      <c r="II915" s="319" t="s">
        <v>190</v>
      </c>
      <c r="IJ915" s="319" t="s">
        <v>173</v>
      </c>
      <c r="IK915" s="319" t="s">
        <v>173</v>
      </c>
      <c r="IL915" s="319" t="s">
        <v>173</v>
      </c>
      <c r="IM915" s="319" t="s">
        <v>173</v>
      </c>
      <c r="IN915" s="319" t="s">
        <v>173</v>
      </c>
      <c r="IO915" s="319" t="s">
        <v>173</v>
      </c>
      <c r="IP915" s="319" t="s">
        <v>173</v>
      </c>
      <c r="IQ915" s="321" t="s">
        <v>173</v>
      </c>
      <c r="IR915" s="320" t="s">
        <v>173</v>
      </c>
      <c r="IS915" s="322" t="s">
        <v>173</v>
      </c>
      <c r="IT915" s="319" t="s">
        <v>173</v>
      </c>
    </row>
    <row r="916" spans="1:254" s="271" customFormat="1" x14ac:dyDescent="0.25">
      <c r="A916" s="318" t="str">
        <f>HYPERLINK("http://www.ofsted.gov.uk/inspection-reports/find-inspection-report/provider/ELS/144619 ","Ofsted School Webpage")</f>
        <v>Ofsted School Webpage</v>
      </c>
      <c r="B916" s="319">
        <v>144619</v>
      </c>
      <c r="C916" s="319">
        <v>8556040</v>
      </c>
      <c r="D916" s="319" t="s">
        <v>1197</v>
      </c>
      <c r="E916" s="319" t="s">
        <v>168</v>
      </c>
      <c r="F916" s="319" t="s">
        <v>81</v>
      </c>
      <c r="G916" s="319" t="s">
        <v>81</v>
      </c>
      <c r="H916" s="319" t="s">
        <v>81</v>
      </c>
      <c r="I916" s="319" t="s">
        <v>78</v>
      </c>
      <c r="J916" s="319" t="s">
        <v>424</v>
      </c>
      <c r="K916" s="319" t="s">
        <v>506</v>
      </c>
      <c r="L916" s="319" t="s">
        <v>506</v>
      </c>
      <c r="M916" s="319" t="s">
        <v>862</v>
      </c>
      <c r="N916" s="319" t="s">
        <v>3000</v>
      </c>
      <c r="O916" s="319" t="s">
        <v>1198</v>
      </c>
      <c r="P916" s="319">
        <v>10</v>
      </c>
      <c r="Q916" s="319" t="s">
        <v>429</v>
      </c>
      <c r="R916" s="320">
        <v>10048637</v>
      </c>
      <c r="S916" s="321">
        <v>43207</v>
      </c>
      <c r="T916" s="321">
        <v>43208</v>
      </c>
      <c r="U916" s="321">
        <v>43238</v>
      </c>
      <c r="V916" s="319" t="s">
        <v>435</v>
      </c>
      <c r="W916" s="319" t="s">
        <v>2767</v>
      </c>
      <c r="X916" s="319">
        <v>2</v>
      </c>
      <c r="Y916" s="319" t="s">
        <v>173</v>
      </c>
      <c r="Z916" s="319" t="s">
        <v>173</v>
      </c>
      <c r="AA916" s="319" t="s">
        <v>173</v>
      </c>
      <c r="AB916" s="319">
        <v>2</v>
      </c>
      <c r="AC916" s="319" t="s">
        <v>169</v>
      </c>
      <c r="AD916" s="319" t="s">
        <v>173</v>
      </c>
      <c r="AE916" s="319" t="s">
        <v>173</v>
      </c>
      <c r="AF916" s="319" t="s">
        <v>427</v>
      </c>
      <c r="AG916" s="319" t="s">
        <v>171</v>
      </c>
      <c r="AH916" s="319" t="s">
        <v>190</v>
      </c>
      <c r="AI916" s="319" t="s">
        <v>190</v>
      </c>
      <c r="AJ916" s="319" t="s">
        <v>190</v>
      </c>
      <c r="AK916" s="319" t="s">
        <v>190</v>
      </c>
      <c r="AL916" s="319" t="s">
        <v>190</v>
      </c>
      <c r="AM916" s="319" t="s">
        <v>190</v>
      </c>
      <c r="AN916" s="319" t="s">
        <v>190</v>
      </c>
      <c r="AO916" s="319" t="s">
        <v>190</v>
      </c>
      <c r="AP916" s="319" t="s">
        <v>190</v>
      </c>
      <c r="AQ916" s="319" t="s">
        <v>190</v>
      </c>
      <c r="AR916" s="319" t="s">
        <v>190</v>
      </c>
      <c r="AS916" s="319" t="s">
        <v>190</v>
      </c>
      <c r="AT916" s="319" t="s">
        <v>190</v>
      </c>
      <c r="AU916" s="319" t="s">
        <v>190</v>
      </c>
      <c r="AV916" s="319" t="s">
        <v>190</v>
      </c>
      <c r="AW916" s="319" t="s">
        <v>190</v>
      </c>
      <c r="AX916" s="319" t="s">
        <v>428</v>
      </c>
      <c r="AY916" s="319" t="s">
        <v>190</v>
      </c>
      <c r="AZ916" s="319" t="s">
        <v>190</v>
      </c>
      <c r="BA916" s="319" t="s">
        <v>190</v>
      </c>
      <c r="BB916" s="319" t="s">
        <v>190</v>
      </c>
      <c r="BC916" s="319" t="s">
        <v>190</v>
      </c>
      <c r="BD916" s="319" t="s">
        <v>190</v>
      </c>
      <c r="BE916" s="319" t="s">
        <v>190</v>
      </c>
      <c r="BF916" s="319" t="s">
        <v>428</v>
      </c>
      <c r="BG916" s="319" t="s">
        <v>428</v>
      </c>
      <c r="BH916" s="319" t="s">
        <v>190</v>
      </c>
      <c r="BI916" s="319" t="s">
        <v>190</v>
      </c>
      <c r="BJ916" s="319" t="s">
        <v>190</v>
      </c>
      <c r="BK916" s="319" t="s">
        <v>190</v>
      </c>
      <c r="BL916" s="319" t="s">
        <v>190</v>
      </c>
      <c r="BM916" s="319" t="s">
        <v>190</v>
      </c>
      <c r="BN916" s="319" t="s">
        <v>190</v>
      </c>
      <c r="BO916" s="319" t="s">
        <v>190</v>
      </c>
      <c r="BP916" s="319" t="s">
        <v>190</v>
      </c>
      <c r="BQ916" s="319" t="s">
        <v>190</v>
      </c>
      <c r="BR916" s="319" t="s">
        <v>190</v>
      </c>
      <c r="BS916" s="319" t="s">
        <v>190</v>
      </c>
      <c r="BT916" s="319" t="s">
        <v>190</v>
      </c>
      <c r="BU916" s="319" t="s">
        <v>190</v>
      </c>
      <c r="BV916" s="319" t="s">
        <v>190</v>
      </c>
      <c r="BW916" s="319" t="s">
        <v>190</v>
      </c>
      <c r="BX916" s="319" t="s">
        <v>190</v>
      </c>
      <c r="BY916" s="319" t="s">
        <v>190</v>
      </c>
      <c r="BZ916" s="319" t="s">
        <v>190</v>
      </c>
      <c r="CA916" s="319" t="s">
        <v>190</v>
      </c>
      <c r="CB916" s="319" t="s">
        <v>190</v>
      </c>
      <c r="CC916" s="319" t="s">
        <v>190</v>
      </c>
      <c r="CD916" s="319" t="s">
        <v>190</v>
      </c>
      <c r="CE916" s="319" t="s">
        <v>190</v>
      </c>
      <c r="CF916" s="319" t="s">
        <v>190</v>
      </c>
      <c r="CG916" s="319" t="s">
        <v>190</v>
      </c>
      <c r="CH916" s="319" t="s">
        <v>190</v>
      </c>
      <c r="CI916" s="319" t="s">
        <v>190</v>
      </c>
      <c r="CJ916" s="319" t="s">
        <v>190</v>
      </c>
      <c r="CK916" s="319" t="s">
        <v>190</v>
      </c>
      <c r="CL916" s="319" t="s">
        <v>190</v>
      </c>
      <c r="CM916" s="319" t="s">
        <v>190</v>
      </c>
      <c r="CN916" s="319" t="s">
        <v>428</v>
      </c>
      <c r="CO916" s="319" t="s">
        <v>428</v>
      </c>
      <c r="CP916" s="319" t="s">
        <v>428</v>
      </c>
      <c r="CQ916" s="319" t="s">
        <v>190</v>
      </c>
      <c r="CR916" s="319" t="s">
        <v>190</v>
      </c>
      <c r="CS916" s="319" t="s">
        <v>190</v>
      </c>
      <c r="CT916" s="319" t="s">
        <v>190</v>
      </c>
      <c r="CU916" s="319" t="s">
        <v>190</v>
      </c>
      <c r="CV916" s="319" t="s">
        <v>190</v>
      </c>
      <c r="CW916" s="319" t="s">
        <v>190</v>
      </c>
      <c r="CX916" s="319" t="s">
        <v>190</v>
      </c>
      <c r="CY916" s="319" t="s">
        <v>190</v>
      </c>
      <c r="CZ916" s="319" t="s">
        <v>190</v>
      </c>
      <c r="DA916" s="319" t="s">
        <v>190</v>
      </c>
      <c r="DB916" s="319" t="s">
        <v>190</v>
      </c>
      <c r="DC916" s="319" t="s">
        <v>190</v>
      </c>
      <c r="DD916" s="319" t="s">
        <v>190</v>
      </c>
      <c r="DE916" s="319" t="s">
        <v>190</v>
      </c>
      <c r="DF916" s="319" t="s">
        <v>190</v>
      </c>
      <c r="DG916" s="319" t="s">
        <v>190</v>
      </c>
      <c r="DH916" s="319" t="s">
        <v>190</v>
      </c>
      <c r="DI916" s="319" t="s">
        <v>190</v>
      </c>
      <c r="DJ916" s="319" t="s">
        <v>190</v>
      </c>
      <c r="DK916" s="319" t="s">
        <v>190</v>
      </c>
      <c r="DL916" s="319" t="s">
        <v>190</v>
      </c>
      <c r="DM916" s="319" t="s">
        <v>190</v>
      </c>
      <c r="DN916" s="319" t="s">
        <v>428</v>
      </c>
      <c r="DO916" s="319" t="s">
        <v>190</v>
      </c>
      <c r="DP916" s="319" t="s">
        <v>428</v>
      </c>
      <c r="DQ916" s="319" t="s">
        <v>428</v>
      </c>
      <c r="DR916" s="319" t="s">
        <v>428</v>
      </c>
      <c r="DS916" s="319" t="s">
        <v>428</v>
      </c>
      <c r="DT916" s="319" t="s">
        <v>428</v>
      </c>
      <c r="DU916" s="319" t="s">
        <v>428</v>
      </c>
      <c r="DV916" s="319" t="s">
        <v>173</v>
      </c>
      <c r="DW916" s="319" t="s">
        <v>428</v>
      </c>
      <c r="DX916" s="319" t="s">
        <v>428</v>
      </c>
      <c r="DY916" s="319" t="s">
        <v>428</v>
      </c>
      <c r="DZ916" s="319" t="s">
        <v>428</v>
      </c>
      <c r="EA916" s="319" t="s">
        <v>428</v>
      </c>
      <c r="EB916" s="319" t="s">
        <v>428</v>
      </c>
      <c r="EC916" s="319" t="s">
        <v>428</v>
      </c>
      <c r="ED916" s="319" t="s">
        <v>190</v>
      </c>
      <c r="EE916" s="319" t="s">
        <v>428</v>
      </c>
      <c r="EF916" s="319" t="s">
        <v>428</v>
      </c>
      <c r="EG916" s="319" t="s">
        <v>428</v>
      </c>
      <c r="EH916" s="319" t="s">
        <v>428</v>
      </c>
      <c r="EI916" s="319" t="s">
        <v>428</v>
      </c>
      <c r="EJ916" s="319" t="s">
        <v>428</v>
      </c>
      <c r="EK916" s="319" t="s">
        <v>428</v>
      </c>
      <c r="EL916" s="319" t="s">
        <v>428</v>
      </c>
      <c r="EM916" s="319" t="s">
        <v>190</v>
      </c>
      <c r="EN916" s="319" t="s">
        <v>190</v>
      </c>
      <c r="EO916" s="319" t="s">
        <v>190</v>
      </c>
      <c r="EP916" s="319" t="s">
        <v>190</v>
      </c>
      <c r="EQ916" s="319" t="s">
        <v>190</v>
      </c>
      <c r="ER916" s="319" t="s">
        <v>190</v>
      </c>
      <c r="ES916" s="319" t="s">
        <v>190</v>
      </c>
      <c r="ET916" s="319" t="s">
        <v>190</v>
      </c>
      <c r="EU916" s="319" t="s">
        <v>190</v>
      </c>
      <c r="EV916" s="319" t="s">
        <v>190</v>
      </c>
      <c r="EW916" s="319" t="s">
        <v>190</v>
      </c>
      <c r="EX916" s="319" t="s">
        <v>190</v>
      </c>
      <c r="EY916" s="319" t="s">
        <v>190</v>
      </c>
      <c r="EZ916" s="319" t="s">
        <v>190</v>
      </c>
      <c r="FA916" s="319" t="s">
        <v>428</v>
      </c>
      <c r="FB916" s="319" t="s">
        <v>428</v>
      </c>
      <c r="FC916" s="319" t="s">
        <v>428</v>
      </c>
      <c r="FD916" s="319" t="s">
        <v>428</v>
      </c>
      <c r="FE916" s="319" t="s">
        <v>428</v>
      </c>
      <c r="FF916" s="319" t="s">
        <v>428</v>
      </c>
      <c r="FG916" s="319" t="s">
        <v>428</v>
      </c>
      <c r="FH916" s="319" t="s">
        <v>428</v>
      </c>
      <c r="FI916" s="319" t="s">
        <v>428</v>
      </c>
      <c r="FJ916" s="319" t="s">
        <v>429</v>
      </c>
      <c r="FK916" s="319" t="s">
        <v>428</v>
      </c>
      <c r="FL916" s="319" t="s">
        <v>190</v>
      </c>
      <c r="FM916" s="319" t="s">
        <v>190</v>
      </c>
      <c r="FN916" s="319" t="s">
        <v>190</v>
      </c>
      <c r="FO916" s="319" t="s">
        <v>190</v>
      </c>
      <c r="FP916" s="319" t="s">
        <v>190</v>
      </c>
      <c r="FQ916" s="319" t="s">
        <v>190</v>
      </c>
      <c r="FR916" s="319" t="s">
        <v>190</v>
      </c>
      <c r="FS916" s="319" t="s">
        <v>428</v>
      </c>
      <c r="FT916" s="319" t="s">
        <v>190</v>
      </c>
      <c r="FU916" s="319" t="s">
        <v>190</v>
      </c>
      <c r="FV916" s="319" t="s">
        <v>190</v>
      </c>
      <c r="FW916" s="319" t="s">
        <v>190</v>
      </c>
      <c r="FX916" s="319" t="s">
        <v>190</v>
      </c>
      <c r="FY916" s="319" t="s">
        <v>190</v>
      </c>
      <c r="FZ916" s="319" t="s">
        <v>190</v>
      </c>
      <c r="GA916" s="319" t="s">
        <v>190</v>
      </c>
      <c r="GB916" s="319" t="s">
        <v>190</v>
      </c>
      <c r="GC916" s="319" t="s">
        <v>190</v>
      </c>
      <c r="GD916" s="319" t="s">
        <v>190</v>
      </c>
      <c r="GE916" s="319" t="s">
        <v>190</v>
      </c>
      <c r="GF916" s="319" t="s">
        <v>190</v>
      </c>
      <c r="GG916" s="319" t="s">
        <v>190</v>
      </c>
      <c r="GH916" s="319" t="s">
        <v>190</v>
      </c>
      <c r="GI916" s="319" t="s">
        <v>190</v>
      </c>
      <c r="GJ916" s="319" t="s">
        <v>190</v>
      </c>
      <c r="GK916" s="319" t="s">
        <v>428</v>
      </c>
      <c r="GL916" s="319" t="s">
        <v>190</v>
      </c>
      <c r="GM916" s="319" t="s">
        <v>190</v>
      </c>
      <c r="GN916" s="319" t="s">
        <v>190</v>
      </c>
      <c r="GO916" s="319" t="s">
        <v>190</v>
      </c>
      <c r="GP916" s="319" t="s">
        <v>190</v>
      </c>
      <c r="GQ916" s="319" t="s">
        <v>428</v>
      </c>
      <c r="GR916" s="319" t="s">
        <v>190</v>
      </c>
      <c r="GS916" s="319" t="s">
        <v>190</v>
      </c>
      <c r="GT916" s="319" t="s">
        <v>190</v>
      </c>
      <c r="GU916" s="319" t="s">
        <v>190</v>
      </c>
      <c r="GV916" s="319" t="s">
        <v>428</v>
      </c>
      <c r="GW916" s="319" t="s">
        <v>190</v>
      </c>
      <c r="GX916" s="319" t="s">
        <v>190</v>
      </c>
      <c r="GY916" s="319" t="s">
        <v>190</v>
      </c>
      <c r="GZ916" s="319" t="s">
        <v>190</v>
      </c>
      <c r="HA916" s="319" t="s">
        <v>428</v>
      </c>
      <c r="HB916" s="319" t="s">
        <v>428</v>
      </c>
      <c r="HC916" s="319" t="s">
        <v>190</v>
      </c>
      <c r="HD916" s="319" t="s">
        <v>190</v>
      </c>
      <c r="HE916" s="319" t="s">
        <v>190</v>
      </c>
      <c r="HF916" s="319" t="s">
        <v>190</v>
      </c>
      <c r="HG916" s="319" t="s">
        <v>190</v>
      </c>
      <c r="HH916" s="319" t="s">
        <v>190</v>
      </c>
      <c r="HI916" s="319" t="s">
        <v>190</v>
      </c>
      <c r="HJ916" s="319" t="s">
        <v>190</v>
      </c>
      <c r="HK916" s="319" t="s">
        <v>190</v>
      </c>
      <c r="HL916" s="319" t="s">
        <v>428</v>
      </c>
      <c r="HM916" s="319" t="s">
        <v>428</v>
      </c>
      <c r="HN916" s="319" t="s">
        <v>428</v>
      </c>
      <c r="HO916" s="319" t="s">
        <v>428</v>
      </c>
      <c r="HP916" s="319" t="s">
        <v>190</v>
      </c>
      <c r="HQ916" s="319" t="s">
        <v>190</v>
      </c>
      <c r="HR916" s="319" t="s">
        <v>190</v>
      </c>
      <c r="HS916" s="319" t="s">
        <v>190</v>
      </c>
      <c r="HT916" s="319" t="s">
        <v>190</v>
      </c>
      <c r="HU916" s="319" t="s">
        <v>190</v>
      </c>
      <c r="HV916" s="319" t="s">
        <v>190</v>
      </c>
      <c r="HW916" s="319" t="s">
        <v>190</v>
      </c>
      <c r="HX916" s="319" t="s">
        <v>190</v>
      </c>
      <c r="HY916" s="319" t="s">
        <v>190</v>
      </c>
      <c r="HZ916" s="319" t="s">
        <v>190</v>
      </c>
      <c r="IA916" s="319" t="s">
        <v>190</v>
      </c>
      <c r="IB916" s="319" t="s">
        <v>190</v>
      </c>
      <c r="IC916" s="319" t="s">
        <v>190</v>
      </c>
      <c r="ID916" s="319" t="s">
        <v>190</v>
      </c>
      <c r="IE916" s="319" t="s">
        <v>190</v>
      </c>
      <c r="IF916" s="319" t="s">
        <v>190</v>
      </c>
      <c r="IG916" s="319" t="s">
        <v>190</v>
      </c>
      <c r="IH916" s="319" t="s">
        <v>190</v>
      </c>
      <c r="II916" s="319" t="s">
        <v>190</v>
      </c>
      <c r="IJ916" s="319" t="s">
        <v>173</v>
      </c>
      <c r="IK916" s="319" t="s">
        <v>173</v>
      </c>
      <c r="IL916" s="319" t="s">
        <v>173</v>
      </c>
      <c r="IM916" s="319" t="s">
        <v>173</v>
      </c>
      <c r="IN916" s="319" t="s">
        <v>173</v>
      </c>
      <c r="IO916" s="319" t="s">
        <v>173</v>
      </c>
      <c r="IP916" s="319" t="s">
        <v>173</v>
      </c>
      <c r="IQ916" s="321" t="s">
        <v>173</v>
      </c>
      <c r="IR916" s="320" t="s">
        <v>173</v>
      </c>
      <c r="IS916" s="322" t="s">
        <v>173</v>
      </c>
      <c r="IT916" s="319" t="s">
        <v>173</v>
      </c>
    </row>
    <row r="917" spans="1:254" s="271" customFormat="1" x14ac:dyDescent="0.25">
      <c r="A917" s="318" t="str">
        <f>HYPERLINK("http://www.ofsted.gov.uk/inspection-reports/find-inspection-report/provider/ELS/144620 ","Ofsted School Webpage")</f>
        <v>Ofsted School Webpage</v>
      </c>
      <c r="B917" s="319">
        <v>144620</v>
      </c>
      <c r="C917" s="319">
        <v>3836005</v>
      </c>
      <c r="D917" s="319" t="s">
        <v>2449</v>
      </c>
      <c r="E917" s="319" t="s">
        <v>167</v>
      </c>
      <c r="F917" s="319" t="s">
        <v>81</v>
      </c>
      <c r="G917" s="319" t="s">
        <v>81</v>
      </c>
      <c r="H917" s="319" t="s">
        <v>81</v>
      </c>
      <c r="I917" s="319" t="s">
        <v>78</v>
      </c>
      <c r="J917" s="319" t="s">
        <v>424</v>
      </c>
      <c r="K917" s="319" t="s">
        <v>458</v>
      </c>
      <c r="L917" s="319" t="s">
        <v>459</v>
      </c>
      <c r="M917" s="319" t="s">
        <v>622</v>
      </c>
      <c r="N917" s="319" t="s">
        <v>2888</v>
      </c>
      <c r="O917" s="319" t="s">
        <v>2450</v>
      </c>
      <c r="P917" s="319">
        <v>38</v>
      </c>
      <c r="Q917" s="319" t="s">
        <v>2766</v>
      </c>
      <c r="R917" s="320">
        <v>10110727</v>
      </c>
      <c r="S917" s="321">
        <v>43788</v>
      </c>
      <c r="T917" s="321">
        <v>43790</v>
      </c>
      <c r="U917" s="321">
        <v>43815</v>
      </c>
      <c r="V917" s="319" t="s">
        <v>425</v>
      </c>
      <c r="W917" s="319" t="s">
        <v>2767</v>
      </c>
      <c r="X917" s="319">
        <v>2</v>
      </c>
      <c r="Y917" s="319">
        <v>2</v>
      </c>
      <c r="Z917" s="319">
        <v>2</v>
      </c>
      <c r="AA917" s="319">
        <v>2</v>
      </c>
      <c r="AB917" s="319">
        <v>2</v>
      </c>
      <c r="AC917" s="319" t="s">
        <v>169</v>
      </c>
      <c r="AD917" s="319" t="s">
        <v>173</v>
      </c>
      <c r="AE917" s="319" t="s">
        <v>173</v>
      </c>
      <c r="AF917" s="319" t="s">
        <v>427</v>
      </c>
      <c r="AG917" s="319" t="s">
        <v>171</v>
      </c>
      <c r="AH917" s="319" t="s">
        <v>190</v>
      </c>
      <c r="AI917" s="319" t="s">
        <v>190</v>
      </c>
      <c r="AJ917" s="319" t="s">
        <v>190</v>
      </c>
      <c r="AK917" s="319" t="s">
        <v>190</v>
      </c>
      <c r="AL917" s="319" t="s">
        <v>190</v>
      </c>
      <c r="AM917" s="319" t="s">
        <v>190</v>
      </c>
      <c r="AN917" s="319" t="s">
        <v>190</v>
      </c>
      <c r="AO917" s="319" t="s">
        <v>190</v>
      </c>
      <c r="AP917" s="319" t="s">
        <v>190</v>
      </c>
      <c r="AQ917" s="319" t="s">
        <v>190</v>
      </c>
      <c r="AR917" s="319" t="s">
        <v>190</v>
      </c>
      <c r="AS917" s="319" t="s">
        <v>190</v>
      </c>
      <c r="AT917" s="319" t="s">
        <v>190</v>
      </c>
      <c r="AU917" s="319" t="s">
        <v>190</v>
      </c>
      <c r="AV917" s="319" t="s">
        <v>190</v>
      </c>
      <c r="AW917" s="319" t="s">
        <v>190</v>
      </c>
      <c r="AX917" s="319" t="s">
        <v>190</v>
      </c>
      <c r="AY917" s="319" t="s">
        <v>190</v>
      </c>
      <c r="AZ917" s="319" t="s">
        <v>190</v>
      </c>
      <c r="BA917" s="319" t="s">
        <v>190</v>
      </c>
      <c r="BB917" s="319" t="s">
        <v>428</v>
      </c>
      <c r="BC917" s="319" t="s">
        <v>428</v>
      </c>
      <c r="BD917" s="319" t="s">
        <v>428</v>
      </c>
      <c r="BE917" s="319" t="s">
        <v>190</v>
      </c>
      <c r="BF917" s="319" t="s">
        <v>190</v>
      </c>
      <c r="BG917" s="319" t="s">
        <v>428</v>
      </c>
      <c r="BH917" s="319" t="s">
        <v>190</v>
      </c>
      <c r="BI917" s="319" t="s">
        <v>190</v>
      </c>
      <c r="BJ917" s="319" t="s">
        <v>190</v>
      </c>
      <c r="BK917" s="319" t="s">
        <v>190</v>
      </c>
      <c r="BL917" s="319" t="s">
        <v>190</v>
      </c>
      <c r="BM917" s="319" t="s">
        <v>190</v>
      </c>
      <c r="BN917" s="319" t="s">
        <v>190</v>
      </c>
      <c r="BO917" s="319" t="s">
        <v>190</v>
      </c>
      <c r="BP917" s="319" t="s">
        <v>190</v>
      </c>
      <c r="BQ917" s="319" t="s">
        <v>190</v>
      </c>
      <c r="BR917" s="319" t="s">
        <v>190</v>
      </c>
      <c r="BS917" s="319" t="s">
        <v>190</v>
      </c>
      <c r="BT917" s="319" t="s">
        <v>190</v>
      </c>
      <c r="BU917" s="319" t="s">
        <v>190</v>
      </c>
      <c r="BV917" s="319" t="s">
        <v>190</v>
      </c>
      <c r="BW917" s="319" t="s">
        <v>190</v>
      </c>
      <c r="BX917" s="319" t="s">
        <v>190</v>
      </c>
      <c r="BY917" s="319" t="s">
        <v>190</v>
      </c>
      <c r="BZ917" s="319" t="s">
        <v>190</v>
      </c>
      <c r="CA917" s="319" t="s">
        <v>190</v>
      </c>
      <c r="CB917" s="319" t="s">
        <v>190</v>
      </c>
      <c r="CC917" s="319" t="s">
        <v>190</v>
      </c>
      <c r="CD917" s="319" t="s">
        <v>190</v>
      </c>
      <c r="CE917" s="319" t="s">
        <v>190</v>
      </c>
      <c r="CF917" s="319" t="s">
        <v>190</v>
      </c>
      <c r="CG917" s="319" t="s">
        <v>190</v>
      </c>
      <c r="CH917" s="319" t="s">
        <v>190</v>
      </c>
      <c r="CI917" s="319" t="s">
        <v>190</v>
      </c>
      <c r="CJ917" s="319" t="s">
        <v>190</v>
      </c>
      <c r="CK917" s="319" t="s">
        <v>190</v>
      </c>
      <c r="CL917" s="319" t="s">
        <v>190</v>
      </c>
      <c r="CM917" s="319" t="s">
        <v>190</v>
      </c>
      <c r="CN917" s="319" t="s">
        <v>428</v>
      </c>
      <c r="CO917" s="319" t="s">
        <v>428</v>
      </c>
      <c r="CP917" s="319" t="s">
        <v>428</v>
      </c>
      <c r="CQ917" s="319" t="s">
        <v>190</v>
      </c>
      <c r="CR917" s="319" t="s">
        <v>190</v>
      </c>
      <c r="CS917" s="319" t="s">
        <v>190</v>
      </c>
      <c r="CT917" s="319" t="s">
        <v>190</v>
      </c>
      <c r="CU917" s="319" t="s">
        <v>190</v>
      </c>
      <c r="CV917" s="319" t="s">
        <v>190</v>
      </c>
      <c r="CW917" s="319" t="s">
        <v>190</v>
      </c>
      <c r="CX917" s="319" t="s">
        <v>190</v>
      </c>
      <c r="CY917" s="319" t="s">
        <v>190</v>
      </c>
      <c r="CZ917" s="319" t="s">
        <v>190</v>
      </c>
      <c r="DA917" s="319" t="s">
        <v>190</v>
      </c>
      <c r="DB917" s="319" t="s">
        <v>190</v>
      </c>
      <c r="DC917" s="319" t="s">
        <v>190</v>
      </c>
      <c r="DD917" s="319" t="s">
        <v>190</v>
      </c>
      <c r="DE917" s="319" t="s">
        <v>190</v>
      </c>
      <c r="DF917" s="319" t="s">
        <v>190</v>
      </c>
      <c r="DG917" s="319" t="s">
        <v>190</v>
      </c>
      <c r="DH917" s="319" t="s">
        <v>190</v>
      </c>
      <c r="DI917" s="319" t="s">
        <v>190</v>
      </c>
      <c r="DJ917" s="319" t="s">
        <v>190</v>
      </c>
      <c r="DK917" s="319" t="s">
        <v>190</v>
      </c>
      <c r="DL917" s="319" t="s">
        <v>190</v>
      </c>
      <c r="DM917" s="319" t="s">
        <v>190</v>
      </c>
      <c r="DN917" s="319" t="s">
        <v>428</v>
      </c>
      <c r="DO917" s="319" t="s">
        <v>190</v>
      </c>
      <c r="DP917" s="319" t="s">
        <v>428</v>
      </c>
      <c r="DQ917" s="319" t="s">
        <v>428</v>
      </c>
      <c r="DR917" s="319" t="s">
        <v>428</v>
      </c>
      <c r="DS917" s="319" t="s">
        <v>428</v>
      </c>
      <c r="DT917" s="319" t="s">
        <v>428</v>
      </c>
      <c r="DU917" s="319" t="s">
        <v>428</v>
      </c>
      <c r="DV917" s="319" t="s">
        <v>428</v>
      </c>
      <c r="DW917" s="319" t="s">
        <v>428</v>
      </c>
      <c r="DX917" s="319" t="s">
        <v>428</v>
      </c>
      <c r="DY917" s="319" t="s">
        <v>428</v>
      </c>
      <c r="DZ917" s="319" t="s">
        <v>428</v>
      </c>
      <c r="EA917" s="319" t="s">
        <v>428</v>
      </c>
      <c r="EB917" s="319" t="s">
        <v>428</v>
      </c>
      <c r="EC917" s="319" t="s">
        <v>428</v>
      </c>
      <c r="ED917" s="319" t="s">
        <v>428</v>
      </c>
      <c r="EE917" s="319" t="s">
        <v>190</v>
      </c>
      <c r="EF917" s="319" t="s">
        <v>190</v>
      </c>
      <c r="EG917" s="319" t="s">
        <v>190</v>
      </c>
      <c r="EH917" s="319" t="s">
        <v>190</v>
      </c>
      <c r="EI917" s="319" t="s">
        <v>190</v>
      </c>
      <c r="EJ917" s="319" t="s">
        <v>190</v>
      </c>
      <c r="EK917" s="319" t="s">
        <v>190</v>
      </c>
      <c r="EL917" s="319" t="s">
        <v>190</v>
      </c>
      <c r="EM917" s="319" t="s">
        <v>190</v>
      </c>
      <c r="EN917" s="319" t="s">
        <v>190</v>
      </c>
      <c r="EO917" s="319" t="s">
        <v>190</v>
      </c>
      <c r="EP917" s="319" t="s">
        <v>190</v>
      </c>
      <c r="EQ917" s="319" t="s">
        <v>190</v>
      </c>
      <c r="ER917" s="319" t="s">
        <v>190</v>
      </c>
      <c r="ES917" s="319" t="s">
        <v>190</v>
      </c>
      <c r="ET917" s="319" t="s">
        <v>190</v>
      </c>
      <c r="EU917" s="319" t="s">
        <v>190</v>
      </c>
      <c r="EV917" s="319" t="s">
        <v>190</v>
      </c>
      <c r="EW917" s="319" t="s">
        <v>190</v>
      </c>
      <c r="EX917" s="319" t="s">
        <v>190</v>
      </c>
      <c r="EY917" s="319" t="s">
        <v>190</v>
      </c>
      <c r="EZ917" s="319" t="s">
        <v>190</v>
      </c>
      <c r="FA917" s="319" t="s">
        <v>190</v>
      </c>
      <c r="FB917" s="319" t="s">
        <v>190</v>
      </c>
      <c r="FC917" s="319" t="s">
        <v>190</v>
      </c>
      <c r="FD917" s="319" t="s">
        <v>190</v>
      </c>
      <c r="FE917" s="319" t="s">
        <v>190</v>
      </c>
      <c r="FF917" s="319" t="s">
        <v>190</v>
      </c>
      <c r="FG917" s="319" t="s">
        <v>190</v>
      </c>
      <c r="FH917" s="319" t="s">
        <v>190</v>
      </c>
      <c r="FI917" s="319" t="s">
        <v>190</v>
      </c>
      <c r="FJ917" s="319" t="s">
        <v>190</v>
      </c>
      <c r="FK917" s="319" t="s">
        <v>190</v>
      </c>
      <c r="FL917" s="319" t="s">
        <v>190</v>
      </c>
      <c r="FM917" s="319" t="s">
        <v>190</v>
      </c>
      <c r="FN917" s="319" t="s">
        <v>190</v>
      </c>
      <c r="FO917" s="319" t="s">
        <v>428</v>
      </c>
      <c r="FP917" s="319" t="s">
        <v>190</v>
      </c>
      <c r="FQ917" s="319" t="s">
        <v>190</v>
      </c>
      <c r="FR917" s="319" t="s">
        <v>190</v>
      </c>
      <c r="FS917" s="319" t="s">
        <v>428</v>
      </c>
      <c r="FT917" s="319" t="s">
        <v>190</v>
      </c>
      <c r="FU917" s="319" t="s">
        <v>190</v>
      </c>
      <c r="FV917" s="319" t="s">
        <v>190</v>
      </c>
      <c r="FW917" s="319" t="s">
        <v>190</v>
      </c>
      <c r="FX917" s="319" t="s">
        <v>190</v>
      </c>
      <c r="FY917" s="319" t="s">
        <v>190</v>
      </c>
      <c r="FZ917" s="319" t="s">
        <v>190</v>
      </c>
      <c r="GA917" s="319" t="s">
        <v>190</v>
      </c>
      <c r="GB917" s="319" t="s">
        <v>190</v>
      </c>
      <c r="GC917" s="319" t="s">
        <v>190</v>
      </c>
      <c r="GD917" s="319" t="s">
        <v>190</v>
      </c>
      <c r="GE917" s="319" t="s">
        <v>190</v>
      </c>
      <c r="GF917" s="319" t="s">
        <v>190</v>
      </c>
      <c r="GG917" s="319" t="s">
        <v>190</v>
      </c>
      <c r="GH917" s="319" t="s">
        <v>190</v>
      </c>
      <c r="GI917" s="319" t="s">
        <v>190</v>
      </c>
      <c r="GJ917" s="319" t="s">
        <v>190</v>
      </c>
      <c r="GK917" s="319" t="s">
        <v>190</v>
      </c>
      <c r="GL917" s="319" t="s">
        <v>190</v>
      </c>
      <c r="GM917" s="319" t="s">
        <v>190</v>
      </c>
      <c r="GN917" s="319" t="s">
        <v>190</v>
      </c>
      <c r="GO917" s="319" t="s">
        <v>190</v>
      </c>
      <c r="GP917" s="319" t="s">
        <v>190</v>
      </c>
      <c r="GQ917" s="319" t="s">
        <v>428</v>
      </c>
      <c r="GR917" s="319" t="s">
        <v>190</v>
      </c>
      <c r="GS917" s="319" t="s">
        <v>190</v>
      </c>
      <c r="GT917" s="319" t="s">
        <v>190</v>
      </c>
      <c r="GU917" s="319" t="s">
        <v>190</v>
      </c>
      <c r="GV917" s="319" t="s">
        <v>190</v>
      </c>
      <c r="GW917" s="319" t="s">
        <v>190</v>
      </c>
      <c r="GX917" s="319" t="s">
        <v>190</v>
      </c>
      <c r="GY917" s="319" t="s">
        <v>190</v>
      </c>
      <c r="GZ917" s="319" t="s">
        <v>190</v>
      </c>
      <c r="HA917" s="319" t="s">
        <v>190</v>
      </c>
      <c r="HB917" s="319" t="s">
        <v>190</v>
      </c>
      <c r="HC917" s="319" t="s">
        <v>190</v>
      </c>
      <c r="HD917" s="319" t="s">
        <v>190</v>
      </c>
      <c r="HE917" s="319" t="s">
        <v>190</v>
      </c>
      <c r="HF917" s="319" t="s">
        <v>190</v>
      </c>
      <c r="HG917" s="319" t="s">
        <v>190</v>
      </c>
      <c r="HH917" s="319" t="s">
        <v>190</v>
      </c>
      <c r="HI917" s="319" t="s">
        <v>190</v>
      </c>
      <c r="HJ917" s="319" t="s">
        <v>190</v>
      </c>
      <c r="HK917" s="319" t="s">
        <v>190</v>
      </c>
      <c r="HL917" s="319" t="s">
        <v>190</v>
      </c>
      <c r="HM917" s="319" t="s">
        <v>190</v>
      </c>
      <c r="HN917" s="319" t="s">
        <v>190</v>
      </c>
      <c r="HO917" s="319" t="s">
        <v>190</v>
      </c>
      <c r="HP917" s="319" t="s">
        <v>190</v>
      </c>
      <c r="HQ917" s="319" t="s">
        <v>190</v>
      </c>
      <c r="HR917" s="319" t="s">
        <v>190</v>
      </c>
      <c r="HS917" s="319" t="s">
        <v>190</v>
      </c>
      <c r="HT917" s="319" t="s">
        <v>190</v>
      </c>
      <c r="HU917" s="319" t="s">
        <v>190</v>
      </c>
      <c r="HV917" s="319" t="s">
        <v>190</v>
      </c>
      <c r="HW917" s="319" t="s">
        <v>190</v>
      </c>
      <c r="HX917" s="319" t="s">
        <v>190</v>
      </c>
      <c r="HY917" s="319" t="s">
        <v>190</v>
      </c>
      <c r="HZ917" s="319" t="s">
        <v>190</v>
      </c>
      <c r="IA917" s="319" t="s">
        <v>190</v>
      </c>
      <c r="IB917" s="319" t="s">
        <v>190</v>
      </c>
      <c r="IC917" s="319" t="s">
        <v>190</v>
      </c>
      <c r="ID917" s="319" t="s">
        <v>190</v>
      </c>
      <c r="IE917" s="319" t="s">
        <v>190</v>
      </c>
      <c r="IF917" s="319" t="s">
        <v>190</v>
      </c>
      <c r="IG917" s="319" t="s">
        <v>190</v>
      </c>
      <c r="IH917" s="319" t="s">
        <v>190</v>
      </c>
      <c r="II917" s="319" t="s">
        <v>190</v>
      </c>
      <c r="IJ917" s="319">
        <v>10046958</v>
      </c>
      <c r="IK917" s="321">
        <v>43263</v>
      </c>
      <c r="IL917" s="321">
        <v>43265</v>
      </c>
      <c r="IM917" s="321">
        <v>43355</v>
      </c>
      <c r="IN917" s="319">
        <v>3</v>
      </c>
      <c r="IO917" s="319" t="s">
        <v>173</v>
      </c>
      <c r="IP917" s="319" t="s">
        <v>173</v>
      </c>
      <c r="IQ917" s="321" t="s">
        <v>173</v>
      </c>
      <c r="IR917" s="320" t="s">
        <v>173</v>
      </c>
      <c r="IS917" s="322" t="s">
        <v>173</v>
      </c>
      <c r="IT917" s="319" t="s">
        <v>173</v>
      </c>
    </row>
    <row r="918" spans="1:254" s="271" customFormat="1" x14ac:dyDescent="0.25">
      <c r="A918" s="318" t="str">
        <f>HYPERLINK("http://www.ofsted.gov.uk/inspection-reports/find-inspection-report/provider/ELS/144717 ","Ofsted School Webpage")</f>
        <v>Ofsted School Webpage</v>
      </c>
      <c r="B918" s="319">
        <v>144717</v>
      </c>
      <c r="C918" s="319">
        <v>8846016</v>
      </c>
      <c r="D918" s="319" t="s">
        <v>2451</v>
      </c>
      <c r="E918" s="319" t="s">
        <v>167</v>
      </c>
      <c r="F918" s="319" t="s">
        <v>81</v>
      </c>
      <c r="G918" s="319" t="s">
        <v>81</v>
      </c>
      <c r="H918" s="319" t="s">
        <v>81</v>
      </c>
      <c r="I918" s="319" t="s">
        <v>78</v>
      </c>
      <c r="J918" s="319" t="s">
        <v>424</v>
      </c>
      <c r="K918" s="319" t="s">
        <v>437</v>
      </c>
      <c r="L918" s="319" t="s">
        <v>437</v>
      </c>
      <c r="M918" s="319" t="s">
        <v>1100</v>
      </c>
      <c r="N918" s="319" t="s">
        <v>2965</v>
      </c>
      <c r="O918" s="319" t="s">
        <v>2452</v>
      </c>
      <c r="P918" s="319">
        <v>4</v>
      </c>
      <c r="Q918" s="319" t="s">
        <v>2776</v>
      </c>
      <c r="R918" s="320">
        <v>10045272</v>
      </c>
      <c r="S918" s="321">
        <v>43228</v>
      </c>
      <c r="T918" s="321">
        <v>43230</v>
      </c>
      <c r="U918" s="321">
        <v>43269</v>
      </c>
      <c r="V918" s="319" t="s">
        <v>435</v>
      </c>
      <c r="W918" s="319" t="s">
        <v>2767</v>
      </c>
      <c r="X918" s="319">
        <v>3</v>
      </c>
      <c r="Y918" s="319" t="s">
        <v>173</v>
      </c>
      <c r="Z918" s="319" t="s">
        <v>173</v>
      </c>
      <c r="AA918" s="319" t="s">
        <v>173</v>
      </c>
      <c r="AB918" s="319">
        <v>3</v>
      </c>
      <c r="AC918" s="319" t="s">
        <v>169</v>
      </c>
      <c r="AD918" s="319" t="s">
        <v>173</v>
      </c>
      <c r="AE918" s="319" t="s">
        <v>173</v>
      </c>
      <c r="AF918" s="319" t="s">
        <v>427</v>
      </c>
      <c r="AG918" s="319" t="s">
        <v>172</v>
      </c>
      <c r="AH918" s="319" t="s">
        <v>479</v>
      </c>
      <c r="AI918" s="319" t="s">
        <v>190</v>
      </c>
      <c r="AJ918" s="319" t="s">
        <v>479</v>
      </c>
      <c r="AK918" s="319" t="s">
        <v>190</v>
      </c>
      <c r="AL918" s="319" t="s">
        <v>190</v>
      </c>
      <c r="AM918" s="319" t="s">
        <v>190</v>
      </c>
      <c r="AN918" s="319" t="s">
        <v>190</v>
      </c>
      <c r="AO918" s="319" t="s">
        <v>479</v>
      </c>
      <c r="AP918" s="319" t="s">
        <v>190</v>
      </c>
      <c r="AQ918" s="319" t="s">
        <v>190</v>
      </c>
      <c r="AR918" s="319" t="s">
        <v>190</v>
      </c>
      <c r="AS918" s="319" t="s">
        <v>190</v>
      </c>
      <c r="AT918" s="319" t="s">
        <v>190</v>
      </c>
      <c r="AU918" s="319" t="s">
        <v>190</v>
      </c>
      <c r="AV918" s="319" t="s">
        <v>190</v>
      </c>
      <c r="AW918" s="319" t="s">
        <v>190</v>
      </c>
      <c r="AX918" s="319" t="s">
        <v>428</v>
      </c>
      <c r="AY918" s="319" t="s">
        <v>190</v>
      </c>
      <c r="AZ918" s="319" t="s">
        <v>190</v>
      </c>
      <c r="BA918" s="319" t="s">
        <v>190</v>
      </c>
      <c r="BB918" s="319" t="s">
        <v>190</v>
      </c>
      <c r="BC918" s="319" t="s">
        <v>190</v>
      </c>
      <c r="BD918" s="319" t="s">
        <v>190</v>
      </c>
      <c r="BE918" s="319" t="s">
        <v>190</v>
      </c>
      <c r="BF918" s="319" t="s">
        <v>428</v>
      </c>
      <c r="BG918" s="319" t="s">
        <v>428</v>
      </c>
      <c r="BH918" s="319" t="s">
        <v>190</v>
      </c>
      <c r="BI918" s="319" t="s">
        <v>190</v>
      </c>
      <c r="BJ918" s="319" t="s">
        <v>191</v>
      </c>
      <c r="BK918" s="319" t="s">
        <v>191</v>
      </c>
      <c r="BL918" s="319" t="s">
        <v>190</v>
      </c>
      <c r="BM918" s="319" t="s">
        <v>191</v>
      </c>
      <c r="BN918" s="319" t="s">
        <v>191</v>
      </c>
      <c r="BO918" s="319" t="s">
        <v>190</v>
      </c>
      <c r="BP918" s="319" t="s">
        <v>190</v>
      </c>
      <c r="BQ918" s="319" t="s">
        <v>191</v>
      </c>
      <c r="BR918" s="319" t="s">
        <v>191</v>
      </c>
      <c r="BS918" s="319" t="s">
        <v>190</v>
      </c>
      <c r="BT918" s="319" t="s">
        <v>190</v>
      </c>
      <c r="BU918" s="319" t="s">
        <v>190</v>
      </c>
      <c r="BV918" s="319" t="s">
        <v>190</v>
      </c>
      <c r="BW918" s="319" t="s">
        <v>190</v>
      </c>
      <c r="BX918" s="319" t="s">
        <v>190</v>
      </c>
      <c r="BY918" s="319" t="s">
        <v>190</v>
      </c>
      <c r="BZ918" s="319" t="s">
        <v>190</v>
      </c>
      <c r="CA918" s="319" t="s">
        <v>190</v>
      </c>
      <c r="CB918" s="319" t="s">
        <v>190</v>
      </c>
      <c r="CC918" s="319" t="s">
        <v>190</v>
      </c>
      <c r="CD918" s="319" t="s">
        <v>190</v>
      </c>
      <c r="CE918" s="319" t="s">
        <v>190</v>
      </c>
      <c r="CF918" s="319" t="s">
        <v>190</v>
      </c>
      <c r="CG918" s="319" t="s">
        <v>190</v>
      </c>
      <c r="CH918" s="319" t="s">
        <v>190</v>
      </c>
      <c r="CI918" s="319" t="s">
        <v>190</v>
      </c>
      <c r="CJ918" s="319" t="s">
        <v>190</v>
      </c>
      <c r="CK918" s="319" t="s">
        <v>190</v>
      </c>
      <c r="CL918" s="319" t="s">
        <v>190</v>
      </c>
      <c r="CM918" s="319" t="s">
        <v>190</v>
      </c>
      <c r="CN918" s="319" t="s">
        <v>428</v>
      </c>
      <c r="CO918" s="319" t="s">
        <v>428</v>
      </c>
      <c r="CP918" s="319" t="s">
        <v>428</v>
      </c>
      <c r="CQ918" s="319" t="s">
        <v>191</v>
      </c>
      <c r="CR918" s="319" t="s">
        <v>190</v>
      </c>
      <c r="CS918" s="319" t="s">
        <v>191</v>
      </c>
      <c r="CT918" s="319" t="s">
        <v>190</v>
      </c>
      <c r="CU918" s="319" t="s">
        <v>190</v>
      </c>
      <c r="CV918" s="319" t="s">
        <v>190</v>
      </c>
      <c r="CW918" s="319" t="s">
        <v>190</v>
      </c>
      <c r="CX918" s="319" t="s">
        <v>190</v>
      </c>
      <c r="CY918" s="319" t="s">
        <v>190</v>
      </c>
      <c r="CZ918" s="319" t="s">
        <v>190</v>
      </c>
      <c r="DA918" s="319" t="s">
        <v>190</v>
      </c>
      <c r="DB918" s="319" t="s">
        <v>190</v>
      </c>
      <c r="DC918" s="319" t="s">
        <v>190</v>
      </c>
      <c r="DD918" s="319" t="s">
        <v>190</v>
      </c>
      <c r="DE918" s="319" t="s">
        <v>190</v>
      </c>
      <c r="DF918" s="319" t="s">
        <v>190</v>
      </c>
      <c r="DG918" s="319" t="s">
        <v>190</v>
      </c>
      <c r="DH918" s="319" t="s">
        <v>190</v>
      </c>
      <c r="DI918" s="319" t="s">
        <v>190</v>
      </c>
      <c r="DJ918" s="319" t="s">
        <v>190</v>
      </c>
      <c r="DK918" s="319" t="s">
        <v>190</v>
      </c>
      <c r="DL918" s="319" t="s">
        <v>190</v>
      </c>
      <c r="DM918" s="319" t="s">
        <v>190</v>
      </c>
      <c r="DN918" s="319" t="s">
        <v>428</v>
      </c>
      <c r="DO918" s="319" t="s">
        <v>190</v>
      </c>
      <c r="DP918" s="319" t="s">
        <v>428</v>
      </c>
      <c r="DQ918" s="319" t="s">
        <v>428</v>
      </c>
      <c r="DR918" s="319" t="s">
        <v>428</v>
      </c>
      <c r="DS918" s="319" t="s">
        <v>428</v>
      </c>
      <c r="DT918" s="319" t="s">
        <v>428</v>
      </c>
      <c r="DU918" s="319" t="s">
        <v>428</v>
      </c>
      <c r="DV918" s="319" t="s">
        <v>173</v>
      </c>
      <c r="DW918" s="319" t="s">
        <v>428</v>
      </c>
      <c r="DX918" s="319" t="s">
        <v>428</v>
      </c>
      <c r="DY918" s="319" t="s">
        <v>428</v>
      </c>
      <c r="DZ918" s="319" t="s">
        <v>428</v>
      </c>
      <c r="EA918" s="319" t="s">
        <v>428</v>
      </c>
      <c r="EB918" s="319" t="s">
        <v>428</v>
      </c>
      <c r="EC918" s="319" t="s">
        <v>428</v>
      </c>
      <c r="ED918" s="319" t="s">
        <v>190</v>
      </c>
      <c r="EE918" s="319" t="s">
        <v>190</v>
      </c>
      <c r="EF918" s="319" t="s">
        <v>190</v>
      </c>
      <c r="EG918" s="319" t="s">
        <v>190</v>
      </c>
      <c r="EH918" s="319" t="s">
        <v>190</v>
      </c>
      <c r="EI918" s="319" t="s">
        <v>190</v>
      </c>
      <c r="EJ918" s="319" t="s">
        <v>190</v>
      </c>
      <c r="EK918" s="319" t="s">
        <v>190</v>
      </c>
      <c r="EL918" s="319" t="s">
        <v>190</v>
      </c>
      <c r="EM918" s="319" t="s">
        <v>190</v>
      </c>
      <c r="EN918" s="319" t="s">
        <v>190</v>
      </c>
      <c r="EO918" s="319" t="s">
        <v>190</v>
      </c>
      <c r="EP918" s="319" t="s">
        <v>190</v>
      </c>
      <c r="EQ918" s="319" t="s">
        <v>190</v>
      </c>
      <c r="ER918" s="319" t="s">
        <v>190</v>
      </c>
      <c r="ES918" s="319" t="s">
        <v>190</v>
      </c>
      <c r="ET918" s="319" t="s">
        <v>190</v>
      </c>
      <c r="EU918" s="319" t="s">
        <v>190</v>
      </c>
      <c r="EV918" s="319" t="s">
        <v>190</v>
      </c>
      <c r="EW918" s="319" t="s">
        <v>190</v>
      </c>
      <c r="EX918" s="319" t="s">
        <v>190</v>
      </c>
      <c r="EY918" s="319" t="s">
        <v>190</v>
      </c>
      <c r="EZ918" s="319" t="s">
        <v>190</v>
      </c>
      <c r="FA918" s="319" t="s">
        <v>428</v>
      </c>
      <c r="FB918" s="319" t="s">
        <v>428</v>
      </c>
      <c r="FC918" s="319" t="s">
        <v>428</v>
      </c>
      <c r="FD918" s="319" t="s">
        <v>428</v>
      </c>
      <c r="FE918" s="319" t="s">
        <v>428</v>
      </c>
      <c r="FF918" s="319" t="s">
        <v>428</v>
      </c>
      <c r="FG918" s="319" t="s">
        <v>428</v>
      </c>
      <c r="FH918" s="319" t="s">
        <v>190</v>
      </c>
      <c r="FI918" s="319" t="s">
        <v>190</v>
      </c>
      <c r="FJ918" s="319" t="s">
        <v>190</v>
      </c>
      <c r="FK918" s="319" t="s">
        <v>190</v>
      </c>
      <c r="FL918" s="319" t="s">
        <v>190</v>
      </c>
      <c r="FM918" s="319" t="s">
        <v>190</v>
      </c>
      <c r="FN918" s="319" t="s">
        <v>428</v>
      </c>
      <c r="FO918" s="319" t="s">
        <v>190</v>
      </c>
      <c r="FP918" s="319" t="s">
        <v>190</v>
      </c>
      <c r="FQ918" s="319" t="s">
        <v>190</v>
      </c>
      <c r="FR918" s="319" t="s">
        <v>190</v>
      </c>
      <c r="FS918" s="319" t="s">
        <v>428</v>
      </c>
      <c r="FT918" s="319" t="s">
        <v>190</v>
      </c>
      <c r="FU918" s="319" t="s">
        <v>190</v>
      </c>
      <c r="FV918" s="319" t="s">
        <v>190</v>
      </c>
      <c r="FW918" s="319" t="s">
        <v>190</v>
      </c>
      <c r="FX918" s="319" t="s">
        <v>190</v>
      </c>
      <c r="FY918" s="319" t="s">
        <v>190</v>
      </c>
      <c r="FZ918" s="319" t="s">
        <v>190</v>
      </c>
      <c r="GA918" s="319" t="s">
        <v>190</v>
      </c>
      <c r="GB918" s="319" t="s">
        <v>190</v>
      </c>
      <c r="GC918" s="319" t="s">
        <v>190</v>
      </c>
      <c r="GD918" s="319" t="s">
        <v>190</v>
      </c>
      <c r="GE918" s="319" t="s">
        <v>190</v>
      </c>
      <c r="GF918" s="319" t="s">
        <v>190</v>
      </c>
      <c r="GG918" s="319" t="s">
        <v>190</v>
      </c>
      <c r="GH918" s="319" t="s">
        <v>190</v>
      </c>
      <c r="GI918" s="319" t="s">
        <v>190</v>
      </c>
      <c r="GJ918" s="319" t="s">
        <v>190</v>
      </c>
      <c r="GK918" s="319" t="s">
        <v>428</v>
      </c>
      <c r="GL918" s="319" t="s">
        <v>190</v>
      </c>
      <c r="GM918" s="319" t="s">
        <v>190</v>
      </c>
      <c r="GN918" s="319" t="s">
        <v>190</v>
      </c>
      <c r="GO918" s="319" t="s">
        <v>190</v>
      </c>
      <c r="GP918" s="319" t="s">
        <v>428</v>
      </c>
      <c r="GQ918" s="319" t="s">
        <v>428</v>
      </c>
      <c r="GR918" s="319" t="s">
        <v>190</v>
      </c>
      <c r="GS918" s="319" t="s">
        <v>190</v>
      </c>
      <c r="GT918" s="319" t="s">
        <v>190</v>
      </c>
      <c r="GU918" s="319" t="s">
        <v>190</v>
      </c>
      <c r="GV918" s="319" t="s">
        <v>190</v>
      </c>
      <c r="GW918" s="319" t="s">
        <v>190</v>
      </c>
      <c r="GX918" s="319" t="s">
        <v>190</v>
      </c>
      <c r="GY918" s="319" t="s">
        <v>190</v>
      </c>
      <c r="GZ918" s="319" t="s">
        <v>428</v>
      </c>
      <c r="HA918" s="319" t="s">
        <v>190</v>
      </c>
      <c r="HB918" s="319" t="s">
        <v>190</v>
      </c>
      <c r="HC918" s="319" t="s">
        <v>190</v>
      </c>
      <c r="HD918" s="319" t="s">
        <v>190</v>
      </c>
      <c r="HE918" s="319" t="s">
        <v>190</v>
      </c>
      <c r="HF918" s="319" t="s">
        <v>190</v>
      </c>
      <c r="HG918" s="319" t="s">
        <v>190</v>
      </c>
      <c r="HH918" s="319" t="s">
        <v>190</v>
      </c>
      <c r="HI918" s="319" t="s">
        <v>190</v>
      </c>
      <c r="HJ918" s="319" t="s">
        <v>190</v>
      </c>
      <c r="HK918" s="319" t="s">
        <v>428</v>
      </c>
      <c r="HL918" s="319" t="s">
        <v>190</v>
      </c>
      <c r="HM918" s="319" t="s">
        <v>428</v>
      </c>
      <c r="HN918" s="319" t="s">
        <v>428</v>
      </c>
      <c r="HO918" s="319" t="s">
        <v>428</v>
      </c>
      <c r="HP918" s="319" t="s">
        <v>190</v>
      </c>
      <c r="HQ918" s="319" t="s">
        <v>190</v>
      </c>
      <c r="HR918" s="319" t="s">
        <v>190</v>
      </c>
      <c r="HS918" s="319" t="s">
        <v>190</v>
      </c>
      <c r="HT918" s="319" t="s">
        <v>190</v>
      </c>
      <c r="HU918" s="319" t="s">
        <v>190</v>
      </c>
      <c r="HV918" s="319" t="s">
        <v>190</v>
      </c>
      <c r="HW918" s="319" t="s">
        <v>190</v>
      </c>
      <c r="HX918" s="319" t="s">
        <v>190</v>
      </c>
      <c r="HY918" s="319" t="s">
        <v>190</v>
      </c>
      <c r="HZ918" s="319" t="s">
        <v>190</v>
      </c>
      <c r="IA918" s="319" t="s">
        <v>190</v>
      </c>
      <c r="IB918" s="319" t="s">
        <v>190</v>
      </c>
      <c r="IC918" s="319" t="s">
        <v>190</v>
      </c>
      <c r="ID918" s="319" t="s">
        <v>190</v>
      </c>
      <c r="IE918" s="319" t="s">
        <v>190</v>
      </c>
      <c r="IF918" s="319" t="s">
        <v>191</v>
      </c>
      <c r="IG918" s="319" t="s">
        <v>191</v>
      </c>
      <c r="IH918" s="319" t="s">
        <v>191</v>
      </c>
      <c r="II918" s="319" t="s">
        <v>190</v>
      </c>
      <c r="IJ918" s="319" t="s">
        <v>173</v>
      </c>
      <c r="IK918" s="319" t="s">
        <v>173</v>
      </c>
      <c r="IL918" s="319" t="s">
        <v>173</v>
      </c>
      <c r="IM918" s="319" t="s">
        <v>173</v>
      </c>
      <c r="IN918" s="319" t="s">
        <v>173</v>
      </c>
      <c r="IO918" s="319">
        <v>10094624</v>
      </c>
      <c r="IP918" s="319" t="s">
        <v>985</v>
      </c>
      <c r="IQ918" s="321">
        <v>43529</v>
      </c>
      <c r="IR918" s="320" t="s">
        <v>1223</v>
      </c>
      <c r="IS918" s="322">
        <v>43564</v>
      </c>
      <c r="IT918" s="319" t="s">
        <v>165</v>
      </c>
    </row>
    <row r="919" spans="1:254" s="271" customFormat="1" x14ac:dyDescent="0.25">
      <c r="A919" s="318" t="str">
        <f>HYPERLINK("http://www.ofsted.gov.uk/inspection-reports/find-inspection-report/provider/ELS/144726 ","Ofsted School Webpage")</f>
        <v>Ofsted School Webpage</v>
      </c>
      <c r="B919" s="319">
        <v>144726</v>
      </c>
      <c r="C919" s="319">
        <v>9196008</v>
      </c>
      <c r="D919" s="319" t="s">
        <v>2453</v>
      </c>
      <c r="E919" s="319" t="s">
        <v>168</v>
      </c>
      <c r="F919" s="319" t="s">
        <v>81</v>
      </c>
      <c r="G919" s="319" t="s">
        <v>81</v>
      </c>
      <c r="H919" s="319" t="s">
        <v>81</v>
      </c>
      <c r="I919" s="319" t="s">
        <v>78</v>
      </c>
      <c r="J919" s="319" t="s">
        <v>424</v>
      </c>
      <c r="K919" s="319" t="s">
        <v>451</v>
      </c>
      <c r="L919" s="319" t="s">
        <v>451</v>
      </c>
      <c r="M919" s="319" t="s">
        <v>489</v>
      </c>
      <c r="N919" s="319" t="s">
        <v>3553</v>
      </c>
      <c r="O919" s="319" t="s">
        <v>2454</v>
      </c>
      <c r="P919" s="319">
        <v>36</v>
      </c>
      <c r="Q919" s="319" t="s">
        <v>2776</v>
      </c>
      <c r="R919" s="320">
        <v>10046991</v>
      </c>
      <c r="S919" s="321">
        <v>43214</v>
      </c>
      <c r="T919" s="321">
        <v>43216</v>
      </c>
      <c r="U919" s="321">
        <v>43262</v>
      </c>
      <c r="V919" s="319" t="s">
        <v>435</v>
      </c>
      <c r="W919" s="319" t="s">
        <v>2767</v>
      </c>
      <c r="X919" s="319">
        <v>2</v>
      </c>
      <c r="Y919" s="319" t="s">
        <v>173</v>
      </c>
      <c r="Z919" s="319" t="s">
        <v>173</v>
      </c>
      <c r="AA919" s="319" t="s">
        <v>173</v>
      </c>
      <c r="AB919" s="319">
        <v>2</v>
      </c>
      <c r="AC919" s="319" t="s">
        <v>169</v>
      </c>
      <c r="AD919" s="319" t="s">
        <v>173</v>
      </c>
      <c r="AE919" s="319">
        <v>2</v>
      </c>
      <c r="AF919" s="319" t="s">
        <v>427</v>
      </c>
      <c r="AG919" s="319" t="s">
        <v>171</v>
      </c>
      <c r="AH919" s="319" t="s">
        <v>190</v>
      </c>
      <c r="AI919" s="319" t="s">
        <v>190</v>
      </c>
      <c r="AJ919" s="319" t="s">
        <v>190</v>
      </c>
      <c r="AK919" s="319" t="s">
        <v>190</v>
      </c>
      <c r="AL919" s="319" t="s">
        <v>190</v>
      </c>
      <c r="AM919" s="319" t="s">
        <v>190</v>
      </c>
      <c r="AN919" s="319" t="s">
        <v>190</v>
      </c>
      <c r="AO919" s="319" t="s">
        <v>190</v>
      </c>
      <c r="AP919" s="319" t="s">
        <v>190</v>
      </c>
      <c r="AQ919" s="319" t="s">
        <v>190</v>
      </c>
      <c r="AR919" s="319" t="s">
        <v>190</v>
      </c>
      <c r="AS919" s="319" t="s">
        <v>190</v>
      </c>
      <c r="AT919" s="319" t="s">
        <v>190</v>
      </c>
      <c r="AU919" s="319" t="s">
        <v>190</v>
      </c>
      <c r="AV919" s="319" t="s">
        <v>190</v>
      </c>
      <c r="AW919" s="319" t="s">
        <v>190</v>
      </c>
      <c r="AX919" s="319" t="s">
        <v>428</v>
      </c>
      <c r="AY919" s="319" t="s">
        <v>190</v>
      </c>
      <c r="AZ919" s="319" t="s">
        <v>190</v>
      </c>
      <c r="BA919" s="319" t="s">
        <v>190</v>
      </c>
      <c r="BB919" s="319" t="s">
        <v>190</v>
      </c>
      <c r="BC919" s="319" t="s">
        <v>190</v>
      </c>
      <c r="BD919" s="319" t="s">
        <v>190</v>
      </c>
      <c r="BE919" s="319" t="s">
        <v>190</v>
      </c>
      <c r="BF919" s="319" t="s">
        <v>428</v>
      </c>
      <c r="BG919" s="319" t="s">
        <v>190</v>
      </c>
      <c r="BH919" s="319" t="s">
        <v>190</v>
      </c>
      <c r="BI919" s="319" t="s">
        <v>190</v>
      </c>
      <c r="BJ919" s="319" t="s">
        <v>190</v>
      </c>
      <c r="BK919" s="319" t="s">
        <v>190</v>
      </c>
      <c r="BL919" s="319" t="s">
        <v>190</v>
      </c>
      <c r="BM919" s="319" t="s">
        <v>190</v>
      </c>
      <c r="BN919" s="319" t="s">
        <v>190</v>
      </c>
      <c r="BO919" s="319" t="s">
        <v>190</v>
      </c>
      <c r="BP919" s="319" t="s">
        <v>190</v>
      </c>
      <c r="BQ919" s="319" t="s">
        <v>190</v>
      </c>
      <c r="BR919" s="319" t="s">
        <v>190</v>
      </c>
      <c r="BS919" s="319" t="s">
        <v>190</v>
      </c>
      <c r="BT919" s="319" t="s">
        <v>190</v>
      </c>
      <c r="BU919" s="319" t="s">
        <v>190</v>
      </c>
      <c r="BV919" s="319" t="s">
        <v>190</v>
      </c>
      <c r="BW919" s="319" t="s">
        <v>190</v>
      </c>
      <c r="BX919" s="319" t="s">
        <v>190</v>
      </c>
      <c r="BY919" s="319" t="s">
        <v>190</v>
      </c>
      <c r="BZ919" s="319" t="s">
        <v>190</v>
      </c>
      <c r="CA919" s="319" t="s">
        <v>190</v>
      </c>
      <c r="CB919" s="319" t="s">
        <v>190</v>
      </c>
      <c r="CC919" s="319" t="s">
        <v>190</v>
      </c>
      <c r="CD919" s="319" t="s">
        <v>190</v>
      </c>
      <c r="CE919" s="319" t="s">
        <v>190</v>
      </c>
      <c r="CF919" s="319" t="s">
        <v>190</v>
      </c>
      <c r="CG919" s="319" t="s">
        <v>190</v>
      </c>
      <c r="CH919" s="319" t="s">
        <v>190</v>
      </c>
      <c r="CI919" s="319" t="s">
        <v>190</v>
      </c>
      <c r="CJ919" s="319" t="s">
        <v>190</v>
      </c>
      <c r="CK919" s="319" t="s">
        <v>190</v>
      </c>
      <c r="CL919" s="319" t="s">
        <v>190</v>
      </c>
      <c r="CM919" s="319" t="s">
        <v>190</v>
      </c>
      <c r="CN919" s="319" t="s">
        <v>428</v>
      </c>
      <c r="CO919" s="319" t="s">
        <v>428</v>
      </c>
      <c r="CP919" s="319" t="s">
        <v>428</v>
      </c>
      <c r="CQ919" s="319" t="s">
        <v>190</v>
      </c>
      <c r="CR919" s="319" t="s">
        <v>190</v>
      </c>
      <c r="CS919" s="319" t="s">
        <v>190</v>
      </c>
      <c r="CT919" s="319" t="s">
        <v>190</v>
      </c>
      <c r="CU919" s="319" t="s">
        <v>190</v>
      </c>
      <c r="CV919" s="319" t="s">
        <v>190</v>
      </c>
      <c r="CW919" s="319" t="s">
        <v>190</v>
      </c>
      <c r="CX919" s="319" t="s">
        <v>190</v>
      </c>
      <c r="CY919" s="319" t="s">
        <v>190</v>
      </c>
      <c r="CZ919" s="319" t="s">
        <v>190</v>
      </c>
      <c r="DA919" s="319" t="s">
        <v>190</v>
      </c>
      <c r="DB919" s="319" t="s">
        <v>190</v>
      </c>
      <c r="DC919" s="319" t="s">
        <v>190</v>
      </c>
      <c r="DD919" s="319" t="s">
        <v>190</v>
      </c>
      <c r="DE919" s="319" t="s">
        <v>190</v>
      </c>
      <c r="DF919" s="319" t="s">
        <v>190</v>
      </c>
      <c r="DG919" s="319" t="s">
        <v>190</v>
      </c>
      <c r="DH919" s="319" t="s">
        <v>190</v>
      </c>
      <c r="DI919" s="319" t="s">
        <v>190</v>
      </c>
      <c r="DJ919" s="319" t="s">
        <v>190</v>
      </c>
      <c r="DK919" s="319" t="s">
        <v>190</v>
      </c>
      <c r="DL919" s="319" t="s">
        <v>190</v>
      </c>
      <c r="DM919" s="319" t="s">
        <v>190</v>
      </c>
      <c r="DN919" s="319" t="s">
        <v>428</v>
      </c>
      <c r="DO919" s="319" t="s">
        <v>190</v>
      </c>
      <c r="DP919" s="319" t="s">
        <v>190</v>
      </c>
      <c r="DQ919" s="319" t="s">
        <v>190</v>
      </c>
      <c r="DR919" s="319" t="s">
        <v>190</v>
      </c>
      <c r="DS919" s="319" t="s">
        <v>190</v>
      </c>
      <c r="DT919" s="319" t="s">
        <v>190</v>
      </c>
      <c r="DU919" s="319" t="s">
        <v>190</v>
      </c>
      <c r="DV919" s="319" t="s">
        <v>173</v>
      </c>
      <c r="DW919" s="319" t="s">
        <v>190</v>
      </c>
      <c r="DX919" s="319" t="s">
        <v>190</v>
      </c>
      <c r="DY919" s="319" t="s">
        <v>190</v>
      </c>
      <c r="DZ919" s="319" t="s">
        <v>190</v>
      </c>
      <c r="EA919" s="319" t="s">
        <v>190</v>
      </c>
      <c r="EB919" s="319" t="s">
        <v>190</v>
      </c>
      <c r="EC919" s="319" t="s">
        <v>428</v>
      </c>
      <c r="ED919" s="319" t="s">
        <v>190</v>
      </c>
      <c r="EE919" s="319" t="s">
        <v>428</v>
      </c>
      <c r="EF919" s="319" t="s">
        <v>428</v>
      </c>
      <c r="EG919" s="319" t="s">
        <v>428</v>
      </c>
      <c r="EH919" s="319" t="s">
        <v>428</v>
      </c>
      <c r="EI919" s="319" t="s">
        <v>428</v>
      </c>
      <c r="EJ919" s="319" t="s">
        <v>428</v>
      </c>
      <c r="EK919" s="319" t="s">
        <v>428</v>
      </c>
      <c r="EL919" s="319" t="s">
        <v>428</v>
      </c>
      <c r="EM919" s="319" t="s">
        <v>428</v>
      </c>
      <c r="EN919" s="319" t="s">
        <v>190</v>
      </c>
      <c r="EO919" s="319" t="s">
        <v>190</v>
      </c>
      <c r="EP919" s="319" t="s">
        <v>190</v>
      </c>
      <c r="EQ919" s="319" t="s">
        <v>190</v>
      </c>
      <c r="ER919" s="319" t="s">
        <v>190</v>
      </c>
      <c r="ES919" s="319" t="s">
        <v>190</v>
      </c>
      <c r="ET919" s="319" t="s">
        <v>190</v>
      </c>
      <c r="EU919" s="319" t="s">
        <v>190</v>
      </c>
      <c r="EV919" s="319" t="s">
        <v>190</v>
      </c>
      <c r="EW919" s="319" t="s">
        <v>190</v>
      </c>
      <c r="EX919" s="319" t="s">
        <v>190</v>
      </c>
      <c r="EY919" s="319" t="s">
        <v>190</v>
      </c>
      <c r="EZ919" s="319" t="s">
        <v>190</v>
      </c>
      <c r="FA919" s="319" t="s">
        <v>190</v>
      </c>
      <c r="FB919" s="319" t="s">
        <v>190</v>
      </c>
      <c r="FC919" s="319" t="s">
        <v>190</v>
      </c>
      <c r="FD919" s="319" t="s">
        <v>190</v>
      </c>
      <c r="FE919" s="319" t="s">
        <v>190</v>
      </c>
      <c r="FF919" s="319" t="s">
        <v>190</v>
      </c>
      <c r="FG919" s="319" t="s">
        <v>190</v>
      </c>
      <c r="FH919" s="319" t="s">
        <v>190</v>
      </c>
      <c r="FI919" s="319" t="s">
        <v>190</v>
      </c>
      <c r="FJ919" s="319" t="s">
        <v>190</v>
      </c>
      <c r="FK919" s="319" t="s">
        <v>190</v>
      </c>
      <c r="FL919" s="319" t="s">
        <v>190</v>
      </c>
      <c r="FM919" s="319" t="s">
        <v>190</v>
      </c>
      <c r="FN919" s="319" t="s">
        <v>190</v>
      </c>
      <c r="FO919" s="319" t="s">
        <v>190</v>
      </c>
      <c r="FP919" s="319" t="s">
        <v>190</v>
      </c>
      <c r="FQ919" s="319" t="s">
        <v>190</v>
      </c>
      <c r="FR919" s="319" t="s">
        <v>190</v>
      </c>
      <c r="FS919" s="319" t="s">
        <v>190</v>
      </c>
      <c r="FT919" s="319" t="s">
        <v>190</v>
      </c>
      <c r="FU919" s="319" t="s">
        <v>190</v>
      </c>
      <c r="FV919" s="319" t="s">
        <v>190</v>
      </c>
      <c r="FW919" s="319" t="s">
        <v>190</v>
      </c>
      <c r="FX919" s="319" t="s">
        <v>190</v>
      </c>
      <c r="FY919" s="319" t="s">
        <v>190</v>
      </c>
      <c r="FZ919" s="319" t="s">
        <v>190</v>
      </c>
      <c r="GA919" s="319" t="s">
        <v>190</v>
      </c>
      <c r="GB919" s="319" t="s">
        <v>190</v>
      </c>
      <c r="GC919" s="319" t="s">
        <v>190</v>
      </c>
      <c r="GD919" s="319" t="s">
        <v>190</v>
      </c>
      <c r="GE919" s="319" t="s">
        <v>190</v>
      </c>
      <c r="GF919" s="319" t="s">
        <v>190</v>
      </c>
      <c r="GG919" s="319" t="s">
        <v>190</v>
      </c>
      <c r="GH919" s="319" t="s">
        <v>190</v>
      </c>
      <c r="GI919" s="319" t="s">
        <v>190</v>
      </c>
      <c r="GJ919" s="319" t="s">
        <v>190</v>
      </c>
      <c r="GK919" s="319" t="s">
        <v>428</v>
      </c>
      <c r="GL919" s="319" t="s">
        <v>190</v>
      </c>
      <c r="GM919" s="319" t="s">
        <v>190</v>
      </c>
      <c r="GN919" s="319" t="s">
        <v>190</v>
      </c>
      <c r="GO919" s="319" t="s">
        <v>190</v>
      </c>
      <c r="GP919" s="319" t="s">
        <v>428</v>
      </c>
      <c r="GQ919" s="319" t="s">
        <v>428</v>
      </c>
      <c r="GR919" s="319" t="s">
        <v>190</v>
      </c>
      <c r="GS919" s="319" t="s">
        <v>190</v>
      </c>
      <c r="GT919" s="319" t="s">
        <v>190</v>
      </c>
      <c r="GU919" s="319" t="s">
        <v>190</v>
      </c>
      <c r="GV919" s="319" t="s">
        <v>190</v>
      </c>
      <c r="GW919" s="319" t="s">
        <v>190</v>
      </c>
      <c r="GX919" s="319" t="s">
        <v>190</v>
      </c>
      <c r="GY919" s="319" t="s">
        <v>190</v>
      </c>
      <c r="GZ919" s="319" t="s">
        <v>190</v>
      </c>
      <c r="HA919" s="319" t="s">
        <v>428</v>
      </c>
      <c r="HB919" s="319" t="s">
        <v>190</v>
      </c>
      <c r="HC919" s="319" t="s">
        <v>190</v>
      </c>
      <c r="HD919" s="319" t="s">
        <v>190</v>
      </c>
      <c r="HE919" s="319" t="s">
        <v>190</v>
      </c>
      <c r="HF919" s="319" t="s">
        <v>190</v>
      </c>
      <c r="HG919" s="319" t="s">
        <v>190</v>
      </c>
      <c r="HH919" s="319" t="s">
        <v>190</v>
      </c>
      <c r="HI919" s="319" t="s">
        <v>428</v>
      </c>
      <c r="HJ919" s="319" t="s">
        <v>190</v>
      </c>
      <c r="HK919" s="319" t="s">
        <v>428</v>
      </c>
      <c r="HL919" s="319" t="s">
        <v>428</v>
      </c>
      <c r="HM919" s="319" t="s">
        <v>428</v>
      </c>
      <c r="HN919" s="319" t="s">
        <v>428</v>
      </c>
      <c r="HO919" s="319" t="s">
        <v>428</v>
      </c>
      <c r="HP919" s="319" t="s">
        <v>190</v>
      </c>
      <c r="HQ919" s="319" t="s">
        <v>190</v>
      </c>
      <c r="HR919" s="319" t="s">
        <v>190</v>
      </c>
      <c r="HS919" s="319" t="s">
        <v>190</v>
      </c>
      <c r="HT919" s="319" t="s">
        <v>190</v>
      </c>
      <c r="HU919" s="319" t="s">
        <v>190</v>
      </c>
      <c r="HV919" s="319" t="s">
        <v>190</v>
      </c>
      <c r="HW919" s="319" t="s">
        <v>190</v>
      </c>
      <c r="HX919" s="319" t="s">
        <v>190</v>
      </c>
      <c r="HY919" s="319" t="s">
        <v>190</v>
      </c>
      <c r="HZ919" s="319" t="s">
        <v>190</v>
      </c>
      <c r="IA919" s="319" t="s">
        <v>190</v>
      </c>
      <c r="IB919" s="319" t="s">
        <v>190</v>
      </c>
      <c r="IC919" s="319" t="s">
        <v>190</v>
      </c>
      <c r="ID919" s="319" t="s">
        <v>190</v>
      </c>
      <c r="IE919" s="319" t="s">
        <v>190</v>
      </c>
      <c r="IF919" s="319" t="s">
        <v>190</v>
      </c>
      <c r="IG919" s="319" t="s">
        <v>190</v>
      </c>
      <c r="IH919" s="319" t="s">
        <v>190</v>
      </c>
      <c r="II919" s="319" t="s">
        <v>190</v>
      </c>
      <c r="IJ919" s="319" t="s">
        <v>173</v>
      </c>
      <c r="IK919" s="319" t="s">
        <v>173</v>
      </c>
      <c r="IL919" s="319" t="s">
        <v>173</v>
      </c>
      <c r="IM919" s="319" t="s">
        <v>173</v>
      </c>
      <c r="IN919" s="319" t="s">
        <v>173</v>
      </c>
      <c r="IO919" s="319" t="s">
        <v>173</v>
      </c>
      <c r="IP919" s="319" t="s">
        <v>173</v>
      </c>
      <c r="IQ919" s="319" t="s">
        <v>173</v>
      </c>
      <c r="IR919" s="320" t="s">
        <v>173</v>
      </c>
      <c r="IS919" s="320" t="s">
        <v>173</v>
      </c>
      <c r="IT919" s="319" t="s">
        <v>173</v>
      </c>
    </row>
    <row r="920" spans="1:254" s="271" customFormat="1" x14ac:dyDescent="0.25">
      <c r="A920" s="318" t="str">
        <f>HYPERLINK("http://www.ofsted.gov.uk/inspection-reports/find-inspection-report/provider/ELS/144727 ","Ofsted School Webpage")</f>
        <v>Ofsted School Webpage</v>
      </c>
      <c r="B920" s="319">
        <v>144727</v>
      </c>
      <c r="C920" s="319">
        <v>3026012</v>
      </c>
      <c r="D920" s="319" t="s">
        <v>1147</v>
      </c>
      <c r="E920" s="319" t="s">
        <v>167</v>
      </c>
      <c r="F920" s="319" t="s">
        <v>70</v>
      </c>
      <c r="G920" s="319" t="s">
        <v>70</v>
      </c>
      <c r="H920" s="319" t="s">
        <v>70</v>
      </c>
      <c r="I920" s="319" t="s">
        <v>69</v>
      </c>
      <c r="J920" s="319" t="s">
        <v>424</v>
      </c>
      <c r="K920" s="319" t="s">
        <v>441</v>
      </c>
      <c r="L920" s="319" t="s">
        <v>441</v>
      </c>
      <c r="M920" s="319" t="s">
        <v>544</v>
      </c>
      <c r="N920" s="319" t="s">
        <v>2816</v>
      </c>
      <c r="O920" s="319" t="s">
        <v>1148</v>
      </c>
      <c r="P920" s="319">
        <v>22</v>
      </c>
      <c r="Q920" s="319" t="s">
        <v>2766</v>
      </c>
      <c r="R920" s="320">
        <v>10041411</v>
      </c>
      <c r="S920" s="321">
        <v>43256</v>
      </c>
      <c r="T920" s="321">
        <v>43258</v>
      </c>
      <c r="U920" s="321">
        <v>43363</v>
      </c>
      <c r="V920" s="319" t="s">
        <v>435</v>
      </c>
      <c r="W920" s="319" t="s">
        <v>2767</v>
      </c>
      <c r="X920" s="319">
        <v>4</v>
      </c>
      <c r="Y920" s="319" t="s">
        <v>173</v>
      </c>
      <c r="Z920" s="319" t="s">
        <v>173</v>
      </c>
      <c r="AA920" s="319" t="s">
        <v>173</v>
      </c>
      <c r="AB920" s="319">
        <v>4</v>
      </c>
      <c r="AC920" s="319" t="s">
        <v>170</v>
      </c>
      <c r="AD920" s="319" t="s">
        <v>173</v>
      </c>
      <c r="AE920" s="319" t="s">
        <v>173</v>
      </c>
      <c r="AF920" s="319" t="s">
        <v>427</v>
      </c>
      <c r="AG920" s="319" t="s">
        <v>172</v>
      </c>
      <c r="AH920" s="319" t="s">
        <v>479</v>
      </c>
      <c r="AI920" s="319" t="s">
        <v>190</v>
      </c>
      <c r="AJ920" s="319" t="s">
        <v>479</v>
      </c>
      <c r="AK920" s="319" t="s">
        <v>190</v>
      </c>
      <c r="AL920" s="319" t="s">
        <v>190</v>
      </c>
      <c r="AM920" s="319" t="s">
        <v>190</v>
      </c>
      <c r="AN920" s="319" t="s">
        <v>190</v>
      </c>
      <c r="AO920" s="319" t="s">
        <v>479</v>
      </c>
      <c r="AP920" s="319" t="s">
        <v>191</v>
      </c>
      <c r="AQ920" s="319" t="s">
        <v>190</v>
      </c>
      <c r="AR920" s="319" t="s">
        <v>190</v>
      </c>
      <c r="AS920" s="319" t="s">
        <v>190</v>
      </c>
      <c r="AT920" s="319" t="s">
        <v>190</v>
      </c>
      <c r="AU920" s="319" t="s">
        <v>190</v>
      </c>
      <c r="AV920" s="319" t="s">
        <v>190</v>
      </c>
      <c r="AW920" s="319" t="s">
        <v>190</v>
      </c>
      <c r="AX920" s="319" t="s">
        <v>428</v>
      </c>
      <c r="AY920" s="319" t="s">
        <v>190</v>
      </c>
      <c r="AZ920" s="319" t="s">
        <v>190</v>
      </c>
      <c r="BA920" s="319" t="s">
        <v>190</v>
      </c>
      <c r="BB920" s="319" t="s">
        <v>190</v>
      </c>
      <c r="BC920" s="319" t="s">
        <v>190</v>
      </c>
      <c r="BD920" s="319" t="s">
        <v>190</v>
      </c>
      <c r="BE920" s="319" t="s">
        <v>190</v>
      </c>
      <c r="BF920" s="319" t="s">
        <v>428</v>
      </c>
      <c r="BG920" s="319" t="s">
        <v>428</v>
      </c>
      <c r="BH920" s="319" t="s">
        <v>191</v>
      </c>
      <c r="BI920" s="319" t="s">
        <v>191</v>
      </c>
      <c r="BJ920" s="319" t="s">
        <v>191</v>
      </c>
      <c r="BK920" s="319" t="s">
        <v>191</v>
      </c>
      <c r="BL920" s="319" t="s">
        <v>190</v>
      </c>
      <c r="BM920" s="319" t="s">
        <v>191</v>
      </c>
      <c r="BN920" s="319" t="s">
        <v>191</v>
      </c>
      <c r="BO920" s="319" t="s">
        <v>191</v>
      </c>
      <c r="BP920" s="319" t="s">
        <v>191</v>
      </c>
      <c r="BQ920" s="319" t="s">
        <v>190</v>
      </c>
      <c r="BR920" s="319" t="s">
        <v>190</v>
      </c>
      <c r="BS920" s="319" t="s">
        <v>190</v>
      </c>
      <c r="BT920" s="319" t="s">
        <v>190</v>
      </c>
      <c r="BU920" s="319" t="s">
        <v>190</v>
      </c>
      <c r="BV920" s="319" t="s">
        <v>190</v>
      </c>
      <c r="BW920" s="319" t="s">
        <v>190</v>
      </c>
      <c r="BX920" s="319" t="s">
        <v>190</v>
      </c>
      <c r="BY920" s="319" t="s">
        <v>190</v>
      </c>
      <c r="BZ920" s="319" t="s">
        <v>190</v>
      </c>
      <c r="CA920" s="319" t="s">
        <v>190</v>
      </c>
      <c r="CB920" s="319" t="s">
        <v>190</v>
      </c>
      <c r="CC920" s="319" t="s">
        <v>190</v>
      </c>
      <c r="CD920" s="319" t="s">
        <v>190</v>
      </c>
      <c r="CE920" s="319" t="s">
        <v>190</v>
      </c>
      <c r="CF920" s="319" t="s">
        <v>190</v>
      </c>
      <c r="CG920" s="319" t="s">
        <v>190</v>
      </c>
      <c r="CH920" s="319" t="s">
        <v>190</v>
      </c>
      <c r="CI920" s="319" t="s">
        <v>190</v>
      </c>
      <c r="CJ920" s="319" t="s">
        <v>190</v>
      </c>
      <c r="CK920" s="319" t="s">
        <v>191</v>
      </c>
      <c r="CL920" s="319" t="s">
        <v>191</v>
      </c>
      <c r="CM920" s="319" t="s">
        <v>191</v>
      </c>
      <c r="CN920" s="319" t="s">
        <v>428</v>
      </c>
      <c r="CO920" s="319" t="s">
        <v>428</v>
      </c>
      <c r="CP920" s="319" t="s">
        <v>428</v>
      </c>
      <c r="CQ920" s="319" t="s">
        <v>190</v>
      </c>
      <c r="CR920" s="319" t="s">
        <v>190</v>
      </c>
      <c r="CS920" s="319" t="s">
        <v>190</v>
      </c>
      <c r="CT920" s="319" t="s">
        <v>190</v>
      </c>
      <c r="CU920" s="319" t="s">
        <v>190</v>
      </c>
      <c r="CV920" s="319" t="s">
        <v>190</v>
      </c>
      <c r="CW920" s="319" t="s">
        <v>190</v>
      </c>
      <c r="CX920" s="319" t="s">
        <v>190</v>
      </c>
      <c r="CY920" s="319" t="s">
        <v>190</v>
      </c>
      <c r="CZ920" s="319" t="s">
        <v>190</v>
      </c>
      <c r="DA920" s="319" t="s">
        <v>190</v>
      </c>
      <c r="DB920" s="319" t="s">
        <v>190</v>
      </c>
      <c r="DC920" s="319" t="s">
        <v>190</v>
      </c>
      <c r="DD920" s="319" t="s">
        <v>190</v>
      </c>
      <c r="DE920" s="319" t="s">
        <v>190</v>
      </c>
      <c r="DF920" s="319" t="s">
        <v>190</v>
      </c>
      <c r="DG920" s="319" t="s">
        <v>190</v>
      </c>
      <c r="DH920" s="319" t="s">
        <v>190</v>
      </c>
      <c r="DI920" s="319" t="s">
        <v>190</v>
      </c>
      <c r="DJ920" s="319" t="s">
        <v>190</v>
      </c>
      <c r="DK920" s="319" t="s">
        <v>190</v>
      </c>
      <c r="DL920" s="319" t="s">
        <v>190</v>
      </c>
      <c r="DM920" s="319" t="s">
        <v>190</v>
      </c>
      <c r="DN920" s="319" t="s">
        <v>428</v>
      </c>
      <c r="DO920" s="319" t="s">
        <v>190</v>
      </c>
      <c r="DP920" s="319" t="s">
        <v>190</v>
      </c>
      <c r="DQ920" s="319" t="s">
        <v>190</v>
      </c>
      <c r="DR920" s="319" t="s">
        <v>190</v>
      </c>
      <c r="DS920" s="319" t="s">
        <v>190</v>
      </c>
      <c r="DT920" s="319" t="s">
        <v>190</v>
      </c>
      <c r="DU920" s="319" t="s">
        <v>190</v>
      </c>
      <c r="DV920" s="319" t="s">
        <v>173</v>
      </c>
      <c r="DW920" s="319" t="s">
        <v>190</v>
      </c>
      <c r="DX920" s="319" t="s">
        <v>190</v>
      </c>
      <c r="DY920" s="319" t="s">
        <v>190</v>
      </c>
      <c r="DZ920" s="319" t="s">
        <v>190</v>
      </c>
      <c r="EA920" s="319" t="s">
        <v>190</v>
      </c>
      <c r="EB920" s="319" t="s">
        <v>190</v>
      </c>
      <c r="EC920" s="319" t="s">
        <v>428</v>
      </c>
      <c r="ED920" s="319" t="s">
        <v>190</v>
      </c>
      <c r="EE920" s="319" t="s">
        <v>190</v>
      </c>
      <c r="EF920" s="319" t="s">
        <v>190</v>
      </c>
      <c r="EG920" s="319" t="s">
        <v>190</v>
      </c>
      <c r="EH920" s="319" t="s">
        <v>190</v>
      </c>
      <c r="EI920" s="319" t="s">
        <v>190</v>
      </c>
      <c r="EJ920" s="319" t="s">
        <v>190</v>
      </c>
      <c r="EK920" s="319" t="s">
        <v>190</v>
      </c>
      <c r="EL920" s="319" t="s">
        <v>190</v>
      </c>
      <c r="EM920" s="319" t="s">
        <v>190</v>
      </c>
      <c r="EN920" s="319" t="s">
        <v>190</v>
      </c>
      <c r="EO920" s="319" t="s">
        <v>190</v>
      </c>
      <c r="EP920" s="319" t="s">
        <v>190</v>
      </c>
      <c r="EQ920" s="319" t="s">
        <v>190</v>
      </c>
      <c r="ER920" s="319" t="s">
        <v>190</v>
      </c>
      <c r="ES920" s="319" t="s">
        <v>190</v>
      </c>
      <c r="ET920" s="319" t="s">
        <v>190</v>
      </c>
      <c r="EU920" s="319" t="s">
        <v>190</v>
      </c>
      <c r="EV920" s="319" t="s">
        <v>190</v>
      </c>
      <c r="EW920" s="319" t="s">
        <v>190</v>
      </c>
      <c r="EX920" s="319" t="s">
        <v>190</v>
      </c>
      <c r="EY920" s="319" t="s">
        <v>190</v>
      </c>
      <c r="EZ920" s="319" t="s">
        <v>190</v>
      </c>
      <c r="FA920" s="319" t="s">
        <v>190</v>
      </c>
      <c r="FB920" s="319" t="s">
        <v>190</v>
      </c>
      <c r="FC920" s="319" t="s">
        <v>190</v>
      </c>
      <c r="FD920" s="319" t="s">
        <v>190</v>
      </c>
      <c r="FE920" s="319" t="s">
        <v>190</v>
      </c>
      <c r="FF920" s="319" t="s">
        <v>190</v>
      </c>
      <c r="FG920" s="319" t="s">
        <v>190</v>
      </c>
      <c r="FH920" s="319" t="s">
        <v>190</v>
      </c>
      <c r="FI920" s="319" t="s">
        <v>190</v>
      </c>
      <c r="FJ920" s="319" t="s">
        <v>190</v>
      </c>
      <c r="FK920" s="319" t="s">
        <v>190</v>
      </c>
      <c r="FL920" s="319" t="s">
        <v>190</v>
      </c>
      <c r="FM920" s="319" t="s">
        <v>190</v>
      </c>
      <c r="FN920" s="319" t="s">
        <v>428</v>
      </c>
      <c r="FO920" s="319" t="s">
        <v>190</v>
      </c>
      <c r="FP920" s="319" t="s">
        <v>190</v>
      </c>
      <c r="FQ920" s="319" t="s">
        <v>190</v>
      </c>
      <c r="FR920" s="319" t="s">
        <v>190</v>
      </c>
      <c r="FS920" s="319" t="s">
        <v>428</v>
      </c>
      <c r="FT920" s="319" t="s">
        <v>190</v>
      </c>
      <c r="FU920" s="319" t="s">
        <v>190</v>
      </c>
      <c r="FV920" s="319" t="s">
        <v>190</v>
      </c>
      <c r="FW920" s="319" t="s">
        <v>190</v>
      </c>
      <c r="FX920" s="319" t="s">
        <v>190</v>
      </c>
      <c r="FY920" s="319" t="s">
        <v>190</v>
      </c>
      <c r="FZ920" s="319" t="s">
        <v>190</v>
      </c>
      <c r="GA920" s="319" t="s">
        <v>190</v>
      </c>
      <c r="GB920" s="319" t="s">
        <v>190</v>
      </c>
      <c r="GC920" s="319" t="s">
        <v>190</v>
      </c>
      <c r="GD920" s="319" t="s">
        <v>190</v>
      </c>
      <c r="GE920" s="319" t="s">
        <v>190</v>
      </c>
      <c r="GF920" s="319" t="s">
        <v>190</v>
      </c>
      <c r="GG920" s="319" t="s">
        <v>190</v>
      </c>
      <c r="GH920" s="319" t="s">
        <v>190</v>
      </c>
      <c r="GI920" s="319" t="s">
        <v>190</v>
      </c>
      <c r="GJ920" s="319" t="s">
        <v>190</v>
      </c>
      <c r="GK920" s="319" t="s">
        <v>428</v>
      </c>
      <c r="GL920" s="319" t="s">
        <v>190</v>
      </c>
      <c r="GM920" s="319" t="s">
        <v>190</v>
      </c>
      <c r="GN920" s="319" t="s">
        <v>190</v>
      </c>
      <c r="GO920" s="319" t="s">
        <v>190</v>
      </c>
      <c r="GP920" s="319" t="s">
        <v>428</v>
      </c>
      <c r="GQ920" s="319" t="s">
        <v>428</v>
      </c>
      <c r="GR920" s="319" t="s">
        <v>190</v>
      </c>
      <c r="GS920" s="319" t="s">
        <v>190</v>
      </c>
      <c r="GT920" s="319" t="s">
        <v>428</v>
      </c>
      <c r="GU920" s="319" t="s">
        <v>428</v>
      </c>
      <c r="GV920" s="319" t="s">
        <v>190</v>
      </c>
      <c r="GW920" s="319" t="s">
        <v>190</v>
      </c>
      <c r="GX920" s="319" t="s">
        <v>190</v>
      </c>
      <c r="GY920" s="319" t="s">
        <v>190</v>
      </c>
      <c r="GZ920" s="319" t="s">
        <v>190</v>
      </c>
      <c r="HA920" s="319" t="s">
        <v>190</v>
      </c>
      <c r="HB920" s="319" t="s">
        <v>190</v>
      </c>
      <c r="HC920" s="319" t="s">
        <v>190</v>
      </c>
      <c r="HD920" s="319" t="s">
        <v>190</v>
      </c>
      <c r="HE920" s="319" t="s">
        <v>190</v>
      </c>
      <c r="HF920" s="319" t="s">
        <v>428</v>
      </c>
      <c r="HG920" s="319" t="s">
        <v>190</v>
      </c>
      <c r="HH920" s="319" t="s">
        <v>190</v>
      </c>
      <c r="HI920" s="319" t="s">
        <v>428</v>
      </c>
      <c r="HJ920" s="319" t="s">
        <v>190</v>
      </c>
      <c r="HK920" s="319" t="s">
        <v>428</v>
      </c>
      <c r="HL920" s="319" t="s">
        <v>190</v>
      </c>
      <c r="HM920" s="319" t="s">
        <v>428</v>
      </c>
      <c r="HN920" s="319" t="s">
        <v>428</v>
      </c>
      <c r="HO920" s="319" t="s">
        <v>428</v>
      </c>
      <c r="HP920" s="319" t="s">
        <v>190</v>
      </c>
      <c r="HQ920" s="319" t="s">
        <v>190</v>
      </c>
      <c r="HR920" s="319" t="s">
        <v>190</v>
      </c>
      <c r="HS920" s="319" t="s">
        <v>190</v>
      </c>
      <c r="HT920" s="319" t="s">
        <v>190</v>
      </c>
      <c r="HU920" s="319" t="s">
        <v>190</v>
      </c>
      <c r="HV920" s="319" t="s">
        <v>190</v>
      </c>
      <c r="HW920" s="319" t="s">
        <v>190</v>
      </c>
      <c r="HX920" s="319" t="s">
        <v>190</v>
      </c>
      <c r="HY920" s="319" t="s">
        <v>190</v>
      </c>
      <c r="HZ920" s="319" t="s">
        <v>190</v>
      </c>
      <c r="IA920" s="319" t="s">
        <v>190</v>
      </c>
      <c r="IB920" s="319" t="s">
        <v>190</v>
      </c>
      <c r="IC920" s="319" t="s">
        <v>190</v>
      </c>
      <c r="ID920" s="319" t="s">
        <v>190</v>
      </c>
      <c r="IE920" s="319" t="s">
        <v>190</v>
      </c>
      <c r="IF920" s="319" t="s">
        <v>191</v>
      </c>
      <c r="IG920" s="319" t="s">
        <v>191</v>
      </c>
      <c r="IH920" s="319" t="s">
        <v>191</v>
      </c>
      <c r="II920" s="319" t="s">
        <v>190</v>
      </c>
      <c r="IJ920" s="319" t="s">
        <v>173</v>
      </c>
      <c r="IK920" s="319" t="s">
        <v>173</v>
      </c>
      <c r="IL920" s="319" t="s">
        <v>173</v>
      </c>
      <c r="IM920" s="319" t="s">
        <v>173</v>
      </c>
      <c r="IN920" s="319" t="s">
        <v>173</v>
      </c>
      <c r="IO920" s="319">
        <v>10108889</v>
      </c>
      <c r="IP920" s="319" t="s">
        <v>985</v>
      </c>
      <c r="IQ920" s="321">
        <v>43649</v>
      </c>
      <c r="IR920" s="320" t="s">
        <v>1223</v>
      </c>
      <c r="IS920" s="322">
        <v>43668</v>
      </c>
      <c r="IT920" s="319" t="s">
        <v>166</v>
      </c>
    </row>
    <row r="921" spans="1:254" s="271" customFormat="1" x14ac:dyDescent="0.25">
      <c r="A921" s="318" t="str">
        <f>HYPERLINK("http://www.ofsted.gov.uk/inspection-reports/find-inspection-report/provider/ELS/144730 ","Ofsted School Webpage")</f>
        <v>Ofsted School Webpage</v>
      </c>
      <c r="B921" s="319">
        <v>144730</v>
      </c>
      <c r="C921" s="319">
        <v>9366011</v>
      </c>
      <c r="D921" s="319" t="s">
        <v>2455</v>
      </c>
      <c r="E921" s="319" t="s">
        <v>168</v>
      </c>
      <c r="F921" s="319" t="s">
        <v>81</v>
      </c>
      <c r="G921" s="319" t="s">
        <v>81</v>
      </c>
      <c r="H921" s="319" t="s">
        <v>81</v>
      </c>
      <c r="I921" s="319" t="s">
        <v>78</v>
      </c>
      <c r="J921" s="319" t="s">
        <v>424</v>
      </c>
      <c r="K921" s="319" t="s">
        <v>514</v>
      </c>
      <c r="L921" s="319" t="s">
        <v>514</v>
      </c>
      <c r="M921" s="319" t="s">
        <v>699</v>
      </c>
      <c r="N921" s="319" t="s">
        <v>3554</v>
      </c>
      <c r="O921" s="319" t="s">
        <v>2456</v>
      </c>
      <c r="P921" s="319">
        <v>40</v>
      </c>
      <c r="Q921" s="319" t="s">
        <v>2776</v>
      </c>
      <c r="R921" s="320">
        <v>10045497</v>
      </c>
      <c r="S921" s="321">
        <v>43214</v>
      </c>
      <c r="T921" s="321">
        <v>43216</v>
      </c>
      <c r="U921" s="321">
        <v>43242</v>
      </c>
      <c r="V921" s="319" t="s">
        <v>435</v>
      </c>
      <c r="W921" s="319" t="s">
        <v>2767</v>
      </c>
      <c r="X921" s="319">
        <v>2</v>
      </c>
      <c r="Y921" s="319" t="s">
        <v>173</v>
      </c>
      <c r="Z921" s="319" t="s">
        <v>173</v>
      </c>
      <c r="AA921" s="319" t="s">
        <v>173</v>
      </c>
      <c r="AB921" s="319">
        <v>2</v>
      </c>
      <c r="AC921" s="319" t="s">
        <v>169</v>
      </c>
      <c r="AD921" s="319" t="s">
        <v>173</v>
      </c>
      <c r="AE921" s="319" t="s">
        <v>173</v>
      </c>
      <c r="AF921" s="319" t="s">
        <v>427</v>
      </c>
      <c r="AG921" s="319" t="s">
        <v>171</v>
      </c>
      <c r="AH921" s="319" t="s">
        <v>190</v>
      </c>
      <c r="AI921" s="319" t="s">
        <v>190</v>
      </c>
      <c r="AJ921" s="319" t="s">
        <v>190</v>
      </c>
      <c r="AK921" s="319" t="s">
        <v>190</v>
      </c>
      <c r="AL921" s="319" t="s">
        <v>190</v>
      </c>
      <c r="AM921" s="319" t="s">
        <v>190</v>
      </c>
      <c r="AN921" s="319" t="s">
        <v>190</v>
      </c>
      <c r="AO921" s="319" t="s">
        <v>190</v>
      </c>
      <c r="AP921" s="319" t="s">
        <v>190</v>
      </c>
      <c r="AQ921" s="319" t="s">
        <v>190</v>
      </c>
      <c r="AR921" s="319" t="s">
        <v>190</v>
      </c>
      <c r="AS921" s="319" t="s">
        <v>190</v>
      </c>
      <c r="AT921" s="319" t="s">
        <v>190</v>
      </c>
      <c r="AU921" s="319" t="s">
        <v>190</v>
      </c>
      <c r="AV921" s="319" t="s">
        <v>190</v>
      </c>
      <c r="AW921" s="319" t="s">
        <v>190</v>
      </c>
      <c r="AX921" s="319" t="s">
        <v>428</v>
      </c>
      <c r="AY921" s="319" t="s">
        <v>190</v>
      </c>
      <c r="AZ921" s="319" t="s">
        <v>190</v>
      </c>
      <c r="BA921" s="319" t="s">
        <v>190</v>
      </c>
      <c r="BB921" s="319" t="s">
        <v>190</v>
      </c>
      <c r="BC921" s="319" t="s">
        <v>190</v>
      </c>
      <c r="BD921" s="319" t="s">
        <v>190</v>
      </c>
      <c r="BE921" s="319" t="s">
        <v>190</v>
      </c>
      <c r="BF921" s="319" t="s">
        <v>428</v>
      </c>
      <c r="BG921" s="319" t="s">
        <v>190</v>
      </c>
      <c r="BH921" s="319" t="s">
        <v>190</v>
      </c>
      <c r="BI921" s="319" t="s">
        <v>190</v>
      </c>
      <c r="BJ921" s="319" t="s">
        <v>190</v>
      </c>
      <c r="BK921" s="319" t="s">
        <v>190</v>
      </c>
      <c r="BL921" s="319" t="s">
        <v>190</v>
      </c>
      <c r="BM921" s="319" t="s">
        <v>190</v>
      </c>
      <c r="BN921" s="319" t="s">
        <v>190</v>
      </c>
      <c r="BO921" s="319" t="s">
        <v>190</v>
      </c>
      <c r="BP921" s="319" t="s">
        <v>190</v>
      </c>
      <c r="BQ921" s="319" t="s">
        <v>190</v>
      </c>
      <c r="BR921" s="319" t="s">
        <v>190</v>
      </c>
      <c r="BS921" s="319" t="s">
        <v>190</v>
      </c>
      <c r="BT921" s="319" t="s">
        <v>190</v>
      </c>
      <c r="BU921" s="319" t="s">
        <v>190</v>
      </c>
      <c r="BV921" s="319" t="s">
        <v>190</v>
      </c>
      <c r="BW921" s="319" t="s">
        <v>190</v>
      </c>
      <c r="BX921" s="319" t="s">
        <v>190</v>
      </c>
      <c r="BY921" s="319" t="s">
        <v>190</v>
      </c>
      <c r="BZ921" s="319" t="s">
        <v>190</v>
      </c>
      <c r="CA921" s="319" t="s">
        <v>190</v>
      </c>
      <c r="CB921" s="319" t="s">
        <v>190</v>
      </c>
      <c r="CC921" s="319" t="s">
        <v>190</v>
      </c>
      <c r="CD921" s="319" t="s">
        <v>190</v>
      </c>
      <c r="CE921" s="319" t="s">
        <v>190</v>
      </c>
      <c r="CF921" s="319" t="s">
        <v>190</v>
      </c>
      <c r="CG921" s="319" t="s">
        <v>190</v>
      </c>
      <c r="CH921" s="319" t="s">
        <v>190</v>
      </c>
      <c r="CI921" s="319" t="s">
        <v>190</v>
      </c>
      <c r="CJ921" s="319" t="s">
        <v>190</v>
      </c>
      <c r="CK921" s="319" t="s">
        <v>190</v>
      </c>
      <c r="CL921" s="319" t="s">
        <v>190</v>
      </c>
      <c r="CM921" s="319" t="s">
        <v>190</v>
      </c>
      <c r="CN921" s="319" t="s">
        <v>190</v>
      </c>
      <c r="CO921" s="319" t="s">
        <v>190</v>
      </c>
      <c r="CP921" s="319" t="s">
        <v>428</v>
      </c>
      <c r="CQ921" s="319" t="s">
        <v>190</v>
      </c>
      <c r="CR921" s="319" t="s">
        <v>190</v>
      </c>
      <c r="CS921" s="319" t="s">
        <v>190</v>
      </c>
      <c r="CT921" s="319" t="s">
        <v>190</v>
      </c>
      <c r="CU921" s="319" t="s">
        <v>190</v>
      </c>
      <c r="CV921" s="319" t="s">
        <v>190</v>
      </c>
      <c r="CW921" s="319" t="s">
        <v>190</v>
      </c>
      <c r="CX921" s="319" t="s">
        <v>190</v>
      </c>
      <c r="CY921" s="319" t="s">
        <v>190</v>
      </c>
      <c r="CZ921" s="319" t="s">
        <v>190</v>
      </c>
      <c r="DA921" s="319" t="s">
        <v>190</v>
      </c>
      <c r="DB921" s="319" t="s">
        <v>190</v>
      </c>
      <c r="DC921" s="319" t="s">
        <v>190</v>
      </c>
      <c r="DD921" s="319" t="s">
        <v>190</v>
      </c>
      <c r="DE921" s="319" t="s">
        <v>190</v>
      </c>
      <c r="DF921" s="319" t="s">
        <v>190</v>
      </c>
      <c r="DG921" s="319" t="s">
        <v>190</v>
      </c>
      <c r="DH921" s="319" t="s">
        <v>190</v>
      </c>
      <c r="DI921" s="319" t="s">
        <v>190</v>
      </c>
      <c r="DJ921" s="319" t="s">
        <v>190</v>
      </c>
      <c r="DK921" s="319" t="s">
        <v>190</v>
      </c>
      <c r="DL921" s="319" t="s">
        <v>190</v>
      </c>
      <c r="DM921" s="319" t="s">
        <v>428</v>
      </c>
      <c r="DN921" s="319" t="s">
        <v>428</v>
      </c>
      <c r="DO921" s="319" t="s">
        <v>190</v>
      </c>
      <c r="DP921" s="319" t="s">
        <v>190</v>
      </c>
      <c r="DQ921" s="319" t="s">
        <v>190</v>
      </c>
      <c r="DR921" s="319" t="s">
        <v>190</v>
      </c>
      <c r="DS921" s="319" t="s">
        <v>190</v>
      </c>
      <c r="DT921" s="319" t="s">
        <v>190</v>
      </c>
      <c r="DU921" s="319" t="s">
        <v>190</v>
      </c>
      <c r="DV921" s="319" t="s">
        <v>173</v>
      </c>
      <c r="DW921" s="319" t="s">
        <v>190</v>
      </c>
      <c r="DX921" s="319" t="s">
        <v>190</v>
      </c>
      <c r="DY921" s="319" t="s">
        <v>190</v>
      </c>
      <c r="DZ921" s="319" t="s">
        <v>190</v>
      </c>
      <c r="EA921" s="319" t="s">
        <v>190</v>
      </c>
      <c r="EB921" s="319" t="s">
        <v>190</v>
      </c>
      <c r="EC921" s="319" t="s">
        <v>428</v>
      </c>
      <c r="ED921" s="319" t="s">
        <v>428</v>
      </c>
      <c r="EE921" s="319" t="s">
        <v>190</v>
      </c>
      <c r="EF921" s="319" t="s">
        <v>190</v>
      </c>
      <c r="EG921" s="319" t="s">
        <v>190</v>
      </c>
      <c r="EH921" s="319" t="s">
        <v>190</v>
      </c>
      <c r="EI921" s="319" t="s">
        <v>190</v>
      </c>
      <c r="EJ921" s="319" t="s">
        <v>190</v>
      </c>
      <c r="EK921" s="319" t="s">
        <v>190</v>
      </c>
      <c r="EL921" s="319" t="s">
        <v>428</v>
      </c>
      <c r="EM921" s="319" t="s">
        <v>190</v>
      </c>
      <c r="EN921" s="319" t="s">
        <v>190</v>
      </c>
      <c r="EO921" s="319" t="s">
        <v>190</v>
      </c>
      <c r="EP921" s="319" t="s">
        <v>190</v>
      </c>
      <c r="EQ921" s="319" t="s">
        <v>190</v>
      </c>
      <c r="ER921" s="319" t="s">
        <v>190</v>
      </c>
      <c r="ES921" s="319" t="s">
        <v>190</v>
      </c>
      <c r="ET921" s="319" t="s">
        <v>190</v>
      </c>
      <c r="EU921" s="319" t="s">
        <v>190</v>
      </c>
      <c r="EV921" s="319" t="s">
        <v>190</v>
      </c>
      <c r="EW921" s="319" t="s">
        <v>190</v>
      </c>
      <c r="EX921" s="319" t="s">
        <v>190</v>
      </c>
      <c r="EY921" s="319" t="s">
        <v>190</v>
      </c>
      <c r="EZ921" s="319" t="s">
        <v>190</v>
      </c>
      <c r="FA921" s="319" t="s">
        <v>190</v>
      </c>
      <c r="FB921" s="319" t="s">
        <v>190</v>
      </c>
      <c r="FC921" s="319" t="s">
        <v>190</v>
      </c>
      <c r="FD921" s="319" t="s">
        <v>190</v>
      </c>
      <c r="FE921" s="319" t="s">
        <v>190</v>
      </c>
      <c r="FF921" s="319" t="s">
        <v>190</v>
      </c>
      <c r="FG921" s="319" t="s">
        <v>190</v>
      </c>
      <c r="FH921" s="319" t="s">
        <v>190</v>
      </c>
      <c r="FI921" s="319" t="s">
        <v>190</v>
      </c>
      <c r="FJ921" s="319" t="s">
        <v>190</v>
      </c>
      <c r="FK921" s="319" t="s">
        <v>190</v>
      </c>
      <c r="FL921" s="319" t="s">
        <v>190</v>
      </c>
      <c r="FM921" s="319" t="s">
        <v>190</v>
      </c>
      <c r="FN921" s="319" t="s">
        <v>190</v>
      </c>
      <c r="FO921" s="319" t="s">
        <v>190</v>
      </c>
      <c r="FP921" s="319" t="s">
        <v>190</v>
      </c>
      <c r="FQ921" s="319" t="s">
        <v>190</v>
      </c>
      <c r="FR921" s="319" t="s">
        <v>190</v>
      </c>
      <c r="FS921" s="319" t="s">
        <v>428</v>
      </c>
      <c r="FT921" s="319" t="s">
        <v>190</v>
      </c>
      <c r="FU921" s="319" t="s">
        <v>190</v>
      </c>
      <c r="FV921" s="319" t="s">
        <v>190</v>
      </c>
      <c r="FW921" s="319" t="s">
        <v>190</v>
      </c>
      <c r="FX921" s="319" t="s">
        <v>190</v>
      </c>
      <c r="FY921" s="319" t="s">
        <v>190</v>
      </c>
      <c r="FZ921" s="319" t="s">
        <v>190</v>
      </c>
      <c r="GA921" s="319" t="s">
        <v>190</v>
      </c>
      <c r="GB921" s="319" t="s">
        <v>190</v>
      </c>
      <c r="GC921" s="319" t="s">
        <v>190</v>
      </c>
      <c r="GD921" s="319" t="s">
        <v>190</v>
      </c>
      <c r="GE921" s="319" t="s">
        <v>190</v>
      </c>
      <c r="GF921" s="319" t="s">
        <v>190</v>
      </c>
      <c r="GG921" s="319" t="s">
        <v>190</v>
      </c>
      <c r="GH921" s="319" t="s">
        <v>190</v>
      </c>
      <c r="GI921" s="319" t="s">
        <v>190</v>
      </c>
      <c r="GJ921" s="319" t="s">
        <v>190</v>
      </c>
      <c r="GK921" s="319" t="s">
        <v>428</v>
      </c>
      <c r="GL921" s="319" t="s">
        <v>190</v>
      </c>
      <c r="GM921" s="319" t="s">
        <v>190</v>
      </c>
      <c r="GN921" s="319" t="s">
        <v>190</v>
      </c>
      <c r="GO921" s="319" t="s">
        <v>190</v>
      </c>
      <c r="GP921" s="319" t="s">
        <v>428</v>
      </c>
      <c r="GQ921" s="319" t="s">
        <v>428</v>
      </c>
      <c r="GR921" s="319" t="s">
        <v>190</v>
      </c>
      <c r="GS921" s="319" t="s">
        <v>190</v>
      </c>
      <c r="GT921" s="319" t="s">
        <v>190</v>
      </c>
      <c r="GU921" s="319" t="s">
        <v>190</v>
      </c>
      <c r="GV921" s="319" t="s">
        <v>190</v>
      </c>
      <c r="GW921" s="319" t="s">
        <v>190</v>
      </c>
      <c r="GX921" s="319" t="s">
        <v>190</v>
      </c>
      <c r="GY921" s="319" t="s">
        <v>190</v>
      </c>
      <c r="GZ921" s="319" t="s">
        <v>428</v>
      </c>
      <c r="HA921" s="319" t="s">
        <v>190</v>
      </c>
      <c r="HB921" s="319" t="s">
        <v>428</v>
      </c>
      <c r="HC921" s="319" t="s">
        <v>190</v>
      </c>
      <c r="HD921" s="319" t="s">
        <v>190</v>
      </c>
      <c r="HE921" s="319" t="s">
        <v>190</v>
      </c>
      <c r="HF921" s="319" t="s">
        <v>190</v>
      </c>
      <c r="HG921" s="319" t="s">
        <v>190</v>
      </c>
      <c r="HH921" s="319" t="s">
        <v>190</v>
      </c>
      <c r="HI921" s="319" t="s">
        <v>428</v>
      </c>
      <c r="HJ921" s="319" t="s">
        <v>190</v>
      </c>
      <c r="HK921" s="319" t="s">
        <v>428</v>
      </c>
      <c r="HL921" s="319" t="s">
        <v>190</v>
      </c>
      <c r="HM921" s="319" t="s">
        <v>428</v>
      </c>
      <c r="HN921" s="319" t="s">
        <v>428</v>
      </c>
      <c r="HO921" s="319" t="s">
        <v>428</v>
      </c>
      <c r="HP921" s="319" t="s">
        <v>190</v>
      </c>
      <c r="HQ921" s="319" t="s">
        <v>190</v>
      </c>
      <c r="HR921" s="319" t="s">
        <v>190</v>
      </c>
      <c r="HS921" s="319" t="s">
        <v>190</v>
      </c>
      <c r="HT921" s="319" t="s">
        <v>190</v>
      </c>
      <c r="HU921" s="319" t="s">
        <v>190</v>
      </c>
      <c r="HV921" s="319" t="s">
        <v>190</v>
      </c>
      <c r="HW921" s="319" t="s">
        <v>190</v>
      </c>
      <c r="HX921" s="319" t="s">
        <v>190</v>
      </c>
      <c r="HY921" s="319" t="s">
        <v>190</v>
      </c>
      <c r="HZ921" s="319" t="s">
        <v>190</v>
      </c>
      <c r="IA921" s="319" t="s">
        <v>190</v>
      </c>
      <c r="IB921" s="319" t="s">
        <v>190</v>
      </c>
      <c r="IC921" s="319" t="s">
        <v>190</v>
      </c>
      <c r="ID921" s="319" t="s">
        <v>190</v>
      </c>
      <c r="IE921" s="319" t="s">
        <v>190</v>
      </c>
      <c r="IF921" s="319" t="s">
        <v>190</v>
      </c>
      <c r="IG921" s="319" t="s">
        <v>190</v>
      </c>
      <c r="IH921" s="319" t="s">
        <v>190</v>
      </c>
      <c r="II921" s="319" t="s">
        <v>190</v>
      </c>
      <c r="IJ921" s="319" t="s">
        <v>173</v>
      </c>
      <c r="IK921" s="319" t="s">
        <v>173</v>
      </c>
      <c r="IL921" s="319" t="s">
        <v>173</v>
      </c>
      <c r="IM921" s="319" t="s">
        <v>173</v>
      </c>
      <c r="IN921" s="319" t="s">
        <v>173</v>
      </c>
      <c r="IO921" s="319" t="s">
        <v>173</v>
      </c>
      <c r="IP921" s="319" t="s">
        <v>173</v>
      </c>
      <c r="IQ921" s="321" t="s">
        <v>173</v>
      </c>
      <c r="IR921" s="320" t="s">
        <v>173</v>
      </c>
      <c r="IS921" s="322" t="s">
        <v>173</v>
      </c>
      <c r="IT921" s="319" t="s">
        <v>173</v>
      </c>
    </row>
    <row r="922" spans="1:254" s="271" customFormat="1" x14ac:dyDescent="0.25">
      <c r="A922" s="318" t="str">
        <f>HYPERLINK("http://www.ofsted.gov.uk/inspection-reports/find-inspection-report/provider/ELS/144738 ","Ofsted School Webpage")</f>
        <v>Ofsted School Webpage</v>
      </c>
      <c r="B922" s="319">
        <v>144738</v>
      </c>
      <c r="C922" s="319">
        <v>3046005</v>
      </c>
      <c r="D922" s="319" t="s">
        <v>2457</v>
      </c>
      <c r="E922" s="319" t="s">
        <v>167</v>
      </c>
      <c r="F922" s="319" t="s">
        <v>81</v>
      </c>
      <c r="G922" s="319" t="s">
        <v>70</v>
      </c>
      <c r="H922" s="319" t="s">
        <v>70</v>
      </c>
      <c r="I922" s="319" t="s">
        <v>69</v>
      </c>
      <c r="J922" s="319" t="s">
        <v>424</v>
      </c>
      <c r="K922" s="319" t="s">
        <v>441</v>
      </c>
      <c r="L922" s="319" t="s">
        <v>441</v>
      </c>
      <c r="M922" s="319" t="s">
        <v>477</v>
      </c>
      <c r="N922" s="319" t="s">
        <v>3420</v>
      </c>
      <c r="O922" s="319" t="s">
        <v>2458</v>
      </c>
      <c r="P922" s="319">
        <v>22</v>
      </c>
      <c r="Q922" s="319" t="s">
        <v>2766</v>
      </c>
      <c r="R922" s="320">
        <v>10044419</v>
      </c>
      <c r="S922" s="321">
        <v>43256</v>
      </c>
      <c r="T922" s="321">
        <v>43258</v>
      </c>
      <c r="U922" s="321">
        <v>43278</v>
      </c>
      <c r="V922" s="319" t="s">
        <v>435</v>
      </c>
      <c r="W922" s="319" t="s">
        <v>2767</v>
      </c>
      <c r="X922" s="319">
        <v>1</v>
      </c>
      <c r="Y922" s="319" t="s">
        <v>173</v>
      </c>
      <c r="Z922" s="319" t="s">
        <v>173</v>
      </c>
      <c r="AA922" s="319" t="s">
        <v>173</v>
      </c>
      <c r="AB922" s="319">
        <v>1</v>
      </c>
      <c r="AC922" s="319" t="s">
        <v>169</v>
      </c>
      <c r="AD922" s="319">
        <v>1</v>
      </c>
      <c r="AE922" s="319" t="s">
        <v>173</v>
      </c>
      <c r="AF922" s="319" t="s">
        <v>427</v>
      </c>
      <c r="AG922" s="319" t="s">
        <v>171</v>
      </c>
      <c r="AH922" s="319" t="s">
        <v>190</v>
      </c>
      <c r="AI922" s="319" t="s">
        <v>190</v>
      </c>
      <c r="AJ922" s="319" t="s">
        <v>190</v>
      </c>
      <c r="AK922" s="319" t="s">
        <v>190</v>
      </c>
      <c r="AL922" s="319" t="s">
        <v>190</v>
      </c>
      <c r="AM922" s="319" t="s">
        <v>190</v>
      </c>
      <c r="AN922" s="319" t="s">
        <v>190</v>
      </c>
      <c r="AO922" s="319" t="s">
        <v>190</v>
      </c>
      <c r="AP922" s="319" t="s">
        <v>190</v>
      </c>
      <c r="AQ922" s="319" t="s">
        <v>190</v>
      </c>
      <c r="AR922" s="319" t="s">
        <v>190</v>
      </c>
      <c r="AS922" s="319" t="s">
        <v>190</v>
      </c>
      <c r="AT922" s="319" t="s">
        <v>190</v>
      </c>
      <c r="AU922" s="319" t="s">
        <v>190</v>
      </c>
      <c r="AV922" s="319" t="s">
        <v>190</v>
      </c>
      <c r="AW922" s="319" t="s">
        <v>190</v>
      </c>
      <c r="AX922" s="319" t="s">
        <v>428</v>
      </c>
      <c r="AY922" s="319" t="s">
        <v>190</v>
      </c>
      <c r="AZ922" s="319" t="s">
        <v>190</v>
      </c>
      <c r="BA922" s="319" t="s">
        <v>190</v>
      </c>
      <c r="BB922" s="319" t="s">
        <v>428</v>
      </c>
      <c r="BC922" s="319" t="s">
        <v>428</v>
      </c>
      <c r="BD922" s="319" t="s">
        <v>428</v>
      </c>
      <c r="BE922" s="319" t="s">
        <v>428</v>
      </c>
      <c r="BF922" s="319" t="s">
        <v>428</v>
      </c>
      <c r="BG922" s="319" t="s">
        <v>428</v>
      </c>
      <c r="BH922" s="319" t="s">
        <v>190</v>
      </c>
      <c r="BI922" s="319" t="s">
        <v>190</v>
      </c>
      <c r="BJ922" s="319" t="s">
        <v>190</v>
      </c>
      <c r="BK922" s="319" t="s">
        <v>190</v>
      </c>
      <c r="BL922" s="319" t="s">
        <v>190</v>
      </c>
      <c r="BM922" s="319" t="s">
        <v>190</v>
      </c>
      <c r="BN922" s="319" t="s">
        <v>190</v>
      </c>
      <c r="BO922" s="319" t="s">
        <v>190</v>
      </c>
      <c r="BP922" s="319" t="s">
        <v>190</v>
      </c>
      <c r="BQ922" s="319" t="s">
        <v>190</v>
      </c>
      <c r="BR922" s="319" t="s">
        <v>190</v>
      </c>
      <c r="BS922" s="319" t="s">
        <v>190</v>
      </c>
      <c r="BT922" s="319" t="s">
        <v>190</v>
      </c>
      <c r="BU922" s="319" t="s">
        <v>190</v>
      </c>
      <c r="BV922" s="319" t="s">
        <v>190</v>
      </c>
      <c r="BW922" s="319" t="s">
        <v>190</v>
      </c>
      <c r="BX922" s="319" t="s">
        <v>190</v>
      </c>
      <c r="BY922" s="319" t="s">
        <v>190</v>
      </c>
      <c r="BZ922" s="319" t="s">
        <v>190</v>
      </c>
      <c r="CA922" s="319" t="s">
        <v>190</v>
      </c>
      <c r="CB922" s="319" t="s">
        <v>190</v>
      </c>
      <c r="CC922" s="319" t="s">
        <v>190</v>
      </c>
      <c r="CD922" s="319" t="s">
        <v>190</v>
      </c>
      <c r="CE922" s="319" t="s">
        <v>190</v>
      </c>
      <c r="CF922" s="319" t="s">
        <v>190</v>
      </c>
      <c r="CG922" s="319" t="s">
        <v>190</v>
      </c>
      <c r="CH922" s="319" t="s">
        <v>190</v>
      </c>
      <c r="CI922" s="319" t="s">
        <v>190</v>
      </c>
      <c r="CJ922" s="319" t="s">
        <v>190</v>
      </c>
      <c r="CK922" s="319" t="s">
        <v>190</v>
      </c>
      <c r="CL922" s="319" t="s">
        <v>190</v>
      </c>
      <c r="CM922" s="319" t="s">
        <v>190</v>
      </c>
      <c r="CN922" s="319" t="s">
        <v>428</v>
      </c>
      <c r="CO922" s="319" t="s">
        <v>428</v>
      </c>
      <c r="CP922" s="319" t="s">
        <v>428</v>
      </c>
      <c r="CQ922" s="319" t="s">
        <v>190</v>
      </c>
      <c r="CR922" s="319" t="s">
        <v>190</v>
      </c>
      <c r="CS922" s="319" t="s">
        <v>190</v>
      </c>
      <c r="CT922" s="319" t="s">
        <v>190</v>
      </c>
      <c r="CU922" s="319" t="s">
        <v>190</v>
      </c>
      <c r="CV922" s="319" t="s">
        <v>190</v>
      </c>
      <c r="CW922" s="319" t="s">
        <v>190</v>
      </c>
      <c r="CX922" s="319" t="s">
        <v>190</v>
      </c>
      <c r="CY922" s="319" t="s">
        <v>190</v>
      </c>
      <c r="CZ922" s="319" t="s">
        <v>190</v>
      </c>
      <c r="DA922" s="319" t="s">
        <v>190</v>
      </c>
      <c r="DB922" s="319" t="s">
        <v>190</v>
      </c>
      <c r="DC922" s="319" t="s">
        <v>190</v>
      </c>
      <c r="DD922" s="319" t="s">
        <v>190</v>
      </c>
      <c r="DE922" s="319" t="s">
        <v>190</v>
      </c>
      <c r="DF922" s="319" t="s">
        <v>190</v>
      </c>
      <c r="DG922" s="319" t="s">
        <v>190</v>
      </c>
      <c r="DH922" s="319" t="s">
        <v>190</v>
      </c>
      <c r="DI922" s="319" t="s">
        <v>190</v>
      </c>
      <c r="DJ922" s="319" t="s">
        <v>190</v>
      </c>
      <c r="DK922" s="319" t="s">
        <v>190</v>
      </c>
      <c r="DL922" s="319" t="s">
        <v>190</v>
      </c>
      <c r="DM922" s="319" t="s">
        <v>190</v>
      </c>
      <c r="DN922" s="319" t="s">
        <v>428</v>
      </c>
      <c r="DO922" s="319" t="s">
        <v>190</v>
      </c>
      <c r="DP922" s="319" t="s">
        <v>190</v>
      </c>
      <c r="DQ922" s="319" t="s">
        <v>190</v>
      </c>
      <c r="DR922" s="319" t="s">
        <v>190</v>
      </c>
      <c r="DS922" s="319" t="s">
        <v>190</v>
      </c>
      <c r="DT922" s="319" t="s">
        <v>190</v>
      </c>
      <c r="DU922" s="319" t="s">
        <v>190</v>
      </c>
      <c r="DV922" s="319" t="s">
        <v>173</v>
      </c>
      <c r="DW922" s="319" t="s">
        <v>190</v>
      </c>
      <c r="DX922" s="319" t="s">
        <v>190</v>
      </c>
      <c r="DY922" s="319" t="s">
        <v>190</v>
      </c>
      <c r="DZ922" s="319" t="s">
        <v>190</v>
      </c>
      <c r="EA922" s="319" t="s">
        <v>190</v>
      </c>
      <c r="EB922" s="319" t="s">
        <v>190</v>
      </c>
      <c r="EC922" s="319" t="s">
        <v>428</v>
      </c>
      <c r="ED922" s="319" t="s">
        <v>190</v>
      </c>
      <c r="EE922" s="319" t="s">
        <v>190</v>
      </c>
      <c r="EF922" s="319" t="s">
        <v>190</v>
      </c>
      <c r="EG922" s="319" t="s">
        <v>190</v>
      </c>
      <c r="EH922" s="319" t="s">
        <v>190</v>
      </c>
      <c r="EI922" s="319" t="s">
        <v>190</v>
      </c>
      <c r="EJ922" s="319" t="s">
        <v>190</v>
      </c>
      <c r="EK922" s="319" t="s">
        <v>190</v>
      </c>
      <c r="EL922" s="319" t="s">
        <v>190</v>
      </c>
      <c r="EM922" s="319" t="s">
        <v>190</v>
      </c>
      <c r="EN922" s="319" t="s">
        <v>190</v>
      </c>
      <c r="EO922" s="319" t="s">
        <v>190</v>
      </c>
      <c r="EP922" s="319" t="s">
        <v>190</v>
      </c>
      <c r="EQ922" s="319" t="s">
        <v>190</v>
      </c>
      <c r="ER922" s="319" t="s">
        <v>190</v>
      </c>
      <c r="ES922" s="319" t="s">
        <v>190</v>
      </c>
      <c r="ET922" s="319" t="s">
        <v>190</v>
      </c>
      <c r="EU922" s="319" t="s">
        <v>190</v>
      </c>
      <c r="EV922" s="319" t="s">
        <v>190</v>
      </c>
      <c r="EW922" s="319" t="s">
        <v>190</v>
      </c>
      <c r="EX922" s="319" t="s">
        <v>190</v>
      </c>
      <c r="EY922" s="319" t="s">
        <v>190</v>
      </c>
      <c r="EZ922" s="319" t="s">
        <v>190</v>
      </c>
      <c r="FA922" s="319" t="s">
        <v>190</v>
      </c>
      <c r="FB922" s="319" t="s">
        <v>190</v>
      </c>
      <c r="FC922" s="319" t="s">
        <v>190</v>
      </c>
      <c r="FD922" s="319" t="s">
        <v>190</v>
      </c>
      <c r="FE922" s="319" t="s">
        <v>190</v>
      </c>
      <c r="FF922" s="319" t="s">
        <v>190</v>
      </c>
      <c r="FG922" s="319" t="s">
        <v>190</v>
      </c>
      <c r="FH922" s="319" t="s">
        <v>190</v>
      </c>
      <c r="FI922" s="319" t="s">
        <v>190</v>
      </c>
      <c r="FJ922" s="319" t="s">
        <v>190</v>
      </c>
      <c r="FK922" s="319" t="s">
        <v>190</v>
      </c>
      <c r="FL922" s="319" t="s">
        <v>190</v>
      </c>
      <c r="FM922" s="319" t="s">
        <v>190</v>
      </c>
      <c r="FN922" s="319" t="s">
        <v>190</v>
      </c>
      <c r="FO922" s="319" t="s">
        <v>190</v>
      </c>
      <c r="FP922" s="319" t="s">
        <v>190</v>
      </c>
      <c r="FQ922" s="319" t="s">
        <v>190</v>
      </c>
      <c r="FR922" s="319" t="s">
        <v>190</v>
      </c>
      <c r="FS922" s="319" t="s">
        <v>190</v>
      </c>
      <c r="FT922" s="319" t="s">
        <v>190</v>
      </c>
      <c r="FU922" s="319" t="s">
        <v>190</v>
      </c>
      <c r="FV922" s="319" t="s">
        <v>190</v>
      </c>
      <c r="FW922" s="319" t="s">
        <v>190</v>
      </c>
      <c r="FX922" s="319" t="s">
        <v>190</v>
      </c>
      <c r="FY922" s="319" t="s">
        <v>190</v>
      </c>
      <c r="FZ922" s="319" t="s">
        <v>190</v>
      </c>
      <c r="GA922" s="319" t="s">
        <v>190</v>
      </c>
      <c r="GB922" s="319" t="s">
        <v>190</v>
      </c>
      <c r="GC922" s="319" t="s">
        <v>190</v>
      </c>
      <c r="GD922" s="319" t="s">
        <v>190</v>
      </c>
      <c r="GE922" s="319" t="s">
        <v>190</v>
      </c>
      <c r="GF922" s="319" t="s">
        <v>190</v>
      </c>
      <c r="GG922" s="319" t="s">
        <v>190</v>
      </c>
      <c r="GH922" s="319" t="s">
        <v>190</v>
      </c>
      <c r="GI922" s="319" t="s">
        <v>190</v>
      </c>
      <c r="GJ922" s="319" t="s">
        <v>190</v>
      </c>
      <c r="GK922" s="319" t="s">
        <v>428</v>
      </c>
      <c r="GL922" s="319" t="s">
        <v>190</v>
      </c>
      <c r="GM922" s="319" t="s">
        <v>190</v>
      </c>
      <c r="GN922" s="319" t="s">
        <v>190</v>
      </c>
      <c r="GO922" s="319" t="s">
        <v>190</v>
      </c>
      <c r="GP922" s="319" t="s">
        <v>428</v>
      </c>
      <c r="GQ922" s="319" t="s">
        <v>428</v>
      </c>
      <c r="GR922" s="319" t="s">
        <v>190</v>
      </c>
      <c r="GS922" s="319" t="s">
        <v>190</v>
      </c>
      <c r="GT922" s="319" t="s">
        <v>428</v>
      </c>
      <c r="GU922" s="319" t="s">
        <v>190</v>
      </c>
      <c r="GV922" s="319" t="s">
        <v>190</v>
      </c>
      <c r="GW922" s="319" t="s">
        <v>190</v>
      </c>
      <c r="GX922" s="319" t="s">
        <v>190</v>
      </c>
      <c r="GY922" s="319" t="s">
        <v>190</v>
      </c>
      <c r="GZ922" s="319" t="s">
        <v>428</v>
      </c>
      <c r="HA922" s="319" t="s">
        <v>190</v>
      </c>
      <c r="HB922" s="319" t="s">
        <v>190</v>
      </c>
      <c r="HC922" s="319" t="s">
        <v>190</v>
      </c>
      <c r="HD922" s="319" t="s">
        <v>190</v>
      </c>
      <c r="HE922" s="319" t="s">
        <v>190</v>
      </c>
      <c r="HF922" s="319" t="s">
        <v>190</v>
      </c>
      <c r="HG922" s="319" t="s">
        <v>190</v>
      </c>
      <c r="HH922" s="319" t="s">
        <v>190</v>
      </c>
      <c r="HI922" s="319" t="s">
        <v>190</v>
      </c>
      <c r="HJ922" s="319" t="s">
        <v>190</v>
      </c>
      <c r="HK922" s="319" t="s">
        <v>428</v>
      </c>
      <c r="HL922" s="319" t="s">
        <v>428</v>
      </c>
      <c r="HM922" s="319" t="s">
        <v>428</v>
      </c>
      <c r="HN922" s="319" t="s">
        <v>428</v>
      </c>
      <c r="HO922" s="319" t="s">
        <v>428</v>
      </c>
      <c r="HP922" s="319" t="s">
        <v>190</v>
      </c>
      <c r="HQ922" s="319" t="s">
        <v>190</v>
      </c>
      <c r="HR922" s="319" t="s">
        <v>190</v>
      </c>
      <c r="HS922" s="319" t="s">
        <v>190</v>
      </c>
      <c r="HT922" s="319" t="s">
        <v>190</v>
      </c>
      <c r="HU922" s="319" t="s">
        <v>190</v>
      </c>
      <c r="HV922" s="319" t="s">
        <v>190</v>
      </c>
      <c r="HW922" s="319" t="s">
        <v>190</v>
      </c>
      <c r="HX922" s="319" t="s">
        <v>190</v>
      </c>
      <c r="HY922" s="319" t="s">
        <v>190</v>
      </c>
      <c r="HZ922" s="319" t="s">
        <v>190</v>
      </c>
      <c r="IA922" s="319" t="s">
        <v>190</v>
      </c>
      <c r="IB922" s="319" t="s">
        <v>190</v>
      </c>
      <c r="IC922" s="319" t="s">
        <v>190</v>
      </c>
      <c r="ID922" s="319" t="s">
        <v>190</v>
      </c>
      <c r="IE922" s="319" t="s">
        <v>190</v>
      </c>
      <c r="IF922" s="319" t="s">
        <v>190</v>
      </c>
      <c r="IG922" s="319" t="s">
        <v>190</v>
      </c>
      <c r="IH922" s="319" t="s">
        <v>190</v>
      </c>
      <c r="II922" s="319" t="s">
        <v>190</v>
      </c>
      <c r="IJ922" s="319" t="s">
        <v>173</v>
      </c>
      <c r="IK922" s="319" t="s">
        <v>173</v>
      </c>
      <c r="IL922" s="319" t="s">
        <v>173</v>
      </c>
      <c r="IM922" s="319" t="s">
        <v>173</v>
      </c>
      <c r="IN922" s="319" t="s">
        <v>173</v>
      </c>
      <c r="IO922" s="319" t="s">
        <v>173</v>
      </c>
      <c r="IP922" s="319" t="s">
        <v>173</v>
      </c>
      <c r="IQ922" s="321" t="s">
        <v>173</v>
      </c>
      <c r="IR922" s="320" t="s">
        <v>173</v>
      </c>
      <c r="IS922" s="322" t="s">
        <v>173</v>
      </c>
      <c r="IT922" s="319" t="s">
        <v>173</v>
      </c>
    </row>
    <row r="923" spans="1:254" s="271" customFormat="1" x14ac:dyDescent="0.25">
      <c r="A923" s="318" t="str">
        <f>HYPERLINK("http://www.ofsted.gov.uk/inspection-reports/find-inspection-report/provider/ELS/144774 ","Ofsted School Webpage")</f>
        <v>Ofsted School Webpage</v>
      </c>
      <c r="B923" s="319">
        <v>144774</v>
      </c>
      <c r="C923" s="319">
        <v>3196000</v>
      </c>
      <c r="D923" s="319" t="s">
        <v>523</v>
      </c>
      <c r="E923" s="319" t="s">
        <v>168</v>
      </c>
      <c r="F923" s="319" t="s">
        <v>81</v>
      </c>
      <c r="G923" s="319" t="s">
        <v>81</v>
      </c>
      <c r="H923" s="319" t="s">
        <v>81</v>
      </c>
      <c r="I923" s="319" t="s">
        <v>78</v>
      </c>
      <c r="J923" s="319" t="s">
        <v>424</v>
      </c>
      <c r="K923" s="319" t="s">
        <v>441</v>
      </c>
      <c r="L923" s="319" t="s">
        <v>441</v>
      </c>
      <c r="M923" s="319" t="s">
        <v>524</v>
      </c>
      <c r="N923" s="319" t="s">
        <v>3329</v>
      </c>
      <c r="O923" s="319" t="s">
        <v>525</v>
      </c>
      <c r="P923" s="319" t="s">
        <v>173</v>
      </c>
      <c r="Q923" s="319" t="s">
        <v>429</v>
      </c>
      <c r="R923" s="320">
        <v>10054306</v>
      </c>
      <c r="S923" s="321">
        <v>43375</v>
      </c>
      <c r="T923" s="321">
        <v>43377</v>
      </c>
      <c r="U923" s="321">
        <v>43411</v>
      </c>
      <c r="V923" s="319" t="s">
        <v>435</v>
      </c>
      <c r="W923" s="319" t="s">
        <v>2767</v>
      </c>
      <c r="X923" s="319">
        <v>2</v>
      </c>
      <c r="Y923" s="319" t="s">
        <v>173</v>
      </c>
      <c r="Z923" s="319" t="s">
        <v>173</v>
      </c>
      <c r="AA923" s="319" t="s">
        <v>173</v>
      </c>
      <c r="AB923" s="319">
        <v>1</v>
      </c>
      <c r="AC923" s="319" t="s">
        <v>169</v>
      </c>
      <c r="AD923" s="319" t="s">
        <v>173</v>
      </c>
      <c r="AE923" s="319" t="s">
        <v>173</v>
      </c>
      <c r="AF923" s="319" t="s">
        <v>427</v>
      </c>
      <c r="AG923" s="319" t="s">
        <v>171</v>
      </c>
      <c r="AH923" s="319" t="s">
        <v>190</v>
      </c>
      <c r="AI923" s="319" t="s">
        <v>190</v>
      </c>
      <c r="AJ923" s="319" t="s">
        <v>190</v>
      </c>
      <c r="AK923" s="319" t="s">
        <v>190</v>
      </c>
      <c r="AL923" s="319" t="s">
        <v>190</v>
      </c>
      <c r="AM923" s="319" t="s">
        <v>190</v>
      </c>
      <c r="AN923" s="319" t="s">
        <v>190</v>
      </c>
      <c r="AO923" s="319" t="s">
        <v>190</v>
      </c>
      <c r="AP923" s="319" t="s">
        <v>190</v>
      </c>
      <c r="AQ923" s="319" t="s">
        <v>190</v>
      </c>
      <c r="AR923" s="319" t="s">
        <v>190</v>
      </c>
      <c r="AS923" s="319" t="s">
        <v>190</v>
      </c>
      <c r="AT923" s="319" t="s">
        <v>190</v>
      </c>
      <c r="AU923" s="319" t="s">
        <v>190</v>
      </c>
      <c r="AV923" s="319" t="s">
        <v>190</v>
      </c>
      <c r="AW923" s="319" t="s">
        <v>190</v>
      </c>
      <c r="AX923" s="319" t="s">
        <v>428</v>
      </c>
      <c r="AY923" s="319" t="s">
        <v>190</v>
      </c>
      <c r="AZ923" s="319" t="s">
        <v>190</v>
      </c>
      <c r="BA923" s="319" t="s">
        <v>190</v>
      </c>
      <c r="BB923" s="319" t="s">
        <v>190</v>
      </c>
      <c r="BC923" s="319" t="s">
        <v>190</v>
      </c>
      <c r="BD923" s="319" t="s">
        <v>190</v>
      </c>
      <c r="BE923" s="319" t="s">
        <v>190</v>
      </c>
      <c r="BF923" s="319" t="s">
        <v>428</v>
      </c>
      <c r="BG923" s="319" t="s">
        <v>428</v>
      </c>
      <c r="BH923" s="319" t="s">
        <v>190</v>
      </c>
      <c r="BI923" s="319" t="s">
        <v>190</v>
      </c>
      <c r="BJ923" s="319" t="s">
        <v>190</v>
      </c>
      <c r="BK923" s="319" t="s">
        <v>190</v>
      </c>
      <c r="BL923" s="319" t="s">
        <v>190</v>
      </c>
      <c r="BM923" s="319" t="s">
        <v>190</v>
      </c>
      <c r="BN923" s="319" t="s">
        <v>190</v>
      </c>
      <c r="BO923" s="319" t="s">
        <v>190</v>
      </c>
      <c r="BP923" s="319" t="s">
        <v>190</v>
      </c>
      <c r="BQ923" s="319" t="s">
        <v>190</v>
      </c>
      <c r="BR923" s="319" t="s">
        <v>190</v>
      </c>
      <c r="BS923" s="319" t="s">
        <v>190</v>
      </c>
      <c r="BT923" s="319" t="s">
        <v>190</v>
      </c>
      <c r="BU923" s="319" t="s">
        <v>190</v>
      </c>
      <c r="BV923" s="319" t="s">
        <v>190</v>
      </c>
      <c r="BW923" s="319" t="s">
        <v>190</v>
      </c>
      <c r="BX923" s="319" t="s">
        <v>190</v>
      </c>
      <c r="BY923" s="319" t="s">
        <v>190</v>
      </c>
      <c r="BZ923" s="319" t="s">
        <v>190</v>
      </c>
      <c r="CA923" s="319" t="s">
        <v>190</v>
      </c>
      <c r="CB923" s="319" t="s">
        <v>190</v>
      </c>
      <c r="CC923" s="319" t="s">
        <v>190</v>
      </c>
      <c r="CD923" s="319" t="s">
        <v>190</v>
      </c>
      <c r="CE923" s="319" t="s">
        <v>190</v>
      </c>
      <c r="CF923" s="319" t="s">
        <v>190</v>
      </c>
      <c r="CG923" s="319" t="s">
        <v>190</v>
      </c>
      <c r="CH923" s="319" t="s">
        <v>190</v>
      </c>
      <c r="CI923" s="319" t="s">
        <v>190</v>
      </c>
      <c r="CJ923" s="319" t="s">
        <v>190</v>
      </c>
      <c r="CK923" s="319" t="s">
        <v>190</v>
      </c>
      <c r="CL923" s="319" t="s">
        <v>190</v>
      </c>
      <c r="CM923" s="319" t="s">
        <v>190</v>
      </c>
      <c r="CN923" s="319" t="s">
        <v>428</v>
      </c>
      <c r="CO923" s="319" t="s">
        <v>428</v>
      </c>
      <c r="CP923" s="319" t="s">
        <v>428</v>
      </c>
      <c r="CQ923" s="319" t="s">
        <v>190</v>
      </c>
      <c r="CR923" s="319" t="s">
        <v>190</v>
      </c>
      <c r="CS923" s="319" t="s">
        <v>190</v>
      </c>
      <c r="CT923" s="319" t="s">
        <v>190</v>
      </c>
      <c r="CU923" s="319" t="s">
        <v>190</v>
      </c>
      <c r="CV923" s="319" t="s">
        <v>190</v>
      </c>
      <c r="CW923" s="319" t="s">
        <v>190</v>
      </c>
      <c r="CX923" s="319" t="s">
        <v>190</v>
      </c>
      <c r="CY923" s="319" t="s">
        <v>190</v>
      </c>
      <c r="CZ923" s="319" t="s">
        <v>190</v>
      </c>
      <c r="DA923" s="319" t="s">
        <v>190</v>
      </c>
      <c r="DB923" s="319" t="s">
        <v>190</v>
      </c>
      <c r="DC923" s="319" t="s">
        <v>190</v>
      </c>
      <c r="DD923" s="319" t="s">
        <v>190</v>
      </c>
      <c r="DE923" s="319" t="s">
        <v>190</v>
      </c>
      <c r="DF923" s="319" t="s">
        <v>190</v>
      </c>
      <c r="DG923" s="319" t="s">
        <v>190</v>
      </c>
      <c r="DH923" s="319" t="s">
        <v>190</v>
      </c>
      <c r="DI923" s="319" t="s">
        <v>190</v>
      </c>
      <c r="DJ923" s="319" t="s">
        <v>190</v>
      </c>
      <c r="DK923" s="319" t="s">
        <v>190</v>
      </c>
      <c r="DL923" s="319" t="s">
        <v>190</v>
      </c>
      <c r="DM923" s="319" t="s">
        <v>190</v>
      </c>
      <c r="DN923" s="319" t="s">
        <v>428</v>
      </c>
      <c r="DO923" s="319" t="s">
        <v>190</v>
      </c>
      <c r="DP923" s="319" t="s">
        <v>190</v>
      </c>
      <c r="DQ923" s="319" t="s">
        <v>190</v>
      </c>
      <c r="DR923" s="319" t="s">
        <v>190</v>
      </c>
      <c r="DS923" s="319" t="s">
        <v>190</v>
      </c>
      <c r="DT923" s="319" t="s">
        <v>190</v>
      </c>
      <c r="DU923" s="319" t="s">
        <v>190</v>
      </c>
      <c r="DV923" s="319" t="s">
        <v>173</v>
      </c>
      <c r="DW923" s="319" t="s">
        <v>190</v>
      </c>
      <c r="DX923" s="319" t="s">
        <v>190</v>
      </c>
      <c r="DY923" s="319" t="s">
        <v>190</v>
      </c>
      <c r="DZ923" s="319" t="s">
        <v>190</v>
      </c>
      <c r="EA923" s="319" t="s">
        <v>190</v>
      </c>
      <c r="EB923" s="319" t="s">
        <v>190</v>
      </c>
      <c r="EC923" s="319" t="s">
        <v>428</v>
      </c>
      <c r="ED923" s="319" t="s">
        <v>190</v>
      </c>
      <c r="EE923" s="319" t="s">
        <v>190</v>
      </c>
      <c r="EF923" s="319" t="s">
        <v>190</v>
      </c>
      <c r="EG923" s="319" t="s">
        <v>190</v>
      </c>
      <c r="EH923" s="319" t="s">
        <v>190</v>
      </c>
      <c r="EI923" s="319" t="s">
        <v>190</v>
      </c>
      <c r="EJ923" s="319" t="s">
        <v>190</v>
      </c>
      <c r="EK923" s="319" t="s">
        <v>190</v>
      </c>
      <c r="EL923" s="319" t="s">
        <v>190</v>
      </c>
      <c r="EM923" s="319" t="s">
        <v>190</v>
      </c>
      <c r="EN923" s="319" t="s">
        <v>190</v>
      </c>
      <c r="EO923" s="319" t="s">
        <v>190</v>
      </c>
      <c r="EP923" s="319" t="s">
        <v>190</v>
      </c>
      <c r="EQ923" s="319" t="s">
        <v>190</v>
      </c>
      <c r="ER923" s="319" t="s">
        <v>190</v>
      </c>
      <c r="ES923" s="319" t="s">
        <v>190</v>
      </c>
      <c r="ET923" s="319" t="s">
        <v>190</v>
      </c>
      <c r="EU923" s="319" t="s">
        <v>190</v>
      </c>
      <c r="EV923" s="319" t="s">
        <v>190</v>
      </c>
      <c r="EW923" s="319" t="s">
        <v>190</v>
      </c>
      <c r="EX923" s="319" t="s">
        <v>190</v>
      </c>
      <c r="EY923" s="319" t="s">
        <v>190</v>
      </c>
      <c r="EZ923" s="319" t="s">
        <v>190</v>
      </c>
      <c r="FA923" s="319" t="s">
        <v>428</v>
      </c>
      <c r="FB923" s="319" t="s">
        <v>190</v>
      </c>
      <c r="FC923" s="319" t="s">
        <v>190</v>
      </c>
      <c r="FD923" s="319" t="s">
        <v>190</v>
      </c>
      <c r="FE923" s="319" t="s">
        <v>190</v>
      </c>
      <c r="FF923" s="319" t="s">
        <v>190</v>
      </c>
      <c r="FG923" s="319" t="s">
        <v>190</v>
      </c>
      <c r="FH923" s="319" t="s">
        <v>190</v>
      </c>
      <c r="FI923" s="319" t="s">
        <v>428</v>
      </c>
      <c r="FJ923" s="319" t="s">
        <v>429</v>
      </c>
      <c r="FK923" s="319" t="s">
        <v>428</v>
      </c>
      <c r="FL923" s="319" t="s">
        <v>190</v>
      </c>
      <c r="FM923" s="319" t="s">
        <v>190</v>
      </c>
      <c r="FN923" s="319" t="s">
        <v>190</v>
      </c>
      <c r="FO923" s="319" t="s">
        <v>190</v>
      </c>
      <c r="FP923" s="319" t="s">
        <v>190</v>
      </c>
      <c r="FQ923" s="319" t="s">
        <v>190</v>
      </c>
      <c r="FR923" s="319" t="s">
        <v>190</v>
      </c>
      <c r="FS923" s="319" t="s">
        <v>428</v>
      </c>
      <c r="FT923" s="319" t="s">
        <v>190</v>
      </c>
      <c r="FU923" s="319" t="s">
        <v>190</v>
      </c>
      <c r="FV923" s="319" t="s">
        <v>190</v>
      </c>
      <c r="FW923" s="319" t="s">
        <v>190</v>
      </c>
      <c r="FX923" s="319" t="s">
        <v>190</v>
      </c>
      <c r="FY923" s="319" t="s">
        <v>190</v>
      </c>
      <c r="FZ923" s="319" t="s">
        <v>190</v>
      </c>
      <c r="GA923" s="319" t="s">
        <v>190</v>
      </c>
      <c r="GB923" s="319" t="s">
        <v>190</v>
      </c>
      <c r="GC923" s="319" t="s">
        <v>190</v>
      </c>
      <c r="GD923" s="319" t="s">
        <v>190</v>
      </c>
      <c r="GE923" s="319" t="s">
        <v>190</v>
      </c>
      <c r="GF923" s="319" t="s">
        <v>190</v>
      </c>
      <c r="GG923" s="319" t="s">
        <v>190</v>
      </c>
      <c r="GH923" s="319" t="s">
        <v>190</v>
      </c>
      <c r="GI923" s="319" t="s">
        <v>190</v>
      </c>
      <c r="GJ923" s="319" t="s">
        <v>190</v>
      </c>
      <c r="GK923" s="319" t="s">
        <v>428</v>
      </c>
      <c r="GL923" s="319" t="s">
        <v>190</v>
      </c>
      <c r="GM923" s="319" t="s">
        <v>190</v>
      </c>
      <c r="GN923" s="319" t="s">
        <v>190</v>
      </c>
      <c r="GO923" s="319" t="s">
        <v>190</v>
      </c>
      <c r="GP923" s="319" t="s">
        <v>428</v>
      </c>
      <c r="GQ923" s="319" t="s">
        <v>428</v>
      </c>
      <c r="GR923" s="319" t="s">
        <v>190</v>
      </c>
      <c r="GS923" s="319" t="s">
        <v>190</v>
      </c>
      <c r="GT923" s="319" t="s">
        <v>190</v>
      </c>
      <c r="GU923" s="319" t="s">
        <v>190</v>
      </c>
      <c r="GV923" s="319" t="s">
        <v>190</v>
      </c>
      <c r="GW923" s="319" t="s">
        <v>190</v>
      </c>
      <c r="GX923" s="319" t="s">
        <v>190</v>
      </c>
      <c r="GY923" s="319" t="s">
        <v>190</v>
      </c>
      <c r="GZ923" s="319" t="s">
        <v>428</v>
      </c>
      <c r="HA923" s="319" t="s">
        <v>190</v>
      </c>
      <c r="HB923" s="319" t="s">
        <v>428</v>
      </c>
      <c r="HC923" s="319" t="s">
        <v>190</v>
      </c>
      <c r="HD923" s="319" t="s">
        <v>190</v>
      </c>
      <c r="HE923" s="319" t="s">
        <v>190</v>
      </c>
      <c r="HF923" s="319" t="s">
        <v>190</v>
      </c>
      <c r="HG923" s="319" t="s">
        <v>190</v>
      </c>
      <c r="HH923" s="319" t="s">
        <v>190</v>
      </c>
      <c r="HI923" s="319" t="s">
        <v>190</v>
      </c>
      <c r="HJ923" s="319" t="s">
        <v>190</v>
      </c>
      <c r="HK923" s="319" t="s">
        <v>428</v>
      </c>
      <c r="HL923" s="319" t="s">
        <v>428</v>
      </c>
      <c r="HM923" s="319" t="s">
        <v>428</v>
      </c>
      <c r="HN923" s="319" t="s">
        <v>428</v>
      </c>
      <c r="HO923" s="319" t="s">
        <v>428</v>
      </c>
      <c r="HP923" s="319" t="s">
        <v>190</v>
      </c>
      <c r="HQ923" s="319" t="s">
        <v>190</v>
      </c>
      <c r="HR923" s="319" t="s">
        <v>190</v>
      </c>
      <c r="HS923" s="319" t="s">
        <v>190</v>
      </c>
      <c r="HT923" s="319" t="s">
        <v>190</v>
      </c>
      <c r="HU923" s="319" t="s">
        <v>190</v>
      </c>
      <c r="HV923" s="319" t="s">
        <v>190</v>
      </c>
      <c r="HW923" s="319" t="s">
        <v>190</v>
      </c>
      <c r="HX923" s="319" t="s">
        <v>190</v>
      </c>
      <c r="HY923" s="319" t="s">
        <v>190</v>
      </c>
      <c r="HZ923" s="319" t="s">
        <v>190</v>
      </c>
      <c r="IA923" s="319" t="s">
        <v>190</v>
      </c>
      <c r="IB923" s="319" t="s">
        <v>190</v>
      </c>
      <c r="IC923" s="319" t="s">
        <v>190</v>
      </c>
      <c r="ID923" s="319" t="s">
        <v>190</v>
      </c>
      <c r="IE923" s="319" t="s">
        <v>190</v>
      </c>
      <c r="IF923" s="319" t="s">
        <v>190</v>
      </c>
      <c r="IG923" s="319" t="s">
        <v>190</v>
      </c>
      <c r="IH923" s="319" t="s">
        <v>190</v>
      </c>
      <c r="II923" s="319" t="s">
        <v>190</v>
      </c>
      <c r="IJ923" s="319" t="s">
        <v>173</v>
      </c>
      <c r="IK923" s="319" t="s">
        <v>173</v>
      </c>
      <c r="IL923" s="319" t="s">
        <v>173</v>
      </c>
      <c r="IM923" s="319" t="s">
        <v>173</v>
      </c>
      <c r="IN923" s="319" t="s">
        <v>173</v>
      </c>
      <c r="IO923" s="319" t="s">
        <v>173</v>
      </c>
      <c r="IP923" s="319" t="s">
        <v>173</v>
      </c>
      <c r="IQ923" s="319" t="s">
        <v>173</v>
      </c>
      <c r="IR923" s="320" t="s">
        <v>173</v>
      </c>
      <c r="IS923" s="320" t="s">
        <v>173</v>
      </c>
      <c r="IT923" s="319" t="s">
        <v>173</v>
      </c>
    </row>
    <row r="924" spans="1:254" s="271" customFormat="1" x14ac:dyDescent="0.25">
      <c r="A924" s="318" t="str">
        <f>HYPERLINK("http://www.ofsted.gov.uk/inspection-reports/find-inspection-report/provider/ELS/144775 ","Ofsted School Webpage")</f>
        <v>Ofsted School Webpage</v>
      </c>
      <c r="B924" s="319">
        <v>144775</v>
      </c>
      <c r="C924" s="319">
        <v>8816068</v>
      </c>
      <c r="D924" s="319" t="s">
        <v>2459</v>
      </c>
      <c r="E924" s="319" t="s">
        <v>168</v>
      </c>
      <c r="F924" s="319" t="s">
        <v>81</v>
      </c>
      <c r="G924" s="319" t="s">
        <v>81</v>
      </c>
      <c r="H924" s="319" t="s">
        <v>81</v>
      </c>
      <c r="I924" s="319" t="s">
        <v>78</v>
      </c>
      <c r="J924" s="319" t="s">
        <v>424</v>
      </c>
      <c r="K924" s="319" t="s">
        <v>451</v>
      </c>
      <c r="L924" s="319" t="s">
        <v>451</v>
      </c>
      <c r="M924" s="319" t="s">
        <v>679</v>
      </c>
      <c r="N924" s="319" t="s">
        <v>2943</v>
      </c>
      <c r="O924" s="319" t="s">
        <v>2460</v>
      </c>
      <c r="P924" s="319">
        <v>40</v>
      </c>
      <c r="Q924" s="319" t="s">
        <v>2776</v>
      </c>
      <c r="R924" s="320">
        <v>10046992</v>
      </c>
      <c r="S924" s="321">
        <v>43221</v>
      </c>
      <c r="T924" s="321">
        <v>43223</v>
      </c>
      <c r="U924" s="321">
        <v>43265</v>
      </c>
      <c r="V924" s="319" t="s">
        <v>435</v>
      </c>
      <c r="W924" s="319" t="s">
        <v>2767</v>
      </c>
      <c r="X924" s="319">
        <v>3</v>
      </c>
      <c r="Y924" s="319" t="s">
        <v>173</v>
      </c>
      <c r="Z924" s="319" t="s">
        <v>173</v>
      </c>
      <c r="AA924" s="319" t="s">
        <v>173</v>
      </c>
      <c r="AB924" s="319">
        <v>3</v>
      </c>
      <c r="AC924" s="319" t="s">
        <v>169</v>
      </c>
      <c r="AD924" s="319" t="s">
        <v>173</v>
      </c>
      <c r="AE924" s="319">
        <v>0</v>
      </c>
      <c r="AF924" s="319" t="s">
        <v>427</v>
      </c>
      <c r="AG924" s="319" t="s">
        <v>172</v>
      </c>
      <c r="AH924" s="319" t="s">
        <v>479</v>
      </c>
      <c r="AI924" s="319" t="s">
        <v>190</v>
      </c>
      <c r="AJ924" s="319" t="s">
        <v>190</v>
      </c>
      <c r="AK924" s="319" t="s">
        <v>190</v>
      </c>
      <c r="AL924" s="319" t="s">
        <v>190</v>
      </c>
      <c r="AM924" s="319" t="s">
        <v>190</v>
      </c>
      <c r="AN924" s="319" t="s">
        <v>190</v>
      </c>
      <c r="AO924" s="319" t="s">
        <v>479</v>
      </c>
      <c r="AP924" s="319" t="s">
        <v>190</v>
      </c>
      <c r="AQ924" s="319" t="s">
        <v>190</v>
      </c>
      <c r="AR924" s="319" t="s">
        <v>190</v>
      </c>
      <c r="AS924" s="319" t="s">
        <v>190</v>
      </c>
      <c r="AT924" s="319" t="s">
        <v>190</v>
      </c>
      <c r="AU924" s="319" t="s">
        <v>190</v>
      </c>
      <c r="AV924" s="319" t="s">
        <v>190</v>
      </c>
      <c r="AW924" s="319" t="s">
        <v>190</v>
      </c>
      <c r="AX924" s="319" t="s">
        <v>428</v>
      </c>
      <c r="AY924" s="319" t="s">
        <v>190</v>
      </c>
      <c r="AZ924" s="319" t="s">
        <v>190</v>
      </c>
      <c r="BA924" s="319" t="s">
        <v>190</v>
      </c>
      <c r="BB924" s="319" t="s">
        <v>190</v>
      </c>
      <c r="BC924" s="319" t="s">
        <v>190</v>
      </c>
      <c r="BD924" s="319" t="s">
        <v>190</v>
      </c>
      <c r="BE924" s="319" t="s">
        <v>190</v>
      </c>
      <c r="BF924" s="319" t="s">
        <v>428</v>
      </c>
      <c r="BG924" s="319" t="s">
        <v>428</v>
      </c>
      <c r="BH924" s="319" t="s">
        <v>190</v>
      </c>
      <c r="BI924" s="319" t="s">
        <v>190</v>
      </c>
      <c r="BJ924" s="319" t="s">
        <v>191</v>
      </c>
      <c r="BK924" s="319" t="s">
        <v>191</v>
      </c>
      <c r="BL924" s="319" t="s">
        <v>190</v>
      </c>
      <c r="BM924" s="319" t="s">
        <v>191</v>
      </c>
      <c r="BN924" s="319" t="s">
        <v>191</v>
      </c>
      <c r="BO924" s="319" t="s">
        <v>190</v>
      </c>
      <c r="BP924" s="319" t="s">
        <v>190</v>
      </c>
      <c r="BQ924" s="319" t="s">
        <v>191</v>
      </c>
      <c r="BR924" s="319" t="s">
        <v>190</v>
      </c>
      <c r="BS924" s="319" t="s">
        <v>190</v>
      </c>
      <c r="BT924" s="319" t="s">
        <v>190</v>
      </c>
      <c r="BU924" s="319" t="s">
        <v>190</v>
      </c>
      <c r="BV924" s="319" t="s">
        <v>190</v>
      </c>
      <c r="BW924" s="319" t="s">
        <v>190</v>
      </c>
      <c r="BX924" s="319" t="s">
        <v>190</v>
      </c>
      <c r="BY924" s="319" t="s">
        <v>190</v>
      </c>
      <c r="BZ924" s="319" t="s">
        <v>190</v>
      </c>
      <c r="CA924" s="319" t="s">
        <v>190</v>
      </c>
      <c r="CB924" s="319" t="s">
        <v>190</v>
      </c>
      <c r="CC924" s="319" t="s">
        <v>190</v>
      </c>
      <c r="CD924" s="319" t="s">
        <v>190</v>
      </c>
      <c r="CE924" s="319" t="s">
        <v>190</v>
      </c>
      <c r="CF924" s="319" t="s">
        <v>190</v>
      </c>
      <c r="CG924" s="319" t="s">
        <v>190</v>
      </c>
      <c r="CH924" s="319" t="s">
        <v>190</v>
      </c>
      <c r="CI924" s="319" t="s">
        <v>190</v>
      </c>
      <c r="CJ924" s="319" t="s">
        <v>190</v>
      </c>
      <c r="CK924" s="319" t="s">
        <v>190</v>
      </c>
      <c r="CL924" s="319" t="s">
        <v>190</v>
      </c>
      <c r="CM924" s="319" t="s">
        <v>190</v>
      </c>
      <c r="CN924" s="319" t="s">
        <v>428</v>
      </c>
      <c r="CO924" s="319" t="s">
        <v>428</v>
      </c>
      <c r="CP924" s="319" t="s">
        <v>428</v>
      </c>
      <c r="CQ924" s="319" t="s">
        <v>190</v>
      </c>
      <c r="CR924" s="319" t="s">
        <v>190</v>
      </c>
      <c r="CS924" s="319" t="s">
        <v>190</v>
      </c>
      <c r="CT924" s="319" t="s">
        <v>190</v>
      </c>
      <c r="CU924" s="319" t="s">
        <v>190</v>
      </c>
      <c r="CV924" s="319" t="s">
        <v>190</v>
      </c>
      <c r="CW924" s="319" t="s">
        <v>190</v>
      </c>
      <c r="CX924" s="319" t="s">
        <v>190</v>
      </c>
      <c r="CY924" s="319" t="s">
        <v>190</v>
      </c>
      <c r="CZ924" s="319" t="s">
        <v>190</v>
      </c>
      <c r="DA924" s="319" t="s">
        <v>190</v>
      </c>
      <c r="DB924" s="319" t="s">
        <v>190</v>
      </c>
      <c r="DC924" s="319" t="s">
        <v>190</v>
      </c>
      <c r="DD924" s="319" t="s">
        <v>190</v>
      </c>
      <c r="DE924" s="319" t="s">
        <v>190</v>
      </c>
      <c r="DF924" s="319" t="s">
        <v>190</v>
      </c>
      <c r="DG924" s="319" t="s">
        <v>190</v>
      </c>
      <c r="DH924" s="319" t="s">
        <v>190</v>
      </c>
      <c r="DI924" s="319" t="s">
        <v>190</v>
      </c>
      <c r="DJ924" s="319" t="s">
        <v>190</v>
      </c>
      <c r="DK924" s="319" t="s">
        <v>190</v>
      </c>
      <c r="DL924" s="319" t="s">
        <v>190</v>
      </c>
      <c r="DM924" s="319" t="s">
        <v>190</v>
      </c>
      <c r="DN924" s="319" t="s">
        <v>428</v>
      </c>
      <c r="DO924" s="319" t="s">
        <v>190</v>
      </c>
      <c r="DP924" s="319" t="s">
        <v>190</v>
      </c>
      <c r="DQ924" s="319" t="s">
        <v>190</v>
      </c>
      <c r="DR924" s="319" t="s">
        <v>190</v>
      </c>
      <c r="DS924" s="319" t="s">
        <v>190</v>
      </c>
      <c r="DT924" s="319" t="s">
        <v>190</v>
      </c>
      <c r="DU924" s="319" t="s">
        <v>190</v>
      </c>
      <c r="DV924" s="319" t="s">
        <v>173</v>
      </c>
      <c r="DW924" s="319" t="s">
        <v>190</v>
      </c>
      <c r="DX924" s="319" t="s">
        <v>190</v>
      </c>
      <c r="DY924" s="319" t="s">
        <v>190</v>
      </c>
      <c r="DZ924" s="319" t="s">
        <v>190</v>
      </c>
      <c r="EA924" s="319" t="s">
        <v>190</v>
      </c>
      <c r="EB924" s="319" t="s">
        <v>190</v>
      </c>
      <c r="EC924" s="319" t="s">
        <v>428</v>
      </c>
      <c r="ED924" s="319" t="s">
        <v>428</v>
      </c>
      <c r="EE924" s="319" t="s">
        <v>190</v>
      </c>
      <c r="EF924" s="319" t="s">
        <v>190</v>
      </c>
      <c r="EG924" s="319" t="s">
        <v>190</v>
      </c>
      <c r="EH924" s="319" t="s">
        <v>190</v>
      </c>
      <c r="EI924" s="319" t="s">
        <v>190</v>
      </c>
      <c r="EJ924" s="319" t="s">
        <v>190</v>
      </c>
      <c r="EK924" s="319" t="s">
        <v>190</v>
      </c>
      <c r="EL924" s="319" t="s">
        <v>190</v>
      </c>
      <c r="EM924" s="319" t="s">
        <v>190</v>
      </c>
      <c r="EN924" s="319" t="s">
        <v>190</v>
      </c>
      <c r="EO924" s="319" t="s">
        <v>190</v>
      </c>
      <c r="EP924" s="319" t="s">
        <v>190</v>
      </c>
      <c r="EQ924" s="319" t="s">
        <v>190</v>
      </c>
      <c r="ER924" s="319" t="s">
        <v>190</v>
      </c>
      <c r="ES924" s="319" t="s">
        <v>190</v>
      </c>
      <c r="ET924" s="319" t="s">
        <v>190</v>
      </c>
      <c r="EU924" s="319" t="s">
        <v>190</v>
      </c>
      <c r="EV924" s="319" t="s">
        <v>190</v>
      </c>
      <c r="EW924" s="319" t="s">
        <v>190</v>
      </c>
      <c r="EX924" s="319" t="s">
        <v>190</v>
      </c>
      <c r="EY924" s="319" t="s">
        <v>190</v>
      </c>
      <c r="EZ924" s="319" t="s">
        <v>190</v>
      </c>
      <c r="FA924" s="319" t="s">
        <v>190</v>
      </c>
      <c r="FB924" s="319" t="s">
        <v>190</v>
      </c>
      <c r="FC924" s="319" t="s">
        <v>190</v>
      </c>
      <c r="FD924" s="319" t="s">
        <v>190</v>
      </c>
      <c r="FE924" s="319" t="s">
        <v>190</v>
      </c>
      <c r="FF924" s="319" t="s">
        <v>190</v>
      </c>
      <c r="FG924" s="319" t="s">
        <v>190</v>
      </c>
      <c r="FH924" s="319" t="s">
        <v>190</v>
      </c>
      <c r="FI924" s="319" t="s">
        <v>190</v>
      </c>
      <c r="FJ924" s="319" t="s">
        <v>190</v>
      </c>
      <c r="FK924" s="319" t="s">
        <v>190</v>
      </c>
      <c r="FL924" s="319" t="s">
        <v>190</v>
      </c>
      <c r="FM924" s="319" t="s">
        <v>190</v>
      </c>
      <c r="FN924" s="319" t="s">
        <v>190</v>
      </c>
      <c r="FO924" s="319" t="s">
        <v>190</v>
      </c>
      <c r="FP924" s="319" t="s">
        <v>190</v>
      </c>
      <c r="FQ924" s="319" t="s">
        <v>190</v>
      </c>
      <c r="FR924" s="319" t="s">
        <v>190</v>
      </c>
      <c r="FS924" s="319" t="s">
        <v>190</v>
      </c>
      <c r="FT924" s="319" t="s">
        <v>190</v>
      </c>
      <c r="FU924" s="319" t="s">
        <v>190</v>
      </c>
      <c r="FV924" s="319" t="s">
        <v>190</v>
      </c>
      <c r="FW924" s="319" t="s">
        <v>190</v>
      </c>
      <c r="FX924" s="319" t="s">
        <v>190</v>
      </c>
      <c r="FY924" s="319" t="s">
        <v>190</v>
      </c>
      <c r="FZ924" s="319" t="s">
        <v>190</v>
      </c>
      <c r="GA924" s="319" t="s">
        <v>190</v>
      </c>
      <c r="GB924" s="319" t="s">
        <v>190</v>
      </c>
      <c r="GC924" s="319" t="s">
        <v>190</v>
      </c>
      <c r="GD924" s="319" t="s">
        <v>190</v>
      </c>
      <c r="GE924" s="319" t="s">
        <v>190</v>
      </c>
      <c r="GF924" s="319" t="s">
        <v>190</v>
      </c>
      <c r="GG924" s="319" t="s">
        <v>190</v>
      </c>
      <c r="GH924" s="319" t="s">
        <v>190</v>
      </c>
      <c r="GI924" s="319" t="s">
        <v>190</v>
      </c>
      <c r="GJ924" s="319" t="s">
        <v>190</v>
      </c>
      <c r="GK924" s="319" t="s">
        <v>190</v>
      </c>
      <c r="GL924" s="319" t="s">
        <v>190</v>
      </c>
      <c r="GM924" s="319" t="s">
        <v>190</v>
      </c>
      <c r="GN924" s="319" t="s">
        <v>190</v>
      </c>
      <c r="GO924" s="319" t="s">
        <v>190</v>
      </c>
      <c r="GP924" s="319" t="s">
        <v>190</v>
      </c>
      <c r="GQ924" s="319" t="s">
        <v>190</v>
      </c>
      <c r="GR924" s="319" t="s">
        <v>190</v>
      </c>
      <c r="GS924" s="319" t="s">
        <v>190</v>
      </c>
      <c r="GT924" s="319" t="s">
        <v>190</v>
      </c>
      <c r="GU924" s="319" t="s">
        <v>190</v>
      </c>
      <c r="GV924" s="319" t="s">
        <v>190</v>
      </c>
      <c r="GW924" s="319" t="s">
        <v>190</v>
      </c>
      <c r="GX924" s="319" t="s">
        <v>190</v>
      </c>
      <c r="GY924" s="319" t="s">
        <v>190</v>
      </c>
      <c r="GZ924" s="319" t="s">
        <v>190</v>
      </c>
      <c r="HA924" s="319" t="s">
        <v>190</v>
      </c>
      <c r="HB924" s="319" t="s">
        <v>190</v>
      </c>
      <c r="HC924" s="319" t="s">
        <v>190</v>
      </c>
      <c r="HD924" s="319" t="s">
        <v>190</v>
      </c>
      <c r="HE924" s="319" t="s">
        <v>190</v>
      </c>
      <c r="HF924" s="319" t="s">
        <v>190</v>
      </c>
      <c r="HG924" s="319" t="s">
        <v>190</v>
      </c>
      <c r="HH924" s="319" t="s">
        <v>190</v>
      </c>
      <c r="HI924" s="319" t="s">
        <v>190</v>
      </c>
      <c r="HJ924" s="319" t="s">
        <v>190</v>
      </c>
      <c r="HK924" s="319" t="s">
        <v>190</v>
      </c>
      <c r="HL924" s="319" t="s">
        <v>190</v>
      </c>
      <c r="HM924" s="319" t="s">
        <v>190</v>
      </c>
      <c r="HN924" s="319" t="s">
        <v>190</v>
      </c>
      <c r="HO924" s="319" t="s">
        <v>190</v>
      </c>
      <c r="HP924" s="319" t="s">
        <v>190</v>
      </c>
      <c r="HQ924" s="319" t="s">
        <v>190</v>
      </c>
      <c r="HR924" s="319" t="s">
        <v>190</v>
      </c>
      <c r="HS924" s="319" t="s">
        <v>190</v>
      </c>
      <c r="HT924" s="319" t="s">
        <v>190</v>
      </c>
      <c r="HU924" s="319" t="s">
        <v>190</v>
      </c>
      <c r="HV924" s="319" t="s">
        <v>190</v>
      </c>
      <c r="HW924" s="319" t="s">
        <v>190</v>
      </c>
      <c r="HX924" s="319" t="s">
        <v>190</v>
      </c>
      <c r="HY924" s="319" t="s">
        <v>190</v>
      </c>
      <c r="HZ924" s="319" t="s">
        <v>190</v>
      </c>
      <c r="IA924" s="319" t="s">
        <v>190</v>
      </c>
      <c r="IB924" s="319" t="s">
        <v>190</v>
      </c>
      <c r="IC924" s="319" t="s">
        <v>190</v>
      </c>
      <c r="ID924" s="319" t="s">
        <v>190</v>
      </c>
      <c r="IE924" s="319" t="s">
        <v>190</v>
      </c>
      <c r="IF924" s="319" t="s">
        <v>191</v>
      </c>
      <c r="IG924" s="319" t="s">
        <v>191</v>
      </c>
      <c r="IH924" s="319" t="s">
        <v>191</v>
      </c>
      <c r="II924" s="319" t="s">
        <v>190</v>
      </c>
      <c r="IJ924" s="319" t="s">
        <v>173</v>
      </c>
      <c r="IK924" s="319" t="s">
        <v>173</v>
      </c>
      <c r="IL924" s="319" t="s">
        <v>173</v>
      </c>
      <c r="IM924" s="319" t="s">
        <v>173</v>
      </c>
      <c r="IN924" s="319" t="s">
        <v>173</v>
      </c>
      <c r="IO924" s="319" t="s">
        <v>173</v>
      </c>
      <c r="IP924" s="319" t="s">
        <v>173</v>
      </c>
      <c r="IQ924" s="321" t="s">
        <v>173</v>
      </c>
      <c r="IR924" s="320" t="s">
        <v>173</v>
      </c>
      <c r="IS924" s="322" t="s">
        <v>173</v>
      </c>
      <c r="IT924" s="319" t="s">
        <v>173</v>
      </c>
    </row>
    <row r="925" spans="1:254" s="271" customFormat="1" x14ac:dyDescent="0.25">
      <c r="A925" s="318" t="str">
        <f>HYPERLINK("http://www.ofsted.gov.uk/inspection-reports/find-inspection-report/provider/ELS/144796 ","Ofsted School Webpage")</f>
        <v>Ofsted School Webpage</v>
      </c>
      <c r="B925" s="319">
        <v>144796</v>
      </c>
      <c r="C925" s="319">
        <v>3046006</v>
      </c>
      <c r="D925" s="319" t="s">
        <v>2461</v>
      </c>
      <c r="E925" s="319" t="s">
        <v>168</v>
      </c>
      <c r="F925" s="319" t="s">
        <v>81</v>
      </c>
      <c r="G925" s="319" t="s">
        <v>81</v>
      </c>
      <c r="H925" s="319" t="s">
        <v>81</v>
      </c>
      <c r="I925" s="319" t="s">
        <v>78</v>
      </c>
      <c r="J925" s="319" t="s">
        <v>424</v>
      </c>
      <c r="K925" s="319" t="s">
        <v>441</v>
      </c>
      <c r="L925" s="319" t="s">
        <v>441</v>
      </c>
      <c r="M925" s="319" t="s">
        <v>477</v>
      </c>
      <c r="N925" s="319" t="s">
        <v>3420</v>
      </c>
      <c r="O925" s="319" t="s">
        <v>2462</v>
      </c>
      <c r="P925" s="319">
        <v>13</v>
      </c>
      <c r="Q925" s="319" t="s">
        <v>429</v>
      </c>
      <c r="R925" s="320">
        <v>10044421</v>
      </c>
      <c r="S925" s="321">
        <v>43242</v>
      </c>
      <c r="T925" s="321">
        <v>43244</v>
      </c>
      <c r="U925" s="321">
        <v>43277</v>
      </c>
      <c r="V925" s="319" t="s">
        <v>435</v>
      </c>
      <c r="W925" s="319" t="s">
        <v>2767</v>
      </c>
      <c r="X925" s="319">
        <v>3</v>
      </c>
      <c r="Y925" s="319" t="s">
        <v>173</v>
      </c>
      <c r="Z925" s="319" t="s">
        <v>173</v>
      </c>
      <c r="AA925" s="319" t="s">
        <v>173</v>
      </c>
      <c r="AB925" s="319">
        <v>3</v>
      </c>
      <c r="AC925" s="319" t="s">
        <v>169</v>
      </c>
      <c r="AD925" s="319" t="s">
        <v>173</v>
      </c>
      <c r="AE925" s="319" t="s">
        <v>173</v>
      </c>
      <c r="AF925" s="319" t="s">
        <v>427</v>
      </c>
      <c r="AG925" s="319" t="s">
        <v>171</v>
      </c>
      <c r="AH925" s="319" t="s">
        <v>190</v>
      </c>
      <c r="AI925" s="319" t="s">
        <v>190</v>
      </c>
      <c r="AJ925" s="319" t="s">
        <v>190</v>
      </c>
      <c r="AK925" s="319" t="s">
        <v>190</v>
      </c>
      <c r="AL925" s="319" t="s">
        <v>190</v>
      </c>
      <c r="AM925" s="319" t="s">
        <v>190</v>
      </c>
      <c r="AN925" s="319" t="s">
        <v>190</v>
      </c>
      <c r="AO925" s="319" t="s">
        <v>190</v>
      </c>
      <c r="AP925" s="319" t="s">
        <v>190</v>
      </c>
      <c r="AQ925" s="319" t="s">
        <v>190</v>
      </c>
      <c r="AR925" s="319" t="s">
        <v>190</v>
      </c>
      <c r="AS925" s="319" t="s">
        <v>190</v>
      </c>
      <c r="AT925" s="319" t="s">
        <v>190</v>
      </c>
      <c r="AU925" s="319" t="s">
        <v>190</v>
      </c>
      <c r="AV925" s="319" t="s">
        <v>190</v>
      </c>
      <c r="AW925" s="319" t="s">
        <v>190</v>
      </c>
      <c r="AX925" s="319" t="s">
        <v>428</v>
      </c>
      <c r="AY925" s="319" t="s">
        <v>190</v>
      </c>
      <c r="AZ925" s="319" t="s">
        <v>190</v>
      </c>
      <c r="BA925" s="319" t="s">
        <v>190</v>
      </c>
      <c r="BB925" s="319" t="s">
        <v>190</v>
      </c>
      <c r="BC925" s="319" t="s">
        <v>190</v>
      </c>
      <c r="BD925" s="319" t="s">
        <v>190</v>
      </c>
      <c r="BE925" s="319" t="s">
        <v>190</v>
      </c>
      <c r="BF925" s="319" t="s">
        <v>428</v>
      </c>
      <c r="BG925" s="319" t="s">
        <v>190</v>
      </c>
      <c r="BH925" s="319" t="s">
        <v>190</v>
      </c>
      <c r="BI925" s="319" t="s">
        <v>190</v>
      </c>
      <c r="BJ925" s="319" t="s">
        <v>190</v>
      </c>
      <c r="BK925" s="319" t="s">
        <v>190</v>
      </c>
      <c r="BL925" s="319" t="s">
        <v>190</v>
      </c>
      <c r="BM925" s="319" t="s">
        <v>190</v>
      </c>
      <c r="BN925" s="319" t="s">
        <v>190</v>
      </c>
      <c r="BO925" s="319" t="s">
        <v>190</v>
      </c>
      <c r="BP925" s="319" t="s">
        <v>190</v>
      </c>
      <c r="BQ925" s="319" t="s">
        <v>190</v>
      </c>
      <c r="BR925" s="319" t="s">
        <v>190</v>
      </c>
      <c r="BS925" s="319" t="s">
        <v>190</v>
      </c>
      <c r="BT925" s="319" t="s">
        <v>190</v>
      </c>
      <c r="BU925" s="319" t="s">
        <v>190</v>
      </c>
      <c r="BV925" s="319" t="s">
        <v>190</v>
      </c>
      <c r="BW925" s="319" t="s">
        <v>190</v>
      </c>
      <c r="BX925" s="319" t="s">
        <v>190</v>
      </c>
      <c r="BY925" s="319" t="s">
        <v>190</v>
      </c>
      <c r="BZ925" s="319" t="s">
        <v>190</v>
      </c>
      <c r="CA925" s="319" t="s">
        <v>190</v>
      </c>
      <c r="CB925" s="319" t="s">
        <v>190</v>
      </c>
      <c r="CC925" s="319" t="s">
        <v>190</v>
      </c>
      <c r="CD925" s="319" t="s">
        <v>190</v>
      </c>
      <c r="CE925" s="319" t="s">
        <v>190</v>
      </c>
      <c r="CF925" s="319" t="s">
        <v>190</v>
      </c>
      <c r="CG925" s="319" t="s">
        <v>190</v>
      </c>
      <c r="CH925" s="319" t="s">
        <v>190</v>
      </c>
      <c r="CI925" s="319" t="s">
        <v>190</v>
      </c>
      <c r="CJ925" s="319" t="s">
        <v>190</v>
      </c>
      <c r="CK925" s="319" t="s">
        <v>190</v>
      </c>
      <c r="CL925" s="319" t="s">
        <v>190</v>
      </c>
      <c r="CM925" s="319" t="s">
        <v>190</v>
      </c>
      <c r="CN925" s="319" t="s">
        <v>428</v>
      </c>
      <c r="CO925" s="319" t="s">
        <v>428</v>
      </c>
      <c r="CP925" s="319" t="s">
        <v>428</v>
      </c>
      <c r="CQ925" s="319" t="s">
        <v>190</v>
      </c>
      <c r="CR925" s="319" t="s">
        <v>190</v>
      </c>
      <c r="CS925" s="319" t="s">
        <v>190</v>
      </c>
      <c r="CT925" s="319" t="s">
        <v>190</v>
      </c>
      <c r="CU925" s="319" t="s">
        <v>190</v>
      </c>
      <c r="CV925" s="319" t="s">
        <v>190</v>
      </c>
      <c r="CW925" s="319" t="s">
        <v>190</v>
      </c>
      <c r="CX925" s="319" t="s">
        <v>190</v>
      </c>
      <c r="CY925" s="319" t="s">
        <v>190</v>
      </c>
      <c r="CZ925" s="319" t="s">
        <v>190</v>
      </c>
      <c r="DA925" s="319" t="s">
        <v>190</v>
      </c>
      <c r="DB925" s="319" t="s">
        <v>190</v>
      </c>
      <c r="DC925" s="319" t="s">
        <v>190</v>
      </c>
      <c r="DD925" s="319" t="s">
        <v>190</v>
      </c>
      <c r="DE925" s="319" t="s">
        <v>190</v>
      </c>
      <c r="DF925" s="319" t="s">
        <v>190</v>
      </c>
      <c r="DG925" s="319" t="s">
        <v>190</v>
      </c>
      <c r="DH925" s="319" t="s">
        <v>190</v>
      </c>
      <c r="DI925" s="319" t="s">
        <v>190</v>
      </c>
      <c r="DJ925" s="319" t="s">
        <v>190</v>
      </c>
      <c r="DK925" s="319" t="s">
        <v>190</v>
      </c>
      <c r="DL925" s="319" t="s">
        <v>190</v>
      </c>
      <c r="DM925" s="319" t="s">
        <v>190</v>
      </c>
      <c r="DN925" s="319" t="s">
        <v>428</v>
      </c>
      <c r="DO925" s="319" t="s">
        <v>190</v>
      </c>
      <c r="DP925" s="319" t="s">
        <v>190</v>
      </c>
      <c r="DQ925" s="319" t="s">
        <v>190</v>
      </c>
      <c r="DR925" s="319" t="s">
        <v>190</v>
      </c>
      <c r="DS925" s="319" t="s">
        <v>190</v>
      </c>
      <c r="DT925" s="319" t="s">
        <v>190</v>
      </c>
      <c r="DU925" s="319" t="s">
        <v>190</v>
      </c>
      <c r="DV925" s="319" t="s">
        <v>173</v>
      </c>
      <c r="DW925" s="319" t="s">
        <v>190</v>
      </c>
      <c r="DX925" s="319" t="s">
        <v>190</v>
      </c>
      <c r="DY925" s="319" t="s">
        <v>190</v>
      </c>
      <c r="DZ925" s="319" t="s">
        <v>190</v>
      </c>
      <c r="EA925" s="319" t="s">
        <v>190</v>
      </c>
      <c r="EB925" s="319" t="s">
        <v>190</v>
      </c>
      <c r="EC925" s="319" t="s">
        <v>428</v>
      </c>
      <c r="ED925" s="319" t="s">
        <v>428</v>
      </c>
      <c r="EE925" s="319" t="s">
        <v>428</v>
      </c>
      <c r="EF925" s="319" t="s">
        <v>428</v>
      </c>
      <c r="EG925" s="319" t="s">
        <v>428</v>
      </c>
      <c r="EH925" s="319" t="s">
        <v>428</v>
      </c>
      <c r="EI925" s="319" t="s">
        <v>428</v>
      </c>
      <c r="EJ925" s="319" t="s">
        <v>428</v>
      </c>
      <c r="EK925" s="319" t="s">
        <v>428</v>
      </c>
      <c r="EL925" s="319" t="s">
        <v>428</v>
      </c>
      <c r="EM925" s="319" t="s">
        <v>428</v>
      </c>
      <c r="EN925" s="319" t="s">
        <v>190</v>
      </c>
      <c r="EO925" s="319" t="s">
        <v>190</v>
      </c>
      <c r="EP925" s="319" t="s">
        <v>190</v>
      </c>
      <c r="EQ925" s="319" t="s">
        <v>190</v>
      </c>
      <c r="ER925" s="319" t="s">
        <v>190</v>
      </c>
      <c r="ES925" s="319" t="s">
        <v>190</v>
      </c>
      <c r="ET925" s="319" t="s">
        <v>190</v>
      </c>
      <c r="EU925" s="319" t="s">
        <v>190</v>
      </c>
      <c r="EV925" s="319" t="s">
        <v>190</v>
      </c>
      <c r="EW925" s="319" t="s">
        <v>190</v>
      </c>
      <c r="EX925" s="319" t="s">
        <v>190</v>
      </c>
      <c r="EY925" s="319" t="s">
        <v>190</v>
      </c>
      <c r="EZ925" s="319" t="s">
        <v>190</v>
      </c>
      <c r="FA925" s="319" t="s">
        <v>190</v>
      </c>
      <c r="FB925" s="319" t="s">
        <v>190</v>
      </c>
      <c r="FC925" s="319" t="s">
        <v>190</v>
      </c>
      <c r="FD925" s="319" t="s">
        <v>190</v>
      </c>
      <c r="FE925" s="319" t="s">
        <v>190</v>
      </c>
      <c r="FF925" s="319" t="s">
        <v>190</v>
      </c>
      <c r="FG925" s="319" t="s">
        <v>190</v>
      </c>
      <c r="FH925" s="319" t="s">
        <v>190</v>
      </c>
      <c r="FI925" s="319" t="s">
        <v>190</v>
      </c>
      <c r="FJ925" s="319" t="s">
        <v>190</v>
      </c>
      <c r="FK925" s="319" t="s">
        <v>190</v>
      </c>
      <c r="FL925" s="319" t="s">
        <v>190</v>
      </c>
      <c r="FM925" s="319" t="s">
        <v>190</v>
      </c>
      <c r="FN925" s="319" t="s">
        <v>190</v>
      </c>
      <c r="FO925" s="319" t="s">
        <v>190</v>
      </c>
      <c r="FP925" s="319" t="s">
        <v>190</v>
      </c>
      <c r="FQ925" s="319" t="s">
        <v>190</v>
      </c>
      <c r="FR925" s="319" t="s">
        <v>190</v>
      </c>
      <c r="FS925" s="319" t="s">
        <v>190</v>
      </c>
      <c r="FT925" s="319" t="s">
        <v>190</v>
      </c>
      <c r="FU925" s="319" t="s">
        <v>190</v>
      </c>
      <c r="FV925" s="319" t="s">
        <v>190</v>
      </c>
      <c r="FW925" s="319" t="s">
        <v>190</v>
      </c>
      <c r="FX925" s="319" t="s">
        <v>190</v>
      </c>
      <c r="FY925" s="319" t="s">
        <v>190</v>
      </c>
      <c r="FZ925" s="319" t="s">
        <v>190</v>
      </c>
      <c r="GA925" s="319" t="s">
        <v>190</v>
      </c>
      <c r="GB925" s="319" t="s">
        <v>190</v>
      </c>
      <c r="GC925" s="319" t="s">
        <v>190</v>
      </c>
      <c r="GD925" s="319" t="s">
        <v>190</v>
      </c>
      <c r="GE925" s="319" t="s">
        <v>190</v>
      </c>
      <c r="GF925" s="319" t="s">
        <v>190</v>
      </c>
      <c r="GG925" s="319" t="s">
        <v>190</v>
      </c>
      <c r="GH925" s="319" t="s">
        <v>190</v>
      </c>
      <c r="GI925" s="319" t="s">
        <v>190</v>
      </c>
      <c r="GJ925" s="319" t="s">
        <v>190</v>
      </c>
      <c r="GK925" s="319" t="s">
        <v>428</v>
      </c>
      <c r="GL925" s="319" t="s">
        <v>190</v>
      </c>
      <c r="GM925" s="319" t="s">
        <v>190</v>
      </c>
      <c r="GN925" s="319" t="s">
        <v>190</v>
      </c>
      <c r="GO925" s="319" t="s">
        <v>190</v>
      </c>
      <c r="GP925" s="319" t="s">
        <v>428</v>
      </c>
      <c r="GQ925" s="319" t="s">
        <v>428</v>
      </c>
      <c r="GR925" s="319" t="s">
        <v>190</v>
      </c>
      <c r="GS925" s="319" t="s">
        <v>190</v>
      </c>
      <c r="GT925" s="319" t="s">
        <v>190</v>
      </c>
      <c r="GU925" s="319" t="s">
        <v>190</v>
      </c>
      <c r="GV925" s="319" t="s">
        <v>190</v>
      </c>
      <c r="GW925" s="319" t="s">
        <v>190</v>
      </c>
      <c r="GX925" s="319" t="s">
        <v>190</v>
      </c>
      <c r="GY925" s="319" t="s">
        <v>190</v>
      </c>
      <c r="GZ925" s="319" t="s">
        <v>190</v>
      </c>
      <c r="HA925" s="319" t="s">
        <v>428</v>
      </c>
      <c r="HB925" s="319" t="s">
        <v>190</v>
      </c>
      <c r="HC925" s="319" t="s">
        <v>190</v>
      </c>
      <c r="HD925" s="319" t="s">
        <v>190</v>
      </c>
      <c r="HE925" s="319" t="s">
        <v>190</v>
      </c>
      <c r="HF925" s="319" t="s">
        <v>190</v>
      </c>
      <c r="HG925" s="319" t="s">
        <v>190</v>
      </c>
      <c r="HH925" s="319" t="s">
        <v>190</v>
      </c>
      <c r="HI925" s="319" t="s">
        <v>190</v>
      </c>
      <c r="HJ925" s="319" t="s">
        <v>190</v>
      </c>
      <c r="HK925" s="319" t="s">
        <v>428</v>
      </c>
      <c r="HL925" s="319" t="s">
        <v>428</v>
      </c>
      <c r="HM925" s="319" t="s">
        <v>428</v>
      </c>
      <c r="HN925" s="319" t="s">
        <v>428</v>
      </c>
      <c r="HO925" s="319" t="s">
        <v>428</v>
      </c>
      <c r="HP925" s="319" t="s">
        <v>190</v>
      </c>
      <c r="HQ925" s="319" t="s">
        <v>190</v>
      </c>
      <c r="HR925" s="319" t="s">
        <v>190</v>
      </c>
      <c r="HS925" s="319" t="s">
        <v>190</v>
      </c>
      <c r="HT925" s="319" t="s">
        <v>190</v>
      </c>
      <c r="HU925" s="319" t="s">
        <v>190</v>
      </c>
      <c r="HV925" s="319" t="s">
        <v>190</v>
      </c>
      <c r="HW925" s="319" t="s">
        <v>190</v>
      </c>
      <c r="HX925" s="319" t="s">
        <v>190</v>
      </c>
      <c r="HY925" s="319" t="s">
        <v>190</v>
      </c>
      <c r="HZ925" s="319" t="s">
        <v>190</v>
      </c>
      <c r="IA925" s="319" t="s">
        <v>190</v>
      </c>
      <c r="IB925" s="319" t="s">
        <v>190</v>
      </c>
      <c r="IC925" s="319" t="s">
        <v>190</v>
      </c>
      <c r="ID925" s="319" t="s">
        <v>190</v>
      </c>
      <c r="IE925" s="319" t="s">
        <v>190</v>
      </c>
      <c r="IF925" s="319" t="s">
        <v>190</v>
      </c>
      <c r="IG925" s="319" t="s">
        <v>190</v>
      </c>
      <c r="IH925" s="319" t="s">
        <v>190</v>
      </c>
      <c r="II925" s="319" t="s">
        <v>190</v>
      </c>
      <c r="IJ925" s="319" t="s">
        <v>173</v>
      </c>
      <c r="IK925" s="319" t="s">
        <v>173</v>
      </c>
      <c r="IL925" s="319" t="s">
        <v>173</v>
      </c>
      <c r="IM925" s="319" t="s">
        <v>173</v>
      </c>
      <c r="IN925" s="319" t="s">
        <v>173</v>
      </c>
      <c r="IO925" s="319" t="s">
        <v>173</v>
      </c>
      <c r="IP925" s="319" t="s">
        <v>173</v>
      </c>
      <c r="IQ925" s="321" t="s">
        <v>173</v>
      </c>
      <c r="IR925" s="320" t="s">
        <v>173</v>
      </c>
      <c r="IS925" s="322" t="s">
        <v>173</v>
      </c>
      <c r="IT925" s="319" t="s">
        <v>173</v>
      </c>
    </row>
    <row r="926" spans="1:254" s="271" customFormat="1" x14ac:dyDescent="0.25">
      <c r="A926" s="318" t="str">
        <f>HYPERLINK("http://www.ofsted.gov.uk/inspection-reports/find-inspection-report/provider/ELS/144804 ","Ofsted School Webpage")</f>
        <v>Ofsted School Webpage</v>
      </c>
      <c r="B926" s="319">
        <v>144804</v>
      </c>
      <c r="C926" s="319">
        <v>8406015</v>
      </c>
      <c r="D926" s="319" t="s">
        <v>2463</v>
      </c>
      <c r="E926" s="319" t="s">
        <v>167</v>
      </c>
      <c r="F926" s="319" t="s">
        <v>81</v>
      </c>
      <c r="G926" s="319" t="s">
        <v>59</v>
      </c>
      <c r="H926" s="319" t="s">
        <v>59</v>
      </c>
      <c r="I926" s="319" t="s">
        <v>59</v>
      </c>
      <c r="J926" s="319" t="s">
        <v>424</v>
      </c>
      <c r="K926" s="319" t="s">
        <v>458</v>
      </c>
      <c r="L926" s="319" t="s">
        <v>474</v>
      </c>
      <c r="M926" s="319" t="s">
        <v>574</v>
      </c>
      <c r="N926" s="319" t="s">
        <v>3555</v>
      </c>
      <c r="O926" s="319" t="s">
        <v>2464</v>
      </c>
      <c r="P926" s="319">
        <v>6</v>
      </c>
      <c r="Q926" s="319" t="s">
        <v>2766</v>
      </c>
      <c r="R926" s="320">
        <v>10056231</v>
      </c>
      <c r="S926" s="321">
        <v>43550</v>
      </c>
      <c r="T926" s="321">
        <v>43552</v>
      </c>
      <c r="U926" s="321">
        <v>43591</v>
      </c>
      <c r="V926" s="319" t="s">
        <v>435</v>
      </c>
      <c r="W926" s="319" t="s">
        <v>2767</v>
      </c>
      <c r="X926" s="319">
        <v>2</v>
      </c>
      <c r="Y926" s="319" t="s">
        <v>173</v>
      </c>
      <c r="Z926" s="319" t="s">
        <v>173</v>
      </c>
      <c r="AA926" s="319" t="s">
        <v>173</v>
      </c>
      <c r="AB926" s="319">
        <v>2</v>
      </c>
      <c r="AC926" s="319" t="s">
        <v>169</v>
      </c>
      <c r="AD926" s="319" t="s">
        <v>173</v>
      </c>
      <c r="AE926" s="319" t="s">
        <v>173</v>
      </c>
      <c r="AF926" s="319" t="s">
        <v>427</v>
      </c>
      <c r="AG926" s="319" t="s">
        <v>171</v>
      </c>
      <c r="AH926" s="319" t="s">
        <v>190</v>
      </c>
      <c r="AI926" s="319" t="s">
        <v>190</v>
      </c>
      <c r="AJ926" s="319" t="s">
        <v>190</v>
      </c>
      <c r="AK926" s="319" t="s">
        <v>190</v>
      </c>
      <c r="AL926" s="319" t="s">
        <v>190</v>
      </c>
      <c r="AM926" s="319" t="s">
        <v>190</v>
      </c>
      <c r="AN926" s="319" t="s">
        <v>190</v>
      </c>
      <c r="AO926" s="319" t="s">
        <v>190</v>
      </c>
      <c r="AP926" s="319" t="s">
        <v>190</v>
      </c>
      <c r="AQ926" s="319" t="s">
        <v>190</v>
      </c>
      <c r="AR926" s="319" t="s">
        <v>190</v>
      </c>
      <c r="AS926" s="319" t="s">
        <v>190</v>
      </c>
      <c r="AT926" s="319" t="s">
        <v>190</v>
      </c>
      <c r="AU926" s="319" t="s">
        <v>190</v>
      </c>
      <c r="AV926" s="319" t="s">
        <v>190</v>
      </c>
      <c r="AW926" s="319" t="s">
        <v>190</v>
      </c>
      <c r="AX926" s="319" t="s">
        <v>428</v>
      </c>
      <c r="AY926" s="319" t="s">
        <v>190</v>
      </c>
      <c r="AZ926" s="319" t="s">
        <v>190</v>
      </c>
      <c r="BA926" s="319" t="s">
        <v>190</v>
      </c>
      <c r="BB926" s="319" t="s">
        <v>428</v>
      </c>
      <c r="BC926" s="319" t="s">
        <v>428</v>
      </c>
      <c r="BD926" s="319" t="s">
        <v>428</v>
      </c>
      <c r="BE926" s="319" t="s">
        <v>428</v>
      </c>
      <c r="BF926" s="319" t="s">
        <v>190</v>
      </c>
      <c r="BG926" s="319" t="s">
        <v>428</v>
      </c>
      <c r="BH926" s="319" t="s">
        <v>190</v>
      </c>
      <c r="BI926" s="319" t="s">
        <v>190</v>
      </c>
      <c r="BJ926" s="319" t="s">
        <v>190</v>
      </c>
      <c r="BK926" s="319" t="s">
        <v>190</v>
      </c>
      <c r="BL926" s="319" t="s">
        <v>190</v>
      </c>
      <c r="BM926" s="319" t="s">
        <v>190</v>
      </c>
      <c r="BN926" s="319" t="s">
        <v>190</v>
      </c>
      <c r="BO926" s="319" t="s">
        <v>190</v>
      </c>
      <c r="BP926" s="319" t="s">
        <v>190</v>
      </c>
      <c r="BQ926" s="319" t="s">
        <v>190</v>
      </c>
      <c r="BR926" s="319" t="s">
        <v>190</v>
      </c>
      <c r="BS926" s="319" t="s">
        <v>190</v>
      </c>
      <c r="BT926" s="319" t="s">
        <v>190</v>
      </c>
      <c r="BU926" s="319" t="s">
        <v>190</v>
      </c>
      <c r="BV926" s="319" t="s">
        <v>190</v>
      </c>
      <c r="BW926" s="319" t="s">
        <v>190</v>
      </c>
      <c r="BX926" s="319" t="s">
        <v>190</v>
      </c>
      <c r="BY926" s="319" t="s">
        <v>190</v>
      </c>
      <c r="BZ926" s="319" t="s">
        <v>190</v>
      </c>
      <c r="CA926" s="319" t="s">
        <v>190</v>
      </c>
      <c r="CB926" s="319" t="s">
        <v>190</v>
      </c>
      <c r="CC926" s="319" t="s">
        <v>190</v>
      </c>
      <c r="CD926" s="319" t="s">
        <v>190</v>
      </c>
      <c r="CE926" s="319" t="s">
        <v>190</v>
      </c>
      <c r="CF926" s="319" t="s">
        <v>190</v>
      </c>
      <c r="CG926" s="319" t="s">
        <v>190</v>
      </c>
      <c r="CH926" s="319" t="s">
        <v>190</v>
      </c>
      <c r="CI926" s="319" t="s">
        <v>190</v>
      </c>
      <c r="CJ926" s="319" t="s">
        <v>190</v>
      </c>
      <c r="CK926" s="319" t="s">
        <v>190</v>
      </c>
      <c r="CL926" s="319" t="s">
        <v>190</v>
      </c>
      <c r="CM926" s="319" t="s">
        <v>190</v>
      </c>
      <c r="CN926" s="319" t="s">
        <v>428</v>
      </c>
      <c r="CO926" s="319" t="s">
        <v>428</v>
      </c>
      <c r="CP926" s="319" t="s">
        <v>428</v>
      </c>
      <c r="CQ926" s="319" t="s">
        <v>190</v>
      </c>
      <c r="CR926" s="319" t="s">
        <v>190</v>
      </c>
      <c r="CS926" s="319" t="s">
        <v>190</v>
      </c>
      <c r="CT926" s="319" t="s">
        <v>190</v>
      </c>
      <c r="CU926" s="319" t="s">
        <v>190</v>
      </c>
      <c r="CV926" s="319" t="s">
        <v>190</v>
      </c>
      <c r="CW926" s="319" t="s">
        <v>190</v>
      </c>
      <c r="CX926" s="319" t="s">
        <v>190</v>
      </c>
      <c r="CY926" s="319" t="s">
        <v>190</v>
      </c>
      <c r="CZ926" s="319" t="s">
        <v>190</v>
      </c>
      <c r="DA926" s="319" t="s">
        <v>190</v>
      </c>
      <c r="DB926" s="319" t="s">
        <v>190</v>
      </c>
      <c r="DC926" s="319" t="s">
        <v>190</v>
      </c>
      <c r="DD926" s="319" t="s">
        <v>190</v>
      </c>
      <c r="DE926" s="319" t="s">
        <v>190</v>
      </c>
      <c r="DF926" s="319" t="s">
        <v>190</v>
      </c>
      <c r="DG926" s="319" t="s">
        <v>190</v>
      </c>
      <c r="DH926" s="319" t="s">
        <v>190</v>
      </c>
      <c r="DI926" s="319" t="s">
        <v>190</v>
      </c>
      <c r="DJ926" s="319" t="s">
        <v>190</v>
      </c>
      <c r="DK926" s="319" t="s">
        <v>190</v>
      </c>
      <c r="DL926" s="319" t="s">
        <v>190</v>
      </c>
      <c r="DM926" s="319" t="s">
        <v>190</v>
      </c>
      <c r="DN926" s="319" t="s">
        <v>428</v>
      </c>
      <c r="DO926" s="319" t="s">
        <v>190</v>
      </c>
      <c r="DP926" s="319" t="s">
        <v>428</v>
      </c>
      <c r="DQ926" s="319" t="s">
        <v>428</v>
      </c>
      <c r="DR926" s="319" t="s">
        <v>428</v>
      </c>
      <c r="DS926" s="319" t="s">
        <v>428</v>
      </c>
      <c r="DT926" s="319" t="s">
        <v>428</v>
      </c>
      <c r="DU926" s="319" t="s">
        <v>428</v>
      </c>
      <c r="DV926" s="319" t="s">
        <v>173</v>
      </c>
      <c r="DW926" s="319" t="s">
        <v>428</v>
      </c>
      <c r="DX926" s="319" t="s">
        <v>428</v>
      </c>
      <c r="DY926" s="319" t="s">
        <v>428</v>
      </c>
      <c r="DZ926" s="319" t="s">
        <v>428</v>
      </c>
      <c r="EA926" s="319" t="s">
        <v>428</v>
      </c>
      <c r="EB926" s="319" t="s">
        <v>428</v>
      </c>
      <c r="EC926" s="319" t="s">
        <v>428</v>
      </c>
      <c r="ED926" s="319" t="s">
        <v>428</v>
      </c>
      <c r="EE926" s="319" t="s">
        <v>190</v>
      </c>
      <c r="EF926" s="319" t="s">
        <v>190</v>
      </c>
      <c r="EG926" s="319" t="s">
        <v>190</v>
      </c>
      <c r="EH926" s="319" t="s">
        <v>190</v>
      </c>
      <c r="EI926" s="319" t="s">
        <v>190</v>
      </c>
      <c r="EJ926" s="319" t="s">
        <v>190</v>
      </c>
      <c r="EK926" s="319" t="s">
        <v>190</v>
      </c>
      <c r="EL926" s="319" t="s">
        <v>190</v>
      </c>
      <c r="EM926" s="319" t="s">
        <v>190</v>
      </c>
      <c r="EN926" s="319" t="s">
        <v>190</v>
      </c>
      <c r="EO926" s="319" t="s">
        <v>190</v>
      </c>
      <c r="EP926" s="319" t="s">
        <v>190</v>
      </c>
      <c r="EQ926" s="319" t="s">
        <v>190</v>
      </c>
      <c r="ER926" s="319" t="s">
        <v>190</v>
      </c>
      <c r="ES926" s="319" t="s">
        <v>190</v>
      </c>
      <c r="ET926" s="319" t="s">
        <v>190</v>
      </c>
      <c r="EU926" s="319" t="s">
        <v>190</v>
      </c>
      <c r="EV926" s="319" t="s">
        <v>190</v>
      </c>
      <c r="EW926" s="319" t="s">
        <v>190</v>
      </c>
      <c r="EX926" s="319" t="s">
        <v>190</v>
      </c>
      <c r="EY926" s="319" t="s">
        <v>190</v>
      </c>
      <c r="EZ926" s="319" t="s">
        <v>190</v>
      </c>
      <c r="FA926" s="319" t="s">
        <v>428</v>
      </c>
      <c r="FB926" s="319" t="s">
        <v>428</v>
      </c>
      <c r="FC926" s="319" t="s">
        <v>428</v>
      </c>
      <c r="FD926" s="319" t="s">
        <v>428</v>
      </c>
      <c r="FE926" s="319" t="s">
        <v>428</v>
      </c>
      <c r="FF926" s="319" t="s">
        <v>428</v>
      </c>
      <c r="FG926" s="319" t="s">
        <v>428</v>
      </c>
      <c r="FH926" s="319" t="s">
        <v>428</v>
      </c>
      <c r="FI926" s="319" t="s">
        <v>428</v>
      </c>
      <c r="FJ926" s="319" t="s">
        <v>429</v>
      </c>
      <c r="FK926" s="319" t="s">
        <v>428</v>
      </c>
      <c r="FL926" s="319" t="s">
        <v>190</v>
      </c>
      <c r="FM926" s="319" t="s">
        <v>190</v>
      </c>
      <c r="FN926" s="319" t="s">
        <v>190</v>
      </c>
      <c r="FO926" s="319" t="s">
        <v>428</v>
      </c>
      <c r="FP926" s="319" t="s">
        <v>190</v>
      </c>
      <c r="FQ926" s="319" t="s">
        <v>190</v>
      </c>
      <c r="FR926" s="319" t="s">
        <v>190</v>
      </c>
      <c r="FS926" s="319" t="s">
        <v>428</v>
      </c>
      <c r="FT926" s="319" t="s">
        <v>190</v>
      </c>
      <c r="FU926" s="319" t="s">
        <v>190</v>
      </c>
      <c r="FV926" s="319" t="s">
        <v>190</v>
      </c>
      <c r="FW926" s="319" t="s">
        <v>190</v>
      </c>
      <c r="FX926" s="319" t="s">
        <v>190</v>
      </c>
      <c r="FY926" s="319" t="s">
        <v>190</v>
      </c>
      <c r="FZ926" s="319" t="s">
        <v>190</v>
      </c>
      <c r="GA926" s="319" t="s">
        <v>190</v>
      </c>
      <c r="GB926" s="319" t="s">
        <v>190</v>
      </c>
      <c r="GC926" s="319" t="s">
        <v>190</v>
      </c>
      <c r="GD926" s="319" t="s">
        <v>190</v>
      </c>
      <c r="GE926" s="319" t="s">
        <v>190</v>
      </c>
      <c r="GF926" s="319" t="s">
        <v>190</v>
      </c>
      <c r="GG926" s="319" t="s">
        <v>190</v>
      </c>
      <c r="GH926" s="319" t="s">
        <v>190</v>
      </c>
      <c r="GI926" s="319" t="s">
        <v>190</v>
      </c>
      <c r="GJ926" s="319" t="s">
        <v>190</v>
      </c>
      <c r="GK926" s="319" t="s">
        <v>428</v>
      </c>
      <c r="GL926" s="319" t="s">
        <v>190</v>
      </c>
      <c r="GM926" s="319" t="s">
        <v>190</v>
      </c>
      <c r="GN926" s="319" t="s">
        <v>190</v>
      </c>
      <c r="GO926" s="319" t="s">
        <v>190</v>
      </c>
      <c r="GP926" s="319" t="s">
        <v>428</v>
      </c>
      <c r="GQ926" s="319" t="s">
        <v>428</v>
      </c>
      <c r="GR926" s="319" t="s">
        <v>190</v>
      </c>
      <c r="GS926" s="319" t="s">
        <v>190</v>
      </c>
      <c r="GT926" s="319" t="s">
        <v>428</v>
      </c>
      <c r="GU926" s="319" t="s">
        <v>428</v>
      </c>
      <c r="GV926" s="319" t="s">
        <v>428</v>
      </c>
      <c r="GW926" s="319" t="s">
        <v>190</v>
      </c>
      <c r="GX926" s="319" t="s">
        <v>190</v>
      </c>
      <c r="GY926" s="319" t="s">
        <v>190</v>
      </c>
      <c r="GZ926" s="319" t="s">
        <v>428</v>
      </c>
      <c r="HA926" s="319" t="s">
        <v>190</v>
      </c>
      <c r="HB926" s="319" t="s">
        <v>190</v>
      </c>
      <c r="HC926" s="319" t="s">
        <v>190</v>
      </c>
      <c r="HD926" s="319" t="s">
        <v>190</v>
      </c>
      <c r="HE926" s="319" t="s">
        <v>190</v>
      </c>
      <c r="HF926" s="319" t="s">
        <v>190</v>
      </c>
      <c r="HG926" s="319" t="s">
        <v>190</v>
      </c>
      <c r="HH926" s="319" t="s">
        <v>190</v>
      </c>
      <c r="HI926" s="319" t="s">
        <v>190</v>
      </c>
      <c r="HJ926" s="319" t="s">
        <v>190</v>
      </c>
      <c r="HK926" s="319" t="s">
        <v>428</v>
      </c>
      <c r="HL926" s="319" t="s">
        <v>428</v>
      </c>
      <c r="HM926" s="319" t="s">
        <v>428</v>
      </c>
      <c r="HN926" s="319" t="s">
        <v>428</v>
      </c>
      <c r="HO926" s="319" t="s">
        <v>428</v>
      </c>
      <c r="HP926" s="319" t="s">
        <v>190</v>
      </c>
      <c r="HQ926" s="319" t="s">
        <v>190</v>
      </c>
      <c r="HR926" s="319" t="s">
        <v>190</v>
      </c>
      <c r="HS926" s="319" t="s">
        <v>190</v>
      </c>
      <c r="HT926" s="319" t="s">
        <v>190</v>
      </c>
      <c r="HU926" s="319" t="s">
        <v>190</v>
      </c>
      <c r="HV926" s="319" t="s">
        <v>190</v>
      </c>
      <c r="HW926" s="319" t="s">
        <v>190</v>
      </c>
      <c r="HX926" s="319" t="s">
        <v>190</v>
      </c>
      <c r="HY926" s="319" t="s">
        <v>190</v>
      </c>
      <c r="HZ926" s="319" t="s">
        <v>190</v>
      </c>
      <c r="IA926" s="319" t="s">
        <v>190</v>
      </c>
      <c r="IB926" s="319" t="s">
        <v>190</v>
      </c>
      <c r="IC926" s="319" t="s">
        <v>190</v>
      </c>
      <c r="ID926" s="319" t="s">
        <v>190</v>
      </c>
      <c r="IE926" s="319" t="s">
        <v>190</v>
      </c>
      <c r="IF926" s="319" t="s">
        <v>190</v>
      </c>
      <c r="IG926" s="319" t="s">
        <v>190</v>
      </c>
      <c r="IH926" s="319" t="s">
        <v>190</v>
      </c>
      <c r="II926" s="319" t="s">
        <v>190</v>
      </c>
      <c r="IJ926" s="319" t="s">
        <v>173</v>
      </c>
      <c r="IK926" s="319" t="s">
        <v>173</v>
      </c>
      <c r="IL926" s="319" t="s">
        <v>173</v>
      </c>
      <c r="IM926" s="319" t="s">
        <v>173</v>
      </c>
      <c r="IN926" s="319" t="s">
        <v>173</v>
      </c>
      <c r="IO926" s="319" t="s">
        <v>173</v>
      </c>
      <c r="IP926" s="319" t="s">
        <v>173</v>
      </c>
      <c r="IQ926" s="321" t="s">
        <v>173</v>
      </c>
      <c r="IR926" s="320" t="s">
        <v>173</v>
      </c>
      <c r="IS926" s="322" t="s">
        <v>173</v>
      </c>
      <c r="IT926" s="319" t="s">
        <v>173</v>
      </c>
    </row>
    <row r="927" spans="1:254" s="271" customFormat="1" x14ac:dyDescent="0.25">
      <c r="A927" s="318" t="str">
        <f>HYPERLINK("http://www.ofsted.gov.uk/inspection-reports/find-inspection-report/provider/ELS/144806 ","Ofsted School Webpage")</f>
        <v>Ofsted School Webpage</v>
      </c>
      <c r="B927" s="319">
        <v>144806</v>
      </c>
      <c r="C927" s="319">
        <v>8306044</v>
      </c>
      <c r="D927" s="319" t="s">
        <v>2465</v>
      </c>
      <c r="E927" s="319" t="s">
        <v>167</v>
      </c>
      <c r="F927" s="319" t="s">
        <v>59</v>
      </c>
      <c r="G927" s="319" t="s">
        <v>59</v>
      </c>
      <c r="H927" s="319" t="s">
        <v>59</v>
      </c>
      <c r="I927" s="319" t="s">
        <v>59</v>
      </c>
      <c r="J927" s="319" t="s">
        <v>424</v>
      </c>
      <c r="K927" s="319" t="s">
        <v>506</v>
      </c>
      <c r="L927" s="319" t="s">
        <v>506</v>
      </c>
      <c r="M927" s="319" t="s">
        <v>507</v>
      </c>
      <c r="N927" s="319" t="s">
        <v>3556</v>
      </c>
      <c r="O927" s="319" t="s">
        <v>2466</v>
      </c>
      <c r="P927" s="319">
        <v>11</v>
      </c>
      <c r="Q927" s="319" t="s">
        <v>2766</v>
      </c>
      <c r="R927" s="320">
        <v>10048638</v>
      </c>
      <c r="S927" s="321">
        <v>43277</v>
      </c>
      <c r="T927" s="321">
        <v>43279</v>
      </c>
      <c r="U927" s="321">
        <v>43356</v>
      </c>
      <c r="V927" s="319" t="s">
        <v>435</v>
      </c>
      <c r="W927" s="319" t="s">
        <v>2767</v>
      </c>
      <c r="X927" s="319">
        <v>2</v>
      </c>
      <c r="Y927" s="319" t="s">
        <v>173</v>
      </c>
      <c r="Z927" s="319" t="s">
        <v>173</v>
      </c>
      <c r="AA927" s="319" t="s">
        <v>173</v>
      </c>
      <c r="AB927" s="319">
        <v>2</v>
      </c>
      <c r="AC927" s="319" t="s">
        <v>169</v>
      </c>
      <c r="AD927" s="319">
        <v>2</v>
      </c>
      <c r="AE927" s="319" t="s">
        <v>173</v>
      </c>
      <c r="AF927" s="319" t="s">
        <v>427</v>
      </c>
      <c r="AG927" s="319" t="s">
        <v>171</v>
      </c>
      <c r="AH927" s="319" t="s">
        <v>190</v>
      </c>
      <c r="AI927" s="319" t="s">
        <v>190</v>
      </c>
      <c r="AJ927" s="319" t="s">
        <v>190</v>
      </c>
      <c r="AK927" s="319" t="s">
        <v>190</v>
      </c>
      <c r="AL927" s="319" t="s">
        <v>190</v>
      </c>
      <c r="AM927" s="319" t="s">
        <v>190</v>
      </c>
      <c r="AN927" s="319" t="s">
        <v>190</v>
      </c>
      <c r="AO927" s="319" t="s">
        <v>190</v>
      </c>
      <c r="AP927" s="319" t="s">
        <v>190</v>
      </c>
      <c r="AQ927" s="319" t="s">
        <v>190</v>
      </c>
      <c r="AR927" s="319" t="s">
        <v>190</v>
      </c>
      <c r="AS927" s="319" t="s">
        <v>190</v>
      </c>
      <c r="AT927" s="319" t="s">
        <v>190</v>
      </c>
      <c r="AU927" s="319" t="s">
        <v>190</v>
      </c>
      <c r="AV927" s="319" t="s">
        <v>428</v>
      </c>
      <c r="AW927" s="319" t="s">
        <v>190</v>
      </c>
      <c r="AX927" s="319" t="s">
        <v>428</v>
      </c>
      <c r="AY927" s="319" t="s">
        <v>190</v>
      </c>
      <c r="AZ927" s="319" t="s">
        <v>190</v>
      </c>
      <c r="BA927" s="319" t="s">
        <v>190</v>
      </c>
      <c r="BB927" s="319" t="s">
        <v>428</v>
      </c>
      <c r="BC927" s="319" t="s">
        <v>428</v>
      </c>
      <c r="BD927" s="319" t="s">
        <v>428</v>
      </c>
      <c r="BE927" s="319" t="s">
        <v>428</v>
      </c>
      <c r="BF927" s="319" t="s">
        <v>190</v>
      </c>
      <c r="BG927" s="319" t="s">
        <v>428</v>
      </c>
      <c r="BH927" s="319" t="s">
        <v>190</v>
      </c>
      <c r="BI927" s="319" t="s">
        <v>190</v>
      </c>
      <c r="BJ927" s="319" t="s">
        <v>190</v>
      </c>
      <c r="BK927" s="319" t="s">
        <v>190</v>
      </c>
      <c r="BL927" s="319" t="s">
        <v>190</v>
      </c>
      <c r="BM927" s="319" t="s">
        <v>190</v>
      </c>
      <c r="BN927" s="319" t="s">
        <v>190</v>
      </c>
      <c r="BO927" s="319" t="s">
        <v>190</v>
      </c>
      <c r="BP927" s="319" t="s">
        <v>190</v>
      </c>
      <c r="BQ927" s="319" t="s">
        <v>190</v>
      </c>
      <c r="BR927" s="319" t="s">
        <v>190</v>
      </c>
      <c r="BS927" s="319" t="s">
        <v>190</v>
      </c>
      <c r="BT927" s="319" t="s">
        <v>190</v>
      </c>
      <c r="BU927" s="319" t="s">
        <v>190</v>
      </c>
      <c r="BV927" s="319" t="s">
        <v>190</v>
      </c>
      <c r="BW927" s="319" t="s">
        <v>190</v>
      </c>
      <c r="BX927" s="319" t="s">
        <v>190</v>
      </c>
      <c r="BY927" s="319" t="s">
        <v>190</v>
      </c>
      <c r="BZ927" s="319" t="s">
        <v>190</v>
      </c>
      <c r="CA927" s="319" t="s">
        <v>190</v>
      </c>
      <c r="CB927" s="319" t="s">
        <v>190</v>
      </c>
      <c r="CC927" s="319" t="s">
        <v>190</v>
      </c>
      <c r="CD927" s="319" t="s">
        <v>190</v>
      </c>
      <c r="CE927" s="319" t="s">
        <v>190</v>
      </c>
      <c r="CF927" s="319" t="s">
        <v>190</v>
      </c>
      <c r="CG927" s="319" t="s">
        <v>190</v>
      </c>
      <c r="CH927" s="319" t="s">
        <v>190</v>
      </c>
      <c r="CI927" s="319" t="s">
        <v>190</v>
      </c>
      <c r="CJ927" s="319" t="s">
        <v>190</v>
      </c>
      <c r="CK927" s="319" t="s">
        <v>190</v>
      </c>
      <c r="CL927" s="319" t="s">
        <v>190</v>
      </c>
      <c r="CM927" s="319" t="s">
        <v>190</v>
      </c>
      <c r="CN927" s="319" t="s">
        <v>428</v>
      </c>
      <c r="CO927" s="319" t="s">
        <v>428</v>
      </c>
      <c r="CP927" s="319" t="s">
        <v>428</v>
      </c>
      <c r="CQ927" s="319" t="s">
        <v>190</v>
      </c>
      <c r="CR927" s="319" t="s">
        <v>190</v>
      </c>
      <c r="CS927" s="319" t="s">
        <v>190</v>
      </c>
      <c r="CT927" s="319" t="s">
        <v>190</v>
      </c>
      <c r="CU927" s="319" t="s">
        <v>190</v>
      </c>
      <c r="CV927" s="319" t="s">
        <v>190</v>
      </c>
      <c r="CW927" s="319" t="s">
        <v>190</v>
      </c>
      <c r="CX927" s="319" t="s">
        <v>190</v>
      </c>
      <c r="CY927" s="319" t="s">
        <v>190</v>
      </c>
      <c r="CZ927" s="319" t="s">
        <v>190</v>
      </c>
      <c r="DA927" s="319" t="s">
        <v>190</v>
      </c>
      <c r="DB927" s="319" t="s">
        <v>190</v>
      </c>
      <c r="DC927" s="319" t="s">
        <v>190</v>
      </c>
      <c r="DD927" s="319" t="s">
        <v>190</v>
      </c>
      <c r="DE927" s="319" t="s">
        <v>190</v>
      </c>
      <c r="DF927" s="319" t="s">
        <v>190</v>
      </c>
      <c r="DG927" s="319" t="s">
        <v>190</v>
      </c>
      <c r="DH927" s="319" t="s">
        <v>190</v>
      </c>
      <c r="DI927" s="319" t="s">
        <v>190</v>
      </c>
      <c r="DJ927" s="319" t="s">
        <v>190</v>
      </c>
      <c r="DK927" s="319" t="s">
        <v>190</v>
      </c>
      <c r="DL927" s="319" t="s">
        <v>190</v>
      </c>
      <c r="DM927" s="319" t="s">
        <v>190</v>
      </c>
      <c r="DN927" s="319" t="s">
        <v>428</v>
      </c>
      <c r="DO927" s="319" t="s">
        <v>190</v>
      </c>
      <c r="DP927" s="319" t="s">
        <v>190</v>
      </c>
      <c r="DQ927" s="319" t="s">
        <v>190</v>
      </c>
      <c r="DR927" s="319" t="s">
        <v>190</v>
      </c>
      <c r="DS927" s="319" t="s">
        <v>190</v>
      </c>
      <c r="DT927" s="319" t="s">
        <v>190</v>
      </c>
      <c r="DU927" s="319" t="s">
        <v>190</v>
      </c>
      <c r="DV927" s="319" t="s">
        <v>173</v>
      </c>
      <c r="DW927" s="319" t="s">
        <v>190</v>
      </c>
      <c r="DX927" s="319" t="s">
        <v>190</v>
      </c>
      <c r="DY927" s="319" t="s">
        <v>190</v>
      </c>
      <c r="DZ927" s="319" t="s">
        <v>190</v>
      </c>
      <c r="EA927" s="319" t="s">
        <v>190</v>
      </c>
      <c r="EB927" s="319" t="s">
        <v>190</v>
      </c>
      <c r="EC927" s="319" t="s">
        <v>428</v>
      </c>
      <c r="ED927" s="319" t="s">
        <v>190</v>
      </c>
      <c r="EE927" s="319" t="s">
        <v>190</v>
      </c>
      <c r="EF927" s="319" t="s">
        <v>190</v>
      </c>
      <c r="EG927" s="319" t="s">
        <v>190</v>
      </c>
      <c r="EH927" s="319" t="s">
        <v>190</v>
      </c>
      <c r="EI927" s="319" t="s">
        <v>190</v>
      </c>
      <c r="EJ927" s="319" t="s">
        <v>190</v>
      </c>
      <c r="EK927" s="319" t="s">
        <v>190</v>
      </c>
      <c r="EL927" s="319" t="s">
        <v>190</v>
      </c>
      <c r="EM927" s="319" t="s">
        <v>190</v>
      </c>
      <c r="EN927" s="319" t="s">
        <v>190</v>
      </c>
      <c r="EO927" s="319" t="s">
        <v>190</v>
      </c>
      <c r="EP927" s="319" t="s">
        <v>190</v>
      </c>
      <c r="EQ927" s="319" t="s">
        <v>190</v>
      </c>
      <c r="ER927" s="319" t="s">
        <v>190</v>
      </c>
      <c r="ES927" s="319" t="s">
        <v>190</v>
      </c>
      <c r="ET927" s="319" t="s">
        <v>190</v>
      </c>
      <c r="EU927" s="319" t="s">
        <v>190</v>
      </c>
      <c r="EV927" s="319" t="s">
        <v>190</v>
      </c>
      <c r="EW927" s="319" t="s">
        <v>190</v>
      </c>
      <c r="EX927" s="319" t="s">
        <v>190</v>
      </c>
      <c r="EY927" s="319" t="s">
        <v>190</v>
      </c>
      <c r="EZ927" s="319" t="s">
        <v>190</v>
      </c>
      <c r="FA927" s="319" t="s">
        <v>190</v>
      </c>
      <c r="FB927" s="319" t="s">
        <v>190</v>
      </c>
      <c r="FC927" s="319" t="s">
        <v>190</v>
      </c>
      <c r="FD927" s="319" t="s">
        <v>190</v>
      </c>
      <c r="FE927" s="319" t="s">
        <v>190</v>
      </c>
      <c r="FF927" s="319" t="s">
        <v>428</v>
      </c>
      <c r="FG927" s="319" t="s">
        <v>190</v>
      </c>
      <c r="FH927" s="319" t="s">
        <v>190</v>
      </c>
      <c r="FI927" s="319" t="s">
        <v>190</v>
      </c>
      <c r="FJ927" s="319" t="s">
        <v>190</v>
      </c>
      <c r="FK927" s="319" t="s">
        <v>190</v>
      </c>
      <c r="FL927" s="319" t="s">
        <v>190</v>
      </c>
      <c r="FM927" s="319" t="s">
        <v>190</v>
      </c>
      <c r="FN927" s="319" t="s">
        <v>428</v>
      </c>
      <c r="FO927" s="319" t="s">
        <v>428</v>
      </c>
      <c r="FP927" s="319" t="s">
        <v>190</v>
      </c>
      <c r="FQ927" s="319" t="s">
        <v>190</v>
      </c>
      <c r="FR927" s="319" t="s">
        <v>190</v>
      </c>
      <c r="FS927" s="319" t="s">
        <v>428</v>
      </c>
      <c r="FT927" s="319" t="s">
        <v>428</v>
      </c>
      <c r="FU927" s="319" t="s">
        <v>190</v>
      </c>
      <c r="FV927" s="319" t="s">
        <v>190</v>
      </c>
      <c r="FW927" s="319" t="s">
        <v>190</v>
      </c>
      <c r="FX927" s="319" t="s">
        <v>190</v>
      </c>
      <c r="FY927" s="319" t="s">
        <v>190</v>
      </c>
      <c r="FZ927" s="319" t="s">
        <v>190</v>
      </c>
      <c r="GA927" s="319" t="s">
        <v>190</v>
      </c>
      <c r="GB927" s="319" t="s">
        <v>190</v>
      </c>
      <c r="GC927" s="319" t="s">
        <v>190</v>
      </c>
      <c r="GD927" s="319" t="s">
        <v>190</v>
      </c>
      <c r="GE927" s="319" t="s">
        <v>190</v>
      </c>
      <c r="GF927" s="319" t="s">
        <v>190</v>
      </c>
      <c r="GG927" s="319" t="s">
        <v>190</v>
      </c>
      <c r="GH927" s="319" t="s">
        <v>190</v>
      </c>
      <c r="GI927" s="319" t="s">
        <v>190</v>
      </c>
      <c r="GJ927" s="319" t="s">
        <v>190</v>
      </c>
      <c r="GK927" s="319" t="s">
        <v>428</v>
      </c>
      <c r="GL927" s="319" t="s">
        <v>190</v>
      </c>
      <c r="GM927" s="319" t="s">
        <v>190</v>
      </c>
      <c r="GN927" s="319" t="s">
        <v>190</v>
      </c>
      <c r="GO927" s="319" t="s">
        <v>190</v>
      </c>
      <c r="GP927" s="319" t="s">
        <v>190</v>
      </c>
      <c r="GQ927" s="319" t="s">
        <v>428</v>
      </c>
      <c r="GR927" s="319" t="s">
        <v>190</v>
      </c>
      <c r="GS927" s="319" t="s">
        <v>190</v>
      </c>
      <c r="GT927" s="319" t="s">
        <v>428</v>
      </c>
      <c r="GU927" s="319" t="s">
        <v>428</v>
      </c>
      <c r="GV927" s="319" t="s">
        <v>190</v>
      </c>
      <c r="GW927" s="319" t="s">
        <v>190</v>
      </c>
      <c r="GX927" s="319" t="s">
        <v>190</v>
      </c>
      <c r="GY927" s="319" t="s">
        <v>190</v>
      </c>
      <c r="GZ927" s="319" t="s">
        <v>190</v>
      </c>
      <c r="HA927" s="319" t="s">
        <v>428</v>
      </c>
      <c r="HB927" s="319" t="s">
        <v>190</v>
      </c>
      <c r="HC927" s="319" t="s">
        <v>190</v>
      </c>
      <c r="HD927" s="319" t="s">
        <v>190</v>
      </c>
      <c r="HE927" s="319" t="s">
        <v>190</v>
      </c>
      <c r="HF927" s="319" t="s">
        <v>428</v>
      </c>
      <c r="HG927" s="319" t="s">
        <v>190</v>
      </c>
      <c r="HH927" s="319" t="s">
        <v>190</v>
      </c>
      <c r="HI927" s="319" t="s">
        <v>428</v>
      </c>
      <c r="HJ927" s="319" t="s">
        <v>190</v>
      </c>
      <c r="HK927" s="319" t="s">
        <v>428</v>
      </c>
      <c r="HL927" s="319" t="s">
        <v>428</v>
      </c>
      <c r="HM927" s="319" t="s">
        <v>428</v>
      </c>
      <c r="HN927" s="319" t="s">
        <v>428</v>
      </c>
      <c r="HO927" s="319" t="s">
        <v>428</v>
      </c>
      <c r="HP927" s="319" t="s">
        <v>190</v>
      </c>
      <c r="HQ927" s="319" t="s">
        <v>190</v>
      </c>
      <c r="HR927" s="319" t="s">
        <v>190</v>
      </c>
      <c r="HS927" s="319" t="s">
        <v>190</v>
      </c>
      <c r="HT927" s="319" t="s">
        <v>190</v>
      </c>
      <c r="HU927" s="319" t="s">
        <v>190</v>
      </c>
      <c r="HV927" s="319" t="s">
        <v>190</v>
      </c>
      <c r="HW927" s="319" t="s">
        <v>190</v>
      </c>
      <c r="HX927" s="319" t="s">
        <v>190</v>
      </c>
      <c r="HY927" s="319" t="s">
        <v>190</v>
      </c>
      <c r="HZ927" s="319" t="s">
        <v>190</v>
      </c>
      <c r="IA927" s="319" t="s">
        <v>190</v>
      </c>
      <c r="IB927" s="319" t="s">
        <v>190</v>
      </c>
      <c r="IC927" s="319" t="s">
        <v>190</v>
      </c>
      <c r="ID927" s="319" t="s">
        <v>190</v>
      </c>
      <c r="IE927" s="319" t="s">
        <v>190</v>
      </c>
      <c r="IF927" s="319" t="s">
        <v>190</v>
      </c>
      <c r="IG927" s="319" t="s">
        <v>190</v>
      </c>
      <c r="IH927" s="319" t="s">
        <v>190</v>
      </c>
      <c r="II927" s="319" t="s">
        <v>190</v>
      </c>
      <c r="IJ927" s="319" t="s">
        <v>173</v>
      </c>
      <c r="IK927" s="319" t="s">
        <v>173</v>
      </c>
      <c r="IL927" s="319" t="s">
        <v>173</v>
      </c>
      <c r="IM927" s="319" t="s">
        <v>173</v>
      </c>
      <c r="IN927" s="319" t="s">
        <v>173</v>
      </c>
      <c r="IO927" s="319" t="s">
        <v>173</v>
      </c>
      <c r="IP927" s="319" t="s">
        <v>173</v>
      </c>
      <c r="IQ927" s="321" t="s">
        <v>173</v>
      </c>
      <c r="IR927" s="320" t="s">
        <v>173</v>
      </c>
      <c r="IS927" s="322" t="s">
        <v>173</v>
      </c>
      <c r="IT927" s="319" t="s">
        <v>173</v>
      </c>
    </row>
    <row r="928" spans="1:254" s="271" customFormat="1" x14ac:dyDescent="0.25">
      <c r="A928" s="318" t="str">
        <f>HYPERLINK("http://www.ofsted.gov.uk/inspection-reports/find-inspection-report/provider/ELS/144807 ","Ofsted School Webpage")</f>
        <v>Ofsted School Webpage</v>
      </c>
      <c r="B928" s="319">
        <v>144807</v>
      </c>
      <c r="C928" s="319">
        <v>8226007</v>
      </c>
      <c r="D928" s="319" t="s">
        <v>1025</v>
      </c>
      <c r="E928" s="319" t="s">
        <v>167</v>
      </c>
      <c r="F928" s="319" t="s">
        <v>81</v>
      </c>
      <c r="G928" s="319" t="s">
        <v>59</v>
      </c>
      <c r="H928" s="319" t="s">
        <v>59</v>
      </c>
      <c r="I928" s="319" t="s">
        <v>59</v>
      </c>
      <c r="J928" s="319" t="s">
        <v>424</v>
      </c>
      <c r="K928" s="319" t="s">
        <v>451</v>
      </c>
      <c r="L928" s="319" t="s">
        <v>451</v>
      </c>
      <c r="M928" s="319" t="s">
        <v>1026</v>
      </c>
      <c r="N928" s="319" t="s">
        <v>1026</v>
      </c>
      <c r="O928" s="319" t="s">
        <v>2751</v>
      </c>
      <c r="P928" s="319">
        <v>17</v>
      </c>
      <c r="Q928" s="319" t="s">
        <v>2766</v>
      </c>
      <c r="R928" s="320">
        <v>10046993</v>
      </c>
      <c r="S928" s="321">
        <v>43214</v>
      </c>
      <c r="T928" s="321">
        <v>43216</v>
      </c>
      <c r="U928" s="321">
        <v>43262</v>
      </c>
      <c r="V928" s="319" t="s">
        <v>435</v>
      </c>
      <c r="W928" s="319" t="s">
        <v>2767</v>
      </c>
      <c r="X928" s="319">
        <v>2</v>
      </c>
      <c r="Y928" s="319" t="s">
        <v>173</v>
      </c>
      <c r="Z928" s="319" t="s">
        <v>173</v>
      </c>
      <c r="AA928" s="319" t="s">
        <v>173</v>
      </c>
      <c r="AB928" s="319">
        <v>2</v>
      </c>
      <c r="AC928" s="319" t="s">
        <v>169</v>
      </c>
      <c r="AD928" s="319" t="s">
        <v>173</v>
      </c>
      <c r="AE928" s="319">
        <v>0</v>
      </c>
      <c r="AF928" s="319" t="s">
        <v>427</v>
      </c>
      <c r="AG928" s="319" t="s">
        <v>171</v>
      </c>
      <c r="AH928" s="319" t="s">
        <v>190</v>
      </c>
      <c r="AI928" s="319" t="s">
        <v>190</v>
      </c>
      <c r="AJ928" s="319" t="s">
        <v>190</v>
      </c>
      <c r="AK928" s="319" t="s">
        <v>190</v>
      </c>
      <c r="AL928" s="319" t="s">
        <v>190</v>
      </c>
      <c r="AM928" s="319" t="s">
        <v>190</v>
      </c>
      <c r="AN928" s="319" t="s">
        <v>190</v>
      </c>
      <c r="AO928" s="319" t="s">
        <v>190</v>
      </c>
      <c r="AP928" s="319" t="s">
        <v>190</v>
      </c>
      <c r="AQ928" s="319" t="s">
        <v>190</v>
      </c>
      <c r="AR928" s="319" t="s">
        <v>190</v>
      </c>
      <c r="AS928" s="319" t="s">
        <v>190</v>
      </c>
      <c r="AT928" s="319" t="s">
        <v>190</v>
      </c>
      <c r="AU928" s="319" t="s">
        <v>190</v>
      </c>
      <c r="AV928" s="319" t="s">
        <v>190</v>
      </c>
      <c r="AW928" s="319" t="s">
        <v>190</v>
      </c>
      <c r="AX928" s="319" t="s">
        <v>428</v>
      </c>
      <c r="AY928" s="319" t="s">
        <v>190</v>
      </c>
      <c r="AZ928" s="319" t="s">
        <v>190</v>
      </c>
      <c r="BA928" s="319" t="s">
        <v>190</v>
      </c>
      <c r="BB928" s="319" t="s">
        <v>190</v>
      </c>
      <c r="BC928" s="319" t="s">
        <v>190</v>
      </c>
      <c r="BD928" s="319" t="s">
        <v>190</v>
      </c>
      <c r="BE928" s="319" t="s">
        <v>190</v>
      </c>
      <c r="BF928" s="319" t="s">
        <v>428</v>
      </c>
      <c r="BG928" s="319" t="s">
        <v>190</v>
      </c>
      <c r="BH928" s="319" t="s">
        <v>190</v>
      </c>
      <c r="BI928" s="319" t="s">
        <v>190</v>
      </c>
      <c r="BJ928" s="319" t="s">
        <v>190</v>
      </c>
      <c r="BK928" s="319" t="s">
        <v>190</v>
      </c>
      <c r="BL928" s="319" t="s">
        <v>190</v>
      </c>
      <c r="BM928" s="319" t="s">
        <v>190</v>
      </c>
      <c r="BN928" s="319" t="s">
        <v>190</v>
      </c>
      <c r="BO928" s="319" t="s">
        <v>190</v>
      </c>
      <c r="BP928" s="319" t="s">
        <v>190</v>
      </c>
      <c r="BQ928" s="319" t="s">
        <v>190</v>
      </c>
      <c r="BR928" s="319" t="s">
        <v>190</v>
      </c>
      <c r="BS928" s="319" t="s">
        <v>190</v>
      </c>
      <c r="BT928" s="319" t="s">
        <v>190</v>
      </c>
      <c r="BU928" s="319" t="s">
        <v>190</v>
      </c>
      <c r="BV928" s="319" t="s">
        <v>190</v>
      </c>
      <c r="BW928" s="319" t="s">
        <v>190</v>
      </c>
      <c r="BX928" s="319" t="s">
        <v>190</v>
      </c>
      <c r="BY928" s="319" t="s">
        <v>190</v>
      </c>
      <c r="BZ928" s="319" t="s">
        <v>190</v>
      </c>
      <c r="CA928" s="319" t="s">
        <v>190</v>
      </c>
      <c r="CB928" s="319" t="s">
        <v>190</v>
      </c>
      <c r="CC928" s="319" t="s">
        <v>190</v>
      </c>
      <c r="CD928" s="319" t="s">
        <v>190</v>
      </c>
      <c r="CE928" s="319" t="s">
        <v>190</v>
      </c>
      <c r="CF928" s="319" t="s">
        <v>190</v>
      </c>
      <c r="CG928" s="319" t="s">
        <v>190</v>
      </c>
      <c r="CH928" s="319" t="s">
        <v>190</v>
      </c>
      <c r="CI928" s="319" t="s">
        <v>190</v>
      </c>
      <c r="CJ928" s="319" t="s">
        <v>190</v>
      </c>
      <c r="CK928" s="319" t="s">
        <v>190</v>
      </c>
      <c r="CL928" s="319" t="s">
        <v>190</v>
      </c>
      <c r="CM928" s="319" t="s">
        <v>190</v>
      </c>
      <c r="CN928" s="319" t="s">
        <v>428</v>
      </c>
      <c r="CO928" s="319" t="s">
        <v>428</v>
      </c>
      <c r="CP928" s="319" t="s">
        <v>428</v>
      </c>
      <c r="CQ928" s="319" t="s">
        <v>190</v>
      </c>
      <c r="CR928" s="319" t="s">
        <v>190</v>
      </c>
      <c r="CS928" s="319" t="s">
        <v>190</v>
      </c>
      <c r="CT928" s="319" t="s">
        <v>190</v>
      </c>
      <c r="CU928" s="319" t="s">
        <v>190</v>
      </c>
      <c r="CV928" s="319" t="s">
        <v>190</v>
      </c>
      <c r="CW928" s="319" t="s">
        <v>190</v>
      </c>
      <c r="CX928" s="319" t="s">
        <v>190</v>
      </c>
      <c r="CY928" s="319" t="s">
        <v>190</v>
      </c>
      <c r="CZ928" s="319" t="s">
        <v>190</v>
      </c>
      <c r="DA928" s="319" t="s">
        <v>190</v>
      </c>
      <c r="DB928" s="319" t="s">
        <v>190</v>
      </c>
      <c r="DC928" s="319" t="s">
        <v>190</v>
      </c>
      <c r="DD928" s="319" t="s">
        <v>190</v>
      </c>
      <c r="DE928" s="319" t="s">
        <v>190</v>
      </c>
      <c r="DF928" s="319" t="s">
        <v>190</v>
      </c>
      <c r="DG928" s="319" t="s">
        <v>190</v>
      </c>
      <c r="DH928" s="319" t="s">
        <v>190</v>
      </c>
      <c r="DI928" s="319" t="s">
        <v>190</v>
      </c>
      <c r="DJ928" s="319" t="s">
        <v>190</v>
      </c>
      <c r="DK928" s="319" t="s">
        <v>190</v>
      </c>
      <c r="DL928" s="319" t="s">
        <v>190</v>
      </c>
      <c r="DM928" s="319" t="s">
        <v>190</v>
      </c>
      <c r="DN928" s="319" t="s">
        <v>190</v>
      </c>
      <c r="DO928" s="319" t="s">
        <v>190</v>
      </c>
      <c r="DP928" s="319" t="s">
        <v>190</v>
      </c>
      <c r="DQ928" s="319" t="s">
        <v>190</v>
      </c>
      <c r="DR928" s="319" t="s">
        <v>190</v>
      </c>
      <c r="DS928" s="319" t="s">
        <v>190</v>
      </c>
      <c r="DT928" s="319" t="s">
        <v>190</v>
      </c>
      <c r="DU928" s="319" t="s">
        <v>190</v>
      </c>
      <c r="DV928" s="319" t="s">
        <v>173</v>
      </c>
      <c r="DW928" s="319" t="s">
        <v>190</v>
      </c>
      <c r="DX928" s="319" t="s">
        <v>190</v>
      </c>
      <c r="DY928" s="319" t="s">
        <v>190</v>
      </c>
      <c r="DZ928" s="319" t="s">
        <v>190</v>
      </c>
      <c r="EA928" s="319" t="s">
        <v>190</v>
      </c>
      <c r="EB928" s="319" t="s">
        <v>190</v>
      </c>
      <c r="EC928" s="319" t="s">
        <v>428</v>
      </c>
      <c r="ED928" s="319" t="s">
        <v>190</v>
      </c>
      <c r="EE928" s="319" t="s">
        <v>428</v>
      </c>
      <c r="EF928" s="319" t="s">
        <v>428</v>
      </c>
      <c r="EG928" s="319" t="s">
        <v>428</v>
      </c>
      <c r="EH928" s="319" t="s">
        <v>428</v>
      </c>
      <c r="EI928" s="319" t="s">
        <v>428</v>
      </c>
      <c r="EJ928" s="319" t="s">
        <v>428</v>
      </c>
      <c r="EK928" s="319" t="s">
        <v>428</v>
      </c>
      <c r="EL928" s="319" t="s">
        <v>428</v>
      </c>
      <c r="EM928" s="319" t="s">
        <v>428</v>
      </c>
      <c r="EN928" s="319" t="s">
        <v>190</v>
      </c>
      <c r="EO928" s="319" t="s">
        <v>190</v>
      </c>
      <c r="EP928" s="319" t="s">
        <v>190</v>
      </c>
      <c r="EQ928" s="319" t="s">
        <v>190</v>
      </c>
      <c r="ER928" s="319" t="s">
        <v>190</v>
      </c>
      <c r="ES928" s="319" t="s">
        <v>190</v>
      </c>
      <c r="ET928" s="319" t="s">
        <v>190</v>
      </c>
      <c r="EU928" s="319" t="s">
        <v>190</v>
      </c>
      <c r="EV928" s="319" t="s">
        <v>190</v>
      </c>
      <c r="EW928" s="319" t="s">
        <v>190</v>
      </c>
      <c r="EX928" s="319" t="s">
        <v>190</v>
      </c>
      <c r="EY928" s="319" t="s">
        <v>190</v>
      </c>
      <c r="EZ928" s="319" t="s">
        <v>190</v>
      </c>
      <c r="FA928" s="319" t="s">
        <v>190</v>
      </c>
      <c r="FB928" s="319" t="s">
        <v>190</v>
      </c>
      <c r="FC928" s="319" t="s">
        <v>190</v>
      </c>
      <c r="FD928" s="319" t="s">
        <v>190</v>
      </c>
      <c r="FE928" s="319" t="s">
        <v>190</v>
      </c>
      <c r="FF928" s="319" t="s">
        <v>190</v>
      </c>
      <c r="FG928" s="319" t="s">
        <v>190</v>
      </c>
      <c r="FH928" s="319" t="s">
        <v>428</v>
      </c>
      <c r="FI928" s="319" t="s">
        <v>428</v>
      </c>
      <c r="FJ928" s="319" t="s">
        <v>429</v>
      </c>
      <c r="FK928" s="319" t="s">
        <v>428</v>
      </c>
      <c r="FL928" s="319" t="s">
        <v>190</v>
      </c>
      <c r="FM928" s="319" t="s">
        <v>190</v>
      </c>
      <c r="FN928" s="319" t="s">
        <v>190</v>
      </c>
      <c r="FO928" s="319" t="s">
        <v>190</v>
      </c>
      <c r="FP928" s="319" t="s">
        <v>190</v>
      </c>
      <c r="FQ928" s="319" t="s">
        <v>190</v>
      </c>
      <c r="FR928" s="319" t="s">
        <v>190</v>
      </c>
      <c r="FS928" s="319" t="s">
        <v>428</v>
      </c>
      <c r="FT928" s="319" t="s">
        <v>190</v>
      </c>
      <c r="FU928" s="319" t="s">
        <v>190</v>
      </c>
      <c r="FV928" s="319" t="s">
        <v>190</v>
      </c>
      <c r="FW928" s="319" t="s">
        <v>190</v>
      </c>
      <c r="FX928" s="319" t="s">
        <v>190</v>
      </c>
      <c r="FY928" s="319" t="s">
        <v>190</v>
      </c>
      <c r="FZ928" s="319" t="s">
        <v>190</v>
      </c>
      <c r="GA928" s="319" t="s">
        <v>190</v>
      </c>
      <c r="GB928" s="319" t="s">
        <v>190</v>
      </c>
      <c r="GC928" s="319" t="s">
        <v>190</v>
      </c>
      <c r="GD928" s="319" t="s">
        <v>190</v>
      </c>
      <c r="GE928" s="319" t="s">
        <v>190</v>
      </c>
      <c r="GF928" s="319" t="s">
        <v>190</v>
      </c>
      <c r="GG928" s="319" t="s">
        <v>190</v>
      </c>
      <c r="GH928" s="319" t="s">
        <v>190</v>
      </c>
      <c r="GI928" s="319" t="s">
        <v>190</v>
      </c>
      <c r="GJ928" s="319" t="s">
        <v>190</v>
      </c>
      <c r="GK928" s="319" t="s">
        <v>428</v>
      </c>
      <c r="GL928" s="319" t="s">
        <v>190</v>
      </c>
      <c r="GM928" s="319" t="s">
        <v>190</v>
      </c>
      <c r="GN928" s="319" t="s">
        <v>190</v>
      </c>
      <c r="GO928" s="319" t="s">
        <v>190</v>
      </c>
      <c r="GP928" s="319" t="s">
        <v>428</v>
      </c>
      <c r="GQ928" s="319" t="s">
        <v>428</v>
      </c>
      <c r="GR928" s="319" t="s">
        <v>190</v>
      </c>
      <c r="GS928" s="319" t="s">
        <v>190</v>
      </c>
      <c r="GT928" s="319" t="s">
        <v>428</v>
      </c>
      <c r="GU928" s="319" t="s">
        <v>190</v>
      </c>
      <c r="GV928" s="319" t="s">
        <v>190</v>
      </c>
      <c r="GW928" s="319" t="s">
        <v>190</v>
      </c>
      <c r="GX928" s="319" t="s">
        <v>190</v>
      </c>
      <c r="GY928" s="319" t="s">
        <v>190</v>
      </c>
      <c r="GZ928" s="319" t="s">
        <v>190</v>
      </c>
      <c r="HA928" s="319" t="s">
        <v>428</v>
      </c>
      <c r="HB928" s="319" t="s">
        <v>190</v>
      </c>
      <c r="HC928" s="319" t="s">
        <v>190</v>
      </c>
      <c r="HD928" s="319" t="s">
        <v>190</v>
      </c>
      <c r="HE928" s="319" t="s">
        <v>190</v>
      </c>
      <c r="HF928" s="319" t="s">
        <v>190</v>
      </c>
      <c r="HG928" s="319" t="s">
        <v>190</v>
      </c>
      <c r="HH928" s="319" t="s">
        <v>190</v>
      </c>
      <c r="HI928" s="319" t="s">
        <v>428</v>
      </c>
      <c r="HJ928" s="319" t="s">
        <v>190</v>
      </c>
      <c r="HK928" s="319" t="s">
        <v>190</v>
      </c>
      <c r="HL928" s="319" t="s">
        <v>190</v>
      </c>
      <c r="HM928" s="319" t="s">
        <v>428</v>
      </c>
      <c r="HN928" s="319" t="s">
        <v>428</v>
      </c>
      <c r="HO928" s="319" t="s">
        <v>428</v>
      </c>
      <c r="HP928" s="319" t="s">
        <v>190</v>
      </c>
      <c r="HQ928" s="319" t="s">
        <v>190</v>
      </c>
      <c r="HR928" s="319" t="s">
        <v>190</v>
      </c>
      <c r="HS928" s="319" t="s">
        <v>190</v>
      </c>
      <c r="HT928" s="319" t="s">
        <v>190</v>
      </c>
      <c r="HU928" s="319" t="s">
        <v>190</v>
      </c>
      <c r="HV928" s="319" t="s">
        <v>190</v>
      </c>
      <c r="HW928" s="319" t="s">
        <v>190</v>
      </c>
      <c r="HX928" s="319" t="s">
        <v>190</v>
      </c>
      <c r="HY928" s="319" t="s">
        <v>190</v>
      </c>
      <c r="HZ928" s="319" t="s">
        <v>190</v>
      </c>
      <c r="IA928" s="319" t="s">
        <v>190</v>
      </c>
      <c r="IB928" s="319" t="s">
        <v>190</v>
      </c>
      <c r="IC928" s="319" t="s">
        <v>190</v>
      </c>
      <c r="ID928" s="319" t="s">
        <v>190</v>
      </c>
      <c r="IE928" s="319" t="s">
        <v>190</v>
      </c>
      <c r="IF928" s="319" t="s">
        <v>190</v>
      </c>
      <c r="IG928" s="319" t="s">
        <v>190</v>
      </c>
      <c r="IH928" s="319" t="s">
        <v>190</v>
      </c>
      <c r="II928" s="319" t="s">
        <v>190</v>
      </c>
      <c r="IJ928" s="319" t="s">
        <v>173</v>
      </c>
      <c r="IK928" s="319" t="s">
        <v>173</v>
      </c>
      <c r="IL928" s="319" t="s">
        <v>173</v>
      </c>
      <c r="IM928" s="319" t="s">
        <v>173</v>
      </c>
      <c r="IN928" s="319" t="s">
        <v>173</v>
      </c>
      <c r="IO928" s="319" t="s">
        <v>173</v>
      </c>
      <c r="IP928" s="319" t="s">
        <v>173</v>
      </c>
      <c r="IQ928" s="321" t="s">
        <v>173</v>
      </c>
      <c r="IR928" s="320" t="s">
        <v>173</v>
      </c>
      <c r="IS928" s="322" t="s">
        <v>173</v>
      </c>
      <c r="IT928" s="319" t="s">
        <v>173</v>
      </c>
    </row>
    <row r="929" spans="1:254" s="271" customFormat="1" x14ac:dyDescent="0.25">
      <c r="A929" s="318" t="str">
        <f>HYPERLINK("http://www.ofsted.gov.uk/inspection-reports/find-inspection-report/provider/ELS/144808 ","Ofsted School Webpage")</f>
        <v>Ofsted School Webpage</v>
      </c>
      <c r="B929" s="319">
        <v>144808</v>
      </c>
      <c r="C929" s="319">
        <v>8506093</v>
      </c>
      <c r="D929" s="319" t="s">
        <v>2467</v>
      </c>
      <c r="E929" s="319" t="s">
        <v>167</v>
      </c>
      <c r="F929" s="319" t="s">
        <v>81</v>
      </c>
      <c r="G929" s="319" t="s">
        <v>81</v>
      </c>
      <c r="H929" s="319" t="s">
        <v>81</v>
      </c>
      <c r="I929" s="319" t="s">
        <v>78</v>
      </c>
      <c r="J929" s="319" t="s">
        <v>424</v>
      </c>
      <c r="K929" s="319" t="s">
        <v>514</v>
      </c>
      <c r="L929" s="319" t="s">
        <v>514</v>
      </c>
      <c r="M929" s="319" t="s">
        <v>515</v>
      </c>
      <c r="N929" s="319" t="s">
        <v>3557</v>
      </c>
      <c r="O929" s="319" t="s">
        <v>2468</v>
      </c>
      <c r="P929" s="319">
        <v>25</v>
      </c>
      <c r="Q929" s="319" t="s">
        <v>2776</v>
      </c>
      <c r="R929" s="320">
        <v>10045499</v>
      </c>
      <c r="S929" s="321">
        <v>43235</v>
      </c>
      <c r="T929" s="321">
        <v>43237</v>
      </c>
      <c r="U929" s="321">
        <v>43269</v>
      </c>
      <c r="V929" s="319" t="s">
        <v>435</v>
      </c>
      <c r="W929" s="319" t="s">
        <v>2767</v>
      </c>
      <c r="X929" s="319">
        <v>2</v>
      </c>
      <c r="Y929" s="319" t="s">
        <v>173</v>
      </c>
      <c r="Z929" s="319" t="s">
        <v>173</v>
      </c>
      <c r="AA929" s="319" t="s">
        <v>173</v>
      </c>
      <c r="AB929" s="319">
        <v>2</v>
      </c>
      <c r="AC929" s="319" t="s">
        <v>169</v>
      </c>
      <c r="AD929" s="319" t="s">
        <v>173</v>
      </c>
      <c r="AE929" s="319">
        <v>2</v>
      </c>
      <c r="AF929" s="319" t="s">
        <v>427</v>
      </c>
      <c r="AG929" s="319" t="s">
        <v>171</v>
      </c>
      <c r="AH929" s="319" t="s">
        <v>190</v>
      </c>
      <c r="AI929" s="319" t="s">
        <v>190</v>
      </c>
      <c r="AJ929" s="319" t="s">
        <v>190</v>
      </c>
      <c r="AK929" s="319" t="s">
        <v>190</v>
      </c>
      <c r="AL929" s="319" t="s">
        <v>190</v>
      </c>
      <c r="AM929" s="319" t="s">
        <v>190</v>
      </c>
      <c r="AN929" s="319" t="s">
        <v>190</v>
      </c>
      <c r="AO929" s="319" t="s">
        <v>190</v>
      </c>
      <c r="AP929" s="319" t="s">
        <v>190</v>
      </c>
      <c r="AQ929" s="319" t="s">
        <v>190</v>
      </c>
      <c r="AR929" s="319" t="s">
        <v>190</v>
      </c>
      <c r="AS929" s="319" t="s">
        <v>190</v>
      </c>
      <c r="AT929" s="319" t="s">
        <v>190</v>
      </c>
      <c r="AU929" s="319" t="s">
        <v>190</v>
      </c>
      <c r="AV929" s="319" t="s">
        <v>190</v>
      </c>
      <c r="AW929" s="319" t="s">
        <v>190</v>
      </c>
      <c r="AX929" s="319" t="s">
        <v>428</v>
      </c>
      <c r="AY929" s="319" t="s">
        <v>190</v>
      </c>
      <c r="AZ929" s="319" t="s">
        <v>190</v>
      </c>
      <c r="BA929" s="319" t="s">
        <v>190</v>
      </c>
      <c r="BB929" s="319" t="s">
        <v>190</v>
      </c>
      <c r="BC929" s="319" t="s">
        <v>190</v>
      </c>
      <c r="BD929" s="319" t="s">
        <v>190</v>
      </c>
      <c r="BE929" s="319" t="s">
        <v>190</v>
      </c>
      <c r="BF929" s="319" t="s">
        <v>428</v>
      </c>
      <c r="BG929" s="319" t="s">
        <v>190</v>
      </c>
      <c r="BH929" s="319" t="s">
        <v>190</v>
      </c>
      <c r="BI929" s="319" t="s">
        <v>190</v>
      </c>
      <c r="BJ929" s="319" t="s">
        <v>190</v>
      </c>
      <c r="BK929" s="319" t="s">
        <v>190</v>
      </c>
      <c r="BL929" s="319" t="s">
        <v>190</v>
      </c>
      <c r="BM929" s="319" t="s">
        <v>190</v>
      </c>
      <c r="BN929" s="319" t="s">
        <v>190</v>
      </c>
      <c r="BO929" s="319" t="s">
        <v>190</v>
      </c>
      <c r="BP929" s="319" t="s">
        <v>190</v>
      </c>
      <c r="BQ929" s="319" t="s">
        <v>190</v>
      </c>
      <c r="BR929" s="319" t="s">
        <v>190</v>
      </c>
      <c r="BS929" s="319" t="s">
        <v>190</v>
      </c>
      <c r="BT929" s="319" t="s">
        <v>190</v>
      </c>
      <c r="BU929" s="319" t="s">
        <v>190</v>
      </c>
      <c r="BV929" s="319" t="s">
        <v>190</v>
      </c>
      <c r="BW929" s="319" t="s">
        <v>190</v>
      </c>
      <c r="BX929" s="319" t="s">
        <v>190</v>
      </c>
      <c r="BY929" s="319" t="s">
        <v>190</v>
      </c>
      <c r="BZ929" s="319" t="s">
        <v>190</v>
      </c>
      <c r="CA929" s="319" t="s">
        <v>190</v>
      </c>
      <c r="CB929" s="319" t="s">
        <v>190</v>
      </c>
      <c r="CC929" s="319" t="s">
        <v>190</v>
      </c>
      <c r="CD929" s="319" t="s">
        <v>190</v>
      </c>
      <c r="CE929" s="319" t="s">
        <v>190</v>
      </c>
      <c r="CF929" s="319" t="s">
        <v>190</v>
      </c>
      <c r="CG929" s="319" t="s">
        <v>190</v>
      </c>
      <c r="CH929" s="319" t="s">
        <v>190</v>
      </c>
      <c r="CI929" s="319" t="s">
        <v>190</v>
      </c>
      <c r="CJ929" s="319" t="s">
        <v>190</v>
      </c>
      <c r="CK929" s="319" t="s">
        <v>190</v>
      </c>
      <c r="CL929" s="319" t="s">
        <v>190</v>
      </c>
      <c r="CM929" s="319" t="s">
        <v>190</v>
      </c>
      <c r="CN929" s="319" t="s">
        <v>428</v>
      </c>
      <c r="CO929" s="319" t="s">
        <v>428</v>
      </c>
      <c r="CP929" s="319" t="s">
        <v>428</v>
      </c>
      <c r="CQ929" s="319" t="s">
        <v>190</v>
      </c>
      <c r="CR929" s="319" t="s">
        <v>190</v>
      </c>
      <c r="CS929" s="319" t="s">
        <v>190</v>
      </c>
      <c r="CT929" s="319" t="s">
        <v>190</v>
      </c>
      <c r="CU929" s="319" t="s">
        <v>190</v>
      </c>
      <c r="CV929" s="319" t="s">
        <v>190</v>
      </c>
      <c r="CW929" s="319" t="s">
        <v>190</v>
      </c>
      <c r="CX929" s="319" t="s">
        <v>190</v>
      </c>
      <c r="CY929" s="319" t="s">
        <v>190</v>
      </c>
      <c r="CZ929" s="319" t="s">
        <v>190</v>
      </c>
      <c r="DA929" s="319" t="s">
        <v>190</v>
      </c>
      <c r="DB929" s="319" t="s">
        <v>190</v>
      </c>
      <c r="DC929" s="319" t="s">
        <v>190</v>
      </c>
      <c r="DD929" s="319" t="s">
        <v>190</v>
      </c>
      <c r="DE929" s="319" t="s">
        <v>190</v>
      </c>
      <c r="DF929" s="319" t="s">
        <v>190</v>
      </c>
      <c r="DG929" s="319" t="s">
        <v>190</v>
      </c>
      <c r="DH929" s="319" t="s">
        <v>190</v>
      </c>
      <c r="DI929" s="319" t="s">
        <v>190</v>
      </c>
      <c r="DJ929" s="319" t="s">
        <v>190</v>
      </c>
      <c r="DK929" s="319" t="s">
        <v>190</v>
      </c>
      <c r="DL929" s="319" t="s">
        <v>190</v>
      </c>
      <c r="DM929" s="319" t="s">
        <v>190</v>
      </c>
      <c r="DN929" s="319" t="s">
        <v>428</v>
      </c>
      <c r="DO929" s="319" t="s">
        <v>190</v>
      </c>
      <c r="DP929" s="319" t="s">
        <v>428</v>
      </c>
      <c r="DQ929" s="319" t="s">
        <v>428</v>
      </c>
      <c r="DR929" s="319" t="s">
        <v>428</v>
      </c>
      <c r="DS929" s="319" t="s">
        <v>428</v>
      </c>
      <c r="DT929" s="319" t="s">
        <v>428</v>
      </c>
      <c r="DU929" s="319" t="s">
        <v>428</v>
      </c>
      <c r="DV929" s="319" t="s">
        <v>173</v>
      </c>
      <c r="DW929" s="319" t="s">
        <v>428</v>
      </c>
      <c r="DX929" s="319" t="s">
        <v>428</v>
      </c>
      <c r="DY929" s="319" t="s">
        <v>428</v>
      </c>
      <c r="DZ929" s="319" t="s">
        <v>428</v>
      </c>
      <c r="EA929" s="319" t="s">
        <v>428</v>
      </c>
      <c r="EB929" s="319" t="s">
        <v>428</v>
      </c>
      <c r="EC929" s="319" t="s">
        <v>428</v>
      </c>
      <c r="ED929" s="319" t="s">
        <v>428</v>
      </c>
      <c r="EE929" s="319" t="s">
        <v>190</v>
      </c>
      <c r="EF929" s="319" t="s">
        <v>190</v>
      </c>
      <c r="EG929" s="319" t="s">
        <v>190</v>
      </c>
      <c r="EH929" s="319" t="s">
        <v>190</v>
      </c>
      <c r="EI929" s="319" t="s">
        <v>190</v>
      </c>
      <c r="EJ929" s="319" t="s">
        <v>190</v>
      </c>
      <c r="EK929" s="319" t="s">
        <v>190</v>
      </c>
      <c r="EL929" s="319" t="s">
        <v>190</v>
      </c>
      <c r="EM929" s="319" t="s">
        <v>190</v>
      </c>
      <c r="EN929" s="319" t="s">
        <v>190</v>
      </c>
      <c r="EO929" s="319" t="s">
        <v>190</v>
      </c>
      <c r="EP929" s="319" t="s">
        <v>190</v>
      </c>
      <c r="EQ929" s="319" t="s">
        <v>190</v>
      </c>
      <c r="ER929" s="319" t="s">
        <v>190</v>
      </c>
      <c r="ES929" s="319" t="s">
        <v>190</v>
      </c>
      <c r="ET929" s="319" t="s">
        <v>190</v>
      </c>
      <c r="EU929" s="319" t="s">
        <v>190</v>
      </c>
      <c r="EV929" s="319" t="s">
        <v>190</v>
      </c>
      <c r="EW929" s="319" t="s">
        <v>190</v>
      </c>
      <c r="EX929" s="319" t="s">
        <v>190</v>
      </c>
      <c r="EY929" s="319" t="s">
        <v>190</v>
      </c>
      <c r="EZ929" s="319" t="s">
        <v>190</v>
      </c>
      <c r="FA929" s="319" t="s">
        <v>190</v>
      </c>
      <c r="FB929" s="319" t="s">
        <v>428</v>
      </c>
      <c r="FC929" s="319" t="s">
        <v>428</v>
      </c>
      <c r="FD929" s="319" t="s">
        <v>428</v>
      </c>
      <c r="FE929" s="319" t="s">
        <v>428</v>
      </c>
      <c r="FF929" s="319" t="s">
        <v>428</v>
      </c>
      <c r="FG929" s="319" t="s">
        <v>428</v>
      </c>
      <c r="FH929" s="319" t="s">
        <v>428</v>
      </c>
      <c r="FI929" s="319" t="s">
        <v>428</v>
      </c>
      <c r="FJ929" s="319" t="s">
        <v>429</v>
      </c>
      <c r="FK929" s="319" t="s">
        <v>428</v>
      </c>
      <c r="FL929" s="319" t="s">
        <v>190</v>
      </c>
      <c r="FM929" s="319" t="s">
        <v>190</v>
      </c>
      <c r="FN929" s="319" t="s">
        <v>190</v>
      </c>
      <c r="FO929" s="319" t="s">
        <v>190</v>
      </c>
      <c r="FP929" s="319" t="s">
        <v>190</v>
      </c>
      <c r="FQ929" s="319" t="s">
        <v>190</v>
      </c>
      <c r="FR929" s="319" t="s">
        <v>190</v>
      </c>
      <c r="FS929" s="319" t="s">
        <v>428</v>
      </c>
      <c r="FT929" s="319" t="s">
        <v>190</v>
      </c>
      <c r="FU929" s="319" t="s">
        <v>190</v>
      </c>
      <c r="FV929" s="319" t="s">
        <v>190</v>
      </c>
      <c r="FW929" s="319" t="s">
        <v>190</v>
      </c>
      <c r="FX929" s="319" t="s">
        <v>190</v>
      </c>
      <c r="FY929" s="319" t="s">
        <v>190</v>
      </c>
      <c r="FZ929" s="319" t="s">
        <v>190</v>
      </c>
      <c r="GA929" s="319" t="s">
        <v>190</v>
      </c>
      <c r="GB929" s="319" t="s">
        <v>190</v>
      </c>
      <c r="GC929" s="319" t="s">
        <v>190</v>
      </c>
      <c r="GD929" s="319" t="s">
        <v>190</v>
      </c>
      <c r="GE929" s="319" t="s">
        <v>190</v>
      </c>
      <c r="GF929" s="319" t="s">
        <v>190</v>
      </c>
      <c r="GG929" s="319" t="s">
        <v>190</v>
      </c>
      <c r="GH929" s="319" t="s">
        <v>190</v>
      </c>
      <c r="GI929" s="319" t="s">
        <v>190</v>
      </c>
      <c r="GJ929" s="319" t="s">
        <v>190</v>
      </c>
      <c r="GK929" s="319" t="s">
        <v>428</v>
      </c>
      <c r="GL929" s="319" t="s">
        <v>190</v>
      </c>
      <c r="GM929" s="319" t="s">
        <v>190</v>
      </c>
      <c r="GN929" s="319" t="s">
        <v>190</v>
      </c>
      <c r="GO929" s="319" t="s">
        <v>190</v>
      </c>
      <c r="GP929" s="319" t="s">
        <v>190</v>
      </c>
      <c r="GQ929" s="319" t="s">
        <v>190</v>
      </c>
      <c r="GR929" s="319" t="s">
        <v>190</v>
      </c>
      <c r="GS929" s="319" t="s">
        <v>190</v>
      </c>
      <c r="GT929" s="319" t="s">
        <v>190</v>
      </c>
      <c r="GU929" s="319" t="s">
        <v>190</v>
      </c>
      <c r="GV929" s="319" t="s">
        <v>190</v>
      </c>
      <c r="GW929" s="319" t="s">
        <v>190</v>
      </c>
      <c r="GX929" s="319" t="s">
        <v>190</v>
      </c>
      <c r="GY929" s="319" t="s">
        <v>190</v>
      </c>
      <c r="GZ929" s="319" t="s">
        <v>190</v>
      </c>
      <c r="HA929" s="319" t="s">
        <v>190</v>
      </c>
      <c r="HB929" s="319" t="s">
        <v>190</v>
      </c>
      <c r="HC929" s="319" t="s">
        <v>190</v>
      </c>
      <c r="HD929" s="319" t="s">
        <v>190</v>
      </c>
      <c r="HE929" s="319" t="s">
        <v>190</v>
      </c>
      <c r="HF929" s="319" t="s">
        <v>190</v>
      </c>
      <c r="HG929" s="319" t="s">
        <v>190</v>
      </c>
      <c r="HH929" s="319" t="s">
        <v>190</v>
      </c>
      <c r="HI929" s="319" t="s">
        <v>190</v>
      </c>
      <c r="HJ929" s="319" t="s">
        <v>190</v>
      </c>
      <c r="HK929" s="319" t="s">
        <v>190</v>
      </c>
      <c r="HL929" s="319" t="s">
        <v>190</v>
      </c>
      <c r="HM929" s="319" t="s">
        <v>190</v>
      </c>
      <c r="HN929" s="319" t="s">
        <v>190</v>
      </c>
      <c r="HO929" s="319" t="s">
        <v>190</v>
      </c>
      <c r="HP929" s="319" t="s">
        <v>190</v>
      </c>
      <c r="HQ929" s="319" t="s">
        <v>190</v>
      </c>
      <c r="HR929" s="319" t="s">
        <v>190</v>
      </c>
      <c r="HS929" s="319" t="s">
        <v>190</v>
      </c>
      <c r="HT929" s="319" t="s">
        <v>190</v>
      </c>
      <c r="HU929" s="319" t="s">
        <v>190</v>
      </c>
      <c r="HV929" s="319" t="s">
        <v>190</v>
      </c>
      <c r="HW929" s="319" t="s">
        <v>190</v>
      </c>
      <c r="HX929" s="319" t="s">
        <v>190</v>
      </c>
      <c r="HY929" s="319" t="s">
        <v>190</v>
      </c>
      <c r="HZ929" s="319" t="s">
        <v>190</v>
      </c>
      <c r="IA929" s="319" t="s">
        <v>190</v>
      </c>
      <c r="IB929" s="319" t="s">
        <v>190</v>
      </c>
      <c r="IC929" s="319" t="s">
        <v>190</v>
      </c>
      <c r="ID929" s="319" t="s">
        <v>190</v>
      </c>
      <c r="IE929" s="319" t="s">
        <v>190</v>
      </c>
      <c r="IF929" s="319" t="s">
        <v>190</v>
      </c>
      <c r="IG929" s="319" t="s">
        <v>190</v>
      </c>
      <c r="IH929" s="319" t="s">
        <v>190</v>
      </c>
      <c r="II929" s="319" t="s">
        <v>190</v>
      </c>
      <c r="IJ929" s="319" t="s">
        <v>173</v>
      </c>
      <c r="IK929" s="319" t="s">
        <v>173</v>
      </c>
      <c r="IL929" s="319" t="s">
        <v>173</v>
      </c>
      <c r="IM929" s="319" t="s">
        <v>173</v>
      </c>
      <c r="IN929" s="319" t="s">
        <v>173</v>
      </c>
      <c r="IO929" s="319" t="s">
        <v>173</v>
      </c>
      <c r="IP929" s="319" t="s">
        <v>173</v>
      </c>
      <c r="IQ929" s="321" t="s">
        <v>173</v>
      </c>
      <c r="IR929" s="320" t="s">
        <v>173</v>
      </c>
      <c r="IS929" s="322" t="s">
        <v>173</v>
      </c>
      <c r="IT929" s="319" t="s">
        <v>173</v>
      </c>
    </row>
    <row r="930" spans="1:254" s="271" customFormat="1" x14ac:dyDescent="0.25">
      <c r="A930" s="318" t="str">
        <f>HYPERLINK("http://www.ofsted.gov.uk/inspection-reports/find-inspection-report/provider/ELS/144811 ","Ofsted School Webpage")</f>
        <v>Ofsted School Webpage</v>
      </c>
      <c r="B930" s="319">
        <v>144811</v>
      </c>
      <c r="C930" s="319">
        <v>3826007</v>
      </c>
      <c r="D930" s="319" t="s">
        <v>2469</v>
      </c>
      <c r="E930" s="319" t="s">
        <v>167</v>
      </c>
      <c r="F930" s="319" t="s">
        <v>81</v>
      </c>
      <c r="G930" s="319" t="s">
        <v>72</v>
      </c>
      <c r="H930" s="319" t="s">
        <v>72</v>
      </c>
      <c r="I930" s="319" t="s">
        <v>72</v>
      </c>
      <c r="J930" s="319" t="s">
        <v>424</v>
      </c>
      <c r="K930" s="319" t="s">
        <v>458</v>
      </c>
      <c r="L930" s="319" t="s">
        <v>459</v>
      </c>
      <c r="M930" s="319" t="s">
        <v>682</v>
      </c>
      <c r="N930" s="319" t="s">
        <v>2886</v>
      </c>
      <c r="O930" s="319" t="s">
        <v>3558</v>
      </c>
      <c r="P930" s="319">
        <v>35</v>
      </c>
      <c r="Q930" s="319" t="s">
        <v>2766</v>
      </c>
      <c r="R930" s="320">
        <v>10046959</v>
      </c>
      <c r="S930" s="321">
        <v>43165</v>
      </c>
      <c r="T930" s="321">
        <v>43167</v>
      </c>
      <c r="U930" s="321">
        <v>43196</v>
      </c>
      <c r="V930" s="319" t="s">
        <v>435</v>
      </c>
      <c r="W930" s="319" t="s">
        <v>2767</v>
      </c>
      <c r="X930" s="319">
        <v>2</v>
      </c>
      <c r="Y930" s="319" t="s">
        <v>173</v>
      </c>
      <c r="Z930" s="319" t="s">
        <v>173</v>
      </c>
      <c r="AA930" s="319" t="s">
        <v>173</v>
      </c>
      <c r="AB930" s="319">
        <v>1</v>
      </c>
      <c r="AC930" s="319" t="s">
        <v>169</v>
      </c>
      <c r="AD930" s="319" t="s">
        <v>173</v>
      </c>
      <c r="AE930" s="319" t="s">
        <v>173</v>
      </c>
      <c r="AF930" s="319" t="s">
        <v>427</v>
      </c>
      <c r="AG930" s="319" t="s">
        <v>171</v>
      </c>
      <c r="AH930" s="319" t="s">
        <v>190</v>
      </c>
      <c r="AI930" s="319" t="s">
        <v>190</v>
      </c>
      <c r="AJ930" s="319" t="s">
        <v>190</v>
      </c>
      <c r="AK930" s="319" t="s">
        <v>190</v>
      </c>
      <c r="AL930" s="319" t="s">
        <v>190</v>
      </c>
      <c r="AM930" s="319" t="s">
        <v>190</v>
      </c>
      <c r="AN930" s="319" t="s">
        <v>190</v>
      </c>
      <c r="AO930" s="319" t="s">
        <v>190</v>
      </c>
      <c r="AP930" s="319" t="s">
        <v>190</v>
      </c>
      <c r="AQ930" s="319" t="s">
        <v>190</v>
      </c>
      <c r="AR930" s="319" t="s">
        <v>190</v>
      </c>
      <c r="AS930" s="319" t="s">
        <v>190</v>
      </c>
      <c r="AT930" s="319" t="s">
        <v>190</v>
      </c>
      <c r="AU930" s="319" t="s">
        <v>190</v>
      </c>
      <c r="AV930" s="319" t="s">
        <v>190</v>
      </c>
      <c r="AW930" s="319" t="s">
        <v>190</v>
      </c>
      <c r="AX930" s="319" t="s">
        <v>428</v>
      </c>
      <c r="AY930" s="319" t="s">
        <v>190</v>
      </c>
      <c r="AZ930" s="319" t="s">
        <v>190</v>
      </c>
      <c r="BA930" s="319" t="s">
        <v>190</v>
      </c>
      <c r="BB930" s="319" t="s">
        <v>190</v>
      </c>
      <c r="BC930" s="319" t="s">
        <v>190</v>
      </c>
      <c r="BD930" s="319" t="s">
        <v>190</v>
      </c>
      <c r="BE930" s="319" t="s">
        <v>190</v>
      </c>
      <c r="BF930" s="319" t="s">
        <v>428</v>
      </c>
      <c r="BG930" s="319" t="s">
        <v>428</v>
      </c>
      <c r="BH930" s="319" t="s">
        <v>190</v>
      </c>
      <c r="BI930" s="319" t="s">
        <v>190</v>
      </c>
      <c r="BJ930" s="319" t="s">
        <v>190</v>
      </c>
      <c r="BK930" s="319" t="s">
        <v>190</v>
      </c>
      <c r="BL930" s="319" t="s">
        <v>190</v>
      </c>
      <c r="BM930" s="319" t="s">
        <v>190</v>
      </c>
      <c r="BN930" s="319" t="s">
        <v>190</v>
      </c>
      <c r="BO930" s="319" t="s">
        <v>190</v>
      </c>
      <c r="BP930" s="319" t="s">
        <v>190</v>
      </c>
      <c r="BQ930" s="319" t="s">
        <v>190</v>
      </c>
      <c r="BR930" s="319" t="s">
        <v>190</v>
      </c>
      <c r="BS930" s="319" t="s">
        <v>190</v>
      </c>
      <c r="BT930" s="319" t="s">
        <v>190</v>
      </c>
      <c r="BU930" s="319" t="s">
        <v>190</v>
      </c>
      <c r="BV930" s="319" t="s">
        <v>190</v>
      </c>
      <c r="BW930" s="319" t="s">
        <v>190</v>
      </c>
      <c r="BX930" s="319" t="s">
        <v>190</v>
      </c>
      <c r="BY930" s="319" t="s">
        <v>190</v>
      </c>
      <c r="BZ930" s="319" t="s">
        <v>190</v>
      </c>
      <c r="CA930" s="319" t="s">
        <v>190</v>
      </c>
      <c r="CB930" s="319" t="s">
        <v>190</v>
      </c>
      <c r="CC930" s="319" t="s">
        <v>190</v>
      </c>
      <c r="CD930" s="319" t="s">
        <v>190</v>
      </c>
      <c r="CE930" s="319" t="s">
        <v>190</v>
      </c>
      <c r="CF930" s="319" t="s">
        <v>190</v>
      </c>
      <c r="CG930" s="319" t="s">
        <v>190</v>
      </c>
      <c r="CH930" s="319" t="s">
        <v>190</v>
      </c>
      <c r="CI930" s="319" t="s">
        <v>190</v>
      </c>
      <c r="CJ930" s="319" t="s">
        <v>190</v>
      </c>
      <c r="CK930" s="319" t="s">
        <v>190</v>
      </c>
      <c r="CL930" s="319" t="s">
        <v>190</v>
      </c>
      <c r="CM930" s="319" t="s">
        <v>190</v>
      </c>
      <c r="CN930" s="319" t="s">
        <v>428</v>
      </c>
      <c r="CO930" s="319" t="s">
        <v>428</v>
      </c>
      <c r="CP930" s="319" t="s">
        <v>428</v>
      </c>
      <c r="CQ930" s="319" t="s">
        <v>190</v>
      </c>
      <c r="CR930" s="319" t="s">
        <v>190</v>
      </c>
      <c r="CS930" s="319" t="s">
        <v>190</v>
      </c>
      <c r="CT930" s="319" t="s">
        <v>190</v>
      </c>
      <c r="CU930" s="319" t="s">
        <v>190</v>
      </c>
      <c r="CV930" s="319" t="s">
        <v>190</v>
      </c>
      <c r="CW930" s="319" t="s">
        <v>190</v>
      </c>
      <c r="CX930" s="319" t="s">
        <v>190</v>
      </c>
      <c r="CY930" s="319" t="s">
        <v>190</v>
      </c>
      <c r="CZ930" s="319" t="s">
        <v>190</v>
      </c>
      <c r="DA930" s="319" t="s">
        <v>190</v>
      </c>
      <c r="DB930" s="319" t="s">
        <v>190</v>
      </c>
      <c r="DC930" s="319" t="s">
        <v>190</v>
      </c>
      <c r="DD930" s="319" t="s">
        <v>190</v>
      </c>
      <c r="DE930" s="319" t="s">
        <v>190</v>
      </c>
      <c r="DF930" s="319" t="s">
        <v>190</v>
      </c>
      <c r="DG930" s="319" t="s">
        <v>190</v>
      </c>
      <c r="DH930" s="319" t="s">
        <v>190</v>
      </c>
      <c r="DI930" s="319" t="s">
        <v>190</v>
      </c>
      <c r="DJ930" s="319" t="s">
        <v>190</v>
      </c>
      <c r="DK930" s="319" t="s">
        <v>190</v>
      </c>
      <c r="DL930" s="319" t="s">
        <v>190</v>
      </c>
      <c r="DM930" s="319" t="s">
        <v>428</v>
      </c>
      <c r="DN930" s="319" t="s">
        <v>428</v>
      </c>
      <c r="DO930" s="319" t="s">
        <v>190</v>
      </c>
      <c r="DP930" s="319" t="s">
        <v>428</v>
      </c>
      <c r="DQ930" s="319" t="s">
        <v>428</v>
      </c>
      <c r="DR930" s="319" t="s">
        <v>428</v>
      </c>
      <c r="DS930" s="319" t="s">
        <v>428</v>
      </c>
      <c r="DT930" s="319" t="s">
        <v>428</v>
      </c>
      <c r="DU930" s="319" t="s">
        <v>428</v>
      </c>
      <c r="DV930" s="319" t="s">
        <v>173</v>
      </c>
      <c r="DW930" s="319" t="s">
        <v>428</v>
      </c>
      <c r="DX930" s="319" t="s">
        <v>428</v>
      </c>
      <c r="DY930" s="319" t="s">
        <v>428</v>
      </c>
      <c r="DZ930" s="319" t="s">
        <v>428</v>
      </c>
      <c r="EA930" s="319" t="s">
        <v>428</v>
      </c>
      <c r="EB930" s="319" t="s">
        <v>428</v>
      </c>
      <c r="EC930" s="319" t="s">
        <v>428</v>
      </c>
      <c r="ED930" s="319" t="s">
        <v>428</v>
      </c>
      <c r="EE930" s="319" t="s">
        <v>428</v>
      </c>
      <c r="EF930" s="319" t="s">
        <v>428</v>
      </c>
      <c r="EG930" s="319" t="s">
        <v>428</v>
      </c>
      <c r="EH930" s="319" t="s">
        <v>428</v>
      </c>
      <c r="EI930" s="319" t="s">
        <v>428</v>
      </c>
      <c r="EJ930" s="319" t="s">
        <v>428</v>
      </c>
      <c r="EK930" s="319" t="s">
        <v>428</v>
      </c>
      <c r="EL930" s="319" t="s">
        <v>428</v>
      </c>
      <c r="EM930" s="319" t="s">
        <v>190</v>
      </c>
      <c r="EN930" s="319" t="s">
        <v>190</v>
      </c>
      <c r="EO930" s="319" t="s">
        <v>190</v>
      </c>
      <c r="EP930" s="319" t="s">
        <v>190</v>
      </c>
      <c r="EQ930" s="319" t="s">
        <v>190</v>
      </c>
      <c r="ER930" s="319" t="s">
        <v>190</v>
      </c>
      <c r="ES930" s="319" t="s">
        <v>190</v>
      </c>
      <c r="ET930" s="319" t="s">
        <v>190</v>
      </c>
      <c r="EU930" s="319" t="s">
        <v>190</v>
      </c>
      <c r="EV930" s="319" t="s">
        <v>190</v>
      </c>
      <c r="EW930" s="319" t="s">
        <v>190</v>
      </c>
      <c r="EX930" s="319" t="s">
        <v>190</v>
      </c>
      <c r="EY930" s="319" t="s">
        <v>190</v>
      </c>
      <c r="EZ930" s="319" t="s">
        <v>190</v>
      </c>
      <c r="FA930" s="319" t="s">
        <v>190</v>
      </c>
      <c r="FB930" s="319" t="s">
        <v>428</v>
      </c>
      <c r="FC930" s="319" t="s">
        <v>428</v>
      </c>
      <c r="FD930" s="319" t="s">
        <v>428</v>
      </c>
      <c r="FE930" s="319" t="s">
        <v>428</v>
      </c>
      <c r="FF930" s="319" t="s">
        <v>428</v>
      </c>
      <c r="FG930" s="319" t="s">
        <v>428</v>
      </c>
      <c r="FH930" s="319" t="s">
        <v>190</v>
      </c>
      <c r="FI930" s="319" t="s">
        <v>428</v>
      </c>
      <c r="FJ930" s="319" t="s">
        <v>429</v>
      </c>
      <c r="FK930" s="319" t="s">
        <v>428</v>
      </c>
      <c r="FL930" s="319" t="s">
        <v>190</v>
      </c>
      <c r="FM930" s="319" t="s">
        <v>190</v>
      </c>
      <c r="FN930" s="319" t="s">
        <v>190</v>
      </c>
      <c r="FO930" s="319" t="s">
        <v>190</v>
      </c>
      <c r="FP930" s="319" t="s">
        <v>190</v>
      </c>
      <c r="FQ930" s="319" t="s">
        <v>190</v>
      </c>
      <c r="FR930" s="319" t="s">
        <v>190</v>
      </c>
      <c r="FS930" s="319" t="s">
        <v>428</v>
      </c>
      <c r="FT930" s="319" t="s">
        <v>190</v>
      </c>
      <c r="FU930" s="319" t="s">
        <v>190</v>
      </c>
      <c r="FV930" s="319" t="s">
        <v>190</v>
      </c>
      <c r="FW930" s="319" t="s">
        <v>190</v>
      </c>
      <c r="FX930" s="319" t="s">
        <v>190</v>
      </c>
      <c r="FY930" s="319" t="s">
        <v>190</v>
      </c>
      <c r="FZ930" s="319" t="s">
        <v>190</v>
      </c>
      <c r="GA930" s="319" t="s">
        <v>190</v>
      </c>
      <c r="GB930" s="319" t="s">
        <v>190</v>
      </c>
      <c r="GC930" s="319" t="s">
        <v>190</v>
      </c>
      <c r="GD930" s="319" t="s">
        <v>190</v>
      </c>
      <c r="GE930" s="319" t="s">
        <v>190</v>
      </c>
      <c r="GF930" s="319" t="s">
        <v>190</v>
      </c>
      <c r="GG930" s="319" t="s">
        <v>190</v>
      </c>
      <c r="GH930" s="319" t="s">
        <v>190</v>
      </c>
      <c r="GI930" s="319" t="s">
        <v>190</v>
      </c>
      <c r="GJ930" s="319" t="s">
        <v>190</v>
      </c>
      <c r="GK930" s="319" t="s">
        <v>428</v>
      </c>
      <c r="GL930" s="319" t="s">
        <v>190</v>
      </c>
      <c r="GM930" s="319" t="s">
        <v>190</v>
      </c>
      <c r="GN930" s="319" t="s">
        <v>190</v>
      </c>
      <c r="GO930" s="319" t="s">
        <v>190</v>
      </c>
      <c r="GP930" s="319" t="s">
        <v>428</v>
      </c>
      <c r="GQ930" s="319" t="s">
        <v>428</v>
      </c>
      <c r="GR930" s="319" t="s">
        <v>190</v>
      </c>
      <c r="GS930" s="319" t="s">
        <v>190</v>
      </c>
      <c r="GT930" s="319" t="s">
        <v>428</v>
      </c>
      <c r="GU930" s="319" t="s">
        <v>428</v>
      </c>
      <c r="GV930" s="319" t="s">
        <v>190</v>
      </c>
      <c r="GW930" s="319" t="s">
        <v>190</v>
      </c>
      <c r="GX930" s="319" t="s">
        <v>190</v>
      </c>
      <c r="GY930" s="319" t="s">
        <v>190</v>
      </c>
      <c r="GZ930" s="319" t="s">
        <v>190</v>
      </c>
      <c r="HA930" s="319" t="s">
        <v>428</v>
      </c>
      <c r="HB930" s="319" t="s">
        <v>190</v>
      </c>
      <c r="HC930" s="319" t="s">
        <v>190</v>
      </c>
      <c r="HD930" s="319" t="s">
        <v>190</v>
      </c>
      <c r="HE930" s="319" t="s">
        <v>190</v>
      </c>
      <c r="HF930" s="319" t="s">
        <v>190</v>
      </c>
      <c r="HG930" s="319" t="s">
        <v>190</v>
      </c>
      <c r="HH930" s="319" t="s">
        <v>190</v>
      </c>
      <c r="HI930" s="319" t="s">
        <v>190</v>
      </c>
      <c r="HJ930" s="319" t="s">
        <v>190</v>
      </c>
      <c r="HK930" s="319" t="s">
        <v>428</v>
      </c>
      <c r="HL930" s="319" t="s">
        <v>428</v>
      </c>
      <c r="HM930" s="319" t="s">
        <v>428</v>
      </c>
      <c r="HN930" s="319" t="s">
        <v>428</v>
      </c>
      <c r="HO930" s="319" t="s">
        <v>428</v>
      </c>
      <c r="HP930" s="319" t="s">
        <v>190</v>
      </c>
      <c r="HQ930" s="319" t="s">
        <v>190</v>
      </c>
      <c r="HR930" s="319" t="s">
        <v>190</v>
      </c>
      <c r="HS930" s="319" t="s">
        <v>190</v>
      </c>
      <c r="HT930" s="319" t="s">
        <v>190</v>
      </c>
      <c r="HU930" s="319" t="s">
        <v>190</v>
      </c>
      <c r="HV930" s="319" t="s">
        <v>190</v>
      </c>
      <c r="HW930" s="319" t="s">
        <v>190</v>
      </c>
      <c r="HX930" s="319" t="s">
        <v>190</v>
      </c>
      <c r="HY930" s="319" t="s">
        <v>190</v>
      </c>
      <c r="HZ930" s="319" t="s">
        <v>190</v>
      </c>
      <c r="IA930" s="319" t="s">
        <v>190</v>
      </c>
      <c r="IB930" s="319" t="s">
        <v>190</v>
      </c>
      <c r="IC930" s="319" t="s">
        <v>190</v>
      </c>
      <c r="ID930" s="319" t="s">
        <v>190</v>
      </c>
      <c r="IE930" s="319" t="s">
        <v>190</v>
      </c>
      <c r="IF930" s="319" t="s">
        <v>190</v>
      </c>
      <c r="IG930" s="319" t="s">
        <v>190</v>
      </c>
      <c r="IH930" s="319" t="s">
        <v>190</v>
      </c>
      <c r="II930" s="319" t="s">
        <v>190</v>
      </c>
      <c r="IJ930" s="319" t="s">
        <v>173</v>
      </c>
      <c r="IK930" s="319" t="s">
        <v>173</v>
      </c>
      <c r="IL930" s="319" t="s">
        <v>173</v>
      </c>
      <c r="IM930" s="319" t="s">
        <v>173</v>
      </c>
      <c r="IN930" s="319" t="s">
        <v>173</v>
      </c>
      <c r="IO930" s="319" t="s">
        <v>173</v>
      </c>
      <c r="IP930" s="319" t="s">
        <v>173</v>
      </c>
      <c r="IQ930" s="321" t="s">
        <v>173</v>
      </c>
      <c r="IR930" s="320" t="s">
        <v>173</v>
      </c>
      <c r="IS930" s="322" t="s">
        <v>173</v>
      </c>
      <c r="IT930" s="319" t="s">
        <v>173</v>
      </c>
    </row>
    <row r="931" spans="1:254" s="271" customFormat="1" x14ac:dyDescent="0.25">
      <c r="A931" s="318" t="str">
        <f>HYPERLINK("http://www.ofsted.gov.uk/inspection-reports/find-inspection-report/provider/ELS/144816 ","Ofsted School Webpage")</f>
        <v>Ofsted School Webpage</v>
      </c>
      <c r="B931" s="319">
        <v>144816</v>
      </c>
      <c r="C931" s="319">
        <v>8886073</v>
      </c>
      <c r="D931" s="319" t="s">
        <v>2471</v>
      </c>
      <c r="E931" s="319" t="s">
        <v>167</v>
      </c>
      <c r="F931" s="319" t="s">
        <v>81</v>
      </c>
      <c r="G931" s="319" t="s">
        <v>71</v>
      </c>
      <c r="H931" s="319" t="s">
        <v>71</v>
      </c>
      <c r="I931" s="319" t="s">
        <v>72</v>
      </c>
      <c r="J931" s="319" t="s">
        <v>424</v>
      </c>
      <c r="K931" s="319" t="s">
        <v>431</v>
      </c>
      <c r="L931" s="319" t="s">
        <v>431</v>
      </c>
      <c r="M931" s="319" t="s">
        <v>469</v>
      </c>
      <c r="N931" s="319" t="s">
        <v>3148</v>
      </c>
      <c r="O931" s="319" t="s">
        <v>2472</v>
      </c>
      <c r="P931" s="319">
        <v>53</v>
      </c>
      <c r="Q931" s="319" t="s">
        <v>2766</v>
      </c>
      <c r="R931" s="320">
        <v>10048614</v>
      </c>
      <c r="S931" s="321">
        <v>43221</v>
      </c>
      <c r="T931" s="321">
        <v>43223</v>
      </c>
      <c r="U931" s="321">
        <v>43264</v>
      </c>
      <c r="V931" s="319" t="s">
        <v>435</v>
      </c>
      <c r="W931" s="319" t="s">
        <v>2767</v>
      </c>
      <c r="X931" s="319">
        <v>2</v>
      </c>
      <c r="Y931" s="319" t="s">
        <v>173</v>
      </c>
      <c r="Z931" s="319" t="s">
        <v>173</v>
      </c>
      <c r="AA931" s="319" t="s">
        <v>173</v>
      </c>
      <c r="AB931" s="319">
        <v>2</v>
      </c>
      <c r="AC931" s="319" t="s">
        <v>169</v>
      </c>
      <c r="AD931" s="319" t="s">
        <v>173</v>
      </c>
      <c r="AE931" s="319" t="s">
        <v>173</v>
      </c>
      <c r="AF931" s="319" t="s">
        <v>427</v>
      </c>
      <c r="AG931" s="319" t="s">
        <v>171</v>
      </c>
      <c r="AH931" s="319" t="s">
        <v>190</v>
      </c>
      <c r="AI931" s="319" t="s">
        <v>190</v>
      </c>
      <c r="AJ931" s="319" t="s">
        <v>190</v>
      </c>
      <c r="AK931" s="319" t="s">
        <v>190</v>
      </c>
      <c r="AL931" s="319" t="s">
        <v>190</v>
      </c>
      <c r="AM931" s="319" t="s">
        <v>190</v>
      </c>
      <c r="AN931" s="319" t="s">
        <v>190</v>
      </c>
      <c r="AO931" s="319" t="s">
        <v>190</v>
      </c>
      <c r="AP931" s="319" t="s">
        <v>190</v>
      </c>
      <c r="AQ931" s="319" t="s">
        <v>190</v>
      </c>
      <c r="AR931" s="319" t="s">
        <v>190</v>
      </c>
      <c r="AS931" s="319" t="s">
        <v>190</v>
      </c>
      <c r="AT931" s="319" t="s">
        <v>190</v>
      </c>
      <c r="AU931" s="319" t="s">
        <v>190</v>
      </c>
      <c r="AV931" s="319" t="s">
        <v>190</v>
      </c>
      <c r="AW931" s="319" t="s">
        <v>190</v>
      </c>
      <c r="AX931" s="319" t="s">
        <v>428</v>
      </c>
      <c r="AY931" s="319" t="s">
        <v>190</v>
      </c>
      <c r="AZ931" s="319" t="s">
        <v>190</v>
      </c>
      <c r="BA931" s="319" t="s">
        <v>190</v>
      </c>
      <c r="BB931" s="319" t="s">
        <v>190</v>
      </c>
      <c r="BC931" s="319" t="s">
        <v>190</v>
      </c>
      <c r="BD931" s="319" t="s">
        <v>190</v>
      </c>
      <c r="BE931" s="319" t="s">
        <v>190</v>
      </c>
      <c r="BF931" s="319" t="s">
        <v>428</v>
      </c>
      <c r="BG931" s="319" t="s">
        <v>428</v>
      </c>
      <c r="BH931" s="319" t="s">
        <v>190</v>
      </c>
      <c r="BI931" s="319" t="s">
        <v>190</v>
      </c>
      <c r="BJ931" s="319" t="s">
        <v>190</v>
      </c>
      <c r="BK931" s="319" t="s">
        <v>190</v>
      </c>
      <c r="BL931" s="319" t="s">
        <v>190</v>
      </c>
      <c r="BM931" s="319" t="s">
        <v>190</v>
      </c>
      <c r="BN931" s="319" t="s">
        <v>190</v>
      </c>
      <c r="BO931" s="319" t="s">
        <v>190</v>
      </c>
      <c r="BP931" s="319" t="s">
        <v>190</v>
      </c>
      <c r="BQ931" s="319" t="s">
        <v>190</v>
      </c>
      <c r="BR931" s="319" t="s">
        <v>190</v>
      </c>
      <c r="BS931" s="319" t="s">
        <v>190</v>
      </c>
      <c r="BT931" s="319" t="s">
        <v>190</v>
      </c>
      <c r="BU931" s="319" t="s">
        <v>190</v>
      </c>
      <c r="BV931" s="319" t="s">
        <v>190</v>
      </c>
      <c r="BW931" s="319" t="s">
        <v>190</v>
      </c>
      <c r="BX931" s="319" t="s">
        <v>190</v>
      </c>
      <c r="BY931" s="319" t="s">
        <v>190</v>
      </c>
      <c r="BZ931" s="319" t="s">
        <v>190</v>
      </c>
      <c r="CA931" s="319" t="s">
        <v>190</v>
      </c>
      <c r="CB931" s="319" t="s">
        <v>190</v>
      </c>
      <c r="CC931" s="319" t="s">
        <v>190</v>
      </c>
      <c r="CD931" s="319" t="s">
        <v>190</v>
      </c>
      <c r="CE931" s="319" t="s">
        <v>190</v>
      </c>
      <c r="CF931" s="319" t="s">
        <v>190</v>
      </c>
      <c r="CG931" s="319" t="s">
        <v>190</v>
      </c>
      <c r="CH931" s="319" t="s">
        <v>190</v>
      </c>
      <c r="CI931" s="319" t="s">
        <v>190</v>
      </c>
      <c r="CJ931" s="319" t="s">
        <v>190</v>
      </c>
      <c r="CK931" s="319" t="s">
        <v>190</v>
      </c>
      <c r="CL931" s="319" t="s">
        <v>190</v>
      </c>
      <c r="CM931" s="319" t="s">
        <v>190</v>
      </c>
      <c r="CN931" s="319" t="s">
        <v>428</v>
      </c>
      <c r="CO931" s="319" t="s">
        <v>428</v>
      </c>
      <c r="CP931" s="319" t="s">
        <v>428</v>
      </c>
      <c r="CQ931" s="319" t="s">
        <v>190</v>
      </c>
      <c r="CR931" s="319" t="s">
        <v>190</v>
      </c>
      <c r="CS931" s="319" t="s">
        <v>190</v>
      </c>
      <c r="CT931" s="319" t="s">
        <v>190</v>
      </c>
      <c r="CU931" s="319" t="s">
        <v>190</v>
      </c>
      <c r="CV931" s="319" t="s">
        <v>190</v>
      </c>
      <c r="CW931" s="319" t="s">
        <v>190</v>
      </c>
      <c r="CX931" s="319" t="s">
        <v>190</v>
      </c>
      <c r="CY931" s="319" t="s">
        <v>190</v>
      </c>
      <c r="CZ931" s="319" t="s">
        <v>190</v>
      </c>
      <c r="DA931" s="319" t="s">
        <v>190</v>
      </c>
      <c r="DB931" s="319" t="s">
        <v>190</v>
      </c>
      <c r="DC931" s="319" t="s">
        <v>190</v>
      </c>
      <c r="DD931" s="319" t="s">
        <v>190</v>
      </c>
      <c r="DE931" s="319" t="s">
        <v>190</v>
      </c>
      <c r="DF931" s="319" t="s">
        <v>190</v>
      </c>
      <c r="DG931" s="319" t="s">
        <v>190</v>
      </c>
      <c r="DH931" s="319" t="s">
        <v>190</v>
      </c>
      <c r="DI931" s="319" t="s">
        <v>190</v>
      </c>
      <c r="DJ931" s="319" t="s">
        <v>190</v>
      </c>
      <c r="DK931" s="319" t="s">
        <v>190</v>
      </c>
      <c r="DL931" s="319" t="s">
        <v>190</v>
      </c>
      <c r="DM931" s="319" t="s">
        <v>428</v>
      </c>
      <c r="DN931" s="319" t="s">
        <v>428</v>
      </c>
      <c r="DO931" s="319" t="s">
        <v>190</v>
      </c>
      <c r="DP931" s="319" t="s">
        <v>428</v>
      </c>
      <c r="DQ931" s="319" t="s">
        <v>428</v>
      </c>
      <c r="DR931" s="319" t="s">
        <v>428</v>
      </c>
      <c r="DS931" s="319" t="s">
        <v>428</v>
      </c>
      <c r="DT931" s="319" t="s">
        <v>428</v>
      </c>
      <c r="DU931" s="319" t="s">
        <v>428</v>
      </c>
      <c r="DV931" s="319" t="s">
        <v>173</v>
      </c>
      <c r="DW931" s="319" t="s">
        <v>428</v>
      </c>
      <c r="DX931" s="319" t="s">
        <v>428</v>
      </c>
      <c r="DY931" s="319" t="s">
        <v>428</v>
      </c>
      <c r="DZ931" s="319" t="s">
        <v>428</v>
      </c>
      <c r="EA931" s="319" t="s">
        <v>428</v>
      </c>
      <c r="EB931" s="319" t="s">
        <v>428</v>
      </c>
      <c r="EC931" s="319" t="s">
        <v>428</v>
      </c>
      <c r="ED931" s="319" t="s">
        <v>190</v>
      </c>
      <c r="EE931" s="319" t="s">
        <v>428</v>
      </c>
      <c r="EF931" s="319" t="s">
        <v>428</v>
      </c>
      <c r="EG931" s="319" t="s">
        <v>428</v>
      </c>
      <c r="EH931" s="319" t="s">
        <v>428</v>
      </c>
      <c r="EI931" s="319" t="s">
        <v>428</v>
      </c>
      <c r="EJ931" s="319" t="s">
        <v>428</v>
      </c>
      <c r="EK931" s="319" t="s">
        <v>428</v>
      </c>
      <c r="EL931" s="319" t="s">
        <v>428</v>
      </c>
      <c r="EM931" s="319" t="s">
        <v>428</v>
      </c>
      <c r="EN931" s="319" t="s">
        <v>190</v>
      </c>
      <c r="EO931" s="319" t="s">
        <v>190</v>
      </c>
      <c r="EP931" s="319" t="s">
        <v>190</v>
      </c>
      <c r="EQ931" s="319" t="s">
        <v>190</v>
      </c>
      <c r="ER931" s="319" t="s">
        <v>190</v>
      </c>
      <c r="ES931" s="319" t="s">
        <v>190</v>
      </c>
      <c r="ET931" s="319" t="s">
        <v>190</v>
      </c>
      <c r="EU931" s="319" t="s">
        <v>190</v>
      </c>
      <c r="EV931" s="319" t="s">
        <v>190</v>
      </c>
      <c r="EW931" s="319" t="s">
        <v>190</v>
      </c>
      <c r="EX931" s="319" t="s">
        <v>190</v>
      </c>
      <c r="EY931" s="319" t="s">
        <v>190</v>
      </c>
      <c r="EZ931" s="319" t="s">
        <v>190</v>
      </c>
      <c r="FA931" s="319" t="s">
        <v>428</v>
      </c>
      <c r="FB931" s="319" t="s">
        <v>428</v>
      </c>
      <c r="FC931" s="319" t="s">
        <v>428</v>
      </c>
      <c r="FD931" s="319" t="s">
        <v>428</v>
      </c>
      <c r="FE931" s="319" t="s">
        <v>428</v>
      </c>
      <c r="FF931" s="319" t="s">
        <v>428</v>
      </c>
      <c r="FG931" s="319" t="s">
        <v>428</v>
      </c>
      <c r="FH931" s="319" t="s">
        <v>428</v>
      </c>
      <c r="FI931" s="319" t="s">
        <v>428</v>
      </c>
      <c r="FJ931" s="319" t="s">
        <v>429</v>
      </c>
      <c r="FK931" s="319" t="s">
        <v>428</v>
      </c>
      <c r="FL931" s="319" t="s">
        <v>190</v>
      </c>
      <c r="FM931" s="319" t="s">
        <v>190</v>
      </c>
      <c r="FN931" s="319" t="s">
        <v>190</v>
      </c>
      <c r="FO931" s="319" t="s">
        <v>190</v>
      </c>
      <c r="FP931" s="319" t="s">
        <v>190</v>
      </c>
      <c r="FQ931" s="319" t="s">
        <v>190</v>
      </c>
      <c r="FR931" s="319" t="s">
        <v>190</v>
      </c>
      <c r="FS931" s="319" t="s">
        <v>428</v>
      </c>
      <c r="FT931" s="319" t="s">
        <v>190</v>
      </c>
      <c r="FU931" s="319" t="s">
        <v>190</v>
      </c>
      <c r="FV931" s="319" t="s">
        <v>190</v>
      </c>
      <c r="FW931" s="319" t="s">
        <v>190</v>
      </c>
      <c r="FX931" s="319" t="s">
        <v>190</v>
      </c>
      <c r="FY931" s="319" t="s">
        <v>190</v>
      </c>
      <c r="FZ931" s="319" t="s">
        <v>190</v>
      </c>
      <c r="GA931" s="319" t="s">
        <v>190</v>
      </c>
      <c r="GB931" s="319" t="s">
        <v>190</v>
      </c>
      <c r="GC931" s="319" t="s">
        <v>190</v>
      </c>
      <c r="GD931" s="319" t="s">
        <v>190</v>
      </c>
      <c r="GE931" s="319" t="s">
        <v>190</v>
      </c>
      <c r="GF931" s="319" t="s">
        <v>190</v>
      </c>
      <c r="GG931" s="319" t="s">
        <v>190</v>
      </c>
      <c r="GH931" s="319" t="s">
        <v>190</v>
      </c>
      <c r="GI931" s="319" t="s">
        <v>190</v>
      </c>
      <c r="GJ931" s="319" t="s">
        <v>190</v>
      </c>
      <c r="GK931" s="319" t="s">
        <v>428</v>
      </c>
      <c r="GL931" s="319" t="s">
        <v>190</v>
      </c>
      <c r="GM931" s="319" t="s">
        <v>190</v>
      </c>
      <c r="GN931" s="319" t="s">
        <v>190</v>
      </c>
      <c r="GO931" s="319" t="s">
        <v>190</v>
      </c>
      <c r="GP931" s="319" t="s">
        <v>428</v>
      </c>
      <c r="GQ931" s="319" t="s">
        <v>428</v>
      </c>
      <c r="GR931" s="319" t="s">
        <v>190</v>
      </c>
      <c r="GS931" s="319" t="s">
        <v>190</v>
      </c>
      <c r="GT931" s="319" t="s">
        <v>428</v>
      </c>
      <c r="GU931" s="319" t="s">
        <v>428</v>
      </c>
      <c r="GV931" s="319" t="s">
        <v>190</v>
      </c>
      <c r="GW931" s="319" t="s">
        <v>190</v>
      </c>
      <c r="GX931" s="319" t="s">
        <v>190</v>
      </c>
      <c r="GY931" s="319" t="s">
        <v>190</v>
      </c>
      <c r="GZ931" s="319" t="s">
        <v>190</v>
      </c>
      <c r="HA931" s="319" t="s">
        <v>428</v>
      </c>
      <c r="HB931" s="319" t="s">
        <v>190</v>
      </c>
      <c r="HC931" s="319" t="s">
        <v>190</v>
      </c>
      <c r="HD931" s="319" t="s">
        <v>190</v>
      </c>
      <c r="HE931" s="319" t="s">
        <v>190</v>
      </c>
      <c r="HF931" s="319" t="s">
        <v>190</v>
      </c>
      <c r="HG931" s="319" t="s">
        <v>190</v>
      </c>
      <c r="HH931" s="319" t="s">
        <v>190</v>
      </c>
      <c r="HI931" s="319" t="s">
        <v>190</v>
      </c>
      <c r="HJ931" s="319" t="s">
        <v>190</v>
      </c>
      <c r="HK931" s="319" t="s">
        <v>428</v>
      </c>
      <c r="HL931" s="319" t="s">
        <v>428</v>
      </c>
      <c r="HM931" s="319" t="s">
        <v>428</v>
      </c>
      <c r="HN931" s="319" t="s">
        <v>428</v>
      </c>
      <c r="HO931" s="319" t="s">
        <v>428</v>
      </c>
      <c r="HP931" s="319" t="s">
        <v>190</v>
      </c>
      <c r="HQ931" s="319" t="s">
        <v>190</v>
      </c>
      <c r="HR931" s="319" t="s">
        <v>190</v>
      </c>
      <c r="HS931" s="319" t="s">
        <v>190</v>
      </c>
      <c r="HT931" s="319" t="s">
        <v>190</v>
      </c>
      <c r="HU931" s="319" t="s">
        <v>190</v>
      </c>
      <c r="HV931" s="319" t="s">
        <v>190</v>
      </c>
      <c r="HW931" s="319" t="s">
        <v>190</v>
      </c>
      <c r="HX931" s="319" t="s">
        <v>190</v>
      </c>
      <c r="HY931" s="319" t="s">
        <v>190</v>
      </c>
      <c r="HZ931" s="319" t="s">
        <v>190</v>
      </c>
      <c r="IA931" s="319" t="s">
        <v>190</v>
      </c>
      <c r="IB931" s="319" t="s">
        <v>190</v>
      </c>
      <c r="IC931" s="319" t="s">
        <v>190</v>
      </c>
      <c r="ID931" s="319" t="s">
        <v>190</v>
      </c>
      <c r="IE931" s="319" t="s">
        <v>190</v>
      </c>
      <c r="IF931" s="319" t="s">
        <v>190</v>
      </c>
      <c r="IG931" s="319" t="s">
        <v>190</v>
      </c>
      <c r="IH931" s="319" t="s">
        <v>190</v>
      </c>
      <c r="II931" s="319" t="s">
        <v>190</v>
      </c>
      <c r="IJ931" s="319" t="s">
        <v>173</v>
      </c>
      <c r="IK931" s="319" t="s">
        <v>173</v>
      </c>
      <c r="IL931" s="319" t="s">
        <v>173</v>
      </c>
      <c r="IM931" s="319" t="s">
        <v>173</v>
      </c>
      <c r="IN931" s="319" t="s">
        <v>173</v>
      </c>
      <c r="IO931" s="319" t="s">
        <v>173</v>
      </c>
      <c r="IP931" s="319" t="s">
        <v>173</v>
      </c>
      <c r="IQ931" s="321" t="s">
        <v>173</v>
      </c>
      <c r="IR931" s="320" t="s">
        <v>173</v>
      </c>
      <c r="IS931" s="322" t="s">
        <v>173</v>
      </c>
      <c r="IT931" s="319" t="s">
        <v>173</v>
      </c>
    </row>
    <row r="932" spans="1:254" s="271" customFormat="1" x14ac:dyDescent="0.25">
      <c r="A932" s="318" t="str">
        <f>HYPERLINK("http://www.ofsted.gov.uk/inspection-reports/find-inspection-report/provider/ELS/144818 ","Ofsted School Webpage")</f>
        <v>Ofsted School Webpage</v>
      </c>
      <c r="B932" s="319">
        <v>144818</v>
      </c>
      <c r="C932" s="319">
        <v>8816069</v>
      </c>
      <c r="D932" s="319" t="s">
        <v>2473</v>
      </c>
      <c r="E932" s="319" t="s">
        <v>167</v>
      </c>
      <c r="F932" s="319" t="s">
        <v>81</v>
      </c>
      <c r="G932" s="319" t="s">
        <v>81</v>
      </c>
      <c r="H932" s="319" t="s">
        <v>81</v>
      </c>
      <c r="I932" s="319" t="s">
        <v>78</v>
      </c>
      <c r="J932" s="319" t="s">
        <v>424</v>
      </c>
      <c r="K932" s="319" t="s">
        <v>451</v>
      </c>
      <c r="L932" s="319" t="s">
        <v>451</v>
      </c>
      <c r="M932" s="319" t="s">
        <v>679</v>
      </c>
      <c r="N932" s="319" t="s">
        <v>2943</v>
      </c>
      <c r="O932" s="319" t="s">
        <v>2474</v>
      </c>
      <c r="P932" s="319">
        <v>11</v>
      </c>
      <c r="Q932" s="319" t="s">
        <v>2766</v>
      </c>
      <c r="R932" s="320">
        <v>10046994</v>
      </c>
      <c r="S932" s="321">
        <v>43242</v>
      </c>
      <c r="T932" s="321">
        <v>43244</v>
      </c>
      <c r="U932" s="321">
        <v>43270</v>
      </c>
      <c r="V932" s="319" t="s">
        <v>435</v>
      </c>
      <c r="W932" s="319" t="s">
        <v>2767</v>
      </c>
      <c r="X932" s="319">
        <v>3</v>
      </c>
      <c r="Y932" s="319" t="s">
        <v>173</v>
      </c>
      <c r="Z932" s="319" t="s">
        <v>173</v>
      </c>
      <c r="AA932" s="319" t="s">
        <v>173</v>
      </c>
      <c r="AB932" s="319">
        <v>3</v>
      </c>
      <c r="AC932" s="319" t="s">
        <v>169</v>
      </c>
      <c r="AD932" s="319" t="s">
        <v>173</v>
      </c>
      <c r="AE932" s="319" t="s">
        <v>173</v>
      </c>
      <c r="AF932" s="319" t="s">
        <v>427</v>
      </c>
      <c r="AG932" s="319" t="s">
        <v>172</v>
      </c>
      <c r="AH932" s="319" t="s">
        <v>479</v>
      </c>
      <c r="AI932" s="319" t="s">
        <v>190</v>
      </c>
      <c r="AJ932" s="319" t="s">
        <v>190</v>
      </c>
      <c r="AK932" s="319" t="s">
        <v>190</v>
      </c>
      <c r="AL932" s="319" t="s">
        <v>190</v>
      </c>
      <c r="AM932" s="319" t="s">
        <v>190</v>
      </c>
      <c r="AN932" s="319" t="s">
        <v>190</v>
      </c>
      <c r="AO932" s="319" t="s">
        <v>479</v>
      </c>
      <c r="AP932" s="319" t="s">
        <v>190</v>
      </c>
      <c r="AQ932" s="319" t="s">
        <v>190</v>
      </c>
      <c r="AR932" s="319" t="s">
        <v>190</v>
      </c>
      <c r="AS932" s="319" t="s">
        <v>190</v>
      </c>
      <c r="AT932" s="319" t="s">
        <v>190</v>
      </c>
      <c r="AU932" s="319" t="s">
        <v>190</v>
      </c>
      <c r="AV932" s="319" t="s">
        <v>190</v>
      </c>
      <c r="AW932" s="319" t="s">
        <v>190</v>
      </c>
      <c r="AX932" s="319" t="s">
        <v>190</v>
      </c>
      <c r="AY932" s="319" t="s">
        <v>190</v>
      </c>
      <c r="AZ932" s="319" t="s">
        <v>190</v>
      </c>
      <c r="BA932" s="319" t="s">
        <v>190</v>
      </c>
      <c r="BB932" s="319" t="s">
        <v>190</v>
      </c>
      <c r="BC932" s="319" t="s">
        <v>190</v>
      </c>
      <c r="BD932" s="319" t="s">
        <v>190</v>
      </c>
      <c r="BE932" s="319" t="s">
        <v>190</v>
      </c>
      <c r="BF932" s="319" t="s">
        <v>428</v>
      </c>
      <c r="BG932" s="319" t="s">
        <v>428</v>
      </c>
      <c r="BH932" s="319" t="s">
        <v>190</v>
      </c>
      <c r="BI932" s="319" t="s">
        <v>190</v>
      </c>
      <c r="BJ932" s="319" t="s">
        <v>191</v>
      </c>
      <c r="BK932" s="319" t="s">
        <v>191</v>
      </c>
      <c r="BL932" s="319" t="s">
        <v>191</v>
      </c>
      <c r="BM932" s="319" t="s">
        <v>190</v>
      </c>
      <c r="BN932" s="319" t="s">
        <v>190</v>
      </c>
      <c r="BO932" s="319" t="s">
        <v>190</v>
      </c>
      <c r="BP932" s="319" t="s">
        <v>190</v>
      </c>
      <c r="BQ932" s="319" t="s">
        <v>191</v>
      </c>
      <c r="BR932" s="319" t="s">
        <v>190</v>
      </c>
      <c r="BS932" s="319" t="s">
        <v>190</v>
      </c>
      <c r="BT932" s="319" t="s">
        <v>190</v>
      </c>
      <c r="BU932" s="319" t="s">
        <v>191</v>
      </c>
      <c r="BV932" s="319" t="s">
        <v>190</v>
      </c>
      <c r="BW932" s="319" t="s">
        <v>190</v>
      </c>
      <c r="BX932" s="319" t="s">
        <v>190</v>
      </c>
      <c r="BY932" s="319" t="s">
        <v>190</v>
      </c>
      <c r="BZ932" s="319" t="s">
        <v>190</v>
      </c>
      <c r="CA932" s="319" t="s">
        <v>190</v>
      </c>
      <c r="CB932" s="319" t="s">
        <v>190</v>
      </c>
      <c r="CC932" s="319" t="s">
        <v>190</v>
      </c>
      <c r="CD932" s="319" t="s">
        <v>190</v>
      </c>
      <c r="CE932" s="319" t="s">
        <v>190</v>
      </c>
      <c r="CF932" s="319" t="s">
        <v>190</v>
      </c>
      <c r="CG932" s="319" t="s">
        <v>190</v>
      </c>
      <c r="CH932" s="319" t="s">
        <v>190</v>
      </c>
      <c r="CI932" s="319" t="s">
        <v>190</v>
      </c>
      <c r="CJ932" s="319" t="s">
        <v>190</v>
      </c>
      <c r="CK932" s="319" t="s">
        <v>190</v>
      </c>
      <c r="CL932" s="319" t="s">
        <v>190</v>
      </c>
      <c r="CM932" s="319" t="s">
        <v>190</v>
      </c>
      <c r="CN932" s="319" t="s">
        <v>428</v>
      </c>
      <c r="CO932" s="319" t="s">
        <v>428</v>
      </c>
      <c r="CP932" s="319" t="s">
        <v>428</v>
      </c>
      <c r="CQ932" s="319" t="s">
        <v>190</v>
      </c>
      <c r="CR932" s="319" t="s">
        <v>190</v>
      </c>
      <c r="CS932" s="319" t="s">
        <v>190</v>
      </c>
      <c r="CT932" s="319" t="s">
        <v>190</v>
      </c>
      <c r="CU932" s="319" t="s">
        <v>190</v>
      </c>
      <c r="CV932" s="319" t="s">
        <v>190</v>
      </c>
      <c r="CW932" s="319" t="s">
        <v>190</v>
      </c>
      <c r="CX932" s="319" t="s">
        <v>190</v>
      </c>
      <c r="CY932" s="319" t="s">
        <v>190</v>
      </c>
      <c r="CZ932" s="319" t="s">
        <v>190</v>
      </c>
      <c r="DA932" s="319" t="s">
        <v>190</v>
      </c>
      <c r="DB932" s="319" t="s">
        <v>190</v>
      </c>
      <c r="DC932" s="319" t="s">
        <v>190</v>
      </c>
      <c r="DD932" s="319" t="s">
        <v>190</v>
      </c>
      <c r="DE932" s="319" t="s">
        <v>190</v>
      </c>
      <c r="DF932" s="319" t="s">
        <v>190</v>
      </c>
      <c r="DG932" s="319" t="s">
        <v>190</v>
      </c>
      <c r="DH932" s="319" t="s">
        <v>190</v>
      </c>
      <c r="DI932" s="319" t="s">
        <v>190</v>
      </c>
      <c r="DJ932" s="319" t="s">
        <v>190</v>
      </c>
      <c r="DK932" s="319" t="s">
        <v>190</v>
      </c>
      <c r="DL932" s="319" t="s">
        <v>190</v>
      </c>
      <c r="DM932" s="319" t="s">
        <v>190</v>
      </c>
      <c r="DN932" s="319" t="s">
        <v>190</v>
      </c>
      <c r="DO932" s="319" t="s">
        <v>190</v>
      </c>
      <c r="DP932" s="319" t="s">
        <v>190</v>
      </c>
      <c r="DQ932" s="319" t="s">
        <v>190</v>
      </c>
      <c r="DR932" s="319" t="s">
        <v>190</v>
      </c>
      <c r="DS932" s="319" t="s">
        <v>190</v>
      </c>
      <c r="DT932" s="319" t="s">
        <v>190</v>
      </c>
      <c r="DU932" s="319" t="s">
        <v>190</v>
      </c>
      <c r="DV932" s="319" t="s">
        <v>173</v>
      </c>
      <c r="DW932" s="319" t="s">
        <v>190</v>
      </c>
      <c r="DX932" s="319" t="s">
        <v>190</v>
      </c>
      <c r="DY932" s="319" t="s">
        <v>190</v>
      </c>
      <c r="DZ932" s="319" t="s">
        <v>190</v>
      </c>
      <c r="EA932" s="319" t="s">
        <v>190</v>
      </c>
      <c r="EB932" s="319" t="s">
        <v>190</v>
      </c>
      <c r="EC932" s="319" t="s">
        <v>428</v>
      </c>
      <c r="ED932" s="319" t="s">
        <v>428</v>
      </c>
      <c r="EE932" s="319" t="s">
        <v>190</v>
      </c>
      <c r="EF932" s="319" t="s">
        <v>190</v>
      </c>
      <c r="EG932" s="319" t="s">
        <v>190</v>
      </c>
      <c r="EH932" s="319" t="s">
        <v>190</v>
      </c>
      <c r="EI932" s="319" t="s">
        <v>190</v>
      </c>
      <c r="EJ932" s="319" t="s">
        <v>190</v>
      </c>
      <c r="EK932" s="319" t="s">
        <v>190</v>
      </c>
      <c r="EL932" s="319" t="s">
        <v>190</v>
      </c>
      <c r="EM932" s="319" t="s">
        <v>190</v>
      </c>
      <c r="EN932" s="319" t="s">
        <v>190</v>
      </c>
      <c r="EO932" s="319" t="s">
        <v>190</v>
      </c>
      <c r="EP932" s="319" t="s">
        <v>190</v>
      </c>
      <c r="EQ932" s="319" t="s">
        <v>190</v>
      </c>
      <c r="ER932" s="319" t="s">
        <v>190</v>
      </c>
      <c r="ES932" s="319" t="s">
        <v>190</v>
      </c>
      <c r="ET932" s="319" t="s">
        <v>190</v>
      </c>
      <c r="EU932" s="319" t="s">
        <v>190</v>
      </c>
      <c r="EV932" s="319" t="s">
        <v>190</v>
      </c>
      <c r="EW932" s="319" t="s">
        <v>190</v>
      </c>
      <c r="EX932" s="319" t="s">
        <v>190</v>
      </c>
      <c r="EY932" s="319" t="s">
        <v>190</v>
      </c>
      <c r="EZ932" s="319" t="s">
        <v>190</v>
      </c>
      <c r="FA932" s="319" t="s">
        <v>190</v>
      </c>
      <c r="FB932" s="319" t="s">
        <v>190</v>
      </c>
      <c r="FC932" s="319" t="s">
        <v>190</v>
      </c>
      <c r="FD932" s="319" t="s">
        <v>190</v>
      </c>
      <c r="FE932" s="319" t="s">
        <v>190</v>
      </c>
      <c r="FF932" s="319" t="s">
        <v>190</v>
      </c>
      <c r="FG932" s="319" t="s">
        <v>190</v>
      </c>
      <c r="FH932" s="319" t="s">
        <v>190</v>
      </c>
      <c r="FI932" s="319" t="s">
        <v>190</v>
      </c>
      <c r="FJ932" s="319" t="s">
        <v>190</v>
      </c>
      <c r="FK932" s="319" t="s">
        <v>190</v>
      </c>
      <c r="FL932" s="319" t="s">
        <v>190</v>
      </c>
      <c r="FM932" s="319" t="s">
        <v>190</v>
      </c>
      <c r="FN932" s="319" t="s">
        <v>190</v>
      </c>
      <c r="FO932" s="319" t="s">
        <v>190</v>
      </c>
      <c r="FP932" s="319" t="s">
        <v>190</v>
      </c>
      <c r="FQ932" s="319" t="s">
        <v>190</v>
      </c>
      <c r="FR932" s="319" t="s">
        <v>190</v>
      </c>
      <c r="FS932" s="319" t="s">
        <v>428</v>
      </c>
      <c r="FT932" s="319" t="s">
        <v>190</v>
      </c>
      <c r="FU932" s="319" t="s">
        <v>190</v>
      </c>
      <c r="FV932" s="319" t="s">
        <v>190</v>
      </c>
      <c r="FW932" s="319" t="s">
        <v>190</v>
      </c>
      <c r="FX932" s="319" t="s">
        <v>190</v>
      </c>
      <c r="FY932" s="319" t="s">
        <v>190</v>
      </c>
      <c r="FZ932" s="319" t="s">
        <v>190</v>
      </c>
      <c r="GA932" s="319" t="s">
        <v>190</v>
      </c>
      <c r="GB932" s="319" t="s">
        <v>190</v>
      </c>
      <c r="GC932" s="319" t="s">
        <v>190</v>
      </c>
      <c r="GD932" s="319" t="s">
        <v>190</v>
      </c>
      <c r="GE932" s="319" t="s">
        <v>190</v>
      </c>
      <c r="GF932" s="319" t="s">
        <v>190</v>
      </c>
      <c r="GG932" s="319" t="s">
        <v>190</v>
      </c>
      <c r="GH932" s="319" t="s">
        <v>190</v>
      </c>
      <c r="GI932" s="319" t="s">
        <v>190</v>
      </c>
      <c r="GJ932" s="319" t="s">
        <v>190</v>
      </c>
      <c r="GK932" s="319" t="s">
        <v>428</v>
      </c>
      <c r="GL932" s="319" t="s">
        <v>190</v>
      </c>
      <c r="GM932" s="319" t="s">
        <v>190</v>
      </c>
      <c r="GN932" s="319" t="s">
        <v>190</v>
      </c>
      <c r="GO932" s="319" t="s">
        <v>190</v>
      </c>
      <c r="GP932" s="319" t="s">
        <v>190</v>
      </c>
      <c r="GQ932" s="319" t="s">
        <v>190</v>
      </c>
      <c r="GR932" s="319" t="s">
        <v>190</v>
      </c>
      <c r="GS932" s="319" t="s">
        <v>190</v>
      </c>
      <c r="GT932" s="319" t="s">
        <v>190</v>
      </c>
      <c r="GU932" s="319" t="s">
        <v>190</v>
      </c>
      <c r="GV932" s="319" t="s">
        <v>190</v>
      </c>
      <c r="GW932" s="319" t="s">
        <v>190</v>
      </c>
      <c r="GX932" s="319" t="s">
        <v>190</v>
      </c>
      <c r="GY932" s="319" t="s">
        <v>190</v>
      </c>
      <c r="GZ932" s="319" t="s">
        <v>190</v>
      </c>
      <c r="HA932" s="319" t="s">
        <v>190</v>
      </c>
      <c r="HB932" s="319" t="s">
        <v>190</v>
      </c>
      <c r="HC932" s="319" t="s">
        <v>190</v>
      </c>
      <c r="HD932" s="319" t="s">
        <v>190</v>
      </c>
      <c r="HE932" s="319" t="s">
        <v>190</v>
      </c>
      <c r="HF932" s="319" t="s">
        <v>190</v>
      </c>
      <c r="HG932" s="319" t="s">
        <v>190</v>
      </c>
      <c r="HH932" s="319" t="s">
        <v>190</v>
      </c>
      <c r="HI932" s="319" t="s">
        <v>190</v>
      </c>
      <c r="HJ932" s="319" t="s">
        <v>190</v>
      </c>
      <c r="HK932" s="319" t="s">
        <v>190</v>
      </c>
      <c r="HL932" s="319" t="s">
        <v>190</v>
      </c>
      <c r="HM932" s="319" t="s">
        <v>190</v>
      </c>
      <c r="HN932" s="319" t="s">
        <v>190</v>
      </c>
      <c r="HO932" s="319" t="s">
        <v>190</v>
      </c>
      <c r="HP932" s="319" t="s">
        <v>190</v>
      </c>
      <c r="HQ932" s="319" t="s">
        <v>190</v>
      </c>
      <c r="HR932" s="319" t="s">
        <v>190</v>
      </c>
      <c r="HS932" s="319" t="s">
        <v>190</v>
      </c>
      <c r="HT932" s="319" t="s">
        <v>190</v>
      </c>
      <c r="HU932" s="319" t="s">
        <v>190</v>
      </c>
      <c r="HV932" s="319" t="s">
        <v>190</v>
      </c>
      <c r="HW932" s="319" t="s">
        <v>190</v>
      </c>
      <c r="HX932" s="319" t="s">
        <v>190</v>
      </c>
      <c r="HY932" s="319" t="s">
        <v>190</v>
      </c>
      <c r="HZ932" s="319" t="s">
        <v>190</v>
      </c>
      <c r="IA932" s="319" t="s">
        <v>190</v>
      </c>
      <c r="IB932" s="319" t="s">
        <v>190</v>
      </c>
      <c r="IC932" s="319" t="s">
        <v>190</v>
      </c>
      <c r="ID932" s="319" t="s">
        <v>190</v>
      </c>
      <c r="IE932" s="319" t="s">
        <v>190</v>
      </c>
      <c r="IF932" s="319" t="s">
        <v>191</v>
      </c>
      <c r="IG932" s="319" t="s">
        <v>191</v>
      </c>
      <c r="IH932" s="319" t="s">
        <v>191</v>
      </c>
      <c r="II932" s="319" t="s">
        <v>190</v>
      </c>
      <c r="IJ932" s="319" t="s">
        <v>173</v>
      </c>
      <c r="IK932" s="319" t="s">
        <v>173</v>
      </c>
      <c r="IL932" s="319" t="s">
        <v>173</v>
      </c>
      <c r="IM932" s="319" t="s">
        <v>173</v>
      </c>
      <c r="IN932" s="319" t="s">
        <v>173</v>
      </c>
      <c r="IO932" s="319">
        <v>10102169</v>
      </c>
      <c r="IP932" s="319" t="s">
        <v>985</v>
      </c>
      <c r="IQ932" s="321">
        <v>43584</v>
      </c>
      <c r="IR932" s="320" t="s">
        <v>1223</v>
      </c>
      <c r="IS932" s="322">
        <v>43622</v>
      </c>
      <c r="IT932" s="319" t="s">
        <v>165</v>
      </c>
    </row>
    <row r="933" spans="1:254" s="271" customFormat="1" x14ac:dyDescent="0.25">
      <c r="A933" s="318" t="str">
        <f>HYPERLINK("http://www.ofsted.gov.uk/inspection-reports/find-inspection-report/provider/ELS/144855 ","Ofsted School Webpage")</f>
        <v>Ofsted School Webpage</v>
      </c>
      <c r="B933" s="319">
        <v>144855</v>
      </c>
      <c r="C933" s="319">
        <v>8526012</v>
      </c>
      <c r="D933" s="319" t="s">
        <v>2475</v>
      </c>
      <c r="E933" s="319" t="s">
        <v>167</v>
      </c>
      <c r="F933" s="319" t="s">
        <v>81</v>
      </c>
      <c r="G933" s="319" t="s">
        <v>81</v>
      </c>
      <c r="H933" s="319" t="s">
        <v>81</v>
      </c>
      <c r="I933" s="319" t="s">
        <v>78</v>
      </c>
      <c r="J933" s="319" t="s">
        <v>424</v>
      </c>
      <c r="K933" s="319" t="s">
        <v>514</v>
      </c>
      <c r="L933" s="319" t="s">
        <v>514</v>
      </c>
      <c r="M933" s="319" t="s">
        <v>1004</v>
      </c>
      <c r="N933" s="319" t="s">
        <v>2956</v>
      </c>
      <c r="O933" s="319" t="s">
        <v>2476</v>
      </c>
      <c r="P933" s="319">
        <v>14</v>
      </c>
      <c r="Q933" s="319" t="s">
        <v>2776</v>
      </c>
      <c r="R933" s="320" t="s">
        <v>173</v>
      </c>
      <c r="S933" s="321" t="s">
        <v>173</v>
      </c>
      <c r="T933" s="321" t="s">
        <v>173</v>
      </c>
      <c r="U933" s="321" t="s">
        <v>173</v>
      </c>
      <c r="V933" s="319" t="s">
        <v>173</v>
      </c>
      <c r="W933" s="319" t="s">
        <v>173</v>
      </c>
      <c r="X933" s="319" t="s">
        <v>173</v>
      </c>
      <c r="Y933" s="319" t="s">
        <v>173</v>
      </c>
      <c r="Z933" s="319" t="s">
        <v>173</v>
      </c>
      <c r="AA933" s="319" t="s">
        <v>173</v>
      </c>
      <c r="AB933" s="319" t="s">
        <v>173</v>
      </c>
      <c r="AC933" s="319" t="s">
        <v>173</v>
      </c>
      <c r="AD933" s="319" t="s">
        <v>173</v>
      </c>
      <c r="AE933" s="319" t="s">
        <v>173</v>
      </c>
      <c r="AF933" s="319" t="s">
        <v>173</v>
      </c>
      <c r="AG933" s="319" t="s">
        <v>173</v>
      </c>
      <c r="AH933" s="319" t="s">
        <v>173</v>
      </c>
      <c r="AI933" s="319" t="s">
        <v>173</v>
      </c>
      <c r="AJ933" s="319" t="s">
        <v>173</v>
      </c>
      <c r="AK933" s="319" t="s">
        <v>173</v>
      </c>
      <c r="AL933" s="319" t="s">
        <v>173</v>
      </c>
      <c r="AM933" s="319" t="s">
        <v>173</v>
      </c>
      <c r="AN933" s="319" t="s">
        <v>173</v>
      </c>
      <c r="AO933" s="319" t="s">
        <v>173</v>
      </c>
      <c r="AP933" s="319" t="s">
        <v>173</v>
      </c>
      <c r="AQ933" s="319" t="s">
        <v>173</v>
      </c>
      <c r="AR933" s="319" t="s">
        <v>173</v>
      </c>
      <c r="AS933" s="319" t="s">
        <v>173</v>
      </c>
      <c r="AT933" s="319" t="s">
        <v>173</v>
      </c>
      <c r="AU933" s="319" t="s">
        <v>173</v>
      </c>
      <c r="AV933" s="319" t="s">
        <v>173</v>
      </c>
      <c r="AW933" s="319" t="s">
        <v>173</v>
      </c>
      <c r="AX933" s="319" t="s">
        <v>173</v>
      </c>
      <c r="AY933" s="319" t="s">
        <v>173</v>
      </c>
      <c r="AZ933" s="319" t="s">
        <v>173</v>
      </c>
      <c r="BA933" s="319" t="s">
        <v>173</v>
      </c>
      <c r="BB933" s="319" t="s">
        <v>173</v>
      </c>
      <c r="BC933" s="319" t="s">
        <v>173</v>
      </c>
      <c r="BD933" s="319" t="s">
        <v>173</v>
      </c>
      <c r="BE933" s="319" t="s">
        <v>173</v>
      </c>
      <c r="BF933" s="319" t="s">
        <v>173</v>
      </c>
      <c r="BG933" s="319" t="s">
        <v>173</v>
      </c>
      <c r="BH933" s="319" t="s">
        <v>173</v>
      </c>
      <c r="BI933" s="319" t="s">
        <v>173</v>
      </c>
      <c r="BJ933" s="319" t="s">
        <v>173</v>
      </c>
      <c r="BK933" s="319" t="s">
        <v>173</v>
      </c>
      <c r="BL933" s="319" t="s">
        <v>173</v>
      </c>
      <c r="BM933" s="319" t="s">
        <v>173</v>
      </c>
      <c r="BN933" s="319" t="s">
        <v>173</v>
      </c>
      <c r="BO933" s="319" t="s">
        <v>173</v>
      </c>
      <c r="BP933" s="319" t="s">
        <v>173</v>
      </c>
      <c r="BQ933" s="319" t="s">
        <v>173</v>
      </c>
      <c r="BR933" s="319" t="s">
        <v>173</v>
      </c>
      <c r="BS933" s="319" t="s">
        <v>173</v>
      </c>
      <c r="BT933" s="319" t="s">
        <v>173</v>
      </c>
      <c r="BU933" s="319" t="s">
        <v>173</v>
      </c>
      <c r="BV933" s="319" t="s">
        <v>173</v>
      </c>
      <c r="BW933" s="319" t="s">
        <v>173</v>
      </c>
      <c r="BX933" s="319" t="s">
        <v>173</v>
      </c>
      <c r="BY933" s="319" t="s">
        <v>173</v>
      </c>
      <c r="BZ933" s="319" t="s">
        <v>173</v>
      </c>
      <c r="CA933" s="319" t="s">
        <v>173</v>
      </c>
      <c r="CB933" s="319" t="s">
        <v>173</v>
      </c>
      <c r="CC933" s="319" t="s">
        <v>173</v>
      </c>
      <c r="CD933" s="319" t="s">
        <v>173</v>
      </c>
      <c r="CE933" s="319" t="s">
        <v>173</v>
      </c>
      <c r="CF933" s="319" t="s">
        <v>173</v>
      </c>
      <c r="CG933" s="319" t="s">
        <v>173</v>
      </c>
      <c r="CH933" s="319" t="s">
        <v>173</v>
      </c>
      <c r="CI933" s="319" t="s">
        <v>173</v>
      </c>
      <c r="CJ933" s="319" t="s">
        <v>173</v>
      </c>
      <c r="CK933" s="319" t="s">
        <v>173</v>
      </c>
      <c r="CL933" s="319" t="s">
        <v>173</v>
      </c>
      <c r="CM933" s="319" t="s">
        <v>173</v>
      </c>
      <c r="CN933" s="319" t="s">
        <v>173</v>
      </c>
      <c r="CO933" s="319" t="s">
        <v>173</v>
      </c>
      <c r="CP933" s="319" t="s">
        <v>173</v>
      </c>
      <c r="CQ933" s="319" t="s">
        <v>173</v>
      </c>
      <c r="CR933" s="319" t="s">
        <v>173</v>
      </c>
      <c r="CS933" s="319" t="s">
        <v>173</v>
      </c>
      <c r="CT933" s="319" t="s">
        <v>173</v>
      </c>
      <c r="CU933" s="319" t="s">
        <v>173</v>
      </c>
      <c r="CV933" s="319" t="s">
        <v>173</v>
      </c>
      <c r="CW933" s="319" t="s">
        <v>173</v>
      </c>
      <c r="CX933" s="319" t="s">
        <v>173</v>
      </c>
      <c r="CY933" s="319" t="s">
        <v>173</v>
      </c>
      <c r="CZ933" s="319" t="s">
        <v>173</v>
      </c>
      <c r="DA933" s="319" t="s">
        <v>173</v>
      </c>
      <c r="DB933" s="319" t="s">
        <v>173</v>
      </c>
      <c r="DC933" s="319" t="s">
        <v>173</v>
      </c>
      <c r="DD933" s="319" t="s">
        <v>173</v>
      </c>
      <c r="DE933" s="319" t="s">
        <v>173</v>
      </c>
      <c r="DF933" s="319" t="s">
        <v>173</v>
      </c>
      <c r="DG933" s="319" t="s">
        <v>173</v>
      </c>
      <c r="DH933" s="319" t="s">
        <v>173</v>
      </c>
      <c r="DI933" s="319" t="s">
        <v>173</v>
      </c>
      <c r="DJ933" s="319" t="s">
        <v>173</v>
      </c>
      <c r="DK933" s="319" t="s">
        <v>173</v>
      </c>
      <c r="DL933" s="319" t="s">
        <v>173</v>
      </c>
      <c r="DM933" s="319" t="s">
        <v>173</v>
      </c>
      <c r="DN933" s="319" t="s">
        <v>173</v>
      </c>
      <c r="DO933" s="319" t="s">
        <v>173</v>
      </c>
      <c r="DP933" s="319" t="s">
        <v>173</v>
      </c>
      <c r="DQ933" s="319" t="s">
        <v>173</v>
      </c>
      <c r="DR933" s="319" t="s">
        <v>173</v>
      </c>
      <c r="DS933" s="319" t="s">
        <v>173</v>
      </c>
      <c r="DT933" s="319" t="s">
        <v>173</v>
      </c>
      <c r="DU933" s="319" t="s">
        <v>173</v>
      </c>
      <c r="DV933" s="319" t="s">
        <v>173</v>
      </c>
      <c r="DW933" s="319" t="s">
        <v>173</v>
      </c>
      <c r="DX933" s="319" t="s">
        <v>173</v>
      </c>
      <c r="DY933" s="319" t="s">
        <v>173</v>
      </c>
      <c r="DZ933" s="319" t="s">
        <v>173</v>
      </c>
      <c r="EA933" s="319" t="s">
        <v>173</v>
      </c>
      <c r="EB933" s="319" t="s">
        <v>173</v>
      </c>
      <c r="EC933" s="319" t="s">
        <v>173</v>
      </c>
      <c r="ED933" s="319" t="s">
        <v>173</v>
      </c>
      <c r="EE933" s="319" t="s">
        <v>173</v>
      </c>
      <c r="EF933" s="319" t="s">
        <v>173</v>
      </c>
      <c r="EG933" s="319" t="s">
        <v>173</v>
      </c>
      <c r="EH933" s="319" t="s">
        <v>173</v>
      </c>
      <c r="EI933" s="319" t="s">
        <v>173</v>
      </c>
      <c r="EJ933" s="319" t="s">
        <v>173</v>
      </c>
      <c r="EK933" s="319" t="s">
        <v>173</v>
      </c>
      <c r="EL933" s="319" t="s">
        <v>173</v>
      </c>
      <c r="EM933" s="319" t="s">
        <v>173</v>
      </c>
      <c r="EN933" s="319" t="s">
        <v>173</v>
      </c>
      <c r="EO933" s="319" t="s">
        <v>173</v>
      </c>
      <c r="EP933" s="319" t="s">
        <v>173</v>
      </c>
      <c r="EQ933" s="319" t="s">
        <v>173</v>
      </c>
      <c r="ER933" s="319" t="s">
        <v>173</v>
      </c>
      <c r="ES933" s="319" t="s">
        <v>173</v>
      </c>
      <c r="ET933" s="319" t="s">
        <v>173</v>
      </c>
      <c r="EU933" s="319" t="s">
        <v>173</v>
      </c>
      <c r="EV933" s="319" t="s">
        <v>173</v>
      </c>
      <c r="EW933" s="319" t="s">
        <v>173</v>
      </c>
      <c r="EX933" s="319" t="s">
        <v>173</v>
      </c>
      <c r="EY933" s="319" t="s">
        <v>173</v>
      </c>
      <c r="EZ933" s="319" t="s">
        <v>173</v>
      </c>
      <c r="FA933" s="319" t="s">
        <v>173</v>
      </c>
      <c r="FB933" s="319" t="s">
        <v>173</v>
      </c>
      <c r="FC933" s="319" t="s">
        <v>173</v>
      </c>
      <c r="FD933" s="319" t="s">
        <v>173</v>
      </c>
      <c r="FE933" s="319" t="s">
        <v>173</v>
      </c>
      <c r="FF933" s="319" t="s">
        <v>173</v>
      </c>
      <c r="FG933" s="319" t="s">
        <v>173</v>
      </c>
      <c r="FH933" s="319" t="s">
        <v>173</v>
      </c>
      <c r="FI933" s="319" t="s">
        <v>173</v>
      </c>
      <c r="FJ933" s="319" t="s">
        <v>173</v>
      </c>
      <c r="FK933" s="319" t="s">
        <v>173</v>
      </c>
      <c r="FL933" s="319" t="s">
        <v>173</v>
      </c>
      <c r="FM933" s="319" t="s">
        <v>173</v>
      </c>
      <c r="FN933" s="319" t="s">
        <v>173</v>
      </c>
      <c r="FO933" s="319" t="s">
        <v>173</v>
      </c>
      <c r="FP933" s="319" t="s">
        <v>173</v>
      </c>
      <c r="FQ933" s="319" t="s">
        <v>173</v>
      </c>
      <c r="FR933" s="319" t="s">
        <v>173</v>
      </c>
      <c r="FS933" s="319" t="s">
        <v>173</v>
      </c>
      <c r="FT933" s="319" t="s">
        <v>173</v>
      </c>
      <c r="FU933" s="319" t="s">
        <v>173</v>
      </c>
      <c r="FV933" s="319" t="s">
        <v>173</v>
      </c>
      <c r="FW933" s="319" t="s">
        <v>173</v>
      </c>
      <c r="FX933" s="319" t="s">
        <v>173</v>
      </c>
      <c r="FY933" s="319" t="s">
        <v>173</v>
      </c>
      <c r="FZ933" s="319" t="s">
        <v>173</v>
      </c>
      <c r="GA933" s="319" t="s">
        <v>173</v>
      </c>
      <c r="GB933" s="319" t="s">
        <v>173</v>
      </c>
      <c r="GC933" s="319" t="s">
        <v>173</v>
      </c>
      <c r="GD933" s="319" t="s">
        <v>173</v>
      </c>
      <c r="GE933" s="319" t="s">
        <v>173</v>
      </c>
      <c r="GF933" s="319" t="s">
        <v>173</v>
      </c>
      <c r="GG933" s="319" t="s">
        <v>173</v>
      </c>
      <c r="GH933" s="319" t="s">
        <v>173</v>
      </c>
      <c r="GI933" s="319" t="s">
        <v>173</v>
      </c>
      <c r="GJ933" s="319" t="s">
        <v>173</v>
      </c>
      <c r="GK933" s="319" t="s">
        <v>173</v>
      </c>
      <c r="GL933" s="319" t="s">
        <v>173</v>
      </c>
      <c r="GM933" s="319" t="s">
        <v>173</v>
      </c>
      <c r="GN933" s="319" t="s">
        <v>173</v>
      </c>
      <c r="GO933" s="319" t="s">
        <v>173</v>
      </c>
      <c r="GP933" s="319" t="s">
        <v>173</v>
      </c>
      <c r="GQ933" s="319" t="s">
        <v>173</v>
      </c>
      <c r="GR933" s="319" t="s">
        <v>173</v>
      </c>
      <c r="GS933" s="319" t="s">
        <v>173</v>
      </c>
      <c r="GT933" s="319" t="s">
        <v>173</v>
      </c>
      <c r="GU933" s="319" t="s">
        <v>173</v>
      </c>
      <c r="GV933" s="319" t="s">
        <v>173</v>
      </c>
      <c r="GW933" s="319" t="s">
        <v>173</v>
      </c>
      <c r="GX933" s="319" t="s">
        <v>173</v>
      </c>
      <c r="GY933" s="319" t="s">
        <v>173</v>
      </c>
      <c r="GZ933" s="319" t="s">
        <v>173</v>
      </c>
      <c r="HA933" s="319" t="s">
        <v>173</v>
      </c>
      <c r="HB933" s="319" t="s">
        <v>173</v>
      </c>
      <c r="HC933" s="319" t="s">
        <v>173</v>
      </c>
      <c r="HD933" s="319" t="s">
        <v>173</v>
      </c>
      <c r="HE933" s="319" t="s">
        <v>173</v>
      </c>
      <c r="HF933" s="319" t="s">
        <v>173</v>
      </c>
      <c r="HG933" s="319" t="s">
        <v>173</v>
      </c>
      <c r="HH933" s="319" t="s">
        <v>173</v>
      </c>
      <c r="HI933" s="319" t="s">
        <v>173</v>
      </c>
      <c r="HJ933" s="319" t="s">
        <v>173</v>
      </c>
      <c r="HK933" s="319" t="s">
        <v>173</v>
      </c>
      <c r="HL933" s="319" t="s">
        <v>173</v>
      </c>
      <c r="HM933" s="319" t="s">
        <v>173</v>
      </c>
      <c r="HN933" s="319" t="s">
        <v>173</v>
      </c>
      <c r="HO933" s="319" t="s">
        <v>173</v>
      </c>
      <c r="HP933" s="319" t="s">
        <v>173</v>
      </c>
      <c r="HQ933" s="319" t="s">
        <v>173</v>
      </c>
      <c r="HR933" s="319" t="s">
        <v>173</v>
      </c>
      <c r="HS933" s="319" t="s">
        <v>173</v>
      </c>
      <c r="HT933" s="319" t="s">
        <v>173</v>
      </c>
      <c r="HU933" s="319" t="s">
        <v>173</v>
      </c>
      <c r="HV933" s="319" t="s">
        <v>173</v>
      </c>
      <c r="HW933" s="319" t="s">
        <v>173</v>
      </c>
      <c r="HX933" s="319" t="s">
        <v>173</v>
      </c>
      <c r="HY933" s="319" t="s">
        <v>173</v>
      </c>
      <c r="HZ933" s="319" t="s">
        <v>173</v>
      </c>
      <c r="IA933" s="319" t="s">
        <v>173</v>
      </c>
      <c r="IB933" s="319" t="s">
        <v>173</v>
      </c>
      <c r="IC933" s="319" t="s">
        <v>173</v>
      </c>
      <c r="ID933" s="319" t="s">
        <v>173</v>
      </c>
      <c r="IE933" s="319" t="s">
        <v>173</v>
      </c>
      <c r="IF933" s="319" t="s">
        <v>173</v>
      </c>
      <c r="IG933" s="319" t="s">
        <v>173</v>
      </c>
      <c r="IH933" s="319" t="s">
        <v>173</v>
      </c>
      <c r="II933" s="319" t="s">
        <v>173</v>
      </c>
      <c r="IJ933" s="319" t="s">
        <v>173</v>
      </c>
      <c r="IK933" s="319" t="s">
        <v>173</v>
      </c>
      <c r="IL933" s="319" t="s">
        <v>173</v>
      </c>
      <c r="IM933" s="319" t="s">
        <v>173</v>
      </c>
      <c r="IN933" s="319" t="s">
        <v>173</v>
      </c>
      <c r="IO933" s="319" t="s">
        <v>173</v>
      </c>
      <c r="IP933" s="319" t="s">
        <v>173</v>
      </c>
      <c r="IQ933" s="321" t="s">
        <v>173</v>
      </c>
      <c r="IR933" s="320" t="s">
        <v>173</v>
      </c>
      <c r="IS933" s="322" t="s">
        <v>173</v>
      </c>
      <c r="IT933" s="319" t="s">
        <v>173</v>
      </c>
    </row>
    <row r="934" spans="1:254" s="271" customFormat="1" x14ac:dyDescent="0.25">
      <c r="A934" s="318" t="str">
        <f>HYPERLINK("http://www.ofsted.gov.uk/inspection-reports/find-inspection-report/provider/ELS/144856 ","Ofsted School Webpage")</f>
        <v>Ofsted School Webpage</v>
      </c>
      <c r="B934" s="319">
        <v>144856</v>
      </c>
      <c r="C934" s="319">
        <v>3446010</v>
      </c>
      <c r="D934" s="319" t="s">
        <v>1062</v>
      </c>
      <c r="E934" s="319" t="s">
        <v>167</v>
      </c>
      <c r="F934" s="319" t="s">
        <v>81</v>
      </c>
      <c r="G934" s="319" t="s">
        <v>81</v>
      </c>
      <c r="H934" s="319" t="s">
        <v>81</v>
      </c>
      <c r="I934" s="319" t="s">
        <v>78</v>
      </c>
      <c r="J934" s="319" t="s">
        <v>424</v>
      </c>
      <c r="K934" s="319" t="s">
        <v>431</v>
      </c>
      <c r="L934" s="319" t="s">
        <v>431</v>
      </c>
      <c r="M934" s="319" t="s">
        <v>2724</v>
      </c>
      <c r="N934" s="319" t="s">
        <v>3559</v>
      </c>
      <c r="O934" s="319" t="s">
        <v>1063</v>
      </c>
      <c r="P934" s="319">
        <v>28</v>
      </c>
      <c r="Q934" s="319" t="s">
        <v>2766</v>
      </c>
      <c r="R934" s="320">
        <v>10048615</v>
      </c>
      <c r="S934" s="321">
        <v>43291</v>
      </c>
      <c r="T934" s="321">
        <v>43293</v>
      </c>
      <c r="U934" s="321">
        <v>43322</v>
      </c>
      <c r="V934" s="319" t="s">
        <v>435</v>
      </c>
      <c r="W934" s="319" t="s">
        <v>2767</v>
      </c>
      <c r="X934" s="319">
        <v>2</v>
      </c>
      <c r="Y934" s="319" t="s">
        <v>173</v>
      </c>
      <c r="Z934" s="319" t="s">
        <v>173</v>
      </c>
      <c r="AA934" s="319" t="s">
        <v>173</v>
      </c>
      <c r="AB934" s="319">
        <v>2</v>
      </c>
      <c r="AC934" s="319" t="s">
        <v>169</v>
      </c>
      <c r="AD934" s="319" t="s">
        <v>173</v>
      </c>
      <c r="AE934" s="319" t="s">
        <v>173</v>
      </c>
      <c r="AF934" s="319" t="s">
        <v>427</v>
      </c>
      <c r="AG934" s="319" t="s">
        <v>171</v>
      </c>
      <c r="AH934" s="319" t="s">
        <v>190</v>
      </c>
      <c r="AI934" s="319" t="s">
        <v>190</v>
      </c>
      <c r="AJ934" s="319" t="s">
        <v>190</v>
      </c>
      <c r="AK934" s="319" t="s">
        <v>190</v>
      </c>
      <c r="AL934" s="319" t="s">
        <v>190</v>
      </c>
      <c r="AM934" s="319" t="s">
        <v>190</v>
      </c>
      <c r="AN934" s="319" t="s">
        <v>190</v>
      </c>
      <c r="AO934" s="319" t="s">
        <v>190</v>
      </c>
      <c r="AP934" s="319" t="s">
        <v>190</v>
      </c>
      <c r="AQ934" s="319" t="s">
        <v>190</v>
      </c>
      <c r="AR934" s="319" t="s">
        <v>190</v>
      </c>
      <c r="AS934" s="319" t="s">
        <v>190</v>
      </c>
      <c r="AT934" s="319" t="s">
        <v>190</v>
      </c>
      <c r="AU934" s="319" t="s">
        <v>190</v>
      </c>
      <c r="AV934" s="319" t="s">
        <v>190</v>
      </c>
      <c r="AW934" s="319" t="s">
        <v>190</v>
      </c>
      <c r="AX934" s="319" t="s">
        <v>428</v>
      </c>
      <c r="AY934" s="319" t="s">
        <v>190</v>
      </c>
      <c r="AZ934" s="319" t="s">
        <v>190</v>
      </c>
      <c r="BA934" s="319" t="s">
        <v>190</v>
      </c>
      <c r="BB934" s="319" t="s">
        <v>190</v>
      </c>
      <c r="BC934" s="319" t="s">
        <v>190</v>
      </c>
      <c r="BD934" s="319" t="s">
        <v>190</v>
      </c>
      <c r="BE934" s="319" t="s">
        <v>190</v>
      </c>
      <c r="BF934" s="319" t="s">
        <v>190</v>
      </c>
      <c r="BG934" s="319" t="s">
        <v>190</v>
      </c>
      <c r="BH934" s="319" t="s">
        <v>190</v>
      </c>
      <c r="BI934" s="319" t="s">
        <v>190</v>
      </c>
      <c r="BJ934" s="319" t="s">
        <v>190</v>
      </c>
      <c r="BK934" s="319" t="s">
        <v>190</v>
      </c>
      <c r="BL934" s="319" t="s">
        <v>190</v>
      </c>
      <c r="BM934" s="319" t="s">
        <v>190</v>
      </c>
      <c r="BN934" s="319" t="s">
        <v>190</v>
      </c>
      <c r="BO934" s="319" t="s">
        <v>190</v>
      </c>
      <c r="BP934" s="319" t="s">
        <v>190</v>
      </c>
      <c r="BQ934" s="319" t="s">
        <v>190</v>
      </c>
      <c r="BR934" s="319" t="s">
        <v>190</v>
      </c>
      <c r="BS934" s="319" t="s">
        <v>190</v>
      </c>
      <c r="BT934" s="319" t="s">
        <v>190</v>
      </c>
      <c r="BU934" s="319" t="s">
        <v>190</v>
      </c>
      <c r="BV934" s="319" t="s">
        <v>190</v>
      </c>
      <c r="BW934" s="319" t="s">
        <v>190</v>
      </c>
      <c r="BX934" s="319" t="s">
        <v>190</v>
      </c>
      <c r="BY934" s="319" t="s">
        <v>190</v>
      </c>
      <c r="BZ934" s="319" t="s">
        <v>190</v>
      </c>
      <c r="CA934" s="319" t="s">
        <v>190</v>
      </c>
      <c r="CB934" s="319" t="s">
        <v>190</v>
      </c>
      <c r="CC934" s="319" t="s">
        <v>190</v>
      </c>
      <c r="CD934" s="319" t="s">
        <v>190</v>
      </c>
      <c r="CE934" s="319" t="s">
        <v>190</v>
      </c>
      <c r="CF934" s="319" t="s">
        <v>190</v>
      </c>
      <c r="CG934" s="319" t="s">
        <v>190</v>
      </c>
      <c r="CH934" s="319" t="s">
        <v>190</v>
      </c>
      <c r="CI934" s="319" t="s">
        <v>190</v>
      </c>
      <c r="CJ934" s="319" t="s">
        <v>190</v>
      </c>
      <c r="CK934" s="319" t="s">
        <v>190</v>
      </c>
      <c r="CL934" s="319" t="s">
        <v>190</v>
      </c>
      <c r="CM934" s="319" t="s">
        <v>190</v>
      </c>
      <c r="CN934" s="319" t="s">
        <v>428</v>
      </c>
      <c r="CO934" s="319" t="s">
        <v>428</v>
      </c>
      <c r="CP934" s="319" t="s">
        <v>428</v>
      </c>
      <c r="CQ934" s="319" t="s">
        <v>190</v>
      </c>
      <c r="CR934" s="319" t="s">
        <v>190</v>
      </c>
      <c r="CS934" s="319" t="s">
        <v>190</v>
      </c>
      <c r="CT934" s="319" t="s">
        <v>190</v>
      </c>
      <c r="CU934" s="319" t="s">
        <v>190</v>
      </c>
      <c r="CV934" s="319" t="s">
        <v>190</v>
      </c>
      <c r="CW934" s="319" t="s">
        <v>190</v>
      </c>
      <c r="CX934" s="319" t="s">
        <v>190</v>
      </c>
      <c r="CY934" s="319" t="s">
        <v>190</v>
      </c>
      <c r="CZ934" s="319" t="s">
        <v>190</v>
      </c>
      <c r="DA934" s="319" t="s">
        <v>190</v>
      </c>
      <c r="DB934" s="319" t="s">
        <v>190</v>
      </c>
      <c r="DC934" s="319" t="s">
        <v>190</v>
      </c>
      <c r="DD934" s="319" t="s">
        <v>190</v>
      </c>
      <c r="DE934" s="319" t="s">
        <v>190</v>
      </c>
      <c r="DF934" s="319" t="s">
        <v>190</v>
      </c>
      <c r="DG934" s="319" t="s">
        <v>190</v>
      </c>
      <c r="DH934" s="319" t="s">
        <v>190</v>
      </c>
      <c r="DI934" s="319" t="s">
        <v>190</v>
      </c>
      <c r="DJ934" s="319" t="s">
        <v>190</v>
      </c>
      <c r="DK934" s="319" t="s">
        <v>190</v>
      </c>
      <c r="DL934" s="319" t="s">
        <v>190</v>
      </c>
      <c r="DM934" s="319" t="s">
        <v>190</v>
      </c>
      <c r="DN934" s="319" t="s">
        <v>428</v>
      </c>
      <c r="DO934" s="319" t="s">
        <v>190</v>
      </c>
      <c r="DP934" s="319" t="s">
        <v>428</v>
      </c>
      <c r="DQ934" s="319" t="s">
        <v>428</v>
      </c>
      <c r="DR934" s="319" t="s">
        <v>428</v>
      </c>
      <c r="DS934" s="319" t="s">
        <v>428</v>
      </c>
      <c r="DT934" s="319" t="s">
        <v>428</v>
      </c>
      <c r="DU934" s="319" t="s">
        <v>428</v>
      </c>
      <c r="DV934" s="319" t="s">
        <v>173</v>
      </c>
      <c r="DW934" s="319" t="s">
        <v>428</v>
      </c>
      <c r="DX934" s="319" t="s">
        <v>428</v>
      </c>
      <c r="DY934" s="319" t="s">
        <v>428</v>
      </c>
      <c r="DZ934" s="319" t="s">
        <v>428</v>
      </c>
      <c r="EA934" s="319" t="s">
        <v>428</v>
      </c>
      <c r="EB934" s="319" t="s">
        <v>428</v>
      </c>
      <c r="EC934" s="319" t="s">
        <v>428</v>
      </c>
      <c r="ED934" s="319" t="s">
        <v>428</v>
      </c>
      <c r="EE934" s="319" t="s">
        <v>190</v>
      </c>
      <c r="EF934" s="319" t="s">
        <v>190</v>
      </c>
      <c r="EG934" s="319" t="s">
        <v>190</v>
      </c>
      <c r="EH934" s="319" t="s">
        <v>190</v>
      </c>
      <c r="EI934" s="319" t="s">
        <v>190</v>
      </c>
      <c r="EJ934" s="319" t="s">
        <v>190</v>
      </c>
      <c r="EK934" s="319" t="s">
        <v>190</v>
      </c>
      <c r="EL934" s="319" t="s">
        <v>190</v>
      </c>
      <c r="EM934" s="319" t="s">
        <v>190</v>
      </c>
      <c r="EN934" s="319" t="s">
        <v>190</v>
      </c>
      <c r="EO934" s="319" t="s">
        <v>190</v>
      </c>
      <c r="EP934" s="319" t="s">
        <v>190</v>
      </c>
      <c r="EQ934" s="319" t="s">
        <v>190</v>
      </c>
      <c r="ER934" s="319" t="s">
        <v>190</v>
      </c>
      <c r="ES934" s="319" t="s">
        <v>190</v>
      </c>
      <c r="ET934" s="319" t="s">
        <v>190</v>
      </c>
      <c r="EU934" s="319" t="s">
        <v>190</v>
      </c>
      <c r="EV934" s="319" t="s">
        <v>190</v>
      </c>
      <c r="EW934" s="319" t="s">
        <v>190</v>
      </c>
      <c r="EX934" s="319" t="s">
        <v>190</v>
      </c>
      <c r="EY934" s="319" t="s">
        <v>190</v>
      </c>
      <c r="EZ934" s="319" t="s">
        <v>190</v>
      </c>
      <c r="FA934" s="319" t="s">
        <v>428</v>
      </c>
      <c r="FB934" s="319" t="s">
        <v>428</v>
      </c>
      <c r="FC934" s="319" t="s">
        <v>428</v>
      </c>
      <c r="FD934" s="319" t="s">
        <v>428</v>
      </c>
      <c r="FE934" s="319" t="s">
        <v>428</v>
      </c>
      <c r="FF934" s="319" t="s">
        <v>428</v>
      </c>
      <c r="FG934" s="319" t="s">
        <v>428</v>
      </c>
      <c r="FH934" s="319" t="s">
        <v>190</v>
      </c>
      <c r="FI934" s="319" t="s">
        <v>190</v>
      </c>
      <c r="FJ934" s="319" t="s">
        <v>190</v>
      </c>
      <c r="FK934" s="319" t="s">
        <v>190</v>
      </c>
      <c r="FL934" s="319" t="s">
        <v>190</v>
      </c>
      <c r="FM934" s="319" t="s">
        <v>190</v>
      </c>
      <c r="FN934" s="319" t="s">
        <v>190</v>
      </c>
      <c r="FO934" s="319" t="s">
        <v>190</v>
      </c>
      <c r="FP934" s="319" t="s">
        <v>190</v>
      </c>
      <c r="FQ934" s="319" t="s">
        <v>190</v>
      </c>
      <c r="FR934" s="319" t="s">
        <v>190</v>
      </c>
      <c r="FS934" s="319" t="s">
        <v>190</v>
      </c>
      <c r="FT934" s="319" t="s">
        <v>190</v>
      </c>
      <c r="FU934" s="319" t="s">
        <v>190</v>
      </c>
      <c r="FV934" s="319" t="s">
        <v>190</v>
      </c>
      <c r="FW934" s="319" t="s">
        <v>190</v>
      </c>
      <c r="FX934" s="319" t="s">
        <v>190</v>
      </c>
      <c r="FY934" s="319" t="s">
        <v>190</v>
      </c>
      <c r="FZ934" s="319" t="s">
        <v>190</v>
      </c>
      <c r="GA934" s="319" t="s">
        <v>190</v>
      </c>
      <c r="GB934" s="319" t="s">
        <v>190</v>
      </c>
      <c r="GC934" s="319" t="s">
        <v>190</v>
      </c>
      <c r="GD934" s="319" t="s">
        <v>190</v>
      </c>
      <c r="GE934" s="319" t="s">
        <v>190</v>
      </c>
      <c r="GF934" s="319" t="s">
        <v>190</v>
      </c>
      <c r="GG934" s="319" t="s">
        <v>190</v>
      </c>
      <c r="GH934" s="319" t="s">
        <v>190</v>
      </c>
      <c r="GI934" s="319" t="s">
        <v>190</v>
      </c>
      <c r="GJ934" s="319" t="s">
        <v>190</v>
      </c>
      <c r="GK934" s="319" t="s">
        <v>190</v>
      </c>
      <c r="GL934" s="319" t="s">
        <v>190</v>
      </c>
      <c r="GM934" s="319" t="s">
        <v>190</v>
      </c>
      <c r="GN934" s="319" t="s">
        <v>190</v>
      </c>
      <c r="GO934" s="319" t="s">
        <v>190</v>
      </c>
      <c r="GP934" s="319" t="s">
        <v>190</v>
      </c>
      <c r="GQ934" s="319" t="s">
        <v>428</v>
      </c>
      <c r="GR934" s="319" t="s">
        <v>190</v>
      </c>
      <c r="GS934" s="319" t="s">
        <v>190</v>
      </c>
      <c r="GT934" s="319" t="s">
        <v>428</v>
      </c>
      <c r="GU934" s="319" t="s">
        <v>428</v>
      </c>
      <c r="GV934" s="319" t="s">
        <v>190</v>
      </c>
      <c r="GW934" s="319" t="s">
        <v>190</v>
      </c>
      <c r="GX934" s="319" t="s">
        <v>190</v>
      </c>
      <c r="GY934" s="319" t="s">
        <v>190</v>
      </c>
      <c r="GZ934" s="319" t="s">
        <v>190</v>
      </c>
      <c r="HA934" s="319" t="s">
        <v>190</v>
      </c>
      <c r="HB934" s="319" t="s">
        <v>190</v>
      </c>
      <c r="HC934" s="319" t="s">
        <v>190</v>
      </c>
      <c r="HD934" s="319" t="s">
        <v>190</v>
      </c>
      <c r="HE934" s="319" t="s">
        <v>190</v>
      </c>
      <c r="HF934" s="319" t="s">
        <v>190</v>
      </c>
      <c r="HG934" s="319" t="s">
        <v>190</v>
      </c>
      <c r="HH934" s="319" t="s">
        <v>190</v>
      </c>
      <c r="HI934" s="319" t="s">
        <v>190</v>
      </c>
      <c r="HJ934" s="319" t="s">
        <v>190</v>
      </c>
      <c r="HK934" s="319" t="s">
        <v>190</v>
      </c>
      <c r="HL934" s="319" t="s">
        <v>428</v>
      </c>
      <c r="HM934" s="319" t="s">
        <v>428</v>
      </c>
      <c r="HN934" s="319" t="s">
        <v>428</v>
      </c>
      <c r="HO934" s="319" t="s">
        <v>428</v>
      </c>
      <c r="HP934" s="319" t="s">
        <v>190</v>
      </c>
      <c r="HQ934" s="319" t="s">
        <v>190</v>
      </c>
      <c r="HR934" s="319" t="s">
        <v>190</v>
      </c>
      <c r="HS934" s="319" t="s">
        <v>190</v>
      </c>
      <c r="HT934" s="319" t="s">
        <v>190</v>
      </c>
      <c r="HU934" s="319" t="s">
        <v>190</v>
      </c>
      <c r="HV934" s="319" t="s">
        <v>190</v>
      </c>
      <c r="HW934" s="319" t="s">
        <v>190</v>
      </c>
      <c r="HX934" s="319" t="s">
        <v>190</v>
      </c>
      <c r="HY934" s="319" t="s">
        <v>190</v>
      </c>
      <c r="HZ934" s="319" t="s">
        <v>190</v>
      </c>
      <c r="IA934" s="319" t="s">
        <v>190</v>
      </c>
      <c r="IB934" s="319" t="s">
        <v>190</v>
      </c>
      <c r="IC934" s="319" t="s">
        <v>190</v>
      </c>
      <c r="ID934" s="319" t="s">
        <v>190</v>
      </c>
      <c r="IE934" s="319" t="s">
        <v>190</v>
      </c>
      <c r="IF934" s="319" t="s">
        <v>190</v>
      </c>
      <c r="IG934" s="319" t="s">
        <v>190</v>
      </c>
      <c r="IH934" s="319" t="s">
        <v>190</v>
      </c>
      <c r="II934" s="319" t="s">
        <v>190</v>
      </c>
      <c r="IJ934" s="319" t="s">
        <v>173</v>
      </c>
      <c r="IK934" s="319" t="s">
        <v>173</v>
      </c>
      <c r="IL934" s="319" t="s">
        <v>173</v>
      </c>
      <c r="IM934" s="319" t="s">
        <v>173</v>
      </c>
      <c r="IN934" s="319" t="s">
        <v>173</v>
      </c>
      <c r="IO934" s="319" t="s">
        <v>173</v>
      </c>
      <c r="IP934" s="319" t="s">
        <v>173</v>
      </c>
      <c r="IQ934" s="321" t="s">
        <v>173</v>
      </c>
      <c r="IR934" s="320" t="s">
        <v>173</v>
      </c>
      <c r="IS934" s="322" t="s">
        <v>173</v>
      </c>
      <c r="IT934" s="319" t="s">
        <v>173</v>
      </c>
    </row>
    <row r="935" spans="1:254" s="271" customFormat="1" x14ac:dyDescent="0.25">
      <c r="A935" s="318" t="str">
        <f>HYPERLINK("http://www.ofsted.gov.uk/inspection-reports/find-inspection-report/provider/ELS/144857 ","Ofsted School Webpage")</f>
        <v>Ofsted School Webpage</v>
      </c>
      <c r="B935" s="319">
        <v>144857</v>
      </c>
      <c r="C935" s="319">
        <v>3826008</v>
      </c>
      <c r="D935" s="319" t="s">
        <v>2477</v>
      </c>
      <c r="E935" s="319" t="s">
        <v>167</v>
      </c>
      <c r="F935" s="319" t="s">
        <v>81</v>
      </c>
      <c r="G935" s="319" t="s">
        <v>81</v>
      </c>
      <c r="H935" s="319" t="s">
        <v>81</v>
      </c>
      <c r="I935" s="319" t="s">
        <v>78</v>
      </c>
      <c r="J935" s="319" t="s">
        <v>424</v>
      </c>
      <c r="K935" s="319" t="s">
        <v>458</v>
      </c>
      <c r="L935" s="319" t="s">
        <v>459</v>
      </c>
      <c r="M935" s="319" t="s">
        <v>682</v>
      </c>
      <c r="N935" s="319" t="s">
        <v>3155</v>
      </c>
      <c r="O935" s="319" t="s">
        <v>2478</v>
      </c>
      <c r="P935" s="319">
        <v>54</v>
      </c>
      <c r="Q935" s="319" t="s">
        <v>2766</v>
      </c>
      <c r="R935" s="320">
        <v>10044626</v>
      </c>
      <c r="S935" s="321">
        <v>43116</v>
      </c>
      <c r="T935" s="321">
        <v>43118</v>
      </c>
      <c r="U935" s="321">
        <v>43161</v>
      </c>
      <c r="V935" s="319" t="s">
        <v>435</v>
      </c>
      <c r="W935" s="319" t="s">
        <v>2767</v>
      </c>
      <c r="X935" s="319">
        <v>2</v>
      </c>
      <c r="Y935" s="319" t="s">
        <v>173</v>
      </c>
      <c r="Z935" s="319" t="s">
        <v>173</v>
      </c>
      <c r="AA935" s="319" t="s">
        <v>173</v>
      </c>
      <c r="AB935" s="319">
        <v>2</v>
      </c>
      <c r="AC935" s="319" t="s">
        <v>169</v>
      </c>
      <c r="AD935" s="319" t="s">
        <v>173</v>
      </c>
      <c r="AE935" s="319" t="s">
        <v>173</v>
      </c>
      <c r="AF935" s="319" t="s">
        <v>427</v>
      </c>
      <c r="AG935" s="319" t="s">
        <v>171</v>
      </c>
      <c r="AH935" s="319" t="s">
        <v>190</v>
      </c>
      <c r="AI935" s="319" t="s">
        <v>190</v>
      </c>
      <c r="AJ935" s="319" t="s">
        <v>190</v>
      </c>
      <c r="AK935" s="319" t="s">
        <v>190</v>
      </c>
      <c r="AL935" s="319" t="s">
        <v>190</v>
      </c>
      <c r="AM935" s="319" t="s">
        <v>190</v>
      </c>
      <c r="AN935" s="319" t="s">
        <v>190</v>
      </c>
      <c r="AO935" s="319" t="s">
        <v>190</v>
      </c>
      <c r="AP935" s="319" t="s">
        <v>190</v>
      </c>
      <c r="AQ935" s="319" t="s">
        <v>190</v>
      </c>
      <c r="AR935" s="319" t="s">
        <v>190</v>
      </c>
      <c r="AS935" s="319" t="s">
        <v>190</v>
      </c>
      <c r="AT935" s="319" t="s">
        <v>190</v>
      </c>
      <c r="AU935" s="319" t="s">
        <v>190</v>
      </c>
      <c r="AV935" s="319" t="s">
        <v>190</v>
      </c>
      <c r="AW935" s="319" t="s">
        <v>190</v>
      </c>
      <c r="AX935" s="319" t="s">
        <v>428</v>
      </c>
      <c r="AY935" s="319" t="s">
        <v>190</v>
      </c>
      <c r="AZ935" s="319" t="s">
        <v>190</v>
      </c>
      <c r="BA935" s="319" t="s">
        <v>190</v>
      </c>
      <c r="BB935" s="319" t="s">
        <v>190</v>
      </c>
      <c r="BC935" s="319" t="s">
        <v>190</v>
      </c>
      <c r="BD935" s="319" t="s">
        <v>190</v>
      </c>
      <c r="BE935" s="319" t="s">
        <v>190</v>
      </c>
      <c r="BF935" s="319" t="s">
        <v>428</v>
      </c>
      <c r="BG935" s="319" t="s">
        <v>428</v>
      </c>
      <c r="BH935" s="319" t="s">
        <v>190</v>
      </c>
      <c r="BI935" s="319" t="s">
        <v>190</v>
      </c>
      <c r="BJ935" s="319" t="s">
        <v>190</v>
      </c>
      <c r="BK935" s="319" t="s">
        <v>190</v>
      </c>
      <c r="BL935" s="319" t="s">
        <v>190</v>
      </c>
      <c r="BM935" s="319" t="s">
        <v>190</v>
      </c>
      <c r="BN935" s="319" t="s">
        <v>190</v>
      </c>
      <c r="BO935" s="319" t="s">
        <v>190</v>
      </c>
      <c r="BP935" s="319" t="s">
        <v>190</v>
      </c>
      <c r="BQ935" s="319" t="s">
        <v>190</v>
      </c>
      <c r="BR935" s="319" t="s">
        <v>190</v>
      </c>
      <c r="BS935" s="319" t="s">
        <v>190</v>
      </c>
      <c r="BT935" s="319" t="s">
        <v>190</v>
      </c>
      <c r="BU935" s="319" t="s">
        <v>190</v>
      </c>
      <c r="BV935" s="319" t="s">
        <v>190</v>
      </c>
      <c r="BW935" s="319" t="s">
        <v>190</v>
      </c>
      <c r="BX935" s="319" t="s">
        <v>190</v>
      </c>
      <c r="BY935" s="319" t="s">
        <v>190</v>
      </c>
      <c r="BZ935" s="319" t="s">
        <v>190</v>
      </c>
      <c r="CA935" s="319" t="s">
        <v>190</v>
      </c>
      <c r="CB935" s="319" t="s">
        <v>190</v>
      </c>
      <c r="CC935" s="319" t="s">
        <v>190</v>
      </c>
      <c r="CD935" s="319" t="s">
        <v>190</v>
      </c>
      <c r="CE935" s="319" t="s">
        <v>190</v>
      </c>
      <c r="CF935" s="319" t="s">
        <v>190</v>
      </c>
      <c r="CG935" s="319" t="s">
        <v>190</v>
      </c>
      <c r="CH935" s="319" t="s">
        <v>190</v>
      </c>
      <c r="CI935" s="319" t="s">
        <v>190</v>
      </c>
      <c r="CJ935" s="319" t="s">
        <v>190</v>
      </c>
      <c r="CK935" s="319" t="s">
        <v>190</v>
      </c>
      <c r="CL935" s="319" t="s">
        <v>190</v>
      </c>
      <c r="CM935" s="319" t="s">
        <v>190</v>
      </c>
      <c r="CN935" s="319" t="s">
        <v>428</v>
      </c>
      <c r="CO935" s="319" t="s">
        <v>428</v>
      </c>
      <c r="CP935" s="319" t="s">
        <v>428</v>
      </c>
      <c r="CQ935" s="319" t="s">
        <v>190</v>
      </c>
      <c r="CR935" s="319" t="s">
        <v>190</v>
      </c>
      <c r="CS935" s="319" t="s">
        <v>190</v>
      </c>
      <c r="CT935" s="319" t="s">
        <v>190</v>
      </c>
      <c r="CU935" s="319" t="s">
        <v>190</v>
      </c>
      <c r="CV935" s="319" t="s">
        <v>190</v>
      </c>
      <c r="CW935" s="319" t="s">
        <v>190</v>
      </c>
      <c r="CX935" s="319" t="s">
        <v>190</v>
      </c>
      <c r="CY935" s="319" t="s">
        <v>190</v>
      </c>
      <c r="CZ935" s="319" t="s">
        <v>190</v>
      </c>
      <c r="DA935" s="319" t="s">
        <v>190</v>
      </c>
      <c r="DB935" s="319" t="s">
        <v>190</v>
      </c>
      <c r="DC935" s="319" t="s">
        <v>190</v>
      </c>
      <c r="DD935" s="319" t="s">
        <v>190</v>
      </c>
      <c r="DE935" s="319" t="s">
        <v>190</v>
      </c>
      <c r="DF935" s="319" t="s">
        <v>190</v>
      </c>
      <c r="DG935" s="319" t="s">
        <v>190</v>
      </c>
      <c r="DH935" s="319" t="s">
        <v>190</v>
      </c>
      <c r="DI935" s="319" t="s">
        <v>190</v>
      </c>
      <c r="DJ935" s="319" t="s">
        <v>190</v>
      </c>
      <c r="DK935" s="319" t="s">
        <v>190</v>
      </c>
      <c r="DL935" s="319" t="s">
        <v>190</v>
      </c>
      <c r="DM935" s="319" t="s">
        <v>190</v>
      </c>
      <c r="DN935" s="319" t="s">
        <v>428</v>
      </c>
      <c r="DO935" s="319" t="s">
        <v>190</v>
      </c>
      <c r="DP935" s="319" t="s">
        <v>428</v>
      </c>
      <c r="DQ935" s="319" t="s">
        <v>428</v>
      </c>
      <c r="DR935" s="319" t="s">
        <v>428</v>
      </c>
      <c r="DS935" s="319" t="s">
        <v>428</v>
      </c>
      <c r="DT935" s="319" t="s">
        <v>428</v>
      </c>
      <c r="DU935" s="319" t="s">
        <v>428</v>
      </c>
      <c r="DV935" s="319" t="s">
        <v>173</v>
      </c>
      <c r="DW935" s="319" t="s">
        <v>428</v>
      </c>
      <c r="DX935" s="319" t="s">
        <v>428</v>
      </c>
      <c r="DY935" s="319" t="s">
        <v>428</v>
      </c>
      <c r="DZ935" s="319" t="s">
        <v>428</v>
      </c>
      <c r="EA935" s="319" t="s">
        <v>428</v>
      </c>
      <c r="EB935" s="319" t="s">
        <v>428</v>
      </c>
      <c r="EC935" s="319" t="s">
        <v>428</v>
      </c>
      <c r="ED935" s="319" t="s">
        <v>428</v>
      </c>
      <c r="EE935" s="319" t="s">
        <v>190</v>
      </c>
      <c r="EF935" s="319" t="s">
        <v>190</v>
      </c>
      <c r="EG935" s="319" t="s">
        <v>190</v>
      </c>
      <c r="EH935" s="319" t="s">
        <v>190</v>
      </c>
      <c r="EI935" s="319" t="s">
        <v>190</v>
      </c>
      <c r="EJ935" s="319" t="s">
        <v>190</v>
      </c>
      <c r="EK935" s="319" t="s">
        <v>190</v>
      </c>
      <c r="EL935" s="319" t="s">
        <v>190</v>
      </c>
      <c r="EM935" s="319" t="s">
        <v>190</v>
      </c>
      <c r="EN935" s="319" t="s">
        <v>190</v>
      </c>
      <c r="EO935" s="319" t="s">
        <v>190</v>
      </c>
      <c r="EP935" s="319" t="s">
        <v>190</v>
      </c>
      <c r="EQ935" s="319" t="s">
        <v>190</v>
      </c>
      <c r="ER935" s="319" t="s">
        <v>190</v>
      </c>
      <c r="ES935" s="319" t="s">
        <v>190</v>
      </c>
      <c r="ET935" s="319" t="s">
        <v>190</v>
      </c>
      <c r="EU935" s="319" t="s">
        <v>190</v>
      </c>
      <c r="EV935" s="319" t="s">
        <v>190</v>
      </c>
      <c r="EW935" s="319" t="s">
        <v>190</v>
      </c>
      <c r="EX935" s="319" t="s">
        <v>190</v>
      </c>
      <c r="EY935" s="319" t="s">
        <v>190</v>
      </c>
      <c r="EZ935" s="319" t="s">
        <v>190</v>
      </c>
      <c r="FA935" s="319" t="s">
        <v>428</v>
      </c>
      <c r="FB935" s="319" t="s">
        <v>428</v>
      </c>
      <c r="FC935" s="319" t="s">
        <v>428</v>
      </c>
      <c r="FD935" s="319" t="s">
        <v>428</v>
      </c>
      <c r="FE935" s="319" t="s">
        <v>428</v>
      </c>
      <c r="FF935" s="319" t="s">
        <v>428</v>
      </c>
      <c r="FG935" s="319" t="s">
        <v>428</v>
      </c>
      <c r="FH935" s="319" t="s">
        <v>190</v>
      </c>
      <c r="FI935" s="319" t="s">
        <v>190</v>
      </c>
      <c r="FJ935" s="319" t="s">
        <v>190</v>
      </c>
      <c r="FK935" s="319" t="s">
        <v>190</v>
      </c>
      <c r="FL935" s="319" t="s">
        <v>190</v>
      </c>
      <c r="FM935" s="319" t="s">
        <v>190</v>
      </c>
      <c r="FN935" s="319" t="s">
        <v>190</v>
      </c>
      <c r="FO935" s="319" t="s">
        <v>190</v>
      </c>
      <c r="FP935" s="319" t="s">
        <v>190</v>
      </c>
      <c r="FQ935" s="319" t="s">
        <v>190</v>
      </c>
      <c r="FR935" s="319" t="s">
        <v>190</v>
      </c>
      <c r="FS935" s="319" t="s">
        <v>428</v>
      </c>
      <c r="FT935" s="319" t="s">
        <v>190</v>
      </c>
      <c r="FU935" s="319" t="s">
        <v>190</v>
      </c>
      <c r="FV935" s="319" t="s">
        <v>190</v>
      </c>
      <c r="FW935" s="319" t="s">
        <v>190</v>
      </c>
      <c r="FX935" s="319" t="s">
        <v>190</v>
      </c>
      <c r="FY935" s="319" t="s">
        <v>190</v>
      </c>
      <c r="FZ935" s="319" t="s">
        <v>190</v>
      </c>
      <c r="GA935" s="319" t="s">
        <v>190</v>
      </c>
      <c r="GB935" s="319" t="s">
        <v>190</v>
      </c>
      <c r="GC935" s="319" t="s">
        <v>190</v>
      </c>
      <c r="GD935" s="319" t="s">
        <v>190</v>
      </c>
      <c r="GE935" s="319" t="s">
        <v>190</v>
      </c>
      <c r="GF935" s="319" t="s">
        <v>190</v>
      </c>
      <c r="GG935" s="319" t="s">
        <v>190</v>
      </c>
      <c r="GH935" s="319" t="s">
        <v>190</v>
      </c>
      <c r="GI935" s="319" t="s">
        <v>190</v>
      </c>
      <c r="GJ935" s="319" t="s">
        <v>190</v>
      </c>
      <c r="GK935" s="319" t="s">
        <v>428</v>
      </c>
      <c r="GL935" s="319" t="s">
        <v>190</v>
      </c>
      <c r="GM935" s="319" t="s">
        <v>190</v>
      </c>
      <c r="GN935" s="319" t="s">
        <v>190</v>
      </c>
      <c r="GO935" s="319" t="s">
        <v>190</v>
      </c>
      <c r="GP935" s="319" t="s">
        <v>190</v>
      </c>
      <c r="GQ935" s="319" t="s">
        <v>190</v>
      </c>
      <c r="GR935" s="319" t="s">
        <v>190</v>
      </c>
      <c r="GS935" s="319" t="s">
        <v>190</v>
      </c>
      <c r="GT935" s="319" t="s">
        <v>190</v>
      </c>
      <c r="GU935" s="319" t="s">
        <v>190</v>
      </c>
      <c r="GV935" s="319" t="s">
        <v>190</v>
      </c>
      <c r="GW935" s="319" t="s">
        <v>190</v>
      </c>
      <c r="GX935" s="319" t="s">
        <v>190</v>
      </c>
      <c r="GY935" s="319" t="s">
        <v>190</v>
      </c>
      <c r="GZ935" s="319" t="s">
        <v>190</v>
      </c>
      <c r="HA935" s="319" t="s">
        <v>190</v>
      </c>
      <c r="HB935" s="319" t="s">
        <v>190</v>
      </c>
      <c r="HC935" s="319" t="s">
        <v>190</v>
      </c>
      <c r="HD935" s="319" t="s">
        <v>190</v>
      </c>
      <c r="HE935" s="319" t="s">
        <v>190</v>
      </c>
      <c r="HF935" s="319" t="s">
        <v>190</v>
      </c>
      <c r="HG935" s="319" t="s">
        <v>190</v>
      </c>
      <c r="HH935" s="319" t="s">
        <v>190</v>
      </c>
      <c r="HI935" s="319" t="s">
        <v>428</v>
      </c>
      <c r="HJ935" s="319" t="s">
        <v>190</v>
      </c>
      <c r="HK935" s="319" t="s">
        <v>190</v>
      </c>
      <c r="HL935" s="319" t="s">
        <v>190</v>
      </c>
      <c r="HM935" s="319" t="s">
        <v>428</v>
      </c>
      <c r="HN935" s="319" t="s">
        <v>428</v>
      </c>
      <c r="HO935" s="319" t="s">
        <v>428</v>
      </c>
      <c r="HP935" s="319" t="s">
        <v>190</v>
      </c>
      <c r="HQ935" s="319" t="s">
        <v>190</v>
      </c>
      <c r="HR935" s="319" t="s">
        <v>190</v>
      </c>
      <c r="HS935" s="319" t="s">
        <v>190</v>
      </c>
      <c r="HT935" s="319" t="s">
        <v>190</v>
      </c>
      <c r="HU935" s="319" t="s">
        <v>190</v>
      </c>
      <c r="HV935" s="319" t="s">
        <v>190</v>
      </c>
      <c r="HW935" s="319" t="s">
        <v>190</v>
      </c>
      <c r="HX935" s="319" t="s">
        <v>190</v>
      </c>
      <c r="HY935" s="319" t="s">
        <v>190</v>
      </c>
      <c r="HZ935" s="319" t="s">
        <v>190</v>
      </c>
      <c r="IA935" s="319" t="s">
        <v>190</v>
      </c>
      <c r="IB935" s="319" t="s">
        <v>190</v>
      </c>
      <c r="IC935" s="319" t="s">
        <v>190</v>
      </c>
      <c r="ID935" s="319" t="s">
        <v>190</v>
      </c>
      <c r="IE935" s="319" t="s">
        <v>190</v>
      </c>
      <c r="IF935" s="319" t="s">
        <v>190</v>
      </c>
      <c r="IG935" s="319" t="s">
        <v>190</v>
      </c>
      <c r="IH935" s="319" t="s">
        <v>190</v>
      </c>
      <c r="II935" s="319" t="s">
        <v>190</v>
      </c>
      <c r="IJ935" s="319" t="s">
        <v>173</v>
      </c>
      <c r="IK935" s="319" t="s">
        <v>173</v>
      </c>
      <c r="IL935" s="319" t="s">
        <v>173</v>
      </c>
      <c r="IM935" s="319" t="s">
        <v>173</v>
      </c>
      <c r="IN935" s="319" t="s">
        <v>173</v>
      </c>
      <c r="IO935" s="319" t="s">
        <v>173</v>
      </c>
      <c r="IP935" s="319" t="s">
        <v>173</v>
      </c>
      <c r="IQ935" s="321" t="s">
        <v>173</v>
      </c>
      <c r="IR935" s="320" t="s">
        <v>173</v>
      </c>
      <c r="IS935" s="322" t="s">
        <v>173</v>
      </c>
      <c r="IT935" s="319" t="s">
        <v>173</v>
      </c>
    </row>
    <row r="936" spans="1:254" s="271" customFormat="1" x14ac:dyDescent="0.25">
      <c r="A936" s="318" t="str">
        <f>HYPERLINK("http://www.ofsted.gov.uk/inspection-reports/find-inspection-report/provider/ELS/144965 ","Ofsted School Webpage")</f>
        <v>Ofsted School Webpage</v>
      </c>
      <c r="B936" s="319">
        <v>144965</v>
      </c>
      <c r="C936" s="319">
        <v>2076014</v>
      </c>
      <c r="D936" s="319" t="s">
        <v>2479</v>
      </c>
      <c r="E936" s="319" t="s">
        <v>167</v>
      </c>
      <c r="F936" s="319" t="s">
        <v>81</v>
      </c>
      <c r="G936" s="319" t="s">
        <v>81</v>
      </c>
      <c r="H936" s="319" t="s">
        <v>81</v>
      </c>
      <c r="I936" s="319" t="s">
        <v>78</v>
      </c>
      <c r="J936" s="319" t="s">
        <v>424</v>
      </c>
      <c r="K936" s="319" t="s">
        <v>441</v>
      </c>
      <c r="L936" s="319" t="s">
        <v>441</v>
      </c>
      <c r="M936" s="319" t="s">
        <v>567</v>
      </c>
      <c r="N936" s="319" t="s">
        <v>2790</v>
      </c>
      <c r="O936" s="319" t="s">
        <v>2480</v>
      </c>
      <c r="P936" s="319">
        <v>42</v>
      </c>
      <c r="Q936" s="319" t="s">
        <v>2766</v>
      </c>
      <c r="R936" s="320">
        <v>10044423</v>
      </c>
      <c r="S936" s="321">
        <v>43221</v>
      </c>
      <c r="T936" s="321">
        <v>43223</v>
      </c>
      <c r="U936" s="321">
        <v>43264</v>
      </c>
      <c r="V936" s="319" t="s">
        <v>435</v>
      </c>
      <c r="W936" s="319" t="s">
        <v>2767</v>
      </c>
      <c r="X936" s="319">
        <v>1</v>
      </c>
      <c r="Y936" s="319" t="s">
        <v>173</v>
      </c>
      <c r="Z936" s="319" t="s">
        <v>173</v>
      </c>
      <c r="AA936" s="319" t="s">
        <v>173</v>
      </c>
      <c r="AB936" s="319">
        <v>1</v>
      </c>
      <c r="AC936" s="319" t="s">
        <v>169</v>
      </c>
      <c r="AD936" s="319" t="s">
        <v>173</v>
      </c>
      <c r="AE936" s="319" t="s">
        <v>173</v>
      </c>
      <c r="AF936" s="319" t="s">
        <v>427</v>
      </c>
      <c r="AG936" s="319" t="s">
        <v>171</v>
      </c>
      <c r="AH936" s="319" t="s">
        <v>190</v>
      </c>
      <c r="AI936" s="319" t="s">
        <v>190</v>
      </c>
      <c r="AJ936" s="319" t="s">
        <v>190</v>
      </c>
      <c r="AK936" s="319" t="s">
        <v>190</v>
      </c>
      <c r="AL936" s="319" t="s">
        <v>190</v>
      </c>
      <c r="AM936" s="319" t="s">
        <v>190</v>
      </c>
      <c r="AN936" s="319" t="s">
        <v>190</v>
      </c>
      <c r="AO936" s="319" t="s">
        <v>190</v>
      </c>
      <c r="AP936" s="319" t="s">
        <v>190</v>
      </c>
      <c r="AQ936" s="319" t="s">
        <v>190</v>
      </c>
      <c r="AR936" s="319" t="s">
        <v>190</v>
      </c>
      <c r="AS936" s="319" t="s">
        <v>190</v>
      </c>
      <c r="AT936" s="319" t="s">
        <v>190</v>
      </c>
      <c r="AU936" s="319" t="s">
        <v>190</v>
      </c>
      <c r="AV936" s="319" t="s">
        <v>190</v>
      </c>
      <c r="AW936" s="319" t="s">
        <v>190</v>
      </c>
      <c r="AX936" s="319" t="s">
        <v>428</v>
      </c>
      <c r="AY936" s="319" t="s">
        <v>190</v>
      </c>
      <c r="AZ936" s="319" t="s">
        <v>190</v>
      </c>
      <c r="BA936" s="319" t="s">
        <v>190</v>
      </c>
      <c r="BB936" s="319" t="s">
        <v>428</v>
      </c>
      <c r="BC936" s="319" t="s">
        <v>428</v>
      </c>
      <c r="BD936" s="319" t="s">
        <v>428</v>
      </c>
      <c r="BE936" s="319" t="s">
        <v>428</v>
      </c>
      <c r="BF936" s="319" t="s">
        <v>190</v>
      </c>
      <c r="BG936" s="319" t="s">
        <v>428</v>
      </c>
      <c r="BH936" s="319" t="s">
        <v>190</v>
      </c>
      <c r="BI936" s="319" t="s">
        <v>190</v>
      </c>
      <c r="BJ936" s="319" t="s">
        <v>190</v>
      </c>
      <c r="BK936" s="319" t="s">
        <v>190</v>
      </c>
      <c r="BL936" s="319" t="s">
        <v>190</v>
      </c>
      <c r="BM936" s="319" t="s">
        <v>190</v>
      </c>
      <c r="BN936" s="319" t="s">
        <v>190</v>
      </c>
      <c r="BO936" s="319" t="s">
        <v>190</v>
      </c>
      <c r="BP936" s="319" t="s">
        <v>190</v>
      </c>
      <c r="BQ936" s="319" t="s">
        <v>190</v>
      </c>
      <c r="BR936" s="319" t="s">
        <v>190</v>
      </c>
      <c r="BS936" s="319" t="s">
        <v>190</v>
      </c>
      <c r="BT936" s="319" t="s">
        <v>190</v>
      </c>
      <c r="BU936" s="319" t="s">
        <v>190</v>
      </c>
      <c r="BV936" s="319" t="s">
        <v>190</v>
      </c>
      <c r="BW936" s="319" t="s">
        <v>190</v>
      </c>
      <c r="BX936" s="319" t="s">
        <v>190</v>
      </c>
      <c r="BY936" s="319" t="s">
        <v>190</v>
      </c>
      <c r="BZ936" s="319" t="s">
        <v>190</v>
      </c>
      <c r="CA936" s="319" t="s">
        <v>190</v>
      </c>
      <c r="CB936" s="319" t="s">
        <v>190</v>
      </c>
      <c r="CC936" s="319" t="s">
        <v>190</v>
      </c>
      <c r="CD936" s="319" t="s">
        <v>190</v>
      </c>
      <c r="CE936" s="319" t="s">
        <v>190</v>
      </c>
      <c r="CF936" s="319" t="s">
        <v>190</v>
      </c>
      <c r="CG936" s="319" t="s">
        <v>190</v>
      </c>
      <c r="CH936" s="319" t="s">
        <v>190</v>
      </c>
      <c r="CI936" s="319" t="s">
        <v>190</v>
      </c>
      <c r="CJ936" s="319" t="s">
        <v>190</v>
      </c>
      <c r="CK936" s="319" t="s">
        <v>190</v>
      </c>
      <c r="CL936" s="319" t="s">
        <v>190</v>
      </c>
      <c r="CM936" s="319" t="s">
        <v>190</v>
      </c>
      <c r="CN936" s="319" t="s">
        <v>428</v>
      </c>
      <c r="CO936" s="319" t="s">
        <v>428</v>
      </c>
      <c r="CP936" s="319" t="s">
        <v>428</v>
      </c>
      <c r="CQ936" s="319" t="s">
        <v>190</v>
      </c>
      <c r="CR936" s="319" t="s">
        <v>190</v>
      </c>
      <c r="CS936" s="319" t="s">
        <v>190</v>
      </c>
      <c r="CT936" s="319" t="s">
        <v>190</v>
      </c>
      <c r="CU936" s="319" t="s">
        <v>190</v>
      </c>
      <c r="CV936" s="319" t="s">
        <v>190</v>
      </c>
      <c r="CW936" s="319" t="s">
        <v>190</v>
      </c>
      <c r="CX936" s="319" t="s">
        <v>190</v>
      </c>
      <c r="CY936" s="319" t="s">
        <v>190</v>
      </c>
      <c r="CZ936" s="319" t="s">
        <v>190</v>
      </c>
      <c r="DA936" s="319" t="s">
        <v>190</v>
      </c>
      <c r="DB936" s="319" t="s">
        <v>190</v>
      </c>
      <c r="DC936" s="319" t="s">
        <v>190</v>
      </c>
      <c r="DD936" s="319" t="s">
        <v>190</v>
      </c>
      <c r="DE936" s="319" t="s">
        <v>190</v>
      </c>
      <c r="DF936" s="319" t="s">
        <v>190</v>
      </c>
      <c r="DG936" s="319" t="s">
        <v>190</v>
      </c>
      <c r="DH936" s="319" t="s">
        <v>190</v>
      </c>
      <c r="DI936" s="319" t="s">
        <v>190</v>
      </c>
      <c r="DJ936" s="319" t="s">
        <v>190</v>
      </c>
      <c r="DK936" s="319" t="s">
        <v>190</v>
      </c>
      <c r="DL936" s="319" t="s">
        <v>190</v>
      </c>
      <c r="DM936" s="319" t="s">
        <v>190</v>
      </c>
      <c r="DN936" s="319" t="s">
        <v>428</v>
      </c>
      <c r="DO936" s="319" t="s">
        <v>190</v>
      </c>
      <c r="DP936" s="319" t="s">
        <v>428</v>
      </c>
      <c r="DQ936" s="319" t="s">
        <v>428</v>
      </c>
      <c r="DR936" s="319" t="s">
        <v>428</v>
      </c>
      <c r="DS936" s="319" t="s">
        <v>428</v>
      </c>
      <c r="DT936" s="319" t="s">
        <v>428</v>
      </c>
      <c r="DU936" s="319" t="s">
        <v>428</v>
      </c>
      <c r="DV936" s="319" t="s">
        <v>173</v>
      </c>
      <c r="DW936" s="319" t="s">
        <v>428</v>
      </c>
      <c r="DX936" s="319" t="s">
        <v>428</v>
      </c>
      <c r="DY936" s="319" t="s">
        <v>428</v>
      </c>
      <c r="DZ936" s="319" t="s">
        <v>428</v>
      </c>
      <c r="EA936" s="319" t="s">
        <v>428</v>
      </c>
      <c r="EB936" s="319" t="s">
        <v>428</v>
      </c>
      <c r="EC936" s="319" t="s">
        <v>428</v>
      </c>
      <c r="ED936" s="319" t="s">
        <v>190</v>
      </c>
      <c r="EE936" s="319" t="s">
        <v>190</v>
      </c>
      <c r="EF936" s="319" t="s">
        <v>190</v>
      </c>
      <c r="EG936" s="319" t="s">
        <v>190</v>
      </c>
      <c r="EH936" s="319" t="s">
        <v>190</v>
      </c>
      <c r="EI936" s="319" t="s">
        <v>190</v>
      </c>
      <c r="EJ936" s="319" t="s">
        <v>190</v>
      </c>
      <c r="EK936" s="319" t="s">
        <v>190</v>
      </c>
      <c r="EL936" s="319" t="s">
        <v>190</v>
      </c>
      <c r="EM936" s="319" t="s">
        <v>190</v>
      </c>
      <c r="EN936" s="319" t="s">
        <v>190</v>
      </c>
      <c r="EO936" s="319" t="s">
        <v>190</v>
      </c>
      <c r="EP936" s="319" t="s">
        <v>190</v>
      </c>
      <c r="EQ936" s="319" t="s">
        <v>190</v>
      </c>
      <c r="ER936" s="319" t="s">
        <v>190</v>
      </c>
      <c r="ES936" s="319" t="s">
        <v>190</v>
      </c>
      <c r="ET936" s="319" t="s">
        <v>190</v>
      </c>
      <c r="EU936" s="319" t="s">
        <v>190</v>
      </c>
      <c r="EV936" s="319" t="s">
        <v>190</v>
      </c>
      <c r="EW936" s="319" t="s">
        <v>190</v>
      </c>
      <c r="EX936" s="319" t="s">
        <v>190</v>
      </c>
      <c r="EY936" s="319" t="s">
        <v>190</v>
      </c>
      <c r="EZ936" s="319" t="s">
        <v>190</v>
      </c>
      <c r="FA936" s="319" t="s">
        <v>190</v>
      </c>
      <c r="FB936" s="319" t="s">
        <v>428</v>
      </c>
      <c r="FC936" s="319" t="s">
        <v>428</v>
      </c>
      <c r="FD936" s="319" t="s">
        <v>428</v>
      </c>
      <c r="FE936" s="319" t="s">
        <v>428</v>
      </c>
      <c r="FF936" s="319" t="s">
        <v>428</v>
      </c>
      <c r="FG936" s="319" t="s">
        <v>428</v>
      </c>
      <c r="FH936" s="319" t="s">
        <v>190</v>
      </c>
      <c r="FI936" s="319" t="s">
        <v>190</v>
      </c>
      <c r="FJ936" s="319" t="s">
        <v>190</v>
      </c>
      <c r="FK936" s="319" t="s">
        <v>190</v>
      </c>
      <c r="FL936" s="319" t="s">
        <v>190</v>
      </c>
      <c r="FM936" s="319" t="s">
        <v>190</v>
      </c>
      <c r="FN936" s="319" t="s">
        <v>190</v>
      </c>
      <c r="FO936" s="319" t="s">
        <v>428</v>
      </c>
      <c r="FP936" s="319" t="s">
        <v>190</v>
      </c>
      <c r="FQ936" s="319" t="s">
        <v>190</v>
      </c>
      <c r="FR936" s="319" t="s">
        <v>190</v>
      </c>
      <c r="FS936" s="319" t="s">
        <v>428</v>
      </c>
      <c r="FT936" s="319" t="s">
        <v>190</v>
      </c>
      <c r="FU936" s="319" t="s">
        <v>190</v>
      </c>
      <c r="FV936" s="319" t="s">
        <v>190</v>
      </c>
      <c r="FW936" s="319" t="s">
        <v>190</v>
      </c>
      <c r="FX936" s="319" t="s">
        <v>190</v>
      </c>
      <c r="FY936" s="319" t="s">
        <v>190</v>
      </c>
      <c r="FZ936" s="319" t="s">
        <v>190</v>
      </c>
      <c r="GA936" s="319" t="s">
        <v>190</v>
      </c>
      <c r="GB936" s="319" t="s">
        <v>190</v>
      </c>
      <c r="GC936" s="319" t="s">
        <v>190</v>
      </c>
      <c r="GD936" s="319" t="s">
        <v>190</v>
      </c>
      <c r="GE936" s="319" t="s">
        <v>190</v>
      </c>
      <c r="GF936" s="319" t="s">
        <v>190</v>
      </c>
      <c r="GG936" s="319" t="s">
        <v>190</v>
      </c>
      <c r="GH936" s="319" t="s">
        <v>190</v>
      </c>
      <c r="GI936" s="319" t="s">
        <v>190</v>
      </c>
      <c r="GJ936" s="319" t="s">
        <v>190</v>
      </c>
      <c r="GK936" s="319" t="s">
        <v>428</v>
      </c>
      <c r="GL936" s="319" t="s">
        <v>190</v>
      </c>
      <c r="GM936" s="319" t="s">
        <v>190</v>
      </c>
      <c r="GN936" s="319" t="s">
        <v>190</v>
      </c>
      <c r="GO936" s="319" t="s">
        <v>190</v>
      </c>
      <c r="GP936" s="319" t="s">
        <v>190</v>
      </c>
      <c r="GQ936" s="319" t="s">
        <v>428</v>
      </c>
      <c r="GR936" s="319" t="s">
        <v>190</v>
      </c>
      <c r="GS936" s="319" t="s">
        <v>190</v>
      </c>
      <c r="GT936" s="319" t="s">
        <v>428</v>
      </c>
      <c r="GU936" s="319" t="s">
        <v>428</v>
      </c>
      <c r="GV936" s="319" t="s">
        <v>190</v>
      </c>
      <c r="GW936" s="319" t="s">
        <v>190</v>
      </c>
      <c r="GX936" s="319" t="s">
        <v>190</v>
      </c>
      <c r="GY936" s="319" t="s">
        <v>190</v>
      </c>
      <c r="GZ936" s="319" t="s">
        <v>190</v>
      </c>
      <c r="HA936" s="319" t="s">
        <v>190</v>
      </c>
      <c r="HB936" s="319" t="s">
        <v>190</v>
      </c>
      <c r="HC936" s="319" t="s">
        <v>190</v>
      </c>
      <c r="HD936" s="319" t="s">
        <v>190</v>
      </c>
      <c r="HE936" s="319" t="s">
        <v>190</v>
      </c>
      <c r="HF936" s="319" t="s">
        <v>190</v>
      </c>
      <c r="HG936" s="319" t="s">
        <v>190</v>
      </c>
      <c r="HH936" s="319" t="s">
        <v>190</v>
      </c>
      <c r="HI936" s="319" t="s">
        <v>190</v>
      </c>
      <c r="HJ936" s="319" t="s">
        <v>190</v>
      </c>
      <c r="HK936" s="319" t="s">
        <v>190</v>
      </c>
      <c r="HL936" s="319" t="s">
        <v>428</v>
      </c>
      <c r="HM936" s="319" t="s">
        <v>428</v>
      </c>
      <c r="HN936" s="319" t="s">
        <v>428</v>
      </c>
      <c r="HO936" s="319" t="s">
        <v>428</v>
      </c>
      <c r="HP936" s="319" t="s">
        <v>190</v>
      </c>
      <c r="HQ936" s="319" t="s">
        <v>190</v>
      </c>
      <c r="HR936" s="319" t="s">
        <v>190</v>
      </c>
      <c r="HS936" s="319" t="s">
        <v>190</v>
      </c>
      <c r="HT936" s="319" t="s">
        <v>190</v>
      </c>
      <c r="HU936" s="319" t="s">
        <v>190</v>
      </c>
      <c r="HV936" s="319" t="s">
        <v>190</v>
      </c>
      <c r="HW936" s="319" t="s">
        <v>190</v>
      </c>
      <c r="HX936" s="319" t="s">
        <v>190</v>
      </c>
      <c r="HY936" s="319" t="s">
        <v>190</v>
      </c>
      <c r="HZ936" s="319" t="s">
        <v>190</v>
      </c>
      <c r="IA936" s="319" t="s">
        <v>190</v>
      </c>
      <c r="IB936" s="319" t="s">
        <v>190</v>
      </c>
      <c r="IC936" s="319" t="s">
        <v>190</v>
      </c>
      <c r="ID936" s="319" t="s">
        <v>190</v>
      </c>
      <c r="IE936" s="319" t="s">
        <v>190</v>
      </c>
      <c r="IF936" s="319" t="s">
        <v>190</v>
      </c>
      <c r="IG936" s="319" t="s">
        <v>190</v>
      </c>
      <c r="IH936" s="319" t="s">
        <v>190</v>
      </c>
      <c r="II936" s="319" t="s">
        <v>190</v>
      </c>
      <c r="IJ936" s="319" t="s">
        <v>173</v>
      </c>
      <c r="IK936" s="319" t="s">
        <v>173</v>
      </c>
      <c r="IL936" s="319" t="s">
        <v>173</v>
      </c>
      <c r="IM936" s="319" t="s">
        <v>173</v>
      </c>
      <c r="IN936" s="319" t="s">
        <v>173</v>
      </c>
      <c r="IO936" s="319" t="s">
        <v>173</v>
      </c>
      <c r="IP936" s="319" t="s">
        <v>173</v>
      </c>
      <c r="IQ936" s="321" t="s">
        <v>173</v>
      </c>
      <c r="IR936" s="320" t="s">
        <v>173</v>
      </c>
      <c r="IS936" s="322" t="s">
        <v>173</v>
      </c>
      <c r="IT936" s="319" t="s">
        <v>173</v>
      </c>
    </row>
    <row r="937" spans="1:254" s="271" customFormat="1" x14ac:dyDescent="0.25">
      <c r="A937" s="318" t="str">
        <f>HYPERLINK("http://www.ofsted.gov.uk/inspection-reports/find-inspection-report/provider/ELS/144966 ","Ofsted School Webpage")</f>
        <v>Ofsted School Webpage</v>
      </c>
      <c r="B937" s="319">
        <v>144966</v>
      </c>
      <c r="C937" s="319">
        <v>9376014</v>
      </c>
      <c r="D937" s="319" t="s">
        <v>436</v>
      </c>
      <c r="E937" s="319" t="s">
        <v>168</v>
      </c>
      <c r="F937" s="319" t="s">
        <v>81</v>
      </c>
      <c r="G937" s="319" t="s">
        <v>81</v>
      </c>
      <c r="H937" s="319" t="s">
        <v>81</v>
      </c>
      <c r="I937" s="319" t="s">
        <v>78</v>
      </c>
      <c r="J937" s="319" t="s">
        <v>424</v>
      </c>
      <c r="K937" s="319" t="s">
        <v>437</v>
      </c>
      <c r="L937" s="319" t="s">
        <v>437</v>
      </c>
      <c r="M937" s="319" t="s">
        <v>438</v>
      </c>
      <c r="N937" s="319" t="s">
        <v>3230</v>
      </c>
      <c r="O937" s="319" t="s">
        <v>439</v>
      </c>
      <c r="P937" s="319">
        <v>5</v>
      </c>
      <c r="Q937" s="319" t="s">
        <v>429</v>
      </c>
      <c r="R937" s="320">
        <v>10052718</v>
      </c>
      <c r="S937" s="321">
        <v>43354</v>
      </c>
      <c r="T937" s="321">
        <v>43356</v>
      </c>
      <c r="U937" s="321">
        <v>43376</v>
      </c>
      <c r="V937" s="319" t="s">
        <v>435</v>
      </c>
      <c r="W937" s="319" t="s">
        <v>2767</v>
      </c>
      <c r="X937" s="319">
        <v>2</v>
      </c>
      <c r="Y937" s="319" t="s">
        <v>173</v>
      </c>
      <c r="Z937" s="319" t="s">
        <v>173</v>
      </c>
      <c r="AA937" s="319" t="s">
        <v>173</v>
      </c>
      <c r="AB937" s="319">
        <v>2</v>
      </c>
      <c r="AC937" s="319" t="s">
        <v>169</v>
      </c>
      <c r="AD937" s="319" t="s">
        <v>173</v>
      </c>
      <c r="AE937" s="319" t="s">
        <v>173</v>
      </c>
      <c r="AF937" s="319" t="s">
        <v>427</v>
      </c>
      <c r="AG937" s="319" t="s">
        <v>171</v>
      </c>
      <c r="AH937" s="319" t="s">
        <v>190</v>
      </c>
      <c r="AI937" s="319" t="s">
        <v>190</v>
      </c>
      <c r="AJ937" s="319" t="s">
        <v>190</v>
      </c>
      <c r="AK937" s="319" t="s">
        <v>190</v>
      </c>
      <c r="AL937" s="319" t="s">
        <v>190</v>
      </c>
      <c r="AM937" s="319" t="s">
        <v>190</v>
      </c>
      <c r="AN937" s="319" t="s">
        <v>190</v>
      </c>
      <c r="AO937" s="319" t="s">
        <v>190</v>
      </c>
      <c r="AP937" s="319" t="s">
        <v>190</v>
      </c>
      <c r="AQ937" s="319" t="s">
        <v>190</v>
      </c>
      <c r="AR937" s="319" t="s">
        <v>190</v>
      </c>
      <c r="AS937" s="319" t="s">
        <v>190</v>
      </c>
      <c r="AT937" s="319" t="s">
        <v>190</v>
      </c>
      <c r="AU937" s="319" t="s">
        <v>190</v>
      </c>
      <c r="AV937" s="319" t="s">
        <v>190</v>
      </c>
      <c r="AW937" s="319" t="s">
        <v>190</v>
      </c>
      <c r="AX937" s="319" t="s">
        <v>428</v>
      </c>
      <c r="AY937" s="319" t="s">
        <v>190</v>
      </c>
      <c r="AZ937" s="319" t="s">
        <v>190</v>
      </c>
      <c r="BA937" s="319" t="s">
        <v>190</v>
      </c>
      <c r="BB937" s="319" t="s">
        <v>190</v>
      </c>
      <c r="BC937" s="319" t="s">
        <v>190</v>
      </c>
      <c r="BD937" s="319" t="s">
        <v>190</v>
      </c>
      <c r="BE937" s="319" t="s">
        <v>190</v>
      </c>
      <c r="BF937" s="319" t="s">
        <v>428</v>
      </c>
      <c r="BG937" s="319" t="s">
        <v>190</v>
      </c>
      <c r="BH937" s="319" t="s">
        <v>190</v>
      </c>
      <c r="BI937" s="319" t="s">
        <v>190</v>
      </c>
      <c r="BJ937" s="319" t="s">
        <v>190</v>
      </c>
      <c r="BK937" s="319" t="s">
        <v>190</v>
      </c>
      <c r="BL937" s="319" t="s">
        <v>190</v>
      </c>
      <c r="BM937" s="319" t="s">
        <v>190</v>
      </c>
      <c r="BN937" s="319" t="s">
        <v>190</v>
      </c>
      <c r="BO937" s="319" t="s">
        <v>190</v>
      </c>
      <c r="BP937" s="319" t="s">
        <v>190</v>
      </c>
      <c r="BQ937" s="319" t="s">
        <v>190</v>
      </c>
      <c r="BR937" s="319" t="s">
        <v>190</v>
      </c>
      <c r="BS937" s="319" t="s">
        <v>190</v>
      </c>
      <c r="BT937" s="319" t="s">
        <v>190</v>
      </c>
      <c r="BU937" s="319" t="s">
        <v>190</v>
      </c>
      <c r="BV937" s="319" t="s">
        <v>190</v>
      </c>
      <c r="BW937" s="319" t="s">
        <v>190</v>
      </c>
      <c r="BX937" s="319" t="s">
        <v>190</v>
      </c>
      <c r="BY937" s="319" t="s">
        <v>190</v>
      </c>
      <c r="BZ937" s="319" t="s">
        <v>190</v>
      </c>
      <c r="CA937" s="319" t="s">
        <v>190</v>
      </c>
      <c r="CB937" s="319" t="s">
        <v>190</v>
      </c>
      <c r="CC937" s="319" t="s">
        <v>190</v>
      </c>
      <c r="CD937" s="319" t="s">
        <v>190</v>
      </c>
      <c r="CE937" s="319" t="s">
        <v>190</v>
      </c>
      <c r="CF937" s="319" t="s">
        <v>190</v>
      </c>
      <c r="CG937" s="319" t="s">
        <v>190</v>
      </c>
      <c r="CH937" s="319" t="s">
        <v>190</v>
      </c>
      <c r="CI937" s="319" t="s">
        <v>190</v>
      </c>
      <c r="CJ937" s="319" t="s">
        <v>190</v>
      </c>
      <c r="CK937" s="319" t="s">
        <v>190</v>
      </c>
      <c r="CL937" s="319" t="s">
        <v>190</v>
      </c>
      <c r="CM937" s="319" t="s">
        <v>190</v>
      </c>
      <c r="CN937" s="319" t="s">
        <v>428</v>
      </c>
      <c r="CO937" s="319" t="s">
        <v>428</v>
      </c>
      <c r="CP937" s="319" t="s">
        <v>428</v>
      </c>
      <c r="CQ937" s="319" t="s">
        <v>190</v>
      </c>
      <c r="CR937" s="319" t="s">
        <v>190</v>
      </c>
      <c r="CS937" s="319" t="s">
        <v>190</v>
      </c>
      <c r="CT937" s="319" t="s">
        <v>190</v>
      </c>
      <c r="CU937" s="319" t="s">
        <v>190</v>
      </c>
      <c r="CV937" s="319" t="s">
        <v>190</v>
      </c>
      <c r="CW937" s="319" t="s">
        <v>190</v>
      </c>
      <c r="CX937" s="319" t="s">
        <v>190</v>
      </c>
      <c r="CY937" s="319" t="s">
        <v>190</v>
      </c>
      <c r="CZ937" s="319" t="s">
        <v>190</v>
      </c>
      <c r="DA937" s="319" t="s">
        <v>190</v>
      </c>
      <c r="DB937" s="319" t="s">
        <v>190</v>
      </c>
      <c r="DC937" s="319" t="s">
        <v>190</v>
      </c>
      <c r="DD937" s="319" t="s">
        <v>190</v>
      </c>
      <c r="DE937" s="319" t="s">
        <v>190</v>
      </c>
      <c r="DF937" s="319" t="s">
        <v>190</v>
      </c>
      <c r="DG937" s="319" t="s">
        <v>190</v>
      </c>
      <c r="DH937" s="319" t="s">
        <v>190</v>
      </c>
      <c r="DI937" s="319" t="s">
        <v>190</v>
      </c>
      <c r="DJ937" s="319" t="s">
        <v>190</v>
      </c>
      <c r="DK937" s="319" t="s">
        <v>190</v>
      </c>
      <c r="DL937" s="319" t="s">
        <v>190</v>
      </c>
      <c r="DM937" s="319" t="s">
        <v>190</v>
      </c>
      <c r="DN937" s="319" t="s">
        <v>428</v>
      </c>
      <c r="DO937" s="319" t="s">
        <v>190</v>
      </c>
      <c r="DP937" s="319" t="s">
        <v>190</v>
      </c>
      <c r="DQ937" s="319" t="s">
        <v>190</v>
      </c>
      <c r="DR937" s="319" t="s">
        <v>190</v>
      </c>
      <c r="DS937" s="319" t="s">
        <v>190</v>
      </c>
      <c r="DT937" s="319" t="s">
        <v>190</v>
      </c>
      <c r="DU937" s="319" t="s">
        <v>190</v>
      </c>
      <c r="DV937" s="319" t="s">
        <v>173</v>
      </c>
      <c r="DW937" s="319" t="s">
        <v>190</v>
      </c>
      <c r="DX937" s="319" t="s">
        <v>190</v>
      </c>
      <c r="DY937" s="319" t="s">
        <v>190</v>
      </c>
      <c r="DZ937" s="319" t="s">
        <v>190</v>
      </c>
      <c r="EA937" s="319" t="s">
        <v>190</v>
      </c>
      <c r="EB937" s="319" t="s">
        <v>190</v>
      </c>
      <c r="EC937" s="319" t="s">
        <v>428</v>
      </c>
      <c r="ED937" s="319" t="s">
        <v>190</v>
      </c>
      <c r="EE937" s="319" t="s">
        <v>190</v>
      </c>
      <c r="EF937" s="319" t="s">
        <v>190</v>
      </c>
      <c r="EG937" s="319" t="s">
        <v>190</v>
      </c>
      <c r="EH937" s="319" t="s">
        <v>190</v>
      </c>
      <c r="EI937" s="319" t="s">
        <v>190</v>
      </c>
      <c r="EJ937" s="319" t="s">
        <v>190</v>
      </c>
      <c r="EK937" s="319" t="s">
        <v>190</v>
      </c>
      <c r="EL937" s="319" t="s">
        <v>190</v>
      </c>
      <c r="EM937" s="319" t="s">
        <v>190</v>
      </c>
      <c r="EN937" s="319" t="s">
        <v>190</v>
      </c>
      <c r="EO937" s="319" t="s">
        <v>190</v>
      </c>
      <c r="EP937" s="319" t="s">
        <v>190</v>
      </c>
      <c r="EQ937" s="319" t="s">
        <v>190</v>
      </c>
      <c r="ER937" s="319" t="s">
        <v>190</v>
      </c>
      <c r="ES937" s="319" t="s">
        <v>190</v>
      </c>
      <c r="ET937" s="319" t="s">
        <v>190</v>
      </c>
      <c r="EU937" s="319" t="s">
        <v>190</v>
      </c>
      <c r="EV937" s="319" t="s">
        <v>190</v>
      </c>
      <c r="EW937" s="319" t="s">
        <v>190</v>
      </c>
      <c r="EX937" s="319" t="s">
        <v>190</v>
      </c>
      <c r="EY937" s="319" t="s">
        <v>190</v>
      </c>
      <c r="EZ937" s="319" t="s">
        <v>190</v>
      </c>
      <c r="FA937" s="319" t="s">
        <v>428</v>
      </c>
      <c r="FB937" s="319" t="s">
        <v>190</v>
      </c>
      <c r="FC937" s="319" t="s">
        <v>190</v>
      </c>
      <c r="FD937" s="319" t="s">
        <v>190</v>
      </c>
      <c r="FE937" s="319" t="s">
        <v>190</v>
      </c>
      <c r="FF937" s="319" t="s">
        <v>190</v>
      </c>
      <c r="FG937" s="319" t="s">
        <v>190</v>
      </c>
      <c r="FH937" s="319" t="s">
        <v>190</v>
      </c>
      <c r="FI937" s="319" t="s">
        <v>190</v>
      </c>
      <c r="FJ937" s="319" t="s">
        <v>190</v>
      </c>
      <c r="FK937" s="319" t="s">
        <v>190</v>
      </c>
      <c r="FL937" s="319" t="s">
        <v>190</v>
      </c>
      <c r="FM937" s="319" t="s">
        <v>190</v>
      </c>
      <c r="FN937" s="319" t="s">
        <v>190</v>
      </c>
      <c r="FO937" s="319" t="s">
        <v>190</v>
      </c>
      <c r="FP937" s="319" t="s">
        <v>190</v>
      </c>
      <c r="FQ937" s="319" t="s">
        <v>190</v>
      </c>
      <c r="FR937" s="319" t="s">
        <v>190</v>
      </c>
      <c r="FS937" s="319" t="s">
        <v>428</v>
      </c>
      <c r="FT937" s="319" t="s">
        <v>190</v>
      </c>
      <c r="FU937" s="319" t="s">
        <v>190</v>
      </c>
      <c r="FV937" s="319" t="s">
        <v>190</v>
      </c>
      <c r="FW937" s="319" t="s">
        <v>190</v>
      </c>
      <c r="FX937" s="319" t="s">
        <v>190</v>
      </c>
      <c r="FY937" s="319" t="s">
        <v>190</v>
      </c>
      <c r="FZ937" s="319" t="s">
        <v>190</v>
      </c>
      <c r="GA937" s="319" t="s">
        <v>190</v>
      </c>
      <c r="GB937" s="319" t="s">
        <v>190</v>
      </c>
      <c r="GC937" s="319" t="s">
        <v>190</v>
      </c>
      <c r="GD937" s="319" t="s">
        <v>190</v>
      </c>
      <c r="GE937" s="319" t="s">
        <v>190</v>
      </c>
      <c r="GF937" s="319" t="s">
        <v>190</v>
      </c>
      <c r="GG937" s="319" t="s">
        <v>190</v>
      </c>
      <c r="GH937" s="319" t="s">
        <v>190</v>
      </c>
      <c r="GI937" s="319" t="s">
        <v>190</v>
      </c>
      <c r="GJ937" s="319" t="s">
        <v>190</v>
      </c>
      <c r="GK937" s="319" t="s">
        <v>428</v>
      </c>
      <c r="GL937" s="319" t="s">
        <v>190</v>
      </c>
      <c r="GM937" s="319" t="s">
        <v>190</v>
      </c>
      <c r="GN937" s="319" t="s">
        <v>190</v>
      </c>
      <c r="GO937" s="319" t="s">
        <v>190</v>
      </c>
      <c r="GP937" s="319" t="s">
        <v>190</v>
      </c>
      <c r="GQ937" s="319" t="s">
        <v>190</v>
      </c>
      <c r="GR937" s="319" t="s">
        <v>190</v>
      </c>
      <c r="GS937" s="319" t="s">
        <v>190</v>
      </c>
      <c r="GT937" s="319" t="s">
        <v>190</v>
      </c>
      <c r="GU937" s="319" t="s">
        <v>190</v>
      </c>
      <c r="GV937" s="319" t="s">
        <v>190</v>
      </c>
      <c r="GW937" s="319" t="s">
        <v>190</v>
      </c>
      <c r="GX937" s="319" t="s">
        <v>190</v>
      </c>
      <c r="GY937" s="319" t="s">
        <v>190</v>
      </c>
      <c r="GZ937" s="319" t="s">
        <v>428</v>
      </c>
      <c r="HA937" s="319" t="s">
        <v>190</v>
      </c>
      <c r="HB937" s="319" t="s">
        <v>428</v>
      </c>
      <c r="HC937" s="319" t="s">
        <v>190</v>
      </c>
      <c r="HD937" s="319" t="s">
        <v>190</v>
      </c>
      <c r="HE937" s="319" t="s">
        <v>190</v>
      </c>
      <c r="HF937" s="319" t="s">
        <v>190</v>
      </c>
      <c r="HG937" s="319" t="s">
        <v>190</v>
      </c>
      <c r="HH937" s="319" t="s">
        <v>190</v>
      </c>
      <c r="HI937" s="319" t="s">
        <v>190</v>
      </c>
      <c r="HJ937" s="319" t="s">
        <v>190</v>
      </c>
      <c r="HK937" s="319" t="s">
        <v>190</v>
      </c>
      <c r="HL937" s="319" t="s">
        <v>428</v>
      </c>
      <c r="HM937" s="319" t="s">
        <v>428</v>
      </c>
      <c r="HN937" s="319" t="s">
        <v>428</v>
      </c>
      <c r="HO937" s="319" t="s">
        <v>428</v>
      </c>
      <c r="HP937" s="319" t="s">
        <v>190</v>
      </c>
      <c r="HQ937" s="319" t="s">
        <v>190</v>
      </c>
      <c r="HR937" s="319" t="s">
        <v>190</v>
      </c>
      <c r="HS937" s="319" t="s">
        <v>190</v>
      </c>
      <c r="HT937" s="319" t="s">
        <v>190</v>
      </c>
      <c r="HU937" s="319" t="s">
        <v>190</v>
      </c>
      <c r="HV937" s="319" t="s">
        <v>190</v>
      </c>
      <c r="HW937" s="319" t="s">
        <v>190</v>
      </c>
      <c r="HX937" s="319" t="s">
        <v>190</v>
      </c>
      <c r="HY937" s="319" t="s">
        <v>190</v>
      </c>
      <c r="HZ937" s="319" t="s">
        <v>190</v>
      </c>
      <c r="IA937" s="319" t="s">
        <v>190</v>
      </c>
      <c r="IB937" s="319" t="s">
        <v>190</v>
      </c>
      <c r="IC937" s="319" t="s">
        <v>190</v>
      </c>
      <c r="ID937" s="319" t="s">
        <v>190</v>
      </c>
      <c r="IE937" s="319" t="s">
        <v>190</v>
      </c>
      <c r="IF937" s="319" t="s">
        <v>190</v>
      </c>
      <c r="IG937" s="319" t="s">
        <v>190</v>
      </c>
      <c r="IH937" s="319" t="s">
        <v>190</v>
      </c>
      <c r="II937" s="319" t="s">
        <v>190</v>
      </c>
      <c r="IJ937" s="319" t="s">
        <v>173</v>
      </c>
      <c r="IK937" s="319" t="s">
        <v>173</v>
      </c>
      <c r="IL937" s="319" t="s">
        <v>173</v>
      </c>
      <c r="IM937" s="319" t="s">
        <v>173</v>
      </c>
      <c r="IN937" s="319" t="s">
        <v>173</v>
      </c>
      <c r="IO937" s="319" t="s">
        <v>173</v>
      </c>
      <c r="IP937" s="319" t="s">
        <v>173</v>
      </c>
      <c r="IQ937" s="319" t="s">
        <v>173</v>
      </c>
      <c r="IR937" s="320" t="s">
        <v>173</v>
      </c>
      <c r="IS937" s="320" t="s">
        <v>173</v>
      </c>
      <c r="IT937" s="319" t="s">
        <v>173</v>
      </c>
    </row>
    <row r="938" spans="1:254" s="271" customFormat="1" x14ac:dyDescent="0.25">
      <c r="A938" s="318" t="str">
        <f>HYPERLINK("http://www.ofsted.gov.uk/inspection-reports/find-inspection-report/provider/ELS/145023 ","Ofsted School Webpage")</f>
        <v>Ofsted School Webpage</v>
      </c>
      <c r="B938" s="319">
        <v>145023</v>
      </c>
      <c r="C938" s="319">
        <v>9256007</v>
      </c>
      <c r="D938" s="319" t="s">
        <v>2481</v>
      </c>
      <c r="E938" s="319" t="s">
        <v>168</v>
      </c>
      <c r="F938" s="319" t="s">
        <v>81</v>
      </c>
      <c r="G938" s="319" t="s">
        <v>81</v>
      </c>
      <c r="H938" s="319" t="s">
        <v>81</v>
      </c>
      <c r="I938" s="319" t="s">
        <v>78</v>
      </c>
      <c r="J938" s="319" t="s">
        <v>424</v>
      </c>
      <c r="K938" s="319" t="s">
        <v>506</v>
      </c>
      <c r="L938" s="319" t="s">
        <v>506</v>
      </c>
      <c r="M938" s="319" t="s">
        <v>833</v>
      </c>
      <c r="N938" s="319" t="s">
        <v>3560</v>
      </c>
      <c r="O938" s="319" t="s">
        <v>2482</v>
      </c>
      <c r="P938" s="319">
        <v>15</v>
      </c>
      <c r="Q938" s="319" t="s">
        <v>429</v>
      </c>
      <c r="R938" s="320">
        <v>10053986</v>
      </c>
      <c r="S938" s="321">
        <v>43536</v>
      </c>
      <c r="T938" s="321">
        <v>43538</v>
      </c>
      <c r="U938" s="321">
        <v>43591</v>
      </c>
      <c r="V938" s="319" t="s">
        <v>435</v>
      </c>
      <c r="W938" s="319" t="s">
        <v>2767</v>
      </c>
      <c r="X938" s="319">
        <v>2</v>
      </c>
      <c r="Y938" s="319" t="s">
        <v>173</v>
      </c>
      <c r="Z938" s="319" t="s">
        <v>173</v>
      </c>
      <c r="AA938" s="319" t="s">
        <v>173</v>
      </c>
      <c r="AB938" s="319">
        <v>2</v>
      </c>
      <c r="AC938" s="319" t="s">
        <v>169</v>
      </c>
      <c r="AD938" s="319" t="s">
        <v>173</v>
      </c>
      <c r="AE938" s="319" t="s">
        <v>173</v>
      </c>
      <c r="AF938" s="319" t="s">
        <v>427</v>
      </c>
      <c r="AG938" s="319" t="s">
        <v>171</v>
      </c>
      <c r="AH938" s="319" t="s">
        <v>190</v>
      </c>
      <c r="AI938" s="319" t="s">
        <v>190</v>
      </c>
      <c r="AJ938" s="319" t="s">
        <v>190</v>
      </c>
      <c r="AK938" s="319" t="s">
        <v>190</v>
      </c>
      <c r="AL938" s="319" t="s">
        <v>190</v>
      </c>
      <c r="AM938" s="319" t="s">
        <v>190</v>
      </c>
      <c r="AN938" s="319" t="s">
        <v>190</v>
      </c>
      <c r="AO938" s="319" t="s">
        <v>190</v>
      </c>
      <c r="AP938" s="319" t="s">
        <v>190</v>
      </c>
      <c r="AQ938" s="319" t="s">
        <v>190</v>
      </c>
      <c r="AR938" s="319" t="s">
        <v>190</v>
      </c>
      <c r="AS938" s="319" t="s">
        <v>190</v>
      </c>
      <c r="AT938" s="319" t="s">
        <v>190</v>
      </c>
      <c r="AU938" s="319" t="s">
        <v>190</v>
      </c>
      <c r="AV938" s="319" t="s">
        <v>190</v>
      </c>
      <c r="AW938" s="319" t="s">
        <v>190</v>
      </c>
      <c r="AX938" s="319" t="s">
        <v>428</v>
      </c>
      <c r="AY938" s="319" t="s">
        <v>190</v>
      </c>
      <c r="AZ938" s="319" t="s">
        <v>190</v>
      </c>
      <c r="BA938" s="319" t="s">
        <v>190</v>
      </c>
      <c r="BB938" s="319" t="s">
        <v>190</v>
      </c>
      <c r="BC938" s="319" t="s">
        <v>190</v>
      </c>
      <c r="BD938" s="319" t="s">
        <v>190</v>
      </c>
      <c r="BE938" s="319" t="s">
        <v>190</v>
      </c>
      <c r="BF938" s="319" t="s">
        <v>428</v>
      </c>
      <c r="BG938" s="319" t="s">
        <v>428</v>
      </c>
      <c r="BH938" s="319" t="s">
        <v>190</v>
      </c>
      <c r="BI938" s="319" t="s">
        <v>190</v>
      </c>
      <c r="BJ938" s="319" t="s">
        <v>190</v>
      </c>
      <c r="BK938" s="319" t="s">
        <v>190</v>
      </c>
      <c r="BL938" s="319" t="s">
        <v>190</v>
      </c>
      <c r="BM938" s="319" t="s">
        <v>190</v>
      </c>
      <c r="BN938" s="319" t="s">
        <v>190</v>
      </c>
      <c r="BO938" s="319" t="s">
        <v>190</v>
      </c>
      <c r="BP938" s="319" t="s">
        <v>190</v>
      </c>
      <c r="BQ938" s="319" t="s">
        <v>190</v>
      </c>
      <c r="BR938" s="319" t="s">
        <v>190</v>
      </c>
      <c r="BS938" s="319" t="s">
        <v>190</v>
      </c>
      <c r="BT938" s="319" t="s">
        <v>190</v>
      </c>
      <c r="BU938" s="319" t="s">
        <v>190</v>
      </c>
      <c r="BV938" s="319" t="s">
        <v>190</v>
      </c>
      <c r="BW938" s="319" t="s">
        <v>190</v>
      </c>
      <c r="BX938" s="319" t="s">
        <v>190</v>
      </c>
      <c r="BY938" s="319" t="s">
        <v>190</v>
      </c>
      <c r="BZ938" s="319" t="s">
        <v>190</v>
      </c>
      <c r="CA938" s="319" t="s">
        <v>190</v>
      </c>
      <c r="CB938" s="319" t="s">
        <v>190</v>
      </c>
      <c r="CC938" s="319" t="s">
        <v>190</v>
      </c>
      <c r="CD938" s="319" t="s">
        <v>190</v>
      </c>
      <c r="CE938" s="319" t="s">
        <v>190</v>
      </c>
      <c r="CF938" s="319" t="s">
        <v>190</v>
      </c>
      <c r="CG938" s="319" t="s">
        <v>190</v>
      </c>
      <c r="CH938" s="319" t="s">
        <v>190</v>
      </c>
      <c r="CI938" s="319" t="s">
        <v>190</v>
      </c>
      <c r="CJ938" s="319" t="s">
        <v>190</v>
      </c>
      <c r="CK938" s="319" t="s">
        <v>190</v>
      </c>
      <c r="CL938" s="319" t="s">
        <v>190</v>
      </c>
      <c r="CM938" s="319" t="s">
        <v>190</v>
      </c>
      <c r="CN938" s="319" t="s">
        <v>428</v>
      </c>
      <c r="CO938" s="319" t="s">
        <v>428</v>
      </c>
      <c r="CP938" s="319" t="s">
        <v>428</v>
      </c>
      <c r="CQ938" s="319" t="s">
        <v>190</v>
      </c>
      <c r="CR938" s="319" t="s">
        <v>190</v>
      </c>
      <c r="CS938" s="319" t="s">
        <v>190</v>
      </c>
      <c r="CT938" s="319" t="s">
        <v>190</v>
      </c>
      <c r="CU938" s="319" t="s">
        <v>190</v>
      </c>
      <c r="CV938" s="319" t="s">
        <v>190</v>
      </c>
      <c r="CW938" s="319" t="s">
        <v>190</v>
      </c>
      <c r="CX938" s="319" t="s">
        <v>190</v>
      </c>
      <c r="CY938" s="319" t="s">
        <v>190</v>
      </c>
      <c r="CZ938" s="319" t="s">
        <v>190</v>
      </c>
      <c r="DA938" s="319" t="s">
        <v>190</v>
      </c>
      <c r="DB938" s="319" t="s">
        <v>190</v>
      </c>
      <c r="DC938" s="319" t="s">
        <v>190</v>
      </c>
      <c r="DD938" s="319" t="s">
        <v>190</v>
      </c>
      <c r="DE938" s="319" t="s">
        <v>190</v>
      </c>
      <c r="DF938" s="319" t="s">
        <v>190</v>
      </c>
      <c r="DG938" s="319" t="s">
        <v>190</v>
      </c>
      <c r="DH938" s="319" t="s">
        <v>190</v>
      </c>
      <c r="DI938" s="319" t="s">
        <v>190</v>
      </c>
      <c r="DJ938" s="319" t="s">
        <v>190</v>
      </c>
      <c r="DK938" s="319" t="s">
        <v>190</v>
      </c>
      <c r="DL938" s="319" t="s">
        <v>190</v>
      </c>
      <c r="DM938" s="319" t="s">
        <v>190</v>
      </c>
      <c r="DN938" s="319" t="s">
        <v>428</v>
      </c>
      <c r="DO938" s="319" t="s">
        <v>190</v>
      </c>
      <c r="DP938" s="319" t="s">
        <v>428</v>
      </c>
      <c r="DQ938" s="319" t="s">
        <v>428</v>
      </c>
      <c r="DR938" s="319" t="s">
        <v>428</v>
      </c>
      <c r="DS938" s="319" t="s">
        <v>428</v>
      </c>
      <c r="DT938" s="319" t="s">
        <v>428</v>
      </c>
      <c r="DU938" s="319" t="s">
        <v>428</v>
      </c>
      <c r="DV938" s="319" t="s">
        <v>173</v>
      </c>
      <c r="DW938" s="319" t="s">
        <v>428</v>
      </c>
      <c r="DX938" s="319" t="s">
        <v>428</v>
      </c>
      <c r="DY938" s="319" t="s">
        <v>428</v>
      </c>
      <c r="DZ938" s="319" t="s">
        <v>428</v>
      </c>
      <c r="EA938" s="319" t="s">
        <v>428</v>
      </c>
      <c r="EB938" s="319" t="s">
        <v>428</v>
      </c>
      <c r="EC938" s="319" t="s">
        <v>428</v>
      </c>
      <c r="ED938" s="319" t="s">
        <v>428</v>
      </c>
      <c r="EE938" s="319" t="s">
        <v>190</v>
      </c>
      <c r="EF938" s="319" t="s">
        <v>190</v>
      </c>
      <c r="EG938" s="319" t="s">
        <v>190</v>
      </c>
      <c r="EH938" s="319" t="s">
        <v>190</v>
      </c>
      <c r="EI938" s="319" t="s">
        <v>190</v>
      </c>
      <c r="EJ938" s="319" t="s">
        <v>190</v>
      </c>
      <c r="EK938" s="319" t="s">
        <v>190</v>
      </c>
      <c r="EL938" s="319" t="s">
        <v>190</v>
      </c>
      <c r="EM938" s="319" t="s">
        <v>190</v>
      </c>
      <c r="EN938" s="319" t="s">
        <v>190</v>
      </c>
      <c r="EO938" s="319" t="s">
        <v>190</v>
      </c>
      <c r="EP938" s="319" t="s">
        <v>190</v>
      </c>
      <c r="EQ938" s="319" t="s">
        <v>190</v>
      </c>
      <c r="ER938" s="319" t="s">
        <v>190</v>
      </c>
      <c r="ES938" s="319" t="s">
        <v>190</v>
      </c>
      <c r="ET938" s="319" t="s">
        <v>190</v>
      </c>
      <c r="EU938" s="319" t="s">
        <v>190</v>
      </c>
      <c r="EV938" s="319" t="s">
        <v>190</v>
      </c>
      <c r="EW938" s="319" t="s">
        <v>190</v>
      </c>
      <c r="EX938" s="319" t="s">
        <v>190</v>
      </c>
      <c r="EY938" s="319" t="s">
        <v>190</v>
      </c>
      <c r="EZ938" s="319" t="s">
        <v>190</v>
      </c>
      <c r="FA938" s="319" t="s">
        <v>428</v>
      </c>
      <c r="FB938" s="319" t="s">
        <v>428</v>
      </c>
      <c r="FC938" s="319" t="s">
        <v>428</v>
      </c>
      <c r="FD938" s="319" t="s">
        <v>428</v>
      </c>
      <c r="FE938" s="319" t="s">
        <v>428</v>
      </c>
      <c r="FF938" s="319" t="s">
        <v>428</v>
      </c>
      <c r="FG938" s="319" t="s">
        <v>428</v>
      </c>
      <c r="FH938" s="319" t="s">
        <v>190</v>
      </c>
      <c r="FI938" s="319" t="s">
        <v>428</v>
      </c>
      <c r="FJ938" s="319" t="s">
        <v>429</v>
      </c>
      <c r="FK938" s="319" t="s">
        <v>428</v>
      </c>
      <c r="FL938" s="319" t="s">
        <v>190</v>
      </c>
      <c r="FM938" s="319" t="s">
        <v>190</v>
      </c>
      <c r="FN938" s="319" t="s">
        <v>190</v>
      </c>
      <c r="FO938" s="319" t="s">
        <v>190</v>
      </c>
      <c r="FP938" s="319" t="s">
        <v>190</v>
      </c>
      <c r="FQ938" s="319" t="s">
        <v>190</v>
      </c>
      <c r="FR938" s="319" t="s">
        <v>190</v>
      </c>
      <c r="FS938" s="319" t="s">
        <v>428</v>
      </c>
      <c r="FT938" s="319" t="s">
        <v>190</v>
      </c>
      <c r="FU938" s="319" t="s">
        <v>190</v>
      </c>
      <c r="FV938" s="319" t="s">
        <v>190</v>
      </c>
      <c r="FW938" s="319" t="s">
        <v>190</v>
      </c>
      <c r="FX938" s="319" t="s">
        <v>190</v>
      </c>
      <c r="FY938" s="319" t="s">
        <v>190</v>
      </c>
      <c r="FZ938" s="319" t="s">
        <v>190</v>
      </c>
      <c r="GA938" s="319" t="s">
        <v>190</v>
      </c>
      <c r="GB938" s="319" t="s">
        <v>190</v>
      </c>
      <c r="GC938" s="319" t="s">
        <v>190</v>
      </c>
      <c r="GD938" s="319" t="s">
        <v>190</v>
      </c>
      <c r="GE938" s="319" t="s">
        <v>190</v>
      </c>
      <c r="GF938" s="319" t="s">
        <v>190</v>
      </c>
      <c r="GG938" s="319" t="s">
        <v>190</v>
      </c>
      <c r="GH938" s="319" t="s">
        <v>190</v>
      </c>
      <c r="GI938" s="319" t="s">
        <v>190</v>
      </c>
      <c r="GJ938" s="319" t="s">
        <v>190</v>
      </c>
      <c r="GK938" s="319" t="s">
        <v>428</v>
      </c>
      <c r="GL938" s="319" t="s">
        <v>190</v>
      </c>
      <c r="GM938" s="319" t="s">
        <v>190</v>
      </c>
      <c r="GN938" s="319" t="s">
        <v>190</v>
      </c>
      <c r="GO938" s="319" t="s">
        <v>190</v>
      </c>
      <c r="GP938" s="319" t="s">
        <v>428</v>
      </c>
      <c r="GQ938" s="319" t="s">
        <v>428</v>
      </c>
      <c r="GR938" s="319" t="s">
        <v>190</v>
      </c>
      <c r="GS938" s="319" t="s">
        <v>190</v>
      </c>
      <c r="GT938" s="319" t="s">
        <v>190</v>
      </c>
      <c r="GU938" s="319" t="s">
        <v>190</v>
      </c>
      <c r="GV938" s="319" t="s">
        <v>190</v>
      </c>
      <c r="GW938" s="319" t="s">
        <v>190</v>
      </c>
      <c r="GX938" s="319" t="s">
        <v>190</v>
      </c>
      <c r="GY938" s="319" t="s">
        <v>190</v>
      </c>
      <c r="GZ938" s="319" t="s">
        <v>190</v>
      </c>
      <c r="HA938" s="319" t="s">
        <v>428</v>
      </c>
      <c r="HB938" s="319" t="s">
        <v>428</v>
      </c>
      <c r="HC938" s="319" t="s">
        <v>190</v>
      </c>
      <c r="HD938" s="319" t="s">
        <v>190</v>
      </c>
      <c r="HE938" s="319" t="s">
        <v>190</v>
      </c>
      <c r="HF938" s="319" t="s">
        <v>190</v>
      </c>
      <c r="HG938" s="319" t="s">
        <v>190</v>
      </c>
      <c r="HH938" s="319" t="s">
        <v>190</v>
      </c>
      <c r="HI938" s="319" t="s">
        <v>190</v>
      </c>
      <c r="HJ938" s="319" t="s">
        <v>190</v>
      </c>
      <c r="HK938" s="319" t="s">
        <v>190</v>
      </c>
      <c r="HL938" s="319" t="s">
        <v>190</v>
      </c>
      <c r="HM938" s="319" t="s">
        <v>190</v>
      </c>
      <c r="HN938" s="319" t="s">
        <v>190</v>
      </c>
      <c r="HO938" s="319" t="s">
        <v>190</v>
      </c>
      <c r="HP938" s="319" t="s">
        <v>190</v>
      </c>
      <c r="HQ938" s="319" t="s">
        <v>190</v>
      </c>
      <c r="HR938" s="319" t="s">
        <v>190</v>
      </c>
      <c r="HS938" s="319" t="s">
        <v>190</v>
      </c>
      <c r="HT938" s="319" t="s">
        <v>190</v>
      </c>
      <c r="HU938" s="319" t="s">
        <v>190</v>
      </c>
      <c r="HV938" s="319" t="s">
        <v>190</v>
      </c>
      <c r="HW938" s="319" t="s">
        <v>190</v>
      </c>
      <c r="HX938" s="319" t="s">
        <v>190</v>
      </c>
      <c r="HY938" s="319" t="s">
        <v>190</v>
      </c>
      <c r="HZ938" s="319" t="s">
        <v>190</v>
      </c>
      <c r="IA938" s="319" t="s">
        <v>190</v>
      </c>
      <c r="IB938" s="319" t="s">
        <v>190</v>
      </c>
      <c r="IC938" s="319" t="s">
        <v>190</v>
      </c>
      <c r="ID938" s="319" t="s">
        <v>190</v>
      </c>
      <c r="IE938" s="319" t="s">
        <v>190</v>
      </c>
      <c r="IF938" s="319" t="s">
        <v>190</v>
      </c>
      <c r="IG938" s="319" t="s">
        <v>190</v>
      </c>
      <c r="IH938" s="319" t="s">
        <v>190</v>
      </c>
      <c r="II938" s="319" t="s">
        <v>190</v>
      </c>
      <c r="IJ938" s="319" t="s">
        <v>173</v>
      </c>
      <c r="IK938" s="319" t="s">
        <v>173</v>
      </c>
      <c r="IL938" s="319" t="s">
        <v>173</v>
      </c>
      <c r="IM938" s="319" t="s">
        <v>173</v>
      </c>
      <c r="IN938" s="319" t="s">
        <v>173</v>
      </c>
      <c r="IO938" s="319" t="s">
        <v>173</v>
      </c>
      <c r="IP938" s="319" t="s">
        <v>173</v>
      </c>
      <c r="IQ938" s="321" t="s">
        <v>173</v>
      </c>
      <c r="IR938" s="320" t="s">
        <v>173</v>
      </c>
      <c r="IS938" s="322" t="s">
        <v>173</v>
      </c>
      <c r="IT938" s="319" t="s">
        <v>173</v>
      </c>
    </row>
    <row r="939" spans="1:254" s="271" customFormat="1" x14ac:dyDescent="0.25">
      <c r="A939" s="318" t="str">
        <f>HYPERLINK("http://www.ofsted.gov.uk/inspection-reports/find-inspection-report/provider/ELS/145059 ","Ofsted School Webpage")</f>
        <v>Ofsted School Webpage</v>
      </c>
      <c r="B939" s="319">
        <v>145059</v>
      </c>
      <c r="C939" s="319">
        <v>3366005</v>
      </c>
      <c r="D939" s="319" t="s">
        <v>502</v>
      </c>
      <c r="E939" s="319" t="s">
        <v>168</v>
      </c>
      <c r="F939" s="319" t="s">
        <v>81</v>
      </c>
      <c r="G939" s="319" t="s">
        <v>81</v>
      </c>
      <c r="H939" s="319" t="s">
        <v>81</v>
      </c>
      <c r="I939" s="319" t="s">
        <v>78</v>
      </c>
      <c r="J939" s="319" t="s">
        <v>424</v>
      </c>
      <c r="K939" s="319" t="s">
        <v>437</v>
      </c>
      <c r="L939" s="319" t="s">
        <v>437</v>
      </c>
      <c r="M939" s="319" t="s">
        <v>503</v>
      </c>
      <c r="N939" s="319" t="s">
        <v>3561</v>
      </c>
      <c r="O939" s="319" t="s">
        <v>504</v>
      </c>
      <c r="P939" s="319">
        <v>32</v>
      </c>
      <c r="Q939" s="319" t="s">
        <v>429</v>
      </c>
      <c r="R939" s="320">
        <v>10052719</v>
      </c>
      <c r="S939" s="321">
        <v>43368</v>
      </c>
      <c r="T939" s="321">
        <v>43370</v>
      </c>
      <c r="U939" s="321">
        <v>43397</v>
      </c>
      <c r="V939" s="319" t="s">
        <v>435</v>
      </c>
      <c r="W939" s="319" t="s">
        <v>2767</v>
      </c>
      <c r="X939" s="319">
        <v>2</v>
      </c>
      <c r="Y939" s="319" t="s">
        <v>173</v>
      </c>
      <c r="Z939" s="319" t="s">
        <v>173</v>
      </c>
      <c r="AA939" s="319" t="s">
        <v>173</v>
      </c>
      <c r="AB939" s="319">
        <v>2</v>
      </c>
      <c r="AC939" s="319" t="s">
        <v>169</v>
      </c>
      <c r="AD939" s="319" t="s">
        <v>173</v>
      </c>
      <c r="AE939" s="319" t="s">
        <v>173</v>
      </c>
      <c r="AF939" s="319" t="s">
        <v>427</v>
      </c>
      <c r="AG939" s="319" t="s">
        <v>171</v>
      </c>
      <c r="AH939" s="319" t="s">
        <v>190</v>
      </c>
      <c r="AI939" s="319" t="s">
        <v>190</v>
      </c>
      <c r="AJ939" s="319" t="s">
        <v>190</v>
      </c>
      <c r="AK939" s="319" t="s">
        <v>190</v>
      </c>
      <c r="AL939" s="319" t="s">
        <v>190</v>
      </c>
      <c r="AM939" s="319" t="s">
        <v>190</v>
      </c>
      <c r="AN939" s="319" t="s">
        <v>190</v>
      </c>
      <c r="AO939" s="319" t="s">
        <v>190</v>
      </c>
      <c r="AP939" s="319" t="s">
        <v>190</v>
      </c>
      <c r="AQ939" s="319" t="s">
        <v>190</v>
      </c>
      <c r="AR939" s="319" t="s">
        <v>190</v>
      </c>
      <c r="AS939" s="319" t="s">
        <v>190</v>
      </c>
      <c r="AT939" s="319" t="s">
        <v>190</v>
      </c>
      <c r="AU939" s="319" t="s">
        <v>190</v>
      </c>
      <c r="AV939" s="319" t="s">
        <v>190</v>
      </c>
      <c r="AW939" s="319" t="s">
        <v>190</v>
      </c>
      <c r="AX939" s="319" t="s">
        <v>428</v>
      </c>
      <c r="AY939" s="319" t="s">
        <v>190</v>
      </c>
      <c r="AZ939" s="319" t="s">
        <v>190</v>
      </c>
      <c r="BA939" s="319" t="s">
        <v>190</v>
      </c>
      <c r="BB939" s="319" t="s">
        <v>190</v>
      </c>
      <c r="BC939" s="319" t="s">
        <v>190</v>
      </c>
      <c r="BD939" s="319" t="s">
        <v>190</v>
      </c>
      <c r="BE939" s="319" t="s">
        <v>190</v>
      </c>
      <c r="BF939" s="319" t="s">
        <v>428</v>
      </c>
      <c r="BG939" s="319" t="s">
        <v>190</v>
      </c>
      <c r="BH939" s="319" t="s">
        <v>190</v>
      </c>
      <c r="BI939" s="319" t="s">
        <v>190</v>
      </c>
      <c r="BJ939" s="319" t="s">
        <v>190</v>
      </c>
      <c r="BK939" s="319" t="s">
        <v>190</v>
      </c>
      <c r="BL939" s="319" t="s">
        <v>190</v>
      </c>
      <c r="BM939" s="319" t="s">
        <v>190</v>
      </c>
      <c r="BN939" s="319" t="s">
        <v>190</v>
      </c>
      <c r="BO939" s="319" t="s">
        <v>190</v>
      </c>
      <c r="BP939" s="319" t="s">
        <v>190</v>
      </c>
      <c r="BQ939" s="319" t="s">
        <v>190</v>
      </c>
      <c r="BR939" s="319" t="s">
        <v>190</v>
      </c>
      <c r="BS939" s="319" t="s">
        <v>190</v>
      </c>
      <c r="BT939" s="319" t="s">
        <v>190</v>
      </c>
      <c r="BU939" s="319" t="s">
        <v>190</v>
      </c>
      <c r="BV939" s="319" t="s">
        <v>190</v>
      </c>
      <c r="BW939" s="319" t="s">
        <v>190</v>
      </c>
      <c r="BX939" s="319" t="s">
        <v>190</v>
      </c>
      <c r="BY939" s="319" t="s">
        <v>190</v>
      </c>
      <c r="BZ939" s="319" t="s">
        <v>190</v>
      </c>
      <c r="CA939" s="319" t="s">
        <v>190</v>
      </c>
      <c r="CB939" s="319" t="s">
        <v>190</v>
      </c>
      <c r="CC939" s="319" t="s">
        <v>190</v>
      </c>
      <c r="CD939" s="319" t="s">
        <v>190</v>
      </c>
      <c r="CE939" s="319" t="s">
        <v>190</v>
      </c>
      <c r="CF939" s="319" t="s">
        <v>190</v>
      </c>
      <c r="CG939" s="319" t="s">
        <v>190</v>
      </c>
      <c r="CH939" s="319" t="s">
        <v>190</v>
      </c>
      <c r="CI939" s="319" t="s">
        <v>190</v>
      </c>
      <c r="CJ939" s="319" t="s">
        <v>190</v>
      </c>
      <c r="CK939" s="319" t="s">
        <v>190</v>
      </c>
      <c r="CL939" s="319" t="s">
        <v>190</v>
      </c>
      <c r="CM939" s="319" t="s">
        <v>190</v>
      </c>
      <c r="CN939" s="319" t="s">
        <v>428</v>
      </c>
      <c r="CO939" s="319" t="s">
        <v>428</v>
      </c>
      <c r="CP939" s="319" t="s">
        <v>428</v>
      </c>
      <c r="CQ939" s="319" t="s">
        <v>190</v>
      </c>
      <c r="CR939" s="319" t="s">
        <v>190</v>
      </c>
      <c r="CS939" s="319" t="s">
        <v>190</v>
      </c>
      <c r="CT939" s="319" t="s">
        <v>190</v>
      </c>
      <c r="CU939" s="319" t="s">
        <v>190</v>
      </c>
      <c r="CV939" s="319" t="s">
        <v>190</v>
      </c>
      <c r="CW939" s="319" t="s">
        <v>190</v>
      </c>
      <c r="CX939" s="319" t="s">
        <v>190</v>
      </c>
      <c r="CY939" s="319" t="s">
        <v>190</v>
      </c>
      <c r="CZ939" s="319" t="s">
        <v>190</v>
      </c>
      <c r="DA939" s="319" t="s">
        <v>190</v>
      </c>
      <c r="DB939" s="319" t="s">
        <v>190</v>
      </c>
      <c r="DC939" s="319" t="s">
        <v>190</v>
      </c>
      <c r="DD939" s="319" t="s">
        <v>190</v>
      </c>
      <c r="DE939" s="319" t="s">
        <v>190</v>
      </c>
      <c r="DF939" s="319" t="s">
        <v>190</v>
      </c>
      <c r="DG939" s="319" t="s">
        <v>190</v>
      </c>
      <c r="DH939" s="319" t="s">
        <v>190</v>
      </c>
      <c r="DI939" s="319" t="s">
        <v>190</v>
      </c>
      <c r="DJ939" s="319" t="s">
        <v>190</v>
      </c>
      <c r="DK939" s="319" t="s">
        <v>190</v>
      </c>
      <c r="DL939" s="319" t="s">
        <v>190</v>
      </c>
      <c r="DM939" s="319" t="s">
        <v>190</v>
      </c>
      <c r="DN939" s="319" t="s">
        <v>428</v>
      </c>
      <c r="DO939" s="319" t="s">
        <v>190</v>
      </c>
      <c r="DP939" s="319" t="s">
        <v>190</v>
      </c>
      <c r="DQ939" s="319" t="s">
        <v>190</v>
      </c>
      <c r="DR939" s="319" t="s">
        <v>190</v>
      </c>
      <c r="DS939" s="319" t="s">
        <v>190</v>
      </c>
      <c r="DT939" s="319" t="s">
        <v>190</v>
      </c>
      <c r="DU939" s="319" t="s">
        <v>190</v>
      </c>
      <c r="DV939" s="319" t="s">
        <v>173</v>
      </c>
      <c r="DW939" s="319" t="s">
        <v>190</v>
      </c>
      <c r="DX939" s="319" t="s">
        <v>190</v>
      </c>
      <c r="DY939" s="319" t="s">
        <v>190</v>
      </c>
      <c r="DZ939" s="319" t="s">
        <v>190</v>
      </c>
      <c r="EA939" s="319" t="s">
        <v>190</v>
      </c>
      <c r="EB939" s="319" t="s">
        <v>190</v>
      </c>
      <c r="EC939" s="319" t="s">
        <v>428</v>
      </c>
      <c r="ED939" s="319" t="s">
        <v>190</v>
      </c>
      <c r="EE939" s="319" t="s">
        <v>190</v>
      </c>
      <c r="EF939" s="319" t="s">
        <v>190</v>
      </c>
      <c r="EG939" s="319" t="s">
        <v>190</v>
      </c>
      <c r="EH939" s="319" t="s">
        <v>190</v>
      </c>
      <c r="EI939" s="319" t="s">
        <v>190</v>
      </c>
      <c r="EJ939" s="319" t="s">
        <v>190</v>
      </c>
      <c r="EK939" s="319" t="s">
        <v>190</v>
      </c>
      <c r="EL939" s="319" t="s">
        <v>190</v>
      </c>
      <c r="EM939" s="319" t="s">
        <v>190</v>
      </c>
      <c r="EN939" s="319" t="s">
        <v>190</v>
      </c>
      <c r="EO939" s="319" t="s">
        <v>190</v>
      </c>
      <c r="EP939" s="319" t="s">
        <v>190</v>
      </c>
      <c r="EQ939" s="319" t="s">
        <v>190</v>
      </c>
      <c r="ER939" s="319" t="s">
        <v>190</v>
      </c>
      <c r="ES939" s="319" t="s">
        <v>190</v>
      </c>
      <c r="ET939" s="319" t="s">
        <v>190</v>
      </c>
      <c r="EU939" s="319" t="s">
        <v>190</v>
      </c>
      <c r="EV939" s="319" t="s">
        <v>190</v>
      </c>
      <c r="EW939" s="319" t="s">
        <v>190</v>
      </c>
      <c r="EX939" s="319" t="s">
        <v>190</v>
      </c>
      <c r="EY939" s="319" t="s">
        <v>190</v>
      </c>
      <c r="EZ939" s="319" t="s">
        <v>190</v>
      </c>
      <c r="FA939" s="319" t="s">
        <v>428</v>
      </c>
      <c r="FB939" s="319" t="s">
        <v>190</v>
      </c>
      <c r="FC939" s="319" t="s">
        <v>190</v>
      </c>
      <c r="FD939" s="319" t="s">
        <v>190</v>
      </c>
      <c r="FE939" s="319" t="s">
        <v>190</v>
      </c>
      <c r="FF939" s="319" t="s">
        <v>190</v>
      </c>
      <c r="FG939" s="319" t="s">
        <v>190</v>
      </c>
      <c r="FH939" s="319" t="s">
        <v>190</v>
      </c>
      <c r="FI939" s="319" t="s">
        <v>428</v>
      </c>
      <c r="FJ939" s="319" t="s">
        <v>190</v>
      </c>
      <c r="FK939" s="319" t="s">
        <v>190</v>
      </c>
      <c r="FL939" s="319" t="s">
        <v>190</v>
      </c>
      <c r="FM939" s="319" t="s">
        <v>190</v>
      </c>
      <c r="FN939" s="319" t="s">
        <v>190</v>
      </c>
      <c r="FO939" s="319" t="s">
        <v>190</v>
      </c>
      <c r="FP939" s="319" t="s">
        <v>190</v>
      </c>
      <c r="FQ939" s="319" t="s">
        <v>190</v>
      </c>
      <c r="FR939" s="319" t="s">
        <v>190</v>
      </c>
      <c r="FS939" s="319" t="s">
        <v>428</v>
      </c>
      <c r="FT939" s="319" t="s">
        <v>190</v>
      </c>
      <c r="FU939" s="319" t="s">
        <v>190</v>
      </c>
      <c r="FV939" s="319" t="s">
        <v>190</v>
      </c>
      <c r="FW939" s="319" t="s">
        <v>190</v>
      </c>
      <c r="FX939" s="319" t="s">
        <v>190</v>
      </c>
      <c r="FY939" s="319" t="s">
        <v>190</v>
      </c>
      <c r="FZ939" s="319" t="s">
        <v>190</v>
      </c>
      <c r="GA939" s="319" t="s">
        <v>190</v>
      </c>
      <c r="GB939" s="319" t="s">
        <v>190</v>
      </c>
      <c r="GC939" s="319" t="s">
        <v>190</v>
      </c>
      <c r="GD939" s="319" t="s">
        <v>190</v>
      </c>
      <c r="GE939" s="319" t="s">
        <v>190</v>
      </c>
      <c r="GF939" s="319" t="s">
        <v>190</v>
      </c>
      <c r="GG939" s="319" t="s">
        <v>190</v>
      </c>
      <c r="GH939" s="319" t="s">
        <v>190</v>
      </c>
      <c r="GI939" s="319" t="s">
        <v>190</v>
      </c>
      <c r="GJ939" s="319" t="s">
        <v>190</v>
      </c>
      <c r="GK939" s="319" t="s">
        <v>428</v>
      </c>
      <c r="GL939" s="319" t="s">
        <v>190</v>
      </c>
      <c r="GM939" s="319" t="s">
        <v>190</v>
      </c>
      <c r="GN939" s="319" t="s">
        <v>190</v>
      </c>
      <c r="GO939" s="319" t="s">
        <v>190</v>
      </c>
      <c r="GP939" s="319" t="s">
        <v>428</v>
      </c>
      <c r="GQ939" s="319" t="s">
        <v>428</v>
      </c>
      <c r="GR939" s="319" t="s">
        <v>190</v>
      </c>
      <c r="GS939" s="319" t="s">
        <v>190</v>
      </c>
      <c r="GT939" s="319" t="s">
        <v>190</v>
      </c>
      <c r="GU939" s="319" t="s">
        <v>190</v>
      </c>
      <c r="GV939" s="319" t="s">
        <v>190</v>
      </c>
      <c r="GW939" s="319" t="s">
        <v>190</v>
      </c>
      <c r="GX939" s="319" t="s">
        <v>190</v>
      </c>
      <c r="GY939" s="319" t="s">
        <v>190</v>
      </c>
      <c r="GZ939" s="319" t="s">
        <v>190</v>
      </c>
      <c r="HA939" s="319" t="s">
        <v>190</v>
      </c>
      <c r="HB939" s="319" t="s">
        <v>428</v>
      </c>
      <c r="HC939" s="319" t="s">
        <v>190</v>
      </c>
      <c r="HD939" s="319" t="s">
        <v>190</v>
      </c>
      <c r="HE939" s="319" t="s">
        <v>190</v>
      </c>
      <c r="HF939" s="319" t="s">
        <v>190</v>
      </c>
      <c r="HG939" s="319" t="s">
        <v>190</v>
      </c>
      <c r="HH939" s="319" t="s">
        <v>190</v>
      </c>
      <c r="HI939" s="319" t="s">
        <v>190</v>
      </c>
      <c r="HJ939" s="319" t="s">
        <v>190</v>
      </c>
      <c r="HK939" s="319" t="s">
        <v>428</v>
      </c>
      <c r="HL939" s="319" t="s">
        <v>428</v>
      </c>
      <c r="HM939" s="319" t="s">
        <v>428</v>
      </c>
      <c r="HN939" s="319" t="s">
        <v>428</v>
      </c>
      <c r="HO939" s="319" t="s">
        <v>428</v>
      </c>
      <c r="HP939" s="319" t="s">
        <v>190</v>
      </c>
      <c r="HQ939" s="319" t="s">
        <v>190</v>
      </c>
      <c r="HR939" s="319" t="s">
        <v>190</v>
      </c>
      <c r="HS939" s="319" t="s">
        <v>190</v>
      </c>
      <c r="HT939" s="319" t="s">
        <v>190</v>
      </c>
      <c r="HU939" s="319" t="s">
        <v>190</v>
      </c>
      <c r="HV939" s="319" t="s">
        <v>190</v>
      </c>
      <c r="HW939" s="319" t="s">
        <v>190</v>
      </c>
      <c r="HX939" s="319" t="s">
        <v>190</v>
      </c>
      <c r="HY939" s="319" t="s">
        <v>190</v>
      </c>
      <c r="HZ939" s="319" t="s">
        <v>190</v>
      </c>
      <c r="IA939" s="319" t="s">
        <v>190</v>
      </c>
      <c r="IB939" s="319" t="s">
        <v>190</v>
      </c>
      <c r="IC939" s="319" t="s">
        <v>190</v>
      </c>
      <c r="ID939" s="319" t="s">
        <v>190</v>
      </c>
      <c r="IE939" s="319" t="s">
        <v>190</v>
      </c>
      <c r="IF939" s="319" t="s">
        <v>190</v>
      </c>
      <c r="IG939" s="319" t="s">
        <v>190</v>
      </c>
      <c r="IH939" s="319" t="s">
        <v>190</v>
      </c>
      <c r="II939" s="319" t="s">
        <v>190</v>
      </c>
      <c r="IJ939" s="319" t="s">
        <v>173</v>
      </c>
      <c r="IK939" s="319" t="s">
        <v>173</v>
      </c>
      <c r="IL939" s="319" t="s">
        <v>173</v>
      </c>
      <c r="IM939" s="319" t="s">
        <v>173</v>
      </c>
      <c r="IN939" s="319" t="s">
        <v>173</v>
      </c>
      <c r="IO939" s="319" t="s">
        <v>173</v>
      </c>
      <c r="IP939" s="319" t="s">
        <v>173</v>
      </c>
      <c r="IQ939" s="321" t="s">
        <v>173</v>
      </c>
      <c r="IR939" s="320" t="s">
        <v>173</v>
      </c>
      <c r="IS939" s="322" t="s">
        <v>173</v>
      </c>
      <c r="IT939" s="319" t="s">
        <v>173</v>
      </c>
    </row>
    <row r="940" spans="1:254" s="271" customFormat="1" x14ac:dyDescent="0.25">
      <c r="A940" s="318" t="str">
        <f>HYPERLINK("http://www.ofsted.gov.uk/inspection-reports/find-inspection-report/provider/ELS/145064 ","Ofsted School Webpage")</f>
        <v>Ofsted School Webpage</v>
      </c>
      <c r="B940" s="319">
        <v>145064</v>
      </c>
      <c r="C940" s="319">
        <v>8866145</v>
      </c>
      <c r="D940" s="319" t="s">
        <v>2483</v>
      </c>
      <c r="E940" s="319" t="s">
        <v>168</v>
      </c>
      <c r="F940" s="319" t="s">
        <v>81</v>
      </c>
      <c r="G940" s="319" t="s">
        <v>81</v>
      </c>
      <c r="H940" s="319" t="s">
        <v>81</v>
      </c>
      <c r="I940" s="319" t="s">
        <v>78</v>
      </c>
      <c r="J940" s="319" t="s">
        <v>424</v>
      </c>
      <c r="K940" s="319" t="s">
        <v>514</v>
      </c>
      <c r="L940" s="319" t="s">
        <v>514</v>
      </c>
      <c r="M940" s="319" t="s">
        <v>614</v>
      </c>
      <c r="N940" s="319" t="s">
        <v>2978</v>
      </c>
      <c r="O940" s="319" t="s">
        <v>2484</v>
      </c>
      <c r="P940" s="319">
        <v>9</v>
      </c>
      <c r="Q940" s="319" t="s">
        <v>429</v>
      </c>
      <c r="R940" s="320">
        <v>10045500</v>
      </c>
      <c r="S940" s="321">
        <v>43270</v>
      </c>
      <c r="T940" s="321">
        <v>43272</v>
      </c>
      <c r="U940" s="321">
        <v>43298</v>
      </c>
      <c r="V940" s="319" t="s">
        <v>435</v>
      </c>
      <c r="W940" s="319" t="s">
        <v>2767</v>
      </c>
      <c r="X940" s="319">
        <v>2</v>
      </c>
      <c r="Y940" s="319" t="s">
        <v>173</v>
      </c>
      <c r="Z940" s="319" t="s">
        <v>173</v>
      </c>
      <c r="AA940" s="319" t="s">
        <v>173</v>
      </c>
      <c r="AB940" s="319">
        <v>1</v>
      </c>
      <c r="AC940" s="319" t="s">
        <v>169</v>
      </c>
      <c r="AD940" s="319" t="s">
        <v>173</v>
      </c>
      <c r="AE940" s="319" t="s">
        <v>173</v>
      </c>
      <c r="AF940" s="319" t="s">
        <v>427</v>
      </c>
      <c r="AG940" s="319" t="s">
        <v>171</v>
      </c>
      <c r="AH940" s="319" t="s">
        <v>190</v>
      </c>
      <c r="AI940" s="319" t="s">
        <v>190</v>
      </c>
      <c r="AJ940" s="319" t="s">
        <v>190</v>
      </c>
      <c r="AK940" s="319" t="s">
        <v>190</v>
      </c>
      <c r="AL940" s="319" t="s">
        <v>190</v>
      </c>
      <c r="AM940" s="319" t="s">
        <v>190</v>
      </c>
      <c r="AN940" s="319" t="s">
        <v>190</v>
      </c>
      <c r="AO940" s="319" t="s">
        <v>190</v>
      </c>
      <c r="AP940" s="319" t="s">
        <v>190</v>
      </c>
      <c r="AQ940" s="319" t="s">
        <v>190</v>
      </c>
      <c r="AR940" s="319" t="s">
        <v>190</v>
      </c>
      <c r="AS940" s="319" t="s">
        <v>190</v>
      </c>
      <c r="AT940" s="319" t="s">
        <v>190</v>
      </c>
      <c r="AU940" s="319" t="s">
        <v>190</v>
      </c>
      <c r="AV940" s="319" t="s">
        <v>190</v>
      </c>
      <c r="AW940" s="319" t="s">
        <v>190</v>
      </c>
      <c r="AX940" s="319" t="s">
        <v>428</v>
      </c>
      <c r="AY940" s="319" t="s">
        <v>190</v>
      </c>
      <c r="AZ940" s="319" t="s">
        <v>190</v>
      </c>
      <c r="BA940" s="319" t="s">
        <v>190</v>
      </c>
      <c r="BB940" s="319" t="s">
        <v>190</v>
      </c>
      <c r="BC940" s="319" t="s">
        <v>190</v>
      </c>
      <c r="BD940" s="319" t="s">
        <v>190</v>
      </c>
      <c r="BE940" s="319" t="s">
        <v>190</v>
      </c>
      <c r="BF940" s="319" t="s">
        <v>428</v>
      </c>
      <c r="BG940" s="319" t="s">
        <v>428</v>
      </c>
      <c r="BH940" s="319" t="s">
        <v>190</v>
      </c>
      <c r="BI940" s="319" t="s">
        <v>190</v>
      </c>
      <c r="BJ940" s="319" t="s">
        <v>190</v>
      </c>
      <c r="BK940" s="319" t="s">
        <v>190</v>
      </c>
      <c r="BL940" s="319" t="s">
        <v>190</v>
      </c>
      <c r="BM940" s="319" t="s">
        <v>190</v>
      </c>
      <c r="BN940" s="319" t="s">
        <v>190</v>
      </c>
      <c r="BO940" s="319" t="s">
        <v>190</v>
      </c>
      <c r="BP940" s="319" t="s">
        <v>190</v>
      </c>
      <c r="BQ940" s="319" t="s">
        <v>190</v>
      </c>
      <c r="BR940" s="319" t="s">
        <v>190</v>
      </c>
      <c r="BS940" s="319" t="s">
        <v>190</v>
      </c>
      <c r="BT940" s="319" t="s">
        <v>190</v>
      </c>
      <c r="BU940" s="319" t="s">
        <v>190</v>
      </c>
      <c r="BV940" s="319" t="s">
        <v>190</v>
      </c>
      <c r="BW940" s="319" t="s">
        <v>190</v>
      </c>
      <c r="BX940" s="319" t="s">
        <v>190</v>
      </c>
      <c r="BY940" s="319" t="s">
        <v>190</v>
      </c>
      <c r="BZ940" s="319" t="s">
        <v>190</v>
      </c>
      <c r="CA940" s="319" t="s">
        <v>190</v>
      </c>
      <c r="CB940" s="319" t="s">
        <v>190</v>
      </c>
      <c r="CC940" s="319" t="s">
        <v>190</v>
      </c>
      <c r="CD940" s="319" t="s">
        <v>190</v>
      </c>
      <c r="CE940" s="319" t="s">
        <v>190</v>
      </c>
      <c r="CF940" s="319" t="s">
        <v>190</v>
      </c>
      <c r="CG940" s="319" t="s">
        <v>190</v>
      </c>
      <c r="CH940" s="319" t="s">
        <v>190</v>
      </c>
      <c r="CI940" s="319" t="s">
        <v>190</v>
      </c>
      <c r="CJ940" s="319" t="s">
        <v>190</v>
      </c>
      <c r="CK940" s="319" t="s">
        <v>190</v>
      </c>
      <c r="CL940" s="319" t="s">
        <v>190</v>
      </c>
      <c r="CM940" s="319" t="s">
        <v>190</v>
      </c>
      <c r="CN940" s="319" t="s">
        <v>190</v>
      </c>
      <c r="CO940" s="319" t="s">
        <v>190</v>
      </c>
      <c r="CP940" s="319" t="s">
        <v>190</v>
      </c>
      <c r="CQ940" s="319" t="s">
        <v>190</v>
      </c>
      <c r="CR940" s="319" t="s">
        <v>190</v>
      </c>
      <c r="CS940" s="319" t="s">
        <v>190</v>
      </c>
      <c r="CT940" s="319" t="s">
        <v>190</v>
      </c>
      <c r="CU940" s="319" t="s">
        <v>190</v>
      </c>
      <c r="CV940" s="319" t="s">
        <v>190</v>
      </c>
      <c r="CW940" s="319" t="s">
        <v>190</v>
      </c>
      <c r="CX940" s="319" t="s">
        <v>190</v>
      </c>
      <c r="CY940" s="319" t="s">
        <v>190</v>
      </c>
      <c r="CZ940" s="319" t="s">
        <v>190</v>
      </c>
      <c r="DA940" s="319" t="s">
        <v>190</v>
      </c>
      <c r="DB940" s="319" t="s">
        <v>190</v>
      </c>
      <c r="DC940" s="319" t="s">
        <v>190</v>
      </c>
      <c r="DD940" s="319" t="s">
        <v>190</v>
      </c>
      <c r="DE940" s="319" t="s">
        <v>190</v>
      </c>
      <c r="DF940" s="319" t="s">
        <v>190</v>
      </c>
      <c r="DG940" s="319" t="s">
        <v>190</v>
      </c>
      <c r="DH940" s="319" t="s">
        <v>190</v>
      </c>
      <c r="DI940" s="319" t="s">
        <v>190</v>
      </c>
      <c r="DJ940" s="319" t="s">
        <v>190</v>
      </c>
      <c r="DK940" s="319" t="s">
        <v>190</v>
      </c>
      <c r="DL940" s="319" t="s">
        <v>190</v>
      </c>
      <c r="DM940" s="319" t="s">
        <v>428</v>
      </c>
      <c r="DN940" s="319" t="s">
        <v>428</v>
      </c>
      <c r="DO940" s="319" t="s">
        <v>190</v>
      </c>
      <c r="DP940" s="319" t="s">
        <v>428</v>
      </c>
      <c r="DQ940" s="319" t="s">
        <v>428</v>
      </c>
      <c r="DR940" s="319" t="s">
        <v>428</v>
      </c>
      <c r="DS940" s="319" t="s">
        <v>428</v>
      </c>
      <c r="DT940" s="319" t="s">
        <v>428</v>
      </c>
      <c r="DU940" s="319" t="s">
        <v>428</v>
      </c>
      <c r="DV940" s="319" t="s">
        <v>173</v>
      </c>
      <c r="DW940" s="319" t="s">
        <v>428</v>
      </c>
      <c r="DX940" s="319" t="s">
        <v>428</v>
      </c>
      <c r="DY940" s="319" t="s">
        <v>428</v>
      </c>
      <c r="DZ940" s="319" t="s">
        <v>428</v>
      </c>
      <c r="EA940" s="319" t="s">
        <v>428</v>
      </c>
      <c r="EB940" s="319" t="s">
        <v>428</v>
      </c>
      <c r="EC940" s="319" t="s">
        <v>428</v>
      </c>
      <c r="ED940" s="319" t="s">
        <v>428</v>
      </c>
      <c r="EE940" s="319" t="s">
        <v>190</v>
      </c>
      <c r="EF940" s="319" t="s">
        <v>190</v>
      </c>
      <c r="EG940" s="319" t="s">
        <v>190</v>
      </c>
      <c r="EH940" s="319" t="s">
        <v>190</v>
      </c>
      <c r="EI940" s="319" t="s">
        <v>190</v>
      </c>
      <c r="EJ940" s="319" t="s">
        <v>190</v>
      </c>
      <c r="EK940" s="319" t="s">
        <v>190</v>
      </c>
      <c r="EL940" s="319" t="s">
        <v>428</v>
      </c>
      <c r="EM940" s="319" t="s">
        <v>190</v>
      </c>
      <c r="EN940" s="319" t="s">
        <v>190</v>
      </c>
      <c r="EO940" s="319" t="s">
        <v>190</v>
      </c>
      <c r="EP940" s="319" t="s">
        <v>190</v>
      </c>
      <c r="EQ940" s="319" t="s">
        <v>190</v>
      </c>
      <c r="ER940" s="319" t="s">
        <v>190</v>
      </c>
      <c r="ES940" s="319" t="s">
        <v>190</v>
      </c>
      <c r="ET940" s="319" t="s">
        <v>190</v>
      </c>
      <c r="EU940" s="319" t="s">
        <v>190</v>
      </c>
      <c r="EV940" s="319" t="s">
        <v>190</v>
      </c>
      <c r="EW940" s="319" t="s">
        <v>190</v>
      </c>
      <c r="EX940" s="319" t="s">
        <v>190</v>
      </c>
      <c r="EY940" s="319" t="s">
        <v>190</v>
      </c>
      <c r="EZ940" s="319" t="s">
        <v>190</v>
      </c>
      <c r="FA940" s="319" t="s">
        <v>428</v>
      </c>
      <c r="FB940" s="319" t="s">
        <v>428</v>
      </c>
      <c r="FC940" s="319" t="s">
        <v>428</v>
      </c>
      <c r="FD940" s="319" t="s">
        <v>428</v>
      </c>
      <c r="FE940" s="319" t="s">
        <v>428</v>
      </c>
      <c r="FF940" s="319" t="s">
        <v>428</v>
      </c>
      <c r="FG940" s="319" t="s">
        <v>428</v>
      </c>
      <c r="FH940" s="319" t="s">
        <v>190</v>
      </c>
      <c r="FI940" s="319" t="s">
        <v>190</v>
      </c>
      <c r="FJ940" s="319" t="s">
        <v>190</v>
      </c>
      <c r="FK940" s="319" t="s">
        <v>190</v>
      </c>
      <c r="FL940" s="319" t="s">
        <v>190</v>
      </c>
      <c r="FM940" s="319" t="s">
        <v>190</v>
      </c>
      <c r="FN940" s="319" t="s">
        <v>190</v>
      </c>
      <c r="FO940" s="319" t="s">
        <v>190</v>
      </c>
      <c r="FP940" s="319" t="s">
        <v>190</v>
      </c>
      <c r="FQ940" s="319" t="s">
        <v>190</v>
      </c>
      <c r="FR940" s="319" t="s">
        <v>190</v>
      </c>
      <c r="FS940" s="319" t="s">
        <v>428</v>
      </c>
      <c r="FT940" s="319" t="s">
        <v>190</v>
      </c>
      <c r="FU940" s="319" t="s">
        <v>190</v>
      </c>
      <c r="FV940" s="319" t="s">
        <v>190</v>
      </c>
      <c r="FW940" s="319" t="s">
        <v>190</v>
      </c>
      <c r="FX940" s="319" t="s">
        <v>190</v>
      </c>
      <c r="FY940" s="319" t="s">
        <v>190</v>
      </c>
      <c r="FZ940" s="319" t="s">
        <v>190</v>
      </c>
      <c r="GA940" s="319" t="s">
        <v>190</v>
      </c>
      <c r="GB940" s="319" t="s">
        <v>190</v>
      </c>
      <c r="GC940" s="319" t="s">
        <v>190</v>
      </c>
      <c r="GD940" s="319" t="s">
        <v>190</v>
      </c>
      <c r="GE940" s="319" t="s">
        <v>190</v>
      </c>
      <c r="GF940" s="319" t="s">
        <v>190</v>
      </c>
      <c r="GG940" s="319" t="s">
        <v>190</v>
      </c>
      <c r="GH940" s="319" t="s">
        <v>190</v>
      </c>
      <c r="GI940" s="319" t="s">
        <v>190</v>
      </c>
      <c r="GJ940" s="319" t="s">
        <v>190</v>
      </c>
      <c r="GK940" s="319" t="s">
        <v>428</v>
      </c>
      <c r="GL940" s="319" t="s">
        <v>190</v>
      </c>
      <c r="GM940" s="319" t="s">
        <v>190</v>
      </c>
      <c r="GN940" s="319" t="s">
        <v>190</v>
      </c>
      <c r="GO940" s="319" t="s">
        <v>190</v>
      </c>
      <c r="GP940" s="319" t="s">
        <v>428</v>
      </c>
      <c r="GQ940" s="319" t="s">
        <v>428</v>
      </c>
      <c r="GR940" s="319" t="s">
        <v>190</v>
      </c>
      <c r="GS940" s="319" t="s">
        <v>190</v>
      </c>
      <c r="GT940" s="319" t="s">
        <v>190</v>
      </c>
      <c r="GU940" s="319" t="s">
        <v>190</v>
      </c>
      <c r="GV940" s="319" t="s">
        <v>190</v>
      </c>
      <c r="GW940" s="319" t="s">
        <v>190</v>
      </c>
      <c r="GX940" s="319" t="s">
        <v>190</v>
      </c>
      <c r="GY940" s="319" t="s">
        <v>190</v>
      </c>
      <c r="GZ940" s="319" t="s">
        <v>190</v>
      </c>
      <c r="HA940" s="319" t="s">
        <v>428</v>
      </c>
      <c r="HB940" s="319" t="s">
        <v>190</v>
      </c>
      <c r="HC940" s="319" t="s">
        <v>190</v>
      </c>
      <c r="HD940" s="319" t="s">
        <v>190</v>
      </c>
      <c r="HE940" s="319" t="s">
        <v>190</v>
      </c>
      <c r="HF940" s="319" t="s">
        <v>190</v>
      </c>
      <c r="HG940" s="319" t="s">
        <v>190</v>
      </c>
      <c r="HH940" s="319" t="s">
        <v>190</v>
      </c>
      <c r="HI940" s="319" t="s">
        <v>428</v>
      </c>
      <c r="HJ940" s="319" t="s">
        <v>190</v>
      </c>
      <c r="HK940" s="319" t="s">
        <v>428</v>
      </c>
      <c r="HL940" s="319" t="s">
        <v>428</v>
      </c>
      <c r="HM940" s="319" t="s">
        <v>428</v>
      </c>
      <c r="HN940" s="319" t="s">
        <v>428</v>
      </c>
      <c r="HO940" s="319" t="s">
        <v>428</v>
      </c>
      <c r="HP940" s="319" t="s">
        <v>190</v>
      </c>
      <c r="HQ940" s="319" t="s">
        <v>190</v>
      </c>
      <c r="HR940" s="319" t="s">
        <v>190</v>
      </c>
      <c r="HS940" s="319" t="s">
        <v>190</v>
      </c>
      <c r="HT940" s="319" t="s">
        <v>190</v>
      </c>
      <c r="HU940" s="319" t="s">
        <v>190</v>
      </c>
      <c r="HV940" s="319" t="s">
        <v>190</v>
      </c>
      <c r="HW940" s="319" t="s">
        <v>190</v>
      </c>
      <c r="HX940" s="319" t="s">
        <v>190</v>
      </c>
      <c r="HY940" s="319" t="s">
        <v>190</v>
      </c>
      <c r="HZ940" s="319" t="s">
        <v>190</v>
      </c>
      <c r="IA940" s="319" t="s">
        <v>190</v>
      </c>
      <c r="IB940" s="319" t="s">
        <v>190</v>
      </c>
      <c r="IC940" s="319" t="s">
        <v>190</v>
      </c>
      <c r="ID940" s="319" t="s">
        <v>190</v>
      </c>
      <c r="IE940" s="319" t="s">
        <v>190</v>
      </c>
      <c r="IF940" s="319" t="s">
        <v>190</v>
      </c>
      <c r="IG940" s="319" t="s">
        <v>190</v>
      </c>
      <c r="IH940" s="319" t="s">
        <v>190</v>
      </c>
      <c r="II940" s="319" t="s">
        <v>190</v>
      </c>
      <c r="IJ940" s="319" t="s">
        <v>173</v>
      </c>
      <c r="IK940" s="319" t="s">
        <v>173</v>
      </c>
      <c r="IL940" s="319" t="s">
        <v>173</v>
      </c>
      <c r="IM940" s="319" t="s">
        <v>173</v>
      </c>
      <c r="IN940" s="319" t="s">
        <v>173</v>
      </c>
      <c r="IO940" s="319" t="s">
        <v>173</v>
      </c>
      <c r="IP940" s="319" t="s">
        <v>173</v>
      </c>
      <c r="IQ940" s="321" t="s">
        <v>173</v>
      </c>
      <c r="IR940" s="320" t="s">
        <v>173</v>
      </c>
      <c r="IS940" s="322" t="s">
        <v>173</v>
      </c>
      <c r="IT940" s="319" t="s">
        <v>173</v>
      </c>
    </row>
    <row r="941" spans="1:254" s="271" customFormat="1" x14ac:dyDescent="0.25">
      <c r="A941" s="318" t="str">
        <f>HYPERLINK("http://www.ofsted.gov.uk/inspection-reports/find-inspection-report/provider/ELS/145116 ","Ofsted School Webpage")</f>
        <v>Ofsted School Webpage</v>
      </c>
      <c r="B941" s="319">
        <v>145116</v>
      </c>
      <c r="C941" s="319">
        <v>8456063</v>
      </c>
      <c r="D941" s="319" t="s">
        <v>675</v>
      </c>
      <c r="E941" s="319" t="s">
        <v>168</v>
      </c>
      <c r="F941" s="319" t="s">
        <v>81</v>
      </c>
      <c r="G941" s="319" t="s">
        <v>81</v>
      </c>
      <c r="H941" s="319" t="s">
        <v>81</v>
      </c>
      <c r="I941" s="319" t="s">
        <v>78</v>
      </c>
      <c r="J941" s="319" t="s">
        <v>424</v>
      </c>
      <c r="K941" s="319" t="s">
        <v>514</v>
      </c>
      <c r="L941" s="319" t="s">
        <v>514</v>
      </c>
      <c r="M941" s="319" t="s">
        <v>676</v>
      </c>
      <c r="N941" s="319" t="s">
        <v>2937</v>
      </c>
      <c r="O941" s="319" t="s">
        <v>677</v>
      </c>
      <c r="P941" s="319">
        <v>3</v>
      </c>
      <c r="Q941" s="319" t="s">
        <v>2766</v>
      </c>
      <c r="R941" s="320">
        <v>10054084</v>
      </c>
      <c r="S941" s="321">
        <v>43417</v>
      </c>
      <c r="T941" s="321">
        <v>43419</v>
      </c>
      <c r="U941" s="321">
        <v>43446</v>
      </c>
      <c r="V941" s="319" t="s">
        <v>435</v>
      </c>
      <c r="W941" s="319" t="s">
        <v>2767</v>
      </c>
      <c r="X941" s="319">
        <v>1</v>
      </c>
      <c r="Y941" s="319" t="s">
        <v>173</v>
      </c>
      <c r="Z941" s="319" t="s">
        <v>173</v>
      </c>
      <c r="AA941" s="319" t="s">
        <v>173</v>
      </c>
      <c r="AB941" s="319">
        <v>1</v>
      </c>
      <c r="AC941" s="319" t="s">
        <v>169</v>
      </c>
      <c r="AD941" s="319" t="s">
        <v>173</v>
      </c>
      <c r="AE941" s="319" t="s">
        <v>173</v>
      </c>
      <c r="AF941" s="319" t="s">
        <v>427</v>
      </c>
      <c r="AG941" s="319" t="s">
        <v>171</v>
      </c>
      <c r="AH941" s="319" t="s">
        <v>190</v>
      </c>
      <c r="AI941" s="319" t="s">
        <v>190</v>
      </c>
      <c r="AJ941" s="319" t="s">
        <v>190</v>
      </c>
      <c r="AK941" s="319" t="s">
        <v>190</v>
      </c>
      <c r="AL941" s="319" t="s">
        <v>190</v>
      </c>
      <c r="AM941" s="319" t="s">
        <v>190</v>
      </c>
      <c r="AN941" s="319" t="s">
        <v>190</v>
      </c>
      <c r="AO941" s="319" t="s">
        <v>190</v>
      </c>
      <c r="AP941" s="319" t="s">
        <v>190</v>
      </c>
      <c r="AQ941" s="319" t="s">
        <v>190</v>
      </c>
      <c r="AR941" s="319" t="s">
        <v>190</v>
      </c>
      <c r="AS941" s="319" t="s">
        <v>190</v>
      </c>
      <c r="AT941" s="319" t="s">
        <v>190</v>
      </c>
      <c r="AU941" s="319" t="s">
        <v>190</v>
      </c>
      <c r="AV941" s="319" t="s">
        <v>190</v>
      </c>
      <c r="AW941" s="319" t="s">
        <v>190</v>
      </c>
      <c r="AX941" s="319" t="s">
        <v>428</v>
      </c>
      <c r="AY941" s="319" t="s">
        <v>190</v>
      </c>
      <c r="AZ941" s="319" t="s">
        <v>190</v>
      </c>
      <c r="BA941" s="319" t="s">
        <v>190</v>
      </c>
      <c r="BB941" s="319" t="s">
        <v>190</v>
      </c>
      <c r="BC941" s="319" t="s">
        <v>190</v>
      </c>
      <c r="BD941" s="319" t="s">
        <v>190</v>
      </c>
      <c r="BE941" s="319" t="s">
        <v>190</v>
      </c>
      <c r="BF941" s="319" t="s">
        <v>428</v>
      </c>
      <c r="BG941" s="319" t="s">
        <v>428</v>
      </c>
      <c r="BH941" s="319" t="s">
        <v>190</v>
      </c>
      <c r="BI941" s="319" t="s">
        <v>190</v>
      </c>
      <c r="BJ941" s="319" t="s">
        <v>190</v>
      </c>
      <c r="BK941" s="319" t="s">
        <v>190</v>
      </c>
      <c r="BL941" s="319" t="s">
        <v>190</v>
      </c>
      <c r="BM941" s="319" t="s">
        <v>190</v>
      </c>
      <c r="BN941" s="319" t="s">
        <v>190</v>
      </c>
      <c r="BO941" s="319" t="s">
        <v>190</v>
      </c>
      <c r="BP941" s="319" t="s">
        <v>190</v>
      </c>
      <c r="BQ941" s="319" t="s">
        <v>190</v>
      </c>
      <c r="BR941" s="319" t="s">
        <v>190</v>
      </c>
      <c r="BS941" s="319" t="s">
        <v>190</v>
      </c>
      <c r="BT941" s="319" t="s">
        <v>190</v>
      </c>
      <c r="BU941" s="319" t="s">
        <v>190</v>
      </c>
      <c r="BV941" s="319" t="s">
        <v>190</v>
      </c>
      <c r="BW941" s="319" t="s">
        <v>190</v>
      </c>
      <c r="BX941" s="319" t="s">
        <v>190</v>
      </c>
      <c r="BY941" s="319" t="s">
        <v>190</v>
      </c>
      <c r="BZ941" s="319" t="s">
        <v>190</v>
      </c>
      <c r="CA941" s="319" t="s">
        <v>190</v>
      </c>
      <c r="CB941" s="319" t="s">
        <v>190</v>
      </c>
      <c r="CC941" s="319" t="s">
        <v>190</v>
      </c>
      <c r="CD941" s="319" t="s">
        <v>190</v>
      </c>
      <c r="CE941" s="319" t="s">
        <v>190</v>
      </c>
      <c r="CF941" s="319" t="s">
        <v>190</v>
      </c>
      <c r="CG941" s="319" t="s">
        <v>190</v>
      </c>
      <c r="CH941" s="319" t="s">
        <v>190</v>
      </c>
      <c r="CI941" s="319" t="s">
        <v>190</v>
      </c>
      <c r="CJ941" s="319" t="s">
        <v>190</v>
      </c>
      <c r="CK941" s="319" t="s">
        <v>190</v>
      </c>
      <c r="CL941" s="319" t="s">
        <v>190</v>
      </c>
      <c r="CM941" s="319" t="s">
        <v>190</v>
      </c>
      <c r="CN941" s="319" t="s">
        <v>428</v>
      </c>
      <c r="CO941" s="319" t="s">
        <v>428</v>
      </c>
      <c r="CP941" s="319" t="s">
        <v>428</v>
      </c>
      <c r="CQ941" s="319" t="s">
        <v>190</v>
      </c>
      <c r="CR941" s="319" t="s">
        <v>190</v>
      </c>
      <c r="CS941" s="319" t="s">
        <v>190</v>
      </c>
      <c r="CT941" s="319" t="s">
        <v>190</v>
      </c>
      <c r="CU941" s="319" t="s">
        <v>190</v>
      </c>
      <c r="CV941" s="319" t="s">
        <v>190</v>
      </c>
      <c r="CW941" s="319" t="s">
        <v>190</v>
      </c>
      <c r="CX941" s="319" t="s">
        <v>190</v>
      </c>
      <c r="CY941" s="319" t="s">
        <v>190</v>
      </c>
      <c r="CZ941" s="319" t="s">
        <v>190</v>
      </c>
      <c r="DA941" s="319" t="s">
        <v>190</v>
      </c>
      <c r="DB941" s="319" t="s">
        <v>190</v>
      </c>
      <c r="DC941" s="319" t="s">
        <v>190</v>
      </c>
      <c r="DD941" s="319" t="s">
        <v>190</v>
      </c>
      <c r="DE941" s="319" t="s">
        <v>190</v>
      </c>
      <c r="DF941" s="319" t="s">
        <v>190</v>
      </c>
      <c r="DG941" s="319" t="s">
        <v>190</v>
      </c>
      <c r="DH941" s="319" t="s">
        <v>190</v>
      </c>
      <c r="DI941" s="319" t="s">
        <v>190</v>
      </c>
      <c r="DJ941" s="319" t="s">
        <v>190</v>
      </c>
      <c r="DK941" s="319" t="s">
        <v>190</v>
      </c>
      <c r="DL941" s="319" t="s">
        <v>190</v>
      </c>
      <c r="DM941" s="319" t="s">
        <v>190</v>
      </c>
      <c r="DN941" s="319" t="s">
        <v>428</v>
      </c>
      <c r="DO941" s="319" t="s">
        <v>190</v>
      </c>
      <c r="DP941" s="319" t="s">
        <v>428</v>
      </c>
      <c r="DQ941" s="319" t="s">
        <v>428</v>
      </c>
      <c r="DR941" s="319" t="s">
        <v>428</v>
      </c>
      <c r="DS941" s="319" t="s">
        <v>428</v>
      </c>
      <c r="DT941" s="319" t="s">
        <v>428</v>
      </c>
      <c r="DU941" s="319" t="s">
        <v>428</v>
      </c>
      <c r="DV941" s="319" t="s">
        <v>173</v>
      </c>
      <c r="DW941" s="319" t="s">
        <v>428</v>
      </c>
      <c r="DX941" s="319" t="s">
        <v>428</v>
      </c>
      <c r="DY941" s="319" t="s">
        <v>428</v>
      </c>
      <c r="DZ941" s="319" t="s">
        <v>428</v>
      </c>
      <c r="EA941" s="319" t="s">
        <v>428</v>
      </c>
      <c r="EB941" s="319" t="s">
        <v>428</v>
      </c>
      <c r="EC941" s="319" t="s">
        <v>428</v>
      </c>
      <c r="ED941" s="319" t="s">
        <v>428</v>
      </c>
      <c r="EE941" s="319" t="s">
        <v>190</v>
      </c>
      <c r="EF941" s="319" t="s">
        <v>190</v>
      </c>
      <c r="EG941" s="319" t="s">
        <v>190</v>
      </c>
      <c r="EH941" s="319" t="s">
        <v>190</v>
      </c>
      <c r="EI941" s="319" t="s">
        <v>190</v>
      </c>
      <c r="EJ941" s="319" t="s">
        <v>190</v>
      </c>
      <c r="EK941" s="319" t="s">
        <v>190</v>
      </c>
      <c r="EL941" s="319" t="s">
        <v>190</v>
      </c>
      <c r="EM941" s="319" t="s">
        <v>190</v>
      </c>
      <c r="EN941" s="319" t="s">
        <v>190</v>
      </c>
      <c r="EO941" s="319" t="s">
        <v>190</v>
      </c>
      <c r="EP941" s="319" t="s">
        <v>190</v>
      </c>
      <c r="EQ941" s="319" t="s">
        <v>190</v>
      </c>
      <c r="ER941" s="319" t="s">
        <v>190</v>
      </c>
      <c r="ES941" s="319" t="s">
        <v>190</v>
      </c>
      <c r="ET941" s="319" t="s">
        <v>190</v>
      </c>
      <c r="EU941" s="319" t="s">
        <v>190</v>
      </c>
      <c r="EV941" s="319" t="s">
        <v>190</v>
      </c>
      <c r="EW941" s="319" t="s">
        <v>190</v>
      </c>
      <c r="EX941" s="319" t="s">
        <v>190</v>
      </c>
      <c r="EY941" s="319" t="s">
        <v>190</v>
      </c>
      <c r="EZ941" s="319" t="s">
        <v>190</v>
      </c>
      <c r="FA941" s="319" t="s">
        <v>190</v>
      </c>
      <c r="FB941" s="319" t="s">
        <v>428</v>
      </c>
      <c r="FC941" s="319" t="s">
        <v>428</v>
      </c>
      <c r="FD941" s="319" t="s">
        <v>428</v>
      </c>
      <c r="FE941" s="319" t="s">
        <v>428</v>
      </c>
      <c r="FF941" s="319" t="s">
        <v>428</v>
      </c>
      <c r="FG941" s="319" t="s">
        <v>428</v>
      </c>
      <c r="FH941" s="319" t="s">
        <v>190</v>
      </c>
      <c r="FI941" s="319" t="s">
        <v>190</v>
      </c>
      <c r="FJ941" s="319" t="s">
        <v>190</v>
      </c>
      <c r="FK941" s="319" t="s">
        <v>190</v>
      </c>
      <c r="FL941" s="319" t="s">
        <v>190</v>
      </c>
      <c r="FM941" s="319" t="s">
        <v>190</v>
      </c>
      <c r="FN941" s="319" t="s">
        <v>428</v>
      </c>
      <c r="FO941" s="319" t="s">
        <v>190</v>
      </c>
      <c r="FP941" s="319" t="s">
        <v>190</v>
      </c>
      <c r="FQ941" s="319" t="s">
        <v>190</v>
      </c>
      <c r="FR941" s="319" t="s">
        <v>190</v>
      </c>
      <c r="FS941" s="319" t="s">
        <v>190</v>
      </c>
      <c r="FT941" s="319" t="s">
        <v>190</v>
      </c>
      <c r="FU941" s="319" t="s">
        <v>190</v>
      </c>
      <c r="FV941" s="319" t="s">
        <v>190</v>
      </c>
      <c r="FW941" s="319" t="s">
        <v>190</v>
      </c>
      <c r="FX941" s="319" t="s">
        <v>190</v>
      </c>
      <c r="FY941" s="319" t="s">
        <v>190</v>
      </c>
      <c r="FZ941" s="319" t="s">
        <v>190</v>
      </c>
      <c r="GA941" s="319" t="s">
        <v>190</v>
      </c>
      <c r="GB941" s="319" t="s">
        <v>190</v>
      </c>
      <c r="GC941" s="319" t="s">
        <v>190</v>
      </c>
      <c r="GD941" s="319" t="s">
        <v>190</v>
      </c>
      <c r="GE941" s="319" t="s">
        <v>190</v>
      </c>
      <c r="GF941" s="319" t="s">
        <v>190</v>
      </c>
      <c r="GG941" s="319" t="s">
        <v>190</v>
      </c>
      <c r="GH941" s="319" t="s">
        <v>190</v>
      </c>
      <c r="GI941" s="319" t="s">
        <v>190</v>
      </c>
      <c r="GJ941" s="319" t="s">
        <v>190</v>
      </c>
      <c r="GK941" s="319" t="s">
        <v>428</v>
      </c>
      <c r="GL941" s="319" t="s">
        <v>190</v>
      </c>
      <c r="GM941" s="319" t="s">
        <v>190</v>
      </c>
      <c r="GN941" s="319" t="s">
        <v>190</v>
      </c>
      <c r="GO941" s="319" t="s">
        <v>190</v>
      </c>
      <c r="GP941" s="319" t="s">
        <v>428</v>
      </c>
      <c r="GQ941" s="319" t="s">
        <v>428</v>
      </c>
      <c r="GR941" s="319" t="s">
        <v>190</v>
      </c>
      <c r="GS941" s="319" t="s">
        <v>190</v>
      </c>
      <c r="GT941" s="319" t="s">
        <v>190</v>
      </c>
      <c r="GU941" s="319" t="s">
        <v>190</v>
      </c>
      <c r="GV941" s="319" t="s">
        <v>190</v>
      </c>
      <c r="GW941" s="319" t="s">
        <v>190</v>
      </c>
      <c r="GX941" s="319" t="s">
        <v>190</v>
      </c>
      <c r="GY941" s="319" t="s">
        <v>190</v>
      </c>
      <c r="GZ941" s="319" t="s">
        <v>190</v>
      </c>
      <c r="HA941" s="319" t="s">
        <v>190</v>
      </c>
      <c r="HB941" s="319" t="s">
        <v>190</v>
      </c>
      <c r="HC941" s="319" t="s">
        <v>190</v>
      </c>
      <c r="HD941" s="319" t="s">
        <v>190</v>
      </c>
      <c r="HE941" s="319" t="s">
        <v>190</v>
      </c>
      <c r="HF941" s="319" t="s">
        <v>190</v>
      </c>
      <c r="HG941" s="319" t="s">
        <v>190</v>
      </c>
      <c r="HH941" s="319" t="s">
        <v>190</v>
      </c>
      <c r="HI941" s="319" t="s">
        <v>190</v>
      </c>
      <c r="HJ941" s="319" t="s">
        <v>190</v>
      </c>
      <c r="HK941" s="319" t="s">
        <v>428</v>
      </c>
      <c r="HL941" s="319" t="s">
        <v>190</v>
      </c>
      <c r="HM941" s="319" t="s">
        <v>428</v>
      </c>
      <c r="HN941" s="319" t="s">
        <v>428</v>
      </c>
      <c r="HO941" s="319" t="s">
        <v>428</v>
      </c>
      <c r="HP941" s="319" t="s">
        <v>190</v>
      </c>
      <c r="HQ941" s="319" t="s">
        <v>190</v>
      </c>
      <c r="HR941" s="319" t="s">
        <v>190</v>
      </c>
      <c r="HS941" s="319" t="s">
        <v>190</v>
      </c>
      <c r="HT941" s="319" t="s">
        <v>190</v>
      </c>
      <c r="HU941" s="319" t="s">
        <v>190</v>
      </c>
      <c r="HV941" s="319" t="s">
        <v>190</v>
      </c>
      <c r="HW941" s="319" t="s">
        <v>190</v>
      </c>
      <c r="HX941" s="319" t="s">
        <v>190</v>
      </c>
      <c r="HY941" s="319" t="s">
        <v>190</v>
      </c>
      <c r="HZ941" s="319" t="s">
        <v>190</v>
      </c>
      <c r="IA941" s="319" t="s">
        <v>190</v>
      </c>
      <c r="IB941" s="319" t="s">
        <v>190</v>
      </c>
      <c r="IC941" s="319" t="s">
        <v>190</v>
      </c>
      <c r="ID941" s="319" t="s">
        <v>190</v>
      </c>
      <c r="IE941" s="319" t="s">
        <v>190</v>
      </c>
      <c r="IF941" s="319" t="s">
        <v>190</v>
      </c>
      <c r="IG941" s="319" t="s">
        <v>190</v>
      </c>
      <c r="IH941" s="319" t="s">
        <v>190</v>
      </c>
      <c r="II941" s="319" t="s">
        <v>190</v>
      </c>
      <c r="IJ941" s="319" t="s">
        <v>173</v>
      </c>
      <c r="IK941" s="319" t="s">
        <v>173</v>
      </c>
      <c r="IL941" s="319" t="s">
        <v>173</v>
      </c>
      <c r="IM941" s="319" t="s">
        <v>173</v>
      </c>
      <c r="IN941" s="319" t="s">
        <v>173</v>
      </c>
      <c r="IO941" s="319" t="s">
        <v>173</v>
      </c>
      <c r="IP941" s="319" t="s">
        <v>173</v>
      </c>
      <c r="IQ941" s="321" t="s">
        <v>173</v>
      </c>
      <c r="IR941" s="320" t="s">
        <v>173</v>
      </c>
      <c r="IS941" s="322" t="s">
        <v>173</v>
      </c>
      <c r="IT941" s="319" t="s">
        <v>173</v>
      </c>
    </row>
    <row r="942" spans="1:254" s="271" customFormat="1" x14ac:dyDescent="0.25">
      <c r="A942" s="318" t="str">
        <f>HYPERLINK("http://www.ofsted.gov.uk/inspection-reports/find-inspection-report/provider/ELS/145127 ","Ofsted School Webpage")</f>
        <v>Ofsted School Webpage</v>
      </c>
      <c r="B942" s="319">
        <v>145127</v>
      </c>
      <c r="C942" s="319">
        <v>8416008</v>
      </c>
      <c r="D942" s="319" t="s">
        <v>473</v>
      </c>
      <c r="E942" s="319" t="s">
        <v>168</v>
      </c>
      <c r="F942" s="319" t="s">
        <v>81</v>
      </c>
      <c r="G942" s="319" t="s">
        <v>81</v>
      </c>
      <c r="H942" s="319" t="s">
        <v>81</v>
      </c>
      <c r="I942" s="319" t="s">
        <v>78</v>
      </c>
      <c r="J942" s="319" t="s">
        <v>424</v>
      </c>
      <c r="K942" s="319" t="s">
        <v>458</v>
      </c>
      <c r="L942" s="319" t="s">
        <v>474</v>
      </c>
      <c r="M942" s="319" t="s">
        <v>475</v>
      </c>
      <c r="N942" s="319" t="s">
        <v>475</v>
      </c>
      <c r="O942" s="319" t="s">
        <v>476</v>
      </c>
      <c r="P942" s="319">
        <v>13</v>
      </c>
      <c r="Q942" s="319" t="s">
        <v>2766</v>
      </c>
      <c r="R942" s="320">
        <v>10053840</v>
      </c>
      <c r="S942" s="321">
        <v>43368</v>
      </c>
      <c r="T942" s="321">
        <v>43370</v>
      </c>
      <c r="U942" s="321">
        <v>43415</v>
      </c>
      <c r="V942" s="319" t="s">
        <v>435</v>
      </c>
      <c r="W942" s="319" t="s">
        <v>2767</v>
      </c>
      <c r="X942" s="319">
        <v>2</v>
      </c>
      <c r="Y942" s="319" t="s">
        <v>173</v>
      </c>
      <c r="Z942" s="319" t="s">
        <v>173</v>
      </c>
      <c r="AA942" s="319" t="s">
        <v>173</v>
      </c>
      <c r="AB942" s="319">
        <v>2</v>
      </c>
      <c r="AC942" s="319" t="s">
        <v>169</v>
      </c>
      <c r="AD942" s="319" t="s">
        <v>173</v>
      </c>
      <c r="AE942" s="319" t="s">
        <v>173</v>
      </c>
      <c r="AF942" s="319" t="s">
        <v>427</v>
      </c>
      <c r="AG942" s="319" t="s">
        <v>171</v>
      </c>
      <c r="AH942" s="319" t="s">
        <v>190</v>
      </c>
      <c r="AI942" s="319" t="s">
        <v>190</v>
      </c>
      <c r="AJ942" s="319" t="s">
        <v>190</v>
      </c>
      <c r="AK942" s="319" t="s">
        <v>190</v>
      </c>
      <c r="AL942" s="319" t="s">
        <v>190</v>
      </c>
      <c r="AM942" s="319" t="s">
        <v>190</v>
      </c>
      <c r="AN942" s="319" t="s">
        <v>190</v>
      </c>
      <c r="AO942" s="319" t="s">
        <v>190</v>
      </c>
      <c r="AP942" s="319" t="s">
        <v>190</v>
      </c>
      <c r="AQ942" s="319" t="s">
        <v>190</v>
      </c>
      <c r="AR942" s="319" t="s">
        <v>190</v>
      </c>
      <c r="AS942" s="319" t="s">
        <v>190</v>
      </c>
      <c r="AT942" s="319" t="s">
        <v>190</v>
      </c>
      <c r="AU942" s="319" t="s">
        <v>190</v>
      </c>
      <c r="AV942" s="319" t="s">
        <v>190</v>
      </c>
      <c r="AW942" s="319" t="s">
        <v>190</v>
      </c>
      <c r="AX942" s="319" t="s">
        <v>428</v>
      </c>
      <c r="AY942" s="319" t="s">
        <v>190</v>
      </c>
      <c r="AZ942" s="319" t="s">
        <v>190</v>
      </c>
      <c r="BA942" s="319" t="s">
        <v>190</v>
      </c>
      <c r="BB942" s="319" t="s">
        <v>190</v>
      </c>
      <c r="BC942" s="319" t="s">
        <v>190</v>
      </c>
      <c r="BD942" s="319" t="s">
        <v>190</v>
      </c>
      <c r="BE942" s="319" t="s">
        <v>190</v>
      </c>
      <c r="BF942" s="319" t="s">
        <v>428</v>
      </c>
      <c r="BG942" s="319" t="s">
        <v>428</v>
      </c>
      <c r="BH942" s="319" t="s">
        <v>190</v>
      </c>
      <c r="BI942" s="319" t="s">
        <v>190</v>
      </c>
      <c r="BJ942" s="319" t="s">
        <v>190</v>
      </c>
      <c r="BK942" s="319" t="s">
        <v>190</v>
      </c>
      <c r="BL942" s="319" t="s">
        <v>190</v>
      </c>
      <c r="BM942" s="319" t="s">
        <v>190</v>
      </c>
      <c r="BN942" s="319" t="s">
        <v>190</v>
      </c>
      <c r="BO942" s="319" t="s">
        <v>190</v>
      </c>
      <c r="BP942" s="319" t="s">
        <v>190</v>
      </c>
      <c r="BQ942" s="319" t="s">
        <v>190</v>
      </c>
      <c r="BR942" s="319" t="s">
        <v>190</v>
      </c>
      <c r="BS942" s="319" t="s">
        <v>190</v>
      </c>
      <c r="BT942" s="319" t="s">
        <v>190</v>
      </c>
      <c r="BU942" s="319" t="s">
        <v>190</v>
      </c>
      <c r="BV942" s="319" t="s">
        <v>190</v>
      </c>
      <c r="BW942" s="319" t="s">
        <v>190</v>
      </c>
      <c r="BX942" s="319" t="s">
        <v>190</v>
      </c>
      <c r="BY942" s="319" t="s">
        <v>190</v>
      </c>
      <c r="BZ942" s="319" t="s">
        <v>190</v>
      </c>
      <c r="CA942" s="319" t="s">
        <v>190</v>
      </c>
      <c r="CB942" s="319" t="s">
        <v>190</v>
      </c>
      <c r="CC942" s="319" t="s">
        <v>190</v>
      </c>
      <c r="CD942" s="319" t="s">
        <v>190</v>
      </c>
      <c r="CE942" s="319" t="s">
        <v>190</v>
      </c>
      <c r="CF942" s="319" t="s">
        <v>190</v>
      </c>
      <c r="CG942" s="319" t="s">
        <v>190</v>
      </c>
      <c r="CH942" s="319" t="s">
        <v>190</v>
      </c>
      <c r="CI942" s="319" t="s">
        <v>190</v>
      </c>
      <c r="CJ942" s="319" t="s">
        <v>190</v>
      </c>
      <c r="CK942" s="319" t="s">
        <v>190</v>
      </c>
      <c r="CL942" s="319" t="s">
        <v>190</v>
      </c>
      <c r="CM942" s="319" t="s">
        <v>190</v>
      </c>
      <c r="CN942" s="319" t="s">
        <v>428</v>
      </c>
      <c r="CO942" s="319" t="s">
        <v>428</v>
      </c>
      <c r="CP942" s="319" t="s">
        <v>428</v>
      </c>
      <c r="CQ942" s="319" t="s">
        <v>190</v>
      </c>
      <c r="CR942" s="319" t="s">
        <v>190</v>
      </c>
      <c r="CS942" s="319" t="s">
        <v>190</v>
      </c>
      <c r="CT942" s="319" t="s">
        <v>190</v>
      </c>
      <c r="CU942" s="319" t="s">
        <v>190</v>
      </c>
      <c r="CV942" s="319" t="s">
        <v>190</v>
      </c>
      <c r="CW942" s="319" t="s">
        <v>190</v>
      </c>
      <c r="CX942" s="319" t="s">
        <v>190</v>
      </c>
      <c r="CY942" s="319" t="s">
        <v>190</v>
      </c>
      <c r="CZ942" s="319" t="s">
        <v>190</v>
      </c>
      <c r="DA942" s="319" t="s">
        <v>190</v>
      </c>
      <c r="DB942" s="319" t="s">
        <v>190</v>
      </c>
      <c r="DC942" s="319" t="s">
        <v>190</v>
      </c>
      <c r="DD942" s="319" t="s">
        <v>190</v>
      </c>
      <c r="DE942" s="319" t="s">
        <v>190</v>
      </c>
      <c r="DF942" s="319" t="s">
        <v>190</v>
      </c>
      <c r="DG942" s="319" t="s">
        <v>190</v>
      </c>
      <c r="DH942" s="319" t="s">
        <v>190</v>
      </c>
      <c r="DI942" s="319" t="s">
        <v>190</v>
      </c>
      <c r="DJ942" s="319" t="s">
        <v>190</v>
      </c>
      <c r="DK942" s="319" t="s">
        <v>190</v>
      </c>
      <c r="DL942" s="319" t="s">
        <v>190</v>
      </c>
      <c r="DM942" s="319" t="s">
        <v>428</v>
      </c>
      <c r="DN942" s="319" t="s">
        <v>428</v>
      </c>
      <c r="DO942" s="319" t="s">
        <v>190</v>
      </c>
      <c r="DP942" s="319" t="s">
        <v>190</v>
      </c>
      <c r="DQ942" s="319" t="s">
        <v>190</v>
      </c>
      <c r="DR942" s="319" t="s">
        <v>190</v>
      </c>
      <c r="DS942" s="319" t="s">
        <v>190</v>
      </c>
      <c r="DT942" s="319" t="s">
        <v>190</v>
      </c>
      <c r="DU942" s="319" t="s">
        <v>190</v>
      </c>
      <c r="DV942" s="319" t="s">
        <v>173</v>
      </c>
      <c r="DW942" s="319" t="s">
        <v>190</v>
      </c>
      <c r="DX942" s="319" t="s">
        <v>190</v>
      </c>
      <c r="DY942" s="319" t="s">
        <v>190</v>
      </c>
      <c r="DZ942" s="319" t="s">
        <v>190</v>
      </c>
      <c r="EA942" s="319" t="s">
        <v>190</v>
      </c>
      <c r="EB942" s="319" t="s">
        <v>190</v>
      </c>
      <c r="EC942" s="319" t="s">
        <v>428</v>
      </c>
      <c r="ED942" s="319" t="s">
        <v>190</v>
      </c>
      <c r="EE942" s="319" t="s">
        <v>190</v>
      </c>
      <c r="EF942" s="319" t="s">
        <v>190</v>
      </c>
      <c r="EG942" s="319" t="s">
        <v>190</v>
      </c>
      <c r="EH942" s="319" t="s">
        <v>190</v>
      </c>
      <c r="EI942" s="319" t="s">
        <v>190</v>
      </c>
      <c r="EJ942" s="319" t="s">
        <v>190</v>
      </c>
      <c r="EK942" s="319" t="s">
        <v>190</v>
      </c>
      <c r="EL942" s="319" t="s">
        <v>190</v>
      </c>
      <c r="EM942" s="319" t="s">
        <v>190</v>
      </c>
      <c r="EN942" s="319" t="s">
        <v>190</v>
      </c>
      <c r="EO942" s="319" t="s">
        <v>190</v>
      </c>
      <c r="EP942" s="319" t="s">
        <v>190</v>
      </c>
      <c r="EQ942" s="319" t="s">
        <v>190</v>
      </c>
      <c r="ER942" s="319" t="s">
        <v>190</v>
      </c>
      <c r="ES942" s="319" t="s">
        <v>190</v>
      </c>
      <c r="ET942" s="319" t="s">
        <v>190</v>
      </c>
      <c r="EU942" s="319" t="s">
        <v>190</v>
      </c>
      <c r="EV942" s="319" t="s">
        <v>190</v>
      </c>
      <c r="EW942" s="319" t="s">
        <v>190</v>
      </c>
      <c r="EX942" s="319" t="s">
        <v>190</v>
      </c>
      <c r="EY942" s="319" t="s">
        <v>190</v>
      </c>
      <c r="EZ942" s="319" t="s">
        <v>190</v>
      </c>
      <c r="FA942" s="319" t="s">
        <v>428</v>
      </c>
      <c r="FB942" s="319" t="s">
        <v>428</v>
      </c>
      <c r="FC942" s="319" t="s">
        <v>428</v>
      </c>
      <c r="FD942" s="319" t="s">
        <v>428</v>
      </c>
      <c r="FE942" s="319" t="s">
        <v>428</v>
      </c>
      <c r="FF942" s="319" t="s">
        <v>428</v>
      </c>
      <c r="FG942" s="319" t="s">
        <v>428</v>
      </c>
      <c r="FH942" s="319" t="s">
        <v>190</v>
      </c>
      <c r="FI942" s="319" t="s">
        <v>428</v>
      </c>
      <c r="FJ942" s="319" t="s">
        <v>429</v>
      </c>
      <c r="FK942" s="319" t="s">
        <v>428</v>
      </c>
      <c r="FL942" s="319" t="s">
        <v>190</v>
      </c>
      <c r="FM942" s="319" t="s">
        <v>190</v>
      </c>
      <c r="FN942" s="319" t="s">
        <v>190</v>
      </c>
      <c r="FO942" s="319" t="s">
        <v>190</v>
      </c>
      <c r="FP942" s="319" t="s">
        <v>190</v>
      </c>
      <c r="FQ942" s="319" t="s">
        <v>190</v>
      </c>
      <c r="FR942" s="319" t="s">
        <v>190</v>
      </c>
      <c r="FS942" s="319" t="s">
        <v>428</v>
      </c>
      <c r="FT942" s="319" t="s">
        <v>190</v>
      </c>
      <c r="FU942" s="319" t="s">
        <v>190</v>
      </c>
      <c r="FV942" s="319" t="s">
        <v>190</v>
      </c>
      <c r="FW942" s="319" t="s">
        <v>190</v>
      </c>
      <c r="FX942" s="319" t="s">
        <v>190</v>
      </c>
      <c r="FY942" s="319" t="s">
        <v>190</v>
      </c>
      <c r="FZ942" s="319" t="s">
        <v>190</v>
      </c>
      <c r="GA942" s="319" t="s">
        <v>190</v>
      </c>
      <c r="GB942" s="319" t="s">
        <v>190</v>
      </c>
      <c r="GC942" s="319" t="s">
        <v>190</v>
      </c>
      <c r="GD942" s="319" t="s">
        <v>190</v>
      </c>
      <c r="GE942" s="319" t="s">
        <v>190</v>
      </c>
      <c r="GF942" s="319" t="s">
        <v>190</v>
      </c>
      <c r="GG942" s="319" t="s">
        <v>190</v>
      </c>
      <c r="GH942" s="319" t="s">
        <v>190</v>
      </c>
      <c r="GI942" s="319" t="s">
        <v>190</v>
      </c>
      <c r="GJ942" s="319" t="s">
        <v>190</v>
      </c>
      <c r="GK942" s="319" t="s">
        <v>428</v>
      </c>
      <c r="GL942" s="319" t="s">
        <v>190</v>
      </c>
      <c r="GM942" s="319" t="s">
        <v>190</v>
      </c>
      <c r="GN942" s="319" t="s">
        <v>190</v>
      </c>
      <c r="GO942" s="319" t="s">
        <v>190</v>
      </c>
      <c r="GP942" s="319" t="s">
        <v>428</v>
      </c>
      <c r="GQ942" s="319" t="s">
        <v>428</v>
      </c>
      <c r="GR942" s="319" t="s">
        <v>190</v>
      </c>
      <c r="GS942" s="319" t="s">
        <v>190</v>
      </c>
      <c r="GT942" s="319" t="s">
        <v>190</v>
      </c>
      <c r="GU942" s="319" t="s">
        <v>190</v>
      </c>
      <c r="GV942" s="319" t="s">
        <v>190</v>
      </c>
      <c r="GW942" s="319" t="s">
        <v>190</v>
      </c>
      <c r="GX942" s="319" t="s">
        <v>190</v>
      </c>
      <c r="GY942" s="319" t="s">
        <v>190</v>
      </c>
      <c r="GZ942" s="319" t="s">
        <v>428</v>
      </c>
      <c r="HA942" s="319" t="s">
        <v>190</v>
      </c>
      <c r="HB942" s="319" t="s">
        <v>428</v>
      </c>
      <c r="HC942" s="319" t="s">
        <v>190</v>
      </c>
      <c r="HD942" s="319" t="s">
        <v>190</v>
      </c>
      <c r="HE942" s="319" t="s">
        <v>190</v>
      </c>
      <c r="HF942" s="319" t="s">
        <v>190</v>
      </c>
      <c r="HG942" s="319" t="s">
        <v>190</v>
      </c>
      <c r="HH942" s="319" t="s">
        <v>190</v>
      </c>
      <c r="HI942" s="319" t="s">
        <v>190</v>
      </c>
      <c r="HJ942" s="319" t="s">
        <v>190</v>
      </c>
      <c r="HK942" s="319" t="s">
        <v>428</v>
      </c>
      <c r="HL942" s="319" t="s">
        <v>428</v>
      </c>
      <c r="HM942" s="319" t="s">
        <v>428</v>
      </c>
      <c r="HN942" s="319" t="s">
        <v>428</v>
      </c>
      <c r="HO942" s="319" t="s">
        <v>428</v>
      </c>
      <c r="HP942" s="319" t="s">
        <v>190</v>
      </c>
      <c r="HQ942" s="319" t="s">
        <v>190</v>
      </c>
      <c r="HR942" s="319" t="s">
        <v>190</v>
      </c>
      <c r="HS942" s="319" t="s">
        <v>190</v>
      </c>
      <c r="HT942" s="319" t="s">
        <v>190</v>
      </c>
      <c r="HU942" s="319" t="s">
        <v>190</v>
      </c>
      <c r="HV942" s="319" t="s">
        <v>190</v>
      </c>
      <c r="HW942" s="319" t="s">
        <v>190</v>
      </c>
      <c r="HX942" s="319" t="s">
        <v>190</v>
      </c>
      <c r="HY942" s="319" t="s">
        <v>190</v>
      </c>
      <c r="HZ942" s="319" t="s">
        <v>190</v>
      </c>
      <c r="IA942" s="319" t="s">
        <v>190</v>
      </c>
      <c r="IB942" s="319" t="s">
        <v>190</v>
      </c>
      <c r="IC942" s="319" t="s">
        <v>190</v>
      </c>
      <c r="ID942" s="319" t="s">
        <v>190</v>
      </c>
      <c r="IE942" s="319" t="s">
        <v>190</v>
      </c>
      <c r="IF942" s="319" t="s">
        <v>190</v>
      </c>
      <c r="IG942" s="319" t="s">
        <v>190</v>
      </c>
      <c r="IH942" s="319" t="s">
        <v>190</v>
      </c>
      <c r="II942" s="319" t="s">
        <v>190</v>
      </c>
      <c r="IJ942" s="319" t="s">
        <v>173</v>
      </c>
      <c r="IK942" s="319" t="s">
        <v>173</v>
      </c>
      <c r="IL942" s="319" t="s">
        <v>173</v>
      </c>
      <c r="IM942" s="319" t="s">
        <v>173</v>
      </c>
      <c r="IN942" s="319" t="s">
        <v>173</v>
      </c>
      <c r="IO942" s="319" t="s">
        <v>173</v>
      </c>
      <c r="IP942" s="319" t="s">
        <v>173</v>
      </c>
      <c r="IQ942" s="321" t="s">
        <v>173</v>
      </c>
      <c r="IR942" s="320" t="s">
        <v>173</v>
      </c>
      <c r="IS942" s="322" t="s">
        <v>173</v>
      </c>
      <c r="IT942" s="319" t="s">
        <v>173</v>
      </c>
    </row>
    <row r="943" spans="1:254" s="271" customFormat="1" x14ac:dyDescent="0.25">
      <c r="A943" s="318" t="str">
        <f>HYPERLINK("http://www.ofsted.gov.uk/inspection-reports/find-inspection-report/provider/ELS/145128 ","Ofsted School Webpage")</f>
        <v>Ofsted School Webpage</v>
      </c>
      <c r="B943" s="319">
        <v>145128</v>
      </c>
      <c r="C943" s="319">
        <v>8846017</v>
      </c>
      <c r="D943" s="319" t="s">
        <v>2485</v>
      </c>
      <c r="E943" s="319" t="s">
        <v>168</v>
      </c>
      <c r="F943" s="319" t="s">
        <v>81</v>
      </c>
      <c r="G943" s="319" t="s">
        <v>81</v>
      </c>
      <c r="H943" s="319" t="s">
        <v>81</v>
      </c>
      <c r="I943" s="319" t="s">
        <v>78</v>
      </c>
      <c r="J943" s="319" t="s">
        <v>424</v>
      </c>
      <c r="K943" s="319" t="s">
        <v>437</v>
      </c>
      <c r="L943" s="319" t="s">
        <v>437</v>
      </c>
      <c r="M943" s="319" t="s">
        <v>1100</v>
      </c>
      <c r="N943" s="319" t="s">
        <v>3562</v>
      </c>
      <c r="O943" s="319" t="s">
        <v>2486</v>
      </c>
      <c r="P943" s="319">
        <v>0</v>
      </c>
      <c r="Q943" s="319" t="s">
        <v>429</v>
      </c>
      <c r="R943" s="320">
        <v>10045274</v>
      </c>
      <c r="S943" s="321">
        <v>43256</v>
      </c>
      <c r="T943" s="321">
        <v>43258</v>
      </c>
      <c r="U943" s="321">
        <v>43283</v>
      </c>
      <c r="V943" s="319" t="s">
        <v>435</v>
      </c>
      <c r="W943" s="319" t="s">
        <v>2767</v>
      </c>
      <c r="X943" s="319">
        <v>2</v>
      </c>
      <c r="Y943" s="319" t="s">
        <v>173</v>
      </c>
      <c r="Z943" s="319" t="s">
        <v>173</v>
      </c>
      <c r="AA943" s="319" t="s">
        <v>173</v>
      </c>
      <c r="AB943" s="319">
        <v>2</v>
      </c>
      <c r="AC943" s="319" t="s">
        <v>169</v>
      </c>
      <c r="AD943" s="319" t="s">
        <v>173</v>
      </c>
      <c r="AE943" s="319" t="s">
        <v>173</v>
      </c>
      <c r="AF943" s="319" t="s">
        <v>427</v>
      </c>
      <c r="AG943" s="319" t="s">
        <v>171</v>
      </c>
      <c r="AH943" s="319" t="s">
        <v>190</v>
      </c>
      <c r="AI943" s="319" t="s">
        <v>190</v>
      </c>
      <c r="AJ943" s="319" t="s">
        <v>190</v>
      </c>
      <c r="AK943" s="319" t="s">
        <v>190</v>
      </c>
      <c r="AL943" s="319" t="s">
        <v>190</v>
      </c>
      <c r="AM943" s="319" t="s">
        <v>190</v>
      </c>
      <c r="AN943" s="319" t="s">
        <v>190</v>
      </c>
      <c r="AO943" s="319" t="s">
        <v>190</v>
      </c>
      <c r="AP943" s="319" t="s">
        <v>190</v>
      </c>
      <c r="AQ943" s="319" t="s">
        <v>190</v>
      </c>
      <c r="AR943" s="319" t="s">
        <v>190</v>
      </c>
      <c r="AS943" s="319" t="s">
        <v>190</v>
      </c>
      <c r="AT943" s="319" t="s">
        <v>190</v>
      </c>
      <c r="AU943" s="319" t="s">
        <v>190</v>
      </c>
      <c r="AV943" s="319" t="s">
        <v>190</v>
      </c>
      <c r="AW943" s="319" t="s">
        <v>190</v>
      </c>
      <c r="AX943" s="319" t="s">
        <v>190</v>
      </c>
      <c r="AY943" s="319" t="s">
        <v>190</v>
      </c>
      <c r="AZ943" s="319" t="s">
        <v>190</v>
      </c>
      <c r="BA943" s="319" t="s">
        <v>190</v>
      </c>
      <c r="BB943" s="319" t="s">
        <v>190</v>
      </c>
      <c r="BC943" s="319" t="s">
        <v>190</v>
      </c>
      <c r="BD943" s="319" t="s">
        <v>190</v>
      </c>
      <c r="BE943" s="319" t="s">
        <v>190</v>
      </c>
      <c r="BF943" s="319" t="s">
        <v>428</v>
      </c>
      <c r="BG943" s="319" t="s">
        <v>428</v>
      </c>
      <c r="BH943" s="319" t="s">
        <v>190</v>
      </c>
      <c r="BI943" s="319" t="s">
        <v>190</v>
      </c>
      <c r="BJ943" s="319" t="s">
        <v>190</v>
      </c>
      <c r="BK943" s="319" t="s">
        <v>190</v>
      </c>
      <c r="BL943" s="319" t="s">
        <v>190</v>
      </c>
      <c r="BM943" s="319" t="s">
        <v>190</v>
      </c>
      <c r="BN943" s="319" t="s">
        <v>190</v>
      </c>
      <c r="BO943" s="319" t="s">
        <v>190</v>
      </c>
      <c r="BP943" s="319" t="s">
        <v>190</v>
      </c>
      <c r="BQ943" s="319" t="s">
        <v>190</v>
      </c>
      <c r="BR943" s="319" t="s">
        <v>190</v>
      </c>
      <c r="BS943" s="319" t="s">
        <v>190</v>
      </c>
      <c r="BT943" s="319" t="s">
        <v>190</v>
      </c>
      <c r="BU943" s="319" t="s">
        <v>190</v>
      </c>
      <c r="BV943" s="319" t="s">
        <v>190</v>
      </c>
      <c r="BW943" s="319" t="s">
        <v>190</v>
      </c>
      <c r="BX943" s="319" t="s">
        <v>190</v>
      </c>
      <c r="BY943" s="319" t="s">
        <v>190</v>
      </c>
      <c r="BZ943" s="319" t="s">
        <v>190</v>
      </c>
      <c r="CA943" s="319" t="s">
        <v>190</v>
      </c>
      <c r="CB943" s="319" t="s">
        <v>190</v>
      </c>
      <c r="CC943" s="319" t="s">
        <v>190</v>
      </c>
      <c r="CD943" s="319" t="s">
        <v>190</v>
      </c>
      <c r="CE943" s="319" t="s">
        <v>190</v>
      </c>
      <c r="CF943" s="319" t="s">
        <v>190</v>
      </c>
      <c r="CG943" s="319" t="s">
        <v>190</v>
      </c>
      <c r="CH943" s="319" t="s">
        <v>190</v>
      </c>
      <c r="CI943" s="319" t="s">
        <v>190</v>
      </c>
      <c r="CJ943" s="319" t="s">
        <v>190</v>
      </c>
      <c r="CK943" s="319" t="s">
        <v>190</v>
      </c>
      <c r="CL943" s="319" t="s">
        <v>190</v>
      </c>
      <c r="CM943" s="319" t="s">
        <v>190</v>
      </c>
      <c r="CN943" s="319" t="s">
        <v>428</v>
      </c>
      <c r="CO943" s="319" t="s">
        <v>428</v>
      </c>
      <c r="CP943" s="319" t="s">
        <v>428</v>
      </c>
      <c r="CQ943" s="319" t="s">
        <v>190</v>
      </c>
      <c r="CR943" s="319" t="s">
        <v>190</v>
      </c>
      <c r="CS943" s="319" t="s">
        <v>190</v>
      </c>
      <c r="CT943" s="319" t="s">
        <v>190</v>
      </c>
      <c r="CU943" s="319" t="s">
        <v>190</v>
      </c>
      <c r="CV943" s="319" t="s">
        <v>190</v>
      </c>
      <c r="CW943" s="319" t="s">
        <v>190</v>
      </c>
      <c r="CX943" s="319" t="s">
        <v>190</v>
      </c>
      <c r="CY943" s="319" t="s">
        <v>190</v>
      </c>
      <c r="CZ943" s="319" t="s">
        <v>190</v>
      </c>
      <c r="DA943" s="319" t="s">
        <v>190</v>
      </c>
      <c r="DB943" s="319" t="s">
        <v>190</v>
      </c>
      <c r="DC943" s="319" t="s">
        <v>190</v>
      </c>
      <c r="DD943" s="319" t="s">
        <v>190</v>
      </c>
      <c r="DE943" s="319" t="s">
        <v>190</v>
      </c>
      <c r="DF943" s="319" t="s">
        <v>190</v>
      </c>
      <c r="DG943" s="319" t="s">
        <v>190</v>
      </c>
      <c r="DH943" s="319" t="s">
        <v>190</v>
      </c>
      <c r="DI943" s="319" t="s">
        <v>190</v>
      </c>
      <c r="DJ943" s="319" t="s">
        <v>190</v>
      </c>
      <c r="DK943" s="319" t="s">
        <v>190</v>
      </c>
      <c r="DL943" s="319" t="s">
        <v>190</v>
      </c>
      <c r="DM943" s="319" t="s">
        <v>190</v>
      </c>
      <c r="DN943" s="319" t="s">
        <v>190</v>
      </c>
      <c r="DO943" s="319" t="s">
        <v>190</v>
      </c>
      <c r="DP943" s="319" t="s">
        <v>190</v>
      </c>
      <c r="DQ943" s="319" t="s">
        <v>190</v>
      </c>
      <c r="DR943" s="319" t="s">
        <v>190</v>
      </c>
      <c r="DS943" s="319" t="s">
        <v>190</v>
      </c>
      <c r="DT943" s="319" t="s">
        <v>190</v>
      </c>
      <c r="DU943" s="319" t="s">
        <v>190</v>
      </c>
      <c r="DV943" s="319" t="s">
        <v>173</v>
      </c>
      <c r="DW943" s="319" t="s">
        <v>190</v>
      </c>
      <c r="DX943" s="319" t="s">
        <v>190</v>
      </c>
      <c r="DY943" s="319" t="s">
        <v>190</v>
      </c>
      <c r="DZ943" s="319" t="s">
        <v>190</v>
      </c>
      <c r="EA943" s="319" t="s">
        <v>190</v>
      </c>
      <c r="EB943" s="319" t="s">
        <v>190</v>
      </c>
      <c r="EC943" s="319" t="s">
        <v>190</v>
      </c>
      <c r="ED943" s="319" t="s">
        <v>190</v>
      </c>
      <c r="EE943" s="319" t="s">
        <v>190</v>
      </c>
      <c r="EF943" s="319" t="s">
        <v>190</v>
      </c>
      <c r="EG943" s="319" t="s">
        <v>190</v>
      </c>
      <c r="EH943" s="319" t="s">
        <v>190</v>
      </c>
      <c r="EI943" s="319" t="s">
        <v>190</v>
      </c>
      <c r="EJ943" s="319" t="s">
        <v>190</v>
      </c>
      <c r="EK943" s="319" t="s">
        <v>190</v>
      </c>
      <c r="EL943" s="319" t="s">
        <v>190</v>
      </c>
      <c r="EM943" s="319" t="s">
        <v>190</v>
      </c>
      <c r="EN943" s="319" t="s">
        <v>190</v>
      </c>
      <c r="EO943" s="319" t="s">
        <v>190</v>
      </c>
      <c r="EP943" s="319" t="s">
        <v>190</v>
      </c>
      <c r="EQ943" s="319" t="s">
        <v>190</v>
      </c>
      <c r="ER943" s="319" t="s">
        <v>190</v>
      </c>
      <c r="ES943" s="319" t="s">
        <v>190</v>
      </c>
      <c r="ET943" s="319" t="s">
        <v>190</v>
      </c>
      <c r="EU943" s="319" t="s">
        <v>190</v>
      </c>
      <c r="EV943" s="319" t="s">
        <v>190</v>
      </c>
      <c r="EW943" s="319" t="s">
        <v>190</v>
      </c>
      <c r="EX943" s="319" t="s">
        <v>190</v>
      </c>
      <c r="EY943" s="319" t="s">
        <v>190</v>
      </c>
      <c r="EZ943" s="319" t="s">
        <v>190</v>
      </c>
      <c r="FA943" s="319" t="s">
        <v>190</v>
      </c>
      <c r="FB943" s="319" t="s">
        <v>190</v>
      </c>
      <c r="FC943" s="319" t="s">
        <v>190</v>
      </c>
      <c r="FD943" s="319" t="s">
        <v>190</v>
      </c>
      <c r="FE943" s="319" t="s">
        <v>190</v>
      </c>
      <c r="FF943" s="319" t="s">
        <v>190</v>
      </c>
      <c r="FG943" s="319" t="s">
        <v>190</v>
      </c>
      <c r="FH943" s="319" t="s">
        <v>190</v>
      </c>
      <c r="FI943" s="319" t="s">
        <v>190</v>
      </c>
      <c r="FJ943" s="319" t="s">
        <v>190</v>
      </c>
      <c r="FK943" s="319" t="s">
        <v>190</v>
      </c>
      <c r="FL943" s="319" t="s">
        <v>190</v>
      </c>
      <c r="FM943" s="319" t="s">
        <v>190</v>
      </c>
      <c r="FN943" s="319" t="s">
        <v>190</v>
      </c>
      <c r="FO943" s="319" t="s">
        <v>190</v>
      </c>
      <c r="FP943" s="319" t="s">
        <v>190</v>
      </c>
      <c r="FQ943" s="319" t="s">
        <v>190</v>
      </c>
      <c r="FR943" s="319" t="s">
        <v>190</v>
      </c>
      <c r="FS943" s="319" t="s">
        <v>428</v>
      </c>
      <c r="FT943" s="319" t="s">
        <v>190</v>
      </c>
      <c r="FU943" s="319" t="s">
        <v>190</v>
      </c>
      <c r="FV943" s="319" t="s">
        <v>190</v>
      </c>
      <c r="FW943" s="319" t="s">
        <v>190</v>
      </c>
      <c r="FX943" s="319" t="s">
        <v>190</v>
      </c>
      <c r="FY943" s="319" t="s">
        <v>190</v>
      </c>
      <c r="FZ943" s="319" t="s">
        <v>190</v>
      </c>
      <c r="GA943" s="319" t="s">
        <v>190</v>
      </c>
      <c r="GB943" s="319" t="s">
        <v>190</v>
      </c>
      <c r="GC943" s="319" t="s">
        <v>190</v>
      </c>
      <c r="GD943" s="319" t="s">
        <v>190</v>
      </c>
      <c r="GE943" s="319" t="s">
        <v>190</v>
      </c>
      <c r="GF943" s="319" t="s">
        <v>190</v>
      </c>
      <c r="GG943" s="319" t="s">
        <v>190</v>
      </c>
      <c r="GH943" s="319" t="s">
        <v>190</v>
      </c>
      <c r="GI943" s="319" t="s">
        <v>190</v>
      </c>
      <c r="GJ943" s="319" t="s">
        <v>190</v>
      </c>
      <c r="GK943" s="319" t="s">
        <v>190</v>
      </c>
      <c r="GL943" s="319" t="s">
        <v>190</v>
      </c>
      <c r="GM943" s="319" t="s">
        <v>190</v>
      </c>
      <c r="GN943" s="319" t="s">
        <v>190</v>
      </c>
      <c r="GO943" s="319" t="s">
        <v>190</v>
      </c>
      <c r="GP943" s="319" t="s">
        <v>190</v>
      </c>
      <c r="GQ943" s="319" t="s">
        <v>428</v>
      </c>
      <c r="GR943" s="319" t="s">
        <v>190</v>
      </c>
      <c r="GS943" s="319" t="s">
        <v>190</v>
      </c>
      <c r="GT943" s="319" t="s">
        <v>190</v>
      </c>
      <c r="GU943" s="319" t="s">
        <v>190</v>
      </c>
      <c r="GV943" s="319" t="s">
        <v>190</v>
      </c>
      <c r="GW943" s="319" t="s">
        <v>190</v>
      </c>
      <c r="GX943" s="319" t="s">
        <v>190</v>
      </c>
      <c r="GY943" s="319" t="s">
        <v>190</v>
      </c>
      <c r="GZ943" s="319" t="s">
        <v>428</v>
      </c>
      <c r="HA943" s="319" t="s">
        <v>190</v>
      </c>
      <c r="HB943" s="319" t="s">
        <v>428</v>
      </c>
      <c r="HC943" s="319" t="s">
        <v>190</v>
      </c>
      <c r="HD943" s="319" t="s">
        <v>190</v>
      </c>
      <c r="HE943" s="319" t="s">
        <v>190</v>
      </c>
      <c r="HF943" s="319" t="s">
        <v>190</v>
      </c>
      <c r="HG943" s="319" t="s">
        <v>190</v>
      </c>
      <c r="HH943" s="319" t="s">
        <v>190</v>
      </c>
      <c r="HI943" s="319" t="s">
        <v>428</v>
      </c>
      <c r="HJ943" s="319" t="s">
        <v>190</v>
      </c>
      <c r="HK943" s="319" t="s">
        <v>190</v>
      </c>
      <c r="HL943" s="319" t="s">
        <v>190</v>
      </c>
      <c r="HM943" s="319" t="s">
        <v>428</v>
      </c>
      <c r="HN943" s="319" t="s">
        <v>428</v>
      </c>
      <c r="HO943" s="319" t="s">
        <v>428</v>
      </c>
      <c r="HP943" s="319" t="s">
        <v>190</v>
      </c>
      <c r="HQ943" s="319" t="s">
        <v>190</v>
      </c>
      <c r="HR943" s="319" t="s">
        <v>190</v>
      </c>
      <c r="HS943" s="319" t="s">
        <v>190</v>
      </c>
      <c r="HT943" s="319" t="s">
        <v>190</v>
      </c>
      <c r="HU943" s="319" t="s">
        <v>190</v>
      </c>
      <c r="HV943" s="319" t="s">
        <v>190</v>
      </c>
      <c r="HW943" s="319" t="s">
        <v>190</v>
      </c>
      <c r="HX943" s="319" t="s">
        <v>190</v>
      </c>
      <c r="HY943" s="319" t="s">
        <v>190</v>
      </c>
      <c r="HZ943" s="319" t="s">
        <v>190</v>
      </c>
      <c r="IA943" s="319" t="s">
        <v>190</v>
      </c>
      <c r="IB943" s="319" t="s">
        <v>190</v>
      </c>
      <c r="IC943" s="319" t="s">
        <v>190</v>
      </c>
      <c r="ID943" s="319" t="s">
        <v>190</v>
      </c>
      <c r="IE943" s="319" t="s">
        <v>190</v>
      </c>
      <c r="IF943" s="319" t="s">
        <v>190</v>
      </c>
      <c r="IG943" s="319" t="s">
        <v>190</v>
      </c>
      <c r="IH943" s="319" t="s">
        <v>190</v>
      </c>
      <c r="II943" s="319" t="s">
        <v>190</v>
      </c>
      <c r="IJ943" s="319" t="s">
        <v>173</v>
      </c>
      <c r="IK943" s="319" t="s">
        <v>173</v>
      </c>
      <c r="IL943" s="319" t="s">
        <v>173</v>
      </c>
      <c r="IM943" s="319" t="s">
        <v>173</v>
      </c>
      <c r="IN943" s="319" t="s">
        <v>173</v>
      </c>
      <c r="IO943" s="319" t="s">
        <v>173</v>
      </c>
      <c r="IP943" s="319" t="s">
        <v>173</v>
      </c>
      <c r="IQ943" s="321" t="s">
        <v>173</v>
      </c>
      <c r="IR943" s="320" t="s">
        <v>173</v>
      </c>
      <c r="IS943" s="322" t="s">
        <v>173</v>
      </c>
      <c r="IT943" s="319" t="s">
        <v>173</v>
      </c>
    </row>
    <row r="944" spans="1:254" s="271" customFormat="1" x14ac:dyDescent="0.25">
      <c r="A944" s="318" t="str">
        <f>HYPERLINK("http://www.ofsted.gov.uk/inspection-reports/find-inspection-report/provider/ELS/145129 ","Ofsted School Webpage")</f>
        <v>Ofsted School Webpage</v>
      </c>
      <c r="B944" s="319">
        <v>145129</v>
      </c>
      <c r="C944" s="319">
        <v>8926024</v>
      </c>
      <c r="D944" s="319" t="s">
        <v>672</v>
      </c>
      <c r="E944" s="319" t="s">
        <v>167</v>
      </c>
      <c r="F944" s="319" t="s">
        <v>81</v>
      </c>
      <c r="G944" s="319" t="s">
        <v>81</v>
      </c>
      <c r="H944" s="319" t="s">
        <v>81</v>
      </c>
      <c r="I944" s="319" t="s">
        <v>78</v>
      </c>
      <c r="J944" s="319" t="s">
        <v>424</v>
      </c>
      <c r="K944" s="319" t="s">
        <v>506</v>
      </c>
      <c r="L944" s="319" t="s">
        <v>506</v>
      </c>
      <c r="M944" s="319" t="s">
        <v>673</v>
      </c>
      <c r="N944" s="319" t="s">
        <v>3019</v>
      </c>
      <c r="O944" s="319" t="s">
        <v>674</v>
      </c>
      <c r="P944" s="319">
        <v>10</v>
      </c>
      <c r="Q944" s="319" t="s">
        <v>2766</v>
      </c>
      <c r="R944" s="320">
        <v>10053984</v>
      </c>
      <c r="S944" s="321">
        <v>43417</v>
      </c>
      <c r="T944" s="321">
        <v>43419</v>
      </c>
      <c r="U944" s="321">
        <v>43450</v>
      </c>
      <c r="V944" s="319" t="s">
        <v>435</v>
      </c>
      <c r="W944" s="319" t="s">
        <v>2767</v>
      </c>
      <c r="X944" s="319">
        <v>3</v>
      </c>
      <c r="Y944" s="319" t="s">
        <v>173</v>
      </c>
      <c r="Z944" s="319" t="s">
        <v>173</v>
      </c>
      <c r="AA944" s="319" t="s">
        <v>173</v>
      </c>
      <c r="AB944" s="319">
        <v>3</v>
      </c>
      <c r="AC944" s="319" t="s">
        <v>169</v>
      </c>
      <c r="AD944" s="319" t="s">
        <v>173</v>
      </c>
      <c r="AE944" s="319" t="s">
        <v>173</v>
      </c>
      <c r="AF944" s="319" t="s">
        <v>427</v>
      </c>
      <c r="AG944" s="319" t="s">
        <v>172</v>
      </c>
      <c r="AH944" s="319" t="s">
        <v>190</v>
      </c>
      <c r="AI944" s="319" t="s">
        <v>479</v>
      </c>
      <c r="AJ944" s="319" t="s">
        <v>190</v>
      </c>
      <c r="AK944" s="319" t="s">
        <v>190</v>
      </c>
      <c r="AL944" s="319" t="s">
        <v>190</v>
      </c>
      <c r="AM944" s="319" t="s">
        <v>190</v>
      </c>
      <c r="AN944" s="319" t="s">
        <v>190</v>
      </c>
      <c r="AO944" s="319" t="s">
        <v>479</v>
      </c>
      <c r="AP944" s="319" t="s">
        <v>190</v>
      </c>
      <c r="AQ944" s="319" t="s">
        <v>190</v>
      </c>
      <c r="AR944" s="319" t="s">
        <v>190</v>
      </c>
      <c r="AS944" s="319" t="s">
        <v>190</v>
      </c>
      <c r="AT944" s="319" t="s">
        <v>190</v>
      </c>
      <c r="AU944" s="319" t="s">
        <v>190</v>
      </c>
      <c r="AV944" s="319" t="s">
        <v>190</v>
      </c>
      <c r="AW944" s="319" t="s">
        <v>190</v>
      </c>
      <c r="AX944" s="319" t="s">
        <v>428</v>
      </c>
      <c r="AY944" s="319" t="s">
        <v>190</v>
      </c>
      <c r="AZ944" s="319" t="s">
        <v>190</v>
      </c>
      <c r="BA944" s="319" t="s">
        <v>190</v>
      </c>
      <c r="BB944" s="319" t="s">
        <v>190</v>
      </c>
      <c r="BC944" s="319" t="s">
        <v>190</v>
      </c>
      <c r="BD944" s="319" t="s">
        <v>190</v>
      </c>
      <c r="BE944" s="319" t="s">
        <v>190</v>
      </c>
      <c r="BF944" s="319" t="s">
        <v>428</v>
      </c>
      <c r="BG944" s="319" t="s">
        <v>428</v>
      </c>
      <c r="BH944" s="319" t="s">
        <v>190</v>
      </c>
      <c r="BI944" s="319" t="s">
        <v>190</v>
      </c>
      <c r="BJ944" s="319" t="s">
        <v>190</v>
      </c>
      <c r="BK944" s="319" t="s">
        <v>190</v>
      </c>
      <c r="BL944" s="319" t="s">
        <v>190</v>
      </c>
      <c r="BM944" s="319" t="s">
        <v>190</v>
      </c>
      <c r="BN944" s="319" t="s">
        <v>190</v>
      </c>
      <c r="BO944" s="319" t="s">
        <v>190</v>
      </c>
      <c r="BP944" s="319" t="s">
        <v>190</v>
      </c>
      <c r="BQ944" s="319" t="s">
        <v>190</v>
      </c>
      <c r="BR944" s="319" t="s">
        <v>190</v>
      </c>
      <c r="BS944" s="319" t="s">
        <v>190</v>
      </c>
      <c r="BT944" s="319" t="s">
        <v>190</v>
      </c>
      <c r="BU944" s="319" t="s">
        <v>190</v>
      </c>
      <c r="BV944" s="319" t="s">
        <v>191</v>
      </c>
      <c r="BW944" s="319" t="s">
        <v>190</v>
      </c>
      <c r="BX944" s="319" t="s">
        <v>191</v>
      </c>
      <c r="BY944" s="319" t="s">
        <v>190</v>
      </c>
      <c r="BZ944" s="319" t="s">
        <v>190</v>
      </c>
      <c r="CA944" s="319" t="s">
        <v>191</v>
      </c>
      <c r="CB944" s="319" t="s">
        <v>190</v>
      </c>
      <c r="CC944" s="319" t="s">
        <v>190</v>
      </c>
      <c r="CD944" s="319" t="s">
        <v>190</v>
      </c>
      <c r="CE944" s="319" t="s">
        <v>190</v>
      </c>
      <c r="CF944" s="319" t="s">
        <v>190</v>
      </c>
      <c r="CG944" s="319" t="s">
        <v>190</v>
      </c>
      <c r="CH944" s="319" t="s">
        <v>190</v>
      </c>
      <c r="CI944" s="319" t="s">
        <v>190</v>
      </c>
      <c r="CJ944" s="319" t="s">
        <v>190</v>
      </c>
      <c r="CK944" s="319" t="s">
        <v>190</v>
      </c>
      <c r="CL944" s="319" t="s">
        <v>190</v>
      </c>
      <c r="CM944" s="319" t="s">
        <v>190</v>
      </c>
      <c r="CN944" s="319" t="s">
        <v>428</v>
      </c>
      <c r="CO944" s="319" t="s">
        <v>428</v>
      </c>
      <c r="CP944" s="319" t="s">
        <v>428</v>
      </c>
      <c r="CQ944" s="319" t="s">
        <v>190</v>
      </c>
      <c r="CR944" s="319" t="s">
        <v>190</v>
      </c>
      <c r="CS944" s="319" t="s">
        <v>190</v>
      </c>
      <c r="CT944" s="319" t="s">
        <v>190</v>
      </c>
      <c r="CU944" s="319" t="s">
        <v>190</v>
      </c>
      <c r="CV944" s="319" t="s">
        <v>190</v>
      </c>
      <c r="CW944" s="319" t="s">
        <v>190</v>
      </c>
      <c r="CX944" s="319" t="s">
        <v>190</v>
      </c>
      <c r="CY944" s="319" t="s">
        <v>190</v>
      </c>
      <c r="CZ944" s="319" t="s">
        <v>190</v>
      </c>
      <c r="DA944" s="319" t="s">
        <v>190</v>
      </c>
      <c r="DB944" s="319" t="s">
        <v>190</v>
      </c>
      <c r="DC944" s="319" t="s">
        <v>190</v>
      </c>
      <c r="DD944" s="319" t="s">
        <v>190</v>
      </c>
      <c r="DE944" s="319" t="s">
        <v>190</v>
      </c>
      <c r="DF944" s="319" t="s">
        <v>190</v>
      </c>
      <c r="DG944" s="319" t="s">
        <v>190</v>
      </c>
      <c r="DH944" s="319" t="s">
        <v>190</v>
      </c>
      <c r="DI944" s="319" t="s">
        <v>190</v>
      </c>
      <c r="DJ944" s="319" t="s">
        <v>190</v>
      </c>
      <c r="DK944" s="319" t="s">
        <v>190</v>
      </c>
      <c r="DL944" s="319" t="s">
        <v>190</v>
      </c>
      <c r="DM944" s="319" t="s">
        <v>190</v>
      </c>
      <c r="DN944" s="319" t="s">
        <v>190</v>
      </c>
      <c r="DO944" s="319" t="s">
        <v>190</v>
      </c>
      <c r="DP944" s="319" t="s">
        <v>428</v>
      </c>
      <c r="DQ944" s="319" t="s">
        <v>428</v>
      </c>
      <c r="DR944" s="319" t="s">
        <v>428</v>
      </c>
      <c r="DS944" s="319" t="s">
        <v>428</v>
      </c>
      <c r="DT944" s="319" t="s">
        <v>428</v>
      </c>
      <c r="DU944" s="319" t="s">
        <v>428</v>
      </c>
      <c r="DV944" s="319" t="s">
        <v>173</v>
      </c>
      <c r="DW944" s="319" t="s">
        <v>428</v>
      </c>
      <c r="DX944" s="319" t="s">
        <v>428</v>
      </c>
      <c r="DY944" s="319" t="s">
        <v>428</v>
      </c>
      <c r="DZ944" s="319" t="s">
        <v>428</v>
      </c>
      <c r="EA944" s="319" t="s">
        <v>428</v>
      </c>
      <c r="EB944" s="319" t="s">
        <v>428</v>
      </c>
      <c r="EC944" s="319" t="s">
        <v>428</v>
      </c>
      <c r="ED944" s="319" t="s">
        <v>190</v>
      </c>
      <c r="EE944" s="319" t="s">
        <v>190</v>
      </c>
      <c r="EF944" s="319" t="s">
        <v>190</v>
      </c>
      <c r="EG944" s="319" t="s">
        <v>190</v>
      </c>
      <c r="EH944" s="319" t="s">
        <v>190</v>
      </c>
      <c r="EI944" s="319" t="s">
        <v>190</v>
      </c>
      <c r="EJ944" s="319" t="s">
        <v>190</v>
      </c>
      <c r="EK944" s="319" t="s">
        <v>190</v>
      </c>
      <c r="EL944" s="319" t="s">
        <v>190</v>
      </c>
      <c r="EM944" s="319" t="s">
        <v>190</v>
      </c>
      <c r="EN944" s="319" t="s">
        <v>190</v>
      </c>
      <c r="EO944" s="319" t="s">
        <v>190</v>
      </c>
      <c r="EP944" s="319" t="s">
        <v>190</v>
      </c>
      <c r="EQ944" s="319" t="s">
        <v>190</v>
      </c>
      <c r="ER944" s="319" t="s">
        <v>190</v>
      </c>
      <c r="ES944" s="319" t="s">
        <v>190</v>
      </c>
      <c r="ET944" s="319" t="s">
        <v>190</v>
      </c>
      <c r="EU944" s="319" t="s">
        <v>190</v>
      </c>
      <c r="EV944" s="319" t="s">
        <v>190</v>
      </c>
      <c r="EW944" s="319" t="s">
        <v>190</v>
      </c>
      <c r="EX944" s="319" t="s">
        <v>190</v>
      </c>
      <c r="EY944" s="319" t="s">
        <v>190</v>
      </c>
      <c r="EZ944" s="319" t="s">
        <v>190</v>
      </c>
      <c r="FA944" s="319" t="s">
        <v>428</v>
      </c>
      <c r="FB944" s="319" t="s">
        <v>428</v>
      </c>
      <c r="FC944" s="319" t="s">
        <v>428</v>
      </c>
      <c r="FD944" s="319" t="s">
        <v>428</v>
      </c>
      <c r="FE944" s="319" t="s">
        <v>428</v>
      </c>
      <c r="FF944" s="319" t="s">
        <v>428</v>
      </c>
      <c r="FG944" s="319" t="s">
        <v>428</v>
      </c>
      <c r="FH944" s="319" t="s">
        <v>190</v>
      </c>
      <c r="FI944" s="319" t="s">
        <v>428</v>
      </c>
      <c r="FJ944" s="319" t="s">
        <v>190</v>
      </c>
      <c r="FK944" s="319" t="s">
        <v>190</v>
      </c>
      <c r="FL944" s="319" t="s">
        <v>190</v>
      </c>
      <c r="FM944" s="319" t="s">
        <v>190</v>
      </c>
      <c r="FN944" s="319" t="s">
        <v>190</v>
      </c>
      <c r="FO944" s="319" t="s">
        <v>190</v>
      </c>
      <c r="FP944" s="319" t="s">
        <v>190</v>
      </c>
      <c r="FQ944" s="319" t="s">
        <v>190</v>
      </c>
      <c r="FR944" s="319" t="s">
        <v>190</v>
      </c>
      <c r="FS944" s="319" t="s">
        <v>428</v>
      </c>
      <c r="FT944" s="319" t="s">
        <v>190</v>
      </c>
      <c r="FU944" s="319" t="s">
        <v>190</v>
      </c>
      <c r="FV944" s="319" t="s">
        <v>190</v>
      </c>
      <c r="FW944" s="319" t="s">
        <v>190</v>
      </c>
      <c r="FX944" s="319" t="s">
        <v>190</v>
      </c>
      <c r="FY944" s="319" t="s">
        <v>190</v>
      </c>
      <c r="FZ944" s="319" t="s">
        <v>190</v>
      </c>
      <c r="GA944" s="319" t="s">
        <v>190</v>
      </c>
      <c r="GB944" s="319" t="s">
        <v>190</v>
      </c>
      <c r="GC944" s="319" t="s">
        <v>190</v>
      </c>
      <c r="GD944" s="319" t="s">
        <v>190</v>
      </c>
      <c r="GE944" s="319" t="s">
        <v>190</v>
      </c>
      <c r="GF944" s="319" t="s">
        <v>190</v>
      </c>
      <c r="GG944" s="319" t="s">
        <v>190</v>
      </c>
      <c r="GH944" s="319" t="s">
        <v>190</v>
      </c>
      <c r="GI944" s="319" t="s">
        <v>190</v>
      </c>
      <c r="GJ944" s="319" t="s">
        <v>190</v>
      </c>
      <c r="GK944" s="319" t="s">
        <v>428</v>
      </c>
      <c r="GL944" s="319" t="s">
        <v>190</v>
      </c>
      <c r="GM944" s="319" t="s">
        <v>190</v>
      </c>
      <c r="GN944" s="319" t="s">
        <v>190</v>
      </c>
      <c r="GO944" s="319" t="s">
        <v>190</v>
      </c>
      <c r="GP944" s="319" t="s">
        <v>190</v>
      </c>
      <c r="GQ944" s="319" t="s">
        <v>428</v>
      </c>
      <c r="GR944" s="319" t="s">
        <v>190</v>
      </c>
      <c r="GS944" s="319" t="s">
        <v>190</v>
      </c>
      <c r="GT944" s="319" t="s">
        <v>190</v>
      </c>
      <c r="GU944" s="319" t="s">
        <v>190</v>
      </c>
      <c r="GV944" s="319" t="s">
        <v>428</v>
      </c>
      <c r="GW944" s="319" t="s">
        <v>190</v>
      </c>
      <c r="GX944" s="319" t="s">
        <v>190</v>
      </c>
      <c r="GY944" s="319" t="s">
        <v>190</v>
      </c>
      <c r="GZ944" s="319" t="s">
        <v>428</v>
      </c>
      <c r="HA944" s="319" t="s">
        <v>190</v>
      </c>
      <c r="HB944" s="319" t="s">
        <v>190</v>
      </c>
      <c r="HC944" s="319" t="s">
        <v>190</v>
      </c>
      <c r="HD944" s="319" t="s">
        <v>190</v>
      </c>
      <c r="HE944" s="319" t="s">
        <v>190</v>
      </c>
      <c r="HF944" s="319" t="s">
        <v>190</v>
      </c>
      <c r="HG944" s="319" t="s">
        <v>190</v>
      </c>
      <c r="HH944" s="319" t="s">
        <v>190</v>
      </c>
      <c r="HI944" s="319" t="s">
        <v>190</v>
      </c>
      <c r="HJ944" s="319" t="s">
        <v>190</v>
      </c>
      <c r="HK944" s="319" t="s">
        <v>190</v>
      </c>
      <c r="HL944" s="319" t="s">
        <v>190</v>
      </c>
      <c r="HM944" s="319" t="s">
        <v>428</v>
      </c>
      <c r="HN944" s="319" t="s">
        <v>428</v>
      </c>
      <c r="HO944" s="319" t="s">
        <v>428</v>
      </c>
      <c r="HP944" s="319" t="s">
        <v>190</v>
      </c>
      <c r="HQ944" s="319" t="s">
        <v>190</v>
      </c>
      <c r="HR944" s="319" t="s">
        <v>190</v>
      </c>
      <c r="HS944" s="319" t="s">
        <v>190</v>
      </c>
      <c r="HT944" s="319" t="s">
        <v>190</v>
      </c>
      <c r="HU944" s="319" t="s">
        <v>190</v>
      </c>
      <c r="HV944" s="319" t="s">
        <v>190</v>
      </c>
      <c r="HW944" s="319" t="s">
        <v>190</v>
      </c>
      <c r="HX944" s="319" t="s">
        <v>190</v>
      </c>
      <c r="HY944" s="319" t="s">
        <v>190</v>
      </c>
      <c r="HZ944" s="319" t="s">
        <v>190</v>
      </c>
      <c r="IA944" s="319" t="s">
        <v>190</v>
      </c>
      <c r="IB944" s="319" t="s">
        <v>190</v>
      </c>
      <c r="IC944" s="319" t="s">
        <v>190</v>
      </c>
      <c r="ID944" s="319" t="s">
        <v>190</v>
      </c>
      <c r="IE944" s="319" t="s">
        <v>190</v>
      </c>
      <c r="IF944" s="319" t="s">
        <v>191</v>
      </c>
      <c r="IG944" s="319" t="s">
        <v>191</v>
      </c>
      <c r="IH944" s="319" t="s">
        <v>191</v>
      </c>
      <c r="II944" s="319" t="s">
        <v>190</v>
      </c>
      <c r="IJ944" s="319" t="s">
        <v>173</v>
      </c>
      <c r="IK944" s="319" t="s">
        <v>173</v>
      </c>
      <c r="IL944" s="319" t="s">
        <v>173</v>
      </c>
      <c r="IM944" s="319" t="s">
        <v>173</v>
      </c>
      <c r="IN944" s="319" t="s">
        <v>173</v>
      </c>
      <c r="IO944" s="319" t="s">
        <v>173</v>
      </c>
      <c r="IP944" s="319" t="s">
        <v>173</v>
      </c>
      <c r="IQ944" s="321" t="s">
        <v>173</v>
      </c>
      <c r="IR944" s="320" t="s">
        <v>173</v>
      </c>
      <c r="IS944" s="322" t="s">
        <v>173</v>
      </c>
      <c r="IT944" s="319" t="s">
        <v>173</v>
      </c>
    </row>
    <row r="945" spans="1:254" s="271" customFormat="1" x14ac:dyDescent="0.25">
      <c r="A945" s="318" t="str">
        <f>HYPERLINK("http://www.ofsted.gov.uk/inspection-reports/find-inspection-report/provider/ELS/145159 ","Ofsted School Webpage")</f>
        <v>Ofsted School Webpage</v>
      </c>
      <c r="B945" s="319">
        <v>145159</v>
      </c>
      <c r="C945" s="319">
        <v>9266017</v>
      </c>
      <c r="D945" s="319" t="s">
        <v>804</v>
      </c>
      <c r="E945" s="319" t="s">
        <v>168</v>
      </c>
      <c r="F945" s="319" t="s">
        <v>81</v>
      </c>
      <c r="G945" s="319" t="s">
        <v>81</v>
      </c>
      <c r="H945" s="319" t="s">
        <v>81</v>
      </c>
      <c r="I945" s="319" t="s">
        <v>78</v>
      </c>
      <c r="J945" s="319" t="s">
        <v>424</v>
      </c>
      <c r="K945" s="319" t="s">
        <v>451</v>
      </c>
      <c r="L945" s="319" t="s">
        <v>451</v>
      </c>
      <c r="M945" s="319" t="s">
        <v>463</v>
      </c>
      <c r="N945" s="319" t="s">
        <v>3563</v>
      </c>
      <c r="O945" s="319" t="s">
        <v>805</v>
      </c>
      <c r="P945" s="319">
        <v>4</v>
      </c>
      <c r="Q945" s="319" t="s">
        <v>429</v>
      </c>
      <c r="R945" s="320">
        <v>10054012</v>
      </c>
      <c r="S945" s="321">
        <v>43473</v>
      </c>
      <c r="T945" s="321">
        <v>43475</v>
      </c>
      <c r="U945" s="321">
        <v>43529</v>
      </c>
      <c r="V945" s="319" t="s">
        <v>435</v>
      </c>
      <c r="W945" s="319" t="s">
        <v>2767</v>
      </c>
      <c r="X945" s="319">
        <v>3</v>
      </c>
      <c r="Y945" s="319" t="s">
        <v>173</v>
      </c>
      <c r="Z945" s="319" t="s">
        <v>173</v>
      </c>
      <c r="AA945" s="319" t="s">
        <v>173</v>
      </c>
      <c r="AB945" s="319">
        <v>3</v>
      </c>
      <c r="AC945" s="319" t="s">
        <v>169</v>
      </c>
      <c r="AD945" s="319" t="s">
        <v>173</v>
      </c>
      <c r="AE945" s="319" t="s">
        <v>173</v>
      </c>
      <c r="AF945" s="319" t="s">
        <v>447</v>
      </c>
      <c r="AG945" s="319" t="s">
        <v>172</v>
      </c>
      <c r="AH945" s="319" t="s">
        <v>479</v>
      </c>
      <c r="AI945" s="319" t="s">
        <v>190</v>
      </c>
      <c r="AJ945" s="319" t="s">
        <v>190</v>
      </c>
      <c r="AK945" s="319" t="s">
        <v>190</v>
      </c>
      <c r="AL945" s="319" t="s">
        <v>190</v>
      </c>
      <c r="AM945" s="319" t="s">
        <v>479</v>
      </c>
      <c r="AN945" s="319" t="s">
        <v>190</v>
      </c>
      <c r="AO945" s="319" t="s">
        <v>479</v>
      </c>
      <c r="AP945" s="319" t="s">
        <v>190</v>
      </c>
      <c r="AQ945" s="319" t="s">
        <v>190</v>
      </c>
      <c r="AR945" s="319" t="s">
        <v>190</v>
      </c>
      <c r="AS945" s="319" t="s">
        <v>190</v>
      </c>
      <c r="AT945" s="319" t="s">
        <v>190</v>
      </c>
      <c r="AU945" s="319" t="s">
        <v>190</v>
      </c>
      <c r="AV945" s="319" t="s">
        <v>190</v>
      </c>
      <c r="AW945" s="319" t="s">
        <v>190</v>
      </c>
      <c r="AX945" s="319" t="s">
        <v>428</v>
      </c>
      <c r="AY945" s="319" t="s">
        <v>190</v>
      </c>
      <c r="AZ945" s="319" t="s">
        <v>190</v>
      </c>
      <c r="BA945" s="319" t="s">
        <v>190</v>
      </c>
      <c r="BB945" s="319" t="s">
        <v>190</v>
      </c>
      <c r="BC945" s="319" t="s">
        <v>190</v>
      </c>
      <c r="BD945" s="319" t="s">
        <v>190</v>
      </c>
      <c r="BE945" s="319" t="s">
        <v>190</v>
      </c>
      <c r="BF945" s="319" t="s">
        <v>428</v>
      </c>
      <c r="BG945" s="319" t="s">
        <v>428</v>
      </c>
      <c r="BH945" s="319" t="s">
        <v>190</v>
      </c>
      <c r="BI945" s="319" t="s">
        <v>190</v>
      </c>
      <c r="BJ945" s="319" t="s">
        <v>191</v>
      </c>
      <c r="BK945" s="319" t="s">
        <v>191</v>
      </c>
      <c r="BL945" s="319" t="s">
        <v>191</v>
      </c>
      <c r="BM945" s="319" t="s">
        <v>191</v>
      </c>
      <c r="BN945" s="319" t="s">
        <v>191</v>
      </c>
      <c r="BO945" s="319" t="s">
        <v>191</v>
      </c>
      <c r="BP945" s="319" t="s">
        <v>191</v>
      </c>
      <c r="BQ945" s="319" t="s">
        <v>191</v>
      </c>
      <c r="BR945" s="319" t="s">
        <v>191</v>
      </c>
      <c r="BS945" s="319" t="s">
        <v>190</v>
      </c>
      <c r="BT945" s="319" t="s">
        <v>190</v>
      </c>
      <c r="BU945" s="319" t="s">
        <v>190</v>
      </c>
      <c r="BV945" s="319" t="s">
        <v>190</v>
      </c>
      <c r="BW945" s="319" t="s">
        <v>190</v>
      </c>
      <c r="BX945" s="319" t="s">
        <v>190</v>
      </c>
      <c r="BY945" s="319" t="s">
        <v>190</v>
      </c>
      <c r="BZ945" s="319" t="s">
        <v>190</v>
      </c>
      <c r="CA945" s="319" t="s">
        <v>190</v>
      </c>
      <c r="CB945" s="319" t="s">
        <v>190</v>
      </c>
      <c r="CC945" s="319" t="s">
        <v>190</v>
      </c>
      <c r="CD945" s="319" t="s">
        <v>190</v>
      </c>
      <c r="CE945" s="319" t="s">
        <v>190</v>
      </c>
      <c r="CF945" s="319" t="s">
        <v>190</v>
      </c>
      <c r="CG945" s="319" t="s">
        <v>190</v>
      </c>
      <c r="CH945" s="319" t="s">
        <v>190</v>
      </c>
      <c r="CI945" s="319" t="s">
        <v>190</v>
      </c>
      <c r="CJ945" s="319" t="s">
        <v>190</v>
      </c>
      <c r="CK945" s="319" t="s">
        <v>190</v>
      </c>
      <c r="CL945" s="319" t="s">
        <v>190</v>
      </c>
      <c r="CM945" s="319" t="s">
        <v>190</v>
      </c>
      <c r="CN945" s="319" t="s">
        <v>428</v>
      </c>
      <c r="CO945" s="319" t="s">
        <v>428</v>
      </c>
      <c r="CP945" s="319" t="s">
        <v>428</v>
      </c>
      <c r="CQ945" s="319" t="s">
        <v>190</v>
      </c>
      <c r="CR945" s="319" t="s">
        <v>190</v>
      </c>
      <c r="CS945" s="319" t="s">
        <v>190</v>
      </c>
      <c r="CT945" s="319" t="s">
        <v>190</v>
      </c>
      <c r="CU945" s="319" t="s">
        <v>190</v>
      </c>
      <c r="CV945" s="319" t="s">
        <v>190</v>
      </c>
      <c r="CW945" s="319" t="s">
        <v>190</v>
      </c>
      <c r="CX945" s="319" t="s">
        <v>190</v>
      </c>
      <c r="CY945" s="319" t="s">
        <v>190</v>
      </c>
      <c r="CZ945" s="319" t="s">
        <v>190</v>
      </c>
      <c r="DA945" s="319" t="s">
        <v>190</v>
      </c>
      <c r="DB945" s="319" t="s">
        <v>190</v>
      </c>
      <c r="DC945" s="319" t="s">
        <v>190</v>
      </c>
      <c r="DD945" s="319" t="s">
        <v>190</v>
      </c>
      <c r="DE945" s="319" t="s">
        <v>190</v>
      </c>
      <c r="DF945" s="319" t="s">
        <v>190</v>
      </c>
      <c r="DG945" s="319" t="s">
        <v>190</v>
      </c>
      <c r="DH945" s="319" t="s">
        <v>190</v>
      </c>
      <c r="DI945" s="319" t="s">
        <v>190</v>
      </c>
      <c r="DJ945" s="319" t="s">
        <v>190</v>
      </c>
      <c r="DK945" s="319" t="s">
        <v>190</v>
      </c>
      <c r="DL945" s="319" t="s">
        <v>190</v>
      </c>
      <c r="DM945" s="319" t="s">
        <v>190</v>
      </c>
      <c r="DN945" s="319" t="s">
        <v>428</v>
      </c>
      <c r="DO945" s="319" t="s">
        <v>190</v>
      </c>
      <c r="DP945" s="319" t="s">
        <v>428</v>
      </c>
      <c r="DQ945" s="319" t="s">
        <v>428</v>
      </c>
      <c r="DR945" s="319" t="s">
        <v>428</v>
      </c>
      <c r="DS945" s="319" t="s">
        <v>428</v>
      </c>
      <c r="DT945" s="319" t="s">
        <v>428</v>
      </c>
      <c r="DU945" s="319" t="s">
        <v>428</v>
      </c>
      <c r="DV945" s="319" t="s">
        <v>173</v>
      </c>
      <c r="DW945" s="319" t="s">
        <v>428</v>
      </c>
      <c r="DX945" s="319" t="s">
        <v>428</v>
      </c>
      <c r="DY945" s="319" t="s">
        <v>428</v>
      </c>
      <c r="DZ945" s="319" t="s">
        <v>428</v>
      </c>
      <c r="EA945" s="319" t="s">
        <v>428</v>
      </c>
      <c r="EB945" s="319" t="s">
        <v>428</v>
      </c>
      <c r="EC945" s="319" t="s">
        <v>428</v>
      </c>
      <c r="ED945" s="319" t="s">
        <v>428</v>
      </c>
      <c r="EE945" s="319" t="s">
        <v>190</v>
      </c>
      <c r="EF945" s="319" t="s">
        <v>190</v>
      </c>
      <c r="EG945" s="319" t="s">
        <v>190</v>
      </c>
      <c r="EH945" s="319" t="s">
        <v>190</v>
      </c>
      <c r="EI945" s="319" t="s">
        <v>190</v>
      </c>
      <c r="EJ945" s="319" t="s">
        <v>190</v>
      </c>
      <c r="EK945" s="319" t="s">
        <v>190</v>
      </c>
      <c r="EL945" s="319" t="s">
        <v>190</v>
      </c>
      <c r="EM945" s="319" t="s">
        <v>190</v>
      </c>
      <c r="EN945" s="319" t="s">
        <v>190</v>
      </c>
      <c r="EO945" s="319" t="s">
        <v>190</v>
      </c>
      <c r="EP945" s="319" t="s">
        <v>190</v>
      </c>
      <c r="EQ945" s="319" t="s">
        <v>190</v>
      </c>
      <c r="ER945" s="319" t="s">
        <v>190</v>
      </c>
      <c r="ES945" s="319" t="s">
        <v>190</v>
      </c>
      <c r="ET945" s="319" t="s">
        <v>190</v>
      </c>
      <c r="EU945" s="319" t="s">
        <v>190</v>
      </c>
      <c r="EV945" s="319" t="s">
        <v>190</v>
      </c>
      <c r="EW945" s="319" t="s">
        <v>190</v>
      </c>
      <c r="EX945" s="319" t="s">
        <v>190</v>
      </c>
      <c r="EY945" s="319" t="s">
        <v>190</v>
      </c>
      <c r="EZ945" s="319" t="s">
        <v>190</v>
      </c>
      <c r="FA945" s="319" t="s">
        <v>428</v>
      </c>
      <c r="FB945" s="319" t="s">
        <v>428</v>
      </c>
      <c r="FC945" s="319" t="s">
        <v>428</v>
      </c>
      <c r="FD945" s="319" t="s">
        <v>428</v>
      </c>
      <c r="FE945" s="319" t="s">
        <v>428</v>
      </c>
      <c r="FF945" s="319" t="s">
        <v>428</v>
      </c>
      <c r="FG945" s="319" t="s">
        <v>428</v>
      </c>
      <c r="FH945" s="319" t="s">
        <v>190</v>
      </c>
      <c r="FI945" s="319" t="s">
        <v>428</v>
      </c>
      <c r="FJ945" s="319" t="s">
        <v>190</v>
      </c>
      <c r="FK945" s="319" t="s">
        <v>190</v>
      </c>
      <c r="FL945" s="319" t="s">
        <v>190</v>
      </c>
      <c r="FM945" s="319" t="s">
        <v>190</v>
      </c>
      <c r="FN945" s="319" t="s">
        <v>190</v>
      </c>
      <c r="FO945" s="319" t="s">
        <v>190</v>
      </c>
      <c r="FP945" s="319" t="s">
        <v>190</v>
      </c>
      <c r="FQ945" s="319" t="s">
        <v>190</v>
      </c>
      <c r="FR945" s="319" t="s">
        <v>190</v>
      </c>
      <c r="FS945" s="319" t="s">
        <v>428</v>
      </c>
      <c r="FT945" s="319" t="s">
        <v>190</v>
      </c>
      <c r="FU945" s="319" t="s">
        <v>190</v>
      </c>
      <c r="FV945" s="319" t="s">
        <v>190</v>
      </c>
      <c r="FW945" s="319" t="s">
        <v>190</v>
      </c>
      <c r="FX945" s="319" t="s">
        <v>190</v>
      </c>
      <c r="FY945" s="319" t="s">
        <v>190</v>
      </c>
      <c r="FZ945" s="319" t="s">
        <v>190</v>
      </c>
      <c r="GA945" s="319" t="s">
        <v>190</v>
      </c>
      <c r="GB945" s="319" t="s">
        <v>190</v>
      </c>
      <c r="GC945" s="319" t="s">
        <v>190</v>
      </c>
      <c r="GD945" s="319" t="s">
        <v>190</v>
      </c>
      <c r="GE945" s="319" t="s">
        <v>190</v>
      </c>
      <c r="GF945" s="319" t="s">
        <v>190</v>
      </c>
      <c r="GG945" s="319" t="s">
        <v>190</v>
      </c>
      <c r="GH945" s="319" t="s">
        <v>190</v>
      </c>
      <c r="GI945" s="319" t="s">
        <v>190</v>
      </c>
      <c r="GJ945" s="319" t="s">
        <v>190</v>
      </c>
      <c r="GK945" s="319" t="s">
        <v>428</v>
      </c>
      <c r="GL945" s="319" t="s">
        <v>191</v>
      </c>
      <c r="GM945" s="319" t="s">
        <v>190</v>
      </c>
      <c r="GN945" s="319" t="s">
        <v>190</v>
      </c>
      <c r="GO945" s="319" t="s">
        <v>191</v>
      </c>
      <c r="GP945" s="319" t="s">
        <v>191</v>
      </c>
      <c r="GQ945" s="319" t="s">
        <v>428</v>
      </c>
      <c r="GR945" s="319" t="s">
        <v>190</v>
      </c>
      <c r="GS945" s="319" t="s">
        <v>190</v>
      </c>
      <c r="GT945" s="319" t="s">
        <v>190</v>
      </c>
      <c r="GU945" s="319" t="s">
        <v>190</v>
      </c>
      <c r="GV945" s="319" t="s">
        <v>428</v>
      </c>
      <c r="GW945" s="319" t="s">
        <v>191</v>
      </c>
      <c r="GX945" s="319" t="s">
        <v>191</v>
      </c>
      <c r="GY945" s="319" t="s">
        <v>191</v>
      </c>
      <c r="GZ945" s="319" t="s">
        <v>428</v>
      </c>
      <c r="HA945" s="319" t="s">
        <v>191</v>
      </c>
      <c r="HB945" s="319" t="s">
        <v>191</v>
      </c>
      <c r="HC945" s="319" t="s">
        <v>190</v>
      </c>
      <c r="HD945" s="319" t="s">
        <v>191</v>
      </c>
      <c r="HE945" s="319" t="s">
        <v>191</v>
      </c>
      <c r="HF945" s="319" t="s">
        <v>191</v>
      </c>
      <c r="HG945" s="319" t="s">
        <v>191</v>
      </c>
      <c r="HH945" s="319" t="s">
        <v>191</v>
      </c>
      <c r="HI945" s="319" t="s">
        <v>191</v>
      </c>
      <c r="HJ945" s="319" t="s">
        <v>191</v>
      </c>
      <c r="HK945" s="319" t="s">
        <v>191</v>
      </c>
      <c r="HL945" s="319" t="s">
        <v>428</v>
      </c>
      <c r="HM945" s="319" t="s">
        <v>428</v>
      </c>
      <c r="HN945" s="319" t="s">
        <v>428</v>
      </c>
      <c r="HO945" s="319" t="s">
        <v>428</v>
      </c>
      <c r="HP945" s="319" t="s">
        <v>190</v>
      </c>
      <c r="HQ945" s="319" t="s">
        <v>190</v>
      </c>
      <c r="HR945" s="319" t="s">
        <v>190</v>
      </c>
      <c r="HS945" s="319" t="s">
        <v>190</v>
      </c>
      <c r="HT945" s="319" t="s">
        <v>190</v>
      </c>
      <c r="HU945" s="319" t="s">
        <v>190</v>
      </c>
      <c r="HV945" s="319" t="s">
        <v>190</v>
      </c>
      <c r="HW945" s="319" t="s">
        <v>190</v>
      </c>
      <c r="HX945" s="319" t="s">
        <v>190</v>
      </c>
      <c r="HY945" s="319" t="s">
        <v>190</v>
      </c>
      <c r="HZ945" s="319" t="s">
        <v>190</v>
      </c>
      <c r="IA945" s="319" t="s">
        <v>190</v>
      </c>
      <c r="IB945" s="319" t="s">
        <v>190</v>
      </c>
      <c r="IC945" s="319" t="s">
        <v>190</v>
      </c>
      <c r="ID945" s="319" t="s">
        <v>190</v>
      </c>
      <c r="IE945" s="319" t="s">
        <v>190</v>
      </c>
      <c r="IF945" s="319" t="s">
        <v>191</v>
      </c>
      <c r="IG945" s="319" t="s">
        <v>191</v>
      </c>
      <c r="IH945" s="319" t="s">
        <v>191</v>
      </c>
      <c r="II945" s="319" t="s">
        <v>190</v>
      </c>
      <c r="IJ945" s="319" t="s">
        <v>173</v>
      </c>
      <c r="IK945" s="319" t="s">
        <v>173</v>
      </c>
      <c r="IL945" s="319" t="s">
        <v>173</v>
      </c>
      <c r="IM945" s="319" t="s">
        <v>173</v>
      </c>
      <c r="IN945" s="319" t="s">
        <v>173</v>
      </c>
      <c r="IO945" s="319">
        <v>10111860</v>
      </c>
      <c r="IP945" s="319" t="s">
        <v>985</v>
      </c>
      <c r="IQ945" s="321">
        <v>43718</v>
      </c>
      <c r="IR945" s="320" t="s">
        <v>2771</v>
      </c>
      <c r="IS945" s="322">
        <v>43739</v>
      </c>
      <c r="IT945" s="319" t="s">
        <v>166</v>
      </c>
    </row>
    <row r="946" spans="1:254" s="271" customFormat="1" x14ac:dyDescent="0.25">
      <c r="A946" s="318" t="str">
        <f>HYPERLINK("http://www.ofsted.gov.uk/inspection-reports/find-inspection-report/provider/ELS/145160 ","Ofsted School Webpage")</f>
        <v>Ofsted School Webpage</v>
      </c>
      <c r="B946" s="319">
        <v>145160</v>
      </c>
      <c r="C946" s="319">
        <v>3406005</v>
      </c>
      <c r="D946" s="319" t="s">
        <v>2487</v>
      </c>
      <c r="E946" s="319" t="s">
        <v>167</v>
      </c>
      <c r="F946" s="319" t="s">
        <v>81</v>
      </c>
      <c r="G946" s="319" t="s">
        <v>81</v>
      </c>
      <c r="H946" s="319" t="s">
        <v>81</v>
      </c>
      <c r="I946" s="319" t="s">
        <v>78</v>
      </c>
      <c r="J946" s="319" t="s">
        <v>424</v>
      </c>
      <c r="K946" s="319" t="s">
        <v>431</v>
      </c>
      <c r="L946" s="319" t="s">
        <v>431</v>
      </c>
      <c r="M946" s="319" t="s">
        <v>493</v>
      </c>
      <c r="N946" s="319" t="s">
        <v>3169</v>
      </c>
      <c r="O946" s="319" t="s">
        <v>2488</v>
      </c>
      <c r="P946" s="319">
        <v>20</v>
      </c>
      <c r="Q946" s="319" t="s">
        <v>2766</v>
      </c>
      <c r="R946" s="320">
        <v>10053738</v>
      </c>
      <c r="S946" s="321">
        <v>43270</v>
      </c>
      <c r="T946" s="321">
        <v>43272</v>
      </c>
      <c r="U946" s="321">
        <v>43298</v>
      </c>
      <c r="V946" s="319" t="s">
        <v>435</v>
      </c>
      <c r="W946" s="319" t="s">
        <v>2767</v>
      </c>
      <c r="X946" s="319">
        <v>2</v>
      </c>
      <c r="Y946" s="319" t="s">
        <v>173</v>
      </c>
      <c r="Z946" s="319" t="s">
        <v>173</v>
      </c>
      <c r="AA946" s="319" t="s">
        <v>173</v>
      </c>
      <c r="AB946" s="319">
        <v>2</v>
      </c>
      <c r="AC946" s="319" t="s">
        <v>169</v>
      </c>
      <c r="AD946" s="319" t="s">
        <v>173</v>
      </c>
      <c r="AE946" s="319" t="s">
        <v>173</v>
      </c>
      <c r="AF946" s="319" t="s">
        <v>427</v>
      </c>
      <c r="AG946" s="319" t="s">
        <v>171</v>
      </c>
      <c r="AH946" s="319" t="s">
        <v>190</v>
      </c>
      <c r="AI946" s="319" t="s">
        <v>190</v>
      </c>
      <c r="AJ946" s="319" t="s">
        <v>190</v>
      </c>
      <c r="AK946" s="319" t="s">
        <v>190</v>
      </c>
      <c r="AL946" s="319" t="s">
        <v>190</v>
      </c>
      <c r="AM946" s="319" t="s">
        <v>190</v>
      </c>
      <c r="AN946" s="319" t="s">
        <v>190</v>
      </c>
      <c r="AO946" s="319" t="s">
        <v>190</v>
      </c>
      <c r="AP946" s="319" t="s">
        <v>190</v>
      </c>
      <c r="AQ946" s="319" t="s">
        <v>190</v>
      </c>
      <c r="AR946" s="319" t="s">
        <v>190</v>
      </c>
      <c r="AS946" s="319" t="s">
        <v>190</v>
      </c>
      <c r="AT946" s="319" t="s">
        <v>190</v>
      </c>
      <c r="AU946" s="319" t="s">
        <v>190</v>
      </c>
      <c r="AV946" s="319" t="s">
        <v>190</v>
      </c>
      <c r="AW946" s="319" t="s">
        <v>190</v>
      </c>
      <c r="AX946" s="319" t="s">
        <v>190</v>
      </c>
      <c r="AY946" s="319" t="s">
        <v>190</v>
      </c>
      <c r="AZ946" s="319" t="s">
        <v>190</v>
      </c>
      <c r="BA946" s="319" t="s">
        <v>190</v>
      </c>
      <c r="BB946" s="319" t="s">
        <v>190</v>
      </c>
      <c r="BC946" s="319" t="s">
        <v>190</v>
      </c>
      <c r="BD946" s="319" t="s">
        <v>190</v>
      </c>
      <c r="BE946" s="319" t="s">
        <v>190</v>
      </c>
      <c r="BF946" s="319" t="s">
        <v>190</v>
      </c>
      <c r="BG946" s="319" t="s">
        <v>190</v>
      </c>
      <c r="BH946" s="319" t="s">
        <v>190</v>
      </c>
      <c r="BI946" s="319" t="s">
        <v>190</v>
      </c>
      <c r="BJ946" s="319" t="s">
        <v>190</v>
      </c>
      <c r="BK946" s="319" t="s">
        <v>190</v>
      </c>
      <c r="BL946" s="319" t="s">
        <v>190</v>
      </c>
      <c r="BM946" s="319" t="s">
        <v>190</v>
      </c>
      <c r="BN946" s="319" t="s">
        <v>190</v>
      </c>
      <c r="BO946" s="319" t="s">
        <v>190</v>
      </c>
      <c r="BP946" s="319" t="s">
        <v>190</v>
      </c>
      <c r="BQ946" s="319" t="s">
        <v>190</v>
      </c>
      <c r="BR946" s="319" t="s">
        <v>190</v>
      </c>
      <c r="BS946" s="319" t="s">
        <v>190</v>
      </c>
      <c r="BT946" s="319" t="s">
        <v>190</v>
      </c>
      <c r="BU946" s="319" t="s">
        <v>190</v>
      </c>
      <c r="BV946" s="319" t="s">
        <v>190</v>
      </c>
      <c r="BW946" s="319" t="s">
        <v>190</v>
      </c>
      <c r="BX946" s="319" t="s">
        <v>190</v>
      </c>
      <c r="BY946" s="319" t="s">
        <v>190</v>
      </c>
      <c r="BZ946" s="319" t="s">
        <v>190</v>
      </c>
      <c r="CA946" s="319" t="s">
        <v>190</v>
      </c>
      <c r="CB946" s="319" t="s">
        <v>190</v>
      </c>
      <c r="CC946" s="319" t="s">
        <v>190</v>
      </c>
      <c r="CD946" s="319" t="s">
        <v>190</v>
      </c>
      <c r="CE946" s="319" t="s">
        <v>190</v>
      </c>
      <c r="CF946" s="319" t="s">
        <v>190</v>
      </c>
      <c r="CG946" s="319" t="s">
        <v>190</v>
      </c>
      <c r="CH946" s="319" t="s">
        <v>190</v>
      </c>
      <c r="CI946" s="319" t="s">
        <v>190</v>
      </c>
      <c r="CJ946" s="319" t="s">
        <v>190</v>
      </c>
      <c r="CK946" s="319" t="s">
        <v>190</v>
      </c>
      <c r="CL946" s="319" t="s">
        <v>190</v>
      </c>
      <c r="CM946" s="319" t="s">
        <v>190</v>
      </c>
      <c r="CN946" s="319" t="s">
        <v>428</v>
      </c>
      <c r="CO946" s="319" t="s">
        <v>428</v>
      </c>
      <c r="CP946" s="319" t="s">
        <v>428</v>
      </c>
      <c r="CQ946" s="319" t="s">
        <v>190</v>
      </c>
      <c r="CR946" s="319" t="s">
        <v>190</v>
      </c>
      <c r="CS946" s="319" t="s">
        <v>190</v>
      </c>
      <c r="CT946" s="319" t="s">
        <v>190</v>
      </c>
      <c r="CU946" s="319" t="s">
        <v>190</v>
      </c>
      <c r="CV946" s="319" t="s">
        <v>190</v>
      </c>
      <c r="CW946" s="319" t="s">
        <v>190</v>
      </c>
      <c r="CX946" s="319" t="s">
        <v>190</v>
      </c>
      <c r="CY946" s="319" t="s">
        <v>190</v>
      </c>
      <c r="CZ946" s="319" t="s">
        <v>190</v>
      </c>
      <c r="DA946" s="319" t="s">
        <v>190</v>
      </c>
      <c r="DB946" s="319" t="s">
        <v>190</v>
      </c>
      <c r="DC946" s="319" t="s">
        <v>190</v>
      </c>
      <c r="DD946" s="319" t="s">
        <v>190</v>
      </c>
      <c r="DE946" s="319" t="s">
        <v>190</v>
      </c>
      <c r="DF946" s="319" t="s">
        <v>190</v>
      </c>
      <c r="DG946" s="319" t="s">
        <v>190</v>
      </c>
      <c r="DH946" s="319" t="s">
        <v>190</v>
      </c>
      <c r="DI946" s="319" t="s">
        <v>190</v>
      </c>
      <c r="DJ946" s="319" t="s">
        <v>190</v>
      </c>
      <c r="DK946" s="319" t="s">
        <v>190</v>
      </c>
      <c r="DL946" s="319" t="s">
        <v>190</v>
      </c>
      <c r="DM946" s="319" t="s">
        <v>428</v>
      </c>
      <c r="DN946" s="319" t="s">
        <v>428</v>
      </c>
      <c r="DO946" s="319" t="s">
        <v>190</v>
      </c>
      <c r="DP946" s="319" t="s">
        <v>428</v>
      </c>
      <c r="DQ946" s="319" t="s">
        <v>428</v>
      </c>
      <c r="DR946" s="319" t="s">
        <v>428</v>
      </c>
      <c r="DS946" s="319" t="s">
        <v>428</v>
      </c>
      <c r="DT946" s="319" t="s">
        <v>428</v>
      </c>
      <c r="DU946" s="319" t="s">
        <v>428</v>
      </c>
      <c r="DV946" s="319" t="s">
        <v>173</v>
      </c>
      <c r="DW946" s="319" t="s">
        <v>428</v>
      </c>
      <c r="DX946" s="319" t="s">
        <v>428</v>
      </c>
      <c r="DY946" s="319" t="s">
        <v>428</v>
      </c>
      <c r="DZ946" s="319" t="s">
        <v>428</v>
      </c>
      <c r="EA946" s="319" t="s">
        <v>428</v>
      </c>
      <c r="EB946" s="319" t="s">
        <v>428</v>
      </c>
      <c r="EC946" s="319" t="s">
        <v>428</v>
      </c>
      <c r="ED946" s="319" t="s">
        <v>428</v>
      </c>
      <c r="EE946" s="319" t="s">
        <v>428</v>
      </c>
      <c r="EF946" s="319" t="s">
        <v>428</v>
      </c>
      <c r="EG946" s="319" t="s">
        <v>428</v>
      </c>
      <c r="EH946" s="319" t="s">
        <v>428</v>
      </c>
      <c r="EI946" s="319" t="s">
        <v>428</v>
      </c>
      <c r="EJ946" s="319" t="s">
        <v>428</v>
      </c>
      <c r="EK946" s="319" t="s">
        <v>428</v>
      </c>
      <c r="EL946" s="319" t="s">
        <v>428</v>
      </c>
      <c r="EM946" s="319" t="s">
        <v>428</v>
      </c>
      <c r="EN946" s="319" t="s">
        <v>190</v>
      </c>
      <c r="EO946" s="319" t="s">
        <v>190</v>
      </c>
      <c r="EP946" s="319" t="s">
        <v>190</v>
      </c>
      <c r="EQ946" s="319" t="s">
        <v>190</v>
      </c>
      <c r="ER946" s="319" t="s">
        <v>190</v>
      </c>
      <c r="ES946" s="319" t="s">
        <v>190</v>
      </c>
      <c r="ET946" s="319" t="s">
        <v>190</v>
      </c>
      <c r="EU946" s="319" t="s">
        <v>190</v>
      </c>
      <c r="EV946" s="319" t="s">
        <v>190</v>
      </c>
      <c r="EW946" s="319" t="s">
        <v>190</v>
      </c>
      <c r="EX946" s="319" t="s">
        <v>190</v>
      </c>
      <c r="EY946" s="319" t="s">
        <v>190</v>
      </c>
      <c r="EZ946" s="319" t="s">
        <v>190</v>
      </c>
      <c r="FA946" s="319" t="s">
        <v>190</v>
      </c>
      <c r="FB946" s="319" t="s">
        <v>428</v>
      </c>
      <c r="FC946" s="319" t="s">
        <v>428</v>
      </c>
      <c r="FD946" s="319" t="s">
        <v>428</v>
      </c>
      <c r="FE946" s="319" t="s">
        <v>428</v>
      </c>
      <c r="FF946" s="319" t="s">
        <v>428</v>
      </c>
      <c r="FG946" s="319" t="s">
        <v>428</v>
      </c>
      <c r="FH946" s="319" t="s">
        <v>190</v>
      </c>
      <c r="FI946" s="319" t="s">
        <v>428</v>
      </c>
      <c r="FJ946" s="319" t="s">
        <v>429</v>
      </c>
      <c r="FK946" s="319" t="s">
        <v>428</v>
      </c>
      <c r="FL946" s="319" t="s">
        <v>190</v>
      </c>
      <c r="FM946" s="319" t="s">
        <v>190</v>
      </c>
      <c r="FN946" s="319" t="s">
        <v>190</v>
      </c>
      <c r="FO946" s="319" t="s">
        <v>190</v>
      </c>
      <c r="FP946" s="319" t="s">
        <v>190</v>
      </c>
      <c r="FQ946" s="319" t="s">
        <v>190</v>
      </c>
      <c r="FR946" s="319" t="s">
        <v>190</v>
      </c>
      <c r="FS946" s="319" t="s">
        <v>428</v>
      </c>
      <c r="FT946" s="319" t="s">
        <v>190</v>
      </c>
      <c r="FU946" s="319" t="s">
        <v>190</v>
      </c>
      <c r="FV946" s="319" t="s">
        <v>190</v>
      </c>
      <c r="FW946" s="319" t="s">
        <v>190</v>
      </c>
      <c r="FX946" s="319" t="s">
        <v>190</v>
      </c>
      <c r="FY946" s="319" t="s">
        <v>190</v>
      </c>
      <c r="FZ946" s="319" t="s">
        <v>190</v>
      </c>
      <c r="GA946" s="319" t="s">
        <v>190</v>
      </c>
      <c r="GB946" s="319" t="s">
        <v>190</v>
      </c>
      <c r="GC946" s="319" t="s">
        <v>190</v>
      </c>
      <c r="GD946" s="319" t="s">
        <v>190</v>
      </c>
      <c r="GE946" s="319" t="s">
        <v>190</v>
      </c>
      <c r="GF946" s="319" t="s">
        <v>190</v>
      </c>
      <c r="GG946" s="319" t="s">
        <v>190</v>
      </c>
      <c r="GH946" s="319" t="s">
        <v>190</v>
      </c>
      <c r="GI946" s="319" t="s">
        <v>190</v>
      </c>
      <c r="GJ946" s="319" t="s">
        <v>190</v>
      </c>
      <c r="GK946" s="319" t="s">
        <v>428</v>
      </c>
      <c r="GL946" s="319" t="s">
        <v>190</v>
      </c>
      <c r="GM946" s="319" t="s">
        <v>190</v>
      </c>
      <c r="GN946" s="319" t="s">
        <v>190</v>
      </c>
      <c r="GO946" s="319" t="s">
        <v>190</v>
      </c>
      <c r="GP946" s="319" t="s">
        <v>190</v>
      </c>
      <c r="GQ946" s="319" t="s">
        <v>190</v>
      </c>
      <c r="GR946" s="319" t="s">
        <v>190</v>
      </c>
      <c r="GS946" s="319" t="s">
        <v>190</v>
      </c>
      <c r="GT946" s="319" t="s">
        <v>190</v>
      </c>
      <c r="GU946" s="319" t="s">
        <v>190</v>
      </c>
      <c r="GV946" s="319" t="s">
        <v>190</v>
      </c>
      <c r="GW946" s="319" t="s">
        <v>190</v>
      </c>
      <c r="GX946" s="319" t="s">
        <v>190</v>
      </c>
      <c r="GY946" s="319" t="s">
        <v>190</v>
      </c>
      <c r="GZ946" s="319" t="s">
        <v>428</v>
      </c>
      <c r="HA946" s="319" t="s">
        <v>190</v>
      </c>
      <c r="HB946" s="319" t="s">
        <v>428</v>
      </c>
      <c r="HC946" s="319" t="s">
        <v>190</v>
      </c>
      <c r="HD946" s="319" t="s">
        <v>190</v>
      </c>
      <c r="HE946" s="319" t="s">
        <v>190</v>
      </c>
      <c r="HF946" s="319" t="s">
        <v>190</v>
      </c>
      <c r="HG946" s="319" t="s">
        <v>190</v>
      </c>
      <c r="HH946" s="319" t="s">
        <v>190</v>
      </c>
      <c r="HI946" s="319" t="s">
        <v>190</v>
      </c>
      <c r="HJ946" s="319" t="s">
        <v>190</v>
      </c>
      <c r="HK946" s="319" t="s">
        <v>428</v>
      </c>
      <c r="HL946" s="319" t="s">
        <v>428</v>
      </c>
      <c r="HM946" s="319" t="s">
        <v>428</v>
      </c>
      <c r="HN946" s="319" t="s">
        <v>428</v>
      </c>
      <c r="HO946" s="319" t="s">
        <v>428</v>
      </c>
      <c r="HP946" s="319" t="s">
        <v>190</v>
      </c>
      <c r="HQ946" s="319" t="s">
        <v>190</v>
      </c>
      <c r="HR946" s="319" t="s">
        <v>190</v>
      </c>
      <c r="HS946" s="319" t="s">
        <v>190</v>
      </c>
      <c r="HT946" s="319" t="s">
        <v>190</v>
      </c>
      <c r="HU946" s="319" t="s">
        <v>190</v>
      </c>
      <c r="HV946" s="319" t="s">
        <v>190</v>
      </c>
      <c r="HW946" s="319" t="s">
        <v>190</v>
      </c>
      <c r="HX946" s="319" t="s">
        <v>190</v>
      </c>
      <c r="HY946" s="319" t="s">
        <v>190</v>
      </c>
      <c r="HZ946" s="319" t="s">
        <v>190</v>
      </c>
      <c r="IA946" s="319" t="s">
        <v>190</v>
      </c>
      <c r="IB946" s="319" t="s">
        <v>190</v>
      </c>
      <c r="IC946" s="319" t="s">
        <v>190</v>
      </c>
      <c r="ID946" s="319" t="s">
        <v>190</v>
      </c>
      <c r="IE946" s="319" t="s">
        <v>190</v>
      </c>
      <c r="IF946" s="319" t="s">
        <v>190</v>
      </c>
      <c r="IG946" s="319" t="s">
        <v>190</v>
      </c>
      <c r="IH946" s="319" t="s">
        <v>190</v>
      </c>
      <c r="II946" s="319" t="s">
        <v>190</v>
      </c>
      <c r="IJ946" s="319" t="s">
        <v>173</v>
      </c>
      <c r="IK946" s="319" t="s">
        <v>173</v>
      </c>
      <c r="IL946" s="319" t="s">
        <v>173</v>
      </c>
      <c r="IM946" s="319" t="s">
        <v>173</v>
      </c>
      <c r="IN946" s="319" t="s">
        <v>173</v>
      </c>
      <c r="IO946" s="319" t="s">
        <v>173</v>
      </c>
      <c r="IP946" s="319" t="s">
        <v>173</v>
      </c>
      <c r="IQ946" s="319" t="s">
        <v>173</v>
      </c>
      <c r="IR946" s="320" t="s">
        <v>173</v>
      </c>
      <c r="IS946" s="320" t="s">
        <v>173</v>
      </c>
      <c r="IT946" s="319" t="s">
        <v>173</v>
      </c>
    </row>
    <row r="947" spans="1:254" s="271" customFormat="1" x14ac:dyDescent="0.25">
      <c r="A947" s="318" t="str">
        <f>HYPERLINK("http://www.ofsted.gov.uk/inspection-reports/find-inspection-report/provider/ELS/145162 ","Ofsted School Webpage")</f>
        <v>Ofsted School Webpage</v>
      </c>
      <c r="B947" s="319">
        <v>145162</v>
      </c>
      <c r="C947" s="319">
        <v>8816070</v>
      </c>
      <c r="D947" s="319" t="s">
        <v>678</v>
      </c>
      <c r="E947" s="319" t="s">
        <v>167</v>
      </c>
      <c r="F947" s="319" t="s">
        <v>81</v>
      </c>
      <c r="G947" s="319" t="s">
        <v>59</v>
      </c>
      <c r="H947" s="319" t="s">
        <v>59</v>
      </c>
      <c r="I947" s="319" t="s">
        <v>59</v>
      </c>
      <c r="J947" s="319" t="s">
        <v>424</v>
      </c>
      <c r="K947" s="319" t="s">
        <v>451</v>
      </c>
      <c r="L947" s="319" t="s">
        <v>451</v>
      </c>
      <c r="M947" s="319" t="s">
        <v>679</v>
      </c>
      <c r="N947" s="319" t="s">
        <v>3564</v>
      </c>
      <c r="O947" s="319" t="s">
        <v>680</v>
      </c>
      <c r="P947" s="319">
        <v>4</v>
      </c>
      <c r="Q947" s="319" t="s">
        <v>2766</v>
      </c>
      <c r="R947" s="320">
        <v>10054013</v>
      </c>
      <c r="S947" s="321">
        <v>43417</v>
      </c>
      <c r="T947" s="321">
        <v>43419</v>
      </c>
      <c r="U947" s="321">
        <v>43447</v>
      </c>
      <c r="V947" s="319" t="s">
        <v>435</v>
      </c>
      <c r="W947" s="319" t="s">
        <v>2767</v>
      </c>
      <c r="X947" s="319">
        <v>2</v>
      </c>
      <c r="Y947" s="319" t="s">
        <v>173</v>
      </c>
      <c r="Z947" s="319" t="s">
        <v>173</v>
      </c>
      <c r="AA947" s="319" t="s">
        <v>173</v>
      </c>
      <c r="AB947" s="319">
        <v>2</v>
      </c>
      <c r="AC947" s="319" t="s">
        <v>169</v>
      </c>
      <c r="AD947" s="319" t="s">
        <v>173</v>
      </c>
      <c r="AE947" s="319" t="s">
        <v>173</v>
      </c>
      <c r="AF947" s="319" t="s">
        <v>427</v>
      </c>
      <c r="AG947" s="319" t="s">
        <v>171</v>
      </c>
      <c r="AH947" s="319" t="s">
        <v>190</v>
      </c>
      <c r="AI947" s="319" t="s">
        <v>190</v>
      </c>
      <c r="AJ947" s="319" t="s">
        <v>190</v>
      </c>
      <c r="AK947" s="319" t="s">
        <v>190</v>
      </c>
      <c r="AL947" s="319" t="s">
        <v>190</v>
      </c>
      <c r="AM947" s="319" t="s">
        <v>190</v>
      </c>
      <c r="AN947" s="319" t="s">
        <v>190</v>
      </c>
      <c r="AO947" s="319" t="s">
        <v>190</v>
      </c>
      <c r="AP947" s="319" t="s">
        <v>190</v>
      </c>
      <c r="AQ947" s="319" t="s">
        <v>190</v>
      </c>
      <c r="AR947" s="319" t="s">
        <v>190</v>
      </c>
      <c r="AS947" s="319" t="s">
        <v>190</v>
      </c>
      <c r="AT947" s="319" t="s">
        <v>190</v>
      </c>
      <c r="AU947" s="319" t="s">
        <v>190</v>
      </c>
      <c r="AV947" s="319" t="s">
        <v>190</v>
      </c>
      <c r="AW947" s="319" t="s">
        <v>190</v>
      </c>
      <c r="AX947" s="319" t="s">
        <v>190</v>
      </c>
      <c r="AY947" s="319" t="s">
        <v>190</v>
      </c>
      <c r="AZ947" s="319" t="s">
        <v>190</v>
      </c>
      <c r="BA947" s="319" t="s">
        <v>190</v>
      </c>
      <c r="BB947" s="319" t="s">
        <v>190</v>
      </c>
      <c r="BC947" s="319" t="s">
        <v>190</v>
      </c>
      <c r="BD947" s="319" t="s">
        <v>190</v>
      </c>
      <c r="BE947" s="319" t="s">
        <v>190</v>
      </c>
      <c r="BF947" s="319" t="s">
        <v>428</v>
      </c>
      <c r="BG947" s="319" t="s">
        <v>190</v>
      </c>
      <c r="BH947" s="319" t="s">
        <v>190</v>
      </c>
      <c r="BI947" s="319" t="s">
        <v>190</v>
      </c>
      <c r="BJ947" s="319" t="s">
        <v>190</v>
      </c>
      <c r="BK947" s="319" t="s">
        <v>190</v>
      </c>
      <c r="BL947" s="319" t="s">
        <v>190</v>
      </c>
      <c r="BM947" s="319" t="s">
        <v>190</v>
      </c>
      <c r="BN947" s="319" t="s">
        <v>190</v>
      </c>
      <c r="BO947" s="319" t="s">
        <v>190</v>
      </c>
      <c r="BP947" s="319" t="s">
        <v>190</v>
      </c>
      <c r="BQ947" s="319" t="s">
        <v>190</v>
      </c>
      <c r="BR947" s="319" t="s">
        <v>190</v>
      </c>
      <c r="BS947" s="319" t="s">
        <v>190</v>
      </c>
      <c r="BT947" s="319" t="s">
        <v>190</v>
      </c>
      <c r="BU947" s="319" t="s">
        <v>190</v>
      </c>
      <c r="BV947" s="319" t="s">
        <v>190</v>
      </c>
      <c r="BW947" s="319" t="s">
        <v>190</v>
      </c>
      <c r="BX947" s="319" t="s">
        <v>190</v>
      </c>
      <c r="BY947" s="319" t="s">
        <v>190</v>
      </c>
      <c r="BZ947" s="319" t="s">
        <v>190</v>
      </c>
      <c r="CA947" s="319" t="s">
        <v>190</v>
      </c>
      <c r="CB947" s="319" t="s">
        <v>190</v>
      </c>
      <c r="CC947" s="319" t="s">
        <v>190</v>
      </c>
      <c r="CD947" s="319" t="s">
        <v>190</v>
      </c>
      <c r="CE947" s="319" t="s">
        <v>190</v>
      </c>
      <c r="CF947" s="319" t="s">
        <v>190</v>
      </c>
      <c r="CG947" s="319" t="s">
        <v>190</v>
      </c>
      <c r="CH947" s="319" t="s">
        <v>190</v>
      </c>
      <c r="CI947" s="319" t="s">
        <v>190</v>
      </c>
      <c r="CJ947" s="319" t="s">
        <v>190</v>
      </c>
      <c r="CK947" s="319" t="s">
        <v>190</v>
      </c>
      <c r="CL947" s="319" t="s">
        <v>190</v>
      </c>
      <c r="CM947" s="319" t="s">
        <v>190</v>
      </c>
      <c r="CN947" s="319" t="s">
        <v>428</v>
      </c>
      <c r="CO947" s="319" t="s">
        <v>428</v>
      </c>
      <c r="CP947" s="319" t="s">
        <v>428</v>
      </c>
      <c r="CQ947" s="319" t="s">
        <v>190</v>
      </c>
      <c r="CR947" s="319" t="s">
        <v>190</v>
      </c>
      <c r="CS947" s="319" t="s">
        <v>190</v>
      </c>
      <c r="CT947" s="319" t="s">
        <v>190</v>
      </c>
      <c r="CU947" s="319" t="s">
        <v>190</v>
      </c>
      <c r="CV947" s="319" t="s">
        <v>190</v>
      </c>
      <c r="CW947" s="319" t="s">
        <v>190</v>
      </c>
      <c r="CX947" s="319" t="s">
        <v>190</v>
      </c>
      <c r="CY947" s="319" t="s">
        <v>190</v>
      </c>
      <c r="CZ947" s="319" t="s">
        <v>190</v>
      </c>
      <c r="DA947" s="319" t="s">
        <v>190</v>
      </c>
      <c r="DB947" s="319" t="s">
        <v>190</v>
      </c>
      <c r="DC947" s="319" t="s">
        <v>190</v>
      </c>
      <c r="DD947" s="319" t="s">
        <v>190</v>
      </c>
      <c r="DE947" s="319" t="s">
        <v>190</v>
      </c>
      <c r="DF947" s="319" t="s">
        <v>190</v>
      </c>
      <c r="DG947" s="319" t="s">
        <v>190</v>
      </c>
      <c r="DH947" s="319" t="s">
        <v>190</v>
      </c>
      <c r="DI947" s="319" t="s">
        <v>190</v>
      </c>
      <c r="DJ947" s="319" t="s">
        <v>190</v>
      </c>
      <c r="DK947" s="319" t="s">
        <v>190</v>
      </c>
      <c r="DL947" s="319" t="s">
        <v>190</v>
      </c>
      <c r="DM947" s="319" t="s">
        <v>190</v>
      </c>
      <c r="DN947" s="319" t="s">
        <v>428</v>
      </c>
      <c r="DO947" s="319" t="s">
        <v>190</v>
      </c>
      <c r="DP947" s="319" t="s">
        <v>190</v>
      </c>
      <c r="DQ947" s="319" t="s">
        <v>190</v>
      </c>
      <c r="DR947" s="319" t="s">
        <v>190</v>
      </c>
      <c r="DS947" s="319" t="s">
        <v>190</v>
      </c>
      <c r="DT947" s="319" t="s">
        <v>190</v>
      </c>
      <c r="DU947" s="319" t="s">
        <v>190</v>
      </c>
      <c r="DV947" s="319" t="s">
        <v>173</v>
      </c>
      <c r="DW947" s="319" t="s">
        <v>190</v>
      </c>
      <c r="DX947" s="319" t="s">
        <v>190</v>
      </c>
      <c r="DY947" s="319" t="s">
        <v>190</v>
      </c>
      <c r="DZ947" s="319" t="s">
        <v>190</v>
      </c>
      <c r="EA947" s="319" t="s">
        <v>190</v>
      </c>
      <c r="EB947" s="319" t="s">
        <v>190</v>
      </c>
      <c r="EC947" s="319" t="s">
        <v>428</v>
      </c>
      <c r="ED947" s="319" t="s">
        <v>190</v>
      </c>
      <c r="EE947" s="319" t="s">
        <v>190</v>
      </c>
      <c r="EF947" s="319" t="s">
        <v>190</v>
      </c>
      <c r="EG947" s="319" t="s">
        <v>190</v>
      </c>
      <c r="EH947" s="319" t="s">
        <v>190</v>
      </c>
      <c r="EI947" s="319" t="s">
        <v>190</v>
      </c>
      <c r="EJ947" s="319" t="s">
        <v>190</v>
      </c>
      <c r="EK947" s="319" t="s">
        <v>190</v>
      </c>
      <c r="EL947" s="319" t="s">
        <v>190</v>
      </c>
      <c r="EM947" s="319" t="s">
        <v>190</v>
      </c>
      <c r="EN947" s="319" t="s">
        <v>190</v>
      </c>
      <c r="EO947" s="319" t="s">
        <v>190</v>
      </c>
      <c r="EP947" s="319" t="s">
        <v>190</v>
      </c>
      <c r="EQ947" s="319" t="s">
        <v>190</v>
      </c>
      <c r="ER947" s="319" t="s">
        <v>190</v>
      </c>
      <c r="ES947" s="319" t="s">
        <v>190</v>
      </c>
      <c r="ET947" s="319" t="s">
        <v>190</v>
      </c>
      <c r="EU947" s="319" t="s">
        <v>190</v>
      </c>
      <c r="EV947" s="319" t="s">
        <v>190</v>
      </c>
      <c r="EW947" s="319" t="s">
        <v>190</v>
      </c>
      <c r="EX947" s="319" t="s">
        <v>190</v>
      </c>
      <c r="EY947" s="319" t="s">
        <v>190</v>
      </c>
      <c r="EZ947" s="319" t="s">
        <v>190</v>
      </c>
      <c r="FA947" s="319" t="s">
        <v>190</v>
      </c>
      <c r="FB947" s="319" t="s">
        <v>190</v>
      </c>
      <c r="FC947" s="319" t="s">
        <v>190</v>
      </c>
      <c r="FD947" s="319" t="s">
        <v>190</v>
      </c>
      <c r="FE947" s="319" t="s">
        <v>190</v>
      </c>
      <c r="FF947" s="319" t="s">
        <v>190</v>
      </c>
      <c r="FG947" s="319" t="s">
        <v>190</v>
      </c>
      <c r="FH947" s="319" t="s">
        <v>190</v>
      </c>
      <c r="FI947" s="319" t="s">
        <v>190</v>
      </c>
      <c r="FJ947" s="319" t="s">
        <v>190</v>
      </c>
      <c r="FK947" s="319" t="s">
        <v>190</v>
      </c>
      <c r="FL947" s="319" t="s">
        <v>190</v>
      </c>
      <c r="FM947" s="319" t="s">
        <v>190</v>
      </c>
      <c r="FN947" s="319" t="s">
        <v>190</v>
      </c>
      <c r="FO947" s="319" t="s">
        <v>190</v>
      </c>
      <c r="FP947" s="319" t="s">
        <v>190</v>
      </c>
      <c r="FQ947" s="319" t="s">
        <v>190</v>
      </c>
      <c r="FR947" s="319" t="s">
        <v>190</v>
      </c>
      <c r="FS947" s="319" t="s">
        <v>190</v>
      </c>
      <c r="FT947" s="319" t="s">
        <v>190</v>
      </c>
      <c r="FU947" s="319" t="s">
        <v>190</v>
      </c>
      <c r="FV947" s="319" t="s">
        <v>190</v>
      </c>
      <c r="FW947" s="319" t="s">
        <v>190</v>
      </c>
      <c r="FX947" s="319" t="s">
        <v>190</v>
      </c>
      <c r="FY947" s="319" t="s">
        <v>190</v>
      </c>
      <c r="FZ947" s="319" t="s">
        <v>190</v>
      </c>
      <c r="GA947" s="319" t="s">
        <v>190</v>
      </c>
      <c r="GB947" s="319" t="s">
        <v>190</v>
      </c>
      <c r="GC947" s="319" t="s">
        <v>190</v>
      </c>
      <c r="GD947" s="319" t="s">
        <v>190</v>
      </c>
      <c r="GE947" s="319" t="s">
        <v>190</v>
      </c>
      <c r="GF947" s="319" t="s">
        <v>190</v>
      </c>
      <c r="GG947" s="319" t="s">
        <v>190</v>
      </c>
      <c r="GH947" s="319" t="s">
        <v>190</v>
      </c>
      <c r="GI947" s="319" t="s">
        <v>190</v>
      </c>
      <c r="GJ947" s="319" t="s">
        <v>190</v>
      </c>
      <c r="GK947" s="319" t="s">
        <v>428</v>
      </c>
      <c r="GL947" s="319" t="s">
        <v>190</v>
      </c>
      <c r="GM947" s="319" t="s">
        <v>190</v>
      </c>
      <c r="GN947" s="319" t="s">
        <v>190</v>
      </c>
      <c r="GO947" s="319" t="s">
        <v>190</v>
      </c>
      <c r="GP947" s="319" t="s">
        <v>190</v>
      </c>
      <c r="GQ947" s="319" t="s">
        <v>190</v>
      </c>
      <c r="GR947" s="319" t="s">
        <v>190</v>
      </c>
      <c r="GS947" s="319" t="s">
        <v>190</v>
      </c>
      <c r="GT947" s="319" t="s">
        <v>428</v>
      </c>
      <c r="GU947" s="319" t="s">
        <v>428</v>
      </c>
      <c r="GV947" s="319" t="s">
        <v>190</v>
      </c>
      <c r="GW947" s="319" t="s">
        <v>190</v>
      </c>
      <c r="GX947" s="319" t="s">
        <v>190</v>
      </c>
      <c r="GY947" s="319" t="s">
        <v>190</v>
      </c>
      <c r="GZ947" s="319" t="s">
        <v>428</v>
      </c>
      <c r="HA947" s="319" t="s">
        <v>190</v>
      </c>
      <c r="HB947" s="319" t="s">
        <v>190</v>
      </c>
      <c r="HC947" s="319" t="s">
        <v>190</v>
      </c>
      <c r="HD947" s="319" t="s">
        <v>190</v>
      </c>
      <c r="HE947" s="319" t="s">
        <v>190</v>
      </c>
      <c r="HF947" s="319" t="s">
        <v>190</v>
      </c>
      <c r="HG947" s="319" t="s">
        <v>190</v>
      </c>
      <c r="HH947" s="319" t="s">
        <v>190</v>
      </c>
      <c r="HI947" s="319" t="s">
        <v>190</v>
      </c>
      <c r="HJ947" s="319" t="s">
        <v>190</v>
      </c>
      <c r="HK947" s="319" t="s">
        <v>190</v>
      </c>
      <c r="HL947" s="319" t="s">
        <v>428</v>
      </c>
      <c r="HM947" s="319" t="s">
        <v>428</v>
      </c>
      <c r="HN947" s="319" t="s">
        <v>428</v>
      </c>
      <c r="HO947" s="319" t="s">
        <v>428</v>
      </c>
      <c r="HP947" s="319" t="s">
        <v>190</v>
      </c>
      <c r="HQ947" s="319" t="s">
        <v>190</v>
      </c>
      <c r="HR947" s="319" t="s">
        <v>190</v>
      </c>
      <c r="HS947" s="319" t="s">
        <v>190</v>
      </c>
      <c r="HT947" s="319" t="s">
        <v>190</v>
      </c>
      <c r="HU947" s="319" t="s">
        <v>190</v>
      </c>
      <c r="HV947" s="319" t="s">
        <v>190</v>
      </c>
      <c r="HW947" s="319" t="s">
        <v>190</v>
      </c>
      <c r="HX947" s="319" t="s">
        <v>190</v>
      </c>
      <c r="HY947" s="319" t="s">
        <v>190</v>
      </c>
      <c r="HZ947" s="319" t="s">
        <v>190</v>
      </c>
      <c r="IA947" s="319" t="s">
        <v>190</v>
      </c>
      <c r="IB947" s="319" t="s">
        <v>190</v>
      </c>
      <c r="IC947" s="319" t="s">
        <v>190</v>
      </c>
      <c r="ID947" s="319" t="s">
        <v>190</v>
      </c>
      <c r="IE947" s="319" t="s">
        <v>190</v>
      </c>
      <c r="IF947" s="319" t="s">
        <v>190</v>
      </c>
      <c r="IG947" s="319" t="s">
        <v>190</v>
      </c>
      <c r="IH947" s="319" t="s">
        <v>190</v>
      </c>
      <c r="II947" s="319" t="s">
        <v>190</v>
      </c>
      <c r="IJ947" s="319" t="s">
        <v>173</v>
      </c>
      <c r="IK947" s="319" t="s">
        <v>173</v>
      </c>
      <c r="IL947" s="319" t="s">
        <v>173</v>
      </c>
      <c r="IM947" s="319" t="s">
        <v>173</v>
      </c>
      <c r="IN947" s="319" t="s">
        <v>173</v>
      </c>
      <c r="IO947" s="319" t="s">
        <v>173</v>
      </c>
      <c r="IP947" s="319" t="s">
        <v>173</v>
      </c>
      <c r="IQ947" s="319" t="s">
        <v>173</v>
      </c>
      <c r="IR947" s="320" t="s">
        <v>173</v>
      </c>
      <c r="IS947" s="320" t="s">
        <v>173</v>
      </c>
      <c r="IT947" s="319" t="s">
        <v>173</v>
      </c>
    </row>
    <row r="948" spans="1:254" s="271" customFormat="1" x14ac:dyDescent="0.25">
      <c r="A948" s="318" t="str">
        <f>HYPERLINK("http://www.ofsted.gov.uk/inspection-reports/find-inspection-report/provider/ELS/145164 ","Ofsted School Webpage")</f>
        <v>Ofsted School Webpage</v>
      </c>
      <c r="B948" s="319">
        <v>145164</v>
      </c>
      <c r="C948" s="319">
        <v>2126003</v>
      </c>
      <c r="D948" s="319" t="s">
        <v>2489</v>
      </c>
      <c r="E948" s="319" t="s">
        <v>168</v>
      </c>
      <c r="F948" s="319" t="s">
        <v>81</v>
      </c>
      <c r="G948" s="319" t="s">
        <v>81</v>
      </c>
      <c r="H948" s="319" t="s">
        <v>81</v>
      </c>
      <c r="I948" s="319" t="s">
        <v>78</v>
      </c>
      <c r="J948" s="319" t="s">
        <v>424</v>
      </c>
      <c r="K948" s="319" t="s">
        <v>441</v>
      </c>
      <c r="L948" s="319" t="s">
        <v>441</v>
      </c>
      <c r="M948" s="319" t="s">
        <v>745</v>
      </c>
      <c r="N948" s="319" t="s">
        <v>2808</v>
      </c>
      <c r="O948" s="319" t="s">
        <v>2490</v>
      </c>
      <c r="P948" s="319">
        <v>36</v>
      </c>
      <c r="Q948" s="319" t="s">
        <v>429</v>
      </c>
      <c r="R948" s="320">
        <v>10044424</v>
      </c>
      <c r="S948" s="321">
        <v>43291</v>
      </c>
      <c r="T948" s="321">
        <v>43293</v>
      </c>
      <c r="U948" s="321">
        <v>43312</v>
      </c>
      <c r="V948" s="319" t="s">
        <v>435</v>
      </c>
      <c r="W948" s="319" t="s">
        <v>2767</v>
      </c>
      <c r="X948" s="319">
        <v>1</v>
      </c>
      <c r="Y948" s="319" t="s">
        <v>173</v>
      </c>
      <c r="Z948" s="319" t="s">
        <v>173</v>
      </c>
      <c r="AA948" s="319" t="s">
        <v>173</v>
      </c>
      <c r="AB948" s="319">
        <v>1</v>
      </c>
      <c r="AC948" s="319" t="s">
        <v>169</v>
      </c>
      <c r="AD948" s="319" t="s">
        <v>173</v>
      </c>
      <c r="AE948" s="319" t="s">
        <v>173</v>
      </c>
      <c r="AF948" s="319" t="s">
        <v>427</v>
      </c>
      <c r="AG948" s="319" t="s">
        <v>171</v>
      </c>
      <c r="AH948" s="319" t="s">
        <v>190</v>
      </c>
      <c r="AI948" s="319" t="s">
        <v>190</v>
      </c>
      <c r="AJ948" s="319" t="s">
        <v>190</v>
      </c>
      <c r="AK948" s="319" t="s">
        <v>190</v>
      </c>
      <c r="AL948" s="319" t="s">
        <v>190</v>
      </c>
      <c r="AM948" s="319" t="s">
        <v>190</v>
      </c>
      <c r="AN948" s="319" t="s">
        <v>190</v>
      </c>
      <c r="AO948" s="319" t="s">
        <v>190</v>
      </c>
      <c r="AP948" s="319" t="s">
        <v>190</v>
      </c>
      <c r="AQ948" s="319" t="s">
        <v>190</v>
      </c>
      <c r="AR948" s="319" t="s">
        <v>190</v>
      </c>
      <c r="AS948" s="319" t="s">
        <v>190</v>
      </c>
      <c r="AT948" s="319" t="s">
        <v>190</v>
      </c>
      <c r="AU948" s="319" t="s">
        <v>190</v>
      </c>
      <c r="AV948" s="319" t="s">
        <v>190</v>
      </c>
      <c r="AW948" s="319" t="s">
        <v>190</v>
      </c>
      <c r="AX948" s="319" t="s">
        <v>428</v>
      </c>
      <c r="AY948" s="319" t="s">
        <v>190</v>
      </c>
      <c r="AZ948" s="319" t="s">
        <v>190</v>
      </c>
      <c r="BA948" s="319" t="s">
        <v>190</v>
      </c>
      <c r="BB948" s="319" t="s">
        <v>190</v>
      </c>
      <c r="BC948" s="319" t="s">
        <v>190</v>
      </c>
      <c r="BD948" s="319" t="s">
        <v>190</v>
      </c>
      <c r="BE948" s="319" t="s">
        <v>190</v>
      </c>
      <c r="BF948" s="319" t="s">
        <v>428</v>
      </c>
      <c r="BG948" s="319" t="s">
        <v>190</v>
      </c>
      <c r="BH948" s="319" t="s">
        <v>190</v>
      </c>
      <c r="BI948" s="319" t="s">
        <v>190</v>
      </c>
      <c r="BJ948" s="319" t="s">
        <v>190</v>
      </c>
      <c r="BK948" s="319" t="s">
        <v>190</v>
      </c>
      <c r="BL948" s="319" t="s">
        <v>190</v>
      </c>
      <c r="BM948" s="319" t="s">
        <v>190</v>
      </c>
      <c r="BN948" s="319" t="s">
        <v>190</v>
      </c>
      <c r="BO948" s="319" t="s">
        <v>190</v>
      </c>
      <c r="BP948" s="319" t="s">
        <v>190</v>
      </c>
      <c r="BQ948" s="319" t="s">
        <v>190</v>
      </c>
      <c r="BR948" s="319" t="s">
        <v>190</v>
      </c>
      <c r="BS948" s="319" t="s">
        <v>190</v>
      </c>
      <c r="BT948" s="319" t="s">
        <v>190</v>
      </c>
      <c r="BU948" s="319" t="s">
        <v>190</v>
      </c>
      <c r="BV948" s="319" t="s">
        <v>190</v>
      </c>
      <c r="BW948" s="319" t="s">
        <v>190</v>
      </c>
      <c r="BX948" s="319" t="s">
        <v>190</v>
      </c>
      <c r="BY948" s="319" t="s">
        <v>190</v>
      </c>
      <c r="BZ948" s="319" t="s">
        <v>190</v>
      </c>
      <c r="CA948" s="319" t="s">
        <v>190</v>
      </c>
      <c r="CB948" s="319" t="s">
        <v>190</v>
      </c>
      <c r="CC948" s="319" t="s">
        <v>190</v>
      </c>
      <c r="CD948" s="319" t="s">
        <v>190</v>
      </c>
      <c r="CE948" s="319" t="s">
        <v>190</v>
      </c>
      <c r="CF948" s="319" t="s">
        <v>190</v>
      </c>
      <c r="CG948" s="319" t="s">
        <v>190</v>
      </c>
      <c r="CH948" s="319" t="s">
        <v>190</v>
      </c>
      <c r="CI948" s="319" t="s">
        <v>190</v>
      </c>
      <c r="CJ948" s="319" t="s">
        <v>190</v>
      </c>
      <c r="CK948" s="319" t="s">
        <v>190</v>
      </c>
      <c r="CL948" s="319" t="s">
        <v>190</v>
      </c>
      <c r="CM948" s="319" t="s">
        <v>190</v>
      </c>
      <c r="CN948" s="319" t="s">
        <v>428</v>
      </c>
      <c r="CO948" s="319" t="s">
        <v>428</v>
      </c>
      <c r="CP948" s="319" t="s">
        <v>428</v>
      </c>
      <c r="CQ948" s="319" t="s">
        <v>190</v>
      </c>
      <c r="CR948" s="319" t="s">
        <v>190</v>
      </c>
      <c r="CS948" s="319" t="s">
        <v>190</v>
      </c>
      <c r="CT948" s="319" t="s">
        <v>190</v>
      </c>
      <c r="CU948" s="319" t="s">
        <v>190</v>
      </c>
      <c r="CV948" s="319" t="s">
        <v>190</v>
      </c>
      <c r="CW948" s="319" t="s">
        <v>190</v>
      </c>
      <c r="CX948" s="319" t="s">
        <v>190</v>
      </c>
      <c r="CY948" s="319" t="s">
        <v>190</v>
      </c>
      <c r="CZ948" s="319" t="s">
        <v>190</v>
      </c>
      <c r="DA948" s="319" t="s">
        <v>190</v>
      </c>
      <c r="DB948" s="319" t="s">
        <v>190</v>
      </c>
      <c r="DC948" s="319" t="s">
        <v>190</v>
      </c>
      <c r="DD948" s="319" t="s">
        <v>190</v>
      </c>
      <c r="DE948" s="319" t="s">
        <v>190</v>
      </c>
      <c r="DF948" s="319" t="s">
        <v>190</v>
      </c>
      <c r="DG948" s="319" t="s">
        <v>190</v>
      </c>
      <c r="DH948" s="319" t="s">
        <v>190</v>
      </c>
      <c r="DI948" s="319" t="s">
        <v>190</v>
      </c>
      <c r="DJ948" s="319" t="s">
        <v>190</v>
      </c>
      <c r="DK948" s="319" t="s">
        <v>190</v>
      </c>
      <c r="DL948" s="319" t="s">
        <v>190</v>
      </c>
      <c r="DM948" s="319" t="s">
        <v>190</v>
      </c>
      <c r="DN948" s="319" t="s">
        <v>428</v>
      </c>
      <c r="DO948" s="319" t="s">
        <v>190</v>
      </c>
      <c r="DP948" s="319" t="s">
        <v>190</v>
      </c>
      <c r="DQ948" s="319" t="s">
        <v>190</v>
      </c>
      <c r="DR948" s="319" t="s">
        <v>190</v>
      </c>
      <c r="DS948" s="319" t="s">
        <v>190</v>
      </c>
      <c r="DT948" s="319" t="s">
        <v>190</v>
      </c>
      <c r="DU948" s="319" t="s">
        <v>190</v>
      </c>
      <c r="DV948" s="319" t="s">
        <v>173</v>
      </c>
      <c r="DW948" s="319" t="s">
        <v>190</v>
      </c>
      <c r="DX948" s="319" t="s">
        <v>190</v>
      </c>
      <c r="DY948" s="319" t="s">
        <v>190</v>
      </c>
      <c r="DZ948" s="319" t="s">
        <v>190</v>
      </c>
      <c r="EA948" s="319" t="s">
        <v>190</v>
      </c>
      <c r="EB948" s="319" t="s">
        <v>190</v>
      </c>
      <c r="EC948" s="319" t="s">
        <v>428</v>
      </c>
      <c r="ED948" s="319" t="s">
        <v>190</v>
      </c>
      <c r="EE948" s="319" t="s">
        <v>190</v>
      </c>
      <c r="EF948" s="319" t="s">
        <v>190</v>
      </c>
      <c r="EG948" s="319" t="s">
        <v>190</v>
      </c>
      <c r="EH948" s="319" t="s">
        <v>190</v>
      </c>
      <c r="EI948" s="319" t="s">
        <v>190</v>
      </c>
      <c r="EJ948" s="319" t="s">
        <v>190</v>
      </c>
      <c r="EK948" s="319" t="s">
        <v>190</v>
      </c>
      <c r="EL948" s="319" t="s">
        <v>190</v>
      </c>
      <c r="EM948" s="319" t="s">
        <v>190</v>
      </c>
      <c r="EN948" s="319" t="s">
        <v>190</v>
      </c>
      <c r="EO948" s="319" t="s">
        <v>190</v>
      </c>
      <c r="EP948" s="319" t="s">
        <v>190</v>
      </c>
      <c r="EQ948" s="319" t="s">
        <v>190</v>
      </c>
      <c r="ER948" s="319" t="s">
        <v>190</v>
      </c>
      <c r="ES948" s="319" t="s">
        <v>190</v>
      </c>
      <c r="ET948" s="319" t="s">
        <v>190</v>
      </c>
      <c r="EU948" s="319" t="s">
        <v>190</v>
      </c>
      <c r="EV948" s="319" t="s">
        <v>190</v>
      </c>
      <c r="EW948" s="319" t="s">
        <v>190</v>
      </c>
      <c r="EX948" s="319" t="s">
        <v>190</v>
      </c>
      <c r="EY948" s="319" t="s">
        <v>190</v>
      </c>
      <c r="EZ948" s="319" t="s">
        <v>190</v>
      </c>
      <c r="FA948" s="319" t="s">
        <v>190</v>
      </c>
      <c r="FB948" s="319" t="s">
        <v>190</v>
      </c>
      <c r="FC948" s="319" t="s">
        <v>190</v>
      </c>
      <c r="FD948" s="319" t="s">
        <v>190</v>
      </c>
      <c r="FE948" s="319" t="s">
        <v>190</v>
      </c>
      <c r="FF948" s="319" t="s">
        <v>190</v>
      </c>
      <c r="FG948" s="319" t="s">
        <v>190</v>
      </c>
      <c r="FH948" s="319" t="s">
        <v>190</v>
      </c>
      <c r="FI948" s="319" t="s">
        <v>428</v>
      </c>
      <c r="FJ948" s="319" t="s">
        <v>429</v>
      </c>
      <c r="FK948" s="319" t="s">
        <v>428</v>
      </c>
      <c r="FL948" s="319" t="s">
        <v>190</v>
      </c>
      <c r="FM948" s="319" t="s">
        <v>190</v>
      </c>
      <c r="FN948" s="319" t="s">
        <v>190</v>
      </c>
      <c r="FO948" s="319" t="s">
        <v>190</v>
      </c>
      <c r="FP948" s="319" t="s">
        <v>190</v>
      </c>
      <c r="FQ948" s="319" t="s">
        <v>190</v>
      </c>
      <c r="FR948" s="319" t="s">
        <v>190</v>
      </c>
      <c r="FS948" s="319" t="s">
        <v>190</v>
      </c>
      <c r="FT948" s="319" t="s">
        <v>190</v>
      </c>
      <c r="FU948" s="319" t="s">
        <v>190</v>
      </c>
      <c r="FV948" s="319" t="s">
        <v>190</v>
      </c>
      <c r="FW948" s="319" t="s">
        <v>190</v>
      </c>
      <c r="FX948" s="319" t="s">
        <v>190</v>
      </c>
      <c r="FY948" s="319" t="s">
        <v>190</v>
      </c>
      <c r="FZ948" s="319" t="s">
        <v>190</v>
      </c>
      <c r="GA948" s="319" t="s">
        <v>190</v>
      </c>
      <c r="GB948" s="319" t="s">
        <v>190</v>
      </c>
      <c r="GC948" s="319" t="s">
        <v>190</v>
      </c>
      <c r="GD948" s="319" t="s">
        <v>190</v>
      </c>
      <c r="GE948" s="319" t="s">
        <v>190</v>
      </c>
      <c r="GF948" s="319" t="s">
        <v>190</v>
      </c>
      <c r="GG948" s="319" t="s">
        <v>190</v>
      </c>
      <c r="GH948" s="319" t="s">
        <v>190</v>
      </c>
      <c r="GI948" s="319" t="s">
        <v>190</v>
      </c>
      <c r="GJ948" s="319" t="s">
        <v>190</v>
      </c>
      <c r="GK948" s="319" t="s">
        <v>428</v>
      </c>
      <c r="GL948" s="319" t="s">
        <v>190</v>
      </c>
      <c r="GM948" s="319" t="s">
        <v>190</v>
      </c>
      <c r="GN948" s="319" t="s">
        <v>190</v>
      </c>
      <c r="GO948" s="319" t="s">
        <v>190</v>
      </c>
      <c r="GP948" s="319" t="s">
        <v>190</v>
      </c>
      <c r="GQ948" s="319" t="s">
        <v>428</v>
      </c>
      <c r="GR948" s="319" t="s">
        <v>190</v>
      </c>
      <c r="GS948" s="319" t="s">
        <v>190</v>
      </c>
      <c r="GT948" s="319" t="s">
        <v>190</v>
      </c>
      <c r="GU948" s="319" t="s">
        <v>190</v>
      </c>
      <c r="GV948" s="319" t="s">
        <v>190</v>
      </c>
      <c r="GW948" s="319" t="s">
        <v>190</v>
      </c>
      <c r="GX948" s="319" t="s">
        <v>190</v>
      </c>
      <c r="GY948" s="319" t="s">
        <v>190</v>
      </c>
      <c r="GZ948" s="319" t="s">
        <v>428</v>
      </c>
      <c r="HA948" s="319" t="s">
        <v>190</v>
      </c>
      <c r="HB948" s="319" t="s">
        <v>190</v>
      </c>
      <c r="HC948" s="319" t="s">
        <v>190</v>
      </c>
      <c r="HD948" s="319" t="s">
        <v>190</v>
      </c>
      <c r="HE948" s="319" t="s">
        <v>190</v>
      </c>
      <c r="HF948" s="319" t="s">
        <v>190</v>
      </c>
      <c r="HG948" s="319" t="s">
        <v>190</v>
      </c>
      <c r="HH948" s="319" t="s">
        <v>190</v>
      </c>
      <c r="HI948" s="319" t="s">
        <v>190</v>
      </c>
      <c r="HJ948" s="319" t="s">
        <v>190</v>
      </c>
      <c r="HK948" s="319" t="s">
        <v>190</v>
      </c>
      <c r="HL948" s="319" t="s">
        <v>428</v>
      </c>
      <c r="HM948" s="319" t="s">
        <v>428</v>
      </c>
      <c r="HN948" s="319" t="s">
        <v>428</v>
      </c>
      <c r="HO948" s="319" t="s">
        <v>428</v>
      </c>
      <c r="HP948" s="319" t="s">
        <v>190</v>
      </c>
      <c r="HQ948" s="319" t="s">
        <v>190</v>
      </c>
      <c r="HR948" s="319" t="s">
        <v>190</v>
      </c>
      <c r="HS948" s="319" t="s">
        <v>190</v>
      </c>
      <c r="HT948" s="319" t="s">
        <v>190</v>
      </c>
      <c r="HU948" s="319" t="s">
        <v>190</v>
      </c>
      <c r="HV948" s="319" t="s">
        <v>190</v>
      </c>
      <c r="HW948" s="319" t="s">
        <v>190</v>
      </c>
      <c r="HX948" s="319" t="s">
        <v>190</v>
      </c>
      <c r="HY948" s="319" t="s">
        <v>190</v>
      </c>
      <c r="HZ948" s="319" t="s">
        <v>190</v>
      </c>
      <c r="IA948" s="319" t="s">
        <v>190</v>
      </c>
      <c r="IB948" s="319" t="s">
        <v>190</v>
      </c>
      <c r="IC948" s="319" t="s">
        <v>190</v>
      </c>
      <c r="ID948" s="319" t="s">
        <v>190</v>
      </c>
      <c r="IE948" s="319" t="s">
        <v>190</v>
      </c>
      <c r="IF948" s="319" t="s">
        <v>190</v>
      </c>
      <c r="IG948" s="319" t="s">
        <v>190</v>
      </c>
      <c r="IH948" s="319" t="s">
        <v>190</v>
      </c>
      <c r="II948" s="319" t="s">
        <v>190</v>
      </c>
      <c r="IJ948" s="319" t="s">
        <v>173</v>
      </c>
      <c r="IK948" s="319" t="s">
        <v>173</v>
      </c>
      <c r="IL948" s="319" t="s">
        <v>173</v>
      </c>
      <c r="IM948" s="319" t="s">
        <v>173</v>
      </c>
      <c r="IN948" s="319" t="s">
        <v>173</v>
      </c>
      <c r="IO948" s="319" t="s">
        <v>173</v>
      </c>
      <c r="IP948" s="319" t="s">
        <v>173</v>
      </c>
      <c r="IQ948" s="321" t="s">
        <v>173</v>
      </c>
      <c r="IR948" s="320" t="s">
        <v>173</v>
      </c>
      <c r="IS948" s="322" t="s">
        <v>173</v>
      </c>
      <c r="IT948" s="319" t="s">
        <v>173</v>
      </c>
    </row>
    <row r="949" spans="1:254" s="271" customFormat="1" x14ac:dyDescent="0.25">
      <c r="A949" s="318" t="str">
        <f>HYPERLINK("http://www.ofsted.gov.uk/inspection-reports/find-inspection-report/provider/ELS/145165 ","Ofsted School Webpage")</f>
        <v>Ofsted School Webpage</v>
      </c>
      <c r="B949" s="319">
        <v>145165</v>
      </c>
      <c r="C949" s="319">
        <v>2066003</v>
      </c>
      <c r="D949" s="319" t="s">
        <v>667</v>
      </c>
      <c r="E949" s="319" t="s">
        <v>167</v>
      </c>
      <c r="F949" s="319" t="s">
        <v>81</v>
      </c>
      <c r="G949" s="319" t="s">
        <v>81</v>
      </c>
      <c r="H949" s="319" t="s">
        <v>81</v>
      </c>
      <c r="I949" s="319" t="s">
        <v>78</v>
      </c>
      <c r="J949" s="319" t="s">
        <v>424</v>
      </c>
      <c r="K949" s="319" t="s">
        <v>441</v>
      </c>
      <c r="L949" s="319" t="s">
        <v>441</v>
      </c>
      <c r="M949" s="319" t="s">
        <v>668</v>
      </c>
      <c r="N949" s="319" t="s">
        <v>2803</v>
      </c>
      <c r="O949" s="319" t="s">
        <v>669</v>
      </c>
      <c r="P949" s="319">
        <v>1</v>
      </c>
      <c r="Q949" s="319" t="s">
        <v>2766</v>
      </c>
      <c r="R949" s="320">
        <v>10054304</v>
      </c>
      <c r="S949" s="321">
        <v>43417</v>
      </c>
      <c r="T949" s="321">
        <v>43419</v>
      </c>
      <c r="U949" s="321">
        <v>43444</v>
      </c>
      <c r="V949" s="319" t="s">
        <v>435</v>
      </c>
      <c r="W949" s="319" t="s">
        <v>2767</v>
      </c>
      <c r="X949" s="319">
        <v>2</v>
      </c>
      <c r="Y949" s="319" t="s">
        <v>173</v>
      </c>
      <c r="Z949" s="319" t="s">
        <v>173</v>
      </c>
      <c r="AA949" s="319" t="s">
        <v>173</v>
      </c>
      <c r="AB949" s="319">
        <v>2</v>
      </c>
      <c r="AC949" s="319" t="s">
        <v>169</v>
      </c>
      <c r="AD949" s="319" t="s">
        <v>173</v>
      </c>
      <c r="AE949" s="319" t="s">
        <v>173</v>
      </c>
      <c r="AF949" s="319" t="s">
        <v>427</v>
      </c>
      <c r="AG949" s="319" t="s">
        <v>171</v>
      </c>
      <c r="AH949" s="319" t="s">
        <v>190</v>
      </c>
      <c r="AI949" s="319" t="s">
        <v>190</v>
      </c>
      <c r="AJ949" s="319" t="s">
        <v>190</v>
      </c>
      <c r="AK949" s="319" t="s">
        <v>190</v>
      </c>
      <c r="AL949" s="319" t="s">
        <v>190</v>
      </c>
      <c r="AM949" s="319" t="s">
        <v>190</v>
      </c>
      <c r="AN949" s="319" t="s">
        <v>190</v>
      </c>
      <c r="AO949" s="319" t="s">
        <v>190</v>
      </c>
      <c r="AP949" s="319" t="s">
        <v>190</v>
      </c>
      <c r="AQ949" s="319" t="s">
        <v>190</v>
      </c>
      <c r="AR949" s="319" t="s">
        <v>190</v>
      </c>
      <c r="AS949" s="319" t="s">
        <v>190</v>
      </c>
      <c r="AT949" s="319" t="s">
        <v>190</v>
      </c>
      <c r="AU949" s="319" t="s">
        <v>190</v>
      </c>
      <c r="AV949" s="319" t="s">
        <v>190</v>
      </c>
      <c r="AW949" s="319" t="s">
        <v>190</v>
      </c>
      <c r="AX949" s="319" t="s">
        <v>428</v>
      </c>
      <c r="AY949" s="319" t="s">
        <v>190</v>
      </c>
      <c r="AZ949" s="319" t="s">
        <v>190</v>
      </c>
      <c r="BA949" s="319" t="s">
        <v>190</v>
      </c>
      <c r="BB949" s="319" t="s">
        <v>190</v>
      </c>
      <c r="BC949" s="319" t="s">
        <v>190</v>
      </c>
      <c r="BD949" s="319" t="s">
        <v>190</v>
      </c>
      <c r="BE949" s="319" t="s">
        <v>190</v>
      </c>
      <c r="BF949" s="319" t="s">
        <v>428</v>
      </c>
      <c r="BG949" s="319" t="s">
        <v>428</v>
      </c>
      <c r="BH949" s="319" t="s">
        <v>190</v>
      </c>
      <c r="BI949" s="319" t="s">
        <v>190</v>
      </c>
      <c r="BJ949" s="319" t="s">
        <v>190</v>
      </c>
      <c r="BK949" s="319" t="s">
        <v>190</v>
      </c>
      <c r="BL949" s="319" t="s">
        <v>190</v>
      </c>
      <c r="BM949" s="319" t="s">
        <v>190</v>
      </c>
      <c r="BN949" s="319" t="s">
        <v>190</v>
      </c>
      <c r="BO949" s="319" t="s">
        <v>190</v>
      </c>
      <c r="BP949" s="319" t="s">
        <v>190</v>
      </c>
      <c r="BQ949" s="319" t="s">
        <v>190</v>
      </c>
      <c r="BR949" s="319" t="s">
        <v>190</v>
      </c>
      <c r="BS949" s="319" t="s">
        <v>190</v>
      </c>
      <c r="BT949" s="319" t="s">
        <v>190</v>
      </c>
      <c r="BU949" s="319" t="s">
        <v>190</v>
      </c>
      <c r="BV949" s="319" t="s">
        <v>190</v>
      </c>
      <c r="BW949" s="319" t="s">
        <v>190</v>
      </c>
      <c r="BX949" s="319" t="s">
        <v>190</v>
      </c>
      <c r="BY949" s="319" t="s">
        <v>190</v>
      </c>
      <c r="BZ949" s="319" t="s">
        <v>190</v>
      </c>
      <c r="CA949" s="319" t="s">
        <v>190</v>
      </c>
      <c r="CB949" s="319" t="s">
        <v>190</v>
      </c>
      <c r="CC949" s="319" t="s">
        <v>190</v>
      </c>
      <c r="CD949" s="319" t="s">
        <v>190</v>
      </c>
      <c r="CE949" s="319" t="s">
        <v>190</v>
      </c>
      <c r="CF949" s="319" t="s">
        <v>190</v>
      </c>
      <c r="CG949" s="319" t="s">
        <v>190</v>
      </c>
      <c r="CH949" s="319" t="s">
        <v>190</v>
      </c>
      <c r="CI949" s="319" t="s">
        <v>190</v>
      </c>
      <c r="CJ949" s="319" t="s">
        <v>190</v>
      </c>
      <c r="CK949" s="319" t="s">
        <v>190</v>
      </c>
      <c r="CL949" s="319" t="s">
        <v>190</v>
      </c>
      <c r="CM949" s="319" t="s">
        <v>190</v>
      </c>
      <c r="CN949" s="319" t="s">
        <v>428</v>
      </c>
      <c r="CO949" s="319" t="s">
        <v>428</v>
      </c>
      <c r="CP949" s="319" t="s">
        <v>428</v>
      </c>
      <c r="CQ949" s="319" t="s">
        <v>190</v>
      </c>
      <c r="CR949" s="319" t="s">
        <v>190</v>
      </c>
      <c r="CS949" s="319" t="s">
        <v>190</v>
      </c>
      <c r="CT949" s="319" t="s">
        <v>190</v>
      </c>
      <c r="CU949" s="319" t="s">
        <v>190</v>
      </c>
      <c r="CV949" s="319" t="s">
        <v>190</v>
      </c>
      <c r="CW949" s="319" t="s">
        <v>190</v>
      </c>
      <c r="CX949" s="319" t="s">
        <v>190</v>
      </c>
      <c r="CY949" s="319" t="s">
        <v>190</v>
      </c>
      <c r="CZ949" s="319" t="s">
        <v>190</v>
      </c>
      <c r="DA949" s="319" t="s">
        <v>190</v>
      </c>
      <c r="DB949" s="319" t="s">
        <v>190</v>
      </c>
      <c r="DC949" s="319" t="s">
        <v>190</v>
      </c>
      <c r="DD949" s="319" t="s">
        <v>190</v>
      </c>
      <c r="DE949" s="319" t="s">
        <v>190</v>
      </c>
      <c r="DF949" s="319" t="s">
        <v>190</v>
      </c>
      <c r="DG949" s="319" t="s">
        <v>190</v>
      </c>
      <c r="DH949" s="319" t="s">
        <v>190</v>
      </c>
      <c r="DI949" s="319" t="s">
        <v>190</v>
      </c>
      <c r="DJ949" s="319" t="s">
        <v>190</v>
      </c>
      <c r="DK949" s="319" t="s">
        <v>190</v>
      </c>
      <c r="DL949" s="319" t="s">
        <v>190</v>
      </c>
      <c r="DM949" s="319" t="s">
        <v>190</v>
      </c>
      <c r="DN949" s="319" t="s">
        <v>428</v>
      </c>
      <c r="DO949" s="319" t="s">
        <v>190</v>
      </c>
      <c r="DP949" s="319" t="s">
        <v>428</v>
      </c>
      <c r="DQ949" s="319" t="s">
        <v>428</v>
      </c>
      <c r="DR949" s="319" t="s">
        <v>428</v>
      </c>
      <c r="DS949" s="319" t="s">
        <v>428</v>
      </c>
      <c r="DT949" s="319" t="s">
        <v>428</v>
      </c>
      <c r="DU949" s="319" t="s">
        <v>428</v>
      </c>
      <c r="DV949" s="319" t="s">
        <v>173</v>
      </c>
      <c r="DW949" s="319" t="s">
        <v>428</v>
      </c>
      <c r="DX949" s="319" t="s">
        <v>428</v>
      </c>
      <c r="DY949" s="319" t="s">
        <v>428</v>
      </c>
      <c r="DZ949" s="319" t="s">
        <v>428</v>
      </c>
      <c r="EA949" s="319" t="s">
        <v>428</v>
      </c>
      <c r="EB949" s="319" t="s">
        <v>428</v>
      </c>
      <c r="EC949" s="319" t="s">
        <v>428</v>
      </c>
      <c r="ED949" s="319" t="s">
        <v>428</v>
      </c>
      <c r="EE949" s="319" t="s">
        <v>190</v>
      </c>
      <c r="EF949" s="319" t="s">
        <v>190</v>
      </c>
      <c r="EG949" s="319" t="s">
        <v>190</v>
      </c>
      <c r="EH949" s="319" t="s">
        <v>190</v>
      </c>
      <c r="EI949" s="319" t="s">
        <v>190</v>
      </c>
      <c r="EJ949" s="319" t="s">
        <v>190</v>
      </c>
      <c r="EK949" s="319" t="s">
        <v>190</v>
      </c>
      <c r="EL949" s="319" t="s">
        <v>190</v>
      </c>
      <c r="EM949" s="319" t="s">
        <v>428</v>
      </c>
      <c r="EN949" s="319" t="s">
        <v>190</v>
      </c>
      <c r="EO949" s="319" t="s">
        <v>190</v>
      </c>
      <c r="EP949" s="319" t="s">
        <v>190</v>
      </c>
      <c r="EQ949" s="319" t="s">
        <v>190</v>
      </c>
      <c r="ER949" s="319" t="s">
        <v>190</v>
      </c>
      <c r="ES949" s="319" t="s">
        <v>190</v>
      </c>
      <c r="ET949" s="319" t="s">
        <v>190</v>
      </c>
      <c r="EU949" s="319" t="s">
        <v>190</v>
      </c>
      <c r="EV949" s="319" t="s">
        <v>190</v>
      </c>
      <c r="EW949" s="319" t="s">
        <v>190</v>
      </c>
      <c r="EX949" s="319" t="s">
        <v>190</v>
      </c>
      <c r="EY949" s="319" t="s">
        <v>190</v>
      </c>
      <c r="EZ949" s="319" t="s">
        <v>190</v>
      </c>
      <c r="FA949" s="319" t="s">
        <v>428</v>
      </c>
      <c r="FB949" s="319" t="s">
        <v>428</v>
      </c>
      <c r="FC949" s="319" t="s">
        <v>428</v>
      </c>
      <c r="FD949" s="319" t="s">
        <v>428</v>
      </c>
      <c r="FE949" s="319" t="s">
        <v>428</v>
      </c>
      <c r="FF949" s="319" t="s">
        <v>428</v>
      </c>
      <c r="FG949" s="319" t="s">
        <v>428</v>
      </c>
      <c r="FH949" s="319" t="s">
        <v>190</v>
      </c>
      <c r="FI949" s="319" t="s">
        <v>428</v>
      </c>
      <c r="FJ949" s="319" t="s">
        <v>429</v>
      </c>
      <c r="FK949" s="319" t="s">
        <v>428</v>
      </c>
      <c r="FL949" s="319" t="s">
        <v>190</v>
      </c>
      <c r="FM949" s="319" t="s">
        <v>190</v>
      </c>
      <c r="FN949" s="319" t="s">
        <v>190</v>
      </c>
      <c r="FO949" s="319" t="s">
        <v>190</v>
      </c>
      <c r="FP949" s="319" t="s">
        <v>190</v>
      </c>
      <c r="FQ949" s="319" t="s">
        <v>190</v>
      </c>
      <c r="FR949" s="319" t="s">
        <v>190</v>
      </c>
      <c r="FS949" s="319" t="s">
        <v>428</v>
      </c>
      <c r="FT949" s="319" t="s">
        <v>190</v>
      </c>
      <c r="FU949" s="319" t="s">
        <v>190</v>
      </c>
      <c r="FV949" s="319" t="s">
        <v>190</v>
      </c>
      <c r="FW949" s="319" t="s">
        <v>190</v>
      </c>
      <c r="FX949" s="319" t="s">
        <v>190</v>
      </c>
      <c r="FY949" s="319" t="s">
        <v>190</v>
      </c>
      <c r="FZ949" s="319" t="s">
        <v>190</v>
      </c>
      <c r="GA949" s="319" t="s">
        <v>190</v>
      </c>
      <c r="GB949" s="319" t="s">
        <v>190</v>
      </c>
      <c r="GC949" s="319" t="s">
        <v>190</v>
      </c>
      <c r="GD949" s="319" t="s">
        <v>190</v>
      </c>
      <c r="GE949" s="319" t="s">
        <v>190</v>
      </c>
      <c r="GF949" s="319" t="s">
        <v>190</v>
      </c>
      <c r="GG949" s="319" t="s">
        <v>190</v>
      </c>
      <c r="GH949" s="319" t="s">
        <v>190</v>
      </c>
      <c r="GI949" s="319" t="s">
        <v>190</v>
      </c>
      <c r="GJ949" s="319" t="s">
        <v>190</v>
      </c>
      <c r="GK949" s="319" t="s">
        <v>428</v>
      </c>
      <c r="GL949" s="319" t="s">
        <v>190</v>
      </c>
      <c r="GM949" s="319" t="s">
        <v>190</v>
      </c>
      <c r="GN949" s="319" t="s">
        <v>190</v>
      </c>
      <c r="GO949" s="319" t="s">
        <v>190</v>
      </c>
      <c r="GP949" s="319" t="s">
        <v>428</v>
      </c>
      <c r="GQ949" s="319" t="s">
        <v>428</v>
      </c>
      <c r="GR949" s="319" t="s">
        <v>584</v>
      </c>
      <c r="GS949" s="319" t="s">
        <v>190</v>
      </c>
      <c r="GT949" s="319" t="s">
        <v>428</v>
      </c>
      <c r="GU949" s="319" t="s">
        <v>190</v>
      </c>
      <c r="GV949" s="319" t="s">
        <v>190</v>
      </c>
      <c r="GW949" s="319" t="s">
        <v>190</v>
      </c>
      <c r="GX949" s="319" t="s">
        <v>190</v>
      </c>
      <c r="GY949" s="319" t="s">
        <v>190</v>
      </c>
      <c r="GZ949" s="319" t="s">
        <v>428</v>
      </c>
      <c r="HA949" s="319" t="s">
        <v>190</v>
      </c>
      <c r="HB949" s="319" t="s">
        <v>190</v>
      </c>
      <c r="HC949" s="319" t="s">
        <v>190</v>
      </c>
      <c r="HD949" s="319" t="s">
        <v>190</v>
      </c>
      <c r="HE949" s="319" t="s">
        <v>190</v>
      </c>
      <c r="HF949" s="319" t="s">
        <v>190</v>
      </c>
      <c r="HG949" s="319" t="s">
        <v>190</v>
      </c>
      <c r="HH949" s="319" t="s">
        <v>190</v>
      </c>
      <c r="HI949" s="319" t="s">
        <v>584</v>
      </c>
      <c r="HJ949" s="319" t="s">
        <v>190</v>
      </c>
      <c r="HK949" s="319" t="s">
        <v>428</v>
      </c>
      <c r="HL949" s="319" t="s">
        <v>428</v>
      </c>
      <c r="HM949" s="319" t="s">
        <v>428</v>
      </c>
      <c r="HN949" s="319" t="s">
        <v>428</v>
      </c>
      <c r="HO949" s="319" t="s">
        <v>428</v>
      </c>
      <c r="HP949" s="319" t="s">
        <v>190</v>
      </c>
      <c r="HQ949" s="319" t="s">
        <v>190</v>
      </c>
      <c r="HR949" s="319" t="s">
        <v>190</v>
      </c>
      <c r="HS949" s="319" t="s">
        <v>190</v>
      </c>
      <c r="HT949" s="319" t="s">
        <v>190</v>
      </c>
      <c r="HU949" s="319" t="s">
        <v>190</v>
      </c>
      <c r="HV949" s="319" t="s">
        <v>190</v>
      </c>
      <c r="HW949" s="319" t="s">
        <v>190</v>
      </c>
      <c r="HX949" s="319" t="s">
        <v>190</v>
      </c>
      <c r="HY949" s="319" t="s">
        <v>190</v>
      </c>
      <c r="HZ949" s="319" t="s">
        <v>190</v>
      </c>
      <c r="IA949" s="319" t="s">
        <v>190</v>
      </c>
      <c r="IB949" s="319" t="s">
        <v>190</v>
      </c>
      <c r="IC949" s="319" t="s">
        <v>190</v>
      </c>
      <c r="ID949" s="319" t="s">
        <v>190</v>
      </c>
      <c r="IE949" s="319" t="s">
        <v>190</v>
      </c>
      <c r="IF949" s="319" t="s">
        <v>190</v>
      </c>
      <c r="IG949" s="319" t="s">
        <v>190</v>
      </c>
      <c r="IH949" s="319" t="s">
        <v>190</v>
      </c>
      <c r="II949" s="319" t="s">
        <v>190</v>
      </c>
      <c r="IJ949" s="319" t="s">
        <v>173</v>
      </c>
      <c r="IK949" s="319" t="s">
        <v>173</v>
      </c>
      <c r="IL949" s="319" t="s">
        <v>173</v>
      </c>
      <c r="IM949" s="319" t="s">
        <v>173</v>
      </c>
      <c r="IN949" s="319" t="s">
        <v>173</v>
      </c>
      <c r="IO949" s="319" t="s">
        <v>173</v>
      </c>
      <c r="IP949" s="319" t="s">
        <v>173</v>
      </c>
      <c r="IQ949" s="319" t="s">
        <v>173</v>
      </c>
      <c r="IR949" s="320" t="s">
        <v>173</v>
      </c>
      <c r="IS949" s="320" t="s">
        <v>173</v>
      </c>
      <c r="IT949" s="319" t="s">
        <v>173</v>
      </c>
    </row>
    <row r="950" spans="1:254" s="271" customFormat="1" x14ac:dyDescent="0.25">
      <c r="A950" s="318" t="str">
        <f>HYPERLINK("http://www.ofsted.gov.uk/inspection-reports/find-inspection-report/provider/ELS/145168 ","Ofsted School Webpage")</f>
        <v>Ofsted School Webpage</v>
      </c>
      <c r="B950" s="319">
        <v>145168</v>
      </c>
      <c r="C950" s="319">
        <v>3806014</v>
      </c>
      <c r="D950" s="319" t="s">
        <v>594</v>
      </c>
      <c r="E950" s="319" t="s">
        <v>167</v>
      </c>
      <c r="F950" s="319" t="s">
        <v>71</v>
      </c>
      <c r="G950" s="319" t="s">
        <v>81</v>
      </c>
      <c r="H950" s="319" t="s">
        <v>71</v>
      </c>
      <c r="I950" s="319" t="s">
        <v>72</v>
      </c>
      <c r="J950" s="319" t="s">
        <v>424</v>
      </c>
      <c r="K950" s="319" t="s">
        <v>458</v>
      </c>
      <c r="L950" s="319" t="s">
        <v>459</v>
      </c>
      <c r="M950" s="319" t="s">
        <v>595</v>
      </c>
      <c r="N950" s="319" t="s">
        <v>3064</v>
      </c>
      <c r="O950" s="319" t="s">
        <v>596</v>
      </c>
      <c r="P950" s="319">
        <v>66</v>
      </c>
      <c r="Q950" s="319" t="s">
        <v>2776</v>
      </c>
      <c r="R950" s="320">
        <v>10053838</v>
      </c>
      <c r="S950" s="321">
        <v>43403</v>
      </c>
      <c r="T950" s="321">
        <v>43405</v>
      </c>
      <c r="U950" s="321">
        <v>43445</v>
      </c>
      <c r="V950" s="319" t="s">
        <v>435</v>
      </c>
      <c r="W950" s="319" t="s">
        <v>2767</v>
      </c>
      <c r="X950" s="319">
        <v>3</v>
      </c>
      <c r="Y950" s="319" t="s">
        <v>173</v>
      </c>
      <c r="Z950" s="319" t="s">
        <v>173</v>
      </c>
      <c r="AA950" s="319" t="s">
        <v>173</v>
      </c>
      <c r="AB950" s="319">
        <v>3</v>
      </c>
      <c r="AC950" s="319" t="s">
        <v>169</v>
      </c>
      <c r="AD950" s="319" t="s">
        <v>173</v>
      </c>
      <c r="AE950" s="319" t="s">
        <v>173</v>
      </c>
      <c r="AF950" s="319" t="s">
        <v>427</v>
      </c>
      <c r="AG950" s="319" t="s">
        <v>172</v>
      </c>
      <c r="AH950" s="319" t="s">
        <v>190</v>
      </c>
      <c r="AI950" s="319" t="s">
        <v>190</v>
      </c>
      <c r="AJ950" s="319" t="s">
        <v>479</v>
      </c>
      <c r="AK950" s="319" t="s">
        <v>190</v>
      </c>
      <c r="AL950" s="319" t="s">
        <v>190</v>
      </c>
      <c r="AM950" s="319" t="s">
        <v>190</v>
      </c>
      <c r="AN950" s="319" t="s">
        <v>190</v>
      </c>
      <c r="AO950" s="319" t="s">
        <v>479</v>
      </c>
      <c r="AP950" s="319" t="s">
        <v>190</v>
      </c>
      <c r="AQ950" s="319" t="s">
        <v>190</v>
      </c>
      <c r="AR950" s="319" t="s">
        <v>190</v>
      </c>
      <c r="AS950" s="319" t="s">
        <v>190</v>
      </c>
      <c r="AT950" s="319" t="s">
        <v>190</v>
      </c>
      <c r="AU950" s="319" t="s">
        <v>190</v>
      </c>
      <c r="AV950" s="319" t="s">
        <v>190</v>
      </c>
      <c r="AW950" s="319" t="s">
        <v>190</v>
      </c>
      <c r="AX950" s="319" t="s">
        <v>428</v>
      </c>
      <c r="AY950" s="319" t="s">
        <v>190</v>
      </c>
      <c r="AZ950" s="319" t="s">
        <v>190</v>
      </c>
      <c r="BA950" s="319" t="s">
        <v>190</v>
      </c>
      <c r="BB950" s="319" t="s">
        <v>191</v>
      </c>
      <c r="BC950" s="319" t="s">
        <v>191</v>
      </c>
      <c r="BD950" s="319" t="s">
        <v>190</v>
      </c>
      <c r="BE950" s="319" t="s">
        <v>190</v>
      </c>
      <c r="BF950" s="319" t="s">
        <v>428</v>
      </c>
      <c r="BG950" s="319" t="s">
        <v>428</v>
      </c>
      <c r="BH950" s="319" t="s">
        <v>190</v>
      </c>
      <c r="BI950" s="319" t="s">
        <v>190</v>
      </c>
      <c r="BJ950" s="319" t="s">
        <v>190</v>
      </c>
      <c r="BK950" s="319" t="s">
        <v>190</v>
      </c>
      <c r="BL950" s="319" t="s">
        <v>190</v>
      </c>
      <c r="BM950" s="319" t="s">
        <v>190</v>
      </c>
      <c r="BN950" s="319" t="s">
        <v>190</v>
      </c>
      <c r="BO950" s="319" t="s">
        <v>190</v>
      </c>
      <c r="BP950" s="319" t="s">
        <v>190</v>
      </c>
      <c r="BQ950" s="319" t="s">
        <v>190</v>
      </c>
      <c r="BR950" s="319" t="s">
        <v>190</v>
      </c>
      <c r="BS950" s="319" t="s">
        <v>190</v>
      </c>
      <c r="BT950" s="319" t="s">
        <v>190</v>
      </c>
      <c r="BU950" s="319" t="s">
        <v>190</v>
      </c>
      <c r="BV950" s="319" t="s">
        <v>190</v>
      </c>
      <c r="BW950" s="319" t="s">
        <v>190</v>
      </c>
      <c r="BX950" s="319" t="s">
        <v>190</v>
      </c>
      <c r="BY950" s="319" t="s">
        <v>190</v>
      </c>
      <c r="BZ950" s="319" t="s">
        <v>190</v>
      </c>
      <c r="CA950" s="319" t="s">
        <v>190</v>
      </c>
      <c r="CB950" s="319" t="s">
        <v>190</v>
      </c>
      <c r="CC950" s="319" t="s">
        <v>190</v>
      </c>
      <c r="CD950" s="319" t="s">
        <v>190</v>
      </c>
      <c r="CE950" s="319" t="s">
        <v>190</v>
      </c>
      <c r="CF950" s="319" t="s">
        <v>190</v>
      </c>
      <c r="CG950" s="319" t="s">
        <v>190</v>
      </c>
      <c r="CH950" s="319" t="s">
        <v>190</v>
      </c>
      <c r="CI950" s="319" t="s">
        <v>190</v>
      </c>
      <c r="CJ950" s="319" t="s">
        <v>190</v>
      </c>
      <c r="CK950" s="319" t="s">
        <v>190</v>
      </c>
      <c r="CL950" s="319" t="s">
        <v>190</v>
      </c>
      <c r="CM950" s="319" t="s">
        <v>190</v>
      </c>
      <c r="CN950" s="319" t="s">
        <v>190</v>
      </c>
      <c r="CO950" s="319" t="s">
        <v>190</v>
      </c>
      <c r="CP950" s="319" t="s">
        <v>190</v>
      </c>
      <c r="CQ950" s="319" t="s">
        <v>190</v>
      </c>
      <c r="CR950" s="319" t="s">
        <v>190</v>
      </c>
      <c r="CS950" s="319" t="s">
        <v>190</v>
      </c>
      <c r="CT950" s="319" t="s">
        <v>190</v>
      </c>
      <c r="CU950" s="319" t="s">
        <v>190</v>
      </c>
      <c r="CV950" s="319" t="s">
        <v>190</v>
      </c>
      <c r="CW950" s="319" t="s">
        <v>190</v>
      </c>
      <c r="CX950" s="319" t="s">
        <v>190</v>
      </c>
      <c r="CY950" s="319" t="s">
        <v>190</v>
      </c>
      <c r="CZ950" s="319" t="s">
        <v>191</v>
      </c>
      <c r="DA950" s="319" t="s">
        <v>190</v>
      </c>
      <c r="DB950" s="319" t="s">
        <v>190</v>
      </c>
      <c r="DC950" s="319" t="s">
        <v>190</v>
      </c>
      <c r="DD950" s="319" t="s">
        <v>190</v>
      </c>
      <c r="DE950" s="319" t="s">
        <v>190</v>
      </c>
      <c r="DF950" s="319" t="s">
        <v>190</v>
      </c>
      <c r="DG950" s="319" t="s">
        <v>190</v>
      </c>
      <c r="DH950" s="319" t="s">
        <v>190</v>
      </c>
      <c r="DI950" s="319" t="s">
        <v>190</v>
      </c>
      <c r="DJ950" s="319" t="s">
        <v>190</v>
      </c>
      <c r="DK950" s="319" t="s">
        <v>190</v>
      </c>
      <c r="DL950" s="319" t="s">
        <v>190</v>
      </c>
      <c r="DM950" s="319" t="s">
        <v>190</v>
      </c>
      <c r="DN950" s="319" t="s">
        <v>428</v>
      </c>
      <c r="DO950" s="319" t="s">
        <v>190</v>
      </c>
      <c r="DP950" s="319" t="s">
        <v>428</v>
      </c>
      <c r="DQ950" s="319" t="s">
        <v>428</v>
      </c>
      <c r="DR950" s="319" t="s">
        <v>428</v>
      </c>
      <c r="DS950" s="319" t="s">
        <v>428</v>
      </c>
      <c r="DT950" s="319" t="s">
        <v>428</v>
      </c>
      <c r="DU950" s="319" t="s">
        <v>428</v>
      </c>
      <c r="DV950" s="319" t="s">
        <v>173</v>
      </c>
      <c r="DW950" s="319" t="s">
        <v>428</v>
      </c>
      <c r="DX950" s="319" t="s">
        <v>428</v>
      </c>
      <c r="DY950" s="319" t="s">
        <v>428</v>
      </c>
      <c r="DZ950" s="319" t="s">
        <v>428</v>
      </c>
      <c r="EA950" s="319" t="s">
        <v>428</v>
      </c>
      <c r="EB950" s="319" t="s">
        <v>428</v>
      </c>
      <c r="EC950" s="319" t="s">
        <v>428</v>
      </c>
      <c r="ED950" s="319" t="s">
        <v>428</v>
      </c>
      <c r="EE950" s="319" t="s">
        <v>428</v>
      </c>
      <c r="EF950" s="319" t="s">
        <v>428</v>
      </c>
      <c r="EG950" s="319" t="s">
        <v>428</v>
      </c>
      <c r="EH950" s="319" t="s">
        <v>428</v>
      </c>
      <c r="EI950" s="319" t="s">
        <v>428</v>
      </c>
      <c r="EJ950" s="319" t="s">
        <v>428</v>
      </c>
      <c r="EK950" s="319" t="s">
        <v>428</v>
      </c>
      <c r="EL950" s="319" t="s">
        <v>428</v>
      </c>
      <c r="EM950" s="319" t="s">
        <v>428</v>
      </c>
      <c r="EN950" s="319" t="s">
        <v>190</v>
      </c>
      <c r="EO950" s="319" t="s">
        <v>190</v>
      </c>
      <c r="EP950" s="319" t="s">
        <v>190</v>
      </c>
      <c r="EQ950" s="319" t="s">
        <v>190</v>
      </c>
      <c r="ER950" s="319" t="s">
        <v>190</v>
      </c>
      <c r="ES950" s="319" t="s">
        <v>190</v>
      </c>
      <c r="ET950" s="319" t="s">
        <v>190</v>
      </c>
      <c r="EU950" s="319" t="s">
        <v>190</v>
      </c>
      <c r="EV950" s="319" t="s">
        <v>190</v>
      </c>
      <c r="EW950" s="319" t="s">
        <v>190</v>
      </c>
      <c r="EX950" s="319" t="s">
        <v>190</v>
      </c>
      <c r="EY950" s="319" t="s">
        <v>190</v>
      </c>
      <c r="EZ950" s="319" t="s">
        <v>190</v>
      </c>
      <c r="FA950" s="319" t="s">
        <v>190</v>
      </c>
      <c r="FB950" s="319" t="s">
        <v>190</v>
      </c>
      <c r="FC950" s="319" t="s">
        <v>190</v>
      </c>
      <c r="FD950" s="319" t="s">
        <v>190</v>
      </c>
      <c r="FE950" s="319" t="s">
        <v>190</v>
      </c>
      <c r="FF950" s="319" t="s">
        <v>190</v>
      </c>
      <c r="FG950" s="319" t="s">
        <v>190</v>
      </c>
      <c r="FH950" s="319" t="s">
        <v>190</v>
      </c>
      <c r="FI950" s="319" t="s">
        <v>190</v>
      </c>
      <c r="FJ950" s="319" t="s">
        <v>190</v>
      </c>
      <c r="FK950" s="319" t="s">
        <v>190</v>
      </c>
      <c r="FL950" s="319" t="s">
        <v>190</v>
      </c>
      <c r="FM950" s="319" t="s">
        <v>190</v>
      </c>
      <c r="FN950" s="319" t="s">
        <v>190</v>
      </c>
      <c r="FO950" s="319" t="s">
        <v>190</v>
      </c>
      <c r="FP950" s="319" t="s">
        <v>190</v>
      </c>
      <c r="FQ950" s="319" t="s">
        <v>190</v>
      </c>
      <c r="FR950" s="319" t="s">
        <v>190</v>
      </c>
      <c r="FS950" s="319" t="s">
        <v>190</v>
      </c>
      <c r="FT950" s="319" t="s">
        <v>190</v>
      </c>
      <c r="FU950" s="319" t="s">
        <v>190</v>
      </c>
      <c r="FV950" s="319" t="s">
        <v>190</v>
      </c>
      <c r="FW950" s="319" t="s">
        <v>190</v>
      </c>
      <c r="FX950" s="319" t="s">
        <v>190</v>
      </c>
      <c r="FY950" s="319" t="s">
        <v>190</v>
      </c>
      <c r="FZ950" s="319" t="s">
        <v>190</v>
      </c>
      <c r="GA950" s="319" t="s">
        <v>190</v>
      </c>
      <c r="GB950" s="319" t="s">
        <v>190</v>
      </c>
      <c r="GC950" s="319" t="s">
        <v>190</v>
      </c>
      <c r="GD950" s="319" t="s">
        <v>190</v>
      </c>
      <c r="GE950" s="319" t="s">
        <v>190</v>
      </c>
      <c r="GF950" s="319" t="s">
        <v>190</v>
      </c>
      <c r="GG950" s="319" t="s">
        <v>190</v>
      </c>
      <c r="GH950" s="319" t="s">
        <v>190</v>
      </c>
      <c r="GI950" s="319" t="s">
        <v>190</v>
      </c>
      <c r="GJ950" s="319" t="s">
        <v>190</v>
      </c>
      <c r="GK950" s="319" t="s">
        <v>190</v>
      </c>
      <c r="GL950" s="319" t="s">
        <v>190</v>
      </c>
      <c r="GM950" s="319" t="s">
        <v>190</v>
      </c>
      <c r="GN950" s="319" t="s">
        <v>190</v>
      </c>
      <c r="GO950" s="319" t="s">
        <v>190</v>
      </c>
      <c r="GP950" s="319" t="s">
        <v>190</v>
      </c>
      <c r="GQ950" s="319" t="s">
        <v>190</v>
      </c>
      <c r="GR950" s="319" t="s">
        <v>190</v>
      </c>
      <c r="GS950" s="319" t="s">
        <v>190</v>
      </c>
      <c r="GT950" s="319" t="s">
        <v>190</v>
      </c>
      <c r="GU950" s="319" t="s">
        <v>190</v>
      </c>
      <c r="GV950" s="319" t="s">
        <v>190</v>
      </c>
      <c r="GW950" s="319" t="s">
        <v>190</v>
      </c>
      <c r="GX950" s="319" t="s">
        <v>190</v>
      </c>
      <c r="GY950" s="319" t="s">
        <v>190</v>
      </c>
      <c r="GZ950" s="319" t="s">
        <v>190</v>
      </c>
      <c r="HA950" s="319" t="s">
        <v>190</v>
      </c>
      <c r="HB950" s="319" t="s">
        <v>428</v>
      </c>
      <c r="HC950" s="319" t="s">
        <v>190</v>
      </c>
      <c r="HD950" s="319" t="s">
        <v>190</v>
      </c>
      <c r="HE950" s="319" t="s">
        <v>190</v>
      </c>
      <c r="HF950" s="319" t="s">
        <v>190</v>
      </c>
      <c r="HG950" s="319" t="s">
        <v>190</v>
      </c>
      <c r="HH950" s="319" t="s">
        <v>190</v>
      </c>
      <c r="HI950" s="319" t="s">
        <v>190</v>
      </c>
      <c r="HJ950" s="319" t="s">
        <v>190</v>
      </c>
      <c r="HK950" s="319" t="s">
        <v>428</v>
      </c>
      <c r="HL950" s="319" t="s">
        <v>428</v>
      </c>
      <c r="HM950" s="319" t="s">
        <v>428</v>
      </c>
      <c r="HN950" s="319" t="s">
        <v>428</v>
      </c>
      <c r="HO950" s="319" t="s">
        <v>428</v>
      </c>
      <c r="HP950" s="319" t="s">
        <v>190</v>
      </c>
      <c r="HQ950" s="319" t="s">
        <v>190</v>
      </c>
      <c r="HR950" s="319" t="s">
        <v>190</v>
      </c>
      <c r="HS950" s="319" t="s">
        <v>190</v>
      </c>
      <c r="HT950" s="319" t="s">
        <v>190</v>
      </c>
      <c r="HU950" s="319" t="s">
        <v>190</v>
      </c>
      <c r="HV950" s="319" t="s">
        <v>190</v>
      </c>
      <c r="HW950" s="319" t="s">
        <v>190</v>
      </c>
      <c r="HX950" s="319" t="s">
        <v>190</v>
      </c>
      <c r="HY950" s="319" t="s">
        <v>190</v>
      </c>
      <c r="HZ950" s="319" t="s">
        <v>190</v>
      </c>
      <c r="IA950" s="319" t="s">
        <v>190</v>
      </c>
      <c r="IB950" s="319" t="s">
        <v>190</v>
      </c>
      <c r="IC950" s="319" t="s">
        <v>190</v>
      </c>
      <c r="ID950" s="319" t="s">
        <v>190</v>
      </c>
      <c r="IE950" s="319" t="s">
        <v>190</v>
      </c>
      <c r="IF950" s="319" t="s">
        <v>191</v>
      </c>
      <c r="IG950" s="319" t="s">
        <v>191</v>
      </c>
      <c r="IH950" s="319" t="s">
        <v>191</v>
      </c>
      <c r="II950" s="319" t="s">
        <v>191</v>
      </c>
      <c r="IJ950" s="319" t="s">
        <v>173</v>
      </c>
      <c r="IK950" s="319" t="s">
        <v>173</v>
      </c>
      <c r="IL950" s="319" t="s">
        <v>173</v>
      </c>
      <c r="IM950" s="319" t="s">
        <v>173</v>
      </c>
      <c r="IN950" s="319" t="s">
        <v>173</v>
      </c>
      <c r="IO950" s="319">
        <v>10100613</v>
      </c>
      <c r="IP950" s="319" t="s">
        <v>985</v>
      </c>
      <c r="IQ950" s="321">
        <v>43594</v>
      </c>
      <c r="IR950" s="320" t="s">
        <v>1223</v>
      </c>
      <c r="IS950" s="322">
        <v>43639</v>
      </c>
      <c r="IT950" s="319" t="s">
        <v>165</v>
      </c>
    </row>
    <row r="951" spans="1:254" s="271" customFormat="1" x14ac:dyDescent="0.25">
      <c r="A951" s="318" t="str">
        <f>HYPERLINK("http://www.ofsted.gov.uk/inspection-reports/find-inspection-report/provider/ELS/145169 ","Ofsted School Webpage")</f>
        <v>Ofsted School Webpage</v>
      </c>
      <c r="B951" s="319">
        <v>145169</v>
      </c>
      <c r="C951" s="319">
        <v>9366012</v>
      </c>
      <c r="D951" s="319" t="s">
        <v>2491</v>
      </c>
      <c r="E951" s="319" t="s">
        <v>167</v>
      </c>
      <c r="F951" s="319" t="s">
        <v>81</v>
      </c>
      <c r="G951" s="319" t="s">
        <v>81</v>
      </c>
      <c r="H951" s="319" t="s">
        <v>81</v>
      </c>
      <c r="I951" s="319" t="s">
        <v>78</v>
      </c>
      <c r="J951" s="319" t="s">
        <v>424</v>
      </c>
      <c r="K951" s="319" t="s">
        <v>514</v>
      </c>
      <c r="L951" s="319" t="s">
        <v>514</v>
      </c>
      <c r="M951" s="319" t="s">
        <v>699</v>
      </c>
      <c r="N951" s="319" t="s">
        <v>3311</v>
      </c>
      <c r="O951" s="319" t="s">
        <v>2492</v>
      </c>
      <c r="P951" s="319">
        <v>2</v>
      </c>
      <c r="Q951" s="319" t="s">
        <v>2776</v>
      </c>
      <c r="R951" s="320">
        <v>10080966</v>
      </c>
      <c r="S951" s="321">
        <v>43655</v>
      </c>
      <c r="T951" s="321">
        <v>43656</v>
      </c>
      <c r="U951" s="321">
        <v>43671</v>
      </c>
      <c r="V951" s="319" t="s">
        <v>435</v>
      </c>
      <c r="W951" s="319" t="s">
        <v>2767</v>
      </c>
      <c r="X951" s="319">
        <v>2</v>
      </c>
      <c r="Y951" s="319" t="s">
        <v>173</v>
      </c>
      <c r="Z951" s="319" t="s">
        <v>173</v>
      </c>
      <c r="AA951" s="319" t="s">
        <v>173</v>
      </c>
      <c r="AB951" s="319">
        <v>2</v>
      </c>
      <c r="AC951" s="319" t="s">
        <v>169</v>
      </c>
      <c r="AD951" s="319" t="s">
        <v>173</v>
      </c>
      <c r="AE951" s="319" t="s">
        <v>173</v>
      </c>
      <c r="AF951" s="319" t="s">
        <v>427</v>
      </c>
      <c r="AG951" s="319" t="s">
        <v>171</v>
      </c>
      <c r="AH951" s="319" t="s">
        <v>190</v>
      </c>
      <c r="AI951" s="319" t="s">
        <v>190</v>
      </c>
      <c r="AJ951" s="319" t="s">
        <v>190</v>
      </c>
      <c r="AK951" s="319" t="s">
        <v>190</v>
      </c>
      <c r="AL951" s="319" t="s">
        <v>190</v>
      </c>
      <c r="AM951" s="319" t="s">
        <v>190</v>
      </c>
      <c r="AN951" s="319" t="s">
        <v>190</v>
      </c>
      <c r="AO951" s="319" t="s">
        <v>190</v>
      </c>
      <c r="AP951" s="319" t="s">
        <v>190</v>
      </c>
      <c r="AQ951" s="319" t="s">
        <v>190</v>
      </c>
      <c r="AR951" s="319" t="s">
        <v>190</v>
      </c>
      <c r="AS951" s="319" t="s">
        <v>190</v>
      </c>
      <c r="AT951" s="319" t="s">
        <v>190</v>
      </c>
      <c r="AU951" s="319" t="s">
        <v>190</v>
      </c>
      <c r="AV951" s="319" t="s">
        <v>190</v>
      </c>
      <c r="AW951" s="319" t="s">
        <v>190</v>
      </c>
      <c r="AX951" s="319" t="s">
        <v>428</v>
      </c>
      <c r="AY951" s="319" t="s">
        <v>190</v>
      </c>
      <c r="AZ951" s="319" t="s">
        <v>190</v>
      </c>
      <c r="BA951" s="319" t="s">
        <v>190</v>
      </c>
      <c r="BB951" s="319" t="s">
        <v>190</v>
      </c>
      <c r="BC951" s="319" t="s">
        <v>190</v>
      </c>
      <c r="BD951" s="319" t="s">
        <v>190</v>
      </c>
      <c r="BE951" s="319" t="s">
        <v>190</v>
      </c>
      <c r="BF951" s="319" t="s">
        <v>428</v>
      </c>
      <c r="BG951" s="319" t="s">
        <v>190</v>
      </c>
      <c r="BH951" s="319" t="s">
        <v>190</v>
      </c>
      <c r="BI951" s="319" t="s">
        <v>190</v>
      </c>
      <c r="BJ951" s="319" t="s">
        <v>190</v>
      </c>
      <c r="BK951" s="319" t="s">
        <v>190</v>
      </c>
      <c r="BL951" s="319" t="s">
        <v>190</v>
      </c>
      <c r="BM951" s="319" t="s">
        <v>190</v>
      </c>
      <c r="BN951" s="319" t="s">
        <v>190</v>
      </c>
      <c r="BO951" s="319" t="s">
        <v>190</v>
      </c>
      <c r="BP951" s="319" t="s">
        <v>190</v>
      </c>
      <c r="BQ951" s="319" t="s">
        <v>190</v>
      </c>
      <c r="BR951" s="319" t="s">
        <v>190</v>
      </c>
      <c r="BS951" s="319" t="s">
        <v>190</v>
      </c>
      <c r="BT951" s="319" t="s">
        <v>190</v>
      </c>
      <c r="BU951" s="319" t="s">
        <v>190</v>
      </c>
      <c r="BV951" s="319" t="s">
        <v>190</v>
      </c>
      <c r="BW951" s="319" t="s">
        <v>190</v>
      </c>
      <c r="BX951" s="319" t="s">
        <v>190</v>
      </c>
      <c r="BY951" s="319" t="s">
        <v>190</v>
      </c>
      <c r="BZ951" s="319" t="s">
        <v>190</v>
      </c>
      <c r="CA951" s="319" t="s">
        <v>190</v>
      </c>
      <c r="CB951" s="319" t="s">
        <v>190</v>
      </c>
      <c r="CC951" s="319" t="s">
        <v>190</v>
      </c>
      <c r="CD951" s="319" t="s">
        <v>190</v>
      </c>
      <c r="CE951" s="319" t="s">
        <v>190</v>
      </c>
      <c r="CF951" s="319" t="s">
        <v>190</v>
      </c>
      <c r="CG951" s="319" t="s">
        <v>190</v>
      </c>
      <c r="CH951" s="319" t="s">
        <v>190</v>
      </c>
      <c r="CI951" s="319" t="s">
        <v>190</v>
      </c>
      <c r="CJ951" s="319" t="s">
        <v>190</v>
      </c>
      <c r="CK951" s="319" t="s">
        <v>190</v>
      </c>
      <c r="CL951" s="319" t="s">
        <v>190</v>
      </c>
      <c r="CM951" s="319" t="s">
        <v>190</v>
      </c>
      <c r="CN951" s="319" t="s">
        <v>428</v>
      </c>
      <c r="CO951" s="319" t="s">
        <v>428</v>
      </c>
      <c r="CP951" s="319" t="s">
        <v>428</v>
      </c>
      <c r="CQ951" s="319" t="s">
        <v>190</v>
      </c>
      <c r="CR951" s="319" t="s">
        <v>190</v>
      </c>
      <c r="CS951" s="319" t="s">
        <v>190</v>
      </c>
      <c r="CT951" s="319" t="s">
        <v>190</v>
      </c>
      <c r="CU951" s="319" t="s">
        <v>190</v>
      </c>
      <c r="CV951" s="319" t="s">
        <v>190</v>
      </c>
      <c r="CW951" s="319" t="s">
        <v>190</v>
      </c>
      <c r="CX951" s="319" t="s">
        <v>190</v>
      </c>
      <c r="CY951" s="319" t="s">
        <v>190</v>
      </c>
      <c r="CZ951" s="319" t="s">
        <v>190</v>
      </c>
      <c r="DA951" s="319" t="s">
        <v>190</v>
      </c>
      <c r="DB951" s="319" t="s">
        <v>190</v>
      </c>
      <c r="DC951" s="319" t="s">
        <v>190</v>
      </c>
      <c r="DD951" s="319" t="s">
        <v>190</v>
      </c>
      <c r="DE951" s="319" t="s">
        <v>190</v>
      </c>
      <c r="DF951" s="319" t="s">
        <v>190</v>
      </c>
      <c r="DG951" s="319" t="s">
        <v>190</v>
      </c>
      <c r="DH951" s="319" t="s">
        <v>190</v>
      </c>
      <c r="DI951" s="319" t="s">
        <v>190</v>
      </c>
      <c r="DJ951" s="319" t="s">
        <v>190</v>
      </c>
      <c r="DK951" s="319" t="s">
        <v>190</v>
      </c>
      <c r="DL951" s="319" t="s">
        <v>190</v>
      </c>
      <c r="DM951" s="319" t="s">
        <v>190</v>
      </c>
      <c r="DN951" s="319" t="s">
        <v>428</v>
      </c>
      <c r="DO951" s="319" t="s">
        <v>190</v>
      </c>
      <c r="DP951" s="319" t="s">
        <v>428</v>
      </c>
      <c r="DQ951" s="319" t="s">
        <v>428</v>
      </c>
      <c r="DR951" s="319" t="s">
        <v>428</v>
      </c>
      <c r="DS951" s="319" t="s">
        <v>428</v>
      </c>
      <c r="DT951" s="319" t="s">
        <v>428</v>
      </c>
      <c r="DU951" s="319" t="s">
        <v>428</v>
      </c>
      <c r="DV951" s="319" t="s">
        <v>173</v>
      </c>
      <c r="DW951" s="319" t="s">
        <v>428</v>
      </c>
      <c r="DX951" s="319" t="s">
        <v>428</v>
      </c>
      <c r="DY951" s="319" t="s">
        <v>428</v>
      </c>
      <c r="DZ951" s="319" t="s">
        <v>428</v>
      </c>
      <c r="EA951" s="319" t="s">
        <v>428</v>
      </c>
      <c r="EB951" s="319" t="s">
        <v>428</v>
      </c>
      <c r="EC951" s="319" t="s">
        <v>428</v>
      </c>
      <c r="ED951" s="319" t="s">
        <v>428</v>
      </c>
      <c r="EE951" s="319" t="s">
        <v>428</v>
      </c>
      <c r="EF951" s="319" t="s">
        <v>428</v>
      </c>
      <c r="EG951" s="319" t="s">
        <v>428</v>
      </c>
      <c r="EH951" s="319" t="s">
        <v>428</v>
      </c>
      <c r="EI951" s="319" t="s">
        <v>428</v>
      </c>
      <c r="EJ951" s="319" t="s">
        <v>428</v>
      </c>
      <c r="EK951" s="319" t="s">
        <v>428</v>
      </c>
      <c r="EL951" s="319" t="s">
        <v>428</v>
      </c>
      <c r="EM951" s="319" t="s">
        <v>428</v>
      </c>
      <c r="EN951" s="319" t="s">
        <v>190</v>
      </c>
      <c r="EO951" s="319" t="s">
        <v>190</v>
      </c>
      <c r="EP951" s="319" t="s">
        <v>190</v>
      </c>
      <c r="EQ951" s="319" t="s">
        <v>190</v>
      </c>
      <c r="ER951" s="319" t="s">
        <v>190</v>
      </c>
      <c r="ES951" s="319" t="s">
        <v>190</v>
      </c>
      <c r="ET951" s="319" t="s">
        <v>190</v>
      </c>
      <c r="EU951" s="319" t="s">
        <v>190</v>
      </c>
      <c r="EV951" s="319" t="s">
        <v>190</v>
      </c>
      <c r="EW951" s="319" t="s">
        <v>190</v>
      </c>
      <c r="EX951" s="319" t="s">
        <v>190</v>
      </c>
      <c r="EY951" s="319" t="s">
        <v>190</v>
      </c>
      <c r="EZ951" s="319" t="s">
        <v>190</v>
      </c>
      <c r="FA951" s="319" t="s">
        <v>190</v>
      </c>
      <c r="FB951" s="319" t="s">
        <v>428</v>
      </c>
      <c r="FC951" s="319" t="s">
        <v>428</v>
      </c>
      <c r="FD951" s="319" t="s">
        <v>190</v>
      </c>
      <c r="FE951" s="319" t="s">
        <v>190</v>
      </c>
      <c r="FF951" s="319" t="s">
        <v>190</v>
      </c>
      <c r="FG951" s="319" t="s">
        <v>428</v>
      </c>
      <c r="FH951" s="319" t="s">
        <v>428</v>
      </c>
      <c r="FI951" s="319" t="s">
        <v>428</v>
      </c>
      <c r="FJ951" s="319" t="s">
        <v>429</v>
      </c>
      <c r="FK951" s="319" t="s">
        <v>428</v>
      </c>
      <c r="FL951" s="319" t="s">
        <v>190</v>
      </c>
      <c r="FM951" s="319" t="s">
        <v>190</v>
      </c>
      <c r="FN951" s="319" t="s">
        <v>190</v>
      </c>
      <c r="FO951" s="319" t="s">
        <v>190</v>
      </c>
      <c r="FP951" s="319" t="s">
        <v>190</v>
      </c>
      <c r="FQ951" s="319" t="s">
        <v>190</v>
      </c>
      <c r="FR951" s="319" t="s">
        <v>190</v>
      </c>
      <c r="FS951" s="319" t="s">
        <v>428</v>
      </c>
      <c r="FT951" s="319" t="s">
        <v>190</v>
      </c>
      <c r="FU951" s="319" t="s">
        <v>190</v>
      </c>
      <c r="FV951" s="319" t="s">
        <v>190</v>
      </c>
      <c r="FW951" s="319" t="s">
        <v>190</v>
      </c>
      <c r="FX951" s="319" t="s">
        <v>190</v>
      </c>
      <c r="FY951" s="319" t="s">
        <v>190</v>
      </c>
      <c r="FZ951" s="319" t="s">
        <v>190</v>
      </c>
      <c r="GA951" s="319" t="s">
        <v>190</v>
      </c>
      <c r="GB951" s="319" t="s">
        <v>190</v>
      </c>
      <c r="GC951" s="319" t="s">
        <v>190</v>
      </c>
      <c r="GD951" s="319" t="s">
        <v>190</v>
      </c>
      <c r="GE951" s="319" t="s">
        <v>190</v>
      </c>
      <c r="GF951" s="319" t="s">
        <v>190</v>
      </c>
      <c r="GG951" s="319" t="s">
        <v>190</v>
      </c>
      <c r="GH951" s="319" t="s">
        <v>190</v>
      </c>
      <c r="GI951" s="319" t="s">
        <v>190</v>
      </c>
      <c r="GJ951" s="319" t="s">
        <v>190</v>
      </c>
      <c r="GK951" s="319" t="s">
        <v>428</v>
      </c>
      <c r="GL951" s="319" t="s">
        <v>190</v>
      </c>
      <c r="GM951" s="319" t="s">
        <v>190</v>
      </c>
      <c r="GN951" s="319" t="s">
        <v>190</v>
      </c>
      <c r="GO951" s="319" t="s">
        <v>190</v>
      </c>
      <c r="GP951" s="319" t="s">
        <v>428</v>
      </c>
      <c r="GQ951" s="319" t="s">
        <v>428</v>
      </c>
      <c r="GR951" s="319" t="s">
        <v>190</v>
      </c>
      <c r="GS951" s="319" t="s">
        <v>190</v>
      </c>
      <c r="GT951" s="319" t="s">
        <v>190</v>
      </c>
      <c r="GU951" s="319" t="s">
        <v>190</v>
      </c>
      <c r="GV951" s="319" t="s">
        <v>190</v>
      </c>
      <c r="GW951" s="319" t="s">
        <v>190</v>
      </c>
      <c r="GX951" s="319" t="s">
        <v>190</v>
      </c>
      <c r="GY951" s="319" t="s">
        <v>190</v>
      </c>
      <c r="GZ951" s="319" t="s">
        <v>190</v>
      </c>
      <c r="HA951" s="319" t="s">
        <v>428</v>
      </c>
      <c r="HB951" s="319" t="s">
        <v>428</v>
      </c>
      <c r="HC951" s="319" t="s">
        <v>190</v>
      </c>
      <c r="HD951" s="319" t="s">
        <v>190</v>
      </c>
      <c r="HE951" s="319" t="s">
        <v>190</v>
      </c>
      <c r="HF951" s="319" t="s">
        <v>190</v>
      </c>
      <c r="HG951" s="319" t="s">
        <v>190</v>
      </c>
      <c r="HH951" s="319" t="s">
        <v>190</v>
      </c>
      <c r="HI951" s="319" t="s">
        <v>428</v>
      </c>
      <c r="HJ951" s="319" t="s">
        <v>190</v>
      </c>
      <c r="HK951" s="319" t="s">
        <v>428</v>
      </c>
      <c r="HL951" s="319" t="s">
        <v>190</v>
      </c>
      <c r="HM951" s="319" t="s">
        <v>428</v>
      </c>
      <c r="HN951" s="319" t="s">
        <v>428</v>
      </c>
      <c r="HO951" s="319" t="s">
        <v>428</v>
      </c>
      <c r="HP951" s="319" t="s">
        <v>190</v>
      </c>
      <c r="HQ951" s="319" t="s">
        <v>190</v>
      </c>
      <c r="HR951" s="319" t="s">
        <v>190</v>
      </c>
      <c r="HS951" s="319" t="s">
        <v>190</v>
      </c>
      <c r="HT951" s="319" t="s">
        <v>190</v>
      </c>
      <c r="HU951" s="319" t="s">
        <v>190</v>
      </c>
      <c r="HV951" s="319" t="s">
        <v>190</v>
      </c>
      <c r="HW951" s="319" t="s">
        <v>190</v>
      </c>
      <c r="HX951" s="319" t="s">
        <v>190</v>
      </c>
      <c r="HY951" s="319" t="s">
        <v>190</v>
      </c>
      <c r="HZ951" s="319" t="s">
        <v>190</v>
      </c>
      <c r="IA951" s="319" t="s">
        <v>190</v>
      </c>
      <c r="IB951" s="319" t="s">
        <v>190</v>
      </c>
      <c r="IC951" s="319" t="s">
        <v>190</v>
      </c>
      <c r="ID951" s="319" t="s">
        <v>190</v>
      </c>
      <c r="IE951" s="319" t="s">
        <v>190</v>
      </c>
      <c r="IF951" s="319" t="s">
        <v>190</v>
      </c>
      <c r="IG951" s="319" t="s">
        <v>190</v>
      </c>
      <c r="IH951" s="319" t="s">
        <v>190</v>
      </c>
      <c r="II951" s="319" t="s">
        <v>190</v>
      </c>
      <c r="IJ951" s="319" t="s">
        <v>173</v>
      </c>
      <c r="IK951" s="319" t="s">
        <v>173</v>
      </c>
      <c r="IL951" s="319" t="s">
        <v>173</v>
      </c>
      <c r="IM951" s="319" t="s">
        <v>173</v>
      </c>
      <c r="IN951" s="319" t="s">
        <v>173</v>
      </c>
      <c r="IO951" s="319" t="s">
        <v>173</v>
      </c>
      <c r="IP951" s="319" t="s">
        <v>173</v>
      </c>
      <c r="IQ951" s="321" t="s">
        <v>173</v>
      </c>
      <c r="IR951" s="320" t="s">
        <v>173</v>
      </c>
      <c r="IS951" s="322" t="s">
        <v>173</v>
      </c>
      <c r="IT951" s="319" t="s">
        <v>173</v>
      </c>
    </row>
    <row r="952" spans="1:254" s="271" customFormat="1" x14ac:dyDescent="0.25">
      <c r="A952" s="318" t="str">
        <f>HYPERLINK("http://www.ofsted.gov.uk/inspection-reports/find-inspection-report/provider/ELS/145170 ","Ofsted School Webpage")</f>
        <v>Ofsted School Webpage</v>
      </c>
      <c r="B952" s="319">
        <v>145170</v>
      </c>
      <c r="C952" s="319">
        <v>3546038</v>
      </c>
      <c r="D952" s="319" t="s">
        <v>535</v>
      </c>
      <c r="E952" s="319" t="s">
        <v>167</v>
      </c>
      <c r="F952" s="319" t="s">
        <v>81</v>
      </c>
      <c r="G952" s="319" t="s">
        <v>81</v>
      </c>
      <c r="H952" s="319" t="s">
        <v>81</v>
      </c>
      <c r="I952" s="319" t="s">
        <v>78</v>
      </c>
      <c r="J952" s="319" t="s">
        <v>424</v>
      </c>
      <c r="K952" s="319" t="s">
        <v>431</v>
      </c>
      <c r="L952" s="319" t="s">
        <v>431</v>
      </c>
      <c r="M952" s="319" t="s">
        <v>536</v>
      </c>
      <c r="N952" s="319" t="s">
        <v>3565</v>
      </c>
      <c r="O952" s="319" t="s">
        <v>537</v>
      </c>
      <c r="P952" s="319">
        <v>4</v>
      </c>
      <c r="Q952" s="319" t="s">
        <v>2776</v>
      </c>
      <c r="R952" s="320">
        <v>10053739</v>
      </c>
      <c r="S952" s="321">
        <v>43382</v>
      </c>
      <c r="T952" s="321">
        <v>43383</v>
      </c>
      <c r="U952" s="321">
        <v>43410</v>
      </c>
      <c r="V952" s="319" t="s">
        <v>3688</v>
      </c>
      <c r="W952" s="319" t="s">
        <v>2767</v>
      </c>
      <c r="X952" s="319">
        <v>2</v>
      </c>
      <c r="Y952" s="319" t="s">
        <v>173</v>
      </c>
      <c r="Z952" s="319" t="s">
        <v>173</v>
      </c>
      <c r="AA952" s="319" t="s">
        <v>173</v>
      </c>
      <c r="AB952" s="319">
        <v>2</v>
      </c>
      <c r="AC952" s="319" t="s">
        <v>169</v>
      </c>
      <c r="AD952" s="319" t="s">
        <v>173</v>
      </c>
      <c r="AE952" s="319" t="s">
        <v>173</v>
      </c>
      <c r="AF952" s="319" t="s">
        <v>427</v>
      </c>
      <c r="AG952" s="319" t="s">
        <v>171</v>
      </c>
      <c r="AH952" s="319" t="s">
        <v>190</v>
      </c>
      <c r="AI952" s="319" t="s">
        <v>190</v>
      </c>
      <c r="AJ952" s="319" t="s">
        <v>190</v>
      </c>
      <c r="AK952" s="319" t="s">
        <v>190</v>
      </c>
      <c r="AL952" s="319" t="s">
        <v>190</v>
      </c>
      <c r="AM952" s="319" t="s">
        <v>190</v>
      </c>
      <c r="AN952" s="319" t="s">
        <v>190</v>
      </c>
      <c r="AO952" s="319" t="s">
        <v>190</v>
      </c>
      <c r="AP952" s="319" t="s">
        <v>190</v>
      </c>
      <c r="AQ952" s="319" t="s">
        <v>190</v>
      </c>
      <c r="AR952" s="319" t="s">
        <v>190</v>
      </c>
      <c r="AS952" s="319" t="s">
        <v>190</v>
      </c>
      <c r="AT952" s="319" t="s">
        <v>190</v>
      </c>
      <c r="AU952" s="319" t="s">
        <v>190</v>
      </c>
      <c r="AV952" s="319" t="s">
        <v>190</v>
      </c>
      <c r="AW952" s="319" t="s">
        <v>190</v>
      </c>
      <c r="AX952" s="319" t="s">
        <v>190</v>
      </c>
      <c r="AY952" s="319" t="s">
        <v>190</v>
      </c>
      <c r="AZ952" s="319" t="s">
        <v>190</v>
      </c>
      <c r="BA952" s="319" t="s">
        <v>190</v>
      </c>
      <c r="BB952" s="319" t="s">
        <v>190</v>
      </c>
      <c r="BC952" s="319" t="s">
        <v>190</v>
      </c>
      <c r="BD952" s="319" t="s">
        <v>190</v>
      </c>
      <c r="BE952" s="319" t="s">
        <v>190</v>
      </c>
      <c r="BF952" s="319" t="s">
        <v>190</v>
      </c>
      <c r="BG952" s="319" t="s">
        <v>190</v>
      </c>
      <c r="BH952" s="319" t="s">
        <v>190</v>
      </c>
      <c r="BI952" s="319" t="s">
        <v>190</v>
      </c>
      <c r="BJ952" s="319" t="s">
        <v>190</v>
      </c>
      <c r="BK952" s="319" t="s">
        <v>190</v>
      </c>
      <c r="BL952" s="319" t="s">
        <v>190</v>
      </c>
      <c r="BM952" s="319" t="s">
        <v>190</v>
      </c>
      <c r="BN952" s="319" t="s">
        <v>190</v>
      </c>
      <c r="BO952" s="319" t="s">
        <v>190</v>
      </c>
      <c r="BP952" s="319" t="s">
        <v>190</v>
      </c>
      <c r="BQ952" s="319" t="s">
        <v>190</v>
      </c>
      <c r="BR952" s="319" t="s">
        <v>190</v>
      </c>
      <c r="BS952" s="319" t="s">
        <v>190</v>
      </c>
      <c r="BT952" s="319" t="s">
        <v>190</v>
      </c>
      <c r="BU952" s="319" t="s">
        <v>190</v>
      </c>
      <c r="BV952" s="319" t="s">
        <v>190</v>
      </c>
      <c r="BW952" s="319" t="s">
        <v>190</v>
      </c>
      <c r="BX952" s="319" t="s">
        <v>190</v>
      </c>
      <c r="BY952" s="319" t="s">
        <v>190</v>
      </c>
      <c r="BZ952" s="319" t="s">
        <v>190</v>
      </c>
      <c r="CA952" s="319" t="s">
        <v>190</v>
      </c>
      <c r="CB952" s="319" t="s">
        <v>190</v>
      </c>
      <c r="CC952" s="319" t="s">
        <v>190</v>
      </c>
      <c r="CD952" s="319" t="s">
        <v>190</v>
      </c>
      <c r="CE952" s="319" t="s">
        <v>190</v>
      </c>
      <c r="CF952" s="319" t="s">
        <v>190</v>
      </c>
      <c r="CG952" s="319" t="s">
        <v>190</v>
      </c>
      <c r="CH952" s="319" t="s">
        <v>190</v>
      </c>
      <c r="CI952" s="319" t="s">
        <v>190</v>
      </c>
      <c r="CJ952" s="319" t="s">
        <v>190</v>
      </c>
      <c r="CK952" s="319" t="s">
        <v>190</v>
      </c>
      <c r="CL952" s="319" t="s">
        <v>190</v>
      </c>
      <c r="CM952" s="319" t="s">
        <v>190</v>
      </c>
      <c r="CN952" s="319" t="s">
        <v>190</v>
      </c>
      <c r="CO952" s="319" t="s">
        <v>190</v>
      </c>
      <c r="CP952" s="319" t="s">
        <v>190</v>
      </c>
      <c r="CQ952" s="319" t="s">
        <v>190</v>
      </c>
      <c r="CR952" s="319" t="s">
        <v>190</v>
      </c>
      <c r="CS952" s="319" t="s">
        <v>190</v>
      </c>
      <c r="CT952" s="319" t="s">
        <v>190</v>
      </c>
      <c r="CU952" s="319" t="s">
        <v>190</v>
      </c>
      <c r="CV952" s="319" t="s">
        <v>190</v>
      </c>
      <c r="CW952" s="319" t="s">
        <v>190</v>
      </c>
      <c r="CX952" s="319" t="s">
        <v>190</v>
      </c>
      <c r="CY952" s="319" t="s">
        <v>190</v>
      </c>
      <c r="CZ952" s="319" t="s">
        <v>190</v>
      </c>
      <c r="DA952" s="319" t="s">
        <v>190</v>
      </c>
      <c r="DB952" s="319" t="s">
        <v>190</v>
      </c>
      <c r="DC952" s="319" t="s">
        <v>190</v>
      </c>
      <c r="DD952" s="319" t="s">
        <v>190</v>
      </c>
      <c r="DE952" s="319" t="s">
        <v>190</v>
      </c>
      <c r="DF952" s="319" t="s">
        <v>190</v>
      </c>
      <c r="DG952" s="319" t="s">
        <v>190</v>
      </c>
      <c r="DH952" s="319" t="s">
        <v>190</v>
      </c>
      <c r="DI952" s="319" t="s">
        <v>190</v>
      </c>
      <c r="DJ952" s="319" t="s">
        <v>190</v>
      </c>
      <c r="DK952" s="319" t="s">
        <v>190</v>
      </c>
      <c r="DL952" s="319" t="s">
        <v>190</v>
      </c>
      <c r="DM952" s="319" t="s">
        <v>190</v>
      </c>
      <c r="DN952" s="319" t="s">
        <v>428</v>
      </c>
      <c r="DO952" s="319" t="s">
        <v>190</v>
      </c>
      <c r="DP952" s="319" t="s">
        <v>428</v>
      </c>
      <c r="DQ952" s="319" t="s">
        <v>428</v>
      </c>
      <c r="DR952" s="319" t="s">
        <v>428</v>
      </c>
      <c r="DS952" s="319" t="s">
        <v>428</v>
      </c>
      <c r="DT952" s="319" t="s">
        <v>428</v>
      </c>
      <c r="DU952" s="319" t="s">
        <v>428</v>
      </c>
      <c r="DV952" s="319" t="s">
        <v>173</v>
      </c>
      <c r="DW952" s="319" t="s">
        <v>428</v>
      </c>
      <c r="DX952" s="319" t="s">
        <v>428</v>
      </c>
      <c r="DY952" s="319" t="s">
        <v>428</v>
      </c>
      <c r="DZ952" s="319" t="s">
        <v>428</v>
      </c>
      <c r="EA952" s="319" t="s">
        <v>428</v>
      </c>
      <c r="EB952" s="319" t="s">
        <v>428</v>
      </c>
      <c r="EC952" s="319" t="s">
        <v>428</v>
      </c>
      <c r="ED952" s="319" t="s">
        <v>428</v>
      </c>
      <c r="EE952" s="319" t="s">
        <v>190</v>
      </c>
      <c r="EF952" s="319" t="s">
        <v>190</v>
      </c>
      <c r="EG952" s="319" t="s">
        <v>190</v>
      </c>
      <c r="EH952" s="319" t="s">
        <v>190</v>
      </c>
      <c r="EI952" s="319" t="s">
        <v>190</v>
      </c>
      <c r="EJ952" s="319" t="s">
        <v>190</v>
      </c>
      <c r="EK952" s="319" t="s">
        <v>190</v>
      </c>
      <c r="EL952" s="319" t="s">
        <v>190</v>
      </c>
      <c r="EM952" s="319" t="s">
        <v>190</v>
      </c>
      <c r="EN952" s="319" t="s">
        <v>190</v>
      </c>
      <c r="EO952" s="319" t="s">
        <v>190</v>
      </c>
      <c r="EP952" s="319" t="s">
        <v>190</v>
      </c>
      <c r="EQ952" s="319" t="s">
        <v>190</v>
      </c>
      <c r="ER952" s="319" t="s">
        <v>190</v>
      </c>
      <c r="ES952" s="319" t="s">
        <v>190</v>
      </c>
      <c r="ET952" s="319" t="s">
        <v>190</v>
      </c>
      <c r="EU952" s="319" t="s">
        <v>190</v>
      </c>
      <c r="EV952" s="319" t="s">
        <v>190</v>
      </c>
      <c r="EW952" s="319" t="s">
        <v>190</v>
      </c>
      <c r="EX952" s="319" t="s">
        <v>190</v>
      </c>
      <c r="EY952" s="319" t="s">
        <v>190</v>
      </c>
      <c r="EZ952" s="319" t="s">
        <v>190</v>
      </c>
      <c r="FA952" s="319" t="s">
        <v>190</v>
      </c>
      <c r="FB952" s="319" t="s">
        <v>428</v>
      </c>
      <c r="FC952" s="319" t="s">
        <v>428</v>
      </c>
      <c r="FD952" s="319" t="s">
        <v>428</v>
      </c>
      <c r="FE952" s="319" t="s">
        <v>428</v>
      </c>
      <c r="FF952" s="319" t="s">
        <v>428</v>
      </c>
      <c r="FG952" s="319" t="s">
        <v>428</v>
      </c>
      <c r="FH952" s="319" t="s">
        <v>428</v>
      </c>
      <c r="FI952" s="319" t="s">
        <v>428</v>
      </c>
      <c r="FJ952" s="319" t="s">
        <v>429</v>
      </c>
      <c r="FK952" s="319" t="s">
        <v>428</v>
      </c>
      <c r="FL952" s="319" t="s">
        <v>190</v>
      </c>
      <c r="FM952" s="319" t="s">
        <v>190</v>
      </c>
      <c r="FN952" s="319" t="s">
        <v>190</v>
      </c>
      <c r="FO952" s="319" t="s">
        <v>190</v>
      </c>
      <c r="FP952" s="319" t="s">
        <v>190</v>
      </c>
      <c r="FQ952" s="319" t="s">
        <v>190</v>
      </c>
      <c r="FR952" s="319" t="s">
        <v>190</v>
      </c>
      <c r="FS952" s="319" t="s">
        <v>190</v>
      </c>
      <c r="FT952" s="319" t="s">
        <v>190</v>
      </c>
      <c r="FU952" s="319" t="s">
        <v>190</v>
      </c>
      <c r="FV952" s="319" t="s">
        <v>190</v>
      </c>
      <c r="FW952" s="319" t="s">
        <v>190</v>
      </c>
      <c r="FX952" s="319" t="s">
        <v>190</v>
      </c>
      <c r="FY952" s="319" t="s">
        <v>190</v>
      </c>
      <c r="FZ952" s="319" t="s">
        <v>190</v>
      </c>
      <c r="GA952" s="319" t="s">
        <v>190</v>
      </c>
      <c r="GB952" s="319" t="s">
        <v>190</v>
      </c>
      <c r="GC952" s="319" t="s">
        <v>190</v>
      </c>
      <c r="GD952" s="319" t="s">
        <v>190</v>
      </c>
      <c r="GE952" s="319" t="s">
        <v>190</v>
      </c>
      <c r="GF952" s="319" t="s">
        <v>190</v>
      </c>
      <c r="GG952" s="319" t="s">
        <v>190</v>
      </c>
      <c r="GH952" s="319" t="s">
        <v>190</v>
      </c>
      <c r="GI952" s="319" t="s">
        <v>190</v>
      </c>
      <c r="GJ952" s="319" t="s">
        <v>190</v>
      </c>
      <c r="GK952" s="319" t="s">
        <v>428</v>
      </c>
      <c r="GL952" s="319" t="s">
        <v>190</v>
      </c>
      <c r="GM952" s="319" t="s">
        <v>190</v>
      </c>
      <c r="GN952" s="319" t="s">
        <v>190</v>
      </c>
      <c r="GO952" s="319" t="s">
        <v>190</v>
      </c>
      <c r="GP952" s="319" t="s">
        <v>190</v>
      </c>
      <c r="GQ952" s="319" t="s">
        <v>428</v>
      </c>
      <c r="GR952" s="319" t="s">
        <v>190</v>
      </c>
      <c r="GS952" s="319" t="s">
        <v>190</v>
      </c>
      <c r="GT952" s="319" t="s">
        <v>190</v>
      </c>
      <c r="GU952" s="319" t="s">
        <v>190</v>
      </c>
      <c r="GV952" s="319" t="s">
        <v>190</v>
      </c>
      <c r="GW952" s="319" t="s">
        <v>190</v>
      </c>
      <c r="GX952" s="319" t="s">
        <v>190</v>
      </c>
      <c r="GY952" s="319" t="s">
        <v>190</v>
      </c>
      <c r="GZ952" s="319" t="s">
        <v>190</v>
      </c>
      <c r="HA952" s="319" t="s">
        <v>428</v>
      </c>
      <c r="HB952" s="319" t="s">
        <v>428</v>
      </c>
      <c r="HC952" s="319" t="s">
        <v>190</v>
      </c>
      <c r="HD952" s="319" t="s">
        <v>190</v>
      </c>
      <c r="HE952" s="319" t="s">
        <v>190</v>
      </c>
      <c r="HF952" s="319" t="s">
        <v>190</v>
      </c>
      <c r="HG952" s="319" t="s">
        <v>190</v>
      </c>
      <c r="HH952" s="319" t="s">
        <v>190</v>
      </c>
      <c r="HI952" s="319" t="s">
        <v>190</v>
      </c>
      <c r="HJ952" s="319" t="s">
        <v>190</v>
      </c>
      <c r="HK952" s="319" t="s">
        <v>190</v>
      </c>
      <c r="HL952" s="319" t="s">
        <v>190</v>
      </c>
      <c r="HM952" s="319" t="s">
        <v>428</v>
      </c>
      <c r="HN952" s="319" t="s">
        <v>428</v>
      </c>
      <c r="HO952" s="319" t="s">
        <v>428</v>
      </c>
      <c r="HP952" s="319" t="s">
        <v>190</v>
      </c>
      <c r="HQ952" s="319" t="s">
        <v>190</v>
      </c>
      <c r="HR952" s="319" t="s">
        <v>190</v>
      </c>
      <c r="HS952" s="319" t="s">
        <v>190</v>
      </c>
      <c r="HT952" s="319" t="s">
        <v>190</v>
      </c>
      <c r="HU952" s="319" t="s">
        <v>190</v>
      </c>
      <c r="HV952" s="319" t="s">
        <v>190</v>
      </c>
      <c r="HW952" s="319" t="s">
        <v>190</v>
      </c>
      <c r="HX952" s="319" t="s">
        <v>190</v>
      </c>
      <c r="HY952" s="319" t="s">
        <v>190</v>
      </c>
      <c r="HZ952" s="319" t="s">
        <v>190</v>
      </c>
      <c r="IA952" s="319" t="s">
        <v>190</v>
      </c>
      <c r="IB952" s="319" t="s">
        <v>190</v>
      </c>
      <c r="IC952" s="319" t="s">
        <v>190</v>
      </c>
      <c r="ID952" s="319" t="s">
        <v>190</v>
      </c>
      <c r="IE952" s="319" t="s">
        <v>190</v>
      </c>
      <c r="IF952" s="319" t="s">
        <v>190</v>
      </c>
      <c r="IG952" s="319" t="s">
        <v>190</v>
      </c>
      <c r="IH952" s="319" t="s">
        <v>190</v>
      </c>
      <c r="II952" s="319" t="s">
        <v>190</v>
      </c>
      <c r="IJ952" s="319" t="s">
        <v>173</v>
      </c>
      <c r="IK952" s="319" t="s">
        <v>173</v>
      </c>
      <c r="IL952" s="319" t="s">
        <v>173</v>
      </c>
      <c r="IM952" s="319" t="s">
        <v>173</v>
      </c>
      <c r="IN952" s="319" t="s">
        <v>173</v>
      </c>
      <c r="IO952" s="319" t="s">
        <v>173</v>
      </c>
      <c r="IP952" s="319" t="s">
        <v>173</v>
      </c>
      <c r="IQ952" s="321" t="s">
        <v>173</v>
      </c>
      <c r="IR952" s="320" t="s">
        <v>173</v>
      </c>
      <c r="IS952" s="322" t="s">
        <v>173</v>
      </c>
      <c r="IT952" s="319" t="s">
        <v>173</v>
      </c>
    </row>
    <row r="953" spans="1:254" s="271" customFormat="1" x14ac:dyDescent="0.25">
      <c r="A953" s="318" t="str">
        <f>HYPERLINK("http://www.ofsted.gov.uk/inspection-reports/find-inspection-report/provider/ELS/145181 ","Ofsted School Webpage")</f>
        <v>Ofsted School Webpage</v>
      </c>
      <c r="B953" s="319">
        <v>145181</v>
      </c>
      <c r="C953" s="319">
        <v>8786071</v>
      </c>
      <c r="D953" s="319" t="s">
        <v>3566</v>
      </c>
      <c r="E953" s="319" t="s">
        <v>168</v>
      </c>
      <c r="F953" s="319" t="s">
        <v>81</v>
      </c>
      <c r="G953" s="319" t="s">
        <v>81</v>
      </c>
      <c r="H953" s="319" t="s">
        <v>81</v>
      </c>
      <c r="I953" s="319" t="s">
        <v>78</v>
      </c>
      <c r="J953" s="319" t="s">
        <v>424</v>
      </c>
      <c r="K953" s="319" t="s">
        <v>422</v>
      </c>
      <c r="L953" s="319" t="s">
        <v>422</v>
      </c>
      <c r="M953" s="319" t="s">
        <v>663</v>
      </c>
      <c r="N953" s="319" t="s">
        <v>3174</v>
      </c>
      <c r="O953" s="319" t="s">
        <v>2493</v>
      </c>
      <c r="P953" s="319">
        <v>34</v>
      </c>
      <c r="Q953" s="319" t="s">
        <v>429</v>
      </c>
      <c r="R953" s="320">
        <v>10047190</v>
      </c>
      <c r="S953" s="321">
        <v>43291</v>
      </c>
      <c r="T953" s="321">
        <v>43293</v>
      </c>
      <c r="U953" s="321">
        <v>43348</v>
      </c>
      <c r="V953" s="319" t="s">
        <v>435</v>
      </c>
      <c r="W953" s="319" t="s">
        <v>2767</v>
      </c>
      <c r="X953" s="319">
        <v>2</v>
      </c>
      <c r="Y953" s="319" t="s">
        <v>173</v>
      </c>
      <c r="Z953" s="319" t="s">
        <v>173</v>
      </c>
      <c r="AA953" s="319" t="s">
        <v>173</v>
      </c>
      <c r="AB953" s="319">
        <v>2</v>
      </c>
      <c r="AC953" s="319" t="s">
        <v>169</v>
      </c>
      <c r="AD953" s="319" t="s">
        <v>173</v>
      </c>
      <c r="AE953" s="319">
        <v>2</v>
      </c>
      <c r="AF953" s="319" t="s">
        <v>447</v>
      </c>
      <c r="AG953" s="319" t="s">
        <v>171</v>
      </c>
      <c r="AH953" s="319" t="s">
        <v>190</v>
      </c>
      <c r="AI953" s="319" t="s">
        <v>190</v>
      </c>
      <c r="AJ953" s="319" t="s">
        <v>190</v>
      </c>
      <c r="AK953" s="319" t="s">
        <v>190</v>
      </c>
      <c r="AL953" s="319" t="s">
        <v>190</v>
      </c>
      <c r="AM953" s="319" t="s">
        <v>190</v>
      </c>
      <c r="AN953" s="319" t="s">
        <v>190</v>
      </c>
      <c r="AO953" s="319" t="s">
        <v>190</v>
      </c>
      <c r="AP953" s="319" t="s">
        <v>190</v>
      </c>
      <c r="AQ953" s="319" t="s">
        <v>190</v>
      </c>
      <c r="AR953" s="319" t="s">
        <v>190</v>
      </c>
      <c r="AS953" s="319" t="s">
        <v>190</v>
      </c>
      <c r="AT953" s="319" t="s">
        <v>190</v>
      </c>
      <c r="AU953" s="319" t="s">
        <v>190</v>
      </c>
      <c r="AV953" s="319" t="s">
        <v>190</v>
      </c>
      <c r="AW953" s="319" t="s">
        <v>190</v>
      </c>
      <c r="AX953" s="319" t="s">
        <v>428</v>
      </c>
      <c r="AY953" s="319" t="s">
        <v>190</v>
      </c>
      <c r="AZ953" s="319" t="s">
        <v>190</v>
      </c>
      <c r="BA953" s="319" t="s">
        <v>190</v>
      </c>
      <c r="BB953" s="319" t="s">
        <v>190</v>
      </c>
      <c r="BC953" s="319" t="s">
        <v>190</v>
      </c>
      <c r="BD953" s="319" t="s">
        <v>190</v>
      </c>
      <c r="BE953" s="319" t="s">
        <v>190</v>
      </c>
      <c r="BF953" s="319" t="s">
        <v>428</v>
      </c>
      <c r="BG953" s="319" t="s">
        <v>190</v>
      </c>
      <c r="BH953" s="319" t="s">
        <v>190</v>
      </c>
      <c r="BI953" s="319" t="s">
        <v>190</v>
      </c>
      <c r="BJ953" s="319" t="s">
        <v>190</v>
      </c>
      <c r="BK953" s="319" t="s">
        <v>190</v>
      </c>
      <c r="BL953" s="319" t="s">
        <v>190</v>
      </c>
      <c r="BM953" s="319" t="s">
        <v>190</v>
      </c>
      <c r="BN953" s="319" t="s">
        <v>190</v>
      </c>
      <c r="BO953" s="319" t="s">
        <v>190</v>
      </c>
      <c r="BP953" s="319" t="s">
        <v>190</v>
      </c>
      <c r="BQ953" s="319" t="s">
        <v>190</v>
      </c>
      <c r="BR953" s="319" t="s">
        <v>190</v>
      </c>
      <c r="BS953" s="319" t="s">
        <v>190</v>
      </c>
      <c r="BT953" s="319" t="s">
        <v>190</v>
      </c>
      <c r="BU953" s="319" t="s">
        <v>190</v>
      </c>
      <c r="BV953" s="319" t="s">
        <v>190</v>
      </c>
      <c r="BW953" s="319" t="s">
        <v>190</v>
      </c>
      <c r="BX953" s="319" t="s">
        <v>190</v>
      </c>
      <c r="BY953" s="319" t="s">
        <v>190</v>
      </c>
      <c r="BZ953" s="319" t="s">
        <v>190</v>
      </c>
      <c r="CA953" s="319" t="s">
        <v>190</v>
      </c>
      <c r="CB953" s="319" t="s">
        <v>190</v>
      </c>
      <c r="CC953" s="319" t="s">
        <v>190</v>
      </c>
      <c r="CD953" s="319" t="s">
        <v>190</v>
      </c>
      <c r="CE953" s="319" t="s">
        <v>190</v>
      </c>
      <c r="CF953" s="319" t="s">
        <v>190</v>
      </c>
      <c r="CG953" s="319" t="s">
        <v>190</v>
      </c>
      <c r="CH953" s="319" t="s">
        <v>190</v>
      </c>
      <c r="CI953" s="319" t="s">
        <v>190</v>
      </c>
      <c r="CJ953" s="319" t="s">
        <v>190</v>
      </c>
      <c r="CK953" s="319" t="s">
        <v>190</v>
      </c>
      <c r="CL953" s="319" t="s">
        <v>190</v>
      </c>
      <c r="CM953" s="319" t="s">
        <v>190</v>
      </c>
      <c r="CN953" s="319" t="s">
        <v>428</v>
      </c>
      <c r="CO953" s="319" t="s">
        <v>428</v>
      </c>
      <c r="CP953" s="319" t="s">
        <v>428</v>
      </c>
      <c r="CQ953" s="319" t="s">
        <v>190</v>
      </c>
      <c r="CR953" s="319" t="s">
        <v>190</v>
      </c>
      <c r="CS953" s="319" t="s">
        <v>190</v>
      </c>
      <c r="CT953" s="319" t="s">
        <v>190</v>
      </c>
      <c r="CU953" s="319" t="s">
        <v>190</v>
      </c>
      <c r="CV953" s="319" t="s">
        <v>190</v>
      </c>
      <c r="CW953" s="319" t="s">
        <v>190</v>
      </c>
      <c r="CX953" s="319" t="s">
        <v>190</v>
      </c>
      <c r="CY953" s="319" t="s">
        <v>190</v>
      </c>
      <c r="CZ953" s="319" t="s">
        <v>190</v>
      </c>
      <c r="DA953" s="319" t="s">
        <v>190</v>
      </c>
      <c r="DB953" s="319" t="s">
        <v>190</v>
      </c>
      <c r="DC953" s="319" t="s">
        <v>190</v>
      </c>
      <c r="DD953" s="319" t="s">
        <v>190</v>
      </c>
      <c r="DE953" s="319" t="s">
        <v>190</v>
      </c>
      <c r="DF953" s="319" t="s">
        <v>190</v>
      </c>
      <c r="DG953" s="319" t="s">
        <v>190</v>
      </c>
      <c r="DH953" s="319" t="s">
        <v>190</v>
      </c>
      <c r="DI953" s="319" t="s">
        <v>190</v>
      </c>
      <c r="DJ953" s="319" t="s">
        <v>190</v>
      </c>
      <c r="DK953" s="319" t="s">
        <v>190</v>
      </c>
      <c r="DL953" s="319" t="s">
        <v>190</v>
      </c>
      <c r="DM953" s="319" t="s">
        <v>428</v>
      </c>
      <c r="DN953" s="319" t="s">
        <v>428</v>
      </c>
      <c r="DO953" s="319" t="s">
        <v>190</v>
      </c>
      <c r="DP953" s="319" t="s">
        <v>428</v>
      </c>
      <c r="DQ953" s="319" t="s">
        <v>428</v>
      </c>
      <c r="DR953" s="319" t="s">
        <v>428</v>
      </c>
      <c r="DS953" s="319" t="s">
        <v>428</v>
      </c>
      <c r="DT953" s="319" t="s">
        <v>428</v>
      </c>
      <c r="DU953" s="319" t="s">
        <v>428</v>
      </c>
      <c r="DV953" s="319" t="s">
        <v>173</v>
      </c>
      <c r="DW953" s="319" t="s">
        <v>428</v>
      </c>
      <c r="DX953" s="319" t="s">
        <v>428</v>
      </c>
      <c r="DY953" s="319" t="s">
        <v>428</v>
      </c>
      <c r="DZ953" s="319" t="s">
        <v>428</v>
      </c>
      <c r="EA953" s="319" t="s">
        <v>428</v>
      </c>
      <c r="EB953" s="319" t="s">
        <v>428</v>
      </c>
      <c r="EC953" s="319" t="s">
        <v>428</v>
      </c>
      <c r="ED953" s="319" t="s">
        <v>428</v>
      </c>
      <c r="EE953" s="319" t="s">
        <v>190</v>
      </c>
      <c r="EF953" s="319" t="s">
        <v>190</v>
      </c>
      <c r="EG953" s="319" t="s">
        <v>190</v>
      </c>
      <c r="EH953" s="319" t="s">
        <v>190</v>
      </c>
      <c r="EI953" s="319" t="s">
        <v>190</v>
      </c>
      <c r="EJ953" s="319" t="s">
        <v>190</v>
      </c>
      <c r="EK953" s="319" t="s">
        <v>190</v>
      </c>
      <c r="EL953" s="319" t="s">
        <v>428</v>
      </c>
      <c r="EM953" s="319" t="s">
        <v>428</v>
      </c>
      <c r="EN953" s="319" t="s">
        <v>190</v>
      </c>
      <c r="EO953" s="319" t="s">
        <v>190</v>
      </c>
      <c r="EP953" s="319" t="s">
        <v>190</v>
      </c>
      <c r="EQ953" s="319" t="s">
        <v>190</v>
      </c>
      <c r="ER953" s="319" t="s">
        <v>190</v>
      </c>
      <c r="ES953" s="319" t="s">
        <v>190</v>
      </c>
      <c r="ET953" s="319" t="s">
        <v>190</v>
      </c>
      <c r="EU953" s="319" t="s">
        <v>190</v>
      </c>
      <c r="EV953" s="319" t="s">
        <v>190</v>
      </c>
      <c r="EW953" s="319" t="s">
        <v>190</v>
      </c>
      <c r="EX953" s="319" t="s">
        <v>190</v>
      </c>
      <c r="EY953" s="319" t="s">
        <v>428</v>
      </c>
      <c r="EZ953" s="319" t="s">
        <v>190</v>
      </c>
      <c r="FA953" s="319" t="s">
        <v>428</v>
      </c>
      <c r="FB953" s="319" t="s">
        <v>428</v>
      </c>
      <c r="FC953" s="319" t="s">
        <v>428</v>
      </c>
      <c r="FD953" s="319" t="s">
        <v>428</v>
      </c>
      <c r="FE953" s="319" t="s">
        <v>428</v>
      </c>
      <c r="FF953" s="319" t="s">
        <v>428</v>
      </c>
      <c r="FG953" s="319" t="s">
        <v>428</v>
      </c>
      <c r="FH953" s="319" t="s">
        <v>190</v>
      </c>
      <c r="FI953" s="319" t="s">
        <v>428</v>
      </c>
      <c r="FJ953" s="319" t="s">
        <v>429</v>
      </c>
      <c r="FK953" s="319" t="s">
        <v>428</v>
      </c>
      <c r="FL953" s="319" t="s">
        <v>190</v>
      </c>
      <c r="FM953" s="319" t="s">
        <v>190</v>
      </c>
      <c r="FN953" s="319" t="s">
        <v>190</v>
      </c>
      <c r="FO953" s="319" t="s">
        <v>190</v>
      </c>
      <c r="FP953" s="319" t="s">
        <v>190</v>
      </c>
      <c r="FQ953" s="319" t="s">
        <v>190</v>
      </c>
      <c r="FR953" s="319" t="s">
        <v>190</v>
      </c>
      <c r="FS953" s="319" t="s">
        <v>428</v>
      </c>
      <c r="FT953" s="319" t="s">
        <v>190</v>
      </c>
      <c r="FU953" s="319" t="s">
        <v>190</v>
      </c>
      <c r="FV953" s="319" t="s">
        <v>190</v>
      </c>
      <c r="FW953" s="319" t="s">
        <v>190</v>
      </c>
      <c r="FX953" s="319" t="s">
        <v>190</v>
      </c>
      <c r="FY953" s="319" t="s">
        <v>190</v>
      </c>
      <c r="FZ953" s="319" t="s">
        <v>190</v>
      </c>
      <c r="GA953" s="319" t="s">
        <v>190</v>
      </c>
      <c r="GB953" s="319" t="s">
        <v>190</v>
      </c>
      <c r="GC953" s="319" t="s">
        <v>190</v>
      </c>
      <c r="GD953" s="319" t="s">
        <v>190</v>
      </c>
      <c r="GE953" s="319" t="s">
        <v>190</v>
      </c>
      <c r="GF953" s="319" t="s">
        <v>190</v>
      </c>
      <c r="GG953" s="319" t="s">
        <v>190</v>
      </c>
      <c r="GH953" s="319" t="s">
        <v>190</v>
      </c>
      <c r="GI953" s="319" t="s">
        <v>190</v>
      </c>
      <c r="GJ953" s="319" t="s">
        <v>190</v>
      </c>
      <c r="GK953" s="319" t="s">
        <v>428</v>
      </c>
      <c r="GL953" s="319" t="s">
        <v>190</v>
      </c>
      <c r="GM953" s="319" t="s">
        <v>190</v>
      </c>
      <c r="GN953" s="319" t="s">
        <v>190</v>
      </c>
      <c r="GO953" s="319" t="s">
        <v>190</v>
      </c>
      <c r="GP953" s="319" t="s">
        <v>190</v>
      </c>
      <c r="GQ953" s="319" t="s">
        <v>428</v>
      </c>
      <c r="GR953" s="319" t="s">
        <v>190</v>
      </c>
      <c r="GS953" s="319" t="s">
        <v>190</v>
      </c>
      <c r="GT953" s="319" t="s">
        <v>190</v>
      </c>
      <c r="GU953" s="319" t="s">
        <v>190</v>
      </c>
      <c r="GV953" s="319" t="s">
        <v>190</v>
      </c>
      <c r="GW953" s="319" t="s">
        <v>190</v>
      </c>
      <c r="GX953" s="319" t="s">
        <v>190</v>
      </c>
      <c r="GY953" s="319" t="s">
        <v>190</v>
      </c>
      <c r="GZ953" s="319" t="s">
        <v>428</v>
      </c>
      <c r="HA953" s="319" t="s">
        <v>190</v>
      </c>
      <c r="HB953" s="319" t="s">
        <v>428</v>
      </c>
      <c r="HC953" s="319" t="s">
        <v>190</v>
      </c>
      <c r="HD953" s="319" t="s">
        <v>190</v>
      </c>
      <c r="HE953" s="319" t="s">
        <v>190</v>
      </c>
      <c r="HF953" s="319" t="s">
        <v>190</v>
      </c>
      <c r="HG953" s="319" t="s">
        <v>190</v>
      </c>
      <c r="HH953" s="319" t="s">
        <v>190</v>
      </c>
      <c r="HI953" s="319" t="s">
        <v>190</v>
      </c>
      <c r="HJ953" s="319" t="s">
        <v>190</v>
      </c>
      <c r="HK953" s="319" t="s">
        <v>190</v>
      </c>
      <c r="HL953" s="319" t="s">
        <v>428</v>
      </c>
      <c r="HM953" s="319" t="s">
        <v>428</v>
      </c>
      <c r="HN953" s="319" t="s">
        <v>428</v>
      </c>
      <c r="HO953" s="319" t="s">
        <v>428</v>
      </c>
      <c r="HP953" s="319" t="s">
        <v>190</v>
      </c>
      <c r="HQ953" s="319" t="s">
        <v>190</v>
      </c>
      <c r="HR953" s="319" t="s">
        <v>190</v>
      </c>
      <c r="HS953" s="319" t="s">
        <v>190</v>
      </c>
      <c r="HT953" s="319" t="s">
        <v>190</v>
      </c>
      <c r="HU953" s="319" t="s">
        <v>190</v>
      </c>
      <c r="HV953" s="319" t="s">
        <v>190</v>
      </c>
      <c r="HW953" s="319" t="s">
        <v>190</v>
      </c>
      <c r="HX953" s="319" t="s">
        <v>190</v>
      </c>
      <c r="HY953" s="319" t="s">
        <v>190</v>
      </c>
      <c r="HZ953" s="319" t="s">
        <v>190</v>
      </c>
      <c r="IA953" s="319" t="s">
        <v>190</v>
      </c>
      <c r="IB953" s="319" t="s">
        <v>190</v>
      </c>
      <c r="IC953" s="319" t="s">
        <v>190</v>
      </c>
      <c r="ID953" s="319" t="s">
        <v>190</v>
      </c>
      <c r="IE953" s="319" t="s">
        <v>190</v>
      </c>
      <c r="IF953" s="319" t="s">
        <v>190</v>
      </c>
      <c r="IG953" s="319" t="s">
        <v>190</v>
      </c>
      <c r="IH953" s="319" t="s">
        <v>190</v>
      </c>
      <c r="II953" s="319" t="s">
        <v>190</v>
      </c>
      <c r="IJ953" s="319" t="s">
        <v>173</v>
      </c>
      <c r="IK953" s="319" t="s">
        <v>173</v>
      </c>
      <c r="IL953" s="319" t="s">
        <v>173</v>
      </c>
      <c r="IM953" s="319" t="s">
        <v>173</v>
      </c>
      <c r="IN953" s="319" t="s">
        <v>173</v>
      </c>
      <c r="IO953" s="319" t="s">
        <v>173</v>
      </c>
      <c r="IP953" s="319" t="s">
        <v>173</v>
      </c>
      <c r="IQ953" s="321" t="s">
        <v>173</v>
      </c>
      <c r="IR953" s="320" t="s">
        <v>173</v>
      </c>
      <c r="IS953" s="322" t="s">
        <v>173</v>
      </c>
      <c r="IT953" s="319" t="s">
        <v>173</v>
      </c>
    </row>
    <row r="954" spans="1:254" s="271" customFormat="1" x14ac:dyDescent="0.25">
      <c r="A954" s="318" t="str">
        <f>HYPERLINK("http://www.ofsted.gov.uk/inspection-reports/find-inspection-report/provider/ELS/145182 ","Ofsted School Webpage")</f>
        <v>Ofsted School Webpage</v>
      </c>
      <c r="B954" s="319">
        <v>145182</v>
      </c>
      <c r="C954" s="319">
        <v>3416011</v>
      </c>
      <c r="D954" s="319" t="s">
        <v>651</v>
      </c>
      <c r="E954" s="319" t="s">
        <v>168</v>
      </c>
      <c r="F954" s="319" t="s">
        <v>81</v>
      </c>
      <c r="G954" s="319" t="s">
        <v>81</v>
      </c>
      <c r="H954" s="319" t="s">
        <v>81</v>
      </c>
      <c r="I954" s="319" t="s">
        <v>78</v>
      </c>
      <c r="J954" s="319" t="s">
        <v>424</v>
      </c>
      <c r="K954" s="319" t="s">
        <v>431</v>
      </c>
      <c r="L954" s="319" t="s">
        <v>431</v>
      </c>
      <c r="M954" s="319" t="s">
        <v>652</v>
      </c>
      <c r="N954" s="319" t="s">
        <v>3169</v>
      </c>
      <c r="O954" s="319" t="s">
        <v>653</v>
      </c>
      <c r="P954" s="319" t="s">
        <v>173</v>
      </c>
      <c r="Q954" s="319" t="s">
        <v>429</v>
      </c>
      <c r="R954" s="320">
        <v>10053742</v>
      </c>
      <c r="S954" s="321">
        <v>43417</v>
      </c>
      <c r="T954" s="321">
        <v>43419</v>
      </c>
      <c r="U954" s="321">
        <v>43452</v>
      </c>
      <c r="V954" s="319" t="s">
        <v>435</v>
      </c>
      <c r="W954" s="319" t="s">
        <v>2767</v>
      </c>
      <c r="X954" s="319">
        <v>2</v>
      </c>
      <c r="Y954" s="319" t="s">
        <v>173</v>
      </c>
      <c r="Z954" s="319" t="s">
        <v>173</v>
      </c>
      <c r="AA954" s="319" t="s">
        <v>173</v>
      </c>
      <c r="AB954" s="319">
        <v>2</v>
      </c>
      <c r="AC954" s="319" t="s">
        <v>169</v>
      </c>
      <c r="AD954" s="319">
        <v>2</v>
      </c>
      <c r="AE954" s="319">
        <v>2</v>
      </c>
      <c r="AF954" s="319" t="s">
        <v>427</v>
      </c>
      <c r="AG954" s="319" t="s">
        <v>171</v>
      </c>
      <c r="AH954" s="319" t="s">
        <v>190</v>
      </c>
      <c r="AI954" s="319" t="s">
        <v>190</v>
      </c>
      <c r="AJ954" s="319" t="s">
        <v>190</v>
      </c>
      <c r="AK954" s="319" t="s">
        <v>190</v>
      </c>
      <c r="AL954" s="319" t="s">
        <v>190</v>
      </c>
      <c r="AM954" s="319" t="s">
        <v>190</v>
      </c>
      <c r="AN954" s="319" t="s">
        <v>190</v>
      </c>
      <c r="AO954" s="319" t="s">
        <v>190</v>
      </c>
      <c r="AP954" s="319" t="s">
        <v>190</v>
      </c>
      <c r="AQ954" s="319" t="s">
        <v>190</v>
      </c>
      <c r="AR954" s="319" t="s">
        <v>190</v>
      </c>
      <c r="AS954" s="319" t="s">
        <v>190</v>
      </c>
      <c r="AT954" s="319" t="s">
        <v>190</v>
      </c>
      <c r="AU954" s="319" t="s">
        <v>190</v>
      </c>
      <c r="AV954" s="319" t="s">
        <v>190</v>
      </c>
      <c r="AW954" s="319" t="s">
        <v>190</v>
      </c>
      <c r="AX954" s="319" t="s">
        <v>428</v>
      </c>
      <c r="AY954" s="319" t="s">
        <v>190</v>
      </c>
      <c r="AZ954" s="319" t="s">
        <v>190</v>
      </c>
      <c r="BA954" s="319" t="s">
        <v>190</v>
      </c>
      <c r="BB954" s="319" t="s">
        <v>190</v>
      </c>
      <c r="BC954" s="319" t="s">
        <v>190</v>
      </c>
      <c r="BD954" s="319" t="s">
        <v>190</v>
      </c>
      <c r="BE954" s="319" t="s">
        <v>190</v>
      </c>
      <c r="BF954" s="319" t="s">
        <v>190</v>
      </c>
      <c r="BG954" s="319" t="s">
        <v>190</v>
      </c>
      <c r="BH954" s="319" t="s">
        <v>190</v>
      </c>
      <c r="BI954" s="319" t="s">
        <v>190</v>
      </c>
      <c r="BJ954" s="319" t="s">
        <v>190</v>
      </c>
      <c r="BK954" s="319" t="s">
        <v>190</v>
      </c>
      <c r="BL954" s="319" t="s">
        <v>190</v>
      </c>
      <c r="BM954" s="319" t="s">
        <v>190</v>
      </c>
      <c r="BN954" s="319" t="s">
        <v>190</v>
      </c>
      <c r="BO954" s="319" t="s">
        <v>190</v>
      </c>
      <c r="BP954" s="319" t="s">
        <v>190</v>
      </c>
      <c r="BQ954" s="319" t="s">
        <v>190</v>
      </c>
      <c r="BR954" s="319" t="s">
        <v>190</v>
      </c>
      <c r="BS954" s="319" t="s">
        <v>190</v>
      </c>
      <c r="BT954" s="319" t="s">
        <v>190</v>
      </c>
      <c r="BU954" s="319" t="s">
        <v>190</v>
      </c>
      <c r="BV954" s="319" t="s">
        <v>190</v>
      </c>
      <c r="BW954" s="319" t="s">
        <v>190</v>
      </c>
      <c r="BX954" s="319" t="s">
        <v>190</v>
      </c>
      <c r="BY954" s="319" t="s">
        <v>190</v>
      </c>
      <c r="BZ954" s="319" t="s">
        <v>190</v>
      </c>
      <c r="CA954" s="319" t="s">
        <v>190</v>
      </c>
      <c r="CB954" s="319" t="s">
        <v>190</v>
      </c>
      <c r="CC954" s="319" t="s">
        <v>190</v>
      </c>
      <c r="CD954" s="319" t="s">
        <v>190</v>
      </c>
      <c r="CE954" s="319" t="s">
        <v>190</v>
      </c>
      <c r="CF954" s="319" t="s">
        <v>190</v>
      </c>
      <c r="CG954" s="319" t="s">
        <v>190</v>
      </c>
      <c r="CH954" s="319" t="s">
        <v>190</v>
      </c>
      <c r="CI954" s="319" t="s">
        <v>190</v>
      </c>
      <c r="CJ954" s="319" t="s">
        <v>190</v>
      </c>
      <c r="CK954" s="319" t="s">
        <v>190</v>
      </c>
      <c r="CL954" s="319" t="s">
        <v>190</v>
      </c>
      <c r="CM954" s="319" t="s">
        <v>190</v>
      </c>
      <c r="CN954" s="319" t="s">
        <v>428</v>
      </c>
      <c r="CO954" s="319" t="s">
        <v>428</v>
      </c>
      <c r="CP954" s="319" t="s">
        <v>428</v>
      </c>
      <c r="CQ954" s="319" t="s">
        <v>190</v>
      </c>
      <c r="CR954" s="319" t="s">
        <v>190</v>
      </c>
      <c r="CS954" s="319" t="s">
        <v>190</v>
      </c>
      <c r="CT954" s="319" t="s">
        <v>190</v>
      </c>
      <c r="CU954" s="319" t="s">
        <v>190</v>
      </c>
      <c r="CV954" s="319" t="s">
        <v>190</v>
      </c>
      <c r="CW954" s="319" t="s">
        <v>190</v>
      </c>
      <c r="CX954" s="319" t="s">
        <v>190</v>
      </c>
      <c r="CY954" s="319" t="s">
        <v>190</v>
      </c>
      <c r="CZ954" s="319" t="s">
        <v>190</v>
      </c>
      <c r="DA954" s="319" t="s">
        <v>190</v>
      </c>
      <c r="DB954" s="319" t="s">
        <v>190</v>
      </c>
      <c r="DC954" s="319" t="s">
        <v>190</v>
      </c>
      <c r="DD954" s="319" t="s">
        <v>190</v>
      </c>
      <c r="DE954" s="319" t="s">
        <v>190</v>
      </c>
      <c r="DF954" s="319" t="s">
        <v>190</v>
      </c>
      <c r="DG954" s="319" t="s">
        <v>190</v>
      </c>
      <c r="DH954" s="319" t="s">
        <v>190</v>
      </c>
      <c r="DI954" s="319" t="s">
        <v>190</v>
      </c>
      <c r="DJ954" s="319" t="s">
        <v>190</v>
      </c>
      <c r="DK954" s="319" t="s">
        <v>190</v>
      </c>
      <c r="DL954" s="319" t="s">
        <v>190</v>
      </c>
      <c r="DM954" s="319" t="s">
        <v>190</v>
      </c>
      <c r="DN954" s="319" t="s">
        <v>428</v>
      </c>
      <c r="DO954" s="319" t="s">
        <v>190</v>
      </c>
      <c r="DP954" s="319" t="s">
        <v>190</v>
      </c>
      <c r="DQ954" s="319" t="s">
        <v>190</v>
      </c>
      <c r="DR954" s="319" t="s">
        <v>190</v>
      </c>
      <c r="DS954" s="319" t="s">
        <v>190</v>
      </c>
      <c r="DT954" s="319" t="s">
        <v>190</v>
      </c>
      <c r="DU954" s="319" t="s">
        <v>190</v>
      </c>
      <c r="DV954" s="319" t="s">
        <v>173</v>
      </c>
      <c r="DW954" s="319" t="s">
        <v>190</v>
      </c>
      <c r="DX954" s="319" t="s">
        <v>190</v>
      </c>
      <c r="DY954" s="319" t="s">
        <v>190</v>
      </c>
      <c r="DZ954" s="319" t="s">
        <v>190</v>
      </c>
      <c r="EA954" s="319" t="s">
        <v>190</v>
      </c>
      <c r="EB954" s="319" t="s">
        <v>190</v>
      </c>
      <c r="EC954" s="319" t="s">
        <v>190</v>
      </c>
      <c r="ED954" s="319" t="s">
        <v>190</v>
      </c>
      <c r="EE954" s="319" t="s">
        <v>190</v>
      </c>
      <c r="EF954" s="319" t="s">
        <v>190</v>
      </c>
      <c r="EG954" s="319" t="s">
        <v>190</v>
      </c>
      <c r="EH954" s="319" t="s">
        <v>190</v>
      </c>
      <c r="EI954" s="319" t="s">
        <v>190</v>
      </c>
      <c r="EJ954" s="319" t="s">
        <v>190</v>
      </c>
      <c r="EK954" s="319" t="s">
        <v>190</v>
      </c>
      <c r="EL954" s="319" t="s">
        <v>190</v>
      </c>
      <c r="EM954" s="319" t="s">
        <v>190</v>
      </c>
      <c r="EN954" s="319" t="s">
        <v>190</v>
      </c>
      <c r="EO954" s="319" t="s">
        <v>190</v>
      </c>
      <c r="EP954" s="319" t="s">
        <v>190</v>
      </c>
      <c r="EQ954" s="319" t="s">
        <v>190</v>
      </c>
      <c r="ER954" s="319" t="s">
        <v>190</v>
      </c>
      <c r="ES954" s="319" t="s">
        <v>190</v>
      </c>
      <c r="ET954" s="319" t="s">
        <v>190</v>
      </c>
      <c r="EU954" s="319" t="s">
        <v>190</v>
      </c>
      <c r="EV954" s="319" t="s">
        <v>190</v>
      </c>
      <c r="EW954" s="319" t="s">
        <v>190</v>
      </c>
      <c r="EX954" s="319" t="s">
        <v>190</v>
      </c>
      <c r="EY954" s="319" t="s">
        <v>190</v>
      </c>
      <c r="EZ954" s="319" t="s">
        <v>190</v>
      </c>
      <c r="FA954" s="319" t="s">
        <v>190</v>
      </c>
      <c r="FB954" s="319" t="s">
        <v>190</v>
      </c>
      <c r="FC954" s="319" t="s">
        <v>190</v>
      </c>
      <c r="FD954" s="319" t="s">
        <v>190</v>
      </c>
      <c r="FE954" s="319" t="s">
        <v>190</v>
      </c>
      <c r="FF954" s="319" t="s">
        <v>190</v>
      </c>
      <c r="FG954" s="319" t="s">
        <v>190</v>
      </c>
      <c r="FH954" s="319" t="s">
        <v>190</v>
      </c>
      <c r="FI954" s="319" t="s">
        <v>190</v>
      </c>
      <c r="FJ954" s="319" t="s">
        <v>190</v>
      </c>
      <c r="FK954" s="319" t="s">
        <v>190</v>
      </c>
      <c r="FL954" s="319" t="s">
        <v>190</v>
      </c>
      <c r="FM954" s="319" t="s">
        <v>190</v>
      </c>
      <c r="FN954" s="319" t="s">
        <v>190</v>
      </c>
      <c r="FO954" s="319" t="s">
        <v>190</v>
      </c>
      <c r="FP954" s="319" t="s">
        <v>190</v>
      </c>
      <c r="FQ954" s="319" t="s">
        <v>190</v>
      </c>
      <c r="FR954" s="319" t="s">
        <v>190</v>
      </c>
      <c r="FS954" s="319" t="s">
        <v>190</v>
      </c>
      <c r="FT954" s="319" t="s">
        <v>190</v>
      </c>
      <c r="FU954" s="319" t="s">
        <v>190</v>
      </c>
      <c r="FV954" s="319" t="s">
        <v>190</v>
      </c>
      <c r="FW954" s="319" t="s">
        <v>190</v>
      </c>
      <c r="FX954" s="319" t="s">
        <v>190</v>
      </c>
      <c r="FY954" s="319" t="s">
        <v>190</v>
      </c>
      <c r="FZ954" s="319" t="s">
        <v>190</v>
      </c>
      <c r="GA954" s="319" t="s">
        <v>190</v>
      </c>
      <c r="GB954" s="319" t="s">
        <v>190</v>
      </c>
      <c r="GC954" s="319" t="s">
        <v>190</v>
      </c>
      <c r="GD954" s="319" t="s">
        <v>190</v>
      </c>
      <c r="GE954" s="319" t="s">
        <v>190</v>
      </c>
      <c r="GF954" s="319" t="s">
        <v>190</v>
      </c>
      <c r="GG954" s="319" t="s">
        <v>190</v>
      </c>
      <c r="GH954" s="319" t="s">
        <v>190</v>
      </c>
      <c r="GI954" s="319" t="s">
        <v>190</v>
      </c>
      <c r="GJ954" s="319" t="s">
        <v>190</v>
      </c>
      <c r="GK954" s="319" t="s">
        <v>428</v>
      </c>
      <c r="GL954" s="319" t="s">
        <v>190</v>
      </c>
      <c r="GM954" s="319" t="s">
        <v>190</v>
      </c>
      <c r="GN954" s="319" t="s">
        <v>190</v>
      </c>
      <c r="GO954" s="319" t="s">
        <v>190</v>
      </c>
      <c r="GP954" s="319" t="s">
        <v>190</v>
      </c>
      <c r="GQ954" s="319" t="s">
        <v>190</v>
      </c>
      <c r="GR954" s="319" t="s">
        <v>190</v>
      </c>
      <c r="GS954" s="319" t="s">
        <v>190</v>
      </c>
      <c r="GT954" s="319" t="s">
        <v>190</v>
      </c>
      <c r="GU954" s="319" t="s">
        <v>190</v>
      </c>
      <c r="GV954" s="319" t="s">
        <v>190</v>
      </c>
      <c r="GW954" s="319" t="s">
        <v>190</v>
      </c>
      <c r="GX954" s="319" t="s">
        <v>190</v>
      </c>
      <c r="GY954" s="319" t="s">
        <v>190</v>
      </c>
      <c r="GZ954" s="319" t="s">
        <v>190</v>
      </c>
      <c r="HA954" s="319" t="s">
        <v>190</v>
      </c>
      <c r="HB954" s="319" t="s">
        <v>190</v>
      </c>
      <c r="HC954" s="319" t="s">
        <v>190</v>
      </c>
      <c r="HD954" s="319" t="s">
        <v>190</v>
      </c>
      <c r="HE954" s="319" t="s">
        <v>190</v>
      </c>
      <c r="HF954" s="319" t="s">
        <v>190</v>
      </c>
      <c r="HG954" s="319" t="s">
        <v>190</v>
      </c>
      <c r="HH954" s="319" t="s">
        <v>190</v>
      </c>
      <c r="HI954" s="319" t="s">
        <v>190</v>
      </c>
      <c r="HJ954" s="319" t="s">
        <v>190</v>
      </c>
      <c r="HK954" s="319" t="s">
        <v>190</v>
      </c>
      <c r="HL954" s="319" t="s">
        <v>190</v>
      </c>
      <c r="HM954" s="319" t="s">
        <v>190</v>
      </c>
      <c r="HN954" s="319" t="s">
        <v>190</v>
      </c>
      <c r="HO954" s="319" t="s">
        <v>190</v>
      </c>
      <c r="HP954" s="319" t="s">
        <v>190</v>
      </c>
      <c r="HQ954" s="319" t="s">
        <v>190</v>
      </c>
      <c r="HR954" s="319" t="s">
        <v>190</v>
      </c>
      <c r="HS954" s="319" t="s">
        <v>190</v>
      </c>
      <c r="HT954" s="319" t="s">
        <v>190</v>
      </c>
      <c r="HU954" s="319" t="s">
        <v>190</v>
      </c>
      <c r="HV954" s="319" t="s">
        <v>190</v>
      </c>
      <c r="HW954" s="319" t="s">
        <v>190</v>
      </c>
      <c r="HX954" s="319" t="s">
        <v>190</v>
      </c>
      <c r="HY954" s="319" t="s">
        <v>190</v>
      </c>
      <c r="HZ954" s="319" t="s">
        <v>190</v>
      </c>
      <c r="IA954" s="319" t="s">
        <v>190</v>
      </c>
      <c r="IB954" s="319" t="s">
        <v>190</v>
      </c>
      <c r="IC954" s="319" t="s">
        <v>190</v>
      </c>
      <c r="ID954" s="319" t="s">
        <v>190</v>
      </c>
      <c r="IE954" s="319" t="s">
        <v>190</v>
      </c>
      <c r="IF954" s="319" t="s">
        <v>190</v>
      </c>
      <c r="IG954" s="319" t="s">
        <v>190</v>
      </c>
      <c r="IH954" s="319" t="s">
        <v>190</v>
      </c>
      <c r="II954" s="319" t="s">
        <v>190</v>
      </c>
      <c r="IJ954" s="319" t="s">
        <v>173</v>
      </c>
      <c r="IK954" s="319" t="s">
        <v>173</v>
      </c>
      <c r="IL954" s="319" t="s">
        <v>173</v>
      </c>
      <c r="IM954" s="319" t="s">
        <v>173</v>
      </c>
      <c r="IN954" s="319" t="s">
        <v>173</v>
      </c>
      <c r="IO954" s="319" t="s">
        <v>173</v>
      </c>
      <c r="IP954" s="319" t="s">
        <v>173</v>
      </c>
      <c r="IQ954" s="319" t="s">
        <v>173</v>
      </c>
      <c r="IR954" s="320" t="s">
        <v>173</v>
      </c>
      <c r="IS954" s="320" t="s">
        <v>173</v>
      </c>
      <c r="IT954" s="319" t="s">
        <v>173</v>
      </c>
    </row>
    <row r="955" spans="1:254" s="271" customFormat="1" x14ac:dyDescent="0.25">
      <c r="A955" s="318" t="str">
        <f>HYPERLINK("http://www.ofsted.gov.uk/inspection-reports/find-inspection-report/provider/ELS/145184 ","Ofsted School Webpage")</f>
        <v>Ofsted School Webpage</v>
      </c>
      <c r="B955" s="319">
        <v>145184</v>
      </c>
      <c r="C955" s="319">
        <v>9296004</v>
      </c>
      <c r="D955" s="319" t="s">
        <v>509</v>
      </c>
      <c r="E955" s="319" t="s">
        <v>168</v>
      </c>
      <c r="F955" s="319" t="s">
        <v>81</v>
      </c>
      <c r="G955" s="319" t="s">
        <v>81</v>
      </c>
      <c r="H955" s="319" t="s">
        <v>81</v>
      </c>
      <c r="I955" s="319" t="s">
        <v>78</v>
      </c>
      <c r="J955" s="319" t="s">
        <v>424</v>
      </c>
      <c r="K955" s="319" t="s">
        <v>458</v>
      </c>
      <c r="L955" s="319" t="s">
        <v>474</v>
      </c>
      <c r="M955" s="319" t="s">
        <v>510</v>
      </c>
      <c r="N955" s="319" t="s">
        <v>3165</v>
      </c>
      <c r="O955" s="319" t="s">
        <v>511</v>
      </c>
      <c r="P955" s="319">
        <v>11</v>
      </c>
      <c r="Q955" s="319" t="s">
        <v>2766</v>
      </c>
      <c r="R955" s="320">
        <v>10053842</v>
      </c>
      <c r="S955" s="321">
        <v>43375</v>
      </c>
      <c r="T955" s="321">
        <v>43377</v>
      </c>
      <c r="U955" s="321">
        <v>43432</v>
      </c>
      <c r="V955" s="319" t="s">
        <v>435</v>
      </c>
      <c r="W955" s="319" t="s">
        <v>2767</v>
      </c>
      <c r="X955" s="319">
        <v>3</v>
      </c>
      <c r="Y955" s="319" t="s">
        <v>173</v>
      </c>
      <c r="Z955" s="319" t="s">
        <v>173</v>
      </c>
      <c r="AA955" s="319" t="s">
        <v>173</v>
      </c>
      <c r="AB955" s="319">
        <v>3</v>
      </c>
      <c r="AC955" s="319" t="s">
        <v>169</v>
      </c>
      <c r="AD955" s="319" t="s">
        <v>173</v>
      </c>
      <c r="AE955" s="319" t="s">
        <v>173</v>
      </c>
      <c r="AF955" s="319" t="s">
        <v>427</v>
      </c>
      <c r="AG955" s="319" t="s">
        <v>172</v>
      </c>
      <c r="AH955" s="319" t="s">
        <v>190</v>
      </c>
      <c r="AI955" s="319" t="s">
        <v>190</v>
      </c>
      <c r="AJ955" s="319" t="s">
        <v>190</v>
      </c>
      <c r="AK955" s="319" t="s">
        <v>190</v>
      </c>
      <c r="AL955" s="319" t="s">
        <v>479</v>
      </c>
      <c r="AM955" s="319" t="s">
        <v>190</v>
      </c>
      <c r="AN955" s="319" t="s">
        <v>190</v>
      </c>
      <c r="AO955" s="319" t="s">
        <v>479</v>
      </c>
      <c r="AP955" s="319" t="s">
        <v>190</v>
      </c>
      <c r="AQ955" s="319" t="s">
        <v>190</v>
      </c>
      <c r="AR955" s="319" t="s">
        <v>190</v>
      </c>
      <c r="AS955" s="319" t="s">
        <v>190</v>
      </c>
      <c r="AT955" s="319" t="s">
        <v>190</v>
      </c>
      <c r="AU955" s="319" t="s">
        <v>190</v>
      </c>
      <c r="AV955" s="319" t="s">
        <v>190</v>
      </c>
      <c r="AW955" s="319" t="s">
        <v>190</v>
      </c>
      <c r="AX955" s="319" t="s">
        <v>190</v>
      </c>
      <c r="AY955" s="319" t="s">
        <v>190</v>
      </c>
      <c r="AZ955" s="319" t="s">
        <v>190</v>
      </c>
      <c r="BA955" s="319" t="s">
        <v>190</v>
      </c>
      <c r="BB955" s="319" t="s">
        <v>190</v>
      </c>
      <c r="BC955" s="319" t="s">
        <v>190</v>
      </c>
      <c r="BD955" s="319" t="s">
        <v>190</v>
      </c>
      <c r="BE955" s="319" t="s">
        <v>190</v>
      </c>
      <c r="BF955" s="319" t="s">
        <v>190</v>
      </c>
      <c r="BG955" s="319" t="s">
        <v>190</v>
      </c>
      <c r="BH955" s="319" t="s">
        <v>190</v>
      </c>
      <c r="BI955" s="319" t="s">
        <v>190</v>
      </c>
      <c r="BJ955" s="319" t="s">
        <v>190</v>
      </c>
      <c r="BK955" s="319" t="s">
        <v>190</v>
      </c>
      <c r="BL955" s="319" t="s">
        <v>190</v>
      </c>
      <c r="BM955" s="319" t="s">
        <v>190</v>
      </c>
      <c r="BN955" s="319" t="s">
        <v>190</v>
      </c>
      <c r="BO955" s="319" t="s">
        <v>190</v>
      </c>
      <c r="BP955" s="319" t="s">
        <v>190</v>
      </c>
      <c r="BQ955" s="319" t="s">
        <v>190</v>
      </c>
      <c r="BR955" s="319" t="s">
        <v>190</v>
      </c>
      <c r="BS955" s="319" t="s">
        <v>190</v>
      </c>
      <c r="BT955" s="319" t="s">
        <v>190</v>
      </c>
      <c r="BU955" s="319" t="s">
        <v>190</v>
      </c>
      <c r="BV955" s="319" t="s">
        <v>190</v>
      </c>
      <c r="BW955" s="319" t="s">
        <v>190</v>
      </c>
      <c r="BX955" s="319" t="s">
        <v>190</v>
      </c>
      <c r="BY955" s="319" t="s">
        <v>190</v>
      </c>
      <c r="BZ955" s="319" t="s">
        <v>190</v>
      </c>
      <c r="CA955" s="319" t="s">
        <v>190</v>
      </c>
      <c r="CB955" s="319" t="s">
        <v>190</v>
      </c>
      <c r="CC955" s="319" t="s">
        <v>190</v>
      </c>
      <c r="CD955" s="319" t="s">
        <v>190</v>
      </c>
      <c r="CE955" s="319" t="s">
        <v>190</v>
      </c>
      <c r="CF955" s="319" t="s">
        <v>190</v>
      </c>
      <c r="CG955" s="319" t="s">
        <v>190</v>
      </c>
      <c r="CH955" s="319" t="s">
        <v>190</v>
      </c>
      <c r="CI955" s="319" t="s">
        <v>190</v>
      </c>
      <c r="CJ955" s="319" t="s">
        <v>190</v>
      </c>
      <c r="CK955" s="319" t="s">
        <v>190</v>
      </c>
      <c r="CL955" s="319" t="s">
        <v>190</v>
      </c>
      <c r="CM955" s="319" t="s">
        <v>190</v>
      </c>
      <c r="CN955" s="319" t="s">
        <v>190</v>
      </c>
      <c r="CO955" s="319" t="s">
        <v>190</v>
      </c>
      <c r="CP955" s="319" t="s">
        <v>190</v>
      </c>
      <c r="CQ955" s="319" t="s">
        <v>190</v>
      </c>
      <c r="CR955" s="319" t="s">
        <v>190</v>
      </c>
      <c r="CS955" s="319" t="s">
        <v>190</v>
      </c>
      <c r="CT955" s="319" t="s">
        <v>190</v>
      </c>
      <c r="CU955" s="319" t="s">
        <v>190</v>
      </c>
      <c r="CV955" s="319" t="s">
        <v>190</v>
      </c>
      <c r="CW955" s="319" t="s">
        <v>190</v>
      </c>
      <c r="CX955" s="319" t="s">
        <v>190</v>
      </c>
      <c r="CY955" s="319" t="s">
        <v>190</v>
      </c>
      <c r="CZ955" s="319" t="s">
        <v>190</v>
      </c>
      <c r="DA955" s="319" t="s">
        <v>190</v>
      </c>
      <c r="DB955" s="319" t="s">
        <v>190</v>
      </c>
      <c r="DC955" s="319" t="s">
        <v>190</v>
      </c>
      <c r="DD955" s="319" t="s">
        <v>190</v>
      </c>
      <c r="DE955" s="319" t="s">
        <v>190</v>
      </c>
      <c r="DF955" s="319" t="s">
        <v>190</v>
      </c>
      <c r="DG955" s="319" t="s">
        <v>190</v>
      </c>
      <c r="DH955" s="319" t="s">
        <v>190</v>
      </c>
      <c r="DI955" s="319" t="s">
        <v>190</v>
      </c>
      <c r="DJ955" s="319" t="s">
        <v>190</v>
      </c>
      <c r="DK955" s="319" t="s">
        <v>190</v>
      </c>
      <c r="DL955" s="319" t="s">
        <v>190</v>
      </c>
      <c r="DM955" s="319" t="s">
        <v>190</v>
      </c>
      <c r="DN955" s="319" t="s">
        <v>428</v>
      </c>
      <c r="DO955" s="319" t="s">
        <v>190</v>
      </c>
      <c r="DP955" s="319" t="s">
        <v>428</v>
      </c>
      <c r="DQ955" s="319" t="s">
        <v>428</v>
      </c>
      <c r="DR955" s="319" t="s">
        <v>428</v>
      </c>
      <c r="DS955" s="319" t="s">
        <v>428</v>
      </c>
      <c r="DT955" s="319" t="s">
        <v>428</v>
      </c>
      <c r="DU955" s="319" t="s">
        <v>428</v>
      </c>
      <c r="DV955" s="319" t="s">
        <v>173</v>
      </c>
      <c r="DW955" s="319" t="s">
        <v>428</v>
      </c>
      <c r="DX955" s="319" t="s">
        <v>428</v>
      </c>
      <c r="DY955" s="319" t="s">
        <v>428</v>
      </c>
      <c r="DZ955" s="319" t="s">
        <v>428</v>
      </c>
      <c r="EA955" s="319" t="s">
        <v>428</v>
      </c>
      <c r="EB955" s="319" t="s">
        <v>428</v>
      </c>
      <c r="EC955" s="319" t="s">
        <v>428</v>
      </c>
      <c r="ED955" s="319" t="s">
        <v>428</v>
      </c>
      <c r="EE955" s="319" t="s">
        <v>428</v>
      </c>
      <c r="EF955" s="319" t="s">
        <v>428</v>
      </c>
      <c r="EG955" s="319" t="s">
        <v>428</v>
      </c>
      <c r="EH955" s="319" t="s">
        <v>428</v>
      </c>
      <c r="EI955" s="319" t="s">
        <v>428</v>
      </c>
      <c r="EJ955" s="319" t="s">
        <v>428</v>
      </c>
      <c r="EK955" s="319" t="s">
        <v>428</v>
      </c>
      <c r="EL955" s="319" t="s">
        <v>428</v>
      </c>
      <c r="EM955" s="319" t="s">
        <v>428</v>
      </c>
      <c r="EN955" s="319" t="s">
        <v>190</v>
      </c>
      <c r="EO955" s="319" t="s">
        <v>190</v>
      </c>
      <c r="EP955" s="319" t="s">
        <v>190</v>
      </c>
      <c r="EQ955" s="319" t="s">
        <v>190</v>
      </c>
      <c r="ER955" s="319" t="s">
        <v>190</v>
      </c>
      <c r="ES955" s="319" t="s">
        <v>190</v>
      </c>
      <c r="ET955" s="319" t="s">
        <v>190</v>
      </c>
      <c r="EU955" s="319" t="s">
        <v>190</v>
      </c>
      <c r="EV955" s="319" t="s">
        <v>190</v>
      </c>
      <c r="EW955" s="319" t="s">
        <v>190</v>
      </c>
      <c r="EX955" s="319" t="s">
        <v>190</v>
      </c>
      <c r="EY955" s="319" t="s">
        <v>190</v>
      </c>
      <c r="EZ955" s="319" t="s">
        <v>190</v>
      </c>
      <c r="FA955" s="319" t="s">
        <v>190</v>
      </c>
      <c r="FB955" s="319" t="s">
        <v>428</v>
      </c>
      <c r="FC955" s="319" t="s">
        <v>428</v>
      </c>
      <c r="FD955" s="319" t="s">
        <v>428</v>
      </c>
      <c r="FE955" s="319" t="s">
        <v>428</v>
      </c>
      <c r="FF955" s="319" t="s">
        <v>190</v>
      </c>
      <c r="FG955" s="319" t="s">
        <v>190</v>
      </c>
      <c r="FH955" s="319" t="s">
        <v>190</v>
      </c>
      <c r="FI955" s="319" t="s">
        <v>190</v>
      </c>
      <c r="FJ955" s="319" t="s">
        <v>190</v>
      </c>
      <c r="FK955" s="319" t="s">
        <v>190</v>
      </c>
      <c r="FL955" s="319" t="s">
        <v>190</v>
      </c>
      <c r="FM955" s="319" t="s">
        <v>190</v>
      </c>
      <c r="FN955" s="319" t="s">
        <v>190</v>
      </c>
      <c r="FO955" s="319" t="s">
        <v>190</v>
      </c>
      <c r="FP955" s="319" t="s">
        <v>190</v>
      </c>
      <c r="FQ955" s="319" t="s">
        <v>190</v>
      </c>
      <c r="FR955" s="319" t="s">
        <v>190</v>
      </c>
      <c r="FS955" s="319" t="s">
        <v>190</v>
      </c>
      <c r="FT955" s="319" t="s">
        <v>190</v>
      </c>
      <c r="FU955" s="319" t="s">
        <v>190</v>
      </c>
      <c r="FV955" s="319" t="s">
        <v>190</v>
      </c>
      <c r="FW955" s="319" t="s">
        <v>190</v>
      </c>
      <c r="FX955" s="319" t="s">
        <v>190</v>
      </c>
      <c r="FY955" s="319" t="s">
        <v>190</v>
      </c>
      <c r="FZ955" s="319" t="s">
        <v>190</v>
      </c>
      <c r="GA955" s="319" t="s">
        <v>190</v>
      </c>
      <c r="GB955" s="319" t="s">
        <v>190</v>
      </c>
      <c r="GC955" s="319" t="s">
        <v>190</v>
      </c>
      <c r="GD955" s="319" t="s">
        <v>190</v>
      </c>
      <c r="GE955" s="319" t="s">
        <v>190</v>
      </c>
      <c r="GF955" s="319" t="s">
        <v>190</v>
      </c>
      <c r="GG955" s="319" t="s">
        <v>190</v>
      </c>
      <c r="GH955" s="319" t="s">
        <v>191</v>
      </c>
      <c r="GI955" s="319" t="s">
        <v>190</v>
      </c>
      <c r="GJ955" s="319" t="s">
        <v>191</v>
      </c>
      <c r="GK955" s="319" t="s">
        <v>428</v>
      </c>
      <c r="GL955" s="319" t="s">
        <v>190</v>
      </c>
      <c r="GM955" s="319" t="s">
        <v>190</v>
      </c>
      <c r="GN955" s="319" t="s">
        <v>190</v>
      </c>
      <c r="GO955" s="319" t="s">
        <v>190</v>
      </c>
      <c r="GP955" s="319" t="s">
        <v>190</v>
      </c>
      <c r="GQ955" s="319" t="s">
        <v>190</v>
      </c>
      <c r="GR955" s="319" t="s">
        <v>190</v>
      </c>
      <c r="GS955" s="319" t="s">
        <v>190</v>
      </c>
      <c r="GT955" s="319" t="s">
        <v>190</v>
      </c>
      <c r="GU955" s="319" t="s">
        <v>190</v>
      </c>
      <c r="GV955" s="319" t="s">
        <v>190</v>
      </c>
      <c r="GW955" s="319" t="s">
        <v>190</v>
      </c>
      <c r="GX955" s="319" t="s">
        <v>190</v>
      </c>
      <c r="GY955" s="319" t="s">
        <v>190</v>
      </c>
      <c r="GZ955" s="319" t="s">
        <v>190</v>
      </c>
      <c r="HA955" s="319" t="s">
        <v>190</v>
      </c>
      <c r="HB955" s="319" t="s">
        <v>190</v>
      </c>
      <c r="HC955" s="319" t="s">
        <v>190</v>
      </c>
      <c r="HD955" s="319" t="s">
        <v>190</v>
      </c>
      <c r="HE955" s="319" t="s">
        <v>190</v>
      </c>
      <c r="HF955" s="319" t="s">
        <v>190</v>
      </c>
      <c r="HG955" s="319" t="s">
        <v>190</v>
      </c>
      <c r="HH955" s="319" t="s">
        <v>190</v>
      </c>
      <c r="HI955" s="319" t="s">
        <v>190</v>
      </c>
      <c r="HJ955" s="319" t="s">
        <v>190</v>
      </c>
      <c r="HK955" s="319" t="s">
        <v>190</v>
      </c>
      <c r="HL955" s="319" t="s">
        <v>190</v>
      </c>
      <c r="HM955" s="319" t="s">
        <v>428</v>
      </c>
      <c r="HN955" s="319" t="s">
        <v>428</v>
      </c>
      <c r="HO955" s="319" t="s">
        <v>428</v>
      </c>
      <c r="HP955" s="319" t="s">
        <v>190</v>
      </c>
      <c r="HQ955" s="319" t="s">
        <v>190</v>
      </c>
      <c r="HR955" s="319" t="s">
        <v>190</v>
      </c>
      <c r="HS955" s="319" t="s">
        <v>190</v>
      </c>
      <c r="HT955" s="319" t="s">
        <v>190</v>
      </c>
      <c r="HU955" s="319" t="s">
        <v>190</v>
      </c>
      <c r="HV955" s="319" t="s">
        <v>190</v>
      </c>
      <c r="HW955" s="319" t="s">
        <v>190</v>
      </c>
      <c r="HX955" s="319" t="s">
        <v>190</v>
      </c>
      <c r="HY955" s="319" t="s">
        <v>190</v>
      </c>
      <c r="HZ955" s="319" t="s">
        <v>190</v>
      </c>
      <c r="IA955" s="319" t="s">
        <v>190</v>
      </c>
      <c r="IB955" s="319" t="s">
        <v>190</v>
      </c>
      <c r="IC955" s="319" t="s">
        <v>190</v>
      </c>
      <c r="ID955" s="319" t="s">
        <v>190</v>
      </c>
      <c r="IE955" s="319" t="s">
        <v>190</v>
      </c>
      <c r="IF955" s="319" t="s">
        <v>191</v>
      </c>
      <c r="IG955" s="319" t="s">
        <v>191</v>
      </c>
      <c r="IH955" s="319" t="s">
        <v>191</v>
      </c>
      <c r="II955" s="319" t="s">
        <v>191</v>
      </c>
      <c r="IJ955" s="319" t="s">
        <v>173</v>
      </c>
      <c r="IK955" s="319" t="s">
        <v>173</v>
      </c>
      <c r="IL955" s="319" t="s">
        <v>173</v>
      </c>
      <c r="IM955" s="319" t="s">
        <v>173</v>
      </c>
      <c r="IN955" s="319" t="s">
        <v>173</v>
      </c>
      <c r="IO955" s="319" t="s">
        <v>173</v>
      </c>
      <c r="IP955" s="319" t="s">
        <v>173</v>
      </c>
      <c r="IQ955" s="319" t="s">
        <v>173</v>
      </c>
      <c r="IR955" s="320" t="s">
        <v>173</v>
      </c>
      <c r="IS955" s="320" t="s">
        <v>173</v>
      </c>
      <c r="IT955" s="319" t="s">
        <v>173</v>
      </c>
    </row>
    <row r="956" spans="1:254" s="271" customFormat="1" x14ac:dyDescent="0.25">
      <c r="A956" s="318" t="str">
        <f>HYPERLINK("http://www.ofsted.gov.uk/inspection-reports/find-inspection-report/provider/ELS/145186 ","Ofsted School Webpage")</f>
        <v>Ofsted School Webpage</v>
      </c>
      <c r="B956" s="319">
        <v>145186</v>
      </c>
      <c r="C956" s="319">
        <v>3306035</v>
      </c>
      <c r="D956" s="319" t="s">
        <v>2494</v>
      </c>
      <c r="E956" s="319" t="s">
        <v>167</v>
      </c>
      <c r="F956" s="319" t="s">
        <v>81</v>
      </c>
      <c r="G956" s="319" t="s">
        <v>71</v>
      </c>
      <c r="H956" s="319" t="s">
        <v>71</v>
      </c>
      <c r="I956" s="319" t="s">
        <v>72</v>
      </c>
      <c r="J956" s="319" t="s">
        <v>424</v>
      </c>
      <c r="K956" s="319" t="s">
        <v>437</v>
      </c>
      <c r="L956" s="319" t="s">
        <v>437</v>
      </c>
      <c r="M956" s="319" t="s">
        <v>813</v>
      </c>
      <c r="N956" s="319" t="s">
        <v>2853</v>
      </c>
      <c r="O956" s="319" t="s">
        <v>2495</v>
      </c>
      <c r="P956" s="319">
        <v>3</v>
      </c>
      <c r="Q956" s="319" t="s">
        <v>2766</v>
      </c>
      <c r="R956" s="320" t="s">
        <v>173</v>
      </c>
      <c r="S956" s="321" t="s">
        <v>173</v>
      </c>
      <c r="T956" s="321" t="s">
        <v>173</v>
      </c>
      <c r="U956" s="321" t="s">
        <v>173</v>
      </c>
      <c r="V956" s="319" t="s">
        <v>173</v>
      </c>
      <c r="W956" s="319" t="s">
        <v>173</v>
      </c>
      <c r="X956" s="319" t="s">
        <v>173</v>
      </c>
      <c r="Y956" s="319" t="s">
        <v>173</v>
      </c>
      <c r="Z956" s="319" t="s">
        <v>173</v>
      </c>
      <c r="AA956" s="319" t="s">
        <v>173</v>
      </c>
      <c r="AB956" s="319" t="s">
        <v>173</v>
      </c>
      <c r="AC956" s="319" t="s">
        <v>173</v>
      </c>
      <c r="AD956" s="319" t="s">
        <v>173</v>
      </c>
      <c r="AE956" s="319" t="s">
        <v>173</v>
      </c>
      <c r="AF956" s="319" t="s">
        <v>173</v>
      </c>
      <c r="AG956" s="319" t="s">
        <v>173</v>
      </c>
      <c r="AH956" s="319" t="s">
        <v>173</v>
      </c>
      <c r="AI956" s="319" t="s">
        <v>173</v>
      </c>
      <c r="AJ956" s="319" t="s">
        <v>173</v>
      </c>
      <c r="AK956" s="319" t="s">
        <v>173</v>
      </c>
      <c r="AL956" s="319" t="s">
        <v>173</v>
      </c>
      <c r="AM956" s="319" t="s">
        <v>173</v>
      </c>
      <c r="AN956" s="319" t="s">
        <v>173</v>
      </c>
      <c r="AO956" s="319" t="s">
        <v>173</v>
      </c>
      <c r="AP956" s="319" t="s">
        <v>173</v>
      </c>
      <c r="AQ956" s="319" t="s">
        <v>173</v>
      </c>
      <c r="AR956" s="319" t="s">
        <v>173</v>
      </c>
      <c r="AS956" s="319" t="s">
        <v>173</v>
      </c>
      <c r="AT956" s="319" t="s">
        <v>173</v>
      </c>
      <c r="AU956" s="319" t="s">
        <v>173</v>
      </c>
      <c r="AV956" s="319" t="s">
        <v>173</v>
      </c>
      <c r="AW956" s="319" t="s">
        <v>173</v>
      </c>
      <c r="AX956" s="319" t="s">
        <v>173</v>
      </c>
      <c r="AY956" s="319" t="s">
        <v>173</v>
      </c>
      <c r="AZ956" s="319" t="s">
        <v>173</v>
      </c>
      <c r="BA956" s="319" t="s">
        <v>173</v>
      </c>
      <c r="BB956" s="319" t="s">
        <v>173</v>
      </c>
      <c r="BC956" s="319" t="s">
        <v>173</v>
      </c>
      <c r="BD956" s="319" t="s">
        <v>173</v>
      </c>
      <c r="BE956" s="319" t="s">
        <v>173</v>
      </c>
      <c r="BF956" s="319" t="s">
        <v>173</v>
      </c>
      <c r="BG956" s="319" t="s">
        <v>173</v>
      </c>
      <c r="BH956" s="319" t="s">
        <v>173</v>
      </c>
      <c r="BI956" s="319" t="s">
        <v>173</v>
      </c>
      <c r="BJ956" s="319" t="s">
        <v>173</v>
      </c>
      <c r="BK956" s="319" t="s">
        <v>173</v>
      </c>
      <c r="BL956" s="319" t="s">
        <v>173</v>
      </c>
      <c r="BM956" s="319" t="s">
        <v>173</v>
      </c>
      <c r="BN956" s="319" t="s">
        <v>173</v>
      </c>
      <c r="BO956" s="319" t="s">
        <v>173</v>
      </c>
      <c r="BP956" s="319" t="s">
        <v>173</v>
      </c>
      <c r="BQ956" s="319" t="s">
        <v>173</v>
      </c>
      <c r="BR956" s="319" t="s">
        <v>173</v>
      </c>
      <c r="BS956" s="319" t="s">
        <v>173</v>
      </c>
      <c r="BT956" s="319" t="s">
        <v>173</v>
      </c>
      <c r="BU956" s="319" t="s">
        <v>173</v>
      </c>
      <c r="BV956" s="319" t="s">
        <v>173</v>
      </c>
      <c r="BW956" s="319" t="s">
        <v>173</v>
      </c>
      <c r="BX956" s="319" t="s">
        <v>173</v>
      </c>
      <c r="BY956" s="319" t="s">
        <v>173</v>
      </c>
      <c r="BZ956" s="319" t="s">
        <v>173</v>
      </c>
      <c r="CA956" s="319" t="s">
        <v>173</v>
      </c>
      <c r="CB956" s="319" t="s">
        <v>173</v>
      </c>
      <c r="CC956" s="319" t="s">
        <v>173</v>
      </c>
      <c r="CD956" s="319" t="s">
        <v>173</v>
      </c>
      <c r="CE956" s="319" t="s">
        <v>173</v>
      </c>
      <c r="CF956" s="319" t="s">
        <v>173</v>
      </c>
      <c r="CG956" s="319" t="s">
        <v>173</v>
      </c>
      <c r="CH956" s="319" t="s">
        <v>173</v>
      </c>
      <c r="CI956" s="319" t="s">
        <v>173</v>
      </c>
      <c r="CJ956" s="319" t="s">
        <v>173</v>
      </c>
      <c r="CK956" s="319" t="s">
        <v>173</v>
      </c>
      <c r="CL956" s="319" t="s">
        <v>173</v>
      </c>
      <c r="CM956" s="319" t="s">
        <v>173</v>
      </c>
      <c r="CN956" s="319" t="s">
        <v>173</v>
      </c>
      <c r="CO956" s="319" t="s">
        <v>173</v>
      </c>
      <c r="CP956" s="319" t="s">
        <v>173</v>
      </c>
      <c r="CQ956" s="319" t="s">
        <v>173</v>
      </c>
      <c r="CR956" s="319" t="s">
        <v>173</v>
      </c>
      <c r="CS956" s="319" t="s">
        <v>173</v>
      </c>
      <c r="CT956" s="319" t="s">
        <v>173</v>
      </c>
      <c r="CU956" s="319" t="s">
        <v>173</v>
      </c>
      <c r="CV956" s="319" t="s">
        <v>173</v>
      </c>
      <c r="CW956" s="319" t="s">
        <v>173</v>
      </c>
      <c r="CX956" s="319" t="s">
        <v>173</v>
      </c>
      <c r="CY956" s="319" t="s">
        <v>173</v>
      </c>
      <c r="CZ956" s="319" t="s">
        <v>173</v>
      </c>
      <c r="DA956" s="319" t="s">
        <v>173</v>
      </c>
      <c r="DB956" s="319" t="s">
        <v>173</v>
      </c>
      <c r="DC956" s="319" t="s">
        <v>173</v>
      </c>
      <c r="DD956" s="319" t="s">
        <v>173</v>
      </c>
      <c r="DE956" s="319" t="s">
        <v>173</v>
      </c>
      <c r="DF956" s="319" t="s">
        <v>173</v>
      </c>
      <c r="DG956" s="319" t="s">
        <v>173</v>
      </c>
      <c r="DH956" s="319" t="s">
        <v>173</v>
      </c>
      <c r="DI956" s="319" t="s">
        <v>173</v>
      </c>
      <c r="DJ956" s="319" t="s">
        <v>173</v>
      </c>
      <c r="DK956" s="319" t="s">
        <v>173</v>
      </c>
      <c r="DL956" s="319" t="s">
        <v>173</v>
      </c>
      <c r="DM956" s="319" t="s">
        <v>173</v>
      </c>
      <c r="DN956" s="319" t="s">
        <v>173</v>
      </c>
      <c r="DO956" s="319" t="s">
        <v>173</v>
      </c>
      <c r="DP956" s="319" t="s">
        <v>173</v>
      </c>
      <c r="DQ956" s="319" t="s">
        <v>173</v>
      </c>
      <c r="DR956" s="319" t="s">
        <v>173</v>
      </c>
      <c r="DS956" s="319" t="s">
        <v>173</v>
      </c>
      <c r="DT956" s="319" t="s">
        <v>173</v>
      </c>
      <c r="DU956" s="319" t="s">
        <v>173</v>
      </c>
      <c r="DV956" s="319" t="s">
        <v>173</v>
      </c>
      <c r="DW956" s="319" t="s">
        <v>173</v>
      </c>
      <c r="DX956" s="319" t="s">
        <v>173</v>
      </c>
      <c r="DY956" s="319" t="s">
        <v>173</v>
      </c>
      <c r="DZ956" s="319" t="s">
        <v>173</v>
      </c>
      <c r="EA956" s="319" t="s">
        <v>173</v>
      </c>
      <c r="EB956" s="319" t="s">
        <v>173</v>
      </c>
      <c r="EC956" s="319" t="s">
        <v>173</v>
      </c>
      <c r="ED956" s="319" t="s">
        <v>173</v>
      </c>
      <c r="EE956" s="319" t="s">
        <v>173</v>
      </c>
      <c r="EF956" s="319" t="s">
        <v>173</v>
      </c>
      <c r="EG956" s="319" t="s">
        <v>173</v>
      </c>
      <c r="EH956" s="319" t="s">
        <v>173</v>
      </c>
      <c r="EI956" s="319" t="s">
        <v>173</v>
      </c>
      <c r="EJ956" s="319" t="s">
        <v>173</v>
      </c>
      <c r="EK956" s="319" t="s">
        <v>173</v>
      </c>
      <c r="EL956" s="319" t="s">
        <v>173</v>
      </c>
      <c r="EM956" s="319" t="s">
        <v>173</v>
      </c>
      <c r="EN956" s="319" t="s">
        <v>173</v>
      </c>
      <c r="EO956" s="319" t="s">
        <v>173</v>
      </c>
      <c r="EP956" s="319" t="s">
        <v>173</v>
      </c>
      <c r="EQ956" s="319" t="s">
        <v>173</v>
      </c>
      <c r="ER956" s="319" t="s">
        <v>173</v>
      </c>
      <c r="ES956" s="319" t="s">
        <v>173</v>
      </c>
      <c r="ET956" s="319" t="s">
        <v>173</v>
      </c>
      <c r="EU956" s="319" t="s">
        <v>173</v>
      </c>
      <c r="EV956" s="319" t="s">
        <v>173</v>
      </c>
      <c r="EW956" s="319" t="s">
        <v>173</v>
      </c>
      <c r="EX956" s="319" t="s">
        <v>173</v>
      </c>
      <c r="EY956" s="319" t="s">
        <v>173</v>
      </c>
      <c r="EZ956" s="319" t="s">
        <v>173</v>
      </c>
      <c r="FA956" s="319" t="s">
        <v>173</v>
      </c>
      <c r="FB956" s="319" t="s">
        <v>173</v>
      </c>
      <c r="FC956" s="319" t="s">
        <v>173</v>
      </c>
      <c r="FD956" s="319" t="s">
        <v>173</v>
      </c>
      <c r="FE956" s="319" t="s">
        <v>173</v>
      </c>
      <c r="FF956" s="319" t="s">
        <v>173</v>
      </c>
      <c r="FG956" s="319" t="s">
        <v>173</v>
      </c>
      <c r="FH956" s="319" t="s">
        <v>173</v>
      </c>
      <c r="FI956" s="319" t="s">
        <v>173</v>
      </c>
      <c r="FJ956" s="319" t="s">
        <v>173</v>
      </c>
      <c r="FK956" s="319" t="s">
        <v>173</v>
      </c>
      <c r="FL956" s="319" t="s">
        <v>173</v>
      </c>
      <c r="FM956" s="319" t="s">
        <v>173</v>
      </c>
      <c r="FN956" s="319" t="s">
        <v>173</v>
      </c>
      <c r="FO956" s="319" t="s">
        <v>173</v>
      </c>
      <c r="FP956" s="319" t="s">
        <v>173</v>
      </c>
      <c r="FQ956" s="319" t="s">
        <v>173</v>
      </c>
      <c r="FR956" s="319" t="s">
        <v>173</v>
      </c>
      <c r="FS956" s="319" t="s">
        <v>173</v>
      </c>
      <c r="FT956" s="319" t="s">
        <v>173</v>
      </c>
      <c r="FU956" s="319" t="s">
        <v>173</v>
      </c>
      <c r="FV956" s="319" t="s">
        <v>173</v>
      </c>
      <c r="FW956" s="319" t="s">
        <v>173</v>
      </c>
      <c r="FX956" s="319" t="s">
        <v>173</v>
      </c>
      <c r="FY956" s="319" t="s">
        <v>173</v>
      </c>
      <c r="FZ956" s="319" t="s">
        <v>173</v>
      </c>
      <c r="GA956" s="319" t="s">
        <v>173</v>
      </c>
      <c r="GB956" s="319" t="s">
        <v>173</v>
      </c>
      <c r="GC956" s="319" t="s">
        <v>173</v>
      </c>
      <c r="GD956" s="319" t="s">
        <v>173</v>
      </c>
      <c r="GE956" s="319" t="s">
        <v>173</v>
      </c>
      <c r="GF956" s="319" t="s">
        <v>173</v>
      </c>
      <c r="GG956" s="319" t="s">
        <v>173</v>
      </c>
      <c r="GH956" s="319" t="s">
        <v>173</v>
      </c>
      <c r="GI956" s="319" t="s">
        <v>173</v>
      </c>
      <c r="GJ956" s="319" t="s">
        <v>173</v>
      </c>
      <c r="GK956" s="319" t="s">
        <v>173</v>
      </c>
      <c r="GL956" s="319" t="s">
        <v>173</v>
      </c>
      <c r="GM956" s="319" t="s">
        <v>173</v>
      </c>
      <c r="GN956" s="319" t="s">
        <v>173</v>
      </c>
      <c r="GO956" s="319" t="s">
        <v>173</v>
      </c>
      <c r="GP956" s="319" t="s">
        <v>173</v>
      </c>
      <c r="GQ956" s="319" t="s">
        <v>173</v>
      </c>
      <c r="GR956" s="319" t="s">
        <v>173</v>
      </c>
      <c r="GS956" s="319" t="s">
        <v>173</v>
      </c>
      <c r="GT956" s="319" t="s">
        <v>173</v>
      </c>
      <c r="GU956" s="319" t="s">
        <v>173</v>
      </c>
      <c r="GV956" s="319" t="s">
        <v>173</v>
      </c>
      <c r="GW956" s="319" t="s">
        <v>173</v>
      </c>
      <c r="GX956" s="319" t="s">
        <v>173</v>
      </c>
      <c r="GY956" s="319" t="s">
        <v>173</v>
      </c>
      <c r="GZ956" s="319" t="s">
        <v>173</v>
      </c>
      <c r="HA956" s="319" t="s">
        <v>173</v>
      </c>
      <c r="HB956" s="319" t="s">
        <v>173</v>
      </c>
      <c r="HC956" s="319" t="s">
        <v>173</v>
      </c>
      <c r="HD956" s="319" t="s">
        <v>173</v>
      </c>
      <c r="HE956" s="319" t="s">
        <v>173</v>
      </c>
      <c r="HF956" s="319" t="s">
        <v>173</v>
      </c>
      <c r="HG956" s="319" t="s">
        <v>173</v>
      </c>
      <c r="HH956" s="319" t="s">
        <v>173</v>
      </c>
      <c r="HI956" s="319" t="s">
        <v>173</v>
      </c>
      <c r="HJ956" s="319" t="s">
        <v>173</v>
      </c>
      <c r="HK956" s="319" t="s">
        <v>173</v>
      </c>
      <c r="HL956" s="319" t="s">
        <v>173</v>
      </c>
      <c r="HM956" s="319" t="s">
        <v>173</v>
      </c>
      <c r="HN956" s="319" t="s">
        <v>173</v>
      </c>
      <c r="HO956" s="319" t="s">
        <v>173</v>
      </c>
      <c r="HP956" s="319" t="s">
        <v>173</v>
      </c>
      <c r="HQ956" s="319" t="s">
        <v>173</v>
      </c>
      <c r="HR956" s="319" t="s">
        <v>173</v>
      </c>
      <c r="HS956" s="319" t="s">
        <v>173</v>
      </c>
      <c r="HT956" s="319" t="s">
        <v>173</v>
      </c>
      <c r="HU956" s="319" t="s">
        <v>173</v>
      </c>
      <c r="HV956" s="319" t="s">
        <v>173</v>
      </c>
      <c r="HW956" s="319" t="s">
        <v>173</v>
      </c>
      <c r="HX956" s="319" t="s">
        <v>173</v>
      </c>
      <c r="HY956" s="319" t="s">
        <v>173</v>
      </c>
      <c r="HZ956" s="319" t="s">
        <v>173</v>
      </c>
      <c r="IA956" s="319" t="s">
        <v>173</v>
      </c>
      <c r="IB956" s="319" t="s">
        <v>173</v>
      </c>
      <c r="IC956" s="319" t="s">
        <v>173</v>
      </c>
      <c r="ID956" s="319" t="s">
        <v>173</v>
      </c>
      <c r="IE956" s="319" t="s">
        <v>173</v>
      </c>
      <c r="IF956" s="319" t="s">
        <v>173</v>
      </c>
      <c r="IG956" s="319" t="s">
        <v>173</v>
      </c>
      <c r="IH956" s="319" t="s">
        <v>173</v>
      </c>
      <c r="II956" s="319" t="s">
        <v>173</v>
      </c>
      <c r="IJ956" s="319" t="s">
        <v>173</v>
      </c>
      <c r="IK956" s="319" t="s">
        <v>173</v>
      </c>
      <c r="IL956" s="319" t="s">
        <v>173</v>
      </c>
      <c r="IM956" s="319" t="s">
        <v>173</v>
      </c>
      <c r="IN956" s="319" t="s">
        <v>173</v>
      </c>
      <c r="IO956" s="319" t="s">
        <v>173</v>
      </c>
      <c r="IP956" s="319" t="s">
        <v>173</v>
      </c>
      <c r="IQ956" s="321" t="s">
        <v>173</v>
      </c>
      <c r="IR956" s="320" t="s">
        <v>173</v>
      </c>
      <c r="IS956" s="322" t="s">
        <v>173</v>
      </c>
      <c r="IT956" s="319" t="s">
        <v>173</v>
      </c>
    </row>
    <row r="957" spans="1:254" s="271" customFormat="1" x14ac:dyDescent="0.25">
      <c r="A957" s="318" t="str">
        <f>HYPERLINK("http://www.ofsted.gov.uk/inspection-reports/find-inspection-report/provider/ELS/145187 ","Ofsted School Webpage")</f>
        <v>Ofsted School Webpage</v>
      </c>
      <c r="B957" s="319">
        <v>145187</v>
      </c>
      <c r="C957" s="319">
        <v>3596002</v>
      </c>
      <c r="D957" s="319" t="s">
        <v>430</v>
      </c>
      <c r="E957" s="319" t="s">
        <v>167</v>
      </c>
      <c r="F957" s="319" t="s">
        <v>81</v>
      </c>
      <c r="G957" s="319" t="s">
        <v>81</v>
      </c>
      <c r="H957" s="319" t="s">
        <v>81</v>
      </c>
      <c r="I957" s="319" t="s">
        <v>78</v>
      </c>
      <c r="J957" s="319" t="s">
        <v>424</v>
      </c>
      <c r="K957" s="319" t="s">
        <v>431</v>
      </c>
      <c r="L957" s="319" t="s">
        <v>431</v>
      </c>
      <c r="M957" s="319" t="s">
        <v>432</v>
      </c>
      <c r="N957" s="319" t="s">
        <v>432</v>
      </c>
      <c r="O957" s="319" t="s">
        <v>433</v>
      </c>
      <c r="P957" s="319">
        <v>10</v>
      </c>
      <c r="Q957" s="319" t="s">
        <v>2766</v>
      </c>
      <c r="R957" s="320">
        <v>10053740</v>
      </c>
      <c r="S957" s="321">
        <v>43354</v>
      </c>
      <c r="T957" s="321">
        <v>43356</v>
      </c>
      <c r="U957" s="321">
        <v>43378</v>
      </c>
      <c r="V957" s="319" t="s">
        <v>435</v>
      </c>
      <c r="W957" s="319" t="s">
        <v>2767</v>
      </c>
      <c r="X957" s="319">
        <v>2</v>
      </c>
      <c r="Y957" s="319" t="s">
        <v>173</v>
      </c>
      <c r="Z957" s="319" t="s">
        <v>173</v>
      </c>
      <c r="AA957" s="319" t="s">
        <v>173</v>
      </c>
      <c r="AB957" s="319">
        <v>2</v>
      </c>
      <c r="AC957" s="319" t="s">
        <v>169</v>
      </c>
      <c r="AD957" s="319" t="s">
        <v>173</v>
      </c>
      <c r="AE957" s="319" t="s">
        <v>173</v>
      </c>
      <c r="AF957" s="319" t="s">
        <v>427</v>
      </c>
      <c r="AG957" s="319" t="s">
        <v>171</v>
      </c>
      <c r="AH957" s="319" t="s">
        <v>190</v>
      </c>
      <c r="AI957" s="319" t="s">
        <v>190</v>
      </c>
      <c r="AJ957" s="319" t="s">
        <v>190</v>
      </c>
      <c r="AK957" s="319" t="s">
        <v>190</v>
      </c>
      <c r="AL957" s="319" t="s">
        <v>190</v>
      </c>
      <c r="AM957" s="319" t="s">
        <v>190</v>
      </c>
      <c r="AN957" s="319" t="s">
        <v>190</v>
      </c>
      <c r="AO957" s="319" t="s">
        <v>190</v>
      </c>
      <c r="AP957" s="319" t="s">
        <v>190</v>
      </c>
      <c r="AQ957" s="319" t="s">
        <v>190</v>
      </c>
      <c r="AR957" s="319" t="s">
        <v>190</v>
      </c>
      <c r="AS957" s="319" t="s">
        <v>190</v>
      </c>
      <c r="AT957" s="319" t="s">
        <v>190</v>
      </c>
      <c r="AU957" s="319" t="s">
        <v>190</v>
      </c>
      <c r="AV957" s="319" t="s">
        <v>190</v>
      </c>
      <c r="AW957" s="319" t="s">
        <v>190</v>
      </c>
      <c r="AX957" s="319" t="s">
        <v>428</v>
      </c>
      <c r="AY957" s="319" t="s">
        <v>190</v>
      </c>
      <c r="AZ957" s="319" t="s">
        <v>190</v>
      </c>
      <c r="BA957" s="319" t="s">
        <v>190</v>
      </c>
      <c r="BB957" s="319" t="s">
        <v>190</v>
      </c>
      <c r="BC957" s="319" t="s">
        <v>190</v>
      </c>
      <c r="BD957" s="319" t="s">
        <v>190</v>
      </c>
      <c r="BE957" s="319" t="s">
        <v>190</v>
      </c>
      <c r="BF957" s="319" t="s">
        <v>428</v>
      </c>
      <c r="BG957" s="319" t="s">
        <v>428</v>
      </c>
      <c r="BH957" s="319" t="s">
        <v>190</v>
      </c>
      <c r="BI957" s="319" t="s">
        <v>190</v>
      </c>
      <c r="BJ957" s="319" t="s">
        <v>190</v>
      </c>
      <c r="BK957" s="319" t="s">
        <v>190</v>
      </c>
      <c r="BL957" s="319" t="s">
        <v>190</v>
      </c>
      <c r="BM957" s="319" t="s">
        <v>190</v>
      </c>
      <c r="BN957" s="319" t="s">
        <v>190</v>
      </c>
      <c r="BO957" s="319" t="s">
        <v>190</v>
      </c>
      <c r="BP957" s="319" t="s">
        <v>190</v>
      </c>
      <c r="BQ957" s="319" t="s">
        <v>190</v>
      </c>
      <c r="BR957" s="319" t="s">
        <v>190</v>
      </c>
      <c r="BS957" s="319" t="s">
        <v>190</v>
      </c>
      <c r="BT957" s="319" t="s">
        <v>190</v>
      </c>
      <c r="BU957" s="319" t="s">
        <v>190</v>
      </c>
      <c r="BV957" s="319" t="s">
        <v>190</v>
      </c>
      <c r="BW957" s="319" t="s">
        <v>190</v>
      </c>
      <c r="BX957" s="319" t="s">
        <v>190</v>
      </c>
      <c r="BY957" s="319" t="s">
        <v>190</v>
      </c>
      <c r="BZ957" s="319" t="s">
        <v>190</v>
      </c>
      <c r="CA957" s="319" t="s">
        <v>190</v>
      </c>
      <c r="CB957" s="319" t="s">
        <v>190</v>
      </c>
      <c r="CC957" s="319" t="s">
        <v>190</v>
      </c>
      <c r="CD957" s="319" t="s">
        <v>190</v>
      </c>
      <c r="CE957" s="319" t="s">
        <v>190</v>
      </c>
      <c r="CF957" s="319" t="s">
        <v>190</v>
      </c>
      <c r="CG957" s="319" t="s">
        <v>190</v>
      </c>
      <c r="CH957" s="319" t="s">
        <v>190</v>
      </c>
      <c r="CI957" s="319" t="s">
        <v>190</v>
      </c>
      <c r="CJ957" s="319" t="s">
        <v>190</v>
      </c>
      <c r="CK957" s="319" t="s">
        <v>190</v>
      </c>
      <c r="CL957" s="319" t="s">
        <v>190</v>
      </c>
      <c r="CM957" s="319" t="s">
        <v>190</v>
      </c>
      <c r="CN957" s="319" t="s">
        <v>428</v>
      </c>
      <c r="CO957" s="319" t="s">
        <v>428</v>
      </c>
      <c r="CP957" s="319" t="s">
        <v>428</v>
      </c>
      <c r="CQ957" s="319" t="s">
        <v>190</v>
      </c>
      <c r="CR957" s="319" t="s">
        <v>190</v>
      </c>
      <c r="CS957" s="319" t="s">
        <v>190</v>
      </c>
      <c r="CT957" s="319" t="s">
        <v>190</v>
      </c>
      <c r="CU957" s="319" t="s">
        <v>190</v>
      </c>
      <c r="CV957" s="319" t="s">
        <v>190</v>
      </c>
      <c r="CW957" s="319" t="s">
        <v>190</v>
      </c>
      <c r="CX957" s="319" t="s">
        <v>190</v>
      </c>
      <c r="CY957" s="319" t="s">
        <v>190</v>
      </c>
      <c r="CZ957" s="319" t="s">
        <v>190</v>
      </c>
      <c r="DA957" s="319" t="s">
        <v>190</v>
      </c>
      <c r="DB957" s="319" t="s">
        <v>190</v>
      </c>
      <c r="DC957" s="319" t="s">
        <v>190</v>
      </c>
      <c r="DD957" s="319" t="s">
        <v>190</v>
      </c>
      <c r="DE957" s="319" t="s">
        <v>190</v>
      </c>
      <c r="DF957" s="319" t="s">
        <v>190</v>
      </c>
      <c r="DG957" s="319" t="s">
        <v>190</v>
      </c>
      <c r="DH957" s="319" t="s">
        <v>190</v>
      </c>
      <c r="DI957" s="319" t="s">
        <v>190</v>
      </c>
      <c r="DJ957" s="319" t="s">
        <v>190</v>
      </c>
      <c r="DK957" s="319" t="s">
        <v>190</v>
      </c>
      <c r="DL957" s="319" t="s">
        <v>190</v>
      </c>
      <c r="DM957" s="319" t="s">
        <v>190</v>
      </c>
      <c r="DN957" s="319" t="s">
        <v>428</v>
      </c>
      <c r="DO957" s="319" t="s">
        <v>190</v>
      </c>
      <c r="DP957" s="319" t="s">
        <v>428</v>
      </c>
      <c r="DQ957" s="319" t="s">
        <v>428</v>
      </c>
      <c r="DR957" s="319" t="s">
        <v>428</v>
      </c>
      <c r="DS957" s="319" t="s">
        <v>428</v>
      </c>
      <c r="DT957" s="319" t="s">
        <v>428</v>
      </c>
      <c r="DU957" s="319" t="s">
        <v>428</v>
      </c>
      <c r="DV957" s="319" t="s">
        <v>173</v>
      </c>
      <c r="DW957" s="319" t="s">
        <v>428</v>
      </c>
      <c r="DX957" s="319" t="s">
        <v>428</v>
      </c>
      <c r="DY957" s="319" t="s">
        <v>428</v>
      </c>
      <c r="DZ957" s="319" t="s">
        <v>428</v>
      </c>
      <c r="EA957" s="319" t="s">
        <v>428</v>
      </c>
      <c r="EB957" s="319" t="s">
        <v>428</v>
      </c>
      <c r="EC957" s="319" t="s">
        <v>428</v>
      </c>
      <c r="ED957" s="319" t="s">
        <v>428</v>
      </c>
      <c r="EE957" s="319" t="s">
        <v>190</v>
      </c>
      <c r="EF957" s="319" t="s">
        <v>190</v>
      </c>
      <c r="EG957" s="319" t="s">
        <v>190</v>
      </c>
      <c r="EH957" s="319" t="s">
        <v>190</v>
      </c>
      <c r="EI957" s="319" t="s">
        <v>190</v>
      </c>
      <c r="EJ957" s="319" t="s">
        <v>190</v>
      </c>
      <c r="EK957" s="319" t="s">
        <v>190</v>
      </c>
      <c r="EL957" s="319" t="s">
        <v>190</v>
      </c>
      <c r="EM957" s="319" t="s">
        <v>190</v>
      </c>
      <c r="EN957" s="319" t="s">
        <v>190</v>
      </c>
      <c r="EO957" s="319" t="s">
        <v>190</v>
      </c>
      <c r="EP957" s="319" t="s">
        <v>190</v>
      </c>
      <c r="EQ957" s="319" t="s">
        <v>190</v>
      </c>
      <c r="ER957" s="319" t="s">
        <v>190</v>
      </c>
      <c r="ES957" s="319" t="s">
        <v>190</v>
      </c>
      <c r="ET957" s="319" t="s">
        <v>190</v>
      </c>
      <c r="EU957" s="319" t="s">
        <v>190</v>
      </c>
      <c r="EV957" s="319" t="s">
        <v>190</v>
      </c>
      <c r="EW957" s="319" t="s">
        <v>190</v>
      </c>
      <c r="EX957" s="319" t="s">
        <v>190</v>
      </c>
      <c r="EY957" s="319" t="s">
        <v>190</v>
      </c>
      <c r="EZ957" s="319" t="s">
        <v>190</v>
      </c>
      <c r="FA957" s="319" t="s">
        <v>428</v>
      </c>
      <c r="FB957" s="319" t="s">
        <v>428</v>
      </c>
      <c r="FC957" s="319" t="s">
        <v>428</v>
      </c>
      <c r="FD957" s="319" t="s">
        <v>428</v>
      </c>
      <c r="FE957" s="319" t="s">
        <v>428</v>
      </c>
      <c r="FF957" s="319" t="s">
        <v>428</v>
      </c>
      <c r="FG957" s="319" t="s">
        <v>428</v>
      </c>
      <c r="FH957" s="319" t="s">
        <v>190</v>
      </c>
      <c r="FI957" s="319" t="s">
        <v>428</v>
      </c>
      <c r="FJ957" s="319" t="s">
        <v>429</v>
      </c>
      <c r="FK957" s="319" t="s">
        <v>428</v>
      </c>
      <c r="FL957" s="319" t="s">
        <v>190</v>
      </c>
      <c r="FM957" s="319" t="s">
        <v>190</v>
      </c>
      <c r="FN957" s="319" t="s">
        <v>190</v>
      </c>
      <c r="FO957" s="319" t="s">
        <v>190</v>
      </c>
      <c r="FP957" s="319" t="s">
        <v>190</v>
      </c>
      <c r="FQ957" s="319" t="s">
        <v>190</v>
      </c>
      <c r="FR957" s="319" t="s">
        <v>190</v>
      </c>
      <c r="FS957" s="319" t="s">
        <v>428</v>
      </c>
      <c r="FT957" s="319" t="s">
        <v>190</v>
      </c>
      <c r="FU957" s="319" t="s">
        <v>190</v>
      </c>
      <c r="FV957" s="319" t="s">
        <v>190</v>
      </c>
      <c r="FW957" s="319" t="s">
        <v>190</v>
      </c>
      <c r="FX957" s="319" t="s">
        <v>190</v>
      </c>
      <c r="FY957" s="319" t="s">
        <v>190</v>
      </c>
      <c r="FZ957" s="319" t="s">
        <v>190</v>
      </c>
      <c r="GA957" s="319" t="s">
        <v>190</v>
      </c>
      <c r="GB957" s="319" t="s">
        <v>190</v>
      </c>
      <c r="GC957" s="319" t="s">
        <v>190</v>
      </c>
      <c r="GD957" s="319" t="s">
        <v>190</v>
      </c>
      <c r="GE957" s="319" t="s">
        <v>190</v>
      </c>
      <c r="GF957" s="319" t="s">
        <v>190</v>
      </c>
      <c r="GG957" s="319" t="s">
        <v>190</v>
      </c>
      <c r="GH957" s="319" t="s">
        <v>190</v>
      </c>
      <c r="GI957" s="319" t="s">
        <v>190</v>
      </c>
      <c r="GJ957" s="319" t="s">
        <v>190</v>
      </c>
      <c r="GK957" s="319" t="s">
        <v>428</v>
      </c>
      <c r="GL957" s="319" t="s">
        <v>190</v>
      </c>
      <c r="GM957" s="319" t="s">
        <v>190</v>
      </c>
      <c r="GN957" s="319" t="s">
        <v>190</v>
      </c>
      <c r="GO957" s="319" t="s">
        <v>190</v>
      </c>
      <c r="GP957" s="319" t="s">
        <v>428</v>
      </c>
      <c r="GQ957" s="319" t="s">
        <v>428</v>
      </c>
      <c r="GR957" s="319" t="s">
        <v>190</v>
      </c>
      <c r="GS957" s="319" t="s">
        <v>190</v>
      </c>
      <c r="GT957" s="319" t="s">
        <v>428</v>
      </c>
      <c r="GU957" s="319" t="s">
        <v>428</v>
      </c>
      <c r="GV957" s="319" t="s">
        <v>190</v>
      </c>
      <c r="GW957" s="319" t="s">
        <v>190</v>
      </c>
      <c r="GX957" s="319" t="s">
        <v>190</v>
      </c>
      <c r="GY957" s="319" t="s">
        <v>190</v>
      </c>
      <c r="GZ957" s="319" t="s">
        <v>190</v>
      </c>
      <c r="HA957" s="319" t="s">
        <v>190</v>
      </c>
      <c r="HB957" s="319" t="s">
        <v>190</v>
      </c>
      <c r="HC957" s="319" t="s">
        <v>190</v>
      </c>
      <c r="HD957" s="319" t="s">
        <v>190</v>
      </c>
      <c r="HE957" s="319" t="s">
        <v>190</v>
      </c>
      <c r="HF957" s="319" t="s">
        <v>190</v>
      </c>
      <c r="HG957" s="319" t="s">
        <v>190</v>
      </c>
      <c r="HH957" s="319" t="s">
        <v>190</v>
      </c>
      <c r="HI957" s="319" t="s">
        <v>190</v>
      </c>
      <c r="HJ957" s="319" t="s">
        <v>190</v>
      </c>
      <c r="HK957" s="319" t="s">
        <v>428</v>
      </c>
      <c r="HL957" s="319" t="s">
        <v>428</v>
      </c>
      <c r="HM957" s="319" t="s">
        <v>428</v>
      </c>
      <c r="HN957" s="319" t="s">
        <v>428</v>
      </c>
      <c r="HO957" s="319" t="s">
        <v>428</v>
      </c>
      <c r="HP957" s="319" t="s">
        <v>190</v>
      </c>
      <c r="HQ957" s="319" t="s">
        <v>190</v>
      </c>
      <c r="HR957" s="319" t="s">
        <v>190</v>
      </c>
      <c r="HS957" s="319" t="s">
        <v>190</v>
      </c>
      <c r="HT957" s="319" t="s">
        <v>190</v>
      </c>
      <c r="HU957" s="319" t="s">
        <v>190</v>
      </c>
      <c r="HV957" s="319" t="s">
        <v>190</v>
      </c>
      <c r="HW957" s="319" t="s">
        <v>190</v>
      </c>
      <c r="HX957" s="319" t="s">
        <v>190</v>
      </c>
      <c r="HY957" s="319" t="s">
        <v>190</v>
      </c>
      <c r="HZ957" s="319" t="s">
        <v>190</v>
      </c>
      <c r="IA957" s="319" t="s">
        <v>190</v>
      </c>
      <c r="IB957" s="319" t="s">
        <v>190</v>
      </c>
      <c r="IC957" s="319" t="s">
        <v>190</v>
      </c>
      <c r="ID957" s="319" t="s">
        <v>190</v>
      </c>
      <c r="IE957" s="319" t="s">
        <v>190</v>
      </c>
      <c r="IF957" s="319" t="s">
        <v>190</v>
      </c>
      <c r="IG957" s="319" t="s">
        <v>190</v>
      </c>
      <c r="IH957" s="319" t="s">
        <v>190</v>
      </c>
      <c r="II957" s="319" t="s">
        <v>190</v>
      </c>
      <c r="IJ957" s="319" t="s">
        <v>173</v>
      </c>
      <c r="IK957" s="319" t="s">
        <v>173</v>
      </c>
      <c r="IL957" s="319" t="s">
        <v>173</v>
      </c>
      <c r="IM957" s="319" t="s">
        <v>173</v>
      </c>
      <c r="IN957" s="319" t="s">
        <v>173</v>
      </c>
      <c r="IO957" s="319" t="s">
        <v>173</v>
      </c>
      <c r="IP957" s="319" t="s">
        <v>173</v>
      </c>
      <c r="IQ957" s="321" t="s">
        <v>173</v>
      </c>
      <c r="IR957" s="320" t="s">
        <v>173</v>
      </c>
      <c r="IS957" s="322" t="s">
        <v>173</v>
      </c>
      <c r="IT957" s="319" t="s">
        <v>173</v>
      </c>
    </row>
    <row r="958" spans="1:254" s="271" customFormat="1" x14ac:dyDescent="0.25">
      <c r="A958" s="318" t="str">
        <f>HYPERLINK("http://www.ofsted.gov.uk/inspection-reports/find-inspection-report/provider/ELS/145192 ","Ofsted School Webpage")</f>
        <v>Ofsted School Webpage</v>
      </c>
      <c r="B958" s="319">
        <v>145192</v>
      </c>
      <c r="C958" s="319">
        <v>3116002</v>
      </c>
      <c r="D958" s="319" t="s">
        <v>634</v>
      </c>
      <c r="E958" s="319" t="s">
        <v>167</v>
      </c>
      <c r="F958" s="319" t="s">
        <v>81</v>
      </c>
      <c r="G958" s="319" t="s">
        <v>81</v>
      </c>
      <c r="H958" s="319" t="s">
        <v>81</v>
      </c>
      <c r="I958" s="319" t="s">
        <v>78</v>
      </c>
      <c r="J958" s="319" t="s">
        <v>424</v>
      </c>
      <c r="K958" s="319" t="s">
        <v>441</v>
      </c>
      <c r="L958" s="319" t="s">
        <v>441</v>
      </c>
      <c r="M958" s="319" t="s">
        <v>635</v>
      </c>
      <c r="N958" s="319" t="s">
        <v>2843</v>
      </c>
      <c r="O958" s="319" t="s">
        <v>636</v>
      </c>
      <c r="P958" s="319">
        <v>81</v>
      </c>
      <c r="Q958" s="319" t="s">
        <v>2766</v>
      </c>
      <c r="R958" s="320">
        <v>10054305</v>
      </c>
      <c r="S958" s="321">
        <v>43411</v>
      </c>
      <c r="T958" s="321">
        <v>43413</v>
      </c>
      <c r="U958" s="321">
        <v>43445</v>
      </c>
      <c r="V958" s="319" t="s">
        <v>435</v>
      </c>
      <c r="W958" s="319" t="s">
        <v>2767</v>
      </c>
      <c r="X958" s="319">
        <v>2</v>
      </c>
      <c r="Y958" s="319" t="s">
        <v>173</v>
      </c>
      <c r="Z958" s="319" t="s">
        <v>173</v>
      </c>
      <c r="AA958" s="319" t="s">
        <v>173</v>
      </c>
      <c r="AB958" s="319">
        <v>2</v>
      </c>
      <c r="AC958" s="319" t="s">
        <v>169</v>
      </c>
      <c r="AD958" s="319" t="s">
        <v>173</v>
      </c>
      <c r="AE958" s="319" t="s">
        <v>173</v>
      </c>
      <c r="AF958" s="319" t="s">
        <v>427</v>
      </c>
      <c r="AG958" s="319" t="s">
        <v>171</v>
      </c>
      <c r="AH958" s="319" t="s">
        <v>190</v>
      </c>
      <c r="AI958" s="319" t="s">
        <v>190</v>
      </c>
      <c r="AJ958" s="319" t="s">
        <v>190</v>
      </c>
      <c r="AK958" s="319" t="s">
        <v>190</v>
      </c>
      <c r="AL958" s="319" t="s">
        <v>190</v>
      </c>
      <c r="AM958" s="319" t="s">
        <v>190</v>
      </c>
      <c r="AN958" s="319" t="s">
        <v>190</v>
      </c>
      <c r="AO958" s="319" t="s">
        <v>190</v>
      </c>
      <c r="AP958" s="319" t="s">
        <v>190</v>
      </c>
      <c r="AQ958" s="319" t="s">
        <v>190</v>
      </c>
      <c r="AR958" s="319" t="s">
        <v>190</v>
      </c>
      <c r="AS958" s="319" t="s">
        <v>190</v>
      </c>
      <c r="AT958" s="319" t="s">
        <v>190</v>
      </c>
      <c r="AU958" s="319" t="s">
        <v>190</v>
      </c>
      <c r="AV958" s="319" t="s">
        <v>190</v>
      </c>
      <c r="AW958" s="319" t="s">
        <v>190</v>
      </c>
      <c r="AX958" s="319" t="s">
        <v>428</v>
      </c>
      <c r="AY958" s="319" t="s">
        <v>190</v>
      </c>
      <c r="AZ958" s="319" t="s">
        <v>190</v>
      </c>
      <c r="BA958" s="319" t="s">
        <v>190</v>
      </c>
      <c r="BB958" s="319" t="s">
        <v>190</v>
      </c>
      <c r="BC958" s="319" t="s">
        <v>190</v>
      </c>
      <c r="BD958" s="319" t="s">
        <v>190</v>
      </c>
      <c r="BE958" s="319" t="s">
        <v>190</v>
      </c>
      <c r="BF958" s="319" t="s">
        <v>428</v>
      </c>
      <c r="BG958" s="319" t="s">
        <v>428</v>
      </c>
      <c r="BH958" s="319" t="s">
        <v>190</v>
      </c>
      <c r="BI958" s="319" t="s">
        <v>190</v>
      </c>
      <c r="BJ958" s="319" t="s">
        <v>190</v>
      </c>
      <c r="BK958" s="319" t="s">
        <v>190</v>
      </c>
      <c r="BL958" s="319" t="s">
        <v>190</v>
      </c>
      <c r="BM958" s="319" t="s">
        <v>190</v>
      </c>
      <c r="BN958" s="319" t="s">
        <v>190</v>
      </c>
      <c r="BO958" s="319" t="s">
        <v>190</v>
      </c>
      <c r="BP958" s="319" t="s">
        <v>190</v>
      </c>
      <c r="BQ958" s="319" t="s">
        <v>190</v>
      </c>
      <c r="BR958" s="319" t="s">
        <v>190</v>
      </c>
      <c r="BS958" s="319" t="s">
        <v>190</v>
      </c>
      <c r="BT958" s="319" t="s">
        <v>190</v>
      </c>
      <c r="BU958" s="319" t="s">
        <v>190</v>
      </c>
      <c r="BV958" s="319" t="s">
        <v>190</v>
      </c>
      <c r="BW958" s="319" t="s">
        <v>190</v>
      </c>
      <c r="BX958" s="319" t="s">
        <v>190</v>
      </c>
      <c r="BY958" s="319" t="s">
        <v>190</v>
      </c>
      <c r="BZ958" s="319" t="s">
        <v>190</v>
      </c>
      <c r="CA958" s="319" t="s">
        <v>190</v>
      </c>
      <c r="CB958" s="319" t="s">
        <v>190</v>
      </c>
      <c r="CC958" s="319" t="s">
        <v>190</v>
      </c>
      <c r="CD958" s="319" t="s">
        <v>190</v>
      </c>
      <c r="CE958" s="319" t="s">
        <v>190</v>
      </c>
      <c r="CF958" s="319" t="s">
        <v>190</v>
      </c>
      <c r="CG958" s="319" t="s">
        <v>190</v>
      </c>
      <c r="CH958" s="319" t="s">
        <v>190</v>
      </c>
      <c r="CI958" s="319" t="s">
        <v>190</v>
      </c>
      <c r="CJ958" s="319" t="s">
        <v>190</v>
      </c>
      <c r="CK958" s="319" t="s">
        <v>190</v>
      </c>
      <c r="CL958" s="319" t="s">
        <v>190</v>
      </c>
      <c r="CM958" s="319" t="s">
        <v>190</v>
      </c>
      <c r="CN958" s="319" t="s">
        <v>428</v>
      </c>
      <c r="CO958" s="319" t="s">
        <v>428</v>
      </c>
      <c r="CP958" s="319" t="s">
        <v>428</v>
      </c>
      <c r="CQ958" s="319" t="s">
        <v>190</v>
      </c>
      <c r="CR958" s="319" t="s">
        <v>190</v>
      </c>
      <c r="CS958" s="319" t="s">
        <v>190</v>
      </c>
      <c r="CT958" s="319" t="s">
        <v>190</v>
      </c>
      <c r="CU958" s="319" t="s">
        <v>190</v>
      </c>
      <c r="CV958" s="319" t="s">
        <v>190</v>
      </c>
      <c r="CW958" s="319" t="s">
        <v>190</v>
      </c>
      <c r="CX958" s="319" t="s">
        <v>190</v>
      </c>
      <c r="CY958" s="319" t="s">
        <v>190</v>
      </c>
      <c r="CZ958" s="319" t="s">
        <v>190</v>
      </c>
      <c r="DA958" s="319" t="s">
        <v>190</v>
      </c>
      <c r="DB958" s="319" t="s">
        <v>190</v>
      </c>
      <c r="DC958" s="319" t="s">
        <v>190</v>
      </c>
      <c r="DD958" s="319" t="s">
        <v>190</v>
      </c>
      <c r="DE958" s="319" t="s">
        <v>190</v>
      </c>
      <c r="DF958" s="319" t="s">
        <v>190</v>
      </c>
      <c r="DG958" s="319" t="s">
        <v>190</v>
      </c>
      <c r="DH958" s="319" t="s">
        <v>190</v>
      </c>
      <c r="DI958" s="319" t="s">
        <v>190</v>
      </c>
      <c r="DJ958" s="319" t="s">
        <v>190</v>
      </c>
      <c r="DK958" s="319" t="s">
        <v>190</v>
      </c>
      <c r="DL958" s="319" t="s">
        <v>190</v>
      </c>
      <c r="DM958" s="319" t="s">
        <v>190</v>
      </c>
      <c r="DN958" s="319" t="s">
        <v>428</v>
      </c>
      <c r="DO958" s="319" t="s">
        <v>190</v>
      </c>
      <c r="DP958" s="319" t="s">
        <v>190</v>
      </c>
      <c r="DQ958" s="319" t="s">
        <v>190</v>
      </c>
      <c r="DR958" s="319" t="s">
        <v>190</v>
      </c>
      <c r="DS958" s="319" t="s">
        <v>190</v>
      </c>
      <c r="DT958" s="319" t="s">
        <v>190</v>
      </c>
      <c r="DU958" s="319" t="s">
        <v>190</v>
      </c>
      <c r="DV958" s="319" t="s">
        <v>173</v>
      </c>
      <c r="DW958" s="319" t="s">
        <v>190</v>
      </c>
      <c r="DX958" s="319" t="s">
        <v>190</v>
      </c>
      <c r="DY958" s="319" t="s">
        <v>190</v>
      </c>
      <c r="DZ958" s="319" t="s">
        <v>190</v>
      </c>
      <c r="EA958" s="319" t="s">
        <v>190</v>
      </c>
      <c r="EB958" s="319" t="s">
        <v>190</v>
      </c>
      <c r="EC958" s="319" t="s">
        <v>428</v>
      </c>
      <c r="ED958" s="319" t="s">
        <v>190</v>
      </c>
      <c r="EE958" s="319" t="s">
        <v>190</v>
      </c>
      <c r="EF958" s="319" t="s">
        <v>190</v>
      </c>
      <c r="EG958" s="319" t="s">
        <v>190</v>
      </c>
      <c r="EH958" s="319" t="s">
        <v>190</v>
      </c>
      <c r="EI958" s="319" t="s">
        <v>190</v>
      </c>
      <c r="EJ958" s="319" t="s">
        <v>190</v>
      </c>
      <c r="EK958" s="319" t="s">
        <v>190</v>
      </c>
      <c r="EL958" s="319" t="s">
        <v>190</v>
      </c>
      <c r="EM958" s="319" t="s">
        <v>190</v>
      </c>
      <c r="EN958" s="319" t="s">
        <v>190</v>
      </c>
      <c r="EO958" s="319" t="s">
        <v>190</v>
      </c>
      <c r="EP958" s="319" t="s">
        <v>190</v>
      </c>
      <c r="EQ958" s="319" t="s">
        <v>190</v>
      </c>
      <c r="ER958" s="319" t="s">
        <v>190</v>
      </c>
      <c r="ES958" s="319" t="s">
        <v>190</v>
      </c>
      <c r="ET958" s="319" t="s">
        <v>190</v>
      </c>
      <c r="EU958" s="319" t="s">
        <v>190</v>
      </c>
      <c r="EV958" s="319" t="s">
        <v>190</v>
      </c>
      <c r="EW958" s="319" t="s">
        <v>190</v>
      </c>
      <c r="EX958" s="319" t="s">
        <v>190</v>
      </c>
      <c r="EY958" s="319" t="s">
        <v>190</v>
      </c>
      <c r="EZ958" s="319" t="s">
        <v>190</v>
      </c>
      <c r="FA958" s="319" t="s">
        <v>190</v>
      </c>
      <c r="FB958" s="319" t="s">
        <v>190</v>
      </c>
      <c r="FC958" s="319" t="s">
        <v>190</v>
      </c>
      <c r="FD958" s="319" t="s">
        <v>190</v>
      </c>
      <c r="FE958" s="319" t="s">
        <v>190</v>
      </c>
      <c r="FF958" s="319" t="s">
        <v>190</v>
      </c>
      <c r="FG958" s="319" t="s">
        <v>190</v>
      </c>
      <c r="FH958" s="319" t="s">
        <v>190</v>
      </c>
      <c r="FI958" s="319" t="s">
        <v>190</v>
      </c>
      <c r="FJ958" s="319" t="s">
        <v>190</v>
      </c>
      <c r="FK958" s="319" t="s">
        <v>190</v>
      </c>
      <c r="FL958" s="319" t="s">
        <v>190</v>
      </c>
      <c r="FM958" s="319" t="s">
        <v>190</v>
      </c>
      <c r="FN958" s="319" t="s">
        <v>190</v>
      </c>
      <c r="FO958" s="319" t="s">
        <v>190</v>
      </c>
      <c r="FP958" s="319" t="s">
        <v>190</v>
      </c>
      <c r="FQ958" s="319" t="s">
        <v>190</v>
      </c>
      <c r="FR958" s="319" t="s">
        <v>190</v>
      </c>
      <c r="FS958" s="319" t="s">
        <v>428</v>
      </c>
      <c r="FT958" s="319" t="s">
        <v>190</v>
      </c>
      <c r="FU958" s="319" t="s">
        <v>190</v>
      </c>
      <c r="FV958" s="319" t="s">
        <v>190</v>
      </c>
      <c r="FW958" s="319" t="s">
        <v>190</v>
      </c>
      <c r="FX958" s="319" t="s">
        <v>190</v>
      </c>
      <c r="FY958" s="319" t="s">
        <v>190</v>
      </c>
      <c r="FZ958" s="319" t="s">
        <v>190</v>
      </c>
      <c r="GA958" s="319" t="s">
        <v>190</v>
      </c>
      <c r="GB958" s="319" t="s">
        <v>190</v>
      </c>
      <c r="GC958" s="319" t="s">
        <v>190</v>
      </c>
      <c r="GD958" s="319" t="s">
        <v>190</v>
      </c>
      <c r="GE958" s="319" t="s">
        <v>190</v>
      </c>
      <c r="GF958" s="319" t="s">
        <v>190</v>
      </c>
      <c r="GG958" s="319" t="s">
        <v>190</v>
      </c>
      <c r="GH958" s="319" t="s">
        <v>190</v>
      </c>
      <c r="GI958" s="319" t="s">
        <v>190</v>
      </c>
      <c r="GJ958" s="319" t="s">
        <v>190</v>
      </c>
      <c r="GK958" s="319" t="s">
        <v>428</v>
      </c>
      <c r="GL958" s="319" t="s">
        <v>190</v>
      </c>
      <c r="GM958" s="319" t="s">
        <v>190</v>
      </c>
      <c r="GN958" s="319" t="s">
        <v>190</v>
      </c>
      <c r="GO958" s="319" t="s">
        <v>190</v>
      </c>
      <c r="GP958" s="319" t="s">
        <v>190</v>
      </c>
      <c r="GQ958" s="319" t="s">
        <v>190</v>
      </c>
      <c r="GR958" s="319" t="s">
        <v>190</v>
      </c>
      <c r="GS958" s="319" t="s">
        <v>190</v>
      </c>
      <c r="GT958" s="319" t="s">
        <v>190</v>
      </c>
      <c r="GU958" s="319" t="s">
        <v>190</v>
      </c>
      <c r="GV958" s="319" t="s">
        <v>190</v>
      </c>
      <c r="GW958" s="319" t="s">
        <v>190</v>
      </c>
      <c r="GX958" s="319" t="s">
        <v>190</v>
      </c>
      <c r="GY958" s="319" t="s">
        <v>190</v>
      </c>
      <c r="GZ958" s="319" t="s">
        <v>428</v>
      </c>
      <c r="HA958" s="319" t="s">
        <v>190</v>
      </c>
      <c r="HB958" s="319" t="s">
        <v>190</v>
      </c>
      <c r="HC958" s="319" t="s">
        <v>190</v>
      </c>
      <c r="HD958" s="319" t="s">
        <v>190</v>
      </c>
      <c r="HE958" s="319" t="s">
        <v>190</v>
      </c>
      <c r="HF958" s="319" t="s">
        <v>190</v>
      </c>
      <c r="HG958" s="319" t="s">
        <v>190</v>
      </c>
      <c r="HH958" s="319" t="s">
        <v>190</v>
      </c>
      <c r="HI958" s="319" t="s">
        <v>428</v>
      </c>
      <c r="HJ958" s="319" t="s">
        <v>190</v>
      </c>
      <c r="HK958" s="319" t="s">
        <v>428</v>
      </c>
      <c r="HL958" s="319" t="s">
        <v>428</v>
      </c>
      <c r="HM958" s="319" t="s">
        <v>428</v>
      </c>
      <c r="HN958" s="319" t="s">
        <v>428</v>
      </c>
      <c r="HO958" s="319" t="s">
        <v>428</v>
      </c>
      <c r="HP958" s="319" t="s">
        <v>190</v>
      </c>
      <c r="HQ958" s="319" t="s">
        <v>190</v>
      </c>
      <c r="HR958" s="319" t="s">
        <v>190</v>
      </c>
      <c r="HS958" s="319" t="s">
        <v>190</v>
      </c>
      <c r="HT958" s="319" t="s">
        <v>190</v>
      </c>
      <c r="HU958" s="319" t="s">
        <v>190</v>
      </c>
      <c r="HV958" s="319" t="s">
        <v>190</v>
      </c>
      <c r="HW958" s="319" t="s">
        <v>190</v>
      </c>
      <c r="HX958" s="319" t="s">
        <v>190</v>
      </c>
      <c r="HY958" s="319" t="s">
        <v>190</v>
      </c>
      <c r="HZ958" s="319" t="s">
        <v>190</v>
      </c>
      <c r="IA958" s="319" t="s">
        <v>190</v>
      </c>
      <c r="IB958" s="319" t="s">
        <v>190</v>
      </c>
      <c r="IC958" s="319" t="s">
        <v>190</v>
      </c>
      <c r="ID958" s="319" t="s">
        <v>190</v>
      </c>
      <c r="IE958" s="319" t="s">
        <v>190</v>
      </c>
      <c r="IF958" s="319" t="s">
        <v>190</v>
      </c>
      <c r="IG958" s="319" t="s">
        <v>190</v>
      </c>
      <c r="IH958" s="319" t="s">
        <v>190</v>
      </c>
      <c r="II958" s="319" t="s">
        <v>190</v>
      </c>
      <c r="IJ958" s="319" t="s">
        <v>173</v>
      </c>
      <c r="IK958" s="319" t="s">
        <v>173</v>
      </c>
      <c r="IL958" s="319" t="s">
        <v>173</v>
      </c>
      <c r="IM958" s="319" t="s">
        <v>173</v>
      </c>
      <c r="IN958" s="319" t="s">
        <v>173</v>
      </c>
      <c r="IO958" s="319" t="s">
        <v>173</v>
      </c>
      <c r="IP958" s="319" t="s">
        <v>173</v>
      </c>
      <c r="IQ958" s="321" t="s">
        <v>173</v>
      </c>
      <c r="IR958" s="320" t="s">
        <v>173</v>
      </c>
      <c r="IS958" s="322" t="s">
        <v>173</v>
      </c>
      <c r="IT958" s="319" t="s">
        <v>173</v>
      </c>
    </row>
    <row r="959" spans="1:254" s="271" customFormat="1" x14ac:dyDescent="0.25">
      <c r="A959" s="318" t="str">
        <f>HYPERLINK("http://www.ofsted.gov.uk/inspection-reports/find-inspection-report/provider/ELS/145194 ","Ofsted School Webpage")</f>
        <v>Ofsted School Webpage</v>
      </c>
      <c r="B959" s="319">
        <v>145194</v>
      </c>
      <c r="C959" s="319">
        <v>8886074</v>
      </c>
      <c r="D959" s="319" t="s">
        <v>649</v>
      </c>
      <c r="E959" s="319" t="s">
        <v>168</v>
      </c>
      <c r="F959" s="319" t="s">
        <v>81</v>
      </c>
      <c r="G959" s="319" t="s">
        <v>81</v>
      </c>
      <c r="H959" s="319" t="s">
        <v>81</v>
      </c>
      <c r="I959" s="319" t="s">
        <v>78</v>
      </c>
      <c r="J959" s="319" t="s">
        <v>424</v>
      </c>
      <c r="K959" s="319" t="s">
        <v>431</v>
      </c>
      <c r="L959" s="319" t="s">
        <v>431</v>
      </c>
      <c r="M959" s="319" t="s">
        <v>469</v>
      </c>
      <c r="N959" s="319" t="s">
        <v>3148</v>
      </c>
      <c r="O959" s="319" t="s">
        <v>650</v>
      </c>
      <c r="P959" s="319">
        <v>2</v>
      </c>
      <c r="Q959" s="319" t="s">
        <v>429</v>
      </c>
      <c r="R959" s="320">
        <v>10053741</v>
      </c>
      <c r="S959" s="321">
        <v>43417</v>
      </c>
      <c r="T959" s="321">
        <v>43419</v>
      </c>
      <c r="U959" s="321">
        <v>43450</v>
      </c>
      <c r="V959" s="319" t="s">
        <v>435</v>
      </c>
      <c r="W959" s="319" t="s">
        <v>2767</v>
      </c>
      <c r="X959" s="319">
        <v>2</v>
      </c>
      <c r="Y959" s="319" t="s">
        <v>173</v>
      </c>
      <c r="Z959" s="319" t="s">
        <v>173</v>
      </c>
      <c r="AA959" s="319" t="s">
        <v>173</v>
      </c>
      <c r="AB959" s="319">
        <v>2</v>
      </c>
      <c r="AC959" s="319" t="s">
        <v>169</v>
      </c>
      <c r="AD959" s="319" t="s">
        <v>173</v>
      </c>
      <c r="AE959" s="319" t="s">
        <v>173</v>
      </c>
      <c r="AF959" s="319" t="s">
        <v>427</v>
      </c>
      <c r="AG959" s="319" t="s">
        <v>171</v>
      </c>
      <c r="AH959" s="319" t="s">
        <v>190</v>
      </c>
      <c r="AI959" s="319" t="s">
        <v>190</v>
      </c>
      <c r="AJ959" s="319" t="s">
        <v>190</v>
      </c>
      <c r="AK959" s="319" t="s">
        <v>190</v>
      </c>
      <c r="AL959" s="319" t="s">
        <v>190</v>
      </c>
      <c r="AM959" s="319" t="s">
        <v>190</v>
      </c>
      <c r="AN959" s="319" t="s">
        <v>190</v>
      </c>
      <c r="AO959" s="319" t="s">
        <v>190</v>
      </c>
      <c r="AP959" s="319" t="s">
        <v>190</v>
      </c>
      <c r="AQ959" s="319" t="s">
        <v>190</v>
      </c>
      <c r="AR959" s="319" t="s">
        <v>190</v>
      </c>
      <c r="AS959" s="319" t="s">
        <v>190</v>
      </c>
      <c r="AT959" s="319" t="s">
        <v>190</v>
      </c>
      <c r="AU959" s="319" t="s">
        <v>190</v>
      </c>
      <c r="AV959" s="319" t="s">
        <v>190</v>
      </c>
      <c r="AW959" s="319" t="s">
        <v>190</v>
      </c>
      <c r="AX959" s="319" t="s">
        <v>428</v>
      </c>
      <c r="AY959" s="319" t="s">
        <v>190</v>
      </c>
      <c r="AZ959" s="319" t="s">
        <v>190</v>
      </c>
      <c r="BA959" s="319" t="s">
        <v>190</v>
      </c>
      <c r="BB959" s="319" t="s">
        <v>428</v>
      </c>
      <c r="BC959" s="319" t="s">
        <v>428</v>
      </c>
      <c r="BD959" s="319" t="s">
        <v>428</v>
      </c>
      <c r="BE959" s="319" t="s">
        <v>428</v>
      </c>
      <c r="BF959" s="319" t="s">
        <v>190</v>
      </c>
      <c r="BG959" s="319" t="s">
        <v>190</v>
      </c>
      <c r="BH959" s="319" t="s">
        <v>190</v>
      </c>
      <c r="BI959" s="319" t="s">
        <v>190</v>
      </c>
      <c r="BJ959" s="319" t="s">
        <v>190</v>
      </c>
      <c r="BK959" s="319" t="s">
        <v>190</v>
      </c>
      <c r="BL959" s="319" t="s">
        <v>190</v>
      </c>
      <c r="BM959" s="319" t="s">
        <v>190</v>
      </c>
      <c r="BN959" s="319" t="s">
        <v>190</v>
      </c>
      <c r="BO959" s="319" t="s">
        <v>190</v>
      </c>
      <c r="BP959" s="319" t="s">
        <v>190</v>
      </c>
      <c r="BQ959" s="319" t="s">
        <v>190</v>
      </c>
      <c r="BR959" s="319" t="s">
        <v>190</v>
      </c>
      <c r="BS959" s="319" t="s">
        <v>190</v>
      </c>
      <c r="BT959" s="319" t="s">
        <v>190</v>
      </c>
      <c r="BU959" s="319" t="s">
        <v>190</v>
      </c>
      <c r="BV959" s="319" t="s">
        <v>190</v>
      </c>
      <c r="BW959" s="319" t="s">
        <v>190</v>
      </c>
      <c r="BX959" s="319" t="s">
        <v>190</v>
      </c>
      <c r="BY959" s="319" t="s">
        <v>190</v>
      </c>
      <c r="BZ959" s="319" t="s">
        <v>190</v>
      </c>
      <c r="CA959" s="319" t="s">
        <v>190</v>
      </c>
      <c r="CB959" s="319" t="s">
        <v>190</v>
      </c>
      <c r="CC959" s="319" t="s">
        <v>190</v>
      </c>
      <c r="CD959" s="319" t="s">
        <v>190</v>
      </c>
      <c r="CE959" s="319" t="s">
        <v>190</v>
      </c>
      <c r="CF959" s="319" t="s">
        <v>190</v>
      </c>
      <c r="CG959" s="319" t="s">
        <v>190</v>
      </c>
      <c r="CH959" s="319" t="s">
        <v>190</v>
      </c>
      <c r="CI959" s="319" t="s">
        <v>190</v>
      </c>
      <c r="CJ959" s="319" t="s">
        <v>190</v>
      </c>
      <c r="CK959" s="319" t="s">
        <v>190</v>
      </c>
      <c r="CL959" s="319" t="s">
        <v>190</v>
      </c>
      <c r="CM959" s="319" t="s">
        <v>190</v>
      </c>
      <c r="CN959" s="319" t="s">
        <v>428</v>
      </c>
      <c r="CO959" s="319" t="s">
        <v>428</v>
      </c>
      <c r="CP959" s="319" t="s">
        <v>428</v>
      </c>
      <c r="CQ959" s="319" t="s">
        <v>190</v>
      </c>
      <c r="CR959" s="319" t="s">
        <v>190</v>
      </c>
      <c r="CS959" s="319" t="s">
        <v>190</v>
      </c>
      <c r="CT959" s="319" t="s">
        <v>190</v>
      </c>
      <c r="CU959" s="319" t="s">
        <v>190</v>
      </c>
      <c r="CV959" s="319" t="s">
        <v>190</v>
      </c>
      <c r="CW959" s="319" t="s">
        <v>190</v>
      </c>
      <c r="CX959" s="319" t="s">
        <v>190</v>
      </c>
      <c r="CY959" s="319" t="s">
        <v>190</v>
      </c>
      <c r="CZ959" s="319" t="s">
        <v>190</v>
      </c>
      <c r="DA959" s="319" t="s">
        <v>190</v>
      </c>
      <c r="DB959" s="319" t="s">
        <v>190</v>
      </c>
      <c r="DC959" s="319" t="s">
        <v>190</v>
      </c>
      <c r="DD959" s="319" t="s">
        <v>190</v>
      </c>
      <c r="DE959" s="319" t="s">
        <v>190</v>
      </c>
      <c r="DF959" s="319" t="s">
        <v>190</v>
      </c>
      <c r="DG959" s="319" t="s">
        <v>190</v>
      </c>
      <c r="DH959" s="319" t="s">
        <v>190</v>
      </c>
      <c r="DI959" s="319" t="s">
        <v>190</v>
      </c>
      <c r="DJ959" s="319" t="s">
        <v>190</v>
      </c>
      <c r="DK959" s="319" t="s">
        <v>190</v>
      </c>
      <c r="DL959" s="319" t="s">
        <v>190</v>
      </c>
      <c r="DM959" s="319" t="s">
        <v>190</v>
      </c>
      <c r="DN959" s="319" t="s">
        <v>428</v>
      </c>
      <c r="DO959" s="319" t="s">
        <v>190</v>
      </c>
      <c r="DP959" s="319" t="s">
        <v>190</v>
      </c>
      <c r="DQ959" s="319" t="s">
        <v>190</v>
      </c>
      <c r="DR959" s="319" t="s">
        <v>190</v>
      </c>
      <c r="DS959" s="319" t="s">
        <v>190</v>
      </c>
      <c r="DT959" s="319" t="s">
        <v>190</v>
      </c>
      <c r="DU959" s="319" t="s">
        <v>190</v>
      </c>
      <c r="DV959" s="319" t="s">
        <v>173</v>
      </c>
      <c r="DW959" s="319" t="s">
        <v>190</v>
      </c>
      <c r="DX959" s="319" t="s">
        <v>190</v>
      </c>
      <c r="DY959" s="319" t="s">
        <v>190</v>
      </c>
      <c r="DZ959" s="319" t="s">
        <v>190</v>
      </c>
      <c r="EA959" s="319" t="s">
        <v>190</v>
      </c>
      <c r="EB959" s="319" t="s">
        <v>190</v>
      </c>
      <c r="EC959" s="319" t="s">
        <v>428</v>
      </c>
      <c r="ED959" s="319" t="s">
        <v>190</v>
      </c>
      <c r="EE959" s="319" t="s">
        <v>190</v>
      </c>
      <c r="EF959" s="319" t="s">
        <v>190</v>
      </c>
      <c r="EG959" s="319" t="s">
        <v>190</v>
      </c>
      <c r="EH959" s="319" t="s">
        <v>190</v>
      </c>
      <c r="EI959" s="319" t="s">
        <v>190</v>
      </c>
      <c r="EJ959" s="319" t="s">
        <v>190</v>
      </c>
      <c r="EK959" s="319" t="s">
        <v>190</v>
      </c>
      <c r="EL959" s="319" t="s">
        <v>428</v>
      </c>
      <c r="EM959" s="319" t="s">
        <v>190</v>
      </c>
      <c r="EN959" s="319" t="s">
        <v>190</v>
      </c>
      <c r="EO959" s="319" t="s">
        <v>190</v>
      </c>
      <c r="EP959" s="319" t="s">
        <v>190</v>
      </c>
      <c r="EQ959" s="319" t="s">
        <v>190</v>
      </c>
      <c r="ER959" s="319" t="s">
        <v>190</v>
      </c>
      <c r="ES959" s="319" t="s">
        <v>190</v>
      </c>
      <c r="ET959" s="319" t="s">
        <v>190</v>
      </c>
      <c r="EU959" s="319" t="s">
        <v>190</v>
      </c>
      <c r="EV959" s="319" t="s">
        <v>190</v>
      </c>
      <c r="EW959" s="319" t="s">
        <v>190</v>
      </c>
      <c r="EX959" s="319" t="s">
        <v>190</v>
      </c>
      <c r="EY959" s="319" t="s">
        <v>190</v>
      </c>
      <c r="EZ959" s="319" t="s">
        <v>190</v>
      </c>
      <c r="FA959" s="319" t="s">
        <v>190</v>
      </c>
      <c r="FB959" s="319" t="s">
        <v>190</v>
      </c>
      <c r="FC959" s="319" t="s">
        <v>190</v>
      </c>
      <c r="FD959" s="319" t="s">
        <v>190</v>
      </c>
      <c r="FE959" s="319" t="s">
        <v>190</v>
      </c>
      <c r="FF959" s="319" t="s">
        <v>190</v>
      </c>
      <c r="FG959" s="319" t="s">
        <v>190</v>
      </c>
      <c r="FH959" s="319" t="s">
        <v>190</v>
      </c>
      <c r="FI959" s="319" t="s">
        <v>190</v>
      </c>
      <c r="FJ959" s="319" t="s">
        <v>190</v>
      </c>
      <c r="FK959" s="319" t="s">
        <v>190</v>
      </c>
      <c r="FL959" s="319" t="s">
        <v>190</v>
      </c>
      <c r="FM959" s="319" t="s">
        <v>190</v>
      </c>
      <c r="FN959" s="319" t="s">
        <v>190</v>
      </c>
      <c r="FO959" s="319" t="s">
        <v>428</v>
      </c>
      <c r="FP959" s="319" t="s">
        <v>190</v>
      </c>
      <c r="FQ959" s="319" t="s">
        <v>190</v>
      </c>
      <c r="FR959" s="319" t="s">
        <v>190</v>
      </c>
      <c r="FS959" s="319" t="s">
        <v>190</v>
      </c>
      <c r="FT959" s="319" t="s">
        <v>190</v>
      </c>
      <c r="FU959" s="319" t="s">
        <v>190</v>
      </c>
      <c r="FV959" s="319" t="s">
        <v>190</v>
      </c>
      <c r="FW959" s="319" t="s">
        <v>190</v>
      </c>
      <c r="FX959" s="319" t="s">
        <v>190</v>
      </c>
      <c r="FY959" s="319" t="s">
        <v>190</v>
      </c>
      <c r="FZ959" s="319" t="s">
        <v>190</v>
      </c>
      <c r="GA959" s="319" t="s">
        <v>190</v>
      </c>
      <c r="GB959" s="319" t="s">
        <v>190</v>
      </c>
      <c r="GC959" s="319" t="s">
        <v>190</v>
      </c>
      <c r="GD959" s="319" t="s">
        <v>190</v>
      </c>
      <c r="GE959" s="319" t="s">
        <v>190</v>
      </c>
      <c r="GF959" s="319" t="s">
        <v>190</v>
      </c>
      <c r="GG959" s="319" t="s">
        <v>190</v>
      </c>
      <c r="GH959" s="319" t="s">
        <v>190</v>
      </c>
      <c r="GI959" s="319" t="s">
        <v>190</v>
      </c>
      <c r="GJ959" s="319" t="s">
        <v>190</v>
      </c>
      <c r="GK959" s="319" t="s">
        <v>428</v>
      </c>
      <c r="GL959" s="319" t="s">
        <v>190</v>
      </c>
      <c r="GM959" s="319" t="s">
        <v>190</v>
      </c>
      <c r="GN959" s="319" t="s">
        <v>190</v>
      </c>
      <c r="GO959" s="319" t="s">
        <v>190</v>
      </c>
      <c r="GP959" s="319" t="s">
        <v>190</v>
      </c>
      <c r="GQ959" s="319" t="s">
        <v>190</v>
      </c>
      <c r="GR959" s="319" t="s">
        <v>190</v>
      </c>
      <c r="GS959" s="319" t="s">
        <v>190</v>
      </c>
      <c r="GT959" s="319" t="s">
        <v>190</v>
      </c>
      <c r="GU959" s="319" t="s">
        <v>190</v>
      </c>
      <c r="GV959" s="319" t="s">
        <v>190</v>
      </c>
      <c r="GW959" s="319" t="s">
        <v>190</v>
      </c>
      <c r="GX959" s="319" t="s">
        <v>190</v>
      </c>
      <c r="GY959" s="319" t="s">
        <v>190</v>
      </c>
      <c r="GZ959" s="319" t="s">
        <v>428</v>
      </c>
      <c r="HA959" s="319" t="s">
        <v>190</v>
      </c>
      <c r="HB959" s="319" t="s">
        <v>190</v>
      </c>
      <c r="HC959" s="319" t="s">
        <v>190</v>
      </c>
      <c r="HD959" s="319" t="s">
        <v>190</v>
      </c>
      <c r="HE959" s="319" t="s">
        <v>190</v>
      </c>
      <c r="HF959" s="319" t="s">
        <v>190</v>
      </c>
      <c r="HG959" s="319" t="s">
        <v>190</v>
      </c>
      <c r="HH959" s="319" t="s">
        <v>190</v>
      </c>
      <c r="HI959" s="319" t="s">
        <v>190</v>
      </c>
      <c r="HJ959" s="319" t="s">
        <v>190</v>
      </c>
      <c r="HK959" s="319" t="s">
        <v>190</v>
      </c>
      <c r="HL959" s="319" t="s">
        <v>428</v>
      </c>
      <c r="HM959" s="319" t="s">
        <v>428</v>
      </c>
      <c r="HN959" s="319" t="s">
        <v>428</v>
      </c>
      <c r="HO959" s="319" t="s">
        <v>428</v>
      </c>
      <c r="HP959" s="319" t="s">
        <v>190</v>
      </c>
      <c r="HQ959" s="319" t="s">
        <v>190</v>
      </c>
      <c r="HR959" s="319" t="s">
        <v>190</v>
      </c>
      <c r="HS959" s="319" t="s">
        <v>190</v>
      </c>
      <c r="HT959" s="319" t="s">
        <v>190</v>
      </c>
      <c r="HU959" s="319" t="s">
        <v>190</v>
      </c>
      <c r="HV959" s="319" t="s">
        <v>190</v>
      </c>
      <c r="HW959" s="319" t="s">
        <v>190</v>
      </c>
      <c r="HX959" s="319" t="s">
        <v>190</v>
      </c>
      <c r="HY959" s="319" t="s">
        <v>190</v>
      </c>
      <c r="HZ959" s="319" t="s">
        <v>190</v>
      </c>
      <c r="IA959" s="319" t="s">
        <v>190</v>
      </c>
      <c r="IB959" s="319" t="s">
        <v>190</v>
      </c>
      <c r="IC959" s="319" t="s">
        <v>190</v>
      </c>
      <c r="ID959" s="319" t="s">
        <v>190</v>
      </c>
      <c r="IE959" s="319" t="s">
        <v>190</v>
      </c>
      <c r="IF959" s="319" t="s">
        <v>190</v>
      </c>
      <c r="IG959" s="319" t="s">
        <v>190</v>
      </c>
      <c r="IH959" s="319" t="s">
        <v>190</v>
      </c>
      <c r="II959" s="319" t="s">
        <v>190</v>
      </c>
      <c r="IJ959" s="319" t="s">
        <v>173</v>
      </c>
      <c r="IK959" s="319" t="s">
        <v>173</v>
      </c>
      <c r="IL959" s="319" t="s">
        <v>173</v>
      </c>
      <c r="IM959" s="319" t="s">
        <v>173</v>
      </c>
      <c r="IN959" s="319" t="s">
        <v>173</v>
      </c>
      <c r="IO959" s="319" t="s">
        <v>173</v>
      </c>
      <c r="IP959" s="319" t="s">
        <v>173</v>
      </c>
      <c r="IQ959" s="321" t="s">
        <v>173</v>
      </c>
      <c r="IR959" s="320" t="s">
        <v>173</v>
      </c>
      <c r="IS959" s="322" t="s">
        <v>173</v>
      </c>
      <c r="IT959" s="319" t="s">
        <v>173</v>
      </c>
    </row>
    <row r="960" spans="1:254" s="271" customFormat="1" x14ac:dyDescent="0.25">
      <c r="A960" s="318" t="str">
        <f>HYPERLINK("http://www.ofsted.gov.uk/inspection-reports/find-inspection-report/provider/ELS/145231 ","Ofsted School Webpage")</f>
        <v>Ofsted School Webpage</v>
      </c>
      <c r="B960" s="319">
        <v>145231</v>
      </c>
      <c r="C960" s="319">
        <v>8876011</v>
      </c>
      <c r="D960" s="319" t="s">
        <v>2712</v>
      </c>
      <c r="E960" s="319" t="s">
        <v>168</v>
      </c>
      <c r="F960" s="319" t="s">
        <v>81</v>
      </c>
      <c r="G960" s="319" t="s">
        <v>81</v>
      </c>
      <c r="H960" s="319" t="s">
        <v>81</v>
      </c>
      <c r="I960" s="319" t="s">
        <v>78</v>
      </c>
      <c r="J960" s="319" t="s">
        <v>424</v>
      </c>
      <c r="K960" s="319" t="s">
        <v>514</v>
      </c>
      <c r="L960" s="319" t="s">
        <v>514</v>
      </c>
      <c r="M960" s="319" t="s">
        <v>704</v>
      </c>
      <c r="N960" s="319" t="s">
        <v>3149</v>
      </c>
      <c r="O960" s="319" t="s">
        <v>705</v>
      </c>
      <c r="P960" s="319">
        <v>14</v>
      </c>
      <c r="Q960" s="319" t="s">
        <v>429</v>
      </c>
      <c r="R960" s="320">
        <v>10054087</v>
      </c>
      <c r="S960" s="321">
        <v>43431</v>
      </c>
      <c r="T960" s="321">
        <v>43433</v>
      </c>
      <c r="U960" s="321">
        <v>43488</v>
      </c>
      <c r="V960" s="319" t="s">
        <v>435</v>
      </c>
      <c r="W960" s="319" t="s">
        <v>2767</v>
      </c>
      <c r="X960" s="319">
        <v>4</v>
      </c>
      <c r="Y960" s="319" t="s">
        <v>173</v>
      </c>
      <c r="Z960" s="319" t="s">
        <v>173</v>
      </c>
      <c r="AA960" s="319" t="s">
        <v>173</v>
      </c>
      <c r="AB960" s="319">
        <v>4</v>
      </c>
      <c r="AC960" s="319" t="s">
        <v>170</v>
      </c>
      <c r="AD960" s="319" t="s">
        <v>173</v>
      </c>
      <c r="AE960" s="319" t="s">
        <v>173</v>
      </c>
      <c r="AF960" s="319" t="s">
        <v>427</v>
      </c>
      <c r="AG960" s="319" t="s">
        <v>172</v>
      </c>
      <c r="AH960" s="319" t="s">
        <v>479</v>
      </c>
      <c r="AI960" s="319" t="s">
        <v>479</v>
      </c>
      <c r="AJ960" s="319" t="s">
        <v>479</v>
      </c>
      <c r="AK960" s="319" t="s">
        <v>479</v>
      </c>
      <c r="AL960" s="319" t="s">
        <v>479</v>
      </c>
      <c r="AM960" s="319" t="s">
        <v>479</v>
      </c>
      <c r="AN960" s="319" t="s">
        <v>479</v>
      </c>
      <c r="AO960" s="319" t="s">
        <v>479</v>
      </c>
      <c r="AP960" s="319" t="s">
        <v>191</v>
      </c>
      <c r="AQ960" s="319" t="s">
        <v>191</v>
      </c>
      <c r="AR960" s="319" t="s">
        <v>191</v>
      </c>
      <c r="AS960" s="319" t="s">
        <v>191</v>
      </c>
      <c r="AT960" s="319" t="s">
        <v>190</v>
      </c>
      <c r="AU960" s="319" t="s">
        <v>191</v>
      </c>
      <c r="AV960" s="319" t="s">
        <v>191</v>
      </c>
      <c r="AW960" s="319" t="s">
        <v>191</v>
      </c>
      <c r="AX960" s="319" t="s">
        <v>428</v>
      </c>
      <c r="AY960" s="319" t="s">
        <v>191</v>
      </c>
      <c r="AZ960" s="319" t="s">
        <v>191</v>
      </c>
      <c r="BA960" s="319" t="s">
        <v>190</v>
      </c>
      <c r="BB960" s="319" t="s">
        <v>191</v>
      </c>
      <c r="BC960" s="319" t="s">
        <v>191</v>
      </c>
      <c r="BD960" s="319" t="s">
        <v>191</v>
      </c>
      <c r="BE960" s="319" t="s">
        <v>191</v>
      </c>
      <c r="BF960" s="319" t="s">
        <v>428</v>
      </c>
      <c r="BG960" s="319" t="s">
        <v>191</v>
      </c>
      <c r="BH960" s="319" t="s">
        <v>191</v>
      </c>
      <c r="BI960" s="319" t="s">
        <v>191</v>
      </c>
      <c r="BJ960" s="319" t="s">
        <v>191</v>
      </c>
      <c r="BK960" s="319" t="s">
        <v>191</v>
      </c>
      <c r="BL960" s="319" t="s">
        <v>191</v>
      </c>
      <c r="BM960" s="319" t="s">
        <v>191</v>
      </c>
      <c r="BN960" s="319" t="s">
        <v>191</v>
      </c>
      <c r="BO960" s="319" t="s">
        <v>191</v>
      </c>
      <c r="BP960" s="319" t="s">
        <v>191</v>
      </c>
      <c r="BQ960" s="319" t="s">
        <v>191</v>
      </c>
      <c r="BR960" s="319" t="s">
        <v>190</v>
      </c>
      <c r="BS960" s="319" t="s">
        <v>190</v>
      </c>
      <c r="BT960" s="319" t="s">
        <v>190</v>
      </c>
      <c r="BU960" s="319" t="s">
        <v>191</v>
      </c>
      <c r="BV960" s="319" t="s">
        <v>191</v>
      </c>
      <c r="BW960" s="319" t="s">
        <v>191</v>
      </c>
      <c r="BX960" s="319" t="s">
        <v>191</v>
      </c>
      <c r="BY960" s="319" t="s">
        <v>191</v>
      </c>
      <c r="BZ960" s="319" t="s">
        <v>191</v>
      </c>
      <c r="CA960" s="319" t="s">
        <v>191</v>
      </c>
      <c r="CB960" s="319" t="s">
        <v>191</v>
      </c>
      <c r="CC960" s="319" t="s">
        <v>191</v>
      </c>
      <c r="CD960" s="319" t="s">
        <v>191</v>
      </c>
      <c r="CE960" s="319" t="s">
        <v>191</v>
      </c>
      <c r="CF960" s="319" t="s">
        <v>190</v>
      </c>
      <c r="CG960" s="319" t="s">
        <v>190</v>
      </c>
      <c r="CH960" s="319" t="s">
        <v>190</v>
      </c>
      <c r="CI960" s="319" t="s">
        <v>190</v>
      </c>
      <c r="CJ960" s="319" t="s">
        <v>190</v>
      </c>
      <c r="CK960" s="319" t="s">
        <v>191</v>
      </c>
      <c r="CL960" s="319" t="s">
        <v>191</v>
      </c>
      <c r="CM960" s="319" t="s">
        <v>191</v>
      </c>
      <c r="CN960" s="319" t="s">
        <v>428</v>
      </c>
      <c r="CO960" s="319" t="s">
        <v>428</v>
      </c>
      <c r="CP960" s="319" t="s">
        <v>428</v>
      </c>
      <c r="CQ960" s="319" t="s">
        <v>191</v>
      </c>
      <c r="CR960" s="319" t="s">
        <v>191</v>
      </c>
      <c r="CS960" s="319" t="s">
        <v>191</v>
      </c>
      <c r="CT960" s="319" t="s">
        <v>191</v>
      </c>
      <c r="CU960" s="319" t="s">
        <v>190</v>
      </c>
      <c r="CV960" s="319" t="s">
        <v>191</v>
      </c>
      <c r="CW960" s="319" t="s">
        <v>191</v>
      </c>
      <c r="CX960" s="319" t="s">
        <v>190</v>
      </c>
      <c r="CY960" s="319" t="s">
        <v>190</v>
      </c>
      <c r="CZ960" s="319" t="s">
        <v>191</v>
      </c>
      <c r="DA960" s="319" t="s">
        <v>190</v>
      </c>
      <c r="DB960" s="319" t="s">
        <v>191</v>
      </c>
      <c r="DC960" s="319" t="s">
        <v>191</v>
      </c>
      <c r="DD960" s="319" t="s">
        <v>191</v>
      </c>
      <c r="DE960" s="319" t="s">
        <v>190</v>
      </c>
      <c r="DF960" s="319" t="s">
        <v>191</v>
      </c>
      <c r="DG960" s="319" t="s">
        <v>191</v>
      </c>
      <c r="DH960" s="319" t="s">
        <v>191</v>
      </c>
      <c r="DI960" s="319" t="s">
        <v>190</v>
      </c>
      <c r="DJ960" s="319" t="s">
        <v>190</v>
      </c>
      <c r="DK960" s="319" t="s">
        <v>190</v>
      </c>
      <c r="DL960" s="319" t="s">
        <v>190</v>
      </c>
      <c r="DM960" s="319" t="s">
        <v>190</v>
      </c>
      <c r="DN960" s="319" t="s">
        <v>428</v>
      </c>
      <c r="DO960" s="319" t="s">
        <v>191</v>
      </c>
      <c r="DP960" s="319" t="s">
        <v>428</v>
      </c>
      <c r="DQ960" s="319" t="s">
        <v>428</v>
      </c>
      <c r="DR960" s="319" t="s">
        <v>428</v>
      </c>
      <c r="DS960" s="319" t="s">
        <v>428</v>
      </c>
      <c r="DT960" s="319" t="s">
        <v>428</v>
      </c>
      <c r="DU960" s="319" t="s">
        <v>428</v>
      </c>
      <c r="DV960" s="319" t="s">
        <v>173</v>
      </c>
      <c r="DW960" s="319" t="s">
        <v>428</v>
      </c>
      <c r="DX960" s="319" t="s">
        <v>428</v>
      </c>
      <c r="DY960" s="319" t="s">
        <v>428</v>
      </c>
      <c r="DZ960" s="319" t="s">
        <v>428</v>
      </c>
      <c r="EA960" s="319" t="s">
        <v>428</v>
      </c>
      <c r="EB960" s="319" t="s">
        <v>428</v>
      </c>
      <c r="EC960" s="319" t="s">
        <v>428</v>
      </c>
      <c r="ED960" s="319" t="s">
        <v>428</v>
      </c>
      <c r="EE960" s="319" t="s">
        <v>191</v>
      </c>
      <c r="EF960" s="319" t="s">
        <v>191</v>
      </c>
      <c r="EG960" s="319" t="s">
        <v>191</v>
      </c>
      <c r="EH960" s="319" t="s">
        <v>191</v>
      </c>
      <c r="EI960" s="319" t="s">
        <v>191</v>
      </c>
      <c r="EJ960" s="319" t="s">
        <v>191</v>
      </c>
      <c r="EK960" s="319" t="s">
        <v>191</v>
      </c>
      <c r="EL960" s="319" t="s">
        <v>428</v>
      </c>
      <c r="EM960" s="319" t="s">
        <v>428</v>
      </c>
      <c r="EN960" s="319" t="s">
        <v>191</v>
      </c>
      <c r="EO960" s="319" t="s">
        <v>190</v>
      </c>
      <c r="EP960" s="319" t="s">
        <v>191</v>
      </c>
      <c r="EQ960" s="319" t="s">
        <v>191</v>
      </c>
      <c r="ER960" s="319" t="s">
        <v>191</v>
      </c>
      <c r="ES960" s="319" t="s">
        <v>191</v>
      </c>
      <c r="ET960" s="319" t="s">
        <v>191</v>
      </c>
      <c r="EU960" s="319" t="s">
        <v>191</v>
      </c>
      <c r="EV960" s="319" t="s">
        <v>190</v>
      </c>
      <c r="EW960" s="319" t="s">
        <v>190</v>
      </c>
      <c r="EX960" s="319" t="s">
        <v>190</v>
      </c>
      <c r="EY960" s="319" t="s">
        <v>190</v>
      </c>
      <c r="EZ960" s="319" t="s">
        <v>191</v>
      </c>
      <c r="FA960" s="319" t="s">
        <v>191</v>
      </c>
      <c r="FB960" s="319" t="s">
        <v>428</v>
      </c>
      <c r="FC960" s="319" t="s">
        <v>428</v>
      </c>
      <c r="FD960" s="319" t="s">
        <v>428</v>
      </c>
      <c r="FE960" s="319" t="s">
        <v>428</v>
      </c>
      <c r="FF960" s="319" t="s">
        <v>428</v>
      </c>
      <c r="FG960" s="319" t="s">
        <v>428</v>
      </c>
      <c r="FH960" s="319" t="s">
        <v>428</v>
      </c>
      <c r="FI960" s="319" t="s">
        <v>428</v>
      </c>
      <c r="FJ960" s="319" t="s">
        <v>429</v>
      </c>
      <c r="FK960" s="319" t="s">
        <v>428</v>
      </c>
      <c r="FL960" s="319" t="s">
        <v>190</v>
      </c>
      <c r="FM960" s="319" t="s">
        <v>190</v>
      </c>
      <c r="FN960" s="319" t="s">
        <v>190</v>
      </c>
      <c r="FO960" s="319" t="s">
        <v>428</v>
      </c>
      <c r="FP960" s="319" t="s">
        <v>190</v>
      </c>
      <c r="FQ960" s="319" t="s">
        <v>190</v>
      </c>
      <c r="FR960" s="319" t="s">
        <v>190</v>
      </c>
      <c r="FS960" s="319" t="s">
        <v>190</v>
      </c>
      <c r="FT960" s="319" t="s">
        <v>428</v>
      </c>
      <c r="FU960" s="319" t="s">
        <v>191</v>
      </c>
      <c r="FV960" s="319" t="s">
        <v>190</v>
      </c>
      <c r="FW960" s="319" t="s">
        <v>190</v>
      </c>
      <c r="FX960" s="319" t="s">
        <v>190</v>
      </c>
      <c r="FY960" s="319" t="s">
        <v>190</v>
      </c>
      <c r="FZ960" s="319" t="s">
        <v>191</v>
      </c>
      <c r="GA960" s="319" t="s">
        <v>190</v>
      </c>
      <c r="GB960" s="319" t="s">
        <v>190</v>
      </c>
      <c r="GC960" s="319" t="s">
        <v>191</v>
      </c>
      <c r="GD960" s="319" t="s">
        <v>190</v>
      </c>
      <c r="GE960" s="319" t="s">
        <v>190</v>
      </c>
      <c r="GF960" s="319" t="s">
        <v>190</v>
      </c>
      <c r="GG960" s="319" t="s">
        <v>190</v>
      </c>
      <c r="GH960" s="319" t="s">
        <v>190</v>
      </c>
      <c r="GI960" s="319" t="s">
        <v>190</v>
      </c>
      <c r="GJ960" s="319" t="s">
        <v>190</v>
      </c>
      <c r="GK960" s="319" t="s">
        <v>428</v>
      </c>
      <c r="GL960" s="319" t="s">
        <v>191</v>
      </c>
      <c r="GM960" s="319" t="s">
        <v>191</v>
      </c>
      <c r="GN960" s="319" t="s">
        <v>191</v>
      </c>
      <c r="GO960" s="319" t="s">
        <v>191</v>
      </c>
      <c r="GP960" s="319" t="s">
        <v>428</v>
      </c>
      <c r="GQ960" s="319" t="s">
        <v>428</v>
      </c>
      <c r="GR960" s="319" t="s">
        <v>190</v>
      </c>
      <c r="GS960" s="319" t="s">
        <v>190</v>
      </c>
      <c r="GT960" s="319" t="s">
        <v>190</v>
      </c>
      <c r="GU960" s="319" t="s">
        <v>190</v>
      </c>
      <c r="GV960" s="319" t="s">
        <v>190</v>
      </c>
      <c r="GW960" s="319" t="s">
        <v>190</v>
      </c>
      <c r="GX960" s="319" t="s">
        <v>190</v>
      </c>
      <c r="GY960" s="319" t="s">
        <v>190</v>
      </c>
      <c r="GZ960" s="319" t="s">
        <v>428</v>
      </c>
      <c r="HA960" s="319" t="s">
        <v>190</v>
      </c>
      <c r="HB960" s="319" t="s">
        <v>190</v>
      </c>
      <c r="HC960" s="319" t="s">
        <v>190</v>
      </c>
      <c r="HD960" s="319" t="s">
        <v>191</v>
      </c>
      <c r="HE960" s="319" t="s">
        <v>191</v>
      </c>
      <c r="HF960" s="319" t="s">
        <v>190</v>
      </c>
      <c r="HG960" s="319" t="s">
        <v>191</v>
      </c>
      <c r="HH960" s="319" t="s">
        <v>191</v>
      </c>
      <c r="HI960" s="319" t="s">
        <v>428</v>
      </c>
      <c r="HJ960" s="319" t="s">
        <v>191</v>
      </c>
      <c r="HK960" s="319" t="s">
        <v>428</v>
      </c>
      <c r="HL960" s="319" t="s">
        <v>428</v>
      </c>
      <c r="HM960" s="319" t="s">
        <v>428</v>
      </c>
      <c r="HN960" s="319" t="s">
        <v>428</v>
      </c>
      <c r="HO960" s="319" t="s">
        <v>428</v>
      </c>
      <c r="HP960" s="319" t="s">
        <v>191</v>
      </c>
      <c r="HQ960" s="319" t="s">
        <v>190</v>
      </c>
      <c r="HR960" s="319" t="s">
        <v>191</v>
      </c>
      <c r="HS960" s="319" t="s">
        <v>190</v>
      </c>
      <c r="HT960" s="319" t="s">
        <v>190</v>
      </c>
      <c r="HU960" s="319" t="s">
        <v>190</v>
      </c>
      <c r="HV960" s="319" t="s">
        <v>191</v>
      </c>
      <c r="HW960" s="319" t="s">
        <v>191</v>
      </c>
      <c r="HX960" s="319" t="s">
        <v>191</v>
      </c>
      <c r="HY960" s="319" t="s">
        <v>191</v>
      </c>
      <c r="HZ960" s="319" t="s">
        <v>191</v>
      </c>
      <c r="IA960" s="319" t="s">
        <v>191</v>
      </c>
      <c r="IB960" s="319" t="s">
        <v>191</v>
      </c>
      <c r="IC960" s="319" t="s">
        <v>191</v>
      </c>
      <c r="ID960" s="319" t="s">
        <v>191</v>
      </c>
      <c r="IE960" s="319" t="s">
        <v>191</v>
      </c>
      <c r="IF960" s="319" t="s">
        <v>191</v>
      </c>
      <c r="IG960" s="319" t="s">
        <v>191</v>
      </c>
      <c r="IH960" s="319" t="s">
        <v>191</v>
      </c>
      <c r="II960" s="319" t="s">
        <v>191</v>
      </c>
      <c r="IJ960" s="319" t="s">
        <v>173</v>
      </c>
      <c r="IK960" s="319" t="s">
        <v>173</v>
      </c>
      <c r="IL960" s="319" t="s">
        <v>173</v>
      </c>
      <c r="IM960" s="319" t="s">
        <v>173</v>
      </c>
      <c r="IN960" s="319" t="s">
        <v>173</v>
      </c>
      <c r="IO960" s="319">
        <v>10114608</v>
      </c>
      <c r="IP960" s="319" t="s">
        <v>985</v>
      </c>
      <c r="IQ960" s="321">
        <v>43732</v>
      </c>
      <c r="IR960" s="320" t="s">
        <v>2771</v>
      </c>
      <c r="IS960" s="322">
        <v>43753</v>
      </c>
      <c r="IT960" s="319" t="s">
        <v>165</v>
      </c>
    </row>
    <row r="961" spans="1:254" s="271" customFormat="1" x14ac:dyDescent="0.25">
      <c r="A961" s="318" t="str">
        <f>HYPERLINK("http://www.ofsted.gov.uk/inspection-reports/find-inspection-report/provider/ELS/145239 ","Ofsted School Webpage")</f>
        <v>Ofsted School Webpage</v>
      </c>
      <c r="B961" s="319">
        <v>145239</v>
      </c>
      <c r="C961" s="319">
        <v>3926001</v>
      </c>
      <c r="D961" s="319" t="s">
        <v>563</v>
      </c>
      <c r="E961" s="319" t="s">
        <v>168</v>
      </c>
      <c r="F961" s="319" t="s">
        <v>81</v>
      </c>
      <c r="G961" s="319" t="s">
        <v>81</v>
      </c>
      <c r="H961" s="319" t="s">
        <v>81</v>
      </c>
      <c r="I961" s="319" t="s">
        <v>78</v>
      </c>
      <c r="J961" s="319" t="s">
        <v>424</v>
      </c>
      <c r="K961" s="319" t="s">
        <v>458</v>
      </c>
      <c r="L961" s="319" t="s">
        <v>474</v>
      </c>
      <c r="M961" s="319" t="s">
        <v>564</v>
      </c>
      <c r="N961" s="319" t="s">
        <v>564</v>
      </c>
      <c r="O961" s="319" t="s">
        <v>565</v>
      </c>
      <c r="P961" s="319">
        <v>4</v>
      </c>
      <c r="Q961" s="319" t="s">
        <v>429</v>
      </c>
      <c r="R961" s="320">
        <v>10053841</v>
      </c>
      <c r="S961" s="321">
        <v>43389</v>
      </c>
      <c r="T961" s="321">
        <v>43391</v>
      </c>
      <c r="U961" s="321">
        <v>43438</v>
      </c>
      <c r="V961" s="319" t="s">
        <v>435</v>
      </c>
      <c r="W961" s="319" t="s">
        <v>2767</v>
      </c>
      <c r="X961" s="319">
        <v>3</v>
      </c>
      <c r="Y961" s="319" t="s">
        <v>173</v>
      </c>
      <c r="Z961" s="319" t="s">
        <v>173</v>
      </c>
      <c r="AA961" s="319" t="s">
        <v>173</v>
      </c>
      <c r="AB961" s="319">
        <v>3</v>
      </c>
      <c r="AC961" s="319" t="s">
        <v>169</v>
      </c>
      <c r="AD961" s="319" t="s">
        <v>173</v>
      </c>
      <c r="AE961" s="319" t="s">
        <v>173</v>
      </c>
      <c r="AF961" s="319" t="s">
        <v>427</v>
      </c>
      <c r="AG961" s="319" t="s">
        <v>172</v>
      </c>
      <c r="AH961" s="319" t="s">
        <v>190</v>
      </c>
      <c r="AI961" s="319" t="s">
        <v>190</v>
      </c>
      <c r="AJ961" s="319" t="s">
        <v>479</v>
      </c>
      <c r="AK961" s="319" t="s">
        <v>190</v>
      </c>
      <c r="AL961" s="319" t="s">
        <v>479</v>
      </c>
      <c r="AM961" s="319" t="s">
        <v>190</v>
      </c>
      <c r="AN961" s="319" t="s">
        <v>190</v>
      </c>
      <c r="AO961" s="319" t="s">
        <v>479</v>
      </c>
      <c r="AP961" s="319" t="s">
        <v>190</v>
      </c>
      <c r="AQ961" s="319" t="s">
        <v>190</v>
      </c>
      <c r="AR961" s="319" t="s">
        <v>190</v>
      </c>
      <c r="AS961" s="319" t="s">
        <v>190</v>
      </c>
      <c r="AT961" s="319" t="s">
        <v>190</v>
      </c>
      <c r="AU961" s="319" t="s">
        <v>190</v>
      </c>
      <c r="AV961" s="319" t="s">
        <v>190</v>
      </c>
      <c r="AW961" s="319" t="s">
        <v>190</v>
      </c>
      <c r="AX961" s="319" t="s">
        <v>190</v>
      </c>
      <c r="AY961" s="319" t="s">
        <v>190</v>
      </c>
      <c r="AZ961" s="319" t="s">
        <v>190</v>
      </c>
      <c r="BA961" s="319" t="s">
        <v>190</v>
      </c>
      <c r="BB961" s="319" t="s">
        <v>190</v>
      </c>
      <c r="BC961" s="319" t="s">
        <v>190</v>
      </c>
      <c r="BD961" s="319" t="s">
        <v>190</v>
      </c>
      <c r="BE961" s="319" t="s">
        <v>190</v>
      </c>
      <c r="BF961" s="319" t="s">
        <v>190</v>
      </c>
      <c r="BG961" s="319" t="s">
        <v>190</v>
      </c>
      <c r="BH961" s="319" t="s">
        <v>190</v>
      </c>
      <c r="BI961" s="319" t="s">
        <v>190</v>
      </c>
      <c r="BJ961" s="319" t="s">
        <v>190</v>
      </c>
      <c r="BK961" s="319" t="s">
        <v>190</v>
      </c>
      <c r="BL961" s="319" t="s">
        <v>190</v>
      </c>
      <c r="BM961" s="319" t="s">
        <v>190</v>
      </c>
      <c r="BN961" s="319" t="s">
        <v>190</v>
      </c>
      <c r="BO961" s="319" t="s">
        <v>190</v>
      </c>
      <c r="BP961" s="319" t="s">
        <v>190</v>
      </c>
      <c r="BQ961" s="319" t="s">
        <v>190</v>
      </c>
      <c r="BR961" s="319" t="s">
        <v>190</v>
      </c>
      <c r="BS961" s="319" t="s">
        <v>190</v>
      </c>
      <c r="BT961" s="319" t="s">
        <v>190</v>
      </c>
      <c r="BU961" s="319" t="s">
        <v>190</v>
      </c>
      <c r="BV961" s="319" t="s">
        <v>190</v>
      </c>
      <c r="BW961" s="319" t="s">
        <v>190</v>
      </c>
      <c r="BX961" s="319" t="s">
        <v>190</v>
      </c>
      <c r="BY961" s="319" t="s">
        <v>190</v>
      </c>
      <c r="BZ961" s="319" t="s">
        <v>190</v>
      </c>
      <c r="CA961" s="319" t="s">
        <v>190</v>
      </c>
      <c r="CB961" s="319" t="s">
        <v>190</v>
      </c>
      <c r="CC961" s="319" t="s">
        <v>190</v>
      </c>
      <c r="CD961" s="319" t="s">
        <v>190</v>
      </c>
      <c r="CE961" s="319" t="s">
        <v>190</v>
      </c>
      <c r="CF961" s="319" t="s">
        <v>190</v>
      </c>
      <c r="CG961" s="319" t="s">
        <v>190</v>
      </c>
      <c r="CH961" s="319" t="s">
        <v>190</v>
      </c>
      <c r="CI961" s="319" t="s">
        <v>190</v>
      </c>
      <c r="CJ961" s="319" t="s">
        <v>190</v>
      </c>
      <c r="CK961" s="319" t="s">
        <v>190</v>
      </c>
      <c r="CL961" s="319" t="s">
        <v>190</v>
      </c>
      <c r="CM961" s="319" t="s">
        <v>190</v>
      </c>
      <c r="CN961" s="319" t="s">
        <v>190</v>
      </c>
      <c r="CO961" s="319" t="s">
        <v>190</v>
      </c>
      <c r="CP961" s="319" t="s">
        <v>190</v>
      </c>
      <c r="CQ961" s="319" t="s">
        <v>190</v>
      </c>
      <c r="CR961" s="319" t="s">
        <v>190</v>
      </c>
      <c r="CS961" s="319" t="s">
        <v>190</v>
      </c>
      <c r="CT961" s="319" t="s">
        <v>190</v>
      </c>
      <c r="CU961" s="319" t="s">
        <v>190</v>
      </c>
      <c r="CV961" s="319" t="s">
        <v>190</v>
      </c>
      <c r="CW961" s="319" t="s">
        <v>190</v>
      </c>
      <c r="CX961" s="319" t="s">
        <v>190</v>
      </c>
      <c r="CY961" s="319" t="s">
        <v>190</v>
      </c>
      <c r="CZ961" s="319" t="s">
        <v>191</v>
      </c>
      <c r="DA961" s="319" t="s">
        <v>190</v>
      </c>
      <c r="DB961" s="319" t="s">
        <v>190</v>
      </c>
      <c r="DC961" s="319" t="s">
        <v>190</v>
      </c>
      <c r="DD961" s="319" t="s">
        <v>190</v>
      </c>
      <c r="DE961" s="319" t="s">
        <v>190</v>
      </c>
      <c r="DF961" s="319" t="s">
        <v>190</v>
      </c>
      <c r="DG961" s="319" t="s">
        <v>190</v>
      </c>
      <c r="DH961" s="319" t="s">
        <v>190</v>
      </c>
      <c r="DI961" s="319" t="s">
        <v>190</v>
      </c>
      <c r="DJ961" s="319" t="s">
        <v>190</v>
      </c>
      <c r="DK961" s="319" t="s">
        <v>190</v>
      </c>
      <c r="DL961" s="319" t="s">
        <v>190</v>
      </c>
      <c r="DM961" s="319" t="s">
        <v>190</v>
      </c>
      <c r="DN961" s="319" t="s">
        <v>428</v>
      </c>
      <c r="DO961" s="319" t="s">
        <v>190</v>
      </c>
      <c r="DP961" s="319" t="s">
        <v>190</v>
      </c>
      <c r="DQ961" s="319" t="s">
        <v>190</v>
      </c>
      <c r="DR961" s="319" t="s">
        <v>190</v>
      </c>
      <c r="DS961" s="319" t="s">
        <v>190</v>
      </c>
      <c r="DT961" s="319" t="s">
        <v>190</v>
      </c>
      <c r="DU961" s="319" t="s">
        <v>190</v>
      </c>
      <c r="DV961" s="319" t="s">
        <v>173</v>
      </c>
      <c r="DW961" s="319" t="s">
        <v>190</v>
      </c>
      <c r="DX961" s="319" t="s">
        <v>190</v>
      </c>
      <c r="DY961" s="319" t="s">
        <v>190</v>
      </c>
      <c r="DZ961" s="319" t="s">
        <v>190</v>
      </c>
      <c r="EA961" s="319" t="s">
        <v>190</v>
      </c>
      <c r="EB961" s="319" t="s">
        <v>190</v>
      </c>
      <c r="EC961" s="319" t="s">
        <v>428</v>
      </c>
      <c r="ED961" s="319" t="s">
        <v>190</v>
      </c>
      <c r="EE961" s="319" t="s">
        <v>428</v>
      </c>
      <c r="EF961" s="319" t="s">
        <v>428</v>
      </c>
      <c r="EG961" s="319" t="s">
        <v>190</v>
      </c>
      <c r="EH961" s="319" t="s">
        <v>428</v>
      </c>
      <c r="EI961" s="319" t="s">
        <v>428</v>
      </c>
      <c r="EJ961" s="319" t="s">
        <v>428</v>
      </c>
      <c r="EK961" s="319" t="s">
        <v>428</v>
      </c>
      <c r="EL961" s="319" t="s">
        <v>428</v>
      </c>
      <c r="EM961" s="319" t="s">
        <v>428</v>
      </c>
      <c r="EN961" s="319" t="s">
        <v>190</v>
      </c>
      <c r="EO961" s="319" t="s">
        <v>190</v>
      </c>
      <c r="EP961" s="319" t="s">
        <v>190</v>
      </c>
      <c r="EQ961" s="319" t="s">
        <v>190</v>
      </c>
      <c r="ER961" s="319" t="s">
        <v>190</v>
      </c>
      <c r="ES961" s="319" t="s">
        <v>190</v>
      </c>
      <c r="ET961" s="319" t="s">
        <v>190</v>
      </c>
      <c r="EU961" s="319" t="s">
        <v>190</v>
      </c>
      <c r="EV961" s="319" t="s">
        <v>190</v>
      </c>
      <c r="EW961" s="319" t="s">
        <v>190</v>
      </c>
      <c r="EX961" s="319" t="s">
        <v>190</v>
      </c>
      <c r="EY961" s="319" t="s">
        <v>190</v>
      </c>
      <c r="EZ961" s="319" t="s">
        <v>190</v>
      </c>
      <c r="FA961" s="319" t="s">
        <v>190</v>
      </c>
      <c r="FB961" s="319" t="s">
        <v>190</v>
      </c>
      <c r="FC961" s="319" t="s">
        <v>190</v>
      </c>
      <c r="FD961" s="319" t="s">
        <v>190</v>
      </c>
      <c r="FE961" s="319" t="s">
        <v>190</v>
      </c>
      <c r="FF961" s="319" t="s">
        <v>190</v>
      </c>
      <c r="FG961" s="319" t="s">
        <v>190</v>
      </c>
      <c r="FH961" s="319" t="s">
        <v>190</v>
      </c>
      <c r="FI961" s="319" t="s">
        <v>190</v>
      </c>
      <c r="FJ961" s="319" t="s">
        <v>190</v>
      </c>
      <c r="FK961" s="319" t="s">
        <v>190</v>
      </c>
      <c r="FL961" s="319" t="s">
        <v>190</v>
      </c>
      <c r="FM961" s="319" t="s">
        <v>190</v>
      </c>
      <c r="FN961" s="319" t="s">
        <v>190</v>
      </c>
      <c r="FO961" s="319" t="s">
        <v>190</v>
      </c>
      <c r="FP961" s="319" t="s">
        <v>190</v>
      </c>
      <c r="FQ961" s="319" t="s">
        <v>190</v>
      </c>
      <c r="FR961" s="319" t="s">
        <v>190</v>
      </c>
      <c r="FS961" s="319" t="s">
        <v>428</v>
      </c>
      <c r="FT961" s="319" t="s">
        <v>190</v>
      </c>
      <c r="FU961" s="319" t="s">
        <v>190</v>
      </c>
      <c r="FV961" s="319" t="s">
        <v>190</v>
      </c>
      <c r="FW961" s="319" t="s">
        <v>190</v>
      </c>
      <c r="FX961" s="319" t="s">
        <v>190</v>
      </c>
      <c r="FY961" s="319" t="s">
        <v>190</v>
      </c>
      <c r="FZ961" s="319" t="s">
        <v>190</v>
      </c>
      <c r="GA961" s="319" t="s">
        <v>190</v>
      </c>
      <c r="GB961" s="319" t="s">
        <v>190</v>
      </c>
      <c r="GC961" s="319" t="s">
        <v>190</v>
      </c>
      <c r="GD961" s="319" t="s">
        <v>190</v>
      </c>
      <c r="GE961" s="319" t="s">
        <v>190</v>
      </c>
      <c r="GF961" s="319" t="s">
        <v>190</v>
      </c>
      <c r="GG961" s="319" t="s">
        <v>190</v>
      </c>
      <c r="GH961" s="319" t="s">
        <v>191</v>
      </c>
      <c r="GI961" s="319" t="s">
        <v>190</v>
      </c>
      <c r="GJ961" s="319" t="s">
        <v>191</v>
      </c>
      <c r="GK961" s="319" t="s">
        <v>428</v>
      </c>
      <c r="GL961" s="319" t="s">
        <v>190</v>
      </c>
      <c r="GM961" s="319" t="s">
        <v>190</v>
      </c>
      <c r="GN961" s="319" t="s">
        <v>190</v>
      </c>
      <c r="GO961" s="319" t="s">
        <v>190</v>
      </c>
      <c r="GP961" s="319" t="s">
        <v>190</v>
      </c>
      <c r="GQ961" s="319" t="s">
        <v>190</v>
      </c>
      <c r="GR961" s="319" t="s">
        <v>190</v>
      </c>
      <c r="GS961" s="319" t="s">
        <v>190</v>
      </c>
      <c r="GT961" s="319" t="s">
        <v>190</v>
      </c>
      <c r="GU961" s="319" t="s">
        <v>190</v>
      </c>
      <c r="GV961" s="319" t="s">
        <v>190</v>
      </c>
      <c r="GW961" s="319" t="s">
        <v>190</v>
      </c>
      <c r="GX961" s="319" t="s">
        <v>190</v>
      </c>
      <c r="GY961" s="319" t="s">
        <v>190</v>
      </c>
      <c r="GZ961" s="319" t="s">
        <v>190</v>
      </c>
      <c r="HA961" s="319" t="s">
        <v>428</v>
      </c>
      <c r="HB961" s="319" t="s">
        <v>428</v>
      </c>
      <c r="HC961" s="319" t="s">
        <v>190</v>
      </c>
      <c r="HD961" s="319" t="s">
        <v>190</v>
      </c>
      <c r="HE961" s="319" t="s">
        <v>190</v>
      </c>
      <c r="HF961" s="319" t="s">
        <v>190</v>
      </c>
      <c r="HG961" s="319" t="s">
        <v>190</v>
      </c>
      <c r="HH961" s="319" t="s">
        <v>190</v>
      </c>
      <c r="HI961" s="319" t="s">
        <v>190</v>
      </c>
      <c r="HJ961" s="319" t="s">
        <v>190</v>
      </c>
      <c r="HK961" s="319" t="s">
        <v>428</v>
      </c>
      <c r="HL961" s="319" t="s">
        <v>428</v>
      </c>
      <c r="HM961" s="319" t="s">
        <v>428</v>
      </c>
      <c r="HN961" s="319" t="s">
        <v>428</v>
      </c>
      <c r="HO961" s="319" t="s">
        <v>428</v>
      </c>
      <c r="HP961" s="319" t="s">
        <v>190</v>
      </c>
      <c r="HQ961" s="319" t="s">
        <v>190</v>
      </c>
      <c r="HR961" s="319" t="s">
        <v>190</v>
      </c>
      <c r="HS961" s="319" t="s">
        <v>190</v>
      </c>
      <c r="HT961" s="319" t="s">
        <v>190</v>
      </c>
      <c r="HU961" s="319" t="s">
        <v>190</v>
      </c>
      <c r="HV961" s="319" t="s">
        <v>190</v>
      </c>
      <c r="HW961" s="319" t="s">
        <v>190</v>
      </c>
      <c r="HX961" s="319" t="s">
        <v>190</v>
      </c>
      <c r="HY961" s="319" t="s">
        <v>190</v>
      </c>
      <c r="HZ961" s="319" t="s">
        <v>190</v>
      </c>
      <c r="IA961" s="319" t="s">
        <v>190</v>
      </c>
      <c r="IB961" s="319" t="s">
        <v>190</v>
      </c>
      <c r="IC961" s="319" t="s">
        <v>190</v>
      </c>
      <c r="ID961" s="319" t="s">
        <v>190</v>
      </c>
      <c r="IE961" s="319" t="s">
        <v>190</v>
      </c>
      <c r="IF961" s="319" t="s">
        <v>191</v>
      </c>
      <c r="IG961" s="319" t="s">
        <v>191</v>
      </c>
      <c r="IH961" s="319" t="s">
        <v>191</v>
      </c>
      <c r="II961" s="319" t="s">
        <v>191</v>
      </c>
      <c r="IJ961" s="319" t="s">
        <v>173</v>
      </c>
      <c r="IK961" s="319" t="s">
        <v>173</v>
      </c>
      <c r="IL961" s="319" t="s">
        <v>173</v>
      </c>
      <c r="IM961" s="319" t="s">
        <v>173</v>
      </c>
      <c r="IN961" s="319" t="s">
        <v>173</v>
      </c>
      <c r="IO961" s="319">
        <v>10096741</v>
      </c>
      <c r="IP961" s="319" t="s">
        <v>985</v>
      </c>
      <c r="IQ961" s="321">
        <v>43545</v>
      </c>
      <c r="IR961" s="320" t="s">
        <v>1223</v>
      </c>
      <c r="IS961" s="322">
        <v>43593</v>
      </c>
      <c r="IT961" s="319" t="s">
        <v>165</v>
      </c>
    </row>
    <row r="962" spans="1:254" s="271" customFormat="1" x14ac:dyDescent="0.25">
      <c r="A962" s="318" t="str">
        <f>HYPERLINK("http://www.ofsted.gov.uk/inspection-reports/find-inspection-report/provider/ELS/145241 ","Ofsted School Webpage")</f>
        <v>Ofsted School Webpage</v>
      </c>
      <c r="B962" s="319">
        <v>145241</v>
      </c>
      <c r="C962" s="319">
        <v>8156044</v>
      </c>
      <c r="D962" s="319" t="s">
        <v>941</v>
      </c>
      <c r="E962" s="319" t="s">
        <v>168</v>
      </c>
      <c r="F962" s="319" t="s">
        <v>81</v>
      </c>
      <c r="G962" s="319" t="s">
        <v>81</v>
      </c>
      <c r="H962" s="319" t="s">
        <v>81</v>
      </c>
      <c r="I962" s="319" t="s">
        <v>78</v>
      </c>
      <c r="J962" s="319" t="s">
        <v>424</v>
      </c>
      <c r="K962" s="319" t="s">
        <v>458</v>
      </c>
      <c r="L962" s="319" t="s">
        <v>459</v>
      </c>
      <c r="M962" s="319" t="s">
        <v>754</v>
      </c>
      <c r="N962" s="319" t="s">
        <v>2784</v>
      </c>
      <c r="O962" s="319" t="s">
        <v>539</v>
      </c>
      <c r="P962" s="319">
        <v>8</v>
      </c>
      <c r="Q962" s="319" t="s">
        <v>429</v>
      </c>
      <c r="R962" s="320">
        <v>10077927</v>
      </c>
      <c r="S962" s="321">
        <v>43508</v>
      </c>
      <c r="T962" s="321">
        <v>43510</v>
      </c>
      <c r="U962" s="321">
        <v>43549</v>
      </c>
      <c r="V962" s="319" t="s">
        <v>435</v>
      </c>
      <c r="W962" s="319" t="s">
        <v>2767</v>
      </c>
      <c r="X962" s="319">
        <v>2</v>
      </c>
      <c r="Y962" s="319" t="s">
        <v>173</v>
      </c>
      <c r="Z962" s="319" t="s">
        <v>173</v>
      </c>
      <c r="AA962" s="319" t="s">
        <v>173</v>
      </c>
      <c r="AB962" s="319">
        <v>2</v>
      </c>
      <c r="AC962" s="319" t="s">
        <v>169</v>
      </c>
      <c r="AD962" s="319" t="s">
        <v>173</v>
      </c>
      <c r="AE962" s="319" t="s">
        <v>173</v>
      </c>
      <c r="AF962" s="319" t="s">
        <v>427</v>
      </c>
      <c r="AG962" s="319" t="s">
        <v>171</v>
      </c>
      <c r="AH962" s="319" t="s">
        <v>190</v>
      </c>
      <c r="AI962" s="319" t="s">
        <v>190</v>
      </c>
      <c r="AJ962" s="319" t="s">
        <v>190</v>
      </c>
      <c r="AK962" s="319" t="s">
        <v>190</v>
      </c>
      <c r="AL962" s="319" t="s">
        <v>190</v>
      </c>
      <c r="AM962" s="319" t="s">
        <v>190</v>
      </c>
      <c r="AN962" s="319" t="s">
        <v>190</v>
      </c>
      <c r="AO962" s="319" t="s">
        <v>190</v>
      </c>
      <c r="AP962" s="319" t="s">
        <v>190</v>
      </c>
      <c r="AQ962" s="319" t="s">
        <v>190</v>
      </c>
      <c r="AR962" s="319" t="s">
        <v>190</v>
      </c>
      <c r="AS962" s="319" t="s">
        <v>190</v>
      </c>
      <c r="AT962" s="319" t="s">
        <v>190</v>
      </c>
      <c r="AU962" s="319" t="s">
        <v>190</v>
      </c>
      <c r="AV962" s="319" t="s">
        <v>190</v>
      </c>
      <c r="AW962" s="319" t="s">
        <v>190</v>
      </c>
      <c r="AX962" s="319" t="s">
        <v>428</v>
      </c>
      <c r="AY962" s="319" t="s">
        <v>190</v>
      </c>
      <c r="AZ962" s="319" t="s">
        <v>190</v>
      </c>
      <c r="BA962" s="319" t="s">
        <v>190</v>
      </c>
      <c r="BB962" s="319" t="s">
        <v>190</v>
      </c>
      <c r="BC962" s="319" t="s">
        <v>190</v>
      </c>
      <c r="BD962" s="319" t="s">
        <v>190</v>
      </c>
      <c r="BE962" s="319" t="s">
        <v>190</v>
      </c>
      <c r="BF962" s="319" t="s">
        <v>428</v>
      </c>
      <c r="BG962" s="319" t="s">
        <v>190</v>
      </c>
      <c r="BH962" s="319" t="s">
        <v>190</v>
      </c>
      <c r="BI962" s="319" t="s">
        <v>190</v>
      </c>
      <c r="BJ962" s="319" t="s">
        <v>190</v>
      </c>
      <c r="BK962" s="319" t="s">
        <v>190</v>
      </c>
      <c r="BL962" s="319" t="s">
        <v>190</v>
      </c>
      <c r="BM962" s="319" t="s">
        <v>190</v>
      </c>
      <c r="BN962" s="319" t="s">
        <v>190</v>
      </c>
      <c r="BO962" s="319" t="s">
        <v>190</v>
      </c>
      <c r="BP962" s="319" t="s">
        <v>190</v>
      </c>
      <c r="BQ962" s="319" t="s">
        <v>190</v>
      </c>
      <c r="BR962" s="319" t="s">
        <v>190</v>
      </c>
      <c r="BS962" s="319" t="s">
        <v>190</v>
      </c>
      <c r="BT962" s="319" t="s">
        <v>190</v>
      </c>
      <c r="BU962" s="319" t="s">
        <v>190</v>
      </c>
      <c r="BV962" s="319" t="s">
        <v>190</v>
      </c>
      <c r="BW962" s="319" t="s">
        <v>190</v>
      </c>
      <c r="BX962" s="319" t="s">
        <v>190</v>
      </c>
      <c r="BY962" s="319" t="s">
        <v>190</v>
      </c>
      <c r="BZ962" s="319" t="s">
        <v>190</v>
      </c>
      <c r="CA962" s="319" t="s">
        <v>190</v>
      </c>
      <c r="CB962" s="319" t="s">
        <v>190</v>
      </c>
      <c r="CC962" s="319" t="s">
        <v>190</v>
      </c>
      <c r="CD962" s="319" t="s">
        <v>190</v>
      </c>
      <c r="CE962" s="319" t="s">
        <v>190</v>
      </c>
      <c r="CF962" s="319" t="s">
        <v>190</v>
      </c>
      <c r="CG962" s="319" t="s">
        <v>190</v>
      </c>
      <c r="CH962" s="319" t="s">
        <v>190</v>
      </c>
      <c r="CI962" s="319" t="s">
        <v>190</v>
      </c>
      <c r="CJ962" s="319" t="s">
        <v>190</v>
      </c>
      <c r="CK962" s="319" t="s">
        <v>190</v>
      </c>
      <c r="CL962" s="319" t="s">
        <v>190</v>
      </c>
      <c r="CM962" s="319" t="s">
        <v>190</v>
      </c>
      <c r="CN962" s="319" t="s">
        <v>428</v>
      </c>
      <c r="CO962" s="319" t="s">
        <v>428</v>
      </c>
      <c r="CP962" s="319" t="s">
        <v>428</v>
      </c>
      <c r="CQ962" s="319" t="s">
        <v>190</v>
      </c>
      <c r="CR962" s="319" t="s">
        <v>190</v>
      </c>
      <c r="CS962" s="319" t="s">
        <v>190</v>
      </c>
      <c r="CT962" s="319" t="s">
        <v>190</v>
      </c>
      <c r="CU962" s="319" t="s">
        <v>190</v>
      </c>
      <c r="CV962" s="319" t="s">
        <v>190</v>
      </c>
      <c r="CW962" s="319" t="s">
        <v>190</v>
      </c>
      <c r="CX962" s="319" t="s">
        <v>190</v>
      </c>
      <c r="CY962" s="319" t="s">
        <v>190</v>
      </c>
      <c r="CZ962" s="319" t="s">
        <v>190</v>
      </c>
      <c r="DA962" s="319" t="s">
        <v>190</v>
      </c>
      <c r="DB962" s="319" t="s">
        <v>190</v>
      </c>
      <c r="DC962" s="319" t="s">
        <v>190</v>
      </c>
      <c r="DD962" s="319" t="s">
        <v>190</v>
      </c>
      <c r="DE962" s="319" t="s">
        <v>190</v>
      </c>
      <c r="DF962" s="319" t="s">
        <v>190</v>
      </c>
      <c r="DG962" s="319" t="s">
        <v>190</v>
      </c>
      <c r="DH962" s="319" t="s">
        <v>190</v>
      </c>
      <c r="DI962" s="319" t="s">
        <v>190</v>
      </c>
      <c r="DJ962" s="319" t="s">
        <v>190</v>
      </c>
      <c r="DK962" s="319" t="s">
        <v>190</v>
      </c>
      <c r="DL962" s="319" t="s">
        <v>190</v>
      </c>
      <c r="DM962" s="319" t="s">
        <v>190</v>
      </c>
      <c r="DN962" s="319" t="s">
        <v>428</v>
      </c>
      <c r="DO962" s="319" t="s">
        <v>190</v>
      </c>
      <c r="DP962" s="319" t="s">
        <v>190</v>
      </c>
      <c r="DQ962" s="319" t="s">
        <v>190</v>
      </c>
      <c r="DR962" s="319" t="s">
        <v>190</v>
      </c>
      <c r="DS962" s="319" t="s">
        <v>190</v>
      </c>
      <c r="DT962" s="319" t="s">
        <v>190</v>
      </c>
      <c r="DU962" s="319" t="s">
        <v>190</v>
      </c>
      <c r="DV962" s="319" t="s">
        <v>173</v>
      </c>
      <c r="DW962" s="319" t="s">
        <v>190</v>
      </c>
      <c r="DX962" s="319" t="s">
        <v>190</v>
      </c>
      <c r="DY962" s="319" t="s">
        <v>190</v>
      </c>
      <c r="DZ962" s="319" t="s">
        <v>190</v>
      </c>
      <c r="EA962" s="319" t="s">
        <v>190</v>
      </c>
      <c r="EB962" s="319" t="s">
        <v>190</v>
      </c>
      <c r="EC962" s="319" t="s">
        <v>428</v>
      </c>
      <c r="ED962" s="319" t="s">
        <v>190</v>
      </c>
      <c r="EE962" s="319" t="s">
        <v>190</v>
      </c>
      <c r="EF962" s="319" t="s">
        <v>190</v>
      </c>
      <c r="EG962" s="319" t="s">
        <v>190</v>
      </c>
      <c r="EH962" s="319" t="s">
        <v>190</v>
      </c>
      <c r="EI962" s="319" t="s">
        <v>190</v>
      </c>
      <c r="EJ962" s="319" t="s">
        <v>190</v>
      </c>
      <c r="EK962" s="319" t="s">
        <v>190</v>
      </c>
      <c r="EL962" s="319" t="s">
        <v>428</v>
      </c>
      <c r="EM962" s="319" t="s">
        <v>190</v>
      </c>
      <c r="EN962" s="319" t="s">
        <v>190</v>
      </c>
      <c r="EO962" s="319" t="s">
        <v>190</v>
      </c>
      <c r="EP962" s="319" t="s">
        <v>190</v>
      </c>
      <c r="EQ962" s="319" t="s">
        <v>190</v>
      </c>
      <c r="ER962" s="319" t="s">
        <v>190</v>
      </c>
      <c r="ES962" s="319" t="s">
        <v>190</v>
      </c>
      <c r="ET962" s="319" t="s">
        <v>190</v>
      </c>
      <c r="EU962" s="319" t="s">
        <v>190</v>
      </c>
      <c r="EV962" s="319" t="s">
        <v>190</v>
      </c>
      <c r="EW962" s="319" t="s">
        <v>190</v>
      </c>
      <c r="EX962" s="319" t="s">
        <v>190</v>
      </c>
      <c r="EY962" s="319" t="s">
        <v>190</v>
      </c>
      <c r="EZ962" s="319" t="s">
        <v>190</v>
      </c>
      <c r="FA962" s="319" t="s">
        <v>428</v>
      </c>
      <c r="FB962" s="319" t="s">
        <v>190</v>
      </c>
      <c r="FC962" s="319" t="s">
        <v>190</v>
      </c>
      <c r="FD962" s="319" t="s">
        <v>190</v>
      </c>
      <c r="FE962" s="319" t="s">
        <v>190</v>
      </c>
      <c r="FF962" s="319" t="s">
        <v>190</v>
      </c>
      <c r="FG962" s="319" t="s">
        <v>190</v>
      </c>
      <c r="FH962" s="319" t="s">
        <v>190</v>
      </c>
      <c r="FI962" s="319" t="s">
        <v>428</v>
      </c>
      <c r="FJ962" s="319" t="s">
        <v>190</v>
      </c>
      <c r="FK962" s="319" t="s">
        <v>190</v>
      </c>
      <c r="FL962" s="319" t="s">
        <v>190</v>
      </c>
      <c r="FM962" s="319" t="s">
        <v>190</v>
      </c>
      <c r="FN962" s="319" t="s">
        <v>190</v>
      </c>
      <c r="FO962" s="319" t="s">
        <v>190</v>
      </c>
      <c r="FP962" s="319" t="s">
        <v>190</v>
      </c>
      <c r="FQ962" s="319" t="s">
        <v>190</v>
      </c>
      <c r="FR962" s="319" t="s">
        <v>190</v>
      </c>
      <c r="FS962" s="319" t="s">
        <v>190</v>
      </c>
      <c r="FT962" s="319" t="s">
        <v>190</v>
      </c>
      <c r="FU962" s="319" t="s">
        <v>190</v>
      </c>
      <c r="FV962" s="319" t="s">
        <v>190</v>
      </c>
      <c r="FW962" s="319" t="s">
        <v>190</v>
      </c>
      <c r="FX962" s="319" t="s">
        <v>190</v>
      </c>
      <c r="FY962" s="319" t="s">
        <v>190</v>
      </c>
      <c r="FZ962" s="319" t="s">
        <v>190</v>
      </c>
      <c r="GA962" s="319" t="s">
        <v>190</v>
      </c>
      <c r="GB962" s="319" t="s">
        <v>190</v>
      </c>
      <c r="GC962" s="319" t="s">
        <v>190</v>
      </c>
      <c r="GD962" s="319" t="s">
        <v>190</v>
      </c>
      <c r="GE962" s="319" t="s">
        <v>190</v>
      </c>
      <c r="GF962" s="319" t="s">
        <v>190</v>
      </c>
      <c r="GG962" s="319" t="s">
        <v>190</v>
      </c>
      <c r="GH962" s="319" t="s">
        <v>190</v>
      </c>
      <c r="GI962" s="319" t="s">
        <v>190</v>
      </c>
      <c r="GJ962" s="319" t="s">
        <v>190</v>
      </c>
      <c r="GK962" s="319" t="s">
        <v>428</v>
      </c>
      <c r="GL962" s="319" t="s">
        <v>190</v>
      </c>
      <c r="GM962" s="319" t="s">
        <v>190</v>
      </c>
      <c r="GN962" s="319" t="s">
        <v>190</v>
      </c>
      <c r="GO962" s="319" t="s">
        <v>190</v>
      </c>
      <c r="GP962" s="319" t="s">
        <v>190</v>
      </c>
      <c r="GQ962" s="319" t="s">
        <v>428</v>
      </c>
      <c r="GR962" s="319" t="s">
        <v>190</v>
      </c>
      <c r="GS962" s="319" t="s">
        <v>190</v>
      </c>
      <c r="GT962" s="319" t="s">
        <v>190</v>
      </c>
      <c r="GU962" s="319" t="s">
        <v>190</v>
      </c>
      <c r="GV962" s="319" t="s">
        <v>190</v>
      </c>
      <c r="GW962" s="319" t="s">
        <v>190</v>
      </c>
      <c r="GX962" s="319" t="s">
        <v>190</v>
      </c>
      <c r="GY962" s="319" t="s">
        <v>190</v>
      </c>
      <c r="GZ962" s="319" t="s">
        <v>428</v>
      </c>
      <c r="HA962" s="319" t="s">
        <v>190</v>
      </c>
      <c r="HB962" s="319" t="s">
        <v>428</v>
      </c>
      <c r="HC962" s="319" t="s">
        <v>190</v>
      </c>
      <c r="HD962" s="319" t="s">
        <v>190</v>
      </c>
      <c r="HE962" s="319" t="s">
        <v>190</v>
      </c>
      <c r="HF962" s="319" t="s">
        <v>190</v>
      </c>
      <c r="HG962" s="319" t="s">
        <v>190</v>
      </c>
      <c r="HH962" s="319" t="s">
        <v>190</v>
      </c>
      <c r="HI962" s="319" t="s">
        <v>428</v>
      </c>
      <c r="HJ962" s="319" t="s">
        <v>190</v>
      </c>
      <c r="HK962" s="319" t="s">
        <v>428</v>
      </c>
      <c r="HL962" s="319" t="s">
        <v>190</v>
      </c>
      <c r="HM962" s="319" t="s">
        <v>190</v>
      </c>
      <c r="HN962" s="319" t="s">
        <v>190</v>
      </c>
      <c r="HO962" s="319" t="s">
        <v>190</v>
      </c>
      <c r="HP962" s="319" t="s">
        <v>190</v>
      </c>
      <c r="HQ962" s="319" t="s">
        <v>190</v>
      </c>
      <c r="HR962" s="319" t="s">
        <v>190</v>
      </c>
      <c r="HS962" s="319" t="s">
        <v>190</v>
      </c>
      <c r="HT962" s="319" t="s">
        <v>190</v>
      </c>
      <c r="HU962" s="319" t="s">
        <v>190</v>
      </c>
      <c r="HV962" s="319" t="s">
        <v>190</v>
      </c>
      <c r="HW962" s="319" t="s">
        <v>190</v>
      </c>
      <c r="HX962" s="319" t="s">
        <v>190</v>
      </c>
      <c r="HY962" s="319" t="s">
        <v>190</v>
      </c>
      <c r="HZ962" s="319" t="s">
        <v>190</v>
      </c>
      <c r="IA962" s="319" t="s">
        <v>190</v>
      </c>
      <c r="IB962" s="319" t="s">
        <v>190</v>
      </c>
      <c r="IC962" s="319" t="s">
        <v>190</v>
      </c>
      <c r="ID962" s="319" t="s">
        <v>190</v>
      </c>
      <c r="IE962" s="319" t="s">
        <v>190</v>
      </c>
      <c r="IF962" s="319" t="s">
        <v>190</v>
      </c>
      <c r="IG962" s="319" t="s">
        <v>190</v>
      </c>
      <c r="IH962" s="319" t="s">
        <v>190</v>
      </c>
      <c r="II962" s="319" t="s">
        <v>190</v>
      </c>
      <c r="IJ962" s="319" t="s">
        <v>173</v>
      </c>
      <c r="IK962" s="319" t="s">
        <v>173</v>
      </c>
      <c r="IL962" s="319" t="s">
        <v>173</v>
      </c>
      <c r="IM962" s="319" t="s">
        <v>173</v>
      </c>
      <c r="IN962" s="319" t="s">
        <v>173</v>
      </c>
      <c r="IO962" s="319" t="s">
        <v>173</v>
      </c>
      <c r="IP962" s="319" t="s">
        <v>173</v>
      </c>
      <c r="IQ962" s="321" t="s">
        <v>173</v>
      </c>
      <c r="IR962" s="320" t="s">
        <v>173</v>
      </c>
      <c r="IS962" s="322" t="s">
        <v>173</v>
      </c>
      <c r="IT962" s="319" t="s">
        <v>173</v>
      </c>
    </row>
    <row r="963" spans="1:254" s="271" customFormat="1" x14ac:dyDescent="0.25">
      <c r="A963" s="318" t="str">
        <f>HYPERLINK("http://www.ofsted.gov.uk/inspection-reports/find-inspection-report/provider/ELS/145242 ","Ofsted School Webpage")</f>
        <v>Ofsted School Webpage</v>
      </c>
      <c r="B963" s="319">
        <v>145242</v>
      </c>
      <c r="C963" s="319">
        <v>8886075</v>
      </c>
      <c r="D963" s="319" t="s">
        <v>684</v>
      </c>
      <c r="E963" s="319" t="s">
        <v>168</v>
      </c>
      <c r="F963" s="319" t="s">
        <v>81</v>
      </c>
      <c r="G963" s="319" t="s">
        <v>81</v>
      </c>
      <c r="H963" s="319" t="s">
        <v>81</v>
      </c>
      <c r="I963" s="319" t="s">
        <v>78</v>
      </c>
      <c r="J963" s="319" t="s">
        <v>424</v>
      </c>
      <c r="K963" s="319" t="s">
        <v>431</v>
      </c>
      <c r="L963" s="319" t="s">
        <v>431</v>
      </c>
      <c r="M963" s="319" t="s">
        <v>469</v>
      </c>
      <c r="N963" s="319" t="s">
        <v>2990</v>
      </c>
      <c r="O963" s="319" t="s">
        <v>685</v>
      </c>
      <c r="P963" s="319" t="s">
        <v>173</v>
      </c>
      <c r="Q963" s="319" t="s">
        <v>429</v>
      </c>
      <c r="R963" s="320">
        <v>10053746</v>
      </c>
      <c r="S963" s="321">
        <v>43424</v>
      </c>
      <c r="T963" s="321">
        <v>43425</v>
      </c>
      <c r="U963" s="321">
        <v>43447</v>
      </c>
      <c r="V963" s="319" t="s">
        <v>435</v>
      </c>
      <c r="W963" s="319" t="s">
        <v>2767</v>
      </c>
      <c r="X963" s="319">
        <v>2</v>
      </c>
      <c r="Y963" s="319" t="s">
        <v>173</v>
      </c>
      <c r="Z963" s="319" t="s">
        <v>173</v>
      </c>
      <c r="AA963" s="319" t="s">
        <v>173</v>
      </c>
      <c r="AB963" s="319">
        <v>2</v>
      </c>
      <c r="AC963" s="319" t="s">
        <v>169</v>
      </c>
      <c r="AD963" s="319" t="s">
        <v>173</v>
      </c>
      <c r="AE963" s="319" t="s">
        <v>173</v>
      </c>
      <c r="AF963" s="319" t="s">
        <v>447</v>
      </c>
      <c r="AG963" s="319" t="s">
        <v>171</v>
      </c>
      <c r="AH963" s="319" t="s">
        <v>190</v>
      </c>
      <c r="AI963" s="319" t="s">
        <v>190</v>
      </c>
      <c r="AJ963" s="319" t="s">
        <v>190</v>
      </c>
      <c r="AK963" s="319" t="s">
        <v>190</v>
      </c>
      <c r="AL963" s="319" t="s">
        <v>190</v>
      </c>
      <c r="AM963" s="319" t="s">
        <v>190</v>
      </c>
      <c r="AN963" s="319" t="s">
        <v>190</v>
      </c>
      <c r="AO963" s="319" t="s">
        <v>190</v>
      </c>
      <c r="AP963" s="319" t="s">
        <v>190</v>
      </c>
      <c r="AQ963" s="319" t="s">
        <v>190</v>
      </c>
      <c r="AR963" s="319" t="s">
        <v>190</v>
      </c>
      <c r="AS963" s="319" t="s">
        <v>190</v>
      </c>
      <c r="AT963" s="319" t="s">
        <v>190</v>
      </c>
      <c r="AU963" s="319" t="s">
        <v>190</v>
      </c>
      <c r="AV963" s="319" t="s">
        <v>190</v>
      </c>
      <c r="AW963" s="319" t="s">
        <v>190</v>
      </c>
      <c r="AX963" s="319" t="s">
        <v>428</v>
      </c>
      <c r="AY963" s="319" t="s">
        <v>190</v>
      </c>
      <c r="AZ963" s="319" t="s">
        <v>190</v>
      </c>
      <c r="BA963" s="319" t="s">
        <v>190</v>
      </c>
      <c r="BB963" s="319" t="s">
        <v>190</v>
      </c>
      <c r="BC963" s="319" t="s">
        <v>190</v>
      </c>
      <c r="BD963" s="319" t="s">
        <v>190</v>
      </c>
      <c r="BE963" s="319" t="s">
        <v>190</v>
      </c>
      <c r="BF963" s="319" t="s">
        <v>428</v>
      </c>
      <c r="BG963" s="319" t="s">
        <v>428</v>
      </c>
      <c r="BH963" s="319" t="s">
        <v>190</v>
      </c>
      <c r="BI963" s="319" t="s">
        <v>190</v>
      </c>
      <c r="BJ963" s="319" t="s">
        <v>190</v>
      </c>
      <c r="BK963" s="319" t="s">
        <v>190</v>
      </c>
      <c r="BL963" s="319" t="s">
        <v>190</v>
      </c>
      <c r="BM963" s="319" t="s">
        <v>190</v>
      </c>
      <c r="BN963" s="319" t="s">
        <v>190</v>
      </c>
      <c r="BO963" s="319" t="s">
        <v>190</v>
      </c>
      <c r="BP963" s="319" t="s">
        <v>190</v>
      </c>
      <c r="BQ963" s="319" t="s">
        <v>190</v>
      </c>
      <c r="BR963" s="319" t="s">
        <v>190</v>
      </c>
      <c r="BS963" s="319" t="s">
        <v>190</v>
      </c>
      <c r="BT963" s="319" t="s">
        <v>190</v>
      </c>
      <c r="BU963" s="319" t="s">
        <v>190</v>
      </c>
      <c r="BV963" s="319" t="s">
        <v>190</v>
      </c>
      <c r="BW963" s="319" t="s">
        <v>190</v>
      </c>
      <c r="BX963" s="319" t="s">
        <v>190</v>
      </c>
      <c r="BY963" s="319" t="s">
        <v>190</v>
      </c>
      <c r="BZ963" s="319" t="s">
        <v>190</v>
      </c>
      <c r="CA963" s="319" t="s">
        <v>190</v>
      </c>
      <c r="CB963" s="319" t="s">
        <v>190</v>
      </c>
      <c r="CC963" s="319" t="s">
        <v>190</v>
      </c>
      <c r="CD963" s="319" t="s">
        <v>190</v>
      </c>
      <c r="CE963" s="319" t="s">
        <v>190</v>
      </c>
      <c r="CF963" s="319" t="s">
        <v>190</v>
      </c>
      <c r="CG963" s="319" t="s">
        <v>190</v>
      </c>
      <c r="CH963" s="319" t="s">
        <v>190</v>
      </c>
      <c r="CI963" s="319" t="s">
        <v>190</v>
      </c>
      <c r="CJ963" s="319" t="s">
        <v>190</v>
      </c>
      <c r="CK963" s="319" t="s">
        <v>190</v>
      </c>
      <c r="CL963" s="319" t="s">
        <v>190</v>
      </c>
      <c r="CM963" s="319" t="s">
        <v>190</v>
      </c>
      <c r="CN963" s="319" t="s">
        <v>428</v>
      </c>
      <c r="CO963" s="319" t="s">
        <v>428</v>
      </c>
      <c r="CP963" s="319" t="s">
        <v>428</v>
      </c>
      <c r="CQ963" s="319" t="s">
        <v>190</v>
      </c>
      <c r="CR963" s="319" t="s">
        <v>190</v>
      </c>
      <c r="CS963" s="319" t="s">
        <v>190</v>
      </c>
      <c r="CT963" s="319" t="s">
        <v>190</v>
      </c>
      <c r="CU963" s="319" t="s">
        <v>190</v>
      </c>
      <c r="CV963" s="319" t="s">
        <v>190</v>
      </c>
      <c r="CW963" s="319" t="s">
        <v>190</v>
      </c>
      <c r="CX963" s="319" t="s">
        <v>190</v>
      </c>
      <c r="CY963" s="319" t="s">
        <v>190</v>
      </c>
      <c r="CZ963" s="319" t="s">
        <v>190</v>
      </c>
      <c r="DA963" s="319" t="s">
        <v>190</v>
      </c>
      <c r="DB963" s="319" t="s">
        <v>190</v>
      </c>
      <c r="DC963" s="319" t="s">
        <v>190</v>
      </c>
      <c r="DD963" s="319" t="s">
        <v>190</v>
      </c>
      <c r="DE963" s="319" t="s">
        <v>190</v>
      </c>
      <c r="DF963" s="319" t="s">
        <v>190</v>
      </c>
      <c r="DG963" s="319" t="s">
        <v>190</v>
      </c>
      <c r="DH963" s="319" t="s">
        <v>190</v>
      </c>
      <c r="DI963" s="319" t="s">
        <v>190</v>
      </c>
      <c r="DJ963" s="319" t="s">
        <v>190</v>
      </c>
      <c r="DK963" s="319" t="s">
        <v>190</v>
      </c>
      <c r="DL963" s="319" t="s">
        <v>190</v>
      </c>
      <c r="DM963" s="319" t="s">
        <v>190</v>
      </c>
      <c r="DN963" s="319" t="s">
        <v>428</v>
      </c>
      <c r="DO963" s="319" t="s">
        <v>190</v>
      </c>
      <c r="DP963" s="319" t="s">
        <v>428</v>
      </c>
      <c r="DQ963" s="319" t="s">
        <v>428</v>
      </c>
      <c r="DR963" s="319" t="s">
        <v>428</v>
      </c>
      <c r="DS963" s="319" t="s">
        <v>428</v>
      </c>
      <c r="DT963" s="319" t="s">
        <v>428</v>
      </c>
      <c r="DU963" s="319" t="s">
        <v>428</v>
      </c>
      <c r="DV963" s="319" t="s">
        <v>173</v>
      </c>
      <c r="DW963" s="319" t="s">
        <v>428</v>
      </c>
      <c r="DX963" s="319" t="s">
        <v>428</v>
      </c>
      <c r="DY963" s="319" t="s">
        <v>428</v>
      </c>
      <c r="DZ963" s="319" t="s">
        <v>428</v>
      </c>
      <c r="EA963" s="319" t="s">
        <v>428</v>
      </c>
      <c r="EB963" s="319" t="s">
        <v>428</v>
      </c>
      <c r="EC963" s="319" t="s">
        <v>428</v>
      </c>
      <c r="ED963" s="319" t="s">
        <v>190</v>
      </c>
      <c r="EE963" s="319" t="s">
        <v>190</v>
      </c>
      <c r="EF963" s="319" t="s">
        <v>190</v>
      </c>
      <c r="EG963" s="319" t="s">
        <v>190</v>
      </c>
      <c r="EH963" s="319" t="s">
        <v>190</v>
      </c>
      <c r="EI963" s="319" t="s">
        <v>190</v>
      </c>
      <c r="EJ963" s="319" t="s">
        <v>190</v>
      </c>
      <c r="EK963" s="319" t="s">
        <v>190</v>
      </c>
      <c r="EL963" s="319" t="s">
        <v>190</v>
      </c>
      <c r="EM963" s="319" t="s">
        <v>190</v>
      </c>
      <c r="EN963" s="319" t="s">
        <v>190</v>
      </c>
      <c r="EO963" s="319" t="s">
        <v>190</v>
      </c>
      <c r="EP963" s="319" t="s">
        <v>190</v>
      </c>
      <c r="EQ963" s="319" t="s">
        <v>190</v>
      </c>
      <c r="ER963" s="319" t="s">
        <v>190</v>
      </c>
      <c r="ES963" s="319" t="s">
        <v>190</v>
      </c>
      <c r="ET963" s="319" t="s">
        <v>190</v>
      </c>
      <c r="EU963" s="319" t="s">
        <v>190</v>
      </c>
      <c r="EV963" s="319" t="s">
        <v>190</v>
      </c>
      <c r="EW963" s="319" t="s">
        <v>190</v>
      </c>
      <c r="EX963" s="319" t="s">
        <v>190</v>
      </c>
      <c r="EY963" s="319" t="s">
        <v>190</v>
      </c>
      <c r="EZ963" s="319" t="s">
        <v>190</v>
      </c>
      <c r="FA963" s="319" t="s">
        <v>428</v>
      </c>
      <c r="FB963" s="319" t="s">
        <v>428</v>
      </c>
      <c r="FC963" s="319" t="s">
        <v>428</v>
      </c>
      <c r="FD963" s="319" t="s">
        <v>428</v>
      </c>
      <c r="FE963" s="319" t="s">
        <v>428</v>
      </c>
      <c r="FF963" s="319" t="s">
        <v>428</v>
      </c>
      <c r="FG963" s="319" t="s">
        <v>428</v>
      </c>
      <c r="FH963" s="319" t="s">
        <v>428</v>
      </c>
      <c r="FI963" s="319" t="s">
        <v>190</v>
      </c>
      <c r="FJ963" s="319" t="s">
        <v>190</v>
      </c>
      <c r="FK963" s="319" t="s">
        <v>190</v>
      </c>
      <c r="FL963" s="319" t="s">
        <v>190</v>
      </c>
      <c r="FM963" s="319" t="s">
        <v>190</v>
      </c>
      <c r="FN963" s="319" t="s">
        <v>190</v>
      </c>
      <c r="FO963" s="319" t="s">
        <v>190</v>
      </c>
      <c r="FP963" s="319" t="s">
        <v>190</v>
      </c>
      <c r="FQ963" s="319" t="s">
        <v>190</v>
      </c>
      <c r="FR963" s="319" t="s">
        <v>190</v>
      </c>
      <c r="FS963" s="319" t="s">
        <v>428</v>
      </c>
      <c r="FT963" s="319" t="s">
        <v>190</v>
      </c>
      <c r="FU963" s="319" t="s">
        <v>190</v>
      </c>
      <c r="FV963" s="319" t="s">
        <v>190</v>
      </c>
      <c r="FW963" s="319" t="s">
        <v>190</v>
      </c>
      <c r="FX963" s="319" t="s">
        <v>190</v>
      </c>
      <c r="FY963" s="319" t="s">
        <v>190</v>
      </c>
      <c r="FZ963" s="319" t="s">
        <v>190</v>
      </c>
      <c r="GA963" s="319" t="s">
        <v>190</v>
      </c>
      <c r="GB963" s="319" t="s">
        <v>190</v>
      </c>
      <c r="GC963" s="319" t="s">
        <v>190</v>
      </c>
      <c r="GD963" s="319" t="s">
        <v>190</v>
      </c>
      <c r="GE963" s="319" t="s">
        <v>190</v>
      </c>
      <c r="GF963" s="319" t="s">
        <v>190</v>
      </c>
      <c r="GG963" s="319" t="s">
        <v>190</v>
      </c>
      <c r="GH963" s="319" t="s">
        <v>190</v>
      </c>
      <c r="GI963" s="319" t="s">
        <v>190</v>
      </c>
      <c r="GJ963" s="319" t="s">
        <v>190</v>
      </c>
      <c r="GK963" s="319" t="s">
        <v>428</v>
      </c>
      <c r="GL963" s="319" t="s">
        <v>190</v>
      </c>
      <c r="GM963" s="319" t="s">
        <v>190</v>
      </c>
      <c r="GN963" s="319" t="s">
        <v>190</v>
      </c>
      <c r="GO963" s="319" t="s">
        <v>190</v>
      </c>
      <c r="GP963" s="319" t="s">
        <v>190</v>
      </c>
      <c r="GQ963" s="319" t="s">
        <v>428</v>
      </c>
      <c r="GR963" s="319" t="s">
        <v>190</v>
      </c>
      <c r="GS963" s="319" t="s">
        <v>190</v>
      </c>
      <c r="GT963" s="319" t="s">
        <v>428</v>
      </c>
      <c r="GU963" s="319" t="s">
        <v>428</v>
      </c>
      <c r="GV963" s="319" t="s">
        <v>190</v>
      </c>
      <c r="GW963" s="319" t="s">
        <v>190</v>
      </c>
      <c r="GX963" s="319" t="s">
        <v>190</v>
      </c>
      <c r="GY963" s="319" t="s">
        <v>190</v>
      </c>
      <c r="GZ963" s="319" t="s">
        <v>190</v>
      </c>
      <c r="HA963" s="319" t="s">
        <v>428</v>
      </c>
      <c r="HB963" s="319" t="s">
        <v>428</v>
      </c>
      <c r="HC963" s="319" t="s">
        <v>190</v>
      </c>
      <c r="HD963" s="319" t="s">
        <v>190</v>
      </c>
      <c r="HE963" s="319" t="s">
        <v>190</v>
      </c>
      <c r="HF963" s="319" t="s">
        <v>190</v>
      </c>
      <c r="HG963" s="319" t="s">
        <v>190</v>
      </c>
      <c r="HH963" s="319" t="s">
        <v>190</v>
      </c>
      <c r="HI963" s="319" t="s">
        <v>428</v>
      </c>
      <c r="HJ963" s="319" t="s">
        <v>190</v>
      </c>
      <c r="HK963" s="319" t="s">
        <v>428</v>
      </c>
      <c r="HL963" s="319" t="s">
        <v>428</v>
      </c>
      <c r="HM963" s="319" t="s">
        <v>428</v>
      </c>
      <c r="HN963" s="319" t="s">
        <v>428</v>
      </c>
      <c r="HO963" s="319" t="s">
        <v>428</v>
      </c>
      <c r="HP963" s="319" t="s">
        <v>190</v>
      </c>
      <c r="HQ963" s="319" t="s">
        <v>190</v>
      </c>
      <c r="HR963" s="319" t="s">
        <v>190</v>
      </c>
      <c r="HS963" s="319" t="s">
        <v>190</v>
      </c>
      <c r="HT963" s="319" t="s">
        <v>190</v>
      </c>
      <c r="HU963" s="319" t="s">
        <v>190</v>
      </c>
      <c r="HV963" s="319" t="s">
        <v>190</v>
      </c>
      <c r="HW963" s="319" t="s">
        <v>190</v>
      </c>
      <c r="HX963" s="319" t="s">
        <v>190</v>
      </c>
      <c r="HY963" s="319" t="s">
        <v>190</v>
      </c>
      <c r="HZ963" s="319" t="s">
        <v>190</v>
      </c>
      <c r="IA963" s="319" t="s">
        <v>190</v>
      </c>
      <c r="IB963" s="319" t="s">
        <v>190</v>
      </c>
      <c r="IC963" s="319" t="s">
        <v>190</v>
      </c>
      <c r="ID963" s="319" t="s">
        <v>190</v>
      </c>
      <c r="IE963" s="319" t="s">
        <v>190</v>
      </c>
      <c r="IF963" s="319" t="s">
        <v>190</v>
      </c>
      <c r="IG963" s="319" t="s">
        <v>190</v>
      </c>
      <c r="IH963" s="319" t="s">
        <v>190</v>
      </c>
      <c r="II963" s="319" t="s">
        <v>190</v>
      </c>
      <c r="IJ963" s="319" t="s">
        <v>173</v>
      </c>
      <c r="IK963" s="319" t="s">
        <v>173</v>
      </c>
      <c r="IL963" s="319" t="s">
        <v>173</v>
      </c>
      <c r="IM963" s="319" t="s">
        <v>173</v>
      </c>
      <c r="IN963" s="319" t="s">
        <v>173</v>
      </c>
      <c r="IO963" s="319" t="s">
        <v>173</v>
      </c>
      <c r="IP963" s="319" t="s">
        <v>173</v>
      </c>
      <c r="IQ963" s="321" t="s">
        <v>173</v>
      </c>
      <c r="IR963" s="320" t="s">
        <v>173</v>
      </c>
      <c r="IS963" s="322" t="s">
        <v>173</v>
      </c>
      <c r="IT963" s="319" t="s">
        <v>173</v>
      </c>
    </row>
    <row r="964" spans="1:254" s="271" customFormat="1" x14ac:dyDescent="0.25">
      <c r="A964" s="318" t="str">
        <f>HYPERLINK("http://www.ofsted.gov.uk/inspection-reports/find-inspection-report/provider/ELS/145289 ","Ofsted School Webpage")</f>
        <v>Ofsted School Webpage</v>
      </c>
      <c r="B964" s="319">
        <v>145289</v>
      </c>
      <c r="C964" s="319">
        <v>3596003</v>
      </c>
      <c r="D964" s="319" t="s">
        <v>864</v>
      </c>
      <c r="E964" s="319" t="s">
        <v>168</v>
      </c>
      <c r="F964" s="319" t="s">
        <v>81</v>
      </c>
      <c r="G964" s="319" t="s">
        <v>81</v>
      </c>
      <c r="H964" s="319" t="s">
        <v>81</v>
      </c>
      <c r="I964" s="319" t="s">
        <v>78</v>
      </c>
      <c r="J964" s="319" t="s">
        <v>424</v>
      </c>
      <c r="K964" s="319" t="s">
        <v>431</v>
      </c>
      <c r="L964" s="319" t="s">
        <v>431</v>
      </c>
      <c r="M964" s="319" t="s">
        <v>432</v>
      </c>
      <c r="N964" s="319" t="s">
        <v>3567</v>
      </c>
      <c r="O964" s="319" t="s">
        <v>865</v>
      </c>
      <c r="P964" s="319">
        <v>15</v>
      </c>
      <c r="Q964" s="319" t="s">
        <v>429</v>
      </c>
      <c r="R964" s="320">
        <v>10081231</v>
      </c>
      <c r="S964" s="321">
        <v>43487</v>
      </c>
      <c r="T964" s="321">
        <v>43489</v>
      </c>
      <c r="U964" s="321">
        <v>43513</v>
      </c>
      <c r="V964" s="319" t="s">
        <v>435</v>
      </c>
      <c r="W964" s="319" t="s">
        <v>2767</v>
      </c>
      <c r="X964" s="319">
        <v>3</v>
      </c>
      <c r="Y964" s="319" t="s">
        <v>173</v>
      </c>
      <c r="Z964" s="319" t="s">
        <v>173</v>
      </c>
      <c r="AA964" s="319" t="s">
        <v>173</v>
      </c>
      <c r="AB964" s="319">
        <v>3</v>
      </c>
      <c r="AC964" s="319" t="s">
        <v>169</v>
      </c>
      <c r="AD964" s="319" t="s">
        <v>173</v>
      </c>
      <c r="AE964" s="319" t="s">
        <v>173</v>
      </c>
      <c r="AF964" s="319" t="s">
        <v>427</v>
      </c>
      <c r="AG964" s="319" t="s">
        <v>171</v>
      </c>
      <c r="AH964" s="319" t="s">
        <v>190</v>
      </c>
      <c r="AI964" s="319" t="s">
        <v>190</v>
      </c>
      <c r="AJ964" s="319" t="s">
        <v>190</v>
      </c>
      <c r="AK964" s="319" t="s">
        <v>190</v>
      </c>
      <c r="AL964" s="319" t="s">
        <v>190</v>
      </c>
      <c r="AM964" s="319" t="s">
        <v>190</v>
      </c>
      <c r="AN964" s="319" t="s">
        <v>190</v>
      </c>
      <c r="AO964" s="319" t="s">
        <v>190</v>
      </c>
      <c r="AP964" s="319" t="s">
        <v>190</v>
      </c>
      <c r="AQ964" s="319" t="s">
        <v>190</v>
      </c>
      <c r="AR964" s="319" t="s">
        <v>190</v>
      </c>
      <c r="AS964" s="319" t="s">
        <v>190</v>
      </c>
      <c r="AT964" s="319" t="s">
        <v>190</v>
      </c>
      <c r="AU964" s="319" t="s">
        <v>190</v>
      </c>
      <c r="AV964" s="319" t="s">
        <v>190</v>
      </c>
      <c r="AW964" s="319" t="s">
        <v>190</v>
      </c>
      <c r="AX964" s="319" t="s">
        <v>428</v>
      </c>
      <c r="AY964" s="319" t="s">
        <v>190</v>
      </c>
      <c r="AZ964" s="319" t="s">
        <v>190</v>
      </c>
      <c r="BA964" s="319" t="s">
        <v>190</v>
      </c>
      <c r="BB964" s="319" t="s">
        <v>190</v>
      </c>
      <c r="BC964" s="319" t="s">
        <v>190</v>
      </c>
      <c r="BD964" s="319" t="s">
        <v>190</v>
      </c>
      <c r="BE964" s="319" t="s">
        <v>190</v>
      </c>
      <c r="BF964" s="319" t="s">
        <v>428</v>
      </c>
      <c r="BG964" s="319" t="s">
        <v>428</v>
      </c>
      <c r="BH964" s="319" t="s">
        <v>190</v>
      </c>
      <c r="BI964" s="319" t="s">
        <v>190</v>
      </c>
      <c r="BJ964" s="319" t="s">
        <v>190</v>
      </c>
      <c r="BK964" s="319" t="s">
        <v>190</v>
      </c>
      <c r="BL964" s="319" t="s">
        <v>190</v>
      </c>
      <c r="BM964" s="319" t="s">
        <v>190</v>
      </c>
      <c r="BN964" s="319" t="s">
        <v>190</v>
      </c>
      <c r="BO964" s="319" t="s">
        <v>190</v>
      </c>
      <c r="BP964" s="319" t="s">
        <v>190</v>
      </c>
      <c r="BQ964" s="319" t="s">
        <v>190</v>
      </c>
      <c r="BR964" s="319" t="s">
        <v>190</v>
      </c>
      <c r="BS964" s="319" t="s">
        <v>190</v>
      </c>
      <c r="BT964" s="319" t="s">
        <v>190</v>
      </c>
      <c r="BU964" s="319" t="s">
        <v>190</v>
      </c>
      <c r="BV964" s="319" t="s">
        <v>190</v>
      </c>
      <c r="BW964" s="319" t="s">
        <v>190</v>
      </c>
      <c r="BX964" s="319" t="s">
        <v>190</v>
      </c>
      <c r="BY964" s="319" t="s">
        <v>190</v>
      </c>
      <c r="BZ964" s="319" t="s">
        <v>190</v>
      </c>
      <c r="CA964" s="319" t="s">
        <v>190</v>
      </c>
      <c r="CB964" s="319" t="s">
        <v>190</v>
      </c>
      <c r="CC964" s="319" t="s">
        <v>190</v>
      </c>
      <c r="CD964" s="319" t="s">
        <v>190</v>
      </c>
      <c r="CE964" s="319" t="s">
        <v>190</v>
      </c>
      <c r="CF964" s="319" t="s">
        <v>190</v>
      </c>
      <c r="CG964" s="319" t="s">
        <v>190</v>
      </c>
      <c r="CH964" s="319" t="s">
        <v>190</v>
      </c>
      <c r="CI964" s="319" t="s">
        <v>190</v>
      </c>
      <c r="CJ964" s="319" t="s">
        <v>190</v>
      </c>
      <c r="CK964" s="319" t="s">
        <v>190</v>
      </c>
      <c r="CL964" s="319" t="s">
        <v>190</v>
      </c>
      <c r="CM964" s="319" t="s">
        <v>190</v>
      </c>
      <c r="CN964" s="319" t="s">
        <v>428</v>
      </c>
      <c r="CO964" s="319" t="s">
        <v>428</v>
      </c>
      <c r="CP964" s="319" t="s">
        <v>428</v>
      </c>
      <c r="CQ964" s="319" t="s">
        <v>190</v>
      </c>
      <c r="CR964" s="319" t="s">
        <v>190</v>
      </c>
      <c r="CS964" s="319" t="s">
        <v>190</v>
      </c>
      <c r="CT964" s="319" t="s">
        <v>190</v>
      </c>
      <c r="CU964" s="319" t="s">
        <v>190</v>
      </c>
      <c r="CV964" s="319" t="s">
        <v>190</v>
      </c>
      <c r="CW964" s="319" t="s">
        <v>190</v>
      </c>
      <c r="CX964" s="319" t="s">
        <v>190</v>
      </c>
      <c r="CY964" s="319" t="s">
        <v>190</v>
      </c>
      <c r="CZ964" s="319" t="s">
        <v>190</v>
      </c>
      <c r="DA964" s="319" t="s">
        <v>190</v>
      </c>
      <c r="DB964" s="319" t="s">
        <v>190</v>
      </c>
      <c r="DC964" s="319" t="s">
        <v>190</v>
      </c>
      <c r="DD964" s="319" t="s">
        <v>190</v>
      </c>
      <c r="DE964" s="319" t="s">
        <v>190</v>
      </c>
      <c r="DF964" s="319" t="s">
        <v>190</v>
      </c>
      <c r="DG964" s="319" t="s">
        <v>190</v>
      </c>
      <c r="DH964" s="319" t="s">
        <v>190</v>
      </c>
      <c r="DI964" s="319" t="s">
        <v>190</v>
      </c>
      <c r="DJ964" s="319" t="s">
        <v>190</v>
      </c>
      <c r="DK964" s="319" t="s">
        <v>190</v>
      </c>
      <c r="DL964" s="319" t="s">
        <v>190</v>
      </c>
      <c r="DM964" s="319" t="s">
        <v>428</v>
      </c>
      <c r="DN964" s="319" t="s">
        <v>428</v>
      </c>
      <c r="DO964" s="319" t="s">
        <v>190</v>
      </c>
      <c r="DP964" s="319" t="s">
        <v>190</v>
      </c>
      <c r="DQ964" s="319" t="s">
        <v>190</v>
      </c>
      <c r="DR964" s="319" t="s">
        <v>190</v>
      </c>
      <c r="DS964" s="319" t="s">
        <v>190</v>
      </c>
      <c r="DT964" s="319" t="s">
        <v>190</v>
      </c>
      <c r="DU964" s="319" t="s">
        <v>190</v>
      </c>
      <c r="DV964" s="319" t="s">
        <v>173</v>
      </c>
      <c r="DW964" s="319" t="s">
        <v>190</v>
      </c>
      <c r="DX964" s="319" t="s">
        <v>190</v>
      </c>
      <c r="DY964" s="319" t="s">
        <v>190</v>
      </c>
      <c r="DZ964" s="319" t="s">
        <v>190</v>
      </c>
      <c r="EA964" s="319" t="s">
        <v>190</v>
      </c>
      <c r="EB964" s="319" t="s">
        <v>190</v>
      </c>
      <c r="EC964" s="319" t="s">
        <v>428</v>
      </c>
      <c r="ED964" s="319" t="s">
        <v>190</v>
      </c>
      <c r="EE964" s="319" t="s">
        <v>190</v>
      </c>
      <c r="EF964" s="319" t="s">
        <v>190</v>
      </c>
      <c r="EG964" s="319" t="s">
        <v>190</v>
      </c>
      <c r="EH964" s="319" t="s">
        <v>190</v>
      </c>
      <c r="EI964" s="319" t="s">
        <v>190</v>
      </c>
      <c r="EJ964" s="319" t="s">
        <v>190</v>
      </c>
      <c r="EK964" s="319" t="s">
        <v>190</v>
      </c>
      <c r="EL964" s="319" t="s">
        <v>428</v>
      </c>
      <c r="EM964" s="319" t="s">
        <v>190</v>
      </c>
      <c r="EN964" s="319" t="s">
        <v>190</v>
      </c>
      <c r="EO964" s="319" t="s">
        <v>190</v>
      </c>
      <c r="EP964" s="319" t="s">
        <v>190</v>
      </c>
      <c r="EQ964" s="319" t="s">
        <v>190</v>
      </c>
      <c r="ER964" s="319" t="s">
        <v>190</v>
      </c>
      <c r="ES964" s="319" t="s">
        <v>190</v>
      </c>
      <c r="ET964" s="319" t="s">
        <v>190</v>
      </c>
      <c r="EU964" s="319" t="s">
        <v>190</v>
      </c>
      <c r="EV964" s="319" t="s">
        <v>190</v>
      </c>
      <c r="EW964" s="319" t="s">
        <v>190</v>
      </c>
      <c r="EX964" s="319" t="s">
        <v>190</v>
      </c>
      <c r="EY964" s="319" t="s">
        <v>428</v>
      </c>
      <c r="EZ964" s="319" t="s">
        <v>190</v>
      </c>
      <c r="FA964" s="319" t="s">
        <v>190</v>
      </c>
      <c r="FB964" s="319" t="s">
        <v>190</v>
      </c>
      <c r="FC964" s="319" t="s">
        <v>190</v>
      </c>
      <c r="FD964" s="319" t="s">
        <v>190</v>
      </c>
      <c r="FE964" s="319" t="s">
        <v>190</v>
      </c>
      <c r="FF964" s="319" t="s">
        <v>190</v>
      </c>
      <c r="FG964" s="319" t="s">
        <v>190</v>
      </c>
      <c r="FH964" s="319" t="s">
        <v>428</v>
      </c>
      <c r="FI964" s="319" t="s">
        <v>428</v>
      </c>
      <c r="FJ964" s="319" t="s">
        <v>429</v>
      </c>
      <c r="FK964" s="319" t="s">
        <v>428</v>
      </c>
      <c r="FL964" s="319" t="s">
        <v>190</v>
      </c>
      <c r="FM964" s="319" t="s">
        <v>190</v>
      </c>
      <c r="FN964" s="319" t="s">
        <v>190</v>
      </c>
      <c r="FO964" s="319" t="s">
        <v>190</v>
      </c>
      <c r="FP964" s="319" t="s">
        <v>190</v>
      </c>
      <c r="FQ964" s="319" t="s">
        <v>190</v>
      </c>
      <c r="FR964" s="319" t="s">
        <v>190</v>
      </c>
      <c r="FS964" s="319" t="s">
        <v>428</v>
      </c>
      <c r="FT964" s="319" t="s">
        <v>190</v>
      </c>
      <c r="FU964" s="319" t="s">
        <v>190</v>
      </c>
      <c r="FV964" s="319" t="s">
        <v>190</v>
      </c>
      <c r="FW964" s="319" t="s">
        <v>190</v>
      </c>
      <c r="FX964" s="319" t="s">
        <v>190</v>
      </c>
      <c r="FY964" s="319" t="s">
        <v>190</v>
      </c>
      <c r="FZ964" s="319" t="s">
        <v>190</v>
      </c>
      <c r="GA964" s="319" t="s">
        <v>190</v>
      </c>
      <c r="GB964" s="319" t="s">
        <v>190</v>
      </c>
      <c r="GC964" s="319" t="s">
        <v>190</v>
      </c>
      <c r="GD964" s="319" t="s">
        <v>190</v>
      </c>
      <c r="GE964" s="319" t="s">
        <v>190</v>
      </c>
      <c r="GF964" s="319" t="s">
        <v>190</v>
      </c>
      <c r="GG964" s="319" t="s">
        <v>190</v>
      </c>
      <c r="GH964" s="319" t="s">
        <v>190</v>
      </c>
      <c r="GI964" s="319" t="s">
        <v>190</v>
      </c>
      <c r="GJ964" s="319" t="s">
        <v>190</v>
      </c>
      <c r="GK964" s="319" t="s">
        <v>428</v>
      </c>
      <c r="GL964" s="319" t="s">
        <v>190</v>
      </c>
      <c r="GM964" s="319" t="s">
        <v>190</v>
      </c>
      <c r="GN964" s="319" t="s">
        <v>190</v>
      </c>
      <c r="GO964" s="319" t="s">
        <v>190</v>
      </c>
      <c r="GP964" s="319" t="s">
        <v>428</v>
      </c>
      <c r="GQ964" s="319" t="s">
        <v>428</v>
      </c>
      <c r="GR964" s="319" t="s">
        <v>190</v>
      </c>
      <c r="GS964" s="319" t="s">
        <v>190</v>
      </c>
      <c r="GT964" s="319" t="s">
        <v>190</v>
      </c>
      <c r="GU964" s="319" t="s">
        <v>190</v>
      </c>
      <c r="GV964" s="319" t="s">
        <v>428</v>
      </c>
      <c r="GW964" s="319" t="s">
        <v>190</v>
      </c>
      <c r="GX964" s="319" t="s">
        <v>190</v>
      </c>
      <c r="GY964" s="319" t="s">
        <v>190</v>
      </c>
      <c r="GZ964" s="319" t="s">
        <v>190</v>
      </c>
      <c r="HA964" s="319" t="s">
        <v>428</v>
      </c>
      <c r="HB964" s="319" t="s">
        <v>190</v>
      </c>
      <c r="HC964" s="319" t="s">
        <v>190</v>
      </c>
      <c r="HD964" s="319" t="s">
        <v>190</v>
      </c>
      <c r="HE964" s="319" t="s">
        <v>190</v>
      </c>
      <c r="HF964" s="319" t="s">
        <v>190</v>
      </c>
      <c r="HG964" s="319" t="s">
        <v>190</v>
      </c>
      <c r="HH964" s="319" t="s">
        <v>190</v>
      </c>
      <c r="HI964" s="319" t="s">
        <v>428</v>
      </c>
      <c r="HJ964" s="319" t="s">
        <v>190</v>
      </c>
      <c r="HK964" s="319" t="s">
        <v>428</v>
      </c>
      <c r="HL964" s="319" t="s">
        <v>428</v>
      </c>
      <c r="HM964" s="319" t="s">
        <v>428</v>
      </c>
      <c r="HN964" s="319" t="s">
        <v>428</v>
      </c>
      <c r="HO964" s="319" t="s">
        <v>428</v>
      </c>
      <c r="HP964" s="319" t="s">
        <v>190</v>
      </c>
      <c r="HQ964" s="319" t="s">
        <v>190</v>
      </c>
      <c r="HR964" s="319" t="s">
        <v>190</v>
      </c>
      <c r="HS964" s="319" t="s">
        <v>190</v>
      </c>
      <c r="HT964" s="319" t="s">
        <v>190</v>
      </c>
      <c r="HU964" s="319" t="s">
        <v>190</v>
      </c>
      <c r="HV964" s="319" t="s">
        <v>190</v>
      </c>
      <c r="HW964" s="319" t="s">
        <v>190</v>
      </c>
      <c r="HX964" s="319" t="s">
        <v>190</v>
      </c>
      <c r="HY964" s="319" t="s">
        <v>190</v>
      </c>
      <c r="HZ964" s="319" t="s">
        <v>190</v>
      </c>
      <c r="IA964" s="319" t="s">
        <v>190</v>
      </c>
      <c r="IB964" s="319" t="s">
        <v>190</v>
      </c>
      <c r="IC964" s="319" t="s">
        <v>190</v>
      </c>
      <c r="ID964" s="319" t="s">
        <v>190</v>
      </c>
      <c r="IE964" s="319" t="s">
        <v>190</v>
      </c>
      <c r="IF964" s="319" t="s">
        <v>190</v>
      </c>
      <c r="IG964" s="319" t="s">
        <v>190</v>
      </c>
      <c r="IH964" s="319" t="s">
        <v>190</v>
      </c>
      <c r="II964" s="319" t="s">
        <v>190</v>
      </c>
      <c r="IJ964" s="319" t="s">
        <v>173</v>
      </c>
      <c r="IK964" s="319" t="s">
        <v>173</v>
      </c>
      <c r="IL964" s="319" t="s">
        <v>173</v>
      </c>
      <c r="IM964" s="319" t="s">
        <v>173</v>
      </c>
      <c r="IN964" s="319" t="s">
        <v>173</v>
      </c>
      <c r="IO964" s="319" t="s">
        <v>173</v>
      </c>
      <c r="IP964" s="319" t="s">
        <v>173</v>
      </c>
      <c r="IQ964" s="321" t="s">
        <v>173</v>
      </c>
      <c r="IR964" s="320" t="s">
        <v>173</v>
      </c>
      <c r="IS964" s="322" t="s">
        <v>173</v>
      </c>
      <c r="IT964" s="319" t="s">
        <v>173</v>
      </c>
    </row>
    <row r="965" spans="1:254" s="271" customFormat="1" x14ac:dyDescent="0.25">
      <c r="A965" s="318" t="str">
        <f>HYPERLINK("http://www.ofsted.gov.uk/inspection-reports/find-inspection-report/provider/ELS/145290 ","Ofsted School Webpage")</f>
        <v>Ofsted School Webpage</v>
      </c>
      <c r="B965" s="319">
        <v>145290</v>
      </c>
      <c r="C965" s="319">
        <v>3576005</v>
      </c>
      <c r="D965" s="319" t="s">
        <v>741</v>
      </c>
      <c r="E965" s="319" t="s">
        <v>168</v>
      </c>
      <c r="F965" s="319" t="s">
        <v>81</v>
      </c>
      <c r="G965" s="319" t="s">
        <v>81</v>
      </c>
      <c r="H965" s="319" t="s">
        <v>81</v>
      </c>
      <c r="I965" s="319" t="s">
        <v>78</v>
      </c>
      <c r="J965" s="319" t="s">
        <v>424</v>
      </c>
      <c r="K965" s="319" t="s">
        <v>431</v>
      </c>
      <c r="L965" s="319" t="s">
        <v>431</v>
      </c>
      <c r="M965" s="319" t="s">
        <v>742</v>
      </c>
      <c r="N965" s="319" t="s">
        <v>3073</v>
      </c>
      <c r="O965" s="319" t="s">
        <v>743</v>
      </c>
      <c r="P965" s="319">
        <v>4</v>
      </c>
      <c r="Q965" s="319" t="s">
        <v>429</v>
      </c>
      <c r="R965" s="320">
        <v>10053743</v>
      </c>
      <c r="S965" s="321">
        <v>43438</v>
      </c>
      <c r="T965" s="321">
        <v>43440</v>
      </c>
      <c r="U965" s="321">
        <v>43488</v>
      </c>
      <c r="V965" s="319" t="s">
        <v>435</v>
      </c>
      <c r="W965" s="319" t="s">
        <v>2767</v>
      </c>
      <c r="X965" s="319">
        <v>3</v>
      </c>
      <c r="Y965" s="319" t="s">
        <v>173</v>
      </c>
      <c r="Z965" s="319" t="s">
        <v>173</v>
      </c>
      <c r="AA965" s="319" t="s">
        <v>173</v>
      </c>
      <c r="AB965" s="319">
        <v>3</v>
      </c>
      <c r="AC965" s="319" t="s">
        <v>169</v>
      </c>
      <c r="AD965" s="319" t="s">
        <v>173</v>
      </c>
      <c r="AE965" s="319" t="s">
        <v>173</v>
      </c>
      <c r="AF965" s="319" t="s">
        <v>427</v>
      </c>
      <c r="AG965" s="319" t="s">
        <v>171</v>
      </c>
      <c r="AH965" s="319" t="s">
        <v>190</v>
      </c>
      <c r="AI965" s="319" t="s">
        <v>190</v>
      </c>
      <c r="AJ965" s="319" t="s">
        <v>190</v>
      </c>
      <c r="AK965" s="319" t="s">
        <v>190</v>
      </c>
      <c r="AL965" s="319" t="s">
        <v>190</v>
      </c>
      <c r="AM965" s="319" t="s">
        <v>190</v>
      </c>
      <c r="AN965" s="319" t="s">
        <v>190</v>
      </c>
      <c r="AO965" s="319" t="s">
        <v>190</v>
      </c>
      <c r="AP965" s="319" t="s">
        <v>190</v>
      </c>
      <c r="AQ965" s="319" t="s">
        <v>190</v>
      </c>
      <c r="AR965" s="319" t="s">
        <v>190</v>
      </c>
      <c r="AS965" s="319" t="s">
        <v>190</v>
      </c>
      <c r="AT965" s="319" t="s">
        <v>190</v>
      </c>
      <c r="AU965" s="319" t="s">
        <v>190</v>
      </c>
      <c r="AV965" s="319" t="s">
        <v>190</v>
      </c>
      <c r="AW965" s="319" t="s">
        <v>190</v>
      </c>
      <c r="AX965" s="319" t="s">
        <v>428</v>
      </c>
      <c r="AY965" s="319" t="s">
        <v>190</v>
      </c>
      <c r="AZ965" s="319" t="s">
        <v>190</v>
      </c>
      <c r="BA965" s="319" t="s">
        <v>190</v>
      </c>
      <c r="BB965" s="319" t="s">
        <v>190</v>
      </c>
      <c r="BC965" s="319" t="s">
        <v>190</v>
      </c>
      <c r="BD965" s="319" t="s">
        <v>190</v>
      </c>
      <c r="BE965" s="319" t="s">
        <v>190</v>
      </c>
      <c r="BF965" s="319" t="s">
        <v>428</v>
      </c>
      <c r="BG965" s="319" t="s">
        <v>428</v>
      </c>
      <c r="BH965" s="319" t="s">
        <v>190</v>
      </c>
      <c r="BI965" s="319" t="s">
        <v>190</v>
      </c>
      <c r="BJ965" s="319" t="s">
        <v>190</v>
      </c>
      <c r="BK965" s="319" t="s">
        <v>190</v>
      </c>
      <c r="BL965" s="319" t="s">
        <v>190</v>
      </c>
      <c r="BM965" s="319" t="s">
        <v>190</v>
      </c>
      <c r="BN965" s="319" t="s">
        <v>190</v>
      </c>
      <c r="BO965" s="319" t="s">
        <v>190</v>
      </c>
      <c r="BP965" s="319" t="s">
        <v>190</v>
      </c>
      <c r="BQ965" s="319" t="s">
        <v>190</v>
      </c>
      <c r="BR965" s="319" t="s">
        <v>190</v>
      </c>
      <c r="BS965" s="319" t="s">
        <v>190</v>
      </c>
      <c r="BT965" s="319" t="s">
        <v>190</v>
      </c>
      <c r="BU965" s="319" t="s">
        <v>190</v>
      </c>
      <c r="BV965" s="319" t="s">
        <v>190</v>
      </c>
      <c r="BW965" s="319" t="s">
        <v>190</v>
      </c>
      <c r="BX965" s="319" t="s">
        <v>190</v>
      </c>
      <c r="BY965" s="319" t="s">
        <v>190</v>
      </c>
      <c r="BZ965" s="319" t="s">
        <v>190</v>
      </c>
      <c r="CA965" s="319" t="s">
        <v>190</v>
      </c>
      <c r="CB965" s="319" t="s">
        <v>190</v>
      </c>
      <c r="CC965" s="319" t="s">
        <v>190</v>
      </c>
      <c r="CD965" s="319" t="s">
        <v>190</v>
      </c>
      <c r="CE965" s="319" t="s">
        <v>190</v>
      </c>
      <c r="CF965" s="319" t="s">
        <v>190</v>
      </c>
      <c r="CG965" s="319" t="s">
        <v>190</v>
      </c>
      <c r="CH965" s="319" t="s">
        <v>190</v>
      </c>
      <c r="CI965" s="319" t="s">
        <v>190</v>
      </c>
      <c r="CJ965" s="319" t="s">
        <v>190</v>
      </c>
      <c r="CK965" s="319" t="s">
        <v>190</v>
      </c>
      <c r="CL965" s="319" t="s">
        <v>190</v>
      </c>
      <c r="CM965" s="319" t="s">
        <v>190</v>
      </c>
      <c r="CN965" s="319" t="s">
        <v>428</v>
      </c>
      <c r="CO965" s="319" t="s">
        <v>428</v>
      </c>
      <c r="CP965" s="319" t="s">
        <v>428</v>
      </c>
      <c r="CQ965" s="319" t="s">
        <v>190</v>
      </c>
      <c r="CR965" s="319" t="s">
        <v>190</v>
      </c>
      <c r="CS965" s="319" t="s">
        <v>190</v>
      </c>
      <c r="CT965" s="319" t="s">
        <v>190</v>
      </c>
      <c r="CU965" s="319" t="s">
        <v>190</v>
      </c>
      <c r="CV965" s="319" t="s">
        <v>190</v>
      </c>
      <c r="CW965" s="319" t="s">
        <v>190</v>
      </c>
      <c r="CX965" s="319" t="s">
        <v>190</v>
      </c>
      <c r="CY965" s="319" t="s">
        <v>190</v>
      </c>
      <c r="CZ965" s="319" t="s">
        <v>190</v>
      </c>
      <c r="DA965" s="319" t="s">
        <v>190</v>
      </c>
      <c r="DB965" s="319" t="s">
        <v>190</v>
      </c>
      <c r="DC965" s="319" t="s">
        <v>190</v>
      </c>
      <c r="DD965" s="319" t="s">
        <v>190</v>
      </c>
      <c r="DE965" s="319" t="s">
        <v>190</v>
      </c>
      <c r="DF965" s="319" t="s">
        <v>190</v>
      </c>
      <c r="DG965" s="319" t="s">
        <v>190</v>
      </c>
      <c r="DH965" s="319" t="s">
        <v>190</v>
      </c>
      <c r="DI965" s="319" t="s">
        <v>190</v>
      </c>
      <c r="DJ965" s="319" t="s">
        <v>190</v>
      </c>
      <c r="DK965" s="319" t="s">
        <v>190</v>
      </c>
      <c r="DL965" s="319" t="s">
        <v>190</v>
      </c>
      <c r="DM965" s="319" t="s">
        <v>190</v>
      </c>
      <c r="DN965" s="319" t="s">
        <v>428</v>
      </c>
      <c r="DO965" s="319" t="s">
        <v>190</v>
      </c>
      <c r="DP965" s="319" t="s">
        <v>190</v>
      </c>
      <c r="DQ965" s="319" t="s">
        <v>190</v>
      </c>
      <c r="DR965" s="319" t="s">
        <v>190</v>
      </c>
      <c r="DS965" s="319" t="s">
        <v>190</v>
      </c>
      <c r="DT965" s="319" t="s">
        <v>190</v>
      </c>
      <c r="DU965" s="319" t="s">
        <v>190</v>
      </c>
      <c r="DV965" s="319" t="s">
        <v>173</v>
      </c>
      <c r="DW965" s="319" t="s">
        <v>190</v>
      </c>
      <c r="DX965" s="319" t="s">
        <v>190</v>
      </c>
      <c r="DY965" s="319" t="s">
        <v>190</v>
      </c>
      <c r="DZ965" s="319" t="s">
        <v>190</v>
      </c>
      <c r="EA965" s="319" t="s">
        <v>190</v>
      </c>
      <c r="EB965" s="319" t="s">
        <v>190</v>
      </c>
      <c r="EC965" s="319" t="s">
        <v>428</v>
      </c>
      <c r="ED965" s="319" t="s">
        <v>428</v>
      </c>
      <c r="EE965" s="319" t="s">
        <v>190</v>
      </c>
      <c r="EF965" s="319" t="s">
        <v>190</v>
      </c>
      <c r="EG965" s="319" t="s">
        <v>190</v>
      </c>
      <c r="EH965" s="319" t="s">
        <v>190</v>
      </c>
      <c r="EI965" s="319" t="s">
        <v>190</v>
      </c>
      <c r="EJ965" s="319" t="s">
        <v>190</v>
      </c>
      <c r="EK965" s="319" t="s">
        <v>190</v>
      </c>
      <c r="EL965" s="319" t="s">
        <v>190</v>
      </c>
      <c r="EM965" s="319" t="s">
        <v>190</v>
      </c>
      <c r="EN965" s="319" t="s">
        <v>190</v>
      </c>
      <c r="EO965" s="319" t="s">
        <v>190</v>
      </c>
      <c r="EP965" s="319" t="s">
        <v>190</v>
      </c>
      <c r="EQ965" s="319" t="s">
        <v>190</v>
      </c>
      <c r="ER965" s="319" t="s">
        <v>190</v>
      </c>
      <c r="ES965" s="319" t="s">
        <v>190</v>
      </c>
      <c r="ET965" s="319" t="s">
        <v>190</v>
      </c>
      <c r="EU965" s="319" t="s">
        <v>190</v>
      </c>
      <c r="EV965" s="319" t="s">
        <v>190</v>
      </c>
      <c r="EW965" s="319" t="s">
        <v>190</v>
      </c>
      <c r="EX965" s="319" t="s">
        <v>190</v>
      </c>
      <c r="EY965" s="319" t="s">
        <v>190</v>
      </c>
      <c r="EZ965" s="319" t="s">
        <v>190</v>
      </c>
      <c r="FA965" s="319" t="s">
        <v>190</v>
      </c>
      <c r="FB965" s="319" t="s">
        <v>190</v>
      </c>
      <c r="FC965" s="319" t="s">
        <v>190</v>
      </c>
      <c r="FD965" s="319" t="s">
        <v>190</v>
      </c>
      <c r="FE965" s="319" t="s">
        <v>190</v>
      </c>
      <c r="FF965" s="319" t="s">
        <v>190</v>
      </c>
      <c r="FG965" s="319" t="s">
        <v>190</v>
      </c>
      <c r="FH965" s="319" t="s">
        <v>190</v>
      </c>
      <c r="FI965" s="319" t="s">
        <v>190</v>
      </c>
      <c r="FJ965" s="319" t="s">
        <v>190</v>
      </c>
      <c r="FK965" s="319" t="s">
        <v>190</v>
      </c>
      <c r="FL965" s="319" t="s">
        <v>190</v>
      </c>
      <c r="FM965" s="319" t="s">
        <v>190</v>
      </c>
      <c r="FN965" s="319" t="s">
        <v>190</v>
      </c>
      <c r="FO965" s="319" t="s">
        <v>428</v>
      </c>
      <c r="FP965" s="319" t="s">
        <v>190</v>
      </c>
      <c r="FQ965" s="319" t="s">
        <v>190</v>
      </c>
      <c r="FR965" s="319" t="s">
        <v>190</v>
      </c>
      <c r="FS965" s="319" t="s">
        <v>190</v>
      </c>
      <c r="FT965" s="319" t="s">
        <v>190</v>
      </c>
      <c r="FU965" s="319" t="s">
        <v>190</v>
      </c>
      <c r="FV965" s="319" t="s">
        <v>190</v>
      </c>
      <c r="FW965" s="319" t="s">
        <v>190</v>
      </c>
      <c r="FX965" s="319" t="s">
        <v>190</v>
      </c>
      <c r="FY965" s="319" t="s">
        <v>190</v>
      </c>
      <c r="FZ965" s="319" t="s">
        <v>190</v>
      </c>
      <c r="GA965" s="319" t="s">
        <v>190</v>
      </c>
      <c r="GB965" s="319" t="s">
        <v>190</v>
      </c>
      <c r="GC965" s="319" t="s">
        <v>190</v>
      </c>
      <c r="GD965" s="319" t="s">
        <v>190</v>
      </c>
      <c r="GE965" s="319" t="s">
        <v>190</v>
      </c>
      <c r="GF965" s="319" t="s">
        <v>190</v>
      </c>
      <c r="GG965" s="319" t="s">
        <v>190</v>
      </c>
      <c r="GH965" s="319" t="s">
        <v>190</v>
      </c>
      <c r="GI965" s="319" t="s">
        <v>190</v>
      </c>
      <c r="GJ965" s="319" t="s">
        <v>190</v>
      </c>
      <c r="GK965" s="319" t="s">
        <v>190</v>
      </c>
      <c r="GL965" s="319" t="s">
        <v>190</v>
      </c>
      <c r="GM965" s="319" t="s">
        <v>190</v>
      </c>
      <c r="GN965" s="319" t="s">
        <v>190</v>
      </c>
      <c r="GO965" s="319" t="s">
        <v>190</v>
      </c>
      <c r="GP965" s="319" t="s">
        <v>190</v>
      </c>
      <c r="GQ965" s="319" t="s">
        <v>428</v>
      </c>
      <c r="GR965" s="319" t="s">
        <v>190</v>
      </c>
      <c r="GS965" s="319" t="s">
        <v>190</v>
      </c>
      <c r="GT965" s="319" t="s">
        <v>428</v>
      </c>
      <c r="GU965" s="319" t="s">
        <v>428</v>
      </c>
      <c r="GV965" s="319" t="s">
        <v>190</v>
      </c>
      <c r="GW965" s="319" t="s">
        <v>190</v>
      </c>
      <c r="GX965" s="319" t="s">
        <v>190</v>
      </c>
      <c r="GY965" s="319" t="s">
        <v>190</v>
      </c>
      <c r="GZ965" s="319" t="s">
        <v>190</v>
      </c>
      <c r="HA965" s="319" t="s">
        <v>190</v>
      </c>
      <c r="HB965" s="319" t="s">
        <v>190</v>
      </c>
      <c r="HC965" s="319" t="s">
        <v>190</v>
      </c>
      <c r="HD965" s="319" t="s">
        <v>190</v>
      </c>
      <c r="HE965" s="319" t="s">
        <v>190</v>
      </c>
      <c r="HF965" s="319" t="s">
        <v>190</v>
      </c>
      <c r="HG965" s="319" t="s">
        <v>190</v>
      </c>
      <c r="HH965" s="319" t="s">
        <v>190</v>
      </c>
      <c r="HI965" s="319" t="s">
        <v>428</v>
      </c>
      <c r="HJ965" s="319" t="s">
        <v>190</v>
      </c>
      <c r="HK965" s="319" t="s">
        <v>428</v>
      </c>
      <c r="HL965" s="319" t="s">
        <v>190</v>
      </c>
      <c r="HM965" s="319" t="s">
        <v>190</v>
      </c>
      <c r="HN965" s="319" t="s">
        <v>190</v>
      </c>
      <c r="HO965" s="319" t="s">
        <v>190</v>
      </c>
      <c r="HP965" s="319" t="s">
        <v>190</v>
      </c>
      <c r="HQ965" s="319" t="s">
        <v>190</v>
      </c>
      <c r="HR965" s="319" t="s">
        <v>190</v>
      </c>
      <c r="HS965" s="319" t="s">
        <v>190</v>
      </c>
      <c r="HT965" s="319" t="s">
        <v>190</v>
      </c>
      <c r="HU965" s="319" t="s">
        <v>190</v>
      </c>
      <c r="HV965" s="319" t="s">
        <v>190</v>
      </c>
      <c r="HW965" s="319" t="s">
        <v>190</v>
      </c>
      <c r="HX965" s="319" t="s">
        <v>190</v>
      </c>
      <c r="HY965" s="319" t="s">
        <v>190</v>
      </c>
      <c r="HZ965" s="319" t="s">
        <v>190</v>
      </c>
      <c r="IA965" s="319" t="s">
        <v>190</v>
      </c>
      <c r="IB965" s="319" t="s">
        <v>190</v>
      </c>
      <c r="IC965" s="319" t="s">
        <v>190</v>
      </c>
      <c r="ID965" s="319" t="s">
        <v>190</v>
      </c>
      <c r="IE965" s="319" t="s">
        <v>190</v>
      </c>
      <c r="IF965" s="319" t="s">
        <v>190</v>
      </c>
      <c r="IG965" s="319" t="s">
        <v>190</v>
      </c>
      <c r="IH965" s="319" t="s">
        <v>190</v>
      </c>
      <c r="II965" s="319" t="s">
        <v>190</v>
      </c>
      <c r="IJ965" s="319" t="s">
        <v>173</v>
      </c>
      <c r="IK965" s="319" t="s">
        <v>173</v>
      </c>
      <c r="IL965" s="319" t="s">
        <v>173</v>
      </c>
      <c r="IM965" s="319" t="s">
        <v>173</v>
      </c>
      <c r="IN965" s="319" t="s">
        <v>173</v>
      </c>
      <c r="IO965" s="319" t="s">
        <v>173</v>
      </c>
      <c r="IP965" s="319" t="s">
        <v>173</v>
      </c>
      <c r="IQ965" s="321" t="s">
        <v>173</v>
      </c>
      <c r="IR965" s="320" t="s">
        <v>173</v>
      </c>
      <c r="IS965" s="322" t="s">
        <v>173</v>
      </c>
      <c r="IT965" s="319" t="s">
        <v>173</v>
      </c>
    </row>
    <row r="966" spans="1:254" s="271" customFormat="1" x14ac:dyDescent="0.25">
      <c r="A966" s="318" t="str">
        <f>HYPERLINK("http://www.ofsted.gov.uk/inspection-reports/find-inspection-report/provider/ELS/145293 ","Ofsted School Webpage")</f>
        <v>Ofsted School Webpage</v>
      </c>
      <c r="B966" s="319">
        <v>145293</v>
      </c>
      <c r="C966" s="319">
        <v>9336008</v>
      </c>
      <c r="D966" s="319" t="s">
        <v>538</v>
      </c>
      <c r="E966" s="319" t="s">
        <v>168</v>
      </c>
      <c r="F966" s="319" t="s">
        <v>81</v>
      </c>
      <c r="G966" s="319" t="s">
        <v>81</v>
      </c>
      <c r="H966" s="319" t="s">
        <v>81</v>
      </c>
      <c r="I966" s="319" t="s">
        <v>78</v>
      </c>
      <c r="J966" s="319" t="s">
        <v>424</v>
      </c>
      <c r="K966" s="319" t="s">
        <v>422</v>
      </c>
      <c r="L966" s="319" t="s">
        <v>422</v>
      </c>
      <c r="M966" s="319" t="s">
        <v>466</v>
      </c>
      <c r="N966" s="319" t="s">
        <v>2784</v>
      </c>
      <c r="O966" s="319" t="s">
        <v>539</v>
      </c>
      <c r="P966" s="319">
        <v>2</v>
      </c>
      <c r="Q966" s="319" t="s">
        <v>429</v>
      </c>
      <c r="R966" s="320">
        <v>10053795</v>
      </c>
      <c r="S966" s="321">
        <v>43382</v>
      </c>
      <c r="T966" s="321">
        <v>43384</v>
      </c>
      <c r="U966" s="321">
        <v>43411</v>
      </c>
      <c r="V966" s="319" t="s">
        <v>435</v>
      </c>
      <c r="W966" s="319" t="s">
        <v>2767</v>
      </c>
      <c r="X966" s="319">
        <v>2</v>
      </c>
      <c r="Y966" s="319" t="s">
        <v>173</v>
      </c>
      <c r="Z966" s="319" t="s">
        <v>173</v>
      </c>
      <c r="AA966" s="319" t="s">
        <v>173</v>
      </c>
      <c r="AB966" s="319">
        <v>2</v>
      </c>
      <c r="AC966" s="319" t="s">
        <v>169</v>
      </c>
      <c r="AD966" s="319" t="s">
        <v>173</v>
      </c>
      <c r="AE966" s="319" t="s">
        <v>173</v>
      </c>
      <c r="AF966" s="319" t="s">
        <v>427</v>
      </c>
      <c r="AG966" s="319" t="s">
        <v>171</v>
      </c>
      <c r="AH966" s="319" t="s">
        <v>190</v>
      </c>
      <c r="AI966" s="319" t="s">
        <v>190</v>
      </c>
      <c r="AJ966" s="319" t="s">
        <v>190</v>
      </c>
      <c r="AK966" s="319" t="s">
        <v>190</v>
      </c>
      <c r="AL966" s="319" t="s">
        <v>190</v>
      </c>
      <c r="AM966" s="319" t="s">
        <v>190</v>
      </c>
      <c r="AN966" s="319" t="s">
        <v>190</v>
      </c>
      <c r="AO966" s="319" t="s">
        <v>190</v>
      </c>
      <c r="AP966" s="319" t="s">
        <v>190</v>
      </c>
      <c r="AQ966" s="319" t="s">
        <v>190</v>
      </c>
      <c r="AR966" s="319" t="s">
        <v>190</v>
      </c>
      <c r="AS966" s="319" t="s">
        <v>190</v>
      </c>
      <c r="AT966" s="319" t="s">
        <v>190</v>
      </c>
      <c r="AU966" s="319" t="s">
        <v>190</v>
      </c>
      <c r="AV966" s="319" t="s">
        <v>190</v>
      </c>
      <c r="AW966" s="319" t="s">
        <v>190</v>
      </c>
      <c r="AX966" s="319" t="s">
        <v>428</v>
      </c>
      <c r="AY966" s="319" t="s">
        <v>190</v>
      </c>
      <c r="AZ966" s="319" t="s">
        <v>190</v>
      </c>
      <c r="BA966" s="319" t="s">
        <v>190</v>
      </c>
      <c r="BB966" s="319" t="s">
        <v>190</v>
      </c>
      <c r="BC966" s="319" t="s">
        <v>190</v>
      </c>
      <c r="BD966" s="319" t="s">
        <v>190</v>
      </c>
      <c r="BE966" s="319" t="s">
        <v>190</v>
      </c>
      <c r="BF966" s="319" t="s">
        <v>428</v>
      </c>
      <c r="BG966" s="319" t="s">
        <v>428</v>
      </c>
      <c r="BH966" s="319" t="s">
        <v>190</v>
      </c>
      <c r="BI966" s="319" t="s">
        <v>190</v>
      </c>
      <c r="BJ966" s="319" t="s">
        <v>190</v>
      </c>
      <c r="BK966" s="319" t="s">
        <v>190</v>
      </c>
      <c r="BL966" s="319" t="s">
        <v>190</v>
      </c>
      <c r="BM966" s="319" t="s">
        <v>190</v>
      </c>
      <c r="BN966" s="319" t="s">
        <v>190</v>
      </c>
      <c r="BO966" s="319" t="s">
        <v>190</v>
      </c>
      <c r="BP966" s="319" t="s">
        <v>190</v>
      </c>
      <c r="BQ966" s="319" t="s">
        <v>190</v>
      </c>
      <c r="BR966" s="319" t="s">
        <v>190</v>
      </c>
      <c r="BS966" s="319" t="s">
        <v>190</v>
      </c>
      <c r="BT966" s="319" t="s">
        <v>190</v>
      </c>
      <c r="BU966" s="319" t="s">
        <v>190</v>
      </c>
      <c r="BV966" s="319" t="s">
        <v>190</v>
      </c>
      <c r="BW966" s="319" t="s">
        <v>190</v>
      </c>
      <c r="BX966" s="319" t="s">
        <v>190</v>
      </c>
      <c r="BY966" s="319" t="s">
        <v>190</v>
      </c>
      <c r="BZ966" s="319" t="s">
        <v>190</v>
      </c>
      <c r="CA966" s="319" t="s">
        <v>190</v>
      </c>
      <c r="CB966" s="319" t="s">
        <v>190</v>
      </c>
      <c r="CC966" s="319" t="s">
        <v>190</v>
      </c>
      <c r="CD966" s="319" t="s">
        <v>190</v>
      </c>
      <c r="CE966" s="319" t="s">
        <v>190</v>
      </c>
      <c r="CF966" s="319" t="s">
        <v>190</v>
      </c>
      <c r="CG966" s="319" t="s">
        <v>190</v>
      </c>
      <c r="CH966" s="319" t="s">
        <v>190</v>
      </c>
      <c r="CI966" s="319" t="s">
        <v>190</v>
      </c>
      <c r="CJ966" s="319" t="s">
        <v>190</v>
      </c>
      <c r="CK966" s="319" t="s">
        <v>190</v>
      </c>
      <c r="CL966" s="319" t="s">
        <v>190</v>
      </c>
      <c r="CM966" s="319" t="s">
        <v>190</v>
      </c>
      <c r="CN966" s="319" t="s">
        <v>428</v>
      </c>
      <c r="CO966" s="319" t="s">
        <v>428</v>
      </c>
      <c r="CP966" s="319" t="s">
        <v>428</v>
      </c>
      <c r="CQ966" s="319" t="s">
        <v>190</v>
      </c>
      <c r="CR966" s="319" t="s">
        <v>190</v>
      </c>
      <c r="CS966" s="319" t="s">
        <v>190</v>
      </c>
      <c r="CT966" s="319" t="s">
        <v>190</v>
      </c>
      <c r="CU966" s="319" t="s">
        <v>190</v>
      </c>
      <c r="CV966" s="319" t="s">
        <v>190</v>
      </c>
      <c r="CW966" s="319" t="s">
        <v>190</v>
      </c>
      <c r="CX966" s="319" t="s">
        <v>190</v>
      </c>
      <c r="CY966" s="319" t="s">
        <v>190</v>
      </c>
      <c r="CZ966" s="319" t="s">
        <v>190</v>
      </c>
      <c r="DA966" s="319" t="s">
        <v>190</v>
      </c>
      <c r="DB966" s="319" t="s">
        <v>190</v>
      </c>
      <c r="DC966" s="319" t="s">
        <v>190</v>
      </c>
      <c r="DD966" s="319" t="s">
        <v>190</v>
      </c>
      <c r="DE966" s="319" t="s">
        <v>190</v>
      </c>
      <c r="DF966" s="319" t="s">
        <v>190</v>
      </c>
      <c r="DG966" s="319" t="s">
        <v>190</v>
      </c>
      <c r="DH966" s="319" t="s">
        <v>190</v>
      </c>
      <c r="DI966" s="319" t="s">
        <v>190</v>
      </c>
      <c r="DJ966" s="319" t="s">
        <v>190</v>
      </c>
      <c r="DK966" s="319" t="s">
        <v>190</v>
      </c>
      <c r="DL966" s="319" t="s">
        <v>190</v>
      </c>
      <c r="DM966" s="319" t="s">
        <v>190</v>
      </c>
      <c r="DN966" s="319" t="s">
        <v>190</v>
      </c>
      <c r="DO966" s="319" t="s">
        <v>190</v>
      </c>
      <c r="DP966" s="319" t="s">
        <v>190</v>
      </c>
      <c r="DQ966" s="319" t="s">
        <v>190</v>
      </c>
      <c r="DR966" s="319" t="s">
        <v>190</v>
      </c>
      <c r="DS966" s="319" t="s">
        <v>190</v>
      </c>
      <c r="DT966" s="319" t="s">
        <v>190</v>
      </c>
      <c r="DU966" s="319" t="s">
        <v>190</v>
      </c>
      <c r="DV966" s="319" t="s">
        <v>173</v>
      </c>
      <c r="DW966" s="319" t="s">
        <v>190</v>
      </c>
      <c r="DX966" s="319" t="s">
        <v>190</v>
      </c>
      <c r="DY966" s="319" t="s">
        <v>190</v>
      </c>
      <c r="DZ966" s="319" t="s">
        <v>190</v>
      </c>
      <c r="EA966" s="319" t="s">
        <v>190</v>
      </c>
      <c r="EB966" s="319" t="s">
        <v>190</v>
      </c>
      <c r="EC966" s="319" t="s">
        <v>428</v>
      </c>
      <c r="ED966" s="319" t="s">
        <v>190</v>
      </c>
      <c r="EE966" s="319" t="s">
        <v>428</v>
      </c>
      <c r="EF966" s="319" t="s">
        <v>428</v>
      </c>
      <c r="EG966" s="319" t="s">
        <v>428</v>
      </c>
      <c r="EH966" s="319" t="s">
        <v>428</v>
      </c>
      <c r="EI966" s="319" t="s">
        <v>428</v>
      </c>
      <c r="EJ966" s="319" t="s">
        <v>428</v>
      </c>
      <c r="EK966" s="319" t="s">
        <v>428</v>
      </c>
      <c r="EL966" s="319" t="s">
        <v>428</v>
      </c>
      <c r="EM966" s="319" t="s">
        <v>428</v>
      </c>
      <c r="EN966" s="319" t="s">
        <v>190</v>
      </c>
      <c r="EO966" s="319" t="s">
        <v>190</v>
      </c>
      <c r="EP966" s="319" t="s">
        <v>190</v>
      </c>
      <c r="EQ966" s="319" t="s">
        <v>190</v>
      </c>
      <c r="ER966" s="319" t="s">
        <v>190</v>
      </c>
      <c r="ES966" s="319" t="s">
        <v>190</v>
      </c>
      <c r="ET966" s="319" t="s">
        <v>190</v>
      </c>
      <c r="EU966" s="319" t="s">
        <v>190</v>
      </c>
      <c r="EV966" s="319" t="s">
        <v>190</v>
      </c>
      <c r="EW966" s="319" t="s">
        <v>190</v>
      </c>
      <c r="EX966" s="319" t="s">
        <v>190</v>
      </c>
      <c r="EY966" s="319" t="s">
        <v>190</v>
      </c>
      <c r="EZ966" s="319" t="s">
        <v>190</v>
      </c>
      <c r="FA966" s="319" t="s">
        <v>190</v>
      </c>
      <c r="FB966" s="319" t="s">
        <v>190</v>
      </c>
      <c r="FC966" s="319" t="s">
        <v>190</v>
      </c>
      <c r="FD966" s="319" t="s">
        <v>190</v>
      </c>
      <c r="FE966" s="319" t="s">
        <v>190</v>
      </c>
      <c r="FF966" s="319" t="s">
        <v>190</v>
      </c>
      <c r="FG966" s="319" t="s">
        <v>190</v>
      </c>
      <c r="FH966" s="319" t="s">
        <v>428</v>
      </c>
      <c r="FI966" s="319" t="s">
        <v>428</v>
      </c>
      <c r="FJ966" s="319" t="s">
        <v>429</v>
      </c>
      <c r="FK966" s="319" t="s">
        <v>428</v>
      </c>
      <c r="FL966" s="319" t="s">
        <v>190</v>
      </c>
      <c r="FM966" s="319" t="s">
        <v>190</v>
      </c>
      <c r="FN966" s="319" t="s">
        <v>190</v>
      </c>
      <c r="FO966" s="319" t="s">
        <v>190</v>
      </c>
      <c r="FP966" s="319" t="s">
        <v>190</v>
      </c>
      <c r="FQ966" s="319" t="s">
        <v>190</v>
      </c>
      <c r="FR966" s="319" t="s">
        <v>190</v>
      </c>
      <c r="FS966" s="319" t="s">
        <v>428</v>
      </c>
      <c r="FT966" s="319" t="s">
        <v>190</v>
      </c>
      <c r="FU966" s="319" t="s">
        <v>190</v>
      </c>
      <c r="FV966" s="319" t="s">
        <v>190</v>
      </c>
      <c r="FW966" s="319" t="s">
        <v>190</v>
      </c>
      <c r="FX966" s="319" t="s">
        <v>190</v>
      </c>
      <c r="FY966" s="319" t="s">
        <v>190</v>
      </c>
      <c r="FZ966" s="319" t="s">
        <v>190</v>
      </c>
      <c r="GA966" s="319" t="s">
        <v>190</v>
      </c>
      <c r="GB966" s="319" t="s">
        <v>190</v>
      </c>
      <c r="GC966" s="319" t="s">
        <v>190</v>
      </c>
      <c r="GD966" s="319" t="s">
        <v>190</v>
      </c>
      <c r="GE966" s="319" t="s">
        <v>190</v>
      </c>
      <c r="GF966" s="319" t="s">
        <v>190</v>
      </c>
      <c r="GG966" s="319" t="s">
        <v>190</v>
      </c>
      <c r="GH966" s="319" t="s">
        <v>190</v>
      </c>
      <c r="GI966" s="319" t="s">
        <v>190</v>
      </c>
      <c r="GJ966" s="319" t="s">
        <v>190</v>
      </c>
      <c r="GK966" s="319" t="s">
        <v>428</v>
      </c>
      <c r="GL966" s="319" t="s">
        <v>190</v>
      </c>
      <c r="GM966" s="319" t="s">
        <v>190</v>
      </c>
      <c r="GN966" s="319" t="s">
        <v>190</v>
      </c>
      <c r="GO966" s="319" t="s">
        <v>190</v>
      </c>
      <c r="GP966" s="319" t="s">
        <v>428</v>
      </c>
      <c r="GQ966" s="319" t="s">
        <v>428</v>
      </c>
      <c r="GR966" s="319" t="s">
        <v>190</v>
      </c>
      <c r="GS966" s="319" t="s">
        <v>190</v>
      </c>
      <c r="GT966" s="319" t="s">
        <v>190</v>
      </c>
      <c r="GU966" s="319" t="s">
        <v>428</v>
      </c>
      <c r="GV966" s="319" t="s">
        <v>190</v>
      </c>
      <c r="GW966" s="319" t="s">
        <v>190</v>
      </c>
      <c r="GX966" s="319" t="s">
        <v>190</v>
      </c>
      <c r="GY966" s="319" t="s">
        <v>190</v>
      </c>
      <c r="GZ966" s="319" t="s">
        <v>190</v>
      </c>
      <c r="HA966" s="319" t="s">
        <v>428</v>
      </c>
      <c r="HB966" s="319" t="s">
        <v>428</v>
      </c>
      <c r="HC966" s="319" t="s">
        <v>190</v>
      </c>
      <c r="HD966" s="319" t="s">
        <v>190</v>
      </c>
      <c r="HE966" s="319" t="s">
        <v>190</v>
      </c>
      <c r="HF966" s="319" t="s">
        <v>190</v>
      </c>
      <c r="HG966" s="319" t="s">
        <v>190</v>
      </c>
      <c r="HH966" s="319" t="s">
        <v>190</v>
      </c>
      <c r="HI966" s="319" t="s">
        <v>190</v>
      </c>
      <c r="HJ966" s="319" t="s">
        <v>190</v>
      </c>
      <c r="HK966" s="319" t="s">
        <v>428</v>
      </c>
      <c r="HL966" s="319" t="s">
        <v>428</v>
      </c>
      <c r="HM966" s="319" t="s">
        <v>428</v>
      </c>
      <c r="HN966" s="319" t="s">
        <v>428</v>
      </c>
      <c r="HO966" s="319" t="s">
        <v>428</v>
      </c>
      <c r="HP966" s="319" t="s">
        <v>190</v>
      </c>
      <c r="HQ966" s="319" t="s">
        <v>190</v>
      </c>
      <c r="HR966" s="319" t="s">
        <v>190</v>
      </c>
      <c r="HS966" s="319" t="s">
        <v>190</v>
      </c>
      <c r="HT966" s="319" t="s">
        <v>190</v>
      </c>
      <c r="HU966" s="319" t="s">
        <v>190</v>
      </c>
      <c r="HV966" s="319" t="s">
        <v>190</v>
      </c>
      <c r="HW966" s="319" t="s">
        <v>190</v>
      </c>
      <c r="HX966" s="319" t="s">
        <v>190</v>
      </c>
      <c r="HY966" s="319" t="s">
        <v>190</v>
      </c>
      <c r="HZ966" s="319" t="s">
        <v>190</v>
      </c>
      <c r="IA966" s="319" t="s">
        <v>190</v>
      </c>
      <c r="IB966" s="319" t="s">
        <v>190</v>
      </c>
      <c r="IC966" s="319" t="s">
        <v>190</v>
      </c>
      <c r="ID966" s="319" t="s">
        <v>190</v>
      </c>
      <c r="IE966" s="319" t="s">
        <v>190</v>
      </c>
      <c r="IF966" s="319" t="s">
        <v>190</v>
      </c>
      <c r="IG966" s="319" t="s">
        <v>190</v>
      </c>
      <c r="IH966" s="319" t="s">
        <v>190</v>
      </c>
      <c r="II966" s="319" t="s">
        <v>190</v>
      </c>
      <c r="IJ966" s="319" t="s">
        <v>173</v>
      </c>
      <c r="IK966" s="319" t="s">
        <v>173</v>
      </c>
      <c r="IL966" s="319" t="s">
        <v>173</v>
      </c>
      <c r="IM966" s="319" t="s">
        <v>173</v>
      </c>
      <c r="IN966" s="319" t="s">
        <v>173</v>
      </c>
      <c r="IO966" s="319" t="s">
        <v>173</v>
      </c>
      <c r="IP966" s="319" t="s">
        <v>173</v>
      </c>
      <c r="IQ966" s="321" t="s">
        <v>173</v>
      </c>
      <c r="IR966" s="320" t="s">
        <v>173</v>
      </c>
      <c r="IS966" s="322" t="s">
        <v>173</v>
      </c>
      <c r="IT966" s="319" t="s">
        <v>173</v>
      </c>
    </row>
    <row r="967" spans="1:254" s="271" customFormat="1" x14ac:dyDescent="0.25">
      <c r="A967" s="318" t="str">
        <f>HYPERLINK("http://www.ofsted.gov.uk/inspection-reports/find-inspection-report/provider/ELS/145295 ","Ofsted School Webpage")</f>
        <v>Ofsted School Webpage</v>
      </c>
      <c r="B967" s="319">
        <v>145295</v>
      </c>
      <c r="C967" s="319">
        <v>3096006</v>
      </c>
      <c r="D967" s="319" t="s">
        <v>2496</v>
      </c>
      <c r="E967" s="319" t="s">
        <v>167</v>
      </c>
      <c r="F967" s="319" t="s">
        <v>81</v>
      </c>
      <c r="G967" s="319" t="s">
        <v>81</v>
      </c>
      <c r="H967" s="319" t="s">
        <v>81</v>
      </c>
      <c r="I967" s="319" t="s">
        <v>78</v>
      </c>
      <c r="J967" s="319" t="s">
        <v>424</v>
      </c>
      <c r="K967" s="319" t="s">
        <v>441</v>
      </c>
      <c r="L967" s="319" t="s">
        <v>441</v>
      </c>
      <c r="M967" s="319" t="s">
        <v>527</v>
      </c>
      <c r="N967" s="319" t="s">
        <v>2837</v>
      </c>
      <c r="O967" s="319" t="s">
        <v>2497</v>
      </c>
      <c r="P967" s="319" t="s">
        <v>173</v>
      </c>
      <c r="Q967" s="319" t="s">
        <v>2766</v>
      </c>
      <c r="R967" s="320">
        <v>10083769</v>
      </c>
      <c r="S967" s="321">
        <v>43654</v>
      </c>
      <c r="T967" s="321">
        <v>43656</v>
      </c>
      <c r="U967" s="321">
        <v>43723</v>
      </c>
      <c r="V967" s="319" t="s">
        <v>3688</v>
      </c>
      <c r="W967" s="319" t="s">
        <v>2767</v>
      </c>
      <c r="X967" s="319">
        <v>3</v>
      </c>
      <c r="Y967" s="319" t="s">
        <v>173</v>
      </c>
      <c r="Z967" s="319" t="s">
        <v>173</v>
      </c>
      <c r="AA967" s="319" t="s">
        <v>173</v>
      </c>
      <c r="AB967" s="319">
        <v>3</v>
      </c>
      <c r="AC967" s="319" t="s">
        <v>169</v>
      </c>
      <c r="AD967" s="319" t="s">
        <v>173</v>
      </c>
      <c r="AE967" s="319" t="s">
        <v>173</v>
      </c>
      <c r="AF967" s="319" t="s">
        <v>427</v>
      </c>
      <c r="AG967" s="319" t="s">
        <v>172</v>
      </c>
      <c r="AH967" s="319" t="s">
        <v>190</v>
      </c>
      <c r="AI967" s="319" t="s">
        <v>190</v>
      </c>
      <c r="AJ967" s="319" t="s">
        <v>190</v>
      </c>
      <c r="AK967" s="319" t="s">
        <v>190</v>
      </c>
      <c r="AL967" s="319" t="s">
        <v>190</v>
      </c>
      <c r="AM967" s="319" t="s">
        <v>479</v>
      </c>
      <c r="AN967" s="319" t="s">
        <v>190</v>
      </c>
      <c r="AO967" s="319" t="s">
        <v>479</v>
      </c>
      <c r="AP967" s="319" t="s">
        <v>190</v>
      </c>
      <c r="AQ967" s="319" t="s">
        <v>190</v>
      </c>
      <c r="AR967" s="319" t="s">
        <v>190</v>
      </c>
      <c r="AS967" s="319" t="s">
        <v>190</v>
      </c>
      <c r="AT967" s="319" t="s">
        <v>190</v>
      </c>
      <c r="AU967" s="319" t="s">
        <v>190</v>
      </c>
      <c r="AV967" s="319" t="s">
        <v>190</v>
      </c>
      <c r="AW967" s="319" t="s">
        <v>190</v>
      </c>
      <c r="AX967" s="319" t="s">
        <v>428</v>
      </c>
      <c r="AY967" s="319" t="s">
        <v>190</v>
      </c>
      <c r="AZ967" s="319" t="s">
        <v>190</v>
      </c>
      <c r="BA967" s="319" t="s">
        <v>190</v>
      </c>
      <c r="BB967" s="319" t="s">
        <v>190</v>
      </c>
      <c r="BC967" s="319" t="s">
        <v>190</v>
      </c>
      <c r="BD967" s="319" t="s">
        <v>190</v>
      </c>
      <c r="BE967" s="319" t="s">
        <v>190</v>
      </c>
      <c r="BF967" s="319" t="s">
        <v>428</v>
      </c>
      <c r="BG967" s="319" t="s">
        <v>428</v>
      </c>
      <c r="BH967" s="319" t="s">
        <v>190</v>
      </c>
      <c r="BI967" s="319" t="s">
        <v>190</v>
      </c>
      <c r="BJ967" s="319" t="s">
        <v>190</v>
      </c>
      <c r="BK967" s="319" t="s">
        <v>190</v>
      </c>
      <c r="BL967" s="319" t="s">
        <v>190</v>
      </c>
      <c r="BM967" s="319" t="s">
        <v>190</v>
      </c>
      <c r="BN967" s="319" t="s">
        <v>190</v>
      </c>
      <c r="BO967" s="319" t="s">
        <v>190</v>
      </c>
      <c r="BP967" s="319" t="s">
        <v>190</v>
      </c>
      <c r="BQ967" s="319" t="s">
        <v>190</v>
      </c>
      <c r="BR967" s="319" t="s">
        <v>190</v>
      </c>
      <c r="BS967" s="319" t="s">
        <v>190</v>
      </c>
      <c r="BT967" s="319" t="s">
        <v>190</v>
      </c>
      <c r="BU967" s="319" t="s">
        <v>190</v>
      </c>
      <c r="BV967" s="319" t="s">
        <v>190</v>
      </c>
      <c r="BW967" s="319" t="s">
        <v>190</v>
      </c>
      <c r="BX967" s="319" t="s">
        <v>190</v>
      </c>
      <c r="BY967" s="319" t="s">
        <v>190</v>
      </c>
      <c r="BZ967" s="319" t="s">
        <v>190</v>
      </c>
      <c r="CA967" s="319" t="s">
        <v>190</v>
      </c>
      <c r="CB967" s="319" t="s">
        <v>190</v>
      </c>
      <c r="CC967" s="319" t="s">
        <v>190</v>
      </c>
      <c r="CD967" s="319" t="s">
        <v>190</v>
      </c>
      <c r="CE967" s="319" t="s">
        <v>190</v>
      </c>
      <c r="CF967" s="319" t="s">
        <v>190</v>
      </c>
      <c r="CG967" s="319" t="s">
        <v>190</v>
      </c>
      <c r="CH967" s="319" t="s">
        <v>190</v>
      </c>
      <c r="CI967" s="319" t="s">
        <v>190</v>
      </c>
      <c r="CJ967" s="319" t="s">
        <v>190</v>
      </c>
      <c r="CK967" s="319" t="s">
        <v>190</v>
      </c>
      <c r="CL967" s="319" t="s">
        <v>190</v>
      </c>
      <c r="CM967" s="319" t="s">
        <v>190</v>
      </c>
      <c r="CN967" s="319" t="s">
        <v>428</v>
      </c>
      <c r="CO967" s="319" t="s">
        <v>428</v>
      </c>
      <c r="CP967" s="319" t="s">
        <v>428</v>
      </c>
      <c r="CQ967" s="319" t="s">
        <v>190</v>
      </c>
      <c r="CR967" s="319" t="s">
        <v>190</v>
      </c>
      <c r="CS967" s="319" t="s">
        <v>190</v>
      </c>
      <c r="CT967" s="319" t="s">
        <v>190</v>
      </c>
      <c r="CU967" s="319" t="s">
        <v>190</v>
      </c>
      <c r="CV967" s="319" t="s">
        <v>190</v>
      </c>
      <c r="CW967" s="319" t="s">
        <v>190</v>
      </c>
      <c r="CX967" s="319" t="s">
        <v>190</v>
      </c>
      <c r="CY967" s="319" t="s">
        <v>190</v>
      </c>
      <c r="CZ967" s="319" t="s">
        <v>190</v>
      </c>
      <c r="DA967" s="319" t="s">
        <v>190</v>
      </c>
      <c r="DB967" s="319" t="s">
        <v>190</v>
      </c>
      <c r="DC967" s="319" t="s">
        <v>190</v>
      </c>
      <c r="DD967" s="319" t="s">
        <v>190</v>
      </c>
      <c r="DE967" s="319" t="s">
        <v>190</v>
      </c>
      <c r="DF967" s="319" t="s">
        <v>190</v>
      </c>
      <c r="DG967" s="319" t="s">
        <v>190</v>
      </c>
      <c r="DH967" s="319" t="s">
        <v>190</v>
      </c>
      <c r="DI967" s="319" t="s">
        <v>190</v>
      </c>
      <c r="DJ967" s="319" t="s">
        <v>190</v>
      </c>
      <c r="DK967" s="319" t="s">
        <v>190</v>
      </c>
      <c r="DL967" s="319" t="s">
        <v>190</v>
      </c>
      <c r="DM967" s="319" t="s">
        <v>428</v>
      </c>
      <c r="DN967" s="319" t="s">
        <v>428</v>
      </c>
      <c r="DO967" s="319" t="s">
        <v>190</v>
      </c>
      <c r="DP967" s="319" t="s">
        <v>428</v>
      </c>
      <c r="DQ967" s="319" t="s">
        <v>428</v>
      </c>
      <c r="DR967" s="319" t="s">
        <v>428</v>
      </c>
      <c r="DS967" s="319" t="s">
        <v>428</v>
      </c>
      <c r="DT967" s="319" t="s">
        <v>428</v>
      </c>
      <c r="DU967" s="319" t="s">
        <v>428</v>
      </c>
      <c r="DV967" s="319" t="s">
        <v>173</v>
      </c>
      <c r="DW967" s="319" t="s">
        <v>428</v>
      </c>
      <c r="DX967" s="319" t="s">
        <v>428</v>
      </c>
      <c r="DY967" s="319" t="s">
        <v>428</v>
      </c>
      <c r="DZ967" s="319" t="s">
        <v>428</v>
      </c>
      <c r="EA967" s="319" t="s">
        <v>428</v>
      </c>
      <c r="EB967" s="319" t="s">
        <v>428</v>
      </c>
      <c r="EC967" s="319" t="s">
        <v>428</v>
      </c>
      <c r="ED967" s="319" t="s">
        <v>428</v>
      </c>
      <c r="EE967" s="319" t="s">
        <v>190</v>
      </c>
      <c r="EF967" s="319" t="s">
        <v>190</v>
      </c>
      <c r="EG967" s="319" t="s">
        <v>190</v>
      </c>
      <c r="EH967" s="319" t="s">
        <v>190</v>
      </c>
      <c r="EI967" s="319" t="s">
        <v>190</v>
      </c>
      <c r="EJ967" s="319" t="s">
        <v>190</v>
      </c>
      <c r="EK967" s="319" t="s">
        <v>190</v>
      </c>
      <c r="EL967" s="319" t="s">
        <v>428</v>
      </c>
      <c r="EM967" s="319" t="s">
        <v>190</v>
      </c>
      <c r="EN967" s="319" t="s">
        <v>190</v>
      </c>
      <c r="EO967" s="319" t="s">
        <v>190</v>
      </c>
      <c r="EP967" s="319" t="s">
        <v>190</v>
      </c>
      <c r="EQ967" s="319" t="s">
        <v>190</v>
      </c>
      <c r="ER967" s="319" t="s">
        <v>190</v>
      </c>
      <c r="ES967" s="319" t="s">
        <v>190</v>
      </c>
      <c r="ET967" s="319" t="s">
        <v>190</v>
      </c>
      <c r="EU967" s="319" t="s">
        <v>190</v>
      </c>
      <c r="EV967" s="319" t="s">
        <v>190</v>
      </c>
      <c r="EW967" s="319" t="s">
        <v>190</v>
      </c>
      <c r="EX967" s="319" t="s">
        <v>190</v>
      </c>
      <c r="EY967" s="319" t="s">
        <v>190</v>
      </c>
      <c r="EZ967" s="319" t="s">
        <v>190</v>
      </c>
      <c r="FA967" s="319" t="s">
        <v>190</v>
      </c>
      <c r="FB967" s="319" t="s">
        <v>428</v>
      </c>
      <c r="FC967" s="319" t="s">
        <v>428</v>
      </c>
      <c r="FD967" s="319" t="s">
        <v>428</v>
      </c>
      <c r="FE967" s="319" t="s">
        <v>428</v>
      </c>
      <c r="FF967" s="319" t="s">
        <v>428</v>
      </c>
      <c r="FG967" s="319" t="s">
        <v>428</v>
      </c>
      <c r="FH967" s="319" t="s">
        <v>190</v>
      </c>
      <c r="FI967" s="319" t="s">
        <v>190</v>
      </c>
      <c r="FJ967" s="319" t="s">
        <v>190</v>
      </c>
      <c r="FK967" s="319" t="s">
        <v>190</v>
      </c>
      <c r="FL967" s="319" t="s">
        <v>190</v>
      </c>
      <c r="FM967" s="319" t="s">
        <v>190</v>
      </c>
      <c r="FN967" s="319" t="s">
        <v>190</v>
      </c>
      <c r="FO967" s="319" t="s">
        <v>190</v>
      </c>
      <c r="FP967" s="319" t="s">
        <v>190</v>
      </c>
      <c r="FQ967" s="319" t="s">
        <v>190</v>
      </c>
      <c r="FR967" s="319" t="s">
        <v>190</v>
      </c>
      <c r="FS967" s="319" t="s">
        <v>428</v>
      </c>
      <c r="FT967" s="319" t="s">
        <v>190</v>
      </c>
      <c r="FU967" s="319" t="s">
        <v>190</v>
      </c>
      <c r="FV967" s="319" t="s">
        <v>190</v>
      </c>
      <c r="FW967" s="319" t="s">
        <v>190</v>
      </c>
      <c r="FX967" s="319" t="s">
        <v>190</v>
      </c>
      <c r="FY967" s="319" t="s">
        <v>190</v>
      </c>
      <c r="FZ967" s="319" t="s">
        <v>190</v>
      </c>
      <c r="GA967" s="319" t="s">
        <v>190</v>
      </c>
      <c r="GB967" s="319" t="s">
        <v>190</v>
      </c>
      <c r="GC967" s="319" t="s">
        <v>190</v>
      </c>
      <c r="GD967" s="319" t="s">
        <v>190</v>
      </c>
      <c r="GE967" s="319" t="s">
        <v>190</v>
      </c>
      <c r="GF967" s="319" t="s">
        <v>190</v>
      </c>
      <c r="GG967" s="319" t="s">
        <v>190</v>
      </c>
      <c r="GH967" s="319" t="s">
        <v>190</v>
      </c>
      <c r="GI967" s="319" t="s">
        <v>190</v>
      </c>
      <c r="GJ967" s="319" t="s">
        <v>190</v>
      </c>
      <c r="GK967" s="319" t="s">
        <v>428</v>
      </c>
      <c r="GL967" s="319" t="s">
        <v>191</v>
      </c>
      <c r="GM967" s="319" t="s">
        <v>190</v>
      </c>
      <c r="GN967" s="319" t="s">
        <v>190</v>
      </c>
      <c r="GO967" s="319" t="s">
        <v>190</v>
      </c>
      <c r="GP967" s="319" t="s">
        <v>190</v>
      </c>
      <c r="GQ967" s="319" t="s">
        <v>428</v>
      </c>
      <c r="GR967" s="319" t="s">
        <v>190</v>
      </c>
      <c r="GS967" s="319" t="s">
        <v>190</v>
      </c>
      <c r="GT967" s="319" t="s">
        <v>191</v>
      </c>
      <c r="GU967" s="319" t="s">
        <v>190</v>
      </c>
      <c r="GV967" s="319" t="s">
        <v>190</v>
      </c>
      <c r="GW967" s="319" t="s">
        <v>191</v>
      </c>
      <c r="GX967" s="319" t="s">
        <v>191</v>
      </c>
      <c r="GY967" s="319" t="s">
        <v>191</v>
      </c>
      <c r="GZ967" s="319" t="s">
        <v>191</v>
      </c>
      <c r="HA967" s="319" t="s">
        <v>428</v>
      </c>
      <c r="HB967" s="319" t="s">
        <v>428</v>
      </c>
      <c r="HC967" s="319" t="s">
        <v>190</v>
      </c>
      <c r="HD967" s="319" t="s">
        <v>190</v>
      </c>
      <c r="HE967" s="319" t="s">
        <v>190</v>
      </c>
      <c r="HF967" s="319" t="s">
        <v>190</v>
      </c>
      <c r="HG967" s="319" t="s">
        <v>190</v>
      </c>
      <c r="HH967" s="319" t="s">
        <v>190</v>
      </c>
      <c r="HI967" s="319" t="s">
        <v>428</v>
      </c>
      <c r="HJ967" s="319" t="s">
        <v>190</v>
      </c>
      <c r="HK967" s="319" t="s">
        <v>190</v>
      </c>
      <c r="HL967" s="319" t="s">
        <v>428</v>
      </c>
      <c r="HM967" s="319" t="s">
        <v>428</v>
      </c>
      <c r="HN967" s="319" t="s">
        <v>428</v>
      </c>
      <c r="HO967" s="319" t="s">
        <v>428</v>
      </c>
      <c r="HP967" s="319" t="s">
        <v>190</v>
      </c>
      <c r="HQ967" s="319" t="s">
        <v>190</v>
      </c>
      <c r="HR967" s="319" t="s">
        <v>190</v>
      </c>
      <c r="HS967" s="319" t="s">
        <v>190</v>
      </c>
      <c r="HT967" s="319" t="s">
        <v>190</v>
      </c>
      <c r="HU967" s="319" t="s">
        <v>190</v>
      </c>
      <c r="HV967" s="319" t="s">
        <v>190</v>
      </c>
      <c r="HW967" s="319" t="s">
        <v>190</v>
      </c>
      <c r="HX967" s="319" t="s">
        <v>190</v>
      </c>
      <c r="HY967" s="319" t="s">
        <v>190</v>
      </c>
      <c r="HZ967" s="319" t="s">
        <v>190</v>
      </c>
      <c r="IA967" s="319" t="s">
        <v>190</v>
      </c>
      <c r="IB967" s="319" t="s">
        <v>190</v>
      </c>
      <c r="IC967" s="319" t="s">
        <v>190</v>
      </c>
      <c r="ID967" s="319" t="s">
        <v>190</v>
      </c>
      <c r="IE967" s="319" t="s">
        <v>190</v>
      </c>
      <c r="IF967" s="319" t="s">
        <v>191</v>
      </c>
      <c r="IG967" s="319" t="s">
        <v>191</v>
      </c>
      <c r="IH967" s="319" t="s">
        <v>191</v>
      </c>
      <c r="II967" s="319" t="s">
        <v>191</v>
      </c>
      <c r="IJ967" s="319" t="s">
        <v>173</v>
      </c>
      <c r="IK967" s="319" t="s">
        <v>173</v>
      </c>
      <c r="IL967" s="319" t="s">
        <v>173</v>
      </c>
      <c r="IM967" s="319" t="s">
        <v>173</v>
      </c>
      <c r="IN967" s="319" t="s">
        <v>173</v>
      </c>
      <c r="IO967" s="319" t="s">
        <v>173</v>
      </c>
      <c r="IP967" s="319" t="s">
        <v>173</v>
      </c>
      <c r="IQ967" s="321" t="s">
        <v>173</v>
      </c>
      <c r="IR967" s="320" t="s">
        <v>173</v>
      </c>
      <c r="IS967" s="322" t="s">
        <v>173</v>
      </c>
      <c r="IT967" s="319" t="s">
        <v>173</v>
      </c>
    </row>
    <row r="968" spans="1:254" s="271" customFormat="1" x14ac:dyDescent="0.25">
      <c r="A968" s="318" t="str">
        <f>HYPERLINK("http://www.ofsted.gov.uk/inspection-reports/find-inspection-report/provider/ELS/145296 ","Ofsted School Webpage")</f>
        <v>Ofsted School Webpage</v>
      </c>
      <c r="B968" s="319">
        <v>145296</v>
      </c>
      <c r="C968" s="319">
        <v>8886079</v>
      </c>
      <c r="D968" s="319" t="s">
        <v>559</v>
      </c>
      <c r="E968" s="319" t="s">
        <v>167</v>
      </c>
      <c r="F968" s="319" t="s">
        <v>81</v>
      </c>
      <c r="G968" s="319" t="s">
        <v>81</v>
      </c>
      <c r="H968" s="319" t="s">
        <v>81</v>
      </c>
      <c r="I968" s="319" t="s">
        <v>78</v>
      </c>
      <c r="J968" s="319" t="s">
        <v>424</v>
      </c>
      <c r="K968" s="319" t="s">
        <v>431</v>
      </c>
      <c r="L968" s="319" t="s">
        <v>431</v>
      </c>
      <c r="M968" s="319" t="s">
        <v>469</v>
      </c>
      <c r="N968" s="319" t="s">
        <v>3123</v>
      </c>
      <c r="O968" s="319" t="s">
        <v>952</v>
      </c>
      <c r="P968" s="319">
        <v>3</v>
      </c>
      <c r="Q968" s="319" t="s">
        <v>2776</v>
      </c>
      <c r="R968" s="320">
        <v>10056435</v>
      </c>
      <c r="S968" s="321">
        <v>43389</v>
      </c>
      <c r="T968" s="321">
        <v>43390</v>
      </c>
      <c r="U968" s="321">
        <v>43416</v>
      </c>
      <c r="V968" s="319" t="s">
        <v>435</v>
      </c>
      <c r="W968" s="319" t="s">
        <v>2767</v>
      </c>
      <c r="X968" s="319">
        <v>2</v>
      </c>
      <c r="Y968" s="319" t="s">
        <v>173</v>
      </c>
      <c r="Z968" s="319" t="s">
        <v>173</v>
      </c>
      <c r="AA968" s="319" t="s">
        <v>173</v>
      </c>
      <c r="AB968" s="319">
        <v>2</v>
      </c>
      <c r="AC968" s="319" t="s">
        <v>169</v>
      </c>
      <c r="AD968" s="319" t="s">
        <v>173</v>
      </c>
      <c r="AE968" s="319" t="s">
        <v>173</v>
      </c>
      <c r="AF968" s="319" t="s">
        <v>447</v>
      </c>
      <c r="AG968" s="319" t="s">
        <v>171</v>
      </c>
      <c r="AH968" s="319" t="s">
        <v>190</v>
      </c>
      <c r="AI968" s="319" t="s">
        <v>190</v>
      </c>
      <c r="AJ968" s="319" t="s">
        <v>190</v>
      </c>
      <c r="AK968" s="319" t="s">
        <v>190</v>
      </c>
      <c r="AL968" s="319" t="s">
        <v>190</v>
      </c>
      <c r="AM968" s="319" t="s">
        <v>190</v>
      </c>
      <c r="AN968" s="319" t="s">
        <v>190</v>
      </c>
      <c r="AO968" s="319" t="s">
        <v>190</v>
      </c>
      <c r="AP968" s="319" t="s">
        <v>190</v>
      </c>
      <c r="AQ968" s="319" t="s">
        <v>190</v>
      </c>
      <c r="AR968" s="319" t="s">
        <v>190</v>
      </c>
      <c r="AS968" s="319" t="s">
        <v>190</v>
      </c>
      <c r="AT968" s="319" t="s">
        <v>190</v>
      </c>
      <c r="AU968" s="319" t="s">
        <v>190</v>
      </c>
      <c r="AV968" s="319" t="s">
        <v>190</v>
      </c>
      <c r="AW968" s="319" t="s">
        <v>190</v>
      </c>
      <c r="AX968" s="319" t="s">
        <v>428</v>
      </c>
      <c r="AY968" s="319" t="s">
        <v>190</v>
      </c>
      <c r="AZ968" s="319" t="s">
        <v>190</v>
      </c>
      <c r="BA968" s="319" t="s">
        <v>190</v>
      </c>
      <c r="BB968" s="319" t="s">
        <v>190</v>
      </c>
      <c r="BC968" s="319" t="s">
        <v>190</v>
      </c>
      <c r="BD968" s="319" t="s">
        <v>190</v>
      </c>
      <c r="BE968" s="319" t="s">
        <v>190</v>
      </c>
      <c r="BF968" s="319" t="s">
        <v>428</v>
      </c>
      <c r="BG968" s="319" t="s">
        <v>428</v>
      </c>
      <c r="BH968" s="319" t="s">
        <v>190</v>
      </c>
      <c r="BI968" s="319" t="s">
        <v>190</v>
      </c>
      <c r="BJ968" s="319" t="s">
        <v>190</v>
      </c>
      <c r="BK968" s="319" t="s">
        <v>190</v>
      </c>
      <c r="BL968" s="319" t="s">
        <v>190</v>
      </c>
      <c r="BM968" s="319" t="s">
        <v>190</v>
      </c>
      <c r="BN968" s="319" t="s">
        <v>190</v>
      </c>
      <c r="BO968" s="319" t="s">
        <v>190</v>
      </c>
      <c r="BP968" s="319" t="s">
        <v>190</v>
      </c>
      <c r="BQ968" s="319" t="s">
        <v>190</v>
      </c>
      <c r="BR968" s="319" t="s">
        <v>190</v>
      </c>
      <c r="BS968" s="319" t="s">
        <v>190</v>
      </c>
      <c r="BT968" s="319" t="s">
        <v>190</v>
      </c>
      <c r="BU968" s="319" t="s">
        <v>190</v>
      </c>
      <c r="BV968" s="319" t="s">
        <v>190</v>
      </c>
      <c r="BW968" s="319" t="s">
        <v>190</v>
      </c>
      <c r="BX968" s="319" t="s">
        <v>190</v>
      </c>
      <c r="BY968" s="319" t="s">
        <v>190</v>
      </c>
      <c r="BZ968" s="319" t="s">
        <v>190</v>
      </c>
      <c r="CA968" s="319" t="s">
        <v>190</v>
      </c>
      <c r="CB968" s="319" t="s">
        <v>190</v>
      </c>
      <c r="CC968" s="319" t="s">
        <v>190</v>
      </c>
      <c r="CD968" s="319" t="s">
        <v>190</v>
      </c>
      <c r="CE968" s="319" t="s">
        <v>190</v>
      </c>
      <c r="CF968" s="319" t="s">
        <v>190</v>
      </c>
      <c r="CG968" s="319" t="s">
        <v>190</v>
      </c>
      <c r="CH968" s="319" t="s">
        <v>190</v>
      </c>
      <c r="CI968" s="319" t="s">
        <v>190</v>
      </c>
      <c r="CJ968" s="319" t="s">
        <v>190</v>
      </c>
      <c r="CK968" s="319" t="s">
        <v>190</v>
      </c>
      <c r="CL968" s="319" t="s">
        <v>190</v>
      </c>
      <c r="CM968" s="319" t="s">
        <v>190</v>
      </c>
      <c r="CN968" s="319" t="s">
        <v>428</v>
      </c>
      <c r="CO968" s="319" t="s">
        <v>428</v>
      </c>
      <c r="CP968" s="319" t="s">
        <v>428</v>
      </c>
      <c r="CQ968" s="319" t="s">
        <v>190</v>
      </c>
      <c r="CR968" s="319" t="s">
        <v>190</v>
      </c>
      <c r="CS968" s="319" t="s">
        <v>190</v>
      </c>
      <c r="CT968" s="319" t="s">
        <v>190</v>
      </c>
      <c r="CU968" s="319" t="s">
        <v>190</v>
      </c>
      <c r="CV968" s="319" t="s">
        <v>190</v>
      </c>
      <c r="CW968" s="319" t="s">
        <v>190</v>
      </c>
      <c r="CX968" s="319" t="s">
        <v>190</v>
      </c>
      <c r="CY968" s="319" t="s">
        <v>190</v>
      </c>
      <c r="CZ968" s="319" t="s">
        <v>190</v>
      </c>
      <c r="DA968" s="319" t="s">
        <v>190</v>
      </c>
      <c r="DB968" s="319" t="s">
        <v>190</v>
      </c>
      <c r="DC968" s="319" t="s">
        <v>190</v>
      </c>
      <c r="DD968" s="319" t="s">
        <v>190</v>
      </c>
      <c r="DE968" s="319" t="s">
        <v>190</v>
      </c>
      <c r="DF968" s="319" t="s">
        <v>190</v>
      </c>
      <c r="DG968" s="319" t="s">
        <v>190</v>
      </c>
      <c r="DH968" s="319" t="s">
        <v>190</v>
      </c>
      <c r="DI968" s="319" t="s">
        <v>190</v>
      </c>
      <c r="DJ968" s="319" t="s">
        <v>190</v>
      </c>
      <c r="DK968" s="319" t="s">
        <v>190</v>
      </c>
      <c r="DL968" s="319" t="s">
        <v>190</v>
      </c>
      <c r="DM968" s="319" t="s">
        <v>190</v>
      </c>
      <c r="DN968" s="319" t="s">
        <v>428</v>
      </c>
      <c r="DO968" s="319" t="s">
        <v>190</v>
      </c>
      <c r="DP968" s="319" t="s">
        <v>428</v>
      </c>
      <c r="DQ968" s="319" t="s">
        <v>428</v>
      </c>
      <c r="DR968" s="319" t="s">
        <v>428</v>
      </c>
      <c r="DS968" s="319" t="s">
        <v>428</v>
      </c>
      <c r="DT968" s="319" t="s">
        <v>428</v>
      </c>
      <c r="DU968" s="319" t="s">
        <v>428</v>
      </c>
      <c r="DV968" s="319" t="s">
        <v>173</v>
      </c>
      <c r="DW968" s="319" t="s">
        <v>428</v>
      </c>
      <c r="DX968" s="319" t="s">
        <v>428</v>
      </c>
      <c r="DY968" s="319" t="s">
        <v>428</v>
      </c>
      <c r="DZ968" s="319" t="s">
        <v>428</v>
      </c>
      <c r="EA968" s="319" t="s">
        <v>428</v>
      </c>
      <c r="EB968" s="319" t="s">
        <v>428</v>
      </c>
      <c r="EC968" s="319" t="s">
        <v>428</v>
      </c>
      <c r="ED968" s="319" t="s">
        <v>428</v>
      </c>
      <c r="EE968" s="319" t="s">
        <v>428</v>
      </c>
      <c r="EF968" s="319" t="s">
        <v>428</v>
      </c>
      <c r="EG968" s="319" t="s">
        <v>428</v>
      </c>
      <c r="EH968" s="319" t="s">
        <v>428</v>
      </c>
      <c r="EI968" s="319" t="s">
        <v>428</v>
      </c>
      <c r="EJ968" s="319" t="s">
        <v>428</v>
      </c>
      <c r="EK968" s="319" t="s">
        <v>428</v>
      </c>
      <c r="EL968" s="319" t="s">
        <v>428</v>
      </c>
      <c r="EM968" s="319" t="s">
        <v>428</v>
      </c>
      <c r="EN968" s="319" t="s">
        <v>190</v>
      </c>
      <c r="EO968" s="319" t="s">
        <v>190</v>
      </c>
      <c r="EP968" s="319" t="s">
        <v>190</v>
      </c>
      <c r="EQ968" s="319" t="s">
        <v>190</v>
      </c>
      <c r="ER968" s="319" t="s">
        <v>190</v>
      </c>
      <c r="ES968" s="319" t="s">
        <v>190</v>
      </c>
      <c r="ET968" s="319" t="s">
        <v>190</v>
      </c>
      <c r="EU968" s="319" t="s">
        <v>190</v>
      </c>
      <c r="EV968" s="319" t="s">
        <v>190</v>
      </c>
      <c r="EW968" s="319" t="s">
        <v>190</v>
      </c>
      <c r="EX968" s="319" t="s">
        <v>190</v>
      </c>
      <c r="EY968" s="319" t="s">
        <v>190</v>
      </c>
      <c r="EZ968" s="319" t="s">
        <v>190</v>
      </c>
      <c r="FA968" s="319" t="s">
        <v>428</v>
      </c>
      <c r="FB968" s="319" t="s">
        <v>428</v>
      </c>
      <c r="FC968" s="319" t="s">
        <v>428</v>
      </c>
      <c r="FD968" s="319" t="s">
        <v>428</v>
      </c>
      <c r="FE968" s="319" t="s">
        <v>428</v>
      </c>
      <c r="FF968" s="319" t="s">
        <v>428</v>
      </c>
      <c r="FG968" s="319" t="s">
        <v>428</v>
      </c>
      <c r="FH968" s="319" t="s">
        <v>428</v>
      </c>
      <c r="FI968" s="319" t="s">
        <v>428</v>
      </c>
      <c r="FJ968" s="319" t="s">
        <v>429</v>
      </c>
      <c r="FK968" s="319" t="s">
        <v>428</v>
      </c>
      <c r="FL968" s="319" t="s">
        <v>190</v>
      </c>
      <c r="FM968" s="319" t="s">
        <v>190</v>
      </c>
      <c r="FN968" s="319" t="s">
        <v>428</v>
      </c>
      <c r="FO968" s="319" t="s">
        <v>190</v>
      </c>
      <c r="FP968" s="319" t="s">
        <v>190</v>
      </c>
      <c r="FQ968" s="319" t="s">
        <v>190</v>
      </c>
      <c r="FR968" s="319" t="s">
        <v>190</v>
      </c>
      <c r="FS968" s="319" t="s">
        <v>428</v>
      </c>
      <c r="FT968" s="319" t="s">
        <v>190</v>
      </c>
      <c r="FU968" s="319" t="s">
        <v>190</v>
      </c>
      <c r="FV968" s="319" t="s">
        <v>190</v>
      </c>
      <c r="FW968" s="319" t="s">
        <v>190</v>
      </c>
      <c r="FX968" s="319" t="s">
        <v>190</v>
      </c>
      <c r="FY968" s="319" t="s">
        <v>190</v>
      </c>
      <c r="FZ968" s="319" t="s">
        <v>190</v>
      </c>
      <c r="GA968" s="319" t="s">
        <v>190</v>
      </c>
      <c r="GB968" s="319" t="s">
        <v>190</v>
      </c>
      <c r="GC968" s="319" t="s">
        <v>190</v>
      </c>
      <c r="GD968" s="319" t="s">
        <v>190</v>
      </c>
      <c r="GE968" s="319" t="s">
        <v>190</v>
      </c>
      <c r="GF968" s="319" t="s">
        <v>190</v>
      </c>
      <c r="GG968" s="319" t="s">
        <v>190</v>
      </c>
      <c r="GH968" s="319" t="s">
        <v>190</v>
      </c>
      <c r="GI968" s="319" t="s">
        <v>190</v>
      </c>
      <c r="GJ968" s="319" t="s">
        <v>190</v>
      </c>
      <c r="GK968" s="319" t="s">
        <v>428</v>
      </c>
      <c r="GL968" s="319" t="s">
        <v>190</v>
      </c>
      <c r="GM968" s="319" t="s">
        <v>190</v>
      </c>
      <c r="GN968" s="319" t="s">
        <v>190</v>
      </c>
      <c r="GO968" s="319" t="s">
        <v>190</v>
      </c>
      <c r="GP968" s="319" t="s">
        <v>428</v>
      </c>
      <c r="GQ968" s="319" t="s">
        <v>428</v>
      </c>
      <c r="GR968" s="319" t="s">
        <v>190</v>
      </c>
      <c r="GS968" s="319" t="s">
        <v>190</v>
      </c>
      <c r="GT968" s="319" t="s">
        <v>190</v>
      </c>
      <c r="GU968" s="319" t="s">
        <v>190</v>
      </c>
      <c r="GV968" s="319" t="s">
        <v>428</v>
      </c>
      <c r="GW968" s="319" t="s">
        <v>190</v>
      </c>
      <c r="GX968" s="319" t="s">
        <v>190</v>
      </c>
      <c r="GY968" s="319" t="s">
        <v>190</v>
      </c>
      <c r="GZ968" s="319" t="s">
        <v>190</v>
      </c>
      <c r="HA968" s="319" t="s">
        <v>428</v>
      </c>
      <c r="HB968" s="319" t="s">
        <v>428</v>
      </c>
      <c r="HC968" s="319" t="s">
        <v>190</v>
      </c>
      <c r="HD968" s="319" t="s">
        <v>190</v>
      </c>
      <c r="HE968" s="319" t="s">
        <v>190</v>
      </c>
      <c r="HF968" s="319" t="s">
        <v>190</v>
      </c>
      <c r="HG968" s="319" t="s">
        <v>190</v>
      </c>
      <c r="HH968" s="319" t="s">
        <v>190</v>
      </c>
      <c r="HI968" s="319" t="s">
        <v>190</v>
      </c>
      <c r="HJ968" s="319" t="s">
        <v>190</v>
      </c>
      <c r="HK968" s="319" t="s">
        <v>428</v>
      </c>
      <c r="HL968" s="319" t="s">
        <v>428</v>
      </c>
      <c r="HM968" s="319" t="s">
        <v>428</v>
      </c>
      <c r="HN968" s="319" t="s">
        <v>428</v>
      </c>
      <c r="HO968" s="319" t="s">
        <v>428</v>
      </c>
      <c r="HP968" s="319" t="s">
        <v>190</v>
      </c>
      <c r="HQ968" s="319" t="s">
        <v>190</v>
      </c>
      <c r="HR968" s="319" t="s">
        <v>190</v>
      </c>
      <c r="HS968" s="319" t="s">
        <v>190</v>
      </c>
      <c r="HT968" s="319" t="s">
        <v>190</v>
      </c>
      <c r="HU968" s="319" t="s">
        <v>190</v>
      </c>
      <c r="HV968" s="319" t="s">
        <v>190</v>
      </c>
      <c r="HW968" s="319" t="s">
        <v>190</v>
      </c>
      <c r="HX968" s="319" t="s">
        <v>190</v>
      </c>
      <c r="HY968" s="319" t="s">
        <v>190</v>
      </c>
      <c r="HZ968" s="319" t="s">
        <v>190</v>
      </c>
      <c r="IA968" s="319" t="s">
        <v>190</v>
      </c>
      <c r="IB968" s="319" t="s">
        <v>190</v>
      </c>
      <c r="IC968" s="319" t="s">
        <v>190</v>
      </c>
      <c r="ID968" s="319" t="s">
        <v>190</v>
      </c>
      <c r="IE968" s="319" t="s">
        <v>190</v>
      </c>
      <c r="IF968" s="319" t="s">
        <v>190</v>
      </c>
      <c r="IG968" s="319" t="s">
        <v>190</v>
      </c>
      <c r="IH968" s="319" t="s">
        <v>190</v>
      </c>
      <c r="II968" s="319" t="s">
        <v>190</v>
      </c>
      <c r="IJ968" s="319" t="s">
        <v>173</v>
      </c>
      <c r="IK968" s="319" t="s">
        <v>173</v>
      </c>
      <c r="IL968" s="319" t="s">
        <v>173</v>
      </c>
      <c r="IM968" s="319" t="s">
        <v>173</v>
      </c>
      <c r="IN968" s="319" t="s">
        <v>173</v>
      </c>
      <c r="IO968" s="319" t="s">
        <v>173</v>
      </c>
      <c r="IP968" s="319" t="s">
        <v>173</v>
      </c>
      <c r="IQ968" s="321" t="s">
        <v>173</v>
      </c>
      <c r="IR968" s="320" t="s">
        <v>173</v>
      </c>
      <c r="IS968" s="322" t="s">
        <v>173</v>
      </c>
      <c r="IT968" s="319" t="s">
        <v>173</v>
      </c>
    </row>
    <row r="969" spans="1:254" s="271" customFormat="1" x14ac:dyDescent="0.25">
      <c r="A969" s="318" t="str">
        <f>HYPERLINK("http://www.ofsted.gov.uk/inspection-reports/find-inspection-report/provider/ELS/145298 ","Ofsted School Webpage")</f>
        <v>Ofsted School Webpage</v>
      </c>
      <c r="B969" s="319">
        <v>145298</v>
      </c>
      <c r="C969" s="319">
        <v>8256048</v>
      </c>
      <c r="D969" s="319" t="s">
        <v>2686</v>
      </c>
      <c r="E969" s="319" t="s">
        <v>168</v>
      </c>
      <c r="F969" s="319" t="s">
        <v>81</v>
      </c>
      <c r="G969" s="319" t="s">
        <v>81</v>
      </c>
      <c r="H969" s="319" t="s">
        <v>81</v>
      </c>
      <c r="I969" s="319" t="s">
        <v>78</v>
      </c>
      <c r="J969" s="319" t="s">
        <v>424</v>
      </c>
      <c r="K969" s="319" t="s">
        <v>514</v>
      </c>
      <c r="L969" s="319" t="s">
        <v>514</v>
      </c>
      <c r="M969" s="319" t="s">
        <v>632</v>
      </c>
      <c r="N969" s="319" t="s">
        <v>3533</v>
      </c>
      <c r="O969" s="319" t="s">
        <v>633</v>
      </c>
      <c r="P969" s="319" t="s">
        <v>173</v>
      </c>
      <c r="Q969" s="319" t="s">
        <v>429</v>
      </c>
      <c r="R969" s="320">
        <v>10054086</v>
      </c>
      <c r="S969" s="321">
        <v>43410</v>
      </c>
      <c r="T969" s="321">
        <v>43412</v>
      </c>
      <c r="U969" s="321">
        <v>43436</v>
      </c>
      <c r="V969" s="319" t="s">
        <v>435</v>
      </c>
      <c r="W969" s="319" t="s">
        <v>2767</v>
      </c>
      <c r="X969" s="319">
        <v>2</v>
      </c>
      <c r="Y969" s="319" t="s">
        <v>173</v>
      </c>
      <c r="Z969" s="319" t="s">
        <v>173</v>
      </c>
      <c r="AA969" s="319" t="s">
        <v>173</v>
      </c>
      <c r="AB969" s="319">
        <v>2</v>
      </c>
      <c r="AC969" s="319" t="s">
        <v>169</v>
      </c>
      <c r="AD969" s="319" t="s">
        <v>173</v>
      </c>
      <c r="AE969" s="319" t="s">
        <v>173</v>
      </c>
      <c r="AF969" s="319" t="s">
        <v>427</v>
      </c>
      <c r="AG969" s="319" t="s">
        <v>171</v>
      </c>
      <c r="AH969" s="319" t="s">
        <v>190</v>
      </c>
      <c r="AI969" s="319" t="s">
        <v>190</v>
      </c>
      <c r="AJ969" s="319" t="s">
        <v>190</v>
      </c>
      <c r="AK969" s="319" t="s">
        <v>190</v>
      </c>
      <c r="AL969" s="319" t="s">
        <v>190</v>
      </c>
      <c r="AM969" s="319" t="s">
        <v>190</v>
      </c>
      <c r="AN969" s="319" t="s">
        <v>190</v>
      </c>
      <c r="AO969" s="319" t="s">
        <v>190</v>
      </c>
      <c r="AP969" s="319" t="s">
        <v>190</v>
      </c>
      <c r="AQ969" s="319" t="s">
        <v>190</v>
      </c>
      <c r="AR969" s="319" t="s">
        <v>190</v>
      </c>
      <c r="AS969" s="319" t="s">
        <v>190</v>
      </c>
      <c r="AT969" s="319" t="s">
        <v>190</v>
      </c>
      <c r="AU969" s="319" t="s">
        <v>190</v>
      </c>
      <c r="AV969" s="319" t="s">
        <v>190</v>
      </c>
      <c r="AW969" s="319" t="s">
        <v>190</v>
      </c>
      <c r="AX969" s="319" t="s">
        <v>428</v>
      </c>
      <c r="AY969" s="319" t="s">
        <v>190</v>
      </c>
      <c r="AZ969" s="319" t="s">
        <v>190</v>
      </c>
      <c r="BA969" s="319" t="s">
        <v>190</v>
      </c>
      <c r="BB969" s="319" t="s">
        <v>190</v>
      </c>
      <c r="BC969" s="319" t="s">
        <v>190</v>
      </c>
      <c r="BD969" s="319" t="s">
        <v>190</v>
      </c>
      <c r="BE969" s="319" t="s">
        <v>190</v>
      </c>
      <c r="BF969" s="319" t="s">
        <v>428</v>
      </c>
      <c r="BG969" s="319" t="s">
        <v>428</v>
      </c>
      <c r="BH969" s="319" t="s">
        <v>190</v>
      </c>
      <c r="BI969" s="319" t="s">
        <v>190</v>
      </c>
      <c r="BJ969" s="319" t="s">
        <v>190</v>
      </c>
      <c r="BK969" s="319" t="s">
        <v>190</v>
      </c>
      <c r="BL969" s="319" t="s">
        <v>190</v>
      </c>
      <c r="BM969" s="319" t="s">
        <v>190</v>
      </c>
      <c r="BN969" s="319" t="s">
        <v>190</v>
      </c>
      <c r="BO969" s="319" t="s">
        <v>190</v>
      </c>
      <c r="BP969" s="319" t="s">
        <v>190</v>
      </c>
      <c r="BQ969" s="319" t="s">
        <v>190</v>
      </c>
      <c r="BR969" s="319" t="s">
        <v>190</v>
      </c>
      <c r="BS969" s="319" t="s">
        <v>190</v>
      </c>
      <c r="BT969" s="319" t="s">
        <v>190</v>
      </c>
      <c r="BU969" s="319" t="s">
        <v>190</v>
      </c>
      <c r="BV969" s="319" t="s">
        <v>190</v>
      </c>
      <c r="BW969" s="319" t="s">
        <v>190</v>
      </c>
      <c r="BX969" s="319" t="s">
        <v>190</v>
      </c>
      <c r="BY969" s="319" t="s">
        <v>190</v>
      </c>
      <c r="BZ969" s="319" t="s">
        <v>190</v>
      </c>
      <c r="CA969" s="319" t="s">
        <v>190</v>
      </c>
      <c r="CB969" s="319" t="s">
        <v>190</v>
      </c>
      <c r="CC969" s="319" t="s">
        <v>190</v>
      </c>
      <c r="CD969" s="319" t="s">
        <v>190</v>
      </c>
      <c r="CE969" s="319" t="s">
        <v>190</v>
      </c>
      <c r="CF969" s="319" t="s">
        <v>190</v>
      </c>
      <c r="CG969" s="319" t="s">
        <v>190</v>
      </c>
      <c r="CH969" s="319" t="s">
        <v>190</v>
      </c>
      <c r="CI969" s="319" t="s">
        <v>190</v>
      </c>
      <c r="CJ969" s="319" t="s">
        <v>190</v>
      </c>
      <c r="CK969" s="319" t="s">
        <v>190</v>
      </c>
      <c r="CL969" s="319" t="s">
        <v>190</v>
      </c>
      <c r="CM969" s="319" t="s">
        <v>190</v>
      </c>
      <c r="CN969" s="319" t="s">
        <v>428</v>
      </c>
      <c r="CO969" s="319" t="s">
        <v>428</v>
      </c>
      <c r="CP969" s="319" t="s">
        <v>428</v>
      </c>
      <c r="CQ969" s="319" t="s">
        <v>190</v>
      </c>
      <c r="CR969" s="319" t="s">
        <v>190</v>
      </c>
      <c r="CS969" s="319" t="s">
        <v>190</v>
      </c>
      <c r="CT969" s="319" t="s">
        <v>190</v>
      </c>
      <c r="CU969" s="319" t="s">
        <v>190</v>
      </c>
      <c r="CV969" s="319" t="s">
        <v>190</v>
      </c>
      <c r="CW969" s="319" t="s">
        <v>190</v>
      </c>
      <c r="CX969" s="319" t="s">
        <v>190</v>
      </c>
      <c r="CY969" s="319" t="s">
        <v>190</v>
      </c>
      <c r="CZ969" s="319" t="s">
        <v>190</v>
      </c>
      <c r="DA969" s="319" t="s">
        <v>190</v>
      </c>
      <c r="DB969" s="319" t="s">
        <v>190</v>
      </c>
      <c r="DC969" s="319" t="s">
        <v>190</v>
      </c>
      <c r="DD969" s="319" t="s">
        <v>190</v>
      </c>
      <c r="DE969" s="319" t="s">
        <v>190</v>
      </c>
      <c r="DF969" s="319" t="s">
        <v>190</v>
      </c>
      <c r="DG969" s="319" t="s">
        <v>190</v>
      </c>
      <c r="DH969" s="319" t="s">
        <v>190</v>
      </c>
      <c r="DI969" s="319" t="s">
        <v>190</v>
      </c>
      <c r="DJ969" s="319" t="s">
        <v>190</v>
      </c>
      <c r="DK969" s="319" t="s">
        <v>190</v>
      </c>
      <c r="DL969" s="319" t="s">
        <v>190</v>
      </c>
      <c r="DM969" s="319" t="s">
        <v>190</v>
      </c>
      <c r="DN969" s="319" t="s">
        <v>428</v>
      </c>
      <c r="DO969" s="319" t="s">
        <v>190</v>
      </c>
      <c r="DP969" s="319" t="s">
        <v>190</v>
      </c>
      <c r="DQ969" s="319" t="s">
        <v>190</v>
      </c>
      <c r="DR969" s="319" t="s">
        <v>190</v>
      </c>
      <c r="DS969" s="319" t="s">
        <v>190</v>
      </c>
      <c r="DT969" s="319" t="s">
        <v>190</v>
      </c>
      <c r="DU969" s="319" t="s">
        <v>190</v>
      </c>
      <c r="DV969" s="319" t="s">
        <v>173</v>
      </c>
      <c r="DW969" s="319" t="s">
        <v>190</v>
      </c>
      <c r="DX969" s="319" t="s">
        <v>190</v>
      </c>
      <c r="DY969" s="319" t="s">
        <v>190</v>
      </c>
      <c r="DZ969" s="319" t="s">
        <v>190</v>
      </c>
      <c r="EA969" s="319" t="s">
        <v>190</v>
      </c>
      <c r="EB969" s="319" t="s">
        <v>190</v>
      </c>
      <c r="EC969" s="319" t="s">
        <v>428</v>
      </c>
      <c r="ED969" s="319" t="s">
        <v>190</v>
      </c>
      <c r="EE969" s="319" t="s">
        <v>190</v>
      </c>
      <c r="EF969" s="319" t="s">
        <v>190</v>
      </c>
      <c r="EG969" s="319" t="s">
        <v>190</v>
      </c>
      <c r="EH969" s="319" t="s">
        <v>190</v>
      </c>
      <c r="EI969" s="319" t="s">
        <v>190</v>
      </c>
      <c r="EJ969" s="319" t="s">
        <v>190</v>
      </c>
      <c r="EK969" s="319" t="s">
        <v>190</v>
      </c>
      <c r="EL969" s="319" t="s">
        <v>190</v>
      </c>
      <c r="EM969" s="319" t="s">
        <v>190</v>
      </c>
      <c r="EN969" s="319" t="s">
        <v>190</v>
      </c>
      <c r="EO969" s="319" t="s">
        <v>190</v>
      </c>
      <c r="EP969" s="319" t="s">
        <v>190</v>
      </c>
      <c r="EQ969" s="319" t="s">
        <v>190</v>
      </c>
      <c r="ER969" s="319" t="s">
        <v>190</v>
      </c>
      <c r="ES969" s="319" t="s">
        <v>190</v>
      </c>
      <c r="ET969" s="319" t="s">
        <v>190</v>
      </c>
      <c r="EU969" s="319" t="s">
        <v>190</v>
      </c>
      <c r="EV969" s="319" t="s">
        <v>190</v>
      </c>
      <c r="EW969" s="319" t="s">
        <v>190</v>
      </c>
      <c r="EX969" s="319" t="s">
        <v>190</v>
      </c>
      <c r="EY969" s="319" t="s">
        <v>190</v>
      </c>
      <c r="EZ969" s="319" t="s">
        <v>190</v>
      </c>
      <c r="FA969" s="319" t="s">
        <v>190</v>
      </c>
      <c r="FB969" s="319" t="s">
        <v>190</v>
      </c>
      <c r="FC969" s="319" t="s">
        <v>190</v>
      </c>
      <c r="FD969" s="319" t="s">
        <v>190</v>
      </c>
      <c r="FE969" s="319" t="s">
        <v>190</v>
      </c>
      <c r="FF969" s="319" t="s">
        <v>190</v>
      </c>
      <c r="FG969" s="319" t="s">
        <v>190</v>
      </c>
      <c r="FH969" s="319" t="s">
        <v>190</v>
      </c>
      <c r="FI969" s="319" t="s">
        <v>190</v>
      </c>
      <c r="FJ969" s="319" t="s">
        <v>190</v>
      </c>
      <c r="FK969" s="319" t="s">
        <v>190</v>
      </c>
      <c r="FL969" s="319" t="s">
        <v>190</v>
      </c>
      <c r="FM969" s="319" t="s">
        <v>190</v>
      </c>
      <c r="FN969" s="319" t="s">
        <v>190</v>
      </c>
      <c r="FO969" s="319" t="s">
        <v>190</v>
      </c>
      <c r="FP969" s="319" t="s">
        <v>190</v>
      </c>
      <c r="FQ969" s="319" t="s">
        <v>190</v>
      </c>
      <c r="FR969" s="319" t="s">
        <v>190</v>
      </c>
      <c r="FS969" s="319" t="s">
        <v>428</v>
      </c>
      <c r="FT969" s="319" t="s">
        <v>190</v>
      </c>
      <c r="FU969" s="319" t="s">
        <v>190</v>
      </c>
      <c r="FV969" s="319" t="s">
        <v>190</v>
      </c>
      <c r="FW969" s="319" t="s">
        <v>190</v>
      </c>
      <c r="FX969" s="319" t="s">
        <v>190</v>
      </c>
      <c r="FY969" s="319" t="s">
        <v>190</v>
      </c>
      <c r="FZ969" s="319" t="s">
        <v>190</v>
      </c>
      <c r="GA969" s="319" t="s">
        <v>190</v>
      </c>
      <c r="GB969" s="319" t="s">
        <v>190</v>
      </c>
      <c r="GC969" s="319" t="s">
        <v>190</v>
      </c>
      <c r="GD969" s="319" t="s">
        <v>190</v>
      </c>
      <c r="GE969" s="319" t="s">
        <v>190</v>
      </c>
      <c r="GF969" s="319" t="s">
        <v>190</v>
      </c>
      <c r="GG969" s="319" t="s">
        <v>190</v>
      </c>
      <c r="GH969" s="319" t="s">
        <v>190</v>
      </c>
      <c r="GI969" s="319" t="s">
        <v>190</v>
      </c>
      <c r="GJ969" s="319" t="s">
        <v>190</v>
      </c>
      <c r="GK969" s="319" t="s">
        <v>428</v>
      </c>
      <c r="GL969" s="319" t="s">
        <v>190</v>
      </c>
      <c r="GM969" s="319" t="s">
        <v>190</v>
      </c>
      <c r="GN969" s="319" t="s">
        <v>190</v>
      </c>
      <c r="GO969" s="319" t="s">
        <v>190</v>
      </c>
      <c r="GP969" s="319" t="s">
        <v>190</v>
      </c>
      <c r="GQ969" s="319" t="s">
        <v>190</v>
      </c>
      <c r="GR969" s="319" t="s">
        <v>190</v>
      </c>
      <c r="GS969" s="319" t="s">
        <v>190</v>
      </c>
      <c r="GT969" s="319" t="s">
        <v>190</v>
      </c>
      <c r="GU969" s="319" t="s">
        <v>190</v>
      </c>
      <c r="GV969" s="319" t="s">
        <v>190</v>
      </c>
      <c r="GW969" s="319" t="s">
        <v>190</v>
      </c>
      <c r="GX969" s="319" t="s">
        <v>190</v>
      </c>
      <c r="GY969" s="319" t="s">
        <v>190</v>
      </c>
      <c r="GZ969" s="319" t="s">
        <v>190</v>
      </c>
      <c r="HA969" s="319" t="s">
        <v>190</v>
      </c>
      <c r="HB969" s="319" t="s">
        <v>190</v>
      </c>
      <c r="HC969" s="319" t="s">
        <v>190</v>
      </c>
      <c r="HD969" s="319" t="s">
        <v>190</v>
      </c>
      <c r="HE969" s="319" t="s">
        <v>190</v>
      </c>
      <c r="HF969" s="319" t="s">
        <v>190</v>
      </c>
      <c r="HG969" s="319" t="s">
        <v>190</v>
      </c>
      <c r="HH969" s="319" t="s">
        <v>190</v>
      </c>
      <c r="HI969" s="319" t="s">
        <v>190</v>
      </c>
      <c r="HJ969" s="319" t="s">
        <v>190</v>
      </c>
      <c r="HK969" s="319" t="s">
        <v>190</v>
      </c>
      <c r="HL969" s="319" t="s">
        <v>190</v>
      </c>
      <c r="HM969" s="319" t="s">
        <v>190</v>
      </c>
      <c r="HN969" s="319" t="s">
        <v>190</v>
      </c>
      <c r="HO969" s="319" t="s">
        <v>190</v>
      </c>
      <c r="HP969" s="319" t="s">
        <v>190</v>
      </c>
      <c r="HQ969" s="319" t="s">
        <v>190</v>
      </c>
      <c r="HR969" s="319" t="s">
        <v>190</v>
      </c>
      <c r="HS969" s="319" t="s">
        <v>190</v>
      </c>
      <c r="HT969" s="319" t="s">
        <v>190</v>
      </c>
      <c r="HU969" s="319" t="s">
        <v>190</v>
      </c>
      <c r="HV969" s="319" t="s">
        <v>190</v>
      </c>
      <c r="HW969" s="319" t="s">
        <v>190</v>
      </c>
      <c r="HX969" s="319" t="s">
        <v>190</v>
      </c>
      <c r="HY969" s="319" t="s">
        <v>190</v>
      </c>
      <c r="HZ969" s="319" t="s">
        <v>190</v>
      </c>
      <c r="IA969" s="319" t="s">
        <v>190</v>
      </c>
      <c r="IB969" s="319" t="s">
        <v>190</v>
      </c>
      <c r="IC969" s="319" t="s">
        <v>190</v>
      </c>
      <c r="ID969" s="319" t="s">
        <v>190</v>
      </c>
      <c r="IE969" s="319" t="s">
        <v>190</v>
      </c>
      <c r="IF969" s="319" t="s">
        <v>190</v>
      </c>
      <c r="IG969" s="319" t="s">
        <v>190</v>
      </c>
      <c r="IH969" s="319" t="s">
        <v>190</v>
      </c>
      <c r="II969" s="319" t="s">
        <v>190</v>
      </c>
      <c r="IJ969" s="319" t="s">
        <v>173</v>
      </c>
      <c r="IK969" s="319" t="s">
        <v>173</v>
      </c>
      <c r="IL969" s="319" t="s">
        <v>173</v>
      </c>
      <c r="IM969" s="319" t="s">
        <v>173</v>
      </c>
      <c r="IN969" s="319" t="s">
        <v>173</v>
      </c>
      <c r="IO969" s="319" t="s">
        <v>173</v>
      </c>
      <c r="IP969" s="319" t="s">
        <v>173</v>
      </c>
      <c r="IQ969" s="319" t="s">
        <v>173</v>
      </c>
      <c r="IR969" s="320" t="s">
        <v>173</v>
      </c>
      <c r="IS969" s="320" t="s">
        <v>173</v>
      </c>
      <c r="IT969" s="319" t="s">
        <v>173</v>
      </c>
    </row>
    <row r="970" spans="1:254" s="271" customFormat="1" x14ac:dyDescent="0.25">
      <c r="A970" s="318" t="str">
        <f>HYPERLINK("http://www.ofsted.gov.uk/inspection-reports/find-inspection-report/provider/ELS/145308 ","Ofsted School Webpage")</f>
        <v>Ofsted School Webpage</v>
      </c>
      <c r="B970" s="319">
        <v>145308</v>
      </c>
      <c r="C970" s="319">
        <v>9336009</v>
      </c>
      <c r="D970" s="319" t="s">
        <v>465</v>
      </c>
      <c r="E970" s="319" t="s">
        <v>168</v>
      </c>
      <c r="F970" s="319" t="s">
        <v>81</v>
      </c>
      <c r="G970" s="319" t="s">
        <v>81</v>
      </c>
      <c r="H970" s="319" t="s">
        <v>81</v>
      </c>
      <c r="I970" s="319" t="s">
        <v>78</v>
      </c>
      <c r="J970" s="319" t="s">
        <v>424</v>
      </c>
      <c r="K970" s="319" t="s">
        <v>422</v>
      </c>
      <c r="L970" s="319" t="s">
        <v>422</v>
      </c>
      <c r="M970" s="319" t="s">
        <v>466</v>
      </c>
      <c r="N970" s="319" t="s">
        <v>3114</v>
      </c>
      <c r="O970" s="319" t="s">
        <v>467</v>
      </c>
      <c r="P970" s="319">
        <v>10</v>
      </c>
      <c r="Q970" s="319" t="s">
        <v>429</v>
      </c>
      <c r="R970" s="320">
        <v>10053796</v>
      </c>
      <c r="S970" s="321">
        <v>43362</v>
      </c>
      <c r="T970" s="321">
        <v>43364</v>
      </c>
      <c r="U970" s="321">
        <v>43388</v>
      </c>
      <c r="V970" s="319" t="s">
        <v>435</v>
      </c>
      <c r="W970" s="319" t="s">
        <v>2767</v>
      </c>
      <c r="X970" s="319">
        <v>2</v>
      </c>
      <c r="Y970" s="319" t="s">
        <v>173</v>
      </c>
      <c r="Z970" s="319" t="s">
        <v>173</v>
      </c>
      <c r="AA970" s="319" t="s">
        <v>173</v>
      </c>
      <c r="AB970" s="319">
        <v>2</v>
      </c>
      <c r="AC970" s="319" t="s">
        <v>169</v>
      </c>
      <c r="AD970" s="319" t="s">
        <v>173</v>
      </c>
      <c r="AE970" s="319" t="s">
        <v>173</v>
      </c>
      <c r="AF970" s="319" t="s">
        <v>427</v>
      </c>
      <c r="AG970" s="319" t="s">
        <v>171</v>
      </c>
      <c r="AH970" s="319" t="s">
        <v>190</v>
      </c>
      <c r="AI970" s="319" t="s">
        <v>190</v>
      </c>
      <c r="AJ970" s="319" t="s">
        <v>190</v>
      </c>
      <c r="AK970" s="319" t="s">
        <v>190</v>
      </c>
      <c r="AL970" s="319" t="s">
        <v>190</v>
      </c>
      <c r="AM970" s="319" t="s">
        <v>190</v>
      </c>
      <c r="AN970" s="319" t="s">
        <v>190</v>
      </c>
      <c r="AO970" s="319" t="s">
        <v>190</v>
      </c>
      <c r="AP970" s="319" t="s">
        <v>190</v>
      </c>
      <c r="AQ970" s="319" t="s">
        <v>190</v>
      </c>
      <c r="AR970" s="319" t="s">
        <v>190</v>
      </c>
      <c r="AS970" s="319" t="s">
        <v>190</v>
      </c>
      <c r="AT970" s="319" t="s">
        <v>190</v>
      </c>
      <c r="AU970" s="319" t="s">
        <v>190</v>
      </c>
      <c r="AV970" s="319" t="s">
        <v>190</v>
      </c>
      <c r="AW970" s="319" t="s">
        <v>190</v>
      </c>
      <c r="AX970" s="319" t="s">
        <v>428</v>
      </c>
      <c r="AY970" s="319" t="s">
        <v>190</v>
      </c>
      <c r="AZ970" s="319" t="s">
        <v>190</v>
      </c>
      <c r="BA970" s="319" t="s">
        <v>190</v>
      </c>
      <c r="BB970" s="319" t="s">
        <v>190</v>
      </c>
      <c r="BC970" s="319" t="s">
        <v>190</v>
      </c>
      <c r="BD970" s="319" t="s">
        <v>190</v>
      </c>
      <c r="BE970" s="319" t="s">
        <v>190</v>
      </c>
      <c r="BF970" s="319" t="s">
        <v>428</v>
      </c>
      <c r="BG970" s="319" t="s">
        <v>428</v>
      </c>
      <c r="BH970" s="319" t="s">
        <v>190</v>
      </c>
      <c r="BI970" s="319" t="s">
        <v>190</v>
      </c>
      <c r="BJ970" s="319" t="s">
        <v>190</v>
      </c>
      <c r="BK970" s="319" t="s">
        <v>190</v>
      </c>
      <c r="BL970" s="319" t="s">
        <v>190</v>
      </c>
      <c r="BM970" s="319" t="s">
        <v>190</v>
      </c>
      <c r="BN970" s="319" t="s">
        <v>190</v>
      </c>
      <c r="BO970" s="319" t="s">
        <v>190</v>
      </c>
      <c r="BP970" s="319" t="s">
        <v>190</v>
      </c>
      <c r="BQ970" s="319" t="s">
        <v>190</v>
      </c>
      <c r="BR970" s="319" t="s">
        <v>190</v>
      </c>
      <c r="BS970" s="319" t="s">
        <v>190</v>
      </c>
      <c r="BT970" s="319" t="s">
        <v>190</v>
      </c>
      <c r="BU970" s="319" t="s">
        <v>190</v>
      </c>
      <c r="BV970" s="319" t="s">
        <v>190</v>
      </c>
      <c r="BW970" s="319" t="s">
        <v>190</v>
      </c>
      <c r="BX970" s="319" t="s">
        <v>190</v>
      </c>
      <c r="BY970" s="319" t="s">
        <v>190</v>
      </c>
      <c r="BZ970" s="319" t="s">
        <v>190</v>
      </c>
      <c r="CA970" s="319" t="s">
        <v>190</v>
      </c>
      <c r="CB970" s="319" t="s">
        <v>190</v>
      </c>
      <c r="CC970" s="319" t="s">
        <v>190</v>
      </c>
      <c r="CD970" s="319" t="s">
        <v>190</v>
      </c>
      <c r="CE970" s="319" t="s">
        <v>190</v>
      </c>
      <c r="CF970" s="319" t="s">
        <v>190</v>
      </c>
      <c r="CG970" s="319" t="s">
        <v>190</v>
      </c>
      <c r="CH970" s="319" t="s">
        <v>190</v>
      </c>
      <c r="CI970" s="319" t="s">
        <v>190</v>
      </c>
      <c r="CJ970" s="319" t="s">
        <v>190</v>
      </c>
      <c r="CK970" s="319" t="s">
        <v>190</v>
      </c>
      <c r="CL970" s="319" t="s">
        <v>190</v>
      </c>
      <c r="CM970" s="319" t="s">
        <v>190</v>
      </c>
      <c r="CN970" s="319" t="s">
        <v>190</v>
      </c>
      <c r="CO970" s="319" t="s">
        <v>190</v>
      </c>
      <c r="CP970" s="319" t="s">
        <v>428</v>
      </c>
      <c r="CQ970" s="319" t="s">
        <v>190</v>
      </c>
      <c r="CR970" s="319" t="s">
        <v>190</v>
      </c>
      <c r="CS970" s="319" t="s">
        <v>190</v>
      </c>
      <c r="CT970" s="319" t="s">
        <v>190</v>
      </c>
      <c r="CU970" s="319" t="s">
        <v>190</v>
      </c>
      <c r="CV970" s="319" t="s">
        <v>190</v>
      </c>
      <c r="CW970" s="319" t="s">
        <v>190</v>
      </c>
      <c r="CX970" s="319" t="s">
        <v>190</v>
      </c>
      <c r="CY970" s="319" t="s">
        <v>190</v>
      </c>
      <c r="CZ970" s="319" t="s">
        <v>190</v>
      </c>
      <c r="DA970" s="319" t="s">
        <v>190</v>
      </c>
      <c r="DB970" s="319" t="s">
        <v>190</v>
      </c>
      <c r="DC970" s="319" t="s">
        <v>190</v>
      </c>
      <c r="DD970" s="319" t="s">
        <v>190</v>
      </c>
      <c r="DE970" s="319" t="s">
        <v>190</v>
      </c>
      <c r="DF970" s="319" t="s">
        <v>190</v>
      </c>
      <c r="DG970" s="319" t="s">
        <v>190</v>
      </c>
      <c r="DH970" s="319" t="s">
        <v>190</v>
      </c>
      <c r="DI970" s="319" t="s">
        <v>190</v>
      </c>
      <c r="DJ970" s="319" t="s">
        <v>190</v>
      </c>
      <c r="DK970" s="319" t="s">
        <v>190</v>
      </c>
      <c r="DL970" s="319" t="s">
        <v>190</v>
      </c>
      <c r="DM970" s="319" t="s">
        <v>428</v>
      </c>
      <c r="DN970" s="319" t="s">
        <v>428</v>
      </c>
      <c r="DO970" s="319" t="s">
        <v>190</v>
      </c>
      <c r="DP970" s="319" t="s">
        <v>190</v>
      </c>
      <c r="DQ970" s="319" t="s">
        <v>428</v>
      </c>
      <c r="DR970" s="319" t="s">
        <v>428</v>
      </c>
      <c r="DS970" s="319" t="s">
        <v>428</v>
      </c>
      <c r="DT970" s="319" t="s">
        <v>428</v>
      </c>
      <c r="DU970" s="319" t="s">
        <v>428</v>
      </c>
      <c r="DV970" s="319" t="s">
        <v>173</v>
      </c>
      <c r="DW970" s="319" t="s">
        <v>428</v>
      </c>
      <c r="DX970" s="319" t="s">
        <v>428</v>
      </c>
      <c r="DY970" s="319" t="s">
        <v>428</v>
      </c>
      <c r="DZ970" s="319" t="s">
        <v>428</v>
      </c>
      <c r="EA970" s="319" t="s">
        <v>428</v>
      </c>
      <c r="EB970" s="319" t="s">
        <v>428</v>
      </c>
      <c r="EC970" s="319" t="s">
        <v>428</v>
      </c>
      <c r="ED970" s="319" t="s">
        <v>428</v>
      </c>
      <c r="EE970" s="319" t="s">
        <v>190</v>
      </c>
      <c r="EF970" s="319" t="s">
        <v>190</v>
      </c>
      <c r="EG970" s="319" t="s">
        <v>190</v>
      </c>
      <c r="EH970" s="319" t="s">
        <v>190</v>
      </c>
      <c r="EI970" s="319" t="s">
        <v>190</v>
      </c>
      <c r="EJ970" s="319" t="s">
        <v>190</v>
      </c>
      <c r="EK970" s="319" t="s">
        <v>190</v>
      </c>
      <c r="EL970" s="319" t="s">
        <v>428</v>
      </c>
      <c r="EM970" s="319" t="s">
        <v>190</v>
      </c>
      <c r="EN970" s="319" t="s">
        <v>190</v>
      </c>
      <c r="EO970" s="319" t="s">
        <v>190</v>
      </c>
      <c r="EP970" s="319" t="s">
        <v>190</v>
      </c>
      <c r="EQ970" s="319" t="s">
        <v>190</v>
      </c>
      <c r="ER970" s="319" t="s">
        <v>190</v>
      </c>
      <c r="ES970" s="319" t="s">
        <v>190</v>
      </c>
      <c r="ET970" s="319" t="s">
        <v>190</v>
      </c>
      <c r="EU970" s="319" t="s">
        <v>190</v>
      </c>
      <c r="EV970" s="319" t="s">
        <v>190</v>
      </c>
      <c r="EW970" s="319" t="s">
        <v>190</v>
      </c>
      <c r="EX970" s="319" t="s">
        <v>190</v>
      </c>
      <c r="EY970" s="319" t="s">
        <v>190</v>
      </c>
      <c r="EZ970" s="319" t="s">
        <v>190</v>
      </c>
      <c r="FA970" s="319" t="s">
        <v>428</v>
      </c>
      <c r="FB970" s="319" t="s">
        <v>428</v>
      </c>
      <c r="FC970" s="319" t="s">
        <v>428</v>
      </c>
      <c r="FD970" s="319" t="s">
        <v>428</v>
      </c>
      <c r="FE970" s="319" t="s">
        <v>428</v>
      </c>
      <c r="FF970" s="319" t="s">
        <v>428</v>
      </c>
      <c r="FG970" s="319" t="s">
        <v>428</v>
      </c>
      <c r="FH970" s="319" t="s">
        <v>190</v>
      </c>
      <c r="FI970" s="319" t="s">
        <v>428</v>
      </c>
      <c r="FJ970" s="319" t="s">
        <v>190</v>
      </c>
      <c r="FK970" s="319" t="s">
        <v>190</v>
      </c>
      <c r="FL970" s="319" t="s">
        <v>190</v>
      </c>
      <c r="FM970" s="319" t="s">
        <v>190</v>
      </c>
      <c r="FN970" s="319" t="s">
        <v>190</v>
      </c>
      <c r="FO970" s="319" t="s">
        <v>190</v>
      </c>
      <c r="FP970" s="319" t="s">
        <v>428</v>
      </c>
      <c r="FQ970" s="319" t="s">
        <v>428</v>
      </c>
      <c r="FR970" s="319" t="s">
        <v>190</v>
      </c>
      <c r="FS970" s="319" t="s">
        <v>428</v>
      </c>
      <c r="FT970" s="319" t="s">
        <v>190</v>
      </c>
      <c r="FU970" s="319" t="s">
        <v>190</v>
      </c>
      <c r="FV970" s="319" t="s">
        <v>190</v>
      </c>
      <c r="FW970" s="319" t="s">
        <v>190</v>
      </c>
      <c r="FX970" s="319" t="s">
        <v>190</v>
      </c>
      <c r="FY970" s="319" t="s">
        <v>190</v>
      </c>
      <c r="FZ970" s="319" t="s">
        <v>190</v>
      </c>
      <c r="GA970" s="319" t="s">
        <v>190</v>
      </c>
      <c r="GB970" s="319" t="s">
        <v>190</v>
      </c>
      <c r="GC970" s="319" t="s">
        <v>190</v>
      </c>
      <c r="GD970" s="319" t="s">
        <v>190</v>
      </c>
      <c r="GE970" s="319" t="s">
        <v>190</v>
      </c>
      <c r="GF970" s="319" t="s">
        <v>190</v>
      </c>
      <c r="GG970" s="319" t="s">
        <v>190</v>
      </c>
      <c r="GH970" s="319" t="s">
        <v>190</v>
      </c>
      <c r="GI970" s="319" t="s">
        <v>190</v>
      </c>
      <c r="GJ970" s="319" t="s">
        <v>190</v>
      </c>
      <c r="GK970" s="319" t="s">
        <v>428</v>
      </c>
      <c r="GL970" s="319" t="s">
        <v>190</v>
      </c>
      <c r="GM970" s="319" t="s">
        <v>190</v>
      </c>
      <c r="GN970" s="319" t="s">
        <v>190</v>
      </c>
      <c r="GO970" s="319" t="s">
        <v>190</v>
      </c>
      <c r="GP970" s="319" t="s">
        <v>428</v>
      </c>
      <c r="GQ970" s="319" t="s">
        <v>428</v>
      </c>
      <c r="GR970" s="319" t="s">
        <v>190</v>
      </c>
      <c r="GS970" s="319" t="s">
        <v>190</v>
      </c>
      <c r="GT970" s="319" t="s">
        <v>190</v>
      </c>
      <c r="GU970" s="319" t="s">
        <v>190</v>
      </c>
      <c r="GV970" s="319" t="s">
        <v>190</v>
      </c>
      <c r="GW970" s="319" t="s">
        <v>190</v>
      </c>
      <c r="GX970" s="319" t="s">
        <v>190</v>
      </c>
      <c r="GY970" s="319" t="s">
        <v>190</v>
      </c>
      <c r="GZ970" s="319" t="s">
        <v>190</v>
      </c>
      <c r="HA970" s="319" t="s">
        <v>190</v>
      </c>
      <c r="HB970" s="319" t="s">
        <v>428</v>
      </c>
      <c r="HC970" s="319" t="s">
        <v>190</v>
      </c>
      <c r="HD970" s="319" t="s">
        <v>190</v>
      </c>
      <c r="HE970" s="319" t="s">
        <v>190</v>
      </c>
      <c r="HF970" s="319" t="s">
        <v>190</v>
      </c>
      <c r="HG970" s="319" t="s">
        <v>190</v>
      </c>
      <c r="HH970" s="319" t="s">
        <v>190</v>
      </c>
      <c r="HI970" s="319" t="s">
        <v>190</v>
      </c>
      <c r="HJ970" s="319" t="s">
        <v>190</v>
      </c>
      <c r="HK970" s="319" t="s">
        <v>428</v>
      </c>
      <c r="HL970" s="319" t="s">
        <v>190</v>
      </c>
      <c r="HM970" s="319" t="s">
        <v>428</v>
      </c>
      <c r="HN970" s="319" t="s">
        <v>428</v>
      </c>
      <c r="HO970" s="319" t="s">
        <v>428</v>
      </c>
      <c r="HP970" s="319" t="s">
        <v>190</v>
      </c>
      <c r="HQ970" s="319" t="s">
        <v>190</v>
      </c>
      <c r="HR970" s="319" t="s">
        <v>190</v>
      </c>
      <c r="HS970" s="319" t="s">
        <v>190</v>
      </c>
      <c r="HT970" s="319" t="s">
        <v>190</v>
      </c>
      <c r="HU970" s="319" t="s">
        <v>190</v>
      </c>
      <c r="HV970" s="319" t="s">
        <v>190</v>
      </c>
      <c r="HW970" s="319" t="s">
        <v>190</v>
      </c>
      <c r="HX970" s="319" t="s">
        <v>190</v>
      </c>
      <c r="HY970" s="319" t="s">
        <v>190</v>
      </c>
      <c r="HZ970" s="319" t="s">
        <v>190</v>
      </c>
      <c r="IA970" s="319" t="s">
        <v>190</v>
      </c>
      <c r="IB970" s="319" t="s">
        <v>190</v>
      </c>
      <c r="IC970" s="319" t="s">
        <v>190</v>
      </c>
      <c r="ID970" s="319" t="s">
        <v>190</v>
      </c>
      <c r="IE970" s="319" t="s">
        <v>190</v>
      </c>
      <c r="IF970" s="319" t="s">
        <v>190</v>
      </c>
      <c r="IG970" s="319" t="s">
        <v>190</v>
      </c>
      <c r="IH970" s="319" t="s">
        <v>190</v>
      </c>
      <c r="II970" s="319" t="s">
        <v>190</v>
      </c>
      <c r="IJ970" s="319" t="s">
        <v>173</v>
      </c>
      <c r="IK970" s="319" t="s">
        <v>173</v>
      </c>
      <c r="IL970" s="319" t="s">
        <v>173</v>
      </c>
      <c r="IM970" s="319" t="s">
        <v>173</v>
      </c>
      <c r="IN970" s="319" t="s">
        <v>173</v>
      </c>
      <c r="IO970" s="319" t="s">
        <v>173</v>
      </c>
      <c r="IP970" s="319" t="s">
        <v>173</v>
      </c>
      <c r="IQ970" s="321" t="s">
        <v>173</v>
      </c>
      <c r="IR970" s="320" t="s">
        <v>173</v>
      </c>
      <c r="IS970" s="322" t="s">
        <v>173</v>
      </c>
      <c r="IT970" s="319" t="s">
        <v>173</v>
      </c>
    </row>
    <row r="971" spans="1:254" s="271" customFormat="1" x14ac:dyDescent="0.25">
      <c r="A971" s="318" t="str">
        <f>HYPERLINK("http://www.ofsted.gov.uk/inspection-reports/find-inspection-report/provider/ELS/145416 ","Ofsted School Webpage")</f>
        <v>Ofsted School Webpage</v>
      </c>
      <c r="B971" s="319">
        <v>145416</v>
      </c>
      <c r="C971" s="319">
        <v>8716004</v>
      </c>
      <c r="D971" s="319" t="s">
        <v>2498</v>
      </c>
      <c r="E971" s="319" t="s">
        <v>167</v>
      </c>
      <c r="F971" s="319" t="s">
        <v>81</v>
      </c>
      <c r="G971" s="319" t="s">
        <v>71</v>
      </c>
      <c r="H971" s="319" t="s">
        <v>71</v>
      </c>
      <c r="I971" s="319" t="s">
        <v>72</v>
      </c>
      <c r="J971" s="319" t="s">
        <v>424</v>
      </c>
      <c r="K971" s="319" t="s">
        <v>514</v>
      </c>
      <c r="L971" s="319" t="s">
        <v>514</v>
      </c>
      <c r="M971" s="319" t="s">
        <v>626</v>
      </c>
      <c r="N971" s="319" t="s">
        <v>626</v>
      </c>
      <c r="O971" s="319" t="s">
        <v>627</v>
      </c>
      <c r="P971" s="319" t="s">
        <v>173</v>
      </c>
      <c r="Q971" s="319" t="s">
        <v>2766</v>
      </c>
      <c r="R971" s="320">
        <v>10077669</v>
      </c>
      <c r="S971" s="321">
        <v>43410</v>
      </c>
      <c r="T971" s="321">
        <v>43412</v>
      </c>
      <c r="U971" s="321">
        <v>43438</v>
      </c>
      <c r="V971" s="319" t="s">
        <v>435</v>
      </c>
      <c r="W971" s="319" t="s">
        <v>2767</v>
      </c>
      <c r="X971" s="319">
        <v>2</v>
      </c>
      <c r="Y971" s="319" t="s">
        <v>173</v>
      </c>
      <c r="Z971" s="319" t="s">
        <v>173</v>
      </c>
      <c r="AA971" s="319" t="s">
        <v>173</v>
      </c>
      <c r="AB971" s="319">
        <v>2</v>
      </c>
      <c r="AC971" s="319" t="s">
        <v>169</v>
      </c>
      <c r="AD971" s="319" t="s">
        <v>173</v>
      </c>
      <c r="AE971" s="319" t="s">
        <v>173</v>
      </c>
      <c r="AF971" s="319" t="s">
        <v>427</v>
      </c>
      <c r="AG971" s="319" t="s">
        <v>171</v>
      </c>
      <c r="AH971" s="319" t="s">
        <v>190</v>
      </c>
      <c r="AI971" s="319" t="s">
        <v>190</v>
      </c>
      <c r="AJ971" s="319" t="s">
        <v>190</v>
      </c>
      <c r="AK971" s="319" t="s">
        <v>190</v>
      </c>
      <c r="AL971" s="319" t="s">
        <v>190</v>
      </c>
      <c r="AM971" s="319" t="s">
        <v>190</v>
      </c>
      <c r="AN971" s="319" t="s">
        <v>190</v>
      </c>
      <c r="AO971" s="319" t="s">
        <v>190</v>
      </c>
      <c r="AP971" s="319" t="s">
        <v>190</v>
      </c>
      <c r="AQ971" s="319" t="s">
        <v>190</v>
      </c>
      <c r="AR971" s="319" t="s">
        <v>190</v>
      </c>
      <c r="AS971" s="319" t="s">
        <v>190</v>
      </c>
      <c r="AT971" s="319" t="s">
        <v>190</v>
      </c>
      <c r="AU971" s="319" t="s">
        <v>190</v>
      </c>
      <c r="AV971" s="319" t="s">
        <v>190</v>
      </c>
      <c r="AW971" s="319" t="s">
        <v>190</v>
      </c>
      <c r="AX971" s="319" t="s">
        <v>428</v>
      </c>
      <c r="AY971" s="319" t="s">
        <v>190</v>
      </c>
      <c r="AZ971" s="319" t="s">
        <v>190</v>
      </c>
      <c r="BA971" s="319" t="s">
        <v>190</v>
      </c>
      <c r="BB971" s="319" t="s">
        <v>190</v>
      </c>
      <c r="BC971" s="319" t="s">
        <v>190</v>
      </c>
      <c r="BD971" s="319" t="s">
        <v>190</v>
      </c>
      <c r="BE971" s="319" t="s">
        <v>190</v>
      </c>
      <c r="BF971" s="319" t="s">
        <v>428</v>
      </c>
      <c r="BG971" s="319" t="s">
        <v>428</v>
      </c>
      <c r="BH971" s="319" t="s">
        <v>190</v>
      </c>
      <c r="BI971" s="319" t="s">
        <v>190</v>
      </c>
      <c r="BJ971" s="319" t="s">
        <v>190</v>
      </c>
      <c r="BK971" s="319" t="s">
        <v>190</v>
      </c>
      <c r="BL971" s="319" t="s">
        <v>190</v>
      </c>
      <c r="BM971" s="319" t="s">
        <v>190</v>
      </c>
      <c r="BN971" s="319" t="s">
        <v>190</v>
      </c>
      <c r="BO971" s="319" t="s">
        <v>190</v>
      </c>
      <c r="BP971" s="319" t="s">
        <v>190</v>
      </c>
      <c r="BQ971" s="319" t="s">
        <v>190</v>
      </c>
      <c r="BR971" s="319" t="s">
        <v>190</v>
      </c>
      <c r="BS971" s="319" t="s">
        <v>190</v>
      </c>
      <c r="BT971" s="319" t="s">
        <v>190</v>
      </c>
      <c r="BU971" s="319" t="s">
        <v>190</v>
      </c>
      <c r="BV971" s="319" t="s">
        <v>190</v>
      </c>
      <c r="BW971" s="319" t="s">
        <v>190</v>
      </c>
      <c r="BX971" s="319" t="s">
        <v>190</v>
      </c>
      <c r="BY971" s="319" t="s">
        <v>190</v>
      </c>
      <c r="BZ971" s="319" t="s">
        <v>190</v>
      </c>
      <c r="CA971" s="319" t="s">
        <v>190</v>
      </c>
      <c r="CB971" s="319" t="s">
        <v>190</v>
      </c>
      <c r="CC971" s="319" t="s">
        <v>190</v>
      </c>
      <c r="CD971" s="319" t="s">
        <v>190</v>
      </c>
      <c r="CE971" s="319" t="s">
        <v>190</v>
      </c>
      <c r="CF971" s="319" t="s">
        <v>190</v>
      </c>
      <c r="CG971" s="319" t="s">
        <v>190</v>
      </c>
      <c r="CH971" s="319" t="s">
        <v>190</v>
      </c>
      <c r="CI971" s="319" t="s">
        <v>190</v>
      </c>
      <c r="CJ971" s="319" t="s">
        <v>190</v>
      </c>
      <c r="CK971" s="319" t="s">
        <v>190</v>
      </c>
      <c r="CL971" s="319" t="s">
        <v>190</v>
      </c>
      <c r="CM971" s="319" t="s">
        <v>190</v>
      </c>
      <c r="CN971" s="319" t="s">
        <v>428</v>
      </c>
      <c r="CO971" s="319" t="s">
        <v>428</v>
      </c>
      <c r="CP971" s="319" t="s">
        <v>428</v>
      </c>
      <c r="CQ971" s="319" t="s">
        <v>190</v>
      </c>
      <c r="CR971" s="319" t="s">
        <v>190</v>
      </c>
      <c r="CS971" s="319" t="s">
        <v>190</v>
      </c>
      <c r="CT971" s="319" t="s">
        <v>190</v>
      </c>
      <c r="CU971" s="319" t="s">
        <v>190</v>
      </c>
      <c r="CV971" s="319" t="s">
        <v>190</v>
      </c>
      <c r="CW971" s="319" t="s">
        <v>190</v>
      </c>
      <c r="CX971" s="319" t="s">
        <v>190</v>
      </c>
      <c r="CY971" s="319" t="s">
        <v>190</v>
      </c>
      <c r="CZ971" s="319" t="s">
        <v>190</v>
      </c>
      <c r="DA971" s="319" t="s">
        <v>190</v>
      </c>
      <c r="DB971" s="319" t="s">
        <v>190</v>
      </c>
      <c r="DC971" s="319" t="s">
        <v>190</v>
      </c>
      <c r="DD971" s="319" t="s">
        <v>190</v>
      </c>
      <c r="DE971" s="319" t="s">
        <v>190</v>
      </c>
      <c r="DF971" s="319" t="s">
        <v>190</v>
      </c>
      <c r="DG971" s="319" t="s">
        <v>190</v>
      </c>
      <c r="DH971" s="319" t="s">
        <v>190</v>
      </c>
      <c r="DI971" s="319" t="s">
        <v>190</v>
      </c>
      <c r="DJ971" s="319" t="s">
        <v>190</v>
      </c>
      <c r="DK971" s="319" t="s">
        <v>190</v>
      </c>
      <c r="DL971" s="319" t="s">
        <v>190</v>
      </c>
      <c r="DM971" s="319" t="s">
        <v>190</v>
      </c>
      <c r="DN971" s="319" t="s">
        <v>428</v>
      </c>
      <c r="DO971" s="319" t="s">
        <v>190</v>
      </c>
      <c r="DP971" s="319" t="s">
        <v>428</v>
      </c>
      <c r="DQ971" s="319" t="s">
        <v>428</v>
      </c>
      <c r="DR971" s="319" t="s">
        <v>428</v>
      </c>
      <c r="DS971" s="319" t="s">
        <v>428</v>
      </c>
      <c r="DT971" s="319" t="s">
        <v>428</v>
      </c>
      <c r="DU971" s="319" t="s">
        <v>428</v>
      </c>
      <c r="DV971" s="319" t="s">
        <v>173</v>
      </c>
      <c r="DW971" s="319" t="s">
        <v>428</v>
      </c>
      <c r="DX971" s="319" t="s">
        <v>428</v>
      </c>
      <c r="DY971" s="319" t="s">
        <v>428</v>
      </c>
      <c r="DZ971" s="319" t="s">
        <v>428</v>
      </c>
      <c r="EA971" s="319" t="s">
        <v>428</v>
      </c>
      <c r="EB971" s="319" t="s">
        <v>428</v>
      </c>
      <c r="EC971" s="319" t="s">
        <v>428</v>
      </c>
      <c r="ED971" s="319" t="s">
        <v>428</v>
      </c>
      <c r="EE971" s="319" t="s">
        <v>190</v>
      </c>
      <c r="EF971" s="319" t="s">
        <v>190</v>
      </c>
      <c r="EG971" s="319" t="s">
        <v>190</v>
      </c>
      <c r="EH971" s="319" t="s">
        <v>190</v>
      </c>
      <c r="EI971" s="319" t="s">
        <v>190</v>
      </c>
      <c r="EJ971" s="319" t="s">
        <v>190</v>
      </c>
      <c r="EK971" s="319" t="s">
        <v>190</v>
      </c>
      <c r="EL971" s="319" t="s">
        <v>190</v>
      </c>
      <c r="EM971" s="319" t="s">
        <v>190</v>
      </c>
      <c r="EN971" s="319" t="s">
        <v>190</v>
      </c>
      <c r="EO971" s="319" t="s">
        <v>190</v>
      </c>
      <c r="EP971" s="319" t="s">
        <v>190</v>
      </c>
      <c r="EQ971" s="319" t="s">
        <v>190</v>
      </c>
      <c r="ER971" s="319" t="s">
        <v>190</v>
      </c>
      <c r="ES971" s="319" t="s">
        <v>190</v>
      </c>
      <c r="ET971" s="319" t="s">
        <v>190</v>
      </c>
      <c r="EU971" s="319" t="s">
        <v>190</v>
      </c>
      <c r="EV971" s="319" t="s">
        <v>190</v>
      </c>
      <c r="EW971" s="319" t="s">
        <v>190</v>
      </c>
      <c r="EX971" s="319" t="s">
        <v>190</v>
      </c>
      <c r="EY971" s="319" t="s">
        <v>190</v>
      </c>
      <c r="EZ971" s="319" t="s">
        <v>190</v>
      </c>
      <c r="FA971" s="319" t="s">
        <v>428</v>
      </c>
      <c r="FB971" s="319" t="s">
        <v>428</v>
      </c>
      <c r="FC971" s="319" t="s">
        <v>428</v>
      </c>
      <c r="FD971" s="319" t="s">
        <v>428</v>
      </c>
      <c r="FE971" s="319" t="s">
        <v>428</v>
      </c>
      <c r="FF971" s="319" t="s">
        <v>428</v>
      </c>
      <c r="FG971" s="319" t="s">
        <v>428</v>
      </c>
      <c r="FH971" s="319" t="s">
        <v>190</v>
      </c>
      <c r="FI971" s="319" t="s">
        <v>190</v>
      </c>
      <c r="FJ971" s="319" t="s">
        <v>190</v>
      </c>
      <c r="FK971" s="319" t="s">
        <v>190</v>
      </c>
      <c r="FL971" s="319" t="s">
        <v>190</v>
      </c>
      <c r="FM971" s="319" t="s">
        <v>190</v>
      </c>
      <c r="FN971" s="319" t="s">
        <v>190</v>
      </c>
      <c r="FO971" s="319" t="s">
        <v>190</v>
      </c>
      <c r="FP971" s="319" t="s">
        <v>190</v>
      </c>
      <c r="FQ971" s="319" t="s">
        <v>190</v>
      </c>
      <c r="FR971" s="319" t="s">
        <v>190</v>
      </c>
      <c r="FS971" s="319" t="s">
        <v>428</v>
      </c>
      <c r="FT971" s="319" t="s">
        <v>190</v>
      </c>
      <c r="FU971" s="319" t="s">
        <v>190</v>
      </c>
      <c r="FV971" s="319" t="s">
        <v>190</v>
      </c>
      <c r="FW971" s="319" t="s">
        <v>190</v>
      </c>
      <c r="FX971" s="319" t="s">
        <v>190</v>
      </c>
      <c r="FY971" s="319" t="s">
        <v>190</v>
      </c>
      <c r="FZ971" s="319" t="s">
        <v>190</v>
      </c>
      <c r="GA971" s="319" t="s">
        <v>190</v>
      </c>
      <c r="GB971" s="319" t="s">
        <v>190</v>
      </c>
      <c r="GC971" s="319" t="s">
        <v>190</v>
      </c>
      <c r="GD971" s="319" t="s">
        <v>190</v>
      </c>
      <c r="GE971" s="319" t="s">
        <v>190</v>
      </c>
      <c r="GF971" s="319" t="s">
        <v>190</v>
      </c>
      <c r="GG971" s="319" t="s">
        <v>190</v>
      </c>
      <c r="GH971" s="319" t="s">
        <v>190</v>
      </c>
      <c r="GI971" s="319" t="s">
        <v>190</v>
      </c>
      <c r="GJ971" s="319" t="s">
        <v>190</v>
      </c>
      <c r="GK971" s="319" t="s">
        <v>428</v>
      </c>
      <c r="GL971" s="319" t="s">
        <v>190</v>
      </c>
      <c r="GM971" s="319" t="s">
        <v>190</v>
      </c>
      <c r="GN971" s="319" t="s">
        <v>190</v>
      </c>
      <c r="GO971" s="319" t="s">
        <v>190</v>
      </c>
      <c r="GP971" s="319" t="s">
        <v>428</v>
      </c>
      <c r="GQ971" s="319" t="s">
        <v>428</v>
      </c>
      <c r="GR971" s="319" t="s">
        <v>190</v>
      </c>
      <c r="GS971" s="319" t="s">
        <v>190</v>
      </c>
      <c r="GT971" s="319" t="s">
        <v>428</v>
      </c>
      <c r="GU971" s="319" t="s">
        <v>428</v>
      </c>
      <c r="GV971" s="319" t="s">
        <v>190</v>
      </c>
      <c r="GW971" s="319" t="s">
        <v>190</v>
      </c>
      <c r="GX971" s="319" t="s">
        <v>190</v>
      </c>
      <c r="GY971" s="319" t="s">
        <v>190</v>
      </c>
      <c r="GZ971" s="319" t="s">
        <v>190</v>
      </c>
      <c r="HA971" s="319" t="s">
        <v>428</v>
      </c>
      <c r="HB971" s="319" t="s">
        <v>190</v>
      </c>
      <c r="HC971" s="319" t="s">
        <v>190</v>
      </c>
      <c r="HD971" s="319" t="s">
        <v>190</v>
      </c>
      <c r="HE971" s="319" t="s">
        <v>190</v>
      </c>
      <c r="HF971" s="319" t="s">
        <v>428</v>
      </c>
      <c r="HG971" s="319" t="s">
        <v>190</v>
      </c>
      <c r="HH971" s="319" t="s">
        <v>190</v>
      </c>
      <c r="HI971" s="319" t="s">
        <v>428</v>
      </c>
      <c r="HJ971" s="319" t="s">
        <v>190</v>
      </c>
      <c r="HK971" s="319" t="s">
        <v>428</v>
      </c>
      <c r="HL971" s="319" t="s">
        <v>428</v>
      </c>
      <c r="HM971" s="319" t="s">
        <v>428</v>
      </c>
      <c r="HN971" s="319" t="s">
        <v>428</v>
      </c>
      <c r="HO971" s="319" t="s">
        <v>428</v>
      </c>
      <c r="HP971" s="319" t="s">
        <v>190</v>
      </c>
      <c r="HQ971" s="319" t="s">
        <v>190</v>
      </c>
      <c r="HR971" s="319" t="s">
        <v>190</v>
      </c>
      <c r="HS971" s="319" t="s">
        <v>190</v>
      </c>
      <c r="HT971" s="319" t="s">
        <v>190</v>
      </c>
      <c r="HU971" s="319" t="s">
        <v>190</v>
      </c>
      <c r="HV971" s="319" t="s">
        <v>190</v>
      </c>
      <c r="HW971" s="319" t="s">
        <v>190</v>
      </c>
      <c r="HX971" s="319" t="s">
        <v>190</v>
      </c>
      <c r="HY971" s="319" t="s">
        <v>190</v>
      </c>
      <c r="HZ971" s="319" t="s">
        <v>190</v>
      </c>
      <c r="IA971" s="319" t="s">
        <v>190</v>
      </c>
      <c r="IB971" s="319" t="s">
        <v>190</v>
      </c>
      <c r="IC971" s="319" t="s">
        <v>190</v>
      </c>
      <c r="ID971" s="319" t="s">
        <v>190</v>
      </c>
      <c r="IE971" s="319" t="s">
        <v>190</v>
      </c>
      <c r="IF971" s="319" t="s">
        <v>190</v>
      </c>
      <c r="IG971" s="319" t="s">
        <v>190</v>
      </c>
      <c r="IH971" s="319" t="s">
        <v>190</v>
      </c>
      <c r="II971" s="319" t="s">
        <v>190</v>
      </c>
      <c r="IJ971" s="319" t="s">
        <v>173</v>
      </c>
      <c r="IK971" s="319" t="s">
        <v>173</v>
      </c>
      <c r="IL971" s="319" t="s">
        <v>173</v>
      </c>
      <c r="IM971" s="319" t="s">
        <v>173</v>
      </c>
      <c r="IN971" s="319" t="s">
        <v>173</v>
      </c>
      <c r="IO971" s="319" t="s">
        <v>173</v>
      </c>
      <c r="IP971" s="319" t="s">
        <v>173</v>
      </c>
      <c r="IQ971" s="319" t="s">
        <v>173</v>
      </c>
      <c r="IR971" s="320" t="s">
        <v>173</v>
      </c>
      <c r="IS971" s="320" t="s">
        <v>173</v>
      </c>
      <c r="IT971" s="319" t="s">
        <v>173</v>
      </c>
    </row>
    <row r="972" spans="1:254" s="271" customFormat="1" x14ac:dyDescent="0.25">
      <c r="A972" s="318" t="str">
        <f>HYPERLINK("http://www.ofsted.gov.uk/inspection-reports/find-inspection-report/provider/ELS/145417 ","Ofsted School Webpage")</f>
        <v>Ofsted School Webpage</v>
      </c>
      <c r="B972" s="319">
        <v>145417</v>
      </c>
      <c r="C972" s="319">
        <v>3306036</v>
      </c>
      <c r="D972" s="319" t="s">
        <v>3568</v>
      </c>
      <c r="E972" s="319" t="s">
        <v>167</v>
      </c>
      <c r="F972" s="319" t="s">
        <v>81</v>
      </c>
      <c r="G972" s="319" t="s">
        <v>81</v>
      </c>
      <c r="H972" s="319" t="s">
        <v>81</v>
      </c>
      <c r="I972" s="319" t="s">
        <v>78</v>
      </c>
      <c r="J972" s="319" t="s">
        <v>424</v>
      </c>
      <c r="K972" s="319" t="s">
        <v>437</v>
      </c>
      <c r="L972" s="319" t="s">
        <v>437</v>
      </c>
      <c r="M972" s="319" t="s">
        <v>813</v>
      </c>
      <c r="N972" s="319" t="s">
        <v>3569</v>
      </c>
      <c r="O972" s="319" t="s">
        <v>901</v>
      </c>
      <c r="P972" s="319" t="s">
        <v>173</v>
      </c>
      <c r="Q972" s="319" t="s">
        <v>2776</v>
      </c>
      <c r="R972" s="320">
        <v>10082350</v>
      </c>
      <c r="S972" s="321">
        <v>43501</v>
      </c>
      <c r="T972" s="321">
        <v>43503</v>
      </c>
      <c r="U972" s="321">
        <v>43535</v>
      </c>
      <c r="V972" s="319" t="s">
        <v>435</v>
      </c>
      <c r="W972" s="319" t="s">
        <v>2767</v>
      </c>
      <c r="X972" s="319">
        <v>2</v>
      </c>
      <c r="Y972" s="319" t="s">
        <v>173</v>
      </c>
      <c r="Z972" s="319" t="s">
        <v>173</v>
      </c>
      <c r="AA972" s="319" t="s">
        <v>173</v>
      </c>
      <c r="AB972" s="319">
        <v>2</v>
      </c>
      <c r="AC972" s="319" t="s">
        <v>169</v>
      </c>
      <c r="AD972" s="319" t="s">
        <v>173</v>
      </c>
      <c r="AE972" s="319" t="s">
        <v>173</v>
      </c>
      <c r="AF972" s="319" t="s">
        <v>427</v>
      </c>
      <c r="AG972" s="319" t="s">
        <v>171</v>
      </c>
      <c r="AH972" s="319" t="s">
        <v>190</v>
      </c>
      <c r="AI972" s="319" t="s">
        <v>190</v>
      </c>
      <c r="AJ972" s="319" t="s">
        <v>190</v>
      </c>
      <c r="AK972" s="319" t="s">
        <v>190</v>
      </c>
      <c r="AL972" s="319" t="s">
        <v>190</v>
      </c>
      <c r="AM972" s="319" t="s">
        <v>190</v>
      </c>
      <c r="AN972" s="319" t="s">
        <v>190</v>
      </c>
      <c r="AO972" s="319" t="s">
        <v>190</v>
      </c>
      <c r="AP972" s="319" t="s">
        <v>190</v>
      </c>
      <c r="AQ972" s="319" t="s">
        <v>190</v>
      </c>
      <c r="AR972" s="319" t="s">
        <v>190</v>
      </c>
      <c r="AS972" s="319" t="s">
        <v>190</v>
      </c>
      <c r="AT972" s="319" t="s">
        <v>190</v>
      </c>
      <c r="AU972" s="319" t="s">
        <v>190</v>
      </c>
      <c r="AV972" s="319" t="s">
        <v>190</v>
      </c>
      <c r="AW972" s="319" t="s">
        <v>190</v>
      </c>
      <c r="AX972" s="319" t="s">
        <v>428</v>
      </c>
      <c r="AY972" s="319" t="s">
        <v>190</v>
      </c>
      <c r="AZ972" s="319" t="s">
        <v>190</v>
      </c>
      <c r="BA972" s="319" t="s">
        <v>190</v>
      </c>
      <c r="BB972" s="319" t="s">
        <v>190</v>
      </c>
      <c r="BC972" s="319" t="s">
        <v>190</v>
      </c>
      <c r="BD972" s="319" t="s">
        <v>190</v>
      </c>
      <c r="BE972" s="319" t="s">
        <v>190</v>
      </c>
      <c r="BF972" s="319" t="s">
        <v>428</v>
      </c>
      <c r="BG972" s="319" t="s">
        <v>428</v>
      </c>
      <c r="BH972" s="319" t="s">
        <v>190</v>
      </c>
      <c r="BI972" s="319" t="s">
        <v>190</v>
      </c>
      <c r="BJ972" s="319" t="s">
        <v>190</v>
      </c>
      <c r="BK972" s="319" t="s">
        <v>190</v>
      </c>
      <c r="BL972" s="319" t="s">
        <v>190</v>
      </c>
      <c r="BM972" s="319" t="s">
        <v>190</v>
      </c>
      <c r="BN972" s="319" t="s">
        <v>190</v>
      </c>
      <c r="BO972" s="319" t="s">
        <v>190</v>
      </c>
      <c r="BP972" s="319" t="s">
        <v>190</v>
      </c>
      <c r="BQ972" s="319" t="s">
        <v>190</v>
      </c>
      <c r="BR972" s="319" t="s">
        <v>190</v>
      </c>
      <c r="BS972" s="319" t="s">
        <v>190</v>
      </c>
      <c r="BT972" s="319" t="s">
        <v>190</v>
      </c>
      <c r="BU972" s="319" t="s">
        <v>190</v>
      </c>
      <c r="BV972" s="319" t="s">
        <v>190</v>
      </c>
      <c r="BW972" s="319" t="s">
        <v>190</v>
      </c>
      <c r="BX972" s="319" t="s">
        <v>190</v>
      </c>
      <c r="BY972" s="319" t="s">
        <v>190</v>
      </c>
      <c r="BZ972" s="319" t="s">
        <v>190</v>
      </c>
      <c r="CA972" s="319" t="s">
        <v>190</v>
      </c>
      <c r="CB972" s="319" t="s">
        <v>190</v>
      </c>
      <c r="CC972" s="319" t="s">
        <v>190</v>
      </c>
      <c r="CD972" s="319" t="s">
        <v>190</v>
      </c>
      <c r="CE972" s="319" t="s">
        <v>190</v>
      </c>
      <c r="CF972" s="319" t="s">
        <v>190</v>
      </c>
      <c r="CG972" s="319" t="s">
        <v>190</v>
      </c>
      <c r="CH972" s="319" t="s">
        <v>190</v>
      </c>
      <c r="CI972" s="319" t="s">
        <v>190</v>
      </c>
      <c r="CJ972" s="319" t="s">
        <v>190</v>
      </c>
      <c r="CK972" s="319" t="s">
        <v>190</v>
      </c>
      <c r="CL972" s="319" t="s">
        <v>190</v>
      </c>
      <c r="CM972" s="319" t="s">
        <v>190</v>
      </c>
      <c r="CN972" s="319" t="s">
        <v>428</v>
      </c>
      <c r="CO972" s="319" t="s">
        <v>428</v>
      </c>
      <c r="CP972" s="319" t="s">
        <v>428</v>
      </c>
      <c r="CQ972" s="319" t="s">
        <v>190</v>
      </c>
      <c r="CR972" s="319" t="s">
        <v>190</v>
      </c>
      <c r="CS972" s="319" t="s">
        <v>190</v>
      </c>
      <c r="CT972" s="319" t="s">
        <v>190</v>
      </c>
      <c r="CU972" s="319" t="s">
        <v>190</v>
      </c>
      <c r="CV972" s="319" t="s">
        <v>190</v>
      </c>
      <c r="CW972" s="319" t="s">
        <v>190</v>
      </c>
      <c r="CX972" s="319" t="s">
        <v>190</v>
      </c>
      <c r="CY972" s="319" t="s">
        <v>190</v>
      </c>
      <c r="CZ972" s="319" t="s">
        <v>190</v>
      </c>
      <c r="DA972" s="319" t="s">
        <v>190</v>
      </c>
      <c r="DB972" s="319" t="s">
        <v>190</v>
      </c>
      <c r="DC972" s="319" t="s">
        <v>190</v>
      </c>
      <c r="DD972" s="319" t="s">
        <v>190</v>
      </c>
      <c r="DE972" s="319" t="s">
        <v>190</v>
      </c>
      <c r="DF972" s="319" t="s">
        <v>190</v>
      </c>
      <c r="DG972" s="319" t="s">
        <v>190</v>
      </c>
      <c r="DH972" s="319" t="s">
        <v>190</v>
      </c>
      <c r="DI972" s="319" t="s">
        <v>190</v>
      </c>
      <c r="DJ972" s="319" t="s">
        <v>190</v>
      </c>
      <c r="DK972" s="319" t="s">
        <v>190</v>
      </c>
      <c r="DL972" s="319" t="s">
        <v>190</v>
      </c>
      <c r="DM972" s="319" t="s">
        <v>190</v>
      </c>
      <c r="DN972" s="319" t="s">
        <v>190</v>
      </c>
      <c r="DO972" s="319" t="s">
        <v>190</v>
      </c>
      <c r="DP972" s="319" t="s">
        <v>190</v>
      </c>
      <c r="DQ972" s="319" t="s">
        <v>190</v>
      </c>
      <c r="DR972" s="319" t="s">
        <v>190</v>
      </c>
      <c r="DS972" s="319" t="s">
        <v>190</v>
      </c>
      <c r="DT972" s="319" t="s">
        <v>190</v>
      </c>
      <c r="DU972" s="319" t="s">
        <v>190</v>
      </c>
      <c r="DV972" s="319" t="s">
        <v>173</v>
      </c>
      <c r="DW972" s="319" t="s">
        <v>190</v>
      </c>
      <c r="DX972" s="319" t="s">
        <v>190</v>
      </c>
      <c r="DY972" s="319" t="s">
        <v>190</v>
      </c>
      <c r="DZ972" s="319" t="s">
        <v>190</v>
      </c>
      <c r="EA972" s="319" t="s">
        <v>190</v>
      </c>
      <c r="EB972" s="319" t="s">
        <v>190</v>
      </c>
      <c r="EC972" s="319" t="s">
        <v>190</v>
      </c>
      <c r="ED972" s="319" t="s">
        <v>190</v>
      </c>
      <c r="EE972" s="319" t="s">
        <v>190</v>
      </c>
      <c r="EF972" s="319" t="s">
        <v>190</v>
      </c>
      <c r="EG972" s="319" t="s">
        <v>190</v>
      </c>
      <c r="EH972" s="319" t="s">
        <v>190</v>
      </c>
      <c r="EI972" s="319" t="s">
        <v>190</v>
      </c>
      <c r="EJ972" s="319" t="s">
        <v>190</v>
      </c>
      <c r="EK972" s="319" t="s">
        <v>190</v>
      </c>
      <c r="EL972" s="319" t="s">
        <v>190</v>
      </c>
      <c r="EM972" s="319" t="s">
        <v>190</v>
      </c>
      <c r="EN972" s="319" t="s">
        <v>190</v>
      </c>
      <c r="EO972" s="319" t="s">
        <v>190</v>
      </c>
      <c r="EP972" s="319" t="s">
        <v>190</v>
      </c>
      <c r="EQ972" s="319" t="s">
        <v>190</v>
      </c>
      <c r="ER972" s="319" t="s">
        <v>190</v>
      </c>
      <c r="ES972" s="319" t="s">
        <v>190</v>
      </c>
      <c r="ET972" s="319" t="s">
        <v>190</v>
      </c>
      <c r="EU972" s="319" t="s">
        <v>190</v>
      </c>
      <c r="EV972" s="319" t="s">
        <v>190</v>
      </c>
      <c r="EW972" s="319" t="s">
        <v>190</v>
      </c>
      <c r="EX972" s="319" t="s">
        <v>190</v>
      </c>
      <c r="EY972" s="319" t="s">
        <v>190</v>
      </c>
      <c r="EZ972" s="319" t="s">
        <v>190</v>
      </c>
      <c r="FA972" s="319" t="s">
        <v>190</v>
      </c>
      <c r="FB972" s="319" t="s">
        <v>190</v>
      </c>
      <c r="FC972" s="319" t="s">
        <v>190</v>
      </c>
      <c r="FD972" s="319" t="s">
        <v>190</v>
      </c>
      <c r="FE972" s="319" t="s">
        <v>190</v>
      </c>
      <c r="FF972" s="319" t="s">
        <v>190</v>
      </c>
      <c r="FG972" s="319" t="s">
        <v>190</v>
      </c>
      <c r="FH972" s="319" t="s">
        <v>190</v>
      </c>
      <c r="FI972" s="319" t="s">
        <v>190</v>
      </c>
      <c r="FJ972" s="319" t="s">
        <v>190</v>
      </c>
      <c r="FK972" s="319" t="s">
        <v>190</v>
      </c>
      <c r="FL972" s="319" t="s">
        <v>190</v>
      </c>
      <c r="FM972" s="319" t="s">
        <v>190</v>
      </c>
      <c r="FN972" s="319" t="s">
        <v>190</v>
      </c>
      <c r="FO972" s="319" t="s">
        <v>190</v>
      </c>
      <c r="FP972" s="319" t="s">
        <v>190</v>
      </c>
      <c r="FQ972" s="319" t="s">
        <v>190</v>
      </c>
      <c r="FR972" s="319" t="s">
        <v>190</v>
      </c>
      <c r="FS972" s="319" t="s">
        <v>428</v>
      </c>
      <c r="FT972" s="319" t="s">
        <v>190</v>
      </c>
      <c r="FU972" s="319" t="s">
        <v>190</v>
      </c>
      <c r="FV972" s="319" t="s">
        <v>190</v>
      </c>
      <c r="FW972" s="319" t="s">
        <v>190</v>
      </c>
      <c r="FX972" s="319" t="s">
        <v>190</v>
      </c>
      <c r="FY972" s="319" t="s">
        <v>190</v>
      </c>
      <c r="FZ972" s="319" t="s">
        <v>190</v>
      </c>
      <c r="GA972" s="319" t="s">
        <v>190</v>
      </c>
      <c r="GB972" s="319" t="s">
        <v>190</v>
      </c>
      <c r="GC972" s="319" t="s">
        <v>190</v>
      </c>
      <c r="GD972" s="319" t="s">
        <v>190</v>
      </c>
      <c r="GE972" s="319" t="s">
        <v>190</v>
      </c>
      <c r="GF972" s="319" t="s">
        <v>190</v>
      </c>
      <c r="GG972" s="319" t="s">
        <v>190</v>
      </c>
      <c r="GH972" s="319" t="s">
        <v>190</v>
      </c>
      <c r="GI972" s="319" t="s">
        <v>190</v>
      </c>
      <c r="GJ972" s="319" t="s">
        <v>190</v>
      </c>
      <c r="GK972" s="319" t="s">
        <v>428</v>
      </c>
      <c r="GL972" s="319" t="s">
        <v>190</v>
      </c>
      <c r="GM972" s="319" t="s">
        <v>190</v>
      </c>
      <c r="GN972" s="319" t="s">
        <v>190</v>
      </c>
      <c r="GO972" s="319" t="s">
        <v>190</v>
      </c>
      <c r="GP972" s="319" t="s">
        <v>190</v>
      </c>
      <c r="GQ972" s="319" t="s">
        <v>428</v>
      </c>
      <c r="GR972" s="319" t="s">
        <v>190</v>
      </c>
      <c r="GS972" s="319" t="s">
        <v>190</v>
      </c>
      <c r="GT972" s="319" t="s">
        <v>190</v>
      </c>
      <c r="GU972" s="319" t="s">
        <v>190</v>
      </c>
      <c r="GV972" s="319" t="s">
        <v>190</v>
      </c>
      <c r="GW972" s="319" t="s">
        <v>190</v>
      </c>
      <c r="GX972" s="319" t="s">
        <v>190</v>
      </c>
      <c r="GY972" s="319" t="s">
        <v>190</v>
      </c>
      <c r="GZ972" s="319" t="s">
        <v>428</v>
      </c>
      <c r="HA972" s="319" t="s">
        <v>190</v>
      </c>
      <c r="HB972" s="319" t="s">
        <v>190</v>
      </c>
      <c r="HC972" s="319" t="s">
        <v>190</v>
      </c>
      <c r="HD972" s="319" t="s">
        <v>190</v>
      </c>
      <c r="HE972" s="319" t="s">
        <v>190</v>
      </c>
      <c r="HF972" s="319" t="s">
        <v>190</v>
      </c>
      <c r="HG972" s="319" t="s">
        <v>190</v>
      </c>
      <c r="HH972" s="319" t="s">
        <v>190</v>
      </c>
      <c r="HI972" s="319" t="s">
        <v>190</v>
      </c>
      <c r="HJ972" s="319" t="s">
        <v>190</v>
      </c>
      <c r="HK972" s="319" t="s">
        <v>190</v>
      </c>
      <c r="HL972" s="319" t="s">
        <v>190</v>
      </c>
      <c r="HM972" s="319" t="s">
        <v>428</v>
      </c>
      <c r="HN972" s="319" t="s">
        <v>428</v>
      </c>
      <c r="HO972" s="319" t="s">
        <v>428</v>
      </c>
      <c r="HP972" s="319" t="s">
        <v>190</v>
      </c>
      <c r="HQ972" s="319" t="s">
        <v>190</v>
      </c>
      <c r="HR972" s="319" t="s">
        <v>190</v>
      </c>
      <c r="HS972" s="319" t="s">
        <v>190</v>
      </c>
      <c r="HT972" s="319" t="s">
        <v>190</v>
      </c>
      <c r="HU972" s="319" t="s">
        <v>190</v>
      </c>
      <c r="HV972" s="319" t="s">
        <v>190</v>
      </c>
      <c r="HW972" s="319" t="s">
        <v>190</v>
      </c>
      <c r="HX972" s="319" t="s">
        <v>190</v>
      </c>
      <c r="HY972" s="319" t="s">
        <v>190</v>
      </c>
      <c r="HZ972" s="319" t="s">
        <v>190</v>
      </c>
      <c r="IA972" s="319" t="s">
        <v>190</v>
      </c>
      <c r="IB972" s="319" t="s">
        <v>190</v>
      </c>
      <c r="IC972" s="319" t="s">
        <v>190</v>
      </c>
      <c r="ID972" s="319" t="s">
        <v>190</v>
      </c>
      <c r="IE972" s="319" t="s">
        <v>190</v>
      </c>
      <c r="IF972" s="319" t="s">
        <v>190</v>
      </c>
      <c r="IG972" s="319" t="s">
        <v>190</v>
      </c>
      <c r="IH972" s="319" t="s">
        <v>190</v>
      </c>
      <c r="II972" s="319" t="s">
        <v>190</v>
      </c>
      <c r="IJ972" s="319" t="s">
        <v>173</v>
      </c>
      <c r="IK972" s="319" t="s">
        <v>173</v>
      </c>
      <c r="IL972" s="319" t="s">
        <v>173</v>
      </c>
      <c r="IM972" s="319" t="s">
        <v>173</v>
      </c>
      <c r="IN972" s="319" t="s">
        <v>173</v>
      </c>
      <c r="IO972" s="319" t="s">
        <v>173</v>
      </c>
      <c r="IP972" s="319" t="s">
        <v>173</v>
      </c>
      <c r="IQ972" s="321" t="s">
        <v>173</v>
      </c>
      <c r="IR972" s="320" t="s">
        <v>173</v>
      </c>
      <c r="IS972" s="322" t="s">
        <v>173</v>
      </c>
      <c r="IT972" s="319" t="s">
        <v>173</v>
      </c>
    </row>
    <row r="973" spans="1:254" s="271" customFormat="1" x14ac:dyDescent="0.25">
      <c r="A973" s="318" t="str">
        <f>HYPERLINK("http://www.ofsted.gov.uk/inspection-reports/find-inspection-report/provider/ELS/145462 ","Ofsted School Webpage")</f>
        <v>Ofsted School Webpage</v>
      </c>
      <c r="B973" s="319">
        <v>145462</v>
      </c>
      <c r="C973" s="319">
        <v>8136006</v>
      </c>
      <c r="D973" s="319" t="s">
        <v>2499</v>
      </c>
      <c r="E973" s="319" t="s">
        <v>168</v>
      </c>
      <c r="F973" s="319" t="s">
        <v>81</v>
      </c>
      <c r="G973" s="319" t="s">
        <v>81</v>
      </c>
      <c r="H973" s="319" t="s">
        <v>81</v>
      </c>
      <c r="I973" s="319" t="s">
        <v>78</v>
      </c>
      <c r="J973" s="319" t="s">
        <v>424</v>
      </c>
      <c r="K973" s="319" t="s">
        <v>458</v>
      </c>
      <c r="L973" s="319" t="s">
        <v>459</v>
      </c>
      <c r="M973" s="319" t="s">
        <v>1803</v>
      </c>
      <c r="N973" s="319" t="s">
        <v>3252</v>
      </c>
      <c r="O973" s="319" t="s">
        <v>2500</v>
      </c>
      <c r="P973" s="319" t="s">
        <v>173</v>
      </c>
      <c r="Q973" s="319" t="s">
        <v>429</v>
      </c>
      <c r="R973" s="320">
        <v>10093657</v>
      </c>
      <c r="S973" s="321">
        <v>43655</v>
      </c>
      <c r="T973" s="321">
        <v>43657</v>
      </c>
      <c r="U973" s="321">
        <v>43723</v>
      </c>
      <c r="V973" s="319" t="s">
        <v>435</v>
      </c>
      <c r="W973" s="319" t="s">
        <v>2767</v>
      </c>
      <c r="X973" s="319">
        <v>2</v>
      </c>
      <c r="Y973" s="319" t="s">
        <v>173</v>
      </c>
      <c r="Z973" s="319" t="s">
        <v>173</v>
      </c>
      <c r="AA973" s="319" t="s">
        <v>173</v>
      </c>
      <c r="AB973" s="319">
        <v>2</v>
      </c>
      <c r="AC973" s="319" t="s">
        <v>169</v>
      </c>
      <c r="AD973" s="319" t="s">
        <v>173</v>
      </c>
      <c r="AE973" s="319" t="s">
        <v>173</v>
      </c>
      <c r="AF973" s="319" t="s">
        <v>427</v>
      </c>
      <c r="AG973" s="319" t="s">
        <v>171</v>
      </c>
      <c r="AH973" s="319" t="s">
        <v>190</v>
      </c>
      <c r="AI973" s="319" t="s">
        <v>190</v>
      </c>
      <c r="AJ973" s="319" t="s">
        <v>190</v>
      </c>
      <c r="AK973" s="319" t="s">
        <v>190</v>
      </c>
      <c r="AL973" s="319" t="s">
        <v>190</v>
      </c>
      <c r="AM973" s="319" t="s">
        <v>190</v>
      </c>
      <c r="AN973" s="319" t="s">
        <v>190</v>
      </c>
      <c r="AO973" s="319" t="s">
        <v>190</v>
      </c>
      <c r="AP973" s="319" t="s">
        <v>190</v>
      </c>
      <c r="AQ973" s="319" t="s">
        <v>190</v>
      </c>
      <c r="AR973" s="319" t="s">
        <v>190</v>
      </c>
      <c r="AS973" s="319" t="s">
        <v>190</v>
      </c>
      <c r="AT973" s="319" t="s">
        <v>190</v>
      </c>
      <c r="AU973" s="319" t="s">
        <v>190</v>
      </c>
      <c r="AV973" s="319" t="s">
        <v>190</v>
      </c>
      <c r="AW973" s="319" t="s">
        <v>190</v>
      </c>
      <c r="AX973" s="319" t="s">
        <v>428</v>
      </c>
      <c r="AY973" s="319" t="s">
        <v>190</v>
      </c>
      <c r="AZ973" s="319" t="s">
        <v>190</v>
      </c>
      <c r="BA973" s="319" t="s">
        <v>190</v>
      </c>
      <c r="BB973" s="319" t="s">
        <v>190</v>
      </c>
      <c r="BC973" s="319" t="s">
        <v>190</v>
      </c>
      <c r="BD973" s="319" t="s">
        <v>190</v>
      </c>
      <c r="BE973" s="319" t="s">
        <v>190</v>
      </c>
      <c r="BF973" s="319" t="s">
        <v>428</v>
      </c>
      <c r="BG973" s="319" t="s">
        <v>190</v>
      </c>
      <c r="BH973" s="319" t="s">
        <v>190</v>
      </c>
      <c r="BI973" s="319" t="s">
        <v>190</v>
      </c>
      <c r="BJ973" s="319" t="s">
        <v>190</v>
      </c>
      <c r="BK973" s="319" t="s">
        <v>190</v>
      </c>
      <c r="BL973" s="319" t="s">
        <v>190</v>
      </c>
      <c r="BM973" s="319" t="s">
        <v>190</v>
      </c>
      <c r="BN973" s="319" t="s">
        <v>190</v>
      </c>
      <c r="BO973" s="319" t="s">
        <v>190</v>
      </c>
      <c r="BP973" s="319" t="s">
        <v>190</v>
      </c>
      <c r="BQ973" s="319" t="s">
        <v>190</v>
      </c>
      <c r="BR973" s="319" t="s">
        <v>190</v>
      </c>
      <c r="BS973" s="319" t="s">
        <v>190</v>
      </c>
      <c r="BT973" s="319" t="s">
        <v>190</v>
      </c>
      <c r="BU973" s="319" t="s">
        <v>190</v>
      </c>
      <c r="BV973" s="319" t="s">
        <v>190</v>
      </c>
      <c r="BW973" s="319" t="s">
        <v>190</v>
      </c>
      <c r="BX973" s="319" t="s">
        <v>190</v>
      </c>
      <c r="BY973" s="319" t="s">
        <v>190</v>
      </c>
      <c r="BZ973" s="319" t="s">
        <v>190</v>
      </c>
      <c r="CA973" s="319" t="s">
        <v>190</v>
      </c>
      <c r="CB973" s="319" t="s">
        <v>190</v>
      </c>
      <c r="CC973" s="319" t="s">
        <v>190</v>
      </c>
      <c r="CD973" s="319" t="s">
        <v>190</v>
      </c>
      <c r="CE973" s="319" t="s">
        <v>190</v>
      </c>
      <c r="CF973" s="319" t="s">
        <v>190</v>
      </c>
      <c r="CG973" s="319" t="s">
        <v>190</v>
      </c>
      <c r="CH973" s="319" t="s">
        <v>190</v>
      </c>
      <c r="CI973" s="319" t="s">
        <v>190</v>
      </c>
      <c r="CJ973" s="319" t="s">
        <v>190</v>
      </c>
      <c r="CK973" s="319" t="s">
        <v>190</v>
      </c>
      <c r="CL973" s="319" t="s">
        <v>190</v>
      </c>
      <c r="CM973" s="319" t="s">
        <v>190</v>
      </c>
      <c r="CN973" s="319" t="s">
        <v>428</v>
      </c>
      <c r="CO973" s="319" t="s">
        <v>428</v>
      </c>
      <c r="CP973" s="319" t="s">
        <v>428</v>
      </c>
      <c r="CQ973" s="319" t="s">
        <v>190</v>
      </c>
      <c r="CR973" s="319" t="s">
        <v>190</v>
      </c>
      <c r="CS973" s="319" t="s">
        <v>190</v>
      </c>
      <c r="CT973" s="319" t="s">
        <v>190</v>
      </c>
      <c r="CU973" s="319" t="s">
        <v>190</v>
      </c>
      <c r="CV973" s="319" t="s">
        <v>190</v>
      </c>
      <c r="CW973" s="319" t="s">
        <v>190</v>
      </c>
      <c r="CX973" s="319" t="s">
        <v>190</v>
      </c>
      <c r="CY973" s="319" t="s">
        <v>190</v>
      </c>
      <c r="CZ973" s="319" t="s">
        <v>190</v>
      </c>
      <c r="DA973" s="319" t="s">
        <v>190</v>
      </c>
      <c r="DB973" s="319" t="s">
        <v>190</v>
      </c>
      <c r="DC973" s="319" t="s">
        <v>190</v>
      </c>
      <c r="DD973" s="319" t="s">
        <v>190</v>
      </c>
      <c r="DE973" s="319" t="s">
        <v>190</v>
      </c>
      <c r="DF973" s="319" t="s">
        <v>190</v>
      </c>
      <c r="DG973" s="319" t="s">
        <v>190</v>
      </c>
      <c r="DH973" s="319" t="s">
        <v>190</v>
      </c>
      <c r="DI973" s="319" t="s">
        <v>190</v>
      </c>
      <c r="DJ973" s="319" t="s">
        <v>190</v>
      </c>
      <c r="DK973" s="319" t="s">
        <v>190</v>
      </c>
      <c r="DL973" s="319" t="s">
        <v>190</v>
      </c>
      <c r="DM973" s="319" t="s">
        <v>428</v>
      </c>
      <c r="DN973" s="319" t="s">
        <v>428</v>
      </c>
      <c r="DO973" s="319" t="s">
        <v>190</v>
      </c>
      <c r="DP973" s="319" t="s">
        <v>190</v>
      </c>
      <c r="DQ973" s="319" t="s">
        <v>190</v>
      </c>
      <c r="DR973" s="319" t="s">
        <v>190</v>
      </c>
      <c r="DS973" s="319" t="s">
        <v>190</v>
      </c>
      <c r="DT973" s="319" t="s">
        <v>190</v>
      </c>
      <c r="DU973" s="319" t="s">
        <v>190</v>
      </c>
      <c r="DV973" s="319" t="s">
        <v>173</v>
      </c>
      <c r="DW973" s="319" t="s">
        <v>190</v>
      </c>
      <c r="DX973" s="319" t="s">
        <v>190</v>
      </c>
      <c r="DY973" s="319" t="s">
        <v>190</v>
      </c>
      <c r="DZ973" s="319" t="s">
        <v>190</v>
      </c>
      <c r="EA973" s="319" t="s">
        <v>190</v>
      </c>
      <c r="EB973" s="319" t="s">
        <v>190</v>
      </c>
      <c r="EC973" s="319" t="s">
        <v>428</v>
      </c>
      <c r="ED973" s="319" t="s">
        <v>190</v>
      </c>
      <c r="EE973" s="319" t="s">
        <v>190</v>
      </c>
      <c r="EF973" s="319" t="s">
        <v>190</v>
      </c>
      <c r="EG973" s="319" t="s">
        <v>190</v>
      </c>
      <c r="EH973" s="319" t="s">
        <v>190</v>
      </c>
      <c r="EI973" s="319" t="s">
        <v>190</v>
      </c>
      <c r="EJ973" s="319" t="s">
        <v>190</v>
      </c>
      <c r="EK973" s="319" t="s">
        <v>190</v>
      </c>
      <c r="EL973" s="319" t="s">
        <v>428</v>
      </c>
      <c r="EM973" s="319" t="s">
        <v>190</v>
      </c>
      <c r="EN973" s="319" t="s">
        <v>190</v>
      </c>
      <c r="EO973" s="319" t="s">
        <v>190</v>
      </c>
      <c r="EP973" s="319" t="s">
        <v>190</v>
      </c>
      <c r="EQ973" s="319" t="s">
        <v>190</v>
      </c>
      <c r="ER973" s="319" t="s">
        <v>190</v>
      </c>
      <c r="ES973" s="319" t="s">
        <v>190</v>
      </c>
      <c r="ET973" s="319" t="s">
        <v>190</v>
      </c>
      <c r="EU973" s="319" t="s">
        <v>190</v>
      </c>
      <c r="EV973" s="319" t="s">
        <v>190</v>
      </c>
      <c r="EW973" s="319" t="s">
        <v>190</v>
      </c>
      <c r="EX973" s="319" t="s">
        <v>190</v>
      </c>
      <c r="EY973" s="319" t="s">
        <v>190</v>
      </c>
      <c r="EZ973" s="319" t="s">
        <v>190</v>
      </c>
      <c r="FA973" s="319" t="s">
        <v>428</v>
      </c>
      <c r="FB973" s="319" t="s">
        <v>190</v>
      </c>
      <c r="FC973" s="319" t="s">
        <v>190</v>
      </c>
      <c r="FD973" s="319" t="s">
        <v>190</v>
      </c>
      <c r="FE973" s="319" t="s">
        <v>190</v>
      </c>
      <c r="FF973" s="319" t="s">
        <v>428</v>
      </c>
      <c r="FG973" s="319" t="s">
        <v>190</v>
      </c>
      <c r="FH973" s="319" t="s">
        <v>190</v>
      </c>
      <c r="FI973" s="319" t="s">
        <v>428</v>
      </c>
      <c r="FJ973" s="319" t="s">
        <v>429</v>
      </c>
      <c r="FK973" s="319" t="s">
        <v>428</v>
      </c>
      <c r="FL973" s="319" t="s">
        <v>190</v>
      </c>
      <c r="FM973" s="319" t="s">
        <v>190</v>
      </c>
      <c r="FN973" s="319" t="s">
        <v>190</v>
      </c>
      <c r="FO973" s="319" t="s">
        <v>190</v>
      </c>
      <c r="FP973" s="319" t="s">
        <v>190</v>
      </c>
      <c r="FQ973" s="319" t="s">
        <v>190</v>
      </c>
      <c r="FR973" s="319" t="s">
        <v>190</v>
      </c>
      <c r="FS973" s="319" t="s">
        <v>190</v>
      </c>
      <c r="FT973" s="319" t="s">
        <v>428</v>
      </c>
      <c r="FU973" s="319" t="s">
        <v>190</v>
      </c>
      <c r="FV973" s="319" t="s">
        <v>190</v>
      </c>
      <c r="FW973" s="319" t="s">
        <v>190</v>
      </c>
      <c r="FX973" s="319" t="s">
        <v>190</v>
      </c>
      <c r="FY973" s="319" t="s">
        <v>190</v>
      </c>
      <c r="FZ973" s="319" t="s">
        <v>190</v>
      </c>
      <c r="GA973" s="319" t="s">
        <v>190</v>
      </c>
      <c r="GB973" s="319" t="s">
        <v>190</v>
      </c>
      <c r="GC973" s="319" t="s">
        <v>190</v>
      </c>
      <c r="GD973" s="319" t="s">
        <v>190</v>
      </c>
      <c r="GE973" s="319" t="s">
        <v>190</v>
      </c>
      <c r="GF973" s="319" t="s">
        <v>190</v>
      </c>
      <c r="GG973" s="319" t="s">
        <v>190</v>
      </c>
      <c r="GH973" s="319" t="s">
        <v>190</v>
      </c>
      <c r="GI973" s="319" t="s">
        <v>190</v>
      </c>
      <c r="GJ973" s="319" t="s">
        <v>190</v>
      </c>
      <c r="GK973" s="319" t="s">
        <v>428</v>
      </c>
      <c r="GL973" s="319" t="s">
        <v>190</v>
      </c>
      <c r="GM973" s="319" t="s">
        <v>190</v>
      </c>
      <c r="GN973" s="319" t="s">
        <v>190</v>
      </c>
      <c r="GO973" s="319" t="s">
        <v>190</v>
      </c>
      <c r="GP973" s="319" t="s">
        <v>190</v>
      </c>
      <c r="GQ973" s="319" t="s">
        <v>428</v>
      </c>
      <c r="GR973" s="319" t="s">
        <v>190</v>
      </c>
      <c r="GS973" s="319" t="s">
        <v>190</v>
      </c>
      <c r="GT973" s="319" t="s">
        <v>428</v>
      </c>
      <c r="GU973" s="319" t="s">
        <v>190</v>
      </c>
      <c r="GV973" s="319" t="s">
        <v>428</v>
      </c>
      <c r="GW973" s="319" t="s">
        <v>190</v>
      </c>
      <c r="GX973" s="319" t="s">
        <v>190</v>
      </c>
      <c r="GY973" s="319" t="s">
        <v>190</v>
      </c>
      <c r="GZ973" s="319" t="s">
        <v>428</v>
      </c>
      <c r="HA973" s="319" t="s">
        <v>190</v>
      </c>
      <c r="HB973" s="319" t="s">
        <v>428</v>
      </c>
      <c r="HC973" s="319" t="s">
        <v>190</v>
      </c>
      <c r="HD973" s="319" t="s">
        <v>190</v>
      </c>
      <c r="HE973" s="319" t="s">
        <v>190</v>
      </c>
      <c r="HF973" s="319" t="s">
        <v>190</v>
      </c>
      <c r="HG973" s="319" t="s">
        <v>190</v>
      </c>
      <c r="HH973" s="319" t="s">
        <v>190</v>
      </c>
      <c r="HI973" s="319" t="s">
        <v>190</v>
      </c>
      <c r="HJ973" s="319" t="s">
        <v>190</v>
      </c>
      <c r="HK973" s="319" t="s">
        <v>190</v>
      </c>
      <c r="HL973" s="319" t="s">
        <v>428</v>
      </c>
      <c r="HM973" s="319" t="s">
        <v>428</v>
      </c>
      <c r="HN973" s="319" t="s">
        <v>428</v>
      </c>
      <c r="HO973" s="319" t="s">
        <v>428</v>
      </c>
      <c r="HP973" s="319" t="s">
        <v>190</v>
      </c>
      <c r="HQ973" s="319" t="s">
        <v>190</v>
      </c>
      <c r="HR973" s="319" t="s">
        <v>190</v>
      </c>
      <c r="HS973" s="319" t="s">
        <v>190</v>
      </c>
      <c r="HT973" s="319" t="s">
        <v>190</v>
      </c>
      <c r="HU973" s="319" t="s">
        <v>190</v>
      </c>
      <c r="HV973" s="319" t="s">
        <v>190</v>
      </c>
      <c r="HW973" s="319" t="s">
        <v>190</v>
      </c>
      <c r="HX973" s="319" t="s">
        <v>190</v>
      </c>
      <c r="HY973" s="319" t="s">
        <v>190</v>
      </c>
      <c r="HZ973" s="319" t="s">
        <v>190</v>
      </c>
      <c r="IA973" s="319" t="s">
        <v>190</v>
      </c>
      <c r="IB973" s="319" t="s">
        <v>190</v>
      </c>
      <c r="IC973" s="319" t="s">
        <v>190</v>
      </c>
      <c r="ID973" s="319" t="s">
        <v>190</v>
      </c>
      <c r="IE973" s="319" t="s">
        <v>190</v>
      </c>
      <c r="IF973" s="319" t="s">
        <v>190</v>
      </c>
      <c r="IG973" s="319" t="s">
        <v>190</v>
      </c>
      <c r="IH973" s="319" t="s">
        <v>190</v>
      </c>
      <c r="II973" s="319" t="s">
        <v>190</v>
      </c>
      <c r="IJ973" s="319" t="s">
        <v>173</v>
      </c>
      <c r="IK973" s="319" t="s">
        <v>173</v>
      </c>
      <c r="IL973" s="319" t="s">
        <v>173</v>
      </c>
      <c r="IM973" s="319" t="s">
        <v>173</v>
      </c>
      <c r="IN973" s="319" t="s">
        <v>173</v>
      </c>
      <c r="IO973" s="319" t="s">
        <v>173</v>
      </c>
      <c r="IP973" s="319" t="s">
        <v>173</v>
      </c>
      <c r="IQ973" s="321" t="s">
        <v>173</v>
      </c>
      <c r="IR973" s="320" t="s">
        <v>173</v>
      </c>
      <c r="IS973" s="322" t="s">
        <v>173</v>
      </c>
      <c r="IT973" s="319" t="s">
        <v>173</v>
      </c>
    </row>
    <row r="974" spans="1:254" s="271" customFormat="1" x14ac:dyDescent="0.25">
      <c r="A974" s="318" t="str">
        <f>HYPERLINK("http://www.ofsted.gov.uk/inspection-reports/find-inspection-report/provider/ELS/145463 ","Ofsted School Webpage")</f>
        <v>Ofsted School Webpage</v>
      </c>
      <c r="B974" s="319">
        <v>145463</v>
      </c>
      <c r="C974" s="319">
        <v>3416013</v>
      </c>
      <c r="D974" s="319" t="s">
        <v>749</v>
      </c>
      <c r="E974" s="319" t="s">
        <v>167</v>
      </c>
      <c r="F974" s="319" t="s">
        <v>81</v>
      </c>
      <c r="G974" s="319" t="s">
        <v>81</v>
      </c>
      <c r="H974" s="319" t="s">
        <v>81</v>
      </c>
      <c r="I974" s="319" t="s">
        <v>78</v>
      </c>
      <c r="J974" s="319" t="s">
        <v>424</v>
      </c>
      <c r="K974" s="319" t="s">
        <v>431</v>
      </c>
      <c r="L974" s="319" t="s">
        <v>431</v>
      </c>
      <c r="M974" s="319" t="s">
        <v>652</v>
      </c>
      <c r="N974" s="319" t="s">
        <v>3166</v>
      </c>
      <c r="O974" s="319" t="s">
        <v>750</v>
      </c>
      <c r="P974" s="319">
        <v>18</v>
      </c>
      <c r="Q974" s="319" t="s">
        <v>2776</v>
      </c>
      <c r="R974" s="320">
        <v>10056436</v>
      </c>
      <c r="S974" s="321">
        <v>43438</v>
      </c>
      <c r="T974" s="321">
        <v>43440</v>
      </c>
      <c r="U974" s="321">
        <v>43480</v>
      </c>
      <c r="V974" s="319" t="s">
        <v>435</v>
      </c>
      <c r="W974" s="319" t="s">
        <v>2767</v>
      </c>
      <c r="X974" s="319">
        <v>2</v>
      </c>
      <c r="Y974" s="319" t="s">
        <v>173</v>
      </c>
      <c r="Z974" s="319" t="s">
        <v>173</v>
      </c>
      <c r="AA974" s="319" t="s">
        <v>173</v>
      </c>
      <c r="AB974" s="319">
        <v>2</v>
      </c>
      <c r="AC974" s="319" t="s">
        <v>169</v>
      </c>
      <c r="AD974" s="319" t="s">
        <v>173</v>
      </c>
      <c r="AE974" s="319" t="s">
        <v>173</v>
      </c>
      <c r="AF974" s="319" t="s">
        <v>427</v>
      </c>
      <c r="AG974" s="319" t="s">
        <v>171</v>
      </c>
      <c r="AH974" s="319" t="s">
        <v>190</v>
      </c>
      <c r="AI974" s="319" t="s">
        <v>190</v>
      </c>
      <c r="AJ974" s="319" t="s">
        <v>190</v>
      </c>
      <c r="AK974" s="319" t="s">
        <v>190</v>
      </c>
      <c r="AL974" s="319" t="s">
        <v>190</v>
      </c>
      <c r="AM974" s="319" t="s">
        <v>190</v>
      </c>
      <c r="AN974" s="319" t="s">
        <v>190</v>
      </c>
      <c r="AO974" s="319" t="s">
        <v>190</v>
      </c>
      <c r="AP974" s="319" t="s">
        <v>190</v>
      </c>
      <c r="AQ974" s="319" t="s">
        <v>190</v>
      </c>
      <c r="AR974" s="319" t="s">
        <v>190</v>
      </c>
      <c r="AS974" s="319" t="s">
        <v>190</v>
      </c>
      <c r="AT974" s="319" t="s">
        <v>190</v>
      </c>
      <c r="AU974" s="319" t="s">
        <v>190</v>
      </c>
      <c r="AV974" s="319" t="s">
        <v>190</v>
      </c>
      <c r="AW974" s="319" t="s">
        <v>190</v>
      </c>
      <c r="AX974" s="319" t="s">
        <v>428</v>
      </c>
      <c r="AY974" s="319" t="s">
        <v>190</v>
      </c>
      <c r="AZ974" s="319" t="s">
        <v>190</v>
      </c>
      <c r="BA974" s="319" t="s">
        <v>190</v>
      </c>
      <c r="BB974" s="319" t="s">
        <v>190</v>
      </c>
      <c r="BC974" s="319" t="s">
        <v>190</v>
      </c>
      <c r="BD974" s="319" t="s">
        <v>190</v>
      </c>
      <c r="BE974" s="319" t="s">
        <v>190</v>
      </c>
      <c r="BF974" s="319" t="s">
        <v>428</v>
      </c>
      <c r="BG974" s="319" t="s">
        <v>190</v>
      </c>
      <c r="BH974" s="319" t="s">
        <v>190</v>
      </c>
      <c r="BI974" s="319" t="s">
        <v>190</v>
      </c>
      <c r="BJ974" s="319" t="s">
        <v>190</v>
      </c>
      <c r="BK974" s="319" t="s">
        <v>190</v>
      </c>
      <c r="BL974" s="319" t="s">
        <v>190</v>
      </c>
      <c r="BM974" s="319" t="s">
        <v>190</v>
      </c>
      <c r="BN974" s="319" t="s">
        <v>190</v>
      </c>
      <c r="BO974" s="319" t="s">
        <v>190</v>
      </c>
      <c r="BP974" s="319" t="s">
        <v>190</v>
      </c>
      <c r="BQ974" s="319" t="s">
        <v>190</v>
      </c>
      <c r="BR974" s="319" t="s">
        <v>190</v>
      </c>
      <c r="BS974" s="319" t="s">
        <v>190</v>
      </c>
      <c r="BT974" s="319" t="s">
        <v>190</v>
      </c>
      <c r="BU974" s="319" t="s">
        <v>190</v>
      </c>
      <c r="BV974" s="319" t="s">
        <v>190</v>
      </c>
      <c r="BW974" s="319" t="s">
        <v>190</v>
      </c>
      <c r="BX974" s="319" t="s">
        <v>190</v>
      </c>
      <c r="BY974" s="319" t="s">
        <v>190</v>
      </c>
      <c r="BZ974" s="319" t="s">
        <v>190</v>
      </c>
      <c r="CA974" s="319" t="s">
        <v>190</v>
      </c>
      <c r="CB974" s="319" t="s">
        <v>190</v>
      </c>
      <c r="CC974" s="319" t="s">
        <v>190</v>
      </c>
      <c r="CD974" s="319" t="s">
        <v>190</v>
      </c>
      <c r="CE974" s="319" t="s">
        <v>190</v>
      </c>
      <c r="CF974" s="319" t="s">
        <v>190</v>
      </c>
      <c r="CG974" s="319" t="s">
        <v>190</v>
      </c>
      <c r="CH974" s="319" t="s">
        <v>190</v>
      </c>
      <c r="CI974" s="319" t="s">
        <v>190</v>
      </c>
      <c r="CJ974" s="319" t="s">
        <v>190</v>
      </c>
      <c r="CK974" s="319" t="s">
        <v>190</v>
      </c>
      <c r="CL974" s="319" t="s">
        <v>190</v>
      </c>
      <c r="CM974" s="319" t="s">
        <v>190</v>
      </c>
      <c r="CN974" s="319" t="s">
        <v>428</v>
      </c>
      <c r="CO974" s="319" t="s">
        <v>428</v>
      </c>
      <c r="CP974" s="319" t="s">
        <v>428</v>
      </c>
      <c r="CQ974" s="319" t="s">
        <v>190</v>
      </c>
      <c r="CR974" s="319" t="s">
        <v>190</v>
      </c>
      <c r="CS974" s="319" t="s">
        <v>190</v>
      </c>
      <c r="CT974" s="319" t="s">
        <v>190</v>
      </c>
      <c r="CU974" s="319" t="s">
        <v>190</v>
      </c>
      <c r="CV974" s="319" t="s">
        <v>190</v>
      </c>
      <c r="CW974" s="319" t="s">
        <v>190</v>
      </c>
      <c r="CX974" s="319" t="s">
        <v>190</v>
      </c>
      <c r="CY974" s="319" t="s">
        <v>190</v>
      </c>
      <c r="CZ974" s="319" t="s">
        <v>190</v>
      </c>
      <c r="DA974" s="319" t="s">
        <v>190</v>
      </c>
      <c r="DB974" s="319" t="s">
        <v>190</v>
      </c>
      <c r="DC974" s="319" t="s">
        <v>190</v>
      </c>
      <c r="DD974" s="319" t="s">
        <v>190</v>
      </c>
      <c r="DE974" s="319" t="s">
        <v>190</v>
      </c>
      <c r="DF974" s="319" t="s">
        <v>190</v>
      </c>
      <c r="DG974" s="319" t="s">
        <v>190</v>
      </c>
      <c r="DH974" s="319" t="s">
        <v>190</v>
      </c>
      <c r="DI974" s="319" t="s">
        <v>190</v>
      </c>
      <c r="DJ974" s="319" t="s">
        <v>190</v>
      </c>
      <c r="DK974" s="319" t="s">
        <v>190</v>
      </c>
      <c r="DL974" s="319" t="s">
        <v>190</v>
      </c>
      <c r="DM974" s="319" t="s">
        <v>190</v>
      </c>
      <c r="DN974" s="319" t="s">
        <v>428</v>
      </c>
      <c r="DO974" s="319" t="s">
        <v>190</v>
      </c>
      <c r="DP974" s="319" t="s">
        <v>190</v>
      </c>
      <c r="DQ974" s="319" t="s">
        <v>190</v>
      </c>
      <c r="DR974" s="319" t="s">
        <v>190</v>
      </c>
      <c r="DS974" s="319" t="s">
        <v>190</v>
      </c>
      <c r="DT974" s="319" t="s">
        <v>190</v>
      </c>
      <c r="DU974" s="319" t="s">
        <v>190</v>
      </c>
      <c r="DV974" s="319" t="s">
        <v>173</v>
      </c>
      <c r="DW974" s="319" t="s">
        <v>190</v>
      </c>
      <c r="DX974" s="319" t="s">
        <v>190</v>
      </c>
      <c r="DY974" s="319" t="s">
        <v>190</v>
      </c>
      <c r="DZ974" s="319" t="s">
        <v>190</v>
      </c>
      <c r="EA974" s="319" t="s">
        <v>190</v>
      </c>
      <c r="EB974" s="319" t="s">
        <v>190</v>
      </c>
      <c r="EC974" s="319" t="s">
        <v>428</v>
      </c>
      <c r="ED974" s="319" t="s">
        <v>190</v>
      </c>
      <c r="EE974" s="319" t="s">
        <v>190</v>
      </c>
      <c r="EF974" s="319" t="s">
        <v>190</v>
      </c>
      <c r="EG974" s="319" t="s">
        <v>190</v>
      </c>
      <c r="EH974" s="319" t="s">
        <v>190</v>
      </c>
      <c r="EI974" s="319" t="s">
        <v>190</v>
      </c>
      <c r="EJ974" s="319" t="s">
        <v>190</v>
      </c>
      <c r="EK974" s="319" t="s">
        <v>190</v>
      </c>
      <c r="EL974" s="319" t="s">
        <v>428</v>
      </c>
      <c r="EM974" s="319" t="s">
        <v>190</v>
      </c>
      <c r="EN974" s="319" t="s">
        <v>190</v>
      </c>
      <c r="EO974" s="319" t="s">
        <v>190</v>
      </c>
      <c r="EP974" s="319" t="s">
        <v>190</v>
      </c>
      <c r="EQ974" s="319" t="s">
        <v>190</v>
      </c>
      <c r="ER974" s="319" t="s">
        <v>190</v>
      </c>
      <c r="ES974" s="319" t="s">
        <v>190</v>
      </c>
      <c r="ET974" s="319" t="s">
        <v>190</v>
      </c>
      <c r="EU974" s="319" t="s">
        <v>190</v>
      </c>
      <c r="EV974" s="319" t="s">
        <v>190</v>
      </c>
      <c r="EW974" s="319" t="s">
        <v>190</v>
      </c>
      <c r="EX974" s="319" t="s">
        <v>190</v>
      </c>
      <c r="EY974" s="319" t="s">
        <v>190</v>
      </c>
      <c r="EZ974" s="319" t="s">
        <v>190</v>
      </c>
      <c r="FA974" s="319" t="s">
        <v>428</v>
      </c>
      <c r="FB974" s="319" t="s">
        <v>190</v>
      </c>
      <c r="FC974" s="319" t="s">
        <v>190</v>
      </c>
      <c r="FD974" s="319" t="s">
        <v>190</v>
      </c>
      <c r="FE974" s="319" t="s">
        <v>190</v>
      </c>
      <c r="FF974" s="319" t="s">
        <v>190</v>
      </c>
      <c r="FG974" s="319" t="s">
        <v>190</v>
      </c>
      <c r="FH974" s="319" t="s">
        <v>190</v>
      </c>
      <c r="FI974" s="319" t="s">
        <v>428</v>
      </c>
      <c r="FJ974" s="319" t="s">
        <v>429</v>
      </c>
      <c r="FK974" s="319" t="s">
        <v>428</v>
      </c>
      <c r="FL974" s="319" t="s">
        <v>190</v>
      </c>
      <c r="FM974" s="319" t="s">
        <v>190</v>
      </c>
      <c r="FN974" s="319" t="s">
        <v>190</v>
      </c>
      <c r="FO974" s="319" t="s">
        <v>190</v>
      </c>
      <c r="FP974" s="319" t="s">
        <v>190</v>
      </c>
      <c r="FQ974" s="319" t="s">
        <v>190</v>
      </c>
      <c r="FR974" s="319" t="s">
        <v>190</v>
      </c>
      <c r="FS974" s="319" t="s">
        <v>428</v>
      </c>
      <c r="FT974" s="319" t="s">
        <v>190</v>
      </c>
      <c r="FU974" s="319" t="s">
        <v>190</v>
      </c>
      <c r="FV974" s="319" t="s">
        <v>190</v>
      </c>
      <c r="FW974" s="319" t="s">
        <v>190</v>
      </c>
      <c r="FX974" s="319" t="s">
        <v>190</v>
      </c>
      <c r="FY974" s="319" t="s">
        <v>190</v>
      </c>
      <c r="FZ974" s="319" t="s">
        <v>190</v>
      </c>
      <c r="GA974" s="319" t="s">
        <v>190</v>
      </c>
      <c r="GB974" s="319" t="s">
        <v>190</v>
      </c>
      <c r="GC974" s="319" t="s">
        <v>190</v>
      </c>
      <c r="GD974" s="319" t="s">
        <v>190</v>
      </c>
      <c r="GE974" s="319" t="s">
        <v>190</v>
      </c>
      <c r="GF974" s="319" t="s">
        <v>190</v>
      </c>
      <c r="GG974" s="319" t="s">
        <v>190</v>
      </c>
      <c r="GH974" s="319" t="s">
        <v>190</v>
      </c>
      <c r="GI974" s="319" t="s">
        <v>190</v>
      </c>
      <c r="GJ974" s="319" t="s">
        <v>190</v>
      </c>
      <c r="GK974" s="319" t="s">
        <v>190</v>
      </c>
      <c r="GL974" s="319" t="s">
        <v>190</v>
      </c>
      <c r="GM974" s="319" t="s">
        <v>190</v>
      </c>
      <c r="GN974" s="319" t="s">
        <v>190</v>
      </c>
      <c r="GO974" s="319" t="s">
        <v>190</v>
      </c>
      <c r="GP974" s="319" t="s">
        <v>190</v>
      </c>
      <c r="GQ974" s="319" t="s">
        <v>428</v>
      </c>
      <c r="GR974" s="319" t="s">
        <v>190</v>
      </c>
      <c r="GS974" s="319" t="s">
        <v>190</v>
      </c>
      <c r="GT974" s="319" t="s">
        <v>190</v>
      </c>
      <c r="GU974" s="319" t="s">
        <v>190</v>
      </c>
      <c r="GV974" s="319" t="s">
        <v>190</v>
      </c>
      <c r="GW974" s="319" t="s">
        <v>190</v>
      </c>
      <c r="GX974" s="319" t="s">
        <v>190</v>
      </c>
      <c r="GY974" s="319" t="s">
        <v>190</v>
      </c>
      <c r="GZ974" s="319" t="s">
        <v>428</v>
      </c>
      <c r="HA974" s="319" t="s">
        <v>190</v>
      </c>
      <c r="HB974" s="319" t="s">
        <v>428</v>
      </c>
      <c r="HC974" s="319" t="s">
        <v>190</v>
      </c>
      <c r="HD974" s="319" t="s">
        <v>190</v>
      </c>
      <c r="HE974" s="319" t="s">
        <v>190</v>
      </c>
      <c r="HF974" s="319" t="s">
        <v>190</v>
      </c>
      <c r="HG974" s="319" t="s">
        <v>190</v>
      </c>
      <c r="HH974" s="319" t="s">
        <v>190</v>
      </c>
      <c r="HI974" s="319" t="s">
        <v>190</v>
      </c>
      <c r="HJ974" s="319" t="s">
        <v>190</v>
      </c>
      <c r="HK974" s="319" t="s">
        <v>190</v>
      </c>
      <c r="HL974" s="319" t="s">
        <v>428</v>
      </c>
      <c r="HM974" s="319" t="s">
        <v>428</v>
      </c>
      <c r="HN974" s="319" t="s">
        <v>428</v>
      </c>
      <c r="HO974" s="319" t="s">
        <v>428</v>
      </c>
      <c r="HP974" s="319" t="s">
        <v>190</v>
      </c>
      <c r="HQ974" s="319" t="s">
        <v>190</v>
      </c>
      <c r="HR974" s="319" t="s">
        <v>190</v>
      </c>
      <c r="HS974" s="319" t="s">
        <v>190</v>
      </c>
      <c r="HT974" s="319" t="s">
        <v>190</v>
      </c>
      <c r="HU974" s="319" t="s">
        <v>190</v>
      </c>
      <c r="HV974" s="319" t="s">
        <v>190</v>
      </c>
      <c r="HW974" s="319" t="s">
        <v>190</v>
      </c>
      <c r="HX974" s="319" t="s">
        <v>190</v>
      </c>
      <c r="HY974" s="319" t="s">
        <v>190</v>
      </c>
      <c r="HZ974" s="319" t="s">
        <v>190</v>
      </c>
      <c r="IA974" s="319" t="s">
        <v>190</v>
      </c>
      <c r="IB974" s="319" t="s">
        <v>190</v>
      </c>
      <c r="IC974" s="319" t="s">
        <v>190</v>
      </c>
      <c r="ID974" s="319" t="s">
        <v>190</v>
      </c>
      <c r="IE974" s="319" t="s">
        <v>190</v>
      </c>
      <c r="IF974" s="319" t="s">
        <v>190</v>
      </c>
      <c r="IG974" s="319" t="s">
        <v>190</v>
      </c>
      <c r="IH974" s="319" t="s">
        <v>190</v>
      </c>
      <c r="II974" s="319" t="s">
        <v>190</v>
      </c>
      <c r="IJ974" s="319" t="s">
        <v>173</v>
      </c>
      <c r="IK974" s="319" t="s">
        <v>173</v>
      </c>
      <c r="IL974" s="319" t="s">
        <v>173</v>
      </c>
      <c r="IM974" s="319" t="s">
        <v>173</v>
      </c>
      <c r="IN974" s="319" t="s">
        <v>173</v>
      </c>
      <c r="IO974" s="319" t="s">
        <v>173</v>
      </c>
      <c r="IP974" s="319" t="s">
        <v>173</v>
      </c>
      <c r="IQ974" s="321" t="s">
        <v>173</v>
      </c>
      <c r="IR974" s="320" t="s">
        <v>173</v>
      </c>
      <c r="IS974" s="322" t="s">
        <v>173</v>
      </c>
      <c r="IT974" s="319" t="s">
        <v>173</v>
      </c>
    </row>
    <row r="975" spans="1:254" s="271" customFormat="1" x14ac:dyDescent="0.25">
      <c r="A975" s="318" t="str">
        <f>HYPERLINK("http://www.ofsted.gov.uk/inspection-reports/find-inspection-report/provider/ELS/145465 ","Ofsted School Webpage")</f>
        <v>Ofsted School Webpage</v>
      </c>
      <c r="B975" s="319">
        <v>145465</v>
      </c>
      <c r="C975" s="319">
        <v>9096009</v>
      </c>
      <c r="D975" s="319" t="s">
        <v>780</v>
      </c>
      <c r="E975" s="319" t="s">
        <v>167</v>
      </c>
      <c r="F975" s="319" t="s">
        <v>81</v>
      </c>
      <c r="G975" s="319" t="s">
        <v>81</v>
      </c>
      <c r="H975" s="319" t="s">
        <v>81</v>
      </c>
      <c r="I975" s="319" t="s">
        <v>78</v>
      </c>
      <c r="J975" s="319" t="s">
        <v>424</v>
      </c>
      <c r="K975" s="319" t="s">
        <v>431</v>
      </c>
      <c r="L975" s="319" t="s">
        <v>431</v>
      </c>
      <c r="M975" s="319" t="s">
        <v>585</v>
      </c>
      <c r="N975" s="319" t="s">
        <v>3570</v>
      </c>
      <c r="O975" s="319" t="s">
        <v>781</v>
      </c>
      <c r="P975" s="319" t="s">
        <v>173</v>
      </c>
      <c r="Q975" s="319" t="s">
        <v>2776</v>
      </c>
      <c r="R975" s="320">
        <v>10056437</v>
      </c>
      <c r="S975" s="321">
        <v>43445</v>
      </c>
      <c r="T975" s="321">
        <v>43447</v>
      </c>
      <c r="U975" s="321">
        <v>43481</v>
      </c>
      <c r="V975" s="319" t="s">
        <v>435</v>
      </c>
      <c r="W975" s="319" t="s">
        <v>2767</v>
      </c>
      <c r="X975" s="319">
        <v>3</v>
      </c>
      <c r="Y975" s="319" t="s">
        <v>173</v>
      </c>
      <c r="Z975" s="319" t="s">
        <v>173</v>
      </c>
      <c r="AA975" s="319" t="s">
        <v>173</v>
      </c>
      <c r="AB975" s="319">
        <v>3</v>
      </c>
      <c r="AC975" s="319" t="s">
        <v>169</v>
      </c>
      <c r="AD975" s="319" t="s">
        <v>173</v>
      </c>
      <c r="AE975" s="319" t="s">
        <v>173</v>
      </c>
      <c r="AF975" s="319" t="s">
        <v>427</v>
      </c>
      <c r="AG975" s="319" t="s">
        <v>171</v>
      </c>
      <c r="AH975" s="319" t="s">
        <v>190</v>
      </c>
      <c r="AI975" s="319" t="s">
        <v>190</v>
      </c>
      <c r="AJ975" s="319" t="s">
        <v>190</v>
      </c>
      <c r="AK975" s="319" t="s">
        <v>190</v>
      </c>
      <c r="AL975" s="319" t="s">
        <v>190</v>
      </c>
      <c r="AM975" s="319" t="s">
        <v>190</v>
      </c>
      <c r="AN975" s="319" t="s">
        <v>190</v>
      </c>
      <c r="AO975" s="319" t="s">
        <v>190</v>
      </c>
      <c r="AP975" s="319" t="s">
        <v>190</v>
      </c>
      <c r="AQ975" s="319" t="s">
        <v>190</v>
      </c>
      <c r="AR975" s="319" t="s">
        <v>190</v>
      </c>
      <c r="AS975" s="319" t="s">
        <v>190</v>
      </c>
      <c r="AT975" s="319" t="s">
        <v>190</v>
      </c>
      <c r="AU975" s="319" t="s">
        <v>190</v>
      </c>
      <c r="AV975" s="319" t="s">
        <v>190</v>
      </c>
      <c r="AW975" s="319" t="s">
        <v>190</v>
      </c>
      <c r="AX975" s="319" t="s">
        <v>428</v>
      </c>
      <c r="AY975" s="319" t="s">
        <v>190</v>
      </c>
      <c r="AZ975" s="319" t="s">
        <v>190</v>
      </c>
      <c r="BA975" s="319" t="s">
        <v>190</v>
      </c>
      <c r="BB975" s="319" t="s">
        <v>190</v>
      </c>
      <c r="BC975" s="319" t="s">
        <v>190</v>
      </c>
      <c r="BD975" s="319" t="s">
        <v>190</v>
      </c>
      <c r="BE975" s="319" t="s">
        <v>190</v>
      </c>
      <c r="BF975" s="319" t="s">
        <v>428</v>
      </c>
      <c r="BG975" s="319" t="s">
        <v>190</v>
      </c>
      <c r="BH975" s="319" t="s">
        <v>190</v>
      </c>
      <c r="BI975" s="319" t="s">
        <v>190</v>
      </c>
      <c r="BJ975" s="319" t="s">
        <v>190</v>
      </c>
      <c r="BK975" s="319" t="s">
        <v>190</v>
      </c>
      <c r="BL975" s="319" t="s">
        <v>190</v>
      </c>
      <c r="BM975" s="319" t="s">
        <v>190</v>
      </c>
      <c r="BN975" s="319" t="s">
        <v>190</v>
      </c>
      <c r="BO975" s="319" t="s">
        <v>190</v>
      </c>
      <c r="BP975" s="319" t="s">
        <v>190</v>
      </c>
      <c r="BQ975" s="319" t="s">
        <v>190</v>
      </c>
      <c r="BR975" s="319" t="s">
        <v>190</v>
      </c>
      <c r="BS975" s="319" t="s">
        <v>190</v>
      </c>
      <c r="BT975" s="319" t="s">
        <v>190</v>
      </c>
      <c r="BU975" s="319" t="s">
        <v>190</v>
      </c>
      <c r="BV975" s="319" t="s">
        <v>190</v>
      </c>
      <c r="BW975" s="319" t="s">
        <v>190</v>
      </c>
      <c r="BX975" s="319" t="s">
        <v>190</v>
      </c>
      <c r="BY975" s="319" t="s">
        <v>190</v>
      </c>
      <c r="BZ975" s="319" t="s">
        <v>190</v>
      </c>
      <c r="CA975" s="319" t="s">
        <v>190</v>
      </c>
      <c r="CB975" s="319" t="s">
        <v>190</v>
      </c>
      <c r="CC975" s="319" t="s">
        <v>190</v>
      </c>
      <c r="CD975" s="319" t="s">
        <v>190</v>
      </c>
      <c r="CE975" s="319" t="s">
        <v>190</v>
      </c>
      <c r="CF975" s="319" t="s">
        <v>190</v>
      </c>
      <c r="CG975" s="319" t="s">
        <v>190</v>
      </c>
      <c r="CH975" s="319" t="s">
        <v>190</v>
      </c>
      <c r="CI975" s="319" t="s">
        <v>190</v>
      </c>
      <c r="CJ975" s="319" t="s">
        <v>190</v>
      </c>
      <c r="CK975" s="319" t="s">
        <v>190</v>
      </c>
      <c r="CL975" s="319" t="s">
        <v>190</v>
      </c>
      <c r="CM975" s="319" t="s">
        <v>190</v>
      </c>
      <c r="CN975" s="319" t="s">
        <v>428</v>
      </c>
      <c r="CO975" s="319" t="s">
        <v>428</v>
      </c>
      <c r="CP975" s="319" t="s">
        <v>428</v>
      </c>
      <c r="CQ975" s="319" t="s">
        <v>190</v>
      </c>
      <c r="CR975" s="319" t="s">
        <v>190</v>
      </c>
      <c r="CS975" s="319" t="s">
        <v>190</v>
      </c>
      <c r="CT975" s="319" t="s">
        <v>190</v>
      </c>
      <c r="CU975" s="319" t="s">
        <v>190</v>
      </c>
      <c r="CV975" s="319" t="s">
        <v>190</v>
      </c>
      <c r="CW975" s="319" t="s">
        <v>190</v>
      </c>
      <c r="CX975" s="319" t="s">
        <v>190</v>
      </c>
      <c r="CY975" s="319" t="s">
        <v>190</v>
      </c>
      <c r="CZ975" s="319" t="s">
        <v>190</v>
      </c>
      <c r="DA975" s="319" t="s">
        <v>190</v>
      </c>
      <c r="DB975" s="319" t="s">
        <v>190</v>
      </c>
      <c r="DC975" s="319" t="s">
        <v>190</v>
      </c>
      <c r="DD975" s="319" t="s">
        <v>190</v>
      </c>
      <c r="DE975" s="319" t="s">
        <v>190</v>
      </c>
      <c r="DF975" s="319" t="s">
        <v>190</v>
      </c>
      <c r="DG975" s="319" t="s">
        <v>190</v>
      </c>
      <c r="DH975" s="319" t="s">
        <v>190</v>
      </c>
      <c r="DI975" s="319" t="s">
        <v>190</v>
      </c>
      <c r="DJ975" s="319" t="s">
        <v>190</v>
      </c>
      <c r="DK975" s="319" t="s">
        <v>190</v>
      </c>
      <c r="DL975" s="319" t="s">
        <v>190</v>
      </c>
      <c r="DM975" s="319" t="s">
        <v>428</v>
      </c>
      <c r="DN975" s="319" t="s">
        <v>428</v>
      </c>
      <c r="DO975" s="319" t="s">
        <v>190</v>
      </c>
      <c r="DP975" s="319" t="s">
        <v>428</v>
      </c>
      <c r="DQ975" s="319" t="s">
        <v>428</v>
      </c>
      <c r="DR975" s="319" t="s">
        <v>428</v>
      </c>
      <c r="DS975" s="319" t="s">
        <v>428</v>
      </c>
      <c r="DT975" s="319" t="s">
        <v>428</v>
      </c>
      <c r="DU975" s="319" t="s">
        <v>428</v>
      </c>
      <c r="DV975" s="319" t="s">
        <v>173</v>
      </c>
      <c r="DW975" s="319" t="s">
        <v>428</v>
      </c>
      <c r="DX975" s="319" t="s">
        <v>428</v>
      </c>
      <c r="DY975" s="319" t="s">
        <v>428</v>
      </c>
      <c r="DZ975" s="319" t="s">
        <v>428</v>
      </c>
      <c r="EA975" s="319" t="s">
        <v>428</v>
      </c>
      <c r="EB975" s="319" t="s">
        <v>428</v>
      </c>
      <c r="EC975" s="319" t="s">
        <v>428</v>
      </c>
      <c r="ED975" s="319" t="s">
        <v>190</v>
      </c>
      <c r="EE975" s="319" t="s">
        <v>190</v>
      </c>
      <c r="EF975" s="319" t="s">
        <v>190</v>
      </c>
      <c r="EG975" s="319" t="s">
        <v>190</v>
      </c>
      <c r="EH975" s="319" t="s">
        <v>190</v>
      </c>
      <c r="EI975" s="319" t="s">
        <v>190</v>
      </c>
      <c r="EJ975" s="319" t="s">
        <v>190</v>
      </c>
      <c r="EK975" s="319" t="s">
        <v>190</v>
      </c>
      <c r="EL975" s="319" t="s">
        <v>428</v>
      </c>
      <c r="EM975" s="319" t="s">
        <v>190</v>
      </c>
      <c r="EN975" s="319" t="s">
        <v>190</v>
      </c>
      <c r="EO975" s="319" t="s">
        <v>190</v>
      </c>
      <c r="EP975" s="319" t="s">
        <v>190</v>
      </c>
      <c r="EQ975" s="319" t="s">
        <v>190</v>
      </c>
      <c r="ER975" s="319" t="s">
        <v>190</v>
      </c>
      <c r="ES975" s="319" t="s">
        <v>190</v>
      </c>
      <c r="ET975" s="319" t="s">
        <v>190</v>
      </c>
      <c r="EU975" s="319" t="s">
        <v>190</v>
      </c>
      <c r="EV975" s="319" t="s">
        <v>190</v>
      </c>
      <c r="EW975" s="319" t="s">
        <v>190</v>
      </c>
      <c r="EX975" s="319" t="s">
        <v>428</v>
      </c>
      <c r="EY975" s="319" t="s">
        <v>428</v>
      </c>
      <c r="EZ975" s="319" t="s">
        <v>190</v>
      </c>
      <c r="FA975" s="319" t="s">
        <v>190</v>
      </c>
      <c r="FB975" s="319" t="s">
        <v>428</v>
      </c>
      <c r="FC975" s="319" t="s">
        <v>428</v>
      </c>
      <c r="FD975" s="319" t="s">
        <v>428</v>
      </c>
      <c r="FE975" s="319" t="s">
        <v>428</v>
      </c>
      <c r="FF975" s="319" t="s">
        <v>428</v>
      </c>
      <c r="FG975" s="319" t="s">
        <v>428</v>
      </c>
      <c r="FH975" s="319" t="s">
        <v>190</v>
      </c>
      <c r="FI975" s="319" t="s">
        <v>190</v>
      </c>
      <c r="FJ975" s="319" t="s">
        <v>190</v>
      </c>
      <c r="FK975" s="319" t="s">
        <v>190</v>
      </c>
      <c r="FL975" s="319" t="s">
        <v>190</v>
      </c>
      <c r="FM975" s="319" t="s">
        <v>190</v>
      </c>
      <c r="FN975" s="319" t="s">
        <v>190</v>
      </c>
      <c r="FO975" s="319" t="s">
        <v>190</v>
      </c>
      <c r="FP975" s="319" t="s">
        <v>190</v>
      </c>
      <c r="FQ975" s="319" t="s">
        <v>190</v>
      </c>
      <c r="FR975" s="319" t="s">
        <v>190</v>
      </c>
      <c r="FS975" s="319" t="s">
        <v>428</v>
      </c>
      <c r="FT975" s="319" t="s">
        <v>190</v>
      </c>
      <c r="FU975" s="319" t="s">
        <v>190</v>
      </c>
      <c r="FV975" s="319" t="s">
        <v>190</v>
      </c>
      <c r="FW975" s="319" t="s">
        <v>190</v>
      </c>
      <c r="FX975" s="319" t="s">
        <v>190</v>
      </c>
      <c r="FY975" s="319" t="s">
        <v>190</v>
      </c>
      <c r="FZ975" s="319" t="s">
        <v>190</v>
      </c>
      <c r="GA975" s="319" t="s">
        <v>190</v>
      </c>
      <c r="GB975" s="319" t="s">
        <v>190</v>
      </c>
      <c r="GC975" s="319" t="s">
        <v>190</v>
      </c>
      <c r="GD975" s="319" t="s">
        <v>190</v>
      </c>
      <c r="GE975" s="319" t="s">
        <v>190</v>
      </c>
      <c r="GF975" s="319" t="s">
        <v>190</v>
      </c>
      <c r="GG975" s="319" t="s">
        <v>190</v>
      </c>
      <c r="GH975" s="319" t="s">
        <v>190</v>
      </c>
      <c r="GI975" s="319" t="s">
        <v>190</v>
      </c>
      <c r="GJ975" s="319" t="s">
        <v>190</v>
      </c>
      <c r="GK975" s="319" t="s">
        <v>428</v>
      </c>
      <c r="GL975" s="319" t="s">
        <v>190</v>
      </c>
      <c r="GM975" s="319" t="s">
        <v>190</v>
      </c>
      <c r="GN975" s="319" t="s">
        <v>190</v>
      </c>
      <c r="GO975" s="319" t="s">
        <v>190</v>
      </c>
      <c r="GP975" s="319" t="s">
        <v>428</v>
      </c>
      <c r="GQ975" s="319" t="s">
        <v>428</v>
      </c>
      <c r="GR975" s="319" t="s">
        <v>190</v>
      </c>
      <c r="GS975" s="319" t="s">
        <v>190</v>
      </c>
      <c r="GT975" s="319" t="s">
        <v>190</v>
      </c>
      <c r="GU975" s="319" t="s">
        <v>190</v>
      </c>
      <c r="GV975" s="319" t="s">
        <v>428</v>
      </c>
      <c r="GW975" s="319" t="s">
        <v>190</v>
      </c>
      <c r="GX975" s="319" t="s">
        <v>190</v>
      </c>
      <c r="GY975" s="319" t="s">
        <v>190</v>
      </c>
      <c r="GZ975" s="319" t="s">
        <v>428</v>
      </c>
      <c r="HA975" s="319" t="s">
        <v>190</v>
      </c>
      <c r="HB975" s="319" t="s">
        <v>428</v>
      </c>
      <c r="HC975" s="319" t="s">
        <v>190</v>
      </c>
      <c r="HD975" s="319" t="s">
        <v>190</v>
      </c>
      <c r="HE975" s="319" t="s">
        <v>190</v>
      </c>
      <c r="HF975" s="319" t="s">
        <v>190</v>
      </c>
      <c r="HG975" s="319" t="s">
        <v>190</v>
      </c>
      <c r="HH975" s="319" t="s">
        <v>190</v>
      </c>
      <c r="HI975" s="319" t="s">
        <v>428</v>
      </c>
      <c r="HJ975" s="319" t="s">
        <v>190</v>
      </c>
      <c r="HK975" s="319" t="s">
        <v>428</v>
      </c>
      <c r="HL975" s="319" t="s">
        <v>428</v>
      </c>
      <c r="HM975" s="319" t="s">
        <v>428</v>
      </c>
      <c r="HN975" s="319" t="s">
        <v>428</v>
      </c>
      <c r="HO975" s="319" t="s">
        <v>428</v>
      </c>
      <c r="HP975" s="319" t="s">
        <v>190</v>
      </c>
      <c r="HQ975" s="319" t="s">
        <v>190</v>
      </c>
      <c r="HR975" s="319" t="s">
        <v>190</v>
      </c>
      <c r="HS975" s="319" t="s">
        <v>190</v>
      </c>
      <c r="HT975" s="319" t="s">
        <v>190</v>
      </c>
      <c r="HU975" s="319" t="s">
        <v>190</v>
      </c>
      <c r="HV975" s="319" t="s">
        <v>190</v>
      </c>
      <c r="HW975" s="319" t="s">
        <v>190</v>
      </c>
      <c r="HX975" s="319" t="s">
        <v>190</v>
      </c>
      <c r="HY975" s="319" t="s">
        <v>190</v>
      </c>
      <c r="HZ975" s="319" t="s">
        <v>190</v>
      </c>
      <c r="IA975" s="319" t="s">
        <v>190</v>
      </c>
      <c r="IB975" s="319" t="s">
        <v>190</v>
      </c>
      <c r="IC975" s="319" t="s">
        <v>190</v>
      </c>
      <c r="ID975" s="319" t="s">
        <v>190</v>
      </c>
      <c r="IE975" s="319" t="s">
        <v>190</v>
      </c>
      <c r="IF975" s="319" t="s">
        <v>190</v>
      </c>
      <c r="IG975" s="319" t="s">
        <v>190</v>
      </c>
      <c r="IH975" s="319" t="s">
        <v>190</v>
      </c>
      <c r="II975" s="319" t="s">
        <v>190</v>
      </c>
      <c r="IJ975" s="319" t="s">
        <v>173</v>
      </c>
      <c r="IK975" s="319" t="s">
        <v>173</v>
      </c>
      <c r="IL975" s="319" t="s">
        <v>173</v>
      </c>
      <c r="IM975" s="319" t="s">
        <v>173</v>
      </c>
      <c r="IN975" s="319" t="s">
        <v>173</v>
      </c>
      <c r="IO975" s="319" t="s">
        <v>173</v>
      </c>
      <c r="IP975" s="319" t="s">
        <v>173</v>
      </c>
      <c r="IQ975" s="321" t="s">
        <v>173</v>
      </c>
      <c r="IR975" s="320" t="s">
        <v>173</v>
      </c>
      <c r="IS975" s="322" t="s">
        <v>173</v>
      </c>
      <c r="IT975" s="319" t="s">
        <v>173</v>
      </c>
    </row>
    <row r="976" spans="1:254" s="271" customFormat="1" x14ac:dyDescent="0.25">
      <c r="A976" s="318" t="str">
        <f>HYPERLINK("http://www.ofsted.gov.uk/inspection-reports/find-inspection-report/provider/ELS/145468 ","Ofsted School Webpage")</f>
        <v>Ofsted School Webpage</v>
      </c>
      <c r="B976" s="319">
        <v>145468</v>
      </c>
      <c r="C976" s="319">
        <v>8936034</v>
      </c>
      <c r="D976" s="319" t="s">
        <v>602</v>
      </c>
      <c r="E976" s="319" t="s">
        <v>168</v>
      </c>
      <c r="F976" s="319" t="s">
        <v>81</v>
      </c>
      <c r="G976" s="319" t="s">
        <v>81</v>
      </c>
      <c r="H976" s="319" t="s">
        <v>81</v>
      </c>
      <c r="I976" s="319" t="s">
        <v>78</v>
      </c>
      <c r="J976" s="319" t="s">
        <v>424</v>
      </c>
      <c r="K976" s="319" t="s">
        <v>437</v>
      </c>
      <c r="L976" s="319" t="s">
        <v>437</v>
      </c>
      <c r="M976" s="319" t="s">
        <v>587</v>
      </c>
      <c r="N976" s="319" t="s">
        <v>2784</v>
      </c>
      <c r="O976" s="319" t="s">
        <v>539</v>
      </c>
      <c r="P976" s="319" t="s">
        <v>173</v>
      </c>
      <c r="Q976" s="319" t="s">
        <v>429</v>
      </c>
      <c r="R976" s="320">
        <v>10056211</v>
      </c>
      <c r="S976" s="321">
        <v>43410</v>
      </c>
      <c r="T976" s="321">
        <v>43411</v>
      </c>
      <c r="U976" s="321">
        <v>43437</v>
      </c>
      <c r="V976" s="319" t="s">
        <v>435</v>
      </c>
      <c r="W976" s="319" t="s">
        <v>2767</v>
      </c>
      <c r="X976" s="319">
        <v>2</v>
      </c>
      <c r="Y976" s="319" t="s">
        <v>173</v>
      </c>
      <c r="Z976" s="319" t="s">
        <v>173</v>
      </c>
      <c r="AA976" s="319" t="s">
        <v>173</v>
      </c>
      <c r="AB976" s="319">
        <v>2</v>
      </c>
      <c r="AC976" s="319" t="s">
        <v>169</v>
      </c>
      <c r="AD976" s="319" t="s">
        <v>173</v>
      </c>
      <c r="AE976" s="319" t="s">
        <v>173</v>
      </c>
      <c r="AF976" s="319" t="s">
        <v>427</v>
      </c>
      <c r="AG976" s="319" t="s">
        <v>171</v>
      </c>
      <c r="AH976" s="319" t="s">
        <v>190</v>
      </c>
      <c r="AI976" s="319" t="s">
        <v>190</v>
      </c>
      <c r="AJ976" s="319" t="s">
        <v>190</v>
      </c>
      <c r="AK976" s="319" t="s">
        <v>190</v>
      </c>
      <c r="AL976" s="319" t="s">
        <v>190</v>
      </c>
      <c r="AM976" s="319" t="s">
        <v>190</v>
      </c>
      <c r="AN976" s="319" t="s">
        <v>190</v>
      </c>
      <c r="AO976" s="319" t="s">
        <v>190</v>
      </c>
      <c r="AP976" s="319" t="s">
        <v>190</v>
      </c>
      <c r="AQ976" s="319" t="s">
        <v>190</v>
      </c>
      <c r="AR976" s="319" t="s">
        <v>190</v>
      </c>
      <c r="AS976" s="319" t="s">
        <v>190</v>
      </c>
      <c r="AT976" s="319" t="s">
        <v>190</v>
      </c>
      <c r="AU976" s="319" t="s">
        <v>190</v>
      </c>
      <c r="AV976" s="319" t="s">
        <v>190</v>
      </c>
      <c r="AW976" s="319" t="s">
        <v>190</v>
      </c>
      <c r="AX976" s="319" t="s">
        <v>428</v>
      </c>
      <c r="AY976" s="319" t="s">
        <v>190</v>
      </c>
      <c r="AZ976" s="319" t="s">
        <v>190</v>
      </c>
      <c r="BA976" s="319" t="s">
        <v>190</v>
      </c>
      <c r="BB976" s="319" t="s">
        <v>190</v>
      </c>
      <c r="BC976" s="319" t="s">
        <v>190</v>
      </c>
      <c r="BD976" s="319" t="s">
        <v>190</v>
      </c>
      <c r="BE976" s="319" t="s">
        <v>190</v>
      </c>
      <c r="BF976" s="319" t="s">
        <v>428</v>
      </c>
      <c r="BG976" s="319" t="s">
        <v>428</v>
      </c>
      <c r="BH976" s="319" t="s">
        <v>190</v>
      </c>
      <c r="BI976" s="319" t="s">
        <v>190</v>
      </c>
      <c r="BJ976" s="319" t="s">
        <v>190</v>
      </c>
      <c r="BK976" s="319" t="s">
        <v>190</v>
      </c>
      <c r="BL976" s="319" t="s">
        <v>190</v>
      </c>
      <c r="BM976" s="319" t="s">
        <v>190</v>
      </c>
      <c r="BN976" s="319" t="s">
        <v>190</v>
      </c>
      <c r="BO976" s="319" t="s">
        <v>190</v>
      </c>
      <c r="BP976" s="319" t="s">
        <v>190</v>
      </c>
      <c r="BQ976" s="319" t="s">
        <v>190</v>
      </c>
      <c r="BR976" s="319" t="s">
        <v>190</v>
      </c>
      <c r="BS976" s="319" t="s">
        <v>190</v>
      </c>
      <c r="BT976" s="319" t="s">
        <v>190</v>
      </c>
      <c r="BU976" s="319" t="s">
        <v>190</v>
      </c>
      <c r="BV976" s="319" t="s">
        <v>190</v>
      </c>
      <c r="BW976" s="319" t="s">
        <v>190</v>
      </c>
      <c r="BX976" s="319" t="s">
        <v>190</v>
      </c>
      <c r="BY976" s="319" t="s">
        <v>190</v>
      </c>
      <c r="BZ976" s="319" t="s">
        <v>190</v>
      </c>
      <c r="CA976" s="319" t="s">
        <v>190</v>
      </c>
      <c r="CB976" s="319" t="s">
        <v>190</v>
      </c>
      <c r="CC976" s="319" t="s">
        <v>190</v>
      </c>
      <c r="CD976" s="319" t="s">
        <v>190</v>
      </c>
      <c r="CE976" s="319" t="s">
        <v>190</v>
      </c>
      <c r="CF976" s="319" t="s">
        <v>190</v>
      </c>
      <c r="CG976" s="319" t="s">
        <v>190</v>
      </c>
      <c r="CH976" s="319" t="s">
        <v>190</v>
      </c>
      <c r="CI976" s="319" t="s">
        <v>190</v>
      </c>
      <c r="CJ976" s="319" t="s">
        <v>190</v>
      </c>
      <c r="CK976" s="319" t="s">
        <v>190</v>
      </c>
      <c r="CL976" s="319" t="s">
        <v>190</v>
      </c>
      <c r="CM976" s="319" t="s">
        <v>190</v>
      </c>
      <c r="CN976" s="319" t="s">
        <v>428</v>
      </c>
      <c r="CO976" s="319" t="s">
        <v>428</v>
      </c>
      <c r="CP976" s="319" t="s">
        <v>428</v>
      </c>
      <c r="CQ976" s="319" t="s">
        <v>190</v>
      </c>
      <c r="CR976" s="319" t="s">
        <v>190</v>
      </c>
      <c r="CS976" s="319" t="s">
        <v>190</v>
      </c>
      <c r="CT976" s="319" t="s">
        <v>190</v>
      </c>
      <c r="CU976" s="319" t="s">
        <v>190</v>
      </c>
      <c r="CV976" s="319" t="s">
        <v>190</v>
      </c>
      <c r="CW976" s="319" t="s">
        <v>190</v>
      </c>
      <c r="CX976" s="319" t="s">
        <v>190</v>
      </c>
      <c r="CY976" s="319" t="s">
        <v>190</v>
      </c>
      <c r="CZ976" s="319" t="s">
        <v>190</v>
      </c>
      <c r="DA976" s="319" t="s">
        <v>190</v>
      </c>
      <c r="DB976" s="319" t="s">
        <v>190</v>
      </c>
      <c r="DC976" s="319" t="s">
        <v>190</v>
      </c>
      <c r="DD976" s="319" t="s">
        <v>190</v>
      </c>
      <c r="DE976" s="319" t="s">
        <v>190</v>
      </c>
      <c r="DF976" s="319" t="s">
        <v>190</v>
      </c>
      <c r="DG976" s="319" t="s">
        <v>190</v>
      </c>
      <c r="DH976" s="319" t="s">
        <v>190</v>
      </c>
      <c r="DI976" s="319" t="s">
        <v>190</v>
      </c>
      <c r="DJ976" s="319" t="s">
        <v>190</v>
      </c>
      <c r="DK976" s="319" t="s">
        <v>190</v>
      </c>
      <c r="DL976" s="319" t="s">
        <v>190</v>
      </c>
      <c r="DM976" s="319" t="s">
        <v>190</v>
      </c>
      <c r="DN976" s="319" t="s">
        <v>428</v>
      </c>
      <c r="DO976" s="319" t="s">
        <v>190</v>
      </c>
      <c r="DP976" s="319" t="s">
        <v>428</v>
      </c>
      <c r="DQ976" s="319" t="s">
        <v>428</v>
      </c>
      <c r="DR976" s="319" t="s">
        <v>428</v>
      </c>
      <c r="DS976" s="319" t="s">
        <v>428</v>
      </c>
      <c r="DT976" s="319" t="s">
        <v>428</v>
      </c>
      <c r="DU976" s="319" t="s">
        <v>428</v>
      </c>
      <c r="DV976" s="319" t="s">
        <v>173</v>
      </c>
      <c r="DW976" s="319" t="s">
        <v>428</v>
      </c>
      <c r="DX976" s="319" t="s">
        <v>428</v>
      </c>
      <c r="DY976" s="319" t="s">
        <v>428</v>
      </c>
      <c r="DZ976" s="319" t="s">
        <v>428</v>
      </c>
      <c r="EA976" s="319" t="s">
        <v>428</v>
      </c>
      <c r="EB976" s="319" t="s">
        <v>428</v>
      </c>
      <c r="EC976" s="319" t="s">
        <v>428</v>
      </c>
      <c r="ED976" s="319" t="s">
        <v>428</v>
      </c>
      <c r="EE976" s="319" t="s">
        <v>190</v>
      </c>
      <c r="EF976" s="319" t="s">
        <v>190</v>
      </c>
      <c r="EG976" s="319" t="s">
        <v>190</v>
      </c>
      <c r="EH976" s="319" t="s">
        <v>190</v>
      </c>
      <c r="EI976" s="319" t="s">
        <v>190</v>
      </c>
      <c r="EJ976" s="319" t="s">
        <v>190</v>
      </c>
      <c r="EK976" s="319" t="s">
        <v>190</v>
      </c>
      <c r="EL976" s="319" t="s">
        <v>190</v>
      </c>
      <c r="EM976" s="319" t="s">
        <v>190</v>
      </c>
      <c r="EN976" s="319" t="s">
        <v>190</v>
      </c>
      <c r="EO976" s="319" t="s">
        <v>190</v>
      </c>
      <c r="EP976" s="319" t="s">
        <v>190</v>
      </c>
      <c r="EQ976" s="319" t="s">
        <v>190</v>
      </c>
      <c r="ER976" s="319" t="s">
        <v>190</v>
      </c>
      <c r="ES976" s="319" t="s">
        <v>190</v>
      </c>
      <c r="ET976" s="319" t="s">
        <v>190</v>
      </c>
      <c r="EU976" s="319" t="s">
        <v>190</v>
      </c>
      <c r="EV976" s="319" t="s">
        <v>190</v>
      </c>
      <c r="EW976" s="319" t="s">
        <v>190</v>
      </c>
      <c r="EX976" s="319" t="s">
        <v>190</v>
      </c>
      <c r="EY976" s="319" t="s">
        <v>190</v>
      </c>
      <c r="EZ976" s="319" t="s">
        <v>190</v>
      </c>
      <c r="FA976" s="319" t="s">
        <v>190</v>
      </c>
      <c r="FB976" s="319" t="s">
        <v>190</v>
      </c>
      <c r="FC976" s="319" t="s">
        <v>190</v>
      </c>
      <c r="FD976" s="319" t="s">
        <v>190</v>
      </c>
      <c r="FE976" s="319" t="s">
        <v>190</v>
      </c>
      <c r="FF976" s="319" t="s">
        <v>190</v>
      </c>
      <c r="FG976" s="319" t="s">
        <v>190</v>
      </c>
      <c r="FH976" s="319" t="s">
        <v>190</v>
      </c>
      <c r="FI976" s="319" t="s">
        <v>190</v>
      </c>
      <c r="FJ976" s="319" t="s">
        <v>190</v>
      </c>
      <c r="FK976" s="319" t="s">
        <v>190</v>
      </c>
      <c r="FL976" s="319" t="s">
        <v>190</v>
      </c>
      <c r="FM976" s="319" t="s">
        <v>190</v>
      </c>
      <c r="FN976" s="319" t="s">
        <v>190</v>
      </c>
      <c r="FO976" s="319" t="s">
        <v>190</v>
      </c>
      <c r="FP976" s="319" t="s">
        <v>190</v>
      </c>
      <c r="FQ976" s="319" t="s">
        <v>190</v>
      </c>
      <c r="FR976" s="319" t="s">
        <v>190</v>
      </c>
      <c r="FS976" s="319" t="s">
        <v>428</v>
      </c>
      <c r="FT976" s="319" t="s">
        <v>190</v>
      </c>
      <c r="FU976" s="319" t="s">
        <v>190</v>
      </c>
      <c r="FV976" s="319" t="s">
        <v>190</v>
      </c>
      <c r="FW976" s="319" t="s">
        <v>190</v>
      </c>
      <c r="FX976" s="319" t="s">
        <v>190</v>
      </c>
      <c r="FY976" s="319" t="s">
        <v>190</v>
      </c>
      <c r="FZ976" s="319" t="s">
        <v>190</v>
      </c>
      <c r="GA976" s="319" t="s">
        <v>190</v>
      </c>
      <c r="GB976" s="319" t="s">
        <v>190</v>
      </c>
      <c r="GC976" s="319" t="s">
        <v>190</v>
      </c>
      <c r="GD976" s="319" t="s">
        <v>190</v>
      </c>
      <c r="GE976" s="319" t="s">
        <v>190</v>
      </c>
      <c r="GF976" s="319" t="s">
        <v>190</v>
      </c>
      <c r="GG976" s="319" t="s">
        <v>190</v>
      </c>
      <c r="GH976" s="319" t="s">
        <v>190</v>
      </c>
      <c r="GI976" s="319" t="s">
        <v>190</v>
      </c>
      <c r="GJ976" s="319" t="s">
        <v>190</v>
      </c>
      <c r="GK976" s="319" t="s">
        <v>428</v>
      </c>
      <c r="GL976" s="319" t="s">
        <v>190</v>
      </c>
      <c r="GM976" s="319" t="s">
        <v>190</v>
      </c>
      <c r="GN976" s="319" t="s">
        <v>190</v>
      </c>
      <c r="GO976" s="319" t="s">
        <v>190</v>
      </c>
      <c r="GP976" s="319" t="s">
        <v>190</v>
      </c>
      <c r="GQ976" s="319" t="s">
        <v>428</v>
      </c>
      <c r="GR976" s="319" t="s">
        <v>190</v>
      </c>
      <c r="GS976" s="319" t="s">
        <v>190</v>
      </c>
      <c r="GT976" s="319" t="s">
        <v>190</v>
      </c>
      <c r="GU976" s="319" t="s">
        <v>190</v>
      </c>
      <c r="GV976" s="319" t="s">
        <v>428</v>
      </c>
      <c r="GW976" s="319" t="s">
        <v>190</v>
      </c>
      <c r="GX976" s="319" t="s">
        <v>190</v>
      </c>
      <c r="GY976" s="319" t="s">
        <v>190</v>
      </c>
      <c r="GZ976" s="319" t="s">
        <v>190</v>
      </c>
      <c r="HA976" s="319" t="s">
        <v>190</v>
      </c>
      <c r="HB976" s="319" t="s">
        <v>190</v>
      </c>
      <c r="HC976" s="319" t="s">
        <v>190</v>
      </c>
      <c r="HD976" s="319" t="s">
        <v>190</v>
      </c>
      <c r="HE976" s="319" t="s">
        <v>190</v>
      </c>
      <c r="HF976" s="319" t="s">
        <v>190</v>
      </c>
      <c r="HG976" s="319" t="s">
        <v>190</v>
      </c>
      <c r="HH976" s="319" t="s">
        <v>190</v>
      </c>
      <c r="HI976" s="319" t="s">
        <v>190</v>
      </c>
      <c r="HJ976" s="319" t="s">
        <v>190</v>
      </c>
      <c r="HK976" s="319" t="s">
        <v>190</v>
      </c>
      <c r="HL976" s="319" t="s">
        <v>190</v>
      </c>
      <c r="HM976" s="319" t="s">
        <v>428</v>
      </c>
      <c r="HN976" s="319" t="s">
        <v>428</v>
      </c>
      <c r="HO976" s="319" t="s">
        <v>428</v>
      </c>
      <c r="HP976" s="319" t="s">
        <v>190</v>
      </c>
      <c r="HQ976" s="319" t="s">
        <v>190</v>
      </c>
      <c r="HR976" s="319" t="s">
        <v>190</v>
      </c>
      <c r="HS976" s="319" t="s">
        <v>190</v>
      </c>
      <c r="HT976" s="319" t="s">
        <v>190</v>
      </c>
      <c r="HU976" s="319" t="s">
        <v>190</v>
      </c>
      <c r="HV976" s="319" t="s">
        <v>190</v>
      </c>
      <c r="HW976" s="319" t="s">
        <v>190</v>
      </c>
      <c r="HX976" s="319" t="s">
        <v>190</v>
      </c>
      <c r="HY976" s="319" t="s">
        <v>190</v>
      </c>
      <c r="HZ976" s="319" t="s">
        <v>190</v>
      </c>
      <c r="IA976" s="319" t="s">
        <v>190</v>
      </c>
      <c r="IB976" s="319" t="s">
        <v>190</v>
      </c>
      <c r="IC976" s="319" t="s">
        <v>190</v>
      </c>
      <c r="ID976" s="319" t="s">
        <v>190</v>
      </c>
      <c r="IE976" s="319" t="s">
        <v>190</v>
      </c>
      <c r="IF976" s="319" t="s">
        <v>190</v>
      </c>
      <c r="IG976" s="319" t="s">
        <v>190</v>
      </c>
      <c r="IH976" s="319" t="s">
        <v>190</v>
      </c>
      <c r="II976" s="319" t="s">
        <v>190</v>
      </c>
      <c r="IJ976" s="319" t="s">
        <v>173</v>
      </c>
      <c r="IK976" s="319" t="s">
        <v>173</v>
      </c>
      <c r="IL976" s="319" t="s">
        <v>173</v>
      </c>
      <c r="IM976" s="319" t="s">
        <v>173</v>
      </c>
      <c r="IN976" s="319" t="s">
        <v>173</v>
      </c>
      <c r="IO976" s="319" t="s">
        <v>173</v>
      </c>
      <c r="IP976" s="319" t="s">
        <v>173</v>
      </c>
      <c r="IQ976" s="321" t="s">
        <v>173</v>
      </c>
      <c r="IR976" s="320" t="s">
        <v>173</v>
      </c>
      <c r="IS976" s="322" t="s">
        <v>173</v>
      </c>
      <c r="IT976" s="319" t="s">
        <v>173</v>
      </c>
    </row>
    <row r="977" spans="1:254" s="271" customFormat="1" x14ac:dyDescent="0.25">
      <c r="A977" s="318" t="str">
        <f>HYPERLINK("http://www.ofsted.gov.uk/inspection-reports/find-inspection-report/provider/ELS/145470 ","Ofsted School Webpage")</f>
        <v>Ofsted School Webpage</v>
      </c>
      <c r="B977" s="319">
        <v>145470</v>
      </c>
      <c r="C977" s="319">
        <v>9376015</v>
      </c>
      <c r="D977" s="319" t="s">
        <v>512</v>
      </c>
      <c r="E977" s="319" t="s">
        <v>168</v>
      </c>
      <c r="F977" s="319" t="s">
        <v>81</v>
      </c>
      <c r="G977" s="319" t="s">
        <v>81</v>
      </c>
      <c r="H977" s="319" t="s">
        <v>81</v>
      </c>
      <c r="I977" s="319" t="s">
        <v>78</v>
      </c>
      <c r="J977" s="319" t="s">
        <v>424</v>
      </c>
      <c r="K977" s="319" t="s">
        <v>437</v>
      </c>
      <c r="L977" s="319" t="s">
        <v>437</v>
      </c>
      <c r="M977" s="319" t="s">
        <v>438</v>
      </c>
      <c r="N977" s="319" t="s">
        <v>3571</v>
      </c>
      <c r="O977" s="319" t="s">
        <v>513</v>
      </c>
      <c r="P977" s="319" t="s">
        <v>173</v>
      </c>
      <c r="Q977" s="319" t="s">
        <v>2776</v>
      </c>
      <c r="R977" s="320">
        <v>10053929</v>
      </c>
      <c r="S977" s="321">
        <v>43375</v>
      </c>
      <c r="T977" s="321">
        <v>43377</v>
      </c>
      <c r="U977" s="321">
        <v>43422</v>
      </c>
      <c r="V977" s="319" t="s">
        <v>435</v>
      </c>
      <c r="W977" s="319" t="s">
        <v>2767</v>
      </c>
      <c r="X977" s="319">
        <v>1</v>
      </c>
      <c r="Y977" s="319" t="s">
        <v>173</v>
      </c>
      <c r="Z977" s="319" t="s">
        <v>173</v>
      </c>
      <c r="AA977" s="319" t="s">
        <v>173</v>
      </c>
      <c r="AB977" s="319">
        <v>1</v>
      </c>
      <c r="AC977" s="319" t="s">
        <v>169</v>
      </c>
      <c r="AD977" s="319" t="s">
        <v>173</v>
      </c>
      <c r="AE977" s="319" t="s">
        <v>173</v>
      </c>
      <c r="AF977" s="319" t="s">
        <v>427</v>
      </c>
      <c r="AG977" s="319" t="s">
        <v>171</v>
      </c>
      <c r="AH977" s="319" t="s">
        <v>190</v>
      </c>
      <c r="AI977" s="319" t="s">
        <v>190</v>
      </c>
      <c r="AJ977" s="319" t="s">
        <v>190</v>
      </c>
      <c r="AK977" s="319" t="s">
        <v>190</v>
      </c>
      <c r="AL977" s="319" t="s">
        <v>190</v>
      </c>
      <c r="AM977" s="319" t="s">
        <v>190</v>
      </c>
      <c r="AN977" s="319" t="s">
        <v>190</v>
      </c>
      <c r="AO977" s="319" t="s">
        <v>190</v>
      </c>
      <c r="AP977" s="319" t="s">
        <v>190</v>
      </c>
      <c r="AQ977" s="319" t="s">
        <v>190</v>
      </c>
      <c r="AR977" s="319" t="s">
        <v>190</v>
      </c>
      <c r="AS977" s="319" t="s">
        <v>190</v>
      </c>
      <c r="AT977" s="319" t="s">
        <v>190</v>
      </c>
      <c r="AU977" s="319" t="s">
        <v>190</v>
      </c>
      <c r="AV977" s="319" t="s">
        <v>190</v>
      </c>
      <c r="AW977" s="319" t="s">
        <v>190</v>
      </c>
      <c r="AX977" s="319" t="s">
        <v>428</v>
      </c>
      <c r="AY977" s="319" t="s">
        <v>190</v>
      </c>
      <c r="AZ977" s="319" t="s">
        <v>190</v>
      </c>
      <c r="BA977" s="319" t="s">
        <v>190</v>
      </c>
      <c r="BB977" s="319" t="s">
        <v>190</v>
      </c>
      <c r="BC977" s="319" t="s">
        <v>190</v>
      </c>
      <c r="BD977" s="319" t="s">
        <v>190</v>
      </c>
      <c r="BE977" s="319" t="s">
        <v>190</v>
      </c>
      <c r="BF977" s="319" t="s">
        <v>428</v>
      </c>
      <c r="BG977" s="319" t="s">
        <v>428</v>
      </c>
      <c r="BH977" s="319" t="s">
        <v>190</v>
      </c>
      <c r="BI977" s="319" t="s">
        <v>190</v>
      </c>
      <c r="BJ977" s="319" t="s">
        <v>190</v>
      </c>
      <c r="BK977" s="319" t="s">
        <v>190</v>
      </c>
      <c r="BL977" s="319" t="s">
        <v>190</v>
      </c>
      <c r="BM977" s="319" t="s">
        <v>190</v>
      </c>
      <c r="BN977" s="319" t="s">
        <v>190</v>
      </c>
      <c r="BO977" s="319" t="s">
        <v>190</v>
      </c>
      <c r="BP977" s="319" t="s">
        <v>190</v>
      </c>
      <c r="BQ977" s="319" t="s">
        <v>190</v>
      </c>
      <c r="BR977" s="319" t="s">
        <v>190</v>
      </c>
      <c r="BS977" s="319" t="s">
        <v>190</v>
      </c>
      <c r="BT977" s="319" t="s">
        <v>190</v>
      </c>
      <c r="BU977" s="319" t="s">
        <v>190</v>
      </c>
      <c r="BV977" s="319" t="s">
        <v>190</v>
      </c>
      <c r="BW977" s="319" t="s">
        <v>190</v>
      </c>
      <c r="BX977" s="319" t="s">
        <v>190</v>
      </c>
      <c r="BY977" s="319" t="s">
        <v>190</v>
      </c>
      <c r="BZ977" s="319" t="s">
        <v>190</v>
      </c>
      <c r="CA977" s="319" t="s">
        <v>190</v>
      </c>
      <c r="CB977" s="319" t="s">
        <v>190</v>
      </c>
      <c r="CC977" s="319" t="s">
        <v>190</v>
      </c>
      <c r="CD977" s="319" t="s">
        <v>190</v>
      </c>
      <c r="CE977" s="319" t="s">
        <v>190</v>
      </c>
      <c r="CF977" s="319" t="s">
        <v>190</v>
      </c>
      <c r="CG977" s="319" t="s">
        <v>190</v>
      </c>
      <c r="CH977" s="319" t="s">
        <v>190</v>
      </c>
      <c r="CI977" s="319" t="s">
        <v>190</v>
      </c>
      <c r="CJ977" s="319" t="s">
        <v>190</v>
      </c>
      <c r="CK977" s="319" t="s">
        <v>190</v>
      </c>
      <c r="CL977" s="319" t="s">
        <v>190</v>
      </c>
      <c r="CM977" s="319" t="s">
        <v>190</v>
      </c>
      <c r="CN977" s="319" t="s">
        <v>428</v>
      </c>
      <c r="CO977" s="319" t="s">
        <v>428</v>
      </c>
      <c r="CP977" s="319" t="s">
        <v>428</v>
      </c>
      <c r="CQ977" s="319" t="s">
        <v>190</v>
      </c>
      <c r="CR977" s="319" t="s">
        <v>190</v>
      </c>
      <c r="CS977" s="319" t="s">
        <v>190</v>
      </c>
      <c r="CT977" s="319" t="s">
        <v>190</v>
      </c>
      <c r="CU977" s="319" t="s">
        <v>190</v>
      </c>
      <c r="CV977" s="319" t="s">
        <v>190</v>
      </c>
      <c r="CW977" s="319" t="s">
        <v>190</v>
      </c>
      <c r="CX977" s="319" t="s">
        <v>190</v>
      </c>
      <c r="CY977" s="319" t="s">
        <v>190</v>
      </c>
      <c r="CZ977" s="319" t="s">
        <v>190</v>
      </c>
      <c r="DA977" s="319" t="s">
        <v>190</v>
      </c>
      <c r="DB977" s="319" t="s">
        <v>190</v>
      </c>
      <c r="DC977" s="319" t="s">
        <v>190</v>
      </c>
      <c r="DD977" s="319" t="s">
        <v>190</v>
      </c>
      <c r="DE977" s="319" t="s">
        <v>190</v>
      </c>
      <c r="DF977" s="319" t="s">
        <v>190</v>
      </c>
      <c r="DG977" s="319" t="s">
        <v>190</v>
      </c>
      <c r="DH977" s="319" t="s">
        <v>190</v>
      </c>
      <c r="DI977" s="319" t="s">
        <v>190</v>
      </c>
      <c r="DJ977" s="319" t="s">
        <v>190</v>
      </c>
      <c r="DK977" s="319" t="s">
        <v>190</v>
      </c>
      <c r="DL977" s="319" t="s">
        <v>190</v>
      </c>
      <c r="DM977" s="319" t="s">
        <v>190</v>
      </c>
      <c r="DN977" s="319" t="s">
        <v>428</v>
      </c>
      <c r="DO977" s="319" t="s">
        <v>190</v>
      </c>
      <c r="DP977" s="319" t="s">
        <v>428</v>
      </c>
      <c r="DQ977" s="319" t="s">
        <v>428</v>
      </c>
      <c r="DR977" s="319" t="s">
        <v>428</v>
      </c>
      <c r="DS977" s="319" t="s">
        <v>428</v>
      </c>
      <c r="DT977" s="319" t="s">
        <v>428</v>
      </c>
      <c r="DU977" s="319" t="s">
        <v>428</v>
      </c>
      <c r="DV977" s="319" t="s">
        <v>173</v>
      </c>
      <c r="DW977" s="319" t="s">
        <v>428</v>
      </c>
      <c r="DX977" s="319" t="s">
        <v>428</v>
      </c>
      <c r="DY977" s="319" t="s">
        <v>428</v>
      </c>
      <c r="DZ977" s="319" t="s">
        <v>428</v>
      </c>
      <c r="EA977" s="319" t="s">
        <v>428</v>
      </c>
      <c r="EB977" s="319" t="s">
        <v>428</v>
      </c>
      <c r="EC977" s="319" t="s">
        <v>428</v>
      </c>
      <c r="ED977" s="319" t="s">
        <v>428</v>
      </c>
      <c r="EE977" s="319" t="s">
        <v>190</v>
      </c>
      <c r="EF977" s="319" t="s">
        <v>190</v>
      </c>
      <c r="EG977" s="319" t="s">
        <v>190</v>
      </c>
      <c r="EH977" s="319" t="s">
        <v>190</v>
      </c>
      <c r="EI977" s="319" t="s">
        <v>190</v>
      </c>
      <c r="EJ977" s="319" t="s">
        <v>190</v>
      </c>
      <c r="EK977" s="319" t="s">
        <v>190</v>
      </c>
      <c r="EL977" s="319" t="s">
        <v>190</v>
      </c>
      <c r="EM977" s="319" t="s">
        <v>190</v>
      </c>
      <c r="EN977" s="319" t="s">
        <v>190</v>
      </c>
      <c r="EO977" s="319" t="s">
        <v>190</v>
      </c>
      <c r="EP977" s="319" t="s">
        <v>190</v>
      </c>
      <c r="EQ977" s="319" t="s">
        <v>190</v>
      </c>
      <c r="ER977" s="319" t="s">
        <v>190</v>
      </c>
      <c r="ES977" s="319" t="s">
        <v>190</v>
      </c>
      <c r="ET977" s="319" t="s">
        <v>190</v>
      </c>
      <c r="EU977" s="319" t="s">
        <v>190</v>
      </c>
      <c r="EV977" s="319" t="s">
        <v>190</v>
      </c>
      <c r="EW977" s="319" t="s">
        <v>190</v>
      </c>
      <c r="EX977" s="319" t="s">
        <v>190</v>
      </c>
      <c r="EY977" s="319" t="s">
        <v>190</v>
      </c>
      <c r="EZ977" s="319" t="s">
        <v>190</v>
      </c>
      <c r="FA977" s="319" t="s">
        <v>428</v>
      </c>
      <c r="FB977" s="319" t="s">
        <v>428</v>
      </c>
      <c r="FC977" s="319" t="s">
        <v>428</v>
      </c>
      <c r="FD977" s="319" t="s">
        <v>428</v>
      </c>
      <c r="FE977" s="319" t="s">
        <v>428</v>
      </c>
      <c r="FF977" s="319" t="s">
        <v>428</v>
      </c>
      <c r="FG977" s="319" t="s">
        <v>428</v>
      </c>
      <c r="FH977" s="319" t="s">
        <v>190</v>
      </c>
      <c r="FI977" s="319" t="s">
        <v>428</v>
      </c>
      <c r="FJ977" s="319" t="s">
        <v>429</v>
      </c>
      <c r="FK977" s="319" t="s">
        <v>428</v>
      </c>
      <c r="FL977" s="319" t="s">
        <v>190</v>
      </c>
      <c r="FM977" s="319" t="s">
        <v>190</v>
      </c>
      <c r="FN977" s="319" t="s">
        <v>190</v>
      </c>
      <c r="FO977" s="319" t="s">
        <v>190</v>
      </c>
      <c r="FP977" s="319" t="s">
        <v>190</v>
      </c>
      <c r="FQ977" s="319" t="s">
        <v>190</v>
      </c>
      <c r="FR977" s="319" t="s">
        <v>190</v>
      </c>
      <c r="FS977" s="319" t="s">
        <v>428</v>
      </c>
      <c r="FT977" s="319" t="s">
        <v>190</v>
      </c>
      <c r="FU977" s="319" t="s">
        <v>190</v>
      </c>
      <c r="FV977" s="319" t="s">
        <v>190</v>
      </c>
      <c r="FW977" s="319" t="s">
        <v>190</v>
      </c>
      <c r="FX977" s="319" t="s">
        <v>190</v>
      </c>
      <c r="FY977" s="319" t="s">
        <v>190</v>
      </c>
      <c r="FZ977" s="319" t="s">
        <v>190</v>
      </c>
      <c r="GA977" s="319" t="s">
        <v>190</v>
      </c>
      <c r="GB977" s="319" t="s">
        <v>190</v>
      </c>
      <c r="GC977" s="319" t="s">
        <v>190</v>
      </c>
      <c r="GD977" s="319" t="s">
        <v>190</v>
      </c>
      <c r="GE977" s="319" t="s">
        <v>190</v>
      </c>
      <c r="GF977" s="319" t="s">
        <v>190</v>
      </c>
      <c r="GG977" s="319" t="s">
        <v>190</v>
      </c>
      <c r="GH977" s="319" t="s">
        <v>190</v>
      </c>
      <c r="GI977" s="319" t="s">
        <v>190</v>
      </c>
      <c r="GJ977" s="319" t="s">
        <v>190</v>
      </c>
      <c r="GK977" s="319" t="s">
        <v>428</v>
      </c>
      <c r="GL977" s="319" t="s">
        <v>190</v>
      </c>
      <c r="GM977" s="319" t="s">
        <v>190</v>
      </c>
      <c r="GN977" s="319" t="s">
        <v>190</v>
      </c>
      <c r="GO977" s="319" t="s">
        <v>190</v>
      </c>
      <c r="GP977" s="319" t="s">
        <v>428</v>
      </c>
      <c r="GQ977" s="319" t="s">
        <v>428</v>
      </c>
      <c r="GR977" s="319" t="s">
        <v>190</v>
      </c>
      <c r="GS977" s="319" t="s">
        <v>190</v>
      </c>
      <c r="GT977" s="319" t="s">
        <v>190</v>
      </c>
      <c r="GU977" s="319" t="s">
        <v>190</v>
      </c>
      <c r="GV977" s="319" t="s">
        <v>190</v>
      </c>
      <c r="GW977" s="319" t="s">
        <v>190</v>
      </c>
      <c r="GX977" s="319" t="s">
        <v>190</v>
      </c>
      <c r="GY977" s="319" t="s">
        <v>190</v>
      </c>
      <c r="GZ977" s="319" t="s">
        <v>190</v>
      </c>
      <c r="HA977" s="319" t="s">
        <v>428</v>
      </c>
      <c r="HB977" s="319" t="s">
        <v>428</v>
      </c>
      <c r="HC977" s="319" t="s">
        <v>190</v>
      </c>
      <c r="HD977" s="319" t="s">
        <v>190</v>
      </c>
      <c r="HE977" s="319" t="s">
        <v>190</v>
      </c>
      <c r="HF977" s="319" t="s">
        <v>190</v>
      </c>
      <c r="HG977" s="319" t="s">
        <v>190</v>
      </c>
      <c r="HH977" s="319" t="s">
        <v>190</v>
      </c>
      <c r="HI977" s="319" t="s">
        <v>190</v>
      </c>
      <c r="HJ977" s="319" t="s">
        <v>190</v>
      </c>
      <c r="HK977" s="319" t="s">
        <v>428</v>
      </c>
      <c r="HL977" s="319" t="s">
        <v>428</v>
      </c>
      <c r="HM977" s="319" t="s">
        <v>428</v>
      </c>
      <c r="HN977" s="319" t="s">
        <v>428</v>
      </c>
      <c r="HO977" s="319" t="s">
        <v>428</v>
      </c>
      <c r="HP977" s="319" t="s">
        <v>190</v>
      </c>
      <c r="HQ977" s="319" t="s">
        <v>190</v>
      </c>
      <c r="HR977" s="319" t="s">
        <v>190</v>
      </c>
      <c r="HS977" s="319" t="s">
        <v>190</v>
      </c>
      <c r="HT977" s="319" t="s">
        <v>190</v>
      </c>
      <c r="HU977" s="319" t="s">
        <v>190</v>
      </c>
      <c r="HV977" s="319" t="s">
        <v>190</v>
      </c>
      <c r="HW977" s="319" t="s">
        <v>190</v>
      </c>
      <c r="HX977" s="319" t="s">
        <v>190</v>
      </c>
      <c r="HY977" s="319" t="s">
        <v>190</v>
      </c>
      <c r="HZ977" s="319" t="s">
        <v>190</v>
      </c>
      <c r="IA977" s="319" t="s">
        <v>190</v>
      </c>
      <c r="IB977" s="319" t="s">
        <v>190</v>
      </c>
      <c r="IC977" s="319" t="s">
        <v>190</v>
      </c>
      <c r="ID977" s="319" t="s">
        <v>190</v>
      </c>
      <c r="IE977" s="319" t="s">
        <v>190</v>
      </c>
      <c r="IF977" s="319" t="s">
        <v>190</v>
      </c>
      <c r="IG977" s="319" t="s">
        <v>190</v>
      </c>
      <c r="IH977" s="319" t="s">
        <v>190</v>
      </c>
      <c r="II977" s="319" t="s">
        <v>190</v>
      </c>
      <c r="IJ977" s="319" t="s">
        <v>173</v>
      </c>
      <c r="IK977" s="319" t="s">
        <v>173</v>
      </c>
      <c r="IL977" s="319" t="s">
        <v>173</v>
      </c>
      <c r="IM977" s="319" t="s">
        <v>173</v>
      </c>
      <c r="IN977" s="319" t="s">
        <v>173</v>
      </c>
      <c r="IO977" s="319" t="s">
        <v>173</v>
      </c>
      <c r="IP977" s="319" t="s">
        <v>173</v>
      </c>
      <c r="IQ977" s="321" t="s">
        <v>173</v>
      </c>
      <c r="IR977" s="320" t="s">
        <v>173</v>
      </c>
      <c r="IS977" s="322" t="s">
        <v>173</v>
      </c>
      <c r="IT977" s="319" t="s">
        <v>173</v>
      </c>
    </row>
    <row r="978" spans="1:254" s="271" customFormat="1" x14ac:dyDescent="0.25">
      <c r="A978" s="318" t="str">
        <f>HYPERLINK("http://www.ofsted.gov.uk/inspection-reports/find-inspection-report/provider/ELS/145471 ","Ofsted School Webpage")</f>
        <v>Ofsted School Webpage</v>
      </c>
      <c r="B978" s="319">
        <v>145471</v>
      </c>
      <c r="C978" s="319">
        <v>2106009</v>
      </c>
      <c r="D978" s="319" t="s">
        <v>2501</v>
      </c>
      <c r="E978" s="319" t="s">
        <v>167</v>
      </c>
      <c r="F978" s="319" t="s">
        <v>81</v>
      </c>
      <c r="G978" s="319" t="s">
        <v>81</v>
      </c>
      <c r="H978" s="319" t="s">
        <v>81</v>
      </c>
      <c r="I978" s="319" t="s">
        <v>78</v>
      </c>
      <c r="J978" s="319" t="s">
        <v>424</v>
      </c>
      <c r="K978" s="319" t="s">
        <v>441</v>
      </c>
      <c r="L978" s="319" t="s">
        <v>441</v>
      </c>
      <c r="M978" s="319" t="s">
        <v>1150</v>
      </c>
      <c r="N978" s="319" t="s">
        <v>3098</v>
      </c>
      <c r="O978" s="319" t="s">
        <v>2502</v>
      </c>
      <c r="P978" s="319" t="s">
        <v>173</v>
      </c>
      <c r="Q978" s="319" t="s">
        <v>2776</v>
      </c>
      <c r="R978" s="320">
        <v>10083766</v>
      </c>
      <c r="S978" s="321">
        <v>43550</v>
      </c>
      <c r="T978" s="321">
        <v>43552</v>
      </c>
      <c r="U978" s="321">
        <v>43618</v>
      </c>
      <c r="V978" s="319" t="s">
        <v>435</v>
      </c>
      <c r="W978" s="319" t="s">
        <v>2767</v>
      </c>
      <c r="X978" s="319">
        <v>4</v>
      </c>
      <c r="Y978" s="319" t="s">
        <v>173</v>
      </c>
      <c r="Z978" s="319" t="s">
        <v>173</v>
      </c>
      <c r="AA978" s="319" t="s">
        <v>173</v>
      </c>
      <c r="AB978" s="319">
        <v>4</v>
      </c>
      <c r="AC978" s="319" t="s">
        <v>170</v>
      </c>
      <c r="AD978" s="319" t="s">
        <v>173</v>
      </c>
      <c r="AE978" s="319">
        <v>0</v>
      </c>
      <c r="AF978" s="319" t="s">
        <v>427</v>
      </c>
      <c r="AG978" s="319" t="s">
        <v>172</v>
      </c>
      <c r="AH978" s="319" t="s">
        <v>190</v>
      </c>
      <c r="AI978" s="319" t="s">
        <v>190</v>
      </c>
      <c r="AJ978" s="319" t="s">
        <v>479</v>
      </c>
      <c r="AK978" s="319" t="s">
        <v>479</v>
      </c>
      <c r="AL978" s="319" t="s">
        <v>479</v>
      </c>
      <c r="AM978" s="319" t="s">
        <v>190</v>
      </c>
      <c r="AN978" s="319" t="s">
        <v>190</v>
      </c>
      <c r="AO978" s="319" t="s">
        <v>479</v>
      </c>
      <c r="AP978" s="319" t="s">
        <v>584</v>
      </c>
      <c r="AQ978" s="319" t="s">
        <v>584</v>
      </c>
      <c r="AR978" s="319" t="s">
        <v>584</v>
      </c>
      <c r="AS978" s="319" t="s">
        <v>584</v>
      </c>
      <c r="AT978" s="319" t="s">
        <v>584</v>
      </c>
      <c r="AU978" s="319" t="s">
        <v>584</v>
      </c>
      <c r="AV978" s="319" t="s">
        <v>584</v>
      </c>
      <c r="AW978" s="319" t="s">
        <v>584</v>
      </c>
      <c r="AX978" s="319" t="s">
        <v>428</v>
      </c>
      <c r="AY978" s="319" t="s">
        <v>584</v>
      </c>
      <c r="AZ978" s="319" t="s">
        <v>584</v>
      </c>
      <c r="BA978" s="319" t="s">
        <v>584</v>
      </c>
      <c r="BB978" s="319" t="s">
        <v>584</v>
      </c>
      <c r="BC978" s="319" t="s">
        <v>584</v>
      </c>
      <c r="BD978" s="319" t="s">
        <v>584</v>
      </c>
      <c r="BE978" s="319" t="s">
        <v>584</v>
      </c>
      <c r="BF978" s="319" t="s">
        <v>428</v>
      </c>
      <c r="BG978" s="319" t="s">
        <v>584</v>
      </c>
      <c r="BH978" s="319" t="s">
        <v>584</v>
      </c>
      <c r="BI978" s="319" t="s">
        <v>584</v>
      </c>
      <c r="BJ978" s="319" t="s">
        <v>584</v>
      </c>
      <c r="BK978" s="319" t="s">
        <v>584</v>
      </c>
      <c r="BL978" s="319" t="s">
        <v>584</v>
      </c>
      <c r="BM978" s="319" t="s">
        <v>584</v>
      </c>
      <c r="BN978" s="319" t="s">
        <v>584</v>
      </c>
      <c r="BO978" s="319" t="s">
        <v>584</v>
      </c>
      <c r="BP978" s="319" t="s">
        <v>584</v>
      </c>
      <c r="BQ978" s="319" t="s">
        <v>584</v>
      </c>
      <c r="BR978" s="319" t="s">
        <v>584</v>
      </c>
      <c r="BS978" s="319" t="s">
        <v>584</v>
      </c>
      <c r="BT978" s="319" t="s">
        <v>584</v>
      </c>
      <c r="BU978" s="319" t="s">
        <v>584</v>
      </c>
      <c r="BV978" s="319" t="s">
        <v>584</v>
      </c>
      <c r="BW978" s="319" t="s">
        <v>584</v>
      </c>
      <c r="BX978" s="319" t="s">
        <v>584</v>
      </c>
      <c r="BY978" s="319" t="s">
        <v>584</v>
      </c>
      <c r="BZ978" s="319" t="s">
        <v>584</v>
      </c>
      <c r="CA978" s="319" t="s">
        <v>584</v>
      </c>
      <c r="CB978" s="319" t="s">
        <v>584</v>
      </c>
      <c r="CC978" s="319" t="s">
        <v>584</v>
      </c>
      <c r="CD978" s="319" t="s">
        <v>584</v>
      </c>
      <c r="CE978" s="319" t="s">
        <v>584</v>
      </c>
      <c r="CF978" s="319" t="s">
        <v>584</v>
      </c>
      <c r="CG978" s="319" t="s">
        <v>584</v>
      </c>
      <c r="CH978" s="319" t="s">
        <v>584</v>
      </c>
      <c r="CI978" s="319" t="s">
        <v>584</v>
      </c>
      <c r="CJ978" s="319" t="s">
        <v>584</v>
      </c>
      <c r="CK978" s="319" t="s">
        <v>191</v>
      </c>
      <c r="CL978" s="319" t="s">
        <v>191</v>
      </c>
      <c r="CM978" s="319" t="s">
        <v>191</v>
      </c>
      <c r="CN978" s="319" t="s">
        <v>428</v>
      </c>
      <c r="CO978" s="319" t="s">
        <v>428</v>
      </c>
      <c r="CP978" s="319" t="s">
        <v>428</v>
      </c>
      <c r="CQ978" s="319" t="s">
        <v>584</v>
      </c>
      <c r="CR978" s="319" t="s">
        <v>190</v>
      </c>
      <c r="CS978" s="319" t="s">
        <v>584</v>
      </c>
      <c r="CT978" s="319" t="s">
        <v>584</v>
      </c>
      <c r="CU978" s="319" t="s">
        <v>584</v>
      </c>
      <c r="CV978" s="319" t="s">
        <v>191</v>
      </c>
      <c r="CW978" s="319" t="s">
        <v>191</v>
      </c>
      <c r="CX978" s="319" t="s">
        <v>584</v>
      </c>
      <c r="CY978" s="319" t="s">
        <v>584</v>
      </c>
      <c r="CZ978" s="319" t="s">
        <v>584</v>
      </c>
      <c r="DA978" s="319" t="s">
        <v>191</v>
      </c>
      <c r="DB978" s="319" t="s">
        <v>191</v>
      </c>
      <c r="DC978" s="319" t="s">
        <v>191</v>
      </c>
      <c r="DD978" s="319" t="s">
        <v>191</v>
      </c>
      <c r="DE978" s="319" t="s">
        <v>190</v>
      </c>
      <c r="DF978" s="319" t="s">
        <v>190</v>
      </c>
      <c r="DG978" s="319" t="s">
        <v>191</v>
      </c>
      <c r="DH978" s="319" t="s">
        <v>190</v>
      </c>
      <c r="DI978" s="319" t="s">
        <v>190</v>
      </c>
      <c r="DJ978" s="319" t="s">
        <v>190</v>
      </c>
      <c r="DK978" s="319" t="s">
        <v>190</v>
      </c>
      <c r="DL978" s="319" t="s">
        <v>191</v>
      </c>
      <c r="DM978" s="319" t="s">
        <v>190</v>
      </c>
      <c r="DN978" s="319" t="s">
        <v>428</v>
      </c>
      <c r="DO978" s="319" t="s">
        <v>191</v>
      </c>
      <c r="DP978" s="319" t="s">
        <v>428</v>
      </c>
      <c r="DQ978" s="319" t="s">
        <v>428</v>
      </c>
      <c r="DR978" s="319" t="s">
        <v>428</v>
      </c>
      <c r="DS978" s="319" t="s">
        <v>428</v>
      </c>
      <c r="DT978" s="319" t="s">
        <v>428</v>
      </c>
      <c r="DU978" s="319" t="s">
        <v>428</v>
      </c>
      <c r="DV978" s="319" t="s">
        <v>173</v>
      </c>
      <c r="DW978" s="319" t="s">
        <v>428</v>
      </c>
      <c r="DX978" s="319" t="s">
        <v>428</v>
      </c>
      <c r="DY978" s="319" t="s">
        <v>428</v>
      </c>
      <c r="DZ978" s="319" t="s">
        <v>428</v>
      </c>
      <c r="EA978" s="319" t="s">
        <v>428</v>
      </c>
      <c r="EB978" s="319" t="s">
        <v>428</v>
      </c>
      <c r="EC978" s="319" t="s">
        <v>428</v>
      </c>
      <c r="ED978" s="319" t="s">
        <v>428</v>
      </c>
      <c r="EE978" s="319" t="s">
        <v>190</v>
      </c>
      <c r="EF978" s="319" t="s">
        <v>190</v>
      </c>
      <c r="EG978" s="319" t="s">
        <v>190</v>
      </c>
      <c r="EH978" s="319" t="s">
        <v>190</v>
      </c>
      <c r="EI978" s="319" t="s">
        <v>190</v>
      </c>
      <c r="EJ978" s="319" t="s">
        <v>190</v>
      </c>
      <c r="EK978" s="319" t="s">
        <v>190</v>
      </c>
      <c r="EL978" s="319" t="s">
        <v>428</v>
      </c>
      <c r="EM978" s="319" t="s">
        <v>190</v>
      </c>
      <c r="EN978" s="319" t="s">
        <v>190</v>
      </c>
      <c r="EO978" s="319" t="s">
        <v>190</v>
      </c>
      <c r="EP978" s="319" t="s">
        <v>191</v>
      </c>
      <c r="EQ978" s="319" t="s">
        <v>191</v>
      </c>
      <c r="ER978" s="319" t="s">
        <v>190</v>
      </c>
      <c r="ES978" s="319" t="s">
        <v>190</v>
      </c>
      <c r="ET978" s="319" t="s">
        <v>190</v>
      </c>
      <c r="EU978" s="319" t="s">
        <v>190</v>
      </c>
      <c r="EV978" s="319" t="s">
        <v>191</v>
      </c>
      <c r="EW978" s="319" t="s">
        <v>191</v>
      </c>
      <c r="EX978" s="319" t="s">
        <v>190</v>
      </c>
      <c r="EY978" s="319" t="s">
        <v>190</v>
      </c>
      <c r="EZ978" s="319" t="s">
        <v>190</v>
      </c>
      <c r="FA978" s="319" t="s">
        <v>191</v>
      </c>
      <c r="FB978" s="319" t="s">
        <v>428</v>
      </c>
      <c r="FC978" s="319" t="s">
        <v>428</v>
      </c>
      <c r="FD978" s="319" t="s">
        <v>428</v>
      </c>
      <c r="FE978" s="319" t="s">
        <v>428</v>
      </c>
      <c r="FF978" s="319" t="s">
        <v>428</v>
      </c>
      <c r="FG978" s="319" t="s">
        <v>428</v>
      </c>
      <c r="FH978" s="319" t="s">
        <v>190</v>
      </c>
      <c r="FI978" s="319" t="s">
        <v>190</v>
      </c>
      <c r="FJ978" s="319" t="s">
        <v>190</v>
      </c>
      <c r="FK978" s="319" t="s">
        <v>190</v>
      </c>
      <c r="FL978" s="319" t="s">
        <v>191</v>
      </c>
      <c r="FM978" s="319" t="s">
        <v>191</v>
      </c>
      <c r="FN978" s="319" t="s">
        <v>191</v>
      </c>
      <c r="FO978" s="319" t="s">
        <v>190</v>
      </c>
      <c r="FP978" s="319" t="s">
        <v>190</v>
      </c>
      <c r="FQ978" s="319" t="s">
        <v>190</v>
      </c>
      <c r="FR978" s="319" t="s">
        <v>190</v>
      </c>
      <c r="FS978" s="319" t="s">
        <v>428</v>
      </c>
      <c r="FT978" s="319" t="s">
        <v>190</v>
      </c>
      <c r="FU978" s="319" t="s">
        <v>191</v>
      </c>
      <c r="FV978" s="319" t="s">
        <v>190</v>
      </c>
      <c r="FW978" s="319" t="s">
        <v>190</v>
      </c>
      <c r="FX978" s="319" t="s">
        <v>190</v>
      </c>
      <c r="FY978" s="319" t="s">
        <v>190</v>
      </c>
      <c r="FZ978" s="319" t="s">
        <v>190</v>
      </c>
      <c r="GA978" s="319" t="s">
        <v>190</v>
      </c>
      <c r="GB978" s="319" t="s">
        <v>190</v>
      </c>
      <c r="GC978" s="319" t="s">
        <v>190</v>
      </c>
      <c r="GD978" s="319" t="s">
        <v>190</v>
      </c>
      <c r="GE978" s="319" t="s">
        <v>190</v>
      </c>
      <c r="GF978" s="319" t="s">
        <v>190</v>
      </c>
      <c r="GG978" s="319" t="s">
        <v>190</v>
      </c>
      <c r="GH978" s="319" t="s">
        <v>190</v>
      </c>
      <c r="GI978" s="319" t="s">
        <v>190</v>
      </c>
      <c r="GJ978" s="319" t="s">
        <v>190</v>
      </c>
      <c r="GK978" s="319" t="s">
        <v>428</v>
      </c>
      <c r="GL978" s="319" t="s">
        <v>190</v>
      </c>
      <c r="GM978" s="319" t="s">
        <v>190</v>
      </c>
      <c r="GN978" s="319" t="s">
        <v>190</v>
      </c>
      <c r="GO978" s="319" t="s">
        <v>190</v>
      </c>
      <c r="GP978" s="319" t="s">
        <v>428</v>
      </c>
      <c r="GQ978" s="319" t="s">
        <v>428</v>
      </c>
      <c r="GR978" s="319" t="s">
        <v>584</v>
      </c>
      <c r="GS978" s="319" t="s">
        <v>190</v>
      </c>
      <c r="GT978" s="319" t="s">
        <v>584</v>
      </c>
      <c r="GU978" s="319" t="s">
        <v>584</v>
      </c>
      <c r="GV978" s="319" t="s">
        <v>428</v>
      </c>
      <c r="GW978" s="319" t="s">
        <v>190</v>
      </c>
      <c r="GX978" s="319" t="s">
        <v>190</v>
      </c>
      <c r="GY978" s="319" t="s">
        <v>190</v>
      </c>
      <c r="GZ978" s="319" t="s">
        <v>190</v>
      </c>
      <c r="HA978" s="319" t="s">
        <v>428</v>
      </c>
      <c r="HB978" s="319" t="s">
        <v>428</v>
      </c>
      <c r="HC978" s="319" t="s">
        <v>190</v>
      </c>
      <c r="HD978" s="319" t="s">
        <v>190</v>
      </c>
      <c r="HE978" s="319" t="s">
        <v>190</v>
      </c>
      <c r="HF978" s="319" t="s">
        <v>190</v>
      </c>
      <c r="HG978" s="319" t="s">
        <v>190</v>
      </c>
      <c r="HH978" s="319" t="s">
        <v>190</v>
      </c>
      <c r="HI978" s="319" t="s">
        <v>584</v>
      </c>
      <c r="HJ978" s="319" t="s">
        <v>190</v>
      </c>
      <c r="HK978" s="319" t="s">
        <v>428</v>
      </c>
      <c r="HL978" s="319" t="s">
        <v>428</v>
      </c>
      <c r="HM978" s="319" t="s">
        <v>428</v>
      </c>
      <c r="HN978" s="319" t="s">
        <v>428</v>
      </c>
      <c r="HO978" s="319" t="s">
        <v>428</v>
      </c>
      <c r="HP978" s="319" t="s">
        <v>190</v>
      </c>
      <c r="HQ978" s="319" t="s">
        <v>190</v>
      </c>
      <c r="HR978" s="319" t="s">
        <v>190</v>
      </c>
      <c r="HS978" s="319" t="s">
        <v>190</v>
      </c>
      <c r="HT978" s="319" t="s">
        <v>190</v>
      </c>
      <c r="HU978" s="319" t="s">
        <v>190</v>
      </c>
      <c r="HV978" s="319" t="s">
        <v>190</v>
      </c>
      <c r="HW978" s="319" t="s">
        <v>190</v>
      </c>
      <c r="HX978" s="319" t="s">
        <v>190</v>
      </c>
      <c r="HY978" s="319" t="s">
        <v>190</v>
      </c>
      <c r="HZ978" s="319" t="s">
        <v>190</v>
      </c>
      <c r="IA978" s="319" t="s">
        <v>190</v>
      </c>
      <c r="IB978" s="319" t="s">
        <v>190</v>
      </c>
      <c r="IC978" s="319" t="s">
        <v>190</v>
      </c>
      <c r="ID978" s="319" t="s">
        <v>190</v>
      </c>
      <c r="IE978" s="319" t="s">
        <v>190</v>
      </c>
      <c r="IF978" s="319" t="s">
        <v>191</v>
      </c>
      <c r="IG978" s="319" t="s">
        <v>191</v>
      </c>
      <c r="IH978" s="319" t="s">
        <v>191</v>
      </c>
      <c r="II978" s="319" t="s">
        <v>191</v>
      </c>
      <c r="IJ978" s="319" t="s">
        <v>173</v>
      </c>
      <c r="IK978" s="319" t="s">
        <v>173</v>
      </c>
      <c r="IL978" s="319" t="s">
        <v>173</v>
      </c>
      <c r="IM978" s="319" t="s">
        <v>173</v>
      </c>
      <c r="IN978" s="319" t="s">
        <v>173</v>
      </c>
      <c r="IO978" s="319" t="s">
        <v>173</v>
      </c>
      <c r="IP978" s="319" t="s">
        <v>173</v>
      </c>
      <c r="IQ978" s="321" t="s">
        <v>173</v>
      </c>
      <c r="IR978" s="320" t="s">
        <v>173</v>
      </c>
      <c r="IS978" s="322" t="s">
        <v>173</v>
      </c>
      <c r="IT978" s="319" t="s">
        <v>173</v>
      </c>
    </row>
    <row r="979" spans="1:254" s="271" customFormat="1" x14ac:dyDescent="0.25">
      <c r="A979" s="318" t="str">
        <f>HYPERLINK("http://www.ofsted.gov.uk/inspection-reports/find-inspection-report/provider/ELS/145472 ","Ofsted School Webpage")</f>
        <v>Ofsted School Webpage</v>
      </c>
      <c r="B979" s="319">
        <v>145472</v>
      </c>
      <c r="C979" s="319">
        <v>3086012</v>
      </c>
      <c r="D979" s="319" t="s">
        <v>560</v>
      </c>
      <c r="E979" s="319" t="s">
        <v>167</v>
      </c>
      <c r="F979" s="319" t="s">
        <v>81</v>
      </c>
      <c r="G979" s="319" t="s">
        <v>81</v>
      </c>
      <c r="H979" s="319" t="s">
        <v>81</v>
      </c>
      <c r="I979" s="319" t="s">
        <v>78</v>
      </c>
      <c r="J979" s="319" t="s">
        <v>424</v>
      </c>
      <c r="K979" s="319" t="s">
        <v>441</v>
      </c>
      <c r="L979" s="319" t="s">
        <v>441</v>
      </c>
      <c r="M979" s="319" t="s">
        <v>561</v>
      </c>
      <c r="N979" s="319" t="s">
        <v>3283</v>
      </c>
      <c r="O979" s="319" t="s">
        <v>562</v>
      </c>
      <c r="P979" s="319">
        <v>10</v>
      </c>
      <c r="Q979" s="319" t="s">
        <v>2766</v>
      </c>
      <c r="R979" s="320">
        <v>10080531</v>
      </c>
      <c r="S979" s="321">
        <v>43389</v>
      </c>
      <c r="T979" s="321">
        <v>43391</v>
      </c>
      <c r="U979" s="321">
        <v>43430</v>
      </c>
      <c r="V979" s="319" t="s">
        <v>435</v>
      </c>
      <c r="W979" s="319" t="s">
        <v>2767</v>
      </c>
      <c r="X979" s="319">
        <v>2</v>
      </c>
      <c r="Y979" s="319" t="s">
        <v>173</v>
      </c>
      <c r="Z979" s="319" t="s">
        <v>173</v>
      </c>
      <c r="AA979" s="319" t="s">
        <v>173</v>
      </c>
      <c r="AB979" s="319">
        <v>2</v>
      </c>
      <c r="AC979" s="319" t="s">
        <v>169</v>
      </c>
      <c r="AD979" s="319" t="s">
        <v>173</v>
      </c>
      <c r="AE979" s="319" t="s">
        <v>173</v>
      </c>
      <c r="AF979" s="319" t="s">
        <v>427</v>
      </c>
      <c r="AG979" s="319" t="s">
        <v>171</v>
      </c>
      <c r="AH979" s="319" t="s">
        <v>190</v>
      </c>
      <c r="AI979" s="319" t="s">
        <v>190</v>
      </c>
      <c r="AJ979" s="319" t="s">
        <v>190</v>
      </c>
      <c r="AK979" s="319" t="s">
        <v>190</v>
      </c>
      <c r="AL979" s="319" t="s">
        <v>190</v>
      </c>
      <c r="AM979" s="319" t="s">
        <v>190</v>
      </c>
      <c r="AN979" s="319" t="s">
        <v>190</v>
      </c>
      <c r="AO979" s="319" t="s">
        <v>190</v>
      </c>
      <c r="AP979" s="319" t="s">
        <v>190</v>
      </c>
      <c r="AQ979" s="319" t="s">
        <v>190</v>
      </c>
      <c r="AR979" s="319" t="s">
        <v>190</v>
      </c>
      <c r="AS979" s="319" t="s">
        <v>190</v>
      </c>
      <c r="AT979" s="319" t="s">
        <v>190</v>
      </c>
      <c r="AU979" s="319" t="s">
        <v>190</v>
      </c>
      <c r="AV979" s="319" t="s">
        <v>190</v>
      </c>
      <c r="AW979" s="319" t="s">
        <v>190</v>
      </c>
      <c r="AX979" s="319" t="s">
        <v>428</v>
      </c>
      <c r="AY979" s="319" t="s">
        <v>190</v>
      </c>
      <c r="AZ979" s="319" t="s">
        <v>190</v>
      </c>
      <c r="BA979" s="319" t="s">
        <v>190</v>
      </c>
      <c r="BB979" s="319" t="s">
        <v>190</v>
      </c>
      <c r="BC979" s="319" t="s">
        <v>190</v>
      </c>
      <c r="BD979" s="319" t="s">
        <v>190</v>
      </c>
      <c r="BE979" s="319" t="s">
        <v>190</v>
      </c>
      <c r="BF979" s="319" t="s">
        <v>428</v>
      </c>
      <c r="BG979" s="319" t="s">
        <v>190</v>
      </c>
      <c r="BH979" s="319" t="s">
        <v>190</v>
      </c>
      <c r="BI979" s="319" t="s">
        <v>190</v>
      </c>
      <c r="BJ979" s="319" t="s">
        <v>190</v>
      </c>
      <c r="BK979" s="319" t="s">
        <v>190</v>
      </c>
      <c r="BL979" s="319" t="s">
        <v>190</v>
      </c>
      <c r="BM979" s="319" t="s">
        <v>190</v>
      </c>
      <c r="BN979" s="319" t="s">
        <v>190</v>
      </c>
      <c r="BO979" s="319" t="s">
        <v>190</v>
      </c>
      <c r="BP979" s="319" t="s">
        <v>190</v>
      </c>
      <c r="BQ979" s="319" t="s">
        <v>190</v>
      </c>
      <c r="BR979" s="319" t="s">
        <v>190</v>
      </c>
      <c r="BS979" s="319" t="s">
        <v>190</v>
      </c>
      <c r="BT979" s="319" t="s">
        <v>190</v>
      </c>
      <c r="BU979" s="319" t="s">
        <v>190</v>
      </c>
      <c r="BV979" s="319" t="s">
        <v>190</v>
      </c>
      <c r="BW979" s="319" t="s">
        <v>190</v>
      </c>
      <c r="BX979" s="319" t="s">
        <v>190</v>
      </c>
      <c r="BY979" s="319" t="s">
        <v>190</v>
      </c>
      <c r="BZ979" s="319" t="s">
        <v>190</v>
      </c>
      <c r="CA979" s="319" t="s">
        <v>190</v>
      </c>
      <c r="CB979" s="319" t="s">
        <v>190</v>
      </c>
      <c r="CC979" s="319" t="s">
        <v>190</v>
      </c>
      <c r="CD979" s="319" t="s">
        <v>190</v>
      </c>
      <c r="CE979" s="319" t="s">
        <v>190</v>
      </c>
      <c r="CF979" s="319" t="s">
        <v>190</v>
      </c>
      <c r="CG979" s="319" t="s">
        <v>190</v>
      </c>
      <c r="CH979" s="319" t="s">
        <v>190</v>
      </c>
      <c r="CI979" s="319" t="s">
        <v>190</v>
      </c>
      <c r="CJ979" s="319" t="s">
        <v>190</v>
      </c>
      <c r="CK979" s="319" t="s">
        <v>190</v>
      </c>
      <c r="CL979" s="319" t="s">
        <v>190</v>
      </c>
      <c r="CM979" s="319" t="s">
        <v>190</v>
      </c>
      <c r="CN979" s="319" t="s">
        <v>428</v>
      </c>
      <c r="CO979" s="319" t="s">
        <v>428</v>
      </c>
      <c r="CP979" s="319" t="s">
        <v>428</v>
      </c>
      <c r="CQ979" s="319" t="s">
        <v>190</v>
      </c>
      <c r="CR979" s="319" t="s">
        <v>190</v>
      </c>
      <c r="CS979" s="319" t="s">
        <v>190</v>
      </c>
      <c r="CT979" s="319" t="s">
        <v>190</v>
      </c>
      <c r="CU979" s="319" t="s">
        <v>190</v>
      </c>
      <c r="CV979" s="319" t="s">
        <v>190</v>
      </c>
      <c r="CW979" s="319" t="s">
        <v>190</v>
      </c>
      <c r="CX979" s="319" t="s">
        <v>190</v>
      </c>
      <c r="CY979" s="319" t="s">
        <v>190</v>
      </c>
      <c r="CZ979" s="319" t="s">
        <v>190</v>
      </c>
      <c r="DA979" s="319" t="s">
        <v>190</v>
      </c>
      <c r="DB979" s="319" t="s">
        <v>190</v>
      </c>
      <c r="DC979" s="319" t="s">
        <v>190</v>
      </c>
      <c r="DD979" s="319" t="s">
        <v>190</v>
      </c>
      <c r="DE979" s="319" t="s">
        <v>190</v>
      </c>
      <c r="DF979" s="319" t="s">
        <v>190</v>
      </c>
      <c r="DG979" s="319" t="s">
        <v>190</v>
      </c>
      <c r="DH979" s="319" t="s">
        <v>190</v>
      </c>
      <c r="DI979" s="319" t="s">
        <v>190</v>
      </c>
      <c r="DJ979" s="319" t="s">
        <v>190</v>
      </c>
      <c r="DK979" s="319" t="s">
        <v>190</v>
      </c>
      <c r="DL979" s="319" t="s">
        <v>190</v>
      </c>
      <c r="DM979" s="319" t="s">
        <v>190</v>
      </c>
      <c r="DN979" s="319" t="s">
        <v>428</v>
      </c>
      <c r="DO979" s="319" t="s">
        <v>190</v>
      </c>
      <c r="DP979" s="319" t="s">
        <v>428</v>
      </c>
      <c r="DQ979" s="319" t="s">
        <v>428</v>
      </c>
      <c r="DR979" s="319" t="s">
        <v>428</v>
      </c>
      <c r="DS979" s="319" t="s">
        <v>428</v>
      </c>
      <c r="DT979" s="319" t="s">
        <v>428</v>
      </c>
      <c r="DU979" s="319" t="s">
        <v>428</v>
      </c>
      <c r="DV979" s="319" t="s">
        <v>173</v>
      </c>
      <c r="DW979" s="319" t="s">
        <v>428</v>
      </c>
      <c r="DX979" s="319" t="s">
        <v>428</v>
      </c>
      <c r="DY979" s="319" t="s">
        <v>428</v>
      </c>
      <c r="DZ979" s="319" t="s">
        <v>428</v>
      </c>
      <c r="EA979" s="319" t="s">
        <v>428</v>
      </c>
      <c r="EB979" s="319" t="s">
        <v>428</v>
      </c>
      <c r="EC979" s="319" t="s">
        <v>428</v>
      </c>
      <c r="ED979" s="319" t="s">
        <v>428</v>
      </c>
      <c r="EE979" s="319" t="s">
        <v>428</v>
      </c>
      <c r="EF979" s="319" t="s">
        <v>428</v>
      </c>
      <c r="EG979" s="319" t="s">
        <v>428</v>
      </c>
      <c r="EH979" s="319" t="s">
        <v>428</v>
      </c>
      <c r="EI979" s="319" t="s">
        <v>428</v>
      </c>
      <c r="EJ979" s="319" t="s">
        <v>428</v>
      </c>
      <c r="EK979" s="319" t="s">
        <v>428</v>
      </c>
      <c r="EL979" s="319" t="s">
        <v>428</v>
      </c>
      <c r="EM979" s="319" t="s">
        <v>428</v>
      </c>
      <c r="EN979" s="319" t="s">
        <v>190</v>
      </c>
      <c r="EO979" s="319" t="s">
        <v>190</v>
      </c>
      <c r="EP979" s="319" t="s">
        <v>190</v>
      </c>
      <c r="EQ979" s="319" t="s">
        <v>190</v>
      </c>
      <c r="ER979" s="319" t="s">
        <v>190</v>
      </c>
      <c r="ES979" s="319" t="s">
        <v>190</v>
      </c>
      <c r="ET979" s="319" t="s">
        <v>190</v>
      </c>
      <c r="EU979" s="319" t="s">
        <v>190</v>
      </c>
      <c r="EV979" s="319" t="s">
        <v>190</v>
      </c>
      <c r="EW979" s="319" t="s">
        <v>190</v>
      </c>
      <c r="EX979" s="319" t="s">
        <v>190</v>
      </c>
      <c r="EY979" s="319" t="s">
        <v>190</v>
      </c>
      <c r="EZ979" s="319" t="s">
        <v>190</v>
      </c>
      <c r="FA979" s="319" t="s">
        <v>428</v>
      </c>
      <c r="FB979" s="319" t="s">
        <v>428</v>
      </c>
      <c r="FC979" s="319" t="s">
        <v>428</v>
      </c>
      <c r="FD979" s="319" t="s">
        <v>428</v>
      </c>
      <c r="FE979" s="319" t="s">
        <v>428</v>
      </c>
      <c r="FF979" s="319" t="s">
        <v>428</v>
      </c>
      <c r="FG979" s="319" t="s">
        <v>428</v>
      </c>
      <c r="FH979" s="319" t="s">
        <v>190</v>
      </c>
      <c r="FI979" s="319" t="s">
        <v>428</v>
      </c>
      <c r="FJ979" s="319" t="s">
        <v>429</v>
      </c>
      <c r="FK979" s="319" t="s">
        <v>428</v>
      </c>
      <c r="FL979" s="319" t="s">
        <v>190</v>
      </c>
      <c r="FM979" s="319" t="s">
        <v>190</v>
      </c>
      <c r="FN979" s="319" t="s">
        <v>190</v>
      </c>
      <c r="FO979" s="319" t="s">
        <v>190</v>
      </c>
      <c r="FP979" s="319" t="s">
        <v>190</v>
      </c>
      <c r="FQ979" s="319" t="s">
        <v>190</v>
      </c>
      <c r="FR979" s="319" t="s">
        <v>190</v>
      </c>
      <c r="FS979" s="319" t="s">
        <v>190</v>
      </c>
      <c r="FT979" s="319" t="s">
        <v>190</v>
      </c>
      <c r="FU979" s="319" t="s">
        <v>190</v>
      </c>
      <c r="FV979" s="319" t="s">
        <v>190</v>
      </c>
      <c r="FW979" s="319" t="s">
        <v>190</v>
      </c>
      <c r="FX979" s="319" t="s">
        <v>190</v>
      </c>
      <c r="FY979" s="319" t="s">
        <v>190</v>
      </c>
      <c r="FZ979" s="319" t="s">
        <v>190</v>
      </c>
      <c r="GA979" s="319" t="s">
        <v>190</v>
      </c>
      <c r="GB979" s="319" t="s">
        <v>190</v>
      </c>
      <c r="GC979" s="319" t="s">
        <v>190</v>
      </c>
      <c r="GD979" s="319" t="s">
        <v>190</v>
      </c>
      <c r="GE979" s="319" t="s">
        <v>190</v>
      </c>
      <c r="GF979" s="319" t="s">
        <v>190</v>
      </c>
      <c r="GG979" s="319" t="s">
        <v>190</v>
      </c>
      <c r="GH979" s="319" t="s">
        <v>190</v>
      </c>
      <c r="GI979" s="319" t="s">
        <v>190</v>
      </c>
      <c r="GJ979" s="319" t="s">
        <v>190</v>
      </c>
      <c r="GK979" s="319" t="s">
        <v>428</v>
      </c>
      <c r="GL979" s="319" t="s">
        <v>190</v>
      </c>
      <c r="GM979" s="319" t="s">
        <v>190</v>
      </c>
      <c r="GN979" s="319" t="s">
        <v>190</v>
      </c>
      <c r="GO979" s="319" t="s">
        <v>190</v>
      </c>
      <c r="GP979" s="319" t="s">
        <v>428</v>
      </c>
      <c r="GQ979" s="319" t="s">
        <v>428</v>
      </c>
      <c r="GR979" s="319" t="s">
        <v>190</v>
      </c>
      <c r="GS979" s="319" t="s">
        <v>190</v>
      </c>
      <c r="GT979" s="319" t="s">
        <v>190</v>
      </c>
      <c r="GU979" s="319" t="s">
        <v>190</v>
      </c>
      <c r="GV979" s="319" t="s">
        <v>428</v>
      </c>
      <c r="GW979" s="319" t="s">
        <v>190</v>
      </c>
      <c r="GX979" s="319" t="s">
        <v>190</v>
      </c>
      <c r="GY979" s="319" t="s">
        <v>190</v>
      </c>
      <c r="GZ979" s="319" t="s">
        <v>428</v>
      </c>
      <c r="HA979" s="319" t="s">
        <v>190</v>
      </c>
      <c r="HB979" s="319" t="s">
        <v>190</v>
      </c>
      <c r="HC979" s="319" t="s">
        <v>190</v>
      </c>
      <c r="HD979" s="319" t="s">
        <v>190</v>
      </c>
      <c r="HE979" s="319" t="s">
        <v>190</v>
      </c>
      <c r="HF979" s="319" t="s">
        <v>190</v>
      </c>
      <c r="HG979" s="319" t="s">
        <v>190</v>
      </c>
      <c r="HH979" s="319" t="s">
        <v>190</v>
      </c>
      <c r="HI979" s="319" t="s">
        <v>190</v>
      </c>
      <c r="HJ979" s="319" t="s">
        <v>190</v>
      </c>
      <c r="HK979" s="319" t="s">
        <v>428</v>
      </c>
      <c r="HL979" s="319" t="s">
        <v>428</v>
      </c>
      <c r="HM979" s="319" t="s">
        <v>428</v>
      </c>
      <c r="HN979" s="319" t="s">
        <v>428</v>
      </c>
      <c r="HO979" s="319" t="s">
        <v>428</v>
      </c>
      <c r="HP979" s="319" t="s">
        <v>190</v>
      </c>
      <c r="HQ979" s="319" t="s">
        <v>190</v>
      </c>
      <c r="HR979" s="319" t="s">
        <v>190</v>
      </c>
      <c r="HS979" s="319" t="s">
        <v>190</v>
      </c>
      <c r="HT979" s="319" t="s">
        <v>190</v>
      </c>
      <c r="HU979" s="319" t="s">
        <v>190</v>
      </c>
      <c r="HV979" s="319" t="s">
        <v>190</v>
      </c>
      <c r="HW979" s="319" t="s">
        <v>190</v>
      </c>
      <c r="HX979" s="319" t="s">
        <v>190</v>
      </c>
      <c r="HY979" s="319" t="s">
        <v>190</v>
      </c>
      <c r="HZ979" s="319" t="s">
        <v>190</v>
      </c>
      <c r="IA979" s="319" t="s">
        <v>190</v>
      </c>
      <c r="IB979" s="319" t="s">
        <v>190</v>
      </c>
      <c r="IC979" s="319" t="s">
        <v>190</v>
      </c>
      <c r="ID979" s="319" t="s">
        <v>190</v>
      </c>
      <c r="IE979" s="319" t="s">
        <v>190</v>
      </c>
      <c r="IF979" s="319" t="s">
        <v>190</v>
      </c>
      <c r="IG979" s="319" t="s">
        <v>190</v>
      </c>
      <c r="IH979" s="319" t="s">
        <v>190</v>
      </c>
      <c r="II979" s="319" t="s">
        <v>190</v>
      </c>
      <c r="IJ979" s="319" t="s">
        <v>173</v>
      </c>
      <c r="IK979" s="319" t="s">
        <v>173</v>
      </c>
      <c r="IL979" s="319" t="s">
        <v>173</v>
      </c>
      <c r="IM979" s="319" t="s">
        <v>173</v>
      </c>
      <c r="IN979" s="319" t="s">
        <v>173</v>
      </c>
      <c r="IO979" s="319" t="s">
        <v>173</v>
      </c>
      <c r="IP979" s="319" t="s">
        <v>173</v>
      </c>
      <c r="IQ979" s="321" t="s">
        <v>173</v>
      </c>
      <c r="IR979" s="320" t="s">
        <v>173</v>
      </c>
      <c r="IS979" s="322" t="s">
        <v>173</v>
      </c>
      <c r="IT979" s="319" t="s">
        <v>173</v>
      </c>
    </row>
    <row r="980" spans="1:254" s="271" customFormat="1" x14ac:dyDescent="0.25">
      <c r="A980" s="318" t="str">
        <f>HYPERLINK("http://www.ofsted.gov.uk/inspection-reports/find-inspection-report/provider/ELS/145478 ","Ofsted School Webpage")</f>
        <v>Ofsted School Webpage</v>
      </c>
      <c r="B980" s="319">
        <v>145478</v>
      </c>
      <c r="C980" s="319">
        <v>8936035</v>
      </c>
      <c r="D980" s="319" t="s">
        <v>586</v>
      </c>
      <c r="E980" s="319" t="s">
        <v>167</v>
      </c>
      <c r="F980" s="319" t="s">
        <v>81</v>
      </c>
      <c r="G980" s="319" t="s">
        <v>81</v>
      </c>
      <c r="H980" s="319" t="s">
        <v>81</v>
      </c>
      <c r="I980" s="319" t="s">
        <v>78</v>
      </c>
      <c r="J980" s="319" t="s">
        <v>424</v>
      </c>
      <c r="K980" s="319" t="s">
        <v>437</v>
      </c>
      <c r="L980" s="319" t="s">
        <v>437</v>
      </c>
      <c r="M980" s="319" t="s">
        <v>587</v>
      </c>
      <c r="N980" s="319" t="s">
        <v>3026</v>
      </c>
      <c r="O980" s="319" t="s">
        <v>588</v>
      </c>
      <c r="P980" s="319">
        <v>5</v>
      </c>
      <c r="Q980" s="319" t="s">
        <v>2766</v>
      </c>
      <c r="R980" s="320">
        <v>10056210</v>
      </c>
      <c r="S980" s="321">
        <v>43396</v>
      </c>
      <c r="T980" s="321">
        <v>43398</v>
      </c>
      <c r="U980" s="321">
        <v>43423</v>
      </c>
      <c r="V980" s="319" t="s">
        <v>435</v>
      </c>
      <c r="W980" s="319" t="s">
        <v>2767</v>
      </c>
      <c r="X980" s="319">
        <v>1</v>
      </c>
      <c r="Y980" s="319" t="s">
        <v>173</v>
      </c>
      <c r="Z980" s="319" t="s">
        <v>173</v>
      </c>
      <c r="AA980" s="319" t="s">
        <v>173</v>
      </c>
      <c r="AB980" s="319">
        <v>1</v>
      </c>
      <c r="AC980" s="319" t="s">
        <v>169</v>
      </c>
      <c r="AD980" s="319" t="s">
        <v>173</v>
      </c>
      <c r="AE980" s="319" t="s">
        <v>173</v>
      </c>
      <c r="AF980" s="319" t="s">
        <v>427</v>
      </c>
      <c r="AG980" s="319" t="s">
        <v>171</v>
      </c>
      <c r="AH980" s="319" t="s">
        <v>190</v>
      </c>
      <c r="AI980" s="319" t="s">
        <v>190</v>
      </c>
      <c r="AJ980" s="319" t="s">
        <v>190</v>
      </c>
      <c r="AK980" s="319" t="s">
        <v>190</v>
      </c>
      <c r="AL980" s="319" t="s">
        <v>190</v>
      </c>
      <c r="AM980" s="319" t="s">
        <v>190</v>
      </c>
      <c r="AN980" s="319" t="s">
        <v>190</v>
      </c>
      <c r="AO980" s="319" t="s">
        <v>190</v>
      </c>
      <c r="AP980" s="319" t="s">
        <v>190</v>
      </c>
      <c r="AQ980" s="319" t="s">
        <v>190</v>
      </c>
      <c r="AR980" s="319" t="s">
        <v>190</v>
      </c>
      <c r="AS980" s="319" t="s">
        <v>190</v>
      </c>
      <c r="AT980" s="319" t="s">
        <v>190</v>
      </c>
      <c r="AU980" s="319" t="s">
        <v>190</v>
      </c>
      <c r="AV980" s="319" t="s">
        <v>190</v>
      </c>
      <c r="AW980" s="319" t="s">
        <v>190</v>
      </c>
      <c r="AX980" s="319" t="s">
        <v>428</v>
      </c>
      <c r="AY980" s="319" t="s">
        <v>190</v>
      </c>
      <c r="AZ980" s="319" t="s">
        <v>190</v>
      </c>
      <c r="BA980" s="319" t="s">
        <v>190</v>
      </c>
      <c r="BB980" s="319" t="s">
        <v>428</v>
      </c>
      <c r="BC980" s="319" t="s">
        <v>428</v>
      </c>
      <c r="BD980" s="319" t="s">
        <v>428</v>
      </c>
      <c r="BE980" s="319" t="s">
        <v>428</v>
      </c>
      <c r="BF980" s="319" t="s">
        <v>190</v>
      </c>
      <c r="BG980" s="319" t="s">
        <v>428</v>
      </c>
      <c r="BH980" s="319" t="s">
        <v>190</v>
      </c>
      <c r="BI980" s="319" t="s">
        <v>190</v>
      </c>
      <c r="BJ980" s="319" t="s">
        <v>190</v>
      </c>
      <c r="BK980" s="319" t="s">
        <v>190</v>
      </c>
      <c r="BL980" s="319" t="s">
        <v>190</v>
      </c>
      <c r="BM980" s="319" t="s">
        <v>190</v>
      </c>
      <c r="BN980" s="319" t="s">
        <v>190</v>
      </c>
      <c r="BO980" s="319" t="s">
        <v>190</v>
      </c>
      <c r="BP980" s="319" t="s">
        <v>190</v>
      </c>
      <c r="BQ980" s="319" t="s">
        <v>190</v>
      </c>
      <c r="BR980" s="319" t="s">
        <v>190</v>
      </c>
      <c r="BS980" s="319" t="s">
        <v>190</v>
      </c>
      <c r="BT980" s="319" t="s">
        <v>190</v>
      </c>
      <c r="BU980" s="319" t="s">
        <v>190</v>
      </c>
      <c r="BV980" s="319" t="s">
        <v>190</v>
      </c>
      <c r="BW980" s="319" t="s">
        <v>190</v>
      </c>
      <c r="BX980" s="319" t="s">
        <v>190</v>
      </c>
      <c r="BY980" s="319" t="s">
        <v>190</v>
      </c>
      <c r="BZ980" s="319" t="s">
        <v>190</v>
      </c>
      <c r="CA980" s="319" t="s">
        <v>190</v>
      </c>
      <c r="CB980" s="319" t="s">
        <v>190</v>
      </c>
      <c r="CC980" s="319" t="s">
        <v>190</v>
      </c>
      <c r="CD980" s="319" t="s">
        <v>190</v>
      </c>
      <c r="CE980" s="319" t="s">
        <v>190</v>
      </c>
      <c r="CF980" s="319" t="s">
        <v>190</v>
      </c>
      <c r="CG980" s="319" t="s">
        <v>190</v>
      </c>
      <c r="CH980" s="319" t="s">
        <v>190</v>
      </c>
      <c r="CI980" s="319" t="s">
        <v>190</v>
      </c>
      <c r="CJ980" s="319" t="s">
        <v>190</v>
      </c>
      <c r="CK980" s="319" t="s">
        <v>190</v>
      </c>
      <c r="CL980" s="319" t="s">
        <v>190</v>
      </c>
      <c r="CM980" s="319" t="s">
        <v>190</v>
      </c>
      <c r="CN980" s="319" t="s">
        <v>428</v>
      </c>
      <c r="CO980" s="319" t="s">
        <v>428</v>
      </c>
      <c r="CP980" s="319" t="s">
        <v>428</v>
      </c>
      <c r="CQ980" s="319" t="s">
        <v>190</v>
      </c>
      <c r="CR980" s="319" t="s">
        <v>190</v>
      </c>
      <c r="CS980" s="319" t="s">
        <v>190</v>
      </c>
      <c r="CT980" s="319" t="s">
        <v>190</v>
      </c>
      <c r="CU980" s="319" t="s">
        <v>190</v>
      </c>
      <c r="CV980" s="319" t="s">
        <v>190</v>
      </c>
      <c r="CW980" s="319" t="s">
        <v>190</v>
      </c>
      <c r="CX980" s="319" t="s">
        <v>190</v>
      </c>
      <c r="CY980" s="319" t="s">
        <v>190</v>
      </c>
      <c r="CZ980" s="319" t="s">
        <v>190</v>
      </c>
      <c r="DA980" s="319" t="s">
        <v>190</v>
      </c>
      <c r="DB980" s="319" t="s">
        <v>190</v>
      </c>
      <c r="DC980" s="319" t="s">
        <v>190</v>
      </c>
      <c r="DD980" s="319" t="s">
        <v>190</v>
      </c>
      <c r="DE980" s="319" t="s">
        <v>190</v>
      </c>
      <c r="DF980" s="319" t="s">
        <v>190</v>
      </c>
      <c r="DG980" s="319" t="s">
        <v>190</v>
      </c>
      <c r="DH980" s="319" t="s">
        <v>190</v>
      </c>
      <c r="DI980" s="319" t="s">
        <v>190</v>
      </c>
      <c r="DJ980" s="319" t="s">
        <v>190</v>
      </c>
      <c r="DK980" s="319" t="s">
        <v>190</v>
      </c>
      <c r="DL980" s="319" t="s">
        <v>190</v>
      </c>
      <c r="DM980" s="319" t="s">
        <v>190</v>
      </c>
      <c r="DN980" s="319" t="s">
        <v>428</v>
      </c>
      <c r="DO980" s="319" t="s">
        <v>190</v>
      </c>
      <c r="DP980" s="319" t="s">
        <v>428</v>
      </c>
      <c r="DQ980" s="319" t="s">
        <v>428</v>
      </c>
      <c r="DR980" s="319" t="s">
        <v>428</v>
      </c>
      <c r="DS980" s="319" t="s">
        <v>428</v>
      </c>
      <c r="DT980" s="319" t="s">
        <v>428</v>
      </c>
      <c r="DU980" s="319" t="s">
        <v>428</v>
      </c>
      <c r="DV980" s="319" t="s">
        <v>173</v>
      </c>
      <c r="DW980" s="319" t="s">
        <v>428</v>
      </c>
      <c r="DX980" s="319" t="s">
        <v>428</v>
      </c>
      <c r="DY980" s="319" t="s">
        <v>428</v>
      </c>
      <c r="DZ980" s="319" t="s">
        <v>428</v>
      </c>
      <c r="EA980" s="319" t="s">
        <v>428</v>
      </c>
      <c r="EB980" s="319" t="s">
        <v>428</v>
      </c>
      <c r="EC980" s="319" t="s">
        <v>428</v>
      </c>
      <c r="ED980" s="319" t="s">
        <v>428</v>
      </c>
      <c r="EE980" s="319" t="s">
        <v>428</v>
      </c>
      <c r="EF980" s="319" t="s">
        <v>428</v>
      </c>
      <c r="EG980" s="319" t="s">
        <v>428</v>
      </c>
      <c r="EH980" s="319" t="s">
        <v>428</v>
      </c>
      <c r="EI980" s="319" t="s">
        <v>428</v>
      </c>
      <c r="EJ980" s="319" t="s">
        <v>428</v>
      </c>
      <c r="EK980" s="319" t="s">
        <v>428</v>
      </c>
      <c r="EL980" s="319" t="s">
        <v>428</v>
      </c>
      <c r="EM980" s="319" t="s">
        <v>428</v>
      </c>
      <c r="EN980" s="319" t="s">
        <v>190</v>
      </c>
      <c r="EO980" s="319" t="s">
        <v>190</v>
      </c>
      <c r="EP980" s="319" t="s">
        <v>190</v>
      </c>
      <c r="EQ980" s="319" t="s">
        <v>190</v>
      </c>
      <c r="ER980" s="319" t="s">
        <v>190</v>
      </c>
      <c r="ES980" s="319" t="s">
        <v>190</v>
      </c>
      <c r="ET980" s="319" t="s">
        <v>190</v>
      </c>
      <c r="EU980" s="319" t="s">
        <v>190</v>
      </c>
      <c r="EV980" s="319" t="s">
        <v>190</v>
      </c>
      <c r="EW980" s="319" t="s">
        <v>190</v>
      </c>
      <c r="EX980" s="319" t="s">
        <v>190</v>
      </c>
      <c r="EY980" s="319" t="s">
        <v>190</v>
      </c>
      <c r="EZ980" s="319" t="s">
        <v>190</v>
      </c>
      <c r="FA980" s="319" t="s">
        <v>428</v>
      </c>
      <c r="FB980" s="319" t="s">
        <v>428</v>
      </c>
      <c r="FC980" s="319" t="s">
        <v>428</v>
      </c>
      <c r="FD980" s="319" t="s">
        <v>428</v>
      </c>
      <c r="FE980" s="319" t="s">
        <v>428</v>
      </c>
      <c r="FF980" s="319" t="s">
        <v>428</v>
      </c>
      <c r="FG980" s="319" t="s">
        <v>428</v>
      </c>
      <c r="FH980" s="319" t="s">
        <v>428</v>
      </c>
      <c r="FI980" s="319" t="s">
        <v>428</v>
      </c>
      <c r="FJ980" s="319" t="s">
        <v>429</v>
      </c>
      <c r="FK980" s="319" t="s">
        <v>428</v>
      </c>
      <c r="FL980" s="319" t="s">
        <v>190</v>
      </c>
      <c r="FM980" s="319" t="s">
        <v>190</v>
      </c>
      <c r="FN980" s="319" t="s">
        <v>428</v>
      </c>
      <c r="FO980" s="319" t="s">
        <v>428</v>
      </c>
      <c r="FP980" s="319" t="s">
        <v>190</v>
      </c>
      <c r="FQ980" s="319" t="s">
        <v>190</v>
      </c>
      <c r="FR980" s="319" t="s">
        <v>190</v>
      </c>
      <c r="FS980" s="319" t="s">
        <v>428</v>
      </c>
      <c r="FT980" s="319" t="s">
        <v>428</v>
      </c>
      <c r="FU980" s="319" t="s">
        <v>190</v>
      </c>
      <c r="FV980" s="319" t="s">
        <v>190</v>
      </c>
      <c r="FW980" s="319" t="s">
        <v>190</v>
      </c>
      <c r="FX980" s="319" t="s">
        <v>190</v>
      </c>
      <c r="FY980" s="319" t="s">
        <v>190</v>
      </c>
      <c r="FZ980" s="319" t="s">
        <v>190</v>
      </c>
      <c r="GA980" s="319" t="s">
        <v>190</v>
      </c>
      <c r="GB980" s="319" t="s">
        <v>190</v>
      </c>
      <c r="GC980" s="319" t="s">
        <v>190</v>
      </c>
      <c r="GD980" s="319" t="s">
        <v>190</v>
      </c>
      <c r="GE980" s="319" t="s">
        <v>190</v>
      </c>
      <c r="GF980" s="319" t="s">
        <v>190</v>
      </c>
      <c r="GG980" s="319" t="s">
        <v>190</v>
      </c>
      <c r="GH980" s="319" t="s">
        <v>190</v>
      </c>
      <c r="GI980" s="319" t="s">
        <v>190</v>
      </c>
      <c r="GJ980" s="319" t="s">
        <v>190</v>
      </c>
      <c r="GK980" s="319" t="s">
        <v>428</v>
      </c>
      <c r="GL980" s="319" t="s">
        <v>190</v>
      </c>
      <c r="GM980" s="319" t="s">
        <v>190</v>
      </c>
      <c r="GN980" s="319" t="s">
        <v>190</v>
      </c>
      <c r="GO980" s="319" t="s">
        <v>190</v>
      </c>
      <c r="GP980" s="319" t="s">
        <v>428</v>
      </c>
      <c r="GQ980" s="319" t="s">
        <v>428</v>
      </c>
      <c r="GR980" s="319" t="s">
        <v>190</v>
      </c>
      <c r="GS980" s="319" t="s">
        <v>190</v>
      </c>
      <c r="GT980" s="319" t="s">
        <v>428</v>
      </c>
      <c r="GU980" s="319" t="s">
        <v>428</v>
      </c>
      <c r="GV980" s="319" t="s">
        <v>190</v>
      </c>
      <c r="GW980" s="319" t="s">
        <v>190</v>
      </c>
      <c r="GX980" s="319" t="s">
        <v>190</v>
      </c>
      <c r="GY980" s="319" t="s">
        <v>190</v>
      </c>
      <c r="GZ980" s="319" t="s">
        <v>190</v>
      </c>
      <c r="HA980" s="319" t="s">
        <v>428</v>
      </c>
      <c r="HB980" s="319" t="s">
        <v>428</v>
      </c>
      <c r="HC980" s="319" t="s">
        <v>190</v>
      </c>
      <c r="HD980" s="319" t="s">
        <v>190</v>
      </c>
      <c r="HE980" s="319" t="s">
        <v>190</v>
      </c>
      <c r="HF980" s="319" t="s">
        <v>190</v>
      </c>
      <c r="HG980" s="319" t="s">
        <v>190</v>
      </c>
      <c r="HH980" s="319" t="s">
        <v>190</v>
      </c>
      <c r="HI980" s="319" t="s">
        <v>190</v>
      </c>
      <c r="HJ980" s="319" t="s">
        <v>190</v>
      </c>
      <c r="HK980" s="319" t="s">
        <v>428</v>
      </c>
      <c r="HL980" s="319" t="s">
        <v>428</v>
      </c>
      <c r="HM980" s="319" t="s">
        <v>428</v>
      </c>
      <c r="HN980" s="319" t="s">
        <v>428</v>
      </c>
      <c r="HO980" s="319" t="s">
        <v>428</v>
      </c>
      <c r="HP980" s="319" t="s">
        <v>190</v>
      </c>
      <c r="HQ980" s="319" t="s">
        <v>190</v>
      </c>
      <c r="HR980" s="319" t="s">
        <v>190</v>
      </c>
      <c r="HS980" s="319" t="s">
        <v>190</v>
      </c>
      <c r="HT980" s="319" t="s">
        <v>190</v>
      </c>
      <c r="HU980" s="319" t="s">
        <v>190</v>
      </c>
      <c r="HV980" s="319" t="s">
        <v>190</v>
      </c>
      <c r="HW980" s="319" t="s">
        <v>190</v>
      </c>
      <c r="HX980" s="319" t="s">
        <v>190</v>
      </c>
      <c r="HY980" s="319" t="s">
        <v>190</v>
      </c>
      <c r="HZ980" s="319" t="s">
        <v>190</v>
      </c>
      <c r="IA980" s="319" t="s">
        <v>190</v>
      </c>
      <c r="IB980" s="319" t="s">
        <v>190</v>
      </c>
      <c r="IC980" s="319" t="s">
        <v>190</v>
      </c>
      <c r="ID980" s="319" t="s">
        <v>190</v>
      </c>
      <c r="IE980" s="319" t="s">
        <v>190</v>
      </c>
      <c r="IF980" s="319" t="s">
        <v>190</v>
      </c>
      <c r="IG980" s="319" t="s">
        <v>190</v>
      </c>
      <c r="IH980" s="319" t="s">
        <v>190</v>
      </c>
      <c r="II980" s="319" t="s">
        <v>190</v>
      </c>
      <c r="IJ980" s="319" t="s">
        <v>173</v>
      </c>
      <c r="IK980" s="319" t="s">
        <v>173</v>
      </c>
      <c r="IL980" s="319" t="s">
        <v>173</v>
      </c>
      <c r="IM980" s="319" t="s">
        <v>173</v>
      </c>
      <c r="IN980" s="319" t="s">
        <v>173</v>
      </c>
      <c r="IO980" s="319" t="s">
        <v>173</v>
      </c>
      <c r="IP980" s="319" t="s">
        <v>173</v>
      </c>
      <c r="IQ980" s="321" t="s">
        <v>173</v>
      </c>
      <c r="IR980" s="320" t="s">
        <v>173</v>
      </c>
      <c r="IS980" s="322" t="s">
        <v>173</v>
      </c>
      <c r="IT980" s="319" t="s">
        <v>173</v>
      </c>
    </row>
    <row r="981" spans="1:254" s="271" customFormat="1" x14ac:dyDescent="0.25">
      <c r="A981" s="318" t="str">
        <f>HYPERLINK("http://www.ofsted.gov.uk/inspection-reports/find-inspection-report/provider/ELS/145479 ","Ofsted School Webpage")</f>
        <v>Ofsted School Webpage</v>
      </c>
      <c r="B981" s="319">
        <v>145479</v>
      </c>
      <c r="C981" s="319">
        <v>8506094</v>
      </c>
      <c r="D981" s="319" t="s">
        <v>530</v>
      </c>
      <c r="E981" s="319" t="s">
        <v>168</v>
      </c>
      <c r="F981" s="319" t="s">
        <v>81</v>
      </c>
      <c r="G981" s="319" t="s">
        <v>81</v>
      </c>
      <c r="H981" s="319" t="s">
        <v>81</v>
      </c>
      <c r="I981" s="319" t="s">
        <v>78</v>
      </c>
      <c r="J981" s="319" t="s">
        <v>424</v>
      </c>
      <c r="K981" s="319" t="s">
        <v>514</v>
      </c>
      <c r="L981" s="319" t="s">
        <v>514</v>
      </c>
      <c r="M981" s="319" t="s">
        <v>515</v>
      </c>
      <c r="N981" s="319" t="s">
        <v>3572</v>
      </c>
      <c r="O981" s="319" t="s">
        <v>531</v>
      </c>
      <c r="P981" s="319">
        <v>15</v>
      </c>
      <c r="Q981" s="319" t="s">
        <v>429</v>
      </c>
      <c r="R981" s="320">
        <v>10054088</v>
      </c>
      <c r="S981" s="321">
        <v>43376</v>
      </c>
      <c r="T981" s="321">
        <v>43378</v>
      </c>
      <c r="U981" s="321">
        <v>43415</v>
      </c>
      <c r="V981" s="319" t="s">
        <v>435</v>
      </c>
      <c r="W981" s="319" t="s">
        <v>2767</v>
      </c>
      <c r="X981" s="319">
        <v>1</v>
      </c>
      <c r="Y981" s="319" t="s">
        <v>173</v>
      </c>
      <c r="Z981" s="319" t="s">
        <v>173</v>
      </c>
      <c r="AA981" s="319" t="s">
        <v>173</v>
      </c>
      <c r="AB981" s="319">
        <v>1</v>
      </c>
      <c r="AC981" s="319" t="s">
        <v>169</v>
      </c>
      <c r="AD981" s="319" t="s">
        <v>173</v>
      </c>
      <c r="AE981" s="319" t="s">
        <v>173</v>
      </c>
      <c r="AF981" s="319" t="s">
        <v>427</v>
      </c>
      <c r="AG981" s="319" t="s">
        <v>171</v>
      </c>
      <c r="AH981" s="319" t="s">
        <v>190</v>
      </c>
      <c r="AI981" s="319" t="s">
        <v>190</v>
      </c>
      <c r="AJ981" s="319" t="s">
        <v>190</v>
      </c>
      <c r="AK981" s="319" t="s">
        <v>190</v>
      </c>
      <c r="AL981" s="319" t="s">
        <v>190</v>
      </c>
      <c r="AM981" s="319" t="s">
        <v>190</v>
      </c>
      <c r="AN981" s="319" t="s">
        <v>190</v>
      </c>
      <c r="AO981" s="319" t="s">
        <v>190</v>
      </c>
      <c r="AP981" s="319" t="s">
        <v>190</v>
      </c>
      <c r="AQ981" s="319" t="s">
        <v>190</v>
      </c>
      <c r="AR981" s="319" t="s">
        <v>190</v>
      </c>
      <c r="AS981" s="319" t="s">
        <v>190</v>
      </c>
      <c r="AT981" s="319" t="s">
        <v>190</v>
      </c>
      <c r="AU981" s="319" t="s">
        <v>190</v>
      </c>
      <c r="AV981" s="319" t="s">
        <v>190</v>
      </c>
      <c r="AW981" s="319" t="s">
        <v>190</v>
      </c>
      <c r="AX981" s="319" t="s">
        <v>428</v>
      </c>
      <c r="AY981" s="319" t="s">
        <v>190</v>
      </c>
      <c r="AZ981" s="319" t="s">
        <v>190</v>
      </c>
      <c r="BA981" s="319" t="s">
        <v>190</v>
      </c>
      <c r="BB981" s="319" t="s">
        <v>190</v>
      </c>
      <c r="BC981" s="319" t="s">
        <v>190</v>
      </c>
      <c r="BD981" s="319" t="s">
        <v>190</v>
      </c>
      <c r="BE981" s="319" t="s">
        <v>190</v>
      </c>
      <c r="BF981" s="319" t="s">
        <v>428</v>
      </c>
      <c r="BG981" s="319" t="s">
        <v>428</v>
      </c>
      <c r="BH981" s="319" t="s">
        <v>190</v>
      </c>
      <c r="BI981" s="319" t="s">
        <v>190</v>
      </c>
      <c r="BJ981" s="319" t="s">
        <v>190</v>
      </c>
      <c r="BK981" s="319" t="s">
        <v>190</v>
      </c>
      <c r="BL981" s="319" t="s">
        <v>190</v>
      </c>
      <c r="BM981" s="319" t="s">
        <v>190</v>
      </c>
      <c r="BN981" s="319" t="s">
        <v>190</v>
      </c>
      <c r="BO981" s="319" t="s">
        <v>190</v>
      </c>
      <c r="BP981" s="319" t="s">
        <v>190</v>
      </c>
      <c r="BQ981" s="319" t="s">
        <v>190</v>
      </c>
      <c r="BR981" s="319" t="s">
        <v>190</v>
      </c>
      <c r="BS981" s="319" t="s">
        <v>190</v>
      </c>
      <c r="BT981" s="319" t="s">
        <v>190</v>
      </c>
      <c r="BU981" s="319" t="s">
        <v>190</v>
      </c>
      <c r="BV981" s="319" t="s">
        <v>190</v>
      </c>
      <c r="BW981" s="319" t="s">
        <v>190</v>
      </c>
      <c r="BX981" s="319" t="s">
        <v>190</v>
      </c>
      <c r="BY981" s="319" t="s">
        <v>190</v>
      </c>
      <c r="BZ981" s="319" t="s">
        <v>190</v>
      </c>
      <c r="CA981" s="319" t="s">
        <v>190</v>
      </c>
      <c r="CB981" s="319" t="s">
        <v>190</v>
      </c>
      <c r="CC981" s="319" t="s">
        <v>190</v>
      </c>
      <c r="CD981" s="319" t="s">
        <v>190</v>
      </c>
      <c r="CE981" s="319" t="s">
        <v>190</v>
      </c>
      <c r="CF981" s="319" t="s">
        <v>190</v>
      </c>
      <c r="CG981" s="319" t="s">
        <v>190</v>
      </c>
      <c r="CH981" s="319" t="s">
        <v>190</v>
      </c>
      <c r="CI981" s="319" t="s">
        <v>190</v>
      </c>
      <c r="CJ981" s="319" t="s">
        <v>190</v>
      </c>
      <c r="CK981" s="319" t="s">
        <v>190</v>
      </c>
      <c r="CL981" s="319" t="s">
        <v>190</v>
      </c>
      <c r="CM981" s="319" t="s">
        <v>190</v>
      </c>
      <c r="CN981" s="319" t="s">
        <v>428</v>
      </c>
      <c r="CO981" s="319" t="s">
        <v>428</v>
      </c>
      <c r="CP981" s="319" t="s">
        <v>428</v>
      </c>
      <c r="CQ981" s="319" t="s">
        <v>190</v>
      </c>
      <c r="CR981" s="319" t="s">
        <v>190</v>
      </c>
      <c r="CS981" s="319" t="s">
        <v>190</v>
      </c>
      <c r="CT981" s="319" t="s">
        <v>190</v>
      </c>
      <c r="CU981" s="319" t="s">
        <v>190</v>
      </c>
      <c r="CV981" s="319" t="s">
        <v>190</v>
      </c>
      <c r="CW981" s="319" t="s">
        <v>190</v>
      </c>
      <c r="CX981" s="319" t="s">
        <v>190</v>
      </c>
      <c r="CY981" s="319" t="s">
        <v>190</v>
      </c>
      <c r="CZ981" s="319" t="s">
        <v>190</v>
      </c>
      <c r="DA981" s="319" t="s">
        <v>190</v>
      </c>
      <c r="DB981" s="319" t="s">
        <v>190</v>
      </c>
      <c r="DC981" s="319" t="s">
        <v>190</v>
      </c>
      <c r="DD981" s="319" t="s">
        <v>190</v>
      </c>
      <c r="DE981" s="319" t="s">
        <v>190</v>
      </c>
      <c r="DF981" s="319" t="s">
        <v>190</v>
      </c>
      <c r="DG981" s="319" t="s">
        <v>190</v>
      </c>
      <c r="DH981" s="319" t="s">
        <v>190</v>
      </c>
      <c r="DI981" s="319" t="s">
        <v>190</v>
      </c>
      <c r="DJ981" s="319" t="s">
        <v>190</v>
      </c>
      <c r="DK981" s="319" t="s">
        <v>190</v>
      </c>
      <c r="DL981" s="319" t="s">
        <v>190</v>
      </c>
      <c r="DM981" s="319" t="s">
        <v>190</v>
      </c>
      <c r="DN981" s="319" t="s">
        <v>428</v>
      </c>
      <c r="DO981" s="319" t="s">
        <v>190</v>
      </c>
      <c r="DP981" s="319" t="s">
        <v>190</v>
      </c>
      <c r="DQ981" s="319" t="s">
        <v>190</v>
      </c>
      <c r="DR981" s="319" t="s">
        <v>190</v>
      </c>
      <c r="DS981" s="319" t="s">
        <v>190</v>
      </c>
      <c r="DT981" s="319" t="s">
        <v>190</v>
      </c>
      <c r="DU981" s="319" t="s">
        <v>190</v>
      </c>
      <c r="DV981" s="319" t="s">
        <v>173</v>
      </c>
      <c r="DW981" s="319" t="s">
        <v>190</v>
      </c>
      <c r="DX981" s="319" t="s">
        <v>190</v>
      </c>
      <c r="DY981" s="319" t="s">
        <v>190</v>
      </c>
      <c r="DZ981" s="319" t="s">
        <v>190</v>
      </c>
      <c r="EA981" s="319" t="s">
        <v>190</v>
      </c>
      <c r="EB981" s="319" t="s">
        <v>190</v>
      </c>
      <c r="EC981" s="319" t="s">
        <v>428</v>
      </c>
      <c r="ED981" s="319" t="s">
        <v>190</v>
      </c>
      <c r="EE981" s="319" t="s">
        <v>190</v>
      </c>
      <c r="EF981" s="319" t="s">
        <v>190</v>
      </c>
      <c r="EG981" s="319" t="s">
        <v>190</v>
      </c>
      <c r="EH981" s="319" t="s">
        <v>190</v>
      </c>
      <c r="EI981" s="319" t="s">
        <v>190</v>
      </c>
      <c r="EJ981" s="319" t="s">
        <v>190</v>
      </c>
      <c r="EK981" s="319" t="s">
        <v>190</v>
      </c>
      <c r="EL981" s="319" t="s">
        <v>428</v>
      </c>
      <c r="EM981" s="319" t="s">
        <v>428</v>
      </c>
      <c r="EN981" s="319" t="s">
        <v>190</v>
      </c>
      <c r="EO981" s="319" t="s">
        <v>190</v>
      </c>
      <c r="EP981" s="319" t="s">
        <v>190</v>
      </c>
      <c r="EQ981" s="319" t="s">
        <v>190</v>
      </c>
      <c r="ER981" s="319" t="s">
        <v>190</v>
      </c>
      <c r="ES981" s="319" t="s">
        <v>190</v>
      </c>
      <c r="ET981" s="319" t="s">
        <v>190</v>
      </c>
      <c r="EU981" s="319" t="s">
        <v>190</v>
      </c>
      <c r="EV981" s="319" t="s">
        <v>190</v>
      </c>
      <c r="EW981" s="319" t="s">
        <v>190</v>
      </c>
      <c r="EX981" s="319" t="s">
        <v>190</v>
      </c>
      <c r="EY981" s="319" t="s">
        <v>190</v>
      </c>
      <c r="EZ981" s="319" t="s">
        <v>190</v>
      </c>
      <c r="FA981" s="319" t="s">
        <v>190</v>
      </c>
      <c r="FB981" s="319" t="s">
        <v>428</v>
      </c>
      <c r="FC981" s="319" t="s">
        <v>428</v>
      </c>
      <c r="FD981" s="319" t="s">
        <v>428</v>
      </c>
      <c r="FE981" s="319" t="s">
        <v>428</v>
      </c>
      <c r="FF981" s="319" t="s">
        <v>428</v>
      </c>
      <c r="FG981" s="319" t="s">
        <v>428</v>
      </c>
      <c r="FH981" s="319" t="s">
        <v>190</v>
      </c>
      <c r="FI981" s="319" t="s">
        <v>190</v>
      </c>
      <c r="FJ981" s="319" t="s">
        <v>190</v>
      </c>
      <c r="FK981" s="319" t="s">
        <v>190</v>
      </c>
      <c r="FL981" s="319" t="s">
        <v>190</v>
      </c>
      <c r="FM981" s="319" t="s">
        <v>190</v>
      </c>
      <c r="FN981" s="319" t="s">
        <v>190</v>
      </c>
      <c r="FO981" s="319" t="s">
        <v>190</v>
      </c>
      <c r="FP981" s="319" t="s">
        <v>190</v>
      </c>
      <c r="FQ981" s="319" t="s">
        <v>190</v>
      </c>
      <c r="FR981" s="319" t="s">
        <v>190</v>
      </c>
      <c r="FS981" s="319" t="s">
        <v>428</v>
      </c>
      <c r="FT981" s="319" t="s">
        <v>190</v>
      </c>
      <c r="FU981" s="319" t="s">
        <v>190</v>
      </c>
      <c r="FV981" s="319" t="s">
        <v>190</v>
      </c>
      <c r="FW981" s="319" t="s">
        <v>190</v>
      </c>
      <c r="FX981" s="319" t="s">
        <v>190</v>
      </c>
      <c r="FY981" s="319" t="s">
        <v>190</v>
      </c>
      <c r="FZ981" s="319" t="s">
        <v>190</v>
      </c>
      <c r="GA981" s="319" t="s">
        <v>190</v>
      </c>
      <c r="GB981" s="319" t="s">
        <v>190</v>
      </c>
      <c r="GC981" s="319" t="s">
        <v>190</v>
      </c>
      <c r="GD981" s="319" t="s">
        <v>190</v>
      </c>
      <c r="GE981" s="319" t="s">
        <v>190</v>
      </c>
      <c r="GF981" s="319" t="s">
        <v>190</v>
      </c>
      <c r="GG981" s="319" t="s">
        <v>190</v>
      </c>
      <c r="GH981" s="319" t="s">
        <v>190</v>
      </c>
      <c r="GI981" s="319" t="s">
        <v>190</v>
      </c>
      <c r="GJ981" s="319" t="s">
        <v>190</v>
      </c>
      <c r="GK981" s="319" t="s">
        <v>428</v>
      </c>
      <c r="GL981" s="319" t="s">
        <v>190</v>
      </c>
      <c r="GM981" s="319" t="s">
        <v>190</v>
      </c>
      <c r="GN981" s="319" t="s">
        <v>190</v>
      </c>
      <c r="GO981" s="319" t="s">
        <v>190</v>
      </c>
      <c r="GP981" s="319" t="s">
        <v>428</v>
      </c>
      <c r="GQ981" s="319" t="s">
        <v>428</v>
      </c>
      <c r="GR981" s="319" t="s">
        <v>190</v>
      </c>
      <c r="GS981" s="319" t="s">
        <v>190</v>
      </c>
      <c r="GT981" s="319" t="s">
        <v>190</v>
      </c>
      <c r="GU981" s="319" t="s">
        <v>190</v>
      </c>
      <c r="GV981" s="319" t="s">
        <v>190</v>
      </c>
      <c r="GW981" s="319" t="s">
        <v>190</v>
      </c>
      <c r="GX981" s="319" t="s">
        <v>190</v>
      </c>
      <c r="GY981" s="319" t="s">
        <v>190</v>
      </c>
      <c r="GZ981" s="319" t="s">
        <v>428</v>
      </c>
      <c r="HA981" s="319" t="s">
        <v>190</v>
      </c>
      <c r="HB981" s="319" t="s">
        <v>190</v>
      </c>
      <c r="HC981" s="319" t="s">
        <v>190</v>
      </c>
      <c r="HD981" s="319" t="s">
        <v>190</v>
      </c>
      <c r="HE981" s="319" t="s">
        <v>190</v>
      </c>
      <c r="HF981" s="319" t="s">
        <v>190</v>
      </c>
      <c r="HG981" s="319" t="s">
        <v>190</v>
      </c>
      <c r="HH981" s="319" t="s">
        <v>190</v>
      </c>
      <c r="HI981" s="319" t="s">
        <v>428</v>
      </c>
      <c r="HJ981" s="319" t="s">
        <v>428</v>
      </c>
      <c r="HK981" s="319" t="s">
        <v>428</v>
      </c>
      <c r="HL981" s="319" t="s">
        <v>428</v>
      </c>
      <c r="HM981" s="319" t="s">
        <v>428</v>
      </c>
      <c r="HN981" s="319" t="s">
        <v>428</v>
      </c>
      <c r="HO981" s="319" t="s">
        <v>428</v>
      </c>
      <c r="HP981" s="319" t="s">
        <v>190</v>
      </c>
      <c r="HQ981" s="319" t="s">
        <v>190</v>
      </c>
      <c r="HR981" s="319" t="s">
        <v>190</v>
      </c>
      <c r="HS981" s="319" t="s">
        <v>190</v>
      </c>
      <c r="HT981" s="319" t="s">
        <v>190</v>
      </c>
      <c r="HU981" s="319" t="s">
        <v>190</v>
      </c>
      <c r="HV981" s="319" t="s">
        <v>190</v>
      </c>
      <c r="HW981" s="319" t="s">
        <v>190</v>
      </c>
      <c r="HX981" s="319" t="s">
        <v>190</v>
      </c>
      <c r="HY981" s="319" t="s">
        <v>190</v>
      </c>
      <c r="HZ981" s="319" t="s">
        <v>190</v>
      </c>
      <c r="IA981" s="319" t="s">
        <v>190</v>
      </c>
      <c r="IB981" s="319" t="s">
        <v>190</v>
      </c>
      <c r="IC981" s="319" t="s">
        <v>190</v>
      </c>
      <c r="ID981" s="319" t="s">
        <v>190</v>
      </c>
      <c r="IE981" s="319" t="s">
        <v>190</v>
      </c>
      <c r="IF981" s="319" t="s">
        <v>190</v>
      </c>
      <c r="IG981" s="319" t="s">
        <v>190</v>
      </c>
      <c r="IH981" s="319" t="s">
        <v>190</v>
      </c>
      <c r="II981" s="319" t="s">
        <v>190</v>
      </c>
      <c r="IJ981" s="319" t="s">
        <v>173</v>
      </c>
      <c r="IK981" s="319" t="s">
        <v>173</v>
      </c>
      <c r="IL981" s="319" t="s">
        <v>173</v>
      </c>
      <c r="IM981" s="319" t="s">
        <v>173</v>
      </c>
      <c r="IN981" s="319" t="s">
        <v>173</v>
      </c>
      <c r="IO981" s="319" t="s">
        <v>173</v>
      </c>
      <c r="IP981" s="319" t="s">
        <v>173</v>
      </c>
      <c r="IQ981" s="321" t="s">
        <v>173</v>
      </c>
      <c r="IR981" s="320" t="s">
        <v>173</v>
      </c>
      <c r="IS981" s="322" t="s">
        <v>173</v>
      </c>
      <c r="IT981" s="319" t="s">
        <v>173</v>
      </c>
    </row>
    <row r="982" spans="1:254" s="271" customFormat="1" x14ac:dyDescent="0.25">
      <c r="A982" s="318" t="str">
        <f>HYPERLINK("http://www.ofsted.gov.uk/inspection-reports/find-inspection-report/provider/ELS/145493 ","Ofsted School Webpage")</f>
        <v>Ofsted School Webpage</v>
      </c>
      <c r="B982" s="319">
        <v>145493</v>
      </c>
      <c r="C982" s="319">
        <v>8856046</v>
      </c>
      <c r="D982" s="319" t="s">
        <v>2503</v>
      </c>
      <c r="E982" s="319" t="s">
        <v>167</v>
      </c>
      <c r="F982" s="319" t="s">
        <v>81</v>
      </c>
      <c r="G982" s="319" t="s">
        <v>81</v>
      </c>
      <c r="H982" s="319" t="s">
        <v>81</v>
      </c>
      <c r="I982" s="319" t="s">
        <v>78</v>
      </c>
      <c r="J982" s="319" t="s">
        <v>424</v>
      </c>
      <c r="K982" s="319" t="s">
        <v>437</v>
      </c>
      <c r="L982" s="319" t="s">
        <v>437</v>
      </c>
      <c r="M982" s="319" t="s">
        <v>483</v>
      </c>
      <c r="N982" s="319" t="s">
        <v>2967</v>
      </c>
      <c r="O982" s="319" t="s">
        <v>2504</v>
      </c>
      <c r="P982" s="319" t="s">
        <v>173</v>
      </c>
      <c r="Q982" s="319" t="s">
        <v>2766</v>
      </c>
      <c r="R982" s="320" t="s">
        <v>173</v>
      </c>
      <c r="S982" s="321" t="s">
        <v>173</v>
      </c>
      <c r="T982" s="321" t="s">
        <v>173</v>
      </c>
      <c r="U982" s="321" t="s">
        <v>173</v>
      </c>
      <c r="V982" s="319" t="s">
        <v>173</v>
      </c>
      <c r="W982" s="319" t="s">
        <v>173</v>
      </c>
      <c r="X982" s="319" t="s">
        <v>173</v>
      </c>
      <c r="Y982" s="319" t="s">
        <v>173</v>
      </c>
      <c r="Z982" s="319" t="s">
        <v>173</v>
      </c>
      <c r="AA982" s="319" t="s">
        <v>173</v>
      </c>
      <c r="AB982" s="319" t="s">
        <v>173</v>
      </c>
      <c r="AC982" s="319" t="s">
        <v>173</v>
      </c>
      <c r="AD982" s="319" t="s">
        <v>173</v>
      </c>
      <c r="AE982" s="319" t="s">
        <v>173</v>
      </c>
      <c r="AF982" s="319" t="s">
        <v>173</v>
      </c>
      <c r="AG982" s="319" t="s">
        <v>173</v>
      </c>
      <c r="AH982" s="319" t="s">
        <v>173</v>
      </c>
      <c r="AI982" s="319" t="s">
        <v>173</v>
      </c>
      <c r="AJ982" s="319" t="s">
        <v>173</v>
      </c>
      <c r="AK982" s="319" t="s">
        <v>173</v>
      </c>
      <c r="AL982" s="319" t="s">
        <v>173</v>
      </c>
      <c r="AM982" s="319" t="s">
        <v>173</v>
      </c>
      <c r="AN982" s="319" t="s">
        <v>173</v>
      </c>
      <c r="AO982" s="319" t="s">
        <v>173</v>
      </c>
      <c r="AP982" s="319" t="s">
        <v>173</v>
      </c>
      <c r="AQ982" s="319" t="s">
        <v>173</v>
      </c>
      <c r="AR982" s="319" t="s">
        <v>173</v>
      </c>
      <c r="AS982" s="319" t="s">
        <v>173</v>
      </c>
      <c r="AT982" s="319" t="s">
        <v>173</v>
      </c>
      <c r="AU982" s="319" t="s">
        <v>173</v>
      </c>
      <c r="AV982" s="319" t="s">
        <v>173</v>
      </c>
      <c r="AW982" s="319" t="s">
        <v>173</v>
      </c>
      <c r="AX982" s="319" t="s">
        <v>173</v>
      </c>
      <c r="AY982" s="319" t="s">
        <v>173</v>
      </c>
      <c r="AZ982" s="319" t="s">
        <v>173</v>
      </c>
      <c r="BA982" s="319" t="s">
        <v>173</v>
      </c>
      <c r="BB982" s="319" t="s">
        <v>173</v>
      </c>
      <c r="BC982" s="319" t="s">
        <v>173</v>
      </c>
      <c r="BD982" s="319" t="s">
        <v>173</v>
      </c>
      <c r="BE982" s="319" t="s">
        <v>173</v>
      </c>
      <c r="BF982" s="319" t="s">
        <v>173</v>
      </c>
      <c r="BG982" s="319" t="s">
        <v>173</v>
      </c>
      <c r="BH982" s="319" t="s">
        <v>173</v>
      </c>
      <c r="BI982" s="319" t="s">
        <v>173</v>
      </c>
      <c r="BJ982" s="319" t="s">
        <v>173</v>
      </c>
      <c r="BK982" s="319" t="s">
        <v>173</v>
      </c>
      <c r="BL982" s="319" t="s">
        <v>173</v>
      </c>
      <c r="BM982" s="319" t="s">
        <v>173</v>
      </c>
      <c r="BN982" s="319" t="s">
        <v>173</v>
      </c>
      <c r="BO982" s="319" t="s">
        <v>173</v>
      </c>
      <c r="BP982" s="319" t="s">
        <v>173</v>
      </c>
      <c r="BQ982" s="319" t="s">
        <v>173</v>
      </c>
      <c r="BR982" s="319" t="s">
        <v>173</v>
      </c>
      <c r="BS982" s="319" t="s">
        <v>173</v>
      </c>
      <c r="BT982" s="319" t="s">
        <v>173</v>
      </c>
      <c r="BU982" s="319" t="s">
        <v>173</v>
      </c>
      <c r="BV982" s="319" t="s">
        <v>173</v>
      </c>
      <c r="BW982" s="319" t="s">
        <v>173</v>
      </c>
      <c r="BX982" s="319" t="s">
        <v>173</v>
      </c>
      <c r="BY982" s="319" t="s">
        <v>173</v>
      </c>
      <c r="BZ982" s="319" t="s">
        <v>173</v>
      </c>
      <c r="CA982" s="319" t="s">
        <v>173</v>
      </c>
      <c r="CB982" s="319" t="s">
        <v>173</v>
      </c>
      <c r="CC982" s="319" t="s">
        <v>173</v>
      </c>
      <c r="CD982" s="319" t="s">
        <v>173</v>
      </c>
      <c r="CE982" s="319" t="s">
        <v>173</v>
      </c>
      <c r="CF982" s="319" t="s">
        <v>173</v>
      </c>
      <c r="CG982" s="319" t="s">
        <v>173</v>
      </c>
      <c r="CH982" s="319" t="s">
        <v>173</v>
      </c>
      <c r="CI982" s="319" t="s">
        <v>173</v>
      </c>
      <c r="CJ982" s="319" t="s">
        <v>173</v>
      </c>
      <c r="CK982" s="319" t="s">
        <v>173</v>
      </c>
      <c r="CL982" s="319" t="s">
        <v>173</v>
      </c>
      <c r="CM982" s="319" t="s">
        <v>173</v>
      </c>
      <c r="CN982" s="319" t="s">
        <v>173</v>
      </c>
      <c r="CO982" s="319" t="s">
        <v>173</v>
      </c>
      <c r="CP982" s="319" t="s">
        <v>173</v>
      </c>
      <c r="CQ982" s="319" t="s">
        <v>173</v>
      </c>
      <c r="CR982" s="319" t="s">
        <v>173</v>
      </c>
      <c r="CS982" s="319" t="s">
        <v>173</v>
      </c>
      <c r="CT982" s="319" t="s">
        <v>173</v>
      </c>
      <c r="CU982" s="319" t="s">
        <v>173</v>
      </c>
      <c r="CV982" s="319" t="s">
        <v>173</v>
      </c>
      <c r="CW982" s="319" t="s">
        <v>173</v>
      </c>
      <c r="CX982" s="319" t="s">
        <v>173</v>
      </c>
      <c r="CY982" s="319" t="s">
        <v>173</v>
      </c>
      <c r="CZ982" s="319" t="s">
        <v>173</v>
      </c>
      <c r="DA982" s="319" t="s">
        <v>173</v>
      </c>
      <c r="DB982" s="319" t="s">
        <v>173</v>
      </c>
      <c r="DC982" s="319" t="s">
        <v>173</v>
      </c>
      <c r="DD982" s="319" t="s">
        <v>173</v>
      </c>
      <c r="DE982" s="319" t="s">
        <v>173</v>
      </c>
      <c r="DF982" s="319" t="s">
        <v>173</v>
      </c>
      <c r="DG982" s="319" t="s">
        <v>173</v>
      </c>
      <c r="DH982" s="319" t="s">
        <v>173</v>
      </c>
      <c r="DI982" s="319" t="s">
        <v>173</v>
      </c>
      <c r="DJ982" s="319" t="s">
        <v>173</v>
      </c>
      <c r="DK982" s="319" t="s">
        <v>173</v>
      </c>
      <c r="DL982" s="319" t="s">
        <v>173</v>
      </c>
      <c r="DM982" s="319" t="s">
        <v>173</v>
      </c>
      <c r="DN982" s="319" t="s">
        <v>173</v>
      </c>
      <c r="DO982" s="319" t="s">
        <v>173</v>
      </c>
      <c r="DP982" s="319" t="s">
        <v>173</v>
      </c>
      <c r="DQ982" s="319" t="s">
        <v>173</v>
      </c>
      <c r="DR982" s="319" t="s">
        <v>173</v>
      </c>
      <c r="DS982" s="319" t="s">
        <v>173</v>
      </c>
      <c r="DT982" s="319" t="s">
        <v>173</v>
      </c>
      <c r="DU982" s="319" t="s">
        <v>173</v>
      </c>
      <c r="DV982" s="319" t="s">
        <v>173</v>
      </c>
      <c r="DW982" s="319" t="s">
        <v>173</v>
      </c>
      <c r="DX982" s="319" t="s">
        <v>173</v>
      </c>
      <c r="DY982" s="319" t="s">
        <v>173</v>
      </c>
      <c r="DZ982" s="319" t="s">
        <v>173</v>
      </c>
      <c r="EA982" s="319" t="s">
        <v>173</v>
      </c>
      <c r="EB982" s="319" t="s">
        <v>173</v>
      </c>
      <c r="EC982" s="319" t="s">
        <v>173</v>
      </c>
      <c r="ED982" s="319" t="s">
        <v>173</v>
      </c>
      <c r="EE982" s="319" t="s">
        <v>173</v>
      </c>
      <c r="EF982" s="319" t="s">
        <v>173</v>
      </c>
      <c r="EG982" s="319" t="s">
        <v>173</v>
      </c>
      <c r="EH982" s="319" t="s">
        <v>173</v>
      </c>
      <c r="EI982" s="319" t="s">
        <v>173</v>
      </c>
      <c r="EJ982" s="319" t="s">
        <v>173</v>
      </c>
      <c r="EK982" s="319" t="s">
        <v>173</v>
      </c>
      <c r="EL982" s="319" t="s">
        <v>173</v>
      </c>
      <c r="EM982" s="319" t="s">
        <v>173</v>
      </c>
      <c r="EN982" s="319" t="s">
        <v>173</v>
      </c>
      <c r="EO982" s="319" t="s">
        <v>173</v>
      </c>
      <c r="EP982" s="319" t="s">
        <v>173</v>
      </c>
      <c r="EQ982" s="319" t="s">
        <v>173</v>
      </c>
      <c r="ER982" s="319" t="s">
        <v>173</v>
      </c>
      <c r="ES982" s="319" t="s">
        <v>173</v>
      </c>
      <c r="ET982" s="319" t="s">
        <v>173</v>
      </c>
      <c r="EU982" s="319" t="s">
        <v>173</v>
      </c>
      <c r="EV982" s="319" t="s">
        <v>173</v>
      </c>
      <c r="EW982" s="319" t="s">
        <v>173</v>
      </c>
      <c r="EX982" s="319" t="s">
        <v>173</v>
      </c>
      <c r="EY982" s="319" t="s">
        <v>173</v>
      </c>
      <c r="EZ982" s="319" t="s">
        <v>173</v>
      </c>
      <c r="FA982" s="319" t="s">
        <v>173</v>
      </c>
      <c r="FB982" s="319" t="s">
        <v>173</v>
      </c>
      <c r="FC982" s="319" t="s">
        <v>173</v>
      </c>
      <c r="FD982" s="319" t="s">
        <v>173</v>
      </c>
      <c r="FE982" s="319" t="s">
        <v>173</v>
      </c>
      <c r="FF982" s="319" t="s">
        <v>173</v>
      </c>
      <c r="FG982" s="319" t="s">
        <v>173</v>
      </c>
      <c r="FH982" s="319" t="s">
        <v>173</v>
      </c>
      <c r="FI982" s="319" t="s">
        <v>173</v>
      </c>
      <c r="FJ982" s="319" t="s">
        <v>173</v>
      </c>
      <c r="FK982" s="319" t="s">
        <v>173</v>
      </c>
      <c r="FL982" s="319" t="s">
        <v>173</v>
      </c>
      <c r="FM982" s="319" t="s">
        <v>173</v>
      </c>
      <c r="FN982" s="319" t="s">
        <v>173</v>
      </c>
      <c r="FO982" s="319" t="s">
        <v>173</v>
      </c>
      <c r="FP982" s="319" t="s">
        <v>173</v>
      </c>
      <c r="FQ982" s="319" t="s">
        <v>173</v>
      </c>
      <c r="FR982" s="319" t="s">
        <v>173</v>
      </c>
      <c r="FS982" s="319" t="s">
        <v>173</v>
      </c>
      <c r="FT982" s="319" t="s">
        <v>173</v>
      </c>
      <c r="FU982" s="319" t="s">
        <v>173</v>
      </c>
      <c r="FV982" s="319" t="s">
        <v>173</v>
      </c>
      <c r="FW982" s="319" t="s">
        <v>173</v>
      </c>
      <c r="FX982" s="319" t="s">
        <v>173</v>
      </c>
      <c r="FY982" s="319" t="s">
        <v>173</v>
      </c>
      <c r="FZ982" s="319" t="s">
        <v>173</v>
      </c>
      <c r="GA982" s="319" t="s">
        <v>173</v>
      </c>
      <c r="GB982" s="319" t="s">
        <v>173</v>
      </c>
      <c r="GC982" s="319" t="s">
        <v>173</v>
      </c>
      <c r="GD982" s="319" t="s">
        <v>173</v>
      </c>
      <c r="GE982" s="319" t="s">
        <v>173</v>
      </c>
      <c r="GF982" s="319" t="s">
        <v>173</v>
      </c>
      <c r="GG982" s="319" t="s">
        <v>173</v>
      </c>
      <c r="GH982" s="319" t="s">
        <v>173</v>
      </c>
      <c r="GI982" s="319" t="s">
        <v>173</v>
      </c>
      <c r="GJ982" s="319" t="s">
        <v>173</v>
      </c>
      <c r="GK982" s="319" t="s">
        <v>173</v>
      </c>
      <c r="GL982" s="319" t="s">
        <v>173</v>
      </c>
      <c r="GM982" s="319" t="s">
        <v>173</v>
      </c>
      <c r="GN982" s="319" t="s">
        <v>173</v>
      </c>
      <c r="GO982" s="319" t="s">
        <v>173</v>
      </c>
      <c r="GP982" s="319" t="s">
        <v>173</v>
      </c>
      <c r="GQ982" s="319" t="s">
        <v>173</v>
      </c>
      <c r="GR982" s="319" t="s">
        <v>173</v>
      </c>
      <c r="GS982" s="319" t="s">
        <v>173</v>
      </c>
      <c r="GT982" s="319" t="s">
        <v>173</v>
      </c>
      <c r="GU982" s="319" t="s">
        <v>173</v>
      </c>
      <c r="GV982" s="319" t="s">
        <v>173</v>
      </c>
      <c r="GW982" s="319" t="s">
        <v>173</v>
      </c>
      <c r="GX982" s="319" t="s">
        <v>173</v>
      </c>
      <c r="GY982" s="319" t="s">
        <v>173</v>
      </c>
      <c r="GZ982" s="319" t="s">
        <v>173</v>
      </c>
      <c r="HA982" s="319" t="s">
        <v>173</v>
      </c>
      <c r="HB982" s="319" t="s">
        <v>173</v>
      </c>
      <c r="HC982" s="319" t="s">
        <v>173</v>
      </c>
      <c r="HD982" s="319" t="s">
        <v>173</v>
      </c>
      <c r="HE982" s="319" t="s">
        <v>173</v>
      </c>
      <c r="HF982" s="319" t="s">
        <v>173</v>
      </c>
      <c r="HG982" s="319" t="s">
        <v>173</v>
      </c>
      <c r="HH982" s="319" t="s">
        <v>173</v>
      </c>
      <c r="HI982" s="319" t="s">
        <v>173</v>
      </c>
      <c r="HJ982" s="319" t="s">
        <v>173</v>
      </c>
      <c r="HK982" s="319" t="s">
        <v>173</v>
      </c>
      <c r="HL982" s="319" t="s">
        <v>173</v>
      </c>
      <c r="HM982" s="319" t="s">
        <v>173</v>
      </c>
      <c r="HN982" s="319" t="s">
        <v>173</v>
      </c>
      <c r="HO982" s="319" t="s">
        <v>173</v>
      </c>
      <c r="HP982" s="319" t="s">
        <v>173</v>
      </c>
      <c r="HQ982" s="319" t="s">
        <v>173</v>
      </c>
      <c r="HR982" s="319" t="s">
        <v>173</v>
      </c>
      <c r="HS982" s="319" t="s">
        <v>173</v>
      </c>
      <c r="HT982" s="319" t="s">
        <v>173</v>
      </c>
      <c r="HU982" s="319" t="s">
        <v>173</v>
      </c>
      <c r="HV982" s="319" t="s">
        <v>173</v>
      </c>
      <c r="HW982" s="319" t="s">
        <v>173</v>
      </c>
      <c r="HX982" s="319" t="s">
        <v>173</v>
      </c>
      <c r="HY982" s="319" t="s">
        <v>173</v>
      </c>
      <c r="HZ982" s="319" t="s">
        <v>173</v>
      </c>
      <c r="IA982" s="319" t="s">
        <v>173</v>
      </c>
      <c r="IB982" s="319" t="s">
        <v>173</v>
      </c>
      <c r="IC982" s="319" t="s">
        <v>173</v>
      </c>
      <c r="ID982" s="319" t="s">
        <v>173</v>
      </c>
      <c r="IE982" s="319" t="s">
        <v>173</v>
      </c>
      <c r="IF982" s="319" t="s">
        <v>173</v>
      </c>
      <c r="IG982" s="319" t="s">
        <v>173</v>
      </c>
      <c r="IH982" s="319" t="s">
        <v>173</v>
      </c>
      <c r="II982" s="319" t="s">
        <v>173</v>
      </c>
      <c r="IJ982" s="319" t="s">
        <v>173</v>
      </c>
      <c r="IK982" s="319" t="s">
        <v>173</v>
      </c>
      <c r="IL982" s="319" t="s">
        <v>173</v>
      </c>
      <c r="IM982" s="319" t="s">
        <v>173</v>
      </c>
      <c r="IN982" s="319" t="s">
        <v>173</v>
      </c>
      <c r="IO982" s="319" t="s">
        <v>173</v>
      </c>
      <c r="IP982" s="319" t="s">
        <v>173</v>
      </c>
      <c r="IQ982" s="321" t="s">
        <v>173</v>
      </c>
      <c r="IR982" s="320" t="s">
        <v>173</v>
      </c>
      <c r="IS982" s="322" t="s">
        <v>173</v>
      </c>
      <c r="IT982" s="319" t="s">
        <v>173</v>
      </c>
    </row>
    <row r="983" spans="1:254" s="271" customFormat="1" x14ac:dyDescent="0.25">
      <c r="A983" s="318" t="str">
        <f>HYPERLINK("http://www.ofsted.gov.uk/inspection-reports/find-inspection-report/provider/ELS/145499 ","Ofsted School Webpage")</f>
        <v>Ofsted School Webpage</v>
      </c>
      <c r="B983" s="319">
        <v>145499</v>
      </c>
      <c r="C983" s="319">
        <v>3806015</v>
      </c>
      <c r="D983" s="319" t="s">
        <v>2595</v>
      </c>
      <c r="E983" s="319" t="s">
        <v>167</v>
      </c>
      <c r="F983" s="319" t="s">
        <v>81</v>
      </c>
      <c r="G983" s="319" t="s">
        <v>71</v>
      </c>
      <c r="H983" s="319" t="s">
        <v>71</v>
      </c>
      <c r="I983" s="319" t="s">
        <v>72</v>
      </c>
      <c r="J983" s="319" t="s">
        <v>424</v>
      </c>
      <c r="K983" s="319" t="s">
        <v>458</v>
      </c>
      <c r="L983" s="319" t="s">
        <v>459</v>
      </c>
      <c r="M983" s="319" t="s">
        <v>595</v>
      </c>
      <c r="N983" s="319" t="s">
        <v>3064</v>
      </c>
      <c r="O983" s="319" t="s">
        <v>1592</v>
      </c>
      <c r="P983" s="319" t="s">
        <v>173</v>
      </c>
      <c r="Q983" s="319" t="s">
        <v>2776</v>
      </c>
      <c r="R983" s="320">
        <v>10123292</v>
      </c>
      <c r="S983" s="321">
        <v>43788</v>
      </c>
      <c r="T983" s="321">
        <v>43790</v>
      </c>
      <c r="U983" s="321">
        <v>43817</v>
      </c>
      <c r="V983" s="319" t="s">
        <v>435</v>
      </c>
      <c r="W983" s="319" t="s">
        <v>2767</v>
      </c>
      <c r="X983" s="319">
        <v>2</v>
      </c>
      <c r="Y983" s="319">
        <v>2</v>
      </c>
      <c r="Z983" s="319">
        <v>1</v>
      </c>
      <c r="AA983" s="319">
        <v>1</v>
      </c>
      <c r="AB983" s="319">
        <v>2</v>
      </c>
      <c r="AC983" s="319" t="s">
        <v>169</v>
      </c>
      <c r="AD983" s="319" t="s">
        <v>173</v>
      </c>
      <c r="AE983" s="319" t="s">
        <v>173</v>
      </c>
      <c r="AF983" s="319" t="s">
        <v>427</v>
      </c>
      <c r="AG983" s="319" t="s">
        <v>171</v>
      </c>
      <c r="AH983" s="319" t="s">
        <v>190</v>
      </c>
      <c r="AI983" s="319" t="s">
        <v>190</v>
      </c>
      <c r="AJ983" s="319" t="s">
        <v>190</v>
      </c>
      <c r="AK983" s="319" t="s">
        <v>190</v>
      </c>
      <c r="AL983" s="319" t="s">
        <v>190</v>
      </c>
      <c r="AM983" s="319" t="s">
        <v>190</v>
      </c>
      <c r="AN983" s="319" t="s">
        <v>190</v>
      </c>
      <c r="AO983" s="319" t="s">
        <v>190</v>
      </c>
      <c r="AP983" s="319" t="s">
        <v>190</v>
      </c>
      <c r="AQ983" s="319" t="s">
        <v>190</v>
      </c>
      <c r="AR983" s="319" t="s">
        <v>190</v>
      </c>
      <c r="AS983" s="319" t="s">
        <v>190</v>
      </c>
      <c r="AT983" s="319" t="s">
        <v>190</v>
      </c>
      <c r="AU983" s="319" t="s">
        <v>190</v>
      </c>
      <c r="AV983" s="319" t="s">
        <v>190</v>
      </c>
      <c r="AW983" s="319" t="s">
        <v>190</v>
      </c>
      <c r="AX983" s="319" t="s">
        <v>428</v>
      </c>
      <c r="AY983" s="319" t="s">
        <v>190</v>
      </c>
      <c r="AZ983" s="319" t="s">
        <v>190</v>
      </c>
      <c r="BA983" s="319" t="s">
        <v>190</v>
      </c>
      <c r="BB983" s="319" t="s">
        <v>190</v>
      </c>
      <c r="BC983" s="319" t="s">
        <v>190</v>
      </c>
      <c r="BD983" s="319" t="s">
        <v>190</v>
      </c>
      <c r="BE983" s="319" t="s">
        <v>190</v>
      </c>
      <c r="BF983" s="319" t="s">
        <v>428</v>
      </c>
      <c r="BG983" s="319" t="s">
        <v>428</v>
      </c>
      <c r="BH983" s="319" t="s">
        <v>190</v>
      </c>
      <c r="BI983" s="319" t="s">
        <v>190</v>
      </c>
      <c r="BJ983" s="319" t="s">
        <v>190</v>
      </c>
      <c r="BK983" s="319" t="s">
        <v>190</v>
      </c>
      <c r="BL983" s="319" t="s">
        <v>190</v>
      </c>
      <c r="BM983" s="319" t="s">
        <v>190</v>
      </c>
      <c r="BN983" s="319" t="s">
        <v>190</v>
      </c>
      <c r="BO983" s="319" t="s">
        <v>190</v>
      </c>
      <c r="BP983" s="319" t="s">
        <v>190</v>
      </c>
      <c r="BQ983" s="319" t="s">
        <v>190</v>
      </c>
      <c r="BR983" s="319" t="s">
        <v>190</v>
      </c>
      <c r="BS983" s="319" t="s">
        <v>190</v>
      </c>
      <c r="BT983" s="319" t="s">
        <v>190</v>
      </c>
      <c r="BU983" s="319" t="s">
        <v>190</v>
      </c>
      <c r="BV983" s="319" t="s">
        <v>190</v>
      </c>
      <c r="BW983" s="319" t="s">
        <v>190</v>
      </c>
      <c r="BX983" s="319" t="s">
        <v>190</v>
      </c>
      <c r="BY983" s="319" t="s">
        <v>190</v>
      </c>
      <c r="BZ983" s="319" t="s">
        <v>190</v>
      </c>
      <c r="CA983" s="319" t="s">
        <v>190</v>
      </c>
      <c r="CB983" s="319" t="s">
        <v>190</v>
      </c>
      <c r="CC983" s="319" t="s">
        <v>190</v>
      </c>
      <c r="CD983" s="319" t="s">
        <v>190</v>
      </c>
      <c r="CE983" s="319" t="s">
        <v>190</v>
      </c>
      <c r="CF983" s="319" t="s">
        <v>190</v>
      </c>
      <c r="CG983" s="319" t="s">
        <v>190</v>
      </c>
      <c r="CH983" s="319" t="s">
        <v>190</v>
      </c>
      <c r="CI983" s="319" t="s">
        <v>190</v>
      </c>
      <c r="CJ983" s="319" t="s">
        <v>190</v>
      </c>
      <c r="CK983" s="319" t="s">
        <v>190</v>
      </c>
      <c r="CL983" s="319" t="s">
        <v>190</v>
      </c>
      <c r="CM983" s="319" t="s">
        <v>190</v>
      </c>
      <c r="CN983" s="319" t="s">
        <v>428</v>
      </c>
      <c r="CO983" s="319" t="s">
        <v>428</v>
      </c>
      <c r="CP983" s="319" t="s">
        <v>428</v>
      </c>
      <c r="CQ983" s="319" t="s">
        <v>190</v>
      </c>
      <c r="CR983" s="319" t="s">
        <v>190</v>
      </c>
      <c r="CS983" s="319" t="s">
        <v>190</v>
      </c>
      <c r="CT983" s="319" t="s">
        <v>190</v>
      </c>
      <c r="CU983" s="319" t="s">
        <v>190</v>
      </c>
      <c r="CV983" s="319" t="s">
        <v>190</v>
      </c>
      <c r="CW983" s="319" t="s">
        <v>190</v>
      </c>
      <c r="CX983" s="319" t="s">
        <v>190</v>
      </c>
      <c r="CY983" s="319" t="s">
        <v>190</v>
      </c>
      <c r="CZ983" s="319" t="s">
        <v>190</v>
      </c>
      <c r="DA983" s="319" t="s">
        <v>190</v>
      </c>
      <c r="DB983" s="319" t="s">
        <v>190</v>
      </c>
      <c r="DC983" s="319" t="s">
        <v>190</v>
      </c>
      <c r="DD983" s="319" t="s">
        <v>190</v>
      </c>
      <c r="DE983" s="319" t="s">
        <v>190</v>
      </c>
      <c r="DF983" s="319" t="s">
        <v>190</v>
      </c>
      <c r="DG983" s="319" t="s">
        <v>190</v>
      </c>
      <c r="DH983" s="319" t="s">
        <v>190</v>
      </c>
      <c r="DI983" s="319" t="s">
        <v>190</v>
      </c>
      <c r="DJ983" s="319" t="s">
        <v>190</v>
      </c>
      <c r="DK983" s="319" t="s">
        <v>190</v>
      </c>
      <c r="DL983" s="319" t="s">
        <v>190</v>
      </c>
      <c r="DM983" s="319" t="s">
        <v>428</v>
      </c>
      <c r="DN983" s="319" t="s">
        <v>428</v>
      </c>
      <c r="DO983" s="319" t="s">
        <v>190</v>
      </c>
      <c r="DP983" s="319" t="s">
        <v>428</v>
      </c>
      <c r="DQ983" s="319" t="s">
        <v>428</v>
      </c>
      <c r="DR983" s="319" t="s">
        <v>428</v>
      </c>
      <c r="DS983" s="319" t="s">
        <v>428</v>
      </c>
      <c r="DT983" s="319" t="s">
        <v>428</v>
      </c>
      <c r="DU983" s="319" t="s">
        <v>428</v>
      </c>
      <c r="DV983" s="319" t="s">
        <v>428</v>
      </c>
      <c r="DW983" s="319" t="s">
        <v>428</v>
      </c>
      <c r="DX983" s="319" t="s">
        <v>428</v>
      </c>
      <c r="DY983" s="319" t="s">
        <v>428</v>
      </c>
      <c r="DZ983" s="319" t="s">
        <v>428</v>
      </c>
      <c r="EA983" s="319" t="s">
        <v>428</v>
      </c>
      <c r="EB983" s="319" t="s">
        <v>428</v>
      </c>
      <c r="EC983" s="319" t="s">
        <v>428</v>
      </c>
      <c r="ED983" s="319" t="s">
        <v>428</v>
      </c>
      <c r="EE983" s="319" t="s">
        <v>190</v>
      </c>
      <c r="EF983" s="319" t="s">
        <v>190</v>
      </c>
      <c r="EG983" s="319" t="s">
        <v>190</v>
      </c>
      <c r="EH983" s="319" t="s">
        <v>190</v>
      </c>
      <c r="EI983" s="319" t="s">
        <v>190</v>
      </c>
      <c r="EJ983" s="319" t="s">
        <v>190</v>
      </c>
      <c r="EK983" s="319" t="s">
        <v>190</v>
      </c>
      <c r="EL983" s="319" t="s">
        <v>190</v>
      </c>
      <c r="EM983" s="319" t="s">
        <v>190</v>
      </c>
      <c r="EN983" s="319" t="s">
        <v>190</v>
      </c>
      <c r="EO983" s="319" t="s">
        <v>190</v>
      </c>
      <c r="EP983" s="319" t="s">
        <v>190</v>
      </c>
      <c r="EQ983" s="319" t="s">
        <v>190</v>
      </c>
      <c r="ER983" s="319" t="s">
        <v>190</v>
      </c>
      <c r="ES983" s="319" t="s">
        <v>190</v>
      </c>
      <c r="ET983" s="319" t="s">
        <v>190</v>
      </c>
      <c r="EU983" s="319" t="s">
        <v>190</v>
      </c>
      <c r="EV983" s="319" t="s">
        <v>190</v>
      </c>
      <c r="EW983" s="319" t="s">
        <v>190</v>
      </c>
      <c r="EX983" s="319" t="s">
        <v>190</v>
      </c>
      <c r="EY983" s="319" t="s">
        <v>190</v>
      </c>
      <c r="EZ983" s="319" t="s">
        <v>190</v>
      </c>
      <c r="FA983" s="319" t="s">
        <v>428</v>
      </c>
      <c r="FB983" s="319" t="s">
        <v>428</v>
      </c>
      <c r="FC983" s="319" t="s">
        <v>428</v>
      </c>
      <c r="FD983" s="319" t="s">
        <v>428</v>
      </c>
      <c r="FE983" s="319" t="s">
        <v>428</v>
      </c>
      <c r="FF983" s="319" t="s">
        <v>428</v>
      </c>
      <c r="FG983" s="319" t="s">
        <v>428</v>
      </c>
      <c r="FH983" s="319" t="s">
        <v>190</v>
      </c>
      <c r="FI983" s="319" t="s">
        <v>428</v>
      </c>
      <c r="FJ983" s="319" t="s">
        <v>429</v>
      </c>
      <c r="FK983" s="319" t="s">
        <v>428</v>
      </c>
      <c r="FL983" s="319" t="s">
        <v>190</v>
      </c>
      <c r="FM983" s="319" t="s">
        <v>190</v>
      </c>
      <c r="FN983" s="319" t="s">
        <v>190</v>
      </c>
      <c r="FO983" s="319" t="s">
        <v>190</v>
      </c>
      <c r="FP983" s="319" t="s">
        <v>190</v>
      </c>
      <c r="FQ983" s="319" t="s">
        <v>190</v>
      </c>
      <c r="FR983" s="319" t="s">
        <v>190</v>
      </c>
      <c r="FS983" s="319" t="s">
        <v>428</v>
      </c>
      <c r="FT983" s="319" t="s">
        <v>190</v>
      </c>
      <c r="FU983" s="319" t="s">
        <v>190</v>
      </c>
      <c r="FV983" s="319" t="s">
        <v>190</v>
      </c>
      <c r="FW983" s="319" t="s">
        <v>190</v>
      </c>
      <c r="FX983" s="319" t="s">
        <v>190</v>
      </c>
      <c r="FY983" s="319" t="s">
        <v>190</v>
      </c>
      <c r="FZ983" s="319" t="s">
        <v>190</v>
      </c>
      <c r="GA983" s="319" t="s">
        <v>190</v>
      </c>
      <c r="GB983" s="319" t="s">
        <v>190</v>
      </c>
      <c r="GC983" s="319" t="s">
        <v>190</v>
      </c>
      <c r="GD983" s="319" t="s">
        <v>190</v>
      </c>
      <c r="GE983" s="319" t="s">
        <v>190</v>
      </c>
      <c r="GF983" s="319" t="s">
        <v>190</v>
      </c>
      <c r="GG983" s="319" t="s">
        <v>190</v>
      </c>
      <c r="GH983" s="319" t="s">
        <v>190</v>
      </c>
      <c r="GI983" s="319" t="s">
        <v>190</v>
      </c>
      <c r="GJ983" s="319" t="s">
        <v>190</v>
      </c>
      <c r="GK983" s="319" t="s">
        <v>428</v>
      </c>
      <c r="GL983" s="319" t="s">
        <v>190</v>
      </c>
      <c r="GM983" s="319" t="s">
        <v>190</v>
      </c>
      <c r="GN983" s="319" t="s">
        <v>190</v>
      </c>
      <c r="GO983" s="319" t="s">
        <v>190</v>
      </c>
      <c r="GP983" s="319" t="s">
        <v>428</v>
      </c>
      <c r="GQ983" s="319" t="s">
        <v>428</v>
      </c>
      <c r="GR983" s="319" t="s">
        <v>190</v>
      </c>
      <c r="GS983" s="319" t="s">
        <v>190</v>
      </c>
      <c r="GT983" s="319" t="s">
        <v>428</v>
      </c>
      <c r="GU983" s="319" t="s">
        <v>428</v>
      </c>
      <c r="GV983" s="319" t="s">
        <v>190</v>
      </c>
      <c r="GW983" s="319" t="s">
        <v>190</v>
      </c>
      <c r="GX983" s="319" t="s">
        <v>190</v>
      </c>
      <c r="GY983" s="319" t="s">
        <v>190</v>
      </c>
      <c r="GZ983" s="319" t="s">
        <v>428</v>
      </c>
      <c r="HA983" s="319" t="s">
        <v>190</v>
      </c>
      <c r="HB983" s="319" t="s">
        <v>428</v>
      </c>
      <c r="HC983" s="319" t="s">
        <v>190</v>
      </c>
      <c r="HD983" s="319" t="s">
        <v>190</v>
      </c>
      <c r="HE983" s="319" t="s">
        <v>190</v>
      </c>
      <c r="HF983" s="319" t="s">
        <v>428</v>
      </c>
      <c r="HG983" s="319" t="s">
        <v>190</v>
      </c>
      <c r="HH983" s="319" t="s">
        <v>190</v>
      </c>
      <c r="HI983" s="319" t="s">
        <v>428</v>
      </c>
      <c r="HJ983" s="319" t="s">
        <v>190</v>
      </c>
      <c r="HK983" s="319" t="s">
        <v>428</v>
      </c>
      <c r="HL983" s="319" t="s">
        <v>428</v>
      </c>
      <c r="HM983" s="319" t="s">
        <v>428</v>
      </c>
      <c r="HN983" s="319" t="s">
        <v>428</v>
      </c>
      <c r="HO983" s="319" t="s">
        <v>428</v>
      </c>
      <c r="HP983" s="319" t="s">
        <v>190</v>
      </c>
      <c r="HQ983" s="319" t="s">
        <v>190</v>
      </c>
      <c r="HR983" s="319" t="s">
        <v>190</v>
      </c>
      <c r="HS983" s="319" t="s">
        <v>190</v>
      </c>
      <c r="HT983" s="319" t="s">
        <v>190</v>
      </c>
      <c r="HU983" s="319" t="s">
        <v>190</v>
      </c>
      <c r="HV983" s="319" t="s">
        <v>190</v>
      </c>
      <c r="HW983" s="319" t="s">
        <v>190</v>
      </c>
      <c r="HX983" s="319" t="s">
        <v>190</v>
      </c>
      <c r="HY983" s="319" t="s">
        <v>190</v>
      </c>
      <c r="HZ983" s="319" t="s">
        <v>190</v>
      </c>
      <c r="IA983" s="319" t="s">
        <v>190</v>
      </c>
      <c r="IB983" s="319" t="s">
        <v>190</v>
      </c>
      <c r="IC983" s="319" t="s">
        <v>190</v>
      </c>
      <c r="ID983" s="319" t="s">
        <v>190</v>
      </c>
      <c r="IE983" s="319" t="s">
        <v>190</v>
      </c>
      <c r="IF983" s="319" t="s">
        <v>190</v>
      </c>
      <c r="IG983" s="319" t="s">
        <v>190</v>
      </c>
      <c r="IH983" s="319" t="s">
        <v>190</v>
      </c>
      <c r="II983" s="319" t="s">
        <v>190</v>
      </c>
      <c r="IJ983" s="319" t="s">
        <v>173</v>
      </c>
      <c r="IK983" s="319" t="s">
        <v>173</v>
      </c>
      <c r="IL983" s="319" t="s">
        <v>173</v>
      </c>
      <c r="IM983" s="319" t="s">
        <v>173</v>
      </c>
      <c r="IN983" s="319" t="s">
        <v>173</v>
      </c>
      <c r="IO983" s="319" t="s">
        <v>173</v>
      </c>
      <c r="IP983" s="319" t="s">
        <v>173</v>
      </c>
      <c r="IQ983" s="321" t="s">
        <v>173</v>
      </c>
      <c r="IR983" s="320" t="s">
        <v>173</v>
      </c>
      <c r="IS983" s="322" t="s">
        <v>173</v>
      </c>
      <c r="IT983" s="319" t="s">
        <v>173</v>
      </c>
    </row>
    <row r="984" spans="1:254" s="271" customFormat="1" x14ac:dyDescent="0.25">
      <c r="A984" s="318" t="str">
        <f>HYPERLINK("http://www.ofsted.gov.uk/inspection-reports/find-inspection-report/provider/ELS/145505 ","Ofsted School Webpage")</f>
        <v>Ofsted School Webpage</v>
      </c>
      <c r="B984" s="319">
        <v>145505</v>
      </c>
      <c r="C984" s="319">
        <v>8566028</v>
      </c>
      <c r="D984" s="319" t="s">
        <v>2505</v>
      </c>
      <c r="E984" s="319" t="s">
        <v>167</v>
      </c>
      <c r="F984" s="319" t="s">
        <v>81</v>
      </c>
      <c r="G984" s="319" t="s">
        <v>72</v>
      </c>
      <c r="H984" s="319" t="s">
        <v>72</v>
      </c>
      <c r="I984" s="319" t="s">
        <v>72</v>
      </c>
      <c r="J984" s="319" t="s">
        <v>424</v>
      </c>
      <c r="K984" s="319" t="s">
        <v>506</v>
      </c>
      <c r="L984" s="319" t="s">
        <v>506</v>
      </c>
      <c r="M984" s="319" t="s">
        <v>521</v>
      </c>
      <c r="N984" s="319" t="s">
        <v>3003</v>
      </c>
      <c r="O984" s="319" t="s">
        <v>2506</v>
      </c>
      <c r="P984" s="319">
        <v>50</v>
      </c>
      <c r="Q984" s="319" t="s">
        <v>2766</v>
      </c>
      <c r="R984" s="320">
        <v>10078678</v>
      </c>
      <c r="S984" s="321">
        <v>43529</v>
      </c>
      <c r="T984" s="321">
        <v>43531</v>
      </c>
      <c r="U984" s="321">
        <v>43563</v>
      </c>
      <c r="V984" s="319" t="s">
        <v>435</v>
      </c>
      <c r="W984" s="319" t="s">
        <v>2767</v>
      </c>
      <c r="X984" s="319">
        <v>2</v>
      </c>
      <c r="Y984" s="319" t="s">
        <v>173</v>
      </c>
      <c r="Z984" s="319" t="s">
        <v>173</v>
      </c>
      <c r="AA984" s="319" t="s">
        <v>173</v>
      </c>
      <c r="AB984" s="319">
        <v>2</v>
      </c>
      <c r="AC984" s="319" t="s">
        <v>169</v>
      </c>
      <c r="AD984" s="319" t="s">
        <v>173</v>
      </c>
      <c r="AE984" s="319" t="s">
        <v>173</v>
      </c>
      <c r="AF984" s="319" t="s">
        <v>427</v>
      </c>
      <c r="AG984" s="319" t="s">
        <v>171</v>
      </c>
      <c r="AH984" s="319" t="s">
        <v>190</v>
      </c>
      <c r="AI984" s="319" t="s">
        <v>190</v>
      </c>
      <c r="AJ984" s="319" t="s">
        <v>190</v>
      </c>
      <c r="AK984" s="319" t="s">
        <v>190</v>
      </c>
      <c r="AL984" s="319" t="s">
        <v>190</v>
      </c>
      <c r="AM984" s="319" t="s">
        <v>190</v>
      </c>
      <c r="AN984" s="319" t="s">
        <v>190</v>
      </c>
      <c r="AO984" s="319" t="s">
        <v>190</v>
      </c>
      <c r="AP984" s="319" t="s">
        <v>190</v>
      </c>
      <c r="AQ984" s="319" t="s">
        <v>190</v>
      </c>
      <c r="AR984" s="319" t="s">
        <v>190</v>
      </c>
      <c r="AS984" s="319" t="s">
        <v>190</v>
      </c>
      <c r="AT984" s="319" t="s">
        <v>190</v>
      </c>
      <c r="AU984" s="319" t="s">
        <v>190</v>
      </c>
      <c r="AV984" s="319" t="s">
        <v>190</v>
      </c>
      <c r="AW984" s="319" t="s">
        <v>190</v>
      </c>
      <c r="AX984" s="319" t="s">
        <v>428</v>
      </c>
      <c r="AY984" s="319" t="s">
        <v>190</v>
      </c>
      <c r="AZ984" s="319" t="s">
        <v>190</v>
      </c>
      <c r="BA984" s="319" t="s">
        <v>190</v>
      </c>
      <c r="BB984" s="319" t="s">
        <v>190</v>
      </c>
      <c r="BC984" s="319" t="s">
        <v>190</v>
      </c>
      <c r="BD984" s="319" t="s">
        <v>190</v>
      </c>
      <c r="BE984" s="319" t="s">
        <v>190</v>
      </c>
      <c r="BF984" s="319" t="s">
        <v>428</v>
      </c>
      <c r="BG984" s="319" t="s">
        <v>428</v>
      </c>
      <c r="BH984" s="319" t="s">
        <v>190</v>
      </c>
      <c r="BI984" s="319" t="s">
        <v>190</v>
      </c>
      <c r="BJ984" s="319" t="s">
        <v>190</v>
      </c>
      <c r="BK984" s="319" t="s">
        <v>190</v>
      </c>
      <c r="BL984" s="319" t="s">
        <v>190</v>
      </c>
      <c r="BM984" s="319" t="s">
        <v>190</v>
      </c>
      <c r="BN984" s="319" t="s">
        <v>190</v>
      </c>
      <c r="BO984" s="319" t="s">
        <v>190</v>
      </c>
      <c r="BP984" s="319" t="s">
        <v>190</v>
      </c>
      <c r="BQ984" s="319" t="s">
        <v>190</v>
      </c>
      <c r="BR984" s="319" t="s">
        <v>190</v>
      </c>
      <c r="BS984" s="319" t="s">
        <v>190</v>
      </c>
      <c r="BT984" s="319" t="s">
        <v>190</v>
      </c>
      <c r="BU984" s="319" t="s">
        <v>190</v>
      </c>
      <c r="BV984" s="319" t="s">
        <v>190</v>
      </c>
      <c r="BW984" s="319" t="s">
        <v>190</v>
      </c>
      <c r="BX984" s="319" t="s">
        <v>190</v>
      </c>
      <c r="BY984" s="319" t="s">
        <v>190</v>
      </c>
      <c r="BZ984" s="319" t="s">
        <v>190</v>
      </c>
      <c r="CA984" s="319" t="s">
        <v>190</v>
      </c>
      <c r="CB984" s="319" t="s">
        <v>190</v>
      </c>
      <c r="CC984" s="319" t="s">
        <v>190</v>
      </c>
      <c r="CD984" s="319" t="s">
        <v>190</v>
      </c>
      <c r="CE984" s="319" t="s">
        <v>190</v>
      </c>
      <c r="CF984" s="319" t="s">
        <v>190</v>
      </c>
      <c r="CG984" s="319" t="s">
        <v>190</v>
      </c>
      <c r="CH984" s="319" t="s">
        <v>190</v>
      </c>
      <c r="CI984" s="319" t="s">
        <v>190</v>
      </c>
      <c r="CJ984" s="319" t="s">
        <v>190</v>
      </c>
      <c r="CK984" s="319" t="s">
        <v>190</v>
      </c>
      <c r="CL984" s="319" t="s">
        <v>190</v>
      </c>
      <c r="CM984" s="319" t="s">
        <v>190</v>
      </c>
      <c r="CN984" s="319" t="s">
        <v>428</v>
      </c>
      <c r="CO984" s="319" t="s">
        <v>428</v>
      </c>
      <c r="CP984" s="319" t="s">
        <v>428</v>
      </c>
      <c r="CQ984" s="319" t="s">
        <v>190</v>
      </c>
      <c r="CR984" s="319" t="s">
        <v>190</v>
      </c>
      <c r="CS984" s="319" t="s">
        <v>190</v>
      </c>
      <c r="CT984" s="319" t="s">
        <v>190</v>
      </c>
      <c r="CU984" s="319" t="s">
        <v>190</v>
      </c>
      <c r="CV984" s="319" t="s">
        <v>190</v>
      </c>
      <c r="CW984" s="319" t="s">
        <v>190</v>
      </c>
      <c r="CX984" s="319" t="s">
        <v>190</v>
      </c>
      <c r="CY984" s="319" t="s">
        <v>190</v>
      </c>
      <c r="CZ984" s="319" t="s">
        <v>190</v>
      </c>
      <c r="DA984" s="319" t="s">
        <v>190</v>
      </c>
      <c r="DB984" s="319" t="s">
        <v>190</v>
      </c>
      <c r="DC984" s="319" t="s">
        <v>190</v>
      </c>
      <c r="DD984" s="319" t="s">
        <v>190</v>
      </c>
      <c r="DE984" s="319" t="s">
        <v>190</v>
      </c>
      <c r="DF984" s="319" t="s">
        <v>190</v>
      </c>
      <c r="DG984" s="319" t="s">
        <v>190</v>
      </c>
      <c r="DH984" s="319" t="s">
        <v>190</v>
      </c>
      <c r="DI984" s="319" t="s">
        <v>190</v>
      </c>
      <c r="DJ984" s="319" t="s">
        <v>190</v>
      </c>
      <c r="DK984" s="319" t="s">
        <v>190</v>
      </c>
      <c r="DL984" s="319" t="s">
        <v>190</v>
      </c>
      <c r="DM984" s="319" t="s">
        <v>190</v>
      </c>
      <c r="DN984" s="319" t="s">
        <v>428</v>
      </c>
      <c r="DO984" s="319" t="s">
        <v>190</v>
      </c>
      <c r="DP984" s="319" t="s">
        <v>428</v>
      </c>
      <c r="DQ984" s="319" t="s">
        <v>428</v>
      </c>
      <c r="DR984" s="319" t="s">
        <v>428</v>
      </c>
      <c r="DS984" s="319" t="s">
        <v>428</v>
      </c>
      <c r="DT984" s="319" t="s">
        <v>428</v>
      </c>
      <c r="DU984" s="319" t="s">
        <v>428</v>
      </c>
      <c r="DV984" s="319" t="s">
        <v>173</v>
      </c>
      <c r="DW984" s="319" t="s">
        <v>428</v>
      </c>
      <c r="DX984" s="319" t="s">
        <v>428</v>
      </c>
      <c r="DY984" s="319" t="s">
        <v>428</v>
      </c>
      <c r="DZ984" s="319" t="s">
        <v>428</v>
      </c>
      <c r="EA984" s="319" t="s">
        <v>428</v>
      </c>
      <c r="EB984" s="319" t="s">
        <v>428</v>
      </c>
      <c r="EC984" s="319" t="s">
        <v>428</v>
      </c>
      <c r="ED984" s="319" t="s">
        <v>190</v>
      </c>
      <c r="EE984" s="319" t="s">
        <v>190</v>
      </c>
      <c r="EF984" s="319" t="s">
        <v>190</v>
      </c>
      <c r="EG984" s="319" t="s">
        <v>190</v>
      </c>
      <c r="EH984" s="319" t="s">
        <v>190</v>
      </c>
      <c r="EI984" s="319" t="s">
        <v>190</v>
      </c>
      <c r="EJ984" s="319" t="s">
        <v>190</v>
      </c>
      <c r="EK984" s="319" t="s">
        <v>190</v>
      </c>
      <c r="EL984" s="319" t="s">
        <v>190</v>
      </c>
      <c r="EM984" s="319" t="s">
        <v>190</v>
      </c>
      <c r="EN984" s="319" t="s">
        <v>190</v>
      </c>
      <c r="EO984" s="319" t="s">
        <v>190</v>
      </c>
      <c r="EP984" s="319" t="s">
        <v>190</v>
      </c>
      <c r="EQ984" s="319" t="s">
        <v>190</v>
      </c>
      <c r="ER984" s="319" t="s">
        <v>190</v>
      </c>
      <c r="ES984" s="319" t="s">
        <v>190</v>
      </c>
      <c r="ET984" s="319" t="s">
        <v>190</v>
      </c>
      <c r="EU984" s="319" t="s">
        <v>190</v>
      </c>
      <c r="EV984" s="319" t="s">
        <v>190</v>
      </c>
      <c r="EW984" s="319" t="s">
        <v>190</v>
      </c>
      <c r="EX984" s="319" t="s">
        <v>190</v>
      </c>
      <c r="EY984" s="319" t="s">
        <v>190</v>
      </c>
      <c r="EZ984" s="319" t="s">
        <v>190</v>
      </c>
      <c r="FA984" s="319" t="s">
        <v>428</v>
      </c>
      <c r="FB984" s="319" t="s">
        <v>428</v>
      </c>
      <c r="FC984" s="319" t="s">
        <v>428</v>
      </c>
      <c r="FD984" s="319" t="s">
        <v>428</v>
      </c>
      <c r="FE984" s="319" t="s">
        <v>428</v>
      </c>
      <c r="FF984" s="319" t="s">
        <v>428</v>
      </c>
      <c r="FG984" s="319" t="s">
        <v>428</v>
      </c>
      <c r="FH984" s="319" t="s">
        <v>190</v>
      </c>
      <c r="FI984" s="319" t="s">
        <v>428</v>
      </c>
      <c r="FJ984" s="319" t="s">
        <v>429</v>
      </c>
      <c r="FK984" s="319" t="s">
        <v>428</v>
      </c>
      <c r="FL984" s="319" t="s">
        <v>190</v>
      </c>
      <c r="FM984" s="319" t="s">
        <v>190</v>
      </c>
      <c r="FN984" s="319" t="s">
        <v>190</v>
      </c>
      <c r="FO984" s="319" t="s">
        <v>190</v>
      </c>
      <c r="FP984" s="319" t="s">
        <v>190</v>
      </c>
      <c r="FQ984" s="319" t="s">
        <v>190</v>
      </c>
      <c r="FR984" s="319" t="s">
        <v>190</v>
      </c>
      <c r="FS984" s="319" t="s">
        <v>428</v>
      </c>
      <c r="FT984" s="319" t="s">
        <v>190</v>
      </c>
      <c r="FU984" s="319" t="s">
        <v>190</v>
      </c>
      <c r="FV984" s="319" t="s">
        <v>190</v>
      </c>
      <c r="FW984" s="319" t="s">
        <v>190</v>
      </c>
      <c r="FX984" s="319" t="s">
        <v>190</v>
      </c>
      <c r="FY984" s="319" t="s">
        <v>190</v>
      </c>
      <c r="FZ984" s="319" t="s">
        <v>190</v>
      </c>
      <c r="GA984" s="319" t="s">
        <v>190</v>
      </c>
      <c r="GB984" s="319" t="s">
        <v>190</v>
      </c>
      <c r="GC984" s="319" t="s">
        <v>190</v>
      </c>
      <c r="GD984" s="319" t="s">
        <v>190</v>
      </c>
      <c r="GE984" s="319" t="s">
        <v>190</v>
      </c>
      <c r="GF984" s="319" t="s">
        <v>190</v>
      </c>
      <c r="GG984" s="319" t="s">
        <v>190</v>
      </c>
      <c r="GH984" s="319" t="s">
        <v>190</v>
      </c>
      <c r="GI984" s="319" t="s">
        <v>190</v>
      </c>
      <c r="GJ984" s="319" t="s">
        <v>190</v>
      </c>
      <c r="GK984" s="319" t="s">
        <v>428</v>
      </c>
      <c r="GL984" s="319" t="s">
        <v>190</v>
      </c>
      <c r="GM984" s="319" t="s">
        <v>190</v>
      </c>
      <c r="GN984" s="319" t="s">
        <v>190</v>
      </c>
      <c r="GO984" s="319" t="s">
        <v>190</v>
      </c>
      <c r="GP984" s="319" t="s">
        <v>190</v>
      </c>
      <c r="GQ984" s="319" t="s">
        <v>428</v>
      </c>
      <c r="GR984" s="319" t="s">
        <v>190</v>
      </c>
      <c r="GS984" s="319" t="s">
        <v>190</v>
      </c>
      <c r="GT984" s="319" t="s">
        <v>428</v>
      </c>
      <c r="GU984" s="319" t="s">
        <v>428</v>
      </c>
      <c r="GV984" s="319" t="s">
        <v>428</v>
      </c>
      <c r="GW984" s="319" t="s">
        <v>190</v>
      </c>
      <c r="GX984" s="319" t="s">
        <v>190</v>
      </c>
      <c r="GY984" s="319" t="s">
        <v>190</v>
      </c>
      <c r="GZ984" s="319" t="s">
        <v>428</v>
      </c>
      <c r="HA984" s="319" t="s">
        <v>190</v>
      </c>
      <c r="HB984" s="319" t="s">
        <v>190</v>
      </c>
      <c r="HC984" s="319" t="s">
        <v>190</v>
      </c>
      <c r="HD984" s="319" t="s">
        <v>190</v>
      </c>
      <c r="HE984" s="319" t="s">
        <v>190</v>
      </c>
      <c r="HF984" s="319" t="s">
        <v>190</v>
      </c>
      <c r="HG984" s="319" t="s">
        <v>190</v>
      </c>
      <c r="HH984" s="319" t="s">
        <v>190</v>
      </c>
      <c r="HI984" s="319" t="s">
        <v>190</v>
      </c>
      <c r="HJ984" s="319" t="s">
        <v>190</v>
      </c>
      <c r="HK984" s="319" t="s">
        <v>190</v>
      </c>
      <c r="HL984" s="319" t="s">
        <v>428</v>
      </c>
      <c r="HM984" s="319" t="s">
        <v>428</v>
      </c>
      <c r="HN984" s="319" t="s">
        <v>428</v>
      </c>
      <c r="HO984" s="319" t="s">
        <v>428</v>
      </c>
      <c r="HP984" s="319" t="s">
        <v>190</v>
      </c>
      <c r="HQ984" s="319" t="s">
        <v>190</v>
      </c>
      <c r="HR984" s="319" t="s">
        <v>190</v>
      </c>
      <c r="HS984" s="319" t="s">
        <v>190</v>
      </c>
      <c r="HT984" s="319" t="s">
        <v>190</v>
      </c>
      <c r="HU984" s="319" t="s">
        <v>190</v>
      </c>
      <c r="HV984" s="319" t="s">
        <v>190</v>
      </c>
      <c r="HW984" s="319" t="s">
        <v>190</v>
      </c>
      <c r="HX984" s="319" t="s">
        <v>190</v>
      </c>
      <c r="HY984" s="319" t="s">
        <v>190</v>
      </c>
      <c r="HZ984" s="319" t="s">
        <v>190</v>
      </c>
      <c r="IA984" s="319" t="s">
        <v>190</v>
      </c>
      <c r="IB984" s="319" t="s">
        <v>190</v>
      </c>
      <c r="IC984" s="319" t="s">
        <v>190</v>
      </c>
      <c r="ID984" s="319" t="s">
        <v>190</v>
      </c>
      <c r="IE984" s="319" t="s">
        <v>190</v>
      </c>
      <c r="IF984" s="319" t="s">
        <v>190</v>
      </c>
      <c r="IG984" s="319" t="s">
        <v>190</v>
      </c>
      <c r="IH984" s="319" t="s">
        <v>190</v>
      </c>
      <c r="II984" s="319" t="s">
        <v>190</v>
      </c>
      <c r="IJ984" s="319" t="s">
        <v>173</v>
      </c>
      <c r="IK984" s="319" t="s">
        <v>173</v>
      </c>
      <c r="IL984" s="319" t="s">
        <v>173</v>
      </c>
      <c r="IM984" s="319" t="s">
        <v>173</v>
      </c>
      <c r="IN984" s="319" t="s">
        <v>173</v>
      </c>
      <c r="IO984" s="319" t="s">
        <v>173</v>
      </c>
      <c r="IP984" s="319" t="s">
        <v>173</v>
      </c>
      <c r="IQ984" s="319" t="s">
        <v>173</v>
      </c>
      <c r="IR984" s="320" t="s">
        <v>173</v>
      </c>
      <c r="IS984" s="320" t="s">
        <v>173</v>
      </c>
      <c r="IT984" s="319" t="s">
        <v>173</v>
      </c>
    </row>
    <row r="985" spans="1:254" s="271" customFormat="1" x14ac:dyDescent="0.25">
      <c r="A985" s="318" t="str">
        <f>HYPERLINK("http://www.ofsted.gov.uk/inspection-reports/find-inspection-report/provider/ELS/145510 ","Ofsted School Webpage")</f>
        <v>Ofsted School Webpage</v>
      </c>
      <c r="B985" s="319">
        <v>145510</v>
      </c>
      <c r="C985" s="319">
        <v>3116003</v>
      </c>
      <c r="D985" s="319" t="s">
        <v>2507</v>
      </c>
      <c r="E985" s="319" t="s">
        <v>168</v>
      </c>
      <c r="F985" s="319" t="s">
        <v>81</v>
      </c>
      <c r="G985" s="319" t="s">
        <v>81</v>
      </c>
      <c r="H985" s="319" t="s">
        <v>81</v>
      </c>
      <c r="I985" s="319" t="s">
        <v>78</v>
      </c>
      <c r="J985" s="319" t="s">
        <v>424</v>
      </c>
      <c r="K985" s="319" t="s">
        <v>441</v>
      </c>
      <c r="L985" s="319" t="s">
        <v>441</v>
      </c>
      <c r="M985" s="319" t="s">
        <v>635</v>
      </c>
      <c r="N985" s="319" t="s">
        <v>2843</v>
      </c>
      <c r="O985" s="319" t="s">
        <v>2508</v>
      </c>
      <c r="P985" s="319" t="s">
        <v>173</v>
      </c>
      <c r="Q985" s="319" t="s">
        <v>429</v>
      </c>
      <c r="R985" s="320">
        <v>10083771</v>
      </c>
      <c r="S985" s="321">
        <v>43599</v>
      </c>
      <c r="T985" s="321">
        <v>43601</v>
      </c>
      <c r="U985" s="321">
        <v>43634</v>
      </c>
      <c r="V985" s="319" t="s">
        <v>435</v>
      </c>
      <c r="W985" s="319" t="s">
        <v>2767</v>
      </c>
      <c r="X985" s="319">
        <v>2</v>
      </c>
      <c r="Y985" s="319" t="s">
        <v>173</v>
      </c>
      <c r="Z985" s="319" t="s">
        <v>173</v>
      </c>
      <c r="AA985" s="319" t="s">
        <v>173</v>
      </c>
      <c r="AB985" s="319">
        <v>2</v>
      </c>
      <c r="AC985" s="319" t="s">
        <v>169</v>
      </c>
      <c r="AD985" s="319" t="s">
        <v>173</v>
      </c>
      <c r="AE985" s="319" t="s">
        <v>173</v>
      </c>
      <c r="AF985" s="319" t="s">
        <v>427</v>
      </c>
      <c r="AG985" s="319" t="s">
        <v>171</v>
      </c>
      <c r="AH985" s="319" t="s">
        <v>190</v>
      </c>
      <c r="AI985" s="319" t="s">
        <v>190</v>
      </c>
      <c r="AJ985" s="319" t="s">
        <v>190</v>
      </c>
      <c r="AK985" s="319" t="s">
        <v>190</v>
      </c>
      <c r="AL985" s="319" t="s">
        <v>190</v>
      </c>
      <c r="AM985" s="319" t="s">
        <v>190</v>
      </c>
      <c r="AN985" s="319" t="s">
        <v>190</v>
      </c>
      <c r="AO985" s="319" t="s">
        <v>190</v>
      </c>
      <c r="AP985" s="319" t="s">
        <v>190</v>
      </c>
      <c r="AQ985" s="319" t="s">
        <v>190</v>
      </c>
      <c r="AR985" s="319" t="s">
        <v>190</v>
      </c>
      <c r="AS985" s="319" t="s">
        <v>190</v>
      </c>
      <c r="AT985" s="319" t="s">
        <v>190</v>
      </c>
      <c r="AU985" s="319" t="s">
        <v>190</v>
      </c>
      <c r="AV985" s="319" t="s">
        <v>190</v>
      </c>
      <c r="AW985" s="319" t="s">
        <v>190</v>
      </c>
      <c r="AX985" s="319" t="s">
        <v>428</v>
      </c>
      <c r="AY985" s="319" t="s">
        <v>190</v>
      </c>
      <c r="AZ985" s="319" t="s">
        <v>190</v>
      </c>
      <c r="BA985" s="319" t="s">
        <v>190</v>
      </c>
      <c r="BB985" s="319" t="s">
        <v>190</v>
      </c>
      <c r="BC985" s="319" t="s">
        <v>190</v>
      </c>
      <c r="BD985" s="319" t="s">
        <v>190</v>
      </c>
      <c r="BE985" s="319" t="s">
        <v>190</v>
      </c>
      <c r="BF985" s="319" t="s">
        <v>428</v>
      </c>
      <c r="BG985" s="319" t="s">
        <v>428</v>
      </c>
      <c r="BH985" s="319" t="s">
        <v>190</v>
      </c>
      <c r="BI985" s="319" t="s">
        <v>190</v>
      </c>
      <c r="BJ985" s="319" t="s">
        <v>190</v>
      </c>
      <c r="BK985" s="319" t="s">
        <v>190</v>
      </c>
      <c r="BL985" s="319" t="s">
        <v>190</v>
      </c>
      <c r="BM985" s="319" t="s">
        <v>190</v>
      </c>
      <c r="BN985" s="319" t="s">
        <v>190</v>
      </c>
      <c r="BO985" s="319" t="s">
        <v>190</v>
      </c>
      <c r="BP985" s="319" t="s">
        <v>190</v>
      </c>
      <c r="BQ985" s="319" t="s">
        <v>190</v>
      </c>
      <c r="BR985" s="319" t="s">
        <v>190</v>
      </c>
      <c r="BS985" s="319" t="s">
        <v>190</v>
      </c>
      <c r="BT985" s="319" t="s">
        <v>190</v>
      </c>
      <c r="BU985" s="319" t="s">
        <v>190</v>
      </c>
      <c r="BV985" s="319" t="s">
        <v>190</v>
      </c>
      <c r="BW985" s="319" t="s">
        <v>190</v>
      </c>
      <c r="BX985" s="319" t="s">
        <v>190</v>
      </c>
      <c r="BY985" s="319" t="s">
        <v>190</v>
      </c>
      <c r="BZ985" s="319" t="s">
        <v>190</v>
      </c>
      <c r="CA985" s="319" t="s">
        <v>190</v>
      </c>
      <c r="CB985" s="319" t="s">
        <v>190</v>
      </c>
      <c r="CC985" s="319" t="s">
        <v>190</v>
      </c>
      <c r="CD985" s="319" t="s">
        <v>190</v>
      </c>
      <c r="CE985" s="319" t="s">
        <v>190</v>
      </c>
      <c r="CF985" s="319" t="s">
        <v>190</v>
      </c>
      <c r="CG985" s="319" t="s">
        <v>190</v>
      </c>
      <c r="CH985" s="319" t="s">
        <v>190</v>
      </c>
      <c r="CI985" s="319" t="s">
        <v>190</v>
      </c>
      <c r="CJ985" s="319" t="s">
        <v>190</v>
      </c>
      <c r="CK985" s="319" t="s">
        <v>190</v>
      </c>
      <c r="CL985" s="319" t="s">
        <v>190</v>
      </c>
      <c r="CM985" s="319" t="s">
        <v>190</v>
      </c>
      <c r="CN985" s="319" t="s">
        <v>428</v>
      </c>
      <c r="CO985" s="319" t="s">
        <v>428</v>
      </c>
      <c r="CP985" s="319" t="s">
        <v>428</v>
      </c>
      <c r="CQ985" s="319" t="s">
        <v>190</v>
      </c>
      <c r="CR985" s="319" t="s">
        <v>190</v>
      </c>
      <c r="CS985" s="319" t="s">
        <v>190</v>
      </c>
      <c r="CT985" s="319" t="s">
        <v>190</v>
      </c>
      <c r="CU985" s="319" t="s">
        <v>190</v>
      </c>
      <c r="CV985" s="319" t="s">
        <v>190</v>
      </c>
      <c r="CW985" s="319" t="s">
        <v>190</v>
      </c>
      <c r="CX985" s="319" t="s">
        <v>190</v>
      </c>
      <c r="CY985" s="319" t="s">
        <v>190</v>
      </c>
      <c r="CZ985" s="319" t="s">
        <v>190</v>
      </c>
      <c r="DA985" s="319" t="s">
        <v>190</v>
      </c>
      <c r="DB985" s="319" t="s">
        <v>190</v>
      </c>
      <c r="DC985" s="319" t="s">
        <v>190</v>
      </c>
      <c r="DD985" s="319" t="s">
        <v>190</v>
      </c>
      <c r="DE985" s="319" t="s">
        <v>190</v>
      </c>
      <c r="DF985" s="319" t="s">
        <v>190</v>
      </c>
      <c r="DG985" s="319" t="s">
        <v>190</v>
      </c>
      <c r="DH985" s="319" t="s">
        <v>190</v>
      </c>
      <c r="DI985" s="319" t="s">
        <v>190</v>
      </c>
      <c r="DJ985" s="319" t="s">
        <v>190</v>
      </c>
      <c r="DK985" s="319" t="s">
        <v>190</v>
      </c>
      <c r="DL985" s="319" t="s">
        <v>190</v>
      </c>
      <c r="DM985" s="319" t="s">
        <v>190</v>
      </c>
      <c r="DN985" s="319" t="s">
        <v>428</v>
      </c>
      <c r="DO985" s="319" t="s">
        <v>190</v>
      </c>
      <c r="DP985" s="319" t="s">
        <v>190</v>
      </c>
      <c r="DQ985" s="319" t="s">
        <v>190</v>
      </c>
      <c r="DR985" s="319" t="s">
        <v>190</v>
      </c>
      <c r="DS985" s="319" t="s">
        <v>190</v>
      </c>
      <c r="DT985" s="319" t="s">
        <v>190</v>
      </c>
      <c r="DU985" s="319" t="s">
        <v>190</v>
      </c>
      <c r="DV985" s="319" t="s">
        <v>173</v>
      </c>
      <c r="DW985" s="319" t="s">
        <v>190</v>
      </c>
      <c r="DX985" s="319" t="s">
        <v>190</v>
      </c>
      <c r="DY985" s="319" t="s">
        <v>190</v>
      </c>
      <c r="DZ985" s="319" t="s">
        <v>190</v>
      </c>
      <c r="EA985" s="319" t="s">
        <v>190</v>
      </c>
      <c r="EB985" s="319" t="s">
        <v>190</v>
      </c>
      <c r="EC985" s="319" t="s">
        <v>428</v>
      </c>
      <c r="ED985" s="319" t="s">
        <v>190</v>
      </c>
      <c r="EE985" s="319" t="s">
        <v>190</v>
      </c>
      <c r="EF985" s="319" t="s">
        <v>190</v>
      </c>
      <c r="EG985" s="319" t="s">
        <v>190</v>
      </c>
      <c r="EH985" s="319" t="s">
        <v>190</v>
      </c>
      <c r="EI985" s="319" t="s">
        <v>190</v>
      </c>
      <c r="EJ985" s="319" t="s">
        <v>190</v>
      </c>
      <c r="EK985" s="319" t="s">
        <v>190</v>
      </c>
      <c r="EL985" s="319" t="s">
        <v>190</v>
      </c>
      <c r="EM985" s="319" t="s">
        <v>190</v>
      </c>
      <c r="EN985" s="319" t="s">
        <v>190</v>
      </c>
      <c r="EO985" s="319" t="s">
        <v>190</v>
      </c>
      <c r="EP985" s="319" t="s">
        <v>190</v>
      </c>
      <c r="EQ985" s="319" t="s">
        <v>190</v>
      </c>
      <c r="ER985" s="319" t="s">
        <v>190</v>
      </c>
      <c r="ES985" s="319" t="s">
        <v>190</v>
      </c>
      <c r="ET985" s="319" t="s">
        <v>190</v>
      </c>
      <c r="EU985" s="319" t="s">
        <v>190</v>
      </c>
      <c r="EV985" s="319" t="s">
        <v>190</v>
      </c>
      <c r="EW985" s="319" t="s">
        <v>190</v>
      </c>
      <c r="EX985" s="319" t="s">
        <v>190</v>
      </c>
      <c r="EY985" s="319" t="s">
        <v>190</v>
      </c>
      <c r="EZ985" s="319" t="s">
        <v>190</v>
      </c>
      <c r="FA985" s="319" t="s">
        <v>190</v>
      </c>
      <c r="FB985" s="319" t="s">
        <v>190</v>
      </c>
      <c r="FC985" s="319" t="s">
        <v>190</v>
      </c>
      <c r="FD985" s="319" t="s">
        <v>190</v>
      </c>
      <c r="FE985" s="319" t="s">
        <v>190</v>
      </c>
      <c r="FF985" s="319" t="s">
        <v>190</v>
      </c>
      <c r="FG985" s="319" t="s">
        <v>190</v>
      </c>
      <c r="FH985" s="319" t="s">
        <v>190</v>
      </c>
      <c r="FI985" s="319" t="s">
        <v>190</v>
      </c>
      <c r="FJ985" s="319" t="s">
        <v>190</v>
      </c>
      <c r="FK985" s="319" t="s">
        <v>190</v>
      </c>
      <c r="FL985" s="319" t="s">
        <v>190</v>
      </c>
      <c r="FM985" s="319" t="s">
        <v>190</v>
      </c>
      <c r="FN985" s="319" t="s">
        <v>190</v>
      </c>
      <c r="FO985" s="319" t="s">
        <v>190</v>
      </c>
      <c r="FP985" s="319" t="s">
        <v>190</v>
      </c>
      <c r="FQ985" s="319" t="s">
        <v>190</v>
      </c>
      <c r="FR985" s="319" t="s">
        <v>190</v>
      </c>
      <c r="FS985" s="319" t="s">
        <v>428</v>
      </c>
      <c r="FT985" s="319" t="s">
        <v>190</v>
      </c>
      <c r="FU985" s="319" t="s">
        <v>190</v>
      </c>
      <c r="FV985" s="319" t="s">
        <v>190</v>
      </c>
      <c r="FW985" s="319" t="s">
        <v>190</v>
      </c>
      <c r="FX985" s="319" t="s">
        <v>190</v>
      </c>
      <c r="FY985" s="319" t="s">
        <v>190</v>
      </c>
      <c r="FZ985" s="319" t="s">
        <v>190</v>
      </c>
      <c r="GA985" s="319" t="s">
        <v>190</v>
      </c>
      <c r="GB985" s="319" t="s">
        <v>190</v>
      </c>
      <c r="GC985" s="319" t="s">
        <v>190</v>
      </c>
      <c r="GD985" s="319" t="s">
        <v>190</v>
      </c>
      <c r="GE985" s="319" t="s">
        <v>190</v>
      </c>
      <c r="GF985" s="319" t="s">
        <v>190</v>
      </c>
      <c r="GG985" s="319" t="s">
        <v>190</v>
      </c>
      <c r="GH985" s="319" t="s">
        <v>190</v>
      </c>
      <c r="GI985" s="319" t="s">
        <v>190</v>
      </c>
      <c r="GJ985" s="319" t="s">
        <v>190</v>
      </c>
      <c r="GK985" s="319" t="s">
        <v>428</v>
      </c>
      <c r="GL985" s="319" t="s">
        <v>190</v>
      </c>
      <c r="GM985" s="319" t="s">
        <v>190</v>
      </c>
      <c r="GN985" s="319" t="s">
        <v>190</v>
      </c>
      <c r="GO985" s="319" t="s">
        <v>190</v>
      </c>
      <c r="GP985" s="319" t="s">
        <v>190</v>
      </c>
      <c r="GQ985" s="319" t="s">
        <v>428</v>
      </c>
      <c r="GR985" s="319" t="s">
        <v>190</v>
      </c>
      <c r="GS985" s="319" t="s">
        <v>190</v>
      </c>
      <c r="GT985" s="319" t="s">
        <v>190</v>
      </c>
      <c r="GU985" s="319" t="s">
        <v>190</v>
      </c>
      <c r="GV985" s="319" t="s">
        <v>190</v>
      </c>
      <c r="GW985" s="319" t="s">
        <v>190</v>
      </c>
      <c r="GX985" s="319" t="s">
        <v>190</v>
      </c>
      <c r="GY985" s="319" t="s">
        <v>190</v>
      </c>
      <c r="GZ985" s="319" t="s">
        <v>190</v>
      </c>
      <c r="HA985" s="319" t="s">
        <v>190</v>
      </c>
      <c r="HB985" s="319" t="s">
        <v>190</v>
      </c>
      <c r="HC985" s="319" t="s">
        <v>190</v>
      </c>
      <c r="HD985" s="319" t="s">
        <v>190</v>
      </c>
      <c r="HE985" s="319" t="s">
        <v>190</v>
      </c>
      <c r="HF985" s="319" t="s">
        <v>190</v>
      </c>
      <c r="HG985" s="319" t="s">
        <v>190</v>
      </c>
      <c r="HH985" s="319" t="s">
        <v>190</v>
      </c>
      <c r="HI985" s="319" t="s">
        <v>190</v>
      </c>
      <c r="HJ985" s="319" t="s">
        <v>190</v>
      </c>
      <c r="HK985" s="319" t="s">
        <v>190</v>
      </c>
      <c r="HL985" s="319" t="s">
        <v>190</v>
      </c>
      <c r="HM985" s="319" t="s">
        <v>190</v>
      </c>
      <c r="HN985" s="319" t="s">
        <v>190</v>
      </c>
      <c r="HO985" s="319" t="s">
        <v>190</v>
      </c>
      <c r="HP985" s="319" t="s">
        <v>190</v>
      </c>
      <c r="HQ985" s="319" t="s">
        <v>190</v>
      </c>
      <c r="HR985" s="319" t="s">
        <v>190</v>
      </c>
      <c r="HS985" s="319" t="s">
        <v>190</v>
      </c>
      <c r="HT985" s="319" t="s">
        <v>190</v>
      </c>
      <c r="HU985" s="319" t="s">
        <v>190</v>
      </c>
      <c r="HV985" s="319" t="s">
        <v>190</v>
      </c>
      <c r="HW985" s="319" t="s">
        <v>190</v>
      </c>
      <c r="HX985" s="319" t="s">
        <v>190</v>
      </c>
      <c r="HY985" s="319" t="s">
        <v>190</v>
      </c>
      <c r="HZ985" s="319" t="s">
        <v>190</v>
      </c>
      <c r="IA985" s="319" t="s">
        <v>190</v>
      </c>
      <c r="IB985" s="319" t="s">
        <v>190</v>
      </c>
      <c r="IC985" s="319" t="s">
        <v>190</v>
      </c>
      <c r="ID985" s="319" t="s">
        <v>190</v>
      </c>
      <c r="IE985" s="319" t="s">
        <v>190</v>
      </c>
      <c r="IF985" s="319" t="s">
        <v>190</v>
      </c>
      <c r="IG985" s="319" t="s">
        <v>190</v>
      </c>
      <c r="IH985" s="319" t="s">
        <v>190</v>
      </c>
      <c r="II985" s="319" t="s">
        <v>190</v>
      </c>
      <c r="IJ985" s="319" t="s">
        <v>173</v>
      </c>
      <c r="IK985" s="319" t="s">
        <v>173</v>
      </c>
      <c r="IL985" s="319" t="s">
        <v>173</v>
      </c>
      <c r="IM985" s="319" t="s">
        <v>173</v>
      </c>
      <c r="IN985" s="319" t="s">
        <v>173</v>
      </c>
      <c r="IO985" s="319" t="s">
        <v>173</v>
      </c>
      <c r="IP985" s="319" t="s">
        <v>173</v>
      </c>
      <c r="IQ985" s="321" t="s">
        <v>173</v>
      </c>
      <c r="IR985" s="320" t="s">
        <v>173</v>
      </c>
      <c r="IS985" s="322" t="s">
        <v>173</v>
      </c>
      <c r="IT985" s="319" t="s">
        <v>173</v>
      </c>
    </row>
    <row r="986" spans="1:254" s="271" customFormat="1" x14ac:dyDescent="0.25">
      <c r="A986" s="318" t="str">
        <f>HYPERLINK("http://www.ofsted.gov.uk/inspection-reports/find-inspection-report/provider/ELS/145546 ","Ofsted School Webpage")</f>
        <v>Ofsted School Webpage</v>
      </c>
      <c r="B986" s="319">
        <v>145546</v>
      </c>
      <c r="C986" s="319">
        <v>8916038</v>
      </c>
      <c r="D986" s="319" t="s">
        <v>759</v>
      </c>
      <c r="E986" s="319" t="s">
        <v>168</v>
      </c>
      <c r="F986" s="319" t="s">
        <v>81</v>
      </c>
      <c r="G986" s="319" t="s">
        <v>81</v>
      </c>
      <c r="H986" s="319" t="s">
        <v>81</v>
      </c>
      <c r="I986" s="319" t="s">
        <v>78</v>
      </c>
      <c r="J986" s="319" t="s">
        <v>424</v>
      </c>
      <c r="K986" s="319" t="s">
        <v>506</v>
      </c>
      <c r="L986" s="319" t="s">
        <v>506</v>
      </c>
      <c r="M986" s="319" t="s">
        <v>760</v>
      </c>
      <c r="N986" s="319" t="s">
        <v>3573</v>
      </c>
      <c r="O986" s="319" t="s">
        <v>761</v>
      </c>
      <c r="P986" s="319">
        <v>2</v>
      </c>
      <c r="Q986" s="319" t="s">
        <v>429</v>
      </c>
      <c r="R986" s="320">
        <v>10077992</v>
      </c>
      <c r="S986" s="321">
        <v>43438</v>
      </c>
      <c r="T986" s="321">
        <v>43440</v>
      </c>
      <c r="U986" s="321">
        <v>43485</v>
      </c>
      <c r="V986" s="319" t="s">
        <v>435</v>
      </c>
      <c r="W986" s="319" t="s">
        <v>2767</v>
      </c>
      <c r="X986" s="319">
        <v>2</v>
      </c>
      <c r="Y986" s="319" t="s">
        <v>173</v>
      </c>
      <c r="Z986" s="319" t="s">
        <v>173</v>
      </c>
      <c r="AA986" s="319" t="s">
        <v>173</v>
      </c>
      <c r="AB986" s="319">
        <v>2</v>
      </c>
      <c r="AC986" s="319" t="s">
        <v>169</v>
      </c>
      <c r="AD986" s="319" t="s">
        <v>173</v>
      </c>
      <c r="AE986" s="319" t="s">
        <v>173</v>
      </c>
      <c r="AF986" s="319" t="s">
        <v>427</v>
      </c>
      <c r="AG986" s="319" t="s">
        <v>171</v>
      </c>
      <c r="AH986" s="319" t="s">
        <v>190</v>
      </c>
      <c r="AI986" s="319" t="s">
        <v>190</v>
      </c>
      <c r="AJ986" s="319" t="s">
        <v>190</v>
      </c>
      <c r="AK986" s="319" t="s">
        <v>190</v>
      </c>
      <c r="AL986" s="319" t="s">
        <v>190</v>
      </c>
      <c r="AM986" s="319" t="s">
        <v>190</v>
      </c>
      <c r="AN986" s="319" t="s">
        <v>190</v>
      </c>
      <c r="AO986" s="319" t="s">
        <v>190</v>
      </c>
      <c r="AP986" s="319" t="s">
        <v>190</v>
      </c>
      <c r="AQ986" s="319" t="s">
        <v>190</v>
      </c>
      <c r="AR986" s="319" t="s">
        <v>190</v>
      </c>
      <c r="AS986" s="319" t="s">
        <v>190</v>
      </c>
      <c r="AT986" s="319" t="s">
        <v>190</v>
      </c>
      <c r="AU986" s="319" t="s">
        <v>190</v>
      </c>
      <c r="AV986" s="319" t="s">
        <v>190</v>
      </c>
      <c r="AW986" s="319" t="s">
        <v>190</v>
      </c>
      <c r="AX986" s="319" t="s">
        <v>428</v>
      </c>
      <c r="AY986" s="319" t="s">
        <v>190</v>
      </c>
      <c r="AZ986" s="319" t="s">
        <v>190</v>
      </c>
      <c r="BA986" s="319" t="s">
        <v>190</v>
      </c>
      <c r="BB986" s="319" t="s">
        <v>190</v>
      </c>
      <c r="BC986" s="319" t="s">
        <v>190</v>
      </c>
      <c r="BD986" s="319" t="s">
        <v>190</v>
      </c>
      <c r="BE986" s="319" t="s">
        <v>190</v>
      </c>
      <c r="BF986" s="319" t="s">
        <v>428</v>
      </c>
      <c r="BG986" s="319" t="s">
        <v>190</v>
      </c>
      <c r="BH986" s="319" t="s">
        <v>190</v>
      </c>
      <c r="BI986" s="319" t="s">
        <v>190</v>
      </c>
      <c r="BJ986" s="319" t="s">
        <v>190</v>
      </c>
      <c r="BK986" s="319" t="s">
        <v>190</v>
      </c>
      <c r="BL986" s="319" t="s">
        <v>190</v>
      </c>
      <c r="BM986" s="319" t="s">
        <v>190</v>
      </c>
      <c r="BN986" s="319" t="s">
        <v>190</v>
      </c>
      <c r="BO986" s="319" t="s">
        <v>190</v>
      </c>
      <c r="BP986" s="319" t="s">
        <v>190</v>
      </c>
      <c r="BQ986" s="319" t="s">
        <v>190</v>
      </c>
      <c r="BR986" s="319" t="s">
        <v>190</v>
      </c>
      <c r="BS986" s="319" t="s">
        <v>190</v>
      </c>
      <c r="BT986" s="319" t="s">
        <v>190</v>
      </c>
      <c r="BU986" s="319" t="s">
        <v>190</v>
      </c>
      <c r="BV986" s="319" t="s">
        <v>190</v>
      </c>
      <c r="BW986" s="319" t="s">
        <v>190</v>
      </c>
      <c r="BX986" s="319" t="s">
        <v>190</v>
      </c>
      <c r="BY986" s="319" t="s">
        <v>190</v>
      </c>
      <c r="BZ986" s="319" t="s">
        <v>190</v>
      </c>
      <c r="CA986" s="319" t="s">
        <v>190</v>
      </c>
      <c r="CB986" s="319" t="s">
        <v>190</v>
      </c>
      <c r="CC986" s="319" t="s">
        <v>190</v>
      </c>
      <c r="CD986" s="319" t="s">
        <v>190</v>
      </c>
      <c r="CE986" s="319" t="s">
        <v>190</v>
      </c>
      <c r="CF986" s="319" t="s">
        <v>190</v>
      </c>
      <c r="CG986" s="319" t="s">
        <v>190</v>
      </c>
      <c r="CH986" s="319" t="s">
        <v>190</v>
      </c>
      <c r="CI986" s="319" t="s">
        <v>190</v>
      </c>
      <c r="CJ986" s="319" t="s">
        <v>190</v>
      </c>
      <c r="CK986" s="319" t="s">
        <v>190</v>
      </c>
      <c r="CL986" s="319" t="s">
        <v>190</v>
      </c>
      <c r="CM986" s="319" t="s">
        <v>190</v>
      </c>
      <c r="CN986" s="319" t="s">
        <v>428</v>
      </c>
      <c r="CO986" s="319" t="s">
        <v>428</v>
      </c>
      <c r="CP986" s="319" t="s">
        <v>428</v>
      </c>
      <c r="CQ986" s="319" t="s">
        <v>190</v>
      </c>
      <c r="CR986" s="319" t="s">
        <v>190</v>
      </c>
      <c r="CS986" s="319" t="s">
        <v>190</v>
      </c>
      <c r="CT986" s="319" t="s">
        <v>190</v>
      </c>
      <c r="CU986" s="319" t="s">
        <v>190</v>
      </c>
      <c r="CV986" s="319" t="s">
        <v>190</v>
      </c>
      <c r="CW986" s="319" t="s">
        <v>190</v>
      </c>
      <c r="CX986" s="319" t="s">
        <v>190</v>
      </c>
      <c r="CY986" s="319" t="s">
        <v>190</v>
      </c>
      <c r="CZ986" s="319" t="s">
        <v>190</v>
      </c>
      <c r="DA986" s="319" t="s">
        <v>190</v>
      </c>
      <c r="DB986" s="319" t="s">
        <v>190</v>
      </c>
      <c r="DC986" s="319" t="s">
        <v>190</v>
      </c>
      <c r="DD986" s="319" t="s">
        <v>190</v>
      </c>
      <c r="DE986" s="319" t="s">
        <v>190</v>
      </c>
      <c r="DF986" s="319" t="s">
        <v>190</v>
      </c>
      <c r="DG986" s="319" t="s">
        <v>190</v>
      </c>
      <c r="DH986" s="319" t="s">
        <v>190</v>
      </c>
      <c r="DI986" s="319" t="s">
        <v>190</v>
      </c>
      <c r="DJ986" s="319" t="s">
        <v>190</v>
      </c>
      <c r="DK986" s="319" t="s">
        <v>190</v>
      </c>
      <c r="DL986" s="319" t="s">
        <v>190</v>
      </c>
      <c r="DM986" s="319" t="s">
        <v>190</v>
      </c>
      <c r="DN986" s="319" t="s">
        <v>428</v>
      </c>
      <c r="DO986" s="319" t="s">
        <v>190</v>
      </c>
      <c r="DP986" s="319" t="s">
        <v>428</v>
      </c>
      <c r="DQ986" s="319" t="s">
        <v>428</v>
      </c>
      <c r="DR986" s="319" t="s">
        <v>428</v>
      </c>
      <c r="DS986" s="319" t="s">
        <v>428</v>
      </c>
      <c r="DT986" s="319" t="s">
        <v>428</v>
      </c>
      <c r="DU986" s="319" t="s">
        <v>428</v>
      </c>
      <c r="DV986" s="319" t="s">
        <v>173</v>
      </c>
      <c r="DW986" s="319" t="s">
        <v>428</v>
      </c>
      <c r="DX986" s="319" t="s">
        <v>428</v>
      </c>
      <c r="DY986" s="319" t="s">
        <v>428</v>
      </c>
      <c r="DZ986" s="319" t="s">
        <v>428</v>
      </c>
      <c r="EA986" s="319" t="s">
        <v>428</v>
      </c>
      <c r="EB986" s="319" t="s">
        <v>428</v>
      </c>
      <c r="EC986" s="319" t="s">
        <v>428</v>
      </c>
      <c r="ED986" s="319" t="s">
        <v>428</v>
      </c>
      <c r="EE986" s="319" t="s">
        <v>190</v>
      </c>
      <c r="EF986" s="319" t="s">
        <v>190</v>
      </c>
      <c r="EG986" s="319" t="s">
        <v>190</v>
      </c>
      <c r="EH986" s="319" t="s">
        <v>190</v>
      </c>
      <c r="EI986" s="319" t="s">
        <v>190</v>
      </c>
      <c r="EJ986" s="319" t="s">
        <v>190</v>
      </c>
      <c r="EK986" s="319" t="s">
        <v>190</v>
      </c>
      <c r="EL986" s="319" t="s">
        <v>190</v>
      </c>
      <c r="EM986" s="319" t="s">
        <v>190</v>
      </c>
      <c r="EN986" s="319" t="s">
        <v>190</v>
      </c>
      <c r="EO986" s="319" t="s">
        <v>190</v>
      </c>
      <c r="EP986" s="319" t="s">
        <v>190</v>
      </c>
      <c r="EQ986" s="319" t="s">
        <v>190</v>
      </c>
      <c r="ER986" s="319" t="s">
        <v>190</v>
      </c>
      <c r="ES986" s="319" t="s">
        <v>190</v>
      </c>
      <c r="ET986" s="319" t="s">
        <v>190</v>
      </c>
      <c r="EU986" s="319" t="s">
        <v>190</v>
      </c>
      <c r="EV986" s="319" t="s">
        <v>190</v>
      </c>
      <c r="EW986" s="319" t="s">
        <v>190</v>
      </c>
      <c r="EX986" s="319" t="s">
        <v>190</v>
      </c>
      <c r="EY986" s="319" t="s">
        <v>190</v>
      </c>
      <c r="EZ986" s="319" t="s">
        <v>190</v>
      </c>
      <c r="FA986" s="319" t="s">
        <v>190</v>
      </c>
      <c r="FB986" s="319" t="s">
        <v>428</v>
      </c>
      <c r="FC986" s="319" t="s">
        <v>428</v>
      </c>
      <c r="FD986" s="319" t="s">
        <v>428</v>
      </c>
      <c r="FE986" s="319" t="s">
        <v>428</v>
      </c>
      <c r="FF986" s="319" t="s">
        <v>428</v>
      </c>
      <c r="FG986" s="319" t="s">
        <v>428</v>
      </c>
      <c r="FH986" s="319" t="s">
        <v>190</v>
      </c>
      <c r="FI986" s="319" t="s">
        <v>428</v>
      </c>
      <c r="FJ986" s="319" t="s">
        <v>190</v>
      </c>
      <c r="FK986" s="319" t="s">
        <v>190</v>
      </c>
      <c r="FL986" s="319" t="s">
        <v>190</v>
      </c>
      <c r="FM986" s="319" t="s">
        <v>190</v>
      </c>
      <c r="FN986" s="319" t="s">
        <v>190</v>
      </c>
      <c r="FO986" s="319" t="s">
        <v>190</v>
      </c>
      <c r="FP986" s="319" t="s">
        <v>190</v>
      </c>
      <c r="FQ986" s="319" t="s">
        <v>190</v>
      </c>
      <c r="FR986" s="319" t="s">
        <v>190</v>
      </c>
      <c r="FS986" s="319" t="s">
        <v>428</v>
      </c>
      <c r="FT986" s="319" t="s">
        <v>190</v>
      </c>
      <c r="FU986" s="319" t="s">
        <v>190</v>
      </c>
      <c r="FV986" s="319" t="s">
        <v>190</v>
      </c>
      <c r="FW986" s="319" t="s">
        <v>190</v>
      </c>
      <c r="FX986" s="319" t="s">
        <v>190</v>
      </c>
      <c r="FY986" s="319" t="s">
        <v>190</v>
      </c>
      <c r="FZ986" s="319" t="s">
        <v>190</v>
      </c>
      <c r="GA986" s="319" t="s">
        <v>190</v>
      </c>
      <c r="GB986" s="319" t="s">
        <v>190</v>
      </c>
      <c r="GC986" s="319" t="s">
        <v>190</v>
      </c>
      <c r="GD986" s="319" t="s">
        <v>190</v>
      </c>
      <c r="GE986" s="319" t="s">
        <v>190</v>
      </c>
      <c r="GF986" s="319" t="s">
        <v>190</v>
      </c>
      <c r="GG986" s="319" t="s">
        <v>190</v>
      </c>
      <c r="GH986" s="319" t="s">
        <v>190</v>
      </c>
      <c r="GI986" s="319" t="s">
        <v>190</v>
      </c>
      <c r="GJ986" s="319" t="s">
        <v>190</v>
      </c>
      <c r="GK986" s="319" t="s">
        <v>428</v>
      </c>
      <c r="GL986" s="319" t="s">
        <v>190</v>
      </c>
      <c r="GM986" s="319" t="s">
        <v>190</v>
      </c>
      <c r="GN986" s="319" t="s">
        <v>190</v>
      </c>
      <c r="GO986" s="319" t="s">
        <v>190</v>
      </c>
      <c r="GP986" s="319" t="s">
        <v>428</v>
      </c>
      <c r="GQ986" s="319" t="s">
        <v>428</v>
      </c>
      <c r="GR986" s="319" t="s">
        <v>190</v>
      </c>
      <c r="GS986" s="319" t="s">
        <v>190</v>
      </c>
      <c r="GT986" s="319" t="s">
        <v>428</v>
      </c>
      <c r="GU986" s="319" t="s">
        <v>428</v>
      </c>
      <c r="GV986" s="319" t="s">
        <v>190</v>
      </c>
      <c r="GW986" s="319" t="s">
        <v>190</v>
      </c>
      <c r="GX986" s="319" t="s">
        <v>190</v>
      </c>
      <c r="GY986" s="319" t="s">
        <v>190</v>
      </c>
      <c r="GZ986" s="319" t="s">
        <v>190</v>
      </c>
      <c r="HA986" s="319" t="s">
        <v>190</v>
      </c>
      <c r="HB986" s="319" t="s">
        <v>190</v>
      </c>
      <c r="HC986" s="319" t="s">
        <v>190</v>
      </c>
      <c r="HD986" s="319" t="s">
        <v>190</v>
      </c>
      <c r="HE986" s="319" t="s">
        <v>190</v>
      </c>
      <c r="HF986" s="319" t="s">
        <v>190</v>
      </c>
      <c r="HG986" s="319" t="s">
        <v>190</v>
      </c>
      <c r="HH986" s="319" t="s">
        <v>190</v>
      </c>
      <c r="HI986" s="319" t="s">
        <v>428</v>
      </c>
      <c r="HJ986" s="319" t="s">
        <v>190</v>
      </c>
      <c r="HK986" s="319" t="s">
        <v>428</v>
      </c>
      <c r="HL986" s="319" t="s">
        <v>190</v>
      </c>
      <c r="HM986" s="319" t="s">
        <v>428</v>
      </c>
      <c r="HN986" s="319" t="s">
        <v>428</v>
      </c>
      <c r="HO986" s="319" t="s">
        <v>428</v>
      </c>
      <c r="HP986" s="319" t="s">
        <v>190</v>
      </c>
      <c r="HQ986" s="319" t="s">
        <v>190</v>
      </c>
      <c r="HR986" s="319" t="s">
        <v>190</v>
      </c>
      <c r="HS986" s="319" t="s">
        <v>190</v>
      </c>
      <c r="HT986" s="319" t="s">
        <v>190</v>
      </c>
      <c r="HU986" s="319" t="s">
        <v>190</v>
      </c>
      <c r="HV986" s="319" t="s">
        <v>190</v>
      </c>
      <c r="HW986" s="319" t="s">
        <v>190</v>
      </c>
      <c r="HX986" s="319" t="s">
        <v>190</v>
      </c>
      <c r="HY986" s="319" t="s">
        <v>190</v>
      </c>
      <c r="HZ986" s="319" t="s">
        <v>190</v>
      </c>
      <c r="IA986" s="319" t="s">
        <v>190</v>
      </c>
      <c r="IB986" s="319" t="s">
        <v>190</v>
      </c>
      <c r="IC986" s="319" t="s">
        <v>190</v>
      </c>
      <c r="ID986" s="319" t="s">
        <v>190</v>
      </c>
      <c r="IE986" s="319" t="s">
        <v>190</v>
      </c>
      <c r="IF986" s="319" t="s">
        <v>190</v>
      </c>
      <c r="IG986" s="319" t="s">
        <v>190</v>
      </c>
      <c r="IH986" s="319" t="s">
        <v>190</v>
      </c>
      <c r="II986" s="319" t="s">
        <v>190</v>
      </c>
      <c r="IJ986" s="319" t="s">
        <v>173</v>
      </c>
      <c r="IK986" s="319" t="s">
        <v>173</v>
      </c>
      <c r="IL986" s="319" t="s">
        <v>173</v>
      </c>
      <c r="IM986" s="319" t="s">
        <v>173</v>
      </c>
      <c r="IN986" s="319" t="s">
        <v>173</v>
      </c>
      <c r="IO986" s="319" t="s">
        <v>173</v>
      </c>
      <c r="IP986" s="319" t="s">
        <v>173</v>
      </c>
      <c r="IQ986" s="321" t="s">
        <v>173</v>
      </c>
      <c r="IR986" s="320" t="s">
        <v>173</v>
      </c>
      <c r="IS986" s="322" t="s">
        <v>173</v>
      </c>
      <c r="IT986" s="319" t="s">
        <v>173</v>
      </c>
    </row>
    <row r="987" spans="1:254" s="271" customFormat="1" x14ac:dyDescent="0.25">
      <c r="A987" s="318" t="str">
        <f>HYPERLINK("http://www.ofsted.gov.uk/inspection-reports/find-inspection-report/provider/ELS/145549 ","Ofsted School Webpage")</f>
        <v>Ofsted School Webpage</v>
      </c>
      <c r="B987" s="319">
        <v>145549</v>
      </c>
      <c r="C987" s="319">
        <v>8786072</v>
      </c>
      <c r="D987" s="319" t="s">
        <v>2509</v>
      </c>
      <c r="E987" s="319" t="s">
        <v>168</v>
      </c>
      <c r="F987" s="319" t="s">
        <v>81</v>
      </c>
      <c r="G987" s="319" t="s">
        <v>81</v>
      </c>
      <c r="H987" s="319" t="s">
        <v>81</v>
      </c>
      <c r="I987" s="319" t="s">
        <v>78</v>
      </c>
      <c r="J987" s="319" t="s">
        <v>424</v>
      </c>
      <c r="K987" s="319" t="s">
        <v>422</v>
      </c>
      <c r="L987" s="319" t="s">
        <v>422</v>
      </c>
      <c r="M987" s="319" t="s">
        <v>663</v>
      </c>
      <c r="N987" s="319" t="s">
        <v>2927</v>
      </c>
      <c r="O987" s="319" t="s">
        <v>2510</v>
      </c>
      <c r="P987" s="319" t="s">
        <v>173</v>
      </c>
      <c r="Q987" s="319" t="s">
        <v>429</v>
      </c>
      <c r="R987" s="320">
        <v>10086584</v>
      </c>
      <c r="S987" s="321">
        <v>43585</v>
      </c>
      <c r="T987" s="321">
        <v>43587</v>
      </c>
      <c r="U987" s="321">
        <v>43632</v>
      </c>
      <c r="V987" s="319" t="s">
        <v>435</v>
      </c>
      <c r="W987" s="319" t="s">
        <v>2767</v>
      </c>
      <c r="X987" s="319">
        <v>2</v>
      </c>
      <c r="Y987" s="319" t="s">
        <v>173</v>
      </c>
      <c r="Z987" s="319" t="s">
        <v>173</v>
      </c>
      <c r="AA987" s="319" t="s">
        <v>173</v>
      </c>
      <c r="AB987" s="319">
        <v>2</v>
      </c>
      <c r="AC987" s="319" t="s">
        <v>169</v>
      </c>
      <c r="AD987" s="319" t="s">
        <v>173</v>
      </c>
      <c r="AE987" s="319" t="s">
        <v>173</v>
      </c>
      <c r="AF987" s="319" t="s">
        <v>427</v>
      </c>
      <c r="AG987" s="319" t="s">
        <v>171</v>
      </c>
      <c r="AH987" s="319" t="s">
        <v>190</v>
      </c>
      <c r="AI987" s="319" t="s">
        <v>190</v>
      </c>
      <c r="AJ987" s="319" t="s">
        <v>190</v>
      </c>
      <c r="AK987" s="319" t="s">
        <v>190</v>
      </c>
      <c r="AL987" s="319" t="s">
        <v>190</v>
      </c>
      <c r="AM987" s="319" t="s">
        <v>190</v>
      </c>
      <c r="AN987" s="319" t="s">
        <v>190</v>
      </c>
      <c r="AO987" s="319" t="s">
        <v>190</v>
      </c>
      <c r="AP987" s="319" t="s">
        <v>190</v>
      </c>
      <c r="AQ987" s="319" t="s">
        <v>190</v>
      </c>
      <c r="AR987" s="319" t="s">
        <v>190</v>
      </c>
      <c r="AS987" s="319" t="s">
        <v>190</v>
      </c>
      <c r="AT987" s="319" t="s">
        <v>190</v>
      </c>
      <c r="AU987" s="319" t="s">
        <v>190</v>
      </c>
      <c r="AV987" s="319" t="s">
        <v>190</v>
      </c>
      <c r="AW987" s="319" t="s">
        <v>190</v>
      </c>
      <c r="AX987" s="319" t="s">
        <v>428</v>
      </c>
      <c r="AY987" s="319" t="s">
        <v>190</v>
      </c>
      <c r="AZ987" s="319" t="s">
        <v>190</v>
      </c>
      <c r="BA987" s="319" t="s">
        <v>190</v>
      </c>
      <c r="BB987" s="319" t="s">
        <v>190</v>
      </c>
      <c r="BC987" s="319" t="s">
        <v>190</v>
      </c>
      <c r="BD987" s="319" t="s">
        <v>190</v>
      </c>
      <c r="BE987" s="319" t="s">
        <v>190</v>
      </c>
      <c r="BF987" s="319" t="s">
        <v>428</v>
      </c>
      <c r="BG987" s="319" t="s">
        <v>428</v>
      </c>
      <c r="BH987" s="319" t="s">
        <v>190</v>
      </c>
      <c r="BI987" s="319" t="s">
        <v>190</v>
      </c>
      <c r="BJ987" s="319" t="s">
        <v>190</v>
      </c>
      <c r="BK987" s="319" t="s">
        <v>190</v>
      </c>
      <c r="BL987" s="319" t="s">
        <v>190</v>
      </c>
      <c r="BM987" s="319" t="s">
        <v>190</v>
      </c>
      <c r="BN987" s="319" t="s">
        <v>190</v>
      </c>
      <c r="BO987" s="319" t="s">
        <v>190</v>
      </c>
      <c r="BP987" s="319" t="s">
        <v>190</v>
      </c>
      <c r="BQ987" s="319" t="s">
        <v>190</v>
      </c>
      <c r="BR987" s="319" t="s">
        <v>190</v>
      </c>
      <c r="BS987" s="319" t="s">
        <v>190</v>
      </c>
      <c r="BT987" s="319" t="s">
        <v>190</v>
      </c>
      <c r="BU987" s="319" t="s">
        <v>190</v>
      </c>
      <c r="BV987" s="319" t="s">
        <v>190</v>
      </c>
      <c r="BW987" s="319" t="s">
        <v>190</v>
      </c>
      <c r="BX987" s="319" t="s">
        <v>190</v>
      </c>
      <c r="BY987" s="319" t="s">
        <v>190</v>
      </c>
      <c r="BZ987" s="319" t="s">
        <v>190</v>
      </c>
      <c r="CA987" s="319" t="s">
        <v>190</v>
      </c>
      <c r="CB987" s="319" t="s">
        <v>190</v>
      </c>
      <c r="CC987" s="319" t="s">
        <v>190</v>
      </c>
      <c r="CD987" s="319" t="s">
        <v>190</v>
      </c>
      <c r="CE987" s="319" t="s">
        <v>190</v>
      </c>
      <c r="CF987" s="319" t="s">
        <v>190</v>
      </c>
      <c r="CG987" s="319" t="s">
        <v>190</v>
      </c>
      <c r="CH987" s="319" t="s">
        <v>190</v>
      </c>
      <c r="CI987" s="319" t="s">
        <v>190</v>
      </c>
      <c r="CJ987" s="319" t="s">
        <v>190</v>
      </c>
      <c r="CK987" s="319" t="s">
        <v>190</v>
      </c>
      <c r="CL987" s="319" t="s">
        <v>190</v>
      </c>
      <c r="CM987" s="319" t="s">
        <v>190</v>
      </c>
      <c r="CN987" s="319" t="s">
        <v>428</v>
      </c>
      <c r="CO987" s="319" t="s">
        <v>428</v>
      </c>
      <c r="CP987" s="319" t="s">
        <v>428</v>
      </c>
      <c r="CQ987" s="319" t="s">
        <v>190</v>
      </c>
      <c r="CR987" s="319" t="s">
        <v>190</v>
      </c>
      <c r="CS987" s="319" t="s">
        <v>190</v>
      </c>
      <c r="CT987" s="319" t="s">
        <v>190</v>
      </c>
      <c r="CU987" s="319" t="s">
        <v>190</v>
      </c>
      <c r="CV987" s="319" t="s">
        <v>190</v>
      </c>
      <c r="CW987" s="319" t="s">
        <v>190</v>
      </c>
      <c r="CX987" s="319" t="s">
        <v>190</v>
      </c>
      <c r="CY987" s="319" t="s">
        <v>190</v>
      </c>
      <c r="CZ987" s="319" t="s">
        <v>190</v>
      </c>
      <c r="DA987" s="319" t="s">
        <v>190</v>
      </c>
      <c r="DB987" s="319" t="s">
        <v>190</v>
      </c>
      <c r="DC987" s="319" t="s">
        <v>190</v>
      </c>
      <c r="DD987" s="319" t="s">
        <v>190</v>
      </c>
      <c r="DE987" s="319" t="s">
        <v>190</v>
      </c>
      <c r="DF987" s="319" t="s">
        <v>190</v>
      </c>
      <c r="DG987" s="319" t="s">
        <v>190</v>
      </c>
      <c r="DH987" s="319" t="s">
        <v>190</v>
      </c>
      <c r="DI987" s="319" t="s">
        <v>190</v>
      </c>
      <c r="DJ987" s="319" t="s">
        <v>190</v>
      </c>
      <c r="DK987" s="319" t="s">
        <v>190</v>
      </c>
      <c r="DL987" s="319" t="s">
        <v>190</v>
      </c>
      <c r="DM987" s="319" t="s">
        <v>190</v>
      </c>
      <c r="DN987" s="319" t="s">
        <v>428</v>
      </c>
      <c r="DO987" s="319" t="s">
        <v>190</v>
      </c>
      <c r="DP987" s="319" t="s">
        <v>428</v>
      </c>
      <c r="DQ987" s="319" t="s">
        <v>428</v>
      </c>
      <c r="DR987" s="319" t="s">
        <v>428</v>
      </c>
      <c r="DS987" s="319" t="s">
        <v>428</v>
      </c>
      <c r="DT987" s="319" t="s">
        <v>428</v>
      </c>
      <c r="DU987" s="319" t="s">
        <v>428</v>
      </c>
      <c r="DV987" s="319" t="s">
        <v>173</v>
      </c>
      <c r="DW987" s="319" t="s">
        <v>428</v>
      </c>
      <c r="DX987" s="319" t="s">
        <v>428</v>
      </c>
      <c r="DY987" s="319" t="s">
        <v>428</v>
      </c>
      <c r="DZ987" s="319" t="s">
        <v>428</v>
      </c>
      <c r="EA987" s="319" t="s">
        <v>428</v>
      </c>
      <c r="EB987" s="319" t="s">
        <v>428</v>
      </c>
      <c r="EC987" s="319" t="s">
        <v>428</v>
      </c>
      <c r="ED987" s="319" t="s">
        <v>190</v>
      </c>
      <c r="EE987" s="319" t="s">
        <v>190</v>
      </c>
      <c r="EF987" s="319" t="s">
        <v>190</v>
      </c>
      <c r="EG987" s="319" t="s">
        <v>190</v>
      </c>
      <c r="EH987" s="319" t="s">
        <v>190</v>
      </c>
      <c r="EI987" s="319" t="s">
        <v>190</v>
      </c>
      <c r="EJ987" s="319" t="s">
        <v>190</v>
      </c>
      <c r="EK987" s="319" t="s">
        <v>190</v>
      </c>
      <c r="EL987" s="319" t="s">
        <v>190</v>
      </c>
      <c r="EM987" s="319" t="s">
        <v>190</v>
      </c>
      <c r="EN987" s="319" t="s">
        <v>190</v>
      </c>
      <c r="EO987" s="319" t="s">
        <v>190</v>
      </c>
      <c r="EP987" s="319" t="s">
        <v>190</v>
      </c>
      <c r="EQ987" s="319" t="s">
        <v>190</v>
      </c>
      <c r="ER987" s="319" t="s">
        <v>190</v>
      </c>
      <c r="ES987" s="319" t="s">
        <v>190</v>
      </c>
      <c r="ET987" s="319" t="s">
        <v>190</v>
      </c>
      <c r="EU987" s="319" t="s">
        <v>190</v>
      </c>
      <c r="EV987" s="319" t="s">
        <v>190</v>
      </c>
      <c r="EW987" s="319" t="s">
        <v>190</v>
      </c>
      <c r="EX987" s="319" t="s">
        <v>190</v>
      </c>
      <c r="EY987" s="319" t="s">
        <v>190</v>
      </c>
      <c r="EZ987" s="319" t="s">
        <v>190</v>
      </c>
      <c r="FA987" s="319" t="s">
        <v>190</v>
      </c>
      <c r="FB987" s="319" t="s">
        <v>428</v>
      </c>
      <c r="FC987" s="319" t="s">
        <v>428</v>
      </c>
      <c r="FD987" s="319" t="s">
        <v>428</v>
      </c>
      <c r="FE987" s="319" t="s">
        <v>428</v>
      </c>
      <c r="FF987" s="319" t="s">
        <v>428</v>
      </c>
      <c r="FG987" s="319" t="s">
        <v>428</v>
      </c>
      <c r="FH987" s="319" t="s">
        <v>190</v>
      </c>
      <c r="FI987" s="319" t="s">
        <v>190</v>
      </c>
      <c r="FJ987" s="319" t="s">
        <v>190</v>
      </c>
      <c r="FK987" s="319" t="s">
        <v>190</v>
      </c>
      <c r="FL987" s="319" t="s">
        <v>190</v>
      </c>
      <c r="FM987" s="319" t="s">
        <v>190</v>
      </c>
      <c r="FN987" s="319" t="s">
        <v>190</v>
      </c>
      <c r="FO987" s="319" t="s">
        <v>190</v>
      </c>
      <c r="FP987" s="319" t="s">
        <v>190</v>
      </c>
      <c r="FQ987" s="319" t="s">
        <v>190</v>
      </c>
      <c r="FR987" s="319" t="s">
        <v>190</v>
      </c>
      <c r="FS987" s="319" t="s">
        <v>190</v>
      </c>
      <c r="FT987" s="319" t="s">
        <v>428</v>
      </c>
      <c r="FU987" s="319" t="s">
        <v>190</v>
      </c>
      <c r="FV987" s="319" t="s">
        <v>190</v>
      </c>
      <c r="FW987" s="319" t="s">
        <v>190</v>
      </c>
      <c r="FX987" s="319" t="s">
        <v>190</v>
      </c>
      <c r="FY987" s="319" t="s">
        <v>190</v>
      </c>
      <c r="FZ987" s="319" t="s">
        <v>190</v>
      </c>
      <c r="GA987" s="319" t="s">
        <v>190</v>
      </c>
      <c r="GB987" s="319" t="s">
        <v>190</v>
      </c>
      <c r="GC987" s="319" t="s">
        <v>190</v>
      </c>
      <c r="GD987" s="319" t="s">
        <v>190</v>
      </c>
      <c r="GE987" s="319" t="s">
        <v>190</v>
      </c>
      <c r="GF987" s="319" t="s">
        <v>190</v>
      </c>
      <c r="GG987" s="319" t="s">
        <v>190</v>
      </c>
      <c r="GH987" s="319" t="s">
        <v>190</v>
      </c>
      <c r="GI987" s="319" t="s">
        <v>190</v>
      </c>
      <c r="GJ987" s="319" t="s">
        <v>190</v>
      </c>
      <c r="GK987" s="319" t="s">
        <v>428</v>
      </c>
      <c r="GL987" s="319" t="s">
        <v>190</v>
      </c>
      <c r="GM987" s="319" t="s">
        <v>190</v>
      </c>
      <c r="GN987" s="319" t="s">
        <v>190</v>
      </c>
      <c r="GO987" s="319" t="s">
        <v>190</v>
      </c>
      <c r="GP987" s="319" t="s">
        <v>428</v>
      </c>
      <c r="GQ987" s="319" t="s">
        <v>428</v>
      </c>
      <c r="GR987" s="319" t="s">
        <v>190</v>
      </c>
      <c r="GS987" s="319" t="s">
        <v>190</v>
      </c>
      <c r="GT987" s="319" t="s">
        <v>428</v>
      </c>
      <c r="GU987" s="319" t="s">
        <v>190</v>
      </c>
      <c r="GV987" s="319" t="s">
        <v>190</v>
      </c>
      <c r="GW987" s="319" t="s">
        <v>190</v>
      </c>
      <c r="GX987" s="319" t="s">
        <v>190</v>
      </c>
      <c r="GY987" s="319" t="s">
        <v>190</v>
      </c>
      <c r="GZ987" s="319" t="s">
        <v>428</v>
      </c>
      <c r="HA987" s="319" t="s">
        <v>190</v>
      </c>
      <c r="HB987" s="319" t="s">
        <v>428</v>
      </c>
      <c r="HC987" s="319" t="s">
        <v>190</v>
      </c>
      <c r="HD987" s="319" t="s">
        <v>190</v>
      </c>
      <c r="HE987" s="319" t="s">
        <v>190</v>
      </c>
      <c r="HF987" s="319" t="s">
        <v>190</v>
      </c>
      <c r="HG987" s="319" t="s">
        <v>190</v>
      </c>
      <c r="HH987" s="319" t="s">
        <v>190</v>
      </c>
      <c r="HI987" s="319" t="s">
        <v>190</v>
      </c>
      <c r="HJ987" s="319" t="s">
        <v>190</v>
      </c>
      <c r="HK987" s="319" t="s">
        <v>428</v>
      </c>
      <c r="HL987" s="319" t="s">
        <v>428</v>
      </c>
      <c r="HM987" s="319" t="s">
        <v>428</v>
      </c>
      <c r="HN987" s="319" t="s">
        <v>428</v>
      </c>
      <c r="HO987" s="319" t="s">
        <v>428</v>
      </c>
      <c r="HP987" s="319" t="s">
        <v>190</v>
      </c>
      <c r="HQ987" s="319" t="s">
        <v>190</v>
      </c>
      <c r="HR987" s="319" t="s">
        <v>190</v>
      </c>
      <c r="HS987" s="319" t="s">
        <v>190</v>
      </c>
      <c r="HT987" s="319" t="s">
        <v>190</v>
      </c>
      <c r="HU987" s="319" t="s">
        <v>190</v>
      </c>
      <c r="HV987" s="319" t="s">
        <v>190</v>
      </c>
      <c r="HW987" s="319" t="s">
        <v>190</v>
      </c>
      <c r="HX987" s="319" t="s">
        <v>190</v>
      </c>
      <c r="HY987" s="319" t="s">
        <v>190</v>
      </c>
      <c r="HZ987" s="319" t="s">
        <v>190</v>
      </c>
      <c r="IA987" s="319" t="s">
        <v>190</v>
      </c>
      <c r="IB987" s="319" t="s">
        <v>190</v>
      </c>
      <c r="IC987" s="319" t="s">
        <v>190</v>
      </c>
      <c r="ID987" s="319" t="s">
        <v>190</v>
      </c>
      <c r="IE987" s="319" t="s">
        <v>190</v>
      </c>
      <c r="IF987" s="319" t="s">
        <v>190</v>
      </c>
      <c r="IG987" s="319" t="s">
        <v>190</v>
      </c>
      <c r="IH987" s="319" t="s">
        <v>190</v>
      </c>
      <c r="II987" s="319" t="s">
        <v>190</v>
      </c>
      <c r="IJ987" s="319" t="s">
        <v>173</v>
      </c>
      <c r="IK987" s="319" t="s">
        <v>173</v>
      </c>
      <c r="IL987" s="319" t="s">
        <v>173</v>
      </c>
      <c r="IM987" s="319" t="s">
        <v>173</v>
      </c>
      <c r="IN987" s="319" t="s">
        <v>173</v>
      </c>
      <c r="IO987" s="319" t="s">
        <v>173</v>
      </c>
      <c r="IP987" s="319" t="s">
        <v>173</v>
      </c>
      <c r="IQ987" s="321" t="s">
        <v>173</v>
      </c>
      <c r="IR987" s="320" t="s">
        <v>173</v>
      </c>
      <c r="IS987" s="322" t="s">
        <v>173</v>
      </c>
      <c r="IT987" s="319" t="s">
        <v>173</v>
      </c>
    </row>
    <row r="988" spans="1:254" s="271" customFormat="1" x14ac:dyDescent="0.25">
      <c r="A988" s="318" t="str">
        <f>HYPERLINK("http://www.ofsted.gov.uk/inspection-reports/find-inspection-report/provider/ELS/145552 ","Ofsted School Webpage")</f>
        <v>Ofsted School Webpage</v>
      </c>
      <c r="B988" s="319">
        <v>145552</v>
      </c>
      <c r="C988" s="319">
        <v>3166011</v>
      </c>
      <c r="D988" s="319" t="s">
        <v>647</v>
      </c>
      <c r="E988" s="319" t="s">
        <v>167</v>
      </c>
      <c r="F988" s="319" t="s">
        <v>81</v>
      </c>
      <c r="G988" s="319" t="s">
        <v>59</v>
      </c>
      <c r="H988" s="319" t="s">
        <v>59</v>
      </c>
      <c r="I988" s="319" t="s">
        <v>59</v>
      </c>
      <c r="J988" s="319" t="s">
        <v>424</v>
      </c>
      <c r="K988" s="319" t="s">
        <v>441</v>
      </c>
      <c r="L988" s="319" t="s">
        <v>441</v>
      </c>
      <c r="M988" s="319" t="s">
        <v>709</v>
      </c>
      <c r="N988" s="319" t="s">
        <v>3227</v>
      </c>
      <c r="O988" s="319" t="s">
        <v>3574</v>
      </c>
      <c r="P988" s="319">
        <v>16</v>
      </c>
      <c r="Q988" s="319" t="s">
        <v>2766</v>
      </c>
      <c r="R988" s="320">
        <v>10078330</v>
      </c>
      <c r="S988" s="321">
        <v>43417</v>
      </c>
      <c r="T988" s="321">
        <v>43419</v>
      </c>
      <c r="U988" s="321">
        <v>43452</v>
      </c>
      <c r="V988" s="319" t="s">
        <v>435</v>
      </c>
      <c r="W988" s="319" t="s">
        <v>2767</v>
      </c>
      <c r="X988" s="319">
        <v>3</v>
      </c>
      <c r="Y988" s="319" t="s">
        <v>173</v>
      </c>
      <c r="Z988" s="319" t="s">
        <v>173</v>
      </c>
      <c r="AA988" s="319" t="s">
        <v>173</v>
      </c>
      <c r="AB988" s="319">
        <v>3</v>
      </c>
      <c r="AC988" s="319" t="s">
        <v>169</v>
      </c>
      <c r="AD988" s="319" t="s">
        <v>173</v>
      </c>
      <c r="AE988" s="319" t="s">
        <v>173</v>
      </c>
      <c r="AF988" s="319" t="s">
        <v>427</v>
      </c>
      <c r="AG988" s="319" t="s">
        <v>171</v>
      </c>
      <c r="AH988" s="319" t="s">
        <v>190</v>
      </c>
      <c r="AI988" s="319" t="s">
        <v>190</v>
      </c>
      <c r="AJ988" s="319" t="s">
        <v>190</v>
      </c>
      <c r="AK988" s="319" t="s">
        <v>190</v>
      </c>
      <c r="AL988" s="319" t="s">
        <v>190</v>
      </c>
      <c r="AM988" s="319" t="s">
        <v>190</v>
      </c>
      <c r="AN988" s="319" t="s">
        <v>190</v>
      </c>
      <c r="AO988" s="319" t="s">
        <v>190</v>
      </c>
      <c r="AP988" s="319" t="s">
        <v>190</v>
      </c>
      <c r="AQ988" s="319" t="s">
        <v>190</v>
      </c>
      <c r="AR988" s="319" t="s">
        <v>190</v>
      </c>
      <c r="AS988" s="319" t="s">
        <v>190</v>
      </c>
      <c r="AT988" s="319" t="s">
        <v>190</v>
      </c>
      <c r="AU988" s="319" t="s">
        <v>190</v>
      </c>
      <c r="AV988" s="319" t="s">
        <v>190</v>
      </c>
      <c r="AW988" s="319" t="s">
        <v>190</v>
      </c>
      <c r="AX988" s="319" t="s">
        <v>428</v>
      </c>
      <c r="AY988" s="319" t="s">
        <v>190</v>
      </c>
      <c r="AZ988" s="319" t="s">
        <v>190</v>
      </c>
      <c r="BA988" s="319" t="s">
        <v>190</v>
      </c>
      <c r="BB988" s="319" t="s">
        <v>190</v>
      </c>
      <c r="BC988" s="319" t="s">
        <v>190</v>
      </c>
      <c r="BD988" s="319" t="s">
        <v>190</v>
      </c>
      <c r="BE988" s="319" t="s">
        <v>190</v>
      </c>
      <c r="BF988" s="319" t="s">
        <v>190</v>
      </c>
      <c r="BG988" s="319" t="s">
        <v>428</v>
      </c>
      <c r="BH988" s="319" t="s">
        <v>190</v>
      </c>
      <c r="BI988" s="319" t="s">
        <v>190</v>
      </c>
      <c r="BJ988" s="319" t="s">
        <v>190</v>
      </c>
      <c r="BK988" s="319" t="s">
        <v>190</v>
      </c>
      <c r="BL988" s="319" t="s">
        <v>190</v>
      </c>
      <c r="BM988" s="319" t="s">
        <v>190</v>
      </c>
      <c r="BN988" s="319" t="s">
        <v>190</v>
      </c>
      <c r="BO988" s="319" t="s">
        <v>190</v>
      </c>
      <c r="BP988" s="319" t="s">
        <v>190</v>
      </c>
      <c r="BQ988" s="319" t="s">
        <v>190</v>
      </c>
      <c r="BR988" s="319" t="s">
        <v>190</v>
      </c>
      <c r="BS988" s="319" t="s">
        <v>190</v>
      </c>
      <c r="BT988" s="319" t="s">
        <v>190</v>
      </c>
      <c r="BU988" s="319" t="s">
        <v>190</v>
      </c>
      <c r="BV988" s="319" t="s">
        <v>190</v>
      </c>
      <c r="BW988" s="319" t="s">
        <v>190</v>
      </c>
      <c r="BX988" s="319" t="s">
        <v>190</v>
      </c>
      <c r="BY988" s="319" t="s">
        <v>190</v>
      </c>
      <c r="BZ988" s="319" t="s">
        <v>190</v>
      </c>
      <c r="CA988" s="319" t="s">
        <v>190</v>
      </c>
      <c r="CB988" s="319" t="s">
        <v>190</v>
      </c>
      <c r="CC988" s="319" t="s">
        <v>190</v>
      </c>
      <c r="CD988" s="319" t="s">
        <v>190</v>
      </c>
      <c r="CE988" s="319" t="s">
        <v>190</v>
      </c>
      <c r="CF988" s="319" t="s">
        <v>190</v>
      </c>
      <c r="CG988" s="319" t="s">
        <v>190</v>
      </c>
      <c r="CH988" s="319" t="s">
        <v>190</v>
      </c>
      <c r="CI988" s="319" t="s">
        <v>190</v>
      </c>
      <c r="CJ988" s="319" t="s">
        <v>190</v>
      </c>
      <c r="CK988" s="319" t="s">
        <v>190</v>
      </c>
      <c r="CL988" s="319" t="s">
        <v>190</v>
      </c>
      <c r="CM988" s="319" t="s">
        <v>190</v>
      </c>
      <c r="CN988" s="319" t="s">
        <v>428</v>
      </c>
      <c r="CO988" s="319" t="s">
        <v>428</v>
      </c>
      <c r="CP988" s="319" t="s">
        <v>428</v>
      </c>
      <c r="CQ988" s="319" t="s">
        <v>190</v>
      </c>
      <c r="CR988" s="319" t="s">
        <v>190</v>
      </c>
      <c r="CS988" s="319" t="s">
        <v>190</v>
      </c>
      <c r="CT988" s="319" t="s">
        <v>190</v>
      </c>
      <c r="CU988" s="319" t="s">
        <v>190</v>
      </c>
      <c r="CV988" s="319" t="s">
        <v>190</v>
      </c>
      <c r="CW988" s="319" t="s">
        <v>190</v>
      </c>
      <c r="CX988" s="319" t="s">
        <v>190</v>
      </c>
      <c r="CY988" s="319" t="s">
        <v>190</v>
      </c>
      <c r="CZ988" s="319" t="s">
        <v>190</v>
      </c>
      <c r="DA988" s="319" t="s">
        <v>190</v>
      </c>
      <c r="DB988" s="319" t="s">
        <v>190</v>
      </c>
      <c r="DC988" s="319" t="s">
        <v>190</v>
      </c>
      <c r="DD988" s="319" t="s">
        <v>190</v>
      </c>
      <c r="DE988" s="319" t="s">
        <v>190</v>
      </c>
      <c r="DF988" s="319" t="s">
        <v>190</v>
      </c>
      <c r="DG988" s="319" t="s">
        <v>190</v>
      </c>
      <c r="DH988" s="319" t="s">
        <v>190</v>
      </c>
      <c r="DI988" s="319" t="s">
        <v>190</v>
      </c>
      <c r="DJ988" s="319" t="s">
        <v>190</v>
      </c>
      <c r="DK988" s="319" t="s">
        <v>190</v>
      </c>
      <c r="DL988" s="319" t="s">
        <v>190</v>
      </c>
      <c r="DM988" s="319" t="s">
        <v>190</v>
      </c>
      <c r="DN988" s="319" t="s">
        <v>428</v>
      </c>
      <c r="DO988" s="319" t="s">
        <v>190</v>
      </c>
      <c r="DP988" s="319" t="s">
        <v>190</v>
      </c>
      <c r="DQ988" s="319" t="s">
        <v>190</v>
      </c>
      <c r="DR988" s="319" t="s">
        <v>190</v>
      </c>
      <c r="DS988" s="319" t="s">
        <v>190</v>
      </c>
      <c r="DT988" s="319" t="s">
        <v>190</v>
      </c>
      <c r="DU988" s="319" t="s">
        <v>190</v>
      </c>
      <c r="DV988" s="319" t="s">
        <v>173</v>
      </c>
      <c r="DW988" s="319" t="s">
        <v>190</v>
      </c>
      <c r="DX988" s="319" t="s">
        <v>190</v>
      </c>
      <c r="DY988" s="319" t="s">
        <v>190</v>
      </c>
      <c r="DZ988" s="319" t="s">
        <v>190</v>
      </c>
      <c r="EA988" s="319" t="s">
        <v>190</v>
      </c>
      <c r="EB988" s="319" t="s">
        <v>190</v>
      </c>
      <c r="EC988" s="319" t="s">
        <v>190</v>
      </c>
      <c r="ED988" s="319" t="s">
        <v>190</v>
      </c>
      <c r="EE988" s="319" t="s">
        <v>190</v>
      </c>
      <c r="EF988" s="319" t="s">
        <v>190</v>
      </c>
      <c r="EG988" s="319" t="s">
        <v>190</v>
      </c>
      <c r="EH988" s="319" t="s">
        <v>190</v>
      </c>
      <c r="EI988" s="319" t="s">
        <v>190</v>
      </c>
      <c r="EJ988" s="319" t="s">
        <v>190</v>
      </c>
      <c r="EK988" s="319" t="s">
        <v>190</v>
      </c>
      <c r="EL988" s="319" t="s">
        <v>190</v>
      </c>
      <c r="EM988" s="319" t="s">
        <v>190</v>
      </c>
      <c r="EN988" s="319" t="s">
        <v>190</v>
      </c>
      <c r="EO988" s="319" t="s">
        <v>190</v>
      </c>
      <c r="EP988" s="319" t="s">
        <v>190</v>
      </c>
      <c r="EQ988" s="319" t="s">
        <v>190</v>
      </c>
      <c r="ER988" s="319" t="s">
        <v>190</v>
      </c>
      <c r="ES988" s="319" t="s">
        <v>190</v>
      </c>
      <c r="ET988" s="319" t="s">
        <v>190</v>
      </c>
      <c r="EU988" s="319" t="s">
        <v>190</v>
      </c>
      <c r="EV988" s="319" t="s">
        <v>190</v>
      </c>
      <c r="EW988" s="319" t="s">
        <v>190</v>
      </c>
      <c r="EX988" s="319" t="s">
        <v>190</v>
      </c>
      <c r="EY988" s="319" t="s">
        <v>190</v>
      </c>
      <c r="EZ988" s="319" t="s">
        <v>190</v>
      </c>
      <c r="FA988" s="319" t="s">
        <v>190</v>
      </c>
      <c r="FB988" s="319" t="s">
        <v>190</v>
      </c>
      <c r="FC988" s="319" t="s">
        <v>190</v>
      </c>
      <c r="FD988" s="319" t="s">
        <v>190</v>
      </c>
      <c r="FE988" s="319" t="s">
        <v>190</v>
      </c>
      <c r="FF988" s="319" t="s">
        <v>190</v>
      </c>
      <c r="FG988" s="319" t="s">
        <v>190</v>
      </c>
      <c r="FH988" s="319" t="s">
        <v>190</v>
      </c>
      <c r="FI988" s="319" t="s">
        <v>190</v>
      </c>
      <c r="FJ988" s="319" t="s">
        <v>190</v>
      </c>
      <c r="FK988" s="319" t="s">
        <v>190</v>
      </c>
      <c r="FL988" s="319" t="s">
        <v>190</v>
      </c>
      <c r="FM988" s="319" t="s">
        <v>190</v>
      </c>
      <c r="FN988" s="319" t="s">
        <v>190</v>
      </c>
      <c r="FO988" s="319" t="s">
        <v>190</v>
      </c>
      <c r="FP988" s="319" t="s">
        <v>190</v>
      </c>
      <c r="FQ988" s="319" t="s">
        <v>190</v>
      </c>
      <c r="FR988" s="319" t="s">
        <v>190</v>
      </c>
      <c r="FS988" s="319" t="s">
        <v>428</v>
      </c>
      <c r="FT988" s="319" t="s">
        <v>190</v>
      </c>
      <c r="FU988" s="319" t="s">
        <v>190</v>
      </c>
      <c r="FV988" s="319" t="s">
        <v>190</v>
      </c>
      <c r="FW988" s="319" t="s">
        <v>190</v>
      </c>
      <c r="FX988" s="319" t="s">
        <v>190</v>
      </c>
      <c r="FY988" s="319" t="s">
        <v>190</v>
      </c>
      <c r="FZ988" s="319" t="s">
        <v>190</v>
      </c>
      <c r="GA988" s="319" t="s">
        <v>190</v>
      </c>
      <c r="GB988" s="319" t="s">
        <v>190</v>
      </c>
      <c r="GC988" s="319" t="s">
        <v>190</v>
      </c>
      <c r="GD988" s="319" t="s">
        <v>190</v>
      </c>
      <c r="GE988" s="319" t="s">
        <v>190</v>
      </c>
      <c r="GF988" s="319" t="s">
        <v>190</v>
      </c>
      <c r="GG988" s="319" t="s">
        <v>190</v>
      </c>
      <c r="GH988" s="319" t="s">
        <v>190</v>
      </c>
      <c r="GI988" s="319" t="s">
        <v>190</v>
      </c>
      <c r="GJ988" s="319" t="s">
        <v>190</v>
      </c>
      <c r="GK988" s="319" t="s">
        <v>428</v>
      </c>
      <c r="GL988" s="319" t="s">
        <v>190</v>
      </c>
      <c r="GM988" s="319" t="s">
        <v>190</v>
      </c>
      <c r="GN988" s="319" t="s">
        <v>190</v>
      </c>
      <c r="GO988" s="319" t="s">
        <v>190</v>
      </c>
      <c r="GP988" s="319" t="s">
        <v>190</v>
      </c>
      <c r="GQ988" s="319" t="s">
        <v>190</v>
      </c>
      <c r="GR988" s="319" t="s">
        <v>190</v>
      </c>
      <c r="GS988" s="319" t="s">
        <v>190</v>
      </c>
      <c r="GT988" s="319" t="s">
        <v>428</v>
      </c>
      <c r="GU988" s="319" t="s">
        <v>428</v>
      </c>
      <c r="GV988" s="319" t="s">
        <v>190</v>
      </c>
      <c r="GW988" s="319" t="s">
        <v>190</v>
      </c>
      <c r="GX988" s="319" t="s">
        <v>190</v>
      </c>
      <c r="GY988" s="319" t="s">
        <v>190</v>
      </c>
      <c r="GZ988" s="319" t="s">
        <v>428</v>
      </c>
      <c r="HA988" s="319" t="s">
        <v>190</v>
      </c>
      <c r="HB988" s="319" t="s">
        <v>190</v>
      </c>
      <c r="HC988" s="319" t="s">
        <v>190</v>
      </c>
      <c r="HD988" s="319" t="s">
        <v>190</v>
      </c>
      <c r="HE988" s="319" t="s">
        <v>190</v>
      </c>
      <c r="HF988" s="319" t="s">
        <v>428</v>
      </c>
      <c r="HG988" s="319" t="s">
        <v>190</v>
      </c>
      <c r="HH988" s="319" t="s">
        <v>190</v>
      </c>
      <c r="HI988" s="319" t="s">
        <v>190</v>
      </c>
      <c r="HJ988" s="319" t="s">
        <v>190</v>
      </c>
      <c r="HK988" s="319" t="s">
        <v>190</v>
      </c>
      <c r="HL988" s="319" t="s">
        <v>190</v>
      </c>
      <c r="HM988" s="319" t="s">
        <v>190</v>
      </c>
      <c r="HN988" s="319" t="s">
        <v>190</v>
      </c>
      <c r="HO988" s="319" t="s">
        <v>190</v>
      </c>
      <c r="HP988" s="319" t="s">
        <v>190</v>
      </c>
      <c r="HQ988" s="319" t="s">
        <v>190</v>
      </c>
      <c r="HR988" s="319" t="s">
        <v>190</v>
      </c>
      <c r="HS988" s="319" t="s">
        <v>190</v>
      </c>
      <c r="HT988" s="319" t="s">
        <v>190</v>
      </c>
      <c r="HU988" s="319" t="s">
        <v>190</v>
      </c>
      <c r="HV988" s="319" t="s">
        <v>190</v>
      </c>
      <c r="HW988" s="319" t="s">
        <v>190</v>
      </c>
      <c r="HX988" s="319" t="s">
        <v>190</v>
      </c>
      <c r="HY988" s="319" t="s">
        <v>190</v>
      </c>
      <c r="HZ988" s="319" t="s">
        <v>190</v>
      </c>
      <c r="IA988" s="319" t="s">
        <v>190</v>
      </c>
      <c r="IB988" s="319" t="s">
        <v>190</v>
      </c>
      <c r="IC988" s="319" t="s">
        <v>190</v>
      </c>
      <c r="ID988" s="319" t="s">
        <v>190</v>
      </c>
      <c r="IE988" s="319" t="s">
        <v>190</v>
      </c>
      <c r="IF988" s="319" t="s">
        <v>190</v>
      </c>
      <c r="IG988" s="319" t="s">
        <v>190</v>
      </c>
      <c r="IH988" s="319" t="s">
        <v>190</v>
      </c>
      <c r="II988" s="319" t="s">
        <v>190</v>
      </c>
      <c r="IJ988" s="319" t="s">
        <v>173</v>
      </c>
      <c r="IK988" s="319" t="s">
        <v>173</v>
      </c>
      <c r="IL988" s="319" t="s">
        <v>173</v>
      </c>
      <c r="IM988" s="319" t="s">
        <v>173</v>
      </c>
      <c r="IN988" s="319" t="s">
        <v>173</v>
      </c>
      <c r="IO988" s="319" t="s">
        <v>173</v>
      </c>
      <c r="IP988" s="319" t="s">
        <v>173</v>
      </c>
      <c r="IQ988" s="319" t="s">
        <v>173</v>
      </c>
      <c r="IR988" s="320" t="s">
        <v>173</v>
      </c>
      <c r="IS988" s="320" t="s">
        <v>173</v>
      </c>
      <c r="IT988" s="319" t="s">
        <v>173</v>
      </c>
    </row>
    <row r="989" spans="1:254" s="271" customFormat="1" x14ac:dyDescent="0.25">
      <c r="A989" s="318" t="str">
        <f>HYPERLINK("http://www.ofsted.gov.uk/inspection-reports/find-inspection-report/provider/ELS/145563 ","Ofsted School Webpage")</f>
        <v>Ofsted School Webpage</v>
      </c>
      <c r="B989" s="319">
        <v>145563</v>
      </c>
      <c r="C989" s="319">
        <v>3326009</v>
      </c>
      <c r="D989" s="319" t="s">
        <v>618</v>
      </c>
      <c r="E989" s="319" t="s">
        <v>168</v>
      </c>
      <c r="F989" s="319" t="s">
        <v>81</v>
      </c>
      <c r="G989" s="319" t="s">
        <v>81</v>
      </c>
      <c r="H989" s="319" t="s">
        <v>81</v>
      </c>
      <c r="I989" s="319" t="s">
        <v>78</v>
      </c>
      <c r="J989" s="319" t="s">
        <v>424</v>
      </c>
      <c r="K989" s="319" t="s">
        <v>437</v>
      </c>
      <c r="L989" s="319" t="s">
        <v>437</v>
      </c>
      <c r="M989" s="319" t="s">
        <v>619</v>
      </c>
      <c r="N989" s="319" t="s">
        <v>3527</v>
      </c>
      <c r="O989" s="319" t="s">
        <v>620</v>
      </c>
      <c r="P989" s="319">
        <v>17</v>
      </c>
      <c r="Q989" s="319" t="s">
        <v>429</v>
      </c>
      <c r="R989" s="320">
        <v>10056212</v>
      </c>
      <c r="S989" s="321">
        <v>43410</v>
      </c>
      <c r="T989" s="321">
        <v>43412</v>
      </c>
      <c r="U989" s="321">
        <v>43445</v>
      </c>
      <c r="V989" s="319" t="s">
        <v>435</v>
      </c>
      <c r="W989" s="319" t="s">
        <v>2767</v>
      </c>
      <c r="X989" s="319">
        <v>2</v>
      </c>
      <c r="Y989" s="319" t="s">
        <v>173</v>
      </c>
      <c r="Z989" s="319" t="s">
        <v>173</v>
      </c>
      <c r="AA989" s="319" t="s">
        <v>173</v>
      </c>
      <c r="AB989" s="319">
        <v>2</v>
      </c>
      <c r="AC989" s="319" t="s">
        <v>169</v>
      </c>
      <c r="AD989" s="319" t="s">
        <v>173</v>
      </c>
      <c r="AE989" s="319">
        <v>0</v>
      </c>
      <c r="AF989" s="319" t="s">
        <v>447</v>
      </c>
      <c r="AG989" s="319" t="s">
        <v>171</v>
      </c>
      <c r="AH989" s="319" t="s">
        <v>190</v>
      </c>
      <c r="AI989" s="319" t="s">
        <v>190</v>
      </c>
      <c r="AJ989" s="319" t="s">
        <v>190</v>
      </c>
      <c r="AK989" s="319" t="s">
        <v>190</v>
      </c>
      <c r="AL989" s="319" t="s">
        <v>190</v>
      </c>
      <c r="AM989" s="319" t="s">
        <v>190</v>
      </c>
      <c r="AN989" s="319" t="s">
        <v>190</v>
      </c>
      <c r="AO989" s="319" t="s">
        <v>190</v>
      </c>
      <c r="AP989" s="319" t="s">
        <v>190</v>
      </c>
      <c r="AQ989" s="319" t="s">
        <v>190</v>
      </c>
      <c r="AR989" s="319" t="s">
        <v>190</v>
      </c>
      <c r="AS989" s="319" t="s">
        <v>190</v>
      </c>
      <c r="AT989" s="319" t="s">
        <v>190</v>
      </c>
      <c r="AU989" s="319" t="s">
        <v>190</v>
      </c>
      <c r="AV989" s="319" t="s">
        <v>190</v>
      </c>
      <c r="AW989" s="319" t="s">
        <v>190</v>
      </c>
      <c r="AX989" s="319" t="s">
        <v>428</v>
      </c>
      <c r="AY989" s="319" t="s">
        <v>190</v>
      </c>
      <c r="AZ989" s="319" t="s">
        <v>190</v>
      </c>
      <c r="BA989" s="319" t="s">
        <v>190</v>
      </c>
      <c r="BB989" s="319" t="s">
        <v>190</v>
      </c>
      <c r="BC989" s="319" t="s">
        <v>190</v>
      </c>
      <c r="BD989" s="319" t="s">
        <v>190</v>
      </c>
      <c r="BE989" s="319" t="s">
        <v>190</v>
      </c>
      <c r="BF989" s="319" t="s">
        <v>428</v>
      </c>
      <c r="BG989" s="319" t="s">
        <v>190</v>
      </c>
      <c r="BH989" s="319" t="s">
        <v>190</v>
      </c>
      <c r="BI989" s="319" t="s">
        <v>190</v>
      </c>
      <c r="BJ989" s="319" t="s">
        <v>190</v>
      </c>
      <c r="BK989" s="319" t="s">
        <v>190</v>
      </c>
      <c r="BL989" s="319" t="s">
        <v>190</v>
      </c>
      <c r="BM989" s="319" t="s">
        <v>190</v>
      </c>
      <c r="BN989" s="319" t="s">
        <v>190</v>
      </c>
      <c r="BO989" s="319" t="s">
        <v>190</v>
      </c>
      <c r="BP989" s="319" t="s">
        <v>190</v>
      </c>
      <c r="BQ989" s="319" t="s">
        <v>190</v>
      </c>
      <c r="BR989" s="319" t="s">
        <v>190</v>
      </c>
      <c r="BS989" s="319" t="s">
        <v>190</v>
      </c>
      <c r="BT989" s="319" t="s">
        <v>190</v>
      </c>
      <c r="BU989" s="319" t="s">
        <v>190</v>
      </c>
      <c r="BV989" s="319" t="s">
        <v>190</v>
      </c>
      <c r="BW989" s="319" t="s">
        <v>190</v>
      </c>
      <c r="BX989" s="319" t="s">
        <v>190</v>
      </c>
      <c r="BY989" s="319" t="s">
        <v>190</v>
      </c>
      <c r="BZ989" s="319" t="s">
        <v>190</v>
      </c>
      <c r="CA989" s="319" t="s">
        <v>190</v>
      </c>
      <c r="CB989" s="319" t="s">
        <v>190</v>
      </c>
      <c r="CC989" s="319" t="s">
        <v>190</v>
      </c>
      <c r="CD989" s="319" t="s">
        <v>190</v>
      </c>
      <c r="CE989" s="319" t="s">
        <v>190</v>
      </c>
      <c r="CF989" s="319" t="s">
        <v>190</v>
      </c>
      <c r="CG989" s="319" t="s">
        <v>190</v>
      </c>
      <c r="CH989" s="319" t="s">
        <v>190</v>
      </c>
      <c r="CI989" s="319" t="s">
        <v>190</v>
      </c>
      <c r="CJ989" s="319" t="s">
        <v>190</v>
      </c>
      <c r="CK989" s="319" t="s">
        <v>190</v>
      </c>
      <c r="CL989" s="319" t="s">
        <v>190</v>
      </c>
      <c r="CM989" s="319" t="s">
        <v>190</v>
      </c>
      <c r="CN989" s="319" t="s">
        <v>428</v>
      </c>
      <c r="CO989" s="319" t="s">
        <v>428</v>
      </c>
      <c r="CP989" s="319" t="s">
        <v>428</v>
      </c>
      <c r="CQ989" s="319" t="s">
        <v>190</v>
      </c>
      <c r="CR989" s="319" t="s">
        <v>190</v>
      </c>
      <c r="CS989" s="319" t="s">
        <v>190</v>
      </c>
      <c r="CT989" s="319" t="s">
        <v>190</v>
      </c>
      <c r="CU989" s="319" t="s">
        <v>190</v>
      </c>
      <c r="CV989" s="319" t="s">
        <v>190</v>
      </c>
      <c r="CW989" s="319" t="s">
        <v>190</v>
      </c>
      <c r="CX989" s="319" t="s">
        <v>190</v>
      </c>
      <c r="CY989" s="319" t="s">
        <v>190</v>
      </c>
      <c r="CZ989" s="319" t="s">
        <v>190</v>
      </c>
      <c r="DA989" s="319" t="s">
        <v>190</v>
      </c>
      <c r="DB989" s="319" t="s">
        <v>190</v>
      </c>
      <c r="DC989" s="319" t="s">
        <v>190</v>
      </c>
      <c r="DD989" s="319" t="s">
        <v>190</v>
      </c>
      <c r="DE989" s="319" t="s">
        <v>190</v>
      </c>
      <c r="DF989" s="319" t="s">
        <v>190</v>
      </c>
      <c r="DG989" s="319" t="s">
        <v>190</v>
      </c>
      <c r="DH989" s="319" t="s">
        <v>190</v>
      </c>
      <c r="DI989" s="319" t="s">
        <v>190</v>
      </c>
      <c r="DJ989" s="319" t="s">
        <v>190</v>
      </c>
      <c r="DK989" s="319" t="s">
        <v>190</v>
      </c>
      <c r="DL989" s="319" t="s">
        <v>190</v>
      </c>
      <c r="DM989" s="319" t="s">
        <v>190</v>
      </c>
      <c r="DN989" s="319" t="s">
        <v>428</v>
      </c>
      <c r="DO989" s="319" t="s">
        <v>428</v>
      </c>
      <c r="DP989" s="319" t="s">
        <v>190</v>
      </c>
      <c r="DQ989" s="319" t="s">
        <v>190</v>
      </c>
      <c r="DR989" s="319" t="s">
        <v>190</v>
      </c>
      <c r="DS989" s="319" t="s">
        <v>190</v>
      </c>
      <c r="DT989" s="319" t="s">
        <v>190</v>
      </c>
      <c r="DU989" s="319" t="s">
        <v>190</v>
      </c>
      <c r="DV989" s="319" t="s">
        <v>173</v>
      </c>
      <c r="DW989" s="319" t="s">
        <v>190</v>
      </c>
      <c r="DX989" s="319" t="s">
        <v>190</v>
      </c>
      <c r="DY989" s="319" t="s">
        <v>190</v>
      </c>
      <c r="DZ989" s="319" t="s">
        <v>190</v>
      </c>
      <c r="EA989" s="319" t="s">
        <v>190</v>
      </c>
      <c r="EB989" s="319" t="s">
        <v>190</v>
      </c>
      <c r="EC989" s="319" t="s">
        <v>428</v>
      </c>
      <c r="ED989" s="319" t="s">
        <v>190</v>
      </c>
      <c r="EE989" s="319" t="s">
        <v>190</v>
      </c>
      <c r="EF989" s="319" t="s">
        <v>190</v>
      </c>
      <c r="EG989" s="319" t="s">
        <v>190</v>
      </c>
      <c r="EH989" s="319" t="s">
        <v>190</v>
      </c>
      <c r="EI989" s="319" t="s">
        <v>190</v>
      </c>
      <c r="EJ989" s="319" t="s">
        <v>190</v>
      </c>
      <c r="EK989" s="319" t="s">
        <v>190</v>
      </c>
      <c r="EL989" s="319" t="s">
        <v>190</v>
      </c>
      <c r="EM989" s="319" t="s">
        <v>190</v>
      </c>
      <c r="EN989" s="319" t="s">
        <v>190</v>
      </c>
      <c r="EO989" s="319" t="s">
        <v>190</v>
      </c>
      <c r="EP989" s="319" t="s">
        <v>190</v>
      </c>
      <c r="EQ989" s="319" t="s">
        <v>190</v>
      </c>
      <c r="ER989" s="319" t="s">
        <v>190</v>
      </c>
      <c r="ES989" s="319" t="s">
        <v>190</v>
      </c>
      <c r="ET989" s="319" t="s">
        <v>190</v>
      </c>
      <c r="EU989" s="319" t="s">
        <v>190</v>
      </c>
      <c r="EV989" s="319" t="s">
        <v>190</v>
      </c>
      <c r="EW989" s="319" t="s">
        <v>190</v>
      </c>
      <c r="EX989" s="319" t="s">
        <v>190</v>
      </c>
      <c r="EY989" s="319" t="s">
        <v>190</v>
      </c>
      <c r="EZ989" s="319" t="s">
        <v>190</v>
      </c>
      <c r="FA989" s="319" t="s">
        <v>190</v>
      </c>
      <c r="FB989" s="319" t="s">
        <v>190</v>
      </c>
      <c r="FC989" s="319" t="s">
        <v>190</v>
      </c>
      <c r="FD989" s="319" t="s">
        <v>190</v>
      </c>
      <c r="FE989" s="319" t="s">
        <v>190</v>
      </c>
      <c r="FF989" s="319" t="s">
        <v>190</v>
      </c>
      <c r="FG989" s="319" t="s">
        <v>190</v>
      </c>
      <c r="FH989" s="319" t="s">
        <v>190</v>
      </c>
      <c r="FI989" s="319" t="s">
        <v>190</v>
      </c>
      <c r="FJ989" s="319" t="s">
        <v>190</v>
      </c>
      <c r="FK989" s="319" t="s">
        <v>190</v>
      </c>
      <c r="FL989" s="319" t="s">
        <v>190</v>
      </c>
      <c r="FM989" s="319" t="s">
        <v>190</v>
      </c>
      <c r="FN989" s="319" t="s">
        <v>190</v>
      </c>
      <c r="FO989" s="319" t="s">
        <v>190</v>
      </c>
      <c r="FP989" s="319" t="s">
        <v>190</v>
      </c>
      <c r="FQ989" s="319" t="s">
        <v>190</v>
      </c>
      <c r="FR989" s="319" t="s">
        <v>190</v>
      </c>
      <c r="FS989" s="319" t="s">
        <v>428</v>
      </c>
      <c r="FT989" s="319" t="s">
        <v>190</v>
      </c>
      <c r="FU989" s="319" t="s">
        <v>190</v>
      </c>
      <c r="FV989" s="319" t="s">
        <v>190</v>
      </c>
      <c r="FW989" s="319" t="s">
        <v>190</v>
      </c>
      <c r="FX989" s="319" t="s">
        <v>190</v>
      </c>
      <c r="FY989" s="319" t="s">
        <v>190</v>
      </c>
      <c r="FZ989" s="319" t="s">
        <v>190</v>
      </c>
      <c r="GA989" s="319" t="s">
        <v>190</v>
      </c>
      <c r="GB989" s="319" t="s">
        <v>190</v>
      </c>
      <c r="GC989" s="319" t="s">
        <v>190</v>
      </c>
      <c r="GD989" s="319" t="s">
        <v>190</v>
      </c>
      <c r="GE989" s="319" t="s">
        <v>190</v>
      </c>
      <c r="GF989" s="319" t="s">
        <v>190</v>
      </c>
      <c r="GG989" s="319" t="s">
        <v>190</v>
      </c>
      <c r="GH989" s="319" t="s">
        <v>190</v>
      </c>
      <c r="GI989" s="319" t="s">
        <v>190</v>
      </c>
      <c r="GJ989" s="319" t="s">
        <v>190</v>
      </c>
      <c r="GK989" s="319" t="s">
        <v>428</v>
      </c>
      <c r="GL989" s="319" t="s">
        <v>190</v>
      </c>
      <c r="GM989" s="319" t="s">
        <v>190</v>
      </c>
      <c r="GN989" s="319" t="s">
        <v>190</v>
      </c>
      <c r="GO989" s="319" t="s">
        <v>190</v>
      </c>
      <c r="GP989" s="319" t="s">
        <v>190</v>
      </c>
      <c r="GQ989" s="319" t="s">
        <v>190</v>
      </c>
      <c r="GR989" s="319" t="s">
        <v>190</v>
      </c>
      <c r="GS989" s="319" t="s">
        <v>190</v>
      </c>
      <c r="GT989" s="319" t="s">
        <v>190</v>
      </c>
      <c r="GU989" s="319" t="s">
        <v>190</v>
      </c>
      <c r="GV989" s="319" t="s">
        <v>190</v>
      </c>
      <c r="GW989" s="319" t="s">
        <v>190</v>
      </c>
      <c r="GX989" s="319" t="s">
        <v>190</v>
      </c>
      <c r="GY989" s="319" t="s">
        <v>190</v>
      </c>
      <c r="GZ989" s="319" t="s">
        <v>428</v>
      </c>
      <c r="HA989" s="319" t="s">
        <v>190</v>
      </c>
      <c r="HB989" s="319" t="s">
        <v>190</v>
      </c>
      <c r="HC989" s="319" t="s">
        <v>190</v>
      </c>
      <c r="HD989" s="319" t="s">
        <v>190</v>
      </c>
      <c r="HE989" s="319" t="s">
        <v>190</v>
      </c>
      <c r="HF989" s="319" t="s">
        <v>190</v>
      </c>
      <c r="HG989" s="319" t="s">
        <v>190</v>
      </c>
      <c r="HH989" s="319" t="s">
        <v>190</v>
      </c>
      <c r="HI989" s="319" t="s">
        <v>428</v>
      </c>
      <c r="HJ989" s="319" t="s">
        <v>190</v>
      </c>
      <c r="HK989" s="319" t="s">
        <v>190</v>
      </c>
      <c r="HL989" s="319" t="s">
        <v>428</v>
      </c>
      <c r="HM989" s="319" t="s">
        <v>428</v>
      </c>
      <c r="HN989" s="319" t="s">
        <v>428</v>
      </c>
      <c r="HO989" s="319" t="s">
        <v>428</v>
      </c>
      <c r="HP989" s="319" t="s">
        <v>190</v>
      </c>
      <c r="HQ989" s="319" t="s">
        <v>190</v>
      </c>
      <c r="HR989" s="319" t="s">
        <v>190</v>
      </c>
      <c r="HS989" s="319" t="s">
        <v>190</v>
      </c>
      <c r="HT989" s="319" t="s">
        <v>190</v>
      </c>
      <c r="HU989" s="319" t="s">
        <v>190</v>
      </c>
      <c r="HV989" s="319" t="s">
        <v>190</v>
      </c>
      <c r="HW989" s="319" t="s">
        <v>190</v>
      </c>
      <c r="HX989" s="319" t="s">
        <v>190</v>
      </c>
      <c r="HY989" s="319" t="s">
        <v>190</v>
      </c>
      <c r="HZ989" s="319" t="s">
        <v>190</v>
      </c>
      <c r="IA989" s="319" t="s">
        <v>190</v>
      </c>
      <c r="IB989" s="319" t="s">
        <v>190</v>
      </c>
      <c r="IC989" s="319" t="s">
        <v>190</v>
      </c>
      <c r="ID989" s="319" t="s">
        <v>190</v>
      </c>
      <c r="IE989" s="319" t="s">
        <v>190</v>
      </c>
      <c r="IF989" s="319" t="s">
        <v>190</v>
      </c>
      <c r="IG989" s="319" t="s">
        <v>190</v>
      </c>
      <c r="IH989" s="319" t="s">
        <v>190</v>
      </c>
      <c r="II989" s="319" t="s">
        <v>190</v>
      </c>
      <c r="IJ989" s="319" t="s">
        <v>173</v>
      </c>
      <c r="IK989" s="319" t="s">
        <v>173</v>
      </c>
      <c r="IL989" s="319" t="s">
        <v>173</v>
      </c>
      <c r="IM989" s="319" t="s">
        <v>173</v>
      </c>
      <c r="IN989" s="319" t="s">
        <v>173</v>
      </c>
      <c r="IO989" s="319" t="s">
        <v>173</v>
      </c>
      <c r="IP989" s="319" t="s">
        <v>173</v>
      </c>
      <c r="IQ989" s="321" t="s">
        <v>173</v>
      </c>
      <c r="IR989" s="320" t="s">
        <v>173</v>
      </c>
      <c r="IS989" s="322" t="s">
        <v>173</v>
      </c>
      <c r="IT989" s="319" t="s">
        <v>173</v>
      </c>
    </row>
    <row r="990" spans="1:254" s="271" customFormat="1" x14ac:dyDescent="0.25">
      <c r="A990" s="318" t="str">
        <f>HYPERLINK("http://www.ofsted.gov.uk/inspection-reports/find-inspection-report/provider/ELS/145568 ","Ofsted School Webpage")</f>
        <v>Ofsted School Webpage</v>
      </c>
      <c r="B990" s="319">
        <v>145568</v>
      </c>
      <c r="C990" s="319">
        <v>3106011</v>
      </c>
      <c r="D990" s="319" t="s">
        <v>444</v>
      </c>
      <c r="E990" s="319" t="s">
        <v>167</v>
      </c>
      <c r="F990" s="319" t="s">
        <v>81</v>
      </c>
      <c r="G990" s="319" t="s">
        <v>81</v>
      </c>
      <c r="H990" s="319" t="s">
        <v>81</v>
      </c>
      <c r="I990" s="319" t="s">
        <v>78</v>
      </c>
      <c r="J990" s="319" t="s">
        <v>424</v>
      </c>
      <c r="K990" s="319" t="s">
        <v>441</v>
      </c>
      <c r="L990" s="319" t="s">
        <v>441</v>
      </c>
      <c r="M990" s="319" t="s">
        <v>445</v>
      </c>
      <c r="N990" s="319" t="s">
        <v>3575</v>
      </c>
      <c r="O990" s="319" t="s">
        <v>446</v>
      </c>
      <c r="P990" s="319" t="s">
        <v>173</v>
      </c>
      <c r="Q990" s="319" t="s">
        <v>2776</v>
      </c>
      <c r="R990" s="320">
        <v>10077718</v>
      </c>
      <c r="S990" s="321">
        <v>43361</v>
      </c>
      <c r="T990" s="321">
        <v>43363</v>
      </c>
      <c r="U990" s="321">
        <v>43388</v>
      </c>
      <c r="V990" s="319" t="s">
        <v>435</v>
      </c>
      <c r="W990" s="319" t="s">
        <v>2767</v>
      </c>
      <c r="X990" s="319">
        <v>2</v>
      </c>
      <c r="Y990" s="319" t="s">
        <v>173</v>
      </c>
      <c r="Z990" s="319" t="s">
        <v>173</v>
      </c>
      <c r="AA990" s="319" t="s">
        <v>173</v>
      </c>
      <c r="AB990" s="319">
        <v>2</v>
      </c>
      <c r="AC990" s="319" t="s">
        <v>169</v>
      </c>
      <c r="AD990" s="319" t="s">
        <v>173</v>
      </c>
      <c r="AE990" s="319" t="s">
        <v>173</v>
      </c>
      <c r="AF990" s="319" t="s">
        <v>447</v>
      </c>
      <c r="AG990" s="319" t="s">
        <v>171</v>
      </c>
      <c r="AH990" s="319" t="s">
        <v>190</v>
      </c>
      <c r="AI990" s="319" t="s">
        <v>190</v>
      </c>
      <c r="AJ990" s="319" t="s">
        <v>190</v>
      </c>
      <c r="AK990" s="319" t="s">
        <v>190</v>
      </c>
      <c r="AL990" s="319" t="s">
        <v>190</v>
      </c>
      <c r="AM990" s="319" t="s">
        <v>190</v>
      </c>
      <c r="AN990" s="319" t="s">
        <v>190</v>
      </c>
      <c r="AO990" s="319" t="s">
        <v>190</v>
      </c>
      <c r="AP990" s="319" t="s">
        <v>190</v>
      </c>
      <c r="AQ990" s="319" t="s">
        <v>190</v>
      </c>
      <c r="AR990" s="319" t="s">
        <v>190</v>
      </c>
      <c r="AS990" s="319" t="s">
        <v>190</v>
      </c>
      <c r="AT990" s="319" t="s">
        <v>190</v>
      </c>
      <c r="AU990" s="319" t="s">
        <v>190</v>
      </c>
      <c r="AV990" s="319" t="s">
        <v>190</v>
      </c>
      <c r="AW990" s="319" t="s">
        <v>190</v>
      </c>
      <c r="AX990" s="319" t="s">
        <v>428</v>
      </c>
      <c r="AY990" s="319" t="s">
        <v>190</v>
      </c>
      <c r="AZ990" s="319" t="s">
        <v>190</v>
      </c>
      <c r="BA990" s="319" t="s">
        <v>190</v>
      </c>
      <c r="BB990" s="319" t="s">
        <v>190</v>
      </c>
      <c r="BC990" s="319" t="s">
        <v>190</v>
      </c>
      <c r="BD990" s="319" t="s">
        <v>190</v>
      </c>
      <c r="BE990" s="319" t="s">
        <v>190</v>
      </c>
      <c r="BF990" s="319" t="s">
        <v>428</v>
      </c>
      <c r="BG990" s="319" t="s">
        <v>190</v>
      </c>
      <c r="BH990" s="319" t="s">
        <v>190</v>
      </c>
      <c r="BI990" s="319" t="s">
        <v>190</v>
      </c>
      <c r="BJ990" s="319" t="s">
        <v>190</v>
      </c>
      <c r="BK990" s="319" t="s">
        <v>190</v>
      </c>
      <c r="BL990" s="319" t="s">
        <v>190</v>
      </c>
      <c r="BM990" s="319" t="s">
        <v>190</v>
      </c>
      <c r="BN990" s="319" t="s">
        <v>190</v>
      </c>
      <c r="BO990" s="319" t="s">
        <v>190</v>
      </c>
      <c r="BP990" s="319" t="s">
        <v>190</v>
      </c>
      <c r="BQ990" s="319" t="s">
        <v>190</v>
      </c>
      <c r="BR990" s="319" t="s">
        <v>190</v>
      </c>
      <c r="BS990" s="319" t="s">
        <v>190</v>
      </c>
      <c r="BT990" s="319" t="s">
        <v>190</v>
      </c>
      <c r="BU990" s="319" t="s">
        <v>190</v>
      </c>
      <c r="BV990" s="319" t="s">
        <v>190</v>
      </c>
      <c r="BW990" s="319" t="s">
        <v>190</v>
      </c>
      <c r="BX990" s="319" t="s">
        <v>190</v>
      </c>
      <c r="BY990" s="319" t="s">
        <v>190</v>
      </c>
      <c r="BZ990" s="319" t="s">
        <v>190</v>
      </c>
      <c r="CA990" s="319" t="s">
        <v>190</v>
      </c>
      <c r="CB990" s="319" t="s">
        <v>190</v>
      </c>
      <c r="CC990" s="319" t="s">
        <v>190</v>
      </c>
      <c r="CD990" s="319" t="s">
        <v>190</v>
      </c>
      <c r="CE990" s="319" t="s">
        <v>190</v>
      </c>
      <c r="CF990" s="319" t="s">
        <v>190</v>
      </c>
      <c r="CG990" s="319" t="s">
        <v>190</v>
      </c>
      <c r="CH990" s="319" t="s">
        <v>190</v>
      </c>
      <c r="CI990" s="319" t="s">
        <v>190</v>
      </c>
      <c r="CJ990" s="319" t="s">
        <v>190</v>
      </c>
      <c r="CK990" s="319" t="s">
        <v>190</v>
      </c>
      <c r="CL990" s="319" t="s">
        <v>190</v>
      </c>
      <c r="CM990" s="319" t="s">
        <v>190</v>
      </c>
      <c r="CN990" s="319" t="s">
        <v>190</v>
      </c>
      <c r="CO990" s="319" t="s">
        <v>428</v>
      </c>
      <c r="CP990" s="319" t="s">
        <v>428</v>
      </c>
      <c r="CQ990" s="319" t="s">
        <v>190</v>
      </c>
      <c r="CR990" s="319" t="s">
        <v>190</v>
      </c>
      <c r="CS990" s="319" t="s">
        <v>190</v>
      </c>
      <c r="CT990" s="319" t="s">
        <v>190</v>
      </c>
      <c r="CU990" s="319" t="s">
        <v>190</v>
      </c>
      <c r="CV990" s="319" t="s">
        <v>190</v>
      </c>
      <c r="CW990" s="319" t="s">
        <v>190</v>
      </c>
      <c r="CX990" s="319" t="s">
        <v>190</v>
      </c>
      <c r="CY990" s="319" t="s">
        <v>190</v>
      </c>
      <c r="CZ990" s="319" t="s">
        <v>190</v>
      </c>
      <c r="DA990" s="319" t="s">
        <v>190</v>
      </c>
      <c r="DB990" s="319" t="s">
        <v>190</v>
      </c>
      <c r="DC990" s="319" t="s">
        <v>190</v>
      </c>
      <c r="DD990" s="319" t="s">
        <v>190</v>
      </c>
      <c r="DE990" s="319" t="s">
        <v>190</v>
      </c>
      <c r="DF990" s="319" t="s">
        <v>190</v>
      </c>
      <c r="DG990" s="319" t="s">
        <v>190</v>
      </c>
      <c r="DH990" s="319" t="s">
        <v>190</v>
      </c>
      <c r="DI990" s="319" t="s">
        <v>190</v>
      </c>
      <c r="DJ990" s="319" t="s">
        <v>190</v>
      </c>
      <c r="DK990" s="319" t="s">
        <v>190</v>
      </c>
      <c r="DL990" s="319" t="s">
        <v>190</v>
      </c>
      <c r="DM990" s="319" t="s">
        <v>190</v>
      </c>
      <c r="DN990" s="319" t="s">
        <v>428</v>
      </c>
      <c r="DO990" s="319" t="s">
        <v>190</v>
      </c>
      <c r="DP990" s="319" t="s">
        <v>428</v>
      </c>
      <c r="DQ990" s="319" t="s">
        <v>428</v>
      </c>
      <c r="DR990" s="319" t="s">
        <v>428</v>
      </c>
      <c r="DS990" s="319" t="s">
        <v>428</v>
      </c>
      <c r="DT990" s="319" t="s">
        <v>428</v>
      </c>
      <c r="DU990" s="319" t="s">
        <v>428</v>
      </c>
      <c r="DV990" s="319" t="s">
        <v>173</v>
      </c>
      <c r="DW990" s="319" t="s">
        <v>428</v>
      </c>
      <c r="DX990" s="319" t="s">
        <v>428</v>
      </c>
      <c r="DY990" s="319" t="s">
        <v>428</v>
      </c>
      <c r="DZ990" s="319" t="s">
        <v>428</v>
      </c>
      <c r="EA990" s="319" t="s">
        <v>428</v>
      </c>
      <c r="EB990" s="319" t="s">
        <v>428</v>
      </c>
      <c r="EC990" s="319" t="s">
        <v>428</v>
      </c>
      <c r="ED990" s="319" t="s">
        <v>428</v>
      </c>
      <c r="EE990" s="319" t="s">
        <v>190</v>
      </c>
      <c r="EF990" s="319" t="s">
        <v>190</v>
      </c>
      <c r="EG990" s="319" t="s">
        <v>190</v>
      </c>
      <c r="EH990" s="319" t="s">
        <v>190</v>
      </c>
      <c r="EI990" s="319" t="s">
        <v>190</v>
      </c>
      <c r="EJ990" s="319" t="s">
        <v>190</v>
      </c>
      <c r="EK990" s="319" t="s">
        <v>190</v>
      </c>
      <c r="EL990" s="319" t="s">
        <v>428</v>
      </c>
      <c r="EM990" s="319" t="s">
        <v>428</v>
      </c>
      <c r="EN990" s="319" t="s">
        <v>190</v>
      </c>
      <c r="EO990" s="319" t="s">
        <v>190</v>
      </c>
      <c r="EP990" s="319" t="s">
        <v>190</v>
      </c>
      <c r="EQ990" s="319" t="s">
        <v>190</v>
      </c>
      <c r="ER990" s="319" t="s">
        <v>190</v>
      </c>
      <c r="ES990" s="319" t="s">
        <v>190</v>
      </c>
      <c r="ET990" s="319" t="s">
        <v>190</v>
      </c>
      <c r="EU990" s="319" t="s">
        <v>190</v>
      </c>
      <c r="EV990" s="319" t="s">
        <v>190</v>
      </c>
      <c r="EW990" s="319" t="s">
        <v>190</v>
      </c>
      <c r="EX990" s="319" t="s">
        <v>190</v>
      </c>
      <c r="EY990" s="319" t="s">
        <v>190</v>
      </c>
      <c r="EZ990" s="319" t="s">
        <v>190</v>
      </c>
      <c r="FA990" s="319" t="s">
        <v>428</v>
      </c>
      <c r="FB990" s="319" t="s">
        <v>428</v>
      </c>
      <c r="FC990" s="319" t="s">
        <v>428</v>
      </c>
      <c r="FD990" s="319" t="s">
        <v>428</v>
      </c>
      <c r="FE990" s="319" t="s">
        <v>428</v>
      </c>
      <c r="FF990" s="319" t="s">
        <v>428</v>
      </c>
      <c r="FG990" s="319" t="s">
        <v>428</v>
      </c>
      <c r="FH990" s="319" t="s">
        <v>190</v>
      </c>
      <c r="FI990" s="319" t="s">
        <v>428</v>
      </c>
      <c r="FJ990" s="319" t="s">
        <v>429</v>
      </c>
      <c r="FK990" s="319" t="s">
        <v>428</v>
      </c>
      <c r="FL990" s="319" t="s">
        <v>190</v>
      </c>
      <c r="FM990" s="319" t="s">
        <v>190</v>
      </c>
      <c r="FN990" s="319" t="s">
        <v>190</v>
      </c>
      <c r="FO990" s="319" t="s">
        <v>190</v>
      </c>
      <c r="FP990" s="319" t="s">
        <v>190</v>
      </c>
      <c r="FQ990" s="319" t="s">
        <v>190</v>
      </c>
      <c r="FR990" s="319" t="s">
        <v>190</v>
      </c>
      <c r="FS990" s="319" t="s">
        <v>428</v>
      </c>
      <c r="FT990" s="319" t="s">
        <v>428</v>
      </c>
      <c r="FU990" s="319" t="s">
        <v>190</v>
      </c>
      <c r="FV990" s="319" t="s">
        <v>190</v>
      </c>
      <c r="FW990" s="319" t="s">
        <v>190</v>
      </c>
      <c r="FX990" s="319" t="s">
        <v>190</v>
      </c>
      <c r="FY990" s="319" t="s">
        <v>190</v>
      </c>
      <c r="FZ990" s="319" t="s">
        <v>190</v>
      </c>
      <c r="GA990" s="319" t="s">
        <v>190</v>
      </c>
      <c r="GB990" s="319" t="s">
        <v>190</v>
      </c>
      <c r="GC990" s="319" t="s">
        <v>190</v>
      </c>
      <c r="GD990" s="319" t="s">
        <v>190</v>
      </c>
      <c r="GE990" s="319" t="s">
        <v>190</v>
      </c>
      <c r="GF990" s="319" t="s">
        <v>190</v>
      </c>
      <c r="GG990" s="319" t="s">
        <v>190</v>
      </c>
      <c r="GH990" s="319" t="s">
        <v>190</v>
      </c>
      <c r="GI990" s="319" t="s">
        <v>190</v>
      </c>
      <c r="GJ990" s="319" t="s">
        <v>190</v>
      </c>
      <c r="GK990" s="319" t="s">
        <v>428</v>
      </c>
      <c r="GL990" s="319" t="s">
        <v>190</v>
      </c>
      <c r="GM990" s="319" t="s">
        <v>190</v>
      </c>
      <c r="GN990" s="319" t="s">
        <v>190</v>
      </c>
      <c r="GO990" s="319" t="s">
        <v>190</v>
      </c>
      <c r="GP990" s="319" t="s">
        <v>428</v>
      </c>
      <c r="GQ990" s="319" t="s">
        <v>428</v>
      </c>
      <c r="GR990" s="319" t="s">
        <v>190</v>
      </c>
      <c r="GS990" s="319" t="s">
        <v>190</v>
      </c>
      <c r="GT990" s="319" t="s">
        <v>190</v>
      </c>
      <c r="GU990" s="319" t="s">
        <v>190</v>
      </c>
      <c r="GV990" s="319" t="s">
        <v>190</v>
      </c>
      <c r="GW990" s="319" t="s">
        <v>190</v>
      </c>
      <c r="GX990" s="319" t="s">
        <v>190</v>
      </c>
      <c r="GY990" s="319" t="s">
        <v>190</v>
      </c>
      <c r="GZ990" s="319" t="s">
        <v>190</v>
      </c>
      <c r="HA990" s="319" t="s">
        <v>428</v>
      </c>
      <c r="HB990" s="319" t="s">
        <v>190</v>
      </c>
      <c r="HC990" s="319" t="s">
        <v>190</v>
      </c>
      <c r="HD990" s="319" t="s">
        <v>190</v>
      </c>
      <c r="HE990" s="319" t="s">
        <v>190</v>
      </c>
      <c r="HF990" s="319" t="s">
        <v>190</v>
      </c>
      <c r="HG990" s="319" t="s">
        <v>190</v>
      </c>
      <c r="HH990" s="319" t="s">
        <v>190</v>
      </c>
      <c r="HI990" s="319" t="s">
        <v>190</v>
      </c>
      <c r="HJ990" s="319" t="s">
        <v>190</v>
      </c>
      <c r="HK990" s="319" t="s">
        <v>428</v>
      </c>
      <c r="HL990" s="319" t="s">
        <v>428</v>
      </c>
      <c r="HM990" s="319" t="s">
        <v>428</v>
      </c>
      <c r="HN990" s="319" t="s">
        <v>428</v>
      </c>
      <c r="HO990" s="319" t="s">
        <v>428</v>
      </c>
      <c r="HP990" s="319" t="s">
        <v>190</v>
      </c>
      <c r="HQ990" s="319" t="s">
        <v>190</v>
      </c>
      <c r="HR990" s="319" t="s">
        <v>190</v>
      </c>
      <c r="HS990" s="319" t="s">
        <v>190</v>
      </c>
      <c r="HT990" s="319" t="s">
        <v>190</v>
      </c>
      <c r="HU990" s="319" t="s">
        <v>190</v>
      </c>
      <c r="HV990" s="319" t="s">
        <v>190</v>
      </c>
      <c r="HW990" s="319" t="s">
        <v>190</v>
      </c>
      <c r="HX990" s="319" t="s">
        <v>190</v>
      </c>
      <c r="HY990" s="319" t="s">
        <v>190</v>
      </c>
      <c r="HZ990" s="319" t="s">
        <v>190</v>
      </c>
      <c r="IA990" s="319" t="s">
        <v>190</v>
      </c>
      <c r="IB990" s="319" t="s">
        <v>190</v>
      </c>
      <c r="IC990" s="319" t="s">
        <v>190</v>
      </c>
      <c r="ID990" s="319" t="s">
        <v>190</v>
      </c>
      <c r="IE990" s="319" t="s">
        <v>190</v>
      </c>
      <c r="IF990" s="319" t="s">
        <v>190</v>
      </c>
      <c r="IG990" s="319" t="s">
        <v>190</v>
      </c>
      <c r="IH990" s="319" t="s">
        <v>190</v>
      </c>
      <c r="II990" s="319" t="s">
        <v>190</v>
      </c>
      <c r="IJ990" s="319" t="s">
        <v>173</v>
      </c>
      <c r="IK990" s="319" t="s">
        <v>173</v>
      </c>
      <c r="IL990" s="319" t="s">
        <v>173</v>
      </c>
      <c r="IM990" s="319" t="s">
        <v>173</v>
      </c>
      <c r="IN990" s="319" t="s">
        <v>173</v>
      </c>
      <c r="IO990" s="319" t="s">
        <v>173</v>
      </c>
      <c r="IP990" s="319" t="s">
        <v>173</v>
      </c>
      <c r="IQ990" s="321" t="s">
        <v>173</v>
      </c>
      <c r="IR990" s="320" t="s">
        <v>173</v>
      </c>
      <c r="IS990" s="322" t="s">
        <v>173</v>
      </c>
      <c r="IT990" s="319" t="s">
        <v>173</v>
      </c>
    </row>
    <row r="991" spans="1:254" s="271" customFormat="1" x14ac:dyDescent="0.25">
      <c r="A991" s="318" t="str">
        <f>HYPERLINK("http://www.ofsted.gov.uk/inspection-reports/find-inspection-report/provider/ELS/145572 ","Ofsted School Webpage")</f>
        <v>Ofsted School Webpage</v>
      </c>
      <c r="B991" s="319">
        <v>145572</v>
      </c>
      <c r="C991" s="319">
        <v>8306046</v>
      </c>
      <c r="D991" s="319" t="s">
        <v>843</v>
      </c>
      <c r="E991" s="319" t="s">
        <v>168</v>
      </c>
      <c r="F991" s="319" t="s">
        <v>81</v>
      </c>
      <c r="G991" s="319" t="s">
        <v>81</v>
      </c>
      <c r="H991" s="319" t="s">
        <v>81</v>
      </c>
      <c r="I991" s="319" t="s">
        <v>78</v>
      </c>
      <c r="J991" s="319" t="s">
        <v>424</v>
      </c>
      <c r="K991" s="319" t="s">
        <v>506</v>
      </c>
      <c r="L991" s="319" t="s">
        <v>506</v>
      </c>
      <c r="M991" s="319" t="s">
        <v>507</v>
      </c>
      <c r="N991" s="319" t="s">
        <v>3556</v>
      </c>
      <c r="O991" s="319" t="s">
        <v>844</v>
      </c>
      <c r="P991" s="319" t="s">
        <v>173</v>
      </c>
      <c r="Q991" s="319" t="s">
        <v>429</v>
      </c>
      <c r="R991" s="320">
        <v>10078674</v>
      </c>
      <c r="S991" s="321">
        <v>43487</v>
      </c>
      <c r="T991" s="321">
        <v>43489</v>
      </c>
      <c r="U991" s="321">
        <v>43534</v>
      </c>
      <c r="V991" s="319" t="s">
        <v>435</v>
      </c>
      <c r="W991" s="319" t="s">
        <v>2767</v>
      </c>
      <c r="X991" s="319">
        <v>1</v>
      </c>
      <c r="Y991" s="319" t="s">
        <v>173</v>
      </c>
      <c r="Z991" s="319" t="s">
        <v>173</v>
      </c>
      <c r="AA991" s="319" t="s">
        <v>173</v>
      </c>
      <c r="AB991" s="319">
        <v>1</v>
      </c>
      <c r="AC991" s="319" t="s">
        <v>169</v>
      </c>
      <c r="AD991" s="319" t="s">
        <v>173</v>
      </c>
      <c r="AE991" s="319" t="s">
        <v>173</v>
      </c>
      <c r="AF991" s="319" t="s">
        <v>427</v>
      </c>
      <c r="AG991" s="319" t="s">
        <v>171</v>
      </c>
      <c r="AH991" s="319" t="s">
        <v>190</v>
      </c>
      <c r="AI991" s="319" t="s">
        <v>190</v>
      </c>
      <c r="AJ991" s="319" t="s">
        <v>190</v>
      </c>
      <c r="AK991" s="319" t="s">
        <v>190</v>
      </c>
      <c r="AL991" s="319" t="s">
        <v>190</v>
      </c>
      <c r="AM991" s="319" t="s">
        <v>190</v>
      </c>
      <c r="AN991" s="319" t="s">
        <v>190</v>
      </c>
      <c r="AO991" s="319" t="s">
        <v>190</v>
      </c>
      <c r="AP991" s="319" t="s">
        <v>190</v>
      </c>
      <c r="AQ991" s="319" t="s">
        <v>190</v>
      </c>
      <c r="AR991" s="319" t="s">
        <v>190</v>
      </c>
      <c r="AS991" s="319" t="s">
        <v>190</v>
      </c>
      <c r="AT991" s="319" t="s">
        <v>190</v>
      </c>
      <c r="AU991" s="319" t="s">
        <v>190</v>
      </c>
      <c r="AV991" s="319" t="s">
        <v>190</v>
      </c>
      <c r="AW991" s="319" t="s">
        <v>190</v>
      </c>
      <c r="AX991" s="319" t="s">
        <v>428</v>
      </c>
      <c r="AY991" s="319" t="s">
        <v>190</v>
      </c>
      <c r="AZ991" s="319" t="s">
        <v>190</v>
      </c>
      <c r="BA991" s="319" t="s">
        <v>190</v>
      </c>
      <c r="BB991" s="319" t="s">
        <v>190</v>
      </c>
      <c r="BC991" s="319" t="s">
        <v>190</v>
      </c>
      <c r="BD991" s="319" t="s">
        <v>190</v>
      </c>
      <c r="BE991" s="319" t="s">
        <v>190</v>
      </c>
      <c r="BF991" s="319" t="s">
        <v>428</v>
      </c>
      <c r="BG991" s="319" t="s">
        <v>190</v>
      </c>
      <c r="BH991" s="319" t="s">
        <v>190</v>
      </c>
      <c r="BI991" s="319" t="s">
        <v>190</v>
      </c>
      <c r="BJ991" s="319" t="s">
        <v>190</v>
      </c>
      <c r="BK991" s="319" t="s">
        <v>190</v>
      </c>
      <c r="BL991" s="319" t="s">
        <v>190</v>
      </c>
      <c r="BM991" s="319" t="s">
        <v>190</v>
      </c>
      <c r="BN991" s="319" t="s">
        <v>190</v>
      </c>
      <c r="BO991" s="319" t="s">
        <v>190</v>
      </c>
      <c r="BP991" s="319" t="s">
        <v>190</v>
      </c>
      <c r="BQ991" s="319" t="s">
        <v>190</v>
      </c>
      <c r="BR991" s="319" t="s">
        <v>190</v>
      </c>
      <c r="BS991" s="319" t="s">
        <v>190</v>
      </c>
      <c r="BT991" s="319" t="s">
        <v>190</v>
      </c>
      <c r="BU991" s="319" t="s">
        <v>190</v>
      </c>
      <c r="BV991" s="319" t="s">
        <v>190</v>
      </c>
      <c r="BW991" s="319" t="s">
        <v>190</v>
      </c>
      <c r="BX991" s="319" t="s">
        <v>190</v>
      </c>
      <c r="BY991" s="319" t="s">
        <v>190</v>
      </c>
      <c r="BZ991" s="319" t="s">
        <v>190</v>
      </c>
      <c r="CA991" s="319" t="s">
        <v>190</v>
      </c>
      <c r="CB991" s="319" t="s">
        <v>190</v>
      </c>
      <c r="CC991" s="319" t="s">
        <v>190</v>
      </c>
      <c r="CD991" s="319" t="s">
        <v>190</v>
      </c>
      <c r="CE991" s="319" t="s">
        <v>190</v>
      </c>
      <c r="CF991" s="319" t="s">
        <v>190</v>
      </c>
      <c r="CG991" s="319" t="s">
        <v>190</v>
      </c>
      <c r="CH991" s="319" t="s">
        <v>190</v>
      </c>
      <c r="CI991" s="319" t="s">
        <v>190</v>
      </c>
      <c r="CJ991" s="319" t="s">
        <v>190</v>
      </c>
      <c r="CK991" s="319" t="s">
        <v>190</v>
      </c>
      <c r="CL991" s="319" t="s">
        <v>190</v>
      </c>
      <c r="CM991" s="319" t="s">
        <v>190</v>
      </c>
      <c r="CN991" s="319" t="s">
        <v>428</v>
      </c>
      <c r="CO991" s="319" t="s">
        <v>428</v>
      </c>
      <c r="CP991" s="319" t="s">
        <v>428</v>
      </c>
      <c r="CQ991" s="319" t="s">
        <v>190</v>
      </c>
      <c r="CR991" s="319" t="s">
        <v>190</v>
      </c>
      <c r="CS991" s="319" t="s">
        <v>190</v>
      </c>
      <c r="CT991" s="319" t="s">
        <v>190</v>
      </c>
      <c r="CU991" s="319" t="s">
        <v>190</v>
      </c>
      <c r="CV991" s="319" t="s">
        <v>190</v>
      </c>
      <c r="CW991" s="319" t="s">
        <v>190</v>
      </c>
      <c r="CX991" s="319" t="s">
        <v>190</v>
      </c>
      <c r="CY991" s="319" t="s">
        <v>190</v>
      </c>
      <c r="CZ991" s="319" t="s">
        <v>190</v>
      </c>
      <c r="DA991" s="319" t="s">
        <v>190</v>
      </c>
      <c r="DB991" s="319" t="s">
        <v>190</v>
      </c>
      <c r="DC991" s="319" t="s">
        <v>190</v>
      </c>
      <c r="DD991" s="319" t="s">
        <v>190</v>
      </c>
      <c r="DE991" s="319" t="s">
        <v>190</v>
      </c>
      <c r="DF991" s="319" t="s">
        <v>190</v>
      </c>
      <c r="DG991" s="319" t="s">
        <v>190</v>
      </c>
      <c r="DH991" s="319" t="s">
        <v>190</v>
      </c>
      <c r="DI991" s="319" t="s">
        <v>190</v>
      </c>
      <c r="DJ991" s="319" t="s">
        <v>190</v>
      </c>
      <c r="DK991" s="319" t="s">
        <v>190</v>
      </c>
      <c r="DL991" s="319" t="s">
        <v>190</v>
      </c>
      <c r="DM991" s="319" t="s">
        <v>190</v>
      </c>
      <c r="DN991" s="319" t="s">
        <v>428</v>
      </c>
      <c r="DO991" s="319" t="s">
        <v>190</v>
      </c>
      <c r="DP991" s="319" t="s">
        <v>428</v>
      </c>
      <c r="DQ991" s="319" t="s">
        <v>428</v>
      </c>
      <c r="DR991" s="319" t="s">
        <v>428</v>
      </c>
      <c r="DS991" s="319" t="s">
        <v>428</v>
      </c>
      <c r="DT991" s="319" t="s">
        <v>428</v>
      </c>
      <c r="DU991" s="319" t="s">
        <v>428</v>
      </c>
      <c r="DV991" s="319" t="s">
        <v>173</v>
      </c>
      <c r="DW991" s="319" t="s">
        <v>428</v>
      </c>
      <c r="DX991" s="319" t="s">
        <v>428</v>
      </c>
      <c r="DY991" s="319" t="s">
        <v>428</v>
      </c>
      <c r="DZ991" s="319" t="s">
        <v>428</v>
      </c>
      <c r="EA991" s="319" t="s">
        <v>428</v>
      </c>
      <c r="EB991" s="319" t="s">
        <v>428</v>
      </c>
      <c r="EC991" s="319" t="s">
        <v>428</v>
      </c>
      <c r="ED991" s="319" t="s">
        <v>428</v>
      </c>
      <c r="EE991" s="319" t="s">
        <v>428</v>
      </c>
      <c r="EF991" s="319" t="s">
        <v>428</v>
      </c>
      <c r="EG991" s="319" t="s">
        <v>428</v>
      </c>
      <c r="EH991" s="319" t="s">
        <v>428</v>
      </c>
      <c r="EI991" s="319" t="s">
        <v>428</v>
      </c>
      <c r="EJ991" s="319" t="s">
        <v>428</v>
      </c>
      <c r="EK991" s="319" t="s">
        <v>428</v>
      </c>
      <c r="EL991" s="319" t="s">
        <v>428</v>
      </c>
      <c r="EM991" s="319" t="s">
        <v>428</v>
      </c>
      <c r="EN991" s="319" t="s">
        <v>190</v>
      </c>
      <c r="EO991" s="319" t="s">
        <v>190</v>
      </c>
      <c r="EP991" s="319" t="s">
        <v>190</v>
      </c>
      <c r="EQ991" s="319" t="s">
        <v>190</v>
      </c>
      <c r="ER991" s="319" t="s">
        <v>190</v>
      </c>
      <c r="ES991" s="319" t="s">
        <v>190</v>
      </c>
      <c r="ET991" s="319" t="s">
        <v>190</v>
      </c>
      <c r="EU991" s="319" t="s">
        <v>190</v>
      </c>
      <c r="EV991" s="319" t="s">
        <v>190</v>
      </c>
      <c r="EW991" s="319" t="s">
        <v>190</v>
      </c>
      <c r="EX991" s="319" t="s">
        <v>190</v>
      </c>
      <c r="EY991" s="319" t="s">
        <v>190</v>
      </c>
      <c r="EZ991" s="319" t="s">
        <v>190</v>
      </c>
      <c r="FA991" s="319" t="s">
        <v>428</v>
      </c>
      <c r="FB991" s="319" t="s">
        <v>428</v>
      </c>
      <c r="FC991" s="319" t="s">
        <v>428</v>
      </c>
      <c r="FD991" s="319" t="s">
        <v>428</v>
      </c>
      <c r="FE991" s="319" t="s">
        <v>428</v>
      </c>
      <c r="FF991" s="319" t="s">
        <v>428</v>
      </c>
      <c r="FG991" s="319" t="s">
        <v>428</v>
      </c>
      <c r="FH991" s="319" t="s">
        <v>428</v>
      </c>
      <c r="FI991" s="319" t="s">
        <v>428</v>
      </c>
      <c r="FJ991" s="319" t="s">
        <v>429</v>
      </c>
      <c r="FK991" s="319" t="s">
        <v>428</v>
      </c>
      <c r="FL991" s="319" t="s">
        <v>190</v>
      </c>
      <c r="FM991" s="319" t="s">
        <v>190</v>
      </c>
      <c r="FN991" s="319" t="s">
        <v>190</v>
      </c>
      <c r="FO991" s="319" t="s">
        <v>190</v>
      </c>
      <c r="FP991" s="319" t="s">
        <v>190</v>
      </c>
      <c r="FQ991" s="319" t="s">
        <v>190</v>
      </c>
      <c r="FR991" s="319" t="s">
        <v>190</v>
      </c>
      <c r="FS991" s="319" t="s">
        <v>428</v>
      </c>
      <c r="FT991" s="319" t="s">
        <v>190</v>
      </c>
      <c r="FU991" s="319" t="s">
        <v>190</v>
      </c>
      <c r="FV991" s="319" t="s">
        <v>190</v>
      </c>
      <c r="FW991" s="319" t="s">
        <v>190</v>
      </c>
      <c r="FX991" s="319" t="s">
        <v>190</v>
      </c>
      <c r="FY991" s="319" t="s">
        <v>190</v>
      </c>
      <c r="FZ991" s="319" t="s">
        <v>190</v>
      </c>
      <c r="GA991" s="319" t="s">
        <v>190</v>
      </c>
      <c r="GB991" s="319" t="s">
        <v>190</v>
      </c>
      <c r="GC991" s="319" t="s">
        <v>190</v>
      </c>
      <c r="GD991" s="319" t="s">
        <v>190</v>
      </c>
      <c r="GE991" s="319" t="s">
        <v>190</v>
      </c>
      <c r="GF991" s="319" t="s">
        <v>190</v>
      </c>
      <c r="GG991" s="319" t="s">
        <v>190</v>
      </c>
      <c r="GH991" s="319" t="s">
        <v>190</v>
      </c>
      <c r="GI991" s="319" t="s">
        <v>190</v>
      </c>
      <c r="GJ991" s="319" t="s">
        <v>190</v>
      </c>
      <c r="GK991" s="319" t="s">
        <v>428</v>
      </c>
      <c r="GL991" s="319" t="s">
        <v>190</v>
      </c>
      <c r="GM991" s="319" t="s">
        <v>190</v>
      </c>
      <c r="GN991" s="319" t="s">
        <v>190</v>
      </c>
      <c r="GO991" s="319" t="s">
        <v>190</v>
      </c>
      <c r="GP991" s="319" t="s">
        <v>190</v>
      </c>
      <c r="GQ991" s="319" t="s">
        <v>428</v>
      </c>
      <c r="GR991" s="319" t="s">
        <v>190</v>
      </c>
      <c r="GS991" s="319" t="s">
        <v>190</v>
      </c>
      <c r="GT991" s="319" t="s">
        <v>190</v>
      </c>
      <c r="GU991" s="319" t="s">
        <v>190</v>
      </c>
      <c r="GV991" s="319" t="s">
        <v>428</v>
      </c>
      <c r="GW991" s="319" t="s">
        <v>190</v>
      </c>
      <c r="GX991" s="319" t="s">
        <v>190</v>
      </c>
      <c r="GY991" s="319" t="s">
        <v>190</v>
      </c>
      <c r="GZ991" s="319" t="s">
        <v>190</v>
      </c>
      <c r="HA991" s="319" t="s">
        <v>428</v>
      </c>
      <c r="HB991" s="319" t="s">
        <v>190</v>
      </c>
      <c r="HC991" s="319" t="s">
        <v>190</v>
      </c>
      <c r="HD991" s="319" t="s">
        <v>190</v>
      </c>
      <c r="HE991" s="319" t="s">
        <v>190</v>
      </c>
      <c r="HF991" s="319" t="s">
        <v>190</v>
      </c>
      <c r="HG991" s="319" t="s">
        <v>190</v>
      </c>
      <c r="HH991" s="319" t="s">
        <v>190</v>
      </c>
      <c r="HI991" s="319" t="s">
        <v>190</v>
      </c>
      <c r="HJ991" s="319" t="s">
        <v>190</v>
      </c>
      <c r="HK991" s="319" t="s">
        <v>190</v>
      </c>
      <c r="HL991" s="319" t="s">
        <v>428</v>
      </c>
      <c r="HM991" s="319" t="s">
        <v>428</v>
      </c>
      <c r="HN991" s="319" t="s">
        <v>428</v>
      </c>
      <c r="HO991" s="319" t="s">
        <v>428</v>
      </c>
      <c r="HP991" s="319" t="s">
        <v>190</v>
      </c>
      <c r="HQ991" s="319" t="s">
        <v>190</v>
      </c>
      <c r="HR991" s="319" t="s">
        <v>190</v>
      </c>
      <c r="HS991" s="319" t="s">
        <v>190</v>
      </c>
      <c r="HT991" s="319" t="s">
        <v>190</v>
      </c>
      <c r="HU991" s="319" t="s">
        <v>190</v>
      </c>
      <c r="HV991" s="319" t="s">
        <v>190</v>
      </c>
      <c r="HW991" s="319" t="s">
        <v>190</v>
      </c>
      <c r="HX991" s="319" t="s">
        <v>190</v>
      </c>
      <c r="HY991" s="319" t="s">
        <v>190</v>
      </c>
      <c r="HZ991" s="319" t="s">
        <v>190</v>
      </c>
      <c r="IA991" s="319" t="s">
        <v>190</v>
      </c>
      <c r="IB991" s="319" t="s">
        <v>190</v>
      </c>
      <c r="IC991" s="319" t="s">
        <v>190</v>
      </c>
      <c r="ID991" s="319" t="s">
        <v>190</v>
      </c>
      <c r="IE991" s="319" t="s">
        <v>190</v>
      </c>
      <c r="IF991" s="319" t="s">
        <v>190</v>
      </c>
      <c r="IG991" s="319" t="s">
        <v>190</v>
      </c>
      <c r="IH991" s="319" t="s">
        <v>190</v>
      </c>
      <c r="II991" s="319" t="s">
        <v>190</v>
      </c>
      <c r="IJ991" s="319" t="s">
        <v>173</v>
      </c>
      <c r="IK991" s="319" t="s">
        <v>173</v>
      </c>
      <c r="IL991" s="319" t="s">
        <v>173</v>
      </c>
      <c r="IM991" s="319" t="s">
        <v>173</v>
      </c>
      <c r="IN991" s="319" t="s">
        <v>173</v>
      </c>
      <c r="IO991" s="319" t="s">
        <v>173</v>
      </c>
      <c r="IP991" s="319" t="s">
        <v>173</v>
      </c>
      <c r="IQ991" s="319" t="s">
        <v>173</v>
      </c>
      <c r="IR991" s="320" t="s">
        <v>173</v>
      </c>
      <c r="IS991" s="320" t="s">
        <v>173</v>
      </c>
      <c r="IT991" s="319" t="s">
        <v>173</v>
      </c>
    </row>
    <row r="992" spans="1:254" s="271" customFormat="1" x14ac:dyDescent="0.25">
      <c r="A992" s="318" t="str">
        <f>HYPERLINK("http://www.ofsted.gov.uk/inspection-reports/find-inspection-report/provider/ELS/145574 ","Ofsted School Webpage")</f>
        <v>Ofsted School Webpage</v>
      </c>
      <c r="B992" s="319">
        <v>145574</v>
      </c>
      <c r="C992" s="319">
        <v>8866149</v>
      </c>
      <c r="D992" s="319" t="s">
        <v>948</v>
      </c>
      <c r="E992" s="319" t="s">
        <v>168</v>
      </c>
      <c r="F992" s="319" t="s">
        <v>81</v>
      </c>
      <c r="G992" s="319" t="s">
        <v>81</v>
      </c>
      <c r="H992" s="319" t="s">
        <v>81</v>
      </c>
      <c r="I992" s="319" t="s">
        <v>78</v>
      </c>
      <c r="J992" s="319" t="s">
        <v>424</v>
      </c>
      <c r="K992" s="319" t="s">
        <v>514</v>
      </c>
      <c r="L992" s="319" t="s">
        <v>514</v>
      </c>
      <c r="M992" s="319" t="s">
        <v>614</v>
      </c>
      <c r="N992" s="319" t="s">
        <v>3077</v>
      </c>
      <c r="O992" s="319" t="s">
        <v>949</v>
      </c>
      <c r="P992" s="319">
        <v>4</v>
      </c>
      <c r="Q992" s="319" t="s">
        <v>429</v>
      </c>
      <c r="R992" s="320">
        <v>10080964</v>
      </c>
      <c r="S992" s="321">
        <v>43522</v>
      </c>
      <c r="T992" s="321">
        <v>43524</v>
      </c>
      <c r="U992" s="321">
        <v>43550</v>
      </c>
      <c r="V992" s="319" t="s">
        <v>435</v>
      </c>
      <c r="W992" s="319" t="s">
        <v>2767</v>
      </c>
      <c r="X992" s="319">
        <v>3</v>
      </c>
      <c r="Y992" s="319" t="s">
        <v>173</v>
      </c>
      <c r="Z992" s="319" t="s">
        <v>173</v>
      </c>
      <c r="AA992" s="319" t="s">
        <v>173</v>
      </c>
      <c r="AB992" s="319">
        <v>3</v>
      </c>
      <c r="AC992" s="319" t="s">
        <v>169</v>
      </c>
      <c r="AD992" s="319" t="s">
        <v>173</v>
      </c>
      <c r="AE992" s="319" t="s">
        <v>173</v>
      </c>
      <c r="AF992" s="319" t="s">
        <v>427</v>
      </c>
      <c r="AG992" s="319" t="s">
        <v>171</v>
      </c>
      <c r="AH992" s="319" t="s">
        <v>190</v>
      </c>
      <c r="AI992" s="319" t="s">
        <v>190</v>
      </c>
      <c r="AJ992" s="319" t="s">
        <v>190</v>
      </c>
      <c r="AK992" s="319" t="s">
        <v>190</v>
      </c>
      <c r="AL992" s="319" t="s">
        <v>190</v>
      </c>
      <c r="AM992" s="319" t="s">
        <v>190</v>
      </c>
      <c r="AN992" s="319" t="s">
        <v>190</v>
      </c>
      <c r="AO992" s="319" t="s">
        <v>190</v>
      </c>
      <c r="AP992" s="319" t="s">
        <v>190</v>
      </c>
      <c r="AQ992" s="319" t="s">
        <v>190</v>
      </c>
      <c r="AR992" s="319" t="s">
        <v>190</v>
      </c>
      <c r="AS992" s="319" t="s">
        <v>190</v>
      </c>
      <c r="AT992" s="319" t="s">
        <v>190</v>
      </c>
      <c r="AU992" s="319" t="s">
        <v>190</v>
      </c>
      <c r="AV992" s="319" t="s">
        <v>190</v>
      </c>
      <c r="AW992" s="319" t="s">
        <v>190</v>
      </c>
      <c r="AX992" s="319" t="s">
        <v>428</v>
      </c>
      <c r="AY992" s="319" t="s">
        <v>190</v>
      </c>
      <c r="AZ992" s="319" t="s">
        <v>190</v>
      </c>
      <c r="BA992" s="319" t="s">
        <v>190</v>
      </c>
      <c r="BB992" s="319" t="s">
        <v>190</v>
      </c>
      <c r="BC992" s="319" t="s">
        <v>190</v>
      </c>
      <c r="BD992" s="319" t="s">
        <v>190</v>
      </c>
      <c r="BE992" s="319" t="s">
        <v>190</v>
      </c>
      <c r="BF992" s="319" t="s">
        <v>428</v>
      </c>
      <c r="BG992" s="319" t="s">
        <v>428</v>
      </c>
      <c r="BH992" s="319" t="s">
        <v>190</v>
      </c>
      <c r="BI992" s="319" t="s">
        <v>190</v>
      </c>
      <c r="BJ992" s="319" t="s">
        <v>190</v>
      </c>
      <c r="BK992" s="319" t="s">
        <v>190</v>
      </c>
      <c r="BL992" s="319" t="s">
        <v>190</v>
      </c>
      <c r="BM992" s="319" t="s">
        <v>190</v>
      </c>
      <c r="BN992" s="319" t="s">
        <v>190</v>
      </c>
      <c r="BO992" s="319" t="s">
        <v>190</v>
      </c>
      <c r="BP992" s="319" t="s">
        <v>190</v>
      </c>
      <c r="BQ992" s="319" t="s">
        <v>190</v>
      </c>
      <c r="BR992" s="319" t="s">
        <v>190</v>
      </c>
      <c r="BS992" s="319" t="s">
        <v>190</v>
      </c>
      <c r="BT992" s="319" t="s">
        <v>190</v>
      </c>
      <c r="BU992" s="319" t="s">
        <v>190</v>
      </c>
      <c r="BV992" s="319" t="s">
        <v>190</v>
      </c>
      <c r="BW992" s="319" t="s">
        <v>190</v>
      </c>
      <c r="BX992" s="319" t="s">
        <v>190</v>
      </c>
      <c r="BY992" s="319" t="s">
        <v>190</v>
      </c>
      <c r="BZ992" s="319" t="s">
        <v>190</v>
      </c>
      <c r="CA992" s="319" t="s">
        <v>190</v>
      </c>
      <c r="CB992" s="319" t="s">
        <v>190</v>
      </c>
      <c r="CC992" s="319" t="s">
        <v>190</v>
      </c>
      <c r="CD992" s="319" t="s">
        <v>190</v>
      </c>
      <c r="CE992" s="319" t="s">
        <v>190</v>
      </c>
      <c r="CF992" s="319" t="s">
        <v>190</v>
      </c>
      <c r="CG992" s="319" t="s">
        <v>190</v>
      </c>
      <c r="CH992" s="319" t="s">
        <v>190</v>
      </c>
      <c r="CI992" s="319" t="s">
        <v>190</v>
      </c>
      <c r="CJ992" s="319" t="s">
        <v>190</v>
      </c>
      <c r="CK992" s="319" t="s">
        <v>190</v>
      </c>
      <c r="CL992" s="319" t="s">
        <v>190</v>
      </c>
      <c r="CM992" s="319" t="s">
        <v>190</v>
      </c>
      <c r="CN992" s="319" t="s">
        <v>190</v>
      </c>
      <c r="CO992" s="319" t="s">
        <v>190</v>
      </c>
      <c r="CP992" s="319" t="s">
        <v>428</v>
      </c>
      <c r="CQ992" s="319" t="s">
        <v>190</v>
      </c>
      <c r="CR992" s="319" t="s">
        <v>190</v>
      </c>
      <c r="CS992" s="319" t="s">
        <v>190</v>
      </c>
      <c r="CT992" s="319" t="s">
        <v>190</v>
      </c>
      <c r="CU992" s="319" t="s">
        <v>190</v>
      </c>
      <c r="CV992" s="319" t="s">
        <v>190</v>
      </c>
      <c r="CW992" s="319" t="s">
        <v>190</v>
      </c>
      <c r="CX992" s="319" t="s">
        <v>190</v>
      </c>
      <c r="CY992" s="319" t="s">
        <v>190</v>
      </c>
      <c r="CZ992" s="319" t="s">
        <v>190</v>
      </c>
      <c r="DA992" s="319" t="s">
        <v>190</v>
      </c>
      <c r="DB992" s="319" t="s">
        <v>190</v>
      </c>
      <c r="DC992" s="319" t="s">
        <v>190</v>
      </c>
      <c r="DD992" s="319" t="s">
        <v>190</v>
      </c>
      <c r="DE992" s="319" t="s">
        <v>190</v>
      </c>
      <c r="DF992" s="319" t="s">
        <v>190</v>
      </c>
      <c r="DG992" s="319" t="s">
        <v>190</v>
      </c>
      <c r="DH992" s="319" t="s">
        <v>190</v>
      </c>
      <c r="DI992" s="319" t="s">
        <v>190</v>
      </c>
      <c r="DJ992" s="319" t="s">
        <v>190</v>
      </c>
      <c r="DK992" s="319" t="s">
        <v>190</v>
      </c>
      <c r="DL992" s="319" t="s">
        <v>190</v>
      </c>
      <c r="DM992" s="319" t="s">
        <v>190</v>
      </c>
      <c r="DN992" s="319" t="s">
        <v>428</v>
      </c>
      <c r="DO992" s="319" t="s">
        <v>190</v>
      </c>
      <c r="DP992" s="319" t="s">
        <v>428</v>
      </c>
      <c r="DQ992" s="319" t="s">
        <v>428</v>
      </c>
      <c r="DR992" s="319" t="s">
        <v>428</v>
      </c>
      <c r="DS992" s="319" t="s">
        <v>428</v>
      </c>
      <c r="DT992" s="319" t="s">
        <v>428</v>
      </c>
      <c r="DU992" s="319" t="s">
        <v>428</v>
      </c>
      <c r="DV992" s="319" t="s">
        <v>173</v>
      </c>
      <c r="DW992" s="319" t="s">
        <v>428</v>
      </c>
      <c r="DX992" s="319" t="s">
        <v>428</v>
      </c>
      <c r="DY992" s="319" t="s">
        <v>428</v>
      </c>
      <c r="DZ992" s="319" t="s">
        <v>428</v>
      </c>
      <c r="EA992" s="319" t="s">
        <v>428</v>
      </c>
      <c r="EB992" s="319" t="s">
        <v>428</v>
      </c>
      <c r="EC992" s="319" t="s">
        <v>428</v>
      </c>
      <c r="ED992" s="319" t="s">
        <v>428</v>
      </c>
      <c r="EE992" s="319" t="s">
        <v>190</v>
      </c>
      <c r="EF992" s="319" t="s">
        <v>190</v>
      </c>
      <c r="EG992" s="319" t="s">
        <v>190</v>
      </c>
      <c r="EH992" s="319" t="s">
        <v>190</v>
      </c>
      <c r="EI992" s="319" t="s">
        <v>190</v>
      </c>
      <c r="EJ992" s="319" t="s">
        <v>190</v>
      </c>
      <c r="EK992" s="319" t="s">
        <v>190</v>
      </c>
      <c r="EL992" s="319" t="s">
        <v>428</v>
      </c>
      <c r="EM992" s="319" t="s">
        <v>190</v>
      </c>
      <c r="EN992" s="319" t="s">
        <v>190</v>
      </c>
      <c r="EO992" s="319" t="s">
        <v>190</v>
      </c>
      <c r="EP992" s="319" t="s">
        <v>190</v>
      </c>
      <c r="EQ992" s="319" t="s">
        <v>190</v>
      </c>
      <c r="ER992" s="319" t="s">
        <v>190</v>
      </c>
      <c r="ES992" s="319" t="s">
        <v>190</v>
      </c>
      <c r="ET992" s="319" t="s">
        <v>190</v>
      </c>
      <c r="EU992" s="319" t="s">
        <v>190</v>
      </c>
      <c r="EV992" s="319" t="s">
        <v>190</v>
      </c>
      <c r="EW992" s="319" t="s">
        <v>190</v>
      </c>
      <c r="EX992" s="319" t="s">
        <v>190</v>
      </c>
      <c r="EY992" s="319" t="s">
        <v>190</v>
      </c>
      <c r="EZ992" s="319" t="s">
        <v>190</v>
      </c>
      <c r="FA992" s="319" t="s">
        <v>190</v>
      </c>
      <c r="FB992" s="319" t="s">
        <v>428</v>
      </c>
      <c r="FC992" s="319" t="s">
        <v>428</v>
      </c>
      <c r="FD992" s="319" t="s">
        <v>428</v>
      </c>
      <c r="FE992" s="319" t="s">
        <v>428</v>
      </c>
      <c r="FF992" s="319" t="s">
        <v>428</v>
      </c>
      <c r="FG992" s="319" t="s">
        <v>428</v>
      </c>
      <c r="FH992" s="319" t="s">
        <v>428</v>
      </c>
      <c r="FI992" s="319" t="s">
        <v>428</v>
      </c>
      <c r="FJ992" s="319" t="s">
        <v>429</v>
      </c>
      <c r="FK992" s="319" t="s">
        <v>428</v>
      </c>
      <c r="FL992" s="319" t="s">
        <v>190</v>
      </c>
      <c r="FM992" s="319" t="s">
        <v>190</v>
      </c>
      <c r="FN992" s="319" t="s">
        <v>190</v>
      </c>
      <c r="FO992" s="319" t="s">
        <v>190</v>
      </c>
      <c r="FP992" s="319" t="s">
        <v>190</v>
      </c>
      <c r="FQ992" s="319" t="s">
        <v>190</v>
      </c>
      <c r="FR992" s="319" t="s">
        <v>190</v>
      </c>
      <c r="FS992" s="319" t="s">
        <v>428</v>
      </c>
      <c r="FT992" s="319" t="s">
        <v>190</v>
      </c>
      <c r="FU992" s="319" t="s">
        <v>190</v>
      </c>
      <c r="FV992" s="319" t="s">
        <v>190</v>
      </c>
      <c r="FW992" s="319" t="s">
        <v>190</v>
      </c>
      <c r="FX992" s="319" t="s">
        <v>190</v>
      </c>
      <c r="FY992" s="319" t="s">
        <v>190</v>
      </c>
      <c r="FZ992" s="319" t="s">
        <v>190</v>
      </c>
      <c r="GA992" s="319" t="s">
        <v>190</v>
      </c>
      <c r="GB992" s="319" t="s">
        <v>190</v>
      </c>
      <c r="GC992" s="319" t="s">
        <v>190</v>
      </c>
      <c r="GD992" s="319" t="s">
        <v>190</v>
      </c>
      <c r="GE992" s="319" t="s">
        <v>190</v>
      </c>
      <c r="GF992" s="319" t="s">
        <v>190</v>
      </c>
      <c r="GG992" s="319" t="s">
        <v>190</v>
      </c>
      <c r="GH992" s="319" t="s">
        <v>190</v>
      </c>
      <c r="GI992" s="319" t="s">
        <v>190</v>
      </c>
      <c r="GJ992" s="319" t="s">
        <v>190</v>
      </c>
      <c r="GK992" s="319" t="s">
        <v>428</v>
      </c>
      <c r="GL992" s="319" t="s">
        <v>190</v>
      </c>
      <c r="GM992" s="319" t="s">
        <v>190</v>
      </c>
      <c r="GN992" s="319" t="s">
        <v>190</v>
      </c>
      <c r="GO992" s="319" t="s">
        <v>190</v>
      </c>
      <c r="GP992" s="319" t="s">
        <v>428</v>
      </c>
      <c r="GQ992" s="319" t="s">
        <v>428</v>
      </c>
      <c r="GR992" s="319" t="s">
        <v>190</v>
      </c>
      <c r="GS992" s="319" t="s">
        <v>190</v>
      </c>
      <c r="GT992" s="319" t="s">
        <v>190</v>
      </c>
      <c r="GU992" s="319" t="s">
        <v>190</v>
      </c>
      <c r="GV992" s="319" t="s">
        <v>190</v>
      </c>
      <c r="GW992" s="319" t="s">
        <v>190</v>
      </c>
      <c r="GX992" s="319" t="s">
        <v>190</v>
      </c>
      <c r="GY992" s="319" t="s">
        <v>190</v>
      </c>
      <c r="GZ992" s="319" t="s">
        <v>428</v>
      </c>
      <c r="HA992" s="319" t="s">
        <v>190</v>
      </c>
      <c r="HB992" s="319" t="s">
        <v>428</v>
      </c>
      <c r="HC992" s="319" t="s">
        <v>190</v>
      </c>
      <c r="HD992" s="319" t="s">
        <v>190</v>
      </c>
      <c r="HE992" s="319" t="s">
        <v>190</v>
      </c>
      <c r="HF992" s="319" t="s">
        <v>190</v>
      </c>
      <c r="HG992" s="319" t="s">
        <v>190</v>
      </c>
      <c r="HH992" s="319" t="s">
        <v>190</v>
      </c>
      <c r="HI992" s="319" t="s">
        <v>428</v>
      </c>
      <c r="HJ992" s="319" t="s">
        <v>190</v>
      </c>
      <c r="HK992" s="319" t="s">
        <v>428</v>
      </c>
      <c r="HL992" s="319" t="s">
        <v>428</v>
      </c>
      <c r="HM992" s="319" t="s">
        <v>428</v>
      </c>
      <c r="HN992" s="319" t="s">
        <v>428</v>
      </c>
      <c r="HO992" s="319" t="s">
        <v>428</v>
      </c>
      <c r="HP992" s="319" t="s">
        <v>190</v>
      </c>
      <c r="HQ992" s="319" t="s">
        <v>190</v>
      </c>
      <c r="HR992" s="319" t="s">
        <v>190</v>
      </c>
      <c r="HS992" s="319" t="s">
        <v>190</v>
      </c>
      <c r="HT992" s="319" t="s">
        <v>190</v>
      </c>
      <c r="HU992" s="319" t="s">
        <v>190</v>
      </c>
      <c r="HV992" s="319" t="s">
        <v>190</v>
      </c>
      <c r="HW992" s="319" t="s">
        <v>190</v>
      </c>
      <c r="HX992" s="319" t="s">
        <v>190</v>
      </c>
      <c r="HY992" s="319" t="s">
        <v>190</v>
      </c>
      <c r="HZ992" s="319" t="s">
        <v>190</v>
      </c>
      <c r="IA992" s="319" t="s">
        <v>190</v>
      </c>
      <c r="IB992" s="319" t="s">
        <v>190</v>
      </c>
      <c r="IC992" s="319" t="s">
        <v>190</v>
      </c>
      <c r="ID992" s="319" t="s">
        <v>190</v>
      </c>
      <c r="IE992" s="319" t="s">
        <v>190</v>
      </c>
      <c r="IF992" s="319" t="s">
        <v>190</v>
      </c>
      <c r="IG992" s="319" t="s">
        <v>190</v>
      </c>
      <c r="IH992" s="319" t="s">
        <v>190</v>
      </c>
      <c r="II992" s="319" t="s">
        <v>190</v>
      </c>
      <c r="IJ992" s="319" t="s">
        <v>173</v>
      </c>
      <c r="IK992" s="319" t="s">
        <v>173</v>
      </c>
      <c r="IL992" s="319" t="s">
        <v>173</v>
      </c>
      <c r="IM992" s="319" t="s">
        <v>173</v>
      </c>
      <c r="IN992" s="319" t="s">
        <v>173</v>
      </c>
      <c r="IO992" s="319" t="s">
        <v>173</v>
      </c>
      <c r="IP992" s="319" t="s">
        <v>173</v>
      </c>
      <c r="IQ992" s="321" t="s">
        <v>173</v>
      </c>
      <c r="IR992" s="320" t="s">
        <v>173</v>
      </c>
      <c r="IS992" s="322" t="s">
        <v>173</v>
      </c>
      <c r="IT992" s="319" t="s">
        <v>173</v>
      </c>
    </row>
    <row r="993" spans="1:254" s="271" customFormat="1" x14ac:dyDescent="0.25">
      <c r="A993" s="318" t="str">
        <f>HYPERLINK("http://www.ofsted.gov.uk/inspection-reports/find-inspection-report/provider/ELS/145849 ","Ofsted School Webpage")</f>
        <v>Ofsted School Webpage</v>
      </c>
      <c r="B993" s="319">
        <v>145849</v>
      </c>
      <c r="C993" s="319">
        <v>3046007</v>
      </c>
      <c r="D993" s="319" t="s">
        <v>906</v>
      </c>
      <c r="E993" s="319" t="s">
        <v>168</v>
      </c>
      <c r="F993" s="319" t="s">
        <v>81</v>
      </c>
      <c r="G993" s="319" t="s">
        <v>81</v>
      </c>
      <c r="H993" s="319" t="s">
        <v>81</v>
      </c>
      <c r="I993" s="319" t="s">
        <v>78</v>
      </c>
      <c r="J993" s="319" t="s">
        <v>424</v>
      </c>
      <c r="K993" s="319" t="s">
        <v>441</v>
      </c>
      <c r="L993" s="319" t="s">
        <v>441</v>
      </c>
      <c r="M993" s="319" t="s">
        <v>477</v>
      </c>
      <c r="N993" s="319" t="s">
        <v>3283</v>
      </c>
      <c r="O993" s="319" t="s">
        <v>907</v>
      </c>
      <c r="P993" s="319">
        <v>3</v>
      </c>
      <c r="Q993" s="319" t="s">
        <v>429</v>
      </c>
      <c r="R993" s="320">
        <v>10067221</v>
      </c>
      <c r="S993" s="321">
        <v>43501</v>
      </c>
      <c r="T993" s="321">
        <v>43503</v>
      </c>
      <c r="U993" s="321">
        <v>43538</v>
      </c>
      <c r="V993" s="319" t="s">
        <v>435</v>
      </c>
      <c r="W993" s="319" t="s">
        <v>2767</v>
      </c>
      <c r="X993" s="319">
        <v>2</v>
      </c>
      <c r="Y993" s="319" t="s">
        <v>173</v>
      </c>
      <c r="Z993" s="319" t="s">
        <v>173</v>
      </c>
      <c r="AA993" s="319" t="s">
        <v>173</v>
      </c>
      <c r="AB993" s="319">
        <v>2</v>
      </c>
      <c r="AC993" s="319" t="s">
        <v>169</v>
      </c>
      <c r="AD993" s="319" t="s">
        <v>173</v>
      </c>
      <c r="AE993" s="319" t="s">
        <v>173</v>
      </c>
      <c r="AF993" s="319" t="s">
        <v>427</v>
      </c>
      <c r="AG993" s="319" t="s">
        <v>171</v>
      </c>
      <c r="AH993" s="319" t="s">
        <v>190</v>
      </c>
      <c r="AI993" s="319" t="s">
        <v>190</v>
      </c>
      <c r="AJ993" s="319" t="s">
        <v>190</v>
      </c>
      <c r="AK993" s="319" t="s">
        <v>190</v>
      </c>
      <c r="AL993" s="319" t="s">
        <v>190</v>
      </c>
      <c r="AM993" s="319" t="s">
        <v>190</v>
      </c>
      <c r="AN993" s="319" t="s">
        <v>190</v>
      </c>
      <c r="AO993" s="319" t="s">
        <v>190</v>
      </c>
      <c r="AP993" s="319" t="s">
        <v>190</v>
      </c>
      <c r="AQ993" s="319" t="s">
        <v>190</v>
      </c>
      <c r="AR993" s="319" t="s">
        <v>190</v>
      </c>
      <c r="AS993" s="319" t="s">
        <v>190</v>
      </c>
      <c r="AT993" s="319" t="s">
        <v>190</v>
      </c>
      <c r="AU993" s="319" t="s">
        <v>190</v>
      </c>
      <c r="AV993" s="319" t="s">
        <v>190</v>
      </c>
      <c r="AW993" s="319" t="s">
        <v>190</v>
      </c>
      <c r="AX993" s="319" t="s">
        <v>428</v>
      </c>
      <c r="AY993" s="319" t="s">
        <v>190</v>
      </c>
      <c r="AZ993" s="319" t="s">
        <v>190</v>
      </c>
      <c r="BA993" s="319" t="s">
        <v>190</v>
      </c>
      <c r="BB993" s="319" t="s">
        <v>428</v>
      </c>
      <c r="BC993" s="319" t="s">
        <v>428</v>
      </c>
      <c r="BD993" s="319" t="s">
        <v>428</v>
      </c>
      <c r="BE993" s="319" t="s">
        <v>428</v>
      </c>
      <c r="BF993" s="319" t="s">
        <v>428</v>
      </c>
      <c r="BG993" s="319" t="s">
        <v>428</v>
      </c>
      <c r="BH993" s="319" t="s">
        <v>190</v>
      </c>
      <c r="BI993" s="319" t="s">
        <v>190</v>
      </c>
      <c r="BJ993" s="319" t="s">
        <v>190</v>
      </c>
      <c r="BK993" s="319" t="s">
        <v>190</v>
      </c>
      <c r="BL993" s="319" t="s">
        <v>190</v>
      </c>
      <c r="BM993" s="319" t="s">
        <v>190</v>
      </c>
      <c r="BN993" s="319" t="s">
        <v>190</v>
      </c>
      <c r="BO993" s="319" t="s">
        <v>190</v>
      </c>
      <c r="BP993" s="319" t="s">
        <v>190</v>
      </c>
      <c r="BQ993" s="319" t="s">
        <v>190</v>
      </c>
      <c r="BR993" s="319" t="s">
        <v>190</v>
      </c>
      <c r="BS993" s="319" t="s">
        <v>190</v>
      </c>
      <c r="BT993" s="319" t="s">
        <v>190</v>
      </c>
      <c r="BU993" s="319" t="s">
        <v>190</v>
      </c>
      <c r="BV993" s="319" t="s">
        <v>190</v>
      </c>
      <c r="BW993" s="319" t="s">
        <v>190</v>
      </c>
      <c r="BX993" s="319" t="s">
        <v>190</v>
      </c>
      <c r="BY993" s="319" t="s">
        <v>190</v>
      </c>
      <c r="BZ993" s="319" t="s">
        <v>190</v>
      </c>
      <c r="CA993" s="319" t="s">
        <v>190</v>
      </c>
      <c r="CB993" s="319" t="s">
        <v>190</v>
      </c>
      <c r="CC993" s="319" t="s">
        <v>190</v>
      </c>
      <c r="CD993" s="319" t="s">
        <v>190</v>
      </c>
      <c r="CE993" s="319" t="s">
        <v>190</v>
      </c>
      <c r="CF993" s="319" t="s">
        <v>190</v>
      </c>
      <c r="CG993" s="319" t="s">
        <v>190</v>
      </c>
      <c r="CH993" s="319" t="s">
        <v>190</v>
      </c>
      <c r="CI993" s="319" t="s">
        <v>190</v>
      </c>
      <c r="CJ993" s="319" t="s">
        <v>190</v>
      </c>
      <c r="CK993" s="319" t="s">
        <v>190</v>
      </c>
      <c r="CL993" s="319" t="s">
        <v>190</v>
      </c>
      <c r="CM993" s="319" t="s">
        <v>190</v>
      </c>
      <c r="CN993" s="319" t="s">
        <v>428</v>
      </c>
      <c r="CO993" s="319" t="s">
        <v>428</v>
      </c>
      <c r="CP993" s="319" t="s">
        <v>428</v>
      </c>
      <c r="CQ993" s="319" t="s">
        <v>190</v>
      </c>
      <c r="CR993" s="319" t="s">
        <v>190</v>
      </c>
      <c r="CS993" s="319" t="s">
        <v>190</v>
      </c>
      <c r="CT993" s="319" t="s">
        <v>190</v>
      </c>
      <c r="CU993" s="319" t="s">
        <v>190</v>
      </c>
      <c r="CV993" s="319" t="s">
        <v>190</v>
      </c>
      <c r="CW993" s="319" t="s">
        <v>190</v>
      </c>
      <c r="CX993" s="319" t="s">
        <v>190</v>
      </c>
      <c r="CY993" s="319" t="s">
        <v>190</v>
      </c>
      <c r="CZ993" s="319" t="s">
        <v>190</v>
      </c>
      <c r="DA993" s="319" t="s">
        <v>190</v>
      </c>
      <c r="DB993" s="319" t="s">
        <v>190</v>
      </c>
      <c r="DC993" s="319" t="s">
        <v>190</v>
      </c>
      <c r="DD993" s="319" t="s">
        <v>190</v>
      </c>
      <c r="DE993" s="319" t="s">
        <v>190</v>
      </c>
      <c r="DF993" s="319" t="s">
        <v>190</v>
      </c>
      <c r="DG993" s="319" t="s">
        <v>190</v>
      </c>
      <c r="DH993" s="319" t="s">
        <v>190</v>
      </c>
      <c r="DI993" s="319" t="s">
        <v>190</v>
      </c>
      <c r="DJ993" s="319" t="s">
        <v>190</v>
      </c>
      <c r="DK993" s="319" t="s">
        <v>190</v>
      </c>
      <c r="DL993" s="319" t="s">
        <v>190</v>
      </c>
      <c r="DM993" s="319" t="s">
        <v>190</v>
      </c>
      <c r="DN993" s="319" t="s">
        <v>428</v>
      </c>
      <c r="DO993" s="319" t="s">
        <v>190</v>
      </c>
      <c r="DP993" s="319" t="s">
        <v>190</v>
      </c>
      <c r="DQ993" s="319" t="s">
        <v>190</v>
      </c>
      <c r="DR993" s="319" t="s">
        <v>190</v>
      </c>
      <c r="DS993" s="319" t="s">
        <v>190</v>
      </c>
      <c r="DT993" s="319" t="s">
        <v>190</v>
      </c>
      <c r="DU993" s="319" t="s">
        <v>190</v>
      </c>
      <c r="DV993" s="319" t="s">
        <v>173</v>
      </c>
      <c r="DW993" s="319" t="s">
        <v>190</v>
      </c>
      <c r="DX993" s="319" t="s">
        <v>190</v>
      </c>
      <c r="DY993" s="319" t="s">
        <v>190</v>
      </c>
      <c r="DZ993" s="319" t="s">
        <v>190</v>
      </c>
      <c r="EA993" s="319" t="s">
        <v>190</v>
      </c>
      <c r="EB993" s="319" t="s">
        <v>190</v>
      </c>
      <c r="EC993" s="319" t="s">
        <v>428</v>
      </c>
      <c r="ED993" s="319" t="s">
        <v>190</v>
      </c>
      <c r="EE993" s="319" t="s">
        <v>190</v>
      </c>
      <c r="EF993" s="319" t="s">
        <v>190</v>
      </c>
      <c r="EG993" s="319" t="s">
        <v>190</v>
      </c>
      <c r="EH993" s="319" t="s">
        <v>190</v>
      </c>
      <c r="EI993" s="319" t="s">
        <v>190</v>
      </c>
      <c r="EJ993" s="319" t="s">
        <v>190</v>
      </c>
      <c r="EK993" s="319" t="s">
        <v>190</v>
      </c>
      <c r="EL993" s="319" t="s">
        <v>190</v>
      </c>
      <c r="EM993" s="319" t="s">
        <v>190</v>
      </c>
      <c r="EN993" s="319" t="s">
        <v>190</v>
      </c>
      <c r="EO993" s="319" t="s">
        <v>190</v>
      </c>
      <c r="EP993" s="319" t="s">
        <v>190</v>
      </c>
      <c r="EQ993" s="319" t="s">
        <v>190</v>
      </c>
      <c r="ER993" s="319" t="s">
        <v>190</v>
      </c>
      <c r="ES993" s="319" t="s">
        <v>190</v>
      </c>
      <c r="ET993" s="319" t="s">
        <v>190</v>
      </c>
      <c r="EU993" s="319" t="s">
        <v>190</v>
      </c>
      <c r="EV993" s="319" t="s">
        <v>190</v>
      </c>
      <c r="EW993" s="319" t="s">
        <v>190</v>
      </c>
      <c r="EX993" s="319" t="s">
        <v>190</v>
      </c>
      <c r="EY993" s="319" t="s">
        <v>190</v>
      </c>
      <c r="EZ993" s="319" t="s">
        <v>190</v>
      </c>
      <c r="FA993" s="319" t="s">
        <v>190</v>
      </c>
      <c r="FB993" s="319" t="s">
        <v>190</v>
      </c>
      <c r="FC993" s="319" t="s">
        <v>190</v>
      </c>
      <c r="FD993" s="319" t="s">
        <v>190</v>
      </c>
      <c r="FE993" s="319" t="s">
        <v>190</v>
      </c>
      <c r="FF993" s="319" t="s">
        <v>190</v>
      </c>
      <c r="FG993" s="319" t="s">
        <v>190</v>
      </c>
      <c r="FH993" s="319" t="s">
        <v>190</v>
      </c>
      <c r="FI993" s="319" t="s">
        <v>190</v>
      </c>
      <c r="FJ993" s="319" t="s">
        <v>190</v>
      </c>
      <c r="FK993" s="319" t="s">
        <v>190</v>
      </c>
      <c r="FL993" s="319" t="s">
        <v>190</v>
      </c>
      <c r="FM993" s="319" t="s">
        <v>190</v>
      </c>
      <c r="FN993" s="319" t="s">
        <v>190</v>
      </c>
      <c r="FO993" s="319" t="s">
        <v>428</v>
      </c>
      <c r="FP993" s="319" t="s">
        <v>190</v>
      </c>
      <c r="FQ993" s="319" t="s">
        <v>190</v>
      </c>
      <c r="FR993" s="319" t="s">
        <v>190</v>
      </c>
      <c r="FS993" s="319" t="s">
        <v>428</v>
      </c>
      <c r="FT993" s="319" t="s">
        <v>190</v>
      </c>
      <c r="FU993" s="319" t="s">
        <v>190</v>
      </c>
      <c r="FV993" s="319" t="s">
        <v>190</v>
      </c>
      <c r="FW993" s="319" t="s">
        <v>190</v>
      </c>
      <c r="FX993" s="319" t="s">
        <v>190</v>
      </c>
      <c r="FY993" s="319" t="s">
        <v>190</v>
      </c>
      <c r="FZ993" s="319" t="s">
        <v>190</v>
      </c>
      <c r="GA993" s="319" t="s">
        <v>190</v>
      </c>
      <c r="GB993" s="319" t="s">
        <v>190</v>
      </c>
      <c r="GC993" s="319" t="s">
        <v>190</v>
      </c>
      <c r="GD993" s="319" t="s">
        <v>190</v>
      </c>
      <c r="GE993" s="319" t="s">
        <v>190</v>
      </c>
      <c r="GF993" s="319" t="s">
        <v>190</v>
      </c>
      <c r="GG993" s="319" t="s">
        <v>190</v>
      </c>
      <c r="GH993" s="319" t="s">
        <v>190</v>
      </c>
      <c r="GI993" s="319" t="s">
        <v>190</v>
      </c>
      <c r="GJ993" s="319" t="s">
        <v>190</v>
      </c>
      <c r="GK993" s="319" t="s">
        <v>428</v>
      </c>
      <c r="GL993" s="319" t="s">
        <v>190</v>
      </c>
      <c r="GM993" s="319" t="s">
        <v>190</v>
      </c>
      <c r="GN993" s="319" t="s">
        <v>190</v>
      </c>
      <c r="GO993" s="319" t="s">
        <v>190</v>
      </c>
      <c r="GP993" s="319" t="s">
        <v>428</v>
      </c>
      <c r="GQ993" s="319" t="s">
        <v>428</v>
      </c>
      <c r="GR993" s="319" t="s">
        <v>190</v>
      </c>
      <c r="GS993" s="319" t="s">
        <v>190</v>
      </c>
      <c r="GT993" s="319" t="s">
        <v>190</v>
      </c>
      <c r="GU993" s="319" t="s">
        <v>190</v>
      </c>
      <c r="GV993" s="319" t="s">
        <v>190</v>
      </c>
      <c r="GW993" s="319" t="s">
        <v>190</v>
      </c>
      <c r="GX993" s="319" t="s">
        <v>190</v>
      </c>
      <c r="GY993" s="319" t="s">
        <v>190</v>
      </c>
      <c r="GZ993" s="319" t="s">
        <v>428</v>
      </c>
      <c r="HA993" s="319" t="s">
        <v>190</v>
      </c>
      <c r="HB993" s="319" t="s">
        <v>190</v>
      </c>
      <c r="HC993" s="319" t="s">
        <v>190</v>
      </c>
      <c r="HD993" s="319" t="s">
        <v>190</v>
      </c>
      <c r="HE993" s="319" t="s">
        <v>190</v>
      </c>
      <c r="HF993" s="319" t="s">
        <v>190</v>
      </c>
      <c r="HG993" s="319" t="s">
        <v>190</v>
      </c>
      <c r="HH993" s="319" t="s">
        <v>190</v>
      </c>
      <c r="HI993" s="319" t="s">
        <v>190</v>
      </c>
      <c r="HJ993" s="319" t="s">
        <v>190</v>
      </c>
      <c r="HK993" s="319" t="s">
        <v>428</v>
      </c>
      <c r="HL993" s="319" t="s">
        <v>428</v>
      </c>
      <c r="HM993" s="319" t="s">
        <v>428</v>
      </c>
      <c r="HN993" s="319" t="s">
        <v>428</v>
      </c>
      <c r="HO993" s="319" t="s">
        <v>428</v>
      </c>
      <c r="HP993" s="319" t="s">
        <v>190</v>
      </c>
      <c r="HQ993" s="319" t="s">
        <v>190</v>
      </c>
      <c r="HR993" s="319" t="s">
        <v>190</v>
      </c>
      <c r="HS993" s="319" t="s">
        <v>190</v>
      </c>
      <c r="HT993" s="319" t="s">
        <v>190</v>
      </c>
      <c r="HU993" s="319" t="s">
        <v>190</v>
      </c>
      <c r="HV993" s="319" t="s">
        <v>190</v>
      </c>
      <c r="HW993" s="319" t="s">
        <v>190</v>
      </c>
      <c r="HX993" s="319" t="s">
        <v>190</v>
      </c>
      <c r="HY993" s="319" t="s">
        <v>190</v>
      </c>
      <c r="HZ993" s="319" t="s">
        <v>190</v>
      </c>
      <c r="IA993" s="319" t="s">
        <v>190</v>
      </c>
      <c r="IB993" s="319" t="s">
        <v>190</v>
      </c>
      <c r="IC993" s="319" t="s">
        <v>190</v>
      </c>
      <c r="ID993" s="319" t="s">
        <v>190</v>
      </c>
      <c r="IE993" s="319" t="s">
        <v>190</v>
      </c>
      <c r="IF993" s="319" t="s">
        <v>190</v>
      </c>
      <c r="IG993" s="319" t="s">
        <v>190</v>
      </c>
      <c r="IH993" s="319" t="s">
        <v>190</v>
      </c>
      <c r="II993" s="319" t="s">
        <v>190</v>
      </c>
      <c r="IJ993" s="319" t="s">
        <v>173</v>
      </c>
      <c r="IK993" s="319" t="s">
        <v>173</v>
      </c>
      <c r="IL993" s="319" t="s">
        <v>173</v>
      </c>
      <c r="IM993" s="319" t="s">
        <v>173</v>
      </c>
      <c r="IN993" s="319" t="s">
        <v>173</v>
      </c>
      <c r="IO993" s="319" t="s">
        <v>173</v>
      </c>
      <c r="IP993" s="319" t="s">
        <v>173</v>
      </c>
      <c r="IQ993" s="321" t="s">
        <v>173</v>
      </c>
      <c r="IR993" s="320" t="s">
        <v>173</v>
      </c>
      <c r="IS993" s="322" t="s">
        <v>173</v>
      </c>
      <c r="IT993" s="319" t="s">
        <v>173</v>
      </c>
    </row>
    <row r="994" spans="1:254" s="271" customFormat="1" x14ac:dyDescent="0.25">
      <c r="A994" s="318" t="str">
        <f>HYPERLINK("http://www.ofsted.gov.uk/inspection-reports/find-inspection-report/provider/ELS/145859 ","Ofsted School Webpage")</f>
        <v>Ofsted School Webpage</v>
      </c>
      <c r="B994" s="319">
        <v>145859</v>
      </c>
      <c r="C994" s="319">
        <v>3306041</v>
      </c>
      <c r="D994" s="319" t="s">
        <v>895</v>
      </c>
      <c r="E994" s="319" t="s">
        <v>168</v>
      </c>
      <c r="F994" s="319" t="s">
        <v>81</v>
      </c>
      <c r="G994" s="319" t="s">
        <v>81</v>
      </c>
      <c r="H994" s="319" t="s">
        <v>81</v>
      </c>
      <c r="I994" s="319" t="s">
        <v>78</v>
      </c>
      <c r="J994" s="319" t="s">
        <v>424</v>
      </c>
      <c r="K994" s="319" t="s">
        <v>437</v>
      </c>
      <c r="L994" s="319" t="s">
        <v>437</v>
      </c>
      <c r="M994" s="319" t="s">
        <v>813</v>
      </c>
      <c r="N994" s="319" t="s">
        <v>3047</v>
      </c>
      <c r="O994" s="319" t="s">
        <v>3048</v>
      </c>
      <c r="P994" s="319">
        <v>5</v>
      </c>
      <c r="Q994" s="319" t="s">
        <v>429</v>
      </c>
      <c r="R994" s="320">
        <v>10083994</v>
      </c>
      <c r="S994" s="321">
        <v>43494</v>
      </c>
      <c r="T994" s="321">
        <v>43496</v>
      </c>
      <c r="U994" s="321">
        <v>43538</v>
      </c>
      <c r="V994" s="319" t="s">
        <v>435</v>
      </c>
      <c r="W994" s="319" t="s">
        <v>2767</v>
      </c>
      <c r="X994" s="319">
        <v>2</v>
      </c>
      <c r="Y994" s="319" t="s">
        <v>173</v>
      </c>
      <c r="Z994" s="319" t="s">
        <v>173</v>
      </c>
      <c r="AA994" s="319" t="s">
        <v>173</v>
      </c>
      <c r="AB994" s="319">
        <v>2</v>
      </c>
      <c r="AC994" s="319" t="s">
        <v>169</v>
      </c>
      <c r="AD994" s="319" t="s">
        <v>173</v>
      </c>
      <c r="AE994" s="319" t="s">
        <v>173</v>
      </c>
      <c r="AF994" s="319" t="s">
        <v>427</v>
      </c>
      <c r="AG994" s="319" t="s">
        <v>171</v>
      </c>
      <c r="AH994" s="319" t="s">
        <v>190</v>
      </c>
      <c r="AI994" s="319" t="s">
        <v>190</v>
      </c>
      <c r="AJ994" s="319" t="s">
        <v>190</v>
      </c>
      <c r="AK994" s="319" t="s">
        <v>190</v>
      </c>
      <c r="AL994" s="319" t="s">
        <v>190</v>
      </c>
      <c r="AM994" s="319" t="s">
        <v>190</v>
      </c>
      <c r="AN994" s="319" t="s">
        <v>190</v>
      </c>
      <c r="AO994" s="319" t="s">
        <v>190</v>
      </c>
      <c r="AP994" s="319" t="s">
        <v>190</v>
      </c>
      <c r="AQ994" s="319" t="s">
        <v>190</v>
      </c>
      <c r="AR994" s="319" t="s">
        <v>190</v>
      </c>
      <c r="AS994" s="319" t="s">
        <v>190</v>
      </c>
      <c r="AT994" s="319" t="s">
        <v>190</v>
      </c>
      <c r="AU994" s="319" t="s">
        <v>190</v>
      </c>
      <c r="AV994" s="319" t="s">
        <v>190</v>
      </c>
      <c r="AW994" s="319" t="s">
        <v>190</v>
      </c>
      <c r="AX994" s="319" t="s">
        <v>428</v>
      </c>
      <c r="AY994" s="319" t="s">
        <v>190</v>
      </c>
      <c r="AZ994" s="319" t="s">
        <v>190</v>
      </c>
      <c r="BA994" s="319" t="s">
        <v>190</v>
      </c>
      <c r="BB994" s="319" t="s">
        <v>190</v>
      </c>
      <c r="BC994" s="319" t="s">
        <v>190</v>
      </c>
      <c r="BD994" s="319" t="s">
        <v>190</v>
      </c>
      <c r="BE994" s="319" t="s">
        <v>190</v>
      </c>
      <c r="BF994" s="319" t="s">
        <v>428</v>
      </c>
      <c r="BG994" s="319" t="s">
        <v>428</v>
      </c>
      <c r="BH994" s="319" t="s">
        <v>190</v>
      </c>
      <c r="BI994" s="319" t="s">
        <v>190</v>
      </c>
      <c r="BJ994" s="319" t="s">
        <v>190</v>
      </c>
      <c r="BK994" s="319" t="s">
        <v>190</v>
      </c>
      <c r="BL994" s="319" t="s">
        <v>190</v>
      </c>
      <c r="BM994" s="319" t="s">
        <v>190</v>
      </c>
      <c r="BN994" s="319" t="s">
        <v>190</v>
      </c>
      <c r="BO994" s="319" t="s">
        <v>190</v>
      </c>
      <c r="BP994" s="319" t="s">
        <v>190</v>
      </c>
      <c r="BQ994" s="319" t="s">
        <v>190</v>
      </c>
      <c r="BR994" s="319" t="s">
        <v>190</v>
      </c>
      <c r="BS994" s="319" t="s">
        <v>190</v>
      </c>
      <c r="BT994" s="319" t="s">
        <v>190</v>
      </c>
      <c r="BU994" s="319" t="s">
        <v>190</v>
      </c>
      <c r="BV994" s="319" t="s">
        <v>190</v>
      </c>
      <c r="BW994" s="319" t="s">
        <v>190</v>
      </c>
      <c r="BX994" s="319" t="s">
        <v>190</v>
      </c>
      <c r="BY994" s="319" t="s">
        <v>190</v>
      </c>
      <c r="BZ994" s="319" t="s">
        <v>190</v>
      </c>
      <c r="CA994" s="319" t="s">
        <v>190</v>
      </c>
      <c r="CB994" s="319" t="s">
        <v>190</v>
      </c>
      <c r="CC994" s="319" t="s">
        <v>190</v>
      </c>
      <c r="CD994" s="319" t="s">
        <v>190</v>
      </c>
      <c r="CE994" s="319" t="s">
        <v>190</v>
      </c>
      <c r="CF994" s="319" t="s">
        <v>190</v>
      </c>
      <c r="CG994" s="319" t="s">
        <v>190</v>
      </c>
      <c r="CH994" s="319" t="s">
        <v>190</v>
      </c>
      <c r="CI994" s="319" t="s">
        <v>190</v>
      </c>
      <c r="CJ994" s="319" t="s">
        <v>190</v>
      </c>
      <c r="CK994" s="319" t="s">
        <v>190</v>
      </c>
      <c r="CL994" s="319" t="s">
        <v>190</v>
      </c>
      <c r="CM994" s="319" t="s">
        <v>190</v>
      </c>
      <c r="CN994" s="319" t="s">
        <v>428</v>
      </c>
      <c r="CO994" s="319" t="s">
        <v>428</v>
      </c>
      <c r="CP994" s="319" t="s">
        <v>428</v>
      </c>
      <c r="CQ994" s="319" t="s">
        <v>190</v>
      </c>
      <c r="CR994" s="319" t="s">
        <v>190</v>
      </c>
      <c r="CS994" s="319" t="s">
        <v>190</v>
      </c>
      <c r="CT994" s="319" t="s">
        <v>190</v>
      </c>
      <c r="CU994" s="319" t="s">
        <v>190</v>
      </c>
      <c r="CV994" s="319" t="s">
        <v>190</v>
      </c>
      <c r="CW994" s="319" t="s">
        <v>190</v>
      </c>
      <c r="CX994" s="319" t="s">
        <v>190</v>
      </c>
      <c r="CY994" s="319" t="s">
        <v>190</v>
      </c>
      <c r="CZ994" s="319" t="s">
        <v>190</v>
      </c>
      <c r="DA994" s="319" t="s">
        <v>190</v>
      </c>
      <c r="DB994" s="319" t="s">
        <v>190</v>
      </c>
      <c r="DC994" s="319" t="s">
        <v>190</v>
      </c>
      <c r="DD994" s="319" t="s">
        <v>190</v>
      </c>
      <c r="DE994" s="319" t="s">
        <v>190</v>
      </c>
      <c r="DF994" s="319" t="s">
        <v>190</v>
      </c>
      <c r="DG994" s="319" t="s">
        <v>190</v>
      </c>
      <c r="DH994" s="319" t="s">
        <v>190</v>
      </c>
      <c r="DI994" s="319" t="s">
        <v>190</v>
      </c>
      <c r="DJ994" s="319" t="s">
        <v>190</v>
      </c>
      <c r="DK994" s="319" t="s">
        <v>190</v>
      </c>
      <c r="DL994" s="319" t="s">
        <v>190</v>
      </c>
      <c r="DM994" s="319" t="s">
        <v>190</v>
      </c>
      <c r="DN994" s="319" t="s">
        <v>428</v>
      </c>
      <c r="DO994" s="319" t="s">
        <v>190</v>
      </c>
      <c r="DP994" s="319" t="s">
        <v>190</v>
      </c>
      <c r="DQ994" s="319" t="s">
        <v>190</v>
      </c>
      <c r="DR994" s="319" t="s">
        <v>190</v>
      </c>
      <c r="DS994" s="319" t="s">
        <v>190</v>
      </c>
      <c r="DT994" s="319" t="s">
        <v>190</v>
      </c>
      <c r="DU994" s="319" t="s">
        <v>190</v>
      </c>
      <c r="DV994" s="319" t="s">
        <v>173</v>
      </c>
      <c r="DW994" s="319" t="s">
        <v>190</v>
      </c>
      <c r="DX994" s="319" t="s">
        <v>190</v>
      </c>
      <c r="DY994" s="319" t="s">
        <v>190</v>
      </c>
      <c r="DZ994" s="319" t="s">
        <v>190</v>
      </c>
      <c r="EA994" s="319" t="s">
        <v>190</v>
      </c>
      <c r="EB994" s="319" t="s">
        <v>190</v>
      </c>
      <c r="EC994" s="319" t="s">
        <v>428</v>
      </c>
      <c r="ED994" s="319" t="s">
        <v>190</v>
      </c>
      <c r="EE994" s="319" t="s">
        <v>190</v>
      </c>
      <c r="EF994" s="319" t="s">
        <v>190</v>
      </c>
      <c r="EG994" s="319" t="s">
        <v>190</v>
      </c>
      <c r="EH994" s="319" t="s">
        <v>190</v>
      </c>
      <c r="EI994" s="319" t="s">
        <v>190</v>
      </c>
      <c r="EJ994" s="319" t="s">
        <v>190</v>
      </c>
      <c r="EK994" s="319" t="s">
        <v>190</v>
      </c>
      <c r="EL994" s="319" t="s">
        <v>190</v>
      </c>
      <c r="EM994" s="319" t="s">
        <v>190</v>
      </c>
      <c r="EN994" s="319" t="s">
        <v>190</v>
      </c>
      <c r="EO994" s="319" t="s">
        <v>190</v>
      </c>
      <c r="EP994" s="319" t="s">
        <v>190</v>
      </c>
      <c r="EQ994" s="319" t="s">
        <v>190</v>
      </c>
      <c r="ER994" s="319" t="s">
        <v>190</v>
      </c>
      <c r="ES994" s="319" t="s">
        <v>190</v>
      </c>
      <c r="ET994" s="319" t="s">
        <v>190</v>
      </c>
      <c r="EU994" s="319" t="s">
        <v>190</v>
      </c>
      <c r="EV994" s="319" t="s">
        <v>190</v>
      </c>
      <c r="EW994" s="319" t="s">
        <v>190</v>
      </c>
      <c r="EX994" s="319" t="s">
        <v>190</v>
      </c>
      <c r="EY994" s="319" t="s">
        <v>190</v>
      </c>
      <c r="EZ994" s="319" t="s">
        <v>190</v>
      </c>
      <c r="FA994" s="319" t="s">
        <v>190</v>
      </c>
      <c r="FB994" s="319" t="s">
        <v>190</v>
      </c>
      <c r="FC994" s="319" t="s">
        <v>190</v>
      </c>
      <c r="FD994" s="319" t="s">
        <v>190</v>
      </c>
      <c r="FE994" s="319" t="s">
        <v>190</v>
      </c>
      <c r="FF994" s="319" t="s">
        <v>190</v>
      </c>
      <c r="FG994" s="319" t="s">
        <v>190</v>
      </c>
      <c r="FH994" s="319" t="s">
        <v>190</v>
      </c>
      <c r="FI994" s="319" t="s">
        <v>190</v>
      </c>
      <c r="FJ994" s="319" t="s">
        <v>190</v>
      </c>
      <c r="FK994" s="319" t="s">
        <v>190</v>
      </c>
      <c r="FL994" s="319" t="s">
        <v>190</v>
      </c>
      <c r="FM994" s="319" t="s">
        <v>190</v>
      </c>
      <c r="FN994" s="319" t="s">
        <v>190</v>
      </c>
      <c r="FO994" s="319" t="s">
        <v>190</v>
      </c>
      <c r="FP994" s="319" t="s">
        <v>190</v>
      </c>
      <c r="FQ994" s="319" t="s">
        <v>190</v>
      </c>
      <c r="FR994" s="319" t="s">
        <v>190</v>
      </c>
      <c r="FS994" s="319" t="s">
        <v>428</v>
      </c>
      <c r="FT994" s="319" t="s">
        <v>190</v>
      </c>
      <c r="FU994" s="319" t="s">
        <v>190</v>
      </c>
      <c r="FV994" s="319" t="s">
        <v>190</v>
      </c>
      <c r="FW994" s="319" t="s">
        <v>190</v>
      </c>
      <c r="FX994" s="319" t="s">
        <v>190</v>
      </c>
      <c r="FY994" s="319" t="s">
        <v>190</v>
      </c>
      <c r="FZ994" s="319" t="s">
        <v>190</v>
      </c>
      <c r="GA994" s="319" t="s">
        <v>190</v>
      </c>
      <c r="GB994" s="319" t="s">
        <v>190</v>
      </c>
      <c r="GC994" s="319" t="s">
        <v>190</v>
      </c>
      <c r="GD994" s="319" t="s">
        <v>190</v>
      </c>
      <c r="GE994" s="319" t="s">
        <v>190</v>
      </c>
      <c r="GF994" s="319" t="s">
        <v>190</v>
      </c>
      <c r="GG994" s="319" t="s">
        <v>190</v>
      </c>
      <c r="GH994" s="319" t="s">
        <v>190</v>
      </c>
      <c r="GI994" s="319" t="s">
        <v>190</v>
      </c>
      <c r="GJ994" s="319" t="s">
        <v>190</v>
      </c>
      <c r="GK994" s="319" t="s">
        <v>428</v>
      </c>
      <c r="GL994" s="319" t="s">
        <v>190</v>
      </c>
      <c r="GM994" s="319" t="s">
        <v>190</v>
      </c>
      <c r="GN994" s="319" t="s">
        <v>190</v>
      </c>
      <c r="GO994" s="319" t="s">
        <v>190</v>
      </c>
      <c r="GP994" s="319" t="s">
        <v>190</v>
      </c>
      <c r="GQ994" s="319" t="s">
        <v>190</v>
      </c>
      <c r="GR994" s="319" t="s">
        <v>190</v>
      </c>
      <c r="GS994" s="319" t="s">
        <v>190</v>
      </c>
      <c r="GT994" s="319" t="s">
        <v>190</v>
      </c>
      <c r="GU994" s="319" t="s">
        <v>190</v>
      </c>
      <c r="GV994" s="319" t="s">
        <v>190</v>
      </c>
      <c r="GW994" s="319" t="s">
        <v>190</v>
      </c>
      <c r="GX994" s="319" t="s">
        <v>190</v>
      </c>
      <c r="GY994" s="319" t="s">
        <v>190</v>
      </c>
      <c r="GZ994" s="319" t="s">
        <v>428</v>
      </c>
      <c r="HA994" s="319" t="s">
        <v>190</v>
      </c>
      <c r="HB994" s="319" t="s">
        <v>190</v>
      </c>
      <c r="HC994" s="319" t="s">
        <v>190</v>
      </c>
      <c r="HD994" s="319" t="s">
        <v>190</v>
      </c>
      <c r="HE994" s="319" t="s">
        <v>190</v>
      </c>
      <c r="HF994" s="319" t="s">
        <v>190</v>
      </c>
      <c r="HG994" s="319" t="s">
        <v>190</v>
      </c>
      <c r="HH994" s="319" t="s">
        <v>190</v>
      </c>
      <c r="HI994" s="319" t="s">
        <v>190</v>
      </c>
      <c r="HJ994" s="319" t="s">
        <v>190</v>
      </c>
      <c r="HK994" s="319" t="s">
        <v>190</v>
      </c>
      <c r="HL994" s="319" t="s">
        <v>190</v>
      </c>
      <c r="HM994" s="319" t="s">
        <v>190</v>
      </c>
      <c r="HN994" s="319" t="s">
        <v>190</v>
      </c>
      <c r="HO994" s="319" t="s">
        <v>190</v>
      </c>
      <c r="HP994" s="319" t="s">
        <v>190</v>
      </c>
      <c r="HQ994" s="319" t="s">
        <v>190</v>
      </c>
      <c r="HR994" s="319" t="s">
        <v>190</v>
      </c>
      <c r="HS994" s="319" t="s">
        <v>190</v>
      </c>
      <c r="HT994" s="319" t="s">
        <v>190</v>
      </c>
      <c r="HU994" s="319" t="s">
        <v>190</v>
      </c>
      <c r="HV994" s="319" t="s">
        <v>190</v>
      </c>
      <c r="HW994" s="319" t="s">
        <v>190</v>
      </c>
      <c r="HX994" s="319" t="s">
        <v>190</v>
      </c>
      <c r="HY994" s="319" t="s">
        <v>190</v>
      </c>
      <c r="HZ994" s="319" t="s">
        <v>190</v>
      </c>
      <c r="IA994" s="319" t="s">
        <v>190</v>
      </c>
      <c r="IB994" s="319" t="s">
        <v>190</v>
      </c>
      <c r="IC994" s="319" t="s">
        <v>190</v>
      </c>
      <c r="ID994" s="319" t="s">
        <v>190</v>
      </c>
      <c r="IE994" s="319" t="s">
        <v>190</v>
      </c>
      <c r="IF994" s="319" t="s">
        <v>190</v>
      </c>
      <c r="IG994" s="319" t="s">
        <v>190</v>
      </c>
      <c r="IH994" s="319" t="s">
        <v>190</v>
      </c>
      <c r="II994" s="319" t="s">
        <v>190</v>
      </c>
      <c r="IJ994" s="319" t="s">
        <v>173</v>
      </c>
      <c r="IK994" s="319" t="s">
        <v>173</v>
      </c>
      <c r="IL994" s="319" t="s">
        <v>173</v>
      </c>
      <c r="IM994" s="319" t="s">
        <v>173</v>
      </c>
      <c r="IN994" s="319" t="s">
        <v>173</v>
      </c>
      <c r="IO994" s="319" t="s">
        <v>173</v>
      </c>
      <c r="IP994" s="319" t="s">
        <v>173</v>
      </c>
      <c r="IQ994" s="321" t="s">
        <v>173</v>
      </c>
      <c r="IR994" s="320" t="s">
        <v>173</v>
      </c>
      <c r="IS994" s="322" t="s">
        <v>173</v>
      </c>
      <c r="IT994" s="319" t="s">
        <v>173</v>
      </c>
    </row>
    <row r="995" spans="1:254" s="271" customFormat="1" x14ac:dyDescent="0.25">
      <c r="A995" s="318" t="str">
        <f>HYPERLINK("http://www.ofsted.gov.uk/inspection-reports/find-inspection-report/provider/ELS/145932 ","Ofsted School Webpage")</f>
        <v>Ofsted School Webpage</v>
      </c>
      <c r="B995" s="319">
        <v>145932</v>
      </c>
      <c r="C995" s="319">
        <v>9256009</v>
      </c>
      <c r="D995" s="319" t="s">
        <v>1042</v>
      </c>
      <c r="E995" s="319" t="s">
        <v>167</v>
      </c>
      <c r="F995" s="319" t="s">
        <v>81</v>
      </c>
      <c r="G995" s="319" t="s">
        <v>81</v>
      </c>
      <c r="H995" s="319" t="s">
        <v>81</v>
      </c>
      <c r="I995" s="319" t="s">
        <v>78</v>
      </c>
      <c r="J995" s="319" t="s">
        <v>424</v>
      </c>
      <c r="K995" s="319" t="s">
        <v>506</v>
      </c>
      <c r="L995" s="319" t="s">
        <v>506</v>
      </c>
      <c r="M995" s="319" t="s">
        <v>833</v>
      </c>
      <c r="N995" s="319" t="s">
        <v>3007</v>
      </c>
      <c r="O995" s="319" t="s">
        <v>1043</v>
      </c>
      <c r="P995" s="319">
        <v>41</v>
      </c>
      <c r="Q995" s="319" t="s">
        <v>2766</v>
      </c>
      <c r="R995" s="320">
        <v>10078682</v>
      </c>
      <c r="S995" s="321">
        <v>43550</v>
      </c>
      <c r="T995" s="321">
        <v>43552</v>
      </c>
      <c r="U995" s="321">
        <v>43587</v>
      </c>
      <c r="V995" s="319" t="s">
        <v>435</v>
      </c>
      <c r="W995" s="319" t="s">
        <v>2767</v>
      </c>
      <c r="X995" s="319">
        <v>2</v>
      </c>
      <c r="Y995" s="319" t="s">
        <v>173</v>
      </c>
      <c r="Z995" s="319" t="s">
        <v>173</v>
      </c>
      <c r="AA995" s="319" t="s">
        <v>173</v>
      </c>
      <c r="AB995" s="319">
        <v>2</v>
      </c>
      <c r="AC995" s="319" t="s">
        <v>169</v>
      </c>
      <c r="AD995" s="319" t="s">
        <v>173</v>
      </c>
      <c r="AE995" s="319" t="s">
        <v>173</v>
      </c>
      <c r="AF995" s="319" t="s">
        <v>427</v>
      </c>
      <c r="AG995" s="319" t="s">
        <v>171</v>
      </c>
      <c r="AH995" s="319" t="s">
        <v>190</v>
      </c>
      <c r="AI995" s="319" t="s">
        <v>190</v>
      </c>
      <c r="AJ995" s="319" t="s">
        <v>190</v>
      </c>
      <c r="AK995" s="319" t="s">
        <v>190</v>
      </c>
      <c r="AL995" s="319" t="s">
        <v>190</v>
      </c>
      <c r="AM995" s="319" t="s">
        <v>190</v>
      </c>
      <c r="AN995" s="319" t="s">
        <v>190</v>
      </c>
      <c r="AO995" s="319" t="s">
        <v>190</v>
      </c>
      <c r="AP995" s="319" t="s">
        <v>190</v>
      </c>
      <c r="AQ995" s="319" t="s">
        <v>190</v>
      </c>
      <c r="AR995" s="319" t="s">
        <v>190</v>
      </c>
      <c r="AS995" s="319" t="s">
        <v>190</v>
      </c>
      <c r="AT995" s="319" t="s">
        <v>190</v>
      </c>
      <c r="AU995" s="319" t="s">
        <v>190</v>
      </c>
      <c r="AV995" s="319" t="s">
        <v>190</v>
      </c>
      <c r="AW995" s="319" t="s">
        <v>190</v>
      </c>
      <c r="AX995" s="319" t="s">
        <v>428</v>
      </c>
      <c r="AY995" s="319" t="s">
        <v>190</v>
      </c>
      <c r="AZ995" s="319" t="s">
        <v>190</v>
      </c>
      <c r="BA995" s="319" t="s">
        <v>190</v>
      </c>
      <c r="BB995" s="319" t="s">
        <v>190</v>
      </c>
      <c r="BC995" s="319" t="s">
        <v>190</v>
      </c>
      <c r="BD995" s="319" t="s">
        <v>190</v>
      </c>
      <c r="BE995" s="319" t="s">
        <v>190</v>
      </c>
      <c r="BF995" s="319" t="s">
        <v>428</v>
      </c>
      <c r="BG995" s="319" t="s">
        <v>428</v>
      </c>
      <c r="BH995" s="319" t="s">
        <v>190</v>
      </c>
      <c r="BI995" s="319" t="s">
        <v>190</v>
      </c>
      <c r="BJ995" s="319" t="s">
        <v>190</v>
      </c>
      <c r="BK995" s="319" t="s">
        <v>190</v>
      </c>
      <c r="BL995" s="319" t="s">
        <v>190</v>
      </c>
      <c r="BM995" s="319" t="s">
        <v>190</v>
      </c>
      <c r="BN995" s="319" t="s">
        <v>190</v>
      </c>
      <c r="BO995" s="319" t="s">
        <v>190</v>
      </c>
      <c r="BP995" s="319" t="s">
        <v>190</v>
      </c>
      <c r="BQ995" s="319" t="s">
        <v>190</v>
      </c>
      <c r="BR995" s="319" t="s">
        <v>190</v>
      </c>
      <c r="BS995" s="319" t="s">
        <v>190</v>
      </c>
      <c r="BT995" s="319" t="s">
        <v>190</v>
      </c>
      <c r="BU995" s="319" t="s">
        <v>190</v>
      </c>
      <c r="BV995" s="319" t="s">
        <v>190</v>
      </c>
      <c r="BW995" s="319" t="s">
        <v>190</v>
      </c>
      <c r="BX995" s="319" t="s">
        <v>190</v>
      </c>
      <c r="BY995" s="319" t="s">
        <v>190</v>
      </c>
      <c r="BZ995" s="319" t="s">
        <v>190</v>
      </c>
      <c r="CA995" s="319" t="s">
        <v>190</v>
      </c>
      <c r="CB995" s="319" t="s">
        <v>190</v>
      </c>
      <c r="CC995" s="319" t="s">
        <v>190</v>
      </c>
      <c r="CD995" s="319" t="s">
        <v>190</v>
      </c>
      <c r="CE995" s="319" t="s">
        <v>190</v>
      </c>
      <c r="CF995" s="319" t="s">
        <v>190</v>
      </c>
      <c r="CG995" s="319" t="s">
        <v>190</v>
      </c>
      <c r="CH995" s="319" t="s">
        <v>190</v>
      </c>
      <c r="CI995" s="319" t="s">
        <v>190</v>
      </c>
      <c r="CJ995" s="319" t="s">
        <v>190</v>
      </c>
      <c r="CK995" s="319" t="s">
        <v>190</v>
      </c>
      <c r="CL995" s="319" t="s">
        <v>190</v>
      </c>
      <c r="CM995" s="319" t="s">
        <v>190</v>
      </c>
      <c r="CN995" s="319" t="s">
        <v>428</v>
      </c>
      <c r="CO995" s="319" t="s">
        <v>428</v>
      </c>
      <c r="CP995" s="319" t="s">
        <v>428</v>
      </c>
      <c r="CQ995" s="319" t="s">
        <v>190</v>
      </c>
      <c r="CR995" s="319" t="s">
        <v>190</v>
      </c>
      <c r="CS995" s="319" t="s">
        <v>190</v>
      </c>
      <c r="CT995" s="319" t="s">
        <v>190</v>
      </c>
      <c r="CU995" s="319" t="s">
        <v>190</v>
      </c>
      <c r="CV995" s="319" t="s">
        <v>190</v>
      </c>
      <c r="CW995" s="319" t="s">
        <v>190</v>
      </c>
      <c r="CX995" s="319" t="s">
        <v>190</v>
      </c>
      <c r="CY995" s="319" t="s">
        <v>190</v>
      </c>
      <c r="CZ995" s="319" t="s">
        <v>190</v>
      </c>
      <c r="DA995" s="319" t="s">
        <v>190</v>
      </c>
      <c r="DB995" s="319" t="s">
        <v>190</v>
      </c>
      <c r="DC995" s="319" t="s">
        <v>190</v>
      </c>
      <c r="DD995" s="319" t="s">
        <v>190</v>
      </c>
      <c r="DE995" s="319" t="s">
        <v>190</v>
      </c>
      <c r="DF995" s="319" t="s">
        <v>190</v>
      </c>
      <c r="DG995" s="319" t="s">
        <v>190</v>
      </c>
      <c r="DH995" s="319" t="s">
        <v>190</v>
      </c>
      <c r="DI995" s="319" t="s">
        <v>190</v>
      </c>
      <c r="DJ995" s="319" t="s">
        <v>190</v>
      </c>
      <c r="DK995" s="319" t="s">
        <v>190</v>
      </c>
      <c r="DL995" s="319" t="s">
        <v>190</v>
      </c>
      <c r="DM995" s="319" t="s">
        <v>190</v>
      </c>
      <c r="DN995" s="319" t="s">
        <v>428</v>
      </c>
      <c r="DO995" s="319" t="s">
        <v>190</v>
      </c>
      <c r="DP995" s="319" t="s">
        <v>428</v>
      </c>
      <c r="DQ995" s="319" t="s">
        <v>428</v>
      </c>
      <c r="DR995" s="319" t="s">
        <v>428</v>
      </c>
      <c r="DS995" s="319" t="s">
        <v>428</v>
      </c>
      <c r="DT995" s="319" t="s">
        <v>428</v>
      </c>
      <c r="DU995" s="319" t="s">
        <v>428</v>
      </c>
      <c r="DV995" s="319" t="s">
        <v>173</v>
      </c>
      <c r="DW995" s="319" t="s">
        <v>428</v>
      </c>
      <c r="DX995" s="319" t="s">
        <v>428</v>
      </c>
      <c r="DY995" s="319" t="s">
        <v>428</v>
      </c>
      <c r="DZ995" s="319" t="s">
        <v>428</v>
      </c>
      <c r="EA995" s="319" t="s">
        <v>428</v>
      </c>
      <c r="EB995" s="319" t="s">
        <v>428</v>
      </c>
      <c r="EC995" s="319" t="s">
        <v>428</v>
      </c>
      <c r="ED995" s="319" t="s">
        <v>190</v>
      </c>
      <c r="EE995" s="319" t="s">
        <v>428</v>
      </c>
      <c r="EF995" s="319" t="s">
        <v>428</v>
      </c>
      <c r="EG995" s="319" t="s">
        <v>428</v>
      </c>
      <c r="EH995" s="319" t="s">
        <v>428</v>
      </c>
      <c r="EI995" s="319" t="s">
        <v>428</v>
      </c>
      <c r="EJ995" s="319" t="s">
        <v>428</v>
      </c>
      <c r="EK995" s="319" t="s">
        <v>428</v>
      </c>
      <c r="EL995" s="319" t="s">
        <v>428</v>
      </c>
      <c r="EM995" s="319" t="s">
        <v>428</v>
      </c>
      <c r="EN995" s="319" t="s">
        <v>190</v>
      </c>
      <c r="EO995" s="319" t="s">
        <v>190</v>
      </c>
      <c r="EP995" s="319" t="s">
        <v>190</v>
      </c>
      <c r="EQ995" s="319" t="s">
        <v>190</v>
      </c>
      <c r="ER995" s="319" t="s">
        <v>190</v>
      </c>
      <c r="ES995" s="319" t="s">
        <v>190</v>
      </c>
      <c r="ET995" s="319" t="s">
        <v>190</v>
      </c>
      <c r="EU995" s="319" t="s">
        <v>190</v>
      </c>
      <c r="EV995" s="319" t="s">
        <v>190</v>
      </c>
      <c r="EW995" s="319" t="s">
        <v>190</v>
      </c>
      <c r="EX995" s="319" t="s">
        <v>190</v>
      </c>
      <c r="EY995" s="319" t="s">
        <v>190</v>
      </c>
      <c r="EZ995" s="319" t="s">
        <v>190</v>
      </c>
      <c r="FA995" s="319" t="s">
        <v>428</v>
      </c>
      <c r="FB995" s="319" t="s">
        <v>428</v>
      </c>
      <c r="FC995" s="319" t="s">
        <v>428</v>
      </c>
      <c r="FD995" s="319" t="s">
        <v>428</v>
      </c>
      <c r="FE995" s="319" t="s">
        <v>428</v>
      </c>
      <c r="FF995" s="319" t="s">
        <v>428</v>
      </c>
      <c r="FG995" s="319" t="s">
        <v>428</v>
      </c>
      <c r="FH995" s="319" t="s">
        <v>428</v>
      </c>
      <c r="FI995" s="319" t="s">
        <v>428</v>
      </c>
      <c r="FJ995" s="319" t="s">
        <v>429</v>
      </c>
      <c r="FK995" s="319" t="s">
        <v>428</v>
      </c>
      <c r="FL995" s="319" t="s">
        <v>190</v>
      </c>
      <c r="FM995" s="319" t="s">
        <v>190</v>
      </c>
      <c r="FN995" s="319" t="s">
        <v>190</v>
      </c>
      <c r="FO995" s="319" t="s">
        <v>190</v>
      </c>
      <c r="FP995" s="319" t="s">
        <v>190</v>
      </c>
      <c r="FQ995" s="319" t="s">
        <v>190</v>
      </c>
      <c r="FR995" s="319" t="s">
        <v>190</v>
      </c>
      <c r="FS995" s="319" t="s">
        <v>428</v>
      </c>
      <c r="FT995" s="319" t="s">
        <v>190</v>
      </c>
      <c r="FU995" s="319" t="s">
        <v>190</v>
      </c>
      <c r="FV995" s="319" t="s">
        <v>190</v>
      </c>
      <c r="FW995" s="319" t="s">
        <v>190</v>
      </c>
      <c r="FX995" s="319" t="s">
        <v>190</v>
      </c>
      <c r="FY995" s="319" t="s">
        <v>190</v>
      </c>
      <c r="FZ995" s="319" t="s">
        <v>190</v>
      </c>
      <c r="GA995" s="319" t="s">
        <v>190</v>
      </c>
      <c r="GB995" s="319" t="s">
        <v>190</v>
      </c>
      <c r="GC995" s="319" t="s">
        <v>190</v>
      </c>
      <c r="GD995" s="319" t="s">
        <v>190</v>
      </c>
      <c r="GE995" s="319" t="s">
        <v>190</v>
      </c>
      <c r="GF995" s="319" t="s">
        <v>190</v>
      </c>
      <c r="GG995" s="319" t="s">
        <v>190</v>
      </c>
      <c r="GH995" s="319" t="s">
        <v>190</v>
      </c>
      <c r="GI995" s="319" t="s">
        <v>190</v>
      </c>
      <c r="GJ995" s="319" t="s">
        <v>190</v>
      </c>
      <c r="GK995" s="319" t="s">
        <v>428</v>
      </c>
      <c r="GL995" s="319" t="s">
        <v>190</v>
      </c>
      <c r="GM995" s="319" t="s">
        <v>190</v>
      </c>
      <c r="GN995" s="319" t="s">
        <v>190</v>
      </c>
      <c r="GO995" s="319" t="s">
        <v>190</v>
      </c>
      <c r="GP995" s="319" t="s">
        <v>190</v>
      </c>
      <c r="GQ995" s="319" t="s">
        <v>428</v>
      </c>
      <c r="GR995" s="319" t="s">
        <v>190</v>
      </c>
      <c r="GS995" s="319" t="s">
        <v>190</v>
      </c>
      <c r="GT995" s="319" t="s">
        <v>190</v>
      </c>
      <c r="GU995" s="319" t="s">
        <v>190</v>
      </c>
      <c r="GV995" s="319" t="s">
        <v>428</v>
      </c>
      <c r="GW995" s="319" t="s">
        <v>190</v>
      </c>
      <c r="GX995" s="319" t="s">
        <v>190</v>
      </c>
      <c r="GY995" s="319" t="s">
        <v>190</v>
      </c>
      <c r="GZ995" s="319" t="s">
        <v>190</v>
      </c>
      <c r="HA995" s="319" t="s">
        <v>428</v>
      </c>
      <c r="HB995" s="319" t="s">
        <v>190</v>
      </c>
      <c r="HC995" s="319" t="s">
        <v>190</v>
      </c>
      <c r="HD995" s="319" t="s">
        <v>190</v>
      </c>
      <c r="HE995" s="319" t="s">
        <v>190</v>
      </c>
      <c r="HF995" s="319" t="s">
        <v>190</v>
      </c>
      <c r="HG995" s="319" t="s">
        <v>190</v>
      </c>
      <c r="HH995" s="319" t="s">
        <v>190</v>
      </c>
      <c r="HI995" s="319" t="s">
        <v>190</v>
      </c>
      <c r="HJ995" s="319" t="s">
        <v>190</v>
      </c>
      <c r="HK995" s="319" t="s">
        <v>190</v>
      </c>
      <c r="HL995" s="319" t="s">
        <v>190</v>
      </c>
      <c r="HM995" s="319" t="s">
        <v>428</v>
      </c>
      <c r="HN995" s="319" t="s">
        <v>428</v>
      </c>
      <c r="HO995" s="319" t="s">
        <v>428</v>
      </c>
      <c r="HP995" s="319" t="s">
        <v>190</v>
      </c>
      <c r="HQ995" s="319" t="s">
        <v>190</v>
      </c>
      <c r="HR995" s="319" t="s">
        <v>190</v>
      </c>
      <c r="HS995" s="319" t="s">
        <v>190</v>
      </c>
      <c r="HT995" s="319" t="s">
        <v>190</v>
      </c>
      <c r="HU995" s="319" t="s">
        <v>190</v>
      </c>
      <c r="HV995" s="319" t="s">
        <v>190</v>
      </c>
      <c r="HW995" s="319" t="s">
        <v>190</v>
      </c>
      <c r="HX995" s="319" t="s">
        <v>190</v>
      </c>
      <c r="HY995" s="319" t="s">
        <v>190</v>
      </c>
      <c r="HZ995" s="319" t="s">
        <v>190</v>
      </c>
      <c r="IA995" s="319" t="s">
        <v>190</v>
      </c>
      <c r="IB995" s="319" t="s">
        <v>190</v>
      </c>
      <c r="IC995" s="319" t="s">
        <v>190</v>
      </c>
      <c r="ID995" s="319" t="s">
        <v>190</v>
      </c>
      <c r="IE995" s="319" t="s">
        <v>190</v>
      </c>
      <c r="IF995" s="319" t="s">
        <v>190</v>
      </c>
      <c r="IG995" s="319" t="s">
        <v>190</v>
      </c>
      <c r="IH995" s="319" t="s">
        <v>190</v>
      </c>
      <c r="II995" s="319" t="s">
        <v>190</v>
      </c>
      <c r="IJ995" s="319" t="s">
        <v>173</v>
      </c>
      <c r="IK995" s="319" t="s">
        <v>173</v>
      </c>
      <c r="IL995" s="319" t="s">
        <v>173</v>
      </c>
      <c r="IM995" s="319" t="s">
        <v>173</v>
      </c>
      <c r="IN995" s="319" t="s">
        <v>173</v>
      </c>
      <c r="IO995" s="319" t="s">
        <v>173</v>
      </c>
      <c r="IP995" s="319" t="s">
        <v>173</v>
      </c>
      <c r="IQ995" s="321" t="s">
        <v>173</v>
      </c>
      <c r="IR995" s="320" t="s">
        <v>173</v>
      </c>
      <c r="IS995" s="322" t="s">
        <v>173</v>
      </c>
      <c r="IT995" s="319" t="s">
        <v>173</v>
      </c>
    </row>
    <row r="996" spans="1:254" s="271" customFormat="1" x14ac:dyDescent="0.25">
      <c r="A996" s="318" t="str">
        <f>HYPERLINK("http://www.ofsted.gov.uk/inspection-reports/find-inspection-report/provider/ELS/145946 ","Ofsted School Webpage")</f>
        <v>Ofsted School Webpage</v>
      </c>
      <c r="B996" s="319">
        <v>145946</v>
      </c>
      <c r="C996" s="319">
        <v>3026016</v>
      </c>
      <c r="D996" s="319" t="s">
        <v>2511</v>
      </c>
      <c r="E996" s="319" t="s">
        <v>167</v>
      </c>
      <c r="F996" s="319" t="s">
        <v>81</v>
      </c>
      <c r="G996" s="319" t="s">
        <v>70</v>
      </c>
      <c r="H996" s="319" t="s">
        <v>70</v>
      </c>
      <c r="I996" s="319" t="s">
        <v>69</v>
      </c>
      <c r="J996" s="319" t="s">
        <v>424</v>
      </c>
      <c r="K996" s="319" t="s">
        <v>441</v>
      </c>
      <c r="L996" s="319" t="s">
        <v>441</v>
      </c>
      <c r="M996" s="319" t="s">
        <v>544</v>
      </c>
      <c r="N996" s="319" t="s">
        <v>3390</v>
      </c>
      <c r="O996" s="319" t="s">
        <v>2512</v>
      </c>
      <c r="P996" s="319">
        <v>10</v>
      </c>
      <c r="Q996" s="319" t="s">
        <v>2776</v>
      </c>
      <c r="R996" s="320">
        <v>10083773</v>
      </c>
      <c r="S996" s="321">
        <v>43508</v>
      </c>
      <c r="T996" s="321">
        <v>43510</v>
      </c>
      <c r="U996" s="321">
        <v>43591</v>
      </c>
      <c r="V996" s="319" t="s">
        <v>435</v>
      </c>
      <c r="W996" s="319" t="s">
        <v>2767</v>
      </c>
      <c r="X996" s="319">
        <v>4</v>
      </c>
      <c r="Y996" s="319" t="s">
        <v>173</v>
      </c>
      <c r="Z996" s="319" t="s">
        <v>173</v>
      </c>
      <c r="AA996" s="319" t="s">
        <v>173</v>
      </c>
      <c r="AB996" s="319">
        <v>4</v>
      </c>
      <c r="AC996" s="319" t="s">
        <v>169</v>
      </c>
      <c r="AD996" s="319" t="s">
        <v>173</v>
      </c>
      <c r="AE996" s="319" t="s">
        <v>173</v>
      </c>
      <c r="AF996" s="319" t="s">
        <v>427</v>
      </c>
      <c r="AG996" s="319" t="s">
        <v>172</v>
      </c>
      <c r="AH996" s="319" t="s">
        <v>479</v>
      </c>
      <c r="AI996" s="319" t="s">
        <v>479</v>
      </c>
      <c r="AJ996" s="319" t="s">
        <v>190</v>
      </c>
      <c r="AK996" s="319" t="s">
        <v>190</v>
      </c>
      <c r="AL996" s="319" t="s">
        <v>190</v>
      </c>
      <c r="AM996" s="319" t="s">
        <v>190</v>
      </c>
      <c r="AN996" s="319" t="s">
        <v>190</v>
      </c>
      <c r="AO996" s="319" t="s">
        <v>479</v>
      </c>
      <c r="AP996" s="319" t="s">
        <v>191</v>
      </c>
      <c r="AQ996" s="319" t="s">
        <v>190</v>
      </c>
      <c r="AR996" s="319" t="s">
        <v>190</v>
      </c>
      <c r="AS996" s="319" t="s">
        <v>190</v>
      </c>
      <c r="AT996" s="319" t="s">
        <v>190</v>
      </c>
      <c r="AU996" s="319" t="s">
        <v>190</v>
      </c>
      <c r="AV996" s="319" t="s">
        <v>190</v>
      </c>
      <c r="AW996" s="319" t="s">
        <v>190</v>
      </c>
      <c r="AX996" s="319" t="s">
        <v>428</v>
      </c>
      <c r="AY996" s="319" t="s">
        <v>190</v>
      </c>
      <c r="AZ996" s="319" t="s">
        <v>190</v>
      </c>
      <c r="BA996" s="319" t="s">
        <v>191</v>
      </c>
      <c r="BB996" s="319" t="s">
        <v>190</v>
      </c>
      <c r="BC996" s="319" t="s">
        <v>190</v>
      </c>
      <c r="BD996" s="319" t="s">
        <v>190</v>
      </c>
      <c r="BE996" s="319" t="s">
        <v>190</v>
      </c>
      <c r="BF996" s="319" t="s">
        <v>173</v>
      </c>
      <c r="BG996" s="319" t="s">
        <v>428</v>
      </c>
      <c r="BH996" s="319" t="s">
        <v>190</v>
      </c>
      <c r="BI996" s="319" t="s">
        <v>190</v>
      </c>
      <c r="BJ996" s="319" t="s">
        <v>190</v>
      </c>
      <c r="BK996" s="319" t="s">
        <v>190</v>
      </c>
      <c r="BL996" s="319" t="s">
        <v>190</v>
      </c>
      <c r="BM996" s="319" t="s">
        <v>190</v>
      </c>
      <c r="BN996" s="319" t="s">
        <v>190</v>
      </c>
      <c r="BO996" s="319" t="s">
        <v>190</v>
      </c>
      <c r="BP996" s="319" t="s">
        <v>190</v>
      </c>
      <c r="BQ996" s="319" t="s">
        <v>190</v>
      </c>
      <c r="BR996" s="319" t="s">
        <v>190</v>
      </c>
      <c r="BS996" s="319" t="s">
        <v>190</v>
      </c>
      <c r="BT996" s="319" t="s">
        <v>190</v>
      </c>
      <c r="BU996" s="319" t="s">
        <v>190</v>
      </c>
      <c r="BV996" s="319" t="s">
        <v>191</v>
      </c>
      <c r="BW996" s="319" t="s">
        <v>190</v>
      </c>
      <c r="BX996" s="319" t="s">
        <v>173</v>
      </c>
      <c r="BY996" s="319" t="s">
        <v>190</v>
      </c>
      <c r="BZ996" s="319" t="s">
        <v>190</v>
      </c>
      <c r="CA996" s="319" t="s">
        <v>190</v>
      </c>
      <c r="CB996" s="319" t="s">
        <v>190</v>
      </c>
      <c r="CC996" s="319" t="s">
        <v>190</v>
      </c>
      <c r="CD996" s="319" t="s">
        <v>191</v>
      </c>
      <c r="CE996" s="319" t="s">
        <v>190</v>
      </c>
      <c r="CF996" s="319" t="s">
        <v>190</v>
      </c>
      <c r="CG996" s="319" t="s">
        <v>190</v>
      </c>
      <c r="CH996" s="319" t="s">
        <v>190</v>
      </c>
      <c r="CI996" s="319" t="s">
        <v>190</v>
      </c>
      <c r="CJ996" s="319" t="s">
        <v>190</v>
      </c>
      <c r="CK996" s="319" t="s">
        <v>190</v>
      </c>
      <c r="CL996" s="319" t="s">
        <v>190</v>
      </c>
      <c r="CM996" s="319" t="s">
        <v>190</v>
      </c>
      <c r="CN996" s="319" t="s">
        <v>190</v>
      </c>
      <c r="CO996" s="319" t="s">
        <v>428</v>
      </c>
      <c r="CP996" s="319" t="s">
        <v>428</v>
      </c>
      <c r="CQ996" s="319" t="s">
        <v>190</v>
      </c>
      <c r="CR996" s="319" t="s">
        <v>190</v>
      </c>
      <c r="CS996" s="319" t="s">
        <v>190</v>
      </c>
      <c r="CT996" s="319" t="s">
        <v>190</v>
      </c>
      <c r="CU996" s="319" t="s">
        <v>190</v>
      </c>
      <c r="CV996" s="319" t="s">
        <v>190</v>
      </c>
      <c r="CW996" s="319" t="s">
        <v>190</v>
      </c>
      <c r="CX996" s="319" t="s">
        <v>190</v>
      </c>
      <c r="CY996" s="319" t="s">
        <v>190</v>
      </c>
      <c r="CZ996" s="319" t="s">
        <v>190</v>
      </c>
      <c r="DA996" s="319" t="s">
        <v>190</v>
      </c>
      <c r="DB996" s="319" t="s">
        <v>190</v>
      </c>
      <c r="DC996" s="319" t="s">
        <v>190</v>
      </c>
      <c r="DD996" s="319" t="s">
        <v>190</v>
      </c>
      <c r="DE996" s="319" t="s">
        <v>190</v>
      </c>
      <c r="DF996" s="319" t="s">
        <v>190</v>
      </c>
      <c r="DG996" s="319" t="s">
        <v>190</v>
      </c>
      <c r="DH996" s="319" t="s">
        <v>190</v>
      </c>
      <c r="DI996" s="319" t="s">
        <v>190</v>
      </c>
      <c r="DJ996" s="319" t="s">
        <v>190</v>
      </c>
      <c r="DK996" s="319" t="s">
        <v>190</v>
      </c>
      <c r="DL996" s="319" t="s">
        <v>190</v>
      </c>
      <c r="DM996" s="319" t="s">
        <v>190</v>
      </c>
      <c r="DN996" s="319" t="s">
        <v>428</v>
      </c>
      <c r="DO996" s="319" t="s">
        <v>190</v>
      </c>
      <c r="DP996" s="319" t="s">
        <v>190</v>
      </c>
      <c r="DQ996" s="319" t="s">
        <v>190</v>
      </c>
      <c r="DR996" s="319" t="s">
        <v>190</v>
      </c>
      <c r="DS996" s="319" t="s">
        <v>190</v>
      </c>
      <c r="DT996" s="319" t="s">
        <v>190</v>
      </c>
      <c r="DU996" s="319" t="s">
        <v>190</v>
      </c>
      <c r="DV996" s="319" t="s">
        <v>173</v>
      </c>
      <c r="DW996" s="319" t="s">
        <v>190</v>
      </c>
      <c r="DX996" s="319" t="s">
        <v>428</v>
      </c>
      <c r="DY996" s="319" t="s">
        <v>428</v>
      </c>
      <c r="DZ996" s="319" t="s">
        <v>190</v>
      </c>
      <c r="EA996" s="319" t="s">
        <v>190</v>
      </c>
      <c r="EB996" s="319" t="s">
        <v>190</v>
      </c>
      <c r="EC996" s="319" t="s">
        <v>428</v>
      </c>
      <c r="ED996" s="319" t="s">
        <v>190</v>
      </c>
      <c r="EE996" s="319" t="s">
        <v>190</v>
      </c>
      <c r="EF996" s="319" t="s">
        <v>190</v>
      </c>
      <c r="EG996" s="319" t="s">
        <v>190</v>
      </c>
      <c r="EH996" s="319" t="s">
        <v>190</v>
      </c>
      <c r="EI996" s="319" t="s">
        <v>190</v>
      </c>
      <c r="EJ996" s="319" t="s">
        <v>190</v>
      </c>
      <c r="EK996" s="319" t="s">
        <v>190</v>
      </c>
      <c r="EL996" s="319" t="s">
        <v>190</v>
      </c>
      <c r="EM996" s="319" t="s">
        <v>190</v>
      </c>
      <c r="EN996" s="319" t="s">
        <v>190</v>
      </c>
      <c r="EO996" s="319" t="s">
        <v>190</v>
      </c>
      <c r="EP996" s="319" t="s">
        <v>190</v>
      </c>
      <c r="EQ996" s="319" t="s">
        <v>190</v>
      </c>
      <c r="ER996" s="319" t="s">
        <v>190</v>
      </c>
      <c r="ES996" s="319" t="s">
        <v>190</v>
      </c>
      <c r="ET996" s="319" t="s">
        <v>190</v>
      </c>
      <c r="EU996" s="319" t="s">
        <v>190</v>
      </c>
      <c r="EV996" s="319" t="s">
        <v>190</v>
      </c>
      <c r="EW996" s="319" t="s">
        <v>190</v>
      </c>
      <c r="EX996" s="319" t="s">
        <v>190</v>
      </c>
      <c r="EY996" s="319" t="s">
        <v>190</v>
      </c>
      <c r="EZ996" s="319" t="s">
        <v>190</v>
      </c>
      <c r="FA996" s="319" t="s">
        <v>190</v>
      </c>
      <c r="FB996" s="319" t="s">
        <v>190</v>
      </c>
      <c r="FC996" s="319" t="s">
        <v>190</v>
      </c>
      <c r="FD996" s="319" t="s">
        <v>190</v>
      </c>
      <c r="FE996" s="319" t="s">
        <v>190</v>
      </c>
      <c r="FF996" s="319" t="s">
        <v>190</v>
      </c>
      <c r="FG996" s="319" t="s">
        <v>190</v>
      </c>
      <c r="FH996" s="319" t="s">
        <v>190</v>
      </c>
      <c r="FI996" s="319" t="s">
        <v>190</v>
      </c>
      <c r="FJ996" s="319" t="s">
        <v>190</v>
      </c>
      <c r="FK996" s="319" t="s">
        <v>190</v>
      </c>
      <c r="FL996" s="319" t="s">
        <v>190</v>
      </c>
      <c r="FM996" s="319" t="s">
        <v>190</v>
      </c>
      <c r="FN996" s="319" t="s">
        <v>428</v>
      </c>
      <c r="FO996" s="319" t="s">
        <v>190</v>
      </c>
      <c r="FP996" s="319" t="s">
        <v>190</v>
      </c>
      <c r="FQ996" s="319" t="s">
        <v>190</v>
      </c>
      <c r="FR996" s="319" t="s">
        <v>190</v>
      </c>
      <c r="FS996" s="319" t="s">
        <v>190</v>
      </c>
      <c r="FT996" s="319" t="s">
        <v>190</v>
      </c>
      <c r="FU996" s="319" t="s">
        <v>190</v>
      </c>
      <c r="FV996" s="319" t="s">
        <v>190</v>
      </c>
      <c r="FW996" s="319" t="s">
        <v>190</v>
      </c>
      <c r="FX996" s="319" t="s">
        <v>190</v>
      </c>
      <c r="FY996" s="319" t="s">
        <v>190</v>
      </c>
      <c r="FZ996" s="319" t="s">
        <v>190</v>
      </c>
      <c r="GA996" s="319" t="s">
        <v>190</v>
      </c>
      <c r="GB996" s="319" t="s">
        <v>190</v>
      </c>
      <c r="GC996" s="319" t="s">
        <v>190</v>
      </c>
      <c r="GD996" s="319" t="s">
        <v>190</v>
      </c>
      <c r="GE996" s="319" t="s">
        <v>190</v>
      </c>
      <c r="GF996" s="319" t="s">
        <v>190</v>
      </c>
      <c r="GG996" s="319" t="s">
        <v>190</v>
      </c>
      <c r="GH996" s="319" t="s">
        <v>190</v>
      </c>
      <c r="GI996" s="319" t="s">
        <v>190</v>
      </c>
      <c r="GJ996" s="319" t="s">
        <v>190</v>
      </c>
      <c r="GK996" s="319" t="s">
        <v>190</v>
      </c>
      <c r="GL996" s="319" t="s">
        <v>190</v>
      </c>
      <c r="GM996" s="319" t="s">
        <v>190</v>
      </c>
      <c r="GN996" s="319" t="s">
        <v>190</v>
      </c>
      <c r="GO996" s="319" t="s">
        <v>190</v>
      </c>
      <c r="GP996" s="319" t="s">
        <v>190</v>
      </c>
      <c r="GQ996" s="319" t="s">
        <v>190</v>
      </c>
      <c r="GR996" s="319" t="s">
        <v>190</v>
      </c>
      <c r="GS996" s="319" t="s">
        <v>190</v>
      </c>
      <c r="GT996" s="319" t="s">
        <v>190</v>
      </c>
      <c r="GU996" s="319" t="s">
        <v>190</v>
      </c>
      <c r="GV996" s="319" t="s">
        <v>190</v>
      </c>
      <c r="GW996" s="319" t="s">
        <v>190</v>
      </c>
      <c r="GX996" s="319" t="s">
        <v>190</v>
      </c>
      <c r="GY996" s="319" t="s">
        <v>190</v>
      </c>
      <c r="GZ996" s="319" t="s">
        <v>190</v>
      </c>
      <c r="HA996" s="319" t="s">
        <v>190</v>
      </c>
      <c r="HB996" s="319" t="s">
        <v>190</v>
      </c>
      <c r="HC996" s="319" t="s">
        <v>190</v>
      </c>
      <c r="HD996" s="319" t="s">
        <v>190</v>
      </c>
      <c r="HE996" s="319" t="s">
        <v>190</v>
      </c>
      <c r="HF996" s="319" t="s">
        <v>190</v>
      </c>
      <c r="HG996" s="319" t="s">
        <v>190</v>
      </c>
      <c r="HH996" s="319" t="s">
        <v>190</v>
      </c>
      <c r="HI996" s="319" t="s">
        <v>190</v>
      </c>
      <c r="HJ996" s="319" t="s">
        <v>190</v>
      </c>
      <c r="HK996" s="319" t="s">
        <v>190</v>
      </c>
      <c r="HL996" s="319" t="s">
        <v>190</v>
      </c>
      <c r="HM996" s="319" t="s">
        <v>190</v>
      </c>
      <c r="HN996" s="319" t="s">
        <v>190</v>
      </c>
      <c r="HO996" s="319" t="s">
        <v>190</v>
      </c>
      <c r="HP996" s="319" t="s">
        <v>190</v>
      </c>
      <c r="HQ996" s="319" t="s">
        <v>190</v>
      </c>
      <c r="HR996" s="319" t="s">
        <v>190</v>
      </c>
      <c r="HS996" s="319" t="s">
        <v>190</v>
      </c>
      <c r="HT996" s="319" t="s">
        <v>190</v>
      </c>
      <c r="HU996" s="319" t="s">
        <v>190</v>
      </c>
      <c r="HV996" s="319" t="s">
        <v>173</v>
      </c>
      <c r="HW996" s="319" t="s">
        <v>190</v>
      </c>
      <c r="HX996" s="319" t="s">
        <v>190</v>
      </c>
      <c r="HY996" s="319" t="s">
        <v>190</v>
      </c>
      <c r="HZ996" s="319" t="s">
        <v>190</v>
      </c>
      <c r="IA996" s="319" t="s">
        <v>190</v>
      </c>
      <c r="IB996" s="319" t="s">
        <v>190</v>
      </c>
      <c r="IC996" s="319" t="s">
        <v>190</v>
      </c>
      <c r="ID996" s="319" t="s">
        <v>190</v>
      </c>
      <c r="IE996" s="319" t="s">
        <v>190</v>
      </c>
      <c r="IF996" s="319" t="s">
        <v>191</v>
      </c>
      <c r="IG996" s="319" t="s">
        <v>191</v>
      </c>
      <c r="IH996" s="319" t="s">
        <v>191</v>
      </c>
      <c r="II996" s="319" t="s">
        <v>190</v>
      </c>
      <c r="IJ996" s="319" t="s">
        <v>173</v>
      </c>
      <c r="IK996" s="319" t="s">
        <v>173</v>
      </c>
      <c r="IL996" s="319" t="s">
        <v>173</v>
      </c>
      <c r="IM996" s="319" t="s">
        <v>173</v>
      </c>
      <c r="IN996" s="319" t="s">
        <v>173</v>
      </c>
      <c r="IO996" s="319" t="s">
        <v>173</v>
      </c>
      <c r="IP996" s="319" t="s">
        <v>173</v>
      </c>
      <c r="IQ996" s="319" t="s">
        <v>173</v>
      </c>
      <c r="IR996" s="320" t="s">
        <v>173</v>
      </c>
      <c r="IS996" s="320" t="s">
        <v>173</v>
      </c>
      <c r="IT996" s="319" t="s">
        <v>173</v>
      </c>
    </row>
    <row r="997" spans="1:254" s="271" customFormat="1" x14ac:dyDescent="0.25">
      <c r="A997" s="318" t="str">
        <f>HYPERLINK("http://www.ofsted.gov.uk/inspection-reports/find-inspection-report/provider/ELS/145949 ","Ofsted School Webpage")</f>
        <v>Ofsted School Webpage</v>
      </c>
      <c r="B997" s="319">
        <v>145949</v>
      </c>
      <c r="C997" s="319">
        <v>8916039</v>
      </c>
      <c r="D997" s="319" t="s">
        <v>896</v>
      </c>
      <c r="E997" s="319" t="s">
        <v>168</v>
      </c>
      <c r="F997" s="319" t="s">
        <v>81</v>
      </c>
      <c r="G997" s="319" t="s">
        <v>81</v>
      </c>
      <c r="H997" s="319" t="s">
        <v>81</v>
      </c>
      <c r="I997" s="319" t="s">
        <v>78</v>
      </c>
      <c r="J997" s="319" t="s">
        <v>424</v>
      </c>
      <c r="K997" s="319" t="s">
        <v>506</v>
      </c>
      <c r="L997" s="319" t="s">
        <v>506</v>
      </c>
      <c r="M997" s="319" t="s">
        <v>760</v>
      </c>
      <c r="N997" s="319" t="s">
        <v>3016</v>
      </c>
      <c r="O997" s="319" t="s">
        <v>897</v>
      </c>
      <c r="P997" s="319" t="s">
        <v>173</v>
      </c>
      <c r="Q997" s="319" t="s">
        <v>429</v>
      </c>
      <c r="R997" s="320">
        <v>10081421</v>
      </c>
      <c r="S997" s="321">
        <v>43501</v>
      </c>
      <c r="T997" s="321">
        <v>43502</v>
      </c>
      <c r="U997" s="321">
        <v>43535</v>
      </c>
      <c r="V997" s="319" t="s">
        <v>435</v>
      </c>
      <c r="W997" s="319" t="s">
        <v>2767</v>
      </c>
      <c r="X997" s="319">
        <v>2</v>
      </c>
      <c r="Y997" s="319" t="s">
        <v>173</v>
      </c>
      <c r="Z997" s="319" t="s">
        <v>173</v>
      </c>
      <c r="AA997" s="319" t="s">
        <v>173</v>
      </c>
      <c r="AB997" s="319">
        <v>2</v>
      </c>
      <c r="AC997" s="319" t="s">
        <v>169</v>
      </c>
      <c r="AD997" s="319" t="s">
        <v>173</v>
      </c>
      <c r="AE997" s="319" t="s">
        <v>173</v>
      </c>
      <c r="AF997" s="319" t="s">
        <v>427</v>
      </c>
      <c r="AG997" s="319" t="s">
        <v>171</v>
      </c>
      <c r="AH997" s="319" t="s">
        <v>190</v>
      </c>
      <c r="AI997" s="319" t="s">
        <v>190</v>
      </c>
      <c r="AJ997" s="319" t="s">
        <v>190</v>
      </c>
      <c r="AK997" s="319" t="s">
        <v>190</v>
      </c>
      <c r="AL997" s="319" t="s">
        <v>190</v>
      </c>
      <c r="AM997" s="319" t="s">
        <v>190</v>
      </c>
      <c r="AN997" s="319" t="s">
        <v>190</v>
      </c>
      <c r="AO997" s="319" t="s">
        <v>190</v>
      </c>
      <c r="AP997" s="319" t="s">
        <v>190</v>
      </c>
      <c r="AQ997" s="319" t="s">
        <v>190</v>
      </c>
      <c r="AR997" s="319" t="s">
        <v>190</v>
      </c>
      <c r="AS997" s="319" t="s">
        <v>190</v>
      </c>
      <c r="AT997" s="319" t="s">
        <v>190</v>
      </c>
      <c r="AU997" s="319" t="s">
        <v>190</v>
      </c>
      <c r="AV997" s="319" t="s">
        <v>190</v>
      </c>
      <c r="AW997" s="319" t="s">
        <v>190</v>
      </c>
      <c r="AX997" s="319" t="s">
        <v>428</v>
      </c>
      <c r="AY997" s="319" t="s">
        <v>190</v>
      </c>
      <c r="AZ997" s="319" t="s">
        <v>190</v>
      </c>
      <c r="BA997" s="319" t="s">
        <v>190</v>
      </c>
      <c r="BB997" s="319" t="s">
        <v>190</v>
      </c>
      <c r="BC997" s="319" t="s">
        <v>190</v>
      </c>
      <c r="BD997" s="319" t="s">
        <v>190</v>
      </c>
      <c r="BE997" s="319" t="s">
        <v>190</v>
      </c>
      <c r="BF997" s="319" t="s">
        <v>428</v>
      </c>
      <c r="BG997" s="319" t="s">
        <v>428</v>
      </c>
      <c r="BH997" s="319" t="s">
        <v>190</v>
      </c>
      <c r="BI997" s="319" t="s">
        <v>190</v>
      </c>
      <c r="BJ997" s="319" t="s">
        <v>190</v>
      </c>
      <c r="BK997" s="319" t="s">
        <v>190</v>
      </c>
      <c r="BL997" s="319" t="s">
        <v>190</v>
      </c>
      <c r="BM997" s="319" t="s">
        <v>190</v>
      </c>
      <c r="BN997" s="319" t="s">
        <v>190</v>
      </c>
      <c r="BO997" s="319" t="s">
        <v>190</v>
      </c>
      <c r="BP997" s="319" t="s">
        <v>190</v>
      </c>
      <c r="BQ997" s="319" t="s">
        <v>190</v>
      </c>
      <c r="BR997" s="319" t="s">
        <v>190</v>
      </c>
      <c r="BS997" s="319" t="s">
        <v>190</v>
      </c>
      <c r="BT997" s="319" t="s">
        <v>190</v>
      </c>
      <c r="BU997" s="319" t="s">
        <v>190</v>
      </c>
      <c r="BV997" s="319" t="s">
        <v>190</v>
      </c>
      <c r="BW997" s="319" t="s">
        <v>190</v>
      </c>
      <c r="BX997" s="319" t="s">
        <v>190</v>
      </c>
      <c r="BY997" s="319" t="s">
        <v>190</v>
      </c>
      <c r="BZ997" s="319" t="s">
        <v>190</v>
      </c>
      <c r="CA997" s="319" t="s">
        <v>190</v>
      </c>
      <c r="CB997" s="319" t="s">
        <v>190</v>
      </c>
      <c r="CC997" s="319" t="s">
        <v>190</v>
      </c>
      <c r="CD997" s="319" t="s">
        <v>190</v>
      </c>
      <c r="CE997" s="319" t="s">
        <v>190</v>
      </c>
      <c r="CF997" s="319" t="s">
        <v>190</v>
      </c>
      <c r="CG997" s="319" t="s">
        <v>190</v>
      </c>
      <c r="CH997" s="319" t="s">
        <v>190</v>
      </c>
      <c r="CI997" s="319" t="s">
        <v>190</v>
      </c>
      <c r="CJ997" s="319" t="s">
        <v>190</v>
      </c>
      <c r="CK997" s="319" t="s">
        <v>190</v>
      </c>
      <c r="CL997" s="319" t="s">
        <v>190</v>
      </c>
      <c r="CM997" s="319" t="s">
        <v>190</v>
      </c>
      <c r="CN997" s="319" t="s">
        <v>190</v>
      </c>
      <c r="CO997" s="319" t="s">
        <v>428</v>
      </c>
      <c r="CP997" s="319" t="s">
        <v>428</v>
      </c>
      <c r="CQ997" s="319" t="s">
        <v>190</v>
      </c>
      <c r="CR997" s="319" t="s">
        <v>190</v>
      </c>
      <c r="CS997" s="319" t="s">
        <v>190</v>
      </c>
      <c r="CT997" s="319" t="s">
        <v>190</v>
      </c>
      <c r="CU997" s="319" t="s">
        <v>190</v>
      </c>
      <c r="CV997" s="319" t="s">
        <v>190</v>
      </c>
      <c r="CW997" s="319" t="s">
        <v>190</v>
      </c>
      <c r="CX997" s="319" t="s">
        <v>190</v>
      </c>
      <c r="CY997" s="319" t="s">
        <v>190</v>
      </c>
      <c r="CZ997" s="319" t="s">
        <v>190</v>
      </c>
      <c r="DA997" s="319" t="s">
        <v>190</v>
      </c>
      <c r="DB997" s="319" t="s">
        <v>190</v>
      </c>
      <c r="DC997" s="319" t="s">
        <v>190</v>
      </c>
      <c r="DD997" s="319" t="s">
        <v>190</v>
      </c>
      <c r="DE997" s="319" t="s">
        <v>190</v>
      </c>
      <c r="DF997" s="319" t="s">
        <v>190</v>
      </c>
      <c r="DG997" s="319" t="s">
        <v>190</v>
      </c>
      <c r="DH997" s="319" t="s">
        <v>190</v>
      </c>
      <c r="DI997" s="319" t="s">
        <v>190</v>
      </c>
      <c r="DJ997" s="319" t="s">
        <v>190</v>
      </c>
      <c r="DK997" s="319" t="s">
        <v>190</v>
      </c>
      <c r="DL997" s="319" t="s">
        <v>190</v>
      </c>
      <c r="DM997" s="319" t="s">
        <v>190</v>
      </c>
      <c r="DN997" s="319" t="s">
        <v>428</v>
      </c>
      <c r="DO997" s="319" t="s">
        <v>190</v>
      </c>
      <c r="DP997" s="319" t="s">
        <v>190</v>
      </c>
      <c r="DQ997" s="319" t="s">
        <v>190</v>
      </c>
      <c r="DR997" s="319" t="s">
        <v>190</v>
      </c>
      <c r="DS997" s="319" t="s">
        <v>190</v>
      </c>
      <c r="DT997" s="319" t="s">
        <v>190</v>
      </c>
      <c r="DU997" s="319" t="s">
        <v>190</v>
      </c>
      <c r="DV997" s="319" t="s">
        <v>173</v>
      </c>
      <c r="DW997" s="319" t="s">
        <v>190</v>
      </c>
      <c r="DX997" s="319" t="s">
        <v>190</v>
      </c>
      <c r="DY997" s="319" t="s">
        <v>190</v>
      </c>
      <c r="DZ997" s="319" t="s">
        <v>190</v>
      </c>
      <c r="EA997" s="319" t="s">
        <v>190</v>
      </c>
      <c r="EB997" s="319" t="s">
        <v>190</v>
      </c>
      <c r="EC997" s="319" t="s">
        <v>428</v>
      </c>
      <c r="ED997" s="319" t="s">
        <v>190</v>
      </c>
      <c r="EE997" s="319" t="s">
        <v>190</v>
      </c>
      <c r="EF997" s="319" t="s">
        <v>190</v>
      </c>
      <c r="EG997" s="319" t="s">
        <v>190</v>
      </c>
      <c r="EH997" s="319" t="s">
        <v>190</v>
      </c>
      <c r="EI997" s="319" t="s">
        <v>190</v>
      </c>
      <c r="EJ997" s="319" t="s">
        <v>190</v>
      </c>
      <c r="EK997" s="319" t="s">
        <v>190</v>
      </c>
      <c r="EL997" s="319" t="s">
        <v>190</v>
      </c>
      <c r="EM997" s="319" t="s">
        <v>190</v>
      </c>
      <c r="EN997" s="319" t="s">
        <v>190</v>
      </c>
      <c r="EO997" s="319" t="s">
        <v>190</v>
      </c>
      <c r="EP997" s="319" t="s">
        <v>190</v>
      </c>
      <c r="EQ997" s="319" t="s">
        <v>190</v>
      </c>
      <c r="ER997" s="319" t="s">
        <v>190</v>
      </c>
      <c r="ES997" s="319" t="s">
        <v>190</v>
      </c>
      <c r="ET997" s="319" t="s">
        <v>190</v>
      </c>
      <c r="EU997" s="319" t="s">
        <v>190</v>
      </c>
      <c r="EV997" s="319" t="s">
        <v>190</v>
      </c>
      <c r="EW997" s="319" t="s">
        <v>190</v>
      </c>
      <c r="EX997" s="319" t="s">
        <v>190</v>
      </c>
      <c r="EY997" s="319" t="s">
        <v>190</v>
      </c>
      <c r="EZ997" s="319" t="s">
        <v>190</v>
      </c>
      <c r="FA997" s="319" t="s">
        <v>190</v>
      </c>
      <c r="FB997" s="319" t="s">
        <v>428</v>
      </c>
      <c r="FC997" s="319" t="s">
        <v>428</v>
      </c>
      <c r="FD997" s="319" t="s">
        <v>428</v>
      </c>
      <c r="FE997" s="319" t="s">
        <v>428</v>
      </c>
      <c r="FF997" s="319" t="s">
        <v>428</v>
      </c>
      <c r="FG997" s="319" t="s">
        <v>428</v>
      </c>
      <c r="FH997" s="319" t="s">
        <v>428</v>
      </c>
      <c r="FI997" s="319" t="s">
        <v>428</v>
      </c>
      <c r="FJ997" s="319" t="s">
        <v>429</v>
      </c>
      <c r="FK997" s="319" t="s">
        <v>428</v>
      </c>
      <c r="FL997" s="319" t="s">
        <v>190</v>
      </c>
      <c r="FM997" s="319" t="s">
        <v>190</v>
      </c>
      <c r="FN997" s="319" t="s">
        <v>190</v>
      </c>
      <c r="FO997" s="319" t="s">
        <v>190</v>
      </c>
      <c r="FP997" s="319" t="s">
        <v>190</v>
      </c>
      <c r="FQ997" s="319" t="s">
        <v>190</v>
      </c>
      <c r="FR997" s="319" t="s">
        <v>190</v>
      </c>
      <c r="FS997" s="319" t="s">
        <v>428</v>
      </c>
      <c r="FT997" s="319" t="s">
        <v>190</v>
      </c>
      <c r="FU997" s="319" t="s">
        <v>190</v>
      </c>
      <c r="FV997" s="319" t="s">
        <v>190</v>
      </c>
      <c r="FW997" s="319" t="s">
        <v>190</v>
      </c>
      <c r="FX997" s="319" t="s">
        <v>190</v>
      </c>
      <c r="FY997" s="319" t="s">
        <v>190</v>
      </c>
      <c r="FZ997" s="319" t="s">
        <v>190</v>
      </c>
      <c r="GA997" s="319" t="s">
        <v>190</v>
      </c>
      <c r="GB997" s="319" t="s">
        <v>190</v>
      </c>
      <c r="GC997" s="319" t="s">
        <v>190</v>
      </c>
      <c r="GD997" s="319" t="s">
        <v>190</v>
      </c>
      <c r="GE997" s="319" t="s">
        <v>190</v>
      </c>
      <c r="GF997" s="319" t="s">
        <v>190</v>
      </c>
      <c r="GG997" s="319" t="s">
        <v>190</v>
      </c>
      <c r="GH997" s="319" t="s">
        <v>190</v>
      </c>
      <c r="GI997" s="319" t="s">
        <v>190</v>
      </c>
      <c r="GJ997" s="319" t="s">
        <v>190</v>
      </c>
      <c r="GK997" s="319" t="s">
        <v>428</v>
      </c>
      <c r="GL997" s="319" t="s">
        <v>190</v>
      </c>
      <c r="GM997" s="319" t="s">
        <v>190</v>
      </c>
      <c r="GN997" s="319" t="s">
        <v>190</v>
      </c>
      <c r="GO997" s="319" t="s">
        <v>190</v>
      </c>
      <c r="GP997" s="319" t="s">
        <v>428</v>
      </c>
      <c r="GQ997" s="319" t="s">
        <v>428</v>
      </c>
      <c r="GR997" s="319" t="s">
        <v>190</v>
      </c>
      <c r="GS997" s="319" t="s">
        <v>190</v>
      </c>
      <c r="GT997" s="319" t="s">
        <v>190</v>
      </c>
      <c r="GU997" s="319" t="s">
        <v>190</v>
      </c>
      <c r="GV997" s="319" t="s">
        <v>190</v>
      </c>
      <c r="GW997" s="319" t="s">
        <v>190</v>
      </c>
      <c r="GX997" s="319" t="s">
        <v>190</v>
      </c>
      <c r="GY997" s="319" t="s">
        <v>190</v>
      </c>
      <c r="GZ997" s="319" t="s">
        <v>190</v>
      </c>
      <c r="HA997" s="319" t="s">
        <v>190</v>
      </c>
      <c r="HB997" s="319" t="s">
        <v>190</v>
      </c>
      <c r="HC997" s="319" t="s">
        <v>190</v>
      </c>
      <c r="HD997" s="319" t="s">
        <v>190</v>
      </c>
      <c r="HE997" s="319" t="s">
        <v>190</v>
      </c>
      <c r="HF997" s="319" t="s">
        <v>190</v>
      </c>
      <c r="HG997" s="319" t="s">
        <v>190</v>
      </c>
      <c r="HH997" s="319" t="s">
        <v>190</v>
      </c>
      <c r="HI997" s="319" t="s">
        <v>428</v>
      </c>
      <c r="HJ997" s="319" t="s">
        <v>190</v>
      </c>
      <c r="HK997" s="319" t="s">
        <v>428</v>
      </c>
      <c r="HL997" s="319" t="s">
        <v>190</v>
      </c>
      <c r="HM997" s="319" t="s">
        <v>428</v>
      </c>
      <c r="HN997" s="319" t="s">
        <v>428</v>
      </c>
      <c r="HO997" s="319" t="s">
        <v>428</v>
      </c>
      <c r="HP997" s="319" t="s">
        <v>190</v>
      </c>
      <c r="HQ997" s="319" t="s">
        <v>190</v>
      </c>
      <c r="HR997" s="319" t="s">
        <v>190</v>
      </c>
      <c r="HS997" s="319" t="s">
        <v>190</v>
      </c>
      <c r="HT997" s="319" t="s">
        <v>190</v>
      </c>
      <c r="HU997" s="319" t="s">
        <v>190</v>
      </c>
      <c r="HV997" s="319" t="s">
        <v>190</v>
      </c>
      <c r="HW997" s="319" t="s">
        <v>190</v>
      </c>
      <c r="HX997" s="319" t="s">
        <v>190</v>
      </c>
      <c r="HY997" s="319" t="s">
        <v>190</v>
      </c>
      <c r="HZ997" s="319" t="s">
        <v>190</v>
      </c>
      <c r="IA997" s="319" t="s">
        <v>190</v>
      </c>
      <c r="IB997" s="319" t="s">
        <v>190</v>
      </c>
      <c r="IC997" s="319" t="s">
        <v>190</v>
      </c>
      <c r="ID997" s="319" t="s">
        <v>190</v>
      </c>
      <c r="IE997" s="319" t="s">
        <v>190</v>
      </c>
      <c r="IF997" s="319" t="s">
        <v>190</v>
      </c>
      <c r="IG997" s="319" t="s">
        <v>190</v>
      </c>
      <c r="IH997" s="319" t="s">
        <v>190</v>
      </c>
      <c r="II997" s="319" t="s">
        <v>190</v>
      </c>
      <c r="IJ997" s="319" t="s">
        <v>173</v>
      </c>
      <c r="IK997" s="319" t="s">
        <v>173</v>
      </c>
      <c r="IL997" s="319" t="s">
        <v>173</v>
      </c>
      <c r="IM997" s="319" t="s">
        <v>173</v>
      </c>
      <c r="IN997" s="319" t="s">
        <v>173</v>
      </c>
      <c r="IO997" s="319" t="s">
        <v>173</v>
      </c>
      <c r="IP997" s="319" t="s">
        <v>173</v>
      </c>
      <c r="IQ997" s="319" t="s">
        <v>173</v>
      </c>
      <c r="IR997" s="320" t="s">
        <v>173</v>
      </c>
      <c r="IS997" s="320" t="s">
        <v>173</v>
      </c>
      <c r="IT997" s="319" t="s">
        <v>173</v>
      </c>
    </row>
    <row r="998" spans="1:254" s="271" customFormat="1" x14ac:dyDescent="0.25">
      <c r="A998" s="318" t="str">
        <f>HYPERLINK("http://www.ofsted.gov.uk/inspection-reports/find-inspection-report/provider/ELS/145950 ","Ofsted School Webpage")</f>
        <v>Ofsted School Webpage</v>
      </c>
      <c r="B998" s="319">
        <v>145950</v>
      </c>
      <c r="C998" s="319">
        <v>8616017</v>
      </c>
      <c r="D998" s="319" t="s">
        <v>2513</v>
      </c>
      <c r="E998" s="319" t="s">
        <v>168</v>
      </c>
      <c r="F998" s="319" t="s">
        <v>81</v>
      </c>
      <c r="G998" s="319" t="s">
        <v>81</v>
      </c>
      <c r="H998" s="319" t="s">
        <v>81</v>
      </c>
      <c r="I998" s="319" t="s">
        <v>78</v>
      </c>
      <c r="J998" s="319" t="s">
        <v>424</v>
      </c>
      <c r="K998" s="319" t="s">
        <v>437</v>
      </c>
      <c r="L998" s="319" t="s">
        <v>437</v>
      </c>
      <c r="M998" s="319" t="s">
        <v>580</v>
      </c>
      <c r="N998" s="319" t="s">
        <v>3369</v>
      </c>
      <c r="O998" s="319" t="s">
        <v>2514</v>
      </c>
      <c r="P998" s="319">
        <v>4</v>
      </c>
      <c r="Q998" s="319" t="s">
        <v>429</v>
      </c>
      <c r="R998" s="320" t="s">
        <v>173</v>
      </c>
      <c r="S998" s="321" t="s">
        <v>173</v>
      </c>
      <c r="T998" s="321" t="s">
        <v>173</v>
      </c>
      <c r="U998" s="321" t="s">
        <v>173</v>
      </c>
      <c r="V998" s="319" t="s">
        <v>173</v>
      </c>
      <c r="W998" s="319" t="s">
        <v>173</v>
      </c>
      <c r="X998" s="319" t="s">
        <v>173</v>
      </c>
      <c r="Y998" s="319" t="s">
        <v>173</v>
      </c>
      <c r="Z998" s="319" t="s">
        <v>173</v>
      </c>
      <c r="AA998" s="319" t="s">
        <v>173</v>
      </c>
      <c r="AB998" s="319" t="s">
        <v>173</v>
      </c>
      <c r="AC998" s="319" t="s">
        <v>173</v>
      </c>
      <c r="AD998" s="319" t="s">
        <v>173</v>
      </c>
      <c r="AE998" s="319" t="s">
        <v>173</v>
      </c>
      <c r="AF998" s="319" t="s">
        <v>173</v>
      </c>
      <c r="AG998" s="319" t="s">
        <v>173</v>
      </c>
      <c r="AH998" s="319" t="s">
        <v>173</v>
      </c>
      <c r="AI998" s="319" t="s">
        <v>173</v>
      </c>
      <c r="AJ998" s="319" t="s">
        <v>173</v>
      </c>
      <c r="AK998" s="319" t="s">
        <v>173</v>
      </c>
      <c r="AL998" s="319" t="s">
        <v>173</v>
      </c>
      <c r="AM998" s="319" t="s">
        <v>173</v>
      </c>
      <c r="AN998" s="319" t="s">
        <v>173</v>
      </c>
      <c r="AO998" s="319" t="s">
        <v>173</v>
      </c>
      <c r="AP998" s="319" t="s">
        <v>173</v>
      </c>
      <c r="AQ998" s="319" t="s">
        <v>173</v>
      </c>
      <c r="AR998" s="319" t="s">
        <v>173</v>
      </c>
      <c r="AS998" s="319" t="s">
        <v>173</v>
      </c>
      <c r="AT998" s="319" t="s">
        <v>173</v>
      </c>
      <c r="AU998" s="319" t="s">
        <v>173</v>
      </c>
      <c r="AV998" s="319" t="s">
        <v>173</v>
      </c>
      <c r="AW998" s="319" t="s">
        <v>173</v>
      </c>
      <c r="AX998" s="319" t="s">
        <v>173</v>
      </c>
      <c r="AY998" s="319" t="s">
        <v>173</v>
      </c>
      <c r="AZ998" s="319" t="s">
        <v>173</v>
      </c>
      <c r="BA998" s="319" t="s">
        <v>173</v>
      </c>
      <c r="BB998" s="319" t="s">
        <v>173</v>
      </c>
      <c r="BC998" s="319" t="s">
        <v>173</v>
      </c>
      <c r="BD998" s="319" t="s">
        <v>173</v>
      </c>
      <c r="BE998" s="319" t="s">
        <v>173</v>
      </c>
      <c r="BF998" s="319" t="s">
        <v>173</v>
      </c>
      <c r="BG998" s="319" t="s">
        <v>173</v>
      </c>
      <c r="BH998" s="319" t="s">
        <v>173</v>
      </c>
      <c r="BI998" s="319" t="s">
        <v>173</v>
      </c>
      <c r="BJ998" s="319" t="s">
        <v>173</v>
      </c>
      <c r="BK998" s="319" t="s">
        <v>173</v>
      </c>
      <c r="BL998" s="319" t="s">
        <v>173</v>
      </c>
      <c r="BM998" s="319" t="s">
        <v>173</v>
      </c>
      <c r="BN998" s="319" t="s">
        <v>173</v>
      </c>
      <c r="BO998" s="319" t="s">
        <v>173</v>
      </c>
      <c r="BP998" s="319" t="s">
        <v>173</v>
      </c>
      <c r="BQ998" s="319" t="s">
        <v>173</v>
      </c>
      <c r="BR998" s="319" t="s">
        <v>173</v>
      </c>
      <c r="BS998" s="319" t="s">
        <v>173</v>
      </c>
      <c r="BT998" s="319" t="s">
        <v>173</v>
      </c>
      <c r="BU998" s="319" t="s">
        <v>173</v>
      </c>
      <c r="BV998" s="319" t="s">
        <v>173</v>
      </c>
      <c r="BW998" s="319" t="s">
        <v>173</v>
      </c>
      <c r="BX998" s="319" t="s">
        <v>173</v>
      </c>
      <c r="BY998" s="319" t="s">
        <v>173</v>
      </c>
      <c r="BZ998" s="319" t="s">
        <v>173</v>
      </c>
      <c r="CA998" s="319" t="s">
        <v>173</v>
      </c>
      <c r="CB998" s="319" t="s">
        <v>173</v>
      </c>
      <c r="CC998" s="319" t="s">
        <v>173</v>
      </c>
      <c r="CD998" s="319" t="s">
        <v>173</v>
      </c>
      <c r="CE998" s="319" t="s">
        <v>173</v>
      </c>
      <c r="CF998" s="319" t="s">
        <v>173</v>
      </c>
      <c r="CG998" s="319" t="s">
        <v>173</v>
      </c>
      <c r="CH998" s="319" t="s">
        <v>173</v>
      </c>
      <c r="CI998" s="319" t="s">
        <v>173</v>
      </c>
      <c r="CJ998" s="319" t="s">
        <v>173</v>
      </c>
      <c r="CK998" s="319" t="s">
        <v>173</v>
      </c>
      <c r="CL998" s="319" t="s">
        <v>173</v>
      </c>
      <c r="CM998" s="319" t="s">
        <v>173</v>
      </c>
      <c r="CN998" s="319" t="s">
        <v>173</v>
      </c>
      <c r="CO998" s="319" t="s">
        <v>173</v>
      </c>
      <c r="CP998" s="319" t="s">
        <v>173</v>
      </c>
      <c r="CQ998" s="319" t="s">
        <v>173</v>
      </c>
      <c r="CR998" s="319" t="s">
        <v>173</v>
      </c>
      <c r="CS998" s="319" t="s">
        <v>173</v>
      </c>
      <c r="CT998" s="319" t="s">
        <v>173</v>
      </c>
      <c r="CU998" s="319" t="s">
        <v>173</v>
      </c>
      <c r="CV998" s="319" t="s">
        <v>173</v>
      </c>
      <c r="CW998" s="319" t="s">
        <v>173</v>
      </c>
      <c r="CX998" s="319" t="s">
        <v>173</v>
      </c>
      <c r="CY998" s="319" t="s">
        <v>173</v>
      </c>
      <c r="CZ998" s="319" t="s">
        <v>173</v>
      </c>
      <c r="DA998" s="319" t="s">
        <v>173</v>
      </c>
      <c r="DB998" s="319" t="s">
        <v>173</v>
      </c>
      <c r="DC998" s="319" t="s">
        <v>173</v>
      </c>
      <c r="DD998" s="319" t="s">
        <v>173</v>
      </c>
      <c r="DE998" s="319" t="s">
        <v>173</v>
      </c>
      <c r="DF998" s="319" t="s">
        <v>173</v>
      </c>
      <c r="DG998" s="319" t="s">
        <v>173</v>
      </c>
      <c r="DH998" s="319" t="s">
        <v>173</v>
      </c>
      <c r="DI998" s="319" t="s">
        <v>173</v>
      </c>
      <c r="DJ998" s="319" t="s">
        <v>173</v>
      </c>
      <c r="DK998" s="319" t="s">
        <v>173</v>
      </c>
      <c r="DL998" s="319" t="s">
        <v>173</v>
      </c>
      <c r="DM998" s="319" t="s">
        <v>173</v>
      </c>
      <c r="DN998" s="319" t="s">
        <v>173</v>
      </c>
      <c r="DO998" s="319" t="s">
        <v>173</v>
      </c>
      <c r="DP998" s="319" t="s">
        <v>173</v>
      </c>
      <c r="DQ998" s="319" t="s">
        <v>173</v>
      </c>
      <c r="DR998" s="319" t="s">
        <v>173</v>
      </c>
      <c r="DS998" s="319" t="s">
        <v>173</v>
      </c>
      <c r="DT998" s="319" t="s">
        <v>173</v>
      </c>
      <c r="DU998" s="319" t="s">
        <v>173</v>
      </c>
      <c r="DV998" s="319" t="s">
        <v>173</v>
      </c>
      <c r="DW998" s="319" t="s">
        <v>173</v>
      </c>
      <c r="DX998" s="319" t="s">
        <v>173</v>
      </c>
      <c r="DY998" s="319" t="s">
        <v>173</v>
      </c>
      <c r="DZ998" s="319" t="s">
        <v>173</v>
      </c>
      <c r="EA998" s="319" t="s">
        <v>173</v>
      </c>
      <c r="EB998" s="319" t="s">
        <v>173</v>
      </c>
      <c r="EC998" s="319" t="s">
        <v>173</v>
      </c>
      <c r="ED998" s="319" t="s">
        <v>173</v>
      </c>
      <c r="EE998" s="319" t="s">
        <v>173</v>
      </c>
      <c r="EF998" s="319" t="s">
        <v>173</v>
      </c>
      <c r="EG998" s="319" t="s">
        <v>173</v>
      </c>
      <c r="EH998" s="319" t="s">
        <v>173</v>
      </c>
      <c r="EI998" s="319" t="s">
        <v>173</v>
      </c>
      <c r="EJ998" s="319" t="s">
        <v>173</v>
      </c>
      <c r="EK998" s="319" t="s">
        <v>173</v>
      </c>
      <c r="EL998" s="319" t="s">
        <v>173</v>
      </c>
      <c r="EM998" s="319" t="s">
        <v>173</v>
      </c>
      <c r="EN998" s="319" t="s">
        <v>173</v>
      </c>
      <c r="EO998" s="319" t="s">
        <v>173</v>
      </c>
      <c r="EP998" s="319" t="s">
        <v>173</v>
      </c>
      <c r="EQ998" s="319" t="s">
        <v>173</v>
      </c>
      <c r="ER998" s="319" t="s">
        <v>173</v>
      </c>
      <c r="ES998" s="319" t="s">
        <v>173</v>
      </c>
      <c r="ET998" s="319" t="s">
        <v>173</v>
      </c>
      <c r="EU998" s="319" t="s">
        <v>173</v>
      </c>
      <c r="EV998" s="319" t="s">
        <v>173</v>
      </c>
      <c r="EW998" s="319" t="s">
        <v>173</v>
      </c>
      <c r="EX998" s="319" t="s">
        <v>173</v>
      </c>
      <c r="EY998" s="319" t="s">
        <v>173</v>
      </c>
      <c r="EZ998" s="319" t="s">
        <v>173</v>
      </c>
      <c r="FA998" s="319" t="s">
        <v>173</v>
      </c>
      <c r="FB998" s="319" t="s">
        <v>173</v>
      </c>
      <c r="FC998" s="319" t="s">
        <v>173</v>
      </c>
      <c r="FD998" s="319" t="s">
        <v>173</v>
      </c>
      <c r="FE998" s="319" t="s">
        <v>173</v>
      </c>
      <c r="FF998" s="319" t="s">
        <v>173</v>
      </c>
      <c r="FG998" s="319" t="s">
        <v>173</v>
      </c>
      <c r="FH998" s="319" t="s">
        <v>173</v>
      </c>
      <c r="FI998" s="319" t="s">
        <v>173</v>
      </c>
      <c r="FJ998" s="319" t="s">
        <v>173</v>
      </c>
      <c r="FK998" s="319" t="s">
        <v>173</v>
      </c>
      <c r="FL998" s="319" t="s">
        <v>173</v>
      </c>
      <c r="FM998" s="319" t="s">
        <v>173</v>
      </c>
      <c r="FN998" s="319" t="s">
        <v>173</v>
      </c>
      <c r="FO998" s="319" t="s">
        <v>173</v>
      </c>
      <c r="FP998" s="319" t="s">
        <v>173</v>
      </c>
      <c r="FQ998" s="319" t="s">
        <v>173</v>
      </c>
      <c r="FR998" s="319" t="s">
        <v>173</v>
      </c>
      <c r="FS998" s="319" t="s">
        <v>173</v>
      </c>
      <c r="FT998" s="319" t="s">
        <v>173</v>
      </c>
      <c r="FU998" s="319" t="s">
        <v>173</v>
      </c>
      <c r="FV998" s="319" t="s">
        <v>173</v>
      </c>
      <c r="FW998" s="319" t="s">
        <v>173</v>
      </c>
      <c r="FX998" s="319" t="s">
        <v>173</v>
      </c>
      <c r="FY998" s="319" t="s">
        <v>173</v>
      </c>
      <c r="FZ998" s="319" t="s">
        <v>173</v>
      </c>
      <c r="GA998" s="319" t="s">
        <v>173</v>
      </c>
      <c r="GB998" s="319" t="s">
        <v>173</v>
      </c>
      <c r="GC998" s="319" t="s">
        <v>173</v>
      </c>
      <c r="GD998" s="319" t="s">
        <v>173</v>
      </c>
      <c r="GE998" s="319" t="s">
        <v>173</v>
      </c>
      <c r="GF998" s="319" t="s">
        <v>173</v>
      </c>
      <c r="GG998" s="319" t="s">
        <v>173</v>
      </c>
      <c r="GH998" s="319" t="s">
        <v>173</v>
      </c>
      <c r="GI998" s="319" t="s">
        <v>173</v>
      </c>
      <c r="GJ998" s="319" t="s">
        <v>173</v>
      </c>
      <c r="GK998" s="319" t="s">
        <v>173</v>
      </c>
      <c r="GL998" s="319" t="s">
        <v>173</v>
      </c>
      <c r="GM998" s="319" t="s">
        <v>173</v>
      </c>
      <c r="GN998" s="319" t="s">
        <v>173</v>
      </c>
      <c r="GO998" s="319" t="s">
        <v>173</v>
      </c>
      <c r="GP998" s="319" t="s">
        <v>173</v>
      </c>
      <c r="GQ998" s="319" t="s">
        <v>173</v>
      </c>
      <c r="GR998" s="319" t="s">
        <v>173</v>
      </c>
      <c r="GS998" s="319" t="s">
        <v>173</v>
      </c>
      <c r="GT998" s="319" t="s">
        <v>173</v>
      </c>
      <c r="GU998" s="319" t="s">
        <v>173</v>
      </c>
      <c r="GV998" s="319" t="s">
        <v>173</v>
      </c>
      <c r="GW998" s="319" t="s">
        <v>173</v>
      </c>
      <c r="GX998" s="319" t="s">
        <v>173</v>
      </c>
      <c r="GY998" s="319" t="s">
        <v>173</v>
      </c>
      <c r="GZ998" s="319" t="s">
        <v>173</v>
      </c>
      <c r="HA998" s="319" t="s">
        <v>173</v>
      </c>
      <c r="HB998" s="319" t="s">
        <v>173</v>
      </c>
      <c r="HC998" s="319" t="s">
        <v>173</v>
      </c>
      <c r="HD998" s="319" t="s">
        <v>173</v>
      </c>
      <c r="HE998" s="319" t="s">
        <v>173</v>
      </c>
      <c r="HF998" s="319" t="s">
        <v>173</v>
      </c>
      <c r="HG998" s="319" t="s">
        <v>173</v>
      </c>
      <c r="HH998" s="319" t="s">
        <v>173</v>
      </c>
      <c r="HI998" s="319" t="s">
        <v>173</v>
      </c>
      <c r="HJ998" s="319" t="s">
        <v>173</v>
      </c>
      <c r="HK998" s="319" t="s">
        <v>173</v>
      </c>
      <c r="HL998" s="319" t="s">
        <v>173</v>
      </c>
      <c r="HM998" s="319" t="s">
        <v>173</v>
      </c>
      <c r="HN998" s="319" t="s">
        <v>173</v>
      </c>
      <c r="HO998" s="319" t="s">
        <v>173</v>
      </c>
      <c r="HP998" s="319" t="s">
        <v>173</v>
      </c>
      <c r="HQ998" s="319" t="s">
        <v>173</v>
      </c>
      <c r="HR998" s="319" t="s">
        <v>173</v>
      </c>
      <c r="HS998" s="319" t="s">
        <v>173</v>
      </c>
      <c r="HT998" s="319" t="s">
        <v>173</v>
      </c>
      <c r="HU998" s="319" t="s">
        <v>173</v>
      </c>
      <c r="HV998" s="319" t="s">
        <v>173</v>
      </c>
      <c r="HW998" s="319" t="s">
        <v>173</v>
      </c>
      <c r="HX998" s="319" t="s">
        <v>173</v>
      </c>
      <c r="HY998" s="319" t="s">
        <v>173</v>
      </c>
      <c r="HZ998" s="319" t="s">
        <v>173</v>
      </c>
      <c r="IA998" s="319" t="s">
        <v>173</v>
      </c>
      <c r="IB998" s="319" t="s">
        <v>173</v>
      </c>
      <c r="IC998" s="319" t="s">
        <v>173</v>
      </c>
      <c r="ID998" s="319" t="s">
        <v>173</v>
      </c>
      <c r="IE998" s="319" t="s">
        <v>173</v>
      </c>
      <c r="IF998" s="319" t="s">
        <v>173</v>
      </c>
      <c r="IG998" s="319" t="s">
        <v>173</v>
      </c>
      <c r="IH998" s="319" t="s">
        <v>173</v>
      </c>
      <c r="II998" s="319" t="s">
        <v>173</v>
      </c>
      <c r="IJ998" s="319" t="s">
        <v>173</v>
      </c>
      <c r="IK998" s="319" t="s">
        <v>173</v>
      </c>
      <c r="IL998" s="319" t="s">
        <v>173</v>
      </c>
      <c r="IM998" s="319" t="s">
        <v>173</v>
      </c>
      <c r="IN998" s="319" t="s">
        <v>173</v>
      </c>
      <c r="IO998" s="319" t="s">
        <v>173</v>
      </c>
      <c r="IP998" s="319" t="s">
        <v>173</v>
      </c>
      <c r="IQ998" s="319" t="s">
        <v>173</v>
      </c>
      <c r="IR998" s="320" t="s">
        <v>173</v>
      </c>
      <c r="IS998" s="320" t="s">
        <v>173</v>
      </c>
      <c r="IT998" s="319" t="s">
        <v>173</v>
      </c>
    </row>
    <row r="999" spans="1:254" s="271" customFormat="1" x14ac:dyDescent="0.25">
      <c r="A999" s="318" t="str">
        <f>HYPERLINK("http://www.ofsted.gov.uk/inspection-reports/find-inspection-report/provider/ELS/145960 ","Ofsted School Webpage")</f>
        <v>Ofsted School Webpage</v>
      </c>
      <c r="B999" s="319">
        <v>145960</v>
      </c>
      <c r="C999" s="319">
        <v>9266018</v>
      </c>
      <c r="D999" s="319" t="s">
        <v>2515</v>
      </c>
      <c r="E999" s="319" t="s">
        <v>168</v>
      </c>
      <c r="F999" s="319" t="s">
        <v>81</v>
      </c>
      <c r="G999" s="319" t="s">
        <v>81</v>
      </c>
      <c r="H999" s="319" t="s">
        <v>81</v>
      </c>
      <c r="I999" s="319" t="s">
        <v>78</v>
      </c>
      <c r="J999" s="319" t="s">
        <v>424</v>
      </c>
      <c r="K999" s="319" t="s">
        <v>451</v>
      </c>
      <c r="L999" s="319" t="s">
        <v>451</v>
      </c>
      <c r="M999" s="319" t="s">
        <v>463</v>
      </c>
      <c r="N999" s="319" t="s">
        <v>3009</v>
      </c>
      <c r="O999" s="319" t="s">
        <v>2516</v>
      </c>
      <c r="P999" s="319">
        <v>10</v>
      </c>
      <c r="Q999" s="319" t="s">
        <v>429</v>
      </c>
      <c r="R999" s="320">
        <v>10084577</v>
      </c>
      <c r="S999" s="321">
        <v>43536</v>
      </c>
      <c r="T999" s="321">
        <v>43538</v>
      </c>
      <c r="U999" s="321">
        <v>43587</v>
      </c>
      <c r="V999" s="319" t="s">
        <v>435</v>
      </c>
      <c r="W999" s="319" t="s">
        <v>2767</v>
      </c>
      <c r="X999" s="319">
        <v>3</v>
      </c>
      <c r="Y999" s="319" t="s">
        <v>173</v>
      </c>
      <c r="Z999" s="319" t="s">
        <v>173</v>
      </c>
      <c r="AA999" s="319" t="s">
        <v>173</v>
      </c>
      <c r="AB999" s="319">
        <v>3</v>
      </c>
      <c r="AC999" s="319" t="s">
        <v>169</v>
      </c>
      <c r="AD999" s="319" t="s">
        <v>173</v>
      </c>
      <c r="AE999" s="319" t="s">
        <v>173</v>
      </c>
      <c r="AF999" s="319" t="s">
        <v>427</v>
      </c>
      <c r="AG999" s="319" t="s">
        <v>172</v>
      </c>
      <c r="AH999" s="319" t="s">
        <v>479</v>
      </c>
      <c r="AI999" s="319" t="s">
        <v>190</v>
      </c>
      <c r="AJ999" s="319" t="s">
        <v>190</v>
      </c>
      <c r="AK999" s="319" t="s">
        <v>190</v>
      </c>
      <c r="AL999" s="319" t="s">
        <v>190</v>
      </c>
      <c r="AM999" s="319" t="s">
        <v>190</v>
      </c>
      <c r="AN999" s="319" t="s">
        <v>190</v>
      </c>
      <c r="AO999" s="319" t="s">
        <v>479</v>
      </c>
      <c r="AP999" s="319" t="s">
        <v>191</v>
      </c>
      <c r="AQ999" s="319" t="s">
        <v>191</v>
      </c>
      <c r="AR999" s="319" t="s">
        <v>191</v>
      </c>
      <c r="AS999" s="319" t="s">
        <v>191</v>
      </c>
      <c r="AT999" s="319" t="s">
        <v>190</v>
      </c>
      <c r="AU999" s="319" t="s">
        <v>190</v>
      </c>
      <c r="AV999" s="319" t="s">
        <v>190</v>
      </c>
      <c r="AW999" s="319" t="s">
        <v>190</v>
      </c>
      <c r="AX999" s="319" t="s">
        <v>428</v>
      </c>
      <c r="AY999" s="319" t="s">
        <v>190</v>
      </c>
      <c r="AZ999" s="319" t="s">
        <v>190</v>
      </c>
      <c r="BA999" s="319" t="s">
        <v>190</v>
      </c>
      <c r="BB999" s="319" t="s">
        <v>190</v>
      </c>
      <c r="BC999" s="319" t="s">
        <v>190</v>
      </c>
      <c r="BD999" s="319" t="s">
        <v>190</v>
      </c>
      <c r="BE999" s="319" t="s">
        <v>190</v>
      </c>
      <c r="BF999" s="319" t="s">
        <v>428</v>
      </c>
      <c r="BG999" s="319" t="s">
        <v>428</v>
      </c>
      <c r="BH999" s="319" t="s">
        <v>190</v>
      </c>
      <c r="BI999" s="319" t="s">
        <v>190</v>
      </c>
      <c r="BJ999" s="319" t="s">
        <v>191</v>
      </c>
      <c r="BK999" s="319" t="s">
        <v>191</v>
      </c>
      <c r="BL999" s="319" t="s">
        <v>190</v>
      </c>
      <c r="BM999" s="319" t="s">
        <v>191</v>
      </c>
      <c r="BN999" s="319" t="s">
        <v>191</v>
      </c>
      <c r="BO999" s="319" t="s">
        <v>190</v>
      </c>
      <c r="BP999" s="319" t="s">
        <v>190</v>
      </c>
      <c r="BQ999" s="319" t="s">
        <v>190</v>
      </c>
      <c r="BR999" s="319" t="s">
        <v>190</v>
      </c>
      <c r="BS999" s="319" t="s">
        <v>190</v>
      </c>
      <c r="BT999" s="319" t="s">
        <v>190</v>
      </c>
      <c r="BU999" s="319" t="s">
        <v>190</v>
      </c>
      <c r="BV999" s="319" t="s">
        <v>190</v>
      </c>
      <c r="BW999" s="319" t="s">
        <v>190</v>
      </c>
      <c r="BX999" s="319" t="s">
        <v>190</v>
      </c>
      <c r="BY999" s="319" t="s">
        <v>190</v>
      </c>
      <c r="BZ999" s="319" t="s">
        <v>190</v>
      </c>
      <c r="CA999" s="319" t="s">
        <v>190</v>
      </c>
      <c r="CB999" s="319" t="s">
        <v>190</v>
      </c>
      <c r="CC999" s="319" t="s">
        <v>190</v>
      </c>
      <c r="CD999" s="319" t="s">
        <v>190</v>
      </c>
      <c r="CE999" s="319" t="s">
        <v>190</v>
      </c>
      <c r="CF999" s="319" t="s">
        <v>190</v>
      </c>
      <c r="CG999" s="319" t="s">
        <v>190</v>
      </c>
      <c r="CH999" s="319" t="s">
        <v>190</v>
      </c>
      <c r="CI999" s="319" t="s">
        <v>190</v>
      </c>
      <c r="CJ999" s="319" t="s">
        <v>190</v>
      </c>
      <c r="CK999" s="319" t="s">
        <v>190</v>
      </c>
      <c r="CL999" s="319" t="s">
        <v>190</v>
      </c>
      <c r="CM999" s="319" t="s">
        <v>190</v>
      </c>
      <c r="CN999" s="319" t="s">
        <v>428</v>
      </c>
      <c r="CO999" s="319" t="s">
        <v>428</v>
      </c>
      <c r="CP999" s="319" t="s">
        <v>428</v>
      </c>
      <c r="CQ999" s="319" t="s">
        <v>190</v>
      </c>
      <c r="CR999" s="319" t="s">
        <v>190</v>
      </c>
      <c r="CS999" s="319" t="s">
        <v>190</v>
      </c>
      <c r="CT999" s="319" t="s">
        <v>190</v>
      </c>
      <c r="CU999" s="319" t="s">
        <v>190</v>
      </c>
      <c r="CV999" s="319" t="s">
        <v>190</v>
      </c>
      <c r="CW999" s="319" t="s">
        <v>190</v>
      </c>
      <c r="CX999" s="319" t="s">
        <v>190</v>
      </c>
      <c r="CY999" s="319" t="s">
        <v>190</v>
      </c>
      <c r="CZ999" s="319" t="s">
        <v>190</v>
      </c>
      <c r="DA999" s="319" t="s">
        <v>190</v>
      </c>
      <c r="DB999" s="319" t="s">
        <v>190</v>
      </c>
      <c r="DC999" s="319" t="s">
        <v>190</v>
      </c>
      <c r="DD999" s="319" t="s">
        <v>190</v>
      </c>
      <c r="DE999" s="319" t="s">
        <v>190</v>
      </c>
      <c r="DF999" s="319" t="s">
        <v>190</v>
      </c>
      <c r="DG999" s="319" t="s">
        <v>190</v>
      </c>
      <c r="DH999" s="319" t="s">
        <v>190</v>
      </c>
      <c r="DI999" s="319" t="s">
        <v>190</v>
      </c>
      <c r="DJ999" s="319" t="s">
        <v>190</v>
      </c>
      <c r="DK999" s="319" t="s">
        <v>190</v>
      </c>
      <c r="DL999" s="319" t="s">
        <v>190</v>
      </c>
      <c r="DM999" s="319" t="s">
        <v>190</v>
      </c>
      <c r="DN999" s="319" t="s">
        <v>428</v>
      </c>
      <c r="DO999" s="319" t="s">
        <v>190</v>
      </c>
      <c r="DP999" s="319" t="s">
        <v>190</v>
      </c>
      <c r="DQ999" s="319" t="s">
        <v>190</v>
      </c>
      <c r="DR999" s="319" t="s">
        <v>190</v>
      </c>
      <c r="DS999" s="319" t="s">
        <v>190</v>
      </c>
      <c r="DT999" s="319" t="s">
        <v>190</v>
      </c>
      <c r="DU999" s="319" t="s">
        <v>190</v>
      </c>
      <c r="DV999" s="319" t="s">
        <v>173</v>
      </c>
      <c r="DW999" s="319" t="s">
        <v>190</v>
      </c>
      <c r="DX999" s="319" t="s">
        <v>190</v>
      </c>
      <c r="DY999" s="319" t="s">
        <v>190</v>
      </c>
      <c r="DZ999" s="319" t="s">
        <v>190</v>
      </c>
      <c r="EA999" s="319" t="s">
        <v>190</v>
      </c>
      <c r="EB999" s="319" t="s">
        <v>190</v>
      </c>
      <c r="EC999" s="319" t="s">
        <v>428</v>
      </c>
      <c r="ED999" s="319" t="s">
        <v>190</v>
      </c>
      <c r="EE999" s="319" t="s">
        <v>190</v>
      </c>
      <c r="EF999" s="319" t="s">
        <v>190</v>
      </c>
      <c r="EG999" s="319" t="s">
        <v>190</v>
      </c>
      <c r="EH999" s="319" t="s">
        <v>190</v>
      </c>
      <c r="EI999" s="319" t="s">
        <v>190</v>
      </c>
      <c r="EJ999" s="319" t="s">
        <v>190</v>
      </c>
      <c r="EK999" s="319" t="s">
        <v>190</v>
      </c>
      <c r="EL999" s="319" t="s">
        <v>190</v>
      </c>
      <c r="EM999" s="319" t="s">
        <v>190</v>
      </c>
      <c r="EN999" s="319" t="s">
        <v>190</v>
      </c>
      <c r="EO999" s="319" t="s">
        <v>190</v>
      </c>
      <c r="EP999" s="319" t="s">
        <v>190</v>
      </c>
      <c r="EQ999" s="319" t="s">
        <v>190</v>
      </c>
      <c r="ER999" s="319" t="s">
        <v>190</v>
      </c>
      <c r="ES999" s="319" t="s">
        <v>190</v>
      </c>
      <c r="ET999" s="319" t="s">
        <v>190</v>
      </c>
      <c r="EU999" s="319" t="s">
        <v>190</v>
      </c>
      <c r="EV999" s="319" t="s">
        <v>190</v>
      </c>
      <c r="EW999" s="319" t="s">
        <v>190</v>
      </c>
      <c r="EX999" s="319" t="s">
        <v>190</v>
      </c>
      <c r="EY999" s="319" t="s">
        <v>190</v>
      </c>
      <c r="EZ999" s="319" t="s">
        <v>190</v>
      </c>
      <c r="FA999" s="319" t="s">
        <v>428</v>
      </c>
      <c r="FB999" s="319" t="s">
        <v>190</v>
      </c>
      <c r="FC999" s="319" t="s">
        <v>190</v>
      </c>
      <c r="FD999" s="319" t="s">
        <v>190</v>
      </c>
      <c r="FE999" s="319" t="s">
        <v>190</v>
      </c>
      <c r="FF999" s="319" t="s">
        <v>190</v>
      </c>
      <c r="FG999" s="319" t="s">
        <v>190</v>
      </c>
      <c r="FH999" s="319" t="s">
        <v>190</v>
      </c>
      <c r="FI999" s="319" t="s">
        <v>190</v>
      </c>
      <c r="FJ999" s="319" t="s">
        <v>190</v>
      </c>
      <c r="FK999" s="319" t="s">
        <v>190</v>
      </c>
      <c r="FL999" s="319" t="s">
        <v>190</v>
      </c>
      <c r="FM999" s="319" t="s">
        <v>190</v>
      </c>
      <c r="FN999" s="319" t="s">
        <v>190</v>
      </c>
      <c r="FO999" s="319" t="s">
        <v>190</v>
      </c>
      <c r="FP999" s="319" t="s">
        <v>190</v>
      </c>
      <c r="FQ999" s="319" t="s">
        <v>190</v>
      </c>
      <c r="FR999" s="319" t="s">
        <v>190</v>
      </c>
      <c r="FS999" s="319" t="s">
        <v>428</v>
      </c>
      <c r="FT999" s="319" t="s">
        <v>190</v>
      </c>
      <c r="FU999" s="319" t="s">
        <v>190</v>
      </c>
      <c r="FV999" s="319" t="s">
        <v>190</v>
      </c>
      <c r="FW999" s="319" t="s">
        <v>190</v>
      </c>
      <c r="FX999" s="319" t="s">
        <v>190</v>
      </c>
      <c r="FY999" s="319" t="s">
        <v>190</v>
      </c>
      <c r="FZ999" s="319" t="s">
        <v>190</v>
      </c>
      <c r="GA999" s="319" t="s">
        <v>190</v>
      </c>
      <c r="GB999" s="319" t="s">
        <v>190</v>
      </c>
      <c r="GC999" s="319" t="s">
        <v>190</v>
      </c>
      <c r="GD999" s="319" t="s">
        <v>190</v>
      </c>
      <c r="GE999" s="319" t="s">
        <v>190</v>
      </c>
      <c r="GF999" s="319" t="s">
        <v>190</v>
      </c>
      <c r="GG999" s="319" t="s">
        <v>190</v>
      </c>
      <c r="GH999" s="319" t="s">
        <v>190</v>
      </c>
      <c r="GI999" s="319" t="s">
        <v>190</v>
      </c>
      <c r="GJ999" s="319" t="s">
        <v>190</v>
      </c>
      <c r="GK999" s="319" t="s">
        <v>428</v>
      </c>
      <c r="GL999" s="319" t="s">
        <v>190</v>
      </c>
      <c r="GM999" s="319" t="s">
        <v>190</v>
      </c>
      <c r="GN999" s="319" t="s">
        <v>190</v>
      </c>
      <c r="GO999" s="319" t="s">
        <v>190</v>
      </c>
      <c r="GP999" s="319" t="s">
        <v>190</v>
      </c>
      <c r="GQ999" s="319" t="s">
        <v>428</v>
      </c>
      <c r="GR999" s="319" t="s">
        <v>190</v>
      </c>
      <c r="GS999" s="319" t="s">
        <v>190</v>
      </c>
      <c r="GT999" s="319" t="s">
        <v>190</v>
      </c>
      <c r="GU999" s="319" t="s">
        <v>190</v>
      </c>
      <c r="GV999" s="319" t="s">
        <v>190</v>
      </c>
      <c r="GW999" s="319" t="s">
        <v>190</v>
      </c>
      <c r="GX999" s="319" t="s">
        <v>190</v>
      </c>
      <c r="GY999" s="319" t="s">
        <v>190</v>
      </c>
      <c r="GZ999" s="319" t="s">
        <v>428</v>
      </c>
      <c r="HA999" s="319" t="s">
        <v>190</v>
      </c>
      <c r="HB999" s="319" t="s">
        <v>428</v>
      </c>
      <c r="HC999" s="319" t="s">
        <v>190</v>
      </c>
      <c r="HD999" s="319" t="s">
        <v>190</v>
      </c>
      <c r="HE999" s="319" t="s">
        <v>190</v>
      </c>
      <c r="HF999" s="319" t="s">
        <v>190</v>
      </c>
      <c r="HG999" s="319" t="s">
        <v>190</v>
      </c>
      <c r="HH999" s="319" t="s">
        <v>190</v>
      </c>
      <c r="HI999" s="319" t="s">
        <v>428</v>
      </c>
      <c r="HJ999" s="319" t="s">
        <v>428</v>
      </c>
      <c r="HK999" s="319" t="s">
        <v>190</v>
      </c>
      <c r="HL999" s="319" t="s">
        <v>190</v>
      </c>
      <c r="HM999" s="319" t="s">
        <v>190</v>
      </c>
      <c r="HN999" s="319" t="s">
        <v>190</v>
      </c>
      <c r="HO999" s="319" t="s">
        <v>190</v>
      </c>
      <c r="HP999" s="319" t="s">
        <v>190</v>
      </c>
      <c r="HQ999" s="319" t="s">
        <v>190</v>
      </c>
      <c r="HR999" s="319" t="s">
        <v>190</v>
      </c>
      <c r="HS999" s="319" t="s">
        <v>190</v>
      </c>
      <c r="HT999" s="319" t="s">
        <v>190</v>
      </c>
      <c r="HU999" s="319" t="s">
        <v>190</v>
      </c>
      <c r="HV999" s="319" t="s">
        <v>190</v>
      </c>
      <c r="HW999" s="319" t="s">
        <v>190</v>
      </c>
      <c r="HX999" s="319" t="s">
        <v>190</v>
      </c>
      <c r="HY999" s="319" t="s">
        <v>190</v>
      </c>
      <c r="HZ999" s="319" t="s">
        <v>190</v>
      </c>
      <c r="IA999" s="319" t="s">
        <v>190</v>
      </c>
      <c r="IB999" s="319" t="s">
        <v>190</v>
      </c>
      <c r="IC999" s="319" t="s">
        <v>190</v>
      </c>
      <c r="ID999" s="319" t="s">
        <v>190</v>
      </c>
      <c r="IE999" s="319" t="s">
        <v>190</v>
      </c>
      <c r="IF999" s="319" t="s">
        <v>191</v>
      </c>
      <c r="IG999" s="319" t="s">
        <v>191</v>
      </c>
      <c r="IH999" s="319" t="s">
        <v>191</v>
      </c>
      <c r="II999" s="319" t="s">
        <v>190</v>
      </c>
      <c r="IJ999" s="319" t="s">
        <v>173</v>
      </c>
      <c r="IK999" s="319" t="s">
        <v>173</v>
      </c>
      <c r="IL999" s="319" t="s">
        <v>173</v>
      </c>
      <c r="IM999" s="319" t="s">
        <v>173</v>
      </c>
      <c r="IN999" s="319" t="s">
        <v>173</v>
      </c>
      <c r="IO999" s="319">
        <v>10119763</v>
      </c>
      <c r="IP999" s="319" t="s">
        <v>985</v>
      </c>
      <c r="IQ999" s="321">
        <v>43719</v>
      </c>
      <c r="IR999" s="320" t="s">
        <v>2771</v>
      </c>
      <c r="IS999" s="322">
        <v>43745</v>
      </c>
      <c r="IT999" s="319" t="s">
        <v>165</v>
      </c>
    </row>
    <row r="1000" spans="1:254" s="271" customFormat="1" x14ac:dyDescent="0.25">
      <c r="A1000" s="318" t="str">
        <f>HYPERLINK("http://www.ofsted.gov.uk/inspection-reports/find-inspection-report/provider/ELS/145962 ","Ofsted School Webpage")</f>
        <v>Ofsted School Webpage</v>
      </c>
      <c r="B1000" s="319">
        <v>145962</v>
      </c>
      <c r="C1000" s="319">
        <v>9196009</v>
      </c>
      <c r="D1000" s="319" t="s">
        <v>2517</v>
      </c>
      <c r="E1000" s="319" t="s">
        <v>168</v>
      </c>
      <c r="F1000" s="319" t="s">
        <v>81</v>
      </c>
      <c r="G1000" s="319" t="s">
        <v>81</v>
      </c>
      <c r="H1000" s="319" t="s">
        <v>81</v>
      </c>
      <c r="I1000" s="319" t="s">
        <v>78</v>
      </c>
      <c r="J1000" s="319" t="s">
        <v>424</v>
      </c>
      <c r="K1000" s="319" t="s">
        <v>451</v>
      </c>
      <c r="L1000" s="319" t="s">
        <v>451</v>
      </c>
      <c r="M1000" s="319" t="s">
        <v>489</v>
      </c>
      <c r="N1000" s="319" t="s">
        <v>2969</v>
      </c>
      <c r="O1000" s="319" t="s">
        <v>2518</v>
      </c>
      <c r="P1000" s="319">
        <v>16</v>
      </c>
      <c r="Q1000" s="319" t="s">
        <v>429</v>
      </c>
      <c r="R1000" s="320">
        <v>10084578</v>
      </c>
      <c r="S1000" s="321">
        <v>43543</v>
      </c>
      <c r="T1000" s="321">
        <v>43545</v>
      </c>
      <c r="U1000" s="321">
        <v>43599</v>
      </c>
      <c r="V1000" s="319" t="s">
        <v>435</v>
      </c>
      <c r="W1000" s="319" t="s">
        <v>2767</v>
      </c>
      <c r="X1000" s="319">
        <v>4</v>
      </c>
      <c r="Y1000" s="319" t="s">
        <v>173</v>
      </c>
      <c r="Z1000" s="319" t="s">
        <v>173</v>
      </c>
      <c r="AA1000" s="319" t="s">
        <v>173</v>
      </c>
      <c r="AB1000" s="319">
        <v>4</v>
      </c>
      <c r="AC1000" s="319" t="s">
        <v>170</v>
      </c>
      <c r="AD1000" s="319" t="s">
        <v>173</v>
      </c>
      <c r="AE1000" s="319">
        <v>3</v>
      </c>
      <c r="AF1000" s="319" t="s">
        <v>427</v>
      </c>
      <c r="AG1000" s="319" t="s">
        <v>172</v>
      </c>
      <c r="AH1000" s="319" t="s">
        <v>479</v>
      </c>
      <c r="AI1000" s="319" t="s">
        <v>190</v>
      </c>
      <c r="AJ1000" s="319" t="s">
        <v>479</v>
      </c>
      <c r="AK1000" s="319" t="s">
        <v>190</v>
      </c>
      <c r="AL1000" s="319" t="s">
        <v>479</v>
      </c>
      <c r="AM1000" s="319" t="s">
        <v>479</v>
      </c>
      <c r="AN1000" s="319" t="s">
        <v>190</v>
      </c>
      <c r="AO1000" s="319" t="s">
        <v>479</v>
      </c>
      <c r="AP1000" s="319" t="s">
        <v>191</v>
      </c>
      <c r="AQ1000" s="319" t="s">
        <v>191</v>
      </c>
      <c r="AR1000" s="319" t="s">
        <v>191</v>
      </c>
      <c r="AS1000" s="319" t="s">
        <v>191</v>
      </c>
      <c r="AT1000" s="319" t="s">
        <v>190</v>
      </c>
      <c r="AU1000" s="319" t="s">
        <v>191</v>
      </c>
      <c r="AV1000" s="319" t="s">
        <v>190</v>
      </c>
      <c r="AW1000" s="319" t="s">
        <v>190</v>
      </c>
      <c r="AX1000" s="319" t="s">
        <v>428</v>
      </c>
      <c r="AY1000" s="319" t="s">
        <v>191</v>
      </c>
      <c r="AZ1000" s="319" t="s">
        <v>191</v>
      </c>
      <c r="BA1000" s="319" t="s">
        <v>190</v>
      </c>
      <c r="BB1000" s="319" t="s">
        <v>190</v>
      </c>
      <c r="BC1000" s="319" t="s">
        <v>190</v>
      </c>
      <c r="BD1000" s="319" t="s">
        <v>190</v>
      </c>
      <c r="BE1000" s="319" t="s">
        <v>190</v>
      </c>
      <c r="BF1000" s="319" t="s">
        <v>428</v>
      </c>
      <c r="BG1000" s="319" t="s">
        <v>191</v>
      </c>
      <c r="BH1000" s="319" t="s">
        <v>190</v>
      </c>
      <c r="BI1000" s="319" t="s">
        <v>190</v>
      </c>
      <c r="BJ1000" s="319" t="s">
        <v>191</v>
      </c>
      <c r="BK1000" s="319" t="s">
        <v>191</v>
      </c>
      <c r="BL1000" s="319" t="s">
        <v>190</v>
      </c>
      <c r="BM1000" s="319" t="s">
        <v>191</v>
      </c>
      <c r="BN1000" s="319" t="s">
        <v>191</v>
      </c>
      <c r="BO1000" s="319" t="s">
        <v>191</v>
      </c>
      <c r="BP1000" s="319" t="s">
        <v>190</v>
      </c>
      <c r="BQ1000" s="319" t="s">
        <v>191</v>
      </c>
      <c r="BR1000" s="319" t="s">
        <v>190</v>
      </c>
      <c r="BS1000" s="319" t="s">
        <v>190</v>
      </c>
      <c r="BT1000" s="319" t="s">
        <v>190</v>
      </c>
      <c r="BU1000" s="319" t="s">
        <v>190</v>
      </c>
      <c r="BV1000" s="319" t="s">
        <v>190</v>
      </c>
      <c r="BW1000" s="319" t="s">
        <v>190</v>
      </c>
      <c r="BX1000" s="319" t="s">
        <v>190</v>
      </c>
      <c r="BY1000" s="319" t="s">
        <v>190</v>
      </c>
      <c r="BZ1000" s="319" t="s">
        <v>190</v>
      </c>
      <c r="CA1000" s="319" t="s">
        <v>190</v>
      </c>
      <c r="CB1000" s="319" t="s">
        <v>190</v>
      </c>
      <c r="CC1000" s="319" t="s">
        <v>190</v>
      </c>
      <c r="CD1000" s="319" t="s">
        <v>190</v>
      </c>
      <c r="CE1000" s="319" t="s">
        <v>190</v>
      </c>
      <c r="CF1000" s="319" t="s">
        <v>190</v>
      </c>
      <c r="CG1000" s="319" t="s">
        <v>190</v>
      </c>
      <c r="CH1000" s="319" t="s">
        <v>190</v>
      </c>
      <c r="CI1000" s="319" t="s">
        <v>190</v>
      </c>
      <c r="CJ1000" s="319" t="s">
        <v>190</v>
      </c>
      <c r="CK1000" s="319" t="s">
        <v>191</v>
      </c>
      <c r="CL1000" s="319" t="s">
        <v>191</v>
      </c>
      <c r="CM1000" s="319" t="s">
        <v>191</v>
      </c>
      <c r="CN1000" s="319" t="s">
        <v>428</v>
      </c>
      <c r="CO1000" s="319" t="s">
        <v>428</v>
      </c>
      <c r="CP1000" s="319" t="s">
        <v>428</v>
      </c>
      <c r="CQ1000" s="319" t="s">
        <v>191</v>
      </c>
      <c r="CR1000" s="319" t="s">
        <v>190</v>
      </c>
      <c r="CS1000" s="319" t="s">
        <v>191</v>
      </c>
      <c r="CT1000" s="319" t="s">
        <v>191</v>
      </c>
      <c r="CU1000" s="319" t="s">
        <v>190</v>
      </c>
      <c r="CV1000" s="319" t="s">
        <v>191</v>
      </c>
      <c r="CW1000" s="319" t="s">
        <v>190</v>
      </c>
      <c r="CX1000" s="319" t="s">
        <v>191</v>
      </c>
      <c r="CY1000" s="319" t="s">
        <v>190</v>
      </c>
      <c r="CZ1000" s="319" t="s">
        <v>190</v>
      </c>
      <c r="DA1000" s="319" t="s">
        <v>191</v>
      </c>
      <c r="DB1000" s="319" t="s">
        <v>191</v>
      </c>
      <c r="DC1000" s="319" t="s">
        <v>191</v>
      </c>
      <c r="DD1000" s="319" t="s">
        <v>190</v>
      </c>
      <c r="DE1000" s="319" t="s">
        <v>190</v>
      </c>
      <c r="DF1000" s="319" t="s">
        <v>190</v>
      </c>
      <c r="DG1000" s="319" t="s">
        <v>190</v>
      </c>
      <c r="DH1000" s="319" t="s">
        <v>190</v>
      </c>
      <c r="DI1000" s="319" t="s">
        <v>190</v>
      </c>
      <c r="DJ1000" s="319" t="s">
        <v>190</v>
      </c>
      <c r="DK1000" s="319" t="s">
        <v>190</v>
      </c>
      <c r="DL1000" s="319" t="s">
        <v>190</v>
      </c>
      <c r="DM1000" s="319" t="s">
        <v>190</v>
      </c>
      <c r="DN1000" s="319" t="s">
        <v>428</v>
      </c>
      <c r="DO1000" s="319" t="s">
        <v>190</v>
      </c>
      <c r="DP1000" s="319" t="s">
        <v>190</v>
      </c>
      <c r="DQ1000" s="319" t="s">
        <v>190</v>
      </c>
      <c r="DR1000" s="319" t="s">
        <v>190</v>
      </c>
      <c r="DS1000" s="319" t="s">
        <v>190</v>
      </c>
      <c r="DT1000" s="319" t="s">
        <v>190</v>
      </c>
      <c r="DU1000" s="319" t="s">
        <v>190</v>
      </c>
      <c r="DV1000" s="319" t="s">
        <v>173</v>
      </c>
      <c r="DW1000" s="319" t="s">
        <v>190</v>
      </c>
      <c r="DX1000" s="319" t="s">
        <v>190</v>
      </c>
      <c r="DY1000" s="319" t="s">
        <v>190</v>
      </c>
      <c r="DZ1000" s="319" t="s">
        <v>190</v>
      </c>
      <c r="EA1000" s="319" t="s">
        <v>190</v>
      </c>
      <c r="EB1000" s="319" t="s">
        <v>190</v>
      </c>
      <c r="EC1000" s="319" t="s">
        <v>428</v>
      </c>
      <c r="ED1000" s="319" t="s">
        <v>190</v>
      </c>
      <c r="EE1000" s="319" t="s">
        <v>428</v>
      </c>
      <c r="EF1000" s="319" t="s">
        <v>428</v>
      </c>
      <c r="EG1000" s="319" t="s">
        <v>428</v>
      </c>
      <c r="EH1000" s="319" t="s">
        <v>428</v>
      </c>
      <c r="EI1000" s="319" t="s">
        <v>428</v>
      </c>
      <c r="EJ1000" s="319" t="s">
        <v>428</v>
      </c>
      <c r="EK1000" s="319" t="s">
        <v>428</v>
      </c>
      <c r="EL1000" s="319" t="s">
        <v>428</v>
      </c>
      <c r="EM1000" s="319" t="s">
        <v>428</v>
      </c>
      <c r="EN1000" s="319" t="s">
        <v>190</v>
      </c>
      <c r="EO1000" s="319" t="s">
        <v>190</v>
      </c>
      <c r="EP1000" s="319" t="s">
        <v>190</v>
      </c>
      <c r="EQ1000" s="319" t="s">
        <v>190</v>
      </c>
      <c r="ER1000" s="319" t="s">
        <v>190</v>
      </c>
      <c r="ES1000" s="319" t="s">
        <v>190</v>
      </c>
      <c r="ET1000" s="319" t="s">
        <v>190</v>
      </c>
      <c r="EU1000" s="319" t="s">
        <v>190</v>
      </c>
      <c r="EV1000" s="319" t="s">
        <v>190</v>
      </c>
      <c r="EW1000" s="319" t="s">
        <v>190</v>
      </c>
      <c r="EX1000" s="319" t="s">
        <v>190</v>
      </c>
      <c r="EY1000" s="319" t="s">
        <v>190</v>
      </c>
      <c r="EZ1000" s="319" t="s">
        <v>190</v>
      </c>
      <c r="FA1000" s="319" t="s">
        <v>428</v>
      </c>
      <c r="FB1000" s="319" t="s">
        <v>190</v>
      </c>
      <c r="FC1000" s="319" t="s">
        <v>190</v>
      </c>
      <c r="FD1000" s="319" t="s">
        <v>190</v>
      </c>
      <c r="FE1000" s="319" t="s">
        <v>190</v>
      </c>
      <c r="FF1000" s="319" t="s">
        <v>190</v>
      </c>
      <c r="FG1000" s="319" t="s">
        <v>190</v>
      </c>
      <c r="FH1000" s="319" t="s">
        <v>428</v>
      </c>
      <c r="FI1000" s="319" t="s">
        <v>428</v>
      </c>
      <c r="FJ1000" s="319" t="s">
        <v>429</v>
      </c>
      <c r="FK1000" s="319" t="s">
        <v>428</v>
      </c>
      <c r="FL1000" s="319" t="s">
        <v>190</v>
      </c>
      <c r="FM1000" s="319" t="s">
        <v>190</v>
      </c>
      <c r="FN1000" s="319" t="s">
        <v>190</v>
      </c>
      <c r="FO1000" s="319" t="s">
        <v>190</v>
      </c>
      <c r="FP1000" s="319" t="s">
        <v>190</v>
      </c>
      <c r="FQ1000" s="319" t="s">
        <v>190</v>
      </c>
      <c r="FR1000" s="319" t="s">
        <v>190</v>
      </c>
      <c r="FS1000" s="319" t="s">
        <v>190</v>
      </c>
      <c r="FT1000" s="319" t="s">
        <v>190</v>
      </c>
      <c r="FU1000" s="319" t="s">
        <v>190</v>
      </c>
      <c r="FV1000" s="319" t="s">
        <v>190</v>
      </c>
      <c r="FW1000" s="319" t="s">
        <v>190</v>
      </c>
      <c r="FX1000" s="319" t="s">
        <v>190</v>
      </c>
      <c r="FY1000" s="319" t="s">
        <v>190</v>
      </c>
      <c r="FZ1000" s="319" t="s">
        <v>191</v>
      </c>
      <c r="GA1000" s="319" t="s">
        <v>191</v>
      </c>
      <c r="GB1000" s="319" t="s">
        <v>190</v>
      </c>
      <c r="GC1000" s="319" t="s">
        <v>191</v>
      </c>
      <c r="GD1000" s="319" t="s">
        <v>190</v>
      </c>
      <c r="GE1000" s="319" t="s">
        <v>191</v>
      </c>
      <c r="GF1000" s="319" t="s">
        <v>191</v>
      </c>
      <c r="GG1000" s="319" t="s">
        <v>191</v>
      </c>
      <c r="GH1000" s="319" t="s">
        <v>190</v>
      </c>
      <c r="GI1000" s="319" t="s">
        <v>190</v>
      </c>
      <c r="GJ1000" s="319" t="s">
        <v>190</v>
      </c>
      <c r="GK1000" s="319" t="s">
        <v>428</v>
      </c>
      <c r="GL1000" s="319" t="s">
        <v>191</v>
      </c>
      <c r="GM1000" s="319" t="s">
        <v>190</v>
      </c>
      <c r="GN1000" s="319" t="s">
        <v>191</v>
      </c>
      <c r="GO1000" s="319" t="s">
        <v>190</v>
      </c>
      <c r="GP1000" s="319" t="s">
        <v>428</v>
      </c>
      <c r="GQ1000" s="319" t="s">
        <v>428</v>
      </c>
      <c r="GR1000" s="319" t="s">
        <v>190</v>
      </c>
      <c r="GS1000" s="319" t="s">
        <v>190</v>
      </c>
      <c r="GT1000" s="319" t="s">
        <v>191</v>
      </c>
      <c r="GU1000" s="319" t="s">
        <v>191</v>
      </c>
      <c r="GV1000" s="319" t="s">
        <v>428</v>
      </c>
      <c r="GW1000" s="319" t="s">
        <v>190</v>
      </c>
      <c r="GX1000" s="319" t="s">
        <v>190</v>
      </c>
      <c r="GY1000" s="319" t="s">
        <v>190</v>
      </c>
      <c r="GZ1000" s="319" t="s">
        <v>190</v>
      </c>
      <c r="HA1000" s="319" t="s">
        <v>428</v>
      </c>
      <c r="HB1000" s="319" t="s">
        <v>190</v>
      </c>
      <c r="HC1000" s="319" t="s">
        <v>190</v>
      </c>
      <c r="HD1000" s="319" t="s">
        <v>191</v>
      </c>
      <c r="HE1000" s="319" t="s">
        <v>190</v>
      </c>
      <c r="HF1000" s="319" t="s">
        <v>190</v>
      </c>
      <c r="HG1000" s="319" t="s">
        <v>191</v>
      </c>
      <c r="HH1000" s="319" t="s">
        <v>190</v>
      </c>
      <c r="HI1000" s="319" t="s">
        <v>428</v>
      </c>
      <c r="HJ1000" s="319" t="s">
        <v>190</v>
      </c>
      <c r="HK1000" s="319" t="s">
        <v>428</v>
      </c>
      <c r="HL1000" s="319" t="s">
        <v>428</v>
      </c>
      <c r="HM1000" s="319" t="s">
        <v>428</v>
      </c>
      <c r="HN1000" s="319" t="s">
        <v>428</v>
      </c>
      <c r="HO1000" s="319" t="s">
        <v>428</v>
      </c>
      <c r="HP1000" s="319" t="s">
        <v>190</v>
      </c>
      <c r="HQ1000" s="319" t="s">
        <v>190</v>
      </c>
      <c r="HR1000" s="319" t="s">
        <v>190</v>
      </c>
      <c r="HS1000" s="319" t="s">
        <v>190</v>
      </c>
      <c r="HT1000" s="319" t="s">
        <v>190</v>
      </c>
      <c r="HU1000" s="319" t="s">
        <v>190</v>
      </c>
      <c r="HV1000" s="319" t="s">
        <v>190</v>
      </c>
      <c r="HW1000" s="319" t="s">
        <v>190</v>
      </c>
      <c r="HX1000" s="319" t="s">
        <v>190</v>
      </c>
      <c r="HY1000" s="319" t="s">
        <v>190</v>
      </c>
      <c r="HZ1000" s="319" t="s">
        <v>190</v>
      </c>
      <c r="IA1000" s="319" t="s">
        <v>190</v>
      </c>
      <c r="IB1000" s="319" t="s">
        <v>190</v>
      </c>
      <c r="IC1000" s="319" t="s">
        <v>190</v>
      </c>
      <c r="ID1000" s="319" t="s">
        <v>190</v>
      </c>
      <c r="IE1000" s="319" t="s">
        <v>190</v>
      </c>
      <c r="IF1000" s="319" t="s">
        <v>191</v>
      </c>
      <c r="IG1000" s="319" t="s">
        <v>191</v>
      </c>
      <c r="IH1000" s="319" t="s">
        <v>191</v>
      </c>
      <c r="II1000" s="319" t="s">
        <v>191</v>
      </c>
      <c r="IJ1000" s="319" t="s">
        <v>173</v>
      </c>
      <c r="IK1000" s="319" t="s">
        <v>173</v>
      </c>
      <c r="IL1000" s="319" t="s">
        <v>173</v>
      </c>
      <c r="IM1000" s="319" t="s">
        <v>173</v>
      </c>
      <c r="IN1000" s="319" t="s">
        <v>173</v>
      </c>
      <c r="IO1000" s="319">
        <v>10119754</v>
      </c>
      <c r="IP1000" s="319" t="s">
        <v>985</v>
      </c>
      <c r="IQ1000" s="321">
        <v>43747</v>
      </c>
      <c r="IR1000" s="320" t="s">
        <v>2771</v>
      </c>
      <c r="IS1000" s="322">
        <v>43773</v>
      </c>
      <c r="IT1000" s="319" t="s">
        <v>166</v>
      </c>
    </row>
    <row r="1001" spans="1:254" s="271" customFormat="1" x14ac:dyDescent="0.25">
      <c r="A1001" s="318" t="str">
        <f>HYPERLINK("http://www.ofsted.gov.uk/inspection-reports/find-inspection-report/provider/ELS/145980 ","Ofsted School Webpage")</f>
        <v>Ofsted School Webpage</v>
      </c>
      <c r="B1001" s="319">
        <v>145980</v>
      </c>
      <c r="C1001" s="319">
        <v>8456065</v>
      </c>
      <c r="D1001" s="319" t="s">
        <v>2519</v>
      </c>
      <c r="E1001" s="319" t="s">
        <v>168</v>
      </c>
      <c r="F1001" s="319" t="s">
        <v>81</v>
      </c>
      <c r="G1001" s="319" t="s">
        <v>81</v>
      </c>
      <c r="H1001" s="319" t="s">
        <v>81</v>
      </c>
      <c r="I1001" s="319" t="s">
        <v>78</v>
      </c>
      <c r="J1001" s="319" t="s">
        <v>424</v>
      </c>
      <c r="K1001" s="319" t="s">
        <v>514</v>
      </c>
      <c r="L1001" s="319" t="s">
        <v>514</v>
      </c>
      <c r="M1001" s="319" t="s">
        <v>676</v>
      </c>
      <c r="N1001" s="319" t="s">
        <v>2939</v>
      </c>
      <c r="O1001" s="319" t="s">
        <v>2520</v>
      </c>
      <c r="P1001" s="319">
        <v>5</v>
      </c>
      <c r="Q1001" s="319" t="s">
        <v>429</v>
      </c>
      <c r="R1001" s="320" t="s">
        <v>173</v>
      </c>
      <c r="S1001" s="321" t="s">
        <v>173</v>
      </c>
      <c r="T1001" s="321" t="s">
        <v>173</v>
      </c>
      <c r="U1001" s="321" t="s">
        <v>173</v>
      </c>
      <c r="V1001" s="319" t="s">
        <v>173</v>
      </c>
      <c r="W1001" s="319" t="s">
        <v>173</v>
      </c>
      <c r="X1001" s="319" t="s">
        <v>173</v>
      </c>
      <c r="Y1001" s="319" t="s">
        <v>173</v>
      </c>
      <c r="Z1001" s="319" t="s">
        <v>173</v>
      </c>
      <c r="AA1001" s="319" t="s">
        <v>173</v>
      </c>
      <c r="AB1001" s="319" t="s">
        <v>173</v>
      </c>
      <c r="AC1001" s="319" t="s">
        <v>173</v>
      </c>
      <c r="AD1001" s="319" t="s">
        <v>173</v>
      </c>
      <c r="AE1001" s="319" t="s">
        <v>173</v>
      </c>
      <c r="AF1001" s="319" t="s">
        <v>173</v>
      </c>
      <c r="AG1001" s="319" t="s">
        <v>173</v>
      </c>
      <c r="AH1001" s="319" t="s">
        <v>173</v>
      </c>
      <c r="AI1001" s="319" t="s">
        <v>173</v>
      </c>
      <c r="AJ1001" s="319" t="s">
        <v>173</v>
      </c>
      <c r="AK1001" s="319" t="s">
        <v>173</v>
      </c>
      <c r="AL1001" s="319" t="s">
        <v>173</v>
      </c>
      <c r="AM1001" s="319" t="s">
        <v>173</v>
      </c>
      <c r="AN1001" s="319" t="s">
        <v>173</v>
      </c>
      <c r="AO1001" s="319" t="s">
        <v>173</v>
      </c>
      <c r="AP1001" s="319" t="s">
        <v>173</v>
      </c>
      <c r="AQ1001" s="319" t="s">
        <v>173</v>
      </c>
      <c r="AR1001" s="319" t="s">
        <v>173</v>
      </c>
      <c r="AS1001" s="319" t="s">
        <v>173</v>
      </c>
      <c r="AT1001" s="319" t="s">
        <v>173</v>
      </c>
      <c r="AU1001" s="319" t="s">
        <v>173</v>
      </c>
      <c r="AV1001" s="319" t="s">
        <v>173</v>
      </c>
      <c r="AW1001" s="319" t="s">
        <v>173</v>
      </c>
      <c r="AX1001" s="319" t="s">
        <v>173</v>
      </c>
      <c r="AY1001" s="319" t="s">
        <v>173</v>
      </c>
      <c r="AZ1001" s="319" t="s">
        <v>173</v>
      </c>
      <c r="BA1001" s="319" t="s">
        <v>173</v>
      </c>
      <c r="BB1001" s="319" t="s">
        <v>173</v>
      </c>
      <c r="BC1001" s="319" t="s">
        <v>173</v>
      </c>
      <c r="BD1001" s="319" t="s">
        <v>173</v>
      </c>
      <c r="BE1001" s="319" t="s">
        <v>173</v>
      </c>
      <c r="BF1001" s="319" t="s">
        <v>173</v>
      </c>
      <c r="BG1001" s="319" t="s">
        <v>173</v>
      </c>
      <c r="BH1001" s="319" t="s">
        <v>173</v>
      </c>
      <c r="BI1001" s="319" t="s">
        <v>173</v>
      </c>
      <c r="BJ1001" s="319" t="s">
        <v>173</v>
      </c>
      <c r="BK1001" s="319" t="s">
        <v>173</v>
      </c>
      <c r="BL1001" s="319" t="s">
        <v>173</v>
      </c>
      <c r="BM1001" s="319" t="s">
        <v>173</v>
      </c>
      <c r="BN1001" s="319" t="s">
        <v>173</v>
      </c>
      <c r="BO1001" s="319" t="s">
        <v>173</v>
      </c>
      <c r="BP1001" s="319" t="s">
        <v>173</v>
      </c>
      <c r="BQ1001" s="319" t="s">
        <v>173</v>
      </c>
      <c r="BR1001" s="319" t="s">
        <v>173</v>
      </c>
      <c r="BS1001" s="319" t="s">
        <v>173</v>
      </c>
      <c r="BT1001" s="319" t="s">
        <v>173</v>
      </c>
      <c r="BU1001" s="319" t="s">
        <v>173</v>
      </c>
      <c r="BV1001" s="319" t="s">
        <v>173</v>
      </c>
      <c r="BW1001" s="319" t="s">
        <v>173</v>
      </c>
      <c r="BX1001" s="319" t="s">
        <v>173</v>
      </c>
      <c r="BY1001" s="319" t="s">
        <v>173</v>
      </c>
      <c r="BZ1001" s="319" t="s">
        <v>173</v>
      </c>
      <c r="CA1001" s="319" t="s">
        <v>173</v>
      </c>
      <c r="CB1001" s="319" t="s">
        <v>173</v>
      </c>
      <c r="CC1001" s="319" t="s">
        <v>173</v>
      </c>
      <c r="CD1001" s="319" t="s">
        <v>173</v>
      </c>
      <c r="CE1001" s="319" t="s">
        <v>173</v>
      </c>
      <c r="CF1001" s="319" t="s">
        <v>173</v>
      </c>
      <c r="CG1001" s="319" t="s">
        <v>173</v>
      </c>
      <c r="CH1001" s="319" t="s">
        <v>173</v>
      </c>
      <c r="CI1001" s="319" t="s">
        <v>173</v>
      </c>
      <c r="CJ1001" s="319" t="s">
        <v>173</v>
      </c>
      <c r="CK1001" s="319" t="s">
        <v>173</v>
      </c>
      <c r="CL1001" s="319" t="s">
        <v>173</v>
      </c>
      <c r="CM1001" s="319" t="s">
        <v>173</v>
      </c>
      <c r="CN1001" s="319" t="s">
        <v>173</v>
      </c>
      <c r="CO1001" s="319" t="s">
        <v>173</v>
      </c>
      <c r="CP1001" s="319" t="s">
        <v>173</v>
      </c>
      <c r="CQ1001" s="319" t="s">
        <v>173</v>
      </c>
      <c r="CR1001" s="319" t="s">
        <v>173</v>
      </c>
      <c r="CS1001" s="319" t="s">
        <v>173</v>
      </c>
      <c r="CT1001" s="319" t="s">
        <v>173</v>
      </c>
      <c r="CU1001" s="319" t="s">
        <v>173</v>
      </c>
      <c r="CV1001" s="319" t="s">
        <v>173</v>
      </c>
      <c r="CW1001" s="319" t="s">
        <v>173</v>
      </c>
      <c r="CX1001" s="319" t="s">
        <v>173</v>
      </c>
      <c r="CY1001" s="319" t="s">
        <v>173</v>
      </c>
      <c r="CZ1001" s="319" t="s">
        <v>173</v>
      </c>
      <c r="DA1001" s="319" t="s">
        <v>173</v>
      </c>
      <c r="DB1001" s="319" t="s">
        <v>173</v>
      </c>
      <c r="DC1001" s="319" t="s">
        <v>173</v>
      </c>
      <c r="DD1001" s="319" t="s">
        <v>173</v>
      </c>
      <c r="DE1001" s="319" t="s">
        <v>173</v>
      </c>
      <c r="DF1001" s="319" t="s">
        <v>173</v>
      </c>
      <c r="DG1001" s="319" t="s">
        <v>173</v>
      </c>
      <c r="DH1001" s="319" t="s">
        <v>173</v>
      </c>
      <c r="DI1001" s="319" t="s">
        <v>173</v>
      </c>
      <c r="DJ1001" s="319" t="s">
        <v>173</v>
      </c>
      <c r="DK1001" s="319" t="s">
        <v>173</v>
      </c>
      <c r="DL1001" s="319" t="s">
        <v>173</v>
      </c>
      <c r="DM1001" s="319" t="s">
        <v>173</v>
      </c>
      <c r="DN1001" s="319" t="s">
        <v>173</v>
      </c>
      <c r="DO1001" s="319" t="s">
        <v>173</v>
      </c>
      <c r="DP1001" s="319" t="s">
        <v>173</v>
      </c>
      <c r="DQ1001" s="319" t="s">
        <v>173</v>
      </c>
      <c r="DR1001" s="319" t="s">
        <v>173</v>
      </c>
      <c r="DS1001" s="319" t="s">
        <v>173</v>
      </c>
      <c r="DT1001" s="319" t="s">
        <v>173</v>
      </c>
      <c r="DU1001" s="319" t="s">
        <v>173</v>
      </c>
      <c r="DV1001" s="319" t="s">
        <v>173</v>
      </c>
      <c r="DW1001" s="319" t="s">
        <v>173</v>
      </c>
      <c r="DX1001" s="319" t="s">
        <v>173</v>
      </c>
      <c r="DY1001" s="319" t="s">
        <v>173</v>
      </c>
      <c r="DZ1001" s="319" t="s">
        <v>173</v>
      </c>
      <c r="EA1001" s="319" t="s">
        <v>173</v>
      </c>
      <c r="EB1001" s="319" t="s">
        <v>173</v>
      </c>
      <c r="EC1001" s="319" t="s">
        <v>173</v>
      </c>
      <c r="ED1001" s="319" t="s">
        <v>173</v>
      </c>
      <c r="EE1001" s="319" t="s">
        <v>173</v>
      </c>
      <c r="EF1001" s="319" t="s">
        <v>173</v>
      </c>
      <c r="EG1001" s="319" t="s">
        <v>173</v>
      </c>
      <c r="EH1001" s="319" t="s">
        <v>173</v>
      </c>
      <c r="EI1001" s="319" t="s">
        <v>173</v>
      </c>
      <c r="EJ1001" s="319" t="s">
        <v>173</v>
      </c>
      <c r="EK1001" s="319" t="s">
        <v>173</v>
      </c>
      <c r="EL1001" s="319" t="s">
        <v>173</v>
      </c>
      <c r="EM1001" s="319" t="s">
        <v>173</v>
      </c>
      <c r="EN1001" s="319" t="s">
        <v>173</v>
      </c>
      <c r="EO1001" s="319" t="s">
        <v>173</v>
      </c>
      <c r="EP1001" s="319" t="s">
        <v>173</v>
      </c>
      <c r="EQ1001" s="319" t="s">
        <v>173</v>
      </c>
      <c r="ER1001" s="319" t="s">
        <v>173</v>
      </c>
      <c r="ES1001" s="319" t="s">
        <v>173</v>
      </c>
      <c r="ET1001" s="319" t="s">
        <v>173</v>
      </c>
      <c r="EU1001" s="319" t="s">
        <v>173</v>
      </c>
      <c r="EV1001" s="319" t="s">
        <v>173</v>
      </c>
      <c r="EW1001" s="319" t="s">
        <v>173</v>
      </c>
      <c r="EX1001" s="319" t="s">
        <v>173</v>
      </c>
      <c r="EY1001" s="319" t="s">
        <v>173</v>
      </c>
      <c r="EZ1001" s="319" t="s">
        <v>173</v>
      </c>
      <c r="FA1001" s="319" t="s">
        <v>173</v>
      </c>
      <c r="FB1001" s="319" t="s">
        <v>173</v>
      </c>
      <c r="FC1001" s="319" t="s">
        <v>173</v>
      </c>
      <c r="FD1001" s="319" t="s">
        <v>173</v>
      </c>
      <c r="FE1001" s="319" t="s">
        <v>173</v>
      </c>
      <c r="FF1001" s="319" t="s">
        <v>173</v>
      </c>
      <c r="FG1001" s="319" t="s">
        <v>173</v>
      </c>
      <c r="FH1001" s="319" t="s">
        <v>173</v>
      </c>
      <c r="FI1001" s="319" t="s">
        <v>173</v>
      </c>
      <c r="FJ1001" s="319" t="s">
        <v>173</v>
      </c>
      <c r="FK1001" s="319" t="s">
        <v>173</v>
      </c>
      <c r="FL1001" s="319" t="s">
        <v>173</v>
      </c>
      <c r="FM1001" s="319" t="s">
        <v>173</v>
      </c>
      <c r="FN1001" s="319" t="s">
        <v>173</v>
      </c>
      <c r="FO1001" s="319" t="s">
        <v>173</v>
      </c>
      <c r="FP1001" s="319" t="s">
        <v>173</v>
      </c>
      <c r="FQ1001" s="319" t="s">
        <v>173</v>
      </c>
      <c r="FR1001" s="319" t="s">
        <v>173</v>
      </c>
      <c r="FS1001" s="319" t="s">
        <v>173</v>
      </c>
      <c r="FT1001" s="319" t="s">
        <v>173</v>
      </c>
      <c r="FU1001" s="319" t="s">
        <v>173</v>
      </c>
      <c r="FV1001" s="319" t="s">
        <v>173</v>
      </c>
      <c r="FW1001" s="319" t="s">
        <v>173</v>
      </c>
      <c r="FX1001" s="319" t="s">
        <v>173</v>
      </c>
      <c r="FY1001" s="319" t="s">
        <v>173</v>
      </c>
      <c r="FZ1001" s="319" t="s">
        <v>173</v>
      </c>
      <c r="GA1001" s="319" t="s">
        <v>173</v>
      </c>
      <c r="GB1001" s="319" t="s">
        <v>173</v>
      </c>
      <c r="GC1001" s="319" t="s">
        <v>173</v>
      </c>
      <c r="GD1001" s="319" t="s">
        <v>173</v>
      </c>
      <c r="GE1001" s="319" t="s">
        <v>173</v>
      </c>
      <c r="GF1001" s="319" t="s">
        <v>173</v>
      </c>
      <c r="GG1001" s="319" t="s">
        <v>173</v>
      </c>
      <c r="GH1001" s="319" t="s">
        <v>173</v>
      </c>
      <c r="GI1001" s="319" t="s">
        <v>173</v>
      </c>
      <c r="GJ1001" s="319" t="s">
        <v>173</v>
      </c>
      <c r="GK1001" s="319" t="s">
        <v>173</v>
      </c>
      <c r="GL1001" s="319" t="s">
        <v>173</v>
      </c>
      <c r="GM1001" s="319" t="s">
        <v>173</v>
      </c>
      <c r="GN1001" s="319" t="s">
        <v>173</v>
      </c>
      <c r="GO1001" s="319" t="s">
        <v>173</v>
      </c>
      <c r="GP1001" s="319" t="s">
        <v>173</v>
      </c>
      <c r="GQ1001" s="319" t="s">
        <v>173</v>
      </c>
      <c r="GR1001" s="319" t="s">
        <v>173</v>
      </c>
      <c r="GS1001" s="319" t="s">
        <v>173</v>
      </c>
      <c r="GT1001" s="319" t="s">
        <v>173</v>
      </c>
      <c r="GU1001" s="319" t="s">
        <v>173</v>
      </c>
      <c r="GV1001" s="319" t="s">
        <v>173</v>
      </c>
      <c r="GW1001" s="319" t="s">
        <v>173</v>
      </c>
      <c r="GX1001" s="319" t="s">
        <v>173</v>
      </c>
      <c r="GY1001" s="319" t="s">
        <v>173</v>
      </c>
      <c r="GZ1001" s="319" t="s">
        <v>173</v>
      </c>
      <c r="HA1001" s="319" t="s">
        <v>173</v>
      </c>
      <c r="HB1001" s="319" t="s">
        <v>173</v>
      </c>
      <c r="HC1001" s="319" t="s">
        <v>173</v>
      </c>
      <c r="HD1001" s="319" t="s">
        <v>173</v>
      </c>
      <c r="HE1001" s="319" t="s">
        <v>173</v>
      </c>
      <c r="HF1001" s="319" t="s">
        <v>173</v>
      </c>
      <c r="HG1001" s="319" t="s">
        <v>173</v>
      </c>
      <c r="HH1001" s="319" t="s">
        <v>173</v>
      </c>
      <c r="HI1001" s="319" t="s">
        <v>173</v>
      </c>
      <c r="HJ1001" s="319" t="s">
        <v>173</v>
      </c>
      <c r="HK1001" s="319" t="s">
        <v>173</v>
      </c>
      <c r="HL1001" s="319" t="s">
        <v>173</v>
      </c>
      <c r="HM1001" s="319" t="s">
        <v>173</v>
      </c>
      <c r="HN1001" s="319" t="s">
        <v>173</v>
      </c>
      <c r="HO1001" s="319" t="s">
        <v>173</v>
      </c>
      <c r="HP1001" s="319" t="s">
        <v>173</v>
      </c>
      <c r="HQ1001" s="319" t="s">
        <v>173</v>
      </c>
      <c r="HR1001" s="319" t="s">
        <v>173</v>
      </c>
      <c r="HS1001" s="319" t="s">
        <v>173</v>
      </c>
      <c r="HT1001" s="319" t="s">
        <v>173</v>
      </c>
      <c r="HU1001" s="319" t="s">
        <v>173</v>
      </c>
      <c r="HV1001" s="319" t="s">
        <v>173</v>
      </c>
      <c r="HW1001" s="319" t="s">
        <v>173</v>
      </c>
      <c r="HX1001" s="319" t="s">
        <v>173</v>
      </c>
      <c r="HY1001" s="319" t="s">
        <v>173</v>
      </c>
      <c r="HZ1001" s="319" t="s">
        <v>173</v>
      </c>
      <c r="IA1001" s="319" t="s">
        <v>173</v>
      </c>
      <c r="IB1001" s="319" t="s">
        <v>173</v>
      </c>
      <c r="IC1001" s="319" t="s">
        <v>173</v>
      </c>
      <c r="ID1001" s="319" t="s">
        <v>173</v>
      </c>
      <c r="IE1001" s="319" t="s">
        <v>173</v>
      </c>
      <c r="IF1001" s="319" t="s">
        <v>173</v>
      </c>
      <c r="IG1001" s="319" t="s">
        <v>173</v>
      </c>
      <c r="IH1001" s="319" t="s">
        <v>173</v>
      </c>
      <c r="II1001" s="319" t="s">
        <v>173</v>
      </c>
      <c r="IJ1001" s="319" t="s">
        <v>173</v>
      </c>
      <c r="IK1001" s="319" t="s">
        <v>173</v>
      </c>
      <c r="IL1001" s="319" t="s">
        <v>173</v>
      </c>
      <c r="IM1001" s="319" t="s">
        <v>173</v>
      </c>
      <c r="IN1001" s="319" t="s">
        <v>173</v>
      </c>
      <c r="IO1001" s="319" t="s">
        <v>173</v>
      </c>
      <c r="IP1001" s="319" t="s">
        <v>173</v>
      </c>
      <c r="IQ1001" s="319" t="s">
        <v>173</v>
      </c>
      <c r="IR1001" s="320" t="s">
        <v>173</v>
      </c>
      <c r="IS1001" s="320" t="s">
        <v>173</v>
      </c>
      <c r="IT1001" s="319" t="s">
        <v>173</v>
      </c>
    </row>
    <row r="1002" spans="1:254" s="271" customFormat="1" x14ac:dyDescent="0.25">
      <c r="A1002" s="318" t="str">
        <f>HYPERLINK("http://www.ofsted.gov.uk/inspection-reports/find-inspection-report/provider/ELS/146030 ","Ofsted School Webpage")</f>
        <v>Ofsted School Webpage</v>
      </c>
      <c r="B1002" s="319">
        <v>146030</v>
      </c>
      <c r="C1002" s="319">
        <v>8886115</v>
      </c>
      <c r="D1002" s="319" t="s">
        <v>2521</v>
      </c>
      <c r="E1002" s="319" t="s">
        <v>167</v>
      </c>
      <c r="F1002" s="319" t="s">
        <v>81</v>
      </c>
      <c r="G1002" s="319" t="s">
        <v>81</v>
      </c>
      <c r="H1002" s="319" t="s">
        <v>81</v>
      </c>
      <c r="I1002" s="319" t="s">
        <v>78</v>
      </c>
      <c r="J1002" s="319" t="s">
        <v>424</v>
      </c>
      <c r="K1002" s="319" t="s">
        <v>431</v>
      </c>
      <c r="L1002" s="319" t="s">
        <v>431</v>
      </c>
      <c r="M1002" s="319" t="s">
        <v>469</v>
      </c>
      <c r="N1002" s="319" t="s">
        <v>3104</v>
      </c>
      <c r="O1002" s="319" t="s">
        <v>2522</v>
      </c>
      <c r="P1002" s="319" t="s">
        <v>173</v>
      </c>
      <c r="Q1002" s="319" t="s">
        <v>2766</v>
      </c>
      <c r="R1002" s="320">
        <v>10102295</v>
      </c>
      <c r="S1002" s="321">
        <v>43599</v>
      </c>
      <c r="T1002" s="321">
        <v>43600</v>
      </c>
      <c r="U1002" s="321">
        <v>43636</v>
      </c>
      <c r="V1002" s="319" t="s">
        <v>435</v>
      </c>
      <c r="W1002" s="319" t="s">
        <v>2767</v>
      </c>
      <c r="X1002" s="319">
        <v>2</v>
      </c>
      <c r="Y1002" s="319" t="s">
        <v>173</v>
      </c>
      <c r="Z1002" s="319" t="s">
        <v>173</v>
      </c>
      <c r="AA1002" s="319" t="s">
        <v>173</v>
      </c>
      <c r="AB1002" s="319">
        <v>2</v>
      </c>
      <c r="AC1002" s="319" t="s">
        <v>169</v>
      </c>
      <c r="AD1002" s="319" t="s">
        <v>173</v>
      </c>
      <c r="AE1002" s="319" t="s">
        <v>173</v>
      </c>
      <c r="AF1002" s="319" t="s">
        <v>427</v>
      </c>
      <c r="AG1002" s="319" t="s">
        <v>171</v>
      </c>
      <c r="AH1002" s="319" t="s">
        <v>190</v>
      </c>
      <c r="AI1002" s="319" t="s">
        <v>190</v>
      </c>
      <c r="AJ1002" s="319" t="s">
        <v>190</v>
      </c>
      <c r="AK1002" s="319" t="s">
        <v>190</v>
      </c>
      <c r="AL1002" s="319" t="s">
        <v>190</v>
      </c>
      <c r="AM1002" s="319" t="s">
        <v>190</v>
      </c>
      <c r="AN1002" s="319" t="s">
        <v>190</v>
      </c>
      <c r="AO1002" s="319" t="s">
        <v>190</v>
      </c>
      <c r="AP1002" s="319" t="s">
        <v>190</v>
      </c>
      <c r="AQ1002" s="319" t="s">
        <v>190</v>
      </c>
      <c r="AR1002" s="319" t="s">
        <v>190</v>
      </c>
      <c r="AS1002" s="319" t="s">
        <v>190</v>
      </c>
      <c r="AT1002" s="319" t="s">
        <v>190</v>
      </c>
      <c r="AU1002" s="319" t="s">
        <v>190</v>
      </c>
      <c r="AV1002" s="319" t="s">
        <v>190</v>
      </c>
      <c r="AW1002" s="319" t="s">
        <v>190</v>
      </c>
      <c r="AX1002" s="319" t="s">
        <v>190</v>
      </c>
      <c r="AY1002" s="319" t="s">
        <v>190</v>
      </c>
      <c r="AZ1002" s="319" t="s">
        <v>190</v>
      </c>
      <c r="BA1002" s="319" t="s">
        <v>190</v>
      </c>
      <c r="BB1002" s="319" t="s">
        <v>190</v>
      </c>
      <c r="BC1002" s="319" t="s">
        <v>190</v>
      </c>
      <c r="BD1002" s="319" t="s">
        <v>190</v>
      </c>
      <c r="BE1002" s="319" t="s">
        <v>190</v>
      </c>
      <c r="BF1002" s="319" t="s">
        <v>190</v>
      </c>
      <c r="BG1002" s="319" t="s">
        <v>190</v>
      </c>
      <c r="BH1002" s="319" t="s">
        <v>190</v>
      </c>
      <c r="BI1002" s="319" t="s">
        <v>190</v>
      </c>
      <c r="BJ1002" s="319" t="s">
        <v>190</v>
      </c>
      <c r="BK1002" s="319" t="s">
        <v>190</v>
      </c>
      <c r="BL1002" s="319" t="s">
        <v>190</v>
      </c>
      <c r="BM1002" s="319" t="s">
        <v>190</v>
      </c>
      <c r="BN1002" s="319" t="s">
        <v>190</v>
      </c>
      <c r="BO1002" s="319" t="s">
        <v>190</v>
      </c>
      <c r="BP1002" s="319" t="s">
        <v>190</v>
      </c>
      <c r="BQ1002" s="319" t="s">
        <v>190</v>
      </c>
      <c r="BR1002" s="319" t="s">
        <v>190</v>
      </c>
      <c r="BS1002" s="319" t="s">
        <v>190</v>
      </c>
      <c r="BT1002" s="319" t="s">
        <v>190</v>
      </c>
      <c r="BU1002" s="319" t="s">
        <v>190</v>
      </c>
      <c r="BV1002" s="319" t="s">
        <v>190</v>
      </c>
      <c r="BW1002" s="319" t="s">
        <v>190</v>
      </c>
      <c r="BX1002" s="319" t="s">
        <v>190</v>
      </c>
      <c r="BY1002" s="319" t="s">
        <v>190</v>
      </c>
      <c r="BZ1002" s="319" t="s">
        <v>190</v>
      </c>
      <c r="CA1002" s="319" t="s">
        <v>190</v>
      </c>
      <c r="CB1002" s="319" t="s">
        <v>190</v>
      </c>
      <c r="CC1002" s="319" t="s">
        <v>190</v>
      </c>
      <c r="CD1002" s="319" t="s">
        <v>190</v>
      </c>
      <c r="CE1002" s="319" t="s">
        <v>190</v>
      </c>
      <c r="CF1002" s="319" t="s">
        <v>190</v>
      </c>
      <c r="CG1002" s="319" t="s">
        <v>190</v>
      </c>
      <c r="CH1002" s="319" t="s">
        <v>190</v>
      </c>
      <c r="CI1002" s="319" t="s">
        <v>190</v>
      </c>
      <c r="CJ1002" s="319" t="s">
        <v>190</v>
      </c>
      <c r="CK1002" s="319" t="s">
        <v>190</v>
      </c>
      <c r="CL1002" s="319" t="s">
        <v>190</v>
      </c>
      <c r="CM1002" s="319" t="s">
        <v>190</v>
      </c>
      <c r="CN1002" s="319" t="s">
        <v>428</v>
      </c>
      <c r="CO1002" s="319" t="s">
        <v>428</v>
      </c>
      <c r="CP1002" s="319" t="s">
        <v>428</v>
      </c>
      <c r="CQ1002" s="319" t="s">
        <v>190</v>
      </c>
      <c r="CR1002" s="319" t="s">
        <v>190</v>
      </c>
      <c r="CS1002" s="319" t="s">
        <v>190</v>
      </c>
      <c r="CT1002" s="319" t="s">
        <v>190</v>
      </c>
      <c r="CU1002" s="319" t="s">
        <v>190</v>
      </c>
      <c r="CV1002" s="319" t="s">
        <v>190</v>
      </c>
      <c r="CW1002" s="319" t="s">
        <v>190</v>
      </c>
      <c r="CX1002" s="319" t="s">
        <v>190</v>
      </c>
      <c r="CY1002" s="319" t="s">
        <v>190</v>
      </c>
      <c r="CZ1002" s="319" t="s">
        <v>190</v>
      </c>
      <c r="DA1002" s="319" t="s">
        <v>190</v>
      </c>
      <c r="DB1002" s="319" t="s">
        <v>190</v>
      </c>
      <c r="DC1002" s="319" t="s">
        <v>190</v>
      </c>
      <c r="DD1002" s="319" t="s">
        <v>190</v>
      </c>
      <c r="DE1002" s="319" t="s">
        <v>190</v>
      </c>
      <c r="DF1002" s="319" t="s">
        <v>190</v>
      </c>
      <c r="DG1002" s="319" t="s">
        <v>190</v>
      </c>
      <c r="DH1002" s="319" t="s">
        <v>190</v>
      </c>
      <c r="DI1002" s="319" t="s">
        <v>190</v>
      </c>
      <c r="DJ1002" s="319" t="s">
        <v>190</v>
      </c>
      <c r="DK1002" s="319" t="s">
        <v>190</v>
      </c>
      <c r="DL1002" s="319" t="s">
        <v>190</v>
      </c>
      <c r="DM1002" s="319" t="s">
        <v>190</v>
      </c>
      <c r="DN1002" s="319" t="s">
        <v>428</v>
      </c>
      <c r="DO1002" s="319" t="s">
        <v>190</v>
      </c>
      <c r="DP1002" s="319" t="s">
        <v>190</v>
      </c>
      <c r="DQ1002" s="319" t="s">
        <v>190</v>
      </c>
      <c r="DR1002" s="319" t="s">
        <v>190</v>
      </c>
      <c r="DS1002" s="319" t="s">
        <v>190</v>
      </c>
      <c r="DT1002" s="319" t="s">
        <v>190</v>
      </c>
      <c r="DU1002" s="319" t="s">
        <v>190</v>
      </c>
      <c r="DV1002" s="319" t="s">
        <v>173</v>
      </c>
      <c r="DW1002" s="319" t="s">
        <v>190</v>
      </c>
      <c r="DX1002" s="319" t="s">
        <v>190</v>
      </c>
      <c r="DY1002" s="319" t="s">
        <v>190</v>
      </c>
      <c r="DZ1002" s="319" t="s">
        <v>190</v>
      </c>
      <c r="EA1002" s="319" t="s">
        <v>190</v>
      </c>
      <c r="EB1002" s="319" t="s">
        <v>190</v>
      </c>
      <c r="EC1002" s="319" t="s">
        <v>428</v>
      </c>
      <c r="ED1002" s="319" t="s">
        <v>190</v>
      </c>
      <c r="EE1002" s="319" t="s">
        <v>190</v>
      </c>
      <c r="EF1002" s="319" t="s">
        <v>190</v>
      </c>
      <c r="EG1002" s="319" t="s">
        <v>190</v>
      </c>
      <c r="EH1002" s="319" t="s">
        <v>190</v>
      </c>
      <c r="EI1002" s="319" t="s">
        <v>190</v>
      </c>
      <c r="EJ1002" s="319" t="s">
        <v>190</v>
      </c>
      <c r="EK1002" s="319" t="s">
        <v>190</v>
      </c>
      <c r="EL1002" s="319" t="s">
        <v>190</v>
      </c>
      <c r="EM1002" s="319" t="s">
        <v>190</v>
      </c>
      <c r="EN1002" s="319" t="s">
        <v>190</v>
      </c>
      <c r="EO1002" s="319" t="s">
        <v>190</v>
      </c>
      <c r="EP1002" s="319" t="s">
        <v>190</v>
      </c>
      <c r="EQ1002" s="319" t="s">
        <v>190</v>
      </c>
      <c r="ER1002" s="319" t="s">
        <v>190</v>
      </c>
      <c r="ES1002" s="319" t="s">
        <v>190</v>
      </c>
      <c r="ET1002" s="319" t="s">
        <v>190</v>
      </c>
      <c r="EU1002" s="319" t="s">
        <v>190</v>
      </c>
      <c r="EV1002" s="319" t="s">
        <v>190</v>
      </c>
      <c r="EW1002" s="319" t="s">
        <v>190</v>
      </c>
      <c r="EX1002" s="319" t="s">
        <v>190</v>
      </c>
      <c r="EY1002" s="319" t="s">
        <v>190</v>
      </c>
      <c r="EZ1002" s="319" t="s">
        <v>190</v>
      </c>
      <c r="FA1002" s="319" t="s">
        <v>190</v>
      </c>
      <c r="FB1002" s="319" t="s">
        <v>190</v>
      </c>
      <c r="FC1002" s="319" t="s">
        <v>190</v>
      </c>
      <c r="FD1002" s="319" t="s">
        <v>190</v>
      </c>
      <c r="FE1002" s="319" t="s">
        <v>190</v>
      </c>
      <c r="FF1002" s="319" t="s">
        <v>190</v>
      </c>
      <c r="FG1002" s="319" t="s">
        <v>190</v>
      </c>
      <c r="FH1002" s="319" t="s">
        <v>190</v>
      </c>
      <c r="FI1002" s="319" t="s">
        <v>190</v>
      </c>
      <c r="FJ1002" s="319" t="s">
        <v>190</v>
      </c>
      <c r="FK1002" s="319" t="s">
        <v>190</v>
      </c>
      <c r="FL1002" s="319" t="s">
        <v>190</v>
      </c>
      <c r="FM1002" s="319" t="s">
        <v>190</v>
      </c>
      <c r="FN1002" s="319" t="s">
        <v>190</v>
      </c>
      <c r="FO1002" s="319" t="s">
        <v>190</v>
      </c>
      <c r="FP1002" s="319" t="s">
        <v>190</v>
      </c>
      <c r="FQ1002" s="319" t="s">
        <v>190</v>
      </c>
      <c r="FR1002" s="319" t="s">
        <v>190</v>
      </c>
      <c r="FS1002" s="319" t="s">
        <v>190</v>
      </c>
      <c r="FT1002" s="319" t="s">
        <v>190</v>
      </c>
      <c r="FU1002" s="319" t="s">
        <v>190</v>
      </c>
      <c r="FV1002" s="319" t="s">
        <v>190</v>
      </c>
      <c r="FW1002" s="319" t="s">
        <v>190</v>
      </c>
      <c r="FX1002" s="319" t="s">
        <v>190</v>
      </c>
      <c r="FY1002" s="319" t="s">
        <v>190</v>
      </c>
      <c r="FZ1002" s="319" t="s">
        <v>190</v>
      </c>
      <c r="GA1002" s="319" t="s">
        <v>190</v>
      </c>
      <c r="GB1002" s="319" t="s">
        <v>190</v>
      </c>
      <c r="GC1002" s="319" t="s">
        <v>190</v>
      </c>
      <c r="GD1002" s="319" t="s">
        <v>190</v>
      </c>
      <c r="GE1002" s="319" t="s">
        <v>190</v>
      </c>
      <c r="GF1002" s="319" t="s">
        <v>190</v>
      </c>
      <c r="GG1002" s="319" t="s">
        <v>190</v>
      </c>
      <c r="GH1002" s="319" t="s">
        <v>190</v>
      </c>
      <c r="GI1002" s="319" t="s">
        <v>190</v>
      </c>
      <c r="GJ1002" s="319" t="s">
        <v>190</v>
      </c>
      <c r="GK1002" s="319" t="s">
        <v>428</v>
      </c>
      <c r="GL1002" s="319" t="s">
        <v>190</v>
      </c>
      <c r="GM1002" s="319" t="s">
        <v>190</v>
      </c>
      <c r="GN1002" s="319" t="s">
        <v>190</v>
      </c>
      <c r="GO1002" s="319" t="s">
        <v>190</v>
      </c>
      <c r="GP1002" s="319" t="s">
        <v>190</v>
      </c>
      <c r="GQ1002" s="319" t="s">
        <v>190</v>
      </c>
      <c r="GR1002" s="319" t="s">
        <v>190</v>
      </c>
      <c r="GS1002" s="319" t="s">
        <v>190</v>
      </c>
      <c r="GT1002" s="319" t="s">
        <v>190</v>
      </c>
      <c r="GU1002" s="319" t="s">
        <v>190</v>
      </c>
      <c r="GV1002" s="319" t="s">
        <v>190</v>
      </c>
      <c r="GW1002" s="319" t="s">
        <v>190</v>
      </c>
      <c r="GX1002" s="319" t="s">
        <v>190</v>
      </c>
      <c r="GY1002" s="319" t="s">
        <v>190</v>
      </c>
      <c r="GZ1002" s="319" t="s">
        <v>190</v>
      </c>
      <c r="HA1002" s="319" t="s">
        <v>190</v>
      </c>
      <c r="HB1002" s="319" t="s">
        <v>190</v>
      </c>
      <c r="HC1002" s="319" t="s">
        <v>190</v>
      </c>
      <c r="HD1002" s="319" t="s">
        <v>190</v>
      </c>
      <c r="HE1002" s="319" t="s">
        <v>190</v>
      </c>
      <c r="HF1002" s="319" t="s">
        <v>190</v>
      </c>
      <c r="HG1002" s="319" t="s">
        <v>190</v>
      </c>
      <c r="HH1002" s="319" t="s">
        <v>190</v>
      </c>
      <c r="HI1002" s="319" t="s">
        <v>190</v>
      </c>
      <c r="HJ1002" s="319" t="s">
        <v>190</v>
      </c>
      <c r="HK1002" s="319" t="s">
        <v>190</v>
      </c>
      <c r="HL1002" s="319" t="s">
        <v>190</v>
      </c>
      <c r="HM1002" s="319" t="s">
        <v>190</v>
      </c>
      <c r="HN1002" s="319" t="s">
        <v>190</v>
      </c>
      <c r="HO1002" s="319" t="s">
        <v>190</v>
      </c>
      <c r="HP1002" s="319" t="s">
        <v>190</v>
      </c>
      <c r="HQ1002" s="319" t="s">
        <v>190</v>
      </c>
      <c r="HR1002" s="319" t="s">
        <v>190</v>
      </c>
      <c r="HS1002" s="319" t="s">
        <v>190</v>
      </c>
      <c r="HT1002" s="319" t="s">
        <v>190</v>
      </c>
      <c r="HU1002" s="319" t="s">
        <v>190</v>
      </c>
      <c r="HV1002" s="319" t="s">
        <v>190</v>
      </c>
      <c r="HW1002" s="319" t="s">
        <v>190</v>
      </c>
      <c r="HX1002" s="319" t="s">
        <v>190</v>
      </c>
      <c r="HY1002" s="319" t="s">
        <v>190</v>
      </c>
      <c r="HZ1002" s="319" t="s">
        <v>190</v>
      </c>
      <c r="IA1002" s="319" t="s">
        <v>190</v>
      </c>
      <c r="IB1002" s="319" t="s">
        <v>190</v>
      </c>
      <c r="IC1002" s="319" t="s">
        <v>190</v>
      </c>
      <c r="ID1002" s="319" t="s">
        <v>190</v>
      </c>
      <c r="IE1002" s="319" t="s">
        <v>190</v>
      </c>
      <c r="IF1002" s="319" t="s">
        <v>190</v>
      </c>
      <c r="IG1002" s="319" t="s">
        <v>190</v>
      </c>
      <c r="IH1002" s="319" t="s">
        <v>190</v>
      </c>
      <c r="II1002" s="319" t="s">
        <v>190</v>
      </c>
      <c r="IJ1002" s="319" t="s">
        <v>173</v>
      </c>
      <c r="IK1002" s="319" t="s">
        <v>173</v>
      </c>
      <c r="IL1002" s="319" t="s">
        <v>173</v>
      </c>
      <c r="IM1002" s="319" t="s">
        <v>173</v>
      </c>
      <c r="IN1002" s="319" t="s">
        <v>173</v>
      </c>
      <c r="IO1002" s="319" t="s">
        <v>173</v>
      </c>
      <c r="IP1002" s="319" t="s">
        <v>173</v>
      </c>
      <c r="IQ1002" s="319" t="s">
        <v>173</v>
      </c>
      <c r="IR1002" s="320" t="s">
        <v>173</v>
      </c>
      <c r="IS1002" s="320" t="s">
        <v>173</v>
      </c>
      <c r="IT1002" s="319" t="s">
        <v>173</v>
      </c>
    </row>
    <row r="1003" spans="1:254" s="271" customFormat="1" x14ac:dyDescent="0.25">
      <c r="A1003" s="318" t="str">
        <f>HYPERLINK("http://www.ofsted.gov.uk/inspection-reports/find-inspection-report/provider/ELS/146036 ","Ofsted School Webpage")</f>
        <v>Ofsted School Webpage</v>
      </c>
      <c r="B1003" s="319">
        <v>146036</v>
      </c>
      <c r="C1003" s="319">
        <v>8466026</v>
      </c>
      <c r="D1003" s="319" t="s">
        <v>827</v>
      </c>
      <c r="E1003" s="319" t="s">
        <v>168</v>
      </c>
      <c r="F1003" s="319" t="s">
        <v>81</v>
      </c>
      <c r="G1003" s="319" t="s">
        <v>81</v>
      </c>
      <c r="H1003" s="319" t="s">
        <v>81</v>
      </c>
      <c r="I1003" s="319" t="s">
        <v>78</v>
      </c>
      <c r="J1003" s="319" t="s">
        <v>424</v>
      </c>
      <c r="K1003" s="319" t="s">
        <v>514</v>
      </c>
      <c r="L1003" s="319" t="s">
        <v>514</v>
      </c>
      <c r="M1003" s="319" t="s">
        <v>828</v>
      </c>
      <c r="N1003" s="319" t="s">
        <v>3088</v>
      </c>
      <c r="O1003" s="319" t="s">
        <v>829</v>
      </c>
      <c r="P1003" s="319">
        <v>9</v>
      </c>
      <c r="Q1003" s="319" t="s">
        <v>429</v>
      </c>
      <c r="R1003" s="320">
        <v>10081031</v>
      </c>
      <c r="S1003" s="321">
        <v>43480</v>
      </c>
      <c r="T1003" s="321">
        <v>43482</v>
      </c>
      <c r="U1003" s="321">
        <v>43502</v>
      </c>
      <c r="V1003" s="319" t="s">
        <v>435</v>
      </c>
      <c r="W1003" s="319" t="s">
        <v>2767</v>
      </c>
      <c r="X1003" s="319">
        <v>2</v>
      </c>
      <c r="Y1003" s="319" t="s">
        <v>173</v>
      </c>
      <c r="Z1003" s="319" t="s">
        <v>173</v>
      </c>
      <c r="AA1003" s="319" t="s">
        <v>173</v>
      </c>
      <c r="AB1003" s="319">
        <v>2</v>
      </c>
      <c r="AC1003" s="319" t="s">
        <v>169</v>
      </c>
      <c r="AD1003" s="319" t="s">
        <v>173</v>
      </c>
      <c r="AE1003" s="319" t="s">
        <v>173</v>
      </c>
      <c r="AF1003" s="319" t="s">
        <v>427</v>
      </c>
      <c r="AG1003" s="319" t="s">
        <v>171</v>
      </c>
      <c r="AH1003" s="319" t="s">
        <v>190</v>
      </c>
      <c r="AI1003" s="319" t="s">
        <v>190</v>
      </c>
      <c r="AJ1003" s="319" t="s">
        <v>190</v>
      </c>
      <c r="AK1003" s="319" t="s">
        <v>190</v>
      </c>
      <c r="AL1003" s="319" t="s">
        <v>190</v>
      </c>
      <c r="AM1003" s="319" t="s">
        <v>190</v>
      </c>
      <c r="AN1003" s="319" t="s">
        <v>190</v>
      </c>
      <c r="AO1003" s="319" t="s">
        <v>190</v>
      </c>
      <c r="AP1003" s="319" t="s">
        <v>190</v>
      </c>
      <c r="AQ1003" s="319" t="s">
        <v>190</v>
      </c>
      <c r="AR1003" s="319" t="s">
        <v>190</v>
      </c>
      <c r="AS1003" s="319" t="s">
        <v>190</v>
      </c>
      <c r="AT1003" s="319" t="s">
        <v>190</v>
      </c>
      <c r="AU1003" s="319" t="s">
        <v>190</v>
      </c>
      <c r="AV1003" s="319" t="s">
        <v>190</v>
      </c>
      <c r="AW1003" s="319" t="s">
        <v>190</v>
      </c>
      <c r="AX1003" s="319" t="s">
        <v>428</v>
      </c>
      <c r="AY1003" s="319" t="s">
        <v>190</v>
      </c>
      <c r="AZ1003" s="319" t="s">
        <v>190</v>
      </c>
      <c r="BA1003" s="319" t="s">
        <v>190</v>
      </c>
      <c r="BB1003" s="319" t="s">
        <v>190</v>
      </c>
      <c r="BC1003" s="319" t="s">
        <v>190</v>
      </c>
      <c r="BD1003" s="319" t="s">
        <v>190</v>
      </c>
      <c r="BE1003" s="319" t="s">
        <v>190</v>
      </c>
      <c r="BF1003" s="319" t="s">
        <v>428</v>
      </c>
      <c r="BG1003" s="319" t="s">
        <v>190</v>
      </c>
      <c r="BH1003" s="319" t="s">
        <v>190</v>
      </c>
      <c r="BI1003" s="319" t="s">
        <v>190</v>
      </c>
      <c r="BJ1003" s="319" t="s">
        <v>190</v>
      </c>
      <c r="BK1003" s="319" t="s">
        <v>190</v>
      </c>
      <c r="BL1003" s="319" t="s">
        <v>190</v>
      </c>
      <c r="BM1003" s="319" t="s">
        <v>190</v>
      </c>
      <c r="BN1003" s="319" t="s">
        <v>190</v>
      </c>
      <c r="BO1003" s="319" t="s">
        <v>190</v>
      </c>
      <c r="BP1003" s="319" t="s">
        <v>190</v>
      </c>
      <c r="BQ1003" s="319" t="s">
        <v>190</v>
      </c>
      <c r="BR1003" s="319" t="s">
        <v>190</v>
      </c>
      <c r="BS1003" s="319" t="s">
        <v>190</v>
      </c>
      <c r="BT1003" s="319" t="s">
        <v>190</v>
      </c>
      <c r="BU1003" s="319" t="s">
        <v>190</v>
      </c>
      <c r="BV1003" s="319" t="s">
        <v>190</v>
      </c>
      <c r="BW1003" s="319" t="s">
        <v>190</v>
      </c>
      <c r="BX1003" s="319" t="s">
        <v>190</v>
      </c>
      <c r="BY1003" s="319" t="s">
        <v>190</v>
      </c>
      <c r="BZ1003" s="319" t="s">
        <v>190</v>
      </c>
      <c r="CA1003" s="319" t="s">
        <v>190</v>
      </c>
      <c r="CB1003" s="319" t="s">
        <v>190</v>
      </c>
      <c r="CC1003" s="319" t="s">
        <v>190</v>
      </c>
      <c r="CD1003" s="319" t="s">
        <v>190</v>
      </c>
      <c r="CE1003" s="319" t="s">
        <v>190</v>
      </c>
      <c r="CF1003" s="319" t="s">
        <v>190</v>
      </c>
      <c r="CG1003" s="319" t="s">
        <v>190</v>
      </c>
      <c r="CH1003" s="319" t="s">
        <v>190</v>
      </c>
      <c r="CI1003" s="319" t="s">
        <v>190</v>
      </c>
      <c r="CJ1003" s="319" t="s">
        <v>190</v>
      </c>
      <c r="CK1003" s="319" t="s">
        <v>190</v>
      </c>
      <c r="CL1003" s="319" t="s">
        <v>190</v>
      </c>
      <c r="CM1003" s="319" t="s">
        <v>190</v>
      </c>
      <c r="CN1003" s="319" t="s">
        <v>428</v>
      </c>
      <c r="CO1003" s="319" t="s">
        <v>428</v>
      </c>
      <c r="CP1003" s="319" t="s">
        <v>428</v>
      </c>
      <c r="CQ1003" s="319" t="s">
        <v>190</v>
      </c>
      <c r="CR1003" s="319" t="s">
        <v>190</v>
      </c>
      <c r="CS1003" s="319" t="s">
        <v>190</v>
      </c>
      <c r="CT1003" s="319" t="s">
        <v>190</v>
      </c>
      <c r="CU1003" s="319" t="s">
        <v>190</v>
      </c>
      <c r="CV1003" s="319" t="s">
        <v>190</v>
      </c>
      <c r="CW1003" s="319" t="s">
        <v>190</v>
      </c>
      <c r="CX1003" s="319" t="s">
        <v>190</v>
      </c>
      <c r="CY1003" s="319" t="s">
        <v>190</v>
      </c>
      <c r="CZ1003" s="319" t="s">
        <v>190</v>
      </c>
      <c r="DA1003" s="319" t="s">
        <v>190</v>
      </c>
      <c r="DB1003" s="319" t="s">
        <v>190</v>
      </c>
      <c r="DC1003" s="319" t="s">
        <v>190</v>
      </c>
      <c r="DD1003" s="319" t="s">
        <v>190</v>
      </c>
      <c r="DE1003" s="319" t="s">
        <v>190</v>
      </c>
      <c r="DF1003" s="319" t="s">
        <v>190</v>
      </c>
      <c r="DG1003" s="319" t="s">
        <v>190</v>
      </c>
      <c r="DH1003" s="319" t="s">
        <v>190</v>
      </c>
      <c r="DI1003" s="319" t="s">
        <v>190</v>
      </c>
      <c r="DJ1003" s="319" t="s">
        <v>190</v>
      </c>
      <c r="DK1003" s="319" t="s">
        <v>190</v>
      </c>
      <c r="DL1003" s="319" t="s">
        <v>190</v>
      </c>
      <c r="DM1003" s="319" t="s">
        <v>190</v>
      </c>
      <c r="DN1003" s="319" t="s">
        <v>428</v>
      </c>
      <c r="DO1003" s="319" t="s">
        <v>190</v>
      </c>
      <c r="DP1003" s="319" t="s">
        <v>190</v>
      </c>
      <c r="DQ1003" s="319" t="s">
        <v>190</v>
      </c>
      <c r="DR1003" s="319" t="s">
        <v>190</v>
      </c>
      <c r="DS1003" s="319" t="s">
        <v>190</v>
      </c>
      <c r="DT1003" s="319" t="s">
        <v>190</v>
      </c>
      <c r="DU1003" s="319" t="s">
        <v>190</v>
      </c>
      <c r="DV1003" s="319" t="s">
        <v>173</v>
      </c>
      <c r="DW1003" s="319" t="s">
        <v>190</v>
      </c>
      <c r="DX1003" s="319" t="s">
        <v>190</v>
      </c>
      <c r="DY1003" s="319" t="s">
        <v>190</v>
      </c>
      <c r="DZ1003" s="319" t="s">
        <v>190</v>
      </c>
      <c r="EA1003" s="319" t="s">
        <v>190</v>
      </c>
      <c r="EB1003" s="319" t="s">
        <v>190</v>
      </c>
      <c r="EC1003" s="319" t="s">
        <v>428</v>
      </c>
      <c r="ED1003" s="319" t="s">
        <v>190</v>
      </c>
      <c r="EE1003" s="319" t="s">
        <v>190</v>
      </c>
      <c r="EF1003" s="319" t="s">
        <v>190</v>
      </c>
      <c r="EG1003" s="319" t="s">
        <v>190</v>
      </c>
      <c r="EH1003" s="319" t="s">
        <v>190</v>
      </c>
      <c r="EI1003" s="319" t="s">
        <v>190</v>
      </c>
      <c r="EJ1003" s="319" t="s">
        <v>190</v>
      </c>
      <c r="EK1003" s="319" t="s">
        <v>190</v>
      </c>
      <c r="EL1003" s="319" t="s">
        <v>190</v>
      </c>
      <c r="EM1003" s="319" t="s">
        <v>190</v>
      </c>
      <c r="EN1003" s="319" t="s">
        <v>190</v>
      </c>
      <c r="EO1003" s="319" t="s">
        <v>190</v>
      </c>
      <c r="EP1003" s="319" t="s">
        <v>190</v>
      </c>
      <c r="EQ1003" s="319" t="s">
        <v>190</v>
      </c>
      <c r="ER1003" s="319" t="s">
        <v>190</v>
      </c>
      <c r="ES1003" s="319" t="s">
        <v>190</v>
      </c>
      <c r="ET1003" s="319" t="s">
        <v>190</v>
      </c>
      <c r="EU1003" s="319" t="s">
        <v>190</v>
      </c>
      <c r="EV1003" s="319" t="s">
        <v>190</v>
      </c>
      <c r="EW1003" s="319" t="s">
        <v>190</v>
      </c>
      <c r="EX1003" s="319" t="s">
        <v>190</v>
      </c>
      <c r="EY1003" s="319" t="s">
        <v>190</v>
      </c>
      <c r="EZ1003" s="319" t="s">
        <v>190</v>
      </c>
      <c r="FA1003" s="319" t="s">
        <v>190</v>
      </c>
      <c r="FB1003" s="319" t="s">
        <v>190</v>
      </c>
      <c r="FC1003" s="319" t="s">
        <v>190</v>
      </c>
      <c r="FD1003" s="319" t="s">
        <v>190</v>
      </c>
      <c r="FE1003" s="319" t="s">
        <v>190</v>
      </c>
      <c r="FF1003" s="319" t="s">
        <v>190</v>
      </c>
      <c r="FG1003" s="319" t="s">
        <v>190</v>
      </c>
      <c r="FH1003" s="319" t="s">
        <v>190</v>
      </c>
      <c r="FI1003" s="319" t="s">
        <v>190</v>
      </c>
      <c r="FJ1003" s="319" t="s">
        <v>190</v>
      </c>
      <c r="FK1003" s="319" t="s">
        <v>190</v>
      </c>
      <c r="FL1003" s="319" t="s">
        <v>190</v>
      </c>
      <c r="FM1003" s="319" t="s">
        <v>190</v>
      </c>
      <c r="FN1003" s="319" t="s">
        <v>190</v>
      </c>
      <c r="FO1003" s="319" t="s">
        <v>190</v>
      </c>
      <c r="FP1003" s="319" t="s">
        <v>190</v>
      </c>
      <c r="FQ1003" s="319" t="s">
        <v>190</v>
      </c>
      <c r="FR1003" s="319" t="s">
        <v>190</v>
      </c>
      <c r="FS1003" s="319" t="s">
        <v>428</v>
      </c>
      <c r="FT1003" s="319" t="s">
        <v>190</v>
      </c>
      <c r="FU1003" s="319" t="s">
        <v>190</v>
      </c>
      <c r="FV1003" s="319" t="s">
        <v>190</v>
      </c>
      <c r="FW1003" s="319" t="s">
        <v>190</v>
      </c>
      <c r="FX1003" s="319" t="s">
        <v>190</v>
      </c>
      <c r="FY1003" s="319" t="s">
        <v>190</v>
      </c>
      <c r="FZ1003" s="319" t="s">
        <v>190</v>
      </c>
      <c r="GA1003" s="319" t="s">
        <v>190</v>
      </c>
      <c r="GB1003" s="319" t="s">
        <v>190</v>
      </c>
      <c r="GC1003" s="319" t="s">
        <v>190</v>
      </c>
      <c r="GD1003" s="319" t="s">
        <v>190</v>
      </c>
      <c r="GE1003" s="319" t="s">
        <v>190</v>
      </c>
      <c r="GF1003" s="319" t="s">
        <v>190</v>
      </c>
      <c r="GG1003" s="319" t="s">
        <v>190</v>
      </c>
      <c r="GH1003" s="319" t="s">
        <v>190</v>
      </c>
      <c r="GI1003" s="319" t="s">
        <v>190</v>
      </c>
      <c r="GJ1003" s="319" t="s">
        <v>190</v>
      </c>
      <c r="GK1003" s="319" t="s">
        <v>428</v>
      </c>
      <c r="GL1003" s="319" t="s">
        <v>190</v>
      </c>
      <c r="GM1003" s="319" t="s">
        <v>190</v>
      </c>
      <c r="GN1003" s="319" t="s">
        <v>190</v>
      </c>
      <c r="GO1003" s="319" t="s">
        <v>190</v>
      </c>
      <c r="GP1003" s="319" t="s">
        <v>190</v>
      </c>
      <c r="GQ1003" s="319" t="s">
        <v>428</v>
      </c>
      <c r="GR1003" s="319" t="s">
        <v>190</v>
      </c>
      <c r="GS1003" s="319" t="s">
        <v>190</v>
      </c>
      <c r="GT1003" s="319" t="s">
        <v>190</v>
      </c>
      <c r="GU1003" s="319" t="s">
        <v>190</v>
      </c>
      <c r="GV1003" s="319" t="s">
        <v>190</v>
      </c>
      <c r="GW1003" s="319" t="s">
        <v>190</v>
      </c>
      <c r="GX1003" s="319" t="s">
        <v>190</v>
      </c>
      <c r="GY1003" s="319" t="s">
        <v>190</v>
      </c>
      <c r="GZ1003" s="319" t="s">
        <v>190</v>
      </c>
      <c r="HA1003" s="319" t="s">
        <v>428</v>
      </c>
      <c r="HB1003" s="319" t="s">
        <v>190</v>
      </c>
      <c r="HC1003" s="319" t="s">
        <v>190</v>
      </c>
      <c r="HD1003" s="319" t="s">
        <v>190</v>
      </c>
      <c r="HE1003" s="319" t="s">
        <v>190</v>
      </c>
      <c r="HF1003" s="319" t="s">
        <v>190</v>
      </c>
      <c r="HG1003" s="319" t="s">
        <v>190</v>
      </c>
      <c r="HH1003" s="319" t="s">
        <v>190</v>
      </c>
      <c r="HI1003" s="319" t="s">
        <v>190</v>
      </c>
      <c r="HJ1003" s="319" t="s">
        <v>190</v>
      </c>
      <c r="HK1003" s="319" t="s">
        <v>190</v>
      </c>
      <c r="HL1003" s="319" t="s">
        <v>190</v>
      </c>
      <c r="HM1003" s="319" t="s">
        <v>190</v>
      </c>
      <c r="HN1003" s="319" t="s">
        <v>190</v>
      </c>
      <c r="HO1003" s="319" t="s">
        <v>190</v>
      </c>
      <c r="HP1003" s="319" t="s">
        <v>190</v>
      </c>
      <c r="HQ1003" s="319" t="s">
        <v>190</v>
      </c>
      <c r="HR1003" s="319" t="s">
        <v>190</v>
      </c>
      <c r="HS1003" s="319" t="s">
        <v>190</v>
      </c>
      <c r="HT1003" s="319" t="s">
        <v>190</v>
      </c>
      <c r="HU1003" s="319" t="s">
        <v>190</v>
      </c>
      <c r="HV1003" s="319" t="s">
        <v>190</v>
      </c>
      <c r="HW1003" s="319" t="s">
        <v>190</v>
      </c>
      <c r="HX1003" s="319" t="s">
        <v>190</v>
      </c>
      <c r="HY1003" s="319" t="s">
        <v>190</v>
      </c>
      <c r="HZ1003" s="319" t="s">
        <v>190</v>
      </c>
      <c r="IA1003" s="319" t="s">
        <v>190</v>
      </c>
      <c r="IB1003" s="319" t="s">
        <v>190</v>
      </c>
      <c r="IC1003" s="319" t="s">
        <v>190</v>
      </c>
      <c r="ID1003" s="319" t="s">
        <v>190</v>
      </c>
      <c r="IE1003" s="319" t="s">
        <v>190</v>
      </c>
      <c r="IF1003" s="319" t="s">
        <v>190</v>
      </c>
      <c r="IG1003" s="319" t="s">
        <v>190</v>
      </c>
      <c r="IH1003" s="319" t="s">
        <v>190</v>
      </c>
      <c r="II1003" s="319" t="s">
        <v>190</v>
      </c>
      <c r="IJ1003" s="319" t="s">
        <v>173</v>
      </c>
      <c r="IK1003" s="319" t="s">
        <v>173</v>
      </c>
      <c r="IL1003" s="319" t="s">
        <v>173</v>
      </c>
      <c r="IM1003" s="319" t="s">
        <v>173</v>
      </c>
      <c r="IN1003" s="319" t="s">
        <v>173</v>
      </c>
      <c r="IO1003" s="319" t="s">
        <v>173</v>
      </c>
      <c r="IP1003" s="319" t="s">
        <v>173</v>
      </c>
      <c r="IQ1003" s="321" t="s">
        <v>173</v>
      </c>
      <c r="IR1003" s="320" t="s">
        <v>173</v>
      </c>
      <c r="IS1003" s="322" t="s">
        <v>173</v>
      </c>
      <c r="IT1003" s="319" t="s">
        <v>173</v>
      </c>
    </row>
    <row r="1004" spans="1:254" s="271" customFormat="1" x14ac:dyDescent="0.25">
      <c r="A1004" s="318" t="str">
        <f>HYPERLINK("http://www.ofsted.gov.uk/inspection-reports/find-inspection-report/provider/ELS/146078 ","Ofsted School Webpage")</f>
        <v>Ofsted School Webpage</v>
      </c>
      <c r="B1004" s="319">
        <v>146078</v>
      </c>
      <c r="C1004" s="319">
        <v>8606048</v>
      </c>
      <c r="D1004" s="319" t="s">
        <v>2523</v>
      </c>
      <c r="E1004" s="319" t="s">
        <v>167</v>
      </c>
      <c r="F1004" s="319" t="s">
        <v>81</v>
      </c>
      <c r="G1004" s="319" t="s">
        <v>81</v>
      </c>
      <c r="H1004" s="319" t="s">
        <v>81</v>
      </c>
      <c r="I1004" s="319" t="s">
        <v>78</v>
      </c>
      <c r="J1004" s="319" t="s">
        <v>424</v>
      </c>
      <c r="K1004" s="319" t="s">
        <v>437</v>
      </c>
      <c r="L1004" s="319" t="s">
        <v>437</v>
      </c>
      <c r="M1004" s="319" t="s">
        <v>577</v>
      </c>
      <c r="N1004" s="319" t="s">
        <v>3383</v>
      </c>
      <c r="O1004" s="319" t="s">
        <v>2730</v>
      </c>
      <c r="P1004" s="319">
        <v>0</v>
      </c>
      <c r="Q1004" s="319" t="s">
        <v>2766</v>
      </c>
      <c r="R1004" s="320" t="s">
        <v>173</v>
      </c>
      <c r="S1004" s="321" t="s">
        <v>173</v>
      </c>
      <c r="T1004" s="321" t="s">
        <v>173</v>
      </c>
      <c r="U1004" s="321" t="s">
        <v>173</v>
      </c>
      <c r="V1004" s="319" t="s">
        <v>173</v>
      </c>
      <c r="W1004" s="319" t="s">
        <v>173</v>
      </c>
      <c r="X1004" s="319" t="s">
        <v>173</v>
      </c>
      <c r="Y1004" s="319" t="s">
        <v>173</v>
      </c>
      <c r="Z1004" s="319" t="s">
        <v>173</v>
      </c>
      <c r="AA1004" s="319" t="s">
        <v>173</v>
      </c>
      <c r="AB1004" s="319" t="s">
        <v>173</v>
      </c>
      <c r="AC1004" s="319" t="s">
        <v>173</v>
      </c>
      <c r="AD1004" s="319" t="s">
        <v>173</v>
      </c>
      <c r="AE1004" s="319" t="s">
        <v>173</v>
      </c>
      <c r="AF1004" s="319" t="s">
        <v>173</v>
      </c>
      <c r="AG1004" s="319" t="s">
        <v>173</v>
      </c>
      <c r="AH1004" s="319" t="s">
        <v>173</v>
      </c>
      <c r="AI1004" s="319" t="s">
        <v>173</v>
      </c>
      <c r="AJ1004" s="319" t="s">
        <v>173</v>
      </c>
      <c r="AK1004" s="319" t="s">
        <v>173</v>
      </c>
      <c r="AL1004" s="319" t="s">
        <v>173</v>
      </c>
      <c r="AM1004" s="319" t="s">
        <v>173</v>
      </c>
      <c r="AN1004" s="319" t="s">
        <v>173</v>
      </c>
      <c r="AO1004" s="319" t="s">
        <v>173</v>
      </c>
      <c r="AP1004" s="319" t="s">
        <v>173</v>
      </c>
      <c r="AQ1004" s="319" t="s">
        <v>173</v>
      </c>
      <c r="AR1004" s="319" t="s">
        <v>173</v>
      </c>
      <c r="AS1004" s="319" t="s">
        <v>173</v>
      </c>
      <c r="AT1004" s="319" t="s">
        <v>173</v>
      </c>
      <c r="AU1004" s="319" t="s">
        <v>173</v>
      </c>
      <c r="AV1004" s="319" t="s">
        <v>173</v>
      </c>
      <c r="AW1004" s="319" t="s">
        <v>173</v>
      </c>
      <c r="AX1004" s="319" t="s">
        <v>173</v>
      </c>
      <c r="AY1004" s="319" t="s">
        <v>173</v>
      </c>
      <c r="AZ1004" s="319" t="s">
        <v>173</v>
      </c>
      <c r="BA1004" s="319" t="s">
        <v>173</v>
      </c>
      <c r="BB1004" s="319" t="s">
        <v>173</v>
      </c>
      <c r="BC1004" s="319" t="s">
        <v>173</v>
      </c>
      <c r="BD1004" s="319" t="s">
        <v>173</v>
      </c>
      <c r="BE1004" s="319" t="s">
        <v>173</v>
      </c>
      <c r="BF1004" s="319" t="s">
        <v>173</v>
      </c>
      <c r="BG1004" s="319" t="s">
        <v>173</v>
      </c>
      <c r="BH1004" s="319" t="s">
        <v>173</v>
      </c>
      <c r="BI1004" s="319" t="s">
        <v>173</v>
      </c>
      <c r="BJ1004" s="319" t="s">
        <v>173</v>
      </c>
      <c r="BK1004" s="319" t="s">
        <v>173</v>
      </c>
      <c r="BL1004" s="319" t="s">
        <v>173</v>
      </c>
      <c r="BM1004" s="319" t="s">
        <v>173</v>
      </c>
      <c r="BN1004" s="319" t="s">
        <v>173</v>
      </c>
      <c r="BO1004" s="319" t="s">
        <v>173</v>
      </c>
      <c r="BP1004" s="319" t="s">
        <v>173</v>
      </c>
      <c r="BQ1004" s="319" t="s">
        <v>173</v>
      </c>
      <c r="BR1004" s="319" t="s">
        <v>173</v>
      </c>
      <c r="BS1004" s="319" t="s">
        <v>173</v>
      </c>
      <c r="BT1004" s="319" t="s">
        <v>173</v>
      </c>
      <c r="BU1004" s="319" t="s">
        <v>173</v>
      </c>
      <c r="BV1004" s="319" t="s">
        <v>173</v>
      </c>
      <c r="BW1004" s="319" t="s">
        <v>173</v>
      </c>
      <c r="BX1004" s="319" t="s">
        <v>173</v>
      </c>
      <c r="BY1004" s="319" t="s">
        <v>173</v>
      </c>
      <c r="BZ1004" s="319" t="s">
        <v>173</v>
      </c>
      <c r="CA1004" s="319" t="s">
        <v>173</v>
      </c>
      <c r="CB1004" s="319" t="s">
        <v>173</v>
      </c>
      <c r="CC1004" s="319" t="s">
        <v>173</v>
      </c>
      <c r="CD1004" s="319" t="s">
        <v>173</v>
      </c>
      <c r="CE1004" s="319" t="s">
        <v>173</v>
      </c>
      <c r="CF1004" s="319" t="s">
        <v>173</v>
      </c>
      <c r="CG1004" s="319" t="s">
        <v>173</v>
      </c>
      <c r="CH1004" s="319" t="s">
        <v>173</v>
      </c>
      <c r="CI1004" s="319" t="s">
        <v>173</v>
      </c>
      <c r="CJ1004" s="319" t="s">
        <v>173</v>
      </c>
      <c r="CK1004" s="319" t="s">
        <v>173</v>
      </c>
      <c r="CL1004" s="319" t="s">
        <v>173</v>
      </c>
      <c r="CM1004" s="319" t="s">
        <v>173</v>
      </c>
      <c r="CN1004" s="319" t="s">
        <v>173</v>
      </c>
      <c r="CO1004" s="319" t="s">
        <v>173</v>
      </c>
      <c r="CP1004" s="319" t="s">
        <v>173</v>
      </c>
      <c r="CQ1004" s="319" t="s">
        <v>173</v>
      </c>
      <c r="CR1004" s="319" t="s">
        <v>173</v>
      </c>
      <c r="CS1004" s="319" t="s">
        <v>173</v>
      </c>
      <c r="CT1004" s="319" t="s">
        <v>173</v>
      </c>
      <c r="CU1004" s="319" t="s">
        <v>173</v>
      </c>
      <c r="CV1004" s="319" t="s">
        <v>173</v>
      </c>
      <c r="CW1004" s="319" t="s">
        <v>173</v>
      </c>
      <c r="CX1004" s="319" t="s">
        <v>173</v>
      </c>
      <c r="CY1004" s="319" t="s">
        <v>173</v>
      </c>
      <c r="CZ1004" s="319" t="s">
        <v>173</v>
      </c>
      <c r="DA1004" s="319" t="s">
        <v>173</v>
      </c>
      <c r="DB1004" s="319" t="s">
        <v>173</v>
      </c>
      <c r="DC1004" s="319" t="s">
        <v>173</v>
      </c>
      <c r="DD1004" s="319" t="s">
        <v>173</v>
      </c>
      <c r="DE1004" s="319" t="s">
        <v>173</v>
      </c>
      <c r="DF1004" s="319" t="s">
        <v>173</v>
      </c>
      <c r="DG1004" s="319" t="s">
        <v>173</v>
      </c>
      <c r="DH1004" s="319" t="s">
        <v>173</v>
      </c>
      <c r="DI1004" s="319" t="s">
        <v>173</v>
      </c>
      <c r="DJ1004" s="319" t="s">
        <v>173</v>
      </c>
      <c r="DK1004" s="319" t="s">
        <v>173</v>
      </c>
      <c r="DL1004" s="319" t="s">
        <v>173</v>
      </c>
      <c r="DM1004" s="319" t="s">
        <v>173</v>
      </c>
      <c r="DN1004" s="319" t="s">
        <v>173</v>
      </c>
      <c r="DO1004" s="319" t="s">
        <v>173</v>
      </c>
      <c r="DP1004" s="319" t="s">
        <v>173</v>
      </c>
      <c r="DQ1004" s="319" t="s">
        <v>173</v>
      </c>
      <c r="DR1004" s="319" t="s">
        <v>173</v>
      </c>
      <c r="DS1004" s="319" t="s">
        <v>173</v>
      </c>
      <c r="DT1004" s="319" t="s">
        <v>173</v>
      </c>
      <c r="DU1004" s="319" t="s">
        <v>173</v>
      </c>
      <c r="DV1004" s="319" t="s">
        <v>173</v>
      </c>
      <c r="DW1004" s="319" t="s">
        <v>173</v>
      </c>
      <c r="DX1004" s="319" t="s">
        <v>173</v>
      </c>
      <c r="DY1004" s="319" t="s">
        <v>173</v>
      </c>
      <c r="DZ1004" s="319" t="s">
        <v>173</v>
      </c>
      <c r="EA1004" s="319" t="s">
        <v>173</v>
      </c>
      <c r="EB1004" s="319" t="s">
        <v>173</v>
      </c>
      <c r="EC1004" s="319" t="s">
        <v>173</v>
      </c>
      <c r="ED1004" s="319" t="s">
        <v>173</v>
      </c>
      <c r="EE1004" s="319" t="s">
        <v>173</v>
      </c>
      <c r="EF1004" s="319" t="s">
        <v>173</v>
      </c>
      <c r="EG1004" s="319" t="s">
        <v>173</v>
      </c>
      <c r="EH1004" s="319" t="s">
        <v>173</v>
      </c>
      <c r="EI1004" s="319" t="s">
        <v>173</v>
      </c>
      <c r="EJ1004" s="319" t="s">
        <v>173</v>
      </c>
      <c r="EK1004" s="319" t="s">
        <v>173</v>
      </c>
      <c r="EL1004" s="319" t="s">
        <v>173</v>
      </c>
      <c r="EM1004" s="319" t="s">
        <v>173</v>
      </c>
      <c r="EN1004" s="319" t="s">
        <v>173</v>
      </c>
      <c r="EO1004" s="319" t="s">
        <v>173</v>
      </c>
      <c r="EP1004" s="319" t="s">
        <v>173</v>
      </c>
      <c r="EQ1004" s="319" t="s">
        <v>173</v>
      </c>
      <c r="ER1004" s="319" t="s">
        <v>173</v>
      </c>
      <c r="ES1004" s="319" t="s">
        <v>173</v>
      </c>
      <c r="ET1004" s="319" t="s">
        <v>173</v>
      </c>
      <c r="EU1004" s="319" t="s">
        <v>173</v>
      </c>
      <c r="EV1004" s="319" t="s">
        <v>173</v>
      </c>
      <c r="EW1004" s="319" t="s">
        <v>173</v>
      </c>
      <c r="EX1004" s="319" t="s">
        <v>173</v>
      </c>
      <c r="EY1004" s="319" t="s">
        <v>173</v>
      </c>
      <c r="EZ1004" s="319" t="s">
        <v>173</v>
      </c>
      <c r="FA1004" s="319" t="s">
        <v>173</v>
      </c>
      <c r="FB1004" s="319" t="s">
        <v>173</v>
      </c>
      <c r="FC1004" s="319" t="s">
        <v>173</v>
      </c>
      <c r="FD1004" s="319" t="s">
        <v>173</v>
      </c>
      <c r="FE1004" s="319" t="s">
        <v>173</v>
      </c>
      <c r="FF1004" s="319" t="s">
        <v>173</v>
      </c>
      <c r="FG1004" s="319" t="s">
        <v>173</v>
      </c>
      <c r="FH1004" s="319" t="s">
        <v>173</v>
      </c>
      <c r="FI1004" s="319" t="s">
        <v>173</v>
      </c>
      <c r="FJ1004" s="319" t="s">
        <v>173</v>
      </c>
      <c r="FK1004" s="319" t="s">
        <v>173</v>
      </c>
      <c r="FL1004" s="319" t="s">
        <v>173</v>
      </c>
      <c r="FM1004" s="319" t="s">
        <v>173</v>
      </c>
      <c r="FN1004" s="319" t="s">
        <v>173</v>
      </c>
      <c r="FO1004" s="319" t="s">
        <v>173</v>
      </c>
      <c r="FP1004" s="319" t="s">
        <v>173</v>
      </c>
      <c r="FQ1004" s="319" t="s">
        <v>173</v>
      </c>
      <c r="FR1004" s="319" t="s">
        <v>173</v>
      </c>
      <c r="FS1004" s="319" t="s">
        <v>173</v>
      </c>
      <c r="FT1004" s="319" t="s">
        <v>173</v>
      </c>
      <c r="FU1004" s="319" t="s">
        <v>173</v>
      </c>
      <c r="FV1004" s="319" t="s">
        <v>173</v>
      </c>
      <c r="FW1004" s="319" t="s">
        <v>173</v>
      </c>
      <c r="FX1004" s="319" t="s">
        <v>173</v>
      </c>
      <c r="FY1004" s="319" t="s">
        <v>173</v>
      </c>
      <c r="FZ1004" s="319" t="s">
        <v>173</v>
      </c>
      <c r="GA1004" s="319" t="s">
        <v>173</v>
      </c>
      <c r="GB1004" s="319" t="s">
        <v>173</v>
      </c>
      <c r="GC1004" s="319" t="s">
        <v>173</v>
      </c>
      <c r="GD1004" s="319" t="s">
        <v>173</v>
      </c>
      <c r="GE1004" s="319" t="s">
        <v>173</v>
      </c>
      <c r="GF1004" s="319" t="s">
        <v>173</v>
      </c>
      <c r="GG1004" s="319" t="s">
        <v>173</v>
      </c>
      <c r="GH1004" s="319" t="s">
        <v>173</v>
      </c>
      <c r="GI1004" s="319" t="s">
        <v>173</v>
      </c>
      <c r="GJ1004" s="319" t="s">
        <v>173</v>
      </c>
      <c r="GK1004" s="319" t="s">
        <v>173</v>
      </c>
      <c r="GL1004" s="319" t="s">
        <v>173</v>
      </c>
      <c r="GM1004" s="319" t="s">
        <v>173</v>
      </c>
      <c r="GN1004" s="319" t="s">
        <v>173</v>
      </c>
      <c r="GO1004" s="319" t="s">
        <v>173</v>
      </c>
      <c r="GP1004" s="319" t="s">
        <v>173</v>
      </c>
      <c r="GQ1004" s="319" t="s">
        <v>173</v>
      </c>
      <c r="GR1004" s="319" t="s">
        <v>173</v>
      </c>
      <c r="GS1004" s="319" t="s">
        <v>173</v>
      </c>
      <c r="GT1004" s="319" t="s">
        <v>173</v>
      </c>
      <c r="GU1004" s="319" t="s">
        <v>173</v>
      </c>
      <c r="GV1004" s="319" t="s">
        <v>173</v>
      </c>
      <c r="GW1004" s="319" t="s">
        <v>173</v>
      </c>
      <c r="GX1004" s="319" t="s">
        <v>173</v>
      </c>
      <c r="GY1004" s="319" t="s">
        <v>173</v>
      </c>
      <c r="GZ1004" s="319" t="s">
        <v>173</v>
      </c>
      <c r="HA1004" s="319" t="s">
        <v>173</v>
      </c>
      <c r="HB1004" s="319" t="s">
        <v>173</v>
      </c>
      <c r="HC1004" s="319" t="s">
        <v>173</v>
      </c>
      <c r="HD1004" s="319" t="s">
        <v>173</v>
      </c>
      <c r="HE1004" s="319" t="s">
        <v>173</v>
      </c>
      <c r="HF1004" s="319" t="s">
        <v>173</v>
      </c>
      <c r="HG1004" s="319" t="s">
        <v>173</v>
      </c>
      <c r="HH1004" s="319" t="s">
        <v>173</v>
      </c>
      <c r="HI1004" s="319" t="s">
        <v>173</v>
      </c>
      <c r="HJ1004" s="319" t="s">
        <v>173</v>
      </c>
      <c r="HK1004" s="319" t="s">
        <v>173</v>
      </c>
      <c r="HL1004" s="319" t="s">
        <v>173</v>
      </c>
      <c r="HM1004" s="319" t="s">
        <v>173</v>
      </c>
      <c r="HN1004" s="319" t="s">
        <v>173</v>
      </c>
      <c r="HO1004" s="319" t="s">
        <v>173</v>
      </c>
      <c r="HP1004" s="319" t="s">
        <v>173</v>
      </c>
      <c r="HQ1004" s="319" t="s">
        <v>173</v>
      </c>
      <c r="HR1004" s="319" t="s">
        <v>173</v>
      </c>
      <c r="HS1004" s="319" t="s">
        <v>173</v>
      </c>
      <c r="HT1004" s="319" t="s">
        <v>173</v>
      </c>
      <c r="HU1004" s="319" t="s">
        <v>173</v>
      </c>
      <c r="HV1004" s="319" t="s">
        <v>173</v>
      </c>
      <c r="HW1004" s="319" t="s">
        <v>173</v>
      </c>
      <c r="HX1004" s="319" t="s">
        <v>173</v>
      </c>
      <c r="HY1004" s="319" t="s">
        <v>173</v>
      </c>
      <c r="HZ1004" s="319" t="s">
        <v>173</v>
      </c>
      <c r="IA1004" s="319" t="s">
        <v>173</v>
      </c>
      <c r="IB1004" s="319" t="s">
        <v>173</v>
      </c>
      <c r="IC1004" s="319" t="s">
        <v>173</v>
      </c>
      <c r="ID1004" s="319" t="s">
        <v>173</v>
      </c>
      <c r="IE1004" s="319" t="s">
        <v>173</v>
      </c>
      <c r="IF1004" s="319" t="s">
        <v>173</v>
      </c>
      <c r="IG1004" s="319" t="s">
        <v>173</v>
      </c>
      <c r="IH1004" s="319" t="s">
        <v>173</v>
      </c>
      <c r="II1004" s="319" t="s">
        <v>173</v>
      </c>
      <c r="IJ1004" s="319" t="s">
        <v>173</v>
      </c>
      <c r="IK1004" s="319" t="s">
        <v>173</v>
      </c>
      <c r="IL1004" s="319" t="s">
        <v>173</v>
      </c>
      <c r="IM1004" s="319" t="s">
        <v>173</v>
      </c>
      <c r="IN1004" s="319" t="s">
        <v>173</v>
      </c>
      <c r="IO1004" s="319" t="s">
        <v>173</v>
      </c>
      <c r="IP1004" s="319" t="s">
        <v>173</v>
      </c>
      <c r="IQ1004" s="319" t="s">
        <v>173</v>
      </c>
      <c r="IR1004" s="320" t="s">
        <v>173</v>
      </c>
      <c r="IS1004" s="320" t="s">
        <v>173</v>
      </c>
      <c r="IT1004" s="319" t="s">
        <v>173</v>
      </c>
    </row>
    <row r="1005" spans="1:254" s="271" customFormat="1" x14ac:dyDescent="0.25">
      <c r="A1005" s="318" t="str">
        <f>HYPERLINK("http://www.ofsted.gov.uk/inspection-reports/find-inspection-report/provider/ELS/146164 ","Ofsted School Webpage")</f>
        <v>Ofsted School Webpage</v>
      </c>
      <c r="B1005" s="319">
        <v>146164</v>
      </c>
      <c r="C1005" s="319">
        <v>8946011</v>
      </c>
      <c r="D1005" s="319" t="s">
        <v>2524</v>
      </c>
      <c r="E1005" s="319" t="s">
        <v>167</v>
      </c>
      <c r="F1005" s="319" t="s">
        <v>81</v>
      </c>
      <c r="G1005" s="319" t="s">
        <v>81</v>
      </c>
      <c r="H1005" s="319" t="s">
        <v>81</v>
      </c>
      <c r="I1005" s="319" t="s">
        <v>78</v>
      </c>
      <c r="J1005" s="319" t="s">
        <v>424</v>
      </c>
      <c r="K1005" s="319" t="s">
        <v>437</v>
      </c>
      <c r="L1005" s="319" t="s">
        <v>437</v>
      </c>
      <c r="M1005" s="319" t="s">
        <v>455</v>
      </c>
      <c r="N1005" s="319" t="s">
        <v>3576</v>
      </c>
      <c r="O1005" s="319" t="s">
        <v>2525</v>
      </c>
      <c r="P1005" s="319" t="s">
        <v>173</v>
      </c>
      <c r="Q1005" s="319" t="s">
        <v>2766</v>
      </c>
      <c r="R1005" s="320">
        <v>10100049</v>
      </c>
      <c r="S1005" s="321">
        <v>43634</v>
      </c>
      <c r="T1005" s="321">
        <v>43636</v>
      </c>
      <c r="U1005" s="321">
        <v>43718</v>
      </c>
      <c r="V1005" s="319" t="s">
        <v>435</v>
      </c>
      <c r="W1005" s="319" t="s">
        <v>2767</v>
      </c>
      <c r="X1005" s="319">
        <v>3</v>
      </c>
      <c r="Y1005" s="319" t="s">
        <v>173</v>
      </c>
      <c r="Z1005" s="319" t="s">
        <v>173</v>
      </c>
      <c r="AA1005" s="319" t="s">
        <v>173</v>
      </c>
      <c r="AB1005" s="319">
        <v>3</v>
      </c>
      <c r="AC1005" s="319" t="s">
        <v>169</v>
      </c>
      <c r="AD1005" s="319" t="s">
        <v>173</v>
      </c>
      <c r="AE1005" s="319" t="s">
        <v>173</v>
      </c>
      <c r="AF1005" s="319" t="s">
        <v>427</v>
      </c>
      <c r="AG1005" s="319" t="s">
        <v>171</v>
      </c>
      <c r="AH1005" s="319" t="s">
        <v>190</v>
      </c>
      <c r="AI1005" s="319" t="s">
        <v>190</v>
      </c>
      <c r="AJ1005" s="319" t="s">
        <v>190</v>
      </c>
      <c r="AK1005" s="319" t="s">
        <v>190</v>
      </c>
      <c r="AL1005" s="319" t="s">
        <v>190</v>
      </c>
      <c r="AM1005" s="319" t="s">
        <v>190</v>
      </c>
      <c r="AN1005" s="319" t="s">
        <v>190</v>
      </c>
      <c r="AO1005" s="319" t="s">
        <v>190</v>
      </c>
      <c r="AP1005" s="319" t="s">
        <v>190</v>
      </c>
      <c r="AQ1005" s="319" t="s">
        <v>190</v>
      </c>
      <c r="AR1005" s="319" t="s">
        <v>190</v>
      </c>
      <c r="AS1005" s="319" t="s">
        <v>190</v>
      </c>
      <c r="AT1005" s="319" t="s">
        <v>190</v>
      </c>
      <c r="AU1005" s="319" t="s">
        <v>190</v>
      </c>
      <c r="AV1005" s="319" t="s">
        <v>190</v>
      </c>
      <c r="AW1005" s="319" t="s">
        <v>190</v>
      </c>
      <c r="AX1005" s="319" t="s">
        <v>428</v>
      </c>
      <c r="AY1005" s="319" t="s">
        <v>190</v>
      </c>
      <c r="AZ1005" s="319" t="s">
        <v>190</v>
      </c>
      <c r="BA1005" s="319" t="s">
        <v>190</v>
      </c>
      <c r="BB1005" s="319" t="s">
        <v>190</v>
      </c>
      <c r="BC1005" s="319" t="s">
        <v>190</v>
      </c>
      <c r="BD1005" s="319" t="s">
        <v>190</v>
      </c>
      <c r="BE1005" s="319" t="s">
        <v>190</v>
      </c>
      <c r="BF1005" s="319" t="s">
        <v>428</v>
      </c>
      <c r="BG1005" s="319" t="s">
        <v>428</v>
      </c>
      <c r="BH1005" s="319" t="s">
        <v>190</v>
      </c>
      <c r="BI1005" s="319" t="s">
        <v>190</v>
      </c>
      <c r="BJ1005" s="319" t="s">
        <v>190</v>
      </c>
      <c r="BK1005" s="319" t="s">
        <v>190</v>
      </c>
      <c r="BL1005" s="319" t="s">
        <v>190</v>
      </c>
      <c r="BM1005" s="319" t="s">
        <v>190</v>
      </c>
      <c r="BN1005" s="319" t="s">
        <v>190</v>
      </c>
      <c r="BO1005" s="319" t="s">
        <v>190</v>
      </c>
      <c r="BP1005" s="319" t="s">
        <v>190</v>
      </c>
      <c r="BQ1005" s="319" t="s">
        <v>190</v>
      </c>
      <c r="BR1005" s="319" t="s">
        <v>190</v>
      </c>
      <c r="BS1005" s="319" t="s">
        <v>190</v>
      </c>
      <c r="BT1005" s="319" t="s">
        <v>190</v>
      </c>
      <c r="BU1005" s="319" t="s">
        <v>190</v>
      </c>
      <c r="BV1005" s="319" t="s">
        <v>190</v>
      </c>
      <c r="BW1005" s="319" t="s">
        <v>190</v>
      </c>
      <c r="BX1005" s="319" t="s">
        <v>190</v>
      </c>
      <c r="BY1005" s="319" t="s">
        <v>190</v>
      </c>
      <c r="BZ1005" s="319" t="s">
        <v>190</v>
      </c>
      <c r="CA1005" s="319" t="s">
        <v>190</v>
      </c>
      <c r="CB1005" s="319" t="s">
        <v>190</v>
      </c>
      <c r="CC1005" s="319" t="s">
        <v>190</v>
      </c>
      <c r="CD1005" s="319" t="s">
        <v>190</v>
      </c>
      <c r="CE1005" s="319" t="s">
        <v>190</v>
      </c>
      <c r="CF1005" s="319" t="s">
        <v>190</v>
      </c>
      <c r="CG1005" s="319" t="s">
        <v>190</v>
      </c>
      <c r="CH1005" s="319" t="s">
        <v>190</v>
      </c>
      <c r="CI1005" s="319" t="s">
        <v>190</v>
      </c>
      <c r="CJ1005" s="319" t="s">
        <v>190</v>
      </c>
      <c r="CK1005" s="319" t="s">
        <v>190</v>
      </c>
      <c r="CL1005" s="319" t="s">
        <v>190</v>
      </c>
      <c r="CM1005" s="319" t="s">
        <v>190</v>
      </c>
      <c r="CN1005" s="319" t="s">
        <v>428</v>
      </c>
      <c r="CO1005" s="319" t="s">
        <v>428</v>
      </c>
      <c r="CP1005" s="319" t="s">
        <v>428</v>
      </c>
      <c r="CQ1005" s="319" t="s">
        <v>190</v>
      </c>
      <c r="CR1005" s="319" t="s">
        <v>190</v>
      </c>
      <c r="CS1005" s="319" t="s">
        <v>190</v>
      </c>
      <c r="CT1005" s="319" t="s">
        <v>190</v>
      </c>
      <c r="CU1005" s="319" t="s">
        <v>190</v>
      </c>
      <c r="CV1005" s="319" t="s">
        <v>190</v>
      </c>
      <c r="CW1005" s="319" t="s">
        <v>190</v>
      </c>
      <c r="CX1005" s="319" t="s">
        <v>190</v>
      </c>
      <c r="CY1005" s="319" t="s">
        <v>190</v>
      </c>
      <c r="CZ1005" s="319" t="s">
        <v>190</v>
      </c>
      <c r="DA1005" s="319" t="s">
        <v>190</v>
      </c>
      <c r="DB1005" s="319" t="s">
        <v>190</v>
      </c>
      <c r="DC1005" s="319" t="s">
        <v>190</v>
      </c>
      <c r="DD1005" s="319" t="s">
        <v>190</v>
      </c>
      <c r="DE1005" s="319" t="s">
        <v>190</v>
      </c>
      <c r="DF1005" s="319" t="s">
        <v>190</v>
      </c>
      <c r="DG1005" s="319" t="s">
        <v>190</v>
      </c>
      <c r="DH1005" s="319" t="s">
        <v>190</v>
      </c>
      <c r="DI1005" s="319" t="s">
        <v>190</v>
      </c>
      <c r="DJ1005" s="319" t="s">
        <v>190</v>
      </c>
      <c r="DK1005" s="319" t="s">
        <v>190</v>
      </c>
      <c r="DL1005" s="319" t="s">
        <v>190</v>
      </c>
      <c r="DM1005" s="319" t="s">
        <v>190</v>
      </c>
      <c r="DN1005" s="319" t="s">
        <v>428</v>
      </c>
      <c r="DO1005" s="319" t="s">
        <v>190</v>
      </c>
      <c r="DP1005" s="319" t="s">
        <v>190</v>
      </c>
      <c r="DQ1005" s="319" t="s">
        <v>190</v>
      </c>
      <c r="DR1005" s="319" t="s">
        <v>190</v>
      </c>
      <c r="DS1005" s="319" t="s">
        <v>190</v>
      </c>
      <c r="DT1005" s="319" t="s">
        <v>190</v>
      </c>
      <c r="DU1005" s="319" t="s">
        <v>190</v>
      </c>
      <c r="DV1005" s="319" t="s">
        <v>173</v>
      </c>
      <c r="DW1005" s="319" t="s">
        <v>190</v>
      </c>
      <c r="DX1005" s="319" t="s">
        <v>190</v>
      </c>
      <c r="DY1005" s="319" t="s">
        <v>190</v>
      </c>
      <c r="DZ1005" s="319" t="s">
        <v>190</v>
      </c>
      <c r="EA1005" s="319" t="s">
        <v>190</v>
      </c>
      <c r="EB1005" s="319" t="s">
        <v>190</v>
      </c>
      <c r="EC1005" s="319" t="s">
        <v>428</v>
      </c>
      <c r="ED1005" s="319" t="s">
        <v>190</v>
      </c>
      <c r="EE1005" s="319" t="s">
        <v>190</v>
      </c>
      <c r="EF1005" s="319" t="s">
        <v>190</v>
      </c>
      <c r="EG1005" s="319" t="s">
        <v>190</v>
      </c>
      <c r="EH1005" s="319" t="s">
        <v>190</v>
      </c>
      <c r="EI1005" s="319" t="s">
        <v>190</v>
      </c>
      <c r="EJ1005" s="319" t="s">
        <v>190</v>
      </c>
      <c r="EK1005" s="319" t="s">
        <v>190</v>
      </c>
      <c r="EL1005" s="319" t="s">
        <v>190</v>
      </c>
      <c r="EM1005" s="319" t="s">
        <v>190</v>
      </c>
      <c r="EN1005" s="319" t="s">
        <v>190</v>
      </c>
      <c r="EO1005" s="319" t="s">
        <v>190</v>
      </c>
      <c r="EP1005" s="319" t="s">
        <v>190</v>
      </c>
      <c r="EQ1005" s="319" t="s">
        <v>190</v>
      </c>
      <c r="ER1005" s="319" t="s">
        <v>190</v>
      </c>
      <c r="ES1005" s="319" t="s">
        <v>190</v>
      </c>
      <c r="ET1005" s="319" t="s">
        <v>190</v>
      </c>
      <c r="EU1005" s="319" t="s">
        <v>190</v>
      </c>
      <c r="EV1005" s="319" t="s">
        <v>190</v>
      </c>
      <c r="EW1005" s="319" t="s">
        <v>190</v>
      </c>
      <c r="EX1005" s="319" t="s">
        <v>190</v>
      </c>
      <c r="EY1005" s="319" t="s">
        <v>190</v>
      </c>
      <c r="EZ1005" s="319" t="s">
        <v>190</v>
      </c>
      <c r="FA1005" s="319" t="s">
        <v>190</v>
      </c>
      <c r="FB1005" s="319" t="s">
        <v>428</v>
      </c>
      <c r="FC1005" s="319" t="s">
        <v>428</v>
      </c>
      <c r="FD1005" s="319" t="s">
        <v>428</v>
      </c>
      <c r="FE1005" s="319" t="s">
        <v>428</v>
      </c>
      <c r="FF1005" s="319" t="s">
        <v>428</v>
      </c>
      <c r="FG1005" s="319" t="s">
        <v>428</v>
      </c>
      <c r="FH1005" s="319" t="s">
        <v>190</v>
      </c>
      <c r="FI1005" s="319" t="s">
        <v>190</v>
      </c>
      <c r="FJ1005" s="319" t="s">
        <v>190</v>
      </c>
      <c r="FK1005" s="319" t="s">
        <v>190</v>
      </c>
      <c r="FL1005" s="319" t="s">
        <v>190</v>
      </c>
      <c r="FM1005" s="319" t="s">
        <v>190</v>
      </c>
      <c r="FN1005" s="319" t="s">
        <v>190</v>
      </c>
      <c r="FO1005" s="319" t="s">
        <v>190</v>
      </c>
      <c r="FP1005" s="319" t="s">
        <v>190</v>
      </c>
      <c r="FQ1005" s="319" t="s">
        <v>190</v>
      </c>
      <c r="FR1005" s="319" t="s">
        <v>190</v>
      </c>
      <c r="FS1005" s="319" t="s">
        <v>428</v>
      </c>
      <c r="FT1005" s="319" t="s">
        <v>190</v>
      </c>
      <c r="FU1005" s="319" t="s">
        <v>190</v>
      </c>
      <c r="FV1005" s="319" t="s">
        <v>190</v>
      </c>
      <c r="FW1005" s="319" t="s">
        <v>190</v>
      </c>
      <c r="FX1005" s="319" t="s">
        <v>190</v>
      </c>
      <c r="FY1005" s="319" t="s">
        <v>190</v>
      </c>
      <c r="FZ1005" s="319" t="s">
        <v>190</v>
      </c>
      <c r="GA1005" s="319" t="s">
        <v>190</v>
      </c>
      <c r="GB1005" s="319" t="s">
        <v>190</v>
      </c>
      <c r="GC1005" s="319" t="s">
        <v>190</v>
      </c>
      <c r="GD1005" s="319" t="s">
        <v>190</v>
      </c>
      <c r="GE1005" s="319" t="s">
        <v>190</v>
      </c>
      <c r="GF1005" s="319" t="s">
        <v>190</v>
      </c>
      <c r="GG1005" s="319" t="s">
        <v>190</v>
      </c>
      <c r="GH1005" s="319" t="s">
        <v>190</v>
      </c>
      <c r="GI1005" s="319" t="s">
        <v>190</v>
      </c>
      <c r="GJ1005" s="319" t="s">
        <v>190</v>
      </c>
      <c r="GK1005" s="319" t="s">
        <v>428</v>
      </c>
      <c r="GL1005" s="319" t="s">
        <v>190</v>
      </c>
      <c r="GM1005" s="319" t="s">
        <v>190</v>
      </c>
      <c r="GN1005" s="319" t="s">
        <v>190</v>
      </c>
      <c r="GO1005" s="319" t="s">
        <v>190</v>
      </c>
      <c r="GP1005" s="319" t="s">
        <v>190</v>
      </c>
      <c r="GQ1005" s="319" t="s">
        <v>190</v>
      </c>
      <c r="GR1005" s="319" t="s">
        <v>190</v>
      </c>
      <c r="GS1005" s="319" t="s">
        <v>190</v>
      </c>
      <c r="GT1005" s="319" t="s">
        <v>190</v>
      </c>
      <c r="GU1005" s="319" t="s">
        <v>190</v>
      </c>
      <c r="GV1005" s="319" t="s">
        <v>190</v>
      </c>
      <c r="GW1005" s="319" t="s">
        <v>190</v>
      </c>
      <c r="GX1005" s="319" t="s">
        <v>190</v>
      </c>
      <c r="GY1005" s="319" t="s">
        <v>190</v>
      </c>
      <c r="GZ1005" s="319" t="s">
        <v>190</v>
      </c>
      <c r="HA1005" s="319" t="s">
        <v>190</v>
      </c>
      <c r="HB1005" s="319" t="s">
        <v>190</v>
      </c>
      <c r="HC1005" s="319" t="s">
        <v>190</v>
      </c>
      <c r="HD1005" s="319" t="s">
        <v>190</v>
      </c>
      <c r="HE1005" s="319" t="s">
        <v>190</v>
      </c>
      <c r="HF1005" s="319" t="s">
        <v>190</v>
      </c>
      <c r="HG1005" s="319" t="s">
        <v>190</v>
      </c>
      <c r="HH1005" s="319" t="s">
        <v>190</v>
      </c>
      <c r="HI1005" s="319" t="s">
        <v>428</v>
      </c>
      <c r="HJ1005" s="319" t="s">
        <v>190</v>
      </c>
      <c r="HK1005" s="319" t="s">
        <v>428</v>
      </c>
      <c r="HL1005" s="319" t="s">
        <v>428</v>
      </c>
      <c r="HM1005" s="319" t="s">
        <v>428</v>
      </c>
      <c r="HN1005" s="319" t="s">
        <v>428</v>
      </c>
      <c r="HO1005" s="319" t="s">
        <v>428</v>
      </c>
      <c r="HP1005" s="319" t="s">
        <v>190</v>
      </c>
      <c r="HQ1005" s="319" t="s">
        <v>190</v>
      </c>
      <c r="HR1005" s="319" t="s">
        <v>190</v>
      </c>
      <c r="HS1005" s="319" t="s">
        <v>190</v>
      </c>
      <c r="HT1005" s="319" t="s">
        <v>190</v>
      </c>
      <c r="HU1005" s="319" t="s">
        <v>190</v>
      </c>
      <c r="HV1005" s="319" t="s">
        <v>190</v>
      </c>
      <c r="HW1005" s="319" t="s">
        <v>190</v>
      </c>
      <c r="HX1005" s="319" t="s">
        <v>190</v>
      </c>
      <c r="HY1005" s="319" t="s">
        <v>190</v>
      </c>
      <c r="HZ1005" s="319" t="s">
        <v>190</v>
      </c>
      <c r="IA1005" s="319" t="s">
        <v>190</v>
      </c>
      <c r="IB1005" s="319" t="s">
        <v>190</v>
      </c>
      <c r="IC1005" s="319" t="s">
        <v>190</v>
      </c>
      <c r="ID1005" s="319" t="s">
        <v>190</v>
      </c>
      <c r="IE1005" s="319" t="s">
        <v>190</v>
      </c>
      <c r="IF1005" s="319" t="s">
        <v>190</v>
      </c>
      <c r="IG1005" s="319" t="s">
        <v>190</v>
      </c>
      <c r="IH1005" s="319" t="s">
        <v>190</v>
      </c>
      <c r="II1005" s="319" t="s">
        <v>190</v>
      </c>
      <c r="IJ1005" s="319" t="s">
        <v>173</v>
      </c>
      <c r="IK1005" s="319" t="s">
        <v>173</v>
      </c>
      <c r="IL1005" s="319" t="s">
        <v>173</v>
      </c>
      <c r="IM1005" s="319" t="s">
        <v>173</v>
      </c>
      <c r="IN1005" s="319" t="s">
        <v>173</v>
      </c>
      <c r="IO1005" s="319" t="s">
        <v>173</v>
      </c>
      <c r="IP1005" s="319" t="s">
        <v>173</v>
      </c>
      <c r="IQ1005" s="319" t="s">
        <v>173</v>
      </c>
      <c r="IR1005" s="320" t="s">
        <v>173</v>
      </c>
      <c r="IS1005" s="320" t="s">
        <v>173</v>
      </c>
      <c r="IT1005" s="319" t="s">
        <v>173</v>
      </c>
    </row>
    <row r="1006" spans="1:254" s="271" customFormat="1" x14ac:dyDescent="0.25">
      <c r="A1006" s="318" t="str">
        <f>HYPERLINK("http://www.ofsted.gov.uk/inspection-reports/find-inspection-report/provider/ELS/146166 ","Ofsted School Webpage")</f>
        <v>Ofsted School Webpage</v>
      </c>
      <c r="B1006" s="319">
        <v>146166</v>
      </c>
      <c r="C1006" s="319">
        <v>8656051</v>
      </c>
      <c r="D1006" s="319" t="s">
        <v>2526</v>
      </c>
      <c r="E1006" s="319" t="s">
        <v>168</v>
      </c>
      <c r="F1006" s="319" t="s">
        <v>81</v>
      </c>
      <c r="G1006" s="319" t="s">
        <v>81</v>
      </c>
      <c r="H1006" s="319" t="s">
        <v>81</v>
      </c>
      <c r="I1006" s="319" t="s">
        <v>78</v>
      </c>
      <c r="J1006" s="319" t="s">
        <v>424</v>
      </c>
      <c r="K1006" s="319" t="s">
        <v>422</v>
      </c>
      <c r="L1006" s="319" t="s">
        <v>422</v>
      </c>
      <c r="M1006" s="319" t="s">
        <v>702</v>
      </c>
      <c r="N1006" s="319" t="s">
        <v>3432</v>
      </c>
      <c r="O1006" s="319" t="s">
        <v>2527</v>
      </c>
      <c r="P1006" s="319">
        <v>4</v>
      </c>
      <c r="Q1006" s="319" t="s">
        <v>429</v>
      </c>
      <c r="R1006" s="320">
        <v>10086586</v>
      </c>
      <c r="S1006" s="321">
        <v>43634</v>
      </c>
      <c r="T1006" s="321">
        <v>43636</v>
      </c>
      <c r="U1006" s="321">
        <v>43654</v>
      </c>
      <c r="V1006" s="319" t="s">
        <v>435</v>
      </c>
      <c r="W1006" s="319" t="s">
        <v>2767</v>
      </c>
      <c r="X1006" s="319">
        <v>2</v>
      </c>
      <c r="Y1006" s="319" t="s">
        <v>173</v>
      </c>
      <c r="Z1006" s="319" t="s">
        <v>173</v>
      </c>
      <c r="AA1006" s="319" t="s">
        <v>173</v>
      </c>
      <c r="AB1006" s="319">
        <v>2</v>
      </c>
      <c r="AC1006" s="319" t="s">
        <v>169</v>
      </c>
      <c r="AD1006" s="319" t="s">
        <v>173</v>
      </c>
      <c r="AE1006" s="319" t="s">
        <v>173</v>
      </c>
      <c r="AF1006" s="319" t="s">
        <v>427</v>
      </c>
      <c r="AG1006" s="319" t="s">
        <v>171</v>
      </c>
      <c r="AH1006" s="319" t="s">
        <v>190</v>
      </c>
      <c r="AI1006" s="319" t="s">
        <v>190</v>
      </c>
      <c r="AJ1006" s="319" t="s">
        <v>190</v>
      </c>
      <c r="AK1006" s="319" t="s">
        <v>190</v>
      </c>
      <c r="AL1006" s="319" t="s">
        <v>190</v>
      </c>
      <c r="AM1006" s="319" t="s">
        <v>190</v>
      </c>
      <c r="AN1006" s="319" t="s">
        <v>190</v>
      </c>
      <c r="AO1006" s="319" t="s">
        <v>190</v>
      </c>
      <c r="AP1006" s="319" t="s">
        <v>190</v>
      </c>
      <c r="AQ1006" s="319" t="s">
        <v>190</v>
      </c>
      <c r="AR1006" s="319" t="s">
        <v>190</v>
      </c>
      <c r="AS1006" s="319" t="s">
        <v>190</v>
      </c>
      <c r="AT1006" s="319" t="s">
        <v>190</v>
      </c>
      <c r="AU1006" s="319" t="s">
        <v>190</v>
      </c>
      <c r="AV1006" s="319" t="s">
        <v>190</v>
      </c>
      <c r="AW1006" s="319" t="s">
        <v>190</v>
      </c>
      <c r="AX1006" s="319" t="s">
        <v>428</v>
      </c>
      <c r="AY1006" s="319" t="s">
        <v>190</v>
      </c>
      <c r="AZ1006" s="319" t="s">
        <v>190</v>
      </c>
      <c r="BA1006" s="319" t="s">
        <v>190</v>
      </c>
      <c r="BB1006" s="319" t="s">
        <v>190</v>
      </c>
      <c r="BC1006" s="319" t="s">
        <v>190</v>
      </c>
      <c r="BD1006" s="319" t="s">
        <v>190</v>
      </c>
      <c r="BE1006" s="319" t="s">
        <v>190</v>
      </c>
      <c r="BF1006" s="319" t="s">
        <v>428</v>
      </c>
      <c r="BG1006" s="319" t="s">
        <v>428</v>
      </c>
      <c r="BH1006" s="319" t="s">
        <v>190</v>
      </c>
      <c r="BI1006" s="319" t="s">
        <v>190</v>
      </c>
      <c r="BJ1006" s="319" t="s">
        <v>190</v>
      </c>
      <c r="BK1006" s="319" t="s">
        <v>190</v>
      </c>
      <c r="BL1006" s="319" t="s">
        <v>190</v>
      </c>
      <c r="BM1006" s="319" t="s">
        <v>190</v>
      </c>
      <c r="BN1006" s="319" t="s">
        <v>190</v>
      </c>
      <c r="BO1006" s="319" t="s">
        <v>190</v>
      </c>
      <c r="BP1006" s="319" t="s">
        <v>190</v>
      </c>
      <c r="BQ1006" s="319" t="s">
        <v>190</v>
      </c>
      <c r="BR1006" s="319" t="s">
        <v>190</v>
      </c>
      <c r="BS1006" s="319" t="s">
        <v>190</v>
      </c>
      <c r="BT1006" s="319" t="s">
        <v>190</v>
      </c>
      <c r="BU1006" s="319" t="s">
        <v>190</v>
      </c>
      <c r="BV1006" s="319" t="s">
        <v>190</v>
      </c>
      <c r="BW1006" s="319" t="s">
        <v>190</v>
      </c>
      <c r="BX1006" s="319" t="s">
        <v>190</v>
      </c>
      <c r="BY1006" s="319" t="s">
        <v>190</v>
      </c>
      <c r="BZ1006" s="319" t="s">
        <v>190</v>
      </c>
      <c r="CA1006" s="319" t="s">
        <v>190</v>
      </c>
      <c r="CB1006" s="319" t="s">
        <v>190</v>
      </c>
      <c r="CC1006" s="319" t="s">
        <v>190</v>
      </c>
      <c r="CD1006" s="319" t="s">
        <v>190</v>
      </c>
      <c r="CE1006" s="319" t="s">
        <v>190</v>
      </c>
      <c r="CF1006" s="319" t="s">
        <v>190</v>
      </c>
      <c r="CG1006" s="319" t="s">
        <v>190</v>
      </c>
      <c r="CH1006" s="319" t="s">
        <v>190</v>
      </c>
      <c r="CI1006" s="319" t="s">
        <v>190</v>
      </c>
      <c r="CJ1006" s="319" t="s">
        <v>190</v>
      </c>
      <c r="CK1006" s="319" t="s">
        <v>190</v>
      </c>
      <c r="CL1006" s="319" t="s">
        <v>190</v>
      </c>
      <c r="CM1006" s="319" t="s">
        <v>190</v>
      </c>
      <c r="CN1006" s="319" t="s">
        <v>428</v>
      </c>
      <c r="CO1006" s="319" t="s">
        <v>428</v>
      </c>
      <c r="CP1006" s="319" t="s">
        <v>428</v>
      </c>
      <c r="CQ1006" s="319" t="s">
        <v>190</v>
      </c>
      <c r="CR1006" s="319" t="s">
        <v>190</v>
      </c>
      <c r="CS1006" s="319" t="s">
        <v>190</v>
      </c>
      <c r="CT1006" s="319" t="s">
        <v>190</v>
      </c>
      <c r="CU1006" s="319" t="s">
        <v>190</v>
      </c>
      <c r="CV1006" s="319" t="s">
        <v>190</v>
      </c>
      <c r="CW1006" s="319" t="s">
        <v>190</v>
      </c>
      <c r="CX1006" s="319" t="s">
        <v>190</v>
      </c>
      <c r="CY1006" s="319" t="s">
        <v>190</v>
      </c>
      <c r="CZ1006" s="319" t="s">
        <v>190</v>
      </c>
      <c r="DA1006" s="319" t="s">
        <v>190</v>
      </c>
      <c r="DB1006" s="319" t="s">
        <v>190</v>
      </c>
      <c r="DC1006" s="319" t="s">
        <v>190</v>
      </c>
      <c r="DD1006" s="319" t="s">
        <v>190</v>
      </c>
      <c r="DE1006" s="319" t="s">
        <v>190</v>
      </c>
      <c r="DF1006" s="319" t="s">
        <v>190</v>
      </c>
      <c r="DG1006" s="319" t="s">
        <v>190</v>
      </c>
      <c r="DH1006" s="319" t="s">
        <v>190</v>
      </c>
      <c r="DI1006" s="319" t="s">
        <v>190</v>
      </c>
      <c r="DJ1006" s="319" t="s">
        <v>190</v>
      </c>
      <c r="DK1006" s="319" t="s">
        <v>190</v>
      </c>
      <c r="DL1006" s="319" t="s">
        <v>190</v>
      </c>
      <c r="DM1006" s="319" t="s">
        <v>190</v>
      </c>
      <c r="DN1006" s="319" t="s">
        <v>428</v>
      </c>
      <c r="DO1006" s="319" t="s">
        <v>190</v>
      </c>
      <c r="DP1006" s="319" t="s">
        <v>428</v>
      </c>
      <c r="DQ1006" s="319" t="s">
        <v>428</v>
      </c>
      <c r="DR1006" s="319" t="s">
        <v>428</v>
      </c>
      <c r="DS1006" s="319" t="s">
        <v>428</v>
      </c>
      <c r="DT1006" s="319" t="s">
        <v>428</v>
      </c>
      <c r="DU1006" s="319" t="s">
        <v>428</v>
      </c>
      <c r="DV1006" s="319" t="s">
        <v>173</v>
      </c>
      <c r="DW1006" s="319" t="s">
        <v>428</v>
      </c>
      <c r="DX1006" s="319" t="s">
        <v>428</v>
      </c>
      <c r="DY1006" s="319" t="s">
        <v>428</v>
      </c>
      <c r="DZ1006" s="319" t="s">
        <v>428</v>
      </c>
      <c r="EA1006" s="319" t="s">
        <v>428</v>
      </c>
      <c r="EB1006" s="319" t="s">
        <v>428</v>
      </c>
      <c r="EC1006" s="319" t="s">
        <v>428</v>
      </c>
      <c r="ED1006" s="319" t="s">
        <v>428</v>
      </c>
      <c r="EE1006" s="319" t="s">
        <v>190</v>
      </c>
      <c r="EF1006" s="319" t="s">
        <v>428</v>
      </c>
      <c r="EG1006" s="319" t="s">
        <v>190</v>
      </c>
      <c r="EH1006" s="319" t="s">
        <v>190</v>
      </c>
      <c r="EI1006" s="319" t="s">
        <v>190</v>
      </c>
      <c r="EJ1006" s="319" t="s">
        <v>190</v>
      </c>
      <c r="EK1006" s="319" t="s">
        <v>190</v>
      </c>
      <c r="EL1006" s="319" t="s">
        <v>190</v>
      </c>
      <c r="EM1006" s="319" t="s">
        <v>190</v>
      </c>
      <c r="EN1006" s="319" t="s">
        <v>190</v>
      </c>
      <c r="EO1006" s="319" t="s">
        <v>190</v>
      </c>
      <c r="EP1006" s="319" t="s">
        <v>190</v>
      </c>
      <c r="EQ1006" s="319" t="s">
        <v>190</v>
      </c>
      <c r="ER1006" s="319" t="s">
        <v>190</v>
      </c>
      <c r="ES1006" s="319" t="s">
        <v>190</v>
      </c>
      <c r="ET1006" s="319" t="s">
        <v>190</v>
      </c>
      <c r="EU1006" s="319" t="s">
        <v>190</v>
      </c>
      <c r="EV1006" s="319" t="s">
        <v>190</v>
      </c>
      <c r="EW1006" s="319" t="s">
        <v>190</v>
      </c>
      <c r="EX1006" s="319" t="s">
        <v>190</v>
      </c>
      <c r="EY1006" s="319" t="s">
        <v>190</v>
      </c>
      <c r="EZ1006" s="319" t="s">
        <v>190</v>
      </c>
      <c r="FA1006" s="319" t="s">
        <v>190</v>
      </c>
      <c r="FB1006" s="319" t="s">
        <v>190</v>
      </c>
      <c r="FC1006" s="319" t="s">
        <v>190</v>
      </c>
      <c r="FD1006" s="319" t="s">
        <v>190</v>
      </c>
      <c r="FE1006" s="319" t="s">
        <v>190</v>
      </c>
      <c r="FF1006" s="319" t="s">
        <v>190</v>
      </c>
      <c r="FG1006" s="319" t="s">
        <v>190</v>
      </c>
      <c r="FH1006" s="319" t="s">
        <v>190</v>
      </c>
      <c r="FI1006" s="319" t="s">
        <v>190</v>
      </c>
      <c r="FJ1006" s="319" t="s">
        <v>190</v>
      </c>
      <c r="FK1006" s="319" t="s">
        <v>190</v>
      </c>
      <c r="FL1006" s="319" t="s">
        <v>190</v>
      </c>
      <c r="FM1006" s="319" t="s">
        <v>190</v>
      </c>
      <c r="FN1006" s="319" t="s">
        <v>190</v>
      </c>
      <c r="FO1006" s="319" t="s">
        <v>190</v>
      </c>
      <c r="FP1006" s="319" t="s">
        <v>190</v>
      </c>
      <c r="FQ1006" s="319" t="s">
        <v>190</v>
      </c>
      <c r="FR1006" s="319" t="s">
        <v>190</v>
      </c>
      <c r="FS1006" s="319" t="s">
        <v>190</v>
      </c>
      <c r="FT1006" s="319" t="s">
        <v>190</v>
      </c>
      <c r="FU1006" s="319" t="s">
        <v>190</v>
      </c>
      <c r="FV1006" s="319" t="s">
        <v>190</v>
      </c>
      <c r="FW1006" s="319" t="s">
        <v>190</v>
      </c>
      <c r="FX1006" s="319" t="s">
        <v>190</v>
      </c>
      <c r="FY1006" s="319" t="s">
        <v>190</v>
      </c>
      <c r="FZ1006" s="319" t="s">
        <v>190</v>
      </c>
      <c r="GA1006" s="319" t="s">
        <v>190</v>
      </c>
      <c r="GB1006" s="319" t="s">
        <v>190</v>
      </c>
      <c r="GC1006" s="319" t="s">
        <v>190</v>
      </c>
      <c r="GD1006" s="319" t="s">
        <v>190</v>
      </c>
      <c r="GE1006" s="319" t="s">
        <v>190</v>
      </c>
      <c r="GF1006" s="319" t="s">
        <v>190</v>
      </c>
      <c r="GG1006" s="319" t="s">
        <v>190</v>
      </c>
      <c r="GH1006" s="319" t="s">
        <v>190</v>
      </c>
      <c r="GI1006" s="319" t="s">
        <v>190</v>
      </c>
      <c r="GJ1006" s="319" t="s">
        <v>190</v>
      </c>
      <c r="GK1006" s="319" t="s">
        <v>428</v>
      </c>
      <c r="GL1006" s="319" t="s">
        <v>190</v>
      </c>
      <c r="GM1006" s="319" t="s">
        <v>190</v>
      </c>
      <c r="GN1006" s="319" t="s">
        <v>190</v>
      </c>
      <c r="GO1006" s="319" t="s">
        <v>190</v>
      </c>
      <c r="GP1006" s="319" t="s">
        <v>428</v>
      </c>
      <c r="GQ1006" s="319" t="s">
        <v>428</v>
      </c>
      <c r="GR1006" s="319" t="s">
        <v>190</v>
      </c>
      <c r="GS1006" s="319" t="s">
        <v>190</v>
      </c>
      <c r="GT1006" s="319" t="s">
        <v>190</v>
      </c>
      <c r="GU1006" s="319" t="s">
        <v>190</v>
      </c>
      <c r="GV1006" s="319" t="s">
        <v>190</v>
      </c>
      <c r="GW1006" s="319" t="s">
        <v>190</v>
      </c>
      <c r="GX1006" s="319" t="s">
        <v>190</v>
      </c>
      <c r="GY1006" s="319" t="s">
        <v>190</v>
      </c>
      <c r="GZ1006" s="319" t="s">
        <v>428</v>
      </c>
      <c r="HA1006" s="319" t="s">
        <v>190</v>
      </c>
      <c r="HB1006" s="319" t="s">
        <v>190</v>
      </c>
      <c r="HC1006" s="319" t="s">
        <v>190</v>
      </c>
      <c r="HD1006" s="319" t="s">
        <v>190</v>
      </c>
      <c r="HE1006" s="319" t="s">
        <v>190</v>
      </c>
      <c r="HF1006" s="319" t="s">
        <v>190</v>
      </c>
      <c r="HG1006" s="319" t="s">
        <v>190</v>
      </c>
      <c r="HH1006" s="319" t="s">
        <v>190</v>
      </c>
      <c r="HI1006" s="319" t="s">
        <v>190</v>
      </c>
      <c r="HJ1006" s="319" t="s">
        <v>190</v>
      </c>
      <c r="HK1006" s="319" t="s">
        <v>428</v>
      </c>
      <c r="HL1006" s="319" t="s">
        <v>428</v>
      </c>
      <c r="HM1006" s="319" t="s">
        <v>428</v>
      </c>
      <c r="HN1006" s="319" t="s">
        <v>428</v>
      </c>
      <c r="HO1006" s="319" t="s">
        <v>428</v>
      </c>
      <c r="HP1006" s="319" t="s">
        <v>190</v>
      </c>
      <c r="HQ1006" s="319" t="s">
        <v>190</v>
      </c>
      <c r="HR1006" s="319" t="s">
        <v>190</v>
      </c>
      <c r="HS1006" s="319" t="s">
        <v>190</v>
      </c>
      <c r="HT1006" s="319" t="s">
        <v>190</v>
      </c>
      <c r="HU1006" s="319" t="s">
        <v>190</v>
      </c>
      <c r="HV1006" s="319" t="s">
        <v>190</v>
      </c>
      <c r="HW1006" s="319" t="s">
        <v>190</v>
      </c>
      <c r="HX1006" s="319" t="s">
        <v>190</v>
      </c>
      <c r="HY1006" s="319" t="s">
        <v>190</v>
      </c>
      <c r="HZ1006" s="319" t="s">
        <v>190</v>
      </c>
      <c r="IA1006" s="319" t="s">
        <v>190</v>
      </c>
      <c r="IB1006" s="319" t="s">
        <v>190</v>
      </c>
      <c r="IC1006" s="319" t="s">
        <v>190</v>
      </c>
      <c r="ID1006" s="319" t="s">
        <v>190</v>
      </c>
      <c r="IE1006" s="319" t="s">
        <v>190</v>
      </c>
      <c r="IF1006" s="319" t="s">
        <v>190</v>
      </c>
      <c r="IG1006" s="319" t="s">
        <v>190</v>
      </c>
      <c r="IH1006" s="319" t="s">
        <v>190</v>
      </c>
      <c r="II1006" s="319" t="s">
        <v>190</v>
      </c>
      <c r="IJ1006" s="319" t="s">
        <v>173</v>
      </c>
      <c r="IK1006" s="319" t="s">
        <v>173</v>
      </c>
      <c r="IL1006" s="319" t="s">
        <v>173</v>
      </c>
      <c r="IM1006" s="319" t="s">
        <v>173</v>
      </c>
      <c r="IN1006" s="319" t="s">
        <v>173</v>
      </c>
      <c r="IO1006" s="319" t="s">
        <v>173</v>
      </c>
      <c r="IP1006" s="319" t="s">
        <v>173</v>
      </c>
      <c r="IQ1006" s="319" t="s">
        <v>173</v>
      </c>
      <c r="IR1006" s="320" t="s">
        <v>173</v>
      </c>
      <c r="IS1006" s="320" t="s">
        <v>173</v>
      </c>
      <c r="IT1006" s="319" t="s">
        <v>173</v>
      </c>
    </row>
    <row r="1007" spans="1:254" s="271" customFormat="1" x14ac:dyDescent="0.25">
      <c r="A1007" s="318" t="str">
        <f>HYPERLINK("http://www.ofsted.gov.uk/inspection-reports/find-inspection-report/provider/ELS/146167 ","Ofsted School Webpage")</f>
        <v>Ofsted School Webpage</v>
      </c>
      <c r="B1007" s="319">
        <v>146167</v>
      </c>
      <c r="C1007" s="319">
        <v>8786074</v>
      </c>
      <c r="D1007" s="319" t="s">
        <v>2528</v>
      </c>
      <c r="E1007" s="319" t="s">
        <v>168</v>
      </c>
      <c r="F1007" s="319" t="s">
        <v>81</v>
      </c>
      <c r="G1007" s="319" t="s">
        <v>81</v>
      </c>
      <c r="H1007" s="319" t="s">
        <v>81</v>
      </c>
      <c r="I1007" s="319" t="s">
        <v>78</v>
      </c>
      <c r="J1007" s="319" t="s">
        <v>424</v>
      </c>
      <c r="K1007" s="319" t="s">
        <v>422</v>
      </c>
      <c r="L1007" s="319" t="s">
        <v>422</v>
      </c>
      <c r="M1007" s="319" t="s">
        <v>663</v>
      </c>
      <c r="N1007" s="319" t="s">
        <v>3546</v>
      </c>
      <c r="O1007" s="319" t="s">
        <v>2529</v>
      </c>
      <c r="P1007" s="319">
        <v>7</v>
      </c>
      <c r="Q1007" s="319" t="s">
        <v>429</v>
      </c>
      <c r="R1007" s="320">
        <v>10081016</v>
      </c>
      <c r="S1007" s="321">
        <v>43648</v>
      </c>
      <c r="T1007" s="321">
        <v>43650</v>
      </c>
      <c r="U1007" s="321">
        <v>43667</v>
      </c>
      <c r="V1007" s="319" t="s">
        <v>435</v>
      </c>
      <c r="W1007" s="319" t="s">
        <v>2767</v>
      </c>
      <c r="X1007" s="319">
        <v>2</v>
      </c>
      <c r="Y1007" s="319" t="s">
        <v>173</v>
      </c>
      <c r="Z1007" s="319" t="s">
        <v>173</v>
      </c>
      <c r="AA1007" s="319" t="s">
        <v>173</v>
      </c>
      <c r="AB1007" s="319">
        <v>2</v>
      </c>
      <c r="AC1007" s="319" t="s">
        <v>169</v>
      </c>
      <c r="AD1007" s="319" t="s">
        <v>173</v>
      </c>
      <c r="AE1007" s="319" t="s">
        <v>173</v>
      </c>
      <c r="AF1007" s="319" t="s">
        <v>427</v>
      </c>
      <c r="AG1007" s="319" t="s">
        <v>171</v>
      </c>
      <c r="AH1007" s="319" t="s">
        <v>190</v>
      </c>
      <c r="AI1007" s="319" t="s">
        <v>190</v>
      </c>
      <c r="AJ1007" s="319" t="s">
        <v>190</v>
      </c>
      <c r="AK1007" s="319" t="s">
        <v>190</v>
      </c>
      <c r="AL1007" s="319" t="s">
        <v>190</v>
      </c>
      <c r="AM1007" s="319" t="s">
        <v>190</v>
      </c>
      <c r="AN1007" s="319" t="s">
        <v>190</v>
      </c>
      <c r="AO1007" s="319" t="s">
        <v>190</v>
      </c>
      <c r="AP1007" s="319" t="s">
        <v>190</v>
      </c>
      <c r="AQ1007" s="319" t="s">
        <v>190</v>
      </c>
      <c r="AR1007" s="319" t="s">
        <v>190</v>
      </c>
      <c r="AS1007" s="319" t="s">
        <v>190</v>
      </c>
      <c r="AT1007" s="319" t="s">
        <v>190</v>
      </c>
      <c r="AU1007" s="319" t="s">
        <v>190</v>
      </c>
      <c r="AV1007" s="319" t="s">
        <v>190</v>
      </c>
      <c r="AW1007" s="319" t="s">
        <v>190</v>
      </c>
      <c r="AX1007" s="319" t="s">
        <v>428</v>
      </c>
      <c r="AY1007" s="319" t="s">
        <v>190</v>
      </c>
      <c r="AZ1007" s="319" t="s">
        <v>190</v>
      </c>
      <c r="BA1007" s="319" t="s">
        <v>190</v>
      </c>
      <c r="BB1007" s="319" t="s">
        <v>190</v>
      </c>
      <c r="BC1007" s="319" t="s">
        <v>190</v>
      </c>
      <c r="BD1007" s="319" t="s">
        <v>190</v>
      </c>
      <c r="BE1007" s="319" t="s">
        <v>190</v>
      </c>
      <c r="BF1007" s="319" t="s">
        <v>428</v>
      </c>
      <c r="BG1007" s="319" t="s">
        <v>190</v>
      </c>
      <c r="BH1007" s="319" t="s">
        <v>190</v>
      </c>
      <c r="BI1007" s="319" t="s">
        <v>190</v>
      </c>
      <c r="BJ1007" s="319" t="s">
        <v>190</v>
      </c>
      <c r="BK1007" s="319" t="s">
        <v>190</v>
      </c>
      <c r="BL1007" s="319" t="s">
        <v>190</v>
      </c>
      <c r="BM1007" s="319" t="s">
        <v>190</v>
      </c>
      <c r="BN1007" s="319" t="s">
        <v>190</v>
      </c>
      <c r="BO1007" s="319" t="s">
        <v>190</v>
      </c>
      <c r="BP1007" s="319" t="s">
        <v>190</v>
      </c>
      <c r="BQ1007" s="319" t="s">
        <v>190</v>
      </c>
      <c r="BR1007" s="319" t="s">
        <v>190</v>
      </c>
      <c r="BS1007" s="319" t="s">
        <v>190</v>
      </c>
      <c r="BT1007" s="319" t="s">
        <v>190</v>
      </c>
      <c r="BU1007" s="319" t="s">
        <v>190</v>
      </c>
      <c r="BV1007" s="319" t="s">
        <v>190</v>
      </c>
      <c r="BW1007" s="319" t="s">
        <v>190</v>
      </c>
      <c r="BX1007" s="319" t="s">
        <v>190</v>
      </c>
      <c r="BY1007" s="319" t="s">
        <v>190</v>
      </c>
      <c r="BZ1007" s="319" t="s">
        <v>190</v>
      </c>
      <c r="CA1007" s="319" t="s">
        <v>190</v>
      </c>
      <c r="CB1007" s="319" t="s">
        <v>190</v>
      </c>
      <c r="CC1007" s="319" t="s">
        <v>190</v>
      </c>
      <c r="CD1007" s="319" t="s">
        <v>190</v>
      </c>
      <c r="CE1007" s="319" t="s">
        <v>190</v>
      </c>
      <c r="CF1007" s="319" t="s">
        <v>190</v>
      </c>
      <c r="CG1007" s="319" t="s">
        <v>190</v>
      </c>
      <c r="CH1007" s="319" t="s">
        <v>190</v>
      </c>
      <c r="CI1007" s="319" t="s">
        <v>190</v>
      </c>
      <c r="CJ1007" s="319" t="s">
        <v>190</v>
      </c>
      <c r="CK1007" s="319" t="s">
        <v>190</v>
      </c>
      <c r="CL1007" s="319" t="s">
        <v>190</v>
      </c>
      <c r="CM1007" s="319" t="s">
        <v>190</v>
      </c>
      <c r="CN1007" s="319" t="s">
        <v>428</v>
      </c>
      <c r="CO1007" s="319" t="s">
        <v>428</v>
      </c>
      <c r="CP1007" s="319" t="s">
        <v>428</v>
      </c>
      <c r="CQ1007" s="319" t="s">
        <v>190</v>
      </c>
      <c r="CR1007" s="319" t="s">
        <v>190</v>
      </c>
      <c r="CS1007" s="319" t="s">
        <v>190</v>
      </c>
      <c r="CT1007" s="319" t="s">
        <v>190</v>
      </c>
      <c r="CU1007" s="319" t="s">
        <v>190</v>
      </c>
      <c r="CV1007" s="319" t="s">
        <v>190</v>
      </c>
      <c r="CW1007" s="319" t="s">
        <v>190</v>
      </c>
      <c r="CX1007" s="319" t="s">
        <v>190</v>
      </c>
      <c r="CY1007" s="319" t="s">
        <v>190</v>
      </c>
      <c r="CZ1007" s="319" t="s">
        <v>190</v>
      </c>
      <c r="DA1007" s="319" t="s">
        <v>190</v>
      </c>
      <c r="DB1007" s="319" t="s">
        <v>190</v>
      </c>
      <c r="DC1007" s="319" t="s">
        <v>190</v>
      </c>
      <c r="DD1007" s="319" t="s">
        <v>190</v>
      </c>
      <c r="DE1007" s="319" t="s">
        <v>190</v>
      </c>
      <c r="DF1007" s="319" t="s">
        <v>190</v>
      </c>
      <c r="DG1007" s="319" t="s">
        <v>190</v>
      </c>
      <c r="DH1007" s="319" t="s">
        <v>190</v>
      </c>
      <c r="DI1007" s="319" t="s">
        <v>190</v>
      </c>
      <c r="DJ1007" s="319" t="s">
        <v>190</v>
      </c>
      <c r="DK1007" s="319" t="s">
        <v>190</v>
      </c>
      <c r="DL1007" s="319" t="s">
        <v>190</v>
      </c>
      <c r="DM1007" s="319" t="s">
        <v>190</v>
      </c>
      <c r="DN1007" s="319" t="s">
        <v>190</v>
      </c>
      <c r="DO1007" s="319" t="s">
        <v>190</v>
      </c>
      <c r="DP1007" s="319" t="s">
        <v>428</v>
      </c>
      <c r="DQ1007" s="319" t="s">
        <v>428</v>
      </c>
      <c r="DR1007" s="319" t="s">
        <v>428</v>
      </c>
      <c r="DS1007" s="319" t="s">
        <v>428</v>
      </c>
      <c r="DT1007" s="319" t="s">
        <v>428</v>
      </c>
      <c r="DU1007" s="319" t="s">
        <v>428</v>
      </c>
      <c r="DV1007" s="319" t="s">
        <v>173</v>
      </c>
      <c r="DW1007" s="319" t="s">
        <v>428</v>
      </c>
      <c r="DX1007" s="319" t="s">
        <v>428</v>
      </c>
      <c r="DY1007" s="319" t="s">
        <v>428</v>
      </c>
      <c r="DZ1007" s="319" t="s">
        <v>428</v>
      </c>
      <c r="EA1007" s="319" t="s">
        <v>428</v>
      </c>
      <c r="EB1007" s="319" t="s">
        <v>428</v>
      </c>
      <c r="EC1007" s="319" t="s">
        <v>428</v>
      </c>
      <c r="ED1007" s="319" t="s">
        <v>428</v>
      </c>
      <c r="EE1007" s="319" t="s">
        <v>190</v>
      </c>
      <c r="EF1007" s="319" t="s">
        <v>190</v>
      </c>
      <c r="EG1007" s="319" t="s">
        <v>190</v>
      </c>
      <c r="EH1007" s="319" t="s">
        <v>190</v>
      </c>
      <c r="EI1007" s="319" t="s">
        <v>190</v>
      </c>
      <c r="EJ1007" s="319" t="s">
        <v>190</v>
      </c>
      <c r="EK1007" s="319" t="s">
        <v>190</v>
      </c>
      <c r="EL1007" s="319" t="s">
        <v>190</v>
      </c>
      <c r="EM1007" s="319" t="s">
        <v>190</v>
      </c>
      <c r="EN1007" s="319" t="s">
        <v>190</v>
      </c>
      <c r="EO1007" s="319" t="s">
        <v>190</v>
      </c>
      <c r="EP1007" s="319" t="s">
        <v>190</v>
      </c>
      <c r="EQ1007" s="319" t="s">
        <v>190</v>
      </c>
      <c r="ER1007" s="319" t="s">
        <v>190</v>
      </c>
      <c r="ES1007" s="319" t="s">
        <v>190</v>
      </c>
      <c r="ET1007" s="319" t="s">
        <v>190</v>
      </c>
      <c r="EU1007" s="319" t="s">
        <v>190</v>
      </c>
      <c r="EV1007" s="319" t="s">
        <v>190</v>
      </c>
      <c r="EW1007" s="319" t="s">
        <v>190</v>
      </c>
      <c r="EX1007" s="319" t="s">
        <v>190</v>
      </c>
      <c r="EY1007" s="319" t="s">
        <v>190</v>
      </c>
      <c r="EZ1007" s="319" t="s">
        <v>428</v>
      </c>
      <c r="FA1007" s="319" t="s">
        <v>428</v>
      </c>
      <c r="FB1007" s="319" t="s">
        <v>428</v>
      </c>
      <c r="FC1007" s="319" t="s">
        <v>428</v>
      </c>
      <c r="FD1007" s="319" t="s">
        <v>428</v>
      </c>
      <c r="FE1007" s="319" t="s">
        <v>428</v>
      </c>
      <c r="FF1007" s="319" t="s">
        <v>428</v>
      </c>
      <c r="FG1007" s="319" t="s">
        <v>428</v>
      </c>
      <c r="FH1007" s="319" t="s">
        <v>428</v>
      </c>
      <c r="FI1007" s="319" t="s">
        <v>190</v>
      </c>
      <c r="FJ1007" s="319" t="s">
        <v>190</v>
      </c>
      <c r="FK1007" s="319" t="s">
        <v>190</v>
      </c>
      <c r="FL1007" s="319" t="s">
        <v>190</v>
      </c>
      <c r="FM1007" s="319" t="s">
        <v>190</v>
      </c>
      <c r="FN1007" s="319" t="s">
        <v>190</v>
      </c>
      <c r="FO1007" s="319" t="s">
        <v>190</v>
      </c>
      <c r="FP1007" s="319" t="s">
        <v>190</v>
      </c>
      <c r="FQ1007" s="319" t="s">
        <v>190</v>
      </c>
      <c r="FR1007" s="319" t="s">
        <v>190</v>
      </c>
      <c r="FS1007" s="319" t="s">
        <v>190</v>
      </c>
      <c r="FT1007" s="319" t="s">
        <v>190</v>
      </c>
      <c r="FU1007" s="319" t="s">
        <v>190</v>
      </c>
      <c r="FV1007" s="319" t="s">
        <v>190</v>
      </c>
      <c r="FW1007" s="319" t="s">
        <v>190</v>
      </c>
      <c r="FX1007" s="319" t="s">
        <v>190</v>
      </c>
      <c r="FY1007" s="319" t="s">
        <v>190</v>
      </c>
      <c r="FZ1007" s="319" t="s">
        <v>190</v>
      </c>
      <c r="GA1007" s="319" t="s">
        <v>190</v>
      </c>
      <c r="GB1007" s="319" t="s">
        <v>190</v>
      </c>
      <c r="GC1007" s="319" t="s">
        <v>190</v>
      </c>
      <c r="GD1007" s="319" t="s">
        <v>190</v>
      </c>
      <c r="GE1007" s="319" t="s">
        <v>190</v>
      </c>
      <c r="GF1007" s="319" t="s">
        <v>190</v>
      </c>
      <c r="GG1007" s="319" t="s">
        <v>190</v>
      </c>
      <c r="GH1007" s="319" t="s">
        <v>190</v>
      </c>
      <c r="GI1007" s="319" t="s">
        <v>190</v>
      </c>
      <c r="GJ1007" s="319" t="s">
        <v>190</v>
      </c>
      <c r="GK1007" s="319" t="s">
        <v>428</v>
      </c>
      <c r="GL1007" s="319" t="s">
        <v>190</v>
      </c>
      <c r="GM1007" s="319" t="s">
        <v>190</v>
      </c>
      <c r="GN1007" s="319" t="s">
        <v>190</v>
      </c>
      <c r="GO1007" s="319" t="s">
        <v>190</v>
      </c>
      <c r="GP1007" s="319" t="s">
        <v>428</v>
      </c>
      <c r="GQ1007" s="319" t="s">
        <v>428</v>
      </c>
      <c r="GR1007" s="319" t="s">
        <v>190</v>
      </c>
      <c r="GS1007" s="319" t="s">
        <v>190</v>
      </c>
      <c r="GT1007" s="319" t="s">
        <v>428</v>
      </c>
      <c r="GU1007" s="319" t="s">
        <v>190</v>
      </c>
      <c r="GV1007" s="319" t="s">
        <v>428</v>
      </c>
      <c r="GW1007" s="319" t="s">
        <v>190</v>
      </c>
      <c r="GX1007" s="319" t="s">
        <v>190</v>
      </c>
      <c r="GY1007" s="319" t="s">
        <v>190</v>
      </c>
      <c r="GZ1007" s="319" t="s">
        <v>190</v>
      </c>
      <c r="HA1007" s="319" t="s">
        <v>428</v>
      </c>
      <c r="HB1007" s="319" t="s">
        <v>190</v>
      </c>
      <c r="HC1007" s="319" t="s">
        <v>190</v>
      </c>
      <c r="HD1007" s="319" t="s">
        <v>190</v>
      </c>
      <c r="HE1007" s="319" t="s">
        <v>190</v>
      </c>
      <c r="HF1007" s="319" t="s">
        <v>190</v>
      </c>
      <c r="HG1007" s="319" t="s">
        <v>190</v>
      </c>
      <c r="HH1007" s="319" t="s">
        <v>190</v>
      </c>
      <c r="HI1007" s="319" t="s">
        <v>428</v>
      </c>
      <c r="HJ1007" s="319" t="s">
        <v>190</v>
      </c>
      <c r="HK1007" s="319" t="s">
        <v>428</v>
      </c>
      <c r="HL1007" s="319" t="s">
        <v>428</v>
      </c>
      <c r="HM1007" s="319" t="s">
        <v>428</v>
      </c>
      <c r="HN1007" s="319" t="s">
        <v>428</v>
      </c>
      <c r="HO1007" s="319" t="s">
        <v>428</v>
      </c>
      <c r="HP1007" s="319" t="s">
        <v>190</v>
      </c>
      <c r="HQ1007" s="319" t="s">
        <v>190</v>
      </c>
      <c r="HR1007" s="319" t="s">
        <v>190</v>
      </c>
      <c r="HS1007" s="319" t="s">
        <v>190</v>
      </c>
      <c r="HT1007" s="319" t="s">
        <v>190</v>
      </c>
      <c r="HU1007" s="319" t="s">
        <v>190</v>
      </c>
      <c r="HV1007" s="319" t="s">
        <v>190</v>
      </c>
      <c r="HW1007" s="319" t="s">
        <v>190</v>
      </c>
      <c r="HX1007" s="319" t="s">
        <v>190</v>
      </c>
      <c r="HY1007" s="319" t="s">
        <v>190</v>
      </c>
      <c r="HZ1007" s="319" t="s">
        <v>190</v>
      </c>
      <c r="IA1007" s="319" t="s">
        <v>190</v>
      </c>
      <c r="IB1007" s="319" t="s">
        <v>190</v>
      </c>
      <c r="IC1007" s="319" t="s">
        <v>190</v>
      </c>
      <c r="ID1007" s="319" t="s">
        <v>190</v>
      </c>
      <c r="IE1007" s="319" t="s">
        <v>190</v>
      </c>
      <c r="IF1007" s="319" t="s">
        <v>190</v>
      </c>
      <c r="IG1007" s="319" t="s">
        <v>190</v>
      </c>
      <c r="IH1007" s="319" t="s">
        <v>190</v>
      </c>
      <c r="II1007" s="319" t="s">
        <v>190</v>
      </c>
      <c r="IJ1007" s="319" t="s">
        <v>173</v>
      </c>
      <c r="IK1007" s="319" t="s">
        <v>173</v>
      </c>
      <c r="IL1007" s="319" t="s">
        <v>173</v>
      </c>
      <c r="IM1007" s="319" t="s">
        <v>173</v>
      </c>
      <c r="IN1007" s="319" t="s">
        <v>173</v>
      </c>
      <c r="IO1007" s="319" t="s">
        <v>173</v>
      </c>
      <c r="IP1007" s="319" t="s">
        <v>173</v>
      </c>
      <c r="IQ1007" s="319" t="s">
        <v>173</v>
      </c>
      <c r="IR1007" s="320" t="s">
        <v>173</v>
      </c>
      <c r="IS1007" s="320" t="s">
        <v>173</v>
      </c>
      <c r="IT1007" s="319" t="s">
        <v>173</v>
      </c>
    </row>
    <row r="1008" spans="1:254" s="271" customFormat="1" x14ac:dyDescent="0.25">
      <c r="A1008" s="318" t="str">
        <f>HYPERLINK("http://www.ofsted.gov.uk/inspection-reports/find-inspection-report/provider/ELS/146182 ","Ofsted School Webpage")</f>
        <v>Ofsted School Webpage</v>
      </c>
      <c r="B1008" s="319">
        <v>146182</v>
      </c>
      <c r="C1008" s="319">
        <v>3576006</v>
      </c>
      <c r="D1008" s="319" t="s">
        <v>492</v>
      </c>
      <c r="E1008" s="319" t="s">
        <v>167</v>
      </c>
      <c r="F1008" s="319" t="s">
        <v>81</v>
      </c>
      <c r="G1008" s="319" t="s">
        <v>81</v>
      </c>
      <c r="H1008" s="319" t="s">
        <v>81</v>
      </c>
      <c r="I1008" s="319" t="s">
        <v>78</v>
      </c>
      <c r="J1008" s="319" t="s">
        <v>424</v>
      </c>
      <c r="K1008" s="319" t="s">
        <v>431</v>
      </c>
      <c r="L1008" s="319" t="s">
        <v>431</v>
      </c>
      <c r="M1008" s="319" t="s">
        <v>742</v>
      </c>
      <c r="N1008" s="319" t="s">
        <v>3073</v>
      </c>
      <c r="O1008" s="319" t="s">
        <v>2530</v>
      </c>
      <c r="P1008" s="319">
        <v>2</v>
      </c>
      <c r="Q1008" s="319" t="s">
        <v>2776</v>
      </c>
      <c r="R1008" s="320" t="s">
        <v>173</v>
      </c>
      <c r="S1008" s="321" t="s">
        <v>173</v>
      </c>
      <c r="T1008" s="321" t="s">
        <v>173</v>
      </c>
      <c r="U1008" s="321" t="s">
        <v>173</v>
      </c>
      <c r="V1008" s="319" t="s">
        <v>173</v>
      </c>
      <c r="W1008" s="319" t="s">
        <v>173</v>
      </c>
      <c r="X1008" s="319" t="s">
        <v>173</v>
      </c>
      <c r="Y1008" s="319" t="s">
        <v>173</v>
      </c>
      <c r="Z1008" s="319" t="s">
        <v>173</v>
      </c>
      <c r="AA1008" s="319" t="s">
        <v>173</v>
      </c>
      <c r="AB1008" s="319" t="s">
        <v>173</v>
      </c>
      <c r="AC1008" s="319" t="s">
        <v>173</v>
      </c>
      <c r="AD1008" s="319" t="s">
        <v>173</v>
      </c>
      <c r="AE1008" s="319" t="s">
        <v>173</v>
      </c>
      <c r="AF1008" s="319" t="s">
        <v>173</v>
      </c>
      <c r="AG1008" s="319" t="s">
        <v>173</v>
      </c>
      <c r="AH1008" s="319" t="s">
        <v>173</v>
      </c>
      <c r="AI1008" s="319" t="s">
        <v>173</v>
      </c>
      <c r="AJ1008" s="319" t="s">
        <v>173</v>
      </c>
      <c r="AK1008" s="319" t="s">
        <v>173</v>
      </c>
      <c r="AL1008" s="319" t="s">
        <v>173</v>
      </c>
      <c r="AM1008" s="319" t="s">
        <v>173</v>
      </c>
      <c r="AN1008" s="319" t="s">
        <v>173</v>
      </c>
      <c r="AO1008" s="319" t="s">
        <v>173</v>
      </c>
      <c r="AP1008" s="319" t="s">
        <v>173</v>
      </c>
      <c r="AQ1008" s="319" t="s">
        <v>173</v>
      </c>
      <c r="AR1008" s="319" t="s">
        <v>173</v>
      </c>
      <c r="AS1008" s="319" t="s">
        <v>173</v>
      </c>
      <c r="AT1008" s="319" t="s">
        <v>173</v>
      </c>
      <c r="AU1008" s="319" t="s">
        <v>173</v>
      </c>
      <c r="AV1008" s="319" t="s">
        <v>173</v>
      </c>
      <c r="AW1008" s="319" t="s">
        <v>173</v>
      </c>
      <c r="AX1008" s="319" t="s">
        <v>173</v>
      </c>
      <c r="AY1008" s="319" t="s">
        <v>173</v>
      </c>
      <c r="AZ1008" s="319" t="s">
        <v>173</v>
      </c>
      <c r="BA1008" s="319" t="s">
        <v>173</v>
      </c>
      <c r="BB1008" s="319" t="s">
        <v>173</v>
      </c>
      <c r="BC1008" s="319" t="s">
        <v>173</v>
      </c>
      <c r="BD1008" s="319" t="s">
        <v>173</v>
      </c>
      <c r="BE1008" s="319" t="s">
        <v>173</v>
      </c>
      <c r="BF1008" s="319" t="s">
        <v>173</v>
      </c>
      <c r="BG1008" s="319" t="s">
        <v>173</v>
      </c>
      <c r="BH1008" s="319" t="s">
        <v>173</v>
      </c>
      <c r="BI1008" s="319" t="s">
        <v>173</v>
      </c>
      <c r="BJ1008" s="319" t="s">
        <v>173</v>
      </c>
      <c r="BK1008" s="319" t="s">
        <v>173</v>
      </c>
      <c r="BL1008" s="319" t="s">
        <v>173</v>
      </c>
      <c r="BM1008" s="319" t="s">
        <v>173</v>
      </c>
      <c r="BN1008" s="319" t="s">
        <v>173</v>
      </c>
      <c r="BO1008" s="319" t="s">
        <v>173</v>
      </c>
      <c r="BP1008" s="319" t="s">
        <v>173</v>
      </c>
      <c r="BQ1008" s="319" t="s">
        <v>173</v>
      </c>
      <c r="BR1008" s="319" t="s">
        <v>173</v>
      </c>
      <c r="BS1008" s="319" t="s">
        <v>173</v>
      </c>
      <c r="BT1008" s="319" t="s">
        <v>173</v>
      </c>
      <c r="BU1008" s="319" t="s">
        <v>173</v>
      </c>
      <c r="BV1008" s="319" t="s">
        <v>173</v>
      </c>
      <c r="BW1008" s="319" t="s">
        <v>173</v>
      </c>
      <c r="BX1008" s="319" t="s">
        <v>173</v>
      </c>
      <c r="BY1008" s="319" t="s">
        <v>173</v>
      </c>
      <c r="BZ1008" s="319" t="s">
        <v>173</v>
      </c>
      <c r="CA1008" s="319" t="s">
        <v>173</v>
      </c>
      <c r="CB1008" s="319" t="s">
        <v>173</v>
      </c>
      <c r="CC1008" s="319" t="s">
        <v>173</v>
      </c>
      <c r="CD1008" s="319" t="s">
        <v>173</v>
      </c>
      <c r="CE1008" s="319" t="s">
        <v>173</v>
      </c>
      <c r="CF1008" s="319" t="s">
        <v>173</v>
      </c>
      <c r="CG1008" s="319" t="s">
        <v>173</v>
      </c>
      <c r="CH1008" s="319" t="s">
        <v>173</v>
      </c>
      <c r="CI1008" s="319" t="s">
        <v>173</v>
      </c>
      <c r="CJ1008" s="319" t="s">
        <v>173</v>
      </c>
      <c r="CK1008" s="319" t="s">
        <v>173</v>
      </c>
      <c r="CL1008" s="319" t="s">
        <v>173</v>
      </c>
      <c r="CM1008" s="319" t="s">
        <v>173</v>
      </c>
      <c r="CN1008" s="319" t="s">
        <v>173</v>
      </c>
      <c r="CO1008" s="319" t="s">
        <v>173</v>
      </c>
      <c r="CP1008" s="319" t="s">
        <v>173</v>
      </c>
      <c r="CQ1008" s="319" t="s">
        <v>173</v>
      </c>
      <c r="CR1008" s="319" t="s">
        <v>173</v>
      </c>
      <c r="CS1008" s="319" t="s">
        <v>173</v>
      </c>
      <c r="CT1008" s="319" t="s">
        <v>173</v>
      </c>
      <c r="CU1008" s="319" t="s">
        <v>173</v>
      </c>
      <c r="CV1008" s="319" t="s">
        <v>173</v>
      </c>
      <c r="CW1008" s="319" t="s">
        <v>173</v>
      </c>
      <c r="CX1008" s="319" t="s">
        <v>173</v>
      </c>
      <c r="CY1008" s="319" t="s">
        <v>173</v>
      </c>
      <c r="CZ1008" s="319" t="s">
        <v>173</v>
      </c>
      <c r="DA1008" s="319" t="s">
        <v>173</v>
      </c>
      <c r="DB1008" s="319" t="s">
        <v>173</v>
      </c>
      <c r="DC1008" s="319" t="s">
        <v>173</v>
      </c>
      <c r="DD1008" s="319" t="s">
        <v>173</v>
      </c>
      <c r="DE1008" s="319" t="s">
        <v>173</v>
      </c>
      <c r="DF1008" s="319" t="s">
        <v>173</v>
      </c>
      <c r="DG1008" s="319" t="s">
        <v>173</v>
      </c>
      <c r="DH1008" s="319" t="s">
        <v>173</v>
      </c>
      <c r="DI1008" s="319" t="s">
        <v>173</v>
      </c>
      <c r="DJ1008" s="319" t="s">
        <v>173</v>
      </c>
      <c r="DK1008" s="319" t="s">
        <v>173</v>
      </c>
      <c r="DL1008" s="319" t="s">
        <v>173</v>
      </c>
      <c r="DM1008" s="319" t="s">
        <v>173</v>
      </c>
      <c r="DN1008" s="319" t="s">
        <v>173</v>
      </c>
      <c r="DO1008" s="319" t="s">
        <v>173</v>
      </c>
      <c r="DP1008" s="319" t="s">
        <v>173</v>
      </c>
      <c r="DQ1008" s="319" t="s">
        <v>173</v>
      </c>
      <c r="DR1008" s="319" t="s">
        <v>173</v>
      </c>
      <c r="DS1008" s="319" t="s">
        <v>173</v>
      </c>
      <c r="DT1008" s="319" t="s">
        <v>173</v>
      </c>
      <c r="DU1008" s="319" t="s">
        <v>173</v>
      </c>
      <c r="DV1008" s="319" t="s">
        <v>173</v>
      </c>
      <c r="DW1008" s="319" t="s">
        <v>173</v>
      </c>
      <c r="DX1008" s="319" t="s">
        <v>173</v>
      </c>
      <c r="DY1008" s="319" t="s">
        <v>173</v>
      </c>
      <c r="DZ1008" s="319" t="s">
        <v>173</v>
      </c>
      <c r="EA1008" s="319" t="s">
        <v>173</v>
      </c>
      <c r="EB1008" s="319" t="s">
        <v>173</v>
      </c>
      <c r="EC1008" s="319" t="s">
        <v>173</v>
      </c>
      <c r="ED1008" s="319" t="s">
        <v>173</v>
      </c>
      <c r="EE1008" s="319" t="s">
        <v>173</v>
      </c>
      <c r="EF1008" s="319" t="s">
        <v>173</v>
      </c>
      <c r="EG1008" s="319" t="s">
        <v>173</v>
      </c>
      <c r="EH1008" s="319" t="s">
        <v>173</v>
      </c>
      <c r="EI1008" s="319" t="s">
        <v>173</v>
      </c>
      <c r="EJ1008" s="319" t="s">
        <v>173</v>
      </c>
      <c r="EK1008" s="319" t="s">
        <v>173</v>
      </c>
      <c r="EL1008" s="319" t="s">
        <v>173</v>
      </c>
      <c r="EM1008" s="319" t="s">
        <v>173</v>
      </c>
      <c r="EN1008" s="319" t="s">
        <v>173</v>
      </c>
      <c r="EO1008" s="319" t="s">
        <v>173</v>
      </c>
      <c r="EP1008" s="319" t="s">
        <v>173</v>
      </c>
      <c r="EQ1008" s="319" t="s">
        <v>173</v>
      </c>
      <c r="ER1008" s="319" t="s">
        <v>173</v>
      </c>
      <c r="ES1008" s="319" t="s">
        <v>173</v>
      </c>
      <c r="ET1008" s="319" t="s">
        <v>173</v>
      </c>
      <c r="EU1008" s="319" t="s">
        <v>173</v>
      </c>
      <c r="EV1008" s="319" t="s">
        <v>173</v>
      </c>
      <c r="EW1008" s="319" t="s">
        <v>173</v>
      </c>
      <c r="EX1008" s="319" t="s">
        <v>173</v>
      </c>
      <c r="EY1008" s="319" t="s">
        <v>173</v>
      </c>
      <c r="EZ1008" s="319" t="s">
        <v>173</v>
      </c>
      <c r="FA1008" s="319" t="s">
        <v>173</v>
      </c>
      <c r="FB1008" s="319" t="s">
        <v>173</v>
      </c>
      <c r="FC1008" s="319" t="s">
        <v>173</v>
      </c>
      <c r="FD1008" s="319" t="s">
        <v>173</v>
      </c>
      <c r="FE1008" s="319" t="s">
        <v>173</v>
      </c>
      <c r="FF1008" s="319" t="s">
        <v>173</v>
      </c>
      <c r="FG1008" s="319" t="s">
        <v>173</v>
      </c>
      <c r="FH1008" s="319" t="s">
        <v>173</v>
      </c>
      <c r="FI1008" s="319" t="s">
        <v>173</v>
      </c>
      <c r="FJ1008" s="319" t="s">
        <v>173</v>
      </c>
      <c r="FK1008" s="319" t="s">
        <v>173</v>
      </c>
      <c r="FL1008" s="319" t="s">
        <v>173</v>
      </c>
      <c r="FM1008" s="319" t="s">
        <v>173</v>
      </c>
      <c r="FN1008" s="319" t="s">
        <v>173</v>
      </c>
      <c r="FO1008" s="319" t="s">
        <v>173</v>
      </c>
      <c r="FP1008" s="319" t="s">
        <v>173</v>
      </c>
      <c r="FQ1008" s="319" t="s">
        <v>173</v>
      </c>
      <c r="FR1008" s="319" t="s">
        <v>173</v>
      </c>
      <c r="FS1008" s="319" t="s">
        <v>173</v>
      </c>
      <c r="FT1008" s="319" t="s">
        <v>173</v>
      </c>
      <c r="FU1008" s="319" t="s">
        <v>173</v>
      </c>
      <c r="FV1008" s="319" t="s">
        <v>173</v>
      </c>
      <c r="FW1008" s="319" t="s">
        <v>173</v>
      </c>
      <c r="FX1008" s="319" t="s">
        <v>173</v>
      </c>
      <c r="FY1008" s="319" t="s">
        <v>173</v>
      </c>
      <c r="FZ1008" s="319" t="s">
        <v>173</v>
      </c>
      <c r="GA1008" s="319" t="s">
        <v>173</v>
      </c>
      <c r="GB1008" s="319" t="s">
        <v>173</v>
      </c>
      <c r="GC1008" s="319" t="s">
        <v>173</v>
      </c>
      <c r="GD1008" s="319" t="s">
        <v>173</v>
      </c>
      <c r="GE1008" s="319" t="s">
        <v>173</v>
      </c>
      <c r="GF1008" s="319" t="s">
        <v>173</v>
      </c>
      <c r="GG1008" s="319" t="s">
        <v>173</v>
      </c>
      <c r="GH1008" s="319" t="s">
        <v>173</v>
      </c>
      <c r="GI1008" s="319" t="s">
        <v>173</v>
      </c>
      <c r="GJ1008" s="319" t="s">
        <v>173</v>
      </c>
      <c r="GK1008" s="319" t="s">
        <v>173</v>
      </c>
      <c r="GL1008" s="319" t="s">
        <v>173</v>
      </c>
      <c r="GM1008" s="319" t="s">
        <v>173</v>
      </c>
      <c r="GN1008" s="319" t="s">
        <v>173</v>
      </c>
      <c r="GO1008" s="319" t="s">
        <v>173</v>
      </c>
      <c r="GP1008" s="319" t="s">
        <v>173</v>
      </c>
      <c r="GQ1008" s="319" t="s">
        <v>173</v>
      </c>
      <c r="GR1008" s="319" t="s">
        <v>173</v>
      </c>
      <c r="GS1008" s="319" t="s">
        <v>173</v>
      </c>
      <c r="GT1008" s="319" t="s">
        <v>173</v>
      </c>
      <c r="GU1008" s="319" t="s">
        <v>173</v>
      </c>
      <c r="GV1008" s="319" t="s">
        <v>173</v>
      </c>
      <c r="GW1008" s="319" t="s">
        <v>173</v>
      </c>
      <c r="GX1008" s="319" t="s">
        <v>173</v>
      </c>
      <c r="GY1008" s="319" t="s">
        <v>173</v>
      </c>
      <c r="GZ1008" s="319" t="s">
        <v>173</v>
      </c>
      <c r="HA1008" s="319" t="s">
        <v>173</v>
      </c>
      <c r="HB1008" s="319" t="s">
        <v>173</v>
      </c>
      <c r="HC1008" s="319" t="s">
        <v>173</v>
      </c>
      <c r="HD1008" s="319" t="s">
        <v>173</v>
      </c>
      <c r="HE1008" s="319" t="s">
        <v>173</v>
      </c>
      <c r="HF1008" s="319" t="s">
        <v>173</v>
      </c>
      <c r="HG1008" s="319" t="s">
        <v>173</v>
      </c>
      <c r="HH1008" s="319" t="s">
        <v>173</v>
      </c>
      <c r="HI1008" s="319" t="s">
        <v>173</v>
      </c>
      <c r="HJ1008" s="319" t="s">
        <v>173</v>
      </c>
      <c r="HK1008" s="319" t="s">
        <v>173</v>
      </c>
      <c r="HL1008" s="319" t="s">
        <v>173</v>
      </c>
      <c r="HM1008" s="319" t="s">
        <v>173</v>
      </c>
      <c r="HN1008" s="319" t="s">
        <v>173</v>
      </c>
      <c r="HO1008" s="319" t="s">
        <v>173</v>
      </c>
      <c r="HP1008" s="319" t="s">
        <v>173</v>
      </c>
      <c r="HQ1008" s="319" t="s">
        <v>173</v>
      </c>
      <c r="HR1008" s="319" t="s">
        <v>173</v>
      </c>
      <c r="HS1008" s="319" t="s">
        <v>173</v>
      </c>
      <c r="HT1008" s="319" t="s">
        <v>173</v>
      </c>
      <c r="HU1008" s="319" t="s">
        <v>173</v>
      </c>
      <c r="HV1008" s="319" t="s">
        <v>173</v>
      </c>
      <c r="HW1008" s="319" t="s">
        <v>173</v>
      </c>
      <c r="HX1008" s="319" t="s">
        <v>173</v>
      </c>
      <c r="HY1008" s="319" t="s">
        <v>173</v>
      </c>
      <c r="HZ1008" s="319" t="s">
        <v>173</v>
      </c>
      <c r="IA1008" s="319" t="s">
        <v>173</v>
      </c>
      <c r="IB1008" s="319" t="s">
        <v>173</v>
      </c>
      <c r="IC1008" s="319" t="s">
        <v>173</v>
      </c>
      <c r="ID1008" s="319" t="s">
        <v>173</v>
      </c>
      <c r="IE1008" s="319" t="s">
        <v>173</v>
      </c>
      <c r="IF1008" s="319" t="s">
        <v>173</v>
      </c>
      <c r="IG1008" s="319" t="s">
        <v>173</v>
      </c>
      <c r="IH1008" s="319" t="s">
        <v>173</v>
      </c>
      <c r="II1008" s="319" t="s">
        <v>173</v>
      </c>
      <c r="IJ1008" s="319" t="s">
        <v>173</v>
      </c>
      <c r="IK1008" s="319" t="s">
        <v>173</v>
      </c>
      <c r="IL1008" s="319" t="s">
        <v>173</v>
      </c>
      <c r="IM1008" s="319" t="s">
        <v>173</v>
      </c>
      <c r="IN1008" s="319" t="s">
        <v>173</v>
      </c>
      <c r="IO1008" s="319" t="s">
        <v>173</v>
      </c>
      <c r="IP1008" s="319" t="s">
        <v>173</v>
      </c>
      <c r="IQ1008" s="321" t="s">
        <v>173</v>
      </c>
      <c r="IR1008" s="320" t="s">
        <v>173</v>
      </c>
      <c r="IS1008" s="322" t="s">
        <v>173</v>
      </c>
      <c r="IT1008" s="319" t="s">
        <v>173</v>
      </c>
    </row>
    <row r="1009" spans="1:254" s="271" customFormat="1" x14ac:dyDescent="0.25">
      <c r="A1009" s="318" t="str">
        <f>HYPERLINK("http://www.ofsted.gov.uk/inspection-reports/find-inspection-report/provider/ELS/146200 ","Ofsted School Webpage")</f>
        <v>Ofsted School Webpage</v>
      </c>
      <c r="B1009" s="319">
        <v>146200</v>
      </c>
      <c r="C1009" s="319">
        <v>8786075</v>
      </c>
      <c r="D1009" s="319" t="s">
        <v>3577</v>
      </c>
      <c r="E1009" s="319" t="s">
        <v>168</v>
      </c>
      <c r="F1009" s="319" t="s">
        <v>81</v>
      </c>
      <c r="G1009" s="319" t="s">
        <v>81</v>
      </c>
      <c r="H1009" s="319" t="s">
        <v>81</v>
      </c>
      <c r="I1009" s="319" t="s">
        <v>78</v>
      </c>
      <c r="J1009" s="319" t="s">
        <v>424</v>
      </c>
      <c r="K1009" s="319" t="s">
        <v>422</v>
      </c>
      <c r="L1009" s="319" t="s">
        <v>422</v>
      </c>
      <c r="M1009" s="319" t="s">
        <v>663</v>
      </c>
      <c r="N1009" s="319" t="s">
        <v>3546</v>
      </c>
      <c r="O1009" s="319" t="s">
        <v>3578</v>
      </c>
      <c r="P1009" s="319" t="s">
        <v>173</v>
      </c>
      <c r="Q1009" s="319" t="s">
        <v>429</v>
      </c>
      <c r="R1009" s="320" t="s">
        <v>173</v>
      </c>
      <c r="S1009" s="321" t="s">
        <v>173</v>
      </c>
      <c r="T1009" s="321" t="s">
        <v>173</v>
      </c>
      <c r="U1009" s="321" t="s">
        <v>173</v>
      </c>
      <c r="V1009" s="319" t="s">
        <v>173</v>
      </c>
      <c r="W1009" s="319" t="s">
        <v>173</v>
      </c>
      <c r="X1009" s="319" t="s">
        <v>173</v>
      </c>
      <c r="Y1009" s="319" t="s">
        <v>173</v>
      </c>
      <c r="Z1009" s="319" t="s">
        <v>173</v>
      </c>
      <c r="AA1009" s="319" t="s">
        <v>173</v>
      </c>
      <c r="AB1009" s="319" t="s">
        <v>173</v>
      </c>
      <c r="AC1009" s="319" t="s">
        <v>173</v>
      </c>
      <c r="AD1009" s="319" t="s">
        <v>173</v>
      </c>
      <c r="AE1009" s="319" t="s">
        <v>173</v>
      </c>
      <c r="AF1009" s="319" t="s">
        <v>173</v>
      </c>
      <c r="AG1009" s="319" t="s">
        <v>173</v>
      </c>
      <c r="AH1009" s="319" t="s">
        <v>173</v>
      </c>
      <c r="AI1009" s="319" t="s">
        <v>173</v>
      </c>
      <c r="AJ1009" s="319" t="s">
        <v>173</v>
      </c>
      <c r="AK1009" s="319" t="s">
        <v>173</v>
      </c>
      <c r="AL1009" s="319" t="s">
        <v>173</v>
      </c>
      <c r="AM1009" s="319" t="s">
        <v>173</v>
      </c>
      <c r="AN1009" s="319" t="s">
        <v>173</v>
      </c>
      <c r="AO1009" s="319" t="s">
        <v>173</v>
      </c>
      <c r="AP1009" s="319" t="s">
        <v>173</v>
      </c>
      <c r="AQ1009" s="319" t="s">
        <v>173</v>
      </c>
      <c r="AR1009" s="319" t="s">
        <v>173</v>
      </c>
      <c r="AS1009" s="319" t="s">
        <v>173</v>
      </c>
      <c r="AT1009" s="319" t="s">
        <v>173</v>
      </c>
      <c r="AU1009" s="319" t="s">
        <v>173</v>
      </c>
      <c r="AV1009" s="319" t="s">
        <v>173</v>
      </c>
      <c r="AW1009" s="319" t="s">
        <v>173</v>
      </c>
      <c r="AX1009" s="319" t="s">
        <v>173</v>
      </c>
      <c r="AY1009" s="319" t="s">
        <v>173</v>
      </c>
      <c r="AZ1009" s="319" t="s">
        <v>173</v>
      </c>
      <c r="BA1009" s="319" t="s">
        <v>173</v>
      </c>
      <c r="BB1009" s="319" t="s">
        <v>173</v>
      </c>
      <c r="BC1009" s="319" t="s">
        <v>173</v>
      </c>
      <c r="BD1009" s="319" t="s">
        <v>173</v>
      </c>
      <c r="BE1009" s="319" t="s">
        <v>173</v>
      </c>
      <c r="BF1009" s="319" t="s">
        <v>173</v>
      </c>
      <c r="BG1009" s="319" t="s">
        <v>173</v>
      </c>
      <c r="BH1009" s="319" t="s">
        <v>173</v>
      </c>
      <c r="BI1009" s="319" t="s">
        <v>173</v>
      </c>
      <c r="BJ1009" s="319" t="s">
        <v>173</v>
      </c>
      <c r="BK1009" s="319" t="s">
        <v>173</v>
      </c>
      <c r="BL1009" s="319" t="s">
        <v>173</v>
      </c>
      <c r="BM1009" s="319" t="s">
        <v>173</v>
      </c>
      <c r="BN1009" s="319" t="s">
        <v>173</v>
      </c>
      <c r="BO1009" s="319" t="s">
        <v>173</v>
      </c>
      <c r="BP1009" s="319" t="s">
        <v>173</v>
      </c>
      <c r="BQ1009" s="319" t="s">
        <v>173</v>
      </c>
      <c r="BR1009" s="319" t="s">
        <v>173</v>
      </c>
      <c r="BS1009" s="319" t="s">
        <v>173</v>
      </c>
      <c r="BT1009" s="319" t="s">
        <v>173</v>
      </c>
      <c r="BU1009" s="319" t="s">
        <v>173</v>
      </c>
      <c r="BV1009" s="319" t="s">
        <v>173</v>
      </c>
      <c r="BW1009" s="319" t="s">
        <v>173</v>
      </c>
      <c r="BX1009" s="319" t="s">
        <v>173</v>
      </c>
      <c r="BY1009" s="319" t="s">
        <v>173</v>
      </c>
      <c r="BZ1009" s="319" t="s">
        <v>173</v>
      </c>
      <c r="CA1009" s="319" t="s">
        <v>173</v>
      </c>
      <c r="CB1009" s="319" t="s">
        <v>173</v>
      </c>
      <c r="CC1009" s="319" t="s">
        <v>173</v>
      </c>
      <c r="CD1009" s="319" t="s">
        <v>173</v>
      </c>
      <c r="CE1009" s="319" t="s">
        <v>173</v>
      </c>
      <c r="CF1009" s="319" t="s">
        <v>173</v>
      </c>
      <c r="CG1009" s="319" t="s">
        <v>173</v>
      </c>
      <c r="CH1009" s="319" t="s">
        <v>173</v>
      </c>
      <c r="CI1009" s="319" t="s">
        <v>173</v>
      </c>
      <c r="CJ1009" s="319" t="s">
        <v>173</v>
      </c>
      <c r="CK1009" s="319" t="s">
        <v>173</v>
      </c>
      <c r="CL1009" s="319" t="s">
        <v>173</v>
      </c>
      <c r="CM1009" s="319" t="s">
        <v>173</v>
      </c>
      <c r="CN1009" s="319" t="s">
        <v>173</v>
      </c>
      <c r="CO1009" s="319" t="s">
        <v>173</v>
      </c>
      <c r="CP1009" s="319" t="s">
        <v>173</v>
      </c>
      <c r="CQ1009" s="319" t="s">
        <v>173</v>
      </c>
      <c r="CR1009" s="319" t="s">
        <v>173</v>
      </c>
      <c r="CS1009" s="319" t="s">
        <v>173</v>
      </c>
      <c r="CT1009" s="319" t="s">
        <v>173</v>
      </c>
      <c r="CU1009" s="319" t="s">
        <v>173</v>
      </c>
      <c r="CV1009" s="319" t="s">
        <v>173</v>
      </c>
      <c r="CW1009" s="319" t="s">
        <v>173</v>
      </c>
      <c r="CX1009" s="319" t="s">
        <v>173</v>
      </c>
      <c r="CY1009" s="319" t="s">
        <v>173</v>
      </c>
      <c r="CZ1009" s="319" t="s">
        <v>173</v>
      </c>
      <c r="DA1009" s="319" t="s">
        <v>173</v>
      </c>
      <c r="DB1009" s="319" t="s">
        <v>173</v>
      </c>
      <c r="DC1009" s="319" t="s">
        <v>173</v>
      </c>
      <c r="DD1009" s="319" t="s">
        <v>173</v>
      </c>
      <c r="DE1009" s="319" t="s">
        <v>173</v>
      </c>
      <c r="DF1009" s="319" t="s">
        <v>173</v>
      </c>
      <c r="DG1009" s="319" t="s">
        <v>173</v>
      </c>
      <c r="DH1009" s="319" t="s">
        <v>173</v>
      </c>
      <c r="DI1009" s="319" t="s">
        <v>173</v>
      </c>
      <c r="DJ1009" s="319" t="s">
        <v>173</v>
      </c>
      <c r="DK1009" s="319" t="s">
        <v>173</v>
      </c>
      <c r="DL1009" s="319" t="s">
        <v>173</v>
      </c>
      <c r="DM1009" s="319" t="s">
        <v>173</v>
      </c>
      <c r="DN1009" s="319" t="s">
        <v>173</v>
      </c>
      <c r="DO1009" s="319" t="s">
        <v>173</v>
      </c>
      <c r="DP1009" s="319" t="s">
        <v>173</v>
      </c>
      <c r="DQ1009" s="319" t="s">
        <v>173</v>
      </c>
      <c r="DR1009" s="319" t="s">
        <v>173</v>
      </c>
      <c r="DS1009" s="319" t="s">
        <v>173</v>
      </c>
      <c r="DT1009" s="319" t="s">
        <v>173</v>
      </c>
      <c r="DU1009" s="319" t="s">
        <v>173</v>
      </c>
      <c r="DV1009" s="319" t="s">
        <v>173</v>
      </c>
      <c r="DW1009" s="319" t="s">
        <v>173</v>
      </c>
      <c r="DX1009" s="319" t="s">
        <v>173</v>
      </c>
      <c r="DY1009" s="319" t="s">
        <v>173</v>
      </c>
      <c r="DZ1009" s="319" t="s">
        <v>173</v>
      </c>
      <c r="EA1009" s="319" t="s">
        <v>173</v>
      </c>
      <c r="EB1009" s="319" t="s">
        <v>173</v>
      </c>
      <c r="EC1009" s="319" t="s">
        <v>173</v>
      </c>
      <c r="ED1009" s="319" t="s">
        <v>173</v>
      </c>
      <c r="EE1009" s="319" t="s">
        <v>173</v>
      </c>
      <c r="EF1009" s="319" t="s">
        <v>173</v>
      </c>
      <c r="EG1009" s="319" t="s">
        <v>173</v>
      </c>
      <c r="EH1009" s="319" t="s">
        <v>173</v>
      </c>
      <c r="EI1009" s="319" t="s">
        <v>173</v>
      </c>
      <c r="EJ1009" s="319" t="s">
        <v>173</v>
      </c>
      <c r="EK1009" s="319" t="s">
        <v>173</v>
      </c>
      <c r="EL1009" s="319" t="s">
        <v>173</v>
      </c>
      <c r="EM1009" s="319" t="s">
        <v>173</v>
      </c>
      <c r="EN1009" s="319" t="s">
        <v>173</v>
      </c>
      <c r="EO1009" s="319" t="s">
        <v>173</v>
      </c>
      <c r="EP1009" s="319" t="s">
        <v>173</v>
      </c>
      <c r="EQ1009" s="319" t="s">
        <v>173</v>
      </c>
      <c r="ER1009" s="319" t="s">
        <v>173</v>
      </c>
      <c r="ES1009" s="319" t="s">
        <v>173</v>
      </c>
      <c r="ET1009" s="319" t="s">
        <v>173</v>
      </c>
      <c r="EU1009" s="319" t="s">
        <v>173</v>
      </c>
      <c r="EV1009" s="319" t="s">
        <v>173</v>
      </c>
      <c r="EW1009" s="319" t="s">
        <v>173</v>
      </c>
      <c r="EX1009" s="319" t="s">
        <v>173</v>
      </c>
      <c r="EY1009" s="319" t="s">
        <v>173</v>
      </c>
      <c r="EZ1009" s="319" t="s">
        <v>173</v>
      </c>
      <c r="FA1009" s="319" t="s">
        <v>173</v>
      </c>
      <c r="FB1009" s="319" t="s">
        <v>173</v>
      </c>
      <c r="FC1009" s="319" t="s">
        <v>173</v>
      </c>
      <c r="FD1009" s="319" t="s">
        <v>173</v>
      </c>
      <c r="FE1009" s="319" t="s">
        <v>173</v>
      </c>
      <c r="FF1009" s="319" t="s">
        <v>173</v>
      </c>
      <c r="FG1009" s="319" t="s">
        <v>173</v>
      </c>
      <c r="FH1009" s="319" t="s">
        <v>173</v>
      </c>
      <c r="FI1009" s="319" t="s">
        <v>173</v>
      </c>
      <c r="FJ1009" s="319" t="s">
        <v>173</v>
      </c>
      <c r="FK1009" s="319" t="s">
        <v>173</v>
      </c>
      <c r="FL1009" s="319" t="s">
        <v>173</v>
      </c>
      <c r="FM1009" s="319" t="s">
        <v>173</v>
      </c>
      <c r="FN1009" s="319" t="s">
        <v>173</v>
      </c>
      <c r="FO1009" s="319" t="s">
        <v>173</v>
      </c>
      <c r="FP1009" s="319" t="s">
        <v>173</v>
      </c>
      <c r="FQ1009" s="319" t="s">
        <v>173</v>
      </c>
      <c r="FR1009" s="319" t="s">
        <v>173</v>
      </c>
      <c r="FS1009" s="319" t="s">
        <v>173</v>
      </c>
      <c r="FT1009" s="319" t="s">
        <v>173</v>
      </c>
      <c r="FU1009" s="319" t="s">
        <v>173</v>
      </c>
      <c r="FV1009" s="319" t="s">
        <v>173</v>
      </c>
      <c r="FW1009" s="319" t="s">
        <v>173</v>
      </c>
      <c r="FX1009" s="319" t="s">
        <v>173</v>
      </c>
      <c r="FY1009" s="319" t="s">
        <v>173</v>
      </c>
      <c r="FZ1009" s="319" t="s">
        <v>173</v>
      </c>
      <c r="GA1009" s="319" t="s">
        <v>173</v>
      </c>
      <c r="GB1009" s="319" t="s">
        <v>173</v>
      </c>
      <c r="GC1009" s="319" t="s">
        <v>173</v>
      </c>
      <c r="GD1009" s="319" t="s">
        <v>173</v>
      </c>
      <c r="GE1009" s="319" t="s">
        <v>173</v>
      </c>
      <c r="GF1009" s="319" t="s">
        <v>173</v>
      </c>
      <c r="GG1009" s="319" t="s">
        <v>173</v>
      </c>
      <c r="GH1009" s="319" t="s">
        <v>173</v>
      </c>
      <c r="GI1009" s="319" t="s">
        <v>173</v>
      </c>
      <c r="GJ1009" s="319" t="s">
        <v>173</v>
      </c>
      <c r="GK1009" s="319" t="s">
        <v>173</v>
      </c>
      <c r="GL1009" s="319" t="s">
        <v>173</v>
      </c>
      <c r="GM1009" s="319" t="s">
        <v>173</v>
      </c>
      <c r="GN1009" s="319" t="s">
        <v>173</v>
      </c>
      <c r="GO1009" s="319" t="s">
        <v>173</v>
      </c>
      <c r="GP1009" s="319" t="s">
        <v>173</v>
      </c>
      <c r="GQ1009" s="319" t="s">
        <v>173</v>
      </c>
      <c r="GR1009" s="319" t="s">
        <v>173</v>
      </c>
      <c r="GS1009" s="319" t="s">
        <v>173</v>
      </c>
      <c r="GT1009" s="319" t="s">
        <v>173</v>
      </c>
      <c r="GU1009" s="319" t="s">
        <v>173</v>
      </c>
      <c r="GV1009" s="319" t="s">
        <v>173</v>
      </c>
      <c r="GW1009" s="319" t="s">
        <v>173</v>
      </c>
      <c r="GX1009" s="319" t="s">
        <v>173</v>
      </c>
      <c r="GY1009" s="319" t="s">
        <v>173</v>
      </c>
      <c r="GZ1009" s="319" t="s">
        <v>173</v>
      </c>
      <c r="HA1009" s="319" t="s">
        <v>173</v>
      </c>
      <c r="HB1009" s="319" t="s">
        <v>173</v>
      </c>
      <c r="HC1009" s="319" t="s">
        <v>173</v>
      </c>
      <c r="HD1009" s="319" t="s">
        <v>173</v>
      </c>
      <c r="HE1009" s="319" t="s">
        <v>173</v>
      </c>
      <c r="HF1009" s="319" t="s">
        <v>173</v>
      </c>
      <c r="HG1009" s="319" t="s">
        <v>173</v>
      </c>
      <c r="HH1009" s="319" t="s">
        <v>173</v>
      </c>
      <c r="HI1009" s="319" t="s">
        <v>173</v>
      </c>
      <c r="HJ1009" s="319" t="s">
        <v>173</v>
      </c>
      <c r="HK1009" s="319" t="s">
        <v>173</v>
      </c>
      <c r="HL1009" s="319" t="s">
        <v>173</v>
      </c>
      <c r="HM1009" s="319" t="s">
        <v>173</v>
      </c>
      <c r="HN1009" s="319" t="s">
        <v>173</v>
      </c>
      <c r="HO1009" s="319" t="s">
        <v>173</v>
      </c>
      <c r="HP1009" s="319" t="s">
        <v>173</v>
      </c>
      <c r="HQ1009" s="319" t="s">
        <v>173</v>
      </c>
      <c r="HR1009" s="319" t="s">
        <v>173</v>
      </c>
      <c r="HS1009" s="319" t="s">
        <v>173</v>
      </c>
      <c r="HT1009" s="319" t="s">
        <v>173</v>
      </c>
      <c r="HU1009" s="319" t="s">
        <v>173</v>
      </c>
      <c r="HV1009" s="319" t="s">
        <v>173</v>
      </c>
      <c r="HW1009" s="319" t="s">
        <v>173</v>
      </c>
      <c r="HX1009" s="319" t="s">
        <v>173</v>
      </c>
      <c r="HY1009" s="319" t="s">
        <v>173</v>
      </c>
      <c r="HZ1009" s="319" t="s">
        <v>173</v>
      </c>
      <c r="IA1009" s="319" t="s">
        <v>173</v>
      </c>
      <c r="IB1009" s="319" t="s">
        <v>173</v>
      </c>
      <c r="IC1009" s="319" t="s">
        <v>173</v>
      </c>
      <c r="ID1009" s="319" t="s">
        <v>173</v>
      </c>
      <c r="IE1009" s="319" t="s">
        <v>173</v>
      </c>
      <c r="IF1009" s="319" t="s">
        <v>173</v>
      </c>
      <c r="IG1009" s="319" t="s">
        <v>173</v>
      </c>
      <c r="IH1009" s="319" t="s">
        <v>173</v>
      </c>
      <c r="II1009" s="319" t="s">
        <v>173</v>
      </c>
      <c r="IJ1009" s="319" t="s">
        <v>173</v>
      </c>
      <c r="IK1009" s="319" t="s">
        <v>173</v>
      </c>
      <c r="IL1009" s="319" t="s">
        <v>173</v>
      </c>
      <c r="IM1009" s="319" t="s">
        <v>173</v>
      </c>
      <c r="IN1009" s="319" t="s">
        <v>173</v>
      </c>
      <c r="IO1009" s="319" t="s">
        <v>173</v>
      </c>
      <c r="IP1009" s="319" t="s">
        <v>173</v>
      </c>
      <c r="IQ1009" s="319" t="s">
        <v>173</v>
      </c>
      <c r="IR1009" s="320" t="s">
        <v>173</v>
      </c>
      <c r="IS1009" s="320" t="s">
        <v>173</v>
      </c>
      <c r="IT1009" s="319" t="s">
        <v>173</v>
      </c>
    </row>
    <row r="1010" spans="1:254" s="271" customFormat="1" x14ac:dyDescent="0.25">
      <c r="A1010" s="318" t="str">
        <f>HYPERLINK("http://www.ofsted.gov.uk/inspection-reports/find-inspection-report/provider/ELS/146277 ","Ofsted School Webpage")</f>
        <v>Ofsted School Webpage</v>
      </c>
      <c r="B1010" s="319">
        <v>146277</v>
      </c>
      <c r="C1010" s="319">
        <v>2096005</v>
      </c>
      <c r="D1010" s="319" t="s">
        <v>2531</v>
      </c>
      <c r="E1010" s="319" t="s">
        <v>168</v>
      </c>
      <c r="F1010" s="319" t="s">
        <v>81</v>
      </c>
      <c r="G1010" s="319" t="s">
        <v>81</v>
      </c>
      <c r="H1010" s="319" t="s">
        <v>81</v>
      </c>
      <c r="I1010" s="319" t="s">
        <v>78</v>
      </c>
      <c r="J1010" s="319" t="s">
        <v>424</v>
      </c>
      <c r="K1010" s="319" t="s">
        <v>441</v>
      </c>
      <c r="L1010" s="319" t="s">
        <v>441</v>
      </c>
      <c r="M1010" s="319" t="s">
        <v>655</v>
      </c>
      <c r="N1010" s="319" t="s">
        <v>3547</v>
      </c>
      <c r="O1010" s="319" t="s">
        <v>2532</v>
      </c>
      <c r="P1010" s="319">
        <v>11</v>
      </c>
      <c r="Q1010" s="319" t="s">
        <v>429</v>
      </c>
      <c r="R1010" s="320">
        <v>10092538</v>
      </c>
      <c r="S1010" s="321">
        <v>43641</v>
      </c>
      <c r="T1010" s="321">
        <v>43643</v>
      </c>
      <c r="U1010" s="321">
        <v>43663</v>
      </c>
      <c r="V1010" s="319" t="s">
        <v>435</v>
      </c>
      <c r="W1010" s="319" t="s">
        <v>2767</v>
      </c>
      <c r="X1010" s="319">
        <v>3</v>
      </c>
      <c r="Y1010" s="319" t="s">
        <v>173</v>
      </c>
      <c r="Z1010" s="319" t="s">
        <v>173</v>
      </c>
      <c r="AA1010" s="319" t="s">
        <v>173</v>
      </c>
      <c r="AB1010" s="319">
        <v>3</v>
      </c>
      <c r="AC1010" s="319" t="s">
        <v>169</v>
      </c>
      <c r="AD1010" s="319" t="s">
        <v>173</v>
      </c>
      <c r="AE1010" s="319" t="s">
        <v>173</v>
      </c>
      <c r="AF1010" s="319" t="s">
        <v>427</v>
      </c>
      <c r="AG1010" s="319" t="s">
        <v>172</v>
      </c>
      <c r="AH1010" s="319" t="s">
        <v>479</v>
      </c>
      <c r="AI1010" s="319" t="s">
        <v>190</v>
      </c>
      <c r="AJ1010" s="319" t="s">
        <v>190</v>
      </c>
      <c r="AK1010" s="319" t="s">
        <v>190</v>
      </c>
      <c r="AL1010" s="319" t="s">
        <v>190</v>
      </c>
      <c r="AM1010" s="319" t="s">
        <v>190</v>
      </c>
      <c r="AN1010" s="319" t="s">
        <v>190</v>
      </c>
      <c r="AO1010" s="319" t="s">
        <v>479</v>
      </c>
      <c r="AP1010" s="319" t="s">
        <v>191</v>
      </c>
      <c r="AQ1010" s="319" t="s">
        <v>190</v>
      </c>
      <c r="AR1010" s="319" t="s">
        <v>191</v>
      </c>
      <c r="AS1010" s="319" t="s">
        <v>191</v>
      </c>
      <c r="AT1010" s="319" t="s">
        <v>190</v>
      </c>
      <c r="AU1010" s="319" t="s">
        <v>190</v>
      </c>
      <c r="AV1010" s="319" t="s">
        <v>190</v>
      </c>
      <c r="AW1010" s="319" t="s">
        <v>190</v>
      </c>
      <c r="AX1010" s="319" t="s">
        <v>428</v>
      </c>
      <c r="AY1010" s="319" t="s">
        <v>190</v>
      </c>
      <c r="AZ1010" s="319" t="s">
        <v>190</v>
      </c>
      <c r="BA1010" s="319" t="s">
        <v>190</v>
      </c>
      <c r="BB1010" s="319" t="s">
        <v>190</v>
      </c>
      <c r="BC1010" s="319" t="s">
        <v>190</v>
      </c>
      <c r="BD1010" s="319" t="s">
        <v>190</v>
      </c>
      <c r="BE1010" s="319" t="s">
        <v>190</v>
      </c>
      <c r="BF1010" s="319" t="s">
        <v>428</v>
      </c>
      <c r="BG1010" s="319" t="s">
        <v>428</v>
      </c>
      <c r="BH1010" s="319" t="s">
        <v>190</v>
      </c>
      <c r="BI1010" s="319" t="s">
        <v>190</v>
      </c>
      <c r="BJ1010" s="319" t="s">
        <v>191</v>
      </c>
      <c r="BK1010" s="319" t="s">
        <v>191</v>
      </c>
      <c r="BL1010" s="319" t="s">
        <v>191</v>
      </c>
      <c r="BM1010" s="319" t="s">
        <v>191</v>
      </c>
      <c r="BN1010" s="319" t="s">
        <v>191</v>
      </c>
      <c r="BO1010" s="319" t="s">
        <v>190</v>
      </c>
      <c r="BP1010" s="319" t="s">
        <v>190</v>
      </c>
      <c r="BQ1010" s="319" t="s">
        <v>191</v>
      </c>
      <c r="BR1010" s="319" t="s">
        <v>190</v>
      </c>
      <c r="BS1010" s="319" t="s">
        <v>190</v>
      </c>
      <c r="BT1010" s="319" t="s">
        <v>190</v>
      </c>
      <c r="BU1010" s="319" t="s">
        <v>190</v>
      </c>
      <c r="BV1010" s="319" t="s">
        <v>190</v>
      </c>
      <c r="BW1010" s="319" t="s">
        <v>190</v>
      </c>
      <c r="BX1010" s="319" t="s">
        <v>190</v>
      </c>
      <c r="BY1010" s="319" t="s">
        <v>190</v>
      </c>
      <c r="BZ1010" s="319" t="s">
        <v>190</v>
      </c>
      <c r="CA1010" s="319" t="s">
        <v>190</v>
      </c>
      <c r="CB1010" s="319" t="s">
        <v>190</v>
      </c>
      <c r="CC1010" s="319" t="s">
        <v>190</v>
      </c>
      <c r="CD1010" s="319" t="s">
        <v>190</v>
      </c>
      <c r="CE1010" s="319" t="s">
        <v>190</v>
      </c>
      <c r="CF1010" s="319" t="s">
        <v>190</v>
      </c>
      <c r="CG1010" s="319" t="s">
        <v>190</v>
      </c>
      <c r="CH1010" s="319" t="s">
        <v>190</v>
      </c>
      <c r="CI1010" s="319" t="s">
        <v>190</v>
      </c>
      <c r="CJ1010" s="319" t="s">
        <v>190</v>
      </c>
      <c r="CK1010" s="319" t="s">
        <v>190</v>
      </c>
      <c r="CL1010" s="319" t="s">
        <v>190</v>
      </c>
      <c r="CM1010" s="319" t="s">
        <v>190</v>
      </c>
      <c r="CN1010" s="319" t="s">
        <v>428</v>
      </c>
      <c r="CO1010" s="319" t="s">
        <v>428</v>
      </c>
      <c r="CP1010" s="319" t="s">
        <v>428</v>
      </c>
      <c r="CQ1010" s="319" t="s">
        <v>190</v>
      </c>
      <c r="CR1010" s="319" t="s">
        <v>190</v>
      </c>
      <c r="CS1010" s="319" t="s">
        <v>190</v>
      </c>
      <c r="CT1010" s="319" t="s">
        <v>190</v>
      </c>
      <c r="CU1010" s="319" t="s">
        <v>190</v>
      </c>
      <c r="CV1010" s="319" t="s">
        <v>190</v>
      </c>
      <c r="CW1010" s="319" t="s">
        <v>190</v>
      </c>
      <c r="CX1010" s="319" t="s">
        <v>190</v>
      </c>
      <c r="CY1010" s="319" t="s">
        <v>190</v>
      </c>
      <c r="CZ1010" s="319" t="s">
        <v>190</v>
      </c>
      <c r="DA1010" s="319" t="s">
        <v>190</v>
      </c>
      <c r="DB1010" s="319" t="s">
        <v>190</v>
      </c>
      <c r="DC1010" s="319" t="s">
        <v>190</v>
      </c>
      <c r="DD1010" s="319" t="s">
        <v>190</v>
      </c>
      <c r="DE1010" s="319" t="s">
        <v>190</v>
      </c>
      <c r="DF1010" s="319" t="s">
        <v>190</v>
      </c>
      <c r="DG1010" s="319" t="s">
        <v>190</v>
      </c>
      <c r="DH1010" s="319" t="s">
        <v>190</v>
      </c>
      <c r="DI1010" s="319" t="s">
        <v>190</v>
      </c>
      <c r="DJ1010" s="319" t="s">
        <v>190</v>
      </c>
      <c r="DK1010" s="319" t="s">
        <v>190</v>
      </c>
      <c r="DL1010" s="319" t="s">
        <v>190</v>
      </c>
      <c r="DM1010" s="319" t="s">
        <v>190</v>
      </c>
      <c r="DN1010" s="319" t="s">
        <v>428</v>
      </c>
      <c r="DO1010" s="319" t="s">
        <v>190</v>
      </c>
      <c r="DP1010" s="319" t="s">
        <v>428</v>
      </c>
      <c r="DQ1010" s="319" t="s">
        <v>428</v>
      </c>
      <c r="DR1010" s="319" t="s">
        <v>428</v>
      </c>
      <c r="DS1010" s="319" t="s">
        <v>428</v>
      </c>
      <c r="DT1010" s="319" t="s">
        <v>428</v>
      </c>
      <c r="DU1010" s="319" t="s">
        <v>428</v>
      </c>
      <c r="DV1010" s="319" t="s">
        <v>173</v>
      </c>
      <c r="DW1010" s="319" t="s">
        <v>428</v>
      </c>
      <c r="DX1010" s="319" t="s">
        <v>428</v>
      </c>
      <c r="DY1010" s="319" t="s">
        <v>428</v>
      </c>
      <c r="DZ1010" s="319" t="s">
        <v>428</v>
      </c>
      <c r="EA1010" s="319" t="s">
        <v>428</v>
      </c>
      <c r="EB1010" s="319" t="s">
        <v>428</v>
      </c>
      <c r="EC1010" s="319" t="s">
        <v>428</v>
      </c>
      <c r="ED1010" s="319" t="s">
        <v>428</v>
      </c>
      <c r="EE1010" s="319" t="s">
        <v>428</v>
      </c>
      <c r="EF1010" s="319" t="s">
        <v>428</v>
      </c>
      <c r="EG1010" s="319" t="s">
        <v>428</v>
      </c>
      <c r="EH1010" s="319" t="s">
        <v>428</v>
      </c>
      <c r="EI1010" s="319" t="s">
        <v>428</v>
      </c>
      <c r="EJ1010" s="319" t="s">
        <v>428</v>
      </c>
      <c r="EK1010" s="319" t="s">
        <v>428</v>
      </c>
      <c r="EL1010" s="319" t="s">
        <v>428</v>
      </c>
      <c r="EM1010" s="319" t="s">
        <v>428</v>
      </c>
      <c r="EN1010" s="319" t="s">
        <v>190</v>
      </c>
      <c r="EO1010" s="319" t="s">
        <v>190</v>
      </c>
      <c r="EP1010" s="319" t="s">
        <v>190</v>
      </c>
      <c r="EQ1010" s="319" t="s">
        <v>190</v>
      </c>
      <c r="ER1010" s="319" t="s">
        <v>190</v>
      </c>
      <c r="ES1010" s="319" t="s">
        <v>190</v>
      </c>
      <c r="ET1010" s="319" t="s">
        <v>190</v>
      </c>
      <c r="EU1010" s="319" t="s">
        <v>190</v>
      </c>
      <c r="EV1010" s="319" t="s">
        <v>190</v>
      </c>
      <c r="EW1010" s="319" t="s">
        <v>190</v>
      </c>
      <c r="EX1010" s="319" t="s">
        <v>190</v>
      </c>
      <c r="EY1010" s="319" t="s">
        <v>190</v>
      </c>
      <c r="EZ1010" s="319" t="s">
        <v>190</v>
      </c>
      <c r="FA1010" s="319" t="s">
        <v>190</v>
      </c>
      <c r="FB1010" s="319" t="s">
        <v>428</v>
      </c>
      <c r="FC1010" s="319" t="s">
        <v>428</v>
      </c>
      <c r="FD1010" s="319" t="s">
        <v>428</v>
      </c>
      <c r="FE1010" s="319" t="s">
        <v>428</v>
      </c>
      <c r="FF1010" s="319" t="s">
        <v>428</v>
      </c>
      <c r="FG1010" s="319" t="s">
        <v>428</v>
      </c>
      <c r="FH1010" s="319" t="s">
        <v>428</v>
      </c>
      <c r="FI1010" s="319" t="s">
        <v>428</v>
      </c>
      <c r="FJ1010" s="319" t="s">
        <v>429</v>
      </c>
      <c r="FK1010" s="319" t="s">
        <v>428</v>
      </c>
      <c r="FL1010" s="319" t="s">
        <v>190</v>
      </c>
      <c r="FM1010" s="319" t="s">
        <v>190</v>
      </c>
      <c r="FN1010" s="319" t="s">
        <v>190</v>
      </c>
      <c r="FO1010" s="319" t="s">
        <v>190</v>
      </c>
      <c r="FP1010" s="319" t="s">
        <v>190</v>
      </c>
      <c r="FQ1010" s="319" t="s">
        <v>190</v>
      </c>
      <c r="FR1010" s="319" t="s">
        <v>190</v>
      </c>
      <c r="FS1010" s="319" t="s">
        <v>428</v>
      </c>
      <c r="FT1010" s="319" t="s">
        <v>190</v>
      </c>
      <c r="FU1010" s="319" t="s">
        <v>190</v>
      </c>
      <c r="FV1010" s="319" t="s">
        <v>190</v>
      </c>
      <c r="FW1010" s="319" t="s">
        <v>190</v>
      </c>
      <c r="FX1010" s="319" t="s">
        <v>190</v>
      </c>
      <c r="FY1010" s="319" t="s">
        <v>190</v>
      </c>
      <c r="FZ1010" s="319" t="s">
        <v>190</v>
      </c>
      <c r="GA1010" s="319" t="s">
        <v>190</v>
      </c>
      <c r="GB1010" s="319" t="s">
        <v>190</v>
      </c>
      <c r="GC1010" s="319" t="s">
        <v>190</v>
      </c>
      <c r="GD1010" s="319" t="s">
        <v>190</v>
      </c>
      <c r="GE1010" s="319" t="s">
        <v>190</v>
      </c>
      <c r="GF1010" s="319" t="s">
        <v>190</v>
      </c>
      <c r="GG1010" s="319" t="s">
        <v>190</v>
      </c>
      <c r="GH1010" s="319" t="s">
        <v>190</v>
      </c>
      <c r="GI1010" s="319" t="s">
        <v>190</v>
      </c>
      <c r="GJ1010" s="319" t="s">
        <v>190</v>
      </c>
      <c r="GK1010" s="319" t="s">
        <v>428</v>
      </c>
      <c r="GL1010" s="319" t="s">
        <v>190</v>
      </c>
      <c r="GM1010" s="319" t="s">
        <v>190</v>
      </c>
      <c r="GN1010" s="319" t="s">
        <v>190</v>
      </c>
      <c r="GO1010" s="319" t="s">
        <v>190</v>
      </c>
      <c r="GP1010" s="319" t="s">
        <v>428</v>
      </c>
      <c r="GQ1010" s="319" t="s">
        <v>428</v>
      </c>
      <c r="GR1010" s="319" t="s">
        <v>190</v>
      </c>
      <c r="GS1010" s="319" t="s">
        <v>428</v>
      </c>
      <c r="GT1010" s="319" t="s">
        <v>190</v>
      </c>
      <c r="GU1010" s="319" t="s">
        <v>190</v>
      </c>
      <c r="GV1010" s="319" t="s">
        <v>190</v>
      </c>
      <c r="GW1010" s="319" t="s">
        <v>190</v>
      </c>
      <c r="GX1010" s="319" t="s">
        <v>190</v>
      </c>
      <c r="GY1010" s="319" t="s">
        <v>190</v>
      </c>
      <c r="GZ1010" s="319" t="s">
        <v>190</v>
      </c>
      <c r="HA1010" s="319" t="s">
        <v>428</v>
      </c>
      <c r="HB1010" s="319" t="s">
        <v>190</v>
      </c>
      <c r="HC1010" s="319" t="s">
        <v>190</v>
      </c>
      <c r="HD1010" s="319" t="s">
        <v>190</v>
      </c>
      <c r="HE1010" s="319" t="s">
        <v>190</v>
      </c>
      <c r="HF1010" s="319" t="s">
        <v>190</v>
      </c>
      <c r="HG1010" s="319" t="s">
        <v>190</v>
      </c>
      <c r="HH1010" s="319" t="s">
        <v>190</v>
      </c>
      <c r="HI1010" s="319" t="s">
        <v>428</v>
      </c>
      <c r="HJ1010" s="319" t="s">
        <v>190</v>
      </c>
      <c r="HK1010" s="319" t="s">
        <v>428</v>
      </c>
      <c r="HL1010" s="319" t="s">
        <v>428</v>
      </c>
      <c r="HM1010" s="319" t="s">
        <v>428</v>
      </c>
      <c r="HN1010" s="319" t="s">
        <v>428</v>
      </c>
      <c r="HO1010" s="319" t="s">
        <v>428</v>
      </c>
      <c r="HP1010" s="319" t="s">
        <v>190</v>
      </c>
      <c r="HQ1010" s="319" t="s">
        <v>190</v>
      </c>
      <c r="HR1010" s="319" t="s">
        <v>190</v>
      </c>
      <c r="HS1010" s="319" t="s">
        <v>190</v>
      </c>
      <c r="HT1010" s="319" t="s">
        <v>190</v>
      </c>
      <c r="HU1010" s="319" t="s">
        <v>190</v>
      </c>
      <c r="HV1010" s="319" t="s">
        <v>190</v>
      </c>
      <c r="HW1010" s="319" t="s">
        <v>190</v>
      </c>
      <c r="HX1010" s="319" t="s">
        <v>190</v>
      </c>
      <c r="HY1010" s="319" t="s">
        <v>190</v>
      </c>
      <c r="HZ1010" s="319" t="s">
        <v>190</v>
      </c>
      <c r="IA1010" s="319" t="s">
        <v>190</v>
      </c>
      <c r="IB1010" s="319" t="s">
        <v>190</v>
      </c>
      <c r="IC1010" s="319" t="s">
        <v>190</v>
      </c>
      <c r="ID1010" s="319" t="s">
        <v>190</v>
      </c>
      <c r="IE1010" s="319" t="s">
        <v>190</v>
      </c>
      <c r="IF1010" s="319" t="s">
        <v>191</v>
      </c>
      <c r="IG1010" s="319" t="s">
        <v>191</v>
      </c>
      <c r="IH1010" s="319" t="s">
        <v>191</v>
      </c>
      <c r="II1010" s="319" t="s">
        <v>190</v>
      </c>
      <c r="IJ1010" s="319" t="s">
        <v>173</v>
      </c>
      <c r="IK1010" s="319" t="s">
        <v>173</v>
      </c>
      <c r="IL1010" s="319" t="s">
        <v>173</v>
      </c>
      <c r="IM1010" s="319" t="s">
        <v>173</v>
      </c>
      <c r="IN1010" s="319" t="s">
        <v>173</v>
      </c>
      <c r="IO1010" s="319" t="s">
        <v>173</v>
      </c>
      <c r="IP1010" s="319" t="s">
        <v>173</v>
      </c>
      <c r="IQ1010" s="321" t="s">
        <v>173</v>
      </c>
      <c r="IR1010" s="320" t="s">
        <v>173</v>
      </c>
      <c r="IS1010" s="322" t="s">
        <v>173</v>
      </c>
      <c r="IT1010" s="319" t="s">
        <v>173</v>
      </c>
    </row>
    <row r="1011" spans="1:254" s="271" customFormat="1" x14ac:dyDescent="0.25">
      <c r="A1011" s="318" t="str">
        <f>HYPERLINK("http://www.ofsted.gov.uk/inspection-reports/find-inspection-report/provider/ELS/146287 ","Ofsted School Webpage")</f>
        <v>Ofsted School Webpage</v>
      </c>
      <c r="B1011" s="319">
        <v>146287</v>
      </c>
      <c r="C1011" s="319">
        <v>8786076</v>
      </c>
      <c r="D1011" s="319" t="s">
        <v>2533</v>
      </c>
      <c r="E1011" s="319" t="s">
        <v>168</v>
      </c>
      <c r="F1011" s="319" t="s">
        <v>81</v>
      </c>
      <c r="G1011" s="319" t="s">
        <v>81</v>
      </c>
      <c r="H1011" s="319" t="s">
        <v>81</v>
      </c>
      <c r="I1011" s="319" t="s">
        <v>78</v>
      </c>
      <c r="J1011" s="319" t="s">
        <v>424</v>
      </c>
      <c r="K1011" s="319" t="s">
        <v>422</v>
      </c>
      <c r="L1011" s="319" t="s">
        <v>422</v>
      </c>
      <c r="M1011" s="319" t="s">
        <v>663</v>
      </c>
      <c r="N1011" s="319" t="s">
        <v>3579</v>
      </c>
      <c r="O1011" s="319" t="s">
        <v>2534</v>
      </c>
      <c r="P1011" s="319">
        <v>6</v>
      </c>
      <c r="Q1011" s="319" t="s">
        <v>429</v>
      </c>
      <c r="R1011" s="320">
        <v>10086581</v>
      </c>
      <c r="S1011" s="321">
        <v>43606</v>
      </c>
      <c r="T1011" s="321">
        <v>43608</v>
      </c>
      <c r="U1011" s="321">
        <v>43636</v>
      </c>
      <c r="V1011" s="319" t="s">
        <v>435</v>
      </c>
      <c r="W1011" s="319" t="s">
        <v>2767</v>
      </c>
      <c r="X1011" s="319">
        <v>2</v>
      </c>
      <c r="Y1011" s="319" t="s">
        <v>173</v>
      </c>
      <c r="Z1011" s="319" t="s">
        <v>173</v>
      </c>
      <c r="AA1011" s="319" t="s">
        <v>173</v>
      </c>
      <c r="AB1011" s="319">
        <v>2</v>
      </c>
      <c r="AC1011" s="319" t="s">
        <v>169</v>
      </c>
      <c r="AD1011" s="319" t="s">
        <v>173</v>
      </c>
      <c r="AE1011" s="319" t="s">
        <v>173</v>
      </c>
      <c r="AF1011" s="319" t="s">
        <v>427</v>
      </c>
      <c r="AG1011" s="319" t="s">
        <v>171</v>
      </c>
      <c r="AH1011" s="319" t="s">
        <v>190</v>
      </c>
      <c r="AI1011" s="319" t="s">
        <v>190</v>
      </c>
      <c r="AJ1011" s="319" t="s">
        <v>190</v>
      </c>
      <c r="AK1011" s="319" t="s">
        <v>190</v>
      </c>
      <c r="AL1011" s="319" t="s">
        <v>190</v>
      </c>
      <c r="AM1011" s="319" t="s">
        <v>190</v>
      </c>
      <c r="AN1011" s="319" t="s">
        <v>190</v>
      </c>
      <c r="AO1011" s="319" t="s">
        <v>190</v>
      </c>
      <c r="AP1011" s="319" t="s">
        <v>190</v>
      </c>
      <c r="AQ1011" s="319" t="s">
        <v>190</v>
      </c>
      <c r="AR1011" s="319" t="s">
        <v>190</v>
      </c>
      <c r="AS1011" s="319" t="s">
        <v>190</v>
      </c>
      <c r="AT1011" s="319" t="s">
        <v>190</v>
      </c>
      <c r="AU1011" s="319" t="s">
        <v>190</v>
      </c>
      <c r="AV1011" s="319" t="s">
        <v>190</v>
      </c>
      <c r="AW1011" s="319" t="s">
        <v>190</v>
      </c>
      <c r="AX1011" s="319" t="s">
        <v>190</v>
      </c>
      <c r="AY1011" s="319" t="s">
        <v>190</v>
      </c>
      <c r="AZ1011" s="319" t="s">
        <v>190</v>
      </c>
      <c r="BA1011" s="319" t="s">
        <v>190</v>
      </c>
      <c r="BB1011" s="319" t="s">
        <v>190</v>
      </c>
      <c r="BC1011" s="319" t="s">
        <v>190</v>
      </c>
      <c r="BD1011" s="319" t="s">
        <v>190</v>
      </c>
      <c r="BE1011" s="319" t="s">
        <v>190</v>
      </c>
      <c r="BF1011" s="319" t="s">
        <v>190</v>
      </c>
      <c r="BG1011" s="319" t="s">
        <v>190</v>
      </c>
      <c r="BH1011" s="319" t="s">
        <v>190</v>
      </c>
      <c r="BI1011" s="319" t="s">
        <v>190</v>
      </c>
      <c r="BJ1011" s="319" t="s">
        <v>190</v>
      </c>
      <c r="BK1011" s="319" t="s">
        <v>190</v>
      </c>
      <c r="BL1011" s="319" t="s">
        <v>190</v>
      </c>
      <c r="BM1011" s="319" t="s">
        <v>190</v>
      </c>
      <c r="BN1011" s="319" t="s">
        <v>190</v>
      </c>
      <c r="BO1011" s="319" t="s">
        <v>190</v>
      </c>
      <c r="BP1011" s="319" t="s">
        <v>190</v>
      </c>
      <c r="BQ1011" s="319" t="s">
        <v>190</v>
      </c>
      <c r="BR1011" s="319" t="s">
        <v>190</v>
      </c>
      <c r="BS1011" s="319" t="s">
        <v>190</v>
      </c>
      <c r="BT1011" s="319" t="s">
        <v>190</v>
      </c>
      <c r="BU1011" s="319" t="s">
        <v>190</v>
      </c>
      <c r="BV1011" s="319" t="s">
        <v>190</v>
      </c>
      <c r="BW1011" s="319" t="s">
        <v>190</v>
      </c>
      <c r="BX1011" s="319" t="s">
        <v>190</v>
      </c>
      <c r="BY1011" s="319" t="s">
        <v>190</v>
      </c>
      <c r="BZ1011" s="319" t="s">
        <v>190</v>
      </c>
      <c r="CA1011" s="319" t="s">
        <v>190</v>
      </c>
      <c r="CB1011" s="319" t="s">
        <v>190</v>
      </c>
      <c r="CC1011" s="319" t="s">
        <v>190</v>
      </c>
      <c r="CD1011" s="319" t="s">
        <v>190</v>
      </c>
      <c r="CE1011" s="319" t="s">
        <v>190</v>
      </c>
      <c r="CF1011" s="319" t="s">
        <v>190</v>
      </c>
      <c r="CG1011" s="319" t="s">
        <v>190</v>
      </c>
      <c r="CH1011" s="319" t="s">
        <v>190</v>
      </c>
      <c r="CI1011" s="319" t="s">
        <v>190</v>
      </c>
      <c r="CJ1011" s="319" t="s">
        <v>190</v>
      </c>
      <c r="CK1011" s="319" t="s">
        <v>190</v>
      </c>
      <c r="CL1011" s="319" t="s">
        <v>190</v>
      </c>
      <c r="CM1011" s="319" t="s">
        <v>190</v>
      </c>
      <c r="CN1011" s="319" t="s">
        <v>190</v>
      </c>
      <c r="CO1011" s="319" t="s">
        <v>190</v>
      </c>
      <c r="CP1011" s="319" t="s">
        <v>190</v>
      </c>
      <c r="CQ1011" s="319" t="s">
        <v>190</v>
      </c>
      <c r="CR1011" s="319" t="s">
        <v>190</v>
      </c>
      <c r="CS1011" s="319" t="s">
        <v>190</v>
      </c>
      <c r="CT1011" s="319" t="s">
        <v>190</v>
      </c>
      <c r="CU1011" s="319" t="s">
        <v>190</v>
      </c>
      <c r="CV1011" s="319" t="s">
        <v>190</v>
      </c>
      <c r="CW1011" s="319" t="s">
        <v>190</v>
      </c>
      <c r="CX1011" s="319" t="s">
        <v>190</v>
      </c>
      <c r="CY1011" s="319" t="s">
        <v>190</v>
      </c>
      <c r="CZ1011" s="319" t="s">
        <v>190</v>
      </c>
      <c r="DA1011" s="319" t="s">
        <v>190</v>
      </c>
      <c r="DB1011" s="319" t="s">
        <v>190</v>
      </c>
      <c r="DC1011" s="319" t="s">
        <v>190</v>
      </c>
      <c r="DD1011" s="319" t="s">
        <v>190</v>
      </c>
      <c r="DE1011" s="319" t="s">
        <v>190</v>
      </c>
      <c r="DF1011" s="319" t="s">
        <v>190</v>
      </c>
      <c r="DG1011" s="319" t="s">
        <v>190</v>
      </c>
      <c r="DH1011" s="319" t="s">
        <v>190</v>
      </c>
      <c r="DI1011" s="319" t="s">
        <v>190</v>
      </c>
      <c r="DJ1011" s="319" t="s">
        <v>190</v>
      </c>
      <c r="DK1011" s="319" t="s">
        <v>190</v>
      </c>
      <c r="DL1011" s="319" t="s">
        <v>190</v>
      </c>
      <c r="DM1011" s="319" t="s">
        <v>190</v>
      </c>
      <c r="DN1011" s="319" t="s">
        <v>190</v>
      </c>
      <c r="DO1011" s="319" t="s">
        <v>190</v>
      </c>
      <c r="DP1011" s="319" t="s">
        <v>190</v>
      </c>
      <c r="DQ1011" s="319" t="s">
        <v>190</v>
      </c>
      <c r="DR1011" s="319" t="s">
        <v>190</v>
      </c>
      <c r="DS1011" s="319" t="s">
        <v>190</v>
      </c>
      <c r="DT1011" s="319" t="s">
        <v>190</v>
      </c>
      <c r="DU1011" s="319" t="s">
        <v>190</v>
      </c>
      <c r="DV1011" s="319" t="s">
        <v>173</v>
      </c>
      <c r="DW1011" s="319" t="s">
        <v>190</v>
      </c>
      <c r="DX1011" s="319" t="s">
        <v>190</v>
      </c>
      <c r="DY1011" s="319" t="s">
        <v>190</v>
      </c>
      <c r="DZ1011" s="319" t="s">
        <v>190</v>
      </c>
      <c r="EA1011" s="319" t="s">
        <v>190</v>
      </c>
      <c r="EB1011" s="319" t="s">
        <v>190</v>
      </c>
      <c r="EC1011" s="319" t="s">
        <v>190</v>
      </c>
      <c r="ED1011" s="319" t="s">
        <v>190</v>
      </c>
      <c r="EE1011" s="319" t="s">
        <v>190</v>
      </c>
      <c r="EF1011" s="319" t="s">
        <v>190</v>
      </c>
      <c r="EG1011" s="319" t="s">
        <v>190</v>
      </c>
      <c r="EH1011" s="319" t="s">
        <v>190</v>
      </c>
      <c r="EI1011" s="319" t="s">
        <v>190</v>
      </c>
      <c r="EJ1011" s="319" t="s">
        <v>190</v>
      </c>
      <c r="EK1011" s="319" t="s">
        <v>190</v>
      </c>
      <c r="EL1011" s="319" t="s">
        <v>190</v>
      </c>
      <c r="EM1011" s="319" t="s">
        <v>190</v>
      </c>
      <c r="EN1011" s="319" t="s">
        <v>190</v>
      </c>
      <c r="EO1011" s="319" t="s">
        <v>190</v>
      </c>
      <c r="EP1011" s="319" t="s">
        <v>190</v>
      </c>
      <c r="EQ1011" s="319" t="s">
        <v>190</v>
      </c>
      <c r="ER1011" s="319" t="s">
        <v>190</v>
      </c>
      <c r="ES1011" s="319" t="s">
        <v>190</v>
      </c>
      <c r="ET1011" s="319" t="s">
        <v>190</v>
      </c>
      <c r="EU1011" s="319" t="s">
        <v>190</v>
      </c>
      <c r="EV1011" s="319" t="s">
        <v>190</v>
      </c>
      <c r="EW1011" s="319" t="s">
        <v>190</v>
      </c>
      <c r="EX1011" s="319" t="s">
        <v>190</v>
      </c>
      <c r="EY1011" s="319" t="s">
        <v>190</v>
      </c>
      <c r="EZ1011" s="319" t="s">
        <v>190</v>
      </c>
      <c r="FA1011" s="319" t="s">
        <v>190</v>
      </c>
      <c r="FB1011" s="319" t="s">
        <v>190</v>
      </c>
      <c r="FC1011" s="319" t="s">
        <v>190</v>
      </c>
      <c r="FD1011" s="319" t="s">
        <v>190</v>
      </c>
      <c r="FE1011" s="319" t="s">
        <v>190</v>
      </c>
      <c r="FF1011" s="319" t="s">
        <v>190</v>
      </c>
      <c r="FG1011" s="319" t="s">
        <v>190</v>
      </c>
      <c r="FH1011" s="319" t="s">
        <v>190</v>
      </c>
      <c r="FI1011" s="319" t="s">
        <v>190</v>
      </c>
      <c r="FJ1011" s="319" t="s">
        <v>190</v>
      </c>
      <c r="FK1011" s="319" t="s">
        <v>190</v>
      </c>
      <c r="FL1011" s="319" t="s">
        <v>190</v>
      </c>
      <c r="FM1011" s="319" t="s">
        <v>190</v>
      </c>
      <c r="FN1011" s="319" t="s">
        <v>190</v>
      </c>
      <c r="FO1011" s="319" t="s">
        <v>190</v>
      </c>
      <c r="FP1011" s="319" t="s">
        <v>190</v>
      </c>
      <c r="FQ1011" s="319" t="s">
        <v>190</v>
      </c>
      <c r="FR1011" s="319" t="s">
        <v>190</v>
      </c>
      <c r="FS1011" s="319" t="s">
        <v>190</v>
      </c>
      <c r="FT1011" s="319" t="s">
        <v>190</v>
      </c>
      <c r="FU1011" s="319" t="s">
        <v>190</v>
      </c>
      <c r="FV1011" s="319" t="s">
        <v>190</v>
      </c>
      <c r="FW1011" s="319" t="s">
        <v>190</v>
      </c>
      <c r="FX1011" s="319" t="s">
        <v>190</v>
      </c>
      <c r="FY1011" s="319" t="s">
        <v>190</v>
      </c>
      <c r="FZ1011" s="319" t="s">
        <v>190</v>
      </c>
      <c r="GA1011" s="319" t="s">
        <v>190</v>
      </c>
      <c r="GB1011" s="319" t="s">
        <v>190</v>
      </c>
      <c r="GC1011" s="319" t="s">
        <v>190</v>
      </c>
      <c r="GD1011" s="319" t="s">
        <v>190</v>
      </c>
      <c r="GE1011" s="319" t="s">
        <v>190</v>
      </c>
      <c r="GF1011" s="319" t="s">
        <v>190</v>
      </c>
      <c r="GG1011" s="319" t="s">
        <v>190</v>
      </c>
      <c r="GH1011" s="319" t="s">
        <v>190</v>
      </c>
      <c r="GI1011" s="319" t="s">
        <v>190</v>
      </c>
      <c r="GJ1011" s="319" t="s">
        <v>190</v>
      </c>
      <c r="GK1011" s="319" t="s">
        <v>190</v>
      </c>
      <c r="GL1011" s="319" t="s">
        <v>190</v>
      </c>
      <c r="GM1011" s="319" t="s">
        <v>190</v>
      </c>
      <c r="GN1011" s="319" t="s">
        <v>190</v>
      </c>
      <c r="GO1011" s="319" t="s">
        <v>190</v>
      </c>
      <c r="GP1011" s="319" t="s">
        <v>428</v>
      </c>
      <c r="GQ1011" s="319" t="s">
        <v>428</v>
      </c>
      <c r="GR1011" s="319" t="s">
        <v>190</v>
      </c>
      <c r="GS1011" s="319" t="s">
        <v>190</v>
      </c>
      <c r="GT1011" s="319" t="s">
        <v>190</v>
      </c>
      <c r="GU1011" s="319" t="s">
        <v>190</v>
      </c>
      <c r="GV1011" s="319" t="s">
        <v>428</v>
      </c>
      <c r="GW1011" s="319" t="s">
        <v>190</v>
      </c>
      <c r="GX1011" s="319" t="s">
        <v>190</v>
      </c>
      <c r="GY1011" s="319" t="s">
        <v>190</v>
      </c>
      <c r="GZ1011" s="319" t="s">
        <v>190</v>
      </c>
      <c r="HA1011" s="319" t="s">
        <v>428</v>
      </c>
      <c r="HB1011" s="319" t="s">
        <v>428</v>
      </c>
      <c r="HC1011" s="319" t="s">
        <v>190</v>
      </c>
      <c r="HD1011" s="319" t="s">
        <v>190</v>
      </c>
      <c r="HE1011" s="319" t="s">
        <v>190</v>
      </c>
      <c r="HF1011" s="319" t="s">
        <v>190</v>
      </c>
      <c r="HG1011" s="319" t="s">
        <v>190</v>
      </c>
      <c r="HH1011" s="319" t="s">
        <v>190</v>
      </c>
      <c r="HI1011" s="319" t="s">
        <v>428</v>
      </c>
      <c r="HJ1011" s="319" t="s">
        <v>190</v>
      </c>
      <c r="HK1011" s="319" t="s">
        <v>190</v>
      </c>
      <c r="HL1011" s="319" t="s">
        <v>190</v>
      </c>
      <c r="HM1011" s="319" t="s">
        <v>428</v>
      </c>
      <c r="HN1011" s="319" t="s">
        <v>428</v>
      </c>
      <c r="HO1011" s="319" t="s">
        <v>428</v>
      </c>
      <c r="HP1011" s="319" t="s">
        <v>190</v>
      </c>
      <c r="HQ1011" s="319" t="s">
        <v>190</v>
      </c>
      <c r="HR1011" s="319" t="s">
        <v>190</v>
      </c>
      <c r="HS1011" s="319" t="s">
        <v>190</v>
      </c>
      <c r="HT1011" s="319" t="s">
        <v>190</v>
      </c>
      <c r="HU1011" s="319" t="s">
        <v>190</v>
      </c>
      <c r="HV1011" s="319" t="s">
        <v>190</v>
      </c>
      <c r="HW1011" s="319" t="s">
        <v>190</v>
      </c>
      <c r="HX1011" s="319" t="s">
        <v>190</v>
      </c>
      <c r="HY1011" s="319" t="s">
        <v>190</v>
      </c>
      <c r="HZ1011" s="319" t="s">
        <v>190</v>
      </c>
      <c r="IA1011" s="319" t="s">
        <v>190</v>
      </c>
      <c r="IB1011" s="319" t="s">
        <v>190</v>
      </c>
      <c r="IC1011" s="319" t="s">
        <v>190</v>
      </c>
      <c r="ID1011" s="319" t="s">
        <v>190</v>
      </c>
      <c r="IE1011" s="319" t="s">
        <v>190</v>
      </c>
      <c r="IF1011" s="319" t="s">
        <v>190</v>
      </c>
      <c r="IG1011" s="319" t="s">
        <v>190</v>
      </c>
      <c r="IH1011" s="319" t="s">
        <v>190</v>
      </c>
      <c r="II1011" s="319" t="s">
        <v>190</v>
      </c>
      <c r="IJ1011" s="319" t="s">
        <v>173</v>
      </c>
      <c r="IK1011" s="319" t="s">
        <v>173</v>
      </c>
      <c r="IL1011" s="319" t="s">
        <v>173</v>
      </c>
      <c r="IM1011" s="319" t="s">
        <v>173</v>
      </c>
      <c r="IN1011" s="319" t="s">
        <v>173</v>
      </c>
      <c r="IO1011" s="319" t="s">
        <v>173</v>
      </c>
      <c r="IP1011" s="319" t="s">
        <v>173</v>
      </c>
      <c r="IQ1011" s="319" t="s">
        <v>173</v>
      </c>
      <c r="IR1011" s="320" t="s">
        <v>173</v>
      </c>
      <c r="IS1011" s="320" t="s">
        <v>173</v>
      </c>
      <c r="IT1011" s="319" t="s">
        <v>173</v>
      </c>
    </row>
    <row r="1012" spans="1:254" s="271" customFormat="1" x14ac:dyDescent="0.25">
      <c r="A1012" s="318" t="str">
        <f>HYPERLINK("http://www.ofsted.gov.uk/inspection-reports/find-inspection-report/provider/ELS/146288 ","Ofsted School Webpage")</f>
        <v>Ofsted School Webpage</v>
      </c>
      <c r="B1012" s="319">
        <v>146288</v>
      </c>
      <c r="C1012" s="319">
        <v>8916041</v>
      </c>
      <c r="D1012" s="319" t="s">
        <v>3580</v>
      </c>
      <c r="E1012" s="319" t="s">
        <v>168</v>
      </c>
      <c r="F1012" s="319" t="s">
        <v>81</v>
      </c>
      <c r="G1012" s="319" t="s">
        <v>81</v>
      </c>
      <c r="H1012" s="319" t="s">
        <v>81</v>
      </c>
      <c r="I1012" s="319" t="s">
        <v>78</v>
      </c>
      <c r="J1012" s="319" t="s">
        <v>424</v>
      </c>
      <c r="K1012" s="319" t="s">
        <v>506</v>
      </c>
      <c r="L1012" s="319" t="s">
        <v>506</v>
      </c>
      <c r="M1012" s="319" t="s">
        <v>760</v>
      </c>
      <c r="N1012" s="319" t="s">
        <v>3573</v>
      </c>
      <c r="O1012" s="319" t="s">
        <v>3581</v>
      </c>
      <c r="P1012" s="319">
        <v>2</v>
      </c>
      <c r="Q1012" s="319" t="s">
        <v>429</v>
      </c>
      <c r="R1012" s="320" t="s">
        <v>173</v>
      </c>
      <c r="S1012" s="321" t="s">
        <v>173</v>
      </c>
      <c r="T1012" s="321" t="s">
        <v>173</v>
      </c>
      <c r="U1012" s="321" t="s">
        <v>173</v>
      </c>
      <c r="V1012" s="319" t="s">
        <v>173</v>
      </c>
      <c r="W1012" s="319" t="s">
        <v>173</v>
      </c>
      <c r="X1012" s="319" t="s">
        <v>173</v>
      </c>
      <c r="Y1012" s="319" t="s">
        <v>173</v>
      </c>
      <c r="Z1012" s="319" t="s">
        <v>173</v>
      </c>
      <c r="AA1012" s="319" t="s">
        <v>173</v>
      </c>
      <c r="AB1012" s="319" t="s">
        <v>173</v>
      </c>
      <c r="AC1012" s="319" t="s">
        <v>173</v>
      </c>
      <c r="AD1012" s="319" t="s">
        <v>173</v>
      </c>
      <c r="AE1012" s="319" t="s">
        <v>173</v>
      </c>
      <c r="AF1012" s="319" t="s">
        <v>173</v>
      </c>
      <c r="AG1012" s="319" t="s">
        <v>173</v>
      </c>
      <c r="AH1012" s="319" t="s">
        <v>173</v>
      </c>
      <c r="AI1012" s="319" t="s">
        <v>173</v>
      </c>
      <c r="AJ1012" s="319" t="s">
        <v>173</v>
      </c>
      <c r="AK1012" s="319" t="s">
        <v>173</v>
      </c>
      <c r="AL1012" s="319" t="s">
        <v>173</v>
      </c>
      <c r="AM1012" s="319" t="s">
        <v>173</v>
      </c>
      <c r="AN1012" s="319" t="s">
        <v>173</v>
      </c>
      <c r="AO1012" s="319" t="s">
        <v>173</v>
      </c>
      <c r="AP1012" s="319" t="s">
        <v>173</v>
      </c>
      <c r="AQ1012" s="319" t="s">
        <v>173</v>
      </c>
      <c r="AR1012" s="319" t="s">
        <v>173</v>
      </c>
      <c r="AS1012" s="319" t="s">
        <v>173</v>
      </c>
      <c r="AT1012" s="319" t="s">
        <v>173</v>
      </c>
      <c r="AU1012" s="319" t="s">
        <v>173</v>
      </c>
      <c r="AV1012" s="319" t="s">
        <v>173</v>
      </c>
      <c r="AW1012" s="319" t="s">
        <v>173</v>
      </c>
      <c r="AX1012" s="319" t="s">
        <v>173</v>
      </c>
      <c r="AY1012" s="319" t="s">
        <v>173</v>
      </c>
      <c r="AZ1012" s="319" t="s">
        <v>173</v>
      </c>
      <c r="BA1012" s="319" t="s">
        <v>173</v>
      </c>
      <c r="BB1012" s="319" t="s">
        <v>173</v>
      </c>
      <c r="BC1012" s="319" t="s">
        <v>173</v>
      </c>
      <c r="BD1012" s="319" t="s">
        <v>173</v>
      </c>
      <c r="BE1012" s="319" t="s">
        <v>173</v>
      </c>
      <c r="BF1012" s="319" t="s">
        <v>173</v>
      </c>
      <c r="BG1012" s="319" t="s">
        <v>173</v>
      </c>
      <c r="BH1012" s="319" t="s">
        <v>173</v>
      </c>
      <c r="BI1012" s="319" t="s">
        <v>173</v>
      </c>
      <c r="BJ1012" s="319" t="s">
        <v>173</v>
      </c>
      <c r="BK1012" s="319" t="s">
        <v>173</v>
      </c>
      <c r="BL1012" s="319" t="s">
        <v>173</v>
      </c>
      <c r="BM1012" s="319" t="s">
        <v>173</v>
      </c>
      <c r="BN1012" s="319" t="s">
        <v>173</v>
      </c>
      <c r="BO1012" s="319" t="s">
        <v>173</v>
      </c>
      <c r="BP1012" s="319" t="s">
        <v>173</v>
      </c>
      <c r="BQ1012" s="319" t="s">
        <v>173</v>
      </c>
      <c r="BR1012" s="319" t="s">
        <v>173</v>
      </c>
      <c r="BS1012" s="319" t="s">
        <v>173</v>
      </c>
      <c r="BT1012" s="319" t="s">
        <v>173</v>
      </c>
      <c r="BU1012" s="319" t="s">
        <v>173</v>
      </c>
      <c r="BV1012" s="319" t="s">
        <v>173</v>
      </c>
      <c r="BW1012" s="319" t="s">
        <v>173</v>
      </c>
      <c r="BX1012" s="319" t="s">
        <v>173</v>
      </c>
      <c r="BY1012" s="319" t="s">
        <v>173</v>
      </c>
      <c r="BZ1012" s="319" t="s">
        <v>173</v>
      </c>
      <c r="CA1012" s="319" t="s">
        <v>173</v>
      </c>
      <c r="CB1012" s="319" t="s">
        <v>173</v>
      </c>
      <c r="CC1012" s="319" t="s">
        <v>173</v>
      </c>
      <c r="CD1012" s="319" t="s">
        <v>173</v>
      </c>
      <c r="CE1012" s="319" t="s">
        <v>173</v>
      </c>
      <c r="CF1012" s="319" t="s">
        <v>173</v>
      </c>
      <c r="CG1012" s="319" t="s">
        <v>173</v>
      </c>
      <c r="CH1012" s="319" t="s">
        <v>173</v>
      </c>
      <c r="CI1012" s="319" t="s">
        <v>173</v>
      </c>
      <c r="CJ1012" s="319" t="s">
        <v>173</v>
      </c>
      <c r="CK1012" s="319" t="s">
        <v>173</v>
      </c>
      <c r="CL1012" s="319" t="s">
        <v>173</v>
      </c>
      <c r="CM1012" s="319" t="s">
        <v>173</v>
      </c>
      <c r="CN1012" s="319" t="s">
        <v>173</v>
      </c>
      <c r="CO1012" s="319" t="s">
        <v>173</v>
      </c>
      <c r="CP1012" s="319" t="s">
        <v>173</v>
      </c>
      <c r="CQ1012" s="319" t="s">
        <v>173</v>
      </c>
      <c r="CR1012" s="319" t="s">
        <v>173</v>
      </c>
      <c r="CS1012" s="319" t="s">
        <v>173</v>
      </c>
      <c r="CT1012" s="319" t="s">
        <v>173</v>
      </c>
      <c r="CU1012" s="319" t="s">
        <v>173</v>
      </c>
      <c r="CV1012" s="319" t="s">
        <v>173</v>
      </c>
      <c r="CW1012" s="319" t="s">
        <v>173</v>
      </c>
      <c r="CX1012" s="319" t="s">
        <v>173</v>
      </c>
      <c r="CY1012" s="319" t="s">
        <v>173</v>
      </c>
      <c r="CZ1012" s="319" t="s">
        <v>173</v>
      </c>
      <c r="DA1012" s="319" t="s">
        <v>173</v>
      </c>
      <c r="DB1012" s="319" t="s">
        <v>173</v>
      </c>
      <c r="DC1012" s="319" t="s">
        <v>173</v>
      </c>
      <c r="DD1012" s="319" t="s">
        <v>173</v>
      </c>
      <c r="DE1012" s="319" t="s">
        <v>173</v>
      </c>
      <c r="DF1012" s="319" t="s">
        <v>173</v>
      </c>
      <c r="DG1012" s="319" t="s">
        <v>173</v>
      </c>
      <c r="DH1012" s="319" t="s">
        <v>173</v>
      </c>
      <c r="DI1012" s="319" t="s">
        <v>173</v>
      </c>
      <c r="DJ1012" s="319" t="s">
        <v>173</v>
      </c>
      <c r="DK1012" s="319" t="s">
        <v>173</v>
      </c>
      <c r="DL1012" s="319" t="s">
        <v>173</v>
      </c>
      <c r="DM1012" s="319" t="s">
        <v>173</v>
      </c>
      <c r="DN1012" s="319" t="s">
        <v>173</v>
      </c>
      <c r="DO1012" s="319" t="s">
        <v>173</v>
      </c>
      <c r="DP1012" s="319" t="s">
        <v>173</v>
      </c>
      <c r="DQ1012" s="319" t="s">
        <v>173</v>
      </c>
      <c r="DR1012" s="319" t="s">
        <v>173</v>
      </c>
      <c r="DS1012" s="319" t="s">
        <v>173</v>
      </c>
      <c r="DT1012" s="319" t="s">
        <v>173</v>
      </c>
      <c r="DU1012" s="319" t="s">
        <v>173</v>
      </c>
      <c r="DV1012" s="319" t="s">
        <v>173</v>
      </c>
      <c r="DW1012" s="319" t="s">
        <v>173</v>
      </c>
      <c r="DX1012" s="319" t="s">
        <v>173</v>
      </c>
      <c r="DY1012" s="319" t="s">
        <v>173</v>
      </c>
      <c r="DZ1012" s="319" t="s">
        <v>173</v>
      </c>
      <c r="EA1012" s="319" t="s">
        <v>173</v>
      </c>
      <c r="EB1012" s="319" t="s">
        <v>173</v>
      </c>
      <c r="EC1012" s="319" t="s">
        <v>173</v>
      </c>
      <c r="ED1012" s="319" t="s">
        <v>173</v>
      </c>
      <c r="EE1012" s="319" t="s">
        <v>173</v>
      </c>
      <c r="EF1012" s="319" t="s">
        <v>173</v>
      </c>
      <c r="EG1012" s="319" t="s">
        <v>173</v>
      </c>
      <c r="EH1012" s="319" t="s">
        <v>173</v>
      </c>
      <c r="EI1012" s="319" t="s">
        <v>173</v>
      </c>
      <c r="EJ1012" s="319" t="s">
        <v>173</v>
      </c>
      <c r="EK1012" s="319" t="s">
        <v>173</v>
      </c>
      <c r="EL1012" s="319" t="s">
        <v>173</v>
      </c>
      <c r="EM1012" s="319" t="s">
        <v>173</v>
      </c>
      <c r="EN1012" s="319" t="s">
        <v>173</v>
      </c>
      <c r="EO1012" s="319" t="s">
        <v>173</v>
      </c>
      <c r="EP1012" s="319" t="s">
        <v>173</v>
      </c>
      <c r="EQ1012" s="319" t="s">
        <v>173</v>
      </c>
      <c r="ER1012" s="319" t="s">
        <v>173</v>
      </c>
      <c r="ES1012" s="319" t="s">
        <v>173</v>
      </c>
      <c r="ET1012" s="319" t="s">
        <v>173</v>
      </c>
      <c r="EU1012" s="319" t="s">
        <v>173</v>
      </c>
      <c r="EV1012" s="319" t="s">
        <v>173</v>
      </c>
      <c r="EW1012" s="319" t="s">
        <v>173</v>
      </c>
      <c r="EX1012" s="319" t="s">
        <v>173</v>
      </c>
      <c r="EY1012" s="319" t="s">
        <v>173</v>
      </c>
      <c r="EZ1012" s="319" t="s">
        <v>173</v>
      </c>
      <c r="FA1012" s="319" t="s">
        <v>173</v>
      </c>
      <c r="FB1012" s="319" t="s">
        <v>173</v>
      </c>
      <c r="FC1012" s="319" t="s">
        <v>173</v>
      </c>
      <c r="FD1012" s="319" t="s">
        <v>173</v>
      </c>
      <c r="FE1012" s="319" t="s">
        <v>173</v>
      </c>
      <c r="FF1012" s="319" t="s">
        <v>173</v>
      </c>
      <c r="FG1012" s="319" t="s">
        <v>173</v>
      </c>
      <c r="FH1012" s="319" t="s">
        <v>173</v>
      </c>
      <c r="FI1012" s="319" t="s">
        <v>173</v>
      </c>
      <c r="FJ1012" s="319" t="s">
        <v>173</v>
      </c>
      <c r="FK1012" s="319" t="s">
        <v>173</v>
      </c>
      <c r="FL1012" s="319" t="s">
        <v>173</v>
      </c>
      <c r="FM1012" s="319" t="s">
        <v>173</v>
      </c>
      <c r="FN1012" s="319" t="s">
        <v>173</v>
      </c>
      <c r="FO1012" s="319" t="s">
        <v>173</v>
      </c>
      <c r="FP1012" s="319" t="s">
        <v>173</v>
      </c>
      <c r="FQ1012" s="319" t="s">
        <v>173</v>
      </c>
      <c r="FR1012" s="319" t="s">
        <v>173</v>
      </c>
      <c r="FS1012" s="319" t="s">
        <v>173</v>
      </c>
      <c r="FT1012" s="319" t="s">
        <v>173</v>
      </c>
      <c r="FU1012" s="319" t="s">
        <v>173</v>
      </c>
      <c r="FV1012" s="319" t="s">
        <v>173</v>
      </c>
      <c r="FW1012" s="319" t="s">
        <v>173</v>
      </c>
      <c r="FX1012" s="319" t="s">
        <v>173</v>
      </c>
      <c r="FY1012" s="319" t="s">
        <v>173</v>
      </c>
      <c r="FZ1012" s="319" t="s">
        <v>173</v>
      </c>
      <c r="GA1012" s="319" t="s">
        <v>173</v>
      </c>
      <c r="GB1012" s="319" t="s">
        <v>173</v>
      </c>
      <c r="GC1012" s="319" t="s">
        <v>173</v>
      </c>
      <c r="GD1012" s="319" t="s">
        <v>173</v>
      </c>
      <c r="GE1012" s="319" t="s">
        <v>173</v>
      </c>
      <c r="GF1012" s="319" t="s">
        <v>173</v>
      </c>
      <c r="GG1012" s="319" t="s">
        <v>173</v>
      </c>
      <c r="GH1012" s="319" t="s">
        <v>173</v>
      </c>
      <c r="GI1012" s="319" t="s">
        <v>173</v>
      </c>
      <c r="GJ1012" s="319" t="s">
        <v>173</v>
      </c>
      <c r="GK1012" s="319" t="s">
        <v>173</v>
      </c>
      <c r="GL1012" s="319" t="s">
        <v>173</v>
      </c>
      <c r="GM1012" s="319" t="s">
        <v>173</v>
      </c>
      <c r="GN1012" s="319" t="s">
        <v>173</v>
      </c>
      <c r="GO1012" s="319" t="s">
        <v>173</v>
      </c>
      <c r="GP1012" s="319" t="s">
        <v>173</v>
      </c>
      <c r="GQ1012" s="319" t="s">
        <v>173</v>
      </c>
      <c r="GR1012" s="319" t="s">
        <v>173</v>
      </c>
      <c r="GS1012" s="319" t="s">
        <v>173</v>
      </c>
      <c r="GT1012" s="319" t="s">
        <v>173</v>
      </c>
      <c r="GU1012" s="319" t="s">
        <v>173</v>
      </c>
      <c r="GV1012" s="319" t="s">
        <v>173</v>
      </c>
      <c r="GW1012" s="319" t="s">
        <v>173</v>
      </c>
      <c r="GX1012" s="319" t="s">
        <v>173</v>
      </c>
      <c r="GY1012" s="319" t="s">
        <v>173</v>
      </c>
      <c r="GZ1012" s="319" t="s">
        <v>173</v>
      </c>
      <c r="HA1012" s="319" t="s">
        <v>173</v>
      </c>
      <c r="HB1012" s="319" t="s">
        <v>173</v>
      </c>
      <c r="HC1012" s="319" t="s">
        <v>173</v>
      </c>
      <c r="HD1012" s="319" t="s">
        <v>173</v>
      </c>
      <c r="HE1012" s="319" t="s">
        <v>173</v>
      </c>
      <c r="HF1012" s="319" t="s">
        <v>173</v>
      </c>
      <c r="HG1012" s="319" t="s">
        <v>173</v>
      </c>
      <c r="HH1012" s="319" t="s">
        <v>173</v>
      </c>
      <c r="HI1012" s="319" t="s">
        <v>173</v>
      </c>
      <c r="HJ1012" s="319" t="s">
        <v>173</v>
      </c>
      <c r="HK1012" s="319" t="s">
        <v>173</v>
      </c>
      <c r="HL1012" s="319" t="s">
        <v>173</v>
      </c>
      <c r="HM1012" s="319" t="s">
        <v>173</v>
      </c>
      <c r="HN1012" s="319" t="s">
        <v>173</v>
      </c>
      <c r="HO1012" s="319" t="s">
        <v>173</v>
      </c>
      <c r="HP1012" s="319" t="s">
        <v>173</v>
      </c>
      <c r="HQ1012" s="319" t="s">
        <v>173</v>
      </c>
      <c r="HR1012" s="319" t="s">
        <v>173</v>
      </c>
      <c r="HS1012" s="319" t="s">
        <v>173</v>
      </c>
      <c r="HT1012" s="319" t="s">
        <v>173</v>
      </c>
      <c r="HU1012" s="319" t="s">
        <v>173</v>
      </c>
      <c r="HV1012" s="319" t="s">
        <v>173</v>
      </c>
      <c r="HW1012" s="319" t="s">
        <v>173</v>
      </c>
      <c r="HX1012" s="319" t="s">
        <v>173</v>
      </c>
      <c r="HY1012" s="319" t="s">
        <v>173</v>
      </c>
      <c r="HZ1012" s="319" t="s">
        <v>173</v>
      </c>
      <c r="IA1012" s="319" t="s">
        <v>173</v>
      </c>
      <c r="IB1012" s="319" t="s">
        <v>173</v>
      </c>
      <c r="IC1012" s="319" t="s">
        <v>173</v>
      </c>
      <c r="ID1012" s="319" t="s">
        <v>173</v>
      </c>
      <c r="IE1012" s="319" t="s">
        <v>173</v>
      </c>
      <c r="IF1012" s="319" t="s">
        <v>173</v>
      </c>
      <c r="IG1012" s="319" t="s">
        <v>173</v>
      </c>
      <c r="IH1012" s="319" t="s">
        <v>173</v>
      </c>
      <c r="II1012" s="319" t="s">
        <v>173</v>
      </c>
      <c r="IJ1012" s="319" t="s">
        <v>173</v>
      </c>
      <c r="IK1012" s="319" t="s">
        <v>173</v>
      </c>
      <c r="IL1012" s="319" t="s">
        <v>173</v>
      </c>
      <c r="IM1012" s="319" t="s">
        <v>173</v>
      </c>
      <c r="IN1012" s="319" t="s">
        <v>173</v>
      </c>
      <c r="IO1012" s="319" t="s">
        <v>173</v>
      </c>
      <c r="IP1012" s="319" t="s">
        <v>173</v>
      </c>
      <c r="IQ1012" s="321" t="s">
        <v>173</v>
      </c>
      <c r="IR1012" s="320" t="s">
        <v>173</v>
      </c>
      <c r="IS1012" s="322" t="s">
        <v>173</v>
      </c>
      <c r="IT1012" s="319" t="s">
        <v>173</v>
      </c>
    </row>
    <row r="1013" spans="1:254" s="271" customFormat="1" x14ac:dyDescent="0.25">
      <c r="A1013" s="318" t="str">
        <f>HYPERLINK("http://www.ofsted.gov.uk/inspection-reports/find-inspection-report/provider/ELS/146292 ","Ofsted School Webpage")</f>
        <v>Ofsted School Webpage</v>
      </c>
      <c r="B1013" s="319">
        <v>146292</v>
      </c>
      <c r="C1013" s="319">
        <v>8216015</v>
      </c>
      <c r="D1013" s="319" t="s">
        <v>2535</v>
      </c>
      <c r="E1013" s="319" t="s">
        <v>167</v>
      </c>
      <c r="F1013" s="319" t="s">
        <v>81</v>
      </c>
      <c r="G1013" s="319" t="s">
        <v>81</v>
      </c>
      <c r="H1013" s="319" t="s">
        <v>81</v>
      </c>
      <c r="I1013" s="319" t="s">
        <v>78</v>
      </c>
      <c r="J1013" s="319" t="s">
        <v>424</v>
      </c>
      <c r="K1013" s="319" t="s">
        <v>451</v>
      </c>
      <c r="L1013" s="319" t="s">
        <v>451</v>
      </c>
      <c r="M1013" s="319" t="s">
        <v>452</v>
      </c>
      <c r="N1013" s="319" t="s">
        <v>3238</v>
      </c>
      <c r="O1013" s="319" t="s">
        <v>3582</v>
      </c>
      <c r="P1013" s="319" t="s">
        <v>173</v>
      </c>
      <c r="Q1013" s="319" t="s">
        <v>2766</v>
      </c>
      <c r="R1013" s="320">
        <v>10089089</v>
      </c>
      <c r="S1013" s="321">
        <v>43620</v>
      </c>
      <c r="T1013" s="321">
        <v>43622</v>
      </c>
      <c r="U1013" s="321">
        <v>43656</v>
      </c>
      <c r="V1013" s="319" t="s">
        <v>435</v>
      </c>
      <c r="W1013" s="319" t="s">
        <v>2767</v>
      </c>
      <c r="X1013" s="319">
        <v>4</v>
      </c>
      <c r="Y1013" s="319" t="s">
        <v>173</v>
      </c>
      <c r="Z1013" s="319" t="s">
        <v>173</v>
      </c>
      <c r="AA1013" s="319" t="s">
        <v>173</v>
      </c>
      <c r="AB1013" s="319">
        <v>4</v>
      </c>
      <c r="AC1013" s="319" t="s">
        <v>170</v>
      </c>
      <c r="AD1013" s="319" t="s">
        <v>173</v>
      </c>
      <c r="AE1013" s="319" t="s">
        <v>173</v>
      </c>
      <c r="AF1013" s="319" t="s">
        <v>427</v>
      </c>
      <c r="AG1013" s="319" t="s">
        <v>172</v>
      </c>
      <c r="AH1013" s="319" t="s">
        <v>479</v>
      </c>
      <c r="AI1013" s="319" t="s">
        <v>190</v>
      </c>
      <c r="AJ1013" s="319" t="s">
        <v>479</v>
      </c>
      <c r="AK1013" s="319" t="s">
        <v>479</v>
      </c>
      <c r="AL1013" s="319" t="s">
        <v>479</v>
      </c>
      <c r="AM1013" s="319" t="s">
        <v>479</v>
      </c>
      <c r="AN1013" s="319" t="s">
        <v>479</v>
      </c>
      <c r="AO1013" s="319" t="s">
        <v>479</v>
      </c>
      <c r="AP1013" s="319" t="s">
        <v>190</v>
      </c>
      <c r="AQ1013" s="319" t="s">
        <v>190</v>
      </c>
      <c r="AR1013" s="319" t="s">
        <v>190</v>
      </c>
      <c r="AS1013" s="319" t="s">
        <v>190</v>
      </c>
      <c r="AT1013" s="319" t="s">
        <v>190</v>
      </c>
      <c r="AU1013" s="319" t="s">
        <v>190</v>
      </c>
      <c r="AV1013" s="319" t="s">
        <v>190</v>
      </c>
      <c r="AW1013" s="319" t="s">
        <v>190</v>
      </c>
      <c r="AX1013" s="319" t="s">
        <v>428</v>
      </c>
      <c r="AY1013" s="319" t="s">
        <v>190</v>
      </c>
      <c r="AZ1013" s="319" t="s">
        <v>190</v>
      </c>
      <c r="BA1013" s="319" t="s">
        <v>190</v>
      </c>
      <c r="BB1013" s="319" t="s">
        <v>190</v>
      </c>
      <c r="BC1013" s="319" t="s">
        <v>190</v>
      </c>
      <c r="BD1013" s="319" t="s">
        <v>190</v>
      </c>
      <c r="BE1013" s="319" t="s">
        <v>190</v>
      </c>
      <c r="BF1013" s="319" t="s">
        <v>428</v>
      </c>
      <c r="BG1013" s="319" t="s">
        <v>428</v>
      </c>
      <c r="BH1013" s="319" t="s">
        <v>190</v>
      </c>
      <c r="BI1013" s="319" t="s">
        <v>190</v>
      </c>
      <c r="BJ1013" s="319" t="s">
        <v>191</v>
      </c>
      <c r="BK1013" s="319" t="s">
        <v>191</v>
      </c>
      <c r="BL1013" s="319" t="s">
        <v>190</v>
      </c>
      <c r="BM1013" s="319" t="s">
        <v>191</v>
      </c>
      <c r="BN1013" s="319" t="s">
        <v>191</v>
      </c>
      <c r="BO1013" s="319" t="s">
        <v>190</v>
      </c>
      <c r="BP1013" s="319" t="s">
        <v>190</v>
      </c>
      <c r="BQ1013" s="319" t="s">
        <v>191</v>
      </c>
      <c r="BR1013" s="319" t="s">
        <v>190</v>
      </c>
      <c r="BS1013" s="319" t="s">
        <v>190</v>
      </c>
      <c r="BT1013" s="319" t="s">
        <v>190</v>
      </c>
      <c r="BU1013" s="319" t="s">
        <v>190</v>
      </c>
      <c r="BV1013" s="319" t="s">
        <v>190</v>
      </c>
      <c r="BW1013" s="319" t="s">
        <v>190</v>
      </c>
      <c r="BX1013" s="319" t="s">
        <v>190</v>
      </c>
      <c r="BY1013" s="319" t="s">
        <v>190</v>
      </c>
      <c r="BZ1013" s="319" t="s">
        <v>190</v>
      </c>
      <c r="CA1013" s="319" t="s">
        <v>190</v>
      </c>
      <c r="CB1013" s="319" t="s">
        <v>190</v>
      </c>
      <c r="CC1013" s="319" t="s">
        <v>190</v>
      </c>
      <c r="CD1013" s="319" t="s">
        <v>190</v>
      </c>
      <c r="CE1013" s="319" t="s">
        <v>190</v>
      </c>
      <c r="CF1013" s="319" t="s">
        <v>190</v>
      </c>
      <c r="CG1013" s="319" t="s">
        <v>190</v>
      </c>
      <c r="CH1013" s="319" t="s">
        <v>190</v>
      </c>
      <c r="CI1013" s="319" t="s">
        <v>190</v>
      </c>
      <c r="CJ1013" s="319" t="s">
        <v>190</v>
      </c>
      <c r="CK1013" s="319" t="s">
        <v>191</v>
      </c>
      <c r="CL1013" s="319" t="s">
        <v>191</v>
      </c>
      <c r="CM1013" s="319" t="s">
        <v>191</v>
      </c>
      <c r="CN1013" s="319" t="s">
        <v>428</v>
      </c>
      <c r="CO1013" s="319" t="s">
        <v>428</v>
      </c>
      <c r="CP1013" s="319" t="s">
        <v>428</v>
      </c>
      <c r="CQ1013" s="319" t="s">
        <v>190</v>
      </c>
      <c r="CR1013" s="319" t="s">
        <v>190</v>
      </c>
      <c r="CS1013" s="319" t="s">
        <v>190</v>
      </c>
      <c r="CT1013" s="319" t="s">
        <v>190</v>
      </c>
      <c r="CU1013" s="319" t="s">
        <v>190</v>
      </c>
      <c r="CV1013" s="319" t="s">
        <v>191</v>
      </c>
      <c r="CW1013" s="319" t="s">
        <v>191</v>
      </c>
      <c r="CX1013" s="319" t="s">
        <v>191</v>
      </c>
      <c r="CY1013" s="319" t="s">
        <v>190</v>
      </c>
      <c r="CZ1013" s="319" t="s">
        <v>190</v>
      </c>
      <c r="DA1013" s="319" t="s">
        <v>191</v>
      </c>
      <c r="DB1013" s="319" t="s">
        <v>191</v>
      </c>
      <c r="DC1013" s="319" t="s">
        <v>191</v>
      </c>
      <c r="DD1013" s="319" t="s">
        <v>191</v>
      </c>
      <c r="DE1013" s="319" t="s">
        <v>190</v>
      </c>
      <c r="DF1013" s="319" t="s">
        <v>191</v>
      </c>
      <c r="DG1013" s="319" t="s">
        <v>191</v>
      </c>
      <c r="DH1013" s="319" t="s">
        <v>191</v>
      </c>
      <c r="DI1013" s="319" t="s">
        <v>190</v>
      </c>
      <c r="DJ1013" s="319" t="s">
        <v>191</v>
      </c>
      <c r="DK1013" s="319" t="s">
        <v>191</v>
      </c>
      <c r="DL1013" s="319" t="s">
        <v>191</v>
      </c>
      <c r="DM1013" s="319" t="s">
        <v>190</v>
      </c>
      <c r="DN1013" s="319" t="s">
        <v>428</v>
      </c>
      <c r="DO1013" s="319" t="s">
        <v>190</v>
      </c>
      <c r="DP1013" s="319" t="s">
        <v>190</v>
      </c>
      <c r="DQ1013" s="319" t="s">
        <v>190</v>
      </c>
      <c r="DR1013" s="319" t="s">
        <v>190</v>
      </c>
      <c r="DS1013" s="319" t="s">
        <v>190</v>
      </c>
      <c r="DT1013" s="319" t="s">
        <v>190</v>
      </c>
      <c r="DU1013" s="319" t="s">
        <v>190</v>
      </c>
      <c r="DV1013" s="319" t="s">
        <v>173</v>
      </c>
      <c r="DW1013" s="319" t="s">
        <v>190</v>
      </c>
      <c r="DX1013" s="319" t="s">
        <v>190</v>
      </c>
      <c r="DY1013" s="319" t="s">
        <v>190</v>
      </c>
      <c r="DZ1013" s="319" t="s">
        <v>190</v>
      </c>
      <c r="EA1013" s="319" t="s">
        <v>190</v>
      </c>
      <c r="EB1013" s="319" t="s">
        <v>190</v>
      </c>
      <c r="EC1013" s="319" t="s">
        <v>428</v>
      </c>
      <c r="ED1013" s="319" t="s">
        <v>190</v>
      </c>
      <c r="EE1013" s="319" t="s">
        <v>191</v>
      </c>
      <c r="EF1013" s="319" t="s">
        <v>191</v>
      </c>
      <c r="EG1013" s="319" t="s">
        <v>190</v>
      </c>
      <c r="EH1013" s="319" t="s">
        <v>191</v>
      </c>
      <c r="EI1013" s="319" t="s">
        <v>190</v>
      </c>
      <c r="EJ1013" s="319" t="s">
        <v>190</v>
      </c>
      <c r="EK1013" s="319" t="s">
        <v>190</v>
      </c>
      <c r="EL1013" s="319" t="s">
        <v>190</v>
      </c>
      <c r="EM1013" s="319" t="s">
        <v>190</v>
      </c>
      <c r="EN1013" s="319" t="s">
        <v>191</v>
      </c>
      <c r="EO1013" s="319" t="s">
        <v>190</v>
      </c>
      <c r="EP1013" s="319" t="s">
        <v>191</v>
      </c>
      <c r="EQ1013" s="319" t="s">
        <v>191</v>
      </c>
      <c r="ER1013" s="319" t="s">
        <v>191</v>
      </c>
      <c r="ES1013" s="319" t="s">
        <v>190</v>
      </c>
      <c r="ET1013" s="319" t="s">
        <v>191</v>
      </c>
      <c r="EU1013" s="319" t="s">
        <v>191</v>
      </c>
      <c r="EV1013" s="319" t="s">
        <v>190</v>
      </c>
      <c r="EW1013" s="319" t="s">
        <v>191</v>
      </c>
      <c r="EX1013" s="319" t="s">
        <v>191</v>
      </c>
      <c r="EY1013" s="319" t="s">
        <v>190</v>
      </c>
      <c r="EZ1013" s="319" t="s">
        <v>190</v>
      </c>
      <c r="FA1013" s="319" t="s">
        <v>190</v>
      </c>
      <c r="FB1013" s="319" t="s">
        <v>190</v>
      </c>
      <c r="FC1013" s="319" t="s">
        <v>190</v>
      </c>
      <c r="FD1013" s="319" t="s">
        <v>190</v>
      </c>
      <c r="FE1013" s="319" t="s">
        <v>190</v>
      </c>
      <c r="FF1013" s="319" t="s">
        <v>190</v>
      </c>
      <c r="FG1013" s="319" t="s">
        <v>190</v>
      </c>
      <c r="FH1013" s="319" t="s">
        <v>190</v>
      </c>
      <c r="FI1013" s="319" t="s">
        <v>190</v>
      </c>
      <c r="FJ1013" s="319" t="s">
        <v>190</v>
      </c>
      <c r="FK1013" s="319" t="s">
        <v>190</v>
      </c>
      <c r="FL1013" s="319" t="s">
        <v>190</v>
      </c>
      <c r="FM1013" s="319" t="s">
        <v>190</v>
      </c>
      <c r="FN1013" s="319" t="s">
        <v>190</v>
      </c>
      <c r="FO1013" s="319" t="s">
        <v>190</v>
      </c>
      <c r="FP1013" s="319" t="s">
        <v>190</v>
      </c>
      <c r="FQ1013" s="319" t="s">
        <v>190</v>
      </c>
      <c r="FR1013" s="319" t="s">
        <v>190</v>
      </c>
      <c r="FS1013" s="319" t="s">
        <v>428</v>
      </c>
      <c r="FT1013" s="319" t="s">
        <v>190</v>
      </c>
      <c r="FU1013" s="319" t="s">
        <v>191</v>
      </c>
      <c r="FV1013" s="319" t="s">
        <v>190</v>
      </c>
      <c r="FW1013" s="319" t="s">
        <v>191</v>
      </c>
      <c r="FX1013" s="319" t="s">
        <v>190</v>
      </c>
      <c r="FY1013" s="319" t="s">
        <v>191</v>
      </c>
      <c r="FZ1013" s="319" t="s">
        <v>191</v>
      </c>
      <c r="GA1013" s="319" t="s">
        <v>191</v>
      </c>
      <c r="GB1013" s="319" t="s">
        <v>190</v>
      </c>
      <c r="GC1013" s="319" t="s">
        <v>191</v>
      </c>
      <c r="GD1013" s="319" t="s">
        <v>190</v>
      </c>
      <c r="GE1013" s="319" t="s">
        <v>191</v>
      </c>
      <c r="GF1013" s="319" t="s">
        <v>191</v>
      </c>
      <c r="GG1013" s="319" t="s">
        <v>190</v>
      </c>
      <c r="GH1013" s="319" t="s">
        <v>190</v>
      </c>
      <c r="GI1013" s="319" t="s">
        <v>190</v>
      </c>
      <c r="GJ1013" s="319" t="s">
        <v>190</v>
      </c>
      <c r="GK1013" s="319" t="s">
        <v>428</v>
      </c>
      <c r="GL1013" s="319" t="s">
        <v>191</v>
      </c>
      <c r="GM1013" s="319" t="s">
        <v>191</v>
      </c>
      <c r="GN1013" s="319" t="s">
        <v>191</v>
      </c>
      <c r="GO1013" s="319" t="s">
        <v>191</v>
      </c>
      <c r="GP1013" s="319" t="s">
        <v>428</v>
      </c>
      <c r="GQ1013" s="319" t="s">
        <v>428</v>
      </c>
      <c r="GR1013" s="319" t="s">
        <v>190</v>
      </c>
      <c r="GS1013" s="319" t="s">
        <v>190</v>
      </c>
      <c r="GT1013" s="319" t="s">
        <v>190</v>
      </c>
      <c r="GU1013" s="319" t="s">
        <v>190</v>
      </c>
      <c r="GV1013" s="319" t="s">
        <v>190</v>
      </c>
      <c r="GW1013" s="319" t="s">
        <v>191</v>
      </c>
      <c r="GX1013" s="319" t="s">
        <v>190</v>
      </c>
      <c r="GY1013" s="319" t="s">
        <v>190</v>
      </c>
      <c r="GZ1013" s="319" t="s">
        <v>428</v>
      </c>
      <c r="HA1013" s="319" t="s">
        <v>190</v>
      </c>
      <c r="HB1013" s="319" t="s">
        <v>191</v>
      </c>
      <c r="HC1013" s="319" t="s">
        <v>191</v>
      </c>
      <c r="HD1013" s="319" t="s">
        <v>191</v>
      </c>
      <c r="HE1013" s="319" t="s">
        <v>190</v>
      </c>
      <c r="HF1013" s="319" t="s">
        <v>190</v>
      </c>
      <c r="HG1013" s="319" t="s">
        <v>190</v>
      </c>
      <c r="HH1013" s="319" t="s">
        <v>191</v>
      </c>
      <c r="HI1013" s="319" t="s">
        <v>428</v>
      </c>
      <c r="HJ1013" s="319" t="s">
        <v>190</v>
      </c>
      <c r="HK1013" s="319" t="s">
        <v>428</v>
      </c>
      <c r="HL1013" s="319" t="s">
        <v>428</v>
      </c>
      <c r="HM1013" s="319" t="s">
        <v>428</v>
      </c>
      <c r="HN1013" s="319" t="s">
        <v>428</v>
      </c>
      <c r="HO1013" s="319" t="s">
        <v>428</v>
      </c>
      <c r="HP1013" s="319" t="s">
        <v>191</v>
      </c>
      <c r="HQ1013" s="319" t="s">
        <v>190</v>
      </c>
      <c r="HR1013" s="319" t="s">
        <v>190</v>
      </c>
      <c r="HS1013" s="319" t="s">
        <v>190</v>
      </c>
      <c r="HT1013" s="319" t="s">
        <v>190</v>
      </c>
      <c r="HU1013" s="319" t="s">
        <v>190</v>
      </c>
      <c r="HV1013" s="319" t="s">
        <v>190</v>
      </c>
      <c r="HW1013" s="319" t="s">
        <v>191</v>
      </c>
      <c r="HX1013" s="319" t="s">
        <v>190</v>
      </c>
      <c r="HY1013" s="319" t="s">
        <v>190</v>
      </c>
      <c r="HZ1013" s="319" t="s">
        <v>190</v>
      </c>
      <c r="IA1013" s="319" t="s">
        <v>190</v>
      </c>
      <c r="IB1013" s="319" t="s">
        <v>190</v>
      </c>
      <c r="IC1013" s="319" t="s">
        <v>190</v>
      </c>
      <c r="ID1013" s="319" t="s">
        <v>190</v>
      </c>
      <c r="IE1013" s="319" t="s">
        <v>190</v>
      </c>
      <c r="IF1013" s="319" t="s">
        <v>191</v>
      </c>
      <c r="IG1013" s="319" t="s">
        <v>191</v>
      </c>
      <c r="IH1013" s="319" t="s">
        <v>191</v>
      </c>
      <c r="II1013" s="319" t="s">
        <v>191</v>
      </c>
      <c r="IJ1013" s="319" t="s">
        <v>173</v>
      </c>
      <c r="IK1013" s="319" t="s">
        <v>173</v>
      </c>
      <c r="IL1013" s="319" t="s">
        <v>173</v>
      </c>
      <c r="IM1013" s="319" t="s">
        <v>173</v>
      </c>
      <c r="IN1013" s="319" t="s">
        <v>173</v>
      </c>
      <c r="IO1013" s="319" t="s">
        <v>173</v>
      </c>
      <c r="IP1013" s="319" t="s">
        <v>173</v>
      </c>
      <c r="IQ1013" s="321" t="s">
        <v>173</v>
      </c>
      <c r="IR1013" s="320" t="s">
        <v>173</v>
      </c>
      <c r="IS1013" s="322" t="s">
        <v>173</v>
      </c>
      <c r="IT1013" s="319" t="s">
        <v>173</v>
      </c>
    </row>
    <row r="1014" spans="1:254" s="271" customFormat="1" x14ac:dyDescent="0.25">
      <c r="A1014" s="318" t="str">
        <f>HYPERLINK("http://www.ofsted.gov.uk/inspection-reports/find-inspection-report/provider/ELS/146301 ","Ofsted School Webpage")</f>
        <v>Ofsted School Webpage</v>
      </c>
      <c r="B1014" s="319">
        <v>146301</v>
      </c>
      <c r="C1014" s="319">
        <v>8736056</v>
      </c>
      <c r="D1014" s="319" t="s">
        <v>2536</v>
      </c>
      <c r="E1014" s="319" t="s">
        <v>167</v>
      </c>
      <c r="F1014" s="319" t="s">
        <v>81</v>
      </c>
      <c r="G1014" s="319" t="s">
        <v>81</v>
      </c>
      <c r="H1014" s="319" t="s">
        <v>81</v>
      </c>
      <c r="I1014" s="319" t="s">
        <v>78</v>
      </c>
      <c r="J1014" s="319" t="s">
        <v>424</v>
      </c>
      <c r="K1014" s="319" t="s">
        <v>451</v>
      </c>
      <c r="L1014" s="319" t="s">
        <v>451</v>
      </c>
      <c r="M1014" s="319" t="s">
        <v>772</v>
      </c>
      <c r="N1014" s="319" t="s">
        <v>2912</v>
      </c>
      <c r="O1014" s="319" t="s">
        <v>2537</v>
      </c>
      <c r="P1014" s="319">
        <v>74</v>
      </c>
      <c r="Q1014" s="319" t="s">
        <v>2766</v>
      </c>
      <c r="R1014" s="320">
        <v>10100304</v>
      </c>
      <c r="S1014" s="321">
        <v>43641</v>
      </c>
      <c r="T1014" s="321">
        <v>43643</v>
      </c>
      <c r="U1014" s="321">
        <v>43720</v>
      </c>
      <c r="V1014" s="319" t="s">
        <v>435</v>
      </c>
      <c r="W1014" s="319" t="s">
        <v>2767</v>
      </c>
      <c r="X1014" s="319">
        <v>2</v>
      </c>
      <c r="Y1014" s="319" t="s">
        <v>173</v>
      </c>
      <c r="Z1014" s="319" t="s">
        <v>173</v>
      </c>
      <c r="AA1014" s="319" t="s">
        <v>173</v>
      </c>
      <c r="AB1014" s="319">
        <v>2</v>
      </c>
      <c r="AC1014" s="319" t="s">
        <v>169</v>
      </c>
      <c r="AD1014" s="319">
        <v>2</v>
      </c>
      <c r="AE1014" s="319" t="s">
        <v>173</v>
      </c>
      <c r="AF1014" s="319" t="s">
        <v>427</v>
      </c>
      <c r="AG1014" s="319" t="s">
        <v>171</v>
      </c>
      <c r="AH1014" s="319" t="s">
        <v>190</v>
      </c>
      <c r="AI1014" s="319" t="s">
        <v>190</v>
      </c>
      <c r="AJ1014" s="319" t="s">
        <v>190</v>
      </c>
      <c r="AK1014" s="319" t="s">
        <v>190</v>
      </c>
      <c r="AL1014" s="319" t="s">
        <v>190</v>
      </c>
      <c r="AM1014" s="319" t="s">
        <v>190</v>
      </c>
      <c r="AN1014" s="319" t="s">
        <v>190</v>
      </c>
      <c r="AO1014" s="319" t="s">
        <v>190</v>
      </c>
      <c r="AP1014" s="319" t="s">
        <v>190</v>
      </c>
      <c r="AQ1014" s="319" t="s">
        <v>190</v>
      </c>
      <c r="AR1014" s="319" t="s">
        <v>190</v>
      </c>
      <c r="AS1014" s="319" t="s">
        <v>190</v>
      </c>
      <c r="AT1014" s="319" t="s">
        <v>190</v>
      </c>
      <c r="AU1014" s="319" t="s">
        <v>190</v>
      </c>
      <c r="AV1014" s="319" t="s">
        <v>190</v>
      </c>
      <c r="AW1014" s="319" t="s">
        <v>190</v>
      </c>
      <c r="AX1014" s="319" t="s">
        <v>428</v>
      </c>
      <c r="AY1014" s="319" t="s">
        <v>190</v>
      </c>
      <c r="AZ1014" s="319" t="s">
        <v>190</v>
      </c>
      <c r="BA1014" s="319" t="s">
        <v>190</v>
      </c>
      <c r="BB1014" s="319" t="s">
        <v>428</v>
      </c>
      <c r="BC1014" s="319" t="s">
        <v>428</v>
      </c>
      <c r="BD1014" s="319" t="s">
        <v>428</v>
      </c>
      <c r="BE1014" s="319" t="s">
        <v>428</v>
      </c>
      <c r="BF1014" s="319" t="s">
        <v>190</v>
      </c>
      <c r="BG1014" s="319" t="s">
        <v>428</v>
      </c>
      <c r="BH1014" s="319" t="s">
        <v>190</v>
      </c>
      <c r="BI1014" s="319" t="s">
        <v>190</v>
      </c>
      <c r="BJ1014" s="319" t="s">
        <v>190</v>
      </c>
      <c r="BK1014" s="319" t="s">
        <v>190</v>
      </c>
      <c r="BL1014" s="319" t="s">
        <v>190</v>
      </c>
      <c r="BM1014" s="319" t="s">
        <v>190</v>
      </c>
      <c r="BN1014" s="319" t="s">
        <v>190</v>
      </c>
      <c r="BO1014" s="319" t="s">
        <v>190</v>
      </c>
      <c r="BP1014" s="319" t="s">
        <v>190</v>
      </c>
      <c r="BQ1014" s="319" t="s">
        <v>190</v>
      </c>
      <c r="BR1014" s="319" t="s">
        <v>190</v>
      </c>
      <c r="BS1014" s="319" t="s">
        <v>190</v>
      </c>
      <c r="BT1014" s="319" t="s">
        <v>190</v>
      </c>
      <c r="BU1014" s="319" t="s">
        <v>190</v>
      </c>
      <c r="BV1014" s="319" t="s">
        <v>190</v>
      </c>
      <c r="BW1014" s="319" t="s">
        <v>190</v>
      </c>
      <c r="BX1014" s="319" t="s">
        <v>190</v>
      </c>
      <c r="BY1014" s="319" t="s">
        <v>190</v>
      </c>
      <c r="BZ1014" s="319" t="s">
        <v>190</v>
      </c>
      <c r="CA1014" s="319" t="s">
        <v>190</v>
      </c>
      <c r="CB1014" s="319" t="s">
        <v>190</v>
      </c>
      <c r="CC1014" s="319" t="s">
        <v>190</v>
      </c>
      <c r="CD1014" s="319" t="s">
        <v>190</v>
      </c>
      <c r="CE1014" s="319" t="s">
        <v>190</v>
      </c>
      <c r="CF1014" s="319" t="s">
        <v>190</v>
      </c>
      <c r="CG1014" s="319" t="s">
        <v>190</v>
      </c>
      <c r="CH1014" s="319" t="s">
        <v>190</v>
      </c>
      <c r="CI1014" s="319" t="s">
        <v>190</v>
      </c>
      <c r="CJ1014" s="319" t="s">
        <v>190</v>
      </c>
      <c r="CK1014" s="319" t="s">
        <v>190</v>
      </c>
      <c r="CL1014" s="319" t="s">
        <v>190</v>
      </c>
      <c r="CM1014" s="319" t="s">
        <v>190</v>
      </c>
      <c r="CN1014" s="319" t="s">
        <v>428</v>
      </c>
      <c r="CO1014" s="319" t="s">
        <v>428</v>
      </c>
      <c r="CP1014" s="319" t="s">
        <v>428</v>
      </c>
      <c r="CQ1014" s="319" t="s">
        <v>190</v>
      </c>
      <c r="CR1014" s="319" t="s">
        <v>190</v>
      </c>
      <c r="CS1014" s="319" t="s">
        <v>190</v>
      </c>
      <c r="CT1014" s="319" t="s">
        <v>190</v>
      </c>
      <c r="CU1014" s="319" t="s">
        <v>190</v>
      </c>
      <c r="CV1014" s="319" t="s">
        <v>190</v>
      </c>
      <c r="CW1014" s="319" t="s">
        <v>190</v>
      </c>
      <c r="CX1014" s="319" t="s">
        <v>190</v>
      </c>
      <c r="CY1014" s="319" t="s">
        <v>190</v>
      </c>
      <c r="CZ1014" s="319" t="s">
        <v>190</v>
      </c>
      <c r="DA1014" s="319" t="s">
        <v>190</v>
      </c>
      <c r="DB1014" s="319" t="s">
        <v>190</v>
      </c>
      <c r="DC1014" s="319" t="s">
        <v>190</v>
      </c>
      <c r="DD1014" s="319" t="s">
        <v>190</v>
      </c>
      <c r="DE1014" s="319" t="s">
        <v>190</v>
      </c>
      <c r="DF1014" s="319" t="s">
        <v>190</v>
      </c>
      <c r="DG1014" s="319" t="s">
        <v>190</v>
      </c>
      <c r="DH1014" s="319" t="s">
        <v>190</v>
      </c>
      <c r="DI1014" s="319" t="s">
        <v>190</v>
      </c>
      <c r="DJ1014" s="319" t="s">
        <v>190</v>
      </c>
      <c r="DK1014" s="319" t="s">
        <v>190</v>
      </c>
      <c r="DL1014" s="319" t="s">
        <v>190</v>
      </c>
      <c r="DM1014" s="319" t="s">
        <v>190</v>
      </c>
      <c r="DN1014" s="319" t="s">
        <v>428</v>
      </c>
      <c r="DO1014" s="319" t="s">
        <v>190</v>
      </c>
      <c r="DP1014" s="319" t="s">
        <v>190</v>
      </c>
      <c r="DQ1014" s="319" t="s">
        <v>190</v>
      </c>
      <c r="DR1014" s="319" t="s">
        <v>190</v>
      </c>
      <c r="DS1014" s="319" t="s">
        <v>190</v>
      </c>
      <c r="DT1014" s="319" t="s">
        <v>190</v>
      </c>
      <c r="DU1014" s="319" t="s">
        <v>190</v>
      </c>
      <c r="DV1014" s="319" t="s">
        <v>173</v>
      </c>
      <c r="DW1014" s="319" t="s">
        <v>190</v>
      </c>
      <c r="DX1014" s="319" t="s">
        <v>190</v>
      </c>
      <c r="DY1014" s="319" t="s">
        <v>190</v>
      </c>
      <c r="DZ1014" s="319" t="s">
        <v>190</v>
      </c>
      <c r="EA1014" s="319" t="s">
        <v>190</v>
      </c>
      <c r="EB1014" s="319" t="s">
        <v>190</v>
      </c>
      <c r="EC1014" s="319" t="s">
        <v>428</v>
      </c>
      <c r="ED1014" s="319" t="s">
        <v>428</v>
      </c>
      <c r="EE1014" s="319" t="s">
        <v>428</v>
      </c>
      <c r="EF1014" s="319" t="s">
        <v>428</v>
      </c>
      <c r="EG1014" s="319" t="s">
        <v>428</v>
      </c>
      <c r="EH1014" s="319" t="s">
        <v>428</v>
      </c>
      <c r="EI1014" s="319" t="s">
        <v>428</v>
      </c>
      <c r="EJ1014" s="319" t="s">
        <v>428</v>
      </c>
      <c r="EK1014" s="319" t="s">
        <v>428</v>
      </c>
      <c r="EL1014" s="319" t="s">
        <v>428</v>
      </c>
      <c r="EM1014" s="319" t="s">
        <v>428</v>
      </c>
      <c r="EN1014" s="319" t="s">
        <v>190</v>
      </c>
      <c r="EO1014" s="319" t="s">
        <v>190</v>
      </c>
      <c r="EP1014" s="319" t="s">
        <v>190</v>
      </c>
      <c r="EQ1014" s="319" t="s">
        <v>190</v>
      </c>
      <c r="ER1014" s="319" t="s">
        <v>190</v>
      </c>
      <c r="ES1014" s="319" t="s">
        <v>190</v>
      </c>
      <c r="ET1014" s="319" t="s">
        <v>190</v>
      </c>
      <c r="EU1014" s="319" t="s">
        <v>190</v>
      </c>
      <c r="EV1014" s="319" t="s">
        <v>190</v>
      </c>
      <c r="EW1014" s="319" t="s">
        <v>190</v>
      </c>
      <c r="EX1014" s="319" t="s">
        <v>190</v>
      </c>
      <c r="EY1014" s="319" t="s">
        <v>190</v>
      </c>
      <c r="EZ1014" s="319" t="s">
        <v>190</v>
      </c>
      <c r="FA1014" s="319" t="s">
        <v>190</v>
      </c>
      <c r="FB1014" s="319" t="s">
        <v>190</v>
      </c>
      <c r="FC1014" s="319" t="s">
        <v>190</v>
      </c>
      <c r="FD1014" s="319" t="s">
        <v>190</v>
      </c>
      <c r="FE1014" s="319" t="s">
        <v>190</v>
      </c>
      <c r="FF1014" s="319" t="s">
        <v>190</v>
      </c>
      <c r="FG1014" s="319" t="s">
        <v>190</v>
      </c>
      <c r="FH1014" s="319" t="s">
        <v>428</v>
      </c>
      <c r="FI1014" s="319" t="s">
        <v>428</v>
      </c>
      <c r="FJ1014" s="319" t="s">
        <v>429</v>
      </c>
      <c r="FK1014" s="319" t="s">
        <v>428</v>
      </c>
      <c r="FL1014" s="319" t="s">
        <v>190</v>
      </c>
      <c r="FM1014" s="319" t="s">
        <v>190</v>
      </c>
      <c r="FN1014" s="319" t="s">
        <v>190</v>
      </c>
      <c r="FO1014" s="319" t="s">
        <v>428</v>
      </c>
      <c r="FP1014" s="319" t="s">
        <v>190</v>
      </c>
      <c r="FQ1014" s="319" t="s">
        <v>190</v>
      </c>
      <c r="FR1014" s="319" t="s">
        <v>190</v>
      </c>
      <c r="FS1014" s="319" t="s">
        <v>428</v>
      </c>
      <c r="FT1014" s="319" t="s">
        <v>428</v>
      </c>
      <c r="FU1014" s="319" t="s">
        <v>190</v>
      </c>
      <c r="FV1014" s="319" t="s">
        <v>190</v>
      </c>
      <c r="FW1014" s="319" t="s">
        <v>190</v>
      </c>
      <c r="FX1014" s="319" t="s">
        <v>190</v>
      </c>
      <c r="FY1014" s="319" t="s">
        <v>190</v>
      </c>
      <c r="FZ1014" s="319" t="s">
        <v>190</v>
      </c>
      <c r="GA1014" s="319" t="s">
        <v>190</v>
      </c>
      <c r="GB1014" s="319" t="s">
        <v>190</v>
      </c>
      <c r="GC1014" s="319" t="s">
        <v>190</v>
      </c>
      <c r="GD1014" s="319" t="s">
        <v>190</v>
      </c>
      <c r="GE1014" s="319" t="s">
        <v>190</v>
      </c>
      <c r="GF1014" s="319" t="s">
        <v>190</v>
      </c>
      <c r="GG1014" s="319" t="s">
        <v>190</v>
      </c>
      <c r="GH1014" s="319" t="s">
        <v>190</v>
      </c>
      <c r="GI1014" s="319" t="s">
        <v>190</v>
      </c>
      <c r="GJ1014" s="319" t="s">
        <v>190</v>
      </c>
      <c r="GK1014" s="319" t="s">
        <v>428</v>
      </c>
      <c r="GL1014" s="319" t="s">
        <v>190</v>
      </c>
      <c r="GM1014" s="319" t="s">
        <v>190</v>
      </c>
      <c r="GN1014" s="319" t="s">
        <v>190</v>
      </c>
      <c r="GO1014" s="319" t="s">
        <v>190</v>
      </c>
      <c r="GP1014" s="319" t="s">
        <v>190</v>
      </c>
      <c r="GQ1014" s="319" t="s">
        <v>190</v>
      </c>
      <c r="GR1014" s="319" t="s">
        <v>190</v>
      </c>
      <c r="GS1014" s="319" t="s">
        <v>190</v>
      </c>
      <c r="GT1014" s="319" t="s">
        <v>190</v>
      </c>
      <c r="GU1014" s="319" t="s">
        <v>190</v>
      </c>
      <c r="GV1014" s="319" t="s">
        <v>190</v>
      </c>
      <c r="GW1014" s="319" t="s">
        <v>190</v>
      </c>
      <c r="GX1014" s="319" t="s">
        <v>190</v>
      </c>
      <c r="GY1014" s="319" t="s">
        <v>190</v>
      </c>
      <c r="GZ1014" s="319" t="s">
        <v>190</v>
      </c>
      <c r="HA1014" s="319" t="s">
        <v>428</v>
      </c>
      <c r="HB1014" s="319" t="s">
        <v>190</v>
      </c>
      <c r="HC1014" s="319" t="s">
        <v>190</v>
      </c>
      <c r="HD1014" s="319" t="s">
        <v>190</v>
      </c>
      <c r="HE1014" s="319" t="s">
        <v>190</v>
      </c>
      <c r="HF1014" s="319" t="s">
        <v>190</v>
      </c>
      <c r="HG1014" s="319" t="s">
        <v>190</v>
      </c>
      <c r="HH1014" s="319" t="s">
        <v>190</v>
      </c>
      <c r="HI1014" s="319" t="s">
        <v>190</v>
      </c>
      <c r="HJ1014" s="319" t="s">
        <v>190</v>
      </c>
      <c r="HK1014" s="319" t="s">
        <v>190</v>
      </c>
      <c r="HL1014" s="319" t="s">
        <v>428</v>
      </c>
      <c r="HM1014" s="319" t="s">
        <v>428</v>
      </c>
      <c r="HN1014" s="319" t="s">
        <v>428</v>
      </c>
      <c r="HO1014" s="319" t="s">
        <v>428</v>
      </c>
      <c r="HP1014" s="319" t="s">
        <v>190</v>
      </c>
      <c r="HQ1014" s="319" t="s">
        <v>190</v>
      </c>
      <c r="HR1014" s="319" t="s">
        <v>190</v>
      </c>
      <c r="HS1014" s="319" t="s">
        <v>190</v>
      </c>
      <c r="HT1014" s="319" t="s">
        <v>190</v>
      </c>
      <c r="HU1014" s="319" t="s">
        <v>190</v>
      </c>
      <c r="HV1014" s="319" t="s">
        <v>190</v>
      </c>
      <c r="HW1014" s="319" t="s">
        <v>190</v>
      </c>
      <c r="HX1014" s="319" t="s">
        <v>190</v>
      </c>
      <c r="HY1014" s="319" t="s">
        <v>190</v>
      </c>
      <c r="HZ1014" s="319" t="s">
        <v>190</v>
      </c>
      <c r="IA1014" s="319" t="s">
        <v>190</v>
      </c>
      <c r="IB1014" s="319" t="s">
        <v>190</v>
      </c>
      <c r="IC1014" s="319" t="s">
        <v>190</v>
      </c>
      <c r="ID1014" s="319" t="s">
        <v>190</v>
      </c>
      <c r="IE1014" s="319" t="s">
        <v>190</v>
      </c>
      <c r="IF1014" s="319" t="s">
        <v>190</v>
      </c>
      <c r="IG1014" s="319" t="s">
        <v>190</v>
      </c>
      <c r="IH1014" s="319" t="s">
        <v>190</v>
      </c>
      <c r="II1014" s="319" t="s">
        <v>190</v>
      </c>
      <c r="IJ1014" s="319" t="s">
        <v>173</v>
      </c>
      <c r="IK1014" s="319" t="s">
        <v>173</v>
      </c>
      <c r="IL1014" s="319" t="s">
        <v>173</v>
      </c>
      <c r="IM1014" s="319" t="s">
        <v>173</v>
      </c>
      <c r="IN1014" s="319" t="s">
        <v>173</v>
      </c>
      <c r="IO1014" s="319" t="s">
        <v>173</v>
      </c>
      <c r="IP1014" s="319" t="s">
        <v>173</v>
      </c>
      <c r="IQ1014" s="319" t="s">
        <v>173</v>
      </c>
      <c r="IR1014" s="320" t="s">
        <v>173</v>
      </c>
      <c r="IS1014" s="320" t="s">
        <v>173</v>
      </c>
      <c r="IT1014" s="319" t="s">
        <v>173</v>
      </c>
    </row>
    <row r="1015" spans="1:254" s="271" customFormat="1" x14ac:dyDescent="0.25">
      <c r="A1015" s="318" t="str">
        <f>HYPERLINK("http://www.ofsted.gov.uk/inspection-reports/find-inspection-report/provider/ELS/146332 ","Ofsted School Webpage")</f>
        <v>Ofsted School Webpage</v>
      </c>
      <c r="B1015" s="319">
        <v>146332</v>
      </c>
      <c r="C1015" s="319">
        <v>9356013</v>
      </c>
      <c r="D1015" s="319" t="s">
        <v>2588</v>
      </c>
      <c r="E1015" s="319" t="s">
        <v>168</v>
      </c>
      <c r="F1015" s="319" t="s">
        <v>81</v>
      </c>
      <c r="G1015" s="319" t="s">
        <v>81</v>
      </c>
      <c r="H1015" s="319" t="s">
        <v>81</v>
      </c>
      <c r="I1015" s="319" t="s">
        <v>78</v>
      </c>
      <c r="J1015" s="319" t="s">
        <v>424</v>
      </c>
      <c r="K1015" s="319" t="s">
        <v>451</v>
      </c>
      <c r="L1015" s="319" t="s">
        <v>451</v>
      </c>
      <c r="M1015" s="319" t="s">
        <v>839</v>
      </c>
      <c r="N1015" s="319" t="s">
        <v>3397</v>
      </c>
      <c r="O1015" s="319" t="s">
        <v>2589</v>
      </c>
      <c r="P1015" s="319" t="s">
        <v>173</v>
      </c>
      <c r="Q1015" s="319" t="s">
        <v>429</v>
      </c>
      <c r="R1015" s="320">
        <v>10113582</v>
      </c>
      <c r="S1015" s="321">
        <v>43781</v>
      </c>
      <c r="T1015" s="321">
        <v>43783</v>
      </c>
      <c r="U1015" s="321">
        <v>43809</v>
      </c>
      <c r="V1015" s="319" t="s">
        <v>435</v>
      </c>
      <c r="W1015" s="319" t="s">
        <v>2767</v>
      </c>
      <c r="X1015" s="319">
        <v>3</v>
      </c>
      <c r="Y1015" s="319">
        <v>3</v>
      </c>
      <c r="Z1015" s="319">
        <v>2</v>
      </c>
      <c r="AA1015" s="319">
        <v>2</v>
      </c>
      <c r="AB1015" s="319">
        <v>3</v>
      </c>
      <c r="AC1015" s="319" t="s">
        <v>169</v>
      </c>
      <c r="AD1015" s="319" t="s">
        <v>173</v>
      </c>
      <c r="AE1015" s="319" t="s">
        <v>173</v>
      </c>
      <c r="AF1015" s="319" t="s">
        <v>427</v>
      </c>
      <c r="AG1015" s="319" t="s">
        <v>172</v>
      </c>
      <c r="AH1015" s="319" t="s">
        <v>479</v>
      </c>
      <c r="AI1015" s="319" t="s">
        <v>190</v>
      </c>
      <c r="AJ1015" s="319" t="s">
        <v>479</v>
      </c>
      <c r="AK1015" s="319" t="s">
        <v>190</v>
      </c>
      <c r="AL1015" s="319" t="s">
        <v>479</v>
      </c>
      <c r="AM1015" s="319" t="s">
        <v>479</v>
      </c>
      <c r="AN1015" s="319" t="s">
        <v>479</v>
      </c>
      <c r="AO1015" s="319" t="s">
        <v>479</v>
      </c>
      <c r="AP1015" s="319" t="s">
        <v>191</v>
      </c>
      <c r="AQ1015" s="319" t="s">
        <v>191</v>
      </c>
      <c r="AR1015" s="319" t="s">
        <v>191</v>
      </c>
      <c r="AS1015" s="319" t="s">
        <v>191</v>
      </c>
      <c r="AT1015" s="319" t="s">
        <v>190</v>
      </c>
      <c r="AU1015" s="319" t="s">
        <v>190</v>
      </c>
      <c r="AV1015" s="319" t="s">
        <v>190</v>
      </c>
      <c r="AW1015" s="319" t="s">
        <v>190</v>
      </c>
      <c r="AX1015" s="319" t="s">
        <v>428</v>
      </c>
      <c r="AY1015" s="319" t="s">
        <v>190</v>
      </c>
      <c r="AZ1015" s="319" t="s">
        <v>190</v>
      </c>
      <c r="BA1015" s="319" t="s">
        <v>190</v>
      </c>
      <c r="BB1015" s="319" t="s">
        <v>190</v>
      </c>
      <c r="BC1015" s="319" t="s">
        <v>190</v>
      </c>
      <c r="BD1015" s="319" t="s">
        <v>190</v>
      </c>
      <c r="BE1015" s="319" t="s">
        <v>190</v>
      </c>
      <c r="BF1015" s="319" t="s">
        <v>428</v>
      </c>
      <c r="BG1015" s="319" t="s">
        <v>428</v>
      </c>
      <c r="BH1015" s="319" t="s">
        <v>190</v>
      </c>
      <c r="BI1015" s="319" t="s">
        <v>190</v>
      </c>
      <c r="BJ1015" s="319" t="s">
        <v>191</v>
      </c>
      <c r="BK1015" s="319" t="s">
        <v>191</v>
      </c>
      <c r="BL1015" s="319" t="s">
        <v>190</v>
      </c>
      <c r="BM1015" s="319" t="s">
        <v>191</v>
      </c>
      <c r="BN1015" s="319" t="s">
        <v>191</v>
      </c>
      <c r="BO1015" s="319" t="s">
        <v>190</v>
      </c>
      <c r="BP1015" s="319" t="s">
        <v>190</v>
      </c>
      <c r="BQ1015" s="319" t="s">
        <v>191</v>
      </c>
      <c r="BR1015" s="319" t="s">
        <v>190</v>
      </c>
      <c r="BS1015" s="319" t="s">
        <v>190</v>
      </c>
      <c r="BT1015" s="319" t="s">
        <v>190</v>
      </c>
      <c r="BU1015" s="319" t="s">
        <v>190</v>
      </c>
      <c r="BV1015" s="319" t="s">
        <v>190</v>
      </c>
      <c r="BW1015" s="319" t="s">
        <v>190</v>
      </c>
      <c r="BX1015" s="319" t="s">
        <v>190</v>
      </c>
      <c r="BY1015" s="319" t="s">
        <v>190</v>
      </c>
      <c r="BZ1015" s="319" t="s">
        <v>190</v>
      </c>
      <c r="CA1015" s="319" t="s">
        <v>190</v>
      </c>
      <c r="CB1015" s="319" t="s">
        <v>190</v>
      </c>
      <c r="CC1015" s="319" t="s">
        <v>190</v>
      </c>
      <c r="CD1015" s="319" t="s">
        <v>190</v>
      </c>
      <c r="CE1015" s="319" t="s">
        <v>190</v>
      </c>
      <c r="CF1015" s="319" t="s">
        <v>190</v>
      </c>
      <c r="CG1015" s="319" t="s">
        <v>190</v>
      </c>
      <c r="CH1015" s="319" t="s">
        <v>190</v>
      </c>
      <c r="CI1015" s="319" t="s">
        <v>190</v>
      </c>
      <c r="CJ1015" s="319" t="s">
        <v>190</v>
      </c>
      <c r="CK1015" s="319" t="s">
        <v>190</v>
      </c>
      <c r="CL1015" s="319" t="s">
        <v>190</v>
      </c>
      <c r="CM1015" s="319" t="s">
        <v>190</v>
      </c>
      <c r="CN1015" s="319" t="s">
        <v>428</v>
      </c>
      <c r="CO1015" s="319" t="s">
        <v>428</v>
      </c>
      <c r="CP1015" s="319" t="s">
        <v>428</v>
      </c>
      <c r="CQ1015" s="319" t="s">
        <v>190</v>
      </c>
      <c r="CR1015" s="319" t="s">
        <v>190</v>
      </c>
      <c r="CS1015" s="319" t="s">
        <v>190</v>
      </c>
      <c r="CT1015" s="319" t="s">
        <v>190</v>
      </c>
      <c r="CU1015" s="319" t="s">
        <v>190</v>
      </c>
      <c r="CV1015" s="319" t="s">
        <v>190</v>
      </c>
      <c r="CW1015" s="319" t="s">
        <v>191</v>
      </c>
      <c r="CX1015" s="319" t="s">
        <v>190</v>
      </c>
      <c r="CY1015" s="319" t="s">
        <v>190</v>
      </c>
      <c r="CZ1015" s="319" t="s">
        <v>190</v>
      </c>
      <c r="DA1015" s="319" t="s">
        <v>191</v>
      </c>
      <c r="DB1015" s="319" t="s">
        <v>191</v>
      </c>
      <c r="DC1015" s="319" t="s">
        <v>191</v>
      </c>
      <c r="DD1015" s="319" t="s">
        <v>190</v>
      </c>
      <c r="DE1015" s="319" t="s">
        <v>190</v>
      </c>
      <c r="DF1015" s="319" t="s">
        <v>190</v>
      </c>
      <c r="DG1015" s="319" t="s">
        <v>190</v>
      </c>
      <c r="DH1015" s="319" t="s">
        <v>190</v>
      </c>
      <c r="DI1015" s="319" t="s">
        <v>190</v>
      </c>
      <c r="DJ1015" s="319" t="s">
        <v>190</v>
      </c>
      <c r="DK1015" s="319" t="s">
        <v>190</v>
      </c>
      <c r="DL1015" s="319" t="s">
        <v>190</v>
      </c>
      <c r="DM1015" s="319" t="s">
        <v>190</v>
      </c>
      <c r="DN1015" s="319" t="s">
        <v>428</v>
      </c>
      <c r="DO1015" s="319" t="s">
        <v>190</v>
      </c>
      <c r="DP1015" s="319" t="s">
        <v>428</v>
      </c>
      <c r="DQ1015" s="319" t="s">
        <v>428</v>
      </c>
      <c r="DR1015" s="319" t="s">
        <v>428</v>
      </c>
      <c r="DS1015" s="319" t="s">
        <v>428</v>
      </c>
      <c r="DT1015" s="319" t="s">
        <v>428</v>
      </c>
      <c r="DU1015" s="319" t="s">
        <v>428</v>
      </c>
      <c r="DV1015" s="319" t="s">
        <v>428</v>
      </c>
      <c r="DW1015" s="319" t="s">
        <v>428</v>
      </c>
      <c r="DX1015" s="319" t="s">
        <v>428</v>
      </c>
      <c r="DY1015" s="319" t="s">
        <v>428</v>
      </c>
      <c r="DZ1015" s="319" t="s">
        <v>428</v>
      </c>
      <c r="EA1015" s="319" t="s">
        <v>428</v>
      </c>
      <c r="EB1015" s="319" t="s">
        <v>428</v>
      </c>
      <c r="EC1015" s="319" t="s">
        <v>428</v>
      </c>
      <c r="ED1015" s="319" t="s">
        <v>428</v>
      </c>
      <c r="EE1015" s="319" t="s">
        <v>190</v>
      </c>
      <c r="EF1015" s="319" t="s">
        <v>190</v>
      </c>
      <c r="EG1015" s="319" t="s">
        <v>190</v>
      </c>
      <c r="EH1015" s="319" t="s">
        <v>190</v>
      </c>
      <c r="EI1015" s="319" t="s">
        <v>190</v>
      </c>
      <c r="EJ1015" s="319" t="s">
        <v>190</v>
      </c>
      <c r="EK1015" s="319" t="s">
        <v>190</v>
      </c>
      <c r="EL1015" s="319" t="s">
        <v>428</v>
      </c>
      <c r="EM1015" s="319" t="s">
        <v>428</v>
      </c>
      <c r="EN1015" s="319" t="s">
        <v>190</v>
      </c>
      <c r="EO1015" s="319" t="s">
        <v>190</v>
      </c>
      <c r="EP1015" s="319" t="s">
        <v>190</v>
      </c>
      <c r="EQ1015" s="319" t="s">
        <v>190</v>
      </c>
      <c r="ER1015" s="319" t="s">
        <v>190</v>
      </c>
      <c r="ES1015" s="319" t="s">
        <v>190</v>
      </c>
      <c r="ET1015" s="319" t="s">
        <v>190</v>
      </c>
      <c r="EU1015" s="319" t="s">
        <v>190</v>
      </c>
      <c r="EV1015" s="319" t="s">
        <v>190</v>
      </c>
      <c r="EW1015" s="319" t="s">
        <v>190</v>
      </c>
      <c r="EX1015" s="319" t="s">
        <v>190</v>
      </c>
      <c r="EY1015" s="319" t="s">
        <v>190</v>
      </c>
      <c r="EZ1015" s="319" t="s">
        <v>190</v>
      </c>
      <c r="FA1015" s="319" t="s">
        <v>428</v>
      </c>
      <c r="FB1015" s="319" t="s">
        <v>428</v>
      </c>
      <c r="FC1015" s="319" t="s">
        <v>428</v>
      </c>
      <c r="FD1015" s="319" t="s">
        <v>428</v>
      </c>
      <c r="FE1015" s="319" t="s">
        <v>428</v>
      </c>
      <c r="FF1015" s="319" t="s">
        <v>428</v>
      </c>
      <c r="FG1015" s="319" t="s">
        <v>428</v>
      </c>
      <c r="FH1015" s="319" t="s">
        <v>190</v>
      </c>
      <c r="FI1015" s="319" t="s">
        <v>428</v>
      </c>
      <c r="FJ1015" s="319" t="s">
        <v>429</v>
      </c>
      <c r="FK1015" s="319" t="s">
        <v>428</v>
      </c>
      <c r="FL1015" s="319" t="s">
        <v>190</v>
      </c>
      <c r="FM1015" s="319" t="s">
        <v>190</v>
      </c>
      <c r="FN1015" s="319" t="s">
        <v>190</v>
      </c>
      <c r="FO1015" s="319" t="s">
        <v>190</v>
      </c>
      <c r="FP1015" s="319" t="s">
        <v>191</v>
      </c>
      <c r="FQ1015" s="319" t="s">
        <v>191</v>
      </c>
      <c r="FR1015" s="319" t="s">
        <v>191</v>
      </c>
      <c r="FS1015" s="319" t="s">
        <v>428</v>
      </c>
      <c r="FT1015" s="319" t="s">
        <v>191</v>
      </c>
      <c r="FU1015" s="319" t="s">
        <v>190</v>
      </c>
      <c r="FV1015" s="319" t="s">
        <v>190</v>
      </c>
      <c r="FW1015" s="319" t="s">
        <v>190</v>
      </c>
      <c r="FX1015" s="319" t="s">
        <v>190</v>
      </c>
      <c r="FY1015" s="319" t="s">
        <v>190</v>
      </c>
      <c r="FZ1015" s="319" t="s">
        <v>191</v>
      </c>
      <c r="GA1015" s="319" t="s">
        <v>190</v>
      </c>
      <c r="GB1015" s="319" t="s">
        <v>191</v>
      </c>
      <c r="GC1015" s="319" t="s">
        <v>191</v>
      </c>
      <c r="GD1015" s="319" t="s">
        <v>190</v>
      </c>
      <c r="GE1015" s="319" t="s">
        <v>190</v>
      </c>
      <c r="GF1015" s="319" t="s">
        <v>190</v>
      </c>
      <c r="GG1015" s="319" t="s">
        <v>190</v>
      </c>
      <c r="GH1015" s="319" t="s">
        <v>190</v>
      </c>
      <c r="GI1015" s="319" t="s">
        <v>190</v>
      </c>
      <c r="GJ1015" s="319" t="s">
        <v>190</v>
      </c>
      <c r="GK1015" s="319" t="s">
        <v>428</v>
      </c>
      <c r="GL1015" s="319" t="s">
        <v>191</v>
      </c>
      <c r="GM1015" s="319" t="s">
        <v>191</v>
      </c>
      <c r="GN1015" s="319" t="s">
        <v>191</v>
      </c>
      <c r="GO1015" s="319" t="s">
        <v>191</v>
      </c>
      <c r="GP1015" s="319" t="s">
        <v>428</v>
      </c>
      <c r="GQ1015" s="319" t="s">
        <v>428</v>
      </c>
      <c r="GR1015" s="319" t="s">
        <v>190</v>
      </c>
      <c r="GS1015" s="319" t="s">
        <v>190</v>
      </c>
      <c r="GT1015" s="319" t="s">
        <v>428</v>
      </c>
      <c r="GU1015" s="319" t="s">
        <v>428</v>
      </c>
      <c r="GV1015" s="319" t="s">
        <v>190</v>
      </c>
      <c r="GW1015" s="319" t="s">
        <v>191</v>
      </c>
      <c r="GX1015" s="319" t="s">
        <v>190</v>
      </c>
      <c r="GY1015" s="319" t="s">
        <v>191</v>
      </c>
      <c r="GZ1015" s="319" t="s">
        <v>428</v>
      </c>
      <c r="HA1015" s="319" t="s">
        <v>191</v>
      </c>
      <c r="HB1015" s="319" t="s">
        <v>428</v>
      </c>
      <c r="HC1015" s="319" t="s">
        <v>190</v>
      </c>
      <c r="HD1015" s="319" t="s">
        <v>191</v>
      </c>
      <c r="HE1015" s="319" t="s">
        <v>190</v>
      </c>
      <c r="HF1015" s="319" t="s">
        <v>190</v>
      </c>
      <c r="HG1015" s="319" t="s">
        <v>191</v>
      </c>
      <c r="HH1015" s="319" t="s">
        <v>190</v>
      </c>
      <c r="HI1015" s="319" t="s">
        <v>190</v>
      </c>
      <c r="HJ1015" s="319" t="s">
        <v>191</v>
      </c>
      <c r="HK1015" s="319" t="s">
        <v>428</v>
      </c>
      <c r="HL1015" s="319" t="s">
        <v>428</v>
      </c>
      <c r="HM1015" s="319" t="s">
        <v>428</v>
      </c>
      <c r="HN1015" s="319" t="s">
        <v>428</v>
      </c>
      <c r="HO1015" s="319" t="s">
        <v>428</v>
      </c>
      <c r="HP1015" s="319" t="s">
        <v>191</v>
      </c>
      <c r="HQ1015" s="319" t="s">
        <v>190</v>
      </c>
      <c r="HR1015" s="319" t="s">
        <v>190</v>
      </c>
      <c r="HS1015" s="319" t="s">
        <v>190</v>
      </c>
      <c r="HT1015" s="319" t="s">
        <v>190</v>
      </c>
      <c r="HU1015" s="319" t="s">
        <v>190</v>
      </c>
      <c r="HV1015" s="319" t="s">
        <v>191</v>
      </c>
      <c r="HW1015" s="319" t="s">
        <v>191</v>
      </c>
      <c r="HX1015" s="319" t="s">
        <v>191</v>
      </c>
      <c r="HY1015" s="319" t="s">
        <v>191</v>
      </c>
      <c r="HZ1015" s="319" t="s">
        <v>191</v>
      </c>
      <c r="IA1015" s="319" t="s">
        <v>191</v>
      </c>
      <c r="IB1015" s="319" t="s">
        <v>191</v>
      </c>
      <c r="IC1015" s="319" t="s">
        <v>191</v>
      </c>
      <c r="ID1015" s="319" t="s">
        <v>191</v>
      </c>
      <c r="IE1015" s="319" t="s">
        <v>191</v>
      </c>
      <c r="IF1015" s="319" t="s">
        <v>191</v>
      </c>
      <c r="IG1015" s="319" t="s">
        <v>191</v>
      </c>
      <c r="IH1015" s="319" t="s">
        <v>191</v>
      </c>
      <c r="II1015" s="319" t="s">
        <v>190</v>
      </c>
      <c r="IJ1015" s="319" t="s">
        <v>173</v>
      </c>
      <c r="IK1015" s="319" t="s">
        <v>173</v>
      </c>
      <c r="IL1015" s="319" t="s">
        <v>173</v>
      </c>
      <c r="IM1015" s="319" t="s">
        <v>173</v>
      </c>
      <c r="IN1015" s="319" t="s">
        <v>173</v>
      </c>
      <c r="IO1015" s="319" t="s">
        <v>173</v>
      </c>
      <c r="IP1015" s="319" t="s">
        <v>173</v>
      </c>
      <c r="IQ1015" s="319" t="s">
        <v>173</v>
      </c>
      <c r="IR1015" s="320" t="s">
        <v>173</v>
      </c>
      <c r="IS1015" s="320" t="s">
        <v>173</v>
      </c>
      <c r="IT1015" s="319" t="s">
        <v>173</v>
      </c>
    </row>
    <row r="1016" spans="1:254" s="271" customFormat="1" x14ac:dyDescent="0.25">
      <c r="A1016" s="318" t="str">
        <f>HYPERLINK("http://www.ofsted.gov.uk/inspection-reports/find-inspection-report/provider/ELS/146333 ","Ofsted School Webpage")</f>
        <v>Ofsted School Webpage</v>
      </c>
      <c r="B1016" s="319">
        <v>146333</v>
      </c>
      <c r="C1016" s="319">
        <v>8116018</v>
      </c>
      <c r="D1016" s="319" t="s">
        <v>2538</v>
      </c>
      <c r="E1016" s="319" t="s">
        <v>168</v>
      </c>
      <c r="F1016" s="319" t="s">
        <v>81</v>
      </c>
      <c r="G1016" s="319" t="s">
        <v>81</v>
      </c>
      <c r="H1016" s="319" t="s">
        <v>81</v>
      </c>
      <c r="I1016" s="319" t="s">
        <v>78</v>
      </c>
      <c r="J1016" s="319" t="s">
        <v>424</v>
      </c>
      <c r="K1016" s="319" t="s">
        <v>458</v>
      </c>
      <c r="L1016" s="319" t="s">
        <v>459</v>
      </c>
      <c r="M1016" s="319" t="s">
        <v>857</v>
      </c>
      <c r="N1016" s="319" t="s">
        <v>3175</v>
      </c>
      <c r="O1016" s="319" t="s">
        <v>2539</v>
      </c>
      <c r="P1016" s="319">
        <v>1</v>
      </c>
      <c r="Q1016" s="319" t="s">
        <v>429</v>
      </c>
      <c r="R1016" s="320">
        <v>10100344</v>
      </c>
      <c r="S1016" s="321">
        <v>43648</v>
      </c>
      <c r="T1016" s="321">
        <v>43649</v>
      </c>
      <c r="U1016" s="321">
        <v>43682</v>
      </c>
      <c r="V1016" s="319" t="s">
        <v>435</v>
      </c>
      <c r="W1016" s="319" t="s">
        <v>2767</v>
      </c>
      <c r="X1016" s="319">
        <v>2</v>
      </c>
      <c r="Y1016" s="319" t="s">
        <v>173</v>
      </c>
      <c r="Z1016" s="319" t="s">
        <v>173</v>
      </c>
      <c r="AA1016" s="319" t="s">
        <v>173</v>
      </c>
      <c r="AB1016" s="319">
        <v>1</v>
      </c>
      <c r="AC1016" s="319" t="s">
        <v>169</v>
      </c>
      <c r="AD1016" s="319" t="s">
        <v>173</v>
      </c>
      <c r="AE1016" s="319" t="s">
        <v>173</v>
      </c>
      <c r="AF1016" s="319" t="s">
        <v>427</v>
      </c>
      <c r="AG1016" s="319" t="s">
        <v>171</v>
      </c>
      <c r="AH1016" s="319" t="s">
        <v>190</v>
      </c>
      <c r="AI1016" s="319" t="s">
        <v>190</v>
      </c>
      <c r="AJ1016" s="319" t="s">
        <v>190</v>
      </c>
      <c r="AK1016" s="319" t="s">
        <v>190</v>
      </c>
      <c r="AL1016" s="319" t="s">
        <v>190</v>
      </c>
      <c r="AM1016" s="319" t="s">
        <v>190</v>
      </c>
      <c r="AN1016" s="319" t="s">
        <v>190</v>
      </c>
      <c r="AO1016" s="319" t="s">
        <v>190</v>
      </c>
      <c r="AP1016" s="319" t="s">
        <v>190</v>
      </c>
      <c r="AQ1016" s="319" t="s">
        <v>190</v>
      </c>
      <c r="AR1016" s="319" t="s">
        <v>190</v>
      </c>
      <c r="AS1016" s="319" t="s">
        <v>190</v>
      </c>
      <c r="AT1016" s="319" t="s">
        <v>190</v>
      </c>
      <c r="AU1016" s="319" t="s">
        <v>190</v>
      </c>
      <c r="AV1016" s="319" t="s">
        <v>190</v>
      </c>
      <c r="AW1016" s="319" t="s">
        <v>190</v>
      </c>
      <c r="AX1016" s="319" t="s">
        <v>428</v>
      </c>
      <c r="AY1016" s="319" t="s">
        <v>190</v>
      </c>
      <c r="AZ1016" s="319" t="s">
        <v>190</v>
      </c>
      <c r="BA1016" s="319" t="s">
        <v>190</v>
      </c>
      <c r="BB1016" s="319" t="s">
        <v>190</v>
      </c>
      <c r="BC1016" s="319" t="s">
        <v>190</v>
      </c>
      <c r="BD1016" s="319" t="s">
        <v>190</v>
      </c>
      <c r="BE1016" s="319" t="s">
        <v>190</v>
      </c>
      <c r="BF1016" s="319" t="s">
        <v>428</v>
      </c>
      <c r="BG1016" s="319" t="s">
        <v>428</v>
      </c>
      <c r="BH1016" s="319" t="s">
        <v>190</v>
      </c>
      <c r="BI1016" s="319" t="s">
        <v>190</v>
      </c>
      <c r="BJ1016" s="319" t="s">
        <v>190</v>
      </c>
      <c r="BK1016" s="319" t="s">
        <v>190</v>
      </c>
      <c r="BL1016" s="319" t="s">
        <v>190</v>
      </c>
      <c r="BM1016" s="319" t="s">
        <v>190</v>
      </c>
      <c r="BN1016" s="319" t="s">
        <v>190</v>
      </c>
      <c r="BO1016" s="319" t="s">
        <v>190</v>
      </c>
      <c r="BP1016" s="319" t="s">
        <v>190</v>
      </c>
      <c r="BQ1016" s="319" t="s">
        <v>190</v>
      </c>
      <c r="BR1016" s="319" t="s">
        <v>190</v>
      </c>
      <c r="BS1016" s="319" t="s">
        <v>190</v>
      </c>
      <c r="BT1016" s="319" t="s">
        <v>190</v>
      </c>
      <c r="BU1016" s="319" t="s">
        <v>190</v>
      </c>
      <c r="BV1016" s="319" t="s">
        <v>190</v>
      </c>
      <c r="BW1016" s="319" t="s">
        <v>190</v>
      </c>
      <c r="BX1016" s="319" t="s">
        <v>190</v>
      </c>
      <c r="BY1016" s="319" t="s">
        <v>190</v>
      </c>
      <c r="BZ1016" s="319" t="s">
        <v>190</v>
      </c>
      <c r="CA1016" s="319" t="s">
        <v>190</v>
      </c>
      <c r="CB1016" s="319" t="s">
        <v>190</v>
      </c>
      <c r="CC1016" s="319" t="s">
        <v>190</v>
      </c>
      <c r="CD1016" s="319" t="s">
        <v>190</v>
      </c>
      <c r="CE1016" s="319" t="s">
        <v>190</v>
      </c>
      <c r="CF1016" s="319" t="s">
        <v>190</v>
      </c>
      <c r="CG1016" s="319" t="s">
        <v>190</v>
      </c>
      <c r="CH1016" s="319" t="s">
        <v>190</v>
      </c>
      <c r="CI1016" s="319" t="s">
        <v>190</v>
      </c>
      <c r="CJ1016" s="319" t="s">
        <v>190</v>
      </c>
      <c r="CK1016" s="319" t="s">
        <v>190</v>
      </c>
      <c r="CL1016" s="319" t="s">
        <v>190</v>
      </c>
      <c r="CM1016" s="319" t="s">
        <v>190</v>
      </c>
      <c r="CN1016" s="319" t="s">
        <v>428</v>
      </c>
      <c r="CO1016" s="319" t="s">
        <v>428</v>
      </c>
      <c r="CP1016" s="319" t="s">
        <v>428</v>
      </c>
      <c r="CQ1016" s="319" t="s">
        <v>190</v>
      </c>
      <c r="CR1016" s="319" t="s">
        <v>190</v>
      </c>
      <c r="CS1016" s="319" t="s">
        <v>190</v>
      </c>
      <c r="CT1016" s="319" t="s">
        <v>190</v>
      </c>
      <c r="CU1016" s="319" t="s">
        <v>190</v>
      </c>
      <c r="CV1016" s="319" t="s">
        <v>190</v>
      </c>
      <c r="CW1016" s="319" t="s">
        <v>190</v>
      </c>
      <c r="CX1016" s="319" t="s">
        <v>190</v>
      </c>
      <c r="CY1016" s="319" t="s">
        <v>190</v>
      </c>
      <c r="CZ1016" s="319" t="s">
        <v>190</v>
      </c>
      <c r="DA1016" s="319" t="s">
        <v>190</v>
      </c>
      <c r="DB1016" s="319" t="s">
        <v>190</v>
      </c>
      <c r="DC1016" s="319" t="s">
        <v>190</v>
      </c>
      <c r="DD1016" s="319" t="s">
        <v>190</v>
      </c>
      <c r="DE1016" s="319" t="s">
        <v>190</v>
      </c>
      <c r="DF1016" s="319" t="s">
        <v>190</v>
      </c>
      <c r="DG1016" s="319" t="s">
        <v>190</v>
      </c>
      <c r="DH1016" s="319" t="s">
        <v>190</v>
      </c>
      <c r="DI1016" s="319" t="s">
        <v>190</v>
      </c>
      <c r="DJ1016" s="319" t="s">
        <v>190</v>
      </c>
      <c r="DK1016" s="319" t="s">
        <v>190</v>
      </c>
      <c r="DL1016" s="319" t="s">
        <v>190</v>
      </c>
      <c r="DM1016" s="319" t="s">
        <v>190</v>
      </c>
      <c r="DN1016" s="319" t="s">
        <v>428</v>
      </c>
      <c r="DO1016" s="319" t="s">
        <v>190</v>
      </c>
      <c r="DP1016" s="319" t="s">
        <v>190</v>
      </c>
      <c r="DQ1016" s="319" t="s">
        <v>190</v>
      </c>
      <c r="DR1016" s="319" t="s">
        <v>190</v>
      </c>
      <c r="DS1016" s="319" t="s">
        <v>190</v>
      </c>
      <c r="DT1016" s="319" t="s">
        <v>190</v>
      </c>
      <c r="DU1016" s="319" t="s">
        <v>190</v>
      </c>
      <c r="DV1016" s="319" t="s">
        <v>173</v>
      </c>
      <c r="DW1016" s="319" t="s">
        <v>190</v>
      </c>
      <c r="DX1016" s="319" t="s">
        <v>190</v>
      </c>
      <c r="DY1016" s="319" t="s">
        <v>190</v>
      </c>
      <c r="DZ1016" s="319" t="s">
        <v>190</v>
      </c>
      <c r="EA1016" s="319" t="s">
        <v>190</v>
      </c>
      <c r="EB1016" s="319" t="s">
        <v>190</v>
      </c>
      <c r="EC1016" s="319" t="s">
        <v>428</v>
      </c>
      <c r="ED1016" s="319" t="s">
        <v>190</v>
      </c>
      <c r="EE1016" s="319" t="s">
        <v>190</v>
      </c>
      <c r="EF1016" s="319" t="s">
        <v>190</v>
      </c>
      <c r="EG1016" s="319" t="s">
        <v>190</v>
      </c>
      <c r="EH1016" s="319" t="s">
        <v>190</v>
      </c>
      <c r="EI1016" s="319" t="s">
        <v>190</v>
      </c>
      <c r="EJ1016" s="319" t="s">
        <v>190</v>
      </c>
      <c r="EK1016" s="319" t="s">
        <v>190</v>
      </c>
      <c r="EL1016" s="319" t="s">
        <v>190</v>
      </c>
      <c r="EM1016" s="319" t="s">
        <v>190</v>
      </c>
      <c r="EN1016" s="319" t="s">
        <v>190</v>
      </c>
      <c r="EO1016" s="319" t="s">
        <v>190</v>
      </c>
      <c r="EP1016" s="319" t="s">
        <v>190</v>
      </c>
      <c r="EQ1016" s="319" t="s">
        <v>190</v>
      </c>
      <c r="ER1016" s="319" t="s">
        <v>190</v>
      </c>
      <c r="ES1016" s="319" t="s">
        <v>190</v>
      </c>
      <c r="ET1016" s="319" t="s">
        <v>190</v>
      </c>
      <c r="EU1016" s="319" t="s">
        <v>190</v>
      </c>
      <c r="EV1016" s="319" t="s">
        <v>190</v>
      </c>
      <c r="EW1016" s="319" t="s">
        <v>190</v>
      </c>
      <c r="EX1016" s="319" t="s">
        <v>190</v>
      </c>
      <c r="EY1016" s="319" t="s">
        <v>190</v>
      </c>
      <c r="EZ1016" s="319" t="s">
        <v>190</v>
      </c>
      <c r="FA1016" s="319" t="s">
        <v>428</v>
      </c>
      <c r="FB1016" s="319" t="s">
        <v>190</v>
      </c>
      <c r="FC1016" s="319" t="s">
        <v>190</v>
      </c>
      <c r="FD1016" s="319" t="s">
        <v>190</v>
      </c>
      <c r="FE1016" s="319" t="s">
        <v>190</v>
      </c>
      <c r="FF1016" s="319" t="s">
        <v>190</v>
      </c>
      <c r="FG1016" s="319" t="s">
        <v>190</v>
      </c>
      <c r="FH1016" s="319" t="s">
        <v>190</v>
      </c>
      <c r="FI1016" s="319" t="s">
        <v>428</v>
      </c>
      <c r="FJ1016" s="319" t="s">
        <v>190</v>
      </c>
      <c r="FK1016" s="319" t="s">
        <v>190</v>
      </c>
      <c r="FL1016" s="319" t="s">
        <v>190</v>
      </c>
      <c r="FM1016" s="319" t="s">
        <v>190</v>
      </c>
      <c r="FN1016" s="319" t="s">
        <v>190</v>
      </c>
      <c r="FO1016" s="319" t="s">
        <v>190</v>
      </c>
      <c r="FP1016" s="319" t="s">
        <v>190</v>
      </c>
      <c r="FQ1016" s="319" t="s">
        <v>190</v>
      </c>
      <c r="FR1016" s="319" t="s">
        <v>190</v>
      </c>
      <c r="FS1016" s="319" t="s">
        <v>428</v>
      </c>
      <c r="FT1016" s="319" t="s">
        <v>190</v>
      </c>
      <c r="FU1016" s="319" t="s">
        <v>190</v>
      </c>
      <c r="FV1016" s="319" t="s">
        <v>190</v>
      </c>
      <c r="FW1016" s="319" t="s">
        <v>190</v>
      </c>
      <c r="FX1016" s="319" t="s">
        <v>190</v>
      </c>
      <c r="FY1016" s="319" t="s">
        <v>190</v>
      </c>
      <c r="FZ1016" s="319" t="s">
        <v>190</v>
      </c>
      <c r="GA1016" s="319" t="s">
        <v>190</v>
      </c>
      <c r="GB1016" s="319" t="s">
        <v>190</v>
      </c>
      <c r="GC1016" s="319" t="s">
        <v>190</v>
      </c>
      <c r="GD1016" s="319" t="s">
        <v>190</v>
      </c>
      <c r="GE1016" s="319" t="s">
        <v>190</v>
      </c>
      <c r="GF1016" s="319" t="s">
        <v>190</v>
      </c>
      <c r="GG1016" s="319" t="s">
        <v>190</v>
      </c>
      <c r="GH1016" s="319" t="s">
        <v>190</v>
      </c>
      <c r="GI1016" s="319" t="s">
        <v>190</v>
      </c>
      <c r="GJ1016" s="319" t="s">
        <v>190</v>
      </c>
      <c r="GK1016" s="319" t="s">
        <v>428</v>
      </c>
      <c r="GL1016" s="319" t="s">
        <v>190</v>
      </c>
      <c r="GM1016" s="319" t="s">
        <v>190</v>
      </c>
      <c r="GN1016" s="319" t="s">
        <v>190</v>
      </c>
      <c r="GO1016" s="319" t="s">
        <v>190</v>
      </c>
      <c r="GP1016" s="319" t="s">
        <v>190</v>
      </c>
      <c r="GQ1016" s="319" t="s">
        <v>428</v>
      </c>
      <c r="GR1016" s="319" t="s">
        <v>190</v>
      </c>
      <c r="GS1016" s="319" t="s">
        <v>190</v>
      </c>
      <c r="GT1016" s="319" t="s">
        <v>190</v>
      </c>
      <c r="GU1016" s="319" t="s">
        <v>190</v>
      </c>
      <c r="GV1016" s="319" t="s">
        <v>190</v>
      </c>
      <c r="GW1016" s="319" t="s">
        <v>190</v>
      </c>
      <c r="GX1016" s="319" t="s">
        <v>190</v>
      </c>
      <c r="GY1016" s="319" t="s">
        <v>190</v>
      </c>
      <c r="GZ1016" s="319" t="s">
        <v>428</v>
      </c>
      <c r="HA1016" s="319" t="s">
        <v>190</v>
      </c>
      <c r="HB1016" s="319" t="s">
        <v>428</v>
      </c>
      <c r="HC1016" s="319" t="s">
        <v>190</v>
      </c>
      <c r="HD1016" s="319" t="s">
        <v>190</v>
      </c>
      <c r="HE1016" s="319" t="s">
        <v>190</v>
      </c>
      <c r="HF1016" s="319" t="s">
        <v>190</v>
      </c>
      <c r="HG1016" s="319" t="s">
        <v>190</v>
      </c>
      <c r="HH1016" s="319" t="s">
        <v>190</v>
      </c>
      <c r="HI1016" s="319" t="s">
        <v>428</v>
      </c>
      <c r="HJ1016" s="319" t="s">
        <v>190</v>
      </c>
      <c r="HK1016" s="319" t="s">
        <v>428</v>
      </c>
      <c r="HL1016" s="319" t="s">
        <v>428</v>
      </c>
      <c r="HM1016" s="319" t="s">
        <v>428</v>
      </c>
      <c r="HN1016" s="319" t="s">
        <v>428</v>
      </c>
      <c r="HO1016" s="319" t="s">
        <v>428</v>
      </c>
      <c r="HP1016" s="319" t="s">
        <v>190</v>
      </c>
      <c r="HQ1016" s="319" t="s">
        <v>190</v>
      </c>
      <c r="HR1016" s="319" t="s">
        <v>190</v>
      </c>
      <c r="HS1016" s="319" t="s">
        <v>190</v>
      </c>
      <c r="HT1016" s="319" t="s">
        <v>190</v>
      </c>
      <c r="HU1016" s="319" t="s">
        <v>190</v>
      </c>
      <c r="HV1016" s="319" t="s">
        <v>190</v>
      </c>
      <c r="HW1016" s="319" t="s">
        <v>190</v>
      </c>
      <c r="HX1016" s="319" t="s">
        <v>190</v>
      </c>
      <c r="HY1016" s="319" t="s">
        <v>190</v>
      </c>
      <c r="HZ1016" s="319" t="s">
        <v>190</v>
      </c>
      <c r="IA1016" s="319" t="s">
        <v>190</v>
      </c>
      <c r="IB1016" s="319" t="s">
        <v>190</v>
      </c>
      <c r="IC1016" s="319" t="s">
        <v>190</v>
      </c>
      <c r="ID1016" s="319" t="s">
        <v>190</v>
      </c>
      <c r="IE1016" s="319" t="s">
        <v>190</v>
      </c>
      <c r="IF1016" s="319" t="s">
        <v>190</v>
      </c>
      <c r="IG1016" s="319" t="s">
        <v>190</v>
      </c>
      <c r="IH1016" s="319" t="s">
        <v>190</v>
      </c>
      <c r="II1016" s="319" t="s">
        <v>190</v>
      </c>
      <c r="IJ1016" s="319" t="s">
        <v>173</v>
      </c>
      <c r="IK1016" s="319" t="s">
        <v>173</v>
      </c>
      <c r="IL1016" s="319" t="s">
        <v>173</v>
      </c>
      <c r="IM1016" s="319" t="s">
        <v>173</v>
      </c>
      <c r="IN1016" s="319" t="s">
        <v>173</v>
      </c>
      <c r="IO1016" s="319" t="s">
        <v>173</v>
      </c>
      <c r="IP1016" s="319" t="s">
        <v>173</v>
      </c>
      <c r="IQ1016" s="319" t="s">
        <v>173</v>
      </c>
      <c r="IR1016" s="320" t="s">
        <v>173</v>
      </c>
      <c r="IS1016" s="320" t="s">
        <v>173</v>
      </c>
      <c r="IT1016" s="319" t="s">
        <v>173</v>
      </c>
    </row>
    <row r="1017" spans="1:254" s="271" customFormat="1" x14ac:dyDescent="0.25">
      <c r="A1017" s="318" t="str">
        <f>HYPERLINK("http://www.ofsted.gov.uk/inspection-reports/find-inspection-report/provider/ELS/146335 ","Ofsted School Webpage")</f>
        <v>Ofsted School Webpage</v>
      </c>
      <c r="B1017" s="319">
        <v>146335</v>
      </c>
      <c r="C1017" s="319">
        <v>9336010</v>
      </c>
      <c r="D1017" s="319" t="s">
        <v>2540</v>
      </c>
      <c r="E1017" s="319" t="s">
        <v>168</v>
      </c>
      <c r="F1017" s="319" t="s">
        <v>81</v>
      </c>
      <c r="G1017" s="319" t="s">
        <v>81</v>
      </c>
      <c r="H1017" s="319" t="s">
        <v>81</v>
      </c>
      <c r="I1017" s="319" t="s">
        <v>78</v>
      </c>
      <c r="J1017" s="319" t="s">
        <v>424</v>
      </c>
      <c r="K1017" s="319" t="s">
        <v>422</v>
      </c>
      <c r="L1017" s="319" t="s">
        <v>422</v>
      </c>
      <c r="M1017" s="319" t="s">
        <v>466</v>
      </c>
      <c r="N1017" s="319" t="s">
        <v>3028</v>
      </c>
      <c r="O1017" s="319" t="s">
        <v>2541</v>
      </c>
      <c r="P1017" s="319">
        <v>3</v>
      </c>
      <c r="Q1017" s="319" t="s">
        <v>429</v>
      </c>
      <c r="R1017" s="320" t="s">
        <v>173</v>
      </c>
      <c r="S1017" s="321" t="s">
        <v>173</v>
      </c>
      <c r="T1017" s="321" t="s">
        <v>173</v>
      </c>
      <c r="U1017" s="321" t="s">
        <v>173</v>
      </c>
      <c r="V1017" s="319" t="s">
        <v>173</v>
      </c>
      <c r="W1017" s="319" t="s">
        <v>173</v>
      </c>
      <c r="X1017" s="319" t="s">
        <v>173</v>
      </c>
      <c r="Y1017" s="319" t="s">
        <v>173</v>
      </c>
      <c r="Z1017" s="319" t="s">
        <v>173</v>
      </c>
      <c r="AA1017" s="319" t="s">
        <v>173</v>
      </c>
      <c r="AB1017" s="319" t="s">
        <v>173</v>
      </c>
      <c r="AC1017" s="319" t="s">
        <v>173</v>
      </c>
      <c r="AD1017" s="319" t="s">
        <v>173</v>
      </c>
      <c r="AE1017" s="319" t="s">
        <v>173</v>
      </c>
      <c r="AF1017" s="319" t="s">
        <v>173</v>
      </c>
      <c r="AG1017" s="319" t="s">
        <v>173</v>
      </c>
      <c r="AH1017" s="319" t="s">
        <v>173</v>
      </c>
      <c r="AI1017" s="319" t="s">
        <v>173</v>
      </c>
      <c r="AJ1017" s="319" t="s">
        <v>173</v>
      </c>
      <c r="AK1017" s="319" t="s">
        <v>173</v>
      </c>
      <c r="AL1017" s="319" t="s">
        <v>173</v>
      </c>
      <c r="AM1017" s="319" t="s">
        <v>173</v>
      </c>
      <c r="AN1017" s="319" t="s">
        <v>173</v>
      </c>
      <c r="AO1017" s="319" t="s">
        <v>173</v>
      </c>
      <c r="AP1017" s="319" t="s">
        <v>173</v>
      </c>
      <c r="AQ1017" s="319" t="s">
        <v>173</v>
      </c>
      <c r="AR1017" s="319" t="s">
        <v>173</v>
      </c>
      <c r="AS1017" s="319" t="s">
        <v>173</v>
      </c>
      <c r="AT1017" s="319" t="s">
        <v>173</v>
      </c>
      <c r="AU1017" s="319" t="s">
        <v>173</v>
      </c>
      <c r="AV1017" s="319" t="s">
        <v>173</v>
      </c>
      <c r="AW1017" s="319" t="s">
        <v>173</v>
      </c>
      <c r="AX1017" s="319" t="s">
        <v>173</v>
      </c>
      <c r="AY1017" s="319" t="s">
        <v>173</v>
      </c>
      <c r="AZ1017" s="319" t="s">
        <v>173</v>
      </c>
      <c r="BA1017" s="319" t="s">
        <v>173</v>
      </c>
      <c r="BB1017" s="319" t="s">
        <v>173</v>
      </c>
      <c r="BC1017" s="319" t="s">
        <v>173</v>
      </c>
      <c r="BD1017" s="319" t="s">
        <v>173</v>
      </c>
      <c r="BE1017" s="319" t="s">
        <v>173</v>
      </c>
      <c r="BF1017" s="319" t="s">
        <v>173</v>
      </c>
      <c r="BG1017" s="319" t="s">
        <v>173</v>
      </c>
      <c r="BH1017" s="319" t="s">
        <v>173</v>
      </c>
      <c r="BI1017" s="319" t="s">
        <v>173</v>
      </c>
      <c r="BJ1017" s="319" t="s">
        <v>173</v>
      </c>
      <c r="BK1017" s="319" t="s">
        <v>173</v>
      </c>
      <c r="BL1017" s="319" t="s">
        <v>173</v>
      </c>
      <c r="BM1017" s="319" t="s">
        <v>173</v>
      </c>
      <c r="BN1017" s="319" t="s">
        <v>173</v>
      </c>
      <c r="BO1017" s="319" t="s">
        <v>173</v>
      </c>
      <c r="BP1017" s="319" t="s">
        <v>173</v>
      </c>
      <c r="BQ1017" s="319" t="s">
        <v>173</v>
      </c>
      <c r="BR1017" s="319" t="s">
        <v>173</v>
      </c>
      <c r="BS1017" s="319" t="s">
        <v>173</v>
      </c>
      <c r="BT1017" s="319" t="s">
        <v>173</v>
      </c>
      <c r="BU1017" s="319" t="s">
        <v>173</v>
      </c>
      <c r="BV1017" s="319" t="s">
        <v>173</v>
      </c>
      <c r="BW1017" s="319" t="s">
        <v>173</v>
      </c>
      <c r="BX1017" s="319" t="s">
        <v>173</v>
      </c>
      <c r="BY1017" s="319" t="s">
        <v>173</v>
      </c>
      <c r="BZ1017" s="319" t="s">
        <v>173</v>
      </c>
      <c r="CA1017" s="319" t="s">
        <v>173</v>
      </c>
      <c r="CB1017" s="319" t="s">
        <v>173</v>
      </c>
      <c r="CC1017" s="319" t="s">
        <v>173</v>
      </c>
      <c r="CD1017" s="319" t="s">
        <v>173</v>
      </c>
      <c r="CE1017" s="319" t="s">
        <v>173</v>
      </c>
      <c r="CF1017" s="319" t="s">
        <v>173</v>
      </c>
      <c r="CG1017" s="319" t="s">
        <v>173</v>
      </c>
      <c r="CH1017" s="319" t="s">
        <v>173</v>
      </c>
      <c r="CI1017" s="319" t="s">
        <v>173</v>
      </c>
      <c r="CJ1017" s="319" t="s">
        <v>173</v>
      </c>
      <c r="CK1017" s="319" t="s">
        <v>173</v>
      </c>
      <c r="CL1017" s="319" t="s">
        <v>173</v>
      </c>
      <c r="CM1017" s="319" t="s">
        <v>173</v>
      </c>
      <c r="CN1017" s="319" t="s">
        <v>173</v>
      </c>
      <c r="CO1017" s="319" t="s">
        <v>173</v>
      </c>
      <c r="CP1017" s="319" t="s">
        <v>173</v>
      </c>
      <c r="CQ1017" s="319" t="s">
        <v>173</v>
      </c>
      <c r="CR1017" s="319" t="s">
        <v>173</v>
      </c>
      <c r="CS1017" s="319" t="s">
        <v>173</v>
      </c>
      <c r="CT1017" s="319" t="s">
        <v>173</v>
      </c>
      <c r="CU1017" s="319" t="s">
        <v>173</v>
      </c>
      <c r="CV1017" s="319" t="s">
        <v>173</v>
      </c>
      <c r="CW1017" s="319" t="s">
        <v>173</v>
      </c>
      <c r="CX1017" s="319" t="s">
        <v>173</v>
      </c>
      <c r="CY1017" s="319" t="s">
        <v>173</v>
      </c>
      <c r="CZ1017" s="319" t="s">
        <v>173</v>
      </c>
      <c r="DA1017" s="319" t="s">
        <v>173</v>
      </c>
      <c r="DB1017" s="319" t="s">
        <v>173</v>
      </c>
      <c r="DC1017" s="319" t="s">
        <v>173</v>
      </c>
      <c r="DD1017" s="319" t="s">
        <v>173</v>
      </c>
      <c r="DE1017" s="319" t="s">
        <v>173</v>
      </c>
      <c r="DF1017" s="319" t="s">
        <v>173</v>
      </c>
      <c r="DG1017" s="319" t="s">
        <v>173</v>
      </c>
      <c r="DH1017" s="319" t="s">
        <v>173</v>
      </c>
      <c r="DI1017" s="319" t="s">
        <v>173</v>
      </c>
      <c r="DJ1017" s="319" t="s">
        <v>173</v>
      </c>
      <c r="DK1017" s="319" t="s">
        <v>173</v>
      </c>
      <c r="DL1017" s="319" t="s">
        <v>173</v>
      </c>
      <c r="DM1017" s="319" t="s">
        <v>173</v>
      </c>
      <c r="DN1017" s="319" t="s">
        <v>173</v>
      </c>
      <c r="DO1017" s="319" t="s">
        <v>173</v>
      </c>
      <c r="DP1017" s="319" t="s">
        <v>173</v>
      </c>
      <c r="DQ1017" s="319" t="s">
        <v>173</v>
      </c>
      <c r="DR1017" s="319" t="s">
        <v>173</v>
      </c>
      <c r="DS1017" s="319" t="s">
        <v>173</v>
      </c>
      <c r="DT1017" s="319" t="s">
        <v>173</v>
      </c>
      <c r="DU1017" s="319" t="s">
        <v>173</v>
      </c>
      <c r="DV1017" s="319" t="s">
        <v>173</v>
      </c>
      <c r="DW1017" s="319" t="s">
        <v>173</v>
      </c>
      <c r="DX1017" s="319" t="s">
        <v>173</v>
      </c>
      <c r="DY1017" s="319" t="s">
        <v>173</v>
      </c>
      <c r="DZ1017" s="319" t="s">
        <v>173</v>
      </c>
      <c r="EA1017" s="319" t="s">
        <v>173</v>
      </c>
      <c r="EB1017" s="319" t="s">
        <v>173</v>
      </c>
      <c r="EC1017" s="319" t="s">
        <v>173</v>
      </c>
      <c r="ED1017" s="319" t="s">
        <v>173</v>
      </c>
      <c r="EE1017" s="319" t="s">
        <v>173</v>
      </c>
      <c r="EF1017" s="319" t="s">
        <v>173</v>
      </c>
      <c r="EG1017" s="319" t="s">
        <v>173</v>
      </c>
      <c r="EH1017" s="319" t="s">
        <v>173</v>
      </c>
      <c r="EI1017" s="319" t="s">
        <v>173</v>
      </c>
      <c r="EJ1017" s="319" t="s">
        <v>173</v>
      </c>
      <c r="EK1017" s="319" t="s">
        <v>173</v>
      </c>
      <c r="EL1017" s="319" t="s">
        <v>173</v>
      </c>
      <c r="EM1017" s="319" t="s">
        <v>173</v>
      </c>
      <c r="EN1017" s="319" t="s">
        <v>173</v>
      </c>
      <c r="EO1017" s="319" t="s">
        <v>173</v>
      </c>
      <c r="EP1017" s="319" t="s">
        <v>173</v>
      </c>
      <c r="EQ1017" s="319" t="s">
        <v>173</v>
      </c>
      <c r="ER1017" s="319" t="s">
        <v>173</v>
      </c>
      <c r="ES1017" s="319" t="s">
        <v>173</v>
      </c>
      <c r="ET1017" s="319" t="s">
        <v>173</v>
      </c>
      <c r="EU1017" s="319" t="s">
        <v>173</v>
      </c>
      <c r="EV1017" s="319" t="s">
        <v>173</v>
      </c>
      <c r="EW1017" s="319" t="s">
        <v>173</v>
      </c>
      <c r="EX1017" s="319" t="s">
        <v>173</v>
      </c>
      <c r="EY1017" s="319" t="s">
        <v>173</v>
      </c>
      <c r="EZ1017" s="319" t="s">
        <v>173</v>
      </c>
      <c r="FA1017" s="319" t="s">
        <v>173</v>
      </c>
      <c r="FB1017" s="319" t="s">
        <v>173</v>
      </c>
      <c r="FC1017" s="319" t="s">
        <v>173</v>
      </c>
      <c r="FD1017" s="319" t="s">
        <v>173</v>
      </c>
      <c r="FE1017" s="319" t="s">
        <v>173</v>
      </c>
      <c r="FF1017" s="319" t="s">
        <v>173</v>
      </c>
      <c r="FG1017" s="319" t="s">
        <v>173</v>
      </c>
      <c r="FH1017" s="319" t="s">
        <v>173</v>
      </c>
      <c r="FI1017" s="319" t="s">
        <v>173</v>
      </c>
      <c r="FJ1017" s="319" t="s">
        <v>173</v>
      </c>
      <c r="FK1017" s="319" t="s">
        <v>173</v>
      </c>
      <c r="FL1017" s="319" t="s">
        <v>173</v>
      </c>
      <c r="FM1017" s="319" t="s">
        <v>173</v>
      </c>
      <c r="FN1017" s="319" t="s">
        <v>173</v>
      </c>
      <c r="FO1017" s="319" t="s">
        <v>173</v>
      </c>
      <c r="FP1017" s="319" t="s">
        <v>173</v>
      </c>
      <c r="FQ1017" s="319" t="s">
        <v>173</v>
      </c>
      <c r="FR1017" s="319" t="s">
        <v>173</v>
      </c>
      <c r="FS1017" s="319" t="s">
        <v>173</v>
      </c>
      <c r="FT1017" s="319" t="s">
        <v>173</v>
      </c>
      <c r="FU1017" s="319" t="s">
        <v>173</v>
      </c>
      <c r="FV1017" s="319" t="s">
        <v>173</v>
      </c>
      <c r="FW1017" s="319" t="s">
        <v>173</v>
      </c>
      <c r="FX1017" s="319" t="s">
        <v>173</v>
      </c>
      <c r="FY1017" s="319" t="s">
        <v>173</v>
      </c>
      <c r="FZ1017" s="319" t="s">
        <v>173</v>
      </c>
      <c r="GA1017" s="319" t="s">
        <v>173</v>
      </c>
      <c r="GB1017" s="319" t="s">
        <v>173</v>
      </c>
      <c r="GC1017" s="319" t="s">
        <v>173</v>
      </c>
      <c r="GD1017" s="319" t="s">
        <v>173</v>
      </c>
      <c r="GE1017" s="319" t="s">
        <v>173</v>
      </c>
      <c r="GF1017" s="319" t="s">
        <v>173</v>
      </c>
      <c r="GG1017" s="319" t="s">
        <v>173</v>
      </c>
      <c r="GH1017" s="319" t="s">
        <v>173</v>
      </c>
      <c r="GI1017" s="319" t="s">
        <v>173</v>
      </c>
      <c r="GJ1017" s="319" t="s">
        <v>173</v>
      </c>
      <c r="GK1017" s="319" t="s">
        <v>173</v>
      </c>
      <c r="GL1017" s="319" t="s">
        <v>173</v>
      </c>
      <c r="GM1017" s="319" t="s">
        <v>173</v>
      </c>
      <c r="GN1017" s="319" t="s">
        <v>173</v>
      </c>
      <c r="GO1017" s="319" t="s">
        <v>173</v>
      </c>
      <c r="GP1017" s="319" t="s">
        <v>173</v>
      </c>
      <c r="GQ1017" s="319" t="s">
        <v>173</v>
      </c>
      <c r="GR1017" s="319" t="s">
        <v>173</v>
      </c>
      <c r="GS1017" s="319" t="s">
        <v>173</v>
      </c>
      <c r="GT1017" s="319" t="s">
        <v>173</v>
      </c>
      <c r="GU1017" s="319" t="s">
        <v>173</v>
      </c>
      <c r="GV1017" s="319" t="s">
        <v>173</v>
      </c>
      <c r="GW1017" s="319" t="s">
        <v>173</v>
      </c>
      <c r="GX1017" s="319" t="s">
        <v>173</v>
      </c>
      <c r="GY1017" s="319" t="s">
        <v>173</v>
      </c>
      <c r="GZ1017" s="319" t="s">
        <v>173</v>
      </c>
      <c r="HA1017" s="319" t="s">
        <v>173</v>
      </c>
      <c r="HB1017" s="319" t="s">
        <v>173</v>
      </c>
      <c r="HC1017" s="319" t="s">
        <v>173</v>
      </c>
      <c r="HD1017" s="319" t="s">
        <v>173</v>
      </c>
      <c r="HE1017" s="319" t="s">
        <v>173</v>
      </c>
      <c r="HF1017" s="319" t="s">
        <v>173</v>
      </c>
      <c r="HG1017" s="319" t="s">
        <v>173</v>
      </c>
      <c r="HH1017" s="319" t="s">
        <v>173</v>
      </c>
      <c r="HI1017" s="319" t="s">
        <v>173</v>
      </c>
      <c r="HJ1017" s="319" t="s">
        <v>173</v>
      </c>
      <c r="HK1017" s="319" t="s">
        <v>173</v>
      </c>
      <c r="HL1017" s="319" t="s">
        <v>173</v>
      </c>
      <c r="HM1017" s="319" t="s">
        <v>173</v>
      </c>
      <c r="HN1017" s="319" t="s">
        <v>173</v>
      </c>
      <c r="HO1017" s="319" t="s">
        <v>173</v>
      </c>
      <c r="HP1017" s="319" t="s">
        <v>173</v>
      </c>
      <c r="HQ1017" s="319" t="s">
        <v>173</v>
      </c>
      <c r="HR1017" s="319" t="s">
        <v>173</v>
      </c>
      <c r="HS1017" s="319" t="s">
        <v>173</v>
      </c>
      <c r="HT1017" s="319" t="s">
        <v>173</v>
      </c>
      <c r="HU1017" s="319" t="s">
        <v>173</v>
      </c>
      <c r="HV1017" s="319" t="s">
        <v>173</v>
      </c>
      <c r="HW1017" s="319" t="s">
        <v>173</v>
      </c>
      <c r="HX1017" s="319" t="s">
        <v>173</v>
      </c>
      <c r="HY1017" s="319" t="s">
        <v>173</v>
      </c>
      <c r="HZ1017" s="319" t="s">
        <v>173</v>
      </c>
      <c r="IA1017" s="319" t="s">
        <v>173</v>
      </c>
      <c r="IB1017" s="319" t="s">
        <v>173</v>
      </c>
      <c r="IC1017" s="319" t="s">
        <v>173</v>
      </c>
      <c r="ID1017" s="319" t="s">
        <v>173</v>
      </c>
      <c r="IE1017" s="319" t="s">
        <v>173</v>
      </c>
      <c r="IF1017" s="319" t="s">
        <v>173</v>
      </c>
      <c r="IG1017" s="319" t="s">
        <v>173</v>
      </c>
      <c r="IH1017" s="319" t="s">
        <v>173</v>
      </c>
      <c r="II1017" s="319" t="s">
        <v>173</v>
      </c>
      <c r="IJ1017" s="319" t="s">
        <v>173</v>
      </c>
      <c r="IK1017" s="319" t="s">
        <v>173</v>
      </c>
      <c r="IL1017" s="319" t="s">
        <v>173</v>
      </c>
      <c r="IM1017" s="319" t="s">
        <v>173</v>
      </c>
      <c r="IN1017" s="319" t="s">
        <v>173</v>
      </c>
      <c r="IO1017" s="319" t="s">
        <v>173</v>
      </c>
      <c r="IP1017" s="319" t="s">
        <v>173</v>
      </c>
      <c r="IQ1017" s="319" t="s">
        <v>173</v>
      </c>
      <c r="IR1017" s="320" t="s">
        <v>173</v>
      </c>
      <c r="IS1017" s="320" t="s">
        <v>173</v>
      </c>
      <c r="IT1017" s="319" t="s">
        <v>173</v>
      </c>
    </row>
    <row r="1018" spans="1:254" s="271" customFormat="1" x14ac:dyDescent="0.25">
      <c r="A1018" s="318" t="str">
        <f>HYPERLINK("http://www.ofsted.gov.uk/inspection-reports/find-inspection-report/provider/ELS/146337 ","Ofsted School Webpage")</f>
        <v>Ofsted School Webpage</v>
      </c>
      <c r="B1018" s="319">
        <v>146337</v>
      </c>
      <c r="C1018" s="319">
        <v>3526014</v>
      </c>
      <c r="D1018" s="319" t="s">
        <v>2542</v>
      </c>
      <c r="E1018" s="319" t="s">
        <v>167</v>
      </c>
      <c r="F1018" s="319" t="s">
        <v>81</v>
      </c>
      <c r="G1018" s="319" t="s">
        <v>81</v>
      </c>
      <c r="H1018" s="319" t="s">
        <v>81</v>
      </c>
      <c r="I1018" s="319" t="s">
        <v>78</v>
      </c>
      <c r="J1018" s="319" t="s">
        <v>424</v>
      </c>
      <c r="K1018" s="319" t="s">
        <v>431</v>
      </c>
      <c r="L1018" s="319" t="s">
        <v>431</v>
      </c>
      <c r="M1018" s="319" t="s">
        <v>660</v>
      </c>
      <c r="N1018" s="319" t="s">
        <v>3522</v>
      </c>
      <c r="O1018" s="319" t="s">
        <v>2543</v>
      </c>
      <c r="P1018" s="319">
        <v>21</v>
      </c>
      <c r="Q1018" s="319" t="s">
        <v>2766</v>
      </c>
      <c r="R1018" s="320">
        <v>10092289</v>
      </c>
      <c r="S1018" s="321">
        <v>43634</v>
      </c>
      <c r="T1018" s="321">
        <v>43636</v>
      </c>
      <c r="U1018" s="321">
        <v>43661</v>
      </c>
      <c r="V1018" s="319" t="s">
        <v>435</v>
      </c>
      <c r="W1018" s="319" t="s">
        <v>2767</v>
      </c>
      <c r="X1018" s="319">
        <v>3</v>
      </c>
      <c r="Y1018" s="319" t="s">
        <v>173</v>
      </c>
      <c r="Z1018" s="319" t="s">
        <v>173</v>
      </c>
      <c r="AA1018" s="319" t="s">
        <v>173</v>
      </c>
      <c r="AB1018" s="319">
        <v>3</v>
      </c>
      <c r="AC1018" s="319" t="s">
        <v>169</v>
      </c>
      <c r="AD1018" s="319" t="s">
        <v>173</v>
      </c>
      <c r="AE1018" s="319" t="s">
        <v>173</v>
      </c>
      <c r="AF1018" s="319" t="s">
        <v>427</v>
      </c>
      <c r="AG1018" s="319" t="s">
        <v>172</v>
      </c>
      <c r="AH1018" s="319" t="s">
        <v>479</v>
      </c>
      <c r="AI1018" s="319" t="s">
        <v>190</v>
      </c>
      <c r="AJ1018" s="319" t="s">
        <v>190</v>
      </c>
      <c r="AK1018" s="319" t="s">
        <v>190</v>
      </c>
      <c r="AL1018" s="319" t="s">
        <v>190</v>
      </c>
      <c r="AM1018" s="319" t="s">
        <v>190</v>
      </c>
      <c r="AN1018" s="319" t="s">
        <v>190</v>
      </c>
      <c r="AO1018" s="319" t="s">
        <v>479</v>
      </c>
      <c r="AP1018" s="319" t="s">
        <v>191</v>
      </c>
      <c r="AQ1018" s="319" t="s">
        <v>191</v>
      </c>
      <c r="AR1018" s="319" t="s">
        <v>191</v>
      </c>
      <c r="AS1018" s="319" t="s">
        <v>191</v>
      </c>
      <c r="AT1018" s="319" t="s">
        <v>190</v>
      </c>
      <c r="AU1018" s="319" t="s">
        <v>190</v>
      </c>
      <c r="AV1018" s="319" t="s">
        <v>190</v>
      </c>
      <c r="AW1018" s="319" t="s">
        <v>190</v>
      </c>
      <c r="AX1018" s="319" t="s">
        <v>190</v>
      </c>
      <c r="AY1018" s="319" t="s">
        <v>190</v>
      </c>
      <c r="AZ1018" s="319" t="s">
        <v>190</v>
      </c>
      <c r="BA1018" s="319" t="s">
        <v>190</v>
      </c>
      <c r="BB1018" s="319" t="s">
        <v>190</v>
      </c>
      <c r="BC1018" s="319" t="s">
        <v>190</v>
      </c>
      <c r="BD1018" s="319" t="s">
        <v>190</v>
      </c>
      <c r="BE1018" s="319" t="s">
        <v>190</v>
      </c>
      <c r="BF1018" s="319" t="s">
        <v>190</v>
      </c>
      <c r="BG1018" s="319" t="s">
        <v>190</v>
      </c>
      <c r="BH1018" s="319" t="s">
        <v>190</v>
      </c>
      <c r="BI1018" s="319" t="s">
        <v>190</v>
      </c>
      <c r="BJ1018" s="319" t="s">
        <v>190</v>
      </c>
      <c r="BK1018" s="319" t="s">
        <v>190</v>
      </c>
      <c r="BL1018" s="319" t="s">
        <v>190</v>
      </c>
      <c r="BM1018" s="319" t="s">
        <v>190</v>
      </c>
      <c r="BN1018" s="319" t="s">
        <v>190</v>
      </c>
      <c r="BO1018" s="319" t="s">
        <v>190</v>
      </c>
      <c r="BP1018" s="319" t="s">
        <v>190</v>
      </c>
      <c r="BQ1018" s="319" t="s">
        <v>190</v>
      </c>
      <c r="BR1018" s="319" t="s">
        <v>190</v>
      </c>
      <c r="BS1018" s="319" t="s">
        <v>190</v>
      </c>
      <c r="BT1018" s="319" t="s">
        <v>190</v>
      </c>
      <c r="BU1018" s="319" t="s">
        <v>190</v>
      </c>
      <c r="BV1018" s="319" t="s">
        <v>190</v>
      </c>
      <c r="BW1018" s="319" t="s">
        <v>190</v>
      </c>
      <c r="BX1018" s="319" t="s">
        <v>190</v>
      </c>
      <c r="BY1018" s="319" t="s">
        <v>190</v>
      </c>
      <c r="BZ1018" s="319" t="s">
        <v>190</v>
      </c>
      <c r="CA1018" s="319" t="s">
        <v>190</v>
      </c>
      <c r="CB1018" s="319" t="s">
        <v>190</v>
      </c>
      <c r="CC1018" s="319" t="s">
        <v>190</v>
      </c>
      <c r="CD1018" s="319" t="s">
        <v>190</v>
      </c>
      <c r="CE1018" s="319" t="s">
        <v>190</v>
      </c>
      <c r="CF1018" s="319" t="s">
        <v>190</v>
      </c>
      <c r="CG1018" s="319" t="s">
        <v>190</v>
      </c>
      <c r="CH1018" s="319" t="s">
        <v>190</v>
      </c>
      <c r="CI1018" s="319" t="s">
        <v>190</v>
      </c>
      <c r="CJ1018" s="319" t="s">
        <v>190</v>
      </c>
      <c r="CK1018" s="319" t="s">
        <v>190</v>
      </c>
      <c r="CL1018" s="319" t="s">
        <v>190</v>
      </c>
      <c r="CM1018" s="319" t="s">
        <v>190</v>
      </c>
      <c r="CN1018" s="319" t="s">
        <v>428</v>
      </c>
      <c r="CO1018" s="319" t="s">
        <v>428</v>
      </c>
      <c r="CP1018" s="319" t="s">
        <v>428</v>
      </c>
      <c r="CQ1018" s="319" t="s">
        <v>190</v>
      </c>
      <c r="CR1018" s="319" t="s">
        <v>190</v>
      </c>
      <c r="CS1018" s="319" t="s">
        <v>190</v>
      </c>
      <c r="CT1018" s="319" t="s">
        <v>190</v>
      </c>
      <c r="CU1018" s="319" t="s">
        <v>190</v>
      </c>
      <c r="CV1018" s="319" t="s">
        <v>190</v>
      </c>
      <c r="CW1018" s="319" t="s">
        <v>190</v>
      </c>
      <c r="CX1018" s="319" t="s">
        <v>190</v>
      </c>
      <c r="CY1018" s="319" t="s">
        <v>190</v>
      </c>
      <c r="CZ1018" s="319" t="s">
        <v>190</v>
      </c>
      <c r="DA1018" s="319" t="s">
        <v>190</v>
      </c>
      <c r="DB1018" s="319" t="s">
        <v>190</v>
      </c>
      <c r="DC1018" s="319" t="s">
        <v>190</v>
      </c>
      <c r="DD1018" s="319" t="s">
        <v>190</v>
      </c>
      <c r="DE1018" s="319" t="s">
        <v>190</v>
      </c>
      <c r="DF1018" s="319" t="s">
        <v>190</v>
      </c>
      <c r="DG1018" s="319" t="s">
        <v>190</v>
      </c>
      <c r="DH1018" s="319" t="s">
        <v>190</v>
      </c>
      <c r="DI1018" s="319" t="s">
        <v>190</v>
      </c>
      <c r="DJ1018" s="319" t="s">
        <v>190</v>
      </c>
      <c r="DK1018" s="319" t="s">
        <v>190</v>
      </c>
      <c r="DL1018" s="319" t="s">
        <v>190</v>
      </c>
      <c r="DM1018" s="319" t="s">
        <v>190</v>
      </c>
      <c r="DN1018" s="319" t="s">
        <v>428</v>
      </c>
      <c r="DO1018" s="319" t="s">
        <v>190</v>
      </c>
      <c r="DP1018" s="319" t="s">
        <v>428</v>
      </c>
      <c r="DQ1018" s="319" t="s">
        <v>428</v>
      </c>
      <c r="DR1018" s="319" t="s">
        <v>428</v>
      </c>
      <c r="DS1018" s="319" t="s">
        <v>428</v>
      </c>
      <c r="DT1018" s="319" t="s">
        <v>428</v>
      </c>
      <c r="DU1018" s="319" t="s">
        <v>428</v>
      </c>
      <c r="DV1018" s="319" t="s">
        <v>173</v>
      </c>
      <c r="DW1018" s="319" t="s">
        <v>428</v>
      </c>
      <c r="DX1018" s="319" t="s">
        <v>428</v>
      </c>
      <c r="DY1018" s="319" t="s">
        <v>428</v>
      </c>
      <c r="DZ1018" s="319" t="s">
        <v>428</v>
      </c>
      <c r="EA1018" s="319" t="s">
        <v>428</v>
      </c>
      <c r="EB1018" s="319" t="s">
        <v>428</v>
      </c>
      <c r="EC1018" s="319" t="s">
        <v>428</v>
      </c>
      <c r="ED1018" s="319" t="s">
        <v>428</v>
      </c>
      <c r="EE1018" s="319" t="s">
        <v>190</v>
      </c>
      <c r="EF1018" s="319" t="s">
        <v>190</v>
      </c>
      <c r="EG1018" s="319" t="s">
        <v>190</v>
      </c>
      <c r="EH1018" s="319" t="s">
        <v>190</v>
      </c>
      <c r="EI1018" s="319" t="s">
        <v>190</v>
      </c>
      <c r="EJ1018" s="319" t="s">
        <v>190</v>
      </c>
      <c r="EK1018" s="319" t="s">
        <v>190</v>
      </c>
      <c r="EL1018" s="319" t="s">
        <v>190</v>
      </c>
      <c r="EM1018" s="319" t="s">
        <v>190</v>
      </c>
      <c r="EN1018" s="319" t="s">
        <v>190</v>
      </c>
      <c r="EO1018" s="319" t="s">
        <v>190</v>
      </c>
      <c r="EP1018" s="319" t="s">
        <v>190</v>
      </c>
      <c r="EQ1018" s="319" t="s">
        <v>190</v>
      </c>
      <c r="ER1018" s="319" t="s">
        <v>190</v>
      </c>
      <c r="ES1018" s="319" t="s">
        <v>190</v>
      </c>
      <c r="ET1018" s="319" t="s">
        <v>190</v>
      </c>
      <c r="EU1018" s="319" t="s">
        <v>190</v>
      </c>
      <c r="EV1018" s="319" t="s">
        <v>190</v>
      </c>
      <c r="EW1018" s="319" t="s">
        <v>190</v>
      </c>
      <c r="EX1018" s="319" t="s">
        <v>190</v>
      </c>
      <c r="EY1018" s="319" t="s">
        <v>190</v>
      </c>
      <c r="EZ1018" s="319" t="s">
        <v>190</v>
      </c>
      <c r="FA1018" s="319" t="s">
        <v>190</v>
      </c>
      <c r="FB1018" s="319" t="s">
        <v>190</v>
      </c>
      <c r="FC1018" s="319" t="s">
        <v>190</v>
      </c>
      <c r="FD1018" s="319" t="s">
        <v>190</v>
      </c>
      <c r="FE1018" s="319" t="s">
        <v>190</v>
      </c>
      <c r="FF1018" s="319" t="s">
        <v>190</v>
      </c>
      <c r="FG1018" s="319" t="s">
        <v>190</v>
      </c>
      <c r="FH1018" s="319" t="s">
        <v>190</v>
      </c>
      <c r="FI1018" s="319" t="s">
        <v>190</v>
      </c>
      <c r="FJ1018" s="319" t="s">
        <v>190</v>
      </c>
      <c r="FK1018" s="319" t="s">
        <v>190</v>
      </c>
      <c r="FL1018" s="319" t="s">
        <v>190</v>
      </c>
      <c r="FM1018" s="319" t="s">
        <v>190</v>
      </c>
      <c r="FN1018" s="319" t="s">
        <v>190</v>
      </c>
      <c r="FO1018" s="319" t="s">
        <v>190</v>
      </c>
      <c r="FP1018" s="319" t="s">
        <v>190</v>
      </c>
      <c r="FQ1018" s="319" t="s">
        <v>190</v>
      </c>
      <c r="FR1018" s="319" t="s">
        <v>190</v>
      </c>
      <c r="FS1018" s="319" t="s">
        <v>190</v>
      </c>
      <c r="FT1018" s="319" t="s">
        <v>190</v>
      </c>
      <c r="FU1018" s="319" t="s">
        <v>190</v>
      </c>
      <c r="FV1018" s="319" t="s">
        <v>190</v>
      </c>
      <c r="FW1018" s="319" t="s">
        <v>190</v>
      </c>
      <c r="FX1018" s="319" t="s">
        <v>190</v>
      </c>
      <c r="FY1018" s="319" t="s">
        <v>190</v>
      </c>
      <c r="FZ1018" s="319" t="s">
        <v>190</v>
      </c>
      <c r="GA1018" s="319" t="s">
        <v>190</v>
      </c>
      <c r="GB1018" s="319" t="s">
        <v>190</v>
      </c>
      <c r="GC1018" s="319" t="s">
        <v>190</v>
      </c>
      <c r="GD1018" s="319" t="s">
        <v>190</v>
      </c>
      <c r="GE1018" s="319" t="s">
        <v>190</v>
      </c>
      <c r="GF1018" s="319" t="s">
        <v>190</v>
      </c>
      <c r="GG1018" s="319" t="s">
        <v>190</v>
      </c>
      <c r="GH1018" s="319" t="s">
        <v>190</v>
      </c>
      <c r="GI1018" s="319" t="s">
        <v>190</v>
      </c>
      <c r="GJ1018" s="319" t="s">
        <v>190</v>
      </c>
      <c r="GK1018" s="319" t="s">
        <v>428</v>
      </c>
      <c r="GL1018" s="319" t="s">
        <v>190</v>
      </c>
      <c r="GM1018" s="319" t="s">
        <v>190</v>
      </c>
      <c r="GN1018" s="319" t="s">
        <v>190</v>
      </c>
      <c r="GO1018" s="319" t="s">
        <v>190</v>
      </c>
      <c r="GP1018" s="319" t="s">
        <v>428</v>
      </c>
      <c r="GQ1018" s="319" t="s">
        <v>428</v>
      </c>
      <c r="GR1018" s="319" t="s">
        <v>190</v>
      </c>
      <c r="GS1018" s="319" t="s">
        <v>428</v>
      </c>
      <c r="GT1018" s="319" t="s">
        <v>190</v>
      </c>
      <c r="GU1018" s="319" t="s">
        <v>190</v>
      </c>
      <c r="GV1018" s="319" t="s">
        <v>190</v>
      </c>
      <c r="GW1018" s="319" t="s">
        <v>190</v>
      </c>
      <c r="GX1018" s="319" t="s">
        <v>190</v>
      </c>
      <c r="GY1018" s="319" t="s">
        <v>190</v>
      </c>
      <c r="GZ1018" s="319" t="s">
        <v>428</v>
      </c>
      <c r="HA1018" s="319" t="s">
        <v>190</v>
      </c>
      <c r="HB1018" s="319" t="s">
        <v>428</v>
      </c>
      <c r="HC1018" s="319" t="s">
        <v>190</v>
      </c>
      <c r="HD1018" s="319" t="s">
        <v>190</v>
      </c>
      <c r="HE1018" s="319" t="s">
        <v>190</v>
      </c>
      <c r="HF1018" s="319" t="s">
        <v>190</v>
      </c>
      <c r="HG1018" s="319" t="s">
        <v>190</v>
      </c>
      <c r="HH1018" s="319" t="s">
        <v>190</v>
      </c>
      <c r="HI1018" s="319" t="s">
        <v>190</v>
      </c>
      <c r="HJ1018" s="319" t="s">
        <v>190</v>
      </c>
      <c r="HK1018" s="319" t="s">
        <v>428</v>
      </c>
      <c r="HL1018" s="319" t="s">
        <v>428</v>
      </c>
      <c r="HM1018" s="319" t="s">
        <v>428</v>
      </c>
      <c r="HN1018" s="319" t="s">
        <v>428</v>
      </c>
      <c r="HO1018" s="319" t="s">
        <v>428</v>
      </c>
      <c r="HP1018" s="319" t="s">
        <v>190</v>
      </c>
      <c r="HQ1018" s="319" t="s">
        <v>190</v>
      </c>
      <c r="HR1018" s="319" t="s">
        <v>190</v>
      </c>
      <c r="HS1018" s="319" t="s">
        <v>190</v>
      </c>
      <c r="HT1018" s="319" t="s">
        <v>190</v>
      </c>
      <c r="HU1018" s="319" t="s">
        <v>190</v>
      </c>
      <c r="HV1018" s="319" t="s">
        <v>190</v>
      </c>
      <c r="HW1018" s="319" t="s">
        <v>190</v>
      </c>
      <c r="HX1018" s="319" t="s">
        <v>190</v>
      </c>
      <c r="HY1018" s="319" t="s">
        <v>190</v>
      </c>
      <c r="HZ1018" s="319" t="s">
        <v>190</v>
      </c>
      <c r="IA1018" s="319" t="s">
        <v>190</v>
      </c>
      <c r="IB1018" s="319" t="s">
        <v>190</v>
      </c>
      <c r="IC1018" s="319" t="s">
        <v>190</v>
      </c>
      <c r="ID1018" s="319" t="s">
        <v>190</v>
      </c>
      <c r="IE1018" s="319" t="s">
        <v>190</v>
      </c>
      <c r="IF1018" s="319" t="s">
        <v>191</v>
      </c>
      <c r="IG1018" s="319" t="s">
        <v>191</v>
      </c>
      <c r="IH1018" s="319" t="s">
        <v>191</v>
      </c>
      <c r="II1018" s="319" t="s">
        <v>190</v>
      </c>
      <c r="IJ1018" s="319" t="s">
        <v>173</v>
      </c>
      <c r="IK1018" s="319" t="s">
        <v>173</v>
      </c>
      <c r="IL1018" s="319" t="s">
        <v>173</v>
      </c>
      <c r="IM1018" s="319" t="s">
        <v>173</v>
      </c>
      <c r="IN1018" s="319" t="s">
        <v>173</v>
      </c>
      <c r="IO1018" s="319" t="s">
        <v>173</v>
      </c>
      <c r="IP1018" s="319" t="s">
        <v>173</v>
      </c>
      <c r="IQ1018" s="321" t="s">
        <v>173</v>
      </c>
      <c r="IR1018" s="320" t="s">
        <v>173</v>
      </c>
      <c r="IS1018" s="322" t="s">
        <v>173</v>
      </c>
      <c r="IT1018" s="319" t="s">
        <v>173</v>
      </c>
    </row>
    <row r="1019" spans="1:254" s="271" customFormat="1" x14ac:dyDescent="0.25">
      <c r="A1019" s="318" t="str">
        <f>HYPERLINK("http://www.ofsted.gov.uk/inspection-reports/find-inspection-report/provider/ELS/146338 ","Ofsted School Webpage")</f>
        <v>Ofsted School Webpage</v>
      </c>
      <c r="B1019" s="319">
        <v>146338</v>
      </c>
      <c r="C1019" s="319">
        <v>9366015</v>
      </c>
      <c r="D1019" s="319" t="s">
        <v>2544</v>
      </c>
      <c r="E1019" s="319" t="s">
        <v>168</v>
      </c>
      <c r="F1019" s="319" t="s">
        <v>81</v>
      </c>
      <c r="G1019" s="319" t="s">
        <v>81</v>
      </c>
      <c r="H1019" s="319" t="s">
        <v>81</v>
      </c>
      <c r="I1019" s="319" t="s">
        <v>78</v>
      </c>
      <c r="J1019" s="319" t="s">
        <v>424</v>
      </c>
      <c r="K1019" s="319" t="s">
        <v>514</v>
      </c>
      <c r="L1019" s="319" t="s">
        <v>514</v>
      </c>
      <c r="M1019" s="319" t="s">
        <v>699</v>
      </c>
      <c r="N1019" s="319" t="s">
        <v>3041</v>
      </c>
      <c r="O1019" s="319" t="s">
        <v>2545</v>
      </c>
      <c r="P1019" s="319" t="s">
        <v>173</v>
      </c>
      <c r="Q1019" s="319" t="s">
        <v>429</v>
      </c>
      <c r="R1019" s="320">
        <v>10100143</v>
      </c>
      <c r="S1019" s="321">
        <v>43782</v>
      </c>
      <c r="T1019" s="321">
        <v>43784</v>
      </c>
      <c r="U1019" s="321">
        <v>43804</v>
      </c>
      <c r="V1019" s="319" t="s">
        <v>435</v>
      </c>
      <c r="W1019" s="319" t="s">
        <v>2767</v>
      </c>
      <c r="X1019" s="319">
        <v>2</v>
      </c>
      <c r="Y1019" s="319">
        <v>2</v>
      </c>
      <c r="Z1019" s="319">
        <v>2</v>
      </c>
      <c r="AA1019" s="319">
        <v>1</v>
      </c>
      <c r="AB1019" s="319">
        <v>2</v>
      </c>
      <c r="AC1019" s="319" t="s">
        <v>169</v>
      </c>
      <c r="AD1019" s="319" t="s">
        <v>173</v>
      </c>
      <c r="AE1019" s="319" t="s">
        <v>173</v>
      </c>
      <c r="AF1019" s="319" t="s">
        <v>427</v>
      </c>
      <c r="AG1019" s="319" t="s">
        <v>171</v>
      </c>
      <c r="AH1019" s="319" t="s">
        <v>190</v>
      </c>
      <c r="AI1019" s="319" t="s">
        <v>190</v>
      </c>
      <c r="AJ1019" s="319" t="s">
        <v>190</v>
      </c>
      <c r="AK1019" s="319" t="s">
        <v>190</v>
      </c>
      <c r="AL1019" s="319" t="s">
        <v>190</v>
      </c>
      <c r="AM1019" s="319" t="s">
        <v>190</v>
      </c>
      <c r="AN1019" s="319" t="s">
        <v>190</v>
      </c>
      <c r="AO1019" s="319" t="s">
        <v>190</v>
      </c>
      <c r="AP1019" s="319" t="s">
        <v>190</v>
      </c>
      <c r="AQ1019" s="319" t="s">
        <v>190</v>
      </c>
      <c r="AR1019" s="319" t="s">
        <v>190</v>
      </c>
      <c r="AS1019" s="319" t="s">
        <v>190</v>
      </c>
      <c r="AT1019" s="319" t="s">
        <v>190</v>
      </c>
      <c r="AU1019" s="319" t="s">
        <v>190</v>
      </c>
      <c r="AV1019" s="319" t="s">
        <v>190</v>
      </c>
      <c r="AW1019" s="319" t="s">
        <v>190</v>
      </c>
      <c r="AX1019" s="319" t="s">
        <v>428</v>
      </c>
      <c r="AY1019" s="319" t="s">
        <v>190</v>
      </c>
      <c r="AZ1019" s="319" t="s">
        <v>190</v>
      </c>
      <c r="BA1019" s="319" t="s">
        <v>190</v>
      </c>
      <c r="BB1019" s="319" t="s">
        <v>190</v>
      </c>
      <c r="BC1019" s="319" t="s">
        <v>190</v>
      </c>
      <c r="BD1019" s="319" t="s">
        <v>190</v>
      </c>
      <c r="BE1019" s="319" t="s">
        <v>190</v>
      </c>
      <c r="BF1019" s="319" t="s">
        <v>428</v>
      </c>
      <c r="BG1019" s="319" t="s">
        <v>428</v>
      </c>
      <c r="BH1019" s="319" t="s">
        <v>190</v>
      </c>
      <c r="BI1019" s="319" t="s">
        <v>190</v>
      </c>
      <c r="BJ1019" s="319" t="s">
        <v>190</v>
      </c>
      <c r="BK1019" s="319" t="s">
        <v>190</v>
      </c>
      <c r="BL1019" s="319" t="s">
        <v>190</v>
      </c>
      <c r="BM1019" s="319" t="s">
        <v>190</v>
      </c>
      <c r="BN1019" s="319" t="s">
        <v>190</v>
      </c>
      <c r="BO1019" s="319" t="s">
        <v>190</v>
      </c>
      <c r="BP1019" s="319" t="s">
        <v>190</v>
      </c>
      <c r="BQ1019" s="319" t="s">
        <v>190</v>
      </c>
      <c r="BR1019" s="319" t="s">
        <v>190</v>
      </c>
      <c r="BS1019" s="319" t="s">
        <v>190</v>
      </c>
      <c r="BT1019" s="319" t="s">
        <v>190</v>
      </c>
      <c r="BU1019" s="319" t="s">
        <v>190</v>
      </c>
      <c r="BV1019" s="319" t="s">
        <v>190</v>
      </c>
      <c r="BW1019" s="319" t="s">
        <v>190</v>
      </c>
      <c r="BX1019" s="319" t="s">
        <v>190</v>
      </c>
      <c r="BY1019" s="319" t="s">
        <v>190</v>
      </c>
      <c r="BZ1019" s="319" t="s">
        <v>190</v>
      </c>
      <c r="CA1019" s="319" t="s">
        <v>190</v>
      </c>
      <c r="CB1019" s="319" t="s">
        <v>190</v>
      </c>
      <c r="CC1019" s="319" t="s">
        <v>190</v>
      </c>
      <c r="CD1019" s="319" t="s">
        <v>190</v>
      </c>
      <c r="CE1019" s="319" t="s">
        <v>190</v>
      </c>
      <c r="CF1019" s="319" t="s">
        <v>190</v>
      </c>
      <c r="CG1019" s="319" t="s">
        <v>190</v>
      </c>
      <c r="CH1019" s="319" t="s">
        <v>190</v>
      </c>
      <c r="CI1019" s="319" t="s">
        <v>190</v>
      </c>
      <c r="CJ1019" s="319" t="s">
        <v>190</v>
      </c>
      <c r="CK1019" s="319" t="s">
        <v>190</v>
      </c>
      <c r="CL1019" s="319" t="s">
        <v>190</v>
      </c>
      <c r="CM1019" s="319" t="s">
        <v>190</v>
      </c>
      <c r="CN1019" s="319" t="s">
        <v>428</v>
      </c>
      <c r="CO1019" s="319" t="s">
        <v>428</v>
      </c>
      <c r="CP1019" s="319" t="s">
        <v>428</v>
      </c>
      <c r="CQ1019" s="319" t="s">
        <v>190</v>
      </c>
      <c r="CR1019" s="319" t="s">
        <v>190</v>
      </c>
      <c r="CS1019" s="319" t="s">
        <v>190</v>
      </c>
      <c r="CT1019" s="319" t="s">
        <v>190</v>
      </c>
      <c r="CU1019" s="319" t="s">
        <v>190</v>
      </c>
      <c r="CV1019" s="319" t="s">
        <v>190</v>
      </c>
      <c r="CW1019" s="319" t="s">
        <v>190</v>
      </c>
      <c r="CX1019" s="319" t="s">
        <v>190</v>
      </c>
      <c r="CY1019" s="319" t="s">
        <v>190</v>
      </c>
      <c r="CZ1019" s="319" t="s">
        <v>190</v>
      </c>
      <c r="DA1019" s="319" t="s">
        <v>190</v>
      </c>
      <c r="DB1019" s="319" t="s">
        <v>190</v>
      </c>
      <c r="DC1019" s="319" t="s">
        <v>190</v>
      </c>
      <c r="DD1019" s="319" t="s">
        <v>190</v>
      </c>
      <c r="DE1019" s="319" t="s">
        <v>190</v>
      </c>
      <c r="DF1019" s="319" t="s">
        <v>190</v>
      </c>
      <c r="DG1019" s="319" t="s">
        <v>190</v>
      </c>
      <c r="DH1019" s="319" t="s">
        <v>190</v>
      </c>
      <c r="DI1019" s="319" t="s">
        <v>190</v>
      </c>
      <c r="DJ1019" s="319" t="s">
        <v>190</v>
      </c>
      <c r="DK1019" s="319" t="s">
        <v>190</v>
      </c>
      <c r="DL1019" s="319" t="s">
        <v>190</v>
      </c>
      <c r="DM1019" s="319" t="s">
        <v>190</v>
      </c>
      <c r="DN1019" s="319" t="s">
        <v>428</v>
      </c>
      <c r="DO1019" s="319" t="s">
        <v>190</v>
      </c>
      <c r="DP1019" s="319" t="s">
        <v>190</v>
      </c>
      <c r="DQ1019" s="319" t="s">
        <v>190</v>
      </c>
      <c r="DR1019" s="319" t="s">
        <v>190</v>
      </c>
      <c r="DS1019" s="319" t="s">
        <v>190</v>
      </c>
      <c r="DT1019" s="319" t="s">
        <v>190</v>
      </c>
      <c r="DU1019" s="319" t="s">
        <v>190</v>
      </c>
      <c r="DV1019" s="319" t="s">
        <v>190</v>
      </c>
      <c r="DW1019" s="319" t="s">
        <v>190</v>
      </c>
      <c r="DX1019" s="319" t="s">
        <v>190</v>
      </c>
      <c r="DY1019" s="319" t="s">
        <v>190</v>
      </c>
      <c r="DZ1019" s="319" t="s">
        <v>190</v>
      </c>
      <c r="EA1019" s="319" t="s">
        <v>190</v>
      </c>
      <c r="EB1019" s="319" t="s">
        <v>190</v>
      </c>
      <c r="EC1019" s="319" t="s">
        <v>428</v>
      </c>
      <c r="ED1019" s="319" t="s">
        <v>190</v>
      </c>
      <c r="EE1019" s="319" t="s">
        <v>428</v>
      </c>
      <c r="EF1019" s="319" t="s">
        <v>428</v>
      </c>
      <c r="EG1019" s="319" t="s">
        <v>428</v>
      </c>
      <c r="EH1019" s="319" t="s">
        <v>428</v>
      </c>
      <c r="EI1019" s="319" t="s">
        <v>428</v>
      </c>
      <c r="EJ1019" s="319" t="s">
        <v>428</v>
      </c>
      <c r="EK1019" s="319" t="s">
        <v>428</v>
      </c>
      <c r="EL1019" s="319" t="s">
        <v>428</v>
      </c>
      <c r="EM1019" s="319" t="s">
        <v>428</v>
      </c>
      <c r="EN1019" s="319" t="s">
        <v>190</v>
      </c>
      <c r="EO1019" s="319" t="s">
        <v>190</v>
      </c>
      <c r="EP1019" s="319" t="s">
        <v>190</v>
      </c>
      <c r="EQ1019" s="319" t="s">
        <v>190</v>
      </c>
      <c r="ER1019" s="319" t="s">
        <v>190</v>
      </c>
      <c r="ES1019" s="319" t="s">
        <v>190</v>
      </c>
      <c r="ET1019" s="319" t="s">
        <v>190</v>
      </c>
      <c r="EU1019" s="319" t="s">
        <v>190</v>
      </c>
      <c r="EV1019" s="319" t="s">
        <v>190</v>
      </c>
      <c r="EW1019" s="319" t="s">
        <v>190</v>
      </c>
      <c r="EX1019" s="319" t="s">
        <v>190</v>
      </c>
      <c r="EY1019" s="319" t="s">
        <v>190</v>
      </c>
      <c r="EZ1019" s="319" t="s">
        <v>190</v>
      </c>
      <c r="FA1019" s="319" t="s">
        <v>428</v>
      </c>
      <c r="FB1019" s="319" t="s">
        <v>190</v>
      </c>
      <c r="FC1019" s="319" t="s">
        <v>190</v>
      </c>
      <c r="FD1019" s="319" t="s">
        <v>190</v>
      </c>
      <c r="FE1019" s="319" t="s">
        <v>190</v>
      </c>
      <c r="FF1019" s="319" t="s">
        <v>190</v>
      </c>
      <c r="FG1019" s="319" t="s">
        <v>190</v>
      </c>
      <c r="FH1019" s="319" t="s">
        <v>428</v>
      </c>
      <c r="FI1019" s="319" t="s">
        <v>428</v>
      </c>
      <c r="FJ1019" s="319" t="s">
        <v>429</v>
      </c>
      <c r="FK1019" s="319" t="s">
        <v>428</v>
      </c>
      <c r="FL1019" s="319" t="s">
        <v>190</v>
      </c>
      <c r="FM1019" s="319" t="s">
        <v>190</v>
      </c>
      <c r="FN1019" s="319" t="s">
        <v>190</v>
      </c>
      <c r="FO1019" s="319" t="s">
        <v>190</v>
      </c>
      <c r="FP1019" s="319" t="s">
        <v>190</v>
      </c>
      <c r="FQ1019" s="319" t="s">
        <v>190</v>
      </c>
      <c r="FR1019" s="319" t="s">
        <v>190</v>
      </c>
      <c r="FS1019" s="319" t="s">
        <v>428</v>
      </c>
      <c r="FT1019" s="319" t="s">
        <v>190</v>
      </c>
      <c r="FU1019" s="319" t="s">
        <v>190</v>
      </c>
      <c r="FV1019" s="319" t="s">
        <v>190</v>
      </c>
      <c r="FW1019" s="319" t="s">
        <v>190</v>
      </c>
      <c r="FX1019" s="319" t="s">
        <v>190</v>
      </c>
      <c r="FY1019" s="319" t="s">
        <v>190</v>
      </c>
      <c r="FZ1019" s="319" t="s">
        <v>190</v>
      </c>
      <c r="GA1019" s="319" t="s">
        <v>190</v>
      </c>
      <c r="GB1019" s="319" t="s">
        <v>190</v>
      </c>
      <c r="GC1019" s="319" t="s">
        <v>190</v>
      </c>
      <c r="GD1019" s="319" t="s">
        <v>190</v>
      </c>
      <c r="GE1019" s="319" t="s">
        <v>190</v>
      </c>
      <c r="GF1019" s="319" t="s">
        <v>190</v>
      </c>
      <c r="GG1019" s="319" t="s">
        <v>190</v>
      </c>
      <c r="GH1019" s="319" t="s">
        <v>190</v>
      </c>
      <c r="GI1019" s="319" t="s">
        <v>190</v>
      </c>
      <c r="GJ1019" s="319" t="s">
        <v>190</v>
      </c>
      <c r="GK1019" s="319" t="s">
        <v>428</v>
      </c>
      <c r="GL1019" s="319" t="s">
        <v>190</v>
      </c>
      <c r="GM1019" s="319" t="s">
        <v>190</v>
      </c>
      <c r="GN1019" s="319" t="s">
        <v>190</v>
      </c>
      <c r="GO1019" s="319" t="s">
        <v>190</v>
      </c>
      <c r="GP1019" s="319" t="s">
        <v>190</v>
      </c>
      <c r="GQ1019" s="319" t="s">
        <v>428</v>
      </c>
      <c r="GR1019" s="319" t="s">
        <v>190</v>
      </c>
      <c r="GS1019" s="319" t="s">
        <v>190</v>
      </c>
      <c r="GT1019" s="319" t="s">
        <v>190</v>
      </c>
      <c r="GU1019" s="319" t="s">
        <v>190</v>
      </c>
      <c r="GV1019" s="319" t="s">
        <v>190</v>
      </c>
      <c r="GW1019" s="319" t="s">
        <v>190</v>
      </c>
      <c r="GX1019" s="319" t="s">
        <v>190</v>
      </c>
      <c r="GY1019" s="319" t="s">
        <v>190</v>
      </c>
      <c r="GZ1019" s="319" t="s">
        <v>190</v>
      </c>
      <c r="HA1019" s="319" t="s">
        <v>428</v>
      </c>
      <c r="HB1019" s="319" t="s">
        <v>428</v>
      </c>
      <c r="HC1019" s="319" t="s">
        <v>190</v>
      </c>
      <c r="HD1019" s="319" t="s">
        <v>190</v>
      </c>
      <c r="HE1019" s="319" t="s">
        <v>190</v>
      </c>
      <c r="HF1019" s="319" t="s">
        <v>190</v>
      </c>
      <c r="HG1019" s="319" t="s">
        <v>190</v>
      </c>
      <c r="HH1019" s="319" t="s">
        <v>190</v>
      </c>
      <c r="HI1019" s="319" t="s">
        <v>190</v>
      </c>
      <c r="HJ1019" s="319" t="s">
        <v>190</v>
      </c>
      <c r="HK1019" s="319" t="s">
        <v>190</v>
      </c>
      <c r="HL1019" s="319" t="s">
        <v>190</v>
      </c>
      <c r="HM1019" s="319" t="s">
        <v>190</v>
      </c>
      <c r="HN1019" s="319" t="s">
        <v>190</v>
      </c>
      <c r="HO1019" s="319" t="s">
        <v>190</v>
      </c>
      <c r="HP1019" s="319" t="s">
        <v>190</v>
      </c>
      <c r="HQ1019" s="319" t="s">
        <v>190</v>
      </c>
      <c r="HR1019" s="319" t="s">
        <v>190</v>
      </c>
      <c r="HS1019" s="319" t="s">
        <v>190</v>
      </c>
      <c r="HT1019" s="319" t="s">
        <v>190</v>
      </c>
      <c r="HU1019" s="319" t="s">
        <v>190</v>
      </c>
      <c r="HV1019" s="319" t="s">
        <v>190</v>
      </c>
      <c r="HW1019" s="319" t="s">
        <v>190</v>
      </c>
      <c r="HX1019" s="319" t="s">
        <v>190</v>
      </c>
      <c r="HY1019" s="319" t="s">
        <v>190</v>
      </c>
      <c r="HZ1019" s="319" t="s">
        <v>190</v>
      </c>
      <c r="IA1019" s="319" t="s">
        <v>190</v>
      </c>
      <c r="IB1019" s="319" t="s">
        <v>190</v>
      </c>
      <c r="IC1019" s="319" t="s">
        <v>190</v>
      </c>
      <c r="ID1019" s="319" t="s">
        <v>190</v>
      </c>
      <c r="IE1019" s="319" t="s">
        <v>190</v>
      </c>
      <c r="IF1019" s="319" t="s">
        <v>190</v>
      </c>
      <c r="IG1019" s="319" t="s">
        <v>190</v>
      </c>
      <c r="IH1019" s="319" t="s">
        <v>190</v>
      </c>
      <c r="II1019" s="319" t="s">
        <v>190</v>
      </c>
      <c r="IJ1019" s="319" t="s">
        <v>173</v>
      </c>
      <c r="IK1019" s="319" t="s">
        <v>173</v>
      </c>
      <c r="IL1019" s="319" t="s">
        <v>173</v>
      </c>
      <c r="IM1019" s="319" t="s">
        <v>173</v>
      </c>
      <c r="IN1019" s="319" t="s">
        <v>173</v>
      </c>
      <c r="IO1019" s="319" t="s">
        <v>173</v>
      </c>
      <c r="IP1019" s="319" t="s">
        <v>173</v>
      </c>
      <c r="IQ1019" s="319" t="s">
        <v>173</v>
      </c>
      <c r="IR1019" s="320" t="s">
        <v>173</v>
      </c>
      <c r="IS1019" s="320" t="s">
        <v>173</v>
      </c>
      <c r="IT1019" s="319" t="s">
        <v>173</v>
      </c>
    </row>
    <row r="1020" spans="1:254" s="271" customFormat="1" x14ac:dyDescent="0.25">
      <c r="A1020" s="318" t="str">
        <f>HYPERLINK("http://www.ofsted.gov.uk/inspection-reports/find-inspection-report/provider/ELS/146339 ","Ofsted School Webpage")</f>
        <v>Ofsted School Webpage</v>
      </c>
      <c r="B1020" s="319">
        <v>146339</v>
      </c>
      <c r="C1020" s="319">
        <v>3836006</v>
      </c>
      <c r="D1020" s="319" t="s">
        <v>2546</v>
      </c>
      <c r="E1020" s="319" t="s">
        <v>167</v>
      </c>
      <c r="F1020" s="319" t="s">
        <v>81</v>
      </c>
      <c r="G1020" s="319" t="s">
        <v>81</v>
      </c>
      <c r="H1020" s="319" t="s">
        <v>81</v>
      </c>
      <c r="I1020" s="319" t="s">
        <v>78</v>
      </c>
      <c r="J1020" s="319" t="s">
        <v>424</v>
      </c>
      <c r="K1020" s="319" t="s">
        <v>458</v>
      </c>
      <c r="L1020" s="319" t="s">
        <v>459</v>
      </c>
      <c r="M1020" s="319" t="s">
        <v>622</v>
      </c>
      <c r="N1020" s="319" t="s">
        <v>3484</v>
      </c>
      <c r="O1020" s="319" t="s">
        <v>2547</v>
      </c>
      <c r="P1020" s="319">
        <v>23</v>
      </c>
      <c r="Q1020" s="319" t="s">
        <v>2766</v>
      </c>
      <c r="R1020" s="320">
        <v>10093660</v>
      </c>
      <c r="S1020" s="321">
        <v>43641</v>
      </c>
      <c r="T1020" s="321">
        <v>43643</v>
      </c>
      <c r="U1020" s="321">
        <v>43667</v>
      </c>
      <c r="V1020" s="319" t="s">
        <v>435</v>
      </c>
      <c r="W1020" s="319" t="s">
        <v>2767</v>
      </c>
      <c r="X1020" s="319">
        <v>2</v>
      </c>
      <c r="Y1020" s="319" t="s">
        <v>173</v>
      </c>
      <c r="Z1020" s="319" t="s">
        <v>173</v>
      </c>
      <c r="AA1020" s="319" t="s">
        <v>173</v>
      </c>
      <c r="AB1020" s="319">
        <v>2</v>
      </c>
      <c r="AC1020" s="319" t="s">
        <v>169</v>
      </c>
      <c r="AD1020" s="319" t="s">
        <v>173</v>
      </c>
      <c r="AE1020" s="319" t="s">
        <v>173</v>
      </c>
      <c r="AF1020" s="319" t="s">
        <v>427</v>
      </c>
      <c r="AG1020" s="319" t="s">
        <v>171</v>
      </c>
      <c r="AH1020" s="319" t="s">
        <v>190</v>
      </c>
      <c r="AI1020" s="319" t="s">
        <v>190</v>
      </c>
      <c r="AJ1020" s="319" t="s">
        <v>190</v>
      </c>
      <c r="AK1020" s="319" t="s">
        <v>190</v>
      </c>
      <c r="AL1020" s="319" t="s">
        <v>190</v>
      </c>
      <c r="AM1020" s="319" t="s">
        <v>190</v>
      </c>
      <c r="AN1020" s="319" t="s">
        <v>190</v>
      </c>
      <c r="AO1020" s="319" t="s">
        <v>190</v>
      </c>
      <c r="AP1020" s="319" t="s">
        <v>190</v>
      </c>
      <c r="AQ1020" s="319" t="s">
        <v>190</v>
      </c>
      <c r="AR1020" s="319" t="s">
        <v>190</v>
      </c>
      <c r="AS1020" s="319" t="s">
        <v>190</v>
      </c>
      <c r="AT1020" s="319" t="s">
        <v>190</v>
      </c>
      <c r="AU1020" s="319" t="s">
        <v>190</v>
      </c>
      <c r="AV1020" s="319" t="s">
        <v>190</v>
      </c>
      <c r="AW1020" s="319" t="s">
        <v>190</v>
      </c>
      <c r="AX1020" s="319" t="s">
        <v>428</v>
      </c>
      <c r="AY1020" s="319" t="s">
        <v>190</v>
      </c>
      <c r="AZ1020" s="319" t="s">
        <v>190</v>
      </c>
      <c r="BA1020" s="319" t="s">
        <v>190</v>
      </c>
      <c r="BB1020" s="319" t="s">
        <v>190</v>
      </c>
      <c r="BC1020" s="319" t="s">
        <v>190</v>
      </c>
      <c r="BD1020" s="319" t="s">
        <v>190</v>
      </c>
      <c r="BE1020" s="319" t="s">
        <v>190</v>
      </c>
      <c r="BF1020" s="319" t="s">
        <v>428</v>
      </c>
      <c r="BG1020" s="319" t="s">
        <v>428</v>
      </c>
      <c r="BH1020" s="319" t="s">
        <v>190</v>
      </c>
      <c r="BI1020" s="319" t="s">
        <v>190</v>
      </c>
      <c r="BJ1020" s="319" t="s">
        <v>190</v>
      </c>
      <c r="BK1020" s="319" t="s">
        <v>190</v>
      </c>
      <c r="BL1020" s="319" t="s">
        <v>190</v>
      </c>
      <c r="BM1020" s="319" t="s">
        <v>190</v>
      </c>
      <c r="BN1020" s="319" t="s">
        <v>190</v>
      </c>
      <c r="BO1020" s="319" t="s">
        <v>190</v>
      </c>
      <c r="BP1020" s="319" t="s">
        <v>190</v>
      </c>
      <c r="BQ1020" s="319" t="s">
        <v>190</v>
      </c>
      <c r="BR1020" s="319" t="s">
        <v>190</v>
      </c>
      <c r="BS1020" s="319" t="s">
        <v>190</v>
      </c>
      <c r="BT1020" s="319" t="s">
        <v>190</v>
      </c>
      <c r="BU1020" s="319" t="s">
        <v>190</v>
      </c>
      <c r="BV1020" s="319" t="s">
        <v>190</v>
      </c>
      <c r="BW1020" s="319" t="s">
        <v>190</v>
      </c>
      <c r="BX1020" s="319" t="s">
        <v>190</v>
      </c>
      <c r="BY1020" s="319" t="s">
        <v>190</v>
      </c>
      <c r="BZ1020" s="319" t="s">
        <v>190</v>
      </c>
      <c r="CA1020" s="319" t="s">
        <v>190</v>
      </c>
      <c r="CB1020" s="319" t="s">
        <v>190</v>
      </c>
      <c r="CC1020" s="319" t="s">
        <v>190</v>
      </c>
      <c r="CD1020" s="319" t="s">
        <v>190</v>
      </c>
      <c r="CE1020" s="319" t="s">
        <v>190</v>
      </c>
      <c r="CF1020" s="319" t="s">
        <v>190</v>
      </c>
      <c r="CG1020" s="319" t="s">
        <v>190</v>
      </c>
      <c r="CH1020" s="319" t="s">
        <v>190</v>
      </c>
      <c r="CI1020" s="319" t="s">
        <v>190</v>
      </c>
      <c r="CJ1020" s="319" t="s">
        <v>190</v>
      </c>
      <c r="CK1020" s="319" t="s">
        <v>190</v>
      </c>
      <c r="CL1020" s="319" t="s">
        <v>190</v>
      </c>
      <c r="CM1020" s="319" t="s">
        <v>190</v>
      </c>
      <c r="CN1020" s="319" t="s">
        <v>428</v>
      </c>
      <c r="CO1020" s="319" t="s">
        <v>428</v>
      </c>
      <c r="CP1020" s="319" t="s">
        <v>428</v>
      </c>
      <c r="CQ1020" s="319" t="s">
        <v>190</v>
      </c>
      <c r="CR1020" s="319" t="s">
        <v>190</v>
      </c>
      <c r="CS1020" s="319" t="s">
        <v>190</v>
      </c>
      <c r="CT1020" s="319" t="s">
        <v>190</v>
      </c>
      <c r="CU1020" s="319" t="s">
        <v>190</v>
      </c>
      <c r="CV1020" s="319" t="s">
        <v>190</v>
      </c>
      <c r="CW1020" s="319" t="s">
        <v>190</v>
      </c>
      <c r="CX1020" s="319" t="s">
        <v>190</v>
      </c>
      <c r="CY1020" s="319" t="s">
        <v>190</v>
      </c>
      <c r="CZ1020" s="319" t="s">
        <v>190</v>
      </c>
      <c r="DA1020" s="319" t="s">
        <v>190</v>
      </c>
      <c r="DB1020" s="319" t="s">
        <v>190</v>
      </c>
      <c r="DC1020" s="319" t="s">
        <v>190</v>
      </c>
      <c r="DD1020" s="319" t="s">
        <v>190</v>
      </c>
      <c r="DE1020" s="319" t="s">
        <v>190</v>
      </c>
      <c r="DF1020" s="319" t="s">
        <v>190</v>
      </c>
      <c r="DG1020" s="319" t="s">
        <v>190</v>
      </c>
      <c r="DH1020" s="319" t="s">
        <v>190</v>
      </c>
      <c r="DI1020" s="319" t="s">
        <v>190</v>
      </c>
      <c r="DJ1020" s="319" t="s">
        <v>190</v>
      </c>
      <c r="DK1020" s="319" t="s">
        <v>190</v>
      </c>
      <c r="DL1020" s="319" t="s">
        <v>190</v>
      </c>
      <c r="DM1020" s="319" t="s">
        <v>428</v>
      </c>
      <c r="DN1020" s="319" t="s">
        <v>428</v>
      </c>
      <c r="DO1020" s="319" t="s">
        <v>190</v>
      </c>
      <c r="DP1020" s="319" t="s">
        <v>428</v>
      </c>
      <c r="DQ1020" s="319" t="s">
        <v>428</v>
      </c>
      <c r="DR1020" s="319" t="s">
        <v>428</v>
      </c>
      <c r="DS1020" s="319" t="s">
        <v>428</v>
      </c>
      <c r="DT1020" s="319" t="s">
        <v>428</v>
      </c>
      <c r="DU1020" s="319" t="s">
        <v>428</v>
      </c>
      <c r="DV1020" s="319" t="s">
        <v>173</v>
      </c>
      <c r="DW1020" s="319" t="s">
        <v>428</v>
      </c>
      <c r="DX1020" s="319" t="s">
        <v>428</v>
      </c>
      <c r="DY1020" s="319" t="s">
        <v>428</v>
      </c>
      <c r="DZ1020" s="319" t="s">
        <v>428</v>
      </c>
      <c r="EA1020" s="319" t="s">
        <v>428</v>
      </c>
      <c r="EB1020" s="319" t="s">
        <v>428</v>
      </c>
      <c r="EC1020" s="319" t="s">
        <v>428</v>
      </c>
      <c r="ED1020" s="319" t="s">
        <v>428</v>
      </c>
      <c r="EE1020" s="319" t="s">
        <v>190</v>
      </c>
      <c r="EF1020" s="319" t="s">
        <v>190</v>
      </c>
      <c r="EG1020" s="319" t="s">
        <v>190</v>
      </c>
      <c r="EH1020" s="319" t="s">
        <v>190</v>
      </c>
      <c r="EI1020" s="319" t="s">
        <v>190</v>
      </c>
      <c r="EJ1020" s="319" t="s">
        <v>190</v>
      </c>
      <c r="EK1020" s="319" t="s">
        <v>190</v>
      </c>
      <c r="EL1020" s="319" t="s">
        <v>428</v>
      </c>
      <c r="EM1020" s="319" t="s">
        <v>190</v>
      </c>
      <c r="EN1020" s="319" t="s">
        <v>190</v>
      </c>
      <c r="EO1020" s="319" t="s">
        <v>190</v>
      </c>
      <c r="EP1020" s="319" t="s">
        <v>190</v>
      </c>
      <c r="EQ1020" s="319" t="s">
        <v>190</v>
      </c>
      <c r="ER1020" s="319" t="s">
        <v>190</v>
      </c>
      <c r="ES1020" s="319" t="s">
        <v>190</v>
      </c>
      <c r="ET1020" s="319" t="s">
        <v>190</v>
      </c>
      <c r="EU1020" s="319" t="s">
        <v>190</v>
      </c>
      <c r="EV1020" s="319" t="s">
        <v>190</v>
      </c>
      <c r="EW1020" s="319" t="s">
        <v>190</v>
      </c>
      <c r="EX1020" s="319" t="s">
        <v>190</v>
      </c>
      <c r="EY1020" s="319" t="s">
        <v>190</v>
      </c>
      <c r="EZ1020" s="319" t="s">
        <v>190</v>
      </c>
      <c r="FA1020" s="319" t="s">
        <v>428</v>
      </c>
      <c r="FB1020" s="319" t="s">
        <v>428</v>
      </c>
      <c r="FC1020" s="319" t="s">
        <v>428</v>
      </c>
      <c r="FD1020" s="319" t="s">
        <v>428</v>
      </c>
      <c r="FE1020" s="319" t="s">
        <v>428</v>
      </c>
      <c r="FF1020" s="319" t="s">
        <v>428</v>
      </c>
      <c r="FG1020" s="319" t="s">
        <v>428</v>
      </c>
      <c r="FH1020" s="319" t="s">
        <v>190</v>
      </c>
      <c r="FI1020" s="319" t="s">
        <v>428</v>
      </c>
      <c r="FJ1020" s="319" t="s">
        <v>429</v>
      </c>
      <c r="FK1020" s="319" t="s">
        <v>428</v>
      </c>
      <c r="FL1020" s="319" t="s">
        <v>190</v>
      </c>
      <c r="FM1020" s="319" t="s">
        <v>190</v>
      </c>
      <c r="FN1020" s="319" t="s">
        <v>190</v>
      </c>
      <c r="FO1020" s="319" t="s">
        <v>190</v>
      </c>
      <c r="FP1020" s="319" t="s">
        <v>190</v>
      </c>
      <c r="FQ1020" s="319" t="s">
        <v>190</v>
      </c>
      <c r="FR1020" s="319" t="s">
        <v>190</v>
      </c>
      <c r="FS1020" s="319" t="s">
        <v>428</v>
      </c>
      <c r="FT1020" s="319" t="s">
        <v>190</v>
      </c>
      <c r="FU1020" s="319" t="s">
        <v>190</v>
      </c>
      <c r="FV1020" s="319" t="s">
        <v>190</v>
      </c>
      <c r="FW1020" s="319" t="s">
        <v>190</v>
      </c>
      <c r="FX1020" s="319" t="s">
        <v>190</v>
      </c>
      <c r="FY1020" s="319" t="s">
        <v>190</v>
      </c>
      <c r="FZ1020" s="319" t="s">
        <v>190</v>
      </c>
      <c r="GA1020" s="319" t="s">
        <v>190</v>
      </c>
      <c r="GB1020" s="319" t="s">
        <v>190</v>
      </c>
      <c r="GC1020" s="319" t="s">
        <v>190</v>
      </c>
      <c r="GD1020" s="319" t="s">
        <v>190</v>
      </c>
      <c r="GE1020" s="319" t="s">
        <v>190</v>
      </c>
      <c r="GF1020" s="319" t="s">
        <v>190</v>
      </c>
      <c r="GG1020" s="319" t="s">
        <v>190</v>
      </c>
      <c r="GH1020" s="319" t="s">
        <v>190</v>
      </c>
      <c r="GI1020" s="319" t="s">
        <v>190</v>
      </c>
      <c r="GJ1020" s="319" t="s">
        <v>190</v>
      </c>
      <c r="GK1020" s="319" t="s">
        <v>428</v>
      </c>
      <c r="GL1020" s="319" t="s">
        <v>190</v>
      </c>
      <c r="GM1020" s="319" t="s">
        <v>190</v>
      </c>
      <c r="GN1020" s="319" t="s">
        <v>190</v>
      </c>
      <c r="GO1020" s="319" t="s">
        <v>190</v>
      </c>
      <c r="GP1020" s="319" t="s">
        <v>190</v>
      </c>
      <c r="GQ1020" s="319" t="s">
        <v>428</v>
      </c>
      <c r="GR1020" s="319" t="s">
        <v>190</v>
      </c>
      <c r="GS1020" s="319" t="s">
        <v>190</v>
      </c>
      <c r="GT1020" s="319" t="s">
        <v>428</v>
      </c>
      <c r="GU1020" s="319" t="s">
        <v>190</v>
      </c>
      <c r="GV1020" s="319" t="s">
        <v>190</v>
      </c>
      <c r="GW1020" s="319" t="s">
        <v>190</v>
      </c>
      <c r="GX1020" s="319" t="s">
        <v>190</v>
      </c>
      <c r="GY1020" s="319" t="s">
        <v>190</v>
      </c>
      <c r="GZ1020" s="319" t="s">
        <v>428</v>
      </c>
      <c r="HA1020" s="319" t="s">
        <v>190</v>
      </c>
      <c r="HB1020" s="319" t="s">
        <v>190</v>
      </c>
      <c r="HC1020" s="319" t="s">
        <v>190</v>
      </c>
      <c r="HD1020" s="319" t="s">
        <v>190</v>
      </c>
      <c r="HE1020" s="319" t="s">
        <v>190</v>
      </c>
      <c r="HF1020" s="319" t="s">
        <v>190</v>
      </c>
      <c r="HG1020" s="319" t="s">
        <v>190</v>
      </c>
      <c r="HH1020" s="319" t="s">
        <v>190</v>
      </c>
      <c r="HI1020" s="319" t="s">
        <v>190</v>
      </c>
      <c r="HJ1020" s="319" t="s">
        <v>190</v>
      </c>
      <c r="HK1020" s="319" t="s">
        <v>190</v>
      </c>
      <c r="HL1020" s="319" t="s">
        <v>428</v>
      </c>
      <c r="HM1020" s="319" t="s">
        <v>428</v>
      </c>
      <c r="HN1020" s="319" t="s">
        <v>428</v>
      </c>
      <c r="HO1020" s="319" t="s">
        <v>428</v>
      </c>
      <c r="HP1020" s="319" t="s">
        <v>190</v>
      </c>
      <c r="HQ1020" s="319" t="s">
        <v>190</v>
      </c>
      <c r="HR1020" s="319" t="s">
        <v>190</v>
      </c>
      <c r="HS1020" s="319" t="s">
        <v>190</v>
      </c>
      <c r="HT1020" s="319" t="s">
        <v>190</v>
      </c>
      <c r="HU1020" s="319" t="s">
        <v>190</v>
      </c>
      <c r="HV1020" s="319" t="s">
        <v>190</v>
      </c>
      <c r="HW1020" s="319" t="s">
        <v>190</v>
      </c>
      <c r="HX1020" s="319" t="s">
        <v>190</v>
      </c>
      <c r="HY1020" s="319" t="s">
        <v>190</v>
      </c>
      <c r="HZ1020" s="319" t="s">
        <v>190</v>
      </c>
      <c r="IA1020" s="319" t="s">
        <v>190</v>
      </c>
      <c r="IB1020" s="319" t="s">
        <v>190</v>
      </c>
      <c r="IC1020" s="319" t="s">
        <v>190</v>
      </c>
      <c r="ID1020" s="319" t="s">
        <v>190</v>
      </c>
      <c r="IE1020" s="319" t="s">
        <v>190</v>
      </c>
      <c r="IF1020" s="319" t="s">
        <v>190</v>
      </c>
      <c r="IG1020" s="319" t="s">
        <v>190</v>
      </c>
      <c r="IH1020" s="319" t="s">
        <v>190</v>
      </c>
      <c r="II1020" s="319" t="s">
        <v>190</v>
      </c>
      <c r="IJ1020" s="319" t="s">
        <v>173</v>
      </c>
      <c r="IK1020" s="319" t="s">
        <v>173</v>
      </c>
      <c r="IL1020" s="319" t="s">
        <v>173</v>
      </c>
      <c r="IM1020" s="319" t="s">
        <v>173</v>
      </c>
      <c r="IN1020" s="319" t="s">
        <v>173</v>
      </c>
      <c r="IO1020" s="319" t="s">
        <v>173</v>
      </c>
      <c r="IP1020" s="319" t="s">
        <v>173</v>
      </c>
      <c r="IQ1020" s="319" t="s">
        <v>173</v>
      </c>
      <c r="IR1020" s="320" t="s">
        <v>173</v>
      </c>
      <c r="IS1020" s="320" t="s">
        <v>173</v>
      </c>
      <c r="IT1020" s="319" t="s">
        <v>173</v>
      </c>
    </row>
    <row r="1021" spans="1:254" s="271" customFormat="1" x14ac:dyDescent="0.25">
      <c r="A1021" s="318" t="str">
        <f>HYPERLINK("http://www.ofsted.gov.uk/inspection-reports/find-inspection-report/provider/ELS/146340 ","Ofsted School Webpage")</f>
        <v>Ofsted School Webpage</v>
      </c>
      <c r="B1021" s="319">
        <v>146340</v>
      </c>
      <c r="C1021" s="319">
        <v>8936036</v>
      </c>
      <c r="D1021" s="319" t="s">
        <v>2548</v>
      </c>
      <c r="E1021" s="319" t="s">
        <v>168</v>
      </c>
      <c r="F1021" s="319" t="s">
        <v>81</v>
      </c>
      <c r="G1021" s="319" t="s">
        <v>81</v>
      </c>
      <c r="H1021" s="319" t="s">
        <v>81</v>
      </c>
      <c r="I1021" s="319" t="s">
        <v>78</v>
      </c>
      <c r="J1021" s="319" t="s">
        <v>424</v>
      </c>
      <c r="K1021" s="319" t="s">
        <v>437</v>
      </c>
      <c r="L1021" s="319" t="s">
        <v>437</v>
      </c>
      <c r="M1021" s="319" t="s">
        <v>587</v>
      </c>
      <c r="N1021" s="319" t="s">
        <v>3297</v>
      </c>
      <c r="O1021" s="319" t="s">
        <v>2549</v>
      </c>
      <c r="P1021" s="319" t="s">
        <v>173</v>
      </c>
      <c r="Q1021" s="319" t="s">
        <v>429</v>
      </c>
      <c r="R1021" s="320">
        <v>10100047</v>
      </c>
      <c r="S1021" s="321">
        <v>43753</v>
      </c>
      <c r="T1021" s="321">
        <v>43755</v>
      </c>
      <c r="U1021" s="321">
        <v>43790</v>
      </c>
      <c r="V1021" s="319" t="s">
        <v>3688</v>
      </c>
      <c r="W1021" s="319" t="s">
        <v>2767</v>
      </c>
      <c r="X1021" s="319">
        <v>2</v>
      </c>
      <c r="Y1021" s="319">
        <v>2</v>
      </c>
      <c r="Z1021" s="319">
        <v>2</v>
      </c>
      <c r="AA1021" s="319">
        <v>2</v>
      </c>
      <c r="AB1021" s="319">
        <v>2</v>
      </c>
      <c r="AC1021" s="319" t="s">
        <v>169</v>
      </c>
      <c r="AD1021" s="319" t="s">
        <v>173</v>
      </c>
      <c r="AE1021" s="319" t="s">
        <v>173</v>
      </c>
      <c r="AF1021" s="319" t="s">
        <v>427</v>
      </c>
      <c r="AG1021" s="319" t="s">
        <v>171</v>
      </c>
      <c r="AH1021" s="319" t="s">
        <v>190</v>
      </c>
      <c r="AI1021" s="319" t="s">
        <v>190</v>
      </c>
      <c r="AJ1021" s="319" t="s">
        <v>190</v>
      </c>
      <c r="AK1021" s="319" t="s">
        <v>190</v>
      </c>
      <c r="AL1021" s="319" t="s">
        <v>190</v>
      </c>
      <c r="AM1021" s="319" t="s">
        <v>190</v>
      </c>
      <c r="AN1021" s="319" t="s">
        <v>190</v>
      </c>
      <c r="AO1021" s="319" t="s">
        <v>190</v>
      </c>
      <c r="AP1021" s="319" t="s">
        <v>190</v>
      </c>
      <c r="AQ1021" s="319" t="s">
        <v>190</v>
      </c>
      <c r="AR1021" s="319" t="s">
        <v>190</v>
      </c>
      <c r="AS1021" s="319" t="s">
        <v>190</v>
      </c>
      <c r="AT1021" s="319" t="s">
        <v>190</v>
      </c>
      <c r="AU1021" s="319" t="s">
        <v>190</v>
      </c>
      <c r="AV1021" s="319" t="s">
        <v>190</v>
      </c>
      <c r="AW1021" s="319" t="s">
        <v>190</v>
      </c>
      <c r="AX1021" s="319" t="s">
        <v>428</v>
      </c>
      <c r="AY1021" s="319" t="s">
        <v>190</v>
      </c>
      <c r="AZ1021" s="319" t="s">
        <v>190</v>
      </c>
      <c r="BA1021" s="319" t="s">
        <v>190</v>
      </c>
      <c r="BB1021" s="319" t="s">
        <v>190</v>
      </c>
      <c r="BC1021" s="319" t="s">
        <v>190</v>
      </c>
      <c r="BD1021" s="319" t="s">
        <v>190</v>
      </c>
      <c r="BE1021" s="319" t="s">
        <v>190</v>
      </c>
      <c r="BF1021" s="319" t="s">
        <v>428</v>
      </c>
      <c r="BG1021" s="319" t="s">
        <v>190</v>
      </c>
      <c r="BH1021" s="319" t="s">
        <v>190</v>
      </c>
      <c r="BI1021" s="319" t="s">
        <v>190</v>
      </c>
      <c r="BJ1021" s="319" t="s">
        <v>190</v>
      </c>
      <c r="BK1021" s="319" t="s">
        <v>190</v>
      </c>
      <c r="BL1021" s="319" t="s">
        <v>190</v>
      </c>
      <c r="BM1021" s="319" t="s">
        <v>190</v>
      </c>
      <c r="BN1021" s="319" t="s">
        <v>190</v>
      </c>
      <c r="BO1021" s="319" t="s">
        <v>190</v>
      </c>
      <c r="BP1021" s="319" t="s">
        <v>190</v>
      </c>
      <c r="BQ1021" s="319" t="s">
        <v>190</v>
      </c>
      <c r="BR1021" s="319" t="s">
        <v>190</v>
      </c>
      <c r="BS1021" s="319" t="s">
        <v>190</v>
      </c>
      <c r="BT1021" s="319" t="s">
        <v>190</v>
      </c>
      <c r="BU1021" s="319" t="s">
        <v>190</v>
      </c>
      <c r="BV1021" s="319" t="s">
        <v>190</v>
      </c>
      <c r="BW1021" s="319" t="s">
        <v>190</v>
      </c>
      <c r="BX1021" s="319" t="s">
        <v>190</v>
      </c>
      <c r="BY1021" s="319" t="s">
        <v>190</v>
      </c>
      <c r="BZ1021" s="319" t="s">
        <v>190</v>
      </c>
      <c r="CA1021" s="319" t="s">
        <v>190</v>
      </c>
      <c r="CB1021" s="319" t="s">
        <v>190</v>
      </c>
      <c r="CC1021" s="319" t="s">
        <v>190</v>
      </c>
      <c r="CD1021" s="319" t="s">
        <v>190</v>
      </c>
      <c r="CE1021" s="319" t="s">
        <v>190</v>
      </c>
      <c r="CF1021" s="319" t="s">
        <v>190</v>
      </c>
      <c r="CG1021" s="319" t="s">
        <v>190</v>
      </c>
      <c r="CH1021" s="319" t="s">
        <v>190</v>
      </c>
      <c r="CI1021" s="319" t="s">
        <v>190</v>
      </c>
      <c r="CJ1021" s="319" t="s">
        <v>190</v>
      </c>
      <c r="CK1021" s="319" t="s">
        <v>190</v>
      </c>
      <c r="CL1021" s="319" t="s">
        <v>190</v>
      </c>
      <c r="CM1021" s="319" t="s">
        <v>190</v>
      </c>
      <c r="CN1021" s="319" t="s">
        <v>428</v>
      </c>
      <c r="CO1021" s="319" t="s">
        <v>428</v>
      </c>
      <c r="CP1021" s="319" t="s">
        <v>428</v>
      </c>
      <c r="CQ1021" s="319" t="s">
        <v>190</v>
      </c>
      <c r="CR1021" s="319" t="s">
        <v>190</v>
      </c>
      <c r="CS1021" s="319" t="s">
        <v>190</v>
      </c>
      <c r="CT1021" s="319" t="s">
        <v>190</v>
      </c>
      <c r="CU1021" s="319" t="s">
        <v>190</v>
      </c>
      <c r="CV1021" s="319" t="s">
        <v>190</v>
      </c>
      <c r="CW1021" s="319" t="s">
        <v>190</v>
      </c>
      <c r="CX1021" s="319" t="s">
        <v>190</v>
      </c>
      <c r="CY1021" s="319" t="s">
        <v>190</v>
      </c>
      <c r="CZ1021" s="319" t="s">
        <v>190</v>
      </c>
      <c r="DA1021" s="319" t="s">
        <v>190</v>
      </c>
      <c r="DB1021" s="319" t="s">
        <v>190</v>
      </c>
      <c r="DC1021" s="319" t="s">
        <v>190</v>
      </c>
      <c r="DD1021" s="319" t="s">
        <v>190</v>
      </c>
      <c r="DE1021" s="319" t="s">
        <v>190</v>
      </c>
      <c r="DF1021" s="319" t="s">
        <v>190</v>
      </c>
      <c r="DG1021" s="319" t="s">
        <v>190</v>
      </c>
      <c r="DH1021" s="319" t="s">
        <v>190</v>
      </c>
      <c r="DI1021" s="319" t="s">
        <v>190</v>
      </c>
      <c r="DJ1021" s="319" t="s">
        <v>190</v>
      </c>
      <c r="DK1021" s="319" t="s">
        <v>190</v>
      </c>
      <c r="DL1021" s="319" t="s">
        <v>190</v>
      </c>
      <c r="DM1021" s="319" t="s">
        <v>190</v>
      </c>
      <c r="DN1021" s="319" t="s">
        <v>428</v>
      </c>
      <c r="DO1021" s="319" t="s">
        <v>190</v>
      </c>
      <c r="DP1021" s="319" t="s">
        <v>190</v>
      </c>
      <c r="DQ1021" s="319" t="s">
        <v>190</v>
      </c>
      <c r="DR1021" s="319" t="s">
        <v>190</v>
      </c>
      <c r="DS1021" s="319" t="s">
        <v>190</v>
      </c>
      <c r="DT1021" s="319" t="s">
        <v>190</v>
      </c>
      <c r="DU1021" s="319" t="s">
        <v>190</v>
      </c>
      <c r="DV1021" s="319" t="s">
        <v>190</v>
      </c>
      <c r="DW1021" s="319" t="s">
        <v>190</v>
      </c>
      <c r="DX1021" s="319" t="s">
        <v>190</v>
      </c>
      <c r="DY1021" s="319" t="s">
        <v>190</v>
      </c>
      <c r="DZ1021" s="319" t="s">
        <v>190</v>
      </c>
      <c r="EA1021" s="319" t="s">
        <v>190</v>
      </c>
      <c r="EB1021" s="319" t="s">
        <v>190</v>
      </c>
      <c r="EC1021" s="319" t="s">
        <v>428</v>
      </c>
      <c r="ED1021" s="319" t="s">
        <v>190</v>
      </c>
      <c r="EE1021" s="319" t="s">
        <v>190</v>
      </c>
      <c r="EF1021" s="319" t="s">
        <v>190</v>
      </c>
      <c r="EG1021" s="319" t="s">
        <v>190</v>
      </c>
      <c r="EH1021" s="319" t="s">
        <v>190</v>
      </c>
      <c r="EI1021" s="319" t="s">
        <v>190</v>
      </c>
      <c r="EJ1021" s="319" t="s">
        <v>190</v>
      </c>
      <c r="EK1021" s="319" t="s">
        <v>190</v>
      </c>
      <c r="EL1021" s="319" t="s">
        <v>190</v>
      </c>
      <c r="EM1021" s="319" t="s">
        <v>190</v>
      </c>
      <c r="EN1021" s="319" t="s">
        <v>190</v>
      </c>
      <c r="EO1021" s="319" t="s">
        <v>190</v>
      </c>
      <c r="EP1021" s="319" t="s">
        <v>190</v>
      </c>
      <c r="EQ1021" s="319" t="s">
        <v>190</v>
      </c>
      <c r="ER1021" s="319" t="s">
        <v>190</v>
      </c>
      <c r="ES1021" s="319" t="s">
        <v>190</v>
      </c>
      <c r="ET1021" s="319" t="s">
        <v>190</v>
      </c>
      <c r="EU1021" s="319" t="s">
        <v>190</v>
      </c>
      <c r="EV1021" s="319" t="s">
        <v>190</v>
      </c>
      <c r="EW1021" s="319" t="s">
        <v>190</v>
      </c>
      <c r="EX1021" s="319" t="s">
        <v>190</v>
      </c>
      <c r="EY1021" s="319" t="s">
        <v>190</v>
      </c>
      <c r="EZ1021" s="319" t="s">
        <v>190</v>
      </c>
      <c r="FA1021" s="319" t="s">
        <v>428</v>
      </c>
      <c r="FB1021" s="319" t="s">
        <v>190</v>
      </c>
      <c r="FC1021" s="319" t="s">
        <v>190</v>
      </c>
      <c r="FD1021" s="319" t="s">
        <v>190</v>
      </c>
      <c r="FE1021" s="319" t="s">
        <v>190</v>
      </c>
      <c r="FF1021" s="319" t="s">
        <v>190</v>
      </c>
      <c r="FG1021" s="319" t="s">
        <v>190</v>
      </c>
      <c r="FH1021" s="319" t="s">
        <v>190</v>
      </c>
      <c r="FI1021" s="319" t="s">
        <v>428</v>
      </c>
      <c r="FJ1021" s="319" t="s">
        <v>429</v>
      </c>
      <c r="FK1021" s="319" t="s">
        <v>428</v>
      </c>
      <c r="FL1021" s="319" t="s">
        <v>190</v>
      </c>
      <c r="FM1021" s="319" t="s">
        <v>190</v>
      </c>
      <c r="FN1021" s="319" t="s">
        <v>190</v>
      </c>
      <c r="FO1021" s="319" t="s">
        <v>190</v>
      </c>
      <c r="FP1021" s="319" t="s">
        <v>190</v>
      </c>
      <c r="FQ1021" s="319" t="s">
        <v>190</v>
      </c>
      <c r="FR1021" s="319" t="s">
        <v>190</v>
      </c>
      <c r="FS1021" s="319" t="s">
        <v>428</v>
      </c>
      <c r="FT1021" s="319" t="s">
        <v>428</v>
      </c>
      <c r="FU1021" s="319" t="s">
        <v>190</v>
      </c>
      <c r="FV1021" s="319" t="s">
        <v>190</v>
      </c>
      <c r="FW1021" s="319" t="s">
        <v>190</v>
      </c>
      <c r="FX1021" s="319" t="s">
        <v>190</v>
      </c>
      <c r="FY1021" s="319" t="s">
        <v>190</v>
      </c>
      <c r="FZ1021" s="319" t="s">
        <v>190</v>
      </c>
      <c r="GA1021" s="319" t="s">
        <v>190</v>
      </c>
      <c r="GB1021" s="319" t="s">
        <v>190</v>
      </c>
      <c r="GC1021" s="319" t="s">
        <v>190</v>
      </c>
      <c r="GD1021" s="319" t="s">
        <v>190</v>
      </c>
      <c r="GE1021" s="319" t="s">
        <v>190</v>
      </c>
      <c r="GF1021" s="319" t="s">
        <v>190</v>
      </c>
      <c r="GG1021" s="319" t="s">
        <v>190</v>
      </c>
      <c r="GH1021" s="319" t="s">
        <v>190</v>
      </c>
      <c r="GI1021" s="319" t="s">
        <v>190</v>
      </c>
      <c r="GJ1021" s="319" t="s">
        <v>190</v>
      </c>
      <c r="GK1021" s="319" t="s">
        <v>428</v>
      </c>
      <c r="GL1021" s="319" t="s">
        <v>190</v>
      </c>
      <c r="GM1021" s="319" t="s">
        <v>190</v>
      </c>
      <c r="GN1021" s="319" t="s">
        <v>190</v>
      </c>
      <c r="GO1021" s="319" t="s">
        <v>190</v>
      </c>
      <c r="GP1021" s="319" t="s">
        <v>190</v>
      </c>
      <c r="GQ1021" s="319" t="s">
        <v>428</v>
      </c>
      <c r="GR1021" s="319" t="s">
        <v>190</v>
      </c>
      <c r="GS1021" s="319" t="s">
        <v>190</v>
      </c>
      <c r="GT1021" s="319" t="s">
        <v>190</v>
      </c>
      <c r="GU1021" s="319" t="s">
        <v>190</v>
      </c>
      <c r="GV1021" s="319" t="s">
        <v>190</v>
      </c>
      <c r="GW1021" s="319" t="s">
        <v>190</v>
      </c>
      <c r="GX1021" s="319" t="s">
        <v>190</v>
      </c>
      <c r="GY1021" s="319" t="s">
        <v>190</v>
      </c>
      <c r="GZ1021" s="319" t="s">
        <v>428</v>
      </c>
      <c r="HA1021" s="319" t="s">
        <v>190</v>
      </c>
      <c r="HB1021" s="319" t="s">
        <v>428</v>
      </c>
      <c r="HC1021" s="319" t="s">
        <v>190</v>
      </c>
      <c r="HD1021" s="319" t="s">
        <v>190</v>
      </c>
      <c r="HE1021" s="319" t="s">
        <v>190</v>
      </c>
      <c r="HF1021" s="319" t="s">
        <v>190</v>
      </c>
      <c r="HG1021" s="319" t="s">
        <v>190</v>
      </c>
      <c r="HH1021" s="319" t="s">
        <v>190</v>
      </c>
      <c r="HI1021" s="319" t="s">
        <v>190</v>
      </c>
      <c r="HJ1021" s="319" t="s">
        <v>190</v>
      </c>
      <c r="HK1021" s="319" t="s">
        <v>190</v>
      </c>
      <c r="HL1021" s="319" t="s">
        <v>428</v>
      </c>
      <c r="HM1021" s="319" t="s">
        <v>428</v>
      </c>
      <c r="HN1021" s="319" t="s">
        <v>428</v>
      </c>
      <c r="HO1021" s="319" t="s">
        <v>428</v>
      </c>
      <c r="HP1021" s="319" t="s">
        <v>190</v>
      </c>
      <c r="HQ1021" s="319" t="s">
        <v>190</v>
      </c>
      <c r="HR1021" s="319" t="s">
        <v>190</v>
      </c>
      <c r="HS1021" s="319" t="s">
        <v>190</v>
      </c>
      <c r="HT1021" s="319" t="s">
        <v>190</v>
      </c>
      <c r="HU1021" s="319" t="s">
        <v>190</v>
      </c>
      <c r="HV1021" s="319" t="s">
        <v>190</v>
      </c>
      <c r="HW1021" s="319" t="s">
        <v>190</v>
      </c>
      <c r="HX1021" s="319" t="s">
        <v>190</v>
      </c>
      <c r="HY1021" s="319" t="s">
        <v>190</v>
      </c>
      <c r="HZ1021" s="319" t="s">
        <v>190</v>
      </c>
      <c r="IA1021" s="319" t="s">
        <v>190</v>
      </c>
      <c r="IB1021" s="319" t="s">
        <v>190</v>
      </c>
      <c r="IC1021" s="319" t="s">
        <v>190</v>
      </c>
      <c r="ID1021" s="319" t="s">
        <v>190</v>
      </c>
      <c r="IE1021" s="319" t="s">
        <v>190</v>
      </c>
      <c r="IF1021" s="319" t="s">
        <v>190</v>
      </c>
      <c r="IG1021" s="319" t="s">
        <v>190</v>
      </c>
      <c r="IH1021" s="319" t="s">
        <v>190</v>
      </c>
      <c r="II1021" s="319" t="s">
        <v>190</v>
      </c>
      <c r="IJ1021" s="319" t="s">
        <v>173</v>
      </c>
      <c r="IK1021" s="319" t="s">
        <v>173</v>
      </c>
      <c r="IL1021" s="319" t="s">
        <v>173</v>
      </c>
      <c r="IM1021" s="319" t="s">
        <v>173</v>
      </c>
      <c r="IN1021" s="319" t="s">
        <v>173</v>
      </c>
      <c r="IO1021" s="319" t="s">
        <v>173</v>
      </c>
      <c r="IP1021" s="319" t="s">
        <v>173</v>
      </c>
      <c r="IQ1021" s="319" t="s">
        <v>173</v>
      </c>
      <c r="IR1021" s="320" t="s">
        <v>173</v>
      </c>
      <c r="IS1021" s="320" t="s">
        <v>173</v>
      </c>
      <c r="IT1021" s="319" t="s">
        <v>173</v>
      </c>
    </row>
    <row r="1022" spans="1:254" s="271" customFormat="1" x14ac:dyDescent="0.25">
      <c r="A1022" s="318" t="str">
        <f>HYPERLINK("http://www.ofsted.gov.uk/inspection-reports/find-inspection-report/provider/ELS/146350 ","Ofsted School Webpage")</f>
        <v>Ofsted School Webpage</v>
      </c>
      <c r="B1022" s="319">
        <v>146350</v>
      </c>
      <c r="C1022" s="319">
        <v>8946012</v>
      </c>
      <c r="D1022" s="319" t="s">
        <v>2682</v>
      </c>
      <c r="E1022" s="319" t="s">
        <v>168</v>
      </c>
      <c r="F1022" s="319" t="s">
        <v>434</v>
      </c>
      <c r="G1022" s="319" t="s">
        <v>81</v>
      </c>
      <c r="H1022" s="319" t="s">
        <v>81</v>
      </c>
      <c r="I1022" s="319" t="s">
        <v>78</v>
      </c>
      <c r="J1022" s="319" t="s">
        <v>424</v>
      </c>
      <c r="K1022" s="319" t="s">
        <v>437</v>
      </c>
      <c r="L1022" s="319" t="s">
        <v>437</v>
      </c>
      <c r="M1022" s="319" t="s">
        <v>455</v>
      </c>
      <c r="N1022" s="319" t="s">
        <v>3576</v>
      </c>
      <c r="O1022" s="319" t="s">
        <v>2683</v>
      </c>
      <c r="P1022" s="319" t="s">
        <v>173</v>
      </c>
      <c r="Q1022" s="319" t="s">
        <v>429</v>
      </c>
      <c r="R1022" s="320">
        <v>10112506</v>
      </c>
      <c r="S1022" s="321">
        <v>43774</v>
      </c>
      <c r="T1022" s="321">
        <v>43776</v>
      </c>
      <c r="U1022" s="321">
        <v>43803</v>
      </c>
      <c r="V1022" s="319" t="s">
        <v>435</v>
      </c>
      <c r="W1022" s="319" t="s">
        <v>2767</v>
      </c>
      <c r="X1022" s="319">
        <v>2</v>
      </c>
      <c r="Y1022" s="319">
        <v>2</v>
      </c>
      <c r="Z1022" s="319">
        <v>2</v>
      </c>
      <c r="AA1022" s="319">
        <v>2</v>
      </c>
      <c r="AB1022" s="319">
        <v>2</v>
      </c>
      <c r="AC1022" s="319" t="s">
        <v>169</v>
      </c>
      <c r="AD1022" s="319" t="s">
        <v>173</v>
      </c>
      <c r="AE1022" s="319" t="s">
        <v>173</v>
      </c>
      <c r="AF1022" s="319" t="s">
        <v>427</v>
      </c>
      <c r="AG1022" s="319" t="s">
        <v>171</v>
      </c>
      <c r="AH1022" s="319" t="s">
        <v>190</v>
      </c>
      <c r="AI1022" s="319" t="s">
        <v>190</v>
      </c>
      <c r="AJ1022" s="319" t="s">
        <v>190</v>
      </c>
      <c r="AK1022" s="319" t="s">
        <v>190</v>
      </c>
      <c r="AL1022" s="319" t="s">
        <v>190</v>
      </c>
      <c r="AM1022" s="319" t="s">
        <v>190</v>
      </c>
      <c r="AN1022" s="319" t="s">
        <v>190</v>
      </c>
      <c r="AO1022" s="319" t="s">
        <v>190</v>
      </c>
      <c r="AP1022" s="319" t="s">
        <v>190</v>
      </c>
      <c r="AQ1022" s="319" t="s">
        <v>190</v>
      </c>
      <c r="AR1022" s="319" t="s">
        <v>190</v>
      </c>
      <c r="AS1022" s="319" t="s">
        <v>190</v>
      </c>
      <c r="AT1022" s="319" t="s">
        <v>190</v>
      </c>
      <c r="AU1022" s="319" t="s">
        <v>190</v>
      </c>
      <c r="AV1022" s="319" t="s">
        <v>190</v>
      </c>
      <c r="AW1022" s="319" t="s">
        <v>190</v>
      </c>
      <c r="AX1022" s="319" t="s">
        <v>428</v>
      </c>
      <c r="AY1022" s="319" t="s">
        <v>190</v>
      </c>
      <c r="AZ1022" s="319" t="s">
        <v>190</v>
      </c>
      <c r="BA1022" s="319" t="s">
        <v>190</v>
      </c>
      <c r="BB1022" s="319" t="s">
        <v>190</v>
      </c>
      <c r="BC1022" s="319" t="s">
        <v>190</v>
      </c>
      <c r="BD1022" s="319" t="s">
        <v>190</v>
      </c>
      <c r="BE1022" s="319" t="s">
        <v>190</v>
      </c>
      <c r="BF1022" s="319" t="s">
        <v>428</v>
      </c>
      <c r="BG1022" s="319" t="s">
        <v>190</v>
      </c>
      <c r="BH1022" s="319" t="s">
        <v>190</v>
      </c>
      <c r="BI1022" s="319" t="s">
        <v>190</v>
      </c>
      <c r="BJ1022" s="319" t="s">
        <v>190</v>
      </c>
      <c r="BK1022" s="319" t="s">
        <v>190</v>
      </c>
      <c r="BL1022" s="319" t="s">
        <v>190</v>
      </c>
      <c r="BM1022" s="319" t="s">
        <v>190</v>
      </c>
      <c r="BN1022" s="319" t="s">
        <v>190</v>
      </c>
      <c r="BO1022" s="319" t="s">
        <v>190</v>
      </c>
      <c r="BP1022" s="319" t="s">
        <v>190</v>
      </c>
      <c r="BQ1022" s="319" t="s">
        <v>190</v>
      </c>
      <c r="BR1022" s="319" t="s">
        <v>190</v>
      </c>
      <c r="BS1022" s="319" t="s">
        <v>190</v>
      </c>
      <c r="BT1022" s="319" t="s">
        <v>190</v>
      </c>
      <c r="BU1022" s="319" t="s">
        <v>190</v>
      </c>
      <c r="BV1022" s="319" t="s">
        <v>190</v>
      </c>
      <c r="BW1022" s="319" t="s">
        <v>190</v>
      </c>
      <c r="BX1022" s="319" t="s">
        <v>190</v>
      </c>
      <c r="BY1022" s="319" t="s">
        <v>190</v>
      </c>
      <c r="BZ1022" s="319" t="s">
        <v>190</v>
      </c>
      <c r="CA1022" s="319" t="s">
        <v>190</v>
      </c>
      <c r="CB1022" s="319" t="s">
        <v>190</v>
      </c>
      <c r="CC1022" s="319" t="s">
        <v>190</v>
      </c>
      <c r="CD1022" s="319" t="s">
        <v>190</v>
      </c>
      <c r="CE1022" s="319" t="s">
        <v>190</v>
      </c>
      <c r="CF1022" s="319" t="s">
        <v>190</v>
      </c>
      <c r="CG1022" s="319" t="s">
        <v>190</v>
      </c>
      <c r="CH1022" s="319" t="s">
        <v>190</v>
      </c>
      <c r="CI1022" s="319" t="s">
        <v>190</v>
      </c>
      <c r="CJ1022" s="319" t="s">
        <v>190</v>
      </c>
      <c r="CK1022" s="319" t="s">
        <v>190</v>
      </c>
      <c r="CL1022" s="319" t="s">
        <v>190</v>
      </c>
      <c r="CM1022" s="319" t="s">
        <v>190</v>
      </c>
      <c r="CN1022" s="319" t="s">
        <v>428</v>
      </c>
      <c r="CO1022" s="319" t="s">
        <v>428</v>
      </c>
      <c r="CP1022" s="319" t="s">
        <v>428</v>
      </c>
      <c r="CQ1022" s="319" t="s">
        <v>190</v>
      </c>
      <c r="CR1022" s="319" t="s">
        <v>190</v>
      </c>
      <c r="CS1022" s="319" t="s">
        <v>190</v>
      </c>
      <c r="CT1022" s="319" t="s">
        <v>190</v>
      </c>
      <c r="CU1022" s="319" t="s">
        <v>190</v>
      </c>
      <c r="CV1022" s="319" t="s">
        <v>190</v>
      </c>
      <c r="CW1022" s="319" t="s">
        <v>190</v>
      </c>
      <c r="CX1022" s="319" t="s">
        <v>190</v>
      </c>
      <c r="CY1022" s="319" t="s">
        <v>190</v>
      </c>
      <c r="CZ1022" s="319" t="s">
        <v>190</v>
      </c>
      <c r="DA1022" s="319" t="s">
        <v>190</v>
      </c>
      <c r="DB1022" s="319" t="s">
        <v>190</v>
      </c>
      <c r="DC1022" s="319" t="s">
        <v>190</v>
      </c>
      <c r="DD1022" s="319" t="s">
        <v>190</v>
      </c>
      <c r="DE1022" s="319" t="s">
        <v>190</v>
      </c>
      <c r="DF1022" s="319" t="s">
        <v>190</v>
      </c>
      <c r="DG1022" s="319" t="s">
        <v>190</v>
      </c>
      <c r="DH1022" s="319" t="s">
        <v>190</v>
      </c>
      <c r="DI1022" s="319" t="s">
        <v>190</v>
      </c>
      <c r="DJ1022" s="319" t="s">
        <v>190</v>
      </c>
      <c r="DK1022" s="319" t="s">
        <v>190</v>
      </c>
      <c r="DL1022" s="319" t="s">
        <v>190</v>
      </c>
      <c r="DM1022" s="319" t="s">
        <v>190</v>
      </c>
      <c r="DN1022" s="319" t="s">
        <v>428</v>
      </c>
      <c r="DO1022" s="319" t="s">
        <v>190</v>
      </c>
      <c r="DP1022" s="319" t="s">
        <v>190</v>
      </c>
      <c r="DQ1022" s="319" t="s">
        <v>190</v>
      </c>
      <c r="DR1022" s="319" t="s">
        <v>190</v>
      </c>
      <c r="DS1022" s="319" t="s">
        <v>190</v>
      </c>
      <c r="DT1022" s="319" t="s">
        <v>190</v>
      </c>
      <c r="DU1022" s="319" t="s">
        <v>190</v>
      </c>
      <c r="DV1022" s="319" t="s">
        <v>190</v>
      </c>
      <c r="DW1022" s="319" t="s">
        <v>190</v>
      </c>
      <c r="DX1022" s="319" t="s">
        <v>190</v>
      </c>
      <c r="DY1022" s="319" t="s">
        <v>190</v>
      </c>
      <c r="DZ1022" s="319" t="s">
        <v>190</v>
      </c>
      <c r="EA1022" s="319" t="s">
        <v>190</v>
      </c>
      <c r="EB1022" s="319" t="s">
        <v>190</v>
      </c>
      <c r="EC1022" s="319" t="s">
        <v>428</v>
      </c>
      <c r="ED1022" s="319" t="s">
        <v>190</v>
      </c>
      <c r="EE1022" s="319" t="s">
        <v>190</v>
      </c>
      <c r="EF1022" s="319" t="s">
        <v>190</v>
      </c>
      <c r="EG1022" s="319" t="s">
        <v>190</v>
      </c>
      <c r="EH1022" s="319" t="s">
        <v>190</v>
      </c>
      <c r="EI1022" s="319" t="s">
        <v>190</v>
      </c>
      <c r="EJ1022" s="319" t="s">
        <v>190</v>
      </c>
      <c r="EK1022" s="319" t="s">
        <v>190</v>
      </c>
      <c r="EL1022" s="319" t="s">
        <v>190</v>
      </c>
      <c r="EM1022" s="319" t="s">
        <v>190</v>
      </c>
      <c r="EN1022" s="319" t="s">
        <v>190</v>
      </c>
      <c r="EO1022" s="319" t="s">
        <v>190</v>
      </c>
      <c r="EP1022" s="319" t="s">
        <v>190</v>
      </c>
      <c r="EQ1022" s="319" t="s">
        <v>190</v>
      </c>
      <c r="ER1022" s="319" t="s">
        <v>190</v>
      </c>
      <c r="ES1022" s="319" t="s">
        <v>190</v>
      </c>
      <c r="ET1022" s="319" t="s">
        <v>190</v>
      </c>
      <c r="EU1022" s="319" t="s">
        <v>190</v>
      </c>
      <c r="EV1022" s="319" t="s">
        <v>190</v>
      </c>
      <c r="EW1022" s="319" t="s">
        <v>190</v>
      </c>
      <c r="EX1022" s="319" t="s">
        <v>190</v>
      </c>
      <c r="EY1022" s="319" t="s">
        <v>190</v>
      </c>
      <c r="EZ1022" s="319" t="s">
        <v>190</v>
      </c>
      <c r="FA1022" s="319" t="s">
        <v>190</v>
      </c>
      <c r="FB1022" s="319" t="s">
        <v>190</v>
      </c>
      <c r="FC1022" s="319" t="s">
        <v>190</v>
      </c>
      <c r="FD1022" s="319" t="s">
        <v>190</v>
      </c>
      <c r="FE1022" s="319" t="s">
        <v>190</v>
      </c>
      <c r="FF1022" s="319" t="s">
        <v>190</v>
      </c>
      <c r="FG1022" s="319" t="s">
        <v>190</v>
      </c>
      <c r="FH1022" s="319" t="s">
        <v>190</v>
      </c>
      <c r="FI1022" s="319" t="s">
        <v>190</v>
      </c>
      <c r="FJ1022" s="319" t="s">
        <v>190</v>
      </c>
      <c r="FK1022" s="319" t="s">
        <v>190</v>
      </c>
      <c r="FL1022" s="319" t="s">
        <v>190</v>
      </c>
      <c r="FM1022" s="319" t="s">
        <v>190</v>
      </c>
      <c r="FN1022" s="319" t="s">
        <v>190</v>
      </c>
      <c r="FO1022" s="319" t="s">
        <v>190</v>
      </c>
      <c r="FP1022" s="319" t="s">
        <v>190</v>
      </c>
      <c r="FQ1022" s="319" t="s">
        <v>190</v>
      </c>
      <c r="FR1022" s="319" t="s">
        <v>190</v>
      </c>
      <c r="FS1022" s="319" t="s">
        <v>428</v>
      </c>
      <c r="FT1022" s="319" t="s">
        <v>190</v>
      </c>
      <c r="FU1022" s="319" t="s">
        <v>190</v>
      </c>
      <c r="FV1022" s="319" t="s">
        <v>190</v>
      </c>
      <c r="FW1022" s="319" t="s">
        <v>190</v>
      </c>
      <c r="FX1022" s="319" t="s">
        <v>190</v>
      </c>
      <c r="FY1022" s="319" t="s">
        <v>190</v>
      </c>
      <c r="FZ1022" s="319" t="s">
        <v>190</v>
      </c>
      <c r="GA1022" s="319" t="s">
        <v>190</v>
      </c>
      <c r="GB1022" s="319" t="s">
        <v>190</v>
      </c>
      <c r="GC1022" s="319" t="s">
        <v>190</v>
      </c>
      <c r="GD1022" s="319" t="s">
        <v>190</v>
      </c>
      <c r="GE1022" s="319" t="s">
        <v>190</v>
      </c>
      <c r="GF1022" s="319" t="s">
        <v>190</v>
      </c>
      <c r="GG1022" s="319" t="s">
        <v>190</v>
      </c>
      <c r="GH1022" s="319" t="s">
        <v>190</v>
      </c>
      <c r="GI1022" s="319" t="s">
        <v>190</v>
      </c>
      <c r="GJ1022" s="319" t="s">
        <v>190</v>
      </c>
      <c r="GK1022" s="319" t="s">
        <v>428</v>
      </c>
      <c r="GL1022" s="319" t="s">
        <v>190</v>
      </c>
      <c r="GM1022" s="319" t="s">
        <v>190</v>
      </c>
      <c r="GN1022" s="319" t="s">
        <v>190</v>
      </c>
      <c r="GO1022" s="319" t="s">
        <v>190</v>
      </c>
      <c r="GP1022" s="319" t="s">
        <v>190</v>
      </c>
      <c r="GQ1022" s="319" t="s">
        <v>190</v>
      </c>
      <c r="GR1022" s="319" t="s">
        <v>190</v>
      </c>
      <c r="GS1022" s="319" t="s">
        <v>190</v>
      </c>
      <c r="GT1022" s="319" t="s">
        <v>190</v>
      </c>
      <c r="GU1022" s="319" t="s">
        <v>190</v>
      </c>
      <c r="GV1022" s="319" t="s">
        <v>190</v>
      </c>
      <c r="GW1022" s="319" t="s">
        <v>190</v>
      </c>
      <c r="GX1022" s="319" t="s">
        <v>190</v>
      </c>
      <c r="GY1022" s="319" t="s">
        <v>190</v>
      </c>
      <c r="GZ1022" s="319" t="s">
        <v>428</v>
      </c>
      <c r="HA1022" s="319" t="s">
        <v>190</v>
      </c>
      <c r="HB1022" s="319" t="s">
        <v>190</v>
      </c>
      <c r="HC1022" s="319" t="s">
        <v>190</v>
      </c>
      <c r="HD1022" s="319" t="s">
        <v>190</v>
      </c>
      <c r="HE1022" s="319" t="s">
        <v>190</v>
      </c>
      <c r="HF1022" s="319" t="s">
        <v>190</v>
      </c>
      <c r="HG1022" s="319" t="s">
        <v>190</v>
      </c>
      <c r="HH1022" s="319" t="s">
        <v>190</v>
      </c>
      <c r="HI1022" s="319" t="s">
        <v>428</v>
      </c>
      <c r="HJ1022" s="319" t="s">
        <v>190</v>
      </c>
      <c r="HK1022" s="319" t="s">
        <v>190</v>
      </c>
      <c r="HL1022" s="319" t="s">
        <v>190</v>
      </c>
      <c r="HM1022" s="319" t="s">
        <v>428</v>
      </c>
      <c r="HN1022" s="319" t="s">
        <v>428</v>
      </c>
      <c r="HO1022" s="319" t="s">
        <v>428</v>
      </c>
      <c r="HP1022" s="319" t="s">
        <v>190</v>
      </c>
      <c r="HQ1022" s="319" t="s">
        <v>190</v>
      </c>
      <c r="HR1022" s="319" t="s">
        <v>190</v>
      </c>
      <c r="HS1022" s="319" t="s">
        <v>190</v>
      </c>
      <c r="HT1022" s="319" t="s">
        <v>190</v>
      </c>
      <c r="HU1022" s="319" t="s">
        <v>190</v>
      </c>
      <c r="HV1022" s="319" t="s">
        <v>190</v>
      </c>
      <c r="HW1022" s="319" t="s">
        <v>190</v>
      </c>
      <c r="HX1022" s="319" t="s">
        <v>190</v>
      </c>
      <c r="HY1022" s="319" t="s">
        <v>190</v>
      </c>
      <c r="HZ1022" s="319" t="s">
        <v>190</v>
      </c>
      <c r="IA1022" s="319" t="s">
        <v>190</v>
      </c>
      <c r="IB1022" s="319" t="s">
        <v>190</v>
      </c>
      <c r="IC1022" s="319" t="s">
        <v>190</v>
      </c>
      <c r="ID1022" s="319" t="s">
        <v>190</v>
      </c>
      <c r="IE1022" s="319" t="s">
        <v>190</v>
      </c>
      <c r="IF1022" s="319" t="s">
        <v>190</v>
      </c>
      <c r="IG1022" s="319" t="s">
        <v>190</v>
      </c>
      <c r="IH1022" s="319" t="s">
        <v>190</v>
      </c>
      <c r="II1022" s="319" t="s">
        <v>190</v>
      </c>
      <c r="IJ1022" s="319" t="s">
        <v>173</v>
      </c>
      <c r="IK1022" s="319" t="s">
        <v>173</v>
      </c>
      <c r="IL1022" s="319" t="s">
        <v>173</v>
      </c>
      <c r="IM1022" s="319" t="s">
        <v>173</v>
      </c>
      <c r="IN1022" s="319" t="s">
        <v>173</v>
      </c>
      <c r="IO1022" s="319" t="s">
        <v>173</v>
      </c>
      <c r="IP1022" s="319" t="s">
        <v>173</v>
      </c>
      <c r="IQ1022" s="321" t="s">
        <v>173</v>
      </c>
      <c r="IR1022" s="320" t="s">
        <v>173</v>
      </c>
      <c r="IS1022" s="322" t="s">
        <v>173</v>
      </c>
      <c r="IT1022" s="319" t="s">
        <v>173</v>
      </c>
    </row>
    <row r="1023" spans="1:254" s="271" customFormat="1" x14ac:dyDescent="0.25">
      <c r="A1023" s="318" t="str">
        <f>HYPERLINK("http://www.ofsted.gov.uk/inspection-reports/find-inspection-report/provider/ELS/146353 ","Ofsted School Webpage")</f>
        <v>Ofsted School Webpage</v>
      </c>
      <c r="B1023" s="319">
        <v>146353</v>
      </c>
      <c r="C1023" s="319">
        <v>8886117</v>
      </c>
      <c r="D1023" s="319" t="s">
        <v>2550</v>
      </c>
      <c r="E1023" s="319" t="s">
        <v>167</v>
      </c>
      <c r="F1023" s="319" t="s">
        <v>434</v>
      </c>
      <c r="G1023" s="319" t="s">
        <v>81</v>
      </c>
      <c r="H1023" s="319" t="s">
        <v>81</v>
      </c>
      <c r="I1023" s="319" t="s">
        <v>78</v>
      </c>
      <c r="J1023" s="319" t="s">
        <v>424</v>
      </c>
      <c r="K1023" s="319" t="s">
        <v>431</v>
      </c>
      <c r="L1023" s="319" t="s">
        <v>431</v>
      </c>
      <c r="M1023" s="319" t="s">
        <v>469</v>
      </c>
      <c r="N1023" s="319" t="s">
        <v>2996</v>
      </c>
      <c r="O1023" s="319" t="s">
        <v>2551</v>
      </c>
      <c r="P1023" s="319" t="s">
        <v>173</v>
      </c>
      <c r="Q1023" s="319" t="s">
        <v>2766</v>
      </c>
      <c r="R1023" s="320">
        <v>10092287</v>
      </c>
      <c r="S1023" s="321">
        <v>43627</v>
      </c>
      <c r="T1023" s="321">
        <v>43629</v>
      </c>
      <c r="U1023" s="321">
        <v>43657</v>
      </c>
      <c r="V1023" s="319" t="s">
        <v>435</v>
      </c>
      <c r="W1023" s="319" t="s">
        <v>2767</v>
      </c>
      <c r="X1023" s="319">
        <v>2</v>
      </c>
      <c r="Y1023" s="319" t="s">
        <v>173</v>
      </c>
      <c r="Z1023" s="319" t="s">
        <v>173</v>
      </c>
      <c r="AA1023" s="319" t="s">
        <v>173</v>
      </c>
      <c r="AB1023" s="319">
        <v>2</v>
      </c>
      <c r="AC1023" s="319" t="s">
        <v>169</v>
      </c>
      <c r="AD1023" s="319" t="s">
        <v>173</v>
      </c>
      <c r="AE1023" s="319" t="s">
        <v>173</v>
      </c>
      <c r="AF1023" s="319" t="s">
        <v>427</v>
      </c>
      <c r="AG1023" s="319" t="s">
        <v>171</v>
      </c>
      <c r="AH1023" s="319" t="s">
        <v>190</v>
      </c>
      <c r="AI1023" s="319" t="s">
        <v>190</v>
      </c>
      <c r="AJ1023" s="319" t="s">
        <v>190</v>
      </c>
      <c r="AK1023" s="319" t="s">
        <v>190</v>
      </c>
      <c r="AL1023" s="319" t="s">
        <v>190</v>
      </c>
      <c r="AM1023" s="319" t="s">
        <v>190</v>
      </c>
      <c r="AN1023" s="319" t="s">
        <v>190</v>
      </c>
      <c r="AO1023" s="319" t="s">
        <v>190</v>
      </c>
      <c r="AP1023" s="319" t="s">
        <v>190</v>
      </c>
      <c r="AQ1023" s="319" t="s">
        <v>190</v>
      </c>
      <c r="AR1023" s="319" t="s">
        <v>190</v>
      </c>
      <c r="AS1023" s="319" t="s">
        <v>190</v>
      </c>
      <c r="AT1023" s="319" t="s">
        <v>190</v>
      </c>
      <c r="AU1023" s="319" t="s">
        <v>190</v>
      </c>
      <c r="AV1023" s="319" t="s">
        <v>190</v>
      </c>
      <c r="AW1023" s="319" t="s">
        <v>190</v>
      </c>
      <c r="AX1023" s="319" t="s">
        <v>190</v>
      </c>
      <c r="AY1023" s="319" t="s">
        <v>190</v>
      </c>
      <c r="AZ1023" s="319" t="s">
        <v>190</v>
      </c>
      <c r="BA1023" s="319" t="s">
        <v>190</v>
      </c>
      <c r="BB1023" s="319" t="s">
        <v>190</v>
      </c>
      <c r="BC1023" s="319" t="s">
        <v>190</v>
      </c>
      <c r="BD1023" s="319" t="s">
        <v>190</v>
      </c>
      <c r="BE1023" s="319" t="s">
        <v>190</v>
      </c>
      <c r="BF1023" s="319" t="s">
        <v>428</v>
      </c>
      <c r="BG1023" s="319" t="s">
        <v>428</v>
      </c>
      <c r="BH1023" s="319" t="s">
        <v>190</v>
      </c>
      <c r="BI1023" s="319" t="s">
        <v>190</v>
      </c>
      <c r="BJ1023" s="319" t="s">
        <v>190</v>
      </c>
      <c r="BK1023" s="319" t="s">
        <v>190</v>
      </c>
      <c r="BL1023" s="319" t="s">
        <v>190</v>
      </c>
      <c r="BM1023" s="319" t="s">
        <v>190</v>
      </c>
      <c r="BN1023" s="319" t="s">
        <v>190</v>
      </c>
      <c r="BO1023" s="319" t="s">
        <v>190</v>
      </c>
      <c r="BP1023" s="319" t="s">
        <v>190</v>
      </c>
      <c r="BQ1023" s="319" t="s">
        <v>190</v>
      </c>
      <c r="BR1023" s="319" t="s">
        <v>190</v>
      </c>
      <c r="BS1023" s="319" t="s">
        <v>190</v>
      </c>
      <c r="BT1023" s="319" t="s">
        <v>190</v>
      </c>
      <c r="BU1023" s="319" t="s">
        <v>190</v>
      </c>
      <c r="BV1023" s="319" t="s">
        <v>190</v>
      </c>
      <c r="BW1023" s="319" t="s">
        <v>190</v>
      </c>
      <c r="BX1023" s="319" t="s">
        <v>190</v>
      </c>
      <c r="BY1023" s="319" t="s">
        <v>190</v>
      </c>
      <c r="BZ1023" s="319" t="s">
        <v>190</v>
      </c>
      <c r="CA1023" s="319" t="s">
        <v>190</v>
      </c>
      <c r="CB1023" s="319" t="s">
        <v>190</v>
      </c>
      <c r="CC1023" s="319" t="s">
        <v>190</v>
      </c>
      <c r="CD1023" s="319" t="s">
        <v>190</v>
      </c>
      <c r="CE1023" s="319" t="s">
        <v>190</v>
      </c>
      <c r="CF1023" s="319" t="s">
        <v>190</v>
      </c>
      <c r="CG1023" s="319" t="s">
        <v>190</v>
      </c>
      <c r="CH1023" s="319" t="s">
        <v>190</v>
      </c>
      <c r="CI1023" s="319" t="s">
        <v>190</v>
      </c>
      <c r="CJ1023" s="319" t="s">
        <v>190</v>
      </c>
      <c r="CK1023" s="319" t="s">
        <v>190</v>
      </c>
      <c r="CL1023" s="319" t="s">
        <v>190</v>
      </c>
      <c r="CM1023" s="319" t="s">
        <v>190</v>
      </c>
      <c r="CN1023" s="319" t="s">
        <v>428</v>
      </c>
      <c r="CO1023" s="319" t="s">
        <v>428</v>
      </c>
      <c r="CP1023" s="319" t="s">
        <v>428</v>
      </c>
      <c r="CQ1023" s="319" t="s">
        <v>190</v>
      </c>
      <c r="CR1023" s="319" t="s">
        <v>190</v>
      </c>
      <c r="CS1023" s="319" t="s">
        <v>190</v>
      </c>
      <c r="CT1023" s="319" t="s">
        <v>190</v>
      </c>
      <c r="CU1023" s="319" t="s">
        <v>190</v>
      </c>
      <c r="CV1023" s="319" t="s">
        <v>190</v>
      </c>
      <c r="CW1023" s="319" t="s">
        <v>190</v>
      </c>
      <c r="CX1023" s="319" t="s">
        <v>190</v>
      </c>
      <c r="CY1023" s="319" t="s">
        <v>190</v>
      </c>
      <c r="CZ1023" s="319" t="s">
        <v>190</v>
      </c>
      <c r="DA1023" s="319" t="s">
        <v>190</v>
      </c>
      <c r="DB1023" s="319" t="s">
        <v>190</v>
      </c>
      <c r="DC1023" s="319" t="s">
        <v>190</v>
      </c>
      <c r="DD1023" s="319" t="s">
        <v>190</v>
      </c>
      <c r="DE1023" s="319" t="s">
        <v>190</v>
      </c>
      <c r="DF1023" s="319" t="s">
        <v>190</v>
      </c>
      <c r="DG1023" s="319" t="s">
        <v>190</v>
      </c>
      <c r="DH1023" s="319" t="s">
        <v>190</v>
      </c>
      <c r="DI1023" s="319" t="s">
        <v>190</v>
      </c>
      <c r="DJ1023" s="319" t="s">
        <v>190</v>
      </c>
      <c r="DK1023" s="319" t="s">
        <v>190</v>
      </c>
      <c r="DL1023" s="319" t="s">
        <v>190</v>
      </c>
      <c r="DM1023" s="319" t="s">
        <v>190</v>
      </c>
      <c r="DN1023" s="319" t="s">
        <v>428</v>
      </c>
      <c r="DO1023" s="319" t="s">
        <v>190</v>
      </c>
      <c r="DP1023" s="319" t="s">
        <v>190</v>
      </c>
      <c r="DQ1023" s="319" t="s">
        <v>190</v>
      </c>
      <c r="DR1023" s="319" t="s">
        <v>190</v>
      </c>
      <c r="DS1023" s="319" t="s">
        <v>190</v>
      </c>
      <c r="DT1023" s="319" t="s">
        <v>190</v>
      </c>
      <c r="DU1023" s="319" t="s">
        <v>190</v>
      </c>
      <c r="DV1023" s="319" t="s">
        <v>173</v>
      </c>
      <c r="DW1023" s="319" t="s">
        <v>190</v>
      </c>
      <c r="DX1023" s="319" t="s">
        <v>190</v>
      </c>
      <c r="DY1023" s="319" t="s">
        <v>190</v>
      </c>
      <c r="DZ1023" s="319" t="s">
        <v>190</v>
      </c>
      <c r="EA1023" s="319" t="s">
        <v>190</v>
      </c>
      <c r="EB1023" s="319" t="s">
        <v>190</v>
      </c>
      <c r="EC1023" s="319" t="s">
        <v>428</v>
      </c>
      <c r="ED1023" s="319" t="s">
        <v>190</v>
      </c>
      <c r="EE1023" s="319" t="s">
        <v>190</v>
      </c>
      <c r="EF1023" s="319" t="s">
        <v>190</v>
      </c>
      <c r="EG1023" s="319" t="s">
        <v>190</v>
      </c>
      <c r="EH1023" s="319" t="s">
        <v>190</v>
      </c>
      <c r="EI1023" s="319" t="s">
        <v>190</v>
      </c>
      <c r="EJ1023" s="319" t="s">
        <v>190</v>
      </c>
      <c r="EK1023" s="319" t="s">
        <v>190</v>
      </c>
      <c r="EL1023" s="319" t="s">
        <v>190</v>
      </c>
      <c r="EM1023" s="319" t="s">
        <v>190</v>
      </c>
      <c r="EN1023" s="319" t="s">
        <v>190</v>
      </c>
      <c r="EO1023" s="319" t="s">
        <v>190</v>
      </c>
      <c r="EP1023" s="319" t="s">
        <v>190</v>
      </c>
      <c r="EQ1023" s="319" t="s">
        <v>190</v>
      </c>
      <c r="ER1023" s="319" t="s">
        <v>190</v>
      </c>
      <c r="ES1023" s="319" t="s">
        <v>190</v>
      </c>
      <c r="ET1023" s="319" t="s">
        <v>190</v>
      </c>
      <c r="EU1023" s="319" t="s">
        <v>190</v>
      </c>
      <c r="EV1023" s="319" t="s">
        <v>190</v>
      </c>
      <c r="EW1023" s="319" t="s">
        <v>190</v>
      </c>
      <c r="EX1023" s="319" t="s">
        <v>190</v>
      </c>
      <c r="EY1023" s="319" t="s">
        <v>190</v>
      </c>
      <c r="EZ1023" s="319" t="s">
        <v>190</v>
      </c>
      <c r="FA1023" s="319" t="s">
        <v>428</v>
      </c>
      <c r="FB1023" s="319" t="s">
        <v>190</v>
      </c>
      <c r="FC1023" s="319" t="s">
        <v>190</v>
      </c>
      <c r="FD1023" s="319" t="s">
        <v>190</v>
      </c>
      <c r="FE1023" s="319" t="s">
        <v>190</v>
      </c>
      <c r="FF1023" s="319" t="s">
        <v>428</v>
      </c>
      <c r="FG1023" s="319" t="s">
        <v>190</v>
      </c>
      <c r="FH1023" s="319" t="s">
        <v>190</v>
      </c>
      <c r="FI1023" s="319" t="s">
        <v>428</v>
      </c>
      <c r="FJ1023" s="319" t="s">
        <v>190</v>
      </c>
      <c r="FK1023" s="319" t="s">
        <v>190</v>
      </c>
      <c r="FL1023" s="319" t="s">
        <v>190</v>
      </c>
      <c r="FM1023" s="319" t="s">
        <v>190</v>
      </c>
      <c r="FN1023" s="319" t="s">
        <v>190</v>
      </c>
      <c r="FO1023" s="319" t="s">
        <v>190</v>
      </c>
      <c r="FP1023" s="319" t="s">
        <v>190</v>
      </c>
      <c r="FQ1023" s="319" t="s">
        <v>190</v>
      </c>
      <c r="FR1023" s="319" t="s">
        <v>190</v>
      </c>
      <c r="FS1023" s="319" t="s">
        <v>428</v>
      </c>
      <c r="FT1023" s="319" t="s">
        <v>428</v>
      </c>
      <c r="FU1023" s="319" t="s">
        <v>190</v>
      </c>
      <c r="FV1023" s="319" t="s">
        <v>190</v>
      </c>
      <c r="FW1023" s="319" t="s">
        <v>190</v>
      </c>
      <c r="FX1023" s="319" t="s">
        <v>190</v>
      </c>
      <c r="FY1023" s="319" t="s">
        <v>190</v>
      </c>
      <c r="FZ1023" s="319" t="s">
        <v>190</v>
      </c>
      <c r="GA1023" s="319" t="s">
        <v>190</v>
      </c>
      <c r="GB1023" s="319" t="s">
        <v>190</v>
      </c>
      <c r="GC1023" s="319" t="s">
        <v>190</v>
      </c>
      <c r="GD1023" s="319" t="s">
        <v>190</v>
      </c>
      <c r="GE1023" s="319" t="s">
        <v>190</v>
      </c>
      <c r="GF1023" s="319" t="s">
        <v>190</v>
      </c>
      <c r="GG1023" s="319" t="s">
        <v>190</v>
      </c>
      <c r="GH1023" s="319" t="s">
        <v>190</v>
      </c>
      <c r="GI1023" s="319" t="s">
        <v>190</v>
      </c>
      <c r="GJ1023" s="319" t="s">
        <v>190</v>
      </c>
      <c r="GK1023" s="319" t="s">
        <v>428</v>
      </c>
      <c r="GL1023" s="319" t="s">
        <v>190</v>
      </c>
      <c r="GM1023" s="319" t="s">
        <v>190</v>
      </c>
      <c r="GN1023" s="319" t="s">
        <v>190</v>
      </c>
      <c r="GO1023" s="319" t="s">
        <v>190</v>
      </c>
      <c r="GP1023" s="319" t="s">
        <v>190</v>
      </c>
      <c r="GQ1023" s="319" t="s">
        <v>428</v>
      </c>
      <c r="GR1023" s="319" t="s">
        <v>190</v>
      </c>
      <c r="GS1023" s="319" t="s">
        <v>190</v>
      </c>
      <c r="GT1023" s="319" t="s">
        <v>428</v>
      </c>
      <c r="GU1023" s="319" t="s">
        <v>428</v>
      </c>
      <c r="GV1023" s="319" t="s">
        <v>190</v>
      </c>
      <c r="GW1023" s="319" t="s">
        <v>190</v>
      </c>
      <c r="GX1023" s="319" t="s">
        <v>190</v>
      </c>
      <c r="GY1023" s="319" t="s">
        <v>190</v>
      </c>
      <c r="GZ1023" s="319" t="s">
        <v>428</v>
      </c>
      <c r="HA1023" s="319" t="s">
        <v>190</v>
      </c>
      <c r="HB1023" s="319" t="s">
        <v>190</v>
      </c>
      <c r="HC1023" s="319" t="s">
        <v>190</v>
      </c>
      <c r="HD1023" s="319" t="s">
        <v>190</v>
      </c>
      <c r="HE1023" s="319" t="s">
        <v>190</v>
      </c>
      <c r="HF1023" s="319" t="s">
        <v>190</v>
      </c>
      <c r="HG1023" s="319" t="s">
        <v>190</v>
      </c>
      <c r="HH1023" s="319" t="s">
        <v>190</v>
      </c>
      <c r="HI1023" s="319" t="s">
        <v>190</v>
      </c>
      <c r="HJ1023" s="319" t="s">
        <v>190</v>
      </c>
      <c r="HK1023" s="319" t="s">
        <v>190</v>
      </c>
      <c r="HL1023" s="319" t="s">
        <v>428</v>
      </c>
      <c r="HM1023" s="319" t="s">
        <v>428</v>
      </c>
      <c r="HN1023" s="319" t="s">
        <v>428</v>
      </c>
      <c r="HO1023" s="319" t="s">
        <v>428</v>
      </c>
      <c r="HP1023" s="319" t="s">
        <v>190</v>
      </c>
      <c r="HQ1023" s="319" t="s">
        <v>190</v>
      </c>
      <c r="HR1023" s="319" t="s">
        <v>190</v>
      </c>
      <c r="HS1023" s="319" t="s">
        <v>190</v>
      </c>
      <c r="HT1023" s="319" t="s">
        <v>190</v>
      </c>
      <c r="HU1023" s="319" t="s">
        <v>190</v>
      </c>
      <c r="HV1023" s="319" t="s">
        <v>190</v>
      </c>
      <c r="HW1023" s="319" t="s">
        <v>190</v>
      </c>
      <c r="HX1023" s="319" t="s">
        <v>190</v>
      </c>
      <c r="HY1023" s="319" t="s">
        <v>190</v>
      </c>
      <c r="HZ1023" s="319" t="s">
        <v>190</v>
      </c>
      <c r="IA1023" s="319" t="s">
        <v>190</v>
      </c>
      <c r="IB1023" s="319" t="s">
        <v>190</v>
      </c>
      <c r="IC1023" s="319" t="s">
        <v>190</v>
      </c>
      <c r="ID1023" s="319" t="s">
        <v>190</v>
      </c>
      <c r="IE1023" s="319" t="s">
        <v>190</v>
      </c>
      <c r="IF1023" s="319" t="s">
        <v>190</v>
      </c>
      <c r="IG1023" s="319" t="s">
        <v>190</v>
      </c>
      <c r="IH1023" s="319" t="s">
        <v>190</v>
      </c>
      <c r="II1023" s="319" t="s">
        <v>190</v>
      </c>
      <c r="IJ1023" s="319" t="s">
        <v>173</v>
      </c>
      <c r="IK1023" s="319" t="s">
        <v>173</v>
      </c>
      <c r="IL1023" s="319" t="s">
        <v>173</v>
      </c>
      <c r="IM1023" s="319" t="s">
        <v>173</v>
      </c>
      <c r="IN1023" s="319" t="s">
        <v>173</v>
      </c>
      <c r="IO1023" s="319" t="s">
        <v>173</v>
      </c>
      <c r="IP1023" s="319" t="s">
        <v>173</v>
      </c>
      <c r="IQ1023" s="319" t="s">
        <v>173</v>
      </c>
      <c r="IR1023" s="320" t="s">
        <v>173</v>
      </c>
      <c r="IS1023" s="320" t="s">
        <v>173</v>
      </c>
      <c r="IT1023" s="319" t="s">
        <v>173</v>
      </c>
    </row>
    <row r="1024" spans="1:254" s="271" customFormat="1" x14ac:dyDescent="0.25">
      <c r="A1024" s="318" t="str">
        <f>HYPERLINK("http://www.ofsted.gov.uk/inspection-reports/find-inspection-report/provider/ELS/146360 ","Ofsted School Webpage")</f>
        <v>Ofsted School Webpage</v>
      </c>
      <c r="B1024" s="319">
        <v>146360</v>
      </c>
      <c r="C1024" s="319">
        <v>8556043</v>
      </c>
      <c r="D1024" s="319" t="s">
        <v>2552</v>
      </c>
      <c r="E1024" s="319" t="s">
        <v>168</v>
      </c>
      <c r="F1024" s="319" t="s">
        <v>434</v>
      </c>
      <c r="G1024" s="319" t="s">
        <v>81</v>
      </c>
      <c r="H1024" s="319" t="s">
        <v>81</v>
      </c>
      <c r="I1024" s="319" t="s">
        <v>78</v>
      </c>
      <c r="J1024" s="319" t="s">
        <v>424</v>
      </c>
      <c r="K1024" s="319" t="s">
        <v>506</v>
      </c>
      <c r="L1024" s="319" t="s">
        <v>506</v>
      </c>
      <c r="M1024" s="319" t="s">
        <v>862</v>
      </c>
      <c r="N1024" s="319" t="s">
        <v>3000</v>
      </c>
      <c r="O1024" s="319" t="s">
        <v>2553</v>
      </c>
      <c r="P1024" s="319" t="s">
        <v>173</v>
      </c>
      <c r="Q1024" s="319" t="s">
        <v>429</v>
      </c>
      <c r="R1024" s="320">
        <v>10094062</v>
      </c>
      <c r="S1024" s="321">
        <v>43641</v>
      </c>
      <c r="T1024" s="321">
        <v>43643</v>
      </c>
      <c r="U1024" s="321">
        <v>43675</v>
      </c>
      <c r="V1024" s="319" t="s">
        <v>435</v>
      </c>
      <c r="W1024" s="319" t="s">
        <v>2767</v>
      </c>
      <c r="X1024" s="319">
        <v>2</v>
      </c>
      <c r="Y1024" s="319" t="s">
        <v>173</v>
      </c>
      <c r="Z1024" s="319" t="s">
        <v>173</v>
      </c>
      <c r="AA1024" s="319" t="s">
        <v>173</v>
      </c>
      <c r="AB1024" s="319">
        <v>1</v>
      </c>
      <c r="AC1024" s="319" t="s">
        <v>169</v>
      </c>
      <c r="AD1024" s="319" t="s">
        <v>173</v>
      </c>
      <c r="AE1024" s="319" t="s">
        <v>173</v>
      </c>
      <c r="AF1024" s="319" t="s">
        <v>427</v>
      </c>
      <c r="AG1024" s="319" t="s">
        <v>171</v>
      </c>
      <c r="AH1024" s="319" t="s">
        <v>190</v>
      </c>
      <c r="AI1024" s="319" t="s">
        <v>190</v>
      </c>
      <c r="AJ1024" s="319" t="s">
        <v>190</v>
      </c>
      <c r="AK1024" s="319" t="s">
        <v>190</v>
      </c>
      <c r="AL1024" s="319" t="s">
        <v>190</v>
      </c>
      <c r="AM1024" s="319" t="s">
        <v>190</v>
      </c>
      <c r="AN1024" s="319" t="s">
        <v>190</v>
      </c>
      <c r="AO1024" s="319" t="s">
        <v>190</v>
      </c>
      <c r="AP1024" s="319" t="s">
        <v>190</v>
      </c>
      <c r="AQ1024" s="319" t="s">
        <v>190</v>
      </c>
      <c r="AR1024" s="319" t="s">
        <v>190</v>
      </c>
      <c r="AS1024" s="319" t="s">
        <v>190</v>
      </c>
      <c r="AT1024" s="319" t="s">
        <v>190</v>
      </c>
      <c r="AU1024" s="319" t="s">
        <v>190</v>
      </c>
      <c r="AV1024" s="319" t="s">
        <v>190</v>
      </c>
      <c r="AW1024" s="319" t="s">
        <v>190</v>
      </c>
      <c r="AX1024" s="319" t="s">
        <v>428</v>
      </c>
      <c r="AY1024" s="319" t="s">
        <v>190</v>
      </c>
      <c r="AZ1024" s="319" t="s">
        <v>190</v>
      </c>
      <c r="BA1024" s="319" t="s">
        <v>190</v>
      </c>
      <c r="BB1024" s="319" t="s">
        <v>190</v>
      </c>
      <c r="BC1024" s="319" t="s">
        <v>190</v>
      </c>
      <c r="BD1024" s="319" t="s">
        <v>190</v>
      </c>
      <c r="BE1024" s="319" t="s">
        <v>190</v>
      </c>
      <c r="BF1024" s="319" t="s">
        <v>428</v>
      </c>
      <c r="BG1024" s="319" t="s">
        <v>428</v>
      </c>
      <c r="BH1024" s="319" t="s">
        <v>190</v>
      </c>
      <c r="BI1024" s="319" t="s">
        <v>190</v>
      </c>
      <c r="BJ1024" s="319" t="s">
        <v>190</v>
      </c>
      <c r="BK1024" s="319" t="s">
        <v>190</v>
      </c>
      <c r="BL1024" s="319" t="s">
        <v>190</v>
      </c>
      <c r="BM1024" s="319" t="s">
        <v>190</v>
      </c>
      <c r="BN1024" s="319" t="s">
        <v>190</v>
      </c>
      <c r="BO1024" s="319" t="s">
        <v>190</v>
      </c>
      <c r="BP1024" s="319" t="s">
        <v>190</v>
      </c>
      <c r="BQ1024" s="319" t="s">
        <v>190</v>
      </c>
      <c r="BR1024" s="319" t="s">
        <v>190</v>
      </c>
      <c r="BS1024" s="319" t="s">
        <v>190</v>
      </c>
      <c r="BT1024" s="319" t="s">
        <v>190</v>
      </c>
      <c r="BU1024" s="319" t="s">
        <v>190</v>
      </c>
      <c r="BV1024" s="319" t="s">
        <v>190</v>
      </c>
      <c r="BW1024" s="319" t="s">
        <v>190</v>
      </c>
      <c r="BX1024" s="319" t="s">
        <v>190</v>
      </c>
      <c r="BY1024" s="319" t="s">
        <v>190</v>
      </c>
      <c r="BZ1024" s="319" t="s">
        <v>190</v>
      </c>
      <c r="CA1024" s="319" t="s">
        <v>190</v>
      </c>
      <c r="CB1024" s="319" t="s">
        <v>190</v>
      </c>
      <c r="CC1024" s="319" t="s">
        <v>190</v>
      </c>
      <c r="CD1024" s="319" t="s">
        <v>190</v>
      </c>
      <c r="CE1024" s="319" t="s">
        <v>190</v>
      </c>
      <c r="CF1024" s="319" t="s">
        <v>190</v>
      </c>
      <c r="CG1024" s="319" t="s">
        <v>190</v>
      </c>
      <c r="CH1024" s="319" t="s">
        <v>190</v>
      </c>
      <c r="CI1024" s="319" t="s">
        <v>190</v>
      </c>
      <c r="CJ1024" s="319" t="s">
        <v>190</v>
      </c>
      <c r="CK1024" s="319" t="s">
        <v>190</v>
      </c>
      <c r="CL1024" s="319" t="s">
        <v>190</v>
      </c>
      <c r="CM1024" s="319" t="s">
        <v>190</v>
      </c>
      <c r="CN1024" s="319" t="s">
        <v>428</v>
      </c>
      <c r="CO1024" s="319" t="s">
        <v>428</v>
      </c>
      <c r="CP1024" s="319" t="s">
        <v>428</v>
      </c>
      <c r="CQ1024" s="319" t="s">
        <v>190</v>
      </c>
      <c r="CR1024" s="319" t="s">
        <v>190</v>
      </c>
      <c r="CS1024" s="319" t="s">
        <v>190</v>
      </c>
      <c r="CT1024" s="319" t="s">
        <v>190</v>
      </c>
      <c r="CU1024" s="319" t="s">
        <v>190</v>
      </c>
      <c r="CV1024" s="319" t="s">
        <v>190</v>
      </c>
      <c r="CW1024" s="319" t="s">
        <v>190</v>
      </c>
      <c r="CX1024" s="319" t="s">
        <v>190</v>
      </c>
      <c r="CY1024" s="319" t="s">
        <v>190</v>
      </c>
      <c r="CZ1024" s="319" t="s">
        <v>190</v>
      </c>
      <c r="DA1024" s="319" t="s">
        <v>190</v>
      </c>
      <c r="DB1024" s="319" t="s">
        <v>190</v>
      </c>
      <c r="DC1024" s="319" t="s">
        <v>190</v>
      </c>
      <c r="DD1024" s="319" t="s">
        <v>190</v>
      </c>
      <c r="DE1024" s="319" t="s">
        <v>190</v>
      </c>
      <c r="DF1024" s="319" t="s">
        <v>190</v>
      </c>
      <c r="DG1024" s="319" t="s">
        <v>190</v>
      </c>
      <c r="DH1024" s="319" t="s">
        <v>190</v>
      </c>
      <c r="DI1024" s="319" t="s">
        <v>190</v>
      </c>
      <c r="DJ1024" s="319" t="s">
        <v>190</v>
      </c>
      <c r="DK1024" s="319" t="s">
        <v>190</v>
      </c>
      <c r="DL1024" s="319" t="s">
        <v>190</v>
      </c>
      <c r="DM1024" s="319" t="s">
        <v>190</v>
      </c>
      <c r="DN1024" s="319" t="s">
        <v>428</v>
      </c>
      <c r="DO1024" s="319" t="s">
        <v>190</v>
      </c>
      <c r="DP1024" s="319" t="s">
        <v>190</v>
      </c>
      <c r="DQ1024" s="319" t="s">
        <v>190</v>
      </c>
      <c r="DR1024" s="319" t="s">
        <v>190</v>
      </c>
      <c r="DS1024" s="319" t="s">
        <v>190</v>
      </c>
      <c r="DT1024" s="319" t="s">
        <v>190</v>
      </c>
      <c r="DU1024" s="319" t="s">
        <v>190</v>
      </c>
      <c r="DV1024" s="319" t="s">
        <v>173</v>
      </c>
      <c r="DW1024" s="319" t="s">
        <v>190</v>
      </c>
      <c r="DX1024" s="319" t="s">
        <v>190</v>
      </c>
      <c r="DY1024" s="319" t="s">
        <v>190</v>
      </c>
      <c r="DZ1024" s="319" t="s">
        <v>190</v>
      </c>
      <c r="EA1024" s="319" t="s">
        <v>190</v>
      </c>
      <c r="EB1024" s="319" t="s">
        <v>190</v>
      </c>
      <c r="EC1024" s="319" t="s">
        <v>428</v>
      </c>
      <c r="ED1024" s="319" t="s">
        <v>190</v>
      </c>
      <c r="EE1024" s="319" t="s">
        <v>190</v>
      </c>
      <c r="EF1024" s="319" t="s">
        <v>190</v>
      </c>
      <c r="EG1024" s="319" t="s">
        <v>190</v>
      </c>
      <c r="EH1024" s="319" t="s">
        <v>190</v>
      </c>
      <c r="EI1024" s="319" t="s">
        <v>190</v>
      </c>
      <c r="EJ1024" s="319" t="s">
        <v>190</v>
      </c>
      <c r="EK1024" s="319" t="s">
        <v>190</v>
      </c>
      <c r="EL1024" s="319" t="s">
        <v>190</v>
      </c>
      <c r="EM1024" s="319" t="s">
        <v>190</v>
      </c>
      <c r="EN1024" s="319" t="s">
        <v>190</v>
      </c>
      <c r="EO1024" s="319" t="s">
        <v>190</v>
      </c>
      <c r="EP1024" s="319" t="s">
        <v>190</v>
      </c>
      <c r="EQ1024" s="319" t="s">
        <v>190</v>
      </c>
      <c r="ER1024" s="319" t="s">
        <v>190</v>
      </c>
      <c r="ES1024" s="319" t="s">
        <v>190</v>
      </c>
      <c r="ET1024" s="319" t="s">
        <v>190</v>
      </c>
      <c r="EU1024" s="319" t="s">
        <v>190</v>
      </c>
      <c r="EV1024" s="319" t="s">
        <v>190</v>
      </c>
      <c r="EW1024" s="319" t="s">
        <v>190</v>
      </c>
      <c r="EX1024" s="319" t="s">
        <v>190</v>
      </c>
      <c r="EY1024" s="319" t="s">
        <v>190</v>
      </c>
      <c r="EZ1024" s="319" t="s">
        <v>190</v>
      </c>
      <c r="FA1024" s="319" t="s">
        <v>428</v>
      </c>
      <c r="FB1024" s="319" t="s">
        <v>190</v>
      </c>
      <c r="FC1024" s="319" t="s">
        <v>190</v>
      </c>
      <c r="FD1024" s="319" t="s">
        <v>190</v>
      </c>
      <c r="FE1024" s="319" t="s">
        <v>190</v>
      </c>
      <c r="FF1024" s="319" t="s">
        <v>428</v>
      </c>
      <c r="FG1024" s="319" t="s">
        <v>190</v>
      </c>
      <c r="FH1024" s="319" t="s">
        <v>190</v>
      </c>
      <c r="FI1024" s="319" t="s">
        <v>428</v>
      </c>
      <c r="FJ1024" s="319" t="s">
        <v>429</v>
      </c>
      <c r="FK1024" s="319" t="s">
        <v>428</v>
      </c>
      <c r="FL1024" s="319" t="s">
        <v>190</v>
      </c>
      <c r="FM1024" s="319" t="s">
        <v>190</v>
      </c>
      <c r="FN1024" s="319" t="s">
        <v>190</v>
      </c>
      <c r="FO1024" s="319" t="s">
        <v>190</v>
      </c>
      <c r="FP1024" s="319" t="s">
        <v>190</v>
      </c>
      <c r="FQ1024" s="319" t="s">
        <v>190</v>
      </c>
      <c r="FR1024" s="319" t="s">
        <v>190</v>
      </c>
      <c r="FS1024" s="319" t="s">
        <v>428</v>
      </c>
      <c r="FT1024" s="319" t="s">
        <v>190</v>
      </c>
      <c r="FU1024" s="319" t="s">
        <v>190</v>
      </c>
      <c r="FV1024" s="319" t="s">
        <v>190</v>
      </c>
      <c r="FW1024" s="319" t="s">
        <v>190</v>
      </c>
      <c r="FX1024" s="319" t="s">
        <v>190</v>
      </c>
      <c r="FY1024" s="319" t="s">
        <v>190</v>
      </c>
      <c r="FZ1024" s="319" t="s">
        <v>190</v>
      </c>
      <c r="GA1024" s="319" t="s">
        <v>190</v>
      </c>
      <c r="GB1024" s="319" t="s">
        <v>190</v>
      </c>
      <c r="GC1024" s="319" t="s">
        <v>190</v>
      </c>
      <c r="GD1024" s="319" t="s">
        <v>190</v>
      </c>
      <c r="GE1024" s="319" t="s">
        <v>190</v>
      </c>
      <c r="GF1024" s="319" t="s">
        <v>190</v>
      </c>
      <c r="GG1024" s="319" t="s">
        <v>190</v>
      </c>
      <c r="GH1024" s="319" t="s">
        <v>190</v>
      </c>
      <c r="GI1024" s="319" t="s">
        <v>190</v>
      </c>
      <c r="GJ1024" s="319" t="s">
        <v>190</v>
      </c>
      <c r="GK1024" s="319" t="s">
        <v>428</v>
      </c>
      <c r="GL1024" s="319" t="s">
        <v>190</v>
      </c>
      <c r="GM1024" s="319" t="s">
        <v>190</v>
      </c>
      <c r="GN1024" s="319" t="s">
        <v>190</v>
      </c>
      <c r="GO1024" s="319" t="s">
        <v>190</v>
      </c>
      <c r="GP1024" s="319" t="s">
        <v>190</v>
      </c>
      <c r="GQ1024" s="319" t="s">
        <v>428</v>
      </c>
      <c r="GR1024" s="319" t="s">
        <v>190</v>
      </c>
      <c r="GS1024" s="319" t="s">
        <v>190</v>
      </c>
      <c r="GT1024" s="319" t="s">
        <v>190</v>
      </c>
      <c r="GU1024" s="319" t="s">
        <v>190</v>
      </c>
      <c r="GV1024" s="319" t="s">
        <v>190</v>
      </c>
      <c r="GW1024" s="319" t="s">
        <v>190</v>
      </c>
      <c r="GX1024" s="319" t="s">
        <v>190</v>
      </c>
      <c r="GY1024" s="319" t="s">
        <v>190</v>
      </c>
      <c r="GZ1024" s="319" t="s">
        <v>428</v>
      </c>
      <c r="HA1024" s="319" t="s">
        <v>190</v>
      </c>
      <c r="HB1024" s="319" t="s">
        <v>190</v>
      </c>
      <c r="HC1024" s="319" t="s">
        <v>190</v>
      </c>
      <c r="HD1024" s="319" t="s">
        <v>190</v>
      </c>
      <c r="HE1024" s="319" t="s">
        <v>190</v>
      </c>
      <c r="HF1024" s="319" t="s">
        <v>190</v>
      </c>
      <c r="HG1024" s="319" t="s">
        <v>190</v>
      </c>
      <c r="HH1024" s="319" t="s">
        <v>190</v>
      </c>
      <c r="HI1024" s="319" t="s">
        <v>190</v>
      </c>
      <c r="HJ1024" s="319" t="s">
        <v>190</v>
      </c>
      <c r="HK1024" s="319" t="s">
        <v>190</v>
      </c>
      <c r="HL1024" s="319" t="s">
        <v>428</v>
      </c>
      <c r="HM1024" s="319" t="s">
        <v>428</v>
      </c>
      <c r="HN1024" s="319" t="s">
        <v>428</v>
      </c>
      <c r="HO1024" s="319" t="s">
        <v>428</v>
      </c>
      <c r="HP1024" s="319" t="s">
        <v>190</v>
      </c>
      <c r="HQ1024" s="319" t="s">
        <v>190</v>
      </c>
      <c r="HR1024" s="319" t="s">
        <v>190</v>
      </c>
      <c r="HS1024" s="319" t="s">
        <v>190</v>
      </c>
      <c r="HT1024" s="319" t="s">
        <v>190</v>
      </c>
      <c r="HU1024" s="319" t="s">
        <v>190</v>
      </c>
      <c r="HV1024" s="319" t="s">
        <v>190</v>
      </c>
      <c r="HW1024" s="319" t="s">
        <v>190</v>
      </c>
      <c r="HX1024" s="319" t="s">
        <v>190</v>
      </c>
      <c r="HY1024" s="319" t="s">
        <v>190</v>
      </c>
      <c r="HZ1024" s="319" t="s">
        <v>190</v>
      </c>
      <c r="IA1024" s="319" t="s">
        <v>190</v>
      </c>
      <c r="IB1024" s="319" t="s">
        <v>190</v>
      </c>
      <c r="IC1024" s="319" t="s">
        <v>190</v>
      </c>
      <c r="ID1024" s="319" t="s">
        <v>190</v>
      </c>
      <c r="IE1024" s="319" t="s">
        <v>190</v>
      </c>
      <c r="IF1024" s="319" t="s">
        <v>190</v>
      </c>
      <c r="IG1024" s="319" t="s">
        <v>190</v>
      </c>
      <c r="IH1024" s="319" t="s">
        <v>190</v>
      </c>
      <c r="II1024" s="319" t="s">
        <v>190</v>
      </c>
      <c r="IJ1024" s="319" t="s">
        <v>173</v>
      </c>
      <c r="IK1024" s="319" t="s">
        <v>173</v>
      </c>
      <c r="IL1024" s="319" t="s">
        <v>173</v>
      </c>
      <c r="IM1024" s="319" t="s">
        <v>173</v>
      </c>
      <c r="IN1024" s="319" t="s">
        <v>173</v>
      </c>
      <c r="IO1024" s="319" t="s">
        <v>173</v>
      </c>
      <c r="IP1024" s="319" t="s">
        <v>173</v>
      </c>
      <c r="IQ1024" s="319" t="s">
        <v>173</v>
      </c>
      <c r="IR1024" s="320" t="s">
        <v>173</v>
      </c>
      <c r="IS1024" s="320" t="s">
        <v>173</v>
      </c>
      <c r="IT1024" s="319" t="s">
        <v>173</v>
      </c>
    </row>
    <row r="1025" spans="1:254" s="271" customFormat="1" x14ac:dyDescent="0.25">
      <c r="A1025" s="318" t="str">
        <f>HYPERLINK("http://www.ofsted.gov.uk/inspection-reports/find-inspection-report/provider/ELS/146516 ","Ofsted School Webpage")</f>
        <v>Ofsted School Webpage</v>
      </c>
      <c r="B1025" s="319">
        <v>146516</v>
      </c>
      <c r="C1025" s="319">
        <v>9316022</v>
      </c>
      <c r="D1025" s="319" t="s">
        <v>2554</v>
      </c>
      <c r="E1025" s="319" t="s">
        <v>167</v>
      </c>
      <c r="F1025" s="319" t="s">
        <v>434</v>
      </c>
      <c r="G1025" s="319" t="s">
        <v>81</v>
      </c>
      <c r="H1025" s="319" t="s">
        <v>81</v>
      </c>
      <c r="I1025" s="319" t="s">
        <v>78</v>
      </c>
      <c r="J1025" s="319" t="s">
        <v>424</v>
      </c>
      <c r="K1025" s="319" t="s">
        <v>514</v>
      </c>
      <c r="L1025" s="319" t="s">
        <v>514</v>
      </c>
      <c r="M1025" s="319" t="s">
        <v>1016</v>
      </c>
      <c r="N1025" s="319" t="s">
        <v>3427</v>
      </c>
      <c r="O1025" s="319" t="s">
        <v>2555</v>
      </c>
      <c r="P1025" s="319">
        <v>145</v>
      </c>
      <c r="Q1025" s="319" t="s">
        <v>2776</v>
      </c>
      <c r="R1025" s="320" t="s">
        <v>173</v>
      </c>
      <c r="S1025" s="321" t="s">
        <v>173</v>
      </c>
      <c r="T1025" s="321" t="s">
        <v>173</v>
      </c>
      <c r="U1025" s="321" t="s">
        <v>173</v>
      </c>
      <c r="V1025" s="319" t="s">
        <v>173</v>
      </c>
      <c r="W1025" s="319" t="s">
        <v>173</v>
      </c>
      <c r="X1025" s="319" t="s">
        <v>173</v>
      </c>
      <c r="Y1025" s="319" t="s">
        <v>173</v>
      </c>
      <c r="Z1025" s="319" t="s">
        <v>173</v>
      </c>
      <c r="AA1025" s="319" t="s">
        <v>173</v>
      </c>
      <c r="AB1025" s="319" t="s">
        <v>173</v>
      </c>
      <c r="AC1025" s="319" t="s">
        <v>173</v>
      </c>
      <c r="AD1025" s="319" t="s">
        <v>173</v>
      </c>
      <c r="AE1025" s="319" t="s">
        <v>173</v>
      </c>
      <c r="AF1025" s="319" t="s">
        <v>173</v>
      </c>
      <c r="AG1025" s="319" t="s">
        <v>173</v>
      </c>
      <c r="AH1025" s="319" t="s">
        <v>173</v>
      </c>
      <c r="AI1025" s="319" t="s">
        <v>173</v>
      </c>
      <c r="AJ1025" s="319" t="s">
        <v>173</v>
      </c>
      <c r="AK1025" s="319" t="s">
        <v>173</v>
      </c>
      <c r="AL1025" s="319" t="s">
        <v>173</v>
      </c>
      <c r="AM1025" s="319" t="s">
        <v>173</v>
      </c>
      <c r="AN1025" s="319" t="s">
        <v>173</v>
      </c>
      <c r="AO1025" s="319" t="s">
        <v>173</v>
      </c>
      <c r="AP1025" s="319" t="s">
        <v>173</v>
      </c>
      <c r="AQ1025" s="319" t="s">
        <v>173</v>
      </c>
      <c r="AR1025" s="319" t="s">
        <v>173</v>
      </c>
      <c r="AS1025" s="319" t="s">
        <v>173</v>
      </c>
      <c r="AT1025" s="319" t="s">
        <v>173</v>
      </c>
      <c r="AU1025" s="319" t="s">
        <v>173</v>
      </c>
      <c r="AV1025" s="319" t="s">
        <v>173</v>
      </c>
      <c r="AW1025" s="319" t="s">
        <v>173</v>
      </c>
      <c r="AX1025" s="319" t="s">
        <v>173</v>
      </c>
      <c r="AY1025" s="319" t="s">
        <v>173</v>
      </c>
      <c r="AZ1025" s="319" t="s">
        <v>173</v>
      </c>
      <c r="BA1025" s="319" t="s">
        <v>173</v>
      </c>
      <c r="BB1025" s="319" t="s">
        <v>173</v>
      </c>
      <c r="BC1025" s="319" t="s">
        <v>173</v>
      </c>
      <c r="BD1025" s="319" t="s">
        <v>173</v>
      </c>
      <c r="BE1025" s="319" t="s">
        <v>173</v>
      </c>
      <c r="BF1025" s="319" t="s">
        <v>173</v>
      </c>
      <c r="BG1025" s="319" t="s">
        <v>173</v>
      </c>
      <c r="BH1025" s="319" t="s">
        <v>173</v>
      </c>
      <c r="BI1025" s="319" t="s">
        <v>173</v>
      </c>
      <c r="BJ1025" s="319" t="s">
        <v>173</v>
      </c>
      <c r="BK1025" s="319" t="s">
        <v>173</v>
      </c>
      <c r="BL1025" s="319" t="s">
        <v>173</v>
      </c>
      <c r="BM1025" s="319" t="s">
        <v>173</v>
      </c>
      <c r="BN1025" s="319" t="s">
        <v>173</v>
      </c>
      <c r="BO1025" s="319" t="s">
        <v>173</v>
      </c>
      <c r="BP1025" s="319" t="s">
        <v>173</v>
      </c>
      <c r="BQ1025" s="319" t="s">
        <v>173</v>
      </c>
      <c r="BR1025" s="319" t="s">
        <v>173</v>
      </c>
      <c r="BS1025" s="319" t="s">
        <v>173</v>
      </c>
      <c r="BT1025" s="319" t="s">
        <v>173</v>
      </c>
      <c r="BU1025" s="319" t="s">
        <v>173</v>
      </c>
      <c r="BV1025" s="319" t="s">
        <v>173</v>
      </c>
      <c r="BW1025" s="319" t="s">
        <v>173</v>
      </c>
      <c r="BX1025" s="319" t="s">
        <v>173</v>
      </c>
      <c r="BY1025" s="319" t="s">
        <v>173</v>
      </c>
      <c r="BZ1025" s="319" t="s">
        <v>173</v>
      </c>
      <c r="CA1025" s="319" t="s">
        <v>173</v>
      </c>
      <c r="CB1025" s="319" t="s">
        <v>173</v>
      </c>
      <c r="CC1025" s="319" t="s">
        <v>173</v>
      </c>
      <c r="CD1025" s="319" t="s">
        <v>173</v>
      </c>
      <c r="CE1025" s="319" t="s">
        <v>173</v>
      </c>
      <c r="CF1025" s="319" t="s">
        <v>173</v>
      </c>
      <c r="CG1025" s="319" t="s">
        <v>173</v>
      </c>
      <c r="CH1025" s="319" t="s">
        <v>173</v>
      </c>
      <c r="CI1025" s="319" t="s">
        <v>173</v>
      </c>
      <c r="CJ1025" s="319" t="s">
        <v>173</v>
      </c>
      <c r="CK1025" s="319" t="s">
        <v>173</v>
      </c>
      <c r="CL1025" s="319" t="s">
        <v>173</v>
      </c>
      <c r="CM1025" s="319" t="s">
        <v>173</v>
      </c>
      <c r="CN1025" s="319" t="s">
        <v>173</v>
      </c>
      <c r="CO1025" s="319" t="s">
        <v>173</v>
      </c>
      <c r="CP1025" s="319" t="s">
        <v>173</v>
      </c>
      <c r="CQ1025" s="319" t="s">
        <v>173</v>
      </c>
      <c r="CR1025" s="319" t="s">
        <v>173</v>
      </c>
      <c r="CS1025" s="319" t="s">
        <v>173</v>
      </c>
      <c r="CT1025" s="319" t="s">
        <v>173</v>
      </c>
      <c r="CU1025" s="319" t="s">
        <v>173</v>
      </c>
      <c r="CV1025" s="319" t="s">
        <v>173</v>
      </c>
      <c r="CW1025" s="319" t="s">
        <v>173</v>
      </c>
      <c r="CX1025" s="319" t="s">
        <v>173</v>
      </c>
      <c r="CY1025" s="319" t="s">
        <v>173</v>
      </c>
      <c r="CZ1025" s="319" t="s">
        <v>173</v>
      </c>
      <c r="DA1025" s="319" t="s">
        <v>173</v>
      </c>
      <c r="DB1025" s="319" t="s">
        <v>173</v>
      </c>
      <c r="DC1025" s="319" t="s">
        <v>173</v>
      </c>
      <c r="DD1025" s="319" t="s">
        <v>173</v>
      </c>
      <c r="DE1025" s="319" t="s">
        <v>173</v>
      </c>
      <c r="DF1025" s="319" t="s">
        <v>173</v>
      </c>
      <c r="DG1025" s="319" t="s">
        <v>173</v>
      </c>
      <c r="DH1025" s="319" t="s">
        <v>173</v>
      </c>
      <c r="DI1025" s="319" t="s">
        <v>173</v>
      </c>
      <c r="DJ1025" s="319" t="s">
        <v>173</v>
      </c>
      <c r="DK1025" s="319" t="s">
        <v>173</v>
      </c>
      <c r="DL1025" s="319" t="s">
        <v>173</v>
      </c>
      <c r="DM1025" s="319" t="s">
        <v>173</v>
      </c>
      <c r="DN1025" s="319" t="s">
        <v>173</v>
      </c>
      <c r="DO1025" s="319" t="s">
        <v>173</v>
      </c>
      <c r="DP1025" s="319" t="s">
        <v>173</v>
      </c>
      <c r="DQ1025" s="319" t="s">
        <v>173</v>
      </c>
      <c r="DR1025" s="319" t="s">
        <v>173</v>
      </c>
      <c r="DS1025" s="319" t="s">
        <v>173</v>
      </c>
      <c r="DT1025" s="319" t="s">
        <v>173</v>
      </c>
      <c r="DU1025" s="319" t="s">
        <v>173</v>
      </c>
      <c r="DV1025" s="319" t="s">
        <v>173</v>
      </c>
      <c r="DW1025" s="319" t="s">
        <v>173</v>
      </c>
      <c r="DX1025" s="319" t="s">
        <v>173</v>
      </c>
      <c r="DY1025" s="319" t="s">
        <v>173</v>
      </c>
      <c r="DZ1025" s="319" t="s">
        <v>173</v>
      </c>
      <c r="EA1025" s="319" t="s">
        <v>173</v>
      </c>
      <c r="EB1025" s="319" t="s">
        <v>173</v>
      </c>
      <c r="EC1025" s="319" t="s">
        <v>173</v>
      </c>
      <c r="ED1025" s="319" t="s">
        <v>173</v>
      </c>
      <c r="EE1025" s="319" t="s">
        <v>173</v>
      </c>
      <c r="EF1025" s="319" t="s">
        <v>173</v>
      </c>
      <c r="EG1025" s="319" t="s">
        <v>173</v>
      </c>
      <c r="EH1025" s="319" t="s">
        <v>173</v>
      </c>
      <c r="EI1025" s="319" t="s">
        <v>173</v>
      </c>
      <c r="EJ1025" s="319" t="s">
        <v>173</v>
      </c>
      <c r="EK1025" s="319" t="s">
        <v>173</v>
      </c>
      <c r="EL1025" s="319" t="s">
        <v>173</v>
      </c>
      <c r="EM1025" s="319" t="s">
        <v>173</v>
      </c>
      <c r="EN1025" s="319" t="s">
        <v>173</v>
      </c>
      <c r="EO1025" s="319" t="s">
        <v>173</v>
      </c>
      <c r="EP1025" s="319" t="s">
        <v>173</v>
      </c>
      <c r="EQ1025" s="319" t="s">
        <v>173</v>
      </c>
      <c r="ER1025" s="319" t="s">
        <v>173</v>
      </c>
      <c r="ES1025" s="319" t="s">
        <v>173</v>
      </c>
      <c r="ET1025" s="319" t="s">
        <v>173</v>
      </c>
      <c r="EU1025" s="319" t="s">
        <v>173</v>
      </c>
      <c r="EV1025" s="319" t="s">
        <v>173</v>
      </c>
      <c r="EW1025" s="319" t="s">
        <v>173</v>
      </c>
      <c r="EX1025" s="319" t="s">
        <v>173</v>
      </c>
      <c r="EY1025" s="319" t="s">
        <v>173</v>
      </c>
      <c r="EZ1025" s="319" t="s">
        <v>173</v>
      </c>
      <c r="FA1025" s="319" t="s">
        <v>173</v>
      </c>
      <c r="FB1025" s="319" t="s">
        <v>173</v>
      </c>
      <c r="FC1025" s="319" t="s">
        <v>173</v>
      </c>
      <c r="FD1025" s="319" t="s">
        <v>173</v>
      </c>
      <c r="FE1025" s="319" t="s">
        <v>173</v>
      </c>
      <c r="FF1025" s="319" t="s">
        <v>173</v>
      </c>
      <c r="FG1025" s="319" t="s">
        <v>173</v>
      </c>
      <c r="FH1025" s="319" t="s">
        <v>173</v>
      </c>
      <c r="FI1025" s="319" t="s">
        <v>173</v>
      </c>
      <c r="FJ1025" s="319" t="s">
        <v>173</v>
      </c>
      <c r="FK1025" s="319" t="s">
        <v>173</v>
      </c>
      <c r="FL1025" s="319" t="s">
        <v>173</v>
      </c>
      <c r="FM1025" s="319" t="s">
        <v>173</v>
      </c>
      <c r="FN1025" s="319" t="s">
        <v>173</v>
      </c>
      <c r="FO1025" s="319" t="s">
        <v>173</v>
      </c>
      <c r="FP1025" s="319" t="s">
        <v>173</v>
      </c>
      <c r="FQ1025" s="319" t="s">
        <v>173</v>
      </c>
      <c r="FR1025" s="319" t="s">
        <v>173</v>
      </c>
      <c r="FS1025" s="319" t="s">
        <v>173</v>
      </c>
      <c r="FT1025" s="319" t="s">
        <v>173</v>
      </c>
      <c r="FU1025" s="319" t="s">
        <v>173</v>
      </c>
      <c r="FV1025" s="319" t="s">
        <v>173</v>
      </c>
      <c r="FW1025" s="319" t="s">
        <v>173</v>
      </c>
      <c r="FX1025" s="319" t="s">
        <v>173</v>
      </c>
      <c r="FY1025" s="319" t="s">
        <v>173</v>
      </c>
      <c r="FZ1025" s="319" t="s">
        <v>173</v>
      </c>
      <c r="GA1025" s="319" t="s">
        <v>173</v>
      </c>
      <c r="GB1025" s="319" t="s">
        <v>173</v>
      </c>
      <c r="GC1025" s="319" t="s">
        <v>173</v>
      </c>
      <c r="GD1025" s="319" t="s">
        <v>173</v>
      </c>
      <c r="GE1025" s="319" t="s">
        <v>173</v>
      </c>
      <c r="GF1025" s="319" t="s">
        <v>173</v>
      </c>
      <c r="GG1025" s="319" t="s">
        <v>173</v>
      </c>
      <c r="GH1025" s="319" t="s">
        <v>173</v>
      </c>
      <c r="GI1025" s="319" t="s">
        <v>173</v>
      </c>
      <c r="GJ1025" s="319" t="s">
        <v>173</v>
      </c>
      <c r="GK1025" s="319" t="s">
        <v>173</v>
      </c>
      <c r="GL1025" s="319" t="s">
        <v>173</v>
      </c>
      <c r="GM1025" s="319" t="s">
        <v>173</v>
      </c>
      <c r="GN1025" s="319" t="s">
        <v>173</v>
      </c>
      <c r="GO1025" s="319" t="s">
        <v>173</v>
      </c>
      <c r="GP1025" s="319" t="s">
        <v>173</v>
      </c>
      <c r="GQ1025" s="319" t="s">
        <v>173</v>
      </c>
      <c r="GR1025" s="319" t="s">
        <v>173</v>
      </c>
      <c r="GS1025" s="319" t="s">
        <v>173</v>
      </c>
      <c r="GT1025" s="319" t="s">
        <v>173</v>
      </c>
      <c r="GU1025" s="319" t="s">
        <v>173</v>
      </c>
      <c r="GV1025" s="319" t="s">
        <v>173</v>
      </c>
      <c r="GW1025" s="319" t="s">
        <v>173</v>
      </c>
      <c r="GX1025" s="319" t="s">
        <v>173</v>
      </c>
      <c r="GY1025" s="319" t="s">
        <v>173</v>
      </c>
      <c r="GZ1025" s="319" t="s">
        <v>173</v>
      </c>
      <c r="HA1025" s="319" t="s">
        <v>173</v>
      </c>
      <c r="HB1025" s="319" t="s">
        <v>173</v>
      </c>
      <c r="HC1025" s="319" t="s">
        <v>173</v>
      </c>
      <c r="HD1025" s="319" t="s">
        <v>173</v>
      </c>
      <c r="HE1025" s="319" t="s">
        <v>173</v>
      </c>
      <c r="HF1025" s="319" t="s">
        <v>173</v>
      </c>
      <c r="HG1025" s="319" t="s">
        <v>173</v>
      </c>
      <c r="HH1025" s="319" t="s">
        <v>173</v>
      </c>
      <c r="HI1025" s="319" t="s">
        <v>173</v>
      </c>
      <c r="HJ1025" s="319" t="s">
        <v>173</v>
      </c>
      <c r="HK1025" s="319" t="s">
        <v>173</v>
      </c>
      <c r="HL1025" s="319" t="s">
        <v>173</v>
      </c>
      <c r="HM1025" s="319" t="s">
        <v>173</v>
      </c>
      <c r="HN1025" s="319" t="s">
        <v>173</v>
      </c>
      <c r="HO1025" s="319" t="s">
        <v>173</v>
      </c>
      <c r="HP1025" s="319" t="s">
        <v>173</v>
      </c>
      <c r="HQ1025" s="319" t="s">
        <v>173</v>
      </c>
      <c r="HR1025" s="319" t="s">
        <v>173</v>
      </c>
      <c r="HS1025" s="319" t="s">
        <v>173</v>
      </c>
      <c r="HT1025" s="319" t="s">
        <v>173</v>
      </c>
      <c r="HU1025" s="319" t="s">
        <v>173</v>
      </c>
      <c r="HV1025" s="319" t="s">
        <v>173</v>
      </c>
      <c r="HW1025" s="319" t="s">
        <v>173</v>
      </c>
      <c r="HX1025" s="319" t="s">
        <v>173</v>
      </c>
      <c r="HY1025" s="319" t="s">
        <v>173</v>
      </c>
      <c r="HZ1025" s="319" t="s">
        <v>173</v>
      </c>
      <c r="IA1025" s="319" t="s">
        <v>173</v>
      </c>
      <c r="IB1025" s="319" t="s">
        <v>173</v>
      </c>
      <c r="IC1025" s="319" t="s">
        <v>173</v>
      </c>
      <c r="ID1025" s="319" t="s">
        <v>173</v>
      </c>
      <c r="IE1025" s="319" t="s">
        <v>173</v>
      </c>
      <c r="IF1025" s="319" t="s">
        <v>173</v>
      </c>
      <c r="IG1025" s="319" t="s">
        <v>173</v>
      </c>
      <c r="IH1025" s="319" t="s">
        <v>173</v>
      </c>
      <c r="II1025" s="319" t="s">
        <v>173</v>
      </c>
      <c r="IJ1025" s="319" t="s">
        <v>173</v>
      </c>
      <c r="IK1025" s="319" t="s">
        <v>173</v>
      </c>
      <c r="IL1025" s="319" t="s">
        <v>173</v>
      </c>
      <c r="IM1025" s="319" t="s">
        <v>173</v>
      </c>
      <c r="IN1025" s="319" t="s">
        <v>173</v>
      </c>
      <c r="IO1025" s="319" t="s">
        <v>173</v>
      </c>
      <c r="IP1025" s="319" t="s">
        <v>173</v>
      </c>
      <c r="IQ1025" s="321" t="s">
        <v>173</v>
      </c>
      <c r="IR1025" s="320" t="s">
        <v>173</v>
      </c>
      <c r="IS1025" s="322" t="s">
        <v>173</v>
      </c>
      <c r="IT1025" s="319" t="s">
        <v>173</v>
      </c>
    </row>
    <row r="1026" spans="1:254" s="271" customFormat="1" x14ac:dyDescent="0.25">
      <c r="A1026" s="318" t="str">
        <f>HYPERLINK("http://www.ofsted.gov.uk/inspection-reports/find-inspection-report/provider/ELS/146519 ","Ofsted School Webpage")</f>
        <v>Ofsted School Webpage</v>
      </c>
      <c r="B1026" s="319">
        <v>146519</v>
      </c>
      <c r="C1026" s="319">
        <v>9166021</v>
      </c>
      <c r="D1026" s="319" t="s">
        <v>2556</v>
      </c>
      <c r="E1026" s="319" t="s">
        <v>168</v>
      </c>
      <c r="F1026" s="319" t="s">
        <v>434</v>
      </c>
      <c r="G1026" s="319" t="s">
        <v>81</v>
      </c>
      <c r="H1026" s="319" t="s">
        <v>81</v>
      </c>
      <c r="I1026" s="319" t="s">
        <v>78</v>
      </c>
      <c r="J1026" s="319" t="s">
        <v>424</v>
      </c>
      <c r="K1026" s="319" t="s">
        <v>422</v>
      </c>
      <c r="L1026" s="319" t="s">
        <v>422</v>
      </c>
      <c r="M1026" s="319" t="s">
        <v>846</v>
      </c>
      <c r="N1026" s="319" t="s">
        <v>3583</v>
      </c>
      <c r="O1026" s="319" t="s">
        <v>2557</v>
      </c>
      <c r="P1026" s="319" t="s">
        <v>173</v>
      </c>
      <c r="Q1026" s="319" t="s">
        <v>429</v>
      </c>
      <c r="R1026" s="320" t="s">
        <v>173</v>
      </c>
      <c r="S1026" s="321" t="s">
        <v>173</v>
      </c>
      <c r="T1026" s="321" t="s">
        <v>173</v>
      </c>
      <c r="U1026" s="321" t="s">
        <v>173</v>
      </c>
      <c r="V1026" s="319" t="s">
        <v>173</v>
      </c>
      <c r="W1026" s="319" t="s">
        <v>173</v>
      </c>
      <c r="X1026" s="319" t="s">
        <v>173</v>
      </c>
      <c r="Y1026" s="319" t="s">
        <v>173</v>
      </c>
      <c r="Z1026" s="319" t="s">
        <v>173</v>
      </c>
      <c r="AA1026" s="319" t="s">
        <v>173</v>
      </c>
      <c r="AB1026" s="319" t="s">
        <v>173</v>
      </c>
      <c r="AC1026" s="319" t="s">
        <v>173</v>
      </c>
      <c r="AD1026" s="319" t="s">
        <v>173</v>
      </c>
      <c r="AE1026" s="319" t="s">
        <v>173</v>
      </c>
      <c r="AF1026" s="319" t="s">
        <v>173</v>
      </c>
      <c r="AG1026" s="319" t="s">
        <v>173</v>
      </c>
      <c r="AH1026" s="319" t="s">
        <v>173</v>
      </c>
      <c r="AI1026" s="319" t="s">
        <v>173</v>
      </c>
      <c r="AJ1026" s="319" t="s">
        <v>173</v>
      </c>
      <c r="AK1026" s="319" t="s">
        <v>173</v>
      </c>
      <c r="AL1026" s="319" t="s">
        <v>173</v>
      </c>
      <c r="AM1026" s="319" t="s">
        <v>173</v>
      </c>
      <c r="AN1026" s="319" t="s">
        <v>173</v>
      </c>
      <c r="AO1026" s="319" t="s">
        <v>173</v>
      </c>
      <c r="AP1026" s="319" t="s">
        <v>173</v>
      </c>
      <c r="AQ1026" s="319" t="s">
        <v>173</v>
      </c>
      <c r="AR1026" s="319" t="s">
        <v>173</v>
      </c>
      <c r="AS1026" s="319" t="s">
        <v>173</v>
      </c>
      <c r="AT1026" s="319" t="s">
        <v>173</v>
      </c>
      <c r="AU1026" s="319" t="s">
        <v>173</v>
      </c>
      <c r="AV1026" s="319" t="s">
        <v>173</v>
      </c>
      <c r="AW1026" s="319" t="s">
        <v>173</v>
      </c>
      <c r="AX1026" s="319" t="s">
        <v>173</v>
      </c>
      <c r="AY1026" s="319" t="s">
        <v>173</v>
      </c>
      <c r="AZ1026" s="319" t="s">
        <v>173</v>
      </c>
      <c r="BA1026" s="319" t="s">
        <v>173</v>
      </c>
      <c r="BB1026" s="319" t="s">
        <v>173</v>
      </c>
      <c r="BC1026" s="319" t="s">
        <v>173</v>
      </c>
      <c r="BD1026" s="319" t="s">
        <v>173</v>
      </c>
      <c r="BE1026" s="319" t="s">
        <v>173</v>
      </c>
      <c r="BF1026" s="319" t="s">
        <v>173</v>
      </c>
      <c r="BG1026" s="319" t="s">
        <v>173</v>
      </c>
      <c r="BH1026" s="319" t="s">
        <v>173</v>
      </c>
      <c r="BI1026" s="319" t="s">
        <v>173</v>
      </c>
      <c r="BJ1026" s="319" t="s">
        <v>173</v>
      </c>
      <c r="BK1026" s="319" t="s">
        <v>173</v>
      </c>
      <c r="BL1026" s="319" t="s">
        <v>173</v>
      </c>
      <c r="BM1026" s="319" t="s">
        <v>173</v>
      </c>
      <c r="BN1026" s="319" t="s">
        <v>173</v>
      </c>
      <c r="BO1026" s="319" t="s">
        <v>173</v>
      </c>
      <c r="BP1026" s="319" t="s">
        <v>173</v>
      </c>
      <c r="BQ1026" s="319" t="s">
        <v>173</v>
      </c>
      <c r="BR1026" s="319" t="s">
        <v>173</v>
      </c>
      <c r="BS1026" s="319" t="s">
        <v>173</v>
      </c>
      <c r="BT1026" s="319" t="s">
        <v>173</v>
      </c>
      <c r="BU1026" s="319" t="s">
        <v>173</v>
      </c>
      <c r="BV1026" s="319" t="s">
        <v>173</v>
      </c>
      <c r="BW1026" s="319" t="s">
        <v>173</v>
      </c>
      <c r="BX1026" s="319" t="s">
        <v>173</v>
      </c>
      <c r="BY1026" s="319" t="s">
        <v>173</v>
      </c>
      <c r="BZ1026" s="319" t="s">
        <v>173</v>
      </c>
      <c r="CA1026" s="319" t="s">
        <v>173</v>
      </c>
      <c r="CB1026" s="319" t="s">
        <v>173</v>
      </c>
      <c r="CC1026" s="319" t="s">
        <v>173</v>
      </c>
      <c r="CD1026" s="319" t="s">
        <v>173</v>
      </c>
      <c r="CE1026" s="319" t="s">
        <v>173</v>
      </c>
      <c r="CF1026" s="319" t="s">
        <v>173</v>
      </c>
      <c r="CG1026" s="319" t="s">
        <v>173</v>
      </c>
      <c r="CH1026" s="319" t="s">
        <v>173</v>
      </c>
      <c r="CI1026" s="319" t="s">
        <v>173</v>
      </c>
      <c r="CJ1026" s="319" t="s">
        <v>173</v>
      </c>
      <c r="CK1026" s="319" t="s">
        <v>173</v>
      </c>
      <c r="CL1026" s="319" t="s">
        <v>173</v>
      </c>
      <c r="CM1026" s="319" t="s">
        <v>173</v>
      </c>
      <c r="CN1026" s="319" t="s">
        <v>173</v>
      </c>
      <c r="CO1026" s="319" t="s">
        <v>173</v>
      </c>
      <c r="CP1026" s="319" t="s">
        <v>173</v>
      </c>
      <c r="CQ1026" s="319" t="s">
        <v>173</v>
      </c>
      <c r="CR1026" s="319" t="s">
        <v>173</v>
      </c>
      <c r="CS1026" s="319" t="s">
        <v>173</v>
      </c>
      <c r="CT1026" s="319" t="s">
        <v>173</v>
      </c>
      <c r="CU1026" s="319" t="s">
        <v>173</v>
      </c>
      <c r="CV1026" s="319" t="s">
        <v>173</v>
      </c>
      <c r="CW1026" s="319" t="s">
        <v>173</v>
      </c>
      <c r="CX1026" s="319" t="s">
        <v>173</v>
      </c>
      <c r="CY1026" s="319" t="s">
        <v>173</v>
      </c>
      <c r="CZ1026" s="319" t="s">
        <v>173</v>
      </c>
      <c r="DA1026" s="319" t="s">
        <v>173</v>
      </c>
      <c r="DB1026" s="319" t="s">
        <v>173</v>
      </c>
      <c r="DC1026" s="319" t="s">
        <v>173</v>
      </c>
      <c r="DD1026" s="319" t="s">
        <v>173</v>
      </c>
      <c r="DE1026" s="319" t="s">
        <v>173</v>
      </c>
      <c r="DF1026" s="319" t="s">
        <v>173</v>
      </c>
      <c r="DG1026" s="319" t="s">
        <v>173</v>
      </c>
      <c r="DH1026" s="319" t="s">
        <v>173</v>
      </c>
      <c r="DI1026" s="319" t="s">
        <v>173</v>
      </c>
      <c r="DJ1026" s="319" t="s">
        <v>173</v>
      </c>
      <c r="DK1026" s="319" t="s">
        <v>173</v>
      </c>
      <c r="DL1026" s="319" t="s">
        <v>173</v>
      </c>
      <c r="DM1026" s="319" t="s">
        <v>173</v>
      </c>
      <c r="DN1026" s="319" t="s">
        <v>173</v>
      </c>
      <c r="DO1026" s="319" t="s">
        <v>173</v>
      </c>
      <c r="DP1026" s="319" t="s">
        <v>173</v>
      </c>
      <c r="DQ1026" s="319" t="s">
        <v>173</v>
      </c>
      <c r="DR1026" s="319" t="s">
        <v>173</v>
      </c>
      <c r="DS1026" s="319" t="s">
        <v>173</v>
      </c>
      <c r="DT1026" s="319" t="s">
        <v>173</v>
      </c>
      <c r="DU1026" s="319" t="s">
        <v>173</v>
      </c>
      <c r="DV1026" s="319" t="s">
        <v>173</v>
      </c>
      <c r="DW1026" s="319" t="s">
        <v>173</v>
      </c>
      <c r="DX1026" s="319" t="s">
        <v>173</v>
      </c>
      <c r="DY1026" s="319" t="s">
        <v>173</v>
      </c>
      <c r="DZ1026" s="319" t="s">
        <v>173</v>
      </c>
      <c r="EA1026" s="319" t="s">
        <v>173</v>
      </c>
      <c r="EB1026" s="319" t="s">
        <v>173</v>
      </c>
      <c r="EC1026" s="319" t="s">
        <v>173</v>
      </c>
      <c r="ED1026" s="319" t="s">
        <v>173</v>
      </c>
      <c r="EE1026" s="319" t="s">
        <v>173</v>
      </c>
      <c r="EF1026" s="319" t="s">
        <v>173</v>
      </c>
      <c r="EG1026" s="319" t="s">
        <v>173</v>
      </c>
      <c r="EH1026" s="319" t="s">
        <v>173</v>
      </c>
      <c r="EI1026" s="319" t="s">
        <v>173</v>
      </c>
      <c r="EJ1026" s="319" t="s">
        <v>173</v>
      </c>
      <c r="EK1026" s="319" t="s">
        <v>173</v>
      </c>
      <c r="EL1026" s="319" t="s">
        <v>173</v>
      </c>
      <c r="EM1026" s="319" t="s">
        <v>173</v>
      </c>
      <c r="EN1026" s="319" t="s">
        <v>173</v>
      </c>
      <c r="EO1026" s="319" t="s">
        <v>173</v>
      </c>
      <c r="EP1026" s="319" t="s">
        <v>173</v>
      </c>
      <c r="EQ1026" s="319" t="s">
        <v>173</v>
      </c>
      <c r="ER1026" s="319" t="s">
        <v>173</v>
      </c>
      <c r="ES1026" s="319" t="s">
        <v>173</v>
      </c>
      <c r="ET1026" s="319" t="s">
        <v>173</v>
      </c>
      <c r="EU1026" s="319" t="s">
        <v>173</v>
      </c>
      <c r="EV1026" s="319" t="s">
        <v>173</v>
      </c>
      <c r="EW1026" s="319" t="s">
        <v>173</v>
      </c>
      <c r="EX1026" s="319" t="s">
        <v>173</v>
      </c>
      <c r="EY1026" s="319" t="s">
        <v>173</v>
      </c>
      <c r="EZ1026" s="319" t="s">
        <v>173</v>
      </c>
      <c r="FA1026" s="319" t="s">
        <v>173</v>
      </c>
      <c r="FB1026" s="319" t="s">
        <v>173</v>
      </c>
      <c r="FC1026" s="319" t="s">
        <v>173</v>
      </c>
      <c r="FD1026" s="319" t="s">
        <v>173</v>
      </c>
      <c r="FE1026" s="319" t="s">
        <v>173</v>
      </c>
      <c r="FF1026" s="319" t="s">
        <v>173</v>
      </c>
      <c r="FG1026" s="319" t="s">
        <v>173</v>
      </c>
      <c r="FH1026" s="319" t="s">
        <v>173</v>
      </c>
      <c r="FI1026" s="319" t="s">
        <v>173</v>
      </c>
      <c r="FJ1026" s="319" t="s">
        <v>173</v>
      </c>
      <c r="FK1026" s="319" t="s">
        <v>173</v>
      </c>
      <c r="FL1026" s="319" t="s">
        <v>173</v>
      </c>
      <c r="FM1026" s="319" t="s">
        <v>173</v>
      </c>
      <c r="FN1026" s="319" t="s">
        <v>173</v>
      </c>
      <c r="FO1026" s="319" t="s">
        <v>173</v>
      </c>
      <c r="FP1026" s="319" t="s">
        <v>173</v>
      </c>
      <c r="FQ1026" s="319" t="s">
        <v>173</v>
      </c>
      <c r="FR1026" s="319" t="s">
        <v>173</v>
      </c>
      <c r="FS1026" s="319" t="s">
        <v>173</v>
      </c>
      <c r="FT1026" s="319" t="s">
        <v>173</v>
      </c>
      <c r="FU1026" s="319" t="s">
        <v>173</v>
      </c>
      <c r="FV1026" s="319" t="s">
        <v>173</v>
      </c>
      <c r="FW1026" s="319" t="s">
        <v>173</v>
      </c>
      <c r="FX1026" s="319" t="s">
        <v>173</v>
      </c>
      <c r="FY1026" s="319" t="s">
        <v>173</v>
      </c>
      <c r="FZ1026" s="319" t="s">
        <v>173</v>
      </c>
      <c r="GA1026" s="319" t="s">
        <v>173</v>
      </c>
      <c r="GB1026" s="319" t="s">
        <v>173</v>
      </c>
      <c r="GC1026" s="319" t="s">
        <v>173</v>
      </c>
      <c r="GD1026" s="319" t="s">
        <v>173</v>
      </c>
      <c r="GE1026" s="319" t="s">
        <v>173</v>
      </c>
      <c r="GF1026" s="319" t="s">
        <v>173</v>
      </c>
      <c r="GG1026" s="319" t="s">
        <v>173</v>
      </c>
      <c r="GH1026" s="319" t="s">
        <v>173</v>
      </c>
      <c r="GI1026" s="319" t="s">
        <v>173</v>
      </c>
      <c r="GJ1026" s="319" t="s">
        <v>173</v>
      </c>
      <c r="GK1026" s="319" t="s">
        <v>173</v>
      </c>
      <c r="GL1026" s="319" t="s">
        <v>173</v>
      </c>
      <c r="GM1026" s="319" t="s">
        <v>173</v>
      </c>
      <c r="GN1026" s="319" t="s">
        <v>173</v>
      </c>
      <c r="GO1026" s="319" t="s">
        <v>173</v>
      </c>
      <c r="GP1026" s="319" t="s">
        <v>173</v>
      </c>
      <c r="GQ1026" s="319" t="s">
        <v>173</v>
      </c>
      <c r="GR1026" s="319" t="s">
        <v>173</v>
      </c>
      <c r="GS1026" s="319" t="s">
        <v>173</v>
      </c>
      <c r="GT1026" s="319" t="s">
        <v>173</v>
      </c>
      <c r="GU1026" s="319" t="s">
        <v>173</v>
      </c>
      <c r="GV1026" s="319" t="s">
        <v>173</v>
      </c>
      <c r="GW1026" s="319" t="s">
        <v>173</v>
      </c>
      <c r="GX1026" s="319" t="s">
        <v>173</v>
      </c>
      <c r="GY1026" s="319" t="s">
        <v>173</v>
      </c>
      <c r="GZ1026" s="319" t="s">
        <v>173</v>
      </c>
      <c r="HA1026" s="319" t="s">
        <v>173</v>
      </c>
      <c r="HB1026" s="319" t="s">
        <v>173</v>
      </c>
      <c r="HC1026" s="319" t="s">
        <v>173</v>
      </c>
      <c r="HD1026" s="319" t="s">
        <v>173</v>
      </c>
      <c r="HE1026" s="319" t="s">
        <v>173</v>
      </c>
      <c r="HF1026" s="319" t="s">
        <v>173</v>
      </c>
      <c r="HG1026" s="319" t="s">
        <v>173</v>
      </c>
      <c r="HH1026" s="319" t="s">
        <v>173</v>
      </c>
      <c r="HI1026" s="319" t="s">
        <v>173</v>
      </c>
      <c r="HJ1026" s="319" t="s">
        <v>173</v>
      </c>
      <c r="HK1026" s="319" t="s">
        <v>173</v>
      </c>
      <c r="HL1026" s="319" t="s">
        <v>173</v>
      </c>
      <c r="HM1026" s="319" t="s">
        <v>173</v>
      </c>
      <c r="HN1026" s="319" t="s">
        <v>173</v>
      </c>
      <c r="HO1026" s="319" t="s">
        <v>173</v>
      </c>
      <c r="HP1026" s="319" t="s">
        <v>173</v>
      </c>
      <c r="HQ1026" s="319" t="s">
        <v>173</v>
      </c>
      <c r="HR1026" s="319" t="s">
        <v>173</v>
      </c>
      <c r="HS1026" s="319" t="s">
        <v>173</v>
      </c>
      <c r="HT1026" s="319" t="s">
        <v>173</v>
      </c>
      <c r="HU1026" s="319" t="s">
        <v>173</v>
      </c>
      <c r="HV1026" s="319" t="s">
        <v>173</v>
      </c>
      <c r="HW1026" s="319" t="s">
        <v>173</v>
      </c>
      <c r="HX1026" s="319" t="s">
        <v>173</v>
      </c>
      <c r="HY1026" s="319" t="s">
        <v>173</v>
      </c>
      <c r="HZ1026" s="319" t="s">
        <v>173</v>
      </c>
      <c r="IA1026" s="319" t="s">
        <v>173</v>
      </c>
      <c r="IB1026" s="319" t="s">
        <v>173</v>
      </c>
      <c r="IC1026" s="319" t="s">
        <v>173</v>
      </c>
      <c r="ID1026" s="319" t="s">
        <v>173</v>
      </c>
      <c r="IE1026" s="319" t="s">
        <v>173</v>
      </c>
      <c r="IF1026" s="319" t="s">
        <v>173</v>
      </c>
      <c r="IG1026" s="319" t="s">
        <v>173</v>
      </c>
      <c r="IH1026" s="319" t="s">
        <v>173</v>
      </c>
      <c r="II1026" s="319" t="s">
        <v>173</v>
      </c>
      <c r="IJ1026" s="319" t="s">
        <v>173</v>
      </c>
      <c r="IK1026" s="319" t="s">
        <v>173</v>
      </c>
      <c r="IL1026" s="319" t="s">
        <v>173</v>
      </c>
      <c r="IM1026" s="319" t="s">
        <v>173</v>
      </c>
      <c r="IN1026" s="319" t="s">
        <v>173</v>
      </c>
      <c r="IO1026" s="319" t="s">
        <v>173</v>
      </c>
      <c r="IP1026" s="319" t="s">
        <v>173</v>
      </c>
      <c r="IQ1026" s="321" t="s">
        <v>173</v>
      </c>
      <c r="IR1026" s="320" t="s">
        <v>173</v>
      </c>
      <c r="IS1026" s="322" t="s">
        <v>173</v>
      </c>
      <c r="IT1026" s="319" t="s">
        <v>173</v>
      </c>
    </row>
    <row r="1027" spans="1:254" s="271" customFormat="1" x14ac:dyDescent="0.25">
      <c r="A1027" s="318" t="str">
        <f>HYPERLINK("http://www.ofsted.gov.uk/inspection-reports/find-inspection-report/provider/ELS/146521 ","Ofsted School Webpage")</f>
        <v>Ofsted School Webpage</v>
      </c>
      <c r="B1027" s="319">
        <v>146521</v>
      </c>
      <c r="C1027" s="319">
        <v>8866152</v>
      </c>
      <c r="D1027" s="319" t="s">
        <v>2558</v>
      </c>
      <c r="E1027" s="319" t="s">
        <v>168</v>
      </c>
      <c r="F1027" s="319" t="s">
        <v>434</v>
      </c>
      <c r="G1027" s="319" t="s">
        <v>81</v>
      </c>
      <c r="H1027" s="319" t="s">
        <v>81</v>
      </c>
      <c r="I1027" s="319" t="s">
        <v>78</v>
      </c>
      <c r="J1027" s="319" t="s">
        <v>424</v>
      </c>
      <c r="K1027" s="319" t="s">
        <v>514</v>
      </c>
      <c r="L1027" s="319" t="s">
        <v>514</v>
      </c>
      <c r="M1027" s="319" t="s">
        <v>614</v>
      </c>
      <c r="N1027" s="319" t="s">
        <v>2986</v>
      </c>
      <c r="O1027" s="319" t="s">
        <v>2559</v>
      </c>
      <c r="P1027" s="319" t="s">
        <v>173</v>
      </c>
      <c r="Q1027" s="319" t="s">
        <v>429</v>
      </c>
      <c r="R1027" s="320" t="s">
        <v>173</v>
      </c>
      <c r="S1027" s="321" t="s">
        <v>173</v>
      </c>
      <c r="T1027" s="321" t="s">
        <v>173</v>
      </c>
      <c r="U1027" s="321" t="s">
        <v>173</v>
      </c>
      <c r="V1027" s="319" t="s">
        <v>173</v>
      </c>
      <c r="W1027" s="319" t="s">
        <v>173</v>
      </c>
      <c r="X1027" s="319" t="s">
        <v>173</v>
      </c>
      <c r="Y1027" s="319" t="s">
        <v>173</v>
      </c>
      <c r="Z1027" s="319" t="s">
        <v>173</v>
      </c>
      <c r="AA1027" s="319" t="s">
        <v>173</v>
      </c>
      <c r="AB1027" s="319" t="s">
        <v>173</v>
      </c>
      <c r="AC1027" s="319" t="s">
        <v>173</v>
      </c>
      <c r="AD1027" s="319" t="s">
        <v>173</v>
      </c>
      <c r="AE1027" s="319" t="s">
        <v>173</v>
      </c>
      <c r="AF1027" s="319" t="s">
        <v>173</v>
      </c>
      <c r="AG1027" s="319" t="s">
        <v>173</v>
      </c>
      <c r="AH1027" s="319" t="s">
        <v>173</v>
      </c>
      <c r="AI1027" s="319" t="s">
        <v>173</v>
      </c>
      <c r="AJ1027" s="319" t="s">
        <v>173</v>
      </c>
      <c r="AK1027" s="319" t="s">
        <v>173</v>
      </c>
      <c r="AL1027" s="319" t="s">
        <v>173</v>
      </c>
      <c r="AM1027" s="319" t="s">
        <v>173</v>
      </c>
      <c r="AN1027" s="319" t="s">
        <v>173</v>
      </c>
      <c r="AO1027" s="319" t="s">
        <v>173</v>
      </c>
      <c r="AP1027" s="319" t="s">
        <v>173</v>
      </c>
      <c r="AQ1027" s="319" t="s">
        <v>173</v>
      </c>
      <c r="AR1027" s="319" t="s">
        <v>173</v>
      </c>
      <c r="AS1027" s="319" t="s">
        <v>173</v>
      </c>
      <c r="AT1027" s="319" t="s">
        <v>173</v>
      </c>
      <c r="AU1027" s="319" t="s">
        <v>173</v>
      </c>
      <c r="AV1027" s="319" t="s">
        <v>173</v>
      </c>
      <c r="AW1027" s="319" t="s">
        <v>173</v>
      </c>
      <c r="AX1027" s="319" t="s">
        <v>173</v>
      </c>
      <c r="AY1027" s="319" t="s">
        <v>173</v>
      </c>
      <c r="AZ1027" s="319" t="s">
        <v>173</v>
      </c>
      <c r="BA1027" s="319" t="s">
        <v>173</v>
      </c>
      <c r="BB1027" s="319" t="s">
        <v>173</v>
      </c>
      <c r="BC1027" s="319" t="s">
        <v>173</v>
      </c>
      <c r="BD1027" s="319" t="s">
        <v>173</v>
      </c>
      <c r="BE1027" s="319" t="s">
        <v>173</v>
      </c>
      <c r="BF1027" s="319" t="s">
        <v>173</v>
      </c>
      <c r="BG1027" s="319" t="s">
        <v>173</v>
      </c>
      <c r="BH1027" s="319" t="s">
        <v>173</v>
      </c>
      <c r="BI1027" s="319" t="s">
        <v>173</v>
      </c>
      <c r="BJ1027" s="319" t="s">
        <v>173</v>
      </c>
      <c r="BK1027" s="319" t="s">
        <v>173</v>
      </c>
      <c r="BL1027" s="319" t="s">
        <v>173</v>
      </c>
      <c r="BM1027" s="319" t="s">
        <v>173</v>
      </c>
      <c r="BN1027" s="319" t="s">
        <v>173</v>
      </c>
      <c r="BO1027" s="319" t="s">
        <v>173</v>
      </c>
      <c r="BP1027" s="319" t="s">
        <v>173</v>
      </c>
      <c r="BQ1027" s="319" t="s">
        <v>173</v>
      </c>
      <c r="BR1027" s="319" t="s">
        <v>173</v>
      </c>
      <c r="BS1027" s="319" t="s">
        <v>173</v>
      </c>
      <c r="BT1027" s="319" t="s">
        <v>173</v>
      </c>
      <c r="BU1027" s="319" t="s">
        <v>173</v>
      </c>
      <c r="BV1027" s="319" t="s">
        <v>173</v>
      </c>
      <c r="BW1027" s="319" t="s">
        <v>173</v>
      </c>
      <c r="BX1027" s="319" t="s">
        <v>173</v>
      </c>
      <c r="BY1027" s="319" t="s">
        <v>173</v>
      </c>
      <c r="BZ1027" s="319" t="s">
        <v>173</v>
      </c>
      <c r="CA1027" s="319" t="s">
        <v>173</v>
      </c>
      <c r="CB1027" s="319" t="s">
        <v>173</v>
      </c>
      <c r="CC1027" s="319" t="s">
        <v>173</v>
      </c>
      <c r="CD1027" s="319" t="s">
        <v>173</v>
      </c>
      <c r="CE1027" s="319" t="s">
        <v>173</v>
      </c>
      <c r="CF1027" s="319" t="s">
        <v>173</v>
      </c>
      <c r="CG1027" s="319" t="s">
        <v>173</v>
      </c>
      <c r="CH1027" s="319" t="s">
        <v>173</v>
      </c>
      <c r="CI1027" s="319" t="s">
        <v>173</v>
      </c>
      <c r="CJ1027" s="319" t="s">
        <v>173</v>
      </c>
      <c r="CK1027" s="319" t="s">
        <v>173</v>
      </c>
      <c r="CL1027" s="319" t="s">
        <v>173</v>
      </c>
      <c r="CM1027" s="319" t="s">
        <v>173</v>
      </c>
      <c r="CN1027" s="319" t="s">
        <v>173</v>
      </c>
      <c r="CO1027" s="319" t="s">
        <v>173</v>
      </c>
      <c r="CP1027" s="319" t="s">
        <v>173</v>
      </c>
      <c r="CQ1027" s="319" t="s">
        <v>173</v>
      </c>
      <c r="CR1027" s="319" t="s">
        <v>173</v>
      </c>
      <c r="CS1027" s="319" t="s">
        <v>173</v>
      </c>
      <c r="CT1027" s="319" t="s">
        <v>173</v>
      </c>
      <c r="CU1027" s="319" t="s">
        <v>173</v>
      </c>
      <c r="CV1027" s="319" t="s">
        <v>173</v>
      </c>
      <c r="CW1027" s="319" t="s">
        <v>173</v>
      </c>
      <c r="CX1027" s="319" t="s">
        <v>173</v>
      </c>
      <c r="CY1027" s="319" t="s">
        <v>173</v>
      </c>
      <c r="CZ1027" s="319" t="s">
        <v>173</v>
      </c>
      <c r="DA1027" s="319" t="s">
        <v>173</v>
      </c>
      <c r="DB1027" s="319" t="s">
        <v>173</v>
      </c>
      <c r="DC1027" s="319" t="s">
        <v>173</v>
      </c>
      <c r="DD1027" s="319" t="s">
        <v>173</v>
      </c>
      <c r="DE1027" s="319" t="s">
        <v>173</v>
      </c>
      <c r="DF1027" s="319" t="s">
        <v>173</v>
      </c>
      <c r="DG1027" s="319" t="s">
        <v>173</v>
      </c>
      <c r="DH1027" s="319" t="s">
        <v>173</v>
      </c>
      <c r="DI1027" s="319" t="s">
        <v>173</v>
      </c>
      <c r="DJ1027" s="319" t="s">
        <v>173</v>
      </c>
      <c r="DK1027" s="319" t="s">
        <v>173</v>
      </c>
      <c r="DL1027" s="319" t="s">
        <v>173</v>
      </c>
      <c r="DM1027" s="319" t="s">
        <v>173</v>
      </c>
      <c r="DN1027" s="319" t="s">
        <v>173</v>
      </c>
      <c r="DO1027" s="319" t="s">
        <v>173</v>
      </c>
      <c r="DP1027" s="319" t="s">
        <v>173</v>
      </c>
      <c r="DQ1027" s="319" t="s">
        <v>173</v>
      </c>
      <c r="DR1027" s="319" t="s">
        <v>173</v>
      </c>
      <c r="DS1027" s="319" t="s">
        <v>173</v>
      </c>
      <c r="DT1027" s="319" t="s">
        <v>173</v>
      </c>
      <c r="DU1027" s="319" t="s">
        <v>173</v>
      </c>
      <c r="DV1027" s="319" t="s">
        <v>173</v>
      </c>
      <c r="DW1027" s="319" t="s">
        <v>173</v>
      </c>
      <c r="DX1027" s="319" t="s">
        <v>173</v>
      </c>
      <c r="DY1027" s="319" t="s">
        <v>173</v>
      </c>
      <c r="DZ1027" s="319" t="s">
        <v>173</v>
      </c>
      <c r="EA1027" s="319" t="s">
        <v>173</v>
      </c>
      <c r="EB1027" s="319" t="s">
        <v>173</v>
      </c>
      <c r="EC1027" s="319" t="s">
        <v>173</v>
      </c>
      <c r="ED1027" s="319" t="s">
        <v>173</v>
      </c>
      <c r="EE1027" s="319" t="s">
        <v>173</v>
      </c>
      <c r="EF1027" s="319" t="s">
        <v>173</v>
      </c>
      <c r="EG1027" s="319" t="s">
        <v>173</v>
      </c>
      <c r="EH1027" s="319" t="s">
        <v>173</v>
      </c>
      <c r="EI1027" s="319" t="s">
        <v>173</v>
      </c>
      <c r="EJ1027" s="319" t="s">
        <v>173</v>
      </c>
      <c r="EK1027" s="319" t="s">
        <v>173</v>
      </c>
      <c r="EL1027" s="319" t="s">
        <v>173</v>
      </c>
      <c r="EM1027" s="319" t="s">
        <v>173</v>
      </c>
      <c r="EN1027" s="319" t="s">
        <v>173</v>
      </c>
      <c r="EO1027" s="319" t="s">
        <v>173</v>
      </c>
      <c r="EP1027" s="319" t="s">
        <v>173</v>
      </c>
      <c r="EQ1027" s="319" t="s">
        <v>173</v>
      </c>
      <c r="ER1027" s="319" t="s">
        <v>173</v>
      </c>
      <c r="ES1027" s="319" t="s">
        <v>173</v>
      </c>
      <c r="ET1027" s="319" t="s">
        <v>173</v>
      </c>
      <c r="EU1027" s="319" t="s">
        <v>173</v>
      </c>
      <c r="EV1027" s="319" t="s">
        <v>173</v>
      </c>
      <c r="EW1027" s="319" t="s">
        <v>173</v>
      </c>
      <c r="EX1027" s="319" t="s">
        <v>173</v>
      </c>
      <c r="EY1027" s="319" t="s">
        <v>173</v>
      </c>
      <c r="EZ1027" s="319" t="s">
        <v>173</v>
      </c>
      <c r="FA1027" s="319" t="s">
        <v>173</v>
      </c>
      <c r="FB1027" s="319" t="s">
        <v>173</v>
      </c>
      <c r="FC1027" s="319" t="s">
        <v>173</v>
      </c>
      <c r="FD1027" s="319" t="s">
        <v>173</v>
      </c>
      <c r="FE1027" s="319" t="s">
        <v>173</v>
      </c>
      <c r="FF1027" s="319" t="s">
        <v>173</v>
      </c>
      <c r="FG1027" s="319" t="s">
        <v>173</v>
      </c>
      <c r="FH1027" s="319" t="s">
        <v>173</v>
      </c>
      <c r="FI1027" s="319" t="s">
        <v>173</v>
      </c>
      <c r="FJ1027" s="319" t="s">
        <v>173</v>
      </c>
      <c r="FK1027" s="319" t="s">
        <v>173</v>
      </c>
      <c r="FL1027" s="319" t="s">
        <v>173</v>
      </c>
      <c r="FM1027" s="319" t="s">
        <v>173</v>
      </c>
      <c r="FN1027" s="319" t="s">
        <v>173</v>
      </c>
      <c r="FO1027" s="319" t="s">
        <v>173</v>
      </c>
      <c r="FP1027" s="319" t="s">
        <v>173</v>
      </c>
      <c r="FQ1027" s="319" t="s">
        <v>173</v>
      </c>
      <c r="FR1027" s="319" t="s">
        <v>173</v>
      </c>
      <c r="FS1027" s="319" t="s">
        <v>173</v>
      </c>
      <c r="FT1027" s="319" t="s">
        <v>173</v>
      </c>
      <c r="FU1027" s="319" t="s">
        <v>173</v>
      </c>
      <c r="FV1027" s="319" t="s">
        <v>173</v>
      </c>
      <c r="FW1027" s="319" t="s">
        <v>173</v>
      </c>
      <c r="FX1027" s="319" t="s">
        <v>173</v>
      </c>
      <c r="FY1027" s="319" t="s">
        <v>173</v>
      </c>
      <c r="FZ1027" s="319" t="s">
        <v>173</v>
      </c>
      <c r="GA1027" s="319" t="s">
        <v>173</v>
      </c>
      <c r="GB1027" s="319" t="s">
        <v>173</v>
      </c>
      <c r="GC1027" s="319" t="s">
        <v>173</v>
      </c>
      <c r="GD1027" s="319" t="s">
        <v>173</v>
      </c>
      <c r="GE1027" s="319" t="s">
        <v>173</v>
      </c>
      <c r="GF1027" s="319" t="s">
        <v>173</v>
      </c>
      <c r="GG1027" s="319" t="s">
        <v>173</v>
      </c>
      <c r="GH1027" s="319" t="s">
        <v>173</v>
      </c>
      <c r="GI1027" s="319" t="s">
        <v>173</v>
      </c>
      <c r="GJ1027" s="319" t="s">
        <v>173</v>
      </c>
      <c r="GK1027" s="319" t="s">
        <v>173</v>
      </c>
      <c r="GL1027" s="319" t="s">
        <v>173</v>
      </c>
      <c r="GM1027" s="319" t="s">
        <v>173</v>
      </c>
      <c r="GN1027" s="319" t="s">
        <v>173</v>
      </c>
      <c r="GO1027" s="319" t="s">
        <v>173</v>
      </c>
      <c r="GP1027" s="319" t="s">
        <v>173</v>
      </c>
      <c r="GQ1027" s="319" t="s">
        <v>173</v>
      </c>
      <c r="GR1027" s="319" t="s">
        <v>173</v>
      </c>
      <c r="GS1027" s="319" t="s">
        <v>173</v>
      </c>
      <c r="GT1027" s="319" t="s">
        <v>173</v>
      </c>
      <c r="GU1027" s="319" t="s">
        <v>173</v>
      </c>
      <c r="GV1027" s="319" t="s">
        <v>173</v>
      </c>
      <c r="GW1027" s="319" t="s">
        <v>173</v>
      </c>
      <c r="GX1027" s="319" t="s">
        <v>173</v>
      </c>
      <c r="GY1027" s="319" t="s">
        <v>173</v>
      </c>
      <c r="GZ1027" s="319" t="s">
        <v>173</v>
      </c>
      <c r="HA1027" s="319" t="s">
        <v>173</v>
      </c>
      <c r="HB1027" s="319" t="s">
        <v>173</v>
      </c>
      <c r="HC1027" s="319" t="s">
        <v>173</v>
      </c>
      <c r="HD1027" s="319" t="s">
        <v>173</v>
      </c>
      <c r="HE1027" s="319" t="s">
        <v>173</v>
      </c>
      <c r="HF1027" s="319" t="s">
        <v>173</v>
      </c>
      <c r="HG1027" s="319" t="s">
        <v>173</v>
      </c>
      <c r="HH1027" s="319" t="s">
        <v>173</v>
      </c>
      <c r="HI1027" s="319" t="s">
        <v>173</v>
      </c>
      <c r="HJ1027" s="319" t="s">
        <v>173</v>
      </c>
      <c r="HK1027" s="319" t="s">
        <v>173</v>
      </c>
      <c r="HL1027" s="319" t="s">
        <v>173</v>
      </c>
      <c r="HM1027" s="319" t="s">
        <v>173</v>
      </c>
      <c r="HN1027" s="319" t="s">
        <v>173</v>
      </c>
      <c r="HO1027" s="319" t="s">
        <v>173</v>
      </c>
      <c r="HP1027" s="319" t="s">
        <v>173</v>
      </c>
      <c r="HQ1027" s="319" t="s">
        <v>173</v>
      </c>
      <c r="HR1027" s="319" t="s">
        <v>173</v>
      </c>
      <c r="HS1027" s="319" t="s">
        <v>173</v>
      </c>
      <c r="HT1027" s="319" t="s">
        <v>173</v>
      </c>
      <c r="HU1027" s="319" t="s">
        <v>173</v>
      </c>
      <c r="HV1027" s="319" t="s">
        <v>173</v>
      </c>
      <c r="HW1027" s="319" t="s">
        <v>173</v>
      </c>
      <c r="HX1027" s="319" t="s">
        <v>173</v>
      </c>
      <c r="HY1027" s="319" t="s">
        <v>173</v>
      </c>
      <c r="HZ1027" s="319" t="s">
        <v>173</v>
      </c>
      <c r="IA1027" s="319" t="s">
        <v>173</v>
      </c>
      <c r="IB1027" s="319" t="s">
        <v>173</v>
      </c>
      <c r="IC1027" s="319" t="s">
        <v>173</v>
      </c>
      <c r="ID1027" s="319" t="s">
        <v>173</v>
      </c>
      <c r="IE1027" s="319" t="s">
        <v>173</v>
      </c>
      <c r="IF1027" s="319" t="s">
        <v>173</v>
      </c>
      <c r="IG1027" s="319" t="s">
        <v>173</v>
      </c>
      <c r="IH1027" s="319" t="s">
        <v>173</v>
      </c>
      <c r="II1027" s="319" t="s">
        <v>173</v>
      </c>
      <c r="IJ1027" s="319" t="s">
        <v>173</v>
      </c>
      <c r="IK1027" s="319" t="s">
        <v>173</v>
      </c>
      <c r="IL1027" s="319" t="s">
        <v>173</v>
      </c>
      <c r="IM1027" s="319" t="s">
        <v>173</v>
      </c>
      <c r="IN1027" s="319" t="s">
        <v>173</v>
      </c>
      <c r="IO1027" s="319" t="s">
        <v>173</v>
      </c>
      <c r="IP1027" s="319" t="s">
        <v>173</v>
      </c>
      <c r="IQ1027" s="321" t="s">
        <v>173</v>
      </c>
      <c r="IR1027" s="320" t="s">
        <v>173</v>
      </c>
      <c r="IS1027" s="322" t="s">
        <v>173</v>
      </c>
      <c r="IT1027" s="319" t="s">
        <v>173</v>
      </c>
    </row>
    <row r="1028" spans="1:254" s="271" customFormat="1" x14ac:dyDescent="0.25">
      <c r="A1028" s="318" t="str">
        <f>HYPERLINK("http://www.ofsted.gov.uk/inspection-reports/find-inspection-report/provider/ELS/146522 ","Ofsted School Webpage")</f>
        <v>Ofsted School Webpage</v>
      </c>
      <c r="B1028" s="319">
        <v>146522</v>
      </c>
      <c r="C1028" s="319">
        <v>8936037</v>
      </c>
      <c r="D1028" s="319" t="s">
        <v>2560</v>
      </c>
      <c r="E1028" s="319" t="s">
        <v>168</v>
      </c>
      <c r="F1028" s="319" t="s">
        <v>434</v>
      </c>
      <c r="G1028" s="319" t="s">
        <v>81</v>
      </c>
      <c r="H1028" s="319" t="s">
        <v>81</v>
      </c>
      <c r="I1028" s="319" t="s">
        <v>78</v>
      </c>
      <c r="J1028" s="319" t="s">
        <v>424</v>
      </c>
      <c r="K1028" s="319" t="s">
        <v>437</v>
      </c>
      <c r="L1028" s="319" t="s">
        <v>437</v>
      </c>
      <c r="M1028" s="319" t="s">
        <v>587</v>
      </c>
      <c r="N1028" s="319" t="s">
        <v>3023</v>
      </c>
      <c r="O1028" s="319" t="s">
        <v>2561</v>
      </c>
      <c r="P1028" s="319" t="s">
        <v>173</v>
      </c>
      <c r="Q1028" s="319" t="s">
        <v>429</v>
      </c>
      <c r="R1028" s="320">
        <v>10100048</v>
      </c>
      <c r="S1028" s="321">
        <v>43641</v>
      </c>
      <c r="T1028" s="321">
        <v>43643</v>
      </c>
      <c r="U1028" s="321">
        <v>43726</v>
      </c>
      <c r="V1028" s="319" t="s">
        <v>435</v>
      </c>
      <c r="W1028" s="319" t="s">
        <v>2767</v>
      </c>
      <c r="X1028" s="319">
        <v>2</v>
      </c>
      <c r="Y1028" s="319" t="s">
        <v>173</v>
      </c>
      <c r="Z1028" s="319" t="s">
        <v>173</v>
      </c>
      <c r="AA1028" s="319" t="s">
        <v>173</v>
      </c>
      <c r="AB1028" s="319">
        <v>2</v>
      </c>
      <c r="AC1028" s="319" t="s">
        <v>169</v>
      </c>
      <c r="AD1028" s="319" t="s">
        <v>173</v>
      </c>
      <c r="AE1028" s="319">
        <v>0</v>
      </c>
      <c r="AF1028" s="319" t="s">
        <v>427</v>
      </c>
      <c r="AG1028" s="319" t="s">
        <v>171</v>
      </c>
      <c r="AH1028" s="319" t="s">
        <v>190</v>
      </c>
      <c r="AI1028" s="319" t="s">
        <v>190</v>
      </c>
      <c r="AJ1028" s="319" t="s">
        <v>190</v>
      </c>
      <c r="AK1028" s="319" t="s">
        <v>190</v>
      </c>
      <c r="AL1028" s="319" t="s">
        <v>190</v>
      </c>
      <c r="AM1028" s="319" t="s">
        <v>190</v>
      </c>
      <c r="AN1028" s="319" t="s">
        <v>190</v>
      </c>
      <c r="AO1028" s="319" t="s">
        <v>190</v>
      </c>
      <c r="AP1028" s="319" t="s">
        <v>190</v>
      </c>
      <c r="AQ1028" s="319" t="s">
        <v>190</v>
      </c>
      <c r="AR1028" s="319" t="s">
        <v>190</v>
      </c>
      <c r="AS1028" s="319" t="s">
        <v>190</v>
      </c>
      <c r="AT1028" s="319" t="s">
        <v>190</v>
      </c>
      <c r="AU1028" s="319" t="s">
        <v>190</v>
      </c>
      <c r="AV1028" s="319" t="s">
        <v>190</v>
      </c>
      <c r="AW1028" s="319" t="s">
        <v>190</v>
      </c>
      <c r="AX1028" s="319" t="s">
        <v>190</v>
      </c>
      <c r="AY1028" s="319" t="s">
        <v>190</v>
      </c>
      <c r="AZ1028" s="319" t="s">
        <v>190</v>
      </c>
      <c r="BA1028" s="319" t="s">
        <v>190</v>
      </c>
      <c r="BB1028" s="319" t="s">
        <v>190</v>
      </c>
      <c r="BC1028" s="319" t="s">
        <v>190</v>
      </c>
      <c r="BD1028" s="319" t="s">
        <v>190</v>
      </c>
      <c r="BE1028" s="319" t="s">
        <v>190</v>
      </c>
      <c r="BF1028" s="319" t="s">
        <v>428</v>
      </c>
      <c r="BG1028" s="319" t="s">
        <v>190</v>
      </c>
      <c r="BH1028" s="319" t="s">
        <v>190</v>
      </c>
      <c r="BI1028" s="319" t="s">
        <v>190</v>
      </c>
      <c r="BJ1028" s="319" t="s">
        <v>190</v>
      </c>
      <c r="BK1028" s="319" t="s">
        <v>190</v>
      </c>
      <c r="BL1028" s="319" t="s">
        <v>190</v>
      </c>
      <c r="BM1028" s="319" t="s">
        <v>190</v>
      </c>
      <c r="BN1028" s="319" t="s">
        <v>190</v>
      </c>
      <c r="BO1028" s="319" t="s">
        <v>190</v>
      </c>
      <c r="BP1028" s="319" t="s">
        <v>190</v>
      </c>
      <c r="BQ1028" s="319" t="s">
        <v>190</v>
      </c>
      <c r="BR1028" s="319" t="s">
        <v>190</v>
      </c>
      <c r="BS1028" s="319" t="s">
        <v>190</v>
      </c>
      <c r="BT1028" s="319" t="s">
        <v>190</v>
      </c>
      <c r="BU1028" s="319" t="s">
        <v>190</v>
      </c>
      <c r="BV1028" s="319" t="s">
        <v>190</v>
      </c>
      <c r="BW1028" s="319" t="s">
        <v>190</v>
      </c>
      <c r="BX1028" s="319" t="s">
        <v>190</v>
      </c>
      <c r="BY1028" s="319" t="s">
        <v>190</v>
      </c>
      <c r="BZ1028" s="319" t="s">
        <v>190</v>
      </c>
      <c r="CA1028" s="319" t="s">
        <v>190</v>
      </c>
      <c r="CB1028" s="319" t="s">
        <v>190</v>
      </c>
      <c r="CC1028" s="319" t="s">
        <v>190</v>
      </c>
      <c r="CD1028" s="319" t="s">
        <v>190</v>
      </c>
      <c r="CE1028" s="319" t="s">
        <v>190</v>
      </c>
      <c r="CF1028" s="319" t="s">
        <v>190</v>
      </c>
      <c r="CG1028" s="319" t="s">
        <v>190</v>
      </c>
      <c r="CH1028" s="319" t="s">
        <v>190</v>
      </c>
      <c r="CI1028" s="319" t="s">
        <v>190</v>
      </c>
      <c r="CJ1028" s="319" t="s">
        <v>190</v>
      </c>
      <c r="CK1028" s="319" t="s">
        <v>190</v>
      </c>
      <c r="CL1028" s="319" t="s">
        <v>190</v>
      </c>
      <c r="CM1028" s="319" t="s">
        <v>190</v>
      </c>
      <c r="CN1028" s="319" t="s">
        <v>428</v>
      </c>
      <c r="CO1028" s="319" t="s">
        <v>428</v>
      </c>
      <c r="CP1028" s="319" t="s">
        <v>428</v>
      </c>
      <c r="CQ1028" s="319" t="s">
        <v>190</v>
      </c>
      <c r="CR1028" s="319" t="s">
        <v>190</v>
      </c>
      <c r="CS1028" s="319" t="s">
        <v>190</v>
      </c>
      <c r="CT1028" s="319" t="s">
        <v>190</v>
      </c>
      <c r="CU1028" s="319" t="s">
        <v>190</v>
      </c>
      <c r="CV1028" s="319" t="s">
        <v>190</v>
      </c>
      <c r="CW1028" s="319" t="s">
        <v>190</v>
      </c>
      <c r="CX1028" s="319" t="s">
        <v>190</v>
      </c>
      <c r="CY1028" s="319" t="s">
        <v>190</v>
      </c>
      <c r="CZ1028" s="319" t="s">
        <v>190</v>
      </c>
      <c r="DA1028" s="319" t="s">
        <v>190</v>
      </c>
      <c r="DB1028" s="319" t="s">
        <v>190</v>
      </c>
      <c r="DC1028" s="319" t="s">
        <v>190</v>
      </c>
      <c r="DD1028" s="319" t="s">
        <v>190</v>
      </c>
      <c r="DE1028" s="319" t="s">
        <v>190</v>
      </c>
      <c r="DF1028" s="319" t="s">
        <v>190</v>
      </c>
      <c r="DG1028" s="319" t="s">
        <v>190</v>
      </c>
      <c r="DH1028" s="319" t="s">
        <v>190</v>
      </c>
      <c r="DI1028" s="319" t="s">
        <v>190</v>
      </c>
      <c r="DJ1028" s="319" t="s">
        <v>190</v>
      </c>
      <c r="DK1028" s="319" t="s">
        <v>190</v>
      </c>
      <c r="DL1028" s="319" t="s">
        <v>190</v>
      </c>
      <c r="DM1028" s="319" t="s">
        <v>190</v>
      </c>
      <c r="DN1028" s="319" t="s">
        <v>428</v>
      </c>
      <c r="DO1028" s="319" t="s">
        <v>190</v>
      </c>
      <c r="DP1028" s="319" t="s">
        <v>190</v>
      </c>
      <c r="DQ1028" s="319" t="s">
        <v>190</v>
      </c>
      <c r="DR1028" s="319" t="s">
        <v>190</v>
      </c>
      <c r="DS1028" s="319" t="s">
        <v>190</v>
      </c>
      <c r="DT1028" s="319" t="s">
        <v>190</v>
      </c>
      <c r="DU1028" s="319" t="s">
        <v>190</v>
      </c>
      <c r="DV1028" s="319" t="s">
        <v>173</v>
      </c>
      <c r="DW1028" s="319" t="s">
        <v>190</v>
      </c>
      <c r="DX1028" s="319" t="s">
        <v>190</v>
      </c>
      <c r="DY1028" s="319" t="s">
        <v>190</v>
      </c>
      <c r="DZ1028" s="319" t="s">
        <v>190</v>
      </c>
      <c r="EA1028" s="319" t="s">
        <v>190</v>
      </c>
      <c r="EB1028" s="319" t="s">
        <v>190</v>
      </c>
      <c r="EC1028" s="319" t="s">
        <v>428</v>
      </c>
      <c r="ED1028" s="319" t="s">
        <v>190</v>
      </c>
      <c r="EE1028" s="319" t="s">
        <v>190</v>
      </c>
      <c r="EF1028" s="319" t="s">
        <v>190</v>
      </c>
      <c r="EG1028" s="319" t="s">
        <v>190</v>
      </c>
      <c r="EH1028" s="319" t="s">
        <v>190</v>
      </c>
      <c r="EI1028" s="319" t="s">
        <v>190</v>
      </c>
      <c r="EJ1028" s="319" t="s">
        <v>190</v>
      </c>
      <c r="EK1028" s="319" t="s">
        <v>190</v>
      </c>
      <c r="EL1028" s="319" t="s">
        <v>190</v>
      </c>
      <c r="EM1028" s="319" t="s">
        <v>190</v>
      </c>
      <c r="EN1028" s="319" t="s">
        <v>190</v>
      </c>
      <c r="EO1028" s="319" t="s">
        <v>190</v>
      </c>
      <c r="EP1028" s="319" t="s">
        <v>190</v>
      </c>
      <c r="EQ1028" s="319" t="s">
        <v>190</v>
      </c>
      <c r="ER1028" s="319" t="s">
        <v>190</v>
      </c>
      <c r="ES1028" s="319" t="s">
        <v>190</v>
      </c>
      <c r="ET1028" s="319" t="s">
        <v>190</v>
      </c>
      <c r="EU1028" s="319" t="s">
        <v>190</v>
      </c>
      <c r="EV1028" s="319" t="s">
        <v>190</v>
      </c>
      <c r="EW1028" s="319" t="s">
        <v>190</v>
      </c>
      <c r="EX1028" s="319" t="s">
        <v>190</v>
      </c>
      <c r="EY1028" s="319" t="s">
        <v>190</v>
      </c>
      <c r="EZ1028" s="319" t="s">
        <v>190</v>
      </c>
      <c r="FA1028" s="319" t="s">
        <v>190</v>
      </c>
      <c r="FB1028" s="319" t="s">
        <v>190</v>
      </c>
      <c r="FC1028" s="319" t="s">
        <v>190</v>
      </c>
      <c r="FD1028" s="319" t="s">
        <v>190</v>
      </c>
      <c r="FE1028" s="319" t="s">
        <v>190</v>
      </c>
      <c r="FF1028" s="319" t="s">
        <v>190</v>
      </c>
      <c r="FG1028" s="319" t="s">
        <v>190</v>
      </c>
      <c r="FH1028" s="319" t="s">
        <v>190</v>
      </c>
      <c r="FI1028" s="319" t="s">
        <v>190</v>
      </c>
      <c r="FJ1028" s="319" t="s">
        <v>190</v>
      </c>
      <c r="FK1028" s="319" t="s">
        <v>190</v>
      </c>
      <c r="FL1028" s="319" t="s">
        <v>190</v>
      </c>
      <c r="FM1028" s="319" t="s">
        <v>190</v>
      </c>
      <c r="FN1028" s="319" t="s">
        <v>190</v>
      </c>
      <c r="FO1028" s="319" t="s">
        <v>190</v>
      </c>
      <c r="FP1028" s="319" t="s">
        <v>190</v>
      </c>
      <c r="FQ1028" s="319" t="s">
        <v>190</v>
      </c>
      <c r="FR1028" s="319" t="s">
        <v>190</v>
      </c>
      <c r="FS1028" s="319" t="s">
        <v>428</v>
      </c>
      <c r="FT1028" s="319" t="s">
        <v>190</v>
      </c>
      <c r="FU1028" s="319" t="s">
        <v>190</v>
      </c>
      <c r="FV1028" s="319" t="s">
        <v>190</v>
      </c>
      <c r="FW1028" s="319" t="s">
        <v>190</v>
      </c>
      <c r="FX1028" s="319" t="s">
        <v>190</v>
      </c>
      <c r="FY1028" s="319" t="s">
        <v>190</v>
      </c>
      <c r="FZ1028" s="319" t="s">
        <v>190</v>
      </c>
      <c r="GA1028" s="319" t="s">
        <v>190</v>
      </c>
      <c r="GB1028" s="319" t="s">
        <v>190</v>
      </c>
      <c r="GC1028" s="319" t="s">
        <v>190</v>
      </c>
      <c r="GD1028" s="319" t="s">
        <v>190</v>
      </c>
      <c r="GE1028" s="319" t="s">
        <v>190</v>
      </c>
      <c r="GF1028" s="319" t="s">
        <v>190</v>
      </c>
      <c r="GG1028" s="319" t="s">
        <v>190</v>
      </c>
      <c r="GH1028" s="319" t="s">
        <v>190</v>
      </c>
      <c r="GI1028" s="319" t="s">
        <v>190</v>
      </c>
      <c r="GJ1028" s="319" t="s">
        <v>190</v>
      </c>
      <c r="GK1028" s="319" t="s">
        <v>428</v>
      </c>
      <c r="GL1028" s="319" t="s">
        <v>190</v>
      </c>
      <c r="GM1028" s="319" t="s">
        <v>190</v>
      </c>
      <c r="GN1028" s="319" t="s">
        <v>190</v>
      </c>
      <c r="GO1028" s="319" t="s">
        <v>190</v>
      </c>
      <c r="GP1028" s="319" t="s">
        <v>190</v>
      </c>
      <c r="GQ1028" s="319" t="s">
        <v>190</v>
      </c>
      <c r="GR1028" s="319" t="s">
        <v>190</v>
      </c>
      <c r="GS1028" s="319" t="s">
        <v>190</v>
      </c>
      <c r="GT1028" s="319" t="s">
        <v>190</v>
      </c>
      <c r="GU1028" s="319" t="s">
        <v>190</v>
      </c>
      <c r="GV1028" s="319" t="s">
        <v>190</v>
      </c>
      <c r="GW1028" s="319" t="s">
        <v>190</v>
      </c>
      <c r="GX1028" s="319" t="s">
        <v>190</v>
      </c>
      <c r="GY1028" s="319" t="s">
        <v>190</v>
      </c>
      <c r="GZ1028" s="319" t="s">
        <v>428</v>
      </c>
      <c r="HA1028" s="319" t="s">
        <v>190</v>
      </c>
      <c r="HB1028" s="319" t="s">
        <v>190</v>
      </c>
      <c r="HC1028" s="319" t="s">
        <v>190</v>
      </c>
      <c r="HD1028" s="319" t="s">
        <v>190</v>
      </c>
      <c r="HE1028" s="319" t="s">
        <v>190</v>
      </c>
      <c r="HF1028" s="319" t="s">
        <v>190</v>
      </c>
      <c r="HG1028" s="319" t="s">
        <v>190</v>
      </c>
      <c r="HH1028" s="319" t="s">
        <v>190</v>
      </c>
      <c r="HI1028" s="319" t="s">
        <v>190</v>
      </c>
      <c r="HJ1028" s="319" t="s">
        <v>190</v>
      </c>
      <c r="HK1028" s="319" t="s">
        <v>190</v>
      </c>
      <c r="HL1028" s="319" t="s">
        <v>190</v>
      </c>
      <c r="HM1028" s="319" t="s">
        <v>190</v>
      </c>
      <c r="HN1028" s="319" t="s">
        <v>190</v>
      </c>
      <c r="HO1028" s="319" t="s">
        <v>190</v>
      </c>
      <c r="HP1028" s="319" t="s">
        <v>190</v>
      </c>
      <c r="HQ1028" s="319" t="s">
        <v>190</v>
      </c>
      <c r="HR1028" s="319" t="s">
        <v>190</v>
      </c>
      <c r="HS1028" s="319" t="s">
        <v>190</v>
      </c>
      <c r="HT1028" s="319" t="s">
        <v>190</v>
      </c>
      <c r="HU1028" s="319" t="s">
        <v>190</v>
      </c>
      <c r="HV1028" s="319" t="s">
        <v>190</v>
      </c>
      <c r="HW1028" s="319" t="s">
        <v>190</v>
      </c>
      <c r="HX1028" s="319" t="s">
        <v>190</v>
      </c>
      <c r="HY1028" s="319" t="s">
        <v>190</v>
      </c>
      <c r="HZ1028" s="319" t="s">
        <v>190</v>
      </c>
      <c r="IA1028" s="319" t="s">
        <v>190</v>
      </c>
      <c r="IB1028" s="319" t="s">
        <v>190</v>
      </c>
      <c r="IC1028" s="319" t="s">
        <v>190</v>
      </c>
      <c r="ID1028" s="319" t="s">
        <v>190</v>
      </c>
      <c r="IE1028" s="319" t="s">
        <v>190</v>
      </c>
      <c r="IF1028" s="319" t="s">
        <v>190</v>
      </c>
      <c r="IG1028" s="319" t="s">
        <v>190</v>
      </c>
      <c r="IH1028" s="319" t="s">
        <v>190</v>
      </c>
      <c r="II1028" s="319" t="s">
        <v>190</v>
      </c>
      <c r="IJ1028" s="319" t="s">
        <v>173</v>
      </c>
      <c r="IK1028" s="319" t="s">
        <v>173</v>
      </c>
      <c r="IL1028" s="319" t="s">
        <v>173</v>
      </c>
      <c r="IM1028" s="319" t="s">
        <v>173</v>
      </c>
      <c r="IN1028" s="319" t="s">
        <v>173</v>
      </c>
      <c r="IO1028" s="319" t="s">
        <v>173</v>
      </c>
      <c r="IP1028" s="319" t="s">
        <v>173</v>
      </c>
      <c r="IQ1028" s="319" t="s">
        <v>173</v>
      </c>
      <c r="IR1028" s="320" t="s">
        <v>173</v>
      </c>
      <c r="IS1028" s="320" t="s">
        <v>173</v>
      </c>
      <c r="IT1028" s="319" t="s">
        <v>173</v>
      </c>
    </row>
    <row r="1029" spans="1:254" s="271" customFormat="1" x14ac:dyDescent="0.25">
      <c r="A1029" s="318" t="str">
        <f>HYPERLINK("http://www.ofsted.gov.uk/inspection-reports/find-inspection-report/provider/ELS/146524 ","Ofsted School Webpage")</f>
        <v>Ofsted School Webpage</v>
      </c>
      <c r="B1029" s="319">
        <v>146524</v>
      </c>
      <c r="C1029" s="319">
        <v>9166023</v>
      </c>
      <c r="D1029" s="319" t="s">
        <v>2562</v>
      </c>
      <c r="E1029" s="319" t="s">
        <v>168</v>
      </c>
      <c r="F1029" s="319" t="s">
        <v>434</v>
      </c>
      <c r="G1029" s="319" t="s">
        <v>81</v>
      </c>
      <c r="H1029" s="319" t="s">
        <v>81</v>
      </c>
      <c r="I1029" s="319" t="s">
        <v>78</v>
      </c>
      <c r="J1029" s="319" t="s">
        <v>424</v>
      </c>
      <c r="K1029" s="319" t="s">
        <v>422</v>
      </c>
      <c r="L1029" s="319" t="s">
        <v>422</v>
      </c>
      <c r="M1029" s="319" t="s">
        <v>846</v>
      </c>
      <c r="N1029" s="319" t="s">
        <v>3583</v>
      </c>
      <c r="O1029" s="319" t="s">
        <v>2563</v>
      </c>
      <c r="P1029" s="319" t="s">
        <v>173</v>
      </c>
      <c r="Q1029" s="319" t="s">
        <v>429</v>
      </c>
      <c r="R1029" s="320">
        <v>10107541</v>
      </c>
      <c r="S1029" s="321">
        <v>43774</v>
      </c>
      <c r="T1029" s="321">
        <v>43776</v>
      </c>
      <c r="U1029" s="321">
        <v>43809</v>
      </c>
      <c r="V1029" s="319" t="s">
        <v>3688</v>
      </c>
      <c r="W1029" s="319" t="s">
        <v>2767</v>
      </c>
      <c r="X1029" s="319">
        <v>4</v>
      </c>
      <c r="Y1029" s="319">
        <v>4</v>
      </c>
      <c r="Z1029" s="319">
        <v>4</v>
      </c>
      <c r="AA1029" s="319">
        <v>4</v>
      </c>
      <c r="AB1029" s="319">
        <v>4</v>
      </c>
      <c r="AC1029" s="319" t="s">
        <v>170</v>
      </c>
      <c r="AD1029" s="319" t="s">
        <v>173</v>
      </c>
      <c r="AE1029" s="319">
        <v>4</v>
      </c>
      <c r="AF1029" s="319" t="s">
        <v>427</v>
      </c>
      <c r="AG1029" s="319" t="s">
        <v>172</v>
      </c>
      <c r="AH1029" s="319" t="s">
        <v>479</v>
      </c>
      <c r="AI1029" s="319" t="s">
        <v>479</v>
      </c>
      <c r="AJ1029" s="319" t="s">
        <v>479</v>
      </c>
      <c r="AK1029" s="319" t="s">
        <v>479</v>
      </c>
      <c r="AL1029" s="319" t="s">
        <v>190</v>
      </c>
      <c r="AM1029" s="319" t="s">
        <v>190</v>
      </c>
      <c r="AN1029" s="319" t="s">
        <v>190</v>
      </c>
      <c r="AO1029" s="319" t="s">
        <v>479</v>
      </c>
      <c r="AP1029" s="319" t="s">
        <v>191</v>
      </c>
      <c r="AQ1029" s="319" t="s">
        <v>191</v>
      </c>
      <c r="AR1029" s="319" t="s">
        <v>191</v>
      </c>
      <c r="AS1029" s="319" t="s">
        <v>191</v>
      </c>
      <c r="AT1029" s="319" t="s">
        <v>190</v>
      </c>
      <c r="AU1029" s="319" t="s">
        <v>191</v>
      </c>
      <c r="AV1029" s="319" t="s">
        <v>191</v>
      </c>
      <c r="AW1029" s="319" t="s">
        <v>190</v>
      </c>
      <c r="AX1029" s="319" t="s">
        <v>428</v>
      </c>
      <c r="AY1029" s="319" t="s">
        <v>191</v>
      </c>
      <c r="AZ1029" s="319" t="s">
        <v>191</v>
      </c>
      <c r="BA1029" s="319" t="s">
        <v>191</v>
      </c>
      <c r="BB1029" s="319" t="s">
        <v>191</v>
      </c>
      <c r="BC1029" s="319" t="s">
        <v>191</v>
      </c>
      <c r="BD1029" s="319" t="s">
        <v>191</v>
      </c>
      <c r="BE1029" s="319" t="s">
        <v>191</v>
      </c>
      <c r="BF1029" s="319" t="s">
        <v>428</v>
      </c>
      <c r="BG1029" s="319" t="s">
        <v>191</v>
      </c>
      <c r="BH1029" s="319" t="s">
        <v>191</v>
      </c>
      <c r="BI1029" s="319" t="s">
        <v>191</v>
      </c>
      <c r="BJ1029" s="319" t="s">
        <v>191</v>
      </c>
      <c r="BK1029" s="319" t="s">
        <v>191</v>
      </c>
      <c r="BL1029" s="319" t="s">
        <v>191</v>
      </c>
      <c r="BM1029" s="319" t="s">
        <v>191</v>
      </c>
      <c r="BN1029" s="319" t="s">
        <v>191</v>
      </c>
      <c r="BO1029" s="319" t="s">
        <v>191</v>
      </c>
      <c r="BP1029" s="319" t="s">
        <v>191</v>
      </c>
      <c r="BQ1029" s="319" t="s">
        <v>190</v>
      </c>
      <c r="BR1029" s="319" t="s">
        <v>191</v>
      </c>
      <c r="BS1029" s="319" t="s">
        <v>190</v>
      </c>
      <c r="BT1029" s="319" t="s">
        <v>190</v>
      </c>
      <c r="BU1029" s="319" t="s">
        <v>190</v>
      </c>
      <c r="BV1029" s="319" t="s">
        <v>191</v>
      </c>
      <c r="BW1029" s="319" t="s">
        <v>191</v>
      </c>
      <c r="BX1029" s="319" t="s">
        <v>191</v>
      </c>
      <c r="BY1029" s="319" t="s">
        <v>191</v>
      </c>
      <c r="BZ1029" s="319" t="s">
        <v>191</v>
      </c>
      <c r="CA1029" s="319" t="s">
        <v>191</v>
      </c>
      <c r="CB1029" s="319" t="s">
        <v>191</v>
      </c>
      <c r="CC1029" s="319" t="s">
        <v>191</v>
      </c>
      <c r="CD1029" s="319" t="s">
        <v>191</v>
      </c>
      <c r="CE1029" s="319" t="s">
        <v>191</v>
      </c>
      <c r="CF1029" s="319" t="s">
        <v>191</v>
      </c>
      <c r="CG1029" s="319" t="s">
        <v>191</v>
      </c>
      <c r="CH1029" s="319" t="s">
        <v>191</v>
      </c>
      <c r="CI1029" s="319" t="s">
        <v>191</v>
      </c>
      <c r="CJ1029" s="319" t="s">
        <v>191</v>
      </c>
      <c r="CK1029" s="319" t="s">
        <v>191</v>
      </c>
      <c r="CL1029" s="319" t="s">
        <v>191</v>
      </c>
      <c r="CM1029" s="319" t="s">
        <v>191</v>
      </c>
      <c r="CN1029" s="319" t="s">
        <v>428</v>
      </c>
      <c r="CO1029" s="319" t="s">
        <v>428</v>
      </c>
      <c r="CP1029" s="319" t="s">
        <v>428</v>
      </c>
      <c r="CQ1029" s="319" t="s">
        <v>191</v>
      </c>
      <c r="CR1029" s="319" t="s">
        <v>191</v>
      </c>
      <c r="CS1029" s="319" t="s">
        <v>191</v>
      </c>
      <c r="CT1029" s="319" t="s">
        <v>191</v>
      </c>
      <c r="CU1029" s="319" t="s">
        <v>190</v>
      </c>
      <c r="CV1029" s="319" t="s">
        <v>191</v>
      </c>
      <c r="CW1029" s="319" t="s">
        <v>191</v>
      </c>
      <c r="CX1029" s="319" t="s">
        <v>190</v>
      </c>
      <c r="CY1029" s="319" t="s">
        <v>190</v>
      </c>
      <c r="CZ1029" s="319" t="s">
        <v>190</v>
      </c>
      <c r="DA1029" s="319" t="s">
        <v>190</v>
      </c>
      <c r="DB1029" s="319" t="s">
        <v>190</v>
      </c>
      <c r="DC1029" s="319" t="s">
        <v>190</v>
      </c>
      <c r="DD1029" s="319" t="s">
        <v>190</v>
      </c>
      <c r="DE1029" s="319" t="s">
        <v>190</v>
      </c>
      <c r="DF1029" s="319" t="s">
        <v>190</v>
      </c>
      <c r="DG1029" s="319" t="s">
        <v>190</v>
      </c>
      <c r="DH1029" s="319" t="s">
        <v>190</v>
      </c>
      <c r="DI1029" s="319" t="s">
        <v>190</v>
      </c>
      <c r="DJ1029" s="319" t="s">
        <v>190</v>
      </c>
      <c r="DK1029" s="319" t="s">
        <v>190</v>
      </c>
      <c r="DL1029" s="319" t="s">
        <v>190</v>
      </c>
      <c r="DM1029" s="319" t="s">
        <v>190</v>
      </c>
      <c r="DN1029" s="319" t="s">
        <v>428</v>
      </c>
      <c r="DO1029" s="319" t="s">
        <v>190</v>
      </c>
      <c r="DP1029" s="319" t="s">
        <v>191</v>
      </c>
      <c r="DQ1029" s="319" t="s">
        <v>191</v>
      </c>
      <c r="DR1029" s="319" t="s">
        <v>191</v>
      </c>
      <c r="DS1029" s="319" t="s">
        <v>191</v>
      </c>
      <c r="DT1029" s="319" t="s">
        <v>191</v>
      </c>
      <c r="DU1029" s="319" t="s">
        <v>191</v>
      </c>
      <c r="DV1029" s="319" t="s">
        <v>191</v>
      </c>
      <c r="DW1029" s="319" t="s">
        <v>191</v>
      </c>
      <c r="DX1029" s="319" t="s">
        <v>191</v>
      </c>
      <c r="DY1029" s="319" t="s">
        <v>191</v>
      </c>
      <c r="DZ1029" s="319" t="s">
        <v>191</v>
      </c>
      <c r="EA1029" s="319" t="s">
        <v>191</v>
      </c>
      <c r="EB1029" s="319" t="s">
        <v>191</v>
      </c>
      <c r="EC1029" s="319" t="s">
        <v>428</v>
      </c>
      <c r="ED1029" s="319" t="s">
        <v>191</v>
      </c>
      <c r="EE1029" s="319" t="s">
        <v>190</v>
      </c>
      <c r="EF1029" s="319" t="s">
        <v>190</v>
      </c>
      <c r="EG1029" s="319" t="s">
        <v>190</v>
      </c>
      <c r="EH1029" s="319" t="s">
        <v>190</v>
      </c>
      <c r="EI1029" s="319" t="s">
        <v>190</v>
      </c>
      <c r="EJ1029" s="319" t="s">
        <v>190</v>
      </c>
      <c r="EK1029" s="319" t="s">
        <v>190</v>
      </c>
      <c r="EL1029" s="319" t="s">
        <v>190</v>
      </c>
      <c r="EM1029" s="319" t="s">
        <v>190</v>
      </c>
      <c r="EN1029" s="319" t="s">
        <v>190</v>
      </c>
      <c r="EO1029" s="319" t="s">
        <v>190</v>
      </c>
      <c r="EP1029" s="319" t="s">
        <v>191</v>
      </c>
      <c r="EQ1029" s="319" t="s">
        <v>191</v>
      </c>
      <c r="ER1029" s="319" t="s">
        <v>191</v>
      </c>
      <c r="ES1029" s="319" t="s">
        <v>191</v>
      </c>
      <c r="ET1029" s="319" t="s">
        <v>191</v>
      </c>
      <c r="EU1029" s="319" t="s">
        <v>191</v>
      </c>
      <c r="EV1029" s="319" t="s">
        <v>191</v>
      </c>
      <c r="EW1029" s="319" t="s">
        <v>191</v>
      </c>
      <c r="EX1029" s="319" t="s">
        <v>191</v>
      </c>
      <c r="EY1029" s="319" t="s">
        <v>191</v>
      </c>
      <c r="EZ1029" s="319" t="s">
        <v>191</v>
      </c>
      <c r="FA1029" s="319" t="s">
        <v>428</v>
      </c>
      <c r="FB1029" s="319" t="s">
        <v>190</v>
      </c>
      <c r="FC1029" s="319" t="s">
        <v>190</v>
      </c>
      <c r="FD1029" s="319" t="s">
        <v>190</v>
      </c>
      <c r="FE1029" s="319" t="s">
        <v>190</v>
      </c>
      <c r="FF1029" s="319" t="s">
        <v>190</v>
      </c>
      <c r="FG1029" s="319" t="s">
        <v>190</v>
      </c>
      <c r="FH1029" s="319" t="s">
        <v>190</v>
      </c>
      <c r="FI1029" s="319" t="s">
        <v>190</v>
      </c>
      <c r="FJ1029" s="319" t="s">
        <v>190</v>
      </c>
      <c r="FK1029" s="319" t="s">
        <v>190</v>
      </c>
      <c r="FL1029" s="319" t="s">
        <v>190</v>
      </c>
      <c r="FM1029" s="319" t="s">
        <v>190</v>
      </c>
      <c r="FN1029" s="319" t="s">
        <v>190</v>
      </c>
      <c r="FO1029" s="319" t="s">
        <v>190</v>
      </c>
      <c r="FP1029" s="319" t="s">
        <v>190</v>
      </c>
      <c r="FQ1029" s="319" t="s">
        <v>190</v>
      </c>
      <c r="FR1029" s="319" t="s">
        <v>190</v>
      </c>
      <c r="FS1029" s="319" t="s">
        <v>190</v>
      </c>
      <c r="FT1029" s="319" t="s">
        <v>190</v>
      </c>
      <c r="FU1029" s="319" t="s">
        <v>190</v>
      </c>
      <c r="FV1029" s="319" t="s">
        <v>190</v>
      </c>
      <c r="FW1029" s="319" t="s">
        <v>190</v>
      </c>
      <c r="FX1029" s="319" t="s">
        <v>190</v>
      </c>
      <c r="FY1029" s="319" t="s">
        <v>190</v>
      </c>
      <c r="FZ1029" s="319" t="s">
        <v>190</v>
      </c>
      <c r="GA1029" s="319" t="s">
        <v>190</v>
      </c>
      <c r="GB1029" s="319" t="s">
        <v>190</v>
      </c>
      <c r="GC1029" s="319" t="s">
        <v>190</v>
      </c>
      <c r="GD1029" s="319" t="s">
        <v>190</v>
      </c>
      <c r="GE1029" s="319" t="s">
        <v>190</v>
      </c>
      <c r="GF1029" s="319" t="s">
        <v>190</v>
      </c>
      <c r="GG1029" s="319" t="s">
        <v>190</v>
      </c>
      <c r="GH1029" s="319" t="s">
        <v>190</v>
      </c>
      <c r="GI1029" s="319" t="s">
        <v>190</v>
      </c>
      <c r="GJ1029" s="319" t="s">
        <v>190</v>
      </c>
      <c r="GK1029" s="319" t="s">
        <v>428</v>
      </c>
      <c r="GL1029" s="319" t="s">
        <v>190</v>
      </c>
      <c r="GM1029" s="319" t="s">
        <v>190</v>
      </c>
      <c r="GN1029" s="319" t="s">
        <v>190</v>
      </c>
      <c r="GO1029" s="319" t="s">
        <v>190</v>
      </c>
      <c r="GP1029" s="319" t="s">
        <v>190</v>
      </c>
      <c r="GQ1029" s="319" t="s">
        <v>190</v>
      </c>
      <c r="GR1029" s="319" t="s">
        <v>190</v>
      </c>
      <c r="GS1029" s="319" t="s">
        <v>190</v>
      </c>
      <c r="GT1029" s="319" t="s">
        <v>190</v>
      </c>
      <c r="GU1029" s="319" t="s">
        <v>190</v>
      </c>
      <c r="GV1029" s="319" t="s">
        <v>190</v>
      </c>
      <c r="GW1029" s="319" t="s">
        <v>191</v>
      </c>
      <c r="GX1029" s="319" t="s">
        <v>191</v>
      </c>
      <c r="GY1029" s="319" t="s">
        <v>190</v>
      </c>
      <c r="GZ1029" s="319" t="s">
        <v>190</v>
      </c>
      <c r="HA1029" s="319" t="s">
        <v>190</v>
      </c>
      <c r="HB1029" s="319" t="s">
        <v>190</v>
      </c>
      <c r="HC1029" s="319" t="s">
        <v>190</v>
      </c>
      <c r="HD1029" s="319" t="s">
        <v>190</v>
      </c>
      <c r="HE1029" s="319" t="s">
        <v>190</v>
      </c>
      <c r="HF1029" s="319" t="s">
        <v>190</v>
      </c>
      <c r="HG1029" s="319" t="s">
        <v>190</v>
      </c>
      <c r="HH1029" s="319" t="s">
        <v>190</v>
      </c>
      <c r="HI1029" s="319" t="s">
        <v>190</v>
      </c>
      <c r="HJ1029" s="319" t="s">
        <v>190</v>
      </c>
      <c r="HK1029" s="319" t="s">
        <v>190</v>
      </c>
      <c r="HL1029" s="319" t="s">
        <v>190</v>
      </c>
      <c r="HM1029" s="319" t="s">
        <v>190</v>
      </c>
      <c r="HN1029" s="319" t="s">
        <v>190</v>
      </c>
      <c r="HO1029" s="319" t="s">
        <v>190</v>
      </c>
      <c r="HP1029" s="319" t="s">
        <v>190</v>
      </c>
      <c r="HQ1029" s="319" t="s">
        <v>190</v>
      </c>
      <c r="HR1029" s="319" t="s">
        <v>190</v>
      </c>
      <c r="HS1029" s="319" t="s">
        <v>190</v>
      </c>
      <c r="HT1029" s="319" t="s">
        <v>190</v>
      </c>
      <c r="HU1029" s="319" t="s">
        <v>190</v>
      </c>
      <c r="HV1029" s="319" t="s">
        <v>190</v>
      </c>
      <c r="HW1029" s="319" t="s">
        <v>190</v>
      </c>
      <c r="HX1029" s="319" t="s">
        <v>190</v>
      </c>
      <c r="HY1029" s="319" t="s">
        <v>190</v>
      </c>
      <c r="HZ1029" s="319" t="s">
        <v>190</v>
      </c>
      <c r="IA1029" s="319" t="s">
        <v>190</v>
      </c>
      <c r="IB1029" s="319" t="s">
        <v>190</v>
      </c>
      <c r="IC1029" s="319" t="s">
        <v>190</v>
      </c>
      <c r="ID1029" s="319" t="s">
        <v>190</v>
      </c>
      <c r="IE1029" s="319" t="s">
        <v>190</v>
      </c>
      <c r="IF1029" s="319" t="s">
        <v>191</v>
      </c>
      <c r="IG1029" s="319" t="s">
        <v>191</v>
      </c>
      <c r="IH1029" s="319" t="s">
        <v>191</v>
      </c>
      <c r="II1029" s="319" t="s">
        <v>191</v>
      </c>
      <c r="IJ1029" s="319" t="s">
        <v>173</v>
      </c>
      <c r="IK1029" s="319" t="s">
        <v>173</v>
      </c>
      <c r="IL1029" s="319" t="s">
        <v>173</v>
      </c>
      <c r="IM1029" s="319" t="s">
        <v>173</v>
      </c>
      <c r="IN1029" s="319" t="s">
        <v>173</v>
      </c>
      <c r="IO1029" s="319" t="s">
        <v>173</v>
      </c>
      <c r="IP1029" s="319" t="s">
        <v>173</v>
      </c>
      <c r="IQ1029" s="319" t="s">
        <v>173</v>
      </c>
      <c r="IR1029" s="320" t="s">
        <v>173</v>
      </c>
      <c r="IS1029" s="320" t="s">
        <v>173</v>
      </c>
      <c r="IT1029" s="319" t="s">
        <v>173</v>
      </c>
    </row>
    <row r="1030" spans="1:254" s="271" customFormat="1" x14ac:dyDescent="0.25">
      <c r="A1030" s="318" t="str">
        <f>HYPERLINK("http://www.ofsted.gov.uk/inspection-reports/find-inspection-report/provider/ELS/146525 ","Ofsted School Webpage")</f>
        <v>Ofsted School Webpage</v>
      </c>
      <c r="B1030" s="319">
        <v>146525</v>
      </c>
      <c r="C1030" s="319">
        <v>3906010</v>
      </c>
      <c r="D1030" s="319" t="s">
        <v>2590</v>
      </c>
      <c r="E1030" s="319" t="s">
        <v>167</v>
      </c>
      <c r="F1030" s="319" t="s">
        <v>434</v>
      </c>
      <c r="G1030" s="319" t="s">
        <v>69</v>
      </c>
      <c r="H1030" s="319" t="s">
        <v>69</v>
      </c>
      <c r="I1030" s="319" t="s">
        <v>69</v>
      </c>
      <c r="J1030" s="319" t="s">
        <v>424</v>
      </c>
      <c r="K1030" s="319" t="s">
        <v>458</v>
      </c>
      <c r="L1030" s="319" t="s">
        <v>474</v>
      </c>
      <c r="M1030" s="319" t="s">
        <v>787</v>
      </c>
      <c r="N1030" s="319" t="s">
        <v>787</v>
      </c>
      <c r="O1030" s="319" t="s">
        <v>2591</v>
      </c>
      <c r="P1030" s="319" t="s">
        <v>173</v>
      </c>
      <c r="Q1030" s="319" t="s">
        <v>2766</v>
      </c>
      <c r="R1030" s="320" t="s">
        <v>173</v>
      </c>
      <c r="S1030" s="321" t="s">
        <v>173</v>
      </c>
      <c r="T1030" s="321" t="s">
        <v>173</v>
      </c>
      <c r="U1030" s="321" t="s">
        <v>173</v>
      </c>
      <c r="V1030" s="319" t="s">
        <v>173</v>
      </c>
      <c r="W1030" s="319" t="s">
        <v>173</v>
      </c>
      <c r="X1030" s="319" t="s">
        <v>173</v>
      </c>
      <c r="Y1030" s="319" t="s">
        <v>173</v>
      </c>
      <c r="Z1030" s="319" t="s">
        <v>173</v>
      </c>
      <c r="AA1030" s="319" t="s">
        <v>173</v>
      </c>
      <c r="AB1030" s="319" t="s">
        <v>173</v>
      </c>
      <c r="AC1030" s="319" t="s">
        <v>173</v>
      </c>
      <c r="AD1030" s="319" t="s">
        <v>173</v>
      </c>
      <c r="AE1030" s="319" t="s">
        <v>173</v>
      </c>
      <c r="AF1030" s="319" t="s">
        <v>173</v>
      </c>
      <c r="AG1030" s="319" t="s">
        <v>173</v>
      </c>
      <c r="AH1030" s="319" t="s">
        <v>173</v>
      </c>
      <c r="AI1030" s="319" t="s">
        <v>173</v>
      </c>
      <c r="AJ1030" s="319" t="s">
        <v>173</v>
      </c>
      <c r="AK1030" s="319" t="s">
        <v>173</v>
      </c>
      <c r="AL1030" s="319" t="s">
        <v>173</v>
      </c>
      <c r="AM1030" s="319" t="s">
        <v>173</v>
      </c>
      <c r="AN1030" s="319" t="s">
        <v>173</v>
      </c>
      <c r="AO1030" s="319" t="s">
        <v>173</v>
      </c>
      <c r="AP1030" s="319" t="s">
        <v>173</v>
      </c>
      <c r="AQ1030" s="319" t="s">
        <v>173</v>
      </c>
      <c r="AR1030" s="319" t="s">
        <v>173</v>
      </c>
      <c r="AS1030" s="319" t="s">
        <v>173</v>
      </c>
      <c r="AT1030" s="319" t="s">
        <v>173</v>
      </c>
      <c r="AU1030" s="319" t="s">
        <v>173</v>
      </c>
      <c r="AV1030" s="319" t="s">
        <v>173</v>
      </c>
      <c r="AW1030" s="319" t="s">
        <v>173</v>
      </c>
      <c r="AX1030" s="319" t="s">
        <v>173</v>
      </c>
      <c r="AY1030" s="319" t="s">
        <v>173</v>
      </c>
      <c r="AZ1030" s="319" t="s">
        <v>173</v>
      </c>
      <c r="BA1030" s="319" t="s">
        <v>173</v>
      </c>
      <c r="BB1030" s="319" t="s">
        <v>173</v>
      </c>
      <c r="BC1030" s="319" t="s">
        <v>173</v>
      </c>
      <c r="BD1030" s="319" t="s">
        <v>173</v>
      </c>
      <c r="BE1030" s="319" t="s">
        <v>173</v>
      </c>
      <c r="BF1030" s="319" t="s">
        <v>173</v>
      </c>
      <c r="BG1030" s="319" t="s">
        <v>173</v>
      </c>
      <c r="BH1030" s="319" t="s">
        <v>173</v>
      </c>
      <c r="BI1030" s="319" t="s">
        <v>173</v>
      </c>
      <c r="BJ1030" s="319" t="s">
        <v>173</v>
      </c>
      <c r="BK1030" s="319" t="s">
        <v>173</v>
      </c>
      <c r="BL1030" s="319" t="s">
        <v>173</v>
      </c>
      <c r="BM1030" s="319" t="s">
        <v>173</v>
      </c>
      <c r="BN1030" s="319" t="s">
        <v>173</v>
      </c>
      <c r="BO1030" s="319" t="s">
        <v>173</v>
      </c>
      <c r="BP1030" s="319" t="s">
        <v>173</v>
      </c>
      <c r="BQ1030" s="319" t="s">
        <v>173</v>
      </c>
      <c r="BR1030" s="319" t="s">
        <v>173</v>
      </c>
      <c r="BS1030" s="319" t="s">
        <v>173</v>
      </c>
      <c r="BT1030" s="319" t="s">
        <v>173</v>
      </c>
      <c r="BU1030" s="319" t="s">
        <v>173</v>
      </c>
      <c r="BV1030" s="319" t="s">
        <v>173</v>
      </c>
      <c r="BW1030" s="319" t="s">
        <v>173</v>
      </c>
      <c r="BX1030" s="319" t="s">
        <v>173</v>
      </c>
      <c r="BY1030" s="319" t="s">
        <v>173</v>
      </c>
      <c r="BZ1030" s="319" t="s">
        <v>173</v>
      </c>
      <c r="CA1030" s="319" t="s">
        <v>173</v>
      </c>
      <c r="CB1030" s="319" t="s">
        <v>173</v>
      </c>
      <c r="CC1030" s="319" t="s">
        <v>173</v>
      </c>
      <c r="CD1030" s="319" t="s">
        <v>173</v>
      </c>
      <c r="CE1030" s="319" t="s">
        <v>173</v>
      </c>
      <c r="CF1030" s="319" t="s">
        <v>173</v>
      </c>
      <c r="CG1030" s="319" t="s">
        <v>173</v>
      </c>
      <c r="CH1030" s="319" t="s">
        <v>173</v>
      </c>
      <c r="CI1030" s="319" t="s">
        <v>173</v>
      </c>
      <c r="CJ1030" s="319" t="s">
        <v>173</v>
      </c>
      <c r="CK1030" s="319" t="s">
        <v>173</v>
      </c>
      <c r="CL1030" s="319" t="s">
        <v>173</v>
      </c>
      <c r="CM1030" s="319" t="s">
        <v>173</v>
      </c>
      <c r="CN1030" s="319" t="s">
        <v>173</v>
      </c>
      <c r="CO1030" s="319" t="s">
        <v>173</v>
      </c>
      <c r="CP1030" s="319" t="s">
        <v>173</v>
      </c>
      <c r="CQ1030" s="319" t="s">
        <v>173</v>
      </c>
      <c r="CR1030" s="319" t="s">
        <v>173</v>
      </c>
      <c r="CS1030" s="319" t="s">
        <v>173</v>
      </c>
      <c r="CT1030" s="319" t="s">
        <v>173</v>
      </c>
      <c r="CU1030" s="319" t="s">
        <v>173</v>
      </c>
      <c r="CV1030" s="319" t="s">
        <v>173</v>
      </c>
      <c r="CW1030" s="319" t="s">
        <v>173</v>
      </c>
      <c r="CX1030" s="319" t="s">
        <v>173</v>
      </c>
      <c r="CY1030" s="319" t="s">
        <v>173</v>
      </c>
      <c r="CZ1030" s="319" t="s">
        <v>173</v>
      </c>
      <c r="DA1030" s="319" t="s">
        <v>173</v>
      </c>
      <c r="DB1030" s="319" t="s">
        <v>173</v>
      </c>
      <c r="DC1030" s="319" t="s">
        <v>173</v>
      </c>
      <c r="DD1030" s="319" t="s">
        <v>173</v>
      </c>
      <c r="DE1030" s="319" t="s">
        <v>173</v>
      </c>
      <c r="DF1030" s="319" t="s">
        <v>173</v>
      </c>
      <c r="DG1030" s="319" t="s">
        <v>173</v>
      </c>
      <c r="DH1030" s="319" t="s">
        <v>173</v>
      </c>
      <c r="DI1030" s="319" t="s">
        <v>173</v>
      </c>
      <c r="DJ1030" s="319" t="s">
        <v>173</v>
      </c>
      <c r="DK1030" s="319" t="s">
        <v>173</v>
      </c>
      <c r="DL1030" s="319" t="s">
        <v>173</v>
      </c>
      <c r="DM1030" s="319" t="s">
        <v>173</v>
      </c>
      <c r="DN1030" s="319" t="s">
        <v>173</v>
      </c>
      <c r="DO1030" s="319" t="s">
        <v>173</v>
      </c>
      <c r="DP1030" s="319" t="s">
        <v>173</v>
      </c>
      <c r="DQ1030" s="319" t="s">
        <v>173</v>
      </c>
      <c r="DR1030" s="319" t="s">
        <v>173</v>
      </c>
      <c r="DS1030" s="319" t="s">
        <v>173</v>
      </c>
      <c r="DT1030" s="319" t="s">
        <v>173</v>
      </c>
      <c r="DU1030" s="319" t="s">
        <v>173</v>
      </c>
      <c r="DV1030" s="319" t="s">
        <v>173</v>
      </c>
      <c r="DW1030" s="319" t="s">
        <v>173</v>
      </c>
      <c r="DX1030" s="319" t="s">
        <v>173</v>
      </c>
      <c r="DY1030" s="319" t="s">
        <v>173</v>
      </c>
      <c r="DZ1030" s="319" t="s">
        <v>173</v>
      </c>
      <c r="EA1030" s="319" t="s">
        <v>173</v>
      </c>
      <c r="EB1030" s="319" t="s">
        <v>173</v>
      </c>
      <c r="EC1030" s="319" t="s">
        <v>173</v>
      </c>
      <c r="ED1030" s="319" t="s">
        <v>173</v>
      </c>
      <c r="EE1030" s="319" t="s">
        <v>173</v>
      </c>
      <c r="EF1030" s="319" t="s">
        <v>173</v>
      </c>
      <c r="EG1030" s="319" t="s">
        <v>173</v>
      </c>
      <c r="EH1030" s="319" t="s">
        <v>173</v>
      </c>
      <c r="EI1030" s="319" t="s">
        <v>173</v>
      </c>
      <c r="EJ1030" s="319" t="s">
        <v>173</v>
      </c>
      <c r="EK1030" s="319" t="s">
        <v>173</v>
      </c>
      <c r="EL1030" s="319" t="s">
        <v>173</v>
      </c>
      <c r="EM1030" s="319" t="s">
        <v>173</v>
      </c>
      <c r="EN1030" s="319" t="s">
        <v>173</v>
      </c>
      <c r="EO1030" s="319" t="s">
        <v>173</v>
      </c>
      <c r="EP1030" s="319" t="s">
        <v>173</v>
      </c>
      <c r="EQ1030" s="319" t="s">
        <v>173</v>
      </c>
      <c r="ER1030" s="319" t="s">
        <v>173</v>
      </c>
      <c r="ES1030" s="319" t="s">
        <v>173</v>
      </c>
      <c r="ET1030" s="319" t="s">
        <v>173</v>
      </c>
      <c r="EU1030" s="319" t="s">
        <v>173</v>
      </c>
      <c r="EV1030" s="319" t="s">
        <v>173</v>
      </c>
      <c r="EW1030" s="319" t="s">
        <v>173</v>
      </c>
      <c r="EX1030" s="319" t="s">
        <v>173</v>
      </c>
      <c r="EY1030" s="319" t="s">
        <v>173</v>
      </c>
      <c r="EZ1030" s="319" t="s">
        <v>173</v>
      </c>
      <c r="FA1030" s="319" t="s">
        <v>173</v>
      </c>
      <c r="FB1030" s="319" t="s">
        <v>173</v>
      </c>
      <c r="FC1030" s="319" t="s">
        <v>173</v>
      </c>
      <c r="FD1030" s="319" t="s">
        <v>173</v>
      </c>
      <c r="FE1030" s="319" t="s">
        <v>173</v>
      </c>
      <c r="FF1030" s="319" t="s">
        <v>173</v>
      </c>
      <c r="FG1030" s="319" t="s">
        <v>173</v>
      </c>
      <c r="FH1030" s="319" t="s">
        <v>173</v>
      </c>
      <c r="FI1030" s="319" t="s">
        <v>173</v>
      </c>
      <c r="FJ1030" s="319" t="s">
        <v>173</v>
      </c>
      <c r="FK1030" s="319" t="s">
        <v>173</v>
      </c>
      <c r="FL1030" s="319" t="s">
        <v>173</v>
      </c>
      <c r="FM1030" s="319" t="s">
        <v>173</v>
      </c>
      <c r="FN1030" s="319" t="s">
        <v>173</v>
      </c>
      <c r="FO1030" s="319" t="s">
        <v>173</v>
      </c>
      <c r="FP1030" s="319" t="s">
        <v>173</v>
      </c>
      <c r="FQ1030" s="319" t="s">
        <v>173</v>
      </c>
      <c r="FR1030" s="319" t="s">
        <v>173</v>
      </c>
      <c r="FS1030" s="319" t="s">
        <v>173</v>
      </c>
      <c r="FT1030" s="319" t="s">
        <v>173</v>
      </c>
      <c r="FU1030" s="319" t="s">
        <v>173</v>
      </c>
      <c r="FV1030" s="319" t="s">
        <v>173</v>
      </c>
      <c r="FW1030" s="319" t="s">
        <v>173</v>
      </c>
      <c r="FX1030" s="319" t="s">
        <v>173</v>
      </c>
      <c r="FY1030" s="319" t="s">
        <v>173</v>
      </c>
      <c r="FZ1030" s="319" t="s">
        <v>173</v>
      </c>
      <c r="GA1030" s="319" t="s">
        <v>173</v>
      </c>
      <c r="GB1030" s="319" t="s">
        <v>173</v>
      </c>
      <c r="GC1030" s="319" t="s">
        <v>173</v>
      </c>
      <c r="GD1030" s="319" t="s">
        <v>173</v>
      </c>
      <c r="GE1030" s="319" t="s">
        <v>173</v>
      </c>
      <c r="GF1030" s="319" t="s">
        <v>173</v>
      </c>
      <c r="GG1030" s="319" t="s">
        <v>173</v>
      </c>
      <c r="GH1030" s="319" t="s">
        <v>173</v>
      </c>
      <c r="GI1030" s="319" t="s">
        <v>173</v>
      </c>
      <c r="GJ1030" s="319" t="s">
        <v>173</v>
      </c>
      <c r="GK1030" s="319" t="s">
        <v>173</v>
      </c>
      <c r="GL1030" s="319" t="s">
        <v>173</v>
      </c>
      <c r="GM1030" s="319" t="s">
        <v>173</v>
      </c>
      <c r="GN1030" s="319" t="s">
        <v>173</v>
      </c>
      <c r="GO1030" s="319" t="s">
        <v>173</v>
      </c>
      <c r="GP1030" s="319" t="s">
        <v>173</v>
      </c>
      <c r="GQ1030" s="319" t="s">
        <v>173</v>
      </c>
      <c r="GR1030" s="319" t="s">
        <v>173</v>
      </c>
      <c r="GS1030" s="319" t="s">
        <v>173</v>
      </c>
      <c r="GT1030" s="319" t="s">
        <v>173</v>
      </c>
      <c r="GU1030" s="319" t="s">
        <v>173</v>
      </c>
      <c r="GV1030" s="319" t="s">
        <v>173</v>
      </c>
      <c r="GW1030" s="319" t="s">
        <v>173</v>
      </c>
      <c r="GX1030" s="319" t="s">
        <v>173</v>
      </c>
      <c r="GY1030" s="319" t="s">
        <v>173</v>
      </c>
      <c r="GZ1030" s="319" t="s">
        <v>173</v>
      </c>
      <c r="HA1030" s="319" t="s">
        <v>173</v>
      </c>
      <c r="HB1030" s="319" t="s">
        <v>173</v>
      </c>
      <c r="HC1030" s="319" t="s">
        <v>173</v>
      </c>
      <c r="HD1030" s="319" t="s">
        <v>173</v>
      </c>
      <c r="HE1030" s="319" t="s">
        <v>173</v>
      </c>
      <c r="HF1030" s="319" t="s">
        <v>173</v>
      </c>
      <c r="HG1030" s="319" t="s">
        <v>173</v>
      </c>
      <c r="HH1030" s="319" t="s">
        <v>173</v>
      </c>
      <c r="HI1030" s="319" t="s">
        <v>173</v>
      </c>
      <c r="HJ1030" s="319" t="s">
        <v>173</v>
      </c>
      <c r="HK1030" s="319" t="s">
        <v>173</v>
      </c>
      <c r="HL1030" s="319" t="s">
        <v>173</v>
      </c>
      <c r="HM1030" s="319" t="s">
        <v>173</v>
      </c>
      <c r="HN1030" s="319" t="s">
        <v>173</v>
      </c>
      <c r="HO1030" s="319" t="s">
        <v>173</v>
      </c>
      <c r="HP1030" s="319" t="s">
        <v>173</v>
      </c>
      <c r="HQ1030" s="319" t="s">
        <v>173</v>
      </c>
      <c r="HR1030" s="319" t="s">
        <v>173</v>
      </c>
      <c r="HS1030" s="319" t="s">
        <v>173</v>
      </c>
      <c r="HT1030" s="319" t="s">
        <v>173</v>
      </c>
      <c r="HU1030" s="319" t="s">
        <v>173</v>
      </c>
      <c r="HV1030" s="319" t="s">
        <v>173</v>
      </c>
      <c r="HW1030" s="319" t="s">
        <v>173</v>
      </c>
      <c r="HX1030" s="319" t="s">
        <v>173</v>
      </c>
      <c r="HY1030" s="319" t="s">
        <v>173</v>
      </c>
      <c r="HZ1030" s="319" t="s">
        <v>173</v>
      </c>
      <c r="IA1030" s="319" t="s">
        <v>173</v>
      </c>
      <c r="IB1030" s="319" t="s">
        <v>173</v>
      </c>
      <c r="IC1030" s="319" t="s">
        <v>173</v>
      </c>
      <c r="ID1030" s="319" t="s">
        <v>173</v>
      </c>
      <c r="IE1030" s="319" t="s">
        <v>173</v>
      </c>
      <c r="IF1030" s="319" t="s">
        <v>173</v>
      </c>
      <c r="IG1030" s="319" t="s">
        <v>173</v>
      </c>
      <c r="IH1030" s="319" t="s">
        <v>173</v>
      </c>
      <c r="II1030" s="319" t="s">
        <v>173</v>
      </c>
      <c r="IJ1030" s="319" t="s">
        <v>173</v>
      </c>
      <c r="IK1030" s="319" t="s">
        <v>173</v>
      </c>
      <c r="IL1030" s="319" t="s">
        <v>173</v>
      </c>
      <c r="IM1030" s="319" t="s">
        <v>173</v>
      </c>
      <c r="IN1030" s="319" t="s">
        <v>173</v>
      </c>
      <c r="IO1030" s="319" t="s">
        <v>173</v>
      </c>
      <c r="IP1030" s="319" t="s">
        <v>173</v>
      </c>
      <c r="IQ1030" s="319" t="s">
        <v>173</v>
      </c>
      <c r="IR1030" s="320" t="s">
        <v>173</v>
      </c>
      <c r="IS1030" s="320" t="s">
        <v>173</v>
      </c>
      <c r="IT1030" s="319" t="s">
        <v>173</v>
      </c>
    </row>
    <row r="1031" spans="1:254" s="271" customFormat="1" x14ac:dyDescent="0.25">
      <c r="A1031" s="318" t="str">
        <f>HYPERLINK("http://www.ofsted.gov.uk/inspection-reports/find-inspection-report/provider/ELS/146553 ","Ofsted School Webpage")</f>
        <v>Ofsted School Webpage</v>
      </c>
      <c r="B1031" s="319">
        <v>146553</v>
      </c>
      <c r="C1031" s="319">
        <v>2026005</v>
      </c>
      <c r="D1031" s="319" t="s">
        <v>2601</v>
      </c>
      <c r="E1031" s="319" t="s">
        <v>167</v>
      </c>
      <c r="F1031" s="319" t="s">
        <v>434</v>
      </c>
      <c r="G1031" s="319" t="s">
        <v>81</v>
      </c>
      <c r="H1031" s="319" t="s">
        <v>81</v>
      </c>
      <c r="I1031" s="319" t="s">
        <v>78</v>
      </c>
      <c r="J1031" s="319" t="s">
        <v>424</v>
      </c>
      <c r="K1031" s="319" t="s">
        <v>441</v>
      </c>
      <c r="L1031" s="319" t="s">
        <v>441</v>
      </c>
      <c r="M1031" s="319" t="s">
        <v>1039</v>
      </c>
      <c r="N1031" s="319" t="s">
        <v>2765</v>
      </c>
      <c r="O1031" s="319" t="s">
        <v>3584</v>
      </c>
      <c r="P1031" s="319" t="s">
        <v>173</v>
      </c>
      <c r="Q1031" s="319" t="s">
        <v>2776</v>
      </c>
      <c r="R1031" s="320" t="s">
        <v>173</v>
      </c>
      <c r="S1031" s="321" t="s">
        <v>173</v>
      </c>
      <c r="T1031" s="321" t="s">
        <v>173</v>
      </c>
      <c r="U1031" s="321" t="s">
        <v>173</v>
      </c>
      <c r="V1031" s="319" t="s">
        <v>173</v>
      </c>
      <c r="W1031" s="319" t="s">
        <v>173</v>
      </c>
      <c r="X1031" s="319" t="s">
        <v>173</v>
      </c>
      <c r="Y1031" s="319" t="s">
        <v>173</v>
      </c>
      <c r="Z1031" s="319" t="s">
        <v>173</v>
      </c>
      <c r="AA1031" s="319" t="s">
        <v>173</v>
      </c>
      <c r="AB1031" s="319" t="s">
        <v>173</v>
      </c>
      <c r="AC1031" s="319" t="s">
        <v>173</v>
      </c>
      <c r="AD1031" s="319" t="s">
        <v>173</v>
      </c>
      <c r="AE1031" s="319" t="s">
        <v>173</v>
      </c>
      <c r="AF1031" s="319" t="s">
        <v>173</v>
      </c>
      <c r="AG1031" s="319" t="s">
        <v>173</v>
      </c>
      <c r="AH1031" s="319" t="s">
        <v>173</v>
      </c>
      <c r="AI1031" s="319" t="s">
        <v>173</v>
      </c>
      <c r="AJ1031" s="319" t="s">
        <v>173</v>
      </c>
      <c r="AK1031" s="319" t="s">
        <v>173</v>
      </c>
      <c r="AL1031" s="319" t="s">
        <v>173</v>
      </c>
      <c r="AM1031" s="319" t="s">
        <v>173</v>
      </c>
      <c r="AN1031" s="319" t="s">
        <v>173</v>
      </c>
      <c r="AO1031" s="319" t="s">
        <v>173</v>
      </c>
      <c r="AP1031" s="319" t="s">
        <v>173</v>
      </c>
      <c r="AQ1031" s="319" t="s">
        <v>173</v>
      </c>
      <c r="AR1031" s="319" t="s">
        <v>173</v>
      </c>
      <c r="AS1031" s="319" t="s">
        <v>173</v>
      </c>
      <c r="AT1031" s="319" t="s">
        <v>173</v>
      </c>
      <c r="AU1031" s="319" t="s">
        <v>173</v>
      </c>
      <c r="AV1031" s="319" t="s">
        <v>173</v>
      </c>
      <c r="AW1031" s="319" t="s">
        <v>173</v>
      </c>
      <c r="AX1031" s="319" t="s">
        <v>173</v>
      </c>
      <c r="AY1031" s="319" t="s">
        <v>173</v>
      </c>
      <c r="AZ1031" s="319" t="s">
        <v>173</v>
      </c>
      <c r="BA1031" s="319" t="s">
        <v>173</v>
      </c>
      <c r="BB1031" s="319" t="s">
        <v>173</v>
      </c>
      <c r="BC1031" s="319" t="s">
        <v>173</v>
      </c>
      <c r="BD1031" s="319" t="s">
        <v>173</v>
      </c>
      <c r="BE1031" s="319" t="s">
        <v>173</v>
      </c>
      <c r="BF1031" s="319" t="s">
        <v>173</v>
      </c>
      <c r="BG1031" s="319" t="s">
        <v>173</v>
      </c>
      <c r="BH1031" s="319" t="s">
        <v>173</v>
      </c>
      <c r="BI1031" s="319" t="s">
        <v>173</v>
      </c>
      <c r="BJ1031" s="319" t="s">
        <v>173</v>
      </c>
      <c r="BK1031" s="319" t="s">
        <v>173</v>
      </c>
      <c r="BL1031" s="319" t="s">
        <v>173</v>
      </c>
      <c r="BM1031" s="319" t="s">
        <v>173</v>
      </c>
      <c r="BN1031" s="319" t="s">
        <v>173</v>
      </c>
      <c r="BO1031" s="319" t="s">
        <v>173</v>
      </c>
      <c r="BP1031" s="319" t="s">
        <v>173</v>
      </c>
      <c r="BQ1031" s="319" t="s">
        <v>173</v>
      </c>
      <c r="BR1031" s="319" t="s">
        <v>173</v>
      </c>
      <c r="BS1031" s="319" t="s">
        <v>173</v>
      </c>
      <c r="BT1031" s="319" t="s">
        <v>173</v>
      </c>
      <c r="BU1031" s="319" t="s">
        <v>173</v>
      </c>
      <c r="BV1031" s="319" t="s">
        <v>173</v>
      </c>
      <c r="BW1031" s="319" t="s">
        <v>173</v>
      </c>
      <c r="BX1031" s="319" t="s">
        <v>173</v>
      </c>
      <c r="BY1031" s="319" t="s">
        <v>173</v>
      </c>
      <c r="BZ1031" s="319" t="s">
        <v>173</v>
      </c>
      <c r="CA1031" s="319" t="s">
        <v>173</v>
      </c>
      <c r="CB1031" s="319" t="s">
        <v>173</v>
      </c>
      <c r="CC1031" s="319" t="s">
        <v>173</v>
      </c>
      <c r="CD1031" s="319" t="s">
        <v>173</v>
      </c>
      <c r="CE1031" s="319" t="s">
        <v>173</v>
      </c>
      <c r="CF1031" s="319" t="s">
        <v>173</v>
      </c>
      <c r="CG1031" s="319" t="s">
        <v>173</v>
      </c>
      <c r="CH1031" s="319" t="s">
        <v>173</v>
      </c>
      <c r="CI1031" s="319" t="s">
        <v>173</v>
      </c>
      <c r="CJ1031" s="319" t="s">
        <v>173</v>
      </c>
      <c r="CK1031" s="319" t="s">
        <v>173</v>
      </c>
      <c r="CL1031" s="319" t="s">
        <v>173</v>
      </c>
      <c r="CM1031" s="319" t="s">
        <v>173</v>
      </c>
      <c r="CN1031" s="319" t="s">
        <v>173</v>
      </c>
      <c r="CO1031" s="319" t="s">
        <v>173</v>
      </c>
      <c r="CP1031" s="319" t="s">
        <v>173</v>
      </c>
      <c r="CQ1031" s="319" t="s">
        <v>173</v>
      </c>
      <c r="CR1031" s="319" t="s">
        <v>173</v>
      </c>
      <c r="CS1031" s="319" t="s">
        <v>173</v>
      </c>
      <c r="CT1031" s="319" t="s">
        <v>173</v>
      </c>
      <c r="CU1031" s="319" t="s">
        <v>173</v>
      </c>
      <c r="CV1031" s="319" t="s">
        <v>173</v>
      </c>
      <c r="CW1031" s="319" t="s">
        <v>173</v>
      </c>
      <c r="CX1031" s="319" t="s">
        <v>173</v>
      </c>
      <c r="CY1031" s="319" t="s">
        <v>173</v>
      </c>
      <c r="CZ1031" s="319" t="s">
        <v>173</v>
      </c>
      <c r="DA1031" s="319" t="s">
        <v>173</v>
      </c>
      <c r="DB1031" s="319" t="s">
        <v>173</v>
      </c>
      <c r="DC1031" s="319" t="s">
        <v>173</v>
      </c>
      <c r="DD1031" s="319" t="s">
        <v>173</v>
      </c>
      <c r="DE1031" s="319" t="s">
        <v>173</v>
      </c>
      <c r="DF1031" s="319" t="s">
        <v>173</v>
      </c>
      <c r="DG1031" s="319" t="s">
        <v>173</v>
      </c>
      <c r="DH1031" s="319" t="s">
        <v>173</v>
      </c>
      <c r="DI1031" s="319" t="s">
        <v>173</v>
      </c>
      <c r="DJ1031" s="319" t="s">
        <v>173</v>
      </c>
      <c r="DK1031" s="319" t="s">
        <v>173</v>
      </c>
      <c r="DL1031" s="319" t="s">
        <v>173</v>
      </c>
      <c r="DM1031" s="319" t="s">
        <v>173</v>
      </c>
      <c r="DN1031" s="319" t="s">
        <v>173</v>
      </c>
      <c r="DO1031" s="319" t="s">
        <v>173</v>
      </c>
      <c r="DP1031" s="319" t="s">
        <v>173</v>
      </c>
      <c r="DQ1031" s="319" t="s">
        <v>173</v>
      </c>
      <c r="DR1031" s="319" t="s">
        <v>173</v>
      </c>
      <c r="DS1031" s="319" t="s">
        <v>173</v>
      </c>
      <c r="DT1031" s="319" t="s">
        <v>173</v>
      </c>
      <c r="DU1031" s="319" t="s">
        <v>173</v>
      </c>
      <c r="DV1031" s="319" t="s">
        <v>173</v>
      </c>
      <c r="DW1031" s="319" t="s">
        <v>173</v>
      </c>
      <c r="DX1031" s="319" t="s">
        <v>173</v>
      </c>
      <c r="DY1031" s="319" t="s">
        <v>173</v>
      </c>
      <c r="DZ1031" s="319" t="s">
        <v>173</v>
      </c>
      <c r="EA1031" s="319" t="s">
        <v>173</v>
      </c>
      <c r="EB1031" s="319" t="s">
        <v>173</v>
      </c>
      <c r="EC1031" s="319" t="s">
        <v>173</v>
      </c>
      <c r="ED1031" s="319" t="s">
        <v>173</v>
      </c>
      <c r="EE1031" s="319" t="s">
        <v>173</v>
      </c>
      <c r="EF1031" s="319" t="s">
        <v>173</v>
      </c>
      <c r="EG1031" s="319" t="s">
        <v>173</v>
      </c>
      <c r="EH1031" s="319" t="s">
        <v>173</v>
      </c>
      <c r="EI1031" s="319" t="s">
        <v>173</v>
      </c>
      <c r="EJ1031" s="319" t="s">
        <v>173</v>
      </c>
      <c r="EK1031" s="319" t="s">
        <v>173</v>
      </c>
      <c r="EL1031" s="319" t="s">
        <v>173</v>
      </c>
      <c r="EM1031" s="319" t="s">
        <v>173</v>
      </c>
      <c r="EN1031" s="319" t="s">
        <v>173</v>
      </c>
      <c r="EO1031" s="319" t="s">
        <v>173</v>
      </c>
      <c r="EP1031" s="319" t="s">
        <v>173</v>
      </c>
      <c r="EQ1031" s="319" t="s">
        <v>173</v>
      </c>
      <c r="ER1031" s="319" t="s">
        <v>173</v>
      </c>
      <c r="ES1031" s="319" t="s">
        <v>173</v>
      </c>
      <c r="ET1031" s="319" t="s">
        <v>173</v>
      </c>
      <c r="EU1031" s="319" t="s">
        <v>173</v>
      </c>
      <c r="EV1031" s="319" t="s">
        <v>173</v>
      </c>
      <c r="EW1031" s="319" t="s">
        <v>173</v>
      </c>
      <c r="EX1031" s="319" t="s">
        <v>173</v>
      </c>
      <c r="EY1031" s="319" t="s">
        <v>173</v>
      </c>
      <c r="EZ1031" s="319" t="s">
        <v>173</v>
      </c>
      <c r="FA1031" s="319" t="s">
        <v>173</v>
      </c>
      <c r="FB1031" s="319" t="s">
        <v>173</v>
      </c>
      <c r="FC1031" s="319" t="s">
        <v>173</v>
      </c>
      <c r="FD1031" s="319" t="s">
        <v>173</v>
      </c>
      <c r="FE1031" s="319" t="s">
        <v>173</v>
      </c>
      <c r="FF1031" s="319" t="s">
        <v>173</v>
      </c>
      <c r="FG1031" s="319" t="s">
        <v>173</v>
      </c>
      <c r="FH1031" s="319" t="s">
        <v>173</v>
      </c>
      <c r="FI1031" s="319" t="s">
        <v>173</v>
      </c>
      <c r="FJ1031" s="319" t="s">
        <v>173</v>
      </c>
      <c r="FK1031" s="319" t="s">
        <v>173</v>
      </c>
      <c r="FL1031" s="319" t="s">
        <v>173</v>
      </c>
      <c r="FM1031" s="319" t="s">
        <v>173</v>
      </c>
      <c r="FN1031" s="319" t="s">
        <v>173</v>
      </c>
      <c r="FO1031" s="319" t="s">
        <v>173</v>
      </c>
      <c r="FP1031" s="319" t="s">
        <v>173</v>
      </c>
      <c r="FQ1031" s="319" t="s">
        <v>173</v>
      </c>
      <c r="FR1031" s="319" t="s">
        <v>173</v>
      </c>
      <c r="FS1031" s="319" t="s">
        <v>173</v>
      </c>
      <c r="FT1031" s="319" t="s">
        <v>173</v>
      </c>
      <c r="FU1031" s="319" t="s">
        <v>173</v>
      </c>
      <c r="FV1031" s="319" t="s">
        <v>173</v>
      </c>
      <c r="FW1031" s="319" t="s">
        <v>173</v>
      </c>
      <c r="FX1031" s="319" t="s">
        <v>173</v>
      </c>
      <c r="FY1031" s="319" t="s">
        <v>173</v>
      </c>
      <c r="FZ1031" s="319" t="s">
        <v>173</v>
      </c>
      <c r="GA1031" s="319" t="s">
        <v>173</v>
      </c>
      <c r="GB1031" s="319" t="s">
        <v>173</v>
      </c>
      <c r="GC1031" s="319" t="s">
        <v>173</v>
      </c>
      <c r="GD1031" s="319" t="s">
        <v>173</v>
      </c>
      <c r="GE1031" s="319" t="s">
        <v>173</v>
      </c>
      <c r="GF1031" s="319" t="s">
        <v>173</v>
      </c>
      <c r="GG1031" s="319" t="s">
        <v>173</v>
      </c>
      <c r="GH1031" s="319" t="s">
        <v>173</v>
      </c>
      <c r="GI1031" s="319" t="s">
        <v>173</v>
      </c>
      <c r="GJ1031" s="319" t="s">
        <v>173</v>
      </c>
      <c r="GK1031" s="319" t="s">
        <v>173</v>
      </c>
      <c r="GL1031" s="319" t="s">
        <v>173</v>
      </c>
      <c r="GM1031" s="319" t="s">
        <v>173</v>
      </c>
      <c r="GN1031" s="319" t="s">
        <v>173</v>
      </c>
      <c r="GO1031" s="319" t="s">
        <v>173</v>
      </c>
      <c r="GP1031" s="319" t="s">
        <v>173</v>
      </c>
      <c r="GQ1031" s="319" t="s">
        <v>173</v>
      </c>
      <c r="GR1031" s="319" t="s">
        <v>173</v>
      </c>
      <c r="GS1031" s="319" t="s">
        <v>173</v>
      </c>
      <c r="GT1031" s="319" t="s">
        <v>173</v>
      </c>
      <c r="GU1031" s="319" t="s">
        <v>173</v>
      </c>
      <c r="GV1031" s="319" t="s">
        <v>173</v>
      </c>
      <c r="GW1031" s="319" t="s">
        <v>173</v>
      </c>
      <c r="GX1031" s="319" t="s">
        <v>173</v>
      </c>
      <c r="GY1031" s="319" t="s">
        <v>173</v>
      </c>
      <c r="GZ1031" s="319" t="s">
        <v>173</v>
      </c>
      <c r="HA1031" s="319" t="s">
        <v>173</v>
      </c>
      <c r="HB1031" s="319" t="s">
        <v>173</v>
      </c>
      <c r="HC1031" s="319" t="s">
        <v>173</v>
      </c>
      <c r="HD1031" s="319" t="s">
        <v>173</v>
      </c>
      <c r="HE1031" s="319" t="s">
        <v>173</v>
      </c>
      <c r="HF1031" s="319" t="s">
        <v>173</v>
      </c>
      <c r="HG1031" s="319" t="s">
        <v>173</v>
      </c>
      <c r="HH1031" s="319" t="s">
        <v>173</v>
      </c>
      <c r="HI1031" s="319" t="s">
        <v>173</v>
      </c>
      <c r="HJ1031" s="319" t="s">
        <v>173</v>
      </c>
      <c r="HK1031" s="319" t="s">
        <v>173</v>
      </c>
      <c r="HL1031" s="319" t="s">
        <v>173</v>
      </c>
      <c r="HM1031" s="319" t="s">
        <v>173</v>
      </c>
      <c r="HN1031" s="319" t="s">
        <v>173</v>
      </c>
      <c r="HO1031" s="319" t="s">
        <v>173</v>
      </c>
      <c r="HP1031" s="319" t="s">
        <v>173</v>
      </c>
      <c r="HQ1031" s="319" t="s">
        <v>173</v>
      </c>
      <c r="HR1031" s="319" t="s">
        <v>173</v>
      </c>
      <c r="HS1031" s="319" t="s">
        <v>173</v>
      </c>
      <c r="HT1031" s="319" t="s">
        <v>173</v>
      </c>
      <c r="HU1031" s="319" t="s">
        <v>173</v>
      </c>
      <c r="HV1031" s="319" t="s">
        <v>173</v>
      </c>
      <c r="HW1031" s="319" t="s">
        <v>173</v>
      </c>
      <c r="HX1031" s="319" t="s">
        <v>173</v>
      </c>
      <c r="HY1031" s="319" t="s">
        <v>173</v>
      </c>
      <c r="HZ1031" s="319" t="s">
        <v>173</v>
      </c>
      <c r="IA1031" s="319" t="s">
        <v>173</v>
      </c>
      <c r="IB1031" s="319" t="s">
        <v>173</v>
      </c>
      <c r="IC1031" s="319" t="s">
        <v>173</v>
      </c>
      <c r="ID1031" s="319" t="s">
        <v>173</v>
      </c>
      <c r="IE1031" s="319" t="s">
        <v>173</v>
      </c>
      <c r="IF1031" s="319" t="s">
        <v>173</v>
      </c>
      <c r="IG1031" s="319" t="s">
        <v>173</v>
      </c>
      <c r="IH1031" s="319" t="s">
        <v>173</v>
      </c>
      <c r="II1031" s="319" t="s">
        <v>173</v>
      </c>
      <c r="IJ1031" s="319" t="s">
        <v>173</v>
      </c>
      <c r="IK1031" s="319" t="s">
        <v>173</v>
      </c>
      <c r="IL1031" s="319" t="s">
        <v>173</v>
      </c>
      <c r="IM1031" s="319" t="s">
        <v>173</v>
      </c>
      <c r="IN1031" s="319" t="s">
        <v>173</v>
      </c>
      <c r="IO1031" s="319" t="s">
        <v>173</v>
      </c>
      <c r="IP1031" s="319" t="s">
        <v>173</v>
      </c>
      <c r="IQ1031" s="319" t="s">
        <v>173</v>
      </c>
      <c r="IR1031" s="320" t="s">
        <v>173</v>
      </c>
      <c r="IS1031" s="320" t="s">
        <v>173</v>
      </c>
      <c r="IT1031" s="319" t="s">
        <v>173</v>
      </c>
    </row>
    <row r="1032" spans="1:254" s="271" customFormat="1" x14ac:dyDescent="0.25">
      <c r="A1032" s="318" t="str">
        <f>HYPERLINK("http://www.ofsted.gov.uk/inspection-reports/find-inspection-report/provider/ELS/146563 ","Ofsted School Webpage")</f>
        <v>Ofsted School Webpage</v>
      </c>
      <c r="B1032" s="319">
        <v>146563</v>
      </c>
      <c r="C1032" s="319">
        <v>3306044</v>
      </c>
      <c r="D1032" s="319" t="s">
        <v>2600</v>
      </c>
      <c r="E1032" s="319" t="s">
        <v>168</v>
      </c>
      <c r="F1032" s="319" t="s">
        <v>434</v>
      </c>
      <c r="G1032" s="319" t="s">
        <v>81</v>
      </c>
      <c r="H1032" s="319" t="s">
        <v>81</v>
      </c>
      <c r="I1032" s="319" t="s">
        <v>78</v>
      </c>
      <c r="J1032" s="319" t="s">
        <v>424</v>
      </c>
      <c r="K1032" s="319" t="s">
        <v>437</v>
      </c>
      <c r="L1032" s="319" t="s">
        <v>437</v>
      </c>
      <c r="M1032" s="319" t="s">
        <v>813</v>
      </c>
      <c r="N1032" s="319" t="s">
        <v>2858</v>
      </c>
      <c r="O1032" s="319" t="s">
        <v>1055</v>
      </c>
      <c r="P1032" s="319" t="s">
        <v>173</v>
      </c>
      <c r="Q1032" s="319" t="s">
        <v>429</v>
      </c>
      <c r="R1032" s="320" t="s">
        <v>173</v>
      </c>
      <c r="S1032" s="321" t="s">
        <v>173</v>
      </c>
      <c r="T1032" s="321" t="s">
        <v>173</v>
      </c>
      <c r="U1032" s="321" t="s">
        <v>173</v>
      </c>
      <c r="V1032" s="319" t="s">
        <v>173</v>
      </c>
      <c r="W1032" s="319" t="s">
        <v>173</v>
      </c>
      <c r="X1032" s="319" t="s">
        <v>173</v>
      </c>
      <c r="Y1032" s="319" t="s">
        <v>173</v>
      </c>
      <c r="Z1032" s="319" t="s">
        <v>173</v>
      </c>
      <c r="AA1032" s="319" t="s">
        <v>173</v>
      </c>
      <c r="AB1032" s="319" t="s">
        <v>173</v>
      </c>
      <c r="AC1032" s="319" t="s">
        <v>173</v>
      </c>
      <c r="AD1032" s="319" t="s">
        <v>173</v>
      </c>
      <c r="AE1032" s="319" t="s">
        <v>173</v>
      </c>
      <c r="AF1032" s="319" t="s">
        <v>173</v>
      </c>
      <c r="AG1032" s="319" t="s">
        <v>173</v>
      </c>
      <c r="AH1032" s="319" t="s">
        <v>173</v>
      </c>
      <c r="AI1032" s="319" t="s">
        <v>173</v>
      </c>
      <c r="AJ1032" s="319" t="s">
        <v>173</v>
      </c>
      <c r="AK1032" s="319" t="s">
        <v>173</v>
      </c>
      <c r="AL1032" s="319" t="s">
        <v>173</v>
      </c>
      <c r="AM1032" s="319" t="s">
        <v>173</v>
      </c>
      <c r="AN1032" s="319" t="s">
        <v>173</v>
      </c>
      <c r="AO1032" s="319" t="s">
        <v>173</v>
      </c>
      <c r="AP1032" s="319" t="s">
        <v>173</v>
      </c>
      <c r="AQ1032" s="319" t="s">
        <v>173</v>
      </c>
      <c r="AR1032" s="319" t="s">
        <v>173</v>
      </c>
      <c r="AS1032" s="319" t="s">
        <v>173</v>
      </c>
      <c r="AT1032" s="319" t="s">
        <v>173</v>
      </c>
      <c r="AU1032" s="319" t="s">
        <v>173</v>
      </c>
      <c r="AV1032" s="319" t="s">
        <v>173</v>
      </c>
      <c r="AW1032" s="319" t="s">
        <v>173</v>
      </c>
      <c r="AX1032" s="319" t="s">
        <v>173</v>
      </c>
      <c r="AY1032" s="319" t="s">
        <v>173</v>
      </c>
      <c r="AZ1032" s="319" t="s">
        <v>173</v>
      </c>
      <c r="BA1032" s="319" t="s">
        <v>173</v>
      </c>
      <c r="BB1032" s="319" t="s">
        <v>173</v>
      </c>
      <c r="BC1032" s="319" t="s">
        <v>173</v>
      </c>
      <c r="BD1032" s="319" t="s">
        <v>173</v>
      </c>
      <c r="BE1032" s="319" t="s">
        <v>173</v>
      </c>
      <c r="BF1032" s="319" t="s">
        <v>173</v>
      </c>
      <c r="BG1032" s="319" t="s">
        <v>173</v>
      </c>
      <c r="BH1032" s="319" t="s">
        <v>173</v>
      </c>
      <c r="BI1032" s="319" t="s">
        <v>173</v>
      </c>
      <c r="BJ1032" s="319" t="s">
        <v>173</v>
      </c>
      <c r="BK1032" s="319" t="s">
        <v>173</v>
      </c>
      <c r="BL1032" s="319" t="s">
        <v>173</v>
      </c>
      <c r="BM1032" s="319" t="s">
        <v>173</v>
      </c>
      <c r="BN1032" s="319" t="s">
        <v>173</v>
      </c>
      <c r="BO1032" s="319" t="s">
        <v>173</v>
      </c>
      <c r="BP1032" s="319" t="s">
        <v>173</v>
      </c>
      <c r="BQ1032" s="319" t="s">
        <v>173</v>
      </c>
      <c r="BR1032" s="319" t="s">
        <v>173</v>
      </c>
      <c r="BS1032" s="319" t="s">
        <v>173</v>
      </c>
      <c r="BT1032" s="319" t="s">
        <v>173</v>
      </c>
      <c r="BU1032" s="319" t="s">
        <v>173</v>
      </c>
      <c r="BV1032" s="319" t="s">
        <v>173</v>
      </c>
      <c r="BW1032" s="319" t="s">
        <v>173</v>
      </c>
      <c r="BX1032" s="319" t="s">
        <v>173</v>
      </c>
      <c r="BY1032" s="319" t="s">
        <v>173</v>
      </c>
      <c r="BZ1032" s="319" t="s">
        <v>173</v>
      </c>
      <c r="CA1032" s="319" t="s">
        <v>173</v>
      </c>
      <c r="CB1032" s="319" t="s">
        <v>173</v>
      </c>
      <c r="CC1032" s="319" t="s">
        <v>173</v>
      </c>
      <c r="CD1032" s="319" t="s">
        <v>173</v>
      </c>
      <c r="CE1032" s="319" t="s">
        <v>173</v>
      </c>
      <c r="CF1032" s="319" t="s">
        <v>173</v>
      </c>
      <c r="CG1032" s="319" t="s">
        <v>173</v>
      </c>
      <c r="CH1032" s="319" t="s">
        <v>173</v>
      </c>
      <c r="CI1032" s="319" t="s">
        <v>173</v>
      </c>
      <c r="CJ1032" s="319" t="s">
        <v>173</v>
      </c>
      <c r="CK1032" s="319" t="s">
        <v>173</v>
      </c>
      <c r="CL1032" s="319" t="s">
        <v>173</v>
      </c>
      <c r="CM1032" s="319" t="s">
        <v>173</v>
      </c>
      <c r="CN1032" s="319" t="s">
        <v>173</v>
      </c>
      <c r="CO1032" s="319" t="s">
        <v>173</v>
      </c>
      <c r="CP1032" s="319" t="s">
        <v>173</v>
      </c>
      <c r="CQ1032" s="319" t="s">
        <v>173</v>
      </c>
      <c r="CR1032" s="319" t="s">
        <v>173</v>
      </c>
      <c r="CS1032" s="319" t="s">
        <v>173</v>
      </c>
      <c r="CT1032" s="319" t="s">
        <v>173</v>
      </c>
      <c r="CU1032" s="319" t="s">
        <v>173</v>
      </c>
      <c r="CV1032" s="319" t="s">
        <v>173</v>
      </c>
      <c r="CW1032" s="319" t="s">
        <v>173</v>
      </c>
      <c r="CX1032" s="319" t="s">
        <v>173</v>
      </c>
      <c r="CY1032" s="319" t="s">
        <v>173</v>
      </c>
      <c r="CZ1032" s="319" t="s">
        <v>173</v>
      </c>
      <c r="DA1032" s="319" t="s">
        <v>173</v>
      </c>
      <c r="DB1032" s="319" t="s">
        <v>173</v>
      </c>
      <c r="DC1032" s="319" t="s">
        <v>173</v>
      </c>
      <c r="DD1032" s="319" t="s">
        <v>173</v>
      </c>
      <c r="DE1032" s="319" t="s">
        <v>173</v>
      </c>
      <c r="DF1032" s="319" t="s">
        <v>173</v>
      </c>
      <c r="DG1032" s="319" t="s">
        <v>173</v>
      </c>
      <c r="DH1032" s="319" t="s">
        <v>173</v>
      </c>
      <c r="DI1032" s="319" t="s">
        <v>173</v>
      </c>
      <c r="DJ1032" s="319" t="s">
        <v>173</v>
      </c>
      <c r="DK1032" s="319" t="s">
        <v>173</v>
      </c>
      <c r="DL1032" s="319" t="s">
        <v>173</v>
      </c>
      <c r="DM1032" s="319" t="s">
        <v>173</v>
      </c>
      <c r="DN1032" s="319" t="s">
        <v>173</v>
      </c>
      <c r="DO1032" s="319" t="s">
        <v>173</v>
      </c>
      <c r="DP1032" s="319" t="s">
        <v>173</v>
      </c>
      <c r="DQ1032" s="319" t="s">
        <v>173</v>
      </c>
      <c r="DR1032" s="319" t="s">
        <v>173</v>
      </c>
      <c r="DS1032" s="319" t="s">
        <v>173</v>
      </c>
      <c r="DT1032" s="319" t="s">
        <v>173</v>
      </c>
      <c r="DU1032" s="319" t="s">
        <v>173</v>
      </c>
      <c r="DV1032" s="319" t="s">
        <v>173</v>
      </c>
      <c r="DW1032" s="319" t="s">
        <v>173</v>
      </c>
      <c r="DX1032" s="319" t="s">
        <v>173</v>
      </c>
      <c r="DY1032" s="319" t="s">
        <v>173</v>
      </c>
      <c r="DZ1032" s="319" t="s">
        <v>173</v>
      </c>
      <c r="EA1032" s="319" t="s">
        <v>173</v>
      </c>
      <c r="EB1032" s="319" t="s">
        <v>173</v>
      </c>
      <c r="EC1032" s="319" t="s">
        <v>173</v>
      </c>
      <c r="ED1032" s="319" t="s">
        <v>173</v>
      </c>
      <c r="EE1032" s="319" t="s">
        <v>173</v>
      </c>
      <c r="EF1032" s="319" t="s">
        <v>173</v>
      </c>
      <c r="EG1032" s="319" t="s">
        <v>173</v>
      </c>
      <c r="EH1032" s="319" t="s">
        <v>173</v>
      </c>
      <c r="EI1032" s="319" t="s">
        <v>173</v>
      </c>
      <c r="EJ1032" s="319" t="s">
        <v>173</v>
      </c>
      <c r="EK1032" s="319" t="s">
        <v>173</v>
      </c>
      <c r="EL1032" s="319" t="s">
        <v>173</v>
      </c>
      <c r="EM1032" s="319" t="s">
        <v>173</v>
      </c>
      <c r="EN1032" s="319" t="s">
        <v>173</v>
      </c>
      <c r="EO1032" s="319" t="s">
        <v>173</v>
      </c>
      <c r="EP1032" s="319" t="s">
        <v>173</v>
      </c>
      <c r="EQ1032" s="319" t="s">
        <v>173</v>
      </c>
      <c r="ER1032" s="319" t="s">
        <v>173</v>
      </c>
      <c r="ES1032" s="319" t="s">
        <v>173</v>
      </c>
      <c r="ET1032" s="319" t="s">
        <v>173</v>
      </c>
      <c r="EU1032" s="319" t="s">
        <v>173</v>
      </c>
      <c r="EV1032" s="319" t="s">
        <v>173</v>
      </c>
      <c r="EW1032" s="319" t="s">
        <v>173</v>
      </c>
      <c r="EX1032" s="319" t="s">
        <v>173</v>
      </c>
      <c r="EY1032" s="319" t="s">
        <v>173</v>
      </c>
      <c r="EZ1032" s="319" t="s">
        <v>173</v>
      </c>
      <c r="FA1032" s="319" t="s">
        <v>173</v>
      </c>
      <c r="FB1032" s="319" t="s">
        <v>173</v>
      </c>
      <c r="FC1032" s="319" t="s">
        <v>173</v>
      </c>
      <c r="FD1032" s="319" t="s">
        <v>173</v>
      </c>
      <c r="FE1032" s="319" t="s">
        <v>173</v>
      </c>
      <c r="FF1032" s="319" t="s">
        <v>173</v>
      </c>
      <c r="FG1032" s="319" t="s">
        <v>173</v>
      </c>
      <c r="FH1032" s="319" t="s">
        <v>173</v>
      </c>
      <c r="FI1032" s="319" t="s">
        <v>173</v>
      </c>
      <c r="FJ1032" s="319" t="s">
        <v>173</v>
      </c>
      <c r="FK1032" s="319" t="s">
        <v>173</v>
      </c>
      <c r="FL1032" s="319" t="s">
        <v>173</v>
      </c>
      <c r="FM1032" s="319" t="s">
        <v>173</v>
      </c>
      <c r="FN1032" s="319" t="s">
        <v>173</v>
      </c>
      <c r="FO1032" s="319" t="s">
        <v>173</v>
      </c>
      <c r="FP1032" s="319" t="s">
        <v>173</v>
      </c>
      <c r="FQ1032" s="319" t="s">
        <v>173</v>
      </c>
      <c r="FR1032" s="319" t="s">
        <v>173</v>
      </c>
      <c r="FS1032" s="319" t="s">
        <v>173</v>
      </c>
      <c r="FT1032" s="319" t="s">
        <v>173</v>
      </c>
      <c r="FU1032" s="319" t="s">
        <v>173</v>
      </c>
      <c r="FV1032" s="319" t="s">
        <v>173</v>
      </c>
      <c r="FW1032" s="319" t="s">
        <v>173</v>
      </c>
      <c r="FX1032" s="319" t="s">
        <v>173</v>
      </c>
      <c r="FY1032" s="319" t="s">
        <v>173</v>
      </c>
      <c r="FZ1032" s="319" t="s">
        <v>173</v>
      </c>
      <c r="GA1032" s="319" t="s">
        <v>173</v>
      </c>
      <c r="GB1032" s="319" t="s">
        <v>173</v>
      </c>
      <c r="GC1032" s="319" t="s">
        <v>173</v>
      </c>
      <c r="GD1032" s="319" t="s">
        <v>173</v>
      </c>
      <c r="GE1032" s="319" t="s">
        <v>173</v>
      </c>
      <c r="GF1032" s="319" t="s">
        <v>173</v>
      </c>
      <c r="GG1032" s="319" t="s">
        <v>173</v>
      </c>
      <c r="GH1032" s="319" t="s">
        <v>173</v>
      </c>
      <c r="GI1032" s="319" t="s">
        <v>173</v>
      </c>
      <c r="GJ1032" s="319" t="s">
        <v>173</v>
      </c>
      <c r="GK1032" s="319" t="s">
        <v>173</v>
      </c>
      <c r="GL1032" s="319" t="s">
        <v>173</v>
      </c>
      <c r="GM1032" s="319" t="s">
        <v>173</v>
      </c>
      <c r="GN1032" s="319" t="s">
        <v>173</v>
      </c>
      <c r="GO1032" s="319" t="s">
        <v>173</v>
      </c>
      <c r="GP1032" s="319" t="s">
        <v>173</v>
      </c>
      <c r="GQ1032" s="319" t="s">
        <v>173</v>
      </c>
      <c r="GR1032" s="319" t="s">
        <v>173</v>
      </c>
      <c r="GS1032" s="319" t="s">
        <v>173</v>
      </c>
      <c r="GT1032" s="319" t="s">
        <v>173</v>
      </c>
      <c r="GU1032" s="319" t="s">
        <v>173</v>
      </c>
      <c r="GV1032" s="319" t="s">
        <v>173</v>
      </c>
      <c r="GW1032" s="319" t="s">
        <v>173</v>
      </c>
      <c r="GX1032" s="319" t="s">
        <v>173</v>
      </c>
      <c r="GY1032" s="319" t="s">
        <v>173</v>
      </c>
      <c r="GZ1032" s="319" t="s">
        <v>173</v>
      </c>
      <c r="HA1032" s="319" t="s">
        <v>173</v>
      </c>
      <c r="HB1032" s="319" t="s">
        <v>173</v>
      </c>
      <c r="HC1032" s="319" t="s">
        <v>173</v>
      </c>
      <c r="HD1032" s="319" t="s">
        <v>173</v>
      </c>
      <c r="HE1032" s="319" t="s">
        <v>173</v>
      </c>
      <c r="HF1032" s="319" t="s">
        <v>173</v>
      </c>
      <c r="HG1032" s="319" t="s">
        <v>173</v>
      </c>
      <c r="HH1032" s="319" t="s">
        <v>173</v>
      </c>
      <c r="HI1032" s="319" t="s">
        <v>173</v>
      </c>
      <c r="HJ1032" s="319" t="s">
        <v>173</v>
      </c>
      <c r="HK1032" s="319" t="s">
        <v>173</v>
      </c>
      <c r="HL1032" s="319" t="s">
        <v>173</v>
      </c>
      <c r="HM1032" s="319" t="s">
        <v>173</v>
      </c>
      <c r="HN1032" s="319" t="s">
        <v>173</v>
      </c>
      <c r="HO1032" s="319" t="s">
        <v>173</v>
      </c>
      <c r="HP1032" s="319" t="s">
        <v>173</v>
      </c>
      <c r="HQ1032" s="319" t="s">
        <v>173</v>
      </c>
      <c r="HR1032" s="319" t="s">
        <v>173</v>
      </c>
      <c r="HS1032" s="319" t="s">
        <v>173</v>
      </c>
      <c r="HT1032" s="319" t="s">
        <v>173</v>
      </c>
      <c r="HU1032" s="319" t="s">
        <v>173</v>
      </c>
      <c r="HV1032" s="319" t="s">
        <v>173</v>
      </c>
      <c r="HW1032" s="319" t="s">
        <v>173</v>
      </c>
      <c r="HX1032" s="319" t="s">
        <v>173</v>
      </c>
      <c r="HY1032" s="319" t="s">
        <v>173</v>
      </c>
      <c r="HZ1032" s="319" t="s">
        <v>173</v>
      </c>
      <c r="IA1032" s="319" t="s">
        <v>173</v>
      </c>
      <c r="IB1032" s="319" t="s">
        <v>173</v>
      </c>
      <c r="IC1032" s="319" t="s">
        <v>173</v>
      </c>
      <c r="ID1032" s="319" t="s">
        <v>173</v>
      </c>
      <c r="IE1032" s="319" t="s">
        <v>173</v>
      </c>
      <c r="IF1032" s="319" t="s">
        <v>173</v>
      </c>
      <c r="IG1032" s="319" t="s">
        <v>173</v>
      </c>
      <c r="IH1032" s="319" t="s">
        <v>173</v>
      </c>
      <c r="II1032" s="319" t="s">
        <v>173</v>
      </c>
      <c r="IJ1032" s="319" t="s">
        <v>173</v>
      </c>
      <c r="IK1032" s="319" t="s">
        <v>173</v>
      </c>
      <c r="IL1032" s="319" t="s">
        <v>173</v>
      </c>
      <c r="IM1032" s="319" t="s">
        <v>173</v>
      </c>
      <c r="IN1032" s="319" t="s">
        <v>173</v>
      </c>
      <c r="IO1032" s="319" t="s">
        <v>173</v>
      </c>
      <c r="IP1032" s="319" t="s">
        <v>173</v>
      </c>
      <c r="IQ1032" s="319" t="s">
        <v>173</v>
      </c>
      <c r="IR1032" s="320" t="s">
        <v>173</v>
      </c>
      <c r="IS1032" s="320" t="s">
        <v>173</v>
      </c>
      <c r="IT1032" s="319" t="s">
        <v>173</v>
      </c>
    </row>
    <row r="1033" spans="1:254" s="271" customFormat="1" x14ac:dyDescent="0.25">
      <c r="A1033" s="318" t="str">
        <f>HYPERLINK("http://www.ofsted.gov.uk/inspection-reports/find-inspection-report/provider/ELS/146569 ","Ofsted School Webpage")</f>
        <v>Ofsted School Webpage</v>
      </c>
      <c r="B1033" s="319">
        <v>146569</v>
      </c>
      <c r="C1033" s="319">
        <v>3436002</v>
      </c>
      <c r="D1033" s="319" t="s">
        <v>2564</v>
      </c>
      <c r="E1033" s="319" t="s">
        <v>167</v>
      </c>
      <c r="F1033" s="319" t="s">
        <v>434</v>
      </c>
      <c r="G1033" s="319" t="s">
        <v>81</v>
      </c>
      <c r="H1033" s="319" t="s">
        <v>81</v>
      </c>
      <c r="I1033" s="319" t="s">
        <v>78</v>
      </c>
      <c r="J1033" s="319" t="s">
        <v>424</v>
      </c>
      <c r="K1033" s="319" t="s">
        <v>431</v>
      </c>
      <c r="L1033" s="319" t="s">
        <v>431</v>
      </c>
      <c r="M1033" s="319" t="s">
        <v>2039</v>
      </c>
      <c r="N1033" s="319" t="s">
        <v>3585</v>
      </c>
      <c r="O1033" s="319" t="s">
        <v>2565</v>
      </c>
      <c r="P1033" s="319" t="s">
        <v>173</v>
      </c>
      <c r="Q1033" s="319" t="s">
        <v>2766</v>
      </c>
      <c r="R1033" s="320" t="s">
        <v>173</v>
      </c>
      <c r="S1033" s="321" t="s">
        <v>173</v>
      </c>
      <c r="T1033" s="321" t="s">
        <v>173</v>
      </c>
      <c r="U1033" s="321" t="s">
        <v>173</v>
      </c>
      <c r="V1033" s="319" t="s">
        <v>173</v>
      </c>
      <c r="W1033" s="319" t="s">
        <v>173</v>
      </c>
      <c r="X1033" s="319" t="s">
        <v>173</v>
      </c>
      <c r="Y1033" s="319" t="s">
        <v>173</v>
      </c>
      <c r="Z1033" s="319" t="s">
        <v>173</v>
      </c>
      <c r="AA1033" s="319" t="s">
        <v>173</v>
      </c>
      <c r="AB1033" s="319" t="s">
        <v>173</v>
      </c>
      <c r="AC1033" s="319" t="s">
        <v>173</v>
      </c>
      <c r="AD1033" s="319" t="s">
        <v>173</v>
      </c>
      <c r="AE1033" s="319" t="s">
        <v>173</v>
      </c>
      <c r="AF1033" s="319" t="s">
        <v>173</v>
      </c>
      <c r="AG1033" s="319" t="s">
        <v>173</v>
      </c>
      <c r="AH1033" s="319" t="s">
        <v>173</v>
      </c>
      <c r="AI1033" s="319" t="s">
        <v>173</v>
      </c>
      <c r="AJ1033" s="319" t="s">
        <v>173</v>
      </c>
      <c r="AK1033" s="319" t="s">
        <v>173</v>
      </c>
      <c r="AL1033" s="319" t="s">
        <v>173</v>
      </c>
      <c r="AM1033" s="319" t="s">
        <v>173</v>
      </c>
      <c r="AN1033" s="319" t="s">
        <v>173</v>
      </c>
      <c r="AO1033" s="319" t="s">
        <v>173</v>
      </c>
      <c r="AP1033" s="319" t="s">
        <v>173</v>
      </c>
      <c r="AQ1033" s="319" t="s">
        <v>173</v>
      </c>
      <c r="AR1033" s="319" t="s">
        <v>173</v>
      </c>
      <c r="AS1033" s="319" t="s">
        <v>173</v>
      </c>
      <c r="AT1033" s="319" t="s">
        <v>173</v>
      </c>
      <c r="AU1033" s="319" t="s">
        <v>173</v>
      </c>
      <c r="AV1033" s="319" t="s">
        <v>173</v>
      </c>
      <c r="AW1033" s="319" t="s">
        <v>173</v>
      </c>
      <c r="AX1033" s="319" t="s">
        <v>173</v>
      </c>
      <c r="AY1033" s="319" t="s">
        <v>173</v>
      </c>
      <c r="AZ1033" s="319" t="s">
        <v>173</v>
      </c>
      <c r="BA1033" s="319" t="s">
        <v>173</v>
      </c>
      <c r="BB1033" s="319" t="s">
        <v>173</v>
      </c>
      <c r="BC1033" s="319" t="s">
        <v>173</v>
      </c>
      <c r="BD1033" s="319" t="s">
        <v>173</v>
      </c>
      <c r="BE1033" s="319" t="s">
        <v>173</v>
      </c>
      <c r="BF1033" s="319" t="s">
        <v>173</v>
      </c>
      <c r="BG1033" s="319" t="s">
        <v>173</v>
      </c>
      <c r="BH1033" s="319" t="s">
        <v>173</v>
      </c>
      <c r="BI1033" s="319" t="s">
        <v>173</v>
      </c>
      <c r="BJ1033" s="319" t="s">
        <v>173</v>
      </c>
      <c r="BK1033" s="319" t="s">
        <v>173</v>
      </c>
      <c r="BL1033" s="319" t="s">
        <v>173</v>
      </c>
      <c r="BM1033" s="319" t="s">
        <v>173</v>
      </c>
      <c r="BN1033" s="319" t="s">
        <v>173</v>
      </c>
      <c r="BO1033" s="319" t="s">
        <v>173</v>
      </c>
      <c r="BP1033" s="319" t="s">
        <v>173</v>
      </c>
      <c r="BQ1033" s="319" t="s">
        <v>173</v>
      </c>
      <c r="BR1033" s="319" t="s">
        <v>173</v>
      </c>
      <c r="BS1033" s="319" t="s">
        <v>173</v>
      </c>
      <c r="BT1033" s="319" t="s">
        <v>173</v>
      </c>
      <c r="BU1033" s="319" t="s">
        <v>173</v>
      </c>
      <c r="BV1033" s="319" t="s">
        <v>173</v>
      </c>
      <c r="BW1033" s="319" t="s">
        <v>173</v>
      </c>
      <c r="BX1033" s="319" t="s">
        <v>173</v>
      </c>
      <c r="BY1033" s="319" t="s">
        <v>173</v>
      </c>
      <c r="BZ1033" s="319" t="s">
        <v>173</v>
      </c>
      <c r="CA1033" s="319" t="s">
        <v>173</v>
      </c>
      <c r="CB1033" s="319" t="s">
        <v>173</v>
      </c>
      <c r="CC1033" s="319" t="s">
        <v>173</v>
      </c>
      <c r="CD1033" s="319" t="s">
        <v>173</v>
      </c>
      <c r="CE1033" s="319" t="s">
        <v>173</v>
      </c>
      <c r="CF1033" s="319" t="s">
        <v>173</v>
      </c>
      <c r="CG1033" s="319" t="s">
        <v>173</v>
      </c>
      <c r="CH1033" s="319" t="s">
        <v>173</v>
      </c>
      <c r="CI1033" s="319" t="s">
        <v>173</v>
      </c>
      <c r="CJ1033" s="319" t="s">
        <v>173</v>
      </c>
      <c r="CK1033" s="319" t="s">
        <v>173</v>
      </c>
      <c r="CL1033" s="319" t="s">
        <v>173</v>
      </c>
      <c r="CM1033" s="319" t="s">
        <v>173</v>
      </c>
      <c r="CN1033" s="319" t="s">
        <v>173</v>
      </c>
      <c r="CO1033" s="319" t="s">
        <v>173</v>
      </c>
      <c r="CP1033" s="319" t="s">
        <v>173</v>
      </c>
      <c r="CQ1033" s="319" t="s">
        <v>173</v>
      </c>
      <c r="CR1033" s="319" t="s">
        <v>173</v>
      </c>
      <c r="CS1033" s="319" t="s">
        <v>173</v>
      </c>
      <c r="CT1033" s="319" t="s">
        <v>173</v>
      </c>
      <c r="CU1033" s="319" t="s">
        <v>173</v>
      </c>
      <c r="CV1033" s="319" t="s">
        <v>173</v>
      </c>
      <c r="CW1033" s="319" t="s">
        <v>173</v>
      </c>
      <c r="CX1033" s="319" t="s">
        <v>173</v>
      </c>
      <c r="CY1033" s="319" t="s">
        <v>173</v>
      </c>
      <c r="CZ1033" s="319" t="s">
        <v>173</v>
      </c>
      <c r="DA1033" s="319" t="s">
        <v>173</v>
      </c>
      <c r="DB1033" s="319" t="s">
        <v>173</v>
      </c>
      <c r="DC1033" s="319" t="s">
        <v>173</v>
      </c>
      <c r="DD1033" s="319" t="s">
        <v>173</v>
      </c>
      <c r="DE1033" s="319" t="s">
        <v>173</v>
      </c>
      <c r="DF1033" s="319" t="s">
        <v>173</v>
      </c>
      <c r="DG1033" s="319" t="s">
        <v>173</v>
      </c>
      <c r="DH1033" s="319" t="s">
        <v>173</v>
      </c>
      <c r="DI1033" s="319" t="s">
        <v>173</v>
      </c>
      <c r="DJ1033" s="319" t="s">
        <v>173</v>
      </c>
      <c r="DK1033" s="319" t="s">
        <v>173</v>
      </c>
      <c r="DL1033" s="319" t="s">
        <v>173</v>
      </c>
      <c r="DM1033" s="319" t="s">
        <v>173</v>
      </c>
      <c r="DN1033" s="319" t="s">
        <v>173</v>
      </c>
      <c r="DO1033" s="319" t="s">
        <v>173</v>
      </c>
      <c r="DP1033" s="319" t="s">
        <v>173</v>
      </c>
      <c r="DQ1033" s="319" t="s">
        <v>173</v>
      </c>
      <c r="DR1033" s="319" t="s">
        <v>173</v>
      </c>
      <c r="DS1033" s="319" t="s">
        <v>173</v>
      </c>
      <c r="DT1033" s="319" t="s">
        <v>173</v>
      </c>
      <c r="DU1033" s="319" t="s">
        <v>173</v>
      </c>
      <c r="DV1033" s="319" t="s">
        <v>173</v>
      </c>
      <c r="DW1033" s="319" t="s">
        <v>173</v>
      </c>
      <c r="DX1033" s="319" t="s">
        <v>173</v>
      </c>
      <c r="DY1033" s="319" t="s">
        <v>173</v>
      </c>
      <c r="DZ1033" s="319" t="s">
        <v>173</v>
      </c>
      <c r="EA1033" s="319" t="s">
        <v>173</v>
      </c>
      <c r="EB1033" s="319" t="s">
        <v>173</v>
      </c>
      <c r="EC1033" s="319" t="s">
        <v>173</v>
      </c>
      <c r="ED1033" s="319" t="s">
        <v>173</v>
      </c>
      <c r="EE1033" s="319" t="s">
        <v>173</v>
      </c>
      <c r="EF1033" s="319" t="s">
        <v>173</v>
      </c>
      <c r="EG1033" s="319" t="s">
        <v>173</v>
      </c>
      <c r="EH1033" s="319" t="s">
        <v>173</v>
      </c>
      <c r="EI1033" s="319" t="s">
        <v>173</v>
      </c>
      <c r="EJ1033" s="319" t="s">
        <v>173</v>
      </c>
      <c r="EK1033" s="319" t="s">
        <v>173</v>
      </c>
      <c r="EL1033" s="319" t="s">
        <v>173</v>
      </c>
      <c r="EM1033" s="319" t="s">
        <v>173</v>
      </c>
      <c r="EN1033" s="319" t="s">
        <v>173</v>
      </c>
      <c r="EO1033" s="319" t="s">
        <v>173</v>
      </c>
      <c r="EP1033" s="319" t="s">
        <v>173</v>
      </c>
      <c r="EQ1033" s="319" t="s">
        <v>173</v>
      </c>
      <c r="ER1033" s="319" t="s">
        <v>173</v>
      </c>
      <c r="ES1033" s="319" t="s">
        <v>173</v>
      </c>
      <c r="ET1033" s="319" t="s">
        <v>173</v>
      </c>
      <c r="EU1033" s="319" t="s">
        <v>173</v>
      </c>
      <c r="EV1033" s="319" t="s">
        <v>173</v>
      </c>
      <c r="EW1033" s="319" t="s">
        <v>173</v>
      </c>
      <c r="EX1033" s="319" t="s">
        <v>173</v>
      </c>
      <c r="EY1033" s="319" t="s">
        <v>173</v>
      </c>
      <c r="EZ1033" s="319" t="s">
        <v>173</v>
      </c>
      <c r="FA1033" s="319" t="s">
        <v>173</v>
      </c>
      <c r="FB1033" s="319" t="s">
        <v>173</v>
      </c>
      <c r="FC1033" s="319" t="s">
        <v>173</v>
      </c>
      <c r="FD1033" s="319" t="s">
        <v>173</v>
      </c>
      <c r="FE1033" s="319" t="s">
        <v>173</v>
      </c>
      <c r="FF1033" s="319" t="s">
        <v>173</v>
      </c>
      <c r="FG1033" s="319" t="s">
        <v>173</v>
      </c>
      <c r="FH1033" s="319" t="s">
        <v>173</v>
      </c>
      <c r="FI1033" s="319" t="s">
        <v>173</v>
      </c>
      <c r="FJ1033" s="319" t="s">
        <v>173</v>
      </c>
      <c r="FK1033" s="319" t="s">
        <v>173</v>
      </c>
      <c r="FL1033" s="319" t="s">
        <v>173</v>
      </c>
      <c r="FM1033" s="319" t="s">
        <v>173</v>
      </c>
      <c r="FN1033" s="319" t="s">
        <v>173</v>
      </c>
      <c r="FO1033" s="319" t="s">
        <v>173</v>
      </c>
      <c r="FP1033" s="319" t="s">
        <v>173</v>
      </c>
      <c r="FQ1033" s="319" t="s">
        <v>173</v>
      </c>
      <c r="FR1033" s="319" t="s">
        <v>173</v>
      </c>
      <c r="FS1033" s="319" t="s">
        <v>173</v>
      </c>
      <c r="FT1033" s="319" t="s">
        <v>173</v>
      </c>
      <c r="FU1033" s="319" t="s">
        <v>173</v>
      </c>
      <c r="FV1033" s="319" t="s">
        <v>173</v>
      </c>
      <c r="FW1033" s="319" t="s">
        <v>173</v>
      </c>
      <c r="FX1033" s="319" t="s">
        <v>173</v>
      </c>
      <c r="FY1033" s="319" t="s">
        <v>173</v>
      </c>
      <c r="FZ1033" s="319" t="s">
        <v>173</v>
      </c>
      <c r="GA1033" s="319" t="s">
        <v>173</v>
      </c>
      <c r="GB1033" s="319" t="s">
        <v>173</v>
      </c>
      <c r="GC1033" s="319" t="s">
        <v>173</v>
      </c>
      <c r="GD1033" s="319" t="s">
        <v>173</v>
      </c>
      <c r="GE1033" s="319" t="s">
        <v>173</v>
      </c>
      <c r="GF1033" s="319" t="s">
        <v>173</v>
      </c>
      <c r="GG1033" s="319" t="s">
        <v>173</v>
      </c>
      <c r="GH1033" s="319" t="s">
        <v>173</v>
      </c>
      <c r="GI1033" s="319" t="s">
        <v>173</v>
      </c>
      <c r="GJ1033" s="319" t="s">
        <v>173</v>
      </c>
      <c r="GK1033" s="319" t="s">
        <v>173</v>
      </c>
      <c r="GL1033" s="319" t="s">
        <v>173</v>
      </c>
      <c r="GM1033" s="319" t="s">
        <v>173</v>
      </c>
      <c r="GN1033" s="319" t="s">
        <v>173</v>
      </c>
      <c r="GO1033" s="319" t="s">
        <v>173</v>
      </c>
      <c r="GP1033" s="319" t="s">
        <v>173</v>
      </c>
      <c r="GQ1033" s="319" t="s">
        <v>173</v>
      </c>
      <c r="GR1033" s="319" t="s">
        <v>173</v>
      </c>
      <c r="GS1033" s="319" t="s">
        <v>173</v>
      </c>
      <c r="GT1033" s="319" t="s">
        <v>173</v>
      </c>
      <c r="GU1033" s="319" t="s">
        <v>173</v>
      </c>
      <c r="GV1033" s="319" t="s">
        <v>173</v>
      </c>
      <c r="GW1033" s="319" t="s">
        <v>173</v>
      </c>
      <c r="GX1033" s="319" t="s">
        <v>173</v>
      </c>
      <c r="GY1033" s="319" t="s">
        <v>173</v>
      </c>
      <c r="GZ1033" s="319" t="s">
        <v>173</v>
      </c>
      <c r="HA1033" s="319" t="s">
        <v>173</v>
      </c>
      <c r="HB1033" s="319" t="s">
        <v>173</v>
      </c>
      <c r="HC1033" s="319" t="s">
        <v>173</v>
      </c>
      <c r="HD1033" s="319" t="s">
        <v>173</v>
      </c>
      <c r="HE1033" s="319" t="s">
        <v>173</v>
      </c>
      <c r="HF1033" s="319" t="s">
        <v>173</v>
      </c>
      <c r="HG1033" s="319" t="s">
        <v>173</v>
      </c>
      <c r="HH1033" s="319" t="s">
        <v>173</v>
      </c>
      <c r="HI1033" s="319" t="s">
        <v>173</v>
      </c>
      <c r="HJ1033" s="319" t="s">
        <v>173</v>
      </c>
      <c r="HK1033" s="319" t="s">
        <v>173</v>
      </c>
      <c r="HL1033" s="319" t="s">
        <v>173</v>
      </c>
      <c r="HM1033" s="319" t="s">
        <v>173</v>
      </c>
      <c r="HN1033" s="319" t="s">
        <v>173</v>
      </c>
      <c r="HO1033" s="319" t="s">
        <v>173</v>
      </c>
      <c r="HP1033" s="319" t="s">
        <v>173</v>
      </c>
      <c r="HQ1033" s="319" t="s">
        <v>173</v>
      </c>
      <c r="HR1033" s="319" t="s">
        <v>173</v>
      </c>
      <c r="HS1033" s="319" t="s">
        <v>173</v>
      </c>
      <c r="HT1033" s="319" t="s">
        <v>173</v>
      </c>
      <c r="HU1033" s="319" t="s">
        <v>173</v>
      </c>
      <c r="HV1033" s="319" t="s">
        <v>173</v>
      </c>
      <c r="HW1033" s="319" t="s">
        <v>173</v>
      </c>
      <c r="HX1033" s="319" t="s">
        <v>173</v>
      </c>
      <c r="HY1033" s="319" t="s">
        <v>173</v>
      </c>
      <c r="HZ1033" s="319" t="s">
        <v>173</v>
      </c>
      <c r="IA1033" s="319" t="s">
        <v>173</v>
      </c>
      <c r="IB1033" s="319" t="s">
        <v>173</v>
      </c>
      <c r="IC1033" s="319" t="s">
        <v>173</v>
      </c>
      <c r="ID1033" s="319" t="s">
        <v>173</v>
      </c>
      <c r="IE1033" s="319" t="s">
        <v>173</v>
      </c>
      <c r="IF1033" s="319" t="s">
        <v>173</v>
      </c>
      <c r="IG1033" s="319" t="s">
        <v>173</v>
      </c>
      <c r="IH1033" s="319" t="s">
        <v>173</v>
      </c>
      <c r="II1033" s="319" t="s">
        <v>173</v>
      </c>
      <c r="IJ1033" s="319" t="s">
        <v>173</v>
      </c>
      <c r="IK1033" s="319" t="s">
        <v>173</v>
      </c>
      <c r="IL1033" s="319" t="s">
        <v>173</v>
      </c>
      <c r="IM1033" s="319" t="s">
        <v>173</v>
      </c>
      <c r="IN1033" s="319" t="s">
        <v>173</v>
      </c>
      <c r="IO1033" s="319" t="s">
        <v>173</v>
      </c>
      <c r="IP1033" s="319" t="s">
        <v>173</v>
      </c>
      <c r="IQ1033" s="319" t="s">
        <v>173</v>
      </c>
      <c r="IR1033" s="320" t="s">
        <v>173</v>
      </c>
      <c r="IS1033" s="320" t="s">
        <v>173</v>
      </c>
      <c r="IT1033" s="319" t="s">
        <v>173</v>
      </c>
    </row>
    <row r="1034" spans="1:254" s="271" customFormat="1" x14ac:dyDescent="0.25">
      <c r="A1034" s="318" t="str">
        <f>HYPERLINK("http://www.ofsted.gov.uk/inspection-reports/find-inspection-report/provider/ELS/146571 ","Ofsted School Webpage")</f>
        <v>Ofsted School Webpage</v>
      </c>
      <c r="B1034" s="319">
        <v>146571</v>
      </c>
      <c r="C1034" s="319">
        <v>3726000</v>
      </c>
      <c r="D1034" s="319" t="s">
        <v>2566</v>
      </c>
      <c r="E1034" s="319" t="s">
        <v>168</v>
      </c>
      <c r="F1034" s="319" t="s">
        <v>434</v>
      </c>
      <c r="G1034" s="319" t="s">
        <v>81</v>
      </c>
      <c r="H1034" s="319" t="s">
        <v>81</v>
      </c>
      <c r="I1034" s="319" t="s">
        <v>78</v>
      </c>
      <c r="J1034" s="319" t="s">
        <v>424</v>
      </c>
      <c r="K1034" s="319" t="s">
        <v>458</v>
      </c>
      <c r="L1034" s="319" t="s">
        <v>459</v>
      </c>
      <c r="M1034" s="319" t="s">
        <v>2567</v>
      </c>
      <c r="N1034" s="319" t="s">
        <v>3586</v>
      </c>
      <c r="O1034" s="319" t="s">
        <v>2568</v>
      </c>
      <c r="P1034" s="319" t="s">
        <v>173</v>
      </c>
      <c r="Q1034" s="319" t="s">
        <v>429</v>
      </c>
      <c r="R1034" s="320">
        <v>10100345</v>
      </c>
      <c r="S1034" s="321">
        <v>43620</v>
      </c>
      <c r="T1034" s="321">
        <v>43622</v>
      </c>
      <c r="U1034" s="321">
        <v>43661</v>
      </c>
      <c r="V1034" s="319" t="s">
        <v>435</v>
      </c>
      <c r="W1034" s="319" t="s">
        <v>2767</v>
      </c>
      <c r="X1034" s="319">
        <v>2</v>
      </c>
      <c r="Y1034" s="319" t="s">
        <v>173</v>
      </c>
      <c r="Z1034" s="319" t="s">
        <v>173</v>
      </c>
      <c r="AA1034" s="319" t="s">
        <v>173</v>
      </c>
      <c r="AB1034" s="319">
        <v>2</v>
      </c>
      <c r="AC1034" s="319" t="s">
        <v>169</v>
      </c>
      <c r="AD1034" s="319" t="s">
        <v>173</v>
      </c>
      <c r="AE1034" s="319" t="s">
        <v>173</v>
      </c>
      <c r="AF1034" s="319" t="s">
        <v>427</v>
      </c>
      <c r="AG1034" s="319" t="s">
        <v>171</v>
      </c>
      <c r="AH1034" s="319" t="s">
        <v>190</v>
      </c>
      <c r="AI1034" s="319" t="s">
        <v>190</v>
      </c>
      <c r="AJ1034" s="319" t="s">
        <v>190</v>
      </c>
      <c r="AK1034" s="319" t="s">
        <v>190</v>
      </c>
      <c r="AL1034" s="319" t="s">
        <v>190</v>
      </c>
      <c r="AM1034" s="319" t="s">
        <v>190</v>
      </c>
      <c r="AN1034" s="319" t="s">
        <v>190</v>
      </c>
      <c r="AO1034" s="319" t="s">
        <v>190</v>
      </c>
      <c r="AP1034" s="319" t="s">
        <v>190</v>
      </c>
      <c r="AQ1034" s="319" t="s">
        <v>190</v>
      </c>
      <c r="AR1034" s="319" t="s">
        <v>190</v>
      </c>
      <c r="AS1034" s="319" t="s">
        <v>190</v>
      </c>
      <c r="AT1034" s="319" t="s">
        <v>190</v>
      </c>
      <c r="AU1034" s="319" t="s">
        <v>190</v>
      </c>
      <c r="AV1034" s="319" t="s">
        <v>190</v>
      </c>
      <c r="AW1034" s="319" t="s">
        <v>190</v>
      </c>
      <c r="AX1034" s="319" t="s">
        <v>428</v>
      </c>
      <c r="AY1034" s="319" t="s">
        <v>190</v>
      </c>
      <c r="AZ1034" s="319" t="s">
        <v>190</v>
      </c>
      <c r="BA1034" s="319" t="s">
        <v>190</v>
      </c>
      <c r="BB1034" s="319" t="s">
        <v>190</v>
      </c>
      <c r="BC1034" s="319" t="s">
        <v>190</v>
      </c>
      <c r="BD1034" s="319" t="s">
        <v>190</v>
      </c>
      <c r="BE1034" s="319" t="s">
        <v>190</v>
      </c>
      <c r="BF1034" s="319" t="s">
        <v>428</v>
      </c>
      <c r="BG1034" s="319" t="s">
        <v>428</v>
      </c>
      <c r="BH1034" s="319" t="s">
        <v>190</v>
      </c>
      <c r="BI1034" s="319" t="s">
        <v>190</v>
      </c>
      <c r="BJ1034" s="319" t="s">
        <v>190</v>
      </c>
      <c r="BK1034" s="319" t="s">
        <v>190</v>
      </c>
      <c r="BL1034" s="319" t="s">
        <v>190</v>
      </c>
      <c r="BM1034" s="319" t="s">
        <v>190</v>
      </c>
      <c r="BN1034" s="319" t="s">
        <v>190</v>
      </c>
      <c r="BO1034" s="319" t="s">
        <v>190</v>
      </c>
      <c r="BP1034" s="319" t="s">
        <v>190</v>
      </c>
      <c r="BQ1034" s="319" t="s">
        <v>190</v>
      </c>
      <c r="BR1034" s="319" t="s">
        <v>190</v>
      </c>
      <c r="BS1034" s="319" t="s">
        <v>190</v>
      </c>
      <c r="BT1034" s="319" t="s">
        <v>190</v>
      </c>
      <c r="BU1034" s="319" t="s">
        <v>190</v>
      </c>
      <c r="BV1034" s="319" t="s">
        <v>190</v>
      </c>
      <c r="BW1034" s="319" t="s">
        <v>190</v>
      </c>
      <c r="BX1034" s="319" t="s">
        <v>190</v>
      </c>
      <c r="BY1034" s="319" t="s">
        <v>190</v>
      </c>
      <c r="BZ1034" s="319" t="s">
        <v>190</v>
      </c>
      <c r="CA1034" s="319" t="s">
        <v>190</v>
      </c>
      <c r="CB1034" s="319" t="s">
        <v>190</v>
      </c>
      <c r="CC1034" s="319" t="s">
        <v>190</v>
      </c>
      <c r="CD1034" s="319" t="s">
        <v>190</v>
      </c>
      <c r="CE1034" s="319" t="s">
        <v>190</v>
      </c>
      <c r="CF1034" s="319" t="s">
        <v>190</v>
      </c>
      <c r="CG1034" s="319" t="s">
        <v>190</v>
      </c>
      <c r="CH1034" s="319" t="s">
        <v>190</v>
      </c>
      <c r="CI1034" s="319" t="s">
        <v>190</v>
      </c>
      <c r="CJ1034" s="319" t="s">
        <v>190</v>
      </c>
      <c r="CK1034" s="319" t="s">
        <v>190</v>
      </c>
      <c r="CL1034" s="319" t="s">
        <v>190</v>
      </c>
      <c r="CM1034" s="319" t="s">
        <v>190</v>
      </c>
      <c r="CN1034" s="319" t="s">
        <v>428</v>
      </c>
      <c r="CO1034" s="319" t="s">
        <v>428</v>
      </c>
      <c r="CP1034" s="319" t="s">
        <v>428</v>
      </c>
      <c r="CQ1034" s="319" t="s">
        <v>190</v>
      </c>
      <c r="CR1034" s="319" t="s">
        <v>190</v>
      </c>
      <c r="CS1034" s="319" t="s">
        <v>190</v>
      </c>
      <c r="CT1034" s="319" t="s">
        <v>190</v>
      </c>
      <c r="CU1034" s="319" t="s">
        <v>190</v>
      </c>
      <c r="CV1034" s="319" t="s">
        <v>190</v>
      </c>
      <c r="CW1034" s="319" t="s">
        <v>190</v>
      </c>
      <c r="CX1034" s="319" t="s">
        <v>190</v>
      </c>
      <c r="CY1034" s="319" t="s">
        <v>190</v>
      </c>
      <c r="CZ1034" s="319" t="s">
        <v>190</v>
      </c>
      <c r="DA1034" s="319" t="s">
        <v>190</v>
      </c>
      <c r="DB1034" s="319" t="s">
        <v>190</v>
      </c>
      <c r="DC1034" s="319" t="s">
        <v>190</v>
      </c>
      <c r="DD1034" s="319" t="s">
        <v>190</v>
      </c>
      <c r="DE1034" s="319" t="s">
        <v>190</v>
      </c>
      <c r="DF1034" s="319" t="s">
        <v>190</v>
      </c>
      <c r="DG1034" s="319" t="s">
        <v>190</v>
      </c>
      <c r="DH1034" s="319" t="s">
        <v>190</v>
      </c>
      <c r="DI1034" s="319" t="s">
        <v>190</v>
      </c>
      <c r="DJ1034" s="319" t="s">
        <v>190</v>
      </c>
      <c r="DK1034" s="319" t="s">
        <v>190</v>
      </c>
      <c r="DL1034" s="319" t="s">
        <v>190</v>
      </c>
      <c r="DM1034" s="319" t="s">
        <v>428</v>
      </c>
      <c r="DN1034" s="319" t="s">
        <v>428</v>
      </c>
      <c r="DO1034" s="319" t="s">
        <v>190</v>
      </c>
      <c r="DP1034" s="319" t="s">
        <v>428</v>
      </c>
      <c r="DQ1034" s="319" t="s">
        <v>428</v>
      </c>
      <c r="DR1034" s="319" t="s">
        <v>428</v>
      </c>
      <c r="DS1034" s="319" t="s">
        <v>428</v>
      </c>
      <c r="DT1034" s="319" t="s">
        <v>428</v>
      </c>
      <c r="DU1034" s="319" t="s">
        <v>428</v>
      </c>
      <c r="DV1034" s="319" t="s">
        <v>173</v>
      </c>
      <c r="DW1034" s="319" t="s">
        <v>428</v>
      </c>
      <c r="DX1034" s="319" t="s">
        <v>428</v>
      </c>
      <c r="DY1034" s="319" t="s">
        <v>428</v>
      </c>
      <c r="DZ1034" s="319" t="s">
        <v>428</v>
      </c>
      <c r="EA1034" s="319" t="s">
        <v>428</v>
      </c>
      <c r="EB1034" s="319" t="s">
        <v>428</v>
      </c>
      <c r="EC1034" s="319" t="s">
        <v>428</v>
      </c>
      <c r="ED1034" s="319" t="s">
        <v>428</v>
      </c>
      <c r="EE1034" s="319" t="s">
        <v>190</v>
      </c>
      <c r="EF1034" s="319" t="s">
        <v>190</v>
      </c>
      <c r="EG1034" s="319" t="s">
        <v>190</v>
      </c>
      <c r="EH1034" s="319" t="s">
        <v>190</v>
      </c>
      <c r="EI1034" s="319" t="s">
        <v>190</v>
      </c>
      <c r="EJ1034" s="319" t="s">
        <v>190</v>
      </c>
      <c r="EK1034" s="319" t="s">
        <v>190</v>
      </c>
      <c r="EL1034" s="319" t="s">
        <v>428</v>
      </c>
      <c r="EM1034" s="319" t="s">
        <v>190</v>
      </c>
      <c r="EN1034" s="319" t="s">
        <v>190</v>
      </c>
      <c r="EO1034" s="319" t="s">
        <v>190</v>
      </c>
      <c r="EP1034" s="319" t="s">
        <v>190</v>
      </c>
      <c r="EQ1034" s="319" t="s">
        <v>190</v>
      </c>
      <c r="ER1034" s="319" t="s">
        <v>190</v>
      </c>
      <c r="ES1034" s="319" t="s">
        <v>190</v>
      </c>
      <c r="ET1034" s="319" t="s">
        <v>190</v>
      </c>
      <c r="EU1034" s="319" t="s">
        <v>190</v>
      </c>
      <c r="EV1034" s="319" t="s">
        <v>190</v>
      </c>
      <c r="EW1034" s="319" t="s">
        <v>190</v>
      </c>
      <c r="EX1034" s="319" t="s">
        <v>190</v>
      </c>
      <c r="EY1034" s="319" t="s">
        <v>190</v>
      </c>
      <c r="EZ1034" s="319" t="s">
        <v>190</v>
      </c>
      <c r="FA1034" s="319" t="s">
        <v>428</v>
      </c>
      <c r="FB1034" s="319" t="s">
        <v>428</v>
      </c>
      <c r="FC1034" s="319" t="s">
        <v>428</v>
      </c>
      <c r="FD1034" s="319" t="s">
        <v>428</v>
      </c>
      <c r="FE1034" s="319" t="s">
        <v>428</v>
      </c>
      <c r="FF1034" s="319" t="s">
        <v>428</v>
      </c>
      <c r="FG1034" s="319" t="s">
        <v>428</v>
      </c>
      <c r="FH1034" s="319" t="s">
        <v>428</v>
      </c>
      <c r="FI1034" s="319" t="s">
        <v>428</v>
      </c>
      <c r="FJ1034" s="319" t="s">
        <v>429</v>
      </c>
      <c r="FK1034" s="319" t="s">
        <v>428</v>
      </c>
      <c r="FL1034" s="319" t="s">
        <v>190</v>
      </c>
      <c r="FM1034" s="319" t="s">
        <v>190</v>
      </c>
      <c r="FN1034" s="319" t="s">
        <v>190</v>
      </c>
      <c r="FO1034" s="319" t="s">
        <v>190</v>
      </c>
      <c r="FP1034" s="319" t="s">
        <v>190</v>
      </c>
      <c r="FQ1034" s="319" t="s">
        <v>190</v>
      </c>
      <c r="FR1034" s="319" t="s">
        <v>190</v>
      </c>
      <c r="FS1034" s="319" t="s">
        <v>428</v>
      </c>
      <c r="FT1034" s="319" t="s">
        <v>190</v>
      </c>
      <c r="FU1034" s="319" t="s">
        <v>190</v>
      </c>
      <c r="FV1034" s="319" t="s">
        <v>190</v>
      </c>
      <c r="FW1034" s="319" t="s">
        <v>190</v>
      </c>
      <c r="FX1034" s="319" t="s">
        <v>190</v>
      </c>
      <c r="FY1034" s="319" t="s">
        <v>190</v>
      </c>
      <c r="FZ1034" s="319" t="s">
        <v>190</v>
      </c>
      <c r="GA1034" s="319" t="s">
        <v>190</v>
      </c>
      <c r="GB1034" s="319" t="s">
        <v>190</v>
      </c>
      <c r="GC1034" s="319" t="s">
        <v>190</v>
      </c>
      <c r="GD1034" s="319" t="s">
        <v>190</v>
      </c>
      <c r="GE1034" s="319" t="s">
        <v>190</v>
      </c>
      <c r="GF1034" s="319" t="s">
        <v>190</v>
      </c>
      <c r="GG1034" s="319" t="s">
        <v>190</v>
      </c>
      <c r="GH1034" s="319" t="s">
        <v>190</v>
      </c>
      <c r="GI1034" s="319" t="s">
        <v>190</v>
      </c>
      <c r="GJ1034" s="319" t="s">
        <v>190</v>
      </c>
      <c r="GK1034" s="319" t="s">
        <v>428</v>
      </c>
      <c r="GL1034" s="319" t="s">
        <v>190</v>
      </c>
      <c r="GM1034" s="319" t="s">
        <v>190</v>
      </c>
      <c r="GN1034" s="319" t="s">
        <v>190</v>
      </c>
      <c r="GO1034" s="319" t="s">
        <v>190</v>
      </c>
      <c r="GP1034" s="319" t="s">
        <v>428</v>
      </c>
      <c r="GQ1034" s="319" t="s">
        <v>428</v>
      </c>
      <c r="GR1034" s="319" t="s">
        <v>190</v>
      </c>
      <c r="GS1034" s="319" t="s">
        <v>190</v>
      </c>
      <c r="GT1034" s="319" t="s">
        <v>190</v>
      </c>
      <c r="GU1034" s="319" t="s">
        <v>190</v>
      </c>
      <c r="GV1034" s="319" t="s">
        <v>190</v>
      </c>
      <c r="GW1034" s="319" t="s">
        <v>190</v>
      </c>
      <c r="GX1034" s="319" t="s">
        <v>190</v>
      </c>
      <c r="GY1034" s="319" t="s">
        <v>190</v>
      </c>
      <c r="GZ1034" s="319" t="s">
        <v>428</v>
      </c>
      <c r="HA1034" s="319" t="s">
        <v>190</v>
      </c>
      <c r="HB1034" s="319" t="s">
        <v>190</v>
      </c>
      <c r="HC1034" s="319" t="s">
        <v>190</v>
      </c>
      <c r="HD1034" s="319" t="s">
        <v>190</v>
      </c>
      <c r="HE1034" s="319" t="s">
        <v>190</v>
      </c>
      <c r="HF1034" s="319" t="s">
        <v>190</v>
      </c>
      <c r="HG1034" s="319" t="s">
        <v>190</v>
      </c>
      <c r="HH1034" s="319" t="s">
        <v>190</v>
      </c>
      <c r="HI1034" s="319" t="s">
        <v>190</v>
      </c>
      <c r="HJ1034" s="319" t="s">
        <v>190</v>
      </c>
      <c r="HK1034" s="319" t="s">
        <v>190</v>
      </c>
      <c r="HL1034" s="319" t="s">
        <v>428</v>
      </c>
      <c r="HM1034" s="319" t="s">
        <v>428</v>
      </c>
      <c r="HN1034" s="319" t="s">
        <v>428</v>
      </c>
      <c r="HO1034" s="319" t="s">
        <v>428</v>
      </c>
      <c r="HP1034" s="319" t="s">
        <v>190</v>
      </c>
      <c r="HQ1034" s="319" t="s">
        <v>190</v>
      </c>
      <c r="HR1034" s="319" t="s">
        <v>190</v>
      </c>
      <c r="HS1034" s="319" t="s">
        <v>190</v>
      </c>
      <c r="HT1034" s="319" t="s">
        <v>190</v>
      </c>
      <c r="HU1034" s="319" t="s">
        <v>190</v>
      </c>
      <c r="HV1034" s="319" t="s">
        <v>190</v>
      </c>
      <c r="HW1034" s="319" t="s">
        <v>190</v>
      </c>
      <c r="HX1034" s="319" t="s">
        <v>190</v>
      </c>
      <c r="HY1034" s="319" t="s">
        <v>190</v>
      </c>
      <c r="HZ1034" s="319" t="s">
        <v>190</v>
      </c>
      <c r="IA1034" s="319" t="s">
        <v>190</v>
      </c>
      <c r="IB1034" s="319" t="s">
        <v>190</v>
      </c>
      <c r="IC1034" s="319" t="s">
        <v>190</v>
      </c>
      <c r="ID1034" s="319" t="s">
        <v>190</v>
      </c>
      <c r="IE1034" s="319" t="s">
        <v>190</v>
      </c>
      <c r="IF1034" s="319" t="s">
        <v>190</v>
      </c>
      <c r="IG1034" s="319" t="s">
        <v>190</v>
      </c>
      <c r="IH1034" s="319" t="s">
        <v>190</v>
      </c>
      <c r="II1034" s="319" t="s">
        <v>190</v>
      </c>
      <c r="IJ1034" s="319" t="s">
        <v>173</v>
      </c>
      <c r="IK1034" s="319" t="s">
        <v>173</v>
      </c>
      <c r="IL1034" s="319" t="s">
        <v>173</v>
      </c>
      <c r="IM1034" s="319" t="s">
        <v>173</v>
      </c>
      <c r="IN1034" s="319" t="s">
        <v>173</v>
      </c>
      <c r="IO1034" s="319" t="s">
        <v>173</v>
      </c>
      <c r="IP1034" s="319" t="s">
        <v>173</v>
      </c>
      <c r="IQ1034" s="321" t="s">
        <v>173</v>
      </c>
      <c r="IR1034" s="320" t="s">
        <v>173</v>
      </c>
      <c r="IS1034" s="322" t="s">
        <v>173</v>
      </c>
      <c r="IT1034" s="319" t="s">
        <v>173</v>
      </c>
    </row>
    <row r="1035" spans="1:254" s="271" customFormat="1" x14ac:dyDescent="0.25">
      <c r="A1035" s="318" t="str">
        <f>HYPERLINK("http://www.ofsted.gov.uk/inspection-reports/find-inspection-report/provider/ELS/146626 ","Ofsted School Webpage")</f>
        <v>Ofsted School Webpage</v>
      </c>
      <c r="B1035" s="319">
        <v>146626</v>
      </c>
      <c r="C1035" s="319">
        <v>9266021</v>
      </c>
      <c r="D1035" s="319" t="s">
        <v>2569</v>
      </c>
      <c r="E1035" s="319" t="s">
        <v>168</v>
      </c>
      <c r="F1035" s="319" t="s">
        <v>434</v>
      </c>
      <c r="G1035" s="319" t="s">
        <v>81</v>
      </c>
      <c r="H1035" s="319" t="s">
        <v>81</v>
      </c>
      <c r="I1035" s="319" t="s">
        <v>78</v>
      </c>
      <c r="J1035" s="319" t="s">
        <v>424</v>
      </c>
      <c r="K1035" s="319" t="s">
        <v>451</v>
      </c>
      <c r="L1035" s="319" t="s">
        <v>451</v>
      </c>
      <c r="M1035" s="319" t="s">
        <v>463</v>
      </c>
      <c r="N1035" s="319" t="s">
        <v>3009</v>
      </c>
      <c r="O1035" s="319" t="s">
        <v>2570</v>
      </c>
      <c r="P1035" s="319" t="s">
        <v>173</v>
      </c>
      <c r="Q1035" s="319" t="s">
        <v>429</v>
      </c>
      <c r="R1035" s="320" t="s">
        <v>173</v>
      </c>
      <c r="S1035" s="321" t="s">
        <v>173</v>
      </c>
      <c r="T1035" s="321" t="s">
        <v>173</v>
      </c>
      <c r="U1035" s="321" t="s">
        <v>173</v>
      </c>
      <c r="V1035" s="319" t="s">
        <v>173</v>
      </c>
      <c r="W1035" s="319" t="s">
        <v>173</v>
      </c>
      <c r="X1035" s="319" t="s">
        <v>173</v>
      </c>
      <c r="Y1035" s="319" t="s">
        <v>173</v>
      </c>
      <c r="Z1035" s="319" t="s">
        <v>173</v>
      </c>
      <c r="AA1035" s="319" t="s">
        <v>173</v>
      </c>
      <c r="AB1035" s="319" t="s">
        <v>173</v>
      </c>
      <c r="AC1035" s="319" t="s">
        <v>173</v>
      </c>
      <c r="AD1035" s="319" t="s">
        <v>173</v>
      </c>
      <c r="AE1035" s="319" t="s">
        <v>173</v>
      </c>
      <c r="AF1035" s="319" t="s">
        <v>173</v>
      </c>
      <c r="AG1035" s="319" t="s">
        <v>173</v>
      </c>
      <c r="AH1035" s="319" t="s">
        <v>173</v>
      </c>
      <c r="AI1035" s="319" t="s">
        <v>173</v>
      </c>
      <c r="AJ1035" s="319" t="s">
        <v>173</v>
      </c>
      <c r="AK1035" s="319" t="s">
        <v>173</v>
      </c>
      <c r="AL1035" s="319" t="s">
        <v>173</v>
      </c>
      <c r="AM1035" s="319" t="s">
        <v>173</v>
      </c>
      <c r="AN1035" s="319" t="s">
        <v>173</v>
      </c>
      <c r="AO1035" s="319" t="s">
        <v>173</v>
      </c>
      <c r="AP1035" s="319" t="s">
        <v>173</v>
      </c>
      <c r="AQ1035" s="319" t="s">
        <v>173</v>
      </c>
      <c r="AR1035" s="319" t="s">
        <v>173</v>
      </c>
      <c r="AS1035" s="319" t="s">
        <v>173</v>
      </c>
      <c r="AT1035" s="319" t="s">
        <v>173</v>
      </c>
      <c r="AU1035" s="319" t="s">
        <v>173</v>
      </c>
      <c r="AV1035" s="319" t="s">
        <v>173</v>
      </c>
      <c r="AW1035" s="319" t="s">
        <v>173</v>
      </c>
      <c r="AX1035" s="319" t="s">
        <v>173</v>
      </c>
      <c r="AY1035" s="319" t="s">
        <v>173</v>
      </c>
      <c r="AZ1035" s="319" t="s">
        <v>173</v>
      </c>
      <c r="BA1035" s="319" t="s">
        <v>173</v>
      </c>
      <c r="BB1035" s="319" t="s">
        <v>173</v>
      </c>
      <c r="BC1035" s="319" t="s">
        <v>173</v>
      </c>
      <c r="BD1035" s="319" t="s">
        <v>173</v>
      </c>
      <c r="BE1035" s="319" t="s">
        <v>173</v>
      </c>
      <c r="BF1035" s="319" t="s">
        <v>173</v>
      </c>
      <c r="BG1035" s="319" t="s">
        <v>173</v>
      </c>
      <c r="BH1035" s="319" t="s">
        <v>173</v>
      </c>
      <c r="BI1035" s="319" t="s">
        <v>173</v>
      </c>
      <c r="BJ1035" s="319" t="s">
        <v>173</v>
      </c>
      <c r="BK1035" s="319" t="s">
        <v>173</v>
      </c>
      <c r="BL1035" s="319" t="s">
        <v>173</v>
      </c>
      <c r="BM1035" s="319" t="s">
        <v>173</v>
      </c>
      <c r="BN1035" s="319" t="s">
        <v>173</v>
      </c>
      <c r="BO1035" s="319" t="s">
        <v>173</v>
      </c>
      <c r="BP1035" s="319" t="s">
        <v>173</v>
      </c>
      <c r="BQ1035" s="319" t="s">
        <v>173</v>
      </c>
      <c r="BR1035" s="319" t="s">
        <v>173</v>
      </c>
      <c r="BS1035" s="319" t="s">
        <v>173</v>
      </c>
      <c r="BT1035" s="319" t="s">
        <v>173</v>
      </c>
      <c r="BU1035" s="319" t="s">
        <v>173</v>
      </c>
      <c r="BV1035" s="319" t="s">
        <v>173</v>
      </c>
      <c r="BW1035" s="319" t="s">
        <v>173</v>
      </c>
      <c r="BX1035" s="319" t="s">
        <v>173</v>
      </c>
      <c r="BY1035" s="319" t="s">
        <v>173</v>
      </c>
      <c r="BZ1035" s="319" t="s">
        <v>173</v>
      </c>
      <c r="CA1035" s="319" t="s">
        <v>173</v>
      </c>
      <c r="CB1035" s="319" t="s">
        <v>173</v>
      </c>
      <c r="CC1035" s="319" t="s">
        <v>173</v>
      </c>
      <c r="CD1035" s="319" t="s">
        <v>173</v>
      </c>
      <c r="CE1035" s="319" t="s">
        <v>173</v>
      </c>
      <c r="CF1035" s="319" t="s">
        <v>173</v>
      </c>
      <c r="CG1035" s="319" t="s">
        <v>173</v>
      </c>
      <c r="CH1035" s="319" t="s">
        <v>173</v>
      </c>
      <c r="CI1035" s="319" t="s">
        <v>173</v>
      </c>
      <c r="CJ1035" s="319" t="s">
        <v>173</v>
      </c>
      <c r="CK1035" s="319" t="s">
        <v>173</v>
      </c>
      <c r="CL1035" s="319" t="s">
        <v>173</v>
      </c>
      <c r="CM1035" s="319" t="s">
        <v>173</v>
      </c>
      <c r="CN1035" s="319" t="s">
        <v>173</v>
      </c>
      <c r="CO1035" s="319" t="s">
        <v>173</v>
      </c>
      <c r="CP1035" s="319" t="s">
        <v>173</v>
      </c>
      <c r="CQ1035" s="319" t="s">
        <v>173</v>
      </c>
      <c r="CR1035" s="319" t="s">
        <v>173</v>
      </c>
      <c r="CS1035" s="319" t="s">
        <v>173</v>
      </c>
      <c r="CT1035" s="319" t="s">
        <v>173</v>
      </c>
      <c r="CU1035" s="319" t="s">
        <v>173</v>
      </c>
      <c r="CV1035" s="319" t="s">
        <v>173</v>
      </c>
      <c r="CW1035" s="319" t="s">
        <v>173</v>
      </c>
      <c r="CX1035" s="319" t="s">
        <v>173</v>
      </c>
      <c r="CY1035" s="319" t="s">
        <v>173</v>
      </c>
      <c r="CZ1035" s="319" t="s">
        <v>173</v>
      </c>
      <c r="DA1035" s="319" t="s">
        <v>173</v>
      </c>
      <c r="DB1035" s="319" t="s">
        <v>173</v>
      </c>
      <c r="DC1035" s="319" t="s">
        <v>173</v>
      </c>
      <c r="DD1035" s="319" t="s">
        <v>173</v>
      </c>
      <c r="DE1035" s="319" t="s">
        <v>173</v>
      </c>
      <c r="DF1035" s="319" t="s">
        <v>173</v>
      </c>
      <c r="DG1035" s="319" t="s">
        <v>173</v>
      </c>
      <c r="DH1035" s="319" t="s">
        <v>173</v>
      </c>
      <c r="DI1035" s="319" t="s">
        <v>173</v>
      </c>
      <c r="DJ1035" s="319" t="s">
        <v>173</v>
      </c>
      <c r="DK1035" s="319" t="s">
        <v>173</v>
      </c>
      <c r="DL1035" s="319" t="s">
        <v>173</v>
      </c>
      <c r="DM1035" s="319" t="s">
        <v>173</v>
      </c>
      <c r="DN1035" s="319" t="s">
        <v>173</v>
      </c>
      <c r="DO1035" s="319" t="s">
        <v>173</v>
      </c>
      <c r="DP1035" s="319" t="s">
        <v>173</v>
      </c>
      <c r="DQ1035" s="319" t="s">
        <v>173</v>
      </c>
      <c r="DR1035" s="319" t="s">
        <v>173</v>
      </c>
      <c r="DS1035" s="319" t="s">
        <v>173</v>
      </c>
      <c r="DT1035" s="319" t="s">
        <v>173</v>
      </c>
      <c r="DU1035" s="319" t="s">
        <v>173</v>
      </c>
      <c r="DV1035" s="319" t="s">
        <v>173</v>
      </c>
      <c r="DW1035" s="319" t="s">
        <v>173</v>
      </c>
      <c r="DX1035" s="319" t="s">
        <v>173</v>
      </c>
      <c r="DY1035" s="319" t="s">
        <v>173</v>
      </c>
      <c r="DZ1035" s="319" t="s">
        <v>173</v>
      </c>
      <c r="EA1035" s="319" t="s">
        <v>173</v>
      </c>
      <c r="EB1035" s="319" t="s">
        <v>173</v>
      </c>
      <c r="EC1035" s="319" t="s">
        <v>173</v>
      </c>
      <c r="ED1035" s="319" t="s">
        <v>173</v>
      </c>
      <c r="EE1035" s="319" t="s">
        <v>173</v>
      </c>
      <c r="EF1035" s="319" t="s">
        <v>173</v>
      </c>
      <c r="EG1035" s="319" t="s">
        <v>173</v>
      </c>
      <c r="EH1035" s="319" t="s">
        <v>173</v>
      </c>
      <c r="EI1035" s="319" t="s">
        <v>173</v>
      </c>
      <c r="EJ1035" s="319" t="s">
        <v>173</v>
      </c>
      <c r="EK1035" s="319" t="s">
        <v>173</v>
      </c>
      <c r="EL1035" s="319" t="s">
        <v>173</v>
      </c>
      <c r="EM1035" s="319" t="s">
        <v>173</v>
      </c>
      <c r="EN1035" s="319" t="s">
        <v>173</v>
      </c>
      <c r="EO1035" s="319" t="s">
        <v>173</v>
      </c>
      <c r="EP1035" s="319" t="s">
        <v>173</v>
      </c>
      <c r="EQ1035" s="319" t="s">
        <v>173</v>
      </c>
      <c r="ER1035" s="319" t="s">
        <v>173</v>
      </c>
      <c r="ES1035" s="319" t="s">
        <v>173</v>
      </c>
      <c r="ET1035" s="319" t="s">
        <v>173</v>
      </c>
      <c r="EU1035" s="319" t="s">
        <v>173</v>
      </c>
      <c r="EV1035" s="319" t="s">
        <v>173</v>
      </c>
      <c r="EW1035" s="319" t="s">
        <v>173</v>
      </c>
      <c r="EX1035" s="319" t="s">
        <v>173</v>
      </c>
      <c r="EY1035" s="319" t="s">
        <v>173</v>
      </c>
      <c r="EZ1035" s="319" t="s">
        <v>173</v>
      </c>
      <c r="FA1035" s="319" t="s">
        <v>173</v>
      </c>
      <c r="FB1035" s="319" t="s">
        <v>173</v>
      </c>
      <c r="FC1035" s="319" t="s">
        <v>173</v>
      </c>
      <c r="FD1035" s="319" t="s">
        <v>173</v>
      </c>
      <c r="FE1035" s="319" t="s">
        <v>173</v>
      </c>
      <c r="FF1035" s="319" t="s">
        <v>173</v>
      </c>
      <c r="FG1035" s="319" t="s">
        <v>173</v>
      </c>
      <c r="FH1035" s="319" t="s">
        <v>173</v>
      </c>
      <c r="FI1035" s="319" t="s">
        <v>173</v>
      </c>
      <c r="FJ1035" s="319" t="s">
        <v>173</v>
      </c>
      <c r="FK1035" s="319" t="s">
        <v>173</v>
      </c>
      <c r="FL1035" s="319" t="s">
        <v>173</v>
      </c>
      <c r="FM1035" s="319" t="s">
        <v>173</v>
      </c>
      <c r="FN1035" s="319" t="s">
        <v>173</v>
      </c>
      <c r="FO1035" s="319" t="s">
        <v>173</v>
      </c>
      <c r="FP1035" s="319" t="s">
        <v>173</v>
      </c>
      <c r="FQ1035" s="319" t="s">
        <v>173</v>
      </c>
      <c r="FR1035" s="319" t="s">
        <v>173</v>
      </c>
      <c r="FS1035" s="319" t="s">
        <v>173</v>
      </c>
      <c r="FT1035" s="319" t="s">
        <v>173</v>
      </c>
      <c r="FU1035" s="319" t="s">
        <v>173</v>
      </c>
      <c r="FV1035" s="319" t="s">
        <v>173</v>
      </c>
      <c r="FW1035" s="319" t="s">
        <v>173</v>
      </c>
      <c r="FX1035" s="319" t="s">
        <v>173</v>
      </c>
      <c r="FY1035" s="319" t="s">
        <v>173</v>
      </c>
      <c r="FZ1035" s="319" t="s">
        <v>173</v>
      </c>
      <c r="GA1035" s="319" t="s">
        <v>173</v>
      </c>
      <c r="GB1035" s="319" t="s">
        <v>173</v>
      </c>
      <c r="GC1035" s="319" t="s">
        <v>173</v>
      </c>
      <c r="GD1035" s="319" t="s">
        <v>173</v>
      </c>
      <c r="GE1035" s="319" t="s">
        <v>173</v>
      </c>
      <c r="GF1035" s="319" t="s">
        <v>173</v>
      </c>
      <c r="GG1035" s="319" t="s">
        <v>173</v>
      </c>
      <c r="GH1035" s="319" t="s">
        <v>173</v>
      </c>
      <c r="GI1035" s="319" t="s">
        <v>173</v>
      </c>
      <c r="GJ1035" s="319" t="s">
        <v>173</v>
      </c>
      <c r="GK1035" s="319" t="s">
        <v>173</v>
      </c>
      <c r="GL1035" s="319" t="s">
        <v>173</v>
      </c>
      <c r="GM1035" s="319" t="s">
        <v>173</v>
      </c>
      <c r="GN1035" s="319" t="s">
        <v>173</v>
      </c>
      <c r="GO1035" s="319" t="s">
        <v>173</v>
      </c>
      <c r="GP1035" s="319" t="s">
        <v>173</v>
      </c>
      <c r="GQ1035" s="319" t="s">
        <v>173</v>
      </c>
      <c r="GR1035" s="319" t="s">
        <v>173</v>
      </c>
      <c r="GS1035" s="319" t="s">
        <v>173</v>
      </c>
      <c r="GT1035" s="319" t="s">
        <v>173</v>
      </c>
      <c r="GU1035" s="319" t="s">
        <v>173</v>
      </c>
      <c r="GV1035" s="319" t="s">
        <v>173</v>
      </c>
      <c r="GW1035" s="319" t="s">
        <v>173</v>
      </c>
      <c r="GX1035" s="319" t="s">
        <v>173</v>
      </c>
      <c r="GY1035" s="319" t="s">
        <v>173</v>
      </c>
      <c r="GZ1035" s="319" t="s">
        <v>173</v>
      </c>
      <c r="HA1035" s="319" t="s">
        <v>173</v>
      </c>
      <c r="HB1035" s="319" t="s">
        <v>173</v>
      </c>
      <c r="HC1035" s="319" t="s">
        <v>173</v>
      </c>
      <c r="HD1035" s="319" t="s">
        <v>173</v>
      </c>
      <c r="HE1035" s="319" t="s">
        <v>173</v>
      </c>
      <c r="HF1035" s="319" t="s">
        <v>173</v>
      </c>
      <c r="HG1035" s="319" t="s">
        <v>173</v>
      </c>
      <c r="HH1035" s="319" t="s">
        <v>173</v>
      </c>
      <c r="HI1035" s="319" t="s">
        <v>173</v>
      </c>
      <c r="HJ1035" s="319" t="s">
        <v>173</v>
      </c>
      <c r="HK1035" s="319" t="s">
        <v>173</v>
      </c>
      <c r="HL1035" s="319" t="s">
        <v>173</v>
      </c>
      <c r="HM1035" s="319" t="s">
        <v>173</v>
      </c>
      <c r="HN1035" s="319" t="s">
        <v>173</v>
      </c>
      <c r="HO1035" s="319" t="s">
        <v>173</v>
      </c>
      <c r="HP1035" s="319" t="s">
        <v>173</v>
      </c>
      <c r="HQ1035" s="319" t="s">
        <v>173</v>
      </c>
      <c r="HR1035" s="319" t="s">
        <v>173</v>
      </c>
      <c r="HS1035" s="319" t="s">
        <v>173</v>
      </c>
      <c r="HT1035" s="319" t="s">
        <v>173</v>
      </c>
      <c r="HU1035" s="319" t="s">
        <v>173</v>
      </c>
      <c r="HV1035" s="319" t="s">
        <v>173</v>
      </c>
      <c r="HW1035" s="319" t="s">
        <v>173</v>
      </c>
      <c r="HX1035" s="319" t="s">
        <v>173</v>
      </c>
      <c r="HY1035" s="319" t="s">
        <v>173</v>
      </c>
      <c r="HZ1035" s="319" t="s">
        <v>173</v>
      </c>
      <c r="IA1035" s="319" t="s">
        <v>173</v>
      </c>
      <c r="IB1035" s="319" t="s">
        <v>173</v>
      </c>
      <c r="IC1035" s="319" t="s">
        <v>173</v>
      </c>
      <c r="ID1035" s="319" t="s">
        <v>173</v>
      </c>
      <c r="IE1035" s="319" t="s">
        <v>173</v>
      </c>
      <c r="IF1035" s="319" t="s">
        <v>173</v>
      </c>
      <c r="IG1035" s="319" t="s">
        <v>173</v>
      </c>
      <c r="IH1035" s="319" t="s">
        <v>173</v>
      </c>
      <c r="II1035" s="319" t="s">
        <v>173</v>
      </c>
      <c r="IJ1035" s="319" t="s">
        <v>173</v>
      </c>
      <c r="IK1035" s="319" t="s">
        <v>173</v>
      </c>
      <c r="IL1035" s="319" t="s">
        <v>173</v>
      </c>
      <c r="IM1035" s="319" t="s">
        <v>173</v>
      </c>
      <c r="IN1035" s="319" t="s">
        <v>173</v>
      </c>
      <c r="IO1035" s="319" t="s">
        <v>173</v>
      </c>
      <c r="IP1035" s="319" t="s">
        <v>173</v>
      </c>
      <c r="IQ1035" s="321" t="s">
        <v>173</v>
      </c>
      <c r="IR1035" s="320" t="s">
        <v>173</v>
      </c>
      <c r="IS1035" s="322" t="s">
        <v>173</v>
      </c>
      <c r="IT1035" s="319" t="s">
        <v>173</v>
      </c>
    </row>
    <row r="1036" spans="1:254" s="271" customFormat="1" x14ac:dyDescent="0.25">
      <c r="A1036" s="318" t="str">
        <f>HYPERLINK("http://www.ofsted.gov.uk/inspection-reports/find-inspection-report/provider/ELS/146633 ","Ofsted School Webpage")</f>
        <v>Ofsted School Webpage</v>
      </c>
      <c r="B1036" s="319">
        <v>146633</v>
      </c>
      <c r="C1036" s="319">
        <v>3836009</v>
      </c>
      <c r="D1036" s="319" t="s">
        <v>2571</v>
      </c>
      <c r="E1036" s="319" t="s">
        <v>167</v>
      </c>
      <c r="F1036" s="319" t="s">
        <v>434</v>
      </c>
      <c r="G1036" s="319" t="s">
        <v>81</v>
      </c>
      <c r="H1036" s="319" t="s">
        <v>81</v>
      </c>
      <c r="I1036" s="319" t="s">
        <v>78</v>
      </c>
      <c r="J1036" s="319" t="s">
        <v>424</v>
      </c>
      <c r="K1036" s="319" t="s">
        <v>458</v>
      </c>
      <c r="L1036" s="319" t="s">
        <v>459</v>
      </c>
      <c r="M1036" s="319" t="s">
        <v>622</v>
      </c>
      <c r="N1036" s="319" t="s">
        <v>3468</v>
      </c>
      <c r="O1036" s="319" t="s">
        <v>2572</v>
      </c>
      <c r="P1036" s="319" t="s">
        <v>173</v>
      </c>
      <c r="Q1036" s="319" t="s">
        <v>2766</v>
      </c>
      <c r="R1036" s="320" t="s">
        <v>173</v>
      </c>
      <c r="S1036" s="321" t="s">
        <v>173</v>
      </c>
      <c r="T1036" s="321" t="s">
        <v>173</v>
      </c>
      <c r="U1036" s="321" t="s">
        <v>173</v>
      </c>
      <c r="V1036" s="319" t="s">
        <v>173</v>
      </c>
      <c r="W1036" s="319" t="s">
        <v>173</v>
      </c>
      <c r="X1036" s="319" t="s">
        <v>173</v>
      </c>
      <c r="Y1036" s="319" t="s">
        <v>173</v>
      </c>
      <c r="Z1036" s="319" t="s">
        <v>173</v>
      </c>
      <c r="AA1036" s="319" t="s">
        <v>173</v>
      </c>
      <c r="AB1036" s="319" t="s">
        <v>173</v>
      </c>
      <c r="AC1036" s="319" t="s">
        <v>173</v>
      </c>
      <c r="AD1036" s="319" t="s">
        <v>173</v>
      </c>
      <c r="AE1036" s="319" t="s">
        <v>173</v>
      </c>
      <c r="AF1036" s="319" t="s">
        <v>173</v>
      </c>
      <c r="AG1036" s="319" t="s">
        <v>173</v>
      </c>
      <c r="AH1036" s="319" t="s">
        <v>173</v>
      </c>
      <c r="AI1036" s="319" t="s">
        <v>173</v>
      </c>
      <c r="AJ1036" s="319" t="s">
        <v>173</v>
      </c>
      <c r="AK1036" s="319" t="s">
        <v>173</v>
      </c>
      <c r="AL1036" s="319" t="s">
        <v>173</v>
      </c>
      <c r="AM1036" s="319" t="s">
        <v>173</v>
      </c>
      <c r="AN1036" s="319" t="s">
        <v>173</v>
      </c>
      <c r="AO1036" s="319" t="s">
        <v>173</v>
      </c>
      <c r="AP1036" s="319" t="s">
        <v>173</v>
      </c>
      <c r="AQ1036" s="319" t="s">
        <v>173</v>
      </c>
      <c r="AR1036" s="319" t="s">
        <v>173</v>
      </c>
      <c r="AS1036" s="319" t="s">
        <v>173</v>
      </c>
      <c r="AT1036" s="319" t="s">
        <v>173</v>
      </c>
      <c r="AU1036" s="319" t="s">
        <v>173</v>
      </c>
      <c r="AV1036" s="319" t="s">
        <v>173</v>
      </c>
      <c r="AW1036" s="319" t="s">
        <v>173</v>
      </c>
      <c r="AX1036" s="319" t="s">
        <v>173</v>
      </c>
      <c r="AY1036" s="319" t="s">
        <v>173</v>
      </c>
      <c r="AZ1036" s="319" t="s">
        <v>173</v>
      </c>
      <c r="BA1036" s="319" t="s">
        <v>173</v>
      </c>
      <c r="BB1036" s="319" t="s">
        <v>173</v>
      </c>
      <c r="BC1036" s="319" t="s">
        <v>173</v>
      </c>
      <c r="BD1036" s="319" t="s">
        <v>173</v>
      </c>
      <c r="BE1036" s="319" t="s">
        <v>173</v>
      </c>
      <c r="BF1036" s="319" t="s">
        <v>173</v>
      </c>
      <c r="BG1036" s="319" t="s">
        <v>173</v>
      </c>
      <c r="BH1036" s="319" t="s">
        <v>173</v>
      </c>
      <c r="BI1036" s="319" t="s">
        <v>173</v>
      </c>
      <c r="BJ1036" s="319" t="s">
        <v>173</v>
      </c>
      <c r="BK1036" s="319" t="s">
        <v>173</v>
      </c>
      <c r="BL1036" s="319" t="s">
        <v>173</v>
      </c>
      <c r="BM1036" s="319" t="s">
        <v>173</v>
      </c>
      <c r="BN1036" s="319" t="s">
        <v>173</v>
      </c>
      <c r="BO1036" s="319" t="s">
        <v>173</v>
      </c>
      <c r="BP1036" s="319" t="s">
        <v>173</v>
      </c>
      <c r="BQ1036" s="319" t="s">
        <v>173</v>
      </c>
      <c r="BR1036" s="319" t="s">
        <v>173</v>
      </c>
      <c r="BS1036" s="319" t="s">
        <v>173</v>
      </c>
      <c r="BT1036" s="319" t="s">
        <v>173</v>
      </c>
      <c r="BU1036" s="319" t="s">
        <v>173</v>
      </c>
      <c r="BV1036" s="319" t="s">
        <v>173</v>
      </c>
      <c r="BW1036" s="319" t="s">
        <v>173</v>
      </c>
      <c r="BX1036" s="319" t="s">
        <v>173</v>
      </c>
      <c r="BY1036" s="319" t="s">
        <v>173</v>
      </c>
      <c r="BZ1036" s="319" t="s">
        <v>173</v>
      </c>
      <c r="CA1036" s="319" t="s">
        <v>173</v>
      </c>
      <c r="CB1036" s="319" t="s">
        <v>173</v>
      </c>
      <c r="CC1036" s="319" t="s">
        <v>173</v>
      </c>
      <c r="CD1036" s="319" t="s">
        <v>173</v>
      </c>
      <c r="CE1036" s="319" t="s">
        <v>173</v>
      </c>
      <c r="CF1036" s="319" t="s">
        <v>173</v>
      </c>
      <c r="CG1036" s="319" t="s">
        <v>173</v>
      </c>
      <c r="CH1036" s="319" t="s">
        <v>173</v>
      </c>
      <c r="CI1036" s="319" t="s">
        <v>173</v>
      </c>
      <c r="CJ1036" s="319" t="s">
        <v>173</v>
      </c>
      <c r="CK1036" s="319" t="s">
        <v>173</v>
      </c>
      <c r="CL1036" s="319" t="s">
        <v>173</v>
      </c>
      <c r="CM1036" s="319" t="s">
        <v>173</v>
      </c>
      <c r="CN1036" s="319" t="s">
        <v>173</v>
      </c>
      <c r="CO1036" s="319" t="s">
        <v>173</v>
      </c>
      <c r="CP1036" s="319" t="s">
        <v>173</v>
      </c>
      <c r="CQ1036" s="319" t="s">
        <v>173</v>
      </c>
      <c r="CR1036" s="319" t="s">
        <v>173</v>
      </c>
      <c r="CS1036" s="319" t="s">
        <v>173</v>
      </c>
      <c r="CT1036" s="319" t="s">
        <v>173</v>
      </c>
      <c r="CU1036" s="319" t="s">
        <v>173</v>
      </c>
      <c r="CV1036" s="319" t="s">
        <v>173</v>
      </c>
      <c r="CW1036" s="319" t="s">
        <v>173</v>
      </c>
      <c r="CX1036" s="319" t="s">
        <v>173</v>
      </c>
      <c r="CY1036" s="319" t="s">
        <v>173</v>
      </c>
      <c r="CZ1036" s="319" t="s">
        <v>173</v>
      </c>
      <c r="DA1036" s="319" t="s">
        <v>173</v>
      </c>
      <c r="DB1036" s="319" t="s">
        <v>173</v>
      </c>
      <c r="DC1036" s="319" t="s">
        <v>173</v>
      </c>
      <c r="DD1036" s="319" t="s">
        <v>173</v>
      </c>
      <c r="DE1036" s="319" t="s">
        <v>173</v>
      </c>
      <c r="DF1036" s="319" t="s">
        <v>173</v>
      </c>
      <c r="DG1036" s="319" t="s">
        <v>173</v>
      </c>
      <c r="DH1036" s="319" t="s">
        <v>173</v>
      </c>
      <c r="DI1036" s="319" t="s">
        <v>173</v>
      </c>
      <c r="DJ1036" s="319" t="s">
        <v>173</v>
      </c>
      <c r="DK1036" s="319" t="s">
        <v>173</v>
      </c>
      <c r="DL1036" s="319" t="s">
        <v>173</v>
      </c>
      <c r="DM1036" s="319" t="s">
        <v>173</v>
      </c>
      <c r="DN1036" s="319" t="s">
        <v>173</v>
      </c>
      <c r="DO1036" s="319" t="s">
        <v>173</v>
      </c>
      <c r="DP1036" s="319" t="s">
        <v>173</v>
      </c>
      <c r="DQ1036" s="319" t="s">
        <v>173</v>
      </c>
      <c r="DR1036" s="319" t="s">
        <v>173</v>
      </c>
      <c r="DS1036" s="319" t="s">
        <v>173</v>
      </c>
      <c r="DT1036" s="319" t="s">
        <v>173</v>
      </c>
      <c r="DU1036" s="319" t="s">
        <v>173</v>
      </c>
      <c r="DV1036" s="319" t="s">
        <v>173</v>
      </c>
      <c r="DW1036" s="319" t="s">
        <v>173</v>
      </c>
      <c r="DX1036" s="319" t="s">
        <v>173</v>
      </c>
      <c r="DY1036" s="319" t="s">
        <v>173</v>
      </c>
      <c r="DZ1036" s="319" t="s">
        <v>173</v>
      </c>
      <c r="EA1036" s="319" t="s">
        <v>173</v>
      </c>
      <c r="EB1036" s="319" t="s">
        <v>173</v>
      </c>
      <c r="EC1036" s="319" t="s">
        <v>173</v>
      </c>
      <c r="ED1036" s="319" t="s">
        <v>173</v>
      </c>
      <c r="EE1036" s="319" t="s">
        <v>173</v>
      </c>
      <c r="EF1036" s="319" t="s">
        <v>173</v>
      </c>
      <c r="EG1036" s="319" t="s">
        <v>173</v>
      </c>
      <c r="EH1036" s="319" t="s">
        <v>173</v>
      </c>
      <c r="EI1036" s="319" t="s">
        <v>173</v>
      </c>
      <c r="EJ1036" s="319" t="s">
        <v>173</v>
      </c>
      <c r="EK1036" s="319" t="s">
        <v>173</v>
      </c>
      <c r="EL1036" s="319" t="s">
        <v>173</v>
      </c>
      <c r="EM1036" s="319" t="s">
        <v>173</v>
      </c>
      <c r="EN1036" s="319" t="s">
        <v>173</v>
      </c>
      <c r="EO1036" s="319" t="s">
        <v>173</v>
      </c>
      <c r="EP1036" s="319" t="s">
        <v>173</v>
      </c>
      <c r="EQ1036" s="319" t="s">
        <v>173</v>
      </c>
      <c r="ER1036" s="319" t="s">
        <v>173</v>
      </c>
      <c r="ES1036" s="319" t="s">
        <v>173</v>
      </c>
      <c r="ET1036" s="319" t="s">
        <v>173</v>
      </c>
      <c r="EU1036" s="319" t="s">
        <v>173</v>
      </c>
      <c r="EV1036" s="319" t="s">
        <v>173</v>
      </c>
      <c r="EW1036" s="319" t="s">
        <v>173</v>
      </c>
      <c r="EX1036" s="319" t="s">
        <v>173</v>
      </c>
      <c r="EY1036" s="319" t="s">
        <v>173</v>
      </c>
      <c r="EZ1036" s="319" t="s">
        <v>173</v>
      </c>
      <c r="FA1036" s="319" t="s">
        <v>173</v>
      </c>
      <c r="FB1036" s="319" t="s">
        <v>173</v>
      </c>
      <c r="FC1036" s="319" t="s">
        <v>173</v>
      </c>
      <c r="FD1036" s="319" t="s">
        <v>173</v>
      </c>
      <c r="FE1036" s="319" t="s">
        <v>173</v>
      </c>
      <c r="FF1036" s="319" t="s">
        <v>173</v>
      </c>
      <c r="FG1036" s="319" t="s">
        <v>173</v>
      </c>
      <c r="FH1036" s="319" t="s">
        <v>173</v>
      </c>
      <c r="FI1036" s="319" t="s">
        <v>173</v>
      </c>
      <c r="FJ1036" s="319" t="s">
        <v>173</v>
      </c>
      <c r="FK1036" s="319" t="s">
        <v>173</v>
      </c>
      <c r="FL1036" s="319" t="s">
        <v>173</v>
      </c>
      <c r="FM1036" s="319" t="s">
        <v>173</v>
      </c>
      <c r="FN1036" s="319" t="s">
        <v>173</v>
      </c>
      <c r="FO1036" s="319" t="s">
        <v>173</v>
      </c>
      <c r="FP1036" s="319" t="s">
        <v>173</v>
      </c>
      <c r="FQ1036" s="319" t="s">
        <v>173</v>
      </c>
      <c r="FR1036" s="319" t="s">
        <v>173</v>
      </c>
      <c r="FS1036" s="319" t="s">
        <v>173</v>
      </c>
      <c r="FT1036" s="319" t="s">
        <v>173</v>
      </c>
      <c r="FU1036" s="319" t="s">
        <v>173</v>
      </c>
      <c r="FV1036" s="319" t="s">
        <v>173</v>
      </c>
      <c r="FW1036" s="319" t="s">
        <v>173</v>
      </c>
      <c r="FX1036" s="319" t="s">
        <v>173</v>
      </c>
      <c r="FY1036" s="319" t="s">
        <v>173</v>
      </c>
      <c r="FZ1036" s="319" t="s">
        <v>173</v>
      </c>
      <c r="GA1036" s="319" t="s">
        <v>173</v>
      </c>
      <c r="GB1036" s="319" t="s">
        <v>173</v>
      </c>
      <c r="GC1036" s="319" t="s">
        <v>173</v>
      </c>
      <c r="GD1036" s="319" t="s">
        <v>173</v>
      </c>
      <c r="GE1036" s="319" t="s">
        <v>173</v>
      </c>
      <c r="GF1036" s="319" t="s">
        <v>173</v>
      </c>
      <c r="GG1036" s="319" t="s">
        <v>173</v>
      </c>
      <c r="GH1036" s="319" t="s">
        <v>173</v>
      </c>
      <c r="GI1036" s="319" t="s">
        <v>173</v>
      </c>
      <c r="GJ1036" s="319" t="s">
        <v>173</v>
      </c>
      <c r="GK1036" s="319" t="s">
        <v>173</v>
      </c>
      <c r="GL1036" s="319" t="s">
        <v>173</v>
      </c>
      <c r="GM1036" s="319" t="s">
        <v>173</v>
      </c>
      <c r="GN1036" s="319" t="s">
        <v>173</v>
      </c>
      <c r="GO1036" s="319" t="s">
        <v>173</v>
      </c>
      <c r="GP1036" s="319" t="s">
        <v>173</v>
      </c>
      <c r="GQ1036" s="319" t="s">
        <v>173</v>
      </c>
      <c r="GR1036" s="319" t="s">
        <v>173</v>
      </c>
      <c r="GS1036" s="319" t="s">
        <v>173</v>
      </c>
      <c r="GT1036" s="319" t="s">
        <v>173</v>
      </c>
      <c r="GU1036" s="319" t="s">
        <v>173</v>
      </c>
      <c r="GV1036" s="319" t="s">
        <v>173</v>
      </c>
      <c r="GW1036" s="319" t="s">
        <v>173</v>
      </c>
      <c r="GX1036" s="319" t="s">
        <v>173</v>
      </c>
      <c r="GY1036" s="319" t="s">
        <v>173</v>
      </c>
      <c r="GZ1036" s="319" t="s">
        <v>173</v>
      </c>
      <c r="HA1036" s="319" t="s">
        <v>173</v>
      </c>
      <c r="HB1036" s="319" t="s">
        <v>173</v>
      </c>
      <c r="HC1036" s="319" t="s">
        <v>173</v>
      </c>
      <c r="HD1036" s="319" t="s">
        <v>173</v>
      </c>
      <c r="HE1036" s="319" t="s">
        <v>173</v>
      </c>
      <c r="HF1036" s="319" t="s">
        <v>173</v>
      </c>
      <c r="HG1036" s="319" t="s">
        <v>173</v>
      </c>
      <c r="HH1036" s="319" t="s">
        <v>173</v>
      </c>
      <c r="HI1036" s="319" t="s">
        <v>173</v>
      </c>
      <c r="HJ1036" s="319" t="s">
        <v>173</v>
      </c>
      <c r="HK1036" s="319" t="s">
        <v>173</v>
      </c>
      <c r="HL1036" s="319" t="s">
        <v>173</v>
      </c>
      <c r="HM1036" s="319" t="s">
        <v>173</v>
      </c>
      <c r="HN1036" s="319" t="s">
        <v>173</v>
      </c>
      <c r="HO1036" s="319" t="s">
        <v>173</v>
      </c>
      <c r="HP1036" s="319" t="s">
        <v>173</v>
      </c>
      <c r="HQ1036" s="319" t="s">
        <v>173</v>
      </c>
      <c r="HR1036" s="319" t="s">
        <v>173</v>
      </c>
      <c r="HS1036" s="319" t="s">
        <v>173</v>
      </c>
      <c r="HT1036" s="319" t="s">
        <v>173</v>
      </c>
      <c r="HU1036" s="319" t="s">
        <v>173</v>
      </c>
      <c r="HV1036" s="319" t="s">
        <v>173</v>
      </c>
      <c r="HW1036" s="319" t="s">
        <v>173</v>
      </c>
      <c r="HX1036" s="319" t="s">
        <v>173</v>
      </c>
      <c r="HY1036" s="319" t="s">
        <v>173</v>
      </c>
      <c r="HZ1036" s="319" t="s">
        <v>173</v>
      </c>
      <c r="IA1036" s="319" t="s">
        <v>173</v>
      </c>
      <c r="IB1036" s="319" t="s">
        <v>173</v>
      </c>
      <c r="IC1036" s="319" t="s">
        <v>173</v>
      </c>
      <c r="ID1036" s="319" t="s">
        <v>173</v>
      </c>
      <c r="IE1036" s="319" t="s">
        <v>173</v>
      </c>
      <c r="IF1036" s="319" t="s">
        <v>173</v>
      </c>
      <c r="IG1036" s="319" t="s">
        <v>173</v>
      </c>
      <c r="IH1036" s="319" t="s">
        <v>173</v>
      </c>
      <c r="II1036" s="319" t="s">
        <v>173</v>
      </c>
      <c r="IJ1036" s="319" t="s">
        <v>173</v>
      </c>
      <c r="IK1036" s="319" t="s">
        <v>173</v>
      </c>
      <c r="IL1036" s="319" t="s">
        <v>173</v>
      </c>
      <c r="IM1036" s="319" t="s">
        <v>173</v>
      </c>
      <c r="IN1036" s="319" t="s">
        <v>173</v>
      </c>
      <c r="IO1036" s="319" t="s">
        <v>173</v>
      </c>
      <c r="IP1036" s="319" t="s">
        <v>173</v>
      </c>
      <c r="IQ1036" s="319" t="s">
        <v>173</v>
      </c>
      <c r="IR1036" s="320" t="s">
        <v>173</v>
      </c>
      <c r="IS1036" s="320" t="s">
        <v>173</v>
      </c>
      <c r="IT1036" s="319" t="s">
        <v>173</v>
      </c>
    </row>
    <row r="1037" spans="1:254" s="271" customFormat="1" x14ac:dyDescent="0.25">
      <c r="A1037" s="318" t="str">
        <f>HYPERLINK("http://www.ofsted.gov.uk/inspection-reports/find-inspection-report/provider/ELS/146646 ","Ofsted School Webpage")</f>
        <v>Ofsted School Webpage</v>
      </c>
      <c r="B1037" s="319">
        <v>146646</v>
      </c>
      <c r="C1037" s="319">
        <v>3536004</v>
      </c>
      <c r="D1037" s="319" t="s">
        <v>3587</v>
      </c>
      <c r="E1037" s="319" t="s">
        <v>168</v>
      </c>
      <c r="F1037" s="319" t="s">
        <v>434</v>
      </c>
      <c r="G1037" s="319" t="s">
        <v>81</v>
      </c>
      <c r="H1037" s="319" t="s">
        <v>81</v>
      </c>
      <c r="I1037" s="319" t="s">
        <v>78</v>
      </c>
      <c r="J1037" s="319" t="s">
        <v>424</v>
      </c>
      <c r="K1037" s="319" t="s">
        <v>431</v>
      </c>
      <c r="L1037" s="319" t="s">
        <v>431</v>
      </c>
      <c r="M1037" s="319" t="s">
        <v>784</v>
      </c>
      <c r="N1037" s="319" t="s">
        <v>3073</v>
      </c>
      <c r="O1037" s="319" t="s">
        <v>3588</v>
      </c>
      <c r="P1037" s="319" t="s">
        <v>173</v>
      </c>
      <c r="Q1037" s="319" t="s">
        <v>429</v>
      </c>
      <c r="R1037" s="320" t="s">
        <v>173</v>
      </c>
      <c r="S1037" s="321" t="s">
        <v>173</v>
      </c>
      <c r="T1037" s="321" t="s">
        <v>173</v>
      </c>
      <c r="U1037" s="321" t="s">
        <v>173</v>
      </c>
      <c r="V1037" s="319" t="s">
        <v>173</v>
      </c>
      <c r="W1037" s="319" t="s">
        <v>173</v>
      </c>
      <c r="X1037" s="319" t="s">
        <v>173</v>
      </c>
      <c r="Y1037" s="319" t="s">
        <v>173</v>
      </c>
      <c r="Z1037" s="319" t="s">
        <v>173</v>
      </c>
      <c r="AA1037" s="319" t="s">
        <v>173</v>
      </c>
      <c r="AB1037" s="319" t="s">
        <v>173</v>
      </c>
      <c r="AC1037" s="319" t="s">
        <v>173</v>
      </c>
      <c r="AD1037" s="319" t="s">
        <v>173</v>
      </c>
      <c r="AE1037" s="319" t="s">
        <v>173</v>
      </c>
      <c r="AF1037" s="319" t="s">
        <v>173</v>
      </c>
      <c r="AG1037" s="319" t="s">
        <v>173</v>
      </c>
      <c r="AH1037" s="319" t="s">
        <v>173</v>
      </c>
      <c r="AI1037" s="319" t="s">
        <v>173</v>
      </c>
      <c r="AJ1037" s="319" t="s">
        <v>173</v>
      </c>
      <c r="AK1037" s="319" t="s">
        <v>173</v>
      </c>
      <c r="AL1037" s="319" t="s">
        <v>173</v>
      </c>
      <c r="AM1037" s="319" t="s">
        <v>173</v>
      </c>
      <c r="AN1037" s="319" t="s">
        <v>173</v>
      </c>
      <c r="AO1037" s="319" t="s">
        <v>173</v>
      </c>
      <c r="AP1037" s="319" t="s">
        <v>173</v>
      </c>
      <c r="AQ1037" s="319" t="s">
        <v>173</v>
      </c>
      <c r="AR1037" s="319" t="s">
        <v>173</v>
      </c>
      <c r="AS1037" s="319" t="s">
        <v>173</v>
      </c>
      <c r="AT1037" s="319" t="s">
        <v>173</v>
      </c>
      <c r="AU1037" s="319" t="s">
        <v>173</v>
      </c>
      <c r="AV1037" s="319" t="s">
        <v>173</v>
      </c>
      <c r="AW1037" s="319" t="s">
        <v>173</v>
      </c>
      <c r="AX1037" s="319" t="s">
        <v>173</v>
      </c>
      <c r="AY1037" s="319" t="s">
        <v>173</v>
      </c>
      <c r="AZ1037" s="319" t="s">
        <v>173</v>
      </c>
      <c r="BA1037" s="319" t="s">
        <v>173</v>
      </c>
      <c r="BB1037" s="319" t="s">
        <v>173</v>
      </c>
      <c r="BC1037" s="319" t="s">
        <v>173</v>
      </c>
      <c r="BD1037" s="319" t="s">
        <v>173</v>
      </c>
      <c r="BE1037" s="319" t="s">
        <v>173</v>
      </c>
      <c r="BF1037" s="319" t="s">
        <v>173</v>
      </c>
      <c r="BG1037" s="319" t="s">
        <v>173</v>
      </c>
      <c r="BH1037" s="319" t="s">
        <v>173</v>
      </c>
      <c r="BI1037" s="319" t="s">
        <v>173</v>
      </c>
      <c r="BJ1037" s="319" t="s">
        <v>173</v>
      </c>
      <c r="BK1037" s="319" t="s">
        <v>173</v>
      </c>
      <c r="BL1037" s="319" t="s">
        <v>173</v>
      </c>
      <c r="BM1037" s="319" t="s">
        <v>173</v>
      </c>
      <c r="BN1037" s="319" t="s">
        <v>173</v>
      </c>
      <c r="BO1037" s="319" t="s">
        <v>173</v>
      </c>
      <c r="BP1037" s="319" t="s">
        <v>173</v>
      </c>
      <c r="BQ1037" s="319" t="s">
        <v>173</v>
      </c>
      <c r="BR1037" s="319" t="s">
        <v>173</v>
      </c>
      <c r="BS1037" s="319" t="s">
        <v>173</v>
      </c>
      <c r="BT1037" s="319" t="s">
        <v>173</v>
      </c>
      <c r="BU1037" s="319" t="s">
        <v>173</v>
      </c>
      <c r="BV1037" s="319" t="s">
        <v>173</v>
      </c>
      <c r="BW1037" s="319" t="s">
        <v>173</v>
      </c>
      <c r="BX1037" s="319" t="s">
        <v>173</v>
      </c>
      <c r="BY1037" s="319" t="s">
        <v>173</v>
      </c>
      <c r="BZ1037" s="319" t="s">
        <v>173</v>
      </c>
      <c r="CA1037" s="319" t="s">
        <v>173</v>
      </c>
      <c r="CB1037" s="319" t="s">
        <v>173</v>
      </c>
      <c r="CC1037" s="319" t="s">
        <v>173</v>
      </c>
      <c r="CD1037" s="319" t="s">
        <v>173</v>
      </c>
      <c r="CE1037" s="319" t="s">
        <v>173</v>
      </c>
      <c r="CF1037" s="319" t="s">
        <v>173</v>
      </c>
      <c r="CG1037" s="319" t="s">
        <v>173</v>
      </c>
      <c r="CH1037" s="319" t="s">
        <v>173</v>
      </c>
      <c r="CI1037" s="319" t="s">
        <v>173</v>
      </c>
      <c r="CJ1037" s="319" t="s">
        <v>173</v>
      </c>
      <c r="CK1037" s="319" t="s">
        <v>173</v>
      </c>
      <c r="CL1037" s="319" t="s">
        <v>173</v>
      </c>
      <c r="CM1037" s="319" t="s">
        <v>173</v>
      </c>
      <c r="CN1037" s="319" t="s">
        <v>173</v>
      </c>
      <c r="CO1037" s="319" t="s">
        <v>173</v>
      </c>
      <c r="CP1037" s="319" t="s">
        <v>173</v>
      </c>
      <c r="CQ1037" s="319" t="s">
        <v>173</v>
      </c>
      <c r="CR1037" s="319" t="s">
        <v>173</v>
      </c>
      <c r="CS1037" s="319" t="s">
        <v>173</v>
      </c>
      <c r="CT1037" s="319" t="s">
        <v>173</v>
      </c>
      <c r="CU1037" s="319" t="s">
        <v>173</v>
      </c>
      <c r="CV1037" s="319" t="s">
        <v>173</v>
      </c>
      <c r="CW1037" s="319" t="s">
        <v>173</v>
      </c>
      <c r="CX1037" s="319" t="s">
        <v>173</v>
      </c>
      <c r="CY1037" s="319" t="s">
        <v>173</v>
      </c>
      <c r="CZ1037" s="319" t="s">
        <v>173</v>
      </c>
      <c r="DA1037" s="319" t="s">
        <v>173</v>
      </c>
      <c r="DB1037" s="319" t="s">
        <v>173</v>
      </c>
      <c r="DC1037" s="319" t="s">
        <v>173</v>
      </c>
      <c r="DD1037" s="319" t="s">
        <v>173</v>
      </c>
      <c r="DE1037" s="319" t="s">
        <v>173</v>
      </c>
      <c r="DF1037" s="319" t="s">
        <v>173</v>
      </c>
      <c r="DG1037" s="319" t="s">
        <v>173</v>
      </c>
      <c r="DH1037" s="319" t="s">
        <v>173</v>
      </c>
      <c r="DI1037" s="319" t="s">
        <v>173</v>
      </c>
      <c r="DJ1037" s="319" t="s">
        <v>173</v>
      </c>
      <c r="DK1037" s="319" t="s">
        <v>173</v>
      </c>
      <c r="DL1037" s="319" t="s">
        <v>173</v>
      </c>
      <c r="DM1037" s="319" t="s">
        <v>173</v>
      </c>
      <c r="DN1037" s="319" t="s">
        <v>173</v>
      </c>
      <c r="DO1037" s="319" t="s">
        <v>173</v>
      </c>
      <c r="DP1037" s="319" t="s">
        <v>173</v>
      </c>
      <c r="DQ1037" s="319" t="s">
        <v>173</v>
      </c>
      <c r="DR1037" s="319" t="s">
        <v>173</v>
      </c>
      <c r="DS1037" s="319" t="s">
        <v>173</v>
      </c>
      <c r="DT1037" s="319" t="s">
        <v>173</v>
      </c>
      <c r="DU1037" s="319" t="s">
        <v>173</v>
      </c>
      <c r="DV1037" s="319" t="s">
        <v>173</v>
      </c>
      <c r="DW1037" s="319" t="s">
        <v>173</v>
      </c>
      <c r="DX1037" s="319" t="s">
        <v>173</v>
      </c>
      <c r="DY1037" s="319" t="s">
        <v>173</v>
      </c>
      <c r="DZ1037" s="319" t="s">
        <v>173</v>
      </c>
      <c r="EA1037" s="319" t="s">
        <v>173</v>
      </c>
      <c r="EB1037" s="319" t="s">
        <v>173</v>
      </c>
      <c r="EC1037" s="319" t="s">
        <v>173</v>
      </c>
      <c r="ED1037" s="319" t="s">
        <v>173</v>
      </c>
      <c r="EE1037" s="319" t="s">
        <v>173</v>
      </c>
      <c r="EF1037" s="319" t="s">
        <v>173</v>
      </c>
      <c r="EG1037" s="319" t="s">
        <v>173</v>
      </c>
      <c r="EH1037" s="319" t="s">
        <v>173</v>
      </c>
      <c r="EI1037" s="319" t="s">
        <v>173</v>
      </c>
      <c r="EJ1037" s="319" t="s">
        <v>173</v>
      </c>
      <c r="EK1037" s="319" t="s">
        <v>173</v>
      </c>
      <c r="EL1037" s="319" t="s">
        <v>173</v>
      </c>
      <c r="EM1037" s="319" t="s">
        <v>173</v>
      </c>
      <c r="EN1037" s="319" t="s">
        <v>173</v>
      </c>
      <c r="EO1037" s="319" t="s">
        <v>173</v>
      </c>
      <c r="EP1037" s="319" t="s">
        <v>173</v>
      </c>
      <c r="EQ1037" s="319" t="s">
        <v>173</v>
      </c>
      <c r="ER1037" s="319" t="s">
        <v>173</v>
      </c>
      <c r="ES1037" s="319" t="s">
        <v>173</v>
      </c>
      <c r="ET1037" s="319" t="s">
        <v>173</v>
      </c>
      <c r="EU1037" s="319" t="s">
        <v>173</v>
      </c>
      <c r="EV1037" s="319" t="s">
        <v>173</v>
      </c>
      <c r="EW1037" s="319" t="s">
        <v>173</v>
      </c>
      <c r="EX1037" s="319" t="s">
        <v>173</v>
      </c>
      <c r="EY1037" s="319" t="s">
        <v>173</v>
      </c>
      <c r="EZ1037" s="319" t="s">
        <v>173</v>
      </c>
      <c r="FA1037" s="319" t="s">
        <v>173</v>
      </c>
      <c r="FB1037" s="319" t="s">
        <v>173</v>
      </c>
      <c r="FC1037" s="319" t="s">
        <v>173</v>
      </c>
      <c r="FD1037" s="319" t="s">
        <v>173</v>
      </c>
      <c r="FE1037" s="319" t="s">
        <v>173</v>
      </c>
      <c r="FF1037" s="319" t="s">
        <v>173</v>
      </c>
      <c r="FG1037" s="319" t="s">
        <v>173</v>
      </c>
      <c r="FH1037" s="319" t="s">
        <v>173</v>
      </c>
      <c r="FI1037" s="319" t="s">
        <v>173</v>
      </c>
      <c r="FJ1037" s="319" t="s">
        <v>173</v>
      </c>
      <c r="FK1037" s="319" t="s">
        <v>173</v>
      </c>
      <c r="FL1037" s="319" t="s">
        <v>173</v>
      </c>
      <c r="FM1037" s="319" t="s">
        <v>173</v>
      </c>
      <c r="FN1037" s="319" t="s">
        <v>173</v>
      </c>
      <c r="FO1037" s="319" t="s">
        <v>173</v>
      </c>
      <c r="FP1037" s="319" t="s">
        <v>173</v>
      </c>
      <c r="FQ1037" s="319" t="s">
        <v>173</v>
      </c>
      <c r="FR1037" s="319" t="s">
        <v>173</v>
      </c>
      <c r="FS1037" s="319" t="s">
        <v>173</v>
      </c>
      <c r="FT1037" s="319" t="s">
        <v>173</v>
      </c>
      <c r="FU1037" s="319" t="s">
        <v>173</v>
      </c>
      <c r="FV1037" s="319" t="s">
        <v>173</v>
      </c>
      <c r="FW1037" s="319" t="s">
        <v>173</v>
      </c>
      <c r="FX1037" s="319" t="s">
        <v>173</v>
      </c>
      <c r="FY1037" s="319" t="s">
        <v>173</v>
      </c>
      <c r="FZ1037" s="319" t="s">
        <v>173</v>
      </c>
      <c r="GA1037" s="319" t="s">
        <v>173</v>
      </c>
      <c r="GB1037" s="319" t="s">
        <v>173</v>
      </c>
      <c r="GC1037" s="319" t="s">
        <v>173</v>
      </c>
      <c r="GD1037" s="319" t="s">
        <v>173</v>
      </c>
      <c r="GE1037" s="319" t="s">
        <v>173</v>
      </c>
      <c r="GF1037" s="319" t="s">
        <v>173</v>
      </c>
      <c r="GG1037" s="319" t="s">
        <v>173</v>
      </c>
      <c r="GH1037" s="319" t="s">
        <v>173</v>
      </c>
      <c r="GI1037" s="319" t="s">
        <v>173</v>
      </c>
      <c r="GJ1037" s="319" t="s">
        <v>173</v>
      </c>
      <c r="GK1037" s="319" t="s">
        <v>173</v>
      </c>
      <c r="GL1037" s="319" t="s">
        <v>173</v>
      </c>
      <c r="GM1037" s="319" t="s">
        <v>173</v>
      </c>
      <c r="GN1037" s="319" t="s">
        <v>173</v>
      </c>
      <c r="GO1037" s="319" t="s">
        <v>173</v>
      </c>
      <c r="GP1037" s="319" t="s">
        <v>173</v>
      </c>
      <c r="GQ1037" s="319" t="s">
        <v>173</v>
      </c>
      <c r="GR1037" s="319" t="s">
        <v>173</v>
      </c>
      <c r="GS1037" s="319" t="s">
        <v>173</v>
      </c>
      <c r="GT1037" s="319" t="s">
        <v>173</v>
      </c>
      <c r="GU1037" s="319" t="s">
        <v>173</v>
      </c>
      <c r="GV1037" s="319" t="s">
        <v>173</v>
      </c>
      <c r="GW1037" s="319" t="s">
        <v>173</v>
      </c>
      <c r="GX1037" s="319" t="s">
        <v>173</v>
      </c>
      <c r="GY1037" s="319" t="s">
        <v>173</v>
      </c>
      <c r="GZ1037" s="319" t="s">
        <v>173</v>
      </c>
      <c r="HA1037" s="319" t="s">
        <v>173</v>
      </c>
      <c r="HB1037" s="319" t="s">
        <v>173</v>
      </c>
      <c r="HC1037" s="319" t="s">
        <v>173</v>
      </c>
      <c r="HD1037" s="319" t="s">
        <v>173</v>
      </c>
      <c r="HE1037" s="319" t="s">
        <v>173</v>
      </c>
      <c r="HF1037" s="319" t="s">
        <v>173</v>
      </c>
      <c r="HG1037" s="319" t="s">
        <v>173</v>
      </c>
      <c r="HH1037" s="319" t="s">
        <v>173</v>
      </c>
      <c r="HI1037" s="319" t="s">
        <v>173</v>
      </c>
      <c r="HJ1037" s="319" t="s">
        <v>173</v>
      </c>
      <c r="HK1037" s="319" t="s">
        <v>173</v>
      </c>
      <c r="HL1037" s="319" t="s">
        <v>173</v>
      </c>
      <c r="HM1037" s="319" t="s">
        <v>173</v>
      </c>
      <c r="HN1037" s="319" t="s">
        <v>173</v>
      </c>
      <c r="HO1037" s="319" t="s">
        <v>173</v>
      </c>
      <c r="HP1037" s="319" t="s">
        <v>173</v>
      </c>
      <c r="HQ1037" s="319" t="s">
        <v>173</v>
      </c>
      <c r="HR1037" s="319" t="s">
        <v>173</v>
      </c>
      <c r="HS1037" s="319" t="s">
        <v>173</v>
      </c>
      <c r="HT1037" s="319" t="s">
        <v>173</v>
      </c>
      <c r="HU1037" s="319" t="s">
        <v>173</v>
      </c>
      <c r="HV1037" s="319" t="s">
        <v>173</v>
      </c>
      <c r="HW1037" s="319" t="s">
        <v>173</v>
      </c>
      <c r="HX1037" s="319" t="s">
        <v>173</v>
      </c>
      <c r="HY1037" s="319" t="s">
        <v>173</v>
      </c>
      <c r="HZ1037" s="319" t="s">
        <v>173</v>
      </c>
      <c r="IA1037" s="319" t="s">
        <v>173</v>
      </c>
      <c r="IB1037" s="319" t="s">
        <v>173</v>
      </c>
      <c r="IC1037" s="319" t="s">
        <v>173</v>
      </c>
      <c r="ID1037" s="319" t="s">
        <v>173</v>
      </c>
      <c r="IE1037" s="319" t="s">
        <v>173</v>
      </c>
      <c r="IF1037" s="319" t="s">
        <v>173</v>
      </c>
      <c r="IG1037" s="319" t="s">
        <v>173</v>
      </c>
      <c r="IH1037" s="319" t="s">
        <v>173</v>
      </c>
      <c r="II1037" s="319" t="s">
        <v>173</v>
      </c>
      <c r="IJ1037" s="319" t="s">
        <v>173</v>
      </c>
      <c r="IK1037" s="319" t="s">
        <v>173</v>
      </c>
      <c r="IL1037" s="319" t="s">
        <v>173</v>
      </c>
      <c r="IM1037" s="319" t="s">
        <v>173</v>
      </c>
      <c r="IN1037" s="319" t="s">
        <v>173</v>
      </c>
      <c r="IO1037" s="319" t="s">
        <v>173</v>
      </c>
      <c r="IP1037" s="319" t="s">
        <v>173</v>
      </c>
      <c r="IQ1037" s="321" t="s">
        <v>173</v>
      </c>
      <c r="IR1037" s="320" t="s">
        <v>173</v>
      </c>
      <c r="IS1037" s="322" t="s">
        <v>173</v>
      </c>
      <c r="IT1037" s="319" t="s">
        <v>173</v>
      </c>
    </row>
    <row r="1038" spans="1:254" s="271" customFormat="1" x14ac:dyDescent="0.25">
      <c r="A1038" s="318" t="str">
        <f>HYPERLINK("http://www.ofsted.gov.uk/inspection-reports/find-inspection-report/provider/ELS/146654 ","Ofsted School Webpage")</f>
        <v>Ofsted School Webpage</v>
      </c>
      <c r="B1038" s="319">
        <v>146654</v>
      </c>
      <c r="C1038" s="319">
        <v>8656052</v>
      </c>
      <c r="D1038" s="319" t="s">
        <v>2573</v>
      </c>
      <c r="E1038" s="319" t="s">
        <v>167</v>
      </c>
      <c r="F1038" s="319" t="s">
        <v>434</v>
      </c>
      <c r="G1038" s="319" t="s">
        <v>81</v>
      </c>
      <c r="H1038" s="319" t="s">
        <v>81</v>
      </c>
      <c r="I1038" s="319" t="s">
        <v>78</v>
      </c>
      <c r="J1038" s="319" t="s">
        <v>424</v>
      </c>
      <c r="K1038" s="319" t="s">
        <v>422</v>
      </c>
      <c r="L1038" s="319" t="s">
        <v>422</v>
      </c>
      <c r="M1038" s="319" t="s">
        <v>702</v>
      </c>
      <c r="N1038" s="319" t="s">
        <v>3159</v>
      </c>
      <c r="O1038" s="319" t="s">
        <v>2574</v>
      </c>
      <c r="P1038" s="319" t="s">
        <v>173</v>
      </c>
      <c r="Q1038" s="319" t="s">
        <v>2766</v>
      </c>
      <c r="R1038" s="320" t="s">
        <v>173</v>
      </c>
      <c r="S1038" s="321" t="s">
        <v>173</v>
      </c>
      <c r="T1038" s="321" t="s">
        <v>173</v>
      </c>
      <c r="U1038" s="321" t="s">
        <v>173</v>
      </c>
      <c r="V1038" s="319" t="s">
        <v>173</v>
      </c>
      <c r="W1038" s="319" t="s">
        <v>173</v>
      </c>
      <c r="X1038" s="319" t="s">
        <v>173</v>
      </c>
      <c r="Y1038" s="319" t="s">
        <v>173</v>
      </c>
      <c r="Z1038" s="319" t="s">
        <v>173</v>
      </c>
      <c r="AA1038" s="319" t="s">
        <v>173</v>
      </c>
      <c r="AB1038" s="319" t="s">
        <v>173</v>
      </c>
      <c r="AC1038" s="319" t="s">
        <v>173</v>
      </c>
      <c r="AD1038" s="319" t="s">
        <v>173</v>
      </c>
      <c r="AE1038" s="319" t="s">
        <v>173</v>
      </c>
      <c r="AF1038" s="319" t="s">
        <v>173</v>
      </c>
      <c r="AG1038" s="319" t="s">
        <v>173</v>
      </c>
      <c r="AH1038" s="319" t="s">
        <v>173</v>
      </c>
      <c r="AI1038" s="319" t="s">
        <v>173</v>
      </c>
      <c r="AJ1038" s="319" t="s">
        <v>173</v>
      </c>
      <c r="AK1038" s="319" t="s">
        <v>173</v>
      </c>
      <c r="AL1038" s="319" t="s">
        <v>173</v>
      </c>
      <c r="AM1038" s="319" t="s">
        <v>173</v>
      </c>
      <c r="AN1038" s="319" t="s">
        <v>173</v>
      </c>
      <c r="AO1038" s="319" t="s">
        <v>173</v>
      </c>
      <c r="AP1038" s="319" t="s">
        <v>173</v>
      </c>
      <c r="AQ1038" s="319" t="s">
        <v>173</v>
      </c>
      <c r="AR1038" s="319" t="s">
        <v>173</v>
      </c>
      <c r="AS1038" s="319" t="s">
        <v>173</v>
      </c>
      <c r="AT1038" s="319" t="s">
        <v>173</v>
      </c>
      <c r="AU1038" s="319" t="s">
        <v>173</v>
      </c>
      <c r="AV1038" s="319" t="s">
        <v>173</v>
      </c>
      <c r="AW1038" s="319" t="s">
        <v>173</v>
      </c>
      <c r="AX1038" s="319" t="s">
        <v>173</v>
      </c>
      <c r="AY1038" s="319" t="s">
        <v>173</v>
      </c>
      <c r="AZ1038" s="319" t="s">
        <v>173</v>
      </c>
      <c r="BA1038" s="319" t="s">
        <v>173</v>
      </c>
      <c r="BB1038" s="319" t="s">
        <v>173</v>
      </c>
      <c r="BC1038" s="319" t="s">
        <v>173</v>
      </c>
      <c r="BD1038" s="319" t="s">
        <v>173</v>
      </c>
      <c r="BE1038" s="319" t="s">
        <v>173</v>
      </c>
      <c r="BF1038" s="319" t="s">
        <v>173</v>
      </c>
      <c r="BG1038" s="319" t="s">
        <v>173</v>
      </c>
      <c r="BH1038" s="319" t="s">
        <v>173</v>
      </c>
      <c r="BI1038" s="319" t="s">
        <v>173</v>
      </c>
      <c r="BJ1038" s="319" t="s">
        <v>173</v>
      </c>
      <c r="BK1038" s="319" t="s">
        <v>173</v>
      </c>
      <c r="BL1038" s="319" t="s">
        <v>173</v>
      </c>
      <c r="BM1038" s="319" t="s">
        <v>173</v>
      </c>
      <c r="BN1038" s="319" t="s">
        <v>173</v>
      </c>
      <c r="BO1038" s="319" t="s">
        <v>173</v>
      </c>
      <c r="BP1038" s="319" t="s">
        <v>173</v>
      </c>
      <c r="BQ1038" s="319" t="s">
        <v>173</v>
      </c>
      <c r="BR1038" s="319" t="s">
        <v>173</v>
      </c>
      <c r="BS1038" s="319" t="s">
        <v>173</v>
      </c>
      <c r="BT1038" s="319" t="s">
        <v>173</v>
      </c>
      <c r="BU1038" s="319" t="s">
        <v>173</v>
      </c>
      <c r="BV1038" s="319" t="s">
        <v>173</v>
      </c>
      <c r="BW1038" s="319" t="s">
        <v>173</v>
      </c>
      <c r="BX1038" s="319" t="s">
        <v>173</v>
      </c>
      <c r="BY1038" s="319" t="s">
        <v>173</v>
      </c>
      <c r="BZ1038" s="319" t="s">
        <v>173</v>
      </c>
      <c r="CA1038" s="319" t="s">
        <v>173</v>
      </c>
      <c r="CB1038" s="319" t="s">
        <v>173</v>
      </c>
      <c r="CC1038" s="319" t="s">
        <v>173</v>
      </c>
      <c r="CD1038" s="319" t="s">
        <v>173</v>
      </c>
      <c r="CE1038" s="319" t="s">
        <v>173</v>
      </c>
      <c r="CF1038" s="319" t="s">
        <v>173</v>
      </c>
      <c r="CG1038" s="319" t="s">
        <v>173</v>
      </c>
      <c r="CH1038" s="319" t="s">
        <v>173</v>
      </c>
      <c r="CI1038" s="319" t="s">
        <v>173</v>
      </c>
      <c r="CJ1038" s="319" t="s">
        <v>173</v>
      </c>
      <c r="CK1038" s="319" t="s">
        <v>173</v>
      </c>
      <c r="CL1038" s="319" t="s">
        <v>173</v>
      </c>
      <c r="CM1038" s="319" t="s">
        <v>173</v>
      </c>
      <c r="CN1038" s="319" t="s">
        <v>173</v>
      </c>
      <c r="CO1038" s="319" t="s">
        <v>173</v>
      </c>
      <c r="CP1038" s="319" t="s">
        <v>173</v>
      </c>
      <c r="CQ1038" s="319" t="s">
        <v>173</v>
      </c>
      <c r="CR1038" s="319" t="s">
        <v>173</v>
      </c>
      <c r="CS1038" s="319" t="s">
        <v>173</v>
      </c>
      <c r="CT1038" s="319" t="s">
        <v>173</v>
      </c>
      <c r="CU1038" s="319" t="s">
        <v>173</v>
      </c>
      <c r="CV1038" s="319" t="s">
        <v>173</v>
      </c>
      <c r="CW1038" s="319" t="s">
        <v>173</v>
      </c>
      <c r="CX1038" s="319" t="s">
        <v>173</v>
      </c>
      <c r="CY1038" s="319" t="s">
        <v>173</v>
      </c>
      <c r="CZ1038" s="319" t="s">
        <v>173</v>
      </c>
      <c r="DA1038" s="319" t="s">
        <v>173</v>
      </c>
      <c r="DB1038" s="319" t="s">
        <v>173</v>
      </c>
      <c r="DC1038" s="319" t="s">
        <v>173</v>
      </c>
      <c r="DD1038" s="319" t="s">
        <v>173</v>
      </c>
      <c r="DE1038" s="319" t="s">
        <v>173</v>
      </c>
      <c r="DF1038" s="319" t="s">
        <v>173</v>
      </c>
      <c r="DG1038" s="319" t="s">
        <v>173</v>
      </c>
      <c r="DH1038" s="319" t="s">
        <v>173</v>
      </c>
      <c r="DI1038" s="319" t="s">
        <v>173</v>
      </c>
      <c r="DJ1038" s="319" t="s">
        <v>173</v>
      </c>
      <c r="DK1038" s="319" t="s">
        <v>173</v>
      </c>
      <c r="DL1038" s="319" t="s">
        <v>173</v>
      </c>
      <c r="DM1038" s="319" t="s">
        <v>173</v>
      </c>
      <c r="DN1038" s="319" t="s">
        <v>173</v>
      </c>
      <c r="DO1038" s="319" t="s">
        <v>173</v>
      </c>
      <c r="DP1038" s="319" t="s">
        <v>173</v>
      </c>
      <c r="DQ1038" s="319" t="s">
        <v>173</v>
      </c>
      <c r="DR1038" s="319" t="s">
        <v>173</v>
      </c>
      <c r="DS1038" s="319" t="s">
        <v>173</v>
      </c>
      <c r="DT1038" s="319" t="s">
        <v>173</v>
      </c>
      <c r="DU1038" s="319" t="s">
        <v>173</v>
      </c>
      <c r="DV1038" s="319" t="s">
        <v>173</v>
      </c>
      <c r="DW1038" s="319" t="s">
        <v>173</v>
      </c>
      <c r="DX1038" s="319" t="s">
        <v>173</v>
      </c>
      <c r="DY1038" s="319" t="s">
        <v>173</v>
      </c>
      <c r="DZ1038" s="319" t="s">
        <v>173</v>
      </c>
      <c r="EA1038" s="319" t="s">
        <v>173</v>
      </c>
      <c r="EB1038" s="319" t="s">
        <v>173</v>
      </c>
      <c r="EC1038" s="319" t="s">
        <v>173</v>
      </c>
      <c r="ED1038" s="319" t="s">
        <v>173</v>
      </c>
      <c r="EE1038" s="319" t="s">
        <v>173</v>
      </c>
      <c r="EF1038" s="319" t="s">
        <v>173</v>
      </c>
      <c r="EG1038" s="319" t="s">
        <v>173</v>
      </c>
      <c r="EH1038" s="319" t="s">
        <v>173</v>
      </c>
      <c r="EI1038" s="319" t="s">
        <v>173</v>
      </c>
      <c r="EJ1038" s="319" t="s">
        <v>173</v>
      </c>
      <c r="EK1038" s="319" t="s">
        <v>173</v>
      </c>
      <c r="EL1038" s="319" t="s">
        <v>173</v>
      </c>
      <c r="EM1038" s="319" t="s">
        <v>173</v>
      </c>
      <c r="EN1038" s="319" t="s">
        <v>173</v>
      </c>
      <c r="EO1038" s="319" t="s">
        <v>173</v>
      </c>
      <c r="EP1038" s="319" t="s">
        <v>173</v>
      </c>
      <c r="EQ1038" s="319" t="s">
        <v>173</v>
      </c>
      <c r="ER1038" s="319" t="s">
        <v>173</v>
      </c>
      <c r="ES1038" s="319" t="s">
        <v>173</v>
      </c>
      <c r="ET1038" s="319" t="s">
        <v>173</v>
      </c>
      <c r="EU1038" s="319" t="s">
        <v>173</v>
      </c>
      <c r="EV1038" s="319" t="s">
        <v>173</v>
      </c>
      <c r="EW1038" s="319" t="s">
        <v>173</v>
      </c>
      <c r="EX1038" s="319" t="s">
        <v>173</v>
      </c>
      <c r="EY1038" s="319" t="s">
        <v>173</v>
      </c>
      <c r="EZ1038" s="319" t="s">
        <v>173</v>
      </c>
      <c r="FA1038" s="319" t="s">
        <v>173</v>
      </c>
      <c r="FB1038" s="319" t="s">
        <v>173</v>
      </c>
      <c r="FC1038" s="319" t="s">
        <v>173</v>
      </c>
      <c r="FD1038" s="319" t="s">
        <v>173</v>
      </c>
      <c r="FE1038" s="319" t="s">
        <v>173</v>
      </c>
      <c r="FF1038" s="319" t="s">
        <v>173</v>
      </c>
      <c r="FG1038" s="319" t="s">
        <v>173</v>
      </c>
      <c r="FH1038" s="319" t="s">
        <v>173</v>
      </c>
      <c r="FI1038" s="319" t="s">
        <v>173</v>
      </c>
      <c r="FJ1038" s="319" t="s">
        <v>173</v>
      </c>
      <c r="FK1038" s="319" t="s">
        <v>173</v>
      </c>
      <c r="FL1038" s="319" t="s">
        <v>173</v>
      </c>
      <c r="FM1038" s="319" t="s">
        <v>173</v>
      </c>
      <c r="FN1038" s="319" t="s">
        <v>173</v>
      </c>
      <c r="FO1038" s="319" t="s">
        <v>173</v>
      </c>
      <c r="FP1038" s="319" t="s">
        <v>173</v>
      </c>
      <c r="FQ1038" s="319" t="s">
        <v>173</v>
      </c>
      <c r="FR1038" s="319" t="s">
        <v>173</v>
      </c>
      <c r="FS1038" s="319" t="s">
        <v>173</v>
      </c>
      <c r="FT1038" s="319" t="s">
        <v>173</v>
      </c>
      <c r="FU1038" s="319" t="s">
        <v>173</v>
      </c>
      <c r="FV1038" s="319" t="s">
        <v>173</v>
      </c>
      <c r="FW1038" s="319" t="s">
        <v>173</v>
      </c>
      <c r="FX1038" s="319" t="s">
        <v>173</v>
      </c>
      <c r="FY1038" s="319" t="s">
        <v>173</v>
      </c>
      <c r="FZ1038" s="319" t="s">
        <v>173</v>
      </c>
      <c r="GA1038" s="319" t="s">
        <v>173</v>
      </c>
      <c r="GB1038" s="319" t="s">
        <v>173</v>
      </c>
      <c r="GC1038" s="319" t="s">
        <v>173</v>
      </c>
      <c r="GD1038" s="319" t="s">
        <v>173</v>
      </c>
      <c r="GE1038" s="319" t="s">
        <v>173</v>
      </c>
      <c r="GF1038" s="319" t="s">
        <v>173</v>
      </c>
      <c r="GG1038" s="319" t="s">
        <v>173</v>
      </c>
      <c r="GH1038" s="319" t="s">
        <v>173</v>
      </c>
      <c r="GI1038" s="319" t="s">
        <v>173</v>
      </c>
      <c r="GJ1038" s="319" t="s">
        <v>173</v>
      </c>
      <c r="GK1038" s="319" t="s">
        <v>173</v>
      </c>
      <c r="GL1038" s="319" t="s">
        <v>173</v>
      </c>
      <c r="GM1038" s="319" t="s">
        <v>173</v>
      </c>
      <c r="GN1038" s="319" t="s">
        <v>173</v>
      </c>
      <c r="GO1038" s="319" t="s">
        <v>173</v>
      </c>
      <c r="GP1038" s="319" t="s">
        <v>173</v>
      </c>
      <c r="GQ1038" s="319" t="s">
        <v>173</v>
      </c>
      <c r="GR1038" s="319" t="s">
        <v>173</v>
      </c>
      <c r="GS1038" s="319" t="s">
        <v>173</v>
      </c>
      <c r="GT1038" s="319" t="s">
        <v>173</v>
      </c>
      <c r="GU1038" s="319" t="s">
        <v>173</v>
      </c>
      <c r="GV1038" s="319" t="s">
        <v>173</v>
      </c>
      <c r="GW1038" s="319" t="s">
        <v>173</v>
      </c>
      <c r="GX1038" s="319" t="s">
        <v>173</v>
      </c>
      <c r="GY1038" s="319" t="s">
        <v>173</v>
      </c>
      <c r="GZ1038" s="319" t="s">
        <v>173</v>
      </c>
      <c r="HA1038" s="319" t="s">
        <v>173</v>
      </c>
      <c r="HB1038" s="319" t="s">
        <v>173</v>
      </c>
      <c r="HC1038" s="319" t="s">
        <v>173</v>
      </c>
      <c r="HD1038" s="319" t="s">
        <v>173</v>
      </c>
      <c r="HE1038" s="319" t="s">
        <v>173</v>
      </c>
      <c r="HF1038" s="319" t="s">
        <v>173</v>
      </c>
      <c r="HG1038" s="319" t="s">
        <v>173</v>
      </c>
      <c r="HH1038" s="319" t="s">
        <v>173</v>
      </c>
      <c r="HI1038" s="319" t="s">
        <v>173</v>
      </c>
      <c r="HJ1038" s="319" t="s">
        <v>173</v>
      </c>
      <c r="HK1038" s="319" t="s">
        <v>173</v>
      </c>
      <c r="HL1038" s="319" t="s">
        <v>173</v>
      </c>
      <c r="HM1038" s="319" t="s">
        <v>173</v>
      </c>
      <c r="HN1038" s="319" t="s">
        <v>173</v>
      </c>
      <c r="HO1038" s="319" t="s">
        <v>173</v>
      </c>
      <c r="HP1038" s="319" t="s">
        <v>173</v>
      </c>
      <c r="HQ1038" s="319" t="s">
        <v>173</v>
      </c>
      <c r="HR1038" s="319" t="s">
        <v>173</v>
      </c>
      <c r="HS1038" s="319" t="s">
        <v>173</v>
      </c>
      <c r="HT1038" s="319" t="s">
        <v>173</v>
      </c>
      <c r="HU1038" s="319" t="s">
        <v>173</v>
      </c>
      <c r="HV1038" s="319" t="s">
        <v>173</v>
      </c>
      <c r="HW1038" s="319" t="s">
        <v>173</v>
      </c>
      <c r="HX1038" s="319" t="s">
        <v>173</v>
      </c>
      <c r="HY1038" s="319" t="s">
        <v>173</v>
      </c>
      <c r="HZ1038" s="319" t="s">
        <v>173</v>
      </c>
      <c r="IA1038" s="319" t="s">
        <v>173</v>
      </c>
      <c r="IB1038" s="319" t="s">
        <v>173</v>
      </c>
      <c r="IC1038" s="319" t="s">
        <v>173</v>
      </c>
      <c r="ID1038" s="319" t="s">
        <v>173</v>
      </c>
      <c r="IE1038" s="319" t="s">
        <v>173</v>
      </c>
      <c r="IF1038" s="319" t="s">
        <v>173</v>
      </c>
      <c r="IG1038" s="319" t="s">
        <v>173</v>
      </c>
      <c r="IH1038" s="319" t="s">
        <v>173</v>
      </c>
      <c r="II1038" s="319" t="s">
        <v>173</v>
      </c>
      <c r="IJ1038" s="319" t="s">
        <v>173</v>
      </c>
      <c r="IK1038" s="319" t="s">
        <v>173</v>
      </c>
      <c r="IL1038" s="319" t="s">
        <v>173</v>
      </c>
      <c r="IM1038" s="319" t="s">
        <v>173</v>
      </c>
      <c r="IN1038" s="319" t="s">
        <v>173</v>
      </c>
      <c r="IO1038" s="319" t="s">
        <v>173</v>
      </c>
      <c r="IP1038" s="319" t="s">
        <v>173</v>
      </c>
      <c r="IQ1038" s="321" t="s">
        <v>173</v>
      </c>
      <c r="IR1038" s="320" t="s">
        <v>173</v>
      </c>
      <c r="IS1038" s="322" t="s">
        <v>173</v>
      </c>
      <c r="IT1038" s="319" t="s">
        <v>173</v>
      </c>
    </row>
    <row r="1039" spans="1:254" s="271" customFormat="1" x14ac:dyDescent="0.25">
      <c r="A1039" s="318" t="str">
        <f>HYPERLINK("http://www.ofsted.gov.uk/inspection-reports/find-inspection-report/provider/ELS/146660 ","Ofsted School Webpage")</f>
        <v>Ofsted School Webpage</v>
      </c>
      <c r="B1039" s="319">
        <v>146660</v>
      </c>
      <c r="C1039" s="319">
        <v>3066018</v>
      </c>
      <c r="D1039" s="319" t="s">
        <v>2575</v>
      </c>
      <c r="E1039" s="319" t="s">
        <v>168</v>
      </c>
      <c r="F1039" s="319" t="s">
        <v>434</v>
      </c>
      <c r="G1039" s="319" t="s">
        <v>81</v>
      </c>
      <c r="H1039" s="319" t="s">
        <v>81</v>
      </c>
      <c r="I1039" s="319" t="s">
        <v>78</v>
      </c>
      <c r="J1039" s="319" t="s">
        <v>424</v>
      </c>
      <c r="K1039" s="319" t="s">
        <v>441</v>
      </c>
      <c r="L1039" s="319" t="s">
        <v>441</v>
      </c>
      <c r="M1039" s="319" t="s">
        <v>734</v>
      </c>
      <c r="N1039" s="319" t="s">
        <v>2831</v>
      </c>
      <c r="O1039" s="319" t="s">
        <v>2576</v>
      </c>
      <c r="P1039" s="319" t="s">
        <v>173</v>
      </c>
      <c r="Q1039" s="319" t="s">
        <v>429</v>
      </c>
      <c r="R1039" s="320">
        <v>10092536</v>
      </c>
      <c r="S1039" s="321">
        <v>43599</v>
      </c>
      <c r="T1039" s="321">
        <v>43601</v>
      </c>
      <c r="U1039" s="321">
        <v>43636</v>
      </c>
      <c r="V1039" s="319" t="s">
        <v>435</v>
      </c>
      <c r="W1039" s="319" t="s">
        <v>2767</v>
      </c>
      <c r="X1039" s="319">
        <v>2</v>
      </c>
      <c r="Y1039" s="319" t="s">
        <v>173</v>
      </c>
      <c r="Z1039" s="319" t="s">
        <v>173</v>
      </c>
      <c r="AA1039" s="319" t="s">
        <v>173</v>
      </c>
      <c r="AB1039" s="319">
        <v>2</v>
      </c>
      <c r="AC1039" s="319" t="s">
        <v>169</v>
      </c>
      <c r="AD1039" s="319" t="s">
        <v>173</v>
      </c>
      <c r="AE1039" s="319" t="s">
        <v>173</v>
      </c>
      <c r="AF1039" s="319" t="s">
        <v>427</v>
      </c>
      <c r="AG1039" s="319" t="s">
        <v>171</v>
      </c>
      <c r="AH1039" s="319" t="s">
        <v>190</v>
      </c>
      <c r="AI1039" s="319" t="s">
        <v>190</v>
      </c>
      <c r="AJ1039" s="319" t="s">
        <v>190</v>
      </c>
      <c r="AK1039" s="319" t="s">
        <v>190</v>
      </c>
      <c r="AL1039" s="319" t="s">
        <v>190</v>
      </c>
      <c r="AM1039" s="319" t="s">
        <v>190</v>
      </c>
      <c r="AN1039" s="319" t="s">
        <v>190</v>
      </c>
      <c r="AO1039" s="319" t="s">
        <v>190</v>
      </c>
      <c r="AP1039" s="319" t="s">
        <v>190</v>
      </c>
      <c r="AQ1039" s="319" t="s">
        <v>190</v>
      </c>
      <c r="AR1039" s="319" t="s">
        <v>190</v>
      </c>
      <c r="AS1039" s="319" t="s">
        <v>190</v>
      </c>
      <c r="AT1039" s="319" t="s">
        <v>190</v>
      </c>
      <c r="AU1039" s="319" t="s">
        <v>190</v>
      </c>
      <c r="AV1039" s="319" t="s">
        <v>190</v>
      </c>
      <c r="AW1039" s="319" t="s">
        <v>190</v>
      </c>
      <c r="AX1039" s="319" t="s">
        <v>428</v>
      </c>
      <c r="AY1039" s="319" t="s">
        <v>190</v>
      </c>
      <c r="AZ1039" s="319" t="s">
        <v>190</v>
      </c>
      <c r="BA1039" s="319" t="s">
        <v>190</v>
      </c>
      <c r="BB1039" s="319" t="s">
        <v>190</v>
      </c>
      <c r="BC1039" s="319" t="s">
        <v>190</v>
      </c>
      <c r="BD1039" s="319" t="s">
        <v>190</v>
      </c>
      <c r="BE1039" s="319" t="s">
        <v>190</v>
      </c>
      <c r="BF1039" s="319" t="s">
        <v>428</v>
      </c>
      <c r="BG1039" s="319" t="s">
        <v>428</v>
      </c>
      <c r="BH1039" s="319" t="s">
        <v>190</v>
      </c>
      <c r="BI1039" s="319" t="s">
        <v>190</v>
      </c>
      <c r="BJ1039" s="319" t="s">
        <v>190</v>
      </c>
      <c r="BK1039" s="319" t="s">
        <v>190</v>
      </c>
      <c r="BL1039" s="319" t="s">
        <v>190</v>
      </c>
      <c r="BM1039" s="319" t="s">
        <v>190</v>
      </c>
      <c r="BN1039" s="319" t="s">
        <v>190</v>
      </c>
      <c r="BO1039" s="319" t="s">
        <v>190</v>
      </c>
      <c r="BP1039" s="319" t="s">
        <v>190</v>
      </c>
      <c r="BQ1039" s="319" t="s">
        <v>190</v>
      </c>
      <c r="BR1039" s="319" t="s">
        <v>190</v>
      </c>
      <c r="BS1039" s="319" t="s">
        <v>190</v>
      </c>
      <c r="BT1039" s="319" t="s">
        <v>190</v>
      </c>
      <c r="BU1039" s="319" t="s">
        <v>190</v>
      </c>
      <c r="BV1039" s="319" t="s">
        <v>190</v>
      </c>
      <c r="BW1039" s="319" t="s">
        <v>190</v>
      </c>
      <c r="BX1039" s="319" t="s">
        <v>190</v>
      </c>
      <c r="BY1039" s="319" t="s">
        <v>190</v>
      </c>
      <c r="BZ1039" s="319" t="s">
        <v>190</v>
      </c>
      <c r="CA1039" s="319" t="s">
        <v>190</v>
      </c>
      <c r="CB1039" s="319" t="s">
        <v>190</v>
      </c>
      <c r="CC1039" s="319" t="s">
        <v>190</v>
      </c>
      <c r="CD1039" s="319" t="s">
        <v>190</v>
      </c>
      <c r="CE1039" s="319" t="s">
        <v>190</v>
      </c>
      <c r="CF1039" s="319" t="s">
        <v>190</v>
      </c>
      <c r="CG1039" s="319" t="s">
        <v>190</v>
      </c>
      <c r="CH1039" s="319" t="s">
        <v>190</v>
      </c>
      <c r="CI1039" s="319" t="s">
        <v>190</v>
      </c>
      <c r="CJ1039" s="319" t="s">
        <v>190</v>
      </c>
      <c r="CK1039" s="319" t="s">
        <v>190</v>
      </c>
      <c r="CL1039" s="319" t="s">
        <v>190</v>
      </c>
      <c r="CM1039" s="319" t="s">
        <v>190</v>
      </c>
      <c r="CN1039" s="319" t="s">
        <v>190</v>
      </c>
      <c r="CO1039" s="319" t="s">
        <v>428</v>
      </c>
      <c r="CP1039" s="319" t="s">
        <v>428</v>
      </c>
      <c r="CQ1039" s="319" t="s">
        <v>190</v>
      </c>
      <c r="CR1039" s="319" t="s">
        <v>190</v>
      </c>
      <c r="CS1039" s="319" t="s">
        <v>190</v>
      </c>
      <c r="CT1039" s="319" t="s">
        <v>190</v>
      </c>
      <c r="CU1039" s="319" t="s">
        <v>190</v>
      </c>
      <c r="CV1039" s="319" t="s">
        <v>190</v>
      </c>
      <c r="CW1039" s="319" t="s">
        <v>190</v>
      </c>
      <c r="CX1039" s="319" t="s">
        <v>190</v>
      </c>
      <c r="CY1039" s="319" t="s">
        <v>190</v>
      </c>
      <c r="CZ1039" s="319" t="s">
        <v>190</v>
      </c>
      <c r="DA1039" s="319" t="s">
        <v>190</v>
      </c>
      <c r="DB1039" s="319" t="s">
        <v>190</v>
      </c>
      <c r="DC1039" s="319" t="s">
        <v>190</v>
      </c>
      <c r="DD1039" s="319" t="s">
        <v>190</v>
      </c>
      <c r="DE1039" s="319" t="s">
        <v>190</v>
      </c>
      <c r="DF1039" s="319" t="s">
        <v>190</v>
      </c>
      <c r="DG1039" s="319" t="s">
        <v>190</v>
      </c>
      <c r="DH1039" s="319" t="s">
        <v>190</v>
      </c>
      <c r="DI1039" s="319" t="s">
        <v>190</v>
      </c>
      <c r="DJ1039" s="319" t="s">
        <v>190</v>
      </c>
      <c r="DK1039" s="319" t="s">
        <v>190</v>
      </c>
      <c r="DL1039" s="319" t="s">
        <v>190</v>
      </c>
      <c r="DM1039" s="319" t="s">
        <v>190</v>
      </c>
      <c r="DN1039" s="319" t="s">
        <v>428</v>
      </c>
      <c r="DO1039" s="319" t="s">
        <v>190</v>
      </c>
      <c r="DP1039" s="319" t="s">
        <v>190</v>
      </c>
      <c r="DQ1039" s="319" t="s">
        <v>190</v>
      </c>
      <c r="DR1039" s="319" t="s">
        <v>190</v>
      </c>
      <c r="DS1039" s="319" t="s">
        <v>190</v>
      </c>
      <c r="DT1039" s="319" t="s">
        <v>190</v>
      </c>
      <c r="DU1039" s="319" t="s">
        <v>190</v>
      </c>
      <c r="DV1039" s="319" t="s">
        <v>173</v>
      </c>
      <c r="DW1039" s="319" t="s">
        <v>190</v>
      </c>
      <c r="DX1039" s="319" t="s">
        <v>190</v>
      </c>
      <c r="DY1039" s="319" t="s">
        <v>190</v>
      </c>
      <c r="DZ1039" s="319" t="s">
        <v>190</v>
      </c>
      <c r="EA1039" s="319" t="s">
        <v>190</v>
      </c>
      <c r="EB1039" s="319" t="s">
        <v>190</v>
      </c>
      <c r="EC1039" s="319" t="s">
        <v>428</v>
      </c>
      <c r="ED1039" s="319" t="s">
        <v>190</v>
      </c>
      <c r="EE1039" s="319" t="s">
        <v>190</v>
      </c>
      <c r="EF1039" s="319" t="s">
        <v>190</v>
      </c>
      <c r="EG1039" s="319" t="s">
        <v>190</v>
      </c>
      <c r="EH1039" s="319" t="s">
        <v>190</v>
      </c>
      <c r="EI1039" s="319" t="s">
        <v>190</v>
      </c>
      <c r="EJ1039" s="319" t="s">
        <v>190</v>
      </c>
      <c r="EK1039" s="319" t="s">
        <v>190</v>
      </c>
      <c r="EL1039" s="319" t="s">
        <v>190</v>
      </c>
      <c r="EM1039" s="319" t="s">
        <v>190</v>
      </c>
      <c r="EN1039" s="319" t="s">
        <v>190</v>
      </c>
      <c r="EO1039" s="319" t="s">
        <v>190</v>
      </c>
      <c r="EP1039" s="319" t="s">
        <v>190</v>
      </c>
      <c r="EQ1039" s="319" t="s">
        <v>190</v>
      </c>
      <c r="ER1039" s="319" t="s">
        <v>190</v>
      </c>
      <c r="ES1039" s="319" t="s">
        <v>190</v>
      </c>
      <c r="ET1039" s="319" t="s">
        <v>190</v>
      </c>
      <c r="EU1039" s="319" t="s">
        <v>190</v>
      </c>
      <c r="EV1039" s="319" t="s">
        <v>190</v>
      </c>
      <c r="EW1039" s="319" t="s">
        <v>190</v>
      </c>
      <c r="EX1039" s="319" t="s">
        <v>190</v>
      </c>
      <c r="EY1039" s="319" t="s">
        <v>190</v>
      </c>
      <c r="EZ1039" s="319" t="s">
        <v>190</v>
      </c>
      <c r="FA1039" s="319" t="s">
        <v>190</v>
      </c>
      <c r="FB1039" s="319" t="s">
        <v>190</v>
      </c>
      <c r="FC1039" s="319" t="s">
        <v>190</v>
      </c>
      <c r="FD1039" s="319" t="s">
        <v>190</v>
      </c>
      <c r="FE1039" s="319" t="s">
        <v>190</v>
      </c>
      <c r="FF1039" s="319" t="s">
        <v>190</v>
      </c>
      <c r="FG1039" s="319" t="s">
        <v>190</v>
      </c>
      <c r="FH1039" s="319" t="s">
        <v>190</v>
      </c>
      <c r="FI1039" s="319" t="s">
        <v>190</v>
      </c>
      <c r="FJ1039" s="319" t="s">
        <v>190</v>
      </c>
      <c r="FK1039" s="319" t="s">
        <v>190</v>
      </c>
      <c r="FL1039" s="319" t="s">
        <v>190</v>
      </c>
      <c r="FM1039" s="319" t="s">
        <v>190</v>
      </c>
      <c r="FN1039" s="319" t="s">
        <v>428</v>
      </c>
      <c r="FO1039" s="319" t="s">
        <v>190</v>
      </c>
      <c r="FP1039" s="319" t="s">
        <v>190</v>
      </c>
      <c r="FQ1039" s="319" t="s">
        <v>190</v>
      </c>
      <c r="FR1039" s="319" t="s">
        <v>190</v>
      </c>
      <c r="FS1039" s="319" t="s">
        <v>190</v>
      </c>
      <c r="FT1039" s="319" t="s">
        <v>190</v>
      </c>
      <c r="FU1039" s="319" t="s">
        <v>190</v>
      </c>
      <c r="FV1039" s="319" t="s">
        <v>190</v>
      </c>
      <c r="FW1039" s="319" t="s">
        <v>190</v>
      </c>
      <c r="FX1039" s="319" t="s">
        <v>190</v>
      </c>
      <c r="FY1039" s="319" t="s">
        <v>190</v>
      </c>
      <c r="FZ1039" s="319" t="s">
        <v>190</v>
      </c>
      <c r="GA1039" s="319" t="s">
        <v>190</v>
      </c>
      <c r="GB1039" s="319" t="s">
        <v>190</v>
      </c>
      <c r="GC1039" s="319" t="s">
        <v>190</v>
      </c>
      <c r="GD1039" s="319" t="s">
        <v>190</v>
      </c>
      <c r="GE1039" s="319" t="s">
        <v>190</v>
      </c>
      <c r="GF1039" s="319" t="s">
        <v>190</v>
      </c>
      <c r="GG1039" s="319" t="s">
        <v>190</v>
      </c>
      <c r="GH1039" s="319" t="s">
        <v>190</v>
      </c>
      <c r="GI1039" s="319" t="s">
        <v>190</v>
      </c>
      <c r="GJ1039" s="319" t="s">
        <v>190</v>
      </c>
      <c r="GK1039" s="319" t="s">
        <v>428</v>
      </c>
      <c r="GL1039" s="319" t="s">
        <v>190</v>
      </c>
      <c r="GM1039" s="319" t="s">
        <v>190</v>
      </c>
      <c r="GN1039" s="319" t="s">
        <v>190</v>
      </c>
      <c r="GO1039" s="319" t="s">
        <v>190</v>
      </c>
      <c r="GP1039" s="319" t="s">
        <v>190</v>
      </c>
      <c r="GQ1039" s="319" t="s">
        <v>190</v>
      </c>
      <c r="GR1039" s="319" t="s">
        <v>190</v>
      </c>
      <c r="GS1039" s="319" t="s">
        <v>190</v>
      </c>
      <c r="GT1039" s="319" t="s">
        <v>190</v>
      </c>
      <c r="GU1039" s="319" t="s">
        <v>190</v>
      </c>
      <c r="GV1039" s="319" t="s">
        <v>190</v>
      </c>
      <c r="GW1039" s="319" t="s">
        <v>190</v>
      </c>
      <c r="GX1039" s="319" t="s">
        <v>190</v>
      </c>
      <c r="GY1039" s="319" t="s">
        <v>190</v>
      </c>
      <c r="GZ1039" s="319" t="s">
        <v>190</v>
      </c>
      <c r="HA1039" s="319" t="s">
        <v>190</v>
      </c>
      <c r="HB1039" s="319" t="s">
        <v>190</v>
      </c>
      <c r="HC1039" s="319" t="s">
        <v>190</v>
      </c>
      <c r="HD1039" s="319" t="s">
        <v>190</v>
      </c>
      <c r="HE1039" s="319" t="s">
        <v>190</v>
      </c>
      <c r="HF1039" s="319" t="s">
        <v>190</v>
      </c>
      <c r="HG1039" s="319" t="s">
        <v>190</v>
      </c>
      <c r="HH1039" s="319" t="s">
        <v>190</v>
      </c>
      <c r="HI1039" s="319" t="s">
        <v>428</v>
      </c>
      <c r="HJ1039" s="319" t="s">
        <v>190</v>
      </c>
      <c r="HK1039" s="319" t="s">
        <v>190</v>
      </c>
      <c r="HL1039" s="319" t="s">
        <v>190</v>
      </c>
      <c r="HM1039" s="319" t="s">
        <v>190</v>
      </c>
      <c r="HN1039" s="319" t="s">
        <v>190</v>
      </c>
      <c r="HO1039" s="319" t="s">
        <v>190</v>
      </c>
      <c r="HP1039" s="319" t="s">
        <v>190</v>
      </c>
      <c r="HQ1039" s="319" t="s">
        <v>190</v>
      </c>
      <c r="HR1039" s="319" t="s">
        <v>190</v>
      </c>
      <c r="HS1039" s="319" t="s">
        <v>190</v>
      </c>
      <c r="HT1039" s="319" t="s">
        <v>190</v>
      </c>
      <c r="HU1039" s="319" t="s">
        <v>190</v>
      </c>
      <c r="HV1039" s="319" t="s">
        <v>190</v>
      </c>
      <c r="HW1039" s="319" t="s">
        <v>190</v>
      </c>
      <c r="HX1039" s="319" t="s">
        <v>190</v>
      </c>
      <c r="HY1039" s="319" t="s">
        <v>190</v>
      </c>
      <c r="HZ1039" s="319" t="s">
        <v>190</v>
      </c>
      <c r="IA1039" s="319" t="s">
        <v>190</v>
      </c>
      <c r="IB1039" s="319" t="s">
        <v>190</v>
      </c>
      <c r="IC1039" s="319" t="s">
        <v>190</v>
      </c>
      <c r="ID1039" s="319" t="s">
        <v>190</v>
      </c>
      <c r="IE1039" s="319" t="s">
        <v>190</v>
      </c>
      <c r="IF1039" s="319" t="s">
        <v>190</v>
      </c>
      <c r="IG1039" s="319" t="s">
        <v>190</v>
      </c>
      <c r="IH1039" s="319" t="s">
        <v>190</v>
      </c>
      <c r="II1039" s="319" t="s">
        <v>190</v>
      </c>
      <c r="IJ1039" s="319" t="s">
        <v>173</v>
      </c>
      <c r="IK1039" s="319" t="s">
        <v>173</v>
      </c>
      <c r="IL1039" s="319" t="s">
        <v>173</v>
      </c>
      <c r="IM1039" s="319" t="s">
        <v>173</v>
      </c>
      <c r="IN1039" s="319" t="s">
        <v>173</v>
      </c>
      <c r="IO1039" s="319" t="s">
        <v>173</v>
      </c>
      <c r="IP1039" s="319" t="s">
        <v>173</v>
      </c>
      <c r="IQ1039" s="319" t="s">
        <v>173</v>
      </c>
      <c r="IR1039" s="320" t="s">
        <v>173</v>
      </c>
      <c r="IS1039" s="320" t="s">
        <v>173</v>
      </c>
      <c r="IT1039" s="319" t="s">
        <v>173</v>
      </c>
    </row>
    <row r="1040" spans="1:254" s="271" customFormat="1" x14ac:dyDescent="0.25">
      <c r="A1040" s="318" t="str">
        <f>HYPERLINK("http://www.ofsted.gov.uk/inspection-reports/find-inspection-report/provider/ELS/146671 ","Ofsted School Webpage")</f>
        <v>Ofsted School Webpage</v>
      </c>
      <c r="B1040" s="319">
        <v>146671</v>
      </c>
      <c r="C1040" s="319">
        <v>9166025</v>
      </c>
      <c r="D1040" s="319" t="s">
        <v>2577</v>
      </c>
      <c r="E1040" s="319" t="s">
        <v>167</v>
      </c>
      <c r="F1040" s="319" t="s">
        <v>434</v>
      </c>
      <c r="G1040" s="319" t="s">
        <v>81</v>
      </c>
      <c r="H1040" s="319" t="s">
        <v>81</v>
      </c>
      <c r="I1040" s="319" t="s">
        <v>78</v>
      </c>
      <c r="J1040" s="319" t="s">
        <v>424</v>
      </c>
      <c r="K1040" s="319" t="s">
        <v>422</v>
      </c>
      <c r="L1040" s="319" t="s">
        <v>422</v>
      </c>
      <c r="M1040" s="319" t="s">
        <v>846</v>
      </c>
      <c r="N1040" s="319" t="s">
        <v>2949</v>
      </c>
      <c r="O1040" s="319" t="s">
        <v>2578</v>
      </c>
      <c r="P1040" s="319" t="s">
        <v>173</v>
      </c>
      <c r="Q1040" s="319" t="s">
        <v>2766</v>
      </c>
      <c r="R1040" s="320">
        <v>10094918</v>
      </c>
      <c r="S1040" s="321">
        <v>43655</v>
      </c>
      <c r="T1040" s="321">
        <v>43656</v>
      </c>
      <c r="U1040" s="321">
        <v>43674</v>
      </c>
      <c r="V1040" s="319" t="s">
        <v>435</v>
      </c>
      <c r="W1040" s="319" t="s">
        <v>2767</v>
      </c>
      <c r="X1040" s="319">
        <v>2</v>
      </c>
      <c r="Y1040" s="319" t="s">
        <v>173</v>
      </c>
      <c r="Z1040" s="319" t="s">
        <v>173</v>
      </c>
      <c r="AA1040" s="319" t="s">
        <v>173</v>
      </c>
      <c r="AB1040" s="319">
        <v>2</v>
      </c>
      <c r="AC1040" s="319" t="s">
        <v>169</v>
      </c>
      <c r="AD1040" s="319" t="s">
        <v>173</v>
      </c>
      <c r="AE1040" s="319" t="s">
        <v>173</v>
      </c>
      <c r="AF1040" s="319" t="s">
        <v>427</v>
      </c>
      <c r="AG1040" s="319" t="s">
        <v>171</v>
      </c>
      <c r="AH1040" s="319" t="s">
        <v>190</v>
      </c>
      <c r="AI1040" s="319" t="s">
        <v>190</v>
      </c>
      <c r="AJ1040" s="319" t="s">
        <v>190</v>
      </c>
      <c r="AK1040" s="319" t="s">
        <v>190</v>
      </c>
      <c r="AL1040" s="319" t="s">
        <v>190</v>
      </c>
      <c r="AM1040" s="319" t="s">
        <v>190</v>
      </c>
      <c r="AN1040" s="319" t="s">
        <v>190</v>
      </c>
      <c r="AO1040" s="319" t="s">
        <v>190</v>
      </c>
      <c r="AP1040" s="319" t="s">
        <v>190</v>
      </c>
      <c r="AQ1040" s="319" t="s">
        <v>190</v>
      </c>
      <c r="AR1040" s="319" t="s">
        <v>190</v>
      </c>
      <c r="AS1040" s="319" t="s">
        <v>190</v>
      </c>
      <c r="AT1040" s="319" t="s">
        <v>190</v>
      </c>
      <c r="AU1040" s="319" t="s">
        <v>190</v>
      </c>
      <c r="AV1040" s="319" t="s">
        <v>190</v>
      </c>
      <c r="AW1040" s="319" t="s">
        <v>190</v>
      </c>
      <c r="AX1040" s="319" t="s">
        <v>428</v>
      </c>
      <c r="AY1040" s="319" t="s">
        <v>190</v>
      </c>
      <c r="AZ1040" s="319" t="s">
        <v>190</v>
      </c>
      <c r="BA1040" s="319" t="s">
        <v>190</v>
      </c>
      <c r="BB1040" s="319" t="s">
        <v>190</v>
      </c>
      <c r="BC1040" s="319" t="s">
        <v>190</v>
      </c>
      <c r="BD1040" s="319" t="s">
        <v>190</v>
      </c>
      <c r="BE1040" s="319" t="s">
        <v>190</v>
      </c>
      <c r="BF1040" s="319" t="s">
        <v>428</v>
      </c>
      <c r="BG1040" s="319" t="s">
        <v>190</v>
      </c>
      <c r="BH1040" s="319" t="s">
        <v>190</v>
      </c>
      <c r="BI1040" s="319" t="s">
        <v>190</v>
      </c>
      <c r="BJ1040" s="319" t="s">
        <v>190</v>
      </c>
      <c r="BK1040" s="319" t="s">
        <v>190</v>
      </c>
      <c r="BL1040" s="319" t="s">
        <v>190</v>
      </c>
      <c r="BM1040" s="319" t="s">
        <v>190</v>
      </c>
      <c r="BN1040" s="319" t="s">
        <v>190</v>
      </c>
      <c r="BO1040" s="319" t="s">
        <v>190</v>
      </c>
      <c r="BP1040" s="319" t="s">
        <v>190</v>
      </c>
      <c r="BQ1040" s="319" t="s">
        <v>190</v>
      </c>
      <c r="BR1040" s="319" t="s">
        <v>190</v>
      </c>
      <c r="BS1040" s="319" t="s">
        <v>190</v>
      </c>
      <c r="BT1040" s="319" t="s">
        <v>190</v>
      </c>
      <c r="BU1040" s="319" t="s">
        <v>190</v>
      </c>
      <c r="BV1040" s="319" t="s">
        <v>190</v>
      </c>
      <c r="BW1040" s="319" t="s">
        <v>190</v>
      </c>
      <c r="BX1040" s="319" t="s">
        <v>190</v>
      </c>
      <c r="BY1040" s="319" t="s">
        <v>190</v>
      </c>
      <c r="BZ1040" s="319" t="s">
        <v>190</v>
      </c>
      <c r="CA1040" s="319" t="s">
        <v>190</v>
      </c>
      <c r="CB1040" s="319" t="s">
        <v>190</v>
      </c>
      <c r="CC1040" s="319" t="s">
        <v>190</v>
      </c>
      <c r="CD1040" s="319" t="s">
        <v>190</v>
      </c>
      <c r="CE1040" s="319" t="s">
        <v>190</v>
      </c>
      <c r="CF1040" s="319" t="s">
        <v>190</v>
      </c>
      <c r="CG1040" s="319" t="s">
        <v>190</v>
      </c>
      <c r="CH1040" s="319" t="s">
        <v>190</v>
      </c>
      <c r="CI1040" s="319" t="s">
        <v>190</v>
      </c>
      <c r="CJ1040" s="319" t="s">
        <v>190</v>
      </c>
      <c r="CK1040" s="319" t="s">
        <v>190</v>
      </c>
      <c r="CL1040" s="319" t="s">
        <v>190</v>
      </c>
      <c r="CM1040" s="319" t="s">
        <v>190</v>
      </c>
      <c r="CN1040" s="319" t="s">
        <v>190</v>
      </c>
      <c r="CO1040" s="319" t="s">
        <v>428</v>
      </c>
      <c r="CP1040" s="319" t="s">
        <v>428</v>
      </c>
      <c r="CQ1040" s="319" t="s">
        <v>190</v>
      </c>
      <c r="CR1040" s="319" t="s">
        <v>190</v>
      </c>
      <c r="CS1040" s="319" t="s">
        <v>190</v>
      </c>
      <c r="CT1040" s="319" t="s">
        <v>190</v>
      </c>
      <c r="CU1040" s="319" t="s">
        <v>190</v>
      </c>
      <c r="CV1040" s="319" t="s">
        <v>190</v>
      </c>
      <c r="CW1040" s="319" t="s">
        <v>190</v>
      </c>
      <c r="CX1040" s="319" t="s">
        <v>190</v>
      </c>
      <c r="CY1040" s="319" t="s">
        <v>190</v>
      </c>
      <c r="CZ1040" s="319" t="s">
        <v>190</v>
      </c>
      <c r="DA1040" s="319" t="s">
        <v>190</v>
      </c>
      <c r="DB1040" s="319" t="s">
        <v>190</v>
      </c>
      <c r="DC1040" s="319" t="s">
        <v>190</v>
      </c>
      <c r="DD1040" s="319" t="s">
        <v>190</v>
      </c>
      <c r="DE1040" s="319" t="s">
        <v>190</v>
      </c>
      <c r="DF1040" s="319" t="s">
        <v>190</v>
      </c>
      <c r="DG1040" s="319" t="s">
        <v>190</v>
      </c>
      <c r="DH1040" s="319" t="s">
        <v>190</v>
      </c>
      <c r="DI1040" s="319" t="s">
        <v>190</v>
      </c>
      <c r="DJ1040" s="319" t="s">
        <v>190</v>
      </c>
      <c r="DK1040" s="319" t="s">
        <v>190</v>
      </c>
      <c r="DL1040" s="319" t="s">
        <v>190</v>
      </c>
      <c r="DM1040" s="319" t="s">
        <v>190</v>
      </c>
      <c r="DN1040" s="319" t="s">
        <v>428</v>
      </c>
      <c r="DO1040" s="319" t="s">
        <v>190</v>
      </c>
      <c r="DP1040" s="319" t="s">
        <v>190</v>
      </c>
      <c r="DQ1040" s="319" t="s">
        <v>190</v>
      </c>
      <c r="DR1040" s="319" t="s">
        <v>190</v>
      </c>
      <c r="DS1040" s="319" t="s">
        <v>190</v>
      </c>
      <c r="DT1040" s="319" t="s">
        <v>190</v>
      </c>
      <c r="DU1040" s="319" t="s">
        <v>190</v>
      </c>
      <c r="DV1040" s="319" t="s">
        <v>173</v>
      </c>
      <c r="DW1040" s="319" t="s">
        <v>190</v>
      </c>
      <c r="DX1040" s="319" t="s">
        <v>190</v>
      </c>
      <c r="DY1040" s="319" t="s">
        <v>190</v>
      </c>
      <c r="DZ1040" s="319" t="s">
        <v>190</v>
      </c>
      <c r="EA1040" s="319" t="s">
        <v>190</v>
      </c>
      <c r="EB1040" s="319" t="s">
        <v>190</v>
      </c>
      <c r="EC1040" s="319" t="s">
        <v>428</v>
      </c>
      <c r="ED1040" s="319" t="s">
        <v>190</v>
      </c>
      <c r="EE1040" s="319" t="s">
        <v>190</v>
      </c>
      <c r="EF1040" s="319" t="s">
        <v>190</v>
      </c>
      <c r="EG1040" s="319" t="s">
        <v>190</v>
      </c>
      <c r="EH1040" s="319" t="s">
        <v>190</v>
      </c>
      <c r="EI1040" s="319" t="s">
        <v>190</v>
      </c>
      <c r="EJ1040" s="319" t="s">
        <v>190</v>
      </c>
      <c r="EK1040" s="319" t="s">
        <v>190</v>
      </c>
      <c r="EL1040" s="319" t="s">
        <v>190</v>
      </c>
      <c r="EM1040" s="319" t="s">
        <v>190</v>
      </c>
      <c r="EN1040" s="319" t="s">
        <v>190</v>
      </c>
      <c r="EO1040" s="319" t="s">
        <v>190</v>
      </c>
      <c r="EP1040" s="319" t="s">
        <v>190</v>
      </c>
      <c r="EQ1040" s="319" t="s">
        <v>190</v>
      </c>
      <c r="ER1040" s="319" t="s">
        <v>190</v>
      </c>
      <c r="ES1040" s="319" t="s">
        <v>190</v>
      </c>
      <c r="ET1040" s="319" t="s">
        <v>190</v>
      </c>
      <c r="EU1040" s="319" t="s">
        <v>190</v>
      </c>
      <c r="EV1040" s="319" t="s">
        <v>190</v>
      </c>
      <c r="EW1040" s="319" t="s">
        <v>190</v>
      </c>
      <c r="EX1040" s="319" t="s">
        <v>190</v>
      </c>
      <c r="EY1040" s="319" t="s">
        <v>190</v>
      </c>
      <c r="EZ1040" s="319" t="s">
        <v>190</v>
      </c>
      <c r="FA1040" s="319" t="s">
        <v>428</v>
      </c>
      <c r="FB1040" s="319" t="s">
        <v>190</v>
      </c>
      <c r="FC1040" s="319" t="s">
        <v>190</v>
      </c>
      <c r="FD1040" s="319" t="s">
        <v>190</v>
      </c>
      <c r="FE1040" s="319" t="s">
        <v>190</v>
      </c>
      <c r="FF1040" s="319" t="s">
        <v>190</v>
      </c>
      <c r="FG1040" s="319" t="s">
        <v>190</v>
      </c>
      <c r="FH1040" s="319" t="s">
        <v>190</v>
      </c>
      <c r="FI1040" s="319" t="s">
        <v>190</v>
      </c>
      <c r="FJ1040" s="319" t="s">
        <v>190</v>
      </c>
      <c r="FK1040" s="319" t="s">
        <v>190</v>
      </c>
      <c r="FL1040" s="319" t="s">
        <v>190</v>
      </c>
      <c r="FM1040" s="319" t="s">
        <v>190</v>
      </c>
      <c r="FN1040" s="319" t="s">
        <v>190</v>
      </c>
      <c r="FO1040" s="319" t="s">
        <v>190</v>
      </c>
      <c r="FP1040" s="319" t="s">
        <v>190</v>
      </c>
      <c r="FQ1040" s="319" t="s">
        <v>190</v>
      </c>
      <c r="FR1040" s="319" t="s">
        <v>190</v>
      </c>
      <c r="FS1040" s="319" t="s">
        <v>190</v>
      </c>
      <c r="FT1040" s="319" t="s">
        <v>190</v>
      </c>
      <c r="FU1040" s="319" t="s">
        <v>190</v>
      </c>
      <c r="FV1040" s="319" t="s">
        <v>190</v>
      </c>
      <c r="FW1040" s="319" t="s">
        <v>190</v>
      </c>
      <c r="FX1040" s="319" t="s">
        <v>190</v>
      </c>
      <c r="FY1040" s="319" t="s">
        <v>190</v>
      </c>
      <c r="FZ1040" s="319" t="s">
        <v>190</v>
      </c>
      <c r="GA1040" s="319" t="s">
        <v>190</v>
      </c>
      <c r="GB1040" s="319" t="s">
        <v>190</v>
      </c>
      <c r="GC1040" s="319" t="s">
        <v>190</v>
      </c>
      <c r="GD1040" s="319" t="s">
        <v>190</v>
      </c>
      <c r="GE1040" s="319" t="s">
        <v>190</v>
      </c>
      <c r="GF1040" s="319" t="s">
        <v>190</v>
      </c>
      <c r="GG1040" s="319" t="s">
        <v>190</v>
      </c>
      <c r="GH1040" s="319" t="s">
        <v>190</v>
      </c>
      <c r="GI1040" s="319" t="s">
        <v>190</v>
      </c>
      <c r="GJ1040" s="319" t="s">
        <v>190</v>
      </c>
      <c r="GK1040" s="319" t="s">
        <v>428</v>
      </c>
      <c r="GL1040" s="319" t="s">
        <v>190</v>
      </c>
      <c r="GM1040" s="319" t="s">
        <v>190</v>
      </c>
      <c r="GN1040" s="319" t="s">
        <v>190</v>
      </c>
      <c r="GO1040" s="319" t="s">
        <v>190</v>
      </c>
      <c r="GP1040" s="319" t="s">
        <v>190</v>
      </c>
      <c r="GQ1040" s="319" t="s">
        <v>190</v>
      </c>
      <c r="GR1040" s="319" t="s">
        <v>190</v>
      </c>
      <c r="GS1040" s="319" t="s">
        <v>190</v>
      </c>
      <c r="GT1040" s="319" t="s">
        <v>190</v>
      </c>
      <c r="GU1040" s="319" t="s">
        <v>190</v>
      </c>
      <c r="GV1040" s="319" t="s">
        <v>190</v>
      </c>
      <c r="GW1040" s="319" t="s">
        <v>190</v>
      </c>
      <c r="GX1040" s="319" t="s">
        <v>190</v>
      </c>
      <c r="GY1040" s="319" t="s">
        <v>190</v>
      </c>
      <c r="GZ1040" s="319" t="s">
        <v>428</v>
      </c>
      <c r="HA1040" s="319" t="s">
        <v>190</v>
      </c>
      <c r="HB1040" s="319" t="s">
        <v>428</v>
      </c>
      <c r="HC1040" s="319" t="s">
        <v>190</v>
      </c>
      <c r="HD1040" s="319" t="s">
        <v>190</v>
      </c>
      <c r="HE1040" s="319" t="s">
        <v>190</v>
      </c>
      <c r="HF1040" s="319" t="s">
        <v>190</v>
      </c>
      <c r="HG1040" s="319" t="s">
        <v>190</v>
      </c>
      <c r="HH1040" s="319" t="s">
        <v>190</v>
      </c>
      <c r="HI1040" s="319" t="s">
        <v>428</v>
      </c>
      <c r="HJ1040" s="319" t="s">
        <v>190</v>
      </c>
      <c r="HK1040" s="319" t="s">
        <v>190</v>
      </c>
      <c r="HL1040" s="319" t="s">
        <v>190</v>
      </c>
      <c r="HM1040" s="319" t="s">
        <v>428</v>
      </c>
      <c r="HN1040" s="319" t="s">
        <v>428</v>
      </c>
      <c r="HO1040" s="319" t="s">
        <v>428</v>
      </c>
      <c r="HP1040" s="319" t="s">
        <v>190</v>
      </c>
      <c r="HQ1040" s="319" t="s">
        <v>190</v>
      </c>
      <c r="HR1040" s="319" t="s">
        <v>190</v>
      </c>
      <c r="HS1040" s="319" t="s">
        <v>190</v>
      </c>
      <c r="HT1040" s="319" t="s">
        <v>190</v>
      </c>
      <c r="HU1040" s="319" t="s">
        <v>190</v>
      </c>
      <c r="HV1040" s="319" t="s">
        <v>190</v>
      </c>
      <c r="HW1040" s="319" t="s">
        <v>190</v>
      </c>
      <c r="HX1040" s="319" t="s">
        <v>190</v>
      </c>
      <c r="HY1040" s="319" t="s">
        <v>190</v>
      </c>
      <c r="HZ1040" s="319" t="s">
        <v>190</v>
      </c>
      <c r="IA1040" s="319" t="s">
        <v>190</v>
      </c>
      <c r="IB1040" s="319" t="s">
        <v>190</v>
      </c>
      <c r="IC1040" s="319" t="s">
        <v>190</v>
      </c>
      <c r="ID1040" s="319" t="s">
        <v>190</v>
      </c>
      <c r="IE1040" s="319" t="s">
        <v>190</v>
      </c>
      <c r="IF1040" s="319" t="s">
        <v>190</v>
      </c>
      <c r="IG1040" s="319" t="s">
        <v>190</v>
      </c>
      <c r="IH1040" s="319" t="s">
        <v>190</v>
      </c>
      <c r="II1040" s="319" t="s">
        <v>190</v>
      </c>
      <c r="IJ1040" s="319" t="s">
        <v>173</v>
      </c>
      <c r="IK1040" s="319" t="s">
        <v>173</v>
      </c>
      <c r="IL1040" s="319" t="s">
        <v>173</v>
      </c>
      <c r="IM1040" s="319" t="s">
        <v>173</v>
      </c>
      <c r="IN1040" s="319" t="s">
        <v>173</v>
      </c>
      <c r="IO1040" s="319" t="s">
        <v>173</v>
      </c>
      <c r="IP1040" s="319" t="s">
        <v>173</v>
      </c>
      <c r="IQ1040" s="319" t="s">
        <v>173</v>
      </c>
      <c r="IR1040" s="320" t="s">
        <v>173</v>
      </c>
      <c r="IS1040" s="320" t="s">
        <v>173</v>
      </c>
      <c r="IT1040" s="319" t="s">
        <v>173</v>
      </c>
    </row>
    <row r="1041" spans="1:254" s="271" customFormat="1" x14ac:dyDescent="0.25">
      <c r="A1041" s="318" t="str">
        <f>HYPERLINK("http://www.ofsted.gov.uk/inspection-reports/find-inspection-report/provider/ELS/146729 ","Ofsted School Webpage")</f>
        <v>Ofsted School Webpage</v>
      </c>
      <c r="B1041" s="319">
        <v>146729</v>
      </c>
      <c r="C1041" s="319">
        <v>2126004</v>
      </c>
      <c r="D1041" s="319" t="s">
        <v>3589</v>
      </c>
      <c r="E1041" s="319" t="s">
        <v>167</v>
      </c>
      <c r="F1041" s="319" t="s">
        <v>71</v>
      </c>
      <c r="G1041" s="319" t="s">
        <v>71</v>
      </c>
      <c r="H1041" s="319" t="s">
        <v>71</v>
      </c>
      <c r="I1041" s="319" t="s">
        <v>72</v>
      </c>
      <c r="J1041" s="319" t="s">
        <v>424</v>
      </c>
      <c r="K1041" s="319" t="s">
        <v>441</v>
      </c>
      <c r="L1041" s="319" t="s">
        <v>441</v>
      </c>
      <c r="M1041" s="319" t="s">
        <v>745</v>
      </c>
      <c r="N1041" s="319" t="s">
        <v>2808</v>
      </c>
      <c r="O1041" s="319" t="s">
        <v>1262</v>
      </c>
      <c r="P1041" s="319" t="s">
        <v>173</v>
      </c>
      <c r="Q1041" s="319" t="s">
        <v>2766</v>
      </c>
      <c r="R1041" s="320" t="s">
        <v>173</v>
      </c>
      <c r="S1041" s="321" t="s">
        <v>173</v>
      </c>
      <c r="T1041" s="321" t="s">
        <v>173</v>
      </c>
      <c r="U1041" s="321" t="s">
        <v>173</v>
      </c>
      <c r="V1041" s="319" t="s">
        <v>173</v>
      </c>
      <c r="W1041" s="319" t="s">
        <v>173</v>
      </c>
      <c r="X1041" s="319" t="s">
        <v>173</v>
      </c>
      <c r="Y1041" s="319" t="s">
        <v>173</v>
      </c>
      <c r="Z1041" s="319" t="s">
        <v>173</v>
      </c>
      <c r="AA1041" s="319" t="s">
        <v>173</v>
      </c>
      <c r="AB1041" s="319" t="s">
        <v>173</v>
      </c>
      <c r="AC1041" s="319" t="s">
        <v>173</v>
      </c>
      <c r="AD1041" s="319" t="s">
        <v>173</v>
      </c>
      <c r="AE1041" s="319" t="s">
        <v>173</v>
      </c>
      <c r="AF1041" s="319" t="s">
        <v>173</v>
      </c>
      <c r="AG1041" s="319" t="s">
        <v>173</v>
      </c>
      <c r="AH1041" s="319" t="s">
        <v>173</v>
      </c>
      <c r="AI1041" s="319" t="s">
        <v>173</v>
      </c>
      <c r="AJ1041" s="319" t="s">
        <v>173</v>
      </c>
      <c r="AK1041" s="319" t="s">
        <v>173</v>
      </c>
      <c r="AL1041" s="319" t="s">
        <v>173</v>
      </c>
      <c r="AM1041" s="319" t="s">
        <v>173</v>
      </c>
      <c r="AN1041" s="319" t="s">
        <v>173</v>
      </c>
      <c r="AO1041" s="319" t="s">
        <v>173</v>
      </c>
      <c r="AP1041" s="319" t="s">
        <v>173</v>
      </c>
      <c r="AQ1041" s="319" t="s">
        <v>173</v>
      </c>
      <c r="AR1041" s="319" t="s">
        <v>173</v>
      </c>
      <c r="AS1041" s="319" t="s">
        <v>173</v>
      </c>
      <c r="AT1041" s="319" t="s">
        <v>173</v>
      </c>
      <c r="AU1041" s="319" t="s">
        <v>173</v>
      </c>
      <c r="AV1041" s="319" t="s">
        <v>173</v>
      </c>
      <c r="AW1041" s="319" t="s">
        <v>173</v>
      </c>
      <c r="AX1041" s="319" t="s">
        <v>173</v>
      </c>
      <c r="AY1041" s="319" t="s">
        <v>173</v>
      </c>
      <c r="AZ1041" s="319" t="s">
        <v>173</v>
      </c>
      <c r="BA1041" s="319" t="s">
        <v>173</v>
      </c>
      <c r="BB1041" s="319" t="s">
        <v>173</v>
      </c>
      <c r="BC1041" s="319" t="s">
        <v>173</v>
      </c>
      <c r="BD1041" s="319" t="s">
        <v>173</v>
      </c>
      <c r="BE1041" s="319" t="s">
        <v>173</v>
      </c>
      <c r="BF1041" s="319" t="s">
        <v>173</v>
      </c>
      <c r="BG1041" s="319" t="s">
        <v>173</v>
      </c>
      <c r="BH1041" s="319" t="s">
        <v>173</v>
      </c>
      <c r="BI1041" s="319" t="s">
        <v>173</v>
      </c>
      <c r="BJ1041" s="319" t="s">
        <v>173</v>
      </c>
      <c r="BK1041" s="319" t="s">
        <v>173</v>
      </c>
      <c r="BL1041" s="319" t="s">
        <v>173</v>
      </c>
      <c r="BM1041" s="319" t="s">
        <v>173</v>
      </c>
      <c r="BN1041" s="319" t="s">
        <v>173</v>
      </c>
      <c r="BO1041" s="319" t="s">
        <v>173</v>
      </c>
      <c r="BP1041" s="319" t="s">
        <v>173</v>
      </c>
      <c r="BQ1041" s="319" t="s">
        <v>173</v>
      </c>
      <c r="BR1041" s="319" t="s">
        <v>173</v>
      </c>
      <c r="BS1041" s="319" t="s">
        <v>173</v>
      </c>
      <c r="BT1041" s="319" t="s">
        <v>173</v>
      </c>
      <c r="BU1041" s="319" t="s">
        <v>173</v>
      </c>
      <c r="BV1041" s="319" t="s">
        <v>173</v>
      </c>
      <c r="BW1041" s="319" t="s">
        <v>173</v>
      </c>
      <c r="BX1041" s="319" t="s">
        <v>173</v>
      </c>
      <c r="BY1041" s="319" t="s">
        <v>173</v>
      </c>
      <c r="BZ1041" s="319" t="s">
        <v>173</v>
      </c>
      <c r="CA1041" s="319" t="s">
        <v>173</v>
      </c>
      <c r="CB1041" s="319" t="s">
        <v>173</v>
      </c>
      <c r="CC1041" s="319" t="s">
        <v>173</v>
      </c>
      <c r="CD1041" s="319" t="s">
        <v>173</v>
      </c>
      <c r="CE1041" s="319" t="s">
        <v>173</v>
      </c>
      <c r="CF1041" s="319" t="s">
        <v>173</v>
      </c>
      <c r="CG1041" s="319" t="s">
        <v>173</v>
      </c>
      <c r="CH1041" s="319" t="s">
        <v>173</v>
      </c>
      <c r="CI1041" s="319" t="s">
        <v>173</v>
      </c>
      <c r="CJ1041" s="319" t="s">
        <v>173</v>
      </c>
      <c r="CK1041" s="319" t="s">
        <v>173</v>
      </c>
      <c r="CL1041" s="319" t="s">
        <v>173</v>
      </c>
      <c r="CM1041" s="319" t="s">
        <v>173</v>
      </c>
      <c r="CN1041" s="319" t="s">
        <v>173</v>
      </c>
      <c r="CO1041" s="319" t="s">
        <v>173</v>
      </c>
      <c r="CP1041" s="319" t="s">
        <v>173</v>
      </c>
      <c r="CQ1041" s="319" t="s">
        <v>173</v>
      </c>
      <c r="CR1041" s="319" t="s">
        <v>173</v>
      </c>
      <c r="CS1041" s="319" t="s">
        <v>173</v>
      </c>
      <c r="CT1041" s="319" t="s">
        <v>173</v>
      </c>
      <c r="CU1041" s="319" t="s">
        <v>173</v>
      </c>
      <c r="CV1041" s="319" t="s">
        <v>173</v>
      </c>
      <c r="CW1041" s="319" t="s">
        <v>173</v>
      </c>
      <c r="CX1041" s="319" t="s">
        <v>173</v>
      </c>
      <c r="CY1041" s="319" t="s">
        <v>173</v>
      </c>
      <c r="CZ1041" s="319" t="s">
        <v>173</v>
      </c>
      <c r="DA1041" s="319" t="s">
        <v>173</v>
      </c>
      <c r="DB1041" s="319" t="s">
        <v>173</v>
      </c>
      <c r="DC1041" s="319" t="s">
        <v>173</v>
      </c>
      <c r="DD1041" s="319" t="s">
        <v>173</v>
      </c>
      <c r="DE1041" s="319" t="s">
        <v>173</v>
      </c>
      <c r="DF1041" s="319" t="s">
        <v>173</v>
      </c>
      <c r="DG1041" s="319" t="s">
        <v>173</v>
      </c>
      <c r="DH1041" s="319" t="s">
        <v>173</v>
      </c>
      <c r="DI1041" s="319" t="s">
        <v>173</v>
      </c>
      <c r="DJ1041" s="319" t="s">
        <v>173</v>
      </c>
      <c r="DK1041" s="319" t="s">
        <v>173</v>
      </c>
      <c r="DL1041" s="319" t="s">
        <v>173</v>
      </c>
      <c r="DM1041" s="319" t="s">
        <v>173</v>
      </c>
      <c r="DN1041" s="319" t="s">
        <v>173</v>
      </c>
      <c r="DO1041" s="319" t="s">
        <v>173</v>
      </c>
      <c r="DP1041" s="319" t="s">
        <v>173</v>
      </c>
      <c r="DQ1041" s="319" t="s">
        <v>173</v>
      </c>
      <c r="DR1041" s="319" t="s">
        <v>173</v>
      </c>
      <c r="DS1041" s="319" t="s">
        <v>173</v>
      </c>
      <c r="DT1041" s="319" t="s">
        <v>173</v>
      </c>
      <c r="DU1041" s="319" t="s">
        <v>173</v>
      </c>
      <c r="DV1041" s="319" t="s">
        <v>173</v>
      </c>
      <c r="DW1041" s="319" t="s">
        <v>173</v>
      </c>
      <c r="DX1041" s="319" t="s">
        <v>173</v>
      </c>
      <c r="DY1041" s="319" t="s">
        <v>173</v>
      </c>
      <c r="DZ1041" s="319" t="s">
        <v>173</v>
      </c>
      <c r="EA1041" s="319" t="s">
        <v>173</v>
      </c>
      <c r="EB1041" s="319" t="s">
        <v>173</v>
      </c>
      <c r="EC1041" s="319" t="s">
        <v>173</v>
      </c>
      <c r="ED1041" s="319" t="s">
        <v>173</v>
      </c>
      <c r="EE1041" s="319" t="s">
        <v>173</v>
      </c>
      <c r="EF1041" s="319" t="s">
        <v>173</v>
      </c>
      <c r="EG1041" s="319" t="s">
        <v>173</v>
      </c>
      <c r="EH1041" s="319" t="s">
        <v>173</v>
      </c>
      <c r="EI1041" s="319" t="s">
        <v>173</v>
      </c>
      <c r="EJ1041" s="319" t="s">
        <v>173</v>
      </c>
      <c r="EK1041" s="319" t="s">
        <v>173</v>
      </c>
      <c r="EL1041" s="319" t="s">
        <v>173</v>
      </c>
      <c r="EM1041" s="319" t="s">
        <v>173</v>
      </c>
      <c r="EN1041" s="319" t="s">
        <v>173</v>
      </c>
      <c r="EO1041" s="319" t="s">
        <v>173</v>
      </c>
      <c r="EP1041" s="319" t="s">
        <v>173</v>
      </c>
      <c r="EQ1041" s="319" t="s">
        <v>173</v>
      </c>
      <c r="ER1041" s="319" t="s">
        <v>173</v>
      </c>
      <c r="ES1041" s="319" t="s">
        <v>173</v>
      </c>
      <c r="ET1041" s="319" t="s">
        <v>173</v>
      </c>
      <c r="EU1041" s="319" t="s">
        <v>173</v>
      </c>
      <c r="EV1041" s="319" t="s">
        <v>173</v>
      </c>
      <c r="EW1041" s="319" t="s">
        <v>173</v>
      </c>
      <c r="EX1041" s="319" t="s">
        <v>173</v>
      </c>
      <c r="EY1041" s="319" t="s">
        <v>173</v>
      </c>
      <c r="EZ1041" s="319" t="s">
        <v>173</v>
      </c>
      <c r="FA1041" s="319" t="s">
        <v>173</v>
      </c>
      <c r="FB1041" s="319" t="s">
        <v>173</v>
      </c>
      <c r="FC1041" s="319" t="s">
        <v>173</v>
      </c>
      <c r="FD1041" s="319" t="s">
        <v>173</v>
      </c>
      <c r="FE1041" s="319" t="s">
        <v>173</v>
      </c>
      <c r="FF1041" s="319" t="s">
        <v>173</v>
      </c>
      <c r="FG1041" s="319" t="s">
        <v>173</v>
      </c>
      <c r="FH1041" s="319" t="s">
        <v>173</v>
      </c>
      <c r="FI1041" s="319" t="s">
        <v>173</v>
      </c>
      <c r="FJ1041" s="319" t="s">
        <v>173</v>
      </c>
      <c r="FK1041" s="319" t="s">
        <v>173</v>
      </c>
      <c r="FL1041" s="319" t="s">
        <v>173</v>
      </c>
      <c r="FM1041" s="319" t="s">
        <v>173</v>
      </c>
      <c r="FN1041" s="319" t="s">
        <v>173</v>
      </c>
      <c r="FO1041" s="319" t="s">
        <v>173</v>
      </c>
      <c r="FP1041" s="319" t="s">
        <v>173</v>
      </c>
      <c r="FQ1041" s="319" t="s">
        <v>173</v>
      </c>
      <c r="FR1041" s="319" t="s">
        <v>173</v>
      </c>
      <c r="FS1041" s="319" t="s">
        <v>173</v>
      </c>
      <c r="FT1041" s="319" t="s">
        <v>173</v>
      </c>
      <c r="FU1041" s="319" t="s">
        <v>173</v>
      </c>
      <c r="FV1041" s="319" t="s">
        <v>173</v>
      </c>
      <c r="FW1041" s="319" t="s">
        <v>173</v>
      </c>
      <c r="FX1041" s="319" t="s">
        <v>173</v>
      </c>
      <c r="FY1041" s="319" t="s">
        <v>173</v>
      </c>
      <c r="FZ1041" s="319" t="s">
        <v>173</v>
      </c>
      <c r="GA1041" s="319" t="s">
        <v>173</v>
      </c>
      <c r="GB1041" s="319" t="s">
        <v>173</v>
      </c>
      <c r="GC1041" s="319" t="s">
        <v>173</v>
      </c>
      <c r="GD1041" s="319" t="s">
        <v>173</v>
      </c>
      <c r="GE1041" s="319" t="s">
        <v>173</v>
      </c>
      <c r="GF1041" s="319" t="s">
        <v>173</v>
      </c>
      <c r="GG1041" s="319" t="s">
        <v>173</v>
      </c>
      <c r="GH1041" s="319" t="s">
        <v>173</v>
      </c>
      <c r="GI1041" s="319" t="s">
        <v>173</v>
      </c>
      <c r="GJ1041" s="319" t="s">
        <v>173</v>
      </c>
      <c r="GK1041" s="319" t="s">
        <v>173</v>
      </c>
      <c r="GL1041" s="319" t="s">
        <v>173</v>
      </c>
      <c r="GM1041" s="319" t="s">
        <v>173</v>
      </c>
      <c r="GN1041" s="319" t="s">
        <v>173</v>
      </c>
      <c r="GO1041" s="319" t="s">
        <v>173</v>
      </c>
      <c r="GP1041" s="319" t="s">
        <v>173</v>
      </c>
      <c r="GQ1041" s="319" t="s">
        <v>173</v>
      </c>
      <c r="GR1041" s="319" t="s">
        <v>173</v>
      </c>
      <c r="GS1041" s="319" t="s">
        <v>173</v>
      </c>
      <c r="GT1041" s="319" t="s">
        <v>173</v>
      </c>
      <c r="GU1041" s="319" t="s">
        <v>173</v>
      </c>
      <c r="GV1041" s="319" t="s">
        <v>173</v>
      </c>
      <c r="GW1041" s="319" t="s">
        <v>173</v>
      </c>
      <c r="GX1041" s="319" t="s">
        <v>173</v>
      </c>
      <c r="GY1041" s="319" t="s">
        <v>173</v>
      </c>
      <c r="GZ1041" s="319" t="s">
        <v>173</v>
      </c>
      <c r="HA1041" s="319" t="s">
        <v>173</v>
      </c>
      <c r="HB1041" s="319" t="s">
        <v>173</v>
      </c>
      <c r="HC1041" s="319" t="s">
        <v>173</v>
      </c>
      <c r="HD1041" s="319" t="s">
        <v>173</v>
      </c>
      <c r="HE1041" s="319" t="s">
        <v>173</v>
      </c>
      <c r="HF1041" s="319" t="s">
        <v>173</v>
      </c>
      <c r="HG1041" s="319" t="s">
        <v>173</v>
      </c>
      <c r="HH1041" s="319" t="s">
        <v>173</v>
      </c>
      <c r="HI1041" s="319" t="s">
        <v>173</v>
      </c>
      <c r="HJ1041" s="319" t="s">
        <v>173</v>
      </c>
      <c r="HK1041" s="319" t="s">
        <v>173</v>
      </c>
      <c r="HL1041" s="319" t="s">
        <v>173</v>
      </c>
      <c r="HM1041" s="319" t="s">
        <v>173</v>
      </c>
      <c r="HN1041" s="319" t="s">
        <v>173</v>
      </c>
      <c r="HO1041" s="319" t="s">
        <v>173</v>
      </c>
      <c r="HP1041" s="319" t="s">
        <v>173</v>
      </c>
      <c r="HQ1041" s="319" t="s">
        <v>173</v>
      </c>
      <c r="HR1041" s="319" t="s">
        <v>173</v>
      </c>
      <c r="HS1041" s="319" t="s">
        <v>173</v>
      </c>
      <c r="HT1041" s="319" t="s">
        <v>173</v>
      </c>
      <c r="HU1041" s="319" t="s">
        <v>173</v>
      </c>
      <c r="HV1041" s="319" t="s">
        <v>173</v>
      </c>
      <c r="HW1041" s="319" t="s">
        <v>173</v>
      </c>
      <c r="HX1041" s="319" t="s">
        <v>173</v>
      </c>
      <c r="HY1041" s="319" t="s">
        <v>173</v>
      </c>
      <c r="HZ1041" s="319" t="s">
        <v>173</v>
      </c>
      <c r="IA1041" s="319" t="s">
        <v>173</v>
      </c>
      <c r="IB1041" s="319" t="s">
        <v>173</v>
      </c>
      <c r="IC1041" s="319" t="s">
        <v>173</v>
      </c>
      <c r="ID1041" s="319" t="s">
        <v>173</v>
      </c>
      <c r="IE1041" s="319" t="s">
        <v>173</v>
      </c>
      <c r="IF1041" s="319" t="s">
        <v>173</v>
      </c>
      <c r="IG1041" s="319" t="s">
        <v>173</v>
      </c>
      <c r="IH1041" s="319" t="s">
        <v>173</v>
      </c>
      <c r="II1041" s="319" t="s">
        <v>173</v>
      </c>
      <c r="IJ1041" s="319" t="s">
        <v>173</v>
      </c>
      <c r="IK1041" s="319" t="s">
        <v>173</v>
      </c>
      <c r="IL1041" s="319" t="s">
        <v>173</v>
      </c>
      <c r="IM1041" s="319" t="s">
        <v>173</v>
      </c>
      <c r="IN1041" s="319" t="s">
        <v>173</v>
      </c>
      <c r="IO1041" s="319" t="s">
        <v>173</v>
      </c>
      <c r="IP1041" s="319" t="s">
        <v>173</v>
      </c>
      <c r="IQ1041" s="319" t="s">
        <v>173</v>
      </c>
      <c r="IR1041" s="320" t="s">
        <v>173</v>
      </c>
      <c r="IS1041" s="320" t="s">
        <v>173</v>
      </c>
      <c r="IT1041" s="319" t="s">
        <v>173</v>
      </c>
    </row>
    <row r="1042" spans="1:254" s="271" customFormat="1" x14ac:dyDescent="0.25">
      <c r="A1042" s="318" t="str">
        <f>HYPERLINK("http://www.ofsted.gov.uk/inspection-reports/find-inspection-report/provider/ELS/146733 ","Ofsted School Webpage")</f>
        <v>Ofsted School Webpage</v>
      </c>
      <c r="B1042" s="319">
        <v>146733</v>
      </c>
      <c r="C1042" s="319">
        <v>8086005</v>
      </c>
      <c r="D1042" s="319" t="s">
        <v>3590</v>
      </c>
      <c r="E1042" s="319" t="s">
        <v>168</v>
      </c>
      <c r="F1042" s="319" t="s">
        <v>434</v>
      </c>
      <c r="G1042" s="319" t="s">
        <v>81</v>
      </c>
      <c r="H1042" s="319" t="s">
        <v>81</v>
      </c>
      <c r="I1042" s="319" t="s">
        <v>78</v>
      </c>
      <c r="J1042" s="319" t="s">
        <v>424</v>
      </c>
      <c r="K1042" s="319" t="s">
        <v>458</v>
      </c>
      <c r="L1042" s="319" t="s">
        <v>474</v>
      </c>
      <c r="M1042" s="319" t="s">
        <v>1184</v>
      </c>
      <c r="N1042" s="319" t="s">
        <v>3591</v>
      </c>
      <c r="O1042" s="319" t="s">
        <v>3592</v>
      </c>
      <c r="P1042" s="319" t="s">
        <v>173</v>
      </c>
      <c r="Q1042" s="319" t="s">
        <v>429</v>
      </c>
      <c r="R1042" s="320" t="s">
        <v>173</v>
      </c>
      <c r="S1042" s="321" t="s">
        <v>173</v>
      </c>
      <c r="T1042" s="321" t="s">
        <v>173</v>
      </c>
      <c r="U1042" s="321" t="s">
        <v>173</v>
      </c>
      <c r="V1042" s="319" t="s">
        <v>173</v>
      </c>
      <c r="W1042" s="319" t="s">
        <v>173</v>
      </c>
      <c r="X1042" s="319" t="s">
        <v>173</v>
      </c>
      <c r="Y1042" s="319" t="s">
        <v>173</v>
      </c>
      <c r="Z1042" s="319" t="s">
        <v>173</v>
      </c>
      <c r="AA1042" s="319" t="s">
        <v>173</v>
      </c>
      <c r="AB1042" s="319" t="s">
        <v>173</v>
      </c>
      <c r="AC1042" s="319" t="s">
        <v>173</v>
      </c>
      <c r="AD1042" s="319" t="s">
        <v>173</v>
      </c>
      <c r="AE1042" s="319" t="s">
        <v>173</v>
      </c>
      <c r="AF1042" s="319" t="s">
        <v>173</v>
      </c>
      <c r="AG1042" s="319" t="s">
        <v>173</v>
      </c>
      <c r="AH1042" s="319" t="s">
        <v>173</v>
      </c>
      <c r="AI1042" s="319" t="s">
        <v>173</v>
      </c>
      <c r="AJ1042" s="319" t="s">
        <v>173</v>
      </c>
      <c r="AK1042" s="319" t="s">
        <v>173</v>
      </c>
      <c r="AL1042" s="319" t="s">
        <v>173</v>
      </c>
      <c r="AM1042" s="319" t="s">
        <v>173</v>
      </c>
      <c r="AN1042" s="319" t="s">
        <v>173</v>
      </c>
      <c r="AO1042" s="319" t="s">
        <v>173</v>
      </c>
      <c r="AP1042" s="319" t="s">
        <v>173</v>
      </c>
      <c r="AQ1042" s="319" t="s">
        <v>173</v>
      </c>
      <c r="AR1042" s="319" t="s">
        <v>173</v>
      </c>
      <c r="AS1042" s="319" t="s">
        <v>173</v>
      </c>
      <c r="AT1042" s="319" t="s">
        <v>173</v>
      </c>
      <c r="AU1042" s="319" t="s">
        <v>173</v>
      </c>
      <c r="AV1042" s="319" t="s">
        <v>173</v>
      </c>
      <c r="AW1042" s="319" t="s">
        <v>173</v>
      </c>
      <c r="AX1042" s="319" t="s">
        <v>173</v>
      </c>
      <c r="AY1042" s="319" t="s">
        <v>173</v>
      </c>
      <c r="AZ1042" s="319" t="s">
        <v>173</v>
      </c>
      <c r="BA1042" s="319" t="s">
        <v>173</v>
      </c>
      <c r="BB1042" s="319" t="s">
        <v>173</v>
      </c>
      <c r="BC1042" s="319" t="s">
        <v>173</v>
      </c>
      <c r="BD1042" s="319" t="s">
        <v>173</v>
      </c>
      <c r="BE1042" s="319" t="s">
        <v>173</v>
      </c>
      <c r="BF1042" s="319" t="s">
        <v>173</v>
      </c>
      <c r="BG1042" s="319" t="s">
        <v>173</v>
      </c>
      <c r="BH1042" s="319" t="s">
        <v>173</v>
      </c>
      <c r="BI1042" s="319" t="s">
        <v>173</v>
      </c>
      <c r="BJ1042" s="319" t="s">
        <v>173</v>
      </c>
      <c r="BK1042" s="319" t="s">
        <v>173</v>
      </c>
      <c r="BL1042" s="319" t="s">
        <v>173</v>
      </c>
      <c r="BM1042" s="319" t="s">
        <v>173</v>
      </c>
      <c r="BN1042" s="319" t="s">
        <v>173</v>
      </c>
      <c r="BO1042" s="319" t="s">
        <v>173</v>
      </c>
      <c r="BP1042" s="319" t="s">
        <v>173</v>
      </c>
      <c r="BQ1042" s="319" t="s">
        <v>173</v>
      </c>
      <c r="BR1042" s="319" t="s">
        <v>173</v>
      </c>
      <c r="BS1042" s="319" t="s">
        <v>173</v>
      </c>
      <c r="BT1042" s="319" t="s">
        <v>173</v>
      </c>
      <c r="BU1042" s="319" t="s">
        <v>173</v>
      </c>
      <c r="BV1042" s="319" t="s">
        <v>173</v>
      </c>
      <c r="BW1042" s="319" t="s">
        <v>173</v>
      </c>
      <c r="BX1042" s="319" t="s">
        <v>173</v>
      </c>
      <c r="BY1042" s="319" t="s">
        <v>173</v>
      </c>
      <c r="BZ1042" s="319" t="s">
        <v>173</v>
      </c>
      <c r="CA1042" s="319" t="s">
        <v>173</v>
      </c>
      <c r="CB1042" s="319" t="s">
        <v>173</v>
      </c>
      <c r="CC1042" s="319" t="s">
        <v>173</v>
      </c>
      <c r="CD1042" s="319" t="s">
        <v>173</v>
      </c>
      <c r="CE1042" s="319" t="s">
        <v>173</v>
      </c>
      <c r="CF1042" s="319" t="s">
        <v>173</v>
      </c>
      <c r="CG1042" s="319" t="s">
        <v>173</v>
      </c>
      <c r="CH1042" s="319" t="s">
        <v>173</v>
      </c>
      <c r="CI1042" s="319" t="s">
        <v>173</v>
      </c>
      <c r="CJ1042" s="319" t="s">
        <v>173</v>
      </c>
      <c r="CK1042" s="319" t="s">
        <v>173</v>
      </c>
      <c r="CL1042" s="319" t="s">
        <v>173</v>
      </c>
      <c r="CM1042" s="319" t="s">
        <v>173</v>
      </c>
      <c r="CN1042" s="319" t="s">
        <v>173</v>
      </c>
      <c r="CO1042" s="319" t="s">
        <v>173</v>
      </c>
      <c r="CP1042" s="319" t="s">
        <v>173</v>
      </c>
      <c r="CQ1042" s="319" t="s">
        <v>173</v>
      </c>
      <c r="CR1042" s="319" t="s">
        <v>173</v>
      </c>
      <c r="CS1042" s="319" t="s">
        <v>173</v>
      </c>
      <c r="CT1042" s="319" t="s">
        <v>173</v>
      </c>
      <c r="CU1042" s="319" t="s">
        <v>173</v>
      </c>
      <c r="CV1042" s="319" t="s">
        <v>173</v>
      </c>
      <c r="CW1042" s="319" t="s">
        <v>173</v>
      </c>
      <c r="CX1042" s="319" t="s">
        <v>173</v>
      </c>
      <c r="CY1042" s="319" t="s">
        <v>173</v>
      </c>
      <c r="CZ1042" s="319" t="s">
        <v>173</v>
      </c>
      <c r="DA1042" s="319" t="s">
        <v>173</v>
      </c>
      <c r="DB1042" s="319" t="s">
        <v>173</v>
      </c>
      <c r="DC1042" s="319" t="s">
        <v>173</v>
      </c>
      <c r="DD1042" s="319" t="s">
        <v>173</v>
      </c>
      <c r="DE1042" s="319" t="s">
        <v>173</v>
      </c>
      <c r="DF1042" s="319" t="s">
        <v>173</v>
      </c>
      <c r="DG1042" s="319" t="s">
        <v>173</v>
      </c>
      <c r="DH1042" s="319" t="s">
        <v>173</v>
      </c>
      <c r="DI1042" s="319" t="s">
        <v>173</v>
      </c>
      <c r="DJ1042" s="319" t="s">
        <v>173</v>
      </c>
      <c r="DK1042" s="319" t="s">
        <v>173</v>
      </c>
      <c r="DL1042" s="319" t="s">
        <v>173</v>
      </c>
      <c r="DM1042" s="319" t="s">
        <v>173</v>
      </c>
      <c r="DN1042" s="319" t="s">
        <v>173</v>
      </c>
      <c r="DO1042" s="319" t="s">
        <v>173</v>
      </c>
      <c r="DP1042" s="319" t="s">
        <v>173</v>
      </c>
      <c r="DQ1042" s="319" t="s">
        <v>173</v>
      </c>
      <c r="DR1042" s="319" t="s">
        <v>173</v>
      </c>
      <c r="DS1042" s="319" t="s">
        <v>173</v>
      </c>
      <c r="DT1042" s="319" t="s">
        <v>173</v>
      </c>
      <c r="DU1042" s="319" t="s">
        <v>173</v>
      </c>
      <c r="DV1042" s="319" t="s">
        <v>173</v>
      </c>
      <c r="DW1042" s="319" t="s">
        <v>173</v>
      </c>
      <c r="DX1042" s="319" t="s">
        <v>173</v>
      </c>
      <c r="DY1042" s="319" t="s">
        <v>173</v>
      </c>
      <c r="DZ1042" s="319" t="s">
        <v>173</v>
      </c>
      <c r="EA1042" s="319" t="s">
        <v>173</v>
      </c>
      <c r="EB1042" s="319" t="s">
        <v>173</v>
      </c>
      <c r="EC1042" s="319" t="s">
        <v>173</v>
      </c>
      <c r="ED1042" s="319" t="s">
        <v>173</v>
      </c>
      <c r="EE1042" s="319" t="s">
        <v>173</v>
      </c>
      <c r="EF1042" s="319" t="s">
        <v>173</v>
      </c>
      <c r="EG1042" s="319" t="s">
        <v>173</v>
      </c>
      <c r="EH1042" s="319" t="s">
        <v>173</v>
      </c>
      <c r="EI1042" s="319" t="s">
        <v>173</v>
      </c>
      <c r="EJ1042" s="319" t="s">
        <v>173</v>
      </c>
      <c r="EK1042" s="319" t="s">
        <v>173</v>
      </c>
      <c r="EL1042" s="319" t="s">
        <v>173</v>
      </c>
      <c r="EM1042" s="319" t="s">
        <v>173</v>
      </c>
      <c r="EN1042" s="319" t="s">
        <v>173</v>
      </c>
      <c r="EO1042" s="319" t="s">
        <v>173</v>
      </c>
      <c r="EP1042" s="319" t="s">
        <v>173</v>
      </c>
      <c r="EQ1042" s="319" t="s">
        <v>173</v>
      </c>
      <c r="ER1042" s="319" t="s">
        <v>173</v>
      </c>
      <c r="ES1042" s="319" t="s">
        <v>173</v>
      </c>
      <c r="ET1042" s="319" t="s">
        <v>173</v>
      </c>
      <c r="EU1042" s="319" t="s">
        <v>173</v>
      </c>
      <c r="EV1042" s="319" t="s">
        <v>173</v>
      </c>
      <c r="EW1042" s="319" t="s">
        <v>173</v>
      </c>
      <c r="EX1042" s="319" t="s">
        <v>173</v>
      </c>
      <c r="EY1042" s="319" t="s">
        <v>173</v>
      </c>
      <c r="EZ1042" s="319" t="s">
        <v>173</v>
      </c>
      <c r="FA1042" s="319" t="s">
        <v>173</v>
      </c>
      <c r="FB1042" s="319" t="s">
        <v>173</v>
      </c>
      <c r="FC1042" s="319" t="s">
        <v>173</v>
      </c>
      <c r="FD1042" s="319" t="s">
        <v>173</v>
      </c>
      <c r="FE1042" s="319" t="s">
        <v>173</v>
      </c>
      <c r="FF1042" s="319" t="s">
        <v>173</v>
      </c>
      <c r="FG1042" s="319" t="s">
        <v>173</v>
      </c>
      <c r="FH1042" s="319" t="s">
        <v>173</v>
      </c>
      <c r="FI1042" s="319" t="s">
        <v>173</v>
      </c>
      <c r="FJ1042" s="319" t="s">
        <v>173</v>
      </c>
      <c r="FK1042" s="319" t="s">
        <v>173</v>
      </c>
      <c r="FL1042" s="319" t="s">
        <v>173</v>
      </c>
      <c r="FM1042" s="319" t="s">
        <v>173</v>
      </c>
      <c r="FN1042" s="319" t="s">
        <v>173</v>
      </c>
      <c r="FO1042" s="319" t="s">
        <v>173</v>
      </c>
      <c r="FP1042" s="319" t="s">
        <v>173</v>
      </c>
      <c r="FQ1042" s="319" t="s">
        <v>173</v>
      </c>
      <c r="FR1042" s="319" t="s">
        <v>173</v>
      </c>
      <c r="FS1042" s="319" t="s">
        <v>173</v>
      </c>
      <c r="FT1042" s="319" t="s">
        <v>173</v>
      </c>
      <c r="FU1042" s="319" t="s">
        <v>173</v>
      </c>
      <c r="FV1042" s="319" t="s">
        <v>173</v>
      </c>
      <c r="FW1042" s="319" t="s">
        <v>173</v>
      </c>
      <c r="FX1042" s="319" t="s">
        <v>173</v>
      </c>
      <c r="FY1042" s="319" t="s">
        <v>173</v>
      </c>
      <c r="FZ1042" s="319" t="s">
        <v>173</v>
      </c>
      <c r="GA1042" s="319" t="s">
        <v>173</v>
      </c>
      <c r="GB1042" s="319" t="s">
        <v>173</v>
      </c>
      <c r="GC1042" s="319" t="s">
        <v>173</v>
      </c>
      <c r="GD1042" s="319" t="s">
        <v>173</v>
      </c>
      <c r="GE1042" s="319" t="s">
        <v>173</v>
      </c>
      <c r="GF1042" s="319" t="s">
        <v>173</v>
      </c>
      <c r="GG1042" s="319" t="s">
        <v>173</v>
      </c>
      <c r="GH1042" s="319" t="s">
        <v>173</v>
      </c>
      <c r="GI1042" s="319" t="s">
        <v>173</v>
      </c>
      <c r="GJ1042" s="319" t="s">
        <v>173</v>
      </c>
      <c r="GK1042" s="319" t="s">
        <v>173</v>
      </c>
      <c r="GL1042" s="319" t="s">
        <v>173</v>
      </c>
      <c r="GM1042" s="319" t="s">
        <v>173</v>
      </c>
      <c r="GN1042" s="319" t="s">
        <v>173</v>
      </c>
      <c r="GO1042" s="319" t="s">
        <v>173</v>
      </c>
      <c r="GP1042" s="319" t="s">
        <v>173</v>
      </c>
      <c r="GQ1042" s="319" t="s">
        <v>173</v>
      </c>
      <c r="GR1042" s="319" t="s">
        <v>173</v>
      </c>
      <c r="GS1042" s="319" t="s">
        <v>173</v>
      </c>
      <c r="GT1042" s="319" t="s">
        <v>173</v>
      </c>
      <c r="GU1042" s="319" t="s">
        <v>173</v>
      </c>
      <c r="GV1042" s="319" t="s">
        <v>173</v>
      </c>
      <c r="GW1042" s="319" t="s">
        <v>173</v>
      </c>
      <c r="GX1042" s="319" t="s">
        <v>173</v>
      </c>
      <c r="GY1042" s="319" t="s">
        <v>173</v>
      </c>
      <c r="GZ1042" s="319" t="s">
        <v>173</v>
      </c>
      <c r="HA1042" s="319" t="s">
        <v>173</v>
      </c>
      <c r="HB1042" s="319" t="s">
        <v>173</v>
      </c>
      <c r="HC1042" s="319" t="s">
        <v>173</v>
      </c>
      <c r="HD1042" s="319" t="s">
        <v>173</v>
      </c>
      <c r="HE1042" s="319" t="s">
        <v>173</v>
      </c>
      <c r="HF1042" s="319" t="s">
        <v>173</v>
      </c>
      <c r="HG1042" s="319" t="s">
        <v>173</v>
      </c>
      <c r="HH1042" s="319" t="s">
        <v>173</v>
      </c>
      <c r="HI1042" s="319" t="s">
        <v>173</v>
      </c>
      <c r="HJ1042" s="319" t="s">
        <v>173</v>
      </c>
      <c r="HK1042" s="319" t="s">
        <v>173</v>
      </c>
      <c r="HL1042" s="319" t="s">
        <v>173</v>
      </c>
      <c r="HM1042" s="319" t="s">
        <v>173</v>
      </c>
      <c r="HN1042" s="319" t="s">
        <v>173</v>
      </c>
      <c r="HO1042" s="319" t="s">
        <v>173</v>
      </c>
      <c r="HP1042" s="319" t="s">
        <v>173</v>
      </c>
      <c r="HQ1042" s="319" t="s">
        <v>173</v>
      </c>
      <c r="HR1042" s="319" t="s">
        <v>173</v>
      </c>
      <c r="HS1042" s="319" t="s">
        <v>173</v>
      </c>
      <c r="HT1042" s="319" t="s">
        <v>173</v>
      </c>
      <c r="HU1042" s="319" t="s">
        <v>173</v>
      </c>
      <c r="HV1042" s="319" t="s">
        <v>173</v>
      </c>
      <c r="HW1042" s="319" t="s">
        <v>173</v>
      </c>
      <c r="HX1042" s="319" t="s">
        <v>173</v>
      </c>
      <c r="HY1042" s="319" t="s">
        <v>173</v>
      </c>
      <c r="HZ1042" s="319" t="s">
        <v>173</v>
      </c>
      <c r="IA1042" s="319" t="s">
        <v>173</v>
      </c>
      <c r="IB1042" s="319" t="s">
        <v>173</v>
      </c>
      <c r="IC1042" s="319" t="s">
        <v>173</v>
      </c>
      <c r="ID1042" s="319" t="s">
        <v>173</v>
      </c>
      <c r="IE1042" s="319" t="s">
        <v>173</v>
      </c>
      <c r="IF1042" s="319" t="s">
        <v>173</v>
      </c>
      <c r="IG1042" s="319" t="s">
        <v>173</v>
      </c>
      <c r="IH1042" s="319" t="s">
        <v>173</v>
      </c>
      <c r="II1042" s="319" t="s">
        <v>173</v>
      </c>
      <c r="IJ1042" s="319" t="s">
        <v>173</v>
      </c>
      <c r="IK1042" s="319" t="s">
        <v>173</v>
      </c>
      <c r="IL1042" s="319" t="s">
        <v>173</v>
      </c>
      <c r="IM1042" s="319" t="s">
        <v>173</v>
      </c>
      <c r="IN1042" s="319" t="s">
        <v>173</v>
      </c>
      <c r="IO1042" s="319" t="s">
        <v>173</v>
      </c>
      <c r="IP1042" s="319" t="s">
        <v>173</v>
      </c>
      <c r="IQ1042" s="321" t="s">
        <v>173</v>
      </c>
      <c r="IR1042" s="320" t="s">
        <v>173</v>
      </c>
      <c r="IS1042" s="322" t="s">
        <v>173</v>
      </c>
      <c r="IT1042" s="319" t="s">
        <v>173</v>
      </c>
    </row>
    <row r="1043" spans="1:254" s="271" customFormat="1" x14ac:dyDescent="0.25">
      <c r="A1043" s="318" t="str">
        <f>HYPERLINK("http://www.ofsted.gov.uk/inspection-reports/find-inspection-report/provider/ELS/146736 ","Ofsted School Webpage")</f>
        <v>Ofsted School Webpage</v>
      </c>
      <c r="B1043" s="319">
        <v>146736</v>
      </c>
      <c r="C1043" s="319">
        <v>8866153</v>
      </c>
      <c r="D1043" s="319" t="s">
        <v>2579</v>
      </c>
      <c r="E1043" s="319" t="s">
        <v>167</v>
      </c>
      <c r="F1043" s="319" t="s">
        <v>434</v>
      </c>
      <c r="G1043" s="319" t="s">
        <v>81</v>
      </c>
      <c r="H1043" s="319" t="s">
        <v>81</v>
      </c>
      <c r="I1043" s="319" t="s">
        <v>78</v>
      </c>
      <c r="J1043" s="319" t="s">
        <v>424</v>
      </c>
      <c r="K1043" s="319" t="s">
        <v>514</v>
      </c>
      <c r="L1043" s="319" t="s">
        <v>514</v>
      </c>
      <c r="M1043" s="319" t="s">
        <v>614</v>
      </c>
      <c r="N1043" s="319" t="s">
        <v>2984</v>
      </c>
      <c r="O1043" s="319" t="s">
        <v>2580</v>
      </c>
      <c r="P1043" s="319">
        <v>20</v>
      </c>
      <c r="Q1043" s="319" t="s">
        <v>2776</v>
      </c>
      <c r="R1043" s="320">
        <v>10100152</v>
      </c>
      <c r="S1043" s="321">
        <v>43655</v>
      </c>
      <c r="T1043" s="321">
        <v>43657</v>
      </c>
      <c r="U1043" s="321">
        <v>43675</v>
      </c>
      <c r="V1043" s="319" t="s">
        <v>435</v>
      </c>
      <c r="W1043" s="319" t="s">
        <v>2767</v>
      </c>
      <c r="X1043" s="319">
        <v>2</v>
      </c>
      <c r="Y1043" s="319" t="s">
        <v>173</v>
      </c>
      <c r="Z1043" s="319" t="s">
        <v>173</v>
      </c>
      <c r="AA1043" s="319" t="s">
        <v>173</v>
      </c>
      <c r="AB1043" s="319">
        <v>2</v>
      </c>
      <c r="AC1043" s="319" t="s">
        <v>169</v>
      </c>
      <c r="AD1043" s="319" t="s">
        <v>173</v>
      </c>
      <c r="AE1043" s="319" t="s">
        <v>173</v>
      </c>
      <c r="AF1043" s="319" t="s">
        <v>427</v>
      </c>
      <c r="AG1043" s="319" t="s">
        <v>171</v>
      </c>
      <c r="AH1043" s="319" t="s">
        <v>190</v>
      </c>
      <c r="AI1043" s="319" t="s">
        <v>190</v>
      </c>
      <c r="AJ1043" s="319" t="s">
        <v>190</v>
      </c>
      <c r="AK1043" s="319" t="s">
        <v>190</v>
      </c>
      <c r="AL1043" s="319" t="s">
        <v>190</v>
      </c>
      <c r="AM1043" s="319" t="s">
        <v>190</v>
      </c>
      <c r="AN1043" s="319" t="s">
        <v>190</v>
      </c>
      <c r="AO1043" s="319" t="s">
        <v>190</v>
      </c>
      <c r="AP1043" s="319" t="s">
        <v>190</v>
      </c>
      <c r="AQ1043" s="319" t="s">
        <v>190</v>
      </c>
      <c r="AR1043" s="319" t="s">
        <v>190</v>
      </c>
      <c r="AS1043" s="319" t="s">
        <v>190</v>
      </c>
      <c r="AT1043" s="319" t="s">
        <v>190</v>
      </c>
      <c r="AU1043" s="319" t="s">
        <v>190</v>
      </c>
      <c r="AV1043" s="319" t="s">
        <v>190</v>
      </c>
      <c r="AW1043" s="319" t="s">
        <v>190</v>
      </c>
      <c r="AX1043" s="319" t="s">
        <v>428</v>
      </c>
      <c r="AY1043" s="319" t="s">
        <v>190</v>
      </c>
      <c r="AZ1043" s="319" t="s">
        <v>190</v>
      </c>
      <c r="BA1043" s="319" t="s">
        <v>190</v>
      </c>
      <c r="BB1043" s="319" t="s">
        <v>190</v>
      </c>
      <c r="BC1043" s="319" t="s">
        <v>190</v>
      </c>
      <c r="BD1043" s="319" t="s">
        <v>190</v>
      </c>
      <c r="BE1043" s="319" t="s">
        <v>190</v>
      </c>
      <c r="BF1043" s="319" t="s">
        <v>428</v>
      </c>
      <c r="BG1043" s="319" t="s">
        <v>428</v>
      </c>
      <c r="BH1043" s="319" t="s">
        <v>190</v>
      </c>
      <c r="BI1043" s="319" t="s">
        <v>190</v>
      </c>
      <c r="BJ1043" s="319" t="s">
        <v>190</v>
      </c>
      <c r="BK1043" s="319" t="s">
        <v>190</v>
      </c>
      <c r="BL1043" s="319" t="s">
        <v>190</v>
      </c>
      <c r="BM1043" s="319" t="s">
        <v>190</v>
      </c>
      <c r="BN1043" s="319" t="s">
        <v>190</v>
      </c>
      <c r="BO1043" s="319" t="s">
        <v>190</v>
      </c>
      <c r="BP1043" s="319" t="s">
        <v>190</v>
      </c>
      <c r="BQ1043" s="319" t="s">
        <v>190</v>
      </c>
      <c r="BR1043" s="319" t="s">
        <v>190</v>
      </c>
      <c r="BS1043" s="319" t="s">
        <v>190</v>
      </c>
      <c r="BT1043" s="319" t="s">
        <v>190</v>
      </c>
      <c r="BU1043" s="319" t="s">
        <v>190</v>
      </c>
      <c r="BV1043" s="319" t="s">
        <v>190</v>
      </c>
      <c r="BW1043" s="319" t="s">
        <v>190</v>
      </c>
      <c r="BX1043" s="319" t="s">
        <v>190</v>
      </c>
      <c r="BY1043" s="319" t="s">
        <v>190</v>
      </c>
      <c r="BZ1043" s="319" t="s">
        <v>190</v>
      </c>
      <c r="CA1043" s="319" t="s">
        <v>190</v>
      </c>
      <c r="CB1043" s="319" t="s">
        <v>190</v>
      </c>
      <c r="CC1043" s="319" t="s">
        <v>190</v>
      </c>
      <c r="CD1043" s="319" t="s">
        <v>190</v>
      </c>
      <c r="CE1043" s="319" t="s">
        <v>190</v>
      </c>
      <c r="CF1043" s="319" t="s">
        <v>190</v>
      </c>
      <c r="CG1043" s="319" t="s">
        <v>190</v>
      </c>
      <c r="CH1043" s="319" t="s">
        <v>190</v>
      </c>
      <c r="CI1043" s="319" t="s">
        <v>190</v>
      </c>
      <c r="CJ1043" s="319" t="s">
        <v>190</v>
      </c>
      <c r="CK1043" s="319" t="s">
        <v>190</v>
      </c>
      <c r="CL1043" s="319" t="s">
        <v>190</v>
      </c>
      <c r="CM1043" s="319" t="s">
        <v>190</v>
      </c>
      <c r="CN1043" s="319" t="s">
        <v>428</v>
      </c>
      <c r="CO1043" s="319" t="s">
        <v>428</v>
      </c>
      <c r="CP1043" s="319" t="s">
        <v>428</v>
      </c>
      <c r="CQ1043" s="319" t="s">
        <v>190</v>
      </c>
      <c r="CR1043" s="319" t="s">
        <v>190</v>
      </c>
      <c r="CS1043" s="319" t="s">
        <v>190</v>
      </c>
      <c r="CT1043" s="319" t="s">
        <v>190</v>
      </c>
      <c r="CU1043" s="319" t="s">
        <v>190</v>
      </c>
      <c r="CV1043" s="319" t="s">
        <v>190</v>
      </c>
      <c r="CW1043" s="319" t="s">
        <v>190</v>
      </c>
      <c r="CX1043" s="319" t="s">
        <v>190</v>
      </c>
      <c r="CY1043" s="319" t="s">
        <v>190</v>
      </c>
      <c r="CZ1043" s="319" t="s">
        <v>190</v>
      </c>
      <c r="DA1043" s="319" t="s">
        <v>190</v>
      </c>
      <c r="DB1043" s="319" t="s">
        <v>190</v>
      </c>
      <c r="DC1043" s="319" t="s">
        <v>190</v>
      </c>
      <c r="DD1043" s="319" t="s">
        <v>190</v>
      </c>
      <c r="DE1043" s="319" t="s">
        <v>190</v>
      </c>
      <c r="DF1043" s="319" t="s">
        <v>190</v>
      </c>
      <c r="DG1043" s="319" t="s">
        <v>190</v>
      </c>
      <c r="DH1043" s="319" t="s">
        <v>190</v>
      </c>
      <c r="DI1043" s="319" t="s">
        <v>190</v>
      </c>
      <c r="DJ1043" s="319" t="s">
        <v>190</v>
      </c>
      <c r="DK1043" s="319" t="s">
        <v>190</v>
      </c>
      <c r="DL1043" s="319" t="s">
        <v>190</v>
      </c>
      <c r="DM1043" s="319" t="s">
        <v>190</v>
      </c>
      <c r="DN1043" s="319" t="s">
        <v>428</v>
      </c>
      <c r="DO1043" s="319" t="s">
        <v>190</v>
      </c>
      <c r="DP1043" s="319" t="s">
        <v>190</v>
      </c>
      <c r="DQ1043" s="319" t="s">
        <v>190</v>
      </c>
      <c r="DR1043" s="319" t="s">
        <v>190</v>
      </c>
      <c r="DS1043" s="319" t="s">
        <v>190</v>
      </c>
      <c r="DT1043" s="319" t="s">
        <v>190</v>
      </c>
      <c r="DU1043" s="319" t="s">
        <v>190</v>
      </c>
      <c r="DV1043" s="319" t="s">
        <v>173</v>
      </c>
      <c r="DW1043" s="319" t="s">
        <v>190</v>
      </c>
      <c r="DX1043" s="319" t="s">
        <v>190</v>
      </c>
      <c r="DY1043" s="319" t="s">
        <v>190</v>
      </c>
      <c r="DZ1043" s="319" t="s">
        <v>190</v>
      </c>
      <c r="EA1043" s="319" t="s">
        <v>190</v>
      </c>
      <c r="EB1043" s="319" t="s">
        <v>190</v>
      </c>
      <c r="EC1043" s="319" t="s">
        <v>428</v>
      </c>
      <c r="ED1043" s="319" t="s">
        <v>190</v>
      </c>
      <c r="EE1043" s="319" t="s">
        <v>190</v>
      </c>
      <c r="EF1043" s="319" t="s">
        <v>190</v>
      </c>
      <c r="EG1043" s="319" t="s">
        <v>190</v>
      </c>
      <c r="EH1043" s="319" t="s">
        <v>190</v>
      </c>
      <c r="EI1043" s="319" t="s">
        <v>190</v>
      </c>
      <c r="EJ1043" s="319" t="s">
        <v>190</v>
      </c>
      <c r="EK1043" s="319" t="s">
        <v>190</v>
      </c>
      <c r="EL1043" s="319" t="s">
        <v>428</v>
      </c>
      <c r="EM1043" s="319" t="s">
        <v>428</v>
      </c>
      <c r="EN1043" s="319" t="s">
        <v>190</v>
      </c>
      <c r="EO1043" s="319" t="s">
        <v>190</v>
      </c>
      <c r="EP1043" s="319" t="s">
        <v>190</v>
      </c>
      <c r="EQ1043" s="319" t="s">
        <v>190</v>
      </c>
      <c r="ER1043" s="319" t="s">
        <v>190</v>
      </c>
      <c r="ES1043" s="319" t="s">
        <v>190</v>
      </c>
      <c r="ET1043" s="319" t="s">
        <v>190</v>
      </c>
      <c r="EU1043" s="319" t="s">
        <v>190</v>
      </c>
      <c r="EV1043" s="319" t="s">
        <v>190</v>
      </c>
      <c r="EW1043" s="319" t="s">
        <v>190</v>
      </c>
      <c r="EX1043" s="319" t="s">
        <v>190</v>
      </c>
      <c r="EY1043" s="319" t="s">
        <v>190</v>
      </c>
      <c r="EZ1043" s="319" t="s">
        <v>190</v>
      </c>
      <c r="FA1043" s="319" t="s">
        <v>428</v>
      </c>
      <c r="FB1043" s="319" t="s">
        <v>190</v>
      </c>
      <c r="FC1043" s="319" t="s">
        <v>190</v>
      </c>
      <c r="FD1043" s="319" t="s">
        <v>190</v>
      </c>
      <c r="FE1043" s="319" t="s">
        <v>190</v>
      </c>
      <c r="FF1043" s="319" t="s">
        <v>190</v>
      </c>
      <c r="FG1043" s="319" t="s">
        <v>190</v>
      </c>
      <c r="FH1043" s="319" t="s">
        <v>190</v>
      </c>
      <c r="FI1043" s="319" t="s">
        <v>428</v>
      </c>
      <c r="FJ1043" s="319" t="s">
        <v>429</v>
      </c>
      <c r="FK1043" s="319" t="s">
        <v>428</v>
      </c>
      <c r="FL1043" s="319" t="s">
        <v>190</v>
      </c>
      <c r="FM1043" s="319" t="s">
        <v>190</v>
      </c>
      <c r="FN1043" s="319" t="s">
        <v>190</v>
      </c>
      <c r="FO1043" s="319" t="s">
        <v>190</v>
      </c>
      <c r="FP1043" s="319" t="s">
        <v>190</v>
      </c>
      <c r="FQ1043" s="319" t="s">
        <v>190</v>
      </c>
      <c r="FR1043" s="319" t="s">
        <v>190</v>
      </c>
      <c r="FS1043" s="319" t="s">
        <v>428</v>
      </c>
      <c r="FT1043" s="319" t="s">
        <v>190</v>
      </c>
      <c r="FU1043" s="319" t="s">
        <v>190</v>
      </c>
      <c r="FV1043" s="319" t="s">
        <v>190</v>
      </c>
      <c r="FW1043" s="319" t="s">
        <v>190</v>
      </c>
      <c r="FX1043" s="319" t="s">
        <v>190</v>
      </c>
      <c r="FY1043" s="319" t="s">
        <v>190</v>
      </c>
      <c r="FZ1043" s="319" t="s">
        <v>190</v>
      </c>
      <c r="GA1043" s="319" t="s">
        <v>190</v>
      </c>
      <c r="GB1043" s="319" t="s">
        <v>190</v>
      </c>
      <c r="GC1043" s="319" t="s">
        <v>190</v>
      </c>
      <c r="GD1043" s="319" t="s">
        <v>190</v>
      </c>
      <c r="GE1043" s="319" t="s">
        <v>190</v>
      </c>
      <c r="GF1043" s="319" t="s">
        <v>190</v>
      </c>
      <c r="GG1043" s="319" t="s">
        <v>190</v>
      </c>
      <c r="GH1043" s="319" t="s">
        <v>190</v>
      </c>
      <c r="GI1043" s="319" t="s">
        <v>190</v>
      </c>
      <c r="GJ1043" s="319" t="s">
        <v>190</v>
      </c>
      <c r="GK1043" s="319" t="s">
        <v>428</v>
      </c>
      <c r="GL1043" s="319" t="s">
        <v>190</v>
      </c>
      <c r="GM1043" s="319" t="s">
        <v>190</v>
      </c>
      <c r="GN1043" s="319" t="s">
        <v>190</v>
      </c>
      <c r="GO1043" s="319" t="s">
        <v>190</v>
      </c>
      <c r="GP1043" s="319" t="s">
        <v>428</v>
      </c>
      <c r="GQ1043" s="319" t="s">
        <v>428</v>
      </c>
      <c r="GR1043" s="319" t="s">
        <v>190</v>
      </c>
      <c r="GS1043" s="319" t="s">
        <v>190</v>
      </c>
      <c r="GT1043" s="319" t="s">
        <v>190</v>
      </c>
      <c r="GU1043" s="319" t="s">
        <v>190</v>
      </c>
      <c r="GV1043" s="319" t="s">
        <v>190</v>
      </c>
      <c r="GW1043" s="319" t="s">
        <v>190</v>
      </c>
      <c r="GX1043" s="319" t="s">
        <v>190</v>
      </c>
      <c r="GY1043" s="319" t="s">
        <v>190</v>
      </c>
      <c r="GZ1043" s="319" t="s">
        <v>428</v>
      </c>
      <c r="HA1043" s="319" t="s">
        <v>190</v>
      </c>
      <c r="HB1043" s="319" t="s">
        <v>428</v>
      </c>
      <c r="HC1043" s="319" t="s">
        <v>190</v>
      </c>
      <c r="HD1043" s="319" t="s">
        <v>190</v>
      </c>
      <c r="HE1043" s="319" t="s">
        <v>190</v>
      </c>
      <c r="HF1043" s="319" t="s">
        <v>190</v>
      </c>
      <c r="HG1043" s="319" t="s">
        <v>190</v>
      </c>
      <c r="HH1043" s="319" t="s">
        <v>190</v>
      </c>
      <c r="HI1043" s="319" t="s">
        <v>428</v>
      </c>
      <c r="HJ1043" s="319" t="s">
        <v>190</v>
      </c>
      <c r="HK1043" s="319" t="s">
        <v>428</v>
      </c>
      <c r="HL1043" s="319" t="s">
        <v>428</v>
      </c>
      <c r="HM1043" s="319" t="s">
        <v>428</v>
      </c>
      <c r="HN1043" s="319" t="s">
        <v>428</v>
      </c>
      <c r="HO1043" s="319" t="s">
        <v>428</v>
      </c>
      <c r="HP1043" s="319" t="s">
        <v>190</v>
      </c>
      <c r="HQ1043" s="319" t="s">
        <v>190</v>
      </c>
      <c r="HR1043" s="319" t="s">
        <v>190</v>
      </c>
      <c r="HS1043" s="319" t="s">
        <v>190</v>
      </c>
      <c r="HT1043" s="319" t="s">
        <v>190</v>
      </c>
      <c r="HU1043" s="319" t="s">
        <v>190</v>
      </c>
      <c r="HV1043" s="319" t="s">
        <v>190</v>
      </c>
      <c r="HW1043" s="319" t="s">
        <v>190</v>
      </c>
      <c r="HX1043" s="319" t="s">
        <v>190</v>
      </c>
      <c r="HY1043" s="319" t="s">
        <v>190</v>
      </c>
      <c r="HZ1043" s="319" t="s">
        <v>190</v>
      </c>
      <c r="IA1043" s="319" t="s">
        <v>190</v>
      </c>
      <c r="IB1043" s="319" t="s">
        <v>190</v>
      </c>
      <c r="IC1043" s="319" t="s">
        <v>190</v>
      </c>
      <c r="ID1043" s="319" t="s">
        <v>190</v>
      </c>
      <c r="IE1043" s="319" t="s">
        <v>190</v>
      </c>
      <c r="IF1043" s="319" t="s">
        <v>190</v>
      </c>
      <c r="IG1043" s="319" t="s">
        <v>190</v>
      </c>
      <c r="IH1043" s="319" t="s">
        <v>190</v>
      </c>
      <c r="II1043" s="319" t="s">
        <v>190</v>
      </c>
      <c r="IJ1043" s="319" t="s">
        <v>173</v>
      </c>
      <c r="IK1043" s="319" t="s">
        <v>173</v>
      </c>
      <c r="IL1043" s="319" t="s">
        <v>173</v>
      </c>
      <c r="IM1043" s="319" t="s">
        <v>173</v>
      </c>
      <c r="IN1043" s="319" t="s">
        <v>173</v>
      </c>
      <c r="IO1043" s="319" t="s">
        <v>173</v>
      </c>
      <c r="IP1043" s="319" t="s">
        <v>173</v>
      </c>
      <c r="IQ1043" s="319" t="s">
        <v>173</v>
      </c>
      <c r="IR1043" s="320" t="s">
        <v>173</v>
      </c>
      <c r="IS1043" s="320" t="s">
        <v>173</v>
      </c>
      <c r="IT1043" s="319" t="s">
        <v>173</v>
      </c>
    </row>
    <row r="1044" spans="1:254" s="271" customFormat="1" x14ac:dyDescent="0.25">
      <c r="A1044" s="318" t="str">
        <f>HYPERLINK("http://www.ofsted.gov.uk/inspection-reports/find-inspection-report/provider/ELS/146773 ","Ofsted School Webpage")</f>
        <v>Ofsted School Webpage</v>
      </c>
      <c r="B1044" s="319">
        <v>146773</v>
      </c>
      <c r="C1044" s="319">
        <v>3536006</v>
      </c>
      <c r="D1044" s="319" t="s">
        <v>2581</v>
      </c>
      <c r="E1044" s="319" t="s">
        <v>167</v>
      </c>
      <c r="F1044" s="319" t="s">
        <v>434</v>
      </c>
      <c r="G1044" s="319" t="s">
        <v>81</v>
      </c>
      <c r="H1044" s="319" t="s">
        <v>81</v>
      </c>
      <c r="I1044" s="319" t="s">
        <v>78</v>
      </c>
      <c r="J1044" s="319" t="s">
        <v>424</v>
      </c>
      <c r="K1044" s="319" t="s">
        <v>431</v>
      </c>
      <c r="L1044" s="319" t="s">
        <v>431</v>
      </c>
      <c r="M1044" s="319" t="s">
        <v>784</v>
      </c>
      <c r="N1044" s="319" t="s">
        <v>3073</v>
      </c>
      <c r="O1044" s="319" t="s">
        <v>2582</v>
      </c>
      <c r="P1044" s="319" t="s">
        <v>173</v>
      </c>
      <c r="Q1044" s="319" t="s">
        <v>2766</v>
      </c>
      <c r="R1044" s="320" t="s">
        <v>173</v>
      </c>
      <c r="S1044" s="321" t="s">
        <v>173</v>
      </c>
      <c r="T1044" s="321" t="s">
        <v>173</v>
      </c>
      <c r="U1044" s="321" t="s">
        <v>173</v>
      </c>
      <c r="V1044" s="319" t="s">
        <v>173</v>
      </c>
      <c r="W1044" s="319" t="s">
        <v>173</v>
      </c>
      <c r="X1044" s="319" t="s">
        <v>173</v>
      </c>
      <c r="Y1044" s="319" t="s">
        <v>173</v>
      </c>
      <c r="Z1044" s="319" t="s">
        <v>173</v>
      </c>
      <c r="AA1044" s="319" t="s">
        <v>173</v>
      </c>
      <c r="AB1044" s="319" t="s">
        <v>173</v>
      </c>
      <c r="AC1044" s="319" t="s">
        <v>173</v>
      </c>
      <c r="AD1044" s="319" t="s">
        <v>173</v>
      </c>
      <c r="AE1044" s="319" t="s">
        <v>173</v>
      </c>
      <c r="AF1044" s="319" t="s">
        <v>173</v>
      </c>
      <c r="AG1044" s="319" t="s">
        <v>173</v>
      </c>
      <c r="AH1044" s="319" t="s">
        <v>173</v>
      </c>
      <c r="AI1044" s="319" t="s">
        <v>173</v>
      </c>
      <c r="AJ1044" s="319" t="s">
        <v>173</v>
      </c>
      <c r="AK1044" s="319" t="s">
        <v>173</v>
      </c>
      <c r="AL1044" s="319" t="s">
        <v>173</v>
      </c>
      <c r="AM1044" s="319" t="s">
        <v>173</v>
      </c>
      <c r="AN1044" s="319" t="s">
        <v>173</v>
      </c>
      <c r="AO1044" s="319" t="s">
        <v>173</v>
      </c>
      <c r="AP1044" s="319" t="s">
        <v>173</v>
      </c>
      <c r="AQ1044" s="319" t="s">
        <v>173</v>
      </c>
      <c r="AR1044" s="319" t="s">
        <v>173</v>
      </c>
      <c r="AS1044" s="319" t="s">
        <v>173</v>
      </c>
      <c r="AT1044" s="319" t="s">
        <v>173</v>
      </c>
      <c r="AU1044" s="319" t="s">
        <v>173</v>
      </c>
      <c r="AV1044" s="319" t="s">
        <v>173</v>
      </c>
      <c r="AW1044" s="319" t="s">
        <v>173</v>
      </c>
      <c r="AX1044" s="319" t="s">
        <v>173</v>
      </c>
      <c r="AY1044" s="319" t="s">
        <v>173</v>
      </c>
      <c r="AZ1044" s="319" t="s">
        <v>173</v>
      </c>
      <c r="BA1044" s="319" t="s">
        <v>173</v>
      </c>
      <c r="BB1044" s="319" t="s">
        <v>173</v>
      </c>
      <c r="BC1044" s="319" t="s">
        <v>173</v>
      </c>
      <c r="BD1044" s="319" t="s">
        <v>173</v>
      </c>
      <c r="BE1044" s="319" t="s">
        <v>173</v>
      </c>
      <c r="BF1044" s="319" t="s">
        <v>173</v>
      </c>
      <c r="BG1044" s="319" t="s">
        <v>173</v>
      </c>
      <c r="BH1044" s="319" t="s">
        <v>173</v>
      </c>
      <c r="BI1044" s="319" t="s">
        <v>173</v>
      </c>
      <c r="BJ1044" s="319" t="s">
        <v>173</v>
      </c>
      <c r="BK1044" s="319" t="s">
        <v>173</v>
      </c>
      <c r="BL1044" s="319" t="s">
        <v>173</v>
      </c>
      <c r="BM1044" s="319" t="s">
        <v>173</v>
      </c>
      <c r="BN1044" s="319" t="s">
        <v>173</v>
      </c>
      <c r="BO1044" s="319" t="s">
        <v>173</v>
      </c>
      <c r="BP1044" s="319" t="s">
        <v>173</v>
      </c>
      <c r="BQ1044" s="319" t="s">
        <v>173</v>
      </c>
      <c r="BR1044" s="319" t="s">
        <v>173</v>
      </c>
      <c r="BS1044" s="319" t="s">
        <v>173</v>
      </c>
      <c r="BT1044" s="319" t="s">
        <v>173</v>
      </c>
      <c r="BU1044" s="319" t="s">
        <v>173</v>
      </c>
      <c r="BV1044" s="319" t="s">
        <v>173</v>
      </c>
      <c r="BW1044" s="319" t="s">
        <v>173</v>
      </c>
      <c r="BX1044" s="319" t="s">
        <v>173</v>
      </c>
      <c r="BY1044" s="319" t="s">
        <v>173</v>
      </c>
      <c r="BZ1044" s="319" t="s">
        <v>173</v>
      </c>
      <c r="CA1044" s="319" t="s">
        <v>173</v>
      </c>
      <c r="CB1044" s="319" t="s">
        <v>173</v>
      </c>
      <c r="CC1044" s="319" t="s">
        <v>173</v>
      </c>
      <c r="CD1044" s="319" t="s">
        <v>173</v>
      </c>
      <c r="CE1044" s="319" t="s">
        <v>173</v>
      </c>
      <c r="CF1044" s="319" t="s">
        <v>173</v>
      </c>
      <c r="CG1044" s="319" t="s">
        <v>173</v>
      </c>
      <c r="CH1044" s="319" t="s">
        <v>173</v>
      </c>
      <c r="CI1044" s="319" t="s">
        <v>173</v>
      </c>
      <c r="CJ1044" s="319" t="s">
        <v>173</v>
      </c>
      <c r="CK1044" s="319" t="s">
        <v>173</v>
      </c>
      <c r="CL1044" s="319" t="s">
        <v>173</v>
      </c>
      <c r="CM1044" s="319" t="s">
        <v>173</v>
      </c>
      <c r="CN1044" s="319" t="s">
        <v>173</v>
      </c>
      <c r="CO1044" s="319" t="s">
        <v>173</v>
      </c>
      <c r="CP1044" s="319" t="s">
        <v>173</v>
      </c>
      <c r="CQ1044" s="319" t="s">
        <v>173</v>
      </c>
      <c r="CR1044" s="319" t="s">
        <v>173</v>
      </c>
      <c r="CS1044" s="319" t="s">
        <v>173</v>
      </c>
      <c r="CT1044" s="319" t="s">
        <v>173</v>
      </c>
      <c r="CU1044" s="319" t="s">
        <v>173</v>
      </c>
      <c r="CV1044" s="319" t="s">
        <v>173</v>
      </c>
      <c r="CW1044" s="319" t="s">
        <v>173</v>
      </c>
      <c r="CX1044" s="319" t="s">
        <v>173</v>
      </c>
      <c r="CY1044" s="319" t="s">
        <v>173</v>
      </c>
      <c r="CZ1044" s="319" t="s">
        <v>173</v>
      </c>
      <c r="DA1044" s="319" t="s">
        <v>173</v>
      </c>
      <c r="DB1044" s="319" t="s">
        <v>173</v>
      </c>
      <c r="DC1044" s="319" t="s">
        <v>173</v>
      </c>
      <c r="DD1044" s="319" t="s">
        <v>173</v>
      </c>
      <c r="DE1044" s="319" t="s">
        <v>173</v>
      </c>
      <c r="DF1044" s="319" t="s">
        <v>173</v>
      </c>
      <c r="DG1044" s="319" t="s">
        <v>173</v>
      </c>
      <c r="DH1044" s="319" t="s">
        <v>173</v>
      </c>
      <c r="DI1044" s="319" t="s">
        <v>173</v>
      </c>
      <c r="DJ1044" s="319" t="s">
        <v>173</v>
      </c>
      <c r="DK1044" s="319" t="s">
        <v>173</v>
      </c>
      <c r="DL1044" s="319" t="s">
        <v>173</v>
      </c>
      <c r="DM1044" s="319" t="s">
        <v>173</v>
      </c>
      <c r="DN1044" s="319" t="s">
        <v>173</v>
      </c>
      <c r="DO1044" s="319" t="s">
        <v>173</v>
      </c>
      <c r="DP1044" s="319" t="s">
        <v>173</v>
      </c>
      <c r="DQ1044" s="319" t="s">
        <v>173</v>
      </c>
      <c r="DR1044" s="319" t="s">
        <v>173</v>
      </c>
      <c r="DS1044" s="319" t="s">
        <v>173</v>
      </c>
      <c r="DT1044" s="319" t="s">
        <v>173</v>
      </c>
      <c r="DU1044" s="319" t="s">
        <v>173</v>
      </c>
      <c r="DV1044" s="319" t="s">
        <v>173</v>
      </c>
      <c r="DW1044" s="319" t="s">
        <v>173</v>
      </c>
      <c r="DX1044" s="319" t="s">
        <v>173</v>
      </c>
      <c r="DY1044" s="319" t="s">
        <v>173</v>
      </c>
      <c r="DZ1044" s="319" t="s">
        <v>173</v>
      </c>
      <c r="EA1044" s="319" t="s">
        <v>173</v>
      </c>
      <c r="EB1044" s="319" t="s">
        <v>173</v>
      </c>
      <c r="EC1044" s="319" t="s">
        <v>173</v>
      </c>
      <c r="ED1044" s="319" t="s">
        <v>173</v>
      </c>
      <c r="EE1044" s="319" t="s">
        <v>173</v>
      </c>
      <c r="EF1044" s="319" t="s">
        <v>173</v>
      </c>
      <c r="EG1044" s="319" t="s">
        <v>173</v>
      </c>
      <c r="EH1044" s="319" t="s">
        <v>173</v>
      </c>
      <c r="EI1044" s="319" t="s">
        <v>173</v>
      </c>
      <c r="EJ1044" s="319" t="s">
        <v>173</v>
      </c>
      <c r="EK1044" s="319" t="s">
        <v>173</v>
      </c>
      <c r="EL1044" s="319" t="s">
        <v>173</v>
      </c>
      <c r="EM1044" s="319" t="s">
        <v>173</v>
      </c>
      <c r="EN1044" s="319" t="s">
        <v>173</v>
      </c>
      <c r="EO1044" s="319" t="s">
        <v>173</v>
      </c>
      <c r="EP1044" s="319" t="s">
        <v>173</v>
      </c>
      <c r="EQ1044" s="319" t="s">
        <v>173</v>
      </c>
      <c r="ER1044" s="319" t="s">
        <v>173</v>
      </c>
      <c r="ES1044" s="319" t="s">
        <v>173</v>
      </c>
      <c r="ET1044" s="319" t="s">
        <v>173</v>
      </c>
      <c r="EU1044" s="319" t="s">
        <v>173</v>
      </c>
      <c r="EV1044" s="319" t="s">
        <v>173</v>
      </c>
      <c r="EW1044" s="319" t="s">
        <v>173</v>
      </c>
      <c r="EX1044" s="319" t="s">
        <v>173</v>
      </c>
      <c r="EY1044" s="319" t="s">
        <v>173</v>
      </c>
      <c r="EZ1044" s="319" t="s">
        <v>173</v>
      </c>
      <c r="FA1044" s="319" t="s">
        <v>173</v>
      </c>
      <c r="FB1044" s="319" t="s">
        <v>173</v>
      </c>
      <c r="FC1044" s="319" t="s">
        <v>173</v>
      </c>
      <c r="FD1044" s="319" t="s">
        <v>173</v>
      </c>
      <c r="FE1044" s="319" t="s">
        <v>173</v>
      </c>
      <c r="FF1044" s="319" t="s">
        <v>173</v>
      </c>
      <c r="FG1044" s="319" t="s">
        <v>173</v>
      </c>
      <c r="FH1044" s="319" t="s">
        <v>173</v>
      </c>
      <c r="FI1044" s="319" t="s">
        <v>173</v>
      </c>
      <c r="FJ1044" s="319" t="s">
        <v>173</v>
      </c>
      <c r="FK1044" s="319" t="s">
        <v>173</v>
      </c>
      <c r="FL1044" s="319" t="s">
        <v>173</v>
      </c>
      <c r="FM1044" s="319" t="s">
        <v>173</v>
      </c>
      <c r="FN1044" s="319" t="s">
        <v>173</v>
      </c>
      <c r="FO1044" s="319" t="s">
        <v>173</v>
      </c>
      <c r="FP1044" s="319" t="s">
        <v>173</v>
      </c>
      <c r="FQ1044" s="319" t="s">
        <v>173</v>
      </c>
      <c r="FR1044" s="319" t="s">
        <v>173</v>
      </c>
      <c r="FS1044" s="319" t="s">
        <v>173</v>
      </c>
      <c r="FT1044" s="319" t="s">
        <v>173</v>
      </c>
      <c r="FU1044" s="319" t="s">
        <v>173</v>
      </c>
      <c r="FV1044" s="319" t="s">
        <v>173</v>
      </c>
      <c r="FW1044" s="319" t="s">
        <v>173</v>
      </c>
      <c r="FX1044" s="319" t="s">
        <v>173</v>
      </c>
      <c r="FY1044" s="319" t="s">
        <v>173</v>
      </c>
      <c r="FZ1044" s="319" t="s">
        <v>173</v>
      </c>
      <c r="GA1044" s="319" t="s">
        <v>173</v>
      </c>
      <c r="GB1044" s="319" t="s">
        <v>173</v>
      </c>
      <c r="GC1044" s="319" t="s">
        <v>173</v>
      </c>
      <c r="GD1044" s="319" t="s">
        <v>173</v>
      </c>
      <c r="GE1044" s="319" t="s">
        <v>173</v>
      </c>
      <c r="GF1044" s="319" t="s">
        <v>173</v>
      </c>
      <c r="GG1044" s="319" t="s">
        <v>173</v>
      </c>
      <c r="GH1044" s="319" t="s">
        <v>173</v>
      </c>
      <c r="GI1044" s="319" t="s">
        <v>173</v>
      </c>
      <c r="GJ1044" s="319" t="s">
        <v>173</v>
      </c>
      <c r="GK1044" s="319" t="s">
        <v>173</v>
      </c>
      <c r="GL1044" s="319" t="s">
        <v>173</v>
      </c>
      <c r="GM1044" s="319" t="s">
        <v>173</v>
      </c>
      <c r="GN1044" s="319" t="s">
        <v>173</v>
      </c>
      <c r="GO1044" s="319" t="s">
        <v>173</v>
      </c>
      <c r="GP1044" s="319" t="s">
        <v>173</v>
      </c>
      <c r="GQ1044" s="319" t="s">
        <v>173</v>
      </c>
      <c r="GR1044" s="319" t="s">
        <v>173</v>
      </c>
      <c r="GS1044" s="319" t="s">
        <v>173</v>
      </c>
      <c r="GT1044" s="319" t="s">
        <v>173</v>
      </c>
      <c r="GU1044" s="319" t="s">
        <v>173</v>
      </c>
      <c r="GV1044" s="319" t="s">
        <v>173</v>
      </c>
      <c r="GW1044" s="319" t="s">
        <v>173</v>
      </c>
      <c r="GX1044" s="319" t="s">
        <v>173</v>
      </c>
      <c r="GY1044" s="319" t="s">
        <v>173</v>
      </c>
      <c r="GZ1044" s="319" t="s">
        <v>173</v>
      </c>
      <c r="HA1044" s="319" t="s">
        <v>173</v>
      </c>
      <c r="HB1044" s="319" t="s">
        <v>173</v>
      </c>
      <c r="HC1044" s="319" t="s">
        <v>173</v>
      </c>
      <c r="HD1044" s="319" t="s">
        <v>173</v>
      </c>
      <c r="HE1044" s="319" t="s">
        <v>173</v>
      </c>
      <c r="HF1044" s="319" t="s">
        <v>173</v>
      </c>
      <c r="HG1044" s="319" t="s">
        <v>173</v>
      </c>
      <c r="HH1044" s="319" t="s">
        <v>173</v>
      </c>
      <c r="HI1044" s="319" t="s">
        <v>173</v>
      </c>
      <c r="HJ1044" s="319" t="s">
        <v>173</v>
      </c>
      <c r="HK1044" s="319" t="s">
        <v>173</v>
      </c>
      <c r="HL1044" s="319" t="s">
        <v>173</v>
      </c>
      <c r="HM1044" s="319" t="s">
        <v>173</v>
      </c>
      <c r="HN1044" s="319" t="s">
        <v>173</v>
      </c>
      <c r="HO1044" s="319" t="s">
        <v>173</v>
      </c>
      <c r="HP1044" s="319" t="s">
        <v>173</v>
      </c>
      <c r="HQ1044" s="319" t="s">
        <v>173</v>
      </c>
      <c r="HR1044" s="319" t="s">
        <v>173</v>
      </c>
      <c r="HS1044" s="319" t="s">
        <v>173</v>
      </c>
      <c r="HT1044" s="319" t="s">
        <v>173</v>
      </c>
      <c r="HU1044" s="319" t="s">
        <v>173</v>
      </c>
      <c r="HV1044" s="319" t="s">
        <v>173</v>
      </c>
      <c r="HW1044" s="319" t="s">
        <v>173</v>
      </c>
      <c r="HX1044" s="319" t="s">
        <v>173</v>
      </c>
      <c r="HY1044" s="319" t="s">
        <v>173</v>
      </c>
      <c r="HZ1044" s="319" t="s">
        <v>173</v>
      </c>
      <c r="IA1044" s="319" t="s">
        <v>173</v>
      </c>
      <c r="IB1044" s="319" t="s">
        <v>173</v>
      </c>
      <c r="IC1044" s="319" t="s">
        <v>173</v>
      </c>
      <c r="ID1044" s="319" t="s">
        <v>173</v>
      </c>
      <c r="IE1044" s="319" t="s">
        <v>173</v>
      </c>
      <c r="IF1044" s="319" t="s">
        <v>173</v>
      </c>
      <c r="IG1044" s="319" t="s">
        <v>173</v>
      </c>
      <c r="IH1044" s="319" t="s">
        <v>173</v>
      </c>
      <c r="II1044" s="319" t="s">
        <v>173</v>
      </c>
      <c r="IJ1044" s="319" t="s">
        <v>173</v>
      </c>
      <c r="IK1044" s="319" t="s">
        <v>173</v>
      </c>
      <c r="IL1044" s="319" t="s">
        <v>173</v>
      </c>
      <c r="IM1044" s="319" t="s">
        <v>173</v>
      </c>
      <c r="IN1044" s="319" t="s">
        <v>173</v>
      </c>
      <c r="IO1044" s="319" t="s">
        <v>173</v>
      </c>
      <c r="IP1044" s="319" t="s">
        <v>173</v>
      </c>
      <c r="IQ1044" s="319" t="s">
        <v>173</v>
      </c>
      <c r="IR1044" s="320" t="s">
        <v>173</v>
      </c>
      <c r="IS1044" s="320" t="s">
        <v>173</v>
      </c>
      <c r="IT1044" s="319" t="s">
        <v>173</v>
      </c>
    </row>
    <row r="1045" spans="1:254" s="271" customFormat="1" x14ac:dyDescent="0.25">
      <c r="A1045" s="318" t="str">
        <f>HYPERLINK("http://www.ofsted.gov.uk/inspection-reports/find-inspection-report/provider/ELS/146774 ","Ofsted School Webpage")</f>
        <v>Ofsted School Webpage</v>
      </c>
      <c r="B1045" s="319">
        <v>146774</v>
      </c>
      <c r="C1045" s="319">
        <v>8506095</v>
      </c>
      <c r="D1045" s="319" t="s">
        <v>3593</v>
      </c>
      <c r="E1045" s="319" t="s">
        <v>168</v>
      </c>
      <c r="F1045" s="319" t="s">
        <v>434</v>
      </c>
      <c r="G1045" s="319" t="s">
        <v>81</v>
      </c>
      <c r="H1045" s="319" t="s">
        <v>81</v>
      </c>
      <c r="I1045" s="319" t="s">
        <v>78</v>
      </c>
      <c r="J1045" s="319" t="s">
        <v>424</v>
      </c>
      <c r="K1045" s="319" t="s">
        <v>514</v>
      </c>
      <c r="L1045" s="319" t="s">
        <v>514</v>
      </c>
      <c r="M1045" s="319" t="s">
        <v>515</v>
      </c>
      <c r="N1045" s="319" t="s">
        <v>3272</v>
      </c>
      <c r="O1045" s="319" t="s">
        <v>3594</v>
      </c>
      <c r="P1045" s="319" t="s">
        <v>173</v>
      </c>
      <c r="Q1045" s="319" t="s">
        <v>429</v>
      </c>
      <c r="R1045" s="320" t="s">
        <v>173</v>
      </c>
      <c r="S1045" s="321" t="s">
        <v>173</v>
      </c>
      <c r="T1045" s="321" t="s">
        <v>173</v>
      </c>
      <c r="U1045" s="321" t="s">
        <v>173</v>
      </c>
      <c r="V1045" s="319" t="s">
        <v>173</v>
      </c>
      <c r="W1045" s="319" t="s">
        <v>173</v>
      </c>
      <c r="X1045" s="319" t="s">
        <v>173</v>
      </c>
      <c r="Y1045" s="319" t="s">
        <v>173</v>
      </c>
      <c r="Z1045" s="319" t="s">
        <v>173</v>
      </c>
      <c r="AA1045" s="319" t="s">
        <v>173</v>
      </c>
      <c r="AB1045" s="319" t="s">
        <v>173</v>
      </c>
      <c r="AC1045" s="319" t="s">
        <v>173</v>
      </c>
      <c r="AD1045" s="319" t="s">
        <v>173</v>
      </c>
      <c r="AE1045" s="319" t="s">
        <v>173</v>
      </c>
      <c r="AF1045" s="319" t="s">
        <v>173</v>
      </c>
      <c r="AG1045" s="319" t="s">
        <v>173</v>
      </c>
      <c r="AH1045" s="319" t="s">
        <v>173</v>
      </c>
      <c r="AI1045" s="319" t="s">
        <v>173</v>
      </c>
      <c r="AJ1045" s="319" t="s">
        <v>173</v>
      </c>
      <c r="AK1045" s="319" t="s">
        <v>173</v>
      </c>
      <c r="AL1045" s="319" t="s">
        <v>173</v>
      </c>
      <c r="AM1045" s="319" t="s">
        <v>173</v>
      </c>
      <c r="AN1045" s="319" t="s">
        <v>173</v>
      </c>
      <c r="AO1045" s="319" t="s">
        <v>173</v>
      </c>
      <c r="AP1045" s="319" t="s">
        <v>173</v>
      </c>
      <c r="AQ1045" s="319" t="s">
        <v>173</v>
      </c>
      <c r="AR1045" s="319" t="s">
        <v>173</v>
      </c>
      <c r="AS1045" s="319" t="s">
        <v>173</v>
      </c>
      <c r="AT1045" s="319" t="s">
        <v>173</v>
      </c>
      <c r="AU1045" s="319" t="s">
        <v>173</v>
      </c>
      <c r="AV1045" s="319" t="s">
        <v>173</v>
      </c>
      <c r="AW1045" s="319" t="s">
        <v>173</v>
      </c>
      <c r="AX1045" s="319" t="s">
        <v>173</v>
      </c>
      <c r="AY1045" s="319" t="s">
        <v>173</v>
      </c>
      <c r="AZ1045" s="319" t="s">
        <v>173</v>
      </c>
      <c r="BA1045" s="319" t="s">
        <v>173</v>
      </c>
      <c r="BB1045" s="319" t="s">
        <v>173</v>
      </c>
      <c r="BC1045" s="319" t="s">
        <v>173</v>
      </c>
      <c r="BD1045" s="319" t="s">
        <v>173</v>
      </c>
      <c r="BE1045" s="319" t="s">
        <v>173</v>
      </c>
      <c r="BF1045" s="319" t="s">
        <v>173</v>
      </c>
      <c r="BG1045" s="319" t="s">
        <v>173</v>
      </c>
      <c r="BH1045" s="319" t="s">
        <v>173</v>
      </c>
      <c r="BI1045" s="319" t="s">
        <v>173</v>
      </c>
      <c r="BJ1045" s="319" t="s">
        <v>173</v>
      </c>
      <c r="BK1045" s="319" t="s">
        <v>173</v>
      </c>
      <c r="BL1045" s="319" t="s">
        <v>173</v>
      </c>
      <c r="BM1045" s="319" t="s">
        <v>173</v>
      </c>
      <c r="BN1045" s="319" t="s">
        <v>173</v>
      </c>
      <c r="BO1045" s="319" t="s">
        <v>173</v>
      </c>
      <c r="BP1045" s="319" t="s">
        <v>173</v>
      </c>
      <c r="BQ1045" s="319" t="s">
        <v>173</v>
      </c>
      <c r="BR1045" s="319" t="s">
        <v>173</v>
      </c>
      <c r="BS1045" s="319" t="s">
        <v>173</v>
      </c>
      <c r="BT1045" s="319" t="s">
        <v>173</v>
      </c>
      <c r="BU1045" s="319" t="s">
        <v>173</v>
      </c>
      <c r="BV1045" s="319" t="s">
        <v>173</v>
      </c>
      <c r="BW1045" s="319" t="s">
        <v>173</v>
      </c>
      <c r="BX1045" s="319" t="s">
        <v>173</v>
      </c>
      <c r="BY1045" s="319" t="s">
        <v>173</v>
      </c>
      <c r="BZ1045" s="319" t="s">
        <v>173</v>
      </c>
      <c r="CA1045" s="319" t="s">
        <v>173</v>
      </c>
      <c r="CB1045" s="319" t="s">
        <v>173</v>
      </c>
      <c r="CC1045" s="319" t="s">
        <v>173</v>
      </c>
      <c r="CD1045" s="319" t="s">
        <v>173</v>
      </c>
      <c r="CE1045" s="319" t="s">
        <v>173</v>
      </c>
      <c r="CF1045" s="319" t="s">
        <v>173</v>
      </c>
      <c r="CG1045" s="319" t="s">
        <v>173</v>
      </c>
      <c r="CH1045" s="319" t="s">
        <v>173</v>
      </c>
      <c r="CI1045" s="319" t="s">
        <v>173</v>
      </c>
      <c r="CJ1045" s="319" t="s">
        <v>173</v>
      </c>
      <c r="CK1045" s="319" t="s">
        <v>173</v>
      </c>
      <c r="CL1045" s="319" t="s">
        <v>173</v>
      </c>
      <c r="CM1045" s="319" t="s">
        <v>173</v>
      </c>
      <c r="CN1045" s="319" t="s">
        <v>173</v>
      </c>
      <c r="CO1045" s="319" t="s">
        <v>173</v>
      </c>
      <c r="CP1045" s="319" t="s">
        <v>173</v>
      </c>
      <c r="CQ1045" s="319" t="s">
        <v>173</v>
      </c>
      <c r="CR1045" s="319" t="s">
        <v>173</v>
      </c>
      <c r="CS1045" s="319" t="s">
        <v>173</v>
      </c>
      <c r="CT1045" s="319" t="s">
        <v>173</v>
      </c>
      <c r="CU1045" s="319" t="s">
        <v>173</v>
      </c>
      <c r="CV1045" s="319" t="s">
        <v>173</v>
      </c>
      <c r="CW1045" s="319" t="s">
        <v>173</v>
      </c>
      <c r="CX1045" s="319" t="s">
        <v>173</v>
      </c>
      <c r="CY1045" s="319" t="s">
        <v>173</v>
      </c>
      <c r="CZ1045" s="319" t="s">
        <v>173</v>
      </c>
      <c r="DA1045" s="319" t="s">
        <v>173</v>
      </c>
      <c r="DB1045" s="319" t="s">
        <v>173</v>
      </c>
      <c r="DC1045" s="319" t="s">
        <v>173</v>
      </c>
      <c r="DD1045" s="319" t="s">
        <v>173</v>
      </c>
      <c r="DE1045" s="319" t="s">
        <v>173</v>
      </c>
      <c r="DF1045" s="319" t="s">
        <v>173</v>
      </c>
      <c r="DG1045" s="319" t="s">
        <v>173</v>
      </c>
      <c r="DH1045" s="319" t="s">
        <v>173</v>
      </c>
      <c r="DI1045" s="319" t="s">
        <v>173</v>
      </c>
      <c r="DJ1045" s="319" t="s">
        <v>173</v>
      </c>
      <c r="DK1045" s="319" t="s">
        <v>173</v>
      </c>
      <c r="DL1045" s="319" t="s">
        <v>173</v>
      </c>
      <c r="DM1045" s="319" t="s">
        <v>173</v>
      </c>
      <c r="DN1045" s="319" t="s">
        <v>173</v>
      </c>
      <c r="DO1045" s="319" t="s">
        <v>173</v>
      </c>
      <c r="DP1045" s="319" t="s">
        <v>173</v>
      </c>
      <c r="DQ1045" s="319" t="s">
        <v>173</v>
      </c>
      <c r="DR1045" s="319" t="s">
        <v>173</v>
      </c>
      <c r="DS1045" s="319" t="s">
        <v>173</v>
      </c>
      <c r="DT1045" s="319" t="s">
        <v>173</v>
      </c>
      <c r="DU1045" s="319" t="s">
        <v>173</v>
      </c>
      <c r="DV1045" s="319" t="s">
        <v>173</v>
      </c>
      <c r="DW1045" s="319" t="s">
        <v>173</v>
      </c>
      <c r="DX1045" s="319" t="s">
        <v>173</v>
      </c>
      <c r="DY1045" s="319" t="s">
        <v>173</v>
      </c>
      <c r="DZ1045" s="319" t="s">
        <v>173</v>
      </c>
      <c r="EA1045" s="319" t="s">
        <v>173</v>
      </c>
      <c r="EB1045" s="319" t="s">
        <v>173</v>
      </c>
      <c r="EC1045" s="319" t="s">
        <v>173</v>
      </c>
      <c r="ED1045" s="319" t="s">
        <v>173</v>
      </c>
      <c r="EE1045" s="319" t="s">
        <v>173</v>
      </c>
      <c r="EF1045" s="319" t="s">
        <v>173</v>
      </c>
      <c r="EG1045" s="319" t="s">
        <v>173</v>
      </c>
      <c r="EH1045" s="319" t="s">
        <v>173</v>
      </c>
      <c r="EI1045" s="319" t="s">
        <v>173</v>
      </c>
      <c r="EJ1045" s="319" t="s">
        <v>173</v>
      </c>
      <c r="EK1045" s="319" t="s">
        <v>173</v>
      </c>
      <c r="EL1045" s="319" t="s">
        <v>173</v>
      </c>
      <c r="EM1045" s="319" t="s">
        <v>173</v>
      </c>
      <c r="EN1045" s="319" t="s">
        <v>173</v>
      </c>
      <c r="EO1045" s="319" t="s">
        <v>173</v>
      </c>
      <c r="EP1045" s="319" t="s">
        <v>173</v>
      </c>
      <c r="EQ1045" s="319" t="s">
        <v>173</v>
      </c>
      <c r="ER1045" s="319" t="s">
        <v>173</v>
      </c>
      <c r="ES1045" s="319" t="s">
        <v>173</v>
      </c>
      <c r="ET1045" s="319" t="s">
        <v>173</v>
      </c>
      <c r="EU1045" s="319" t="s">
        <v>173</v>
      </c>
      <c r="EV1045" s="319" t="s">
        <v>173</v>
      </c>
      <c r="EW1045" s="319" t="s">
        <v>173</v>
      </c>
      <c r="EX1045" s="319" t="s">
        <v>173</v>
      </c>
      <c r="EY1045" s="319" t="s">
        <v>173</v>
      </c>
      <c r="EZ1045" s="319" t="s">
        <v>173</v>
      </c>
      <c r="FA1045" s="319" t="s">
        <v>173</v>
      </c>
      <c r="FB1045" s="319" t="s">
        <v>173</v>
      </c>
      <c r="FC1045" s="319" t="s">
        <v>173</v>
      </c>
      <c r="FD1045" s="319" t="s">
        <v>173</v>
      </c>
      <c r="FE1045" s="319" t="s">
        <v>173</v>
      </c>
      <c r="FF1045" s="319" t="s">
        <v>173</v>
      </c>
      <c r="FG1045" s="319" t="s">
        <v>173</v>
      </c>
      <c r="FH1045" s="319" t="s">
        <v>173</v>
      </c>
      <c r="FI1045" s="319" t="s">
        <v>173</v>
      </c>
      <c r="FJ1045" s="319" t="s">
        <v>173</v>
      </c>
      <c r="FK1045" s="319" t="s">
        <v>173</v>
      </c>
      <c r="FL1045" s="319" t="s">
        <v>173</v>
      </c>
      <c r="FM1045" s="319" t="s">
        <v>173</v>
      </c>
      <c r="FN1045" s="319" t="s">
        <v>173</v>
      </c>
      <c r="FO1045" s="319" t="s">
        <v>173</v>
      </c>
      <c r="FP1045" s="319" t="s">
        <v>173</v>
      </c>
      <c r="FQ1045" s="319" t="s">
        <v>173</v>
      </c>
      <c r="FR1045" s="319" t="s">
        <v>173</v>
      </c>
      <c r="FS1045" s="319" t="s">
        <v>173</v>
      </c>
      <c r="FT1045" s="319" t="s">
        <v>173</v>
      </c>
      <c r="FU1045" s="319" t="s">
        <v>173</v>
      </c>
      <c r="FV1045" s="319" t="s">
        <v>173</v>
      </c>
      <c r="FW1045" s="319" t="s">
        <v>173</v>
      </c>
      <c r="FX1045" s="319" t="s">
        <v>173</v>
      </c>
      <c r="FY1045" s="319" t="s">
        <v>173</v>
      </c>
      <c r="FZ1045" s="319" t="s">
        <v>173</v>
      </c>
      <c r="GA1045" s="319" t="s">
        <v>173</v>
      </c>
      <c r="GB1045" s="319" t="s">
        <v>173</v>
      </c>
      <c r="GC1045" s="319" t="s">
        <v>173</v>
      </c>
      <c r="GD1045" s="319" t="s">
        <v>173</v>
      </c>
      <c r="GE1045" s="319" t="s">
        <v>173</v>
      </c>
      <c r="GF1045" s="319" t="s">
        <v>173</v>
      </c>
      <c r="GG1045" s="319" t="s">
        <v>173</v>
      </c>
      <c r="GH1045" s="319" t="s">
        <v>173</v>
      </c>
      <c r="GI1045" s="319" t="s">
        <v>173</v>
      </c>
      <c r="GJ1045" s="319" t="s">
        <v>173</v>
      </c>
      <c r="GK1045" s="319" t="s">
        <v>173</v>
      </c>
      <c r="GL1045" s="319" t="s">
        <v>173</v>
      </c>
      <c r="GM1045" s="319" t="s">
        <v>173</v>
      </c>
      <c r="GN1045" s="319" t="s">
        <v>173</v>
      </c>
      <c r="GO1045" s="319" t="s">
        <v>173</v>
      </c>
      <c r="GP1045" s="319" t="s">
        <v>173</v>
      </c>
      <c r="GQ1045" s="319" t="s">
        <v>173</v>
      </c>
      <c r="GR1045" s="319" t="s">
        <v>173</v>
      </c>
      <c r="GS1045" s="319" t="s">
        <v>173</v>
      </c>
      <c r="GT1045" s="319" t="s">
        <v>173</v>
      </c>
      <c r="GU1045" s="319" t="s">
        <v>173</v>
      </c>
      <c r="GV1045" s="319" t="s">
        <v>173</v>
      </c>
      <c r="GW1045" s="319" t="s">
        <v>173</v>
      </c>
      <c r="GX1045" s="319" t="s">
        <v>173</v>
      </c>
      <c r="GY1045" s="319" t="s">
        <v>173</v>
      </c>
      <c r="GZ1045" s="319" t="s">
        <v>173</v>
      </c>
      <c r="HA1045" s="319" t="s">
        <v>173</v>
      </c>
      <c r="HB1045" s="319" t="s">
        <v>173</v>
      </c>
      <c r="HC1045" s="319" t="s">
        <v>173</v>
      </c>
      <c r="HD1045" s="319" t="s">
        <v>173</v>
      </c>
      <c r="HE1045" s="319" t="s">
        <v>173</v>
      </c>
      <c r="HF1045" s="319" t="s">
        <v>173</v>
      </c>
      <c r="HG1045" s="319" t="s">
        <v>173</v>
      </c>
      <c r="HH1045" s="319" t="s">
        <v>173</v>
      </c>
      <c r="HI1045" s="319" t="s">
        <v>173</v>
      </c>
      <c r="HJ1045" s="319" t="s">
        <v>173</v>
      </c>
      <c r="HK1045" s="319" t="s">
        <v>173</v>
      </c>
      <c r="HL1045" s="319" t="s">
        <v>173</v>
      </c>
      <c r="HM1045" s="319" t="s">
        <v>173</v>
      </c>
      <c r="HN1045" s="319" t="s">
        <v>173</v>
      </c>
      <c r="HO1045" s="319" t="s">
        <v>173</v>
      </c>
      <c r="HP1045" s="319" t="s">
        <v>173</v>
      </c>
      <c r="HQ1045" s="319" t="s">
        <v>173</v>
      </c>
      <c r="HR1045" s="319" t="s">
        <v>173</v>
      </c>
      <c r="HS1045" s="319" t="s">
        <v>173</v>
      </c>
      <c r="HT1045" s="319" t="s">
        <v>173</v>
      </c>
      <c r="HU1045" s="319" t="s">
        <v>173</v>
      </c>
      <c r="HV1045" s="319" t="s">
        <v>173</v>
      </c>
      <c r="HW1045" s="319" t="s">
        <v>173</v>
      </c>
      <c r="HX1045" s="319" t="s">
        <v>173</v>
      </c>
      <c r="HY1045" s="319" t="s">
        <v>173</v>
      </c>
      <c r="HZ1045" s="319" t="s">
        <v>173</v>
      </c>
      <c r="IA1045" s="319" t="s">
        <v>173</v>
      </c>
      <c r="IB1045" s="319" t="s">
        <v>173</v>
      </c>
      <c r="IC1045" s="319" t="s">
        <v>173</v>
      </c>
      <c r="ID1045" s="319" t="s">
        <v>173</v>
      </c>
      <c r="IE1045" s="319" t="s">
        <v>173</v>
      </c>
      <c r="IF1045" s="319" t="s">
        <v>173</v>
      </c>
      <c r="IG1045" s="319" t="s">
        <v>173</v>
      </c>
      <c r="IH1045" s="319" t="s">
        <v>173</v>
      </c>
      <c r="II1045" s="319" t="s">
        <v>173</v>
      </c>
      <c r="IJ1045" s="319" t="s">
        <v>173</v>
      </c>
      <c r="IK1045" s="319" t="s">
        <v>173</v>
      </c>
      <c r="IL1045" s="319" t="s">
        <v>173</v>
      </c>
      <c r="IM1045" s="319" t="s">
        <v>173</v>
      </c>
      <c r="IN1045" s="319" t="s">
        <v>173</v>
      </c>
      <c r="IO1045" s="319" t="s">
        <v>173</v>
      </c>
      <c r="IP1045" s="319" t="s">
        <v>173</v>
      </c>
      <c r="IQ1045" s="319" t="s">
        <v>173</v>
      </c>
      <c r="IR1045" s="320" t="s">
        <v>173</v>
      </c>
      <c r="IS1045" s="320" t="s">
        <v>173</v>
      </c>
      <c r="IT1045" s="319" t="s">
        <v>173</v>
      </c>
    </row>
    <row r="1046" spans="1:254" s="271" customFormat="1" x14ac:dyDescent="0.25">
      <c r="A1046" s="318" t="str">
        <f>HYPERLINK("http://www.ofsted.gov.uk/inspection-reports/find-inspection-report/provider/ELS/146780 ","Ofsted School Webpage")</f>
        <v>Ofsted School Webpage</v>
      </c>
      <c r="B1046" s="319">
        <v>146780</v>
      </c>
      <c r="C1046" s="319">
        <v>3306045</v>
      </c>
      <c r="D1046" s="319" t="s">
        <v>2680</v>
      </c>
      <c r="E1046" s="319" t="s">
        <v>168</v>
      </c>
      <c r="F1046" s="319" t="s">
        <v>434</v>
      </c>
      <c r="G1046" s="319" t="s">
        <v>81</v>
      </c>
      <c r="H1046" s="319" t="s">
        <v>81</v>
      </c>
      <c r="I1046" s="319" t="s">
        <v>78</v>
      </c>
      <c r="J1046" s="319" t="s">
        <v>424</v>
      </c>
      <c r="K1046" s="319" t="s">
        <v>437</v>
      </c>
      <c r="L1046" s="319" t="s">
        <v>437</v>
      </c>
      <c r="M1046" s="319" t="s">
        <v>813</v>
      </c>
      <c r="N1046" s="319" t="s">
        <v>2856</v>
      </c>
      <c r="O1046" s="319" t="s">
        <v>2681</v>
      </c>
      <c r="P1046" s="319" t="s">
        <v>173</v>
      </c>
      <c r="Q1046" s="319" t="s">
        <v>429</v>
      </c>
      <c r="R1046" s="320">
        <v>10119167</v>
      </c>
      <c r="S1046" s="321">
        <v>43760</v>
      </c>
      <c r="T1046" s="321">
        <v>43762</v>
      </c>
      <c r="U1046" s="321">
        <v>43803</v>
      </c>
      <c r="V1046" s="319" t="s">
        <v>435</v>
      </c>
      <c r="W1046" s="319" t="s">
        <v>2767</v>
      </c>
      <c r="X1046" s="319">
        <v>4</v>
      </c>
      <c r="Y1046" s="319">
        <v>4</v>
      </c>
      <c r="Z1046" s="319">
        <v>3</v>
      </c>
      <c r="AA1046" s="319">
        <v>4</v>
      </c>
      <c r="AB1046" s="319">
        <v>4</v>
      </c>
      <c r="AC1046" s="319" t="s">
        <v>170</v>
      </c>
      <c r="AD1046" s="319" t="s">
        <v>173</v>
      </c>
      <c r="AE1046" s="319" t="s">
        <v>173</v>
      </c>
      <c r="AF1046" s="319" t="s">
        <v>427</v>
      </c>
      <c r="AG1046" s="319" t="s">
        <v>172</v>
      </c>
      <c r="AH1046" s="319" t="s">
        <v>479</v>
      </c>
      <c r="AI1046" s="319" t="s">
        <v>479</v>
      </c>
      <c r="AJ1046" s="319" t="s">
        <v>479</v>
      </c>
      <c r="AK1046" s="319" t="s">
        <v>190</v>
      </c>
      <c r="AL1046" s="319" t="s">
        <v>479</v>
      </c>
      <c r="AM1046" s="319" t="s">
        <v>190</v>
      </c>
      <c r="AN1046" s="319" t="s">
        <v>190</v>
      </c>
      <c r="AO1046" s="319" t="s">
        <v>479</v>
      </c>
      <c r="AP1046" s="319" t="s">
        <v>191</v>
      </c>
      <c r="AQ1046" s="319" t="s">
        <v>191</v>
      </c>
      <c r="AR1046" s="319" t="s">
        <v>191</v>
      </c>
      <c r="AS1046" s="319" t="s">
        <v>191</v>
      </c>
      <c r="AT1046" s="319" t="s">
        <v>190</v>
      </c>
      <c r="AU1046" s="319" t="s">
        <v>191</v>
      </c>
      <c r="AV1046" s="319" t="s">
        <v>191</v>
      </c>
      <c r="AW1046" s="319" t="s">
        <v>191</v>
      </c>
      <c r="AX1046" s="319" t="s">
        <v>428</v>
      </c>
      <c r="AY1046" s="319" t="s">
        <v>191</v>
      </c>
      <c r="AZ1046" s="319" t="s">
        <v>191</v>
      </c>
      <c r="BA1046" s="319" t="s">
        <v>191</v>
      </c>
      <c r="BB1046" s="319" t="s">
        <v>191</v>
      </c>
      <c r="BC1046" s="319" t="s">
        <v>191</v>
      </c>
      <c r="BD1046" s="319" t="s">
        <v>191</v>
      </c>
      <c r="BE1046" s="319" t="s">
        <v>191</v>
      </c>
      <c r="BF1046" s="319" t="s">
        <v>428</v>
      </c>
      <c r="BG1046" s="319" t="s">
        <v>428</v>
      </c>
      <c r="BH1046" s="319" t="s">
        <v>191</v>
      </c>
      <c r="BI1046" s="319" t="s">
        <v>191</v>
      </c>
      <c r="BJ1046" s="319" t="s">
        <v>191</v>
      </c>
      <c r="BK1046" s="319" t="s">
        <v>191</v>
      </c>
      <c r="BL1046" s="319" t="s">
        <v>191</v>
      </c>
      <c r="BM1046" s="319" t="s">
        <v>191</v>
      </c>
      <c r="BN1046" s="319" t="s">
        <v>191</v>
      </c>
      <c r="BO1046" s="319" t="s">
        <v>191</v>
      </c>
      <c r="BP1046" s="319" t="s">
        <v>191</v>
      </c>
      <c r="BQ1046" s="319" t="s">
        <v>191</v>
      </c>
      <c r="BR1046" s="319" t="s">
        <v>190</v>
      </c>
      <c r="BS1046" s="319" t="s">
        <v>190</v>
      </c>
      <c r="BT1046" s="319" t="s">
        <v>190</v>
      </c>
      <c r="BU1046" s="319" t="s">
        <v>191</v>
      </c>
      <c r="BV1046" s="319" t="s">
        <v>191</v>
      </c>
      <c r="BW1046" s="319" t="s">
        <v>191</v>
      </c>
      <c r="BX1046" s="319" t="s">
        <v>191</v>
      </c>
      <c r="BY1046" s="319" t="s">
        <v>191</v>
      </c>
      <c r="BZ1046" s="319" t="s">
        <v>191</v>
      </c>
      <c r="CA1046" s="319" t="s">
        <v>191</v>
      </c>
      <c r="CB1046" s="319" t="s">
        <v>191</v>
      </c>
      <c r="CC1046" s="319" t="s">
        <v>191</v>
      </c>
      <c r="CD1046" s="319" t="s">
        <v>191</v>
      </c>
      <c r="CE1046" s="319" t="s">
        <v>191</v>
      </c>
      <c r="CF1046" s="319" t="s">
        <v>191</v>
      </c>
      <c r="CG1046" s="319" t="s">
        <v>191</v>
      </c>
      <c r="CH1046" s="319" t="s">
        <v>191</v>
      </c>
      <c r="CI1046" s="319" t="s">
        <v>191</v>
      </c>
      <c r="CJ1046" s="319" t="s">
        <v>191</v>
      </c>
      <c r="CK1046" s="319" t="s">
        <v>191</v>
      </c>
      <c r="CL1046" s="319" t="s">
        <v>191</v>
      </c>
      <c r="CM1046" s="319" t="s">
        <v>191</v>
      </c>
      <c r="CN1046" s="319" t="s">
        <v>428</v>
      </c>
      <c r="CO1046" s="319" t="s">
        <v>428</v>
      </c>
      <c r="CP1046" s="319" t="s">
        <v>428</v>
      </c>
      <c r="CQ1046" s="319" t="s">
        <v>191</v>
      </c>
      <c r="CR1046" s="319" t="s">
        <v>190</v>
      </c>
      <c r="CS1046" s="319" t="s">
        <v>191</v>
      </c>
      <c r="CT1046" s="319" t="s">
        <v>190</v>
      </c>
      <c r="CU1046" s="319" t="s">
        <v>190</v>
      </c>
      <c r="CV1046" s="319" t="s">
        <v>191</v>
      </c>
      <c r="CW1046" s="319" t="s">
        <v>191</v>
      </c>
      <c r="CX1046" s="319" t="s">
        <v>191</v>
      </c>
      <c r="CY1046" s="319" t="s">
        <v>190</v>
      </c>
      <c r="CZ1046" s="319" t="s">
        <v>190</v>
      </c>
      <c r="DA1046" s="319" t="s">
        <v>191</v>
      </c>
      <c r="DB1046" s="319" t="s">
        <v>191</v>
      </c>
      <c r="DC1046" s="319" t="s">
        <v>191</v>
      </c>
      <c r="DD1046" s="319" t="s">
        <v>190</v>
      </c>
      <c r="DE1046" s="319" t="s">
        <v>190</v>
      </c>
      <c r="DF1046" s="319" t="s">
        <v>190</v>
      </c>
      <c r="DG1046" s="319" t="s">
        <v>190</v>
      </c>
      <c r="DH1046" s="319" t="s">
        <v>190</v>
      </c>
      <c r="DI1046" s="319" t="s">
        <v>190</v>
      </c>
      <c r="DJ1046" s="319" t="s">
        <v>190</v>
      </c>
      <c r="DK1046" s="319" t="s">
        <v>190</v>
      </c>
      <c r="DL1046" s="319" t="s">
        <v>190</v>
      </c>
      <c r="DM1046" s="319" t="s">
        <v>190</v>
      </c>
      <c r="DN1046" s="319" t="s">
        <v>190</v>
      </c>
      <c r="DO1046" s="319" t="s">
        <v>190</v>
      </c>
      <c r="DP1046" s="319" t="s">
        <v>428</v>
      </c>
      <c r="DQ1046" s="319" t="s">
        <v>428</v>
      </c>
      <c r="DR1046" s="319" t="s">
        <v>428</v>
      </c>
      <c r="DS1046" s="319" t="s">
        <v>428</v>
      </c>
      <c r="DT1046" s="319" t="s">
        <v>428</v>
      </c>
      <c r="DU1046" s="319" t="s">
        <v>428</v>
      </c>
      <c r="DV1046" s="319" t="s">
        <v>428</v>
      </c>
      <c r="DW1046" s="319" t="s">
        <v>428</v>
      </c>
      <c r="DX1046" s="319" t="s">
        <v>428</v>
      </c>
      <c r="DY1046" s="319" t="s">
        <v>428</v>
      </c>
      <c r="DZ1046" s="319" t="s">
        <v>428</v>
      </c>
      <c r="EA1046" s="319" t="s">
        <v>428</v>
      </c>
      <c r="EB1046" s="319" t="s">
        <v>428</v>
      </c>
      <c r="EC1046" s="319" t="s">
        <v>428</v>
      </c>
      <c r="ED1046" s="319" t="s">
        <v>428</v>
      </c>
      <c r="EE1046" s="319" t="s">
        <v>190</v>
      </c>
      <c r="EF1046" s="319" t="s">
        <v>190</v>
      </c>
      <c r="EG1046" s="319" t="s">
        <v>190</v>
      </c>
      <c r="EH1046" s="319" t="s">
        <v>190</v>
      </c>
      <c r="EI1046" s="319" t="s">
        <v>190</v>
      </c>
      <c r="EJ1046" s="319" t="s">
        <v>190</v>
      </c>
      <c r="EK1046" s="319" t="s">
        <v>190</v>
      </c>
      <c r="EL1046" s="319" t="s">
        <v>428</v>
      </c>
      <c r="EM1046" s="319" t="s">
        <v>428</v>
      </c>
      <c r="EN1046" s="319" t="s">
        <v>190</v>
      </c>
      <c r="EO1046" s="319" t="s">
        <v>190</v>
      </c>
      <c r="EP1046" s="319" t="s">
        <v>190</v>
      </c>
      <c r="EQ1046" s="319" t="s">
        <v>190</v>
      </c>
      <c r="ER1046" s="319" t="s">
        <v>190</v>
      </c>
      <c r="ES1046" s="319" t="s">
        <v>190</v>
      </c>
      <c r="ET1046" s="319" t="s">
        <v>190</v>
      </c>
      <c r="EU1046" s="319" t="s">
        <v>190</v>
      </c>
      <c r="EV1046" s="319" t="s">
        <v>190</v>
      </c>
      <c r="EW1046" s="319" t="s">
        <v>190</v>
      </c>
      <c r="EX1046" s="319" t="s">
        <v>190</v>
      </c>
      <c r="EY1046" s="319" t="s">
        <v>190</v>
      </c>
      <c r="EZ1046" s="319" t="s">
        <v>190</v>
      </c>
      <c r="FA1046" s="319" t="s">
        <v>428</v>
      </c>
      <c r="FB1046" s="319" t="s">
        <v>428</v>
      </c>
      <c r="FC1046" s="319" t="s">
        <v>428</v>
      </c>
      <c r="FD1046" s="319" t="s">
        <v>428</v>
      </c>
      <c r="FE1046" s="319" t="s">
        <v>428</v>
      </c>
      <c r="FF1046" s="319" t="s">
        <v>428</v>
      </c>
      <c r="FG1046" s="319" t="s">
        <v>428</v>
      </c>
      <c r="FH1046" s="319" t="s">
        <v>190</v>
      </c>
      <c r="FI1046" s="319" t="s">
        <v>428</v>
      </c>
      <c r="FJ1046" s="319" t="s">
        <v>190</v>
      </c>
      <c r="FK1046" s="319" t="s">
        <v>190</v>
      </c>
      <c r="FL1046" s="319" t="s">
        <v>190</v>
      </c>
      <c r="FM1046" s="319" t="s">
        <v>190</v>
      </c>
      <c r="FN1046" s="319" t="s">
        <v>190</v>
      </c>
      <c r="FO1046" s="319" t="s">
        <v>190</v>
      </c>
      <c r="FP1046" s="319" t="s">
        <v>190</v>
      </c>
      <c r="FQ1046" s="319" t="s">
        <v>190</v>
      </c>
      <c r="FR1046" s="319" t="s">
        <v>190</v>
      </c>
      <c r="FS1046" s="319" t="s">
        <v>428</v>
      </c>
      <c r="FT1046" s="319" t="s">
        <v>190</v>
      </c>
      <c r="FU1046" s="319" t="s">
        <v>191</v>
      </c>
      <c r="FV1046" s="319" t="s">
        <v>190</v>
      </c>
      <c r="FW1046" s="319" t="s">
        <v>190</v>
      </c>
      <c r="FX1046" s="319" t="s">
        <v>190</v>
      </c>
      <c r="FY1046" s="319" t="s">
        <v>190</v>
      </c>
      <c r="FZ1046" s="319" t="s">
        <v>190</v>
      </c>
      <c r="GA1046" s="319" t="s">
        <v>190</v>
      </c>
      <c r="GB1046" s="319" t="s">
        <v>190</v>
      </c>
      <c r="GC1046" s="319" t="s">
        <v>190</v>
      </c>
      <c r="GD1046" s="319" t="s">
        <v>190</v>
      </c>
      <c r="GE1046" s="319" t="s">
        <v>190</v>
      </c>
      <c r="GF1046" s="319" t="s">
        <v>190</v>
      </c>
      <c r="GG1046" s="319" t="s">
        <v>190</v>
      </c>
      <c r="GH1046" s="319" t="s">
        <v>190</v>
      </c>
      <c r="GI1046" s="319" t="s">
        <v>190</v>
      </c>
      <c r="GJ1046" s="319" t="s">
        <v>190</v>
      </c>
      <c r="GK1046" s="319" t="s">
        <v>428</v>
      </c>
      <c r="GL1046" s="319" t="s">
        <v>190</v>
      </c>
      <c r="GM1046" s="319" t="s">
        <v>190</v>
      </c>
      <c r="GN1046" s="319" t="s">
        <v>190</v>
      </c>
      <c r="GO1046" s="319" t="s">
        <v>190</v>
      </c>
      <c r="GP1046" s="319" t="s">
        <v>428</v>
      </c>
      <c r="GQ1046" s="319" t="s">
        <v>428</v>
      </c>
      <c r="GR1046" s="319" t="s">
        <v>190</v>
      </c>
      <c r="GS1046" s="319" t="s">
        <v>190</v>
      </c>
      <c r="GT1046" s="319" t="s">
        <v>428</v>
      </c>
      <c r="GU1046" s="319" t="s">
        <v>190</v>
      </c>
      <c r="GV1046" s="319" t="s">
        <v>190</v>
      </c>
      <c r="GW1046" s="319" t="s">
        <v>190</v>
      </c>
      <c r="GX1046" s="319" t="s">
        <v>190</v>
      </c>
      <c r="GY1046" s="319" t="s">
        <v>190</v>
      </c>
      <c r="GZ1046" s="319" t="s">
        <v>190</v>
      </c>
      <c r="HA1046" s="319" t="s">
        <v>190</v>
      </c>
      <c r="HB1046" s="319" t="s">
        <v>190</v>
      </c>
      <c r="HC1046" s="319" t="s">
        <v>190</v>
      </c>
      <c r="HD1046" s="319" t="s">
        <v>190</v>
      </c>
      <c r="HE1046" s="319" t="s">
        <v>190</v>
      </c>
      <c r="HF1046" s="319" t="s">
        <v>190</v>
      </c>
      <c r="HG1046" s="319" t="s">
        <v>190</v>
      </c>
      <c r="HH1046" s="319" t="s">
        <v>190</v>
      </c>
      <c r="HI1046" s="319" t="s">
        <v>428</v>
      </c>
      <c r="HJ1046" s="319" t="s">
        <v>190</v>
      </c>
      <c r="HK1046" s="319" t="s">
        <v>428</v>
      </c>
      <c r="HL1046" s="319" t="s">
        <v>428</v>
      </c>
      <c r="HM1046" s="319" t="s">
        <v>428</v>
      </c>
      <c r="HN1046" s="319" t="s">
        <v>428</v>
      </c>
      <c r="HO1046" s="319" t="s">
        <v>428</v>
      </c>
      <c r="HP1046" s="319" t="s">
        <v>190</v>
      </c>
      <c r="HQ1046" s="319" t="s">
        <v>190</v>
      </c>
      <c r="HR1046" s="319" t="s">
        <v>190</v>
      </c>
      <c r="HS1046" s="319" t="s">
        <v>190</v>
      </c>
      <c r="HT1046" s="319" t="s">
        <v>190</v>
      </c>
      <c r="HU1046" s="319" t="s">
        <v>190</v>
      </c>
      <c r="HV1046" s="319" t="s">
        <v>190</v>
      </c>
      <c r="HW1046" s="319" t="s">
        <v>190</v>
      </c>
      <c r="HX1046" s="319" t="s">
        <v>190</v>
      </c>
      <c r="HY1046" s="319" t="s">
        <v>190</v>
      </c>
      <c r="HZ1046" s="319" t="s">
        <v>190</v>
      </c>
      <c r="IA1046" s="319" t="s">
        <v>190</v>
      </c>
      <c r="IB1046" s="319" t="s">
        <v>190</v>
      </c>
      <c r="IC1046" s="319" t="s">
        <v>190</v>
      </c>
      <c r="ID1046" s="319" t="s">
        <v>190</v>
      </c>
      <c r="IE1046" s="319" t="s">
        <v>190</v>
      </c>
      <c r="IF1046" s="319" t="s">
        <v>191</v>
      </c>
      <c r="IG1046" s="319" t="s">
        <v>191</v>
      </c>
      <c r="IH1046" s="319" t="s">
        <v>191</v>
      </c>
      <c r="II1046" s="319" t="s">
        <v>191</v>
      </c>
      <c r="IJ1046" s="319" t="s">
        <v>173</v>
      </c>
      <c r="IK1046" s="319" t="s">
        <v>173</v>
      </c>
      <c r="IL1046" s="319" t="s">
        <v>173</v>
      </c>
      <c r="IM1046" s="319" t="s">
        <v>173</v>
      </c>
      <c r="IN1046" s="319" t="s">
        <v>173</v>
      </c>
      <c r="IO1046" s="319" t="s">
        <v>173</v>
      </c>
      <c r="IP1046" s="319" t="s">
        <v>173</v>
      </c>
      <c r="IQ1046" s="319" t="s">
        <v>173</v>
      </c>
      <c r="IR1046" s="320" t="s">
        <v>173</v>
      </c>
      <c r="IS1046" s="320" t="s">
        <v>173</v>
      </c>
      <c r="IT1046" s="319" t="s">
        <v>173</v>
      </c>
    </row>
    <row r="1047" spans="1:254" s="271" customFormat="1" x14ac:dyDescent="0.25">
      <c r="A1047" s="318" t="str">
        <f>HYPERLINK("http://www.ofsted.gov.uk/inspection-reports/find-inspection-report/provider/ELS/146790 ","Ofsted School Webpage")</f>
        <v>Ofsted School Webpage</v>
      </c>
      <c r="B1047" s="319">
        <v>146790</v>
      </c>
      <c r="C1047" s="319">
        <v>8386042</v>
      </c>
      <c r="D1047" s="319" t="s">
        <v>3595</v>
      </c>
      <c r="E1047" s="319" t="s">
        <v>168</v>
      </c>
      <c r="F1047" s="319" t="s">
        <v>434</v>
      </c>
      <c r="G1047" s="319" t="s">
        <v>81</v>
      </c>
      <c r="H1047" s="319" t="s">
        <v>81</v>
      </c>
      <c r="I1047" s="319" t="s">
        <v>78</v>
      </c>
      <c r="J1047" s="319" t="s">
        <v>424</v>
      </c>
      <c r="K1047" s="319" t="s">
        <v>422</v>
      </c>
      <c r="L1047" s="319" t="s">
        <v>422</v>
      </c>
      <c r="M1047" s="319" t="s">
        <v>570</v>
      </c>
      <c r="N1047" s="319" t="s">
        <v>2961</v>
      </c>
      <c r="O1047" s="319" t="s">
        <v>3596</v>
      </c>
      <c r="P1047" s="319" t="s">
        <v>173</v>
      </c>
      <c r="Q1047" s="319" t="s">
        <v>429</v>
      </c>
      <c r="R1047" s="320" t="s">
        <v>173</v>
      </c>
      <c r="S1047" s="321" t="s">
        <v>173</v>
      </c>
      <c r="T1047" s="321" t="s">
        <v>173</v>
      </c>
      <c r="U1047" s="321" t="s">
        <v>173</v>
      </c>
      <c r="V1047" s="319" t="s">
        <v>173</v>
      </c>
      <c r="W1047" s="319" t="s">
        <v>173</v>
      </c>
      <c r="X1047" s="319" t="s">
        <v>173</v>
      </c>
      <c r="Y1047" s="319" t="s">
        <v>173</v>
      </c>
      <c r="Z1047" s="319" t="s">
        <v>173</v>
      </c>
      <c r="AA1047" s="319" t="s">
        <v>173</v>
      </c>
      <c r="AB1047" s="319" t="s">
        <v>173</v>
      </c>
      <c r="AC1047" s="319" t="s">
        <v>173</v>
      </c>
      <c r="AD1047" s="319" t="s">
        <v>173</v>
      </c>
      <c r="AE1047" s="319" t="s">
        <v>173</v>
      </c>
      <c r="AF1047" s="319" t="s">
        <v>173</v>
      </c>
      <c r="AG1047" s="319" t="s">
        <v>173</v>
      </c>
      <c r="AH1047" s="319" t="s">
        <v>173</v>
      </c>
      <c r="AI1047" s="319" t="s">
        <v>173</v>
      </c>
      <c r="AJ1047" s="319" t="s">
        <v>173</v>
      </c>
      <c r="AK1047" s="319" t="s">
        <v>173</v>
      </c>
      <c r="AL1047" s="319" t="s">
        <v>173</v>
      </c>
      <c r="AM1047" s="319" t="s">
        <v>173</v>
      </c>
      <c r="AN1047" s="319" t="s">
        <v>173</v>
      </c>
      <c r="AO1047" s="319" t="s">
        <v>173</v>
      </c>
      <c r="AP1047" s="319" t="s">
        <v>173</v>
      </c>
      <c r="AQ1047" s="319" t="s">
        <v>173</v>
      </c>
      <c r="AR1047" s="319" t="s">
        <v>173</v>
      </c>
      <c r="AS1047" s="319" t="s">
        <v>173</v>
      </c>
      <c r="AT1047" s="319" t="s">
        <v>173</v>
      </c>
      <c r="AU1047" s="319" t="s">
        <v>173</v>
      </c>
      <c r="AV1047" s="319" t="s">
        <v>173</v>
      </c>
      <c r="AW1047" s="319" t="s">
        <v>173</v>
      </c>
      <c r="AX1047" s="319" t="s">
        <v>173</v>
      </c>
      <c r="AY1047" s="319" t="s">
        <v>173</v>
      </c>
      <c r="AZ1047" s="319" t="s">
        <v>173</v>
      </c>
      <c r="BA1047" s="319" t="s">
        <v>173</v>
      </c>
      <c r="BB1047" s="319" t="s">
        <v>173</v>
      </c>
      <c r="BC1047" s="319" t="s">
        <v>173</v>
      </c>
      <c r="BD1047" s="319" t="s">
        <v>173</v>
      </c>
      <c r="BE1047" s="319" t="s">
        <v>173</v>
      </c>
      <c r="BF1047" s="319" t="s">
        <v>173</v>
      </c>
      <c r="BG1047" s="319" t="s">
        <v>173</v>
      </c>
      <c r="BH1047" s="319" t="s">
        <v>173</v>
      </c>
      <c r="BI1047" s="319" t="s">
        <v>173</v>
      </c>
      <c r="BJ1047" s="319" t="s">
        <v>173</v>
      </c>
      <c r="BK1047" s="319" t="s">
        <v>173</v>
      </c>
      <c r="BL1047" s="319" t="s">
        <v>173</v>
      </c>
      <c r="BM1047" s="319" t="s">
        <v>173</v>
      </c>
      <c r="BN1047" s="319" t="s">
        <v>173</v>
      </c>
      <c r="BO1047" s="319" t="s">
        <v>173</v>
      </c>
      <c r="BP1047" s="319" t="s">
        <v>173</v>
      </c>
      <c r="BQ1047" s="319" t="s">
        <v>173</v>
      </c>
      <c r="BR1047" s="319" t="s">
        <v>173</v>
      </c>
      <c r="BS1047" s="319" t="s">
        <v>173</v>
      </c>
      <c r="BT1047" s="319" t="s">
        <v>173</v>
      </c>
      <c r="BU1047" s="319" t="s">
        <v>173</v>
      </c>
      <c r="BV1047" s="319" t="s">
        <v>173</v>
      </c>
      <c r="BW1047" s="319" t="s">
        <v>173</v>
      </c>
      <c r="BX1047" s="319" t="s">
        <v>173</v>
      </c>
      <c r="BY1047" s="319" t="s">
        <v>173</v>
      </c>
      <c r="BZ1047" s="319" t="s">
        <v>173</v>
      </c>
      <c r="CA1047" s="319" t="s">
        <v>173</v>
      </c>
      <c r="CB1047" s="319" t="s">
        <v>173</v>
      </c>
      <c r="CC1047" s="319" t="s">
        <v>173</v>
      </c>
      <c r="CD1047" s="319" t="s">
        <v>173</v>
      </c>
      <c r="CE1047" s="319" t="s">
        <v>173</v>
      </c>
      <c r="CF1047" s="319" t="s">
        <v>173</v>
      </c>
      <c r="CG1047" s="319" t="s">
        <v>173</v>
      </c>
      <c r="CH1047" s="319" t="s">
        <v>173</v>
      </c>
      <c r="CI1047" s="319" t="s">
        <v>173</v>
      </c>
      <c r="CJ1047" s="319" t="s">
        <v>173</v>
      </c>
      <c r="CK1047" s="319" t="s">
        <v>173</v>
      </c>
      <c r="CL1047" s="319" t="s">
        <v>173</v>
      </c>
      <c r="CM1047" s="319" t="s">
        <v>173</v>
      </c>
      <c r="CN1047" s="319" t="s">
        <v>173</v>
      </c>
      <c r="CO1047" s="319" t="s">
        <v>173</v>
      </c>
      <c r="CP1047" s="319" t="s">
        <v>173</v>
      </c>
      <c r="CQ1047" s="319" t="s">
        <v>173</v>
      </c>
      <c r="CR1047" s="319" t="s">
        <v>173</v>
      </c>
      <c r="CS1047" s="319" t="s">
        <v>173</v>
      </c>
      <c r="CT1047" s="319" t="s">
        <v>173</v>
      </c>
      <c r="CU1047" s="319" t="s">
        <v>173</v>
      </c>
      <c r="CV1047" s="319" t="s">
        <v>173</v>
      </c>
      <c r="CW1047" s="319" t="s">
        <v>173</v>
      </c>
      <c r="CX1047" s="319" t="s">
        <v>173</v>
      </c>
      <c r="CY1047" s="319" t="s">
        <v>173</v>
      </c>
      <c r="CZ1047" s="319" t="s">
        <v>173</v>
      </c>
      <c r="DA1047" s="319" t="s">
        <v>173</v>
      </c>
      <c r="DB1047" s="319" t="s">
        <v>173</v>
      </c>
      <c r="DC1047" s="319" t="s">
        <v>173</v>
      </c>
      <c r="DD1047" s="319" t="s">
        <v>173</v>
      </c>
      <c r="DE1047" s="319" t="s">
        <v>173</v>
      </c>
      <c r="DF1047" s="319" t="s">
        <v>173</v>
      </c>
      <c r="DG1047" s="319" t="s">
        <v>173</v>
      </c>
      <c r="DH1047" s="319" t="s">
        <v>173</v>
      </c>
      <c r="DI1047" s="319" t="s">
        <v>173</v>
      </c>
      <c r="DJ1047" s="319" t="s">
        <v>173</v>
      </c>
      <c r="DK1047" s="319" t="s">
        <v>173</v>
      </c>
      <c r="DL1047" s="319" t="s">
        <v>173</v>
      </c>
      <c r="DM1047" s="319" t="s">
        <v>173</v>
      </c>
      <c r="DN1047" s="319" t="s">
        <v>173</v>
      </c>
      <c r="DO1047" s="319" t="s">
        <v>173</v>
      </c>
      <c r="DP1047" s="319" t="s">
        <v>173</v>
      </c>
      <c r="DQ1047" s="319" t="s">
        <v>173</v>
      </c>
      <c r="DR1047" s="319" t="s">
        <v>173</v>
      </c>
      <c r="DS1047" s="319" t="s">
        <v>173</v>
      </c>
      <c r="DT1047" s="319" t="s">
        <v>173</v>
      </c>
      <c r="DU1047" s="319" t="s">
        <v>173</v>
      </c>
      <c r="DV1047" s="319" t="s">
        <v>173</v>
      </c>
      <c r="DW1047" s="319" t="s">
        <v>173</v>
      </c>
      <c r="DX1047" s="319" t="s">
        <v>173</v>
      </c>
      <c r="DY1047" s="319" t="s">
        <v>173</v>
      </c>
      <c r="DZ1047" s="319" t="s">
        <v>173</v>
      </c>
      <c r="EA1047" s="319" t="s">
        <v>173</v>
      </c>
      <c r="EB1047" s="319" t="s">
        <v>173</v>
      </c>
      <c r="EC1047" s="319" t="s">
        <v>173</v>
      </c>
      <c r="ED1047" s="319" t="s">
        <v>173</v>
      </c>
      <c r="EE1047" s="319" t="s">
        <v>173</v>
      </c>
      <c r="EF1047" s="319" t="s">
        <v>173</v>
      </c>
      <c r="EG1047" s="319" t="s">
        <v>173</v>
      </c>
      <c r="EH1047" s="319" t="s">
        <v>173</v>
      </c>
      <c r="EI1047" s="319" t="s">
        <v>173</v>
      </c>
      <c r="EJ1047" s="319" t="s">
        <v>173</v>
      </c>
      <c r="EK1047" s="319" t="s">
        <v>173</v>
      </c>
      <c r="EL1047" s="319" t="s">
        <v>173</v>
      </c>
      <c r="EM1047" s="319" t="s">
        <v>173</v>
      </c>
      <c r="EN1047" s="319" t="s">
        <v>173</v>
      </c>
      <c r="EO1047" s="319" t="s">
        <v>173</v>
      </c>
      <c r="EP1047" s="319" t="s">
        <v>173</v>
      </c>
      <c r="EQ1047" s="319" t="s">
        <v>173</v>
      </c>
      <c r="ER1047" s="319" t="s">
        <v>173</v>
      </c>
      <c r="ES1047" s="319" t="s">
        <v>173</v>
      </c>
      <c r="ET1047" s="319" t="s">
        <v>173</v>
      </c>
      <c r="EU1047" s="319" t="s">
        <v>173</v>
      </c>
      <c r="EV1047" s="319" t="s">
        <v>173</v>
      </c>
      <c r="EW1047" s="319" t="s">
        <v>173</v>
      </c>
      <c r="EX1047" s="319" t="s">
        <v>173</v>
      </c>
      <c r="EY1047" s="319" t="s">
        <v>173</v>
      </c>
      <c r="EZ1047" s="319" t="s">
        <v>173</v>
      </c>
      <c r="FA1047" s="319" t="s">
        <v>173</v>
      </c>
      <c r="FB1047" s="319" t="s">
        <v>173</v>
      </c>
      <c r="FC1047" s="319" t="s">
        <v>173</v>
      </c>
      <c r="FD1047" s="319" t="s">
        <v>173</v>
      </c>
      <c r="FE1047" s="319" t="s">
        <v>173</v>
      </c>
      <c r="FF1047" s="319" t="s">
        <v>173</v>
      </c>
      <c r="FG1047" s="319" t="s">
        <v>173</v>
      </c>
      <c r="FH1047" s="319" t="s">
        <v>173</v>
      </c>
      <c r="FI1047" s="319" t="s">
        <v>173</v>
      </c>
      <c r="FJ1047" s="319" t="s">
        <v>173</v>
      </c>
      <c r="FK1047" s="319" t="s">
        <v>173</v>
      </c>
      <c r="FL1047" s="319" t="s">
        <v>173</v>
      </c>
      <c r="FM1047" s="319" t="s">
        <v>173</v>
      </c>
      <c r="FN1047" s="319" t="s">
        <v>173</v>
      </c>
      <c r="FO1047" s="319" t="s">
        <v>173</v>
      </c>
      <c r="FP1047" s="319" t="s">
        <v>173</v>
      </c>
      <c r="FQ1047" s="319" t="s">
        <v>173</v>
      </c>
      <c r="FR1047" s="319" t="s">
        <v>173</v>
      </c>
      <c r="FS1047" s="319" t="s">
        <v>173</v>
      </c>
      <c r="FT1047" s="319" t="s">
        <v>173</v>
      </c>
      <c r="FU1047" s="319" t="s">
        <v>173</v>
      </c>
      <c r="FV1047" s="319" t="s">
        <v>173</v>
      </c>
      <c r="FW1047" s="319" t="s">
        <v>173</v>
      </c>
      <c r="FX1047" s="319" t="s">
        <v>173</v>
      </c>
      <c r="FY1047" s="319" t="s">
        <v>173</v>
      </c>
      <c r="FZ1047" s="319" t="s">
        <v>173</v>
      </c>
      <c r="GA1047" s="319" t="s">
        <v>173</v>
      </c>
      <c r="GB1047" s="319" t="s">
        <v>173</v>
      </c>
      <c r="GC1047" s="319" t="s">
        <v>173</v>
      </c>
      <c r="GD1047" s="319" t="s">
        <v>173</v>
      </c>
      <c r="GE1047" s="319" t="s">
        <v>173</v>
      </c>
      <c r="GF1047" s="319" t="s">
        <v>173</v>
      </c>
      <c r="GG1047" s="319" t="s">
        <v>173</v>
      </c>
      <c r="GH1047" s="319" t="s">
        <v>173</v>
      </c>
      <c r="GI1047" s="319" t="s">
        <v>173</v>
      </c>
      <c r="GJ1047" s="319" t="s">
        <v>173</v>
      </c>
      <c r="GK1047" s="319" t="s">
        <v>173</v>
      </c>
      <c r="GL1047" s="319" t="s">
        <v>173</v>
      </c>
      <c r="GM1047" s="319" t="s">
        <v>173</v>
      </c>
      <c r="GN1047" s="319" t="s">
        <v>173</v>
      </c>
      <c r="GO1047" s="319" t="s">
        <v>173</v>
      </c>
      <c r="GP1047" s="319" t="s">
        <v>173</v>
      </c>
      <c r="GQ1047" s="319" t="s">
        <v>173</v>
      </c>
      <c r="GR1047" s="319" t="s">
        <v>173</v>
      </c>
      <c r="GS1047" s="319" t="s">
        <v>173</v>
      </c>
      <c r="GT1047" s="319" t="s">
        <v>173</v>
      </c>
      <c r="GU1047" s="319" t="s">
        <v>173</v>
      </c>
      <c r="GV1047" s="319" t="s">
        <v>173</v>
      </c>
      <c r="GW1047" s="319" t="s">
        <v>173</v>
      </c>
      <c r="GX1047" s="319" t="s">
        <v>173</v>
      </c>
      <c r="GY1047" s="319" t="s">
        <v>173</v>
      </c>
      <c r="GZ1047" s="319" t="s">
        <v>173</v>
      </c>
      <c r="HA1047" s="319" t="s">
        <v>173</v>
      </c>
      <c r="HB1047" s="319" t="s">
        <v>173</v>
      </c>
      <c r="HC1047" s="319" t="s">
        <v>173</v>
      </c>
      <c r="HD1047" s="319" t="s">
        <v>173</v>
      </c>
      <c r="HE1047" s="319" t="s">
        <v>173</v>
      </c>
      <c r="HF1047" s="319" t="s">
        <v>173</v>
      </c>
      <c r="HG1047" s="319" t="s">
        <v>173</v>
      </c>
      <c r="HH1047" s="319" t="s">
        <v>173</v>
      </c>
      <c r="HI1047" s="319" t="s">
        <v>173</v>
      </c>
      <c r="HJ1047" s="319" t="s">
        <v>173</v>
      </c>
      <c r="HK1047" s="319" t="s">
        <v>173</v>
      </c>
      <c r="HL1047" s="319" t="s">
        <v>173</v>
      </c>
      <c r="HM1047" s="319" t="s">
        <v>173</v>
      </c>
      <c r="HN1047" s="319" t="s">
        <v>173</v>
      </c>
      <c r="HO1047" s="319" t="s">
        <v>173</v>
      </c>
      <c r="HP1047" s="319" t="s">
        <v>173</v>
      </c>
      <c r="HQ1047" s="319" t="s">
        <v>173</v>
      </c>
      <c r="HR1047" s="319" t="s">
        <v>173</v>
      </c>
      <c r="HS1047" s="319" t="s">
        <v>173</v>
      </c>
      <c r="HT1047" s="319" t="s">
        <v>173</v>
      </c>
      <c r="HU1047" s="319" t="s">
        <v>173</v>
      </c>
      <c r="HV1047" s="319" t="s">
        <v>173</v>
      </c>
      <c r="HW1047" s="319" t="s">
        <v>173</v>
      </c>
      <c r="HX1047" s="319" t="s">
        <v>173</v>
      </c>
      <c r="HY1047" s="319" t="s">
        <v>173</v>
      </c>
      <c r="HZ1047" s="319" t="s">
        <v>173</v>
      </c>
      <c r="IA1047" s="319" t="s">
        <v>173</v>
      </c>
      <c r="IB1047" s="319" t="s">
        <v>173</v>
      </c>
      <c r="IC1047" s="319" t="s">
        <v>173</v>
      </c>
      <c r="ID1047" s="319" t="s">
        <v>173</v>
      </c>
      <c r="IE1047" s="319" t="s">
        <v>173</v>
      </c>
      <c r="IF1047" s="319" t="s">
        <v>173</v>
      </c>
      <c r="IG1047" s="319" t="s">
        <v>173</v>
      </c>
      <c r="IH1047" s="319" t="s">
        <v>173</v>
      </c>
      <c r="II1047" s="319" t="s">
        <v>173</v>
      </c>
      <c r="IJ1047" s="319" t="s">
        <v>173</v>
      </c>
      <c r="IK1047" s="319" t="s">
        <v>173</v>
      </c>
      <c r="IL1047" s="319" t="s">
        <v>173</v>
      </c>
      <c r="IM1047" s="319" t="s">
        <v>173</v>
      </c>
      <c r="IN1047" s="319" t="s">
        <v>173</v>
      </c>
      <c r="IO1047" s="319" t="s">
        <v>173</v>
      </c>
      <c r="IP1047" s="319" t="s">
        <v>173</v>
      </c>
      <c r="IQ1047" s="319" t="s">
        <v>173</v>
      </c>
      <c r="IR1047" s="320" t="s">
        <v>173</v>
      </c>
      <c r="IS1047" s="320" t="s">
        <v>173</v>
      </c>
      <c r="IT1047" s="319" t="s">
        <v>173</v>
      </c>
    </row>
    <row r="1048" spans="1:254" s="271" customFormat="1" x14ac:dyDescent="0.25">
      <c r="A1048" s="318" t="str">
        <f>HYPERLINK("http://www.ofsted.gov.uk/inspection-reports/find-inspection-report/provider/ELS/146804 ","Ofsted School Webpage")</f>
        <v>Ofsted School Webpage</v>
      </c>
      <c r="B1048" s="319">
        <v>146804</v>
      </c>
      <c r="C1048" s="319">
        <v>8816073</v>
      </c>
      <c r="D1048" s="319" t="s">
        <v>3597</v>
      </c>
      <c r="E1048" s="319" t="s">
        <v>168</v>
      </c>
      <c r="F1048" s="319" t="s">
        <v>434</v>
      </c>
      <c r="G1048" s="319" t="s">
        <v>81</v>
      </c>
      <c r="H1048" s="319" t="s">
        <v>81</v>
      </c>
      <c r="I1048" s="319" t="s">
        <v>78</v>
      </c>
      <c r="J1048" s="319" t="s">
        <v>424</v>
      </c>
      <c r="K1048" s="319" t="s">
        <v>451</v>
      </c>
      <c r="L1048" s="319" t="s">
        <v>451</v>
      </c>
      <c r="M1048" s="319" t="s">
        <v>679</v>
      </c>
      <c r="N1048" s="319" t="s">
        <v>3598</v>
      </c>
      <c r="O1048" s="319" t="s">
        <v>3599</v>
      </c>
      <c r="P1048" s="319" t="s">
        <v>173</v>
      </c>
      <c r="Q1048" s="319" t="s">
        <v>429</v>
      </c>
      <c r="R1048" s="320" t="s">
        <v>173</v>
      </c>
      <c r="S1048" s="321" t="s">
        <v>173</v>
      </c>
      <c r="T1048" s="321" t="s">
        <v>173</v>
      </c>
      <c r="U1048" s="321" t="s">
        <v>173</v>
      </c>
      <c r="V1048" s="319" t="s">
        <v>173</v>
      </c>
      <c r="W1048" s="319" t="s">
        <v>173</v>
      </c>
      <c r="X1048" s="319" t="s">
        <v>173</v>
      </c>
      <c r="Y1048" s="319" t="s">
        <v>173</v>
      </c>
      <c r="Z1048" s="319" t="s">
        <v>173</v>
      </c>
      <c r="AA1048" s="319" t="s">
        <v>173</v>
      </c>
      <c r="AB1048" s="319" t="s">
        <v>173</v>
      </c>
      <c r="AC1048" s="319" t="s">
        <v>173</v>
      </c>
      <c r="AD1048" s="319" t="s">
        <v>173</v>
      </c>
      <c r="AE1048" s="319" t="s">
        <v>173</v>
      </c>
      <c r="AF1048" s="319" t="s">
        <v>173</v>
      </c>
      <c r="AG1048" s="319" t="s">
        <v>173</v>
      </c>
      <c r="AH1048" s="319" t="s">
        <v>173</v>
      </c>
      <c r="AI1048" s="319" t="s">
        <v>173</v>
      </c>
      <c r="AJ1048" s="319" t="s">
        <v>173</v>
      </c>
      <c r="AK1048" s="319" t="s">
        <v>173</v>
      </c>
      <c r="AL1048" s="319" t="s">
        <v>173</v>
      </c>
      <c r="AM1048" s="319" t="s">
        <v>173</v>
      </c>
      <c r="AN1048" s="319" t="s">
        <v>173</v>
      </c>
      <c r="AO1048" s="319" t="s">
        <v>173</v>
      </c>
      <c r="AP1048" s="319" t="s">
        <v>173</v>
      </c>
      <c r="AQ1048" s="319" t="s">
        <v>173</v>
      </c>
      <c r="AR1048" s="319" t="s">
        <v>173</v>
      </c>
      <c r="AS1048" s="319" t="s">
        <v>173</v>
      </c>
      <c r="AT1048" s="319" t="s">
        <v>173</v>
      </c>
      <c r="AU1048" s="319" t="s">
        <v>173</v>
      </c>
      <c r="AV1048" s="319" t="s">
        <v>173</v>
      </c>
      <c r="AW1048" s="319" t="s">
        <v>173</v>
      </c>
      <c r="AX1048" s="319" t="s">
        <v>173</v>
      </c>
      <c r="AY1048" s="319" t="s">
        <v>173</v>
      </c>
      <c r="AZ1048" s="319" t="s">
        <v>173</v>
      </c>
      <c r="BA1048" s="319" t="s">
        <v>173</v>
      </c>
      <c r="BB1048" s="319" t="s">
        <v>173</v>
      </c>
      <c r="BC1048" s="319" t="s">
        <v>173</v>
      </c>
      <c r="BD1048" s="319" t="s">
        <v>173</v>
      </c>
      <c r="BE1048" s="319" t="s">
        <v>173</v>
      </c>
      <c r="BF1048" s="319" t="s">
        <v>173</v>
      </c>
      <c r="BG1048" s="319" t="s">
        <v>173</v>
      </c>
      <c r="BH1048" s="319" t="s">
        <v>173</v>
      </c>
      <c r="BI1048" s="319" t="s">
        <v>173</v>
      </c>
      <c r="BJ1048" s="319" t="s">
        <v>173</v>
      </c>
      <c r="BK1048" s="319" t="s">
        <v>173</v>
      </c>
      <c r="BL1048" s="319" t="s">
        <v>173</v>
      </c>
      <c r="BM1048" s="319" t="s">
        <v>173</v>
      </c>
      <c r="BN1048" s="319" t="s">
        <v>173</v>
      </c>
      <c r="BO1048" s="319" t="s">
        <v>173</v>
      </c>
      <c r="BP1048" s="319" t="s">
        <v>173</v>
      </c>
      <c r="BQ1048" s="319" t="s">
        <v>173</v>
      </c>
      <c r="BR1048" s="319" t="s">
        <v>173</v>
      </c>
      <c r="BS1048" s="319" t="s">
        <v>173</v>
      </c>
      <c r="BT1048" s="319" t="s">
        <v>173</v>
      </c>
      <c r="BU1048" s="319" t="s">
        <v>173</v>
      </c>
      <c r="BV1048" s="319" t="s">
        <v>173</v>
      </c>
      <c r="BW1048" s="319" t="s">
        <v>173</v>
      </c>
      <c r="BX1048" s="319" t="s">
        <v>173</v>
      </c>
      <c r="BY1048" s="319" t="s">
        <v>173</v>
      </c>
      <c r="BZ1048" s="319" t="s">
        <v>173</v>
      </c>
      <c r="CA1048" s="319" t="s">
        <v>173</v>
      </c>
      <c r="CB1048" s="319" t="s">
        <v>173</v>
      </c>
      <c r="CC1048" s="319" t="s">
        <v>173</v>
      </c>
      <c r="CD1048" s="319" t="s">
        <v>173</v>
      </c>
      <c r="CE1048" s="319" t="s">
        <v>173</v>
      </c>
      <c r="CF1048" s="319" t="s">
        <v>173</v>
      </c>
      <c r="CG1048" s="319" t="s">
        <v>173</v>
      </c>
      <c r="CH1048" s="319" t="s">
        <v>173</v>
      </c>
      <c r="CI1048" s="319" t="s">
        <v>173</v>
      </c>
      <c r="CJ1048" s="319" t="s">
        <v>173</v>
      </c>
      <c r="CK1048" s="319" t="s">
        <v>173</v>
      </c>
      <c r="CL1048" s="319" t="s">
        <v>173</v>
      </c>
      <c r="CM1048" s="319" t="s">
        <v>173</v>
      </c>
      <c r="CN1048" s="319" t="s">
        <v>173</v>
      </c>
      <c r="CO1048" s="319" t="s">
        <v>173</v>
      </c>
      <c r="CP1048" s="319" t="s">
        <v>173</v>
      </c>
      <c r="CQ1048" s="319" t="s">
        <v>173</v>
      </c>
      <c r="CR1048" s="319" t="s">
        <v>173</v>
      </c>
      <c r="CS1048" s="319" t="s">
        <v>173</v>
      </c>
      <c r="CT1048" s="319" t="s">
        <v>173</v>
      </c>
      <c r="CU1048" s="319" t="s">
        <v>173</v>
      </c>
      <c r="CV1048" s="319" t="s">
        <v>173</v>
      </c>
      <c r="CW1048" s="319" t="s">
        <v>173</v>
      </c>
      <c r="CX1048" s="319" t="s">
        <v>173</v>
      </c>
      <c r="CY1048" s="319" t="s">
        <v>173</v>
      </c>
      <c r="CZ1048" s="319" t="s">
        <v>173</v>
      </c>
      <c r="DA1048" s="319" t="s">
        <v>173</v>
      </c>
      <c r="DB1048" s="319" t="s">
        <v>173</v>
      </c>
      <c r="DC1048" s="319" t="s">
        <v>173</v>
      </c>
      <c r="DD1048" s="319" t="s">
        <v>173</v>
      </c>
      <c r="DE1048" s="319" t="s">
        <v>173</v>
      </c>
      <c r="DF1048" s="319" t="s">
        <v>173</v>
      </c>
      <c r="DG1048" s="319" t="s">
        <v>173</v>
      </c>
      <c r="DH1048" s="319" t="s">
        <v>173</v>
      </c>
      <c r="DI1048" s="319" t="s">
        <v>173</v>
      </c>
      <c r="DJ1048" s="319" t="s">
        <v>173</v>
      </c>
      <c r="DK1048" s="319" t="s">
        <v>173</v>
      </c>
      <c r="DL1048" s="319" t="s">
        <v>173</v>
      </c>
      <c r="DM1048" s="319" t="s">
        <v>173</v>
      </c>
      <c r="DN1048" s="319" t="s">
        <v>173</v>
      </c>
      <c r="DO1048" s="319" t="s">
        <v>173</v>
      </c>
      <c r="DP1048" s="319" t="s">
        <v>173</v>
      </c>
      <c r="DQ1048" s="319" t="s">
        <v>173</v>
      </c>
      <c r="DR1048" s="319" t="s">
        <v>173</v>
      </c>
      <c r="DS1048" s="319" t="s">
        <v>173</v>
      </c>
      <c r="DT1048" s="319" t="s">
        <v>173</v>
      </c>
      <c r="DU1048" s="319" t="s">
        <v>173</v>
      </c>
      <c r="DV1048" s="319" t="s">
        <v>173</v>
      </c>
      <c r="DW1048" s="319" t="s">
        <v>173</v>
      </c>
      <c r="DX1048" s="319" t="s">
        <v>173</v>
      </c>
      <c r="DY1048" s="319" t="s">
        <v>173</v>
      </c>
      <c r="DZ1048" s="319" t="s">
        <v>173</v>
      </c>
      <c r="EA1048" s="319" t="s">
        <v>173</v>
      </c>
      <c r="EB1048" s="319" t="s">
        <v>173</v>
      </c>
      <c r="EC1048" s="319" t="s">
        <v>173</v>
      </c>
      <c r="ED1048" s="319" t="s">
        <v>173</v>
      </c>
      <c r="EE1048" s="319" t="s">
        <v>173</v>
      </c>
      <c r="EF1048" s="319" t="s">
        <v>173</v>
      </c>
      <c r="EG1048" s="319" t="s">
        <v>173</v>
      </c>
      <c r="EH1048" s="319" t="s">
        <v>173</v>
      </c>
      <c r="EI1048" s="319" t="s">
        <v>173</v>
      </c>
      <c r="EJ1048" s="319" t="s">
        <v>173</v>
      </c>
      <c r="EK1048" s="319" t="s">
        <v>173</v>
      </c>
      <c r="EL1048" s="319" t="s">
        <v>173</v>
      </c>
      <c r="EM1048" s="319" t="s">
        <v>173</v>
      </c>
      <c r="EN1048" s="319" t="s">
        <v>173</v>
      </c>
      <c r="EO1048" s="319" t="s">
        <v>173</v>
      </c>
      <c r="EP1048" s="319" t="s">
        <v>173</v>
      </c>
      <c r="EQ1048" s="319" t="s">
        <v>173</v>
      </c>
      <c r="ER1048" s="319" t="s">
        <v>173</v>
      </c>
      <c r="ES1048" s="319" t="s">
        <v>173</v>
      </c>
      <c r="ET1048" s="319" t="s">
        <v>173</v>
      </c>
      <c r="EU1048" s="319" t="s">
        <v>173</v>
      </c>
      <c r="EV1048" s="319" t="s">
        <v>173</v>
      </c>
      <c r="EW1048" s="319" t="s">
        <v>173</v>
      </c>
      <c r="EX1048" s="319" t="s">
        <v>173</v>
      </c>
      <c r="EY1048" s="319" t="s">
        <v>173</v>
      </c>
      <c r="EZ1048" s="319" t="s">
        <v>173</v>
      </c>
      <c r="FA1048" s="319" t="s">
        <v>173</v>
      </c>
      <c r="FB1048" s="319" t="s">
        <v>173</v>
      </c>
      <c r="FC1048" s="319" t="s">
        <v>173</v>
      </c>
      <c r="FD1048" s="319" t="s">
        <v>173</v>
      </c>
      <c r="FE1048" s="319" t="s">
        <v>173</v>
      </c>
      <c r="FF1048" s="319" t="s">
        <v>173</v>
      </c>
      <c r="FG1048" s="319" t="s">
        <v>173</v>
      </c>
      <c r="FH1048" s="319" t="s">
        <v>173</v>
      </c>
      <c r="FI1048" s="319" t="s">
        <v>173</v>
      </c>
      <c r="FJ1048" s="319" t="s">
        <v>173</v>
      </c>
      <c r="FK1048" s="319" t="s">
        <v>173</v>
      </c>
      <c r="FL1048" s="319" t="s">
        <v>173</v>
      </c>
      <c r="FM1048" s="319" t="s">
        <v>173</v>
      </c>
      <c r="FN1048" s="319" t="s">
        <v>173</v>
      </c>
      <c r="FO1048" s="319" t="s">
        <v>173</v>
      </c>
      <c r="FP1048" s="319" t="s">
        <v>173</v>
      </c>
      <c r="FQ1048" s="319" t="s">
        <v>173</v>
      </c>
      <c r="FR1048" s="319" t="s">
        <v>173</v>
      </c>
      <c r="FS1048" s="319" t="s">
        <v>173</v>
      </c>
      <c r="FT1048" s="319" t="s">
        <v>173</v>
      </c>
      <c r="FU1048" s="319" t="s">
        <v>173</v>
      </c>
      <c r="FV1048" s="319" t="s">
        <v>173</v>
      </c>
      <c r="FW1048" s="319" t="s">
        <v>173</v>
      </c>
      <c r="FX1048" s="319" t="s">
        <v>173</v>
      </c>
      <c r="FY1048" s="319" t="s">
        <v>173</v>
      </c>
      <c r="FZ1048" s="319" t="s">
        <v>173</v>
      </c>
      <c r="GA1048" s="319" t="s">
        <v>173</v>
      </c>
      <c r="GB1048" s="319" t="s">
        <v>173</v>
      </c>
      <c r="GC1048" s="319" t="s">
        <v>173</v>
      </c>
      <c r="GD1048" s="319" t="s">
        <v>173</v>
      </c>
      <c r="GE1048" s="319" t="s">
        <v>173</v>
      </c>
      <c r="GF1048" s="319" t="s">
        <v>173</v>
      </c>
      <c r="GG1048" s="319" t="s">
        <v>173</v>
      </c>
      <c r="GH1048" s="319" t="s">
        <v>173</v>
      </c>
      <c r="GI1048" s="319" t="s">
        <v>173</v>
      </c>
      <c r="GJ1048" s="319" t="s">
        <v>173</v>
      </c>
      <c r="GK1048" s="319" t="s">
        <v>173</v>
      </c>
      <c r="GL1048" s="319" t="s">
        <v>173</v>
      </c>
      <c r="GM1048" s="319" t="s">
        <v>173</v>
      </c>
      <c r="GN1048" s="319" t="s">
        <v>173</v>
      </c>
      <c r="GO1048" s="319" t="s">
        <v>173</v>
      </c>
      <c r="GP1048" s="319" t="s">
        <v>173</v>
      </c>
      <c r="GQ1048" s="319" t="s">
        <v>173</v>
      </c>
      <c r="GR1048" s="319" t="s">
        <v>173</v>
      </c>
      <c r="GS1048" s="319" t="s">
        <v>173</v>
      </c>
      <c r="GT1048" s="319" t="s">
        <v>173</v>
      </c>
      <c r="GU1048" s="319" t="s">
        <v>173</v>
      </c>
      <c r="GV1048" s="319" t="s">
        <v>173</v>
      </c>
      <c r="GW1048" s="319" t="s">
        <v>173</v>
      </c>
      <c r="GX1048" s="319" t="s">
        <v>173</v>
      </c>
      <c r="GY1048" s="319" t="s">
        <v>173</v>
      </c>
      <c r="GZ1048" s="319" t="s">
        <v>173</v>
      </c>
      <c r="HA1048" s="319" t="s">
        <v>173</v>
      </c>
      <c r="HB1048" s="319" t="s">
        <v>173</v>
      </c>
      <c r="HC1048" s="319" t="s">
        <v>173</v>
      </c>
      <c r="HD1048" s="319" t="s">
        <v>173</v>
      </c>
      <c r="HE1048" s="319" t="s">
        <v>173</v>
      </c>
      <c r="HF1048" s="319" t="s">
        <v>173</v>
      </c>
      <c r="HG1048" s="319" t="s">
        <v>173</v>
      </c>
      <c r="HH1048" s="319" t="s">
        <v>173</v>
      </c>
      <c r="HI1048" s="319" t="s">
        <v>173</v>
      </c>
      <c r="HJ1048" s="319" t="s">
        <v>173</v>
      </c>
      <c r="HK1048" s="319" t="s">
        <v>173</v>
      </c>
      <c r="HL1048" s="319" t="s">
        <v>173</v>
      </c>
      <c r="HM1048" s="319" t="s">
        <v>173</v>
      </c>
      <c r="HN1048" s="319" t="s">
        <v>173</v>
      </c>
      <c r="HO1048" s="319" t="s">
        <v>173</v>
      </c>
      <c r="HP1048" s="319" t="s">
        <v>173</v>
      </c>
      <c r="HQ1048" s="319" t="s">
        <v>173</v>
      </c>
      <c r="HR1048" s="319" t="s">
        <v>173</v>
      </c>
      <c r="HS1048" s="319" t="s">
        <v>173</v>
      </c>
      <c r="HT1048" s="319" t="s">
        <v>173</v>
      </c>
      <c r="HU1048" s="319" t="s">
        <v>173</v>
      </c>
      <c r="HV1048" s="319" t="s">
        <v>173</v>
      </c>
      <c r="HW1048" s="319" t="s">
        <v>173</v>
      </c>
      <c r="HX1048" s="319" t="s">
        <v>173</v>
      </c>
      <c r="HY1048" s="319" t="s">
        <v>173</v>
      </c>
      <c r="HZ1048" s="319" t="s">
        <v>173</v>
      </c>
      <c r="IA1048" s="319" t="s">
        <v>173</v>
      </c>
      <c r="IB1048" s="319" t="s">
        <v>173</v>
      </c>
      <c r="IC1048" s="319" t="s">
        <v>173</v>
      </c>
      <c r="ID1048" s="319" t="s">
        <v>173</v>
      </c>
      <c r="IE1048" s="319" t="s">
        <v>173</v>
      </c>
      <c r="IF1048" s="319" t="s">
        <v>173</v>
      </c>
      <c r="IG1048" s="319" t="s">
        <v>173</v>
      </c>
      <c r="IH1048" s="319" t="s">
        <v>173</v>
      </c>
      <c r="II1048" s="319" t="s">
        <v>173</v>
      </c>
      <c r="IJ1048" s="319" t="s">
        <v>173</v>
      </c>
      <c r="IK1048" s="319" t="s">
        <v>173</v>
      </c>
      <c r="IL1048" s="319" t="s">
        <v>173</v>
      </c>
      <c r="IM1048" s="319" t="s">
        <v>173</v>
      </c>
      <c r="IN1048" s="319" t="s">
        <v>173</v>
      </c>
      <c r="IO1048" s="319" t="s">
        <v>173</v>
      </c>
      <c r="IP1048" s="319" t="s">
        <v>173</v>
      </c>
      <c r="IQ1048" s="321" t="s">
        <v>173</v>
      </c>
      <c r="IR1048" s="320" t="s">
        <v>173</v>
      </c>
      <c r="IS1048" s="322" t="s">
        <v>173</v>
      </c>
      <c r="IT1048" s="319" t="s">
        <v>173</v>
      </c>
    </row>
    <row r="1049" spans="1:254" s="271" customFormat="1" x14ac:dyDescent="0.25">
      <c r="A1049" s="318" t="str">
        <f>HYPERLINK("http://www.ofsted.gov.uk/inspection-reports/find-inspection-report/provider/ELS/146805 ","Ofsted School Webpage")</f>
        <v>Ofsted School Webpage</v>
      </c>
      <c r="B1049" s="319">
        <v>146805</v>
      </c>
      <c r="C1049" s="319">
        <v>3716003</v>
      </c>
      <c r="D1049" s="319" t="s">
        <v>3600</v>
      </c>
      <c r="E1049" s="319" t="s">
        <v>167</v>
      </c>
      <c r="F1049" s="319" t="s">
        <v>434</v>
      </c>
      <c r="G1049" s="319" t="s">
        <v>81</v>
      </c>
      <c r="H1049" s="319" t="s">
        <v>81</v>
      </c>
      <c r="I1049" s="319" t="s">
        <v>78</v>
      </c>
      <c r="J1049" s="319" t="s">
        <v>424</v>
      </c>
      <c r="K1049" s="319" t="s">
        <v>458</v>
      </c>
      <c r="L1049" s="319" t="s">
        <v>459</v>
      </c>
      <c r="M1049" s="319" t="s">
        <v>716</v>
      </c>
      <c r="N1049" s="319" t="s">
        <v>3601</v>
      </c>
      <c r="O1049" s="319" t="s">
        <v>3602</v>
      </c>
      <c r="P1049" s="319" t="s">
        <v>173</v>
      </c>
      <c r="Q1049" s="319" t="s">
        <v>2766</v>
      </c>
      <c r="R1049" s="320" t="s">
        <v>173</v>
      </c>
      <c r="S1049" s="321" t="s">
        <v>173</v>
      </c>
      <c r="T1049" s="321" t="s">
        <v>173</v>
      </c>
      <c r="U1049" s="321" t="s">
        <v>173</v>
      </c>
      <c r="V1049" s="319" t="s">
        <v>173</v>
      </c>
      <c r="W1049" s="319" t="s">
        <v>173</v>
      </c>
      <c r="X1049" s="319" t="s">
        <v>173</v>
      </c>
      <c r="Y1049" s="319" t="s">
        <v>173</v>
      </c>
      <c r="Z1049" s="319" t="s">
        <v>173</v>
      </c>
      <c r="AA1049" s="319" t="s">
        <v>173</v>
      </c>
      <c r="AB1049" s="319" t="s">
        <v>173</v>
      </c>
      <c r="AC1049" s="319" t="s">
        <v>173</v>
      </c>
      <c r="AD1049" s="319" t="s">
        <v>173</v>
      </c>
      <c r="AE1049" s="319" t="s">
        <v>173</v>
      </c>
      <c r="AF1049" s="319" t="s">
        <v>173</v>
      </c>
      <c r="AG1049" s="319" t="s">
        <v>173</v>
      </c>
      <c r="AH1049" s="319" t="s">
        <v>173</v>
      </c>
      <c r="AI1049" s="319" t="s">
        <v>173</v>
      </c>
      <c r="AJ1049" s="319" t="s">
        <v>173</v>
      </c>
      <c r="AK1049" s="319" t="s">
        <v>173</v>
      </c>
      <c r="AL1049" s="319" t="s">
        <v>173</v>
      </c>
      <c r="AM1049" s="319" t="s">
        <v>173</v>
      </c>
      <c r="AN1049" s="319" t="s">
        <v>173</v>
      </c>
      <c r="AO1049" s="319" t="s">
        <v>173</v>
      </c>
      <c r="AP1049" s="319" t="s">
        <v>173</v>
      </c>
      <c r="AQ1049" s="319" t="s">
        <v>173</v>
      </c>
      <c r="AR1049" s="319" t="s">
        <v>173</v>
      </c>
      <c r="AS1049" s="319" t="s">
        <v>173</v>
      </c>
      <c r="AT1049" s="319" t="s">
        <v>173</v>
      </c>
      <c r="AU1049" s="319" t="s">
        <v>173</v>
      </c>
      <c r="AV1049" s="319" t="s">
        <v>173</v>
      </c>
      <c r="AW1049" s="319" t="s">
        <v>173</v>
      </c>
      <c r="AX1049" s="319" t="s">
        <v>173</v>
      </c>
      <c r="AY1049" s="319" t="s">
        <v>173</v>
      </c>
      <c r="AZ1049" s="319" t="s">
        <v>173</v>
      </c>
      <c r="BA1049" s="319" t="s">
        <v>173</v>
      </c>
      <c r="BB1049" s="319" t="s">
        <v>173</v>
      </c>
      <c r="BC1049" s="319" t="s">
        <v>173</v>
      </c>
      <c r="BD1049" s="319" t="s">
        <v>173</v>
      </c>
      <c r="BE1049" s="319" t="s">
        <v>173</v>
      </c>
      <c r="BF1049" s="319" t="s">
        <v>173</v>
      </c>
      <c r="BG1049" s="319" t="s">
        <v>173</v>
      </c>
      <c r="BH1049" s="319" t="s">
        <v>173</v>
      </c>
      <c r="BI1049" s="319" t="s">
        <v>173</v>
      </c>
      <c r="BJ1049" s="319" t="s">
        <v>173</v>
      </c>
      <c r="BK1049" s="319" t="s">
        <v>173</v>
      </c>
      <c r="BL1049" s="319" t="s">
        <v>173</v>
      </c>
      <c r="BM1049" s="319" t="s">
        <v>173</v>
      </c>
      <c r="BN1049" s="319" t="s">
        <v>173</v>
      </c>
      <c r="BO1049" s="319" t="s">
        <v>173</v>
      </c>
      <c r="BP1049" s="319" t="s">
        <v>173</v>
      </c>
      <c r="BQ1049" s="319" t="s">
        <v>173</v>
      </c>
      <c r="BR1049" s="319" t="s">
        <v>173</v>
      </c>
      <c r="BS1049" s="319" t="s">
        <v>173</v>
      </c>
      <c r="BT1049" s="319" t="s">
        <v>173</v>
      </c>
      <c r="BU1049" s="319" t="s">
        <v>173</v>
      </c>
      <c r="BV1049" s="319" t="s">
        <v>173</v>
      </c>
      <c r="BW1049" s="319" t="s">
        <v>173</v>
      </c>
      <c r="BX1049" s="319" t="s">
        <v>173</v>
      </c>
      <c r="BY1049" s="319" t="s">
        <v>173</v>
      </c>
      <c r="BZ1049" s="319" t="s">
        <v>173</v>
      </c>
      <c r="CA1049" s="319" t="s">
        <v>173</v>
      </c>
      <c r="CB1049" s="319" t="s">
        <v>173</v>
      </c>
      <c r="CC1049" s="319" t="s">
        <v>173</v>
      </c>
      <c r="CD1049" s="319" t="s">
        <v>173</v>
      </c>
      <c r="CE1049" s="319" t="s">
        <v>173</v>
      </c>
      <c r="CF1049" s="319" t="s">
        <v>173</v>
      </c>
      <c r="CG1049" s="319" t="s">
        <v>173</v>
      </c>
      <c r="CH1049" s="319" t="s">
        <v>173</v>
      </c>
      <c r="CI1049" s="319" t="s">
        <v>173</v>
      </c>
      <c r="CJ1049" s="319" t="s">
        <v>173</v>
      </c>
      <c r="CK1049" s="319" t="s">
        <v>173</v>
      </c>
      <c r="CL1049" s="319" t="s">
        <v>173</v>
      </c>
      <c r="CM1049" s="319" t="s">
        <v>173</v>
      </c>
      <c r="CN1049" s="319" t="s">
        <v>173</v>
      </c>
      <c r="CO1049" s="319" t="s">
        <v>173</v>
      </c>
      <c r="CP1049" s="319" t="s">
        <v>173</v>
      </c>
      <c r="CQ1049" s="319" t="s">
        <v>173</v>
      </c>
      <c r="CR1049" s="319" t="s">
        <v>173</v>
      </c>
      <c r="CS1049" s="319" t="s">
        <v>173</v>
      </c>
      <c r="CT1049" s="319" t="s">
        <v>173</v>
      </c>
      <c r="CU1049" s="319" t="s">
        <v>173</v>
      </c>
      <c r="CV1049" s="319" t="s">
        <v>173</v>
      </c>
      <c r="CW1049" s="319" t="s">
        <v>173</v>
      </c>
      <c r="CX1049" s="319" t="s">
        <v>173</v>
      </c>
      <c r="CY1049" s="319" t="s">
        <v>173</v>
      </c>
      <c r="CZ1049" s="319" t="s">
        <v>173</v>
      </c>
      <c r="DA1049" s="319" t="s">
        <v>173</v>
      </c>
      <c r="DB1049" s="319" t="s">
        <v>173</v>
      </c>
      <c r="DC1049" s="319" t="s">
        <v>173</v>
      </c>
      <c r="DD1049" s="319" t="s">
        <v>173</v>
      </c>
      <c r="DE1049" s="319" t="s">
        <v>173</v>
      </c>
      <c r="DF1049" s="319" t="s">
        <v>173</v>
      </c>
      <c r="DG1049" s="319" t="s">
        <v>173</v>
      </c>
      <c r="DH1049" s="319" t="s">
        <v>173</v>
      </c>
      <c r="DI1049" s="319" t="s">
        <v>173</v>
      </c>
      <c r="DJ1049" s="319" t="s">
        <v>173</v>
      </c>
      <c r="DK1049" s="319" t="s">
        <v>173</v>
      </c>
      <c r="DL1049" s="319" t="s">
        <v>173</v>
      </c>
      <c r="DM1049" s="319" t="s">
        <v>173</v>
      </c>
      <c r="DN1049" s="319" t="s">
        <v>173</v>
      </c>
      <c r="DO1049" s="319" t="s">
        <v>173</v>
      </c>
      <c r="DP1049" s="319" t="s">
        <v>173</v>
      </c>
      <c r="DQ1049" s="319" t="s">
        <v>173</v>
      </c>
      <c r="DR1049" s="319" t="s">
        <v>173</v>
      </c>
      <c r="DS1049" s="319" t="s">
        <v>173</v>
      </c>
      <c r="DT1049" s="319" t="s">
        <v>173</v>
      </c>
      <c r="DU1049" s="319" t="s">
        <v>173</v>
      </c>
      <c r="DV1049" s="319" t="s">
        <v>173</v>
      </c>
      <c r="DW1049" s="319" t="s">
        <v>173</v>
      </c>
      <c r="DX1049" s="319" t="s">
        <v>173</v>
      </c>
      <c r="DY1049" s="319" t="s">
        <v>173</v>
      </c>
      <c r="DZ1049" s="319" t="s">
        <v>173</v>
      </c>
      <c r="EA1049" s="319" t="s">
        <v>173</v>
      </c>
      <c r="EB1049" s="319" t="s">
        <v>173</v>
      </c>
      <c r="EC1049" s="319" t="s">
        <v>173</v>
      </c>
      <c r="ED1049" s="319" t="s">
        <v>173</v>
      </c>
      <c r="EE1049" s="319" t="s">
        <v>173</v>
      </c>
      <c r="EF1049" s="319" t="s">
        <v>173</v>
      </c>
      <c r="EG1049" s="319" t="s">
        <v>173</v>
      </c>
      <c r="EH1049" s="319" t="s">
        <v>173</v>
      </c>
      <c r="EI1049" s="319" t="s">
        <v>173</v>
      </c>
      <c r="EJ1049" s="319" t="s">
        <v>173</v>
      </c>
      <c r="EK1049" s="319" t="s">
        <v>173</v>
      </c>
      <c r="EL1049" s="319" t="s">
        <v>173</v>
      </c>
      <c r="EM1049" s="319" t="s">
        <v>173</v>
      </c>
      <c r="EN1049" s="319" t="s">
        <v>173</v>
      </c>
      <c r="EO1049" s="319" t="s">
        <v>173</v>
      </c>
      <c r="EP1049" s="319" t="s">
        <v>173</v>
      </c>
      <c r="EQ1049" s="319" t="s">
        <v>173</v>
      </c>
      <c r="ER1049" s="319" t="s">
        <v>173</v>
      </c>
      <c r="ES1049" s="319" t="s">
        <v>173</v>
      </c>
      <c r="ET1049" s="319" t="s">
        <v>173</v>
      </c>
      <c r="EU1049" s="319" t="s">
        <v>173</v>
      </c>
      <c r="EV1049" s="319" t="s">
        <v>173</v>
      </c>
      <c r="EW1049" s="319" t="s">
        <v>173</v>
      </c>
      <c r="EX1049" s="319" t="s">
        <v>173</v>
      </c>
      <c r="EY1049" s="319" t="s">
        <v>173</v>
      </c>
      <c r="EZ1049" s="319" t="s">
        <v>173</v>
      </c>
      <c r="FA1049" s="319" t="s">
        <v>173</v>
      </c>
      <c r="FB1049" s="319" t="s">
        <v>173</v>
      </c>
      <c r="FC1049" s="319" t="s">
        <v>173</v>
      </c>
      <c r="FD1049" s="319" t="s">
        <v>173</v>
      </c>
      <c r="FE1049" s="319" t="s">
        <v>173</v>
      </c>
      <c r="FF1049" s="319" t="s">
        <v>173</v>
      </c>
      <c r="FG1049" s="319" t="s">
        <v>173</v>
      </c>
      <c r="FH1049" s="319" t="s">
        <v>173</v>
      </c>
      <c r="FI1049" s="319" t="s">
        <v>173</v>
      </c>
      <c r="FJ1049" s="319" t="s">
        <v>173</v>
      </c>
      <c r="FK1049" s="319" t="s">
        <v>173</v>
      </c>
      <c r="FL1049" s="319" t="s">
        <v>173</v>
      </c>
      <c r="FM1049" s="319" t="s">
        <v>173</v>
      </c>
      <c r="FN1049" s="319" t="s">
        <v>173</v>
      </c>
      <c r="FO1049" s="319" t="s">
        <v>173</v>
      </c>
      <c r="FP1049" s="319" t="s">
        <v>173</v>
      </c>
      <c r="FQ1049" s="319" t="s">
        <v>173</v>
      </c>
      <c r="FR1049" s="319" t="s">
        <v>173</v>
      </c>
      <c r="FS1049" s="319" t="s">
        <v>173</v>
      </c>
      <c r="FT1049" s="319" t="s">
        <v>173</v>
      </c>
      <c r="FU1049" s="319" t="s">
        <v>173</v>
      </c>
      <c r="FV1049" s="319" t="s">
        <v>173</v>
      </c>
      <c r="FW1049" s="319" t="s">
        <v>173</v>
      </c>
      <c r="FX1049" s="319" t="s">
        <v>173</v>
      </c>
      <c r="FY1049" s="319" t="s">
        <v>173</v>
      </c>
      <c r="FZ1049" s="319" t="s">
        <v>173</v>
      </c>
      <c r="GA1049" s="319" t="s">
        <v>173</v>
      </c>
      <c r="GB1049" s="319" t="s">
        <v>173</v>
      </c>
      <c r="GC1049" s="319" t="s">
        <v>173</v>
      </c>
      <c r="GD1049" s="319" t="s">
        <v>173</v>
      </c>
      <c r="GE1049" s="319" t="s">
        <v>173</v>
      </c>
      <c r="GF1049" s="319" t="s">
        <v>173</v>
      </c>
      <c r="GG1049" s="319" t="s">
        <v>173</v>
      </c>
      <c r="GH1049" s="319" t="s">
        <v>173</v>
      </c>
      <c r="GI1049" s="319" t="s">
        <v>173</v>
      </c>
      <c r="GJ1049" s="319" t="s">
        <v>173</v>
      </c>
      <c r="GK1049" s="319" t="s">
        <v>173</v>
      </c>
      <c r="GL1049" s="319" t="s">
        <v>173</v>
      </c>
      <c r="GM1049" s="319" t="s">
        <v>173</v>
      </c>
      <c r="GN1049" s="319" t="s">
        <v>173</v>
      </c>
      <c r="GO1049" s="319" t="s">
        <v>173</v>
      </c>
      <c r="GP1049" s="319" t="s">
        <v>173</v>
      </c>
      <c r="GQ1049" s="319" t="s">
        <v>173</v>
      </c>
      <c r="GR1049" s="319" t="s">
        <v>173</v>
      </c>
      <c r="GS1049" s="319" t="s">
        <v>173</v>
      </c>
      <c r="GT1049" s="319" t="s">
        <v>173</v>
      </c>
      <c r="GU1049" s="319" t="s">
        <v>173</v>
      </c>
      <c r="GV1049" s="319" t="s">
        <v>173</v>
      </c>
      <c r="GW1049" s="319" t="s">
        <v>173</v>
      </c>
      <c r="GX1049" s="319" t="s">
        <v>173</v>
      </c>
      <c r="GY1049" s="319" t="s">
        <v>173</v>
      </c>
      <c r="GZ1049" s="319" t="s">
        <v>173</v>
      </c>
      <c r="HA1049" s="319" t="s">
        <v>173</v>
      </c>
      <c r="HB1049" s="319" t="s">
        <v>173</v>
      </c>
      <c r="HC1049" s="319" t="s">
        <v>173</v>
      </c>
      <c r="HD1049" s="319" t="s">
        <v>173</v>
      </c>
      <c r="HE1049" s="319" t="s">
        <v>173</v>
      </c>
      <c r="HF1049" s="319" t="s">
        <v>173</v>
      </c>
      <c r="HG1049" s="319" t="s">
        <v>173</v>
      </c>
      <c r="HH1049" s="319" t="s">
        <v>173</v>
      </c>
      <c r="HI1049" s="319" t="s">
        <v>173</v>
      </c>
      <c r="HJ1049" s="319" t="s">
        <v>173</v>
      </c>
      <c r="HK1049" s="319" t="s">
        <v>173</v>
      </c>
      <c r="HL1049" s="319" t="s">
        <v>173</v>
      </c>
      <c r="HM1049" s="319" t="s">
        <v>173</v>
      </c>
      <c r="HN1049" s="319" t="s">
        <v>173</v>
      </c>
      <c r="HO1049" s="319" t="s">
        <v>173</v>
      </c>
      <c r="HP1049" s="319" t="s">
        <v>173</v>
      </c>
      <c r="HQ1049" s="319" t="s">
        <v>173</v>
      </c>
      <c r="HR1049" s="319" t="s">
        <v>173</v>
      </c>
      <c r="HS1049" s="319" t="s">
        <v>173</v>
      </c>
      <c r="HT1049" s="319" t="s">
        <v>173</v>
      </c>
      <c r="HU1049" s="319" t="s">
        <v>173</v>
      </c>
      <c r="HV1049" s="319" t="s">
        <v>173</v>
      </c>
      <c r="HW1049" s="319" t="s">
        <v>173</v>
      </c>
      <c r="HX1049" s="319" t="s">
        <v>173</v>
      </c>
      <c r="HY1049" s="319" t="s">
        <v>173</v>
      </c>
      <c r="HZ1049" s="319" t="s">
        <v>173</v>
      </c>
      <c r="IA1049" s="319" t="s">
        <v>173</v>
      </c>
      <c r="IB1049" s="319" t="s">
        <v>173</v>
      </c>
      <c r="IC1049" s="319" t="s">
        <v>173</v>
      </c>
      <c r="ID1049" s="319" t="s">
        <v>173</v>
      </c>
      <c r="IE1049" s="319" t="s">
        <v>173</v>
      </c>
      <c r="IF1049" s="319" t="s">
        <v>173</v>
      </c>
      <c r="IG1049" s="319" t="s">
        <v>173</v>
      </c>
      <c r="IH1049" s="319" t="s">
        <v>173</v>
      </c>
      <c r="II1049" s="319" t="s">
        <v>173</v>
      </c>
      <c r="IJ1049" s="319" t="s">
        <v>173</v>
      </c>
      <c r="IK1049" s="319" t="s">
        <v>173</v>
      </c>
      <c r="IL1049" s="319" t="s">
        <v>173</v>
      </c>
      <c r="IM1049" s="319" t="s">
        <v>173</v>
      </c>
      <c r="IN1049" s="319" t="s">
        <v>173</v>
      </c>
      <c r="IO1049" s="319" t="s">
        <v>173</v>
      </c>
      <c r="IP1049" s="319" t="s">
        <v>173</v>
      </c>
      <c r="IQ1049" s="319" t="s">
        <v>173</v>
      </c>
      <c r="IR1049" s="320" t="s">
        <v>173</v>
      </c>
      <c r="IS1049" s="320" t="s">
        <v>173</v>
      </c>
      <c r="IT1049" s="319" t="s">
        <v>173</v>
      </c>
    </row>
    <row r="1050" spans="1:254" s="271" customFormat="1" x14ac:dyDescent="0.25">
      <c r="A1050" s="318" t="str">
        <f>HYPERLINK("http://www.ofsted.gov.uk/inspection-reports/find-inspection-report/provider/ELS/146806 ","Ofsted School Webpage")</f>
        <v>Ofsted School Webpage</v>
      </c>
      <c r="B1050" s="319">
        <v>146806</v>
      </c>
      <c r="C1050" s="319">
        <v>8606049</v>
      </c>
      <c r="D1050" s="319" t="s">
        <v>3603</v>
      </c>
      <c r="E1050" s="319" t="s">
        <v>168</v>
      </c>
      <c r="F1050" s="319" t="s">
        <v>434</v>
      </c>
      <c r="G1050" s="319" t="s">
        <v>81</v>
      </c>
      <c r="H1050" s="319" t="s">
        <v>81</v>
      </c>
      <c r="I1050" s="319" t="s">
        <v>78</v>
      </c>
      <c r="J1050" s="319" t="s">
        <v>424</v>
      </c>
      <c r="K1050" s="319" t="s">
        <v>437</v>
      </c>
      <c r="L1050" s="319" t="s">
        <v>437</v>
      </c>
      <c r="M1050" s="319" t="s">
        <v>577</v>
      </c>
      <c r="N1050" s="319" t="s">
        <v>3604</v>
      </c>
      <c r="O1050" s="319" t="s">
        <v>3605</v>
      </c>
      <c r="P1050" s="319" t="s">
        <v>173</v>
      </c>
      <c r="Q1050" s="319" t="s">
        <v>429</v>
      </c>
      <c r="R1050" s="320" t="s">
        <v>173</v>
      </c>
      <c r="S1050" s="321" t="s">
        <v>173</v>
      </c>
      <c r="T1050" s="321" t="s">
        <v>173</v>
      </c>
      <c r="U1050" s="321" t="s">
        <v>173</v>
      </c>
      <c r="V1050" s="319" t="s">
        <v>173</v>
      </c>
      <c r="W1050" s="319" t="s">
        <v>173</v>
      </c>
      <c r="X1050" s="319" t="s">
        <v>173</v>
      </c>
      <c r="Y1050" s="319" t="s">
        <v>173</v>
      </c>
      <c r="Z1050" s="319" t="s">
        <v>173</v>
      </c>
      <c r="AA1050" s="319" t="s">
        <v>173</v>
      </c>
      <c r="AB1050" s="319" t="s">
        <v>173</v>
      </c>
      <c r="AC1050" s="319" t="s">
        <v>173</v>
      </c>
      <c r="AD1050" s="319" t="s">
        <v>173</v>
      </c>
      <c r="AE1050" s="319" t="s">
        <v>173</v>
      </c>
      <c r="AF1050" s="319" t="s">
        <v>173</v>
      </c>
      <c r="AG1050" s="319" t="s">
        <v>173</v>
      </c>
      <c r="AH1050" s="319" t="s">
        <v>173</v>
      </c>
      <c r="AI1050" s="319" t="s">
        <v>173</v>
      </c>
      <c r="AJ1050" s="319" t="s">
        <v>173</v>
      </c>
      <c r="AK1050" s="319" t="s">
        <v>173</v>
      </c>
      <c r="AL1050" s="319" t="s">
        <v>173</v>
      </c>
      <c r="AM1050" s="319" t="s">
        <v>173</v>
      </c>
      <c r="AN1050" s="319" t="s">
        <v>173</v>
      </c>
      <c r="AO1050" s="319" t="s">
        <v>173</v>
      </c>
      <c r="AP1050" s="319" t="s">
        <v>173</v>
      </c>
      <c r="AQ1050" s="319" t="s">
        <v>173</v>
      </c>
      <c r="AR1050" s="319" t="s">
        <v>173</v>
      </c>
      <c r="AS1050" s="319" t="s">
        <v>173</v>
      </c>
      <c r="AT1050" s="319" t="s">
        <v>173</v>
      </c>
      <c r="AU1050" s="319" t="s">
        <v>173</v>
      </c>
      <c r="AV1050" s="319" t="s">
        <v>173</v>
      </c>
      <c r="AW1050" s="319" t="s">
        <v>173</v>
      </c>
      <c r="AX1050" s="319" t="s">
        <v>173</v>
      </c>
      <c r="AY1050" s="319" t="s">
        <v>173</v>
      </c>
      <c r="AZ1050" s="319" t="s">
        <v>173</v>
      </c>
      <c r="BA1050" s="319" t="s">
        <v>173</v>
      </c>
      <c r="BB1050" s="319" t="s">
        <v>173</v>
      </c>
      <c r="BC1050" s="319" t="s">
        <v>173</v>
      </c>
      <c r="BD1050" s="319" t="s">
        <v>173</v>
      </c>
      <c r="BE1050" s="319" t="s">
        <v>173</v>
      </c>
      <c r="BF1050" s="319" t="s">
        <v>173</v>
      </c>
      <c r="BG1050" s="319" t="s">
        <v>173</v>
      </c>
      <c r="BH1050" s="319" t="s">
        <v>173</v>
      </c>
      <c r="BI1050" s="319" t="s">
        <v>173</v>
      </c>
      <c r="BJ1050" s="319" t="s">
        <v>173</v>
      </c>
      <c r="BK1050" s="319" t="s">
        <v>173</v>
      </c>
      <c r="BL1050" s="319" t="s">
        <v>173</v>
      </c>
      <c r="BM1050" s="319" t="s">
        <v>173</v>
      </c>
      <c r="BN1050" s="319" t="s">
        <v>173</v>
      </c>
      <c r="BO1050" s="319" t="s">
        <v>173</v>
      </c>
      <c r="BP1050" s="319" t="s">
        <v>173</v>
      </c>
      <c r="BQ1050" s="319" t="s">
        <v>173</v>
      </c>
      <c r="BR1050" s="319" t="s">
        <v>173</v>
      </c>
      <c r="BS1050" s="319" t="s">
        <v>173</v>
      </c>
      <c r="BT1050" s="319" t="s">
        <v>173</v>
      </c>
      <c r="BU1050" s="319" t="s">
        <v>173</v>
      </c>
      <c r="BV1050" s="319" t="s">
        <v>173</v>
      </c>
      <c r="BW1050" s="319" t="s">
        <v>173</v>
      </c>
      <c r="BX1050" s="319" t="s">
        <v>173</v>
      </c>
      <c r="BY1050" s="319" t="s">
        <v>173</v>
      </c>
      <c r="BZ1050" s="319" t="s">
        <v>173</v>
      </c>
      <c r="CA1050" s="319" t="s">
        <v>173</v>
      </c>
      <c r="CB1050" s="319" t="s">
        <v>173</v>
      </c>
      <c r="CC1050" s="319" t="s">
        <v>173</v>
      </c>
      <c r="CD1050" s="319" t="s">
        <v>173</v>
      </c>
      <c r="CE1050" s="319" t="s">
        <v>173</v>
      </c>
      <c r="CF1050" s="319" t="s">
        <v>173</v>
      </c>
      <c r="CG1050" s="319" t="s">
        <v>173</v>
      </c>
      <c r="CH1050" s="319" t="s">
        <v>173</v>
      </c>
      <c r="CI1050" s="319" t="s">
        <v>173</v>
      </c>
      <c r="CJ1050" s="319" t="s">
        <v>173</v>
      </c>
      <c r="CK1050" s="319" t="s">
        <v>173</v>
      </c>
      <c r="CL1050" s="319" t="s">
        <v>173</v>
      </c>
      <c r="CM1050" s="319" t="s">
        <v>173</v>
      </c>
      <c r="CN1050" s="319" t="s">
        <v>173</v>
      </c>
      <c r="CO1050" s="319" t="s">
        <v>173</v>
      </c>
      <c r="CP1050" s="319" t="s">
        <v>173</v>
      </c>
      <c r="CQ1050" s="319" t="s">
        <v>173</v>
      </c>
      <c r="CR1050" s="319" t="s">
        <v>173</v>
      </c>
      <c r="CS1050" s="319" t="s">
        <v>173</v>
      </c>
      <c r="CT1050" s="319" t="s">
        <v>173</v>
      </c>
      <c r="CU1050" s="319" t="s">
        <v>173</v>
      </c>
      <c r="CV1050" s="319" t="s">
        <v>173</v>
      </c>
      <c r="CW1050" s="319" t="s">
        <v>173</v>
      </c>
      <c r="CX1050" s="319" t="s">
        <v>173</v>
      </c>
      <c r="CY1050" s="319" t="s">
        <v>173</v>
      </c>
      <c r="CZ1050" s="319" t="s">
        <v>173</v>
      </c>
      <c r="DA1050" s="319" t="s">
        <v>173</v>
      </c>
      <c r="DB1050" s="319" t="s">
        <v>173</v>
      </c>
      <c r="DC1050" s="319" t="s">
        <v>173</v>
      </c>
      <c r="DD1050" s="319" t="s">
        <v>173</v>
      </c>
      <c r="DE1050" s="319" t="s">
        <v>173</v>
      </c>
      <c r="DF1050" s="319" t="s">
        <v>173</v>
      </c>
      <c r="DG1050" s="319" t="s">
        <v>173</v>
      </c>
      <c r="DH1050" s="319" t="s">
        <v>173</v>
      </c>
      <c r="DI1050" s="319" t="s">
        <v>173</v>
      </c>
      <c r="DJ1050" s="319" t="s">
        <v>173</v>
      </c>
      <c r="DK1050" s="319" t="s">
        <v>173</v>
      </c>
      <c r="DL1050" s="319" t="s">
        <v>173</v>
      </c>
      <c r="DM1050" s="319" t="s">
        <v>173</v>
      </c>
      <c r="DN1050" s="319" t="s">
        <v>173</v>
      </c>
      <c r="DO1050" s="319" t="s">
        <v>173</v>
      </c>
      <c r="DP1050" s="319" t="s">
        <v>173</v>
      </c>
      <c r="DQ1050" s="319" t="s">
        <v>173</v>
      </c>
      <c r="DR1050" s="319" t="s">
        <v>173</v>
      </c>
      <c r="DS1050" s="319" t="s">
        <v>173</v>
      </c>
      <c r="DT1050" s="319" t="s">
        <v>173</v>
      </c>
      <c r="DU1050" s="319" t="s">
        <v>173</v>
      </c>
      <c r="DV1050" s="319" t="s">
        <v>173</v>
      </c>
      <c r="DW1050" s="319" t="s">
        <v>173</v>
      </c>
      <c r="DX1050" s="319" t="s">
        <v>173</v>
      </c>
      <c r="DY1050" s="319" t="s">
        <v>173</v>
      </c>
      <c r="DZ1050" s="319" t="s">
        <v>173</v>
      </c>
      <c r="EA1050" s="319" t="s">
        <v>173</v>
      </c>
      <c r="EB1050" s="319" t="s">
        <v>173</v>
      </c>
      <c r="EC1050" s="319" t="s">
        <v>173</v>
      </c>
      <c r="ED1050" s="319" t="s">
        <v>173</v>
      </c>
      <c r="EE1050" s="319" t="s">
        <v>173</v>
      </c>
      <c r="EF1050" s="319" t="s">
        <v>173</v>
      </c>
      <c r="EG1050" s="319" t="s">
        <v>173</v>
      </c>
      <c r="EH1050" s="319" t="s">
        <v>173</v>
      </c>
      <c r="EI1050" s="319" t="s">
        <v>173</v>
      </c>
      <c r="EJ1050" s="319" t="s">
        <v>173</v>
      </c>
      <c r="EK1050" s="319" t="s">
        <v>173</v>
      </c>
      <c r="EL1050" s="319" t="s">
        <v>173</v>
      </c>
      <c r="EM1050" s="319" t="s">
        <v>173</v>
      </c>
      <c r="EN1050" s="319" t="s">
        <v>173</v>
      </c>
      <c r="EO1050" s="319" t="s">
        <v>173</v>
      </c>
      <c r="EP1050" s="319" t="s">
        <v>173</v>
      </c>
      <c r="EQ1050" s="319" t="s">
        <v>173</v>
      </c>
      <c r="ER1050" s="319" t="s">
        <v>173</v>
      </c>
      <c r="ES1050" s="319" t="s">
        <v>173</v>
      </c>
      <c r="ET1050" s="319" t="s">
        <v>173</v>
      </c>
      <c r="EU1050" s="319" t="s">
        <v>173</v>
      </c>
      <c r="EV1050" s="319" t="s">
        <v>173</v>
      </c>
      <c r="EW1050" s="319" t="s">
        <v>173</v>
      </c>
      <c r="EX1050" s="319" t="s">
        <v>173</v>
      </c>
      <c r="EY1050" s="319" t="s">
        <v>173</v>
      </c>
      <c r="EZ1050" s="319" t="s">
        <v>173</v>
      </c>
      <c r="FA1050" s="319" t="s">
        <v>173</v>
      </c>
      <c r="FB1050" s="319" t="s">
        <v>173</v>
      </c>
      <c r="FC1050" s="319" t="s">
        <v>173</v>
      </c>
      <c r="FD1050" s="319" t="s">
        <v>173</v>
      </c>
      <c r="FE1050" s="319" t="s">
        <v>173</v>
      </c>
      <c r="FF1050" s="319" t="s">
        <v>173</v>
      </c>
      <c r="FG1050" s="319" t="s">
        <v>173</v>
      </c>
      <c r="FH1050" s="319" t="s">
        <v>173</v>
      </c>
      <c r="FI1050" s="319" t="s">
        <v>173</v>
      </c>
      <c r="FJ1050" s="319" t="s">
        <v>173</v>
      </c>
      <c r="FK1050" s="319" t="s">
        <v>173</v>
      </c>
      <c r="FL1050" s="319" t="s">
        <v>173</v>
      </c>
      <c r="FM1050" s="319" t="s">
        <v>173</v>
      </c>
      <c r="FN1050" s="319" t="s">
        <v>173</v>
      </c>
      <c r="FO1050" s="319" t="s">
        <v>173</v>
      </c>
      <c r="FP1050" s="319" t="s">
        <v>173</v>
      </c>
      <c r="FQ1050" s="319" t="s">
        <v>173</v>
      </c>
      <c r="FR1050" s="319" t="s">
        <v>173</v>
      </c>
      <c r="FS1050" s="319" t="s">
        <v>173</v>
      </c>
      <c r="FT1050" s="319" t="s">
        <v>173</v>
      </c>
      <c r="FU1050" s="319" t="s">
        <v>173</v>
      </c>
      <c r="FV1050" s="319" t="s">
        <v>173</v>
      </c>
      <c r="FW1050" s="319" t="s">
        <v>173</v>
      </c>
      <c r="FX1050" s="319" t="s">
        <v>173</v>
      </c>
      <c r="FY1050" s="319" t="s">
        <v>173</v>
      </c>
      <c r="FZ1050" s="319" t="s">
        <v>173</v>
      </c>
      <c r="GA1050" s="319" t="s">
        <v>173</v>
      </c>
      <c r="GB1050" s="319" t="s">
        <v>173</v>
      </c>
      <c r="GC1050" s="319" t="s">
        <v>173</v>
      </c>
      <c r="GD1050" s="319" t="s">
        <v>173</v>
      </c>
      <c r="GE1050" s="319" t="s">
        <v>173</v>
      </c>
      <c r="GF1050" s="319" t="s">
        <v>173</v>
      </c>
      <c r="GG1050" s="319" t="s">
        <v>173</v>
      </c>
      <c r="GH1050" s="319" t="s">
        <v>173</v>
      </c>
      <c r="GI1050" s="319" t="s">
        <v>173</v>
      </c>
      <c r="GJ1050" s="319" t="s">
        <v>173</v>
      </c>
      <c r="GK1050" s="319" t="s">
        <v>173</v>
      </c>
      <c r="GL1050" s="319" t="s">
        <v>173</v>
      </c>
      <c r="GM1050" s="319" t="s">
        <v>173</v>
      </c>
      <c r="GN1050" s="319" t="s">
        <v>173</v>
      </c>
      <c r="GO1050" s="319" t="s">
        <v>173</v>
      </c>
      <c r="GP1050" s="319" t="s">
        <v>173</v>
      </c>
      <c r="GQ1050" s="319" t="s">
        <v>173</v>
      </c>
      <c r="GR1050" s="319" t="s">
        <v>173</v>
      </c>
      <c r="GS1050" s="319" t="s">
        <v>173</v>
      </c>
      <c r="GT1050" s="319" t="s">
        <v>173</v>
      </c>
      <c r="GU1050" s="319" t="s">
        <v>173</v>
      </c>
      <c r="GV1050" s="319" t="s">
        <v>173</v>
      </c>
      <c r="GW1050" s="319" t="s">
        <v>173</v>
      </c>
      <c r="GX1050" s="319" t="s">
        <v>173</v>
      </c>
      <c r="GY1050" s="319" t="s">
        <v>173</v>
      </c>
      <c r="GZ1050" s="319" t="s">
        <v>173</v>
      </c>
      <c r="HA1050" s="319" t="s">
        <v>173</v>
      </c>
      <c r="HB1050" s="319" t="s">
        <v>173</v>
      </c>
      <c r="HC1050" s="319" t="s">
        <v>173</v>
      </c>
      <c r="HD1050" s="319" t="s">
        <v>173</v>
      </c>
      <c r="HE1050" s="319" t="s">
        <v>173</v>
      </c>
      <c r="HF1050" s="319" t="s">
        <v>173</v>
      </c>
      <c r="HG1050" s="319" t="s">
        <v>173</v>
      </c>
      <c r="HH1050" s="319" t="s">
        <v>173</v>
      </c>
      <c r="HI1050" s="319" t="s">
        <v>173</v>
      </c>
      <c r="HJ1050" s="319" t="s">
        <v>173</v>
      </c>
      <c r="HK1050" s="319" t="s">
        <v>173</v>
      </c>
      <c r="HL1050" s="319" t="s">
        <v>173</v>
      </c>
      <c r="HM1050" s="319" t="s">
        <v>173</v>
      </c>
      <c r="HN1050" s="319" t="s">
        <v>173</v>
      </c>
      <c r="HO1050" s="319" t="s">
        <v>173</v>
      </c>
      <c r="HP1050" s="319" t="s">
        <v>173</v>
      </c>
      <c r="HQ1050" s="319" t="s">
        <v>173</v>
      </c>
      <c r="HR1050" s="319" t="s">
        <v>173</v>
      </c>
      <c r="HS1050" s="319" t="s">
        <v>173</v>
      </c>
      <c r="HT1050" s="319" t="s">
        <v>173</v>
      </c>
      <c r="HU1050" s="319" t="s">
        <v>173</v>
      </c>
      <c r="HV1050" s="319" t="s">
        <v>173</v>
      </c>
      <c r="HW1050" s="319" t="s">
        <v>173</v>
      </c>
      <c r="HX1050" s="319" t="s">
        <v>173</v>
      </c>
      <c r="HY1050" s="319" t="s">
        <v>173</v>
      </c>
      <c r="HZ1050" s="319" t="s">
        <v>173</v>
      </c>
      <c r="IA1050" s="319" t="s">
        <v>173</v>
      </c>
      <c r="IB1050" s="319" t="s">
        <v>173</v>
      </c>
      <c r="IC1050" s="319" t="s">
        <v>173</v>
      </c>
      <c r="ID1050" s="319" t="s">
        <v>173</v>
      </c>
      <c r="IE1050" s="319" t="s">
        <v>173</v>
      </c>
      <c r="IF1050" s="319" t="s">
        <v>173</v>
      </c>
      <c r="IG1050" s="319" t="s">
        <v>173</v>
      </c>
      <c r="IH1050" s="319" t="s">
        <v>173</v>
      </c>
      <c r="II1050" s="319" t="s">
        <v>173</v>
      </c>
      <c r="IJ1050" s="319" t="s">
        <v>173</v>
      </c>
      <c r="IK1050" s="319" t="s">
        <v>173</v>
      </c>
      <c r="IL1050" s="319" t="s">
        <v>173</v>
      </c>
      <c r="IM1050" s="319" t="s">
        <v>173</v>
      </c>
      <c r="IN1050" s="319" t="s">
        <v>173</v>
      </c>
      <c r="IO1050" s="319" t="s">
        <v>173</v>
      </c>
      <c r="IP1050" s="319" t="s">
        <v>173</v>
      </c>
      <c r="IQ1050" s="319" t="s">
        <v>173</v>
      </c>
      <c r="IR1050" s="320" t="s">
        <v>173</v>
      </c>
      <c r="IS1050" s="320" t="s">
        <v>173</v>
      </c>
      <c r="IT1050" s="319" t="s">
        <v>173</v>
      </c>
    </row>
    <row r="1051" spans="1:254" s="271" customFormat="1" x14ac:dyDescent="0.25">
      <c r="A1051" s="318" t="str">
        <f>HYPERLINK("http://www.ofsted.gov.uk/inspection-reports/find-inspection-report/provider/ELS/146824 ","Ofsted School Webpage")</f>
        <v>Ofsted School Webpage</v>
      </c>
      <c r="B1051" s="319">
        <v>146824</v>
      </c>
      <c r="C1051" s="319">
        <v>8086006</v>
      </c>
      <c r="D1051" s="319" t="s">
        <v>3606</v>
      </c>
      <c r="E1051" s="319" t="s">
        <v>168</v>
      </c>
      <c r="F1051" s="319" t="s">
        <v>434</v>
      </c>
      <c r="G1051" s="319" t="s">
        <v>81</v>
      </c>
      <c r="H1051" s="319" t="s">
        <v>81</v>
      </c>
      <c r="I1051" s="319" t="s">
        <v>78</v>
      </c>
      <c r="J1051" s="319" t="s">
        <v>424</v>
      </c>
      <c r="K1051" s="319" t="s">
        <v>458</v>
      </c>
      <c r="L1051" s="319" t="s">
        <v>474</v>
      </c>
      <c r="M1051" s="319" t="s">
        <v>1184</v>
      </c>
      <c r="N1051" s="319" t="s">
        <v>3493</v>
      </c>
      <c r="O1051" s="319" t="s">
        <v>3607</v>
      </c>
      <c r="P1051" s="319" t="s">
        <v>173</v>
      </c>
      <c r="Q1051" s="319" t="s">
        <v>429</v>
      </c>
      <c r="R1051" s="320" t="s">
        <v>173</v>
      </c>
      <c r="S1051" s="321" t="s">
        <v>173</v>
      </c>
      <c r="T1051" s="321" t="s">
        <v>173</v>
      </c>
      <c r="U1051" s="321" t="s">
        <v>173</v>
      </c>
      <c r="V1051" s="319" t="s">
        <v>173</v>
      </c>
      <c r="W1051" s="319" t="s">
        <v>173</v>
      </c>
      <c r="X1051" s="319" t="s">
        <v>173</v>
      </c>
      <c r="Y1051" s="319" t="s">
        <v>173</v>
      </c>
      <c r="Z1051" s="319" t="s">
        <v>173</v>
      </c>
      <c r="AA1051" s="319" t="s">
        <v>173</v>
      </c>
      <c r="AB1051" s="319" t="s">
        <v>173</v>
      </c>
      <c r="AC1051" s="319" t="s">
        <v>173</v>
      </c>
      <c r="AD1051" s="319" t="s">
        <v>173</v>
      </c>
      <c r="AE1051" s="319" t="s">
        <v>173</v>
      </c>
      <c r="AF1051" s="319" t="s">
        <v>173</v>
      </c>
      <c r="AG1051" s="319" t="s">
        <v>173</v>
      </c>
      <c r="AH1051" s="319" t="s">
        <v>173</v>
      </c>
      <c r="AI1051" s="319" t="s">
        <v>173</v>
      </c>
      <c r="AJ1051" s="319" t="s">
        <v>173</v>
      </c>
      <c r="AK1051" s="319" t="s">
        <v>173</v>
      </c>
      <c r="AL1051" s="319" t="s">
        <v>173</v>
      </c>
      <c r="AM1051" s="319" t="s">
        <v>173</v>
      </c>
      <c r="AN1051" s="319" t="s">
        <v>173</v>
      </c>
      <c r="AO1051" s="319" t="s">
        <v>173</v>
      </c>
      <c r="AP1051" s="319" t="s">
        <v>173</v>
      </c>
      <c r="AQ1051" s="319" t="s">
        <v>173</v>
      </c>
      <c r="AR1051" s="319" t="s">
        <v>173</v>
      </c>
      <c r="AS1051" s="319" t="s">
        <v>173</v>
      </c>
      <c r="AT1051" s="319" t="s">
        <v>173</v>
      </c>
      <c r="AU1051" s="319" t="s">
        <v>173</v>
      </c>
      <c r="AV1051" s="319" t="s">
        <v>173</v>
      </c>
      <c r="AW1051" s="319" t="s">
        <v>173</v>
      </c>
      <c r="AX1051" s="319" t="s">
        <v>173</v>
      </c>
      <c r="AY1051" s="319" t="s">
        <v>173</v>
      </c>
      <c r="AZ1051" s="319" t="s">
        <v>173</v>
      </c>
      <c r="BA1051" s="319" t="s">
        <v>173</v>
      </c>
      <c r="BB1051" s="319" t="s">
        <v>173</v>
      </c>
      <c r="BC1051" s="319" t="s">
        <v>173</v>
      </c>
      <c r="BD1051" s="319" t="s">
        <v>173</v>
      </c>
      <c r="BE1051" s="319" t="s">
        <v>173</v>
      </c>
      <c r="BF1051" s="319" t="s">
        <v>173</v>
      </c>
      <c r="BG1051" s="319" t="s">
        <v>173</v>
      </c>
      <c r="BH1051" s="319" t="s">
        <v>173</v>
      </c>
      <c r="BI1051" s="319" t="s">
        <v>173</v>
      </c>
      <c r="BJ1051" s="319" t="s">
        <v>173</v>
      </c>
      <c r="BK1051" s="319" t="s">
        <v>173</v>
      </c>
      <c r="BL1051" s="319" t="s">
        <v>173</v>
      </c>
      <c r="BM1051" s="319" t="s">
        <v>173</v>
      </c>
      <c r="BN1051" s="319" t="s">
        <v>173</v>
      </c>
      <c r="BO1051" s="319" t="s">
        <v>173</v>
      </c>
      <c r="BP1051" s="319" t="s">
        <v>173</v>
      </c>
      <c r="BQ1051" s="319" t="s">
        <v>173</v>
      </c>
      <c r="BR1051" s="319" t="s">
        <v>173</v>
      </c>
      <c r="BS1051" s="319" t="s">
        <v>173</v>
      </c>
      <c r="BT1051" s="319" t="s">
        <v>173</v>
      </c>
      <c r="BU1051" s="319" t="s">
        <v>173</v>
      </c>
      <c r="BV1051" s="319" t="s">
        <v>173</v>
      </c>
      <c r="BW1051" s="319" t="s">
        <v>173</v>
      </c>
      <c r="BX1051" s="319" t="s">
        <v>173</v>
      </c>
      <c r="BY1051" s="319" t="s">
        <v>173</v>
      </c>
      <c r="BZ1051" s="319" t="s">
        <v>173</v>
      </c>
      <c r="CA1051" s="319" t="s">
        <v>173</v>
      </c>
      <c r="CB1051" s="319" t="s">
        <v>173</v>
      </c>
      <c r="CC1051" s="319" t="s">
        <v>173</v>
      </c>
      <c r="CD1051" s="319" t="s">
        <v>173</v>
      </c>
      <c r="CE1051" s="319" t="s">
        <v>173</v>
      </c>
      <c r="CF1051" s="319" t="s">
        <v>173</v>
      </c>
      <c r="CG1051" s="319" t="s">
        <v>173</v>
      </c>
      <c r="CH1051" s="319" t="s">
        <v>173</v>
      </c>
      <c r="CI1051" s="319" t="s">
        <v>173</v>
      </c>
      <c r="CJ1051" s="319" t="s">
        <v>173</v>
      </c>
      <c r="CK1051" s="319" t="s">
        <v>173</v>
      </c>
      <c r="CL1051" s="319" t="s">
        <v>173</v>
      </c>
      <c r="CM1051" s="319" t="s">
        <v>173</v>
      </c>
      <c r="CN1051" s="319" t="s">
        <v>173</v>
      </c>
      <c r="CO1051" s="319" t="s">
        <v>173</v>
      </c>
      <c r="CP1051" s="319" t="s">
        <v>173</v>
      </c>
      <c r="CQ1051" s="319" t="s">
        <v>173</v>
      </c>
      <c r="CR1051" s="319" t="s">
        <v>173</v>
      </c>
      <c r="CS1051" s="319" t="s">
        <v>173</v>
      </c>
      <c r="CT1051" s="319" t="s">
        <v>173</v>
      </c>
      <c r="CU1051" s="319" t="s">
        <v>173</v>
      </c>
      <c r="CV1051" s="319" t="s">
        <v>173</v>
      </c>
      <c r="CW1051" s="319" t="s">
        <v>173</v>
      </c>
      <c r="CX1051" s="319" t="s">
        <v>173</v>
      </c>
      <c r="CY1051" s="319" t="s">
        <v>173</v>
      </c>
      <c r="CZ1051" s="319" t="s">
        <v>173</v>
      </c>
      <c r="DA1051" s="319" t="s">
        <v>173</v>
      </c>
      <c r="DB1051" s="319" t="s">
        <v>173</v>
      </c>
      <c r="DC1051" s="319" t="s">
        <v>173</v>
      </c>
      <c r="DD1051" s="319" t="s">
        <v>173</v>
      </c>
      <c r="DE1051" s="319" t="s">
        <v>173</v>
      </c>
      <c r="DF1051" s="319" t="s">
        <v>173</v>
      </c>
      <c r="DG1051" s="319" t="s">
        <v>173</v>
      </c>
      <c r="DH1051" s="319" t="s">
        <v>173</v>
      </c>
      <c r="DI1051" s="319" t="s">
        <v>173</v>
      </c>
      <c r="DJ1051" s="319" t="s">
        <v>173</v>
      </c>
      <c r="DK1051" s="319" t="s">
        <v>173</v>
      </c>
      <c r="DL1051" s="319" t="s">
        <v>173</v>
      </c>
      <c r="DM1051" s="319" t="s">
        <v>173</v>
      </c>
      <c r="DN1051" s="319" t="s">
        <v>173</v>
      </c>
      <c r="DO1051" s="319" t="s">
        <v>173</v>
      </c>
      <c r="DP1051" s="319" t="s">
        <v>173</v>
      </c>
      <c r="DQ1051" s="319" t="s">
        <v>173</v>
      </c>
      <c r="DR1051" s="319" t="s">
        <v>173</v>
      </c>
      <c r="DS1051" s="319" t="s">
        <v>173</v>
      </c>
      <c r="DT1051" s="319" t="s">
        <v>173</v>
      </c>
      <c r="DU1051" s="319" t="s">
        <v>173</v>
      </c>
      <c r="DV1051" s="319" t="s">
        <v>173</v>
      </c>
      <c r="DW1051" s="319" t="s">
        <v>173</v>
      </c>
      <c r="DX1051" s="319" t="s">
        <v>173</v>
      </c>
      <c r="DY1051" s="319" t="s">
        <v>173</v>
      </c>
      <c r="DZ1051" s="319" t="s">
        <v>173</v>
      </c>
      <c r="EA1051" s="319" t="s">
        <v>173</v>
      </c>
      <c r="EB1051" s="319" t="s">
        <v>173</v>
      </c>
      <c r="EC1051" s="319" t="s">
        <v>173</v>
      </c>
      <c r="ED1051" s="319" t="s">
        <v>173</v>
      </c>
      <c r="EE1051" s="319" t="s">
        <v>173</v>
      </c>
      <c r="EF1051" s="319" t="s">
        <v>173</v>
      </c>
      <c r="EG1051" s="319" t="s">
        <v>173</v>
      </c>
      <c r="EH1051" s="319" t="s">
        <v>173</v>
      </c>
      <c r="EI1051" s="319" t="s">
        <v>173</v>
      </c>
      <c r="EJ1051" s="319" t="s">
        <v>173</v>
      </c>
      <c r="EK1051" s="319" t="s">
        <v>173</v>
      </c>
      <c r="EL1051" s="319" t="s">
        <v>173</v>
      </c>
      <c r="EM1051" s="319" t="s">
        <v>173</v>
      </c>
      <c r="EN1051" s="319" t="s">
        <v>173</v>
      </c>
      <c r="EO1051" s="319" t="s">
        <v>173</v>
      </c>
      <c r="EP1051" s="319" t="s">
        <v>173</v>
      </c>
      <c r="EQ1051" s="319" t="s">
        <v>173</v>
      </c>
      <c r="ER1051" s="319" t="s">
        <v>173</v>
      </c>
      <c r="ES1051" s="319" t="s">
        <v>173</v>
      </c>
      <c r="ET1051" s="319" t="s">
        <v>173</v>
      </c>
      <c r="EU1051" s="319" t="s">
        <v>173</v>
      </c>
      <c r="EV1051" s="319" t="s">
        <v>173</v>
      </c>
      <c r="EW1051" s="319" t="s">
        <v>173</v>
      </c>
      <c r="EX1051" s="319" t="s">
        <v>173</v>
      </c>
      <c r="EY1051" s="319" t="s">
        <v>173</v>
      </c>
      <c r="EZ1051" s="319" t="s">
        <v>173</v>
      </c>
      <c r="FA1051" s="319" t="s">
        <v>173</v>
      </c>
      <c r="FB1051" s="319" t="s">
        <v>173</v>
      </c>
      <c r="FC1051" s="319" t="s">
        <v>173</v>
      </c>
      <c r="FD1051" s="319" t="s">
        <v>173</v>
      </c>
      <c r="FE1051" s="319" t="s">
        <v>173</v>
      </c>
      <c r="FF1051" s="319" t="s">
        <v>173</v>
      </c>
      <c r="FG1051" s="319" t="s">
        <v>173</v>
      </c>
      <c r="FH1051" s="319" t="s">
        <v>173</v>
      </c>
      <c r="FI1051" s="319" t="s">
        <v>173</v>
      </c>
      <c r="FJ1051" s="319" t="s">
        <v>173</v>
      </c>
      <c r="FK1051" s="319" t="s">
        <v>173</v>
      </c>
      <c r="FL1051" s="319" t="s">
        <v>173</v>
      </c>
      <c r="FM1051" s="319" t="s">
        <v>173</v>
      </c>
      <c r="FN1051" s="319" t="s">
        <v>173</v>
      </c>
      <c r="FO1051" s="319" t="s">
        <v>173</v>
      </c>
      <c r="FP1051" s="319" t="s">
        <v>173</v>
      </c>
      <c r="FQ1051" s="319" t="s">
        <v>173</v>
      </c>
      <c r="FR1051" s="319" t="s">
        <v>173</v>
      </c>
      <c r="FS1051" s="319" t="s">
        <v>173</v>
      </c>
      <c r="FT1051" s="319" t="s">
        <v>173</v>
      </c>
      <c r="FU1051" s="319" t="s">
        <v>173</v>
      </c>
      <c r="FV1051" s="319" t="s">
        <v>173</v>
      </c>
      <c r="FW1051" s="319" t="s">
        <v>173</v>
      </c>
      <c r="FX1051" s="319" t="s">
        <v>173</v>
      </c>
      <c r="FY1051" s="319" t="s">
        <v>173</v>
      </c>
      <c r="FZ1051" s="319" t="s">
        <v>173</v>
      </c>
      <c r="GA1051" s="319" t="s">
        <v>173</v>
      </c>
      <c r="GB1051" s="319" t="s">
        <v>173</v>
      </c>
      <c r="GC1051" s="319" t="s">
        <v>173</v>
      </c>
      <c r="GD1051" s="319" t="s">
        <v>173</v>
      </c>
      <c r="GE1051" s="319" t="s">
        <v>173</v>
      </c>
      <c r="GF1051" s="319" t="s">
        <v>173</v>
      </c>
      <c r="GG1051" s="319" t="s">
        <v>173</v>
      </c>
      <c r="GH1051" s="319" t="s">
        <v>173</v>
      </c>
      <c r="GI1051" s="319" t="s">
        <v>173</v>
      </c>
      <c r="GJ1051" s="319" t="s">
        <v>173</v>
      </c>
      <c r="GK1051" s="319" t="s">
        <v>173</v>
      </c>
      <c r="GL1051" s="319" t="s">
        <v>173</v>
      </c>
      <c r="GM1051" s="319" t="s">
        <v>173</v>
      </c>
      <c r="GN1051" s="319" t="s">
        <v>173</v>
      </c>
      <c r="GO1051" s="319" t="s">
        <v>173</v>
      </c>
      <c r="GP1051" s="319" t="s">
        <v>173</v>
      </c>
      <c r="GQ1051" s="319" t="s">
        <v>173</v>
      </c>
      <c r="GR1051" s="319" t="s">
        <v>173</v>
      </c>
      <c r="GS1051" s="319" t="s">
        <v>173</v>
      </c>
      <c r="GT1051" s="319" t="s">
        <v>173</v>
      </c>
      <c r="GU1051" s="319" t="s">
        <v>173</v>
      </c>
      <c r="GV1051" s="319" t="s">
        <v>173</v>
      </c>
      <c r="GW1051" s="319" t="s">
        <v>173</v>
      </c>
      <c r="GX1051" s="319" t="s">
        <v>173</v>
      </c>
      <c r="GY1051" s="319" t="s">
        <v>173</v>
      </c>
      <c r="GZ1051" s="319" t="s">
        <v>173</v>
      </c>
      <c r="HA1051" s="319" t="s">
        <v>173</v>
      </c>
      <c r="HB1051" s="319" t="s">
        <v>173</v>
      </c>
      <c r="HC1051" s="319" t="s">
        <v>173</v>
      </c>
      <c r="HD1051" s="319" t="s">
        <v>173</v>
      </c>
      <c r="HE1051" s="319" t="s">
        <v>173</v>
      </c>
      <c r="HF1051" s="319" t="s">
        <v>173</v>
      </c>
      <c r="HG1051" s="319" t="s">
        <v>173</v>
      </c>
      <c r="HH1051" s="319" t="s">
        <v>173</v>
      </c>
      <c r="HI1051" s="319" t="s">
        <v>173</v>
      </c>
      <c r="HJ1051" s="319" t="s">
        <v>173</v>
      </c>
      <c r="HK1051" s="319" t="s">
        <v>173</v>
      </c>
      <c r="HL1051" s="319" t="s">
        <v>173</v>
      </c>
      <c r="HM1051" s="319" t="s">
        <v>173</v>
      </c>
      <c r="HN1051" s="319" t="s">
        <v>173</v>
      </c>
      <c r="HO1051" s="319" t="s">
        <v>173</v>
      </c>
      <c r="HP1051" s="319" t="s">
        <v>173</v>
      </c>
      <c r="HQ1051" s="319" t="s">
        <v>173</v>
      </c>
      <c r="HR1051" s="319" t="s">
        <v>173</v>
      </c>
      <c r="HS1051" s="319" t="s">
        <v>173</v>
      </c>
      <c r="HT1051" s="319" t="s">
        <v>173</v>
      </c>
      <c r="HU1051" s="319" t="s">
        <v>173</v>
      </c>
      <c r="HV1051" s="319" t="s">
        <v>173</v>
      </c>
      <c r="HW1051" s="319" t="s">
        <v>173</v>
      </c>
      <c r="HX1051" s="319" t="s">
        <v>173</v>
      </c>
      <c r="HY1051" s="319" t="s">
        <v>173</v>
      </c>
      <c r="HZ1051" s="319" t="s">
        <v>173</v>
      </c>
      <c r="IA1051" s="319" t="s">
        <v>173</v>
      </c>
      <c r="IB1051" s="319" t="s">
        <v>173</v>
      </c>
      <c r="IC1051" s="319" t="s">
        <v>173</v>
      </c>
      <c r="ID1051" s="319" t="s">
        <v>173</v>
      </c>
      <c r="IE1051" s="319" t="s">
        <v>173</v>
      </c>
      <c r="IF1051" s="319" t="s">
        <v>173</v>
      </c>
      <c r="IG1051" s="319" t="s">
        <v>173</v>
      </c>
      <c r="IH1051" s="319" t="s">
        <v>173</v>
      </c>
      <c r="II1051" s="319" t="s">
        <v>173</v>
      </c>
      <c r="IJ1051" s="319" t="s">
        <v>173</v>
      </c>
      <c r="IK1051" s="319" t="s">
        <v>173</v>
      </c>
      <c r="IL1051" s="319" t="s">
        <v>173</v>
      </c>
      <c r="IM1051" s="319" t="s">
        <v>173</v>
      </c>
      <c r="IN1051" s="319" t="s">
        <v>173</v>
      </c>
      <c r="IO1051" s="319" t="s">
        <v>173</v>
      </c>
      <c r="IP1051" s="319" t="s">
        <v>173</v>
      </c>
      <c r="IQ1051" s="319" t="s">
        <v>173</v>
      </c>
      <c r="IR1051" s="320" t="s">
        <v>173</v>
      </c>
      <c r="IS1051" s="320" t="s">
        <v>173</v>
      </c>
      <c r="IT1051" s="319" t="s">
        <v>173</v>
      </c>
    </row>
    <row r="1052" spans="1:254" s="271" customFormat="1" x14ac:dyDescent="0.25">
      <c r="A1052" s="318" t="str">
        <f>HYPERLINK("http://www.ofsted.gov.uk/inspection-reports/find-inspection-report/provider/ELS/146971 ","Ofsted School Webpage")</f>
        <v>Ofsted School Webpage</v>
      </c>
      <c r="B1052" s="319">
        <v>146971</v>
      </c>
      <c r="C1052" s="319">
        <v>9256011</v>
      </c>
      <c r="D1052" s="319" t="s">
        <v>3608</v>
      </c>
      <c r="E1052" s="319" t="s">
        <v>168</v>
      </c>
      <c r="F1052" s="319" t="s">
        <v>434</v>
      </c>
      <c r="G1052" s="319" t="s">
        <v>81</v>
      </c>
      <c r="H1052" s="319" t="s">
        <v>81</v>
      </c>
      <c r="I1052" s="319" t="s">
        <v>78</v>
      </c>
      <c r="J1052" s="319" t="s">
        <v>424</v>
      </c>
      <c r="K1052" s="319" t="s">
        <v>506</v>
      </c>
      <c r="L1052" s="319" t="s">
        <v>506</v>
      </c>
      <c r="M1052" s="319" t="s">
        <v>833</v>
      </c>
      <c r="N1052" s="319" t="s">
        <v>3006</v>
      </c>
      <c r="O1052" s="319" t="s">
        <v>3609</v>
      </c>
      <c r="P1052" s="319">
        <v>3</v>
      </c>
      <c r="Q1052" s="319" t="s">
        <v>429</v>
      </c>
      <c r="R1052" s="320" t="s">
        <v>173</v>
      </c>
      <c r="S1052" s="321" t="s">
        <v>173</v>
      </c>
      <c r="T1052" s="321" t="s">
        <v>173</v>
      </c>
      <c r="U1052" s="321" t="s">
        <v>173</v>
      </c>
      <c r="V1052" s="319" t="s">
        <v>173</v>
      </c>
      <c r="W1052" s="319" t="s">
        <v>173</v>
      </c>
      <c r="X1052" s="319" t="s">
        <v>173</v>
      </c>
      <c r="Y1052" s="319" t="s">
        <v>173</v>
      </c>
      <c r="Z1052" s="319" t="s">
        <v>173</v>
      </c>
      <c r="AA1052" s="319" t="s">
        <v>173</v>
      </c>
      <c r="AB1052" s="319" t="s">
        <v>173</v>
      </c>
      <c r="AC1052" s="319" t="s">
        <v>173</v>
      </c>
      <c r="AD1052" s="319" t="s">
        <v>173</v>
      </c>
      <c r="AE1052" s="319" t="s">
        <v>173</v>
      </c>
      <c r="AF1052" s="319" t="s">
        <v>173</v>
      </c>
      <c r="AG1052" s="319" t="s">
        <v>173</v>
      </c>
      <c r="AH1052" s="319" t="s">
        <v>173</v>
      </c>
      <c r="AI1052" s="319" t="s">
        <v>173</v>
      </c>
      <c r="AJ1052" s="319" t="s">
        <v>173</v>
      </c>
      <c r="AK1052" s="319" t="s">
        <v>173</v>
      </c>
      <c r="AL1052" s="319" t="s">
        <v>173</v>
      </c>
      <c r="AM1052" s="319" t="s">
        <v>173</v>
      </c>
      <c r="AN1052" s="319" t="s">
        <v>173</v>
      </c>
      <c r="AO1052" s="319" t="s">
        <v>173</v>
      </c>
      <c r="AP1052" s="319" t="s">
        <v>173</v>
      </c>
      <c r="AQ1052" s="319" t="s">
        <v>173</v>
      </c>
      <c r="AR1052" s="319" t="s">
        <v>173</v>
      </c>
      <c r="AS1052" s="319" t="s">
        <v>173</v>
      </c>
      <c r="AT1052" s="319" t="s">
        <v>173</v>
      </c>
      <c r="AU1052" s="319" t="s">
        <v>173</v>
      </c>
      <c r="AV1052" s="319" t="s">
        <v>173</v>
      </c>
      <c r="AW1052" s="319" t="s">
        <v>173</v>
      </c>
      <c r="AX1052" s="319" t="s">
        <v>173</v>
      </c>
      <c r="AY1052" s="319" t="s">
        <v>173</v>
      </c>
      <c r="AZ1052" s="319" t="s">
        <v>173</v>
      </c>
      <c r="BA1052" s="319" t="s">
        <v>173</v>
      </c>
      <c r="BB1052" s="319" t="s">
        <v>173</v>
      </c>
      <c r="BC1052" s="319" t="s">
        <v>173</v>
      </c>
      <c r="BD1052" s="319" t="s">
        <v>173</v>
      </c>
      <c r="BE1052" s="319" t="s">
        <v>173</v>
      </c>
      <c r="BF1052" s="319" t="s">
        <v>173</v>
      </c>
      <c r="BG1052" s="319" t="s">
        <v>173</v>
      </c>
      <c r="BH1052" s="319" t="s">
        <v>173</v>
      </c>
      <c r="BI1052" s="319" t="s">
        <v>173</v>
      </c>
      <c r="BJ1052" s="319" t="s">
        <v>173</v>
      </c>
      <c r="BK1052" s="319" t="s">
        <v>173</v>
      </c>
      <c r="BL1052" s="319" t="s">
        <v>173</v>
      </c>
      <c r="BM1052" s="319" t="s">
        <v>173</v>
      </c>
      <c r="BN1052" s="319" t="s">
        <v>173</v>
      </c>
      <c r="BO1052" s="319" t="s">
        <v>173</v>
      </c>
      <c r="BP1052" s="319" t="s">
        <v>173</v>
      </c>
      <c r="BQ1052" s="319" t="s">
        <v>173</v>
      </c>
      <c r="BR1052" s="319" t="s">
        <v>173</v>
      </c>
      <c r="BS1052" s="319" t="s">
        <v>173</v>
      </c>
      <c r="BT1052" s="319" t="s">
        <v>173</v>
      </c>
      <c r="BU1052" s="319" t="s">
        <v>173</v>
      </c>
      <c r="BV1052" s="319" t="s">
        <v>173</v>
      </c>
      <c r="BW1052" s="319" t="s">
        <v>173</v>
      </c>
      <c r="BX1052" s="319" t="s">
        <v>173</v>
      </c>
      <c r="BY1052" s="319" t="s">
        <v>173</v>
      </c>
      <c r="BZ1052" s="319" t="s">
        <v>173</v>
      </c>
      <c r="CA1052" s="319" t="s">
        <v>173</v>
      </c>
      <c r="CB1052" s="319" t="s">
        <v>173</v>
      </c>
      <c r="CC1052" s="319" t="s">
        <v>173</v>
      </c>
      <c r="CD1052" s="319" t="s">
        <v>173</v>
      </c>
      <c r="CE1052" s="319" t="s">
        <v>173</v>
      </c>
      <c r="CF1052" s="319" t="s">
        <v>173</v>
      </c>
      <c r="CG1052" s="319" t="s">
        <v>173</v>
      </c>
      <c r="CH1052" s="319" t="s">
        <v>173</v>
      </c>
      <c r="CI1052" s="319" t="s">
        <v>173</v>
      </c>
      <c r="CJ1052" s="319" t="s">
        <v>173</v>
      </c>
      <c r="CK1052" s="319" t="s">
        <v>173</v>
      </c>
      <c r="CL1052" s="319" t="s">
        <v>173</v>
      </c>
      <c r="CM1052" s="319" t="s">
        <v>173</v>
      </c>
      <c r="CN1052" s="319" t="s">
        <v>173</v>
      </c>
      <c r="CO1052" s="319" t="s">
        <v>173</v>
      </c>
      <c r="CP1052" s="319" t="s">
        <v>173</v>
      </c>
      <c r="CQ1052" s="319" t="s">
        <v>173</v>
      </c>
      <c r="CR1052" s="319" t="s">
        <v>173</v>
      </c>
      <c r="CS1052" s="319" t="s">
        <v>173</v>
      </c>
      <c r="CT1052" s="319" t="s">
        <v>173</v>
      </c>
      <c r="CU1052" s="319" t="s">
        <v>173</v>
      </c>
      <c r="CV1052" s="319" t="s">
        <v>173</v>
      </c>
      <c r="CW1052" s="319" t="s">
        <v>173</v>
      </c>
      <c r="CX1052" s="319" t="s">
        <v>173</v>
      </c>
      <c r="CY1052" s="319" t="s">
        <v>173</v>
      </c>
      <c r="CZ1052" s="319" t="s">
        <v>173</v>
      </c>
      <c r="DA1052" s="319" t="s">
        <v>173</v>
      </c>
      <c r="DB1052" s="319" t="s">
        <v>173</v>
      </c>
      <c r="DC1052" s="319" t="s">
        <v>173</v>
      </c>
      <c r="DD1052" s="319" t="s">
        <v>173</v>
      </c>
      <c r="DE1052" s="319" t="s">
        <v>173</v>
      </c>
      <c r="DF1052" s="319" t="s">
        <v>173</v>
      </c>
      <c r="DG1052" s="319" t="s">
        <v>173</v>
      </c>
      <c r="DH1052" s="319" t="s">
        <v>173</v>
      </c>
      <c r="DI1052" s="319" t="s">
        <v>173</v>
      </c>
      <c r="DJ1052" s="319" t="s">
        <v>173</v>
      </c>
      <c r="DK1052" s="319" t="s">
        <v>173</v>
      </c>
      <c r="DL1052" s="319" t="s">
        <v>173</v>
      </c>
      <c r="DM1052" s="319" t="s">
        <v>173</v>
      </c>
      <c r="DN1052" s="319" t="s">
        <v>173</v>
      </c>
      <c r="DO1052" s="319" t="s">
        <v>173</v>
      </c>
      <c r="DP1052" s="319" t="s">
        <v>173</v>
      </c>
      <c r="DQ1052" s="319" t="s">
        <v>173</v>
      </c>
      <c r="DR1052" s="319" t="s">
        <v>173</v>
      </c>
      <c r="DS1052" s="319" t="s">
        <v>173</v>
      </c>
      <c r="DT1052" s="319" t="s">
        <v>173</v>
      </c>
      <c r="DU1052" s="319" t="s">
        <v>173</v>
      </c>
      <c r="DV1052" s="319" t="s">
        <v>173</v>
      </c>
      <c r="DW1052" s="319" t="s">
        <v>173</v>
      </c>
      <c r="DX1052" s="319" t="s">
        <v>173</v>
      </c>
      <c r="DY1052" s="319" t="s">
        <v>173</v>
      </c>
      <c r="DZ1052" s="319" t="s">
        <v>173</v>
      </c>
      <c r="EA1052" s="319" t="s">
        <v>173</v>
      </c>
      <c r="EB1052" s="319" t="s">
        <v>173</v>
      </c>
      <c r="EC1052" s="319" t="s">
        <v>173</v>
      </c>
      <c r="ED1052" s="319" t="s">
        <v>173</v>
      </c>
      <c r="EE1052" s="319" t="s">
        <v>173</v>
      </c>
      <c r="EF1052" s="319" t="s">
        <v>173</v>
      </c>
      <c r="EG1052" s="319" t="s">
        <v>173</v>
      </c>
      <c r="EH1052" s="319" t="s">
        <v>173</v>
      </c>
      <c r="EI1052" s="319" t="s">
        <v>173</v>
      </c>
      <c r="EJ1052" s="319" t="s">
        <v>173</v>
      </c>
      <c r="EK1052" s="319" t="s">
        <v>173</v>
      </c>
      <c r="EL1052" s="319" t="s">
        <v>173</v>
      </c>
      <c r="EM1052" s="319" t="s">
        <v>173</v>
      </c>
      <c r="EN1052" s="319" t="s">
        <v>173</v>
      </c>
      <c r="EO1052" s="319" t="s">
        <v>173</v>
      </c>
      <c r="EP1052" s="319" t="s">
        <v>173</v>
      </c>
      <c r="EQ1052" s="319" t="s">
        <v>173</v>
      </c>
      <c r="ER1052" s="319" t="s">
        <v>173</v>
      </c>
      <c r="ES1052" s="319" t="s">
        <v>173</v>
      </c>
      <c r="ET1052" s="319" t="s">
        <v>173</v>
      </c>
      <c r="EU1052" s="319" t="s">
        <v>173</v>
      </c>
      <c r="EV1052" s="319" t="s">
        <v>173</v>
      </c>
      <c r="EW1052" s="319" t="s">
        <v>173</v>
      </c>
      <c r="EX1052" s="319" t="s">
        <v>173</v>
      </c>
      <c r="EY1052" s="319" t="s">
        <v>173</v>
      </c>
      <c r="EZ1052" s="319" t="s">
        <v>173</v>
      </c>
      <c r="FA1052" s="319" t="s">
        <v>173</v>
      </c>
      <c r="FB1052" s="319" t="s">
        <v>173</v>
      </c>
      <c r="FC1052" s="319" t="s">
        <v>173</v>
      </c>
      <c r="FD1052" s="319" t="s">
        <v>173</v>
      </c>
      <c r="FE1052" s="319" t="s">
        <v>173</v>
      </c>
      <c r="FF1052" s="319" t="s">
        <v>173</v>
      </c>
      <c r="FG1052" s="319" t="s">
        <v>173</v>
      </c>
      <c r="FH1052" s="319" t="s">
        <v>173</v>
      </c>
      <c r="FI1052" s="319" t="s">
        <v>173</v>
      </c>
      <c r="FJ1052" s="319" t="s">
        <v>173</v>
      </c>
      <c r="FK1052" s="319" t="s">
        <v>173</v>
      </c>
      <c r="FL1052" s="319" t="s">
        <v>173</v>
      </c>
      <c r="FM1052" s="319" t="s">
        <v>173</v>
      </c>
      <c r="FN1052" s="319" t="s">
        <v>173</v>
      </c>
      <c r="FO1052" s="319" t="s">
        <v>173</v>
      </c>
      <c r="FP1052" s="319" t="s">
        <v>173</v>
      </c>
      <c r="FQ1052" s="319" t="s">
        <v>173</v>
      </c>
      <c r="FR1052" s="319" t="s">
        <v>173</v>
      </c>
      <c r="FS1052" s="319" t="s">
        <v>173</v>
      </c>
      <c r="FT1052" s="319" t="s">
        <v>173</v>
      </c>
      <c r="FU1052" s="319" t="s">
        <v>173</v>
      </c>
      <c r="FV1052" s="319" t="s">
        <v>173</v>
      </c>
      <c r="FW1052" s="319" t="s">
        <v>173</v>
      </c>
      <c r="FX1052" s="319" t="s">
        <v>173</v>
      </c>
      <c r="FY1052" s="319" t="s">
        <v>173</v>
      </c>
      <c r="FZ1052" s="319" t="s">
        <v>173</v>
      </c>
      <c r="GA1052" s="319" t="s">
        <v>173</v>
      </c>
      <c r="GB1052" s="319" t="s">
        <v>173</v>
      </c>
      <c r="GC1052" s="319" t="s">
        <v>173</v>
      </c>
      <c r="GD1052" s="319" t="s">
        <v>173</v>
      </c>
      <c r="GE1052" s="319" t="s">
        <v>173</v>
      </c>
      <c r="GF1052" s="319" t="s">
        <v>173</v>
      </c>
      <c r="GG1052" s="319" t="s">
        <v>173</v>
      </c>
      <c r="GH1052" s="319" t="s">
        <v>173</v>
      </c>
      <c r="GI1052" s="319" t="s">
        <v>173</v>
      </c>
      <c r="GJ1052" s="319" t="s">
        <v>173</v>
      </c>
      <c r="GK1052" s="319" t="s">
        <v>173</v>
      </c>
      <c r="GL1052" s="319" t="s">
        <v>173</v>
      </c>
      <c r="GM1052" s="319" t="s">
        <v>173</v>
      </c>
      <c r="GN1052" s="319" t="s">
        <v>173</v>
      </c>
      <c r="GO1052" s="319" t="s">
        <v>173</v>
      </c>
      <c r="GP1052" s="319" t="s">
        <v>173</v>
      </c>
      <c r="GQ1052" s="319" t="s">
        <v>173</v>
      </c>
      <c r="GR1052" s="319" t="s">
        <v>173</v>
      </c>
      <c r="GS1052" s="319" t="s">
        <v>173</v>
      </c>
      <c r="GT1052" s="319" t="s">
        <v>173</v>
      </c>
      <c r="GU1052" s="319" t="s">
        <v>173</v>
      </c>
      <c r="GV1052" s="319" t="s">
        <v>173</v>
      </c>
      <c r="GW1052" s="319" t="s">
        <v>173</v>
      </c>
      <c r="GX1052" s="319" t="s">
        <v>173</v>
      </c>
      <c r="GY1052" s="319" t="s">
        <v>173</v>
      </c>
      <c r="GZ1052" s="319" t="s">
        <v>173</v>
      </c>
      <c r="HA1052" s="319" t="s">
        <v>173</v>
      </c>
      <c r="HB1052" s="319" t="s">
        <v>173</v>
      </c>
      <c r="HC1052" s="319" t="s">
        <v>173</v>
      </c>
      <c r="HD1052" s="319" t="s">
        <v>173</v>
      </c>
      <c r="HE1052" s="319" t="s">
        <v>173</v>
      </c>
      <c r="HF1052" s="319" t="s">
        <v>173</v>
      </c>
      <c r="HG1052" s="319" t="s">
        <v>173</v>
      </c>
      <c r="HH1052" s="319" t="s">
        <v>173</v>
      </c>
      <c r="HI1052" s="319" t="s">
        <v>173</v>
      </c>
      <c r="HJ1052" s="319" t="s">
        <v>173</v>
      </c>
      <c r="HK1052" s="319" t="s">
        <v>173</v>
      </c>
      <c r="HL1052" s="319" t="s">
        <v>173</v>
      </c>
      <c r="HM1052" s="319" t="s">
        <v>173</v>
      </c>
      <c r="HN1052" s="319" t="s">
        <v>173</v>
      </c>
      <c r="HO1052" s="319" t="s">
        <v>173</v>
      </c>
      <c r="HP1052" s="319" t="s">
        <v>173</v>
      </c>
      <c r="HQ1052" s="319" t="s">
        <v>173</v>
      </c>
      <c r="HR1052" s="319" t="s">
        <v>173</v>
      </c>
      <c r="HS1052" s="319" t="s">
        <v>173</v>
      </c>
      <c r="HT1052" s="319" t="s">
        <v>173</v>
      </c>
      <c r="HU1052" s="319" t="s">
        <v>173</v>
      </c>
      <c r="HV1052" s="319" t="s">
        <v>173</v>
      </c>
      <c r="HW1052" s="319" t="s">
        <v>173</v>
      </c>
      <c r="HX1052" s="319" t="s">
        <v>173</v>
      </c>
      <c r="HY1052" s="319" t="s">
        <v>173</v>
      </c>
      <c r="HZ1052" s="319" t="s">
        <v>173</v>
      </c>
      <c r="IA1052" s="319" t="s">
        <v>173</v>
      </c>
      <c r="IB1052" s="319" t="s">
        <v>173</v>
      </c>
      <c r="IC1052" s="319" t="s">
        <v>173</v>
      </c>
      <c r="ID1052" s="319" t="s">
        <v>173</v>
      </c>
      <c r="IE1052" s="319" t="s">
        <v>173</v>
      </c>
      <c r="IF1052" s="319" t="s">
        <v>173</v>
      </c>
      <c r="IG1052" s="319" t="s">
        <v>173</v>
      </c>
      <c r="IH1052" s="319" t="s">
        <v>173</v>
      </c>
      <c r="II1052" s="319" t="s">
        <v>173</v>
      </c>
      <c r="IJ1052" s="319" t="s">
        <v>173</v>
      </c>
      <c r="IK1052" s="319" t="s">
        <v>173</v>
      </c>
      <c r="IL1052" s="319" t="s">
        <v>173</v>
      </c>
      <c r="IM1052" s="319" t="s">
        <v>173</v>
      </c>
      <c r="IN1052" s="319" t="s">
        <v>173</v>
      </c>
      <c r="IO1052" s="319" t="s">
        <v>173</v>
      </c>
      <c r="IP1052" s="319" t="s">
        <v>173</v>
      </c>
      <c r="IQ1052" s="321" t="s">
        <v>173</v>
      </c>
      <c r="IR1052" s="320" t="s">
        <v>173</v>
      </c>
      <c r="IS1052" s="322" t="s">
        <v>173</v>
      </c>
      <c r="IT1052" s="319" t="s">
        <v>173</v>
      </c>
    </row>
    <row r="1053" spans="1:254" s="271" customFormat="1" x14ac:dyDescent="0.25">
      <c r="A1053" s="318" t="str">
        <f>HYPERLINK("http://www.ofsted.gov.uk/inspection-reports/find-inspection-report/provider/ELS/146973 ","Ofsted School Webpage")</f>
        <v>Ofsted School Webpage</v>
      </c>
      <c r="B1053" s="319">
        <v>146973</v>
      </c>
      <c r="C1053" s="319">
        <v>3116004</v>
      </c>
      <c r="D1053" s="319" t="s">
        <v>3610</v>
      </c>
      <c r="E1053" s="319" t="s">
        <v>167</v>
      </c>
      <c r="F1053" s="319" t="s">
        <v>434</v>
      </c>
      <c r="G1053" s="319" t="s">
        <v>81</v>
      </c>
      <c r="H1053" s="319" t="s">
        <v>81</v>
      </c>
      <c r="I1053" s="319" t="s">
        <v>78</v>
      </c>
      <c r="J1053" s="319" t="s">
        <v>424</v>
      </c>
      <c r="K1053" s="319" t="s">
        <v>441</v>
      </c>
      <c r="L1053" s="319" t="s">
        <v>441</v>
      </c>
      <c r="M1053" s="319" t="s">
        <v>635</v>
      </c>
      <c r="N1053" s="319" t="s">
        <v>3611</v>
      </c>
      <c r="O1053" s="319" t="s">
        <v>3612</v>
      </c>
      <c r="P1053" s="319" t="s">
        <v>173</v>
      </c>
      <c r="Q1053" s="319" t="s">
        <v>2766</v>
      </c>
      <c r="R1053" s="320" t="s">
        <v>173</v>
      </c>
      <c r="S1053" s="321" t="s">
        <v>173</v>
      </c>
      <c r="T1053" s="321" t="s">
        <v>173</v>
      </c>
      <c r="U1053" s="321" t="s">
        <v>173</v>
      </c>
      <c r="V1053" s="319" t="s">
        <v>173</v>
      </c>
      <c r="W1053" s="319" t="s">
        <v>173</v>
      </c>
      <c r="X1053" s="319" t="s">
        <v>173</v>
      </c>
      <c r="Y1053" s="319" t="s">
        <v>173</v>
      </c>
      <c r="Z1053" s="319" t="s">
        <v>173</v>
      </c>
      <c r="AA1053" s="319" t="s">
        <v>173</v>
      </c>
      <c r="AB1053" s="319" t="s">
        <v>173</v>
      </c>
      <c r="AC1053" s="319" t="s">
        <v>173</v>
      </c>
      <c r="AD1053" s="319" t="s">
        <v>173</v>
      </c>
      <c r="AE1053" s="319" t="s">
        <v>173</v>
      </c>
      <c r="AF1053" s="319" t="s">
        <v>173</v>
      </c>
      <c r="AG1053" s="319" t="s">
        <v>173</v>
      </c>
      <c r="AH1053" s="319" t="s">
        <v>173</v>
      </c>
      <c r="AI1053" s="319" t="s">
        <v>173</v>
      </c>
      <c r="AJ1053" s="319" t="s">
        <v>173</v>
      </c>
      <c r="AK1053" s="319" t="s">
        <v>173</v>
      </c>
      <c r="AL1053" s="319" t="s">
        <v>173</v>
      </c>
      <c r="AM1053" s="319" t="s">
        <v>173</v>
      </c>
      <c r="AN1053" s="319" t="s">
        <v>173</v>
      </c>
      <c r="AO1053" s="319" t="s">
        <v>173</v>
      </c>
      <c r="AP1053" s="319" t="s">
        <v>173</v>
      </c>
      <c r="AQ1053" s="319" t="s">
        <v>173</v>
      </c>
      <c r="AR1053" s="319" t="s">
        <v>173</v>
      </c>
      <c r="AS1053" s="319" t="s">
        <v>173</v>
      </c>
      <c r="AT1053" s="319" t="s">
        <v>173</v>
      </c>
      <c r="AU1053" s="319" t="s">
        <v>173</v>
      </c>
      <c r="AV1053" s="319" t="s">
        <v>173</v>
      </c>
      <c r="AW1053" s="319" t="s">
        <v>173</v>
      </c>
      <c r="AX1053" s="319" t="s">
        <v>173</v>
      </c>
      <c r="AY1053" s="319" t="s">
        <v>173</v>
      </c>
      <c r="AZ1053" s="319" t="s">
        <v>173</v>
      </c>
      <c r="BA1053" s="319" t="s">
        <v>173</v>
      </c>
      <c r="BB1053" s="319" t="s">
        <v>173</v>
      </c>
      <c r="BC1053" s="319" t="s">
        <v>173</v>
      </c>
      <c r="BD1053" s="319" t="s">
        <v>173</v>
      </c>
      <c r="BE1053" s="319" t="s">
        <v>173</v>
      </c>
      <c r="BF1053" s="319" t="s">
        <v>173</v>
      </c>
      <c r="BG1053" s="319" t="s">
        <v>173</v>
      </c>
      <c r="BH1053" s="319" t="s">
        <v>173</v>
      </c>
      <c r="BI1053" s="319" t="s">
        <v>173</v>
      </c>
      <c r="BJ1053" s="319" t="s">
        <v>173</v>
      </c>
      <c r="BK1053" s="319" t="s">
        <v>173</v>
      </c>
      <c r="BL1053" s="319" t="s">
        <v>173</v>
      </c>
      <c r="BM1053" s="319" t="s">
        <v>173</v>
      </c>
      <c r="BN1053" s="319" t="s">
        <v>173</v>
      </c>
      <c r="BO1053" s="319" t="s">
        <v>173</v>
      </c>
      <c r="BP1053" s="319" t="s">
        <v>173</v>
      </c>
      <c r="BQ1053" s="319" t="s">
        <v>173</v>
      </c>
      <c r="BR1053" s="319" t="s">
        <v>173</v>
      </c>
      <c r="BS1053" s="319" t="s">
        <v>173</v>
      </c>
      <c r="BT1053" s="319" t="s">
        <v>173</v>
      </c>
      <c r="BU1053" s="319" t="s">
        <v>173</v>
      </c>
      <c r="BV1053" s="319" t="s">
        <v>173</v>
      </c>
      <c r="BW1053" s="319" t="s">
        <v>173</v>
      </c>
      <c r="BX1053" s="319" t="s">
        <v>173</v>
      </c>
      <c r="BY1053" s="319" t="s">
        <v>173</v>
      </c>
      <c r="BZ1053" s="319" t="s">
        <v>173</v>
      </c>
      <c r="CA1053" s="319" t="s">
        <v>173</v>
      </c>
      <c r="CB1053" s="319" t="s">
        <v>173</v>
      </c>
      <c r="CC1053" s="319" t="s">
        <v>173</v>
      </c>
      <c r="CD1053" s="319" t="s">
        <v>173</v>
      </c>
      <c r="CE1053" s="319" t="s">
        <v>173</v>
      </c>
      <c r="CF1053" s="319" t="s">
        <v>173</v>
      </c>
      <c r="CG1053" s="319" t="s">
        <v>173</v>
      </c>
      <c r="CH1053" s="319" t="s">
        <v>173</v>
      </c>
      <c r="CI1053" s="319" t="s">
        <v>173</v>
      </c>
      <c r="CJ1053" s="319" t="s">
        <v>173</v>
      </c>
      <c r="CK1053" s="319" t="s">
        <v>173</v>
      </c>
      <c r="CL1053" s="319" t="s">
        <v>173</v>
      </c>
      <c r="CM1053" s="319" t="s">
        <v>173</v>
      </c>
      <c r="CN1053" s="319" t="s">
        <v>173</v>
      </c>
      <c r="CO1053" s="319" t="s">
        <v>173</v>
      </c>
      <c r="CP1053" s="319" t="s">
        <v>173</v>
      </c>
      <c r="CQ1053" s="319" t="s">
        <v>173</v>
      </c>
      <c r="CR1053" s="319" t="s">
        <v>173</v>
      </c>
      <c r="CS1053" s="319" t="s">
        <v>173</v>
      </c>
      <c r="CT1053" s="319" t="s">
        <v>173</v>
      </c>
      <c r="CU1053" s="319" t="s">
        <v>173</v>
      </c>
      <c r="CV1053" s="319" t="s">
        <v>173</v>
      </c>
      <c r="CW1053" s="319" t="s">
        <v>173</v>
      </c>
      <c r="CX1053" s="319" t="s">
        <v>173</v>
      </c>
      <c r="CY1053" s="319" t="s">
        <v>173</v>
      </c>
      <c r="CZ1053" s="319" t="s">
        <v>173</v>
      </c>
      <c r="DA1053" s="319" t="s">
        <v>173</v>
      </c>
      <c r="DB1053" s="319" t="s">
        <v>173</v>
      </c>
      <c r="DC1053" s="319" t="s">
        <v>173</v>
      </c>
      <c r="DD1053" s="319" t="s">
        <v>173</v>
      </c>
      <c r="DE1053" s="319" t="s">
        <v>173</v>
      </c>
      <c r="DF1053" s="319" t="s">
        <v>173</v>
      </c>
      <c r="DG1053" s="319" t="s">
        <v>173</v>
      </c>
      <c r="DH1053" s="319" t="s">
        <v>173</v>
      </c>
      <c r="DI1053" s="319" t="s">
        <v>173</v>
      </c>
      <c r="DJ1053" s="319" t="s">
        <v>173</v>
      </c>
      <c r="DK1053" s="319" t="s">
        <v>173</v>
      </c>
      <c r="DL1053" s="319" t="s">
        <v>173</v>
      </c>
      <c r="DM1053" s="319" t="s">
        <v>173</v>
      </c>
      <c r="DN1053" s="319" t="s">
        <v>173</v>
      </c>
      <c r="DO1053" s="319" t="s">
        <v>173</v>
      </c>
      <c r="DP1053" s="319" t="s">
        <v>173</v>
      </c>
      <c r="DQ1053" s="319" t="s">
        <v>173</v>
      </c>
      <c r="DR1053" s="319" t="s">
        <v>173</v>
      </c>
      <c r="DS1053" s="319" t="s">
        <v>173</v>
      </c>
      <c r="DT1053" s="319" t="s">
        <v>173</v>
      </c>
      <c r="DU1053" s="319" t="s">
        <v>173</v>
      </c>
      <c r="DV1053" s="319" t="s">
        <v>173</v>
      </c>
      <c r="DW1053" s="319" t="s">
        <v>173</v>
      </c>
      <c r="DX1053" s="319" t="s">
        <v>173</v>
      </c>
      <c r="DY1053" s="319" t="s">
        <v>173</v>
      </c>
      <c r="DZ1053" s="319" t="s">
        <v>173</v>
      </c>
      <c r="EA1053" s="319" t="s">
        <v>173</v>
      </c>
      <c r="EB1053" s="319" t="s">
        <v>173</v>
      </c>
      <c r="EC1053" s="319" t="s">
        <v>173</v>
      </c>
      <c r="ED1053" s="319" t="s">
        <v>173</v>
      </c>
      <c r="EE1053" s="319" t="s">
        <v>173</v>
      </c>
      <c r="EF1053" s="319" t="s">
        <v>173</v>
      </c>
      <c r="EG1053" s="319" t="s">
        <v>173</v>
      </c>
      <c r="EH1053" s="319" t="s">
        <v>173</v>
      </c>
      <c r="EI1053" s="319" t="s">
        <v>173</v>
      </c>
      <c r="EJ1053" s="319" t="s">
        <v>173</v>
      </c>
      <c r="EK1053" s="319" t="s">
        <v>173</v>
      </c>
      <c r="EL1053" s="319" t="s">
        <v>173</v>
      </c>
      <c r="EM1053" s="319" t="s">
        <v>173</v>
      </c>
      <c r="EN1053" s="319" t="s">
        <v>173</v>
      </c>
      <c r="EO1053" s="319" t="s">
        <v>173</v>
      </c>
      <c r="EP1053" s="319" t="s">
        <v>173</v>
      </c>
      <c r="EQ1053" s="319" t="s">
        <v>173</v>
      </c>
      <c r="ER1053" s="319" t="s">
        <v>173</v>
      </c>
      <c r="ES1053" s="319" t="s">
        <v>173</v>
      </c>
      <c r="ET1053" s="319" t="s">
        <v>173</v>
      </c>
      <c r="EU1053" s="319" t="s">
        <v>173</v>
      </c>
      <c r="EV1053" s="319" t="s">
        <v>173</v>
      </c>
      <c r="EW1053" s="319" t="s">
        <v>173</v>
      </c>
      <c r="EX1053" s="319" t="s">
        <v>173</v>
      </c>
      <c r="EY1053" s="319" t="s">
        <v>173</v>
      </c>
      <c r="EZ1053" s="319" t="s">
        <v>173</v>
      </c>
      <c r="FA1053" s="319" t="s">
        <v>173</v>
      </c>
      <c r="FB1053" s="319" t="s">
        <v>173</v>
      </c>
      <c r="FC1053" s="319" t="s">
        <v>173</v>
      </c>
      <c r="FD1053" s="319" t="s">
        <v>173</v>
      </c>
      <c r="FE1053" s="319" t="s">
        <v>173</v>
      </c>
      <c r="FF1053" s="319" t="s">
        <v>173</v>
      </c>
      <c r="FG1053" s="319" t="s">
        <v>173</v>
      </c>
      <c r="FH1053" s="319" t="s">
        <v>173</v>
      </c>
      <c r="FI1053" s="319" t="s">
        <v>173</v>
      </c>
      <c r="FJ1053" s="319" t="s">
        <v>173</v>
      </c>
      <c r="FK1053" s="319" t="s">
        <v>173</v>
      </c>
      <c r="FL1053" s="319" t="s">
        <v>173</v>
      </c>
      <c r="FM1053" s="319" t="s">
        <v>173</v>
      </c>
      <c r="FN1053" s="319" t="s">
        <v>173</v>
      </c>
      <c r="FO1053" s="319" t="s">
        <v>173</v>
      </c>
      <c r="FP1053" s="319" t="s">
        <v>173</v>
      </c>
      <c r="FQ1053" s="319" t="s">
        <v>173</v>
      </c>
      <c r="FR1053" s="319" t="s">
        <v>173</v>
      </c>
      <c r="FS1053" s="319" t="s">
        <v>173</v>
      </c>
      <c r="FT1053" s="319" t="s">
        <v>173</v>
      </c>
      <c r="FU1053" s="319" t="s">
        <v>173</v>
      </c>
      <c r="FV1053" s="319" t="s">
        <v>173</v>
      </c>
      <c r="FW1053" s="319" t="s">
        <v>173</v>
      </c>
      <c r="FX1053" s="319" t="s">
        <v>173</v>
      </c>
      <c r="FY1053" s="319" t="s">
        <v>173</v>
      </c>
      <c r="FZ1053" s="319" t="s">
        <v>173</v>
      </c>
      <c r="GA1053" s="319" t="s">
        <v>173</v>
      </c>
      <c r="GB1053" s="319" t="s">
        <v>173</v>
      </c>
      <c r="GC1053" s="319" t="s">
        <v>173</v>
      </c>
      <c r="GD1053" s="319" t="s">
        <v>173</v>
      </c>
      <c r="GE1053" s="319" t="s">
        <v>173</v>
      </c>
      <c r="GF1053" s="319" t="s">
        <v>173</v>
      </c>
      <c r="GG1053" s="319" t="s">
        <v>173</v>
      </c>
      <c r="GH1053" s="319" t="s">
        <v>173</v>
      </c>
      <c r="GI1053" s="319" t="s">
        <v>173</v>
      </c>
      <c r="GJ1053" s="319" t="s">
        <v>173</v>
      </c>
      <c r="GK1053" s="319" t="s">
        <v>173</v>
      </c>
      <c r="GL1053" s="319" t="s">
        <v>173</v>
      </c>
      <c r="GM1053" s="319" t="s">
        <v>173</v>
      </c>
      <c r="GN1053" s="319" t="s">
        <v>173</v>
      </c>
      <c r="GO1053" s="319" t="s">
        <v>173</v>
      </c>
      <c r="GP1053" s="319" t="s">
        <v>173</v>
      </c>
      <c r="GQ1053" s="319" t="s">
        <v>173</v>
      </c>
      <c r="GR1053" s="319" t="s">
        <v>173</v>
      </c>
      <c r="GS1053" s="319" t="s">
        <v>173</v>
      </c>
      <c r="GT1053" s="319" t="s">
        <v>173</v>
      </c>
      <c r="GU1053" s="319" t="s">
        <v>173</v>
      </c>
      <c r="GV1053" s="319" t="s">
        <v>173</v>
      </c>
      <c r="GW1053" s="319" t="s">
        <v>173</v>
      </c>
      <c r="GX1053" s="319" t="s">
        <v>173</v>
      </c>
      <c r="GY1053" s="319" t="s">
        <v>173</v>
      </c>
      <c r="GZ1053" s="319" t="s">
        <v>173</v>
      </c>
      <c r="HA1053" s="319" t="s">
        <v>173</v>
      </c>
      <c r="HB1053" s="319" t="s">
        <v>173</v>
      </c>
      <c r="HC1053" s="319" t="s">
        <v>173</v>
      </c>
      <c r="HD1053" s="319" t="s">
        <v>173</v>
      </c>
      <c r="HE1053" s="319" t="s">
        <v>173</v>
      </c>
      <c r="HF1053" s="319" t="s">
        <v>173</v>
      </c>
      <c r="HG1053" s="319" t="s">
        <v>173</v>
      </c>
      <c r="HH1053" s="319" t="s">
        <v>173</v>
      </c>
      <c r="HI1053" s="319" t="s">
        <v>173</v>
      </c>
      <c r="HJ1053" s="319" t="s">
        <v>173</v>
      </c>
      <c r="HK1053" s="319" t="s">
        <v>173</v>
      </c>
      <c r="HL1053" s="319" t="s">
        <v>173</v>
      </c>
      <c r="HM1053" s="319" t="s">
        <v>173</v>
      </c>
      <c r="HN1053" s="319" t="s">
        <v>173</v>
      </c>
      <c r="HO1053" s="319" t="s">
        <v>173</v>
      </c>
      <c r="HP1053" s="319" t="s">
        <v>173</v>
      </c>
      <c r="HQ1053" s="319" t="s">
        <v>173</v>
      </c>
      <c r="HR1053" s="319" t="s">
        <v>173</v>
      </c>
      <c r="HS1053" s="319" t="s">
        <v>173</v>
      </c>
      <c r="HT1053" s="319" t="s">
        <v>173</v>
      </c>
      <c r="HU1053" s="319" t="s">
        <v>173</v>
      </c>
      <c r="HV1053" s="319" t="s">
        <v>173</v>
      </c>
      <c r="HW1053" s="319" t="s">
        <v>173</v>
      </c>
      <c r="HX1053" s="319" t="s">
        <v>173</v>
      </c>
      <c r="HY1053" s="319" t="s">
        <v>173</v>
      </c>
      <c r="HZ1053" s="319" t="s">
        <v>173</v>
      </c>
      <c r="IA1053" s="319" t="s">
        <v>173</v>
      </c>
      <c r="IB1053" s="319" t="s">
        <v>173</v>
      </c>
      <c r="IC1053" s="319" t="s">
        <v>173</v>
      </c>
      <c r="ID1053" s="319" t="s">
        <v>173</v>
      </c>
      <c r="IE1053" s="319" t="s">
        <v>173</v>
      </c>
      <c r="IF1053" s="319" t="s">
        <v>173</v>
      </c>
      <c r="IG1053" s="319" t="s">
        <v>173</v>
      </c>
      <c r="IH1053" s="319" t="s">
        <v>173</v>
      </c>
      <c r="II1053" s="319" t="s">
        <v>173</v>
      </c>
      <c r="IJ1053" s="319" t="s">
        <v>173</v>
      </c>
      <c r="IK1053" s="319" t="s">
        <v>173</v>
      </c>
      <c r="IL1053" s="319" t="s">
        <v>173</v>
      </c>
      <c r="IM1053" s="319" t="s">
        <v>173</v>
      </c>
      <c r="IN1053" s="319" t="s">
        <v>173</v>
      </c>
      <c r="IO1053" s="319" t="s">
        <v>173</v>
      </c>
      <c r="IP1053" s="319" t="s">
        <v>173</v>
      </c>
      <c r="IQ1053" s="319" t="s">
        <v>173</v>
      </c>
      <c r="IR1053" s="320" t="s">
        <v>173</v>
      </c>
      <c r="IS1053" s="320" t="s">
        <v>173</v>
      </c>
      <c r="IT1053" s="319" t="s">
        <v>173</v>
      </c>
    </row>
    <row r="1054" spans="1:254" s="271" customFormat="1" x14ac:dyDescent="0.25">
      <c r="A1054" s="318" t="str">
        <f>HYPERLINK("http://www.ofsted.gov.uk/inspection-reports/find-inspection-report/provider/ELS/146981 ","Ofsted School Webpage")</f>
        <v>Ofsted School Webpage</v>
      </c>
      <c r="B1054" s="319">
        <v>146981</v>
      </c>
      <c r="C1054" s="319">
        <v>8606050</v>
      </c>
      <c r="D1054" s="319" t="s">
        <v>3613</v>
      </c>
      <c r="E1054" s="319" t="s">
        <v>168</v>
      </c>
      <c r="F1054" s="319" t="s">
        <v>434</v>
      </c>
      <c r="G1054" s="319" t="s">
        <v>81</v>
      </c>
      <c r="H1054" s="319" t="s">
        <v>81</v>
      </c>
      <c r="I1054" s="319" t="s">
        <v>78</v>
      </c>
      <c r="J1054" s="319" t="s">
        <v>424</v>
      </c>
      <c r="K1054" s="319" t="s">
        <v>437</v>
      </c>
      <c r="L1054" s="319" t="s">
        <v>437</v>
      </c>
      <c r="M1054" s="319" t="s">
        <v>577</v>
      </c>
      <c r="N1054" s="319" t="s">
        <v>3426</v>
      </c>
      <c r="O1054" s="319" t="s">
        <v>3614</v>
      </c>
      <c r="P1054" s="319" t="s">
        <v>173</v>
      </c>
      <c r="Q1054" s="319" t="s">
        <v>429</v>
      </c>
      <c r="R1054" s="320" t="s">
        <v>173</v>
      </c>
      <c r="S1054" s="321" t="s">
        <v>173</v>
      </c>
      <c r="T1054" s="321" t="s">
        <v>173</v>
      </c>
      <c r="U1054" s="321" t="s">
        <v>173</v>
      </c>
      <c r="V1054" s="319" t="s">
        <v>173</v>
      </c>
      <c r="W1054" s="319" t="s">
        <v>173</v>
      </c>
      <c r="X1054" s="319" t="s">
        <v>173</v>
      </c>
      <c r="Y1054" s="319" t="s">
        <v>173</v>
      </c>
      <c r="Z1054" s="319" t="s">
        <v>173</v>
      </c>
      <c r="AA1054" s="319" t="s">
        <v>173</v>
      </c>
      <c r="AB1054" s="319" t="s">
        <v>173</v>
      </c>
      <c r="AC1054" s="319" t="s">
        <v>173</v>
      </c>
      <c r="AD1054" s="319" t="s">
        <v>173</v>
      </c>
      <c r="AE1054" s="319" t="s">
        <v>173</v>
      </c>
      <c r="AF1054" s="319" t="s">
        <v>173</v>
      </c>
      <c r="AG1054" s="319" t="s">
        <v>173</v>
      </c>
      <c r="AH1054" s="319" t="s">
        <v>173</v>
      </c>
      <c r="AI1054" s="319" t="s">
        <v>173</v>
      </c>
      <c r="AJ1054" s="319" t="s">
        <v>173</v>
      </c>
      <c r="AK1054" s="319" t="s">
        <v>173</v>
      </c>
      <c r="AL1054" s="319" t="s">
        <v>173</v>
      </c>
      <c r="AM1054" s="319" t="s">
        <v>173</v>
      </c>
      <c r="AN1054" s="319" t="s">
        <v>173</v>
      </c>
      <c r="AO1054" s="319" t="s">
        <v>173</v>
      </c>
      <c r="AP1054" s="319" t="s">
        <v>173</v>
      </c>
      <c r="AQ1054" s="319" t="s">
        <v>173</v>
      </c>
      <c r="AR1054" s="319" t="s">
        <v>173</v>
      </c>
      <c r="AS1054" s="319" t="s">
        <v>173</v>
      </c>
      <c r="AT1054" s="319" t="s">
        <v>173</v>
      </c>
      <c r="AU1054" s="319" t="s">
        <v>173</v>
      </c>
      <c r="AV1054" s="319" t="s">
        <v>173</v>
      </c>
      <c r="AW1054" s="319" t="s">
        <v>173</v>
      </c>
      <c r="AX1054" s="319" t="s">
        <v>173</v>
      </c>
      <c r="AY1054" s="319" t="s">
        <v>173</v>
      </c>
      <c r="AZ1054" s="319" t="s">
        <v>173</v>
      </c>
      <c r="BA1054" s="319" t="s">
        <v>173</v>
      </c>
      <c r="BB1054" s="319" t="s">
        <v>173</v>
      </c>
      <c r="BC1054" s="319" t="s">
        <v>173</v>
      </c>
      <c r="BD1054" s="319" t="s">
        <v>173</v>
      </c>
      <c r="BE1054" s="319" t="s">
        <v>173</v>
      </c>
      <c r="BF1054" s="319" t="s">
        <v>173</v>
      </c>
      <c r="BG1054" s="319" t="s">
        <v>173</v>
      </c>
      <c r="BH1054" s="319" t="s">
        <v>173</v>
      </c>
      <c r="BI1054" s="319" t="s">
        <v>173</v>
      </c>
      <c r="BJ1054" s="319" t="s">
        <v>173</v>
      </c>
      <c r="BK1054" s="319" t="s">
        <v>173</v>
      </c>
      <c r="BL1054" s="319" t="s">
        <v>173</v>
      </c>
      <c r="BM1054" s="319" t="s">
        <v>173</v>
      </c>
      <c r="BN1054" s="319" t="s">
        <v>173</v>
      </c>
      <c r="BO1054" s="319" t="s">
        <v>173</v>
      </c>
      <c r="BP1054" s="319" t="s">
        <v>173</v>
      </c>
      <c r="BQ1054" s="319" t="s">
        <v>173</v>
      </c>
      <c r="BR1054" s="319" t="s">
        <v>173</v>
      </c>
      <c r="BS1054" s="319" t="s">
        <v>173</v>
      </c>
      <c r="BT1054" s="319" t="s">
        <v>173</v>
      </c>
      <c r="BU1054" s="319" t="s">
        <v>173</v>
      </c>
      <c r="BV1054" s="319" t="s">
        <v>173</v>
      </c>
      <c r="BW1054" s="319" t="s">
        <v>173</v>
      </c>
      <c r="BX1054" s="319" t="s">
        <v>173</v>
      </c>
      <c r="BY1054" s="319" t="s">
        <v>173</v>
      </c>
      <c r="BZ1054" s="319" t="s">
        <v>173</v>
      </c>
      <c r="CA1054" s="319" t="s">
        <v>173</v>
      </c>
      <c r="CB1054" s="319" t="s">
        <v>173</v>
      </c>
      <c r="CC1054" s="319" t="s">
        <v>173</v>
      </c>
      <c r="CD1054" s="319" t="s">
        <v>173</v>
      </c>
      <c r="CE1054" s="319" t="s">
        <v>173</v>
      </c>
      <c r="CF1054" s="319" t="s">
        <v>173</v>
      </c>
      <c r="CG1054" s="319" t="s">
        <v>173</v>
      </c>
      <c r="CH1054" s="319" t="s">
        <v>173</v>
      </c>
      <c r="CI1054" s="319" t="s">
        <v>173</v>
      </c>
      <c r="CJ1054" s="319" t="s">
        <v>173</v>
      </c>
      <c r="CK1054" s="319" t="s">
        <v>173</v>
      </c>
      <c r="CL1054" s="319" t="s">
        <v>173</v>
      </c>
      <c r="CM1054" s="319" t="s">
        <v>173</v>
      </c>
      <c r="CN1054" s="319" t="s">
        <v>173</v>
      </c>
      <c r="CO1054" s="319" t="s">
        <v>173</v>
      </c>
      <c r="CP1054" s="319" t="s">
        <v>173</v>
      </c>
      <c r="CQ1054" s="319" t="s">
        <v>173</v>
      </c>
      <c r="CR1054" s="319" t="s">
        <v>173</v>
      </c>
      <c r="CS1054" s="319" t="s">
        <v>173</v>
      </c>
      <c r="CT1054" s="319" t="s">
        <v>173</v>
      </c>
      <c r="CU1054" s="319" t="s">
        <v>173</v>
      </c>
      <c r="CV1054" s="319" t="s">
        <v>173</v>
      </c>
      <c r="CW1054" s="319" t="s">
        <v>173</v>
      </c>
      <c r="CX1054" s="319" t="s">
        <v>173</v>
      </c>
      <c r="CY1054" s="319" t="s">
        <v>173</v>
      </c>
      <c r="CZ1054" s="319" t="s">
        <v>173</v>
      </c>
      <c r="DA1054" s="319" t="s">
        <v>173</v>
      </c>
      <c r="DB1054" s="319" t="s">
        <v>173</v>
      </c>
      <c r="DC1054" s="319" t="s">
        <v>173</v>
      </c>
      <c r="DD1054" s="319" t="s">
        <v>173</v>
      </c>
      <c r="DE1054" s="319" t="s">
        <v>173</v>
      </c>
      <c r="DF1054" s="319" t="s">
        <v>173</v>
      </c>
      <c r="DG1054" s="319" t="s">
        <v>173</v>
      </c>
      <c r="DH1054" s="319" t="s">
        <v>173</v>
      </c>
      <c r="DI1054" s="319" t="s">
        <v>173</v>
      </c>
      <c r="DJ1054" s="319" t="s">
        <v>173</v>
      </c>
      <c r="DK1054" s="319" t="s">
        <v>173</v>
      </c>
      <c r="DL1054" s="319" t="s">
        <v>173</v>
      </c>
      <c r="DM1054" s="319" t="s">
        <v>173</v>
      </c>
      <c r="DN1054" s="319" t="s">
        <v>173</v>
      </c>
      <c r="DO1054" s="319" t="s">
        <v>173</v>
      </c>
      <c r="DP1054" s="319" t="s">
        <v>173</v>
      </c>
      <c r="DQ1054" s="319" t="s">
        <v>173</v>
      </c>
      <c r="DR1054" s="319" t="s">
        <v>173</v>
      </c>
      <c r="DS1054" s="319" t="s">
        <v>173</v>
      </c>
      <c r="DT1054" s="319" t="s">
        <v>173</v>
      </c>
      <c r="DU1054" s="319" t="s">
        <v>173</v>
      </c>
      <c r="DV1054" s="319" t="s">
        <v>173</v>
      </c>
      <c r="DW1054" s="319" t="s">
        <v>173</v>
      </c>
      <c r="DX1054" s="319" t="s">
        <v>173</v>
      </c>
      <c r="DY1054" s="319" t="s">
        <v>173</v>
      </c>
      <c r="DZ1054" s="319" t="s">
        <v>173</v>
      </c>
      <c r="EA1054" s="319" t="s">
        <v>173</v>
      </c>
      <c r="EB1054" s="319" t="s">
        <v>173</v>
      </c>
      <c r="EC1054" s="319" t="s">
        <v>173</v>
      </c>
      <c r="ED1054" s="319" t="s">
        <v>173</v>
      </c>
      <c r="EE1054" s="319" t="s">
        <v>173</v>
      </c>
      <c r="EF1054" s="319" t="s">
        <v>173</v>
      </c>
      <c r="EG1054" s="319" t="s">
        <v>173</v>
      </c>
      <c r="EH1054" s="319" t="s">
        <v>173</v>
      </c>
      <c r="EI1054" s="319" t="s">
        <v>173</v>
      </c>
      <c r="EJ1054" s="319" t="s">
        <v>173</v>
      </c>
      <c r="EK1054" s="319" t="s">
        <v>173</v>
      </c>
      <c r="EL1054" s="319" t="s">
        <v>173</v>
      </c>
      <c r="EM1054" s="319" t="s">
        <v>173</v>
      </c>
      <c r="EN1054" s="319" t="s">
        <v>173</v>
      </c>
      <c r="EO1054" s="319" t="s">
        <v>173</v>
      </c>
      <c r="EP1054" s="319" t="s">
        <v>173</v>
      </c>
      <c r="EQ1054" s="319" t="s">
        <v>173</v>
      </c>
      <c r="ER1054" s="319" t="s">
        <v>173</v>
      </c>
      <c r="ES1054" s="319" t="s">
        <v>173</v>
      </c>
      <c r="ET1054" s="319" t="s">
        <v>173</v>
      </c>
      <c r="EU1054" s="319" t="s">
        <v>173</v>
      </c>
      <c r="EV1054" s="319" t="s">
        <v>173</v>
      </c>
      <c r="EW1054" s="319" t="s">
        <v>173</v>
      </c>
      <c r="EX1054" s="319" t="s">
        <v>173</v>
      </c>
      <c r="EY1054" s="319" t="s">
        <v>173</v>
      </c>
      <c r="EZ1054" s="319" t="s">
        <v>173</v>
      </c>
      <c r="FA1054" s="319" t="s">
        <v>173</v>
      </c>
      <c r="FB1054" s="319" t="s">
        <v>173</v>
      </c>
      <c r="FC1054" s="319" t="s">
        <v>173</v>
      </c>
      <c r="FD1054" s="319" t="s">
        <v>173</v>
      </c>
      <c r="FE1054" s="319" t="s">
        <v>173</v>
      </c>
      <c r="FF1054" s="319" t="s">
        <v>173</v>
      </c>
      <c r="FG1054" s="319" t="s">
        <v>173</v>
      </c>
      <c r="FH1054" s="319" t="s">
        <v>173</v>
      </c>
      <c r="FI1054" s="319" t="s">
        <v>173</v>
      </c>
      <c r="FJ1054" s="319" t="s">
        <v>173</v>
      </c>
      <c r="FK1054" s="319" t="s">
        <v>173</v>
      </c>
      <c r="FL1054" s="319" t="s">
        <v>173</v>
      </c>
      <c r="FM1054" s="319" t="s">
        <v>173</v>
      </c>
      <c r="FN1054" s="319" t="s">
        <v>173</v>
      </c>
      <c r="FO1054" s="319" t="s">
        <v>173</v>
      </c>
      <c r="FP1054" s="319" t="s">
        <v>173</v>
      </c>
      <c r="FQ1054" s="319" t="s">
        <v>173</v>
      </c>
      <c r="FR1054" s="319" t="s">
        <v>173</v>
      </c>
      <c r="FS1054" s="319" t="s">
        <v>173</v>
      </c>
      <c r="FT1054" s="319" t="s">
        <v>173</v>
      </c>
      <c r="FU1054" s="319" t="s">
        <v>173</v>
      </c>
      <c r="FV1054" s="319" t="s">
        <v>173</v>
      </c>
      <c r="FW1054" s="319" t="s">
        <v>173</v>
      </c>
      <c r="FX1054" s="319" t="s">
        <v>173</v>
      </c>
      <c r="FY1054" s="319" t="s">
        <v>173</v>
      </c>
      <c r="FZ1054" s="319" t="s">
        <v>173</v>
      </c>
      <c r="GA1054" s="319" t="s">
        <v>173</v>
      </c>
      <c r="GB1054" s="319" t="s">
        <v>173</v>
      </c>
      <c r="GC1054" s="319" t="s">
        <v>173</v>
      </c>
      <c r="GD1054" s="319" t="s">
        <v>173</v>
      </c>
      <c r="GE1054" s="319" t="s">
        <v>173</v>
      </c>
      <c r="GF1054" s="319" t="s">
        <v>173</v>
      </c>
      <c r="GG1054" s="319" t="s">
        <v>173</v>
      </c>
      <c r="GH1054" s="319" t="s">
        <v>173</v>
      </c>
      <c r="GI1054" s="319" t="s">
        <v>173</v>
      </c>
      <c r="GJ1054" s="319" t="s">
        <v>173</v>
      </c>
      <c r="GK1054" s="319" t="s">
        <v>173</v>
      </c>
      <c r="GL1054" s="319" t="s">
        <v>173</v>
      </c>
      <c r="GM1054" s="319" t="s">
        <v>173</v>
      </c>
      <c r="GN1054" s="319" t="s">
        <v>173</v>
      </c>
      <c r="GO1054" s="319" t="s">
        <v>173</v>
      </c>
      <c r="GP1054" s="319" t="s">
        <v>173</v>
      </c>
      <c r="GQ1054" s="319" t="s">
        <v>173</v>
      </c>
      <c r="GR1054" s="319" t="s">
        <v>173</v>
      </c>
      <c r="GS1054" s="319" t="s">
        <v>173</v>
      </c>
      <c r="GT1054" s="319" t="s">
        <v>173</v>
      </c>
      <c r="GU1054" s="319" t="s">
        <v>173</v>
      </c>
      <c r="GV1054" s="319" t="s">
        <v>173</v>
      </c>
      <c r="GW1054" s="319" t="s">
        <v>173</v>
      </c>
      <c r="GX1054" s="319" t="s">
        <v>173</v>
      </c>
      <c r="GY1054" s="319" t="s">
        <v>173</v>
      </c>
      <c r="GZ1054" s="319" t="s">
        <v>173</v>
      </c>
      <c r="HA1054" s="319" t="s">
        <v>173</v>
      </c>
      <c r="HB1054" s="319" t="s">
        <v>173</v>
      </c>
      <c r="HC1054" s="319" t="s">
        <v>173</v>
      </c>
      <c r="HD1054" s="319" t="s">
        <v>173</v>
      </c>
      <c r="HE1054" s="319" t="s">
        <v>173</v>
      </c>
      <c r="HF1054" s="319" t="s">
        <v>173</v>
      </c>
      <c r="HG1054" s="319" t="s">
        <v>173</v>
      </c>
      <c r="HH1054" s="319" t="s">
        <v>173</v>
      </c>
      <c r="HI1054" s="319" t="s">
        <v>173</v>
      </c>
      <c r="HJ1054" s="319" t="s">
        <v>173</v>
      </c>
      <c r="HK1054" s="319" t="s">
        <v>173</v>
      </c>
      <c r="HL1054" s="319" t="s">
        <v>173</v>
      </c>
      <c r="HM1054" s="319" t="s">
        <v>173</v>
      </c>
      <c r="HN1054" s="319" t="s">
        <v>173</v>
      </c>
      <c r="HO1054" s="319" t="s">
        <v>173</v>
      </c>
      <c r="HP1054" s="319" t="s">
        <v>173</v>
      </c>
      <c r="HQ1054" s="319" t="s">
        <v>173</v>
      </c>
      <c r="HR1054" s="319" t="s">
        <v>173</v>
      </c>
      <c r="HS1054" s="319" t="s">
        <v>173</v>
      </c>
      <c r="HT1054" s="319" t="s">
        <v>173</v>
      </c>
      <c r="HU1054" s="319" t="s">
        <v>173</v>
      </c>
      <c r="HV1054" s="319" t="s">
        <v>173</v>
      </c>
      <c r="HW1054" s="319" t="s">
        <v>173</v>
      </c>
      <c r="HX1054" s="319" t="s">
        <v>173</v>
      </c>
      <c r="HY1054" s="319" t="s">
        <v>173</v>
      </c>
      <c r="HZ1054" s="319" t="s">
        <v>173</v>
      </c>
      <c r="IA1054" s="319" t="s">
        <v>173</v>
      </c>
      <c r="IB1054" s="319" t="s">
        <v>173</v>
      </c>
      <c r="IC1054" s="319" t="s">
        <v>173</v>
      </c>
      <c r="ID1054" s="319" t="s">
        <v>173</v>
      </c>
      <c r="IE1054" s="319" t="s">
        <v>173</v>
      </c>
      <c r="IF1054" s="319" t="s">
        <v>173</v>
      </c>
      <c r="IG1054" s="319" t="s">
        <v>173</v>
      </c>
      <c r="IH1054" s="319" t="s">
        <v>173</v>
      </c>
      <c r="II1054" s="319" t="s">
        <v>173</v>
      </c>
      <c r="IJ1054" s="319" t="s">
        <v>173</v>
      </c>
      <c r="IK1054" s="319" t="s">
        <v>173</v>
      </c>
      <c r="IL1054" s="319" t="s">
        <v>173</v>
      </c>
      <c r="IM1054" s="319" t="s">
        <v>173</v>
      </c>
      <c r="IN1054" s="319" t="s">
        <v>173</v>
      </c>
      <c r="IO1054" s="319" t="s">
        <v>173</v>
      </c>
      <c r="IP1054" s="319" t="s">
        <v>173</v>
      </c>
      <c r="IQ1054" s="319" t="s">
        <v>173</v>
      </c>
      <c r="IR1054" s="320" t="s">
        <v>173</v>
      </c>
      <c r="IS1054" s="320" t="s">
        <v>173</v>
      </c>
      <c r="IT1054" s="319" t="s">
        <v>173</v>
      </c>
    </row>
    <row r="1055" spans="1:254" s="271" customFormat="1" x14ac:dyDescent="0.25">
      <c r="A1055" s="318" t="str">
        <f>HYPERLINK("http://www.ofsted.gov.uk/inspection-reports/find-inspection-report/provider/ELS/146982 ","Ofsted School Webpage")</f>
        <v>Ofsted School Webpage</v>
      </c>
      <c r="B1055" s="319">
        <v>146982</v>
      </c>
      <c r="C1055" s="319">
        <v>8606051</v>
      </c>
      <c r="D1055" s="319" t="s">
        <v>3615</v>
      </c>
      <c r="E1055" s="319" t="s">
        <v>168</v>
      </c>
      <c r="F1055" s="319" t="s">
        <v>434</v>
      </c>
      <c r="G1055" s="319" t="s">
        <v>81</v>
      </c>
      <c r="H1055" s="319" t="s">
        <v>81</v>
      </c>
      <c r="I1055" s="319" t="s">
        <v>78</v>
      </c>
      <c r="J1055" s="319" t="s">
        <v>424</v>
      </c>
      <c r="K1055" s="319" t="s">
        <v>437</v>
      </c>
      <c r="L1055" s="319" t="s">
        <v>437</v>
      </c>
      <c r="M1055" s="319" t="s">
        <v>577</v>
      </c>
      <c r="N1055" s="319" t="s">
        <v>3383</v>
      </c>
      <c r="O1055" s="319" t="s">
        <v>3616</v>
      </c>
      <c r="P1055" s="319" t="s">
        <v>173</v>
      </c>
      <c r="Q1055" s="319" t="s">
        <v>2766</v>
      </c>
      <c r="R1055" s="320" t="s">
        <v>173</v>
      </c>
      <c r="S1055" s="321" t="s">
        <v>173</v>
      </c>
      <c r="T1055" s="321" t="s">
        <v>173</v>
      </c>
      <c r="U1055" s="321" t="s">
        <v>173</v>
      </c>
      <c r="V1055" s="319" t="s">
        <v>173</v>
      </c>
      <c r="W1055" s="319" t="s">
        <v>173</v>
      </c>
      <c r="X1055" s="319" t="s">
        <v>173</v>
      </c>
      <c r="Y1055" s="319" t="s">
        <v>173</v>
      </c>
      <c r="Z1055" s="319" t="s">
        <v>173</v>
      </c>
      <c r="AA1055" s="319" t="s">
        <v>173</v>
      </c>
      <c r="AB1055" s="319" t="s">
        <v>173</v>
      </c>
      <c r="AC1055" s="319" t="s">
        <v>173</v>
      </c>
      <c r="AD1055" s="319" t="s">
        <v>173</v>
      </c>
      <c r="AE1055" s="319" t="s">
        <v>173</v>
      </c>
      <c r="AF1055" s="319" t="s">
        <v>173</v>
      </c>
      <c r="AG1055" s="319" t="s">
        <v>173</v>
      </c>
      <c r="AH1055" s="319" t="s">
        <v>173</v>
      </c>
      <c r="AI1055" s="319" t="s">
        <v>173</v>
      </c>
      <c r="AJ1055" s="319" t="s">
        <v>173</v>
      </c>
      <c r="AK1055" s="319" t="s">
        <v>173</v>
      </c>
      <c r="AL1055" s="319" t="s">
        <v>173</v>
      </c>
      <c r="AM1055" s="319" t="s">
        <v>173</v>
      </c>
      <c r="AN1055" s="319" t="s">
        <v>173</v>
      </c>
      <c r="AO1055" s="319" t="s">
        <v>173</v>
      </c>
      <c r="AP1055" s="319" t="s">
        <v>173</v>
      </c>
      <c r="AQ1055" s="319" t="s">
        <v>173</v>
      </c>
      <c r="AR1055" s="319" t="s">
        <v>173</v>
      </c>
      <c r="AS1055" s="319" t="s">
        <v>173</v>
      </c>
      <c r="AT1055" s="319" t="s">
        <v>173</v>
      </c>
      <c r="AU1055" s="319" t="s">
        <v>173</v>
      </c>
      <c r="AV1055" s="319" t="s">
        <v>173</v>
      </c>
      <c r="AW1055" s="319" t="s">
        <v>173</v>
      </c>
      <c r="AX1055" s="319" t="s">
        <v>173</v>
      </c>
      <c r="AY1055" s="319" t="s">
        <v>173</v>
      </c>
      <c r="AZ1055" s="319" t="s">
        <v>173</v>
      </c>
      <c r="BA1055" s="319" t="s">
        <v>173</v>
      </c>
      <c r="BB1055" s="319" t="s">
        <v>173</v>
      </c>
      <c r="BC1055" s="319" t="s">
        <v>173</v>
      </c>
      <c r="BD1055" s="319" t="s">
        <v>173</v>
      </c>
      <c r="BE1055" s="319" t="s">
        <v>173</v>
      </c>
      <c r="BF1055" s="319" t="s">
        <v>173</v>
      </c>
      <c r="BG1055" s="319" t="s">
        <v>173</v>
      </c>
      <c r="BH1055" s="319" t="s">
        <v>173</v>
      </c>
      <c r="BI1055" s="319" t="s">
        <v>173</v>
      </c>
      <c r="BJ1055" s="319" t="s">
        <v>173</v>
      </c>
      <c r="BK1055" s="319" t="s">
        <v>173</v>
      </c>
      <c r="BL1055" s="319" t="s">
        <v>173</v>
      </c>
      <c r="BM1055" s="319" t="s">
        <v>173</v>
      </c>
      <c r="BN1055" s="319" t="s">
        <v>173</v>
      </c>
      <c r="BO1055" s="319" t="s">
        <v>173</v>
      </c>
      <c r="BP1055" s="319" t="s">
        <v>173</v>
      </c>
      <c r="BQ1055" s="319" t="s">
        <v>173</v>
      </c>
      <c r="BR1055" s="319" t="s">
        <v>173</v>
      </c>
      <c r="BS1055" s="319" t="s">
        <v>173</v>
      </c>
      <c r="BT1055" s="319" t="s">
        <v>173</v>
      </c>
      <c r="BU1055" s="319" t="s">
        <v>173</v>
      </c>
      <c r="BV1055" s="319" t="s">
        <v>173</v>
      </c>
      <c r="BW1055" s="319" t="s">
        <v>173</v>
      </c>
      <c r="BX1055" s="319" t="s">
        <v>173</v>
      </c>
      <c r="BY1055" s="319" t="s">
        <v>173</v>
      </c>
      <c r="BZ1055" s="319" t="s">
        <v>173</v>
      </c>
      <c r="CA1055" s="319" t="s">
        <v>173</v>
      </c>
      <c r="CB1055" s="319" t="s">
        <v>173</v>
      </c>
      <c r="CC1055" s="319" t="s">
        <v>173</v>
      </c>
      <c r="CD1055" s="319" t="s">
        <v>173</v>
      </c>
      <c r="CE1055" s="319" t="s">
        <v>173</v>
      </c>
      <c r="CF1055" s="319" t="s">
        <v>173</v>
      </c>
      <c r="CG1055" s="319" t="s">
        <v>173</v>
      </c>
      <c r="CH1055" s="319" t="s">
        <v>173</v>
      </c>
      <c r="CI1055" s="319" t="s">
        <v>173</v>
      </c>
      <c r="CJ1055" s="319" t="s">
        <v>173</v>
      </c>
      <c r="CK1055" s="319" t="s">
        <v>173</v>
      </c>
      <c r="CL1055" s="319" t="s">
        <v>173</v>
      </c>
      <c r="CM1055" s="319" t="s">
        <v>173</v>
      </c>
      <c r="CN1055" s="319" t="s">
        <v>173</v>
      </c>
      <c r="CO1055" s="319" t="s">
        <v>173</v>
      </c>
      <c r="CP1055" s="319" t="s">
        <v>173</v>
      </c>
      <c r="CQ1055" s="319" t="s">
        <v>173</v>
      </c>
      <c r="CR1055" s="319" t="s">
        <v>173</v>
      </c>
      <c r="CS1055" s="319" t="s">
        <v>173</v>
      </c>
      <c r="CT1055" s="319" t="s">
        <v>173</v>
      </c>
      <c r="CU1055" s="319" t="s">
        <v>173</v>
      </c>
      <c r="CV1055" s="319" t="s">
        <v>173</v>
      </c>
      <c r="CW1055" s="319" t="s">
        <v>173</v>
      </c>
      <c r="CX1055" s="319" t="s">
        <v>173</v>
      </c>
      <c r="CY1055" s="319" t="s">
        <v>173</v>
      </c>
      <c r="CZ1055" s="319" t="s">
        <v>173</v>
      </c>
      <c r="DA1055" s="319" t="s">
        <v>173</v>
      </c>
      <c r="DB1055" s="319" t="s">
        <v>173</v>
      </c>
      <c r="DC1055" s="319" t="s">
        <v>173</v>
      </c>
      <c r="DD1055" s="319" t="s">
        <v>173</v>
      </c>
      <c r="DE1055" s="319" t="s">
        <v>173</v>
      </c>
      <c r="DF1055" s="319" t="s">
        <v>173</v>
      </c>
      <c r="DG1055" s="319" t="s">
        <v>173</v>
      </c>
      <c r="DH1055" s="319" t="s">
        <v>173</v>
      </c>
      <c r="DI1055" s="319" t="s">
        <v>173</v>
      </c>
      <c r="DJ1055" s="319" t="s">
        <v>173</v>
      </c>
      <c r="DK1055" s="319" t="s">
        <v>173</v>
      </c>
      <c r="DL1055" s="319" t="s">
        <v>173</v>
      </c>
      <c r="DM1055" s="319" t="s">
        <v>173</v>
      </c>
      <c r="DN1055" s="319" t="s">
        <v>173</v>
      </c>
      <c r="DO1055" s="319" t="s">
        <v>173</v>
      </c>
      <c r="DP1055" s="319" t="s">
        <v>173</v>
      </c>
      <c r="DQ1055" s="319" t="s">
        <v>173</v>
      </c>
      <c r="DR1055" s="319" t="s">
        <v>173</v>
      </c>
      <c r="DS1055" s="319" t="s">
        <v>173</v>
      </c>
      <c r="DT1055" s="319" t="s">
        <v>173</v>
      </c>
      <c r="DU1055" s="319" t="s">
        <v>173</v>
      </c>
      <c r="DV1055" s="319" t="s">
        <v>173</v>
      </c>
      <c r="DW1055" s="319" t="s">
        <v>173</v>
      </c>
      <c r="DX1055" s="319" t="s">
        <v>173</v>
      </c>
      <c r="DY1055" s="319" t="s">
        <v>173</v>
      </c>
      <c r="DZ1055" s="319" t="s">
        <v>173</v>
      </c>
      <c r="EA1055" s="319" t="s">
        <v>173</v>
      </c>
      <c r="EB1055" s="319" t="s">
        <v>173</v>
      </c>
      <c r="EC1055" s="319" t="s">
        <v>173</v>
      </c>
      <c r="ED1055" s="319" t="s">
        <v>173</v>
      </c>
      <c r="EE1055" s="319" t="s">
        <v>173</v>
      </c>
      <c r="EF1055" s="319" t="s">
        <v>173</v>
      </c>
      <c r="EG1055" s="319" t="s">
        <v>173</v>
      </c>
      <c r="EH1055" s="319" t="s">
        <v>173</v>
      </c>
      <c r="EI1055" s="319" t="s">
        <v>173</v>
      </c>
      <c r="EJ1055" s="319" t="s">
        <v>173</v>
      </c>
      <c r="EK1055" s="319" t="s">
        <v>173</v>
      </c>
      <c r="EL1055" s="319" t="s">
        <v>173</v>
      </c>
      <c r="EM1055" s="319" t="s">
        <v>173</v>
      </c>
      <c r="EN1055" s="319" t="s">
        <v>173</v>
      </c>
      <c r="EO1055" s="319" t="s">
        <v>173</v>
      </c>
      <c r="EP1055" s="319" t="s">
        <v>173</v>
      </c>
      <c r="EQ1055" s="319" t="s">
        <v>173</v>
      </c>
      <c r="ER1055" s="319" t="s">
        <v>173</v>
      </c>
      <c r="ES1055" s="319" t="s">
        <v>173</v>
      </c>
      <c r="ET1055" s="319" t="s">
        <v>173</v>
      </c>
      <c r="EU1055" s="319" t="s">
        <v>173</v>
      </c>
      <c r="EV1055" s="319" t="s">
        <v>173</v>
      </c>
      <c r="EW1055" s="319" t="s">
        <v>173</v>
      </c>
      <c r="EX1055" s="319" t="s">
        <v>173</v>
      </c>
      <c r="EY1055" s="319" t="s">
        <v>173</v>
      </c>
      <c r="EZ1055" s="319" t="s">
        <v>173</v>
      </c>
      <c r="FA1055" s="319" t="s">
        <v>173</v>
      </c>
      <c r="FB1055" s="319" t="s">
        <v>173</v>
      </c>
      <c r="FC1055" s="319" t="s">
        <v>173</v>
      </c>
      <c r="FD1055" s="319" t="s">
        <v>173</v>
      </c>
      <c r="FE1055" s="319" t="s">
        <v>173</v>
      </c>
      <c r="FF1055" s="319" t="s">
        <v>173</v>
      </c>
      <c r="FG1055" s="319" t="s">
        <v>173</v>
      </c>
      <c r="FH1055" s="319" t="s">
        <v>173</v>
      </c>
      <c r="FI1055" s="319" t="s">
        <v>173</v>
      </c>
      <c r="FJ1055" s="319" t="s">
        <v>173</v>
      </c>
      <c r="FK1055" s="319" t="s">
        <v>173</v>
      </c>
      <c r="FL1055" s="319" t="s">
        <v>173</v>
      </c>
      <c r="FM1055" s="319" t="s">
        <v>173</v>
      </c>
      <c r="FN1055" s="319" t="s">
        <v>173</v>
      </c>
      <c r="FO1055" s="319" t="s">
        <v>173</v>
      </c>
      <c r="FP1055" s="319" t="s">
        <v>173</v>
      </c>
      <c r="FQ1055" s="319" t="s">
        <v>173</v>
      </c>
      <c r="FR1055" s="319" t="s">
        <v>173</v>
      </c>
      <c r="FS1055" s="319" t="s">
        <v>173</v>
      </c>
      <c r="FT1055" s="319" t="s">
        <v>173</v>
      </c>
      <c r="FU1055" s="319" t="s">
        <v>173</v>
      </c>
      <c r="FV1055" s="319" t="s">
        <v>173</v>
      </c>
      <c r="FW1055" s="319" t="s">
        <v>173</v>
      </c>
      <c r="FX1055" s="319" t="s">
        <v>173</v>
      </c>
      <c r="FY1055" s="319" t="s">
        <v>173</v>
      </c>
      <c r="FZ1055" s="319" t="s">
        <v>173</v>
      </c>
      <c r="GA1055" s="319" t="s">
        <v>173</v>
      </c>
      <c r="GB1055" s="319" t="s">
        <v>173</v>
      </c>
      <c r="GC1055" s="319" t="s">
        <v>173</v>
      </c>
      <c r="GD1055" s="319" t="s">
        <v>173</v>
      </c>
      <c r="GE1055" s="319" t="s">
        <v>173</v>
      </c>
      <c r="GF1055" s="319" t="s">
        <v>173</v>
      </c>
      <c r="GG1055" s="319" t="s">
        <v>173</v>
      </c>
      <c r="GH1055" s="319" t="s">
        <v>173</v>
      </c>
      <c r="GI1055" s="319" t="s">
        <v>173</v>
      </c>
      <c r="GJ1055" s="319" t="s">
        <v>173</v>
      </c>
      <c r="GK1055" s="319" t="s">
        <v>173</v>
      </c>
      <c r="GL1055" s="319" t="s">
        <v>173</v>
      </c>
      <c r="GM1055" s="319" t="s">
        <v>173</v>
      </c>
      <c r="GN1055" s="319" t="s">
        <v>173</v>
      </c>
      <c r="GO1055" s="319" t="s">
        <v>173</v>
      </c>
      <c r="GP1055" s="319" t="s">
        <v>173</v>
      </c>
      <c r="GQ1055" s="319" t="s">
        <v>173</v>
      </c>
      <c r="GR1055" s="319" t="s">
        <v>173</v>
      </c>
      <c r="GS1055" s="319" t="s">
        <v>173</v>
      </c>
      <c r="GT1055" s="319" t="s">
        <v>173</v>
      </c>
      <c r="GU1055" s="319" t="s">
        <v>173</v>
      </c>
      <c r="GV1055" s="319" t="s">
        <v>173</v>
      </c>
      <c r="GW1055" s="319" t="s">
        <v>173</v>
      </c>
      <c r="GX1055" s="319" t="s">
        <v>173</v>
      </c>
      <c r="GY1055" s="319" t="s">
        <v>173</v>
      </c>
      <c r="GZ1055" s="319" t="s">
        <v>173</v>
      </c>
      <c r="HA1055" s="319" t="s">
        <v>173</v>
      </c>
      <c r="HB1055" s="319" t="s">
        <v>173</v>
      </c>
      <c r="HC1055" s="319" t="s">
        <v>173</v>
      </c>
      <c r="HD1055" s="319" t="s">
        <v>173</v>
      </c>
      <c r="HE1055" s="319" t="s">
        <v>173</v>
      </c>
      <c r="HF1055" s="319" t="s">
        <v>173</v>
      </c>
      <c r="HG1055" s="319" t="s">
        <v>173</v>
      </c>
      <c r="HH1055" s="319" t="s">
        <v>173</v>
      </c>
      <c r="HI1055" s="319" t="s">
        <v>173</v>
      </c>
      <c r="HJ1055" s="319" t="s">
        <v>173</v>
      </c>
      <c r="HK1055" s="319" t="s">
        <v>173</v>
      </c>
      <c r="HL1055" s="319" t="s">
        <v>173</v>
      </c>
      <c r="HM1055" s="319" t="s">
        <v>173</v>
      </c>
      <c r="HN1055" s="319" t="s">
        <v>173</v>
      </c>
      <c r="HO1055" s="319" t="s">
        <v>173</v>
      </c>
      <c r="HP1055" s="319" t="s">
        <v>173</v>
      </c>
      <c r="HQ1055" s="319" t="s">
        <v>173</v>
      </c>
      <c r="HR1055" s="319" t="s">
        <v>173</v>
      </c>
      <c r="HS1055" s="319" t="s">
        <v>173</v>
      </c>
      <c r="HT1055" s="319" t="s">
        <v>173</v>
      </c>
      <c r="HU1055" s="319" t="s">
        <v>173</v>
      </c>
      <c r="HV1055" s="319" t="s">
        <v>173</v>
      </c>
      <c r="HW1055" s="319" t="s">
        <v>173</v>
      </c>
      <c r="HX1055" s="319" t="s">
        <v>173</v>
      </c>
      <c r="HY1055" s="319" t="s">
        <v>173</v>
      </c>
      <c r="HZ1055" s="319" t="s">
        <v>173</v>
      </c>
      <c r="IA1055" s="319" t="s">
        <v>173</v>
      </c>
      <c r="IB1055" s="319" t="s">
        <v>173</v>
      </c>
      <c r="IC1055" s="319" t="s">
        <v>173</v>
      </c>
      <c r="ID1055" s="319" t="s">
        <v>173</v>
      </c>
      <c r="IE1055" s="319" t="s">
        <v>173</v>
      </c>
      <c r="IF1055" s="319" t="s">
        <v>173</v>
      </c>
      <c r="IG1055" s="319" t="s">
        <v>173</v>
      </c>
      <c r="IH1055" s="319" t="s">
        <v>173</v>
      </c>
      <c r="II1055" s="319" t="s">
        <v>173</v>
      </c>
      <c r="IJ1055" s="319" t="s">
        <v>173</v>
      </c>
      <c r="IK1055" s="319" t="s">
        <v>173</v>
      </c>
      <c r="IL1055" s="319" t="s">
        <v>173</v>
      </c>
      <c r="IM1055" s="319" t="s">
        <v>173</v>
      </c>
      <c r="IN1055" s="319" t="s">
        <v>173</v>
      </c>
      <c r="IO1055" s="319" t="s">
        <v>173</v>
      </c>
      <c r="IP1055" s="319" t="s">
        <v>173</v>
      </c>
      <c r="IQ1055" s="319" t="s">
        <v>173</v>
      </c>
      <c r="IR1055" s="320" t="s">
        <v>173</v>
      </c>
      <c r="IS1055" s="320" t="s">
        <v>173</v>
      </c>
      <c r="IT1055" s="319" t="s">
        <v>173</v>
      </c>
    </row>
    <row r="1056" spans="1:254" s="271" customFormat="1" x14ac:dyDescent="0.25">
      <c r="A1056" s="318" t="str">
        <f>HYPERLINK("http://www.ofsted.gov.uk/inspection-reports/find-inspection-report/provider/ELS/146988 ","Ofsted School Webpage")</f>
        <v>Ofsted School Webpage</v>
      </c>
      <c r="B1056" s="319">
        <v>146988</v>
      </c>
      <c r="C1056" s="319">
        <v>3596004</v>
      </c>
      <c r="D1056" s="319" t="s">
        <v>3617</v>
      </c>
      <c r="E1056" s="319" t="s">
        <v>168</v>
      </c>
      <c r="F1056" s="319" t="s">
        <v>434</v>
      </c>
      <c r="G1056" s="319" t="s">
        <v>81</v>
      </c>
      <c r="H1056" s="319" t="s">
        <v>81</v>
      </c>
      <c r="I1056" s="319" t="s">
        <v>78</v>
      </c>
      <c r="J1056" s="319" t="s">
        <v>424</v>
      </c>
      <c r="K1056" s="319" t="s">
        <v>431</v>
      </c>
      <c r="L1056" s="319" t="s">
        <v>431</v>
      </c>
      <c r="M1056" s="319" t="s">
        <v>432</v>
      </c>
      <c r="N1056" s="319" t="s">
        <v>3308</v>
      </c>
      <c r="O1056" s="319" t="s">
        <v>3618</v>
      </c>
      <c r="P1056" s="319" t="s">
        <v>173</v>
      </c>
      <c r="Q1056" s="319" t="s">
        <v>429</v>
      </c>
      <c r="R1056" s="320" t="s">
        <v>173</v>
      </c>
      <c r="S1056" s="321" t="s">
        <v>173</v>
      </c>
      <c r="T1056" s="321" t="s">
        <v>173</v>
      </c>
      <c r="U1056" s="321" t="s">
        <v>173</v>
      </c>
      <c r="V1056" s="319" t="s">
        <v>173</v>
      </c>
      <c r="W1056" s="319" t="s">
        <v>173</v>
      </c>
      <c r="X1056" s="319" t="s">
        <v>173</v>
      </c>
      <c r="Y1056" s="319" t="s">
        <v>173</v>
      </c>
      <c r="Z1056" s="319" t="s">
        <v>173</v>
      </c>
      <c r="AA1056" s="319" t="s">
        <v>173</v>
      </c>
      <c r="AB1056" s="319" t="s">
        <v>173</v>
      </c>
      <c r="AC1056" s="319" t="s">
        <v>173</v>
      </c>
      <c r="AD1056" s="319" t="s">
        <v>173</v>
      </c>
      <c r="AE1056" s="319" t="s">
        <v>173</v>
      </c>
      <c r="AF1056" s="319" t="s">
        <v>173</v>
      </c>
      <c r="AG1056" s="319" t="s">
        <v>173</v>
      </c>
      <c r="AH1056" s="319" t="s">
        <v>173</v>
      </c>
      <c r="AI1056" s="319" t="s">
        <v>173</v>
      </c>
      <c r="AJ1056" s="319" t="s">
        <v>173</v>
      </c>
      <c r="AK1056" s="319" t="s">
        <v>173</v>
      </c>
      <c r="AL1056" s="319" t="s">
        <v>173</v>
      </c>
      <c r="AM1056" s="319" t="s">
        <v>173</v>
      </c>
      <c r="AN1056" s="319" t="s">
        <v>173</v>
      </c>
      <c r="AO1056" s="319" t="s">
        <v>173</v>
      </c>
      <c r="AP1056" s="319" t="s">
        <v>173</v>
      </c>
      <c r="AQ1056" s="319" t="s">
        <v>173</v>
      </c>
      <c r="AR1056" s="319" t="s">
        <v>173</v>
      </c>
      <c r="AS1056" s="319" t="s">
        <v>173</v>
      </c>
      <c r="AT1056" s="319" t="s">
        <v>173</v>
      </c>
      <c r="AU1056" s="319" t="s">
        <v>173</v>
      </c>
      <c r="AV1056" s="319" t="s">
        <v>173</v>
      </c>
      <c r="AW1056" s="319" t="s">
        <v>173</v>
      </c>
      <c r="AX1056" s="319" t="s">
        <v>173</v>
      </c>
      <c r="AY1056" s="319" t="s">
        <v>173</v>
      </c>
      <c r="AZ1056" s="319" t="s">
        <v>173</v>
      </c>
      <c r="BA1056" s="319" t="s">
        <v>173</v>
      </c>
      <c r="BB1056" s="319" t="s">
        <v>173</v>
      </c>
      <c r="BC1056" s="319" t="s">
        <v>173</v>
      </c>
      <c r="BD1056" s="319" t="s">
        <v>173</v>
      </c>
      <c r="BE1056" s="319" t="s">
        <v>173</v>
      </c>
      <c r="BF1056" s="319" t="s">
        <v>173</v>
      </c>
      <c r="BG1056" s="319" t="s">
        <v>173</v>
      </c>
      <c r="BH1056" s="319" t="s">
        <v>173</v>
      </c>
      <c r="BI1056" s="319" t="s">
        <v>173</v>
      </c>
      <c r="BJ1056" s="319" t="s">
        <v>173</v>
      </c>
      <c r="BK1056" s="319" t="s">
        <v>173</v>
      </c>
      <c r="BL1056" s="319" t="s">
        <v>173</v>
      </c>
      <c r="BM1056" s="319" t="s">
        <v>173</v>
      </c>
      <c r="BN1056" s="319" t="s">
        <v>173</v>
      </c>
      <c r="BO1056" s="319" t="s">
        <v>173</v>
      </c>
      <c r="BP1056" s="319" t="s">
        <v>173</v>
      </c>
      <c r="BQ1056" s="319" t="s">
        <v>173</v>
      </c>
      <c r="BR1056" s="319" t="s">
        <v>173</v>
      </c>
      <c r="BS1056" s="319" t="s">
        <v>173</v>
      </c>
      <c r="BT1056" s="319" t="s">
        <v>173</v>
      </c>
      <c r="BU1056" s="319" t="s">
        <v>173</v>
      </c>
      <c r="BV1056" s="319" t="s">
        <v>173</v>
      </c>
      <c r="BW1056" s="319" t="s">
        <v>173</v>
      </c>
      <c r="BX1056" s="319" t="s">
        <v>173</v>
      </c>
      <c r="BY1056" s="319" t="s">
        <v>173</v>
      </c>
      <c r="BZ1056" s="319" t="s">
        <v>173</v>
      </c>
      <c r="CA1056" s="319" t="s">
        <v>173</v>
      </c>
      <c r="CB1056" s="319" t="s">
        <v>173</v>
      </c>
      <c r="CC1056" s="319" t="s">
        <v>173</v>
      </c>
      <c r="CD1056" s="319" t="s">
        <v>173</v>
      </c>
      <c r="CE1056" s="319" t="s">
        <v>173</v>
      </c>
      <c r="CF1056" s="319" t="s">
        <v>173</v>
      </c>
      <c r="CG1056" s="319" t="s">
        <v>173</v>
      </c>
      <c r="CH1056" s="319" t="s">
        <v>173</v>
      </c>
      <c r="CI1056" s="319" t="s">
        <v>173</v>
      </c>
      <c r="CJ1056" s="319" t="s">
        <v>173</v>
      </c>
      <c r="CK1056" s="319" t="s">
        <v>173</v>
      </c>
      <c r="CL1056" s="319" t="s">
        <v>173</v>
      </c>
      <c r="CM1056" s="319" t="s">
        <v>173</v>
      </c>
      <c r="CN1056" s="319" t="s">
        <v>173</v>
      </c>
      <c r="CO1056" s="319" t="s">
        <v>173</v>
      </c>
      <c r="CP1056" s="319" t="s">
        <v>173</v>
      </c>
      <c r="CQ1056" s="319" t="s">
        <v>173</v>
      </c>
      <c r="CR1056" s="319" t="s">
        <v>173</v>
      </c>
      <c r="CS1056" s="319" t="s">
        <v>173</v>
      </c>
      <c r="CT1056" s="319" t="s">
        <v>173</v>
      </c>
      <c r="CU1056" s="319" t="s">
        <v>173</v>
      </c>
      <c r="CV1056" s="319" t="s">
        <v>173</v>
      </c>
      <c r="CW1056" s="319" t="s">
        <v>173</v>
      </c>
      <c r="CX1056" s="319" t="s">
        <v>173</v>
      </c>
      <c r="CY1056" s="319" t="s">
        <v>173</v>
      </c>
      <c r="CZ1056" s="319" t="s">
        <v>173</v>
      </c>
      <c r="DA1056" s="319" t="s">
        <v>173</v>
      </c>
      <c r="DB1056" s="319" t="s">
        <v>173</v>
      </c>
      <c r="DC1056" s="319" t="s">
        <v>173</v>
      </c>
      <c r="DD1056" s="319" t="s">
        <v>173</v>
      </c>
      <c r="DE1056" s="319" t="s">
        <v>173</v>
      </c>
      <c r="DF1056" s="319" t="s">
        <v>173</v>
      </c>
      <c r="DG1056" s="319" t="s">
        <v>173</v>
      </c>
      <c r="DH1056" s="319" t="s">
        <v>173</v>
      </c>
      <c r="DI1056" s="319" t="s">
        <v>173</v>
      </c>
      <c r="DJ1056" s="319" t="s">
        <v>173</v>
      </c>
      <c r="DK1056" s="319" t="s">
        <v>173</v>
      </c>
      <c r="DL1056" s="319" t="s">
        <v>173</v>
      </c>
      <c r="DM1056" s="319" t="s">
        <v>173</v>
      </c>
      <c r="DN1056" s="319" t="s">
        <v>173</v>
      </c>
      <c r="DO1056" s="319" t="s">
        <v>173</v>
      </c>
      <c r="DP1056" s="319" t="s">
        <v>173</v>
      </c>
      <c r="DQ1056" s="319" t="s">
        <v>173</v>
      </c>
      <c r="DR1056" s="319" t="s">
        <v>173</v>
      </c>
      <c r="DS1056" s="319" t="s">
        <v>173</v>
      </c>
      <c r="DT1056" s="319" t="s">
        <v>173</v>
      </c>
      <c r="DU1056" s="319" t="s">
        <v>173</v>
      </c>
      <c r="DV1056" s="319" t="s">
        <v>173</v>
      </c>
      <c r="DW1056" s="319" t="s">
        <v>173</v>
      </c>
      <c r="DX1056" s="319" t="s">
        <v>173</v>
      </c>
      <c r="DY1056" s="319" t="s">
        <v>173</v>
      </c>
      <c r="DZ1056" s="319" t="s">
        <v>173</v>
      </c>
      <c r="EA1056" s="319" t="s">
        <v>173</v>
      </c>
      <c r="EB1056" s="319" t="s">
        <v>173</v>
      </c>
      <c r="EC1056" s="319" t="s">
        <v>173</v>
      </c>
      <c r="ED1056" s="319" t="s">
        <v>173</v>
      </c>
      <c r="EE1056" s="319" t="s">
        <v>173</v>
      </c>
      <c r="EF1056" s="319" t="s">
        <v>173</v>
      </c>
      <c r="EG1056" s="319" t="s">
        <v>173</v>
      </c>
      <c r="EH1056" s="319" t="s">
        <v>173</v>
      </c>
      <c r="EI1056" s="319" t="s">
        <v>173</v>
      </c>
      <c r="EJ1056" s="319" t="s">
        <v>173</v>
      </c>
      <c r="EK1056" s="319" t="s">
        <v>173</v>
      </c>
      <c r="EL1056" s="319" t="s">
        <v>173</v>
      </c>
      <c r="EM1056" s="319" t="s">
        <v>173</v>
      </c>
      <c r="EN1056" s="319" t="s">
        <v>173</v>
      </c>
      <c r="EO1056" s="319" t="s">
        <v>173</v>
      </c>
      <c r="EP1056" s="319" t="s">
        <v>173</v>
      </c>
      <c r="EQ1056" s="319" t="s">
        <v>173</v>
      </c>
      <c r="ER1056" s="319" t="s">
        <v>173</v>
      </c>
      <c r="ES1056" s="319" t="s">
        <v>173</v>
      </c>
      <c r="ET1056" s="319" t="s">
        <v>173</v>
      </c>
      <c r="EU1056" s="319" t="s">
        <v>173</v>
      </c>
      <c r="EV1056" s="319" t="s">
        <v>173</v>
      </c>
      <c r="EW1056" s="319" t="s">
        <v>173</v>
      </c>
      <c r="EX1056" s="319" t="s">
        <v>173</v>
      </c>
      <c r="EY1056" s="319" t="s">
        <v>173</v>
      </c>
      <c r="EZ1056" s="319" t="s">
        <v>173</v>
      </c>
      <c r="FA1056" s="319" t="s">
        <v>173</v>
      </c>
      <c r="FB1056" s="319" t="s">
        <v>173</v>
      </c>
      <c r="FC1056" s="319" t="s">
        <v>173</v>
      </c>
      <c r="FD1056" s="319" t="s">
        <v>173</v>
      </c>
      <c r="FE1056" s="319" t="s">
        <v>173</v>
      </c>
      <c r="FF1056" s="319" t="s">
        <v>173</v>
      </c>
      <c r="FG1056" s="319" t="s">
        <v>173</v>
      </c>
      <c r="FH1056" s="319" t="s">
        <v>173</v>
      </c>
      <c r="FI1056" s="319" t="s">
        <v>173</v>
      </c>
      <c r="FJ1056" s="319" t="s">
        <v>173</v>
      </c>
      <c r="FK1056" s="319" t="s">
        <v>173</v>
      </c>
      <c r="FL1056" s="319" t="s">
        <v>173</v>
      </c>
      <c r="FM1056" s="319" t="s">
        <v>173</v>
      </c>
      <c r="FN1056" s="319" t="s">
        <v>173</v>
      </c>
      <c r="FO1056" s="319" t="s">
        <v>173</v>
      </c>
      <c r="FP1056" s="319" t="s">
        <v>173</v>
      </c>
      <c r="FQ1056" s="319" t="s">
        <v>173</v>
      </c>
      <c r="FR1056" s="319" t="s">
        <v>173</v>
      </c>
      <c r="FS1056" s="319" t="s">
        <v>173</v>
      </c>
      <c r="FT1056" s="319" t="s">
        <v>173</v>
      </c>
      <c r="FU1056" s="319" t="s">
        <v>173</v>
      </c>
      <c r="FV1056" s="319" t="s">
        <v>173</v>
      </c>
      <c r="FW1056" s="319" t="s">
        <v>173</v>
      </c>
      <c r="FX1056" s="319" t="s">
        <v>173</v>
      </c>
      <c r="FY1056" s="319" t="s">
        <v>173</v>
      </c>
      <c r="FZ1056" s="319" t="s">
        <v>173</v>
      </c>
      <c r="GA1056" s="319" t="s">
        <v>173</v>
      </c>
      <c r="GB1056" s="319" t="s">
        <v>173</v>
      </c>
      <c r="GC1056" s="319" t="s">
        <v>173</v>
      </c>
      <c r="GD1056" s="319" t="s">
        <v>173</v>
      </c>
      <c r="GE1056" s="319" t="s">
        <v>173</v>
      </c>
      <c r="GF1056" s="319" t="s">
        <v>173</v>
      </c>
      <c r="GG1056" s="319" t="s">
        <v>173</v>
      </c>
      <c r="GH1056" s="319" t="s">
        <v>173</v>
      </c>
      <c r="GI1056" s="319" t="s">
        <v>173</v>
      </c>
      <c r="GJ1056" s="319" t="s">
        <v>173</v>
      </c>
      <c r="GK1056" s="319" t="s">
        <v>173</v>
      </c>
      <c r="GL1056" s="319" t="s">
        <v>173</v>
      </c>
      <c r="GM1056" s="319" t="s">
        <v>173</v>
      </c>
      <c r="GN1056" s="319" t="s">
        <v>173</v>
      </c>
      <c r="GO1056" s="319" t="s">
        <v>173</v>
      </c>
      <c r="GP1056" s="319" t="s">
        <v>173</v>
      </c>
      <c r="GQ1056" s="319" t="s">
        <v>173</v>
      </c>
      <c r="GR1056" s="319" t="s">
        <v>173</v>
      </c>
      <c r="GS1056" s="319" t="s">
        <v>173</v>
      </c>
      <c r="GT1056" s="319" t="s">
        <v>173</v>
      </c>
      <c r="GU1056" s="319" t="s">
        <v>173</v>
      </c>
      <c r="GV1056" s="319" t="s">
        <v>173</v>
      </c>
      <c r="GW1056" s="319" t="s">
        <v>173</v>
      </c>
      <c r="GX1056" s="319" t="s">
        <v>173</v>
      </c>
      <c r="GY1056" s="319" t="s">
        <v>173</v>
      </c>
      <c r="GZ1056" s="319" t="s">
        <v>173</v>
      </c>
      <c r="HA1056" s="319" t="s">
        <v>173</v>
      </c>
      <c r="HB1056" s="319" t="s">
        <v>173</v>
      </c>
      <c r="HC1056" s="319" t="s">
        <v>173</v>
      </c>
      <c r="HD1056" s="319" t="s">
        <v>173</v>
      </c>
      <c r="HE1056" s="319" t="s">
        <v>173</v>
      </c>
      <c r="HF1056" s="319" t="s">
        <v>173</v>
      </c>
      <c r="HG1056" s="319" t="s">
        <v>173</v>
      </c>
      <c r="HH1056" s="319" t="s">
        <v>173</v>
      </c>
      <c r="HI1056" s="319" t="s">
        <v>173</v>
      </c>
      <c r="HJ1056" s="319" t="s">
        <v>173</v>
      </c>
      <c r="HK1056" s="319" t="s">
        <v>173</v>
      </c>
      <c r="HL1056" s="319" t="s">
        <v>173</v>
      </c>
      <c r="HM1056" s="319" t="s">
        <v>173</v>
      </c>
      <c r="HN1056" s="319" t="s">
        <v>173</v>
      </c>
      <c r="HO1056" s="319" t="s">
        <v>173</v>
      </c>
      <c r="HP1056" s="319" t="s">
        <v>173</v>
      </c>
      <c r="HQ1056" s="319" t="s">
        <v>173</v>
      </c>
      <c r="HR1056" s="319" t="s">
        <v>173</v>
      </c>
      <c r="HS1056" s="319" t="s">
        <v>173</v>
      </c>
      <c r="HT1056" s="319" t="s">
        <v>173</v>
      </c>
      <c r="HU1056" s="319" t="s">
        <v>173</v>
      </c>
      <c r="HV1056" s="319" t="s">
        <v>173</v>
      </c>
      <c r="HW1056" s="319" t="s">
        <v>173</v>
      </c>
      <c r="HX1056" s="319" t="s">
        <v>173</v>
      </c>
      <c r="HY1056" s="319" t="s">
        <v>173</v>
      </c>
      <c r="HZ1056" s="319" t="s">
        <v>173</v>
      </c>
      <c r="IA1056" s="319" t="s">
        <v>173</v>
      </c>
      <c r="IB1056" s="319" t="s">
        <v>173</v>
      </c>
      <c r="IC1056" s="319" t="s">
        <v>173</v>
      </c>
      <c r="ID1056" s="319" t="s">
        <v>173</v>
      </c>
      <c r="IE1056" s="319" t="s">
        <v>173</v>
      </c>
      <c r="IF1056" s="319" t="s">
        <v>173</v>
      </c>
      <c r="IG1056" s="319" t="s">
        <v>173</v>
      </c>
      <c r="IH1056" s="319" t="s">
        <v>173</v>
      </c>
      <c r="II1056" s="319" t="s">
        <v>173</v>
      </c>
      <c r="IJ1056" s="319" t="s">
        <v>173</v>
      </c>
      <c r="IK1056" s="319" t="s">
        <v>173</v>
      </c>
      <c r="IL1056" s="319" t="s">
        <v>173</v>
      </c>
      <c r="IM1056" s="319" t="s">
        <v>173</v>
      </c>
      <c r="IN1056" s="319" t="s">
        <v>173</v>
      </c>
      <c r="IO1056" s="319" t="s">
        <v>173</v>
      </c>
      <c r="IP1056" s="319" t="s">
        <v>173</v>
      </c>
      <c r="IQ1056" s="319" t="s">
        <v>173</v>
      </c>
      <c r="IR1056" s="320" t="s">
        <v>173</v>
      </c>
      <c r="IS1056" s="320" t="s">
        <v>173</v>
      </c>
      <c r="IT1056" s="319" t="s">
        <v>173</v>
      </c>
    </row>
    <row r="1057" spans="1:254" s="271" customFormat="1" x14ac:dyDescent="0.25">
      <c r="A1057" s="318" t="str">
        <f>HYPERLINK("http://www.ofsted.gov.uk/inspection-reports/find-inspection-report/provider/ELS/146999 ","Ofsted School Webpage")</f>
        <v>Ofsted School Webpage</v>
      </c>
      <c r="B1057" s="319">
        <v>146999</v>
      </c>
      <c r="C1057" s="319">
        <v>3306049</v>
      </c>
      <c r="D1057" s="319" t="s">
        <v>3619</v>
      </c>
      <c r="E1057" s="319" t="s">
        <v>167</v>
      </c>
      <c r="F1057" s="319" t="s">
        <v>434</v>
      </c>
      <c r="G1057" s="319" t="s">
        <v>81</v>
      </c>
      <c r="H1057" s="319" t="s">
        <v>81</v>
      </c>
      <c r="I1057" s="319" t="s">
        <v>78</v>
      </c>
      <c r="J1057" s="319" t="s">
        <v>424</v>
      </c>
      <c r="K1057" s="319" t="s">
        <v>437</v>
      </c>
      <c r="L1057" s="319" t="s">
        <v>437</v>
      </c>
      <c r="M1057" s="319" t="s">
        <v>813</v>
      </c>
      <c r="N1057" s="319" t="s">
        <v>2853</v>
      </c>
      <c r="O1057" s="319" t="s">
        <v>3620</v>
      </c>
      <c r="P1057" s="319" t="s">
        <v>173</v>
      </c>
      <c r="Q1057" s="319" t="s">
        <v>2776</v>
      </c>
      <c r="R1057" s="320" t="s">
        <v>173</v>
      </c>
      <c r="S1057" s="321" t="s">
        <v>173</v>
      </c>
      <c r="T1057" s="321" t="s">
        <v>173</v>
      </c>
      <c r="U1057" s="321" t="s">
        <v>173</v>
      </c>
      <c r="V1057" s="319" t="s">
        <v>173</v>
      </c>
      <c r="W1057" s="319" t="s">
        <v>173</v>
      </c>
      <c r="X1057" s="319" t="s">
        <v>173</v>
      </c>
      <c r="Y1057" s="319" t="s">
        <v>173</v>
      </c>
      <c r="Z1057" s="319" t="s">
        <v>173</v>
      </c>
      <c r="AA1057" s="319" t="s">
        <v>173</v>
      </c>
      <c r="AB1057" s="319" t="s">
        <v>173</v>
      </c>
      <c r="AC1057" s="319" t="s">
        <v>173</v>
      </c>
      <c r="AD1057" s="319" t="s">
        <v>173</v>
      </c>
      <c r="AE1057" s="319" t="s">
        <v>173</v>
      </c>
      <c r="AF1057" s="319" t="s">
        <v>173</v>
      </c>
      <c r="AG1057" s="319" t="s">
        <v>173</v>
      </c>
      <c r="AH1057" s="319" t="s">
        <v>173</v>
      </c>
      <c r="AI1057" s="319" t="s">
        <v>173</v>
      </c>
      <c r="AJ1057" s="319" t="s">
        <v>173</v>
      </c>
      <c r="AK1057" s="319" t="s">
        <v>173</v>
      </c>
      <c r="AL1057" s="319" t="s">
        <v>173</v>
      </c>
      <c r="AM1057" s="319" t="s">
        <v>173</v>
      </c>
      <c r="AN1057" s="319" t="s">
        <v>173</v>
      </c>
      <c r="AO1057" s="319" t="s">
        <v>173</v>
      </c>
      <c r="AP1057" s="319" t="s">
        <v>173</v>
      </c>
      <c r="AQ1057" s="319" t="s">
        <v>173</v>
      </c>
      <c r="AR1057" s="319" t="s">
        <v>173</v>
      </c>
      <c r="AS1057" s="319" t="s">
        <v>173</v>
      </c>
      <c r="AT1057" s="319" t="s">
        <v>173</v>
      </c>
      <c r="AU1057" s="319" t="s">
        <v>173</v>
      </c>
      <c r="AV1057" s="319" t="s">
        <v>173</v>
      </c>
      <c r="AW1057" s="319" t="s">
        <v>173</v>
      </c>
      <c r="AX1057" s="319" t="s">
        <v>173</v>
      </c>
      <c r="AY1057" s="319" t="s">
        <v>173</v>
      </c>
      <c r="AZ1057" s="319" t="s">
        <v>173</v>
      </c>
      <c r="BA1057" s="319" t="s">
        <v>173</v>
      </c>
      <c r="BB1057" s="319" t="s">
        <v>173</v>
      </c>
      <c r="BC1057" s="319" t="s">
        <v>173</v>
      </c>
      <c r="BD1057" s="319" t="s">
        <v>173</v>
      </c>
      <c r="BE1057" s="319" t="s">
        <v>173</v>
      </c>
      <c r="BF1057" s="319" t="s">
        <v>173</v>
      </c>
      <c r="BG1057" s="319" t="s">
        <v>173</v>
      </c>
      <c r="BH1057" s="319" t="s">
        <v>173</v>
      </c>
      <c r="BI1057" s="319" t="s">
        <v>173</v>
      </c>
      <c r="BJ1057" s="319" t="s">
        <v>173</v>
      </c>
      <c r="BK1057" s="319" t="s">
        <v>173</v>
      </c>
      <c r="BL1057" s="319" t="s">
        <v>173</v>
      </c>
      <c r="BM1057" s="319" t="s">
        <v>173</v>
      </c>
      <c r="BN1057" s="319" t="s">
        <v>173</v>
      </c>
      <c r="BO1057" s="319" t="s">
        <v>173</v>
      </c>
      <c r="BP1057" s="319" t="s">
        <v>173</v>
      </c>
      <c r="BQ1057" s="319" t="s">
        <v>173</v>
      </c>
      <c r="BR1057" s="319" t="s">
        <v>173</v>
      </c>
      <c r="BS1057" s="319" t="s">
        <v>173</v>
      </c>
      <c r="BT1057" s="319" t="s">
        <v>173</v>
      </c>
      <c r="BU1057" s="319" t="s">
        <v>173</v>
      </c>
      <c r="BV1057" s="319" t="s">
        <v>173</v>
      </c>
      <c r="BW1057" s="319" t="s">
        <v>173</v>
      </c>
      <c r="BX1057" s="319" t="s">
        <v>173</v>
      </c>
      <c r="BY1057" s="319" t="s">
        <v>173</v>
      </c>
      <c r="BZ1057" s="319" t="s">
        <v>173</v>
      </c>
      <c r="CA1057" s="319" t="s">
        <v>173</v>
      </c>
      <c r="CB1057" s="319" t="s">
        <v>173</v>
      </c>
      <c r="CC1057" s="319" t="s">
        <v>173</v>
      </c>
      <c r="CD1057" s="319" t="s">
        <v>173</v>
      </c>
      <c r="CE1057" s="319" t="s">
        <v>173</v>
      </c>
      <c r="CF1057" s="319" t="s">
        <v>173</v>
      </c>
      <c r="CG1057" s="319" t="s">
        <v>173</v>
      </c>
      <c r="CH1057" s="319" t="s">
        <v>173</v>
      </c>
      <c r="CI1057" s="319" t="s">
        <v>173</v>
      </c>
      <c r="CJ1057" s="319" t="s">
        <v>173</v>
      </c>
      <c r="CK1057" s="319" t="s">
        <v>173</v>
      </c>
      <c r="CL1057" s="319" t="s">
        <v>173</v>
      </c>
      <c r="CM1057" s="319" t="s">
        <v>173</v>
      </c>
      <c r="CN1057" s="319" t="s">
        <v>173</v>
      </c>
      <c r="CO1057" s="319" t="s">
        <v>173</v>
      </c>
      <c r="CP1057" s="319" t="s">
        <v>173</v>
      </c>
      <c r="CQ1057" s="319" t="s">
        <v>173</v>
      </c>
      <c r="CR1057" s="319" t="s">
        <v>173</v>
      </c>
      <c r="CS1057" s="319" t="s">
        <v>173</v>
      </c>
      <c r="CT1057" s="319" t="s">
        <v>173</v>
      </c>
      <c r="CU1057" s="319" t="s">
        <v>173</v>
      </c>
      <c r="CV1057" s="319" t="s">
        <v>173</v>
      </c>
      <c r="CW1057" s="319" t="s">
        <v>173</v>
      </c>
      <c r="CX1057" s="319" t="s">
        <v>173</v>
      </c>
      <c r="CY1057" s="319" t="s">
        <v>173</v>
      </c>
      <c r="CZ1057" s="319" t="s">
        <v>173</v>
      </c>
      <c r="DA1057" s="319" t="s">
        <v>173</v>
      </c>
      <c r="DB1057" s="319" t="s">
        <v>173</v>
      </c>
      <c r="DC1057" s="319" t="s">
        <v>173</v>
      </c>
      <c r="DD1057" s="319" t="s">
        <v>173</v>
      </c>
      <c r="DE1057" s="319" t="s">
        <v>173</v>
      </c>
      <c r="DF1057" s="319" t="s">
        <v>173</v>
      </c>
      <c r="DG1057" s="319" t="s">
        <v>173</v>
      </c>
      <c r="DH1057" s="319" t="s">
        <v>173</v>
      </c>
      <c r="DI1057" s="319" t="s">
        <v>173</v>
      </c>
      <c r="DJ1057" s="319" t="s">
        <v>173</v>
      </c>
      <c r="DK1057" s="319" t="s">
        <v>173</v>
      </c>
      <c r="DL1057" s="319" t="s">
        <v>173</v>
      </c>
      <c r="DM1057" s="319" t="s">
        <v>173</v>
      </c>
      <c r="DN1057" s="319" t="s">
        <v>173</v>
      </c>
      <c r="DO1057" s="319" t="s">
        <v>173</v>
      </c>
      <c r="DP1057" s="319" t="s">
        <v>173</v>
      </c>
      <c r="DQ1057" s="319" t="s">
        <v>173</v>
      </c>
      <c r="DR1057" s="319" t="s">
        <v>173</v>
      </c>
      <c r="DS1057" s="319" t="s">
        <v>173</v>
      </c>
      <c r="DT1057" s="319" t="s">
        <v>173</v>
      </c>
      <c r="DU1057" s="319" t="s">
        <v>173</v>
      </c>
      <c r="DV1057" s="319" t="s">
        <v>173</v>
      </c>
      <c r="DW1057" s="319" t="s">
        <v>173</v>
      </c>
      <c r="DX1057" s="319" t="s">
        <v>173</v>
      </c>
      <c r="DY1057" s="319" t="s">
        <v>173</v>
      </c>
      <c r="DZ1057" s="319" t="s">
        <v>173</v>
      </c>
      <c r="EA1057" s="319" t="s">
        <v>173</v>
      </c>
      <c r="EB1057" s="319" t="s">
        <v>173</v>
      </c>
      <c r="EC1057" s="319" t="s">
        <v>173</v>
      </c>
      <c r="ED1057" s="319" t="s">
        <v>173</v>
      </c>
      <c r="EE1057" s="319" t="s">
        <v>173</v>
      </c>
      <c r="EF1057" s="319" t="s">
        <v>173</v>
      </c>
      <c r="EG1057" s="319" t="s">
        <v>173</v>
      </c>
      <c r="EH1057" s="319" t="s">
        <v>173</v>
      </c>
      <c r="EI1057" s="319" t="s">
        <v>173</v>
      </c>
      <c r="EJ1057" s="319" t="s">
        <v>173</v>
      </c>
      <c r="EK1057" s="319" t="s">
        <v>173</v>
      </c>
      <c r="EL1057" s="319" t="s">
        <v>173</v>
      </c>
      <c r="EM1057" s="319" t="s">
        <v>173</v>
      </c>
      <c r="EN1057" s="319" t="s">
        <v>173</v>
      </c>
      <c r="EO1057" s="319" t="s">
        <v>173</v>
      </c>
      <c r="EP1057" s="319" t="s">
        <v>173</v>
      </c>
      <c r="EQ1057" s="319" t="s">
        <v>173</v>
      </c>
      <c r="ER1057" s="319" t="s">
        <v>173</v>
      </c>
      <c r="ES1057" s="319" t="s">
        <v>173</v>
      </c>
      <c r="ET1057" s="319" t="s">
        <v>173</v>
      </c>
      <c r="EU1057" s="319" t="s">
        <v>173</v>
      </c>
      <c r="EV1057" s="319" t="s">
        <v>173</v>
      </c>
      <c r="EW1057" s="319" t="s">
        <v>173</v>
      </c>
      <c r="EX1057" s="319" t="s">
        <v>173</v>
      </c>
      <c r="EY1057" s="319" t="s">
        <v>173</v>
      </c>
      <c r="EZ1057" s="319" t="s">
        <v>173</v>
      </c>
      <c r="FA1057" s="319" t="s">
        <v>173</v>
      </c>
      <c r="FB1057" s="319" t="s">
        <v>173</v>
      </c>
      <c r="FC1057" s="319" t="s">
        <v>173</v>
      </c>
      <c r="FD1057" s="319" t="s">
        <v>173</v>
      </c>
      <c r="FE1057" s="319" t="s">
        <v>173</v>
      </c>
      <c r="FF1057" s="319" t="s">
        <v>173</v>
      </c>
      <c r="FG1057" s="319" t="s">
        <v>173</v>
      </c>
      <c r="FH1057" s="319" t="s">
        <v>173</v>
      </c>
      <c r="FI1057" s="319" t="s">
        <v>173</v>
      </c>
      <c r="FJ1057" s="319" t="s">
        <v>173</v>
      </c>
      <c r="FK1057" s="319" t="s">
        <v>173</v>
      </c>
      <c r="FL1057" s="319" t="s">
        <v>173</v>
      </c>
      <c r="FM1057" s="319" t="s">
        <v>173</v>
      </c>
      <c r="FN1057" s="319" t="s">
        <v>173</v>
      </c>
      <c r="FO1057" s="319" t="s">
        <v>173</v>
      </c>
      <c r="FP1057" s="319" t="s">
        <v>173</v>
      </c>
      <c r="FQ1057" s="319" t="s">
        <v>173</v>
      </c>
      <c r="FR1057" s="319" t="s">
        <v>173</v>
      </c>
      <c r="FS1057" s="319" t="s">
        <v>173</v>
      </c>
      <c r="FT1057" s="319" t="s">
        <v>173</v>
      </c>
      <c r="FU1057" s="319" t="s">
        <v>173</v>
      </c>
      <c r="FV1057" s="319" t="s">
        <v>173</v>
      </c>
      <c r="FW1057" s="319" t="s">
        <v>173</v>
      </c>
      <c r="FX1057" s="319" t="s">
        <v>173</v>
      </c>
      <c r="FY1057" s="319" t="s">
        <v>173</v>
      </c>
      <c r="FZ1057" s="319" t="s">
        <v>173</v>
      </c>
      <c r="GA1057" s="319" t="s">
        <v>173</v>
      </c>
      <c r="GB1057" s="319" t="s">
        <v>173</v>
      </c>
      <c r="GC1057" s="319" t="s">
        <v>173</v>
      </c>
      <c r="GD1057" s="319" t="s">
        <v>173</v>
      </c>
      <c r="GE1057" s="319" t="s">
        <v>173</v>
      </c>
      <c r="GF1057" s="319" t="s">
        <v>173</v>
      </c>
      <c r="GG1057" s="319" t="s">
        <v>173</v>
      </c>
      <c r="GH1057" s="319" t="s">
        <v>173</v>
      </c>
      <c r="GI1057" s="319" t="s">
        <v>173</v>
      </c>
      <c r="GJ1057" s="319" t="s">
        <v>173</v>
      </c>
      <c r="GK1057" s="319" t="s">
        <v>173</v>
      </c>
      <c r="GL1057" s="319" t="s">
        <v>173</v>
      </c>
      <c r="GM1057" s="319" t="s">
        <v>173</v>
      </c>
      <c r="GN1057" s="319" t="s">
        <v>173</v>
      </c>
      <c r="GO1057" s="319" t="s">
        <v>173</v>
      </c>
      <c r="GP1057" s="319" t="s">
        <v>173</v>
      </c>
      <c r="GQ1057" s="319" t="s">
        <v>173</v>
      </c>
      <c r="GR1057" s="319" t="s">
        <v>173</v>
      </c>
      <c r="GS1057" s="319" t="s">
        <v>173</v>
      </c>
      <c r="GT1057" s="319" t="s">
        <v>173</v>
      </c>
      <c r="GU1057" s="319" t="s">
        <v>173</v>
      </c>
      <c r="GV1057" s="319" t="s">
        <v>173</v>
      </c>
      <c r="GW1057" s="319" t="s">
        <v>173</v>
      </c>
      <c r="GX1057" s="319" t="s">
        <v>173</v>
      </c>
      <c r="GY1057" s="319" t="s">
        <v>173</v>
      </c>
      <c r="GZ1057" s="319" t="s">
        <v>173</v>
      </c>
      <c r="HA1057" s="319" t="s">
        <v>173</v>
      </c>
      <c r="HB1057" s="319" t="s">
        <v>173</v>
      </c>
      <c r="HC1057" s="319" t="s">
        <v>173</v>
      </c>
      <c r="HD1057" s="319" t="s">
        <v>173</v>
      </c>
      <c r="HE1057" s="319" t="s">
        <v>173</v>
      </c>
      <c r="HF1057" s="319" t="s">
        <v>173</v>
      </c>
      <c r="HG1057" s="319" t="s">
        <v>173</v>
      </c>
      <c r="HH1057" s="319" t="s">
        <v>173</v>
      </c>
      <c r="HI1057" s="319" t="s">
        <v>173</v>
      </c>
      <c r="HJ1057" s="319" t="s">
        <v>173</v>
      </c>
      <c r="HK1057" s="319" t="s">
        <v>173</v>
      </c>
      <c r="HL1057" s="319" t="s">
        <v>173</v>
      </c>
      <c r="HM1057" s="319" t="s">
        <v>173</v>
      </c>
      <c r="HN1057" s="319" t="s">
        <v>173</v>
      </c>
      <c r="HO1057" s="319" t="s">
        <v>173</v>
      </c>
      <c r="HP1057" s="319" t="s">
        <v>173</v>
      </c>
      <c r="HQ1057" s="319" t="s">
        <v>173</v>
      </c>
      <c r="HR1057" s="319" t="s">
        <v>173</v>
      </c>
      <c r="HS1057" s="319" t="s">
        <v>173</v>
      </c>
      <c r="HT1057" s="319" t="s">
        <v>173</v>
      </c>
      <c r="HU1057" s="319" t="s">
        <v>173</v>
      </c>
      <c r="HV1057" s="319" t="s">
        <v>173</v>
      </c>
      <c r="HW1057" s="319" t="s">
        <v>173</v>
      </c>
      <c r="HX1057" s="319" t="s">
        <v>173</v>
      </c>
      <c r="HY1057" s="319" t="s">
        <v>173</v>
      </c>
      <c r="HZ1057" s="319" t="s">
        <v>173</v>
      </c>
      <c r="IA1057" s="319" t="s">
        <v>173</v>
      </c>
      <c r="IB1057" s="319" t="s">
        <v>173</v>
      </c>
      <c r="IC1057" s="319" t="s">
        <v>173</v>
      </c>
      <c r="ID1057" s="319" t="s">
        <v>173</v>
      </c>
      <c r="IE1057" s="319" t="s">
        <v>173</v>
      </c>
      <c r="IF1057" s="319" t="s">
        <v>173</v>
      </c>
      <c r="IG1057" s="319" t="s">
        <v>173</v>
      </c>
      <c r="IH1057" s="319" t="s">
        <v>173</v>
      </c>
      <c r="II1057" s="319" t="s">
        <v>173</v>
      </c>
      <c r="IJ1057" s="319" t="s">
        <v>173</v>
      </c>
      <c r="IK1057" s="319" t="s">
        <v>173</v>
      </c>
      <c r="IL1057" s="319" t="s">
        <v>173</v>
      </c>
      <c r="IM1057" s="319" t="s">
        <v>173</v>
      </c>
      <c r="IN1057" s="319" t="s">
        <v>173</v>
      </c>
      <c r="IO1057" s="319" t="s">
        <v>173</v>
      </c>
      <c r="IP1057" s="319" t="s">
        <v>173</v>
      </c>
      <c r="IQ1057" s="321" t="s">
        <v>173</v>
      </c>
      <c r="IR1057" s="320" t="s">
        <v>173</v>
      </c>
      <c r="IS1057" s="322" t="s">
        <v>173</v>
      </c>
      <c r="IT1057" s="319" t="s">
        <v>173</v>
      </c>
    </row>
    <row r="1058" spans="1:254" s="271" customFormat="1" x14ac:dyDescent="0.25">
      <c r="A1058" s="318" t="str">
        <f>HYPERLINK("http://www.ofsted.gov.uk/inspection-reports/find-inspection-report/provider/ELS/147025 ","Ofsted School Webpage")</f>
        <v>Ofsted School Webpage</v>
      </c>
      <c r="B1058" s="319">
        <v>147025</v>
      </c>
      <c r="C1058" s="319">
        <v>3046009</v>
      </c>
      <c r="D1058" s="319" t="s">
        <v>3621</v>
      </c>
      <c r="E1058" s="319" t="s">
        <v>167</v>
      </c>
      <c r="F1058" s="319" t="s">
        <v>434</v>
      </c>
      <c r="G1058" s="319" t="s">
        <v>71</v>
      </c>
      <c r="H1058" s="319" t="s">
        <v>71</v>
      </c>
      <c r="I1058" s="319" t="s">
        <v>72</v>
      </c>
      <c r="J1058" s="319" t="s">
        <v>424</v>
      </c>
      <c r="K1058" s="319" t="s">
        <v>441</v>
      </c>
      <c r="L1058" s="319" t="s">
        <v>441</v>
      </c>
      <c r="M1058" s="319" t="s">
        <v>477</v>
      </c>
      <c r="N1058" s="319" t="s">
        <v>2765</v>
      </c>
      <c r="O1058" s="319" t="s">
        <v>478</v>
      </c>
      <c r="P1058" s="319" t="s">
        <v>173</v>
      </c>
      <c r="Q1058" s="319" t="s">
        <v>2766</v>
      </c>
      <c r="R1058" s="320" t="s">
        <v>173</v>
      </c>
      <c r="S1058" s="321" t="s">
        <v>173</v>
      </c>
      <c r="T1058" s="321" t="s">
        <v>173</v>
      </c>
      <c r="U1058" s="321" t="s">
        <v>173</v>
      </c>
      <c r="V1058" s="319" t="s">
        <v>173</v>
      </c>
      <c r="W1058" s="319" t="s">
        <v>173</v>
      </c>
      <c r="X1058" s="319" t="s">
        <v>173</v>
      </c>
      <c r="Y1058" s="319" t="s">
        <v>173</v>
      </c>
      <c r="Z1058" s="319" t="s">
        <v>173</v>
      </c>
      <c r="AA1058" s="319" t="s">
        <v>173</v>
      </c>
      <c r="AB1058" s="319" t="s">
        <v>173</v>
      </c>
      <c r="AC1058" s="319" t="s">
        <v>173</v>
      </c>
      <c r="AD1058" s="319" t="s">
        <v>173</v>
      </c>
      <c r="AE1058" s="319" t="s">
        <v>173</v>
      </c>
      <c r="AF1058" s="319" t="s">
        <v>173</v>
      </c>
      <c r="AG1058" s="319" t="s">
        <v>173</v>
      </c>
      <c r="AH1058" s="319" t="s">
        <v>173</v>
      </c>
      <c r="AI1058" s="319" t="s">
        <v>173</v>
      </c>
      <c r="AJ1058" s="319" t="s">
        <v>173</v>
      </c>
      <c r="AK1058" s="319" t="s">
        <v>173</v>
      </c>
      <c r="AL1058" s="319" t="s">
        <v>173</v>
      </c>
      <c r="AM1058" s="319" t="s">
        <v>173</v>
      </c>
      <c r="AN1058" s="319" t="s">
        <v>173</v>
      </c>
      <c r="AO1058" s="319" t="s">
        <v>173</v>
      </c>
      <c r="AP1058" s="319" t="s">
        <v>173</v>
      </c>
      <c r="AQ1058" s="319" t="s">
        <v>173</v>
      </c>
      <c r="AR1058" s="319" t="s">
        <v>173</v>
      </c>
      <c r="AS1058" s="319" t="s">
        <v>173</v>
      </c>
      <c r="AT1058" s="319" t="s">
        <v>173</v>
      </c>
      <c r="AU1058" s="319" t="s">
        <v>173</v>
      </c>
      <c r="AV1058" s="319" t="s">
        <v>173</v>
      </c>
      <c r="AW1058" s="319" t="s">
        <v>173</v>
      </c>
      <c r="AX1058" s="319" t="s">
        <v>173</v>
      </c>
      <c r="AY1058" s="319" t="s">
        <v>173</v>
      </c>
      <c r="AZ1058" s="319" t="s">
        <v>173</v>
      </c>
      <c r="BA1058" s="319" t="s">
        <v>173</v>
      </c>
      <c r="BB1058" s="319" t="s">
        <v>173</v>
      </c>
      <c r="BC1058" s="319" t="s">
        <v>173</v>
      </c>
      <c r="BD1058" s="319" t="s">
        <v>173</v>
      </c>
      <c r="BE1058" s="319" t="s">
        <v>173</v>
      </c>
      <c r="BF1058" s="319" t="s">
        <v>173</v>
      </c>
      <c r="BG1058" s="319" t="s">
        <v>173</v>
      </c>
      <c r="BH1058" s="319" t="s">
        <v>173</v>
      </c>
      <c r="BI1058" s="319" t="s">
        <v>173</v>
      </c>
      <c r="BJ1058" s="319" t="s">
        <v>173</v>
      </c>
      <c r="BK1058" s="319" t="s">
        <v>173</v>
      </c>
      <c r="BL1058" s="319" t="s">
        <v>173</v>
      </c>
      <c r="BM1058" s="319" t="s">
        <v>173</v>
      </c>
      <c r="BN1058" s="319" t="s">
        <v>173</v>
      </c>
      <c r="BO1058" s="319" t="s">
        <v>173</v>
      </c>
      <c r="BP1058" s="319" t="s">
        <v>173</v>
      </c>
      <c r="BQ1058" s="319" t="s">
        <v>173</v>
      </c>
      <c r="BR1058" s="319" t="s">
        <v>173</v>
      </c>
      <c r="BS1058" s="319" t="s">
        <v>173</v>
      </c>
      <c r="BT1058" s="319" t="s">
        <v>173</v>
      </c>
      <c r="BU1058" s="319" t="s">
        <v>173</v>
      </c>
      <c r="BV1058" s="319" t="s">
        <v>173</v>
      </c>
      <c r="BW1058" s="319" t="s">
        <v>173</v>
      </c>
      <c r="BX1058" s="319" t="s">
        <v>173</v>
      </c>
      <c r="BY1058" s="319" t="s">
        <v>173</v>
      </c>
      <c r="BZ1058" s="319" t="s">
        <v>173</v>
      </c>
      <c r="CA1058" s="319" t="s">
        <v>173</v>
      </c>
      <c r="CB1058" s="319" t="s">
        <v>173</v>
      </c>
      <c r="CC1058" s="319" t="s">
        <v>173</v>
      </c>
      <c r="CD1058" s="319" t="s">
        <v>173</v>
      </c>
      <c r="CE1058" s="319" t="s">
        <v>173</v>
      </c>
      <c r="CF1058" s="319" t="s">
        <v>173</v>
      </c>
      <c r="CG1058" s="319" t="s">
        <v>173</v>
      </c>
      <c r="CH1058" s="319" t="s">
        <v>173</v>
      </c>
      <c r="CI1058" s="319" t="s">
        <v>173</v>
      </c>
      <c r="CJ1058" s="319" t="s">
        <v>173</v>
      </c>
      <c r="CK1058" s="319" t="s">
        <v>173</v>
      </c>
      <c r="CL1058" s="319" t="s">
        <v>173</v>
      </c>
      <c r="CM1058" s="319" t="s">
        <v>173</v>
      </c>
      <c r="CN1058" s="319" t="s">
        <v>173</v>
      </c>
      <c r="CO1058" s="319" t="s">
        <v>173</v>
      </c>
      <c r="CP1058" s="319" t="s">
        <v>173</v>
      </c>
      <c r="CQ1058" s="319" t="s">
        <v>173</v>
      </c>
      <c r="CR1058" s="319" t="s">
        <v>173</v>
      </c>
      <c r="CS1058" s="319" t="s">
        <v>173</v>
      </c>
      <c r="CT1058" s="319" t="s">
        <v>173</v>
      </c>
      <c r="CU1058" s="319" t="s">
        <v>173</v>
      </c>
      <c r="CV1058" s="319" t="s">
        <v>173</v>
      </c>
      <c r="CW1058" s="319" t="s">
        <v>173</v>
      </c>
      <c r="CX1058" s="319" t="s">
        <v>173</v>
      </c>
      <c r="CY1058" s="319" t="s">
        <v>173</v>
      </c>
      <c r="CZ1058" s="319" t="s">
        <v>173</v>
      </c>
      <c r="DA1058" s="319" t="s">
        <v>173</v>
      </c>
      <c r="DB1058" s="319" t="s">
        <v>173</v>
      </c>
      <c r="DC1058" s="319" t="s">
        <v>173</v>
      </c>
      <c r="DD1058" s="319" t="s">
        <v>173</v>
      </c>
      <c r="DE1058" s="319" t="s">
        <v>173</v>
      </c>
      <c r="DF1058" s="319" t="s">
        <v>173</v>
      </c>
      <c r="DG1058" s="319" t="s">
        <v>173</v>
      </c>
      <c r="DH1058" s="319" t="s">
        <v>173</v>
      </c>
      <c r="DI1058" s="319" t="s">
        <v>173</v>
      </c>
      <c r="DJ1058" s="319" t="s">
        <v>173</v>
      </c>
      <c r="DK1058" s="319" t="s">
        <v>173</v>
      </c>
      <c r="DL1058" s="319" t="s">
        <v>173</v>
      </c>
      <c r="DM1058" s="319" t="s">
        <v>173</v>
      </c>
      <c r="DN1058" s="319" t="s">
        <v>173</v>
      </c>
      <c r="DO1058" s="319" t="s">
        <v>173</v>
      </c>
      <c r="DP1058" s="319" t="s">
        <v>173</v>
      </c>
      <c r="DQ1058" s="319" t="s">
        <v>173</v>
      </c>
      <c r="DR1058" s="319" t="s">
        <v>173</v>
      </c>
      <c r="DS1058" s="319" t="s">
        <v>173</v>
      </c>
      <c r="DT1058" s="319" t="s">
        <v>173</v>
      </c>
      <c r="DU1058" s="319" t="s">
        <v>173</v>
      </c>
      <c r="DV1058" s="319" t="s">
        <v>173</v>
      </c>
      <c r="DW1058" s="319" t="s">
        <v>173</v>
      </c>
      <c r="DX1058" s="319" t="s">
        <v>173</v>
      </c>
      <c r="DY1058" s="319" t="s">
        <v>173</v>
      </c>
      <c r="DZ1058" s="319" t="s">
        <v>173</v>
      </c>
      <c r="EA1058" s="319" t="s">
        <v>173</v>
      </c>
      <c r="EB1058" s="319" t="s">
        <v>173</v>
      </c>
      <c r="EC1058" s="319" t="s">
        <v>173</v>
      </c>
      <c r="ED1058" s="319" t="s">
        <v>173</v>
      </c>
      <c r="EE1058" s="319" t="s">
        <v>173</v>
      </c>
      <c r="EF1058" s="319" t="s">
        <v>173</v>
      </c>
      <c r="EG1058" s="319" t="s">
        <v>173</v>
      </c>
      <c r="EH1058" s="319" t="s">
        <v>173</v>
      </c>
      <c r="EI1058" s="319" t="s">
        <v>173</v>
      </c>
      <c r="EJ1058" s="319" t="s">
        <v>173</v>
      </c>
      <c r="EK1058" s="319" t="s">
        <v>173</v>
      </c>
      <c r="EL1058" s="319" t="s">
        <v>173</v>
      </c>
      <c r="EM1058" s="319" t="s">
        <v>173</v>
      </c>
      <c r="EN1058" s="319" t="s">
        <v>173</v>
      </c>
      <c r="EO1058" s="319" t="s">
        <v>173</v>
      </c>
      <c r="EP1058" s="319" t="s">
        <v>173</v>
      </c>
      <c r="EQ1058" s="319" t="s">
        <v>173</v>
      </c>
      <c r="ER1058" s="319" t="s">
        <v>173</v>
      </c>
      <c r="ES1058" s="319" t="s">
        <v>173</v>
      </c>
      <c r="ET1058" s="319" t="s">
        <v>173</v>
      </c>
      <c r="EU1058" s="319" t="s">
        <v>173</v>
      </c>
      <c r="EV1058" s="319" t="s">
        <v>173</v>
      </c>
      <c r="EW1058" s="319" t="s">
        <v>173</v>
      </c>
      <c r="EX1058" s="319" t="s">
        <v>173</v>
      </c>
      <c r="EY1058" s="319" t="s">
        <v>173</v>
      </c>
      <c r="EZ1058" s="319" t="s">
        <v>173</v>
      </c>
      <c r="FA1058" s="319" t="s">
        <v>173</v>
      </c>
      <c r="FB1058" s="319" t="s">
        <v>173</v>
      </c>
      <c r="FC1058" s="319" t="s">
        <v>173</v>
      </c>
      <c r="FD1058" s="319" t="s">
        <v>173</v>
      </c>
      <c r="FE1058" s="319" t="s">
        <v>173</v>
      </c>
      <c r="FF1058" s="319" t="s">
        <v>173</v>
      </c>
      <c r="FG1058" s="319" t="s">
        <v>173</v>
      </c>
      <c r="FH1058" s="319" t="s">
        <v>173</v>
      </c>
      <c r="FI1058" s="319" t="s">
        <v>173</v>
      </c>
      <c r="FJ1058" s="319" t="s">
        <v>173</v>
      </c>
      <c r="FK1058" s="319" t="s">
        <v>173</v>
      </c>
      <c r="FL1058" s="319" t="s">
        <v>173</v>
      </c>
      <c r="FM1058" s="319" t="s">
        <v>173</v>
      </c>
      <c r="FN1058" s="319" t="s">
        <v>173</v>
      </c>
      <c r="FO1058" s="319" t="s">
        <v>173</v>
      </c>
      <c r="FP1058" s="319" t="s">
        <v>173</v>
      </c>
      <c r="FQ1058" s="319" t="s">
        <v>173</v>
      </c>
      <c r="FR1058" s="319" t="s">
        <v>173</v>
      </c>
      <c r="FS1058" s="319" t="s">
        <v>173</v>
      </c>
      <c r="FT1058" s="319" t="s">
        <v>173</v>
      </c>
      <c r="FU1058" s="319" t="s">
        <v>173</v>
      </c>
      <c r="FV1058" s="319" t="s">
        <v>173</v>
      </c>
      <c r="FW1058" s="319" t="s">
        <v>173</v>
      </c>
      <c r="FX1058" s="319" t="s">
        <v>173</v>
      </c>
      <c r="FY1058" s="319" t="s">
        <v>173</v>
      </c>
      <c r="FZ1058" s="319" t="s">
        <v>173</v>
      </c>
      <c r="GA1058" s="319" t="s">
        <v>173</v>
      </c>
      <c r="GB1058" s="319" t="s">
        <v>173</v>
      </c>
      <c r="GC1058" s="319" t="s">
        <v>173</v>
      </c>
      <c r="GD1058" s="319" t="s">
        <v>173</v>
      </c>
      <c r="GE1058" s="319" t="s">
        <v>173</v>
      </c>
      <c r="GF1058" s="319" t="s">
        <v>173</v>
      </c>
      <c r="GG1058" s="319" t="s">
        <v>173</v>
      </c>
      <c r="GH1058" s="319" t="s">
        <v>173</v>
      </c>
      <c r="GI1058" s="319" t="s">
        <v>173</v>
      </c>
      <c r="GJ1058" s="319" t="s">
        <v>173</v>
      </c>
      <c r="GK1058" s="319" t="s">
        <v>173</v>
      </c>
      <c r="GL1058" s="319" t="s">
        <v>173</v>
      </c>
      <c r="GM1058" s="319" t="s">
        <v>173</v>
      </c>
      <c r="GN1058" s="319" t="s">
        <v>173</v>
      </c>
      <c r="GO1058" s="319" t="s">
        <v>173</v>
      </c>
      <c r="GP1058" s="319" t="s">
        <v>173</v>
      </c>
      <c r="GQ1058" s="319" t="s">
        <v>173</v>
      </c>
      <c r="GR1058" s="319" t="s">
        <v>173</v>
      </c>
      <c r="GS1058" s="319" t="s">
        <v>173</v>
      </c>
      <c r="GT1058" s="319" t="s">
        <v>173</v>
      </c>
      <c r="GU1058" s="319" t="s">
        <v>173</v>
      </c>
      <c r="GV1058" s="319" t="s">
        <v>173</v>
      </c>
      <c r="GW1058" s="319" t="s">
        <v>173</v>
      </c>
      <c r="GX1058" s="319" t="s">
        <v>173</v>
      </c>
      <c r="GY1058" s="319" t="s">
        <v>173</v>
      </c>
      <c r="GZ1058" s="319" t="s">
        <v>173</v>
      </c>
      <c r="HA1058" s="319" t="s">
        <v>173</v>
      </c>
      <c r="HB1058" s="319" t="s">
        <v>173</v>
      </c>
      <c r="HC1058" s="319" t="s">
        <v>173</v>
      </c>
      <c r="HD1058" s="319" t="s">
        <v>173</v>
      </c>
      <c r="HE1058" s="319" t="s">
        <v>173</v>
      </c>
      <c r="HF1058" s="319" t="s">
        <v>173</v>
      </c>
      <c r="HG1058" s="319" t="s">
        <v>173</v>
      </c>
      <c r="HH1058" s="319" t="s">
        <v>173</v>
      </c>
      <c r="HI1058" s="319" t="s">
        <v>173</v>
      </c>
      <c r="HJ1058" s="319" t="s">
        <v>173</v>
      </c>
      <c r="HK1058" s="319" t="s">
        <v>173</v>
      </c>
      <c r="HL1058" s="319" t="s">
        <v>173</v>
      </c>
      <c r="HM1058" s="319" t="s">
        <v>173</v>
      </c>
      <c r="HN1058" s="319" t="s">
        <v>173</v>
      </c>
      <c r="HO1058" s="319" t="s">
        <v>173</v>
      </c>
      <c r="HP1058" s="319" t="s">
        <v>173</v>
      </c>
      <c r="HQ1058" s="319" t="s">
        <v>173</v>
      </c>
      <c r="HR1058" s="319" t="s">
        <v>173</v>
      </c>
      <c r="HS1058" s="319" t="s">
        <v>173</v>
      </c>
      <c r="HT1058" s="319" t="s">
        <v>173</v>
      </c>
      <c r="HU1058" s="319" t="s">
        <v>173</v>
      </c>
      <c r="HV1058" s="319" t="s">
        <v>173</v>
      </c>
      <c r="HW1058" s="319" t="s">
        <v>173</v>
      </c>
      <c r="HX1058" s="319" t="s">
        <v>173</v>
      </c>
      <c r="HY1058" s="319" t="s">
        <v>173</v>
      </c>
      <c r="HZ1058" s="319" t="s">
        <v>173</v>
      </c>
      <c r="IA1058" s="319" t="s">
        <v>173</v>
      </c>
      <c r="IB1058" s="319" t="s">
        <v>173</v>
      </c>
      <c r="IC1058" s="319" t="s">
        <v>173</v>
      </c>
      <c r="ID1058" s="319" t="s">
        <v>173</v>
      </c>
      <c r="IE1058" s="319" t="s">
        <v>173</v>
      </c>
      <c r="IF1058" s="319" t="s">
        <v>173</v>
      </c>
      <c r="IG1058" s="319" t="s">
        <v>173</v>
      </c>
      <c r="IH1058" s="319" t="s">
        <v>173</v>
      </c>
      <c r="II1058" s="319" t="s">
        <v>173</v>
      </c>
      <c r="IJ1058" s="319" t="s">
        <v>173</v>
      </c>
      <c r="IK1058" s="319" t="s">
        <v>173</v>
      </c>
      <c r="IL1058" s="319" t="s">
        <v>173</v>
      </c>
      <c r="IM1058" s="319" t="s">
        <v>173</v>
      </c>
      <c r="IN1058" s="319" t="s">
        <v>173</v>
      </c>
      <c r="IO1058" s="319" t="s">
        <v>173</v>
      </c>
      <c r="IP1058" s="319" t="s">
        <v>173</v>
      </c>
      <c r="IQ1058" s="319" t="s">
        <v>173</v>
      </c>
      <c r="IR1058" s="320" t="s">
        <v>173</v>
      </c>
      <c r="IS1058" s="320" t="s">
        <v>173</v>
      </c>
      <c r="IT1058" s="319" t="s">
        <v>173</v>
      </c>
    </row>
    <row r="1059" spans="1:254" s="271" customFormat="1" x14ac:dyDescent="0.25">
      <c r="A1059" s="318" t="str">
        <f>HYPERLINK("http://www.ofsted.gov.uk/inspection-reports/find-inspection-report/provider/ELS/147027 ","Ofsted School Webpage")</f>
        <v>Ofsted School Webpage</v>
      </c>
      <c r="B1059" s="319">
        <v>147027</v>
      </c>
      <c r="C1059" s="319">
        <v>3066019</v>
      </c>
      <c r="D1059" s="319" t="s">
        <v>3622</v>
      </c>
      <c r="E1059" s="319" t="s">
        <v>167</v>
      </c>
      <c r="F1059" s="319" t="s">
        <v>434</v>
      </c>
      <c r="G1059" s="319" t="s">
        <v>72</v>
      </c>
      <c r="H1059" s="319" t="s">
        <v>72</v>
      </c>
      <c r="I1059" s="319" t="s">
        <v>72</v>
      </c>
      <c r="J1059" s="319" t="s">
        <v>424</v>
      </c>
      <c r="K1059" s="319" t="s">
        <v>441</v>
      </c>
      <c r="L1059" s="319" t="s">
        <v>441</v>
      </c>
      <c r="M1059" s="319" t="s">
        <v>734</v>
      </c>
      <c r="N1059" s="319" t="s">
        <v>3177</v>
      </c>
      <c r="O1059" s="319" t="s">
        <v>3623</v>
      </c>
      <c r="P1059" s="319" t="s">
        <v>173</v>
      </c>
      <c r="Q1059" s="319" t="s">
        <v>2766</v>
      </c>
      <c r="R1059" s="320" t="s">
        <v>173</v>
      </c>
      <c r="S1059" s="321" t="s">
        <v>173</v>
      </c>
      <c r="T1059" s="321" t="s">
        <v>173</v>
      </c>
      <c r="U1059" s="321" t="s">
        <v>173</v>
      </c>
      <c r="V1059" s="319" t="s">
        <v>173</v>
      </c>
      <c r="W1059" s="319" t="s">
        <v>173</v>
      </c>
      <c r="X1059" s="319" t="s">
        <v>173</v>
      </c>
      <c r="Y1059" s="319" t="s">
        <v>173</v>
      </c>
      <c r="Z1059" s="319" t="s">
        <v>173</v>
      </c>
      <c r="AA1059" s="319" t="s">
        <v>173</v>
      </c>
      <c r="AB1059" s="319" t="s">
        <v>173</v>
      </c>
      <c r="AC1059" s="319" t="s">
        <v>173</v>
      </c>
      <c r="AD1059" s="319" t="s">
        <v>173</v>
      </c>
      <c r="AE1059" s="319" t="s">
        <v>173</v>
      </c>
      <c r="AF1059" s="319" t="s">
        <v>173</v>
      </c>
      <c r="AG1059" s="319" t="s">
        <v>173</v>
      </c>
      <c r="AH1059" s="319" t="s">
        <v>173</v>
      </c>
      <c r="AI1059" s="319" t="s">
        <v>173</v>
      </c>
      <c r="AJ1059" s="319" t="s">
        <v>173</v>
      </c>
      <c r="AK1059" s="319" t="s">
        <v>173</v>
      </c>
      <c r="AL1059" s="319" t="s">
        <v>173</v>
      </c>
      <c r="AM1059" s="319" t="s">
        <v>173</v>
      </c>
      <c r="AN1059" s="319" t="s">
        <v>173</v>
      </c>
      <c r="AO1059" s="319" t="s">
        <v>173</v>
      </c>
      <c r="AP1059" s="319" t="s">
        <v>173</v>
      </c>
      <c r="AQ1059" s="319" t="s">
        <v>173</v>
      </c>
      <c r="AR1059" s="319" t="s">
        <v>173</v>
      </c>
      <c r="AS1059" s="319" t="s">
        <v>173</v>
      </c>
      <c r="AT1059" s="319" t="s">
        <v>173</v>
      </c>
      <c r="AU1059" s="319" t="s">
        <v>173</v>
      </c>
      <c r="AV1059" s="319" t="s">
        <v>173</v>
      </c>
      <c r="AW1059" s="319" t="s">
        <v>173</v>
      </c>
      <c r="AX1059" s="319" t="s">
        <v>173</v>
      </c>
      <c r="AY1059" s="319" t="s">
        <v>173</v>
      </c>
      <c r="AZ1059" s="319" t="s">
        <v>173</v>
      </c>
      <c r="BA1059" s="319" t="s">
        <v>173</v>
      </c>
      <c r="BB1059" s="319" t="s">
        <v>173</v>
      </c>
      <c r="BC1059" s="319" t="s">
        <v>173</v>
      </c>
      <c r="BD1059" s="319" t="s">
        <v>173</v>
      </c>
      <c r="BE1059" s="319" t="s">
        <v>173</v>
      </c>
      <c r="BF1059" s="319" t="s">
        <v>173</v>
      </c>
      <c r="BG1059" s="319" t="s">
        <v>173</v>
      </c>
      <c r="BH1059" s="319" t="s">
        <v>173</v>
      </c>
      <c r="BI1059" s="319" t="s">
        <v>173</v>
      </c>
      <c r="BJ1059" s="319" t="s">
        <v>173</v>
      </c>
      <c r="BK1059" s="319" t="s">
        <v>173</v>
      </c>
      <c r="BL1059" s="319" t="s">
        <v>173</v>
      </c>
      <c r="BM1059" s="319" t="s">
        <v>173</v>
      </c>
      <c r="BN1059" s="319" t="s">
        <v>173</v>
      </c>
      <c r="BO1059" s="319" t="s">
        <v>173</v>
      </c>
      <c r="BP1059" s="319" t="s">
        <v>173</v>
      </c>
      <c r="BQ1059" s="319" t="s">
        <v>173</v>
      </c>
      <c r="BR1059" s="319" t="s">
        <v>173</v>
      </c>
      <c r="BS1059" s="319" t="s">
        <v>173</v>
      </c>
      <c r="BT1059" s="319" t="s">
        <v>173</v>
      </c>
      <c r="BU1059" s="319" t="s">
        <v>173</v>
      </c>
      <c r="BV1059" s="319" t="s">
        <v>173</v>
      </c>
      <c r="BW1059" s="319" t="s">
        <v>173</v>
      </c>
      <c r="BX1059" s="319" t="s">
        <v>173</v>
      </c>
      <c r="BY1059" s="319" t="s">
        <v>173</v>
      </c>
      <c r="BZ1059" s="319" t="s">
        <v>173</v>
      </c>
      <c r="CA1059" s="319" t="s">
        <v>173</v>
      </c>
      <c r="CB1059" s="319" t="s">
        <v>173</v>
      </c>
      <c r="CC1059" s="319" t="s">
        <v>173</v>
      </c>
      <c r="CD1059" s="319" t="s">
        <v>173</v>
      </c>
      <c r="CE1059" s="319" t="s">
        <v>173</v>
      </c>
      <c r="CF1059" s="319" t="s">
        <v>173</v>
      </c>
      <c r="CG1059" s="319" t="s">
        <v>173</v>
      </c>
      <c r="CH1059" s="319" t="s">
        <v>173</v>
      </c>
      <c r="CI1059" s="319" t="s">
        <v>173</v>
      </c>
      <c r="CJ1059" s="319" t="s">
        <v>173</v>
      </c>
      <c r="CK1059" s="319" t="s">
        <v>173</v>
      </c>
      <c r="CL1059" s="319" t="s">
        <v>173</v>
      </c>
      <c r="CM1059" s="319" t="s">
        <v>173</v>
      </c>
      <c r="CN1059" s="319" t="s">
        <v>173</v>
      </c>
      <c r="CO1059" s="319" t="s">
        <v>173</v>
      </c>
      <c r="CP1059" s="319" t="s">
        <v>173</v>
      </c>
      <c r="CQ1059" s="319" t="s">
        <v>173</v>
      </c>
      <c r="CR1059" s="319" t="s">
        <v>173</v>
      </c>
      <c r="CS1059" s="319" t="s">
        <v>173</v>
      </c>
      <c r="CT1059" s="319" t="s">
        <v>173</v>
      </c>
      <c r="CU1059" s="319" t="s">
        <v>173</v>
      </c>
      <c r="CV1059" s="319" t="s">
        <v>173</v>
      </c>
      <c r="CW1059" s="319" t="s">
        <v>173</v>
      </c>
      <c r="CX1059" s="319" t="s">
        <v>173</v>
      </c>
      <c r="CY1059" s="319" t="s">
        <v>173</v>
      </c>
      <c r="CZ1059" s="319" t="s">
        <v>173</v>
      </c>
      <c r="DA1059" s="319" t="s">
        <v>173</v>
      </c>
      <c r="DB1059" s="319" t="s">
        <v>173</v>
      </c>
      <c r="DC1059" s="319" t="s">
        <v>173</v>
      </c>
      <c r="DD1059" s="319" t="s">
        <v>173</v>
      </c>
      <c r="DE1059" s="319" t="s">
        <v>173</v>
      </c>
      <c r="DF1059" s="319" t="s">
        <v>173</v>
      </c>
      <c r="DG1059" s="319" t="s">
        <v>173</v>
      </c>
      <c r="DH1059" s="319" t="s">
        <v>173</v>
      </c>
      <c r="DI1059" s="319" t="s">
        <v>173</v>
      </c>
      <c r="DJ1059" s="319" t="s">
        <v>173</v>
      </c>
      <c r="DK1059" s="319" t="s">
        <v>173</v>
      </c>
      <c r="DL1059" s="319" t="s">
        <v>173</v>
      </c>
      <c r="DM1059" s="319" t="s">
        <v>173</v>
      </c>
      <c r="DN1059" s="319" t="s">
        <v>173</v>
      </c>
      <c r="DO1059" s="319" t="s">
        <v>173</v>
      </c>
      <c r="DP1059" s="319" t="s">
        <v>173</v>
      </c>
      <c r="DQ1059" s="319" t="s">
        <v>173</v>
      </c>
      <c r="DR1059" s="319" t="s">
        <v>173</v>
      </c>
      <c r="DS1059" s="319" t="s">
        <v>173</v>
      </c>
      <c r="DT1059" s="319" t="s">
        <v>173</v>
      </c>
      <c r="DU1059" s="319" t="s">
        <v>173</v>
      </c>
      <c r="DV1059" s="319" t="s">
        <v>173</v>
      </c>
      <c r="DW1059" s="319" t="s">
        <v>173</v>
      </c>
      <c r="DX1059" s="319" t="s">
        <v>173</v>
      </c>
      <c r="DY1059" s="319" t="s">
        <v>173</v>
      </c>
      <c r="DZ1059" s="319" t="s">
        <v>173</v>
      </c>
      <c r="EA1059" s="319" t="s">
        <v>173</v>
      </c>
      <c r="EB1059" s="319" t="s">
        <v>173</v>
      </c>
      <c r="EC1059" s="319" t="s">
        <v>173</v>
      </c>
      <c r="ED1059" s="319" t="s">
        <v>173</v>
      </c>
      <c r="EE1059" s="319" t="s">
        <v>173</v>
      </c>
      <c r="EF1059" s="319" t="s">
        <v>173</v>
      </c>
      <c r="EG1059" s="319" t="s">
        <v>173</v>
      </c>
      <c r="EH1059" s="319" t="s">
        <v>173</v>
      </c>
      <c r="EI1059" s="319" t="s">
        <v>173</v>
      </c>
      <c r="EJ1059" s="319" t="s">
        <v>173</v>
      </c>
      <c r="EK1059" s="319" t="s">
        <v>173</v>
      </c>
      <c r="EL1059" s="319" t="s">
        <v>173</v>
      </c>
      <c r="EM1059" s="319" t="s">
        <v>173</v>
      </c>
      <c r="EN1059" s="319" t="s">
        <v>173</v>
      </c>
      <c r="EO1059" s="319" t="s">
        <v>173</v>
      </c>
      <c r="EP1059" s="319" t="s">
        <v>173</v>
      </c>
      <c r="EQ1059" s="319" t="s">
        <v>173</v>
      </c>
      <c r="ER1059" s="319" t="s">
        <v>173</v>
      </c>
      <c r="ES1059" s="319" t="s">
        <v>173</v>
      </c>
      <c r="ET1059" s="319" t="s">
        <v>173</v>
      </c>
      <c r="EU1059" s="319" t="s">
        <v>173</v>
      </c>
      <c r="EV1059" s="319" t="s">
        <v>173</v>
      </c>
      <c r="EW1059" s="319" t="s">
        <v>173</v>
      </c>
      <c r="EX1059" s="319" t="s">
        <v>173</v>
      </c>
      <c r="EY1059" s="319" t="s">
        <v>173</v>
      </c>
      <c r="EZ1059" s="319" t="s">
        <v>173</v>
      </c>
      <c r="FA1059" s="319" t="s">
        <v>173</v>
      </c>
      <c r="FB1059" s="319" t="s">
        <v>173</v>
      </c>
      <c r="FC1059" s="319" t="s">
        <v>173</v>
      </c>
      <c r="FD1059" s="319" t="s">
        <v>173</v>
      </c>
      <c r="FE1059" s="319" t="s">
        <v>173</v>
      </c>
      <c r="FF1059" s="319" t="s">
        <v>173</v>
      </c>
      <c r="FG1059" s="319" t="s">
        <v>173</v>
      </c>
      <c r="FH1059" s="319" t="s">
        <v>173</v>
      </c>
      <c r="FI1059" s="319" t="s">
        <v>173</v>
      </c>
      <c r="FJ1059" s="319" t="s">
        <v>173</v>
      </c>
      <c r="FK1059" s="319" t="s">
        <v>173</v>
      </c>
      <c r="FL1059" s="319" t="s">
        <v>173</v>
      </c>
      <c r="FM1059" s="319" t="s">
        <v>173</v>
      </c>
      <c r="FN1059" s="319" t="s">
        <v>173</v>
      </c>
      <c r="FO1059" s="319" t="s">
        <v>173</v>
      </c>
      <c r="FP1059" s="319" t="s">
        <v>173</v>
      </c>
      <c r="FQ1059" s="319" t="s">
        <v>173</v>
      </c>
      <c r="FR1059" s="319" t="s">
        <v>173</v>
      </c>
      <c r="FS1059" s="319" t="s">
        <v>173</v>
      </c>
      <c r="FT1059" s="319" t="s">
        <v>173</v>
      </c>
      <c r="FU1059" s="319" t="s">
        <v>173</v>
      </c>
      <c r="FV1059" s="319" t="s">
        <v>173</v>
      </c>
      <c r="FW1059" s="319" t="s">
        <v>173</v>
      </c>
      <c r="FX1059" s="319" t="s">
        <v>173</v>
      </c>
      <c r="FY1059" s="319" t="s">
        <v>173</v>
      </c>
      <c r="FZ1059" s="319" t="s">
        <v>173</v>
      </c>
      <c r="GA1059" s="319" t="s">
        <v>173</v>
      </c>
      <c r="GB1059" s="319" t="s">
        <v>173</v>
      </c>
      <c r="GC1059" s="319" t="s">
        <v>173</v>
      </c>
      <c r="GD1059" s="319" t="s">
        <v>173</v>
      </c>
      <c r="GE1059" s="319" t="s">
        <v>173</v>
      </c>
      <c r="GF1059" s="319" t="s">
        <v>173</v>
      </c>
      <c r="GG1059" s="319" t="s">
        <v>173</v>
      </c>
      <c r="GH1059" s="319" t="s">
        <v>173</v>
      </c>
      <c r="GI1059" s="319" t="s">
        <v>173</v>
      </c>
      <c r="GJ1059" s="319" t="s">
        <v>173</v>
      </c>
      <c r="GK1059" s="319" t="s">
        <v>173</v>
      </c>
      <c r="GL1059" s="319" t="s">
        <v>173</v>
      </c>
      <c r="GM1059" s="319" t="s">
        <v>173</v>
      </c>
      <c r="GN1059" s="319" t="s">
        <v>173</v>
      </c>
      <c r="GO1059" s="319" t="s">
        <v>173</v>
      </c>
      <c r="GP1059" s="319" t="s">
        <v>173</v>
      </c>
      <c r="GQ1059" s="319" t="s">
        <v>173</v>
      </c>
      <c r="GR1059" s="319" t="s">
        <v>173</v>
      </c>
      <c r="GS1059" s="319" t="s">
        <v>173</v>
      </c>
      <c r="GT1059" s="319" t="s">
        <v>173</v>
      </c>
      <c r="GU1059" s="319" t="s">
        <v>173</v>
      </c>
      <c r="GV1059" s="319" t="s">
        <v>173</v>
      </c>
      <c r="GW1059" s="319" t="s">
        <v>173</v>
      </c>
      <c r="GX1059" s="319" t="s">
        <v>173</v>
      </c>
      <c r="GY1059" s="319" t="s">
        <v>173</v>
      </c>
      <c r="GZ1059" s="319" t="s">
        <v>173</v>
      </c>
      <c r="HA1059" s="319" t="s">
        <v>173</v>
      </c>
      <c r="HB1059" s="319" t="s">
        <v>173</v>
      </c>
      <c r="HC1059" s="319" t="s">
        <v>173</v>
      </c>
      <c r="HD1059" s="319" t="s">
        <v>173</v>
      </c>
      <c r="HE1059" s="319" t="s">
        <v>173</v>
      </c>
      <c r="HF1059" s="319" t="s">
        <v>173</v>
      </c>
      <c r="HG1059" s="319" t="s">
        <v>173</v>
      </c>
      <c r="HH1059" s="319" t="s">
        <v>173</v>
      </c>
      <c r="HI1059" s="319" t="s">
        <v>173</v>
      </c>
      <c r="HJ1059" s="319" t="s">
        <v>173</v>
      </c>
      <c r="HK1059" s="319" t="s">
        <v>173</v>
      </c>
      <c r="HL1059" s="319" t="s">
        <v>173</v>
      </c>
      <c r="HM1059" s="319" t="s">
        <v>173</v>
      </c>
      <c r="HN1059" s="319" t="s">
        <v>173</v>
      </c>
      <c r="HO1059" s="319" t="s">
        <v>173</v>
      </c>
      <c r="HP1059" s="319" t="s">
        <v>173</v>
      </c>
      <c r="HQ1059" s="319" t="s">
        <v>173</v>
      </c>
      <c r="HR1059" s="319" t="s">
        <v>173</v>
      </c>
      <c r="HS1059" s="319" t="s">
        <v>173</v>
      </c>
      <c r="HT1059" s="319" t="s">
        <v>173</v>
      </c>
      <c r="HU1059" s="319" t="s">
        <v>173</v>
      </c>
      <c r="HV1059" s="319" t="s">
        <v>173</v>
      </c>
      <c r="HW1059" s="319" t="s">
        <v>173</v>
      </c>
      <c r="HX1059" s="319" t="s">
        <v>173</v>
      </c>
      <c r="HY1059" s="319" t="s">
        <v>173</v>
      </c>
      <c r="HZ1059" s="319" t="s">
        <v>173</v>
      </c>
      <c r="IA1059" s="319" t="s">
        <v>173</v>
      </c>
      <c r="IB1059" s="319" t="s">
        <v>173</v>
      </c>
      <c r="IC1059" s="319" t="s">
        <v>173</v>
      </c>
      <c r="ID1059" s="319" t="s">
        <v>173</v>
      </c>
      <c r="IE1059" s="319" t="s">
        <v>173</v>
      </c>
      <c r="IF1059" s="319" t="s">
        <v>173</v>
      </c>
      <c r="IG1059" s="319" t="s">
        <v>173</v>
      </c>
      <c r="IH1059" s="319" t="s">
        <v>173</v>
      </c>
      <c r="II1059" s="319" t="s">
        <v>173</v>
      </c>
      <c r="IJ1059" s="319" t="s">
        <v>173</v>
      </c>
      <c r="IK1059" s="319" t="s">
        <v>173</v>
      </c>
      <c r="IL1059" s="319" t="s">
        <v>173</v>
      </c>
      <c r="IM1059" s="319" t="s">
        <v>173</v>
      </c>
      <c r="IN1059" s="319" t="s">
        <v>173</v>
      </c>
      <c r="IO1059" s="319" t="s">
        <v>173</v>
      </c>
      <c r="IP1059" s="319" t="s">
        <v>173</v>
      </c>
      <c r="IQ1059" s="319" t="s">
        <v>173</v>
      </c>
      <c r="IR1059" s="320" t="s">
        <v>173</v>
      </c>
      <c r="IS1059" s="320" t="s">
        <v>173</v>
      </c>
      <c r="IT1059" s="319" t="s">
        <v>173</v>
      </c>
    </row>
    <row r="1060" spans="1:254" s="271" customFormat="1" x14ac:dyDescent="0.25">
      <c r="A1060" s="318" t="str">
        <f>HYPERLINK("http://www.ofsted.gov.uk/inspection-reports/find-inspection-report/provider/ELS/147030 ","Ofsted School Webpage")</f>
        <v>Ofsted School Webpage</v>
      </c>
      <c r="B1060" s="319">
        <v>147030</v>
      </c>
      <c r="C1060" s="319">
        <v>8016035</v>
      </c>
      <c r="D1060" s="319" t="s">
        <v>2592</v>
      </c>
      <c r="E1060" s="319" t="s">
        <v>167</v>
      </c>
      <c r="F1060" s="319" t="s">
        <v>81</v>
      </c>
      <c r="G1060" s="319" t="s">
        <v>81</v>
      </c>
      <c r="H1060" s="319" t="s">
        <v>81</v>
      </c>
      <c r="I1060" s="319" t="s">
        <v>78</v>
      </c>
      <c r="J1060" s="319" t="s">
        <v>424</v>
      </c>
      <c r="K1060" s="319" t="s">
        <v>422</v>
      </c>
      <c r="L1060" s="319" t="s">
        <v>422</v>
      </c>
      <c r="M1060" s="319" t="s">
        <v>498</v>
      </c>
      <c r="N1060" s="319" t="s">
        <v>2895</v>
      </c>
      <c r="O1060" s="319" t="s">
        <v>2593</v>
      </c>
      <c r="P1060" s="319" t="s">
        <v>173</v>
      </c>
      <c r="Q1060" s="319" t="s">
        <v>2776</v>
      </c>
      <c r="R1060" s="320" t="s">
        <v>173</v>
      </c>
      <c r="S1060" s="321" t="s">
        <v>173</v>
      </c>
      <c r="T1060" s="321" t="s">
        <v>173</v>
      </c>
      <c r="U1060" s="321" t="s">
        <v>173</v>
      </c>
      <c r="V1060" s="319" t="s">
        <v>173</v>
      </c>
      <c r="W1060" s="319" t="s">
        <v>173</v>
      </c>
      <c r="X1060" s="319" t="s">
        <v>173</v>
      </c>
      <c r="Y1060" s="319" t="s">
        <v>173</v>
      </c>
      <c r="Z1060" s="319" t="s">
        <v>173</v>
      </c>
      <c r="AA1060" s="319" t="s">
        <v>173</v>
      </c>
      <c r="AB1060" s="319" t="s">
        <v>173</v>
      </c>
      <c r="AC1060" s="319" t="s">
        <v>173</v>
      </c>
      <c r="AD1060" s="319" t="s">
        <v>173</v>
      </c>
      <c r="AE1060" s="319" t="s">
        <v>173</v>
      </c>
      <c r="AF1060" s="319" t="s">
        <v>173</v>
      </c>
      <c r="AG1060" s="319" t="s">
        <v>173</v>
      </c>
      <c r="AH1060" s="319" t="s">
        <v>173</v>
      </c>
      <c r="AI1060" s="319" t="s">
        <v>173</v>
      </c>
      <c r="AJ1060" s="319" t="s">
        <v>173</v>
      </c>
      <c r="AK1060" s="319" t="s">
        <v>173</v>
      </c>
      <c r="AL1060" s="319" t="s">
        <v>173</v>
      </c>
      <c r="AM1060" s="319" t="s">
        <v>173</v>
      </c>
      <c r="AN1060" s="319" t="s">
        <v>173</v>
      </c>
      <c r="AO1060" s="319" t="s">
        <v>173</v>
      </c>
      <c r="AP1060" s="319" t="s">
        <v>173</v>
      </c>
      <c r="AQ1060" s="319" t="s">
        <v>173</v>
      </c>
      <c r="AR1060" s="319" t="s">
        <v>173</v>
      </c>
      <c r="AS1060" s="319" t="s">
        <v>173</v>
      </c>
      <c r="AT1060" s="319" t="s">
        <v>173</v>
      </c>
      <c r="AU1060" s="319" t="s">
        <v>173</v>
      </c>
      <c r="AV1060" s="319" t="s">
        <v>173</v>
      </c>
      <c r="AW1060" s="319" t="s">
        <v>173</v>
      </c>
      <c r="AX1060" s="319" t="s">
        <v>173</v>
      </c>
      <c r="AY1060" s="319" t="s">
        <v>173</v>
      </c>
      <c r="AZ1060" s="319" t="s">
        <v>173</v>
      </c>
      <c r="BA1060" s="319" t="s">
        <v>173</v>
      </c>
      <c r="BB1060" s="319" t="s">
        <v>173</v>
      </c>
      <c r="BC1060" s="319" t="s">
        <v>173</v>
      </c>
      <c r="BD1060" s="319" t="s">
        <v>173</v>
      </c>
      <c r="BE1060" s="319" t="s">
        <v>173</v>
      </c>
      <c r="BF1060" s="319" t="s">
        <v>173</v>
      </c>
      <c r="BG1060" s="319" t="s">
        <v>173</v>
      </c>
      <c r="BH1060" s="319" t="s">
        <v>173</v>
      </c>
      <c r="BI1060" s="319" t="s">
        <v>173</v>
      </c>
      <c r="BJ1060" s="319" t="s">
        <v>173</v>
      </c>
      <c r="BK1060" s="319" t="s">
        <v>173</v>
      </c>
      <c r="BL1060" s="319" t="s">
        <v>173</v>
      </c>
      <c r="BM1060" s="319" t="s">
        <v>173</v>
      </c>
      <c r="BN1060" s="319" t="s">
        <v>173</v>
      </c>
      <c r="BO1060" s="319" t="s">
        <v>173</v>
      </c>
      <c r="BP1060" s="319" t="s">
        <v>173</v>
      </c>
      <c r="BQ1060" s="319" t="s">
        <v>173</v>
      </c>
      <c r="BR1060" s="319" t="s">
        <v>173</v>
      </c>
      <c r="BS1060" s="319" t="s">
        <v>173</v>
      </c>
      <c r="BT1060" s="319" t="s">
        <v>173</v>
      </c>
      <c r="BU1060" s="319" t="s">
        <v>173</v>
      </c>
      <c r="BV1060" s="319" t="s">
        <v>173</v>
      </c>
      <c r="BW1060" s="319" t="s">
        <v>173</v>
      </c>
      <c r="BX1060" s="319" t="s">
        <v>173</v>
      </c>
      <c r="BY1060" s="319" t="s">
        <v>173</v>
      </c>
      <c r="BZ1060" s="319" t="s">
        <v>173</v>
      </c>
      <c r="CA1060" s="319" t="s">
        <v>173</v>
      </c>
      <c r="CB1060" s="319" t="s">
        <v>173</v>
      </c>
      <c r="CC1060" s="319" t="s">
        <v>173</v>
      </c>
      <c r="CD1060" s="319" t="s">
        <v>173</v>
      </c>
      <c r="CE1060" s="319" t="s">
        <v>173</v>
      </c>
      <c r="CF1060" s="319" t="s">
        <v>173</v>
      </c>
      <c r="CG1060" s="319" t="s">
        <v>173</v>
      </c>
      <c r="CH1060" s="319" t="s">
        <v>173</v>
      </c>
      <c r="CI1060" s="319" t="s">
        <v>173</v>
      </c>
      <c r="CJ1060" s="319" t="s">
        <v>173</v>
      </c>
      <c r="CK1060" s="319" t="s">
        <v>173</v>
      </c>
      <c r="CL1060" s="319" t="s">
        <v>173</v>
      </c>
      <c r="CM1060" s="319" t="s">
        <v>173</v>
      </c>
      <c r="CN1060" s="319" t="s">
        <v>173</v>
      </c>
      <c r="CO1060" s="319" t="s">
        <v>173</v>
      </c>
      <c r="CP1060" s="319" t="s">
        <v>173</v>
      </c>
      <c r="CQ1060" s="319" t="s">
        <v>173</v>
      </c>
      <c r="CR1060" s="319" t="s">
        <v>173</v>
      </c>
      <c r="CS1060" s="319" t="s">
        <v>173</v>
      </c>
      <c r="CT1060" s="319" t="s">
        <v>173</v>
      </c>
      <c r="CU1060" s="319" t="s">
        <v>173</v>
      </c>
      <c r="CV1060" s="319" t="s">
        <v>173</v>
      </c>
      <c r="CW1060" s="319" t="s">
        <v>173</v>
      </c>
      <c r="CX1060" s="319" t="s">
        <v>173</v>
      </c>
      <c r="CY1060" s="319" t="s">
        <v>173</v>
      </c>
      <c r="CZ1060" s="319" t="s">
        <v>173</v>
      </c>
      <c r="DA1060" s="319" t="s">
        <v>173</v>
      </c>
      <c r="DB1060" s="319" t="s">
        <v>173</v>
      </c>
      <c r="DC1060" s="319" t="s">
        <v>173</v>
      </c>
      <c r="DD1060" s="319" t="s">
        <v>173</v>
      </c>
      <c r="DE1060" s="319" t="s">
        <v>173</v>
      </c>
      <c r="DF1060" s="319" t="s">
        <v>173</v>
      </c>
      <c r="DG1060" s="319" t="s">
        <v>173</v>
      </c>
      <c r="DH1060" s="319" t="s">
        <v>173</v>
      </c>
      <c r="DI1060" s="319" t="s">
        <v>173</v>
      </c>
      <c r="DJ1060" s="319" t="s">
        <v>173</v>
      </c>
      <c r="DK1060" s="319" t="s">
        <v>173</v>
      </c>
      <c r="DL1060" s="319" t="s">
        <v>173</v>
      </c>
      <c r="DM1060" s="319" t="s">
        <v>173</v>
      </c>
      <c r="DN1060" s="319" t="s">
        <v>173</v>
      </c>
      <c r="DO1060" s="319" t="s">
        <v>173</v>
      </c>
      <c r="DP1060" s="319" t="s">
        <v>173</v>
      </c>
      <c r="DQ1060" s="319" t="s">
        <v>173</v>
      </c>
      <c r="DR1060" s="319" t="s">
        <v>173</v>
      </c>
      <c r="DS1060" s="319" t="s">
        <v>173</v>
      </c>
      <c r="DT1060" s="319" t="s">
        <v>173</v>
      </c>
      <c r="DU1060" s="319" t="s">
        <v>173</v>
      </c>
      <c r="DV1060" s="319" t="s">
        <v>173</v>
      </c>
      <c r="DW1060" s="319" t="s">
        <v>173</v>
      </c>
      <c r="DX1060" s="319" t="s">
        <v>173</v>
      </c>
      <c r="DY1060" s="319" t="s">
        <v>173</v>
      </c>
      <c r="DZ1060" s="319" t="s">
        <v>173</v>
      </c>
      <c r="EA1060" s="319" t="s">
        <v>173</v>
      </c>
      <c r="EB1060" s="319" t="s">
        <v>173</v>
      </c>
      <c r="EC1060" s="319" t="s">
        <v>173</v>
      </c>
      <c r="ED1060" s="319" t="s">
        <v>173</v>
      </c>
      <c r="EE1060" s="319" t="s">
        <v>173</v>
      </c>
      <c r="EF1060" s="319" t="s">
        <v>173</v>
      </c>
      <c r="EG1060" s="319" t="s">
        <v>173</v>
      </c>
      <c r="EH1060" s="319" t="s">
        <v>173</v>
      </c>
      <c r="EI1060" s="319" t="s">
        <v>173</v>
      </c>
      <c r="EJ1060" s="319" t="s">
        <v>173</v>
      </c>
      <c r="EK1060" s="319" t="s">
        <v>173</v>
      </c>
      <c r="EL1060" s="319" t="s">
        <v>173</v>
      </c>
      <c r="EM1060" s="319" t="s">
        <v>173</v>
      </c>
      <c r="EN1060" s="319" t="s">
        <v>173</v>
      </c>
      <c r="EO1060" s="319" t="s">
        <v>173</v>
      </c>
      <c r="EP1060" s="319" t="s">
        <v>173</v>
      </c>
      <c r="EQ1060" s="319" t="s">
        <v>173</v>
      </c>
      <c r="ER1060" s="319" t="s">
        <v>173</v>
      </c>
      <c r="ES1060" s="319" t="s">
        <v>173</v>
      </c>
      <c r="ET1060" s="319" t="s">
        <v>173</v>
      </c>
      <c r="EU1060" s="319" t="s">
        <v>173</v>
      </c>
      <c r="EV1060" s="319" t="s">
        <v>173</v>
      </c>
      <c r="EW1060" s="319" t="s">
        <v>173</v>
      </c>
      <c r="EX1060" s="319" t="s">
        <v>173</v>
      </c>
      <c r="EY1060" s="319" t="s">
        <v>173</v>
      </c>
      <c r="EZ1060" s="319" t="s">
        <v>173</v>
      </c>
      <c r="FA1060" s="319" t="s">
        <v>173</v>
      </c>
      <c r="FB1060" s="319" t="s">
        <v>173</v>
      </c>
      <c r="FC1060" s="319" t="s">
        <v>173</v>
      </c>
      <c r="FD1060" s="319" t="s">
        <v>173</v>
      </c>
      <c r="FE1060" s="319" t="s">
        <v>173</v>
      </c>
      <c r="FF1060" s="319" t="s">
        <v>173</v>
      </c>
      <c r="FG1060" s="319" t="s">
        <v>173</v>
      </c>
      <c r="FH1060" s="319" t="s">
        <v>173</v>
      </c>
      <c r="FI1060" s="319" t="s">
        <v>173</v>
      </c>
      <c r="FJ1060" s="319" t="s">
        <v>173</v>
      </c>
      <c r="FK1060" s="319" t="s">
        <v>173</v>
      </c>
      <c r="FL1060" s="319" t="s">
        <v>173</v>
      </c>
      <c r="FM1060" s="319" t="s">
        <v>173</v>
      </c>
      <c r="FN1060" s="319" t="s">
        <v>173</v>
      </c>
      <c r="FO1060" s="319" t="s">
        <v>173</v>
      </c>
      <c r="FP1060" s="319" t="s">
        <v>173</v>
      </c>
      <c r="FQ1060" s="319" t="s">
        <v>173</v>
      </c>
      <c r="FR1060" s="319" t="s">
        <v>173</v>
      </c>
      <c r="FS1060" s="319" t="s">
        <v>173</v>
      </c>
      <c r="FT1060" s="319" t="s">
        <v>173</v>
      </c>
      <c r="FU1060" s="319" t="s">
        <v>173</v>
      </c>
      <c r="FV1060" s="319" t="s">
        <v>173</v>
      </c>
      <c r="FW1060" s="319" t="s">
        <v>173</v>
      </c>
      <c r="FX1060" s="319" t="s">
        <v>173</v>
      </c>
      <c r="FY1060" s="319" t="s">
        <v>173</v>
      </c>
      <c r="FZ1060" s="319" t="s">
        <v>173</v>
      </c>
      <c r="GA1060" s="319" t="s">
        <v>173</v>
      </c>
      <c r="GB1060" s="319" t="s">
        <v>173</v>
      </c>
      <c r="GC1060" s="319" t="s">
        <v>173</v>
      </c>
      <c r="GD1060" s="319" t="s">
        <v>173</v>
      </c>
      <c r="GE1060" s="319" t="s">
        <v>173</v>
      </c>
      <c r="GF1060" s="319" t="s">
        <v>173</v>
      </c>
      <c r="GG1060" s="319" t="s">
        <v>173</v>
      </c>
      <c r="GH1060" s="319" t="s">
        <v>173</v>
      </c>
      <c r="GI1060" s="319" t="s">
        <v>173</v>
      </c>
      <c r="GJ1060" s="319" t="s">
        <v>173</v>
      </c>
      <c r="GK1060" s="319" t="s">
        <v>173</v>
      </c>
      <c r="GL1060" s="319" t="s">
        <v>173</v>
      </c>
      <c r="GM1060" s="319" t="s">
        <v>173</v>
      </c>
      <c r="GN1060" s="319" t="s">
        <v>173</v>
      </c>
      <c r="GO1060" s="319" t="s">
        <v>173</v>
      </c>
      <c r="GP1060" s="319" t="s">
        <v>173</v>
      </c>
      <c r="GQ1060" s="319" t="s">
        <v>173</v>
      </c>
      <c r="GR1060" s="319" t="s">
        <v>173</v>
      </c>
      <c r="GS1060" s="319" t="s">
        <v>173</v>
      </c>
      <c r="GT1060" s="319" t="s">
        <v>173</v>
      </c>
      <c r="GU1060" s="319" t="s">
        <v>173</v>
      </c>
      <c r="GV1060" s="319" t="s">
        <v>173</v>
      </c>
      <c r="GW1060" s="319" t="s">
        <v>173</v>
      </c>
      <c r="GX1060" s="319" t="s">
        <v>173</v>
      </c>
      <c r="GY1060" s="319" t="s">
        <v>173</v>
      </c>
      <c r="GZ1060" s="319" t="s">
        <v>173</v>
      </c>
      <c r="HA1060" s="319" t="s">
        <v>173</v>
      </c>
      <c r="HB1060" s="319" t="s">
        <v>173</v>
      </c>
      <c r="HC1060" s="319" t="s">
        <v>173</v>
      </c>
      <c r="HD1060" s="319" t="s">
        <v>173</v>
      </c>
      <c r="HE1060" s="319" t="s">
        <v>173</v>
      </c>
      <c r="HF1060" s="319" t="s">
        <v>173</v>
      </c>
      <c r="HG1060" s="319" t="s">
        <v>173</v>
      </c>
      <c r="HH1060" s="319" t="s">
        <v>173</v>
      </c>
      <c r="HI1060" s="319" t="s">
        <v>173</v>
      </c>
      <c r="HJ1060" s="319" t="s">
        <v>173</v>
      </c>
      <c r="HK1060" s="319" t="s">
        <v>173</v>
      </c>
      <c r="HL1060" s="319" t="s">
        <v>173</v>
      </c>
      <c r="HM1060" s="319" t="s">
        <v>173</v>
      </c>
      <c r="HN1060" s="319" t="s">
        <v>173</v>
      </c>
      <c r="HO1060" s="319" t="s">
        <v>173</v>
      </c>
      <c r="HP1060" s="319" t="s">
        <v>173</v>
      </c>
      <c r="HQ1060" s="319" t="s">
        <v>173</v>
      </c>
      <c r="HR1060" s="319" t="s">
        <v>173</v>
      </c>
      <c r="HS1060" s="319" t="s">
        <v>173</v>
      </c>
      <c r="HT1060" s="319" t="s">
        <v>173</v>
      </c>
      <c r="HU1060" s="319" t="s">
        <v>173</v>
      </c>
      <c r="HV1060" s="319" t="s">
        <v>173</v>
      </c>
      <c r="HW1060" s="319" t="s">
        <v>173</v>
      </c>
      <c r="HX1060" s="319" t="s">
        <v>173</v>
      </c>
      <c r="HY1060" s="319" t="s">
        <v>173</v>
      </c>
      <c r="HZ1060" s="319" t="s">
        <v>173</v>
      </c>
      <c r="IA1060" s="319" t="s">
        <v>173</v>
      </c>
      <c r="IB1060" s="319" t="s">
        <v>173</v>
      </c>
      <c r="IC1060" s="319" t="s">
        <v>173</v>
      </c>
      <c r="ID1060" s="319" t="s">
        <v>173</v>
      </c>
      <c r="IE1060" s="319" t="s">
        <v>173</v>
      </c>
      <c r="IF1060" s="319" t="s">
        <v>173</v>
      </c>
      <c r="IG1060" s="319" t="s">
        <v>173</v>
      </c>
      <c r="IH1060" s="319" t="s">
        <v>173</v>
      </c>
      <c r="II1060" s="319" t="s">
        <v>173</v>
      </c>
      <c r="IJ1060" s="319" t="s">
        <v>173</v>
      </c>
      <c r="IK1060" s="319" t="s">
        <v>173</v>
      </c>
      <c r="IL1060" s="319" t="s">
        <v>173</v>
      </c>
      <c r="IM1060" s="319" t="s">
        <v>173</v>
      </c>
      <c r="IN1060" s="319" t="s">
        <v>173</v>
      </c>
      <c r="IO1060" s="319" t="s">
        <v>173</v>
      </c>
      <c r="IP1060" s="319" t="s">
        <v>173</v>
      </c>
      <c r="IQ1060" s="319" t="s">
        <v>173</v>
      </c>
      <c r="IR1060" s="320" t="s">
        <v>173</v>
      </c>
      <c r="IS1060" s="320" t="s">
        <v>173</v>
      </c>
      <c r="IT1060" s="319" t="s">
        <v>173</v>
      </c>
    </row>
    <row r="1061" spans="1:254" s="271" customFormat="1" x14ac:dyDescent="0.25">
      <c r="A1061" s="318" t="str">
        <f>HYPERLINK("http://www.ofsted.gov.uk/inspection-reports/find-inspection-report/provider/ELS/147034 ","Ofsted School Webpage")</f>
        <v>Ofsted School Webpage</v>
      </c>
      <c r="B1061" s="319">
        <v>147034</v>
      </c>
      <c r="C1061" s="319">
        <v>8866155</v>
      </c>
      <c r="D1061" s="319" t="s">
        <v>3624</v>
      </c>
      <c r="E1061" s="319" t="s">
        <v>168</v>
      </c>
      <c r="F1061" s="319" t="s">
        <v>434</v>
      </c>
      <c r="G1061" s="319" t="s">
        <v>81</v>
      </c>
      <c r="H1061" s="319" t="s">
        <v>81</v>
      </c>
      <c r="I1061" s="319" t="s">
        <v>78</v>
      </c>
      <c r="J1061" s="319" t="s">
        <v>424</v>
      </c>
      <c r="K1061" s="319" t="s">
        <v>514</v>
      </c>
      <c r="L1061" s="319" t="s">
        <v>514</v>
      </c>
      <c r="M1061" s="319" t="s">
        <v>614</v>
      </c>
      <c r="N1061" s="319" t="s">
        <v>3625</v>
      </c>
      <c r="O1061" s="319" t="s">
        <v>3626</v>
      </c>
      <c r="P1061" s="319">
        <v>20</v>
      </c>
      <c r="Q1061" s="319" t="s">
        <v>429</v>
      </c>
      <c r="R1061" s="320" t="s">
        <v>173</v>
      </c>
      <c r="S1061" s="321" t="s">
        <v>173</v>
      </c>
      <c r="T1061" s="321" t="s">
        <v>173</v>
      </c>
      <c r="U1061" s="321" t="s">
        <v>173</v>
      </c>
      <c r="V1061" s="319" t="s">
        <v>173</v>
      </c>
      <c r="W1061" s="319" t="s">
        <v>173</v>
      </c>
      <c r="X1061" s="319" t="s">
        <v>173</v>
      </c>
      <c r="Y1061" s="319" t="s">
        <v>173</v>
      </c>
      <c r="Z1061" s="319" t="s">
        <v>173</v>
      </c>
      <c r="AA1061" s="319" t="s">
        <v>173</v>
      </c>
      <c r="AB1061" s="319" t="s">
        <v>173</v>
      </c>
      <c r="AC1061" s="319" t="s">
        <v>173</v>
      </c>
      <c r="AD1061" s="319" t="s">
        <v>173</v>
      </c>
      <c r="AE1061" s="319" t="s">
        <v>173</v>
      </c>
      <c r="AF1061" s="319" t="s">
        <v>173</v>
      </c>
      <c r="AG1061" s="319" t="s">
        <v>173</v>
      </c>
      <c r="AH1061" s="319" t="s">
        <v>173</v>
      </c>
      <c r="AI1061" s="319" t="s">
        <v>173</v>
      </c>
      <c r="AJ1061" s="319" t="s">
        <v>173</v>
      </c>
      <c r="AK1061" s="319" t="s">
        <v>173</v>
      </c>
      <c r="AL1061" s="319" t="s">
        <v>173</v>
      </c>
      <c r="AM1061" s="319" t="s">
        <v>173</v>
      </c>
      <c r="AN1061" s="319" t="s">
        <v>173</v>
      </c>
      <c r="AO1061" s="319" t="s">
        <v>173</v>
      </c>
      <c r="AP1061" s="319" t="s">
        <v>173</v>
      </c>
      <c r="AQ1061" s="319" t="s">
        <v>173</v>
      </c>
      <c r="AR1061" s="319" t="s">
        <v>173</v>
      </c>
      <c r="AS1061" s="319" t="s">
        <v>173</v>
      </c>
      <c r="AT1061" s="319" t="s">
        <v>173</v>
      </c>
      <c r="AU1061" s="319" t="s">
        <v>173</v>
      </c>
      <c r="AV1061" s="319" t="s">
        <v>173</v>
      </c>
      <c r="AW1061" s="319" t="s">
        <v>173</v>
      </c>
      <c r="AX1061" s="319" t="s">
        <v>173</v>
      </c>
      <c r="AY1061" s="319" t="s">
        <v>173</v>
      </c>
      <c r="AZ1061" s="319" t="s">
        <v>173</v>
      </c>
      <c r="BA1061" s="319" t="s">
        <v>173</v>
      </c>
      <c r="BB1061" s="319" t="s">
        <v>173</v>
      </c>
      <c r="BC1061" s="319" t="s">
        <v>173</v>
      </c>
      <c r="BD1061" s="319" t="s">
        <v>173</v>
      </c>
      <c r="BE1061" s="319" t="s">
        <v>173</v>
      </c>
      <c r="BF1061" s="319" t="s">
        <v>173</v>
      </c>
      <c r="BG1061" s="319" t="s">
        <v>173</v>
      </c>
      <c r="BH1061" s="319" t="s">
        <v>173</v>
      </c>
      <c r="BI1061" s="319" t="s">
        <v>173</v>
      </c>
      <c r="BJ1061" s="319" t="s">
        <v>173</v>
      </c>
      <c r="BK1061" s="319" t="s">
        <v>173</v>
      </c>
      <c r="BL1061" s="319" t="s">
        <v>173</v>
      </c>
      <c r="BM1061" s="319" t="s">
        <v>173</v>
      </c>
      <c r="BN1061" s="319" t="s">
        <v>173</v>
      </c>
      <c r="BO1061" s="319" t="s">
        <v>173</v>
      </c>
      <c r="BP1061" s="319" t="s">
        <v>173</v>
      </c>
      <c r="BQ1061" s="319" t="s">
        <v>173</v>
      </c>
      <c r="BR1061" s="319" t="s">
        <v>173</v>
      </c>
      <c r="BS1061" s="319" t="s">
        <v>173</v>
      </c>
      <c r="BT1061" s="319" t="s">
        <v>173</v>
      </c>
      <c r="BU1061" s="319" t="s">
        <v>173</v>
      </c>
      <c r="BV1061" s="319" t="s">
        <v>173</v>
      </c>
      <c r="BW1061" s="319" t="s">
        <v>173</v>
      </c>
      <c r="BX1061" s="319" t="s">
        <v>173</v>
      </c>
      <c r="BY1061" s="319" t="s">
        <v>173</v>
      </c>
      <c r="BZ1061" s="319" t="s">
        <v>173</v>
      </c>
      <c r="CA1061" s="319" t="s">
        <v>173</v>
      </c>
      <c r="CB1061" s="319" t="s">
        <v>173</v>
      </c>
      <c r="CC1061" s="319" t="s">
        <v>173</v>
      </c>
      <c r="CD1061" s="319" t="s">
        <v>173</v>
      </c>
      <c r="CE1061" s="319" t="s">
        <v>173</v>
      </c>
      <c r="CF1061" s="319" t="s">
        <v>173</v>
      </c>
      <c r="CG1061" s="319" t="s">
        <v>173</v>
      </c>
      <c r="CH1061" s="319" t="s">
        <v>173</v>
      </c>
      <c r="CI1061" s="319" t="s">
        <v>173</v>
      </c>
      <c r="CJ1061" s="319" t="s">
        <v>173</v>
      </c>
      <c r="CK1061" s="319" t="s">
        <v>173</v>
      </c>
      <c r="CL1061" s="319" t="s">
        <v>173</v>
      </c>
      <c r="CM1061" s="319" t="s">
        <v>173</v>
      </c>
      <c r="CN1061" s="319" t="s">
        <v>173</v>
      </c>
      <c r="CO1061" s="319" t="s">
        <v>173</v>
      </c>
      <c r="CP1061" s="319" t="s">
        <v>173</v>
      </c>
      <c r="CQ1061" s="319" t="s">
        <v>173</v>
      </c>
      <c r="CR1061" s="319" t="s">
        <v>173</v>
      </c>
      <c r="CS1061" s="319" t="s">
        <v>173</v>
      </c>
      <c r="CT1061" s="319" t="s">
        <v>173</v>
      </c>
      <c r="CU1061" s="319" t="s">
        <v>173</v>
      </c>
      <c r="CV1061" s="319" t="s">
        <v>173</v>
      </c>
      <c r="CW1061" s="319" t="s">
        <v>173</v>
      </c>
      <c r="CX1061" s="319" t="s">
        <v>173</v>
      </c>
      <c r="CY1061" s="319" t="s">
        <v>173</v>
      </c>
      <c r="CZ1061" s="319" t="s">
        <v>173</v>
      </c>
      <c r="DA1061" s="319" t="s">
        <v>173</v>
      </c>
      <c r="DB1061" s="319" t="s">
        <v>173</v>
      </c>
      <c r="DC1061" s="319" t="s">
        <v>173</v>
      </c>
      <c r="DD1061" s="319" t="s">
        <v>173</v>
      </c>
      <c r="DE1061" s="319" t="s">
        <v>173</v>
      </c>
      <c r="DF1061" s="319" t="s">
        <v>173</v>
      </c>
      <c r="DG1061" s="319" t="s">
        <v>173</v>
      </c>
      <c r="DH1061" s="319" t="s">
        <v>173</v>
      </c>
      <c r="DI1061" s="319" t="s">
        <v>173</v>
      </c>
      <c r="DJ1061" s="319" t="s">
        <v>173</v>
      </c>
      <c r="DK1061" s="319" t="s">
        <v>173</v>
      </c>
      <c r="DL1061" s="319" t="s">
        <v>173</v>
      </c>
      <c r="DM1061" s="319" t="s">
        <v>173</v>
      </c>
      <c r="DN1061" s="319" t="s">
        <v>173</v>
      </c>
      <c r="DO1061" s="319" t="s">
        <v>173</v>
      </c>
      <c r="DP1061" s="319" t="s">
        <v>173</v>
      </c>
      <c r="DQ1061" s="319" t="s">
        <v>173</v>
      </c>
      <c r="DR1061" s="319" t="s">
        <v>173</v>
      </c>
      <c r="DS1061" s="319" t="s">
        <v>173</v>
      </c>
      <c r="DT1061" s="319" t="s">
        <v>173</v>
      </c>
      <c r="DU1061" s="319" t="s">
        <v>173</v>
      </c>
      <c r="DV1061" s="319" t="s">
        <v>173</v>
      </c>
      <c r="DW1061" s="319" t="s">
        <v>173</v>
      </c>
      <c r="DX1061" s="319" t="s">
        <v>173</v>
      </c>
      <c r="DY1061" s="319" t="s">
        <v>173</v>
      </c>
      <c r="DZ1061" s="319" t="s">
        <v>173</v>
      </c>
      <c r="EA1061" s="319" t="s">
        <v>173</v>
      </c>
      <c r="EB1061" s="319" t="s">
        <v>173</v>
      </c>
      <c r="EC1061" s="319" t="s">
        <v>173</v>
      </c>
      <c r="ED1061" s="319" t="s">
        <v>173</v>
      </c>
      <c r="EE1061" s="319" t="s">
        <v>173</v>
      </c>
      <c r="EF1061" s="319" t="s">
        <v>173</v>
      </c>
      <c r="EG1061" s="319" t="s">
        <v>173</v>
      </c>
      <c r="EH1061" s="319" t="s">
        <v>173</v>
      </c>
      <c r="EI1061" s="319" t="s">
        <v>173</v>
      </c>
      <c r="EJ1061" s="319" t="s">
        <v>173</v>
      </c>
      <c r="EK1061" s="319" t="s">
        <v>173</v>
      </c>
      <c r="EL1061" s="319" t="s">
        <v>173</v>
      </c>
      <c r="EM1061" s="319" t="s">
        <v>173</v>
      </c>
      <c r="EN1061" s="319" t="s">
        <v>173</v>
      </c>
      <c r="EO1061" s="319" t="s">
        <v>173</v>
      </c>
      <c r="EP1061" s="319" t="s">
        <v>173</v>
      </c>
      <c r="EQ1061" s="319" t="s">
        <v>173</v>
      </c>
      <c r="ER1061" s="319" t="s">
        <v>173</v>
      </c>
      <c r="ES1061" s="319" t="s">
        <v>173</v>
      </c>
      <c r="ET1061" s="319" t="s">
        <v>173</v>
      </c>
      <c r="EU1061" s="319" t="s">
        <v>173</v>
      </c>
      <c r="EV1061" s="319" t="s">
        <v>173</v>
      </c>
      <c r="EW1061" s="319" t="s">
        <v>173</v>
      </c>
      <c r="EX1061" s="319" t="s">
        <v>173</v>
      </c>
      <c r="EY1061" s="319" t="s">
        <v>173</v>
      </c>
      <c r="EZ1061" s="319" t="s">
        <v>173</v>
      </c>
      <c r="FA1061" s="319" t="s">
        <v>173</v>
      </c>
      <c r="FB1061" s="319" t="s">
        <v>173</v>
      </c>
      <c r="FC1061" s="319" t="s">
        <v>173</v>
      </c>
      <c r="FD1061" s="319" t="s">
        <v>173</v>
      </c>
      <c r="FE1061" s="319" t="s">
        <v>173</v>
      </c>
      <c r="FF1061" s="319" t="s">
        <v>173</v>
      </c>
      <c r="FG1061" s="319" t="s">
        <v>173</v>
      </c>
      <c r="FH1061" s="319" t="s">
        <v>173</v>
      </c>
      <c r="FI1061" s="319" t="s">
        <v>173</v>
      </c>
      <c r="FJ1061" s="319" t="s">
        <v>173</v>
      </c>
      <c r="FK1061" s="319" t="s">
        <v>173</v>
      </c>
      <c r="FL1061" s="319" t="s">
        <v>173</v>
      </c>
      <c r="FM1061" s="319" t="s">
        <v>173</v>
      </c>
      <c r="FN1061" s="319" t="s">
        <v>173</v>
      </c>
      <c r="FO1061" s="319" t="s">
        <v>173</v>
      </c>
      <c r="FP1061" s="319" t="s">
        <v>173</v>
      </c>
      <c r="FQ1061" s="319" t="s">
        <v>173</v>
      </c>
      <c r="FR1061" s="319" t="s">
        <v>173</v>
      </c>
      <c r="FS1061" s="319" t="s">
        <v>173</v>
      </c>
      <c r="FT1061" s="319" t="s">
        <v>173</v>
      </c>
      <c r="FU1061" s="319" t="s">
        <v>173</v>
      </c>
      <c r="FV1061" s="319" t="s">
        <v>173</v>
      </c>
      <c r="FW1061" s="319" t="s">
        <v>173</v>
      </c>
      <c r="FX1061" s="319" t="s">
        <v>173</v>
      </c>
      <c r="FY1061" s="319" t="s">
        <v>173</v>
      </c>
      <c r="FZ1061" s="319" t="s">
        <v>173</v>
      </c>
      <c r="GA1061" s="319" t="s">
        <v>173</v>
      </c>
      <c r="GB1061" s="319" t="s">
        <v>173</v>
      </c>
      <c r="GC1061" s="319" t="s">
        <v>173</v>
      </c>
      <c r="GD1061" s="319" t="s">
        <v>173</v>
      </c>
      <c r="GE1061" s="319" t="s">
        <v>173</v>
      </c>
      <c r="GF1061" s="319" t="s">
        <v>173</v>
      </c>
      <c r="GG1061" s="319" t="s">
        <v>173</v>
      </c>
      <c r="GH1061" s="319" t="s">
        <v>173</v>
      </c>
      <c r="GI1061" s="319" t="s">
        <v>173</v>
      </c>
      <c r="GJ1061" s="319" t="s">
        <v>173</v>
      </c>
      <c r="GK1061" s="319" t="s">
        <v>173</v>
      </c>
      <c r="GL1061" s="319" t="s">
        <v>173</v>
      </c>
      <c r="GM1061" s="319" t="s">
        <v>173</v>
      </c>
      <c r="GN1061" s="319" t="s">
        <v>173</v>
      </c>
      <c r="GO1061" s="319" t="s">
        <v>173</v>
      </c>
      <c r="GP1061" s="319" t="s">
        <v>173</v>
      </c>
      <c r="GQ1061" s="319" t="s">
        <v>173</v>
      </c>
      <c r="GR1061" s="319" t="s">
        <v>173</v>
      </c>
      <c r="GS1061" s="319" t="s">
        <v>173</v>
      </c>
      <c r="GT1061" s="319" t="s">
        <v>173</v>
      </c>
      <c r="GU1061" s="319" t="s">
        <v>173</v>
      </c>
      <c r="GV1061" s="319" t="s">
        <v>173</v>
      </c>
      <c r="GW1061" s="319" t="s">
        <v>173</v>
      </c>
      <c r="GX1061" s="319" t="s">
        <v>173</v>
      </c>
      <c r="GY1061" s="319" t="s">
        <v>173</v>
      </c>
      <c r="GZ1061" s="319" t="s">
        <v>173</v>
      </c>
      <c r="HA1061" s="319" t="s">
        <v>173</v>
      </c>
      <c r="HB1061" s="319" t="s">
        <v>173</v>
      </c>
      <c r="HC1061" s="319" t="s">
        <v>173</v>
      </c>
      <c r="HD1061" s="319" t="s">
        <v>173</v>
      </c>
      <c r="HE1061" s="319" t="s">
        <v>173</v>
      </c>
      <c r="HF1061" s="319" t="s">
        <v>173</v>
      </c>
      <c r="HG1061" s="319" t="s">
        <v>173</v>
      </c>
      <c r="HH1061" s="319" t="s">
        <v>173</v>
      </c>
      <c r="HI1061" s="319" t="s">
        <v>173</v>
      </c>
      <c r="HJ1061" s="319" t="s">
        <v>173</v>
      </c>
      <c r="HK1061" s="319" t="s">
        <v>173</v>
      </c>
      <c r="HL1061" s="319" t="s">
        <v>173</v>
      </c>
      <c r="HM1061" s="319" t="s">
        <v>173</v>
      </c>
      <c r="HN1061" s="319" t="s">
        <v>173</v>
      </c>
      <c r="HO1061" s="319" t="s">
        <v>173</v>
      </c>
      <c r="HP1061" s="319" t="s">
        <v>173</v>
      </c>
      <c r="HQ1061" s="319" t="s">
        <v>173</v>
      </c>
      <c r="HR1061" s="319" t="s">
        <v>173</v>
      </c>
      <c r="HS1061" s="319" t="s">
        <v>173</v>
      </c>
      <c r="HT1061" s="319" t="s">
        <v>173</v>
      </c>
      <c r="HU1061" s="319" t="s">
        <v>173</v>
      </c>
      <c r="HV1061" s="319" t="s">
        <v>173</v>
      </c>
      <c r="HW1061" s="319" t="s">
        <v>173</v>
      </c>
      <c r="HX1061" s="319" t="s">
        <v>173</v>
      </c>
      <c r="HY1061" s="319" t="s">
        <v>173</v>
      </c>
      <c r="HZ1061" s="319" t="s">
        <v>173</v>
      </c>
      <c r="IA1061" s="319" t="s">
        <v>173</v>
      </c>
      <c r="IB1061" s="319" t="s">
        <v>173</v>
      </c>
      <c r="IC1061" s="319" t="s">
        <v>173</v>
      </c>
      <c r="ID1061" s="319" t="s">
        <v>173</v>
      </c>
      <c r="IE1061" s="319" t="s">
        <v>173</v>
      </c>
      <c r="IF1061" s="319" t="s">
        <v>173</v>
      </c>
      <c r="IG1061" s="319" t="s">
        <v>173</v>
      </c>
      <c r="IH1061" s="319" t="s">
        <v>173</v>
      </c>
      <c r="II1061" s="319" t="s">
        <v>173</v>
      </c>
      <c r="IJ1061" s="319" t="s">
        <v>173</v>
      </c>
      <c r="IK1061" s="319" t="s">
        <v>173</v>
      </c>
      <c r="IL1061" s="319" t="s">
        <v>173</v>
      </c>
      <c r="IM1061" s="319" t="s">
        <v>173</v>
      </c>
      <c r="IN1061" s="319" t="s">
        <v>173</v>
      </c>
      <c r="IO1061" s="319" t="s">
        <v>173</v>
      </c>
      <c r="IP1061" s="319" t="s">
        <v>173</v>
      </c>
      <c r="IQ1061" s="319" t="s">
        <v>173</v>
      </c>
      <c r="IR1061" s="320" t="s">
        <v>173</v>
      </c>
      <c r="IS1061" s="320" t="s">
        <v>173</v>
      </c>
      <c r="IT1061" s="319" t="s">
        <v>173</v>
      </c>
    </row>
    <row r="1062" spans="1:254" s="271" customFormat="1" x14ac:dyDescent="0.25">
      <c r="A1062" s="318" t="str">
        <f>HYPERLINK("http://www.ofsted.gov.uk/inspection-reports/find-inspection-report/provider/ELS/147036 ","Ofsted School Webpage")</f>
        <v>Ofsted School Webpage</v>
      </c>
      <c r="B1062" s="319">
        <v>147036</v>
      </c>
      <c r="C1062" s="319">
        <v>9366021</v>
      </c>
      <c r="D1062" s="319" t="s">
        <v>3627</v>
      </c>
      <c r="E1062" s="319" t="s">
        <v>168</v>
      </c>
      <c r="F1062" s="319" t="s">
        <v>434</v>
      </c>
      <c r="G1062" s="319" t="s">
        <v>81</v>
      </c>
      <c r="H1062" s="319" t="s">
        <v>81</v>
      </c>
      <c r="I1062" s="319" t="s">
        <v>78</v>
      </c>
      <c r="J1062" s="319" t="s">
        <v>424</v>
      </c>
      <c r="K1062" s="319" t="s">
        <v>514</v>
      </c>
      <c r="L1062" s="319" t="s">
        <v>514</v>
      </c>
      <c r="M1062" s="319" t="s">
        <v>699</v>
      </c>
      <c r="N1062" s="319" t="s">
        <v>3182</v>
      </c>
      <c r="O1062" s="319" t="s">
        <v>3628</v>
      </c>
      <c r="P1062" s="319" t="s">
        <v>173</v>
      </c>
      <c r="Q1062" s="319" t="s">
        <v>429</v>
      </c>
      <c r="R1062" s="320" t="s">
        <v>173</v>
      </c>
      <c r="S1062" s="321" t="s">
        <v>173</v>
      </c>
      <c r="T1062" s="321" t="s">
        <v>173</v>
      </c>
      <c r="U1062" s="321" t="s">
        <v>173</v>
      </c>
      <c r="V1062" s="319" t="s">
        <v>173</v>
      </c>
      <c r="W1062" s="319" t="s">
        <v>173</v>
      </c>
      <c r="X1062" s="319" t="s">
        <v>173</v>
      </c>
      <c r="Y1062" s="319" t="s">
        <v>173</v>
      </c>
      <c r="Z1062" s="319" t="s">
        <v>173</v>
      </c>
      <c r="AA1062" s="319" t="s">
        <v>173</v>
      </c>
      <c r="AB1062" s="319" t="s">
        <v>173</v>
      </c>
      <c r="AC1062" s="319" t="s">
        <v>173</v>
      </c>
      <c r="AD1062" s="319" t="s">
        <v>173</v>
      </c>
      <c r="AE1062" s="319" t="s">
        <v>173</v>
      </c>
      <c r="AF1062" s="319" t="s">
        <v>173</v>
      </c>
      <c r="AG1062" s="319" t="s">
        <v>173</v>
      </c>
      <c r="AH1062" s="319" t="s">
        <v>173</v>
      </c>
      <c r="AI1062" s="319" t="s">
        <v>173</v>
      </c>
      <c r="AJ1062" s="319" t="s">
        <v>173</v>
      </c>
      <c r="AK1062" s="319" t="s">
        <v>173</v>
      </c>
      <c r="AL1062" s="319" t="s">
        <v>173</v>
      </c>
      <c r="AM1062" s="319" t="s">
        <v>173</v>
      </c>
      <c r="AN1062" s="319" t="s">
        <v>173</v>
      </c>
      <c r="AO1062" s="319" t="s">
        <v>173</v>
      </c>
      <c r="AP1062" s="319" t="s">
        <v>173</v>
      </c>
      <c r="AQ1062" s="319" t="s">
        <v>173</v>
      </c>
      <c r="AR1062" s="319" t="s">
        <v>173</v>
      </c>
      <c r="AS1062" s="319" t="s">
        <v>173</v>
      </c>
      <c r="AT1062" s="319" t="s">
        <v>173</v>
      </c>
      <c r="AU1062" s="319" t="s">
        <v>173</v>
      </c>
      <c r="AV1062" s="319" t="s">
        <v>173</v>
      </c>
      <c r="AW1062" s="319" t="s">
        <v>173</v>
      </c>
      <c r="AX1062" s="319" t="s">
        <v>173</v>
      </c>
      <c r="AY1062" s="319" t="s">
        <v>173</v>
      </c>
      <c r="AZ1062" s="319" t="s">
        <v>173</v>
      </c>
      <c r="BA1062" s="319" t="s">
        <v>173</v>
      </c>
      <c r="BB1062" s="319" t="s">
        <v>173</v>
      </c>
      <c r="BC1062" s="319" t="s">
        <v>173</v>
      </c>
      <c r="BD1062" s="319" t="s">
        <v>173</v>
      </c>
      <c r="BE1062" s="319" t="s">
        <v>173</v>
      </c>
      <c r="BF1062" s="319" t="s">
        <v>173</v>
      </c>
      <c r="BG1062" s="319" t="s">
        <v>173</v>
      </c>
      <c r="BH1062" s="319" t="s">
        <v>173</v>
      </c>
      <c r="BI1062" s="319" t="s">
        <v>173</v>
      </c>
      <c r="BJ1062" s="319" t="s">
        <v>173</v>
      </c>
      <c r="BK1062" s="319" t="s">
        <v>173</v>
      </c>
      <c r="BL1062" s="319" t="s">
        <v>173</v>
      </c>
      <c r="BM1062" s="319" t="s">
        <v>173</v>
      </c>
      <c r="BN1062" s="319" t="s">
        <v>173</v>
      </c>
      <c r="BO1062" s="319" t="s">
        <v>173</v>
      </c>
      <c r="BP1062" s="319" t="s">
        <v>173</v>
      </c>
      <c r="BQ1062" s="319" t="s">
        <v>173</v>
      </c>
      <c r="BR1062" s="319" t="s">
        <v>173</v>
      </c>
      <c r="BS1062" s="319" t="s">
        <v>173</v>
      </c>
      <c r="BT1062" s="319" t="s">
        <v>173</v>
      </c>
      <c r="BU1062" s="319" t="s">
        <v>173</v>
      </c>
      <c r="BV1062" s="319" t="s">
        <v>173</v>
      </c>
      <c r="BW1062" s="319" t="s">
        <v>173</v>
      </c>
      <c r="BX1062" s="319" t="s">
        <v>173</v>
      </c>
      <c r="BY1062" s="319" t="s">
        <v>173</v>
      </c>
      <c r="BZ1062" s="319" t="s">
        <v>173</v>
      </c>
      <c r="CA1062" s="319" t="s">
        <v>173</v>
      </c>
      <c r="CB1062" s="319" t="s">
        <v>173</v>
      </c>
      <c r="CC1062" s="319" t="s">
        <v>173</v>
      </c>
      <c r="CD1062" s="319" t="s">
        <v>173</v>
      </c>
      <c r="CE1062" s="319" t="s">
        <v>173</v>
      </c>
      <c r="CF1062" s="319" t="s">
        <v>173</v>
      </c>
      <c r="CG1062" s="319" t="s">
        <v>173</v>
      </c>
      <c r="CH1062" s="319" t="s">
        <v>173</v>
      </c>
      <c r="CI1062" s="319" t="s">
        <v>173</v>
      </c>
      <c r="CJ1062" s="319" t="s">
        <v>173</v>
      </c>
      <c r="CK1062" s="319" t="s">
        <v>173</v>
      </c>
      <c r="CL1062" s="319" t="s">
        <v>173</v>
      </c>
      <c r="CM1062" s="319" t="s">
        <v>173</v>
      </c>
      <c r="CN1062" s="319" t="s">
        <v>173</v>
      </c>
      <c r="CO1062" s="319" t="s">
        <v>173</v>
      </c>
      <c r="CP1062" s="319" t="s">
        <v>173</v>
      </c>
      <c r="CQ1062" s="319" t="s">
        <v>173</v>
      </c>
      <c r="CR1062" s="319" t="s">
        <v>173</v>
      </c>
      <c r="CS1062" s="319" t="s">
        <v>173</v>
      </c>
      <c r="CT1062" s="319" t="s">
        <v>173</v>
      </c>
      <c r="CU1062" s="319" t="s">
        <v>173</v>
      </c>
      <c r="CV1062" s="319" t="s">
        <v>173</v>
      </c>
      <c r="CW1062" s="319" t="s">
        <v>173</v>
      </c>
      <c r="CX1062" s="319" t="s">
        <v>173</v>
      </c>
      <c r="CY1062" s="319" t="s">
        <v>173</v>
      </c>
      <c r="CZ1062" s="319" t="s">
        <v>173</v>
      </c>
      <c r="DA1062" s="319" t="s">
        <v>173</v>
      </c>
      <c r="DB1062" s="319" t="s">
        <v>173</v>
      </c>
      <c r="DC1062" s="319" t="s">
        <v>173</v>
      </c>
      <c r="DD1062" s="319" t="s">
        <v>173</v>
      </c>
      <c r="DE1062" s="319" t="s">
        <v>173</v>
      </c>
      <c r="DF1062" s="319" t="s">
        <v>173</v>
      </c>
      <c r="DG1062" s="319" t="s">
        <v>173</v>
      </c>
      <c r="DH1062" s="319" t="s">
        <v>173</v>
      </c>
      <c r="DI1062" s="319" t="s">
        <v>173</v>
      </c>
      <c r="DJ1062" s="319" t="s">
        <v>173</v>
      </c>
      <c r="DK1062" s="319" t="s">
        <v>173</v>
      </c>
      <c r="DL1062" s="319" t="s">
        <v>173</v>
      </c>
      <c r="DM1062" s="319" t="s">
        <v>173</v>
      </c>
      <c r="DN1062" s="319" t="s">
        <v>173</v>
      </c>
      <c r="DO1062" s="319" t="s">
        <v>173</v>
      </c>
      <c r="DP1062" s="319" t="s">
        <v>173</v>
      </c>
      <c r="DQ1062" s="319" t="s">
        <v>173</v>
      </c>
      <c r="DR1062" s="319" t="s">
        <v>173</v>
      </c>
      <c r="DS1062" s="319" t="s">
        <v>173</v>
      </c>
      <c r="DT1062" s="319" t="s">
        <v>173</v>
      </c>
      <c r="DU1062" s="319" t="s">
        <v>173</v>
      </c>
      <c r="DV1062" s="319" t="s">
        <v>173</v>
      </c>
      <c r="DW1062" s="319" t="s">
        <v>173</v>
      </c>
      <c r="DX1062" s="319" t="s">
        <v>173</v>
      </c>
      <c r="DY1062" s="319" t="s">
        <v>173</v>
      </c>
      <c r="DZ1062" s="319" t="s">
        <v>173</v>
      </c>
      <c r="EA1062" s="319" t="s">
        <v>173</v>
      </c>
      <c r="EB1062" s="319" t="s">
        <v>173</v>
      </c>
      <c r="EC1062" s="319" t="s">
        <v>173</v>
      </c>
      <c r="ED1062" s="319" t="s">
        <v>173</v>
      </c>
      <c r="EE1062" s="319" t="s">
        <v>173</v>
      </c>
      <c r="EF1062" s="319" t="s">
        <v>173</v>
      </c>
      <c r="EG1062" s="319" t="s">
        <v>173</v>
      </c>
      <c r="EH1062" s="319" t="s">
        <v>173</v>
      </c>
      <c r="EI1062" s="319" t="s">
        <v>173</v>
      </c>
      <c r="EJ1062" s="319" t="s">
        <v>173</v>
      </c>
      <c r="EK1062" s="319" t="s">
        <v>173</v>
      </c>
      <c r="EL1062" s="319" t="s">
        <v>173</v>
      </c>
      <c r="EM1062" s="319" t="s">
        <v>173</v>
      </c>
      <c r="EN1062" s="319" t="s">
        <v>173</v>
      </c>
      <c r="EO1062" s="319" t="s">
        <v>173</v>
      </c>
      <c r="EP1062" s="319" t="s">
        <v>173</v>
      </c>
      <c r="EQ1062" s="319" t="s">
        <v>173</v>
      </c>
      <c r="ER1062" s="319" t="s">
        <v>173</v>
      </c>
      <c r="ES1062" s="319" t="s">
        <v>173</v>
      </c>
      <c r="ET1062" s="319" t="s">
        <v>173</v>
      </c>
      <c r="EU1062" s="319" t="s">
        <v>173</v>
      </c>
      <c r="EV1062" s="319" t="s">
        <v>173</v>
      </c>
      <c r="EW1062" s="319" t="s">
        <v>173</v>
      </c>
      <c r="EX1062" s="319" t="s">
        <v>173</v>
      </c>
      <c r="EY1062" s="319" t="s">
        <v>173</v>
      </c>
      <c r="EZ1062" s="319" t="s">
        <v>173</v>
      </c>
      <c r="FA1062" s="319" t="s">
        <v>173</v>
      </c>
      <c r="FB1062" s="319" t="s">
        <v>173</v>
      </c>
      <c r="FC1062" s="319" t="s">
        <v>173</v>
      </c>
      <c r="FD1062" s="319" t="s">
        <v>173</v>
      </c>
      <c r="FE1062" s="319" t="s">
        <v>173</v>
      </c>
      <c r="FF1062" s="319" t="s">
        <v>173</v>
      </c>
      <c r="FG1062" s="319" t="s">
        <v>173</v>
      </c>
      <c r="FH1062" s="319" t="s">
        <v>173</v>
      </c>
      <c r="FI1062" s="319" t="s">
        <v>173</v>
      </c>
      <c r="FJ1062" s="319" t="s">
        <v>173</v>
      </c>
      <c r="FK1062" s="319" t="s">
        <v>173</v>
      </c>
      <c r="FL1062" s="319" t="s">
        <v>173</v>
      </c>
      <c r="FM1062" s="319" t="s">
        <v>173</v>
      </c>
      <c r="FN1062" s="319" t="s">
        <v>173</v>
      </c>
      <c r="FO1062" s="319" t="s">
        <v>173</v>
      </c>
      <c r="FP1062" s="319" t="s">
        <v>173</v>
      </c>
      <c r="FQ1062" s="319" t="s">
        <v>173</v>
      </c>
      <c r="FR1062" s="319" t="s">
        <v>173</v>
      </c>
      <c r="FS1062" s="319" t="s">
        <v>173</v>
      </c>
      <c r="FT1062" s="319" t="s">
        <v>173</v>
      </c>
      <c r="FU1062" s="319" t="s">
        <v>173</v>
      </c>
      <c r="FV1062" s="319" t="s">
        <v>173</v>
      </c>
      <c r="FW1062" s="319" t="s">
        <v>173</v>
      </c>
      <c r="FX1062" s="319" t="s">
        <v>173</v>
      </c>
      <c r="FY1062" s="319" t="s">
        <v>173</v>
      </c>
      <c r="FZ1062" s="319" t="s">
        <v>173</v>
      </c>
      <c r="GA1062" s="319" t="s">
        <v>173</v>
      </c>
      <c r="GB1062" s="319" t="s">
        <v>173</v>
      </c>
      <c r="GC1062" s="319" t="s">
        <v>173</v>
      </c>
      <c r="GD1062" s="319" t="s">
        <v>173</v>
      </c>
      <c r="GE1062" s="319" t="s">
        <v>173</v>
      </c>
      <c r="GF1062" s="319" t="s">
        <v>173</v>
      </c>
      <c r="GG1062" s="319" t="s">
        <v>173</v>
      </c>
      <c r="GH1062" s="319" t="s">
        <v>173</v>
      </c>
      <c r="GI1062" s="319" t="s">
        <v>173</v>
      </c>
      <c r="GJ1062" s="319" t="s">
        <v>173</v>
      </c>
      <c r="GK1062" s="319" t="s">
        <v>173</v>
      </c>
      <c r="GL1062" s="319" t="s">
        <v>173</v>
      </c>
      <c r="GM1062" s="319" t="s">
        <v>173</v>
      </c>
      <c r="GN1062" s="319" t="s">
        <v>173</v>
      </c>
      <c r="GO1062" s="319" t="s">
        <v>173</v>
      </c>
      <c r="GP1062" s="319" t="s">
        <v>173</v>
      </c>
      <c r="GQ1062" s="319" t="s">
        <v>173</v>
      </c>
      <c r="GR1062" s="319" t="s">
        <v>173</v>
      </c>
      <c r="GS1062" s="319" t="s">
        <v>173</v>
      </c>
      <c r="GT1062" s="319" t="s">
        <v>173</v>
      </c>
      <c r="GU1062" s="319" t="s">
        <v>173</v>
      </c>
      <c r="GV1062" s="319" t="s">
        <v>173</v>
      </c>
      <c r="GW1062" s="319" t="s">
        <v>173</v>
      </c>
      <c r="GX1062" s="319" t="s">
        <v>173</v>
      </c>
      <c r="GY1062" s="319" t="s">
        <v>173</v>
      </c>
      <c r="GZ1062" s="319" t="s">
        <v>173</v>
      </c>
      <c r="HA1062" s="319" t="s">
        <v>173</v>
      </c>
      <c r="HB1062" s="319" t="s">
        <v>173</v>
      </c>
      <c r="HC1062" s="319" t="s">
        <v>173</v>
      </c>
      <c r="HD1062" s="319" t="s">
        <v>173</v>
      </c>
      <c r="HE1062" s="319" t="s">
        <v>173</v>
      </c>
      <c r="HF1062" s="319" t="s">
        <v>173</v>
      </c>
      <c r="HG1062" s="319" t="s">
        <v>173</v>
      </c>
      <c r="HH1062" s="319" t="s">
        <v>173</v>
      </c>
      <c r="HI1062" s="319" t="s">
        <v>173</v>
      </c>
      <c r="HJ1062" s="319" t="s">
        <v>173</v>
      </c>
      <c r="HK1062" s="319" t="s">
        <v>173</v>
      </c>
      <c r="HL1062" s="319" t="s">
        <v>173</v>
      </c>
      <c r="HM1062" s="319" t="s">
        <v>173</v>
      </c>
      <c r="HN1062" s="319" t="s">
        <v>173</v>
      </c>
      <c r="HO1062" s="319" t="s">
        <v>173</v>
      </c>
      <c r="HP1062" s="319" t="s">
        <v>173</v>
      </c>
      <c r="HQ1062" s="319" t="s">
        <v>173</v>
      </c>
      <c r="HR1062" s="319" t="s">
        <v>173</v>
      </c>
      <c r="HS1062" s="319" t="s">
        <v>173</v>
      </c>
      <c r="HT1062" s="319" t="s">
        <v>173</v>
      </c>
      <c r="HU1062" s="319" t="s">
        <v>173</v>
      </c>
      <c r="HV1062" s="319" t="s">
        <v>173</v>
      </c>
      <c r="HW1062" s="319" t="s">
        <v>173</v>
      </c>
      <c r="HX1062" s="319" t="s">
        <v>173</v>
      </c>
      <c r="HY1062" s="319" t="s">
        <v>173</v>
      </c>
      <c r="HZ1062" s="319" t="s">
        <v>173</v>
      </c>
      <c r="IA1062" s="319" t="s">
        <v>173</v>
      </c>
      <c r="IB1062" s="319" t="s">
        <v>173</v>
      </c>
      <c r="IC1062" s="319" t="s">
        <v>173</v>
      </c>
      <c r="ID1062" s="319" t="s">
        <v>173</v>
      </c>
      <c r="IE1062" s="319" t="s">
        <v>173</v>
      </c>
      <c r="IF1062" s="319" t="s">
        <v>173</v>
      </c>
      <c r="IG1062" s="319" t="s">
        <v>173</v>
      </c>
      <c r="IH1062" s="319" t="s">
        <v>173</v>
      </c>
      <c r="II1062" s="319" t="s">
        <v>173</v>
      </c>
      <c r="IJ1062" s="319" t="s">
        <v>173</v>
      </c>
      <c r="IK1062" s="319" t="s">
        <v>173</v>
      </c>
      <c r="IL1062" s="319" t="s">
        <v>173</v>
      </c>
      <c r="IM1062" s="319" t="s">
        <v>173</v>
      </c>
      <c r="IN1062" s="319" t="s">
        <v>173</v>
      </c>
      <c r="IO1062" s="319" t="s">
        <v>173</v>
      </c>
      <c r="IP1062" s="319" t="s">
        <v>173</v>
      </c>
      <c r="IQ1062" s="321" t="s">
        <v>173</v>
      </c>
      <c r="IR1062" s="320" t="s">
        <v>173</v>
      </c>
      <c r="IS1062" s="322" t="s">
        <v>173</v>
      </c>
      <c r="IT1062" s="319" t="s">
        <v>173</v>
      </c>
    </row>
    <row r="1063" spans="1:254" s="271" customFormat="1" x14ac:dyDescent="0.25">
      <c r="A1063" s="318" t="str">
        <f>HYPERLINK("http://www.ofsted.gov.uk/inspection-reports/find-inspection-report/provider/ELS/147038 ","Ofsted School Webpage")</f>
        <v>Ofsted School Webpage</v>
      </c>
      <c r="B1063" s="319">
        <v>147038</v>
      </c>
      <c r="C1063" s="319">
        <v>3306052</v>
      </c>
      <c r="D1063" s="319" t="s">
        <v>3629</v>
      </c>
      <c r="E1063" s="319" t="s">
        <v>167</v>
      </c>
      <c r="F1063" s="319" t="s">
        <v>434</v>
      </c>
      <c r="G1063" s="319" t="s">
        <v>71</v>
      </c>
      <c r="H1063" s="319" t="s">
        <v>71</v>
      </c>
      <c r="I1063" s="319" t="s">
        <v>72</v>
      </c>
      <c r="J1063" s="319" t="s">
        <v>424</v>
      </c>
      <c r="K1063" s="319" t="s">
        <v>437</v>
      </c>
      <c r="L1063" s="319" t="s">
        <v>437</v>
      </c>
      <c r="M1063" s="319" t="s">
        <v>813</v>
      </c>
      <c r="N1063" s="319" t="s">
        <v>2853</v>
      </c>
      <c r="O1063" s="319" t="s">
        <v>3630</v>
      </c>
      <c r="P1063" s="319" t="s">
        <v>173</v>
      </c>
      <c r="Q1063" s="319" t="s">
        <v>2766</v>
      </c>
      <c r="R1063" s="320" t="s">
        <v>173</v>
      </c>
      <c r="S1063" s="321" t="s">
        <v>173</v>
      </c>
      <c r="T1063" s="321" t="s">
        <v>173</v>
      </c>
      <c r="U1063" s="321" t="s">
        <v>173</v>
      </c>
      <c r="V1063" s="319" t="s">
        <v>173</v>
      </c>
      <c r="W1063" s="319" t="s">
        <v>173</v>
      </c>
      <c r="X1063" s="319" t="s">
        <v>173</v>
      </c>
      <c r="Y1063" s="319" t="s">
        <v>173</v>
      </c>
      <c r="Z1063" s="319" t="s">
        <v>173</v>
      </c>
      <c r="AA1063" s="319" t="s">
        <v>173</v>
      </c>
      <c r="AB1063" s="319" t="s">
        <v>173</v>
      </c>
      <c r="AC1063" s="319" t="s">
        <v>173</v>
      </c>
      <c r="AD1063" s="319" t="s">
        <v>173</v>
      </c>
      <c r="AE1063" s="319" t="s">
        <v>173</v>
      </c>
      <c r="AF1063" s="319" t="s">
        <v>173</v>
      </c>
      <c r="AG1063" s="319" t="s">
        <v>173</v>
      </c>
      <c r="AH1063" s="319" t="s">
        <v>173</v>
      </c>
      <c r="AI1063" s="319" t="s">
        <v>173</v>
      </c>
      <c r="AJ1063" s="319" t="s">
        <v>173</v>
      </c>
      <c r="AK1063" s="319" t="s">
        <v>173</v>
      </c>
      <c r="AL1063" s="319" t="s">
        <v>173</v>
      </c>
      <c r="AM1063" s="319" t="s">
        <v>173</v>
      </c>
      <c r="AN1063" s="319" t="s">
        <v>173</v>
      </c>
      <c r="AO1063" s="319" t="s">
        <v>173</v>
      </c>
      <c r="AP1063" s="319" t="s">
        <v>173</v>
      </c>
      <c r="AQ1063" s="319" t="s">
        <v>173</v>
      </c>
      <c r="AR1063" s="319" t="s">
        <v>173</v>
      </c>
      <c r="AS1063" s="319" t="s">
        <v>173</v>
      </c>
      <c r="AT1063" s="319" t="s">
        <v>173</v>
      </c>
      <c r="AU1063" s="319" t="s">
        <v>173</v>
      </c>
      <c r="AV1063" s="319" t="s">
        <v>173</v>
      </c>
      <c r="AW1063" s="319" t="s">
        <v>173</v>
      </c>
      <c r="AX1063" s="319" t="s">
        <v>173</v>
      </c>
      <c r="AY1063" s="319" t="s">
        <v>173</v>
      </c>
      <c r="AZ1063" s="319" t="s">
        <v>173</v>
      </c>
      <c r="BA1063" s="319" t="s">
        <v>173</v>
      </c>
      <c r="BB1063" s="319" t="s">
        <v>173</v>
      </c>
      <c r="BC1063" s="319" t="s">
        <v>173</v>
      </c>
      <c r="BD1063" s="319" t="s">
        <v>173</v>
      </c>
      <c r="BE1063" s="319" t="s">
        <v>173</v>
      </c>
      <c r="BF1063" s="319" t="s">
        <v>173</v>
      </c>
      <c r="BG1063" s="319" t="s">
        <v>173</v>
      </c>
      <c r="BH1063" s="319" t="s">
        <v>173</v>
      </c>
      <c r="BI1063" s="319" t="s">
        <v>173</v>
      </c>
      <c r="BJ1063" s="319" t="s">
        <v>173</v>
      </c>
      <c r="BK1063" s="319" t="s">
        <v>173</v>
      </c>
      <c r="BL1063" s="319" t="s">
        <v>173</v>
      </c>
      <c r="BM1063" s="319" t="s">
        <v>173</v>
      </c>
      <c r="BN1063" s="319" t="s">
        <v>173</v>
      </c>
      <c r="BO1063" s="319" t="s">
        <v>173</v>
      </c>
      <c r="BP1063" s="319" t="s">
        <v>173</v>
      </c>
      <c r="BQ1063" s="319" t="s">
        <v>173</v>
      </c>
      <c r="BR1063" s="319" t="s">
        <v>173</v>
      </c>
      <c r="BS1063" s="319" t="s">
        <v>173</v>
      </c>
      <c r="BT1063" s="319" t="s">
        <v>173</v>
      </c>
      <c r="BU1063" s="319" t="s">
        <v>173</v>
      </c>
      <c r="BV1063" s="319" t="s">
        <v>173</v>
      </c>
      <c r="BW1063" s="319" t="s">
        <v>173</v>
      </c>
      <c r="BX1063" s="319" t="s">
        <v>173</v>
      </c>
      <c r="BY1063" s="319" t="s">
        <v>173</v>
      </c>
      <c r="BZ1063" s="319" t="s">
        <v>173</v>
      </c>
      <c r="CA1063" s="319" t="s">
        <v>173</v>
      </c>
      <c r="CB1063" s="319" t="s">
        <v>173</v>
      </c>
      <c r="CC1063" s="319" t="s">
        <v>173</v>
      </c>
      <c r="CD1063" s="319" t="s">
        <v>173</v>
      </c>
      <c r="CE1063" s="319" t="s">
        <v>173</v>
      </c>
      <c r="CF1063" s="319" t="s">
        <v>173</v>
      </c>
      <c r="CG1063" s="319" t="s">
        <v>173</v>
      </c>
      <c r="CH1063" s="319" t="s">
        <v>173</v>
      </c>
      <c r="CI1063" s="319" t="s">
        <v>173</v>
      </c>
      <c r="CJ1063" s="319" t="s">
        <v>173</v>
      </c>
      <c r="CK1063" s="319" t="s">
        <v>173</v>
      </c>
      <c r="CL1063" s="319" t="s">
        <v>173</v>
      </c>
      <c r="CM1063" s="319" t="s">
        <v>173</v>
      </c>
      <c r="CN1063" s="319" t="s">
        <v>173</v>
      </c>
      <c r="CO1063" s="319" t="s">
        <v>173</v>
      </c>
      <c r="CP1063" s="319" t="s">
        <v>173</v>
      </c>
      <c r="CQ1063" s="319" t="s">
        <v>173</v>
      </c>
      <c r="CR1063" s="319" t="s">
        <v>173</v>
      </c>
      <c r="CS1063" s="319" t="s">
        <v>173</v>
      </c>
      <c r="CT1063" s="319" t="s">
        <v>173</v>
      </c>
      <c r="CU1063" s="319" t="s">
        <v>173</v>
      </c>
      <c r="CV1063" s="319" t="s">
        <v>173</v>
      </c>
      <c r="CW1063" s="319" t="s">
        <v>173</v>
      </c>
      <c r="CX1063" s="319" t="s">
        <v>173</v>
      </c>
      <c r="CY1063" s="319" t="s">
        <v>173</v>
      </c>
      <c r="CZ1063" s="319" t="s">
        <v>173</v>
      </c>
      <c r="DA1063" s="319" t="s">
        <v>173</v>
      </c>
      <c r="DB1063" s="319" t="s">
        <v>173</v>
      </c>
      <c r="DC1063" s="319" t="s">
        <v>173</v>
      </c>
      <c r="DD1063" s="319" t="s">
        <v>173</v>
      </c>
      <c r="DE1063" s="319" t="s">
        <v>173</v>
      </c>
      <c r="DF1063" s="319" t="s">
        <v>173</v>
      </c>
      <c r="DG1063" s="319" t="s">
        <v>173</v>
      </c>
      <c r="DH1063" s="319" t="s">
        <v>173</v>
      </c>
      <c r="DI1063" s="319" t="s">
        <v>173</v>
      </c>
      <c r="DJ1063" s="319" t="s">
        <v>173</v>
      </c>
      <c r="DK1063" s="319" t="s">
        <v>173</v>
      </c>
      <c r="DL1063" s="319" t="s">
        <v>173</v>
      </c>
      <c r="DM1063" s="319" t="s">
        <v>173</v>
      </c>
      <c r="DN1063" s="319" t="s">
        <v>173</v>
      </c>
      <c r="DO1063" s="319" t="s">
        <v>173</v>
      </c>
      <c r="DP1063" s="319" t="s">
        <v>173</v>
      </c>
      <c r="DQ1063" s="319" t="s">
        <v>173</v>
      </c>
      <c r="DR1063" s="319" t="s">
        <v>173</v>
      </c>
      <c r="DS1063" s="319" t="s">
        <v>173</v>
      </c>
      <c r="DT1063" s="319" t="s">
        <v>173</v>
      </c>
      <c r="DU1063" s="319" t="s">
        <v>173</v>
      </c>
      <c r="DV1063" s="319" t="s">
        <v>173</v>
      </c>
      <c r="DW1063" s="319" t="s">
        <v>173</v>
      </c>
      <c r="DX1063" s="319" t="s">
        <v>173</v>
      </c>
      <c r="DY1063" s="319" t="s">
        <v>173</v>
      </c>
      <c r="DZ1063" s="319" t="s">
        <v>173</v>
      </c>
      <c r="EA1063" s="319" t="s">
        <v>173</v>
      </c>
      <c r="EB1063" s="319" t="s">
        <v>173</v>
      </c>
      <c r="EC1063" s="319" t="s">
        <v>173</v>
      </c>
      <c r="ED1063" s="319" t="s">
        <v>173</v>
      </c>
      <c r="EE1063" s="319" t="s">
        <v>173</v>
      </c>
      <c r="EF1063" s="319" t="s">
        <v>173</v>
      </c>
      <c r="EG1063" s="319" t="s">
        <v>173</v>
      </c>
      <c r="EH1063" s="319" t="s">
        <v>173</v>
      </c>
      <c r="EI1063" s="319" t="s">
        <v>173</v>
      </c>
      <c r="EJ1063" s="319" t="s">
        <v>173</v>
      </c>
      <c r="EK1063" s="319" t="s">
        <v>173</v>
      </c>
      <c r="EL1063" s="319" t="s">
        <v>173</v>
      </c>
      <c r="EM1063" s="319" t="s">
        <v>173</v>
      </c>
      <c r="EN1063" s="319" t="s">
        <v>173</v>
      </c>
      <c r="EO1063" s="319" t="s">
        <v>173</v>
      </c>
      <c r="EP1063" s="319" t="s">
        <v>173</v>
      </c>
      <c r="EQ1063" s="319" t="s">
        <v>173</v>
      </c>
      <c r="ER1063" s="319" t="s">
        <v>173</v>
      </c>
      <c r="ES1063" s="319" t="s">
        <v>173</v>
      </c>
      <c r="ET1063" s="319" t="s">
        <v>173</v>
      </c>
      <c r="EU1063" s="319" t="s">
        <v>173</v>
      </c>
      <c r="EV1063" s="319" t="s">
        <v>173</v>
      </c>
      <c r="EW1063" s="319" t="s">
        <v>173</v>
      </c>
      <c r="EX1063" s="319" t="s">
        <v>173</v>
      </c>
      <c r="EY1063" s="319" t="s">
        <v>173</v>
      </c>
      <c r="EZ1063" s="319" t="s">
        <v>173</v>
      </c>
      <c r="FA1063" s="319" t="s">
        <v>173</v>
      </c>
      <c r="FB1063" s="319" t="s">
        <v>173</v>
      </c>
      <c r="FC1063" s="319" t="s">
        <v>173</v>
      </c>
      <c r="FD1063" s="319" t="s">
        <v>173</v>
      </c>
      <c r="FE1063" s="319" t="s">
        <v>173</v>
      </c>
      <c r="FF1063" s="319" t="s">
        <v>173</v>
      </c>
      <c r="FG1063" s="319" t="s">
        <v>173</v>
      </c>
      <c r="FH1063" s="319" t="s">
        <v>173</v>
      </c>
      <c r="FI1063" s="319" t="s">
        <v>173</v>
      </c>
      <c r="FJ1063" s="319" t="s">
        <v>173</v>
      </c>
      <c r="FK1063" s="319" t="s">
        <v>173</v>
      </c>
      <c r="FL1063" s="319" t="s">
        <v>173</v>
      </c>
      <c r="FM1063" s="319" t="s">
        <v>173</v>
      </c>
      <c r="FN1063" s="319" t="s">
        <v>173</v>
      </c>
      <c r="FO1063" s="319" t="s">
        <v>173</v>
      </c>
      <c r="FP1063" s="319" t="s">
        <v>173</v>
      </c>
      <c r="FQ1063" s="319" t="s">
        <v>173</v>
      </c>
      <c r="FR1063" s="319" t="s">
        <v>173</v>
      </c>
      <c r="FS1063" s="319" t="s">
        <v>173</v>
      </c>
      <c r="FT1063" s="319" t="s">
        <v>173</v>
      </c>
      <c r="FU1063" s="319" t="s">
        <v>173</v>
      </c>
      <c r="FV1063" s="319" t="s">
        <v>173</v>
      </c>
      <c r="FW1063" s="319" t="s">
        <v>173</v>
      </c>
      <c r="FX1063" s="319" t="s">
        <v>173</v>
      </c>
      <c r="FY1063" s="319" t="s">
        <v>173</v>
      </c>
      <c r="FZ1063" s="319" t="s">
        <v>173</v>
      </c>
      <c r="GA1063" s="319" t="s">
        <v>173</v>
      </c>
      <c r="GB1063" s="319" t="s">
        <v>173</v>
      </c>
      <c r="GC1063" s="319" t="s">
        <v>173</v>
      </c>
      <c r="GD1063" s="319" t="s">
        <v>173</v>
      </c>
      <c r="GE1063" s="319" t="s">
        <v>173</v>
      </c>
      <c r="GF1063" s="319" t="s">
        <v>173</v>
      </c>
      <c r="GG1063" s="319" t="s">
        <v>173</v>
      </c>
      <c r="GH1063" s="319" t="s">
        <v>173</v>
      </c>
      <c r="GI1063" s="319" t="s">
        <v>173</v>
      </c>
      <c r="GJ1063" s="319" t="s">
        <v>173</v>
      </c>
      <c r="GK1063" s="319" t="s">
        <v>173</v>
      </c>
      <c r="GL1063" s="319" t="s">
        <v>173</v>
      </c>
      <c r="GM1063" s="319" t="s">
        <v>173</v>
      </c>
      <c r="GN1063" s="319" t="s">
        <v>173</v>
      </c>
      <c r="GO1063" s="319" t="s">
        <v>173</v>
      </c>
      <c r="GP1063" s="319" t="s">
        <v>173</v>
      </c>
      <c r="GQ1063" s="319" t="s">
        <v>173</v>
      </c>
      <c r="GR1063" s="319" t="s">
        <v>173</v>
      </c>
      <c r="GS1063" s="319" t="s">
        <v>173</v>
      </c>
      <c r="GT1063" s="319" t="s">
        <v>173</v>
      </c>
      <c r="GU1063" s="319" t="s">
        <v>173</v>
      </c>
      <c r="GV1063" s="319" t="s">
        <v>173</v>
      </c>
      <c r="GW1063" s="319" t="s">
        <v>173</v>
      </c>
      <c r="GX1063" s="319" t="s">
        <v>173</v>
      </c>
      <c r="GY1063" s="319" t="s">
        <v>173</v>
      </c>
      <c r="GZ1063" s="319" t="s">
        <v>173</v>
      </c>
      <c r="HA1063" s="319" t="s">
        <v>173</v>
      </c>
      <c r="HB1063" s="319" t="s">
        <v>173</v>
      </c>
      <c r="HC1063" s="319" t="s">
        <v>173</v>
      </c>
      <c r="HD1063" s="319" t="s">
        <v>173</v>
      </c>
      <c r="HE1063" s="319" t="s">
        <v>173</v>
      </c>
      <c r="HF1063" s="319" t="s">
        <v>173</v>
      </c>
      <c r="HG1063" s="319" t="s">
        <v>173</v>
      </c>
      <c r="HH1063" s="319" t="s">
        <v>173</v>
      </c>
      <c r="HI1063" s="319" t="s">
        <v>173</v>
      </c>
      <c r="HJ1063" s="319" t="s">
        <v>173</v>
      </c>
      <c r="HK1063" s="319" t="s">
        <v>173</v>
      </c>
      <c r="HL1063" s="319" t="s">
        <v>173</v>
      </c>
      <c r="HM1063" s="319" t="s">
        <v>173</v>
      </c>
      <c r="HN1063" s="319" t="s">
        <v>173</v>
      </c>
      <c r="HO1063" s="319" t="s">
        <v>173</v>
      </c>
      <c r="HP1063" s="319" t="s">
        <v>173</v>
      </c>
      <c r="HQ1063" s="319" t="s">
        <v>173</v>
      </c>
      <c r="HR1063" s="319" t="s">
        <v>173</v>
      </c>
      <c r="HS1063" s="319" t="s">
        <v>173</v>
      </c>
      <c r="HT1063" s="319" t="s">
        <v>173</v>
      </c>
      <c r="HU1063" s="319" t="s">
        <v>173</v>
      </c>
      <c r="HV1063" s="319" t="s">
        <v>173</v>
      </c>
      <c r="HW1063" s="319" t="s">
        <v>173</v>
      </c>
      <c r="HX1063" s="319" t="s">
        <v>173</v>
      </c>
      <c r="HY1063" s="319" t="s">
        <v>173</v>
      </c>
      <c r="HZ1063" s="319" t="s">
        <v>173</v>
      </c>
      <c r="IA1063" s="319" t="s">
        <v>173</v>
      </c>
      <c r="IB1063" s="319" t="s">
        <v>173</v>
      </c>
      <c r="IC1063" s="319" t="s">
        <v>173</v>
      </c>
      <c r="ID1063" s="319" t="s">
        <v>173</v>
      </c>
      <c r="IE1063" s="319" t="s">
        <v>173</v>
      </c>
      <c r="IF1063" s="319" t="s">
        <v>173</v>
      </c>
      <c r="IG1063" s="319" t="s">
        <v>173</v>
      </c>
      <c r="IH1063" s="319" t="s">
        <v>173</v>
      </c>
      <c r="II1063" s="319" t="s">
        <v>173</v>
      </c>
      <c r="IJ1063" s="319" t="s">
        <v>173</v>
      </c>
      <c r="IK1063" s="319" t="s">
        <v>173</v>
      </c>
      <c r="IL1063" s="319" t="s">
        <v>173</v>
      </c>
      <c r="IM1063" s="319" t="s">
        <v>173</v>
      </c>
      <c r="IN1063" s="319" t="s">
        <v>173</v>
      </c>
      <c r="IO1063" s="319" t="s">
        <v>173</v>
      </c>
      <c r="IP1063" s="319" t="s">
        <v>173</v>
      </c>
      <c r="IQ1063" s="319" t="s">
        <v>173</v>
      </c>
      <c r="IR1063" s="320" t="s">
        <v>173</v>
      </c>
      <c r="IS1063" s="320" t="s">
        <v>173</v>
      </c>
      <c r="IT1063" s="319" t="s">
        <v>173</v>
      </c>
    </row>
    <row r="1064" spans="1:254" s="271" customFormat="1" x14ac:dyDescent="0.25">
      <c r="A1064" s="318" t="str">
        <f>HYPERLINK("http://www.ofsted.gov.uk/inspection-reports/find-inspection-report/provider/ELS/147060 ","Ofsted School Webpage")</f>
        <v>Ofsted School Webpage</v>
      </c>
      <c r="B1064" s="319">
        <v>147060</v>
      </c>
      <c r="C1064" s="319">
        <v>3096007</v>
      </c>
      <c r="D1064" s="319" t="s">
        <v>3631</v>
      </c>
      <c r="E1064" s="319" t="s">
        <v>167</v>
      </c>
      <c r="F1064" s="319" t="s">
        <v>81</v>
      </c>
      <c r="G1064" s="319" t="s">
        <v>81</v>
      </c>
      <c r="H1064" s="319" t="s">
        <v>81</v>
      </c>
      <c r="I1064" s="319" t="s">
        <v>78</v>
      </c>
      <c r="J1064" s="319" t="s">
        <v>424</v>
      </c>
      <c r="K1064" s="319" t="s">
        <v>441</v>
      </c>
      <c r="L1064" s="319" t="s">
        <v>441</v>
      </c>
      <c r="M1064" s="319" t="s">
        <v>527</v>
      </c>
      <c r="N1064" s="319" t="s">
        <v>2837</v>
      </c>
      <c r="O1064" s="319" t="s">
        <v>3632</v>
      </c>
      <c r="P1064" s="319" t="s">
        <v>173</v>
      </c>
      <c r="Q1064" s="319" t="s">
        <v>2766</v>
      </c>
      <c r="R1064" s="320" t="s">
        <v>173</v>
      </c>
      <c r="S1064" s="321" t="s">
        <v>173</v>
      </c>
      <c r="T1064" s="321" t="s">
        <v>173</v>
      </c>
      <c r="U1064" s="321" t="s">
        <v>173</v>
      </c>
      <c r="V1064" s="319" t="s">
        <v>173</v>
      </c>
      <c r="W1064" s="319" t="s">
        <v>173</v>
      </c>
      <c r="X1064" s="319" t="s">
        <v>173</v>
      </c>
      <c r="Y1064" s="319" t="s">
        <v>173</v>
      </c>
      <c r="Z1064" s="319" t="s">
        <v>173</v>
      </c>
      <c r="AA1064" s="319" t="s">
        <v>173</v>
      </c>
      <c r="AB1064" s="319" t="s">
        <v>173</v>
      </c>
      <c r="AC1064" s="319" t="s">
        <v>173</v>
      </c>
      <c r="AD1064" s="319" t="s">
        <v>173</v>
      </c>
      <c r="AE1064" s="319" t="s">
        <v>173</v>
      </c>
      <c r="AF1064" s="319" t="s">
        <v>173</v>
      </c>
      <c r="AG1064" s="319" t="s">
        <v>173</v>
      </c>
      <c r="AH1064" s="319" t="s">
        <v>173</v>
      </c>
      <c r="AI1064" s="319" t="s">
        <v>173</v>
      </c>
      <c r="AJ1064" s="319" t="s">
        <v>173</v>
      </c>
      <c r="AK1064" s="319" t="s">
        <v>173</v>
      </c>
      <c r="AL1064" s="319" t="s">
        <v>173</v>
      </c>
      <c r="AM1064" s="319" t="s">
        <v>173</v>
      </c>
      <c r="AN1064" s="319" t="s">
        <v>173</v>
      </c>
      <c r="AO1064" s="319" t="s">
        <v>173</v>
      </c>
      <c r="AP1064" s="319" t="s">
        <v>173</v>
      </c>
      <c r="AQ1064" s="319" t="s">
        <v>173</v>
      </c>
      <c r="AR1064" s="319" t="s">
        <v>173</v>
      </c>
      <c r="AS1064" s="319" t="s">
        <v>173</v>
      </c>
      <c r="AT1064" s="319" t="s">
        <v>173</v>
      </c>
      <c r="AU1064" s="319" t="s">
        <v>173</v>
      </c>
      <c r="AV1064" s="319" t="s">
        <v>173</v>
      </c>
      <c r="AW1064" s="319" t="s">
        <v>173</v>
      </c>
      <c r="AX1064" s="319" t="s">
        <v>173</v>
      </c>
      <c r="AY1064" s="319" t="s">
        <v>173</v>
      </c>
      <c r="AZ1064" s="319" t="s">
        <v>173</v>
      </c>
      <c r="BA1064" s="319" t="s">
        <v>173</v>
      </c>
      <c r="BB1064" s="319" t="s">
        <v>173</v>
      </c>
      <c r="BC1064" s="319" t="s">
        <v>173</v>
      </c>
      <c r="BD1064" s="319" t="s">
        <v>173</v>
      </c>
      <c r="BE1064" s="319" t="s">
        <v>173</v>
      </c>
      <c r="BF1064" s="319" t="s">
        <v>173</v>
      </c>
      <c r="BG1064" s="319" t="s">
        <v>173</v>
      </c>
      <c r="BH1064" s="319" t="s">
        <v>173</v>
      </c>
      <c r="BI1064" s="319" t="s">
        <v>173</v>
      </c>
      <c r="BJ1064" s="319" t="s">
        <v>173</v>
      </c>
      <c r="BK1064" s="319" t="s">
        <v>173</v>
      </c>
      <c r="BL1064" s="319" t="s">
        <v>173</v>
      </c>
      <c r="BM1064" s="319" t="s">
        <v>173</v>
      </c>
      <c r="BN1064" s="319" t="s">
        <v>173</v>
      </c>
      <c r="BO1064" s="319" t="s">
        <v>173</v>
      </c>
      <c r="BP1064" s="319" t="s">
        <v>173</v>
      </c>
      <c r="BQ1064" s="319" t="s">
        <v>173</v>
      </c>
      <c r="BR1064" s="319" t="s">
        <v>173</v>
      </c>
      <c r="BS1064" s="319" t="s">
        <v>173</v>
      </c>
      <c r="BT1064" s="319" t="s">
        <v>173</v>
      </c>
      <c r="BU1064" s="319" t="s">
        <v>173</v>
      </c>
      <c r="BV1064" s="319" t="s">
        <v>173</v>
      </c>
      <c r="BW1064" s="319" t="s">
        <v>173</v>
      </c>
      <c r="BX1064" s="319" t="s">
        <v>173</v>
      </c>
      <c r="BY1064" s="319" t="s">
        <v>173</v>
      </c>
      <c r="BZ1064" s="319" t="s">
        <v>173</v>
      </c>
      <c r="CA1064" s="319" t="s">
        <v>173</v>
      </c>
      <c r="CB1064" s="319" t="s">
        <v>173</v>
      </c>
      <c r="CC1064" s="319" t="s">
        <v>173</v>
      </c>
      <c r="CD1064" s="319" t="s">
        <v>173</v>
      </c>
      <c r="CE1064" s="319" t="s">
        <v>173</v>
      </c>
      <c r="CF1064" s="319" t="s">
        <v>173</v>
      </c>
      <c r="CG1064" s="319" t="s">
        <v>173</v>
      </c>
      <c r="CH1064" s="319" t="s">
        <v>173</v>
      </c>
      <c r="CI1064" s="319" t="s">
        <v>173</v>
      </c>
      <c r="CJ1064" s="319" t="s">
        <v>173</v>
      </c>
      <c r="CK1064" s="319" t="s">
        <v>173</v>
      </c>
      <c r="CL1064" s="319" t="s">
        <v>173</v>
      </c>
      <c r="CM1064" s="319" t="s">
        <v>173</v>
      </c>
      <c r="CN1064" s="319" t="s">
        <v>173</v>
      </c>
      <c r="CO1064" s="319" t="s">
        <v>173</v>
      </c>
      <c r="CP1064" s="319" t="s">
        <v>173</v>
      </c>
      <c r="CQ1064" s="319" t="s">
        <v>173</v>
      </c>
      <c r="CR1064" s="319" t="s">
        <v>173</v>
      </c>
      <c r="CS1064" s="319" t="s">
        <v>173</v>
      </c>
      <c r="CT1064" s="319" t="s">
        <v>173</v>
      </c>
      <c r="CU1064" s="319" t="s">
        <v>173</v>
      </c>
      <c r="CV1064" s="319" t="s">
        <v>173</v>
      </c>
      <c r="CW1064" s="319" t="s">
        <v>173</v>
      </c>
      <c r="CX1064" s="319" t="s">
        <v>173</v>
      </c>
      <c r="CY1064" s="319" t="s">
        <v>173</v>
      </c>
      <c r="CZ1064" s="319" t="s">
        <v>173</v>
      </c>
      <c r="DA1064" s="319" t="s">
        <v>173</v>
      </c>
      <c r="DB1064" s="319" t="s">
        <v>173</v>
      </c>
      <c r="DC1064" s="319" t="s">
        <v>173</v>
      </c>
      <c r="DD1064" s="319" t="s">
        <v>173</v>
      </c>
      <c r="DE1064" s="319" t="s">
        <v>173</v>
      </c>
      <c r="DF1064" s="319" t="s">
        <v>173</v>
      </c>
      <c r="DG1064" s="319" t="s">
        <v>173</v>
      </c>
      <c r="DH1064" s="319" t="s">
        <v>173</v>
      </c>
      <c r="DI1064" s="319" t="s">
        <v>173</v>
      </c>
      <c r="DJ1064" s="319" t="s">
        <v>173</v>
      </c>
      <c r="DK1064" s="319" t="s">
        <v>173</v>
      </c>
      <c r="DL1064" s="319" t="s">
        <v>173</v>
      </c>
      <c r="DM1064" s="319" t="s">
        <v>173</v>
      </c>
      <c r="DN1064" s="319" t="s">
        <v>173</v>
      </c>
      <c r="DO1064" s="319" t="s">
        <v>173</v>
      </c>
      <c r="DP1064" s="319" t="s">
        <v>173</v>
      </c>
      <c r="DQ1064" s="319" t="s">
        <v>173</v>
      </c>
      <c r="DR1064" s="319" t="s">
        <v>173</v>
      </c>
      <c r="DS1064" s="319" t="s">
        <v>173</v>
      </c>
      <c r="DT1064" s="319" t="s">
        <v>173</v>
      </c>
      <c r="DU1064" s="319" t="s">
        <v>173</v>
      </c>
      <c r="DV1064" s="319" t="s">
        <v>173</v>
      </c>
      <c r="DW1064" s="319" t="s">
        <v>173</v>
      </c>
      <c r="DX1064" s="319" t="s">
        <v>173</v>
      </c>
      <c r="DY1064" s="319" t="s">
        <v>173</v>
      </c>
      <c r="DZ1064" s="319" t="s">
        <v>173</v>
      </c>
      <c r="EA1064" s="319" t="s">
        <v>173</v>
      </c>
      <c r="EB1064" s="319" t="s">
        <v>173</v>
      </c>
      <c r="EC1064" s="319" t="s">
        <v>173</v>
      </c>
      <c r="ED1064" s="319" t="s">
        <v>173</v>
      </c>
      <c r="EE1064" s="319" t="s">
        <v>173</v>
      </c>
      <c r="EF1064" s="319" t="s">
        <v>173</v>
      </c>
      <c r="EG1064" s="319" t="s">
        <v>173</v>
      </c>
      <c r="EH1064" s="319" t="s">
        <v>173</v>
      </c>
      <c r="EI1064" s="319" t="s">
        <v>173</v>
      </c>
      <c r="EJ1064" s="319" t="s">
        <v>173</v>
      </c>
      <c r="EK1064" s="319" t="s">
        <v>173</v>
      </c>
      <c r="EL1064" s="319" t="s">
        <v>173</v>
      </c>
      <c r="EM1064" s="319" t="s">
        <v>173</v>
      </c>
      <c r="EN1064" s="319" t="s">
        <v>173</v>
      </c>
      <c r="EO1064" s="319" t="s">
        <v>173</v>
      </c>
      <c r="EP1064" s="319" t="s">
        <v>173</v>
      </c>
      <c r="EQ1064" s="319" t="s">
        <v>173</v>
      </c>
      <c r="ER1064" s="319" t="s">
        <v>173</v>
      </c>
      <c r="ES1064" s="319" t="s">
        <v>173</v>
      </c>
      <c r="ET1064" s="319" t="s">
        <v>173</v>
      </c>
      <c r="EU1064" s="319" t="s">
        <v>173</v>
      </c>
      <c r="EV1064" s="319" t="s">
        <v>173</v>
      </c>
      <c r="EW1064" s="319" t="s">
        <v>173</v>
      </c>
      <c r="EX1064" s="319" t="s">
        <v>173</v>
      </c>
      <c r="EY1064" s="319" t="s">
        <v>173</v>
      </c>
      <c r="EZ1064" s="319" t="s">
        <v>173</v>
      </c>
      <c r="FA1064" s="319" t="s">
        <v>173</v>
      </c>
      <c r="FB1064" s="319" t="s">
        <v>173</v>
      </c>
      <c r="FC1064" s="319" t="s">
        <v>173</v>
      </c>
      <c r="FD1064" s="319" t="s">
        <v>173</v>
      </c>
      <c r="FE1064" s="319" t="s">
        <v>173</v>
      </c>
      <c r="FF1064" s="319" t="s">
        <v>173</v>
      </c>
      <c r="FG1064" s="319" t="s">
        <v>173</v>
      </c>
      <c r="FH1064" s="319" t="s">
        <v>173</v>
      </c>
      <c r="FI1064" s="319" t="s">
        <v>173</v>
      </c>
      <c r="FJ1064" s="319" t="s">
        <v>173</v>
      </c>
      <c r="FK1064" s="319" t="s">
        <v>173</v>
      </c>
      <c r="FL1064" s="319" t="s">
        <v>173</v>
      </c>
      <c r="FM1064" s="319" t="s">
        <v>173</v>
      </c>
      <c r="FN1064" s="319" t="s">
        <v>173</v>
      </c>
      <c r="FO1064" s="319" t="s">
        <v>173</v>
      </c>
      <c r="FP1064" s="319" t="s">
        <v>173</v>
      </c>
      <c r="FQ1064" s="319" t="s">
        <v>173</v>
      </c>
      <c r="FR1064" s="319" t="s">
        <v>173</v>
      </c>
      <c r="FS1064" s="319" t="s">
        <v>173</v>
      </c>
      <c r="FT1064" s="319" t="s">
        <v>173</v>
      </c>
      <c r="FU1064" s="319" t="s">
        <v>173</v>
      </c>
      <c r="FV1064" s="319" t="s">
        <v>173</v>
      </c>
      <c r="FW1064" s="319" t="s">
        <v>173</v>
      </c>
      <c r="FX1064" s="319" t="s">
        <v>173</v>
      </c>
      <c r="FY1064" s="319" t="s">
        <v>173</v>
      </c>
      <c r="FZ1064" s="319" t="s">
        <v>173</v>
      </c>
      <c r="GA1064" s="319" t="s">
        <v>173</v>
      </c>
      <c r="GB1064" s="319" t="s">
        <v>173</v>
      </c>
      <c r="GC1064" s="319" t="s">
        <v>173</v>
      </c>
      <c r="GD1064" s="319" t="s">
        <v>173</v>
      </c>
      <c r="GE1064" s="319" t="s">
        <v>173</v>
      </c>
      <c r="GF1064" s="319" t="s">
        <v>173</v>
      </c>
      <c r="GG1064" s="319" t="s">
        <v>173</v>
      </c>
      <c r="GH1064" s="319" t="s">
        <v>173</v>
      </c>
      <c r="GI1064" s="319" t="s">
        <v>173</v>
      </c>
      <c r="GJ1064" s="319" t="s">
        <v>173</v>
      </c>
      <c r="GK1064" s="319" t="s">
        <v>173</v>
      </c>
      <c r="GL1064" s="319" t="s">
        <v>173</v>
      </c>
      <c r="GM1064" s="319" t="s">
        <v>173</v>
      </c>
      <c r="GN1064" s="319" t="s">
        <v>173</v>
      </c>
      <c r="GO1064" s="319" t="s">
        <v>173</v>
      </c>
      <c r="GP1064" s="319" t="s">
        <v>173</v>
      </c>
      <c r="GQ1064" s="319" t="s">
        <v>173</v>
      </c>
      <c r="GR1064" s="319" t="s">
        <v>173</v>
      </c>
      <c r="GS1064" s="319" t="s">
        <v>173</v>
      </c>
      <c r="GT1064" s="319" t="s">
        <v>173</v>
      </c>
      <c r="GU1064" s="319" t="s">
        <v>173</v>
      </c>
      <c r="GV1064" s="319" t="s">
        <v>173</v>
      </c>
      <c r="GW1064" s="319" t="s">
        <v>173</v>
      </c>
      <c r="GX1064" s="319" t="s">
        <v>173</v>
      </c>
      <c r="GY1064" s="319" t="s">
        <v>173</v>
      </c>
      <c r="GZ1064" s="319" t="s">
        <v>173</v>
      </c>
      <c r="HA1064" s="319" t="s">
        <v>173</v>
      </c>
      <c r="HB1064" s="319" t="s">
        <v>173</v>
      </c>
      <c r="HC1064" s="319" t="s">
        <v>173</v>
      </c>
      <c r="HD1064" s="319" t="s">
        <v>173</v>
      </c>
      <c r="HE1064" s="319" t="s">
        <v>173</v>
      </c>
      <c r="HF1064" s="319" t="s">
        <v>173</v>
      </c>
      <c r="HG1064" s="319" t="s">
        <v>173</v>
      </c>
      <c r="HH1064" s="319" t="s">
        <v>173</v>
      </c>
      <c r="HI1064" s="319" t="s">
        <v>173</v>
      </c>
      <c r="HJ1064" s="319" t="s">
        <v>173</v>
      </c>
      <c r="HK1064" s="319" t="s">
        <v>173</v>
      </c>
      <c r="HL1064" s="319" t="s">
        <v>173</v>
      </c>
      <c r="HM1064" s="319" t="s">
        <v>173</v>
      </c>
      <c r="HN1064" s="319" t="s">
        <v>173</v>
      </c>
      <c r="HO1064" s="319" t="s">
        <v>173</v>
      </c>
      <c r="HP1064" s="319" t="s">
        <v>173</v>
      </c>
      <c r="HQ1064" s="319" t="s">
        <v>173</v>
      </c>
      <c r="HR1064" s="319" t="s">
        <v>173</v>
      </c>
      <c r="HS1064" s="319" t="s">
        <v>173</v>
      </c>
      <c r="HT1064" s="319" t="s">
        <v>173</v>
      </c>
      <c r="HU1064" s="319" t="s">
        <v>173</v>
      </c>
      <c r="HV1064" s="319" t="s">
        <v>173</v>
      </c>
      <c r="HW1064" s="319" t="s">
        <v>173</v>
      </c>
      <c r="HX1064" s="319" t="s">
        <v>173</v>
      </c>
      <c r="HY1064" s="319" t="s">
        <v>173</v>
      </c>
      <c r="HZ1064" s="319" t="s">
        <v>173</v>
      </c>
      <c r="IA1064" s="319" t="s">
        <v>173</v>
      </c>
      <c r="IB1064" s="319" t="s">
        <v>173</v>
      </c>
      <c r="IC1064" s="319" t="s">
        <v>173</v>
      </c>
      <c r="ID1064" s="319" t="s">
        <v>173</v>
      </c>
      <c r="IE1064" s="319" t="s">
        <v>173</v>
      </c>
      <c r="IF1064" s="319" t="s">
        <v>173</v>
      </c>
      <c r="IG1064" s="319" t="s">
        <v>173</v>
      </c>
      <c r="IH1064" s="319" t="s">
        <v>173</v>
      </c>
      <c r="II1064" s="319" t="s">
        <v>173</v>
      </c>
      <c r="IJ1064" s="319" t="s">
        <v>173</v>
      </c>
      <c r="IK1064" s="319" t="s">
        <v>173</v>
      </c>
      <c r="IL1064" s="319" t="s">
        <v>173</v>
      </c>
      <c r="IM1064" s="319" t="s">
        <v>173</v>
      </c>
      <c r="IN1064" s="319" t="s">
        <v>173</v>
      </c>
      <c r="IO1064" s="319" t="s">
        <v>173</v>
      </c>
      <c r="IP1064" s="319" t="s">
        <v>173</v>
      </c>
      <c r="IQ1064" s="321" t="s">
        <v>173</v>
      </c>
      <c r="IR1064" s="320" t="s">
        <v>173</v>
      </c>
      <c r="IS1064" s="322" t="s">
        <v>173</v>
      </c>
      <c r="IT1064" s="319" t="s">
        <v>173</v>
      </c>
    </row>
    <row r="1065" spans="1:254" s="271" customFormat="1" x14ac:dyDescent="0.25">
      <c r="A1065" s="318" t="str">
        <f>HYPERLINK("http://www.ofsted.gov.uk/inspection-reports/find-inspection-report/provider/ELS/147161 ","Ofsted School Webpage")</f>
        <v>Ofsted School Webpage</v>
      </c>
      <c r="B1065" s="319">
        <v>147161</v>
      </c>
      <c r="C1065" s="319">
        <v>8156046</v>
      </c>
      <c r="D1065" s="319" t="s">
        <v>2684</v>
      </c>
      <c r="E1065" s="319" t="s">
        <v>167</v>
      </c>
      <c r="F1065" s="319" t="s">
        <v>434</v>
      </c>
      <c r="G1065" s="319" t="s">
        <v>81</v>
      </c>
      <c r="H1065" s="319" t="s">
        <v>81</v>
      </c>
      <c r="I1065" s="319" t="s">
        <v>78</v>
      </c>
      <c r="J1065" s="319" t="s">
        <v>424</v>
      </c>
      <c r="K1065" s="319" t="s">
        <v>458</v>
      </c>
      <c r="L1065" s="319" t="s">
        <v>459</v>
      </c>
      <c r="M1065" s="319" t="s">
        <v>754</v>
      </c>
      <c r="N1065" s="319" t="s">
        <v>3633</v>
      </c>
      <c r="O1065" s="319" t="s">
        <v>2685</v>
      </c>
      <c r="P1065" s="319" t="s">
        <v>173</v>
      </c>
      <c r="Q1065" s="319" t="s">
        <v>2766</v>
      </c>
      <c r="R1065" s="320">
        <v>10123293</v>
      </c>
      <c r="S1065" s="321">
        <v>43781</v>
      </c>
      <c r="T1065" s="321">
        <v>43783</v>
      </c>
      <c r="U1065" s="321">
        <v>43815</v>
      </c>
      <c r="V1065" s="319" t="s">
        <v>435</v>
      </c>
      <c r="W1065" s="319" t="s">
        <v>2767</v>
      </c>
      <c r="X1065" s="319">
        <v>2</v>
      </c>
      <c r="Y1065" s="319">
        <v>2</v>
      </c>
      <c r="Z1065" s="319">
        <v>2</v>
      </c>
      <c r="AA1065" s="319">
        <v>2</v>
      </c>
      <c r="AB1065" s="319">
        <v>2</v>
      </c>
      <c r="AC1065" s="319" t="s">
        <v>169</v>
      </c>
      <c r="AD1065" s="319" t="s">
        <v>173</v>
      </c>
      <c r="AE1065" s="319" t="s">
        <v>173</v>
      </c>
      <c r="AF1065" s="319" t="s">
        <v>427</v>
      </c>
      <c r="AG1065" s="319" t="s">
        <v>171</v>
      </c>
      <c r="AH1065" s="319" t="s">
        <v>190</v>
      </c>
      <c r="AI1065" s="319" t="s">
        <v>190</v>
      </c>
      <c r="AJ1065" s="319" t="s">
        <v>190</v>
      </c>
      <c r="AK1065" s="319" t="s">
        <v>190</v>
      </c>
      <c r="AL1065" s="319" t="s">
        <v>190</v>
      </c>
      <c r="AM1065" s="319" t="s">
        <v>190</v>
      </c>
      <c r="AN1065" s="319" t="s">
        <v>190</v>
      </c>
      <c r="AO1065" s="319" t="s">
        <v>190</v>
      </c>
      <c r="AP1065" s="319" t="s">
        <v>190</v>
      </c>
      <c r="AQ1065" s="319" t="s">
        <v>190</v>
      </c>
      <c r="AR1065" s="319" t="s">
        <v>190</v>
      </c>
      <c r="AS1065" s="319" t="s">
        <v>190</v>
      </c>
      <c r="AT1065" s="319" t="s">
        <v>190</v>
      </c>
      <c r="AU1065" s="319" t="s">
        <v>190</v>
      </c>
      <c r="AV1065" s="319" t="s">
        <v>190</v>
      </c>
      <c r="AW1065" s="319" t="s">
        <v>190</v>
      </c>
      <c r="AX1065" s="319" t="s">
        <v>428</v>
      </c>
      <c r="AY1065" s="319" t="s">
        <v>190</v>
      </c>
      <c r="AZ1065" s="319" t="s">
        <v>190</v>
      </c>
      <c r="BA1065" s="319" t="s">
        <v>190</v>
      </c>
      <c r="BB1065" s="319" t="s">
        <v>428</v>
      </c>
      <c r="BC1065" s="319" t="s">
        <v>428</v>
      </c>
      <c r="BD1065" s="319" t="s">
        <v>428</v>
      </c>
      <c r="BE1065" s="319" t="s">
        <v>428</v>
      </c>
      <c r="BF1065" s="319" t="s">
        <v>428</v>
      </c>
      <c r="BG1065" s="319" t="s">
        <v>428</v>
      </c>
      <c r="BH1065" s="319" t="s">
        <v>190</v>
      </c>
      <c r="BI1065" s="319" t="s">
        <v>190</v>
      </c>
      <c r="BJ1065" s="319" t="s">
        <v>190</v>
      </c>
      <c r="BK1065" s="319" t="s">
        <v>190</v>
      </c>
      <c r="BL1065" s="319" t="s">
        <v>190</v>
      </c>
      <c r="BM1065" s="319" t="s">
        <v>190</v>
      </c>
      <c r="BN1065" s="319" t="s">
        <v>190</v>
      </c>
      <c r="BO1065" s="319" t="s">
        <v>190</v>
      </c>
      <c r="BP1065" s="319" t="s">
        <v>190</v>
      </c>
      <c r="BQ1065" s="319" t="s">
        <v>190</v>
      </c>
      <c r="BR1065" s="319" t="s">
        <v>190</v>
      </c>
      <c r="BS1065" s="319" t="s">
        <v>190</v>
      </c>
      <c r="BT1065" s="319" t="s">
        <v>190</v>
      </c>
      <c r="BU1065" s="319" t="s">
        <v>190</v>
      </c>
      <c r="BV1065" s="319" t="s">
        <v>190</v>
      </c>
      <c r="BW1065" s="319" t="s">
        <v>190</v>
      </c>
      <c r="BX1065" s="319" t="s">
        <v>190</v>
      </c>
      <c r="BY1065" s="319" t="s">
        <v>190</v>
      </c>
      <c r="BZ1065" s="319" t="s">
        <v>190</v>
      </c>
      <c r="CA1065" s="319" t="s">
        <v>190</v>
      </c>
      <c r="CB1065" s="319" t="s">
        <v>190</v>
      </c>
      <c r="CC1065" s="319" t="s">
        <v>190</v>
      </c>
      <c r="CD1065" s="319" t="s">
        <v>190</v>
      </c>
      <c r="CE1065" s="319" t="s">
        <v>190</v>
      </c>
      <c r="CF1065" s="319" t="s">
        <v>190</v>
      </c>
      <c r="CG1065" s="319" t="s">
        <v>190</v>
      </c>
      <c r="CH1065" s="319" t="s">
        <v>190</v>
      </c>
      <c r="CI1065" s="319" t="s">
        <v>190</v>
      </c>
      <c r="CJ1065" s="319" t="s">
        <v>190</v>
      </c>
      <c r="CK1065" s="319" t="s">
        <v>190</v>
      </c>
      <c r="CL1065" s="319" t="s">
        <v>190</v>
      </c>
      <c r="CM1065" s="319" t="s">
        <v>190</v>
      </c>
      <c r="CN1065" s="319" t="s">
        <v>428</v>
      </c>
      <c r="CO1065" s="319" t="s">
        <v>428</v>
      </c>
      <c r="CP1065" s="319" t="s">
        <v>428</v>
      </c>
      <c r="CQ1065" s="319" t="s">
        <v>190</v>
      </c>
      <c r="CR1065" s="319" t="s">
        <v>190</v>
      </c>
      <c r="CS1065" s="319" t="s">
        <v>190</v>
      </c>
      <c r="CT1065" s="319" t="s">
        <v>190</v>
      </c>
      <c r="CU1065" s="319" t="s">
        <v>190</v>
      </c>
      <c r="CV1065" s="319" t="s">
        <v>190</v>
      </c>
      <c r="CW1065" s="319" t="s">
        <v>190</v>
      </c>
      <c r="CX1065" s="319" t="s">
        <v>190</v>
      </c>
      <c r="CY1065" s="319" t="s">
        <v>190</v>
      </c>
      <c r="CZ1065" s="319" t="s">
        <v>190</v>
      </c>
      <c r="DA1065" s="319" t="s">
        <v>190</v>
      </c>
      <c r="DB1065" s="319" t="s">
        <v>190</v>
      </c>
      <c r="DC1065" s="319" t="s">
        <v>190</v>
      </c>
      <c r="DD1065" s="319" t="s">
        <v>428</v>
      </c>
      <c r="DE1065" s="319" t="s">
        <v>190</v>
      </c>
      <c r="DF1065" s="319" t="s">
        <v>190</v>
      </c>
      <c r="DG1065" s="319" t="s">
        <v>190</v>
      </c>
      <c r="DH1065" s="319" t="s">
        <v>190</v>
      </c>
      <c r="DI1065" s="319" t="s">
        <v>190</v>
      </c>
      <c r="DJ1065" s="319" t="s">
        <v>190</v>
      </c>
      <c r="DK1065" s="319" t="s">
        <v>190</v>
      </c>
      <c r="DL1065" s="319" t="s">
        <v>190</v>
      </c>
      <c r="DM1065" s="319" t="s">
        <v>190</v>
      </c>
      <c r="DN1065" s="319" t="s">
        <v>428</v>
      </c>
      <c r="DO1065" s="319" t="s">
        <v>190</v>
      </c>
      <c r="DP1065" s="319" t="s">
        <v>428</v>
      </c>
      <c r="DQ1065" s="319" t="s">
        <v>428</v>
      </c>
      <c r="DR1065" s="319" t="s">
        <v>428</v>
      </c>
      <c r="DS1065" s="319" t="s">
        <v>428</v>
      </c>
      <c r="DT1065" s="319" t="s">
        <v>428</v>
      </c>
      <c r="DU1065" s="319" t="s">
        <v>428</v>
      </c>
      <c r="DV1065" s="319" t="s">
        <v>428</v>
      </c>
      <c r="DW1065" s="319" t="s">
        <v>428</v>
      </c>
      <c r="DX1065" s="319" t="s">
        <v>428</v>
      </c>
      <c r="DY1065" s="319" t="s">
        <v>428</v>
      </c>
      <c r="DZ1065" s="319" t="s">
        <v>428</v>
      </c>
      <c r="EA1065" s="319" t="s">
        <v>428</v>
      </c>
      <c r="EB1065" s="319" t="s">
        <v>428</v>
      </c>
      <c r="EC1065" s="319" t="s">
        <v>428</v>
      </c>
      <c r="ED1065" s="319" t="s">
        <v>428</v>
      </c>
      <c r="EE1065" s="319" t="s">
        <v>190</v>
      </c>
      <c r="EF1065" s="319" t="s">
        <v>190</v>
      </c>
      <c r="EG1065" s="319" t="s">
        <v>190</v>
      </c>
      <c r="EH1065" s="319" t="s">
        <v>190</v>
      </c>
      <c r="EI1065" s="319" t="s">
        <v>190</v>
      </c>
      <c r="EJ1065" s="319" t="s">
        <v>190</v>
      </c>
      <c r="EK1065" s="319" t="s">
        <v>190</v>
      </c>
      <c r="EL1065" s="319" t="s">
        <v>190</v>
      </c>
      <c r="EM1065" s="319" t="s">
        <v>190</v>
      </c>
      <c r="EN1065" s="319" t="s">
        <v>190</v>
      </c>
      <c r="EO1065" s="319" t="s">
        <v>190</v>
      </c>
      <c r="EP1065" s="319" t="s">
        <v>190</v>
      </c>
      <c r="EQ1065" s="319" t="s">
        <v>190</v>
      </c>
      <c r="ER1065" s="319" t="s">
        <v>190</v>
      </c>
      <c r="ES1065" s="319" t="s">
        <v>190</v>
      </c>
      <c r="ET1065" s="319" t="s">
        <v>190</v>
      </c>
      <c r="EU1065" s="319" t="s">
        <v>190</v>
      </c>
      <c r="EV1065" s="319" t="s">
        <v>190</v>
      </c>
      <c r="EW1065" s="319" t="s">
        <v>190</v>
      </c>
      <c r="EX1065" s="319" t="s">
        <v>190</v>
      </c>
      <c r="EY1065" s="319" t="s">
        <v>190</v>
      </c>
      <c r="EZ1065" s="319" t="s">
        <v>190</v>
      </c>
      <c r="FA1065" s="319" t="s">
        <v>428</v>
      </c>
      <c r="FB1065" s="319" t="s">
        <v>428</v>
      </c>
      <c r="FC1065" s="319" t="s">
        <v>428</v>
      </c>
      <c r="FD1065" s="319" t="s">
        <v>428</v>
      </c>
      <c r="FE1065" s="319" t="s">
        <v>428</v>
      </c>
      <c r="FF1065" s="319" t="s">
        <v>428</v>
      </c>
      <c r="FG1065" s="319" t="s">
        <v>428</v>
      </c>
      <c r="FH1065" s="319" t="s">
        <v>190</v>
      </c>
      <c r="FI1065" s="319" t="s">
        <v>428</v>
      </c>
      <c r="FJ1065" s="319" t="s">
        <v>429</v>
      </c>
      <c r="FK1065" s="319" t="s">
        <v>428</v>
      </c>
      <c r="FL1065" s="319" t="s">
        <v>190</v>
      </c>
      <c r="FM1065" s="319" t="s">
        <v>190</v>
      </c>
      <c r="FN1065" s="319" t="s">
        <v>190</v>
      </c>
      <c r="FO1065" s="319" t="s">
        <v>190</v>
      </c>
      <c r="FP1065" s="319" t="s">
        <v>190</v>
      </c>
      <c r="FQ1065" s="319" t="s">
        <v>190</v>
      </c>
      <c r="FR1065" s="319" t="s">
        <v>190</v>
      </c>
      <c r="FS1065" s="319" t="s">
        <v>428</v>
      </c>
      <c r="FT1065" s="319" t="s">
        <v>190</v>
      </c>
      <c r="FU1065" s="319" t="s">
        <v>190</v>
      </c>
      <c r="FV1065" s="319" t="s">
        <v>190</v>
      </c>
      <c r="FW1065" s="319" t="s">
        <v>190</v>
      </c>
      <c r="FX1065" s="319" t="s">
        <v>190</v>
      </c>
      <c r="FY1065" s="319" t="s">
        <v>190</v>
      </c>
      <c r="FZ1065" s="319" t="s">
        <v>190</v>
      </c>
      <c r="GA1065" s="319" t="s">
        <v>190</v>
      </c>
      <c r="GB1065" s="319" t="s">
        <v>190</v>
      </c>
      <c r="GC1065" s="319" t="s">
        <v>190</v>
      </c>
      <c r="GD1065" s="319" t="s">
        <v>190</v>
      </c>
      <c r="GE1065" s="319" t="s">
        <v>190</v>
      </c>
      <c r="GF1065" s="319" t="s">
        <v>190</v>
      </c>
      <c r="GG1065" s="319" t="s">
        <v>190</v>
      </c>
      <c r="GH1065" s="319" t="s">
        <v>190</v>
      </c>
      <c r="GI1065" s="319" t="s">
        <v>190</v>
      </c>
      <c r="GJ1065" s="319" t="s">
        <v>190</v>
      </c>
      <c r="GK1065" s="319" t="s">
        <v>428</v>
      </c>
      <c r="GL1065" s="319" t="s">
        <v>190</v>
      </c>
      <c r="GM1065" s="319" t="s">
        <v>190</v>
      </c>
      <c r="GN1065" s="319" t="s">
        <v>190</v>
      </c>
      <c r="GO1065" s="319" t="s">
        <v>190</v>
      </c>
      <c r="GP1065" s="319" t="s">
        <v>190</v>
      </c>
      <c r="GQ1065" s="319" t="s">
        <v>428</v>
      </c>
      <c r="GR1065" s="319" t="s">
        <v>190</v>
      </c>
      <c r="GS1065" s="319" t="s">
        <v>190</v>
      </c>
      <c r="GT1065" s="319" t="s">
        <v>428</v>
      </c>
      <c r="GU1065" s="319" t="s">
        <v>428</v>
      </c>
      <c r="GV1065" s="319" t="s">
        <v>190</v>
      </c>
      <c r="GW1065" s="319" t="s">
        <v>190</v>
      </c>
      <c r="GX1065" s="319" t="s">
        <v>190</v>
      </c>
      <c r="GY1065" s="319" t="s">
        <v>190</v>
      </c>
      <c r="GZ1065" s="319" t="s">
        <v>190</v>
      </c>
      <c r="HA1065" s="319" t="s">
        <v>428</v>
      </c>
      <c r="HB1065" s="319" t="s">
        <v>428</v>
      </c>
      <c r="HC1065" s="319" t="s">
        <v>190</v>
      </c>
      <c r="HD1065" s="319" t="s">
        <v>190</v>
      </c>
      <c r="HE1065" s="319" t="s">
        <v>190</v>
      </c>
      <c r="HF1065" s="319" t="s">
        <v>190</v>
      </c>
      <c r="HG1065" s="319" t="s">
        <v>190</v>
      </c>
      <c r="HH1065" s="319" t="s">
        <v>190</v>
      </c>
      <c r="HI1065" s="319" t="s">
        <v>190</v>
      </c>
      <c r="HJ1065" s="319" t="s">
        <v>190</v>
      </c>
      <c r="HK1065" s="319" t="s">
        <v>190</v>
      </c>
      <c r="HL1065" s="319" t="s">
        <v>428</v>
      </c>
      <c r="HM1065" s="319" t="s">
        <v>428</v>
      </c>
      <c r="HN1065" s="319" t="s">
        <v>428</v>
      </c>
      <c r="HO1065" s="319" t="s">
        <v>428</v>
      </c>
      <c r="HP1065" s="319" t="s">
        <v>190</v>
      </c>
      <c r="HQ1065" s="319" t="s">
        <v>190</v>
      </c>
      <c r="HR1065" s="319" t="s">
        <v>190</v>
      </c>
      <c r="HS1065" s="319" t="s">
        <v>190</v>
      </c>
      <c r="HT1065" s="319" t="s">
        <v>190</v>
      </c>
      <c r="HU1065" s="319" t="s">
        <v>190</v>
      </c>
      <c r="HV1065" s="319" t="s">
        <v>190</v>
      </c>
      <c r="HW1065" s="319" t="s">
        <v>190</v>
      </c>
      <c r="HX1065" s="319" t="s">
        <v>190</v>
      </c>
      <c r="HY1065" s="319" t="s">
        <v>190</v>
      </c>
      <c r="HZ1065" s="319" t="s">
        <v>190</v>
      </c>
      <c r="IA1065" s="319" t="s">
        <v>190</v>
      </c>
      <c r="IB1065" s="319" t="s">
        <v>190</v>
      </c>
      <c r="IC1065" s="319" t="s">
        <v>190</v>
      </c>
      <c r="ID1065" s="319" t="s">
        <v>190</v>
      </c>
      <c r="IE1065" s="319" t="s">
        <v>190</v>
      </c>
      <c r="IF1065" s="319" t="s">
        <v>190</v>
      </c>
      <c r="IG1065" s="319" t="s">
        <v>190</v>
      </c>
      <c r="IH1065" s="319" t="s">
        <v>190</v>
      </c>
      <c r="II1065" s="319" t="s">
        <v>190</v>
      </c>
      <c r="IJ1065" s="319" t="s">
        <v>173</v>
      </c>
      <c r="IK1065" s="319" t="s">
        <v>173</v>
      </c>
      <c r="IL1065" s="319" t="s">
        <v>173</v>
      </c>
      <c r="IM1065" s="319" t="s">
        <v>173</v>
      </c>
      <c r="IN1065" s="319" t="s">
        <v>173</v>
      </c>
      <c r="IO1065" s="319" t="s">
        <v>173</v>
      </c>
      <c r="IP1065" s="319" t="s">
        <v>173</v>
      </c>
      <c r="IQ1065" s="321" t="s">
        <v>173</v>
      </c>
      <c r="IR1065" s="320" t="s">
        <v>173</v>
      </c>
      <c r="IS1065" s="322" t="s">
        <v>173</v>
      </c>
      <c r="IT1065" s="319" t="s">
        <v>173</v>
      </c>
    </row>
    <row r="1066" spans="1:254" s="271" customFormat="1" x14ac:dyDescent="0.25">
      <c r="A1066" s="318" t="str">
        <f>HYPERLINK("http://www.ofsted.gov.uk/inspection-reports/find-inspection-report/provider/ELS/147168 ","Ofsted School Webpage")</f>
        <v>Ofsted School Webpage</v>
      </c>
      <c r="B1066" s="319">
        <v>147168</v>
      </c>
      <c r="C1066" s="319">
        <v>2096006</v>
      </c>
      <c r="D1066" s="319" t="s">
        <v>3634</v>
      </c>
      <c r="E1066" s="319" t="s">
        <v>167</v>
      </c>
      <c r="F1066" s="319" t="s">
        <v>434</v>
      </c>
      <c r="G1066" s="319" t="s">
        <v>81</v>
      </c>
      <c r="H1066" s="319" t="s">
        <v>81</v>
      </c>
      <c r="I1066" s="319" t="s">
        <v>78</v>
      </c>
      <c r="J1066" s="319" t="s">
        <v>424</v>
      </c>
      <c r="K1066" s="319" t="s">
        <v>441</v>
      </c>
      <c r="L1066" s="319" t="s">
        <v>441</v>
      </c>
      <c r="M1066" s="319" t="s">
        <v>655</v>
      </c>
      <c r="N1066" s="319" t="s">
        <v>3547</v>
      </c>
      <c r="O1066" s="319" t="s">
        <v>3635</v>
      </c>
      <c r="P1066" s="319" t="s">
        <v>173</v>
      </c>
      <c r="Q1066" s="319" t="s">
        <v>2766</v>
      </c>
      <c r="R1066" s="320" t="s">
        <v>173</v>
      </c>
      <c r="S1066" s="321" t="s">
        <v>173</v>
      </c>
      <c r="T1066" s="321" t="s">
        <v>173</v>
      </c>
      <c r="U1066" s="321" t="s">
        <v>173</v>
      </c>
      <c r="V1066" s="319" t="s">
        <v>173</v>
      </c>
      <c r="W1066" s="319" t="s">
        <v>173</v>
      </c>
      <c r="X1066" s="319" t="s">
        <v>173</v>
      </c>
      <c r="Y1066" s="319" t="s">
        <v>173</v>
      </c>
      <c r="Z1066" s="319" t="s">
        <v>173</v>
      </c>
      <c r="AA1066" s="319" t="s">
        <v>173</v>
      </c>
      <c r="AB1066" s="319" t="s">
        <v>173</v>
      </c>
      <c r="AC1066" s="319" t="s">
        <v>173</v>
      </c>
      <c r="AD1066" s="319" t="s">
        <v>173</v>
      </c>
      <c r="AE1066" s="319" t="s">
        <v>173</v>
      </c>
      <c r="AF1066" s="319" t="s">
        <v>173</v>
      </c>
      <c r="AG1066" s="319" t="s">
        <v>173</v>
      </c>
      <c r="AH1066" s="319" t="s">
        <v>173</v>
      </c>
      <c r="AI1066" s="319" t="s">
        <v>173</v>
      </c>
      <c r="AJ1066" s="319" t="s">
        <v>173</v>
      </c>
      <c r="AK1066" s="319" t="s">
        <v>173</v>
      </c>
      <c r="AL1066" s="319" t="s">
        <v>173</v>
      </c>
      <c r="AM1066" s="319" t="s">
        <v>173</v>
      </c>
      <c r="AN1066" s="319" t="s">
        <v>173</v>
      </c>
      <c r="AO1066" s="319" t="s">
        <v>173</v>
      </c>
      <c r="AP1066" s="319" t="s">
        <v>173</v>
      </c>
      <c r="AQ1066" s="319" t="s">
        <v>173</v>
      </c>
      <c r="AR1066" s="319" t="s">
        <v>173</v>
      </c>
      <c r="AS1066" s="319" t="s">
        <v>173</v>
      </c>
      <c r="AT1066" s="319" t="s">
        <v>173</v>
      </c>
      <c r="AU1066" s="319" t="s">
        <v>173</v>
      </c>
      <c r="AV1066" s="319" t="s">
        <v>173</v>
      </c>
      <c r="AW1066" s="319" t="s">
        <v>173</v>
      </c>
      <c r="AX1066" s="319" t="s">
        <v>173</v>
      </c>
      <c r="AY1066" s="319" t="s">
        <v>173</v>
      </c>
      <c r="AZ1066" s="319" t="s">
        <v>173</v>
      </c>
      <c r="BA1066" s="319" t="s">
        <v>173</v>
      </c>
      <c r="BB1066" s="319" t="s">
        <v>173</v>
      </c>
      <c r="BC1066" s="319" t="s">
        <v>173</v>
      </c>
      <c r="BD1066" s="319" t="s">
        <v>173</v>
      </c>
      <c r="BE1066" s="319" t="s">
        <v>173</v>
      </c>
      <c r="BF1066" s="319" t="s">
        <v>173</v>
      </c>
      <c r="BG1066" s="319" t="s">
        <v>173</v>
      </c>
      <c r="BH1066" s="319" t="s">
        <v>173</v>
      </c>
      <c r="BI1066" s="319" t="s">
        <v>173</v>
      </c>
      <c r="BJ1066" s="319" t="s">
        <v>173</v>
      </c>
      <c r="BK1066" s="319" t="s">
        <v>173</v>
      </c>
      <c r="BL1066" s="319" t="s">
        <v>173</v>
      </c>
      <c r="BM1066" s="319" t="s">
        <v>173</v>
      </c>
      <c r="BN1066" s="319" t="s">
        <v>173</v>
      </c>
      <c r="BO1066" s="319" t="s">
        <v>173</v>
      </c>
      <c r="BP1066" s="319" t="s">
        <v>173</v>
      </c>
      <c r="BQ1066" s="319" t="s">
        <v>173</v>
      </c>
      <c r="BR1066" s="319" t="s">
        <v>173</v>
      </c>
      <c r="BS1066" s="319" t="s">
        <v>173</v>
      </c>
      <c r="BT1066" s="319" t="s">
        <v>173</v>
      </c>
      <c r="BU1066" s="319" t="s">
        <v>173</v>
      </c>
      <c r="BV1066" s="319" t="s">
        <v>173</v>
      </c>
      <c r="BW1066" s="319" t="s">
        <v>173</v>
      </c>
      <c r="BX1066" s="319" t="s">
        <v>173</v>
      </c>
      <c r="BY1066" s="319" t="s">
        <v>173</v>
      </c>
      <c r="BZ1066" s="319" t="s">
        <v>173</v>
      </c>
      <c r="CA1066" s="319" t="s">
        <v>173</v>
      </c>
      <c r="CB1066" s="319" t="s">
        <v>173</v>
      </c>
      <c r="CC1066" s="319" t="s">
        <v>173</v>
      </c>
      <c r="CD1066" s="319" t="s">
        <v>173</v>
      </c>
      <c r="CE1066" s="319" t="s">
        <v>173</v>
      </c>
      <c r="CF1066" s="319" t="s">
        <v>173</v>
      </c>
      <c r="CG1066" s="319" t="s">
        <v>173</v>
      </c>
      <c r="CH1066" s="319" t="s">
        <v>173</v>
      </c>
      <c r="CI1066" s="319" t="s">
        <v>173</v>
      </c>
      <c r="CJ1066" s="319" t="s">
        <v>173</v>
      </c>
      <c r="CK1066" s="319" t="s">
        <v>173</v>
      </c>
      <c r="CL1066" s="319" t="s">
        <v>173</v>
      </c>
      <c r="CM1066" s="319" t="s">
        <v>173</v>
      </c>
      <c r="CN1066" s="319" t="s">
        <v>173</v>
      </c>
      <c r="CO1066" s="319" t="s">
        <v>173</v>
      </c>
      <c r="CP1066" s="319" t="s">
        <v>173</v>
      </c>
      <c r="CQ1066" s="319" t="s">
        <v>173</v>
      </c>
      <c r="CR1066" s="319" t="s">
        <v>173</v>
      </c>
      <c r="CS1066" s="319" t="s">
        <v>173</v>
      </c>
      <c r="CT1066" s="319" t="s">
        <v>173</v>
      </c>
      <c r="CU1066" s="319" t="s">
        <v>173</v>
      </c>
      <c r="CV1066" s="319" t="s">
        <v>173</v>
      </c>
      <c r="CW1066" s="319" t="s">
        <v>173</v>
      </c>
      <c r="CX1066" s="319" t="s">
        <v>173</v>
      </c>
      <c r="CY1066" s="319" t="s">
        <v>173</v>
      </c>
      <c r="CZ1066" s="319" t="s">
        <v>173</v>
      </c>
      <c r="DA1066" s="319" t="s">
        <v>173</v>
      </c>
      <c r="DB1066" s="319" t="s">
        <v>173</v>
      </c>
      <c r="DC1066" s="319" t="s">
        <v>173</v>
      </c>
      <c r="DD1066" s="319" t="s">
        <v>173</v>
      </c>
      <c r="DE1066" s="319" t="s">
        <v>173</v>
      </c>
      <c r="DF1066" s="319" t="s">
        <v>173</v>
      </c>
      <c r="DG1066" s="319" t="s">
        <v>173</v>
      </c>
      <c r="DH1066" s="319" t="s">
        <v>173</v>
      </c>
      <c r="DI1066" s="319" t="s">
        <v>173</v>
      </c>
      <c r="DJ1066" s="319" t="s">
        <v>173</v>
      </c>
      <c r="DK1066" s="319" t="s">
        <v>173</v>
      </c>
      <c r="DL1066" s="319" t="s">
        <v>173</v>
      </c>
      <c r="DM1066" s="319" t="s">
        <v>173</v>
      </c>
      <c r="DN1066" s="319" t="s">
        <v>173</v>
      </c>
      <c r="DO1066" s="319" t="s">
        <v>173</v>
      </c>
      <c r="DP1066" s="319" t="s">
        <v>173</v>
      </c>
      <c r="DQ1066" s="319" t="s">
        <v>173</v>
      </c>
      <c r="DR1066" s="319" t="s">
        <v>173</v>
      </c>
      <c r="DS1066" s="319" t="s">
        <v>173</v>
      </c>
      <c r="DT1066" s="319" t="s">
        <v>173</v>
      </c>
      <c r="DU1066" s="319" t="s">
        <v>173</v>
      </c>
      <c r="DV1066" s="319" t="s">
        <v>173</v>
      </c>
      <c r="DW1066" s="319" t="s">
        <v>173</v>
      </c>
      <c r="DX1066" s="319" t="s">
        <v>173</v>
      </c>
      <c r="DY1066" s="319" t="s">
        <v>173</v>
      </c>
      <c r="DZ1066" s="319" t="s">
        <v>173</v>
      </c>
      <c r="EA1066" s="319" t="s">
        <v>173</v>
      </c>
      <c r="EB1066" s="319" t="s">
        <v>173</v>
      </c>
      <c r="EC1066" s="319" t="s">
        <v>173</v>
      </c>
      <c r="ED1066" s="319" t="s">
        <v>173</v>
      </c>
      <c r="EE1066" s="319" t="s">
        <v>173</v>
      </c>
      <c r="EF1066" s="319" t="s">
        <v>173</v>
      </c>
      <c r="EG1066" s="319" t="s">
        <v>173</v>
      </c>
      <c r="EH1066" s="319" t="s">
        <v>173</v>
      </c>
      <c r="EI1066" s="319" t="s">
        <v>173</v>
      </c>
      <c r="EJ1066" s="319" t="s">
        <v>173</v>
      </c>
      <c r="EK1066" s="319" t="s">
        <v>173</v>
      </c>
      <c r="EL1066" s="319" t="s">
        <v>173</v>
      </c>
      <c r="EM1066" s="319" t="s">
        <v>173</v>
      </c>
      <c r="EN1066" s="319" t="s">
        <v>173</v>
      </c>
      <c r="EO1066" s="319" t="s">
        <v>173</v>
      </c>
      <c r="EP1066" s="319" t="s">
        <v>173</v>
      </c>
      <c r="EQ1066" s="319" t="s">
        <v>173</v>
      </c>
      <c r="ER1066" s="319" t="s">
        <v>173</v>
      </c>
      <c r="ES1066" s="319" t="s">
        <v>173</v>
      </c>
      <c r="ET1066" s="319" t="s">
        <v>173</v>
      </c>
      <c r="EU1066" s="319" t="s">
        <v>173</v>
      </c>
      <c r="EV1066" s="319" t="s">
        <v>173</v>
      </c>
      <c r="EW1066" s="319" t="s">
        <v>173</v>
      </c>
      <c r="EX1066" s="319" t="s">
        <v>173</v>
      </c>
      <c r="EY1066" s="319" t="s">
        <v>173</v>
      </c>
      <c r="EZ1066" s="319" t="s">
        <v>173</v>
      </c>
      <c r="FA1066" s="319" t="s">
        <v>173</v>
      </c>
      <c r="FB1066" s="319" t="s">
        <v>173</v>
      </c>
      <c r="FC1066" s="319" t="s">
        <v>173</v>
      </c>
      <c r="FD1066" s="319" t="s">
        <v>173</v>
      </c>
      <c r="FE1066" s="319" t="s">
        <v>173</v>
      </c>
      <c r="FF1066" s="319" t="s">
        <v>173</v>
      </c>
      <c r="FG1066" s="319" t="s">
        <v>173</v>
      </c>
      <c r="FH1066" s="319" t="s">
        <v>173</v>
      </c>
      <c r="FI1066" s="319" t="s">
        <v>173</v>
      </c>
      <c r="FJ1066" s="319" t="s">
        <v>173</v>
      </c>
      <c r="FK1066" s="319" t="s">
        <v>173</v>
      </c>
      <c r="FL1066" s="319" t="s">
        <v>173</v>
      </c>
      <c r="FM1066" s="319" t="s">
        <v>173</v>
      </c>
      <c r="FN1066" s="319" t="s">
        <v>173</v>
      </c>
      <c r="FO1066" s="319" t="s">
        <v>173</v>
      </c>
      <c r="FP1066" s="319" t="s">
        <v>173</v>
      </c>
      <c r="FQ1066" s="319" t="s">
        <v>173</v>
      </c>
      <c r="FR1066" s="319" t="s">
        <v>173</v>
      </c>
      <c r="FS1066" s="319" t="s">
        <v>173</v>
      </c>
      <c r="FT1066" s="319" t="s">
        <v>173</v>
      </c>
      <c r="FU1066" s="319" t="s">
        <v>173</v>
      </c>
      <c r="FV1066" s="319" t="s">
        <v>173</v>
      </c>
      <c r="FW1066" s="319" t="s">
        <v>173</v>
      </c>
      <c r="FX1066" s="319" t="s">
        <v>173</v>
      </c>
      <c r="FY1066" s="319" t="s">
        <v>173</v>
      </c>
      <c r="FZ1066" s="319" t="s">
        <v>173</v>
      </c>
      <c r="GA1066" s="319" t="s">
        <v>173</v>
      </c>
      <c r="GB1066" s="319" t="s">
        <v>173</v>
      </c>
      <c r="GC1066" s="319" t="s">
        <v>173</v>
      </c>
      <c r="GD1066" s="319" t="s">
        <v>173</v>
      </c>
      <c r="GE1066" s="319" t="s">
        <v>173</v>
      </c>
      <c r="GF1066" s="319" t="s">
        <v>173</v>
      </c>
      <c r="GG1066" s="319" t="s">
        <v>173</v>
      </c>
      <c r="GH1066" s="319" t="s">
        <v>173</v>
      </c>
      <c r="GI1066" s="319" t="s">
        <v>173</v>
      </c>
      <c r="GJ1066" s="319" t="s">
        <v>173</v>
      </c>
      <c r="GK1066" s="319" t="s">
        <v>173</v>
      </c>
      <c r="GL1066" s="319" t="s">
        <v>173</v>
      </c>
      <c r="GM1066" s="319" t="s">
        <v>173</v>
      </c>
      <c r="GN1066" s="319" t="s">
        <v>173</v>
      </c>
      <c r="GO1066" s="319" t="s">
        <v>173</v>
      </c>
      <c r="GP1066" s="319" t="s">
        <v>173</v>
      </c>
      <c r="GQ1066" s="319" t="s">
        <v>173</v>
      </c>
      <c r="GR1066" s="319" t="s">
        <v>173</v>
      </c>
      <c r="GS1066" s="319" t="s">
        <v>173</v>
      </c>
      <c r="GT1066" s="319" t="s">
        <v>173</v>
      </c>
      <c r="GU1066" s="319" t="s">
        <v>173</v>
      </c>
      <c r="GV1066" s="319" t="s">
        <v>173</v>
      </c>
      <c r="GW1066" s="319" t="s">
        <v>173</v>
      </c>
      <c r="GX1066" s="319" t="s">
        <v>173</v>
      </c>
      <c r="GY1066" s="319" t="s">
        <v>173</v>
      </c>
      <c r="GZ1066" s="319" t="s">
        <v>173</v>
      </c>
      <c r="HA1066" s="319" t="s">
        <v>173</v>
      </c>
      <c r="HB1066" s="319" t="s">
        <v>173</v>
      </c>
      <c r="HC1066" s="319" t="s">
        <v>173</v>
      </c>
      <c r="HD1066" s="319" t="s">
        <v>173</v>
      </c>
      <c r="HE1066" s="319" t="s">
        <v>173</v>
      </c>
      <c r="HF1066" s="319" t="s">
        <v>173</v>
      </c>
      <c r="HG1066" s="319" t="s">
        <v>173</v>
      </c>
      <c r="HH1066" s="319" t="s">
        <v>173</v>
      </c>
      <c r="HI1066" s="319" t="s">
        <v>173</v>
      </c>
      <c r="HJ1066" s="319" t="s">
        <v>173</v>
      </c>
      <c r="HK1066" s="319" t="s">
        <v>173</v>
      </c>
      <c r="HL1066" s="319" t="s">
        <v>173</v>
      </c>
      <c r="HM1066" s="319" t="s">
        <v>173</v>
      </c>
      <c r="HN1066" s="319" t="s">
        <v>173</v>
      </c>
      <c r="HO1066" s="319" t="s">
        <v>173</v>
      </c>
      <c r="HP1066" s="319" t="s">
        <v>173</v>
      </c>
      <c r="HQ1066" s="319" t="s">
        <v>173</v>
      </c>
      <c r="HR1066" s="319" t="s">
        <v>173</v>
      </c>
      <c r="HS1066" s="319" t="s">
        <v>173</v>
      </c>
      <c r="HT1066" s="319" t="s">
        <v>173</v>
      </c>
      <c r="HU1066" s="319" t="s">
        <v>173</v>
      </c>
      <c r="HV1066" s="319" t="s">
        <v>173</v>
      </c>
      <c r="HW1066" s="319" t="s">
        <v>173</v>
      </c>
      <c r="HX1066" s="319" t="s">
        <v>173</v>
      </c>
      <c r="HY1066" s="319" t="s">
        <v>173</v>
      </c>
      <c r="HZ1066" s="319" t="s">
        <v>173</v>
      </c>
      <c r="IA1066" s="319" t="s">
        <v>173</v>
      </c>
      <c r="IB1066" s="319" t="s">
        <v>173</v>
      </c>
      <c r="IC1066" s="319" t="s">
        <v>173</v>
      </c>
      <c r="ID1066" s="319" t="s">
        <v>173</v>
      </c>
      <c r="IE1066" s="319" t="s">
        <v>173</v>
      </c>
      <c r="IF1066" s="319" t="s">
        <v>173</v>
      </c>
      <c r="IG1066" s="319" t="s">
        <v>173</v>
      </c>
      <c r="IH1066" s="319" t="s">
        <v>173</v>
      </c>
      <c r="II1066" s="319" t="s">
        <v>173</v>
      </c>
      <c r="IJ1066" s="319" t="s">
        <v>173</v>
      </c>
      <c r="IK1066" s="319" t="s">
        <v>173</v>
      </c>
      <c r="IL1066" s="319" t="s">
        <v>173</v>
      </c>
      <c r="IM1066" s="319" t="s">
        <v>173</v>
      </c>
      <c r="IN1066" s="319" t="s">
        <v>173</v>
      </c>
      <c r="IO1066" s="319" t="s">
        <v>173</v>
      </c>
      <c r="IP1066" s="319" t="s">
        <v>173</v>
      </c>
      <c r="IQ1066" s="321" t="s">
        <v>173</v>
      </c>
      <c r="IR1066" s="320" t="s">
        <v>173</v>
      </c>
      <c r="IS1066" s="322" t="s">
        <v>173</v>
      </c>
      <c r="IT1066" s="319" t="s">
        <v>173</v>
      </c>
    </row>
    <row r="1067" spans="1:254" s="271" customFormat="1" x14ac:dyDescent="0.25">
      <c r="A1067" s="318" t="str">
        <f>HYPERLINK("http://www.ofsted.gov.uk/inspection-reports/find-inspection-report/provider/ELS/147169 ","Ofsted School Webpage")</f>
        <v>Ofsted School Webpage</v>
      </c>
      <c r="B1067" s="319">
        <v>147169</v>
      </c>
      <c r="C1067" s="319">
        <v>8606052</v>
      </c>
      <c r="D1067" s="319" t="s">
        <v>3636</v>
      </c>
      <c r="E1067" s="319" t="s">
        <v>168</v>
      </c>
      <c r="F1067" s="319" t="s">
        <v>434</v>
      </c>
      <c r="G1067" s="319" t="s">
        <v>81</v>
      </c>
      <c r="H1067" s="319" t="s">
        <v>81</v>
      </c>
      <c r="I1067" s="319" t="s">
        <v>78</v>
      </c>
      <c r="J1067" s="319" t="s">
        <v>424</v>
      </c>
      <c r="K1067" s="319" t="s">
        <v>437</v>
      </c>
      <c r="L1067" s="319" t="s">
        <v>437</v>
      </c>
      <c r="M1067" s="319" t="s">
        <v>577</v>
      </c>
      <c r="N1067" s="319" t="s">
        <v>3033</v>
      </c>
      <c r="O1067" s="319" t="s">
        <v>2351</v>
      </c>
      <c r="P1067" s="319" t="s">
        <v>173</v>
      </c>
      <c r="Q1067" s="319" t="s">
        <v>429</v>
      </c>
      <c r="R1067" s="320" t="s">
        <v>173</v>
      </c>
      <c r="S1067" s="321" t="s">
        <v>173</v>
      </c>
      <c r="T1067" s="321" t="s">
        <v>173</v>
      </c>
      <c r="U1067" s="321" t="s">
        <v>173</v>
      </c>
      <c r="V1067" s="319" t="s">
        <v>173</v>
      </c>
      <c r="W1067" s="319" t="s">
        <v>173</v>
      </c>
      <c r="X1067" s="319" t="s">
        <v>173</v>
      </c>
      <c r="Y1067" s="319" t="s">
        <v>173</v>
      </c>
      <c r="Z1067" s="319" t="s">
        <v>173</v>
      </c>
      <c r="AA1067" s="319" t="s">
        <v>173</v>
      </c>
      <c r="AB1067" s="319" t="s">
        <v>173</v>
      </c>
      <c r="AC1067" s="319" t="s">
        <v>173</v>
      </c>
      <c r="AD1067" s="319" t="s">
        <v>173</v>
      </c>
      <c r="AE1067" s="319" t="s">
        <v>173</v>
      </c>
      <c r="AF1067" s="319" t="s">
        <v>173</v>
      </c>
      <c r="AG1067" s="319" t="s">
        <v>173</v>
      </c>
      <c r="AH1067" s="319" t="s">
        <v>173</v>
      </c>
      <c r="AI1067" s="319" t="s">
        <v>173</v>
      </c>
      <c r="AJ1067" s="319" t="s">
        <v>173</v>
      </c>
      <c r="AK1067" s="319" t="s">
        <v>173</v>
      </c>
      <c r="AL1067" s="319" t="s">
        <v>173</v>
      </c>
      <c r="AM1067" s="319" t="s">
        <v>173</v>
      </c>
      <c r="AN1067" s="319" t="s">
        <v>173</v>
      </c>
      <c r="AO1067" s="319" t="s">
        <v>173</v>
      </c>
      <c r="AP1067" s="319" t="s">
        <v>173</v>
      </c>
      <c r="AQ1067" s="319" t="s">
        <v>173</v>
      </c>
      <c r="AR1067" s="319" t="s">
        <v>173</v>
      </c>
      <c r="AS1067" s="319" t="s">
        <v>173</v>
      </c>
      <c r="AT1067" s="319" t="s">
        <v>173</v>
      </c>
      <c r="AU1067" s="319" t="s">
        <v>173</v>
      </c>
      <c r="AV1067" s="319" t="s">
        <v>173</v>
      </c>
      <c r="AW1067" s="319" t="s">
        <v>173</v>
      </c>
      <c r="AX1067" s="319" t="s">
        <v>173</v>
      </c>
      <c r="AY1067" s="319" t="s">
        <v>173</v>
      </c>
      <c r="AZ1067" s="319" t="s">
        <v>173</v>
      </c>
      <c r="BA1067" s="319" t="s">
        <v>173</v>
      </c>
      <c r="BB1067" s="319" t="s">
        <v>173</v>
      </c>
      <c r="BC1067" s="319" t="s">
        <v>173</v>
      </c>
      <c r="BD1067" s="319" t="s">
        <v>173</v>
      </c>
      <c r="BE1067" s="319" t="s">
        <v>173</v>
      </c>
      <c r="BF1067" s="319" t="s">
        <v>173</v>
      </c>
      <c r="BG1067" s="319" t="s">
        <v>173</v>
      </c>
      <c r="BH1067" s="319" t="s">
        <v>173</v>
      </c>
      <c r="BI1067" s="319" t="s">
        <v>173</v>
      </c>
      <c r="BJ1067" s="319" t="s">
        <v>173</v>
      </c>
      <c r="BK1067" s="319" t="s">
        <v>173</v>
      </c>
      <c r="BL1067" s="319" t="s">
        <v>173</v>
      </c>
      <c r="BM1067" s="319" t="s">
        <v>173</v>
      </c>
      <c r="BN1067" s="319" t="s">
        <v>173</v>
      </c>
      <c r="BO1067" s="319" t="s">
        <v>173</v>
      </c>
      <c r="BP1067" s="319" t="s">
        <v>173</v>
      </c>
      <c r="BQ1067" s="319" t="s">
        <v>173</v>
      </c>
      <c r="BR1067" s="319" t="s">
        <v>173</v>
      </c>
      <c r="BS1067" s="319" t="s">
        <v>173</v>
      </c>
      <c r="BT1067" s="319" t="s">
        <v>173</v>
      </c>
      <c r="BU1067" s="319" t="s">
        <v>173</v>
      </c>
      <c r="BV1067" s="319" t="s">
        <v>173</v>
      </c>
      <c r="BW1067" s="319" t="s">
        <v>173</v>
      </c>
      <c r="BX1067" s="319" t="s">
        <v>173</v>
      </c>
      <c r="BY1067" s="319" t="s">
        <v>173</v>
      </c>
      <c r="BZ1067" s="319" t="s">
        <v>173</v>
      </c>
      <c r="CA1067" s="319" t="s">
        <v>173</v>
      </c>
      <c r="CB1067" s="319" t="s">
        <v>173</v>
      </c>
      <c r="CC1067" s="319" t="s">
        <v>173</v>
      </c>
      <c r="CD1067" s="319" t="s">
        <v>173</v>
      </c>
      <c r="CE1067" s="319" t="s">
        <v>173</v>
      </c>
      <c r="CF1067" s="319" t="s">
        <v>173</v>
      </c>
      <c r="CG1067" s="319" t="s">
        <v>173</v>
      </c>
      <c r="CH1067" s="319" t="s">
        <v>173</v>
      </c>
      <c r="CI1067" s="319" t="s">
        <v>173</v>
      </c>
      <c r="CJ1067" s="319" t="s">
        <v>173</v>
      </c>
      <c r="CK1067" s="319" t="s">
        <v>173</v>
      </c>
      <c r="CL1067" s="319" t="s">
        <v>173</v>
      </c>
      <c r="CM1067" s="319" t="s">
        <v>173</v>
      </c>
      <c r="CN1067" s="319" t="s">
        <v>173</v>
      </c>
      <c r="CO1067" s="319" t="s">
        <v>173</v>
      </c>
      <c r="CP1067" s="319" t="s">
        <v>173</v>
      </c>
      <c r="CQ1067" s="319" t="s">
        <v>173</v>
      </c>
      <c r="CR1067" s="319" t="s">
        <v>173</v>
      </c>
      <c r="CS1067" s="319" t="s">
        <v>173</v>
      </c>
      <c r="CT1067" s="319" t="s">
        <v>173</v>
      </c>
      <c r="CU1067" s="319" t="s">
        <v>173</v>
      </c>
      <c r="CV1067" s="319" t="s">
        <v>173</v>
      </c>
      <c r="CW1067" s="319" t="s">
        <v>173</v>
      </c>
      <c r="CX1067" s="319" t="s">
        <v>173</v>
      </c>
      <c r="CY1067" s="319" t="s">
        <v>173</v>
      </c>
      <c r="CZ1067" s="319" t="s">
        <v>173</v>
      </c>
      <c r="DA1067" s="319" t="s">
        <v>173</v>
      </c>
      <c r="DB1067" s="319" t="s">
        <v>173</v>
      </c>
      <c r="DC1067" s="319" t="s">
        <v>173</v>
      </c>
      <c r="DD1067" s="319" t="s">
        <v>173</v>
      </c>
      <c r="DE1067" s="319" t="s">
        <v>173</v>
      </c>
      <c r="DF1067" s="319" t="s">
        <v>173</v>
      </c>
      <c r="DG1067" s="319" t="s">
        <v>173</v>
      </c>
      <c r="DH1067" s="319" t="s">
        <v>173</v>
      </c>
      <c r="DI1067" s="319" t="s">
        <v>173</v>
      </c>
      <c r="DJ1067" s="319" t="s">
        <v>173</v>
      </c>
      <c r="DK1067" s="319" t="s">
        <v>173</v>
      </c>
      <c r="DL1067" s="319" t="s">
        <v>173</v>
      </c>
      <c r="DM1067" s="319" t="s">
        <v>173</v>
      </c>
      <c r="DN1067" s="319" t="s">
        <v>173</v>
      </c>
      <c r="DO1067" s="319" t="s">
        <v>173</v>
      </c>
      <c r="DP1067" s="319" t="s">
        <v>173</v>
      </c>
      <c r="DQ1067" s="319" t="s">
        <v>173</v>
      </c>
      <c r="DR1067" s="319" t="s">
        <v>173</v>
      </c>
      <c r="DS1067" s="319" t="s">
        <v>173</v>
      </c>
      <c r="DT1067" s="319" t="s">
        <v>173</v>
      </c>
      <c r="DU1067" s="319" t="s">
        <v>173</v>
      </c>
      <c r="DV1067" s="319" t="s">
        <v>173</v>
      </c>
      <c r="DW1067" s="319" t="s">
        <v>173</v>
      </c>
      <c r="DX1067" s="319" t="s">
        <v>173</v>
      </c>
      <c r="DY1067" s="319" t="s">
        <v>173</v>
      </c>
      <c r="DZ1067" s="319" t="s">
        <v>173</v>
      </c>
      <c r="EA1067" s="319" t="s">
        <v>173</v>
      </c>
      <c r="EB1067" s="319" t="s">
        <v>173</v>
      </c>
      <c r="EC1067" s="319" t="s">
        <v>173</v>
      </c>
      <c r="ED1067" s="319" t="s">
        <v>173</v>
      </c>
      <c r="EE1067" s="319" t="s">
        <v>173</v>
      </c>
      <c r="EF1067" s="319" t="s">
        <v>173</v>
      </c>
      <c r="EG1067" s="319" t="s">
        <v>173</v>
      </c>
      <c r="EH1067" s="319" t="s">
        <v>173</v>
      </c>
      <c r="EI1067" s="319" t="s">
        <v>173</v>
      </c>
      <c r="EJ1067" s="319" t="s">
        <v>173</v>
      </c>
      <c r="EK1067" s="319" t="s">
        <v>173</v>
      </c>
      <c r="EL1067" s="319" t="s">
        <v>173</v>
      </c>
      <c r="EM1067" s="319" t="s">
        <v>173</v>
      </c>
      <c r="EN1067" s="319" t="s">
        <v>173</v>
      </c>
      <c r="EO1067" s="319" t="s">
        <v>173</v>
      </c>
      <c r="EP1067" s="319" t="s">
        <v>173</v>
      </c>
      <c r="EQ1067" s="319" t="s">
        <v>173</v>
      </c>
      <c r="ER1067" s="319" t="s">
        <v>173</v>
      </c>
      <c r="ES1067" s="319" t="s">
        <v>173</v>
      </c>
      <c r="ET1067" s="319" t="s">
        <v>173</v>
      </c>
      <c r="EU1067" s="319" t="s">
        <v>173</v>
      </c>
      <c r="EV1067" s="319" t="s">
        <v>173</v>
      </c>
      <c r="EW1067" s="319" t="s">
        <v>173</v>
      </c>
      <c r="EX1067" s="319" t="s">
        <v>173</v>
      </c>
      <c r="EY1067" s="319" t="s">
        <v>173</v>
      </c>
      <c r="EZ1067" s="319" t="s">
        <v>173</v>
      </c>
      <c r="FA1067" s="319" t="s">
        <v>173</v>
      </c>
      <c r="FB1067" s="319" t="s">
        <v>173</v>
      </c>
      <c r="FC1067" s="319" t="s">
        <v>173</v>
      </c>
      <c r="FD1067" s="319" t="s">
        <v>173</v>
      </c>
      <c r="FE1067" s="319" t="s">
        <v>173</v>
      </c>
      <c r="FF1067" s="319" t="s">
        <v>173</v>
      </c>
      <c r="FG1067" s="319" t="s">
        <v>173</v>
      </c>
      <c r="FH1067" s="319" t="s">
        <v>173</v>
      </c>
      <c r="FI1067" s="319" t="s">
        <v>173</v>
      </c>
      <c r="FJ1067" s="319" t="s">
        <v>173</v>
      </c>
      <c r="FK1067" s="319" t="s">
        <v>173</v>
      </c>
      <c r="FL1067" s="319" t="s">
        <v>173</v>
      </c>
      <c r="FM1067" s="319" t="s">
        <v>173</v>
      </c>
      <c r="FN1067" s="319" t="s">
        <v>173</v>
      </c>
      <c r="FO1067" s="319" t="s">
        <v>173</v>
      </c>
      <c r="FP1067" s="319" t="s">
        <v>173</v>
      </c>
      <c r="FQ1067" s="319" t="s">
        <v>173</v>
      </c>
      <c r="FR1067" s="319" t="s">
        <v>173</v>
      </c>
      <c r="FS1067" s="319" t="s">
        <v>173</v>
      </c>
      <c r="FT1067" s="319" t="s">
        <v>173</v>
      </c>
      <c r="FU1067" s="319" t="s">
        <v>173</v>
      </c>
      <c r="FV1067" s="319" t="s">
        <v>173</v>
      </c>
      <c r="FW1067" s="319" t="s">
        <v>173</v>
      </c>
      <c r="FX1067" s="319" t="s">
        <v>173</v>
      </c>
      <c r="FY1067" s="319" t="s">
        <v>173</v>
      </c>
      <c r="FZ1067" s="319" t="s">
        <v>173</v>
      </c>
      <c r="GA1067" s="319" t="s">
        <v>173</v>
      </c>
      <c r="GB1067" s="319" t="s">
        <v>173</v>
      </c>
      <c r="GC1067" s="319" t="s">
        <v>173</v>
      </c>
      <c r="GD1067" s="319" t="s">
        <v>173</v>
      </c>
      <c r="GE1067" s="319" t="s">
        <v>173</v>
      </c>
      <c r="GF1067" s="319" t="s">
        <v>173</v>
      </c>
      <c r="GG1067" s="319" t="s">
        <v>173</v>
      </c>
      <c r="GH1067" s="319" t="s">
        <v>173</v>
      </c>
      <c r="GI1067" s="319" t="s">
        <v>173</v>
      </c>
      <c r="GJ1067" s="319" t="s">
        <v>173</v>
      </c>
      <c r="GK1067" s="319" t="s">
        <v>173</v>
      </c>
      <c r="GL1067" s="319" t="s">
        <v>173</v>
      </c>
      <c r="GM1067" s="319" t="s">
        <v>173</v>
      </c>
      <c r="GN1067" s="319" t="s">
        <v>173</v>
      </c>
      <c r="GO1067" s="319" t="s">
        <v>173</v>
      </c>
      <c r="GP1067" s="319" t="s">
        <v>173</v>
      </c>
      <c r="GQ1067" s="319" t="s">
        <v>173</v>
      </c>
      <c r="GR1067" s="319" t="s">
        <v>173</v>
      </c>
      <c r="GS1067" s="319" t="s">
        <v>173</v>
      </c>
      <c r="GT1067" s="319" t="s">
        <v>173</v>
      </c>
      <c r="GU1067" s="319" t="s">
        <v>173</v>
      </c>
      <c r="GV1067" s="319" t="s">
        <v>173</v>
      </c>
      <c r="GW1067" s="319" t="s">
        <v>173</v>
      </c>
      <c r="GX1067" s="319" t="s">
        <v>173</v>
      </c>
      <c r="GY1067" s="319" t="s">
        <v>173</v>
      </c>
      <c r="GZ1067" s="319" t="s">
        <v>173</v>
      </c>
      <c r="HA1067" s="319" t="s">
        <v>173</v>
      </c>
      <c r="HB1067" s="319" t="s">
        <v>173</v>
      </c>
      <c r="HC1067" s="319" t="s">
        <v>173</v>
      </c>
      <c r="HD1067" s="319" t="s">
        <v>173</v>
      </c>
      <c r="HE1067" s="319" t="s">
        <v>173</v>
      </c>
      <c r="HF1067" s="319" t="s">
        <v>173</v>
      </c>
      <c r="HG1067" s="319" t="s">
        <v>173</v>
      </c>
      <c r="HH1067" s="319" t="s">
        <v>173</v>
      </c>
      <c r="HI1067" s="319" t="s">
        <v>173</v>
      </c>
      <c r="HJ1067" s="319" t="s">
        <v>173</v>
      </c>
      <c r="HK1067" s="319" t="s">
        <v>173</v>
      </c>
      <c r="HL1067" s="319" t="s">
        <v>173</v>
      </c>
      <c r="HM1067" s="319" t="s">
        <v>173</v>
      </c>
      <c r="HN1067" s="319" t="s">
        <v>173</v>
      </c>
      <c r="HO1067" s="319" t="s">
        <v>173</v>
      </c>
      <c r="HP1067" s="319" t="s">
        <v>173</v>
      </c>
      <c r="HQ1067" s="319" t="s">
        <v>173</v>
      </c>
      <c r="HR1067" s="319" t="s">
        <v>173</v>
      </c>
      <c r="HS1067" s="319" t="s">
        <v>173</v>
      </c>
      <c r="HT1067" s="319" t="s">
        <v>173</v>
      </c>
      <c r="HU1067" s="319" t="s">
        <v>173</v>
      </c>
      <c r="HV1067" s="319" t="s">
        <v>173</v>
      </c>
      <c r="HW1067" s="319" t="s">
        <v>173</v>
      </c>
      <c r="HX1067" s="319" t="s">
        <v>173</v>
      </c>
      <c r="HY1067" s="319" t="s">
        <v>173</v>
      </c>
      <c r="HZ1067" s="319" t="s">
        <v>173</v>
      </c>
      <c r="IA1067" s="319" t="s">
        <v>173</v>
      </c>
      <c r="IB1067" s="319" t="s">
        <v>173</v>
      </c>
      <c r="IC1067" s="319" t="s">
        <v>173</v>
      </c>
      <c r="ID1067" s="319" t="s">
        <v>173</v>
      </c>
      <c r="IE1067" s="319" t="s">
        <v>173</v>
      </c>
      <c r="IF1067" s="319" t="s">
        <v>173</v>
      </c>
      <c r="IG1067" s="319" t="s">
        <v>173</v>
      </c>
      <c r="IH1067" s="319" t="s">
        <v>173</v>
      </c>
      <c r="II1067" s="319" t="s">
        <v>173</v>
      </c>
      <c r="IJ1067" s="319" t="s">
        <v>173</v>
      </c>
      <c r="IK1067" s="319" t="s">
        <v>173</v>
      </c>
      <c r="IL1067" s="319" t="s">
        <v>173</v>
      </c>
      <c r="IM1067" s="319" t="s">
        <v>173</v>
      </c>
      <c r="IN1067" s="319" t="s">
        <v>173</v>
      </c>
      <c r="IO1067" s="319" t="s">
        <v>173</v>
      </c>
      <c r="IP1067" s="319" t="s">
        <v>173</v>
      </c>
      <c r="IQ1067" s="321" t="s">
        <v>173</v>
      </c>
      <c r="IR1067" s="320" t="s">
        <v>173</v>
      </c>
      <c r="IS1067" s="322" t="s">
        <v>173</v>
      </c>
      <c r="IT1067" s="319" t="s">
        <v>173</v>
      </c>
    </row>
    <row r="1068" spans="1:254" s="271" customFormat="1" x14ac:dyDescent="0.25">
      <c r="A1068" s="318" t="str">
        <f>HYPERLINK("http://www.ofsted.gov.uk/inspection-reports/find-inspection-report/provider/ELS/147170 ","Ofsted School Webpage")</f>
        <v>Ofsted School Webpage</v>
      </c>
      <c r="B1068" s="319">
        <v>147170</v>
      </c>
      <c r="C1068" s="319">
        <v>9256018</v>
      </c>
      <c r="D1068" s="319" t="s">
        <v>3637</v>
      </c>
      <c r="E1068" s="319" t="s">
        <v>167</v>
      </c>
      <c r="F1068" s="319" t="s">
        <v>434</v>
      </c>
      <c r="G1068" s="319" t="s">
        <v>81</v>
      </c>
      <c r="H1068" s="319" t="s">
        <v>81</v>
      </c>
      <c r="I1068" s="319" t="s">
        <v>78</v>
      </c>
      <c r="J1068" s="319" t="s">
        <v>424</v>
      </c>
      <c r="K1068" s="319" t="s">
        <v>506</v>
      </c>
      <c r="L1068" s="319" t="s">
        <v>506</v>
      </c>
      <c r="M1068" s="319" t="s">
        <v>833</v>
      </c>
      <c r="N1068" s="319" t="s">
        <v>3638</v>
      </c>
      <c r="O1068" s="319" t="s">
        <v>3639</v>
      </c>
      <c r="P1068" s="319" t="s">
        <v>173</v>
      </c>
      <c r="Q1068" s="319" t="s">
        <v>2766</v>
      </c>
      <c r="R1068" s="320" t="s">
        <v>173</v>
      </c>
      <c r="S1068" s="321" t="s">
        <v>173</v>
      </c>
      <c r="T1068" s="321" t="s">
        <v>173</v>
      </c>
      <c r="U1068" s="321" t="s">
        <v>173</v>
      </c>
      <c r="V1068" s="319" t="s">
        <v>173</v>
      </c>
      <c r="W1068" s="319" t="s">
        <v>173</v>
      </c>
      <c r="X1068" s="319" t="s">
        <v>173</v>
      </c>
      <c r="Y1068" s="319" t="s">
        <v>173</v>
      </c>
      <c r="Z1068" s="319" t="s">
        <v>173</v>
      </c>
      <c r="AA1068" s="319" t="s">
        <v>173</v>
      </c>
      <c r="AB1068" s="319" t="s">
        <v>173</v>
      </c>
      <c r="AC1068" s="319" t="s">
        <v>173</v>
      </c>
      <c r="AD1068" s="319" t="s">
        <v>173</v>
      </c>
      <c r="AE1068" s="319" t="s">
        <v>173</v>
      </c>
      <c r="AF1068" s="319" t="s">
        <v>173</v>
      </c>
      <c r="AG1068" s="319" t="s">
        <v>173</v>
      </c>
      <c r="AH1068" s="319" t="s">
        <v>173</v>
      </c>
      <c r="AI1068" s="319" t="s">
        <v>173</v>
      </c>
      <c r="AJ1068" s="319" t="s">
        <v>173</v>
      </c>
      <c r="AK1068" s="319" t="s">
        <v>173</v>
      </c>
      <c r="AL1068" s="319" t="s">
        <v>173</v>
      </c>
      <c r="AM1068" s="319" t="s">
        <v>173</v>
      </c>
      <c r="AN1068" s="319" t="s">
        <v>173</v>
      </c>
      <c r="AO1068" s="319" t="s">
        <v>173</v>
      </c>
      <c r="AP1068" s="319" t="s">
        <v>173</v>
      </c>
      <c r="AQ1068" s="319" t="s">
        <v>173</v>
      </c>
      <c r="AR1068" s="319" t="s">
        <v>173</v>
      </c>
      <c r="AS1068" s="319" t="s">
        <v>173</v>
      </c>
      <c r="AT1068" s="319" t="s">
        <v>173</v>
      </c>
      <c r="AU1068" s="319" t="s">
        <v>173</v>
      </c>
      <c r="AV1068" s="319" t="s">
        <v>173</v>
      </c>
      <c r="AW1068" s="319" t="s">
        <v>173</v>
      </c>
      <c r="AX1068" s="319" t="s">
        <v>173</v>
      </c>
      <c r="AY1068" s="319" t="s">
        <v>173</v>
      </c>
      <c r="AZ1068" s="319" t="s">
        <v>173</v>
      </c>
      <c r="BA1068" s="319" t="s">
        <v>173</v>
      </c>
      <c r="BB1068" s="319" t="s">
        <v>173</v>
      </c>
      <c r="BC1068" s="319" t="s">
        <v>173</v>
      </c>
      <c r="BD1068" s="319" t="s">
        <v>173</v>
      </c>
      <c r="BE1068" s="319" t="s">
        <v>173</v>
      </c>
      <c r="BF1068" s="319" t="s">
        <v>173</v>
      </c>
      <c r="BG1068" s="319" t="s">
        <v>173</v>
      </c>
      <c r="BH1068" s="319" t="s">
        <v>173</v>
      </c>
      <c r="BI1068" s="319" t="s">
        <v>173</v>
      </c>
      <c r="BJ1068" s="319" t="s">
        <v>173</v>
      </c>
      <c r="BK1068" s="319" t="s">
        <v>173</v>
      </c>
      <c r="BL1068" s="319" t="s">
        <v>173</v>
      </c>
      <c r="BM1068" s="319" t="s">
        <v>173</v>
      </c>
      <c r="BN1068" s="319" t="s">
        <v>173</v>
      </c>
      <c r="BO1068" s="319" t="s">
        <v>173</v>
      </c>
      <c r="BP1068" s="319" t="s">
        <v>173</v>
      </c>
      <c r="BQ1068" s="319" t="s">
        <v>173</v>
      </c>
      <c r="BR1068" s="319" t="s">
        <v>173</v>
      </c>
      <c r="BS1068" s="319" t="s">
        <v>173</v>
      </c>
      <c r="BT1068" s="319" t="s">
        <v>173</v>
      </c>
      <c r="BU1068" s="319" t="s">
        <v>173</v>
      </c>
      <c r="BV1068" s="319" t="s">
        <v>173</v>
      </c>
      <c r="BW1068" s="319" t="s">
        <v>173</v>
      </c>
      <c r="BX1068" s="319" t="s">
        <v>173</v>
      </c>
      <c r="BY1068" s="319" t="s">
        <v>173</v>
      </c>
      <c r="BZ1068" s="319" t="s">
        <v>173</v>
      </c>
      <c r="CA1068" s="319" t="s">
        <v>173</v>
      </c>
      <c r="CB1068" s="319" t="s">
        <v>173</v>
      </c>
      <c r="CC1068" s="319" t="s">
        <v>173</v>
      </c>
      <c r="CD1068" s="319" t="s">
        <v>173</v>
      </c>
      <c r="CE1068" s="319" t="s">
        <v>173</v>
      </c>
      <c r="CF1068" s="319" t="s">
        <v>173</v>
      </c>
      <c r="CG1068" s="319" t="s">
        <v>173</v>
      </c>
      <c r="CH1068" s="319" t="s">
        <v>173</v>
      </c>
      <c r="CI1068" s="319" t="s">
        <v>173</v>
      </c>
      <c r="CJ1068" s="319" t="s">
        <v>173</v>
      </c>
      <c r="CK1068" s="319" t="s">
        <v>173</v>
      </c>
      <c r="CL1068" s="319" t="s">
        <v>173</v>
      </c>
      <c r="CM1068" s="319" t="s">
        <v>173</v>
      </c>
      <c r="CN1068" s="319" t="s">
        <v>173</v>
      </c>
      <c r="CO1068" s="319" t="s">
        <v>173</v>
      </c>
      <c r="CP1068" s="319" t="s">
        <v>173</v>
      </c>
      <c r="CQ1068" s="319" t="s">
        <v>173</v>
      </c>
      <c r="CR1068" s="319" t="s">
        <v>173</v>
      </c>
      <c r="CS1068" s="319" t="s">
        <v>173</v>
      </c>
      <c r="CT1068" s="319" t="s">
        <v>173</v>
      </c>
      <c r="CU1068" s="319" t="s">
        <v>173</v>
      </c>
      <c r="CV1068" s="319" t="s">
        <v>173</v>
      </c>
      <c r="CW1068" s="319" t="s">
        <v>173</v>
      </c>
      <c r="CX1068" s="319" t="s">
        <v>173</v>
      </c>
      <c r="CY1068" s="319" t="s">
        <v>173</v>
      </c>
      <c r="CZ1068" s="319" t="s">
        <v>173</v>
      </c>
      <c r="DA1068" s="319" t="s">
        <v>173</v>
      </c>
      <c r="DB1068" s="319" t="s">
        <v>173</v>
      </c>
      <c r="DC1068" s="319" t="s">
        <v>173</v>
      </c>
      <c r="DD1068" s="319" t="s">
        <v>173</v>
      </c>
      <c r="DE1068" s="319" t="s">
        <v>173</v>
      </c>
      <c r="DF1068" s="319" t="s">
        <v>173</v>
      </c>
      <c r="DG1068" s="319" t="s">
        <v>173</v>
      </c>
      <c r="DH1068" s="319" t="s">
        <v>173</v>
      </c>
      <c r="DI1068" s="319" t="s">
        <v>173</v>
      </c>
      <c r="DJ1068" s="319" t="s">
        <v>173</v>
      </c>
      <c r="DK1068" s="319" t="s">
        <v>173</v>
      </c>
      <c r="DL1068" s="319" t="s">
        <v>173</v>
      </c>
      <c r="DM1068" s="319" t="s">
        <v>173</v>
      </c>
      <c r="DN1068" s="319" t="s">
        <v>173</v>
      </c>
      <c r="DO1068" s="319" t="s">
        <v>173</v>
      </c>
      <c r="DP1068" s="319" t="s">
        <v>173</v>
      </c>
      <c r="DQ1068" s="319" t="s">
        <v>173</v>
      </c>
      <c r="DR1068" s="319" t="s">
        <v>173</v>
      </c>
      <c r="DS1068" s="319" t="s">
        <v>173</v>
      </c>
      <c r="DT1068" s="319" t="s">
        <v>173</v>
      </c>
      <c r="DU1068" s="319" t="s">
        <v>173</v>
      </c>
      <c r="DV1068" s="319" t="s">
        <v>173</v>
      </c>
      <c r="DW1068" s="319" t="s">
        <v>173</v>
      </c>
      <c r="DX1068" s="319" t="s">
        <v>173</v>
      </c>
      <c r="DY1068" s="319" t="s">
        <v>173</v>
      </c>
      <c r="DZ1068" s="319" t="s">
        <v>173</v>
      </c>
      <c r="EA1068" s="319" t="s">
        <v>173</v>
      </c>
      <c r="EB1068" s="319" t="s">
        <v>173</v>
      </c>
      <c r="EC1068" s="319" t="s">
        <v>173</v>
      </c>
      <c r="ED1068" s="319" t="s">
        <v>173</v>
      </c>
      <c r="EE1068" s="319" t="s">
        <v>173</v>
      </c>
      <c r="EF1068" s="319" t="s">
        <v>173</v>
      </c>
      <c r="EG1068" s="319" t="s">
        <v>173</v>
      </c>
      <c r="EH1068" s="319" t="s">
        <v>173</v>
      </c>
      <c r="EI1068" s="319" t="s">
        <v>173</v>
      </c>
      <c r="EJ1068" s="319" t="s">
        <v>173</v>
      </c>
      <c r="EK1068" s="319" t="s">
        <v>173</v>
      </c>
      <c r="EL1068" s="319" t="s">
        <v>173</v>
      </c>
      <c r="EM1068" s="319" t="s">
        <v>173</v>
      </c>
      <c r="EN1068" s="319" t="s">
        <v>173</v>
      </c>
      <c r="EO1068" s="319" t="s">
        <v>173</v>
      </c>
      <c r="EP1068" s="319" t="s">
        <v>173</v>
      </c>
      <c r="EQ1068" s="319" t="s">
        <v>173</v>
      </c>
      <c r="ER1068" s="319" t="s">
        <v>173</v>
      </c>
      <c r="ES1068" s="319" t="s">
        <v>173</v>
      </c>
      <c r="ET1068" s="319" t="s">
        <v>173</v>
      </c>
      <c r="EU1068" s="319" t="s">
        <v>173</v>
      </c>
      <c r="EV1068" s="319" t="s">
        <v>173</v>
      </c>
      <c r="EW1068" s="319" t="s">
        <v>173</v>
      </c>
      <c r="EX1068" s="319" t="s">
        <v>173</v>
      </c>
      <c r="EY1068" s="319" t="s">
        <v>173</v>
      </c>
      <c r="EZ1068" s="319" t="s">
        <v>173</v>
      </c>
      <c r="FA1068" s="319" t="s">
        <v>173</v>
      </c>
      <c r="FB1068" s="319" t="s">
        <v>173</v>
      </c>
      <c r="FC1068" s="319" t="s">
        <v>173</v>
      </c>
      <c r="FD1068" s="319" t="s">
        <v>173</v>
      </c>
      <c r="FE1068" s="319" t="s">
        <v>173</v>
      </c>
      <c r="FF1068" s="319" t="s">
        <v>173</v>
      </c>
      <c r="FG1068" s="319" t="s">
        <v>173</v>
      </c>
      <c r="FH1068" s="319" t="s">
        <v>173</v>
      </c>
      <c r="FI1068" s="319" t="s">
        <v>173</v>
      </c>
      <c r="FJ1068" s="319" t="s">
        <v>173</v>
      </c>
      <c r="FK1068" s="319" t="s">
        <v>173</v>
      </c>
      <c r="FL1068" s="319" t="s">
        <v>173</v>
      </c>
      <c r="FM1068" s="319" t="s">
        <v>173</v>
      </c>
      <c r="FN1068" s="319" t="s">
        <v>173</v>
      </c>
      <c r="FO1068" s="319" t="s">
        <v>173</v>
      </c>
      <c r="FP1068" s="319" t="s">
        <v>173</v>
      </c>
      <c r="FQ1068" s="319" t="s">
        <v>173</v>
      </c>
      <c r="FR1068" s="319" t="s">
        <v>173</v>
      </c>
      <c r="FS1068" s="319" t="s">
        <v>173</v>
      </c>
      <c r="FT1068" s="319" t="s">
        <v>173</v>
      </c>
      <c r="FU1068" s="319" t="s">
        <v>173</v>
      </c>
      <c r="FV1068" s="319" t="s">
        <v>173</v>
      </c>
      <c r="FW1068" s="319" t="s">
        <v>173</v>
      </c>
      <c r="FX1068" s="319" t="s">
        <v>173</v>
      </c>
      <c r="FY1068" s="319" t="s">
        <v>173</v>
      </c>
      <c r="FZ1068" s="319" t="s">
        <v>173</v>
      </c>
      <c r="GA1068" s="319" t="s">
        <v>173</v>
      </c>
      <c r="GB1068" s="319" t="s">
        <v>173</v>
      </c>
      <c r="GC1068" s="319" t="s">
        <v>173</v>
      </c>
      <c r="GD1068" s="319" t="s">
        <v>173</v>
      </c>
      <c r="GE1068" s="319" t="s">
        <v>173</v>
      </c>
      <c r="GF1068" s="319" t="s">
        <v>173</v>
      </c>
      <c r="GG1068" s="319" t="s">
        <v>173</v>
      </c>
      <c r="GH1068" s="319" t="s">
        <v>173</v>
      </c>
      <c r="GI1068" s="319" t="s">
        <v>173</v>
      </c>
      <c r="GJ1068" s="319" t="s">
        <v>173</v>
      </c>
      <c r="GK1068" s="319" t="s">
        <v>173</v>
      </c>
      <c r="GL1068" s="319" t="s">
        <v>173</v>
      </c>
      <c r="GM1068" s="319" t="s">
        <v>173</v>
      </c>
      <c r="GN1068" s="319" t="s">
        <v>173</v>
      </c>
      <c r="GO1068" s="319" t="s">
        <v>173</v>
      </c>
      <c r="GP1068" s="319" t="s">
        <v>173</v>
      </c>
      <c r="GQ1068" s="319" t="s">
        <v>173</v>
      </c>
      <c r="GR1068" s="319" t="s">
        <v>173</v>
      </c>
      <c r="GS1068" s="319" t="s">
        <v>173</v>
      </c>
      <c r="GT1068" s="319" t="s">
        <v>173</v>
      </c>
      <c r="GU1068" s="319" t="s">
        <v>173</v>
      </c>
      <c r="GV1068" s="319" t="s">
        <v>173</v>
      </c>
      <c r="GW1068" s="319" t="s">
        <v>173</v>
      </c>
      <c r="GX1068" s="319" t="s">
        <v>173</v>
      </c>
      <c r="GY1068" s="319" t="s">
        <v>173</v>
      </c>
      <c r="GZ1068" s="319" t="s">
        <v>173</v>
      </c>
      <c r="HA1068" s="319" t="s">
        <v>173</v>
      </c>
      <c r="HB1068" s="319" t="s">
        <v>173</v>
      </c>
      <c r="HC1068" s="319" t="s">
        <v>173</v>
      </c>
      <c r="HD1068" s="319" t="s">
        <v>173</v>
      </c>
      <c r="HE1068" s="319" t="s">
        <v>173</v>
      </c>
      <c r="HF1068" s="319" t="s">
        <v>173</v>
      </c>
      <c r="HG1068" s="319" t="s">
        <v>173</v>
      </c>
      <c r="HH1068" s="319" t="s">
        <v>173</v>
      </c>
      <c r="HI1068" s="319" t="s">
        <v>173</v>
      </c>
      <c r="HJ1068" s="319" t="s">
        <v>173</v>
      </c>
      <c r="HK1068" s="319" t="s">
        <v>173</v>
      </c>
      <c r="HL1068" s="319" t="s">
        <v>173</v>
      </c>
      <c r="HM1068" s="319" t="s">
        <v>173</v>
      </c>
      <c r="HN1068" s="319" t="s">
        <v>173</v>
      </c>
      <c r="HO1068" s="319" t="s">
        <v>173</v>
      </c>
      <c r="HP1068" s="319" t="s">
        <v>173</v>
      </c>
      <c r="HQ1068" s="319" t="s">
        <v>173</v>
      </c>
      <c r="HR1068" s="319" t="s">
        <v>173</v>
      </c>
      <c r="HS1068" s="319" t="s">
        <v>173</v>
      </c>
      <c r="HT1068" s="319" t="s">
        <v>173</v>
      </c>
      <c r="HU1068" s="319" t="s">
        <v>173</v>
      </c>
      <c r="HV1068" s="319" t="s">
        <v>173</v>
      </c>
      <c r="HW1068" s="319" t="s">
        <v>173</v>
      </c>
      <c r="HX1068" s="319" t="s">
        <v>173</v>
      </c>
      <c r="HY1068" s="319" t="s">
        <v>173</v>
      </c>
      <c r="HZ1068" s="319" t="s">
        <v>173</v>
      </c>
      <c r="IA1068" s="319" t="s">
        <v>173</v>
      </c>
      <c r="IB1068" s="319" t="s">
        <v>173</v>
      </c>
      <c r="IC1068" s="319" t="s">
        <v>173</v>
      </c>
      <c r="ID1068" s="319" t="s">
        <v>173</v>
      </c>
      <c r="IE1068" s="319" t="s">
        <v>173</v>
      </c>
      <c r="IF1068" s="319" t="s">
        <v>173</v>
      </c>
      <c r="IG1068" s="319" t="s">
        <v>173</v>
      </c>
      <c r="IH1068" s="319" t="s">
        <v>173</v>
      </c>
      <c r="II1068" s="319" t="s">
        <v>173</v>
      </c>
      <c r="IJ1068" s="319" t="s">
        <v>173</v>
      </c>
      <c r="IK1068" s="319" t="s">
        <v>173</v>
      </c>
      <c r="IL1068" s="319" t="s">
        <v>173</v>
      </c>
      <c r="IM1068" s="319" t="s">
        <v>173</v>
      </c>
      <c r="IN1068" s="319" t="s">
        <v>173</v>
      </c>
      <c r="IO1068" s="319" t="s">
        <v>173</v>
      </c>
      <c r="IP1068" s="319" t="s">
        <v>173</v>
      </c>
      <c r="IQ1068" s="321" t="s">
        <v>173</v>
      </c>
      <c r="IR1068" s="320" t="s">
        <v>173</v>
      </c>
      <c r="IS1068" s="322" t="s">
        <v>173</v>
      </c>
      <c r="IT1068" s="319" t="s">
        <v>173</v>
      </c>
    </row>
    <row r="1069" spans="1:254" s="271" customFormat="1" x14ac:dyDescent="0.25">
      <c r="A1069" s="318" t="str">
        <f>HYPERLINK("http://www.ofsted.gov.uk/inspection-reports/find-inspection-report/provider/ELS/147171 ","Ofsted School Webpage")</f>
        <v>Ofsted School Webpage</v>
      </c>
      <c r="B1069" s="319">
        <v>147171</v>
      </c>
      <c r="C1069" s="319">
        <v>3826014</v>
      </c>
      <c r="D1069" s="319" t="s">
        <v>3640</v>
      </c>
      <c r="E1069" s="319" t="s">
        <v>167</v>
      </c>
      <c r="F1069" s="319" t="s">
        <v>434</v>
      </c>
      <c r="G1069" s="319" t="s">
        <v>71</v>
      </c>
      <c r="H1069" s="319" t="s">
        <v>71</v>
      </c>
      <c r="I1069" s="319" t="s">
        <v>72</v>
      </c>
      <c r="J1069" s="319" t="s">
        <v>424</v>
      </c>
      <c r="K1069" s="319" t="s">
        <v>458</v>
      </c>
      <c r="L1069" s="319" t="s">
        <v>459</v>
      </c>
      <c r="M1069" s="319" t="s">
        <v>682</v>
      </c>
      <c r="N1069" s="319" t="s">
        <v>2886</v>
      </c>
      <c r="O1069" s="319" t="s">
        <v>2470</v>
      </c>
      <c r="P1069" s="319" t="s">
        <v>173</v>
      </c>
      <c r="Q1069" s="319" t="s">
        <v>2766</v>
      </c>
      <c r="R1069" s="320" t="s">
        <v>173</v>
      </c>
      <c r="S1069" s="321" t="s">
        <v>173</v>
      </c>
      <c r="T1069" s="321" t="s">
        <v>173</v>
      </c>
      <c r="U1069" s="321" t="s">
        <v>173</v>
      </c>
      <c r="V1069" s="319" t="s">
        <v>173</v>
      </c>
      <c r="W1069" s="319" t="s">
        <v>173</v>
      </c>
      <c r="X1069" s="319" t="s">
        <v>173</v>
      </c>
      <c r="Y1069" s="319" t="s">
        <v>173</v>
      </c>
      <c r="Z1069" s="319" t="s">
        <v>173</v>
      </c>
      <c r="AA1069" s="319" t="s">
        <v>173</v>
      </c>
      <c r="AB1069" s="319" t="s">
        <v>173</v>
      </c>
      <c r="AC1069" s="319" t="s">
        <v>173</v>
      </c>
      <c r="AD1069" s="319" t="s">
        <v>173</v>
      </c>
      <c r="AE1069" s="319" t="s">
        <v>173</v>
      </c>
      <c r="AF1069" s="319" t="s">
        <v>173</v>
      </c>
      <c r="AG1069" s="319" t="s">
        <v>173</v>
      </c>
      <c r="AH1069" s="319" t="s">
        <v>173</v>
      </c>
      <c r="AI1069" s="319" t="s">
        <v>173</v>
      </c>
      <c r="AJ1069" s="319" t="s">
        <v>173</v>
      </c>
      <c r="AK1069" s="319" t="s">
        <v>173</v>
      </c>
      <c r="AL1069" s="319" t="s">
        <v>173</v>
      </c>
      <c r="AM1069" s="319" t="s">
        <v>173</v>
      </c>
      <c r="AN1069" s="319" t="s">
        <v>173</v>
      </c>
      <c r="AO1069" s="319" t="s">
        <v>173</v>
      </c>
      <c r="AP1069" s="319" t="s">
        <v>173</v>
      </c>
      <c r="AQ1069" s="319" t="s">
        <v>173</v>
      </c>
      <c r="AR1069" s="319" t="s">
        <v>173</v>
      </c>
      <c r="AS1069" s="319" t="s">
        <v>173</v>
      </c>
      <c r="AT1069" s="319" t="s">
        <v>173</v>
      </c>
      <c r="AU1069" s="319" t="s">
        <v>173</v>
      </c>
      <c r="AV1069" s="319" t="s">
        <v>173</v>
      </c>
      <c r="AW1069" s="319" t="s">
        <v>173</v>
      </c>
      <c r="AX1069" s="319" t="s">
        <v>173</v>
      </c>
      <c r="AY1069" s="319" t="s">
        <v>173</v>
      </c>
      <c r="AZ1069" s="319" t="s">
        <v>173</v>
      </c>
      <c r="BA1069" s="319" t="s">
        <v>173</v>
      </c>
      <c r="BB1069" s="319" t="s">
        <v>173</v>
      </c>
      <c r="BC1069" s="319" t="s">
        <v>173</v>
      </c>
      <c r="BD1069" s="319" t="s">
        <v>173</v>
      </c>
      <c r="BE1069" s="319" t="s">
        <v>173</v>
      </c>
      <c r="BF1069" s="319" t="s">
        <v>173</v>
      </c>
      <c r="BG1069" s="319" t="s">
        <v>173</v>
      </c>
      <c r="BH1069" s="319" t="s">
        <v>173</v>
      </c>
      <c r="BI1069" s="319" t="s">
        <v>173</v>
      </c>
      <c r="BJ1069" s="319" t="s">
        <v>173</v>
      </c>
      <c r="BK1069" s="319" t="s">
        <v>173</v>
      </c>
      <c r="BL1069" s="319" t="s">
        <v>173</v>
      </c>
      <c r="BM1069" s="319" t="s">
        <v>173</v>
      </c>
      <c r="BN1069" s="319" t="s">
        <v>173</v>
      </c>
      <c r="BO1069" s="319" t="s">
        <v>173</v>
      </c>
      <c r="BP1069" s="319" t="s">
        <v>173</v>
      </c>
      <c r="BQ1069" s="319" t="s">
        <v>173</v>
      </c>
      <c r="BR1069" s="319" t="s">
        <v>173</v>
      </c>
      <c r="BS1069" s="319" t="s">
        <v>173</v>
      </c>
      <c r="BT1069" s="319" t="s">
        <v>173</v>
      </c>
      <c r="BU1069" s="319" t="s">
        <v>173</v>
      </c>
      <c r="BV1069" s="319" t="s">
        <v>173</v>
      </c>
      <c r="BW1069" s="319" t="s">
        <v>173</v>
      </c>
      <c r="BX1069" s="319" t="s">
        <v>173</v>
      </c>
      <c r="BY1069" s="319" t="s">
        <v>173</v>
      </c>
      <c r="BZ1069" s="319" t="s">
        <v>173</v>
      </c>
      <c r="CA1069" s="319" t="s">
        <v>173</v>
      </c>
      <c r="CB1069" s="319" t="s">
        <v>173</v>
      </c>
      <c r="CC1069" s="319" t="s">
        <v>173</v>
      </c>
      <c r="CD1069" s="319" t="s">
        <v>173</v>
      </c>
      <c r="CE1069" s="319" t="s">
        <v>173</v>
      </c>
      <c r="CF1069" s="319" t="s">
        <v>173</v>
      </c>
      <c r="CG1069" s="319" t="s">
        <v>173</v>
      </c>
      <c r="CH1069" s="319" t="s">
        <v>173</v>
      </c>
      <c r="CI1069" s="319" t="s">
        <v>173</v>
      </c>
      <c r="CJ1069" s="319" t="s">
        <v>173</v>
      </c>
      <c r="CK1069" s="319" t="s">
        <v>173</v>
      </c>
      <c r="CL1069" s="319" t="s">
        <v>173</v>
      </c>
      <c r="CM1069" s="319" t="s">
        <v>173</v>
      </c>
      <c r="CN1069" s="319" t="s">
        <v>173</v>
      </c>
      <c r="CO1069" s="319" t="s">
        <v>173</v>
      </c>
      <c r="CP1069" s="319" t="s">
        <v>173</v>
      </c>
      <c r="CQ1069" s="319" t="s">
        <v>173</v>
      </c>
      <c r="CR1069" s="319" t="s">
        <v>173</v>
      </c>
      <c r="CS1069" s="319" t="s">
        <v>173</v>
      </c>
      <c r="CT1069" s="319" t="s">
        <v>173</v>
      </c>
      <c r="CU1069" s="319" t="s">
        <v>173</v>
      </c>
      <c r="CV1069" s="319" t="s">
        <v>173</v>
      </c>
      <c r="CW1069" s="319" t="s">
        <v>173</v>
      </c>
      <c r="CX1069" s="319" t="s">
        <v>173</v>
      </c>
      <c r="CY1069" s="319" t="s">
        <v>173</v>
      </c>
      <c r="CZ1069" s="319" t="s">
        <v>173</v>
      </c>
      <c r="DA1069" s="319" t="s">
        <v>173</v>
      </c>
      <c r="DB1069" s="319" t="s">
        <v>173</v>
      </c>
      <c r="DC1069" s="319" t="s">
        <v>173</v>
      </c>
      <c r="DD1069" s="319" t="s">
        <v>173</v>
      </c>
      <c r="DE1069" s="319" t="s">
        <v>173</v>
      </c>
      <c r="DF1069" s="319" t="s">
        <v>173</v>
      </c>
      <c r="DG1069" s="319" t="s">
        <v>173</v>
      </c>
      <c r="DH1069" s="319" t="s">
        <v>173</v>
      </c>
      <c r="DI1069" s="319" t="s">
        <v>173</v>
      </c>
      <c r="DJ1069" s="319" t="s">
        <v>173</v>
      </c>
      <c r="DK1069" s="319" t="s">
        <v>173</v>
      </c>
      <c r="DL1069" s="319" t="s">
        <v>173</v>
      </c>
      <c r="DM1069" s="319" t="s">
        <v>173</v>
      </c>
      <c r="DN1069" s="319" t="s">
        <v>173</v>
      </c>
      <c r="DO1069" s="319" t="s">
        <v>173</v>
      </c>
      <c r="DP1069" s="319" t="s">
        <v>173</v>
      </c>
      <c r="DQ1069" s="319" t="s">
        <v>173</v>
      </c>
      <c r="DR1069" s="319" t="s">
        <v>173</v>
      </c>
      <c r="DS1069" s="319" t="s">
        <v>173</v>
      </c>
      <c r="DT1069" s="319" t="s">
        <v>173</v>
      </c>
      <c r="DU1069" s="319" t="s">
        <v>173</v>
      </c>
      <c r="DV1069" s="319" t="s">
        <v>173</v>
      </c>
      <c r="DW1069" s="319" t="s">
        <v>173</v>
      </c>
      <c r="DX1069" s="319" t="s">
        <v>173</v>
      </c>
      <c r="DY1069" s="319" t="s">
        <v>173</v>
      </c>
      <c r="DZ1069" s="319" t="s">
        <v>173</v>
      </c>
      <c r="EA1069" s="319" t="s">
        <v>173</v>
      </c>
      <c r="EB1069" s="319" t="s">
        <v>173</v>
      </c>
      <c r="EC1069" s="319" t="s">
        <v>173</v>
      </c>
      <c r="ED1069" s="319" t="s">
        <v>173</v>
      </c>
      <c r="EE1069" s="319" t="s">
        <v>173</v>
      </c>
      <c r="EF1069" s="319" t="s">
        <v>173</v>
      </c>
      <c r="EG1069" s="319" t="s">
        <v>173</v>
      </c>
      <c r="EH1069" s="319" t="s">
        <v>173</v>
      </c>
      <c r="EI1069" s="319" t="s">
        <v>173</v>
      </c>
      <c r="EJ1069" s="319" t="s">
        <v>173</v>
      </c>
      <c r="EK1069" s="319" t="s">
        <v>173</v>
      </c>
      <c r="EL1069" s="319" t="s">
        <v>173</v>
      </c>
      <c r="EM1069" s="319" t="s">
        <v>173</v>
      </c>
      <c r="EN1069" s="319" t="s">
        <v>173</v>
      </c>
      <c r="EO1069" s="319" t="s">
        <v>173</v>
      </c>
      <c r="EP1069" s="319" t="s">
        <v>173</v>
      </c>
      <c r="EQ1069" s="319" t="s">
        <v>173</v>
      </c>
      <c r="ER1069" s="319" t="s">
        <v>173</v>
      </c>
      <c r="ES1069" s="319" t="s">
        <v>173</v>
      </c>
      <c r="ET1069" s="319" t="s">
        <v>173</v>
      </c>
      <c r="EU1069" s="319" t="s">
        <v>173</v>
      </c>
      <c r="EV1069" s="319" t="s">
        <v>173</v>
      </c>
      <c r="EW1069" s="319" t="s">
        <v>173</v>
      </c>
      <c r="EX1069" s="319" t="s">
        <v>173</v>
      </c>
      <c r="EY1069" s="319" t="s">
        <v>173</v>
      </c>
      <c r="EZ1069" s="319" t="s">
        <v>173</v>
      </c>
      <c r="FA1069" s="319" t="s">
        <v>173</v>
      </c>
      <c r="FB1069" s="319" t="s">
        <v>173</v>
      </c>
      <c r="FC1069" s="319" t="s">
        <v>173</v>
      </c>
      <c r="FD1069" s="319" t="s">
        <v>173</v>
      </c>
      <c r="FE1069" s="319" t="s">
        <v>173</v>
      </c>
      <c r="FF1069" s="319" t="s">
        <v>173</v>
      </c>
      <c r="FG1069" s="319" t="s">
        <v>173</v>
      </c>
      <c r="FH1069" s="319" t="s">
        <v>173</v>
      </c>
      <c r="FI1069" s="319" t="s">
        <v>173</v>
      </c>
      <c r="FJ1069" s="319" t="s">
        <v>173</v>
      </c>
      <c r="FK1069" s="319" t="s">
        <v>173</v>
      </c>
      <c r="FL1069" s="319" t="s">
        <v>173</v>
      </c>
      <c r="FM1069" s="319" t="s">
        <v>173</v>
      </c>
      <c r="FN1069" s="319" t="s">
        <v>173</v>
      </c>
      <c r="FO1069" s="319" t="s">
        <v>173</v>
      </c>
      <c r="FP1069" s="319" t="s">
        <v>173</v>
      </c>
      <c r="FQ1069" s="319" t="s">
        <v>173</v>
      </c>
      <c r="FR1069" s="319" t="s">
        <v>173</v>
      </c>
      <c r="FS1069" s="319" t="s">
        <v>173</v>
      </c>
      <c r="FT1069" s="319" t="s">
        <v>173</v>
      </c>
      <c r="FU1069" s="319" t="s">
        <v>173</v>
      </c>
      <c r="FV1069" s="319" t="s">
        <v>173</v>
      </c>
      <c r="FW1069" s="319" t="s">
        <v>173</v>
      </c>
      <c r="FX1069" s="319" t="s">
        <v>173</v>
      </c>
      <c r="FY1069" s="319" t="s">
        <v>173</v>
      </c>
      <c r="FZ1069" s="319" t="s">
        <v>173</v>
      </c>
      <c r="GA1069" s="319" t="s">
        <v>173</v>
      </c>
      <c r="GB1069" s="319" t="s">
        <v>173</v>
      </c>
      <c r="GC1069" s="319" t="s">
        <v>173</v>
      </c>
      <c r="GD1069" s="319" t="s">
        <v>173</v>
      </c>
      <c r="GE1069" s="319" t="s">
        <v>173</v>
      </c>
      <c r="GF1069" s="319" t="s">
        <v>173</v>
      </c>
      <c r="GG1069" s="319" t="s">
        <v>173</v>
      </c>
      <c r="GH1069" s="319" t="s">
        <v>173</v>
      </c>
      <c r="GI1069" s="319" t="s">
        <v>173</v>
      </c>
      <c r="GJ1069" s="319" t="s">
        <v>173</v>
      </c>
      <c r="GK1069" s="319" t="s">
        <v>173</v>
      </c>
      <c r="GL1069" s="319" t="s">
        <v>173</v>
      </c>
      <c r="GM1069" s="319" t="s">
        <v>173</v>
      </c>
      <c r="GN1069" s="319" t="s">
        <v>173</v>
      </c>
      <c r="GO1069" s="319" t="s">
        <v>173</v>
      </c>
      <c r="GP1069" s="319" t="s">
        <v>173</v>
      </c>
      <c r="GQ1069" s="319" t="s">
        <v>173</v>
      </c>
      <c r="GR1069" s="319" t="s">
        <v>173</v>
      </c>
      <c r="GS1069" s="319" t="s">
        <v>173</v>
      </c>
      <c r="GT1069" s="319" t="s">
        <v>173</v>
      </c>
      <c r="GU1069" s="319" t="s">
        <v>173</v>
      </c>
      <c r="GV1069" s="319" t="s">
        <v>173</v>
      </c>
      <c r="GW1069" s="319" t="s">
        <v>173</v>
      </c>
      <c r="GX1069" s="319" t="s">
        <v>173</v>
      </c>
      <c r="GY1069" s="319" t="s">
        <v>173</v>
      </c>
      <c r="GZ1069" s="319" t="s">
        <v>173</v>
      </c>
      <c r="HA1069" s="319" t="s">
        <v>173</v>
      </c>
      <c r="HB1069" s="319" t="s">
        <v>173</v>
      </c>
      <c r="HC1069" s="319" t="s">
        <v>173</v>
      </c>
      <c r="HD1069" s="319" t="s">
        <v>173</v>
      </c>
      <c r="HE1069" s="319" t="s">
        <v>173</v>
      </c>
      <c r="HF1069" s="319" t="s">
        <v>173</v>
      </c>
      <c r="HG1069" s="319" t="s">
        <v>173</v>
      </c>
      <c r="HH1069" s="319" t="s">
        <v>173</v>
      </c>
      <c r="HI1069" s="319" t="s">
        <v>173</v>
      </c>
      <c r="HJ1069" s="319" t="s">
        <v>173</v>
      </c>
      <c r="HK1069" s="319" t="s">
        <v>173</v>
      </c>
      <c r="HL1069" s="319" t="s">
        <v>173</v>
      </c>
      <c r="HM1069" s="319" t="s">
        <v>173</v>
      </c>
      <c r="HN1069" s="319" t="s">
        <v>173</v>
      </c>
      <c r="HO1069" s="319" t="s">
        <v>173</v>
      </c>
      <c r="HP1069" s="319" t="s">
        <v>173</v>
      </c>
      <c r="HQ1069" s="319" t="s">
        <v>173</v>
      </c>
      <c r="HR1069" s="319" t="s">
        <v>173</v>
      </c>
      <c r="HS1069" s="319" t="s">
        <v>173</v>
      </c>
      <c r="HT1069" s="319" t="s">
        <v>173</v>
      </c>
      <c r="HU1069" s="319" t="s">
        <v>173</v>
      </c>
      <c r="HV1069" s="319" t="s">
        <v>173</v>
      </c>
      <c r="HW1069" s="319" t="s">
        <v>173</v>
      </c>
      <c r="HX1069" s="319" t="s">
        <v>173</v>
      </c>
      <c r="HY1069" s="319" t="s">
        <v>173</v>
      </c>
      <c r="HZ1069" s="319" t="s">
        <v>173</v>
      </c>
      <c r="IA1069" s="319" t="s">
        <v>173</v>
      </c>
      <c r="IB1069" s="319" t="s">
        <v>173</v>
      </c>
      <c r="IC1069" s="319" t="s">
        <v>173</v>
      </c>
      <c r="ID1069" s="319" t="s">
        <v>173</v>
      </c>
      <c r="IE1069" s="319" t="s">
        <v>173</v>
      </c>
      <c r="IF1069" s="319" t="s">
        <v>173</v>
      </c>
      <c r="IG1069" s="319" t="s">
        <v>173</v>
      </c>
      <c r="IH1069" s="319" t="s">
        <v>173</v>
      </c>
      <c r="II1069" s="319" t="s">
        <v>173</v>
      </c>
      <c r="IJ1069" s="319" t="s">
        <v>173</v>
      </c>
      <c r="IK1069" s="319" t="s">
        <v>173</v>
      </c>
      <c r="IL1069" s="319" t="s">
        <v>173</v>
      </c>
      <c r="IM1069" s="319" t="s">
        <v>173</v>
      </c>
      <c r="IN1069" s="319" t="s">
        <v>173</v>
      </c>
      <c r="IO1069" s="319" t="s">
        <v>173</v>
      </c>
      <c r="IP1069" s="319" t="s">
        <v>173</v>
      </c>
      <c r="IQ1069" s="319" t="s">
        <v>173</v>
      </c>
      <c r="IR1069" s="320" t="s">
        <v>173</v>
      </c>
      <c r="IS1069" s="320" t="s">
        <v>173</v>
      </c>
      <c r="IT1069" s="319" t="s">
        <v>173</v>
      </c>
    </row>
    <row r="1070" spans="1:254" s="271" customFormat="1" x14ac:dyDescent="0.25">
      <c r="A1070" s="318" t="str">
        <f>HYPERLINK("http://www.ofsted.gov.uk/inspection-reports/find-inspection-report/provider/ELS/147184 ","Ofsted School Webpage")</f>
        <v>Ofsted School Webpage</v>
      </c>
      <c r="B1070" s="319">
        <v>147184</v>
      </c>
      <c r="C1070" s="319">
        <v>3066020</v>
      </c>
      <c r="D1070" s="319" t="s">
        <v>3641</v>
      </c>
      <c r="E1070" s="319" t="s">
        <v>167</v>
      </c>
      <c r="F1070" s="319" t="s">
        <v>81</v>
      </c>
      <c r="G1070" s="319" t="s">
        <v>71</v>
      </c>
      <c r="H1070" s="319" t="s">
        <v>71</v>
      </c>
      <c r="I1070" s="319" t="s">
        <v>72</v>
      </c>
      <c r="J1070" s="319" t="s">
        <v>424</v>
      </c>
      <c r="K1070" s="319" t="s">
        <v>441</v>
      </c>
      <c r="L1070" s="319" t="s">
        <v>441</v>
      </c>
      <c r="M1070" s="319" t="s">
        <v>734</v>
      </c>
      <c r="N1070" s="319" t="s">
        <v>3160</v>
      </c>
      <c r="O1070" s="319" t="s">
        <v>3642</v>
      </c>
      <c r="P1070" s="319" t="s">
        <v>173</v>
      </c>
      <c r="Q1070" s="319" t="s">
        <v>2766</v>
      </c>
      <c r="R1070" s="320" t="s">
        <v>173</v>
      </c>
      <c r="S1070" s="321" t="s">
        <v>173</v>
      </c>
      <c r="T1070" s="321" t="s">
        <v>173</v>
      </c>
      <c r="U1070" s="321" t="s">
        <v>173</v>
      </c>
      <c r="V1070" s="319" t="s">
        <v>173</v>
      </c>
      <c r="W1070" s="319" t="s">
        <v>173</v>
      </c>
      <c r="X1070" s="319" t="s">
        <v>173</v>
      </c>
      <c r="Y1070" s="319" t="s">
        <v>173</v>
      </c>
      <c r="Z1070" s="319" t="s">
        <v>173</v>
      </c>
      <c r="AA1070" s="319" t="s">
        <v>173</v>
      </c>
      <c r="AB1070" s="319" t="s">
        <v>173</v>
      </c>
      <c r="AC1070" s="319" t="s">
        <v>173</v>
      </c>
      <c r="AD1070" s="319" t="s">
        <v>173</v>
      </c>
      <c r="AE1070" s="319" t="s">
        <v>173</v>
      </c>
      <c r="AF1070" s="319" t="s">
        <v>173</v>
      </c>
      <c r="AG1070" s="319" t="s">
        <v>173</v>
      </c>
      <c r="AH1070" s="319" t="s">
        <v>173</v>
      </c>
      <c r="AI1070" s="319" t="s">
        <v>173</v>
      </c>
      <c r="AJ1070" s="319" t="s">
        <v>173</v>
      </c>
      <c r="AK1070" s="319" t="s">
        <v>173</v>
      </c>
      <c r="AL1070" s="319" t="s">
        <v>173</v>
      </c>
      <c r="AM1070" s="319" t="s">
        <v>173</v>
      </c>
      <c r="AN1070" s="319" t="s">
        <v>173</v>
      </c>
      <c r="AO1070" s="319" t="s">
        <v>173</v>
      </c>
      <c r="AP1070" s="319" t="s">
        <v>173</v>
      </c>
      <c r="AQ1070" s="319" t="s">
        <v>173</v>
      </c>
      <c r="AR1070" s="319" t="s">
        <v>173</v>
      </c>
      <c r="AS1070" s="319" t="s">
        <v>173</v>
      </c>
      <c r="AT1070" s="319" t="s">
        <v>173</v>
      </c>
      <c r="AU1070" s="319" t="s">
        <v>173</v>
      </c>
      <c r="AV1070" s="319" t="s">
        <v>173</v>
      </c>
      <c r="AW1070" s="319" t="s">
        <v>173</v>
      </c>
      <c r="AX1070" s="319" t="s">
        <v>173</v>
      </c>
      <c r="AY1070" s="319" t="s">
        <v>173</v>
      </c>
      <c r="AZ1070" s="319" t="s">
        <v>173</v>
      </c>
      <c r="BA1070" s="319" t="s">
        <v>173</v>
      </c>
      <c r="BB1070" s="319" t="s">
        <v>173</v>
      </c>
      <c r="BC1070" s="319" t="s">
        <v>173</v>
      </c>
      <c r="BD1070" s="319" t="s">
        <v>173</v>
      </c>
      <c r="BE1070" s="319" t="s">
        <v>173</v>
      </c>
      <c r="BF1070" s="319" t="s">
        <v>173</v>
      </c>
      <c r="BG1070" s="319" t="s">
        <v>173</v>
      </c>
      <c r="BH1070" s="319" t="s">
        <v>173</v>
      </c>
      <c r="BI1070" s="319" t="s">
        <v>173</v>
      </c>
      <c r="BJ1070" s="319" t="s">
        <v>173</v>
      </c>
      <c r="BK1070" s="319" t="s">
        <v>173</v>
      </c>
      <c r="BL1070" s="319" t="s">
        <v>173</v>
      </c>
      <c r="BM1070" s="319" t="s">
        <v>173</v>
      </c>
      <c r="BN1070" s="319" t="s">
        <v>173</v>
      </c>
      <c r="BO1070" s="319" t="s">
        <v>173</v>
      </c>
      <c r="BP1070" s="319" t="s">
        <v>173</v>
      </c>
      <c r="BQ1070" s="319" t="s">
        <v>173</v>
      </c>
      <c r="BR1070" s="319" t="s">
        <v>173</v>
      </c>
      <c r="BS1070" s="319" t="s">
        <v>173</v>
      </c>
      <c r="BT1070" s="319" t="s">
        <v>173</v>
      </c>
      <c r="BU1070" s="319" t="s">
        <v>173</v>
      </c>
      <c r="BV1070" s="319" t="s">
        <v>173</v>
      </c>
      <c r="BW1070" s="319" t="s">
        <v>173</v>
      </c>
      <c r="BX1070" s="319" t="s">
        <v>173</v>
      </c>
      <c r="BY1070" s="319" t="s">
        <v>173</v>
      </c>
      <c r="BZ1070" s="319" t="s">
        <v>173</v>
      </c>
      <c r="CA1070" s="319" t="s">
        <v>173</v>
      </c>
      <c r="CB1070" s="319" t="s">
        <v>173</v>
      </c>
      <c r="CC1070" s="319" t="s">
        <v>173</v>
      </c>
      <c r="CD1070" s="319" t="s">
        <v>173</v>
      </c>
      <c r="CE1070" s="319" t="s">
        <v>173</v>
      </c>
      <c r="CF1070" s="319" t="s">
        <v>173</v>
      </c>
      <c r="CG1070" s="319" t="s">
        <v>173</v>
      </c>
      <c r="CH1070" s="319" t="s">
        <v>173</v>
      </c>
      <c r="CI1070" s="319" t="s">
        <v>173</v>
      </c>
      <c r="CJ1070" s="319" t="s">
        <v>173</v>
      </c>
      <c r="CK1070" s="319" t="s">
        <v>173</v>
      </c>
      <c r="CL1070" s="319" t="s">
        <v>173</v>
      </c>
      <c r="CM1070" s="319" t="s">
        <v>173</v>
      </c>
      <c r="CN1070" s="319" t="s">
        <v>173</v>
      </c>
      <c r="CO1070" s="319" t="s">
        <v>173</v>
      </c>
      <c r="CP1070" s="319" t="s">
        <v>173</v>
      </c>
      <c r="CQ1070" s="319" t="s">
        <v>173</v>
      </c>
      <c r="CR1070" s="319" t="s">
        <v>173</v>
      </c>
      <c r="CS1070" s="319" t="s">
        <v>173</v>
      </c>
      <c r="CT1070" s="319" t="s">
        <v>173</v>
      </c>
      <c r="CU1070" s="319" t="s">
        <v>173</v>
      </c>
      <c r="CV1070" s="319" t="s">
        <v>173</v>
      </c>
      <c r="CW1070" s="319" t="s">
        <v>173</v>
      </c>
      <c r="CX1070" s="319" t="s">
        <v>173</v>
      </c>
      <c r="CY1070" s="319" t="s">
        <v>173</v>
      </c>
      <c r="CZ1070" s="319" t="s">
        <v>173</v>
      </c>
      <c r="DA1070" s="319" t="s">
        <v>173</v>
      </c>
      <c r="DB1070" s="319" t="s">
        <v>173</v>
      </c>
      <c r="DC1070" s="319" t="s">
        <v>173</v>
      </c>
      <c r="DD1070" s="319" t="s">
        <v>173</v>
      </c>
      <c r="DE1070" s="319" t="s">
        <v>173</v>
      </c>
      <c r="DF1070" s="319" t="s">
        <v>173</v>
      </c>
      <c r="DG1070" s="319" t="s">
        <v>173</v>
      </c>
      <c r="DH1070" s="319" t="s">
        <v>173</v>
      </c>
      <c r="DI1070" s="319" t="s">
        <v>173</v>
      </c>
      <c r="DJ1070" s="319" t="s">
        <v>173</v>
      </c>
      <c r="DK1070" s="319" t="s">
        <v>173</v>
      </c>
      <c r="DL1070" s="319" t="s">
        <v>173</v>
      </c>
      <c r="DM1070" s="319" t="s">
        <v>173</v>
      </c>
      <c r="DN1070" s="319" t="s">
        <v>173</v>
      </c>
      <c r="DO1070" s="319" t="s">
        <v>173</v>
      </c>
      <c r="DP1070" s="319" t="s">
        <v>173</v>
      </c>
      <c r="DQ1070" s="319" t="s">
        <v>173</v>
      </c>
      <c r="DR1070" s="319" t="s">
        <v>173</v>
      </c>
      <c r="DS1070" s="319" t="s">
        <v>173</v>
      </c>
      <c r="DT1070" s="319" t="s">
        <v>173</v>
      </c>
      <c r="DU1070" s="319" t="s">
        <v>173</v>
      </c>
      <c r="DV1070" s="319" t="s">
        <v>173</v>
      </c>
      <c r="DW1070" s="319" t="s">
        <v>173</v>
      </c>
      <c r="DX1070" s="319" t="s">
        <v>173</v>
      </c>
      <c r="DY1070" s="319" t="s">
        <v>173</v>
      </c>
      <c r="DZ1070" s="319" t="s">
        <v>173</v>
      </c>
      <c r="EA1070" s="319" t="s">
        <v>173</v>
      </c>
      <c r="EB1070" s="319" t="s">
        <v>173</v>
      </c>
      <c r="EC1070" s="319" t="s">
        <v>173</v>
      </c>
      <c r="ED1070" s="319" t="s">
        <v>173</v>
      </c>
      <c r="EE1070" s="319" t="s">
        <v>173</v>
      </c>
      <c r="EF1070" s="319" t="s">
        <v>173</v>
      </c>
      <c r="EG1070" s="319" t="s">
        <v>173</v>
      </c>
      <c r="EH1070" s="319" t="s">
        <v>173</v>
      </c>
      <c r="EI1070" s="319" t="s">
        <v>173</v>
      </c>
      <c r="EJ1070" s="319" t="s">
        <v>173</v>
      </c>
      <c r="EK1070" s="319" t="s">
        <v>173</v>
      </c>
      <c r="EL1070" s="319" t="s">
        <v>173</v>
      </c>
      <c r="EM1070" s="319" t="s">
        <v>173</v>
      </c>
      <c r="EN1070" s="319" t="s">
        <v>173</v>
      </c>
      <c r="EO1070" s="319" t="s">
        <v>173</v>
      </c>
      <c r="EP1070" s="319" t="s">
        <v>173</v>
      </c>
      <c r="EQ1070" s="319" t="s">
        <v>173</v>
      </c>
      <c r="ER1070" s="319" t="s">
        <v>173</v>
      </c>
      <c r="ES1070" s="319" t="s">
        <v>173</v>
      </c>
      <c r="ET1070" s="319" t="s">
        <v>173</v>
      </c>
      <c r="EU1070" s="319" t="s">
        <v>173</v>
      </c>
      <c r="EV1070" s="319" t="s">
        <v>173</v>
      </c>
      <c r="EW1070" s="319" t="s">
        <v>173</v>
      </c>
      <c r="EX1070" s="319" t="s">
        <v>173</v>
      </c>
      <c r="EY1070" s="319" t="s">
        <v>173</v>
      </c>
      <c r="EZ1070" s="319" t="s">
        <v>173</v>
      </c>
      <c r="FA1070" s="319" t="s">
        <v>173</v>
      </c>
      <c r="FB1070" s="319" t="s">
        <v>173</v>
      </c>
      <c r="FC1070" s="319" t="s">
        <v>173</v>
      </c>
      <c r="FD1070" s="319" t="s">
        <v>173</v>
      </c>
      <c r="FE1070" s="319" t="s">
        <v>173</v>
      </c>
      <c r="FF1070" s="319" t="s">
        <v>173</v>
      </c>
      <c r="FG1070" s="319" t="s">
        <v>173</v>
      </c>
      <c r="FH1070" s="319" t="s">
        <v>173</v>
      </c>
      <c r="FI1070" s="319" t="s">
        <v>173</v>
      </c>
      <c r="FJ1070" s="319" t="s">
        <v>173</v>
      </c>
      <c r="FK1070" s="319" t="s">
        <v>173</v>
      </c>
      <c r="FL1070" s="319" t="s">
        <v>173</v>
      </c>
      <c r="FM1070" s="319" t="s">
        <v>173</v>
      </c>
      <c r="FN1070" s="319" t="s">
        <v>173</v>
      </c>
      <c r="FO1070" s="319" t="s">
        <v>173</v>
      </c>
      <c r="FP1070" s="319" t="s">
        <v>173</v>
      </c>
      <c r="FQ1070" s="319" t="s">
        <v>173</v>
      </c>
      <c r="FR1070" s="319" t="s">
        <v>173</v>
      </c>
      <c r="FS1070" s="319" t="s">
        <v>173</v>
      </c>
      <c r="FT1070" s="319" t="s">
        <v>173</v>
      </c>
      <c r="FU1070" s="319" t="s">
        <v>173</v>
      </c>
      <c r="FV1070" s="319" t="s">
        <v>173</v>
      </c>
      <c r="FW1070" s="319" t="s">
        <v>173</v>
      </c>
      <c r="FX1070" s="319" t="s">
        <v>173</v>
      </c>
      <c r="FY1070" s="319" t="s">
        <v>173</v>
      </c>
      <c r="FZ1070" s="319" t="s">
        <v>173</v>
      </c>
      <c r="GA1070" s="319" t="s">
        <v>173</v>
      </c>
      <c r="GB1070" s="319" t="s">
        <v>173</v>
      </c>
      <c r="GC1070" s="319" t="s">
        <v>173</v>
      </c>
      <c r="GD1070" s="319" t="s">
        <v>173</v>
      </c>
      <c r="GE1070" s="319" t="s">
        <v>173</v>
      </c>
      <c r="GF1070" s="319" t="s">
        <v>173</v>
      </c>
      <c r="GG1070" s="319" t="s">
        <v>173</v>
      </c>
      <c r="GH1070" s="319" t="s">
        <v>173</v>
      </c>
      <c r="GI1070" s="319" t="s">
        <v>173</v>
      </c>
      <c r="GJ1070" s="319" t="s">
        <v>173</v>
      </c>
      <c r="GK1070" s="319" t="s">
        <v>173</v>
      </c>
      <c r="GL1070" s="319" t="s">
        <v>173</v>
      </c>
      <c r="GM1070" s="319" t="s">
        <v>173</v>
      </c>
      <c r="GN1070" s="319" t="s">
        <v>173</v>
      </c>
      <c r="GO1070" s="319" t="s">
        <v>173</v>
      </c>
      <c r="GP1070" s="319" t="s">
        <v>173</v>
      </c>
      <c r="GQ1070" s="319" t="s">
        <v>173</v>
      </c>
      <c r="GR1070" s="319" t="s">
        <v>173</v>
      </c>
      <c r="GS1070" s="319" t="s">
        <v>173</v>
      </c>
      <c r="GT1070" s="319" t="s">
        <v>173</v>
      </c>
      <c r="GU1070" s="319" t="s">
        <v>173</v>
      </c>
      <c r="GV1070" s="319" t="s">
        <v>173</v>
      </c>
      <c r="GW1070" s="319" t="s">
        <v>173</v>
      </c>
      <c r="GX1070" s="319" t="s">
        <v>173</v>
      </c>
      <c r="GY1070" s="319" t="s">
        <v>173</v>
      </c>
      <c r="GZ1070" s="319" t="s">
        <v>173</v>
      </c>
      <c r="HA1070" s="319" t="s">
        <v>173</v>
      </c>
      <c r="HB1070" s="319" t="s">
        <v>173</v>
      </c>
      <c r="HC1070" s="319" t="s">
        <v>173</v>
      </c>
      <c r="HD1070" s="319" t="s">
        <v>173</v>
      </c>
      <c r="HE1070" s="319" t="s">
        <v>173</v>
      </c>
      <c r="HF1070" s="319" t="s">
        <v>173</v>
      </c>
      <c r="HG1070" s="319" t="s">
        <v>173</v>
      </c>
      <c r="HH1070" s="319" t="s">
        <v>173</v>
      </c>
      <c r="HI1070" s="319" t="s">
        <v>173</v>
      </c>
      <c r="HJ1070" s="319" t="s">
        <v>173</v>
      </c>
      <c r="HK1070" s="319" t="s">
        <v>173</v>
      </c>
      <c r="HL1070" s="319" t="s">
        <v>173</v>
      </c>
      <c r="HM1070" s="319" t="s">
        <v>173</v>
      </c>
      <c r="HN1070" s="319" t="s">
        <v>173</v>
      </c>
      <c r="HO1070" s="319" t="s">
        <v>173</v>
      </c>
      <c r="HP1070" s="319" t="s">
        <v>173</v>
      </c>
      <c r="HQ1070" s="319" t="s">
        <v>173</v>
      </c>
      <c r="HR1070" s="319" t="s">
        <v>173</v>
      </c>
      <c r="HS1070" s="319" t="s">
        <v>173</v>
      </c>
      <c r="HT1070" s="319" t="s">
        <v>173</v>
      </c>
      <c r="HU1070" s="319" t="s">
        <v>173</v>
      </c>
      <c r="HV1070" s="319" t="s">
        <v>173</v>
      </c>
      <c r="HW1070" s="319" t="s">
        <v>173</v>
      </c>
      <c r="HX1070" s="319" t="s">
        <v>173</v>
      </c>
      <c r="HY1070" s="319" t="s">
        <v>173</v>
      </c>
      <c r="HZ1070" s="319" t="s">
        <v>173</v>
      </c>
      <c r="IA1070" s="319" t="s">
        <v>173</v>
      </c>
      <c r="IB1070" s="319" t="s">
        <v>173</v>
      </c>
      <c r="IC1070" s="319" t="s">
        <v>173</v>
      </c>
      <c r="ID1070" s="319" t="s">
        <v>173</v>
      </c>
      <c r="IE1070" s="319" t="s">
        <v>173</v>
      </c>
      <c r="IF1070" s="319" t="s">
        <v>173</v>
      </c>
      <c r="IG1070" s="319" t="s">
        <v>173</v>
      </c>
      <c r="IH1070" s="319" t="s">
        <v>173</v>
      </c>
      <c r="II1070" s="319" t="s">
        <v>173</v>
      </c>
      <c r="IJ1070" s="319" t="s">
        <v>173</v>
      </c>
      <c r="IK1070" s="319" t="s">
        <v>173</v>
      </c>
      <c r="IL1070" s="319" t="s">
        <v>173</v>
      </c>
      <c r="IM1070" s="319" t="s">
        <v>173</v>
      </c>
      <c r="IN1070" s="319" t="s">
        <v>173</v>
      </c>
      <c r="IO1070" s="319" t="s">
        <v>173</v>
      </c>
      <c r="IP1070" s="319" t="s">
        <v>173</v>
      </c>
      <c r="IQ1070" s="319" t="s">
        <v>173</v>
      </c>
      <c r="IR1070" s="320" t="s">
        <v>173</v>
      </c>
      <c r="IS1070" s="320" t="s">
        <v>173</v>
      </c>
      <c r="IT1070" s="319" t="s">
        <v>173</v>
      </c>
    </row>
    <row r="1071" spans="1:254" s="271" customFormat="1" x14ac:dyDescent="0.25">
      <c r="A1071" s="318" t="str">
        <f>HYPERLINK("http://www.ofsted.gov.uk/inspection-reports/find-inspection-report/provider/ELS/147186 ","Ofsted School Webpage")</f>
        <v>Ofsted School Webpage</v>
      </c>
      <c r="B1071" s="319">
        <v>147186</v>
      </c>
      <c r="C1071" s="319">
        <v>9376023</v>
      </c>
      <c r="D1071" s="319" t="s">
        <v>2596</v>
      </c>
      <c r="E1071" s="319" t="s">
        <v>168</v>
      </c>
      <c r="F1071" s="319" t="s">
        <v>434</v>
      </c>
      <c r="G1071" s="319" t="s">
        <v>81</v>
      </c>
      <c r="H1071" s="319" t="s">
        <v>81</v>
      </c>
      <c r="I1071" s="319" t="s">
        <v>78</v>
      </c>
      <c r="J1071" s="319" t="s">
        <v>424</v>
      </c>
      <c r="K1071" s="319" t="s">
        <v>437</v>
      </c>
      <c r="L1071" s="319" t="s">
        <v>437</v>
      </c>
      <c r="M1071" s="319" t="s">
        <v>438</v>
      </c>
      <c r="N1071" s="319" t="s">
        <v>3348</v>
      </c>
      <c r="O1071" s="319" t="s">
        <v>2597</v>
      </c>
      <c r="P1071" s="319" t="s">
        <v>173</v>
      </c>
      <c r="Q1071" s="319" t="s">
        <v>429</v>
      </c>
      <c r="R1071" s="320" t="s">
        <v>173</v>
      </c>
      <c r="S1071" s="321" t="s">
        <v>173</v>
      </c>
      <c r="T1071" s="321" t="s">
        <v>173</v>
      </c>
      <c r="U1071" s="321" t="s">
        <v>173</v>
      </c>
      <c r="V1071" s="319" t="s">
        <v>173</v>
      </c>
      <c r="W1071" s="319" t="s">
        <v>173</v>
      </c>
      <c r="X1071" s="319" t="s">
        <v>173</v>
      </c>
      <c r="Y1071" s="319" t="s">
        <v>173</v>
      </c>
      <c r="Z1071" s="319" t="s">
        <v>173</v>
      </c>
      <c r="AA1071" s="319" t="s">
        <v>173</v>
      </c>
      <c r="AB1071" s="319" t="s">
        <v>173</v>
      </c>
      <c r="AC1071" s="319" t="s">
        <v>173</v>
      </c>
      <c r="AD1071" s="319" t="s">
        <v>173</v>
      </c>
      <c r="AE1071" s="319" t="s">
        <v>173</v>
      </c>
      <c r="AF1071" s="319" t="s">
        <v>173</v>
      </c>
      <c r="AG1071" s="319" t="s">
        <v>173</v>
      </c>
      <c r="AH1071" s="319" t="s">
        <v>173</v>
      </c>
      <c r="AI1071" s="319" t="s">
        <v>173</v>
      </c>
      <c r="AJ1071" s="319" t="s">
        <v>173</v>
      </c>
      <c r="AK1071" s="319" t="s">
        <v>173</v>
      </c>
      <c r="AL1071" s="319" t="s">
        <v>173</v>
      </c>
      <c r="AM1071" s="319" t="s">
        <v>173</v>
      </c>
      <c r="AN1071" s="319" t="s">
        <v>173</v>
      </c>
      <c r="AO1071" s="319" t="s">
        <v>173</v>
      </c>
      <c r="AP1071" s="319" t="s">
        <v>173</v>
      </c>
      <c r="AQ1071" s="319" t="s">
        <v>173</v>
      </c>
      <c r="AR1071" s="319" t="s">
        <v>173</v>
      </c>
      <c r="AS1071" s="319" t="s">
        <v>173</v>
      </c>
      <c r="AT1071" s="319" t="s">
        <v>173</v>
      </c>
      <c r="AU1071" s="319" t="s">
        <v>173</v>
      </c>
      <c r="AV1071" s="319" t="s">
        <v>173</v>
      </c>
      <c r="AW1071" s="319" t="s">
        <v>173</v>
      </c>
      <c r="AX1071" s="319" t="s">
        <v>173</v>
      </c>
      <c r="AY1071" s="319" t="s">
        <v>173</v>
      </c>
      <c r="AZ1071" s="319" t="s">
        <v>173</v>
      </c>
      <c r="BA1071" s="319" t="s">
        <v>173</v>
      </c>
      <c r="BB1071" s="319" t="s">
        <v>173</v>
      </c>
      <c r="BC1071" s="319" t="s">
        <v>173</v>
      </c>
      <c r="BD1071" s="319" t="s">
        <v>173</v>
      </c>
      <c r="BE1071" s="319" t="s">
        <v>173</v>
      </c>
      <c r="BF1071" s="319" t="s">
        <v>173</v>
      </c>
      <c r="BG1071" s="319" t="s">
        <v>173</v>
      </c>
      <c r="BH1071" s="319" t="s">
        <v>173</v>
      </c>
      <c r="BI1071" s="319" t="s">
        <v>173</v>
      </c>
      <c r="BJ1071" s="319" t="s">
        <v>173</v>
      </c>
      <c r="BK1071" s="319" t="s">
        <v>173</v>
      </c>
      <c r="BL1071" s="319" t="s">
        <v>173</v>
      </c>
      <c r="BM1071" s="319" t="s">
        <v>173</v>
      </c>
      <c r="BN1071" s="319" t="s">
        <v>173</v>
      </c>
      <c r="BO1071" s="319" t="s">
        <v>173</v>
      </c>
      <c r="BP1071" s="319" t="s">
        <v>173</v>
      </c>
      <c r="BQ1071" s="319" t="s">
        <v>173</v>
      </c>
      <c r="BR1071" s="319" t="s">
        <v>173</v>
      </c>
      <c r="BS1071" s="319" t="s">
        <v>173</v>
      </c>
      <c r="BT1071" s="319" t="s">
        <v>173</v>
      </c>
      <c r="BU1071" s="319" t="s">
        <v>173</v>
      </c>
      <c r="BV1071" s="319" t="s">
        <v>173</v>
      </c>
      <c r="BW1071" s="319" t="s">
        <v>173</v>
      </c>
      <c r="BX1071" s="319" t="s">
        <v>173</v>
      </c>
      <c r="BY1071" s="319" t="s">
        <v>173</v>
      </c>
      <c r="BZ1071" s="319" t="s">
        <v>173</v>
      </c>
      <c r="CA1071" s="319" t="s">
        <v>173</v>
      </c>
      <c r="CB1071" s="319" t="s">
        <v>173</v>
      </c>
      <c r="CC1071" s="319" t="s">
        <v>173</v>
      </c>
      <c r="CD1071" s="319" t="s">
        <v>173</v>
      </c>
      <c r="CE1071" s="319" t="s">
        <v>173</v>
      </c>
      <c r="CF1071" s="319" t="s">
        <v>173</v>
      </c>
      <c r="CG1071" s="319" t="s">
        <v>173</v>
      </c>
      <c r="CH1071" s="319" t="s">
        <v>173</v>
      </c>
      <c r="CI1071" s="319" t="s">
        <v>173</v>
      </c>
      <c r="CJ1071" s="319" t="s">
        <v>173</v>
      </c>
      <c r="CK1071" s="319" t="s">
        <v>173</v>
      </c>
      <c r="CL1071" s="319" t="s">
        <v>173</v>
      </c>
      <c r="CM1071" s="319" t="s">
        <v>173</v>
      </c>
      <c r="CN1071" s="319" t="s">
        <v>173</v>
      </c>
      <c r="CO1071" s="319" t="s">
        <v>173</v>
      </c>
      <c r="CP1071" s="319" t="s">
        <v>173</v>
      </c>
      <c r="CQ1071" s="319" t="s">
        <v>173</v>
      </c>
      <c r="CR1071" s="319" t="s">
        <v>173</v>
      </c>
      <c r="CS1071" s="319" t="s">
        <v>173</v>
      </c>
      <c r="CT1071" s="319" t="s">
        <v>173</v>
      </c>
      <c r="CU1071" s="319" t="s">
        <v>173</v>
      </c>
      <c r="CV1071" s="319" t="s">
        <v>173</v>
      </c>
      <c r="CW1071" s="319" t="s">
        <v>173</v>
      </c>
      <c r="CX1071" s="319" t="s">
        <v>173</v>
      </c>
      <c r="CY1071" s="319" t="s">
        <v>173</v>
      </c>
      <c r="CZ1071" s="319" t="s">
        <v>173</v>
      </c>
      <c r="DA1071" s="319" t="s">
        <v>173</v>
      </c>
      <c r="DB1071" s="319" t="s">
        <v>173</v>
      </c>
      <c r="DC1071" s="319" t="s">
        <v>173</v>
      </c>
      <c r="DD1071" s="319" t="s">
        <v>173</v>
      </c>
      <c r="DE1071" s="319" t="s">
        <v>173</v>
      </c>
      <c r="DF1071" s="319" t="s">
        <v>173</v>
      </c>
      <c r="DG1071" s="319" t="s">
        <v>173</v>
      </c>
      <c r="DH1071" s="319" t="s">
        <v>173</v>
      </c>
      <c r="DI1071" s="319" t="s">
        <v>173</v>
      </c>
      <c r="DJ1071" s="319" t="s">
        <v>173</v>
      </c>
      <c r="DK1071" s="319" t="s">
        <v>173</v>
      </c>
      <c r="DL1071" s="319" t="s">
        <v>173</v>
      </c>
      <c r="DM1071" s="319" t="s">
        <v>173</v>
      </c>
      <c r="DN1071" s="319" t="s">
        <v>173</v>
      </c>
      <c r="DO1071" s="319" t="s">
        <v>173</v>
      </c>
      <c r="DP1071" s="319" t="s">
        <v>173</v>
      </c>
      <c r="DQ1071" s="319" t="s">
        <v>173</v>
      </c>
      <c r="DR1071" s="319" t="s">
        <v>173</v>
      </c>
      <c r="DS1071" s="319" t="s">
        <v>173</v>
      </c>
      <c r="DT1071" s="319" t="s">
        <v>173</v>
      </c>
      <c r="DU1071" s="319" t="s">
        <v>173</v>
      </c>
      <c r="DV1071" s="319" t="s">
        <v>173</v>
      </c>
      <c r="DW1071" s="319" t="s">
        <v>173</v>
      </c>
      <c r="DX1071" s="319" t="s">
        <v>173</v>
      </c>
      <c r="DY1071" s="319" t="s">
        <v>173</v>
      </c>
      <c r="DZ1071" s="319" t="s">
        <v>173</v>
      </c>
      <c r="EA1071" s="319" t="s">
        <v>173</v>
      </c>
      <c r="EB1071" s="319" t="s">
        <v>173</v>
      </c>
      <c r="EC1071" s="319" t="s">
        <v>173</v>
      </c>
      <c r="ED1071" s="319" t="s">
        <v>173</v>
      </c>
      <c r="EE1071" s="319" t="s">
        <v>173</v>
      </c>
      <c r="EF1071" s="319" t="s">
        <v>173</v>
      </c>
      <c r="EG1071" s="319" t="s">
        <v>173</v>
      </c>
      <c r="EH1071" s="319" t="s">
        <v>173</v>
      </c>
      <c r="EI1071" s="319" t="s">
        <v>173</v>
      </c>
      <c r="EJ1071" s="319" t="s">
        <v>173</v>
      </c>
      <c r="EK1071" s="319" t="s">
        <v>173</v>
      </c>
      <c r="EL1071" s="319" t="s">
        <v>173</v>
      </c>
      <c r="EM1071" s="319" t="s">
        <v>173</v>
      </c>
      <c r="EN1071" s="319" t="s">
        <v>173</v>
      </c>
      <c r="EO1071" s="319" t="s">
        <v>173</v>
      </c>
      <c r="EP1071" s="319" t="s">
        <v>173</v>
      </c>
      <c r="EQ1071" s="319" t="s">
        <v>173</v>
      </c>
      <c r="ER1071" s="319" t="s">
        <v>173</v>
      </c>
      <c r="ES1071" s="319" t="s">
        <v>173</v>
      </c>
      <c r="ET1071" s="319" t="s">
        <v>173</v>
      </c>
      <c r="EU1071" s="319" t="s">
        <v>173</v>
      </c>
      <c r="EV1071" s="319" t="s">
        <v>173</v>
      </c>
      <c r="EW1071" s="319" t="s">
        <v>173</v>
      </c>
      <c r="EX1071" s="319" t="s">
        <v>173</v>
      </c>
      <c r="EY1071" s="319" t="s">
        <v>173</v>
      </c>
      <c r="EZ1071" s="319" t="s">
        <v>173</v>
      </c>
      <c r="FA1071" s="319" t="s">
        <v>173</v>
      </c>
      <c r="FB1071" s="319" t="s">
        <v>173</v>
      </c>
      <c r="FC1071" s="319" t="s">
        <v>173</v>
      </c>
      <c r="FD1071" s="319" t="s">
        <v>173</v>
      </c>
      <c r="FE1071" s="319" t="s">
        <v>173</v>
      </c>
      <c r="FF1071" s="319" t="s">
        <v>173</v>
      </c>
      <c r="FG1071" s="319" t="s">
        <v>173</v>
      </c>
      <c r="FH1071" s="319" t="s">
        <v>173</v>
      </c>
      <c r="FI1071" s="319" t="s">
        <v>173</v>
      </c>
      <c r="FJ1071" s="319" t="s">
        <v>173</v>
      </c>
      <c r="FK1071" s="319" t="s">
        <v>173</v>
      </c>
      <c r="FL1071" s="319" t="s">
        <v>173</v>
      </c>
      <c r="FM1071" s="319" t="s">
        <v>173</v>
      </c>
      <c r="FN1071" s="319" t="s">
        <v>173</v>
      </c>
      <c r="FO1071" s="319" t="s">
        <v>173</v>
      </c>
      <c r="FP1071" s="319" t="s">
        <v>173</v>
      </c>
      <c r="FQ1071" s="319" t="s">
        <v>173</v>
      </c>
      <c r="FR1071" s="319" t="s">
        <v>173</v>
      </c>
      <c r="FS1071" s="319" t="s">
        <v>173</v>
      </c>
      <c r="FT1071" s="319" t="s">
        <v>173</v>
      </c>
      <c r="FU1071" s="319" t="s">
        <v>173</v>
      </c>
      <c r="FV1071" s="319" t="s">
        <v>173</v>
      </c>
      <c r="FW1071" s="319" t="s">
        <v>173</v>
      </c>
      <c r="FX1071" s="319" t="s">
        <v>173</v>
      </c>
      <c r="FY1071" s="319" t="s">
        <v>173</v>
      </c>
      <c r="FZ1071" s="319" t="s">
        <v>173</v>
      </c>
      <c r="GA1071" s="319" t="s">
        <v>173</v>
      </c>
      <c r="GB1071" s="319" t="s">
        <v>173</v>
      </c>
      <c r="GC1071" s="319" t="s">
        <v>173</v>
      </c>
      <c r="GD1071" s="319" t="s">
        <v>173</v>
      </c>
      <c r="GE1071" s="319" t="s">
        <v>173</v>
      </c>
      <c r="GF1071" s="319" t="s">
        <v>173</v>
      </c>
      <c r="GG1071" s="319" t="s">
        <v>173</v>
      </c>
      <c r="GH1071" s="319" t="s">
        <v>173</v>
      </c>
      <c r="GI1071" s="319" t="s">
        <v>173</v>
      </c>
      <c r="GJ1071" s="319" t="s">
        <v>173</v>
      </c>
      <c r="GK1071" s="319" t="s">
        <v>173</v>
      </c>
      <c r="GL1071" s="319" t="s">
        <v>173</v>
      </c>
      <c r="GM1071" s="319" t="s">
        <v>173</v>
      </c>
      <c r="GN1071" s="319" t="s">
        <v>173</v>
      </c>
      <c r="GO1071" s="319" t="s">
        <v>173</v>
      </c>
      <c r="GP1071" s="319" t="s">
        <v>173</v>
      </c>
      <c r="GQ1071" s="319" t="s">
        <v>173</v>
      </c>
      <c r="GR1071" s="319" t="s">
        <v>173</v>
      </c>
      <c r="GS1071" s="319" t="s">
        <v>173</v>
      </c>
      <c r="GT1071" s="319" t="s">
        <v>173</v>
      </c>
      <c r="GU1071" s="319" t="s">
        <v>173</v>
      </c>
      <c r="GV1071" s="319" t="s">
        <v>173</v>
      </c>
      <c r="GW1071" s="319" t="s">
        <v>173</v>
      </c>
      <c r="GX1071" s="319" t="s">
        <v>173</v>
      </c>
      <c r="GY1071" s="319" t="s">
        <v>173</v>
      </c>
      <c r="GZ1071" s="319" t="s">
        <v>173</v>
      </c>
      <c r="HA1071" s="319" t="s">
        <v>173</v>
      </c>
      <c r="HB1071" s="319" t="s">
        <v>173</v>
      </c>
      <c r="HC1071" s="319" t="s">
        <v>173</v>
      </c>
      <c r="HD1071" s="319" t="s">
        <v>173</v>
      </c>
      <c r="HE1071" s="319" t="s">
        <v>173</v>
      </c>
      <c r="HF1071" s="319" t="s">
        <v>173</v>
      </c>
      <c r="HG1071" s="319" t="s">
        <v>173</v>
      </c>
      <c r="HH1071" s="319" t="s">
        <v>173</v>
      </c>
      <c r="HI1071" s="319" t="s">
        <v>173</v>
      </c>
      <c r="HJ1071" s="319" t="s">
        <v>173</v>
      </c>
      <c r="HK1071" s="319" t="s">
        <v>173</v>
      </c>
      <c r="HL1071" s="319" t="s">
        <v>173</v>
      </c>
      <c r="HM1071" s="319" t="s">
        <v>173</v>
      </c>
      <c r="HN1071" s="319" t="s">
        <v>173</v>
      </c>
      <c r="HO1071" s="319" t="s">
        <v>173</v>
      </c>
      <c r="HP1071" s="319" t="s">
        <v>173</v>
      </c>
      <c r="HQ1071" s="319" t="s">
        <v>173</v>
      </c>
      <c r="HR1071" s="319" t="s">
        <v>173</v>
      </c>
      <c r="HS1071" s="319" t="s">
        <v>173</v>
      </c>
      <c r="HT1071" s="319" t="s">
        <v>173</v>
      </c>
      <c r="HU1071" s="319" t="s">
        <v>173</v>
      </c>
      <c r="HV1071" s="319" t="s">
        <v>173</v>
      </c>
      <c r="HW1071" s="319" t="s">
        <v>173</v>
      </c>
      <c r="HX1071" s="319" t="s">
        <v>173</v>
      </c>
      <c r="HY1071" s="319" t="s">
        <v>173</v>
      </c>
      <c r="HZ1071" s="319" t="s">
        <v>173</v>
      </c>
      <c r="IA1071" s="319" t="s">
        <v>173</v>
      </c>
      <c r="IB1071" s="319" t="s">
        <v>173</v>
      </c>
      <c r="IC1071" s="319" t="s">
        <v>173</v>
      </c>
      <c r="ID1071" s="319" t="s">
        <v>173</v>
      </c>
      <c r="IE1071" s="319" t="s">
        <v>173</v>
      </c>
      <c r="IF1071" s="319" t="s">
        <v>173</v>
      </c>
      <c r="IG1071" s="319" t="s">
        <v>173</v>
      </c>
      <c r="IH1071" s="319" t="s">
        <v>173</v>
      </c>
      <c r="II1071" s="319" t="s">
        <v>173</v>
      </c>
      <c r="IJ1071" s="319" t="s">
        <v>173</v>
      </c>
      <c r="IK1071" s="319" t="s">
        <v>173</v>
      </c>
      <c r="IL1071" s="319" t="s">
        <v>173</v>
      </c>
      <c r="IM1071" s="319" t="s">
        <v>173</v>
      </c>
      <c r="IN1071" s="319" t="s">
        <v>173</v>
      </c>
      <c r="IO1071" s="319" t="s">
        <v>173</v>
      </c>
      <c r="IP1071" s="319" t="s">
        <v>173</v>
      </c>
      <c r="IQ1071" s="319" t="s">
        <v>173</v>
      </c>
      <c r="IR1071" s="320" t="s">
        <v>173</v>
      </c>
      <c r="IS1071" s="320" t="s">
        <v>173</v>
      </c>
      <c r="IT1071" s="319" t="s">
        <v>173</v>
      </c>
    </row>
    <row r="1072" spans="1:254" s="271" customFormat="1" x14ac:dyDescent="0.25">
      <c r="A1072" s="318" t="str">
        <f>HYPERLINK("http://www.ofsted.gov.uk/inspection-reports/find-inspection-report/provider/ELS/147198 ","Ofsted School Webpage")</f>
        <v>Ofsted School Webpage</v>
      </c>
      <c r="B1072" s="319">
        <v>147198</v>
      </c>
      <c r="C1072" s="319">
        <v>8396012</v>
      </c>
      <c r="D1072" s="319" t="s">
        <v>2695</v>
      </c>
      <c r="E1072" s="319" t="s">
        <v>168</v>
      </c>
      <c r="F1072" s="319" t="s">
        <v>434</v>
      </c>
      <c r="G1072" s="319" t="s">
        <v>81</v>
      </c>
      <c r="H1072" s="319" t="s">
        <v>81</v>
      </c>
      <c r="I1072" s="319" t="s">
        <v>78</v>
      </c>
      <c r="J1072" s="319" t="s">
        <v>424</v>
      </c>
      <c r="K1072" s="319" t="s">
        <v>422</v>
      </c>
      <c r="L1072" s="319" t="s">
        <v>422</v>
      </c>
      <c r="M1072" s="319" t="s">
        <v>2691</v>
      </c>
      <c r="N1072" s="319" t="s">
        <v>2930</v>
      </c>
      <c r="O1072" s="319" t="s">
        <v>2696</v>
      </c>
      <c r="P1072" s="319" t="s">
        <v>173</v>
      </c>
      <c r="Q1072" s="319" t="s">
        <v>429</v>
      </c>
      <c r="R1072" s="320" t="s">
        <v>173</v>
      </c>
      <c r="S1072" s="321" t="s">
        <v>173</v>
      </c>
      <c r="T1072" s="321" t="s">
        <v>173</v>
      </c>
      <c r="U1072" s="321" t="s">
        <v>173</v>
      </c>
      <c r="V1072" s="319" t="s">
        <v>173</v>
      </c>
      <c r="W1072" s="319" t="s">
        <v>173</v>
      </c>
      <c r="X1072" s="319" t="s">
        <v>173</v>
      </c>
      <c r="Y1072" s="319" t="s">
        <v>173</v>
      </c>
      <c r="Z1072" s="319" t="s">
        <v>173</v>
      </c>
      <c r="AA1072" s="319" t="s">
        <v>173</v>
      </c>
      <c r="AB1072" s="319" t="s">
        <v>173</v>
      </c>
      <c r="AC1072" s="319" t="s">
        <v>173</v>
      </c>
      <c r="AD1072" s="319" t="s">
        <v>173</v>
      </c>
      <c r="AE1072" s="319" t="s">
        <v>173</v>
      </c>
      <c r="AF1072" s="319" t="s">
        <v>173</v>
      </c>
      <c r="AG1072" s="319" t="s">
        <v>173</v>
      </c>
      <c r="AH1072" s="319" t="s">
        <v>173</v>
      </c>
      <c r="AI1072" s="319" t="s">
        <v>173</v>
      </c>
      <c r="AJ1072" s="319" t="s">
        <v>173</v>
      </c>
      <c r="AK1072" s="319" t="s">
        <v>173</v>
      </c>
      <c r="AL1072" s="319" t="s">
        <v>173</v>
      </c>
      <c r="AM1072" s="319" t="s">
        <v>173</v>
      </c>
      <c r="AN1072" s="319" t="s">
        <v>173</v>
      </c>
      <c r="AO1072" s="319" t="s">
        <v>173</v>
      </c>
      <c r="AP1072" s="319" t="s">
        <v>173</v>
      </c>
      <c r="AQ1072" s="319" t="s">
        <v>173</v>
      </c>
      <c r="AR1072" s="319" t="s">
        <v>173</v>
      </c>
      <c r="AS1072" s="319" t="s">
        <v>173</v>
      </c>
      <c r="AT1072" s="319" t="s">
        <v>173</v>
      </c>
      <c r="AU1072" s="319" t="s">
        <v>173</v>
      </c>
      <c r="AV1072" s="319" t="s">
        <v>173</v>
      </c>
      <c r="AW1072" s="319" t="s">
        <v>173</v>
      </c>
      <c r="AX1072" s="319" t="s">
        <v>173</v>
      </c>
      <c r="AY1072" s="319" t="s">
        <v>173</v>
      </c>
      <c r="AZ1072" s="319" t="s">
        <v>173</v>
      </c>
      <c r="BA1072" s="319" t="s">
        <v>173</v>
      </c>
      <c r="BB1072" s="319" t="s">
        <v>173</v>
      </c>
      <c r="BC1072" s="319" t="s">
        <v>173</v>
      </c>
      <c r="BD1072" s="319" t="s">
        <v>173</v>
      </c>
      <c r="BE1072" s="319" t="s">
        <v>173</v>
      </c>
      <c r="BF1072" s="319" t="s">
        <v>173</v>
      </c>
      <c r="BG1072" s="319" t="s">
        <v>173</v>
      </c>
      <c r="BH1072" s="319" t="s">
        <v>173</v>
      </c>
      <c r="BI1072" s="319" t="s">
        <v>173</v>
      </c>
      <c r="BJ1072" s="319" t="s">
        <v>173</v>
      </c>
      <c r="BK1072" s="319" t="s">
        <v>173</v>
      </c>
      <c r="BL1072" s="319" t="s">
        <v>173</v>
      </c>
      <c r="BM1072" s="319" t="s">
        <v>173</v>
      </c>
      <c r="BN1072" s="319" t="s">
        <v>173</v>
      </c>
      <c r="BO1072" s="319" t="s">
        <v>173</v>
      </c>
      <c r="BP1072" s="319" t="s">
        <v>173</v>
      </c>
      <c r="BQ1072" s="319" t="s">
        <v>173</v>
      </c>
      <c r="BR1072" s="319" t="s">
        <v>173</v>
      </c>
      <c r="BS1072" s="319" t="s">
        <v>173</v>
      </c>
      <c r="BT1072" s="319" t="s">
        <v>173</v>
      </c>
      <c r="BU1072" s="319" t="s">
        <v>173</v>
      </c>
      <c r="BV1072" s="319" t="s">
        <v>173</v>
      </c>
      <c r="BW1072" s="319" t="s">
        <v>173</v>
      </c>
      <c r="BX1072" s="319" t="s">
        <v>173</v>
      </c>
      <c r="BY1072" s="319" t="s">
        <v>173</v>
      </c>
      <c r="BZ1072" s="319" t="s">
        <v>173</v>
      </c>
      <c r="CA1072" s="319" t="s">
        <v>173</v>
      </c>
      <c r="CB1072" s="319" t="s">
        <v>173</v>
      </c>
      <c r="CC1072" s="319" t="s">
        <v>173</v>
      </c>
      <c r="CD1072" s="319" t="s">
        <v>173</v>
      </c>
      <c r="CE1072" s="319" t="s">
        <v>173</v>
      </c>
      <c r="CF1072" s="319" t="s">
        <v>173</v>
      </c>
      <c r="CG1072" s="319" t="s">
        <v>173</v>
      </c>
      <c r="CH1072" s="319" t="s">
        <v>173</v>
      </c>
      <c r="CI1072" s="319" t="s">
        <v>173</v>
      </c>
      <c r="CJ1072" s="319" t="s">
        <v>173</v>
      </c>
      <c r="CK1072" s="319" t="s">
        <v>173</v>
      </c>
      <c r="CL1072" s="319" t="s">
        <v>173</v>
      </c>
      <c r="CM1072" s="319" t="s">
        <v>173</v>
      </c>
      <c r="CN1072" s="319" t="s">
        <v>173</v>
      </c>
      <c r="CO1072" s="319" t="s">
        <v>173</v>
      </c>
      <c r="CP1072" s="319" t="s">
        <v>173</v>
      </c>
      <c r="CQ1072" s="319" t="s">
        <v>173</v>
      </c>
      <c r="CR1072" s="319" t="s">
        <v>173</v>
      </c>
      <c r="CS1072" s="319" t="s">
        <v>173</v>
      </c>
      <c r="CT1072" s="319" t="s">
        <v>173</v>
      </c>
      <c r="CU1072" s="319" t="s">
        <v>173</v>
      </c>
      <c r="CV1072" s="319" t="s">
        <v>173</v>
      </c>
      <c r="CW1072" s="319" t="s">
        <v>173</v>
      </c>
      <c r="CX1072" s="319" t="s">
        <v>173</v>
      </c>
      <c r="CY1072" s="319" t="s">
        <v>173</v>
      </c>
      <c r="CZ1072" s="319" t="s">
        <v>173</v>
      </c>
      <c r="DA1072" s="319" t="s">
        <v>173</v>
      </c>
      <c r="DB1072" s="319" t="s">
        <v>173</v>
      </c>
      <c r="DC1072" s="319" t="s">
        <v>173</v>
      </c>
      <c r="DD1072" s="319" t="s">
        <v>173</v>
      </c>
      <c r="DE1072" s="319" t="s">
        <v>173</v>
      </c>
      <c r="DF1072" s="319" t="s">
        <v>173</v>
      </c>
      <c r="DG1072" s="319" t="s">
        <v>173</v>
      </c>
      <c r="DH1072" s="319" t="s">
        <v>173</v>
      </c>
      <c r="DI1072" s="319" t="s">
        <v>173</v>
      </c>
      <c r="DJ1072" s="319" t="s">
        <v>173</v>
      </c>
      <c r="DK1072" s="319" t="s">
        <v>173</v>
      </c>
      <c r="DL1072" s="319" t="s">
        <v>173</v>
      </c>
      <c r="DM1072" s="319" t="s">
        <v>173</v>
      </c>
      <c r="DN1072" s="319" t="s">
        <v>173</v>
      </c>
      <c r="DO1072" s="319" t="s">
        <v>173</v>
      </c>
      <c r="DP1072" s="319" t="s">
        <v>173</v>
      </c>
      <c r="DQ1072" s="319" t="s">
        <v>173</v>
      </c>
      <c r="DR1072" s="319" t="s">
        <v>173</v>
      </c>
      <c r="DS1072" s="319" t="s">
        <v>173</v>
      </c>
      <c r="DT1072" s="319" t="s">
        <v>173</v>
      </c>
      <c r="DU1072" s="319" t="s">
        <v>173</v>
      </c>
      <c r="DV1072" s="319" t="s">
        <v>173</v>
      </c>
      <c r="DW1072" s="319" t="s">
        <v>173</v>
      </c>
      <c r="DX1072" s="319" t="s">
        <v>173</v>
      </c>
      <c r="DY1072" s="319" t="s">
        <v>173</v>
      </c>
      <c r="DZ1072" s="319" t="s">
        <v>173</v>
      </c>
      <c r="EA1072" s="319" t="s">
        <v>173</v>
      </c>
      <c r="EB1072" s="319" t="s">
        <v>173</v>
      </c>
      <c r="EC1072" s="319" t="s">
        <v>173</v>
      </c>
      <c r="ED1072" s="319" t="s">
        <v>173</v>
      </c>
      <c r="EE1072" s="319" t="s">
        <v>173</v>
      </c>
      <c r="EF1072" s="319" t="s">
        <v>173</v>
      </c>
      <c r="EG1072" s="319" t="s">
        <v>173</v>
      </c>
      <c r="EH1072" s="319" t="s">
        <v>173</v>
      </c>
      <c r="EI1072" s="319" t="s">
        <v>173</v>
      </c>
      <c r="EJ1072" s="319" t="s">
        <v>173</v>
      </c>
      <c r="EK1072" s="319" t="s">
        <v>173</v>
      </c>
      <c r="EL1072" s="319" t="s">
        <v>173</v>
      </c>
      <c r="EM1072" s="319" t="s">
        <v>173</v>
      </c>
      <c r="EN1072" s="319" t="s">
        <v>173</v>
      </c>
      <c r="EO1072" s="319" t="s">
        <v>173</v>
      </c>
      <c r="EP1072" s="319" t="s">
        <v>173</v>
      </c>
      <c r="EQ1072" s="319" t="s">
        <v>173</v>
      </c>
      <c r="ER1072" s="319" t="s">
        <v>173</v>
      </c>
      <c r="ES1072" s="319" t="s">
        <v>173</v>
      </c>
      <c r="ET1072" s="319" t="s">
        <v>173</v>
      </c>
      <c r="EU1072" s="319" t="s">
        <v>173</v>
      </c>
      <c r="EV1072" s="319" t="s">
        <v>173</v>
      </c>
      <c r="EW1072" s="319" t="s">
        <v>173</v>
      </c>
      <c r="EX1072" s="319" t="s">
        <v>173</v>
      </c>
      <c r="EY1072" s="319" t="s">
        <v>173</v>
      </c>
      <c r="EZ1072" s="319" t="s">
        <v>173</v>
      </c>
      <c r="FA1072" s="319" t="s">
        <v>173</v>
      </c>
      <c r="FB1072" s="319" t="s">
        <v>173</v>
      </c>
      <c r="FC1072" s="319" t="s">
        <v>173</v>
      </c>
      <c r="FD1072" s="319" t="s">
        <v>173</v>
      </c>
      <c r="FE1072" s="319" t="s">
        <v>173</v>
      </c>
      <c r="FF1072" s="319" t="s">
        <v>173</v>
      </c>
      <c r="FG1072" s="319" t="s">
        <v>173</v>
      </c>
      <c r="FH1072" s="319" t="s">
        <v>173</v>
      </c>
      <c r="FI1072" s="319" t="s">
        <v>173</v>
      </c>
      <c r="FJ1072" s="319" t="s">
        <v>173</v>
      </c>
      <c r="FK1072" s="319" t="s">
        <v>173</v>
      </c>
      <c r="FL1072" s="319" t="s">
        <v>173</v>
      </c>
      <c r="FM1072" s="319" t="s">
        <v>173</v>
      </c>
      <c r="FN1072" s="319" t="s">
        <v>173</v>
      </c>
      <c r="FO1072" s="319" t="s">
        <v>173</v>
      </c>
      <c r="FP1072" s="319" t="s">
        <v>173</v>
      </c>
      <c r="FQ1072" s="319" t="s">
        <v>173</v>
      </c>
      <c r="FR1072" s="319" t="s">
        <v>173</v>
      </c>
      <c r="FS1072" s="319" t="s">
        <v>173</v>
      </c>
      <c r="FT1072" s="319" t="s">
        <v>173</v>
      </c>
      <c r="FU1072" s="319" t="s">
        <v>173</v>
      </c>
      <c r="FV1072" s="319" t="s">
        <v>173</v>
      </c>
      <c r="FW1072" s="319" t="s">
        <v>173</v>
      </c>
      <c r="FX1072" s="319" t="s">
        <v>173</v>
      </c>
      <c r="FY1072" s="319" t="s">
        <v>173</v>
      </c>
      <c r="FZ1072" s="319" t="s">
        <v>173</v>
      </c>
      <c r="GA1072" s="319" t="s">
        <v>173</v>
      </c>
      <c r="GB1072" s="319" t="s">
        <v>173</v>
      </c>
      <c r="GC1072" s="319" t="s">
        <v>173</v>
      </c>
      <c r="GD1072" s="319" t="s">
        <v>173</v>
      </c>
      <c r="GE1072" s="319" t="s">
        <v>173</v>
      </c>
      <c r="GF1072" s="319" t="s">
        <v>173</v>
      </c>
      <c r="GG1072" s="319" t="s">
        <v>173</v>
      </c>
      <c r="GH1072" s="319" t="s">
        <v>173</v>
      </c>
      <c r="GI1072" s="319" t="s">
        <v>173</v>
      </c>
      <c r="GJ1072" s="319" t="s">
        <v>173</v>
      </c>
      <c r="GK1072" s="319" t="s">
        <v>173</v>
      </c>
      <c r="GL1072" s="319" t="s">
        <v>173</v>
      </c>
      <c r="GM1072" s="319" t="s">
        <v>173</v>
      </c>
      <c r="GN1072" s="319" t="s">
        <v>173</v>
      </c>
      <c r="GO1072" s="319" t="s">
        <v>173</v>
      </c>
      <c r="GP1072" s="319" t="s">
        <v>173</v>
      </c>
      <c r="GQ1072" s="319" t="s">
        <v>173</v>
      </c>
      <c r="GR1072" s="319" t="s">
        <v>173</v>
      </c>
      <c r="GS1072" s="319" t="s">
        <v>173</v>
      </c>
      <c r="GT1072" s="319" t="s">
        <v>173</v>
      </c>
      <c r="GU1072" s="319" t="s">
        <v>173</v>
      </c>
      <c r="GV1072" s="319" t="s">
        <v>173</v>
      </c>
      <c r="GW1072" s="319" t="s">
        <v>173</v>
      </c>
      <c r="GX1072" s="319" t="s">
        <v>173</v>
      </c>
      <c r="GY1072" s="319" t="s">
        <v>173</v>
      </c>
      <c r="GZ1072" s="319" t="s">
        <v>173</v>
      </c>
      <c r="HA1072" s="319" t="s">
        <v>173</v>
      </c>
      <c r="HB1072" s="319" t="s">
        <v>173</v>
      </c>
      <c r="HC1072" s="319" t="s">
        <v>173</v>
      </c>
      <c r="HD1072" s="319" t="s">
        <v>173</v>
      </c>
      <c r="HE1072" s="319" t="s">
        <v>173</v>
      </c>
      <c r="HF1072" s="319" t="s">
        <v>173</v>
      </c>
      <c r="HG1072" s="319" t="s">
        <v>173</v>
      </c>
      <c r="HH1072" s="319" t="s">
        <v>173</v>
      </c>
      <c r="HI1072" s="319" t="s">
        <v>173</v>
      </c>
      <c r="HJ1072" s="319" t="s">
        <v>173</v>
      </c>
      <c r="HK1072" s="319" t="s">
        <v>173</v>
      </c>
      <c r="HL1072" s="319" t="s">
        <v>173</v>
      </c>
      <c r="HM1072" s="319" t="s">
        <v>173</v>
      </c>
      <c r="HN1072" s="319" t="s">
        <v>173</v>
      </c>
      <c r="HO1072" s="319" t="s">
        <v>173</v>
      </c>
      <c r="HP1072" s="319" t="s">
        <v>173</v>
      </c>
      <c r="HQ1072" s="319" t="s">
        <v>173</v>
      </c>
      <c r="HR1072" s="319" t="s">
        <v>173</v>
      </c>
      <c r="HS1072" s="319" t="s">
        <v>173</v>
      </c>
      <c r="HT1072" s="319" t="s">
        <v>173</v>
      </c>
      <c r="HU1072" s="319" t="s">
        <v>173</v>
      </c>
      <c r="HV1072" s="319" t="s">
        <v>173</v>
      </c>
      <c r="HW1072" s="319" t="s">
        <v>173</v>
      </c>
      <c r="HX1072" s="319" t="s">
        <v>173</v>
      </c>
      <c r="HY1072" s="319" t="s">
        <v>173</v>
      </c>
      <c r="HZ1072" s="319" t="s">
        <v>173</v>
      </c>
      <c r="IA1072" s="319" t="s">
        <v>173</v>
      </c>
      <c r="IB1072" s="319" t="s">
        <v>173</v>
      </c>
      <c r="IC1072" s="319" t="s">
        <v>173</v>
      </c>
      <c r="ID1072" s="319" t="s">
        <v>173</v>
      </c>
      <c r="IE1072" s="319" t="s">
        <v>173</v>
      </c>
      <c r="IF1072" s="319" t="s">
        <v>173</v>
      </c>
      <c r="IG1072" s="319" t="s">
        <v>173</v>
      </c>
      <c r="IH1072" s="319" t="s">
        <v>173</v>
      </c>
      <c r="II1072" s="319" t="s">
        <v>173</v>
      </c>
      <c r="IJ1072" s="319" t="s">
        <v>173</v>
      </c>
      <c r="IK1072" s="319" t="s">
        <v>173</v>
      </c>
      <c r="IL1072" s="319" t="s">
        <v>173</v>
      </c>
      <c r="IM1072" s="319" t="s">
        <v>173</v>
      </c>
      <c r="IN1072" s="319" t="s">
        <v>173</v>
      </c>
      <c r="IO1072" s="319" t="s">
        <v>173</v>
      </c>
      <c r="IP1072" s="319" t="s">
        <v>173</v>
      </c>
      <c r="IQ1072" s="319" t="s">
        <v>173</v>
      </c>
      <c r="IR1072" s="320" t="s">
        <v>173</v>
      </c>
      <c r="IS1072" s="320" t="s">
        <v>173</v>
      </c>
      <c r="IT1072" s="319" t="s">
        <v>173</v>
      </c>
    </row>
    <row r="1073" spans="1:254" s="271" customFormat="1" x14ac:dyDescent="0.25">
      <c r="A1073" s="318" t="str">
        <f>HYPERLINK("http://www.ofsted.gov.uk/inspection-reports/find-inspection-report/provider/ELS/147199 ","Ofsted School Webpage")</f>
        <v>Ofsted School Webpage</v>
      </c>
      <c r="B1073" s="319">
        <v>147199</v>
      </c>
      <c r="C1073" s="319">
        <v>2036006</v>
      </c>
      <c r="D1073" s="319" t="s">
        <v>3643</v>
      </c>
      <c r="E1073" s="319" t="s">
        <v>168</v>
      </c>
      <c r="F1073" s="319" t="s">
        <v>434</v>
      </c>
      <c r="G1073" s="319" t="s">
        <v>81</v>
      </c>
      <c r="H1073" s="319" t="s">
        <v>81</v>
      </c>
      <c r="I1073" s="319" t="s">
        <v>78</v>
      </c>
      <c r="J1073" s="319" t="s">
        <v>424</v>
      </c>
      <c r="K1073" s="319" t="s">
        <v>441</v>
      </c>
      <c r="L1073" s="319" t="s">
        <v>441</v>
      </c>
      <c r="M1073" s="319" t="s">
        <v>731</v>
      </c>
      <c r="N1073" s="319" t="s">
        <v>3358</v>
      </c>
      <c r="O1073" s="319" t="s">
        <v>3644</v>
      </c>
      <c r="P1073" s="319" t="s">
        <v>173</v>
      </c>
      <c r="Q1073" s="319" t="s">
        <v>429</v>
      </c>
      <c r="R1073" s="320" t="s">
        <v>173</v>
      </c>
      <c r="S1073" s="321" t="s">
        <v>173</v>
      </c>
      <c r="T1073" s="321" t="s">
        <v>173</v>
      </c>
      <c r="U1073" s="321" t="s">
        <v>173</v>
      </c>
      <c r="V1073" s="319" t="s">
        <v>173</v>
      </c>
      <c r="W1073" s="319" t="s">
        <v>173</v>
      </c>
      <c r="X1073" s="319" t="s">
        <v>173</v>
      </c>
      <c r="Y1073" s="319" t="s">
        <v>173</v>
      </c>
      <c r="Z1073" s="319" t="s">
        <v>173</v>
      </c>
      <c r="AA1073" s="319" t="s">
        <v>173</v>
      </c>
      <c r="AB1073" s="319" t="s">
        <v>173</v>
      </c>
      <c r="AC1073" s="319" t="s">
        <v>173</v>
      </c>
      <c r="AD1073" s="319" t="s">
        <v>173</v>
      </c>
      <c r="AE1073" s="319" t="s">
        <v>173</v>
      </c>
      <c r="AF1073" s="319" t="s">
        <v>173</v>
      </c>
      <c r="AG1073" s="319" t="s">
        <v>173</v>
      </c>
      <c r="AH1073" s="319" t="s">
        <v>173</v>
      </c>
      <c r="AI1073" s="319" t="s">
        <v>173</v>
      </c>
      <c r="AJ1073" s="319" t="s">
        <v>173</v>
      </c>
      <c r="AK1073" s="319" t="s">
        <v>173</v>
      </c>
      <c r="AL1073" s="319" t="s">
        <v>173</v>
      </c>
      <c r="AM1073" s="319" t="s">
        <v>173</v>
      </c>
      <c r="AN1073" s="319" t="s">
        <v>173</v>
      </c>
      <c r="AO1073" s="319" t="s">
        <v>173</v>
      </c>
      <c r="AP1073" s="319" t="s">
        <v>173</v>
      </c>
      <c r="AQ1073" s="319" t="s">
        <v>173</v>
      </c>
      <c r="AR1073" s="319" t="s">
        <v>173</v>
      </c>
      <c r="AS1073" s="319" t="s">
        <v>173</v>
      </c>
      <c r="AT1073" s="319" t="s">
        <v>173</v>
      </c>
      <c r="AU1073" s="319" t="s">
        <v>173</v>
      </c>
      <c r="AV1073" s="319" t="s">
        <v>173</v>
      </c>
      <c r="AW1073" s="319" t="s">
        <v>173</v>
      </c>
      <c r="AX1073" s="319" t="s">
        <v>173</v>
      </c>
      <c r="AY1073" s="319" t="s">
        <v>173</v>
      </c>
      <c r="AZ1073" s="319" t="s">
        <v>173</v>
      </c>
      <c r="BA1073" s="319" t="s">
        <v>173</v>
      </c>
      <c r="BB1073" s="319" t="s">
        <v>173</v>
      </c>
      <c r="BC1073" s="319" t="s">
        <v>173</v>
      </c>
      <c r="BD1073" s="319" t="s">
        <v>173</v>
      </c>
      <c r="BE1073" s="319" t="s">
        <v>173</v>
      </c>
      <c r="BF1073" s="319" t="s">
        <v>173</v>
      </c>
      <c r="BG1073" s="319" t="s">
        <v>173</v>
      </c>
      <c r="BH1073" s="319" t="s">
        <v>173</v>
      </c>
      <c r="BI1073" s="319" t="s">
        <v>173</v>
      </c>
      <c r="BJ1073" s="319" t="s">
        <v>173</v>
      </c>
      <c r="BK1073" s="319" t="s">
        <v>173</v>
      </c>
      <c r="BL1073" s="319" t="s">
        <v>173</v>
      </c>
      <c r="BM1073" s="319" t="s">
        <v>173</v>
      </c>
      <c r="BN1073" s="319" t="s">
        <v>173</v>
      </c>
      <c r="BO1073" s="319" t="s">
        <v>173</v>
      </c>
      <c r="BP1073" s="319" t="s">
        <v>173</v>
      </c>
      <c r="BQ1073" s="319" t="s">
        <v>173</v>
      </c>
      <c r="BR1073" s="319" t="s">
        <v>173</v>
      </c>
      <c r="BS1073" s="319" t="s">
        <v>173</v>
      </c>
      <c r="BT1073" s="319" t="s">
        <v>173</v>
      </c>
      <c r="BU1073" s="319" t="s">
        <v>173</v>
      </c>
      <c r="BV1073" s="319" t="s">
        <v>173</v>
      </c>
      <c r="BW1073" s="319" t="s">
        <v>173</v>
      </c>
      <c r="BX1073" s="319" t="s">
        <v>173</v>
      </c>
      <c r="BY1073" s="319" t="s">
        <v>173</v>
      </c>
      <c r="BZ1073" s="319" t="s">
        <v>173</v>
      </c>
      <c r="CA1073" s="319" t="s">
        <v>173</v>
      </c>
      <c r="CB1073" s="319" t="s">
        <v>173</v>
      </c>
      <c r="CC1073" s="319" t="s">
        <v>173</v>
      </c>
      <c r="CD1073" s="319" t="s">
        <v>173</v>
      </c>
      <c r="CE1073" s="319" t="s">
        <v>173</v>
      </c>
      <c r="CF1073" s="319" t="s">
        <v>173</v>
      </c>
      <c r="CG1073" s="319" t="s">
        <v>173</v>
      </c>
      <c r="CH1073" s="319" t="s">
        <v>173</v>
      </c>
      <c r="CI1073" s="319" t="s">
        <v>173</v>
      </c>
      <c r="CJ1073" s="319" t="s">
        <v>173</v>
      </c>
      <c r="CK1073" s="319" t="s">
        <v>173</v>
      </c>
      <c r="CL1073" s="319" t="s">
        <v>173</v>
      </c>
      <c r="CM1073" s="319" t="s">
        <v>173</v>
      </c>
      <c r="CN1073" s="319" t="s">
        <v>173</v>
      </c>
      <c r="CO1073" s="319" t="s">
        <v>173</v>
      </c>
      <c r="CP1073" s="319" t="s">
        <v>173</v>
      </c>
      <c r="CQ1073" s="319" t="s">
        <v>173</v>
      </c>
      <c r="CR1073" s="319" t="s">
        <v>173</v>
      </c>
      <c r="CS1073" s="319" t="s">
        <v>173</v>
      </c>
      <c r="CT1073" s="319" t="s">
        <v>173</v>
      </c>
      <c r="CU1073" s="319" t="s">
        <v>173</v>
      </c>
      <c r="CV1073" s="319" t="s">
        <v>173</v>
      </c>
      <c r="CW1073" s="319" t="s">
        <v>173</v>
      </c>
      <c r="CX1073" s="319" t="s">
        <v>173</v>
      </c>
      <c r="CY1073" s="319" t="s">
        <v>173</v>
      </c>
      <c r="CZ1073" s="319" t="s">
        <v>173</v>
      </c>
      <c r="DA1073" s="319" t="s">
        <v>173</v>
      </c>
      <c r="DB1073" s="319" t="s">
        <v>173</v>
      </c>
      <c r="DC1073" s="319" t="s">
        <v>173</v>
      </c>
      <c r="DD1073" s="319" t="s">
        <v>173</v>
      </c>
      <c r="DE1073" s="319" t="s">
        <v>173</v>
      </c>
      <c r="DF1073" s="319" t="s">
        <v>173</v>
      </c>
      <c r="DG1073" s="319" t="s">
        <v>173</v>
      </c>
      <c r="DH1073" s="319" t="s">
        <v>173</v>
      </c>
      <c r="DI1073" s="319" t="s">
        <v>173</v>
      </c>
      <c r="DJ1073" s="319" t="s">
        <v>173</v>
      </c>
      <c r="DK1073" s="319" t="s">
        <v>173</v>
      </c>
      <c r="DL1073" s="319" t="s">
        <v>173</v>
      </c>
      <c r="DM1073" s="319" t="s">
        <v>173</v>
      </c>
      <c r="DN1073" s="319" t="s">
        <v>173</v>
      </c>
      <c r="DO1073" s="319" t="s">
        <v>173</v>
      </c>
      <c r="DP1073" s="319" t="s">
        <v>173</v>
      </c>
      <c r="DQ1073" s="319" t="s">
        <v>173</v>
      </c>
      <c r="DR1073" s="319" t="s">
        <v>173</v>
      </c>
      <c r="DS1073" s="319" t="s">
        <v>173</v>
      </c>
      <c r="DT1073" s="319" t="s">
        <v>173</v>
      </c>
      <c r="DU1073" s="319" t="s">
        <v>173</v>
      </c>
      <c r="DV1073" s="319" t="s">
        <v>173</v>
      </c>
      <c r="DW1073" s="319" t="s">
        <v>173</v>
      </c>
      <c r="DX1073" s="319" t="s">
        <v>173</v>
      </c>
      <c r="DY1073" s="319" t="s">
        <v>173</v>
      </c>
      <c r="DZ1073" s="319" t="s">
        <v>173</v>
      </c>
      <c r="EA1073" s="319" t="s">
        <v>173</v>
      </c>
      <c r="EB1073" s="319" t="s">
        <v>173</v>
      </c>
      <c r="EC1073" s="319" t="s">
        <v>173</v>
      </c>
      <c r="ED1073" s="319" t="s">
        <v>173</v>
      </c>
      <c r="EE1073" s="319" t="s">
        <v>173</v>
      </c>
      <c r="EF1073" s="319" t="s">
        <v>173</v>
      </c>
      <c r="EG1073" s="319" t="s">
        <v>173</v>
      </c>
      <c r="EH1073" s="319" t="s">
        <v>173</v>
      </c>
      <c r="EI1073" s="319" t="s">
        <v>173</v>
      </c>
      <c r="EJ1073" s="319" t="s">
        <v>173</v>
      </c>
      <c r="EK1073" s="319" t="s">
        <v>173</v>
      </c>
      <c r="EL1073" s="319" t="s">
        <v>173</v>
      </c>
      <c r="EM1073" s="319" t="s">
        <v>173</v>
      </c>
      <c r="EN1073" s="319" t="s">
        <v>173</v>
      </c>
      <c r="EO1073" s="319" t="s">
        <v>173</v>
      </c>
      <c r="EP1073" s="319" t="s">
        <v>173</v>
      </c>
      <c r="EQ1073" s="319" t="s">
        <v>173</v>
      </c>
      <c r="ER1073" s="319" t="s">
        <v>173</v>
      </c>
      <c r="ES1073" s="319" t="s">
        <v>173</v>
      </c>
      <c r="ET1073" s="319" t="s">
        <v>173</v>
      </c>
      <c r="EU1073" s="319" t="s">
        <v>173</v>
      </c>
      <c r="EV1073" s="319" t="s">
        <v>173</v>
      </c>
      <c r="EW1073" s="319" t="s">
        <v>173</v>
      </c>
      <c r="EX1073" s="319" t="s">
        <v>173</v>
      </c>
      <c r="EY1073" s="319" t="s">
        <v>173</v>
      </c>
      <c r="EZ1073" s="319" t="s">
        <v>173</v>
      </c>
      <c r="FA1073" s="319" t="s">
        <v>173</v>
      </c>
      <c r="FB1073" s="319" t="s">
        <v>173</v>
      </c>
      <c r="FC1073" s="319" t="s">
        <v>173</v>
      </c>
      <c r="FD1073" s="319" t="s">
        <v>173</v>
      </c>
      <c r="FE1073" s="319" t="s">
        <v>173</v>
      </c>
      <c r="FF1073" s="319" t="s">
        <v>173</v>
      </c>
      <c r="FG1073" s="319" t="s">
        <v>173</v>
      </c>
      <c r="FH1073" s="319" t="s">
        <v>173</v>
      </c>
      <c r="FI1073" s="319" t="s">
        <v>173</v>
      </c>
      <c r="FJ1073" s="319" t="s">
        <v>173</v>
      </c>
      <c r="FK1073" s="319" t="s">
        <v>173</v>
      </c>
      <c r="FL1073" s="319" t="s">
        <v>173</v>
      </c>
      <c r="FM1073" s="319" t="s">
        <v>173</v>
      </c>
      <c r="FN1073" s="319" t="s">
        <v>173</v>
      </c>
      <c r="FO1073" s="319" t="s">
        <v>173</v>
      </c>
      <c r="FP1073" s="319" t="s">
        <v>173</v>
      </c>
      <c r="FQ1073" s="319" t="s">
        <v>173</v>
      </c>
      <c r="FR1073" s="319" t="s">
        <v>173</v>
      </c>
      <c r="FS1073" s="319" t="s">
        <v>173</v>
      </c>
      <c r="FT1073" s="319" t="s">
        <v>173</v>
      </c>
      <c r="FU1073" s="319" t="s">
        <v>173</v>
      </c>
      <c r="FV1073" s="319" t="s">
        <v>173</v>
      </c>
      <c r="FW1073" s="319" t="s">
        <v>173</v>
      </c>
      <c r="FX1073" s="319" t="s">
        <v>173</v>
      </c>
      <c r="FY1073" s="319" t="s">
        <v>173</v>
      </c>
      <c r="FZ1073" s="319" t="s">
        <v>173</v>
      </c>
      <c r="GA1073" s="319" t="s">
        <v>173</v>
      </c>
      <c r="GB1073" s="319" t="s">
        <v>173</v>
      </c>
      <c r="GC1073" s="319" t="s">
        <v>173</v>
      </c>
      <c r="GD1073" s="319" t="s">
        <v>173</v>
      </c>
      <c r="GE1073" s="319" t="s">
        <v>173</v>
      </c>
      <c r="GF1073" s="319" t="s">
        <v>173</v>
      </c>
      <c r="GG1073" s="319" t="s">
        <v>173</v>
      </c>
      <c r="GH1073" s="319" t="s">
        <v>173</v>
      </c>
      <c r="GI1073" s="319" t="s">
        <v>173</v>
      </c>
      <c r="GJ1073" s="319" t="s">
        <v>173</v>
      </c>
      <c r="GK1073" s="319" t="s">
        <v>173</v>
      </c>
      <c r="GL1073" s="319" t="s">
        <v>173</v>
      </c>
      <c r="GM1073" s="319" t="s">
        <v>173</v>
      </c>
      <c r="GN1073" s="319" t="s">
        <v>173</v>
      </c>
      <c r="GO1073" s="319" t="s">
        <v>173</v>
      </c>
      <c r="GP1073" s="319" t="s">
        <v>173</v>
      </c>
      <c r="GQ1073" s="319" t="s">
        <v>173</v>
      </c>
      <c r="GR1073" s="319" t="s">
        <v>173</v>
      </c>
      <c r="GS1073" s="319" t="s">
        <v>173</v>
      </c>
      <c r="GT1073" s="319" t="s">
        <v>173</v>
      </c>
      <c r="GU1073" s="319" t="s">
        <v>173</v>
      </c>
      <c r="GV1073" s="319" t="s">
        <v>173</v>
      </c>
      <c r="GW1073" s="319" t="s">
        <v>173</v>
      </c>
      <c r="GX1073" s="319" t="s">
        <v>173</v>
      </c>
      <c r="GY1073" s="319" t="s">
        <v>173</v>
      </c>
      <c r="GZ1073" s="319" t="s">
        <v>173</v>
      </c>
      <c r="HA1073" s="319" t="s">
        <v>173</v>
      </c>
      <c r="HB1073" s="319" t="s">
        <v>173</v>
      </c>
      <c r="HC1073" s="319" t="s">
        <v>173</v>
      </c>
      <c r="HD1073" s="319" t="s">
        <v>173</v>
      </c>
      <c r="HE1073" s="319" t="s">
        <v>173</v>
      </c>
      <c r="HF1073" s="319" t="s">
        <v>173</v>
      </c>
      <c r="HG1073" s="319" t="s">
        <v>173</v>
      </c>
      <c r="HH1073" s="319" t="s">
        <v>173</v>
      </c>
      <c r="HI1073" s="319" t="s">
        <v>173</v>
      </c>
      <c r="HJ1073" s="319" t="s">
        <v>173</v>
      </c>
      <c r="HK1073" s="319" t="s">
        <v>173</v>
      </c>
      <c r="HL1073" s="319" t="s">
        <v>173</v>
      </c>
      <c r="HM1073" s="319" t="s">
        <v>173</v>
      </c>
      <c r="HN1073" s="319" t="s">
        <v>173</v>
      </c>
      <c r="HO1073" s="319" t="s">
        <v>173</v>
      </c>
      <c r="HP1073" s="319" t="s">
        <v>173</v>
      </c>
      <c r="HQ1073" s="319" t="s">
        <v>173</v>
      </c>
      <c r="HR1073" s="319" t="s">
        <v>173</v>
      </c>
      <c r="HS1073" s="319" t="s">
        <v>173</v>
      </c>
      <c r="HT1073" s="319" t="s">
        <v>173</v>
      </c>
      <c r="HU1073" s="319" t="s">
        <v>173</v>
      </c>
      <c r="HV1073" s="319" t="s">
        <v>173</v>
      </c>
      <c r="HW1073" s="319" t="s">
        <v>173</v>
      </c>
      <c r="HX1073" s="319" t="s">
        <v>173</v>
      </c>
      <c r="HY1073" s="319" t="s">
        <v>173</v>
      </c>
      <c r="HZ1073" s="319" t="s">
        <v>173</v>
      </c>
      <c r="IA1073" s="319" t="s">
        <v>173</v>
      </c>
      <c r="IB1073" s="319" t="s">
        <v>173</v>
      </c>
      <c r="IC1073" s="319" t="s">
        <v>173</v>
      </c>
      <c r="ID1073" s="319" t="s">
        <v>173</v>
      </c>
      <c r="IE1073" s="319" t="s">
        <v>173</v>
      </c>
      <c r="IF1073" s="319" t="s">
        <v>173</v>
      </c>
      <c r="IG1073" s="319" t="s">
        <v>173</v>
      </c>
      <c r="IH1073" s="319" t="s">
        <v>173</v>
      </c>
      <c r="II1073" s="319" t="s">
        <v>173</v>
      </c>
      <c r="IJ1073" s="319" t="s">
        <v>173</v>
      </c>
      <c r="IK1073" s="319" t="s">
        <v>173</v>
      </c>
      <c r="IL1073" s="319" t="s">
        <v>173</v>
      </c>
      <c r="IM1073" s="319" t="s">
        <v>173</v>
      </c>
      <c r="IN1073" s="319" t="s">
        <v>173</v>
      </c>
      <c r="IO1073" s="319" t="s">
        <v>173</v>
      </c>
      <c r="IP1073" s="319" t="s">
        <v>173</v>
      </c>
      <c r="IQ1073" s="321" t="s">
        <v>173</v>
      </c>
      <c r="IR1073" s="320" t="s">
        <v>173</v>
      </c>
      <c r="IS1073" s="322" t="s">
        <v>173</v>
      </c>
      <c r="IT1073" s="319" t="s">
        <v>173</v>
      </c>
    </row>
    <row r="1074" spans="1:254" s="271" customFormat="1" x14ac:dyDescent="0.25">
      <c r="A1074" s="318" t="str">
        <f>HYPERLINK("http://www.ofsted.gov.uk/inspection-reports/find-inspection-report/provider/ELS/147206 ","Ofsted School Webpage")</f>
        <v>Ofsted School Webpage</v>
      </c>
      <c r="B1074" s="319">
        <v>147206</v>
      </c>
      <c r="C1074" s="319">
        <v>8886118</v>
      </c>
      <c r="D1074" s="319" t="s">
        <v>3645</v>
      </c>
      <c r="E1074" s="319" t="s">
        <v>168</v>
      </c>
      <c r="F1074" s="319" t="s">
        <v>434</v>
      </c>
      <c r="G1074" s="319" t="s">
        <v>81</v>
      </c>
      <c r="H1074" s="319" t="s">
        <v>81</v>
      </c>
      <c r="I1074" s="319" t="s">
        <v>78</v>
      </c>
      <c r="J1074" s="319" t="s">
        <v>424</v>
      </c>
      <c r="K1074" s="319" t="s">
        <v>431</v>
      </c>
      <c r="L1074" s="319" t="s">
        <v>431</v>
      </c>
      <c r="M1074" s="319" t="s">
        <v>469</v>
      </c>
      <c r="N1074" s="319" t="s">
        <v>3354</v>
      </c>
      <c r="O1074" s="319" t="s">
        <v>3646</v>
      </c>
      <c r="P1074" s="319" t="s">
        <v>173</v>
      </c>
      <c r="Q1074" s="319" t="s">
        <v>429</v>
      </c>
      <c r="R1074" s="320" t="s">
        <v>173</v>
      </c>
      <c r="S1074" s="321" t="s">
        <v>173</v>
      </c>
      <c r="T1074" s="321" t="s">
        <v>173</v>
      </c>
      <c r="U1074" s="321" t="s">
        <v>173</v>
      </c>
      <c r="V1074" s="319" t="s">
        <v>173</v>
      </c>
      <c r="W1074" s="319" t="s">
        <v>173</v>
      </c>
      <c r="X1074" s="319" t="s">
        <v>173</v>
      </c>
      <c r="Y1074" s="319" t="s">
        <v>173</v>
      </c>
      <c r="Z1074" s="319" t="s">
        <v>173</v>
      </c>
      <c r="AA1074" s="319" t="s">
        <v>173</v>
      </c>
      <c r="AB1074" s="319" t="s">
        <v>173</v>
      </c>
      <c r="AC1074" s="319" t="s">
        <v>173</v>
      </c>
      <c r="AD1074" s="319" t="s">
        <v>173</v>
      </c>
      <c r="AE1074" s="319" t="s">
        <v>173</v>
      </c>
      <c r="AF1074" s="319" t="s">
        <v>173</v>
      </c>
      <c r="AG1074" s="319" t="s">
        <v>173</v>
      </c>
      <c r="AH1074" s="319" t="s">
        <v>173</v>
      </c>
      <c r="AI1074" s="319" t="s">
        <v>173</v>
      </c>
      <c r="AJ1074" s="319" t="s">
        <v>173</v>
      </c>
      <c r="AK1074" s="319" t="s">
        <v>173</v>
      </c>
      <c r="AL1074" s="319" t="s">
        <v>173</v>
      </c>
      <c r="AM1074" s="319" t="s">
        <v>173</v>
      </c>
      <c r="AN1074" s="319" t="s">
        <v>173</v>
      </c>
      <c r="AO1074" s="319" t="s">
        <v>173</v>
      </c>
      <c r="AP1074" s="319" t="s">
        <v>173</v>
      </c>
      <c r="AQ1074" s="319" t="s">
        <v>173</v>
      </c>
      <c r="AR1074" s="319" t="s">
        <v>173</v>
      </c>
      <c r="AS1074" s="319" t="s">
        <v>173</v>
      </c>
      <c r="AT1074" s="319" t="s">
        <v>173</v>
      </c>
      <c r="AU1074" s="319" t="s">
        <v>173</v>
      </c>
      <c r="AV1074" s="319" t="s">
        <v>173</v>
      </c>
      <c r="AW1074" s="319" t="s">
        <v>173</v>
      </c>
      <c r="AX1074" s="319" t="s">
        <v>173</v>
      </c>
      <c r="AY1074" s="319" t="s">
        <v>173</v>
      </c>
      <c r="AZ1074" s="319" t="s">
        <v>173</v>
      </c>
      <c r="BA1074" s="319" t="s">
        <v>173</v>
      </c>
      <c r="BB1074" s="319" t="s">
        <v>173</v>
      </c>
      <c r="BC1074" s="319" t="s">
        <v>173</v>
      </c>
      <c r="BD1074" s="319" t="s">
        <v>173</v>
      </c>
      <c r="BE1074" s="319" t="s">
        <v>173</v>
      </c>
      <c r="BF1074" s="319" t="s">
        <v>173</v>
      </c>
      <c r="BG1074" s="319" t="s">
        <v>173</v>
      </c>
      <c r="BH1074" s="319" t="s">
        <v>173</v>
      </c>
      <c r="BI1074" s="319" t="s">
        <v>173</v>
      </c>
      <c r="BJ1074" s="319" t="s">
        <v>173</v>
      </c>
      <c r="BK1074" s="319" t="s">
        <v>173</v>
      </c>
      <c r="BL1074" s="319" t="s">
        <v>173</v>
      </c>
      <c r="BM1074" s="319" t="s">
        <v>173</v>
      </c>
      <c r="BN1074" s="319" t="s">
        <v>173</v>
      </c>
      <c r="BO1074" s="319" t="s">
        <v>173</v>
      </c>
      <c r="BP1074" s="319" t="s">
        <v>173</v>
      </c>
      <c r="BQ1074" s="319" t="s">
        <v>173</v>
      </c>
      <c r="BR1074" s="319" t="s">
        <v>173</v>
      </c>
      <c r="BS1074" s="319" t="s">
        <v>173</v>
      </c>
      <c r="BT1074" s="319" t="s">
        <v>173</v>
      </c>
      <c r="BU1074" s="319" t="s">
        <v>173</v>
      </c>
      <c r="BV1074" s="319" t="s">
        <v>173</v>
      </c>
      <c r="BW1074" s="319" t="s">
        <v>173</v>
      </c>
      <c r="BX1074" s="319" t="s">
        <v>173</v>
      </c>
      <c r="BY1074" s="319" t="s">
        <v>173</v>
      </c>
      <c r="BZ1074" s="319" t="s">
        <v>173</v>
      </c>
      <c r="CA1074" s="319" t="s">
        <v>173</v>
      </c>
      <c r="CB1074" s="319" t="s">
        <v>173</v>
      </c>
      <c r="CC1074" s="319" t="s">
        <v>173</v>
      </c>
      <c r="CD1074" s="319" t="s">
        <v>173</v>
      </c>
      <c r="CE1074" s="319" t="s">
        <v>173</v>
      </c>
      <c r="CF1074" s="319" t="s">
        <v>173</v>
      </c>
      <c r="CG1074" s="319" t="s">
        <v>173</v>
      </c>
      <c r="CH1074" s="319" t="s">
        <v>173</v>
      </c>
      <c r="CI1074" s="319" t="s">
        <v>173</v>
      </c>
      <c r="CJ1074" s="319" t="s">
        <v>173</v>
      </c>
      <c r="CK1074" s="319" t="s">
        <v>173</v>
      </c>
      <c r="CL1074" s="319" t="s">
        <v>173</v>
      </c>
      <c r="CM1074" s="319" t="s">
        <v>173</v>
      </c>
      <c r="CN1074" s="319" t="s">
        <v>173</v>
      </c>
      <c r="CO1074" s="319" t="s">
        <v>173</v>
      </c>
      <c r="CP1074" s="319" t="s">
        <v>173</v>
      </c>
      <c r="CQ1074" s="319" t="s">
        <v>173</v>
      </c>
      <c r="CR1074" s="319" t="s">
        <v>173</v>
      </c>
      <c r="CS1074" s="319" t="s">
        <v>173</v>
      </c>
      <c r="CT1074" s="319" t="s">
        <v>173</v>
      </c>
      <c r="CU1074" s="319" t="s">
        <v>173</v>
      </c>
      <c r="CV1074" s="319" t="s">
        <v>173</v>
      </c>
      <c r="CW1074" s="319" t="s">
        <v>173</v>
      </c>
      <c r="CX1074" s="319" t="s">
        <v>173</v>
      </c>
      <c r="CY1074" s="319" t="s">
        <v>173</v>
      </c>
      <c r="CZ1074" s="319" t="s">
        <v>173</v>
      </c>
      <c r="DA1074" s="319" t="s">
        <v>173</v>
      </c>
      <c r="DB1074" s="319" t="s">
        <v>173</v>
      </c>
      <c r="DC1074" s="319" t="s">
        <v>173</v>
      </c>
      <c r="DD1074" s="319" t="s">
        <v>173</v>
      </c>
      <c r="DE1074" s="319" t="s">
        <v>173</v>
      </c>
      <c r="DF1074" s="319" t="s">
        <v>173</v>
      </c>
      <c r="DG1074" s="319" t="s">
        <v>173</v>
      </c>
      <c r="DH1074" s="319" t="s">
        <v>173</v>
      </c>
      <c r="DI1074" s="319" t="s">
        <v>173</v>
      </c>
      <c r="DJ1074" s="319" t="s">
        <v>173</v>
      </c>
      <c r="DK1074" s="319" t="s">
        <v>173</v>
      </c>
      <c r="DL1074" s="319" t="s">
        <v>173</v>
      </c>
      <c r="DM1074" s="319" t="s">
        <v>173</v>
      </c>
      <c r="DN1074" s="319" t="s">
        <v>173</v>
      </c>
      <c r="DO1074" s="319" t="s">
        <v>173</v>
      </c>
      <c r="DP1074" s="319" t="s">
        <v>173</v>
      </c>
      <c r="DQ1074" s="319" t="s">
        <v>173</v>
      </c>
      <c r="DR1074" s="319" t="s">
        <v>173</v>
      </c>
      <c r="DS1074" s="319" t="s">
        <v>173</v>
      </c>
      <c r="DT1074" s="319" t="s">
        <v>173</v>
      </c>
      <c r="DU1074" s="319" t="s">
        <v>173</v>
      </c>
      <c r="DV1074" s="319" t="s">
        <v>173</v>
      </c>
      <c r="DW1074" s="319" t="s">
        <v>173</v>
      </c>
      <c r="DX1074" s="319" t="s">
        <v>173</v>
      </c>
      <c r="DY1074" s="319" t="s">
        <v>173</v>
      </c>
      <c r="DZ1074" s="319" t="s">
        <v>173</v>
      </c>
      <c r="EA1074" s="319" t="s">
        <v>173</v>
      </c>
      <c r="EB1074" s="319" t="s">
        <v>173</v>
      </c>
      <c r="EC1074" s="319" t="s">
        <v>173</v>
      </c>
      <c r="ED1074" s="319" t="s">
        <v>173</v>
      </c>
      <c r="EE1074" s="319" t="s">
        <v>173</v>
      </c>
      <c r="EF1074" s="319" t="s">
        <v>173</v>
      </c>
      <c r="EG1074" s="319" t="s">
        <v>173</v>
      </c>
      <c r="EH1074" s="319" t="s">
        <v>173</v>
      </c>
      <c r="EI1074" s="319" t="s">
        <v>173</v>
      </c>
      <c r="EJ1074" s="319" t="s">
        <v>173</v>
      </c>
      <c r="EK1074" s="319" t="s">
        <v>173</v>
      </c>
      <c r="EL1074" s="319" t="s">
        <v>173</v>
      </c>
      <c r="EM1074" s="319" t="s">
        <v>173</v>
      </c>
      <c r="EN1074" s="319" t="s">
        <v>173</v>
      </c>
      <c r="EO1074" s="319" t="s">
        <v>173</v>
      </c>
      <c r="EP1074" s="319" t="s">
        <v>173</v>
      </c>
      <c r="EQ1074" s="319" t="s">
        <v>173</v>
      </c>
      <c r="ER1074" s="319" t="s">
        <v>173</v>
      </c>
      <c r="ES1074" s="319" t="s">
        <v>173</v>
      </c>
      <c r="ET1074" s="319" t="s">
        <v>173</v>
      </c>
      <c r="EU1074" s="319" t="s">
        <v>173</v>
      </c>
      <c r="EV1074" s="319" t="s">
        <v>173</v>
      </c>
      <c r="EW1074" s="319" t="s">
        <v>173</v>
      </c>
      <c r="EX1074" s="319" t="s">
        <v>173</v>
      </c>
      <c r="EY1074" s="319" t="s">
        <v>173</v>
      </c>
      <c r="EZ1074" s="319" t="s">
        <v>173</v>
      </c>
      <c r="FA1074" s="319" t="s">
        <v>173</v>
      </c>
      <c r="FB1074" s="319" t="s">
        <v>173</v>
      </c>
      <c r="FC1074" s="319" t="s">
        <v>173</v>
      </c>
      <c r="FD1074" s="319" t="s">
        <v>173</v>
      </c>
      <c r="FE1074" s="319" t="s">
        <v>173</v>
      </c>
      <c r="FF1074" s="319" t="s">
        <v>173</v>
      </c>
      <c r="FG1074" s="319" t="s">
        <v>173</v>
      </c>
      <c r="FH1074" s="319" t="s">
        <v>173</v>
      </c>
      <c r="FI1074" s="319" t="s">
        <v>173</v>
      </c>
      <c r="FJ1074" s="319" t="s">
        <v>173</v>
      </c>
      <c r="FK1074" s="319" t="s">
        <v>173</v>
      </c>
      <c r="FL1074" s="319" t="s">
        <v>173</v>
      </c>
      <c r="FM1074" s="319" t="s">
        <v>173</v>
      </c>
      <c r="FN1074" s="319" t="s">
        <v>173</v>
      </c>
      <c r="FO1074" s="319" t="s">
        <v>173</v>
      </c>
      <c r="FP1074" s="319" t="s">
        <v>173</v>
      </c>
      <c r="FQ1074" s="319" t="s">
        <v>173</v>
      </c>
      <c r="FR1074" s="319" t="s">
        <v>173</v>
      </c>
      <c r="FS1074" s="319" t="s">
        <v>173</v>
      </c>
      <c r="FT1074" s="319" t="s">
        <v>173</v>
      </c>
      <c r="FU1074" s="319" t="s">
        <v>173</v>
      </c>
      <c r="FV1074" s="319" t="s">
        <v>173</v>
      </c>
      <c r="FW1074" s="319" t="s">
        <v>173</v>
      </c>
      <c r="FX1074" s="319" t="s">
        <v>173</v>
      </c>
      <c r="FY1074" s="319" t="s">
        <v>173</v>
      </c>
      <c r="FZ1074" s="319" t="s">
        <v>173</v>
      </c>
      <c r="GA1074" s="319" t="s">
        <v>173</v>
      </c>
      <c r="GB1074" s="319" t="s">
        <v>173</v>
      </c>
      <c r="GC1074" s="319" t="s">
        <v>173</v>
      </c>
      <c r="GD1074" s="319" t="s">
        <v>173</v>
      </c>
      <c r="GE1074" s="319" t="s">
        <v>173</v>
      </c>
      <c r="GF1074" s="319" t="s">
        <v>173</v>
      </c>
      <c r="GG1074" s="319" t="s">
        <v>173</v>
      </c>
      <c r="GH1074" s="319" t="s">
        <v>173</v>
      </c>
      <c r="GI1074" s="319" t="s">
        <v>173</v>
      </c>
      <c r="GJ1074" s="319" t="s">
        <v>173</v>
      </c>
      <c r="GK1074" s="319" t="s">
        <v>173</v>
      </c>
      <c r="GL1074" s="319" t="s">
        <v>173</v>
      </c>
      <c r="GM1074" s="319" t="s">
        <v>173</v>
      </c>
      <c r="GN1074" s="319" t="s">
        <v>173</v>
      </c>
      <c r="GO1074" s="319" t="s">
        <v>173</v>
      </c>
      <c r="GP1074" s="319" t="s">
        <v>173</v>
      </c>
      <c r="GQ1074" s="319" t="s">
        <v>173</v>
      </c>
      <c r="GR1074" s="319" t="s">
        <v>173</v>
      </c>
      <c r="GS1074" s="319" t="s">
        <v>173</v>
      </c>
      <c r="GT1074" s="319" t="s">
        <v>173</v>
      </c>
      <c r="GU1074" s="319" t="s">
        <v>173</v>
      </c>
      <c r="GV1074" s="319" t="s">
        <v>173</v>
      </c>
      <c r="GW1074" s="319" t="s">
        <v>173</v>
      </c>
      <c r="GX1074" s="319" t="s">
        <v>173</v>
      </c>
      <c r="GY1074" s="319" t="s">
        <v>173</v>
      </c>
      <c r="GZ1074" s="319" t="s">
        <v>173</v>
      </c>
      <c r="HA1074" s="319" t="s">
        <v>173</v>
      </c>
      <c r="HB1074" s="319" t="s">
        <v>173</v>
      </c>
      <c r="HC1074" s="319" t="s">
        <v>173</v>
      </c>
      <c r="HD1074" s="319" t="s">
        <v>173</v>
      </c>
      <c r="HE1074" s="319" t="s">
        <v>173</v>
      </c>
      <c r="HF1074" s="319" t="s">
        <v>173</v>
      </c>
      <c r="HG1074" s="319" t="s">
        <v>173</v>
      </c>
      <c r="HH1074" s="319" t="s">
        <v>173</v>
      </c>
      <c r="HI1074" s="319" t="s">
        <v>173</v>
      </c>
      <c r="HJ1074" s="319" t="s">
        <v>173</v>
      </c>
      <c r="HK1074" s="319" t="s">
        <v>173</v>
      </c>
      <c r="HL1074" s="319" t="s">
        <v>173</v>
      </c>
      <c r="HM1074" s="319" t="s">
        <v>173</v>
      </c>
      <c r="HN1074" s="319" t="s">
        <v>173</v>
      </c>
      <c r="HO1074" s="319" t="s">
        <v>173</v>
      </c>
      <c r="HP1074" s="319" t="s">
        <v>173</v>
      </c>
      <c r="HQ1074" s="319" t="s">
        <v>173</v>
      </c>
      <c r="HR1074" s="319" t="s">
        <v>173</v>
      </c>
      <c r="HS1074" s="319" t="s">
        <v>173</v>
      </c>
      <c r="HT1074" s="319" t="s">
        <v>173</v>
      </c>
      <c r="HU1074" s="319" t="s">
        <v>173</v>
      </c>
      <c r="HV1074" s="319" t="s">
        <v>173</v>
      </c>
      <c r="HW1074" s="319" t="s">
        <v>173</v>
      </c>
      <c r="HX1074" s="319" t="s">
        <v>173</v>
      </c>
      <c r="HY1074" s="319" t="s">
        <v>173</v>
      </c>
      <c r="HZ1074" s="319" t="s">
        <v>173</v>
      </c>
      <c r="IA1074" s="319" t="s">
        <v>173</v>
      </c>
      <c r="IB1074" s="319" t="s">
        <v>173</v>
      </c>
      <c r="IC1074" s="319" t="s">
        <v>173</v>
      </c>
      <c r="ID1074" s="319" t="s">
        <v>173</v>
      </c>
      <c r="IE1074" s="319" t="s">
        <v>173</v>
      </c>
      <c r="IF1074" s="319" t="s">
        <v>173</v>
      </c>
      <c r="IG1074" s="319" t="s">
        <v>173</v>
      </c>
      <c r="IH1074" s="319" t="s">
        <v>173</v>
      </c>
      <c r="II1074" s="319" t="s">
        <v>173</v>
      </c>
      <c r="IJ1074" s="319" t="s">
        <v>173</v>
      </c>
      <c r="IK1074" s="319" t="s">
        <v>173</v>
      </c>
      <c r="IL1074" s="319" t="s">
        <v>173</v>
      </c>
      <c r="IM1074" s="319" t="s">
        <v>173</v>
      </c>
      <c r="IN1074" s="319" t="s">
        <v>173</v>
      </c>
      <c r="IO1074" s="319" t="s">
        <v>173</v>
      </c>
      <c r="IP1074" s="319" t="s">
        <v>173</v>
      </c>
      <c r="IQ1074" s="319" t="s">
        <v>173</v>
      </c>
      <c r="IR1074" s="320" t="s">
        <v>173</v>
      </c>
      <c r="IS1074" s="320" t="s">
        <v>173</v>
      </c>
      <c r="IT1074" s="319" t="s">
        <v>173</v>
      </c>
    </row>
    <row r="1075" spans="1:254" s="271" customFormat="1" x14ac:dyDescent="0.25">
      <c r="A1075" s="318" t="str">
        <f>HYPERLINK("http://www.ofsted.gov.uk/inspection-reports/find-inspection-report/provider/ELS/147207 ","Ofsted School Webpage")</f>
        <v>Ofsted School Webpage</v>
      </c>
      <c r="B1075" s="319">
        <v>147207</v>
      </c>
      <c r="C1075" s="319">
        <v>8866157</v>
      </c>
      <c r="D1075" s="319" t="s">
        <v>2688</v>
      </c>
      <c r="E1075" s="319" t="s">
        <v>168</v>
      </c>
      <c r="F1075" s="319" t="s">
        <v>434</v>
      </c>
      <c r="G1075" s="319" t="s">
        <v>81</v>
      </c>
      <c r="H1075" s="319" t="s">
        <v>81</v>
      </c>
      <c r="I1075" s="319" t="s">
        <v>78</v>
      </c>
      <c r="J1075" s="319" t="s">
        <v>424</v>
      </c>
      <c r="K1075" s="319" t="s">
        <v>514</v>
      </c>
      <c r="L1075" s="319" t="s">
        <v>514</v>
      </c>
      <c r="M1075" s="319" t="s">
        <v>614</v>
      </c>
      <c r="N1075" s="319" t="s">
        <v>3310</v>
      </c>
      <c r="O1075" s="319" t="s">
        <v>2689</v>
      </c>
      <c r="P1075" s="319" t="s">
        <v>173</v>
      </c>
      <c r="Q1075" s="319" t="s">
        <v>429</v>
      </c>
      <c r="R1075" s="320" t="s">
        <v>173</v>
      </c>
      <c r="S1075" s="321" t="s">
        <v>173</v>
      </c>
      <c r="T1075" s="321" t="s">
        <v>173</v>
      </c>
      <c r="U1075" s="321" t="s">
        <v>173</v>
      </c>
      <c r="V1075" s="319" t="s">
        <v>173</v>
      </c>
      <c r="W1075" s="319" t="s">
        <v>173</v>
      </c>
      <c r="X1075" s="319" t="s">
        <v>173</v>
      </c>
      <c r="Y1075" s="319" t="s">
        <v>173</v>
      </c>
      <c r="Z1075" s="319" t="s">
        <v>173</v>
      </c>
      <c r="AA1075" s="319" t="s">
        <v>173</v>
      </c>
      <c r="AB1075" s="319" t="s">
        <v>173</v>
      </c>
      <c r="AC1075" s="319" t="s">
        <v>173</v>
      </c>
      <c r="AD1075" s="319" t="s">
        <v>173</v>
      </c>
      <c r="AE1075" s="319" t="s">
        <v>173</v>
      </c>
      <c r="AF1075" s="319" t="s">
        <v>173</v>
      </c>
      <c r="AG1075" s="319" t="s">
        <v>173</v>
      </c>
      <c r="AH1075" s="319" t="s">
        <v>173</v>
      </c>
      <c r="AI1075" s="319" t="s">
        <v>173</v>
      </c>
      <c r="AJ1075" s="319" t="s">
        <v>173</v>
      </c>
      <c r="AK1075" s="319" t="s">
        <v>173</v>
      </c>
      <c r="AL1075" s="319" t="s">
        <v>173</v>
      </c>
      <c r="AM1075" s="319" t="s">
        <v>173</v>
      </c>
      <c r="AN1075" s="319" t="s">
        <v>173</v>
      </c>
      <c r="AO1075" s="319" t="s">
        <v>173</v>
      </c>
      <c r="AP1075" s="319" t="s">
        <v>173</v>
      </c>
      <c r="AQ1075" s="319" t="s">
        <v>173</v>
      </c>
      <c r="AR1075" s="319" t="s">
        <v>173</v>
      </c>
      <c r="AS1075" s="319" t="s">
        <v>173</v>
      </c>
      <c r="AT1075" s="319" t="s">
        <v>173</v>
      </c>
      <c r="AU1075" s="319" t="s">
        <v>173</v>
      </c>
      <c r="AV1075" s="319" t="s">
        <v>173</v>
      </c>
      <c r="AW1075" s="319" t="s">
        <v>173</v>
      </c>
      <c r="AX1075" s="319" t="s">
        <v>173</v>
      </c>
      <c r="AY1075" s="319" t="s">
        <v>173</v>
      </c>
      <c r="AZ1075" s="319" t="s">
        <v>173</v>
      </c>
      <c r="BA1075" s="319" t="s">
        <v>173</v>
      </c>
      <c r="BB1075" s="319" t="s">
        <v>173</v>
      </c>
      <c r="BC1075" s="319" t="s">
        <v>173</v>
      </c>
      <c r="BD1075" s="319" t="s">
        <v>173</v>
      </c>
      <c r="BE1075" s="319" t="s">
        <v>173</v>
      </c>
      <c r="BF1075" s="319" t="s">
        <v>173</v>
      </c>
      <c r="BG1075" s="319" t="s">
        <v>173</v>
      </c>
      <c r="BH1075" s="319" t="s">
        <v>173</v>
      </c>
      <c r="BI1075" s="319" t="s">
        <v>173</v>
      </c>
      <c r="BJ1075" s="319" t="s">
        <v>173</v>
      </c>
      <c r="BK1075" s="319" t="s">
        <v>173</v>
      </c>
      <c r="BL1075" s="319" t="s">
        <v>173</v>
      </c>
      <c r="BM1075" s="319" t="s">
        <v>173</v>
      </c>
      <c r="BN1075" s="319" t="s">
        <v>173</v>
      </c>
      <c r="BO1075" s="319" t="s">
        <v>173</v>
      </c>
      <c r="BP1075" s="319" t="s">
        <v>173</v>
      </c>
      <c r="BQ1075" s="319" t="s">
        <v>173</v>
      </c>
      <c r="BR1075" s="319" t="s">
        <v>173</v>
      </c>
      <c r="BS1075" s="319" t="s">
        <v>173</v>
      </c>
      <c r="BT1075" s="319" t="s">
        <v>173</v>
      </c>
      <c r="BU1075" s="319" t="s">
        <v>173</v>
      </c>
      <c r="BV1075" s="319" t="s">
        <v>173</v>
      </c>
      <c r="BW1075" s="319" t="s">
        <v>173</v>
      </c>
      <c r="BX1075" s="319" t="s">
        <v>173</v>
      </c>
      <c r="BY1075" s="319" t="s">
        <v>173</v>
      </c>
      <c r="BZ1075" s="319" t="s">
        <v>173</v>
      </c>
      <c r="CA1075" s="319" t="s">
        <v>173</v>
      </c>
      <c r="CB1075" s="319" t="s">
        <v>173</v>
      </c>
      <c r="CC1075" s="319" t="s">
        <v>173</v>
      </c>
      <c r="CD1075" s="319" t="s">
        <v>173</v>
      </c>
      <c r="CE1075" s="319" t="s">
        <v>173</v>
      </c>
      <c r="CF1075" s="319" t="s">
        <v>173</v>
      </c>
      <c r="CG1075" s="319" t="s">
        <v>173</v>
      </c>
      <c r="CH1075" s="319" t="s">
        <v>173</v>
      </c>
      <c r="CI1075" s="319" t="s">
        <v>173</v>
      </c>
      <c r="CJ1075" s="319" t="s">
        <v>173</v>
      </c>
      <c r="CK1075" s="319" t="s">
        <v>173</v>
      </c>
      <c r="CL1075" s="319" t="s">
        <v>173</v>
      </c>
      <c r="CM1075" s="319" t="s">
        <v>173</v>
      </c>
      <c r="CN1075" s="319" t="s">
        <v>173</v>
      </c>
      <c r="CO1075" s="319" t="s">
        <v>173</v>
      </c>
      <c r="CP1075" s="319" t="s">
        <v>173</v>
      </c>
      <c r="CQ1075" s="319" t="s">
        <v>173</v>
      </c>
      <c r="CR1075" s="319" t="s">
        <v>173</v>
      </c>
      <c r="CS1075" s="319" t="s">
        <v>173</v>
      </c>
      <c r="CT1075" s="319" t="s">
        <v>173</v>
      </c>
      <c r="CU1075" s="319" t="s">
        <v>173</v>
      </c>
      <c r="CV1075" s="319" t="s">
        <v>173</v>
      </c>
      <c r="CW1075" s="319" t="s">
        <v>173</v>
      </c>
      <c r="CX1075" s="319" t="s">
        <v>173</v>
      </c>
      <c r="CY1075" s="319" t="s">
        <v>173</v>
      </c>
      <c r="CZ1075" s="319" t="s">
        <v>173</v>
      </c>
      <c r="DA1075" s="319" t="s">
        <v>173</v>
      </c>
      <c r="DB1075" s="319" t="s">
        <v>173</v>
      </c>
      <c r="DC1075" s="319" t="s">
        <v>173</v>
      </c>
      <c r="DD1075" s="319" t="s">
        <v>173</v>
      </c>
      <c r="DE1075" s="319" t="s">
        <v>173</v>
      </c>
      <c r="DF1075" s="319" t="s">
        <v>173</v>
      </c>
      <c r="DG1075" s="319" t="s">
        <v>173</v>
      </c>
      <c r="DH1075" s="319" t="s">
        <v>173</v>
      </c>
      <c r="DI1075" s="319" t="s">
        <v>173</v>
      </c>
      <c r="DJ1075" s="319" t="s">
        <v>173</v>
      </c>
      <c r="DK1075" s="319" t="s">
        <v>173</v>
      </c>
      <c r="DL1075" s="319" t="s">
        <v>173</v>
      </c>
      <c r="DM1075" s="319" t="s">
        <v>173</v>
      </c>
      <c r="DN1075" s="319" t="s">
        <v>173</v>
      </c>
      <c r="DO1075" s="319" t="s">
        <v>173</v>
      </c>
      <c r="DP1075" s="319" t="s">
        <v>173</v>
      </c>
      <c r="DQ1075" s="319" t="s">
        <v>173</v>
      </c>
      <c r="DR1075" s="319" t="s">
        <v>173</v>
      </c>
      <c r="DS1075" s="319" t="s">
        <v>173</v>
      </c>
      <c r="DT1075" s="319" t="s">
        <v>173</v>
      </c>
      <c r="DU1075" s="319" t="s">
        <v>173</v>
      </c>
      <c r="DV1075" s="319" t="s">
        <v>173</v>
      </c>
      <c r="DW1075" s="319" t="s">
        <v>173</v>
      </c>
      <c r="DX1075" s="319" t="s">
        <v>173</v>
      </c>
      <c r="DY1075" s="319" t="s">
        <v>173</v>
      </c>
      <c r="DZ1075" s="319" t="s">
        <v>173</v>
      </c>
      <c r="EA1075" s="319" t="s">
        <v>173</v>
      </c>
      <c r="EB1075" s="319" t="s">
        <v>173</v>
      </c>
      <c r="EC1075" s="319" t="s">
        <v>173</v>
      </c>
      <c r="ED1075" s="319" t="s">
        <v>173</v>
      </c>
      <c r="EE1075" s="319" t="s">
        <v>173</v>
      </c>
      <c r="EF1075" s="319" t="s">
        <v>173</v>
      </c>
      <c r="EG1075" s="319" t="s">
        <v>173</v>
      </c>
      <c r="EH1075" s="319" t="s">
        <v>173</v>
      </c>
      <c r="EI1075" s="319" t="s">
        <v>173</v>
      </c>
      <c r="EJ1075" s="319" t="s">
        <v>173</v>
      </c>
      <c r="EK1075" s="319" t="s">
        <v>173</v>
      </c>
      <c r="EL1075" s="319" t="s">
        <v>173</v>
      </c>
      <c r="EM1075" s="319" t="s">
        <v>173</v>
      </c>
      <c r="EN1075" s="319" t="s">
        <v>173</v>
      </c>
      <c r="EO1075" s="319" t="s">
        <v>173</v>
      </c>
      <c r="EP1075" s="319" t="s">
        <v>173</v>
      </c>
      <c r="EQ1075" s="319" t="s">
        <v>173</v>
      </c>
      <c r="ER1075" s="319" t="s">
        <v>173</v>
      </c>
      <c r="ES1075" s="319" t="s">
        <v>173</v>
      </c>
      <c r="ET1075" s="319" t="s">
        <v>173</v>
      </c>
      <c r="EU1075" s="319" t="s">
        <v>173</v>
      </c>
      <c r="EV1075" s="319" t="s">
        <v>173</v>
      </c>
      <c r="EW1075" s="319" t="s">
        <v>173</v>
      </c>
      <c r="EX1075" s="319" t="s">
        <v>173</v>
      </c>
      <c r="EY1075" s="319" t="s">
        <v>173</v>
      </c>
      <c r="EZ1075" s="319" t="s">
        <v>173</v>
      </c>
      <c r="FA1075" s="319" t="s">
        <v>173</v>
      </c>
      <c r="FB1075" s="319" t="s">
        <v>173</v>
      </c>
      <c r="FC1075" s="319" t="s">
        <v>173</v>
      </c>
      <c r="FD1075" s="319" t="s">
        <v>173</v>
      </c>
      <c r="FE1075" s="319" t="s">
        <v>173</v>
      </c>
      <c r="FF1075" s="319" t="s">
        <v>173</v>
      </c>
      <c r="FG1075" s="319" t="s">
        <v>173</v>
      </c>
      <c r="FH1075" s="319" t="s">
        <v>173</v>
      </c>
      <c r="FI1075" s="319" t="s">
        <v>173</v>
      </c>
      <c r="FJ1075" s="319" t="s">
        <v>173</v>
      </c>
      <c r="FK1075" s="319" t="s">
        <v>173</v>
      </c>
      <c r="FL1075" s="319" t="s">
        <v>173</v>
      </c>
      <c r="FM1075" s="319" t="s">
        <v>173</v>
      </c>
      <c r="FN1075" s="319" t="s">
        <v>173</v>
      </c>
      <c r="FO1075" s="319" t="s">
        <v>173</v>
      </c>
      <c r="FP1075" s="319" t="s">
        <v>173</v>
      </c>
      <c r="FQ1075" s="319" t="s">
        <v>173</v>
      </c>
      <c r="FR1075" s="319" t="s">
        <v>173</v>
      </c>
      <c r="FS1075" s="319" t="s">
        <v>173</v>
      </c>
      <c r="FT1075" s="319" t="s">
        <v>173</v>
      </c>
      <c r="FU1075" s="319" t="s">
        <v>173</v>
      </c>
      <c r="FV1075" s="319" t="s">
        <v>173</v>
      </c>
      <c r="FW1075" s="319" t="s">
        <v>173</v>
      </c>
      <c r="FX1075" s="319" t="s">
        <v>173</v>
      </c>
      <c r="FY1075" s="319" t="s">
        <v>173</v>
      </c>
      <c r="FZ1075" s="319" t="s">
        <v>173</v>
      </c>
      <c r="GA1075" s="319" t="s">
        <v>173</v>
      </c>
      <c r="GB1075" s="319" t="s">
        <v>173</v>
      </c>
      <c r="GC1075" s="319" t="s">
        <v>173</v>
      </c>
      <c r="GD1075" s="319" t="s">
        <v>173</v>
      </c>
      <c r="GE1075" s="319" t="s">
        <v>173</v>
      </c>
      <c r="GF1075" s="319" t="s">
        <v>173</v>
      </c>
      <c r="GG1075" s="319" t="s">
        <v>173</v>
      </c>
      <c r="GH1075" s="319" t="s">
        <v>173</v>
      </c>
      <c r="GI1075" s="319" t="s">
        <v>173</v>
      </c>
      <c r="GJ1075" s="319" t="s">
        <v>173</v>
      </c>
      <c r="GK1075" s="319" t="s">
        <v>173</v>
      </c>
      <c r="GL1075" s="319" t="s">
        <v>173</v>
      </c>
      <c r="GM1075" s="319" t="s">
        <v>173</v>
      </c>
      <c r="GN1075" s="319" t="s">
        <v>173</v>
      </c>
      <c r="GO1075" s="319" t="s">
        <v>173</v>
      </c>
      <c r="GP1075" s="319" t="s">
        <v>173</v>
      </c>
      <c r="GQ1075" s="319" t="s">
        <v>173</v>
      </c>
      <c r="GR1075" s="319" t="s">
        <v>173</v>
      </c>
      <c r="GS1075" s="319" t="s">
        <v>173</v>
      </c>
      <c r="GT1075" s="319" t="s">
        <v>173</v>
      </c>
      <c r="GU1075" s="319" t="s">
        <v>173</v>
      </c>
      <c r="GV1075" s="319" t="s">
        <v>173</v>
      </c>
      <c r="GW1075" s="319" t="s">
        <v>173</v>
      </c>
      <c r="GX1075" s="319" t="s">
        <v>173</v>
      </c>
      <c r="GY1075" s="319" t="s">
        <v>173</v>
      </c>
      <c r="GZ1075" s="319" t="s">
        <v>173</v>
      </c>
      <c r="HA1075" s="319" t="s">
        <v>173</v>
      </c>
      <c r="HB1075" s="319" t="s">
        <v>173</v>
      </c>
      <c r="HC1075" s="319" t="s">
        <v>173</v>
      </c>
      <c r="HD1075" s="319" t="s">
        <v>173</v>
      </c>
      <c r="HE1075" s="319" t="s">
        <v>173</v>
      </c>
      <c r="HF1075" s="319" t="s">
        <v>173</v>
      </c>
      <c r="HG1075" s="319" t="s">
        <v>173</v>
      </c>
      <c r="HH1075" s="319" t="s">
        <v>173</v>
      </c>
      <c r="HI1075" s="319" t="s">
        <v>173</v>
      </c>
      <c r="HJ1075" s="319" t="s">
        <v>173</v>
      </c>
      <c r="HK1075" s="319" t="s">
        <v>173</v>
      </c>
      <c r="HL1075" s="319" t="s">
        <v>173</v>
      </c>
      <c r="HM1075" s="319" t="s">
        <v>173</v>
      </c>
      <c r="HN1075" s="319" t="s">
        <v>173</v>
      </c>
      <c r="HO1075" s="319" t="s">
        <v>173</v>
      </c>
      <c r="HP1075" s="319" t="s">
        <v>173</v>
      </c>
      <c r="HQ1075" s="319" t="s">
        <v>173</v>
      </c>
      <c r="HR1075" s="319" t="s">
        <v>173</v>
      </c>
      <c r="HS1075" s="319" t="s">
        <v>173</v>
      </c>
      <c r="HT1075" s="319" t="s">
        <v>173</v>
      </c>
      <c r="HU1075" s="319" t="s">
        <v>173</v>
      </c>
      <c r="HV1075" s="319" t="s">
        <v>173</v>
      </c>
      <c r="HW1075" s="319" t="s">
        <v>173</v>
      </c>
      <c r="HX1075" s="319" t="s">
        <v>173</v>
      </c>
      <c r="HY1075" s="319" t="s">
        <v>173</v>
      </c>
      <c r="HZ1075" s="319" t="s">
        <v>173</v>
      </c>
      <c r="IA1075" s="319" t="s">
        <v>173</v>
      </c>
      <c r="IB1075" s="319" t="s">
        <v>173</v>
      </c>
      <c r="IC1075" s="319" t="s">
        <v>173</v>
      </c>
      <c r="ID1075" s="319" t="s">
        <v>173</v>
      </c>
      <c r="IE1075" s="319" t="s">
        <v>173</v>
      </c>
      <c r="IF1075" s="319" t="s">
        <v>173</v>
      </c>
      <c r="IG1075" s="319" t="s">
        <v>173</v>
      </c>
      <c r="IH1075" s="319" t="s">
        <v>173</v>
      </c>
      <c r="II1075" s="319" t="s">
        <v>173</v>
      </c>
      <c r="IJ1075" s="319" t="s">
        <v>173</v>
      </c>
      <c r="IK1075" s="319" t="s">
        <v>173</v>
      </c>
      <c r="IL1075" s="319" t="s">
        <v>173</v>
      </c>
      <c r="IM1075" s="319" t="s">
        <v>173</v>
      </c>
      <c r="IN1075" s="319" t="s">
        <v>173</v>
      </c>
      <c r="IO1075" s="319" t="s">
        <v>173</v>
      </c>
      <c r="IP1075" s="319" t="s">
        <v>173</v>
      </c>
      <c r="IQ1075" s="321" t="s">
        <v>173</v>
      </c>
      <c r="IR1075" s="320" t="s">
        <v>173</v>
      </c>
      <c r="IS1075" s="322" t="s">
        <v>173</v>
      </c>
      <c r="IT1075" s="319" t="s">
        <v>173</v>
      </c>
    </row>
    <row r="1076" spans="1:254" s="271" customFormat="1" x14ac:dyDescent="0.25">
      <c r="A1076" s="318" t="str">
        <f>HYPERLINK("http://www.ofsted.gov.uk/inspection-reports/find-inspection-report/provider/ELS/147208 ","Ofsted School Webpage")</f>
        <v>Ofsted School Webpage</v>
      </c>
      <c r="B1076" s="319">
        <v>147208</v>
      </c>
      <c r="C1076" s="319">
        <v>3556012</v>
      </c>
      <c r="D1076" s="319" t="s">
        <v>3647</v>
      </c>
      <c r="E1076" s="319" t="s">
        <v>167</v>
      </c>
      <c r="F1076" s="319" t="s">
        <v>81</v>
      </c>
      <c r="G1076" s="319" t="s">
        <v>69</v>
      </c>
      <c r="H1076" s="319" t="s">
        <v>69</v>
      </c>
      <c r="I1076" s="319" t="s">
        <v>69</v>
      </c>
      <c r="J1076" s="319" t="s">
        <v>424</v>
      </c>
      <c r="K1076" s="319" t="s">
        <v>431</v>
      </c>
      <c r="L1076" s="319" t="s">
        <v>431</v>
      </c>
      <c r="M1076" s="319" t="s">
        <v>533</v>
      </c>
      <c r="N1076" s="319" t="s">
        <v>2874</v>
      </c>
      <c r="O1076" s="319" t="s">
        <v>3648</v>
      </c>
      <c r="P1076" s="319" t="s">
        <v>173</v>
      </c>
      <c r="Q1076" s="319" t="s">
        <v>2766</v>
      </c>
      <c r="R1076" s="320" t="s">
        <v>173</v>
      </c>
      <c r="S1076" s="321" t="s">
        <v>173</v>
      </c>
      <c r="T1076" s="321" t="s">
        <v>173</v>
      </c>
      <c r="U1076" s="321" t="s">
        <v>173</v>
      </c>
      <c r="V1076" s="319" t="s">
        <v>173</v>
      </c>
      <c r="W1076" s="319" t="s">
        <v>173</v>
      </c>
      <c r="X1076" s="319" t="s">
        <v>173</v>
      </c>
      <c r="Y1076" s="319" t="s">
        <v>173</v>
      </c>
      <c r="Z1076" s="319" t="s">
        <v>173</v>
      </c>
      <c r="AA1076" s="319" t="s">
        <v>173</v>
      </c>
      <c r="AB1076" s="319" t="s">
        <v>173</v>
      </c>
      <c r="AC1076" s="319" t="s">
        <v>173</v>
      </c>
      <c r="AD1076" s="319" t="s">
        <v>173</v>
      </c>
      <c r="AE1076" s="319" t="s">
        <v>173</v>
      </c>
      <c r="AF1076" s="319" t="s">
        <v>173</v>
      </c>
      <c r="AG1076" s="319" t="s">
        <v>173</v>
      </c>
      <c r="AH1076" s="319" t="s">
        <v>173</v>
      </c>
      <c r="AI1076" s="319" t="s">
        <v>173</v>
      </c>
      <c r="AJ1076" s="319" t="s">
        <v>173</v>
      </c>
      <c r="AK1076" s="319" t="s">
        <v>173</v>
      </c>
      <c r="AL1076" s="319" t="s">
        <v>173</v>
      </c>
      <c r="AM1076" s="319" t="s">
        <v>173</v>
      </c>
      <c r="AN1076" s="319" t="s">
        <v>173</v>
      </c>
      <c r="AO1076" s="319" t="s">
        <v>173</v>
      </c>
      <c r="AP1076" s="319" t="s">
        <v>173</v>
      </c>
      <c r="AQ1076" s="319" t="s">
        <v>173</v>
      </c>
      <c r="AR1076" s="319" t="s">
        <v>173</v>
      </c>
      <c r="AS1076" s="319" t="s">
        <v>173</v>
      </c>
      <c r="AT1076" s="319" t="s">
        <v>173</v>
      </c>
      <c r="AU1076" s="319" t="s">
        <v>173</v>
      </c>
      <c r="AV1076" s="319" t="s">
        <v>173</v>
      </c>
      <c r="AW1076" s="319" t="s">
        <v>173</v>
      </c>
      <c r="AX1076" s="319" t="s">
        <v>173</v>
      </c>
      <c r="AY1076" s="319" t="s">
        <v>173</v>
      </c>
      <c r="AZ1076" s="319" t="s">
        <v>173</v>
      </c>
      <c r="BA1076" s="319" t="s">
        <v>173</v>
      </c>
      <c r="BB1076" s="319" t="s">
        <v>173</v>
      </c>
      <c r="BC1076" s="319" t="s">
        <v>173</v>
      </c>
      <c r="BD1076" s="319" t="s">
        <v>173</v>
      </c>
      <c r="BE1076" s="319" t="s">
        <v>173</v>
      </c>
      <c r="BF1076" s="319" t="s">
        <v>173</v>
      </c>
      <c r="BG1076" s="319" t="s">
        <v>173</v>
      </c>
      <c r="BH1076" s="319" t="s">
        <v>173</v>
      </c>
      <c r="BI1076" s="319" t="s">
        <v>173</v>
      </c>
      <c r="BJ1076" s="319" t="s">
        <v>173</v>
      </c>
      <c r="BK1076" s="319" t="s">
        <v>173</v>
      </c>
      <c r="BL1076" s="319" t="s">
        <v>173</v>
      </c>
      <c r="BM1076" s="319" t="s">
        <v>173</v>
      </c>
      <c r="BN1076" s="319" t="s">
        <v>173</v>
      </c>
      <c r="BO1076" s="319" t="s">
        <v>173</v>
      </c>
      <c r="BP1076" s="319" t="s">
        <v>173</v>
      </c>
      <c r="BQ1076" s="319" t="s">
        <v>173</v>
      </c>
      <c r="BR1076" s="319" t="s">
        <v>173</v>
      </c>
      <c r="BS1076" s="319" t="s">
        <v>173</v>
      </c>
      <c r="BT1076" s="319" t="s">
        <v>173</v>
      </c>
      <c r="BU1076" s="319" t="s">
        <v>173</v>
      </c>
      <c r="BV1076" s="319" t="s">
        <v>173</v>
      </c>
      <c r="BW1076" s="319" t="s">
        <v>173</v>
      </c>
      <c r="BX1076" s="319" t="s">
        <v>173</v>
      </c>
      <c r="BY1076" s="319" t="s">
        <v>173</v>
      </c>
      <c r="BZ1076" s="319" t="s">
        <v>173</v>
      </c>
      <c r="CA1076" s="319" t="s">
        <v>173</v>
      </c>
      <c r="CB1076" s="319" t="s">
        <v>173</v>
      </c>
      <c r="CC1076" s="319" t="s">
        <v>173</v>
      </c>
      <c r="CD1076" s="319" t="s">
        <v>173</v>
      </c>
      <c r="CE1076" s="319" t="s">
        <v>173</v>
      </c>
      <c r="CF1076" s="319" t="s">
        <v>173</v>
      </c>
      <c r="CG1076" s="319" t="s">
        <v>173</v>
      </c>
      <c r="CH1076" s="319" t="s">
        <v>173</v>
      </c>
      <c r="CI1076" s="319" t="s">
        <v>173</v>
      </c>
      <c r="CJ1076" s="319" t="s">
        <v>173</v>
      </c>
      <c r="CK1076" s="319" t="s">
        <v>173</v>
      </c>
      <c r="CL1076" s="319" t="s">
        <v>173</v>
      </c>
      <c r="CM1076" s="319" t="s">
        <v>173</v>
      </c>
      <c r="CN1076" s="319" t="s">
        <v>173</v>
      </c>
      <c r="CO1076" s="319" t="s">
        <v>173</v>
      </c>
      <c r="CP1076" s="319" t="s">
        <v>173</v>
      </c>
      <c r="CQ1076" s="319" t="s">
        <v>173</v>
      </c>
      <c r="CR1076" s="319" t="s">
        <v>173</v>
      </c>
      <c r="CS1076" s="319" t="s">
        <v>173</v>
      </c>
      <c r="CT1076" s="319" t="s">
        <v>173</v>
      </c>
      <c r="CU1076" s="319" t="s">
        <v>173</v>
      </c>
      <c r="CV1076" s="319" t="s">
        <v>173</v>
      </c>
      <c r="CW1076" s="319" t="s">
        <v>173</v>
      </c>
      <c r="CX1076" s="319" t="s">
        <v>173</v>
      </c>
      <c r="CY1076" s="319" t="s">
        <v>173</v>
      </c>
      <c r="CZ1076" s="319" t="s">
        <v>173</v>
      </c>
      <c r="DA1076" s="319" t="s">
        <v>173</v>
      </c>
      <c r="DB1076" s="319" t="s">
        <v>173</v>
      </c>
      <c r="DC1076" s="319" t="s">
        <v>173</v>
      </c>
      <c r="DD1076" s="319" t="s">
        <v>173</v>
      </c>
      <c r="DE1076" s="319" t="s">
        <v>173</v>
      </c>
      <c r="DF1076" s="319" t="s">
        <v>173</v>
      </c>
      <c r="DG1076" s="319" t="s">
        <v>173</v>
      </c>
      <c r="DH1076" s="319" t="s">
        <v>173</v>
      </c>
      <c r="DI1076" s="319" t="s">
        <v>173</v>
      </c>
      <c r="DJ1076" s="319" t="s">
        <v>173</v>
      </c>
      <c r="DK1076" s="319" t="s">
        <v>173</v>
      </c>
      <c r="DL1076" s="319" t="s">
        <v>173</v>
      </c>
      <c r="DM1076" s="319" t="s">
        <v>173</v>
      </c>
      <c r="DN1076" s="319" t="s">
        <v>173</v>
      </c>
      <c r="DO1076" s="319" t="s">
        <v>173</v>
      </c>
      <c r="DP1076" s="319" t="s">
        <v>173</v>
      </c>
      <c r="DQ1076" s="319" t="s">
        <v>173</v>
      </c>
      <c r="DR1076" s="319" t="s">
        <v>173</v>
      </c>
      <c r="DS1076" s="319" t="s">
        <v>173</v>
      </c>
      <c r="DT1076" s="319" t="s">
        <v>173</v>
      </c>
      <c r="DU1076" s="319" t="s">
        <v>173</v>
      </c>
      <c r="DV1076" s="319" t="s">
        <v>173</v>
      </c>
      <c r="DW1076" s="319" t="s">
        <v>173</v>
      </c>
      <c r="DX1076" s="319" t="s">
        <v>173</v>
      </c>
      <c r="DY1076" s="319" t="s">
        <v>173</v>
      </c>
      <c r="DZ1076" s="319" t="s">
        <v>173</v>
      </c>
      <c r="EA1076" s="319" t="s">
        <v>173</v>
      </c>
      <c r="EB1076" s="319" t="s">
        <v>173</v>
      </c>
      <c r="EC1076" s="319" t="s">
        <v>173</v>
      </c>
      <c r="ED1076" s="319" t="s">
        <v>173</v>
      </c>
      <c r="EE1076" s="319" t="s">
        <v>173</v>
      </c>
      <c r="EF1076" s="319" t="s">
        <v>173</v>
      </c>
      <c r="EG1076" s="319" t="s">
        <v>173</v>
      </c>
      <c r="EH1076" s="319" t="s">
        <v>173</v>
      </c>
      <c r="EI1076" s="319" t="s">
        <v>173</v>
      </c>
      <c r="EJ1076" s="319" t="s">
        <v>173</v>
      </c>
      <c r="EK1076" s="319" t="s">
        <v>173</v>
      </c>
      <c r="EL1076" s="319" t="s">
        <v>173</v>
      </c>
      <c r="EM1076" s="319" t="s">
        <v>173</v>
      </c>
      <c r="EN1076" s="319" t="s">
        <v>173</v>
      </c>
      <c r="EO1076" s="319" t="s">
        <v>173</v>
      </c>
      <c r="EP1076" s="319" t="s">
        <v>173</v>
      </c>
      <c r="EQ1076" s="319" t="s">
        <v>173</v>
      </c>
      <c r="ER1076" s="319" t="s">
        <v>173</v>
      </c>
      <c r="ES1076" s="319" t="s">
        <v>173</v>
      </c>
      <c r="ET1076" s="319" t="s">
        <v>173</v>
      </c>
      <c r="EU1076" s="319" t="s">
        <v>173</v>
      </c>
      <c r="EV1076" s="319" t="s">
        <v>173</v>
      </c>
      <c r="EW1076" s="319" t="s">
        <v>173</v>
      </c>
      <c r="EX1076" s="319" t="s">
        <v>173</v>
      </c>
      <c r="EY1076" s="319" t="s">
        <v>173</v>
      </c>
      <c r="EZ1076" s="319" t="s">
        <v>173</v>
      </c>
      <c r="FA1076" s="319" t="s">
        <v>173</v>
      </c>
      <c r="FB1076" s="319" t="s">
        <v>173</v>
      </c>
      <c r="FC1076" s="319" t="s">
        <v>173</v>
      </c>
      <c r="FD1076" s="319" t="s">
        <v>173</v>
      </c>
      <c r="FE1076" s="319" t="s">
        <v>173</v>
      </c>
      <c r="FF1076" s="319" t="s">
        <v>173</v>
      </c>
      <c r="FG1076" s="319" t="s">
        <v>173</v>
      </c>
      <c r="FH1076" s="319" t="s">
        <v>173</v>
      </c>
      <c r="FI1076" s="319" t="s">
        <v>173</v>
      </c>
      <c r="FJ1076" s="319" t="s">
        <v>173</v>
      </c>
      <c r="FK1076" s="319" t="s">
        <v>173</v>
      </c>
      <c r="FL1076" s="319" t="s">
        <v>173</v>
      </c>
      <c r="FM1076" s="319" t="s">
        <v>173</v>
      </c>
      <c r="FN1076" s="319" t="s">
        <v>173</v>
      </c>
      <c r="FO1076" s="319" t="s">
        <v>173</v>
      </c>
      <c r="FP1076" s="319" t="s">
        <v>173</v>
      </c>
      <c r="FQ1076" s="319" t="s">
        <v>173</v>
      </c>
      <c r="FR1076" s="319" t="s">
        <v>173</v>
      </c>
      <c r="FS1076" s="319" t="s">
        <v>173</v>
      </c>
      <c r="FT1076" s="319" t="s">
        <v>173</v>
      </c>
      <c r="FU1076" s="319" t="s">
        <v>173</v>
      </c>
      <c r="FV1076" s="319" t="s">
        <v>173</v>
      </c>
      <c r="FW1076" s="319" t="s">
        <v>173</v>
      </c>
      <c r="FX1076" s="319" t="s">
        <v>173</v>
      </c>
      <c r="FY1076" s="319" t="s">
        <v>173</v>
      </c>
      <c r="FZ1076" s="319" t="s">
        <v>173</v>
      </c>
      <c r="GA1076" s="319" t="s">
        <v>173</v>
      </c>
      <c r="GB1076" s="319" t="s">
        <v>173</v>
      </c>
      <c r="GC1076" s="319" t="s">
        <v>173</v>
      </c>
      <c r="GD1076" s="319" t="s">
        <v>173</v>
      </c>
      <c r="GE1076" s="319" t="s">
        <v>173</v>
      </c>
      <c r="GF1076" s="319" t="s">
        <v>173</v>
      </c>
      <c r="GG1076" s="319" t="s">
        <v>173</v>
      </c>
      <c r="GH1076" s="319" t="s">
        <v>173</v>
      </c>
      <c r="GI1076" s="319" t="s">
        <v>173</v>
      </c>
      <c r="GJ1076" s="319" t="s">
        <v>173</v>
      </c>
      <c r="GK1076" s="319" t="s">
        <v>173</v>
      </c>
      <c r="GL1076" s="319" t="s">
        <v>173</v>
      </c>
      <c r="GM1076" s="319" t="s">
        <v>173</v>
      </c>
      <c r="GN1076" s="319" t="s">
        <v>173</v>
      </c>
      <c r="GO1076" s="319" t="s">
        <v>173</v>
      </c>
      <c r="GP1076" s="319" t="s">
        <v>173</v>
      </c>
      <c r="GQ1076" s="319" t="s">
        <v>173</v>
      </c>
      <c r="GR1076" s="319" t="s">
        <v>173</v>
      </c>
      <c r="GS1076" s="319" t="s">
        <v>173</v>
      </c>
      <c r="GT1076" s="319" t="s">
        <v>173</v>
      </c>
      <c r="GU1076" s="319" t="s">
        <v>173</v>
      </c>
      <c r="GV1076" s="319" t="s">
        <v>173</v>
      </c>
      <c r="GW1076" s="319" t="s">
        <v>173</v>
      </c>
      <c r="GX1076" s="319" t="s">
        <v>173</v>
      </c>
      <c r="GY1076" s="319" t="s">
        <v>173</v>
      </c>
      <c r="GZ1076" s="319" t="s">
        <v>173</v>
      </c>
      <c r="HA1076" s="319" t="s">
        <v>173</v>
      </c>
      <c r="HB1076" s="319" t="s">
        <v>173</v>
      </c>
      <c r="HC1076" s="319" t="s">
        <v>173</v>
      </c>
      <c r="HD1076" s="319" t="s">
        <v>173</v>
      </c>
      <c r="HE1076" s="319" t="s">
        <v>173</v>
      </c>
      <c r="HF1076" s="319" t="s">
        <v>173</v>
      </c>
      <c r="HG1076" s="319" t="s">
        <v>173</v>
      </c>
      <c r="HH1076" s="319" t="s">
        <v>173</v>
      </c>
      <c r="HI1076" s="319" t="s">
        <v>173</v>
      </c>
      <c r="HJ1076" s="319" t="s">
        <v>173</v>
      </c>
      <c r="HK1076" s="319" t="s">
        <v>173</v>
      </c>
      <c r="HL1076" s="319" t="s">
        <v>173</v>
      </c>
      <c r="HM1076" s="319" t="s">
        <v>173</v>
      </c>
      <c r="HN1076" s="319" t="s">
        <v>173</v>
      </c>
      <c r="HO1076" s="319" t="s">
        <v>173</v>
      </c>
      <c r="HP1076" s="319" t="s">
        <v>173</v>
      </c>
      <c r="HQ1076" s="319" t="s">
        <v>173</v>
      </c>
      <c r="HR1076" s="319" t="s">
        <v>173</v>
      </c>
      <c r="HS1076" s="319" t="s">
        <v>173</v>
      </c>
      <c r="HT1076" s="319" t="s">
        <v>173</v>
      </c>
      <c r="HU1076" s="319" t="s">
        <v>173</v>
      </c>
      <c r="HV1076" s="319" t="s">
        <v>173</v>
      </c>
      <c r="HW1076" s="319" t="s">
        <v>173</v>
      </c>
      <c r="HX1076" s="319" t="s">
        <v>173</v>
      </c>
      <c r="HY1076" s="319" t="s">
        <v>173</v>
      </c>
      <c r="HZ1076" s="319" t="s">
        <v>173</v>
      </c>
      <c r="IA1076" s="319" t="s">
        <v>173</v>
      </c>
      <c r="IB1076" s="319" t="s">
        <v>173</v>
      </c>
      <c r="IC1076" s="319" t="s">
        <v>173</v>
      </c>
      <c r="ID1076" s="319" t="s">
        <v>173</v>
      </c>
      <c r="IE1076" s="319" t="s">
        <v>173</v>
      </c>
      <c r="IF1076" s="319" t="s">
        <v>173</v>
      </c>
      <c r="IG1076" s="319" t="s">
        <v>173</v>
      </c>
      <c r="IH1076" s="319" t="s">
        <v>173</v>
      </c>
      <c r="II1076" s="319" t="s">
        <v>173</v>
      </c>
      <c r="IJ1076" s="319" t="s">
        <v>173</v>
      </c>
      <c r="IK1076" s="319" t="s">
        <v>173</v>
      </c>
      <c r="IL1076" s="319" t="s">
        <v>173</v>
      </c>
      <c r="IM1076" s="319" t="s">
        <v>173</v>
      </c>
      <c r="IN1076" s="319" t="s">
        <v>173</v>
      </c>
      <c r="IO1076" s="319" t="s">
        <v>173</v>
      </c>
      <c r="IP1076" s="319" t="s">
        <v>173</v>
      </c>
      <c r="IQ1076" s="319" t="s">
        <v>173</v>
      </c>
      <c r="IR1076" s="320" t="s">
        <v>173</v>
      </c>
      <c r="IS1076" s="320" t="s">
        <v>173</v>
      </c>
      <c r="IT1076" s="319" t="s">
        <v>173</v>
      </c>
    </row>
    <row r="1077" spans="1:254" s="271" customFormat="1" x14ac:dyDescent="0.25">
      <c r="A1077" s="318" t="str">
        <f>HYPERLINK("http://www.ofsted.gov.uk/inspection-reports/find-inspection-report/provider/ELS/147220 ","Ofsted School Webpage")</f>
        <v>Ofsted School Webpage</v>
      </c>
      <c r="B1077" s="319">
        <v>147220</v>
      </c>
      <c r="C1077" s="319">
        <v>8846018</v>
      </c>
      <c r="D1077" s="319" t="s">
        <v>1884</v>
      </c>
      <c r="E1077" s="319" t="s">
        <v>168</v>
      </c>
      <c r="F1077" s="319" t="s">
        <v>434</v>
      </c>
      <c r="G1077" s="319" t="s">
        <v>81</v>
      </c>
      <c r="H1077" s="319" t="s">
        <v>81</v>
      </c>
      <c r="I1077" s="319" t="s">
        <v>78</v>
      </c>
      <c r="J1077" s="319" t="s">
        <v>424</v>
      </c>
      <c r="K1077" s="319" t="s">
        <v>437</v>
      </c>
      <c r="L1077" s="319" t="s">
        <v>437</v>
      </c>
      <c r="M1077" s="319" t="s">
        <v>1100</v>
      </c>
      <c r="N1077" s="319" t="s">
        <v>2965</v>
      </c>
      <c r="O1077" s="319" t="s">
        <v>3649</v>
      </c>
      <c r="P1077" s="319" t="s">
        <v>173</v>
      </c>
      <c r="Q1077" s="319" t="s">
        <v>429</v>
      </c>
      <c r="R1077" s="320" t="s">
        <v>173</v>
      </c>
      <c r="S1077" s="321" t="s">
        <v>173</v>
      </c>
      <c r="T1077" s="321" t="s">
        <v>173</v>
      </c>
      <c r="U1077" s="321" t="s">
        <v>173</v>
      </c>
      <c r="V1077" s="319" t="s">
        <v>173</v>
      </c>
      <c r="W1077" s="319" t="s">
        <v>173</v>
      </c>
      <c r="X1077" s="319" t="s">
        <v>173</v>
      </c>
      <c r="Y1077" s="319" t="s">
        <v>173</v>
      </c>
      <c r="Z1077" s="319" t="s">
        <v>173</v>
      </c>
      <c r="AA1077" s="319" t="s">
        <v>173</v>
      </c>
      <c r="AB1077" s="319" t="s">
        <v>173</v>
      </c>
      <c r="AC1077" s="319" t="s">
        <v>173</v>
      </c>
      <c r="AD1077" s="319" t="s">
        <v>173</v>
      </c>
      <c r="AE1077" s="319" t="s">
        <v>173</v>
      </c>
      <c r="AF1077" s="319" t="s">
        <v>173</v>
      </c>
      <c r="AG1077" s="319" t="s">
        <v>173</v>
      </c>
      <c r="AH1077" s="319" t="s">
        <v>173</v>
      </c>
      <c r="AI1077" s="319" t="s">
        <v>173</v>
      </c>
      <c r="AJ1077" s="319" t="s">
        <v>173</v>
      </c>
      <c r="AK1077" s="319" t="s">
        <v>173</v>
      </c>
      <c r="AL1077" s="319" t="s">
        <v>173</v>
      </c>
      <c r="AM1077" s="319" t="s">
        <v>173</v>
      </c>
      <c r="AN1077" s="319" t="s">
        <v>173</v>
      </c>
      <c r="AO1077" s="319" t="s">
        <v>173</v>
      </c>
      <c r="AP1077" s="319" t="s">
        <v>173</v>
      </c>
      <c r="AQ1077" s="319" t="s">
        <v>173</v>
      </c>
      <c r="AR1077" s="319" t="s">
        <v>173</v>
      </c>
      <c r="AS1077" s="319" t="s">
        <v>173</v>
      </c>
      <c r="AT1077" s="319" t="s">
        <v>173</v>
      </c>
      <c r="AU1077" s="319" t="s">
        <v>173</v>
      </c>
      <c r="AV1077" s="319" t="s">
        <v>173</v>
      </c>
      <c r="AW1077" s="319" t="s">
        <v>173</v>
      </c>
      <c r="AX1077" s="319" t="s">
        <v>173</v>
      </c>
      <c r="AY1077" s="319" t="s">
        <v>173</v>
      </c>
      <c r="AZ1077" s="319" t="s">
        <v>173</v>
      </c>
      <c r="BA1077" s="319" t="s">
        <v>173</v>
      </c>
      <c r="BB1077" s="319" t="s">
        <v>173</v>
      </c>
      <c r="BC1077" s="319" t="s">
        <v>173</v>
      </c>
      <c r="BD1077" s="319" t="s">
        <v>173</v>
      </c>
      <c r="BE1077" s="319" t="s">
        <v>173</v>
      </c>
      <c r="BF1077" s="319" t="s">
        <v>173</v>
      </c>
      <c r="BG1077" s="319" t="s">
        <v>173</v>
      </c>
      <c r="BH1077" s="319" t="s">
        <v>173</v>
      </c>
      <c r="BI1077" s="319" t="s">
        <v>173</v>
      </c>
      <c r="BJ1077" s="319" t="s">
        <v>173</v>
      </c>
      <c r="BK1077" s="319" t="s">
        <v>173</v>
      </c>
      <c r="BL1077" s="319" t="s">
        <v>173</v>
      </c>
      <c r="BM1077" s="319" t="s">
        <v>173</v>
      </c>
      <c r="BN1077" s="319" t="s">
        <v>173</v>
      </c>
      <c r="BO1077" s="319" t="s">
        <v>173</v>
      </c>
      <c r="BP1077" s="319" t="s">
        <v>173</v>
      </c>
      <c r="BQ1077" s="319" t="s">
        <v>173</v>
      </c>
      <c r="BR1077" s="319" t="s">
        <v>173</v>
      </c>
      <c r="BS1077" s="319" t="s">
        <v>173</v>
      </c>
      <c r="BT1077" s="319" t="s">
        <v>173</v>
      </c>
      <c r="BU1077" s="319" t="s">
        <v>173</v>
      </c>
      <c r="BV1077" s="319" t="s">
        <v>173</v>
      </c>
      <c r="BW1077" s="319" t="s">
        <v>173</v>
      </c>
      <c r="BX1077" s="319" t="s">
        <v>173</v>
      </c>
      <c r="BY1077" s="319" t="s">
        <v>173</v>
      </c>
      <c r="BZ1077" s="319" t="s">
        <v>173</v>
      </c>
      <c r="CA1077" s="319" t="s">
        <v>173</v>
      </c>
      <c r="CB1077" s="319" t="s">
        <v>173</v>
      </c>
      <c r="CC1077" s="319" t="s">
        <v>173</v>
      </c>
      <c r="CD1077" s="319" t="s">
        <v>173</v>
      </c>
      <c r="CE1077" s="319" t="s">
        <v>173</v>
      </c>
      <c r="CF1077" s="319" t="s">
        <v>173</v>
      </c>
      <c r="CG1077" s="319" t="s">
        <v>173</v>
      </c>
      <c r="CH1077" s="319" t="s">
        <v>173</v>
      </c>
      <c r="CI1077" s="319" t="s">
        <v>173</v>
      </c>
      <c r="CJ1077" s="319" t="s">
        <v>173</v>
      </c>
      <c r="CK1077" s="319" t="s">
        <v>173</v>
      </c>
      <c r="CL1077" s="319" t="s">
        <v>173</v>
      </c>
      <c r="CM1077" s="319" t="s">
        <v>173</v>
      </c>
      <c r="CN1077" s="319" t="s">
        <v>173</v>
      </c>
      <c r="CO1077" s="319" t="s">
        <v>173</v>
      </c>
      <c r="CP1077" s="319" t="s">
        <v>173</v>
      </c>
      <c r="CQ1077" s="319" t="s">
        <v>173</v>
      </c>
      <c r="CR1077" s="319" t="s">
        <v>173</v>
      </c>
      <c r="CS1077" s="319" t="s">
        <v>173</v>
      </c>
      <c r="CT1077" s="319" t="s">
        <v>173</v>
      </c>
      <c r="CU1077" s="319" t="s">
        <v>173</v>
      </c>
      <c r="CV1077" s="319" t="s">
        <v>173</v>
      </c>
      <c r="CW1077" s="319" t="s">
        <v>173</v>
      </c>
      <c r="CX1077" s="319" t="s">
        <v>173</v>
      </c>
      <c r="CY1077" s="319" t="s">
        <v>173</v>
      </c>
      <c r="CZ1077" s="319" t="s">
        <v>173</v>
      </c>
      <c r="DA1077" s="319" t="s">
        <v>173</v>
      </c>
      <c r="DB1077" s="319" t="s">
        <v>173</v>
      </c>
      <c r="DC1077" s="319" t="s">
        <v>173</v>
      </c>
      <c r="DD1077" s="319" t="s">
        <v>173</v>
      </c>
      <c r="DE1077" s="319" t="s">
        <v>173</v>
      </c>
      <c r="DF1077" s="319" t="s">
        <v>173</v>
      </c>
      <c r="DG1077" s="319" t="s">
        <v>173</v>
      </c>
      <c r="DH1077" s="319" t="s">
        <v>173</v>
      </c>
      <c r="DI1077" s="319" t="s">
        <v>173</v>
      </c>
      <c r="DJ1077" s="319" t="s">
        <v>173</v>
      </c>
      <c r="DK1077" s="319" t="s">
        <v>173</v>
      </c>
      <c r="DL1077" s="319" t="s">
        <v>173</v>
      </c>
      <c r="DM1077" s="319" t="s">
        <v>173</v>
      </c>
      <c r="DN1077" s="319" t="s">
        <v>173</v>
      </c>
      <c r="DO1077" s="319" t="s">
        <v>173</v>
      </c>
      <c r="DP1077" s="319" t="s">
        <v>173</v>
      </c>
      <c r="DQ1077" s="319" t="s">
        <v>173</v>
      </c>
      <c r="DR1077" s="319" t="s">
        <v>173</v>
      </c>
      <c r="DS1077" s="319" t="s">
        <v>173</v>
      </c>
      <c r="DT1077" s="319" t="s">
        <v>173</v>
      </c>
      <c r="DU1077" s="319" t="s">
        <v>173</v>
      </c>
      <c r="DV1077" s="319" t="s">
        <v>173</v>
      </c>
      <c r="DW1077" s="319" t="s">
        <v>173</v>
      </c>
      <c r="DX1077" s="319" t="s">
        <v>173</v>
      </c>
      <c r="DY1077" s="319" t="s">
        <v>173</v>
      </c>
      <c r="DZ1077" s="319" t="s">
        <v>173</v>
      </c>
      <c r="EA1077" s="319" t="s">
        <v>173</v>
      </c>
      <c r="EB1077" s="319" t="s">
        <v>173</v>
      </c>
      <c r="EC1077" s="319" t="s">
        <v>173</v>
      </c>
      <c r="ED1077" s="319" t="s">
        <v>173</v>
      </c>
      <c r="EE1077" s="319" t="s">
        <v>173</v>
      </c>
      <c r="EF1077" s="319" t="s">
        <v>173</v>
      </c>
      <c r="EG1077" s="319" t="s">
        <v>173</v>
      </c>
      <c r="EH1077" s="319" t="s">
        <v>173</v>
      </c>
      <c r="EI1077" s="319" t="s">
        <v>173</v>
      </c>
      <c r="EJ1077" s="319" t="s">
        <v>173</v>
      </c>
      <c r="EK1077" s="319" t="s">
        <v>173</v>
      </c>
      <c r="EL1077" s="319" t="s">
        <v>173</v>
      </c>
      <c r="EM1077" s="319" t="s">
        <v>173</v>
      </c>
      <c r="EN1077" s="319" t="s">
        <v>173</v>
      </c>
      <c r="EO1077" s="319" t="s">
        <v>173</v>
      </c>
      <c r="EP1077" s="319" t="s">
        <v>173</v>
      </c>
      <c r="EQ1077" s="319" t="s">
        <v>173</v>
      </c>
      <c r="ER1077" s="319" t="s">
        <v>173</v>
      </c>
      <c r="ES1077" s="319" t="s">
        <v>173</v>
      </c>
      <c r="ET1077" s="319" t="s">
        <v>173</v>
      </c>
      <c r="EU1077" s="319" t="s">
        <v>173</v>
      </c>
      <c r="EV1077" s="319" t="s">
        <v>173</v>
      </c>
      <c r="EW1077" s="319" t="s">
        <v>173</v>
      </c>
      <c r="EX1077" s="319" t="s">
        <v>173</v>
      </c>
      <c r="EY1077" s="319" t="s">
        <v>173</v>
      </c>
      <c r="EZ1077" s="319" t="s">
        <v>173</v>
      </c>
      <c r="FA1077" s="319" t="s">
        <v>173</v>
      </c>
      <c r="FB1077" s="319" t="s">
        <v>173</v>
      </c>
      <c r="FC1077" s="319" t="s">
        <v>173</v>
      </c>
      <c r="FD1077" s="319" t="s">
        <v>173</v>
      </c>
      <c r="FE1077" s="319" t="s">
        <v>173</v>
      </c>
      <c r="FF1077" s="319" t="s">
        <v>173</v>
      </c>
      <c r="FG1077" s="319" t="s">
        <v>173</v>
      </c>
      <c r="FH1077" s="319" t="s">
        <v>173</v>
      </c>
      <c r="FI1077" s="319" t="s">
        <v>173</v>
      </c>
      <c r="FJ1077" s="319" t="s">
        <v>173</v>
      </c>
      <c r="FK1077" s="319" t="s">
        <v>173</v>
      </c>
      <c r="FL1077" s="319" t="s">
        <v>173</v>
      </c>
      <c r="FM1077" s="319" t="s">
        <v>173</v>
      </c>
      <c r="FN1077" s="319" t="s">
        <v>173</v>
      </c>
      <c r="FO1077" s="319" t="s">
        <v>173</v>
      </c>
      <c r="FP1077" s="319" t="s">
        <v>173</v>
      </c>
      <c r="FQ1077" s="319" t="s">
        <v>173</v>
      </c>
      <c r="FR1077" s="319" t="s">
        <v>173</v>
      </c>
      <c r="FS1077" s="319" t="s">
        <v>173</v>
      </c>
      <c r="FT1077" s="319" t="s">
        <v>173</v>
      </c>
      <c r="FU1077" s="319" t="s">
        <v>173</v>
      </c>
      <c r="FV1077" s="319" t="s">
        <v>173</v>
      </c>
      <c r="FW1077" s="319" t="s">
        <v>173</v>
      </c>
      <c r="FX1077" s="319" t="s">
        <v>173</v>
      </c>
      <c r="FY1077" s="319" t="s">
        <v>173</v>
      </c>
      <c r="FZ1077" s="319" t="s">
        <v>173</v>
      </c>
      <c r="GA1077" s="319" t="s">
        <v>173</v>
      </c>
      <c r="GB1077" s="319" t="s">
        <v>173</v>
      </c>
      <c r="GC1077" s="319" t="s">
        <v>173</v>
      </c>
      <c r="GD1077" s="319" t="s">
        <v>173</v>
      </c>
      <c r="GE1077" s="319" t="s">
        <v>173</v>
      </c>
      <c r="GF1077" s="319" t="s">
        <v>173</v>
      </c>
      <c r="GG1077" s="319" t="s">
        <v>173</v>
      </c>
      <c r="GH1077" s="319" t="s">
        <v>173</v>
      </c>
      <c r="GI1077" s="319" t="s">
        <v>173</v>
      </c>
      <c r="GJ1077" s="319" t="s">
        <v>173</v>
      </c>
      <c r="GK1077" s="319" t="s">
        <v>173</v>
      </c>
      <c r="GL1077" s="319" t="s">
        <v>173</v>
      </c>
      <c r="GM1077" s="319" t="s">
        <v>173</v>
      </c>
      <c r="GN1077" s="319" t="s">
        <v>173</v>
      </c>
      <c r="GO1077" s="319" t="s">
        <v>173</v>
      </c>
      <c r="GP1077" s="319" t="s">
        <v>173</v>
      </c>
      <c r="GQ1077" s="319" t="s">
        <v>173</v>
      </c>
      <c r="GR1077" s="319" t="s">
        <v>173</v>
      </c>
      <c r="GS1077" s="319" t="s">
        <v>173</v>
      </c>
      <c r="GT1077" s="319" t="s">
        <v>173</v>
      </c>
      <c r="GU1077" s="319" t="s">
        <v>173</v>
      </c>
      <c r="GV1077" s="319" t="s">
        <v>173</v>
      </c>
      <c r="GW1077" s="319" t="s">
        <v>173</v>
      </c>
      <c r="GX1077" s="319" t="s">
        <v>173</v>
      </c>
      <c r="GY1077" s="319" t="s">
        <v>173</v>
      </c>
      <c r="GZ1077" s="319" t="s">
        <v>173</v>
      </c>
      <c r="HA1077" s="319" t="s">
        <v>173</v>
      </c>
      <c r="HB1077" s="319" t="s">
        <v>173</v>
      </c>
      <c r="HC1077" s="319" t="s">
        <v>173</v>
      </c>
      <c r="HD1077" s="319" t="s">
        <v>173</v>
      </c>
      <c r="HE1077" s="319" t="s">
        <v>173</v>
      </c>
      <c r="HF1077" s="319" t="s">
        <v>173</v>
      </c>
      <c r="HG1077" s="319" t="s">
        <v>173</v>
      </c>
      <c r="HH1077" s="319" t="s">
        <v>173</v>
      </c>
      <c r="HI1077" s="319" t="s">
        <v>173</v>
      </c>
      <c r="HJ1077" s="319" t="s">
        <v>173</v>
      </c>
      <c r="HK1077" s="319" t="s">
        <v>173</v>
      </c>
      <c r="HL1077" s="319" t="s">
        <v>173</v>
      </c>
      <c r="HM1077" s="319" t="s">
        <v>173</v>
      </c>
      <c r="HN1077" s="319" t="s">
        <v>173</v>
      </c>
      <c r="HO1077" s="319" t="s">
        <v>173</v>
      </c>
      <c r="HP1077" s="319" t="s">
        <v>173</v>
      </c>
      <c r="HQ1077" s="319" t="s">
        <v>173</v>
      </c>
      <c r="HR1077" s="319" t="s">
        <v>173</v>
      </c>
      <c r="HS1077" s="319" t="s">
        <v>173</v>
      </c>
      <c r="HT1077" s="319" t="s">
        <v>173</v>
      </c>
      <c r="HU1077" s="319" t="s">
        <v>173</v>
      </c>
      <c r="HV1077" s="319" t="s">
        <v>173</v>
      </c>
      <c r="HW1077" s="319" t="s">
        <v>173</v>
      </c>
      <c r="HX1077" s="319" t="s">
        <v>173</v>
      </c>
      <c r="HY1077" s="319" t="s">
        <v>173</v>
      </c>
      <c r="HZ1077" s="319" t="s">
        <v>173</v>
      </c>
      <c r="IA1077" s="319" t="s">
        <v>173</v>
      </c>
      <c r="IB1077" s="319" t="s">
        <v>173</v>
      </c>
      <c r="IC1077" s="319" t="s">
        <v>173</v>
      </c>
      <c r="ID1077" s="319" t="s">
        <v>173</v>
      </c>
      <c r="IE1077" s="319" t="s">
        <v>173</v>
      </c>
      <c r="IF1077" s="319" t="s">
        <v>173</v>
      </c>
      <c r="IG1077" s="319" t="s">
        <v>173</v>
      </c>
      <c r="IH1077" s="319" t="s">
        <v>173</v>
      </c>
      <c r="II1077" s="319" t="s">
        <v>173</v>
      </c>
      <c r="IJ1077" s="319" t="s">
        <v>173</v>
      </c>
      <c r="IK1077" s="319" t="s">
        <v>173</v>
      </c>
      <c r="IL1077" s="319" t="s">
        <v>173</v>
      </c>
      <c r="IM1077" s="319" t="s">
        <v>173</v>
      </c>
      <c r="IN1077" s="319" t="s">
        <v>173</v>
      </c>
      <c r="IO1077" s="319" t="s">
        <v>173</v>
      </c>
      <c r="IP1077" s="319" t="s">
        <v>173</v>
      </c>
      <c r="IQ1077" s="321" t="s">
        <v>173</v>
      </c>
      <c r="IR1077" s="320" t="s">
        <v>173</v>
      </c>
      <c r="IS1077" s="322" t="s">
        <v>173</v>
      </c>
      <c r="IT1077" s="319" t="s">
        <v>173</v>
      </c>
    </row>
    <row r="1078" spans="1:254" s="271" customFormat="1" x14ac:dyDescent="0.25">
      <c r="A1078" s="318" t="str">
        <f>HYPERLINK("http://www.ofsted.gov.uk/inspection-reports/find-inspection-report/provider/ELS/147221 ","Ofsted School Webpage")</f>
        <v>Ofsted School Webpage</v>
      </c>
      <c r="B1078" s="319">
        <v>147221</v>
      </c>
      <c r="C1078" s="319">
        <v>9256021</v>
      </c>
      <c r="D1078" s="319" t="s">
        <v>3650</v>
      </c>
      <c r="E1078" s="319" t="s">
        <v>167</v>
      </c>
      <c r="F1078" s="319" t="s">
        <v>434</v>
      </c>
      <c r="G1078" s="319" t="s">
        <v>81</v>
      </c>
      <c r="H1078" s="319" t="s">
        <v>81</v>
      </c>
      <c r="I1078" s="319" t="s">
        <v>78</v>
      </c>
      <c r="J1078" s="319" t="s">
        <v>424</v>
      </c>
      <c r="K1078" s="319" t="s">
        <v>506</v>
      </c>
      <c r="L1078" s="319" t="s">
        <v>506</v>
      </c>
      <c r="M1078" s="319" t="s">
        <v>833</v>
      </c>
      <c r="N1078" s="319" t="s">
        <v>3006</v>
      </c>
      <c r="O1078" s="319" t="s">
        <v>3651</v>
      </c>
      <c r="P1078" s="319" t="s">
        <v>173</v>
      </c>
      <c r="Q1078" s="319" t="s">
        <v>2766</v>
      </c>
      <c r="R1078" s="320" t="s">
        <v>173</v>
      </c>
      <c r="S1078" s="321" t="s">
        <v>173</v>
      </c>
      <c r="T1078" s="321" t="s">
        <v>173</v>
      </c>
      <c r="U1078" s="321" t="s">
        <v>173</v>
      </c>
      <c r="V1078" s="319" t="s">
        <v>173</v>
      </c>
      <c r="W1078" s="319" t="s">
        <v>173</v>
      </c>
      <c r="X1078" s="319" t="s">
        <v>173</v>
      </c>
      <c r="Y1078" s="319" t="s">
        <v>173</v>
      </c>
      <c r="Z1078" s="319" t="s">
        <v>173</v>
      </c>
      <c r="AA1078" s="319" t="s">
        <v>173</v>
      </c>
      <c r="AB1078" s="319" t="s">
        <v>173</v>
      </c>
      <c r="AC1078" s="319" t="s">
        <v>173</v>
      </c>
      <c r="AD1078" s="319" t="s">
        <v>173</v>
      </c>
      <c r="AE1078" s="319" t="s">
        <v>173</v>
      </c>
      <c r="AF1078" s="319" t="s">
        <v>173</v>
      </c>
      <c r="AG1078" s="319" t="s">
        <v>173</v>
      </c>
      <c r="AH1078" s="319" t="s">
        <v>173</v>
      </c>
      <c r="AI1078" s="319" t="s">
        <v>173</v>
      </c>
      <c r="AJ1078" s="319" t="s">
        <v>173</v>
      </c>
      <c r="AK1078" s="319" t="s">
        <v>173</v>
      </c>
      <c r="AL1078" s="319" t="s">
        <v>173</v>
      </c>
      <c r="AM1078" s="319" t="s">
        <v>173</v>
      </c>
      <c r="AN1078" s="319" t="s">
        <v>173</v>
      </c>
      <c r="AO1078" s="319" t="s">
        <v>173</v>
      </c>
      <c r="AP1078" s="319" t="s">
        <v>173</v>
      </c>
      <c r="AQ1078" s="319" t="s">
        <v>173</v>
      </c>
      <c r="AR1078" s="319" t="s">
        <v>173</v>
      </c>
      <c r="AS1078" s="319" t="s">
        <v>173</v>
      </c>
      <c r="AT1078" s="319" t="s">
        <v>173</v>
      </c>
      <c r="AU1078" s="319" t="s">
        <v>173</v>
      </c>
      <c r="AV1078" s="319" t="s">
        <v>173</v>
      </c>
      <c r="AW1078" s="319" t="s">
        <v>173</v>
      </c>
      <c r="AX1078" s="319" t="s">
        <v>173</v>
      </c>
      <c r="AY1078" s="319" t="s">
        <v>173</v>
      </c>
      <c r="AZ1078" s="319" t="s">
        <v>173</v>
      </c>
      <c r="BA1078" s="319" t="s">
        <v>173</v>
      </c>
      <c r="BB1078" s="319" t="s">
        <v>173</v>
      </c>
      <c r="BC1078" s="319" t="s">
        <v>173</v>
      </c>
      <c r="BD1078" s="319" t="s">
        <v>173</v>
      </c>
      <c r="BE1078" s="319" t="s">
        <v>173</v>
      </c>
      <c r="BF1078" s="319" t="s">
        <v>173</v>
      </c>
      <c r="BG1078" s="319" t="s">
        <v>173</v>
      </c>
      <c r="BH1078" s="319" t="s">
        <v>173</v>
      </c>
      <c r="BI1078" s="319" t="s">
        <v>173</v>
      </c>
      <c r="BJ1078" s="319" t="s">
        <v>173</v>
      </c>
      <c r="BK1078" s="319" t="s">
        <v>173</v>
      </c>
      <c r="BL1078" s="319" t="s">
        <v>173</v>
      </c>
      <c r="BM1078" s="319" t="s">
        <v>173</v>
      </c>
      <c r="BN1078" s="319" t="s">
        <v>173</v>
      </c>
      <c r="BO1078" s="319" t="s">
        <v>173</v>
      </c>
      <c r="BP1078" s="319" t="s">
        <v>173</v>
      </c>
      <c r="BQ1078" s="319" t="s">
        <v>173</v>
      </c>
      <c r="BR1078" s="319" t="s">
        <v>173</v>
      </c>
      <c r="BS1078" s="319" t="s">
        <v>173</v>
      </c>
      <c r="BT1078" s="319" t="s">
        <v>173</v>
      </c>
      <c r="BU1078" s="319" t="s">
        <v>173</v>
      </c>
      <c r="BV1078" s="319" t="s">
        <v>173</v>
      </c>
      <c r="BW1078" s="319" t="s">
        <v>173</v>
      </c>
      <c r="BX1078" s="319" t="s">
        <v>173</v>
      </c>
      <c r="BY1078" s="319" t="s">
        <v>173</v>
      </c>
      <c r="BZ1078" s="319" t="s">
        <v>173</v>
      </c>
      <c r="CA1078" s="319" t="s">
        <v>173</v>
      </c>
      <c r="CB1078" s="319" t="s">
        <v>173</v>
      </c>
      <c r="CC1078" s="319" t="s">
        <v>173</v>
      </c>
      <c r="CD1078" s="319" t="s">
        <v>173</v>
      </c>
      <c r="CE1078" s="319" t="s">
        <v>173</v>
      </c>
      <c r="CF1078" s="319" t="s">
        <v>173</v>
      </c>
      <c r="CG1078" s="319" t="s">
        <v>173</v>
      </c>
      <c r="CH1078" s="319" t="s">
        <v>173</v>
      </c>
      <c r="CI1078" s="319" t="s">
        <v>173</v>
      </c>
      <c r="CJ1078" s="319" t="s">
        <v>173</v>
      </c>
      <c r="CK1078" s="319" t="s">
        <v>173</v>
      </c>
      <c r="CL1078" s="319" t="s">
        <v>173</v>
      </c>
      <c r="CM1078" s="319" t="s">
        <v>173</v>
      </c>
      <c r="CN1078" s="319" t="s">
        <v>173</v>
      </c>
      <c r="CO1078" s="319" t="s">
        <v>173</v>
      </c>
      <c r="CP1078" s="319" t="s">
        <v>173</v>
      </c>
      <c r="CQ1078" s="319" t="s">
        <v>173</v>
      </c>
      <c r="CR1078" s="319" t="s">
        <v>173</v>
      </c>
      <c r="CS1078" s="319" t="s">
        <v>173</v>
      </c>
      <c r="CT1078" s="319" t="s">
        <v>173</v>
      </c>
      <c r="CU1078" s="319" t="s">
        <v>173</v>
      </c>
      <c r="CV1078" s="319" t="s">
        <v>173</v>
      </c>
      <c r="CW1078" s="319" t="s">
        <v>173</v>
      </c>
      <c r="CX1078" s="319" t="s">
        <v>173</v>
      </c>
      <c r="CY1078" s="319" t="s">
        <v>173</v>
      </c>
      <c r="CZ1078" s="319" t="s">
        <v>173</v>
      </c>
      <c r="DA1078" s="319" t="s">
        <v>173</v>
      </c>
      <c r="DB1078" s="319" t="s">
        <v>173</v>
      </c>
      <c r="DC1078" s="319" t="s">
        <v>173</v>
      </c>
      <c r="DD1078" s="319" t="s">
        <v>173</v>
      </c>
      <c r="DE1078" s="319" t="s">
        <v>173</v>
      </c>
      <c r="DF1078" s="319" t="s">
        <v>173</v>
      </c>
      <c r="DG1078" s="319" t="s">
        <v>173</v>
      </c>
      <c r="DH1078" s="319" t="s">
        <v>173</v>
      </c>
      <c r="DI1078" s="319" t="s">
        <v>173</v>
      </c>
      <c r="DJ1078" s="319" t="s">
        <v>173</v>
      </c>
      <c r="DK1078" s="319" t="s">
        <v>173</v>
      </c>
      <c r="DL1078" s="319" t="s">
        <v>173</v>
      </c>
      <c r="DM1078" s="319" t="s">
        <v>173</v>
      </c>
      <c r="DN1078" s="319" t="s">
        <v>173</v>
      </c>
      <c r="DO1078" s="319" t="s">
        <v>173</v>
      </c>
      <c r="DP1078" s="319" t="s">
        <v>173</v>
      </c>
      <c r="DQ1078" s="319" t="s">
        <v>173</v>
      </c>
      <c r="DR1078" s="319" t="s">
        <v>173</v>
      </c>
      <c r="DS1078" s="319" t="s">
        <v>173</v>
      </c>
      <c r="DT1078" s="319" t="s">
        <v>173</v>
      </c>
      <c r="DU1078" s="319" t="s">
        <v>173</v>
      </c>
      <c r="DV1078" s="319" t="s">
        <v>173</v>
      </c>
      <c r="DW1078" s="319" t="s">
        <v>173</v>
      </c>
      <c r="DX1078" s="319" t="s">
        <v>173</v>
      </c>
      <c r="DY1078" s="319" t="s">
        <v>173</v>
      </c>
      <c r="DZ1078" s="319" t="s">
        <v>173</v>
      </c>
      <c r="EA1078" s="319" t="s">
        <v>173</v>
      </c>
      <c r="EB1078" s="319" t="s">
        <v>173</v>
      </c>
      <c r="EC1078" s="319" t="s">
        <v>173</v>
      </c>
      <c r="ED1078" s="319" t="s">
        <v>173</v>
      </c>
      <c r="EE1078" s="319" t="s">
        <v>173</v>
      </c>
      <c r="EF1078" s="319" t="s">
        <v>173</v>
      </c>
      <c r="EG1078" s="319" t="s">
        <v>173</v>
      </c>
      <c r="EH1078" s="319" t="s">
        <v>173</v>
      </c>
      <c r="EI1078" s="319" t="s">
        <v>173</v>
      </c>
      <c r="EJ1078" s="319" t="s">
        <v>173</v>
      </c>
      <c r="EK1078" s="319" t="s">
        <v>173</v>
      </c>
      <c r="EL1078" s="319" t="s">
        <v>173</v>
      </c>
      <c r="EM1078" s="319" t="s">
        <v>173</v>
      </c>
      <c r="EN1078" s="319" t="s">
        <v>173</v>
      </c>
      <c r="EO1078" s="319" t="s">
        <v>173</v>
      </c>
      <c r="EP1078" s="319" t="s">
        <v>173</v>
      </c>
      <c r="EQ1078" s="319" t="s">
        <v>173</v>
      </c>
      <c r="ER1078" s="319" t="s">
        <v>173</v>
      </c>
      <c r="ES1078" s="319" t="s">
        <v>173</v>
      </c>
      <c r="ET1078" s="319" t="s">
        <v>173</v>
      </c>
      <c r="EU1078" s="319" t="s">
        <v>173</v>
      </c>
      <c r="EV1078" s="319" t="s">
        <v>173</v>
      </c>
      <c r="EW1078" s="319" t="s">
        <v>173</v>
      </c>
      <c r="EX1078" s="319" t="s">
        <v>173</v>
      </c>
      <c r="EY1078" s="319" t="s">
        <v>173</v>
      </c>
      <c r="EZ1078" s="319" t="s">
        <v>173</v>
      </c>
      <c r="FA1078" s="319" t="s">
        <v>173</v>
      </c>
      <c r="FB1078" s="319" t="s">
        <v>173</v>
      </c>
      <c r="FC1078" s="319" t="s">
        <v>173</v>
      </c>
      <c r="FD1078" s="319" t="s">
        <v>173</v>
      </c>
      <c r="FE1078" s="319" t="s">
        <v>173</v>
      </c>
      <c r="FF1078" s="319" t="s">
        <v>173</v>
      </c>
      <c r="FG1078" s="319" t="s">
        <v>173</v>
      </c>
      <c r="FH1078" s="319" t="s">
        <v>173</v>
      </c>
      <c r="FI1078" s="319" t="s">
        <v>173</v>
      </c>
      <c r="FJ1078" s="319" t="s">
        <v>173</v>
      </c>
      <c r="FK1078" s="319" t="s">
        <v>173</v>
      </c>
      <c r="FL1078" s="319" t="s">
        <v>173</v>
      </c>
      <c r="FM1078" s="319" t="s">
        <v>173</v>
      </c>
      <c r="FN1078" s="319" t="s">
        <v>173</v>
      </c>
      <c r="FO1078" s="319" t="s">
        <v>173</v>
      </c>
      <c r="FP1078" s="319" t="s">
        <v>173</v>
      </c>
      <c r="FQ1078" s="319" t="s">
        <v>173</v>
      </c>
      <c r="FR1078" s="319" t="s">
        <v>173</v>
      </c>
      <c r="FS1078" s="319" t="s">
        <v>173</v>
      </c>
      <c r="FT1078" s="319" t="s">
        <v>173</v>
      </c>
      <c r="FU1078" s="319" t="s">
        <v>173</v>
      </c>
      <c r="FV1078" s="319" t="s">
        <v>173</v>
      </c>
      <c r="FW1078" s="319" t="s">
        <v>173</v>
      </c>
      <c r="FX1078" s="319" t="s">
        <v>173</v>
      </c>
      <c r="FY1078" s="319" t="s">
        <v>173</v>
      </c>
      <c r="FZ1078" s="319" t="s">
        <v>173</v>
      </c>
      <c r="GA1078" s="319" t="s">
        <v>173</v>
      </c>
      <c r="GB1078" s="319" t="s">
        <v>173</v>
      </c>
      <c r="GC1078" s="319" t="s">
        <v>173</v>
      </c>
      <c r="GD1078" s="319" t="s">
        <v>173</v>
      </c>
      <c r="GE1078" s="319" t="s">
        <v>173</v>
      </c>
      <c r="GF1078" s="319" t="s">
        <v>173</v>
      </c>
      <c r="GG1078" s="319" t="s">
        <v>173</v>
      </c>
      <c r="GH1078" s="319" t="s">
        <v>173</v>
      </c>
      <c r="GI1078" s="319" t="s">
        <v>173</v>
      </c>
      <c r="GJ1078" s="319" t="s">
        <v>173</v>
      </c>
      <c r="GK1078" s="319" t="s">
        <v>173</v>
      </c>
      <c r="GL1078" s="319" t="s">
        <v>173</v>
      </c>
      <c r="GM1078" s="319" t="s">
        <v>173</v>
      </c>
      <c r="GN1078" s="319" t="s">
        <v>173</v>
      </c>
      <c r="GO1078" s="319" t="s">
        <v>173</v>
      </c>
      <c r="GP1078" s="319" t="s">
        <v>173</v>
      </c>
      <c r="GQ1078" s="319" t="s">
        <v>173</v>
      </c>
      <c r="GR1078" s="319" t="s">
        <v>173</v>
      </c>
      <c r="GS1078" s="319" t="s">
        <v>173</v>
      </c>
      <c r="GT1078" s="319" t="s">
        <v>173</v>
      </c>
      <c r="GU1078" s="319" t="s">
        <v>173</v>
      </c>
      <c r="GV1078" s="319" t="s">
        <v>173</v>
      </c>
      <c r="GW1078" s="319" t="s">
        <v>173</v>
      </c>
      <c r="GX1078" s="319" t="s">
        <v>173</v>
      </c>
      <c r="GY1078" s="319" t="s">
        <v>173</v>
      </c>
      <c r="GZ1078" s="319" t="s">
        <v>173</v>
      </c>
      <c r="HA1078" s="319" t="s">
        <v>173</v>
      </c>
      <c r="HB1078" s="319" t="s">
        <v>173</v>
      </c>
      <c r="HC1078" s="319" t="s">
        <v>173</v>
      </c>
      <c r="HD1078" s="319" t="s">
        <v>173</v>
      </c>
      <c r="HE1078" s="319" t="s">
        <v>173</v>
      </c>
      <c r="HF1078" s="319" t="s">
        <v>173</v>
      </c>
      <c r="HG1078" s="319" t="s">
        <v>173</v>
      </c>
      <c r="HH1078" s="319" t="s">
        <v>173</v>
      </c>
      <c r="HI1078" s="319" t="s">
        <v>173</v>
      </c>
      <c r="HJ1078" s="319" t="s">
        <v>173</v>
      </c>
      <c r="HK1078" s="319" t="s">
        <v>173</v>
      </c>
      <c r="HL1078" s="319" t="s">
        <v>173</v>
      </c>
      <c r="HM1078" s="319" t="s">
        <v>173</v>
      </c>
      <c r="HN1078" s="319" t="s">
        <v>173</v>
      </c>
      <c r="HO1078" s="319" t="s">
        <v>173</v>
      </c>
      <c r="HP1078" s="319" t="s">
        <v>173</v>
      </c>
      <c r="HQ1078" s="319" t="s">
        <v>173</v>
      </c>
      <c r="HR1078" s="319" t="s">
        <v>173</v>
      </c>
      <c r="HS1078" s="319" t="s">
        <v>173</v>
      </c>
      <c r="HT1078" s="319" t="s">
        <v>173</v>
      </c>
      <c r="HU1078" s="319" t="s">
        <v>173</v>
      </c>
      <c r="HV1078" s="319" t="s">
        <v>173</v>
      </c>
      <c r="HW1078" s="319" t="s">
        <v>173</v>
      </c>
      <c r="HX1078" s="319" t="s">
        <v>173</v>
      </c>
      <c r="HY1078" s="319" t="s">
        <v>173</v>
      </c>
      <c r="HZ1078" s="319" t="s">
        <v>173</v>
      </c>
      <c r="IA1078" s="319" t="s">
        <v>173</v>
      </c>
      <c r="IB1078" s="319" t="s">
        <v>173</v>
      </c>
      <c r="IC1078" s="319" t="s">
        <v>173</v>
      </c>
      <c r="ID1078" s="319" t="s">
        <v>173</v>
      </c>
      <c r="IE1078" s="319" t="s">
        <v>173</v>
      </c>
      <c r="IF1078" s="319" t="s">
        <v>173</v>
      </c>
      <c r="IG1078" s="319" t="s">
        <v>173</v>
      </c>
      <c r="IH1078" s="319" t="s">
        <v>173</v>
      </c>
      <c r="II1078" s="319" t="s">
        <v>173</v>
      </c>
      <c r="IJ1078" s="319" t="s">
        <v>173</v>
      </c>
      <c r="IK1078" s="319" t="s">
        <v>173</v>
      </c>
      <c r="IL1078" s="319" t="s">
        <v>173</v>
      </c>
      <c r="IM1078" s="319" t="s">
        <v>173</v>
      </c>
      <c r="IN1078" s="319" t="s">
        <v>173</v>
      </c>
      <c r="IO1078" s="319" t="s">
        <v>173</v>
      </c>
      <c r="IP1078" s="319" t="s">
        <v>173</v>
      </c>
      <c r="IQ1078" s="319" t="s">
        <v>173</v>
      </c>
      <c r="IR1078" s="320" t="s">
        <v>173</v>
      </c>
      <c r="IS1078" s="320" t="s">
        <v>173</v>
      </c>
      <c r="IT1078" s="319" t="s">
        <v>173</v>
      </c>
    </row>
    <row r="1079" spans="1:254" s="271" customFormat="1" x14ac:dyDescent="0.25">
      <c r="A1079" s="318" t="str">
        <f>HYPERLINK("http://www.ofsted.gov.uk/inspection-reports/find-inspection-report/provider/ELS/147224 ","Ofsted School Webpage")</f>
        <v>Ofsted School Webpage</v>
      </c>
      <c r="B1079" s="319">
        <v>147224</v>
      </c>
      <c r="C1079" s="319">
        <v>8266018</v>
      </c>
      <c r="D1079" s="319" t="s">
        <v>3652</v>
      </c>
      <c r="E1079" s="319" t="s">
        <v>167</v>
      </c>
      <c r="F1079" s="319" t="s">
        <v>434</v>
      </c>
      <c r="G1079" s="319" t="s">
        <v>81</v>
      </c>
      <c r="H1079" s="319" t="s">
        <v>81</v>
      </c>
      <c r="I1079" s="319" t="s">
        <v>78</v>
      </c>
      <c r="J1079" s="319" t="s">
        <v>424</v>
      </c>
      <c r="K1079" s="319" t="s">
        <v>514</v>
      </c>
      <c r="L1079" s="319" t="s">
        <v>514</v>
      </c>
      <c r="M1079" s="319" t="s">
        <v>763</v>
      </c>
      <c r="N1079" s="319" t="s">
        <v>3653</v>
      </c>
      <c r="O1079" s="319" t="s">
        <v>3654</v>
      </c>
      <c r="P1079" s="319" t="s">
        <v>173</v>
      </c>
      <c r="Q1079" s="319" t="s">
        <v>2766</v>
      </c>
      <c r="R1079" s="320" t="s">
        <v>173</v>
      </c>
      <c r="S1079" s="321" t="s">
        <v>173</v>
      </c>
      <c r="T1079" s="321" t="s">
        <v>173</v>
      </c>
      <c r="U1079" s="321" t="s">
        <v>173</v>
      </c>
      <c r="V1079" s="319" t="s">
        <v>173</v>
      </c>
      <c r="W1079" s="319" t="s">
        <v>173</v>
      </c>
      <c r="X1079" s="319" t="s">
        <v>173</v>
      </c>
      <c r="Y1079" s="319" t="s">
        <v>173</v>
      </c>
      <c r="Z1079" s="319" t="s">
        <v>173</v>
      </c>
      <c r="AA1079" s="319" t="s">
        <v>173</v>
      </c>
      <c r="AB1079" s="319" t="s">
        <v>173</v>
      </c>
      <c r="AC1079" s="319" t="s">
        <v>173</v>
      </c>
      <c r="AD1079" s="319" t="s">
        <v>173</v>
      </c>
      <c r="AE1079" s="319" t="s">
        <v>173</v>
      </c>
      <c r="AF1079" s="319" t="s">
        <v>173</v>
      </c>
      <c r="AG1079" s="319" t="s">
        <v>173</v>
      </c>
      <c r="AH1079" s="319" t="s">
        <v>173</v>
      </c>
      <c r="AI1079" s="319" t="s">
        <v>173</v>
      </c>
      <c r="AJ1079" s="319" t="s">
        <v>173</v>
      </c>
      <c r="AK1079" s="319" t="s">
        <v>173</v>
      </c>
      <c r="AL1079" s="319" t="s">
        <v>173</v>
      </c>
      <c r="AM1079" s="319" t="s">
        <v>173</v>
      </c>
      <c r="AN1079" s="319" t="s">
        <v>173</v>
      </c>
      <c r="AO1079" s="319" t="s">
        <v>173</v>
      </c>
      <c r="AP1079" s="319" t="s">
        <v>173</v>
      </c>
      <c r="AQ1079" s="319" t="s">
        <v>173</v>
      </c>
      <c r="AR1079" s="319" t="s">
        <v>173</v>
      </c>
      <c r="AS1079" s="319" t="s">
        <v>173</v>
      </c>
      <c r="AT1079" s="319" t="s">
        <v>173</v>
      </c>
      <c r="AU1079" s="319" t="s">
        <v>173</v>
      </c>
      <c r="AV1079" s="319" t="s">
        <v>173</v>
      </c>
      <c r="AW1079" s="319" t="s">
        <v>173</v>
      </c>
      <c r="AX1079" s="319" t="s">
        <v>173</v>
      </c>
      <c r="AY1079" s="319" t="s">
        <v>173</v>
      </c>
      <c r="AZ1079" s="319" t="s">
        <v>173</v>
      </c>
      <c r="BA1079" s="319" t="s">
        <v>173</v>
      </c>
      <c r="BB1079" s="319" t="s">
        <v>173</v>
      </c>
      <c r="BC1079" s="319" t="s">
        <v>173</v>
      </c>
      <c r="BD1079" s="319" t="s">
        <v>173</v>
      </c>
      <c r="BE1079" s="319" t="s">
        <v>173</v>
      </c>
      <c r="BF1079" s="319" t="s">
        <v>173</v>
      </c>
      <c r="BG1079" s="319" t="s">
        <v>173</v>
      </c>
      <c r="BH1079" s="319" t="s">
        <v>173</v>
      </c>
      <c r="BI1079" s="319" t="s">
        <v>173</v>
      </c>
      <c r="BJ1079" s="319" t="s">
        <v>173</v>
      </c>
      <c r="BK1079" s="319" t="s">
        <v>173</v>
      </c>
      <c r="BL1079" s="319" t="s">
        <v>173</v>
      </c>
      <c r="BM1079" s="319" t="s">
        <v>173</v>
      </c>
      <c r="BN1079" s="319" t="s">
        <v>173</v>
      </c>
      <c r="BO1079" s="319" t="s">
        <v>173</v>
      </c>
      <c r="BP1079" s="319" t="s">
        <v>173</v>
      </c>
      <c r="BQ1079" s="319" t="s">
        <v>173</v>
      </c>
      <c r="BR1079" s="319" t="s">
        <v>173</v>
      </c>
      <c r="BS1079" s="319" t="s">
        <v>173</v>
      </c>
      <c r="BT1079" s="319" t="s">
        <v>173</v>
      </c>
      <c r="BU1079" s="319" t="s">
        <v>173</v>
      </c>
      <c r="BV1079" s="319" t="s">
        <v>173</v>
      </c>
      <c r="BW1079" s="319" t="s">
        <v>173</v>
      </c>
      <c r="BX1079" s="319" t="s">
        <v>173</v>
      </c>
      <c r="BY1079" s="319" t="s">
        <v>173</v>
      </c>
      <c r="BZ1079" s="319" t="s">
        <v>173</v>
      </c>
      <c r="CA1079" s="319" t="s">
        <v>173</v>
      </c>
      <c r="CB1079" s="319" t="s">
        <v>173</v>
      </c>
      <c r="CC1079" s="319" t="s">
        <v>173</v>
      </c>
      <c r="CD1079" s="319" t="s">
        <v>173</v>
      </c>
      <c r="CE1079" s="319" t="s">
        <v>173</v>
      </c>
      <c r="CF1079" s="319" t="s">
        <v>173</v>
      </c>
      <c r="CG1079" s="319" t="s">
        <v>173</v>
      </c>
      <c r="CH1079" s="319" t="s">
        <v>173</v>
      </c>
      <c r="CI1079" s="319" t="s">
        <v>173</v>
      </c>
      <c r="CJ1079" s="319" t="s">
        <v>173</v>
      </c>
      <c r="CK1079" s="319" t="s">
        <v>173</v>
      </c>
      <c r="CL1079" s="319" t="s">
        <v>173</v>
      </c>
      <c r="CM1079" s="319" t="s">
        <v>173</v>
      </c>
      <c r="CN1079" s="319" t="s">
        <v>173</v>
      </c>
      <c r="CO1079" s="319" t="s">
        <v>173</v>
      </c>
      <c r="CP1079" s="319" t="s">
        <v>173</v>
      </c>
      <c r="CQ1079" s="319" t="s">
        <v>173</v>
      </c>
      <c r="CR1079" s="319" t="s">
        <v>173</v>
      </c>
      <c r="CS1079" s="319" t="s">
        <v>173</v>
      </c>
      <c r="CT1079" s="319" t="s">
        <v>173</v>
      </c>
      <c r="CU1079" s="319" t="s">
        <v>173</v>
      </c>
      <c r="CV1079" s="319" t="s">
        <v>173</v>
      </c>
      <c r="CW1079" s="319" t="s">
        <v>173</v>
      </c>
      <c r="CX1079" s="319" t="s">
        <v>173</v>
      </c>
      <c r="CY1079" s="319" t="s">
        <v>173</v>
      </c>
      <c r="CZ1079" s="319" t="s">
        <v>173</v>
      </c>
      <c r="DA1079" s="319" t="s">
        <v>173</v>
      </c>
      <c r="DB1079" s="319" t="s">
        <v>173</v>
      </c>
      <c r="DC1079" s="319" t="s">
        <v>173</v>
      </c>
      <c r="DD1079" s="319" t="s">
        <v>173</v>
      </c>
      <c r="DE1079" s="319" t="s">
        <v>173</v>
      </c>
      <c r="DF1079" s="319" t="s">
        <v>173</v>
      </c>
      <c r="DG1079" s="319" t="s">
        <v>173</v>
      </c>
      <c r="DH1079" s="319" t="s">
        <v>173</v>
      </c>
      <c r="DI1079" s="319" t="s">
        <v>173</v>
      </c>
      <c r="DJ1079" s="319" t="s">
        <v>173</v>
      </c>
      <c r="DK1079" s="319" t="s">
        <v>173</v>
      </c>
      <c r="DL1079" s="319" t="s">
        <v>173</v>
      </c>
      <c r="DM1079" s="319" t="s">
        <v>173</v>
      </c>
      <c r="DN1079" s="319" t="s">
        <v>173</v>
      </c>
      <c r="DO1079" s="319" t="s">
        <v>173</v>
      </c>
      <c r="DP1079" s="319" t="s">
        <v>173</v>
      </c>
      <c r="DQ1079" s="319" t="s">
        <v>173</v>
      </c>
      <c r="DR1079" s="319" t="s">
        <v>173</v>
      </c>
      <c r="DS1079" s="319" t="s">
        <v>173</v>
      </c>
      <c r="DT1079" s="319" t="s">
        <v>173</v>
      </c>
      <c r="DU1079" s="319" t="s">
        <v>173</v>
      </c>
      <c r="DV1079" s="319" t="s">
        <v>173</v>
      </c>
      <c r="DW1079" s="319" t="s">
        <v>173</v>
      </c>
      <c r="DX1079" s="319" t="s">
        <v>173</v>
      </c>
      <c r="DY1079" s="319" t="s">
        <v>173</v>
      </c>
      <c r="DZ1079" s="319" t="s">
        <v>173</v>
      </c>
      <c r="EA1079" s="319" t="s">
        <v>173</v>
      </c>
      <c r="EB1079" s="319" t="s">
        <v>173</v>
      </c>
      <c r="EC1079" s="319" t="s">
        <v>173</v>
      </c>
      <c r="ED1079" s="319" t="s">
        <v>173</v>
      </c>
      <c r="EE1079" s="319" t="s">
        <v>173</v>
      </c>
      <c r="EF1079" s="319" t="s">
        <v>173</v>
      </c>
      <c r="EG1079" s="319" t="s">
        <v>173</v>
      </c>
      <c r="EH1079" s="319" t="s">
        <v>173</v>
      </c>
      <c r="EI1079" s="319" t="s">
        <v>173</v>
      </c>
      <c r="EJ1079" s="319" t="s">
        <v>173</v>
      </c>
      <c r="EK1079" s="319" t="s">
        <v>173</v>
      </c>
      <c r="EL1079" s="319" t="s">
        <v>173</v>
      </c>
      <c r="EM1079" s="319" t="s">
        <v>173</v>
      </c>
      <c r="EN1079" s="319" t="s">
        <v>173</v>
      </c>
      <c r="EO1079" s="319" t="s">
        <v>173</v>
      </c>
      <c r="EP1079" s="319" t="s">
        <v>173</v>
      </c>
      <c r="EQ1079" s="319" t="s">
        <v>173</v>
      </c>
      <c r="ER1079" s="319" t="s">
        <v>173</v>
      </c>
      <c r="ES1079" s="319" t="s">
        <v>173</v>
      </c>
      <c r="ET1079" s="319" t="s">
        <v>173</v>
      </c>
      <c r="EU1079" s="319" t="s">
        <v>173</v>
      </c>
      <c r="EV1079" s="319" t="s">
        <v>173</v>
      </c>
      <c r="EW1079" s="319" t="s">
        <v>173</v>
      </c>
      <c r="EX1079" s="319" t="s">
        <v>173</v>
      </c>
      <c r="EY1079" s="319" t="s">
        <v>173</v>
      </c>
      <c r="EZ1079" s="319" t="s">
        <v>173</v>
      </c>
      <c r="FA1079" s="319" t="s">
        <v>173</v>
      </c>
      <c r="FB1079" s="319" t="s">
        <v>173</v>
      </c>
      <c r="FC1079" s="319" t="s">
        <v>173</v>
      </c>
      <c r="FD1079" s="319" t="s">
        <v>173</v>
      </c>
      <c r="FE1079" s="319" t="s">
        <v>173</v>
      </c>
      <c r="FF1079" s="319" t="s">
        <v>173</v>
      </c>
      <c r="FG1079" s="319" t="s">
        <v>173</v>
      </c>
      <c r="FH1079" s="319" t="s">
        <v>173</v>
      </c>
      <c r="FI1079" s="319" t="s">
        <v>173</v>
      </c>
      <c r="FJ1079" s="319" t="s">
        <v>173</v>
      </c>
      <c r="FK1079" s="319" t="s">
        <v>173</v>
      </c>
      <c r="FL1079" s="319" t="s">
        <v>173</v>
      </c>
      <c r="FM1079" s="319" t="s">
        <v>173</v>
      </c>
      <c r="FN1079" s="319" t="s">
        <v>173</v>
      </c>
      <c r="FO1079" s="319" t="s">
        <v>173</v>
      </c>
      <c r="FP1079" s="319" t="s">
        <v>173</v>
      </c>
      <c r="FQ1079" s="319" t="s">
        <v>173</v>
      </c>
      <c r="FR1079" s="319" t="s">
        <v>173</v>
      </c>
      <c r="FS1079" s="319" t="s">
        <v>173</v>
      </c>
      <c r="FT1079" s="319" t="s">
        <v>173</v>
      </c>
      <c r="FU1079" s="319" t="s">
        <v>173</v>
      </c>
      <c r="FV1079" s="319" t="s">
        <v>173</v>
      </c>
      <c r="FW1079" s="319" t="s">
        <v>173</v>
      </c>
      <c r="FX1079" s="319" t="s">
        <v>173</v>
      </c>
      <c r="FY1079" s="319" t="s">
        <v>173</v>
      </c>
      <c r="FZ1079" s="319" t="s">
        <v>173</v>
      </c>
      <c r="GA1079" s="319" t="s">
        <v>173</v>
      </c>
      <c r="GB1079" s="319" t="s">
        <v>173</v>
      </c>
      <c r="GC1079" s="319" t="s">
        <v>173</v>
      </c>
      <c r="GD1079" s="319" t="s">
        <v>173</v>
      </c>
      <c r="GE1079" s="319" t="s">
        <v>173</v>
      </c>
      <c r="GF1079" s="319" t="s">
        <v>173</v>
      </c>
      <c r="GG1079" s="319" t="s">
        <v>173</v>
      </c>
      <c r="GH1079" s="319" t="s">
        <v>173</v>
      </c>
      <c r="GI1079" s="319" t="s">
        <v>173</v>
      </c>
      <c r="GJ1079" s="319" t="s">
        <v>173</v>
      </c>
      <c r="GK1079" s="319" t="s">
        <v>173</v>
      </c>
      <c r="GL1079" s="319" t="s">
        <v>173</v>
      </c>
      <c r="GM1079" s="319" t="s">
        <v>173</v>
      </c>
      <c r="GN1079" s="319" t="s">
        <v>173</v>
      </c>
      <c r="GO1079" s="319" t="s">
        <v>173</v>
      </c>
      <c r="GP1079" s="319" t="s">
        <v>173</v>
      </c>
      <c r="GQ1079" s="319" t="s">
        <v>173</v>
      </c>
      <c r="GR1079" s="319" t="s">
        <v>173</v>
      </c>
      <c r="GS1079" s="319" t="s">
        <v>173</v>
      </c>
      <c r="GT1079" s="319" t="s">
        <v>173</v>
      </c>
      <c r="GU1079" s="319" t="s">
        <v>173</v>
      </c>
      <c r="GV1079" s="319" t="s">
        <v>173</v>
      </c>
      <c r="GW1079" s="319" t="s">
        <v>173</v>
      </c>
      <c r="GX1079" s="319" t="s">
        <v>173</v>
      </c>
      <c r="GY1079" s="319" t="s">
        <v>173</v>
      </c>
      <c r="GZ1079" s="319" t="s">
        <v>173</v>
      </c>
      <c r="HA1079" s="319" t="s">
        <v>173</v>
      </c>
      <c r="HB1079" s="319" t="s">
        <v>173</v>
      </c>
      <c r="HC1079" s="319" t="s">
        <v>173</v>
      </c>
      <c r="HD1079" s="319" t="s">
        <v>173</v>
      </c>
      <c r="HE1079" s="319" t="s">
        <v>173</v>
      </c>
      <c r="HF1079" s="319" t="s">
        <v>173</v>
      </c>
      <c r="HG1079" s="319" t="s">
        <v>173</v>
      </c>
      <c r="HH1079" s="319" t="s">
        <v>173</v>
      </c>
      <c r="HI1079" s="319" t="s">
        <v>173</v>
      </c>
      <c r="HJ1079" s="319" t="s">
        <v>173</v>
      </c>
      <c r="HK1079" s="319" t="s">
        <v>173</v>
      </c>
      <c r="HL1079" s="319" t="s">
        <v>173</v>
      </c>
      <c r="HM1079" s="319" t="s">
        <v>173</v>
      </c>
      <c r="HN1079" s="319" t="s">
        <v>173</v>
      </c>
      <c r="HO1079" s="319" t="s">
        <v>173</v>
      </c>
      <c r="HP1079" s="319" t="s">
        <v>173</v>
      </c>
      <c r="HQ1079" s="319" t="s">
        <v>173</v>
      </c>
      <c r="HR1079" s="319" t="s">
        <v>173</v>
      </c>
      <c r="HS1079" s="319" t="s">
        <v>173</v>
      </c>
      <c r="HT1079" s="319" t="s">
        <v>173</v>
      </c>
      <c r="HU1079" s="319" t="s">
        <v>173</v>
      </c>
      <c r="HV1079" s="319" t="s">
        <v>173</v>
      </c>
      <c r="HW1079" s="319" t="s">
        <v>173</v>
      </c>
      <c r="HX1079" s="319" t="s">
        <v>173</v>
      </c>
      <c r="HY1079" s="319" t="s">
        <v>173</v>
      </c>
      <c r="HZ1079" s="319" t="s">
        <v>173</v>
      </c>
      <c r="IA1079" s="319" t="s">
        <v>173</v>
      </c>
      <c r="IB1079" s="319" t="s">
        <v>173</v>
      </c>
      <c r="IC1079" s="319" t="s">
        <v>173</v>
      </c>
      <c r="ID1079" s="319" t="s">
        <v>173</v>
      </c>
      <c r="IE1079" s="319" t="s">
        <v>173</v>
      </c>
      <c r="IF1079" s="319" t="s">
        <v>173</v>
      </c>
      <c r="IG1079" s="319" t="s">
        <v>173</v>
      </c>
      <c r="IH1079" s="319" t="s">
        <v>173</v>
      </c>
      <c r="II1079" s="319" t="s">
        <v>173</v>
      </c>
      <c r="IJ1079" s="319" t="s">
        <v>173</v>
      </c>
      <c r="IK1079" s="319" t="s">
        <v>173</v>
      </c>
      <c r="IL1079" s="319" t="s">
        <v>173</v>
      </c>
      <c r="IM1079" s="319" t="s">
        <v>173</v>
      </c>
      <c r="IN1079" s="319" t="s">
        <v>173</v>
      </c>
      <c r="IO1079" s="319" t="s">
        <v>173</v>
      </c>
      <c r="IP1079" s="319" t="s">
        <v>173</v>
      </c>
      <c r="IQ1079" s="321" t="s">
        <v>173</v>
      </c>
      <c r="IR1079" s="320" t="s">
        <v>173</v>
      </c>
      <c r="IS1079" s="322" t="s">
        <v>173</v>
      </c>
      <c r="IT1079" s="319" t="s">
        <v>173</v>
      </c>
    </row>
    <row r="1080" spans="1:254" s="271" customFormat="1" x14ac:dyDescent="0.25">
      <c r="A1080" s="318" t="str">
        <f>HYPERLINK("http://www.ofsted.gov.uk/inspection-reports/find-inspection-report/provider/ELS/147234 ","Ofsted School Webpage")</f>
        <v>Ofsted School Webpage</v>
      </c>
      <c r="B1080" s="319">
        <v>147234</v>
      </c>
      <c r="C1080" s="319">
        <v>3306061</v>
      </c>
      <c r="D1080" s="319" t="s">
        <v>3655</v>
      </c>
      <c r="E1080" s="319" t="s">
        <v>167</v>
      </c>
      <c r="F1080" s="319" t="s">
        <v>434</v>
      </c>
      <c r="G1080" s="319" t="s">
        <v>81</v>
      </c>
      <c r="H1080" s="319" t="s">
        <v>81</v>
      </c>
      <c r="I1080" s="319" t="s">
        <v>78</v>
      </c>
      <c r="J1080" s="319" t="s">
        <v>424</v>
      </c>
      <c r="K1080" s="319" t="s">
        <v>437</v>
      </c>
      <c r="L1080" s="319" t="s">
        <v>437</v>
      </c>
      <c r="M1080" s="319" t="s">
        <v>813</v>
      </c>
      <c r="N1080" s="319" t="s">
        <v>2858</v>
      </c>
      <c r="O1080" s="319" t="s">
        <v>3656</v>
      </c>
      <c r="P1080" s="319" t="s">
        <v>173</v>
      </c>
      <c r="Q1080" s="319" t="s">
        <v>2766</v>
      </c>
      <c r="R1080" s="320" t="s">
        <v>173</v>
      </c>
      <c r="S1080" s="321" t="s">
        <v>173</v>
      </c>
      <c r="T1080" s="321" t="s">
        <v>173</v>
      </c>
      <c r="U1080" s="321" t="s">
        <v>173</v>
      </c>
      <c r="V1080" s="319" t="s">
        <v>173</v>
      </c>
      <c r="W1080" s="319" t="s">
        <v>173</v>
      </c>
      <c r="X1080" s="319" t="s">
        <v>173</v>
      </c>
      <c r="Y1080" s="319" t="s">
        <v>173</v>
      </c>
      <c r="Z1080" s="319" t="s">
        <v>173</v>
      </c>
      <c r="AA1080" s="319" t="s">
        <v>173</v>
      </c>
      <c r="AB1080" s="319" t="s">
        <v>173</v>
      </c>
      <c r="AC1080" s="319" t="s">
        <v>173</v>
      </c>
      <c r="AD1080" s="319" t="s">
        <v>173</v>
      </c>
      <c r="AE1080" s="319" t="s">
        <v>173</v>
      </c>
      <c r="AF1080" s="319" t="s">
        <v>173</v>
      </c>
      <c r="AG1080" s="319" t="s">
        <v>173</v>
      </c>
      <c r="AH1080" s="319" t="s">
        <v>173</v>
      </c>
      <c r="AI1080" s="319" t="s">
        <v>173</v>
      </c>
      <c r="AJ1080" s="319" t="s">
        <v>173</v>
      </c>
      <c r="AK1080" s="319" t="s">
        <v>173</v>
      </c>
      <c r="AL1080" s="319" t="s">
        <v>173</v>
      </c>
      <c r="AM1080" s="319" t="s">
        <v>173</v>
      </c>
      <c r="AN1080" s="319" t="s">
        <v>173</v>
      </c>
      <c r="AO1080" s="319" t="s">
        <v>173</v>
      </c>
      <c r="AP1080" s="319" t="s">
        <v>173</v>
      </c>
      <c r="AQ1080" s="319" t="s">
        <v>173</v>
      </c>
      <c r="AR1080" s="319" t="s">
        <v>173</v>
      </c>
      <c r="AS1080" s="319" t="s">
        <v>173</v>
      </c>
      <c r="AT1080" s="319" t="s">
        <v>173</v>
      </c>
      <c r="AU1080" s="319" t="s">
        <v>173</v>
      </c>
      <c r="AV1080" s="319" t="s">
        <v>173</v>
      </c>
      <c r="AW1080" s="319" t="s">
        <v>173</v>
      </c>
      <c r="AX1080" s="319" t="s">
        <v>173</v>
      </c>
      <c r="AY1080" s="319" t="s">
        <v>173</v>
      </c>
      <c r="AZ1080" s="319" t="s">
        <v>173</v>
      </c>
      <c r="BA1080" s="319" t="s">
        <v>173</v>
      </c>
      <c r="BB1080" s="319" t="s">
        <v>173</v>
      </c>
      <c r="BC1080" s="319" t="s">
        <v>173</v>
      </c>
      <c r="BD1080" s="319" t="s">
        <v>173</v>
      </c>
      <c r="BE1080" s="319" t="s">
        <v>173</v>
      </c>
      <c r="BF1080" s="319" t="s">
        <v>173</v>
      </c>
      <c r="BG1080" s="319" t="s">
        <v>173</v>
      </c>
      <c r="BH1080" s="319" t="s">
        <v>173</v>
      </c>
      <c r="BI1080" s="319" t="s">
        <v>173</v>
      </c>
      <c r="BJ1080" s="319" t="s">
        <v>173</v>
      </c>
      <c r="BK1080" s="319" t="s">
        <v>173</v>
      </c>
      <c r="BL1080" s="319" t="s">
        <v>173</v>
      </c>
      <c r="BM1080" s="319" t="s">
        <v>173</v>
      </c>
      <c r="BN1080" s="319" t="s">
        <v>173</v>
      </c>
      <c r="BO1080" s="319" t="s">
        <v>173</v>
      </c>
      <c r="BP1080" s="319" t="s">
        <v>173</v>
      </c>
      <c r="BQ1080" s="319" t="s">
        <v>173</v>
      </c>
      <c r="BR1080" s="319" t="s">
        <v>173</v>
      </c>
      <c r="BS1080" s="319" t="s">
        <v>173</v>
      </c>
      <c r="BT1080" s="319" t="s">
        <v>173</v>
      </c>
      <c r="BU1080" s="319" t="s">
        <v>173</v>
      </c>
      <c r="BV1080" s="319" t="s">
        <v>173</v>
      </c>
      <c r="BW1080" s="319" t="s">
        <v>173</v>
      </c>
      <c r="BX1080" s="319" t="s">
        <v>173</v>
      </c>
      <c r="BY1080" s="319" t="s">
        <v>173</v>
      </c>
      <c r="BZ1080" s="319" t="s">
        <v>173</v>
      </c>
      <c r="CA1080" s="319" t="s">
        <v>173</v>
      </c>
      <c r="CB1080" s="319" t="s">
        <v>173</v>
      </c>
      <c r="CC1080" s="319" t="s">
        <v>173</v>
      </c>
      <c r="CD1080" s="319" t="s">
        <v>173</v>
      </c>
      <c r="CE1080" s="319" t="s">
        <v>173</v>
      </c>
      <c r="CF1080" s="319" t="s">
        <v>173</v>
      </c>
      <c r="CG1080" s="319" t="s">
        <v>173</v>
      </c>
      <c r="CH1080" s="319" t="s">
        <v>173</v>
      </c>
      <c r="CI1080" s="319" t="s">
        <v>173</v>
      </c>
      <c r="CJ1080" s="319" t="s">
        <v>173</v>
      </c>
      <c r="CK1080" s="319" t="s">
        <v>173</v>
      </c>
      <c r="CL1080" s="319" t="s">
        <v>173</v>
      </c>
      <c r="CM1080" s="319" t="s">
        <v>173</v>
      </c>
      <c r="CN1080" s="319" t="s">
        <v>173</v>
      </c>
      <c r="CO1080" s="319" t="s">
        <v>173</v>
      </c>
      <c r="CP1080" s="319" t="s">
        <v>173</v>
      </c>
      <c r="CQ1080" s="319" t="s">
        <v>173</v>
      </c>
      <c r="CR1080" s="319" t="s">
        <v>173</v>
      </c>
      <c r="CS1080" s="319" t="s">
        <v>173</v>
      </c>
      <c r="CT1080" s="319" t="s">
        <v>173</v>
      </c>
      <c r="CU1080" s="319" t="s">
        <v>173</v>
      </c>
      <c r="CV1080" s="319" t="s">
        <v>173</v>
      </c>
      <c r="CW1080" s="319" t="s">
        <v>173</v>
      </c>
      <c r="CX1080" s="319" t="s">
        <v>173</v>
      </c>
      <c r="CY1080" s="319" t="s">
        <v>173</v>
      </c>
      <c r="CZ1080" s="319" t="s">
        <v>173</v>
      </c>
      <c r="DA1080" s="319" t="s">
        <v>173</v>
      </c>
      <c r="DB1080" s="319" t="s">
        <v>173</v>
      </c>
      <c r="DC1080" s="319" t="s">
        <v>173</v>
      </c>
      <c r="DD1080" s="319" t="s">
        <v>173</v>
      </c>
      <c r="DE1080" s="319" t="s">
        <v>173</v>
      </c>
      <c r="DF1080" s="319" t="s">
        <v>173</v>
      </c>
      <c r="DG1080" s="319" t="s">
        <v>173</v>
      </c>
      <c r="DH1080" s="319" t="s">
        <v>173</v>
      </c>
      <c r="DI1080" s="319" t="s">
        <v>173</v>
      </c>
      <c r="DJ1080" s="319" t="s">
        <v>173</v>
      </c>
      <c r="DK1080" s="319" t="s">
        <v>173</v>
      </c>
      <c r="DL1080" s="319" t="s">
        <v>173</v>
      </c>
      <c r="DM1080" s="319" t="s">
        <v>173</v>
      </c>
      <c r="DN1080" s="319" t="s">
        <v>173</v>
      </c>
      <c r="DO1080" s="319" t="s">
        <v>173</v>
      </c>
      <c r="DP1080" s="319" t="s">
        <v>173</v>
      </c>
      <c r="DQ1080" s="319" t="s">
        <v>173</v>
      </c>
      <c r="DR1080" s="319" t="s">
        <v>173</v>
      </c>
      <c r="DS1080" s="319" t="s">
        <v>173</v>
      </c>
      <c r="DT1080" s="319" t="s">
        <v>173</v>
      </c>
      <c r="DU1080" s="319" t="s">
        <v>173</v>
      </c>
      <c r="DV1080" s="319" t="s">
        <v>173</v>
      </c>
      <c r="DW1080" s="319" t="s">
        <v>173</v>
      </c>
      <c r="DX1080" s="319" t="s">
        <v>173</v>
      </c>
      <c r="DY1080" s="319" t="s">
        <v>173</v>
      </c>
      <c r="DZ1080" s="319" t="s">
        <v>173</v>
      </c>
      <c r="EA1080" s="319" t="s">
        <v>173</v>
      </c>
      <c r="EB1080" s="319" t="s">
        <v>173</v>
      </c>
      <c r="EC1080" s="319" t="s">
        <v>173</v>
      </c>
      <c r="ED1080" s="319" t="s">
        <v>173</v>
      </c>
      <c r="EE1080" s="319" t="s">
        <v>173</v>
      </c>
      <c r="EF1080" s="319" t="s">
        <v>173</v>
      </c>
      <c r="EG1080" s="319" t="s">
        <v>173</v>
      </c>
      <c r="EH1080" s="319" t="s">
        <v>173</v>
      </c>
      <c r="EI1080" s="319" t="s">
        <v>173</v>
      </c>
      <c r="EJ1080" s="319" t="s">
        <v>173</v>
      </c>
      <c r="EK1080" s="319" t="s">
        <v>173</v>
      </c>
      <c r="EL1080" s="319" t="s">
        <v>173</v>
      </c>
      <c r="EM1080" s="319" t="s">
        <v>173</v>
      </c>
      <c r="EN1080" s="319" t="s">
        <v>173</v>
      </c>
      <c r="EO1080" s="319" t="s">
        <v>173</v>
      </c>
      <c r="EP1080" s="319" t="s">
        <v>173</v>
      </c>
      <c r="EQ1080" s="319" t="s">
        <v>173</v>
      </c>
      <c r="ER1080" s="319" t="s">
        <v>173</v>
      </c>
      <c r="ES1080" s="319" t="s">
        <v>173</v>
      </c>
      <c r="ET1080" s="319" t="s">
        <v>173</v>
      </c>
      <c r="EU1080" s="319" t="s">
        <v>173</v>
      </c>
      <c r="EV1080" s="319" t="s">
        <v>173</v>
      </c>
      <c r="EW1080" s="319" t="s">
        <v>173</v>
      </c>
      <c r="EX1080" s="319" t="s">
        <v>173</v>
      </c>
      <c r="EY1080" s="319" t="s">
        <v>173</v>
      </c>
      <c r="EZ1080" s="319" t="s">
        <v>173</v>
      </c>
      <c r="FA1080" s="319" t="s">
        <v>173</v>
      </c>
      <c r="FB1080" s="319" t="s">
        <v>173</v>
      </c>
      <c r="FC1080" s="319" t="s">
        <v>173</v>
      </c>
      <c r="FD1080" s="319" t="s">
        <v>173</v>
      </c>
      <c r="FE1080" s="319" t="s">
        <v>173</v>
      </c>
      <c r="FF1080" s="319" t="s">
        <v>173</v>
      </c>
      <c r="FG1080" s="319" t="s">
        <v>173</v>
      </c>
      <c r="FH1080" s="319" t="s">
        <v>173</v>
      </c>
      <c r="FI1080" s="319" t="s">
        <v>173</v>
      </c>
      <c r="FJ1080" s="319" t="s">
        <v>173</v>
      </c>
      <c r="FK1080" s="319" t="s">
        <v>173</v>
      </c>
      <c r="FL1080" s="319" t="s">
        <v>173</v>
      </c>
      <c r="FM1080" s="319" t="s">
        <v>173</v>
      </c>
      <c r="FN1080" s="319" t="s">
        <v>173</v>
      </c>
      <c r="FO1080" s="319" t="s">
        <v>173</v>
      </c>
      <c r="FP1080" s="319" t="s">
        <v>173</v>
      </c>
      <c r="FQ1080" s="319" t="s">
        <v>173</v>
      </c>
      <c r="FR1080" s="319" t="s">
        <v>173</v>
      </c>
      <c r="FS1080" s="319" t="s">
        <v>173</v>
      </c>
      <c r="FT1080" s="319" t="s">
        <v>173</v>
      </c>
      <c r="FU1080" s="319" t="s">
        <v>173</v>
      </c>
      <c r="FV1080" s="319" t="s">
        <v>173</v>
      </c>
      <c r="FW1080" s="319" t="s">
        <v>173</v>
      </c>
      <c r="FX1080" s="319" t="s">
        <v>173</v>
      </c>
      <c r="FY1080" s="319" t="s">
        <v>173</v>
      </c>
      <c r="FZ1080" s="319" t="s">
        <v>173</v>
      </c>
      <c r="GA1080" s="319" t="s">
        <v>173</v>
      </c>
      <c r="GB1080" s="319" t="s">
        <v>173</v>
      </c>
      <c r="GC1080" s="319" t="s">
        <v>173</v>
      </c>
      <c r="GD1080" s="319" t="s">
        <v>173</v>
      </c>
      <c r="GE1080" s="319" t="s">
        <v>173</v>
      </c>
      <c r="GF1080" s="319" t="s">
        <v>173</v>
      </c>
      <c r="GG1080" s="319" t="s">
        <v>173</v>
      </c>
      <c r="GH1080" s="319" t="s">
        <v>173</v>
      </c>
      <c r="GI1080" s="319" t="s">
        <v>173</v>
      </c>
      <c r="GJ1080" s="319" t="s">
        <v>173</v>
      </c>
      <c r="GK1080" s="319" t="s">
        <v>173</v>
      </c>
      <c r="GL1080" s="319" t="s">
        <v>173</v>
      </c>
      <c r="GM1080" s="319" t="s">
        <v>173</v>
      </c>
      <c r="GN1080" s="319" t="s">
        <v>173</v>
      </c>
      <c r="GO1080" s="319" t="s">
        <v>173</v>
      </c>
      <c r="GP1080" s="319" t="s">
        <v>173</v>
      </c>
      <c r="GQ1080" s="319" t="s">
        <v>173</v>
      </c>
      <c r="GR1080" s="319" t="s">
        <v>173</v>
      </c>
      <c r="GS1080" s="319" t="s">
        <v>173</v>
      </c>
      <c r="GT1080" s="319" t="s">
        <v>173</v>
      </c>
      <c r="GU1080" s="319" t="s">
        <v>173</v>
      </c>
      <c r="GV1080" s="319" t="s">
        <v>173</v>
      </c>
      <c r="GW1080" s="319" t="s">
        <v>173</v>
      </c>
      <c r="GX1080" s="319" t="s">
        <v>173</v>
      </c>
      <c r="GY1080" s="319" t="s">
        <v>173</v>
      </c>
      <c r="GZ1080" s="319" t="s">
        <v>173</v>
      </c>
      <c r="HA1080" s="319" t="s">
        <v>173</v>
      </c>
      <c r="HB1080" s="319" t="s">
        <v>173</v>
      </c>
      <c r="HC1080" s="319" t="s">
        <v>173</v>
      </c>
      <c r="HD1080" s="319" t="s">
        <v>173</v>
      </c>
      <c r="HE1080" s="319" t="s">
        <v>173</v>
      </c>
      <c r="HF1080" s="319" t="s">
        <v>173</v>
      </c>
      <c r="HG1080" s="319" t="s">
        <v>173</v>
      </c>
      <c r="HH1080" s="319" t="s">
        <v>173</v>
      </c>
      <c r="HI1080" s="319" t="s">
        <v>173</v>
      </c>
      <c r="HJ1080" s="319" t="s">
        <v>173</v>
      </c>
      <c r="HK1080" s="319" t="s">
        <v>173</v>
      </c>
      <c r="HL1080" s="319" t="s">
        <v>173</v>
      </c>
      <c r="HM1080" s="319" t="s">
        <v>173</v>
      </c>
      <c r="HN1080" s="319" t="s">
        <v>173</v>
      </c>
      <c r="HO1080" s="319" t="s">
        <v>173</v>
      </c>
      <c r="HP1080" s="319" t="s">
        <v>173</v>
      </c>
      <c r="HQ1080" s="319" t="s">
        <v>173</v>
      </c>
      <c r="HR1080" s="319" t="s">
        <v>173</v>
      </c>
      <c r="HS1080" s="319" t="s">
        <v>173</v>
      </c>
      <c r="HT1080" s="319" t="s">
        <v>173</v>
      </c>
      <c r="HU1080" s="319" t="s">
        <v>173</v>
      </c>
      <c r="HV1080" s="319" t="s">
        <v>173</v>
      </c>
      <c r="HW1080" s="319" t="s">
        <v>173</v>
      </c>
      <c r="HX1080" s="319" t="s">
        <v>173</v>
      </c>
      <c r="HY1080" s="319" t="s">
        <v>173</v>
      </c>
      <c r="HZ1080" s="319" t="s">
        <v>173</v>
      </c>
      <c r="IA1080" s="319" t="s">
        <v>173</v>
      </c>
      <c r="IB1080" s="319" t="s">
        <v>173</v>
      </c>
      <c r="IC1080" s="319" t="s">
        <v>173</v>
      </c>
      <c r="ID1080" s="319" t="s">
        <v>173</v>
      </c>
      <c r="IE1080" s="319" t="s">
        <v>173</v>
      </c>
      <c r="IF1080" s="319" t="s">
        <v>173</v>
      </c>
      <c r="IG1080" s="319" t="s">
        <v>173</v>
      </c>
      <c r="IH1080" s="319" t="s">
        <v>173</v>
      </c>
      <c r="II1080" s="319" t="s">
        <v>173</v>
      </c>
      <c r="IJ1080" s="319" t="s">
        <v>173</v>
      </c>
      <c r="IK1080" s="319" t="s">
        <v>173</v>
      </c>
      <c r="IL1080" s="319" t="s">
        <v>173</v>
      </c>
      <c r="IM1080" s="319" t="s">
        <v>173</v>
      </c>
      <c r="IN1080" s="319" t="s">
        <v>173</v>
      </c>
      <c r="IO1080" s="319" t="s">
        <v>173</v>
      </c>
      <c r="IP1080" s="319" t="s">
        <v>173</v>
      </c>
      <c r="IQ1080" s="319" t="s">
        <v>173</v>
      </c>
      <c r="IR1080" s="320" t="s">
        <v>173</v>
      </c>
      <c r="IS1080" s="320" t="s">
        <v>173</v>
      </c>
      <c r="IT1080" s="319" t="s">
        <v>173</v>
      </c>
    </row>
    <row r="1081" spans="1:254" s="271" customFormat="1" x14ac:dyDescent="0.25">
      <c r="A1081" s="318" t="str">
        <f>HYPERLINK("http://www.ofsted.gov.uk/inspection-reports/find-inspection-report/provider/ELS/147235 ","Ofsted School Webpage")</f>
        <v>Ofsted School Webpage</v>
      </c>
      <c r="B1081" s="319">
        <v>147235</v>
      </c>
      <c r="C1081" s="319">
        <v>3566013</v>
      </c>
      <c r="D1081" s="319" t="s">
        <v>3657</v>
      </c>
      <c r="E1081" s="319" t="s">
        <v>167</v>
      </c>
      <c r="F1081" s="319" t="s">
        <v>81</v>
      </c>
      <c r="G1081" s="319" t="s">
        <v>81</v>
      </c>
      <c r="H1081" s="319" t="s">
        <v>81</v>
      </c>
      <c r="I1081" s="319" t="s">
        <v>78</v>
      </c>
      <c r="J1081" s="319" t="s">
        <v>424</v>
      </c>
      <c r="K1081" s="319" t="s">
        <v>431</v>
      </c>
      <c r="L1081" s="319" t="s">
        <v>431</v>
      </c>
      <c r="M1081" s="319" t="s">
        <v>837</v>
      </c>
      <c r="N1081" s="319" t="s">
        <v>837</v>
      </c>
      <c r="O1081" s="319" t="s">
        <v>3658</v>
      </c>
      <c r="P1081" s="319" t="s">
        <v>173</v>
      </c>
      <c r="Q1081" s="319" t="s">
        <v>2766</v>
      </c>
      <c r="R1081" s="320" t="s">
        <v>173</v>
      </c>
      <c r="S1081" s="321" t="s">
        <v>173</v>
      </c>
      <c r="T1081" s="321" t="s">
        <v>173</v>
      </c>
      <c r="U1081" s="321" t="s">
        <v>173</v>
      </c>
      <c r="V1081" s="319" t="s">
        <v>173</v>
      </c>
      <c r="W1081" s="319" t="s">
        <v>173</v>
      </c>
      <c r="X1081" s="319" t="s">
        <v>173</v>
      </c>
      <c r="Y1081" s="319" t="s">
        <v>173</v>
      </c>
      <c r="Z1081" s="319" t="s">
        <v>173</v>
      </c>
      <c r="AA1081" s="319" t="s">
        <v>173</v>
      </c>
      <c r="AB1081" s="319" t="s">
        <v>173</v>
      </c>
      <c r="AC1081" s="319" t="s">
        <v>173</v>
      </c>
      <c r="AD1081" s="319" t="s">
        <v>173</v>
      </c>
      <c r="AE1081" s="319" t="s">
        <v>173</v>
      </c>
      <c r="AF1081" s="319" t="s">
        <v>173</v>
      </c>
      <c r="AG1081" s="319" t="s">
        <v>173</v>
      </c>
      <c r="AH1081" s="319" t="s">
        <v>173</v>
      </c>
      <c r="AI1081" s="319" t="s">
        <v>173</v>
      </c>
      <c r="AJ1081" s="319" t="s">
        <v>173</v>
      </c>
      <c r="AK1081" s="319" t="s">
        <v>173</v>
      </c>
      <c r="AL1081" s="319" t="s">
        <v>173</v>
      </c>
      <c r="AM1081" s="319" t="s">
        <v>173</v>
      </c>
      <c r="AN1081" s="319" t="s">
        <v>173</v>
      </c>
      <c r="AO1081" s="319" t="s">
        <v>173</v>
      </c>
      <c r="AP1081" s="319" t="s">
        <v>173</v>
      </c>
      <c r="AQ1081" s="319" t="s">
        <v>173</v>
      </c>
      <c r="AR1081" s="319" t="s">
        <v>173</v>
      </c>
      <c r="AS1081" s="319" t="s">
        <v>173</v>
      </c>
      <c r="AT1081" s="319" t="s">
        <v>173</v>
      </c>
      <c r="AU1081" s="319" t="s">
        <v>173</v>
      </c>
      <c r="AV1081" s="319" t="s">
        <v>173</v>
      </c>
      <c r="AW1081" s="319" t="s">
        <v>173</v>
      </c>
      <c r="AX1081" s="319" t="s">
        <v>173</v>
      </c>
      <c r="AY1081" s="319" t="s">
        <v>173</v>
      </c>
      <c r="AZ1081" s="319" t="s">
        <v>173</v>
      </c>
      <c r="BA1081" s="319" t="s">
        <v>173</v>
      </c>
      <c r="BB1081" s="319" t="s">
        <v>173</v>
      </c>
      <c r="BC1081" s="319" t="s">
        <v>173</v>
      </c>
      <c r="BD1081" s="319" t="s">
        <v>173</v>
      </c>
      <c r="BE1081" s="319" t="s">
        <v>173</v>
      </c>
      <c r="BF1081" s="319" t="s">
        <v>173</v>
      </c>
      <c r="BG1081" s="319" t="s">
        <v>173</v>
      </c>
      <c r="BH1081" s="319" t="s">
        <v>173</v>
      </c>
      <c r="BI1081" s="319" t="s">
        <v>173</v>
      </c>
      <c r="BJ1081" s="319" t="s">
        <v>173</v>
      </c>
      <c r="BK1081" s="319" t="s">
        <v>173</v>
      </c>
      <c r="BL1081" s="319" t="s">
        <v>173</v>
      </c>
      <c r="BM1081" s="319" t="s">
        <v>173</v>
      </c>
      <c r="BN1081" s="319" t="s">
        <v>173</v>
      </c>
      <c r="BO1081" s="319" t="s">
        <v>173</v>
      </c>
      <c r="BP1081" s="319" t="s">
        <v>173</v>
      </c>
      <c r="BQ1081" s="319" t="s">
        <v>173</v>
      </c>
      <c r="BR1081" s="319" t="s">
        <v>173</v>
      </c>
      <c r="BS1081" s="319" t="s">
        <v>173</v>
      </c>
      <c r="BT1081" s="319" t="s">
        <v>173</v>
      </c>
      <c r="BU1081" s="319" t="s">
        <v>173</v>
      </c>
      <c r="BV1081" s="319" t="s">
        <v>173</v>
      </c>
      <c r="BW1081" s="319" t="s">
        <v>173</v>
      </c>
      <c r="BX1081" s="319" t="s">
        <v>173</v>
      </c>
      <c r="BY1081" s="319" t="s">
        <v>173</v>
      </c>
      <c r="BZ1081" s="319" t="s">
        <v>173</v>
      </c>
      <c r="CA1081" s="319" t="s">
        <v>173</v>
      </c>
      <c r="CB1081" s="319" t="s">
        <v>173</v>
      </c>
      <c r="CC1081" s="319" t="s">
        <v>173</v>
      </c>
      <c r="CD1081" s="319" t="s">
        <v>173</v>
      </c>
      <c r="CE1081" s="319" t="s">
        <v>173</v>
      </c>
      <c r="CF1081" s="319" t="s">
        <v>173</v>
      </c>
      <c r="CG1081" s="319" t="s">
        <v>173</v>
      </c>
      <c r="CH1081" s="319" t="s">
        <v>173</v>
      </c>
      <c r="CI1081" s="319" t="s">
        <v>173</v>
      </c>
      <c r="CJ1081" s="319" t="s">
        <v>173</v>
      </c>
      <c r="CK1081" s="319" t="s">
        <v>173</v>
      </c>
      <c r="CL1081" s="319" t="s">
        <v>173</v>
      </c>
      <c r="CM1081" s="319" t="s">
        <v>173</v>
      </c>
      <c r="CN1081" s="319" t="s">
        <v>173</v>
      </c>
      <c r="CO1081" s="319" t="s">
        <v>173</v>
      </c>
      <c r="CP1081" s="319" t="s">
        <v>173</v>
      </c>
      <c r="CQ1081" s="319" t="s">
        <v>173</v>
      </c>
      <c r="CR1081" s="319" t="s">
        <v>173</v>
      </c>
      <c r="CS1081" s="319" t="s">
        <v>173</v>
      </c>
      <c r="CT1081" s="319" t="s">
        <v>173</v>
      </c>
      <c r="CU1081" s="319" t="s">
        <v>173</v>
      </c>
      <c r="CV1081" s="319" t="s">
        <v>173</v>
      </c>
      <c r="CW1081" s="319" t="s">
        <v>173</v>
      </c>
      <c r="CX1081" s="319" t="s">
        <v>173</v>
      </c>
      <c r="CY1081" s="319" t="s">
        <v>173</v>
      </c>
      <c r="CZ1081" s="319" t="s">
        <v>173</v>
      </c>
      <c r="DA1081" s="319" t="s">
        <v>173</v>
      </c>
      <c r="DB1081" s="319" t="s">
        <v>173</v>
      </c>
      <c r="DC1081" s="319" t="s">
        <v>173</v>
      </c>
      <c r="DD1081" s="319" t="s">
        <v>173</v>
      </c>
      <c r="DE1081" s="319" t="s">
        <v>173</v>
      </c>
      <c r="DF1081" s="319" t="s">
        <v>173</v>
      </c>
      <c r="DG1081" s="319" t="s">
        <v>173</v>
      </c>
      <c r="DH1081" s="319" t="s">
        <v>173</v>
      </c>
      <c r="DI1081" s="319" t="s">
        <v>173</v>
      </c>
      <c r="DJ1081" s="319" t="s">
        <v>173</v>
      </c>
      <c r="DK1081" s="319" t="s">
        <v>173</v>
      </c>
      <c r="DL1081" s="319" t="s">
        <v>173</v>
      </c>
      <c r="DM1081" s="319" t="s">
        <v>173</v>
      </c>
      <c r="DN1081" s="319" t="s">
        <v>173</v>
      </c>
      <c r="DO1081" s="319" t="s">
        <v>173</v>
      </c>
      <c r="DP1081" s="319" t="s">
        <v>173</v>
      </c>
      <c r="DQ1081" s="319" t="s">
        <v>173</v>
      </c>
      <c r="DR1081" s="319" t="s">
        <v>173</v>
      </c>
      <c r="DS1081" s="319" t="s">
        <v>173</v>
      </c>
      <c r="DT1081" s="319" t="s">
        <v>173</v>
      </c>
      <c r="DU1081" s="319" t="s">
        <v>173</v>
      </c>
      <c r="DV1081" s="319" t="s">
        <v>173</v>
      </c>
      <c r="DW1081" s="319" t="s">
        <v>173</v>
      </c>
      <c r="DX1081" s="319" t="s">
        <v>173</v>
      </c>
      <c r="DY1081" s="319" t="s">
        <v>173</v>
      </c>
      <c r="DZ1081" s="319" t="s">
        <v>173</v>
      </c>
      <c r="EA1081" s="319" t="s">
        <v>173</v>
      </c>
      <c r="EB1081" s="319" t="s">
        <v>173</v>
      </c>
      <c r="EC1081" s="319" t="s">
        <v>173</v>
      </c>
      <c r="ED1081" s="319" t="s">
        <v>173</v>
      </c>
      <c r="EE1081" s="319" t="s">
        <v>173</v>
      </c>
      <c r="EF1081" s="319" t="s">
        <v>173</v>
      </c>
      <c r="EG1081" s="319" t="s">
        <v>173</v>
      </c>
      <c r="EH1081" s="319" t="s">
        <v>173</v>
      </c>
      <c r="EI1081" s="319" t="s">
        <v>173</v>
      </c>
      <c r="EJ1081" s="319" t="s">
        <v>173</v>
      </c>
      <c r="EK1081" s="319" t="s">
        <v>173</v>
      </c>
      <c r="EL1081" s="319" t="s">
        <v>173</v>
      </c>
      <c r="EM1081" s="319" t="s">
        <v>173</v>
      </c>
      <c r="EN1081" s="319" t="s">
        <v>173</v>
      </c>
      <c r="EO1081" s="319" t="s">
        <v>173</v>
      </c>
      <c r="EP1081" s="319" t="s">
        <v>173</v>
      </c>
      <c r="EQ1081" s="319" t="s">
        <v>173</v>
      </c>
      <c r="ER1081" s="319" t="s">
        <v>173</v>
      </c>
      <c r="ES1081" s="319" t="s">
        <v>173</v>
      </c>
      <c r="ET1081" s="319" t="s">
        <v>173</v>
      </c>
      <c r="EU1081" s="319" t="s">
        <v>173</v>
      </c>
      <c r="EV1081" s="319" t="s">
        <v>173</v>
      </c>
      <c r="EW1081" s="319" t="s">
        <v>173</v>
      </c>
      <c r="EX1081" s="319" t="s">
        <v>173</v>
      </c>
      <c r="EY1081" s="319" t="s">
        <v>173</v>
      </c>
      <c r="EZ1081" s="319" t="s">
        <v>173</v>
      </c>
      <c r="FA1081" s="319" t="s">
        <v>173</v>
      </c>
      <c r="FB1081" s="319" t="s">
        <v>173</v>
      </c>
      <c r="FC1081" s="319" t="s">
        <v>173</v>
      </c>
      <c r="FD1081" s="319" t="s">
        <v>173</v>
      </c>
      <c r="FE1081" s="319" t="s">
        <v>173</v>
      </c>
      <c r="FF1081" s="319" t="s">
        <v>173</v>
      </c>
      <c r="FG1081" s="319" t="s">
        <v>173</v>
      </c>
      <c r="FH1081" s="319" t="s">
        <v>173</v>
      </c>
      <c r="FI1081" s="319" t="s">
        <v>173</v>
      </c>
      <c r="FJ1081" s="319" t="s">
        <v>173</v>
      </c>
      <c r="FK1081" s="319" t="s">
        <v>173</v>
      </c>
      <c r="FL1081" s="319" t="s">
        <v>173</v>
      </c>
      <c r="FM1081" s="319" t="s">
        <v>173</v>
      </c>
      <c r="FN1081" s="319" t="s">
        <v>173</v>
      </c>
      <c r="FO1081" s="319" t="s">
        <v>173</v>
      </c>
      <c r="FP1081" s="319" t="s">
        <v>173</v>
      </c>
      <c r="FQ1081" s="319" t="s">
        <v>173</v>
      </c>
      <c r="FR1081" s="319" t="s">
        <v>173</v>
      </c>
      <c r="FS1081" s="319" t="s">
        <v>173</v>
      </c>
      <c r="FT1081" s="319" t="s">
        <v>173</v>
      </c>
      <c r="FU1081" s="319" t="s">
        <v>173</v>
      </c>
      <c r="FV1081" s="319" t="s">
        <v>173</v>
      </c>
      <c r="FW1081" s="319" t="s">
        <v>173</v>
      </c>
      <c r="FX1081" s="319" t="s">
        <v>173</v>
      </c>
      <c r="FY1081" s="319" t="s">
        <v>173</v>
      </c>
      <c r="FZ1081" s="319" t="s">
        <v>173</v>
      </c>
      <c r="GA1081" s="319" t="s">
        <v>173</v>
      </c>
      <c r="GB1081" s="319" t="s">
        <v>173</v>
      </c>
      <c r="GC1081" s="319" t="s">
        <v>173</v>
      </c>
      <c r="GD1081" s="319" t="s">
        <v>173</v>
      </c>
      <c r="GE1081" s="319" t="s">
        <v>173</v>
      </c>
      <c r="GF1081" s="319" t="s">
        <v>173</v>
      </c>
      <c r="GG1081" s="319" t="s">
        <v>173</v>
      </c>
      <c r="GH1081" s="319" t="s">
        <v>173</v>
      </c>
      <c r="GI1081" s="319" t="s">
        <v>173</v>
      </c>
      <c r="GJ1081" s="319" t="s">
        <v>173</v>
      </c>
      <c r="GK1081" s="319" t="s">
        <v>173</v>
      </c>
      <c r="GL1081" s="319" t="s">
        <v>173</v>
      </c>
      <c r="GM1081" s="319" t="s">
        <v>173</v>
      </c>
      <c r="GN1081" s="319" t="s">
        <v>173</v>
      </c>
      <c r="GO1081" s="319" t="s">
        <v>173</v>
      </c>
      <c r="GP1081" s="319" t="s">
        <v>173</v>
      </c>
      <c r="GQ1081" s="319" t="s">
        <v>173</v>
      </c>
      <c r="GR1081" s="319" t="s">
        <v>173</v>
      </c>
      <c r="GS1081" s="319" t="s">
        <v>173</v>
      </c>
      <c r="GT1081" s="319" t="s">
        <v>173</v>
      </c>
      <c r="GU1081" s="319" t="s">
        <v>173</v>
      </c>
      <c r="GV1081" s="319" t="s">
        <v>173</v>
      </c>
      <c r="GW1081" s="319" t="s">
        <v>173</v>
      </c>
      <c r="GX1081" s="319" t="s">
        <v>173</v>
      </c>
      <c r="GY1081" s="319" t="s">
        <v>173</v>
      </c>
      <c r="GZ1081" s="319" t="s">
        <v>173</v>
      </c>
      <c r="HA1081" s="319" t="s">
        <v>173</v>
      </c>
      <c r="HB1081" s="319" t="s">
        <v>173</v>
      </c>
      <c r="HC1081" s="319" t="s">
        <v>173</v>
      </c>
      <c r="HD1081" s="319" t="s">
        <v>173</v>
      </c>
      <c r="HE1081" s="319" t="s">
        <v>173</v>
      </c>
      <c r="HF1081" s="319" t="s">
        <v>173</v>
      </c>
      <c r="HG1081" s="319" t="s">
        <v>173</v>
      </c>
      <c r="HH1081" s="319" t="s">
        <v>173</v>
      </c>
      <c r="HI1081" s="319" t="s">
        <v>173</v>
      </c>
      <c r="HJ1081" s="319" t="s">
        <v>173</v>
      </c>
      <c r="HK1081" s="319" t="s">
        <v>173</v>
      </c>
      <c r="HL1081" s="319" t="s">
        <v>173</v>
      </c>
      <c r="HM1081" s="319" t="s">
        <v>173</v>
      </c>
      <c r="HN1081" s="319" t="s">
        <v>173</v>
      </c>
      <c r="HO1081" s="319" t="s">
        <v>173</v>
      </c>
      <c r="HP1081" s="319" t="s">
        <v>173</v>
      </c>
      <c r="HQ1081" s="319" t="s">
        <v>173</v>
      </c>
      <c r="HR1081" s="319" t="s">
        <v>173</v>
      </c>
      <c r="HS1081" s="319" t="s">
        <v>173</v>
      </c>
      <c r="HT1081" s="319" t="s">
        <v>173</v>
      </c>
      <c r="HU1081" s="319" t="s">
        <v>173</v>
      </c>
      <c r="HV1081" s="319" t="s">
        <v>173</v>
      </c>
      <c r="HW1081" s="319" t="s">
        <v>173</v>
      </c>
      <c r="HX1081" s="319" t="s">
        <v>173</v>
      </c>
      <c r="HY1081" s="319" t="s">
        <v>173</v>
      </c>
      <c r="HZ1081" s="319" t="s">
        <v>173</v>
      </c>
      <c r="IA1081" s="319" t="s">
        <v>173</v>
      </c>
      <c r="IB1081" s="319" t="s">
        <v>173</v>
      </c>
      <c r="IC1081" s="319" t="s">
        <v>173</v>
      </c>
      <c r="ID1081" s="319" t="s">
        <v>173</v>
      </c>
      <c r="IE1081" s="319" t="s">
        <v>173</v>
      </c>
      <c r="IF1081" s="319" t="s">
        <v>173</v>
      </c>
      <c r="IG1081" s="319" t="s">
        <v>173</v>
      </c>
      <c r="IH1081" s="319" t="s">
        <v>173</v>
      </c>
      <c r="II1081" s="319" t="s">
        <v>173</v>
      </c>
      <c r="IJ1081" s="319" t="s">
        <v>173</v>
      </c>
      <c r="IK1081" s="319" t="s">
        <v>173</v>
      </c>
      <c r="IL1081" s="319" t="s">
        <v>173</v>
      </c>
      <c r="IM1081" s="319" t="s">
        <v>173</v>
      </c>
      <c r="IN1081" s="319" t="s">
        <v>173</v>
      </c>
      <c r="IO1081" s="319" t="s">
        <v>173</v>
      </c>
      <c r="IP1081" s="319" t="s">
        <v>173</v>
      </c>
      <c r="IQ1081" s="321" t="s">
        <v>173</v>
      </c>
      <c r="IR1081" s="320" t="s">
        <v>173</v>
      </c>
      <c r="IS1081" s="322" t="s">
        <v>173</v>
      </c>
      <c r="IT1081" s="319" t="s">
        <v>173</v>
      </c>
    </row>
    <row r="1082" spans="1:254" s="271" customFormat="1" x14ac:dyDescent="0.25">
      <c r="A1082" s="318" t="str">
        <f>HYPERLINK("http://www.ofsted.gov.uk/inspection-reports/find-inspection-report/provider/ELS/147236 ","Ofsted School Webpage")</f>
        <v>Ofsted School Webpage</v>
      </c>
      <c r="B1082" s="319">
        <v>147236</v>
      </c>
      <c r="C1082" s="319">
        <v>8616018</v>
      </c>
      <c r="D1082" s="319" t="s">
        <v>3659</v>
      </c>
      <c r="E1082" s="319" t="s">
        <v>167</v>
      </c>
      <c r="F1082" s="319" t="s">
        <v>434</v>
      </c>
      <c r="G1082" s="319" t="s">
        <v>71</v>
      </c>
      <c r="H1082" s="319" t="s">
        <v>71</v>
      </c>
      <c r="I1082" s="319" t="s">
        <v>72</v>
      </c>
      <c r="J1082" s="319" t="s">
        <v>424</v>
      </c>
      <c r="K1082" s="319" t="s">
        <v>437</v>
      </c>
      <c r="L1082" s="319" t="s">
        <v>437</v>
      </c>
      <c r="M1082" s="319" t="s">
        <v>580</v>
      </c>
      <c r="N1082" s="319" t="s">
        <v>3417</v>
      </c>
      <c r="O1082" s="319" t="s">
        <v>3660</v>
      </c>
      <c r="P1082" s="319" t="s">
        <v>173</v>
      </c>
      <c r="Q1082" s="319" t="s">
        <v>2766</v>
      </c>
      <c r="R1082" s="320" t="s">
        <v>173</v>
      </c>
      <c r="S1082" s="321" t="s">
        <v>173</v>
      </c>
      <c r="T1082" s="321" t="s">
        <v>173</v>
      </c>
      <c r="U1082" s="321" t="s">
        <v>173</v>
      </c>
      <c r="V1082" s="319" t="s">
        <v>173</v>
      </c>
      <c r="W1082" s="319" t="s">
        <v>173</v>
      </c>
      <c r="X1082" s="319" t="s">
        <v>173</v>
      </c>
      <c r="Y1082" s="319" t="s">
        <v>173</v>
      </c>
      <c r="Z1082" s="319" t="s">
        <v>173</v>
      </c>
      <c r="AA1082" s="319" t="s">
        <v>173</v>
      </c>
      <c r="AB1082" s="319" t="s">
        <v>173</v>
      </c>
      <c r="AC1082" s="319" t="s">
        <v>173</v>
      </c>
      <c r="AD1082" s="319" t="s">
        <v>173</v>
      </c>
      <c r="AE1082" s="319" t="s">
        <v>173</v>
      </c>
      <c r="AF1082" s="319" t="s">
        <v>173</v>
      </c>
      <c r="AG1082" s="319" t="s">
        <v>173</v>
      </c>
      <c r="AH1082" s="319" t="s">
        <v>173</v>
      </c>
      <c r="AI1082" s="319" t="s">
        <v>173</v>
      </c>
      <c r="AJ1082" s="319" t="s">
        <v>173</v>
      </c>
      <c r="AK1082" s="319" t="s">
        <v>173</v>
      </c>
      <c r="AL1082" s="319" t="s">
        <v>173</v>
      </c>
      <c r="AM1082" s="319" t="s">
        <v>173</v>
      </c>
      <c r="AN1082" s="319" t="s">
        <v>173</v>
      </c>
      <c r="AO1082" s="319" t="s">
        <v>173</v>
      </c>
      <c r="AP1082" s="319" t="s">
        <v>173</v>
      </c>
      <c r="AQ1082" s="319" t="s">
        <v>173</v>
      </c>
      <c r="AR1082" s="319" t="s">
        <v>173</v>
      </c>
      <c r="AS1082" s="319" t="s">
        <v>173</v>
      </c>
      <c r="AT1082" s="319" t="s">
        <v>173</v>
      </c>
      <c r="AU1082" s="319" t="s">
        <v>173</v>
      </c>
      <c r="AV1082" s="319" t="s">
        <v>173</v>
      </c>
      <c r="AW1082" s="319" t="s">
        <v>173</v>
      </c>
      <c r="AX1082" s="319" t="s">
        <v>173</v>
      </c>
      <c r="AY1082" s="319" t="s">
        <v>173</v>
      </c>
      <c r="AZ1082" s="319" t="s">
        <v>173</v>
      </c>
      <c r="BA1082" s="319" t="s">
        <v>173</v>
      </c>
      <c r="BB1082" s="319" t="s">
        <v>173</v>
      </c>
      <c r="BC1082" s="319" t="s">
        <v>173</v>
      </c>
      <c r="BD1082" s="319" t="s">
        <v>173</v>
      </c>
      <c r="BE1082" s="319" t="s">
        <v>173</v>
      </c>
      <c r="BF1082" s="319" t="s">
        <v>173</v>
      </c>
      <c r="BG1082" s="319" t="s">
        <v>173</v>
      </c>
      <c r="BH1082" s="319" t="s">
        <v>173</v>
      </c>
      <c r="BI1082" s="319" t="s">
        <v>173</v>
      </c>
      <c r="BJ1082" s="319" t="s">
        <v>173</v>
      </c>
      <c r="BK1082" s="319" t="s">
        <v>173</v>
      </c>
      <c r="BL1082" s="319" t="s">
        <v>173</v>
      </c>
      <c r="BM1082" s="319" t="s">
        <v>173</v>
      </c>
      <c r="BN1082" s="319" t="s">
        <v>173</v>
      </c>
      <c r="BO1082" s="319" t="s">
        <v>173</v>
      </c>
      <c r="BP1082" s="319" t="s">
        <v>173</v>
      </c>
      <c r="BQ1082" s="319" t="s">
        <v>173</v>
      </c>
      <c r="BR1082" s="319" t="s">
        <v>173</v>
      </c>
      <c r="BS1082" s="319" t="s">
        <v>173</v>
      </c>
      <c r="BT1082" s="319" t="s">
        <v>173</v>
      </c>
      <c r="BU1082" s="319" t="s">
        <v>173</v>
      </c>
      <c r="BV1082" s="319" t="s">
        <v>173</v>
      </c>
      <c r="BW1082" s="319" t="s">
        <v>173</v>
      </c>
      <c r="BX1082" s="319" t="s">
        <v>173</v>
      </c>
      <c r="BY1082" s="319" t="s">
        <v>173</v>
      </c>
      <c r="BZ1082" s="319" t="s">
        <v>173</v>
      </c>
      <c r="CA1082" s="319" t="s">
        <v>173</v>
      </c>
      <c r="CB1082" s="319" t="s">
        <v>173</v>
      </c>
      <c r="CC1082" s="319" t="s">
        <v>173</v>
      </c>
      <c r="CD1082" s="319" t="s">
        <v>173</v>
      </c>
      <c r="CE1082" s="319" t="s">
        <v>173</v>
      </c>
      <c r="CF1082" s="319" t="s">
        <v>173</v>
      </c>
      <c r="CG1082" s="319" t="s">
        <v>173</v>
      </c>
      <c r="CH1082" s="319" t="s">
        <v>173</v>
      </c>
      <c r="CI1082" s="319" t="s">
        <v>173</v>
      </c>
      <c r="CJ1082" s="319" t="s">
        <v>173</v>
      </c>
      <c r="CK1082" s="319" t="s">
        <v>173</v>
      </c>
      <c r="CL1082" s="319" t="s">
        <v>173</v>
      </c>
      <c r="CM1082" s="319" t="s">
        <v>173</v>
      </c>
      <c r="CN1082" s="319" t="s">
        <v>173</v>
      </c>
      <c r="CO1082" s="319" t="s">
        <v>173</v>
      </c>
      <c r="CP1082" s="319" t="s">
        <v>173</v>
      </c>
      <c r="CQ1082" s="319" t="s">
        <v>173</v>
      </c>
      <c r="CR1082" s="319" t="s">
        <v>173</v>
      </c>
      <c r="CS1082" s="319" t="s">
        <v>173</v>
      </c>
      <c r="CT1082" s="319" t="s">
        <v>173</v>
      </c>
      <c r="CU1082" s="319" t="s">
        <v>173</v>
      </c>
      <c r="CV1082" s="319" t="s">
        <v>173</v>
      </c>
      <c r="CW1082" s="319" t="s">
        <v>173</v>
      </c>
      <c r="CX1082" s="319" t="s">
        <v>173</v>
      </c>
      <c r="CY1082" s="319" t="s">
        <v>173</v>
      </c>
      <c r="CZ1082" s="319" t="s">
        <v>173</v>
      </c>
      <c r="DA1082" s="319" t="s">
        <v>173</v>
      </c>
      <c r="DB1082" s="319" t="s">
        <v>173</v>
      </c>
      <c r="DC1082" s="319" t="s">
        <v>173</v>
      </c>
      <c r="DD1082" s="319" t="s">
        <v>173</v>
      </c>
      <c r="DE1082" s="319" t="s">
        <v>173</v>
      </c>
      <c r="DF1082" s="319" t="s">
        <v>173</v>
      </c>
      <c r="DG1082" s="319" t="s">
        <v>173</v>
      </c>
      <c r="DH1082" s="319" t="s">
        <v>173</v>
      </c>
      <c r="DI1082" s="319" t="s">
        <v>173</v>
      </c>
      <c r="DJ1082" s="319" t="s">
        <v>173</v>
      </c>
      <c r="DK1082" s="319" t="s">
        <v>173</v>
      </c>
      <c r="DL1082" s="319" t="s">
        <v>173</v>
      </c>
      <c r="DM1082" s="319" t="s">
        <v>173</v>
      </c>
      <c r="DN1082" s="319" t="s">
        <v>173</v>
      </c>
      <c r="DO1082" s="319" t="s">
        <v>173</v>
      </c>
      <c r="DP1082" s="319" t="s">
        <v>173</v>
      </c>
      <c r="DQ1082" s="319" t="s">
        <v>173</v>
      </c>
      <c r="DR1082" s="319" t="s">
        <v>173</v>
      </c>
      <c r="DS1082" s="319" t="s">
        <v>173</v>
      </c>
      <c r="DT1082" s="319" t="s">
        <v>173</v>
      </c>
      <c r="DU1082" s="319" t="s">
        <v>173</v>
      </c>
      <c r="DV1082" s="319" t="s">
        <v>173</v>
      </c>
      <c r="DW1082" s="319" t="s">
        <v>173</v>
      </c>
      <c r="DX1082" s="319" t="s">
        <v>173</v>
      </c>
      <c r="DY1082" s="319" t="s">
        <v>173</v>
      </c>
      <c r="DZ1082" s="319" t="s">
        <v>173</v>
      </c>
      <c r="EA1082" s="319" t="s">
        <v>173</v>
      </c>
      <c r="EB1082" s="319" t="s">
        <v>173</v>
      </c>
      <c r="EC1082" s="319" t="s">
        <v>173</v>
      </c>
      <c r="ED1082" s="319" t="s">
        <v>173</v>
      </c>
      <c r="EE1082" s="319" t="s">
        <v>173</v>
      </c>
      <c r="EF1082" s="319" t="s">
        <v>173</v>
      </c>
      <c r="EG1082" s="319" t="s">
        <v>173</v>
      </c>
      <c r="EH1082" s="319" t="s">
        <v>173</v>
      </c>
      <c r="EI1082" s="319" t="s">
        <v>173</v>
      </c>
      <c r="EJ1082" s="319" t="s">
        <v>173</v>
      </c>
      <c r="EK1082" s="319" t="s">
        <v>173</v>
      </c>
      <c r="EL1082" s="319" t="s">
        <v>173</v>
      </c>
      <c r="EM1082" s="319" t="s">
        <v>173</v>
      </c>
      <c r="EN1082" s="319" t="s">
        <v>173</v>
      </c>
      <c r="EO1082" s="319" t="s">
        <v>173</v>
      </c>
      <c r="EP1082" s="319" t="s">
        <v>173</v>
      </c>
      <c r="EQ1082" s="319" t="s">
        <v>173</v>
      </c>
      <c r="ER1082" s="319" t="s">
        <v>173</v>
      </c>
      <c r="ES1082" s="319" t="s">
        <v>173</v>
      </c>
      <c r="ET1082" s="319" t="s">
        <v>173</v>
      </c>
      <c r="EU1082" s="319" t="s">
        <v>173</v>
      </c>
      <c r="EV1082" s="319" t="s">
        <v>173</v>
      </c>
      <c r="EW1082" s="319" t="s">
        <v>173</v>
      </c>
      <c r="EX1082" s="319" t="s">
        <v>173</v>
      </c>
      <c r="EY1082" s="319" t="s">
        <v>173</v>
      </c>
      <c r="EZ1082" s="319" t="s">
        <v>173</v>
      </c>
      <c r="FA1082" s="319" t="s">
        <v>173</v>
      </c>
      <c r="FB1082" s="319" t="s">
        <v>173</v>
      </c>
      <c r="FC1082" s="319" t="s">
        <v>173</v>
      </c>
      <c r="FD1082" s="319" t="s">
        <v>173</v>
      </c>
      <c r="FE1082" s="319" t="s">
        <v>173</v>
      </c>
      <c r="FF1082" s="319" t="s">
        <v>173</v>
      </c>
      <c r="FG1082" s="319" t="s">
        <v>173</v>
      </c>
      <c r="FH1082" s="319" t="s">
        <v>173</v>
      </c>
      <c r="FI1082" s="319" t="s">
        <v>173</v>
      </c>
      <c r="FJ1082" s="319" t="s">
        <v>173</v>
      </c>
      <c r="FK1082" s="319" t="s">
        <v>173</v>
      </c>
      <c r="FL1082" s="319" t="s">
        <v>173</v>
      </c>
      <c r="FM1082" s="319" t="s">
        <v>173</v>
      </c>
      <c r="FN1082" s="319" t="s">
        <v>173</v>
      </c>
      <c r="FO1082" s="319" t="s">
        <v>173</v>
      </c>
      <c r="FP1082" s="319" t="s">
        <v>173</v>
      </c>
      <c r="FQ1082" s="319" t="s">
        <v>173</v>
      </c>
      <c r="FR1082" s="319" t="s">
        <v>173</v>
      </c>
      <c r="FS1082" s="319" t="s">
        <v>173</v>
      </c>
      <c r="FT1082" s="319" t="s">
        <v>173</v>
      </c>
      <c r="FU1082" s="319" t="s">
        <v>173</v>
      </c>
      <c r="FV1082" s="319" t="s">
        <v>173</v>
      </c>
      <c r="FW1082" s="319" t="s">
        <v>173</v>
      </c>
      <c r="FX1082" s="319" t="s">
        <v>173</v>
      </c>
      <c r="FY1082" s="319" t="s">
        <v>173</v>
      </c>
      <c r="FZ1082" s="319" t="s">
        <v>173</v>
      </c>
      <c r="GA1082" s="319" t="s">
        <v>173</v>
      </c>
      <c r="GB1082" s="319" t="s">
        <v>173</v>
      </c>
      <c r="GC1082" s="319" t="s">
        <v>173</v>
      </c>
      <c r="GD1082" s="319" t="s">
        <v>173</v>
      </c>
      <c r="GE1082" s="319" t="s">
        <v>173</v>
      </c>
      <c r="GF1082" s="319" t="s">
        <v>173</v>
      </c>
      <c r="GG1082" s="319" t="s">
        <v>173</v>
      </c>
      <c r="GH1082" s="319" t="s">
        <v>173</v>
      </c>
      <c r="GI1082" s="319" t="s">
        <v>173</v>
      </c>
      <c r="GJ1082" s="319" t="s">
        <v>173</v>
      </c>
      <c r="GK1082" s="319" t="s">
        <v>173</v>
      </c>
      <c r="GL1082" s="319" t="s">
        <v>173</v>
      </c>
      <c r="GM1082" s="319" t="s">
        <v>173</v>
      </c>
      <c r="GN1082" s="319" t="s">
        <v>173</v>
      </c>
      <c r="GO1082" s="319" t="s">
        <v>173</v>
      </c>
      <c r="GP1082" s="319" t="s">
        <v>173</v>
      </c>
      <c r="GQ1082" s="319" t="s">
        <v>173</v>
      </c>
      <c r="GR1082" s="319" t="s">
        <v>173</v>
      </c>
      <c r="GS1082" s="319" t="s">
        <v>173</v>
      </c>
      <c r="GT1082" s="319" t="s">
        <v>173</v>
      </c>
      <c r="GU1082" s="319" t="s">
        <v>173</v>
      </c>
      <c r="GV1082" s="319" t="s">
        <v>173</v>
      </c>
      <c r="GW1082" s="319" t="s">
        <v>173</v>
      </c>
      <c r="GX1082" s="319" t="s">
        <v>173</v>
      </c>
      <c r="GY1082" s="319" t="s">
        <v>173</v>
      </c>
      <c r="GZ1082" s="319" t="s">
        <v>173</v>
      </c>
      <c r="HA1082" s="319" t="s">
        <v>173</v>
      </c>
      <c r="HB1082" s="319" t="s">
        <v>173</v>
      </c>
      <c r="HC1082" s="319" t="s">
        <v>173</v>
      </c>
      <c r="HD1082" s="319" t="s">
        <v>173</v>
      </c>
      <c r="HE1082" s="319" t="s">
        <v>173</v>
      </c>
      <c r="HF1082" s="319" t="s">
        <v>173</v>
      </c>
      <c r="HG1082" s="319" t="s">
        <v>173</v>
      </c>
      <c r="HH1082" s="319" t="s">
        <v>173</v>
      </c>
      <c r="HI1082" s="319" t="s">
        <v>173</v>
      </c>
      <c r="HJ1082" s="319" t="s">
        <v>173</v>
      </c>
      <c r="HK1082" s="319" t="s">
        <v>173</v>
      </c>
      <c r="HL1082" s="319" t="s">
        <v>173</v>
      </c>
      <c r="HM1082" s="319" t="s">
        <v>173</v>
      </c>
      <c r="HN1082" s="319" t="s">
        <v>173</v>
      </c>
      <c r="HO1082" s="319" t="s">
        <v>173</v>
      </c>
      <c r="HP1082" s="319" t="s">
        <v>173</v>
      </c>
      <c r="HQ1082" s="319" t="s">
        <v>173</v>
      </c>
      <c r="HR1082" s="319" t="s">
        <v>173</v>
      </c>
      <c r="HS1082" s="319" t="s">
        <v>173</v>
      </c>
      <c r="HT1082" s="319" t="s">
        <v>173</v>
      </c>
      <c r="HU1082" s="319" t="s">
        <v>173</v>
      </c>
      <c r="HV1082" s="319" t="s">
        <v>173</v>
      </c>
      <c r="HW1082" s="319" t="s">
        <v>173</v>
      </c>
      <c r="HX1082" s="319" t="s">
        <v>173</v>
      </c>
      <c r="HY1082" s="319" t="s">
        <v>173</v>
      </c>
      <c r="HZ1082" s="319" t="s">
        <v>173</v>
      </c>
      <c r="IA1082" s="319" t="s">
        <v>173</v>
      </c>
      <c r="IB1082" s="319" t="s">
        <v>173</v>
      </c>
      <c r="IC1082" s="319" t="s">
        <v>173</v>
      </c>
      <c r="ID1082" s="319" t="s">
        <v>173</v>
      </c>
      <c r="IE1082" s="319" t="s">
        <v>173</v>
      </c>
      <c r="IF1082" s="319" t="s">
        <v>173</v>
      </c>
      <c r="IG1082" s="319" t="s">
        <v>173</v>
      </c>
      <c r="IH1082" s="319" t="s">
        <v>173</v>
      </c>
      <c r="II1082" s="319" t="s">
        <v>173</v>
      </c>
      <c r="IJ1082" s="319" t="s">
        <v>173</v>
      </c>
      <c r="IK1082" s="319" t="s">
        <v>173</v>
      </c>
      <c r="IL1082" s="319" t="s">
        <v>173</v>
      </c>
      <c r="IM1082" s="319" t="s">
        <v>173</v>
      </c>
      <c r="IN1082" s="319" t="s">
        <v>173</v>
      </c>
      <c r="IO1082" s="319" t="s">
        <v>173</v>
      </c>
      <c r="IP1082" s="319" t="s">
        <v>173</v>
      </c>
      <c r="IQ1082" s="319" t="s">
        <v>173</v>
      </c>
      <c r="IR1082" s="320" t="s">
        <v>173</v>
      </c>
      <c r="IS1082" s="320" t="s">
        <v>173</v>
      </c>
      <c r="IT1082" s="319" t="s">
        <v>173</v>
      </c>
    </row>
    <row r="1083" spans="1:254" s="271" customFormat="1" x14ac:dyDescent="0.25">
      <c r="A1083" s="318" t="str">
        <f>HYPERLINK("http://www.ofsted.gov.uk/inspection-reports/find-inspection-report/provider/ELS/147237 ","Ofsted School Webpage")</f>
        <v>Ofsted School Webpage</v>
      </c>
      <c r="B1083" s="319">
        <v>147237</v>
      </c>
      <c r="C1083" s="319">
        <v>9096016</v>
      </c>
      <c r="D1083" s="319" t="s">
        <v>2586</v>
      </c>
      <c r="E1083" s="319" t="s">
        <v>168</v>
      </c>
      <c r="F1083" s="319" t="s">
        <v>434</v>
      </c>
      <c r="G1083" s="319" t="s">
        <v>81</v>
      </c>
      <c r="H1083" s="319" t="s">
        <v>81</v>
      </c>
      <c r="I1083" s="319" t="s">
        <v>78</v>
      </c>
      <c r="J1083" s="319" t="s">
        <v>424</v>
      </c>
      <c r="K1083" s="319" t="s">
        <v>431</v>
      </c>
      <c r="L1083" s="319" t="s">
        <v>431</v>
      </c>
      <c r="M1083" s="319" t="s">
        <v>585</v>
      </c>
      <c r="N1083" s="319" t="s">
        <v>2915</v>
      </c>
      <c r="O1083" s="319" t="s">
        <v>2587</v>
      </c>
      <c r="P1083" s="319">
        <v>7</v>
      </c>
      <c r="Q1083" s="319" t="s">
        <v>429</v>
      </c>
      <c r="R1083" s="320" t="s">
        <v>173</v>
      </c>
      <c r="S1083" s="321" t="s">
        <v>173</v>
      </c>
      <c r="T1083" s="321" t="s">
        <v>173</v>
      </c>
      <c r="U1083" s="321" t="s">
        <v>173</v>
      </c>
      <c r="V1083" s="319" t="s">
        <v>173</v>
      </c>
      <c r="W1083" s="319" t="s">
        <v>173</v>
      </c>
      <c r="X1083" s="319" t="s">
        <v>173</v>
      </c>
      <c r="Y1083" s="319" t="s">
        <v>173</v>
      </c>
      <c r="Z1083" s="319" t="s">
        <v>173</v>
      </c>
      <c r="AA1083" s="319" t="s">
        <v>173</v>
      </c>
      <c r="AB1083" s="319" t="s">
        <v>173</v>
      </c>
      <c r="AC1083" s="319" t="s">
        <v>173</v>
      </c>
      <c r="AD1083" s="319" t="s">
        <v>173</v>
      </c>
      <c r="AE1083" s="319" t="s">
        <v>173</v>
      </c>
      <c r="AF1083" s="319" t="s">
        <v>173</v>
      </c>
      <c r="AG1083" s="319" t="s">
        <v>173</v>
      </c>
      <c r="AH1083" s="319" t="s">
        <v>173</v>
      </c>
      <c r="AI1083" s="319" t="s">
        <v>173</v>
      </c>
      <c r="AJ1083" s="319" t="s">
        <v>173</v>
      </c>
      <c r="AK1083" s="319" t="s">
        <v>173</v>
      </c>
      <c r="AL1083" s="319" t="s">
        <v>173</v>
      </c>
      <c r="AM1083" s="319" t="s">
        <v>173</v>
      </c>
      <c r="AN1083" s="319" t="s">
        <v>173</v>
      </c>
      <c r="AO1083" s="319" t="s">
        <v>173</v>
      </c>
      <c r="AP1083" s="319" t="s">
        <v>173</v>
      </c>
      <c r="AQ1083" s="319" t="s">
        <v>173</v>
      </c>
      <c r="AR1083" s="319" t="s">
        <v>173</v>
      </c>
      <c r="AS1083" s="319" t="s">
        <v>173</v>
      </c>
      <c r="AT1083" s="319" t="s">
        <v>173</v>
      </c>
      <c r="AU1083" s="319" t="s">
        <v>173</v>
      </c>
      <c r="AV1083" s="319" t="s">
        <v>173</v>
      </c>
      <c r="AW1083" s="319" t="s">
        <v>173</v>
      </c>
      <c r="AX1083" s="319" t="s">
        <v>173</v>
      </c>
      <c r="AY1083" s="319" t="s">
        <v>173</v>
      </c>
      <c r="AZ1083" s="319" t="s">
        <v>173</v>
      </c>
      <c r="BA1083" s="319" t="s">
        <v>173</v>
      </c>
      <c r="BB1083" s="319" t="s">
        <v>173</v>
      </c>
      <c r="BC1083" s="319" t="s">
        <v>173</v>
      </c>
      <c r="BD1083" s="319" t="s">
        <v>173</v>
      </c>
      <c r="BE1083" s="319" t="s">
        <v>173</v>
      </c>
      <c r="BF1083" s="319" t="s">
        <v>173</v>
      </c>
      <c r="BG1083" s="319" t="s">
        <v>173</v>
      </c>
      <c r="BH1083" s="319" t="s">
        <v>173</v>
      </c>
      <c r="BI1083" s="319" t="s">
        <v>173</v>
      </c>
      <c r="BJ1083" s="319" t="s">
        <v>173</v>
      </c>
      <c r="BK1083" s="319" t="s">
        <v>173</v>
      </c>
      <c r="BL1083" s="319" t="s">
        <v>173</v>
      </c>
      <c r="BM1083" s="319" t="s">
        <v>173</v>
      </c>
      <c r="BN1083" s="319" t="s">
        <v>173</v>
      </c>
      <c r="BO1083" s="319" t="s">
        <v>173</v>
      </c>
      <c r="BP1083" s="319" t="s">
        <v>173</v>
      </c>
      <c r="BQ1083" s="319" t="s">
        <v>173</v>
      </c>
      <c r="BR1083" s="319" t="s">
        <v>173</v>
      </c>
      <c r="BS1083" s="319" t="s">
        <v>173</v>
      </c>
      <c r="BT1083" s="319" t="s">
        <v>173</v>
      </c>
      <c r="BU1083" s="319" t="s">
        <v>173</v>
      </c>
      <c r="BV1083" s="319" t="s">
        <v>173</v>
      </c>
      <c r="BW1083" s="319" t="s">
        <v>173</v>
      </c>
      <c r="BX1083" s="319" t="s">
        <v>173</v>
      </c>
      <c r="BY1083" s="319" t="s">
        <v>173</v>
      </c>
      <c r="BZ1083" s="319" t="s">
        <v>173</v>
      </c>
      <c r="CA1083" s="319" t="s">
        <v>173</v>
      </c>
      <c r="CB1083" s="319" t="s">
        <v>173</v>
      </c>
      <c r="CC1083" s="319" t="s">
        <v>173</v>
      </c>
      <c r="CD1083" s="319" t="s">
        <v>173</v>
      </c>
      <c r="CE1083" s="319" t="s">
        <v>173</v>
      </c>
      <c r="CF1083" s="319" t="s">
        <v>173</v>
      </c>
      <c r="CG1083" s="319" t="s">
        <v>173</v>
      </c>
      <c r="CH1083" s="319" t="s">
        <v>173</v>
      </c>
      <c r="CI1083" s="319" t="s">
        <v>173</v>
      </c>
      <c r="CJ1083" s="319" t="s">
        <v>173</v>
      </c>
      <c r="CK1083" s="319" t="s">
        <v>173</v>
      </c>
      <c r="CL1083" s="319" t="s">
        <v>173</v>
      </c>
      <c r="CM1083" s="319" t="s">
        <v>173</v>
      </c>
      <c r="CN1083" s="319" t="s">
        <v>173</v>
      </c>
      <c r="CO1083" s="319" t="s">
        <v>173</v>
      </c>
      <c r="CP1083" s="319" t="s">
        <v>173</v>
      </c>
      <c r="CQ1083" s="319" t="s">
        <v>173</v>
      </c>
      <c r="CR1083" s="319" t="s">
        <v>173</v>
      </c>
      <c r="CS1083" s="319" t="s">
        <v>173</v>
      </c>
      <c r="CT1083" s="319" t="s">
        <v>173</v>
      </c>
      <c r="CU1083" s="319" t="s">
        <v>173</v>
      </c>
      <c r="CV1083" s="319" t="s">
        <v>173</v>
      </c>
      <c r="CW1083" s="319" t="s">
        <v>173</v>
      </c>
      <c r="CX1083" s="319" t="s">
        <v>173</v>
      </c>
      <c r="CY1083" s="319" t="s">
        <v>173</v>
      </c>
      <c r="CZ1083" s="319" t="s">
        <v>173</v>
      </c>
      <c r="DA1083" s="319" t="s">
        <v>173</v>
      </c>
      <c r="DB1083" s="319" t="s">
        <v>173</v>
      </c>
      <c r="DC1083" s="319" t="s">
        <v>173</v>
      </c>
      <c r="DD1083" s="319" t="s">
        <v>173</v>
      </c>
      <c r="DE1083" s="319" t="s">
        <v>173</v>
      </c>
      <c r="DF1083" s="319" t="s">
        <v>173</v>
      </c>
      <c r="DG1083" s="319" t="s">
        <v>173</v>
      </c>
      <c r="DH1083" s="319" t="s">
        <v>173</v>
      </c>
      <c r="DI1083" s="319" t="s">
        <v>173</v>
      </c>
      <c r="DJ1083" s="319" t="s">
        <v>173</v>
      </c>
      <c r="DK1083" s="319" t="s">
        <v>173</v>
      </c>
      <c r="DL1083" s="319" t="s">
        <v>173</v>
      </c>
      <c r="DM1083" s="319" t="s">
        <v>173</v>
      </c>
      <c r="DN1083" s="319" t="s">
        <v>173</v>
      </c>
      <c r="DO1083" s="319" t="s">
        <v>173</v>
      </c>
      <c r="DP1083" s="319" t="s">
        <v>173</v>
      </c>
      <c r="DQ1083" s="319" t="s">
        <v>173</v>
      </c>
      <c r="DR1083" s="319" t="s">
        <v>173</v>
      </c>
      <c r="DS1083" s="319" t="s">
        <v>173</v>
      </c>
      <c r="DT1083" s="319" t="s">
        <v>173</v>
      </c>
      <c r="DU1083" s="319" t="s">
        <v>173</v>
      </c>
      <c r="DV1083" s="319" t="s">
        <v>173</v>
      </c>
      <c r="DW1083" s="319" t="s">
        <v>173</v>
      </c>
      <c r="DX1083" s="319" t="s">
        <v>173</v>
      </c>
      <c r="DY1083" s="319" t="s">
        <v>173</v>
      </c>
      <c r="DZ1083" s="319" t="s">
        <v>173</v>
      </c>
      <c r="EA1083" s="319" t="s">
        <v>173</v>
      </c>
      <c r="EB1083" s="319" t="s">
        <v>173</v>
      </c>
      <c r="EC1083" s="319" t="s">
        <v>173</v>
      </c>
      <c r="ED1083" s="319" t="s">
        <v>173</v>
      </c>
      <c r="EE1083" s="319" t="s">
        <v>173</v>
      </c>
      <c r="EF1083" s="319" t="s">
        <v>173</v>
      </c>
      <c r="EG1083" s="319" t="s">
        <v>173</v>
      </c>
      <c r="EH1083" s="319" t="s">
        <v>173</v>
      </c>
      <c r="EI1083" s="319" t="s">
        <v>173</v>
      </c>
      <c r="EJ1083" s="319" t="s">
        <v>173</v>
      </c>
      <c r="EK1083" s="319" t="s">
        <v>173</v>
      </c>
      <c r="EL1083" s="319" t="s">
        <v>173</v>
      </c>
      <c r="EM1083" s="319" t="s">
        <v>173</v>
      </c>
      <c r="EN1083" s="319" t="s">
        <v>173</v>
      </c>
      <c r="EO1083" s="319" t="s">
        <v>173</v>
      </c>
      <c r="EP1083" s="319" t="s">
        <v>173</v>
      </c>
      <c r="EQ1083" s="319" t="s">
        <v>173</v>
      </c>
      <c r="ER1083" s="319" t="s">
        <v>173</v>
      </c>
      <c r="ES1083" s="319" t="s">
        <v>173</v>
      </c>
      <c r="ET1083" s="319" t="s">
        <v>173</v>
      </c>
      <c r="EU1083" s="319" t="s">
        <v>173</v>
      </c>
      <c r="EV1083" s="319" t="s">
        <v>173</v>
      </c>
      <c r="EW1083" s="319" t="s">
        <v>173</v>
      </c>
      <c r="EX1083" s="319" t="s">
        <v>173</v>
      </c>
      <c r="EY1083" s="319" t="s">
        <v>173</v>
      </c>
      <c r="EZ1083" s="319" t="s">
        <v>173</v>
      </c>
      <c r="FA1083" s="319" t="s">
        <v>173</v>
      </c>
      <c r="FB1083" s="319" t="s">
        <v>173</v>
      </c>
      <c r="FC1083" s="319" t="s">
        <v>173</v>
      </c>
      <c r="FD1083" s="319" t="s">
        <v>173</v>
      </c>
      <c r="FE1083" s="319" t="s">
        <v>173</v>
      </c>
      <c r="FF1083" s="319" t="s">
        <v>173</v>
      </c>
      <c r="FG1083" s="319" t="s">
        <v>173</v>
      </c>
      <c r="FH1083" s="319" t="s">
        <v>173</v>
      </c>
      <c r="FI1083" s="319" t="s">
        <v>173</v>
      </c>
      <c r="FJ1083" s="319" t="s">
        <v>173</v>
      </c>
      <c r="FK1083" s="319" t="s">
        <v>173</v>
      </c>
      <c r="FL1083" s="319" t="s">
        <v>173</v>
      </c>
      <c r="FM1083" s="319" t="s">
        <v>173</v>
      </c>
      <c r="FN1083" s="319" t="s">
        <v>173</v>
      </c>
      <c r="FO1083" s="319" t="s">
        <v>173</v>
      </c>
      <c r="FP1083" s="319" t="s">
        <v>173</v>
      </c>
      <c r="FQ1083" s="319" t="s">
        <v>173</v>
      </c>
      <c r="FR1083" s="319" t="s">
        <v>173</v>
      </c>
      <c r="FS1083" s="319" t="s">
        <v>173</v>
      </c>
      <c r="FT1083" s="319" t="s">
        <v>173</v>
      </c>
      <c r="FU1083" s="319" t="s">
        <v>173</v>
      </c>
      <c r="FV1083" s="319" t="s">
        <v>173</v>
      </c>
      <c r="FW1083" s="319" t="s">
        <v>173</v>
      </c>
      <c r="FX1083" s="319" t="s">
        <v>173</v>
      </c>
      <c r="FY1083" s="319" t="s">
        <v>173</v>
      </c>
      <c r="FZ1083" s="319" t="s">
        <v>173</v>
      </c>
      <c r="GA1083" s="319" t="s">
        <v>173</v>
      </c>
      <c r="GB1083" s="319" t="s">
        <v>173</v>
      </c>
      <c r="GC1083" s="319" t="s">
        <v>173</v>
      </c>
      <c r="GD1083" s="319" t="s">
        <v>173</v>
      </c>
      <c r="GE1083" s="319" t="s">
        <v>173</v>
      </c>
      <c r="GF1083" s="319" t="s">
        <v>173</v>
      </c>
      <c r="GG1083" s="319" t="s">
        <v>173</v>
      </c>
      <c r="GH1083" s="319" t="s">
        <v>173</v>
      </c>
      <c r="GI1083" s="319" t="s">
        <v>173</v>
      </c>
      <c r="GJ1083" s="319" t="s">
        <v>173</v>
      </c>
      <c r="GK1083" s="319" t="s">
        <v>173</v>
      </c>
      <c r="GL1083" s="319" t="s">
        <v>173</v>
      </c>
      <c r="GM1083" s="319" t="s">
        <v>173</v>
      </c>
      <c r="GN1083" s="319" t="s">
        <v>173</v>
      </c>
      <c r="GO1083" s="319" t="s">
        <v>173</v>
      </c>
      <c r="GP1083" s="319" t="s">
        <v>173</v>
      </c>
      <c r="GQ1083" s="319" t="s">
        <v>173</v>
      </c>
      <c r="GR1083" s="319" t="s">
        <v>173</v>
      </c>
      <c r="GS1083" s="319" t="s">
        <v>173</v>
      </c>
      <c r="GT1083" s="319" t="s">
        <v>173</v>
      </c>
      <c r="GU1083" s="319" t="s">
        <v>173</v>
      </c>
      <c r="GV1083" s="319" t="s">
        <v>173</v>
      </c>
      <c r="GW1083" s="319" t="s">
        <v>173</v>
      </c>
      <c r="GX1083" s="319" t="s">
        <v>173</v>
      </c>
      <c r="GY1083" s="319" t="s">
        <v>173</v>
      </c>
      <c r="GZ1083" s="319" t="s">
        <v>173</v>
      </c>
      <c r="HA1083" s="319" t="s">
        <v>173</v>
      </c>
      <c r="HB1083" s="319" t="s">
        <v>173</v>
      </c>
      <c r="HC1083" s="319" t="s">
        <v>173</v>
      </c>
      <c r="HD1083" s="319" t="s">
        <v>173</v>
      </c>
      <c r="HE1083" s="319" t="s">
        <v>173</v>
      </c>
      <c r="HF1083" s="319" t="s">
        <v>173</v>
      </c>
      <c r="HG1083" s="319" t="s">
        <v>173</v>
      </c>
      <c r="HH1083" s="319" t="s">
        <v>173</v>
      </c>
      <c r="HI1083" s="319" t="s">
        <v>173</v>
      </c>
      <c r="HJ1083" s="319" t="s">
        <v>173</v>
      </c>
      <c r="HK1083" s="319" t="s">
        <v>173</v>
      </c>
      <c r="HL1083" s="319" t="s">
        <v>173</v>
      </c>
      <c r="HM1083" s="319" t="s">
        <v>173</v>
      </c>
      <c r="HN1083" s="319" t="s">
        <v>173</v>
      </c>
      <c r="HO1083" s="319" t="s">
        <v>173</v>
      </c>
      <c r="HP1083" s="319" t="s">
        <v>173</v>
      </c>
      <c r="HQ1083" s="319" t="s">
        <v>173</v>
      </c>
      <c r="HR1083" s="319" t="s">
        <v>173</v>
      </c>
      <c r="HS1083" s="319" t="s">
        <v>173</v>
      </c>
      <c r="HT1083" s="319" t="s">
        <v>173</v>
      </c>
      <c r="HU1083" s="319" t="s">
        <v>173</v>
      </c>
      <c r="HV1083" s="319" t="s">
        <v>173</v>
      </c>
      <c r="HW1083" s="319" t="s">
        <v>173</v>
      </c>
      <c r="HX1083" s="319" t="s">
        <v>173</v>
      </c>
      <c r="HY1083" s="319" t="s">
        <v>173</v>
      </c>
      <c r="HZ1083" s="319" t="s">
        <v>173</v>
      </c>
      <c r="IA1083" s="319" t="s">
        <v>173</v>
      </c>
      <c r="IB1083" s="319" t="s">
        <v>173</v>
      </c>
      <c r="IC1083" s="319" t="s">
        <v>173</v>
      </c>
      <c r="ID1083" s="319" t="s">
        <v>173</v>
      </c>
      <c r="IE1083" s="319" t="s">
        <v>173</v>
      </c>
      <c r="IF1083" s="319" t="s">
        <v>173</v>
      </c>
      <c r="IG1083" s="319" t="s">
        <v>173</v>
      </c>
      <c r="IH1083" s="319" t="s">
        <v>173</v>
      </c>
      <c r="II1083" s="319" t="s">
        <v>173</v>
      </c>
      <c r="IJ1083" s="319" t="s">
        <v>173</v>
      </c>
      <c r="IK1083" s="319" t="s">
        <v>173</v>
      </c>
      <c r="IL1083" s="319" t="s">
        <v>173</v>
      </c>
      <c r="IM1083" s="319" t="s">
        <v>173</v>
      </c>
      <c r="IN1083" s="319" t="s">
        <v>173</v>
      </c>
      <c r="IO1083" s="319" t="s">
        <v>173</v>
      </c>
      <c r="IP1083" s="319" t="s">
        <v>173</v>
      </c>
      <c r="IQ1083" s="321" t="s">
        <v>173</v>
      </c>
      <c r="IR1083" s="320" t="s">
        <v>173</v>
      </c>
      <c r="IS1083" s="322" t="s">
        <v>173</v>
      </c>
      <c r="IT1083" s="319" t="s">
        <v>173</v>
      </c>
    </row>
    <row r="1084" spans="1:254" s="271" customFormat="1" x14ac:dyDescent="0.25">
      <c r="A1084" s="318" t="str">
        <f>HYPERLINK("http://www.ofsted.gov.uk/inspection-reports/find-inspection-report/provider/ELS/147272 ","Ofsted School Webpage")</f>
        <v>Ofsted School Webpage</v>
      </c>
      <c r="B1084" s="319">
        <v>147272</v>
      </c>
      <c r="C1084" s="319">
        <v>3556013</v>
      </c>
      <c r="D1084" s="319" t="s">
        <v>3661</v>
      </c>
      <c r="E1084" s="319" t="s">
        <v>167</v>
      </c>
      <c r="F1084" s="319" t="s">
        <v>434</v>
      </c>
      <c r="G1084" s="319" t="s">
        <v>69</v>
      </c>
      <c r="H1084" s="319" t="s">
        <v>69</v>
      </c>
      <c r="I1084" s="319" t="s">
        <v>69</v>
      </c>
      <c r="J1084" s="319" t="s">
        <v>424</v>
      </c>
      <c r="K1084" s="319" t="s">
        <v>431</v>
      </c>
      <c r="L1084" s="319" t="s">
        <v>431</v>
      </c>
      <c r="M1084" s="319" t="s">
        <v>533</v>
      </c>
      <c r="N1084" s="319" t="s">
        <v>2874</v>
      </c>
      <c r="O1084" s="319" t="s">
        <v>3662</v>
      </c>
      <c r="P1084" s="319" t="s">
        <v>173</v>
      </c>
      <c r="Q1084" s="319" t="s">
        <v>2766</v>
      </c>
      <c r="R1084" s="320" t="s">
        <v>173</v>
      </c>
      <c r="S1084" s="321" t="s">
        <v>173</v>
      </c>
      <c r="T1084" s="321" t="s">
        <v>173</v>
      </c>
      <c r="U1084" s="321" t="s">
        <v>173</v>
      </c>
      <c r="V1084" s="319" t="s">
        <v>173</v>
      </c>
      <c r="W1084" s="319" t="s">
        <v>173</v>
      </c>
      <c r="X1084" s="319" t="s">
        <v>173</v>
      </c>
      <c r="Y1084" s="319" t="s">
        <v>173</v>
      </c>
      <c r="Z1084" s="319" t="s">
        <v>173</v>
      </c>
      <c r="AA1084" s="319" t="s">
        <v>173</v>
      </c>
      <c r="AB1084" s="319" t="s">
        <v>173</v>
      </c>
      <c r="AC1084" s="319" t="s">
        <v>173</v>
      </c>
      <c r="AD1084" s="319" t="s">
        <v>173</v>
      </c>
      <c r="AE1084" s="319" t="s">
        <v>173</v>
      </c>
      <c r="AF1084" s="319" t="s">
        <v>173</v>
      </c>
      <c r="AG1084" s="319" t="s">
        <v>173</v>
      </c>
      <c r="AH1084" s="319" t="s">
        <v>173</v>
      </c>
      <c r="AI1084" s="319" t="s">
        <v>173</v>
      </c>
      <c r="AJ1084" s="319" t="s">
        <v>173</v>
      </c>
      <c r="AK1084" s="319" t="s">
        <v>173</v>
      </c>
      <c r="AL1084" s="319" t="s">
        <v>173</v>
      </c>
      <c r="AM1084" s="319" t="s">
        <v>173</v>
      </c>
      <c r="AN1084" s="319" t="s">
        <v>173</v>
      </c>
      <c r="AO1084" s="319" t="s">
        <v>173</v>
      </c>
      <c r="AP1084" s="319" t="s">
        <v>173</v>
      </c>
      <c r="AQ1084" s="319" t="s">
        <v>173</v>
      </c>
      <c r="AR1084" s="319" t="s">
        <v>173</v>
      </c>
      <c r="AS1084" s="319" t="s">
        <v>173</v>
      </c>
      <c r="AT1084" s="319" t="s">
        <v>173</v>
      </c>
      <c r="AU1084" s="319" t="s">
        <v>173</v>
      </c>
      <c r="AV1084" s="319" t="s">
        <v>173</v>
      </c>
      <c r="AW1084" s="319" t="s">
        <v>173</v>
      </c>
      <c r="AX1084" s="319" t="s">
        <v>173</v>
      </c>
      <c r="AY1084" s="319" t="s">
        <v>173</v>
      </c>
      <c r="AZ1084" s="319" t="s">
        <v>173</v>
      </c>
      <c r="BA1084" s="319" t="s">
        <v>173</v>
      </c>
      <c r="BB1084" s="319" t="s">
        <v>173</v>
      </c>
      <c r="BC1084" s="319" t="s">
        <v>173</v>
      </c>
      <c r="BD1084" s="319" t="s">
        <v>173</v>
      </c>
      <c r="BE1084" s="319" t="s">
        <v>173</v>
      </c>
      <c r="BF1084" s="319" t="s">
        <v>173</v>
      </c>
      <c r="BG1084" s="319" t="s">
        <v>173</v>
      </c>
      <c r="BH1084" s="319" t="s">
        <v>173</v>
      </c>
      <c r="BI1084" s="319" t="s">
        <v>173</v>
      </c>
      <c r="BJ1084" s="319" t="s">
        <v>173</v>
      </c>
      <c r="BK1084" s="319" t="s">
        <v>173</v>
      </c>
      <c r="BL1084" s="319" t="s">
        <v>173</v>
      </c>
      <c r="BM1084" s="319" t="s">
        <v>173</v>
      </c>
      <c r="BN1084" s="319" t="s">
        <v>173</v>
      </c>
      <c r="BO1084" s="319" t="s">
        <v>173</v>
      </c>
      <c r="BP1084" s="319" t="s">
        <v>173</v>
      </c>
      <c r="BQ1084" s="319" t="s">
        <v>173</v>
      </c>
      <c r="BR1084" s="319" t="s">
        <v>173</v>
      </c>
      <c r="BS1084" s="319" t="s">
        <v>173</v>
      </c>
      <c r="BT1084" s="319" t="s">
        <v>173</v>
      </c>
      <c r="BU1084" s="319" t="s">
        <v>173</v>
      </c>
      <c r="BV1084" s="319" t="s">
        <v>173</v>
      </c>
      <c r="BW1084" s="319" t="s">
        <v>173</v>
      </c>
      <c r="BX1084" s="319" t="s">
        <v>173</v>
      </c>
      <c r="BY1084" s="319" t="s">
        <v>173</v>
      </c>
      <c r="BZ1084" s="319" t="s">
        <v>173</v>
      </c>
      <c r="CA1084" s="319" t="s">
        <v>173</v>
      </c>
      <c r="CB1084" s="319" t="s">
        <v>173</v>
      </c>
      <c r="CC1084" s="319" t="s">
        <v>173</v>
      </c>
      <c r="CD1084" s="319" t="s">
        <v>173</v>
      </c>
      <c r="CE1084" s="319" t="s">
        <v>173</v>
      </c>
      <c r="CF1084" s="319" t="s">
        <v>173</v>
      </c>
      <c r="CG1084" s="319" t="s">
        <v>173</v>
      </c>
      <c r="CH1084" s="319" t="s">
        <v>173</v>
      </c>
      <c r="CI1084" s="319" t="s">
        <v>173</v>
      </c>
      <c r="CJ1084" s="319" t="s">
        <v>173</v>
      </c>
      <c r="CK1084" s="319" t="s">
        <v>173</v>
      </c>
      <c r="CL1084" s="319" t="s">
        <v>173</v>
      </c>
      <c r="CM1084" s="319" t="s">
        <v>173</v>
      </c>
      <c r="CN1084" s="319" t="s">
        <v>173</v>
      </c>
      <c r="CO1084" s="319" t="s">
        <v>173</v>
      </c>
      <c r="CP1084" s="319" t="s">
        <v>173</v>
      </c>
      <c r="CQ1084" s="319" t="s">
        <v>173</v>
      </c>
      <c r="CR1084" s="319" t="s">
        <v>173</v>
      </c>
      <c r="CS1084" s="319" t="s">
        <v>173</v>
      </c>
      <c r="CT1084" s="319" t="s">
        <v>173</v>
      </c>
      <c r="CU1084" s="319" t="s">
        <v>173</v>
      </c>
      <c r="CV1084" s="319" t="s">
        <v>173</v>
      </c>
      <c r="CW1084" s="319" t="s">
        <v>173</v>
      </c>
      <c r="CX1084" s="319" t="s">
        <v>173</v>
      </c>
      <c r="CY1084" s="319" t="s">
        <v>173</v>
      </c>
      <c r="CZ1084" s="319" t="s">
        <v>173</v>
      </c>
      <c r="DA1084" s="319" t="s">
        <v>173</v>
      </c>
      <c r="DB1084" s="319" t="s">
        <v>173</v>
      </c>
      <c r="DC1084" s="319" t="s">
        <v>173</v>
      </c>
      <c r="DD1084" s="319" t="s">
        <v>173</v>
      </c>
      <c r="DE1084" s="319" t="s">
        <v>173</v>
      </c>
      <c r="DF1084" s="319" t="s">
        <v>173</v>
      </c>
      <c r="DG1084" s="319" t="s">
        <v>173</v>
      </c>
      <c r="DH1084" s="319" t="s">
        <v>173</v>
      </c>
      <c r="DI1084" s="319" t="s">
        <v>173</v>
      </c>
      <c r="DJ1084" s="319" t="s">
        <v>173</v>
      </c>
      <c r="DK1084" s="319" t="s">
        <v>173</v>
      </c>
      <c r="DL1084" s="319" t="s">
        <v>173</v>
      </c>
      <c r="DM1084" s="319" t="s">
        <v>173</v>
      </c>
      <c r="DN1084" s="319" t="s">
        <v>173</v>
      </c>
      <c r="DO1084" s="319" t="s">
        <v>173</v>
      </c>
      <c r="DP1084" s="319" t="s">
        <v>173</v>
      </c>
      <c r="DQ1084" s="319" t="s">
        <v>173</v>
      </c>
      <c r="DR1084" s="319" t="s">
        <v>173</v>
      </c>
      <c r="DS1084" s="319" t="s">
        <v>173</v>
      </c>
      <c r="DT1084" s="319" t="s">
        <v>173</v>
      </c>
      <c r="DU1084" s="319" t="s">
        <v>173</v>
      </c>
      <c r="DV1084" s="319" t="s">
        <v>173</v>
      </c>
      <c r="DW1084" s="319" t="s">
        <v>173</v>
      </c>
      <c r="DX1084" s="319" t="s">
        <v>173</v>
      </c>
      <c r="DY1084" s="319" t="s">
        <v>173</v>
      </c>
      <c r="DZ1084" s="319" t="s">
        <v>173</v>
      </c>
      <c r="EA1084" s="319" t="s">
        <v>173</v>
      </c>
      <c r="EB1084" s="319" t="s">
        <v>173</v>
      </c>
      <c r="EC1084" s="319" t="s">
        <v>173</v>
      </c>
      <c r="ED1084" s="319" t="s">
        <v>173</v>
      </c>
      <c r="EE1084" s="319" t="s">
        <v>173</v>
      </c>
      <c r="EF1084" s="319" t="s">
        <v>173</v>
      </c>
      <c r="EG1084" s="319" t="s">
        <v>173</v>
      </c>
      <c r="EH1084" s="319" t="s">
        <v>173</v>
      </c>
      <c r="EI1084" s="319" t="s">
        <v>173</v>
      </c>
      <c r="EJ1084" s="319" t="s">
        <v>173</v>
      </c>
      <c r="EK1084" s="319" t="s">
        <v>173</v>
      </c>
      <c r="EL1084" s="319" t="s">
        <v>173</v>
      </c>
      <c r="EM1084" s="319" t="s">
        <v>173</v>
      </c>
      <c r="EN1084" s="319" t="s">
        <v>173</v>
      </c>
      <c r="EO1084" s="319" t="s">
        <v>173</v>
      </c>
      <c r="EP1084" s="319" t="s">
        <v>173</v>
      </c>
      <c r="EQ1084" s="319" t="s">
        <v>173</v>
      </c>
      <c r="ER1084" s="319" t="s">
        <v>173</v>
      </c>
      <c r="ES1084" s="319" t="s">
        <v>173</v>
      </c>
      <c r="ET1084" s="319" t="s">
        <v>173</v>
      </c>
      <c r="EU1084" s="319" t="s">
        <v>173</v>
      </c>
      <c r="EV1084" s="319" t="s">
        <v>173</v>
      </c>
      <c r="EW1084" s="319" t="s">
        <v>173</v>
      </c>
      <c r="EX1084" s="319" t="s">
        <v>173</v>
      </c>
      <c r="EY1084" s="319" t="s">
        <v>173</v>
      </c>
      <c r="EZ1084" s="319" t="s">
        <v>173</v>
      </c>
      <c r="FA1084" s="319" t="s">
        <v>173</v>
      </c>
      <c r="FB1084" s="319" t="s">
        <v>173</v>
      </c>
      <c r="FC1084" s="319" t="s">
        <v>173</v>
      </c>
      <c r="FD1084" s="319" t="s">
        <v>173</v>
      </c>
      <c r="FE1084" s="319" t="s">
        <v>173</v>
      </c>
      <c r="FF1084" s="319" t="s">
        <v>173</v>
      </c>
      <c r="FG1084" s="319" t="s">
        <v>173</v>
      </c>
      <c r="FH1084" s="319" t="s">
        <v>173</v>
      </c>
      <c r="FI1084" s="319" t="s">
        <v>173</v>
      </c>
      <c r="FJ1084" s="319" t="s">
        <v>173</v>
      </c>
      <c r="FK1084" s="319" t="s">
        <v>173</v>
      </c>
      <c r="FL1084" s="319" t="s">
        <v>173</v>
      </c>
      <c r="FM1084" s="319" t="s">
        <v>173</v>
      </c>
      <c r="FN1084" s="319" t="s">
        <v>173</v>
      </c>
      <c r="FO1084" s="319" t="s">
        <v>173</v>
      </c>
      <c r="FP1084" s="319" t="s">
        <v>173</v>
      </c>
      <c r="FQ1084" s="319" t="s">
        <v>173</v>
      </c>
      <c r="FR1084" s="319" t="s">
        <v>173</v>
      </c>
      <c r="FS1084" s="319" t="s">
        <v>173</v>
      </c>
      <c r="FT1084" s="319" t="s">
        <v>173</v>
      </c>
      <c r="FU1084" s="319" t="s">
        <v>173</v>
      </c>
      <c r="FV1084" s="319" t="s">
        <v>173</v>
      </c>
      <c r="FW1084" s="319" t="s">
        <v>173</v>
      </c>
      <c r="FX1084" s="319" t="s">
        <v>173</v>
      </c>
      <c r="FY1084" s="319" t="s">
        <v>173</v>
      </c>
      <c r="FZ1084" s="319" t="s">
        <v>173</v>
      </c>
      <c r="GA1084" s="319" t="s">
        <v>173</v>
      </c>
      <c r="GB1084" s="319" t="s">
        <v>173</v>
      </c>
      <c r="GC1084" s="319" t="s">
        <v>173</v>
      </c>
      <c r="GD1084" s="319" t="s">
        <v>173</v>
      </c>
      <c r="GE1084" s="319" t="s">
        <v>173</v>
      </c>
      <c r="GF1084" s="319" t="s">
        <v>173</v>
      </c>
      <c r="GG1084" s="319" t="s">
        <v>173</v>
      </c>
      <c r="GH1084" s="319" t="s">
        <v>173</v>
      </c>
      <c r="GI1084" s="319" t="s">
        <v>173</v>
      </c>
      <c r="GJ1084" s="319" t="s">
        <v>173</v>
      </c>
      <c r="GK1084" s="319" t="s">
        <v>173</v>
      </c>
      <c r="GL1084" s="319" t="s">
        <v>173</v>
      </c>
      <c r="GM1084" s="319" t="s">
        <v>173</v>
      </c>
      <c r="GN1084" s="319" t="s">
        <v>173</v>
      </c>
      <c r="GO1084" s="319" t="s">
        <v>173</v>
      </c>
      <c r="GP1084" s="319" t="s">
        <v>173</v>
      </c>
      <c r="GQ1084" s="319" t="s">
        <v>173</v>
      </c>
      <c r="GR1084" s="319" t="s">
        <v>173</v>
      </c>
      <c r="GS1084" s="319" t="s">
        <v>173</v>
      </c>
      <c r="GT1084" s="319" t="s">
        <v>173</v>
      </c>
      <c r="GU1084" s="319" t="s">
        <v>173</v>
      </c>
      <c r="GV1084" s="319" t="s">
        <v>173</v>
      </c>
      <c r="GW1084" s="319" t="s">
        <v>173</v>
      </c>
      <c r="GX1084" s="319" t="s">
        <v>173</v>
      </c>
      <c r="GY1084" s="319" t="s">
        <v>173</v>
      </c>
      <c r="GZ1084" s="319" t="s">
        <v>173</v>
      </c>
      <c r="HA1084" s="319" t="s">
        <v>173</v>
      </c>
      <c r="HB1084" s="319" t="s">
        <v>173</v>
      </c>
      <c r="HC1084" s="319" t="s">
        <v>173</v>
      </c>
      <c r="HD1084" s="319" t="s">
        <v>173</v>
      </c>
      <c r="HE1084" s="319" t="s">
        <v>173</v>
      </c>
      <c r="HF1084" s="319" t="s">
        <v>173</v>
      </c>
      <c r="HG1084" s="319" t="s">
        <v>173</v>
      </c>
      <c r="HH1084" s="319" t="s">
        <v>173</v>
      </c>
      <c r="HI1084" s="319" t="s">
        <v>173</v>
      </c>
      <c r="HJ1084" s="319" t="s">
        <v>173</v>
      </c>
      <c r="HK1084" s="319" t="s">
        <v>173</v>
      </c>
      <c r="HL1084" s="319" t="s">
        <v>173</v>
      </c>
      <c r="HM1084" s="319" t="s">
        <v>173</v>
      </c>
      <c r="HN1084" s="319" t="s">
        <v>173</v>
      </c>
      <c r="HO1084" s="319" t="s">
        <v>173</v>
      </c>
      <c r="HP1084" s="319" t="s">
        <v>173</v>
      </c>
      <c r="HQ1084" s="319" t="s">
        <v>173</v>
      </c>
      <c r="HR1084" s="319" t="s">
        <v>173</v>
      </c>
      <c r="HS1084" s="319" t="s">
        <v>173</v>
      </c>
      <c r="HT1084" s="319" t="s">
        <v>173</v>
      </c>
      <c r="HU1084" s="319" t="s">
        <v>173</v>
      </c>
      <c r="HV1084" s="319" t="s">
        <v>173</v>
      </c>
      <c r="HW1084" s="319" t="s">
        <v>173</v>
      </c>
      <c r="HX1084" s="319" t="s">
        <v>173</v>
      </c>
      <c r="HY1084" s="319" t="s">
        <v>173</v>
      </c>
      <c r="HZ1084" s="319" t="s">
        <v>173</v>
      </c>
      <c r="IA1084" s="319" t="s">
        <v>173</v>
      </c>
      <c r="IB1084" s="319" t="s">
        <v>173</v>
      </c>
      <c r="IC1084" s="319" t="s">
        <v>173</v>
      </c>
      <c r="ID1084" s="319" t="s">
        <v>173</v>
      </c>
      <c r="IE1084" s="319" t="s">
        <v>173</v>
      </c>
      <c r="IF1084" s="319" t="s">
        <v>173</v>
      </c>
      <c r="IG1084" s="319" t="s">
        <v>173</v>
      </c>
      <c r="IH1084" s="319" t="s">
        <v>173</v>
      </c>
      <c r="II1084" s="319" t="s">
        <v>173</v>
      </c>
      <c r="IJ1084" s="319" t="s">
        <v>173</v>
      </c>
      <c r="IK1084" s="319" t="s">
        <v>173</v>
      </c>
      <c r="IL1084" s="319" t="s">
        <v>173</v>
      </c>
      <c r="IM1084" s="319" t="s">
        <v>173</v>
      </c>
      <c r="IN1084" s="319" t="s">
        <v>173</v>
      </c>
      <c r="IO1084" s="319" t="s">
        <v>173</v>
      </c>
      <c r="IP1084" s="319" t="s">
        <v>173</v>
      </c>
      <c r="IQ1084" s="319" t="s">
        <v>173</v>
      </c>
      <c r="IR1084" s="320" t="s">
        <v>173</v>
      </c>
      <c r="IS1084" s="320" t="s">
        <v>173</v>
      </c>
      <c r="IT1084" s="319" t="s">
        <v>173</v>
      </c>
    </row>
    <row r="1085" spans="1:254" s="271" customFormat="1" x14ac:dyDescent="0.25">
      <c r="A1085" s="318" t="str">
        <f>HYPERLINK("http://www.ofsted.gov.uk/inspection-reports/find-inspection-report/provider/ELS/147293 ","Ofsted School Webpage")</f>
        <v>Ofsted School Webpage</v>
      </c>
      <c r="B1085" s="319">
        <v>147293</v>
      </c>
      <c r="C1085" s="319">
        <v>8716005</v>
      </c>
      <c r="D1085" s="319" t="s">
        <v>3663</v>
      </c>
      <c r="E1085" s="319" t="s">
        <v>168</v>
      </c>
      <c r="F1085" s="319" t="s">
        <v>434</v>
      </c>
      <c r="G1085" s="319" t="s">
        <v>71</v>
      </c>
      <c r="H1085" s="319" t="s">
        <v>71</v>
      </c>
      <c r="I1085" s="319" t="s">
        <v>72</v>
      </c>
      <c r="J1085" s="319" t="s">
        <v>424</v>
      </c>
      <c r="K1085" s="319" t="s">
        <v>514</v>
      </c>
      <c r="L1085" s="319" t="s">
        <v>514</v>
      </c>
      <c r="M1085" s="319" t="s">
        <v>626</v>
      </c>
      <c r="N1085" s="319" t="s">
        <v>626</v>
      </c>
      <c r="O1085" s="319" t="s">
        <v>3664</v>
      </c>
      <c r="P1085" s="319" t="s">
        <v>173</v>
      </c>
      <c r="Q1085" s="319" t="s">
        <v>429</v>
      </c>
      <c r="R1085" s="320" t="s">
        <v>173</v>
      </c>
      <c r="S1085" s="321" t="s">
        <v>173</v>
      </c>
      <c r="T1085" s="321" t="s">
        <v>173</v>
      </c>
      <c r="U1085" s="321" t="s">
        <v>173</v>
      </c>
      <c r="V1085" s="319" t="s">
        <v>173</v>
      </c>
      <c r="W1085" s="319" t="s">
        <v>173</v>
      </c>
      <c r="X1085" s="319" t="s">
        <v>173</v>
      </c>
      <c r="Y1085" s="319" t="s">
        <v>173</v>
      </c>
      <c r="Z1085" s="319" t="s">
        <v>173</v>
      </c>
      <c r="AA1085" s="319" t="s">
        <v>173</v>
      </c>
      <c r="AB1085" s="319" t="s">
        <v>173</v>
      </c>
      <c r="AC1085" s="319" t="s">
        <v>173</v>
      </c>
      <c r="AD1085" s="319" t="s">
        <v>173</v>
      </c>
      <c r="AE1085" s="319" t="s">
        <v>173</v>
      </c>
      <c r="AF1085" s="319" t="s">
        <v>173</v>
      </c>
      <c r="AG1085" s="319" t="s">
        <v>173</v>
      </c>
      <c r="AH1085" s="319" t="s">
        <v>173</v>
      </c>
      <c r="AI1085" s="319" t="s">
        <v>173</v>
      </c>
      <c r="AJ1085" s="319" t="s">
        <v>173</v>
      </c>
      <c r="AK1085" s="319" t="s">
        <v>173</v>
      </c>
      <c r="AL1085" s="319" t="s">
        <v>173</v>
      </c>
      <c r="AM1085" s="319" t="s">
        <v>173</v>
      </c>
      <c r="AN1085" s="319" t="s">
        <v>173</v>
      </c>
      <c r="AO1085" s="319" t="s">
        <v>173</v>
      </c>
      <c r="AP1085" s="319" t="s">
        <v>173</v>
      </c>
      <c r="AQ1085" s="319" t="s">
        <v>173</v>
      </c>
      <c r="AR1085" s="319" t="s">
        <v>173</v>
      </c>
      <c r="AS1085" s="319" t="s">
        <v>173</v>
      </c>
      <c r="AT1085" s="319" t="s">
        <v>173</v>
      </c>
      <c r="AU1085" s="319" t="s">
        <v>173</v>
      </c>
      <c r="AV1085" s="319" t="s">
        <v>173</v>
      </c>
      <c r="AW1085" s="319" t="s">
        <v>173</v>
      </c>
      <c r="AX1085" s="319" t="s">
        <v>173</v>
      </c>
      <c r="AY1085" s="319" t="s">
        <v>173</v>
      </c>
      <c r="AZ1085" s="319" t="s">
        <v>173</v>
      </c>
      <c r="BA1085" s="319" t="s">
        <v>173</v>
      </c>
      <c r="BB1085" s="319" t="s">
        <v>173</v>
      </c>
      <c r="BC1085" s="319" t="s">
        <v>173</v>
      </c>
      <c r="BD1085" s="319" t="s">
        <v>173</v>
      </c>
      <c r="BE1085" s="319" t="s">
        <v>173</v>
      </c>
      <c r="BF1085" s="319" t="s">
        <v>173</v>
      </c>
      <c r="BG1085" s="319" t="s">
        <v>173</v>
      </c>
      <c r="BH1085" s="319" t="s">
        <v>173</v>
      </c>
      <c r="BI1085" s="319" t="s">
        <v>173</v>
      </c>
      <c r="BJ1085" s="319" t="s">
        <v>173</v>
      </c>
      <c r="BK1085" s="319" t="s">
        <v>173</v>
      </c>
      <c r="BL1085" s="319" t="s">
        <v>173</v>
      </c>
      <c r="BM1085" s="319" t="s">
        <v>173</v>
      </c>
      <c r="BN1085" s="319" t="s">
        <v>173</v>
      </c>
      <c r="BO1085" s="319" t="s">
        <v>173</v>
      </c>
      <c r="BP1085" s="319" t="s">
        <v>173</v>
      </c>
      <c r="BQ1085" s="319" t="s">
        <v>173</v>
      </c>
      <c r="BR1085" s="319" t="s">
        <v>173</v>
      </c>
      <c r="BS1085" s="319" t="s">
        <v>173</v>
      </c>
      <c r="BT1085" s="319" t="s">
        <v>173</v>
      </c>
      <c r="BU1085" s="319" t="s">
        <v>173</v>
      </c>
      <c r="BV1085" s="319" t="s">
        <v>173</v>
      </c>
      <c r="BW1085" s="319" t="s">
        <v>173</v>
      </c>
      <c r="BX1085" s="319" t="s">
        <v>173</v>
      </c>
      <c r="BY1085" s="319" t="s">
        <v>173</v>
      </c>
      <c r="BZ1085" s="319" t="s">
        <v>173</v>
      </c>
      <c r="CA1085" s="319" t="s">
        <v>173</v>
      </c>
      <c r="CB1085" s="319" t="s">
        <v>173</v>
      </c>
      <c r="CC1085" s="319" t="s">
        <v>173</v>
      </c>
      <c r="CD1085" s="319" t="s">
        <v>173</v>
      </c>
      <c r="CE1085" s="319" t="s">
        <v>173</v>
      </c>
      <c r="CF1085" s="319" t="s">
        <v>173</v>
      </c>
      <c r="CG1085" s="319" t="s">
        <v>173</v>
      </c>
      <c r="CH1085" s="319" t="s">
        <v>173</v>
      </c>
      <c r="CI1085" s="319" t="s">
        <v>173</v>
      </c>
      <c r="CJ1085" s="319" t="s">
        <v>173</v>
      </c>
      <c r="CK1085" s="319" t="s">
        <v>173</v>
      </c>
      <c r="CL1085" s="319" t="s">
        <v>173</v>
      </c>
      <c r="CM1085" s="319" t="s">
        <v>173</v>
      </c>
      <c r="CN1085" s="319" t="s">
        <v>173</v>
      </c>
      <c r="CO1085" s="319" t="s">
        <v>173</v>
      </c>
      <c r="CP1085" s="319" t="s">
        <v>173</v>
      </c>
      <c r="CQ1085" s="319" t="s">
        <v>173</v>
      </c>
      <c r="CR1085" s="319" t="s">
        <v>173</v>
      </c>
      <c r="CS1085" s="319" t="s">
        <v>173</v>
      </c>
      <c r="CT1085" s="319" t="s">
        <v>173</v>
      </c>
      <c r="CU1085" s="319" t="s">
        <v>173</v>
      </c>
      <c r="CV1085" s="319" t="s">
        <v>173</v>
      </c>
      <c r="CW1085" s="319" t="s">
        <v>173</v>
      </c>
      <c r="CX1085" s="319" t="s">
        <v>173</v>
      </c>
      <c r="CY1085" s="319" t="s">
        <v>173</v>
      </c>
      <c r="CZ1085" s="319" t="s">
        <v>173</v>
      </c>
      <c r="DA1085" s="319" t="s">
        <v>173</v>
      </c>
      <c r="DB1085" s="319" t="s">
        <v>173</v>
      </c>
      <c r="DC1085" s="319" t="s">
        <v>173</v>
      </c>
      <c r="DD1085" s="319" t="s">
        <v>173</v>
      </c>
      <c r="DE1085" s="319" t="s">
        <v>173</v>
      </c>
      <c r="DF1085" s="319" t="s">
        <v>173</v>
      </c>
      <c r="DG1085" s="319" t="s">
        <v>173</v>
      </c>
      <c r="DH1085" s="319" t="s">
        <v>173</v>
      </c>
      <c r="DI1085" s="319" t="s">
        <v>173</v>
      </c>
      <c r="DJ1085" s="319" t="s">
        <v>173</v>
      </c>
      <c r="DK1085" s="319" t="s">
        <v>173</v>
      </c>
      <c r="DL1085" s="319" t="s">
        <v>173</v>
      </c>
      <c r="DM1085" s="319" t="s">
        <v>173</v>
      </c>
      <c r="DN1085" s="319" t="s">
        <v>173</v>
      </c>
      <c r="DO1085" s="319" t="s">
        <v>173</v>
      </c>
      <c r="DP1085" s="319" t="s">
        <v>173</v>
      </c>
      <c r="DQ1085" s="319" t="s">
        <v>173</v>
      </c>
      <c r="DR1085" s="319" t="s">
        <v>173</v>
      </c>
      <c r="DS1085" s="319" t="s">
        <v>173</v>
      </c>
      <c r="DT1085" s="319" t="s">
        <v>173</v>
      </c>
      <c r="DU1085" s="319" t="s">
        <v>173</v>
      </c>
      <c r="DV1085" s="319" t="s">
        <v>173</v>
      </c>
      <c r="DW1085" s="319" t="s">
        <v>173</v>
      </c>
      <c r="DX1085" s="319" t="s">
        <v>173</v>
      </c>
      <c r="DY1085" s="319" t="s">
        <v>173</v>
      </c>
      <c r="DZ1085" s="319" t="s">
        <v>173</v>
      </c>
      <c r="EA1085" s="319" t="s">
        <v>173</v>
      </c>
      <c r="EB1085" s="319" t="s">
        <v>173</v>
      </c>
      <c r="EC1085" s="319" t="s">
        <v>173</v>
      </c>
      <c r="ED1085" s="319" t="s">
        <v>173</v>
      </c>
      <c r="EE1085" s="319" t="s">
        <v>173</v>
      </c>
      <c r="EF1085" s="319" t="s">
        <v>173</v>
      </c>
      <c r="EG1085" s="319" t="s">
        <v>173</v>
      </c>
      <c r="EH1085" s="319" t="s">
        <v>173</v>
      </c>
      <c r="EI1085" s="319" t="s">
        <v>173</v>
      </c>
      <c r="EJ1085" s="319" t="s">
        <v>173</v>
      </c>
      <c r="EK1085" s="319" t="s">
        <v>173</v>
      </c>
      <c r="EL1085" s="319" t="s">
        <v>173</v>
      </c>
      <c r="EM1085" s="319" t="s">
        <v>173</v>
      </c>
      <c r="EN1085" s="319" t="s">
        <v>173</v>
      </c>
      <c r="EO1085" s="319" t="s">
        <v>173</v>
      </c>
      <c r="EP1085" s="319" t="s">
        <v>173</v>
      </c>
      <c r="EQ1085" s="319" t="s">
        <v>173</v>
      </c>
      <c r="ER1085" s="319" t="s">
        <v>173</v>
      </c>
      <c r="ES1085" s="319" t="s">
        <v>173</v>
      </c>
      <c r="ET1085" s="319" t="s">
        <v>173</v>
      </c>
      <c r="EU1085" s="319" t="s">
        <v>173</v>
      </c>
      <c r="EV1085" s="319" t="s">
        <v>173</v>
      </c>
      <c r="EW1085" s="319" t="s">
        <v>173</v>
      </c>
      <c r="EX1085" s="319" t="s">
        <v>173</v>
      </c>
      <c r="EY1085" s="319" t="s">
        <v>173</v>
      </c>
      <c r="EZ1085" s="319" t="s">
        <v>173</v>
      </c>
      <c r="FA1085" s="319" t="s">
        <v>173</v>
      </c>
      <c r="FB1085" s="319" t="s">
        <v>173</v>
      </c>
      <c r="FC1085" s="319" t="s">
        <v>173</v>
      </c>
      <c r="FD1085" s="319" t="s">
        <v>173</v>
      </c>
      <c r="FE1085" s="319" t="s">
        <v>173</v>
      </c>
      <c r="FF1085" s="319" t="s">
        <v>173</v>
      </c>
      <c r="FG1085" s="319" t="s">
        <v>173</v>
      </c>
      <c r="FH1085" s="319" t="s">
        <v>173</v>
      </c>
      <c r="FI1085" s="319" t="s">
        <v>173</v>
      </c>
      <c r="FJ1085" s="319" t="s">
        <v>173</v>
      </c>
      <c r="FK1085" s="319" t="s">
        <v>173</v>
      </c>
      <c r="FL1085" s="319" t="s">
        <v>173</v>
      </c>
      <c r="FM1085" s="319" t="s">
        <v>173</v>
      </c>
      <c r="FN1085" s="319" t="s">
        <v>173</v>
      </c>
      <c r="FO1085" s="319" t="s">
        <v>173</v>
      </c>
      <c r="FP1085" s="319" t="s">
        <v>173</v>
      </c>
      <c r="FQ1085" s="319" t="s">
        <v>173</v>
      </c>
      <c r="FR1085" s="319" t="s">
        <v>173</v>
      </c>
      <c r="FS1085" s="319" t="s">
        <v>173</v>
      </c>
      <c r="FT1085" s="319" t="s">
        <v>173</v>
      </c>
      <c r="FU1085" s="319" t="s">
        <v>173</v>
      </c>
      <c r="FV1085" s="319" t="s">
        <v>173</v>
      </c>
      <c r="FW1085" s="319" t="s">
        <v>173</v>
      </c>
      <c r="FX1085" s="319" t="s">
        <v>173</v>
      </c>
      <c r="FY1085" s="319" t="s">
        <v>173</v>
      </c>
      <c r="FZ1085" s="319" t="s">
        <v>173</v>
      </c>
      <c r="GA1085" s="319" t="s">
        <v>173</v>
      </c>
      <c r="GB1085" s="319" t="s">
        <v>173</v>
      </c>
      <c r="GC1085" s="319" t="s">
        <v>173</v>
      </c>
      <c r="GD1085" s="319" t="s">
        <v>173</v>
      </c>
      <c r="GE1085" s="319" t="s">
        <v>173</v>
      </c>
      <c r="GF1085" s="319" t="s">
        <v>173</v>
      </c>
      <c r="GG1085" s="319" t="s">
        <v>173</v>
      </c>
      <c r="GH1085" s="319" t="s">
        <v>173</v>
      </c>
      <c r="GI1085" s="319" t="s">
        <v>173</v>
      </c>
      <c r="GJ1085" s="319" t="s">
        <v>173</v>
      </c>
      <c r="GK1085" s="319" t="s">
        <v>173</v>
      </c>
      <c r="GL1085" s="319" t="s">
        <v>173</v>
      </c>
      <c r="GM1085" s="319" t="s">
        <v>173</v>
      </c>
      <c r="GN1085" s="319" t="s">
        <v>173</v>
      </c>
      <c r="GO1085" s="319" t="s">
        <v>173</v>
      </c>
      <c r="GP1085" s="319" t="s">
        <v>173</v>
      </c>
      <c r="GQ1085" s="319" t="s">
        <v>173</v>
      </c>
      <c r="GR1085" s="319" t="s">
        <v>173</v>
      </c>
      <c r="GS1085" s="319" t="s">
        <v>173</v>
      </c>
      <c r="GT1085" s="319" t="s">
        <v>173</v>
      </c>
      <c r="GU1085" s="319" t="s">
        <v>173</v>
      </c>
      <c r="GV1085" s="319" t="s">
        <v>173</v>
      </c>
      <c r="GW1085" s="319" t="s">
        <v>173</v>
      </c>
      <c r="GX1085" s="319" t="s">
        <v>173</v>
      </c>
      <c r="GY1085" s="319" t="s">
        <v>173</v>
      </c>
      <c r="GZ1085" s="319" t="s">
        <v>173</v>
      </c>
      <c r="HA1085" s="319" t="s">
        <v>173</v>
      </c>
      <c r="HB1085" s="319" t="s">
        <v>173</v>
      </c>
      <c r="HC1085" s="319" t="s">
        <v>173</v>
      </c>
      <c r="HD1085" s="319" t="s">
        <v>173</v>
      </c>
      <c r="HE1085" s="319" t="s">
        <v>173</v>
      </c>
      <c r="HF1085" s="319" t="s">
        <v>173</v>
      </c>
      <c r="HG1085" s="319" t="s">
        <v>173</v>
      </c>
      <c r="HH1085" s="319" t="s">
        <v>173</v>
      </c>
      <c r="HI1085" s="319" t="s">
        <v>173</v>
      </c>
      <c r="HJ1085" s="319" t="s">
        <v>173</v>
      </c>
      <c r="HK1085" s="319" t="s">
        <v>173</v>
      </c>
      <c r="HL1085" s="319" t="s">
        <v>173</v>
      </c>
      <c r="HM1085" s="319" t="s">
        <v>173</v>
      </c>
      <c r="HN1085" s="319" t="s">
        <v>173</v>
      </c>
      <c r="HO1085" s="319" t="s">
        <v>173</v>
      </c>
      <c r="HP1085" s="319" t="s">
        <v>173</v>
      </c>
      <c r="HQ1085" s="319" t="s">
        <v>173</v>
      </c>
      <c r="HR1085" s="319" t="s">
        <v>173</v>
      </c>
      <c r="HS1085" s="319" t="s">
        <v>173</v>
      </c>
      <c r="HT1085" s="319" t="s">
        <v>173</v>
      </c>
      <c r="HU1085" s="319" t="s">
        <v>173</v>
      </c>
      <c r="HV1085" s="319" t="s">
        <v>173</v>
      </c>
      <c r="HW1085" s="319" t="s">
        <v>173</v>
      </c>
      <c r="HX1085" s="319" t="s">
        <v>173</v>
      </c>
      <c r="HY1085" s="319" t="s">
        <v>173</v>
      </c>
      <c r="HZ1085" s="319" t="s">
        <v>173</v>
      </c>
      <c r="IA1085" s="319" t="s">
        <v>173</v>
      </c>
      <c r="IB1085" s="319" t="s">
        <v>173</v>
      </c>
      <c r="IC1085" s="319" t="s">
        <v>173</v>
      </c>
      <c r="ID1085" s="319" t="s">
        <v>173</v>
      </c>
      <c r="IE1085" s="319" t="s">
        <v>173</v>
      </c>
      <c r="IF1085" s="319" t="s">
        <v>173</v>
      </c>
      <c r="IG1085" s="319" t="s">
        <v>173</v>
      </c>
      <c r="IH1085" s="319" t="s">
        <v>173</v>
      </c>
      <c r="II1085" s="319" t="s">
        <v>173</v>
      </c>
      <c r="IJ1085" s="319" t="s">
        <v>173</v>
      </c>
      <c r="IK1085" s="319" t="s">
        <v>173</v>
      </c>
      <c r="IL1085" s="319" t="s">
        <v>173</v>
      </c>
      <c r="IM1085" s="319" t="s">
        <v>173</v>
      </c>
      <c r="IN1085" s="319" t="s">
        <v>173</v>
      </c>
      <c r="IO1085" s="319" t="s">
        <v>173</v>
      </c>
      <c r="IP1085" s="319" t="s">
        <v>173</v>
      </c>
      <c r="IQ1085" s="321" t="s">
        <v>173</v>
      </c>
      <c r="IR1085" s="320" t="s">
        <v>173</v>
      </c>
      <c r="IS1085" s="322" t="s">
        <v>173</v>
      </c>
      <c r="IT1085" s="319" t="s">
        <v>173</v>
      </c>
    </row>
    <row r="1086" spans="1:254" s="271" customFormat="1" x14ac:dyDescent="0.25">
      <c r="A1086" s="318" t="str">
        <f>HYPERLINK("http://www.ofsted.gov.uk/inspection-reports/find-inspection-report/provider/ELS/147295 ","Ofsted School Webpage")</f>
        <v>Ofsted School Webpage</v>
      </c>
      <c r="B1086" s="319">
        <v>147295</v>
      </c>
      <c r="C1086" s="319">
        <v>3506005</v>
      </c>
      <c r="D1086" s="319" t="s">
        <v>3665</v>
      </c>
      <c r="E1086" s="319" t="s">
        <v>168</v>
      </c>
      <c r="F1086" s="319" t="s">
        <v>434</v>
      </c>
      <c r="G1086" s="319" t="s">
        <v>81</v>
      </c>
      <c r="H1086" s="319" t="s">
        <v>81</v>
      </c>
      <c r="I1086" s="319" t="s">
        <v>78</v>
      </c>
      <c r="J1086" s="319" t="s">
        <v>424</v>
      </c>
      <c r="K1086" s="319" t="s">
        <v>431</v>
      </c>
      <c r="L1086" s="319" t="s">
        <v>431</v>
      </c>
      <c r="M1086" s="319" t="s">
        <v>1031</v>
      </c>
      <c r="N1086" s="319" t="s">
        <v>3666</v>
      </c>
      <c r="O1086" s="319" t="s">
        <v>3667</v>
      </c>
      <c r="P1086" s="319" t="s">
        <v>173</v>
      </c>
      <c r="Q1086" s="319" t="s">
        <v>429</v>
      </c>
      <c r="R1086" s="320" t="s">
        <v>173</v>
      </c>
      <c r="S1086" s="321" t="s">
        <v>173</v>
      </c>
      <c r="T1086" s="321" t="s">
        <v>173</v>
      </c>
      <c r="U1086" s="321" t="s">
        <v>173</v>
      </c>
      <c r="V1086" s="319" t="s">
        <v>173</v>
      </c>
      <c r="W1086" s="319" t="s">
        <v>173</v>
      </c>
      <c r="X1086" s="319" t="s">
        <v>173</v>
      </c>
      <c r="Y1086" s="319" t="s">
        <v>173</v>
      </c>
      <c r="Z1086" s="319" t="s">
        <v>173</v>
      </c>
      <c r="AA1086" s="319" t="s">
        <v>173</v>
      </c>
      <c r="AB1086" s="319" t="s">
        <v>173</v>
      </c>
      <c r="AC1086" s="319" t="s">
        <v>173</v>
      </c>
      <c r="AD1086" s="319" t="s">
        <v>173</v>
      </c>
      <c r="AE1086" s="319" t="s">
        <v>173</v>
      </c>
      <c r="AF1086" s="319" t="s">
        <v>173</v>
      </c>
      <c r="AG1086" s="319" t="s">
        <v>173</v>
      </c>
      <c r="AH1086" s="319" t="s">
        <v>173</v>
      </c>
      <c r="AI1086" s="319" t="s">
        <v>173</v>
      </c>
      <c r="AJ1086" s="319" t="s">
        <v>173</v>
      </c>
      <c r="AK1086" s="319" t="s">
        <v>173</v>
      </c>
      <c r="AL1086" s="319" t="s">
        <v>173</v>
      </c>
      <c r="AM1086" s="319" t="s">
        <v>173</v>
      </c>
      <c r="AN1086" s="319" t="s">
        <v>173</v>
      </c>
      <c r="AO1086" s="319" t="s">
        <v>173</v>
      </c>
      <c r="AP1086" s="319" t="s">
        <v>173</v>
      </c>
      <c r="AQ1086" s="319" t="s">
        <v>173</v>
      </c>
      <c r="AR1086" s="319" t="s">
        <v>173</v>
      </c>
      <c r="AS1086" s="319" t="s">
        <v>173</v>
      </c>
      <c r="AT1086" s="319" t="s">
        <v>173</v>
      </c>
      <c r="AU1086" s="319" t="s">
        <v>173</v>
      </c>
      <c r="AV1086" s="319" t="s">
        <v>173</v>
      </c>
      <c r="AW1086" s="319" t="s">
        <v>173</v>
      </c>
      <c r="AX1086" s="319" t="s">
        <v>173</v>
      </c>
      <c r="AY1086" s="319" t="s">
        <v>173</v>
      </c>
      <c r="AZ1086" s="319" t="s">
        <v>173</v>
      </c>
      <c r="BA1086" s="319" t="s">
        <v>173</v>
      </c>
      <c r="BB1086" s="319" t="s">
        <v>173</v>
      </c>
      <c r="BC1086" s="319" t="s">
        <v>173</v>
      </c>
      <c r="BD1086" s="319" t="s">
        <v>173</v>
      </c>
      <c r="BE1086" s="319" t="s">
        <v>173</v>
      </c>
      <c r="BF1086" s="319" t="s">
        <v>173</v>
      </c>
      <c r="BG1086" s="319" t="s">
        <v>173</v>
      </c>
      <c r="BH1086" s="319" t="s">
        <v>173</v>
      </c>
      <c r="BI1086" s="319" t="s">
        <v>173</v>
      </c>
      <c r="BJ1086" s="319" t="s">
        <v>173</v>
      </c>
      <c r="BK1086" s="319" t="s">
        <v>173</v>
      </c>
      <c r="BL1086" s="319" t="s">
        <v>173</v>
      </c>
      <c r="BM1086" s="319" t="s">
        <v>173</v>
      </c>
      <c r="BN1086" s="319" t="s">
        <v>173</v>
      </c>
      <c r="BO1086" s="319" t="s">
        <v>173</v>
      </c>
      <c r="BP1086" s="319" t="s">
        <v>173</v>
      </c>
      <c r="BQ1086" s="319" t="s">
        <v>173</v>
      </c>
      <c r="BR1086" s="319" t="s">
        <v>173</v>
      </c>
      <c r="BS1086" s="319" t="s">
        <v>173</v>
      </c>
      <c r="BT1086" s="319" t="s">
        <v>173</v>
      </c>
      <c r="BU1086" s="319" t="s">
        <v>173</v>
      </c>
      <c r="BV1086" s="319" t="s">
        <v>173</v>
      </c>
      <c r="BW1086" s="319" t="s">
        <v>173</v>
      </c>
      <c r="BX1086" s="319" t="s">
        <v>173</v>
      </c>
      <c r="BY1086" s="319" t="s">
        <v>173</v>
      </c>
      <c r="BZ1086" s="319" t="s">
        <v>173</v>
      </c>
      <c r="CA1086" s="319" t="s">
        <v>173</v>
      </c>
      <c r="CB1086" s="319" t="s">
        <v>173</v>
      </c>
      <c r="CC1086" s="319" t="s">
        <v>173</v>
      </c>
      <c r="CD1086" s="319" t="s">
        <v>173</v>
      </c>
      <c r="CE1086" s="319" t="s">
        <v>173</v>
      </c>
      <c r="CF1086" s="319" t="s">
        <v>173</v>
      </c>
      <c r="CG1086" s="319" t="s">
        <v>173</v>
      </c>
      <c r="CH1086" s="319" t="s">
        <v>173</v>
      </c>
      <c r="CI1086" s="319" t="s">
        <v>173</v>
      </c>
      <c r="CJ1086" s="319" t="s">
        <v>173</v>
      </c>
      <c r="CK1086" s="319" t="s">
        <v>173</v>
      </c>
      <c r="CL1086" s="319" t="s">
        <v>173</v>
      </c>
      <c r="CM1086" s="319" t="s">
        <v>173</v>
      </c>
      <c r="CN1086" s="319" t="s">
        <v>173</v>
      </c>
      <c r="CO1086" s="319" t="s">
        <v>173</v>
      </c>
      <c r="CP1086" s="319" t="s">
        <v>173</v>
      </c>
      <c r="CQ1086" s="319" t="s">
        <v>173</v>
      </c>
      <c r="CR1086" s="319" t="s">
        <v>173</v>
      </c>
      <c r="CS1086" s="319" t="s">
        <v>173</v>
      </c>
      <c r="CT1086" s="319" t="s">
        <v>173</v>
      </c>
      <c r="CU1086" s="319" t="s">
        <v>173</v>
      </c>
      <c r="CV1086" s="319" t="s">
        <v>173</v>
      </c>
      <c r="CW1086" s="319" t="s">
        <v>173</v>
      </c>
      <c r="CX1086" s="319" t="s">
        <v>173</v>
      </c>
      <c r="CY1086" s="319" t="s">
        <v>173</v>
      </c>
      <c r="CZ1086" s="319" t="s">
        <v>173</v>
      </c>
      <c r="DA1086" s="319" t="s">
        <v>173</v>
      </c>
      <c r="DB1086" s="319" t="s">
        <v>173</v>
      </c>
      <c r="DC1086" s="319" t="s">
        <v>173</v>
      </c>
      <c r="DD1086" s="319" t="s">
        <v>173</v>
      </c>
      <c r="DE1086" s="319" t="s">
        <v>173</v>
      </c>
      <c r="DF1086" s="319" t="s">
        <v>173</v>
      </c>
      <c r="DG1086" s="319" t="s">
        <v>173</v>
      </c>
      <c r="DH1086" s="319" t="s">
        <v>173</v>
      </c>
      <c r="DI1086" s="319" t="s">
        <v>173</v>
      </c>
      <c r="DJ1086" s="319" t="s">
        <v>173</v>
      </c>
      <c r="DK1086" s="319" t="s">
        <v>173</v>
      </c>
      <c r="DL1086" s="319" t="s">
        <v>173</v>
      </c>
      <c r="DM1086" s="319" t="s">
        <v>173</v>
      </c>
      <c r="DN1086" s="319" t="s">
        <v>173</v>
      </c>
      <c r="DO1086" s="319" t="s">
        <v>173</v>
      </c>
      <c r="DP1086" s="319" t="s">
        <v>173</v>
      </c>
      <c r="DQ1086" s="319" t="s">
        <v>173</v>
      </c>
      <c r="DR1086" s="319" t="s">
        <v>173</v>
      </c>
      <c r="DS1086" s="319" t="s">
        <v>173</v>
      </c>
      <c r="DT1086" s="319" t="s">
        <v>173</v>
      </c>
      <c r="DU1086" s="319" t="s">
        <v>173</v>
      </c>
      <c r="DV1086" s="319" t="s">
        <v>173</v>
      </c>
      <c r="DW1086" s="319" t="s">
        <v>173</v>
      </c>
      <c r="DX1086" s="319" t="s">
        <v>173</v>
      </c>
      <c r="DY1086" s="319" t="s">
        <v>173</v>
      </c>
      <c r="DZ1086" s="319" t="s">
        <v>173</v>
      </c>
      <c r="EA1086" s="319" t="s">
        <v>173</v>
      </c>
      <c r="EB1086" s="319" t="s">
        <v>173</v>
      </c>
      <c r="EC1086" s="319" t="s">
        <v>173</v>
      </c>
      <c r="ED1086" s="319" t="s">
        <v>173</v>
      </c>
      <c r="EE1086" s="319" t="s">
        <v>173</v>
      </c>
      <c r="EF1086" s="319" t="s">
        <v>173</v>
      </c>
      <c r="EG1086" s="319" t="s">
        <v>173</v>
      </c>
      <c r="EH1086" s="319" t="s">
        <v>173</v>
      </c>
      <c r="EI1086" s="319" t="s">
        <v>173</v>
      </c>
      <c r="EJ1086" s="319" t="s">
        <v>173</v>
      </c>
      <c r="EK1086" s="319" t="s">
        <v>173</v>
      </c>
      <c r="EL1086" s="319" t="s">
        <v>173</v>
      </c>
      <c r="EM1086" s="319" t="s">
        <v>173</v>
      </c>
      <c r="EN1086" s="319" t="s">
        <v>173</v>
      </c>
      <c r="EO1086" s="319" t="s">
        <v>173</v>
      </c>
      <c r="EP1086" s="319" t="s">
        <v>173</v>
      </c>
      <c r="EQ1086" s="319" t="s">
        <v>173</v>
      </c>
      <c r="ER1086" s="319" t="s">
        <v>173</v>
      </c>
      <c r="ES1086" s="319" t="s">
        <v>173</v>
      </c>
      <c r="ET1086" s="319" t="s">
        <v>173</v>
      </c>
      <c r="EU1086" s="319" t="s">
        <v>173</v>
      </c>
      <c r="EV1086" s="319" t="s">
        <v>173</v>
      </c>
      <c r="EW1086" s="319" t="s">
        <v>173</v>
      </c>
      <c r="EX1086" s="319" t="s">
        <v>173</v>
      </c>
      <c r="EY1086" s="319" t="s">
        <v>173</v>
      </c>
      <c r="EZ1086" s="319" t="s">
        <v>173</v>
      </c>
      <c r="FA1086" s="319" t="s">
        <v>173</v>
      </c>
      <c r="FB1086" s="319" t="s">
        <v>173</v>
      </c>
      <c r="FC1086" s="319" t="s">
        <v>173</v>
      </c>
      <c r="FD1086" s="319" t="s">
        <v>173</v>
      </c>
      <c r="FE1086" s="319" t="s">
        <v>173</v>
      </c>
      <c r="FF1086" s="319" t="s">
        <v>173</v>
      </c>
      <c r="FG1086" s="319" t="s">
        <v>173</v>
      </c>
      <c r="FH1086" s="319" t="s">
        <v>173</v>
      </c>
      <c r="FI1086" s="319" t="s">
        <v>173</v>
      </c>
      <c r="FJ1086" s="319" t="s">
        <v>173</v>
      </c>
      <c r="FK1086" s="319" t="s">
        <v>173</v>
      </c>
      <c r="FL1086" s="319" t="s">
        <v>173</v>
      </c>
      <c r="FM1086" s="319" t="s">
        <v>173</v>
      </c>
      <c r="FN1086" s="319" t="s">
        <v>173</v>
      </c>
      <c r="FO1086" s="319" t="s">
        <v>173</v>
      </c>
      <c r="FP1086" s="319" t="s">
        <v>173</v>
      </c>
      <c r="FQ1086" s="319" t="s">
        <v>173</v>
      </c>
      <c r="FR1086" s="319" t="s">
        <v>173</v>
      </c>
      <c r="FS1086" s="319" t="s">
        <v>173</v>
      </c>
      <c r="FT1086" s="319" t="s">
        <v>173</v>
      </c>
      <c r="FU1086" s="319" t="s">
        <v>173</v>
      </c>
      <c r="FV1086" s="319" t="s">
        <v>173</v>
      </c>
      <c r="FW1086" s="319" t="s">
        <v>173</v>
      </c>
      <c r="FX1086" s="319" t="s">
        <v>173</v>
      </c>
      <c r="FY1086" s="319" t="s">
        <v>173</v>
      </c>
      <c r="FZ1086" s="319" t="s">
        <v>173</v>
      </c>
      <c r="GA1086" s="319" t="s">
        <v>173</v>
      </c>
      <c r="GB1086" s="319" t="s">
        <v>173</v>
      </c>
      <c r="GC1086" s="319" t="s">
        <v>173</v>
      </c>
      <c r="GD1086" s="319" t="s">
        <v>173</v>
      </c>
      <c r="GE1086" s="319" t="s">
        <v>173</v>
      </c>
      <c r="GF1086" s="319" t="s">
        <v>173</v>
      </c>
      <c r="GG1086" s="319" t="s">
        <v>173</v>
      </c>
      <c r="GH1086" s="319" t="s">
        <v>173</v>
      </c>
      <c r="GI1086" s="319" t="s">
        <v>173</v>
      </c>
      <c r="GJ1086" s="319" t="s">
        <v>173</v>
      </c>
      <c r="GK1086" s="319" t="s">
        <v>173</v>
      </c>
      <c r="GL1086" s="319" t="s">
        <v>173</v>
      </c>
      <c r="GM1086" s="319" t="s">
        <v>173</v>
      </c>
      <c r="GN1086" s="319" t="s">
        <v>173</v>
      </c>
      <c r="GO1086" s="319" t="s">
        <v>173</v>
      </c>
      <c r="GP1086" s="319" t="s">
        <v>173</v>
      </c>
      <c r="GQ1086" s="319" t="s">
        <v>173</v>
      </c>
      <c r="GR1086" s="319" t="s">
        <v>173</v>
      </c>
      <c r="GS1086" s="319" t="s">
        <v>173</v>
      </c>
      <c r="GT1086" s="319" t="s">
        <v>173</v>
      </c>
      <c r="GU1086" s="319" t="s">
        <v>173</v>
      </c>
      <c r="GV1086" s="319" t="s">
        <v>173</v>
      </c>
      <c r="GW1086" s="319" t="s">
        <v>173</v>
      </c>
      <c r="GX1086" s="319" t="s">
        <v>173</v>
      </c>
      <c r="GY1086" s="319" t="s">
        <v>173</v>
      </c>
      <c r="GZ1086" s="319" t="s">
        <v>173</v>
      </c>
      <c r="HA1086" s="319" t="s">
        <v>173</v>
      </c>
      <c r="HB1086" s="319" t="s">
        <v>173</v>
      </c>
      <c r="HC1086" s="319" t="s">
        <v>173</v>
      </c>
      <c r="HD1086" s="319" t="s">
        <v>173</v>
      </c>
      <c r="HE1086" s="319" t="s">
        <v>173</v>
      </c>
      <c r="HF1086" s="319" t="s">
        <v>173</v>
      </c>
      <c r="HG1086" s="319" t="s">
        <v>173</v>
      </c>
      <c r="HH1086" s="319" t="s">
        <v>173</v>
      </c>
      <c r="HI1086" s="319" t="s">
        <v>173</v>
      </c>
      <c r="HJ1086" s="319" t="s">
        <v>173</v>
      </c>
      <c r="HK1086" s="319" t="s">
        <v>173</v>
      </c>
      <c r="HL1086" s="319" t="s">
        <v>173</v>
      </c>
      <c r="HM1086" s="319" t="s">
        <v>173</v>
      </c>
      <c r="HN1086" s="319" t="s">
        <v>173</v>
      </c>
      <c r="HO1086" s="319" t="s">
        <v>173</v>
      </c>
      <c r="HP1086" s="319" t="s">
        <v>173</v>
      </c>
      <c r="HQ1086" s="319" t="s">
        <v>173</v>
      </c>
      <c r="HR1086" s="319" t="s">
        <v>173</v>
      </c>
      <c r="HS1086" s="319" t="s">
        <v>173</v>
      </c>
      <c r="HT1086" s="319" t="s">
        <v>173</v>
      </c>
      <c r="HU1086" s="319" t="s">
        <v>173</v>
      </c>
      <c r="HV1086" s="319" t="s">
        <v>173</v>
      </c>
      <c r="HW1086" s="319" t="s">
        <v>173</v>
      </c>
      <c r="HX1086" s="319" t="s">
        <v>173</v>
      </c>
      <c r="HY1086" s="319" t="s">
        <v>173</v>
      </c>
      <c r="HZ1086" s="319" t="s">
        <v>173</v>
      </c>
      <c r="IA1086" s="319" t="s">
        <v>173</v>
      </c>
      <c r="IB1086" s="319" t="s">
        <v>173</v>
      </c>
      <c r="IC1086" s="319" t="s">
        <v>173</v>
      </c>
      <c r="ID1086" s="319" t="s">
        <v>173</v>
      </c>
      <c r="IE1086" s="319" t="s">
        <v>173</v>
      </c>
      <c r="IF1086" s="319" t="s">
        <v>173</v>
      </c>
      <c r="IG1086" s="319" t="s">
        <v>173</v>
      </c>
      <c r="IH1086" s="319" t="s">
        <v>173</v>
      </c>
      <c r="II1086" s="319" t="s">
        <v>173</v>
      </c>
      <c r="IJ1086" s="319" t="s">
        <v>173</v>
      </c>
      <c r="IK1086" s="319" t="s">
        <v>173</v>
      </c>
      <c r="IL1086" s="319" t="s">
        <v>173</v>
      </c>
      <c r="IM1086" s="319" t="s">
        <v>173</v>
      </c>
      <c r="IN1086" s="319" t="s">
        <v>173</v>
      </c>
      <c r="IO1086" s="319" t="s">
        <v>173</v>
      </c>
      <c r="IP1086" s="319" t="s">
        <v>173</v>
      </c>
      <c r="IQ1086" s="319" t="s">
        <v>173</v>
      </c>
      <c r="IR1086" s="320" t="s">
        <v>173</v>
      </c>
      <c r="IS1086" s="320" t="s">
        <v>173</v>
      </c>
      <c r="IT1086" s="319" t="s">
        <v>173</v>
      </c>
    </row>
    <row r="1087" spans="1:254" s="271" customFormat="1" x14ac:dyDescent="0.25">
      <c r="A1087" s="318" t="str">
        <f>HYPERLINK("http://www.ofsted.gov.uk/inspection-reports/find-inspection-report/provider/ELS/147298 ","Ofsted School Webpage")</f>
        <v>Ofsted School Webpage</v>
      </c>
      <c r="B1087" s="319">
        <v>147298</v>
      </c>
      <c r="C1087" s="319">
        <v>8156048</v>
      </c>
      <c r="D1087" s="319" t="s">
        <v>3668</v>
      </c>
      <c r="E1087" s="319" t="s">
        <v>168</v>
      </c>
      <c r="F1087" s="319" t="s">
        <v>434</v>
      </c>
      <c r="G1087" s="319" t="s">
        <v>81</v>
      </c>
      <c r="H1087" s="319" t="s">
        <v>81</v>
      </c>
      <c r="I1087" s="319" t="s">
        <v>78</v>
      </c>
      <c r="J1087" s="319" t="s">
        <v>424</v>
      </c>
      <c r="K1087" s="319" t="s">
        <v>458</v>
      </c>
      <c r="L1087" s="319" t="s">
        <v>459</v>
      </c>
      <c r="M1087" s="319" t="s">
        <v>754</v>
      </c>
      <c r="N1087" s="319" t="s">
        <v>3669</v>
      </c>
      <c r="O1087" s="319" t="s">
        <v>3670</v>
      </c>
      <c r="P1087" s="319" t="s">
        <v>173</v>
      </c>
      <c r="Q1087" s="319" t="s">
        <v>429</v>
      </c>
      <c r="R1087" s="320" t="s">
        <v>173</v>
      </c>
      <c r="S1087" s="321" t="s">
        <v>173</v>
      </c>
      <c r="T1087" s="321" t="s">
        <v>173</v>
      </c>
      <c r="U1087" s="321" t="s">
        <v>173</v>
      </c>
      <c r="V1087" s="319" t="s">
        <v>173</v>
      </c>
      <c r="W1087" s="319" t="s">
        <v>173</v>
      </c>
      <c r="X1087" s="319" t="s">
        <v>173</v>
      </c>
      <c r="Y1087" s="319" t="s">
        <v>173</v>
      </c>
      <c r="Z1087" s="319" t="s">
        <v>173</v>
      </c>
      <c r="AA1087" s="319" t="s">
        <v>173</v>
      </c>
      <c r="AB1087" s="319" t="s">
        <v>173</v>
      </c>
      <c r="AC1087" s="319" t="s">
        <v>173</v>
      </c>
      <c r="AD1087" s="319" t="s">
        <v>173</v>
      </c>
      <c r="AE1087" s="319" t="s">
        <v>173</v>
      </c>
      <c r="AF1087" s="319" t="s">
        <v>173</v>
      </c>
      <c r="AG1087" s="319" t="s">
        <v>173</v>
      </c>
      <c r="AH1087" s="319" t="s">
        <v>173</v>
      </c>
      <c r="AI1087" s="319" t="s">
        <v>173</v>
      </c>
      <c r="AJ1087" s="319" t="s">
        <v>173</v>
      </c>
      <c r="AK1087" s="319" t="s">
        <v>173</v>
      </c>
      <c r="AL1087" s="319" t="s">
        <v>173</v>
      </c>
      <c r="AM1087" s="319" t="s">
        <v>173</v>
      </c>
      <c r="AN1087" s="319" t="s">
        <v>173</v>
      </c>
      <c r="AO1087" s="319" t="s">
        <v>173</v>
      </c>
      <c r="AP1087" s="319" t="s">
        <v>173</v>
      </c>
      <c r="AQ1087" s="319" t="s">
        <v>173</v>
      </c>
      <c r="AR1087" s="319" t="s">
        <v>173</v>
      </c>
      <c r="AS1087" s="319" t="s">
        <v>173</v>
      </c>
      <c r="AT1087" s="319" t="s">
        <v>173</v>
      </c>
      <c r="AU1087" s="319" t="s">
        <v>173</v>
      </c>
      <c r="AV1087" s="319" t="s">
        <v>173</v>
      </c>
      <c r="AW1087" s="319" t="s">
        <v>173</v>
      </c>
      <c r="AX1087" s="319" t="s">
        <v>173</v>
      </c>
      <c r="AY1087" s="319" t="s">
        <v>173</v>
      </c>
      <c r="AZ1087" s="319" t="s">
        <v>173</v>
      </c>
      <c r="BA1087" s="319" t="s">
        <v>173</v>
      </c>
      <c r="BB1087" s="319" t="s">
        <v>173</v>
      </c>
      <c r="BC1087" s="319" t="s">
        <v>173</v>
      </c>
      <c r="BD1087" s="319" t="s">
        <v>173</v>
      </c>
      <c r="BE1087" s="319" t="s">
        <v>173</v>
      </c>
      <c r="BF1087" s="319" t="s">
        <v>173</v>
      </c>
      <c r="BG1087" s="319" t="s">
        <v>173</v>
      </c>
      <c r="BH1087" s="319" t="s">
        <v>173</v>
      </c>
      <c r="BI1087" s="319" t="s">
        <v>173</v>
      </c>
      <c r="BJ1087" s="319" t="s">
        <v>173</v>
      </c>
      <c r="BK1087" s="319" t="s">
        <v>173</v>
      </c>
      <c r="BL1087" s="319" t="s">
        <v>173</v>
      </c>
      <c r="BM1087" s="319" t="s">
        <v>173</v>
      </c>
      <c r="BN1087" s="319" t="s">
        <v>173</v>
      </c>
      <c r="BO1087" s="319" t="s">
        <v>173</v>
      </c>
      <c r="BP1087" s="319" t="s">
        <v>173</v>
      </c>
      <c r="BQ1087" s="319" t="s">
        <v>173</v>
      </c>
      <c r="BR1087" s="319" t="s">
        <v>173</v>
      </c>
      <c r="BS1087" s="319" t="s">
        <v>173</v>
      </c>
      <c r="BT1087" s="319" t="s">
        <v>173</v>
      </c>
      <c r="BU1087" s="319" t="s">
        <v>173</v>
      </c>
      <c r="BV1087" s="319" t="s">
        <v>173</v>
      </c>
      <c r="BW1087" s="319" t="s">
        <v>173</v>
      </c>
      <c r="BX1087" s="319" t="s">
        <v>173</v>
      </c>
      <c r="BY1087" s="319" t="s">
        <v>173</v>
      </c>
      <c r="BZ1087" s="319" t="s">
        <v>173</v>
      </c>
      <c r="CA1087" s="319" t="s">
        <v>173</v>
      </c>
      <c r="CB1087" s="319" t="s">
        <v>173</v>
      </c>
      <c r="CC1087" s="319" t="s">
        <v>173</v>
      </c>
      <c r="CD1087" s="319" t="s">
        <v>173</v>
      </c>
      <c r="CE1087" s="319" t="s">
        <v>173</v>
      </c>
      <c r="CF1087" s="319" t="s">
        <v>173</v>
      </c>
      <c r="CG1087" s="319" t="s">
        <v>173</v>
      </c>
      <c r="CH1087" s="319" t="s">
        <v>173</v>
      </c>
      <c r="CI1087" s="319" t="s">
        <v>173</v>
      </c>
      <c r="CJ1087" s="319" t="s">
        <v>173</v>
      </c>
      <c r="CK1087" s="319" t="s">
        <v>173</v>
      </c>
      <c r="CL1087" s="319" t="s">
        <v>173</v>
      </c>
      <c r="CM1087" s="319" t="s">
        <v>173</v>
      </c>
      <c r="CN1087" s="319" t="s">
        <v>173</v>
      </c>
      <c r="CO1087" s="319" t="s">
        <v>173</v>
      </c>
      <c r="CP1087" s="319" t="s">
        <v>173</v>
      </c>
      <c r="CQ1087" s="319" t="s">
        <v>173</v>
      </c>
      <c r="CR1087" s="319" t="s">
        <v>173</v>
      </c>
      <c r="CS1087" s="319" t="s">
        <v>173</v>
      </c>
      <c r="CT1087" s="319" t="s">
        <v>173</v>
      </c>
      <c r="CU1087" s="319" t="s">
        <v>173</v>
      </c>
      <c r="CV1087" s="319" t="s">
        <v>173</v>
      </c>
      <c r="CW1087" s="319" t="s">
        <v>173</v>
      </c>
      <c r="CX1087" s="319" t="s">
        <v>173</v>
      </c>
      <c r="CY1087" s="319" t="s">
        <v>173</v>
      </c>
      <c r="CZ1087" s="319" t="s">
        <v>173</v>
      </c>
      <c r="DA1087" s="319" t="s">
        <v>173</v>
      </c>
      <c r="DB1087" s="319" t="s">
        <v>173</v>
      </c>
      <c r="DC1087" s="319" t="s">
        <v>173</v>
      </c>
      <c r="DD1087" s="319" t="s">
        <v>173</v>
      </c>
      <c r="DE1087" s="319" t="s">
        <v>173</v>
      </c>
      <c r="DF1087" s="319" t="s">
        <v>173</v>
      </c>
      <c r="DG1087" s="319" t="s">
        <v>173</v>
      </c>
      <c r="DH1087" s="319" t="s">
        <v>173</v>
      </c>
      <c r="DI1087" s="319" t="s">
        <v>173</v>
      </c>
      <c r="DJ1087" s="319" t="s">
        <v>173</v>
      </c>
      <c r="DK1087" s="319" t="s">
        <v>173</v>
      </c>
      <c r="DL1087" s="319" t="s">
        <v>173</v>
      </c>
      <c r="DM1087" s="319" t="s">
        <v>173</v>
      </c>
      <c r="DN1087" s="319" t="s">
        <v>173</v>
      </c>
      <c r="DO1087" s="319" t="s">
        <v>173</v>
      </c>
      <c r="DP1087" s="319" t="s">
        <v>173</v>
      </c>
      <c r="DQ1087" s="319" t="s">
        <v>173</v>
      </c>
      <c r="DR1087" s="319" t="s">
        <v>173</v>
      </c>
      <c r="DS1087" s="319" t="s">
        <v>173</v>
      </c>
      <c r="DT1087" s="319" t="s">
        <v>173</v>
      </c>
      <c r="DU1087" s="319" t="s">
        <v>173</v>
      </c>
      <c r="DV1087" s="319" t="s">
        <v>173</v>
      </c>
      <c r="DW1087" s="319" t="s">
        <v>173</v>
      </c>
      <c r="DX1087" s="319" t="s">
        <v>173</v>
      </c>
      <c r="DY1087" s="319" t="s">
        <v>173</v>
      </c>
      <c r="DZ1087" s="319" t="s">
        <v>173</v>
      </c>
      <c r="EA1087" s="319" t="s">
        <v>173</v>
      </c>
      <c r="EB1087" s="319" t="s">
        <v>173</v>
      </c>
      <c r="EC1087" s="319" t="s">
        <v>173</v>
      </c>
      <c r="ED1087" s="319" t="s">
        <v>173</v>
      </c>
      <c r="EE1087" s="319" t="s">
        <v>173</v>
      </c>
      <c r="EF1087" s="319" t="s">
        <v>173</v>
      </c>
      <c r="EG1087" s="319" t="s">
        <v>173</v>
      </c>
      <c r="EH1087" s="319" t="s">
        <v>173</v>
      </c>
      <c r="EI1087" s="319" t="s">
        <v>173</v>
      </c>
      <c r="EJ1087" s="319" t="s">
        <v>173</v>
      </c>
      <c r="EK1087" s="319" t="s">
        <v>173</v>
      </c>
      <c r="EL1087" s="319" t="s">
        <v>173</v>
      </c>
      <c r="EM1087" s="319" t="s">
        <v>173</v>
      </c>
      <c r="EN1087" s="319" t="s">
        <v>173</v>
      </c>
      <c r="EO1087" s="319" t="s">
        <v>173</v>
      </c>
      <c r="EP1087" s="319" t="s">
        <v>173</v>
      </c>
      <c r="EQ1087" s="319" t="s">
        <v>173</v>
      </c>
      <c r="ER1087" s="319" t="s">
        <v>173</v>
      </c>
      <c r="ES1087" s="319" t="s">
        <v>173</v>
      </c>
      <c r="ET1087" s="319" t="s">
        <v>173</v>
      </c>
      <c r="EU1087" s="319" t="s">
        <v>173</v>
      </c>
      <c r="EV1087" s="319" t="s">
        <v>173</v>
      </c>
      <c r="EW1087" s="319" t="s">
        <v>173</v>
      </c>
      <c r="EX1087" s="319" t="s">
        <v>173</v>
      </c>
      <c r="EY1087" s="319" t="s">
        <v>173</v>
      </c>
      <c r="EZ1087" s="319" t="s">
        <v>173</v>
      </c>
      <c r="FA1087" s="319" t="s">
        <v>173</v>
      </c>
      <c r="FB1087" s="319" t="s">
        <v>173</v>
      </c>
      <c r="FC1087" s="319" t="s">
        <v>173</v>
      </c>
      <c r="FD1087" s="319" t="s">
        <v>173</v>
      </c>
      <c r="FE1087" s="319" t="s">
        <v>173</v>
      </c>
      <c r="FF1087" s="319" t="s">
        <v>173</v>
      </c>
      <c r="FG1087" s="319" t="s">
        <v>173</v>
      </c>
      <c r="FH1087" s="319" t="s">
        <v>173</v>
      </c>
      <c r="FI1087" s="319" t="s">
        <v>173</v>
      </c>
      <c r="FJ1087" s="319" t="s">
        <v>173</v>
      </c>
      <c r="FK1087" s="319" t="s">
        <v>173</v>
      </c>
      <c r="FL1087" s="319" t="s">
        <v>173</v>
      </c>
      <c r="FM1087" s="319" t="s">
        <v>173</v>
      </c>
      <c r="FN1087" s="319" t="s">
        <v>173</v>
      </c>
      <c r="FO1087" s="319" t="s">
        <v>173</v>
      </c>
      <c r="FP1087" s="319" t="s">
        <v>173</v>
      </c>
      <c r="FQ1087" s="319" t="s">
        <v>173</v>
      </c>
      <c r="FR1087" s="319" t="s">
        <v>173</v>
      </c>
      <c r="FS1087" s="319" t="s">
        <v>173</v>
      </c>
      <c r="FT1087" s="319" t="s">
        <v>173</v>
      </c>
      <c r="FU1087" s="319" t="s">
        <v>173</v>
      </c>
      <c r="FV1087" s="319" t="s">
        <v>173</v>
      </c>
      <c r="FW1087" s="319" t="s">
        <v>173</v>
      </c>
      <c r="FX1087" s="319" t="s">
        <v>173</v>
      </c>
      <c r="FY1087" s="319" t="s">
        <v>173</v>
      </c>
      <c r="FZ1087" s="319" t="s">
        <v>173</v>
      </c>
      <c r="GA1087" s="319" t="s">
        <v>173</v>
      </c>
      <c r="GB1087" s="319" t="s">
        <v>173</v>
      </c>
      <c r="GC1087" s="319" t="s">
        <v>173</v>
      </c>
      <c r="GD1087" s="319" t="s">
        <v>173</v>
      </c>
      <c r="GE1087" s="319" t="s">
        <v>173</v>
      </c>
      <c r="GF1087" s="319" t="s">
        <v>173</v>
      </c>
      <c r="GG1087" s="319" t="s">
        <v>173</v>
      </c>
      <c r="GH1087" s="319" t="s">
        <v>173</v>
      </c>
      <c r="GI1087" s="319" t="s">
        <v>173</v>
      </c>
      <c r="GJ1087" s="319" t="s">
        <v>173</v>
      </c>
      <c r="GK1087" s="319" t="s">
        <v>173</v>
      </c>
      <c r="GL1087" s="319" t="s">
        <v>173</v>
      </c>
      <c r="GM1087" s="319" t="s">
        <v>173</v>
      </c>
      <c r="GN1087" s="319" t="s">
        <v>173</v>
      </c>
      <c r="GO1087" s="319" t="s">
        <v>173</v>
      </c>
      <c r="GP1087" s="319" t="s">
        <v>173</v>
      </c>
      <c r="GQ1087" s="319" t="s">
        <v>173</v>
      </c>
      <c r="GR1087" s="319" t="s">
        <v>173</v>
      </c>
      <c r="GS1087" s="319" t="s">
        <v>173</v>
      </c>
      <c r="GT1087" s="319" t="s">
        <v>173</v>
      </c>
      <c r="GU1087" s="319" t="s">
        <v>173</v>
      </c>
      <c r="GV1087" s="319" t="s">
        <v>173</v>
      </c>
      <c r="GW1087" s="319" t="s">
        <v>173</v>
      </c>
      <c r="GX1087" s="319" t="s">
        <v>173</v>
      </c>
      <c r="GY1087" s="319" t="s">
        <v>173</v>
      </c>
      <c r="GZ1087" s="319" t="s">
        <v>173</v>
      </c>
      <c r="HA1087" s="319" t="s">
        <v>173</v>
      </c>
      <c r="HB1087" s="319" t="s">
        <v>173</v>
      </c>
      <c r="HC1087" s="319" t="s">
        <v>173</v>
      </c>
      <c r="HD1087" s="319" t="s">
        <v>173</v>
      </c>
      <c r="HE1087" s="319" t="s">
        <v>173</v>
      </c>
      <c r="HF1087" s="319" t="s">
        <v>173</v>
      </c>
      <c r="HG1087" s="319" t="s">
        <v>173</v>
      </c>
      <c r="HH1087" s="319" t="s">
        <v>173</v>
      </c>
      <c r="HI1087" s="319" t="s">
        <v>173</v>
      </c>
      <c r="HJ1087" s="319" t="s">
        <v>173</v>
      </c>
      <c r="HK1087" s="319" t="s">
        <v>173</v>
      </c>
      <c r="HL1087" s="319" t="s">
        <v>173</v>
      </c>
      <c r="HM1087" s="319" t="s">
        <v>173</v>
      </c>
      <c r="HN1087" s="319" t="s">
        <v>173</v>
      </c>
      <c r="HO1087" s="319" t="s">
        <v>173</v>
      </c>
      <c r="HP1087" s="319" t="s">
        <v>173</v>
      </c>
      <c r="HQ1087" s="319" t="s">
        <v>173</v>
      </c>
      <c r="HR1087" s="319" t="s">
        <v>173</v>
      </c>
      <c r="HS1087" s="319" t="s">
        <v>173</v>
      </c>
      <c r="HT1087" s="319" t="s">
        <v>173</v>
      </c>
      <c r="HU1087" s="319" t="s">
        <v>173</v>
      </c>
      <c r="HV1087" s="319" t="s">
        <v>173</v>
      </c>
      <c r="HW1087" s="319" t="s">
        <v>173</v>
      </c>
      <c r="HX1087" s="319" t="s">
        <v>173</v>
      </c>
      <c r="HY1087" s="319" t="s">
        <v>173</v>
      </c>
      <c r="HZ1087" s="319" t="s">
        <v>173</v>
      </c>
      <c r="IA1087" s="319" t="s">
        <v>173</v>
      </c>
      <c r="IB1087" s="319" t="s">
        <v>173</v>
      </c>
      <c r="IC1087" s="319" t="s">
        <v>173</v>
      </c>
      <c r="ID1087" s="319" t="s">
        <v>173</v>
      </c>
      <c r="IE1087" s="319" t="s">
        <v>173</v>
      </c>
      <c r="IF1087" s="319" t="s">
        <v>173</v>
      </c>
      <c r="IG1087" s="319" t="s">
        <v>173</v>
      </c>
      <c r="IH1087" s="319" t="s">
        <v>173</v>
      </c>
      <c r="II1087" s="319" t="s">
        <v>173</v>
      </c>
      <c r="IJ1087" s="319" t="s">
        <v>173</v>
      </c>
      <c r="IK1087" s="319" t="s">
        <v>173</v>
      </c>
      <c r="IL1087" s="319" t="s">
        <v>173</v>
      </c>
      <c r="IM1087" s="319" t="s">
        <v>173</v>
      </c>
      <c r="IN1087" s="319" t="s">
        <v>173</v>
      </c>
      <c r="IO1087" s="319" t="s">
        <v>173</v>
      </c>
      <c r="IP1087" s="319" t="s">
        <v>173</v>
      </c>
      <c r="IQ1087" s="321" t="s">
        <v>173</v>
      </c>
      <c r="IR1087" s="320" t="s">
        <v>173</v>
      </c>
      <c r="IS1087" s="322" t="s">
        <v>173</v>
      </c>
      <c r="IT1087" s="319" t="s">
        <v>173</v>
      </c>
    </row>
    <row r="1088" spans="1:254" s="271" customFormat="1" x14ac:dyDescent="0.25">
      <c r="A1088" s="318" t="str">
        <f>HYPERLINK("http://www.ofsted.gov.uk/inspection-reports/find-inspection-report/provider/ELS/147301 ","Ofsted School Webpage")</f>
        <v>Ofsted School Webpage</v>
      </c>
      <c r="B1088" s="319">
        <v>147301</v>
      </c>
      <c r="C1088" s="319">
        <v>8886120</v>
      </c>
      <c r="D1088" s="319" t="s">
        <v>3671</v>
      </c>
      <c r="E1088" s="319" t="s">
        <v>167</v>
      </c>
      <c r="F1088" s="319" t="s">
        <v>434</v>
      </c>
      <c r="G1088" s="319" t="s">
        <v>71</v>
      </c>
      <c r="H1088" s="319" t="s">
        <v>71</v>
      </c>
      <c r="I1088" s="319" t="s">
        <v>72</v>
      </c>
      <c r="J1088" s="319" t="s">
        <v>424</v>
      </c>
      <c r="K1088" s="319" t="s">
        <v>431</v>
      </c>
      <c r="L1088" s="319" t="s">
        <v>431</v>
      </c>
      <c r="M1088" s="319" t="s">
        <v>469</v>
      </c>
      <c r="N1088" s="319" t="s">
        <v>3104</v>
      </c>
      <c r="O1088" s="319" t="s">
        <v>3672</v>
      </c>
      <c r="P1088" s="319" t="s">
        <v>173</v>
      </c>
      <c r="Q1088" s="319" t="s">
        <v>2766</v>
      </c>
      <c r="R1088" s="320" t="s">
        <v>173</v>
      </c>
      <c r="S1088" s="321" t="s">
        <v>173</v>
      </c>
      <c r="T1088" s="321" t="s">
        <v>173</v>
      </c>
      <c r="U1088" s="321" t="s">
        <v>173</v>
      </c>
      <c r="V1088" s="319" t="s">
        <v>173</v>
      </c>
      <c r="W1088" s="319" t="s">
        <v>173</v>
      </c>
      <c r="X1088" s="319" t="s">
        <v>173</v>
      </c>
      <c r="Y1088" s="319" t="s">
        <v>173</v>
      </c>
      <c r="Z1088" s="319" t="s">
        <v>173</v>
      </c>
      <c r="AA1088" s="319" t="s">
        <v>173</v>
      </c>
      <c r="AB1088" s="319" t="s">
        <v>173</v>
      </c>
      <c r="AC1088" s="319" t="s">
        <v>173</v>
      </c>
      <c r="AD1088" s="319" t="s">
        <v>173</v>
      </c>
      <c r="AE1088" s="319" t="s">
        <v>173</v>
      </c>
      <c r="AF1088" s="319" t="s">
        <v>173</v>
      </c>
      <c r="AG1088" s="319" t="s">
        <v>173</v>
      </c>
      <c r="AH1088" s="319" t="s">
        <v>173</v>
      </c>
      <c r="AI1088" s="319" t="s">
        <v>173</v>
      </c>
      <c r="AJ1088" s="319" t="s">
        <v>173</v>
      </c>
      <c r="AK1088" s="319" t="s">
        <v>173</v>
      </c>
      <c r="AL1088" s="319" t="s">
        <v>173</v>
      </c>
      <c r="AM1088" s="319" t="s">
        <v>173</v>
      </c>
      <c r="AN1088" s="319" t="s">
        <v>173</v>
      </c>
      <c r="AO1088" s="319" t="s">
        <v>173</v>
      </c>
      <c r="AP1088" s="319" t="s">
        <v>173</v>
      </c>
      <c r="AQ1088" s="319" t="s">
        <v>173</v>
      </c>
      <c r="AR1088" s="319" t="s">
        <v>173</v>
      </c>
      <c r="AS1088" s="319" t="s">
        <v>173</v>
      </c>
      <c r="AT1088" s="319" t="s">
        <v>173</v>
      </c>
      <c r="AU1088" s="319" t="s">
        <v>173</v>
      </c>
      <c r="AV1088" s="319" t="s">
        <v>173</v>
      </c>
      <c r="AW1088" s="319" t="s">
        <v>173</v>
      </c>
      <c r="AX1088" s="319" t="s">
        <v>173</v>
      </c>
      <c r="AY1088" s="319" t="s">
        <v>173</v>
      </c>
      <c r="AZ1088" s="319" t="s">
        <v>173</v>
      </c>
      <c r="BA1088" s="319" t="s">
        <v>173</v>
      </c>
      <c r="BB1088" s="319" t="s">
        <v>173</v>
      </c>
      <c r="BC1088" s="319" t="s">
        <v>173</v>
      </c>
      <c r="BD1088" s="319" t="s">
        <v>173</v>
      </c>
      <c r="BE1088" s="319" t="s">
        <v>173</v>
      </c>
      <c r="BF1088" s="319" t="s">
        <v>173</v>
      </c>
      <c r="BG1088" s="319" t="s">
        <v>173</v>
      </c>
      <c r="BH1088" s="319" t="s">
        <v>173</v>
      </c>
      <c r="BI1088" s="319" t="s">
        <v>173</v>
      </c>
      <c r="BJ1088" s="319" t="s">
        <v>173</v>
      </c>
      <c r="BK1088" s="319" t="s">
        <v>173</v>
      </c>
      <c r="BL1088" s="319" t="s">
        <v>173</v>
      </c>
      <c r="BM1088" s="319" t="s">
        <v>173</v>
      </c>
      <c r="BN1088" s="319" t="s">
        <v>173</v>
      </c>
      <c r="BO1088" s="319" t="s">
        <v>173</v>
      </c>
      <c r="BP1088" s="319" t="s">
        <v>173</v>
      </c>
      <c r="BQ1088" s="319" t="s">
        <v>173</v>
      </c>
      <c r="BR1088" s="319" t="s">
        <v>173</v>
      </c>
      <c r="BS1088" s="319" t="s">
        <v>173</v>
      </c>
      <c r="BT1088" s="319" t="s">
        <v>173</v>
      </c>
      <c r="BU1088" s="319" t="s">
        <v>173</v>
      </c>
      <c r="BV1088" s="319" t="s">
        <v>173</v>
      </c>
      <c r="BW1088" s="319" t="s">
        <v>173</v>
      </c>
      <c r="BX1088" s="319" t="s">
        <v>173</v>
      </c>
      <c r="BY1088" s="319" t="s">
        <v>173</v>
      </c>
      <c r="BZ1088" s="319" t="s">
        <v>173</v>
      </c>
      <c r="CA1088" s="319" t="s">
        <v>173</v>
      </c>
      <c r="CB1088" s="319" t="s">
        <v>173</v>
      </c>
      <c r="CC1088" s="319" t="s">
        <v>173</v>
      </c>
      <c r="CD1088" s="319" t="s">
        <v>173</v>
      </c>
      <c r="CE1088" s="319" t="s">
        <v>173</v>
      </c>
      <c r="CF1088" s="319" t="s">
        <v>173</v>
      </c>
      <c r="CG1088" s="319" t="s">
        <v>173</v>
      </c>
      <c r="CH1088" s="319" t="s">
        <v>173</v>
      </c>
      <c r="CI1088" s="319" t="s">
        <v>173</v>
      </c>
      <c r="CJ1088" s="319" t="s">
        <v>173</v>
      </c>
      <c r="CK1088" s="319" t="s">
        <v>173</v>
      </c>
      <c r="CL1088" s="319" t="s">
        <v>173</v>
      </c>
      <c r="CM1088" s="319" t="s">
        <v>173</v>
      </c>
      <c r="CN1088" s="319" t="s">
        <v>173</v>
      </c>
      <c r="CO1088" s="319" t="s">
        <v>173</v>
      </c>
      <c r="CP1088" s="319" t="s">
        <v>173</v>
      </c>
      <c r="CQ1088" s="319" t="s">
        <v>173</v>
      </c>
      <c r="CR1088" s="319" t="s">
        <v>173</v>
      </c>
      <c r="CS1088" s="319" t="s">
        <v>173</v>
      </c>
      <c r="CT1088" s="319" t="s">
        <v>173</v>
      </c>
      <c r="CU1088" s="319" t="s">
        <v>173</v>
      </c>
      <c r="CV1088" s="319" t="s">
        <v>173</v>
      </c>
      <c r="CW1088" s="319" t="s">
        <v>173</v>
      </c>
      <c r="CX1088" s="319" t="s">
        <v>173</v>
      </c>
      <c r="CY1088" s="319" t="s">
        <v>173</v>
      </c>
      <c r="CZ1088" s="319" t="s">
        <v>173</v>
      </c>
      <c r="DA1088" s="319" t="s">
        <v>173</v>
      </c>
      <c r="DB1088" s="319" t="s">
        <v>173</v>
      </c>
      <c r="DC1088" s="319" t="s">
        <v>173</v>
      </c>
      <c r="DD1088" s="319" t="s">
        <v>173</v>
      </c>
      <c r="DE1088" s="319" t="s">
        <v>173</v>
      </c>
      <c r="DF1088" s="319" t="s">
        <v>173</v>
      </c>
      <c r="DG1088" s="319" t="s">
        <v>173</v>
      </c>
      <c r="DH1088" s="319" t="s">
        <v>173</v>
      </c>
      <c r="DI1088" s="319" t="s">
        <v>173</v>
      </c>
      <c r="DJ1088" s="319" t="s">
        <v>173</v>
      </c>
      <c r="DK1088" s="319" t="s">
        <v>173</v>
      </c>
      <c r="DL1088" s="319" t="s">
        <v>173</v>
      </c>
      <c r="DM1088" s="319" t="s">
        <v>173</v>
      </c>
      <c r="DN1088" s="319" t="s">
        <v>173</v>
      </c>
      <c r="DO1088" s="319" t="s">
        <v>173</v>
      </c>
      <c r="DP1088" s="319" t="s">
        <v>173</v>
      </c>
      <c r="DQ1088" s="319" t="s">
        <v>173</v>
      </c>
      <c r="DR1088" s="319" t="s">
        <v>173</v>
      </c>
      <c r="DS1088" s="319" t="s">
        <v>173</v>
      </c>
      <c r="DT1088" s="319" t="s">
        <v>173</v>
      </c>
      <c r="DU1088" s="319" t="s">
        <v>173</v>
      </c>
      <c r="DV1088" s="319" t="s">
        <v>173</v>
      </c>
      <c r="DW1088" s="319" t="s">
        <v>173</v>
      </c>
      <c r="DX1088" s="319" t="s">
        <v>173</v>
      </c>
      <c r="DY1088" s="319" t="s">
        <v>173</v>
      </c>
      <c r="DZ1088" s="319" t="s">
        <v>173</v>
      </c>
      <c r="EA1088" s="319" t="s">
        <v>173</v>
      </c>
      <c r="EB1088" s="319" t="s">
        <v>173</v>
      </c>
      <c r="EC1088" s="319" t="s">
        <v>173</v>
      </c>
      <c r="ED1088" s="319" t="s">
        <v>173</v>
      </c>
      <c r="EE1088" s="319" t="s">
        <v>173</v>
      </c>
      <c r="EF1088" s="319" t="s">
        <v>173</v>
      </c>
      <c r="EG1088" s="319" t="s">
        <v>173</v>
      </c>
      <c r="EH1088" s="319" t="s">
        <v>173</v>
      </c>
      <c r="EI1088" s="319" t="s">
        <v>173</v>
      </c>
      <c r="EJ1088" s="319" t="s">
        <v>173</v>
      </c>
      <c r="EK1088" s="319" t="s">
        <v>173</v>
      </c>
      <c r="EL1088" s="319" t="s">
        <v>173</v>
      </c>
      <c r="EM1088" s="319" t="s">
        <v>173</v>
      </c>
      <c r="EN1088" s="319" t="s">
        <v>173</v>
      </c>
      <c r="EO1088" s="319" t="s">
        <v>173</v>
      </c>
      <c r="EP1088" s="319" t="s">
        <v>173</v>
      </c>
      <c r="EQ1088" s="319" t="s">
        <v>173</v>
      </c>
      <c r="ER1088" s="319" t="s">
        <v>173</v>
      </c>
      <c r="ES1088" s="319" t="s">
        <v>173</v>
      </c>
      <c r="ET1088" s="319" t="s">
        <v>173</v>
      </c>
      <c r="EU1088" s="319" t="s">
        <v>173</v>
      </c>
      <c r="EV1088" s="319" t="s">
        <v>173</v>
      </c>
      <c r="EW1088" s="319" t="s">
        <v>173</v>
      </c>
      <c r="EX1088" s="319" t="s">
        <v>173</v>
      </c>
      <c r="EY1088" s="319" t="s">
        <v>173</v>
      </c>
      <c r="EZ1088" s="319" t="s">
        <v>173</v>
      </c>
      <c r="FA1088" s="319" t="s">
        <v>173</v>
      </c>
      <c r="FB1088" s="319" t="s">
        <v>173</v>
      </c>
      <c r="FC1088" s="319" t="s">
        <v>173</v>
      </c>
      <c r="FD1088" s="319" t="s">
        <v>173</v>
      </c>
      <c r="FE1088" s="319" t="s">
        <v>173</v>
      </c>
      <c r="FF1088" s="319" t="s">
        <v>173</v>
      </c>
      <c r="FG1088" s="319" t="s">
        <v>173</v>
      </c>
      <c r="FH1088" s="319" t="s">
        <v>173</v>
      </c>
      <c r="FI1088" s="319" t="s">
        <v>173</v>
      </c>
      <c r="FJ1088" s="319" t="s">
        <v>173</v>
      </c>
      <c r="FK1088" s="319" t="s">
        <v>173</v>
      </c>
      <c r="FL1088" s="319" t="s">
        <v>173</v>
      </c>
      <c r="FM1088" s="319" t="s">
        <v>173</v>
      </c>
      <c r="FN1088" s="319" t="s">
        <v>173</v>
      </c>
      <c r="FO1088" s="319" t="s">
        <v>173</v>
      </c>
      <c r="FP1088" s="319" t="s">
        <v>173</v>
      </c>
      <c r="FQ1088" s="319" t="s">
        <v>173</v>
      </c>
      <c r="FR1088" s="319" t="s">
        <v>173</v>
      </c>
      <c r="FS1088" s="319" t="s">
        <v>173</v>
      </c>
      <c r="FT1088" s="319" t="s">
        <v>173</v>
      </c>
      <c r="FU1088" s="319" t="s">
        <v>173</v>
      </c>
      <c r="FV1088" s="319" t="s">
        <v>173</v>
      </c>
      <c r="FW1088" s="319" t="s">
        <v>173</v>
      </c>
      <c r="FX1088" s="319" t="s">
        <v>173</v>
      </c>
      <c r="FY1088" s="319" t="s">
        <v>173</v>
      </c>
      <c r="FZ1088" s="319" t="s">
        <v>173</v>
      </c>
      <c r="GA1088" s="319" t="s">
        <v>173</v>
      </c>
      <c r="GB1088" s="319" t="s">
        <v>173</v>
      </c>
      <c r="GC1088" s="319" t="s">
        <v>173</v>
      </c>
      <c r="GD1088" s="319" t="s">
        <v>173</v>
      </c>
      <c r="GE1088" s="319" t="s">
        <v>173</v>
      </c>
      <c r="GF1088" s="319" t="s">
        <v>173</v>
      </c>
      <c r="GG1088" s="319" t="s">
        <v>173</v>
      </c>
      <c r="GH1088" s="319" t="s">
        <v>173</v>
      </c>
      <c r="GI1088" s="319" t="s">
        <v>173</v>
      </c>
      <c r="GJ1088" s="319" t="s">
        <v>173</v>
      </c>
      <c r="GK1088" s="319" t="s">
        <v>173</v>
      </c>
      <c r="GL1088" s="319" t="s">
        <v>173</v>
      </c>
      <c r="GM1088" s="319" t="s">
        <v>173</v>
      </c>
      <c r="GN1088" s="319" t="s">
        <v>173</v>
      </c>
      <c r="GO1088" s="319" t="s">
        <v>173</v>
      </c>
      <c r="GP1088" s="319" t="s">
        <v>173</v>
      </c>
      <c r="GQ1088" s="319" t="s">
        <v>173</v>
      </c>
      <c r="GR1088" s="319" t="s">
        <v>173</v>
      </c>
      <c r="GS1088" s="319" t="s">
        <v>173</v>
      </c>
      <c r="GT1088" s="319" t="s">
        <v>173</v>
      </c>
      <c r="GU1088" s="319" t="s">
        <v>173</v>
      </c>
      <c r="GV1088" s="319" t="s">
        <v>173</v>
      </c>
      <c r="GW1088" s="319" t="s">
        <v>173</v>
      </c>
      <c r="GX1088" s="319" t="s">
        <v>173</v>
      </c>
      <c r="GY1088" s="319" t="s">
        <v>173</v>
      </c>
      <c r="GZ1088" s="319" t="s">
        <v>173</v>
      </c>
      <c r="HA1088" s="319" t="s">
        <v>173</v>
      </c>
      <c r="HB1088" s="319" t="s">
        <v>173</v>
      </c>
      <c r="HC1088" s="319" t="s">
        <v>173</v>
      </c>
      <c r="HD1088" s="319" t="s">
        <v>173</v>
      </c>
      <c r="HE1088" s="319" t="s">
        <v>173</v>
      </c>
      <c r="HF1088" s="319" t="s">
        <v>173</v>
      </c>
      <c r="HG1088" s="319" t="s">
        <v>173</v>
      </c>
      <c r="HH1088" s="319" t="s">
        <v>173</v>
      </c>
      <c r="HI1088" s="319" t="s">
        <v>173</v>
      </c>
      <c r="HJ1088" s="319" t="s">
        <v>173</v>
      </c>
      <c r="HK1088" s="319" t="s">
        <v>173</v>
      </c>
      <c r="HL1088" s="319" t="s">
        <v>173</v>
      </c>
      <c r="HM1088" s="319" t="s">
        <v>173</v>
      </c>
      <c r="HN1088" s="319" t="s">
        <v>173</v>
      </c>
      <c r="HO1088" s="319" t="s">
        <v>173</v>
      </c>
      <c r="HP1088" s="319" t="s">
        <v>173</v>
      </c>
      <c r="HQ1088" s="319" t="s">
        <v>173</v>
      </c>
      <c r="HR1088" s="319" t="s">
        <v>173</v>
      </c>
      <c r="HS1088" s="319" t="s">
        <v>173</v>
      </c>
      <c r="HT1088" s="319" t="s">
        <v>173</v>
      </c>
      <c r="HU1088" s="319" t="s">
        <v>173</v>
      </c>
      <c r="HV1088" s="319" t="s">
        <v>173</v>
      </c>
      <c r="HW1088" s="319" t="s">
        <v>173</v>
      </c>
      <c r="HX1088" s="319" t="s">
        <v>173</v>
      </c>
      <c r="HY1088" s="319" t="s">
        <v>173</v>
      </c>
      <c r="HZ1088" s="319" t="s">
        <v>173</v>
      </c>
      <c r="IA1088" s="319" t="s">
        <v>173</v>
      </c>
      <c r="IB1088" s="319" t="s">
        <v>173</v>
      </c>
      <c r="IC1088" s="319" t="s">
        <v>173</v>
      </c>
      <c r="ID1088" s="319" t="s">
        <v>173</v>
      </c>
      <c r="IE1088" s="319" t="s">
        <v>173</v>
      </c>
      <c r="IF1088" s="319" t="s">
        <v>173</v>
      </c>
      <c r="IG1088" s="319" t="s">
        <v>173</v>
      </c>
      <c r="IH1088" s="319" t="s">
        <v>173</v>
      </c>
      <c r="II1088" s="319" t="s">
        <v>173</v>
      </c>
      <c r="IJ1088" s="319" t="s">
        <v>173</v>
      </c>
      <c r="IK1088" s="319" t="s">
        <v>173</v>
      </c>
      <c r="IL1088" s="319" t="s">
        <v>173</v>
      </c>
      <c r="IM1088" s="319" t="s">
        <v>173</v>
      </c>
      <c r="IN1088" s="319" t="s">
        <v>173</v>
      </c>
      <c r="IO1088" s="319" t="s">
        <v>173</v>
      </c>
      <c r="IP1088" s="319" t="s">
        <v>173</v>
      </c>
      <c r="IQ1088" s="319" t="s">
        <v>173</v>
      </c>
      <c r="IR1088" s="320" t="s">
        <v>173</v>
      </c>
      <c r="IS1088" s="320" t="s">
        <v>173</v>
      </c>
      <c r="IT1088" s="319" t="s">
        <v>173</v>
      </c>
    </row>
    <row r="1089" spans="1:254" s="271" customFormat="1" x14ac:dyDescent="0.25">
      <c r="A1089" s="318" t="str">
        <f>HYPERLINK("http://www.ofsted.gov.uk/inspection-reports/find-inspection-report/provider/ELS/147306 ","Ofsted School Webpage")</f>
        <v>Ofsted School Webpage</v>
      </c>
      <c r="B1089" s="319">
        <v>147306</v>
      </c>
      <c r="C1089" s="319">
        <v>3846009</v>
      </c>
      <c r="D1089" s="319" t="s">
        <v>3673</v>
      </c>
      <c r="E1089" s="319" t="s">
        <v>168</v>
      </c>
      <c r="F1089" s="319" t="s">
        <v>81</v>
      </c>
      <c r="G1089" s="319" t="s">
        <v>81</v>
      </c>
      <c r="H1089" s="319" t="s">
        <v>81</v>
      </c>
      <c r="I1089" s="319" t="s">
        <v>78</v>
      </c>
      <c r="J1089" s="319" t="s">
        <v>424</v>
      </c>
      <c r="K1089" s="319" t="s">
        <v>458</v>
      </c>
      <c r="L1089" s="319" t="s">
        <v>459</v>
      </c>
      <c r="M1089" s="319" t="s">
        <v>460</v>
      </c>
      <c r="N1089" s="319" t="s">
        <v>2889</v>
      </c>
      <c r="O1089" s="319" t="s">
        <v>3674</v>
      </c>
      <c r="P1089" s="319" t="s">
        <v>173</v>
      </c>
      <c r="Q1089" s="319" t="s">
        <v>429</v>
      </c>
      <c r="R1089" s="320" t="s">
        <v>173</v>
      </c>
      <c r="S1089" s="321" t="s">
        <v>173</v>
      </c>
      <c r="T1089" s="321" t="s">
        <v>173</v>
      </c>
      <c r="U1089" s="321" t="s">
        <v>173</v>
      </c>
      <c r="V1089" s="319" t="s">
        <v>173</v>
      </c>
      <c r="W1089" s="319" t="s">
        <v>173</v>
      </c>
      <c r="X1089" s="319" t="s">
        <v>173</v>
      </c>
      <c r="Y1089" s="319" t="s">
        <v>173</v>
      </c>
      <c r="Z1089" s="319" t="s">
        <v>173</v>
      </c>
      <c r="AA1089" s="319" t="s">
        <v>173</v>
      </c>
      <c r="AB1089" s="319" t="s">
        <v>173</v>
      </c>
      <c r="AC1089" s="319" t="s">
        <v>173</v>
      </c>
      <c r="AD1089" s="319" t="s">
        <v>173</v>
      </c>
      <c r="AE1089" s="319" t="s">
        <v>173</v>
      </c>
      <c r="AF1089" s="319" t="s">
        <v>173</v>
      </c>
      <c r="AG1089" s="319" t="s">
        <v>173</v>
      </c>
      <c r="AH1089" s="319" t="s">
        <v>173</v>
      </c>
      <c r="AI1089" s="319" t="s">
        <v>173</v>
      </c>
      <c r="AJ1089" s="319" t="s">
        <v>173</v>
      </c>
      <c r="AK1089" s="319" t="s">
        <v>173</v>
      </c>
      <c r="AL1089" s="319" t="s">
        <v>173</v>
      </c>
      <c r="AM1089" s="319" t="s">
        <v>173</v>
      </c>
      <c r="AN1089" s="319" t="s">
        <v>173</v>
      </c>
      <c r="AO1089" s="319" t="s">
        <v>173</v>
      </c>
      <c r="AP1089" s="319" t="s">
        <v>173</v>
      </c>
      <c r="AQ1089" s="319" t="s">
        <v>173</v>
      </c>
      <c r="AR1089" s="319" t="s">
        <v>173</v>
      </c>
      <c r="AS1089" s="319" t="s">
        <v>173</v>
      </c>
      <c r="AT1089" s="319" t="s">
        <v>173</v>
      </c>
      <c r="AU1089" s="319" t="s">
        <v>173</v>
      </c>
      <c r="AV1089" s="319" t="s">
        <v>173</v>
      </c>
      <c r="AW1089" s="319" t="s">
        <v>173</v>
      </c>
      <c r="AX1089" s="319" t="s">
        <v>173</v>
      </c>
      <c r="AY1089" s="319" t="s">
        <v>173</v>
      </c>
      <c r="AZ1089" s="319" t="s">
        <v>173</v>
      </c>
      <c r="BA1089" s="319" t="s">
        <v>173</v>
      </c>
      <c r="BB1089" s="319" t="s">
        <v>173</v>
      </c>
      <c r="BC1089" s="319" t="s">
        <v>173</v>
      </c>
      <c r="BD1089" s="319" t="s">
        <v>173</v>
      </c>
      <c r="BE1089" s="319" t="s">
        <v>173</v>
      </c>
      <c r="BF1089" s="319" t="s">
        <v>173</v>
      </c>
      <c r="BG1089" s="319" t="s">
        <v>173</v>
      </c>
      <c r="BH1089" s="319" t="s">
        <v>173</v>
      </c>
      <c r="BI1089" s="319" t="s">
        <v>173</v>
      </c>
      <c r="BJ1089" s="319" t="s">
        <v>173</v>
      </c>
      <c r="BK1089" s="319" t="s">
        <v>173</v>
      </c>
      <c r="BL1089" s="319" t="s">
        <v>173</v>
      </c>
      <c r="BM1089" s="319" t="s">
        <v>173</v>
      </c>
      <c r="BN1089" s="319" t="s">
        <v>173</v>
      </c>
      <c r="BO1089" s="319" t="s">
        <v>173</v>
      </c>
      <c r="BP1089" s="319" t="s">
        <v>173</v>
      </c>
      <c r="BQ1089" s="319" t="s">
        <v>173</v>
      </c>
      <c r="BR1089" s="319" t="s">
        <v>173</v>
      </c>
      <c r="BS1089" s="319" t="s">
        <v>173</v>
      </c>
      <c r="BT1089" s="319" t="s">
        <v>173</v>
      </c>
      <c r="BU1089" s="319" t="s">
        <v>173</v>
      </c>
      <c r="BV1089" s="319" t="s">
        <v>173</v>
      </c>
      <c r="BW1089" s="319" t="s">
        <v>173</v>
      </c>
      <c r="BX1089" s="319" t="s">
        <v>173</v>
      </c>
      <c r="BY1089" s="319" t="s">
        <v>173</v>
      </c>
      <c r="BZ1089" s="319" t="s">
        <v>173</v>
      </c>
      <c r="CA1089" s="319" t="s">
        <v>173</v>
      </c>
      <c r="CB1089" s="319" t="s">
        <v>173</v>
      </c>
      <c r="CC1089" s="319" t="s">
        <v>173</v>
      </c>
      <c r="CD1089" s="319" t="s">
        <v>173</v>
      </c>
      <c r="CE1089" s="319" t="s">
        <v>173</v>
      </c>
      <c r="CF1089" s="319" t="s">
        <v>173</v>
      </c>
      <c r="CG1089" s="319" t="s">
        <v>173</v>
      </c>
      <c r="CH1089" s="319" t="s">
        <v>173</v>
      </c>
      <c r="CI1089" s="319" t="s">
        <v>173</v>
      </c>
      <c r="CJ1089" s="319" t="s">
        <v>173</v>
      </c>
      <c r="CK1089" s="319" t="s">
        <v>173</v>
      </c>
      <c r="CL1089" s="319" t="s">
        <v>173</v>
      </c>
      <c r="CM1089" s="319" t="s">
        <v>173</v>
      </c>
      <c r="CN1089" s="319" t="s">
        <v>173</v>
      </c>
      <c r="CO1089" s="319" t="s">
        <v>173</v>
      </c>
      <c r="CP1089" s="319" t="s">
        <v>173</v>
      </c>
      <c r="CQ1089" s="319" t="s">
        <v>173</v>
      </c>
      <c r="CR1089" s="319" t="s">
        <v>173</v>
      </c>
      <c r="CS1089" s="319" t="s">
        <v>173</v>
      </c>
      <c r="CT1089" s="319" t="s">
        <v>173</v>
      </c>
      <c r="CU1089" s="319" t="s">
        <v>173</v>
      </c>
      <c r="CV1089" s="319" t="s">
        <v>173</v>
      </c>
      <c r="CW1089" s="319" t="s">
        <v>173</v>
      </c>
      <c r="CX1089" s="319" t="s">
        <v>173</v>
      </c>
      <c r="CY1089" s="319" t="s">
        <v>173</v>
      </c>
      <c r="CZ1089" s="319" t="s">
        <v>173</v>
      </c>
      <c r="DA1089" s="319" t="s">
        <v>173</v>
      </c>
      <c r="DB1089" s="319" t="s">
        <v>173</v>
      </c>
      <c r="DC1089" s="319" t="s">
        <v>173</v>
      </c>
      <c r="DD1089" s="319" t="s">
        <v>173</v>
      </c>
      <c r="DE1089" s="319" t="s">
        <v>173</v>
      </c>
      <c r="DF1089" s="319" t="s">
        <v>173</v>
      </c>
      <c r="DG1089" s="319" t="s">
        <v>173</v>
      </c>
      <c r="DH1089" s="319" t="s">
        <v>173</v>
      </c>
      <c r="DI1089" s="319" t="s">
        <v>173</v>
      </c>
      <c r="DJ1089" s="319" t="s">
        <v>173</v>
      </c>
      <c r="DK1089" s="319" t="s">
        <v>173</v>
      </c>
      <c r="DL1089" s="319" t="s">
        <v>173</v>
      </c>
      <c r="DM1089" s="319" t="s">
        <v>173</v>
      </c>
      <c r="DN1089" s="319" t="s">
        <v>173</v>
      </c>
      <c r="DO1089" s="319" t="s">
        <v>173</v>
      </c>
      <c r="DP1089" s="319" t="s">
        <v>173</v>
      </c>
      <c r="DQ1089" s="319" t="s">
        <v>173</v>
      </c>
      <c r="DR1089" s="319" t="s">
        <v>173</v>
      </c>
      <c r="DS1089" s="319" t="s">
        <v>173</v>
      </c>
      <c r="DT1089" s="319" t="s">
        <v>173</v>
      </c>
      <c r="DU1089" s="319" t="s">
        <v>173</v>
      </c>
      <c r="DV1089" s="319" t="s">
        <v>173</v>
      </c>
      <c r="DW1089" s="319" t="s">
        <v>173</v>
      </c>
      <c r="DX1089" s="319" t="s">
        <v>173</v>
      </c>
      <c r="DY1089" s="319" t="s">
        <v>173</v>
      </c>
      <c r="DZ1089" s="319" t="s">
        <v>173</v>
      </c>
      <c r="EA1089" s="319" t="s">
        <v>173</v>
      </c>
      <c r="EB1089" s="319" t="s">
        <v>173</v>
      </c>
      <c r="EC1089" s="319" t="s">
        <v>173</v>
      </c>
      <c r="ED1089" s="319" t="s">
        <v>173</v>
      </c>
      <c r="EE1089" s="319" t="s">
        <v>173</v>
      </c>
      <c r="EF1089" s="319" t="s">
        <v>173</v>
      </c>
      <c r="EG1089" s="319" t="s">
        <v>173</v>
      </c>
      <c r="EH1089" s="319" t="s">
        <v>173</v>
      </c>
      <c r="EI1089" s="319" t="s">
        <v>173</v>
      </c>
      <c r="EJ1089" s="319" t="s">
        <v>173</v>
      </c>
      <c r="EK1089" s="319" t="s">
        <v>173</v>
      </c>
      <c r="EL1089" s="319" t="s">
        <v>173</v>
      </c>
      <c r="EM1089" s="319" t="s">
        <v>173</v>
      </c>
      <c r="EN1089" s="319" t="s">
        <v>173</v>
      </c>
      <c r="EO1089" s="319" t="s">
        <v>173</v>
      </c>
      <c r="EP1089" s="319" t="s">
        <v>173</v>
      </c>
      <c r="EQ1089" s="319" t="s">
        <v>173</v>
      </c>
      <c r="ER1089" s="319" t="s">
        <v>173</v>
      </c>
      <c r="ES1089" s="319" t="s">
        <v>173</v>
      </c>
      <c r="ET1089" s="319" t="s">
        <v>173</v>
      </c>
      <c r="EU1089" s="319" t="s">
        <v>173</v>
      </c>
      <c r="EV1089" s="319" t="s">
        <v>173</v>
      </c>
      <c r="EW1089" s="319" t="s">
        <v>173</v>
      </c>
      <c r="EX1089" s="319" t="s">
        <v>173</v>
      </c>
      <c r="EY1089" s="319" t="s">
        <v>173</v>
      </c>
      <c r="EZ1089" s="319" t="s">
        <v>173</v>
      </c>
      <c r="FA1089" s="319" t="s">
        <v>173</v>
      </c>
      <c r="FB1089" s="319" t="s">
        <v>173</v>
      </c>
      <c r="FC1089" s="319" t="s">
        <v>173</v>
      </c>
      <c r="FD1089" s="319" t="s">
        <v>173</v>
      </c>
      <c r="FE1089" s="319" t="s">
        <v>173</v>
      </c>
      <c r="FF1089" s="319" t="s">
        <v>173</v>
      </c>
      <c r="FG1089" s="319" t="s">
        <v>173</v>
      </c>
      <c r="FH1089" s="319" t="s">
        <v>173</v>
      </c>
      <c r="FI1089" s="319" t="s">
        <v>173</v>
      </c>
      <c r="FJ1089" s="319" t="s">
        <v>173</v>
      </c>
      <c r="FK1089" s="319" t="s">
        <v>173</v>
      </c>
      <c r="FL1089" s="319" t="s">
        <v>173</v>
      </c>
      <c r="FM1089" s="319" t="s">
        <v>173</v>
      </c>
      <c r="FN1089" s="319" t="s">
        <v>173</v>
      </c>
      <c r="FO1089" s="319" t="s">
        <v>173</v>
      </c>
      <c r="FP1089" s="319" t="s">
        <v>173</v>
      </c>
      <c r="FQ1089" s="319" t="s">
        <v>173</v>
      </c>
      <c r="FR1089" s="319" t="s">
        <v>173</v>
      </c>
      <c r="FS1089" s="319" t="s">
        <v>173</v>
      </c>
      <c r="FT1089" s="319" t="s">
        <v>173</v>
      </c>
      <c r="FU1089" s="319" t="s">
        <v>173</v>
      </c>
      <c r="FV1089" s="319" t="s">
        <v>173</v>
      </c>
      <c r="FW1089" s="319" t="s">
        <v>173</v>
      </c>
      <c r="FX1089" s="319" t="s">
        <v>173</v>
      </c>
      <c r="FY1089" s="319" t="s">
        <v>173</v>
      </c>
      <c r="FZ1089" s="319" t="s">
        <v>173</v>
      </c>
      <c r="GA1089" s="319" t="s">
        <v>173</v>
      </c>
      <c r="GB1089" s="319" t="s">
        <v>173</v>
      </c>
      <c r="GC1089" s="319" t="s">
        <v>173</v>
      </c>
      <c r="GD1089" s="319" t="s">
        <v>173</v>
      </c>
      <c r="GE1089" s="319" t="s">
        <v>173</v>
      </c>
      <c r="GF1089" s="319" t="s">
        <v>173</v>
      </c>
      <c r="GG1089" s="319" t="s">
        <v>173</v>
      </c>
      <c r="GH1089" s="319" t="s">
        <v>173</v>
      </c>
      <c r="GI1089" s="319" t="s">
        <v>173</v>
      </c>
      <c r="GJ1089" s="319" t="s">
        <v>173</v>
      </c>
      <c r="GK1089" s="319" t="s">
        <v>173</v>
      </c>
      <c r="GL1089" s="319" t="s">
        <v>173</v>
      </c>
      <c r="GM1089" s="319" t="s">
        <v>173</v>
      </c>
      <c r="GN1089" s="319" t="s">
        <v>173</v>
      </c>
      <c r="GO1089" s="319" t="s">
        <v>173</v>
      </c>
      <c r="GP1089" s="319" t="s">
        <v>173</v>
      </c>
      <c r="GQ1089" s="319" t="s">
        <v>173</v>
      </c>
      <c r="GR1089" s="319" t="s">
        <v>173</v>
      </c>
      <c r="GS1089" s="319" t="s">
        <v>173</v>
      </c>
      <c r="GT1089" s="319" t="s">
        <v>173</v>
      </c>
      <c r="GU1089" s="319" t="s">
        <v>173</v>
      </c>
      <c r="GV1089" s="319" t="s">
        <v>173</v>
      </c>
      <c r="GW1089" s="319" t="s">
        <v>173</v>
      </c>
      <c r="GX1089" s="319" t="s">
        <v>173</v>
      </c>
      <c r="GY1089" s="319" t="s">
        <v>173</v>
      </c>
      <c r="GZ1089" s="319" t="s">
        <v>173</v>
      </c>
      <c r="HA1089" s="319" t="s">
        <v>173</v>
      </c>
      <c r="HB1089" s="319" t="s">
        <v>173</v>
      </c>
      <c r="HC1089" s="319" t="s">
        <v>173</v>
      </c>
      <c r="HD1089" s="319" t="s">
        <v>173</v>
      </c>
      <c r="HE1089" s="319" t="s">
        <v>173</v>
      </c>
      <c r="HF1089" s="319" t="s">
        <v>173</v>
      </c>
      <c r="HG1089" s="319" t="s">
        <v>173</v>
      </c>
      <c r="HH1089" s="319" t="s">
        <v>173</v>
      </c>
      <c r="HI1089" s="319" t="s">
        <v>173</v>
      </c>
      <c r="HJ1089" s="319" t="s">
        <v>173</v>
      </c>
      <c r="HK1089" s="319" t="s">
        <v>173</v>
      </c>
      <c r="HL1089" s="319" t="s">
        <v>173</v>
      </c>
      <c r="HM1089" s="319" t="s">
        <v>173</v>
      </c>
      <c r="HN1089" s="319" t="s">
        <v>173</v>
      </c>
      <c r="HO1089" s="319" t="s">
        <v>173</v>
      </c>
      <c r="HP1089" s="319" t="s">
        <v>173</v>
      </c>
      <c r="HQ1089" s="319" t="s">
        <v>173</v>
      </c>
      <c r="HR1089" s="319" t="s">
        <v>173</v>
      </c>
      <c r="HS1089" s="319" t="s">
        <v>173</v>
      </c>
      <c r="HT1089" s="319" t="s">
        <v>173</v>
      </c>
      <c r="HU1089" s="319" t="s">
        <v>173</v>
      </c>
      <c r="HV1089" s="319" t="s">
        <v>173</v>
      </c>
      <c r="HW1089" s="319" t="s">
        <v>173</v>
      </c>
      <c r="HX1089" s="319" t="s">
        <v>173</v>
      </c>
      <c r="HY1089" s="319" t="s">
        <v>173</v>
      </c>
      <c r="HZ1089" s="319" t="s">
        <v>173</v>
      </c>
      <c r="IA1089" s="319" t="s">
        <v>173</v>
      </c>
      <c r="IB1089" s="319" t="s">
        <v>173</v>
      </c>
      <c r="IC1089" s="319" t="s">
        <v>173</v>
      </c>
      <c r="ID1089" s="319" t="s">
        <v>173</v>
      </c>
      <c r="IE1089" s="319" t="s">
        <v>173</v>
      </c>
      <c r="IF1089" s="319" t="s">
        <v>173</v>
      </c>
      <c r="IG1089" s="319" t="s">
        <v>173</v>
      </c>
      <c r="IH1089" s="319" t="s">
        <v>173</v>
      </c>
      <c r="II1089" s="319" t="s">
        <v>173</v>
      </c>
      <c r="IJ1089" s="319" t="s">
        <v>173</v>
      </c>
      <c r="IK1089" s="319" t="s">
        <v>173</v>
      </c>
      <c r="IL1089" s="319" t="s">
        <v>173</v>
      </c>
      <c r="IM1089" s="319" t="s">
        <v>173</v>
      </c>
      <c r="IN1089" s="319" t="s">
        <v>173</v>
      </c>
      <c r="IO1089" s="319" t="s">
        <v>173</v>
      </c>
      <c r="IP1089" s="319" t="s">
        <v>173</v>
      </c>
      <c r="IQ1089" s="321" t="s">
        <v>173</v>
      </c>
      <c r="IR1089" s="320" t="s">
        <v>173</v>
      </c>
      <c r="IS1089" s="322" t="s">
        <v>173</v>
      </c>
      <c r="IT1089" s="319" t="s">
        <v>173</v>
      </c>
    </row>
    <row r="1090" spans="1:254" s="271" customFormat="1" x14ac:dyDescent="0.25">
      <c r="A1090" s="318" t="str">
        <f>HYPERLINK("http://www.ofsted.gov.uk/inspection-reports/find-inspection-report/provider/ELS/147312 ","Ofsted School Webpage")</f>
        <v>Ofsted School Webpage</v>
      </c>
      <c r="B1090" s="319">
        <v>147312</v>
      </c>
      <c r="C1090" s="319">
        <v>2046022</v>
      </c>
      <c r="D1090" s="319" t="s">
        <v>3675</v>
      </c>
      <c r="E1090" s="319" t="s">
        <v>167</v>
      </c>
      <c r="F1090" s="319" t="s">
        <v>434</v>
      </c>
      <c r="G1090" s="319" t="s">
        <v>69</v>
      </c>
      <c r="H1090" s="319" t="s">
        <v>69</v>
      </c>
      <c r="I1090" s="319" t="s">
        <v>69</v>
      </c>
      <c r="J1090" s="319" t="s">
        <v>424</v>
      </c>
      <c r="K1090" s="319" t="s">
        <v>441</v>
      </c>
      <c r="L1090" s="319" t="s">
        <v>441</v>
      </c>
      <c r="M1090" s="319" t="s">
        <v>547</v>
      </c>
      <c r="N1090" s="319" t="s">
        <v>2774</v>
      </c>
      <c r="O1090" s="319" t="s">
        <v>3676</v>
      </c>
      <c r="P1090" s="319" t="s">
        <v>173</v>
      </c>
      <c r="Q1090" s="319" t="s">
        <v>2766</v>
      </c>
      <c r="R1090" s="320" t="s">
        <v>173</v>
      </c>
      <c r="S1090" s="321" t="s">
        <v>173</v>
      </c>
      <c r="T1090" s="321" t="s">
        <v>173</v>
      </c>
      <c r="U1090" s="321" t="s">
        <v>173</v>
      </c>
      <c r="V1090" s="319" t="s">
        <v>173</v>
      </c>
      <c r="W1090" s="319" t="s">
        <v>173</v>
      </c>
      <c r="X1090" s="319" t="s">
        <v>173</v>
      </c>
      <c r="Y1090" s="319" t="s">
        <v>173</v>
      </c>
      <c r="Z1090" s="319" t="s">
        <v>173</v>
      </c>
      <c r="AA1090" s="319" t="s">
        <v>173</v>
      </c>
      <c r="AB1090" s="319" t="s">
        <v>173</v>
      </c>
      <c r="AC1090" s="319" t="s">
        <v>173</v>
      </c>
      <c r="AD1090" s="319" t="s">
        <v>173</v>
      </c>
      <c r="AE1090" s="319" t="s">
        <v>173</v>
      </c>
      <c r="AF1090" s="319" t="s">
        <v>173</v>
      </c>
      <c r="AG1090" s="319" t="s">
        <v>173</v>
      </c>
      <c r="AH1090" s="319" t="s">
        <v>173</v>
      </c>
      <c r="AI1090" s="319" t="s">
        <v>173</v>
      </c>
      <c r="AJ1090" s="319" t="s">
        <v>173</v>
      </c>
      <c r="AK1090" s="319" t="s">
        <v>173</v>
      </c>
      <c r="AL1090" s="319" t="s">
        <v>173</v>
      </c>
      <c r="AM1090" s="319" t="s">
        <v>173</v>
      </c>
      <c r="AN1090" s="319" t="s">
        <v>173</v>
      </c>
      <c r="AO1090" s="319" t="s">
        <v>173</v>
      </c>
      <c r="AP1090" s="319" t="s">
        <v>173</v>
      </c>
      <c r="AQ1090" s="319" t="s">
        <v>173</v>
      </c>
      <c r="AR1090" s="319" t="s">
        <v>173</v>
      </c>
      <c r="AS1090" s="319" t="s">
        <v>173</v>
      </c>
      <c r="AT1090" s="319" t="s">
        <v>173</v>
      </c>
      <c r="AU1090" s="319" t="s">
        <v>173</v>
      </c>
      <c r="AV1090" s="319" t="s">
        <v>173</v>
      </c>
      <c r="AW1090" s="319" t="s">
        <v>173</v>
      </c>
      <c r="AX1090" s="319" t="s">
        <v>173</v>
      </c>
      <c r="AY1090" s="319" t="s">
        <v>173</v>
      </c>
      <c r="AZ1090" s="319" t="s">
        <v>173</v>
      </c>
      <c r="BA1090" s="319" t="s">
        <v>173</v>
      </c>
      <c r="BB1090" s="319" t="s">
        <v>173</v>
      </c>
      <c r="BC1090" s="319" t="s">
        <v>173</v>
      </c>
      <c r="BD1090" s="319" t="s">
        <v>173</v>
      </c>
      <c r="BE1090" s="319" t="s">
        <v>173</v>
      </c>
      <c r="BF1090" s="319" t="s">
        <v>173</v>
      </c>
      <c r="BG1090" s="319" t="s">
        <v>173</v>
      </c>
      <c r="BH1090" s="319" t="s">
        <v>173</v>
      </c>
      <c r="BI1090" s="319" t="s">
        <v>173</v>
      </c>
      <c r="BJ1090" s="319" t="s">
        <v>173</v>
      </c>
      <c r="BK1090" s="319" t="s">
        <v>173</v>
      </c>
      <c r="BL1090" s="319" t="s">
        <v>173</v>
      </c>
      <c r="BM1090" s="319" t="s">
        <v>173</v>
      </c>
      <c r="BN1090" s="319" t="s">
        <v>173</v>
      </c>
      <c r="BO1090" s="319" t="s">
        <v>173</v>
      </c>
      <c r="BP1090" s="319" t="s">
        <v>173</v>
      </c>
      <c r="BQ1090" s="319" t="s">
        <v>173</v>
      </c>
      <c r="BR1090" s="319" t="s">
        <v>173</v>
      </c>
      <c r="BS1090" s="319" t="s">
        <v>173</v>
      </c>
      <c r="BT1090" s="319" t="s">
        <v>173</v>
      </c>
      <c r="BU1090" s="319" t="s">
        <v>173</v>
      </c>
      <c r="BV1090" s="319" t="s">
        <v>173</v>
      </c>
      <c r="BW1090" s="319" t="s">
        <v>173</v>
      </c>
      <c r="BX1090" s="319" t="s">
        <v>173</v>
      </c>
      <c r="BY1090" s="319" t="s">
        <v>173</v>
      </c>
      <c r="BZ1090" s="319" t="s">
        <v>173</v>
      </c>
      <c r="CA1090" s="319" t="s">
        <v>173</v>
      </c>
      <c r="CB1090" s="319" t="s">
        <v>173</v>
      </c>
      <c r="CC1090" s="319" t="s">
        <v>173</v>
      </c>
      <c r="CD1090" s="319" t="s">
        <v>173</v>
      </c>
      <c r="CE1090" s="319" t="s">
        <v>173</v>
      </c>
      <c r="CF1090" s="319" t="s">
        <v>173</v>
      </c>
      <c r="CG1090" s="319" t="s">
        <v>173</v>
      </c>
      <c r="CH1090" s="319" t="s">
        <v>173</v>
      </c>
      <c r="CI1090" s="319" t="s">
        <v>173</v>
      </c>
      <c r="CJ1090" s="319" t="s">
        <v>173</v>
      </c>
      <c r="CK1090" s="319" t="s">
        <v>173</v>
      </c>
      <c r="CL1090" s="319" t="s">
        <v>173</v>
      </c>
      <c r="CM1090" s="319" t="s">
        <v>173</v>
      </c>
      <c r="CN1090" s="319" t="s">
        <v>173</v>
      </c>
      <c r="CO1090" s="319" t="s">
        <v>173</v>
      </c>
      <c r="CP1090" s="319" t="s">
        <v>173</v>
      </c>
      <c r="CQ1090" s="319" t="s">
        <v>173</v>
      </c>
      <c r="CR1090" s="319" t="s">
        <v>173</v>
      </c>
      <c r="CS1090" s="319" t="s">
        <v>173</v>
      </c>
      <c r="CT1090" s="319" t="s">
        <v>173</v>
      </c>
      <c r="CU1090" s="319" t="s">
        <v>173</v>
      </c>
      <c r="CV1090" s="319" t="s">
        <v>173</v>
      </c>
      <c r="CW1090" s="319" t="s">
        <v>173</v>
      </c>
      <c r="CX1090" s="319" t="s">
        <v>173</v>
      </c>
      <c r="CY1090" s="319" t="s">
        <v>173</v>
      </c>
      <c r="CZ1090" s="319" t="s">
        <v>173</v>
      </c>
      <c r="DA1090" s="319" t="s">
        <v>173</v>
      </c>
      <c r="DB1090" s="319" t="s">
        <v>173</v>
      </c>
      <c r="DC1090" s="319" t="s">
        <v>173</v>
      </c>
      <c r="DD1090" s="319" t="s">
        <v>173</v>
      </c>
      <c r="DE1090" s="319" t="s">
        <v>173</v>
      </c>
      <c r="DF1090" s="319" t="s">
        <v>173</v>
      </c>
      <c r="DG1090" s="319" t="s">
        <v>173</v>
      </c>
      <c r="DH1090" s="319" t="s">
        <v>173</v>
      </c>
      <c r="DI1090" s="319" t="s">
        <v>173</v>
      </c>
      <c r="DJ1090" s="319" t="s">
        <v>173</v>
      </c>
      <c r="DK1090" s="319" t="s">
        <v>173</v>
      </c>
      <c r="DL1090" s="319" t="s">
        <v>173</v>
      </c>
      <c r="DM1090" s="319" t="s">
        <v>173</v>
      </c>
      <c r="DN1090" s="319" t="s">
        <v>173</v>
      </c>
      <c r="DO1090" s="319" t="s">
        <v>173</v>
      </c>
      <c r="DP1090" s="319" t="s">
        <v>173</v>
      </c>
      <c r="DQ1090" s="319" t="s">
        <v>173</v>
      </c>
      <c r="DR1090" s="319" t="s">
        <v>173</v>
      </c>
      <c r="DS1090" s="319" t="s">
        <v>173</v>
      </c>
      <c r="DT1090" s="319" t="s">
        <v>173</v>
      </c>
      <c r="DU1090" s="319" t="s">
        <v>173</v>
      </c>
      <c r="DV1090" s="319" t="s">
        <v>173</v>
      </c>
      <c r="DW1090" s="319" t="s">
        <v>173</v>
      </c>
      <c r="DX1090" s="319" t="s">
        <v>173</v>
      </c>
      <c r="DY1090" s="319" t="s">
        <v>173</v>
      </c>
      <c r="DZ1090" s="319" t="s">
        <v>173</v>
      </c>
      <c r="EA1090" s="319" t="s">
        <v>173</v>
      </c>
      <c r="EB1090" s="319" t="s">
        <v>173</v>
      </c>
      <c r="EC1090" s="319" t="s">
        <v>173</v>
      </c>
      <c r="ED1090" s="319" t="s">
        <v>173</v>
      </c>
      <c r="EE1090" s="319" t="s">
        <v>173</v>
      </c>
      <c r="EF1090" s="319" t="s">
        <v>173</v>
      </c>
      <c r="EG1090" s="319" t="s">
        <v>173</v>
      </c>
      <c r="EH1090" s="319" t="s">
        <v>173</v>
      </c>
      <c r="EI1090" s="319" t="s">
        <v>173</v>
      </c>
      <c r="EJ1090" s="319" t="s">
        <v>173</v>
      </c>
      <c r="EK1090" s="319" t="s">
        <v>173</v>
      </c>
      <c r="EL1090" s="319" t="s">
        <v>173</v>
      </c>
      <c r="EM1090" s="319" t="s">
        <v>173</v>
      </c>
      <c r="EN1090" s="319" t="s">
        <v>173</v>
      </c>
      <c r="EO1090" s="319" t="s">
        <v>173</v>
      </c>
      <c r="EP1090" s="319" t="s">
        <v>173</v>
      </c>
      <c r="EQ1090" s="319" t="s">
        <v>173</v>
      </c>
      <c r="ER1090" s="319" t="s">
        <v>173</v>
      </c>
      <c r="ES1090" s="319" t="s">
        <v>173</v>
      </c>
      <c r="ET1090" s="319" t="s">
        <v>173</v>
      </c>
      <c r="EU1090" s="319" t="s">
        <v>173</v>
      </c>
      <c r="EV1090" s="319" t="s">
        <v>173</v>
      </c>
      <c r="EW1090" s="319" t="s">
        <v>173</v>
      </c>
      <c r="EX1090" s="319" t="s">
        <v>173</v>
      </c>
      <c r="EY1090" s="319" t="s">
        <v>173</v>
      </c>
      <c r="EZ1090" s="319" t="s">
        <v>173</v>
      </c>
      <c r="FA1090" s="319" t="s">
        <v>173</v>
      </c>
      <c r="FB1090" s="319" t="s">
        <v>173</v>
      </c>
      <c r="FC1090" s="319" t="s">
        <v>173</v>
      </c>
      <c r="FD1090" s="319" t="s">
        <v>173</v>
      </c>
      <c r="FE1090" s="319" t="s">
        <v>173</v>
      </c>
      <c r="FF1090" s="319" t="s">
        <v>173</v>
      </c>
      <c r="FG1090" s="319" t="s">
        <v>173</v>
      </c>
      <c r="FH1090" s="319" t="s">
        <v>173</v>
      </c>
      <c r="FI1090" s="319" t="s">
        <v>173</v>
      </c>
      <c r="FJ1090" s="319" t="s">
        <v>173</v>
      </c>
      <c r="FK1090" s="319" t="s">
        <v>173</v>
      </c>
      <c r="FL1090" s="319" t="s">
        <v>173</v>
      </c>
      <c r="FM1090" s="319" t="s">
        <v>173</v>
      </c>
      <c r="FN1090" s="319" t="s">
        <v>173</v>
      </c>
      <c r="FO1090" s="319" t="s">
        <v>173</v>
      </c>
      <c r="FP1090" s="319" t="s">
        <v>173</v>
      </c>
      <c r="FQ1090" s="319" t="s">
        <v>173</v>
      </c>
      <c r="FR1090" s="319" t="s">
        <v>173</v>
      </c>
      <c r="FS1090" s="319" t="s">
        <v>173</v>
      </c>
      <c r="FT1090" s="319" t="s">
        <v>173</v>
      </c>
      <c r="FU1090" s="319" t="s">
        <v>173</v>
      </c>
      <c r="FV1090" s="319" t="s">
        <v>173</v>
      </c>
      <c r="FW1090" s="319" t="s">
        <v>173</v>
      </c>
      <c r="FX1090" s="319" t="s">
        <v>173</v>
      </c>
      <c r="FY1090" s="319" t="s">
        <v>173</v>
      </c>
      <c r="FZ1090" s="319" t="s">
        <v>173</v>
      </c>
      <c r="GA1090" s="319" t="s">
        <v>173</v>
      </c>
      <c r="GB1090" s="319" t="s">
        <v>173</v>
      </c>
      <c r="GC1090" s="319" t="s">
        <v>173</v>
      </c>
      <c r="GD1090" s="319" t="s">
        <v>173</v>
      </c>
      <c r="GE1090" s="319" t="s">
        <v>173</v>
      </c>
      <c r="GF1090" s="319" t="s">
        <v>173</v>
      </c>
      <c r="GG1090" s="319" t="s">
        <v>173</v>
      </c>
      <c r="GH1090" s="319" t="s">
        <v>173</v>
      </c>
      <c r="GI1090" s="319" t="s">
        <v>173</v>
      </c>
      <c r="GJ1090" s="319" t="s">
        <v>173</v>
      </c>
      <c r="GK1090" s="319" t="s">
        <v>173</v>
      </c>
      <c r="GL1090" s="319" t="s">
        <v>173</v>
      </c>
      <c r="GM1090" s="319" t="s">
        <v>173</v>
      </c>
      <c r="GN1090" s="319" t="s">
        <v>173</v>
      </c>
      <c r="GO1090" s="319" t="s">
        <v>173</v>
      </c>
      <c r="GP1090" s="319" t="s">
        <v>173</v>
      </c>
      <c r="GQ1090" s="319" t="s">
        <v>173</v>
      </c>
      <c r="GR1090" s="319" t="s">
        <v>173</v>
      </c>
      <c r="GS1090" s="319" t="s">
        <v>173</v>
      </c>
      <c r="GT1090" s="319" t="s">
        <v>173</v>
      </c>
      <c r="GU1090" s="319" t="s">
        <v>173</v>
      </c>
      <c r="GV1090" s="319" t="s">
        <v>173</v>
      </c>
      <c r="GW1090" s="319" t="s">
        <v>173</v>
      </c>
      <c r="GX1090" s="319" t="s">
        <v>173</v>
      </c>
      <c r="GY1090" s="319" t="s">
        <v>173</v>
      </c>
      <c r="GZ1090" s="319" t="s">
        <v>173</v>
      </c>
      <c r="HA1090" s="319" t="s">
        <v>173</v>
      </c>
      <c r="HB1090" s="319" t="s">
        <v>173</v>
      </c>
      <c r="HC1090" s="319" t="s">
        <v>173</v>
      </c>
      <c r="HD1090" s="319" t="s">
        <v>173</v>
      </c>
      <c r="HE1090" s="319" t="s">
        <v>173</v>
      </c>
      <c r="HF1090" s="319" t="s">
        <v>173</v>
      </c>
      <c r="HG1090" s="319" t="s">
        <v>173</v>
      </c>
      <c r="HH1090" s="319" t="s">
        <v>173</v>
      </c>
      <c r="HI1090" s="319" t="s">
        <v>173</v>
      </c>
      <c r="HJ1090" s="319" t="s">
        <v>173</v>
      </c>
      <c r="HK1090" s="319" t="s">
        <v>173</v>
      </c>
      <c r="HL1090" s="319" t="s">
        <v>173</v>
      </c>
      <c r="HM1090" s="319" t="s">
        <v>173</v>
      </c>
      <c r="HN1090" s="319" t="s">
        <v>173</v>
      </c>
      <c r="HO1090" s="319" t="s">
        <v>173</v>
      </c>
      <c r="HP1090" s="319" t="s">
        <v>173</v>
      </c>
      <c r="HQ1090" s="319" t="s">
        <v>173</v>
      </c>
      <c r="HR1090" s="319" t="s">
        <v>173</v>
      </c>
      <c r="HS1090" s="319" t="s">
        <v>173</v>
      </c>
      <c r="HT1090" s="319" t="s">
        <v>173</v>
      </c>
      <c r="HU1090" s="319" t="s">
        <v>173</v>
      </c>
      <c r="HV1090" s="319" t="s">
        <v>173</v>
      </c>
      <c r="HW1090" s="319" t="s">
        <v>173</v>
      </c>
      <c r="HX1090" s="319" t="s">
        <v>173</v>
      </c>
      <c r="HY1090" s="319" t="s">
        <v>173</v>
      </c>
      <c r="HZ1090" s="319" t="s">
        <v>173</v>
      </c>
      <c r="IA1090" s="319" t="s">
        <v>173</v>
      </c>
      <c r="IB1090" s="319" t="s">
        <v>173</v>
      </c>
      <c r="IC1090" s="319" t="s">
        <v>173</v>
      </c>
      <c r="ID1090" s="319" t="s">
        <v>173</v>
      </c>
      <c r="IE1090" s="319" t="s">
        <v>173</v>
      </c>
      <c r="IF1090" s="319" t="s">
        <v>173</v>
      </c>
      <c r="IG1090" s="319" t="s">
        <v>173</v>
      </c>
      <c r="IH1090" s="319" t="s">
        <v>173</v>
      </c>
      <c r="II1090" s="319" t="s">
        <v>173</v>
      </c>
      <c r="IJ1090" s="319" t="s">
        <v>173</v>
      </c>
      <c r="IK1090" s="319" t="s">
        <v>173</v>
      </c>
      <c r="IL1090" s="319" t="s">
        <v>173</v>
      </c>
      <c r="IM1090" s="319" t="s">
        <v>173</v>
      </c>
      <c r="IN1090" s="319" t="s">
        <v>173</v>
      </c>
      <c r="IO1090" s="319" t="s">
        <v>173</v>
      </c>
      <c r="IP1090" s="319" t="s">
        <v>173</v>
      </c>
      <c r="IQ1090" s="319" t="s">
        <v>173</v>
      </c>
      <c r="IR1090" s="320" t="s">
        <v>173</v>
      </c>
      <c r="IS1090" s="320" t="s">
        <v>173</v>
      </c>
      <c r="IT1090" s="319" t="s">
        <v>173</v>
      </c>
    </row>
    <row r="1091" spans="1:254" s="271" customFormat="1" x14ac:dyDescent="0.25">
      <c r="A1091" s="318" t="str">
        <f>HYPERLINK("http://www.ofsted.gov.uk/inspection-reports/find-inspection-report/provider/ELS/147313 ","Ofsted School Webpage")</f>
        <v>Ofsted School Webpage</v>
      </c>
      <c r="B1091" s="319">
        <v>147313</v>
      </c>
      <c r="C1091" s="319">
        <v>3906012</v>
      </c>
      <c r="D1091" s="319" t="s">
        <v>2701</v>
      </c>
      <c r="E1091" s="319" t="s">
        <v>167</v>
      </c>
      <c r="F1091" s="319" t="s">
        <v>434</v>
      </c>
      <c r="G1091" s="319" t="s">
        <v>70</v>
      </c>
      <c r="H1091" s="319" t="s">
        <v>70</v>
      </c>
      <c r="I1091" s="319" t="s">
        <v>69</v>
      </c>
      <c r="J1091" s="319" t="s">
        <v>424</v>
      </c>
      <c r="K1091" s="319" t="s">
        <v>458</v>
      </c>
      <c r="L1091" s="319" t="s">
        <v>474</v>
      </c>
      <c r="M1091" s="319" t="s">
        <v>787</v>
      </c>
      <c r="N1091" s="319" t="s">
        <v>787</v>
      </c>
      <c r="O1091" s="319" t="s">
        <v>788</v>
      </c>
      <c r="P1091" s="319" t="s">
        <v>173</v>
      </c>
      <c r="Q1091" s="319" t="s">
        <v>2766</v>
      </c>
      <c r="R1091" s="320" t="s">
        <v>173</v>
      </c>
      <c r="S1091" s="321" t="s">
        <v>173</v>
      </c>
      <c r="T1091" s="321" t="s">
        <v>173</v>
      </c>
      <c r="U1091" s="321" t="s">
        <v>173</v>
      </c>
      <c r="V1091" s="319" t="s">
        <v>173</v>
      </c>
      <c r="W1091" s="319" t="s">
        <v>173</v>
      </c>
      <c r="X1091" s="319" t="s">
        <v>173</v>
      </c>
      <c r="Y1091" s="319" t="s">
        <v>173</v>
      </c>
      <c r="Z1091" s="319" t="s">
        <v>173</v>
      </c>
      <c r="AA1091" s="319" t="s">
        <v>173</v>
      </c>
      <c r="AB1091" s="319" t="s">
        <v>173</v>
      </c>
      <c r="AC1091" s="319" t="s">
        <v>173</v>
      </c>
      <c r="AD1091" s="319" t="s">
        <v>173</v>
      </c>
      <c r="AE1091" s="319" t="s">
        <v>173</v>
      </c>
      <c r="AF1091" s="319" t="s">
        <v>173</v>
      </c>
      <c r="AG1091" s="319" t="s">
        <v>173</v>
      </c>
      <c r="AH1091" s="319" t="s">
        <v>173</v>
      </c>
      <c r="AI1091" s="319" t="s">
        <v>173</v>
      </c>
      <c r="AJ1091" s="319" t="s">
        <v>173</v>
      </c>
      <c r="AK1091" s="319" t="s">
        <v>173</v>
      </c>
      <c r="AL1091" s="319" t="s">
        <v>173</v>
      </c>
      <c r="AM1091" s="319" t="s">
        <v>173</v>
      </c>
      <c r="AN1091" s="319" t="s">
        <v>173</v>
      </c>
      <c r="AO1091" s="319" t="s">
        <v>173</v>
      </c>
      <c r="AP1091" s="319" t="s">
        <v>173</v>
      </c>
      <c r="AQ1091" s="319" t="s">
        <v>173</v>
      </c>
      <c r="AR1091" s="319" t="s">
        <v>173</v>
      </c>
      <c r="AS1091" s="319" t="s">
        <v>173</v>
      </c>
      <c r="AT1091" s="319" t="s">
        <v>173</v>
      </c>
      <c r="AU1091" s="319" t="s">
        <v>173</v>
      </c>
      <c r="AV1091" s="319" t="s">
        <v>173</v>
      </c>
      <c r="AW1091" s="319" t="s">
        <v>173</v>
      </c>
      <c r="AX1091" s="319" t="s">
        <v>173</v>
      </c>
      <c r="AY1091" s="319" t="s">
        <v>173</v>
      </c>
      <c r="AZ1091" s="319" t="s">
        <v>173</v>
      </c>
      <c r="BA1091" s="319" t="s">
        <v>173</v>
      </c>
      <c r="BB1091" s="319" t="s">
        <v>173</v>
      </c>
      <c r="BC1091" s="319" t="s">
        <v>173</v>
      </c>
      <c r="BD1091" s="319" t="s">
        <v>173</v>
      </c>
      <c r="BE1091" s="319" t="s">
        <v>173</v>
      </c>
      <c r="BF1091" s="319" t="s">
        <v>173</v>
      </c>
      <c r="BG1091" s="319" t="s">
        <v>173</v>
      </c>
      <c r="BH1091" s="319" t="s">
        <v>173</v>
      </c>
      <c r="BI1091" s="319" t="s">
        <v>173</v>
      </c>
      <c r="BJ1091" s="319" t="s">
        <v>173</v>
      </c>
      <c r="BK1091" s="319" t="s">
        <v>173</v>
      </c>
      <c r="BL1091" s="319" t="s">
        <v>173</v>
      </c>
      <c r="BM1091" s="319" t="s">
        <v>173</v>
      </c>
      <c r="BN1091" s="319" t="s">
        <v>173</v>
      </c>
      <c r="BO1091" s="319" t="s">
        <v>173</v>
      </c>
      <c r="BP1091" s="319" t="s">
        <v>173</v>
      </c>
      <c r="BQ1091" s="319" t="s">
        <v>173</v>
      </c>
      <c r="BR1091" s="319" t="s">
        <v>173</v>
      </c>
      <c r="BS1091" s="319" t="s">
        <v>173</v>
      </c>
      <c r="BT1091" s="319" t="s">
        <v>173</v>
      </c>
      <c r="BU1091" s="319" t="s">
        <v>173</v>
      </c>
      <c r="BV1091" s="319" t="s">
        <v>173</v>
      </c>
      <c r="BW1091" s="319" t="s">
        <v>173</v>
      </c>
      <c r="BX1091" s="319" t="s">
        <v>173</v>
      </c>
      <c r="BY1091" s="319" t="s">
        <v>173</v>
      </c>
      <c r="BZ1091" s="319" t="s">
        <v>173</v>
      </c>
      <c r="CA1091" s="319" t="s">
        <v>173</v>
      </c>
      <c r="CB1091" s="319" t="s">
        <v>173</v>
      </c>
      <c r="CC1091" s="319" t="s">
        <v>173</v>
      </c>
      <c r="CD1091" s="319" t="s">
        <v>173</v>
      </c>
      <c r="CE1091" s="319" t="s">
        <v>173</v>
      </c>
      <c r="CF1091" s="319" t="s">
        <v>173</v>
      </c>
      <c r="CG1091" s="319" t="s">
        <v>173</v>
      </c>
      <c r="CH1091" s="319" t="s">
        <v>173</v>
      </c>
      <c r="CI1091" s="319" t="s">
        <v>173</v>
      </c>
      <c r="CJ1091" s="319" t="s">
        <v>173</v>
      </c>
      <c r="CK1091" s="319" t="s">
        <v>173</v>
      </c>
      <c r="CL1091" s="319" t="s">
        <v>173</v>
      </c>
      <c r="CM1091" s="319" t="s">
        <v>173</v>
      </c>
      <c r="CN1091" s="319" t="s">
        <v>173</v>
      </c>
      <c r="CO1091" s="319" t="s">
        <v>173</v>
      </c>
      <c r="CP1091" s="319" t="s">
        <v>173</v>
      </c>
      <c r="CQ1091" s="319" t="s">
        <v>173</v>
      </c>
      <c r="CR1091" s="319" t="s">
        <v>173</v>
      </c>
      <c r="CS1091" s="319" t="s">
        <v>173</v>
      </c>
      <c r="CT1091" s="319" t="s">
        <v>173</v>
      </c>
      <c r="CU1091" s="319" t="s">
        <v>173</v>
      </c>
      <c r="CV1091" s="319" t="s">
        <v>173</v>
      </c>
      <c r="CW1091" s="319" t="s">
        <v>173</v>
      </c>
      <c r="CX1091" s="319" t="s">
        <v>173</v>
      </c>
      <c r="CY1091" s="319" t="s">
        <v>173</v>
      </c>
      <c r="CZ1091" s="319" t="s">
        <v>173</v>
      </c>
      <c r="DA1091" s="319" t="s">
        <v>173</v>
      </c>
      <c r="DB1091" s="319" t="s">
        <v>173</v>
      </c>
      <c r="DC1091" s="319" t="s">
        <v>173</v>
      </c>
      <c r="DD1091" s="319" t="s">
        <v>173</v>
      </c>
      <c r="DE1091" s="319" t="s">
        <v>173</v>
      </c>
      <c r="DF1091" s="319" t="s">
        <v>173</v>
      </c>
      <c r="DG1091" s="319" t="s">
        <v>173</v>
      </c>
      <c r="DH1091" s="319" t="s">
        <v>173</v>
      </c>
      <c r="DI1091" s="319" t="s">
        <v>173</v>
      </c>
      <c r="DJ1091" s="319" t="s">
        <v>173</v>
      </c>
      <c r="DK1091" s="319" t="s">
        <v>173</v>
      </c>
      <c r="DL1091" s="319" t="s">
        <v>173</v>
      </c>
      <c r="DM1091" s="319" t="s">
        <v>173</v>
      </c>
      <c r="DN1091" s="319" t="s">
        <v>173</v>
      </c>
      <c r="DO1091" s="319" t="s">
        <v>173</v>
      </c>
      <c r="DP1091" s="319" t="s">
        <v>173</v>
      </c>
      <c r="DQ1091" s="319" t="s">
        <v>173</v>
      </c>
      <c r="DR1091" s="319" t="s">
        <v>173</v>
      </c>
      <c r="DS1091" s="319" t="s">
        <v>173</v>
      </c>
      <c r="DT1091" s="319" t="s">
        <v>173</v>
      </c>
      <c r="DU1091" s="319" t="s">
        <v>173</v>
      </c>
      <c r="DV1091" s="319" t="s">
        <v>173</v>
      </c>
      <c r="DW1091" s="319" t="s">
        <v>173</v>
      </c>
      <c r="DX1091" s="319" t="s">
        <v>173</v>
      </c>
      <c r="DY1091" s="319" t="s">
        <v>173</v>
      </c>
      <c r="DZ1091" s="319" t="s">
        <v>173</v>
      </c>
      <c r="EA1091" s="319" t="s">
        <v>173</v>
      </c>
      <c r="EB1091" s="319" t="s">
        <v>173</v>
      </c>
      <c r="EC1091" s="319" t="s">
        <v>173</v>
      </c>
      <c r="ED1091" s="319" t="s">
        <v>173</v>
      </c>
      <c r="EE1091" s="319" t="s">
        <v>173</v>
      </c>
      <c r="EF1091" s="319" t="s">
        <v>173</v>
      </c>
      <c r="EG1091" s="319" t="s">
        <v>173</v>
      </c>
      <c r="EH1091" s="319" t="s">
        <v>173</v>
      </c>
      <c r="EI1091" s="319" t="s">
        <v>173</v>
      </c>
      <c r="EJ1091" s="319" t="s">
        <v>173</v>
      </c>
      <c r="EK1091" s="319" t="s">
        <v>173</v>
      </c>
      <c r="EL1091" s="319" t="s">
        <v>173</v>
      </c>
      <c r="EM1091" s="319" t="s">
        <v>173</v>
      </c>
      <c r="EN1091" s="319" t="s">
        <v>173</v>
      </c>
      <c r="EO1091" s="319" t="s">
        <v>173</v>
      </c>
      <c r="EP1091" s="319" t="s">
        <v>173</v>
      </c>
      <c r="EQ1091" s="319" t="s">
        <v>173</v>
      </c>
      <c r="ER1091" s="319" t="s">
        <v>173</v>
      </c>
      <c r="ES1091" s="319" t="s">
        <v>173</v>
      </c>
      <c r="ET1091" s="319" t="s">
        <v>173</v>
      </c>
      <c r="EU1091" s="319" t="s">
        <v>173</v>
      </c>
      <c r="EV1091" s="319" t="s">
        <v>173</v>
      </c>
      <c r="EW1091" s="319" t="s">
        <v>173</v>
      </c>
      <c r="EX1091" s="319" t="s">
        <v>173</v>
      </c>
      <c r="EY1091" s="319" t="s">
        <v>173</v>
      </c>
      <c r="EZ1091" s="319" t="s">
        <v>173</v>
      </c>
      <c r="FA1091" s="319" t="s">
        <v>173</v>
      </c>
      <c r="FB1091" s="319" t="s">
        <v>173</v>
      </c>
      <c r="FC1091" s="319" t="s">
        <v>173</v>
      </c>
      <c r="FD1091" s="319" t="s">
        <v>173</v>
      </c>
      <c r="FE1091" s="319" t="s">
        <v>173</v>
      </c>
      <c r="FF1091" s="319" t="s">
        <v>173</v>
      </c>
      <c r="FG1091" s="319" t="s">
        <v>173</v>
      </c>
      <c r="FH1091" s="319" t="s">
        <v>173</v>
      </c>
      <c r="FI1091" s="319" t="s">
        <v>173</v>
      </c>
      <c r="FJ1091" s="319" t="s">
        <v>173</v>
      </c>
      <c r="FK1091" s="319" t="s">
        <v>173</v>
      </c>
      <c r="FL1091" s="319" t="s">
        <v>173</v>
      </c>
      <c r="FM1091" s="319" t="s">
        <v>173</v>
      </c>
      <c r="FN1091" s="319" t="s">
        <v>173</v>
      </c>
      <c r="FO1091" s="319" t="s">
        <v>173</v>
      </c>
      <c r="FP1091" s="319" t="s">
        <v>173</v>
      </c>
      <c r="FQ1091" s="319" t="s">
        <v>173</v>
      </c>
      <c r="FR1091" s="319" t="s">
        <v>173</v>
      </c>
      <c r="FS1091" s="319" t="s">
        <v>173</v>
      </c>
      <c r="FT1091" s="319" t="s">
        <v>173</v>
      </c>
      <c r="FU1091" s="319" t="s">
        <v>173</v>
      </c>
      <c r="FV1091" s="319" t="s">
        <v>173</v>
      </c>
      <c r="FW1091" s="319" t="s">
        <v>173</v>
      </c>
      <c r="FX1091" s="319" t="s">
        <v>173</v>
      </c>
      <c r="FY1091" s="319" t="s">
        <v>173</v>
      </c>
      <c r="FZ1091" s="319" t="s">
        <v>173</v>
      </c>
      <c r="GA1091" s="319" t="s">
        <v>173</v>
      </c>
      <c r="GB1091" s="319" t="s">
        <v>173</v>
      </c>
      <c r="GC1091" s="319" t="s">
        <v>173</v>
      </c>
      <c r="GD1091" s="319" t="s">
        <v>173</v>
      </c>
      <c r="GE1091" s="319" t="s">
        <v>173</v>
      </c>
      <c r="GF1091" s="319" t="s">
        <v>173</v>
      </c>
      <c r="GG1091" s="319" t="s">
        <v>173</v>
      </c>
      <c r="GH1091" s="319" t="s">
        <v>173</v>
      </c>
      <c r="GI1091" s="319" t="s">
        <v>173</v>
      </c>
      <c r="GJ1091" s="319" t="s">
        <v>173</v>
      </c>
      <c r="GK1091" s="319" t="s">
        <v>173</v>
      </c>
      <c r="GL1091" s="319" t="s">
        <v>173</v>
      </c>
      <c r="GM1091" s="319" t="s">
        <v>173</v>
      </c>
      <c r="GN1091" s="319" t="s">
        <v>173</v>
      </c>
      <c r="GO1091" s="319" t="s">
        <v>173</v>
      </c>
      <c r="GP1091" s="319" t="s">
        <v>173</v>
      </c>
      <c r="GQ1091" s="319" t="s">
        <v>173</v>
      </c>
      <c r="GR1091" s="319" t="s">
        <v>173</v>
      </c>
      <c r="GS1091" s="319" t="s">
        <v>173</v>
      </c>
      <c r="GT1091" s="319" t="s">
        <v>173</v>
      </c>
      <c r="GU1091" s="319" t="s">
        <v>173</v>
      </c>
      <c r="GV1091" s="319" t="s">
        <v>173</v>
      </c>
      <c r="GW1091" s="319" t="s">
        <v>173</v>
      </c>
      <c r="GX1091" s="319" t="s">
        <v>173</v>
      </c>
      <c r="GY1091" s="319" t="s">
        <v>173</v>
      </c>
      <c r="GZ1091" s="319" t="s">
        <v>173</v>
      </c>
      <c r="HA1091" s="319" t="s">
        <v>173</v>
      </c>
      <c r="HB1091" s="319" t="s">
        <v>173</v>
      </c>
      <c r="HC1091" s="319" t="s">
        <v>173</v>
      </c>
      <c r="HD1091" s="319" t="s">
        <v>173</v>
      </c>
      <c r="HE1091" s="319" t="s">
        <v>173</v>
      </c>
      <c r="HF1091" s="319" t="s">
        <v>173</v>
      </c>
      <c r="HG1091" s="319" t="s">
        <v>173</v>
      </c>
      <c r="HH1091" s="319" t="s">
        <v>173</v>
      </c>
      <c r="HI1091" s="319" t="s">
        <v>173</v>
      </c>
      <c r="HJ1091" s="319" t="s">
        <v>173</v>
      </c>
      <c r="HK1091" s="319" t="s">
        <v>173</v>
      </c>
      <c r="HL1091" s="319" t="s">
        <v>173</v>
      </c>
      <c r="HM1091" s="319" t="s">
        <v>173</v>
      </c>
      <c r="HN1091" s="319" t="s">
        <v>173</v>
      </c>
      <c r="HO1091" s="319" t="s">
        <v>173</v>
      </c>
      <c r="HP1091" s="319" t="s">
        <v>173</v>
      </c>
      <c r="HQ1091" s="319" t="s">
        <v>173</v>
      </c>
      <c r="HR1091" s="319" t="s">
        <v>173</v>
      </c>
      <c r="HS1091" s="319" t="s">
        <v>173</v>
      </c>
      <c r="HT1091" s="319" t="s">
        <v>173</v>
      </c>
      <c r="HU1091" s="319" t="s">
        <v>173</v>
      </c>
      <c r="HV1091" s="319" t="s">
        <v>173</v>
      </c>
      <c r="HW1091" s="319" t="s">
        <v>173</v>
      </c>
      <c r="HX1091" s="319" t="s">
        <v>173</v>
      </c>
      <c r="HY1091" s="319" t="s">
        <v>173</v>
      </c>
      <c r="HZ1091" s="319" t="s">
        <v>173</v>
      </c>
      <c r="IA1091" s="319" t="s">
        <v>173</v>
      </c>
      <c r="IB1091" s="319" t="s">
        <v>173</v>
      </c>
      <c r="IC1091" s="319" t="s">
        <v>173</v>
      </c>
      <c r="ID1091" s="319" t="s">
        <v>173</v>
      </c>
      <c r="IE1091" s="319" t="s">
        <v>173</v>
      </c>
      <c r="IF1091" s="319" t="s">
        <v>173</v>
      </c>
      <c r="IG1091" s="319" t="s">
        <v>173</v>
      </c>
      <c r="IH1091" s="319" t="s">
        <v>173</v>
      </c>
      <c r="II1091" s="319" t="s">
        <v>173</v>
      </c>
      <c r="IJ1091" s="319" t="s">
        <v>173</v>
      </c>
      <c r="IK1091" s="319" t="s">
        <v>173</v>
      </c>
      <c r="IL1091" s="319" t="s">
        <v>173</v>
      </c>
      <c r="IM1091" s="319" t="s">
        <v>173</v>
      </c>
      <c r="IN1091" s="319" t="s">
        <v>173</v>
      </c>
      <c r="IO1091" s="319" t="s">
        <v>173</v>
      </c>
      <c r="IP1091" s="319" t="s">
        <v>173</v>
      </c>
      <c r="IQ1091" s="321" t="s">
        <v>173</v>
      </c>
      <c r="IR1091" s="320" t="s">
        <v>173</v>
      </c>
      <c r="IS1091" s="322" t="s">
        <v>173</v>
      </c>
      <c r="IT1091" s="319" t="s">
        <v>173</v>
      </c>
    </row>
    <row r="1092" spans="1:254" s="271" customFormat="1" x14ac:dyDescent="0.25">
      <c r="A1092" s="318" t="str">
        <f>HYPERLINK("http://www.ofsted.gov.uk/inspection-reports/find-inspection-report/provider/ELS/147331 ","Ofsted School Webpage")</f>
        <v>Ofsted School Webpage</v>
      </c>
      <c r="B1092" s="319">
        <v>147331</v>
      </c>
      <c r="C1092" s="319">
        <v>8866158</v>
      </c>
      <c r="D1092" s="319" t="s">
        <v>2687</v>
      </c>
      <c r="E1092" s="319" t="s">
        <v>167</v>
      </c>
      <c r="F1092" s="319" t="s">
        <v>434</v>
      </c>
      <c r="G1092" s="319" t="s">
        <v>81</v>
      </c>
      <c r="H1092" s="319" t="s">
        <v>81</v>
      </c>
      <c r="I1092" s="319" t="s">
        <v>78</v>
      </c>
      <c r="J1092" s="319" t="s">
        <v>424</v>
      </c>
      <c r="K1092" s="319" t="s">
        <v>514</v>
      </c>
      <c r="L1092" s="319" t="s">
        <v>514</v>
      </c>
      <c r="M1092" s="319" t="s">
        <v>614</v>
      </c>
      <c r="N1092" s="319" t="s">
        <v>3677</v>
      </c>
      <c r="O1092" s="319" t="s">
        <v>2594</v>
      </c>
      <c r="P1092" s="319" t="s">
        <v>173</v>
      </c>
      <c r="Q1092" s="319" t="s">
        <v>2766</v>
      </c>
      <c r="R1092" s="320" t="s">
        <v>173</v>
      </c>
      <c r="S1092" s="321" t="s">
        <v>173</v>
      </c>
      <c r="T1092" s="321" t="s">
        <v>173</v>
      </c>
      <c r="U1092" s="321" t="s">
        <v>173</v>
      </c>
      <c r="V1092" s="319" t="s">
        <v>173</v>
      </c>
      <c r="W1092" s="319" t="s">
        <v>173</v>
      </c>
      <c r="X1092" s="319" t="s">
        <v>173</v>
      </c>
      <c r="Y1092" s="319" t="s">
        <v>173</v>
      </c>
      <c r="Z1092" s="319" t="s">
        <v>173</v>
      </c>
      <c r="AA1092" s="319" t="s">
        <v>173</v>
      </c>
      <c r="AB1092" s="319" t="s">
        <v>173</v>
      </c>
      <c r="AC1092" s="319" t="s">
        <v>173</v>
      </c>
      <c r="AD1092" s="319" t="s">
        <v>173</v>
      </c>
      <c r="AE1092" s="319" t="s">
        <v>173</v>
      </c>
      <c r="AF1092" s="319" t="s">
        <v>173</v>
      </c>
      <c r="AG1092" s="319" t="s">
        <v>173</v>
      </c>
      <c r="AH1092" s="319" t="s">
        <v>173</v>
      </c>
      <c r="AI1092" s="319" t="s">
        <v>173</v>
      </c>
      <c r="AJ1092" s="319" t="s">
        <v>173</v>
      </c>
      <c r="AK1092" s="319" t="s">
        <v>173</v>
      </c>
      <c r="AL1092" s="319" t="s">
        <v>173</v>
      </c>
      <c r="AM1092" s="319" t="s">
        <v>173</v>
      </c>
      <c r="AN1092" s="319" t="s">
        <v>173</v>
      </c>
      <c r="AO1092" s="319" t="s">
        <v>173</v>
      </c>
      <c r="AP1092" s="319" t="s">
        <v>173</v>
      </c>
      <c r="AQ1092" s="319" t="s">
        <v>173</v>
      </c>
      <c r="AR1092" s="319" t="s">
        <v>173</v>
      </c>
      <c r="AS1092" s="319" t="s">
        <v>173</v>
      </c>
      <c r="AT1092" s="319" t="s">
        <v>173</v>
      </c>
      <c r="AU1092" s="319" t="s">
        <v>173</v>
      </c>
      <c r="AV1092" s="319" t="s">
        <v>173</v>
      </c>
      <c r="AW1092" s="319" t="s">
        <v>173</v>
      </c>
      <c r="AX1092" s="319" t="s">
        <v>173</v>
      </c>
      <c r="AY1092" s="319" t="s">
        <v>173</v>
      </c>
      <c r="AZ1092" s="319" t="s">
        <v>173</v>
      </c>
      <c r="BA1092" s="319" t="s">
        <v>173</v>
      </c>
      <c r="BB1092" s="319" t="s">
        <v>173</v>
      </c>
      <c r="BC1092" s="319" t="s">
        <v>173</v>
      </c>
      <c r="BD1092" s="319" t="s">
        <v>173</v>
      </c>
      <c r="BE1092" s="319" t="s">
        <v>173</v>
      </c>
      <c r="BF1092" s="319" t="s">
        <v>173</v>
      </c>
      <c r="BG1092" s="319" t="s">
        <v>173</v>
      </c>
      <c r="BH1092" s="319" t="s">
        <v>173</v>
      </c>
      <c r="BI1092" s="319" t="s">
        <v>173</v>
      </c>
      <c r="BJ1092" s="319" t="s">
        <v>173</v>
      </c>
      <c r="BK1092" s="319" t="s">
        <v>173</v>
      </c>
      <c r="BL1092" s="319" t="s">
        <v>173</v>
      </c>
      <c r="BM1092" s="319" t="s">
        <v>173</v>
      </c>
      <c r="BN1092" s="319" t="s">
        <v>173</v>
      </c>
      <c r="BO1092" s="319" t="s">
        <v>173</v>
      </c>
      <c r="BP1092" s="319" t="s">
        <v>173</v>
      </c>
      <c r="BQ1092" s="319" t="s">
        <v>173</v>
      </c>
      <c r="BR1092" s="319" t="s">
        <v>173</v>
      </c>
      <c r="BS1092" s="319" t="s">
        <v>173</v>
      </c>
      <c r="BT1092" s="319" t="s">
        <v>173</v>
      </c>
      <c r="BU1092" s="319" t="s">
        <v>173</v>
      </c>
      <c r="BV1092" s="319" t="s">
        <v>173</v>
      </c>
      <c r="BW1092" s="319" t="s">
        <v>173</v>
      </c>
      <c r="BX1092" s="319" t="s">
        <v>173</v>
      </c>
      <c r="BY1092" s="319" t="s">
        <v>173</v>
      </c>
      <c r="BZ1092" s="319" t="s">
        <v>173</v>
      </c>
      <c r="CA1092" s="319" t="s">
        <v>173</v>
      </c>
      <c r="CB1092" s="319" t="s">
        <v>173</v>
      </c>
      <c r="CC1092" s="319" t="s">
        <v>173</v>
      </c>
      <c r="CD1092" s="319" t="s">
        <v>173</v>
      </c>
      <c r="CE1092" s="319" t="s">
        <v>173</v>
      </c>
      <c r="CF1092" s="319" t="s">
        <v>173</v>
      </c>
      <c r="CG1092" s="319" t="s">
        <v>173</v>
      </c>
      <c r="CH1092" s="319" t="s">
        <v>173</v>
      </c>
      <c r="CI1092" s="319" t="s">
        <v>173</v>
      </c>
      <c r="CJ1092" s="319" t="s">
        <v>173</v>
      </c>
      <c r="CK1092" s="319" t="s">
        <v>173</v>
      </c>
      <c r="CL1092" s="319" t="s">
        <v>173</v>
      </c>
      <c r="CM1092" s="319" t="s">
        <v>173</v>
      </c>
      <c r="CN1092" s="319" t="s">
        <v>173</v>
      </c>
      <c r="CO1092" s="319" t="s">
        <v>173</v>
      </c>
      <c r="CP1092" s="319" t="s">
        <v>173</v>
      </c>
      <c r="CQ1092" s="319" t="s">
        <v>173</v>
      </c>
      <c r="CR1092" s="319" t="s">
        <v>173</v>
      </c>
      <c r="CS1092" s="319" t="s">
        <v>173</v>
      </c>
      <c r="CT1092" s="319" t="s">
        <v>173</v>
      </c>
      <c r="CU1092" s="319" t="s">
        <v>173</v>
      </c>
      <c r="CV1092" s="319" t="s">
        <v>173</v>
      </c>
      <c r="CW1092" s="319" t="s">
        <v>173</v>
      </c>
      <c r="CX1092" s="319" t="s">
        <v>173</v>
      </c>
      <c r="CY1092" s="319" t="s">
        <v>173</v>
      </c>
      <c r="CZ1092" s="319" t="s">
        <v>173</v>
      </c>
      <c r="DA1092" s="319" t="s">
        <v>173</v>
      </c>
      <c r="DB1092" s="319" t="s">
        <v>173</v>
      </c>
      <c r="DC1092" s="319" t="s">
        <v>173</v>
      </c>
      <c r="DD1092" s="319" t="s">
        <v>173</v>
      </c>
      <c r="DE1092" s="319" t="s">
        <v>173</v>
      </c>
      <c r="DF1092" s="319" t="s">
        <v>173</v>
      </c>
      <c r="DG1092" s="319" t="s">
        <v>173</v>
      </c>
      <c r="DH1092" s="319" t="s">
        <v>173</v>
      </c>
      <c r="DI1092" s="319" t="s">
        <v>173</v>
      </c>
      <c r="DJ1092" s="319" t="s">
        <v>173</v>
      </c>
      <c r="DK1092" s="319" t="s">
        <v>173</v>
      </c>
      <c r="DL1092" s="319" t="s">
        <v>173</v>
      </c>
      <c r="DM1092" s="319" t="s">
        <v>173</v>
      </c>
      <c r="DN1092" s="319" t="s">
        <v>173</v>
      </c>
      <c r="DO1092" s="319" t="s">
        <v>173</v>
      </c>
      <c r="DP1092" s="319" t="s">
        <v>173</v>
      </c>
      <c r="DQ1092" s="319" t="s">
        <v>173</v>
      </c>
      <c r="DR1092" s="319" t="s">
        <v>173</v>
      </c>
      <c r="DS1092" s="319" t="s">
        <v>173</v>
      </c>
      <c r="DT1092" s="319" t="s">
        <v>173</v>
      </c>
      <c r="DU1092" s="319" t="s">
        <v>173</v>
      </c>
      <c r="DV1092" s="319" t="s">
        <v>173</v>
      </c>
      <c r="DW1092" s="319" t="s">
        <v>173</v>
      </c>
      <c r="DX1092" s="319" t="s">
        <v>173</v>
      </c>
      <c r="DY1092" s="319" t="s">
        <v>173</v>
      </c>
      <c r="DZ1092" s="319" t="s">
        <v>173</v>
      </c>
      <c r="EA1092" s="319" t="s">
        <v>173</v>
      </c>
      <c r="EB1092" s="319" t="s">
        <v>173</v>
      </c>
      <c r="EC1092" s="319" t="s">
        <v>173</v>
      </c>
      <c r="ED1092" s="319" t="s">
        <v>173</v>
      </c>
      <c r="EE1092" s="319" t="s">
        <v>173</v>
      </c>
      <c r="EF1092" s="319" t="s">
        <v>173</v>
      </c>
      <c r="EG1092" s="319" t="s">
        <v>173</v>
      </c>
      <c r="EH1092" s="319" t="s">
        <v>173</v>
      </c>
      <c r="EI1092" s="319" t="s">
        <v>173</v>
      </c>
      <c r="EJ1092" s="319" t="s">
        <v>173</v>
      </c>
      <c r="EK1092" s="319" t="s">
        <v>173</v>
      </c>
      <c r="EL1092" s="319" t="s">
        <v>173</v>
      </c>
      <c r="EM1092" s="319" t="s">
        <v>173</v>
      </c>
      <c r="EN1092" s="319" t="s">
        <v>173</v>
      </c>
      <c r="EO1092" s="319" t="s">
        <v>173</v>
      </c>
      <c r="EP1092" s="319" t="s">
        <v>173</v>
      </c>
      <c r="EQ1092" s="319" t="s">
        <v>173</v>
      </c>
      <c r="ER1092" s="319" t="s">
        <v>173</v>
      </c>
      <c r="ES1092" s="319" t="s">
        <v>173</v>
      </c>
      <c r="ET1092" s="319" t="s">
        <v>173</v>
      </c>
      <c r="EU1092" s="319" t="s">
        <v>173</v>
      </c>
      <c r="EV1092" s="319" t="s">
        <v>173</v>
      </c>
      <c r="EW1092" s="319" t="s">
        <v>173</v>
      </c>
      <c r="EX1092" s="319" t="s">
        <v>173</v>
      </c>
      <c r="EY1092" s="319" t="s">
        <v>173</v>
      </c>
      <c r="EZ1092" s="319" t="s">
        <v>173</v>
      </c>
      <c r="FA1092" s="319" t="s">
        <v>173</v>
      </c>
      <c r="FB1092" s="319" t="s">
        <v>173</v>
      </c>
      <c r="FC1092" s="319" t="s">
        <v>173</v>
      </c>
      <c r="FD1092" s="319" t="s">
        <v>173</v>
      </c>
      <c r="FE1092" s="319" t="s">
        <v>173</v>
      </c>
      <c r="FF1092" s="319" t="s">
        <v>173</v>
      </c>
      <c r="FG1092" s="319" t="s">
        <v>173</v>
      </c>
      <c r="FH1092" s="319" t="s">
        <v>173</v>
      </c>
      <c r="FI1092" s="319" t="s">
        <v>173</v>
      </c>
      <c r="FJ1092" s="319" t="s">
        <v>173</v>
      </c>
      <c r="FK1092" s="319" t="s">
        <v>173</v>
      </c>
      <c r="FL1092" s="319" t="s">
        <v>173</v>
      </c>
      <c r="FM1092" s="319" t="s">
        <v>173</v>
      </c>
      <c r="FN1092" s="319" t="s">
        <v>173</v>
      </c>
      <c r="FO1092" s="319" t="s">
        <v>173</v>
      </c>
      <c r="FP1092" s="319" t="s">
        <v>173</v>
      </c>
      <c r="FQ1092" s="319" t="s">
        <v>173</v>
      </c>
      <c r="FR1092" s="319" t="s">
        <v>173</v>
      </c>
      <c r="FS1092" s="319" t="s">
        <v>173</v>
      </c>
      <c r="FT1092" s="319" t="s">
        <v>173</v>
      </c>
      <c r="FU1092" s="319" t="s">
        <v>173</v>
      </c>
      <c r="FV1092" s="319" t="s">
        <v>173</v>
      </c>
      <c r="FW1092" s="319" t="s">
        <v>173</v>
      </c>
      <c r="FX1092" s="319" t="s">
        <v>173</v>
      </c>
      <c r="FY1092" s="319" t="s">
        <v>173</v>
      </c>
      <c r="FZ1092" s="319" t="s">
        <v>173</v>
      </c>
      <c r="GA1092" s="319" t="s">
        <v>173</v>
      </c>
      <c r="GB1092" s="319" t="s">
        <v>173</v>
      </c>
      <c r="GC1092" s="319" t="s">
        <v>173</v>
      </c>
      <c r="GD1092" s="319" t="s">
        <v>173</v>
      </c>
      <c r="GE1092" s="319" t="s">
        <v>173</v>
      </c>
      <c r="GF1092" s="319" t="s">
        <v>173</v>
      </c>
      <c r="GG1092" s="319" t="s">
        <v>173</v>
      </c>
      <c r="GH1092" s="319" t="s">
        <v>173</v>
      </c>
      <c r="GI1092" s="319" t="s">
        <v>173</v>
      </c>
      <c r="GJ1092" s="319" t="s">
        <v>173</v>
      </c>
      <c r="GK1092" s="319" t="s">
        <v>173</v>
      </c>
      <c r="GL1092" s="319" t="s">
        <v>173</v>
      </c>
      <c r="GM1092" s="319" t="s">
        <v>173</v>
      </c>
      <c r="GN1092" s="319" t="s">
        <v>173</v>
      </c>
      <c r="GO1092" s="319" t="s">
        <v>173</v>
      </c>
      <c r="GP1092" s="319" t="s">
        <v>173</v>
      </c>
      <c r="GQ1092" s="319" t="s">
        <v>173</v>
      </c>
      <c r="GR1092" s="319" t="s">
        <v>173</v>
      </c>
      <c r="GS1092" s="319" t="s">
        <v>173</v>
      </c>
      <c r="GT1092" s="319" t="s">
        <v>173</v>
      </c>
      <c r="GU1092" s="319" t="s">
        <v>173</v>
      </c>
      <c r="GV1092" s="319" t="s">
        <v>173</v>
      </c>
      <c r="GW1092" s="319" t="s">
        <v>173</v>
      </c>
      <c r="GX1092" s="319" t="s">
        <v>173</v>
      </c>
      <c r="GY1092" s="319" t="s">
        <v>173</v>
      </c>
      <c r="GZ1092" s="319" t="s">
        <v>173</v>
      </c>
      <c r="HA1092" s="319" t="s">
        <v>173</v>
      </c>
      <c r="HB1092" s="319" t="s">
        <v>173</v>
      </c>
      <c r="HC1092" s="319" t="s">
        <v>173</v>
      </c>
      <c r="HD1092" s="319" t="s">
        <v>173</v>
      </c>
      <c r="HE1092" s="319" t="s">
        <v>173</v>
      </c>
      <c r="HF1092" s="319" t="s">
        <v>173</v>
      </c>
      <c r="HG1092" s="319" t="s">
        <v>173</v>
      </c>
      <c r="HH1092" s="319" t="s">
        <v>173</v>
      </c>
      <c r="HI1092" s="319" t="s">
        <v>173</v>
      </c>
      <c r="HJ1092" s="319" t="s">
        <v>173</v>
      </c>
      <c r="HK1092" s="319" t="s">
        <v>173</v>
      </c>
      <c r="HL1092" s="319" t="s">
        <v>173</v>
      </c>
      <c r="HM1092" s="319" t="s">
        <v>173</v>
      </c>
      <c r="HN1092" s="319" t="s">
        <v>173</v>
      </c>
      <c r="HO1092" s="319" t="s">
        <v>173</v>
      </c>
      <c r="HP1092" s="319" t="s">
        <v>173</v>
      </c>
      <c r="HQ1092" s="319" t="s">
        <v>173</v>
      </c>
      <c r="HR1092" s="319" t="s">
        <v>173</v>
      </c>
      <c r="HS1092" s="319" t="s">
        <v>173</v>
      </c>
      <c r="HT1092" s="319" t="s">
        <v>173</v>
      </c>
      <c r="HU1092" s="319" t="s">
        <v>173</v>
      </c>
      <c r="HV1092" s="319" t="s">
        <v>173</v>
      </c>
      <c r="HW1092" s="319" t="s">
        <v>173</v>
      </c>
      <c r="HX1092" s="319" t="s">
        <v>173</v>
      </c>
      <c r="HY1092" s="319" t="s">
        <v>173</v>
      </c>
      <c r="HZ1092" s="319" t="s">
        <v>173</v>
      </c>
      <c r="IA1092" s="319" t="s">
        <v>173</v>
      </c>
      <c r="IB1092" s="319" t="s">
        <v>173</v>
      </c>
      <c r="IC1092" s="319" t="s">
        <v>173</v>
      </c>
      <c r="ID1092" s="319" t="s">
        <v>173</v>
      </c>
      <c r="IE1092" s="319" t="s">
        <v>173</v>
      </c>
      <c r="IF1092" s="319" t="s">
        <v>173</v>
      </c>
      <c r="IG1092" s="319" t="s">
        <v>173</v>
      </c>
      <c r="IH1092" s="319" t="s">
        <v>173</v>
      </c>
      <c r="II1092" s="319" t="s">
        <v>173</v>
      </c>
      <c r="IJ1092" s="319" t="s">
        <v>173</v>
      </c>
      <c r="IK1092" s="319" t="s">
        <v>173</v>
      </c>
      <c r="IL1092" s="319" t="s">
        <v>173</v>
      </c>
      <c r="IM1092" s="319" t="s">
        <v>173</v>
      </c>
      <c r="IN1092" s="319" t="s">
        <v>173</v>
      </c>
      <c r="IO1092" s="319" t="s">
        <v>173</v>
      </c>
      <c r="IP1092" s="319" t="s">
        <v>173</v>
      </c>
      <c r="IQ1092" s="319" t="s">
        <v>173</v>
      </c>
      <c r="IR1092" s="320" t="s">
        <v>173</v>
      </c>
      <c r="IS1092" s="320" t="s">
        <v>173</v>
      </c>
      <c r="IT1092" s="319" t="s">
        <v>173</v>
      </c>
    </row>
    <row r="1093" spans="1:254" s="271" customFormat="1" x14ac:dyDescent="0.25">
      <c r="A1093" s="318" t="str">
        <f>HYPERLINK("http://www.ofsted.gov.uk/inspection-reports/find-inspection-report/provider/ELS/147366 ","Ofsted School Webpage")</f>
        <v>Ofsted School Webpage</v>
      </c>
      <c r="B1093" s="319">
        <v>147366</v>
      </c>
      <c r="C1093" s="319">
        <v>3556014</v>
      </c>
      <c r="D1093" s="319" t="s">
        <v>2706</v>
      </c>
      <c r="E1093" s="319" t="s">
        <v>167</v>
      </c>
      <c r="F1093" s="319" t="s">
        <v>81</v>
      </c>
      <c r="G1093" s="319" t="s">
        <v>69</v>
      </c>
      <c r="H1093" s="319" t="s">
        <v>69</v>
      </c>
      <c r="I1093" s="319" t="s">
        <v>69</v>
      </c>
      <c r="J1093" s="319" t="s">
        <v>424</v>
      </c>
      <c r="K1093" s="319" t="s">
        <v>431</v>
      </c>
      <c r="L1093" s="319" t="s">
        <v>431</v>
      </c>
      <c r="M1093" s="319" t="s">
        <v>533</v>
      </c>
      <c r="N1093" s="319" t="s">
        <v>2874</v>
      </c>
      <c r="O1093" s="319" t="s">
        <v>2707</v>
      </c>
      <c r="P1093" s="319" t="s">
        <v>173</v>
      </c>
      <c r="Q1093" s="319" t="s">
        <v>2766</v>
      </c>
      <c r="R1093" s="320" t="s">
        <v>173</v>
      </c>
      <c r="S1093" s="321" t="s">
        <v>173</v>
      </c>
      <c r="T1093" s="321" t="s">
        <v>173</v>
      </c>
      <c r="U1093" s="321" t="s">
        <v>173</v>
      </c>
      <c r="V1093" s="319" t="s">
        <v>173</v>
      </c>
      <c r="W1093" s="319" t="s">
        <v>173</v>
      </c>
      <c r="X1093" s="319" t="s">
        <v>173</v>
      </c>
      <c r="Y1093" s="319" t="s">
        <v>173</v>
      </c>
      <c r="Z1093" s="319" t="s">
        <v>173</v>
      </c>
      <c r="AA1093" s="319" t="s">
        <v>173</v>
      </c>
      <c r="AB1093" s="319" t="s">
        <v>173</v>
      </c>
      <c r="AC1093" s="319" t="s">
        <v>173</v>
      </c>
      <c r="AD1093" s="319" t="s">
        <v>173</v>
      </c>
      <c r="AE1093" s="319" t="s">
        <v>173</v>
      </c>
      <c r="AF1093" s="319" t="s">
        <v>173</v>
      </c>
      <c r="AG1093" s="319" t="s">
        <v>173</v>
      </c>
      <c r="AH1093" s="319" t="s">
        <v>173</v>
      </c>
      <c r="AI1093" s="319" t="s">
        <v>173</v>
      </c>
      <c r="AJ1093" s="319" t="s">
        <v>173</v>
      </c>
      <c r="AK1093" s="319" t="s">
        <v>173</v>
      </c>
      <c r="AL1093" s="319" t="s">
        <v>173</v>
      </c>
      <c r="AM1093" s="319" t="s">
        <v>173</v>
      </c>
      <c r="AN1093" s="319" t="s">
        <v>173</v>
      </c>
      <c r="AO1093" s="319" t="s">
        <v>173</v>
      </c>
      <c r="AP1093" s="319" t="s">
        <v>173</v>
      </c>
      <c r="AQ1093" s="319" t="s">
        <v>173</v>
      </c>
      <c r="AR1093" s="319" t="s">
        <v>173</v>
      </c>
      <c r="AS1093" s="319" t="s">
        <v>173</v>
      </c>
      <c r="AT1093" s="319" t="s">
        <v>173</v>
      </c>
      <c r="AU1093" s="319" t="s">
        <v>173</v>
      </c>
      <c r="AV1093" s="319" t="s">
        <v>173</v>
      </c>
      <c r="AW1093" s="319" t="s">
        <v>173</v>
      </c>
      <c r="AX1093" s="319" t="s">
        <v>173</v>
      </c>
      <c r="AY1093" s="319" t="s">
        <v>173</v>
      </c>
      <c r="AZ1093" s="319" t="s">
        <v>173</v>
      </c>
      <c r="BA1093" s="319" t="s">
        <v>173</v>
      </c>
      <c r="BB1093" s="319" t="s">
        <v>173</v>
      </c>
      <c r="BC1093" s="319" t="s">
        <v>173</v>
      </c>
      <c r="BD1093" s="319" t="s">
        <v>173</v>
      </c>
      <c r="BE1093" s="319" t="s">
        <v>173</v>
      </c>
      <c r="BF1093" s="319" t="s">
        <v>173</v>
      </c>
      <c r="BG1093" s="319" t="s">
        <v>173</v>
      </c>
      <c r="BH1093" s="319" t="s">
        <v>173</v>
      </c>
      <c r="BI1093" s="319" t="s">
        <v>173</v>
      </c>
      <c r="BJ1093" s="319" t="s">
        <v>173</v>
      </c>
      <c r="BK1093" s="319" t="s">
        <v>173</v>
      </c>
      <c r="BL1093" s="319" t="s">
        <v>173</v>
      </c>
      <c r="BM1093" s="319" t="s">
        <v>173</v>
      </c>
      <c r="BN1093" s="319" t="s">
        <v>173</v>
      </c>
      <c r="BO1093" s="319" t="s">
        <v>173</v>
      </c>
      <c r="BP1093" s="319" t="s">
        <v>173</v>
      </c>
      <c r="BQ1093" s="319" t="s">
        <v>173</v>
      </c>
      <c r="BR1093" s="319" t="s">
        <v>173</v>
      </c>
      <c r="BS1093" s="319" t="s">
        <v>173</v>
      </c>
      <c r="BT1093" s="319" t="s">
        <v>173</v>
      </c>
      <c r="BU1093" s="319" t="s">
        <v>173</v>
      </c>
      <c r="BV1093" s="319" t="s">
        <v>173</v>
      </c>
      <c r="BW1093" s="319" t="s">
        <v>173</v>
      </c>
      <c r="BX1093" s="319" t="s">
        <v>173</v>
      </c>
      <c r="BY1093" s="319" t="s">
        <v>173</v>
      </c>
      <c r="BZ1093" s="319" t="s">
        <v>173</v>
      </c>
      <c r="CA1093" s="319" t="s">
        <v>173</v>
      </c>
      <c r="CB1093" s="319" t="s">
        <v>173</v>
      </c>
      <c r="CC1093" s="319" t="s">
        <v>173</v>
      </c>
      <c r="CD1093" s="319" t="s">
        <v>173</v>
      </c>
      <c r="CE1093" s="319" t="s">
        <v>173</v>
      </c>
      <c r="CF1093" s="319" t="s">
        <v>173</v>
      </c>
      <c r="CG1093" s="319" t="s">
        <v>173</v>
      </c>
      <c r="CH1093" s="319" t="s">
        <v>173</v>
      </c>
      <c r="CI1093" s="319" t="s">
        <v>173</v>
      </c>
      <c r="CJ1093" s="319" t="s">
        <v>173</v>
      </c>
      <c r="CK1093" s="319" t="s">
        <v>173</v>
      </c>
      <c r="CL1093" s="319" t="s">
        <v>173</v>
      </c>
      <c r="CM1093" s="319" t="s">
        <v>173</v>
      </c>
      <c r="CN1093" s="319" t="s">
        <v>173</v>
      </c>
      <c r="CO1093" s="319" t="s">
        <v>173</v>
      </c>
      <c r="CP1093" s="319" t="s">
        <v>173</v>
      </c>
      <c r="CQ1093" s="319" t="s">
        <v>173</v>
      </c>
      <c r="CR1093" s="319" t="s">
        <v>173</v>
      </c>
      <c r="CS1093" s="319" t="s">
        <v>173</v>
      </c>
      <c r="CT1093" s="319" t="s">
        <v>173</v>
      </c>
      <c r="CU1093" s="319" t="s">
        <v>173</v>
      </c>
      <c r="CV1093" s="319" t="s">
        <v>173</v>
      </c>
      <c r="CW1093" s="319" t="s">
        <v>173</v>
      </c>
      <c r="CX1093" s="319" t="s">
        <v>173</v>
      </c>
      <c r="CY1093" s="319" t="s">
        <v>173</v>
      </c>
      <c r="CZ1093" s="319" t="s">
        <v>173</v>
      </c>
      <c r="DA1093" s="319" t="s">
        <v>173</v>
      </c>
      <c r="DB1093" s="319" t="s">
        <v>173</v>
      </c>
      <c r="DC1093" s="319" t="s">
        <v>173</v>
      </c>
      <c r="DD1093" s="319" t="s">
        <v>173</v>
      </c>
      <c r="DE1093" s="319" t="s">
        <v>173</v>
      </c>
      <c r="DF1093" s="319" t="s">
        <v>173</v>
      </c>
      <c r="DG1093" s="319" t="s">
        <v>173</v>
      </c>
      <c r="DH1093" s="319" t="s">
        <v>173</v>
      </c>
      <c r="DI1093" s="319" t="s">
        <v>173</v>
      </c>
      <c r="DJ1093" s="319" t="s">
        <v>173</v>
      </c>
      <c r="DK1093" s="319" t="s">
        <v>173</v>
      </c>
      <c r="DL1093" s="319" t="s">
        <v>173</v>
      </c>
      <c r="DM1093" s="319" t="s">
        <v>173</v>
      </c>
      <c r="DN1093" s="319" t="s">
        <v>173</v>
      </c>
      <c r="DO1093" s="319" t="s">
        <v>173</v>
      </c>
      <c r="DP1093" s="319" t="s">
        <v>173</v>
      </c>
      <c r="DQ1093" s="319" t="s">
        <v>173</v>
      </c>
      <c r="DR1093" s="319" t="s">
        <v>173</v>
      </c>
      <c r="DS1093" s="319" t="s">
        <v>173</v>
      </c>
      <c r="DT1093" s="319" t="s">
        <v>173</v>
      </c>
      <c r="DU1093" s="319" t="s">
        <v>173</v>
      </c>
      <c r="DV1093" s="319" t="s">
        <v>173</v>
      </c>
      <c r="DW1093" s="319" t="s">
        <v>173</v>
      </c>
      <c r="DX1093" s="319" t="s">
        <v>173</v>
      </c>
      <c r="DY1093" s="319" t="s">
        <v>173</v>
      </c>
      <c r="DZ1093" s="319" t="s">
        <v>173</v>
      </c>
      <c r="EA1093" s="319" t="s">
        <v>173</v>
      </c>
      <c r="EB1093" s="319" t="s">
        <v>173</v>
      </c>
      <c r="EC1093" s="319" t="s">
        <v>173</v>
      </c>
      <c r="ED1093" s="319" t="s">
        <v>173</v>
      </c>
      <c r="EE1093" s="319" t="s">
        <v>173</v>
      </c>
      <c r="EF1093" s="319" t="s">
        <v>173</v>
      </c>
      <c r="EG1093" s="319" t="s">
        <v>173</v>
      </c>
      <c r="EH1093" s="319" t="s">
        <v>173</v>
      </c>
      <c r="EI1093" s="319" t="s">
        <v>173</v>
      </c>
      <c r="EJ1093" s="319" t="s">
        <v>173</v>
      </c>
      <c r="EK1093" s="319" t="s">
        <v>173</v>
      </c>
      <c r="EL1093" s="319" t="s">
        <v>173</v>
      </c>
      <c r="EM1093" s="319" t="s">
        <v>173</v>
      </c>
      <c r="EN1093" s="319" t="s">
        <v>173</v>
      </c>
      <c r="EO1093" s="319" t="s">
        <v>173</v>
      </c>
      <c r="EP1093" s="319" t="s">
        <v>173</v>
      </c>
      <c r="EQ1093" s="319" t="s">
        <v>173</v>
      </c>
      <c r="ER1093" s="319" t="s">
        <v>173</v>
      </c>
      <c r="ES1093" s="319" t="s">
        <v>173</v>
      </c>
      <c r="ET1093" s="319" t="s">
        <v>173</v>
      </c>
      <c r="EU1093" s="319" t="s">
        <v>173</v>
      </c>
      <c r="EV1093" s="319" t="s">
        <v>173</v>
      </c>
      <c r="EW1093" s="319" t="s">
        <v>173</v>
      </c>
      <c r="EX1093" s="319" t="s">
        <v>173</v>
      </c>
      <c r="EY1093" s="319" t="s">
        <v>173</v>
      </c>
      <c r="EZ1093" s="319" t="s">
        <v>173</v>
      </c>
      <c r="FA1093" s="319" t="s">
        <v>173</v>
      </c>
      <c r="FB1093" s="319" t="s">
        <v>173</v>
      </c>
      <c r="FC1093" s="319" t="s">
        <v>173</v>
      </c>
      <c r="FD1093" s="319" t="s">
        <v>173</v>
      </c>
      <c r="FE1093" s="319" t="s">
        <v>173</v>
      </c>
      <c r="FF1093" s="319" t="s">
        <v>173</v>
      </c>
      <c r="FG1093" s="319" t="s">
        <v>173</v>
      </c>
      <c r="FH1093" s="319" t="s">
        <v>173</v>
      </c>
      <c r="FI1093" s="319" t="s">
        <v>173</v>
      </c>
      <c r="FJ1093" s="319" t="s">
        <v>173</v>
      </c>
      <c r="FK1093" s="319" t="s">
        <v>173</v>
      </c>
      <c r="FL1093" s="319" t="s">
        <v>173</v>
      </c>
      <c r="FM1093" s="319" t="s">
        <v>173</v>
      </c>
      <c r="FN1093" s="319" t="s">
        <v>173</v>
      </c>
      <c r="FO1093" s="319" t="s">
        <v>173</v>
      </c>
      <c r="FP1093" s="319" t="s">
        <v>173</v>
      </c>
      <c r="FQ1093" s="319" t="s">
        <v>173</v>
      </c>
      <c r="FR1093" s="319" t="s">
        <v>173</v>
      </c>
      <c r="FS1093" s="319" t="s">
        <v>173</v>
      </c>
      <c r="FT1093" s="319" t="s">
        <v>173</v>
      </c>
      <c r="FU1093" s="319" t="s">
        <v>173</v>
      </c>
      <c r="FV1093" s="319" t="s">
        <v>173</v>
      </c>
      <c r="FW1093" s="319" t="s">
        <v>173</v>
      </c>
      <c r="FX1093" s="319" t="s">
        <v>173</v>
      </c>
      <c r="FY1093" s="319" t="s">
        <v>173</v>
      </c>
      <c r="FZ1093" s="319" t="s">
        <v>173</v>
      </c>
      <c r="GA1093" s="319" t="s">
        <v>173</v>
      </c>
      <c r="GB1093" s="319" t="s">
        <v>173</v>
      </c>
      <c r="GC1093" s="319" t="s">
        <v>173</v>
      </c>
      <c r="GD1093" s="319" t="s">
        <v>173</v>
      </c>
      <c r="GE1093" s="319" t="s">
        <v>173</v>
      </c>
      <c r="GF1093" s="319" t="s">
        <v>173</v>
      </c>
      <c r="GG1093" s="319" t="s">
        <v>173</v>
      </c>
      <c r="GH1093" s="319" t="s">
        <v>173</v>
      </c>
      <c r="GI1093" s="319" t="s">
        <v>173</v>
      </c>
      <c r="GJ1093" s="319" t="s">
        <v>173</v>
      </c>
      <c r="GK1093" s="319" t="s">
        <v>173</v>
      </c>
      <c r="GL1093" s="319" t="s">
        <v>173</v>
      </c>
      <c r="GM1093" s="319" t="s">
        <v>173</v>
      </c>
      <c r="GN1093" s="319" t="s">
        <v>173</v>
      </c>
      <c r="GO1093" s="319" t="s">
        <v>173</v>
      </c>
      <c r="GP1093" s="319" t="s">
        <v>173</v>
      </c>
      <c r="GQ1093" s="319" t="s">
        <v>173</v>
      </c>
      <c r="GR1093" s="319" t="s">
        <v>173</v>
      </c>
      <c r="GS1093" s="319" t="s">
        <v>173</v>
      </c>
      <c r="GT1093" s="319" t="s">
        <v>173</v>
      </c>
      <c r="GU1093" s="319" t="s">
        <v>173</v>
      </c>
      <c r="GV1093" s="319" t="s">
        <v>173</v>
      </c>
      <c r="GW1093" s="319" t="s">
        <v>173</v>
      </c>
      <c r="GX1093" s="319" t="s">
        <v>173</v>
      </c>
      <c r="GY1093" s="319" t="s">
        <v>173</v>
      </c>
      <c r="GZ1093" s="319" t="s">
        <v>173</v>
      </c>
      <c r="HA1093" s="319" t="s">
        <v>173</v>
      </c>
      <c r="HB1093" s="319" t="s">
        <v>173</v>
      </c>
      <c r="HC1093" s="319" t="s">
        <v>173</v>
      </c>
      <c r="HD1093" s="319" t="s">
        <v>173</v>
      </c>
      <c r="HE1093" s="319" t="s">
        <v>173</v>
      </c>
      <c r="HF1093" s="319" t="s">
        <v>173</v>
      </c>
      <c r="HG1093" s="319" t="s">
        <v>173</v>
      </c>
      <c r="HH1093" s="319" t="s">
        <v>173</v>
      </c>
      <c r="HI1093" s="319" t="s">
        <v>173</v>
      </c>
      <c r="HJ1093" s="319" t="s">
        <v>173</v>
      </c>
      <c r="HK1093" s="319" t="s">
        <v>173</v>
      </c>
      <c r="HL1093" s="319" t="s">
        <v>173</v>
      </c>
      <c r="HM1093" s="319" t="s">
        <v>173</v>
      </c>
      <c r="HN1093" s="319" t="s">
        <v>173</v>
      </c>
      <c r="HO1093" s="319" t="s">
        <v>173</v>
      </c>
      <c r="HP1093" s="319" t="s">
        <v>173</v>
      </c>
      <c r="HQ1093" s="319" t="s">
        <v>173</v>
      </c>
      <c r="HR1093" s="319" t="s">
        <v>173</v>
      </c>
      <c r="HS1093" s="319" t="s">
        <v>173</v>
      </c>
      <c r="HT1093" s="319" t="s">
        <v>173</v>
      </c>
      <c r="HU1093" s="319" t="s">
        <v>173</v>
      </c>
      <c r="HV1093" s="319" t="s">
        <v>173</v>
      </c>
      <c r="HW1093" s="319" t="s">
        <v>173</v>
      </c>
      <c r="HX1093" s="319" t="s">
        <v>173</v>
      </c>
      <c r="HY1093" s="319" t="s">
        <v>173</v>
      </c>
      <c r="HZ1093" s="319" t="s">
        <v>173</v>
      </c>
      <c r="IA1093" s="319" t="s">
        <v>173</v>
      </c>
      <c r="IB1093" s="319" t="s">
        <v>173</v>
      </c>
      <c r="IC1093" s="319" t="s">
        <v>173</v>
      </c>
      <c r="ID1093" s="319" t="s">
        <v>173</v>
      </c>
      <c r="IE1093" s="319" t="s">
        <v>173</v>
      </c>
      <c r="IF1093" s="319" t="s">
        <v>173</v>
      </c>
      <c r="IG1093" s="319" t="s">
        <v>173</v>
      </c>
      <c r="IH1093" s="319" t="s">
        <v>173</v>
      </c>
      <c r="II1093" s="319" t="s">
        <v>173</v>
      </c>
      <c r="IJ1093" s="319" t="s">
        <v>173</v>
      </c>
      <c r="IK1093" s="319" t="s">
        <v>173</v>
      </c>
      <c r="IL1093" s="319" t="s">
        <v>173</v>
      </c>
      <c r="IM1093" s="319" t="s">
        <v>173</v>
      </c>
      <c r="IN1093" s="319" t="s">
        <v>173</v>
      </c>
      <c r="IO1093" s="319" t="s">
        <v>173</v>
      </c>
      <c r="IP1093" s="319" t="s">
        <v>173</v>
      </c>
      <c r="IQ1093" s="321" t="s">
        <v>173</v>
      </c>
      <c r="IR1093" s="320" t="s">
        <v>173</v>
      </c>
      <c r="IS1093" s="322" t="s">
        <v>173</v>
      </c>
      <c r="IT1093" s="319" t="s">
        <v>173</v>
      </c>
    </row>
    <row r="1094" spans="1:254" s="271" customFormat="1" x14ac:dyDescent="0.25">
      <c r="A1094" s="318" t="str">
        <f>HYPERLINK("http://www.ofsted.gov.uk/inspection-reports/find-inspection-report/provider/ELS/147455 ","Ofsted School Webpage")</f>
        <v>Ofsted School Webpage</v>
      </c>
      <c r="B1094" s="319">
        <v>147455</v>
      </c>
      <c r="C1094" s="319">
        <v>3146029</v>
      </c>
      <c r="D1094" s="319" t="s">
        <v>3678</v>
      </c>
      <c r="E1094" s="319" t="s">
        <v>167</v>
      </c>
      <c r="F1094" s="319" t="s">
        <v>434</v>
      </c>
      <c r="G1094" s="319" t="s">
        <v>81</v>
      </c>
      <c r="H1094" s="319" t="s">
        <v>81</v>
      </c>
      <c r="I1094" s="319" t="s">
        <v>78</v>
      </c>
      <c r="J1094" s="319" t="s">
        <v>424</v>
      </c>
      <c r="K1094" s="319" t="s">
        <v>441</v>
      </c>
      <c r="L1094" s="319" t="s">
        <v>441</v>
      </c>
      <c r="M1094" s="319" t="s">
        <v>1646</v>
      </c>
      <c r="N1094" s="319" t="s">
        <v>3679</v>
      </c>
      <c r="O1094" s="319" t="s">
        <v>3680</v>
      </c>
      <c r="P1094" s="319">
        <v>56</v>
      </c>
      <c r="Q1094" s="319" t="s">
        <v>2766</v>
      </c>
      <c r="R1094" s="320" t="s">
        <v>173</v>
      </c>
      <c r="S1094" s="321" t="s">
        <v>173</v>
      </c>
      <c r="T1094" s="321" t="s">
        <v>173</v>
      </c>
      <c r="U1094" s="321" t="s">
        <v>173</v>
      </c>
      <c r="V1094" s="319" t="s">
        <v>173</v>
      </c>
      <c r="W1094" s="319" t="s">
        <v>173</v>
      </c>
      <c r="X1094" s="319" t="s">
        <v>173</v>
      </c>
      <c r="Y1094" s="319" t="s">
        <v>173</v>
      </c>
      <c r="Z1094" s="319" t="s">
        <v>173</v>
      </c>
      <c r="AA1094" s="319" t="s">
        <v>173</v>
      </c>
      <c r="AB1094" s="319" t="s">
        <v>173</v>
      </c>
      <c r="AC1094" s="319" t="s">
        <v>173</v>
      </c>
      <c r="AD1094" s="319" t="s">
        <v>173</v>
      </c>
      <c r="AE1094" s="319" t="s">
        <v>173</v>
      </c>
      <c r="AF1094" s="319" t="s">
        <v>173</v>
      </c>
      <c r="AG1094" s="319" t="s">
        <v>173</v>
      </c>
      <c r="AH1094" s="319" t="s">
        <v>173</v>
      </c>
      <c r="AI1094" s="319" t="s">
        <v>173</v>
      </c>
      <c r="AJ1094" s="319" t="s">
        <v>173</v>
      </c>
      <c r="AK1094" s="319" t="s">
        <v>173</v>
      </c>
      <c r="AL1094" s="319" t="s">
        <v>173</v>
      </c>
      <c r="AM1094" s="319" t="s">
        <v>173</v>
      </c>
      <c r="AN1094" s="319" t="s">
        <v>173</v>
      </c>
      <c r="AO1094" s="319" t="s">
        <v>173</v>
      </c>
      <c r="AP1094" s="319" t="s">
        <v>173</v>
      </c>
      <c r="AQ1094" s="319" t="s">
        <v>173</v>
      </c>
      <c r="AR1094" s="319" t="s">
        <v>173</v>
      </c>
      <c r="AS1094" s="319" t="s">
        <v>173</v>
      </c>
      <c r="AT1094" s="319" t="s">
        <v>173</v>
      </c>
      <c r="AU1094" s="319" t="s">
        <v>173</v>
      </c>
      <c r="AV1094" s="319" t="s">
        <v>173</v>
      </c>
      <c r="AW1094" s="319" t="s">
        <v>173</v>
      </c>
      <c r="AX1094" s="319" t="s">
        <v>173</v>
      </c>
      <c r="AY1094" s="319" t="s">
        <v>173</v>
      </c>
      <c r="AZ1094" s="319" t="s">
        <v>173</v>
      </c>
      <c r="BA1094" s="319" t="s">
        <v>173</v>
      </c>
      <c r="BB1094" s="319" t="s">
        <v>173</v>
      </c>
      <c r="BC1094" s="319" t="s">
        <v>173</v>
      </c>
      <c r="BD1094" s="319" t="s">
        <v>173</v>
      </c>
      <c r="BE1094" s="319" t="s">
        <v>173</v>
      </c>
      <c r="BF1094" s="319" t="s">
        <v>173</v>
      </c>
      <c r="BG1094" s="319" t="s">
        <v>173</v>
      </c>
      <c r="BH1094" s="319" t="s">
        <v>173</v>
      </c>
      <c r="BI1094" s="319" t="s">
        <v>173</v>
      </c>
      <c r="BJ1094" s="319" t="s">
        <v>173</v>
      </c>
      <c r="BK1094" s="319" t="s">
        <v>173</v>
      </c>
      <c r="BL1094" s="319" t="s">
        <v>173</v>
      </c>
      <c r="BM1094" s="319" t="s">
        <v>173</v>
      </c>
      <c r="BN1094" s="319" t="s">
        <v>173</v>
      </c>
      <c r="BO1094" s="319" t="s">
        <v>173</v>
      </c>
      <c r="BP1094" s="319" t="s">
        <v>173</v>
      </c>
      <c r="BQ1094" s="319" t="s">
        <v>173</v>
      </c>
      <c r="BR1094" s="319" t="s">
        <v>173</v>
      </c>
      <c r="BS1094" s="319" t="s">
        <v>173</v>
      </c>
      <c r="BT1094" s="319" t="s">
        <v>173</v>
      </c>
      <c r="BU1094" s="319" t="s">
        <v>173</v>
      </c>
      <c r="BV1094" s="319" t="s">
        <v>173</v>
      </c>
      <c r="BW1094" s="319" t="s">
        <v>173</v>
      </c>
      <c r="BX1094" s="319" t="s">
        <v>173</v>
      </c>
      <c r="BY1094" s="319" t="s">
        <v>173</v>
      </c>
      <c r="BZ1094" s="319" t="s">
        <v>173</v>
      </c>
      <c r="CA1094" s="319" t="s">
        <v>173</v>
      </c>
      <c r="CB1094" s="319" t="s">
        <v>173</v>
      </c>
      <c r="CC1094" s="319" t="s">
        <v>173</v>
      </c>
      <c r="CD1094" s="319" t="s">
        <v>173</v>
      </c>
      <c r="CE1094" s="319" t="s">
        <v>173</v>
      </c>
      <c r="CF1094" s="319" t="s">
        <v>173</v>
      </c>
      <c r="CG1094" s="319" t="s">
        <v>173</v>
      </c>
      <c r="CH1094" s="319" t="s">
        <v>173</v>
      </c>
      <c r="CI1094" s="319" t="s">
        <v>173</v>
      </c>
      <c r="CJ1094" s="319" t="s">
        <v>173</v>
      </c>
      <c r="CK1094" s="319" t="s">
        <v>173</v>
      </c>
      <c r="CL1094" s="319" t="s">
        <v>173</v>
      </c>
      <c r="CM1094" s="319" t="s">
        <v>173</v>
      </c>
      <c r="CN1094" s="319" t="s">
        <v>173</v>
      </c>
      <c r="CO1094" s="319" t="s">
        <v>173</v>
      </c>
      <c r="CP1094" s="319" t="s">
        <v>173</v>
      </c>
      <c r="CQ1094" s="319" t="s">
        <v>173</v>
      </c>
      <c r="CR1094" s="319" t="s">
        <v>173</v>
      </c>
      <c r="CS1094" s="319" t="s">
        <v>173</v>
      </c>
      <c r="CT1094" s="319" t="s">
        <v>173</v>
      </c>
      <c r="CU1094" s="319" t="s">
        <v>173</v>
      </c>
      <c r="CV1094" s="319" t="s">
        <v>173</v>
      </c>
      <c r="CW1094" s="319" t="s">
        <v>173</v>
      </c>
      <c r="CX1094" s="319" t="s">
        <v>173</v>
      </c>
      <c r="CY1094" s="319" t="s">
        <v>173</v>
      </c>
      <c r="CZ1094" s="319" t="s">
        <v>173</v>
      </c>
      <c r="DA1094" s="319" t="s">
        <v>173</v>
      </c>
      <c r="DB1094" s="319" t="s">
        <v>173</v>
      </c>
      <c r="DC1094" s="319" t="s">
        <v>173</v>
      </c>
      <c r="DD1094" s="319" t="s">
        <v>173</v>
      </c>
      <c r="DE1094" s="319" t="s">
        <v>173</v>
      </c>
      <c r="DF1094" s="319" t="s">
        <v>173</v>
      </c>
      <c r="DG1094" s="319" t="s">
        <v>173</v>
      </c>
      <c r="DH1094" s="319" t="s">
        <v>173</v>
      </c>
      <c r="DI1094" s="319" t="s">
        <v>173</v>
      </c>
      <c r="DJ1094" s="319" t="s">
        <v>173</v>
      </c>
      <c r="DK1094" s="319" t="s">
        <v>173</v>
      </c>
      <c r="DL1094" s="319" t="s">
        <v>173</v>
      </c>
      <c r="DM1094" s="319" t="s">
        <v>173</v>
      </c>
      <c r="DN1094" s="319" t="s">
        <v>173</v>
      </c>
      <c r="DO1094" s="319" t="s">
        <v>173</v>
      </c>
      <c r="DP1094" s="319" t="s">
        <v>173</v>
      </c>
      <c r="DQ1094" s="319" t="s">
        <v>173</v>
      </c>
      <c r="DR1094" s="319" t="s">
        <v>173</v>
      </c>
      <c r="DS1094" s="319" t="s">
        <v>173</v>
      </c>
      <c r="DT1094" s="319" t="s">
        <v>173</v>
      </c>
      <c r="DU1094" s="319" t="s">
        <v>173</v>
      </c>
      <c r="DV1094" s="319" t="s">
        <v>173</v>
      </c>
      <c r="DW1094" s="319" t="s">
        <v>173</v>
      </c>
      <c r="DX1094" s="319" t="s">
        <v>173</v>
      </c>
      <c r="DY1094" s="319" t="s">
        <v>173</v>
      </c>
      <c r="DZ1094" s="319" t="s">
        <v>173</v>
      </c>
      <c r="EA1094" s="319" t="s">
        <v>173</v>
      </c>
      <c r="EB1094" s="319" t="s">
        <v>173</v>
      </c>
      <c r="EC1094" s="319" t="s">
        <v>173</v>
      </c>
      <c r="ED1094" s="319" t="s">
        <v>173</v>
      </c>
      <c r="EE1094" s="319" t="s">
        <v>173</v>
      </c>
      <c r="EF1094" s="319" t="s">
        <v>173</v>
      </c>
      <c r="EG1094" s="319" t="s">
        <v>173</v>
      </c>
      <c r="EH1094" s="319" t="s">
        <v>173</v>
      </c>
      <c r="EI1094" s="319" t="s">
        <v>173</v>
      </c>
      <c r="EJ1094" s="319" t="s">
        <v>173</v>
      </c>
      <c r="EK1094" s="319" t="s">
        <v>173</v>
      </c>
      <c r="EL1094" s="319" t="s">
        <v>173</v>
      </c>
      <c r="EM1094" s="319" t="s">
        <v>173</v>
      </c>
      <c r="EN1094" s="319" t="s">
        <v>173</v>
      </c>
      <c r="EO1094" s="319" t="s">
        <v>173</v>
      </c>
      <c r="EP1094" s="319" t="s">
        <v>173</v>
      </c>
      <c r="EQ1094" s="319" t="s">
        <v>173</v>
      </c>
      <c r="ER1094" s="319" t="s">
        <v>173</v>
      </c>
      <c r="ES1094" s="319" t="s">
        <v>173</v>
      </c>
      <c r="ET1094" s="319" t="s">
        <v>173</v>
      </c>
      <c r="EU1094" s="319" t="s">
        <v>173</v>
      </c>
      <c r="EV1094" s="319" t="s">
        <v>173</v>
      </c>
      <c r="EW1094" s="319" t="s">
        <v>173</v>
      </c>
      <c r="EX1094" s="319" t="s">
        <v>173</v>
      </c>
      <c r="EY1094" s="319" t="s">
        <v>173</v>
      </c>
      <c r="EZ1094" s="319" t="s">
        <v>173</v>
      </c>
      <c r="FA1094" s="319" t="s">
        <v>173</v>
      </c>
      <c r="FB1094" s="319" t="s">
        <v>173</v>
      </c>
      <c r="FC1094" s="319" t="s">
        <v>173</v>
      </c>
      <c r="FD1094" s="319" t="s">
        <v>173</v>
      </c>
      <c r="FE1094" s="319" t="s">
        <v>173</v>
      </c>
      <c r="FF1094" s="319" t="s">
        <v>173</v>
      </c>
      <c r="FG1094" s="319" t="s">
        <v>173</v>
      </c>
      <c r="FH1094" s="319" t="s">
        <v>173</v>
      </c>
      <c r="FI1094" s="319" t="s">
        <v>173</v>
      </c>
      <c r="FJ1094" s="319" t="s">
        <v>173</v>
      </c>
      <c r="FK1094" s="319" t="s">
        <v>173</v>
      </c>
      <c r="FL1094" s="319" t="s">
        <v>173</v>
      </c>
      <c r="FM1094" s="319" t="s">
        <v>173</v>
      </c>
      <c r="FN1094" s="319" t="s">
        <v>173</v>
      </c>
      <c r="FO1094" s="319" t="s">
        <v>173</v>
      </c>
      <c r="FP1094" s="319" t="s">
        <v>173</v>
      </c>
      <c r="FQ1094" s="319" t="s">
        <v>173</v>
      </c>
      <c r="FR1094" s="319" t="s">
        <v>173</v>
      </c>
      <c r="FS1094" s="319" t="s">
        <v>173</v>
      </c>
      <c r="FT1094" s="319" t="s">
        <v>173</v>
      </c>
      <c r="FU1094" s="319" t="s">
        <v>173</v>
      </c>
      <c r="FV1094" s="319" t="s">
        <v>173</v>
      </c>
      <c r="FW1094" s="319" t="s">
        <v>173</v>
      </c>
      <c r="FX1094" s="319" t="s">
        <v>173</v>
      </c>
      <c r="FY1094" s="319" t="s">
        <v>173</v>
      </c>
      <c r="FZ1094" s="319" t="s">
        <v>173</v>
      </c>
      <c r="GA1094" s="319" t="s">
        <v>173</v>
      </c>
      <c r="GB1094" s="319" t="s">
        <v>173</v>
      </c>
      <c r="GC1094" s="319" t="s">
        <v>173</v>
      </c>
      <c r="GD1094" s="319" t="s">
        <v>173</v>
      </c>
      <c r="GE1094" s="319" t="s">
        <v>173</v>
      </c>
      <c r="GF1094" s="319" t="s">
        <v>173</v>
      </c>
      <c r="GG1094" s="319" t="s">
        <v>173</v>
      </c>
      <c r="GH1094" s="319" t="s">
        <v>173</v>
      </c>
      <c r="GI1094" s="319" t="s">
        <v>173</v>
      </c>
      <c r="GJ1094" s="319" t="s">
        <v>173</v>
      </c>
      <c r="GK1094" s="319" t="s">
        <v>173</v>
      </c>
      <c r="GL1094" s="319" t="s">
        <v>173</v>
      </c>
      <c r="GM1094" s="319" t="s">
        <v>173</v>
      </c>
      <c r="GN1094" s="319" t="s">
        <v>173</v>
      </c>
      <c r="GO1094" s="319" t="s">
        <v>173</v>
      </c>
      <c r="GP1094" s="319" t="s">
        <v>173</v>
      </c>
      <c r="GQ1094" s="319" t="s">
        <v>173</v>
      </c>
      <c r="GR1094" s="319" t="s">
        <v>173</v>
      </c>
      <c r="GS1094" s="319" t="s">
        <v>173</v>
      </c>
      <c r="GT1094" s="319" t="s">
        <v>173</v>
      </c>
      <c r="GU1094" s="319" t="s">
        <v>173</v>
      </c>
      <c r="GV1094" s="319" t="s">
        <v>173</v>
      </c>
      <c r="GW1094" s="319" t="s">
        <v>173</v>
      </c>
      <c r="GX1094" s="319" t="s">
        <v>173</v>
      </c>
      <c r="GY1094" s="319" t="s">
        <v>173</v>
      </c>
      <c r="GZ1094" s="319" t="s">
        <v>173</v>
      </c>
      <c r="HA1094" s="319" t="s">
        <v>173</v>
      </c>
      <c r="HB1094" s="319" t="s">
        <v>173</v>
      </c>
      <c r="HC1094" s="319" t="s">
        <v>173</v>
      </c>
      <c r="HD1094" s="319" t="s">
        <v>173</v>
      </c>
      <c r="HE1094" s="319" t="s">
        <v>173</v>
      </c>
      <c r="HF1094" s="319" t="s">
        <v>173</v>
      </c>
      <c r="HG1094" s="319" t="s">
        <v>173</v>
      </c>
      <c r="HH1094" s="319" t="s">
        <v>173</v>
      </c>
      <c r="HI1094" s="319" t="s">
        <v>173</v>
      </c>
      <c r="HJ1094" s="319" t="s">
        <v>173</v>
      </c>
      <c r="HK1094" s="319" t="s">
        <v>173</v>
      </c>
      <c r="HL1094" s="319" t="s">
        <v>173</v>
      </c>
      <c r="HM1094" s="319" t="s">
        <v>173</v>
      </c>
      <c r="HN1094" s="319" t="s">
        <v>173</v>
      </c>
      <c r="HO1094" s="319" t="s">
        <v>173</v>
      </c>
      <c r="HP1094" s="319" t="s">
        <v>173</v>
      </c>
      <c r="HQ1094" s="319" t="s">
        <v>173</v>
      </c>
      <c r="HR1094" s="319" t="s">
        <v>173</v>
      </c>
      <c r="HS1094" s="319" t="s">
        <v>173</v>
      </c>
      <c r="HT1094" s="319" t="s">
        <v>173</v>
      </c>
      <c r="HU1094" s="319" t="s">
        <v>173</v>
      </c>
      <c r="HV1094" s="319" t="s">
        <v>173</v>
      </c>
      <c r="HW1094" s="319" t="s">
        <v>173</v>
      </c>
      <c r="HX1094" s="319" t="s">
        <v>173</v>
      </c>
      <c r="HY1094" s="319" t="s">
        <v>173</v>
      </c>
      <c r="HZ1094" s="319" t="s">
        <v>173</v>
      </c>
      <c r="IA1094" s="319" t="s">
        <v>173</v>
      </c>
      <c r="IB1094" s="319" t="s">
        <v>173</v>
      </c>
      <c r="IC1094" s="319" t="s">
        <v>173</v>
      </c>
      <c r="ID1094" s="319" t="s">
        <v>173</v>
      </c>
      <c r="IE1094" s="319" t="s">
        <v>173</v>
      </c>
      <c r="IF1094" s="319" t="s">
        <v>173</v>
      </c>
      <c r="IG1094" s="319" t="s">
        <v>173</v>
      </c>
      <c r="IH1094" s="319" t="s">
        <v>173</v>
      </c>
      <c r="II1094" s="319" t="s">
        <v>173</v>
      </c>
      <c r="IJ1094" s="319" t="s">
        <v>173</v>
      </c>
      <c r="IK1094" s="319" t="s">
        <v>173</v>
      </c>
      <c r="IL1094" s="319" t="s">
        <v>173</v>
      </c>
      <c r="IM1094" s="319" t="s">
        <v>173</v>
      </c>
      <c r="IN1094" s="319" t="s">
        <v>173</v>
      </c>
      <c r="IO1094" s="319" t="s">
        <v>173</v>
      </c>
      <c r="IP1094" s="319" t="s">
        <v>173</v>
      </c>
      <c r="IQ1094" s="319" t="s">
        <v>173</v>
      </c>
      <c r="IR1094" s="320" t="s">
        <v>173</v>
      </c>
      <c r="IS1094" s="320" t="s">
        <v>173</v>
      </c>
      <c r="IT1094" s="319" t="s">
        <v>173</v>
      </c>
    </row>
    <row r="1095" spans="1:254" s="271" customFormat="1" x14ac:dyDescent="0.25">
      <c r="A1095" s="318" t="str">
        <f>HYPERLINK("http://www.ofsted.gov.uk/inspection-reports/find-inspection-report/provider/ELS/147462 ","Ofsted School Webpage")</f>
        <v>Ofsted School Webpage</v>
      </c>
      <c r="B1095" s="319">
        <v>147462</v>
      </c>
      <c r="C1095" s="319">
        <v>8126008</v>
      </c>
      <c r="D1095" s="319" t="s">
        <v>3681</v>
      </c>
      <c r="E1095" s="319" t="s">
        <v>167</v>
      </c>
      <c r="F1095" s="319" t="s">
        <v>434</v>
      </c>
      <c r="G1095" s="319" t="s">
        <v>81</v>
      </c>
      <c r="H1095" s="319" t="s">
        <v>81</v>
      </c>
      <c r="I1095" s="319" t="s">
        <v>78</v>
      </c>
      <c r="J1095" s="319" t="s">
        <v>424</v>
      </c>
      <c r="K1095" s="319" t="s">
        <v>458</v>
      </c>
      <c r="L1095" s="319" t="s">
        <v>459</v>
      </c>
      <c r="M1095" s="319" t="s">
        <v>1076</v>
      </c>
      <c r="N1095" s="319" t="s">
        <v>3550</v>
      </c>
      <c r="O1095" s="319" t="s">
        <v>2736</v>
      </c>
      <c r="P1095" s="319" t="s">
        <v>173</v>
      </c>
      <c r="Q1095" s="319" t="s">
        <v>2776</v>
      </c>
      <c r="R1095" s="320" t="s">
        <v>173</v>
      </c>
      <c r="S1095" s="321" t="s">
        <v>173</v>
      </c>
      <c r="T1095" s="321" t="s">
        <v>173</v>
      </c>
      <c r="U1095" s="321" t="s">
        <v>173</v>
      </c>
      <c r="V1095" s="319" t="s">
        <v>173</v>
      </c>
      <c r="W1095" s="319" t="s">
        <v>173</v>
      </c>
      <c r="X1095" s="319" t="s">
        <v>173</v>
      </c>
      <c r="Y1095" s="319" t="s">
        <v>173</v>
      </c>
      <c r="Z1095" s="319" t="s">
        <v>173</v>
      </c>
      <c r="AA1095" s="319" t="s">
        <v>173</v>
      </c>
      <c r="AB1095" s="319" t="s">
        <v>173</v>
      </c>
      <c r="AC1095" s="319" t="s">
        <v>173</v>
      </c>
      <c r="AD1095" s="319" t="s">
        <v>173</v>
      </c>
      <c r="AE1095" s="319" t="s">
        <v>173</v>
      </c>
      <c r="AF1095" s="319" t="s">
        <v>173</v>
      </c>
      <c r="AG1095" s="319" t="s">
        <v>173</v>
      </c>
      <c r="AH1095" s="319" t="s">
        <v>173</v>
      </c>
      <c r="AI1095" s="319" t="s">
        <v>173</v>
      </c>
      <c r="AJ1095" s="319" t="s">
        <v>173</v>
      </c>
      <c r="AK1095" s="319" t="s">
        <v>173</v>
      </c>
      <c r="AL1095" s="319" t="s">
        <v>173</v>
      </c>
      <c r="AM1095" s="319" t="s">
        <v>173</v>
      </c>
      <c r="AN1095" s="319" t="s">
        <v>173</v>
      </c>
      <c r="AO1095" s="319" t="s">
        <v>173</v>
      </c>
      <c r="AP1095" s="319" t="s">
        <v>173</v>
      </c>
      <c r="AQ1095" s="319" t="s">
        <v>173</v>
      </c>
      <c r="AR1095" s="319" t="s">
        <v>173</v>
      </c>
      <c r="AS1095" s="319" t="s">
        <v>173</v>
      </c>
      <c r="AT1095" s="319" t="s">
        <v>173</v>
      </c>
      <c r="AU1095" s="319" t="s">
        <v>173</v>
      </c>
      <c r="AV1095" s="319" t="s">
        <v>173</v>
      </c>
      <c r="AW1095" s="319" t="s">
        <v>173</v>
      </c>
      <c r="AX1095" s="319" t="s">
        <v>173</v>
      </c>
      <c r="AY1095" s="319" t="s">
        <v>173</v>
      </c>
      <c r="AZ1095" s="319" t="s">
        <v>173</v>
      </c>
      <c r="BA1095" s="319" t="s">
        <v>173</v>
      </c>
      <c r="BB1095" s="319" t="s">
        <v>173</v>
      </c>
      <c r="BC1095" s="319" t="s">
        <v>173</v>
      </c>
      <c r="BD1095" s="319" t="s">
        <v>173</v>
      </c>
      <c r="BE1095" s="319" t="s">
        <v>173</v>
      </c>
      <c r="BF1095" s="319" t="s">
        <v>173</v>
      </c>
      <c r="BG1095" s="319" t="s">
        <v>173</v>
      </c>
      <c r="BH1095" s="319" t="s">
        <v>173</v>
      </c>
      <c r="BI1095" s="319" t="s">
        <v>173</v>
      </c>
      <c r="BJ1095" s="319" t="s">
        <v>173</v>
      </c>
      <c r="BK1095" s="319" t="s">
        <v>173</v>
      </c>
      <c r="BL1095" s="319" t="s">
        <v>173</v>
      </c>
      <c r="BM1095" s="319" t="s">
        <v>173</v>
      </c>
      <c r="BN1095" s="319" t="s">
        <v>173</v>
      </c>
      <c r="BO1095" s="319" t="s">
        <v>173</v>
      </c>
      <c r="BP1095" s="319" t="s">
        <v>173</v>
      </c>
      <c r="BQ1095" s="319" t="s">
        <v>173</v>
      </c>
      <c r="BR1095" s="319" t="s">
        <v>173</v>
      </c>
      <c r="BS1095" s="319" t="s">
        <v>173</v>
      </c>
      <c r="BT1095" s="319" t="s">
        <v>173</v>
      </c>
      <c r="BU1095" s="319" t="s">
        <v>173</v>
      </c>
      <c r="BV1095" s="319" t="s">
        <v>173</v>
      </c>
      <c r="BW1095" s="319" t="s">
        <v>173</v>
      </c>
      <c r="BX1095" s="319" t="s">
        <v>173</v>
      </c>
      <c r="BY1095" s="319" t="s">
        <v>173</v>
      </c>
      <c r="BZ1095" s="319" t="s">
        <v>173</v>
      </c>
      <c r="CA1095" s="319" t="s">
        <v>173</v>
      </c>
      <c r="CB1095" s="319" t="s">
        <v>173</v>
      </c>
      <c r="CC1095" s="319" t="s">
        <v>173</v>
      </c>
      <c r="CD1095" s="319" t="s">
        <v>173</v>
      </c>
      <c r="CE1095" s="319" t="s">
        <v>173</v>
      </c>
      <c r="CF1095" s="319" t="s">
        <v>173</v>
      </c>
      <c r="CG1095" s="319" t="s">
        <v>173</v>
      </c>
      <c r="CH1095" s="319" t="s">
        <v>173</v>
      </c>
      <c r="CI1095" s="319" t="s">
        <v>173</v>
      </c>
      <c r="CJ1095" s="319" t="s">
        <v>173</v>
      </c>
      <c r="CK1095" s="319" t="s">
        <v>173</v>
      </c>
      <c r="CL1095" s="319" t="s">
        <v>173</v>
      </c>
      <c r="CM1095" s="319" t="s">
        <v>173</v>
      </c>
      <c r="CN1095" s="319" t="s">
        <v>173</v>
      </c>
      <c r="CO1095" s="319" t="s">
        <v>173</v>
      </c>
      <c r="CP1095" s="319" t="s">
        <v>173</v>
      </c>
      <c r="CQ1095" s="319" t="s">
        <v>173</v>
      </c>
      <c r="CR1095" s="319" t="s">
        <v>173</v>
      </c>
      <c r="CS1095" s="319" t="s">
        <v>173</v>
      </c>
      <c r="CT1095" s="319" t="s">
        <v>173</v>
      </c>
      <c r="CU1095" s="319" t="s">
        <v>173</v>
      </c>
      <c r="CV1095" s="319" t="s">
        <v>173</v>
      </c>
      <c r="CW1095" s="319" t="s">
        <v>173</v>
      </c>
      <c r="CX1095" s="319" t="s">
        <v>173</v>
      </c>
      <c r="CY1095" s="319" t="s">
        <v>173</v>
      </c>
      <c r="CZ1095" s="319" t="s">
        <v>173</v>
      </c>
      <c r="DA1095" s="319" t="s">
        <v>173</v>
      </c>
      <c r="DB1095" s="319" t="s">
        <v>173</v>
      </c>
      <c r="DC1095" s="319" t="s">
        <v>173</v>
      </c>
      <c r="DD1095" s="319" t="s">
        <v>173</v>
      </c>
      <c r="DE1095" s="319" t="s">
        <v>173</v>
      </c>
      <c r="DF1095" s="319" t="s">
        <v>173</v>
      </c>
      <c r="DG1095" s="319" t="s">
        <v>173</v>
      </c>
      <c r="DH1095" s="319" t="s">
        <v>173</v>
      </c>
      <c r="DI1095" s="319" t="s">
        <v>173</v>
      </c>
      <c r="DJ1095" s="319" t="s">
        <v>173</v>
      </c>
      <c r="DK1095" s="319" t="s">
        <v>173</v>
      </c>
      <c r="DL1095" s="319" t="s">
        <v>173</v>
      </c>
      <c r="DM1095" s="319" t="s">
        <v>173</v>
      </c>
      <c r="DN1095" s="319" t="s">
        <v>173</v>
      </c>
      <c r="DO1095" s="319" t="s">
        <v>173</v>
      </c>
      <c r="DP1095" s="319" t="s">
        <v>173</v>
      </c>
      <c r="DQ1095" s="319" t="s">
        <v>173</v>
      </c>
      <c r="DR1095" s="319" t="s">
        <v>173</v>
      </c>
      <c r="DS1095" s="319" t="s">
        <v>173</v>
      </c>
      <c r="DT1095" s="319" t="s">
        <v>173</v>
      </c>
      <c r="DU1095" s="319" t="s">
        <v>173</v>
      </c>
      <c r="DV1095" s="319" t="s">
        <v>173</v>
      </c>
      <c r="DW1095" s="319" t="s">
        <v>173</v>
      </c>
      <c r="DX1095" s="319" t="s">
        <v>173</v>
      </c>
      <c r="DY1095" s="319" t="s">
        <v>173</v>
      </c>
      <c r="DZ1095" s="319" t="s">
        <v>173</v>
      </c>
      <c r="EA1095" s="319" t="s">
        <v>173</v>
      </c>
      <c r="EB1095" s="319" t="s">
        <v>173</v>
      </c>
      <c r="EC1095" s="319" t="s">
        <v>173</v>
      </c>
      <c r="ED1095" s="319" t="s">
        <v>173</v>
      </c>
      <c r="EE1095" s="319" t="s">
        <v>173</v>
      </c>
      <c r="EF1095" s="319" t="s">
        <v>173</v>
      </c>
      <c r="EG1095" s="319" t="s">
        <v>173</v>
      </c>
      <c r="EH1095" s="319" t="s">
        <v>173</v>
      </c>
      <c r="EI1095" s="319" t="s">
        <v>173</v>
      </c>
      <c r="EJ1095" s="319" t="s">
        <v>173</v>
      </c>
      <c r="EK1095" s="319" t="s">
        <v>173</v>
      </c>
      <c r="EL1095" s="319" t="s">
        <v>173</v>
      </c>
      <c r="EM1095" s="319" t="s">
        <v>173</v>
      </c>
      <c r="EN1095" s="319" t="s">
        <v>173</v>
      </c>
      <c r="EO1095" s="319" t="s">
        <v>173</v>
      </c>
      <c r="EP1095" s="319" t="s">
        <v>173</v>
      </c>
      <c r="EQ1095" s="319" t="s">
        <v>173</v>
      </c>
      <c r="ER1095" s="319" t="s">
        <v>173</v>
      </c>
      <c r="ES1095" s="319" t="s">
        <v>173</v>
      </c>
      <c r="ET1095" s="319" t="s">
        <v>173</v>
      </c>
      <c r="EU1095" s="319" t="s">
        <v>173</v>
      </c>
      <c r="EV1095" s="319" t="s">
        <v>173</v>
      </c>
      <c r="EW1095" s="319" t="s">
        <v>173</v>
      </c>
      <c r="EX1095" s="319" t="s">
        <v>173</v>
      </c>
      <c r="EY1095" s="319" t="s">
        <v>173</v>
      </c>
      <c r="EZ1095" s="319" t="s">
        <v>173</v>
      </c>
      <c r="FA1095" s="319" t="s">
        <v>173</v>
      </c>
      <c r="FB1095" s="319" t="s">
        <v>173</v>
      </c>
      <c r="FC1095" s="319" t="s">
        <v>173</v>
      </c>
      <c r="FD1095" s="319" t="s">
        <v>173</v>
      </c>
      <c r="FE1095" s="319" t="s">
        <v>173</v>
      </c>
      <c r="FF1095" s="319" t="s">
        <v>173</v>
      </c>
      <c r="FG1095" s="319" t="s">
        <v>173</v>
      </c>
      <c r="FH1095" s="319" t="s">
        <v>173</v>
      </c>
      <c r="FI1095" s="319" t="s">
        <v>173</v>
      </c>
      <c r="FJ1095" s="319" t="s">
        <v>173</v>
      </c>
      <c r="FK1095" s="319" t="s">
        <v>173</v>
      </c>
      <c r="FL1095" s="319" t="s">
        <v>173</v>
      </c>
      <c r="FM1095" s="319" t="s">
        <v>173</v>
      </c>
      <c r="FN1095" s="319" t="s">
        <v>173</v>
      </c>
      <c r="FO1095" s="319" t="s">
        <v>173</v>
      </c>
      <c r="FP1095" s="319" t="s">
        <v>173</v>
      </c>
      <c r="FQ1095" s="319" t="s">
        <v>173</v>
      </c>
      <c r="FR1095" s="319" t="s">
        <v>173</v>
      </c>
      <c r="FS1095" s="319" t="s">
        <v>173</v>
      </c>
      <c r="FT1095" s="319" t="s">
        <v>173</v>
      </c>
      <c r="FU1095" s="319" t="s">
        <v>173</v>
      </c>
      <c r="FV1095" s="319" t="s">
        <v>173</v>
      </c>
      <c r="FW1095" s="319" t="s">
        <v>173</v>
      </c>
      <c r="FX1095" s="319" t="s">
        <v>173</v>
      </c>
      <c r="FY1095" s="319" t="s">
        <v>173</v>
      </c>
      <c r="FZ1095" s="319" t="s">
        <v>173</v>
      </c>
      <c r="GA1095" s="319" t="s">
        <v>173</v>
      </c>
      <c r="GB1095" s="319" t="s">
        <v>173</v>
      </c>
      <c r="GC1095" s="319" t="s">
        <v>173</v>
      </c>
      <c r="GD1095" s="319" t="s">
        <v>173</v>
      </c>
      <c r="GE1095" s="319" t="s">
        <v>173</v>
      </c>
      <c r="GF1095" s="319" t="s">
        <v>173</v>
      </c>
      <c r="GG1095" s="319" t="s">
        <v>173</v>
      </c>
      <c r="GH1095" s="319" t="s">
        <v>173</v>
      </c>
      <c r="GI1095" s="319" t="s">
        <v>173</v>
      </c>
      <c r="GJ1095" s="319" t="s">
        <v>173</v>
      </c>
      <c r="GK1095" s="319" t="s">
        <v>173</v>
      </c>
      <c r="GL1095" s="319" t="s">
        <v>173</v>
      </c>
      <c r="GM1095" s="319" t="s">
        <v>173</v>
      </c>
      <c r="GN1095" s="319" t="s">
        <v>173</v>
      </c>
      <c r="GO1095" s="319" t="s">
        <v>173</v>
      </c>
      <c r="GP1095" s="319" t="s">
        <v>173</v>
      </c>
      <c r="GQ1095" s="319" t="s">
        <v>173</v>
      </c>
      <c r="GR1095" s="319" t="s">
        <v>173</v>
      </c>
      <c r="GS1095" s="319" t="s">
        <v>173</v>
      </c>
      <c r="GT1095" s="319" t="s">
        <v>173</v>
      </c>
      <c r="GU1095" s="319" t="s">
        <v>173</v>
      </c>
      <c r="GV1095" s="319" t="s">
        <v>173</v>
      </c>
      <c r="GW1095" s="319" t="s">
        <v>173</v>
      </c>
      <c r="GX1095" s="319" t="s">
        <v>173</v>
      </c>
      <c r="GY1095" s="319" t="s">
        <v>173</v>
      </c>
      <c r="GZ1095" s="319" t="s">
        <v>173</v>
      </c>
      <c r="HA1095" s="319" t="s">
        <v>173</v>
      </c>
      <c r="HB1095" s="319" t="s">
        <v>173</v>
      </c>
      <c r="HC1095" s="319" t="s">
        <v>173</v>
      </c>
      <c r="HD1095" s="319" t="s">
        <v>173</v>
      </c>
      <c r="HE1095" s="319" t="s">
        <v>173</v>
      </c>
      <c r="HF1095" s="319" t="s">
        <v>173</v>
      </c>
      <c r="HG1095" s="319" t="s">
        <v>173</v>
      </c>
      <c r="HH1095" s="319" t="s">
        <v>173</v>
      </c>
      <c r="HI1095" s="319" t="s">
        <v>173</v>
      </c>
      <c r="HJ1095" s="319" t="s">
        <v>173</v>
      </c>
      <c r="HK1095" s="319" t="s">
        <v>173</v>
      </c>
      <c r="HL1095" s="319" t="s">
        <v>173</v>
      </c>
      <c r="HM1095" s="319" t="s">
        <v>173</v>
      </c>
      <c r="HN1095" s="319" t="s">
        <v>173</v>
      </c>
      <c r="HO1095" s="319" t="s">
        <v>173</v>
      </c>
      <c r="HP1095" s="319" t="s">
        <v>173</v>
      </c>
      <c r="HQ1095" s="319" t="s">
        <v>173</v>
      </c>
      <c r="HR1095" s="319" t="s">
        <v>173</v>
      </c>
      <c r="HS1095" s="319" t="s">
        <v>173</v>
      </c>
      <c r="HT1095" s="319" t="s">
        <v>173</v>
      </c>
      <c r="HU1095" s="319" t="s">
        <v>173</v>
      </c>
      <c r="HV1095" s="319" t="s">
        <v>173</v>
      </c>
      <c r="HW1095" s="319" t="s">
        <v>173</v>
      </c>
      <c r="HX1095" s="319" t="s">
        <v>173</v>
      </c>
      <c r="HY1095" s="319" t="s">
        <v>173</v>
      </c>
      <c r="HZ1095" s="319" t="s">
        <v>173</v>
      </c>
      <c r="IA1095" s="319" t="s">
        <v>173</v>
      </c>
      <c r="IB1095" s="319" t="s">
        <v>173</v>
      </c>
      <c r="IC1095" s="319" t="s">
        <v>173</v>
      </c>
      <c r="ID1095" s="319" t="s">
        <v>173</v>
      </c>
      <c r="IE1095" s="319" t="s">
        <v>173</v>
      </c>
      <c r="IF1095" s="319" t="s">
        <v>173</v>
      </c>
      <c r="IG1095" s="319" t="s">
        <v>173</v>
      </c>
      <c r="IH1095" s="319" t="s">
        <v>173</v>
      </c>
      <c r="II1095" s="319" t="s">
        <v>173</v>
      </c>
      <c r="IJ1095" s="319" t="s">
        <v>173</v>
      </c>
      <c r="IK1095" s="319" t="s">
        <v>173</v>
      </c>
      <c r="IL1095" s="319" t="s">
        <v>173</v>
      </c>
      <c r="IM1095" s="319" t="s">
        <v>173</v>
      </c>
      <c r="IN1095" s="319" t="s">
        <v>173</v>
      </c>
      <c r="IO1095" s="319" t="s">
        <v>173</v>
      </c>
      <c r="IP1095" s="319" t="s">
        <v>173</v>
      </c>
      <c r="IQ1095" s="321" t="s">
        <v>173</v>
      </c>
      <c r="IR1095" s="320" t="s">
        <v>173</v>
      </c>
      <c r="IS1095" s="322" t="s">
        <v>173</v>
      </c>
      <c r="IT1095" s="319" t="s">
        <v>173</v>
      </c>
    </row>
    <row r="1096" spans="1:254" s="271" customFormat="1" x14ac:dyDescent="0.25">
      <c r="A1096" s="318" t="str">
        <f>HYPERLINK("http://www.ofsted.gov.uk/inspection-reports/find-inspection-report/provider/ELS/147465 ","Ofsted School Webpage")</f>
        <v>Ofsted School Webpage</v>
      </c>
      <c r="B1096" s="319">
        <v>147465</v>
      </c>
      <c r="C1096" s="319">
        <v>8856056</v>
      </c>
      <c r="D1096" s="319" t="s">
        <v>2717</v>
      </c>
      <c r="E1096" s="319" t="s">
        <v>168</v>
      </c>
      <c r="F1096" s="319" t="s">
        <v>434</v>
      </c>
      <c r="G1096" s="319" t="s">
        <v>81</v>
      </c>
      <c r="H1096" s="319" t="s">
        <v>81</v>
      </c>
      <c r="I1096" s="319" t="s">
        <v>78</v>
      </c>
      <c r="J1096" s="319" t="s">
        <v>424</v>
      </c>
      <c r="K1096" s="319" t="s">
        <v>437</v>
      </c>
      <c r="L1096" s="319" t="s">
        <v>437</v>
      </c>
      <c r="M1096" s="319" t="s">
        <v>483</v>
      </c>
      <c r="N1096" s="319" t="s">
        <v>2967</v>
      </c>
      <c r="O1096" s="319" t="s">
        <v>2718</v>
      </c>
      <c r="P1096" s="319" t="s">
        <v>173</v>
      </c>
      <c r="Q1096" s="319" t="s">
        <v>429</v>
      </c>
      <c r="R1096" s="320" t="s">
        <v>173</v>
      </c>
      <c r="S1096" s="321" t="s">
        <v>173</v>
      </c>
      <c r="T1096" s="321" t="s">
        <v>173</v>
      </c>
      <c r="U1096" s="321" t="s">
        <v>173</v>
      </c>
      <c r="V1096" s="319" t="s">
        <v>173</v>
      </c>
      <c r="W1096" s="319" t="s">
        <v>173</v>
      </c>
      <c r="X1096" s="319" t="s">
        <v>173</v>
      </c>
      <c r="Y1096" s="319" t="s">
        <v>173</v>
      </c>
      <c r="Z1096" s="319" t="s">
        <v>173</v>
      </c>
      <c r="AA1096" s="319" t="s">
        <v>173</v>
      </c>
      <c r="AB1096" s="319" t="s">
        <v>173</v>
      </c>
      <c r="AC1096" s="319" t="s">
        <v>173</v>
      </c>
      <c r="AD1096" s="319" t="s">
        <v>173</v>
      </c>
      <c r="AE1096" s="319" t="s">
        <v>173</v>
      </c>
      <c r="AF1096" s="319" t="s">
        <v>173</v>
      </c>
      <c r="AG1096" s="319" t="s">
        <v>173</v>
      </c>
      <c r="AH1096" s="319" t="s">
        <v>173</v>
      </c>
      <c r="AI1096" s="319" t="s">
        <v>173</v>
      </c>
      <c r="AJ1096" s="319" t="s">
        <v>173</v>
      </c>
      <c r="AK1096" s="319" t="s">
        <v>173</v>
      </c>
      <c r="AL1096" s="319" t="s">
        <v>173</v>
      </c>
      <c r="AM1096" s="319" t="s">
        <v>173</v>
      </c>
      <c r="AN1096" s="319" t="s">
        <v>173</v>
      </c>
      <c r="AO1096" s="319" t="s">
        <v>173</v>
      </c>
      <c r="AP1096" s="319" t="s">
        <v>173</v>
      </c>
      <c r="AQ1096" s="319" t="s">
        <v>173</v>
      </c>
      <c r="AR1096" s="319" t="s">
        <v>173</v>
      </c>
      <c r="AS1096" s="319" t="s">
        <v>173</v>
      </c>
      <c r="AT1096" s="319" t="s">
        <v>173</v>
      </c>
      <c r="AU1096" s="319" t="s">
        <v>173</v>
      </c>
      <c r="AV1096" s="319" t="s">
        <v>173</v>
      </c>
      <c r="AW1096" s="319" t="s">
        <v>173</v>
      </c>
      <c r="AX1096" s="319" t="s">
        <v>173</v>
      </c>
      <c r="AY1096" s="319" t="s">
        <v>173</v>
      </c>
      <c r="AZ1096" s="319" t="s">
        <v>173</v>
      </c>
      <c r="BA1096" s="319" t="s">
        <v>173</v>
      </c>
      <c r="BB1096" s="319" t="s">
        <v>173</v>
      </c>
      <c r="BC1096" s="319" t="s">
        <v>173</v>
      </c>
      <c r="BD1096" s="319" t="s">
        <v>173</v>
      </c>
      <c r="BE1096" s="319" t="s">
        <v>173</v>
      </c>
      <c r="BF1096" s="319" t="s">
        <v>173</v>
      </c>
      <c r="BG1096" s="319" t="s">
        <v>173</v>
      </c>
      <c r="BH1096" s="319" t="s">
        <v>173</v>
      </c>
      <c r="BI1096" s="319" t="s">
        <v>173</v>
      </c>
      <c r="BJ1096" s="319" t="s">
        <v>173</v>
      </c>
      <c r="BK1096" s="319" t="s">
        <v>173</v>
      </c>
      <c r="BL1096" s="319" t="s">
        <v>173</v>
      </c>
      <c r="BM1096" s="319" t="s">
        <v>173</v>
      </c>
      <c r="BN1096" s="319" t="s">
        <v>173</v>
      </c>
      <c r="BO1096" s="319" t="s">
        <v>173</v>
      </c>
      <c r="BP1096" s="319" t="s">
        <v>173</v>
      </c>
      <c r="BQ1096" s="319" t="s">
        <v>173</v>
      </c>
      <c r="BR1096" s="319" t="s">
        <v>173</v>
      </c>
      <c r="BS1096" s="319" t="s">
        <v>173</v>
      </c>
      <c r="BT1096" s="319" t="s">
        <v>173</v>
      </c>
      <c r="BU1096" s="319" t="s">
        <v>173</v>
      </c>
      <c r="BV1096" s="319" t="s">
        <v>173</v>
      </c>
      <c r="BW1096" s="319" t="s">
        <v>173</v>
      </c>
      <c r="BX1096" s="319" t="s">
        <v>173</v>
      </c>
      <c r="BY1096" s="319" t="s">
        <v>173</v>
      </c>
      <c r="BZ1096" s="319" t="s">
        <v>173</v>
      </c>
      <c r="CA1096" s="319" t="s">
        <v>173</v>
      </c>
      <c r="CB1096" s="319" t="s">
        <v>173</v>
      </c>
      <c r="CC1096" s="319" t="s">
        <v>173</v>
      </c>
      <c r="CD1096" s="319" t="s">
        <v>173</v>
      </c>
      <c r="CE1096" s="319" t="s">
        <v>173</v>
      </c>
      <c r="CF1096" s="319" t="s">
        <v>173</v>
      </c>
      <c r="CG1096" s="319" t="s">
        <v>173</v>
      </c>
      <c r="CH1096" s="319" t="s">
        <v>173</v>
      </c>
      <c r="CI1096" s="319" t="s">
        <v>173</v>
      </c>
      <c r="CJ1096" s="319" t="s">
        <v>173</v>
      </c>
      <c r="CK1096" s="319" t="s">
        <v>173</v>
      </c>
      <c r="CL1096" s="319" t="s">
        <v>173</v>
      </c>
      <c r="CM1096" s="319" t="s">
        <v>173</v>
      </c>
      <c r="CN1096" s="319" t="s">
        <v>173</v>
      </c>
      <c r="CO1096" s="319" t="s">
        <v>173</v>
      </c>
      <c r="CP1096" s="319" t="s">
        <v>173</v>
      </c>
      <c r="CQ1096" s="319" t="s">
        <v>173</v>
      </c>
      <c r="CR1096" s="319" t="s">
        <v>173</v>
      </c>
      <c r="CS1096" s="319" t="s">
        <v>173</v>
      </c>
      <c r="CT1096" s="319" t="s">
        <v>173</v>
      </c>
      <c r="CU1096" s="319" t="s">
        <v>173</v>
      </c>
      <c r="CV1096" s="319" t="s">
        <v>173</v>
      </c>
      <c r="CW1096" s="319" t="s">
        <v>173</v>
      </c>
      <c r="CX1096" s="319" t="s">
        <v>173</v>
      </c>
      <c r="CY1096" s="319" t="s">
        <v>173</v>
      </c>
      <c r="CZ1096" s="319" t="s">
        <v>173</v>
      </c>
      <c r="DA1096" s="319" t="s">
        <v>173</v>
      </c>
      <c r="DB1096" s="319" t="s">
        <v>173</v>
      </c>
      <c r="DC1096" s="319" t="s">
        <v>173</v>
      </c>
      <c r="DD1096" s="319" t="s">
        <v>173</v>
      </c>
      <c r="DE1096" s="319" t="s">
        <v>173</v>
      </c>
      <c r="DF1096" s="319" t="s">
        <v>173</v>
      </c>
      <c r="DG1096" s="319" t="s">
        <v>173</v>
      </c>
      <c r="DH1096" s="319" t="s">
        <v>173</v>
      </c>
      <c r="DI1096" s="319" t="s">
        <v>173</v>
      </c>
      <c r="DJ1096" s="319" t="s">
        <v>173</v>
      </c>
      <c r="DK1096" s="319" t="s">
        <v>173</v>
      </c>
      <c r="DL1096" s="319" t="s">
        <v>173</v>
      </c>
      <c r="DM1096" s="319" t="s">
        <v>173</v>
      </c>
      <c r="DN1096" s="319" t="s">
        <v>173</v>
      </c>
      <c r="DO1096" s="319" t="s">
        <v>173</v>
      </c>
      <c r="DP1096" s="319" t="s">
        <v>173</v>
      </c>
      <c r="DQ1096" s="319" t="s">
        <v>173</v>
      </c>
      <c r="DR1096" s="319" t="s">
        <v>173</v>
      </c>
      <c r="DS1096" s="319" t="s">
        <v>173</v>
      </c>
      <c r="DT1096" s="319" t="s">
        <v>173</v>
      </c>
      <c r="DU1096" s="319" t="s">
        <v>173</v>
      </c>
      <c r="DV1096" s="319" t="s">
        <v>173</v>
      </c>
      <c r="DW1096" s="319" t="s">
        <v>173</v>
      </c>
      <c r="DX1096" s="319" t="s">
        <v>173</v>
      </c>
      <c r="DY1096" s="319" t="s">
        <v>173</v>
      </c>
      <c r="DZ1096" s="319" t="s">
        <v>173</v>
      </c>
      <c r="EA1096" s="319" t="s">
        <v>173</v>
      </c>
      <c r="EB1096" s="319" t="s">
        <v>173</v>
      </c>
      <c r="EC1096" s="319" t="s">
        <v>173</v>
      </c>
      <c r="ED1096" s="319" t="s">
        <v>173</v>
      </c>
      <c r="EE1096" s="319" t="s">
        <v>173</v>
      </c>
      <c r="EF1096" s="319" t="s">
        <v>173</v>
      </c>
      <c r="EG1096" s="319" t="s">
        <v>173</v>
      </c>
      <c r="EH1096" s="319" t="s">
        <v>173</v>
      </c>
      <c r="EI1096" s="319" t="s">
        <v>173</v>
      </c>
      <c r="EJ1096" s="319" t="s">
        <v>173</v>
      </c>
      <c r="EK1096" s="319" t="s">
        <v>173</v>
      </c>
      <c r="EL1096" s="319" t="s">
        <v>173</v>
      </c>
      <c r="EM1096" s="319" t="s">
        <v>173</v>
      </c>
      <c r="EN1096" s="319" t="s">
        <v>173</v>
      </c>
      <c r="EO1096" s="319" t="s">
        <v>173</v>
      </c>
      <c r="EP1096" s="319" t="s">
        <v>173</v>
      </c>
      <c r="EQ1096" s="319" t="s">
        <v>173</v>
      </c>
      <c r="ER1096" s="319" t="s">
        <v>173</v>
      </c>
      <c r="ES1096" s="319" t="s">
        <v>173</v>
      </c>
      <c r="ET1096" s="319" t="s">
        <v>173</v>
      </c>
      <c r="EU1096" s="319" t="s">
        <v>173</v>
      </c>
      <c r="EV1096" s="319" t="s">
        <v>173</v>
      </c>
      <c r="EW1096" s="319" t="s">
        <v>173</v>
      </c>
      <c r="EX1096" s="319" t="s">
        <v>173</v>
      </c>
      <c r="EY1096" s="319" t="s">
        <v>173</v>
      </c>
      <c r="EZ1096" s="319" t="s">
        <v>173</v>
      </c>
      <c r="FA1096" s="319" t="s">
        <v>173</v>
      </c>
      <c r="FB1096" s="319" t="s">
        <v>173</v>
      </c>
      <c r="FC1096" s="319" t="s">
        <v>173</v>
      </c>
      <c r="FD1096" s="319" t="s">
        <v>173</v>
      </c>
      <c r="FE1096" s="319" t="s">
        <v>173</v>
      </c>
      <c r="FF1096" s="319" t="s">
        <v>173</v>
      </c>
      <c r="FG1096" s="319" t="s">
        <v>173</v>
      </c>
      <c r="FH1096" s="319" t="s">
        <v>173</v>
      </c>
      <c r="FI1096" s="319" t="s">
        <v>173</v>
      </c>
      <c r="FJ1096" s="319" t="s">
        <v>173</v>
      </c>
      <c r="FK1096" s="319" t="s">
        <v>173</v>
      </c>
      <c r="FL1096" s="319" t="s">
        <v>173</v>
      </c>
      <c r="FM1096" s="319" t="s">
        <v>173</v>
      </c>
      <c r="FN1096" s="319" t="s">
        <v>173</v>
      </c>
      <c r="FO1096" s="319" t="s">
        <v>173</v>
      </c>
      <c r="FP1096" s="319" t="s">
        <v>173</v>
      </c>
      <c r="FQ1096" s="319" t="s">
        <v>173</v>
      </c>
      <c r="FR1096" s="319" t="s">
        <v>173</v>
      </c>
      <c r="FS1096" s="319" t="s">
        <v>173</v>
      </c>
      <c r="FT1096" s="319" t="s">
        <v>173</v>
      </c>
      <c r="FU1096" s="319" t="s">
        <v>173</v>
      </c>
      <c r="FV1096" s="319" t="s">
        <v>173</v>
      </c>
      <c r="FW1096" s="319" t="s">
        <v>173</v>
      </c>
      <c r="FX1096" s="319" t="s">
        <v>173</v>
      </c>
      <c r="FY1096" s="319" t="s">
        <v>173</v>
      </c>
      <c r="FZ1096" s="319" t="s">
        <v>173</v>
      </c>
      <c r="GA1096" s="319" t="s">
        <v>173</v>
      </c>
      <c r="GB1096" s="319" t="s">
        <v>173</v>
      </c>
      <c r="GC1096" s="319" t="s">
        <v>173</v>
      </c>
      <c r="GD1096" s="319" t="s">
        <v>173</v>
      </c>
      <c r="GE1096" s="319" t="s">
        <v>173</v>
      </c>
      <c r="GF1096" s="319" t="s">
        <v>173</v>
      </c>
      <c r="GG1096" s="319" t="s">
        <v>173</v>
      </c>
      <c r="GH1096" s="319" t="s">
        <v>173</v>
      </c>
      <c r="GI1096" s="319" t="s">
        <v>173</v>
      </c>
      <c r="GJ1096" s="319" t="s">
        <v>173</v>
      </c>
      <c r="GK1096" s="319" t="s">
        <v>173</v>
      </c>
      <c r="GL1096" s="319" t="s">
        <v>173</v>
      </c>
      <c r="GM1096" s="319" t="s">
        <v>173</v>
      </c>
      <c r="GN1096" s="319" t="s">
        <v>173</v>
      </c>
      <c r="GO1096" s="319" t="s">
        <v>173</v>
      </c>
      <c r="GP1096" s="319" t="s">
        <v>173</v>
      </c>
      <c r="GQ1096" s="319" t="s">
        <v>173</v>
      </c>
      <c r="GR1096" s="319" t="s">
        <v>173</v>
      </c>
      <c r="GS1096" s="319" t="s">
        <v>173</v>
      </c>
      <c r="GT1096" s="319" t="s">
        <v>173</v>
      </c>
      <c r="GU1096" s="319" t="s">
        <v>173</v>
      </c>
      <c r="GV1096" s="319" t="s">
        <v>173</v>
      </c>
      <c r="GW1096" s="319" t="s">
        <v>173</v>
      </c>
      <c r="GX1096" s="319" t="s">
        <v>173</v>
      </c>
      <c r="GY1096" s="319" t="s">
        <v>173</v>
      </c>
      <c r="GZ1096" s="319" t="s">
        <v>173</v>
      </c>
      <c r="HA1096" s="319" t="s">
        <v>173</v>
      </c>
      <c r="HB1096" s="319" t="s">
        <v>173</v>
      </c>
      <c r="HC1096" s="319" t="s">
        <v>173</v>
      </c>
      <c r="HD1096" s="319" t="s">
        <v>173</v>
      </c>
      <c r="HE1096" s="319" t="s">
        <v>173</v>
      </c>
      <c r="HF1096" s="319" t="s">
        <v>173</v>
      </c>
      <c r="HG1096" s="319" t="s">
        <v>173</v>
      </c>
      <c r="HH1096" s="319" t="s">
        <v>173</v>
      </c>
      <c r="HI1096" s="319" t="s">
        <v>173</v>
      </c>
      <c r="HJ1096" s="319" t="s">
        <v>173</v>
      </c>
      <c r="HK1096" s="319" t="s">
        <v>173</v>
      </c>
      <c r="HL1096" s="319" t="s">
        <v>173</v>
      </c>
      <c r="HM1096" s="319" t="s">
        <v>173</v>
      </c>
      <c r="HN1096" s="319" t="s">
        <v>173</v>
      </c>
      <c r="HO1096" s="319" t="s">
        <v>173</v>
      </c>
      <c r="HP1096" s="319" t="s">
        <v>173</v>
      </c>
      <c r="HQ1096" s="319" t="s">
        <v>173</v>
      </c>
      <c r="HR1096" s="319" t="s">
        <v>173</v>
      </c>
      <c r="HS1096" s="319" t="s">
        <v>173</v>
      </c>
      <c r="HT1096" s="319" t="s">
        <v>173</v>
      </c>
      <c r="HU1096" s="319" t="s">
        <v>173</v>
      </c>
      <c r="HV1096" s="319" t="s">
        <v>173</v>
      </c>
      <c r="HW1096" s="319" t="s">
        <v>173</v>
      </c>
      <c r="HX1096" s="319" t="s">
        <v>173</v>
      </c>
      <c r="HY1096" s="319" t="s">
        <v>173</v>
      </c>
      <c r="HZ1096" s="319" t="s">
        <v>173</v>
      </c>
      <c r="IA1096" s="319" t="s">
        <v>173</v>
      </c>
      <c r="IB1096" s="319" t="s">
        <v>173</v>
      </c>
      <c r="IC1096" s="319" t="s">
        <v>173</v>
      </c>
      <c r="ID1096" s="319" t="s">
        <v>173</v>
      </c>
      <c r="IE1096" s="319" t="s">
        <v>173</v>
      </c>
      <c r="IF1096" s="319" t="s">
        <v>173</v>
      </c>
      <c r="IG1096" s="319" t="s">
        <v>173</v>
      </c>
      <c r="IH1096" s="319" t="s">
        <v>173</v>
      </c>
      <c r="II1096" s="319" t="s">
        <v>173</v>
      </c>
      <c r="IJ1096" s="319" t="s">
        <v>173</v>
      </c>
      <c r="IK1096" s="319" t="s">
        <v>173</v>
      </c>
      <c r="IL1096" s="319" t="s">
        <v>173</v>
      </c>
      <c r="IM1096" s="319" t="s">
        <v>173</v>
      </c>
      <c r="IN1096" s="319" t="s">
        <v>173</v>
      </c>
      <c r="IO1096" s="319" t="s">
        <v>173</v>
      </c>
      <c r="IP1096" s="319" t="s">
        <v>173</v>
      </c>
      <c r="IQ1096" s="319" t="s">
        <v>173</v>
      </c>
      <c r="IR1096" s="320" t="s">
        <v>173</v>
      </c>
      <c r="IS1096" s="320" t="s">
        <v>173</v>
      </c>
      <c r="IT1096" s="319" t="s">
        <v>173</v>
      </c>
    </row>
    <row r="1097" spans="1:254" s="271" customFormat="1" x14ac:dyDescent="0.25">
      <c r="A1097" s="318" t="str">
        <f>HYPERLINK("http://www.ofsted.gov.uk/inspection-reports/find-inspection-report/provider/ELS/147468 ","Ofsted School Webpage")</f>
        <v>Ofsted School Webpage</v>
      </c>
      <c r="B1097" s="319">
        <v>147468</v>
      </c>
      <c r="C1097" s="319">
        <v>3446003</v>
      </c>
      <c r="D1097" s="319" t="s">
        <v>2723</v>
      </c>
      <c r="E1097" s="319" t="s">
        <v>167</v>
      </c>
      <c r="F1097" s="319" t="s">
        <v>434</v>
      </c>
      <c r="G1097" s="319" t="s">
        <v>81</v>
      </c>
      <c r="H1097" s="319" t="s">
        <v>81</v>
      </c>
      <c r="I1097" s="319" t="s">
        <v>78</v>
      </c>
      <c r="J1097" s="319" t="s">
        <v>424</v>
      </c>
      <c r="K1097" s="319" t="s">
        <v>431</v>
      </c>
      <c r="L1097" s="319" t="s">
        <v>431</v>
      </c>
      <c r="M1097" s="319" t="s">
        <v>2724</v>
      </c>
      <c r="N1097" s="319" t="s">
        <v>3559</v>
      </c>
      <c r="O1097" s="319" t="s">
        <v>2725</v>
      </c>
      <c r="P1097" s="319" t="s">
        <v>173</v>
      </c>
      <c r="Q1097" s="319" t="s">
        <v>2766</v>
      </c>
      <c r="R1097" s="320" t="s">
        <v>173</v>
      </c>
      <c r="S1097" s="321" t="s">
        <v>173</v>
      </c>
      <c r="T1097" s="321" t="s">
        <v>173</v>
      </c>
      <c r="U1097" s="321" t="s">
        <v>173</v>
      </c>
      <c r="V1097" s="319" t="s">
        <v>173</v>
      </c>
      <c r="W1097" s="319" t="s">
        <v>173</v>
      </c>
      <c r="X1097" s="319" t="s">
        <v>173</v>
      </c>
      <c r="Y1097" s="319" t="s">
        <v>173</v>
      </c>
      <c r="Z1097" s="319" t="s">
        <v>173</v>
      </c>
      <c r="AA1097" s="319" t="s">
        <v>173</v>
      </c>
      <c r="AB1097" s="319" t="s">
        <v>173</v>
      </c>
      <c r="AC1097" s="319" t="s">
        <v>173</v>
      </c>
      <c r="AD1097" s="319" t="s">
        <v>173</v>
      </c>
      <c r="AE1097" s="319" t="s">
        <v>173</v>
      </c>
      <c r="AF1097" s="319" t="s">
        <v>173</v>
      </c>
      <c r="AG1097" s="319" t="s">
        <v>173</v>
      </c>
      <c r="AH1097" s="319" t="s">
        <v>173</v>
      </c>
      <c r="AI1097" s="319" t="s">
        <v>173</v>
      </c>
      <c r="AJ1097" s="319" t="s">
        <v>173</v>
      </c>
      <c r="AK1097" s="319" t="s">
        <v>173</v>
      </c>
      <c r="AL1097" s="319" t="s">
        <v>173</v>
      </c>
      <c r="AM1097" s="319" t="s">
        <v>173</v>
      </c>
      <c r="AN1097" s="319" t="s">
        <v>173</v>
      </c>
      <c r="AO1097" s="319" t="s">
        <v>173</v>
      </c>
      <c r="AP1097" s="319" t="s">
        <v>173</v>
      </c>
      <c r="AQ1097" s="319" t="s">
        <v>173</v>
      </c>
      <c r="AR1097" s="319" t="s">
        <v>173</v>
      </c>
      <c r="AS1097" s="319" t="s">
        <v>173</v>
      </c>
      <c r="AT1097" s="319" t="s">
        <v>173</v>
      </c>
      <c r="AU1097" s="319" t="s">
        <v>173</v>
      </c>
      <c r="AV1097" s="319" t="s">
        <v>173</v>
      </c>
      <c r="AW1097" s="319" t="s">
        <v>173</v>
      </c>
      <c r="AX1097" s="319" t="s">
        <v>173</v>
      </c>
      <c r="AY1097" s="319" t="s">
        <v>173</v>
      </c>
      <c r="AZ1097" s="319" t="s">
        <v>173</v>
      </c>
      <c r="BA1097" s="319" t="s">
        <v>173</v>
      </c>
      <c r="BB1097" s="319" t="s">
        <v>173</v>
      </c>
      <c r="BC1097" s="319" t="s">
        <v>173</v>
      </c>
      <c r="BD1097" s="319" t="s">
        <v>173</v>
      </c>
      <c r="BE1097" s="319" t="s">
        <v>173</v>
      </c>
      <c r="BF1097" s="319" t="s">
        <v>173</v>
      </c>
      <c r="BG1097" s="319" t="s">
        <v>173</v>
      </c>
      <c r="BH1097" s="319" t="s">
        <v>173</v>
      </c>
      <c r="BI1097" s="319" t="s">
        <v>173</v>
      </c>
      <c r="BJ1097" s="319" t="s">
        <v>173</v>
      </c>
      <c r="BK1097" s="319" t="s">
        <v>173</v>
      </c>
      <c r="BL1097" s="319" t="s">
        <v>173</v>
      </c>
      <c r="BM1097" s="319" t="s">
        <v>173</v>
      </c>
      <c r="BN1097" s="319" t="s">
        <v>173</v>
      </c>
      <c r="BO1097" s="319" t="s">
        <v>173</v>
      </c>
      <c r="BP1097" s="319" t="s">
        <v>173</v>
      </c>
      <c r="BQ1097" s="319" t="s">
        <v>173</v>
      </c>
      <c r="BR1097" s="319" t="s">
        <v>173</v>
      </c>
      <c r="BS1097" s="319" t="s">
        <v>173</v>
      </c>
      <c r="BT1097" s="319" t="s">
        <v>173</v>
      </c>
      <c r="BU1097" s="319" t="s">
        <v>173</v>
      </c>
      <c r="BV1097" s="319" t="s">
        <v>173</v>
      </c>
      <c r="BW1097" s="319" t="s">
        <v>173</v>
      </c>
      <c r="BX1097" s="319" t="s">
        <v>173</v>
      </c>
      <c r="BY1097" s="319" t="s">
        <v>173</v>
      </c>
      <c r="BZ1097" s="319" t="s">
        <v>173</v>
      </c>
      <c r="CA1097" s="319" t="s">
        <v>173</v>
      </c>
      <c r="CB1097" s="319" t="s">
        <v>173</v>
      </c>
      <c r="CC1097" s="319" t="s">
        <v>173</v>
      </c>
      <c r="CD1097" s="319" t="s">
        <v>173</v>
      </c>
      <c r="CE1097" s="319" t="s">
        <v>173</v>
      </c>
      <c r="CF1097" s="319" t="s">
        <v>173</v>
      </c>
      <c r="CG1097" s="319" t="s">
        <v>173</v>
      </c>
      <c r="CH1097" s="319" t="s">
        <v>173</v>
      </c>
      <c r="CI1097" s="319" t="s">
        <v>173</v>
      </c>
      <c r="CJ1097" s="319" t="s">
        <v>173</v>
      </c>
      <c r="CK1097" s="319" t="s">
        <v>173</v>
      </c>
      <c r="CL1097" s="319" t="s">
        <v>173</v>
      </c>
      <c r="CM1097" s="319" t="s">
        <v>173</v>
      </c>
      <c r="CN1097" s="319" t="s">
        <v>173</v>
      </c>
      <c r="CO1097" s="319" t="s">
        <v>173</v>
      </c>
      <c r="CP1097" s="319" t="s">
        <v>173</v>
      </c>
      <c r="CQ1097" s="319" t="s">
        <v>173</v>
      </c>
      <c r="CR1097" s="319" t="s">
        <v>173</v>
      </c>
      <c r="CS1097" s="319" t="s">
        <v>173</v>
      </c>
      <c r="CT1097" s="319" t="s">
        <v>173</v>
      </c>
      <c r="CU1097" s="319" t="s">
        <v>173</v>
      </c>
      <c r="CV1097" s="319" t="s">
        <v>173</v>
      </c>
      <c r="CW1097" s="319" t="s">
        <v>173</v>
      </c>
      <c r="CX1097" s="319" t="s">
        <v>173</v>
      </c>
      <c r="CY1097" s="319" t="s">
        <v>173</v>
      </c>
      <c r="CZ1097" s="319" t="s">
        <v>173</v>
      </c>
      <c r="DA1097" s="319" t="s">
        <v>173</v>
      </c>
      <c r="DB1097" s="319" t="s">
        <v>173</v>
      </c>
      <c r="DC1097" s="319" t="s">
        <v>173</v>
      </c>
      <c r="DD1097" s="319" t="s">
        <v>173</v>
      </c>
      <c r="DE1097" s="319" t="s">
        <v>173</v>
      </c>
      <c r="DF1097" s="319" t="s">
        <v>173</v>
      </c>
      <c r="DG1097" s="319" t="s">
        <v>173</v>
      </c>
      <c r="DH1097" s="319" t="s">
        <v>173</v>
      </c>
      <c r="DI1097" s="319" t="s">
        <v>173</v>
      </c>
      <c r="DJ1097" s="319" t="s">
        <v>173</v>
      </c>
      <c r="DK1097" s="319" t="s">
        <v>173</v>
      </c>
      <c r="DL1097" s="319" t="s">
        <v>173</v>
      </c>
      <c r="DM1097" s="319" t="s">
        <v>173</v>
      </c>
      <c r="DN1097" s="319" t="s">
        <v>173</v>
      </c>
      <c r="DO1097" s="319" t="s">
        <v>173</v>
      </c>
      <c r="DP1097" s="319" t="s">
        <v>173</v>
      </c>
      <c r="DQ1097" s="319" t="s">
        <v>173</v>
      </c>
      <c r="DR1097" s="319" t="s">
        <v>173</v>
      </c>
      <c r="DS1097" s="319" t="s">
        <v>173</v>
      </c>
      <c r="DT1097" s="319" t="s">
        <v>173</v>
      </c>
      <c r="DU1097" s="319" t="s">
        <v>173</v>
      </c>
      <c r="DV1097" s="319" t="s">
        <v>173</v>
      </c>
      <c r="DW1097" s="319" t="s">
        <v>173</v>
      </c>
      <c r="DX1097" s="319" t="s">
        <v>173</v>
      </c>
      <c r="DY1097" s="319" t="s">
        <v>173</v>
      </c>
      <c r="DZ1097" s="319" t="s">
        <v>173</v>
      </c>
      <c r="EA1097" s="319" t="s">
        <v>173</v>
      </c>
      <c r="EB1097" s="319" t="s">
        <v>173</v>
      </c>
      <c r="EC1097" s="319" t="s">
        <v>173</v>
      </c>
      <c r="ED1097" s="319" t="s">
        <v>173</v>
      </c>
      <c r="EE1097" s="319" t="s">
        <v>173</v>
      </c>
      <c r="EF1097" s="319" t="s">
        <v>173</v>
      </c>
      <c r="EG1097" s="319" t="s">
        <v>173</v>
      </c>
      <c r="EH1097" s="319" t="s">
        <v>173</v>
      </c>
      <c r="EI1097" s="319" t="s">
        <v>173</v>
      </c>
      <c r="EJ1097" s="319" t="s">
        <v>173</v>
      </c>
      <c r="EK1097" s="319" t="s">
        <v>173</v>
      </c>
      <c r="EL1097" s="319" t="s">
        <v>173</v>
      </c>
      <c r="EM1097" s="319" t="s">
        <v>173</v>
      </c>
      <c r="EN1097" s="319" t="s">
        <v>173</v>
      </c>
      <c r="EO1097" s="319" t="s">
        <v>173</v>
      </c>
      <c r="EP1097" s="319" t="s">
        <v>173</v>
      </c>
      <c r="EQ1097" s="319" t="s">
        <v>173</v>
      </c>
      <c r="ER1097" s="319" t="s">
        <v>173</v>
      </c>
      <c r="ES1097" s="319" t="s">
        <v>173</v>
      </c>
      <c r="ET1097" s="319" t="s">
        <v>173</v>
      </c>
      <c r="EU1097" s="319" t="s">
        <v>173</v>
      </c>
      <c r="EV1097" s="319" t="s">
        <v>173</v>
      </c>
      <c r="EW1097" s="319" t="s">
        <v>173</v>
      </c>
      <c r="EX1097" s="319" t="s">
        <v>173</v>
      </c>
      <c r="EY1097" s="319" t="s">
        <v>173</v>
      </c>
      <c r="EZ1097" s="319" t="s">
        <v>173</v>
      </c>
      <c r="FA1097" s="319" t="s">
        <v>173</v>
      </c>
      <c r="FB1097" s="319" t="s">
        <v>173</v>
      </c>
      <c r="FC1097" s="319" t="s">
        <v>173</v>
      </c>
      <c r="FD1097" s="319" t="s">
        <v>173</v>
      </c>
      <c r="FE1097" s="319" t="s">
        <v>173</v>
      </c>
      <c r="FF1097" s="319" t="s">
        <v>173</v>
      </c>
      <c r="FG1097" s="319" t="s">
        <v>173</v>
      </c>
      <c r="FH1097" s="319" t="s">
        <v>173</v>
      </c>
      <c r="FI1097" s="319" t="s">
        <v>173</v>
      </c>
      <c r="FJ1097" s="319" t="s">
        <v>173</v>
      </c>
      <c r="FK1097" s="319" t="s">
        <v>173</v>
      </c>
      <c r="FL1097" s="319" t="s">
        <v>173</v>
      </c>
      <c r="FM1097" s="319" t="s">
        <v>173</v>
      </c>
      <c r="FN1097" s="319" t="s">
        <v>173</v>
      </c>
      <c r="FO1097" s="319" t="s">
        <v>173</v>
      </c>
      <c r="FP1097" s="319" t="s">
        <v>173</v>
      </c>
      <c r="FQ1097" s="319" t="s">
        <v>173</v>
      </c>
      <c r="FR1097" s="319" t="s">
        <v>173</v>
      </c>
      <c r="FS1097" s="319" t="s">
        <v>173</v>
      </c>
      <c r="FT1097" s="319" t="s">
        <v>173</v>
      </c>
      <c r="FU1097" s="319" t="s">
        <v>173</v>
      </c>
      <c r="FV1097" s="319" t="s">
        <v>173</v>
      </c>
      <c r="FW1097" s="319" t="s">
        <v>173</v>
      </c>
      <c r="FX1097" s="319" t="s">
        <v>173</v>
      </c>
      <c r="FY1097" s="319" t="s">
        <v>173</v>
      </c>
      <c r="FZ1097" s="319" t="s">
        <v>173</v>
      </c>
      <c r="GA1097" s="319" t="s">
        <v>173</v>
      </c>
      <c r="GB1097" s="319" t="s">
        <v>173</v>
      </c>
      <c r="GC1097" s="319" t="s">
        <v>173</v>
      </c>
      <c r="GD1097" s="319" t="s">
        <v>173</v>
      </c>
      <c r="GE1097" s="319" t="s">
        <v>173</v>
      </c>
      <c r="GF1097" s="319" t="s">
        <v>173</v>
      </c>
      <c r="GG1097" s="319" t="s">
        <v>173</v>
      </c>
      <c r="GH1097" s="319" t="s">
        <v>173</v>
      </c>
      <c r="GI1097" s="319" t="s">
        <v>173</v>
      </c>
      <c r="GJ1097" s="319" t="s">
        <v>173</v>
      </c>
      <c r="GK1097" s="319" t="s">
        <v>173</v>
      </c>
      <c r="GL1097" s="319" t="s">
        <v>173</v>
      </c>
      <c r="GM1097" s="319" t="s">
        <v>173</v>
      </c>
      <c r="GN1097" s="319" t="s">
        <v>173</v>
      </c>
      <c r="GO1097" s="319" t="s">
        <v>173</v>
      </c>
      <c r="GP1097" s="319" t="s">
        <v>173</v>
      </c>
      <c r="GQ1097" s="319" t="s">
        <v>173</v>
      </c>
      <c r="GR1097" s="319" t="s">
        <v>173</v>
      </c>
      <c r="GS1097" s="319" t="s">
        <v>173</v>
      </c>
      <c r="GT1097" s="319" t="s">
        <v>173</v>
      </c>
      <c r="GU1097" s="319" t="s">
        <v>173</v>
      </c>
      <c r="GV1097" s="319" t="s">
        <v>173</v>
      </c>
      <c r="GW1097" s="319" t="s">
        <v>173</v>
      </c>
      <c r="GX1097" s="319" t="s">
        <v>173</v>
      </c>
      <c r="GY1097" s="319" t="s">
        <v>173</v>
      </c>
      <c r="GZ1097" s="319" t="s">
        <v>173</v>
      </c>
      <c r="HA1097" s="319" t="s">
        <v>173</v>
      </c>
      <c r="HB1097" s="319" t="s">
        <v>173</v>
      </c>
      <c r="HC1097" s="319" t="s">
        <v>173</v>
      </c>
      <c r="HD1097" s="319" t="s">
        <v>173</v>
      </c>
      <c r="HE1097" s="319" t="s">
        <v>173</v>
      </c>
      <c r="HF1097" s="319" t="s">
        <v>173</v>
      </c>
      <c r="HG1097" s="319" t="s">
        <v>173</v>
      </c>
      <c r="HH1097" s="319" t="s">
        <v>173</v>
      </c>
      <c r="HI1097" s="319" t="s">
        <v>173</v>
      </c>
      <c r="HJ1097" s="319" t="s">
        <v>173</v>
      </c>
      <c r="HK1097" s="319" t="s">
        <v>173</v>
      </c>
      <c r="HL1097" s="319" t="s">
        <v>173</v>
      </c>
      <c r="HM1097" s="319" t="s">
        <v>173</v>
      </c>
      <c r="HN1097" s="319" t="s">
        <v>173</v>
      </c>
      <c r="HO1097" s="319" t="s">
        <v>173</v>
      </c>
      <c r="HP1097" s="319" t="s">
        <v>173</v>
      </c>
      <c r="HQ1097" s="319" t="s">
        <v>173</v>
      </c>
      <c r="HR1097" s="319" t="s">
        <v>173</v>
      </c>
      <c r="HS1097" s="319" t="s">
        <v>173</v>
      </c>
      <c r="HT1097" s="319" t="s">
        <v>173</v>
      </c>
      <c r="HU1097" s="319" t="s">
        <v>173</v>
      </c>
      <c r="HV1097" s="319" t="s">
        <v>173</v>
      </c>
      <c r="HW1097" s="319" t="s">
        <v>173</v>
      </c>
      <c r="HX1097" s="319" t="s">
        <v>173</v>
      </c>
      <c r="HY1097" s="319" t="s">
        <v>173</v>
      </c>
      <c r="HZ1097" s="319" t="s">
        <v>173</v>
      </c>
      <c r="IA1097" s="319" t="s">
        <v>173</v>
      </c>
      <c r="IB1097" s="319" t="s">
        <v>173</v>
      </c>
      <c r="IC1097" s="319" t="s">
        <v>173</v>
      </c>
      <c r="ID1097" s="319" t="s">
        <v>173</v>
      </c>
      <c r="IE1097" s="319" t="s">
        <v>173</v>
      </c>
      <c r="IF1097" s="319" t="s">
        <v>173</v>
      </c>
      <c r="IG1097" s="319" t="s">
        <v>173</v>
      </c>
      <c r="IH1097" s="319" t="s">
        <v>173</v>
      </c>
      <c r="II1097" s="319" t="s">
        <v>173</v>
      </c>
      <c r="IJ1097" s="319" t="s">
        <v>173</v>
      </c>
      <c r="IK1097" s="319" t="s">
        <v>173</v>
      </c>
      <c r="IL1097" s="319" t="s">
        <v>173</v>
      </c>
      <c r="IM1097" s="319" t="s">
        <v>173</v>
      </c>
      <c r="IN1097" s="319" t="s">
        <v>173</v>
      </c>
      <c r="IO1097" s="319" t="s">
        <v>173</v>
      </c>
      <c r="IP1097" s="319" t="s">
        <v>173</v>
      </c>
      <c r="IQ1097" s="321" t="s">
        <v>173</v>
      </c>
      <c r="IR1097" s="320" t="s">
        <v>173</v>
      </c>
      <c r="IS1097" s="322" t="s">
        <v>173</v>
      </c>
      <c r="IT1097" s="319" t="s">
        <v>173</v>
      </c>
    </row>
    <row r="1098" spans="1:254" s="271" customFormat="1" x14ac:dyDescent="0.25">
      <c r="A1098" s="318" t="str">
        <f>HYPERLINK("http://www.ofsted.gov.uk/inspection-reports/find-inspection-report/provider/ELS/147471 ","Ofsted School Webpage")</f>
        <v>Ofsted School Webpage</v>
      </c>
      <c r="B1098" s="319">
        <v>147471</v>
      </c>
      <c r="C1098" s="319">
        <v>8786082</v>
      </c>
      <c r="D1098" s="319" t="s">
        <v>2747</v>
      </c>
      <c r="E1098" s="319" t="s">
        <v>167</v>
      </c>
      <c r="F1098" s="319" t="s">
        <v>434</v>
      </c>
      <c r="G1098" s="319" t="s">
        <v>81</v>
      </c>
      <c r="H1098" s="319" t="s">
        <v>81</v>
      </c>
      <c r="I1098" s="319" t="s">
        <v>78</v>
      </c>
      <c r="J1098" s="319" t="s">
        <v>424</v>
      </c>
      <c r="K1098" s="319" t="s">
        <v>422</v>
      </c>
      <c r="L1098" s="319" t="s">
        <v>422</v>
      </c>
      <c r="M1098" s="319" t="s">
        <v>663</v>
      </c>
      <c r="N1098" s="319" t="s">
        <v>2922</v>
      </c>
      <c r="O1098" s="319" t="s">
        <v>2748</v>
      </c>
      <c r="P1098" s="319" t="s">
        <v>173</v>
      </c>
      <c r="Q1098" s="319" t="s">
        <v>429</v>
      </c>
      <c r="R1098" s="320" t="s">
        <v>173</v>
      </c>
      <c r="S1098" s="321" t="s">
        <v>173</v>
      </c>
      <c r="T1098" s="321" t="s">
        <v>173</v>
      </c>
      <c r="U1098" s="321" t="s">
        <v>173</v>
      </c>
      <c r="V1098" s="319" t="s">
        <v>173</v>
      </c>
      <c r="W1098" s="319" t="s">
        <v>173</v>
      </c>
      <c r="X1098" s="319" t="s">
        <v>173</v>
      </c>
      <c r="Y1098" s="319" t="s">
        <v>173</v>
      </c>
      <c r="Z1098" s="319" t="s">
        <v>173</v>
      </c>
      <c r="AA1098" s="319" t="s">
        <v>173</v>
      </c>
      <c r="AB1098" s="319" t="s">
        <v>173</v>
      </c>
      <c r="AC1098" s="319" t="s">
        <v>173</v>
      </c>
      <c r="AD1098" s="319" t="s">
        <v>173</v>
      </c>
      <c r="AE1098" s="319" t="s">
        <v>173</v>
      </c>
      <c r="AF1098" s="319" t="s">
        <v>173</v>
      </c>
      <c r="AG1098" s="319" t="s">
        <v>173</v>
      </c>
      <c r="AH1098" s="319" t="s">
        <v>173</v>
      </c>
      <c r="AI1098" s="319" t="s">
        <v>173</v>
      </c>
      <c r="AJ1098" s="319" t="s">
        <v>173</v>
      </c>
      <c r="AK1098" s="319" t="s">
        <v>173</v>
      </c>
      <c r="AL1098" s="319" t="s">
        <v>173</v>
      </c>
      <c r="AM1098" s="319" t="s">
        <v>173</v>
      </c>
      <c r="AN1098" s="319" t="s">
        <v>173</v>
      </c>
      <c r="AO1098" s="319" t="s">
        <v>173</v>
      </c>
      <c r="AP1098" s="319" t="s">
        <v>173</v>
      </c>
      <c r="AQ1098" s="319" t="s">
        <v>173</v>
      </c>
      <c r="AR1098" s="319" t="s">
        <v>173</v>
      </c>
      <c r="AS1098" s="319" t="s">
        <v>173</v>
      </c>
      <c r="AT1098" s="319" t="s">
        <v>173</v>
      </c>
      <c r="AU1098" s="319" t="s">
        <v>173</v>
      </c>
      <c r="AV1098" s="319" t="s">
        <v>173</v>
      </c>
      <c r="AW1098" s="319" t="s">
        <v>173</v>
      </c>
      <c r="AX1098" s="319" t="s">
        <v>173</v>
      </c>
      <c r="AY1098" s="319" t="s">
        <v>173</v>
      </c>
      <c r="AZ1098" s="319" t="s">
        <v>173</v>
      </c>
      <c r="BA1098" s="319" t="s">
        <v>173</v>
      </c>
      <c r="BB1098" s="319" t="s">
        <v>173</v>
      </c>
      <c r="BC1098" s="319" t="s">
        <v>173</v>
      </c>
      <c r="BD1098" s="319" t="s">
        <v>173</v>
      </c>
      <c r="BE1098" s="319" t="s">
        <v>173</v>
      </c>
      <c r="BF1098" s="319" t="s">
        <v>173</v>
      </c>
      <c r="BG1098" s="319" t="s">
        <v>173</v>
      </c>
      <c r="BH1098" s="319" t="s">
        <v>173</v>
      </c>
      <c r="BI1098" s="319" t="s">
        <v>173</v>
      </c>
      <c r="BJ1098" s="319" t="s">
        <v>173</v>
      </c>
      <c r="BK1098" s="319" t="s">
        <v>173</v>
      </c>
      <c r="BL1098" s="319" t="s">
        <v>173</v>
      </c>
      <c r="BM1098" s="319" t="s">
        <v>173</v>
      </c>
      <c r="BN1098" s="319" t="s">
        <v>173</v>
      </c>
      <c r="BO1098" s="319" t="s">
        <v>173</v>
      </c>
      <c r="BP1098" s="319" t="s">
        <v>173</v>
      </c>
      <c r="BQ1098" s="319" t="s">
        <v>173</v>
      </c>
      <c r="BR1098" s="319" t="s">
        <v>173</v>
      </c>
      <c r="BS1098" s="319" t="s">
        <v>173</v>
      </c>
      <c r="BT1098" s="319" t="s">
        <v>173</v>
      </c>
      <c r="BU1098" s="319" t="s">
        <v>173</v>
      </c>
      <c r="BV1098" s="319" t="s">
        <v>173</v>
      </c>
      <c r="BW1098" s="319" t="s">
        <v>173</v>
      </c>
      <c r="BX1098" s="319" t="s">
        <v>173</v>
      </c>
      <c r="BY1098" s="319" t="s">
        <v>173</v>
      </c>
      <c r="BZ1098" s="319" t="s">
        <v>173</v>
      </c>
      <c r="CA1098" s="319" t="s">
        <v>173</v>
      </c>
      <c r="CB1098" s="319" t="s">
        <v>173</v>
      </c>
      <c r="CC1098" s="319" t="s">
        <v>173</v>
      </c>
      <c r="CD1098" s="319" t="s">
        <v>173</v>
      </c>
      <c r="CE1098" s="319" t="s">
        <v>173</v>
      </c>
      <c r="CF1098" s="319" t="s">
        <v>173</v>
      </c>
      <c r="CG1098" s="319" t="s">
        <v>173</v>
      </c>
      <c r="CH1098" s="319" t="s">
        <v>173</v>
      </c>
      <c r="CI1098" s="319" t="s">
        <v>173</v>
      </c>
      <c r="CJ1098" s="319" t="s">
        <v>173</v>
      </c>
      <c r="CK1098" s="319" t="s">
        <v>173</v>
      </c>
      <c r="CL1098" s="319" t="s">
        <v>173</v>
      </c>
      <c r="CM1098" s="319" t="s">
        <v>173</v>
      </c>
      <c r="CN1098" s="319" t="s">
        <v>173</v>
      </c>
      <c r="CO1098" s="319" t="s">
        <v>173</v>
      </c>
      <c r="CP1098" s="319" t="s">
        <v>173</v>
      </c>
      <c r="CQ1098" s="319" t="s">
        <v>173</v>
      </c>
      <c r="CR1098" s="319" t="s">
        <v>173</v>
      </c>
      <c r="CS1098" s="319" t="s">
        <v>173</v>
      </c>
      <c r="CT1098" s="319" t="s">
        <v>173</v>
      </c>
      <c r="CU1098" s="319" t="s">
        <v>173</v>
      </c>
      <c r="CV1098" s="319" t="s">
        <v>173</v>
      </c>
      <c r="CW1098" s="319" t="s">
        <v>173</v>
      </c>
      <c r="CX1098" s="319" t="s">
        <v>173</v>
      </c>
      <c r="CY1098" s="319" t="s">
        <v>173</v>
      </c>
      <c r="CZ1098" s="319" t="s">
        <v>173</v>
      </c>
      <c r="DA1098" s="319" t="s">
        <v>173</v>
      </c>
      <c r="DB1098" s="319" t="s">
        <v>173</v>
      </c>
      <c r="DC1098" s="319" t="s">
        <v>173</v>
      </c>
      <c r="DD1098" s="319" t="s">
        <v>173</v>
      </c>
      <c r="DE1098" s="319" t="s">
        <v>173</v>
      </c>
      <c r="DF1098" s="319" t="s">
        <v>173</v>
      </c>
      <c r="DG1098" s="319" t="s">
        <v>173</v>
      </c>
      <c r="DH1098" s="319" t="s">
        <v>173</v>
      </c>
      <c r="DI1098" s="319" t="s">
        <v>173</v>
      </c>
      <c r="DJ1098" s="319" t="s">
        <v>173</v>
      </c>
      <c r="DK1098" s="319" t="s">
        <v>173</v>
      </c>
      <c r="DL1098" s="319" t="s">
        <v>173</v>
      </c>
      <c r="DM1098" s="319" t="s">
        <v>173</v>
      </c>
      <c r="DN1098" s="319" t="s">
        <v>173</v>
      </c>
      <c r="DO1098" s="319" t="s">
        <v>173</v>
      </c>
      <c r="DP1098" s="319" t="s">
        <v>173</v>
      </c>
      <c r="DQ1098" s="319" t="s">
        <v>173</v>
      </c>
      <c r="DR1098" s="319" t="s">
        <v>173</v>
      </c>
      <c r="DS1098" s="319" t="s">
        <v>173</v>
      </c>
      <c r="DT1098" s="319" t="s">
        <v>173</v>
      </c>
      <c r="DU1098" s="319" t="s">
        <v>173</v>
      </c>
      <c r="DV1098" s="319" t="s">
        <v>173</v>
      </c>
      <c r="DW1098" s="319" t="s">
        <v>173</v>
      </c>
      <c r="DX1098" s="319" t="s">
        <v>173</v>
      </c>
      <c r="DY1098" s="319" t="s">
        <v>173</v>
      </c>
      <c r="DZ1098" s="319" t="s">
        <v>173</v>
      </c>
      <c r="EA1098" s="319" t="s">
        <v>173</v>
      </c>
      <c r="EB1098" s="319" t="s">
        <v>173</v>
      </c>
      <c r="EC1098" s="319" t="s">
        <v>173</v>
      </c>
      <c r="ED1098" s="319" t="s">
        <v>173</v>
      </c>
      <c r="EE1098" s="319" t="s">
        <v>173</v>
      </c>
      <c r="EF1098" s="319" t="s">
        <v>173</v>
      </c>
      <c r="EG1098" s="319" t="s">
        <v>173</v>
      </c>
      <c r="EH1098" s="319" t="s">
        <v>173</v>
      </c>
      <c r="EI1098" s="319" t="s">
        <v>173</v>
      </c>
      <c r="EJ1098" s="319" t="s">
        <v>173</v>
      </c>
      <c r="EK1098" s="319" t="s">
        <v>173</v>
      </c>
      <c r="EL1098" s="319" t="s">
        <v>173</v>
      </c>
      <c r="EM1098" s="319" t="s">
        <v>173</v>
      </c>
      <c r="EN1098" s="319" t="s">
        <v>173</v>
      </c>
      <c r="EO1098" s="319" t="s">
        <v>173</v>
      </c>
      <c r="EP1098" s="319" t="s">
        <v>173</v>
      </c>
      <c r="EQ1098" s="319" t="s">
        <v>173</v>
      </c>
      <c r="ER1098" s="319" t="s">
        <v>173</v>
      </c>
      <c r="ES1098" s="319" t="s">
        <v>173</v>
      </c>
      <c r="ET1098" s="319" t="s">
        <v>173</v>
      </c>
      <c r="EU1098" s="319" t="s">
        <v>173</v>
      </c>
      <c r="EV1098" s="319" t="s">
        <v>173</v>
      </c>
      <c r="EW1098" s="319" t="s">
        <v>173</v>
      </c>
      <c r="EX1098" s="319" t="s">
        <v>173</v>
      </c>
      <c r="EY1098" s="319" t="s">
        <v>173</v>
      </c>
      <c r="EZ1098" s="319" t="s">
        <v>173</v>
      </c>
      <c r="FA1098" s="319" t="s">
        <v>173</v>
      </c>
      <c r="FB1098" s="319" t="s">
        <v>173</v>
      </c>
      <c r="FC1098" s="319" t="s">
        <v>173</v>
      </c>
      <c r="FD1098" s="319" t="s">
        <v>173</v>
      </c>
      <c r="FE1098" s="319" t="s">
        <v>173</v>
      </c>
      <c r="FF1098" s="319" t="s">
        <v>173</v>
      </c>
      <c r="FG1098" s="319" t="s">
        <v>173</v>
      </c>
      <c r="FH1098" s="319" t="s">
        <v>173</v>
      </c>
      <c r="FI1098" s="319" t="s">
        <v>173</v>
      </c>
      <c r="FJ1098" s="319" t="s">
        <v>173</v>
      </c>
      <c r="FK1098" s="319" t="s">
        <v>173</v>
      </c>
      <c r="FL1098" s="319" t="s">
        <v>173</v>
      </c>
      <c r="FM1098" s="319" t="s">
        <v>173</v>
      </c>
      <c r="FN1098" s="319" t="s">
        <v>173</v>
      </c>
      <c r="FO1098" s="319" t="s">
        <v>173</v>
      </c>
      <c r="FP1098" s="319" t="s">
        <v>173</v>
      </c>
      <c r="FQ1098" s="319" t="s">
        <v>173</v>
      </c>
      <c r="FR1098" s="319" t="s">
        <v>173</v>
      </c>
      <c r="FS1098" s="319" t="s">
        <v>173</v>
      </c>
      <c r="FT1098" s="319" t="s">
        <v>173</v>
      </c>
      <c r="FU1098" s="319" t="s">
        <v>173</v>
      </c>
      <c r="FV1098" s="319" t="s">
        <v>173</v>
      </c>
      <c r="FW1098" s="319" t="s">
        <v>173</v>
      </c>
      <c r="FX1098" s="319" t="s">
        <v>173</v>
      </c>
      <c r="FY1098" s="319" t="s">
        <v>173</v>
      </c>
      <c r="FZ1098" s="319" t="s">
        <v>173</v>
      </c>
      <c r="GA1098" s="319" t="s">
        <v>173</v>
      </c>
      <c r="GB1098" s="319" t="s">
        <v>173</v>
      </c>
      <c r="GC1098" s="319" t="s">
        <v>173</v>
      </c>
      <c r="GD1098" s="319" t="s">
        <v>173</v>
      </c>
      <c r="GE1098" s="319" t="s">
        <v>173</v>
      </c>
      <c r="GF1098" s="319" t="s">
        <v>173</v>
      </c>
      <c r="GG1098" s="319" t="s">
        <v>173</v>
      </c>
      <c r="GH1098" s="319" t="s">
        <v>173</v>
      </c>
      <c r="GI1098" s="319" t="s">
        <v>173</v>
      </c>
      <c r="GJ1098" s="319" t="s">
        <v>173</v>
      </c>
      <c r="GK1098" s="319" t="s">
        <v>173</v>
      </c>
      <c r="GL1098" s="319" t="s">
        <v>173</v>
      </c>
      <c r="GM1098" s="319" t="s">
        <v>173</v>
      </c>
      <c r="GN1098" s="319" t="s">
        <v>173</v>
      </c>
      <c r="GO1098" s="319" t="s">
        <v>173</v>
      </c>
      <c r="GP1098" s="319" t="s">
        <v>173</v>
      </c>
      <c r="GQ1098" s="319" t="s">
        <v>173</v>
      </c>
      <c r="GR1098" s="319" t="s">
        <v>173</v>
      </c>
      <c r="GS1098" s="319" t="s">
        <v>173</v>
      </c>
      <c r="GT1098" s="319" t="s">
        <v>173</v>
      </c>
      <c r="GU1098" s="319" t="s">
        <v>173</v>
      </c>
      <c r="GV1098" s="319" t="s">
        <v>173</v>
      </c>
      <c r="GW1098" s="319" t="s">
        <v>173</v>
      </c>
      <c r="GX1098" s="319" t="s">
        <v>173</v>
      </c>
      <c r="GY1098" s="319" t="s">
        <v>173</v>
      </c>
      <c r="GZ1098" s="319" t="s">
        <v>173</v>
      </c>
      <c r="HA1098" s="319" t="s">
        <v>173</v>
      </c>
      <c r="HB1098" s="319" t="s">
        <v>173</v>
      </c>
      <c r="HC1098" s="319" t="s">
        <v>173</v>
      </c>
      <c r="HD1098" s="319" t="s">
        <v>173</v>
      </c>
      <c r="HE1098" s="319" t="s">
        <v>173</v>
      </c>
      <c r="HF1098" s="319" t="s">
        <v>173</v>
      </c>
      <c r="HG1098" s="319" t="s">
        <v>173</v>
      </c>
      <c r="HH1098" s="319" t="s">
        <v>173</v>
      </c>
      <c r="HI1098" s="319" t="s">
        <v>173</v>
      </c>
      <c r="HJ1098" s="319" t="s">
        <v>173</v>
      </c>
      <c r="HK1098" s="319" t="s">
        <v>173</v>
      </c>
      <c r="HL1098" s="319" t="s">
        <v>173</v>
      </c>
      <c r="HM1098" s="319" t="s">
        <v>173</v>
      </c>
      <c r="HN1098" s="319" t="s">
        <v>173</v>
      </c>
      <c r="HO1098" s="319" t="s">
        <v>173</v>
      </c>
      <c r="HP1098" s="319" t="s">
        <v>173</v>
      </c>
      <c r="HQ1098" s="319" t="s">
        <v>173</v>
      </c>
      <c r="HR1098" s="319" t="s">
        <v>173</v>
      </c>
      <c r="HS1098" s="319" t="s">
        <v>173</v>
      </c>
      <c r="HT1098" s="319" t="s">
        <v>173</v>
      </c>
      <c r="HU1098" s="319" t="s">
        <v>173</v>
      </c>
      <c r="HV1098" s="319" t="s">
        <v>173</v>
      </c>
      <c r="HW1098" s="319" t="s">
        <v>173</v>
      </c>
      <c r="HX1098" s="319" t="s">
        <v>173</v>
      </c>
      <c r="HY1098" s="319" t="s">
        <v>173</v>
      </c>
      <c r="HZ1098" s="319" t="s">
        <v>173</v>
      </c>
      <c r="IA1098" s="319" t="s">
        <v>173</v>
      </c>
      <c r="IB1098" s="319" t="s">
        <v>173</v>
      </c>
      <c r="IC1098" s="319" t="s">
        <v>173</v>
      </c>
      <c r="ID1098" s="319" t="s">
        <v>173</v>
      </c>
      <c r="IE1098" s="319" t="s">
        <v>173</v>
      </c>
      <c r="IF1098" s="319" t="s">
        <v>173</v>
      </c>
      <c r="IG1098" s="319" t="s">
        <v>173</v>
      </c>
      <c r="IH1098" s="319" t="s">
        <v>173</v>
      </c>
      <c r="II1098" s="319" t="s">
        <v>173</v>
      </c>
      <c r="IJ1098" s="319" t="s">
        <v>173</v>
      </c>
      <c r="IK1098" s="319" t="s">
        <v>173</v>
      </c>
      <c r="IL1098" s="319" t="s">
        <v>173</v>
      </c>
      <c r="IM1098" s="319" t="s">
        <v>173</v>
      </c>
      <c r="IN1098" s="319" t="s">
        <v>173</v>
      </c>
      <c r="IO1098" s="319" t="s">
        <v>173</v>
      </c>
      <c r="IP1098" s="319" t="s">
        <v>173</v>
      </c>
      <c r="IQ1098" s="321" t="s">
        <v>173</v>
      </c>
      <c r="IR1098" s="320" t="s">
        <v>173</v>
      </c>
      <c r="IS1098" s="322" t="s">
        <v>173</v>
      </c>
      <c r="IT1098" s="319" t="s">
        <v>173</v>
      </c>
    </row>
    <row r="1099" spans="1:254" s="271" customFormat="1" x14ac:dyDescent="0.25">
      <c r="A1099" s="318" t="str">
        <f>HYPERLINK("http://www.ofsted.gov.uk/inspection-reports/find-inspection-report/provider/ELS/147546 ","Ofsted School Webpage")</f>
        <v>Ofsted School Webpage</v>
      </c>
      <c r="B1099" s="319">
        <v>147546</v>
      </c>
      <c r="C1099" s="319">
        <v>9386004</v>
      </c>
      <c r="D1099" s="319" t="s">
        <v>2754</v>
      </c>
      <c r="E1099" s="319" t="s">
        <v>167</v>
      </c>
      <c r="F1099" s="319" t="s">
        <v>434</v>
      </c>
      <c r="G1099" s="319" t="s">
        <v>81</v>
      </c>
      <c r="H1099" s="319" t="s">
        <v>81</v>
      </c>
      <c r="I1099" s="319" t="s">
        <v>78</v>
      </c>
      <c r="J1099" s="319" t="s">
        <v>424</v>
      </c>
      <c r="K1099" s="319" t="s">
        <v>514</v>
      </c>
      <c r="L1099" s="319" t="s">
        <v>514</v>
      </c>
      <c r="M1099" s="319" t="s">
        <v>737</v>
      </c>
      <c r="N1099" s="319" t="s">
        <v>3548</v>
      </c>
      <c r="O1099" s="319" t="s">
        <v>2755</v>
      </c>
      <c r="P1099" s="319" t="s">
        <v>173</v>
      </c>
      <c r="Q1099" s="319" t="s">
        <v>2766</v>
      </c>
      <c r="R1099" s="320" t="s">
        <v>173</v>
      </c>
      <c r="S1099" s="321" t="s">
        <v>173</v>
      </c>
      <c r="T1099" s="321" t="s">
        <v>173</v>
      </c>
      <c r="U1099" s="321" t="s">
        <v>173</v>
      </c>
      <c r="V1099" s="319" t="s">
        <v>173</v>
      </c>
      <c r="W1099" s="319" t="s">
        <v>173</v>
      </c>
      <c r="X1099" s="319" t="s">
        <v>173</v>
      </c>
      <c r="Y1099" s="319" t="s">
        <v>173</v>
      </c>
      <c r="Z1099" s="319" t="s">
        <v>173</v>
      </c>
      <c r="AA1099" s="319" t="s">
        <v>173</v>
      </c>
      <c r="AB1099" s="319" t="s">
        <v>173</v>
      </c>
      <c r="AC1099" s="319" t="s">
        <v>173</v>
      </c>
      <c r="AD1099" s="319" t="s">
        <v>173</v>
      </c>
      <c r="AE1099" s="319" t="s">
        <v>173</v>
      </c>
      <c r="AF1099" s="319" t="s">
        <v>173</v>
      </c>
      <c r="AG1099" s="319" t="s">
        <v>173</v>
      </c>
      <c r="AH1099" s="319" t="s">
        <v>173</v>
      </c>
      <c r="AI1099" s="319" t="s">
        <v>173</v>
      </c>
      <c r="AJ1099" s="319" t="s">
        <v>173</v>
      </c>
      <c r="AK1099" s="319" t="s">
        <v>173</v>
      </c>
      <c r="AL1099" s="319" t="s">
        <v>173</v>
      </c>
      <c r="AM1099" s="319" t="s">
        <v>173</v>
      </c>
      <c r="AN1099" s="319" t="s">
        <v>173</v>
      </c>
      <c r="AO1099" s="319" t="s">
        <v>173</v>
      </c>
      <c r="AP1099" s="319" t="s">
        <v>173</v>
      </c>
      <c r="AQ1099" s="319" t="s">
        <v>173</v>
      </c>
      <c r="AR1099" s="319" t="s">
        <v>173</v>
      </c>
      <c r="AS1099" s="319" t="s">
        <v>173</v>
      </c>
      <c r="AT1099" s="319" t="s">
        <v>173</v>
      </c>
      <c r="AU1099" s="319" t="s">
        <v>173</v>
      </c>
      <c r="AV1099" s="319" t="s">
        <v>173</v>
      </c>
      <c r="AW1099" s="319" t="s">
        <v>173</v>
      </c>
      <c r="AX1099" s="319" t="s">
        <v>173</v>
      </c>
      <c r="AY1099" s="319" t="s">
        <v>173</v>
      </c>
      <c r="AZ1099" s="319" t="s">
        <v>173</v>
      </c>
      <c r="BA1099" s="319" t="s">
        <v>173</v>
      </c>
      <c r="BB1099" s="319" t="s">
        <v>173</v>
      </c>
      <c r="BC1099" s="319" t="s">
        <v>173</v>
      </c>
      <c r="BD1099" s="319" t="s">
        <v>173</v>
      </c>
      <c r="BE1099" s="319" t="s">
        <v>173</v>
      </c>
      <c r="BF1099" s="319" t="s">
        <v>173</v>
      </c>
      <c r="BG1099" s="319" t="s">
        <v>173</v>
      </c>
      <c r="BH1099" s="319" t="s">
        <v>173</v>
      </c>
      <c r="BI1099" s="319" t="s">
        <v>173</v>
      </c>
      <c r="BJ1099" s="319" t="s">
        <v>173</v>
      </c>
      <c r="BK1099" s="319" t="s">
        <v>173</v>
      </c>
      <c r="BL1099" s="319" t="s">
        <v>173</v>
      </c>
      <c r="BM1099" s="319" t="s">
        <v>173</v>
      </c>
      <c r="BN1099" s="319" t="s">
        <v>173</v>
      </c>
      <c r="BO1099" s="319" t="s">
        <v>173</v>
      </c>
      <c r="BP1099" s="319" t="s">
        <v>173</v>
      </c>
      <c r="BQ1099" s="319" t="s">
        <v>173</v>
      </c>
      <c r="BR1099" s="319" t="s">
        <v>173</v>
      </c>
      <c r="BS1099" s="319" t="s">
        <v>173</v>
      </c>
      <c r="BT1099" s="319" t="s">
        <v>173</v>
      </c>
      <c r="BU1099" s="319" t="s">
        <v>173</v>
      </c>
      <c r="BV1099" s="319" t="s">
        <v>173</v>
      </c>
      <c r="BW1099" s="319" t="s">
        <v>173</v>
      </c>
      <c r="BX1099" s="319" t="s">
        <v>173</v>
      </c>
      <c r="BY1099" s="319" t="s">
        <v>173</v>
      </c>
      <c r="BZ1099" s="319" t="s">
        <v>173</v>
      </c>
      <c r="CA1099" s="319" t="s">
        <v>173</v>
      </c>
      <c r="CB1099" s="319" t="s">
        <v>173</v>
      </c>
      <c r="CC1099" s="319" t="s">
        <v>173</v>
      </c>
      <c r="CD1099" s="319" t="s">
        <v>173</v>
      </c>
      <c r="CE1099" s="319" t="s">
        <v>173</v>
      </c>
      <c r="CF1099" s="319" t="s">
        <v>173</v>
      </c>
      <c r="CG1099" s="319" t="s">
        <v>173</v>
      </c>
      <c r="CH1099" s="319" t="s">
        <v>173</v>
      </c>
      <c r="CI1099" s="319" t="s">
        <v>173</v>
      </c>
      <c r="CJ1099" s="319" t="s">
        <v>173</v>
      </c>
      <c r="CK1099" s="319" t="s">
        <v>173</v>
      </c>
      <c r="CL1099" s="319" t="s">
        <v>173</v>
      </c>
      <c r="CM1099" s="319" t="s">
        <v>173</v>
      </c>
      <c r="CN1099" s="319" t="s">
        <v>173</v>
      </c>
      <c r="CO1099" s="319" t="s">
        <v>173</v>
      </c>
      <c r="CP1099" s="319" t="s">
        <v>173</v>
      </c>
      <c r="CQ1099" s="319" t="s">
        <v>173</v>
      </c>
      <c r="CR1099" s="319" t="s">
        <v>173</v>
      </c>
      <c r="CS1099" s="319" t="s">
        <v>173</v>
      </c>
      <c r="CT1099" s="319" t="s">
        <v>173</v>
      </c>
      <c r="CU1099" s="319" t="s">
        <v>173</v>
      </c>
      <c r="CV1099" s="319" t="s">
        <v>173</v>
      </c>
      <c r="CW1099" s="319" t="s">
        <v>173</v>
      </c>
      <c r="CX1099" s="319" t="s">
        <v>173</v>
      </c>
      <c r="CY1099" s="319" t="s">
        <v>173</v>
      </c>
      <c r="CZ1099" s="319" t="s">
        <v>173</v>
      </c>
      <c r="DA1099" s="319" t="s">
        <v>173</v>
      </c>
      <c r="DB1099" s="319" t="s">
        <v>173</v>
      </c>
      <c r="DC1099" s="319" t="s">
        <v>173</v>
      </c>
      <c r="DD1099" s="319" t="s">
        <v>173</v>
      </c>
      <c r="DE1099" s="319" t="s">
        <v>173</v>
      </c>
      <c r="DF1099" s="319" t="s">
        <v>173</v>
      </c>
      <c r="DG1099" s="319" t="s">
        <v>173</v>
      </c>
      <c r="DH1099" s="319" t="s">
        <v>173</v>
      </c>
      <c r="DI1099" s="319" t="s">
        <v>173</v>
      </c>
      <c r="DJ1099" s="319" t="s">
        <v>173</v>
      </c>
      <c r="DK1099" s="319" t="s">
        <v>173</v>
      </c>
      <c r="DL1099" s="319" t="s">
        <v>173</v>
      </c>
      <c r="DM1099" s="319" t="s">
        <v>173</v>
      </c>
      <c r="DN1099" s="319" t="s">
        <v>173</v>
      </c>
      <c r="DO1099" s="319" t="s">
        <v>173</v>
      </c>
      <c r="DP1099" s="319" t="s">
        <v>173</v>
      </c>
      <c r="DQ1099" s="319" t="s">
        <v>173</v>
      </c>
      <c r="DR1099" s="319" t="s">
        <v>173</v>
      </c>
      <c r="DS1099" s="319" t="s">
        <v>173</v>
      </c>
      <c r="DT1099" s="319" t="s">
        <v>173</v>
      </c>
      <c r="DU1099" s="319" t="s">
        <v>173</v>
      </c>
      <c r="DV1099" s="319" t="s">
        <v>173</v>
      </c>
      <c r="DW1099" s="319" t="s">
        <v>173</v>
      </c>
      <c r="DX1099" s="319" t="s">
        <v>173</v>
      </c>
      <c r="DY1099" s="319" t="s">
        <v>173</v>
      </c>
      <c r="DZ1099" s="319" t="s">
        <v>173</v>
      </c>
      <c r="EA1099" s="319" t="s">
        <v>173</v>
      </c>
      <c r="EB1099" s="319" t="s">
        <v>173</v>
      </c>
      <c r="EC1099" s="319" t="s">
        <v>173</v>
      </c>
      <c r="ED1099" s="319" t="s">
        <v>173</v>
      </c>
      <c r="EE1099" s="319" t="s">
        <v>173</v>
      </c>
      <c r="EF1099" s="319" t="s">
        <v>173</v>
      </c>
      <c r="EG1099" s="319" t="s">
        <v>173</v>
      </c>
      <c r="EH1099" s="319" t="s">
        <v>173</v>
      </c>
      <c r="EI1099" s="319" t="s">
        <v>173</v>
      </c>
      <c r="EJ1099" s="319" t="s">
        <v>173</v>
      </c>
      <c r="EK1099" s="319" t="s">
        <v>173</v>
      </c>
      <c r="EL1099" s="319" t="s">
        <v>173</v>
      </c>
      <c r="EM1099" s="319" t="s">
        <v>173</v>
      </c>
      <c r="EN1099" s="319" t="s">
        <v>173</v>
      </c>
      <c r="EO1099" s="319" t="s">
        <v>173</v>
      </c>
      <c r="EP1099" s="319" t="s">
        <v>173</v>
      </c>
      <c r="EQ1099" s="319" t="s">
        <v>173</v>
      </c>
      <c r="ER1099" s="319" t="s">
        <v>173</v>
      </c>
      <c r="ES1099" s="319" t="s">
        <v>173</v>
      </c>
      <c r="ET1099" s="319" t="s">
        <v>173</v>
      </c>
      <c r="EU1099" s="319" t="s">
        <v>173</v>
      </c>
      <c r="EV1099" s="319" t="s">
        <v>173</v>
      </c>
      <c r="EW1099" s="319" t="s">
        <v>173</v>
      </c>
      <c r="EX1099" s="319" t="s">
        <v>173</v>
      </c>
      <c r="EY1099" s="319" t="s">
        <v>173</v>
      </c>
      <c r="EZ1099" s="319" t="s">
        <v>173</v>
      </c>
      <c r="FA1099" s="319" t="s">
        <v>173</v>
      </c>
      <c r="FB1099" s="319" t="s">
        <v>173</v>
      </c>
      <c r="FC1099" s="319" t="s">
        <v>173</v>
      </c>
      <c r="FD1099" s="319" t="s">
        <v>173</v>
      </c>
      <c r="FE1099" s="319" t="s">
        <v>173</v>
      </c>
      <c r="FF1099" s="319" t="s">
        <v>173</v>
      </c>
      <c r="FG1099" s="319" t="s">
        <v>173</v>
      </c>
      <c r="FH1099" s="319" t="s">
        <v>173</v>
      </c>
      <c r="FI1099" s="319" t="s">
        <v>173</v>
      </c>
      <c r="FJ1099" s="319" t="s">
        <v>173</v>
      </c>
      <c r="FK1099" s="319" t="s">
        <v>173</v>
      </c>
      <c r="FL1099" s="319" t="s">
        <v>173</v>
      </c>
      <c r="FM1099" s="319" t="s">
        <v>173</v>
      </c>
      <c r="FN1099" s="319" t="s">
        <v>173</v>
      </c>
      <c r="FO1099" s="319" t="s">
        <v>173</v>
      </c>
      <c r="FP1099" s="319" t="s">
        <v>173</v>
      </c>
      <c r="FQ1099" s="319" t="s">
        <v>173</v>
      </c>
      <c r="FR1099" s="319" t="s">
        <v>173</v>
      </c>
      <c r="FS1099" s="319" t="s">
        <v>173</v>
      </c>
      <c r="FT1099" s="319" t="s">
        <v>173</v>
      </c>
      <c r="FU1099" s="319" t="s">
        <v>173</v>
      </c>
      <c r="FV1099" s="319" t="s">
        <v>173</v>
      </c>
      <c r="FW1099" s="319" t="s">
        <v>173</v>
      </c>
      <c r="FX1099" s="319" t="s">
        <v>173</v>
      </c>
      <c r="FY1099" s="319" t="s">
        <v>173</v>
      </c>
      <c r="FZ1099" s="319" t="s">
        <v>173</v>
      </c>
      <c r="GA1099" s="319" t="s">
        <v>173</v>
      </c>
      <c r="GB1099" s="319" t="s">
        <v>173</v>
      </c>
      <c r="GC1099" s="319" t="s">
        <v>173</v>
      </c>
      <c r="GD1099" s="319" t="s">
        <v>173</v>
      </c>
      <c r="GE1099" s="319" t="s">
        <v>173</v>
      </c>
      <c r="GF1099" s="319" t="s">
        <v>173</v>
      </c>
      <c r="GG1099" s="319" t="s">
        <v>173</v>
      </c>
      <c r="GH1099" s="319" t="s">
        <v>173</v>
      </c>
      <c r="GI1099" s="319" t="s">
        <v>173</v>
      </c>
      <c r="GJ1099" s="319" t="s">
        <v>173</v>
      </c>
      <c r="GK1099" s="319" t="s">
        <v>173</v>
      </c>
      <c r="GL1099" s="319" t="s">
        <v>173</v>
      </c>
      <c r="GM1099" s="319" t="s">
        <v>173</v>
      </c>
      <c r="GN1099" s="319" t="s">
        <v>173</v>
      </c>
      <c r="GO1099" s="319" t="s">
        <v>173</v>
      </c>
      <c r="GP1099" s="319" t="s">
        <v>173</v>
      </c>
      <c r="GQ1099" s="319" t="s">
        <v>173</v>
      </c>
      <c r="GR1099" s="319" t="s">
        <v>173</v>
      </c>
      <c r="GS1099" s="319" t="s">
        <v>173</v>
      </c>
      <c r="GT1099" s="319" t="s">
        <v>173</v>
      </c>
      <c r="GU1099" s="319" t="s">
        <v>173</v>
      </c>
      <c r="GV1099" s="319" t="s">
        <v>173</v>
      </c>
      <c r="GW1099" s="319" t="s">
        <v>173</v>
      </c>
      <c r="GX1099" s="319" t="s">
        <v>173</v>
      </c>
      <c r="GY1099" s="319" t="s">
        <v>173</v>
      </c>
      <c r="GZ1099" s="319" t="s">
        <v>173</v>
      </c>
      <c r="HA1099" s="319" t="s">
        <v>173</v>
      </c>
      <c r="HB1099" s="319" t="s">
        <v>173</v>
      </c>
      <c r="HC1099" s="319" t="s">
        <v>173</v>
      </c>
      <c r="HD1099" s="319" t="s">
        <v>173</v>
      </c>
      <c r="HE1099" s="319" t="s">
        <v>173</v>
      </c>
      <c r="HF1099" s="319" t="s">
        <v>173</v>
      </c>
      <c r="HG1099" s="319" t="s">
        <v>173</v>
      </c>
      <c r="HH1099" s="319" t="s">
        <v>173</v>
      </c>
      <c r="HI1099" s="319" t="s">
        <v>173</v>
      </c>
      <c r="HJ1099" s="319" t="s">
        <v>173</v>
      </c>
      <c r="HK1099" s="319" t="s">
        <v>173</v>
      </c>
      <c r="HL1099" s="319" t="s">
        <v>173</v>
      </c>
      <c r="HM1099" s="319" t="s">
        <v>173</v>
      </c>
      <c r="HN1099" s="319" t="s">
        <v>173</v>
      </c>
      <c r="HO1099" s="319" t="s">
        <v>173</v>
      </c>
      <c r="HP1099" s="319" t="s">
        <v>173</v>
      </c>
      <c r="HQ1099" s="319" t="s">
        <v>173</v>
      </c>
      <c r="HR1099" s="319" t="s">
        <v>173</v>
      </c>
      <c r="HS1099" s="319" t="s">
        <v>173</v>
      </c>
      <c r="HT1099" s="319" t="s">
        <v>173</v>
      </c>
      <c r="HU1099" s="319" t="s">
        <v>173</v>
      </c>
      <c r="HV1099" s="319" t="s">
        <v>173</v>
      </c>
      <c r="HW1099" s="319" t="s">
        <v>173</v>
      </c>
      <c r="HX1099" s="319" t="s">
        <v>173</v>
      </c>
      <c r="HY1099" s="319" t="s">
        <v>173</v>
      </c>
      <c r="HZ1099" s="319" t="s">
        <v>173</v>
      </c>
      <c r="IA1099" s="319" t="s">
        <v>173</v>
      </c>
      <c r="IB1099" s="319" t="s">
        <v>173</v>
      </c>
      <c r="IC1099" s="319" t="s">
        <v>173</v>
      </c>
      <c r="ID1099" s="319" t="s">
        <v>173</v>
      </c>
      <c r="IE1099" s="319" t="s">
        <v>173</v>
      </c>
      <c r="IF1099" s="319" t="s">
        <v>173</v>
      </c>
      <c r="IG1099" s="319" t="s">
        <v>173</v>
      </c>
      <c r="IH1099" s="319" t="s">
        <v>173</v>
      </c>
      <c r="II1099" s="319" t="s">
        <v>173</v>
      </c>
      <c r="IJ1099" s="319" t="s">
        <v>173</v>
      </c>
      <c r="IK1099" s="319" t="s">
        <v>173</v>
      </c>
      <c r="IL1099" s="319" t="s">
        <v>173</v>
      </c>
      <c r="IM1099" s="319" t="s">
        <v>173</v>
      </c>
      <c r="IN1099" s="319" t="s">
        <v>173</v>
      </c>
      <c r="IO1099" s="319" t="s">
        <v>173</v>
      </c>
      <c r="IP1099" s="319" t="s">
        <v>173</v>
      </c>
      <c r="IQ1099" s="319" t="s">
        <v>173</v>
      </c>
      <c r="IR1099" s="320" t="s">
        <v>173</v>
      </c>
      <c r="IS1099" s="320" t="s">
        <v>173</v>
      </c>
      <c r="IT1099" s="319" t="s">
        <v>173</v>
      </c>
    </row>
    <row r="1100" spans="1:254" s="271" customFormat="1" x14ac:dyDescent="0.25">
      <c r="A1100" s="318" t="str">
        <f>HYPERLINK("http://www.ofsted.gov.uk/inspection-reports/find-inspection-report/provider/ELS/147547 ","Ofsted School Webpage")</f>
        <v>Ofsted School Webpage</v>
      </c>
      <c r="B1100" s="319">
        <v>147547</v>
      </c>
      <c r="C1100" s="319">
        <v>2126005</v>
      </c>
      <c r="D1100" s="319" t="s">
        <v>2752</v>
      </c>
      <c r="E1100" s="319" t="s">
        <v>167</v>
      </c>
      <c r="F1100" s="319" t="s">
        <v>434</v>
      </c>
      <c r="G1100" s="319" t="s">
        <v>81</v>
      </c>
      <c r="H1100" s="319" t="s">
        <v>81</v>
      </c>
      <c r="I1100" s="319" t="s">
        <v>78</v>
      </c>
      <c r="J1100" s="319" t="s">
        <v>424</v>
      </c>
      <c r="K1100" s="319" t="s">
        <v>441</v>
      </c>
      <c r="L1100" s="319" t="s">
        <v>441</v>
      </c>
      <c r="M1100" s="319" t="s">
        <v>745</v>
      </c>
      <c r="N1100" s="319" t="s">
        <v>2803</v>
      </c>
      <c r="O1100" s="319" t="s">
        <v>2047</v>
      </c>
      <c r="P1100" s="319" t="s">
        <v>173</v>
      </c>
      <c r="Q1100" s="319" t="s">
        <v>2776</v>
      </c>
      <c r="R1100" s="320" t="s">
        <v>173</v>
      </c>
      <c r="S1100" s="321" t="s">
        <v>173</v>
      </c>
      <c r="T1100" s="321" t="s">
        <v>173</v>
      </c>
      <c r="U1100" s="321" t="s">
        <v>173</v>
      </c>
      <c r="V1100" s="319" t="s">
        <v>173</v>
      </c>
      <c r="W1100" s="319" t="s">
        <v>173</v>
      </c>
      <c r="X1100" s="319" t="s">
        <v>173</v>
      </c>
      <c r="Y1100" s="319" t="s">
        <v>173</v>
      </c>
      <c r="Z1100" s="319" t="s">
        <v>173</v>
      </c>
      <c r="AA1100" s="319" t="s">
        <v>173</v>
      </c>
      <c r="AB1100" s="319" t="s">
        <v>173</v>
      </c>
      <c r="AC1100" s="319" t="s">
        <v>173</v>
      </c>
      <c r="AD1100" s="319" t="s">
        <v>173</v>
      </c>
      <c r="AE1100" s="319" t="s">
        <v>173</v>
      </c>
      <c r="AF1100" s="319" t="s">
        <v>173</v>
      </c>
      <c r="AG1100" s="319" t="s">
        <v>173</v>
      </c>
      <c r="AH1100" s="319" t="s">
        <v>173</v>
      </c>
      <c r="AI1100" s="319" t="s">
        <v>173</v>
      </c>
      <c r="AJ1100" s="319" t="s">
        <v>173</v>
      </c>
      <c r="AK1100" s="319" t="s">
        <v>173</v>
      </c>
      <c r="AL1100" s="319" t="s">
        <v>173</v>
      </c>
      <c r="AM1100" s="319" t="s">
        <v>173</v>
      </c>
      <c r="AN1100" s="319" t="s">
        <v>173</v>
      </c>
      <c r="AO1100" s="319" t="s">
        <v>173</v>
      </c>
      <c r="AP1100" s="319" t="s">
        <v>173</v>
      </c>
      <c r="AQ1100" s="319" t="s">
        <v>173</v>
      </c>
      <c r="AR1100" s="319" t="s">
        <v>173</v>
      </c>
      <c r="AS1100" s="319" t="s">
        <v>173</v>
      </c>
      <c r="AT1100" s="319" t="s">
        <v>173</v>
      </c>
      <c r="AU1100" s="319" t="s">
        <v>173</v>
      </c>
      <c r="AV1100" s="319" t="s">
        <v>173</v>
      </c>
      <c r="AW1100" s="319" t="s">
        <v>173</v>
      </c>
      <c r="AX1100" s="319" t="s">
        <v>173</v>
      </c>
      <c r="AY1100" s="319" t="s">
        <v>173</v>
      </c>
      <c r="AZ1100" s="319" t="s">
        <v>173</v>
      </c>
      <c r="BA1100" s="319" t="s">
        <v>173</v>
      </c>
      <c r="BB1100" s="319" t="s">
        <v>173</v>
      </c>
      <c r="BC1100" s="319" t="s">
        <v>173</v>
      </c>
      <c r="BD1100" s="319" t="s">
        <v>173</v>
      </c>
      <c r="BE1100" s="319" t="s">
        <v>173</v>
      </c>
      <c r="BF1100" s="319" t="s">
        <v>173</v>
      </c>
      <c r="BG1100" s="319" t="s">
        <v>173</v>
      </c>
      <c r="BH1100" s="319" t="s">
        <v>173</v>
      </c>
      <c r="BI1100" s="319" t="s">
        <v>173</v>
      </c>
      <c r="BJ1100" s="319" t="s">
        <v>173</v>
      </c>
      <c r="BK1100" s="319" t="s">
        <v>173</v>
      </c>
      <c r="BL1100" s="319" t="s">
        <v>173</v>
      </c>
      <c r="BM1100" s="319" t="s">
        <v>173</v>
      </c>
      <c r="BN1100" s="319" t="s">
        <v>173</v>
      </c>
      <c r="BO1100" s="319" t="s">
        <v>173</v>
      </c>
      <c r="BP1100" s="319" t="s">
        <v>173</v>
      </c>
      <c r="BQ1100" s="319" t="s">
        <v>173</v>
      </c>
      <c r="BR1100" s="319" t="s">
        <v>173</v>
      </c>
      <c r="BS1100" s="319" t="s">
        <v>173</v>
      </c>
      <c r="BT1100" s="319" t="s">
        <v>173</v>
      </c>
      <c r="BU1100" s="319" t="s">
        <v>173</v>
      </c>
      <c r="BV1100" s="319" t="s">
        <v>173</v>
      </c>
      <c r="BW1100" s="319" t="s">
        <v>173</v>
      </c>
      <c r="BX1100" s="319" t="s">
        <v>173</v>
      </c>
      <c r="BY1100" s="319" t="s">
        <v>173</v>
      </c>
      <c r="BZ1100" s="319" t="s">
        <v>173</v>
      </c>
      <c r="CA1100" s="319" t="s">
        <v>173</v>
      </c>
      <c r="CB1100" s="319" t="s">
        <v>173</v>
      </c>
      <c r="CC1100" s="319" t="s">
        <v>173</v>
      </c>
      <c r="CD1100" s="319" t="s">
        <v>173</v>
      </c>
      <c r="CE1100" s="319" t="s">
        <v>173</v>
      </c>
      <c r="CF1100" s="319" t="s">
        <v>173</v>
      </c>
      <c r="CG1100" s="319" t="s">
        <v>173</v>
      </c>
      <c r="CH1100" s="319" t="s">
        <v>173</v>
      </c>
      <c r="CI1100" s="319" t="s">
        <v>173</v>
      </c>
      <c r="CJ1100" s="319" t="s">
        <v>173</v>
      </c>
      <c r="CK1100" s="319" t="s">
        <v>173</v>
      </c>
      <c r="CL1100" s="319" t="s">
        <v>173</v>
      </c>
      <c r="CM1100" s="319" t="s">
        <v>173</v>
      </c>
      <c r="CN1100" s="319" t="s">
        <v>173</v>
      </c>
      <c r="CO1100" s="319" t="s">
        <v>173</v>
      </c>
      <c r="CP1100" s="319" t="s">
        <v>173</v>
      </c>
      <c r="CQ1100" s="319" t="s">
        <v>173</v>
      </c>
      <c r="CR1100" s="319" t="s">
        <v>173</v>
      </c>
      <c r="CS1100" s="319" t="s">
        <v>173</v>
      </c>
      <c r="CT1100" s="319" t="s">
        <v>173</v>
      </c>
      <c r="CU1100" s="319" t="s">
        <v>173</v>
      </c>
      <c r="CV1100" s="319" t="s">
        <v>173</v>
      </c>
      <c r="CW1100" s="319" t="s">
        <v>173</v>
      </c>
      <c r="CX1100" s="319" t="s">
        <v>173</v>
      </c>
      <c r="CY1100" s="319" t="s">
        <v>173</v>
      </c>
      <c r="CZ1100" s="319" t="s">
        <v>173</v>
      </c>
      <c r="DA1100" s="319" t="s">
        <v>173</v>
      </c>
      <c r="DB1100" s="319" t="s">
        <v>173</v>
      </c>
      <c r="DC1100" s="319" t="s">
        <v>173</v>
      </c>
      <c r="DD1100" s="319" t="s">
        <v>173</v>
      </c>
      <c r="DE1100" s="319" t="s">
        <v>173</v>
      </c>
      <c r="DF1100" s="319" t="s">
        <v>173</v>
      </c>
      <c r="DG1100" s="319" t="s">
        <v>173</v>
      </c>
      <c r="DH1100" s="319" t="s">
        <v>173</v>
      </c>
      <c r="DI1100" s="319" t="s">
        <v>173</v>
      </c>
      <c r="DJ1100" s="319" t="s">
        <v>173</v>
      </c>
      <c r="DK1100" s="319" t="s">
        <v>173</v>
      </c>
      <c r="DL1100" s="319" t="s">
        <v>173</v>
      </c>
      <c r="DM1100" s="319" t="s">
        <v>173</v>
      </c>
      <c r="DN1100" s="319" t="s">
        <v>173</v>
      </c>
      <c r="DO1100" s="319" t="s">
        <v>173</v>
      </c>
      <c r="DP1100" s="319" t="s">
        <v>173</v>
      </c>
      <c r="DQ1100" s="319" t="s">
        <v>173</v>
      </c>
      <c r="DR1100" s="319" t="s">
        <v>173</v>
      </c>
      <c r="DS1100" s="319" t="s">
        <v>173</v>
      </c>
      <c r="DT1100" s="319" t="s">
        <v>173</v>
      </c>
      <c r="DU1100" s="319" t="s">
        <v>173</v>
      </c>
      <c r="DV1100" s="319" t="s">
        <v>173</v>
      </c>
      <c r="DW1100" s="319" t="s">
        <v>173</v>
      </c>
      <c r="DX1100" s="319" t="s">
        <v>173</v>
      </c>
      <c r="DY1100" s="319" t="s">
        <v>173</v>
      </c>
      <c r="DZ1100" s="319" t="s">
        <v>173</v>
      </c>
      <c r="EA1100" s="319" t="s">
        <v>173</v>
      </c>
      <c r="EB1100" s="319" t="s">
        <v>173</v>
      </c>
      <c r="EC1100" s="319" t="s">
        <v>173</v>
      </c>
      <c r="ED1100" s="319" t="s">
        <v>173</v>
      </c>
      <c r="EE1100" s="319" t="s">
        <v>173</v>
      </c>
      <c r="EF1100" s="319" t="s">
        <v>173</v>
      </c>
      <c r="EG1100" s="319" t="s">
        <v>173</v>
      </c>
      <c r="EH1100" s="319" t="s">
        <v>173</v>
      </c>
      <c r="EI1100" s="319" t="s">
        <v>173</v>
      </c>
      <c r="EJ1100" s="319" t="s">
        <v>173</v>
      </c>
      <c r="EK1100" s="319" t="s">
        <v>173</v>
      </c>
      <c r="EL1100" s="319" t="s">
        <v>173</v>
      </c>
      <c r="EM1100" s="319" t="s">
        <v>173</v>
      </c>
      <c r="EN1100" s="319" t="s">
        <v>173</v>
      </c>
      <c r="EO1100" s="319" t="s">
        <v>173</v>
      </c>
      <c r="EP1100" s="319" t="s">
        <v>173</v>
      </c>
      <c r="EQ1100" s="319" t="s">
        <v>173</v>
      </c>
      <c r="ER1100" s="319" t="s">
        <v>173</v>
      </c>
      <c r="ES1100" s="319" t="s">
        <v>173</v>
      </c>
      <c r="ET1100" s="319" t="s">
        <v>173</v>
      </c>
      <c r="EU1100" s="319" t="s">
        <v>173</v>
      </c>
      <c r="EV1100" s="319" t="s">
        <v>173</v>
      </c>
      <c r="EW1100" s="319" t="s">
        <v>173</v>
      </c>
      <c r="EX1100" s="319" t="s">
        <v>173</v>
      </c>
      <c r="EY1100" s="319" t="s">
        <v>173</v>
      </c>
      <c r="EZ1100" s="319" t="s">
        <v>173</v>
      </c>
      <c r="FA1100" s="319" t="s">
        <v>173</v>
      </c>
      <c r="FB1100" s="319" t="s">
        <v>173</v>
      </c>
      <c r="FC1100" s="319" t="s">
        <v>173</v>
      </c>
      <c r="FD1100" s="319" t="s">
        <v>173</v>
      </c>
      <c r="FE1100" s="319" t="s">
        <v>173</v>
      </c>
      <c r="FF1100" s="319" t="s">
        <v>173</v>
      </c>
      <c r="FG1100" s="319" t="s">
        <v>173</v>
      </c>
      <c r="FH1100" s="319" t="s">
        <v>173</v>
      </c>
      <c r="FI1100" s="319" t="s">
        <v>173</v>
      </c>
      <c r="FJ1100" s="319" t="s">
        <v>173</v>
      </c>
      <c r="FK1100" s="319" t="s">
        <v>173</v>
      </c>
      <c r="FL1100" s="319" t="s">
        <v>173</v>
      </c>
      <c r="FM1100" s="319" t="s">
        <v>173</v>
      </c>
      <c r="FN1100" s="319" t="s">
        <v>173</v>
      </c>
      <c r="FO1100" s="319" t="s">
        <v>173</v>
      </c>
      <c r="FP1100" s="319" t="s">
        <v>173</v>
      </c>
      <c r="FQ1100" s="319" t="s">
        <v>173</v>
      </c>
      <c r="FR1100" s="319" t="s">
        <v>173</v>
      </c>
      <c r="FS1100" s="319" t="s">
        <v>173</v>
      </c>
      <c r="FT1100" s="319" t="s">
        <v>173</v>
      </c>
      <c r="FU1100" s="319" t="s">
        <v>173</v>
      </c>
      <c r="FV1100" s="319" t="s">
        <v>173</v>
      </c>
      <c r="FW1100" s="319" t="s">
        <v>173</v>
      </c>
      <c r="FX1100" s="319" t="s">
        <v>173</v>
      </c>
      <c r="FY1100" s="319" t="s">
        <v>173</v>
      </c>
      <c r="FZ1100" s="319" t="s">
        <v>173</v>
      </c>
      <c r="GA1100" s="319" t="s">
        <v>173</v>
      </c>
      <c r="GB1100" s="319" t="s">
        <v>173</v>
      </c>
      <c r="GC1100" s="319" t="s">
        <v>173</v>
      </c>
      <c r="GD1100" s="319" t="s">
        <v>173</v>
      </c>
      <c r="GE1100" s="319" t="s">
        <v>173</v>
      </c>
      <c r="GF1100" s="319" t="s">
        <v>173</v>
      </c>
      <c r="GG1100" s="319" t="s">
        <v>173</v>
      </c>
      <c r="GH1100" s="319" t="s">
        <v>173</v>
      </c>
      <c r="GI1100" s="319" t="s">
        <v>173</v>
      </c>
      <c r="GJ1100" s="319" t="s">
        <v>173</v>
      </c>
      <c r="GK1100" s="319" t="s">
        <v>173</v>
      </c>
      <c r="GL1100" s="319" t="s">
        <v>173</v>
      </c>
      <c r="GM1100" s="319" t="s">
        <v>173</v>
      </c>
      <c r="GN1100" s="319" t="s">
        <v>173</v>
      </c>
      <c r="GO1100" s="319" t="s">
        <v>173</v>
      </c>
      <c r="GP1100" s="319" t="s">
        <v>173</v>
      </c>
      <c r="GQ1100" s="319" t="s">
        <v>173</v>
      </c>
      <c r="GR1100" s="319" t="s">
        <v>173</v>
      </c>
      <c r="GS1100" s="319" t="s">
        <v>173</v>
      </c>
      <c r="GT1100" s="319" t="s">
        <v>173</v>
      </c>
      <c r="GU1100" s="319" t="s">
        <v>173</v>
      </c>
      <c r="GV1100" s="319" t="s">
        <v>173</v>
      </c>
      <c r="GW1100" s="319" t="s">
        <v>173</v>
      </c>
      <c r="GX1100" s="319" t="s">
        <v>173</v>
      </c>
      <c r="GY1100" s="319" t="s">
        <v>173</v>
      </c>
      <c r="GZ1100" s="319" t="s">
        <v>173</v>
      </c>
      <c r="HA1100" s="319" t="s">
        <v>173</v>
      </c>
      <c r="HB1100" s="319" t="s">
        <v>173</v>
      </c>
      <c r="HC1100" s="319" t="s">
        <v>173</v>
      </c>
      <c r="HD1100" s="319" t="s">
        <v>173</v>
      </c>
      <c r="HE1100" s="319" t="s">
        <v>173</v>
      </c>
      <c r="HF1100" s="319" t="s">
        <v>173</v>
      </c>
      <c r="HG1100" s="319" t="s">
        <v>173</v>
      </c>
      <c r="HH1100" s="319" t="s">
        <v>173</v>
      </c>
      <c r="HI1100" s="319" t="s">
        <v>173</v>
      </c>
      <c r="HJ1100" s="319" t="s">
        <v>173</v>
      </c>
      <c r="HK1100" s="319" t="s">
        <v>173</v>
      </c>
      <c r="HL1100" s="319" t="s">
        <v>173</v>
      </c>
      <c r="HM1100" s="319" t="s">
        <v>173</v>
      </c>
      <c r="HN1100" s="319" t="s">
        <v>173</v>
      </c>
      <c r="HO1100" s="319" t="s">
        <v>173</v>
      </c>
      <c r="HP1100" s="319" t="s">
        <v>173</v>
      </c>
      <c r="HQ1100" s="319" t="s">
        <v>173</v>
      </c>
      <c r="HR1100" s="319" t="s">
        <v>173</v>
      </c>
      <c r="HS1100" s="319" t="s">
        <v>173</v>
      </c>
      <c r="HT1100" s="319" t="s">
        <v>173</v>
      </c>
      <c r="HU1100" s="319" t="s">
        <v>173</v>
      </c>
      <c r="HV1100" s="319" t="s">
        <v>173</v>
      </c>
      <c r="HW1100" s="319" t="s">
        <v>173</v>
      </c>
      <c r="HX1100" s="319" t="s">
        <v>173</v>
      </c>
      <c r="HY1100" s="319" t="s">
        <v>173</v>
      </c>
      <c r="HZ1100" s="319" t="s">
        <v>173</v>
      </c>
      <c r="IA1100" s="319" t="s">
        <v>173</v>
      </c>
      <c r="IB1100" s="319" t="s">
        <v>173</v>
      </c>
      <c r="IC1100" s="319" t="s">
        <v>173</v>
      </c>
      <c r="ID1100" s="319" t="s">
        <v>173</v>
      </c>
      <c r="IE1100" s="319" t="s">
        <v>173</v>
      </c>
      <c r="IF1100" s="319" t="s">
        <v>173</v>
      </c>
      <c r="IG1100" s="319" t="s">
        <v>173</v>
      </c>
      <c r="IH1100" s="319" t="s">
        <v>173</v>
      </c>
      <c r="II1100" s="319" t="s">
        <v>173</v>
      </c>
      <c r="IJ1100" s="319" t="s">
        <v>173</v>
      </c>
      <c r="IK1100" s="319" t="s">
        <v>173</v>
      </c>
      <c r="IL1100" s="319" t="s">
        <v>173</v>
      </c>
      <c r="IM1100" s="319" t="s">
        <v>173</v>
      </c>
      <c r="IN1100" s="319" t="s">
        <v>173</v>
      </c>
      <c r="IO1100" s="319" t="s">
        <v>173</v>
      </c>
      <c r="IP1100" s="319" t="s">
        <v>173</v>
      </c>
      <c r="IQ1100" s="319" t="s">
        <v>173</v>
      </c>
      <c r="IR1100" s="320" t="s">
        <v>173</v>
      </c>
      <c r="IS1100" s="320" t="s">
        <v>173</v>
      </c>
      <c r="IT1100" s="319" t="s">
        <v>173</v>
      </c>
    </row>
    <row r="1101" spans="1:254" s="271" customFormat="1" x14ac:dyDescent="0.25">
      <c r="A1101" s="318" t="str">
        <f>HYPERLINK("http://www.ofsted.gov.uk/inspection-reports/find-inspection-report/provider/ELS/147548 ","Ofsted School Webpage")</f>
        <v>Ofsted School Webpage</v>
      </c>
      <c r="B1101" s="319">
        <v>147548</v>
      </c>
      <c r="C1101" s="319">
        <v>8886121</v>
      </c>
      <c r="D1101" s="319" t="s">
        <v>2733</v>
      </c>
      <c r="E1101" s="319" t="s">
        <v>168</v>
      </c>
      <c r="F1101" s="319" t="s">
        <v>434</v>
      </c>
      <c r="G1101" s="319" t="s">
        <v>81</v>
      </c>
      <c r="H1101" s="319" t="s">
        <v>81</v>
      </c>
      <c r="I1101" s="319" t="s">
        <v>78</v>
      </c>
      <c r="J1101" s="319" t="s">
        <v>424</v>
      </c>
      <c r="K1101" s="319" t="s">
        <v>431</v>
      </c>
      <c r="L1101" s="319" t="s">
        <v>431</v>
      </c>
      <c r="M1101" s="319" t="s">
        <v>469</v>
      </c>
      <c r="N1101" s="319" t="s">
        <v>2994</v>
      </c>
      <c r="O1101" s="319" t="s">
        <v>2734</v>
      </c>
      <c r="P1101" s="319" t="s">
        <v>173</v>
      </c>
      <c r="Q1101" s="319" t="s">
        <v>429</v>
      </c>
      <c r="R1101" s="320" t="s">
        <v>173</v>
      </c>
      <c r="S1101" s="321" t="s">
        <v>173</v>
      </c>
      <c r="T1101" s="321" t="s">
        <v>173</v>
      </c>
      <c r="U1101" s="321" t="s">
        <v>173</v>
      </c>
      <c r="V1101" s="319" t="s">
        <v>173</v>
      </c>
      <c r="W1101" s="319" t="s">
        <v>173</v>
      </c>
      <c r="X1101" s="319" t="s">
        <v>173</v>
      </c>
      <c r="Y1101" s="319" t="s">
        <v>173</v>
      </c>
      <c r="Z1101" s="319" t="s">
        <v>173</v>
      </c>
      <c r="AA1101" s="319" t="s">
        <v>173</v>
      </c>
      <c r="AB1101" s="319" t="s">
        <v>173</v>
      </c>
      <c r="AC1101" s="319" t="s">
        <v>173</v>
      </c>
      <c r="AD1101" s="319" t="s">
        <v>173</v>
      </c>
      <c r="AE1101" s="319" t="s">
        <v>173</v>
      </c>
      <c r="AF1101" s="319" t="s">
        <v>173</v>
      </c>
      <c r="AG1101" s="319" t="s">
        <v>173</v>
      </c>
      <c r="AH1101" s="319" t="s">
        <v>173</v>
      </c>
      <c r="AI1101" s="319" t="s">
        <v>173</v>
      </c>
      <c r="AJ1101" s="319" t="s">
        <v>173</v>
      </c>
      <c r="AK1101" s="319" t="s">
        <v>173</v>
      </c>
      <c r="AL1101" s="319" t="s">
        <v>173</v>
      </c>
      <c r="AM1101" s="319" t="s">
        <v>173</v>
      </c>
      <c r="AN1101" s="319" t="s">
        <v>173</v>
      </c>
      <c r="AO1101" s="319" t="s">
        <v>173</v>
      </c>
      <c r="AP1101" s="319" t="s">
        <v>173</v>
      </c>
      <c r="AQ1101" s="319" t="s">
        <v>173</v>
      </c>
      <c r="AR1101" s="319" t="s">
        <v>173</v>
      </c>
      <c r="AS1101" s="319" t="s">
        <v>173</v>
      </c>
      <c r="AT1101" s="319" t="s">
        <v>173</v>
      </c>
      <c r="AU1101" s="319" t="s">
        <v>173</v>
      </c>
      <c r="AV1101" s="319" t="s">
        <v>173</v>
      </c>
      <c r="AW1101" s="319" t="s">
        <v>173</v>
      </c>
      <c r="AX1101" s="319" t="s">
        <v>173</v>
      </c>
      <c r="AY1101" s="319" t="s">
        <v>173</v>
      </c>
      <c r="AZ1101" s="319" t="s">
        <v>173</v>
      </c>
      <c r="BA1101" s="319" t="s">
        <v>173</v>
      </c>
      <c r="BB1101" s="319" t="s">
        <v>173</v>
      </c>
      <c r="BC1101" s="319" t="s">
        <v>173</v>
      </c>
      <c r="BD1101" s="319" t="s">
        <v>173</v>
      </c>
      <c r="BE1101" s="319" t="s">
        <v>173</v>
      </c>
      <c r="BF1101" s="319" t="s">
        <v>173</v>
      </c>
      <c r="BG1101" s="319" t="s">
        <v>173</v>
      </c>
      <c r="BH1101" s="319" t="s">
        <v>173</v>
      </c>
      <c r="BI1101" s="319" t="s">
        <v>173</v>
      </c>
      <c r="BJ1101" s="319" t="s">
        <v>173</v>
      </c>
      <c r="BK1101" s="319" t="s">
        <v>173</v>
      </c>
      <c r="BL1101" s="319" t="s">
        <v>173</v>
      </c>
      <c r="BM1101" s="319" t="s">
        <v>173</v>
      </c>
      <c r="BN1101" s="319" t="s">
        <v>173</v>
      </c>
      <c r="BO1101" s="319" t="s">
        <v>173</v>
      </c>
      <c r="BP1101" s="319" t="s">
        <v>173</v>
      </c>
      <c r="BQ1101" s="319" t="s">
        <v>173</v>
      </c>
      <c r="BR1101" s="319" t="s">
        <v>173</v>
      </c>
      <c r="BS1101" s="319" t="s">
        <v>173</v>
      </c>
      <c r="BT1101" s="319" t="s">
        <v>173</v>
      </c>
      <c r="BU1101" s="319" t="s">
        <v>173</v>
      </c>
      <c r="BV1101" s="319" t="s">
        <v>173</v>
      </c>
      <c r="BW1101" s="319" t="s">
        <v>173</v>
      </c>
      <c r="BX1101" s="319" t="s">
        <v>173</v>
      </c>
      <c r="BY1101" s="319" t="s">
        <v>173</v>
      </c>
      <c r="BZ1101" s="319" t="s">
        <v>173</v>
      </c>
      <c r="CA1101" s="319" t="s">
        <v>173</v>
      </c>
      <c r="CB1101" s="319" t="s">
        <v>173</v>
      </c>
      <c r="CC1101" s="319" t="s">
        <v>173</v>
      </c>
      <c r="CD1101" s="319" t="s">
        <v>173</v>
      </c>
      <c r="CE1101" s="319" t="s">
        <v>173</v>
      </c>
      <c r="CF1101" s="319" t="s">
        <v>173</v>
      </c>
      <c r="CG1101" s="319" t="s">
        <v>173</v>
      </c>
      <c r="CH1101" s="319" t="s">
        <v>173</v>
      </c>
      <c r="CI1101" s="319" t="s">
        <v>173</v>
      </c>
      <c r="CJ1101" s="319" t="s">
        <v>173</v>
      </c>
      <c r="CK1101" s="319" t="s">
        <v>173</v>
      </c>
      <c r="CL1101" s="319" t="s">
        <v>173</v>
      </c>
      <c r="CM1101" s="319" t="s">
        <v>173</v>
      </c>
      <c r="CN1101" s="319" t="s">
        <v>173</v>
      </c>
      <c r="CO1101" s="319" t="s">
        <v>173</v>
      </c>
      <c r="CP1101" s="319" t="s">
        <v>173</v>
      </c>
      <c r="CQ1101" s="319" t="s">
        <v>173</v>
      </c>
      <c r="CR1101" s="319" t="s">
        <v>173</v>
      </c>
      <c r="CS1101" s="319" t="s">
        <v>173</v>
      </c>
      <c r="CT1101" s="319" t="s">
        <v>173</v>
      </c>
      <c r="CU1101" s="319" t="s">
        <v>173</v>
      </c>
      <c r="CV1101" s="319" t="s">
        <v>173</v>
      </c>
      <c r="CW1101" s="319" t="s">
        <v>173</v>
      </c>
      <c r="CX1101" s="319" t="s">
        <v>173</v>
      </c>
      <c r="CY1101" s="319" t="s">
        <v>173</v>
      </c>
      <c r="CZ1101" s="319" t="s">
        <v>173</v>
      </c>
      <c r="DA1101" s="319" t="s">
        <v>173</v>
      </c>
      <c r="DB1101" s="319" t="s">
        <v>173</v>
      </c>
      <c r="DC1101" s="319" t="s">
        <v>173</v>
      </c>
      <c r="DD1101" s="319" t="s">
        <v>173</v>
      </c>
      <c r="DE1101" s="319" t="s">
        <v>173</v>
      </c>
      <c r="DF1101" s="319" t="s">
        <v>173</v>
      </c>
      <c r="DG1101" s="319" t="s">
        <v>173</v>
      </c>
      <c r="DH1101" s="319" t="s">
        <v>173</v>
      </c>
      <c r="DI1101" s="319" t="s">
        <v>173</v>
      </c>
      <c r="DJ1101" s="319" t="s">
        <v>173</v>
      </c>
      <c r="DK1101" s="319" t="s">
        <v>173</v>
      </c>
      <c r="DL1101" s="319" t="s">
        <v>173</v>
      </c>
      <c r="DM1101" s="319" t="s">
        <v>173</v>
      </c>
      <c r="DN1101" s="319" t="s">
        <v>173</v>
      </c>
      <c r="DO1101" s="319" t="s">
        <v>173</v>
      </c>
      <c r="DP1101" s="319" t="s">
        <v>173</v>
      </c>
      <c r="DQ1101" s="319" t="s">
        <v>173</v>
      </c>
      <c r="DR1101" s="319" t="s">
        <v>173</v>
      </c>
      <c r="DS1101" s="319" t="s">
        <v>173</v>
      </c>
      <c r="DT1101" s="319" t="s">
        <v>173</v>
      </c>
      <c r="DU1101" s="319" t="s">
        <v>173</v>
      </c>
      <c r="DV1101" s="319" t="s">
        <v>173</v>
      </c>
      <c r="DW1101" s="319" t="s">
        <v>173</v>
      </c>
      <c r="DX1101" s="319" t="s">
        <v>173</v>
      </c>
      <c r="DY1101" s="319" t="s">
        <v>173</v>
      </c>
      <c r="DZ1101" s="319" t="s">
        <v>173</v>
      </c>
      <c r="EA1101" s="319" t="s">
        <v>173</v>
      </c>
      <c r="EB1101" s="319" t="s">
        <v>173</v>
      </c>
      <c r="EC1101" s="319" t="s">
        <v>173</v>
      </c>
      <c r="ED1101" s="319" t="s">
        <v>173</v>
      </c>
      <c r="EE1101" s="319" t="s">
        <v>173</v>
      </c>
      <c r="EF1101" s="319" t="s">
        <v>173</v>
      </c>
      <c r="EG1101" s="319" t="s">
        <v>173</v>
      </c>
      <c r="EH1101" s="319" t="s">
        <v>173</v>
      </c>
      <c r="EI1101" s="319" t="s">
        <v>173</v>
      </c>
      <c r="EJ1101" s="319" t="s">
        <v>173</v>
      </c>
      <c r="EK1101" s="319" t="s">
        <v>173</v>
      </c>
      <c r="EL1101" s="319" t="s">
        <v>173</v>
      </c>
      <c r="EM1101" s="319" t="s">
        <v>173</v>
      </c>
      <c r="EN1101" s="319" t="s">
        <v>173</v>
      </c>
      <c r="EO1101" s="319" t="s">
        <v>173</v>
      </c>
      <c r="EP1101" s="319" t="s">
        <v>173</v>
      </c>
      <c r="EQ1101" s="319" t="s">
        <v>173</v>
      </c>
      <c r="ER1101" s="319" t="s">
        <v>173</v>
      </c>
      <c r="ES1101" s="319" t="s">
        <v>173</v>
      </c>
      <c r="ET1101" s="319" t="s">
        <v>173</v>
      </c>
      <c r="EU1101" s="319" t="s">
        <v>173</v>
      </c>
      <c r="EV1101" s="319" t="s">
        <v>173</v>
      </c>
      <c r="EW1101" s="319" t="s">
        <v>173</v>
      </c>
      <c r="EX1101" s="319" t="s">
        <v>173</v>
      </c>
      <c r="EY1101" s="319" t="s">
        <v>173</v>
      </c>
      <c r="EZ1101" s="319" t="s">
        <v>173</v>
      </c>
      <c r="FA1101" s="319" t="s">
        <v>173</v>
      </c>
      <c r="FB1101" s="319" t="s">
        <v>173</v>
      </c>
      <c r="FC1101" s="319" t="s">
        <v>173</v>
      </c>
      <c r="FD1101" s="319" t="s">
        <v>173</v>
      </c>
      <c r="FE1101" s="319" t="s">
        <v>173</v>
      </c>
      <c r="FF1101" s="319" t="s">
        <v>173</v>
      </c>
      <c r="FG1101" s="319" t="s">
        <v>173</v>
      </c>
      <c r="FH1101" s="319" t="s">
        <v>173</v>
      </c>
      <c r="FI1101" s="319" t="s">
        <v>173</v>
      </c>
      <c r="FJ1101" s="319" t="s">
        <v>173</v>
      </c>
      <c r="FK1101" s="319" t="s">
        <v>173</v>
      </c>
      <c r="FL1101" s="319" t="s">
        <v>173</v>
      </c>
      <c r="FM1101" s="319" t="s">
        <v>173</v>
      </c>
      <c r="FN1101" s="319" t="s">
        <v>173</v>
      </c>
      <c r="FO1101" s="319" t="s">
        <v>173</v>
      </c>
      <c r="FP1101" s="319" t="s">
        <v>173</v>
      </c>
      <c r="FQ1101" s="319" t="s">
        <v>173</v>
      </c>
      <c r="FR1101" s="319" t="s">
        <v>173</v>
      </c>
      <c r="FS1101" s="319" t="s">
        <v>173</v>
      </c>
      <c r="FT1101" s="319" t="s">
        <v>173</v>
      </c>
      <c r="FU1101" s="319" t="s">
        <v>173</v>
      </c>
      <c r="FV1101" s="319" t="s">
        <v>173</v>
      </c>
      <c r="FW1101" s="319" t="s">
        <v>173</v>
      </c>
      <c r="FX1101" s="319" t="s">
        <v>173</v>
      </c>
      <c r="FY1101" s="319" t="s">
        <v>173</v>
      </c>
      <c r="FZ1101" s="319" t="s">
        <v>173</v>
      </c>
      <c r="GA1101" s="319" t="s">
        <v>173</v>
      </c>
      <c r="GB1101" s="319" t="s">
        <v>173</v>
      </c>
      <c r="GC1101" s="319" t="s">
        <v>173</v>
      </c>
      <c r="GD1101" s="319" t="s">
        <v>173</v>
      </c>
      <c r="GE1101" s="319" t="s">
        <v>173</v>
      </c>
      <c r="GF1101" s="319" t="s">
        <v>173</v>
      </c>
      <c r="GG1101" s="319" t="s">
        <v>173</v>
      </c>
      <c r="GH1101" s="319" t="s">
        <v>173</v>
      </c>
      <c r="GI1101" s="319" t="s">
        <v>173</v>
      </c>
      <c r="GJ1101" s="319" t="s">
        <v>173</v>
      </c>
      <c r="GK1101" s="319" t="s">
        <v>173</v>
      </c>
      <c r="GL1101" s="319" t="s">
        <v>173</v>
      </c>
      <c r="GM1101" s="319" t="s">
        <v>173</v>
      </c>
      <c r="GN1101" s="319" t="s">
        <v>173</v>
      </c>
      <c r="GO1101" s="319" t="s">
        <v>173</v>
      </c>
      <c r="GP1101" s="319" t="s">
        <v>173</v>
      </c>
      <c r="GQ1101" s="319" t="s">
        <v>173</v>
      </c>
      <c r="GR1101" s="319" t="s">
        <v>173</v>
      </c>
      <c r="GS1101" s="319" t="s">
        <v>173</v>
      </c>
      <c r="GT1101" s="319" t="s">
        <v>173</v>
      </c>
      <c r="GU1101" s="319" t="s">
        <v>173</v>
      </c>
      <c r="GV1101" s="319" t="s">
        <v>173</v>
      </c>
      <c r="GW1101" s="319" t="s">
        <v>173</v>
      </c>
      <c r="GX1101" s="319" t="s">
        <v>173</v>
      </c>
      <c r="GY1101" s="319" t="s">
        <v>173</v>
      </c>
      <c r="GZ1101" s="319" t="s">
        <v>173</v>
      </c>
      <c r="HA1101" s="319" t="s">
        <v>173</v>
      </c>
      <c r="HB1101" s="319" t="s">
        <v>173</v>
      </c>
      <c r="HC1101" s="319" t="s">
        <v>173</v>
      </c>
      <c r="HD1101" s="319" t="s">
        <v>173</v>
      </c>
      <c r="HE1101" s="319" t="s">
        <v>173</v>
      </c>
      <c r="HF1101" s="319" t="s">
        <v>173</v>
      </c>
      <c r="HG1101" s="319" t="s">
        <v>173</v>
      </c>
      <c r="HH1101" s="319" t="s">
        <v>173</v>
      </c>
      <c r="HI1101" s="319" t="s">
        <v>173</v>
      </c>
      <c r="HJ1101" s="319" t="s">
        <v>173</v>
      </c>
      <c r="HK1101" s="319" t="s">
        <v>173</v>
      </c>
      <c r="HL1101" s="319" t="s">
        <v>173</v>
      </c>
      <c r="HM1101" s="319" t="s">
        <v>173</v>
      </c>
      <c r="HN1101" s="319" t="s">
        <v>173</v>
      </c>
      <c r="HO1101" s="319" t="s">
        <v>173</v>
      </c>
      <c r="HP1101" s="319" t="s">
        <v>173</v>
      </c>
      <c r="HQ1101" s="319" t="s">
        <v>173</v>
      </c>
      <c r="HR1101" s="319" t="s">
        <v>173</v>
      </c>
      <c r="HS1101" s="319" t="s">
        <v>173</v>
      </c>
      <c r="HT1101" s="319" t="s">
        <v>173</v>
      </c>
      <c r="HU1101" s="319" t="s">
        <v>173</v>
      </c>
      <c r="HV1101" s="319" t="s">
        <v>173</v>
      </c>
      <c r="HW1101" s="319" t="s">
        <v>173</v>
      </c>
      <c r="HX1101" s="319" t="s">
        <v>173</v>
      </c>
      <c r="HY1101" s="319" t="s">
        <v>173</v>
      </c>
      <c r="HZ1101" s="319" t="s">
        <v>173</v>
      </c>
      <c r="IA1101" s="319" t="s">
        <v>173</v>
      </c>
      <c r="IB1101" s="319" t="s">
        <v>173</v>
      </c>
      <c r="IC1101" s="319" t="s">
        <v>173</v>
      </c>
      <c r="ID1101" s="319" t="s">
        <v>173</v>
      </c>
      <c r="IE1101" s="319" t="s">
        <v>173</v>
      </c>
      <c r="IF1101" s="319" t="s">
        <v>173</v>
      </c>
      <c r="IG1101" s="319" t="s">
        <v>173</v>
      </c>
      <c r="IH1101" s="319" t="s">
        <v>173</v>
      </c>
      <c r="II1101" s="319" t="s">
        <v>173</v>
      </c>
      <c r="IJ1101" s="319" t="s">
        <v>173</v>
      </c>
      <c r="IK1101" s="319" t="s">
        <v>173</v>
      </c>
      <c r="IL1101" s="319" t="s">
        <v>173</v>
      </c>
      <c r="IM1101" s="319" t="s">
        <v>173</v>
      </c>
      <c r="IN1101" s="319" t="s">
        <v>173</v>
      </c>
      <c r="IO1101" s="319" t="s">
        <v>173</v>
      </c>
      <c r="IP1101" s="319" t="s">
        <v>173</v>
      </c>
      <c r="IQ1101" s="319" t="s">
        <v>173</v>
      </c>
      <c r="IR1101" s="320" t="s">
        <v>173</v>
      </c>
      <c r="IS1101" s="320" t="s">
        <v>173</v>
      </c>
      <c r="IT1101" s="319" t="s">
        <v>173</v>
      </c>
    </row>
    <row r="1102" spans="1:254" s="271" customFormat="1" x14ac:dyDescent="0.25">
      <c r="A1102" s="318" t="str">
        <f>HYPERLINK("http://www.ofsted.gov.uk/inspection-reports/find-inspection-report/provider/ELS/147600 ","Ofsted School Webpage")</f>
        <v>Ofsted School Webpage</v>
      </c>
      <c r="B1102" s="319">
        <v>147600</v>
      </c>
      <c r="C1102" s="319">
        <v>9366035</v>
      </c>
      <c r="D1102" s="319" t="s">
        <v>2761</v>
      </c>
      <c r="E1102" s="319" t="s">
        <v>168</v>
      </c>
      <c r="F1102" s="319" t="s">
        <v>434</v>
      </c>
      <c r="G1102" s="319" t="s">
        <v>81</v>
      </c>
      <c r="H1102" s="319" t="s">
        <v>81</v>
      </c>
      <c r="I1102" s="319" t="s">
        <v>78</v>
      </c>
      <c r="J1102" s="319" t="s">
        <v>424</v>
      </c>
      <c r="K1102" s="319" t="s">
        <v>514</v>
      </c>
      <c r="L1102" s="319" t="s">
        <v>514</v>
      </c>
      <c r="M1102" s="319" t="s">
        <v>699</v>
      </c>
      <c r="N1102" s="319" t="s">
        <v>3182</v>
      </c>
      <c r="O1102" s="319" t="s">
        <v>2762</v>
      </c>
      <c r="P1102" s="319" t="s">
        <v>173</v>
      </c>
      <c r="Q1102" s="319" t="s">
        <v>429</v>
      </c>
      <c r="R1102" s="320" t="s">
        <v>173</v>
      </c>
      <c r="S1102" s="321" t="s">
        <v>173</v>
      </c>
      <c r="T1102" s="321" t="s">
        <v>173</v>
      </c>
      <c r="U1102" s="321" t="s">
        <v>173</v>
      </c>
      <c r="V1102" s="319" t="s">
        <v>173</v>
      </c>
      <c r="W1102" s="319" t="s">
        <v>173</v>
      </c>
      <c r="X1102" s="319" t="s">
        <v>173</v>
      </c>
      <c r="Y1102" s="319" t="s">
        <v>173</v>
      </c>
      <c r="Z1102" s="319" t="s">
        <v>173</v>
      </c>
      <c r="AA1102" s="319" t="s">
        <v>173</v>
      </c>
      <c r="AB1102" s="319" t="s">
        <v>173</v>
      </c>
      <c r="AC1102" s="319" t="s">
        <v>173</v>
      </c>
      <c r="AD1102" s="319" t="s">
        <v>173</v>
      </c>
      <c r="AE1102" s="319" t="s">
        <v>173</v>
      </c>
      <c r="AF1102" s="319" t="s">
        <v>173</v>
      </c>
      <c r="AG1102" s="319" t="s">
        <v>173</v>
      </c>
      <c r="AH1102" s="319" t="s">
        <v>173</v>
      </c>
      <c r="AI1102" s="319" t="s">
        <v>173</v>
      </c>
      <c r="AJ1102" s="319" t="s">
        <v>173</v>
      </c>
      <c r="AK1102" s="319" t="s">
        <v>173</v>
      </c>
      <c r="AL1102" s="319" t="s">
        <v>173</v>
      </c>
      <c r="AM1102" s="319" t="s">
        <v>173</v>
      </c>
      <c r="AN1102" s="319" t="s">
        <v>173</v>
      </c>
      <c r="AO1102" s="319" t="s">
        <v>173</v>
      </c>
      <c r="AP1102" s="319" t="s">
        <v>173</v>
      </c>
      <c r="AQ1102" s="319" t="s">
        <v>173</v>
      </c>
      <c r="AR1102" s="319" t="s">
        <v>173</v>
      </c>
      <c r="AS1102" s="319" t="s">
        <v>173</v>
      </c>
      <c r="AT1102" s="319" t="s">
        <v>173</v>
      </c>
      <c r="AU1102" s="319" t="s">
        <v>173</v>
      </c>
      <c r="AV1102" s="319" t="s">
        <v>173</v>
      </c>
      <c r="AW1102" s="319" t="s">
        <v>173</v>
      </c>
      <c r="AX1102" s="319" t="s">
        <v>173</v>
      </c>
      <c r="AY1102" s="319" t="s">
        <v>173</v>
      </c>
      <c r="AZ1102" s="319" t="s">
        <v>173</v>
      </c>
      <c r="BA1102" s="319" t="s">
        <v>173</v>
      </c>
      <c r="BB1102" s="319" t="s">
        <v>173</v>
      </c>
      <c r="BC1102" s="319" t="s">
        <v>173</v>
      </c>
      <c r="BD1102" s="319" t="s">
        <v>173</v>
      </c>
      <c r="BE1102" s="319" t="s">
        <v>173</v>
      </c>
      <c r="BF1102" s="319" t="s">
        <v>173</v>
      </c>
      <c r="BG1102" s="319" t="s">
        <v>173</v>
      </c>
      <c r="BH1102" s="319" t="s">
        <v>173</v>
      </c>
      <c r="BI1102" s="319" t="s">
        <v>173</v>
      </c>
      <c r="BJ1102" s="319" t="s">
        <v>173</v>
      </c>
      <c r="BK1102" s="319" t="s">
        <v>173</v>
      </c>
      <c r="BL1102" s="319" t="s">
        <v>173</v>
      </c>
      <c r="BM1102" s="319" t="s">
        <v>173</v>
      </c>
      <c r="BN1102" s="319" t="s">
        <v>173</v>
      </c>
      <c r="BO1102" s="319" t="s">
        <v>173</v>
      </c>
      <c r="BP1102" s="319" t="s">
        <v>173</v>
      </c>
      <c r="BQ1102" s="319" t="s">
        <v>173</v>
      </c>
      <c r="BR1102" s="319" t="s">
        <v>173</v>
      </c>
      <c r="BS1102" s="319" t="s">
        <v>173</v>
      </c>
      <c r="BT1102" s="319" t="s">
        <v>173</v>
      </c>
      <c r="BU1102" s="319" t="s">
        <v>173</v>
      </c>
      <c r="BV1102" s="319" t="s">
        <v>173</v>
      </c>
      <c r="BW1102" s="319" t="s">
        <v>173</v>
      </c>
      <c r="BX1102" s="319" t="s">
        <v>173</v>
      </c>
      <c r="BY1102" s="319" t="s">
        <v>173</v>
      </c>
      <c r="BZ1102" s="319" t="s">
        <v>173</v>
      </c>
      <c r="CA1102" s="319" t="s">
        <v>173</v>
      </c>
      <c r="CB1102" s="319" t="s">
        <v>173</v>
      </c>
      <c r="CC1102" s="319" t="s">
        <v>173</v>
      </c>
      <c r="CD1102" s="319" t="s">
        <v>173</v>
      </c>
      <c r="CE1102" s="319" t="s">
        <v>173</v>
      </c>
      <c r="CF1102" s="319" t="s">
        <v>173</v>
      </c>
      <c r="CG1102" s="319" t="s">
        <v>173</v>
      </c>
      <c r="CH1102" s="319" t="s">
        <v>173</v>
      </c>
      <c r="CI1102" s="319" t="s">
        <v>173</v>
      </c>
      <c r="CJ1102" s="319" t="s">
        <v>173</v>
      </c>
      <c r="CK1102" s="319" t="s">
        <v>173</v>
      </c>
      <c r="CL1102" s="319" t="s">
        <v>173</v>
      </c>
      <c r="CM1102" s="319" t="s">
        <v>173</v>
      </c>
      <c r="CN1102" s="319" t="s">
        <v>173</v>
      </c>
      <c r="CO1102" s="319" t="s">
        <v>173</v>
      </c>
      <c r="CP1102" s="319" t="s">
        <v>173</v>
      </c>
      <c r="CQ1102" s="319" t="s">
        <v>173</v>
      </c>
      <c r="CR1102" s="319" t="s">
        <v>173</v>
      </c>
      <c r="CS1102" s="319" t="s">
        <v>173</v>
      </c>
      <c r="CT1102" s="319" t="s">
        <v>173</v>
      </c>
      <c r="CU1102" s="319" t="s">
        <v>173</v>
      </c>
      <c r="CV1102" s="319" t="s">
        <v>173</v>
      </c>
      <c r="CW1102" s="319" t="s">
        <v>173</v>
      </c>
      <c r="CX1102" s="319" t="s">
        <v>173</v>
      </c>
      <c r="CY1102" s="319" t="s">
        <v>173</v>
      </c>
      <c r="CZ1102" s="319" t="s">
        <v>173</v>
      </c>
      <c r="DA1102" s="319" t="s">
        <v>173</v>
      </c>
      <c r="DB1102" s="319" t="s">
        <v>173</v>
      </c>
      <c r="DC1102" s="319" t="s">
        <v>173</v>
      </c>
      <c r="DD1102" s="319" t="s">
        <v>173</v>
      </c>
      <c r="DE1102" s="319" t="s">
        <v>173</v>
      </c>
      <c r="DF1102" s="319" t="s">
        <v>173</v>
      </c>
      <c r="DG1102" s="319" t="s">
        <v>173</v>
      </c>
      <c r="DH1102" s="319" t="s">
        <v>173</v>
      </c>
      <c r="DI1102" s="319" t="s">
        <v>173</v>
      </c>
      <c r="DJ1102" s="319" t="s">
        <v>173</v>
      </c>
      <c r="DK1102" s="319" t="s">
        <v>173</v>
      </c>
      <c r="DL1102" s="319" t="s">
        <v>173</v>
      </c>
      <c r="DM1102" s="319" t="s">
        <v>173</v>
      </c>
      <c r="DN1102" s="319" t="s">
        <v>173</v>
      </c>
      <c r="DO1102" s="319" t="s">
        <v>173</v>
      </c>
      <c r="DP1102" s="319" t="s">
        <v>173</v>
      </c>
      <c r="DQ1102" s="319" t="s">
        <v>173</v>
      </c>
      <c r="DR1102" s="319" t="s">
        <v>173</v>
      </c>
      <c r="DS1102" s="319" t="s">
        <v>173</v>
      </c>
      <c r="DT1102" s="319" t="s">
        <v>173</v>
      </c>
      <c r="DU1102" s="319" t="s">
        <v>173</v>
      </c>
      <c r="DV1102" s="319" t="s">
        <v>173</v>
      </c>
      <c r="DW1102" s="319" t="s">
        <v>173</v>
      </c>
      <c r="DX1102" s="319" t="s">
        <v>173</v>
      </c>
      <c r="DY1102" s="319" t="s">
        <v>173</v>
      </c>
      <c r="DZ1102" s="319" t="s">
        <v>173</v>
      </c>
      <c r="EA1102" s="319" t="s">
        <v>173</v>
      </c>
      <c r="EB1102" s="319" t="s">
        <v>173</v>
      </c>
      <c r="EC1102" s="319" t="s">
        <v>173</v>
      </c>
      <c r="ED1102" s="319" t="s">
        <v>173</v>
      </c>
      <c r="EE1102" s="319" t="s">
        <v>173</v>
      </c>
      <c r="EF1102" s="319" t="s">
        <v>173</v>
      </c>
      <c r="EG1102" s="319" t="s">
        <v>173</v>
      </c>
      <c r="EH1102" s="319" t="s">
        <v>173</v>
      </c>
      <c r="EI1102" s="319" t="s">
        <v>173</v>
      </c>
      <c r="EJ1102" s="319" t="s">
        <v>173</v>
      </c>
      <c r="EK1102" s="319" t="s">
        <v>173</v>
      </c>
      <c r="EL1102" s="319" t="s">
        <v>173</v>
      </c>
      <c r="EM1102" s="319" t="s">
        <v>173</v>
      </c>
      <c r="EN1102" s="319" t="s">
        <v>173</v>
      </c>
      <c r="EO1102" s="319" t="s">
        <v>173</v>
      </c>
      <c r="EP1102" s="319" t="s">
        <v>173</v>
      </c>
      <c r="EQ1102" s="319" t="s">
        <v>173</v>
      </c>
      <c r="ER1102" s="319" t="s">
        <v>173</v>
      </c>
      <c r="ES1102" s="319" t="s">
        <v>173</v>
      </c>
      <c r="ET1102" s="319" t="s">
        <v>173</v>
      </c>
      <c r="EU1102" s="319" t="s">
        <v>173</v>
      </c>
      <c r="EV1102" s="319" t="s">
        <v>173</v>
      </c>
      <c r="EW1102" s="319" t="s">
        <v>173</v>
      </c>
      <c r="EX1102" s="319" t="s">
        <v>173</v>
      </c>
      <c r="EY1102" s="319" t="s">
        <v>173</v>
      </c>
      <c r="EZ1102" s="319" t="s">
        <v>173</v>
      </c>
      <c r="FA1102" s="319" t="s">
        <v>173</v>
      </c>
      <c r="FB1102" s="319" t="s">
        <v>173</v>
      </c>
      <c r="FC1102" s="319" t="s">
        <v>173</v>
      </c>
      <c r="FD1102" s="319" t="s">
        <v>173</v>
      </c>
      <c r="FE1102" s="319" t="s">
        <v>173</v>
      </c>
      <c r="FF1102" s="319" t="s">
        <v>173</v>
      </c>
      <c r="FG1102" s="319" t="s">
        <v>173</v>
      </c>
      <c r="FH1102" s="319" t="s">
        <v>173</v>
      </c>
      <c r="FI1102" s="319" t="s">
        <v>173</v>
      </c>
      <c r="FJ1102" s="319" t="s">
        <v>173</v>
      </c>
      <c r="FK1102" s="319" t="s">
        <v>173</v>
      </c>
      <c r="FL1102" s="319" t="s">
        <v>173</v>
      </c>
      <c r="FM1102" s="319" t="s">
        <v>173</v>
      </c>
      <c r="FN1102" s="319" t="s">
        <v>173</v>
      </c>
      <c r="FO1102" s="319" t="s">
        <v>173</v>
      </c>
      <c r="FP1102" s="319" t="s">
        <v>173</v>
      </c>
      <c r="FQ1102" s="319" t="s">
        <v>173</v>
      </c>
      <c r="FR1102" s="319" t="s">
        <v>173</v>
      </c>
      <c r="FS1102" s="319" t="s">
        <v>173</v>
      </c>
      <c r="FT1102" s="319" t="s">
        <v>173</v>
      </c>
      <c r="FU1102" s="319" t="s">
        <v>173</v>
      </c>
      <c r="FV1102" s="319" t="s">
        <v>173</v>
      </c>
      <c r="FW1102" s="319" t="s">
        <v>173</v>
      </c>
      <c r="FX1102" s="319" t="s">
        <v>173</v>
      </c>
      <c r="FY1102" s="319" t="s">
        <v>173</v>
      </c>
      <c r="FZ1102" s="319" t="s">
        <v>173</v>
      </c>
      <c r="GA1102" s="319" t="s">
        <v>173</v>
      </c>
      <c r="GB1102" s="319" t="s">
        <v>173</v>
      </c>
      <c r="GC1102" s="319" t="s">
        <v>173</v>
      </c>
      <c r="GD1102" s="319" t="s">
        <v>173</v>
      </c>
      <c r="GE1102" s="319" t="s">
        <v>173</v>
      </c>
      <c r="GF1102" s="319" t="s">
        <v>173</v>
      </c>
      <c r="GG1102" s="319" t="s">
        <v>173</v>
      </c>
      <c r="GH1102" s="319" t="s">
        <v>173</v>
      </c>
      <c r="GI1102" s="319" t="s">
        <v>173</v>
      </c>
      <c r="GJ1102" s="319" t="s">
        <v>173</v>
      </c>
      <c r="GK1102" s="319" t="s">
        <v>173</v>
      </c>
      <c r="GL1102" s="319" t="s">
        <v>173</v>
      </c>
      <c r="GM1102" s="319" t="s">
        <v>173</v>
      </c>
      <c r="GN1102" s="319" t="s">
        <v>173</v>
      </c>
      <c r="GO1102" s="319" t="s">
        <v>173</v>
      </c>
      <c r="GP1102" s="319" t="s">
        <v>173</v>
      </c>
      <c r="GQ1102" s="319" t="s">
        <v>173</v>
      </c>
      <c r="GR1102" s="319" t="s">
        <v>173</v>
      </c>
      <c r="GS1102" s="319" t="s">
        <v>173</v>
      </c>
      <c r="GT1102" s="319" t="s">
        <v>173</v>
      </c>
      <c r="GU1102" s="319" t="s">
        <v>173</v>
      </c>
      <c r="GV1102" s="319" t="s">
        <v>173</v>
      </c>
      <c r="GW1102" s="319" t="s">
        <v>173</v>
      </c>
      <c r="GX1102" s="319" t="s">
        <v>173</v>
      </c>
      <c r="GY1102" s="319" t="s">
        <v>173</v>
      </c>
      <c r="GZ1102" s="319" t="s">
        <v>173</v>
      </c>
      <c r="HA1102" s="319" t="s">
        <v>173</v>
      </c>
      <c r="HB1102" s="319" t="s">
        <v>173</v>
      </c>
      <c r="HC1102" s="319" t="s">
        <v>173</v>
      </c>
      <c r="HD1102" s="319" t="s">
        <v>173</v>
      </c>
      <c r="HE1102" s="319" t="s">
        <v>173</v>
      </c>
      <c r="HF1102" s="319" t="s">
        <v>173</v>
      </c>
      <c r="HG1102" s="319" t="s">
        <v>173</v>
      </c>
      <c r="HH1102" s="319" t="s">
        <v>173</v>
      </c>
      <c r="HI1102" s="319" t="s">
        <v>173</v>
      </c>
      <c r="HJ1102" s="319" t="s">
        <v>173</v>
      </c>
      <c r="HK1102" s="319" t="s">
        <v>173</v>
      </c>
      <c r="HL1102" s="319" t="s">
        <v>173</v>
      </c>
      <c r="HM1102" s="319" t="s">
        <v>173</v>
      </c>
      <c r="HN1102" s="319" t="s">
        <v>173</v>
      </c>
      <c r="HO1102" s="319" t="s">
        <v>173</v>
      </c>
      <c r="HP1102" s="319" t="s">
        <v>173</v>
      </c>
      <c r="HQ1102" s="319" t="s">
        <v>173</v>
      </c>
      <c r="HR1102" s="319" t="s">
        <v>173</v>
      </c>
      <c r="HS1102" s="319" t="s">
        <v>173</v>
      </c>
      <c r="HT1102" s="319" t="s">
        <v>173</v>
      </c>
      <c r="HU1102" s="319" t="s">
        <v>173</v>
      </c>
      <c r="HV1102" s="319" t="s">
        <v>173</v>
      </c>
      <c r="HW1102" s="319" t="s">
        <v>173</v>
      </c>
      <c r="HX1102" s="319" t="s">
        <v>173</v>
      </c>
      <c r="HY1102" s="319" t="s">
        <v>173</v>
      </c>
      <c r="HZ1102" s="319" t="s">
        <v>173</v>
      </c>
      <c r="IA1102" s="319" t="s">
        <v>173</v>
      </c>
      <c r="IB1102" s="319" t="s">
        <v>173</v>
      </c>
      <c r="IC1102" s="319" t="s">
        <v>173</v>
      </c>
      <c r="ID1102" s="319" t="s">
        <v>173</v>
      </c>
      <c r="IE1102" s="319" t="s">
        <v>173</v>
      </c>
      <c r="IF1102" s="319" t="s">
        <v>173</v>
      </c>
      <c r="IG1102" s="319" t="s">
        <v>173</v>
      </c>
      <c r="IH1102" s="319" t="s">
        <v>173</v>
      </c>
      <c r="II1102" s="319" t="s">
        <v>173</v>
      </c>
      <c r="IJ1102" s="319" t="s">
        <v>173</v>
      </c>
      <c r="IK1102" s="319" t="s">
        <v>173</v>
      </c>
      <c r="IL1102" s="319" t="s">
        <v>173</v>
      </c>
      <c r="IM1102" s="319" t="s">
        <v>173</v>
      </c>
      <c r="IN1102" s="319" t="s">
        <v>173</v>
      </c>
      <c r="IO1102" s="319" t="s">
        <v>173</v>
      </c>
      <c r="IP1102" s="319" t="s">
        <v>173</v>
      </c>
      <c r="IQ1102" s="321" t="s">
        <v>173</v>
      </c>
      <c r="IR1102" s="320" t="s">
        <v>173</v>
      </c>
      <c r="IS1102" s="322" t="s">
        <v>173</v>
      </c>
      <c r="IT1102" s="319" t="s">
        <v>173</v>
      </c>
    </row>
  </sheetData>
  <sheetProtection autoFilter="0"/>
  <autoFilter ref="A4:IT1102" xr:uid="{00000000-0009-0000-0000-00000A000000}"/>
  <sortState ref="A5:IT1096">
    <sortCondition ref="B5:B109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sheetPr>
  <dimension ref="B2:O79"/>
  <sheetViews>
    <sheetView showGridLines="0" workbookViewId="0"/>
  </sheetViews>
  <sheetFormatPr defaultColWidth="8.85546875" defaultRowHeight="15" x14ac:dyDescent="0.2"/>
  <cols>
    <col min="1" max="1" width="8.85546875" style="26"/>
    <col min="2" max="2" width="35.42578125" style="26" customWidth="1"/>
    <col min="3" max="3" width="23.42578125" style="26" customWidth="1"/>
    <col min="4" max="16384" width="8.85546875" style="26"/>
  </cols>
  <sheetData>
    <row r="2" spans="2:15" x14ac:dyDescent="0.2">
      <c r="B2" s="27" t="s">
        <v>29</v>
      </c>
      <c r="C2" s="28"/>
      <c r="D2" s="28"/>
      <c r="E2" s="28"/>
      <c r="F2" s="28"/>
      <c r="G2" s="28"/>
      <c r="H2" s="28"/>
      <c r="I2" s="28"/>
      <c r="J2" s="28"/>
      <c r="K2" s="28"/>
      <c r="L2" s="28"/>
      <c r="M2" s="28"/>
      <c r="N2" s="28"/>
      <c r="O2" s="28"/>
    </row>
    <row r="3" spans="2:15" x14ac:dyDescent="0.2">
      <c r="B3" s="29"/>
      <c r="C3" s="28"/>
      <c r="D3" s="28"/>
      <c r="E3" s="28"/>
      <c r="F3" s="28"/>
      <c r="G3" s="28"/>
      <c r="H3" s="28"/>
      <c r="I3" s="28"/>
      <c r="J3" s="28"/>
      <c r="K3" s="28"/>
      <c r="L3" s="28"/>
      <c r="M3" s="28"/>
      <c r="N3" s="28"/>
      <c r="O3" s="28"/>
    </row>
    <row r="4" spans="2:15" ht="58.5" customHeight="1" x14ac:dyDescent="0.2">
      <c r="B4" s="341" t="s">
        <v>2652</v>
      </c>
      <c r="C4" s="341"/>
      <c r="D4" s="341"/>
      <c r="E4" s="341"/>
      <c r="F4" s="341"/>
      <c r="G4" s="341"/>
      <c r="H4" s="341"/>
      <c r="I4" s="341"/>
      <c r="J4" s="341"/>
      <c r="K4" s="341"/>
      <c r="L4" s="341"/>
      <c r="M4" s="341"/>
      <c r="N4" s="341"/>
      <c r="O4" s="341"/>
    </row>
    <row r="5" spans="2:15" x14ac:dyDescent="0.2">
      <c r="B5" s="27" t="s">
        <v>30</v>
      </c>
      <c r="C5" s="28"/>
      <c r="D5" s="28"/>
      <c r="E5" s="28"/>
      <c r="F5" s="28"/>
      <c r="G5" s="28"/>
      <c r="H5" s="28"/>
      <c r="I5" s="28"/>
      <c r="J5" s="28"/>
      <c r="K5" s="28"/>
      <c r="L5" s="28"/>
      <c r="M5" s="28"/>
      <c r="N5" s="28"/>
      <c r="O5" s="28"/>
    </row>
    <row r="7" spans="2:15" x14ac:dyDescent="0.2">
      <c r="B7" s="32" t="s">
        <v>31</v>
      </c>
    </row>
    <row r="8" spans="2:15" x14ac:dyDescent="0.2">
      <c r="B8" s="32" t="s">
        <v>32</v>
      </c>
    </row>
    <row r="9" spans="2:15" x14ac:dyDescent="0.2">
      <c r="B9" s="32" t="s">
        <v>33</v>
      </c>
    </row>
    <row r="10" spans="2:15" x14ac:dyDescent="0.2">
      <c r="B10" s="32" t="s">
        <v>34</v>
      </c>
    </row>
    <row r="12" spans="2:15" x14ac:dyDescent="0.2">
      <c r="B12" s="32" t="s">
        <v>3689</v>
      </c>
    </row>
    <row r="13" spans="2:15" x14ac:dyDescent="0.2">
      <c r="B13" s="32" t="s">
        <v>3690</v>
      </c>
    </row>
    <row r="14" spans="2:15" x14ac:dyDescent="0.2">
      <c r="B14" s="32" t="s">
        <v>3691</v>
      </c>
    </row>
    <row r="15" spans="2:15" x14ac:dyDescent="0.2">
      <c r="B15" s="342"/>
      <c r="C15" s="342"/>
      <c r="D15" s="342"/>
      <c r="E15" s="342"/>
      <c r="F15" s="342"/>
      <c r="G15" s="342"/>
      <c r="H15" s="342"/>
      <c r="I15" s="342"/>
      <c r="J15" s="342"/>
      <c r="K15" s="342"/>
      <c r="L15" s="28"/>
      <c r="M15" s="28"/>
      <c r="N15" s="28"/>
      <c r="O15" s="28"/>
    </row>
    <row r="16" spans="2:15" x14ac:dyDescent="0.2">
      <c r="B16" s="343" t="s">
        <v>2614</v>
      </c>
      <c r="C16" s="344"/>
      <c r="D16" s="344"/>
      <c r="E16" s="344"/>
      <c r="F16" s="344"/>
      <c r="G16" s="344"/>
      <c r="H16" s="344"/>
      <c r="I16" s="344"/>
      <c r="J16" s="344"/>
      <c r="K16" s="344"/>
      <c r="L16" s="344"/>
      <c r="M16" s="344"/>
      <c r="N16" s="344"/>
      <c r="O16" s="344"/>
    </row>
    <row r="17" spans="2:15" x14ac:dyDescent="0.2">
      <c r="B17" s="344"/>
      <c r="C17" s="344"/>
      <c r="D17" s="344"/>
      <c r="E17" s="344"/>
      <c r="F17" s="344"/>
      <c r="G17" s="344"/>
      <c r="H17" s="344"/>
      <c r="I17" s="344"/>
      <c r="J17" s="344"/>
      <c r="K17" s="344"/>
      <c r="L17" s="344"/>
      <c r="M17" s="344"/>
      <c r="N17" s="344"/>
      <c r="O17" s="344"/>
    </row>
    <row r="18" spans="2:15" x14ac:dyDescent="0.2">
      <c r="B18" s="345" t="s">
        <v>3683</v>
      </c>
      <c r="C18" s="345"/>
      <c r="D18" s="345"/>
      <c r="E18" s="345"/>
      <c r="F18" s="345"/>
      <c r="G18" s="345"/>
      <c r="H18" s="345"/>
      <c r="I18" s="345"/>
      <c r="J18" s="345"/>
      <c r="K18" s="345"/>
      <c r="L18" s="345"/>
      <c r="M18" s="345"/>
      <c r="N18" s="345"/>
      <c r="O18" s="345"/>
    </row>
    <row r="19" spans="2:15" ht="30.75" customHeight="1" x14ac:dyDescent="0.2">
      <c r="B19" s="345" t="s">
        <v>35</v>
      </c>
      <c r="C19" s="345"/>
      <c r="D19" s="345"/>
      <c r="E19" s="345"/>
      <c r="F19" s="345"/>
      <c r="G19" s="345"/>
      <c r="H19" s="345"/>
      <c r="I19" s="345"/>
      <c r="J19" s="345"/>
      <c r="K19" s="345"/>
      <c r="L19" s="345"/>
      <c r="M19" s="345"/>
      <c r="N19" s="345"/>
      <c r="O19" s="345"/>
    </row>
    <row r="20" spans="2:15" ht="19.350000000000001" customHeight="1" x14ac:dyDescent="0.2">
      <c r="B20" s="32" t="s">
        <v>3684</v>
      </c>
      <c r="C20" s="32"/>
      <c r="D20" s="32"/>
      <c r="E20" s="32"/>
      <c r="F20" s="32"/>
      <c r="G20" s="32"/>
      <c r="H20" s="32"/>
      <c r="I20" s="32"/>
      <c r="J20" s="32"/>
      <c r="K20" s="32"/>
      <c r="L20" s="32"/>
      <c r="M20" s="32"/>
      <c r="N20" s="30"/>
      <c r="O20" s="30"/>
    </row>
    <row r="21" spans="2:15" ht="32.450000000000003" customHeight="1" x14ac:dyDescent="0.2">
      <c r="B21" s="345" t="s">
        <v>3685</v>
      </c>
      <c r="C21" s="345"/>
      <c r="D21" s="345"/>
      <c r="E21" s="345"/>
      <c r="F21" s="345"/>
      <c r="G21" s="345"/>
      <c r="H21" s="345"/>
      <c r="I21" s="345"/>
      <c r="J21" s="345"/>
      <c r="K21" s="345"/>
      <c r="L21" s="345"/>
      <c r="M21" s="345"/>
      <c r="N21" s="345"/>
      <c r="O21" s="345"/>
    </row>
    <row r="22" spans="2:15" ht="20.100000000000001" customHeight="1" x14ac:dyDescent="0.2">
      <c r="B22" s="238" t="s">
        <v>2615</v>
      </c>
      <c r="C22" s="235"/>
      <c r="D22" s="235"/>
      <c r="E22" s="235"/>
      <c r="F22" s="235"/>
      <c r="G22" s="235"/>
      <c r="H22" s="235"/>
      <c r="I22" s="235"/>
      <c r="J22" s="235"/>
      <c r="K22" s="235"/>
      <c r="L22" s="235"/>
      <c r="M22" s="235"/>
      <c r="N22" s="235"/>
      <c r="O22" s="235"/>
    </row>
    <row r="23" spans="2:15" ht="17.45" customHeight="1" x14ac:dyDescent="0.2">
      <c r="B23" s="238" t="s">
        <v>2616</v>
      </c>
      <c r="C23" s="235"/>
      <c r="D23" s="235"/>
      <c r="E23" s="235"/>
      <c r="F23" s="235"/>
      <c r="G23" s="235"/>
      <c r="H23" s="235"/>
      <c r="I23" s="235"/>
      <c r="J23" s="235"/>
      <c r="K23" s="235"/>
      <c r="L23" s="235"/>
      <c r="M23" s="235"/>
      <c r="N23" s="235"/>
      <c r="O23" s="235"/>
    </row>
    <row r="24" spans="2:15" x14ac:dyDescent="0.2">
      <c r="B24" s="31"/>
      <c r="C24" s="31"/>
      <c r="D24" s="31"/>
      <c r="E24" s="31"/>
      <c r="F24" s="31"/>
      <c r="G24" s="31"/>
      <c r="H24" s="31"/>
      <c r="I24" s="31"/>
      <c r="J24" s="31"/>
      <c r="K24" s="31"/>
      <c r="L24" s="31"/>
      <c r="M24" s="31"/>
      <c r="N24" s="31"/>
      <c r="O24" s="31"/>
    </row>
    <row r="25" spans="2:15" x14ac:dyDescent="0.2">
      <c r="B25" s="27" t="s">
        <v>36</v>
      </c>
    </row>
    <row r="26" spans="2:15" ht="15.75" x14ac:dyDescent="0.25">
      <c r="B26" s="1"/>
    </row>
    <row r="27" spans="2:15" x14ac:dyDescent="0.2">
      <c r="B27" s="299" t="s">
        <v>3692</v>
      </c>
    </row>
    <row r="28" spans="2:15" x14ac:dyDescent="0.2">
      <c r="B28" s="67" t="s">
        <v>37</v>
      </c>
    </row>
    <row r="29" spans="2:15" x14ac:dyDescent="0.2">
      <c r="B29" s="67" t="s">
        <v>38</v>
      </c>
    </row>
    <row r="30" spans="2:15" x14ac:dyDescent="0.2">
      <c r="B30" s="67" t="s">
        <v>3693</v>
      </c>
    </row>
    <row r="31" spans="2:15" x14ac:dyDescent="0.2">
      <c r="B31" s="32" t="s">
        <v>39</v>
      </c>
    </row>
    <row r="33" spans="2:3" x14ac:dyDescent="0.2">
      <c r="C33" s="64" t="s">
        <v>40</v>
      </c>
    </row>
    <row r="34" spans="2:3" x14ac:dyDescent="0.2">
      <c r="C34" s="26" t="s">
        <v>41</v>
      </c>
    </row>
    <row r="35" spans="2:3" x14ac:dyDescent="0.2">
      <c r="C35" s="26" t="s">
        <v>42</v>
      </c>
    </row>
    <row r="36" spans="2:3" x14ac:dyDescent="0.2">
      <c r="C36" s="26" t="s">
        <v>43</v>
      </c>
    </row>
    <row r="37" spans="2:3" x14ac:dyDescent="0.2">
      <c r="C37" s="26" t="s">
        <v>44</v>
      </c>
    </row>
    <row r="38" spans="2:3" x14ac:dyDescent="0.2">
      <c r="C38" s="26" t="s">
        <v>45</v>
      </c>
    </row>
    <row r="39" spans="2:3" x14ac:dyDescent="0.2">
      <c r="C39" s="26" t="s">
        <v>46</v>
      </c>
    </row>
    <row r="40" spans="2:3" x14ac:dyDescent="0.2">
      <c r="C40" s="26" t="s">
        <v>47</v>
      </c>
    </row>
    <row r="41" spans="2:3" x14ac:dyDescent="0.2">
      <c r="C41" s="26" t="s">
        <v>48</v>
      </c>
    </row>
    <row r="43" spans="2:3" x14ac:dyDescent="0.2">
      <c r="B43" s="64" t="s">
        <v>49</v>
      </c>
    </row>
    <row r="45" spans="2:3" x14ac:dyDescent="0.2">
      <c r="B45" s="26" t="s">
        <v>2606</v>
      </c>
    </row>
    <row r="46" spans="2:3" x14ac:dyDescent="0.2">
      <c r="B46" s="26" t="s">
        <v>50</v>
      </c>
    </row>
    <row r="47" spans="2:3" x14ac:dyDescent="0.2">
      <c r="B47" s="32" t="s">
        <v>51</v>
      </c>
    </row>
    <row r="49" spans="2:3" x14ac:dyDescent="0.2">
      <c r="B49" s="26" t="s">
        <v>52</v>
      </c>
    </row>
    <row r="50" spans="2:3" x14ac:dyDescent="0.2">
      <c r="B50" s="26" t="s">
        <v>53</v>
      </c>
    </row>
    <row r="51" spans="2:3" x14ac:dyDescent="0.2">
      <c r="B51" s="26" t="s">
        <v>54</v>
      </c>
    </row>
    <row r="52" spans="2:3" x14ac:dyDescent="0.2">
      <c r="B52" s="26" t="s">
        <v>55</v>
      </c>
    </row>
    <row r="54" spans="2:3" x14ac:dyDescent="0.2">
      <c r="B54" s="160" t="s">
        <v>56</v>
      </c>
      <c r="C54" s="161" t="s">
        <v>57</v>
      </c>
    </row>
    <row r="55" spans="2:3" x14ac:dyDescent="0.2">
      <c r="B55" s="162" t="s">
        <v>58</v>
      </c>
      <c r="C55" s="163" t="s">
        <v>59</v>
      </c>
    </row>
    <row r="56" spans="2:3" x14ac:dyDescent="0.2">
      <c r="B56" s="162" t="s">
        <v>60</v>
      </c>
      <c r="C56" s="163" t="s">
        <v>59</v>
      </c>
    </row>
    <row r="57" spans="2:3" x14ac:dyDescent="0.2">
      <c r="B57" s="162" t="s">
        <v>59</v>
      </c>
      <c r="C57" s="163" t="s">
        <v>59</v>
      </c>
    </row>
    <row r="58" spans="2:3" x14ac:dyDescent="0.2">
      <c r="B58" s="162" t="s">
        <v>61</v>
      </c>
      <c r="C58" s="163" t="s">
        <v>59</v>
      </c>
    </row>
    <row r="59" spans="2:3" x14ac:dyDescent="0.2">
      <c r="B59" s="162" t="s">
        <v>62</v>
      </c>
      <c r="C59" s="163" t="s">
        <v>59</v>
      </c>
    </row>
    <row r="60" spans="2:3" x14ac:dyDescent="0.2">
      <c r="B60" s="162" t="s">
        <v>63</v>
      </c>
      <c r="C60" s="163" t="s">
        <v>59</v>
      </c>
    </row>
    <row r="61" spans="2:3" x14ac:dyDescent="0.2">
      <c r="B61" s="162" t="s">
        <v>64</v>
      </c>
      <c r="C61" s="163" t="s">
        <v>59</v>
      </c>
    </row>
    <row r="62" spans="2:3" x14ac:dyDescent="0.2">
      <c r="B62" s="162" t="s">
        <v>65</v>
      </c>
      <c r="C62" s="163" t="s">
        <v>59</v>
      </c>
    </row>
    <row r="63" spans="2:3" x14ac:dyDescent="0.2">
      <c r="B63" s="162" t="s">
        <v>66</v>
      </c>
      <c r="C63" s="163" t="s">
        <v>59</v>
      </c>
    </row>
    <row r="64" spans="2:3" x14ac:dyDescent="0.2">
      <c r="B64" s="162" t="s">
        <v>67</v>
      </c>
      <c r="C64" s="163" t="s">
        <v>59</v>
      </c>
    </row>
    <row r="65" spans="2:11" x14ac:dyDescent="0.2">
      <c r="B65" s="162" t="s">
        <v>68</v>
      </c>
      <c r="C65" s="163" t="s">
        <v>69</v>
      </c>
    </row>
    <row r="66" spans="2:11" x14ac:dyDescent="0.2">
      <c r="B66" s="162" t="s">
        <v>69</v>
      </c>
      <c r="C66" s="163" t="s">
        <v>69</v>
      </c>
    </row>
    <row r="67" spans="2:11" x14ac:dyDescent="0.2">
      <c r="B67" s="162" t="s">
        <v>70</v>
      </c>
      <c r="C67" s="163" t="s">
        <v>69</v>
      </c>
    </row>
    <row r="68" spans="2:11" x14ac:dyDescent="0.2">
      <c r="B68" s="162" t="s">
        <v>71</v>
      </c>
      <c r="C68" s="163" t="s">
        <v>72</v>
      </c>
    </row>
    <row r="69" spans="2:11" x14ac:dyDescent="0.2">
      <c r="B69" s="162" t="s">
        <v>72</v>
      </c>
      <c r="C69" s="163" t="s">
        <v>72</v>
      </c>
    </row>
    <row r="70" spans="2:11" x14ac:dyDescent="0.2">
      <c r="B70" s="162" t="s">
        <v>73</v>
      </c>
      <c r="C70" s="163" t="s">
        <v>72</v>
      </c>
    </row>
    <row r="71" spans="2:11" x14ac:dyDescent="0.2">
      <c r="B71" s="162" t="s">
        <v>74</v>
      </c>
      <c r="C71" s="163" t="s">
        <v>75</v>
      </c>
    </row>
    <row r="72" spans="2:11" x14ac:dyDescent="0.2">
      <c r="B72" s="162" t="s">
        <v>76</v>
      </c>
      <c r="C72" s="163" t="s">
        <v>75</v>
      </c>
    </row>
    <row r="73" spans="2:11" x14ac:dyDescent="0.2">
      <c r="B73" s="162" t="s">
        <v>77</v>
      </c>
      <c r="C73" s="163" t="s">
        <v>78</v>
      </c>
    </row>
    <row r="74" spans="2:11" x14ac:dyDescent="0.2">
      <c r="B74" s="162" t="s">
        <v>79</v>
      </c>
      <c r="C74" s="163" t="s">
        <v>78</v>
      </c>
    </row>
    <row r="75" spans="2:11" x14ac:dyDescent="0.2">
      <c r="B75" s="162" t="s">
        <v>80</v>
      </c>
      <c r="C75" s="163" t="s">
        <v>78</v>
      </c>
    </row>
    <row r="76" spans="2:11" x14ac:dyDescent="0.2">
      <c r="B76" s="158" t="s">
        <v>81</v>
      </c>
      <c r="C76" s="159" t="s">
        <v>78</v>
      </c>
    </row>
    <row r="78" spans="2:11" x14ac:dyDescent="0.2">
      <c r="B78" s="282"/>
    </row>
    <row r="79" spans="2:11" ht="74.45" customHeight="1" x14ac:dyDescent="0.2">
      <c r="B79" s="340"/>
      <c r="C79" s="340"/>
      <c r="D79" s="340"/>
      <c r="E79" s="340"/>
      <c r="F79" s="340"/>
      <c r="G79" s="340"/>
      <c r="H79" s="340"/>
      <c r="I79" s="340"/>
      <c r="J79" s="340"/>
      <c r="K79" s="340"/>
    </row>
  </sheetData>
  <autoFilter ref="B54:C76" xr:uid="{00000000-0009-0000-0000-000001000000}"/>
  <mergeCells count="7">
    <mergeCell ref="B79:K79"/>
    <mergeCell ref="B4:O4"/>
    <mergeCell ref="B15:K15"/>
    <mergeCell ref="B16:O17"/>
    <mergeCell ref="B21:O21"/>
    <mergeCell ref="B19:O19"/>
    <mergeCell ref="B18:O18"/>
  </mergeCells>
  <hyperlinks>
    <hyperlink ref="B20" r:id="rId1" display="https://www.gov.uk/government/publications/common-inspection-framework-education-skills-and-early-years-from-september-2015" xr:uid="{00000000-0004-0000-0100-000000000000}"/>
    <hyperlink ref="B7" location="'T1 In-year inspections'!A1" display="Table 1: In-year inspections" xr:uid="{00000000-0004-0000-0100-000001000000}"/>
    <hyperlink ref="B8" location="'T2 In-year standards'!A1" display="Table 2: In-year standards" xr:uid="{00000000-0004-0000-0100-000002000000}"/>
    <hyperlink ref="B9" location="'T3 In-year monitoring'!A1" display="Table 3: In-year monitoring" xr:uid="{00000000-0004-0000-0100-000003000000}"/>
    <hyperlink ref="B10" location="'T4 Most recent inspections'!A1" display="Table 4: Most recent inspections" xr:uid="{00000000-0004-0000-0100-000004000000}"/>
    <hyperlink ref="B12" location="'D1a In-year standard inspects'!A1" display="Dataset 1a: In-year standard inspections" xr:uid="{00000000-0004-0000-0100-000005000000}"/>
    <hyperlink ref="B13" location="'D1b In-year additional'!A1" display="Dataset 1b: In-year additional" xr:uid="{00000000-0004-0000-0100-000006000000}"/>
    <hyperlink ref="B14" location="'D2 Most recent inspections'!A1" display="Dataset 2: Most recent inspections" xr:uid="{00000000-0004-0000-0100-000007000000}"/>
    <hyperlink ref="B31" r:id="rId2" xr:uid="{00000000-0004-0000-0100-000008000000}"/>
    <hyperlink ref="B47" r:id="rId3" xr:uid="{00000000-0004-0000-0100-000009000000}"/>
    <hyperlink ref="B20:M20" r:id="rId4" display="https://www.gov.uk/government/publications/education-inspection-framework" xr:uid="{88AC9B33-3C38-48FD-AE04-B2DDC7C1B869}"/>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sheetPr>
  <dimension ref="B1:E259"/>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9.140625" defaultRowHeight="12.75" x14ac:dyDescent="0.2"/>
  <cols>
    <col min="1" max="1" width="9.140625" style="247"/>
    <col min="2" max="2" width="15" style="276" customWidth="1"/>
    <col min="3" max="3" width="68.42578125" style="244" customWidth="1"/>
    <col min="4" max="4" width="48.5703125" style="245" bestFit="1" customWidth="1"/>
    <col min="5" max="5" width="56.42578125" style="246" customWidth="1"/>
    <col min="6" max="16384" width="9.140625" style="247"/>
  </cols>
  <sheetData>
    <row r="1" spans="2:5" ht="13.5" thickBot="1" x14ac:dyDescent="0.25"/>
    <row r="2" spans="2:5" ht="13.5" thickBot="1" x14ac:dyDescent="0.25">
      <c r="B2" s="277" t="s">
        <v>82</v>
      </c>
      <c r="C2" s="248" t="s">
        <v>83</v>
      </c>
      <c r="D2" s="249" t="s">
        <v>84</v>
      </c>
      <c r="E2" s="250" t="s">
        <v>85</v>
      </c>
    </row>
    <row r="3" spans="2:5" x14ac:dyDescent="0.2">
      <c r="B3" s="346" t="s">
        <v>86</v>
      </c>
      <c r="C3" s="251" t="s">
        <v>87</v>
      </c>
      <c r="D3" s="252" t="s">
        <v>88</v>
      </c>
      <c r="E3" s="253" t="s">
        <v>89</v>
      </c>
    </row>
    <row r="4" spans="2:5" x14ac:dyDescent="0.2">
      <c r="B4" s="347"/>
      <c r="C4" s="254" t="s">
        <v>90</v>
      </c>
      <c r="D4" s="240" t="s">
        <v>91</v>
      </c>
      <c r="E4" s="255" t="s">
        <v>89</v>
      </c>
    </row>
    <row r="5" spans="2:5" ht="25.5" x14ac:dyDescent="0.2">
      <c r="B5" s="347"/>
      <c r="C5" s="254" t="s">
        <v>92</v>
      </c>
      <c r="D5" s="240" t="s">
        <v>93</v>
      </c>
      <c r="E5" s="255" t="s">
        <v>89</v>
      </c>
    </row>
    <row r="6" spans="2:5" x14ac:dyDescent="0.2">
      <c r="B6" s="347"/>
      <c r="C6" s="254" t="s">
        <v>94</v>
      </c>
      <c r="D6" s="240" t="s">
        <v>95</v>
      </c>
      <c r="E6" s="255" t="s">
        <v>89</v>
      </c>
    </row>
    <row r="7" spans="2:5" ht="25.5" x14ac:dyDescent="0.2">
      <c r="B7" s="347"/>
      <c r="C7" s="254" t="s">
        <v>96</v>
      </c>
      <c r="D7" s="240" t="s">
        <v>97</v>
      </c>
      <c r="E7" s="242" t="s">
        <v>98</v>
      </c>
    </row>
    <row r="8" spans="2:5" ht="25.5" x14ac:dyDescent="0.2">
      <c r="B8" s="347"/>
      <c r="C8" s="254" t="s">
        <v>99</v>
      </c>
      <c r="D8" s="240" t="s">
        <v>99</v>
      </c>
      <c r="E8" s="242" t="s">
        <v>100</v>
      </c>
    </row>
    <row r="9" spans="2:5" ht="25.5" x14ac:dyDescent="0.2">
      <c r="B9" s="347"/>
      <c r="C9" s="254" t="s">
        <v>101</v>
      </c>
      <c r="D9" s="240" t="s">
        <v>102</v>
      </c>
      <c r="E9" s="242" t="s">
        <v>103</v>
      </c>
    </row>
    <row r="10" spans="2:5" ht="293.25" x14ac:dyDescent="0.2">
      <c r="B10" s="347"/>
      <c r="C10" s="254" t="s">
        <v>104</v>
      </c>
      <c r="D10" s="240" t="s">
        <v>105</v>
      </c>
      <c r="E10" s="242" t="s">
        <v>2617</v>
      </c>
    </row>
    <row r="11" spans="2:5" ht="102" x14ac:dyDescent="0.2">
      <c r="B11" s="347"/>
      <c r="C11" s="254" t="s">
        <v>106</v>
      </c>
      <c r="D11" s="240" t="s">
        <v>107</v>
      </c>
      <c r="E11" s="242" t="s">
        <v>2618</v>
      </c>
    </row>
    <row r="12" spans="2:5" ht="306" x14ac:dyDescent="0.2">
      <c r="B12" s="347"/>
      <c r="C12" s="254" t="s">
        <v>56</v>
      </c>
      <c r="D12" s="240" t="s">
        <v>108</v>
      </c>
      <c r="E12" s="242" t="s">
        <v>2619</v>
      </c>
    </row>
    <row r="13" spans="2:5" ht="63.75" x14ac:dyDescent="0.2">
      <c r="B13" s="347"/>
      <c r="C13" s="254" t="s">
        <v>57</v>
      </c>
      <c r="D13" s="240" t="s">
        <v>109</v>
      </c>
      <c r="E13" s="242" t="s">
        <v>110</v>
      </c>
    </row>
    <row r="14" spans="2:5" ht="102" x14ac:dyDescent="0.2">
      <c r="B14" s="347"/>
      <c r="C14" s="254" t="s">
        <v>111</v>
      </c>
      <c r="D14" s="240" t="s">
        <v>112</v>
      </c>
      <c r="E14" s="242" t="s">
        <v>113</v>
      </c>
    </row>
    <row r="15" spans="2:5" ht="114.75" x14ac:dyDescent="0.2">
      <c r="B15" s="347"/>
      <c r="C15" s="280" t="s">
        <v>421</v>
      </c>
      <c r="D15" s="240" t="s">
        <v>114</v>
      </c>
      <c r="E15" s="242" t="s">
        <v>115</v>
      </c>
    </row>
    <row r="16" spans="2:5" x14ac:dyDescent="0.2">
      <c r="B16" s="347"/>
      <c r="C16" s="254" t="s">
        <v>116</v>
      </c>
      <c r="D16" s="240" t="s">
        <v>117</v>
      </c>
      <c r="E16" s="255" t="s">
        <v>118</v>
      </c>
    </row>
    <row r="17" spans="2:5" x14ac:dyDescent="0.2">
      <c r="B17" s="347"/>
      <c r="C17" s="254" t="s">
        <v>119</v>
      </c>
      <c r="D17" s="240" t="s">
        <v>120</v>
      </c>
      <c r="E17" s="255" t="s">
        <v>89</v>
      </c>
    </row>
    <row r="18" spans="2:5" ht="25.5" x14ac:dyDescent="0.2">
      <c r="B18" s="347"/>
      <c r="C18" s="254" t="s">
        <v>122</v>
      </c>
      <c r="D18" s="240" t="s">
        <v>123</v>
      </c>
      <c r="E18" s="242" t="s">
        <v>2630</v>
      </c>
    </row>
    <row r="19" spans="2:5" ht="13.35" customHeight="1" x14ac:dyDescent="0.2">
      <c r="B19" s="348" t="s">
        <v>121</v>
      </c>
      <c r="C19" s="254" t="s">
        <v>124</v>
      </c>
      <c r="D19" s="240" t="s">
        <v>124</v>
      </c>
      <c r="E19" s="255" t="s">
        <v>125</v>
      </c>
    </row>
    <row r="20" spans="2:5" x14ac:dyDescent="0.2">
      <c r="B20" s="349"/>
      <c r="C20" s="254" t="s">
        <v>126</v>
      </c>
      <c r="D20" s="240" t="s">
        <v>127</v>
      </c>
      <c r="E20" s="255" t="s">
        <v>125</v>
      </c>
    </row>
    <row r="21" spans="2:5" x14ac:dyDescent="0.2">
      <c r="B21" s="349"/>
      <c r="C21" s="254" t="s">
        <v>128</v>
      </c>
      <c r="D21" s="240" t="s">
        <v>129</v>
      </c>
      <c r="E21" s="255" t="s">
        <v>125</v>
      </c>
    </row>
    <row r="22" spans="2:5" x14ac:dyDescent="0.2">
      <c r="B22" s="349"/>
      <c r="C22" s="254" t="s">
        <v>130</v>
      </c>
      <c r="D22" s="240" t="s">
        <v>131</v>
      </c>
      <c r="E22" s="255" t="s">
        <v>125</v>
      </c>
    </row>
    <row r="23" spans="2:5" ht="165.75" x14ac:dyDescent="0.2">
      <c r="B23" s="349"/>
      <c r="C23" s="254" t="s">
        <v>132</v>
      </c>
      <c r="D23" s="240" t="s">
        <v>132</v>
      </c>
      <c r="E23" s="281" t="s">
        <v>3686</v>
      </c>
    </row>
    <row r="24" spans="2:5" ht="25.5" x14ac:dyDescent="0.2">
      <c r="B24" s="349"/>
      <c r="C24" s="254" t="s">
        <v>133</v>
      </c>
      <c r="D24" s="240" t="s">
        <v>134</v>
      </c>
      <c r="E24" s="242" t="s">
        <v>135</v>
      </c>
    </row>
    <row r="25" spans="2:5" ht="114.75" x14ac:dyDescent="0.2">
      <c r="B25" s="349"/>
      <c r="C25" s="254" t="s">
        <v>136</v>
      </c>
      <c r="D25" s="240" t="s">
        <v>136</v>
      </c>
      <c r="E25" s="275" t="s">
        <v>2647</v>
      </c>
    </row>
    <row r="26" spans="2:5" ht="102" x14ac:dyDescent="0.2">
      <c r="B26" s="349"/>
      <c r="C26" s="279" t="s">
        <v>2656</v>
      </c>
      <c r="D26" s="240" t="s">
        <v>138</v>
      </c>
      <c r="E26" s="275" t="s">
        <v>2648</v>
      </c>
    </row>
    <row r="27" spans="2:5" ht="102" x14ac:dyDescent="0.2">
      <c r="B27" s="349"/>
      <c r="C27" s="279" t="s">
        <v>2658</v>
      </c>
      <c r="D27" s="240" t="s">
        <v>138</v>
      </c>
      <c r="E27" s="275" t="s">
        <v>2648</v>
      </c>
    </row>
    <row r="28" spans="2:5" ht="102" x14ac:dyDescent="0.2">
      <c r="B28" s="349"/>
      <c r="C28" s="279" t="s">
        <v>2657</v>
      </c>
      <c r="D28" s="240" t="s">
        <v>138</v>
      </c>
      <c r="E28" s="275" t="s">
        <v>2648</v>
      </c>
    </row>
    <row r="29" spans="2:5" ht="102" x14ac:dyDescent="0.2">
      <c r="B29" s="349"/>
      <c r="C29" s="279" t="s">
        <v>137</v>
      </c>
      <c r="D29" s="240" t="s">
        <v>138</v>
      </c>
      <c r="E29" s="275" t="s">
        <v>2648</v>
      </c>
    </row>
    <row r="30" spans="2:5" ht="114.75" x14ac:dyDescent="0.2">
      <c r="B30" s="349"/>
      <c r="C30" s="254" t="s">
        <v>139</v>
      </c>
      <c r="D30" s="240" t="s">
        <v>138</v>
      </c>
      <c r="E30" s="275" t="s">
        <v>2647</v>
      </c>
    </row>
    <row r="31" spans="2:5" ht="114.75" x14ac:dyDescent="0.2">
      <c r="B31" s="349"/>
      <c r="C31" s="254" t="s">
        <v>140</v>
      </c>
      <c r="D31" s="240" t="s">
        <v>138</v>
      </c>
      <c r="E31" s="275" t="s">
        <v>2647</v>
      </c>
    </row>
    <row r="32" spans="2:5" ht="25.5" x14ac:dyDescent="0.2">
      <c r="B32" s="349"/>
      <c r="C32" s="254" t="s">
        <v>141</v>
      </c>
      <c r="D32" s="240" t="s">
        <v>138</v>
      </c>
      <c r="E32" s="242" t="s">
        <v>2620</v>
      </c>
    </row>
    <row r="33" spans="2:5" ht="38.25" x14ac:dyDescent="0.2">
      <c r="B33" s="349"/>
      <c r="C33" s="240" t="s">
        <v>210</v>
      </c>
      <c r="D33" s="296" t="s">
        <v>3694</v>
      </c>
      <c r="E33" s="297" t="s">
        <v>3695</v>
      </c>
    </row>
    <row r="34" spans="2:5" s="243" customFormat="1" ht="38.25" x14ac:dyDescent="0.25">
      <c r="B34" s="349"/>
      <c r="C34" s="240" t="s">
        <v>2602</v>
      </c>
      <c r="D34" s="240" t="s">
        <v>2649</v>
      </c>
      <c r="E34" s="242" t="s">
        <v>2646</v>
      </c>
    </row>
    <row r="35" spans="2:5" s="243" customFormat="1" ht="140.25" x14ac:dyDescent="0.25">
      <c r="B35" s="349"/>
      <c r="C35" s="240" t="s">
        <v>420</v>
      </c>
      <c r="D35" s="240" t="s">
        <v>2651</v>
      </c>
      <c r="E35" s="242" t="s">
        <v>2650</v>
      </c>
    </row>
    <row r="36" spans="2:5" s="243" customFormat="1" ht="38.25" x14ac:dyDescent="0.25">
      <c r="B36" s="349"/>
      <c r="C36" s="240" t="s">
        <v>211</v>
      </c>
      <c r="D36" s="241" t="s">
        <v>2631</v>
      </c>
      <c r="E36" s="242" t="s">
        <v>2632</v>
      </c>
    </row>
    <row r="37" spans="2:5" s="256" customFormat="1" ht="38.25" x14ac:dyDescent="0.25">
      <c r="B37" s="349"/>
      <c r="C37" s="240" t="s">
        <v>212</v>
      </c>
      <c r="D37" s="241" t="s">
        <v>2633</v>
      </c>
      <c r="E37" s="242" t="s">
        <v>2632</v>
      </c>
    </row>
    <row r="38" spans="2:5" s="256" customFormat="1" ht="38.25" x14ac:dyDescent="0.25">
      <c r="B38" s="349"/>
      <c r="C38" s="240" t="s">
        <v>213</v>
      </c>
      <c r="D38" s="241" t="s">
        <v>2634</v>
      </c>
      <c r="E38" s="242" t="s">
        <v>2632</v>
      </c>
    </row>
    <row r="39" spans="2:5" s="256" customFormat="1" ht="38.25" x14ac:dyDescent="0.25">
      <c r="B39" s="349"/>
      <c r="C39" s="240" t="s">
        <v>214</v>
      </c>
      <c r="D39" s="241" t="s">
        <v>2635</v>
      </c>
      <c r="E39" s="242" t="s">
        <v>2632</v>
      </c>
    </row>
    <row r="40" spans="2:5" s="256" customFormat="1" ht="38.25" x14ac:dyDescent="0.25">
      <c r="B40" s="349"/>
      <c r="C40" s="240" t="s">
        <v>215</v>
      </c>
      <c r="D40" s="241" t="s">
        <v>2636</v>
      </c>
      <c r="E40" s="242" t="s">
        <v>2632</v>
      </c>
    </row>
    <row r="41" spans="2:5" s="256" customFormat="1" ht="38.25" x14ac:dyDescent="0.25">
      <c r="B41" s="349"/>
      <c r="C41" s="240" t="s">
        <v>216</v>
      </c>
      <c r="D41" s="241" t="s">
        <v>2637</v>
      </c>
      <c r="E41" s="242" t="s">
        <v>2632</v>
      </c>
    </row>
    <row r="42" spans="2:5" s="256" customFormat="1" ht="38.25" x14ac:dyDescent="0.25">
      <c r="B42" s="349"/>
      <c r="C42" s="240" t="s">
        <v>217</v>
      </c>
      <c r="D42" s="241" t="s">
        <v>2638</v>
      </c>
      <c r="E42" s="242" t="s">
        <v>2632</v>
      </c>
    </row>
    <row r="43" spans="2:5" s="256" customFormat="1" ht="38.25" x14ac:dyDescent="0.25">
      <c r="B43" s="349"/>
      <c r="C43" s="240" t="s">
        <v>218</v>
      </c>
      <c r="D43" s="241" t="s">
        <v>2639</v>
      </c>
      <c r="E43" s="242" t="s">
        <v>2632</v>
      </c>
    </row>
    <row r="44" spans="2:5" s="256" customFormat="1" ht="51" x14ac:dyDescent="0.25">
      <c r="B44" s="349"/>
      <c r="C44" s="257" t="s">
        <v>148</v>
      </c>
      <c r="D44" s="259" t="s">
        <v>2640</v>
      </c>
      <c r="E44" s="258" t="s">
        <v>2621</v>
      </c>
    </row>
    <row r="45" spans="2:5" ht="25.5" x14ac:dyDescent="0.2">
      <c r="B45" s="349"/>
      <c r="C45" s="254" t="s">
        <v>142</v>
      </c>
      <c r="D45" s="240" t="s">
        <v>143</v>
      </c>
      <c r="E45" s="242" t="s">
        <v>144</v>
      </c>
    </row>
    <row r="46" spans="2:5" ht="25.5" x14ac:dyDescent="0.2">
      <c r="B46" s="349"/>
      <c r="C46" s="283" t="s">
        <v>145</v>
      </c>
      <c r="D46" s="240" t="s">
        <v>146</v>
      </c>
      <c r="E46" s="258" t="s">
        <v>147</v>
      </c>
    </row>
    <row r="47" spans="2:5" ht="51" x14ac:dyDescent="0.2">
      <c r="B47" s="349"/>
      <c r="C47" s="257" t="s">
        <v>149</v>
      </c>
      <c r="D47" s="259" t="s">
        <v>150</v>
      </c>
      <c r="E47" s="258" t="s">
        <v>2622</v>
      </c>
    </row>
    <row r="48" spans="2:5" ht="25.5" x14ac:dyDescent="0.2">
      <c r="B48" s="349"/>
      <c r="C48" s="265" t="s">
        <v>151</v>
      </c>
      <c r="D48" s="259" t="s">
        <v>2645</v>
      </c>
      <c r="E48" s="258" t="s">
        <v>2623</v>
      </c>
    </row>
    <row r="49" spans="2:5" ht="38.25" x14ac:dyDescent="0.2">
      <c r="B49" s="349"/>
      <c r="C49" s="264" t="s">
        <v>2641</v>
      </c>
      <c r="D49" s="259" t="s">
        <v>2643</v>
      </c>
      <c r="E49" s="242" t="s">
        <v>2624</v>
      </c>
    </row>
    <row r="50" spans="2:5" ht="38.25" x14ac:dyDescent="0.2">
      <c r="B50" s="349"/>
      <c r="C50" s="263" t="s">
        <v>2642</v>
      </c>
      <c r="D50" s="259" t="s">
        <v>2644</v>
      </c>
      <c r="E50" s="242" t="s">
        <v>2624</v>
      </c>
    </row>
    <row r="51" spans="2:5" ht="25.5" x14ac:dyDescent="0.2">
      <c r="B51" s="349"/>
      <c r="C51" s="257" t="s">
        <v>2629</v>
      </c>
      <c r="D51" s="259" t="s">
        <v>152</v>
      </c>
      <c r="E51" s="258" t="s">
        <v>147</v>
      </c>
    </row>
    <row r="52" spans="2:5" x14ac:dyDescent="0.2">
      <c r="B52" s="349"/>
      <c r="C52" s="257" t="s">
        <v>153</v>
      </c>
      <c r="D52" s="259" t="s">
        <v>154</v>
      </c>
      <c r="E52" s="258" t="s">
        <v>89</v>
      </c>
    </row>
    <row r="53" spans="2:5" ht="25.5" x14ac:dyDescent="0.2">
      <c r="B53" s="349"/>
      <c r="C53" s="257" t="s">
        <v>155</v>
      </c>
      <c r="D53" s="259" t="s">
        <v>156</v>
      </c>
      <c r="E53" s="258" t="s">
        <v>2625</v>
      </c>
    </row>
    <row r="54" spans="2:5" x14ac:dyDescent="0.2">
      <c r="B54" s="349"/>
      <c r="C54" s="257" t="s">
        <v>157</v>
      </c>
      <c r="D54" s="259" t="s">
        <v>158</v>
      </c>
      <c r="E54" s="258" t="s">
        <v>89</v>
      </c>
    </row>
    <row r="55" spans="2:5" x14ac:dyDescent="0.2">
      <c r="B55" s="349"/>
      <c r="C55" s="257" t="s">
        <v>159</v>
      </c>
      <c r="D55" s="259" t="s">
        <v>160</v>
      </c>
      <c r="E55" s="258" t="s">
        <v>89</v>
      </c>
    </row>
    <row r="56" spans="2:5" x14ac:dyDescent="0.2">
      <c r="B56" s="349"/>
      <c r="C56" s="257" t="s">
        <v>161</v>
      </c>
      <c r="D56" s="259" t="s">
        <v>162</v>
      </c>
      <c r="E56" s="258" t="s">
        <v>89</v>
      </c>
    </row>
    <row r="57" spans="2:5" ht="39" thickBot="1" x14ac:dyDescent="0.25">
      <c r="B57" s="350"/>
      <c r="C57" s="260" t="s">
        <v>163</v>
      </c>
      <c r="D57" s="261" t="s">
        <v>164</v>
      </c>
      <c r="E57" s="262" t="s">
        <v>2626</v>
      </c>
    </row>
    <row r="58" spans="2:5" x14ac:dyDescent="0.2">
      <c r="B58" s="278"/>
      <c r="C58" s="246"/>
      <c r="D58" s="274"/>
    </row>
    <row r="59" spans="2:5" x14ac:dyDescent="0.2">
      <c r="B59" s="278"/>
      <c r="C59" s="246"/>
      <c r="D59" s="274"/>
    </row>
    <row r="60" spans="2:5" x14ac:dyDescent="0.2">
      <c r="B60" s="278"/>
      <c r="C60" s="246"/>
      <c r="D60" s="274"/>
    </row>
    <row r="61" spans="2:5" x14ac:dyDescent="0.2">
      <c r="B61" s="278"/>
      <c r="C61" s="246"/>
      <c r="D61" s="274"/>
    </row>
    <row r="62" spans="2:5" x14ac:dyDescent="0.2">
      <c r="B62" s="278"/>
      <c r="C62" s="246"/>
      <c r="D62" s="274"/>
    </row>
    <row r="63" spans="2:5" x14ac:dyDescent="0.2">
      <c r="B63" s="278"/>
      <c r="C63" s="246"/>
      <c r="D63" s="274"/>
    </row>
    <row r="64" spans="2:5" x14ac:dyDescent="0.2">
      <c r="B64" s="278"/>
      <c r="C64" s="246"/>
      <c r="D64" s="274"/>
    </row>
    <row r="65" spans="2:4" x14ac:dyDescent="0.2">
      <c r="B65" s="278"/>
      <c r="C65" s="246"/>
      <c r="D65" s="274"/>
    </row>
    <row r="66" spans="2:4" x14ac:dyDescent="0.2">
      <c r="B66" s="278"/>
      <c r="C66" s="246"/>
      <c r="D66" s="274"/>
    </row>
    <row r="67" spans="2:4" x14ac:dyDescent="0.2">
      <c r="B67" s="278"/>
      <c r="C67" s="246"/>
      <c r="D67" s="274"/>
    </row>
    <row r="68" spans="2:4" x14ac:dyDescent="0.2">
      <c r="B68" s="278"/>
      <c r="C68" s="246"/>
      <c r="D68" s="274"/>
    </row>
    <row r="69" spans="2:4" x14ac:dyDescent="0.2">
      <c r="B69" s="278"/>
      <c r="C69" s="246"/>
      <c r="D69" s="274"/>
    </row>
    <row r="70" spans="2:4" x14ac:dyDescent="0.2">
      <c r="B70" s="278"/>
      <c r="C70" s="246"/>
      <c r="D70" s="274"/>
    </row>
    <row r="71" spans="2:4" x14ac:dyDescent="0.2">
      <c r="B71" s="278"/>
      <c r="C71" s="246"/>
      <c r="D71" s="274"/>
    </row>
    <row r="72" spans="2:4" x14ac:dyDescent="0.2">
      <c r="B72" s="278"/>
      <c r="C72" s="246"/>
      <c r="D72" s="274"/>
    </row>
    <row r="73" spans="2:4" x14ac:dyDescent="0.2">
      <c r="B73" s="278"/>
      <c r="C73" s="246"/>
      <c r="D73" s="274"/>
    </row>
    <row r="74" spans="2:4" x14ac:dyDescent="0.2">
      <c r="B74" s="278"/>
      <c r="C74" s="246"/>
      <c r="D74" s="274"/>
    </row>
    <row r="75" spans="2:4" x14ac:dyDescent="0.2">
      <c r="B75" s="278"/>
      <c r="C75" s="246"/>
      <c r="D75" s="274"/>
    </row>
    <row r="76" spans="2:4" x14ac:dyDescent="0.2">
      <c r="B76" s="278"/>
      <c r="C76" s="246"/>
      <c r="D76" s="274"/>
    </row>
    <row r="77" spans="2:4" x14ac:dyDescent="0.2">
      <c r="B77" s="278"/>
      <c r="C77" s="246"/>
      <c r="D77" s="274"/>
    </row>
    <row r="78" spans="2:4" x14ac:dyDescent="0.2">
      <c r="B78" s="278"/>
      <c r="C78" s="246"/>
      <c r="D78" s="274"/>
    </row>
    <row r="79" spans="2:4" x14ac:dyDescent="0.2">
      <c r="B79" s="278"/>
      <c r="C79" s="246"/>
      <c r="D79" s="274"/>
    </row>
    <row r="80" spans="2:4" x14ac:dyDescent="0.2">
      <c r="B80" s="278"/>
      <c r="C80" s="246"/>
      <c r="D80" s="274"/>
    </row>
    <row r="81" spans="2:4" x14ac:dyDescent="0.2">
      <c r="B81" s="278"/>
      <c r="C81" s="246"/>
      <c r="D81" s="274"/>
    </row>
    <row r="82" spans="2:4" x14ac:dyDescent="0.2">
      <c r="B82" s="278"/>
      <c r="C82" s="246"/>
      <c r="D82" s="274"/>
    </row>
    <row r="83" spans="2:4" x14ac:dyDescent="0.2">
      <c r="B83" s="278"/>
      <c r="C83" s="246"/>
      <c r="D83" s="274"/>
    </row>
    <row r="84" spans="2:4" x14ac:dyDescent="0.2">
      <c r="B84" s="278"/>
      <c r="C84" s="246"/>
      <c r="D84" s="274"/>
    </row>
    <row r="85" spans="2:4" x14ac:dyDescent="0.2">
      <c r="B85" s="278"/>
      <c r="C85" s="246"/>
      <c r="D85" s="274"/>
    </row>
    <row r="86" spans="2:4" x14ac:dyDescent="0.2">
      <c r="B86" s="278"/>
      <c r="C86" s="246"/>
      <c r="D86" s="274"/>
    </row>
    <row r="87" spans="2:4" x14ac:dyDescent="0.2">
      <c r="B87" s="278"/>
      <c r="C87" s="246"/>
      <c r="D87" s="274"/>
    </row>
    <row r="88" spans="2:4" x14ac:dyDescent="0.2">
      <c r="B88" s="278"/>
      <c r="C88" s="246"/>
      <c r="D88" s="274"/>
    </row>
    <row r="89" spans="2:4" x14ac:dyDescent="0.2">
      <c r="B89" s="278"/>
      <c r="C89" s="246"/>
      <c r="D89" s="274"/>
    </row>
    <row r="90" spans="2:4" x14ac:dyDescent="0.2">
      <c r="B90" s="278"/>
      <c r="C90" s="246"/>
      <c r="D90" s="274"/>
    </row>
    <row r="91" spans="2:4" x14ac:dyDescent="0.2">
      <c r="B91" s="278"/>
      <c r="C91" s="246"/>
      <c r="D91" s="274"/>
    </row>
    <row r="92" spans="2:4" x14ac:dyDescent="0.2">
      <c r="B92" s="278"/>
      <c r="C92" s="246"/>
      <c r="D92" s="274"/>
    </row>
    <row r="93" spans="2:4" x14ac:dyDescent="0.2">
      <c r="B93" s="278"/>
      <c r="C93" s="246"/>
      <c r="D93" s="274"/>
    </row>
    <row r="94" spans="2:4" x14ac:dyDescent="0.2">
      <c r="B94" s="278"/>
      <c r="C94" s="246"/>
      <c r="D94" s="274"/>
    </row>
    <row r="95" spans="2:4" x14ac:dyDescent="0.2">
      <c r="B95" s="278"/>
      <c r="C95" s="246"/>
      <c r="D95" s="274"/>
    </row>
    <row r="96" spans="2:4" x14ac:dyDescent="0.2">
      <c r="B96" s="278"/>
      <c r="C96" s="246"/>
      <c r="D96" s="274"/>
    </row>
    <row r="97" spans="2:4" x14ac:dyDescent="0.2">
      <c r="B97" s="278"/>
      <c r="C97" s="246"/>
      <c r="D97" s="274"/>
    </row>
    <row r="98" spans="2:4" x14ac:dyDescent="0.2">
      <c r="B98" s="278"/>
      <c r="C98" s="246"/>
      <c r="D98" s="274"/>
    </row>
    <row r="99" spans="2:4" x14ac:dyDescent="0.2">
      <c r="B99" s="278"/>
      <c r="C99" s="246"/>
      <c r="D99" s="274"/>
    </row>
    <row r="100" spans="2:4" x14ac:dyDescent="0.2">
      <c r="B100" s="278"/>
      <c r="C100" s="246"/>
      <c r="D100" s="274"/>
    </row>
    <row r="101" spans="2:4" x14ac:dyDescent="0.2">
      <c r="B101" s="278"/>
      <c r="C101" s="246"/>
      <c r="D101" s="274"/>
    </row>
    <row r="102" spans="2:4" x14ac:dyDescent="0.2">
      <c r="B102" s="278"/>
      <c r="C102" s="246"/>
      <c r="D102" s="274"/>
    </row>
    <row r="103" spans="2:4" x14ac:dyDescent="0.2">
      <c r="B103" s="278"/>
      <c r="C103" s="246"/>
      <c r="D103" s="274"/>
    </row>
    <row r="104" spans="2:4" x14ac:dyDescent="0.2">
      <c r="B104" s="278"/>
      <c r="C104" s="246"/>
      <c r="D104" s="274"/>
    </row>
    <row r="105" spans="2:4" x14ac:dyDescent="0.2">
      <c r="B105" s="278"/>
      <c r="C105" s="246"/>
      <c r="D105" s="274"/>
    </row>
    <row r="106" spans="2:4" x14ac:dyDescent="0.2">
      <c r="B106" s="278"/>
      <c r="C106" s="246"/>
      <c r="D106" s="274"/>
    </row>
    <row r="107" spans="2:4" x14ac:dyDescent="0.2">
      <c r="B107" s="278"/>
      <c r="C107" s="246"/>
      <c r="D107" s="274"/>
    </row>
    <row r="108" spans="2:4" x14ac:dyDescent="0.2">
      <c r="B108" s="278"/>
      <c r="C108" s="246"/>
      <c r="D108" s="274"/>
    </row>
    <row r="109" spans="2:4" x14ac:dyDescent="0.2">
      <c r="B109" s="278"/>
      <c r="C109" s="246"/>
      <c r="D109" s="274"/>
    </row>
    <row r="110" spans="2:4" x14ac:dyDescent="0.2">
      <c r="B110" s="278"/>
      <c r="C110" s="246"/>
      <c r="D110" s="274"/>
    </row>
    <row r="111" spans="2:4" x14ac:dyDescent="0.2">
      <c r="B111" s="278"/>
      <c r="C111" s="246"/>
      <c r="D111" s="274"/>
    </row>
    <row r="112" spans="2:4" x14ac:dyDescent="0.2">
      <c r="B112" s="278"/>
      <c r="C112" s="246"/>
      <c r="D112" s="274"/>
    </row>
    <row r="113" spans="2:4" x14ac:dyDescent="0.2">
      <c r="B113" s="278"/>
      <c r="C113" s="246"/>
      <c r="D113" s="274"/>
    </row>
    <row r="114" spans="2:4" x14ac:dyDescent="0.2">
      <c r="B114" s="278"/>
      <c r="C114" s="246"/>
      <c r="D114" s="274"/>
    </row>
    <row r="115" spans="2:4" x14ac:dyDescent="0.2">
      <c r="B115" s="278"/>
      <c r="C115" s="246"/>
      <c r="D115" s="274"/>
    </row>
    <row r="116" spans="2:4" x14ac:dyDescent="0.2">
      <c r="B116" s="278"/>
      <c r="C116" s="246"/>
      <c r="D116" s="274"/>
    </row>
    <row r="117" spans="2:4" x14ac:dyDescent="0.2">
      <c r="B117" s="278"/>
      <c r="C117" s="246"/>
      <c r="D117" s="274"/>
    </row>
    <row r="118" spans="2:4" x14ac:dyDescent="0.2">
      <c r="B118" s="278"/>
      <c r="C118" s="246"/>
      <c r="D118" s="274"/>
    </row>
    <row r="119" spans="2:4" x14ac:dyDescent="0.2">
      <c r="B119" s="278"/>
      <c r="C119" s="246"/>
      <c r="D119" s="274"/>
    </row>
    <row r="120" spans="2:4" x14ac:dyDescent="0.2">
      <c r="B120" s="278"/>
      <c r="C120" s="246"/>
      <c r="D120" s="274"/>
    </row>
    <row r="121" spans="2:4" x14ac:dyDescent="0.2">
      <c r="B121" s="278"/>
      <c r="C121" s="246"/>
      <c r="D121" s="274"/>
    </row>
    <row r="122" spans="2:4" x14ac:dyDescent="0.2">
      <c r="B122" s="278"/>
      <c r="C122" s="246"/>
      <c r="D122" s="274"/>
    </row>
    <row r="123" spans="2:4" x14ac:dyDescent="0.2">
      <c r="B123" s="278"/>
      <c r="C123" s="246"/>
      <c r="D123" s="274"/>
    </row>
    <row r="124" spans="2:4" x14ac:dyDescent="0.2">
      <c r="B124" s="278"/>
      <c r="C124" s="246"/>
      <c r="D124" s="274"/>
    </row>
    <row r="125" spans="2:4" x14ac:dyDescent="0.2">
      <c r="B125" s="278"/>
      <c r="C125" s="246"/>
      <c r="D125" s="274"/>
    </row>
    <row r="126" spans="2:4" x14ac:dyDescent="0.2">
      <c r="B126" s="278"/>
      <c r="C126" s="246"/>
      <c r="D126" s="274"/>
    </row>
    <row r="127" spans="2:4" x14ac:dyDescent="0.2">
      <c r="B127" s="278"/>
      <c r="C127" s="246"/>
      <c r="D127" s="274"/>
    </row>
    <row r="128" spans="2:4" x14ac:dyDescent="0.2">
      <c r="B128" s="278"/>
      <c r="C128" s="246"/>
      <c r="D128" s="274"/>
    </row>
    <row r="129" spans="2:4" x14ac:dyDescent="0.2">
      <c r="B129" s="278"/>
      <c r="C129" s="246"/>
      <c r="D129" s="274"/>
    </row>
    <row r="130" spans="2:4" x14ac:dyDescent="0.2">
      <c r="B130" s="278"/>
      <c r="C130" s="246"/>
      <c r="D130" s="274"/>
    </row>
    <row r="131" spans="2:4" x14ac:dyDescent="0.2">
      <c r="B131" s="278"/>
      <c r="C131" s="246"/>
      <c r="D131" s="274"/>
    </row>
    <row r="132" spans="2:4" x14ac:dyDescent="0.2">
      <c r="B132" s="278"/>
      <c r="C132" s="246"/>
      <c r="D132" s="274"/>
    </row>
    <row r="133" spans="2:4" x14ac:dyDescent="0.2">
      <c r="B133" s="278"/>
      <c r="C133" s="246"/>
      <c r="D133" s="274"/>
    </row>
    <row r="134" spans="2:4" x14ac:dyDescent="0.2">
      <c r="B134" s="278"/>
      <c r="C134" s="246"/>
      <c r="D134" s="274"/>
    </row>
    <row r="135" spans="2:4" x14ac:dyDescent="0.2">
      <c r="B135" s="278"/>
      <c r="C135" s="246"/>
      <c r="D135" s="274"/>
    </row>
    <row r="136" spans="2:4" x14ac:dyDescent="0.2">
      <c r="B136" s="278"/>
      <c r="C136" s="246"/>
      <c r="D136" s="274"/>
    </row>
    <row r="137" spans="2:4" x14ac:dyDescent="0.2">
      <c r="B137" s="278"/>
      <c r="C137" s="246"/>
      <c r="D137" s="274"/>
    </row>
    <row r="138" spans="2:4" x14ac:dyDescent="0.2">
      <c r="B138" s="278"/>
      <c r="C138" s="246"/>
      <c r="D138" s="274"/>
    </row>
    <row r="139" spans="2:4" x14ac:dyDescent="0.2">
      <c r="B139" s="278"/>
      <c r="C139" s="246"/>
      <c r="D139" s="274"/>
    </row>
    <row r="140" spans="2:4" x14ac:dyDescent="0.2">
      <c r="B140" s="278"/>
      <c r="C140" s="246"/>
      <c r="D140" s="274"/>
    </row>
    <row r="141" spans="2:4" x14ac:dyDescent="0.2">
      <c r="B141" s="278"/>
      <c r="C141" s="246"/>
      <c r="D141" s="274"/>
    </row>
    <row r="142" spans="2:4" x14ac:dyDescent="0.2">
      <c r="B142" s="278"/>
      <c r="C142" s="246"/>
      <c r="D142" s="274"/>
    </row>
    <row r="143" spans="2:4" x14ac:dyDescent="0.2">
      <c r="B143" s="278"/>
      <c r="C143" s="246"/>
      <c r="D143" s="274"/>
    </row>
    <row r="144" spans="2:4" x14ac:dyDescent="0.2">
      <c r="B144" s="278"/>
      <c r="C144" s="246"/>
      <c r="D144" s="274"/>
    </row>
    <row r="145" spans="2:4" x14ac:dyDescent="0.2">
      <c r="B145" s="278"/>
      <c r="C145" s="246"/>
      <c r="D145" s="274"/>
    </row>
    <row r="146" spans="2:4" x14ac:dyDescent="0.2">
      <c r="B146" s="278"/>
      <c r="C146" s="246"/>
      <c r="D146" s="274"/>
    </row>
    <row r="147" spans="2:4" x14ac:dyDescent="0.2">
      <c r="B147" s="278"/>
      <c r="C147" s="246"/>
      <c r="D147" s="274"/>
    </row>
    <row r="148" spans="2:4" x14ac:dyDescent="0.2">
      <c r="B148" s="278"/>
      <c r="C148" s="246"/>
      <c r="D148" s="274"/>
    </row>
    <row r="149" spans="2:4" x14ac:dyDescent="0.2">
      <c r="B149" s="278"/>
      <c r="C149" s="246"/>
      <c r="D149" s="274"/>
    </row>
    <row r="150" spans="2:4" x14ac:dyDescent="0.2">
      <c r="B150" s="278"/>
      <c r="C150" s="246"/>
      <c r="D150" s="274"/>
    </row>
    <row r="151" spans="2:4" x14ac:dyDescent="0.2">
      <c r="B151" s="278"/>
      <c r="C151" s="246"/>
      <c r="D151" s="274"/>
    </row>
    <row r="152" spans="2:4" x14ac:dyDescent="0.2">
      <c r="B152" s="278"/>
      <c r="C152" s="246"/>
      <c r="D152" s="274"/>
    </row>
    <row r="153" spans="2:4" x14ac:dyDescent="0.2">
      <c r="B153" s="278"/>
      <c r="C153" s="246"/>
      <c r="D153" s="274"/>
    </row>
    <row r="154" spans="2:4" x14ac:dyDescent="0.2">
      <c r="B154" s="278"/>
      <c r="C154" s="246"/>
      <c r="D154" s="274"/>
    </row>
    <row r="155" spans="2:4" x14ac:dyDescent="0.2">
      <c r="B155" s="278"/>
      <c r="C155" s="246"/>
      <c r="D155" s="274"/>
    </row>
    <row r="156" spans="2:4" x14ac:dyDescent="0.2">
      <c r="B156" s="278"/>
      <c r="C156" s="246"/>
      <c r="D156" s="274"/>
    </row>
    <row r="157" spans="2:4" x14ac:dyDescent="0.2">
      <c r="B157" s="278"/>
      <c r="C157" s="246"/>
      <c r="D157" s="274"/>
    </row>
    <row r="158" spans="2:4" x14ac:dyDescent="0.2">
      <c r="B158" s="278"/>
      <c r="C158" s="246"/>
      <c r="D158" s="274"/>
    </row>
    <row r="159" spans="2:4" x14ac:dyDescent="0.2">
      <c r="B159" s="278"/>
      <c r="C159" s="246"/>
      <c r="D159" s="274"/>
    </row>
    <row r="160" spans="2:4" x14ac:dyDescent="0.2">
      <c r="B160" s="278"/>
      <c r="C160" s="246"/>
      <c r="D160" s="274"/>
    </row>
    <row r="161" spans="2:4" x14ac:dyDescent="0.2">
      <c r="B161" s="278"/>
      <c r="C161" s="246"/>
      <c r="D161" s="274"/>
    </row>
    <row r="162" spans="2:4" x14ac:dyDescent="0.2">
      <c r="B162" s="278"/>
      <c r="C162" s="246"/>
      <c r="D162" s="274"/>
    </row>
    <row r="163" spans="2:4" x14ac:dyDescent="0.2">
      <c r="B163" s="278"/>
      <c r="C163" s="246"/>
      <c r="D163" s="274"/>
    </row>
    <row r="164" spans="2:4" x14ac:dyDescent="0.2">
      <c r="B164" s="278"/>
      <c r="C164" s="246"/>
      <c r="D164" s="274"/>
    </row>
    <row r="165" spans="2:4" x14ac:dyDescent="0.2">
      <c r="B165" s="278"/>
      <c r="C165" s="246"/>
      <c r="D165" s="274"/>
    </row>
    <row r="166" spans="2:4" x14ac:dyDescent="0.2">
      <c r="B166" s="278"/>
      <c r="C166" s="246"/>
      <c r="D166" s="274"/>
    </row>
    <row r="167" spans="2:4" x14ac:dyDescent="0.2">
      <c r="B167" s="278"/>
      <c r="C167" s="246"/>
      <c r="D167" s="274"/>
    </row>
    <row r="168" spans="2:4" x14ac:dyDescent="0.2">
      <c r="B168" s="278"/>
      <c r="C168" s="246"/>
      <c r="D168" s="274"/>
    </row>
    <row r="169" spans="2:4" x14ac:dyDescent="0.2">
      <c r="B169" s="278"/>
      <c r="C169" s="246"/>
      <c r="D169" s="274"/>
    </row>
    <row r="170" spans="2:4" x14ac:dyDescent="0.2">
      <c r="B170" s="278"/>
      <c r="C170" s="246"/>
      <c r="D170" s="274"/>
    </row>
    <row r="171" spans="2:4" x14ac:dyDescent="0.2">
      <c r="B171" s="278"/>
      <c r="C171" s="246"/>
      <c r="D171" s="274"/>
    </row>
    <row r="172" spans="2:4" x14ac:dyDescent="0.2">
      <c r="B172" s="278"/>
      <c r="C172" s="246"/>
      <c r="D172" s="274"/>
    </row>
    <row r="173" spans="2:4" x14ac:dyDescent="0.2">
      <c r="B173" s="278"/>
      <c r="C173" s="246"/>
      <c r="D173" s="274"/>
    </row>
    <row r="174" spans="2:4" x14ac:dyDescent="0.2">
      <c r="B174" s="278"/>
      <c r="C174" s="246"/>
      <c r="D174" s="274"/>
    </row>
    <row r="175" spans="2:4" x14ac:dyDescent="0.2">
      <c r="B175" s="278"/>
      <c r="C175" s="246"/>
      <c r="D175" s="274"/>
    </row>
    <row r="176" spans="2:4" x14ac:dyDescent="0.2">
      <c r="B176" s="278"/>
      <c r="C176" s="246"/>
      <c r="D176" s="274"/>
    </row>
    <row r="177" spans="2:4" x14ac:dyDescent="0.2">
      <c r="B177" s="278"/>
      <c r="C177" s="246"/>
      <c r="D177" s="274"/>
    </row>
    <row r="178" spans="2:4" x14ac:dyDescent="0.2">
      <c r="B178" s="278"/>
      <c r="C178" s="246"/>
      <c r="D178" s="274"/>
    </row>
    <row r="179" spans="2:4" x14ac:dyDescent="0.2">
      <c r="B179" s="278"/>
      <c r="C179" s="246"/>
      <c r="D179" s="274"/>
    </row>
    <row r="180" spans="2:4" x14ac:dyDescent="0.2">
      <c r="B180" s="278"/>
      <c r="C180" s="246"/>
      <c r="D180" s="274"/>
    </row>
    <row r="181" spans="2:4" x14ac:dyDescent="0.2">
      <c r="B181" s="278"/>
      <c r="C181" s="246"/>
      <c r="D181" s="274"/>
    </row>
    <row r="182" spans="2:4" x14ac:dyDescent="0.2">
      <c r="B182" s="278"/>
      <c r="C182" s="246"/>
      <c r="D182" s="274"/>
    </row>
    <row r="183" spans="2:4" x14ac:dyDescent="0.2">
      <c r="B183" s="278"/>
      <c r="C183" s="246"/>
      <c r="D183" s="274"/>
    </row>
    <row r="184" spans="2:4" x14ac:dyDescent="0.2">
      <c r="B184" s="278"/>
      <c r="C184" s="246"/>
      <c r="D184" s="274"/>
    </row>
    <row r="185" spans="2:4" x14ac:dyDescent="0.2">
      <c r="B185" s="278"/>
      <c r="C185" s="246"/>
      <c r="D185" s="274"/>
    </row>
    <row r="186" spans="2:4" x14ac:dyDescent="0.2">
      <c r="B186" s="278"/>
      <c r="C186" s="246"/>
      <c r="D186" s="274"/>
    </row>
    <row r="187" spans="2:4" x14ac:dyDescent="0.2">
      <c r="B187" s="278"/>
      <c r="C187" s="246"/>
      <c r="D187" s="274"/>
    </row>
    <row r="188" spans="2:4" x14ac:dyDescent="0.2">
      <c r="B188" s="278"/>
      <c r="C188" s="246"/>
      <c r="D188" s="274"/>
    </row>
    <row r="189" spans="2:4" x14ac:dyDescent="0.2">
      <c r="B189" s="278"/>
      <c r="C189" s="246"/>
      <c r="D189" s="274"/>
    </row>
    <row r="190" spans="2:4" x14ac:dyDescent="0.2">
      <c r="B190" s="278"/>
      <c r="C190" s="246"/>
      <c r="D190" s="274"/>
    </row>
    <row r="191" spans="2:4" x14ac:dyDescent="0.2">
      <c r="B191" s="278"/>
      <c r="C191" s="246"/>
      <c r="D191" s="274"/>
    </row>
    <row r="192" spans="2:4" x14ac:dyDescent="0.2">
      <c r="B192" s="278"/>
      <c r="C192" s="246"/>
      <c r="D192" s="274"/>
    </row>
    <row r="193" spans="2:4" x14ac:dyDescent="0.2">
      <c r="B193" s="278"/>
      <c r="C193" s="246"/>
      <c r="D193" s="274"/>
    </row>
    <row r="194" spans="2:4" x14ac:dyDescent="0.2">
      <c r="B194" s="278"/>
      <c r="C194" s="246"/>
      <c r="D194" s="274"/>
    </row>
    <row r="195" spans="2:4" x14ac:dyDescent="0.2">
      <c r="B195" s="278"/>
      <c r="C195" s="246"/>
      <c r="D195" s="274"/>
    </row>
    <row r="196" spans="2:4" x14ac:dyDescent="0.2">
      <c r="B196" s="278"/>
      <c r="C196" s="246"/>
      <c r="D196" s="274"/>
    </row>
    <row r="197" spans="2:4" x14ac:dyDescent="0.2">
      <c r="B197" s="278"/>
      <c r="C197" s="246"/>
      <c r="D197" s="274"/>
    </row>
    <row r="198" spans="2:4" x14ac:dyDescent="0.2">
      <c r="B198" s="278"/>
      <c r="C198" s="246"/>
      <c r="D198" s="274"/>
    </row>
    <row r="199" spans="2:4" x14ac:dyDescent="0.2">
      <c r="B199" s="278"/>
      <c r="C199" s="246"/>
      <c r="D199" s="274"/>
    </row>
    <row r="200" spans="2:4" x14ac:dyDescent="0.2">
      <c r="B200" s="278"/>
      <c r="C200" s="246"/>
      <c r="D200" s="274"/>
    </row>
    <row r="201" spans="2:4" x14ac:dyDescent="0.2">
      <c r="B201" s="278"/>
      <c r="C201" s="246"/>
      <c r="D201" s="274"/>
    </row>
    <row r="202" spans="2:4" x14ac:dyDescent="0.2">
      <c r="B202" s="278"/>
      <c r="C202" s="246"/>
      <c r="D202" s="274"/>
    </row>
    <row r="203" spans="2:4" x14ac:dyDescent="0.2">
      <c r="B203" s="278"/>
      <c r="C203" s="246"/>
      <c r="D203" s="274"/>
    </row>
    <row r="204" spans="2:4" x14ac:dyDescent="0.2">
      <c r="B204" s="278"/>
      <c r="C204" s="246"/>
      <c r="D204" s="274"/>
    </row>
    <row r="205" spans="2:4" x14ac:dyDescent="0.2">
      <c r="B205" s="278"/>
      <c r="C205" s="246"/>
      <c r="D205" s="274"/>
    </row>
    <row r="206" spans="2:4" x14ac:dyDescent="0.2">
      <c r="B206" s="278"/>
      <c r="C206" s="246"/>
      <c r="D206" s="274"/>
    </row>
    <row r="207" spans="2:4" x14ac:dyDescent="0.2">
      <c r="B207" s="278"/>
      <c r="C207" s="246"/>
      <c r="D207" s="274"/>
    </row>
    <row r="208" spans="2:4" x14ac:dyDescent="0.2">
      <c r="B208" s="278"/>
      <c r="C208" s="246"/>
      <c r="D208" s="274"/>
    </row>
    <row r="209" spans="2:4" x14ac:dyDescent="0.2">
      <c r="B209" s="278"/>
      <c r="C209" s="246"/>
      <c r="D209" s="274"/>
    </row>
    <row r="210" spans="2:4" x14ac:dyDescent="0.2">
      <c r="B210" s="278"/>
      <c r="C210" s="246"/>
      <c r="D210" s="274"/>
    </row>
    <row r="211" spans="2:4" x14ac:dyDescent="0.2">
      <c r="B211" s="278"/>
      <c r="C211" s="246"/>
      <c r="D211" s="274"/>
    </row>
    <row r="212" spans="2:4" x14ac:dyDescent="0.2">
      <c r="B212" s="278"/>
      <c r="C212" s="246"/>
      <c r="D212" s="274"/>
    </row>
    <row r="213" spans="2:4" x14ac:dyDescent="0.2">
      <c r="B213" s="278"/>
      <c r="C213" s="246"/>
      <c r="D213" s="274"/>
    </row>
    <row r="214" spans="2:4" x14ac:dyDescent="0.2">
      <c r="B214" s="278"/>
      <c r="C214" s="246"/>
      <c r="D214" s="274"/>
    </row>
    <row r="215" spans="2:4" x14ac:dyDescent="0.2">
      <c r="B215" s="278"/>
      <c r="C215" s="246"/>
      <c r="D215" s="274"/>
    </row>
    <row r="216" spans="2:4" x14ac:dyDescent="0.2">
      <c r="B216" s="278"/>
      <c r="C216" s="246"/>
      <c r="D216" s="274"/>
    </row>
    <row r="217" spans="2:4" x14ac:dyDescent="0.2">
      <c r="B217" s="278"/>
      <c r="C217" s="246"/>
      <c r="D217" s="274"/>
    </row>
    <row r="218" spans="2:4" x14ac:dyDescent="0.2">
      <c r="B218" s="278"/>
      <c r="C218" s="246"/>
      <c r="D218" s="274"/>
    </row>
    <row r="219" spans="2:4" x14ac:dyDescent="0.2">
      <c r="B219" s="278"/>
      <c r="C219" s="246"/>
      <c r="D219" s="274"/>
    </row>
    <row r="220" spans="2:4" x14ac:dyDescent="0.2">
      <c r="B220" s="278"/>
      <c r="C220" s="246"/>
      <c r="D220" s="274"/>
    </row>
    <row r="221" spans="2:4" x14ac:dyDescent="0.2">
      <c r="B221" s="278"/>
      <c r="C221" s="246"/>
      <c r="D221" s="274"/>
    </row>
    <row r="222" spans="2:4" x14ac:dyDescent="0.2">
      <c r="B222" s="278"/>
      <c r="C222" s="246"/>
      <c r="D222" s="274"/>
    </row>
    <row r="223" spans="2:4" x14ac:dyDescent="0.2">
      <c r="B223" s="278"/>
      <c r="C223" s="246"/>
      <c r="D223" s="274"/>
    </row>
    <row r="224" spans="2:4" x14ac:dyDescent="0.2">
      <c r="B224" s="278"/>
      <c r="C224" s="246"/>
      <c r="D224" s="274"/>
    </row>
    <row r="225" spans="2:4" x14ac:dyDescent="0.2">
      <c r="B225" s="278"/>
      <c r="C225" s="246"/>
      <c r="D225" s="274"/>
    </row>
    <row r="226" spans="2:4" x14ac:dyDescent="0.2">
      <c r="B226" s="278"/>
      <c r="C226" s="246"/>
      <c r="D226" s="274"/>
    </row>
    <row r="227" spans="2:4" x14ac:dyDescent="0.2">
      <c r="B227" s="278"/>
      <c r="C227" s="246"/>
      <c r="D227" s="274"/>
    </row>
    <row r="228" spans="2:4" x14ac:dyDescent="0.2">
      <c r="B228" s="278"/>
      <c r="C228" s="246"/>
      <c r="D228" s="274"/>
    </row>
    <row r="229" spans="2:4" x14ac:dyDescent="0.2">
      <c r="B229" s="278"/>
      <c r="C229" s="246"/>
      <c r="D229" s="274"/>
    </row>
    <row r="230" spans="2:4" x14ac:dyDescent="0.2">
      <c r="B230" s="278"/>
      <c r="C230" s="246"/>
      <c r="D230" s="274"/>
    </row>
    <row r="231" spans="2:4" x14ac:dyDescent="0.2">
      <c r="B231" s="278"/>
      <c r="C231" s="246"/>
      <c r="D231" s="274"/>
    </row>
    <row r="232" spans="2:4" x14ac:dyDescent="0.2">
      <c r="B232" s="278"/>
      <c r="C232" s="246"/>
      <c r="D232" s="274"/>
    </row>
    <row r="233" spans="2:4" x14ac:dyDescent="0.2">
      <c r="B233" s="278"/>
      <c r="C233" s="246"/>
      <c r="D233" s="274"/>
    </row>
    <row r="234" spans="2:4" x14ac:dyDescent="0.2">
      <c r="B234" s="278"/>
      <c r="C234" s="246"/>
      <c r="D234" s="274"/>
    </row>
    <row r="235" spans="2:4" x14ac:dyDescent="0.2">
      <c r="B235" s="278"/>
      <c r="C235" s="246"/>
      <c r="D235" s="274"/>
    </row>
    <row r="236" spans="2:4" x14ac:dyDescent="0.2">
      <c r="B236" s="278"/>
      <c r="C236" s="246"/>
      <c r="D236" s="274"/>
    </row>
    <row r="237" spans="2:4" x14ac:dyDescent="0.2">
      <c r="B237" s="278"/>
      <c r="C237" s="246"/>
      <c r="D237" s="274"/>
    </row>
    <row r="238" spans="2:4" x14ac:dyDescent="0.2">
      <c r="B238" s="278"/>
      <c r="C238" s="246"/>
      <c r="D238" s="274"/>
    </row>
    <row r="239" spans="2:4" x14ac:dyDescent="0.2">
      <c r="B239" s="278"/>
      <c r="C239" s="246"/>
      <c r="D239" s="274"/>
    </row>
    <row r="240" spans="2:4" x14ac:dyDescent="0.2">
      <c r="B240" s="278"/>
      <c r="C240" s="246"/>
      <c r="D240" s="274"/>
    </row>
    <row r="241" spans="2:4" x14ac:dyDescent="0.2">
      <c r="B241" s="278"/>
      <c r="C241" s="246"/>
      <c r="D241" s="274"/>
    </row>
    <row r="242" spans="2:4" x14ac:dyDescent="0.2">
      <c r="B242" s="278"/>
      <c r="C242" s="246"/>
      <c r="D242" s="274"/>
    </row>
    <row r="243" spans="2:4" x14ac:dyDescent="0.2">
      <c r="B243" s="278"/>
      <c r="C243" s="246"/>
      <c r="D243" s="274"/>
    </row>
    <row r="244" spans="2:4" x14ac:dyDescent="0.2">
      <c r="B244" s="278"/>
      <c r="C244" s="246"/>
      <c r="D244" s="274"/>
    </row>
    <row r="245" spans="2:4" x14ac:dyDescent="0.2">
      <c r="B245" s="278"/>
      <c r="C245" s="246"/>
      <c r="D245" s="274"/>
    </row>
    <row r="246" spans="2:4" x14ac:dyDescent="0.2">
      <c r="B246" s="278"/>
      <c r="C246" s="246"/>
      <c r="D246" s="274"/>
    </row>
    <row r="247" spans="2:4" x14ac:dyDescent="0.2">
      <c r="B247" s="278"/>
      <c r="C247" s="246"/>
      <c r="D247" s="274"/>
    </row>
    <row r="248" spans="2:4" x14ac:dyDescent="0.2">
      <c r="B248" s="278"/>
      <c r="C248" s="246"/>
      <c r="D248" s="274"/>
    </row>
    <row r="249" spans="2:4" x14ac:dyDescent="0.2">
      <c r="B249" s="278"/>
      <c r="C249" s="246"/>
      <c r="D249" s="274"/>
    </row>
    <row r="250" spans="2:4" x14ac:dyDescent="0.2">
      <c r="B250" s="278"/>
      <c r="C250" s="246"/>
      <c r="D250" s="274"/>
    </row>
    <row r="251" spans="2:4" x14ac:dyDescent="0.2">
      <c r="B251" s="278"/>
      <c r="C251" s="246"/>
      <c r="D251" s="274"/>
    </row>
    <row r="252" spans="2:4" x14ac:dyDescent="0.2">
      <c r="B252" s="278"/>
      <c r="C252" s="246"/>
      <c r="D252" s="274"/>
    </row>
    <row r="253" spans="2:4" x14ac:dyDescent="0.2">
      <c r="B253" s="278"/>
      <c r="C253" s="246"/>
      <c r="D253" s="274"/>
    </row>
    <row r="254" spans="2:4" x14ac:dyDescent="0.2">
      <c r="B254" s="278"/>
      <c r="C254" s="246"/>
      <c r="D254" s="274"/>
    </row>
    <row r="255" spans="2:4" x14ac:dyDescent="0.2">
      <c r="B255" s="278"/>
      <c r="C255" s="246"/>
      <c r="D255" s="274"/>
    </row>
    <row r="256" spans="2:4" x14ac:dyDescent="0.2">
      <c r="B256" s="278"/>
      <c r="C256" s="246"/>
      <c r="D256" s="274"/>
    </row>
    <row r="257" spans="2:4" x14ac:dyDescent="0.2">
      <c r="B257" s="278"/>
      <c r="C257" s="246"/>
      <c r="D257" s="274"/>
    </row>
    <row r="258" spans="2:4" x14ac:dyDescent="0.2">
      <c r="B258" s="278"/>
      <c r="C258" s="246"/>
      <c r="D258" s="274"/>
    </row>
    <row r="259" spans="2:4" x14ac:dyDescent="0.2">
      <c r="B259" s="278"/>
    </row>
  </sheetData>
  <mergeCells count="2">
    <mergeCell ref="B3:B18"/>
    <mergeCell ref="B19:B5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F0"/>
  </sheetPr>
  <dimension ref="A1:P33"/>
  <sheetViews>
    <sheetView showGridLines="0" workbookViewId="0"/>
  </sheetViews>
  <sheetFormatPr defaultColWidth="9.140625" defaultRowHeight="12.75" x14ac:dyDescent="0.2"/>
  <cols>
    <col min="1" max="1" width="2.5703125" style="22" customWidth="1"/>
    <col min="2" max="2" width="38" style="21" customWidth="1"/>
    <col min="3" max="11" width="13.5703125" style="21" customWidth="1"/>
    <col min="12" max="14" width="9.140625" style="21"/>
    <col min="15" max="15" width="9.5703125" style="21" bestFit="1" customWidth="1"/>
    <col min="16" max="16384" width="9.140625" style="21"/>
  </cols>
  <sheetData>
    <row r="1" spans="1:16" ht="17.25" x14ac:dyDescent="0.2">
      <c r="A1" s="8"/>
      <c r="B1" s="64" t="s">
        <v>2608</v>
      </c>
      <c r="C1" s="203"/>
      <c r="D1" s="203"/>
      <c r="E1" s="203"/>
      <c r="F1" s="203"/>
      <c r="G1" s="203"/>
      <c r="H1" s="203"/>
      <c r="I1" s="203"/>
      <c r="J1" s="203"/>
      <c r="K1" s="203"/>
      <c r="L1" s="203"/>
      <c r="M1" s="203"/>
      <c r="N1" s="203"/>
      <c r="O1" s="203"/>
      <c r="P1" s="203"/>
    </row>
    <row r="2" spans="1:16" ht="15" x14ac:dyDescent="0.2">
      <c r="A2" s="203"/>
      <c r="B2" s="314" t="str">
        <f>Cover!$C$8</f>
        <v>Inspections from 1 September 2019 to 31 December 2019, published by 31 December 2019</v>
      </c>
      <c r="C2" s="203"/>
      <c r="D2" s="203"/>
      <c r="E2" s="203"/>
      <c r="F2" s="203"/>
      <c r="G2" s="203"/>
      <c r="H2" s="203"/>
      <c r="I2" s="203"/>
      <c r="J2" s="203"/>
      <c r="K2" s="203"/>
      <c r="L2" s="203"/>
      <c r="M2" s="203"/>
      <c r="N2" s="203"/>
      <c r="O2" s="203"/>
      <c r="P2" s="203"/>
    </row>
    <row r="3" spans="1:16" x14ac:dyDescent="0.2">
      <c r="A3" s="203"/>
      <c r="B3" s="203"/>
      <c r="C3" s="203"/>
      <c r="D3" s="203"/>
      <c r="E3" s="203"/>
      <c r="F3" s="203"/>
      <c r="G3" s="203"/>
      <c r="H3" s="203"/>
      <c r="I3" s="203"/>
      <c r="J3" s="203"/>
      <c r="K3" s="203"/>
      <c r="L3" s="203"/>
      <c r="M3" s="203"/>
      <c r="N3" s="203"/>
      <c r="O3" s="203"/>
      <c r="P3" s="203"/>
    </row>
    <row r="4" spans="1:16" ht="30" customHeight="1" x14ac:dyDescent="0.2">
      <c r="A4" s="203"/>
      <c r="B4" s="354"/>
      <c r="C4" s="357" t="s">
        <v>174</v>
      </c>
      <c r="D4" s="352" t="s">
        <v>136</v>
      </c>
      <c r="E4" s="352"/>
      <c r="F4" s="352"/>
      <c r="G4" s="352"/>
      <c r="H4" s="352"/>
      <c r="I4" s="352"/>
      <c r="J4" s="352"/>
      <c r="K4" s="352"/>
      <c r="L4" s="351" t="s">
        <v>3687</v>
      </c>
      <c r="M4" s="352"/>
      <c r="N4" s="352"/>
      <c r="O4" s="353"/>
      <c r="P4" s="203"/>
    </row>
    <row r="5" spans="1:16" ht="12.75" customHeight="1" x14ac:dyDescent="0.2">
      <c r="A5" s="203"/>
      <c r="B5" s="355"/>
      <c r="C5" s="358"/>
      <c r="D5" s="360" t="s">
        <v>175</v>
      </c>
      <c r="E5" s="360"/>
      <c r="F5" s="360"/>
      <c r="G5" s="359"/>
      <c r="H5" s="360" t="s">
        <v>176</v>
      </c>
      <c r="I5" s="360"/>
      <c r="J5" s="360"/>
      <c r="K5" s="360"/>
      <c r="L5" s="351" t="s">
        <v>175</v>
      </c>
      <c r="M5" s="353"/>
      <c r="N5" s="351" t="s">
        <v>176</v>
      </c>
      <c r="O5" s="353"/>
      <c r="P5" s="203"/>
    </row>
    <row r="6" spans="1:16" ht="25.5" x14ac:dyDescent="0.2">
      <c r="A6" s="203"/>
      <c r="B6" s="356"/>
      <c r="C6" s="359"/>
      <c r="D6" s="183" t="s">
        <v>177</v>
      </c>
      <c r="E6" s="183" t="s">
        <v>178</v>
      </c>
      <c r="F6" s="183" t="s">
        <v>179</v>
      </c>
      <c r="G6" s="183" t="s">
        <v>180</v>
      </c>
      <c r="H6" s="50" t="s">
        <v>177</v>
      </c>
      <c r="I6" s="51" t="s">
        <v>178</v>
      </c>
      <c r="J6" s="51" t="s">
        <v>179</v>
      </c>
      <c r="K6" s="51" t="s">
        <v>180</v>
      </c>
      <c r="L6" s="181" t="s">
        <v>169</v>
      </c>
      <c r="M6" s="182" t="s">
        <v>170</v>
      </c>
      <c r="N6" s="180" t="s">
        <v>169</v>
      </c>
      <c r="O6" s="182" t="s">
        <v>170</v>
      </c>
      <c r="P6" s="203"/>
    </row>
    <row r="7" spans="1:16" x14ac:dyDescent="0.2">
      <c r="A7" s="203"/>
      <c r="B7" s="33" t="s">
        <v>181</v>
      </c>
      <c r="C7" s="101">
        <v>50</v>
      </c>
      <c r="D7" s="72">
        <v>5</v>
      </c>
      <c r="E7" s="73">
        <v>31</v>
      </c>
      <c r="F7" s="73">
        <v>10</v>
      </c>
      <c r="G7" s="74">
        <v>4</v>
      </c>
      <c r="H7" s="75">
        <v>10</v>
      </c>
      <c r="I7" s="76">
        <v>62</v>
      </c>
      <c r="J7" s="76">
        <v>20</v>
      </c>
      <c r="K7" s="77">
        <v>8</v>
      </c>
      <c r="L7" s="72">
        <v>48</v>
      </c>
      <c r="M7" s="74">
        <v>2</v>
      </c>
      <c r="N7" s="75">
        <v>96</v>
      </c>
      <c r="O7" s="78">
        <v>4</v>
      </c>
      <c r="P7" s="203"/>
    </row>
    <row r="8" spans="1:16" x14ac:dyDescent="0.2">
      <c r="A8" s="203"/>
      <c r="B8" s="205" t="s">
        <v>182</v>
      </c>
      <c r="C8" s="103">
        <v>24</v>
      </c>
      <c r="D8" s="79">
        <v>1</v>
      </c>
      <c r="E8" s="80">
        <v>17</v>
      </c>
      <c r="F8" s="81">
        <v>4</v>
      </c>
      <c r="G8" s="82">
        <v>2</v>
      </c>
      <c r="H8" s="83">
        <v>4.1666666666666661</v>
      </c>
      <c r="I8" s="84">
        <v>70.833333333333343</v>
      </c>
      <c r="J8" s="84">
        <v>16.666666666666664</v>
      </c>
      <c r="K8" s="85">
        <v>8.3333333333333321</v>
      </c>
      <c r="L8" s="86">
        <v>24</v>
      </c>
      <c r="M8" s="87">
        <v>0</v>
      </c>
      <c r="N8" s="88">
        <v>100</v>
      </c>
      <c r="O8" s="89">
        <v>0</v>
      </c>
      <c r="P8" s="203"/>
    </row>
    <row r="9" spans="1:16" x14ac:dyDescent="0.2">
      <c r="A9" s="203"/>
      <c r="B9" s="71" t="s">
        <v>183</v>
      </c>
      <c r="C9" s="115">
        <v>26</v>
      </c>
      <c r="D9" s="90">
        <v>4</v>
      </c>
      <c r="E9" s="91">
        <v>14</v>
      </c>
      <c r="F9" s="92">
        <v>6</v>
      </c>
      <c r="G9" s="93">
        <v>2</v>
      </c>
      <c r="H9" s="94">
        <v>15.384615384615385</v>
      </c>
      <c r="I9" s="84">
        <v>53.846153846153847</v>
      </c>
      <c r="J9" s="95">
        <v>23.076923076923077</v>
      </c>
      <c r="K9" s="96">
        <v>7.6923076923076925</v>
      </c>
      <c r="L9" s="97">
        <v>24</v>
      </c>
      <c r="M9" s="98">
        <v>2</v>
      </c>
      <c r="N9" s="99">
        <v>92.307692307692307</v>
      </c>
      <c r="O9" s="100">
        <v>7.6923076923076925</v>
      </c>
      <c r="P9" s="203"/>
    </row>
    <row r="10" spans="1:16" x14ac:dyDescent="0.2">
      <c r="A10" s="203"/>
      <c r="B10" s="203"/>
      <c r="C10" s="203"/>
      <c r="D10" s="203"/>
      <c r="E10" s="203"/>
      <c r="F10" s="203"/>
      <c r="G10" s="203"/>
      <c r="H10" s="203"/>
      <c r="I10" s="206"/>
      <c r="J10" s="203"/>
      <c r="K10" s="203"/>
      <c r="L10" s="203"/>
      <c r="M10" s="203"/>
      <c r="N10" s="203"/>
      <c r="O10" s="18" t="s">
        <v>2607</v>
      </c>
      <c r="P10" s="203"/>
    </row>
    <row r="11" spans="1:16" x14ac:dyDescent="0.2">
      <c r="A11" s="203"/>
      <c r="B11" s="203"/>
      <c r="C11" s="203"/>
      <c r="D11" s="203"/>
      <c r="E11" s="203"/>
      <c r="F11" s="203"/>
      <c r="G11" s="203"/>
      <c r="H11" s="203"/>
      <c r="I11" s="203"/>
      <c r="J11" s="203"/>
      <c r="K11" s="203"/>
      <c r="L11" s="203"/>
      <c r="M11" s="203"/>
      <c r="N11" s="203"/>
      <c r="O11" s="63"/>
      <c r="P11" s="203"/>
    </row>
    <row r="12" spans="1:16" x14ac:dyDescent="0.2">
      <c r="A12" s="203"/>
      <c r="B12" s="203" t="s">
        <v>184</v>
      </c>
      <c r="C12" s="203"/>
      <c r="D12" s="203"/>
      <c r="E12" s="203"/>
      <c r="F12" s="203"/>
      <c r="G12" s="203"/>
      <c r="H12" s="203"/>
      <c r="I12" s="203"/>
      <c r="J12" s="203"/>
      <c r="K12" s="203"/>
      <c r="L12" s="203"/>
      <c r="M12" s="203"/>
      <c r="N12" s="203"/>
      <c r="O12" s="69"/>
      <c r="P12" s="203"/>
    </row>
    <row r="13" spans="1:16" x14ac:dyDescent="0.2">
      <c r="A13" s="203"/>
      <c r="B13" s="203" t="s">
        <v>185</v>
      </c>
      <c r="C13" s="203"/>
      <c r="D13" s="203"/>
      <c r="E13" s="203"/>
      <c r="F13" s="203"/>
      <c r="G13" s="203"/>
      <c r="H13" s="203"/>
      <c r="I13" s="203"/>
      <c r="J13" s="203"/>
      <c r="K13" s="203"/>
      <c r="L13" s="203"/>
      <c r="M13" s="203"/>
      <c r="N13" s="203"/>
      <c r="O13" s="203"/>
      <c r="P13" s="203"/>
    </row>
    <row r="14" spans="1:16" x14ac:dyDescent="0.2">
      <c r="A14" s="203"/>
      <c r="B14" s="203"/>
      <c r="C14" s="203"/>
      <c r="D14" s="203"/>
      <c r="E14" s="203"/>
      <c r="F14" s="203"/>
      <c r="G14" s="203"/>
      <c r="H14" s="203"/>
      <c r="I14" s="209"/>
      <c r="J14" s="203"/>
      <c r="K14" s="203"/>
      <c r="L14" s="203"/>
      <c r="M14" s="203"/>
      <c r="N14" s="203"/>
      <c r="O14" s="203"/>
      <c r="P14" s="203"/>
    </row>
    <row r="15" spans="1:16" x14ac:dyDescent="0.2">
      <c r="A15" s="210"/>
      <c r="B15" s="204"/>
      <c r="C15" s="211"/>
      <c r="D15" s="211"/>
      <c r="E15" s="204"/>
      <c r="F15" s="208"/>
      <c r="G15" s="208"/>
      <c r="H15" s="208"/>
      <c r="I15" s="208"/>
      <c r="J15" s="208"/>
      <c r="K15" s="211"/>
      <c r="L15" s="204"/>
      <c r="M15" s="203"/>
      <c r="N15" s="203"/>
      <c r="O15" s="203"/>
      <c r="P15" s="203"/>
    </row>
    <row r="16" spans="1:16" ht="15" customHeight="1" x14ac:dyDescent="0.2">
      <c r="A16" s="212"/>
      <c r="B16" s="363" t="s">
        <v>2609</v>
      </c>
      <c r="C16" s="363"/>
      <c r="D16" s="363"/>
      <c r="E16" s="363"/>
      <c r="F16" s="363"/>
      <c r="G16" s="363"/>
      <c r="H16" s="363"/>
      <c r="I16" s="363"/>
      <c r="J16" s="363"/>
      <c r="K16" s="363"/>
      <c r="L16" s="363"/>
      <c r="M16" s="363"/>
      <c r="N16" s="204"/>
      <c r="O16" s="208"/>
      <c r="P16" s="208"/>
    </row>
    <row r="17" spans="1:16" ht="15" x14ac:dyDescent="0.2">
      <c r="A17" s="203"/>
      <c r="B17" s="26" t="str">
        <f>Cover!$C$8</f>
        <v>Inspections from 1 September 2019 to 31 December 2019, published by 31 December 2019</v>
      </c>
      <c r="C17" s="203"/>
      <c r="D17" s="203"/>
      <c r="E17" s="203"/>
      <c r="F17" s="203"/>
      <c r="G17" s="203"/>
      <c r="H17" s="203"/>
      <c r="I17" s="203"/>
      <c r="J17" s="203"/>
      <c r="K17" s="203"/>
      <c r="L17" s="203"/>
      <c r="M17" s="203"/>
      <c r="N17" s="203"/>
      <c r="O17" s="203"/>
      <c r="P17" s="203"/>
    </row>
    <row r="18" spans="1:16" ht="15" x14ac:dyDescent="0.2">
      <c r="A18" s="207"/>
      <c r="B18" s="177"/>
      <c r="C18" s="177"/>
      <c r="D18" s="177"/>
      <c r="E18" s="177"/>
      <c r="F18" s="177"/>
      <c r="G18" s="177"/>
      <c r="H18" s="177"/>
      <c r="I18" s="177"/>
      <c r="J18" s="177"/>
      <c r="K18" s="177"/>
      <c r="L18" s="177"/>
      <c r="M18" s="177"/>
      <c r="N18" s="204"/>
      <c r="O18" s="213"/>
      <c r="P18" s="208"/>
    </row>
    <row r="19" spans="1:16" ht="30" customHeight="1" x14ac:dyDescent="0.2">
      <c r="A19" s="203"/>
      <c r="B19" s="354"/>
      <c r="C19" s="357" t="s">
        <v>174</v>
      </c>
      <c r="D19" s="352" t="s">
        <v>136</v>
      </c>
      <c r="E19" s="352"/>
      <c r="F19" s="352"/>
      <c r="G19" s="352"/>
      <c r="H19" s="352"/>
      <c r="I19" s="352"/>
      <c r="J19" s="352"/>
      <c r="K19" s="352"/>
      <c r="L19" s="351" t="s">
        <v>3687</v>
      </c>
      <c r="M19" s="352"/>
      <c r="N19" s="352"/>
      <c r="O19" s="353"/>
      <c r="P19" s="203"/>
    </row>
    <row r="20" spans="1:16" ht="12.75" customHeight="1" x14ac:dyDescent="0.2">
      <c r="A20" s="203"/>
      <c r="B20" s="355"/>
      <c r="C20" s="358"/>
      <c r="D20" s="360" t="s">
        <v>175</v>
      </c>
      <c r="E20" s="360"/>
      <c r="F20" s="360"/>
      <c r="G20" s="359"/>
      <c r="H20" s="360" t="s">
        <v>176</v>
      </c>
      <c r="I20" s="360"/>
      <c r="J20" s="360"/>
      <c r="K20" s="360"/>
      <c r="L20" s="351" t="s">
        <v>175</v>
      </c>
      <c r="M20" s="353"/>
      <c r="N20" s="351" t="s">
        <v>176</v>
      </c>
      <c r="O20" s="353"/>
      <c r="P20" s="203"/>
    </row>
    <row r="21" spans="1:16" ht="25.5" x14ac:dyDescent="0.2">
      <c r="A21" s="203"/>
      <c r="B21" s="356"/>
      <c r="C21" s="359"/>
      <c r="D21" s="183" t="s">
        <v>177</v>
      </c>
      <c r="E21" s="183" t="s">
        <v>178</v>
      </c>
      <c r="F21" s="183" t="s">
        <v>179</v>
      </c>
      <c r="G21" s="183" t="s">
        <v>180</v>
      </c>
      <c r="H21" s="50" t="s">
        <v>177</v>
      </c>
      <c r="I21" s="51" t="s">
        <v>178</v>
      </c>
      <c r="J21" s="51" t="s">
        <v>179</v>
      </c>
      <c r="K21" s="51" t="s">
        <v>180</v>
      </c>
      <c r="L21" s="181" t="s">
        <v>169</v>
      </c>
      <c r="M21" s="182" t="s">
        <v>170</v>
      </c>
      <c r="N21" s="180" t="s">
        <v>169</v>
      </c>
      <c r="O21" s="182" t="s">
        <v>170</v>
      </c>
      <c r="P21" s="203"/>
    </row>
    <row r="22" spans="1:16" x14ac:dyDescent="0.2">
      <c r="A22" s="203"/>
      <c r="B22" s="33" t="s">
        <v>181</v>
      </c>
      <c r="C22" s="101">
        <v>50</v>
      </c>
      <c r="D22" s="72">
        <v>5</v>
      </c>
      <c r="E22" s="73">
        <v>31</v>
      </c>
      <c r="F22" s="73">
        <v>10</v>
      </c>
      <c r="G22" s="74">
        <v>4</v>
      </c>
      <c r="H22" s="102">
        <v>10</v>
      </c>
      <c r="I22" s="76">
        <v>62</v>
      </c>
      <c r="J22" s="76">
        <v>20</v>
      </c>
      <c r="K22" s="77">
        <v>8</v>
      </c>
      <c r="L22" s="72">
        <v>48</v>
      </c>
      <c r="M22" s="74">
        <v>2</v>
      </c>
      <c r="N22" s="75">
        <v>96</v>
      </c>
      <c r="O22" s="78">
        <v>4</v>
      </c>
      <c r="P22" s="203"/>
    </row>
    <row r="23" spans="1:16" x14ac:dyDescent="0.2">
      <c r="A23" s="203"/>
      <c r="B23" s="205" t="s">
        <v>59</v>
      </c>
      <c r="C23" s="103">
        <v>3</v>
      </c>
      <c r="D23" s="104">
        <v>0</v>
      </c>
      <c r="E23" s="105">
        <v>3</v>
      </c>
      <c r="F23" s="105">
        <v>0</v>
      </c>
      <c r="G23" s="106">
        <v>0</v>
      </c>
      <c r="H23" s="107">
        <v>0</v>
      </c>
      <c r="I23" s="108">
        <v>100</v>
      </c>
      <c r="J23" s="108">
        <v>0</v>
      </c>
      <c r="K23" s="85">
        <v>0</v>
      </c>
      <c r="L23" s="86">
        <v>3</v>
      </c>
      <c r="M23" s="87">
        <v>0</v>
      </c>
      <c r="N23" s="88">
        <v>100</v>
      </c>
      <c r="O23" s="89">
        <v>0</v>
      </c>
      <c r="P23" s="203"/>
    </row>
    <row r="24" spans="1:16" x14ac:dyDescent="0.2">
      <c r="A24" s="203"/>
      <c r="B24" s="205" t="s">
        <v>69</v>
      </c>
      <c r="C24" s="103">
        <v>1</v>
      </c>
      <c r="D24" s="109">
        <v>0</v>
      </c>
      <c r="E24" s="110">
        <v>0</v>
      </c>
      <c r="F24" s="111">
        <v>1</v>
      </c>
      <c r="G24" s="112">
        <v>0</v>
      </c>
      <c r="H24" s="107">
        <v>0</v>
      </c>
      <c r="I24" s="108">
        <v>0</v>
      </c>
      <c r="J24" s="108">
        <v>100</v>
      </c>
      <c r="K24" s="85">
        <v>0</v>
      </c>
      <c r="L24" s="86">
        <v>1</v>
      </c>
      <c r="M24" s="87">
        <v>0</v>
      </c>
      <c r="N24" s="88">
        <v>100</v>
      </c>
      <c r="O24" s="89">
        <v>0</v>
      </c>
      <c r="P24" s="203"/>
    </row>
    <row r="25" spans="1:16" x14ac:dyDescent="0.2">
      <c r="A25" s="203"/>
      <c r="B25" s="205" t="s">
        <v>72</v>
      </c>
      <c r="C25" s="103">
        <v>10</v>
      </c>
      <c r="D25" s="113">
        <v>0</v>
      </c>
      <c r="E25" s="105">
        <v>8</v>
      </c>
      <c r="F25" s="111">
        <v>1</v>
      </c>
      <c r="G25" s="106">
        <v>1</v>
      </c>
      <c r="H25" s="107">
        <v>0</v>
      </c>
      <c r="I25" s="108">
        <v>80</v>
      </c>
      <c r="J25" s="108">
        <v>10</v>
      </c>
      <c r="K25" s="85">
        <v>10</v>
      </c>
      <c r="L25" s="86">
        <v>10</v>
      </c>
      <c r="M25" s="87">
        <v>0</v>
      </c>
      <c r="N25" s="88">
        <v>100</v>
      </c>
      <c r="O25" s="89">
        <v>0</v>
      </c>
      <c r="P25" s="203"/>
    </row>
    <row r="26" spans="1:16" x14ac:dyDescent="0.2">
      <c r="A26" s="203"/>
      <c r="B26" s="205" t="s">
        <v>78</v>
      </c>
      <c r="C26" s="103">
        <v>36</v>
      </c>
      <c r="D26" s="113">
        <v>5</v>
      </c>
      <c r="E26" s="111">
        <v>20</v>
      </c>
      <c r="F26" s="111">
        <v>8</v>
      </c>
      <c r="G26" s="114">
        <v>3</v>
      </c>
      <c r="H26" s="107">
        <v>13.888888888888889</v>
      </c>
      <c r="I26" s="108">
        <v>55.555555555555557</v>
      </c>
      <c r="J26" s="108">
        <v>22.222222222222221</v>
      </c>
      <c r="K26" s="85">
        <v>8.3333333333333321</v>
      </c>
      <c r="L26" s="86">
        <v>34</v>
      </c>
      <c r="M26" s="87">
        <v>2</v>
      </c>
      <c r="N26" s="88">
        <v>94.444444444444443</v>
      </c>
      <c r="O26" s="89">
        <v>5.5555555555555554</v>
      </c>
      <c r="P26" s="203"/>
    </row>
    <row r="27" spans="1:16" x14ac:dyDescent="0.2">
      <c r="A27" s="203"/>
      <c r="B27" s="302" t="s">
        <v>491</v>
      </c>
      <c r="C27" s="303">
        <v>0</v>
      </c>
      <c r="D27" s="304">
        <v>0</v>
      </c>
      <c r="E27" s="305">
        <v>0</v>
      </c>
      <c r="F27" s="305">
        <v>0</v>
      </c>
      <c r="G27" s="306">
        <v>0</v>
      </c>
      <c r="H27" s="307">
        <v>0</v>
      </c>
      <c r="I27" s="308">
        <v>0</v>
      </c>
      <c r="J27" s="308">
        <v>0</v>
      </c>
      <c r="K27" s="309">
        <v>0</v>
      </c>
      <c r="L27" s="310">
        <v>0</v>
      </c>
      <c r="M27" s="311">
        <v>0</v>
      </c>
      <c r="N27" s="312">
        <v>0</v>
      </c>
      <c r="O27" s="313">
        <v>0</v>
      </c>
      <c r="P27" s="203"/>
    </row>
    <row r="28" spans="1:16" ht="15" x14ac:dyDescent="0.2">
      <c r="A28" s="207"/>
      <c r="B28" s="177"/>
      <c r="C28" s="177"/>
      <c r="D28" s="177"/>
      <c r="E28" s="177"/>
      <c r="F28" s="177"/>
      <c r="G28" s="177"/>
      <c r="H28" s="177"/>
      <c r="I28" s="177"/>
      <c r="J28" s="177"/>
      <c r="K28" s="177"/>
      <c r="L28" s="177"/>
      <c r="M28" s="177"/>
      <c r="N28" s="214"/>
      <c r="O28" s="18" t="s">
        <v>2607</v>
      </c>
      <c r="P28" s="204"/>
    </row>
    <row r="29" spans="1:16" ht="15" x14ac:dyDescent="0.2">
      <c r="A29" s="212"/>
      <c r="B29" s="177"/>
      <c r="C29" s="177"/>
      <c r="D29" s="177"/>
      <c r="E29" s="177"/>
      <c r="F29" s="177"/>
      <c r="G29" s="177"/>
      <c r="H29" s="177"/>
      <c r="I29" s="177"/>
      <c r="J29" s="177"/>
      <c r="K29" s="177"/>
      <c r="L29" s="177"/>
      <c r="M29" s="177"/>
      <c r="N29" s="204"/>
      <c r="O29" s="68"/>
      <c r="P29" s="215"/>
    </row>
    <row r="30" spans="1:16" ht="27.75" customHeight="1" x14ac:dyDescent="0.2">
      <c r="A30" s="216"/>
      <c r="B30" s="361" t="s">
        <v>186</v>
      </c>
      <c r="C30" s="362"/>
      <c r="D30" s="362"/>
      <c r="E30" s="362"/>
      <c r="F30" s="362"/>
      <c r="G30" s="362"/>
      <c r="H30" s="362"/>
      <c r="I30" s="362"/>
      <c r="J30" s="362"/>
      <c r="K30" s="362"/>
      <c r="L30" s="362"/>
      <c r="M30" s="362"/>
      <c r="N30" s="362"/>
      <c r="O30" s="362"/>
      <c r="P30" s="217"/>
    </row>
    <row r="31" spans="1:16" x14ac:dyDescent="0.2">
      <c r="A31" s="203"/>
      <c r="B31" s="203" t="s">
        <v>187</v>
      </c>
      <c r="C31" s="203"/>
      <c r="D31" s="203"/>
      <c r="E31" s="203"/>
      <c r="F31" s="203"/>
      <c r="G31" s="203"/>
      <c r="H31" s="203"/>
      <c r="I31" s="203"/>
      <c r="J31" s="203"/>
      <c r="K31" s="203"/>
      <c r="L31" s="203"/>
      <c r="M31" s="203"/>
      <c r="N31" s="203"/>
      <c r="O31" s="203"/>
      <c r="P31" s="203"/>
    </row>
    <row r="32" spans="1:16" x14ac:dyDescent="0.2">
      <c r="A32" s="203"/>
      <c r="B32" s="203" t="s">
        <v>188</v>
      </c>
      <c r="C32" s="203"/>
      <c r="D32" s="203"/>
      <c r="E32" s="203"/>
      <c r="F32" s="203"/>
      <c r="G32" s="203"/>
      <c r="H32" s="203"/>
      <c r="I32" s="203"/>
      <c r="J32" s="203"/>
      <c r="K32" s="203"/>
      <c r="L32" s="203"/>
      <c r="M32" s="203"/>
      <c r="N32" s="203"/>
      <c r="O32" s="203"/>
      <c r="P32" s="203"/>
    </row>
    <row r="33" spans="1:16" x14ac:dyDescent="0.2">
      <c r="A33" s="207"/>
      <c r="B33" s="204"/>
      <c r="C33" s="204"/>
      <c r="D33" s="204"/>
      <c r="E33" s="204"/>
      <c r="F33" s="204"/>
      <c r="G33" s="204"/>
      <c r="H33" s="204"/>
      <c r="I33" s="204"/>
      <c r="J33" s="204"/>
      <c r="K33" s="204"/>
      <c r="L33" s="204"/>
      <c r="M33" s="204"/>
      <c r="N33" s="215"/>
      <c r="O33" s="204"/>
      <c r="P33" s="215"/>
    </row>
  </sheetData>
  <mergeCells count="18">
    <mergeCell ref="B30:O30"/>
    <mergeCell ref="B16:M16"/>
    <mergeCell ref="B19:B21"/>
    <mergeCell ref="C19:C21"/>
    <mergeCell ref="D19:K19"/>
    <mergeCell ref="L19:O19"/>
    <mergeCell ref="D20:G20"/>
    <mergeCell ref="H20:K20"/>
    <mergeCell ref="L20:M20"/>
    <mergeCell ref="N20:O20"/>
    <mergeCell ref="L4:O4"/>
    <mergeCell ref="L5:M5"/>
    <mergeCell ref="N5:O5"/>
    <mergeCell ref="B4:B6"/>
    <mergeCell ref="C4:C6"/>
    <mergeCell ref="D4:K4"/>
    <mergeCell ref="D5:G5"/>
    <mergeCell ref="H5:K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F0"/>
  </sheetPr>
  <dimension ref="A1:H42"/>
  <sheetViews>
    <sheetView showGridLines="0" workbookViewId="0"/>
  </sheetViews>
  <sheetFormatPr defaultColWidth="9.140625" defaultRowHeight="12.75" x14ac:dyDescent="0.2"/>
  <cols>
    <col min="1" max="1" width="2.5703125" style="24" customWidth="1"/>
    <col min="2" max="2" width="55" style="21" customWidth="1"/>
    <col min="3" max="7" width="17.42578125" style="21" customWidth="1"/>
    <col min="8" max="16384" width="9.140625" style="21"/>
  </cols>
  <sheetData>
    <row r="1" spans="1:8" ht="17.25" x14ac:dyDescent="0.2">
      <c r="A1" s="218"/>
      <c r="B1" s="66" t="s">
        <v>2610</v>
      </c>
      <c r="C1" s="4"/>
      <c r="D1" s="4"/>
      <c r="E1" s="4"/>
      <c r="F1" s="4"/>
      <c r="G1" s="5"/>
      <c r="H1" s="203"/>
    </row>
    <row r="2" spans="1:8" ht="15" x14ac:dyDescent="0.2">
      <c r="A2" s="218"/>
      <c r="B2" s="239" t="str">
        <f>Cover!C8</f>
        <v>Inspections from 1 September 2019 to 31 December 2019, published by 31 December 2019</v>
      </c>
      <c r="C2" s="4"/>
      <c r="D2" s="4"/>
      <c r="E2" s="4"/>
      <c r="F2" s="4"/>
      <c r="G2" s="4"/>
      <c r="H2" s="203"/>
    </row>
    <row r="3" spans="1:8" x14ac:dyDescent="0.2">
      <c r="A3" s="218"/>
      <c r="B3" s="6"/>
      <c r="C3" s="6"/>
      <c r="D3" s="6"/>
      <c r="E3" s="6"/>
      <c r="F3" s="6"/>
      <c r="G3" s="6"/>
      <c r="H3" s="203"/>
    </row>
    <row r="4" spans="1:8" x14ac:dyDescent="0.2">
      <c r="A4" s="219"/>
      <c r="B4" s="184"/>
      <c r="C4" s="357" t="s">
        <v>189</v>
      </c>
      <c r="D4" s="352" t="s">
        <v>175</v>
      </c>
      <c r="E4" s="353"/>
      <c r="F4" s="352" t="s">
        <v>176</v>
      </c>
      <c r="G4" s="353"/>
      <c r="H4" s="203"/>
    </row>
    <row r="5" spans="1:8" x14ac:dyDescent="0.2">
      <c r="A5" s="219"/>
      <c r="B5" s="185"/>
      <c r="C5" s="359"/>
      <c r="D5" s="51" t="s">
        <v>190</v>
      </c>
      <c r="E5" s="178" t="s">
        <v>191</v>
      </c>
      <c r="F5" s="183" t="s">
        <v>190</v>
      </c>
      <c r="G5" s="179" t="s">
        <v>191</v>
      </c>
      <c r="H5" s="203"/>
    </row>
    <row r="6" spans="1:8" x14ac:dyDescent="0.2">
      <c r="A6" s="219"/>
      <c r="B6" s="37" t="s">
        <v>181</v>
      </c>
      <c r="C6" s="164"/>
      <c r="D6" s="169"/>
      <c r="E6" s="170"/>
      <c r="F6" s="49"/>
      <c r="G6" s="49"/>
      <c r="H6" s="203"/>
    </row>
    <row r="7" spans="1:8" x14ac:dyDescent="0.2">
      <c r="A7" s="219"/>
      <c r="B7" s="38" t="s">
        <v>192</v>
      </c>
      <c r="C7" s="165">
        <v>50</v>
      </c>
      <c r="D7" s="175">
        <v>42</v>
      </c>
      <c r="E7" s="176">
        <v>8</v>
      </c>
      <c r="F7" s="152">
        <v>84</v>
      </c>
      <c r="G7" s="116">
        <v>16</v>
      </c>
      <c r="H7" s="203"/>
    </row>
    <row r="8" spans="1:8" x14ac:dyDescent="0.2">
      <c r="A8" s="220"/>
      <c r="B8" s="39" t="s">
        <v>193</v>
      </c>
      <c r="C8" s="165">
        <v>50</v>
      </c>
      <c r="D8" s="175">
        <v>43</v>
      </c>
      <c r="E8" s="176">
        <v>7</v>
      </c>
      <c r="F8" s="152">
        <v>86</v>
      </c>
      <c r="G8" s="116">
        <v>14.000000000000002</v>
      </c>
      <c r="H8" s="203"/>
    </row>
    <row r="9" spans="1:8" x14ac:dyDescent="0.2">
      <c r="A9" s="220"/>
      <c r="B9" s="39" t="s">
        <v>194</v>
      </c>
      <c r="C9" s="165">
        <v>50</v>
      </c>
      <c r="D9" s="175">
        <v>47</v>
      </c>
      <c r="E9" s="176">
        <v>3</v>
      </c>
      <c r="F9" s="152">
        <v>94</v>
      </c>
      <c r="G9" s="116">
        <v>6</v>
      </c>
      <c r="H9" s="203"/>
    </row>
    <row r="10" spans="1:8" x14ac:dyDescent="0.2">
      <c r="A10" s="220"/>
      <c r="B10" s="39" t="s">
        <v>195</v>
      </c>
      <c r="C10" s="165">
        <v>50</v>
      </c>
      <c r="D10" s="175">
        <v>44</v>
      </c>
      <c r="E10" s="176">
        <v>6</v>
      </c>
      <c r="F10" s="152">
        <v>88</v>
      </c>
      <c r="G10" s="116">
        <v>12</v>
      </c>
      <c r="H10" s="203"/>
    </row>
    <row r="11" spans="1:8" x14ac:dyDescent="0.2">
      <c r="A11" s="220"/>
      <c r="B11" s="39" t="s">
        <v>196</v>
      </c>
      <c r="C11" s="165">
        <v>50</v>
      </c>
      <c r="D11" s="175">
        <v>49</v>
      </c>
      <c r="E11" s="176">
        <v>1</v>
      </c>
      <c r="F11" s="152">
        <v>98</v>
      </c>
      <c r="G11" s="116">
        <v>2</v>
      </c>
      <c r="H11" s="203"/>
    </row>
    <row r="12" spans="1:8" x14ac:dyDescent="0.2">
      <c r="A12" s="220"/>
      <c r="B12" s="39" t="s">
        <v>197</v>
      </c>
      <c r="C12" s="165">
        <v>50</v>
      </c>
      <c r="D12" s="175">
        <v>47</v>
      </c>
      <c r="E12" s="176">
        <v>3</v>
      </c>
      <c r="F12" s="152">
        <v>94</v>
      </c>
      <c r="G12" s="116">
        <v>6</v>
      </c>
      <c r="H12" s="203"/>
    </row>
    <row r="13" spans="1:8" x14ac:dyDescent="0.2">
      <c r="A13" s="220"/>
      <c r="B13" s="39" t="s">
        <v>198</v>
      </c>
      <c r="C13" s="165">
        <v>50</v>
      </c>
      <c r="D13" s="175">
        <v>47</v>
      </c>
      <c r="E13" s="176">
        <v>3</v>
      </c>
      <c r="F13" s="152">
        <v>94</v>
      </c>
      <c r="G13" s="116">
        <v>6</v>
      </c>
      <c r="H13" s="203"/>
    </row>
    <row r="14" spans="1:8" x14ac:dyDescent="0.2">
      <c r="A14" s="220"/>
      <c r="B14" s="40" t="s">
        <v>199</v>
      </c>
      <c r="C14" s="165">
        <v>50</v>
      </c>
      <c r="D14" s="175">
        <v>49</v>
      </c>
      <c r="E14" s="176">
        <v>1</v>
      </c>
      <c r="F14" s="152">
        <v>98</v>
      </c>
      <c r="G14" s="116">
        <v>2</v>
      </c>
      <c r="H14" s="203"/>
    </row>
    <row r="15" spans="1:8" x14ac:dyDescent="0.2">
      <c r="A15" s="220"/>
      <c r="B15" s="40" t="s">
        <v>200</v>
      </c>
      <c r="C15" s="165">
        <v>50</v>
      </c>
      <c r="D15" s="175">
        <v>42</v>
      </c>
      <c r="E15" s="176">
        <v>8</v>
      </c>
      <c r="F15" s="152">
        <v>84</v>
      </c>
      <c r="G15" s="116">
        <v>16</v>
      </c>
      <c r="H15" s="203"/>
    </row>
    <row r="16" spans="1:8" x14ac:dyDescent="0.2">
      <c r="A16" s="220"/>
      <c r="B16" s="40"/>
      <c r="C16" s="166"/>
      <c r="D16" s="171"/>
      <c r="E16" s="172"/>
      <c r="F16" s="168"/>
      <c r="G16" s="116"/>
      <c r="H16" s="203"/>
    </row>
    <row r="17" spans="1:8" x14ac:dyDescent="0.2">
      <c r="A17" s="220"/>
      <c r="B17" s="38" t="s">
        <v>182</v>
      </c>
      <c r="C17" s="166"/>
      <c r="D17" s="171"/>
      <c r="E17" s="172"/>
      <c r="F17" s="168"/>
      <c r="G17" s="116"/>
      <c r="H17" s="203"/>
    </row>
    <row r="18" spans="1:8" x14ac:dyDescent="0.2">
      <c r="A18" s="219"/>
      <c r="B18" s="41" t="s">
        <v>192</v>
      </c>
      <c r="C18" s="165">
        <v>24</v>
      </c>
      <c r="D18" s="171">
        <v>19</v>
      </c>
      <c r="E18" s="172">
        <v>5</v>
      </c>
      <c r="F18" s="152">
        <v>79.166666666666657</v>
      </c>
      <c r="G18" s="116">
        <v>20.833333333333336</v>
      </c>
      <c r="H18" s="203"/>
    </row>
    <row r="19" spans="1:8" x14ac:dyDescent="0.2">
      <c r="A19" s="220"/>
      <c r="B19" s="42" t="s">
        <v>193</v>
      </c>
      <c r="C19" s="165">
        <v>24</v>
      </c>
      <c r="D19" s="171">
        <v>20</v>
      </c>
      <c r="E19" s="172">
        <v>4</v>
      </c>
      <c r="F19" s="152">
        <v>83.333333333333343</v>
      </c>
      <c r="G19" s="116">
        <v>16.666666666666664</v>
      </c>
      <c r="H19" s="203"/>
    </row>
    <row r="20" spans="1:8" x14ac:dyDescent="0.2">
      <c r="A20" s="220"/>
      <c r="B20" s="42" t="s">
        <v>194</v>
      </c>
      <c r="C20" s="165">
        <v>24</v>
      </c>
      <c r="D20" s="171">
        <v>23</v>
      </c>
      <c r="E20" s="172">
        <v>1</v>
      </c>
      <c r="F20" s="152">
        <v>95.833333333333343</v>
      </c>
      <c r="G20" s="116">
        <v>4.1666666666666661</v>
      </c>
      <c r="H20" s="203"/>
    </row>
    <row r="21" spans="1:8" x14ac:dyDescent="0.2">
      <c r="A21" s="220"/>
      <c r="B21" s="42" t="s">
        <v>195</v>
      </c>
      <c r="C21" s="165">
        <v>24</v>
      </c>
      <c r="D21" s="171">
        <v>21</v>
      </c>
      <c r="E21" s="172">
        <v>3</v>
      </c>
      <c r="F21" s="152">
        <v>87.5</v>
      </c>
      <c r="G21" s="116">
        <v>12.5</v>
      </c>
      <c r="H21" s="203"/>
    </row>
    <row r="22" spans="1:8" x14ac:dyDescent="0.2">
      <c r="A22" s="220"/>
      <c r="B22" s="42" t="s">
        <v>196</v>
      </c>
      <c r="C22" s="165">
        <v>24</v>
      </c>
      <c r="D22" s="171">
        <v>24</v>
      </c>
      <c r="E22" s="172">
        <v>0</v>
      </c>
      <c r="F22" s="152">
        <v>100</v>
      </c>
      <c r="G22" s="116">
        <v>0</v>
      </c>
      <c r="H22" s="203"/>
    </row>
    <row r="23" spans="1:8" x14ac:dyDescent="0.2">
      <c r="A23" s="220"/>
      <c r="B23" s="42" t="s">
        <v>197</v>
      </c>
      <c r="C23" s="165">
        <v>24</v>
      </c>
      <c r="D23" s="171">
        <v>23</v>
      </c>
      <c r="E23" s="172">
        <v>1</v>
      </c>
      <c r="F23" s="152">
        <v>95.833333333333343</v>
      </c>
      <c r="G23" s="116">
        <v>4.1666666666666661</v>
      </c>
      <c r="H23" s="203"/>
    </row>
    <row r="24" spans="1:8" x14ac:dyDescent="0.2">
      <c r="A24" s="220"/>
      <c r="B24" s="42" t="s">
        <v>198</v>
      </c>
      <c r="C24" s="165">
        <v>24</v>
      </c>
      <c r="D24" s="171">
        <v>22</v>
      </c>
      <c r="E24" s="172">
        <v>2</v>
      </c>
      <c r="F24" s="152">
        <v>91.666666666666657</v>
      </c>
      <c r="G24" s="116">
        <v>8.3333333333333321</v>
      </c>
      <c r="H24" s="203"/>
    </row>
    <row r="25" spans="1:8" x14ac:dyDescent="0.2">
      <c r="A25" s="220"/>
      <c r="B25" s="43" t="s">
        <v>199</v>
      </c>
      <c r="C25" s="165">
        <v>24</v>
      </c>
      <c r="D25" s="171">
        <v>24</v>
      </c>
      <c r="E25" s="172">
        <v>0</v>
      </c>
      <c r="F25" s="152">
        <v>100</v>
      </c>
      <c r="G25" s="116">
        <v>0</v>
      </c>
      <c r="H25" s="203"/>
    </row>
    <row r="26" spans="1:8" x14ac:dyDescent="0.2">
      <c r="A26" s="220"/>
      <c r="B26" s="43" t="s">
        <v>200</v>
      </c>
      <c r="C26" s="165">
        <v>24</v>
      </c>
      <c r="D26" s="171">
        <v>19</v>
      </c>
      <c r="E26" s="172">
        <v>5</v>
      </c>
      <c r="F26" s="152">
        <v>79.166666666666657</v>
      </c>
      <c r="G26" s="116">
        <v>20.833333333333336</v>
      </c>
      <c r="H26" s="203"/>
    </row>
    <row r="27" spans="1:8" x14ac:dyDescent="0.2">
      <c r="A27" s="220"/>
      <c r="B27" s="43"/>
      <c r="C27" s="166"/>
      <c r="D27" s="171"/>
      <c r="E27" s="172"/>
      <c r="F27" s="168"/>
      <c r="G27" s="116"/>
      <c r="H27" s="203"/>
    </row>
    <row r="28" spans="1:8" x14ac:dyDescent="0.2">
      <c r="A28" s="220"/>
      <c r="B28" s="38" t="s">
        <v>183</v>
      </c>
      <c r="C28" s="166"/>
      <c r="D28" s="171"/>
      <c r="E28" s="172"/>
      <c r="F28" s="168"/>
      <c r="G28" s="116"/>
      <c r="H28" s="203"/>
    </row>
    <row r="29" spans="1:8" x14ac:dyDescent="0.2">
      <c r="A29" s="219"/>
      <c r="B29" s="41" t="s">
        <v>192</v>
      </c>
      <c r="C29" s="165">
        <v>26</v>
      </c>
      <c r="D29" s="171">
        <v>23</v>
      </c>
      <c r="E29" s="172">
        <v>3</v>
      </c>
      <c r="F29" s="152">
        <v>88.461538461538453</v>
      </c>
      <c r="G29" s="116">
        <v>11.538461538461538</v>
      </c>
      <c r="H29" s="203"/>
    </row>
    <row r="30" spans="1:8" x14ac:dyDescent="0.2">
      <c r="A30" s="220"/>
      <c r="B30" s="42" t="s">
        <v>193</v>
      </c>
      <c r="C30" s="165">
        <v>26</v>
      </c>
      <c r="D30" s="171">
        <v>23</v>
      </c>
      <c r="E30" s="172">
        <v>3</v>
      </c>
      <c r="F30" s="152">
        <v>88.461538461538453</v>
      </c>
      <c r="G30" s="116">
        <v>11.538461538461538</v>
      </c>
      <c r="H30" s="203"/>
    </row>
    <row r="31" spans="1:8" x14ac:dyDescent="0.2">
      <c r="A31" s="220"/>
      <c r="B31" s="42" t="s">
        <v>194</v>
      </c>
      <c r="C31" s="165">
        <v>26</v>
      </c>
      <c r="D31" s="171">
        <v>24</v>
      </c>
      <c r="E31" s="172">
        <v>2</v>
      </c>
      <c r="F31" s="152">
        <v>92.307692307692307</v>
      </c>
      <c r="G31" s="116">
        <v>7.6923076923076925</v>
      </c>
      <c r="H31" s="203"/>
    </row>
    <row r="32" spans="1:8" x14ac:dyDescent="0.2">
      <c r="A32" s="220"/>
      <c r="B32" s="42" t="s">
        <v>195</v>
      </c>
      <c r="C32" s="165">
        <v>26</v>
      </c>
      <c r="D32" s="171">
        <v>23</v>
      </c>
      <c r="E32" s="172">
        <v>3</v>
      </c>
      <c r="F32" s="152">
        <v>88.461538461538453</v>
      </c>
      <c r="G32" s="116">
        <v>11.538461538461538</v>
      </c>
      <c r="H32" s="203"/>
    </row>
    <row r="33" spans="1:8" x14ac:dyDescent="0.2">
      <c r="A33" s="220"/>
      <c r="B33" s="42" t="s">
        <v>196</v>
      </c>
      <c r="C33" s="165">
        <v>26</v>
      </c>
      <c r="D33" s="171">
        <v>25</v>
      </c>
      <c r="E33" s="172">
        <v>1</v>
      </c>
      <c r="F33" s="152">
        <v>96.15384615384616</v>
      </c>
      <c r="G33" s="116">
        <v>3.8461538461538463</v>
      </c>
      <c r="H33" s="203"/>
    </row>
    <row r="34" spans="1:8" x14ac:dyDescent="0.2">
      <c r="A34" s="220"/>
      <c r="B34" s="42" t="s">
        <v>197</v>
      </c>
      <c r="C34" s="165">
        <v>26</v>
      </c>
      <c r="D34" s="171">
        <v>24</v>
      </c>
      <c r="E34" s="172">
        <v>2</v>
      </c>
      <c r="F34" s="152">
        <v>92.307692307692307</v>
      </c>
      <c r="G34" s="116">
        <v>7.6923076923076925</v>
      </c>
      <c r="H34" s="203"/>
    </row>
    <row r="35" spans="1:8" x14ac:dyDescent="0.2">
      <c r="A35" s="220"/>
      <c r="B35" s="42" t="s">
        <v>198</v>
      </c>
      <c r="C35" s="165">
        <v>26</v>
      </c>
      <c r="D35" s="171">
        <v>25</v>
      </c>
      <c r="E35" s="172">
        <v>1</v>
      </c>
      <c r="F35" s="152">
        <v>96.15384615384616</v>
      </c>
      <c r="G35" s="116">
        <v>3.8461538461538463</v>
      </c>
      <c r="H35" s="203"/>
    </row>
    <row r="36" spans="1:8" x14ac:dyDescent="0.2">
      <c r="A36" s="220"/>
      <c r="B36" s="43" t="s">
        <v>199</v>
      </c>
      <c r="C36" s="165">
        <v>26</v>
      </c>
      <c r="D36" s="171">
        <v>25</v>
      </c>
      <c r="E36" s="172">
        <v>1</v>
      </c>
      <c r="F36" s="152">
        <v>96.15384615384616</v>
      </c>
      <c r="G36" s="116">
        <v>3.8461538461538463</v>
      </c>
      <c r="H36" s="203"/>
    </row>
    <row r="37" spans="1:8" x14ac:dyDescent="0.2">
      <c r="A37" s="220"/>
      <c r="B37" s="44" t="s">
        <v>200</v>
      </c>
      <c r="C37" s="167">
        <v>26</v>
      </c>
      <c r="D37" s="173">
        <v>23</v>
      </c>
      <c r="E37" s="174">
        <v>3</v>
      </c>
      <c r="F37" s="157">
        <v>88.461538461538453</v>
      </c>
      <c r="G37" s="117">
        <v>11.538461538461538</v>
      </c>
      <c r="H37" s="203"/>
    </row>
    <row r="38" spans="1:8" x14ac:dyDescent="0.2">
      <c r="A38" s="218"/>
      <c r="B38" s="221"/>
      <c r="C38" s="221"/>
      <c r="D38" s="221"/>
      <c r="E38" s="221"/>
      <c r="F38" s="221"/>
      <c r="G38" s="18" t="s">
        <v>2607</v>
      </c>
      <c r="H38" s="203"/>
    </row>
    <row r="39" spans="1:8" x14ac:dyDescent="0.2">
      <c r="A39" s="218"/>
      <c r="B39" s="23"/>
      <c r="C39" s="222"/>
      <c r="D39" s="222"/>
      <c r="E39" s="222"/>
      <c r="F39" s="222"/>
      <c r="G39" s="222"/>
      <c r="H39" s="203"/>
    </row>
    <row r="40" spans="1:8" ht="26.45" customHeight="1" x14ac:dyDescent="0.2">
      <c r="A40" s="218"/>
      <c r="B40" s="364" t="s">
        <v>3696</v>
      </c>
      <c r="C40" s="365"/>
      <c r="D40" s="365"/>
      <c r="E40" s="365"/>
      <c r="F40" s="365"/>
      <c r="G40" s="366"/>
      <c r="H40" s="203"/>
    </row>
    <row r="41" spans="1:8" x14ac:dyDescent="0.2">
      <c r="A41" s="218"/>
      <c r="B41" s="7" t="s">
        <v>185</v>
      </c>
      <c r="C41" s="7"/>
      <c r="D41" s="7"/>
      <c r="E41" s="7"/>
      <c r="F41" s="7"/>
      <c r="G41" s="7"/>
      <c r="H41" s="203"/>
    </row>
    <row r="42" spans="1:8" ht="15" customHeight="1" x14ac:dyDescent="0.2">
      <c r="A42" s="223"/>
      <c r="B42" s="204"/>
      <c r="C42" s="204"/>
      <c r="D42" s="204"/>
      <c r="E42" s="204"/>
      <c r="F42" s="204"/>
      <c r="G42" s="204"/>
      <c r="H42" s="204"/>
    </row>
  </sheetData>
  <mergeCells count="4">
    <mergeCell ref="C4:C5"/>
    <mergeCell ref="D4:E4"/>
    <mergeCell ref="F4:G4"/>
    <mergeCell ref="B40:G4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F0"/>
  </sheetPr>
  <dimension ref="A1:H17"/>
  <sheetViews>
    <sheetView showGridLines="0" workbookViewId="0"/>
  </sheetViews>
  <sheetFormatPr defaultColWidth="9.140625" defaultRowHeight="12.75" x14ac:dyDescent="0.2"/>
  <cols>
    <col min="1" max="1" width="2.5703125" style="21" customWidth="1"/>
    <col min="2" max="2" width="52" style="21" customWidth="1"/>
    <col min="3" max="3" width="14.85546875" style="21" customWidth="1"/>
    <col min="4" max="7" width="10" style="21" customWidth="1"/>
    <col min="8" max="8" width="15.140625" style="21" bestFit="1" customWidth="1"/>
    <col min="9" max="9" width="10" style="21" customWidth="1"/>
    <col min="10" max="16384" width="9.140625" style="21"/>
  </cols>
  <sheetData>
    <row r="1" spans="1:8" ht="17.25" x14ac:dyDescent="0.2">
      <c r="A1" s="224"/>
      <c r="B1" s="65" t="s">
        <v>201</v>
      </c>
      <c r="C1" s="12"/>
      <c r="D1" s="12"/>
      <c r="E1" s="12"/>
      <c r="F1" s="12"/>
      <c r="G1" s="12"/>
      <c r="H1" s="12"/>
    </row>
    <row r="2" spans="1:8" ht="15" x14ac:dyDescent="0.2">
      <c r="A2" s="224"/>
      <c r="B2" s="239" t="str">
        <f>Cover!C8</f>
        <v>Inspections from 1 September 2019 to 31 December 2019, published by 31 December 2019</v>
      </c>
      <c r="C2" s="13"/>
      <c r="D2" s="13"/>
      <c r="E2" s="13"/>
      <c r="F2" s="13"/>
      <c r="G2" s="13"/>
      <c r="H2" s="12"/>
    </row>
    <row r="3" spans="1:8" x14ac:dyDescent="0.2">
      <c r="A3" s="224"/>
      <c r="B3" s="11"/>
      <c r="C3" s="13"/>
      <c r="D3" s="225"/>
      <c r="E3" s="15"/>
      <c r="F3" s="15"/>
      <c r="G3" s="13"/>
      <c r="H3" s="12"/>
    </row>
    <row r="4" spans="1:8" ht="25.5" x14ac:dyDescent="0.2">
      <c r="A4" s="226"/>
      <c r="B4" s="184"/>
      <c r="C4" s="184" t="s">
        <v>174</v>
      </c>
      <c r="D4" s="351" t="s">
        <v>175</v>
      </c>
      <c r="E4" s="353"/>
      <c r="F4" s="352" t="s">
        <v>176</v>
      </c>
      <c r="G4" s="353"/>
      <c r="H4" s="16"/>
    </row>
    <row r="5" spans="1:8" x14ac:dyDescent="0.2">
      <c r="A5" s="226"/>
      <c r="B5" s="185"/>
      <c r="C5" s="185"/>
      <c r="D5" s="56" t="s">
        <v>190</v>
      </c>
      <c r="E5" s="179" t="s">
        <v>191</v>
      </c>
      <c r="F5" s="183" t="s">
        <v>190</v>
      </c>
      <c r="G5" s="179" t="s">
        <v>191</v>
      </c>
      <c r="H5" s="227"/>
    </row>
    <row r="6" spans="1:8" x14ac:dyDescent="0.2">
      <c r="A6" s="226"/>
      <c r="B6" s="36" t="s">
        <v>181</v>
      </c>
      <c r="C6" s="101">
        <v>58</v>
      </c>
      <c r="D6" s="72">
        <v>26</v>
      </c>
      <c r="E6" s="74">
        <v>32</v>
      </c>
      <c r="F6" s="122">
        <v>44.827586206896555</v>
      </c>
      <c r="G6" s="78">
        <v>55.172413793103445</v>
      </c>
      <c r="H6" s="52"/>
    </row>
    <row r="7" spans="1:8" x14ac:dyDescent="0.2">
      <c r="A7" s="226"/>
      <c r="B7" s="205" t="s">
        <v>182</v>
      </c>
      <c r="C7" s="103">
        <v>42</v>
      </c>
      <c r="D7" s="86">
        <v>18</v>
      </c>
      <c r="E7" s="87">
        <v>24</v>
      </c>
      <c r="F7" s="118">
        <v>42.857142857142854</v>
      </c>
      <c r="G7" s="119">
        <v>57.142857142857139</v>
      </c>
      <c r="H7" s="34"/>
    </row>
    <row r="8" spans="1:8" x14ac:dyDescent="0.2">
      <c r="A8" s="226"/>
      <c r="B8" s="71" t="s">
        <v>183</v>
      </c>
      <c r="C8" s="115">
        <v>16</v>
      </c>
      <c r="D8" s="97">
        <v>8</v>
      </c>
      <c r="E8" s="98">
        <v>8</v>
      </c>
      <c r="F8" s="120">
        <v>50</v>
      </c>
      <c r="G8" s="121">
        <v>50</v>
      </c>
      <c r="H8" s="34"/>
    </row>
    <row r="9" spans="1:8" x14ac:dyDescent="0.2">
      <c r="A9" s="224"/>
      <c r="B9" s="14"/>
      <c r="C9" s="221"/>
      <c r="D9" s="221"/>
      <c r="E9" s="221"/>
      <c r="F9" s="228"/>
      <c r="G9" s="18" t="s">
        <v>2607</v>
      </c>
      <c r="H9" s="17"/>
    </row>
    <row r="10" spans="1:8" x14ac:dyDescent="0.2">
      <c r="A10" s="224"/>
      <c r="B10" s="19"/>
      <c r="C10" s="221"/>
      <c r="D10" s="221"/>
      <c r="E10" s="221"/>
      <c r="F10" s="228"/>
      <c r="G10" s="18"/>
      <c r="H10" s="17"/>
    </row>
    <row r="11" spans="1:8" ht="17.100000000000001" customHeight="1" x14ac:dyDescent="0.2">
      <c r="A11" s="224"/>
      <c r="B11" s="203" t="s">
        <v>184</v>
      </c>
      <c r="C11" s="222"/>
      <c r="D11" s="222"/>
      <c r="E11" s="222"/>
      <c r="F11" s="222"/>
      <c r="G11" s="222"/>
      <c r="H11" s="222"/>
    </row>
    <row r="12" spans="1:8" ht="28.5" customHeight="1" x14ac:dyDescent="0.2">
      <c r="A12" s="203"/>
      <c r="B12" s="367" t="s">
        <v>185</v>
      </c>
      <c r="C12" s="367"/>
      <c r="D12" s="367"/>
      <c r="E12" s="367"/>
      <c r="F12" s="367"/>
      <c r="G12" s="367"/>
      <c r="H12" s="203"/>
    </row>
    <row r="13" spans="1:8" x14ac:dyDescent="0.2">
      <c r="A13" s="203"/>
      <c r="B13" s="203"/>
      <c r="C13" s="203"/>
      <c r="D13" s="203"/>
      <c r="E13" s="203"/>
      <c r="F13" s="203"/>
      <c r="G13" s="203"/>
      <c r="H13" s="203"/>
    </row>
    <row r="14" spans="1:8" x14ac:dyDescent="0.2">
      <c r="A14" s="204"/>
      <c r="B14" s="55"/>
      <c r="C14" s="204"/>
      <c r="D14" s="204"/>
      <c r="E14" s="204"/>
      <c r="F14" s="204"/>
      <c r="G14" s="204"/>
      <c r="H14" s="204"/>
    </row>
    <row r="17" spans="2:2" x14ac:dyDescent="0.2">
      <c r="B17" s="55"/>
    </row>
  </sheetData>
  <mergeCells count="3">
    <mergeCell ref="B12:G12"/>
    <mergeCell ref="D4:E4"/>
    <mergeCell ref="F4:G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F0"/>
  </sheetPr>
  <dimension ref="A1:XFD57"/>
  <sheetViews>
    <sheetView showGridLines="0" workbookViewId="0"/>
  </sheetViews>
  <sheetFormatPr defaultColWidth="9.140625" defaultRowHeight="12.75" x14ac:dyDescent="0.2"/>
  <cols>
    <col min="1" max="1" width="2.5703125" style="20" customWidth="1"/>
    <col min="2" max="2" width="47.85546875" style="20" customWidth="1"/>
    <col min="3" max="4" width="14.5703125" style="20" customWidth="1"/>
    <col min="5" max="6" width="13.5703125" style="20" customWidth="1"/>
    <col min="7" max="7" width="14.5703125" style="20" customWidth="1"/>
    <col min="8" max="12" width="13.5703125" style="20" customWidth="1"/>
    <col min="13" max="16384" width="9.140625" style="20"/>
  </cols>
  <sheetData>
    <row r="1" spans="1:45" ht="17.25" x14ac:dyDescent="0.2">
      <c r="A1" s="8"/>
      <c r="B1" s="64" t="s">
        <v>2627</v>
      </c>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4"/>
      <c r="AI1" s="204"/>
      <c r="AJ1" s="204"/>
      <c r="AK1" s="204"/>
      <c r="AL1" s="204"/>
      <c r="AM1" s="204"/>
      <c r="AN1" s="204"/>
      <c r="AO1" s="204"/>
      <c r="AP1" s="204"/>
      <c r="AQ1" s="204"/>
      <c r="AR1" s="204"/>
      <c r="AS1" s="204"/>
    </row>
    <row r="2" spans="1:45" ht="15" x14ac:dyDescent="0.2">
      <c r="A2" s="203"/>
      <c r="B2" s="26" t="str">
        <f>Cover!$C$9</f>
        <v>Most recent inspections as at 31 December 2019, published by 31 December 2019</v>
      </c>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4"/>
      <c r="AI2" s="204"/>
      <c r="AJ2" s="204"/>
      <c r="AK2" s="204"/>
      <c r="AL2" s="204"/>
      <c r="AM2" s="204"/>
      <c r="AN2" s="204"/>
      <c r="AO2" s="204"/>
      <c r="AP2" s="204"/>
      <c r="AQ2" s="204"/>
      <c r="AR2" s="204"/>
      <c r="AS2" s="204"/>
    </row>
    <row r="3" spans="1:45" x14ac:dyDescent="0.2">
      <c r="A3" s="203"/>
      <c r="B3" s="203"/>
      <c r="C3" s="54"/>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4"/>
      <c r="AI3" s="204"/>
      <c r="AJ3" s="204"/>
      <c r="AK3" s="204"/>
      <c r="AL3" s="204"/>
      <c r="AM3" s="204"/>
      <c r="AN3" s="204"/>
      <c r="AO3" s="204"/>
      <c r="AP3" s="204"/>
      <c r="AQ3" s="204"/>
      <c r="AR3" s="204"/>
      <c r="AS3" s="204"/>
    </row>
    <row r="4" spans="1:45" ht="14.45" customHeight="1" x14ac:dyDescent="0.2">
      <c r="A4" s="203"/>
      <c r="B4" s="354"/>
      <c r="C4" s="372" t="s">
        <v>202</v>
      </c>
      <c r="D4" s="357" t="s">
        <v>203</v>
      </c>
      <c r="E4" s="352" t="s">
        <v>136</v>
      </c>
      <c r="F4" s="352"/>
      <c r="G4" s="352"/>
      <c r="H4" s="352"/>
      <c r="I4" s="352"/>
      <c r="J4" s="352"/>
      <c r="K4" s="352"/>
      <c r="L4" s="352"/>
      <c r="M4" s="351" t="s">
        <v>204</v>
      </c>
      <c r="N4" s="351"/>
      <c r="O4" s="351"/>
      <c r="P4" s="351"/>
      <c r="Q4" s="351" t="s">
        <v>141</v>
      </c>
      <c r="R4" s="352"/>
      <c r="S4" s="352"/>
      <c r="T4" s="353"/>
      <c r="U4" s="203"/>
      <c r="V4" s="203"/>
      <c r="W4" s="203"/>
      <c r="X4" s="203"/>
      <c r="Y4" s="203"/>
      <c r="Z4" s="203"/>
      <c r="AA4" s="203"/>
      <c r="AB4" s="203"/>
      <c r="AC4" s="203"/>
      <c r="AD4" s="203"/>
      <c r="AE4" s="203"/>
      <c r="AF4" s="203"/>
      <c r="AG4" s="203"/>
      <c r="AH4" s="204"/>
      <c r="AI4" s="204"/>
      <c r="AJ4" s="204"/>
      <c r="AK4" s="204"/>
      <c r="AL4" s="204"/>
      <c r="AM4" s="204"/>
      <c r="AN4" s="204"/>
      <c r="AO4" s="204"/>
      <c r="AP4" s="204"/>
      <c r="AQ4" s="204"/>
      <c r="AR4" s="204"/>
      <c r="AS4" s="204"/>
    </row>
    <row r="5" spans="1:45" ht="34.5" customHeight="1" x14ac:dyDescent="0.2">
      <c r="A5" s="203"/>
      <c r="B5" s="354"/>
      <c r="C5" s="372"/>
      <c r="D5" s="357"/>
      <c r="E5" s="352" t="s">
        <v>175</v>
      </c>
      <c r="F5" s="352"/>
      <c r="G5" s="352"/>
      <c r="H5" s="352"/>
      <c r="I5" s="352" t="s">
        <v>176</v>
      </c>
      <c r="J5" s="352"/>
      <c r="K5" s="352"/>
      <c r="L5" s="352"/>
      <c r="M5" s="351" t="s">
        <v>175</v>
      </c>
      <c r="N5" s="351"/>
      <c r="O5" s="351" t="s">
        <v>176</v>
      </c>
      <c r="P5" s="351"/>
      <c r="Q5" s="351" t="s">
        <v>175</v>
      </c>
      <c r="R5" s="353"/>
      <c r="S5" s="351" t="s">
        <v>176</v>
      </c>
      <c r="T5" s="353"/>
      <c r="U5" s="203"/>
      <c r="V5" s="203"/>
      <c r="W5" s="203"/>
      <c r="X5" s="203"/>
      <c r="Y5" s="203"/>
      <c r="Z5" s="203"/>
      <c r="AA5" s="203"/>
      <c r="AB5" s="203"/>
      <c r="AC5" s="203"/>
      <c r="AD5" s="203"/>
      <c r="AE5" s="203"/>
      <c r="AF5" s="203"/>
      <c r="AG5" s="203"/>
      <c r="AH5" s="204"/>
      <c r="AI5" s="204"/>
      <c r="AJ5" s="204"/>
      <c r="AK5" s="204"/>
      <c r="AL5" s="204"/>
      <c r="AM5" s="204"/>
      <c r="AN5" s="204"/>
      <c r="AO5" s="204"/>
      <c r="AP5" s="204"/>
      <c r="AQ5" s="204"/>
      <c r="AR5" s="204"/>
      <c r="AS5" s="204"/>
    </row>
    <row r="6" spans="1:45" ht="34.5" customHeight="1" x14ac:dyDescent="0.2">
      <c r="A6" s="203"/>
      <c r="B6" s="371"/>
      <c r="C6" s="372"/>
      <c r="D6" s="357"/>
      <c r="E6" s="183" t="s">
        <v>177</v>
      </c>
      <c r="F6" s="183" t="s">
        <v>178</v>
      </c>
      <c r="G6" s="183" t="s">
        <v>179</v>
      </c>
      <c r="H6" s="183" t="s">
        <v>180</v>
      </c>
      <c r="I6" s="50" t="s">
        <v>177</v>
      </c>
      <c r="J6" s="180" t="s">
        <v>178</v>
      </c>
      <c r="K6" s="180" t="s">
        <v>179</v>
      </c>
      <c r="L6" s="51" t="s">
        <v>180</v>
      </c>
      <c r="M6" s="181" t="s">
        <v>190</v>
      </c>
      <c r="N6" s="182" t="s">
        <v>191</v>
      </c>
      <c r="O6" s="181" t="s">
        <v>190</v>
      </c>
      <c r="P6" s="182" t="s">
        <v>191</v>
      </c>
      <c r="Q6" s="286" t="s">
        <v>169</v>
      </c>
      <c r="R6" s="288" t="s">
        <v>170</v>
      </c>
      <c r="S6" s="286" t="s">
        <v>169</v>
      </c>
      <c r="T6" s="288" t="s">
        <v>170</v>
      </c>
      <c r="U6" s="203"/>
      <c r="V6" s="203"/>
      <c r="W6" s="203"/>
      <c r="X6" s="203"/>
      <c r="Y6" s="203"/>
      <c r="Z6" s="203"/>
      <c r="AA6" s="203"/>
      <c r="AB6" s="203"/>
      <c r="AC6" s="203"/>
      <c r="AD6" s="203"/>
      <c r="AE6" s="203"/>
      <c r="AF6" s="203"/>
      <c r="AG6" s="203"/>
      <c r="AH6" s="204"/>
      <c r="AI6" s="204"/>
      <c r="AJ6" s="204"/>
      <c r="AK6" s="204"/>
      <c r="AL6" s="204"/>
      <c r="AM6" s="204"/>
      <c r="AN6" s="204"/>
      <c r="AO6" s="204"/>
      <c r="AP6" s="204"/>
      <c r="AQ6" s="204"/>
      <c r="AR6" s="204"/>
      <c r="AS6" s="204"/>
    </row>
    <row r="7" spans="1:45" x14ac:dyDescent="0.2">
      <c r="A7" s="203"/>
      <c r="B7" s="33" t="s">
        <v>181</v>
      </c>
      <c r="C7" s="123">
        <v>1098</v>
      </c>
      <c r="D7" s="123">
        <v>1018</v>
      </c>
      <c r="E7" s="124">
        <v>142</v>
      </c>
      <c r="F7" s="125">
        <v>629</v>
      </c>
      <c r="G7" s="125">
        <v>147</v>
      </c>
      <c r="H7" s="125">
        <v>99</v>
      </c>
      <c r="I7" s="126">
        <v>13.962635201573253</v>
      </c>
      <c r="J7" s="127">
        <v>61.848574237954764</v>
      </c>
      <c r="K7" s="127">
        <v>14.454277286135694</v>
      </c>
      <c r="L7" s="128">
        <v>9.7345132743362832</v>
      </c>
      <c r="M7" s="72">
        <v>835</v>
      </c>
      <c r="N7" s="73">
        <v>178</v>
      </c>
      <c r="O7" s="129">
        <v>82.428430404738393</v>
      </c>
      <c r="P7" s="78">
        <v>17.5715695952616</v>
      </c>
      <c r="Q7" s="72">
        <v>939</v>
      </c>
      <c r="R7" s="73">
        <v>72</v>
      </c>
      <c r="S7" s="131">
        <v>92.87833827893175</v>
      </c>
      <c r="T7" s="130">
        <v>7.1216617210682491</v>
      </c>
      <c r="U7" s="229"/>
      <c r="V7" s="230"/>
      <c r="W7" s="230"/>
      <c r="X7" s="230"/>
      <c r="Y7" s="230"/>
      <c r="Z7" s="230"/>
      <c r="AA7" s="230"/>
      <c r="AB7" s="230"/>
      <c r="AC7" s="230"/>
      <c r="AD7" s="230"/>
      <c r="AE7" s="230"/>
      <c r="AF7" s="230"/>
      <c r="AG7" s="230"/>
      <c r="AH7" s="204"/>
      <c r="AI7" s="204"/>
      <c r="AJ7" s="204"/>
      <c r="AK7" s="204"/>
      <c r="AL7" s="204"/>
      <c r="AM7" s="204"/>
      <c r="AN7" s="204"/>
      <c r="AO7" s="204"/>
      <c r="AP7" s="204"/>
      <c r="AQ7" s="204"/>
      <c r="AR7" s="204"/>
      <c r="AS7" s="204"/>
    </row>
    <row r="8" spans="1:45" x14ac:dyDescent="0.2">
      <c r="A8" s="203"/>
      <c r="B8" s="205" t="s">
        <v>167</v>
      </c>
      <c r="C8" s="132">
        <v>591</v>
      </c>
      <c r="D8" s="132">
        <v>548</v>
      </c>
      <c r="E8" s="133">
        <v>63</v>
      </c>
      <c r="F8" s="134">
        <v>316</v>
      </c>
      <c r="G8" s="134">
        <v>93</v>
      </c>
      <c r="H8" s="134">
        <v>76</v>
      </c>
      <c r="I8" s="135">
        <v>11.496350364963504</v>
      </c>
      <c r="J8" s="136">
        <v>57.664233576642332</v>
      </c>
      <c r="K8" s="136">
        <v>16.970802919708028</v>
      </c>
      <c r="L8" s="136">
        <v>13.868613138686131</v>
      </c>
      <c r="M8" s="86">
        <v>419</v>
      </c>
      <c r="N8" s="137">
        <v>125</v>
      </c>
      <c r="O8" s="88">
        <v>77.02205882352942</v>
      </c>
      <c r="P8" s="89">
        <v>22.977941176470587</v>
      </c>
      <c r="Q8" s="86">
        <v>492</v>
      </c>
      <c r="R8" s="137">
        <v>51</v>
      </c>
      <c r="S8" s="88">
        <v>90.607734806629836</v>
      </c>
      <c r="T8" s="138">
        <v>9.3922651933701662</v>
      </c>
      <c r="U8" s="229"/>
      <c r="V8" s="230"/>
      <c r="W8" s="230"/>
      <c r="X8" s="230"/>
      <c r="Y8" s="230"/>
      <c r="Z8" s="230"/>
      <c r="AA8" s="230"/>
      <c r="AB8" s="230"/>
      <c r="AC8" s="230"/>
      <c r="AD8" s="230"/>
      <c r="AE8" s="230"/>
      <c r="AF8" s="230"/>
      <c r="AG8" s="230"/>
      <c r="AH8" s="204"/>
      <c r="AI8" s="204"/>
      <c r="AJ8" s="204"/>
      <c r="AK8" s="204"/>
      <c r="AL8" s="204"/>
      <c r="AM8" s="204"/>
      <c r="AN8" s="204"/>
      <c r="AO8" s="204"/>
      <c r="AP8" s="204"/>
      <c r="AQ8" s="204"/>
      <c r="AR8" s="204"/>
      <c r="AS8" s="204"/>
    </row>
    <row r="9" spans="1:45" x14ac:dyDescent="0.2">
      <c r="A9" s="203"/>
      <c r="B9" s="71" t="s">
        <v>168</v>
      </c>
      <c r="C9" s="139">
        <v>507</v>
      </c>
      <c r="D9" s="139">
        <v>470</v>
      </c>
      <c r="E9" s="140">
        <v>79</v>
      </c>
      <c r="F9" s="141">
        <v>313</v>
      </c>
      <c r="G9" s="141">
        <v>54</v>
      </c>
      <c r="H9" s="141">
        <v>23</v>
      </c>
      <c r="I9" s="142">
        <v>16.844349680170577</v>
      </c>
      <c r="J9" s="143">
        <v>66.737739872068232</v>
      </c>
      <c r="K9" s="143">
        <v>11.513859275053305</v>
      </c>
      <c r="L9" s="143">
        <v>4.9040511727078888</v>
      </c>
      <c r="M9" s="97">
        <v>416</v>
      </c>
      <c r="N9" s="144">
        <v>53</v>
      </c>
      <c r="O9" s="99">
        <v>88.69936034115139</v>
      </c>
      <c r="P9" s="100">
        <v>11.300639658848615</v>
      </c>
      <c r="Q9" s="97">
        <v>447</v>
      </c>
      <c r="R9" s="144">
        <v>21</v>
      </c>
      <c r="S9" s="99">
        <v>95.512820512820511</v>
      </c>
      <c r="T9" s="100">
        <v>4.4871794871794872</v>
      </c>
      <c r="U9" s="229"/>
      <c r="V9" s="230"/>
      <c r="W9" s="230"/>
      <c r="X9" s="230"/>
      <c r="Y9" s="230"/>
      <c r="Z9" s="230"/>
      <c r="AA9" s="230"/>
      <c r="AB9" s="230"/>
      <c r="AC9" s="230"/>
      <c r="AD9" s="230"/>
      <c r="AE9" s="230"/>
      <c r="AF9" s="230"/>
      <c r="AG9" s="230"/>
      <c r="AH9" s="204"/>
      <c r="AI9" s="204"/>
      <c r="AJ9" s="204"/>
      <c r="AK9" s="204"/>
      <c r="AL9" s="204"/>
      <c r="AM9" s="204"/>
      <c r="AN9" s="204"/>
      <c r="AO9" s="204"/>
      <c r="AP9" s="204"/>
      <c r="AQ9" s="204"/>
      <c r="AR9" s="204"/>
      <c r="AS9" s="204"/>
    </row>
    <row r="10" spans="1:45" ht="12.75" customHeight="1" x14ac:dyDescent="0.2">
      <c r="A10" s="203"/>
      <c r="B10" s="2"/>
      <c r="C10" s="3"/>
      <c r="D10" s="53"/>
      <c r="E10" s="231"/>
      <c r="F10" s="231"/>
      <c r="G10" s="231"/>
      <c r="H10" s="231"/>
      <c r="I10" s="232"/>
      <c r="J10" s="232"/>
      <c r="K10" s="232"/>
      <c r="L10" s="232"/>
      <c r="M10" s="203"/>
      <c r="N10" s="203"/>
      <c r="O10" s="203"/>
      <c r="P10" s="203"/>
      <c r="Q10" s="203"/>
      <c r="R10" s="203"/>
      <c r="S10" s="203"/>
      <c r="T10" s="18" t="s">
        <v>2607</v>
      </c>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row>
    <row r="11" spans="1:45" s="289" customFormat="1" ht="12.75" customHeight="1" x14ac:dyDescent="0.2">
      <c r="A11" s="295"/>
      <c r="B11" s="298" t="s">
        <v>2611</v>
      </c>
      <c r="C11" s="294"/>
      <c r="D11" s="293"/>
      <c r="E11" s="292"/>
      <c r="F11" s="292"/>
      <c r="G11" s="292"/>
      <c r="H11" s="292"/>
      <c r="I11" s="291"/>
      <c r="J11" s="291"/>
      <c r="K11" s="291"/>
      <c r="L11" s="291"/>
      <c r="M11" s="295"/>
      <c r="N11" s="295"/>
      <c r="O11" s="295"/>
      <c r="P11" s="295"/>
      <c r="Q11" s="295"/>
      <c r="R11" s="295"/>
      <c r="S11" s="295"/>
      <c r="T11" s="290"/>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row>
    <row r="12" spans="1:45" ht="12.75" customHeight="1" x14ac:dyDescent="0.2">
      <c r="A12" s="203"/>
      <c r="B12" s="295" t="s">
        <v>187</v>
      </c>
      <c r="C12" s="3"/>
      <c r="D12" s="53"/>
      <c r="E12" s="231"/>
      <c r="F12" s="231"/>
      <c r="G12" s="231"/>
      <c r="H12" s="231"/>
      <c r="I12" s="232"/>
      <c r="J12" s="232"/>
      <c r="K12" s="232"/>
      <c r="L12" s="232"/>
      <c r="M12" s="203"/>
      <c r="N12" s="203"/>
      <c r="O12" s="203"/>
      <c r="P12" s="203"/>
      <c r="Q12" s="203"/>
      <c r="R12" s="203"/>
      <c r="S12" s="203"/>
      <c r="T12" s="6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row>
    <row r="13" spans="1:45" s="10" customFormat="1" x14ac:dyDescent="0.2">
      <c r="A13" s="203"/>
      <c r="B13" s="295" t="s">
        <v>188</v>
      </c>
      <c r="C13" s="203"/>
      <c r="D13" s="203"/>
      <c r="E13" s="203"/>
      <c r="F13" s="203"/>
      <c r="G13" s="203"/>
      <c r="H13" s="203"/>
      <c r="I13" s="204"/>
      <c r="J13" s="203"/>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row>
    <row r="14" spans="1:45" s="10" customFormat="1" x14ac:dyDescent="0.2">
      <c r="A14" s="203"/>
      <c r="B14" s="295" t="s">
        <v>3697</v>
      </c>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row>
    <row r="15" spans="1:45" s="10" customFormat="1" ht="13.35" customHeight="1" x14ac:dyDescent="0.2">
      <c r="A15" s="203"/>
      <c r="B15" s="295" t="s">
        <v>3698</v>
      </c>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row>
    <row r="16" spans="1:45" s="10" customFormat="1" x14ac:dyDescent="0.2">
      <c r="A16" s="203"/>
      <c r="B16" s="295" t="s">
        <v>3699</v>
      </c>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row>
    <row r="17" spans="1:16384" s="10" customFormat="1" x14ac:dyDescent="0.2">
      <c r="A17" s="20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row>
    <row r="18" spans="1:16384" s="9" customFormat="1" x14ac:dyDescent="0.2">
      <c r="A18" s="20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row>
    <row r="19" spans="1:16384" s="9" customFormat="1" ht="17.25" x14ac:dyDescent="0.2">
      <c r="A19" s="64"/>
      <c r="B19" s="64" t="s">
        <v>2628</v>
      </c>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c r="IW19" s="64"/>
      <c r="IX19" s="64"/>
      <c r="IY19" s="64"/>
      <c r="IZ19" s="64"/>
      <c r="JA19" s="64"/>
      <c r="JB19" s="64"/>
      <c r="JC19" s="64"/>
      <c r="JD19" s="64"/>
      <c r="JE19" s="64"/>
      <c r="JF19" s="64"/>
      <c r="JG19" s="64"/>
      <c r="JH19" s="64"/>
      <c r="JI19" s="64"/>
      <c r="JJ19" s="64"/>
      <c r="JK19" s="64"/>
      <c r="JL19" s="64"/>
      <c r="JM19" s="64"/>
      <c r="JN19" s="64"/>
      <c r="JO19" s="64"/>
      <c r="JP19" s="64"/>
      <c r="JQ19" s="64"/>
      <c r="JR19" s="64"/>
      <c r="JS19" s="64"/>
      <c r="JT19" s="64"/>
      <c r="JU19" s="64"/>
      <c r="JV19" s="64"/>
      <c r="JW19" s="64"/>
      <c r="JX19" s="64"/>
      <c r="JY19" s="64"/>
      <c r="JZ19" s="64"/>
      <c r="KA19" s="64"/>
      <c r="KB19" s="64"/>
      <c r="KC19" s="64"/>
      <c r="KD19" s="64"/>
      <c r="KE19" s="64"/>
      <c r="KF19" s="64"/>
      <c r="KG19" s="64"/>
      <c r="KH19" s="64"/>
      <c r="KI19" s="64"/>
      <c r="KJ19" s="64"/>
      <c r="KK19" s="64"/>
      <c r="KL19" s="64"/>
      <c r="KM19" s="64"/>
      <c r="KN19" s="64"/>
      <c r="KO19" s="64"/>
      <c r="KP19" s="64"/>
      <c r="KQ19" s="64"/>
      <c r="KR19" s="64"/>
      <c r="KS19" s="64"/>
      <c r="KT19" s="64"/>
      <c r="KU19" s="64"/>
      <c r="KV19" s="64"/>
      <c r="KW19" s="64"/>
      <c r="KX19" s="64"/>
      <c r="KY19" s="64"/>
      <c r="KZ19" s="64"/>
      <c r="LA19" s="64"/>
      <c r="LB19" s="64"/>
      <c r="LC19" s="64"/>
      <c r="LD19" s="64"/>
      <c r="LE19" s="64"/>
      <c r="LF19" s="64"/>
      <c r="LG19" s="64"/>
      <c r="LH19" s="64"/>
      <c r="LI19" s="64"/>
      <c r="LJ19" s="64"/>
      <c r="LK19" s="64"/>
      <c r="LL19" s="64"/>
      <c r="LM19" s="64"/>
      <c r="LN19" s="64"/>
      <c r="LO19" s="64"/>
      <c r="LP19" s="64"/>
      <c r="LQ19" s="64"/>
      <c r="LR19" s="64"/>
      <c r="LS19" s="64"/>
      <c r="LT19" s="64"/>
      <c r="LU19" s="64"/>
      <c r="LV19" s="64"/>
      <c r="LW19" s="64"/>
      <c r="LX19" s="64"/>
      <c r="LY19" s="64"/>
      <c r="LZ19" s="64"/>
      <c r="MA19" s="64"/>
      <c r="MB19" s="64"/>
      <c r="MC19" s="64"/>
      <c r="MD19" s="64"/>
      <c r="ME19" s="64"/>
      <c r="MF19" s="64"/>
      <c r="MG19" s="64"/>
      <c r="MH19" s="64"/>
      <c r="MI19" s="64"/>
      <c r="MJ19" s="64"/>
      <c r="MK19" s="64"/>
      <c r="ML19" s="64"/>
      <c r="MM19" s="64"/>
      <c r="MN19" s="64"/>
      <c r="MO19" s="64"/>
      <c r="MP19" s="64"/>
      <c r="MQ19" s="64"/>
      <c r="MR19" s="64"/>
      <c r="MS19" s="64"/>
      <c r="MT19" s="64"/>
      <c r="MU19" s="64"/>
      <c r="MV19" s="64"/>
      <c r="MW19" s="64"/>
      <c r="MX19" s="64"/>
      <c r="MY19" s="64"/>
      <c r="MZ19" s="64"/>
      <c r="NA19" s="64"/>
      <c r="NB19" s="64"/>
      <c r="NC19" s="64"/>
      <c r="ND19" s="64"/>
      <c r="NE19" s="64"/>
      <c r="NF19" s="64"/>
      <c r="NG19" s="64"/>
      <c r="NH19" s="64"/>
      <c r="NI19" s="64"/>
      <c r="NJ19" s="64"/>
      <c r="NK19" s="64"/>
      <c r="NL19" s="64"/>
      <c r="NM19" s="64"/>
      <c r="NN19" s="64"/>
      <c r="NO19" s="64"/>
      <c r="NP19" s="64"/>
      <c r="NQ19" s="64"/>
      <c r="NR19" s="64"/>
      <c r="NS19" s="64"/>
      <c r="NT19" s="64"/>
      <c r="NU19" s="64"/>
      <c r="NV19" s="64"/>
      <c r="NW19" s="64"/>
      <c r="NX19" s="64"/>
      <c r="NY19" s="64"/>
      <c r="NZ19" s="64"/>
      <c r="OA19" s="64"/>
      <c r="OB19" s="64"/>
      <c r="OC19" s="64"/>
      <c r="OD19" s="64"/>
      <c r="OE19" s="64"/>
      <c r="OF19" s="64"/>
      <c r="OG19" s="64"/>
      <c r="OH19" s="64"/>
      <c r="OI19" s="64"/>
      <c r="OJ19" s="64"/>
      <c r="OK19" s="64"/>
      <c r="OL19" s="64"/>
      <c r="OM19" s="64"/>
      <c r="ON19" s="64"/>
      <c r="OO19" s="64"/>
      <c r="OP19" s="64"/>
      <c r="OQ19" s="64"/>
      <c r="OR19" s="64"/>
      <c r="OS19" s="64"/>
      <c r="OT19" s="64"/>
      <c r="OU19" s="64"/>
      <c r="OV19" s="64"/>
      <c r="OW19" s="64"/>
      <c r="OX19" s="64"/>
      <c r="OY19" s="64"/>
      <c r="OZ19" s="64"/>
      <c r="PA19" s="64"/>
      <c r="PB19" s="64"/>
      <c r="PC19" s="64"/>
      <c r="PD19" s="64"/>
      <c r="PE19" s="64"/>
      <c r="PF19" s="64"/>
      <c r="PG19" s="64"/>
      <c r="PH19" s="64"/>
      <c r="PI19" s="64"/>
      <c r="PJ19" s="64"/>
      <c r="PK19" s="64"/>
      <c r="PL19" s="64"/>
      <c r="PM19" s="64"/>
      <c r="PN19" s="64"/>
      <c r="PO19" s="64"/>
      <c r="PP19" s="64"/>
      <c r="PQ19" s="64"/>
      <c r="PR19" s="64"/>
      <c r="PS19" s="64"/>
      <c r="PT19" s="64"/>
      <c r="PU19" s="64"/>
      <c r="PV19" s="64"/>
      <c r="PW19" s="64"/>
      <c r="PX19" s="64"/>
      <c r="PY19" s="64"/>
      <c r="PZ19" s="64"/>
      <c r="QA19" s="64"/>
      <c r="QB19" s="64"/>
      <c r="QC19" s="64"/>
      <c r="QD19" s="64"/>
      <c r="QE19" s="64"/>
      <c r="QF19" s="64"/>
      <c r="QG19" s="64"/>
      <c r="QH19" s="64"/>
      <c r="QI19" s="64"/>
      <c r="QJ19" s="64"/>
      <c r="QK19" s="64"/>
      <c r="QL19" s="64"/>
      <c r="QM19" s="64"/>
      <c r="QN19" s="64"/>
      <c r="QO19" s="64"/>
      <c r="QP19" s="64"/>
      <c r="QQ19" s="64"/>
      <c r="QR19" s="64"/>
      <c r="QS19" s="64"/>
      <c r="QT19" s="64"/>
      <c r="QU19" s="64"/>
      <c r="QV19" s="64"/>
      <c r="QW19" s="64"/>
      <c r="QX19" s="64"/>
      <c r="QY19" s="64"/>
      <c r="QZ19" s="64"/>
      <c r="RA19" s="64"/>
      <c r="RB19" s="64"/>
      <c r="RC19" s="64"/>
      <c r="RD19" s="64"/>
      <c r="RE19" s="64"/>
      <c r="RF19" s="64"/>
      <c r="RG19" s="64"/>
      <c r="RH19" s="64"/>
      <c r="RI19" s="64"/>
      <c r="RJ19" s="64"/>
      <c r="RK19" s="64"/>
      <c r="RL19" s="64"/>
      <c r="RM19" s="64"/>
      <c r="RN19" s="64"/>
      <c r="RO19" s="64"/>
      <c r="RP19" s="64"/>
      <c r="RQ19" s="64"/>
      <c r="RR19" s="64"/>
      <c r="RS19" s="64"/>
      <c r="RT19" s="64"/>
      <c r="RU19" s="64"/>
      <c r="RV19" s="64"/>
      <c r="RW19" s="64"/>
      <c r="RX19" s="64"/>
      <c r="RY19" s="64"/>
      <c r="RZ19" s="64"/>
      <c r="SA19" s="64"/>
      <c r="SB19" s="64"/>
      <c r="SC19" s="64"/>
      <c r="SD19" s="64"/>
      <c r="SE19" s="64"/>
      <c r="SF19" s="64"/>
      <c r="SG19" s="64"/>
      <c r="SH19" s="64"/>
      <c r="SI19" s="64"/>
      <c r="SJ19" s="64"/>
      <c r="SK19" s="64"/>
      <c r="SL19" s="64"/>
      <c r="SM19" s="64"/>
      <c r="SN19" s="64"/>
      <c r="SO19" s="64"/>
      <c r="SP19" s="64"/>
      <c r="SQ19" s="64"/>
      <c r="SR19" s="64"/>
      <c r="SS19" s="64"/>
      <c r="ST19" s="64"/>
      <c r="SU19" s="64"/>
      <c r="SV19" s="64"/>
      <c r="SW19" s="64"/>
      <c r="SX19" s="64"/>
      <c r="SY19" s="64"/>
      <c r="SZ19" s="64"/>
      <c r="TA19" s="64"/>
      <c r="TB19" s="64"/>
      <c r="TC19" s="64"/>
      <c r="TD19" s="64"/>
      <c r="TE19" s="64"/>
      <c r="TF19" s="64"/>
      <c r="TG19" s="64"/>
      <c r="TH19" s="64"/>
      <c r="TI19" s="64"/>
      <c r="TJ19" s="64"/>
      <c r="TK19" s="64"/>
      <c r="TL19" s="64"/>
      <c r="TM19" s="64"/>
      <c r="TN19" s="64"/>
      <c r="TO19" s="64"/>
      <c r="TP19" s="64"/>
      <c r="TQ19" s="64"/>
      <c r="TR19" s="64"/>
      <c r="TS19" s="64"/>
      <c r="TT19" s="64"/>
      <c r="TU19" s="64"/>
      <c r="TV19" s="64"/>
      <c r="TW19" s="64"/>
      <c r="TX19" s="64"/>
      <c r="TY19" s="64"/>
      <c r="TZ19" s="64"/>
      <c r="UA19" s="64"/>
      <c r="UB19" s="64"/>
      <c r="UC19" s="64"/>
      <c r="UD19" s="64"/>
      <c r="UE19" s="64"/>
      <c r="UF19" s="64"/>
      <c r="UG19" s="64"/>
      <c r="UH19" s="64"/>
      <c r="UI19" s="64"/>
      <c r="UJ19" s="64"/>
      <c r="UK19" s="64"/>
      <c r="UL19" s="64"/>
      <c r="UM19" s="64"/>
      <c r="UN19" s="64"/>
      <c r="UO19" s="64"/>
      <c r="UP19" s="64"/>
      <c r="UQ19" s="64"/>
      <c r="UR19" s="64"/>
      <c r="US19" s="64"/>
      <c r="UT19" s="64"/>
      <c r="UU19" s="64"/>
      <c r="UV19" s="64"/>
      <c r="UW19" s="64"/>
      <c r="UX19" s="64"/>
      <c r="UY19" s="64"/>
      <c r="UZ19" s="64"/>
      <c r="VA19" s="64"/>
      <c r="VB19" s="64"/>
      <c r="VC19" s="64"/>
      <c r="VD19" s="64"/>
      <c r="VE19" s="64"/>
      <c r="VF19" s="64"/>
      <c r="VG19" s="64"/>
      <c r="VH19" s="64"/>
      <c r="VI19" s="64"/>
      <c r="VJ19" s="64"/>
      <c r="VK19" s="64"/>
      <c r="VL19" s="64"/>
      <c r="VM19" s="64"/>
      <c r="VN19" s="64"/>
      <c r="VO19" s="64"/>
      <c r="VP19" s="64"/>
      <c r="VQ19" s="64"/>
      <c r="VR19" s="64"/>
      <c r="VS19" s="64"/>
      <c r="VT19" s="64"/>
      <c r="VU19" s="64"/>
      <c r="VV19" s="64"/>
      <c r="VW19" s="64"/>
      <c r="VX19" s="64"/>
      <c r="VY19" s="64"/>
      <c r="VZ19" s="64"/>
      <c r="WA19" s="64"/>
      <c r="WB19" s="64"/>
      <c r="WC19" s="64"/>
      <c r="WD19" s="64"/>
      <c r="WE19" s="64"/>
      <c r="WF19" s="64"/>
      <c r="WG19" s="64"/>
      <c r="WH19" s="64"/>
      <c r="WI19" s="64"/>
      <c r="WJ19" s="64"/>
      <c r="WK19" s="64"/>
      <c r="WL19" s="64"/>
      <c r="WM19" s="64"/>
      <c r="WN19" s="64"/>
      <c r="WO19" s="64"/>
      <c r="WP19" s="64"/>
      <c r="WQ19" s="64"/>
      <c r="WR19" s="64"/>
      <c r="WS19" s="64"/>
      <c r="WT19" s="64"/>
      <c r="WU19" s="64"/>
      <c r="WV19" s="64"/>
      <c r="WW19" s="64"/>
      <c r="WX19" s="64"/>
      <c r="WY19" s="64"/>
      <c r="WZ19" s="64"/>
      <c r="XA19" s="64"/>
      <c r="XB19" s="64"/>
      <c r="XC19" s="64"/>
      <c r="XD19" s="64"/>
      <c r="XE19" s="64"/>
      <c r="XF19" s="64"/>
      <c r="XG19" s="64"/>
      <c r="XH19" s="64"/>
      <c r="XI19" s="64"/>
      <c r="XJ19" s="64"/>
      <c r="XK19" s="64"/>
      <c r="XL19" s="64"/>
      <c r="XM19" s="64"/>
      <c r="XN19" s="64"/>
      <c r="XO19" s="64"/>
      <c r="XP19" s="64"/>
      <c r="XQ19" s="64"/>
      <c r="XR19" s="64"/>
      <c r="XS19" s="64"/>
      <c r="XT19" s="64"/>
      <c r="XU19" s="64"/>
      <c r="XV19" s="64"/>
      <c r="XW19" s="64"/>
      <c r="XX19" s="64"/>
      <c r="XY19" s="64"/>
      <c r="XZ19" s="64"/>
      <c r="YA19" s="64"/>
      <c r="YB19" s="64"/>
      <c r="YC19" s="64"/>
      <c r="YD19" s="64"/>
      <c r="YE19" s="64"/>
      <c r="YF19" s="64"/>
      <c r="YG19" s="64"/>
      <c r="YH19" s="64"/>
      <c r="YI19" s="64"/>
      <c r="YJ19" s="64"/>
      <c r="YK19" s="64"/>
      <c r="YL19" s="64"/>
      <c r="YM19" s="64"/>
      <c r="YN19" s="64"/>
      <c r="YO19" s="64"/>
      <c r="YP19" s="64"/>
      <c r="YQ19" s="64"/>
      <c r="YR19" s="64"/>
      <c r="YS19" s="64"/>
      <c r="YT19" s="64"/>
      <c r="YU19" s="64"/>
      <c r="YV19" s="64"/>
      <c r="YW19" s="64"/>
      <c r="YX19" s="64"/>
      <c r="YY19" s="64"/>
      <c r="YZ19" s="64"/>
      <c r="ZA19" s="64"/>
      <c r="ZB19" s="64"/>
      <c r="ZC19" s="64"/>
      <c r="ZD19" s="64"/>
      <c r="ZE19" s="64"/>
      <c r="ZF19" s="64"/>
      <c r="ZG19" s="64"/>
      <c r="ZH19" s="64"/>
      <c r="ZI19" s="64"/>
      <c r="ZJ19" s="64"/>
      <c r="ZK19" s="64"/>
      <c r="ZL19" s="64"/>
      <c r="ZM19" s="64"/>
      <c r="ZN19" s="64"/>
      <c r="ZO19" s="64"/>
      <c r="ZP19" s="64"/>
      <c r="ZQ19" s="64"/>
      <c r="ZR19" s="64"/>
      <c r="ZS19" s="64"/>
      <c r="ZT19" s="64"/>
      <c r="ZU19" s="64"/>
      <c r="ZV19" s="64"/>
      <c r="ZW19" s="64"/>
      <c r="ZX19" s="64"/>
      <c r="ZY19" s="64"/>
      <c r="ZZ19" s="64"/>
      <c r="AAA19" s="64"/>
      <c r="AAB19" s="64"/>
      <c r="AAC19" s="64"/>
      <c r="AAD19" s="64"/>
      <c r="AAE19" s="64"/>
      <c r="AAF19" s="64"/>
      <c r="AAG19" s="64"/>
      <c r="AAH19" s="64"/>
      <c r="AAI19" s="64"/>
      <c r="AAJ19" s="64"/>
      <c r="AAK19" s="64"/>
      <c r="AAL19" s="64"/>
      <c r="AAM19" s="64"/>
      <c r="AAN19" s="64"/>
      <c r="AAO19" s="64"/>
      <c r="AAP19" s="64"/>
      <c r="AAQ19" s="64"/>
      <c r="AAR19" s="64"/>
      <c r="AAS19" s="64"/>
      <c r="AAT19" s="64"/>
      <c r="AAU19" s="64"/>
      <c r="AAV19" s="64"/>
      <c r="AAW19" s="64"/>
      <c r="AAX19" s="64"/>
      <c r="AAY19" s="64"/>
      <c r="AAZ19" s="64"/>
      <c r="ABA19" s="64"/>
      <c r="ABB19" s="64"/>
      <c r="ABC19" s="64"/>
      <c r="ABD19" s="64"/>
      <c r="ABE19" s="64"/>
      <c r="ABF19" s="64"/>
      <c r="ABG19" s="64"/>
      <c r="ABH19" s="64"/>
      <c r="ABI19" s="64"/>
      <c r="ABJ19" s="64"/>
      <c r="ABK19" s="64"/>
      <c r="ABL19" s="64"/>
      <c r="ABM19" s="64"/>
      <c r="ABN19" s="64"/>
      <c r="ABO19" s="64"/>
      <c r="ABP19" s="64"/>
      <c r="ABQ19" s="64"/>
      <c r="ABR19" s="64"/>
      <c r="ABS19" s="64"/>
      <c r="ABT19" s="64"/>
      <c r="ABU19" s="64"/>
      <c r="ABV19" s="64"/>
      <c r="ABW19" s="64"/>
      <c r="ABX19" s="64"/>
      <c r="ABY19" s="64"/>
      <c r="ABZ19" s="64"/>
      <c r="ACA19" s="64"/>
      <c r="ACB19" s="64"/>
      <c r="ACC19" s="64"/>
      <c r="ACD19" s="64"/>
      <c r="ACE19" s="64"/>
      <c r="ACF19" s="64"/>
      <c r="ACG19" s="64"/>
      <c r="ACH19" s="64"/>
      <c r="ACI19" s="64"/>
      <c r="ACJ19" s="64"/>
      <c r="ACK19" s="64"/>
      <c r="ACL19" s="64"/>
      <c r="ACM19" s="64"/>
      <c r="ACN19" s="64"/>
      <c r="ACO19" s="64"/>
      <c r="ACP19" s="64"/>
      <c r="ACQ19" s="64"/>
      <c r="ACR19" s="64"/>
      <c r="ACS19" s="64"/>
      <c r="ACT19" s="64"/>
      <c r="ACU19" s="64"/>
      <c r="ACV19" s="64"/>
      <c r="ACW19" s="64"/>
      <c r="ACX19" s="64"/>
      <c r="ACY19" s="64"/>
      <c r="ACZ19" s="64"/>
      <c r="ADA19" s="64"/>
      <c r="ADB19" s="64"/>
      <c r="ADC19" s="64"/>
      <c r="ADD19" s="64"/>
      <c r="ADE19" s="64"/>
      <c r="ADF19" s="64"/>
      <c r="ADG19" s="64"/>
      <c r="ADH19" s="64"/>
      <c r="ADI19" s="64"/>
      <c r="ADJ19" s="64"/>
      <c r="ADK19" s="64"/>
      <c r="ADL19" s="64"/>
      <c r="ADM19" s="64"/>
      <c r="ADN19" s="64"/>
      <c r="ADO19" s="64"/>
      <c r="ADP19" s="64"/>
      <c r="ADQ19" s="64"/>
      <c r="ADR19" s="64"/>
      <c r="ADS19" s="64"/>
      <c r="ADT19" s="64"/>
      <c r="ADU19" s="64"/>
      <c r="ADV19" s="64"/>
      <c r="ADW19" s="64"/>
      <c r="ADX19" s="64"/>
      <c r="ADY19" s="64"/>
      <c r="ADZ19" s="64"/>
      <c r="AEA19" s="64"/>
      <c r="AEB19" s="64"/>
      <c r="AEC19" s="64"/>
      <c r="AED19" s="64"/>
      <c r="AEE19" s="64"/>
      <c r="AEF19" s="64"/>
      <c r="AEG19" s="64"/>
      <c r="AEH19" s="64"/>
      <c r="AEI19" s="64"/>
      <c r="AEJ19" s="64"/>
      <c r="AEK19" s="64"/>
      <c r="AEL19" s="64"/>
      <c r="AEM19" s="64"/>
      <c r="AEN19" s="64"/>
      <c r="AEO19" s="64"/>
      <c r="AEP19" s="64"/>
      <c r="AEQ19" s="64"/>
      <c r="AER19" s="64"/>
      <c r="AES19" s="64"/>
      <c r="AET19" s="64"/>
      <c r="AEU19" s="64"/>
      <c r="AEV19" s="64"/>
      <c r="AEW19" s="64"/>
      <c r="AEX19" s="64"/>
      <c r="AEY19" s="64"/>
      <c r="AEZ19" s="64"/>
      <c r="AFA19" s="64"/>
      <c r="AFB19" s="64"/>
      <c r="AFC19" s="64"/>
      <c r="AFD19" s="64"/>
      <c r="AFE19" s="64"/>
      <c r="AFF19" s="64"/>
      <c r="AFG19" s="64"/>
      <c r="AFH19" s="64"/>
      <c r="AFI19" s="64"/>
      <c r="AFJ19" s="64"/>
      <c r="AFK19" s="64"/>
      <c r="AFL19" s="64"/>
      <c r="AFM19" s="64"/>
      <c r="AFN19" s="64"/>
      <c r="AFO19" s="64"/>
      <c r="AFP19" s="64"/>
      <c r="AFQ19" s="64"/>
      <c r="AFR19" s="64"/>
      <c r="AFS19" s="64"/>
      <c r="AFT19" s="64"/>
      <c r="AFU19" s="64"/>
      <c r="AFV19" s="64"/>
      <c r="AFW19" s="64"/>
      <c r="AFX19" s="64"/>
      <c r="AFY19" s="64"/>
      <c r="AFZ19" s="64"/>
      <c r="AGA19" s="64"/>
      <c r="AGB19" s="64"/>
      <c r="AGC19" s="64"/>
      <c r="AGD19" s="64"/>
      <c r="AGE19" s="64"/>
      <c r="AGF19" s="64"/>
      <c r="AGG19" s="64"/>
      <c r="AGH19" s="64"/>
      <c r="AGI19" s="64"/>
      <c r="AGJ19" s="64"/>
      <c r="AGK19" s="64"/>
      <c r="AGL19" s="64"/>
      <c r="AGM19" s="64"/>
      <c r="AGN19" s="64"/>
      <c r="AGO19" s="64"/>
      <c r="AGP19" s="64"/>
      <c r="AGQ19" s="64"/>
      <c r="AGR19" s="64"/>
      <c r="AGS19" s="64"/>
      <c r="AGT19" s="64"/>
      <c r="AGU19" s="64"/>
      <c r="AGV19" s="64"/>
      <c r="AGW19" s="64"/>
      <c r="AGX19" s="64"/>
      <c r="AGY19" s="64"/>
      <c r="AGZ19" s="64"/>
      <c r="AHA19" s="64"/>
      <c r="AHB19" s="64"/>
      <c r="AHC19" s="64"/>
      <c r="AHD19" s="64"/>
      <c r="AHE19" s="64"/>
      <c r="AHF19" s="64"/>
      <c r="AHG19" s="64"/>
      <c r="AHH19" s="64"/>
      <c r="AHI19" s="64"/>
      <c r="AHJ19" s="64"/>
      <c r="AHK19" s="64"/>
      <c r="AHL19" s="64"/>
      <c r="AHM19" s="64"/>
      <c r="AHN19" s="64"/>
      <c r="AHO19" s="64"/>
      <c r="AHP19" s="64"/>
      <c r="AHQ19" s="64"/>
      <c r="AHR19" s="64"/>
      <c r="AHS19" s="64"/>
      <c r="AHT19" s="64"/>
      <c r="AHU19" s="64"/>
      <c r="AHV19" s="64"/>
      <c r="AHW19" s="64"/>
      <c r="AHX19" s="64"/>
      <c r="AHY19" s="64"/>
      <c r="AHZ19" s="64"/>
      <c r="AIA19" s="64"/>
      <c r="AIB19" s="64"/>
      <c r="AIC19" s="64"/>
      <c r="AID19" s="64"/>
      <c r="AIE19" s="64"/>
      <c r="AIF19" s="64"/>
      <c r="AIG19" s="64"/>
      <c r="AIH19" s="64"/>
      <c r="AII19" s="64"/>
      <c r="AIJ19" s="64"/>
      <c r="AIK19" s="64"/>
      <c r="AIL19" s="64"/>
      <c r="AIM19" s="64"/>
      <c r="AIN19" s="64"/>
      <c r="AIO19" s="64"/>
      <c r="AIP19" s="64"/>
      <c r="AIQ19" s="64"/>
      <c r="AIR19" s="64"/>
      <c r="AIS19" s="64"/>
      <c r="AIT19" s="64"/>
      <c r="AIU19" s="64"/>
      <c r="AIV19" s="64"/>
      <c r="AIW19" s="64"/>
      <c r="AIX19" s="64"/>
      <c r="AIY19" s="64"/>
      <c r="AIZ19" s="64"/>
      <c r="AJA19" s="64"/>
      <c r="AJB19" s="64"/>
      <c r="AJC19" s="64"/>
      <c r="AJD19" s="64"/>
      <c r="AJE19" s="64"/>
      <c r="AJF19" s="64"/>
      <c r="AJG19" s="64"/>
      <c r="AJH19" s="64"/>
      <c r="AJI19" s="64"/>
      <c r="AJJ19" s="64"/>
      <c r="AJK19" s="64"/>
      <c r="AJL19" s="64"/>
      <c r="AJM19" s="64"/>
      <c r="AJN19" s="64"/>
      <c r="AJO19" s="64"/>
      <c r="AJP19" s="64"/>
      <c r="AJQ19" s="64"/>
      <c r="AJR19" s="64"/>
      <c r="AJS19" s="64"/>
      <c r="AJT19" s="64"/>
      <c r="AJU19" s="64"/>
      <c r="AJV19" s="64"/>
      <c r="AJW19" s="64"/>
      <c r="AJX19" s="64"/>
      <c r="AJY19" s="64"/>
      <c r="AJZ19" s="64"/>
      <c r="AKA19" s="64"/>
      <c r="AKB19" s="64"/>
      <c r="AKC19" s="64"/>
      <c r="AKD19" s="64"/>
      <c r="AKE19" s="64"/>
      <c r="AKF19" s="64"/>
      <c r="AKG19" s="64"/>
      <c r="AKH19" s="64"/>
      <c r="AKI19" s="64"/>
      <c r="AKJ19" s="64"/>
      <c r="AKK19" s="64"/>
      <c r="AKL19" s="64"/>
      <c r="AKM19" s="64"/>
      <c r="AKN19" s="64"/>
      <c r="AKO19" s="64"/>
      <c r="AKP19" s="64"/>
      <c r="AKQ19" s="64"/>
      <c r="AKR19" s="64"/>
      <c r="AKS19" s="64"/>
      <c r="AKT19" s="64"/>
      <c r="AKU19" s="64"/>
      <c r="AKV19" s="64"/>
      <c r="AKW19" s="64"/>
      <c r="AKX19" s="64"/>
      <c r="AKY19" s="64"/>
      <c r="AKZ19" s="64"/>
      <c r="ALA19" s="64"/>
      <c r="ALB19" s="64"/>
      <c r="ALC19" s="64"/>
      <c r="ALD19" s="64"/>
      <c r="ALE19" s="64"/>
      <c r="ALF19" s="64"/>
      <c r="ALG19" s="64"/>
      <c r="ALH19" s="64"/>
      <c r="ALI19" s="64"/>
      <c r="ALJ19" s="64"/>
      <c r="ALK19" s="64"/>
      <c r="ALL19" s="64"/>
      <c r="ALM19" s="64"/>
      <c r="ALN19" s="64"/>
      <c r="ALO19" s="64"/>
      <c r="ALP19" s="64"/>
      <c r="ALQ19" s="64"/>
      <c r="ALR19" s="64"/>
      <c r="ALS19" s="64"/>
      <c r="ALT19" s="64"/>
      <c r="ALU19" s="64"/>
      <c r="ALV19" s="64"/>
      <c r="ALW19" s="64"/>
      <c r="ALX19" s="64"/>
      <c r="ALY19" s="64"/>
      <c r="ALZ19" s="64"/>
      <c r="AMA19" s="64"/>
      <c r="AMB19" s="64"/>
      <c r="AMC19" s="64"/>
      <c r="AMD19" s="64"/>
      <c r="AME19" s="64"/>
      <c r="AMF19" s="64"/>
      <c r="AMG19" s="64"/>
      <c r="AMH19" s="64"/>
      <c r="AMI19" s="64"/>
      <c r="AMJ19" s="64"/>
      <c r="AMK19" s="64"/>
      <c r="AML19" s="64"/>
      <c r="AMM19" s="64"/>
      <c r="AMN19" s="64"/>
      <c r="AMO19" s="64"/>
      <c r="AMP19" s="64"/>
      <c r="AMQ19" s="64"/>
      <c r="AMR19" s="64"/>
      <c r="AMS19" s="64"/>
      <c r="AMT19" s="64"/>
      <c r="AMU19" s="64"/>
      <c r="AMV19" s="64"/>
      <c r="AMW19" s="64"/>
      <c r="AMX19" s="64"/>
      <c r="AMY19" s="64"/>
      <c r="AMZ19" s="64"/>
      <c r="ANA19" s="64"/>
      <c r="ANB19" s="64"/>
      <c r="ANC19" s="64"/>
      <c r="AND19" s="64"/>
      <c r="ANE19" s="64"/>
      <c r="ANF19" s="64"/>
      <c r="ANG19" s="64"/>
      <c r="ANH19" s="64"/>
      <c r="ANI19" s="64"/>
      <c r="ANJ19" s="64"/>
      <c r="ANK19" s="64"/>
      <c r="ANL19" s="64"/>
      <c r="ANM19" s="64"/>
      <c r="ANN19" s="64"/>
      <c r="ANO19" s="64"/>
      <c r="ANP19" s="64"/>
      <c r="ANQ19" s="64"/>
      <c r="ANR19" s="64"/>
      <c r="ANS19" s="64"/>
      <c r="ANT19" s="64"/>
      <c r="ANU19" s="64"/>
      <c r="ANV19" s="64"/>
      <c r="ANW19" s="64"/>
      <c r="ANX19" s="64"/>
      <c r="ANY19" s="64"/>
      <c r="ANZ19" s="64"/>
      <c r="AOA19" s="64"/>
      <c r="AOB19" s="64"/>
      <c r="AOC19" s="64"/>
      <c r="AOD19" s="64"/>
      <c r="AOE19" s="64"/>
      <c r="AOF19" s="64"/>
      <c r="AOG19" s="64"/>
      <c r="AOH19" s="64"/>
      <c r="AOI19" s="64"/>
      <c r="AOJ19" s="64"/>
      <c r="AOK19" s="64"/>
      <c r="AOL19" s="64"/>
      <c r="AOM19" s="64"/>
      <c r="AON19" s="64"/>
      <c r="AOO19" s="64"/>
      <c r="AOP19" s="64"/>
      <c r="AOQ19" s="64"/>
      <c r="AOR19" s="64"/>
      <c r="AOS19" s="64"/>
      <c r="AOT19" s="64"/>
      <c r="AOU19" s="64"/>
      <c r="AOV19" s="64"/>
      <c r="AOW19" s="64"/>
      <c r="AOX19" s="64"/>
      <c r="AOY19" s="64"/>
      <c r="AOZ19" s="64"/>
      <c r="APA19" s="64"/>
      <c r="APB19" s="64"/>
      <c r="APC19" s="64"/>
      <c r="APD19" s="64"/>
      <c r="APE19" s="64"/>
      <c r="APF19" s="64"/>
      <c r="APG19" s="64"/>
      <c r="APH19" s="64"/>
      <c r="API19" s="64"/>
      <c r="APJ19" s="64"/>
      <c r="APK19" s="64"/>
      <c r="APL19" s="64"/>
      <c r="APM19" s="64"/>
      <c r="APN19" s="64"/>
      <c r="APO19" s="64"/>
      <c r="APP19" s="64"/>
      <c r="APQ19" s="64"/>
      <c r="APR19" s="64"/>
      <c r="APS19" s="64"/>
      <c r="APT19" s="64"/>
      <c r="APU19" s="64"/>
      <c r="APV19" s="64"/>
      <c r="APW19" s="64"/>
      <c r="APX19" s="64"/>
      <c r="APY19" s="64"/>
      <c r="APZ19" s="64"/>
      <c r="AQA19" s="64"/>
      <c r="AQB19" s="64"/>
      <c r="AQC19" s="64"/>
      <c r="AQD19" s="64"/>
      <c r="AQE19" s="64"/>
      <c r="AQF19" s="64"/>
      <c r="AQG19" s="64"/>
      <c r="AQH19" s="64"/>
      <c r="AQI19" s="64"/>
      <c r="AQJ19" s="64"/>
      <c r="AQK19" s="64"/>
      <c r="AQL19" s="64"/>
      <c r="AQM19" s="64"/>
      <c r="AQN19" s="64"/>
      <c r="AQO19" s="64"/>
      <c r="AQP19" s="64"/>
      <c r="AQQ19" s="64"/>
      <c r="AQR19" s="64"/>
      <c r="AQS19" s="64"/>
      <c r="AQT19" s="64"/>
      <c r="AQU19" s="64"/>
      <c r="AQV19" s="64"/>
      <c r="AQW19" s="64"/>
      <c r="AQX19" s="64"/>
      <c r="AQY19" s="64"/>
      <c r="AQZ19" s="64"/>
      <c r="ARA19" s="64"/>
      <c r="ARB19" s="64"/>
      <c r="ARC19" s="64"/>
      <c r="ARD19" s="64"/>
      <c r="ARE19" s="64"/>
      <c r="ARF19" s="64"/>
      <c r="ARG19" s="64"/>
      <c r="ARH19" s="64"/>
      <c r="ARI19" s="64"/>
      <c r="ARJ19" s="64"/>
      <c r="ARK19" s="64"/>
      <c r="ARL19" s="64"/>
      <c r="ARM19" s="64"/>
      <c r="ARN19" s="64"/>
      <c r="ARO19" s="64"/>
      <c r="ARP19" s="64"/>
      <c r="ARQ19" s="64"/>
      <c r="ARR19" s="64"/>
      <c r="ARS19" s="64"/>
      <c r="ART19" s="64"/>
      <c r="ARU19" s="64"/>
      <c r="ARV19" s="64"/>
      <c r="ARW19" s="64"/>
      <c r="ARX19" s="64"/>
      <c r="ARY19" s="64"/>
      <c r="ARZ19" s="64"/>
      <c r="ASA19" s="64"/>
      <c r="ASB19" s="64"/>
      <c r="ASC19" s="64"/>
      <c r="ASD19" s="64"/>
      <c r="ASE19" s="64"/>
      <c r="ASF19" s="64"/>
      <c r="ASG19" s="64"/>
      <c r="ASH19" s="64"/>
      <c r="ASI19" s="64"/>
      <c r="ASJ19" s="64"/>
      <c r="ASK19" s="64"/>
      <c r="ASL19" s="64"/>
      <c r="ASM19" s="64"/>
      <c r="ASN19" s="64"/>
      <c r="ASO19" s="64"/>
      <c r="ASP19" s="64"/>
      <c r="ASQ19" s="64"/>
      <c r="ASR19" s="64"/>
      <c r="ASS19" s="64"/>
      <c r="AST19" s="64"/>
      <c r="ASU19" s="64"/>
      <c r="ASV19" s="64"/>
      <c r="ASW19" s="64"/>
      <c r="ASX19" s="64"/>
      <c r="ASY19" s="64"/>
      <c r="ASZ19" s="64"/>
      <c r="ATA19" s="64"/>
      <c r="ATB19" s="64"/>
      <c r="ATC19" s="64"/>
      <c r="ATD19" s="64"/>
      <c r="ATE19" s="64"/>
      <c r="ATF19" s="64"/>
      <c r="ATG19" s="64"/>
      <c r="ATH19" s="64"/>
      <c r="ATI19" s="64"/>
      <c r="ATJ19" s="64"/>
      <c r="ATK19" s="64"/>
      <c r="ATL19" s="64"/>
      <c r="ATM19" s="64"/>
      <c r="ATN19" s="64"/>
      <c r="ATO19" s="64"/>
      <c r="ATP19" s="64"/>
      <c r="ATQ19" s="64"/>
      <c r="ATR19" s="64"/>
      <c r="ATS19" s="64"/>
      <c r="ATT19" s="64"/>
      <c r="ATU19" s="64"/>
      <c r="ATV19" s="64"/>
      <c r="ATW19" s="64"/>
      <c r="ATX19" s="64"/>
      <c r="ATY19" s="64"/>
      <c r="ATZ19" s="64"/>
      <c r="AUA19" s="64"/>
      <c r="AUB19" s="64"/>
      <c r="AUC19" s="64"/>
      <c r="AUD19" s="64"/>
      <c r="AUE19" s="64"/>
      <c r="AUF19" s="64"/>
      <c r="AUG19" s="64"/>
      <c r="AUH19" s="64"/>
      <c r="AUI19" s="64"/>
      <c r="AUJ19" s="64"/>
      <c r="AUK19" s="64"/>
      <c r="AUL19" s="64"/>
      <c r="AUM19" s="64"/>
      <c r="AUN19" s="64"/>
      <c r="AUO19" s="64"/>
      <c r="AUP19" s="64"/>
      <c r="AUQ19" s="64"/>
      <c r="AUR19" s="64"/>
      <c r="AUS19" s="64"/>
      <c r="AUT19" s="64"/>
      <c r="AUU19" s="64"/>
      <c r="AUV19" s="64"/>
      <c r="AUW19" s="64"/>
      <c r="AUX19" s="64"/>
      <c r="AUY19" s="64"/>
      <c r="AUZ19" s="64"/>
      <c r="AVA19" s="64"/>
      <c r="AVB19" s="64"/>
      <c r="AVC19" s="64"/>
      <c r="AVD19" s="64"/>
      <c r="AVE19" s="64"/>
      <c r="AVF19" s="64"/>
      <c r="AVG19" s="64"/>
      <c r="AVH19" s="64"/>
      <c r="AVI19" s="64"/>
      <c r="AVJ19" s="64"/>
      <c r="AVK19" s="64"/>
      <c r="AVL19" s="64"/>
      <c r="AVM19" s="64"/>
      <c r="AVN19" s="64"/>
      <c r="AVO19" s="64"/>
      <c r="AVP19" s="64"/>
      <c r="AVQ19" s="64"/>
      <c r="AVR19" s="64"/>
      <c r="AVS19" s="64"/>
      <c r="AVT19" s="64"/>
      <c r="AVU19" s="64"/>
      <c r="AVV19" s="64"/>
      <c r="AVW19" s="64"/>
      <c r="AVX19" s="64"/>
      <c r="AVY19" s="64"/>
      <c r="AVZ19" s="64"/>
      <c r="AWA19" s="64"/>
      <c r="AWB19" s="64"/>
      <c r="AWC19" s="64"/>
      <c r="AWD19" s="64"/>
      <c r="AWE19" s="64"/>
      <c r="AWF19" s="64"/>
      <c r="AWG19" s="64"/>
      <c r="AWH19" s="64"/>
      <c r="AWI19" s="64"/>
      <c r="AWJ19" s="64"/>
      <c r="AWK19" s="64"/>
      <c r="AWL19" s="64"/>
      <c r="AWM19" s="64"/>
      <c r="AWN19" s="64"/>
      <c r="AWO19" s="64"/>
      <c r="AWP19" s="64"/>
      <c r="AWQ19" s="64"/>
      <c r="AWR19" s="64"/>
      <c r="AWS19" s="64"/>
      <c r="AWT19" s="64"/>
      <c r="AWU19" s="64"/>
      <c r="AWV19" s="64"/>
      <c r="AWW19" s="64"/>
      <c r="AWX19" s="64"/>
      <c r="AWY19" s="64"/>
      <c r="AWZ19" s="64"/>
      <c r="AXA19" s="64"/>
      <c r="AXB19" s="64"/>
      <c r="AXC19" s="64"/>
      <c r="AXD19" s="64"/>
      <c r="AXE19" s="64"/>
      <c r="AXF19" s="64"/>
      <c r="AXG19" s="64"/>
      <c r="AXH19" s="64"/>
      <c r="AXI19" s="64"/>
      <c r="AXJ19" s="64"/>
      <c r="AXK19" s="64"/>
      <c r="AXL19" s="64"/>
      <c r="AXM19" s="64"/>
      <c r="AXN19" s="64"/>
      <c r="AXO19" s="64"/>
      <c r="AXP19" s="64"/>
      <c r="AXQ19" s="64"/>
      <c r="AXR19" s="64"/>
      <c r="AXS19" s="64"/>
      <c r="AXT19" s="64"/>
      <c r="AXU19" s="64"/>
      <c r="AXV19" s="64"/>
      <c r="AXW19" s="64"/>
      <c r="AXX19" s="64"/>
      <c r="AXY19" s="64"/>
      <c r="AXZ19" s="64"/>
      <c r="AYA19" s="64"/>
      <c r="AYB19" s="64"/>
      <c r="AYC19" s="64"/>
      <c r="AYD19" s="64"/>
      <c r="AYE19" s="64"/>
      <c r="AYF19" s="64"/>
      <c r="AYG19" s="64"/>
      <c r="AYH19" s="64"/>
      <c r="AYI19" s="64"/>
      <c r="AYJ19" s="64"/>
      <c r="AYK19" s="64"/>
      <c r="AYL19" s="64"/>
      <c r="AYM19" s="64"/>
      <c r="AYN19" s="64"/>
      <c r="AYO19" s="64"/>
      <c r="AYP19" s="64"/>
      <c r="AYQ19" s="64"/>
      <c r="AYR19" s="64"/>
      <c r="AYS19" s="64"/>
      <c r="AYT19" s="64"/>
      <c r="AYU19" s="64"/>
      <c r="AYV19" s="64"/>
      <c r="AYW19" s="64"/>
      <c r="AYX19" s="64"/>
      <c r="AYY19" s="64"/>
      <c r="AYZ19" s="64"/>
      <c r="AZA19" s="64"/>
      <c r="AZB19" s="64"/>
      <c r="AZC19" s="64"/>
      <c r="AZD19" s="64"/>
      <c r="AZE19" s="64"/>
      <c r="AZF19" s="64"/>
      <c r="AZG19" s="64"/>
      <c r="AZH19" s="64"/>
      <c r="AZI19" s="64"/>
      <c r="AZJ19" s="64"/>
      <c r="AZK19" s="64"/>
      <c r="AZL19" s="64"/>
      <c r="AZM19" s="64"/>
      <c r="AZN19" s="64"/>
      <c r="AZO19" s="64"/>
      <c r="AZP19" s="64"/>
      <c r="AZQ19" s="64"/>
      <c r="AZR19" s="64"/>
      <c r="AZS19" s="64"/>
      <c r="AZT19" s="64"/>
      <c r="AZU19" s="64"/>
      <c r="AZV19" s="64"/>
      <c r="AZW19" s="64"/>
      <c r="AZX19" s="64"/>
      <c r="AZY19" s="64"/>
      <c r="AZZ19" s="64"/>
      <c r="BAA19" s="64"/>
      <c r="BAB19" s="64"/>
      <c r="BAC19" s="64"/>
      <c r="BAD19" s="64"/>
      <c r="BAE19" s="64"/>
      <c r="BAF19" s="64"/>
      <c r="BAG19" s="64"/>
      <c r="BAH19" s="64"/>
      <c r="BAI19" s="64"/>
      <c r="BAJ19" s="64"/>
      <c r="BAK19" s="64"/>
      <c r="BAL19" s="64"/>
      <c r="BAM19" s="64"/>
      <c r="BAN19" s="64"/>
      <c r="BAO19" s="64"/>
      <c r="BAP19" s="64"/>
      <c r="BAQ19" s="64"/>
      <c r="BAR19" s="64"/>
      <c r="BAS19" s="64"/>
      <c r="BAT19" s="64"/>
      <c r="BAU19" s="64"/>
      <c r="BAV19" s="64"/>
      <c r="BAW19" s="64"/>
      <c r="BAX19" s="64"/>
      <c r="BAY19" s="64"/>
      <c r="BAZ19" s="64"/>
      <c r="BBA19" s="64"/>
      <c r="BBB19" s="64"/>
      <c r="BBC19" s="64"/>
      <c r="BBD19" s="64"/>
      <c r="BBE19" s="64"/>
      <c r="BBF19" s="64"/>
      <c r="BBG19" s="64"/>
      <c r="BBH19" s="64"/>
      <c r="BBI19" s="64"/>
      <c r="BBJ19" s="64"/>
      <c r="BBK19" s="64"/>
      <c r="BBL19" s="64"/>
      <c r="BBM19" s="64"/>
      <c r="BBN19" s="64"/>
      <c r="BBO19" s="64"/>
      <c r="BBP19" s="64"/>
      <c r="BBQ19" s="64"/>
      <c r="BBR19" s="64"/>
      <c r="BBS19" s="64"/>
      <c r="BBT19" s="64"/>
      <c r="BBU19" s="64"/>
      <c r="BBV19" s="64"/>
      <c r="BBW19" s="64"/>
      <c r="BBX19" s="64"/>
      <c r="BBY19" s="64"/>
      <c r="BBZ19" s="64"/>
      <c r="BCA19" s="64"/>
      <c r="BCB19" s="64"/>
      <c r="BCC19" s="64"/>
      <c r="BCD19" s="64"/>
      <c r="BCE19" s="64"/>
      <c r="BCF19" s="64"/>
      <c r="BCG19" s="64"/>
      <c r="BCH19" s="64"/>
      <c r="BCI19" s="64"/>
      <c r="BCJ19" s="64"/>
      <c r="BCK19" s="64"/>
      <c r="BCL19" s="64"/>
      <c r="BCM19" s="64"/>
      <c r="BCN19" s="64"/>
      <c r="BCO19" s="64"/>
      <c r="BCP19" s="64"/>
      <c r="BCQ19" s="64"/>
      <c r="BCR19" s="64"/>
      <c r="BCS19" s="64"/>
      <c r="BCT19" s="64"/>
      <c r="BCU19" s="64"/>
      <c r="BCV19" s="64"/>
      <c r="BCW19" s="64"/>
      <c r="BCX19" s="64"/>
      <c r="BCY19" s="64"/>
      <c r="BCZ19" s="64"/>
      <c r="BDA19" s="64"/>
      <c r="BDB19" s="64"/>
      <c r="BDC19" s="64"/>
      <c r="BDD19" s="64"/>
      <c r="BDE19" s="64"/>
      <c r="BDF19" s="64"/>
      <c r="BDG19" s="64"/>
      <c r="BDH19" s="64"/>
      <c r="BDI19" s="64"/>
      <c r="BDJ19" s="64"/>
      <c r="BDK19" s="64"/>
      <c r="BDL19" s="64"/>
      <c r="BDM19" s="64"/>
      <c r="BDN19" s="64"/>
      <c r="BDO19" s="64"/>
      <c r="BDP19" s="64"/>
      <c r="BDQ19" s="64"/>
      <c r="BDR19" s="64"/>
      <c r="BDS19" s="64"/>
      <c r="BDT19" s="64"/>
      <c r="BDU19" s="64"/>
      <c r="BDV19" s="64"/>
      <c r="BDW19" s="64"/>
      <c r="BDX19" s="64"/>
      <c r="BDY19" s="64"/>
      <c r="BDZ19" s="64"/>
      <c r="BEA19" s="64"/>
      <c r="BEB19" s="64"/>
      <c r="BEC19" s="64"/>
      <c r="BED19" s="64"/>
      <c r="BEE19" s="64"/>
      <c r="BEF19" s="64"/>
      <c r="BEG19" s="64"/>
      <c r="BEH19" s="64"/>
      <c r="BEI19" s="64"/>
      <c r="BEJ19" s="64"/>
      <c r="BEK19" s="64"/>
      <c r="BEL19" s="64"/>
      <c r="BEM19" s="64"/>
      <c r="BEN19" s="64"/>
      <c r="BEO19" s="64"/>
      <c r="BEP19" s="64"/>
      <c r="BEQ19" s="64"/>
      <c r="BER19" s="64"/>
      <c r="BES19" s="64"/>
      <c r="BET19" s="64"/>
      <c r="BEU19" s="64"/>
      <c r="BEV19" s="64"/>
      <c r="BEW19" s="64"/>
      <c r="BEX19" s="64"/>
      <c r="BEY19" s="64"/>
      <c r="BEZ19" s="64"/>
      <c r="BFA19" s="64"/>
      <c r="BFB19" s="64"/>
      <c r="BFC19" s="64"/>
      <c r="BFD19" s="64"/>
      <c r="BFE19" s="64"/>
      <c r="BFF19" s="64"/>
      <c r="BFG19" s="64"/>
      <c r="BFH19" s="64"/>
      <c r="BFI19" s="64"/>
      <c r="BFJ19" s="64"/>
      <c r="BFK19" s="64"/>
      <c r="BFL19" s="64"/>
      <c r="BFM19" s="64"/>
      <c r="BFN19" s="64"/>
      <c r="BFO19" s="64"/>
      <c r="BFP19" s="64"/>
      <c r="BFQ19" s="64"/>
      <c r="BFR19" s="64"/>
      <c r="BFS19" s="64"/>
      <c r="BFT19" s="64"/>
      <c r="BFU19" s="64"/>
      <c r="BFV19" s="64"/>
      <c r="BFW19" s="64"/>
      <c r="BFX19" s="64"/>
      <c r="BFY19" s="64"/>
      <c r="BFZ19" s="64"/>
      <c r="BGA19" s="64"/>
      <c r="BGB19" s="64"/>
      <c r="BGC19" s="64"/>
      <c r="BGD19" s="64"/>
      <c r="BGE19" s="64"/>
      <c r="BGF19" s="64"/>
      <c r="BGG19" s="64"/>
      <c r="BGH19" s="64"/>
      <c r="BGI19" s="64"/>
      <c r="BGJ19" s="64"/>
      <c r="BGK19" s="64"/>
      <c r="BGL19" s="64"/>
      <c r="BGM19" s="64"/>
      <c r="BGN19" s="64"/>
      <c r="BGO19" s="64"/>
      <c r="BGP19" s="64"/>
      <c r="BGQ19" s="64"/>
      <c r="BGR19" s="64"/>
      <c r="BGS19" s="64"/>
      <c r="BGT19" s="64"/>
      <c r="BGU19" s="64"/>
      <c r="BGV19" s="64"/>
      <c r="BGW19" s="64"/>
      <c r="BGX19" s="64"/>
      <c r="BGY19" s="64"/>
      <c r="BGZ19" s="64"/>
      <c r="BHA19" s="64"/>
      <c r="BHB19" s="64"/>
      <c r="BHC19" s="64"/>
      <c r="BHD19" s="64"/>
      <c r="BHE19" s="64"/>
      <c r="BHF19" s="64"/>
      <c r="BHG19" s="64"/>
      <c r="BHH19" s="64"/>
      <c r="BHI19" s="64"/>
      <c r="BHJ19" s="64"/>
      <c r="BHK19" s="64"/>
      <c r="BHL19" s="64"/>
      <c r="BHM19" s="64"/>
      <c r="BHN19" s="64"/>
      <c r="BHO19" s="64"/>
      <c r="BHP19" s="64"/>
      <c r="BHQ19" s="64"/>
      <c r="BHR19" s="64"/>
      <c r="BHS19" s="64"/>
      <c r="BHT19" s="64"/>
      <c r="BHU19" s="64"/>
      <c r="BHV19" s="64"/>
      <c r="BHW19" s="64"/>
      <c r="BHX19" s="64"/>
      <c r="BHY19" s="64"/>
      <c r="BHZ19" s="64"/>
      <c r="BIA19" s="64"/>
      <c r="BIB19" s="64"/>
      <c r="BIC19" s="64"/>
      <c r="BID19" s="64"/>
      <c r="BIE19" s="64"/>
      <c r="BIF19" s="64"/>
      <c r="BIG19" s="64"/>
      <c r="BIH19" s="64"/>
      <c r="BII19" s="64"/>
      <c r="BIJ19" s="64"/>
      <c r="BIK19" s="64"/>
      <c r="BIL19" s="64"/>
      <c r="BIM19" s="64"/>
      <c r="BIN19" s="64"/>
      <c r="BIO19" s="64"/>
      <c r="BIP19" s="64"/>
      <c r="BIQ19" s="64"/>
      <c r="BIR19" s="64"/>
      <c r="BIS19" s="64"/>
      <c r="BIT19" s="64"/>
      <c r="BIU19" s="64"/>
      <c r="BIV19" s="64"/>
      <c r="BIW19" s="64"/>
      <c r="BIX19" s="64"/>
      <c r="BIY19" s="64"/>
      <c r="BIZ19" s="64"/>
      <c r="BJA19" s="64"/>
      <c r="BJB19" s="64"/>
      <c r="BJC19" s="64"/>
      <c r="BJD19" s="64"/>
      <c r="BJE19" s="64"/>
      <c r="BJF19" s="64"/>
      <c r="BJG19" s="64"/>
      <c r="BJH19" s="64"/>
      <c r="BJI19" s="64"/>
      <c r="BJJ19" s="64"/>
      <c r="BJK19" s="64"/>
      <c r="BJL19" s="64"/>
      <c r="BJM19" s="64"/>
      <c r="BJN19" s="64"/>
      <c r="BJO19" s="64"/>
      <c r="BJP19" s="64"/>
      <c r="BJQ19" s="64"/>
      <c r="BJR19" s="64"/>
      <c r="BJS19" s="64"/>
      <c r="BJT19" s="64"/>
      <c r="BJU19" s="64"/>
      <c r="BJV19" s="64"/>
      <c r="BJW19" s="64"/>
      <c r="BJX19" s="64"/>
      <c r="BJY19" s="64"/>
      <c r="BJZ19" s="64"/>
      <c r="BKA19" s="64"/>
      <c r="BKB19" s="64"/>
      <c r="BKC19" s="64"/>
      <c r="BKD19" s="64"/>
      <c r="BKE19" s="64"/>
      <c r="BKF19" s="64"/>
      <c r="BKG19" s="64"/>
      <c r="BKH19" s="64"/>
      <c r="BKI19" s="64"/>
      <c r="BKJ19" s="64"/>
      <c r="BKK19" s="64"/>
      <c r="BKL19" s="64"/>
      <c r="BKM19" s="64"/>
      <c r="BKN19" s="64"/>
      <c r="BKO19" s="64"/>
      <c r="BKP19" s="64"/>
      <c r="BKQ19" s="64"/>
      <c r="BKR19" s="64"/>
      <c r="BKS19" s="64"/>
      <c r="BKT19" s="64"/>
      <c r="BKU19" s="64"/>
      <c r="BKV19" s="64"/>
      <c r="BKW19" s="64"/>
      <c r="BKX19" s="64"/>
      <c r="BKY19" s="64"/>
      <c r="BKZ19" s="64"/>
      <c r="BLA19" s="64"/>
      <c r="BLB19" s="64"/>
      <c r="BLC19" s="64"/>
      <c r="BLD19" s="64"/>
      <c r="BLE19" s="64"/>
      <c r="BLF19" s="64"/>
      <c r="BLG19" s="64"/>
      <c r="BLH19" s="64"/>
      <c r="BLI19" s="64"/>
      <c r="BLJ19" s="64"/>
      <c r="BLK19" s="64"/>
      <c r="BLL19" s="64"/>
      <c r="BLM19" s="64"/>
      <c r="BLN19" s="64"/>
      <c r="BLO19" s="64"/>
      <c r="BLP19" s="64"/>
      <c r="BLQ19" s="64"/>
      <c r="BLR19" s="64"/>
      <c r="BLS19" s="64"/>
      <c r="BLT19" s="64"/>
      <c r="BLU19" s="64"/>
      <c r="BLV19" s="64"/>
      <c r="BLW19" s="64"/>
      <c r="BLX19" s="64"/>
      <c r="BLY19" s="64"/>
      <c r="BLZ19" s="64"/>
      <c r="BMA19" s="64"/>
      <c r="BMB19" s="64"/>
      <c r="BMC19" s="64"/>
      <c r="BMD19" s="64"/>
      <c r="BME19" s="64"/>
      <c r="BMF19" s="64"/>
      <c r="BMG19" s="64"/>
      <c r="BMH19" s="64"/>
      <c r="BMI19" s="64"/>
      <c r="BMJ19" s="64"/>
      <c r="BMK19" s="64"/>
      <c r="BML19" s="64"/>
      <c r="BMM19" s="64"/>
      <c r="BMN19" s="64"/>
      <c r="BMO19" s="64"/>
      <c r="BMP19" s="64"/>
      <c r="BMQ19" s="64"/>
      <c r="BMR19" s="64"/>
      <c r="BMS19" s="64"/>
      <c r="BMT19" s="64"/>
      <c r="BMU19" s="64"/>
      <c r="BMV19" s="64"/>
      <c r="BMW19" s="64"/>
      <c r="BMX19" s="64"/>
      <c r="BMY19" s="64"/>
      <c r="BMZ19" s="64"/>
      <c r="BNA19" s="64"/>
      <c r="BNB19" s="64"/>
      <c r="BNC19" s="64"/>
      <c r="BND19" s="64"/>
      <c r="BNE19" s="64"/>
      <c r="BNF19" s="64"/>
      <c r="BNG19" s="64"/>
      <c r="BNH19" s="64"/>
      <c r="BNI19" s="64"/>
      <c r="BNJ19" s="64"/>
      <c r="BNK19" s="64"/>
      <c r="BNL19" s="64"/>
      <c r="BNM19" s="64"/>
      <c r="BNN19" s="64"/>
      <c r="BNO19" s="64"/>
      <c r="BNP19" s="64"/>
      <c r="BNQ19" s="64"/>
      <c r="BNR19" s="64"/>
      <c r="BNS19" s="64"/>
      <c r="BNT19" s="64"/>
      <c r="BNU19" s="64"/>
      <c r="BNV19" s="64"/>
      <c r="BNW19" s="64"/>
      <c r="BNX19" s="64"/>
      <c r="BNY19" s="64"/>
      <c r="BNZ19" s="64"/>
      <c r="BOA19" s="64"/>
      <c r="BOB19" s="64"/>
      <c r="BOC19" s="64"/>
      <c r="BOD19" s="64"/>
      <c r="BOE19" s="64"/>
      <c r="BOF19" s="64"/>
      <c r="BOG19" s="64"/>
      <c r="BOH19" s="64"/>
      <c r="BOI19" s="64"/>
      <c r="BOJ19" s="64"/>
      <c r="BOK19" s="64"/>
      <c r="BOL19" s="64"/>
      <c r="BOM19" s="64"/>
      <c r="BON19" s="64"/>
      <c r="BOO19" s="64"/>
      <c r="BOP19" s="64"/>
      <c r="BOQ19" s="64"/>
      <c r="BOR19" s="64"/>
      <c r="BOS19" s="64"/>
      <c r="BOT19" s="64"/>
      <c r="BOU19" s="64"/>
      <c r="BOV19" s="64"/>
      <c r="BOW19" s="64"/>
      <c r="BOX19" s="64"/>
      <c r="BOY19" s="64"/>
      <c r="BOZ19" s="64"/>
      <c r="BPA19" s="64"/>
      <c r="BPB19" s="64"/>
      <c r="BPC19" s="64"/>
      <c r="BPD19" s="64"/>
      <c r="BPE19" s="64"/>
      <c r="BPF19" s="64"/>
      <c r="BPG19" s="64"/>
      <c r="BPH19" s="64"/>
      <c r="BPI19" s="64"/>
      <c r="BPJ19" s="64"/>
      <c r="BPK19" s="64"/>
      <c r="BPL19" s="64"/>
      <c r="BPM19" s="64"/>
      <c r="BPN19" s="64"/>
      <c r="BPO19" s="64"/>
      <c r="BPP19" s="64"/>
      <c r="BPQ19" s="64"/>
      <c r="BPR19" s="64"/>
      <c r="BPS19" s="64"/>
      <c r="BPT19" s="64"/>
      <c r="BPU19" s="64"/>
      <c r="BPV19" s="64"/>
      <c r="BPW19" s="64"/>
      <c r="BPX19" s="64"/>
      <c r="BPY19" s="64"/>
      <c r="BPZ19" s="64"/>
      <c r="BQA19" s="64"/>
      <c r="BQB19" s="64"/>
      <c r="BQC19" s="64"/>
      <c r="BQD19" s="64"/>
      <c r="BQE19" s="64"/>
      <c r="BQF19" s="64"/>
      <c r="BQG19" s="64"/>
      <c r="BQH19" s="64"/>
      <c r="BQI19" s="64"/>
      <c r="BQJ19" s="64"/>
      <c r="BQK19" s="64"/>
      <c r="BQL19" s="64"/>
      <c r="BQM19" s="64"/>
      <c r="BQN19" s="64"/>
      <c r="BQO19" s="64"/>
      <c r="BQP19" s="64"/>
      <c r="BQQ19" s="64"/>
      <c r="BQR19" s="64"/>
      <c r="BQS19" s="64"/>
      <c r="BQT19" s="64"/>
      <c r="BQU19" s="64"/>
      <c r="BQV19" s="64"/>
      <c r="BQW19" s="64"/>
      <c r="BQX19" s="64"/>
      <c r="BQY19" s="64"/>
      <c r="BQZ19" s="64"/>
      <c r="BRA19" s="64"/>
      <c r="BRB19" s="64"/>
      <c r="BRC19" s="64"/>
      <c r="BRD19" s="64"/>
      <c r="BRE19" s="64"/>
      <c r="BRF19" s="64"/>
      <c r="BRG19" s="64"/>
      <c r="BRH19" s="64"/>
      <c r="BRI19" s="64"/>
      <c r="BRJ19" s="64"/>
      <c r="BRK19" s="64"/>
      <c r="BRL19" s="64"/>
      <c r="BRM19" s="64"/>
      <c r="BRN19" s="64"/>
      <c r="BRO19" s="64"/>
      <c r="BRP19" s="64"/>
      <c r="BRQ19" s="64"/>
      <c r="BRR19" s="64"/>
      <c r="BRS19" s="64"/>
      <c r="BRT19" s="64"/>
      <c r="BRU19" s="64"/>
      <c r="BRV19" s="64"/>
      <c r="BRW19" s="64"/>
      <c r="BRX19" s="64"/>
      <c r="BRY19" s="64"/>
      <c r="BRZ19" s="64"/>
      <c r="BSA19" s="64"/>
      <c r="BSB19" s="64"/>
      <c r="BSC19" s="64"/>
      <c r="BSD19" s="64"/>
      <c r="BSE19" s="64"/>
      <c r="BSF19" s="64"/>
      <c r="BSG19" s="64"/>
      <c r="BSH19" s="64"/>
      <c r="BSI19" s="64"/>
      <c r="BSJ19" s="64"/>
      <c r="BSK19" s="64"/>
      <c r="BSL19" s="64"/>
      <c r="BSM19" s="64"/>
      <c r="BSN19" s="64"/>
      <c r="BSO19" s="64"/>
      <c r="BSP19" s="64"/>
      <c r="BSQ19" s="64"/>
      <c r="BSR19" s="64"/>
      <c r="BSS19" s="64"/>
      <c r="BST19" s="64"/>
      <c r="BSU19" s="64"/>
      <c r="BSV19" s="64"/>
      <c r="BSW19" s="64"/>
      <c r="BSX19" s="64"/>
      <c r="BSY19" s="64"/>
      <c r="BSZ19" s="64"/>
      <c r="BTA19" s="64"/>
      <c r="BTB19" s="64"/>
      <c r="BTC19" s="64"/>
      <c r="BTD19" s="64"/>
      <c r="BTE19" s="64"/>
      <c r="BTF19" s="64"/>
      <c r="BTG19" s="64"/>
      <c r="BTH19" s="64"/>
      <c r="BTI19" s="64"/>
      <c r="BTJ19" s="64"/>
      <c r="BTK19" s="64"/>
      <c r="BTL19" s="64"/>
      <c r="BTM19" s="64"/>
      <c r="BTN19" s="64"/>
      <c r="BTO19" s="64"/>
      <c r="BTP19" s="64"/>
      <c r="BTQ19" s="64"/>
      <c r="BTR19" s="64"/>
      <c r="BTS19" s="64"/>
      <c r="BTT19" s="64"/>
      <c r="BTU19" s="64"/>
      <c r="BTV19" s="64"/>
      <c r="BTW19" s="64"/>
      <c r="BTX19" s="64"/>
      <c r="BTY19" s="64"/>
      <c r="BTZ19" s="64"/>
      <c r="BUA19" s="64"/>
      <c r="BUB19" s="64"/>
      <c r="BUC19" s="64"/>
      <c r="BUD19" s="64"/>
      <c r="BUE19" s="64"/>
      <c r="BUF19" s="64"/>
      <c r="BUG19" s="64"/>
      <c r="BUH19" s="64"/>
      <c r="BUI19" s="64"/>
      <c r="BUJ19" s="64"/>
      <c r="BUK19" s="64"/>
      <c r="BUL19" s="64"/>
      <c r="BUM19" s="64"/>
      <c r="BUN19" s="64"/>
      <c r="BUO19" s="64"/>
      <c r="BUP19" s="64"/>
      <c r="BUQ19" s="64"/>
      <c r="BUR19" s="64"/>
      <c r="BUS19" s="64"/>
      <c r="BUT19" s="64"/>
      <c r="BUU19" s="64"/>
      <c r="BUV19" s="64"/>
      <c r="BUW19" s="64"/>
      <c r="BUX19" s="64"/>
      <c r="BUY19" s="64"/>
      <c r="BUZ19" s="64"/>
      <c r="BVA19" s="64"/>
      <c r="BVB19" s="64"/>
      <c r="BVC19" s="64"/>
      <c r="BVD19" s="64"/>
      <c r="BVE19" s="64"/>
      <c r="BVF19" s="64"/>
      <c r="BVG19" s="64"/>
      <c r="BVH19" s="64"/>
      <c r="BVI19" s="64"/>
      <c r="BVJ19" s="64"/>
      <c r="BVK19" s="64"/>
      <c r="BVL19" s="64"/>
      <c r="BVM19" s="64"/>
      <c r="BVN19" s="64"/>
      <c r="BVO19" s="64"/>
      <c r="BVP19" s="64"/>
      <c r="BVQ19" s="64"/>
      <c r="BVR19" s="64"/>
      <c r="BVS19" s="64"/>
      <c r="BVT19" s="64"/>
      <c r="BVU19" s="64"/>
      <c r="BVV19" s="64"/>
      <c r="BVW19" s="64"/>
      <c r="BVX19" s="64"/>
      <c r="BVY19" s="64"/>
      <c r="BVZ19" s="64"/>
      <c r="BWA19" s="64"/>
      <c r="BWB19" s="64"/>
      <c r="BWC19" s="64"/>
      <c r="BWD19" s="64"/>
      <c r="BWE19" s="64"/>
      <c r="BWF19" s="64"/>
      <c r="BWG19" s="64"/>
      <c r="BWH19" s="64"/>
      <c r="BWI19" s="64"/>
      <c r="BWJ19" s="64"/>
      <c r="BWK19" s="64"/>
      <c r="BWL19" s="64"/>
      <c r="BWM19" s="64"/>
      <c r="BWN19" s="64"/>
      <c r="BWO19" s="64"/>
      <c r="BWP19" s="64"/>
      <c r="BWQ19" s="64"/>
      <c r="BWR19" s="64"/>
      <c r="BWS19" s="64"/>
      <c r="BWT19" s="64"/>
      <c r="BWU19" s="64"/>
      <c r="BWV19" s="64"/>
      <c r="BWW19" s="64"/>
      <c r="BWX19" s="64"/>
      <c r="BWY19" s="64"/>
      <c r="BWZ19" s="64"/>
      <c r="BXA19" s="64"/>
      <c r="BXB19" s="64"/>
      <c r="BXC19" s="64"/>
      <c r="BXD19" s="64"/>
      <c r="BXE19" s="64"/>
      <c r="BXF19" s="64"/>
      <c r="BXG19" s="64"/>
      <c r="BXH19" s="64"/>
      <c r="BXI19" s="64"/>
      <c r="BXJ19" s="64"/>
      <c r="BXK19" s="64"/>
      <c r="BXL19" s="64"/>
      <c r="BXM19" s="64"/>
      <c r="BXN19" s="64"/>
      <c r="BXO19" s="64"/>
      <c r="BXP19" s="64"/>
      <c r="BXQ19" s="64"/>
      <c r="BXR19" s="64"/>
      <c r="BXS19" s="64"/>
      <c r="BXT19" s="64"/>
      <c r="BXU19" s="64"/>
      <c r="BXV19" s="64"/>
      <c r="BXW19" s="64"/>
      <c r="BXX19" s="64"/>
      <c r="BXY19" s="64"/>
      <c r="BXZ19" s="64"/>
      <c r="BYA19" s="64"/>
      <c r="BYB19" s="64"/>
      <c r="BYC19" s="64"/>
      <c r="BYD19" s="64"/>
      <c r="BYE19" s="64"/>
      <c r="BYF19" s="64"/>
      <c r="BYG19" s="64"/>
      <c r="BYH19" s="64"/>
      <c r="BYI19" s="64"/>
      <c r="BYJ19" s="64"/>
      <c r="BYK19" s="64"/>
      <c r="BYL19" s="64"/>
      <c r="BYM19" s="64"/>
      <c r="BYN19" s="64"/>
      <c r="BYO19" s="64"/>
      <c r="BYP19" s="64"/>
      <c r="BYQ19" s="64"/>
      <c r="BYR19" s="64"/>
      <c r="BYS19" s="64"/>
      <c r="BYT19" s="64"/>
      <c r="BYU19" s="64"/>
      <c r="BYV19" s="64"/>
      <c r="BYW19" s="64"/>
      <c r="BYX19" s="64"/>
      <c r="BYY19" s="64"/>
      <c r="BYZ19" s="64"/>
      <c r="BZA19" s="64"/>
      <c r="BZB19" s="64"/>
      <c r="BZC19" s="64"/>
      <c r="BZD19" s="64"/>
      <c r="BZE19" s="64"/>
      <c r="BZF19" s="64"/>
      <c r="BZG19" s="64"/>
      <c r="BZH19" s="64"/>
      <c r="BZI19" s="64"/>
      <c r="BZJ19" s="64"/>
      <c r="BZK19" s="64"/>
      <c r="BZL19" s="64"/>
      <c r="BZM19" s="64"/>
      <c r="BZN19" s="64"/>
      <c r="BZO19" s="64"/>
      <c r="BZP19" s="64"/>
      <c r="BZQ19" s="64"/>
      <c r="BZR19" s="64"/>
      <c r="BZS19" s="64"/>
      <c r="BZT19" s="64"/>
      <c r="BZU19" s="64"/>
      <c r="BZV19" s="64"/>
      <c r="BZW19" s="64"/>
      <c r="BZX19" s="64"/>
      <c r="BZY19" s="64"/>
      <c r="BZZ19" s="64"/>
      <c r="CAA19" s="64"/>
      <c r="CAB19" s="64"/>
      <c r="CAC19" s="64"/>
      <c r="CAD19" s="64"/>
      <c r="CAE19" s="64"/>
      <c r="CAF19" s="64"/>
      <c r="CAG19" s="64"/>
      <c r="CAH19" s="64"/>
      <c r="CAI19" s="64"/>
      <c r="CAJ19" s="64"/>
      <c r="CAK19" s="64"/>
      <c r="CAL19" s="64"/>
      <c r="CAM19" s="64"/>
      <c r="CAN19" s="64"/>
      <c r="CAO19" s="64"/>
      <c r="CAP19" s="64"/>
      <c r="CAQ19" s="64"/>
      <c r="CAR19" s="64"/>
      <c r="CAS19" s="64"/>
      <c r="CAT19" s="64"/>
      <c r="CAU19" s="64"/>
      <c r="CAV19" s="64"/>
      <c r="CAW19" s="64"/>
      <c r="CAX19" s="64"/>
      <c r="CAY19" s="64"/>
      <c r="CAZ19" s="64"/>
      <c r="CBA19" s="64"/>
      <c r="CBB19" s="64"/>
      <c r="CBC19" s="64"/>
      <c r="CBD19" s="64"/>
      <c r="CBE19" s="64"/>
      <c r="CBF19" s="64"/>
      <c r="CBG19" s="64"/>
      <c r="CBH19" s="64"/>
      <c r="CBI19" s="64"/>
      <c r="CBJ19" s="64"/>
      <c r="CBK19" s="64"/>
      <c r="CBL19" s="64"/>
      <c r="CBM19" s="64"/>
      <c r="CBN19" s="64"/>
      <c r="CBO19" s="64"/>
      <c r="CBP19" s="64"/>
      <c r="CBQ19" s="64"/>
      <c r="CBR19" s="64"/>
      <c r="CBS19" s="64"/>
      <c r="CBT19" s="64"/>
      <c r="CBU19" s="64"/>
      <c r="CBV19" s="64"/>
      <c r="CBW19" s="64"/>
      <c r="CBX19" s="64"/>
      <c r="CBY19" s="64"/>
      <c r="CBZ19" s="64"/>
      <c r="CCA19" s="64"/>
      <c r="CCB19" s="64"/>
      <c r="CCC19" s="64"/>
      <c r="CCD19" s="64"/>
      <c r="CCE19" s="64"/>
      <c r="CCF19" s="64"/>
      <c r="CCG19" s="64"/>
      <c r="CCH19" s="64"/>
      <c r="CCI19" s="64"/>
      <c r="CCJ19" s="64"/>
      <c r="CCK19" s="64"/>
      <c r="CCL19" s="64"/>
      <c r="CCM19" s="64"/>
      <c r="CCN19" s="64"/>
      <c r="CCO19" s="64"/>
      <c r="CCP19" s="64"/>
      <c r="CCQ19" s="64"/>
      <c r="CCR19" s="64"/>
      <c r="CCS19" s="64"/>
      <c r="CCT19" s="64"/>
      <c r="CCU19" s="64"/>
      <c r="CCV19" s="64"/>
      <c r="CCW19" s="64"/>
      <c r="CCX19" s="64"/>
      <c r="CCY19" s="64"/>
      <c r="CCZ19" s="64"/>
      <c r="CDA19" s="64"/>
      <c r="CDB19" s="64"/>
      <c r="CDC19" s="64"/>
      <c r="CDD19" s="64"/>
      <c r="CDE19" s="64"/>
      <c r="CDF19" s="64"/>
      <c r="CDG19" s="64"/>
      <c r="CDH19" s="64"/>
      <c r="CDI19" s="64"/>
      <c r="CDJ19" s="64"/>
      <c r="CDK19" s="64"/>
      <c r="CDL19" s="64"/>
      <c r="CDM19" s="64"/>
      <c r="CDN19" s="64"/>
      <c r="CDO19" s="64"/>
      <c r="CDP19" s="64"/>
      <c r="CDQ19" s="64"/>
      <c r="CDR19" s="64"/>
      <c r="CDS19" s="64"/>
      <c r="CDT19" s="64"/>
      <c r="CDU19" s="64"/>
      <c r="CDV19" s="64"/>
      <c r="CDW19" s="64"/>
      <c r="CDX19" s="64"/>
      <c r="CDY19" s="64"/>
      <c r="CDZ19" s="64"/>
      <c r="CEA19" s="64"/>
      <c r="CEB19" s="64"/>
      <c r="CEC19" s="64"/>
      <c r="CED19" s="64"/>
      <c r="CEE19" s="64"/>
      <c r="CEF19" s="64"/>
      <c r="CEG19" s="64"/>
      <c r="CEH19" s="64"/>
      <c r="CEI19" s="64"/>
      <c r="CEJ19" s="64"/>
      <c r="CEK19" s="64"/>
      <c r="CEL19" s="64"/>
      <c r="CEM19" s="64"/>
      <c r="CEN19" s="64"/>
      <c r="CEO19" s="64"/>
      <c r="CEP19" s="64"/>
      <c r="CEQ19" s="64"/>
      <c r="CER19" s="64"/>
      <c r="CES19" s="64"/>
      <c r="CET19" s="64"/>
      <c r="CEU19" s="64"/>
      <c r="CEV19" s="64"/>
      <c r="CEW19" s="64"/>
      <c r="CEX19" s="64"/>
      <c r="CEY19" s="64"/>
      <c r="CEZ19" s="64"/>
      <c r="CFA19" s="64"/>
      <c r="CFB19" s="64"/>
      <c r="CFC19" s="64"/>
      <c r="CFD19" s="64"/>
      <c r="CFE19" s="64"/>
      <c r="CFF19" s="64"/>
      <c r="CFG19" s="64"/>
      <c r="CFH19" s="64"/>
      <c r="CFI19" s="64"/>
      <c r="CFJ19" s="64"/>
      <c r="CFK19" s="64"/>
      <c r="CFL19" s="64"/>
      <c r="CFM19" s="64"/>
      <c r="CFN19" s="64"/>
      <c r="CFO19" s="64"/>
      <c r="CFP19" s="64"/>
      <c r="CFQ19" s="64"/>
      <c r="CFR19" s="64"/>
      <c r="CFS19" s="64"/>
      <c r="CFT19" s="64"/>
      <c r="CFU19" s="64"/>
      <c r="CFV19" s="64"/>
      <c r="CFW19" s="64"/>
      <c r="CFX19" s="64"/>
      <c r="CFY19" s="64"/>
      <c r="CFZ19" s="64"/>
      <c r="CGA19" s="64"/>
      <c r="CGB19" s="64"/>
      <c r="CGC19" s="64"/>
      <c r="CGD19" s="64"/>
      <c r="CGE19" s="64"/>
      <c r="CGF19" s="64"/>
      <c r="CGG19" s="64"/>
      <c r="CGH19" s="64"/>
      <c r="CGI19" s="64"/>
      <c r="CGJ19" s="64"/>
      <c r="CGK19" s="64"/>
      <c r="CGL19" s="64"/>
      <c r="CGM19" s="64"/>
      <c r="CGN19" s="64"/>
      <c r="CGO19" s="64"/>
      <c r="CGP19" s="64"/>
      <c r="CGQ19" s="64"/>
      <c r="CGR19" s="64"/>
      <c r="CGS19" s="64"/>
      <c r="CGT19" s="64"/>
      <c r="CGU19" s="64"/>
      <c r="CGV19" s="64"/>
      <c r="CGW19" s="64"/>
      <c r="CGX19" s="64"/>
      <c r="CGY19" s="64"/>
      <c r="CGZ19" s="64"/>
      <c r="CHA19" s="64"/>
      <c r="CHB19" s="64"/>
      <c r="CHC19" s="64"/>
      <c r="CHD19" s="64"/>
      <c r="CHE19" s="64"/>
      <c r="CHF19" s="64"/>
      <c r="CHG19" s="64"/>
      <c r="CHH19" s="64"/>
      <c r="CHI19" s="64"/>
      <c r="CHJ19" s="64"/>
      <c r="CHK19" s="64"/>
      <c r="CHL19" s="64"/>
      <c r="CHM19" s="64"/>
      <c r="CHN19" s="64"/>
      <c r="CHO19" s="64"/>
      <c r="CHP19" s="64"/>
      <c r="CHQ19" s="64"/>
      <c r="CHR19" s="64"/>
      <c r="CHS19" s="64"/>
      <c r="CHT19" s="64"/>
      <c r="CHU19" s="64"/>
      <c r="CHV19" s="64"/>
      <c r="CHW19" s="64"/>
      <c r="CHX19" s="64"/>
      <c r="CHY19" s="64"/>
      <c r="CHZ19" s="64"/>
      <c r="CIA19" s="64"/>
      <c r="CIB19" s="64"/>
      <c r="CIC19" s="64"/>
      <c r="CID19" s="64"/>
      <c r="CIE19" s="64"/>
      <c r="CIF19" s="64"/>
      <c r="CIG19" s="64"/>
      <c r="CIH19" s="64"/>
      <c r="CII19" s="64"/>
      <c r="CIJ19" s="64"/>
      <c r="CIK19" s="64"/>
      <c r="CIL19" s="64"/>
      <c r="CIM19" s="64"/>
      <c r="CIN19" s="64"/>
      <c r="CIO19" s="64"/>
      <c r="CIP19" s="64"/>
      <c r="CIQ19" s="64"/>
      <c r="CIR19" s="64"/>
      <c r="CIS19" s="64"/>
      <c r="CIT19" s="64"/>
      <c r="CIU19" s="64"/>
      <c r="CIV19" s="64"/>
      <c r="CIW19" s="64"/>
      <c r="CIX19" s="64"/>
      <c r="CIY19" s="64"/>
      <c r="CIZ19" s="64"/>
      <c r="CJA19" s="64"/>
      <c r="CJB19" s="64"/>
      <c r="CJC19" s="64"/>
      <c r="CJD19" s="64"/>
      <c r="CJE19" s="64"/>
      <c r="CJF19" s="64"/>
      <c r="CJG19" s="64"/>
      <c r="CJH19" s="64"/>
      <c r="CJI19" s="64"/>
      <c r="CJJ19" s="64"/>
      <c r="CJK19" s="64"/>
      <c r="CJL19" s="64"/>
      <c r="CJM19" s="64"/>
      <c r="CJN19" s="64"/>
      <c r="CJO19" s="64"/>
      <c r="CJP19" s="64"/>
      <c r="CJQ19" s="64"/>
      <c r="CJR19" s="64"/>
      <c r="CJS19" s="64"/>
      <c r="CJT19" s="64"/>
      <c r="CJU19" s="64"/>
      <c r="CJV19" s="64"/>
      <c r="CJW19" s="64"/>
      <c r="CJX19" s="64"/>
      <c r="CJY19" s="64"/>
      <c r="CJZ19" s="64"/>
      <c r="CKA19" s="64"/>
      <c r="CKB19" s="64"/>
      <c r="CKC19" s="64"/>
      <c r="CKD19" s="64"/>
      <c r="CKE19" s="64"/>
      <c r="CKF19" s="64"/>
      <c r="CKG19" s="64"/>
      <c r="CKH19" s="64"/>
      <c r="CKI19" s="64"/>
      <c r="CKJ19" s="64"/>
      <c r="CKK19" s="64"/>
      <c r="CKL19" s="64"/>
      <c r="CKM19" s="64"/>
      <c r="CKN19" s="64"/>
      <c r="CKO19" s="64"/>
      <c r="CKP19" s="64"/>
      <c r="CKQ19" s="64"/>
      <c r="CKR19" s="64"/>
      <c r="CKS19" s="64"/>
      <c r="CKT19" s="64"/>
      <c r="CKU19" s="64"/>
      <c r="CKV19" s="64"/>
      <c r="CKW19" s="64"/>
      <c r="CKX19" s="64"/>
      <c r="CKY19" s="64"/>
      <c r="CKZ19" s="64"/>
      <c r="CLA19" s="64"/>
      <c r="CLB19" s="64"/>
      <c r="CLC19" s="64"/>
      <c r="CLD19" s="64"/>
      <c r="CLE19" s="64"/>
      <c r="CLF19" s="64"/>
      <c r="CLG19" s="64"/>
      <c r="CLH19" s="64"/>
      <c r="CLI19" s="64"/>
      <c r="CLJ19" s="64"/>
      <c r="CLK19" s="64"/>
      <c r="CLL19" s="64"/>
      <c r="CLM19" s="64"/>
      <c r="CLN19" s="64"/>
      <c r="CLO19" s="64"/>
      <c r="CLP19" s="64"/>
      <c r="CLQ19" s="64"/>
      <c r="CLR19" s="64"/>
      <c r="CLS19" s="64"/>
      <c r="CLT19" s="64"/>
      <c r="CLU19" s="64"/>
      <c r="CLV19" s="64"/>
      <c r="CLW19" s="64"/>
      <c r="CLX19" s="64"/>
      <c r="CLY19" s="64"/>
      <c r="CLZ19" s="64"/>
      <c r="CMA19" s="64"/>
      <c r="CMB19" s="64"/>
      <c r="CMC19" s="64"/>
      <c r="CMD19" s="64"/>
      <c r="CME19" s="64"/>
      <c r="CMF19" s="64"/>
      <c r="CMG19" s="64"/>
      <c r="CMH19" s="64"/>
      <c r="CMI19" s="64"/>
      <c r="CMJ19" s="64"/>
      <c r="CMK19" s="64"/>
      <c r="CML19" s="64"/>
      <c r="CMM19" s="64"/>
      <c r="CMN19" s="64"/>
      <c r="CMO19" s="64"/>
      <c r="CMP19" s="64"/>
      <c r="CMQ19" s="64"/>
      <c r="CMR19" s="64"/>
      <c r="CMS19" s="64"/>
      <c r="CMT19" s="64"/>
      <c r="CMU19" s="64"/>
      <c r="CMV19" s="64"/>
      <c r="CMW19" s="64"/>
      <c r="CMX19" s="64"/>
      <c r="CMY19" s="64"/>
      <c r="CMZ19" s="64"/>
      <c r="CNA19" s="64"/>
      <c r="CNB19" s="64"/>
      <c r="CNC19" s="64"/>
      <c r="CND19" s="64"/>
      <c r="CNE19" s="64"/>
      <c r="CNF19" s="64"/>
      <c r="CNG19" s="64"/>
      <c r="CNH19" s="64"/>
      <c r="CNI19" s="64"/>
      <c r="CNJ19" s="64"/>
      <c r="CNK19" s="64"/>
      <c r="CNL19" s="64"/>
      <c r="CNM19" s="64"/>
      <c r="CNN19" s="64"/>
      <c r="CNO19" s="64"/>
      <c r="CNP19" s="64"/>
      <c r="CNQ19" s="64"/>
      <c r="CNR19" s="64"/>
      <c r="CNS19" s="64"/>
      <c r="CNT19" s="64"/>
      <c r="CNU19" s="64"/>
      <c r="CNV19" s="64"/>
      <c r="CNW19" s="64"/>
      <c r="CNX19" s="64"/>
      <c r="CNY19" s="64"/>
      <c r="CNZ19" s="64"/>
      <c r="COA19" s="64"/>
      <c r="COB19" s="64"/>
      <c r="COC19" s="64"/>
      <c r="COD19" s="64"/>
      <c r="COE19" s="64"/>
      <c r="COF19" s="64"/>
      <c r="COG19" s="64"/>
      <c r="COH19" s="64"/>
      <c r="COI19" s="64"/>
      <c r="COJ19" s="64"/>
      <c r="COK19" s="64"/>
      <c r="COL19" s="64"/>
      <c r="COM19" s="64"/>
      <c r="CON19" s="64"/>
      <c r="COO19" s="64"/>
      <c r="COP19" s="64"/>
      <c r="COQ19" s="64"/>
      <c r="COR19" s="64"/>
      <c r="COS19" s="64"/>
      <c r="COT19" s="64"/>
      <c r="COU19" s="64"/>
      <c r="COV19" s="64"/>
      <c r="COW19" s="64"/>
      <c r="COX19" s="64"/>
      <c r="COY19" s="64"/>
      <c r="COZ19" s="64"/>
      <c r="CPA19" s="64"/>
      <c r="CPB19" s="64"/>
      <c r="CPC19" s="64"/>
      <c r="CPD19" s="64"/>
      <c r="CPE19" s="64"/>
      <c r="CPF19" s="64"/>
      <c r="CPG19" s="64"/>
      <c r="CPH19" s="64"/>
      <c r="CPI19" s="64"/>
      <c r="CPJ19" s="64"/>
      <c r="CPK19" s="64"/>
      <c r="CPL19" s="64"/>
      <c r="CPM19" s="64"/>
      <c r="CPN19" s="64"/>
      <c r="CPO19" s="64"/>
      <c r="CPP19" s="64"/>
      <c r="CPQ19" s="64"/>
      <c r="CPR19" s="64"/>
      <c r="CPS19" s="64"/>
      <c r="CPT19" s="64"/>
      <c r="CPU19" s="64"/>
      <c r="CPV19" s="64"/>
      <c r="CPW19" s="64"/>
      <c r="CPX19" s="64"/>
      <c r="CPY19" s="64"/>
      <c r="CPZ19" s="64"/>
      <c r="CQA19" s="64"/>
      <c r="CQB19" s="64"/>
      <c r="CQC19" s="64"/>
      <c r="CQD19" s="64"/>
      <c r="CQE19" s="64"/>
      <c r="CQF19" s="64"/>
      <c r="CQG19" s="64"/>
      <c r="CQH19" s="64"/>
      <c r="CQI19" s="64"/>
      <c r="CQJ19" s="64"/>
      <c r="CQK19" s="64"/>
      <c r="CQL19" s="64"/>
      <c r="CQM19" s="64"/>
      <c r="CQN19" s="64"/>
      <c r="CQO19" s="64"/>
      <c r="CQP19" s="64"/>
      <c r="CQQ19" s="64"/>
      <c r="CQR19" s="64"/>
      <c r="CQS19" s="64"/>
      <c r="CQT19" s="64"/>
      <c r="CQU19" s="64"/>
      <c r="CQV19" s="64"/>
      <c r="CQW19" s="64"/>
      <c r="CQX19" s="64"/>
      <c r="CQY19" s="64"/>
      <c r="CQZ19" s="64"/>
      <c r="CRA19" s="64"/>
      <c r="CRB19" s="64"/>
      <c r="CRC19" s="64"/>
      <c r="CRD19" s="64"/>
      <c r="CRE19" s="64"/>
      <c r="CRF19" s="64"/>
      <c r="CRG19" s="64"/>
      <c r="CRH19" s="64"/>
      <c r="CRI19" s="64"/>
      <c r="CRJ19" s="64"/>
      <c r="CRK19" s="64"/>
      <c r="CRL19" s="64"/>
      <c r="CRM19" s="64"/>
      <c r="CRN19" s="64"/>
      <c r="CRO19" s="64"/>
      <c r="CRP19" s="64"/>
      <c r="CRQ19" s="64"/>
      <c r="CRR19" s="64"/>
      <c r="CRS19" s="64"/>
      <c r="CRT19" s="64"/>
      <c r="CRU19" s="64"/>
      <c r="CRV19" s="64"/>
      <c r="CRW19" s="64"/>
      <c r="CRX19" s="64"/>
      <c r="CRY19" s="64"/>
      <c r="CRZ19" s="64"/>
      <c r="CSA19" s="64"/>
      <c r="CSB19" s="64"/>
      <c r="CSC19" s="64"/>
      <c r="CSD19" s="64"/>
      <c r="CSE19" s="64"/>
      <c r="CSF19" s="64"/>
      <c r="CSG19" s="64"/>
      <c r="CSH19" s="64"/>
      <c r="CSI19" s="64"/>
      <c r="CSJ19" s="64"/>
      <c r="CSK19" s="64"/>
      <c r="CSL19" s="64"/>
      <c r="CSM19" s="64"/>
      <c r="CSN19" s="64"/>
      <c r="CSO19" s="64"/>
      <c r="CSP19" s="64"/>
      <c r="CSQ19" s="64"/>
      <c r="CSR19" s="64"/>
      <c r="CSS19" s="64"/>
      <c r="CST19" s="64"/>
      <c r="CSU19" s="64"/>
      <c r="CSV19" s="64"/>
      <c r="CSW19" s="64"/>
      <c r="CSX19" s="64"/>
      <c r="CSY19" s="64"/>
      <c r="CSZ19" s="64"/>
      <c r="CTA19" s="64"/>
      <c r="CTB19" s="64"/>
      <c r="CTC19" s="64"/>
      <c r="CTD19" s="64"/>
      <c r="CTE19" s="64"/>
      <c r="CTF19" s="64"/>
      <c r="CTG19" s="64"/>
      <c r="CTH19" s="64"/>
      <c r="CTI19" s="64"/>
      <c r="CTJ19" s="64"/>
      <c r="CTK19" s="64"/>
      <c r="CTL19" s="64"/>
      <c r="CTM19" s="64"/>
      <c r="CTN19" s="64"/>
      <c r="CTO19" s="64"/>
      <c r="CTP19" s="64"/>
      <c r="CTQ19" s="64"/>
      <c r="CTR19" s="64"/>
      <c r="CTS19" s="64"/>
      <c r="CTT19" s="64"/>
      <c r="CTU19" s="64"/>
      <c r="CTV19" s="64"/>
      <c r="CTW19" s="64"/>
      <c r="CTX19" s="64"/>
      <c r="CTY19" s="64"/>
      <c r="CTZ19" s="64"/>
      <c r="CUA19" s="64"/>
      <c r="CUB19" s="64"/>
      <c r="CUC19" s="64"/>
      <c r="CUD19" s="64"/>
      <c r="CUE19" s="64"/>
      <c r="CUF19" s="64"/>
      <c r="CUG19" s="64"/>
      <c r="CUH19" s="64"/>
      <c r="CUI19" s="64"/>
      <c r="CUJ19" s="64"/>
      <c r="CUK19" s="64"/>
      <c r="CUL19" s="64"/>
      <c r="CUM19" s="64"/>
      <c r="CUN19" s="64"/>
      <c r="CUO19" s="64"/>
      <c r="CUP19" s="64"/>
      <c r="CUQ19" s="64"/>
      <c r="CUR19" s="64"/>
      <c r="CUS19" s="64"/>
      <c r="CUT19" s="64"/>
      <c r="CUU19" s="64"/>
      <c r="CUV19" s="64"/>
      <c r="CUW19" s="64"/>
      <c r="CUX19" s="64"/>
      <c r="CUY19" s="64"/>
      <c r="CUZ19" s="64"/>
      <c r="CVA19" s="64"/>
      <c r="CVB19" s="64"/>
      <c r="CVC19" s="64"/>
      <c r="CVD19" s="64"/>
      <c r="CVE19" s="64"/>
      <c r="CVF19" s="64"/>
      <c r="CVG19" s="64"/>
      <c r="CVH19" s="64"/>
      <c r="CVI19" s="64"/>
      <c r="CVJ19" s="64"/>
      <c r="CVK19" s="64"/>
      <c r="CVL19" s="64"/>
      <c r="CVM19" s="64"/>
      <c r="CVN19" s="64"/>
      <c r="CVO19" s="64"/>
      <c r="CVP19" s="64"/>
      <c r="CVQ19" s="64"/>
      <c r="CVR19" s="64"/>
      <c r="CVS19" s="64"/>
      <c r="CVT19" s="64"/>
      <c r="CVU19" s="64"/>
      <c r="CVV19" s="64"/>
      <c r="CVW19" s="64"/>
      <c r="CVX19" s="64"/>
      <c r="CVY19" s="64"/>
      <c r="CVZ19" s="64"/>
      <c r="CWA19" s="64"/>
      <c r="CWB19" s="64"/>
      <c r="CWC19" s="64"/>
      <c r="CWD19" s="64"/>
      <c r="CWE19" s="64"/>
      <c r="CWF19" s="64"/>
      <c r="CWG19" s="64"/>
      <c r="CWH19" s="64"/>
      <c r="CWI19" s="64"/>
      <c r="CWJ19" s="64"/>
      <c r="CWK19" s="64"/>
      <c r="CWL19" s="64"/>
      <c r="CWM19" s="64"/>
      <c r="CWN19" s="64"/>
      <c r="CWO19" s="64"/>
      <c r="CWP19" s="64"/>
      <c r="CWQ19" s="64"/>
      <c r="CWR19" s="64"/>
      <c r="CWS19" s="64"/>
      <c r="CWT19" s="64"/>
      <c r="CWU19" s="64"/>
      <c r="CWV19" s="64"/>
      <c r="CWW19" s="64"/>
      <c r="CWX19" s="64"/>
      <c r="CWY19" s="64"/>
      <c r="CWZ19" s="64"/>
      <c r="CXA19" s="64"/>
      <c r="CXB19" s="64"/>
      <c r="CXC19" s="64"/>
      <c r="CXD19" s="64"/>
      <c r="CXE19" s="64"/>
      <c r="CXF19" s="64"/>
      <c r="CXG19" s="64"/>
      <c r="CXH19" s="64"/>
      <c r="CXI19" s="64"/>
      <c r="CXJ19" s="64"/>
      <c r="CXK19" s="64"/>
      <c r="CXL19" s="64"/>
      <c r="CXM19" s="64"/>
      <c r="CXN19" s="64"/>
      <c r="CXO19" s="64"/>
      <c r="CXP19" s="64"/>
      <c r="CXQ19" s="64"/>
      <c r="CXR19" s="64"/>
      <c r="CXS19" s="64"/>
      <c r="CXT19" s="64"/>
      <c r="CXU19" s="64"/>
      <c r="CXV19" s="64"/>
      <c r="CXW19" s="64"/>
      <c r="CXX19" s="64"/>
      <c r="CXY19" s="64"/>
      <c r="CXZ19" s="64"/>
      <c r="CYA19" s="64"/>
      <c r="CYB19" s="64"/>
      <c r="CYC19" s="64"/>
      <c r="CYD19" s="64"/>
      <c r="CYE19" s="64"/>
      <c r="CYF19" s="64"/>
      <c r="CYG19" s="64"/>
      <c r="CYH19" s="64"/>
      <c r="CYI19" s="64"/>
      <c r="CYJ19" s="64"/>
      <c r="CYK19" s="64"/>
      <c r="CYL19" s="64"/>
      <c r="CYM19" s="64"/>
      <c r="CYN19" s="64"/>
      <c r="CYO19" s="64"/>
      <c r="CYP19" s="64"/>
      <c r="CYQ19" s="64"/>
      <c r="CYR19" s="64"/>
      <c r="CYS19" s="64"/>
      <c r="CYT19" s="64"/>
      <c r="CYU19" s="64"/>
      <c r="CYV19" s="64"/>
      <c r="CYW19" s="64"/>
      <c r="CYX19" s="64"/>
      <c r="CYY19" s="64"/>
      <c r="CYZ19" s="64"/>
      <c r="CZA19" s="64"/>
      <c r="CZB19" s="64"/>
      <c r="CZC19" s="64"/>
      <c r="CZD19" s="64"/>
      <c r="CZE19" s="64"/>
      <c r="CZF19" s="64"/>
      <c r="CZG19" s="64"/>
      <c r="CZH19" s="64"/>
      <c r="CZI19" s="64"/>
      <c r="CZJ19" s="64"/>
      <c r="CZK19" s="64"/>
      <c r="CZL19" s="64"/>
      <c r="CZM19" s="64"/>
      <c r="CZN19" s="64"/>
      <c r="CZO19" s="64"/>
      <c r="CZP19" s="64"/>
      <c r="CZQ19" s="64"/>
      <c r="CZR19" s="64"/>
      <c r="CZS19" s="64"/>
      <c r="CZT19" s="64"/>
      <c r="CZU19" s="64"/>
      <c r="CZV19" s="64"/>
      <c r="CZW19" s="64"/>
      <c r="CZX19" s="64"/>
      <c r="CZY19" s="64"/>
      <c r="CZZ19" s="64"/>
      <c r="DAA19" s="64"/>
      <c r="DAB19" s="64"/>
      <c r="DAC19" s="64"/>
      <c r="DAD19" s="64"/>
      <c r="DAE19" s="64"/>
      <c r="DAF19" s="64"/>
      <c r="DAG19" s="64"/>
      <c r="DAH19" s="64"/>
      <c r="DAI19" s="64"/>
      <c r="DAJ19" s="64"/>
      <c r="DAK19" s="64"/>
      <c r="DAL19" s="64"/>
      <c r="DAM19" s="64"/>
      <c r="DAN19" s="64"/>
      <c r="DAO19" s="64"/>
      <c r="DAP19" s="64"/>
      <c r="DAQ19" s="64"/>
      <c r="DAR19" s="64"/>
      <c r="DAS19" s="64"/>
      <c r="DAT19" s="64"/>
      <c r="DAU19" s="64"/>
      <c r="DAV19" s="64"/>
      <c r="DAW19" s="64"/>
      <c r="DAX19" s="64"/>
      <c r="DAY19" s="64"/>
      <c r="DAZ19" s="64"/>
      <c r="DBA19" s="64"/>
      <c r="DBB19" s="64"/>
      <c r="DBC19" s="64"/>
      <c r="DBD19" s="64"/>
      <c r="DBE19" s="64"/>
      <c r="DBF19" s="64"/>
      <c r="DBG19" s="64"/>
      <c r="DBH19" s="64"/>
      <c r="DBI19" s="64"/>
      <c r="DBJ19" s="64"/>
      <c r="DBK19" s="64"/>
      <c r="DBL19" s="64"/>
      <c r="DBM19" s="64"/>
      <c r="DBN19" s="64"/>
      <c r="DBO19" s="64"/>
      <c r="DBP19" s="64"/>
      <c r="DBQ19" s="64"/>
      <c r="DBR19" s="64"/>
      <c r="DBS19" s="64"/>
      <c r="DBT19" s="64"/>
      <c r="DBU19" s="64"/>
      <c r="DBV19" s="64"/>
      <c r="DBW19" s="64"/>
      <c r="DBX19" s="64"/>
      <c r="DBY19" s="64"/>
      <c r="DBZ19" s="64"/>
      <c r="DCA19" s="64"/>
      <c r="DCB19" s="64"/>
      <c r="DCC19" s="64"/>
      <c r="DCD19" s="64"/>
      <c r="DCE19" s="64"/>
      <c r="DCF19" s="64"/>
      <c r="DCG19" s="64"/>
      <c r="DCH19" s="64"/>
      <c r="DCI19" s="64"/>
      <c r="DCJ19" s="64"/>
      <c r="DCK19" s="64"/>
      <c r="DCL19" s="64"/>
      <c r="DCM19" s="64"/>
      <c r="DCN19" s="64"/>
      <c r="DCO19" s="64"/>
      <c r="DCP19" s="64"/>
      <c r="DCQ19" s="64"/>
      <c r="DCR19" s="64"/>
      <c r="DCS19" s="64"/>
      <c r="DCT19" s="64"/>
      <c r="DCU19" s="64"/>
      <c r="DCV19" s="64"/>
      <c r="DCW19" s="64"/>
      <c r="DCX19" s="64"/>
      <c r="DCY19" s="64"/>
      <c r="DCZ19" s="64"/>
      <c r="DDA19" s="64"/>
      <c r="DDB19" s="64"/>
      <c r="DDC19" s="64"/>
      <c r="DDD19" s="64"/>
      <c r="DDE19" s="64"/>
      <c r="DDF19" s="64"/>
      <c r="DDG19" s="64"/>
      <c r="DDH19" s="64"/>
      <c r="DDI19" s="64"/>
      <c r="DDJ19" s="64"/>
      <c r="DDK19" s="64"/>
      <c r="DDL19" s="64"/>
      <c r="DDM19" s="64"/>
      <c r="DDN19" s="64"/>
      <c r="DDO19" s="64"/>
      <c r="DDP19" s="64"/>
      <c r="DDQ19" s="64"/>
      <c r="DDR19" s="64"/>
      <c r="DDS19" s="64"/>
      <c r="DDT19" s="64"/>
      <c r="DDU19" s="64"/>
      <c r="DDV19" s="64"/>
      <c r="DDW19" s="64"/>
      <c r="DDX19" s="64"/>
      <c r="DDY19" s="64"/>
      <c r="DDZ19" s="64"/>
      <c r="DEA19" s="64"/>
      <c r="DEB19" s="64"/>
      <c r="DEC19" s="64"/>
      <c r="DED19" s="64"/>
      <c r="DEE19" s="64"/>
      <c r="DEF19" s="64"/>
      <c r="DEG19" s="64"/>
      <c r="DEH19" s="64"/>
      <c r="DEI19" s="64"/>
      <c r="DEJ19" s="64"/>
      <c r="DEK19" s="64"/>
      <c r="DEL19" s="64"/>
      <c r="DEM19" s="64"/>
      <c r="DEN19" s="64"/>
      <c r="DEO19" s="64"/>
      <c r="DEP19" s="64"/>
      <c r="DEQ19" s="64"/>
      <c r="DER19" s="64"/>
      <c r="DES19" s="64"/>
      <c r="DET19" s="64"/>
      <c r="DEU19" s="64"/>
      <c r="DEV19" s="64"/>
      <c r="DEW19" s="64"/>
      <c r="DEX19" s="64"/>
      <c r="DEY19" s="64"/>
      <c r="DEZ19" s="64"/>
      <c r="DFA19" s="64"/>
      <c r="DFB19" s="64"/>
      <c r="DFC19" s="64"/>
      <c r="DFD19" s="64"/>
      <c r="DFE19" s="64"/>
      <c r="DFF19" s="64"/>
      <c r="DFG19" s="64"/>
      <c r="DFH19" s="64"/>
      <c r="DFI19" s="64"/>
      <c r="DFJ19" s="64"/>
      <c r="DFK19" s="64"/>
      <c r="DFL19" s="64"/>
      <c r="DFM19" s="64"/>
      <c r="DFN19" s="64"/>
      <c r="DFO19" s="64"/>
      <c r="DFP19" s="64"/>
      <c r="DFQ19" s="64"/>
      <c r="DFR19" s="64"/>
      <c r="DFS19" s="64"/>
      <c r="DFT19" s="64"/>
      <c r="DFU19" s="64"/>
      <c r="DFV19" s="64"/>
      <c r="DFW19" s="64"/>
      <c r="DFX19" s="64"/>
      <c r="DFY19" s="64"/>
      <c r="DFZ19" s="64"/>
      <c r="DGA19" s="64"/>
      <c r="DGB19" s="64"/>
      <c r="DGC19" s="64"/>
      <c r="DGD19" s="64"/>
      <c r="DGE19" s="64"/>
      <c r="DGF19" s="64"/>
      <c r="DGG19" s="64"/>
      <c r="DGH19" s="64"/>
      <c r="DGI19" s="64"/>
      <c r="DGJ19" s="64"/>
      <c r="DGK19" s="64"/>
      <c r="DGL19" s="64"/>
      <c r="DGM19" s="64"/>
      <c r="DGN19" s="64"/>
      <c r="DGO19" s="64"/>
      <c r="DGP19" s="64"/>
      <c r="DGQ19" s="64"/>
      <c r="DGR19" s="64"/>
      <c r="DGS19" s="64"/>
      <c r="DGT19" s="64"/>
      <c r="DGU19" s="64"/>
      <c r="DGV19" s="64"/>
      <c r="DGW19" s="64"/>
      <c r="DGX19" s="64"/>
      <c r="DGY19" s="64"/>
      <c r="DGZ19" s="64"/>
      <c r="DHA19" s="64"/>
      <c r="DHB19" s="64"/>
      <c r="DHC19" s="64"/>
      <c r="DHD19" s="64"/>
      <c r="DHE19" s="64"/>
      <c r="DHF19" s="64"/>
      <c r="DHG19" s="64"/>
      <c r="DHH19" s="64"/>
      <c r="DHI19" s="64"/>
      <c r="DHJ19" s="64"/>
      <c r="DHK19" s="64"/>
      <c r="DHL19" s="64"/>
      <c r="DHM19" s="64"/>
      <c r="DHN19" s="64"/>
      <c r="DHO19" s="64"/>
      <c r="DHP19" s="64"/>
      <c r="DHQ19" s="64"/>
      <c r="DHR19" s="64"/>
      <c r="DHS19" s="64"/>
      <c r="DHT19" s="64"/>
      <c r="DHU19" s="64"/>
      <c r="DHV19" s="64"/>
      <c r="DHW19" s="64"/>
      <c r="DHX19" s="64"/>
      <c r="DHY19" s="64"/>
      <c r="DHZ19" s="64"/>
      <c r="DIA19" s="64"/>
      <c r="DIB19" s="64"/>
      <c r="DIC19" s="64"/>
      <c r="DID19" s="64"/>
      <c r="DIE19" s="64"/>
      <c r="DIF19" s="64"/>
      <c r="DIG19" s="64"/>
      <c r="DIH19" s="64"/>
      <c r="DII19" s="64"/>
      <c r="DIJ19" s="64"/>
      <c r="DIK19" s="64"/>
      <c r="DIL19" s="64"/>
      <c r="DIM19" s="64"/>
      <c r="DIN19" s="64"/>
      <c r="DIO19" s="64"/>
      <c r="DIP19" s="64"/>
      <c r="DIQ19" s="64"/>
      <c r="DIR19" s="64"/>
      <c r="DIS19" s="64"/>
      <c r="DIT19" s="64"/>
      <c r="DIU19" s="64"/>
      <c r="DIV19" s="64"/>
      <c r="DIW19" s="64"/>
      <c r="DIX19" s="64"/>
      <c r="DIY19" s="64"/>
      <c r="DIZ19" s="64"/>
      <c r="DJA19" s="64"/>
      <c r="DJB19" s="64"/>
      <c r="DJC19" s="64"/>
      <c r="DJD19" s="64"/>
      <c r="DJE19" s="64"/>
      <c r="DJF19" s="64"/>
      <c r="DJG19" s="64"/>
      <c r="DJH19" s="64"/>
      <c r="DJI19" s="64"/>
      <c r="DJJ19" s="64"/>
      <c r="DJK19" s="64"/>
      <c r="DJL19" s="64"/>
      <c r="DJM19" s="64"/>
      <c r="DJN19" s="64"/>
      <c r="DJO19" s="64"/>
      <c r="DJP19" s="64"/>
      <c r="DJQ19" s="64"/>
      <c r="DJR19" s="64"/>
      <c r="DJS19" s="64"/>
      <c r="DJT19" s="64"/>
      <c r="DJU19" s="64"/>
      <c r="DJV19" s="64"/>
      <c r="DJW19" s="64"/>
      <c r="DJX19" s="64"/>
      <c r="DJY19" s="64"/>
      <c r="DJZ19" s="64"/>
      <c r="DKA19" s="64"/>
      <c r="DKB19" s="64"/>
      <c r="DKC19" s="64"/>
      <c r="DKD19" s="64"/>
      <c r="DKE19" s="64"/>
      <c r="DKF19" s="64"/>
      <c r="DKG19" s="64"/>
      <c r="DKH19" s="64"/>
      <c r="DKI19" s="64"/>
      <c r="DKJ19" s="64"/>
      <c r="DKK19" s="64"/>
      <c r="DKL19" s="64"/>
      <c r="DKM19" s="64"/>
      <c r="DKN19" s="64"/>
      <c r="DKO19" s="64"/>
      <c r="DKP19" s="64"/>
      <c r="DKQ19" s="64"/>
      <c r="DKR19" s="64"/>
      <c r="DKS19" s="64"/>
      <c r="DKT19" s="64"/>
      <c r="DKU19" s="64"/>
      <c r="DKV19" s="64"/>
      <c r="DKW19" s="64"/>
      <c r="DKX19" s="64"/>
      <c r="DKY19" s="64"/>
      <c r="DKZ19" s="64"/>
      <c r="DLA19" s="64"/>
      <c r="DLB19" s="64"/>
      <c r="DLC19" s="64"/>
      <c r="DLD19" s="64"/>
      <c r="DLE19" s="64"/>
      <c r="DLF19" s="64"/>
      <c r="DLG19" s="64"/>
      <c r="DLH19" s="64"/>
      <c r="DLI19" s="64"/>
      <c r="DLJ19" s="64"/>
      <c r="DLK19" s="64"/>
      <c r="DLL19" s="64"/>
      <c r="DLM19" s="64"/>
      <c r="DLN19" s="64"/>
      <c r="DLO19" s="64"/>
      <c r="DLP19" s="64"/>
      <c r="DLQ19" s="64"/>
      <c r="DLR19" s="64"/>
      <c r="DLS19" s="64"/>
      <c r="DLT19" s="64"/>
      <c r="DLU19" s="64"/>
      <c r="DLV19" s="64"/>
      <c r="DLW19" s="64"/>
      <c r="DLX19" s="64"/>
      <c r="DLY19" s="64"/>
      <c r="DLZ19" s="64"/>
      <c r="DMA19" s="64"/>
      <c r="DMB19" s="64"/>
      <c r="DMC19" s="64"/>
      <c r="DMD19" s="64"/>
      <c r="DME19" s="64"/>
      <c r="DMF19" s="64"/>
      <c r="DMG19" s="64"/>
      <c r="DMH19" s="64"/>
      <c r="DMI19" s="64"/>
      <c r="DMJ19" s="64"/>
      <c r="DMK19" s="64"/>
      <c r="DML19" s="64"/>
      <c r="DMM19" s="64"/>
      <c r="DMN19" s="64"/>
      <c r="DMO19" s="64"/>
      <c r="DMP19" s="64"/>
      <c r="DMQ19" s="64"/>
      <c r="DMR19" s="64"/>
      <c r="DMS19" s="64"/>
      <c r="DMT19" s="64"/>
      <c r="DMU19" s="64"/>
      <c r="DMV19" s="64"/>
      <c r="DMW19" s="64"/>
      <c r="DMX19" s="64"/>
      <c r="DMY19" s="64"/>
      <c r="DMZ19" s="64"/>
      <c r="DNA19" s="64"/>
      <c r="DNB19" s="64"/>
      <c r="DNC19" s="64"/>
      <c r="DND19" s="64"/>
      <c r="DNE19" s="64"/>
      <c r="DNF19" s="64"/>
      <c r="DNG19" s="64"/>
      <c r="DNH19" s="64"/>
      <c r="DNI19" s="64"/>
      <c r="DNJ19" s="64"/>
      <c r="DNK19" s="64"/>
      <c r="DNL19" s="64"/>
      <c r="DNM19" s="64"/>
      <c r="DNN19" s="64"/>
      <c r="DNO19" s="64"/>
      <c r="DNP19" s="64"/>
      <c r="DNQ19" s="64"/>
      <c r="DNR19" s="64"/>
      <c r="DNS19" s="64"/>
      <c r="DNT19" s="64"/>
      <c r="DNU19" s="64"/>
      <c r="DNV19" s="64"/>
      <c r="DNW19" s="64"/>
      <c r="DNX19" s="64"/>
      <c r="DNY19" s="64"/>
      <c r="DNZ19" s="64"/>
      <c r="DOA19" s="64"/>
      <c r="DOB19" s="64"/>
      <c r="DOC19" s="64"/>
      <c r="DOD19" s="64"/>
      <c r="DOE19" s="64"/>
      <c r="DOF19" s="64"/>
      <c r="DOG19" s="64"/>
      <c r="DOH19" s="64"/>
      <c r="DOI19" s="64"/>
      <c r="DOJ19" s="64"/>
      <c r="DOK19" s="64"/>
      <c r="DOL19" s="64"/>
      <c r="DOM19" s="64"/>
      <c r="DON19" s="64"/>
      <c r="DOO19" s="64"/>
      <c r="DOP19" s="64"/>
      <c r="DOQ19" s="64"/>
      <c r="DOR19" s="64"/>
      <c r="DOS19" s="64"/>
      <c r="DOT19" s="64"/>
      <c r="DOU19" s="64"/>
      <c r="DOV19" s="64"/>
      <c r="DOW19" s="64"/>
      <c r="DOX19" s="64"/>
      <c r="DOY19" s="64"/>
      <c r="DOZ19" s="64"/>
      <c r="DPA19" s="64"/>
      <c r="DPB19" s="64"/>
      <c r="DPC19" s="64"/>
      <c r="DPD19" s="64"/>
      <c r="DPE19" s="64"/>
      <c r="DPF19" s="64"/>
      <c r="DPG19" s="64"/>
      <c r="DPH19" s="64"/>
      <c r="DPI19" s="64"/>
      <c r="DPJ19" s="64"/>
      <c r="DPK19" s="64"/>
      <c r="DPL19" s="64"/>
      <c r="DPM19" s="64"/>
      <c r="DPN19" s="64"/>
      <c r="DPO19" s="64"/>
      <c r="DPP19" s="64"/>
      <c r="DPQ19" s="64"/>
      <c r="DPR19" s="64"/>
      <c r="DPS19" s="64"/>
      <c r="DPT19" s="64"/>
      <c r="DPU19" s="64"/>
      <c r="DPV19" s="64"/>
      <c r="DPW19" s="64"/>
      <c r="DPX19" s="64"/>
      <c r="DPY19" s="64"/>
      <c r="DPZ19" s="64"/>
      <c r="DQA19" s="64"/>
      <c r="DQB19" s="64"/>
      <c r="DQC19" s="64"/>
      <c r="DQD19" s="64"/>
      <c r="DQE19" s="64"/>
      <c r="DQF19" s="64"/>
      <c r="DQG19" s="64"/>
      <c r="DQH19" s="64"/>
      <c r="DQI19" s="64"/>
      <c r="DQJ19" s="64"/>
      <c r="DQK19" s="64"/>
      <c r="DQL19" s="64"/>
      <c r="DQM19" s="64"/>
      <c r="DQN19" s="64"/>
      <c r="DQO19" s="64"/>
      <c r="DQP19" s="64"/>
      <c r="DQQ19" s="64"/>
      <c r="DQR19" s="64"/>
      <c r="DQS19" s="64"/>
      <c r="DQT19" s="64"/>
      <c r="DQU19" s="64"/>
      <c r="DQV19" s="64"/>
      <c r="DQW19" s="64"/>
      <c r="DQX19" s="64"/>
      <c r="DQY19" s="64"/>
      <c r="DQZ19" s="64"/>
      <c r="DRA19" s="64"/>
      <c r="DRB19" s="64"/>
      <c r="DRC19" s="64"/>
      <c r="DRD19" s="64"/>
      <c r="DRE19" s="64"/>
      <c r="DRF19" s="64"/>
      <c r="DRG19" s="64"/>
      <c r="DRH19" s="64"/>
      <c r="DRI19" s="64"/>
      <c r="DRJ19" s="64"/>
      <c r="DRK19" s="64"/>
      <c r="DRL19" s="64"/>
      <c r="DRM19" s="64"/>
      <c r="DRN19" s="64"/>
      <c r="DRO19" s="64"/>
      <c r="DRP19" s="64"/>
      <c r="DRQ19" s="64"/>
      <c r="DRR19" s="64"/>
      <c r="DRS19" s="64"/>
      <c r="DRT19" s="64"/>
      <c r="DRU19" s="64"/>
      <c r="DRV19" s="64"/>
      <c r="DRW19" s="64"/>
      <c r="DRX19" s="64"/>
      <c r="DRY19" s="64"/>
      <c r="DRZ19" s="64"/>
      <c r="DSA19" s="64"/>
      <c r="DSB19" s="64"/>
      <c r="DSC19" s="64"/>
      <c r="DSD19" s="64"/>
      <c r="DSE19" s="64"/>
      <c r="DSF19" s="64"/>
      <c r="DSG19" s="64"/>
      <c r="DSH19" s="64"/>
      <c r="DSI19" s="64"/>
      <c r="DSJ19" s="64"/>
      <c r="DSK19" s="64"/>
      <c r="DSL19" s="64"/>
      <c r="DSM19" s="64"/>
      <c r="DSN19" s="64"/>
      <c r="DSO19" s="64"/>
      <c r="DSP19" s="64"/>
      <c r="DSQ19" s="64"/>
      <c r="DSR19" s="64"/>
      <c r="DSS19" s="64"/>
      <c r="DST19" s="64"/>
      <c r="DSU19" s="64"/>
      <c r="DSV19" s="64"/>
      <c r="DSW19" s="64"/>
      <c r="DSX19" s="64"/>
      <c r="DSY19" s="64"/>
      <c r="DSZ19" s="64"/>
      <c r="DTA19" s="64"/>
      <c r="DTB19" s="64"/>
      <c r="DTC19" s="64"/>
      <c r="DTD19" s="64"/>
      <c r="DTE19" s="64"/>
      <c r="DTF19" s="64"/>
      <c r="DTG19" s="64"/>
      <c r="DTH19" s="64"/>
      <c r="DTI19" s="64"/>
      <c r="DTJ19" s="64"/>
      <c r="DTK19" s="64"/>
      <c r="DTL19" s="64"/>
      <c r="DTM19" s="64"/>
      <c r="DTN19" s="64"/>
      <c r="DTO19" s="64"/>
      <c r="DTP19" s="64"/>
      <c r="DTQ19" s="64"/>
      <c r="DTR19" s="64"/>
      <c r="DTS19" s="64"/>
      <c r="DTT19" s="64"/>
      <c r="DTU19" s="64"/>
      <c r="DTV19" s="64"/>
      <c r="DTW19" s="64"/>
      <c r="DTX19" s="64"/>
      <c r="DTY19" s="64"/>
      <c r="DTZ19" s="64"/>
      <c r="DUA19" s="64"/>
      <c r="DUB19" s="64"/>
      <c r="DUC19" s="64"/>
      <c r="DUD19" s="64"/>
      <c r="DUE19" s="64"/>
      <c r="DUF19" s="64"/>
      <c r="DUG19" s="64"/>
      <c r="DUH19" s="64"/>
      <c r="DUI19" s="64"/>
      <c r="DUJ19" s="64"/>
      <c r="DUK19" s="64"/>
      <c r="DUL19" s="64"/>
      <c r="DUM19" s="64"/>
      <c r="DUN19" s="64"/>
      <c r="DUO19" s="64"/>
      <c r="DUP19" s="64"/>
      <c r="DUQ19" s="64"/>
      <c r="DUR19" s="64"/>
      <c r="DUS19" s="64"/>
      <c r="DUT19" s="64"/>
      <c r="DUU19" s="64"/>
      <c r="DUV19" s="64"/>
      <c r="DUW19" s="64"/>
      <c r="DUX19" s="64"/>
      <c r="DUY19" s="64"/>
      <c r="DUZ19" s="64"/>
      <c r="DVA19" s="64"/>
      <c r="DVB19" s="64"/>
      <c r="DVC19" s="64"/>
      <c r="DVD19" s="64"/>
      <c r="DVE19" s="64"/>
      <c r="DVF19" s="64"/>
      <c r="DVG19" s="64"/>
      <c r="DVH19" s="64"/>
      <c r="DVI19" s="64"/>
      <c r="DVJ19" s="64"/>
      <c r="DVK19" s="64"/>
      <c r="DVL19" s="64"/>
      <c r="DVM19" s="64"/>
      <c r="DVN19" s="64"/>
      <c r="DVO19" s="64"/>
      <c r="DVP19" s="64"/>
      <c r="DVQ19" s="64"/>
      <c r="DVR19" s="64"/>
      <c r="DVS19" s="64"/>
      <c r="DVT19" s="64"/>
      <c r="DVU19" s="64"/>
      <c r="DVV19" s="64"/>
      <c r="DVW19" s="64"/>
      <c r="DVX19" s="64"/>
      <c r="DVY19" s="64"/>
      <c r="DVZ19" s="64"/>
      <c r="DWA19" s="64"/>
      <c r="DWB19" s="64"/>
      <c r="DWC19" s="64"/>
      <c r="DWD19" s="64"/>
      <c r="DWE19" s="64"/>
      <c r="DWF19" s="64"/>
      <c r="DWG19" s="64"/>
      <c r="DWH19" s="64"/>
      <c r="DWI19" s="64"/>
      <c r="DWJ19" s="64"/>
      <c r="DWK19" s="64"/>
      <c r="DWL19" s="64"/>
      <c r="DWM19" s="64"/>
      <c r="DWN19" s="64"/>
      <c r="DWO19" s="64"/>
      <c r="DWP19" s="64"/>
      <c r="DWQ19" s="64"/>
      <c r="DWR19" s="64"/>
      <c r="DWS19" s="64"/>
      <c r="DWT19" s="64"/>
      <c r="DWU19" s="64"/>
      <c r="DWV19" s="64"/>
      <c r="DWW19" s="64"/>
      <c r="DWX19" s="64"/>
      <c r="DWY19" s="64"/>
      <c r="DWZ19" s="64"/>
      <c r="DXA19" s="64"/>
      <c r="DXB19" s="64"/>
      <c r="DXC19" s="64"/>
      <c r="DXD19" s="64"/>
      <c r="DXE19" s="64"/>
      <c r="DXF19" s="64"/>
      <c r="DXG19" s="64"/>
      <c r="DXH19" s="64"/>
      <c r="DXI19" s="64"/>
      <c r="DXJ19" s="64"/>
      <c r="DXK19" s="64"/>
      <c r="DXL19" s="64"/>
      <c r="DXM19" s="64"/>
      <c r="DXN19" s="64"/>
      <c r="DXO19" s="64"/>
      <c r="DXP19" s="64"/>
      <c r="DXQ19" s="64"/>
      <c r="DXR19" s="64"/>
      <c r="DXS19" s="64"/>
      <c r="DXT19" s="64"/>
      <c r="DXU19" s="64"/>
      <c r="DXV19" s="64"/>
      <c r="DXW19" s="64"/>
      <c r="DXX19" s="64"/>
      <c r="DXY19" s="64"/>
      <c r="DXZ19" s="64"/>
      <c r="DYA19" s="64"/>
      <c r="DYB19" s="64"/>
      <c r="DYC19" s="64"/>
      <c r="DYD19" s="64"/>
      <c r="DYE19" s="64"/>
      <c r="DYF19" s="64"/>
      <c r="DYG19" s="64"/>
      <c r="DYH19" s="64"/>
      <c r="DYI19" s="64"/>
      <c r="DYJ19" s="64"/>
      <c r="DYK19" s="64"/>
      <c r="DYL19" s="64"/>
      <c r="DYM19" s="64"/>
      <c r="DYN19" s="64"/>
      <c r="DYO19" s="64"/>
      <c r="DYP19" s="64"/>
      <c r="DYQ19" s="64"/>
      <c r="DYR19" s="64"/>
      <c r="DYS19" s="64"/>
      <c r="DYT19" s="64"/>
      <c r="DYU19" s="64"/>
      <c r="DYV19" s="64"/>
      <c r="DYW19" s="64"/>
      <c r="DYX19" s="64"/>
      <c r="DYY19" s="64"/>
      <c r="DYZ19" s="64"/>
      <c r="DZA19" s="64"/>
      <c r="DZB19" s="64"/>
      <c r="DZC19" s="64"/>
      <c r="DZD19" s="64"/>
      <c r="DZE19" s="64"/>
      <c r="DZF19" s="64"/>
      <c r="DZG19" s="64"/>
      <c r="DZH19" s="64"/>
      <c r="DZI19" s="64"/>
      <c r="DZJ19" s="64"/>
      <c r="DZK19" s="64"/>
      <c r="DZL19" s="64"/>
      <c r="DZM19" s="64"/>
      <c r="DZN19" s="64"/>
      <c r="DZO19" s="64"/>
      <c r="DZP19" s="64"/>
      <c r="DZQ19" s="64"/>
      <c r="DZR19" s="64"/>
      <c r="DZS19" s="64"/>
      <c r="DZT19" s="64"/>
      <c r="DZU19" s="64"/>
      <c r="DZV19" s="64"/>
      <c r="DZW19" s="64"/>
      <c r="DZX19" s="64"/>
      <c r="DZY19" s="64"/>
      <c r="DZZ19" s="64"/>
      <c r="EAA19" s="64"/>
      <c r="EAB19" s="64"/>
      <c r="EAC19" s="64"/>
      <c r="EAD19" s="64"/>
      <c r="EAE19" s="64"/>
      <c r="EAF19" s="64"/>
      <c r="EAG19" s="64"/>
      <c r="EAH19" s="64"/>
      <c r="EAI19" s="64"/>
      <c r="EAJ19" s="64"/>
      <c r="EAK19" s="64"/>
      <c r="EAL19" s="64"/>
      <c r="EAM19" s="64"/>
      <c r="EAN19" s="64"/>
      <c r="EAO19" s="64"/>
      <c r="EAP19" s="64"/>
      <c r="EAQ19" s="64"/>
      <c r="EAR19" s="64"/>
      <c r="EAS19" s="64"/>
      <c r="EAT19" s="64"/>
      <c r="EAU19" s="64"/>
      <c r="EAV19" s="64"/>
      <c r="EAW19" s="64"/>
      <c r="EAX19" s="64"/>
      <c r="EAY19" s="64"/>
      <c r="EAZ19" s="64"/>
      <c r="EBA19" s="64"/>
      <c r="EBB19" s="64"/>
      <c r="EBC19" s="64"/>
      <c r="EBD19" s="64"/>
      <c r="EBE19" s="64"/>
      <c r="EBF19" s="64"/>
      <c r="EBG19" s="64"/>
      <c r="EBH19" s="64"/>
      <c r="EBI19" s="64"/>
      <c r="EBJ19" s="64"/>
      <c r="EBK19" s="64"/>
      <c r="EBL19" s="64"/>
      <c r="EBM19" s="64"/>
      <c r="EBN19" s="64"/>
      <c r="EBO19" s="64"/>
      <c r="EBP19" s="64"/>
      <c r="EBQ19" s="64"/>
      <c r="EBR19" s="64"/>
      <c r="EBS19" s="64"/>
      <c r="EBT19" s="64"/>
      <c r="EBU19" s="64"/>
      <c r="EBV19" s="64"/>
      <c r="EBW19" s="64"/>
      <c r="EBX19" s="64"/>
      <c r="EBY19" s="64"/>
      <c r="EBZ19" s="64"/>
      <c r="ECA19" s="64"/>
      <c r="ECB19" s="64"/>
      <c r="ECC19" s="64"/>
      <c r="ECD19" s="64"/>
      <c r="ECE19" s="64"/>
      <c r="ECF19" s="64"/>
      <c r="ECG19" s="64"/>
      <c r="ECH19" s="64"/>
      <c r="ECI19" s="64"/>
      <c r="ECJ19" s="64"/>
      <c r="ECK19" s="64"/>
      <c r="ECL19" s="64"/>
      <c r="ECM19" s="64"/>
      <c r="ECN19" s="64"/>
      <c r="ECO19" s="64"/>
      <c r="ECP19" s="64"/>
      <c r="ECQ19" s="64"/>
      <c r="ECR19" s="64"/>
      <c r="ECS19" s="64"/>
      <c r="ECT19" s="64"/>
      <c r="ECU19" s="64"/>
      <c r="ECV19" s="64"/>
      <c r="ECW19" s="64"/>
      <c r="ECX19" s="64"/>
      <c r="ECY19" s="64"/>
      <c r="ECZ19" s="64"/>
      <c r="EDA19" s="64"/>
      <c r="EDB19" s="64"/>
      <c r="EDC19" s="64"/>
      <c r="EDD19" s="64"/>
      <c r="EDE19" s="64"/>
      <c r="EDF19" s="64"/>
      <c r="EDG19" s="64"/>
      <c r="EDH19" s="64"/>
      <c r="EDI19" s="64"/>
      <c r="EDJ19" s="64"/>
      <c r="EDK19" s="64"/>
      <c r="EDL19" s="64"/>
      <c r="EDM19" s="64"/>
      <c r="EDN19" s="64"/>
      <c r="EDO19" s="64"/>
      <c r="EDP19" s="64"/>
      <c r="EDQ19" s="64"/>
      <c r="EDR19" s="64"/>
      <c r="EDS19" s="64"/>
      <c r="EDT19" s="64"/>
      <c r="EDU19" s="64"/>
      <c r="EDV19" s="64"/>
      <c r="EDW19" s="64"/>
      <c r="EDX19" s="64"/>
      <c r="EDY19" s="64"/>
      <c r="EDZ19" s="64"/>
      <c r="EEA19" s="64"/>
      <c r="EEB19" s="64"/>
      <c r="EEC19" s="64"/>
      <c r="EED19" s="64"/>
      <c r="EEE19" s="64"/>
      <c r="EEF19" s="64"/>
      <c r="EEG19" s="64"/>
      <c r="EEH19" s="64"/>
      <c r="EEI19" s="64"/>
      <c r="EEJ19" s="64"/>
      <c r="EEK19" s="64"/>
      <c r="EEL19" s="64"/>
      <c r="EEM19" s="64"/>
      <c r="EEN19" s="64"/>
      <c r="EEO19" s="64"/>
      <c r="EEP19" s="64"/>
      <c r="EEQ19" s="64"/>
      <c r="EER19" s="64"/>
      <c r="EES19" s="64"/>
      <c r="EET19" s="64"/>
      <c r="EEU19" s="64"/>
      <c r="EEV19" s="64"/>
      <c r="EEW19" s="64"/>
      <c r="EEX19" s="64"/>
      <c r="EEY19" s="64"/>
      <c r="EEZ19" s="64"/>
      <c r="EFA19" s="64"/>
      <c r="EFB19" s="64"/>
      <c r="EFC19" s="64"/>
      <c r="EFD19" s="64"/>
      <c r="EFE19" s="64"/>
      <c r="EFF19" s="64"/>
      <c r="EFG19" s="64"/>
      <c r="EFH19" s="64"/>
      <c r="EFI19" s="64"/>
      <c r="EFJ19" s="64"/>
      <c r="EFK19" s="64"/>
      <c r="EFL19" s="64"/>
      <c r="EFM19" s="64"/>
      <c r="EFN19" s="64"/>
      <c r="EFO19" s="64"/>
      <c r="EFP19" s="64"/>
      <c r="EFQ19" s="64"/>
      <c r="EFR19" s="64"/>
      <c r="EFS19" s="64"/>
      <c r="EFT19" s="64"/>
      <c r="EFU19" s="64"/>
      <c r="EFV19" s="64"/>
      <c r="EFW19" s="64"/>
      <c r="EFX19" s="64"/>
      <c r="EFY19" s="64"/>
      <c r="EFZ19" s="64"/>
      <c r="EGA19" s="64"/>
      <c r="EGB19" s="64"/>
      <c r="EGC19" s="64"/>
      <c r="EGD19" s="64"/>
      <c r="EGE19" s="64"/>
      <c r="EGF19" s="64"/>
      <c r="EGG19" s="64"/>
      <c r="EGH19" s="64"/>
      <c r="EGI19" s="64"/>
      <c r="EGJ19" s="64"/>
      <c r="EGK19" s="64"/>
      <c r="EGL19" s="64"/>
      <c r="EGM19" s="64"/>
      <c r="EGN19" s="64"/>
      <c r="EGO19" s="64"/>
      <c r="EGP19" s="64"/>
      <c r="EGQ19" s="64"/>
      <c r="EGR19" s="64"/>
      <c r="EGS19" s="64"/>
      <c r="EGT19" s="64"/>
      <c r="EGU19" s="64"/>
      <c r="EGV19" s="64"/>
      <c r="EGW19" s="64"/>
      <c r="EGX19" s="64"/>
      <c r="EGY19" s="64"/>
      <c r="EGZ19" s="64"/>
      <c r="EHA19" s="64"/>
      <c r="EHB19" s="64"/>
      <c r="EHC19" s="64"/>
      <c r="EHD19" s="64"/>
      <c r="EHE19" s="64"/>
      <c r="EHF19" s="64"/>
      <c r="EHG19" s="64"/>
      <c r="EHH19" s="64"/>
      <c r="EHI19" s="64"/>
      <c r="EHJ19" s="64"/>
      <c r="EHK19" s="64"/>
      <c r="EHL19" s="64"/>
      <c r="EHM19" s="64"/>
      <c r="EHN19" s="64"/>
      <c r="EHO19" s="64"/>
      <c r="EHP19" s="64"/>
      <c r="EHQ19" s="64"/>
      <c r="EHR19" s="64"/>
      <c r="EHS19" s="64"/>
      <c r="EHT19" s="64"/>
      <c r="EHU19" s="64"/>
      <c r="EHV19" s="64"/>
      <c r="EHW19" s="64"/>
      <c r="EHX19" s="64"/>
      <c r="EHY19" s="64"/>
      <c r="EHZ19" s="64"/>
      <c r="EIA19" s="64"/>
      <c r="EIB19" s="64"/>
      <c r="EIC19" s="64"/>
      <c r="EID19" s="64"/>
      <c r="EIE19" s="64"/>
      <c r="EIF19" s="64"/>
      <c r="EIG19" s="64"/>
      <c r="EIH19" s="64"/>
      <c r="EII19" s="64"/>
      <c r="EIJ19" s="64"/>
      <c r="EIK19" s="64"/>
      <c r="EIL19" s="64"/>
      <c r="EIM19" s="64"/>
      <c r="EIN19" s="64"/>
      <c r="EIO19" s="64"/>
      <c r="EIP19" s="64"/>
      <c r="EIQ19" s="64"/>
      <c r="EIR19" s="64"/>
      <c r="EIS19" s="64"/>
      <c r="EIT19" s="64"/>
      <c r="EIU19" s="64"/>
      <c r="EIV19" s="64"/>
      <c r="EIW19" s="64"/>
      <c r="EIX19" s="64"/>
      <c r="EIY19" s="64"/>
      <c r="EIZ19" s="64"/>
      <c r="EJA19" s="64"/>
      <c r="EJB19" s="64"/>
      <c r="EJC19" s="64"/>
      <c r="EJD19" s="64"/>
      <c r="EJE19" s="64"/>
      <c r="EJF19" s="64"/>
      <c r="EJG19" s="64"/>
      <c r="EJH19" s="64"/>
      <c r="EJI19" s="64"/>
      <c r="EJJ19" s="64"/>
      <c r="EJK19" s="64"/>
      <c r="EJL19" s="64"/>
      <c r="EJM19" s="64"/>
      <c r="EJN19" s="64"/>
      <c r="EJO19" s="64"/>
      <c r="EJP19" s="64"/>
      <c r="EJQ19" s="64"/>
      <c r="EJR19" s="64"/>
      <c r="EJS19" s="64"/>
      <c r="EJT19" s="64"/>
      <c r="EJU19" s="64"/>
      <c r="EJV19" s="64"/>
      <c r="EJW19" s="64"/>
      <c r="EJX19" s="64"/>
      <c r="EJY19" s="64"/>
      <c r="EJZ19" s="64"/>
      <c r="EKA19" s="64"/>
      <c r="EKB19" s="64"/>
      <c r="EKC19" s="64"/>
      <c r="EKD19" s="64"/>
      <c r="EKE19" s="64"/>
      <c r="EKF19" s="64"/>
      <c r="EKG19" s="64"/>
      <c r="EKH19" s="64"/>
      <c r="EKI19" s="64"/>
      <c r="EKJ19" s="64"/>
      <c r="EKK19" s="64"/>
      <c r="EKL19" s="64"/>
      <c r="EKM19" s="64"/>
      <c r="EKN19" s="64"/>
      <c r="EKO19" s="64"/>
      <c r="EKP19" s="64"/>
      <c r="EKQ19" s="64"/>
      <c r="EKR19" s="64"/>
      <c r="EKS19" s="64"/>
      <c r="EKT19" s="64"/>
      <c r="EKU19" s="64"/>
      <c r="EKV19" s="64"/>
      <c r="EKW19" s="64"/>
      <c r="EKX19" s="64"/>
      <c r="EKY19" s="64"/>
      <c r="EKZ19" s="64"/>
      <c r="ELA19" s="64"/>
      <c r="ELB19" s="64"/>
      <c r="ELC19" s="64"/>
      <c r="ELD19" s="64"/>
      <c r="ELE19" s="64"/>
      <c r="ELF19" s="64"/>
      <c r="ELG19" s="64"/>
      <c r="ELH19" s="64"/>
      <c r="ELI19" s="64"/>
      <c r="ELJ19" s="64"/>
      <c r="ELK19" s="64"/>
      <c r="ELL19" s="64"/>
      <c r="ELM19" s="64"/>
      <c r="ELN19" s="64"/>
      <c r="ELO19" s="64"/>
      <c r="ELP19" s="64"/>
      <c r="ELQ19" s="64"/>
      <c r="ELR19" s="64"/>
      <c r="ELS19" s="64"/>
      <c r="ELT19" s="64"/>
      <c r="ELU19" s="64"/>
      <c r="ELV19" s="64"/>
      <c r="ELW19" s="64"/>
      <c r="ELX19" s="64"/>
      <c r="ELY19" s="64"/>
      <c r="ELZ19" s="64"/>
      <c r="EMA19" s="64"/>
      <c r="EMB19" s="64"/>
      <c r="EMC19" s="64"/>
      <c r="EMD19" s="64"/>
      <c r="EME19" s="64"/>
      <c r="EMF19" s="64"/>
      <c r="EMG19" s="64"/>
      <c r="EMH19" s="64"/>
      <c r="EMI19" s="64"/>
      <c r="EMJ19" s="64"/>
      <c r="EMK19" s="64"/>
      <c r="EML19" s="64"/>
      <c r="EMM19" s="64"/>
      <c r="EMN19" s="64"/>
      <c r="EMO19" s="64"/>
      <c r="EMP19" s="64"/>
      <c r="EMQ19" s="64"/>
      <c r="EMR19" s="64"/>
      <c r="EMS19" s="64"/>
      <c r="EMT19" s="64"/>
      <c r="EMU19" s="64"/>
      <c r="EMV19" s="64"/>
      <c r="EMW19" s="64"/>
      <c r="EMX19" s="64"/>
      <c r="EMY19" s="64"/>
      <c r="EMZ19" s="64"/>
      <c r="ENA19" s="64"/>
      <c r="ENB19" s="64"/>
      <c r="ENC19" s="64"/>
      <c r="END19" s="64"/>
      <c r="ENE19" s="64"/>
      <c r="ENF19" s="64"/>
      <c r="ENG19" s="64"/>
      <c r="ENH19" s="64"/>
      <c r="ENI19" s="64"/>
      <c r="ENJ19" s="64"/>
      <c r="ENK19" s="64"/>
      <c r="ENL19" s="64"/>
      <c r="ENM19" s="64"/>
      <c r="ENN19" s="64"/>
      <c r="ENO19" s="64"/>
      <c r="ENP19" s="64"/>
      <c r="ENQ19" s="64"/>
      <c r="ENR19" s="64"/>
      <c r="ENS19" s="64"/>
      <c r="ENT19" s="64"/>
      <c r="ENU19" s="64"/>
      <c r="ENV19" s="64"/>
      <c r="ENW19" s="64"/>
      <c r="ENX19" s="64"/>
      <c r="ENY19" s="64"/>
      <c r="ENZ19" s="64"/>
      <c r="EOA19" s="64"/>
      <c r="EOB19" s="64"/>
      <c r="EOC19" s="64"/>
      <c r="EOD19" s="64"/>
      <c r="EOE19" s="64"/>
      <c r="EOF19" s="64"/>
      <c r="EOG19" s="64"/>
      <c r="EOH19" s="64"/>
      <c r="EOI19" s="64"/>
      <c r="EOJ19" s="64"/>
      <c r="EOK19" s="64"/>
      <c r="EOL19" s="64"/>
      <c r="EOM19" s="64"/>
      <c r="EON19" s="64"/>
      <c r="EOO19" s="64"/>
      <c r="EOP19" s="64"/>
      <c r="EOQ19" s="64"/>
      <c r="EOR19" s="64"/>
      <c r="EOS19" s="64"/>
      <c r="EOT19" s="64"/>
      <c r="EOU19" s="64"/>
      <c r="EOV19" s="64"/>
      <c r="EOW19" s="64"/>
      <c r="EOX19" s="64"/>
      <c r="EOY19" s="64"/>
      <c r="EOZ19" s="64"/>
      <c r="EPA19" s="64"/>
      <c r="EPB19" s="64"/>
      <c r="EPC19" s="64"/>
      <c r="EPD19" s="64"/>
      <c r="EPE19" s="64"/>
      <c r="EPF19" s="64"/>
      <c r="EPG19" s="64"/>
      <c r="EPH19" s="64"/>
      <c r="EPI19" s="64"/>
      <c r="EPJ19" s="64"/>
      <c r="EPK19" s="64"/>
      <c r="EPL19" s="64"/>
      <c r="EPM19" s="64"/>
      <c r="EPN19" s="64"/>
      <c r="EPO19" s="64"/>
      <c r="EPP19" s="64"/>
      <c r="EPQ19" s="64"/>
      <c r="EPR19" s="64"/>
      <c r="EPS19" s="64"/>
      <c r="EPT19" s="64"/>
      <c r="EPU19" s="64"/>
      <c r="EPV19" s="64"/>
      <c r="EPW19" s="64"/>
      <c r="EPX19" s="64"/>
      <c r="EPY19" s="64"/>
      <c r="EPZ19" s="64"/>
      <c r="EQA19" s="64"/>
      <c r="EQB19" s="64"/>
      <c r="EQC19" s="64"/>
      <c r="EQD19" s="64"/>
      <c r="EQE19" s="64"/>
      <c r="EQF19" s="64"/>
      <c r="EQG19" s="64"/>
      <c r="EQH19" s="64"/>
      <c r="EQI19" s="64"/>
      <c r="EQJ19" s="64"/>
      <c r="EQK19" s="64"/>
      <c r="EQL19" s="64"/>
      <c r="EQM19" s="64"/>
      <c r="EQN19" s="64"/>
      <c r="EQO19" s="64"/>
      <c r="EQP19" s="64"/>
      <c r="EQQ19" s="64"/>
      <c r="EQR19" s="64"/>
      <c r="EQS19" s="64"/>
      <c r="EQT19" s="64"/>
      <c r="EQU19" s="64"/>
      <c r="EQV19" s="64"/>
      <c r="EQW19" s="64"/>
      <c r="EQX19" s="64"/>
      <c r="EQY19" s="64"/>
      <c r="EQZ19" s="64"/>
      <c r="ERA19" s="64"/>
      <c r="ERB19" s="64"/>
      <c r="ERC19" s="64"/>
      <c r="ERD19" s="64"/>
      <c r="ERE19" s="64"/>
      <c r="ERF19" s="64"/>
      <c r="ERG19" s="64"/>
      <c r="ERH19" s="64"/>
      <c r="ERI19" s="64"/>
      <c r="ERJ19" s="64"/>
      <c r="ERK19" s="64"/>
      <c r="ERL19" s="64"/>
      <c r="ERM19" s="64"/>
      <c r="ERN19" s="64"/>
      <c r="ERO19" s="64"/>
      <c r="ERP19" s="64"/>
      <c r="ERQ19" s="64"/>
      <c r="ERR19" s="64"/>
      <c r="ERS19" s="64"/>
      <c r="ERT19" s="64"/>
      <c r="ERU19" s="64"/>
      <c r="ERV19" s="64"/>
      <c r="ERW19" s="64"/>
      <c r="ERX19" s="64"/>
      <c r="ERY19" s="64"/>
      <c r="ERZ19" s="64"/>
      <c r="ESA19" s="64"/>
      <c r="ESB19" s="64"/>
      <c r="ESC19" s="64"/>
      <c r="ESD19" s="64"/>
      <c r="ESE19" s="64"/>
      <c r="ESF19" s="64"/>
      <c r="ESG19" s="64"/>
      <c r="ESH19" s="64"/>
      <c r="ESI19" s="64"/>
      <c r="ESJ19" s="64"/>
      <c r="ESK19" s="64"/>
      <c r="ESL19" s="64"/>
      <c r="ESM19" s="64"/>
      <c r="ESN19" s="64"/>
      <c r="ESO19" s="64"/>
      <c r="ESP19" s="64"/>
      <c r="ESQ19" s="64"/>
      <c r="ESR19" s="64"/>
      <c r="ESS19" s="64"/>
      <c r="EST19" s="64"/>
      <c r="ESU19" s="64"/>
      <c r="ESV19" s="64"/>
      <c r="ESW19" s="64"/>
      <c r="ESX19" s="64"/>
      <c r="ESY19" s="64"/>
      <c r="ESZ19" s="64"/>
      <c r="ETA19" s="64"/>
      <c r="ETB19" s="64"/>
      <c r="ETC19" s="64"/>
      <c r="ETD19" s="64"/>
      <c r="ETE19" s="64"/>
      <c r="ETF19" s="64"/>
      <c r="ETG19" s="64"/>
      <c r="ETH19" s="64"/>
      <c r="ETI19" s="64"/>
      <c r="ETJ19" s="64"/>
      <c r="ETK19" s="64"/>
      <c r="ETL19" s="64"/>
      <c r="ETM19" s="64"/>
      <c r="ETN19" s="64"/>
      <c r="ETO19" s="64"/>
      <c r="ETP19" s="64"/>
      <c r="ETQ19" s="64"/>
      <c r="ETR19" s="64"/>
      <c r="ETS19" s="64"/>
      <c r="ETT19" s="64"/>
      <c r="ETU19" s="64"/>
      <c r="ETV19" s="64"/>
      <c r="ETW19" s="64"/>
      <c r="ETX19" s="64"/>
      <c r="ETY19" s="64"/>
      <c r="ETZ19" s="64"/>
      <c r="EUA19" s="64"/>
      <c r="EUB19" s="64"/>
      <c r="EUC19" s="64"/>
      <c r="EUD19" s="64"/>
      <c r="EUE19" s="64"/>
      <c r="EUF19" s="64"/>
      <c r="EUG19" s="64"/>
      <c r="EUH19" s="64"/>
      <c r="EUI19" s="64"/>
      <c r="EUJ19" s="64"/>
      <c r="EUK19" s="64"/>
      <c r="EUL19" s="64"/>
      <c r="EUM19" s="64"/>
      <c r="EUN19" s="64"/>
      <c r="EUO19" s="64"/>
      <c r="EUP19" s="64"/>
      <c r="EUQ19" s="64"/>
      <c r="EUR19" s="64"/>
      <c r="EUS19" s="64"/>
      <c r="EUT19" s="64"/>
      <c r="EUU19" s="64"/>
      <c r="EUV19" s="64"/>
      <c r="EUW19" s="64"/>
      <c r="EUX19" s="64"/>
      <c r="EUY19" s="64"/>
      <c r="EUZ19" s="64"/>
      <c r="EVA19" s="64"/>
      <c r="EVB19" s="64"/>
      <c r="EVC19" s="64"/>
      <c r="EVD19" s="64"/>
      <c r="EVE19" s="64"/>
      <c r="EVF19" s="64"/>
      <c r="EVG19" s="64"/>
      <c r="EVH19" s="64"/>
      <c r="EVI19" s="64"/>
      <c r="EVJ19" s="64"/>
      <c r="EVK19" s="64"/>
      <c r="EVL19" s="64"/>
      <c r="EVM19" s="64"/>
      <c r="EVN19" s="64"/>
      <c r="EVO19" s="64"/>
      <c r="EVP19" s="64"/>
      <c r="EVQ19" s="64"/>
      <c r="EVR19" s="64"/>
      <c r="EVS19" s="64"/>
      <c r="EVT19" s="64"/>
      <c r="EVU19" s="64"/>
      <c r="EVV19" s="64"/>
      <c r="EVW19" s="64"/>
      <c r="EVX19" s="64"/>
      <c r="EVY19" s="64"/>
      <c r="EVZ19" s="64"/>
      <c r="EWA19" s="64"/>
      <c r="EWB19" s="64"/>
      <c r="EWC19" s="64"/>
      <c r="EWD19" s="64"/>
      <c r="EWE19" s="64"/>
      <c r="EWF19" s="64"/>
      <c r="EWG19" s="64"/>
      <c r="EWH19" s="64"/>
      <c r="EWI19" s="64"/>
      <c r="EWJ19" s="64"/>
      <c r="EWK19" s="64"/>
      <c r="EWL19" s="64"/>
      <c r="EWM19" s="64"/>
      <c r="EWN19" s="64"/>
      <c r="EWO19" s="64"/>
      <c r="EWP19" s="64"/>
      <c r="EWQ19" s="64"/>
      <c r="EWR19" s="64"/>
      <c r="EWS19" s="64"/>
      <c r="EWT19" s="64"/>
      <c r="EWU19" s="64"/>
      <c r="EWV19" s="64"/>
      <c r="EWW19" s="64"/>
      <c r="EWX19" s="64"/>
      <c r="EWY19" s="64"/>
      <c r="EWZ19" s="64"/>
      <c r="EXA19" s="64"/>
      <c r="EXB19" s="64"/>
      <c r="EXC19" s="64"/>
      <c r="EXD19" s="64"/>
      <c r="EXE19" s="64"/>
      <c r="EXF19" s="64"/>
      <c r="EXG19" s="64"/>
      <c r="EXH19" s="64"/>
      <c r="EXI19" s="64"/>
      <c r="EXJ19" s="64"/>
      <c r="EXK19" s="64"/>
      <c r="EXL19" s="64"/>
      <c r="EXM19" s="64"/>
      <c r="EXN19" s="64"/>
      <c r="EXO19" s="64"/>
      <c r="EXP19" s="64"/>
      <c r="EXQ19" s="64"/>
      <c r="EXR19" s="64"/>
      <c r="EXS19" s="64"/>
      <c r="EXT19" s="64"/>
      <c r="EXU19" s="64"/>
      <c r="EXV19" s="64"/>
      <c r="EXW19" s="64"/>
      <c r="EXX19" s="64"/>
      <c r="EXY19" s="64"/>
      <c r="EXZ19" s="64"/>
      <c r="EYA19" s="64"/>
      <c r="EYB19" s="64"/>
      <c r="EYC19" s="64"/>
      <c r="EYD19" s="64"/>
      <c r="EYE19" s="64"/>
      <c r="EYF19" s="64"/>
      <c r="EYG19" s="64"/>
      <c r="EYH19" s="64"/>
      <c r="EYI19" s="64"/>
      <c r="EYJ19" s="64"/>
      <c r="EYK19" s="64"/>
      <c r="EYL19" s="64"/>
      <c r="EYM19" s="64"/>
      <c r="EYN19" s="64"/>
      <c r="EYO19" s="64"/>
      <c r="EYP19" s="64"/>
      <c r="EYQ19" s="64"/>
      <c r="EYR19" s="64"/>
      <c r="EYS19" s="64"/>
      <c r="EYT19" s="64"/>
      <c r="EYU19" s="64"/>
      <c r="EYV19" s="64"/>
      <c r="EYW19" s="64"/>
      <c r="EYX19" s="64"/>
      <c r="EYY19" s="64"/>
      <c r="EYZ19" s="64"/>
      <c r="EZA19" s="64"/>
      <c r="EZB19" s="64"/>
      <c r="EZC19" s="64"/>
      <c r="EZD19" s="64"/>
      <c r="EZE19" s="64"/>
      <c r="EZF19" s="64"/>
      <c r="EZG19" s="64"/>
      <c r="EZH19" s="64"/>
      <c r="EZI19" s="64"/>
      <c r="EZJ19" s="64"/>
      <c r="EZK19" s="64"/>
      <c r="EZL19" s="64"/>
      <c r="EZM19" s="64"/>
      <c r="EZN19" s="64"/>
      <c r="EZO19" s="64"/>
      <c r="EZP19" s="64"/>
      <c r="EZQ19" s="64"/>
      <c r="EZR19" s="64"/>
      <c r="EZS19" s="64"/>
      <c r="EZT19" s="64"/>
      <c r="EZU19" s="64"/>
      <c r="EZV19" s="64"/>
      <c r="EZW19" s="64"/>
      <c r="EZX19" s="64"/>
      <c r="EZY19" s="64"/>
      <c r="EZZ19" s="64"/>
      <c r="FAA19" s="64"/>
      <c r="FAB19" s="64"/>
      <c r="FAC19" s="64"/>
      <c r="FAD19" s="64"/>
      <c r="FAE19" s="64"/>
      <c r="FAF19" s="64"/>
      <c r="FAG19" s="64"/>
      <c r="FAH19" s="64"/>
      <c r="FAI19" s="64"/>
      <c r="FAJ19" s="64"/>
      <c r="FAK19" s="64"/>
      <c r="FAL19" s="64"/>
      <c r="FAM19" s="64"/>
      <c r="FAN19" s="64"/>
      <c r="FAO19" s="64"/>
      <c r="FAP19" s="64"/>
      <c r="FAQ19" s="64"/>
      <c r="FAR19" s="64"/>
      <c r="FAS19" s="64"/>
      <c r="FAT19" s="64"/>
      <c r="FAU19" s="64"/>
      <c r="FAV19" s="64"/>
      <c r="FAW19" s="64"/>
      <c r="FAX19" s="64"/>
      <c r="FAY19" s="64"/>
      <c r="FAZ19" s="64"/>
      <c r="FBA19" s="64"/>
      <c r="FBB19" s="64"/>
      <c r="FBC19" s="64"/>
      <c r="FBD19" s="64"/>
      <c r="FBE19" s="64"/>
      <c r="FBF19" s="64"/>
      <c r="FBG19" s="64"/>
      <c r="FBH19" s="64"/>
      <c r="FBI19" s="64"/>
      <c r="FBJ19" s="64"/>
      <c r="FBK19" s="64"/>
      <c r="FBL19" s="64"/>
      <c r="FBM19" s="64"/>
      <c r="FBN19" s="64"/>
      <c r="FBO19" s="64"/>
      <c r="FBP19" s="64"/>
      <c r="FBQ19" s="64"/>
      <c r="FBR19" s="64"/>
      <c r="FBS19" s="64"/>
      <c r="FBT19" s="64"/>
      <c r="FBU19" s="64"/>
      <c r="FBV19" s="64"/>
      <c r="FBW19" s="64"/>
      <c r="FBX19" s="64"/>
      <c r="FBY19" s="64"/>
      <c r="FBZ19" s="64"/>
      <c r="FCA19" s="64"/>
      <c r="FCB19" s="64"/>
      <c r="FCC19" s="64"/>
      <c r="FCD19" s="64"/>
      <c r="FCE19" s="64"/>
      <c r="FCF19" s="64"/>
      <c r="FCG19" s="64"/>
      <c r="FCH19" s="64"/>
      <c r="FCI19" s="64"/>
      <c r="FCJ19" s="64"/>
      <c r="FCK19" s="64"/>
      <c r="FCL19" s="64"/>
      <c r="FCM19" s="64"/>
      <c r="FCN19" s="64"/>
      <c r="FCO19" s="64"/>
      <c r="FCP19" s="64"/>
      <c r="FCQ19" s="64"/>
      <c r="FCR19" s="64"/>
      <c r="FCS19" s="64"/>
      <c r="FCT19" s="64"/>
      <c r="FCU19" s="64"/>
      <c r="FCV19" s="64"/>
      <c r="FCW19" s="64"/>
      <c r="FCX19" s="64"/>
      <c r="FCY19" s="64"/>
      <c r="FCZ19" s="64"/>
      <c r="FDA19" s="64"/>
      <c r="FDB19" s="64"/>
      <c r="FDC19" s="64"/>
      <c r="FDD19" s="64"/>
      <c r="FDE19" s="64"/>
      <c r="FDF19" s="64"/>
      <c r="FDG19" s="64"/>
      <c r="FDH19" s="64"/>
      <c r="FDI19" s="64"/>
      <c r="FDJ19" s="64"/>
      <c r="FDK19" s="64"/>
      <c r="FDL19" s="64"/>
      <c r="FDM19" s="64"/>
      <c r="FDN19" s="64"/>
      <c r="FDO19" s="64"/>
      <c r="FDP19" s="64"/>
      <c r="FDQ19" s="64"/>
      <c r="FDR19" s="64"/>
      <c r="FDS19" s="64"/>
      <c r="FDT19" s="64"/>
      <c r="FDU19" s="64"/>
      <c r="FDV19" s="64"/>
      <c r="FDW19" s="64"/>
      <c r="FDX19" s="64"/>
      <c r="FDY19" s="64"/>
      <c r="FDZ19" s="64"/>
      <c r="FEA19" s="64"/>
      <c r="FEB19" s="64"/>
      <c r="FEC19" s="64"/>
      <c r="FED19" s="64"/>
      <c r="FEE19" s="64"/>
      <c r="FEF19" s="64"/>
      <c r="FEG19" s="64"/>
      <c r="FEH19" s="64"/>
      <c r="FEI19" s="64"/>
      <c r="FEJ19" s="64"/>
      <c r="FEK19" s="64"/>
      <c r="FEL19" s="64"/>
      <c r="FEM19" s="64"/>
      <c r="FEN19" s="64"/>
      <c r="FEO19" s="64"/>
      <c r="FEP19" s="64"/>
      <c r="FEQ19" s="64"/>
      <c r="FER19" s="64"/>
      <c r="FES19" s="64"/>
      <c r="FET19" s="64"/>
      <c r="FEU19" s="64"/>
      <c r="FEV19" s="64"/>
      <c r="FEW19" s="64"/>
      <c r="FEX19" s="64"/>
      <c r="FEY19" s="64"/>
      <c r="FEZ19" s="64"/>
      <c r="FFA19" s="64"/>
      <c r="FFB19" s="64"/>
      <c r="FFC19" s="64"/>
      <c r="FFD19" s="64"/>
      <c r="FFE19" s="64"/>
      <c r="FFF19" s="64"/>
      <c r="FFG19" s="64"/>
      <c r="FFH19" s="64"/>
      <c r="FFI19" s="64"/>
      <c r="FFJ19" s="64"/>
      <c r="FFK19" s="64"/>
      <c r="FFL19" s="64"/>
      <c r="FFM19" s="64"/>
      <c r="FFN19" s="64"/>
      <c r="FFO19" s="64"/>
      <c r="FFP19" s="64"/>
      <c r="FFQ19" s="64"/>
      <c r="FFR19" s="64"/>
      <c r="FFS19" s="64"/>
      <c r="FFT19" s="64"/>
      <c r="FFU19" s="64"/>
      <c r="FFV19" s="64"/>
      <c r="FFW19" s="64"/>
      <c r="FFX19" s="64"/>
      <c r="FFY19" s="64"/>
      <c r="FFZ19" s="64"/>
      <c r="FGA19" s="64"/>
      <c r="FGB19" s="64"/>
      <c r="FGC19" s="64"/>
      <c r="FGD19" s="64"/>
      <c r="FGE19" s="64"/>
      <c r="FGF19" s="64"/>
      <c r="FGG19" s="64"/>
      <c r="FGH19" s="64"/>
      <c r="FGI19" s="64"/>
      <c r="FGJ19" s="64"/>
      <c r="FGK19" s="64"/>
      <c r="FGL19" s="64"/>
      <c r="FGM19" s="64"/>
      <c r="FGN19" s="64"/>
      <c r="FGO19" s="64"/>
      <c r="FGP19" s="64"/>
      <c r="FGQ19" s="64"/>
      <c r="FGR19" s="64"/>
      <c r="FGS19" s="64"/>
      <c r="FGT19" s="64"/>
      <c r="FGU19" s="64"/>
      <c r="FGV19" s="64"/>
      <c r="FGW19" s="64"/>
      <c r="FGX19" s="64"/>
      <c r="FGY19" s="64"/>
      <c r="FGZ19" s="64"/>
      <c r="FHA19" s="64"/>
      <c r="FHB19" s="64"/>
      <c r="FHC19" s="64"/>
      <c r="FHD19" s="64"/>
      <c r="FHE19" s="64"/>
      <c r="FHF19" s="64"/>
      <c r="FHG19" s="64"/>
      <c r="FHH19" s="64"/>
      <c r="FHI19" s="64"/>
      <c r="FHJ19" s="64"/>
      <c r="FHK19" s="64"/>
      <c r="FHL19" s="64"/>
      <c r="FHM19" s="64"/>
      <c r="FHN19" s="64"/>
      <c r="FHO19" s="64"/>
      <c r="FHP19" s="64"/>
      <c r="FHQ19" s="64"/>
      <c r="FHR19" s="64"/>
      <c r="FHS19" s="64"/>
      <c r="FHT19" s="64"/>
      <c r="FHU19" s="64"/>
      <c r="FHV19" s="64"/>
      <c r="FHW19" s="64"/>
      <c r="FHX19" s="64"/>
      <c r="FHY19" s="64"/>
      <c r="FHZ19" s="64"/>
      <c r="FIA19" s="64"/>
      <c r="FIB19" s="64"/>
      <c r="FIC19" s="64"/>
      <c r="FID19" s="64"/>
      <c r="FIE19" s="64"/>
      <c r="FIF19" s="64"/>
      <c r="FIG19" s="64"/>
      <c r="FIH19" s="64"/>
      <c r="FII19" s="64"/>
      <c r="FIJ19" s="64"/>
      <c r="FIK19" s="64"/>
      <c r="FIL19" s="64"/>
      <c r="FIM19" s="64"/>
      <c r="FIN19" s="64"/>
      <c r="FIO19" s="64"/>
      <c r="FIP19" s="64"/>
      <c r="FIQ19" s="64"/>
      <c r="FIR19" s="64"/>
      <c r="FIS19" s="64"/>
      <c r="FIT19" s="64"/>
      <c r="FIU19" s="64"/>
      <c r="FIV19" s="64"/>
      <c r="FIW19" s="64"/>
      <c r="FIX19" s="64"/>
      <c r="FIY19" s="64"/>
      <c r="FIZ19" s="64"/>
      <c r="FJA19" s="64"/>
      <c r="FJB19" s="64"/>
      <c r="FJC19" s="64"/>
      <c r="FJD19" s="64"/>
      <c r="FJE19" s="64"/>
      <c r="FJF19" s="64"/>
      <c r="FJG19" s="64"/>
      <c r="FJH19" s="64"/>
      <c r="FJI19" s="64"/>
      <c r="FJJ19" s="64"/>
      <c r="FJK19" s="64"/>
      <c r="FJL19" s="64"/>
      <c r="FJM19" s="64"/>
      <c r="FJN19" s="64"/>
      <c r="FJO19" s="64"/>
      <c r="FJP19" s="64"/>
      <c r="FJQ19" s="64"/>
      <c r="FJR19" s="64"/>
      <c r="FJS19" s="64"/>
      <c r="FJT19" s="64"/>
      <c r="FJU19" s="64"/>
      <c r="FJV19" s="64"/>
      <c r="FJW19" s="64"/>
      <c r="FJX19" s="64"/>
      <c r="FJY19" s="64"/>
      <c r="FJZ19" s="64"/>
      <c r="FKA19" s="64"/>
      <c r="FKB19" s="64"/>
      <c r="FKC19" s="64"/>
      <c r="FKD19" s="64"/>
      <c r="FKE19" s="64"/>
      <c r="FKF19" s="64"/>
      <c r="FKG19" s="64"/>
      <c r="FKH19" s="64"/>
      <c r="FKI19" s="64"/>
      <c r="FKJ19" s="64"/>
      <c r="FKK19" s="64"/>
      <c r="FKL19" s="64"/>
      <c r="FKM19" s="64"/>
      <c r="FKN19" s="64"/>
      <c r="FKO19" s="64"/>
      <c r="FKP19" s="64"/>
      <c r="FKQ19" s="64"/>
      <c r="FKR19" s="64"/>
      <c r="FKS19" s="64"/>
      <c r="FKT19" s="64"/>
      <c r="FKU19" s="64"/>
      <c r="FKV19" s="64"/>
      <c r="FKW19" s="64"/>
      <c r="FKX19" s="64"/>
      <c r="FKY19" s="64"/>
      <c r="FKZ19" s="64"/>
      <c r="FLA19" s="64"/>
      <c r="FLB19" s="64"/>
      <c r="FLC19" s="64"/>
      <c r="FLD19" s="64"/>
      <c r="FLE19" s="64"/>
      <c r="FLF19" s="64"/>
      <c r="FLG19" s="64"/>
      <c r="FLH19" s="64"/>
      <c r="FLI19" s="64"/>
      <c r="FLJ19" s="64"/>
      <c r="FLK19" s="64"/>
      <c r="FLL19" s="64"/>
      <c r="FLM19" s="64"/>
      <c r="FLN19" s="64"/>
      <c r="FLO19" s="64"/>
      <c r="FLP19" s="64"/>
      <c r="FLQ19" s="64"/>
      <c r="FLR19" s="64"/>
      <c r="FLS19" s="64"/>
      <c r="FLT19" s="64"/>
      <c r="FLU19" s="64"/>
      <c r="FLV19" s="64"/>
      <c r="FLW19" s="64"/>
      <c r="FLX19" s="64"/>
      <c r="FLY19" s="64"/>
      <c r="FLZ19" s="64"/>
      <c r="FMA19" s="64"/>
      <c r="FMB19" s="64"/>
      <c r="FMC19" s="64"/>
      <c r="FMD19" s="64"/>
      <c r="FME19" s="64"/>
      <c r="FMF19" s="64"/>
      <c r="FMG19" s="64"/>
      <c r="FMH19" s="64"/>
      <c r="FMI19" s="64"/>
      <c r="FMJ19" s="64"/>
      <c r="FMK19" s="64"/>
      <c r="FML19" s="64"/>
      <c r="FMM19" s="64"/>
      <c r="FMN19" s="64"/>
      <c r="FMO19" s="64"/>
      <c r="FMP19" s="64"/>
      <c r="FMQ19" s="64"/>
      <c r="FMR19" s="64"/>
      <c r="FMS19" s="64"/>
      <c r="FMT19" s="64"/>
      <c r="FMU19" s="64"/>
      <c r="FMV19" s="64"/>
      <c r="FMW19" s="64"/>
      <c r="FMX19" s="64"/>
      <c r="FMY19" s="64"/>
      <c r="FMZ19" s="64"/>
      <c r="FNA19" s="64"/>
      <c r="FNB19" s="64"/>
      <c r="FNC19" s="64"/>
      <c r="FND19" s="64"/>
      <c r="FNE19" s="64"/>
      <c r="FNF19" s="64"/>
      <c r="FNG19" s="64"/>
      <c r="FNH19" s="64"/>
      <c r="FNI19" s="64"/>
      <c r="FNJ19" s="64"/>
      <c r="FNK19" s="64"/>
      <c r="FNL19" s="64"/>
      <c r="FNM19" s="64"/>
      <c r="FNN19" s="64"/>
      <c r="FNO19" s="64"/>
      <c r="FNP19" s="64"/>
      <c r="FNQ19" s="64"/>
      <c r="FNR19" s="64"/>
      <c r="FNS19" s="64"/>
      <c r="FNT19" s="64"/>
      <c r="FNU19" s="64"/>
      <c r="FNV19" s="64"/>
      <c r="FNW19" s="64"/>
      <c r="FNX19" s="64"/>
      <c r="FNY19" s="64"/>
      <c r="FNZ19" s="64"/>
      <c r="FOA19" s="64"/>
      <c r="FOB19" s="64"/>
      <c r="FOC19" s="64"/>
      <c r="FOD19" s="64"/>
      <c r="FOE19" s="64"/>
      <c r="FOF19" s="64"/>
      <c r="FOG19" s="64"/>
      <c r="FOH19" s="64"/>
      <c r="FOI19" s="64"/>
      <c r="FOJ19" s="64"/>
      <c r="FOK19" s="64"/>
      <c r="FOL19" s="64"/>
      <c r="FOM19" s="64"/>
      <c r="FON19" s="64"/>
      <c r="FOO19" s="64"/>
      <c r="FOP19" s="64"/>
      <c r="FOQ19" s="64"/>
      <c r="FOR19" s="64"/>
      <c r="FOS19" s="64"/>
      <c r="FOT19" s="64"/>
      <c r="FOU19" s="64"/>
      <c r="FOV19" s="64"/>
      <c r="FOW19" s="64"/>
      <c r="FOX19" s="64"/>
      <c r="FOY19" s="64"/>
      <c r="FOZ19" s="64"/>
      <c r="FPA19" s="64"/>
      <c r="FPB19" s="64"/>
      <c r="FPC19" s="64"/>
      <c r="FPD19" s="64"/>
      <c r="FPE19" s="64"/>
      <c r="FPF19" s="64"/>
      <c r="FPG19" s="64"/>
      <c r="FPH19" s="64"/>
      <c r="FPI19" s="64"/>
      <c r="FPJ19" s="64"/>
      <c r="FPK19" s="64"/>
      <c r="FPL19" s="64"/>
      <c r="FPM19" s="64"/>
      <c r="FPN19" s="64"/>
      <c r="FPO19" s="64"/>
      <c r="FPP19" s="64"/>
      <c r="FPQ19" s="64"/>
      <c r="FPR19" s="64"/>
      <c r="FPS19" s="64"/>
      <c r="FPT19" s="64"/>
      <c r="FPU19" s="64"/>
      <c r="FPV19" s="64"/>
      <c r="FPW19" s="64"/>
      <c r="FPX19" s="64"/>
      <c r="FPY19" s="64"/>
      <c r="FPZ19" s="64"/>
      <c r="FQA19" s="64"/>
      <c r="FQB19" s="64"/>
      <c r="FQC19" s="64"/>
      <c r="FQD19" s="64"/>
      <c r="FQE19" s="64"/>
      <c r="FQF19" s="64"/>
      <c r="FQG19" s="64"/>
      <c r="FQH19" s="64"/>
      <c r="FQI19" s="64"/>
      <c r="FQJ19" s="64"/>
      <c r="FQK19" s="64"/>
      <c r="FQL19" s="64"/>
      <c r="FQM19" s="64"/>
      <c r="FQN19" s="64"/>
      <c r="FQO19" s="64"/>
      <c r="FQP19" s="64"/>
      <c r="FQQ19" s="64"/>
      <c r="FQR19" s="64"/>
      <c r="FQS19" s="64"/>
      <c r="FQT19" s="64"/>
      <c r="FQU19" s="64"/>
      <c r="FQV19" s="64"/>
      <c r="FQW19" s="64"/>
      <c r="FQX19" s="64"/>
      <c r="FQY19" s="64"/>
      <c r="FQZ19" s="64"/>
      <c r="FRA19" s="64"/>
      <c r="FRB19" s="64"/>
      <c r="FRC19" s="64"/>
      <c r="FRD19" s="64"/>
      <c r="FRE19" s="64"/>
      <c r="FRF19" s="64"/>
      <c r="FRG19" s="64"/>
      <c r="FRH19" s="64"/>
      <c r="FRI19" s="64"/>
      <c r="FRJ19" s="64"/>
      <c r="FRK19" s="64"/>
      <c r="FRL19" s="64"/>
      <c r="FRM19" s="64"/>
      <c r="FRN19" s="64"/>
      <c r="FRO19" s="64"/>
      <c r="FRP19" s="64"/>
      <c r="FRQ19" s="64"/>
      <c r="FRR19" s="64"/>
      <c r="FRS19" s="64"/>
      <c r="FRT19" s="64"/>
      <c r="FRU19" s="64"/>
      <c r="FRV19" s="64"/>
      <c r="FRW19" s="64"/>
      <c r="FRX19" s="64"/>
      <c r="FRY19" s="64"/>
      <c r="FRZ19" s="64"/>
      <c r="FSA19" s="64"/>
      <c r="FSB19" s="64"/>
      <c r="FSC19" s="64"/>
      <c r="FSD19" s="64"/>
      <c r="FSE19" s="64"/>
      <c r="FSF19" s="64"/>
      <c r="FSG19" s="64"/>
      <c r="FSH19" s="64"/>
      <c r="FSI19" s="64"/>
      <c r="FSJ19" s="64"/>
      <c r="FSK19" s="64"/>
      <c r="FSL19" s="64"/>
      <c r="FSM19" s="64"/>
      <c r="FSN19" s="64"/>
      <c r="FSO19" s="64"/>
      <c r="FSP19" s="64"/>
      <c r="FSQ19" s="64"/>
      <c r="FSR19" s="64"/>
      <c r="FSS19" s="64"/>
      <c r="FST19" s="64"/>
      <c r="FSU19" s="64"/>
      <c r="FSV19" s="64"/>
      <c r="FSW19" s="64"/>
      <c r="FSX19" s="64"/>
      <c r="FSY19" s="64"/>
      <c r="FSZ19" s="64"/>
      <c r="FTA19" s="64"/>
      <c r="FTB19" s="64"/>
      <c r="FTC19" s="64"/>
      <c r="FTD19" s="64"/>
      <c r="FTE19" s="64"/>
      <c r="FTF19" s="64"/>
      <c r="FTG19" s="64"/>
      <c r="FTH19" s="64"/>
      <c r="FTI19" s="64"/>
      <c r="FTJ19" s="64"/>
      <c r="FTK19" s="64"/>
      <c r="FTL19" s="64"/>
      <c r="FTM19" s="64"/>
      <c r="FTN19" s="64"/>
      <c r="FTO19" s="64"/>
      <c r="FTP19" s="64"/>
      <c r="FTQ19" s="64"/>
      <c r="FTR19" s="64"/>
      <c r="FTS19" s="64"/>
      <c r="FTT19" s="64"/>
      <c r="FTU19" s="64"/>
      <c r="FTV19" s="64"/>
      <c r="FTW19" s="64"/>
      <c r="FTX19" s="64"/>
      <c r="FTY19" s="64"/>
      <c r="FTZ19" s="64"/>
      <c r="FUA19" s="64"/>
      <c r="FUB19" s="64"/>
      <c r="FUC19" s="64"/>
      <c r="FUD19" s="64"/>
      <c r="FUE19" s="64"/>
      <c r="FUF19" s="64"/>
      <c r="FUG19" s="64"/>
      <c r="FUH19" s="64"/>
      <c r="FUI19" s="64"/>
      <c r="FUJ19" s="64"/>
      <c r="FUK19" s="64"/>
      <c r="FUL19" s="64"/>
      <c r="FUM19" s="64"/>
      <c r="FUN19" s="64"/>
      <c r="FUO19" s="64"/>
      <c r="FUP19" s="64"/>
      <c r="FUQ19" s="64"/>
      <c r="FUR19" s="64"/>
      <c r="FUS19" s="64"/>
      <c r="FUT19" s="64"/>
      <c r="FUU19" s="64"/>
      <c r="FUV19" s="64"/>
      <c r="FUW19" s="64"/>
      <c r="FUX19" s="64"/>
      <c r="FUY19" s="64"/>
      <c r="FUZ19" s="64"/>
      <c r="FVA19" s="64"/>
      <c r="FVB19" s="64"/>
      <c r="FVC19" s="64"/>
      <c r="FVD19" s="64"/>
      <c r="FVE19" s="64"/>
      <c r="FVF19" s="64"/>
      <c r="FVG19" s="64"/>
      <c r="FVH19" s="64"/>
      <c r="FVI19" s="64"/>
      <c r="FVJ19" s="64"/>
      <c r="FVK19" s="64"/>
      <c r="FVL19" s="64"/>
      <c r="FVM19" s="64"/>
      <c r="FVN19" s="64"/>
      <c r="FVO19" s="64"/>
      <c r="FVP19" s="64"/>
      <c r="FVQ19" s="64"/>
      <c r="FVR19" s="64"/>
      <c r="FVS19" s="64"/>
      <c r="FVT19" s="64"/>
      <c r="FVU19" s="64"/>
      <c r="FVV19" s="64"/>
      <c r="FVW19" s="64"/>
      <c r="FVX19" s="64"/>
      <c r="FVY19" s="64"/>
      <c r="FVZ19" s="64"/>
      <c r="FWA19" s="64"/>
      <c r="FWB19" s="64"/>
      <c r="FWC19" s="64"/>
      <c r="FWD19" s="64"/>
      <c r="FWE19" s="64"/>
      <c r="FWF19" s="64"/>
      <c r="FWG19" s="64"/>
      <c r="FWH19" s="64"/>
      <c r="FWI19" s="64"/>
      <c r="FWJ19" s="64"/>
      <c r="FWK19" s="64"/>
      <c r="FWL19" s="64"/>
      <c r="FWM19" s="64"/>
      <c r="FWN19" s="64"/>
      <c r="FWO19" s="64"/>
      <c r="FWP19" s="64"/>
      <c r="FWQ19" s="64"/>
      <c r="FWR19" s="64"/>
      <c r="FWS19" s="64"/>
      <c r="FWT19" s="64"/>
      <c r="FWU19" s="64"/>
      <c r="FWV19" s="64"/>
      <c r="FWW19" s="64"/>
      <c r="FWX19" s="64"/>
      <c r="FWY19" s="64"/>
      <c r="FWZ19" s="64"/>
      <c r="FXA19" s="64"/>
      <c r="FXB19" s="64"/>
      <c r="FXC19" s="64"/>
      <c r="FXD19" s="64"/>
      <c r="FXE19" s="64"/>
      <c r="FXF19" s="64"/>
      <c r="FXG19" s="64"/>
      <c r="FXH19" s="64"/>
      <c r="FXI19" s="64"/>
      <c r="FXJ19" s="64"/>
      <c r="FXK19" s="64"/>
      <c r="FXL19" s="64"/>
      <c r="FXM19" s="64"/>
      <c r="FXN19" s="64"/>
      <c r="FXO19" s="64"/>
      <c r="FXP19" s="64"/>
      <c r="FXQ19" s="64"/>
      <c r="FXR19" s="64"/>
      <c r="FXS19" s="64"/>
      <c r="FXT19" s="64"/>
      <c r="FXU19" s="64"/>
      <c r="FXV19" s="64"/>
      <c r="FXW19" s="64"/>
      <c r="FXX19" s="64"/>
      <c r="FXY19" s="64"/>
      <c r="FXZ19" s="64"/>
      <c r="FYA19" s="64"/>
      <c r="FYB19" s="64"/>
      <c r="FYC19" s="64"/>
      <c r="FYD19" s="64"/>
      <c r="FYE19" s="64"/>
      <c r="FYF19" s="64"/>
      <c r="FYG19" s="64"/>
      <c r="FYH19" s="64"/>
      <c r="FYI19" s="64"/>
      <c r="FYJ19" s="64"/>
      <c r="FYK19" s="64"/>
      <c r="FYL19" s="64"/>
      <c r="FYM19" s="64"/>
      <c r="FYN19" s="64"/>
      <c r="FYO19" s="64"/>
      <c r="FYP19" s="64"/>
      <c r="FYQ19" s="64"/>
      <c r="FYR19" s="64"/>
      <c r="FYS19" s="64"/>
      <c r="FYT19" s="64"/>
      <c r="FYU19" s="64"/>
      <c r="FYV19" s="64"/>
      <c r="FYW19" s="64"/>
      <c r="FYX19" s="64"/>
      <c r="FYY19" s="64"/>
      <c r="FYZ19" s="64"/>
      <c r="FZA19" s="64"/>
      <c r="FZB19" s="64"/>
      <c r="FZC19" s="64"/>
      <c r="FZD19" s="64"/>
      <c r="FZE19" s="64"/>
      <c r="FZF19" s="64"/>
      <c r="FZG19" s="64"/>
      <c r="FZH19" s="64"/>
      <c r="FZI19" s="64"/>
      <c r="FZJ19" s="64"/>
      <c r="FZK19" s="64"/>
      <c r="FZL19" s="64"/>
      <c r="FZM19" s="64"/>
      <c r="FZN19" s="64"/>
      <c r="FZO19" s="64"/>
      <c r="FZP19" s="64"/>
      <c r="FZQ19" s="64"/>
      <c r="FZR19" s="64"/>
      <c r="FZS19" s="64"/>
      <c r="FZT19" s="64"/>
      <c r="FZU19" s="64"/>
      <c r="FZV19" s="64"/>
      <c r="FZW19" s="64"/>
      <c r="FZX19" s="64"/>
      <c r="FZY19" s="64"/>
      <c r="FZZ19" s="64"/>
      <c r="GAA19" s="64"/>
      <c r="GAB19" s="64"/>
      <c r="GAC19" s="64"/>
      <c r="GAD19" s="64"/>
      <c r="GAE19" s="64"/>
      <c r="GAF19" s="64"/>
      <c r="GAG19" s="64"/>
      <c r="GAH19" s="64"/>
      <c r="GAI19" s="64"/>
      <c r="GAJ19" s="64"/>
      <c r="GAK19" s="64"/>
      <c r="GAL19" s="64"/>
      <c r="GAM19" s="64"/>
      <c r="GAN19" s="64"/>
      <c r="GAO19" s="64"/>
      <c r="GAP19" s="64"/>
      <c r="GAQ19" s="64"/>
      <c r="GAR19" s="64"/>
      <c r="GAS19" s="64"/>
      <c r="GAT19" s="64"/>
      <c r="GAU19" s="64"/>
      <c r="GAV19" s="64"/>
      <c r="GAW19" s="64"/>
      <c r="GAX19" s="64"/>
      <c r="GAY19" s="64"/>
      <c r="GAZ19" s="64"/>
      <c r="GBA19" s="64"/>
      <c r="GBB19" s="64"/>
      <c r="GBC19" s="64"/>
      <c r="GBD19" s="64"/>
      <c r="GBE19" s="64"/>
      <c r="GBF19" s="64"/>
      <c r="GBG19" s="64"/>
      <c r="GBH19" s="64"/>
      <c r="GBI19" s="64"/>
      <c r="GBJ19" s="64"/>
      <c r="GBK19" s="64"/>
      <c r="GBL19" s="64"/>
      <c r="GBM19" s="64"/>
      <c r="GBN19" s="64"/>
      <c r="GBO19" s="64"/>
      <c r="GBP19" s="64"/>
      <c r="GBQ19" s="64"/>
      <c r="GBR19" s="64"/>
      <c r="GBS19" s="64"/>
      <c r="GBT19" s="64"/>
      <c r="GBU19" s="64"/>
      <c r="GBV19" s="64"/>
      <c r="GBW19" s="64"/>
      <c r="GBX19" s="64"/>
      <c r="GBY19" s="64"/>
      <c r="GBZ19" s="64"/>
      <c r="GCA19" s="64"/>
      <c r="GCB19" s="64"/>
      <c r="GCC19" s="64"/>
      <c r="GCD19" s="64"/>
      <c r="GCE19" s="64"/>
      <c r="GCF19" s="64"/>
      <c r="GCG19" s="64"/>
      <c r="GCH19" s="64"/>
      <c r="GCI19" s="64"/>
      <c r="GCJ19" s="64"/>
      <c r="GCK19" s="64"/>
      <c r="GCL19" s="64"/>
      <c r="GCM19" s="64"/>
      <c r="GCN19" s="64"/>
      <c r="GCO19" s="64"/>
      <c r="GCP19" s="64"/>
      <c r="GCQ19" s="64"/>
      <c r="GCR19" s="64"/>
      <c r="GCS19" s="64"/>
      <c r="GCT19" s="64"/>
      <c r="GCU19" s="64"/>
      <c r="GCV19" s="64"/>
      <c r="GCW19" s="64"/>
      <c r="GCX19" s="64"/>
      <c r="GCY19" s="64"/>
      <c r="GCZ19" s="64"/>
      <c r="GDA19" s="64"/>
      <c r="GDB19" s="64"/>
      <c r="GDC19" s="64"/>
      <c r="GDD19" s="64"/>
      <c r="GDE19" s="64"/>
      <c r="GDF19" s="64"/>
      <c r="GDG19" s="64"/>
      <c r="GDH19" s="64"/>
      <c r="GDI19" s="64"/>
      <c r="GDJ19" s="64"/>
      <c r="GDK19" s="64"/>
      <c r="GDL19" s="64"/>
      <c r="GDM19" s="64"/>
      <c r="GDN19" s="64"/>
      <c r="GDO19" s="64"/>
      <c r="GDP19" s="64"/>
      <c r="GDQ19" s="64"/>
      <c r="GDR19" s="64"/>
      <c r="GDS19" s="64"/>
      <c r="GDT19" s="64"/>
      <c r="GDU19" s="64"/>
      <c r="GDV19" s="64"/>
      <c r="GDW19" s="64"/>
      <c r="GDX19" s="64"/>
      <c r="GDY19" s="64"/>
      <c r="GDZ19" s="64"/>
      <c r="GEA19" s="64"/>
      <c r="GEB19" s="64"/>
      <c r="GEC19" s="64"/>
      <c r="GED19" s="64"/>
      <c r="GEE19" s="64"/>
      <c r="GEF19" s="64"/>
      <c r="GEG19" s="64"/>
      <c r="GEH19" s="64"/>
      <c r="GEI19" s="64"/>
      <c r="GEJ19" s="64"/>
      <c r="GEK19" s="64"/>
      <c r="GEL19" s="64"/>
      <c r="GEM19" s="64"/>
      <c r="GEN19" s="64"/>
      <c r="GEO19" s="64"/>
      <c r="GEP19" s="64"/>
      <c r="GEQ19" s="64"/>
      <c r="GER19" s="64"/>
      <c r="GES19" s="64"/>
      <c r="GET19" s="64"/>
      <c r="GEU19" s="64"/>
      <c r="GEV19" s="64"/>
      <c r="GEW19" s="64"/>
      <c r="GEX19" s="64"/>
      <c r="GEY19" s="64"/>
      <c r="GEZ19" s="64"/>
      <c r="GFA19" s="64"/>
      <c r="GFB19" s="64"/>
      <c r="GFC19" s="64"/>
      <c r="GFD19" s="64"/>
      <c r="GFE19" s="64"/>
      <c r="GFF19" s="64"/>
      <c r="GFG19" s="64"/>
      <c r="GFH19" s="64"/>
      <c r="GFI19" s="64"/>
      <c r="GFJ19" s="64"/>
      <c r="GFK19" s="64"/>
      <c r="GFL19" s="64"/>
      <c r="GFM19" s="64"/>
      <c r="GFN19" s="64"/>
      <c r="GFO19" s="64"/>
      <c r="GFP19" s="64"/>
      <c r="GFQ19" s="64"/>
      <c r="GFR19" s="64"/>
      <c r="GFS19" s="64"/>
      <c r="GFT19" s="64"/>
      <c r="GFU19" s="64"/>
      <c r="GFV19" s="64"/>
      <c r="GFW19" s="64"/>
      <c r="GFX19" s="64"/>
      <c r="GFY19" s="64"/>
      <c r="GFZ19" s="64"/>
      <c r="GGA19" s="64"/>
      <c r="GGB19" s="64"/>
      <c r="GGC19" s="64"/>
      <c r="GGD19" s="64"/>
      <c r="GGE19" s="64"/>
      <c r="GGF19" s="64"/>
      <c r="GGG19" s="64"/>
      <c r="GGH19" s="64"/>
      <c r="GGI19" s="64"/>
      <c r="GGJ19" s="64"/>
      <c r="GGK19" s="64"/>
      <c r="GGL19" s="64"/>
      <c r="GGM19" s="64"/>
      <c r="GGN19" s="64"/>
      <c r="GGO19" s="64"/>
      <c r="GGP19" s="64"/>
      <c r="GGQ19" s="64"/>
      <c r="GGR19" s="64"/>
      <c r="GGS19" s="64"/>
      <c r="GGT19" s="64"/>
      <c r="GGU19" s="64"/>
      <c r="GGV19" s="64"/>
      <c r="GGW19" s="64"/>
      <c r="GGX19" s="64"/>
      <c r="GGY19" s="64"/>
      <c r="GGZ19" s="64"/>
      <c r="GHA19" s="64"/>
      <c r="GHB19" s="64"/>
      <c r="GHC19" s="64"/>
      <c r="GHD19" s="64"/>
      <c r="GHE19" s="64"/>
      <c r="GHF19" s="64"/>
      <c r="GHG19" s="64"/>
      <c r="GHH19" s="64"/>
      <c r="GHI19" s="64"/>
      <c r="GHJ19" s="64"/>
      <c r="GHK19" s="64"/>
      <c r="GHL19" s="64"/>
      <c r="GHM19" s="64"/>
      <c r="GHN19" s="64"/>
      <c r="GHO19" s="64"/>
      <c r="GHP19" s="64"/>
      <c r="GHQ19" s="64"/>
      <c r="GHR19" s="64"/>
      <c r="GHS19" s="64"/>
      <c r="GHT19" s="64"/>
      <c r="GHU19" s="64"/>
      <c r="GHV19" s="64"/>
      <c r="GHW19" s="64"/>
      <c r="GHX19" s="64"/>
      <c r="GHY19" s="64"/>
      <c r="GHZ19" s="64"/>
      <c r="GIA19" s="64"/>
      <c r="GIB19" s="64"/>
      <c r="GIC19" s="64"/>
      <c r="GID19" s="64"/>
      <c r="GIE19" s="64"/>
      <c r="GIF19" s="64"/>
      <c r="GIG19" s="64"/>
      <c r="GIH19" s="64"/>
      <c r="GII19" s="64"/>
      <c r="GIJ19" s="64"/>
      <c r="GIK19" s="64"/>
      <c r="GIL19" s="64"/>
      <c r="GIM19" s="64"/>
      <c r="GIN19" s="64"/>
      <c r="GIO19" s="64"/>
      <c r="GIP19" s="64"/>
      <c r="GIQ19" s="64"/>
      <c r="GIR19" s="64"/>
      <c r="GIS19" s="64"/>
      <c r="GIT19" s="64"/>
      <c r="GIU19" s="64"/>
      <c r="GIV19" s="64"/>
      <c r="GIW19" s="64"/>
      <c r="GIX19" s="64"/>
      <c r="GIY19" s="64"/>
      <c r="GIZ19" s="64"/>
      <c r="GJA19" s="64"/>
      <c r="GJB19" s="64"/>
      <c r="GJC19" s="64"/>
      <c r="GJD19" s="64"/>
      <c r="GJE19" s="64"/>
      <c r="GJF19" s="64"/>
      <c r="GJG19" s="64"/>
      <c r="GJH19" s="64"/>
      <c r="GJI19" s="64"/>
      <c r="GJJ19" s="64"/>
      <c r="GJK19" s="64"/>
      <c r="GJL19" s="64"/>
      <c r="GJM19" s="64"/>
      <c r="GJN19" s="64"/>
      <c r="GJO19" s="64"/>
      <c r="GJP19" s="64"/>
      <c r="GJQ19" s="64"/>
      <c r="GJR19" s="64"/>
      <c r="GJS19" s="64"/>
      <c r="GJT19" s="64"/>
      <c r="GJU19" s="64"/>
      <c r="GJV19" s="64"/>
      <c r="GJW19" s="64"/>
      <c r="GJX19" s="64"/>
      <c r="GJY19" s="64"/>
      <c r="GJZ19" s="64"/>
      <c r="GKA19" s="64"/>
      <c r="GKB19" s="64"/>
      <c r="GKC19" s="64"/>
      <c r="GKD19" s="64"/>
      <c r="GKE19" s="64"/>
      <c r="GKF19" s="64"/>
      <c r="GKG19" s="64"/>
      <c r="GKH19" s="64"/>
      <c r="GKI19" s="64"/>
      <c r="GKJ19" s="64"/>
      <c r="GKK19" s="64"/>
      <c r="GKL19" s="64"/>
      <c r="GKM19" s="64"/>
      <c r="GKN19" s="64"/>
      <c r="GKO19" s="64"/>
      <c r="GKP19" s="64"/>
      <c r="GKQ19" s="64"/>
      <c r="GKR19" s="64"/>
      <c r="GKS19" s="64"/>
      <c r="GKT19" s="64"/>
      <c r="GKU19" s="64"/>
      <c r="GKV19" s="64"/>
      <c r="GKW19" s="64"/>
      <c r="GKX19" s="64"/>
      <c r="GKY19" s="64"/>
      <c r="GKZ19" s="64"/>
      <c r="GLA19" s="64"/>
      <c r="GLB19" s="64"/>
      <c r="GLC19" s="64"/>
      <c r="GLD19" s="64"/>
      <c r="GLE19" s="64"/>
      <c r="GLF19" s="64"/>
      <c r="GLG19" s="64"/>
      <c r="GLH19" s="64"/>
      <c r="GLI19" s="64"/>
      <c r="GLJ19" s="64"/>
      <c r="GLK19" s="64"/>
      <c r="GLL19" s="64"/>
      <c r="GLM19" s="64"/>
      <c r="GLN19" s="64"/>
      <c r="GLO19" s="64"/>
      <c r="GLP19" s="64"/>
      <c r="GLQ19" s="64"/>
      <c r="GLR19" s="64"/>
      <c r="GLS19" s="64"/>
      <c r="GLT19" s="64"/>
      <c r="GLU19" s="64"/>
      <c r="GLV19" s="64"/>
      <c r="GLW19" s="64"/>
      <c r="GLX19" s="64"/>
      <c r="GLY19" s="64"/>
      <c r="GLZ19" s="64"/>
      <c r="GMA19" s="64"/>
      <c r="GMB19" s="64"/>
      <c r="GMC19" s="64"/>
      <c r="GMD19" s="64"/>
      <c r="GME19" s="64"/>
      <c r="GMF19" s="64"/>
      <c r="GMG19" s="64"/>
      <c r="GMH19" s="64"/>
      <c r="GMI19" s="64"/>
      <c r="GMJ19" s="64"/>
      <c r="GMK19" s="64"/>
      <c r="GML19" s="64"/>
      <c r="GMM19" s="64"/>
      <c r="GMN19" s="64"/>
      <c r="GMO19" s="64"/>
      <c r="GMP19" s="64"/>
      <c r="GMQ19" s="64"/>
      <c r="GMR19" s="64"/>
      <c r="GMS19" s="64"/>
      <c r="GMT19" s="64"/>
      <c r="GMU19" s="64"/>
      <c r="GMV19" s="64"/>
      <c r="GMW19" s="64"/>
      <c r="GMX19" s="64"/>
      <c r="GMY19" s="64"/>
      <c r="GMZ19" s="64"/>
      <c r="GNA19" s="64"/>
      <c r="GNB19" s="64"/>
      <c r="GNC19" s="64"/>
      <c r="GND19" s="64"/>
      <c r="GNE19" s="64"/>
      <c r="GNF19" s="64"/>
      <c r="GNG19" s="64"/>
      <c r="GNH19" s="64"/>
      <c r="GNI19" s="64"/>
      <c r="GNJ19" s="64"/>
      <c r="GNK19" s="64"/>
      <c r="GNL19" s="64"/>
      <c r="GNM19" s="64"/>
      <c r="GNN19" s="64"/>
      <c r="GNO19" s="64"/>
      <c r="GNP19" s="64"/>
      <c r="GNQ19" s="64"/>
      <c r="GNR19" s="64"/>
      <c r="GNS19" s="64"/>
      <c r="GNT19" s="64"/>
      <c r="GNU19" s="64"/>
      <c r="GNV19" s="64"/>
      <c r="GNW19" s="64"/>
      <c r="GNX19" s="64"/>
      <c r="GNY19" s="64"/>
      <c r="GNZ19" s="64"/>
      <c r="GOA19" s="64"/>
      <c r="GOB19" s="64"/>
      <c r="GOC19" s="64"/>
      <c r="GOD19" s="64"/>
      <c r="GOE19" s="64"/>
      <c r="GOF19" s="64"/>
      <c r="GOG19" s="64"/>
      <c r="GOH19" s="64"/>
      <c r="GOI19" s="64"/>
      <c r="GOJ19" s="64"/>
      <c r="GOK19" s="64"/>
      <c r="GOL19" s="64"/>
      <c r="GOM19" s="64"/>
      <c r="GON19" s="64"/>
      <c r="GOO19" s="64"/>
      <c r="GOP19" s="64"/>
      <c r="GOQ19" s="64"/>
      <c r="GOR19" s="64"/>
      <c r="GOS19" s="64"/>
      <c r="GOT19" s="64"/>
      <c r="GOU19" s="64"/>
      <c r="GOV19" s="64"/>
      <c r="GOW19" s="64"/>
      <c r="GOX19" s="64"/>
      <c r="GOY19" s="64"/>
      <c r="GOZ19" s="64"/>
      <c r="GPA19" s="64"/>
      <c r="GPB19" s="64"/>
      <c r="GPC19" s="64"/>
      <c r="GPD19" s="64"/>
      <c r="GPE19" s="64"/>
      <c r="GPF19" s="64"/>
      <c r="GPG19" s="64"/>
      <c r="GPH19" s="64"/>
      <c r="GPI19" s="64"/>
      <c r="GPJ19" s="64"/>
      <c r="GPK19" s="64"/>
      <c r="GPL19" s="64"/>
      <c r="GPM19" s="64"/>
      <c r="GPN19" s="64"/>
      <c r="GPO19" s="64"/>
      <c r="GPP19" s="64"/>
      <c r="GPQ19" s="64"/>
      <c r="GPR19" s="64"/>
      <c r="GPS19" s="64"/>
      <c r="GPT19" s="64"/>
      <c r="GPU19" s="64"/>
      <c r="GPV19" s="64"/>
      <c r="GPW19" s="64"/>
      <c r="GPX19" s="64"/>
      <c r="GPY19" s="64"/>
      <c r="GPZ19" s="64"/>
      <c r="GQA19" s="64"/>
      <c r="GQB19" s="64"/>
      <c r="GQC19" s="64"/>
      <c r="GQD19" s="64"/>
      <c r="GQE19" s="64"/>
      <c r="GQF19" s="64"/>
      <c r="GQG19" s="64"/>
      <c r="GQH19" s="64"/>
      <c r="GQI19" s="64"/>
      <c r="GQJ19" s="64"/>
      <c r="GQK19" s="64"/>
      <c r="GQL19" s="64"/>
      <c r="GQM19" s="64"/>
      <c r="GQN19" s="64"/>
      <c r="GQO19" s="64"/>
      <c r="GQP19" s="64"/>
      <c r="GQQ19" s="64"/>
      <c r="GQR19" s="64"/>
      <c r="GQS19" s="64"/>
      <c r="GQT19" s="64"/>
      <c r="GQU19" s="64"/>
      <c r="GQV19" s="64"/>
      <c r="GQW19" s="64"/>
      <c r="GQX19" s="64"/>
      <c r="GQY19" s="64"/>
      <c r="GQZ19" s="64"/>
      <c r="GRA19" s="64"/>
      <c r="GRB19" s="64"/>
      <c r="GRC19" s="64"/>
      <c r="GRD19" s="64"/>
      <c r="GRE19" s="64"/>
      <c r="GRF19" s="64"/>
      <c r="GRG19" s="64"/>
      <c r="GRH19" s="64"/>
      <c r="GRI19" s="64"/>
      <c r="GRJ19" s="64"/>
      <c r="GRK19" s="64"/>
      <c r="GRL19" s="64"/>
      <c r="GRM19" s="64"/>
      <c r="GRN19" s="64"/>
      <c r="GRO19" s="64"/>
      <c r="GRP19" s="64"/>
      <c r="GRQ19" s="64"/>
      <c r="GRR19" s="64"/>
      <c r="GRS19" s="64"/>
      <c r="GRT19" s="64"/>
      <c r="GRU19" s="64"/>
      <c r="GRV19" s="64"/>
      <c r="GRW19" s="64"/>
      <c r="GRX19" s="64"/>
      <c r="GRY19" s="64"/>
      <c r="GRZ19" s="64"/>
      <c r="GSA19" s="64"/>
      <c r="GSB19" s="64"/>
      <c r="GSC19" s="64"/>
      <c r="GSD19" s="64"/>
      <c r="GSE19" s="64"/>
      <c r="GSF19" s="64"/>
      <c r="GSG19" s="64"/>
      <c r="GSH19" s="64"/>
      <c r="GSI19" s="64"/>
      <c r="GSJ19" s="64"/>
      <c r="GSK19" s="64"/>
      <c r="GSL19" s="64"/>
      <c r="GSM19" s="64"/>
      <c r="GSN19" s="64"/>
      <c r="GSO19" s="64"/>
      <c r="GSP19" s="64"/>
      <c r="GSQ19" s="64"/>
      <c r="GSR19" s="64"/>
      <c r="GSS19" s="64"/>
      <c r="GST19" s="64"/>
      <c r="GSU19" s="64"/>
      <c r="GSV19" s="64"/>
      <c r="GSW19" s="64"/>
      <c r="GSX19" s="64"/>
      <c r="GSY19" s="64"/>
      <c r="GSZ19" s="64"/>
      <c r="GTA19" s="64"/>
      <c r="GTB19" s="64"/>
      <c r="GTC19" s="64"/>
      <c r="GTD19" s="64"/>
      <c r="GTE19" s="64"/>
      <c r="GTF19" s="64"/>
      <c r="GTG19" s="64"/>
      <c r="GTH19" s="64"/>
      <c r="GTI19" s="64"/>
      <c r="GTJ19" s="64"/>
      <c r="GTK19" s="64"/>
      <c r="GTL19" s="64"/>
      <c r="GTM19" s="64"/>
      <c r="GTN19" s="64"/>
      <c r="GTO19" s="64"/>
      <c r="GTP19" s="64"/>
      <c r="GTQ19" s="64"/>
      <c r="GTR19" s="64"/>
      <c r="GTS19" s="64"/>
      <c r="GTT19" s="64"/>
      <c r="GTU19" s="64"/>
      <c r="GTV19" s="64"/>
      <c r="GTW19" s="64"/>
      <c r="GTX19" s="64"/>
      <c r="GTY19" s="64"/>
      <c r="GTZ19" s="64"/>
      <c r="GUA19" s="64"/>
      <c r="GUB19" s="64"/>
      <c r="GUC19" s="64"/>
      <c r="GUD19" s="64"/>
      <c r="GUE19" s="64"/>
      <c r="GUF19" s="64"/>
      <c r="GUG19" s="64"/>
      <c r="GUH19" s="64"/>
      <c r="GUI19" s="64"/>
      <c r="GUJ19" s="64"/>
      <c r="GUK19" s="64"/>
      <c r="GUL19" s="64"/>
      <c r="GUM19" s="64"/>
      <c r="GUN19" s="64"/>
      <c r="GUO19" s="64"/>
      <c r="GUP19" s="64"/>
      <c r="GUQ19" s="64"/>
      <c r="GUR19" s="64"/>
      <c r="GUS19" s="64"/>
      <c r="GUT19" s="64"/>
      <c r="GUU19" s="64"/>
      <c r="GUV19" s="64"/>
      <c r="GUW19" s="64"/>
      <c r="GUX19" s="64"/>
      <c r="GUY19" s="64"/>
      <c r="GUZ19" s="64"/>
      <c r="GVA19" s="64"/>
      <c r="GVB19" s="64"/>
      <c r="GVC19" s="64"/>
      <c r="GVD19" s="64"/>
      <c r="GVE19" s="64"/>
      <c r="GVF19" s="64"/>
      <c r="GVG19" s="64"/>
      <c r="GVH19" s="64"/>
      <c r="GVI19" s="64"/>
      <c r="GVJ19" s="64"/>
      <c r="GVK19" s="64"/>
      <c r="GVL19" s="64"/>
      <c r="GVM19" s="64"/>
      <c r="GVN19" s="64"/>
      <c r="GVO19" s="64"/>
      <c r="GVP19" s="64"/>
      <c r="GVQ19" s="64"/>
      <c r="GVR19" s="64"/>
      <c r="GVS19" s="64"/>
      <c r="GVT19" s="64"/>
      <c r="GVU19" s="64"/>
      <c r="GVV19" s="64"/>
      <c r="GVW19" s="64"/>
      <c r="GVX19" s="64"/>
      <c r="GVY19" s="64"/>
      <c r="GVZ19" s="64"/>
      <c r="GWA19" s="64"/>
      <c r="GWB19" s="64"/>
      <c r="GWC19" s="64"/>
      <c r="GWD19" s="64"/>
      <c r="GWE19" s="64"/>
      <c r="GWF19" s="64"/>
      <c r="GWG19" s="64"/>
      <c r="GWH19" s="64"/>
      <c r="GWI19" s="64"/>
      <c r="GWJ19" s="64"/>
      <c r="GWK19" s="64"/>
      <c r="GWL19" s="64"/>
      <c r="GWM19" s="64"/>
      <c r="GWN19" s="64"/>
      <c r="GWO19" s="64"/>
      <c r="GWP19" s="64"/>
      <c r="GWQ19" s="64"/>
      <c r="GWR19" s="64"/>
      <c r="GWS19" s="64"/>
      <c r="GWT19" s="64"/>
      <c r="GWU19" s="64"/>
      <c r="GWV19" s="64"/>
      <c r="GWW19" s="64"/>
      <c r="GWX19" s="64"/>
      <c r="GWY19" s="64"/>
      <c r="GWZ19" s="64"/>
      <c r="GXA19" s="64"/>
      <c r="GXB19" s="64"/>
      <c r="GXC19" s="64"/>
      <c r="GXD19" s="64"/>
      <c r="GXE19" s="64"/>
      <c r="GXF19" s="64"/>
      <c r="GXG19" s="64"/>
      <c r="GXH19" s="64"/>
      <c r="GXI19" s="64"/>
      <c r="GXJ19" s="64"/>
      <c r="GXK19" s="64"/>
      <c r="GXL19" s="64"/>
      <c r="GXM19" s="64"/>
      <c r="GXN19" s="64"/>
      <c r="GXO19" s="64"/>
      <c r="GXP19" s="64"/>
      <c r="GXQ19" s="64"/>
      <c r="GXR19" s="64"/>
      <c r="GXS19" s="64"/>
      <c r="GXT19" s="64"/>
      <c r="GXU19" s="64"/>
      <c r="GXV19" s="64"/>
      <c r="GXW19" s="64"/>
      <c r="GXX19" s="64"/>
      <c r="GXY19" s="64"/>
      <c r="GXZ19" s="64"/>
      <c r="GYA19" s="64"/>
      <c r="GYB19" s="64"/>
      <c r="GYC19" s="64"/>
      <c r="GYD19" s="64"/>
      <c r="GYE19" s="64"/>
      <c r="GYF19" s="64"/>
      <c r="GYG19" s="64"/>
      <c r="GYH19" s="64"/>
      <c r="GYI19" s="64"/>
      <c r="GYJ19" s="64"/>
      <c r="GYK19" s="64"/>
      <c r="GYL19" s="64"/>
      <c r="GYM19" s="64"/>
      <c r="GYN19" s="64"/>
      <c r="GYO19" s="64"/>
      <c r="GYP19" s="64"/>
      <c r="GYQ19" s="64"/>
      <c r="GYR19" s="64"/>
      <c r="GYS19" s="64"/>
      <c r="GYT19" s="64"/>
      <c r="GYU19" s="64"/>
      <c r="GYV19" s="64"/>
      <c r="GYW19" s="64"/>
      <c r="GYX19" s="64"/>
      <c r="GYY19" s="64"/>
      <c r="GYZ19" s="64"/>
      <c r="GZA19" s="64"/>
      <c r="GZB19" s="64"/>
      <c r="GZC19" s="64"/>
      <c r="GZD19" s="64"/>
      <c r="GZE19" s="64"/>
      <c r="GZF19" s="64"/>
      <c r="GZG19" s="64"/>
      <c r="GZH19" s="64"/>
      <c r="GZI19" s="64"/>
      <c r="GZJ19" s="64"/>
      <c r="GZK19" s="64"/>
      <c r="GZL19" s="64"/>
      <c r="GZM19" s="64"/>
      <c r="GZN19" s="64"/>
      <c r="GZO19" s="64"/>
      <c r="GZP19" s="64"/>
      <c r="GZQ19" s="64"/>
      <c r="GZR19" s="64"/>
      <c r="GZS19" s="64"/>
      <c r="GZT19" s="64"/>
      <c r="GZU19" s="64"/>
      <c r="GZV19" s="64"/>
      <c r="GZW19" s="64"/>
      <c r="GZX19" s="64"/>
      <c r="GZY19" s="64"/>
      <c r="GZZ19" s="64"/>
      <c r="HAA19" s="64"/>
      <c r="HAB19" s="64"/>
      <c r="HAC19" s="64"/>
      <c r="HAD19" s="64"/>
      <c r="HAE19" s="64"/>
      <c r="HAF19" s="64"/>
      <c r="HAG19" s="64"/>
      <c r="HAH19" s="64"/>
      <c r="HAI19" s="64"/>
      <c r="HAJ19" s="64"/>
      <c r="HAK19" s="64"/>
      <c r="HAL19" s="64"/>
      <c r="HAM19" s="64"/>
      <c r="HAN19" s="64"/>
      <c r="HAO19" s="64"/>
      <c r="HAP19" s="64"/>
      <c r="HAQ19" s="64"/>
      <c r="HAR19" s="64"/>
      <c r="HAS19" s="64"/>
      <c r="HAT19" s="64"/>
      <c r="HAU19" s="64"/>
      <c r="HAV19" s="64"/>
      <c r="HAW19" s="64"/>
      <c r="HAX19" s="64"/>
      <c r="HAY19" s="64"/>
      <c r="HAZ19" s="64"/>
      <c r="HBA19" s="64"/>
      <c r="HBB19" s="64"/>
      <c r="HBC19" s="64"/>
      <c r="HBD19" s="64"/>
      <c r="HBE19" s="64"/>
      <c r="HBF19" s="64"/>
      <c r="HBG19" s="64"/>
      <c r="HBH19" s="64"/>
      <c r="HBI19" s="64"/>
      <c r="HBJ19" s="64"/>
      <c r="HBK19" s="64"/>
      <c r="HBL19" s="64"/>
      <c r="HBM19" s="64"/>
      <c r="HBN19" s="64"/>
      <c r="HBO19" s="64"/>
      <c r="HBP19" s="64"/>
      <c r="HBQ19" s="64"/>
      <c r="HBR19" s="64"/>
      <c r="HBS19" s="64"/>
      <c r="HBT19" s="64"/>
      <c r="HBU19" s="64"/>
      <c r="HBV19" s="64"/>
      <c r="HBW19" s="64"/>
      <c r="HBX19" s="64"/>
      <c r="HBY19" s="64"/>
      <c r="HBZ19" s="64"/>
      <c r="HCA19" s="64"/>
      <c r="HCB19" s="64"/>
      <c r="HCC19" s="64"/>
      <c r="HCD19" s="64"/>
      <c r="HCE19" s="64"/>
      <c r="HCF19" s="64"/>
      <c r="HCG19" s="64"/>
      <c r="HCH19" s="64"/>
      <c r="HCI19" s="64"/>
      <c r="HCJ19" s="64"/>
      <c r="HCK19" s="64"/>
      <c r="HCL19" s="64"/>
      <c r="HCM19" s="64"/>
      <c r="HCN19" s="64"/>
      <c r="HCO19" s="64"/>
      <c r="HCP19" s="64"/>
      <c r="HCQ19" s="64"/>
      <c r="HCR19" s="64"/>
      <c r="HCS19" s="64"/>
      <c r="HCT19" s="64"/>
      <c r="HCU19" s="64"/>
      <c r="HCV19" s="64"/>
      <c r="HCW19" s="64"/>
      <c r="HCX19" s="64"/>
      <c r="HCY19" s="64"/>
      <c r="HCZ19" s="64"/>
      <c r="HDA19" s="64"/>
      <c r="HDB19" s="64"/>
      <c r="HDC19" s="64"/>
      <c r="HDD19" s="64"/>
      <c r="HDE19" s="64"/>
      <c r="HDF19" s="64"/>
      <c r="HDG19" s="64"/>
      <c r="HDH19" s="64"/>
      <c r="HDI19" s="64"/>
      <c r="HDJ19" s="64"/>
      <c r="HDK19" s="64"/>
      <c r="HDL19" s="64"/>
      <c r="HDM19" s="64"/>
      <c r="HDN19" s="64"/>
      <c r="HDO19" s="64"/>
      <c r="HDP19" s="64"/>
      <c r="HDQ19" s="64"/>
      <c r="HDR19" s="64"/>
      <c r="HDS19" s="64"/>
      <c r="HDT19" s="64"/>
      <c r="HDU19" s="64"/>
      <c r="HDV19" s="64"/>
      <c r="HDW19" s="64"/>
      <c r="HDX19" s="64"/>
      <c r="HDY19" s="64"/>
      <c r="HDZ19" s="64"/>
      <c r="HEA19" s="64"/>
      <c r="HEB19" s="64"/>
      <c r="HEC19" s="64"/>
      <c r="HED19" s="64"/>
      <c r="HEE19" s="64"/>
      <c r="HEF19" s="64"/>
      <c r="HEG19" s="64"/>
      <c r="HEH19" s="64"/>
      <c r="HEI19" s="64"/>
      <c r="HEJ19" s="64"/>
      <c r="HEK19" s="64"/>
      <c r="HEL19" s="64"/>
      <c r="HEM19" s="64"/>
      <c r="HEN19" s="64"/>
      <c r="HEO19" s="64"/>
      <c r="HEP19" s="64"/>
      <c r="HEQ19" s="64"/>
      <c r="HER19" s="64"/>
      <c r="HES19" s="64"/>
      <c r="HET19" s="64"/>
      <c r="HEU19" s="64"/>
      <c r="HEV19" s="64"/>
      <c r="HEW19" s="64"/>
      <c r="HEX19" s="64"/>
      <c r="HEY19" s="64"/>
      <c r="HEZ19" s="64"/>
      <c r="HFA19" s="64"/>
      <c r="HFB19" s="64"/>
      <c r="HFC19" s="64"/>
      <c r="HFD19" s="64"/>
      <c r="HFE19" s="64"/>
      <c r="HFF19" s="64"/>
      <c r="HFG19" s="64"/>
      <c r="HFH19" s="64"/>
      <c r="HFI19" s="64"/>
      <c r="HFJ19" s="64"/>
      <c r="HFK19" s="64"/>
      <c r="HFL19" s="64"/>
      <c r="HFM19" s="64"/>
      <c r="HFN19" s="64"/>
      <c r="HFO19" s="64"/>
      <c r="HFP19" s="64"/>
      <c r="HFQ19" s="64"/>
      <c r="HFR19" s="64"/>
      <c r="HFS19" s="64"/>
      <c r="HFT19" s="64"/>
      <c r="HFU19" s="64"/>
      <c r="HFV19" s="64"/>
      <c r="HFW19" s="64"/>
      <c r="HFX19" s="64"/>
      <c r="HFY19" s="64"/>
      <c r="HFZ19" s="64"/>
      <c r="HGA19" s="64"/>
      <c r="HGB19" s="64"/>
      <c r="HGC19" s="64"/>
      <c r="HGD19" s="64"/>
      <c r="HGE19" s="64"/>
      <c r="HGF19" s="64"/>
      <c r="HGG19" s="64"/>
      <c r="HGH19" s="64"/>
      <c r="HGI19" s="64"/>
      <c r="HGJ19" s="64"/>
      <c r="HGK19" s="64"/>
      <c r="HGL19" s="64"/>
      <c r="HGM19" s="64"/>
      <c r="HGN19" s="64"/>
      <c r="HGO19" s="64"/>
      <c r="HGP19" s="64"/>
      <c r="HGQ19" s="64"/>
      <c r="HGR19" s="64"/>
      <c r="HGS19" s="64"/>
      <c r="HGT19" s="64"/>
      <c r="HGU19" s="64"/>
      <c r="HGV19" s="64"/>
      <c r="HGW19" s="64"/>
      <c r="HGX19" s="64"/>
      <c r="HGY19" s="64"/>
      <c r="HGZ19" s="64"/>
      <c r="HHA19" s="64"/>
      <c r="HHB19" s="64"/>
      <c r="HHC19" s="64"/>
      <c r="HHD19" s="64"/>
      <c r="HHE19" s="64"/>
      <c r="HHF19" s="64"/>
      <c r="HHG19" s="64"/>
      <c r="HHH19" s="64"/>
      <c r="HHI19" s="64"/>
      <c r="HHJ19" s="64"/>
      <c r="HHK19" s="64"/>
      <c r="HHL19" s="64"/>
      <c r="HHM19" s="64"/>
      <c r="HHN19" s="64"/>
      <c r="HHO19" s="64"/>
      <c r="HHP19" s="64"/>
      <c r="HHQ19" s="64"/>
      <c r="HHR19" s="64"/>
      <c r="HHS19" s="64"/>
      <c r="HHT19" s="64"/>
      <c r="HHU19" s="64"/>
      <c r="HHV19" s="64"/>
      <c r="HHW19" s="64"/>
      <c r="HHX19" s="64"/>
      <c r="HHY19" s="64"/>
      <c r="HHZ19" s="64"/>
      <c r="HIA19" s="64"/>
      <c r="HIB19" s="64"/>
      <c r="HIC19" s="64"/>
      <c r="HID19" s="64"/>
      <c r="HIE19" s="64"/>
      <c r="HIF19" s="64"/>
      <c r="HIG19" s="64"/>
      <c r="HIH19" s="64"/>
      <c r="HII19" s="64"/>
      <c r="HIJ19" s="64"/>
      <c r="HIK19" s="64"/>
      <c r="HIL19" s="64"/>
      <c r="HIM19" s="64"/>
      <c r="HIN19" s="64"/>
      <c r="HIO19" s="64"/>
      <c r="HIP19" s="64"/>
      <c r="HIQ19" s="64"/>
      <c r="HIR19" s="64"/>
      <c r="HIS19" s="64"/>
      <c r="HIT19" s="64"/>
      <c r="HIU19" s="64"/>
      <c r="HIV19" s="64"/>
      <c r="HIW19" s="64"/>
      <c r="HIX19" s="64"/>
      <c r="HIY19" s="64"/>
      <c r="HIZ19" s="64"/>
      <c r="HJA19" s="64"/>
      <c r="HJB19" s="64"/>
      <c r="HJC19" s="64"/>
      <c r="HJD19" s="64"/>
      <c r="HJE19" s="64"/>
      <c r="HJF19" s="64"/>
      <c r="HJG19" s="64"/>
      <c r="HJH19" s="64"/>
      <c r="HJI19" s="64"/>
      <c r="HJJ19" s="64"/>
      <c r="HJK19" s="64"/>
      <c r="HJL19" s="64"/>
      <c r="HJM19" s="64"/>
      <c r="HJN19" s="64"/>
      <c r="HJO19" s="64"/>
      <c r="HJP19" s="64"/>
      <c r="HJQ19" s="64"/>
      <c r="HJR19" s="64"/>
      <c r="HJS19" s="64"/>
      <c r="HJT19" s="64"/>
      <c r="HJU19" s="64"/>
      <c r="HJV19" s="64"/>
      <c r="HJW19" s="64"/>
      <c r="HJX19" s="64"/>
      <c r="HJY19" s="64"/>
      <c r="HJZ19" s="64"/>
      <c r="HKA19" s="64"/>
      <c r="HKB19" s="64"/>
      <c r="HKC19" s="64"/>
      <c r="HKD19" s="64"/>
      <c r="HKE19" s="64"/>
      <c r="HKF19" s="64"/>
      <c r="HKG19" s="64"/>
      <c r="HKH19" s="64"/>
      <c r="HKI19" s="64"/>
      <c r="HKJ19" s="64"/>
      <c r="HKK19" s="64"/>
      <c r="HKL19" s="64"/>
      <c r="HKM19" s="64"/>
      <c r="HKN19" s="64"/>
      <c r="HKO19" s="64"/>
      <c r="HKP19" s="64"/>
      <c r="HKQ19" s="64"/>
      <c r="HKR19" s="64"/>
      <c r="HKS19" s="64"/>
      <c r="HKT19" s="64"/>
      <c r="HKU19" s="64"/>
      <c r="HKV19" s="64"/>
      <c r="HKW19" s="64"/>
      <c r="HKX19" s="64"/>
      <c r="HKY19" s="64"/>
      <c r="HKZ19" s="64"/>
      <c r="HLA19" s="64"/>
      <c r="HLB19" s="64"/>
      <c r="HLC19" s="64"/>
      <c r="HLD19" s="64"/>
      <c r="HLE19" s="64"/>
      <c r="HLF19" s="64"/>
      <c r="HLG19" s="64"/>
      <c r="HLH19" s="64"/>
      <c r="HLI19" s="64"/>
      <c r="HLJ19" s="64"/>
      <c r="HLK19" s="64"/>
      <c r="HLL19" s="64"/>
      <c r="HLM19" s="64"/>
      <c r="HLN19" s="64"/>
      <c r="HLO19" s="64"/>
      <c r="HLP19" s="64"/>
      <c r="HLQ19" s="64"/>
      <c r="HLR19" s="64"/>
      <c r="HLS19" s="64"/>
      <c r="HLT19" s="64"/>
      <c r="HLU19" s="64"/>
      <c r="HLV19" s="64"/>
      <c r="HLW19" s="64"/>
      <c r="HLX19" s="64"/>
      <c r="HLY19" s="64"/>
      <c r="HLZ19" s="64"/>
      <c r="HMA19" s="64"/>
      <c r="HMB19" s="64"/>
      <c r="HMC19" s="64"/>
      <c r="HMD19" s="64"/>
      <c r="HME19" s="64"/>
      <c r="HMF19" s="64"/>
      <c r="HMG19" s="64"/>
      <c r="HMH19" s="64"/>
      <c r="HMI19" s="64"/>
      <c r="HMJ19" s="64"/>
      <c r="HMK19" s="64"/>
      <c r="HML19" s="64"/>
      <c r="HMM19" s="64"/>
      <c r="HMN19" s="64"/>
      <c r="HMO19" s="64"/>
      <c r="HMP19" s="64"/>
      <c r="HMQ19" s="64"/>
      <c r="HMR19" s="64"/>
      <c r="HMS19" s="64"/>
      <c r="HMT19" s="64"/>
      <c r="HMU19" s="64"/>
      <c r="HMV19" s="64"/>
      <c r="HMW19" s="64"/>
      <c r="HMX19" s="64"/>
      <c r="HMY19" s="64"/>
      <c r="HMZ19" s="64"/>
      <c r="HNA19" s="64"/>
      <c r="HNB19" s="64"/>
      <c r="HNC19" s="64"/>
      <c r="HND19" s="64"/>
      <c r="HNE19" s="64"/>
      <c r="HNF19" s="64"/>
      <c r="HNG19" s="64"/>
      <c r="HNH19" s="64"/>
      <c r="HNI19" s="64"/>
      <c r="HNJ19" s="64"/>
      <c r="HNK19" s="64"/>
      <c r="HNL19" s="64"/>
      <c r="HNM19" s="64"/>
      <c r="HNN19" s="64"/>
      <c r="HNO19" s="64"/>
      <c r="HNP19" s="64"/>
      <c r="HNQ19" s="64"/>
      <c r="HNR19" s="64"/>
      <c r="HNS19" s="64"/>
      <c r="HNT19" s="64"/>
      <c r="HNU19" s="64"/>
      <c r="HNV19" s="64"/>
      <c r="HNW19" s="64"/>
      <c r="HNX19" s="64"/>
      <c r="HNY19" s="64"/>
      <c r="HNZ19" s="64"/>
      <c r="HOA19" s="64"/>
      <c r="HOB19" s="64"/>
      <c r="HOC19" s="64"/>
      <c r="HOD19" s="64"/>
      <c r="HOE19" s="64"/>
      <c r="HOF19" s="64"/>
      <c r="HOG19" s="64"/>
      <c r="HOH19" s="64"/>
      <c r="HOI19" s="64"/>
      <c r="HOJ19" s="64"/>
      <c r="HOK19" s="64"/>
      <c r="HOL19" s="64"/>
      <c r="HOM19" s="64"/>
      <c r="HON19" s="64"/>
      <c r="HOO19" s="64"/>
      <c r="HOP19" s="64"/>
      <c r="HOQ19" s="64"/>
      <c r="HOR19" s="64"/>
      <c r="HOS19" s="64"/>
      <c r="HOT19" s="64"/>
      <c r="HOU19" s="64"/>
      <c r="HOV19" s="64"/>
      <c r="HOW19" s="64"/>
      <c r="HOX19" s="64"/>
      <c r="HOY19" s="64"/>
      <c r="HOZ19" s="64"/>
      <c r="HPA19" s="64"/>
      <c r="HPB19" s="64"/>
      <c r="HPC19" s="64"/>
      <c r="HPD19" s="64"/>
      <c r="HPE19" s="64"/>
      <c r="HPF19" s="64"/>
      <c r="HPG19" s="64"/>
      <c r="HPH19" s="64"/>
      <c r="HPI19" s="64"/>
      <c r="HPJ19" s="64"/>
      <c r="HPK19" s="64"/>
      <c r="HPL19" s="64"/>
      <c r="HPM19" s="64"/>
      <c r="HPN19" s="64"/>
      <c r="HPO19" s="64"/>
      <c r="HPP19" s="64"/>
      <c r="HPQ19" s="64"/>
      <c r="HPR19" s="64"/>
      <c r="HPS19" s="64"/>
      <c r="HPT19" s="64"/>
      <c r="HPU19" s="64"/>
      <c r="HPV19" s="64"/>
      <c r="HPW19" s="64"/>
      <c r="HPX19" s="64"/>
      <c r="HPY19" s="64"/>
      <c r="HPZ19" s="64"/>
      <c r="HQA19" s="64"/>
      <c r="HQB19" s="64"/>
      <c r="HQC19" s="64"/>
      <c r="HQD19" s="64"/>
      <c r="HQE19" s="64"/>
      <c r="HQF19" s="64"/>
      <c r="HQG19" s="64"/>
      <c r="HQH19" s="64"/>
      <c r="HQI19" s="64"/>
      <c r="HQJ19" s="64"/>
      <c r="HQK19" s="64"/>
      <c r="HQL19" s="64"/>
      <c r="HQM19" s="64"/>
      <c r="HQN19" s="64"/>
      <c r="HQO19" s="64"/>
      <c r="HQP19" s="64"/>
      <c r="HQQ19" s="64"/>
      <c r="HQR19" s="64"/>
      <c r="HQS19" s="64"/>
      <c r="HQT19" s="64"/>
      <c r="HQU19" s="64"/>
      <c r="HQV19" s="64"/>
      <c r="HQW19" s="64"/>
      <c r="HQX19" s="64"/>
      <c r="HQY19" s="64"/>
      <c r="HQZ19" s="64"/>
      <c r="HRA19" s="64"/>
      <c r="HRB19" s="64"/>
      <c r="HRC19" s="64"/>
      <c r="HRD19" s="64"/>
      <c r="HRE19" s="64"/>
      <c r="HRF19" s="64"/>
      <c r="HRG19" s="64"/>
      <c r="HRH19" s="64"/>
      <c r="HRI19" s="64"/>
      <c r="HRJ19" s="64"/>
      <c r="HRK19" s="64"/>
      <c r="HRL19" s="64"/>
      <c r="HRM19" s="64"/>
      <c r="HRN19" s="64"/>
      <c r="HRO19" s="64"/>
      <c r="HRP19" s="64"/>
      <c r="HRQ19" s="64"/>
      <c r="HRR19" s="64"/>
      <c r="HRS19" s="64"/>
      <c r="HRT19" s="64"/>
      <c r="HRU19" s="64"/>
      <c r="HRV19" s="64"/>
      <c r="HRW19" s="64"/>
      <c r="HRX19" s="64"/>
      <c r="HRY19" s="64"/>
      <c r="HRZ19" s="64"/>
      <c r="HSA19" s="64"/>
      <c r="HSB19" s="64"/>
      <c r="HSC19" s="64"/>
      <c r="HSD19" s="64"/>
      <c r="HSE19" s="64"/>
      <c r="HSF19" s="64"/>
      <c r="HSG19" s="64"/>
      <c r="HSH19" s="64"/>
      <c r="HSI19" s="64"/>
      <c r="HSJ19" s="64"/>
      <c r="HSK19" s="64"/>
      <c r="HSL19" s="64"/>
      <c r="HSM19" s="64"/>
      <c r="HSN19" s="64"/>
      <c r="HSO19" s="64"/>
      <c r="HSP19" s="64"/>
      <c r="HSQ19" s="64"/>
      <c r="HSR19" s="64"/>
      <c r="HSS19" s="64"/>
      <c r="HST19" s="64"/>
      <c r="HSU19" s="64"/>
      <c r="HSV19" s="64"/>
      <c r="HSW19" s="64"/>
      <c r="HSX19" s="64"/>
      <c r="HSY19" s="64"/>
      <c r="HSZ19" s="64"/>
      <c r="HTA19" s="64"/>
      <c r="HTB19" s="64"/>
      <c r="HTC19" s="64"/>
      <c r="HTD19" s="64"/>
      <c r="HTE19" s="64"/>
      <c r="HTF19" s="64"/>
      <c r="HTG19" s="64"/>
      <c r="HTH19" s="64"/>
      <c r="HTI19" s="64"/>
      <c r="HTJ19" s="64"/>
      <c r="HTK19" s="64"/>
      <c r="HTL19" s="64"/>
      <c r="HTM19" s="64"/>
      <c r="HTN19" s="64"/>
      <c r="HTO19" s="64"/>
      <c r="HTP19" s="64"/>
      <c r="HTQ19" s="64"/>
      <c r="HTR19" s="64"/>
      <c r="HTS19" s="64"/>
      <c r="HTT19" s="64"/>
      <c r="HTU19" s="64"/>
      <c r="HTV19" s="64"/>
      <c r="HTW19" s="64"/>
      <c r="HTX19" s="64"/>
      <c r="HTY19" s="64"/>
      <c r="HTZ19" s="64"/>
      <c r="HUA19" s="64"/>
      <c r="HUB19" s="64"/>
      <c r="HUC19" s="64"/>
      <c r="HUD19" s="64"/>
      <c r="HUE19" s="64"/>
      <c r="HUF19" s="64"/>
      <c r="HUG19" s="64"/>
      <c r="HUH19" s="64"/>
      <c r="HUI19" s="64"/>
      <c r="HUJ19" s="64"/>
      <c r="HUK19" s="64"/>
      <c r="HUL19" s="64"/>
      <c r="HUM19" s="64"/>
      <c r="HUN19" s="64"/>
      <c r="HUO19" s="64"/>
      <c r="HUP19" s="64"/>
      <c r="HUQ19" s="64"/>
      <c r="HUR19" s="64"/>
      <c r="HUS19" s="64"/>
      <c r="HUT19" s="64"/>
      <c r="HUU19" s="64"/>
      <c r="HUV19" s="64"/>
      <c r="HUW19" s="64"/>
      <c r="HUX19" s="64"/>
      <c r="HUY19" s="64"/>
      <c r="HUZ19" s="64"/>
      <c r="HVA19" s="64"/>
      <c r="HVB19" s="64"/>
      <c r="HVC19" s="64"/>
      <c r="HVD19" s="64"/>
      <c r="HVE19" s="64"/>
      <c r="HVF19" s="64"/>
      <c r="HVG19" s="64"/>
      <c r="HVH19" s="64"/>
      <c r="HVI19" s="64"/>
      <c r="HVJ19" s="64"/>
      <c r="HVK19" s="64"/>
      <c r="HVL19" s="64"/>
      <c r="HVM19" s="64"/>
      <c r="HVN19" s="64"/>
      <c r="HVO19" s="64"/>
      <c r="HVP19" s="64"/>
      <c r="HVQ19" s="64"/>
      <c r="HVR19" s="64"/>
      <c r="HVS19" s="64"/>
      <c r="HVT19" s="64"/>
      <c r="HVU19" s="64"/>
      <c r="HVV19" s="64"/>
      <c r="HVW19" s="64"/>
      <c r="HVX19" s="64"/>
      <c r="HVY19" s="64"/>
      <c r="HVZ19" s="64"/>
      <c r="HWA19" s="64"/>
      <c r="HWB19" s="64"/>
      <c r="HWC19" s="64"/>
      <c r="HWD19" s="64"/>
      <c r="HWE19" s="64"/>
      <c r="HWF19" s="64"/>
      <c r="HWG19" s="64"/>
      <c r="HWH19" s="64"/>
      <c r="HWI19" s="64"/>
      <c r="HWJ19" s="64"/>
      <c r="HWK19" s="64"/>
      <c r="HWL19" s="64"/>
      <c r="HWM19" s="64"/>
      <c r="HWN19" s="64"/>
      <c r="HWO19" s="64"/>
      <c r="HWP19" s="64"/>
      <c r="HWQ19" s="64"/>
      <c r="HWR19" s="64"/>
      <c r="HWS19" s="64"/>
      <c r="HWT19" s="64"/>
      <c r="HWU19" s="64"/>
      <c r="HWV19" s="64"/>
      <c r="HWW19" s="64"/>
      <c r="HWX19" s="64"/>
      <c r="HWY19" s="64"/>
      <c r="HWZ19" s="64"/>
      <c r="HXA19" s="64"/>
      <c r="HXB19" s="64"/>
      <c r="HXC19" s="64"/>
      <c r="HXD19" s="64"/>
      <c r="HXE19" s="64"/>
      <c r="HXF19" s="64"/>
      <c r="HXG19" s="64"/>
      <c r="HXH19" s="64"/>
      <c r="HXI19" s="64"/>
      <c r="HXJ19" s="64"/>
      <c r="HXK19" s="64"/>
      <c r="HXL19" s="64"/>
      <c r="HXM19" s="64"/>
      <c r="HXN19" s="64"/>
      <c r="HXO19" s="64"/>
      <c r="HXP19" s="64"/>
      <c r="HXQ19" s="64"/>
      <c r="HXR19" s="64"/>
      <c r="HXS19" s="64"/>
      <c r="HXT19" s="64"/>
      <c r="HXU19" s="64"/>
      <c r="HXV19" s="64"/>
      <c r="HXW19" s="64"/>
      <c r="HXX19" s="64"/>
      <c r="HXY19" s="64"/>
      <c r="HXZ19" s="64"/>
      <c r="HYA19" s="64"/>
      <c r="HYB19" s="64"/>
      <c r="HYC19" s="64"/>
      <c r="HYD19" s="64"/>
      <c r="HYE19" s="64"/>
      <c r="HYF19" s="64"/>
      <c r="HYG19" s="64"/>
      <c r="HYH19" s="64"/>
      <c r="HYI19" s="64"/>
      <c r="HYJ19" s="64"/>
      <c r="HYK19" s="64"/>
      <c r="HYL19" s="64"/>
      <c r="HYM19" s="64"/>
      <c r="HYN19" s="64"/>
      <c r="HYO19" s="64"/>
      <c r="HYP19" s="64"/>
      <c r="HYQ19" s="64"/>
      <c r="HYR19" s="64"/>
      <c r="HYS19" s="64"/>
      <c r="HYT19" s="64"/>
      <c r="HYU19" s="64"/>
      <c r="HYV19" s="64"/>
      <c r="HYW19" s="64"/>
      <c r="HYX19" s="64"/>
      <c r="HYY19" s="64"/>
      <c r="HYZ19" s="64"/>
      <c r="HZA19" s="64"/>
      <c r="HZB19" s="64"/>
      <c r="HZC19" s="64"/>
      <c r="HZD19" s="64"/>
      <c r="HZE19" s="64"/>
      <c r="HZF19" s="64"/>
      <c r="HZG19" s="64"/>
      <c r="HZH19" s="64"/>
      <c r="HZI19" s="64"/>
      <c r="HZJ19" s="64"/>
      <c r="HZK19" s="64"/>
      <c r="HZL19" s="64"/>
      <c r="HZM19" s="64"/>
      <c r="HZN19" s="64"/>
      <c r="HZO19" s="64"/>
      <c r="HZP19" s="64"/>
      <c r="HZQ19" s="64"/>
      <c r="HZR19" s="64"/>
      <c r="HZS19" s="64"/>
      <c r="HZT19" s="64"/>
      <c r="HZU19" s="64"/>
      <c r="HZV19" s="64"/>
      <c r="HZW19" s="64"/>
      <c r="HZX19" s="64"/>
      <c r="HZY19" s="64"/>
      <c r="HZZ19" s="64"/>
      <c r="IAA19" s="64"/>
      <c r="IAB19" s="64"/>
      <c r="IAC19" s="64"/>
      <c r="IAD19" s="64"/>
      <c r="IAE19" s="64"/>
      <c r="IAF19" s="64"/>
      <c r="IAG19" s="64"/>
      <c r="IAH19" s="64"/>
      <c r="IAI19" s="64"/>
      <c r="IAJ19" s="64"/>
      <c r="IAK19" s="64"/>
      <c r="IAL19" s="64"/>
      <c r="IAM19" s="64"/>
      <c r="IAN19" s="64"/>
      <c r="IAO19" s="64"/>
      <c r="IAP19" s="64"/>
      <c r="IAQ19" s="64"/>
      <c r="IAR19" s="64"/>
      <c r="IAS19" s="64"/>
      <c r="IAT19" s="64"/>
      <c r="IAU19" s="64"/>
      <c r="IAV19" s="64"/>
      <c r="IAW19" s="64"/>
      <c r="IAX19" s="64"/>
      <c r="IAY19" s="64"/>
      <c r="IAZ19" s="64"/>
      <c r="IBA19" s="64"/>
      <c r="IBB19" s="64"/>
      <c r="IBC19" s="64"/>
      <c r="IBD19" s="64"/>
      <c r="IBE19" s="64"/>
      <c r="IBF19" s="64"/>
      <c r="IBG19" s="64"/>
      <c r="IBH19" s="64"/>
      <c r="IBI19" s="64"/>
      <c r="IBJ19" s="64"/>
      <c r="IBK19" s="64"/>
      <c r="IBL19" s="64"/>
      <c r="IBM19" s="64"/>
      <c r="IBN19" s="64"/>
      <c r="IBO19" s="64"/>
      <c r="IBP19" s="64"/>
      <c r="IBQ19" s="64"/>
      <c r="IBR19" s="64"/>
      <c r="IBS19" s="64"/>
      <c r="IBT19" s="64"/>
      <c r="IBU19" s="64"/>
      <c r="IBV19" s="64"/>
      <c r="IBW19" s="64"/>
      <c r="IBX19" s="64"/>
      <c r="IBY19" s="64"/>
      <c r="IBZ19" s="64"/>
      <c r="ICA19" s="64"/>
      <c r="ICB19" s="64"/>
      <c r="ICC19" s="64"/>
      <c r="ICD19" s="64"/>
      <c r="ICE19" s="64"/>
      <c r="ICF19" s="64"/>
      <c r="ICG19" s="64"/>
      <c r="ICH19" s="64"/>
      <c r="ICI19" s="64"/>
      <c r="ICJ19" s="64"/>
      <c r="ICK19" s="64"/>
      <c r="ICL19" s="64"/>
      <c r="ICM19" s="64"/>
      <c r="ICN19" s="64"/>
      <c r="ICO19" s="64"/>
      <c r="ICP19" s="64"/>
      <c r="ICQ19" s="64"/>
      <c r="ICR19" s="64"/>
      <c r="ICS19" s="64"/>
      <c r="ICT19" s="64"/>
      <c r="ICU19" s="64"/>
      <c r="ICV19" s="64"/>
      <c r="ICW19" s="64"/>
      <c r="ICX19" s="64"/>
      <c r="ICY19" s="64"/>
      <c r="ICZ19" s="64"/>
      <c r="IDA19" s="64"/>
      <c r="IDB19" s="64"/>
      <c r="IDC19" s="64"/>
      <c r="IDD19" s="64"/>
      <c r="IDE19" s="64"/>
      <c r="IDF19" s="64"/>
      <c r="IDG19" s="64"/>
      <c r="IDH19" s="64"/>
      <c r="IDI19" s="64"/>
      <c r="IDJ19" s="64"/>
      <c r="IDK19" s="64"/>
      <c r="IDL19" s="64"/>
      <c r="IDM19" s="64"/>
      <c r="IDN19" s="64"/>
      <c r="IDO19" s="64"/>
      <c r="IDP19" s="64"/>
      <c r="IDQ19" s="64"/>
      <c r="IDR19" s="64"/>
      <c r="IDS19" s="64"/>
      <c r="IDT19" s="64"/>
      <c r="IDU19" s="64"/>
      <c r="IDV19" s="64"/>
      <c r="IDW19" s="64"/>
      <c r="IDX19" s="64"/>
      <c r="IDY19" s="64"/>
      <c r="IDZ19" s="64"/>
      <c r="IEA19" s="64"/>
      <c r="IEB19" s="64"/>
      <c r="IEC19" s="64"/>
      <c r="IED19" s="64"/>
      <c r="IEE19" s="64"/>
      <c r="IEF19" s="64"/>
      <c r="IEG19" s="64"/>
      <c r="IEH19" s="64"/>
      <c r="IEI19" s="64"/>
      <c r="IEJ19" s="64"/>
      <c r="IEK19" s="64"/>
      <c r="IEL19" s="64"/>
      <c r="IEM19" s="64"/>
      <c r="IEN19" s="64"/>
      <c r="IEO19" s="64"/>
      <c r="IEP19" s="64"/>
      <c r="IEQ19" s="64"/>
      <c r="IER19" s="64"/>
      <c r="IES19" s="64"/>
      <c r="IET19" s="64"/>
      <c r="IEU19" s="64"/>
      <c r="IEV19" s="64"/>
      <c r="IEW19" s="64"/>
      <c r="IEX19" s="64"/>
      <c r="IEY19" s="64"/>
      <c r="IEZ19" s="64"/>
      <c r="IFA19" s="64"/>
      <c r="IFB19" s="64"/>
      <c r="IFC19" s="64"/>
      <c r="IFD19" s="64"/>
      <c r="IFE19" s="64"/>
      <c r="IFF19" s="64"/>
      <c r="IFG19" s="64"/>
      <c r="IFH19" s="64"/>
      <c r="IFI19" s="64"/>
      <c r="IFJ19" s="64"/>
      <c r="IFK19" s="64"/>
      <c r="IFL19" s="64"/>
      <c r="IFM19" s="64"/>
      <c r="IFN19" s="64"/>
      <c r="IFO19" s="64"/>
      <c r="IFP19" s="64"/>
      <c r="IFQ19" s="64"/>
      <c r="IFR19" s="64"/>
      <c r="IFS19" s="64"/>
      <c r="IFT19" s="64"/>
      <c r="IFU19" s="64"/>
      <c r="IFV19" s="64"/>
      <c r="IFW19" s="64"/>
      <c r="IFX19" s="64"/>
      <c r="IFY19" s="64"/>
      <c r="IFZ19" s="64"/>
      <c r="IGA19" s="64"/>
      <c r="IGB19" s="64"/>
      <c r="IGC19" s="64"/>
      <c r="IGD19" s="64"/>
      <c r="IGE19" s="64"/>
      <c r="IGF19" s="64"/>
      <c r="IGG19" s="64"/>
      <c r="IGH19" s="64"/>
      <c r="IGI19" s="64"/>
      <c r="IGJ19" s="64"/>
      <c r="IGK19" s="64"/>
      <c r="IGL19" s="64"/>
      <c r="IGM19" s="64"/>
      <c r="IGN19" s="64"/>
      <c r="IGO19" s="64"/>
      <c r="IGP19" s="64"/>
      <c r="IGQ19" s="64"/>
      <c r="IGR19" s="64"/>
      <c r="IGS19" s="64"/>
      <c r="IGT19" s="64"/>
      <c r="IGU19" s="64"/>
      <c r="IGV19" s="64"/>
      <c r="IGW19" s="64"/>
      <c r="IGX19" s="64"/>
      <c r="IGY19" s="64"/>
      <c r="IGZ19" s="64"/>
      <c r="IHA19" s="64"/>
      <c r="IHB19" s="64"/>
      <c r="IHC19" s="64"/>
      <c r="IHD19" s="64"/>
      <c r="IHE19" s="64"/>
      <c r="IHF19" s="64"/>
      <c r="IHG19" s="64"/>
      <c r="IHH19" s="64"/>
      <c r="IHI19" s="64"/>
      <c r="IHJ19" s="64"/>
      <c r="IHK19" s="64"/>
      <c r="IHL19" s="64"/>
      <c r="IHM19" s="64"/>
      <c r="IHN19" s="64"/>
      <c r="IHO19" s="64"/>
      <c r="IHP19" s="64"/>
      <c r="IHQ19" s="64"/>
      <c r="IHR19" s="64"/>
      <c r="IHS19" s="64"/>
      <c r="IHT19" s="64"/>
      <c r="IHU19" s="64"/>
      <c r="IHV19" s="64"/>
      <c r="IHW19" s="64"/>
      <c r="IHX19" s="64"/>
      <c r="IHY19" s="64"/>
      <c r="IHZ19" s="64"/>
      <c r="IIA19" s="64"/>
      <c r="IIB19" s="64"/>
      <c r="IIC19" s="64"/>
      <c r="IID19" s="64"/>
      <c r="IIE19" s="64"/>
      <c r="IIF19" s="64"/>
      <c r="IIG19" s="64"/>
      <c r="IIH19" s="64"/>
      <c r="III19" s="64"/>
      <c r="IIJ19" s="64"/>
      <c r="IIK19" s="64"/>
      <c r="IIL19" s="64"/>
      <c r="IIM19" s="64"/>
      <c r="IIN19" s="64"/>
      <c r="IIO19" s="64"/>
      <c r="IIP19" s="64"/>
      <c r="IIQ19" s="64"/>
      <c r="IIR19" s="64"/>
      <c r="IIS19" s="64"/>
      <c r="IIT19" s="64"/>
      <c r="IIU19" s="64"/>
      <c r="IIV19" s="64"/>
      <c r="IIW19" s="64"/>
      <c r="IIX19" s="64"/>
      <c r="IIY19" s="64"/>
      <c r="IIZ19" s="64"/>
      <c r="IJA19" s="64"/>
      <c r="IJB19" s="64"/>
      <c r="IJC19" s="64"/>
      <c r="IJD19" s="64"/>
      <c r="IJE19" s="64"/>
      <c r="IJF19" s="64"/>
      <c r="IJG19" s="64"/>
      <c r="IJH19" s="64"/>
      <c r="IJI19" s="64"/>
      <c r="IJJ19" s="64"/>
      <c r="IJK19" s="64"/>
      <c r="IJL19" s="64"/>
      <c r="IJM19" s="64"/>
      <c r="IJN19" s="64"/>
      <c r="IJO19" s="64"/>
      <c r="IJP19" s="64"/>
      <c r="IJQ19" s="64"/>
      <c r="IJR19" s="64"/>
      <c r="IJS19" s="64"/>
      <c r="IJT19" s="64"/>
      <c r="IJU19" s="64"/>
      <c r="IJV19" s="64"/>
      <c r="IJW19" s="64"/>
      <c r="IJX19" s="64"/>
      <c r="IJY19" s="64"/>
      <c r="IJZ19" s="64"/>
      <c r="IKA19" s="64"/>
      <c r="IKB19" s="64"/>
      <c r="IKC19" s="64"/>
      <c r="IKD19" s="64"/>
      <c r="IKE19" s="64"/>
      <c r="IKF19" s="64"/>
      <c r="IKG19" s="64"/>
      <c r="IKH19" s="64"/>
      <c r="IKI19" s="64"/>
      <c r="IKJ19" s="64"/>
      <c r="IKK19" s="64"/>
      <c r="IKL19" s="64"/>
      <c r="IKM19" s="64"/>
      <c r="IKN19" s="64"/>
      <c r="IKO19" s="64"/>
      <c r="IKP19" s="64"/>
      <c r="IKQ19" s="64"/>
      <c r="IKR19" s="64"/>
      <c r="IKS19" s="64"/>
      <c r="IKT19" s="64"/>
      <c r="IKU19" s="64"/>
      <c r="IKV19" s="64"/>
      <c r="IKW19" s="64"/>
      <c r="IKX19" s="64"/>
      <c r="IKY19" s="64"/>
      <c r="IKZ19" s="64"/>
      <c r="ILA19" s="64"/>
      <c r="ILB19" s="64"/>
      <c r="ILC19" s="64"/>
      <c r="ILD19" s="64"/>
      <c r="ILE19" s="64"/>
      <c r="ILF19" s="64"/>
      <c r="ILG19" s="64"/>
      <c r="ILH19" s="64"/>
      <c r="ILI19" s="64"/>
      <c r="ILJ19" s="64"/>
      <c r="ILK19" s="64"/>
      <c r="ILL19" s="64"/>
      <c r="ILM19" s="64"/>
      <c r="ILN19" s="64"/>
      <c r="ILO19" s="64"/>
      <c r="ILP19" s="64"/>
      <c r="ILQ19" s="64"/>
      <c r="ILR19" s="64"/>
      <c r="ILS19" s="64"/>
      <c r="ILT19" s="64"/>
      <c r="ILU19" s="64"/>
      <c r="ILV19" s="64"/>
      <c r="ILW19" s="64"/>
      <c r="ILX19" s="64"/>
      <c r="ILY19" s="64"/>
      <c r="ILZ19" s="64"/>
      <c r="IMA19" s="64"/>
      <c r="IMB19" s="64"/>
      <c r="IMC19" s="64"/>
      <c r="IMD19" s="64"/>
      <c r="IME19" s="64"/>
      <c r="IMF19" s="64"/>
      <c r="IMG19" s="64"/>
      <c r="IMH19" s="64"/>
      <c r="IMI19" s="64"/>
      <c r="IMJ19" s="64"/>
      <c r="IMK19" s="64"/>
      <c r="IML19" s="64"/>
      <c r="IMM19" s="64"/>
      <c r="IMN19" s="64"/>
      <c r="IMO19" s="64"/>
      <c r="IMP19" s="64"/>
      <c r="IMQ19" s="64"/>
      <c r="IMR19" s="64"/>
      <c r="IMS19" s="64"/>
      <c r="IMT19" s="64"/>
      <c r="IMU19" s="64"/>
      <c r="IMV19" s="64"/>
      <c r="IMW19" s="64"/>
      <c r="IMX19" s="64"/>
      <c r="IMY19" s="64"/>
      <c r="IMZ19" s="64"/>
      <c r="INA19" s="64"/>
      <c r="INB19" s="64"/>
      <c r="INC19" s="64"/>
      <c r="IND19" s="64"/>
      <c r="INE19" s="64"/>
      <c r="INF19" s="64"/>
      <c r="ING19" s="64"/>
      <c r="INH19" s="64"/>
      <c r="INI19" s="64"/>
      <c r="INJ19" s="64"/>
      <c r="INK19" s="64"/>
      <c r="INL19" s="64"/>
      <c r="INM19" s="64"/>
      <c r="INN19" s="64"/>
      <c r="INO19" s="64"/>
      <c r="INP19" s="64"/>
      <c r="INQ19" s="64"/>
      <c r="INR19" s="64"/>
      <c r="INS19" s="64"/>
      <c r="INT19" s="64"/>
      <c r="INU19" s="64"/>
      <c r="INV19" s="64"/>
      <c r="INW19" s="64"/>
      <c r="INX19" s="64"/>
      <c r="INY19" s="64"/>
      <c r="INZ19" s="64"/>
      <c r="IOA19" s="64"/>
      <c r="IOB19" s="64"/>
      <c r="IOC19" s="64"/>
      <c r="IOD19" s="64"/>
      <c r="IOE19" s="64"/>
      <c r="IOF19" s="64"/>
      <c r="IOG19" s="64"/>
      <c r="IOH19" s="64"/>
      <c r="IOI19" s="64"/>
      <c r="IOJ19" s="64"/>
      <c r="IOK19" s="64"/>
      <c r="IOL19" s="64"/>
      <c r="IOM19" s="64"/>
      <c r="ION19" s="64"/>
      <c r="IOO19" s="64"/>
      <c r="IOP19" s="64"/>
      <c r="IOQ19" s="64"/>
      <c r="IOR19" s="64"/>
      <c r="IOS19" s="64"/>
      <c r="IOT19" s="64"/>
      <c r="IOU19" s="64"/>
      <c r="IOV19" s="64"/>
      <c r="IOW19" s="64"/>
      <c r="IOX19" s="64"/>
      <c r="IOY19" s="64"/>
      <c r="IOZ19" s="64"/>
      <c r="IPA19" s="64"/>
      <c r="IPB19" s="64"/>
      <c r="IPC19" s="64"/>
      <c r="IPD19" s="64"/>
      <c r="IPE19" s="64"/>
      <c r="IPF19" s="64"/>
      <c r="IPG19" s="64"/>
      <c r="IPH19" s="64"/>
      <c r="IPI19" s="64"/>
      <c r="IPJ19" s="64"/>
      <c r="IPK19" s="64"/>
      <c r="IPL19" s="64"/>
      <c r="IPM19" s="64"/>
      <c r="IPN19" s="64"/>
      <c r="IPO19" s="64"/>
      <c r="IPP19" s="64"/>
      <c r="IPQ19" s="64"/>
      <c r="IPR19" s="64"/>
      <c r="IPS19" s="64"/>
      <c r="IPT19" s="64"/>
      <c r="IPU19" s="64"/>
      <c r="IPV19" s="64"/>
      <c r="IPW19" s="64"/>
      <c r="IPX19" s="64"/>
      <c r="IPY19" s="64"/>
      <c r="IPZ19" s="64"/>
      <c r="IQA19" s="64"/>
      <c r="IQB19" s="64"/>
      <c r="IQC19" s="64"/>
      <c r="IQD19" s="64"/>
      <c r="IQE19" s="64"/>
      <c r="IQF19" s="64"/>
      <c r="IQG19" s="64"/>
      <c r="IQH19" s="64"/>
      <c r="IQI19" s="64"/>
      <c r="IQJ19" s="64"/>
      <c r="IQK19" s="64"/>
      <c r="IQL19" s="64"/>
      <c r="IQM19" s="64"/>
      <c r="IQN19" s="64"/>
      <c r="IQO19" s="64"/>
      <c r="IQP19" s="64"/>
      <c r="IQQ19" s="64"/>
      <c r="IQR19" s="64"/>
      <c r="IQS19" s="64"/>
      <c r="IQT19" s="64"/>
      <c r="IQU19" s="64"/>
      <c r="IQV19" s="64"/>
      <c r="IQW19" s="64"/>
      <c r="IQX19" s="64"/>
      <c r="IQY19" s="64"/>
      <c r="IQZ19" s="64"/>
      <c r="IRA19" s="64"/>
      <c r="IRB19" s="64"/>
      <c r="IRC19" s="64"/>
      <c r="IRD19" s="64"/>
      <c r="IRE19" s="64"/>
      <c r="IRF19" s="64"/>
      <c r="IRG19" s="64"/>
      <c r="IRH19" s="64"/>
      <c r="IRI19" s="64"/>
      <c r="IRJ19" s="64"/>
      <c r="IRK19" s="64"/>
      <c r="IRL19" s="64"/>
      <c r="IRM19" s="64"/>
      <c r="IRN19" s="64"/>
      <c r="IRO19" s="64"/>
      <c r="IRP19" s="64"/>
      <c r="IRQ19" s="64"/>
      <c r="IRR19" s="64"/>
      <c r="IRS19" s="64"/>
      <c r="IRT19" s="64"/>
      <c r="IRU19" s="64"/>
      <c r="IRV19" s="64"/>
      <c r="IRW19" s="64"/>
      <c r="IRX19" s="64"/>
      <c r="IRY19" s="64"/>
      <c r="IRZ19" s="64"/>
      <c r="ISA19" s="64"/>
      <c r="ISB19" s="64"/>
      <c r="ISC19" s="64"/>
      <c r="ISD19" s="64"/>
      <c r="ISE19" s="64"/>
      <c r="ISF19" s="64"/>
      <c r="ISG19" s="64"/>
      <c r="ISH19" s="64"/>
      <c r="ISI19" s="64"/>
      <c r="ISJ19" s="64"/>
      <c r="ISK19" s="64"/>
      <c r="ISL19" s="64"/>
      <c r="ISM19" s="64"/>
      <c r="ISN19" s="64"/>
      <c r="ISO19" s="64"/>
      <c r="ISP19" s="64"/>
      <c r="ISQ19" s="64"/>
      <c r="ISR19" s="64"/>
      <c r="ISS19" s="64"/>
      <c r="IST19" s="64"/>
      <c r="ISU19" s="64"/>
      <c r="ISV19" s="64"/>
      <c r="ISW19" s="64"/>
      <c r="ISX19" s="64"/>
      <c r="ISY19" s="64"/>
      <c r="ISZ19" s="64"/>
      <c r="ITA19" s="64"/>
      <c r="ITB19" s="64"/>
      <c r="ITC19" s="64"/>
      <c r="ITD19" s="64"/>
      <c r="ITE19" s="64"/>
      <c r="ITF19" s="64"/>
      <c r="ITG19" s="64"/>
      <c r="ITH19" s="64"/>
      <c r="ITI19" s="64"/>
      <c r="ITJ19" s="64"/>
      <c r="ITK19" s="64"/>
      <c r="ITL19" s="64"/>
      <c r="ITM19" s="64"/>
      <c r="ITN19" s="64"/>
      <c r="ITO19" s="64"/>
      <c r="ITP19" s="64"/>
      <c r="ITQ19" s="64"/>
      <c r="ITR19" s="64"/>
      <c r="ITS19" s="64"/>
      <c r="ITT19" s="64"/>
      <c r="ITU19" s="64"/>
      <c r="ITV19" s="64"/>
      <c r="ITW19" s="64"/>
      <c r="ITX19" s="64"/>
      <c r="ITY19" s="64"/>
      <c r="ITZ19" s="64"/>
      <c r="IUA19" s="64"/>
      <c r="IUB19" s="64"/>
      <c r="IUC19" s="64"/>
      <c r="IUD19" s="64"/>
      <c r="IUE19" s="64"/>
      <c r="IUF19" s="64"/>
      <c r="IUG19" s="64"/>
      <c r="IUH19" s="64"/>
      <c r="IUI19" s="64"/>
      <c r="IUJ19" s="64"/>
      <c r="IUK19" s="64"/>
      <c r="IUL19" s="64"/>
      <c r="IUM19" s="64"/>
      <c r="IUN19" s="64"/>
      <c r="IUO19" s="64"/>
      <c r="IUP19" s="64"/>
      <c r="IUQ19" s="64"/>
      <c r="IUR19" s="64"/>
      <c r="IUS19" s="64"/>
      <c r="IUT19" s="64"/>
      <c r="IUU19" s="64"/>
      <c r="IUV19" s="64"/>
      <c r="IUW19" s="64"/>
      <c r="IUX19" s="64"/>
      <c r="IUY19" s="64"/>
      <c r="IUZ19" s="64"/>
      <c r="IVA19" s="64"/>
      <c r="IVB19" s="64"/>
      <c r="IVC19" s="64"/>
      <c r="IVD19" s="64"/>
      <c r="IVE19" s="64"/>
      <c r="IVF19" s="64"/>
      <c r="IVG19" s="64"/>
      <c r="IVH19" s="64"/>
      <c r="IVI19" s="64"/>
      <c r="IVJ19" s="64"/>
      <c r="IVK19" s="64"/>
      <c r="IVL19" s="64"/>
      <c r="IVM19" s="64"/>
      <c r="IVN19" s="64"/>
      <c r="IVO19" s="64"/>
      <c r="IVP19" s="64"/>
      <c r="IVQ19" s="64"/>
      <c r="IVR19" s="64"/>
      <c r="IVS19" s="64"/>
      <c r="IVT19" s="64"/>
      <c r="IVU19" s="64"/>
      <c r="IVV19" s="64"/>
      <c r="IVW19" s="64"/>
      <c r="IVX19" s="64"/>
      <c r="IVY19" s="64"/>
      <c r="IVZ19" s="64"/>
      <c r="IWA19" s="64"/>
      <c r="IWB19" s="64"/>
      <c r="IWC19" s="64"/>
      <c r="IWD19" s="64"/>
      <c r="IWE19" s="64"/>
      <c r="IWF19" s="64"/>
      <c r="IWG19" s="64"/>
      <c r="IWH19" s="64"/>
      <c r="IWI19" s="64"/>
      <c r="IWJ19" s="64"/>
      <c r="IWK19" s="64"/>
      <c r="IWL19" s="64"/>
      <c r="IWM19" s="64"/>
      <c r="IWN19" s="64"/>
      <c r="IWO19" s="64"/>
      <c r="IWP19" s="64"/>
      <c r="IWQ19" s="64"/>
      <c r="IWR19" s="64"/>
      <c r="IWS19" s="64"/>
      <c r="IWT19" s="64"/>
      <c r="IWU19" s="64"/>
      <c r="IWV19" s="64"/>
      <c r="IWW19" s="64"/>
      <c r="IWX19" s="64"/>
      <c r="IWY19" s="64"/>
      <c r="IWZ19" s="64"/>
      <c r="IXA19" s="64"/>
      <c r="IXB19" s="64"/>
      <c r="IXC19" s="64"/>
      <c r="IXD19" s="64"/>
      <c r="IXE19" s="64"/>
      <c r="IXF19" s="64"/>
      <c r="IXG19" s="64"/>
      <c r="IXH19" s="64"/>
      <c r="IXI19" s="64"/>
      <c r="IXJ19" s="64"/>
      <c r="IXK19" s="64"/>
      <c r="IXL19" s="64"/>
      <c r="IXM19" s="64"/>
      <c r="IXN19" s="64"/>
      <c r="IXO19" s="64"/>
      <c r="IXP19" s="64"/>
      <c r="IXQ19" s="64"/>
      <c r="IXR19" s="64"/>
      <c r="IXS19" s="64"/>
      <c r="IXT19" s="64"/>
      <c r="IXU19" s="64"/>
      <c r="IXV19" s="64"/>
      <c r="IXW19" s="64"/>
      <c r="IXX19" s="64"/>
      <c r="IXY19" s="64"/>
      <c r="IXZ19" s="64"/>
      <c r="IYA19" s="64"/>
      <c r="IYB19" s="64"/>
      <c r="IYC19" s="64"/>
      <c r="IYD19" s="64"/>
      <c r="IYE19" s="64"/>
      <c r="IYF19" s="64"/>
      <c r="IYG19" s="64"/>
      <c r="IYH19" s="64"/>
      <c r="IYI19" s="64"/>
      <c r="IYJ19" s="64"/>
      <c r="IYK19" s="64"/>
      <c r="IYL19" s="64"/>
      <c r="IYM19" s="64"/>
      <c r="IYN19" s="64"/>
      <c r="IYO19" s="64"/>
      <c r="IYP19" s="64"/>
      <c r="IYQ19" s="64"/>
      <c r="IYR19" s="64"/>
      <c r="IYS19" s="64"/>
      <c r="IYT19" s="64"/>
      <c r="IYU19" s="64"/>
      <c r="IYV19" s="64"/>
      <c r="IYW19" s="64"/>
      <c r="IYX19" s="64"/>
      <c r="IYY19" s="64"/>
      <c r="IYZ19" s="64"/>
      <c r="IZA19" s="64"/>
      <c r="IZB19" s="64"/>
      <c r="IZC19" s="64"/>
      <c r="IZD19" s="64"/>
      <c r="IZE19" s="64"/>
      <c r="IZF19" s="64"/>
      <c r="IZG19" s="64"/>
      <c r="IZH19" s="64"/>
      <c r="IZI19" s="64"/>
      <c r="IZJ19" s="64"/>
      <c r="IZK19" s="64"/>
      <c r="IZL19" s="64"/>
      <c r="IZM19" s="64"/>
      <c r="IZN19" s="64"/>
      <c r="IZO19" s="64"/>
      <c r="IZP19" s="64"/>
      <c r="IZQ19" s="64"/>
      <c r="IZR19" s="64"/>
      <c r="IZS19" s="64"/>
      <c r="IZT19" s="64"/>
      <c r="IZU19" s="64"/>
      <c r="IZV19" s="64"/>
      <c r="IZW19" s="64"/>
      <c r="IZX19" s="64"/>
      <c r="IZY19" s="64"/>
      <c r="IZZ19" s="64"/>
      <c r="JAA19" s="64"/>
      <c r="JAB19" s="64"/>
      <c r="JAC19" s="64"/>
      <c r="JAD19" s="64"/>
      <c r="JAE19" s="64"/>
      <c r="JAF19" s="64"/>
      <c r="JAG19" s="64"/>
      <c r="JAH19" s="64"/>
      <c r="JAI19" s="64"/>
      <c r="JAJ19" s="64"/>
      <c r="JAK19" s="64"/>
      <c r="JAL19" s="64"/>
      <c r="JAM19" s="64"/>
      <c r="JAN19" s="64"/>
      <c r="JAO19" s="64"/>
      <c r="JAP19" s="64"/>
      <c r="JAQ19" s="64"/>
      <c r="JAR19" s="64"/>
      <c r="JAS19" s="64"/>
      <c r="JAT19" s="64"/>
      <c r="JAU19" s="64"/>
      <c r="JAV19" s="64"/>
      <c r="JAW19" s="64"/>
      <c r="JAX19" s="64"/>
      <c r="JAY19" s="64"/>
      <c r="JAZ19" s="64"/>
      <c r="JBA19" s="64"/>
      <c r="JBB19" s="64"/>
      <c r="JBC19" s="64"/>
      <c r="JBD19" s="64"/>
      <c r="JBE19" s="64"/>
      <c r="JBF19" s="64"/>
      <c r="JBG19" s="64"/>
      <c r="JBH19" s="64"/>
      <c r="JBI19" s="64"/>
      <c r="JBJ19" s="64"/>
      <c r="JBK19" s="64"/>
      <c r="JBL19" s="64"/>
      <c r="JBM19" s="64"/>
      <c r="JBN19" s="64"/>
      <c r="JBO19" s="64"/>
      <c r="JBP19" s="64"/>
      <c r="JBQ19" s="64"/>
      <c r="JBR19" s="64"/>
      <c r="JBS19" s="64"/>
      <c r="JBT19" s="64"/>
      <c r="JBU19" s="64"/>
      <c r="JBV19" s="64"/>
      <c r="JBW19" s="64"/>
      <c r="JBX19" s="64"/>
      <c r="JBY19" s="64"/>
      <c r="JBZ19" s="64"/>
      <c r="JCA19" s="64"/>
      <c r="JCB19" s="64"/>
      <c r="JCC19" s="64"/>
      <c r="JCD19" s="64"/>
      <c r="JCE19" s="64"/>
      <c r="JCF19" s="64"/>
      <c r="JCG19" s="64"/>
      <c r="JCH19" s="64"/>
      <c r="JCI19" s="64"/>
      <c r="JCJ19" s="64"/>
      <c r="JCK19" s="64"/>
      <c r="JCL19" s="64"/>
      <c r="JCM19" s="64"/>
      <c r="JCN19" s="64"/>
      <c r="JCO19" s="64"/>
      <c r="JCP19" s="64"/>
      <c r="JCQ19" s="64"/>
      <c r="JCR19" s="64"/>
      <c r="JCS19" s="64"/>
      <c r="JCT19" s="64"/>
      <c r="JCU19" s="64"/>
      <c r="JCV19" s="64"/>
      <c r="JCW19" s="64"/>
      <c r="JCX19" s="64"/>
      <c r="JCY19" s="64"/>
      <c r="JCZ19" s="64"/>
      <c r="JDA19" s="64"/>
      <c r="JDB19" s="64"/>
      <c r="JDC19" s="64"/>
      <c r="JDD19" s="64"/>
      <c r="JDE19" s="64"/>
      <c r="JDF19" s="64"/>
      <c r="JDG19" s="64"/>
      <c r="JDH19" s="64"/>
      <c r="JDI19" s="64"/>
      <c r="JDJ19" s="64"/>
      <c r="JDK19" s="64"/>
      <c r="JDL19" s="64"/>
      <c r="JDM19" s="64"/>
      <c r="JDN19" s="64"/>
      <c r="JDO19" s="64"/>
      <c r="JDP19" s="64"/>
      <c r="JDQ19" s="64"/>
      <c r="JDR19" s="64"/>
      <c r="JDS19" s="64"/>
      <c r="JDT19" s="64"/>
      <c r="JDU19" s="64"/>
      <c r="JDV19" s="64"/>
      <c r="JDW19" s="64"/>
      <c r="JDX19" s="64"/>
      <c r="JDY19" s="64"/>
      <c r="JDZ19" s="64"/>
      <c r="JEA19" s="64"/>
      <c r="JEB19" s="64"/>
      <c r="JEC19" s="64"/>
      <c r="JED19" s="64"/>
      <c r="JEE19" s="64"/>
      <c r="JEF19" s="64"/>
      <c r="JEG19" s="64"/>
      <c r="JEH19" s="64"/>
      <c r="JEI19" s="64"/>
      <c r="JEJ19" s="64"/>
      <c r="JEK19" s="64"/>
      <c r="JEL19" s="64"/>
      <c r="JEM19" s="64"/>
      <c r="JEN19" s="64"/>
      <c r="JEO19" s="64"/>
      <c r="JEP19" s="64"/>
      <c r="JEQ19" s="64"/>
      <c r="JER19" s="64"/>
      <c r="JES19" s="64"/>
      <c r="JET19" s="64"/>
      <c r="JEU19" s="64"/>
      <c r="JEV19" s="64"/>
      <c r="JEW19" s="64"/>
      <c r="JEX19" s="64"/>
      <c r="JEY19" s="64"/>
      <c r="JEZ19" s="64"/>
      <c r="JFA19" s="64"/>
      <c r="JFB19" s="64"/>
      <c r="JFC19" s="64"/>
      <c r="JFD19" s="64"/>
      <c r="JFE19" s="64"/>
      <c r="JFF19" s="64"/>
      <c r="JFG19" s="64"/>
      <c r="JFH19" s="64"/>
      <c r="JFI19" s="64"/>
      <c r="JFJ19" s="64"/>
      <c r="JFK19" s="64"/>
      <c r="JFL19" s="64"/>
      <c r="JFM19" s="64"/>
      <c r="JFN19" s="64"/>
      <c r="JFO19" s="64"/>
      <c r="JFP19" s="64"/>
      <c r="JFQ19" s="64"/>
      <c r="JFR19" s="64"/>
      <c r="JFS19" s="64"/>
      <c r="JFT19" s="64"/>
      <c r="JFU19" s="64"/>
      <c r="JFV19" s="64"/>
      <c r="JFW19" s="64"/>
      <c r="JFX19" s="64"/>
      <c r="JFY19" s="64"/>
      <c r="JFZ19" s="64"/>
      <c r="JGA19" s="64"/>
      <c r="JGB19" s="64"/>
      <c r="JGC19" s="64"/>
      <c r="JGD19" s="64"/>
      <c r="JGE19" s="64"/>
      <c r="JGF19" s="64"/>
      <c r="JGG19" s="64"/>
      <c r="JGH19" s="64"/>
      <c r="JGI19" s="64"/>
      <c r="JGJ19" s="64"/>
      <c r="JGK19" s="64"/>
      <c r="JGL19" s="64"/>
      <c r="JGM19" s="64"/>
      <c r="JGN19" s="64"/>
      <c r="JGO19" s="64"/>
      <c r="JGP19" s="64"/>
      <c r="JGQ19" s="64"/>
      <c r="JGR19" s="64"/>
      <c r="JGS19" s="64"/>
      <c r="JGT19" s="64"/>
      <c r="JGU19" s="64"/>
      <c r="JGV19" s="64"/>
      <c r="JGW19" s="64"/>
      <c r="JGX19" s="64"/>
      <c r="JGY19" s="64"/>
      <c r="JGZ19" s="64"/>
      <c r="JHA19" s="64"/>
      <c r="JHB19" s="64"/>
      <c r="JHC19" s="64"/>
      <c r="JHD19" s="64"/>
      <c r="JHE19" s="64"/>
      <c r="JHF19" s="64"/>
      <c r="JHG19" s="64"/>
      <c r="JHH19" s="64"/>
      <c r="JHI19" s="64"/>
      <c r="JHJ19" s="64"/>
      <c r="JHK19" s="64"/>
      <c r="JHL19" s="64"/>
      <c r="JHM19" s="64"/>
      <c r="JHN19" s="64"/>
      <c r="JHO19" s="64"/>
      <c r="JHP19" s="64"/>
      <c r="JHQ19" s="64"/>
      <c r="JHR19" s="64"/>
      <c r="JHS19" s="64"/>
      <c r="JHT19" s="64"/>
      <c r="JHU19" s="64"/>
      <c r="JHV19" s="64"/>
      <c r="JHW19" s="64"/>
      <c r="JHX19" s="64"/>
      <c r="JHY19" s="64"/>
      <c r="JHZ19" s="64"/>
      <c r="JIA19" s="64"/>
      <c r="JIB19" s="64"/>
      <c r="JIC19" s="64"/>
      <c r="JID19" s="64"/>
      <c r="JIE19" s="64"/>
      <c r="JIF19" s="64"/>
      <c r="JIG19" s="64"/>
      <c r="JIH19" s="64"/>
      <c r="JII19" s="64"/>
      <c r="JIJ19" s="64"/>
      <c r="JIK19" s="64"/>
      <c r="JIL19" s="64"/>
      <c r="JIM19" s="64"/>
      <c r="JIN19" s="64"/>
      <c r="JIO19" s="64"/>
      <c r="JIP19" s="64"/>
      <c r="JIQ19" s="64"/>
      <c r="JIR19" s="64"/>
      <c r="JIS19" s="64"/>
      <c r="JIT19" s="64"/>
      <c r="JIU19" s="64"/>
      <c r="JIV19" s="64"/>
      <c r="JIW19" s="64"/>
      <c r="JIX19" s="64"/>
      <c r="JIY19" s="64"/>
      <c r="JIZ19" s="64"/>
      <c r="JJA19" s="64"/>
      <c r="JJB19" s="64"/>
      <c r="JJC19" s="64"/>
      <c r="JJD19" s="64"/>
      <c r="JJE19" s="64"/>
      <c r="JJF19" s="64"/>
      <c r="JJG19" s="64"/>
      <c r="JJH19" s="64"/>
      <c r="JJI19" s="64"/>
      <c r="JJJ19" s="64"/>
      <c r="JJK19" s="64"/>
      <c r="JJL19" s="64"/>
      <c r="JJM19" s="64"/>
      <c r="JJN19" s="64"/>
      <c r="JJO19" s="64"/>
      <c r="JJP19" s="64"/>
      <c r="JJQ19" s="64"/>
      <c r="JJR19" s="64"/>
      <c r="JJS19" s="64"/>
      <c r="JJT19" s="64"/>
      <c r="JJU19" s="64"/>
      <c r="JJV19" s="64"/>
      <c r="JJW19" s="64"/>
      <c r="JJX19" s="64"/>
      <c r="JJY19" s="64"/>
      <c r="JJZ19" s="64"/>
      <c r="JKA19" s="64"/>
      <c r="JKB19" s="64"/>
      <c r="JKC19" s="64"/>
      <c r="JKD19" s="64"/>
      <c r="JKE19" s="64"/>
      <c r="JKF19" s="64"/>
      <c r="JKG19" s="64"/>
      <c r="JKH19" s="64"/>
      <c r="JKI19" s="64"/>
      <c r="JKJ19" s="64"/>
      <c r="JKK19" s="64"/>
      <c r="JKL19" s="64"/>
      <c r="JKM19" s="64"/>
      <c r="JKN19" s="64"/>
      <c r="JKO19" s="64"/>
      <c r="JKP19" s="64"/>
      <c r="JKQ19" s="64"/>
      <c r="JKR19" s="64"/>
      <c r="JKS19" s="64"/>
      <c r="JKT19" s="64"/>
      <c r="JKU19" s="64"/>
      <c r="JKV19" s="64"/>
      <c r="JKW19" s="64"/>
      <c r="JKX19" s="64"/>
      <c r="JKY19" s="64"/>
      <c r="JKZ19" s="64"/>
      <c r="JLA19" s="64"/>
      <c r="JLB19" s="64"/>
      <c r="JLC19" s="64"/>
      <c r="JLD19" s="64"/>
      <c r="JLE19" s="64"/>
      <c r="JLF19" s="64"/>
      <c r="JLG19" s="64"/>
      <c r="JLH19" s="64"/>
      <c r="JLI19" s="64"/>
      <c r="JLJ19" s="64"/>
      <c r="JLK19" s="64"/>
      <c r="JLL19" s="64"/>
      <c r="JLM19" s="64"/>
      <c r="JLN19" s="64"/>
      <c r="JLO19" s="64"/>
      <c r="JLP19" s="64"/>
      <c r="JLQ19" s="64"/>
      <c r="JLR19" s="64"/>
      <c r="JLS19" s="64"/>
      <c r="JLT19" s="64"/>
      <c r="JLU19" s="64"/>
      <c r="JLV19" s="64"/>
      <c r="JLW19" s="64"/>
      <c r="JLX19" s="64"/>
      <c r="JLY19" s="64"/>
      <c r="JLZ19" s="64"/>
      <c r="JMA19" s="64"/>
      <c r="JMB19" s="64"/>
      <c r="JMC19" s="64"/>
      <c r="JMD19" s="64"/>
      <c r="JME19" s="64"/>
      <c r="JMF19" s="64"/>
      <c r="JMG19" s="64"/>
      <c r="JMH19" s="64"/>
      <c r="JMI19" s="64"/>
      <c r="JMJ19" s="64"/>
      <c r="JMK19" s="64"/>
      <c r="JML19" s="64"/>
      <c r="JMM19" s="64"/>
      <c r="JMN19" s="64"/>
      <c r="JMO19" s="64"/>
      <c r="JMP19" s="64"/>
      <c r="JMQ19" s="64"/>
      <c r="JMR19" s="64"/>
      <c r="JMS19" s="64"/>
      <c r="JMT19" s="64"/>
      <c r="JMU19" s="64"/>
      <c r="JMV19" s="64"/>
      <c r="JMW19" s="64"/>
      <c r="JMX19" s="64"/>
      <c r="JMY19" s="64"/>
      <c r="JMZ19" s="64"/>
      <c r="JNA19" s="64"/>
      <c r="JNB19" s="64"/>
      <c r="JNC19" s="64"/>
      <c r="JND19" s="64"/>
      <c r="JNE19" s="64"/>
      <c r="JNF19" s="64"/>
      <c r="JNG19" s="64"/>
      <c r="JNH19" s="64"/>
      <c r="JNI19" s="64"/>
      <c r="JNJ19" s="64"/>
      <c r="JNK19" s="64"/>
      <c r="JNL19" s="64"/>
      <c r="JNM19" s="64"/>
      <c r="JNN19" s="64"/>
      <c r="JNO19" s="64"/>
      <c r="JNP19" s="64"/>
      <c r="JNQ19" s="64"/>
      <c r="JNR19" s="64"/>
      <c r="JNS19" s="64"/>
      <c r="JNT19" s="64"/>
      <c r="JNU19" s="64"/>
      <c r="JNV19" s="64"/>
      <c r="JNW19" s="64"/>
      <c r="JNX19" s="64"/>
      <c r="JNY19" s="64"/>
      <c r="JNZ19" s="64"/>
      <c r="JOA19" s="64"/>
      <c r="JOB19" s="64"/>
      <c r="JOC19" s="64"/>
      <c r="JOD19" s="64"/>
      <c r="JOE19" s="64"/>
      <c r="JOF19" s="64"/>
      <c r="JOG19" s="64"/>
      <c r="JOH19" s="64"/>
      <c r="JOI19" s="64"/>
      <c r="JOJ19" s="64"/>
      <c r="JOK19" s="64"/>
      <c r="JOL19" s="64"/>
      <c r="JOM19" s="64"/>
      <c r="JON19" s="64"/>
      <c r="JOO19" s="64"/>
      <c r="JOP19" s="64"/>
      <c r="JOQ19" s="64"/>
      <c r="JOR19" s="64"/>
      <c r="JOS19" s="64"/>
      <c r="JOT19" s="64"/>
      <c r="JOU19" s="64"/>
      <c r="JOV19" s="64"/>
      <c r="JOW19" s="64"/>
      <c r="JOX19" s="64"/>
      <c r="JOY19" s="64"/>
      <c r="JOZ19" s="64"/>
      <c r="JPA19" s="64"/>
      <c r="JPB19" s="64"/>
      <c r="JPC19" s="64"/>
      <c r="JPD19" s="64"/>
      <c r="JPE19" s="64"/>
      <c r="JPF19" s="64"/>
      <c r="JPG19" s="64"/>
      <c r="JPH19" s="64"/>
      <c r="JPI19" s="64"/>
      <c r="JPJ19" s="64"/>
      <c r="JPK19" s="64"/>
      <c r="JPL19" s="64"/>
      <c r="JPM19" s="64"/>
      <c r="JPN19" s="64"/>
      <c r="JPO19" s="64"/>
      <c r="JPP19" s="64"/>
      <c r="JPQ19" s="64"/>
      <c r="JPR19" s="64"/>
      <c r="JPS19" s="64"/>
      <c r="JPT19" s="64"/>
      <c r="JPU19" s="64"/>
      <c r="JPV19" s="64"/>
      <c r="JPW19" s="64"/>
      <c r="JPX19" s="64"/>
      <c r="JPY19" s="64"/>
      <c r="JPZ19" s="64"/>
      <c r="JQA19" s="64"/>
      <c r="JQB19" s="64"/>
      <c r="JQC19" s="64"/>
      <c r="JQD19" s="64"/>
      <c r="JQE19" s="64"/>
      <c r="JQF19" s="64"/>
      <c r="JQG19" s="64"/>
      <c r="JQH19" s="64"/>
      <c r="JQI19" s="64"/>
      <c r="JQJ19" s="64"/>
      <c r="JQK19" s="64"/>
      <c r="JQL19" s="64"/>
      <c r="JQM19" s="64"/>
      <c r="JQN19" s="64"/>
      <c r="JQO19" s="64"/>
      <c r="JQP19" s="64"/>
      <c r="JQQ19" s="64"/>
      <c r="JQR19" s="64"/>
      <c r="JQS19" s="64"/>
      <c r="JQT19" s="64"/>
      <c r="JQU19" s="64"/>
      <c r="JQV19" s="64"/>
      <c r="JQW19" s="64"/>
      <c r="JQX19" s="64"/>
      <c r="JQY19" s="64"/>
      <c r="JQZ19" s="64"/>
      <c r="JRA19" s="64"/>
      <c r="JRB19" s="64"/>
      <c r="JRC19" s="64"/>
      <c r="JRD19" s="64"/>
      <c r="JRE19" s="64"/>
      <c r="JRF19" s="64"/>
      <c r="JRG19" s="64"/>
      <c r="JRH19" s="64"/>
      <c r="JRI19" s="64"/>
      <c r="JRJ19" s="64"/>
      <c r="JRK19" s="64"/>
      <c r="JRL19" s="64"/>
      <c r="JRM19" s="64"/>
      <c r="JRN19" s="64"/>
      <c r="JRO19" s="64"/>
      <c r="JRP19" s="64"/>
      <c r="JRQ19" s="64"/>
      <c r="JRR19" s="64"/>
      <c r="JRS19" s="64"/>
      <c r="JRT19" s="64"/>
      <c r="JRU19" s="64"/>
      <c r="JRV19" s="64"/>
      <c r="JRW19" s="64"/>
      <c r="JRX19" s="64"/>
      <c r="JRY19" s="64"/>
      <c r="JRZ19" s="64"/>
      <c r="JSA19" s="64"/>
      <c r="JSB19" s="64"/>
      <c r="JSC19" s="64"/>
      <c r="JSD19" s="64"/>
      <c r="JSE19" s="64"/>
      <c r="JSF19" s="64"/>
      <c r="JSG19" s="64"/>
      <c r="JSH19" s="64"/>
      <c r="JSI19" s="64"/>
      <c r="JSJ19" s="64"/>
      <c r="JSK19" s="64"/>
      <c r="JSL19" s="64"/>
      <c r="JSM19" s="64"/>
      <c r="JSN19" s="64"/>
      <c r="JSO19" s="64"/>
      <c r="JSP19" s="64"/>
      <c r="JSQ19" s="64"/>
      <c r="JSR19" s="64"/>
      <c r="JSS19" s="64"/>
      <c r="JST19" s="64"/>
      <c r="JSU19" s="64"/>
      <c r="JSV19" s="64"/>
      <c r="JSW19" s="64"/>
      <c r="JSX19" s="64"/>
      <c r="JSY19" s="64"/>
      <c r="JSZ19" s="64"/>
      <c r="JTA19" s="64"/>
      <c r="JTB19" s="64"/>
      <c r="JTC19" s="64"/>
      <c r="JTD19" s="64"/>
      <c r="JTE19" s="64"/>
      <c r="JTF19" s="64"/>
      <c r="JTG19" s="64"/>
      <c r="JTH19" s="64"/>
      <c r="JTI19" s="64"/>
      <c r="JTJ19" s="64"/>
      <c r="JTK19" s="64"/>
      <c r="JTL19" s="64"/>
      <c r="JTM19" s="64"/>
      <c r="JTN19" s="64"/>
      <c r="JTO19" s="64"/>
      <c r="JTP19" s="64"/>
      <c r="JTQ19" s="64"/>
      <c r="JTR19" s="64"/>
      <c r="JTS19" s="64"/>
      <c r="JTT19" s="64"/>
      <c r="JTU19" s="64"/>
      <c r="JTV19" s="64"/>
      <c r="JTW19" s="64"/>
      <c r="JTX19" s="64"/>
      <c r="JTY19" s="64"/>
      <c r="JTZ19" s="64"/>
      <c r="JUA19" s="64"/>
      <c r="JUB19" s="64"/>
      <c r="JUC19" s="64"/>
      <c r="JUD19" s="64"/>
      <c r="JUE19" s="64"/>
      <c r="JUF19" s="64"/>
      <c r="JUG19" s="64"/>
      <c r="JUH19" s="64"/>
      <c r="JUI19" s="64"/>
      <c r="JUJ19" s="64"/>
      <c r="JUK19" s="64"/>
      <c r="JUL19" s="64"/>
      <c r="JUM19" s="64"/>
      <c r="JUN19" s="64"/>
      <c r="JUO19" s="64"/>
      <c r="JUP19" s="64"/>
      <c r="JUQ19" s="64"/>
      <c r="JUR19" s="64"/>
      <c r="JUS19" s="64"/>
      <c r="JUT19" s="64"/>
      <c r="JUU19" s="64"/>
      <c r="JUV19" s="64"/>
      <c r="JUW19" s="64"/>
      <c r="JUX19" s="64"/>
      <c r="JUY19" s="64"/>
      <c r="JUZ19" s="64"/>
      <c r="JVA19" s="64"/>
      <c r="JVB19" s="64"/>
      <c r="JVC19" s="64"/>
      <c r="JVD19" s="64"/>
      <c r="JVE19" s="64"/>
      <c r="JVF19" s="64"/>
      <c r="JVG19" s="64"/>
      <c r="JVH19" s="64"/>
      <c r="JVI19" s="64"/>
      <c r="JVJ19" s="64"/>
      <c r="JVK19" s="64"/>
      <c r="JVL19" s="64"/>
      <c r="JVM19" s="64"/>
      <c r="JVN19" s="64"/>
      <c r="JVO19" s="64"/>
      <c r="JVP19" s="64"/>
      <c r="JVQ19" s="64"/>
      <c r="JVR19" s="64"/>
      <c r="JVS19" s="64"/>
      <c r="JVT19" s="64"/>
      <c r="JVU19" s="64"/>
      <c r="JVV19" s="64"/>
      <c r="JVW19" s="64"/>
      <c r="JVX19" s="64"/>
      <c r="JVY19" s="64"/>
      <c r="JVZ19" s="64"/>
      <c r="JWA19" s="64"/>
      <c r="JWB19" s="64"/>
      <c r="JWC19" s="64"/>
      <c r="JWD19" s="64"/>
      <c r="JWE19" s="64"/>
      <c r="JWF19" s="64"/>
      <c r="JWG19" s="64"/>
      <c r="JWH19" s="64"/>
      <c r="JWI19" s="64"/>
      <c r="JWJ19" s="64"/>
      <c r="JWK19" s="64"/>
      <c r="JWL19" s="64"/>
      <c r="JWM19" s="64"/>
      <c r="JWN19" s="64"/>
      <c r="JWO19" s="64"/>
      <c r="JWP19" s="64"/>
      <c r="JWQ19" s="64"/>
      <c r="JWR19" s="64"/>
      <c r="JWS19" s="64"/>
      <c r="JWT19" s="64"/>
      <c r="JWU19" s="64"/>
      <c r="JWV19" s="64"/>
      <c r="JWW19" s="64"/>
      <c r="JWX19" s="64"/>
      <c r="JWY19" s="64"/>
      <c r="JWZ19" s="64"/>
      <c r="JXA19" s="64"/>
      <c r="JXB19" s="64"/>
      <c r="JXC19" s="64"/>
      <c r="JXD19" s="64"/>
      <c r="JXE19" s="64"/>
      <c r="JXF19" s="64"/>
      <c r="JXG19" s="64"/>
      <c r="JXH19" s="64"/>
      <c r="JXI19" s="64"/>
      <c r="JXJ19" s="64"/>
      <c r="JXK19" s="64"/>
      <c r="JXL19" s="64"/>
      <c r="JXM19" s="64"/>
      <c r="JXN19" s="64"/>
      <c r="JXO19" s="64"/>
      <c r="JXP19" s="64"/>
      <c r="JXQ19" s="64"/>
      <c r="JXR19" s="64"/>
      <c r="JXS19" s="64"/>
      <c r="JXT19" s="64"/>
      <c r="JXU19" s="64"/>
      <c r="JXV19" s="64"/>
      <c r="JXW19" s="64"/>
      <c r="JXX19" s="64"/>
      <c r="JXY19" s="64"/>
      <c r="JXZ19" s="64"/>
      <c r="JYA19" s="64"/>
      <c r="JYB19" s="64"/>
      <c r="JYC19" s="64"/>
      <c r="JYD19" s="64"/>
      <c r="JYE19" s="64"/>
      <c r="JYF19" s="64"/>
      <c r="JYG19" s="64"/>
      <c r="JYH19" s="64"/>
      <c r="JYI19" s="64"/>
      <c r="JYJ19" s="64"/>
      <c r="JYK19" s="64"/>
      <c r="JYL19" s="64"/>
      <c r="JYM19" s="64"/>
      <c r="JYN19" s="64"/>
      <c r="JYO19" s="64"/>
      <c r="JYP19" s="64"/>
      <c r="JYQ19" s="64"/>
      <c r="JYR19" s="64"/>
      <c r="JYS19" s="64"/>
      <c r="JYT19" s="64"/>
      <c r="JYU19" s="64"/>
      <c r="JYV19" s="64"/>
      <c r="JYW19" s="64"/>
      <c r="JYX19" s="64"/>
      <c r="JYY19" s="64"/>
      <c r="JYZ19" s="64"/>
      <c r="JZA19" s="64"/>
      <c r="JZB19" s="64"/>
      <c r="JZC19" s="64"/>
      <c r="JZD19" s="64"/>
      <c r="JZE19" s="64"/>
      <c r="JZF19" s="64"/>
      <c r="JZG19" s="64"/>
      <c r="JZH19" s="64"/>
      <c r="JZI19" s="64"/>
      <c r="JZJ19" s="64"/>
      <c r="JZK19" s="64"/>
      <c r="JZL19" s="64"/>
      <c r="JZM19" s="64"/>
      <c r="JZN19" s="64"/>
      <c r="JZO19" s="64"/>
      <c r="JZP19" s="64"/>
      <c r="JZQ19" s="64"/>
      <c r="JZR19" s="64"/>
      <c r="JZS19" s="64"/>
      <c r="JZT19" s="64"/>
      <c r="JZU19" s="64"/>
      <c r="JZV19" s="64"/>
      <c r="JZW19" s="64"/>
      <c r="JZX19" s="64"/>
      <c r="JZY19" s="64"/>
      <c r="JZZ19" s="64"/>
      <c r="KAA19" s="64"/>
      <c r="KAB19" s="64"/>
      <c r="KAC19" s="64"/>
      <c r="KAD19" s="64"/>
      <c r="KAE19" s="64"/>
      <c r="KAF19" s="64"/>
      <c r="KAG19" s="64"/>
      <c r="KAH19" s="64"/>
      <c r="KAI19" s="64"/>
      <c r="KAJ19" s="64"/>
      <c r="KAK19" s="64"/>
      <c r="KAL19" s="64"/>
      <c r="KAM19" s="64"/>
      <c r="KAN19" s="64"/>
      <c r="KAO19" s="64"/>
      <c r="KAP19" s="64"/>
      <c r="KAQ19" s="64"/>
      <c r="KAR19" s="64"/>
      <c r="KAS19" s="64"/>
      <c r="KAT19" s="64"/>
      <c r="KAU19" s="64"/>
      <c r="KAV19" s="64"/>
      <c r="KAW19" s="64"/>
      <c r="KAX19" s="64"/>
      <c r="KAY19" s="64"/>
      <c r="KAZ19" s="64"/>
      <c r="KBA19" s="64"/>
      <c r="KBB19" s="64"/>
      <c r="KBC19" s="64"/>
      <c r="KBD19" s="64"/>
      <c r="KBE19" s="64"/>
      <c r="KBF19" s="64"/>
      <c r="KBG19" s="64"/>
      <c r="KBH19" s="64"/>
      <c r="KBI19" s="64"/>
      <c r="KBJ19" s="64"/>
      <c r="KBK19" s="64"/>
      <c r="KBL19" s="64"/>
      <c r="KBM19" s="64"/>
      <c r="KBN19" s="64"/>
      <c r="KBO19" s="64"/>
      <c r="KBP19" s="64"/>
      <c r="KBQ19" s="64"/>
      <c r="KBR19" s="64"/>
      <c r="KBS19" s="64"/>
      <c r="KBT19" s="64"/>
      <c r="KBU19" s="64"/>
      <c r="KBV19" s="64"/>
      <c r="KBW19" s="64"/>
      <c r="KBX19" s="64"/>
      <c r="KBY19" s="64"/>
      <c r="KBZ19" s="64"/>
      <c r="KCA19" s="64"/>
      <c r="KCB19" s="64"/>
      <c r="KCC19" s="64"/>
      <c r="KCD19" s="64"/>
      <c r="KCE19" s="64"/>
      <c r="KCF19" s="64"/>
      <c r="KCG19" s="64"/>
      <c r="KCH19" s="64"/>
      <c r="KCI19" s="64"/>
      <c r="KCJ19" s="64"/>
      <c r="KCK19" s="64"/>
      <c r="KCL19" s="64"/>
      <c r="KCM19" s="64"/>
      <c r="KCN19" s="64"/>
      <c r="KCO19" s="64"/>
      <c r="KCP19" s="64"/>
      <c r="KCQ19" s="64"/>
      <c r="KCR19" s="64"/>
      <c r="KCS19" s="64"/>
      <c r="KCT19" s="64"/>
      <c r="KCU19" s="64"/>
      <c r="KCV19" s="64"/>
      <c r="KCW19" s="64"/>
      <c r="KCX19" s="64"/>
      <c r="KCY19" s="64"/>
      <c r="KCZ19" s="64"/>
      <c r="KDA19" s="64"/>
      <c r="KDB19" s="64"/>
      <c r="KDC19" s="64"/>
      <c r="KDD19" s="64"/>
      <c r="KDE19" s="64"/>
      <c r="KDF19" s="64"/>
      <c r="KDG19" s="64"/>
      <c r="KDH19" s="64"/>
      <c r="KDI19" s="64"/>
      <c r="KDJ19" s="64"/>
      <c r="KDK19" s="64"/>
      <c r="KDL19" s="64"/>
      <c r="KDM19" s="64"/>
      <c r="KDN19" s="64"/>
      <c r="KDO19" s="64"/>
      <c r="KDP19" s="64"/>
      <c r="KDQ19" s="64"/>
      <c r="KDR19" s="64"/>
      <c r="KDS19" s="64"/>
      <c r="KDT19" s="64"/>
      <c r="KDU19" s="64"/>
      <c r="KDV19" s="64"/>
      <c r="KDW19" s="64"/>
      <c r="KDX19" s="64"/>
      <c r="KDY19" s="64"/>
      <c r="KDZ19" s="64"/>
      <c r="KEA19" s="64"/>
      <c r="KEB19" s="64"/>
      <c r="KEC19" s="64"/>
      <c r="KED19" s="64"/>
      <c r="KEE19" s="64"/>
      <c r="KEF19" s="64"/>
      <c r="KEG19" s="64"/>
      <c r="KEH19" s="64"/>
      <c r="KEI19" s="64"/>
      <c r="KEJ19" s="64"/>
      <c r="KEK19" s="64"/>
      <c r="KEL19" s="64"/>
      <c r="KEM19" s="64"/>
      <c r="KEN19" s="64"/>
      <c r="KEO19" s="64"/>
      <c r="KEP19" s="64"/>
      <c r="KEQ19" s="64"/>
      <c r="KER19" s="64"/>
      <c r="KES19" s="64"/>
      <c r="KET19" s="64"/>
      <c r="KEU19" s="64"/>
      <c r="KEV19" s="64"/>
      <c r="KEW19" s="64"/>
      <c r="KEX19" s="64"/>
      <c r="KEY19" s="64"/>
      <c r="KEZ19" s="64"/>
      <c r="KFA19" s="64"/>
      <c r="KFB19" s="64"/>
      <c r="KFC19" s="64"/>
      <c r="KFD19" s="64"/>
      <c r="KFE19" s="64"/>
      <c r="KFF19" s="64"/>
      <c r="KFG19" s="64"/>
      <c r="KFH19" s="64"/>
      <c r="KFI19" s="64"/>
      <c r="KFJ19" s="64"/>
      <c r="KFK19" s="64"/>
      <c r="KFL19" s="64"/>
      <c r="KFM19" s="64"/>
      <c r="KFN19" s="64"/>
      <c r="KFO19" s="64"/>
      <c r="KFP19" s="64"/>
      <c r="KFQ19" s="64"/>
      <c r="KFR19" s="64"/>
      <c r="KFS19" s="64"/>
      <c r="KFT19" s="64"/>
      <c r="KFU19" s="64"/>
      <c r="KFV19" s="64"/>
      <c r="KFW19" s="64"/>
      <c r="KFX19" s="64"/>
      <c r="KFY19" s="64"/>
      <c r="KFZ19" s="64"/>
      <c r="KGA19" s="64"/>
      <c r="KGB19" s="64"/>
      <c r="KGC19" s="64"/>
      <c r="KGD19" s="64"/>
      <c r="KGE19" s="64"/>
      <c r="KGF19" s="64"/>
      <c r="KGG19" s="64"/>
      <c r="KGH19" s="64"/>
      <c r="KGI19" s="64"/>
      <c r="KGJ19" s="64"/>
      <c r="KGK19" s="64"/>
      <c r="KGL19" s="64"/>
      <c r="KGM19" s="64"/>
      <c r="KGN19" s="64"/>
      <c r="KGO19" s="64"/>
      <c r="KGP19" s="64"/>
      <c r="KGQ19" s="64"/>
      <c r="KGR19" s="64"/>
      <c r="KGS19" s="64"/>
      <c r="KGT19" s="64"/>
      <c r="KGU19" s="64"/>
      <c r="KGV19" s="64"/>
      <c r="KGW19" s="64"/>
      <c r="KGX19" s="64"/>
      <c r="KGY19" s="64"/>
      <c r="KGZ19" s="64"/>
      <c r="KHA19" s="64"/>
      <c r="KHB19" s="64"/>
      <c r="KHC19" s="64"/>
      <c r="KHD19" s="64"/>
      <c r="KHE19" s="64"/>
      <c r="KHF19" s="64"/>
      <c r="KHG19" s="64"/>
      <c r="KHH19" s="64"/>
      <c r="KHI19" s="64"/>
      <c r="KHJ19" s="64"/>
      <c r="KHK19" s="64"/>
      <c r="KHL19" s="64"/>
      <c r="KHM19" s="64"/>
      <c r="KHN19" s="64"/>
      <c r="KHO19" s="64"/>
      <c r="KHP19" s="64"/>
      <c r="KHQ19" s="64"/>
      <c r="KHR19" s="64"/>
      <c r="KHS19" s="64"/>
      <c r="KHT19" s="64"/>
      <c r="KHU19" s="64"/>
      <c r="KHV19" s="64"/>
      <c r="KHW19" s="64"/>
      <c r="KHX19" s="64"/>
      <c r="KHY19" s="64"/>
      <c r="KHZ19" s="64"/>
      <c r="KIA19" s="64"/>
      <c r="KIB19" s="64"/>
      <c r="KIC19" s="64"/>
      <c r="KID19" s="64"/>
      <c r="KIE19" s="64"/>
      <c r="KIF19" s="64"/>
      <c r="KIG19" s="64"/>
      <c r="KIH19" s="64"/>
      <c r="KII19" s="64"/>
      <c r="KIJ19" s="64"/>
      <c r="KIK19" s="64"/>
      <c r="KIL19" s="64"/>
      <c r="KIM19" s="64"/>
      <c r="KIN19" s="64"/>
      <c r="KIO19" s="64"/>
      <c r="KIP19" s="64"/>
      <c r="KIQ19" s="64"/>
      <c r="KIR19" s="64"/>
      <c r="KIS19" s="64"/>
      <c r="KIT19" s="64"/>
      <c r="KIU19" s="64"/>
      <c r="KIV19" s="64"/>
      <c r="KIW19" s="64"/>
      <c r="KIX19" s="64"/>
      <c r="KIY19" s="64"/>
      <c r="KIZ19" s="64"/>
      <c r="KJA19" s="64"/>
      <c r="KJB19" s="64"/>
      <c r="KJC19" s="64"/>
      <c r="KJD19" s="64"/>
      <c r="KJE19" s="64"/>
      <c r="KJF19" s="64"/>
      <c r="KJG19" s="64"/>
      <c r="KJH19" s="64"/>
      <c r="KJI19" s="64"/>
      <c r="KJJ19" s="64"/>
      <c r="KJK19" s="64"/>
      <c r="KJL19" s="64"/>
      <c r="KJM19" s="64"/>
      <c r="KJN19" s="64"/>
      <c r="KJO19" s="64"/>
      <c r="KJP19" s="64"/>
      <c r="KJQ19" s="64"/>
      <c r="KJR19" s="64"/>
      <c r="KJS19" s="64"/>
      <c r="KJT19" s="64"/>
      <c r="KJU19" s="64"/>
      <c r="KJV19" s="64"/>
      <c r="KJW19" s="64"/>
      <c r="KJX19" s="64"/>
      <c r="KJY19" s="64"/>
      <c r="KJZ19" s="64"/>
      <c r="KKA19" s="64"/>
      <c r="KKB19" s="64"/>
      <c r="KKC19" s="64"/>
      <c r="KKD19" s="64"/>
      <c r="KKE19" s="64"/>
      <c r="KKF19" s="64"/>
      <c r="KKG19" s="64"/>
      <c r="KKH19" s="64"/>
      <c r="KKI19" s="64"/>
      <c r="KKJ19" s="64"/>
      <c r="KKK19" s="64"/>
      <c r="KKL19" s="64"/>
      <c r="KKM19" s="64"/>
      <c r="KKN19" s="64"/>
      <c r="KKO19" s="64"/>
      <c r="KKP19" s="64"/>
      <c r="KKQ19" s="64"/>
      <c r="KKR19" s="64"/>
      <c r="KKS19" s="64"/>
      <c r="KKT19" s="64"/>
      <c r="KKU19" s="64"/>
      <c r="KKV19" s="64"/>
      <c r="KKW19" s="64"/>
      <c r="KKX19" s="64"/>
      <c r="KKY19" s="64"/>
      <c r="KKZ19" s="64"/>
      <c r="KLA19" s="64"/>
      <c r="KLB19" s="64"/>
      <c r="KLC19" s="64"/>
      <c r="KLD19" s="64"/>
      <c r="KLE19" s="64"/>
      <c r="KLF19" s="64"/>
      <c r="KLG19" s="64"/>
      <c r="KLH19" s="64"/>
      <c r="KLI19" s="64"/>
      <c r="KLJ19" s="64"/>
      <c r="KLK19" s="64"/>
      <c r="KLL19" s="64"/>
      <c r="KLM19" s="64"/>
      <c r="KLN19" s="64"/>
      <c r="KLO19" s="64"/>
      <c r="KLP19" s="64"/>
      <c r="KLQ19" s="64"/>
      <c r="KLR19" s="64"/>
      <c r="KLS19" s="64"/>
      <c r="KLT19" s="64"/>
      <c r="KLU19" s="64"/>
      <c r="KLV19" s="64"/>
      <c r="KLW19" s="64"/>
      <c r="KLX19" s="64"/>
      <c r="KLY19" s="64"/>
      <c r="KLZ19" s="64"/>
      <c r="KMA19" s="64"/>
      <c r="KMB19" s="64"/>
      <c r="KMC19" s="64"/>
      <c r="KMD19" s="64"/>
      <c r="KME19" s="64"/>
      <c r="KMF19" s="64"/>
      <c r="KMG19" s="64"/>
      <c r="KMH19" s="64"/>
      <c r="KMI19" s="64"/>
      <c r="KMJ19" s="64"/>
      <c r="KMK19" s="64"/>
      <c r="KML19" s="64"/>
      <c r="KMM19" s="64"/>
      <c r="KMN19" s="64"/>
      <c r="KMO19" s="64"/>
      <c r="KMP19" s="64"/>
      <c r="KMQ19" s="64"/>
      <c r="KMR19" s="64"/>
      <c r="KMS19" s="64"/>
      <c r="KMT19" s="64"/>
      <c r="KMU19" s="64"/>
      <c r="KMV19" s="64"/>
      <c r="KMW19" s="64"/>
      <c r="KMX19" s="64"/>
      <c r="KMY19" s="64"/>
      <c r="KMZ19" s="64"/>
      <c r="KNA19" s="64"/>
      <c r="KNB19" s="64"/>
      <c r="KNC19" s="64"/>
      <c r="KND19" s="64"/>
      <c r="KNE19" s="64"/>
      <c r="KNF19" s="64"/>
      <c r="KNG19" s="64"/>
      <c r="KNH19" s="64"/>
      <c r="KNI19" s="64"/>
      <c r="KNJ19" s="64"/>
      <c r="KNK19" s="64"/>
      <c r="KNL19" s="64"/>
      <c r="KNM19" s="64"/>
      <c r="KNN19" s="64"/>
      <c r="KNO19" s="64"/>
      <c r="KNP19" s="64"/>
      <c r="KNQ19" s="64"/>
      <c r="KNR19" s="64"/>
      <c r="KNS19" s="64"/>
      <c r="KNT19" s="64"/>
      <c r="KNU19" s="64"/>
      <c r="KNV19" s="64"/>
      <c r="KNW19" s="64"/>
      <c r="KNX19" s="64"/>
      <c r="KNY19" s="64"/>
      <c r="KNZ19" s="64"/>
      <c r="KOA19" s="64"/>
      <c r="KOB19" s="64"/>
      <c r="KOC19" s="64"/>
      <c r="KOD19" s="64"/>
      <c r="KOE19" s="64"/>
      <c r="KOF19" s="64"/>
      <c r="KOG19" s="64"/>
      <c r="KOH19" s="64"/>
      <c r="KOI19" s="64"/>
      <c r="KOJ19" s="64"/>
      <c r="KOK19" s="64"/>
      <c r="KOL19" s="64"/>
      <c r="KOM19" s="64"/>
      <c r="KON19" s="64"/>
      <c r="KOO19" s="64"/>
      <c r="KOP19" s="64"/>
      <c r="KOQ19" s="64"/>
      <c r="KOR19" s="64"/>
      <c r="KOS19" s="64"/>
      <c r="KOT19" s="64"/>
      <c r="KOU19" s="64"/>
      <c r="KOV19" s="64"/>
      <c r="KOW19" s="64"/>
      <c r="KOX19" s="64"/>
      <c r="KOY19" s="64"/>
      <c r="KOZ19" s="64"/>
      <c r="KPA19" s="64"/>
      <c r="KPB19" s="64"/>
      <c r="KPC19" s="64"/>
      <c r="KPD19" s="64"/>
      <c r="KPE19" s="64"/>
      <c r="KPF19" s="64"/>
      <c r="KPG19" s="64"/>
      <c r="KPH19" s="64"/>
      <c r="KPI19" s="64"/>
      <c r="KPJ19" s="64"/>
      <c r="KPK19" s="64"/>
      <c r="KPL19" s="64"/>
      <c r="KPM19" s="64"/>
      <c r="KPN19" s="64"/>
      <c r="KPO19" s="64"/>
      <c r="KPP19" s="64"/>
      <c r="KPQ19" s="64"/>
      <c r="KPR19" s="64"/>
      <c r="KPS19" s="64"/>
      <c r="KPT19" s="64"/>
      <c r="KPU19" s="64"/>
      <c r="KPV19" s="64"/>
      <c r="KPW19" s="64"/>
      <c r="KPX19" s="64"/>
      <c r="KPY19" s="64"/>
      <c r="KPZ19" s="64"/>
      <c r="KQA19" s="64"/>
      <c r="KQB19" s="64"/>
      <c r="KQC19" s="64"/>
      <c r="KQD19" s="64"/>
      <c r="KQE19" s="64"/>
      <c r="KQF19" s="64"/>
      <c r="KQG19" s="64"/>
      <c r="KQH19" s="64"/>
      <c r="KQI19" s="64"/>
      <c r="KQJ19" s="64"/>
      <c r="KQK19" s="64"/>
      <c r="KQL19" s="64"/>
      <c r="KQM19" s="64"/>
      <c r="KQN19" s="64"/>
      <c r="KQO19" s="64"/>
      <c r="KQP19" s="64"/>
      <c r="KQQ19" s="64"/>
      <c r="KQR19" s="64"/>
      <c r="KQS19" s="64"/>
      <c r="KQT19" s="64"/>
      <c r="KQU19" s="64"/>
      <c r="KQV19" s="64"/>
      <c r="KQW19" s="64"/>
      <c r="KQX19" s="64"/>
      <c r="KQY19" s="64"/>
      <c r="KQZ19" s="64"/>
      <c r="KRA19" s="64"/>
      <c r="KRB19" s="64"/>
      <c r="KRC19" s="64"/>
      <c r="KRD19" s="64"/>
      <c r="KRE19" s="64"/>
      <c r="KRF19" s="64"/>
      <c r="KRG19" s="64"/>
      <c r="KRH19" s="64"/>
      <c r="KRI19" s="64"/>
      <c r="KRJ19" s="64"/>
      <c r="KRK19" s="64"/>
      <c r="KRL19" s="64"/>
      <c r="KRM19" s="64"/>
      <c r="KRN19" s="64"/>
      <c r="KRO19" s="64"/>
      <c r="KRP19" s="64"/>
      <c r="KRQ19" s="64"/>
      <c r="KRR19" s="64"/>
      <c r="KRS19" s="64"/>
      <c r="KRT19" s="64"/>
      <c r="KRU19" s="64"/>
      <c r="KRV19" s="64"/>
      <c r="KRW19" s="64"/>
      <c r="KRX19" s="64"/>
      <c r="KRY19" s="64"/>
      <c r="KRZ19" s="64"/>
      <c r="KSA19" s="64"/>
      <c r="KSB19" s="64"/>
      <c r="KSC19" s="64"/>
      <c r="KSD19" s="64"/>
      <c r="KSE19" s="64"/>
      <c r="KSF19" s="64"/>
      <c r="KSG19" s="64"/>
      <c r="KSH19" s="64"/>
      <c r="KSI19" s="64"/>
      <c r="KSJ19" s="64"/>
      <c r="KSK19" s="64"/>
      <c r="KSL19" s="64"/>
      <c r="KSM19" s="64"/>
      <c r="KSN19" s="64"/>
      <c r="KSO19" s="64"/>
      <c r="KSP19" s="64"/>
      <c r="KSQ19" s="64"/>
      <c r="KSR19" s="64"/>
      <c r="KSS19" s="64"/>
      <c r="KST19" s="64"/>
      <c r="KSU19" s="64"/>
      <c r="KSV19" s="64"/>
      <c r="KSW19" s="64"/>
      <c r="KSX19" s="64"/>
      <c r="KSY19" s="64"/>
      <c r="KSZ19" s="64"/>
      <c r="KTA19" s="64"/>
      <c r="KTB19" s="64"/>
      <c r="KTC19" s="64"/>
      <c r="KTD19" s="64"/>
      <c r="KTE19" s="64"/>
      <c r="KTF19" s="64"/>
      <c r="KTG19" s="64"/>
      <c r="KTH19" s="64"/>
      <c r="KTI19" s="64"/>
      <c r="KTJ19" s="64"/>
      <c r="KTK19" s="64"/>
      <c r="KTL19" s="64"/>
      <c r="KTM19" s="64"/>
      <c r="KTN19" s="64"/>
      <c r="KTO19" s="64"/>
      <c r="KTP19" s="64"/>
      <c r="KTQ19" s="64"/>
      <c r="KTR19" s="64"/>
      <c r="KTS19" s="64"/>
      <c r="KTT19" s="64"/>
      <c r="KTU19" s="64"/>
      <c r="KTV19" s="64"/>
      <c r="KTW19" s="64"/>
      <c r="KTX19" s="64"/>
      <c r="KTY19" s="64"/>
      <c r="KTZ19" s="64"/>
      <c r="KUA19" s="64"/>
      <c r="KUB19" s="64"/>
      <c r="KUC19" s="64"/>
      <c r="KUD19" s="64"/>
      <c r="KUE19" s="64"/>
      <c r="KUF19" s="64"/>
      <c r="KUG19" s="64"/>
      <c r="KUH19" s="64"/>
      <c r="KUI19" s="64"/>
      <c r="KUJ19" s="64"/>
      <c r="KUK19" s="64"/>
      <c r="KUL19" s="64"/>
      <c r="KUM19" s="64"/>
      <c r="KUN19" s="64"/>
      <c r="KUO19" s="64"/>
      <c r="KUP19" s="64"/>
      <c r="KUQ19" s="64"/>
      <c r="KUR19" s="64"/>
      <c r="KUS19" s="64"/>
      <c r="KUT19" s="64"/>
      <c r="KUU19" s="64"/>
      <c r="KUV19" s="64"/>
      <c r="KUW19" s="64"/>
      <c r="KUX19" s="64"/>
      <c r="KUY19" s="64"/>
      <c r="KUZ19" s="64"/>
      <c r="KVA19" s="64"/>
      <c r="KVB19" s="64"/>
      <c r="KVC19" s="64"/>
      <c r="KVD19" s="64"/>
      <c r="KVE19" s="64"/>
      <c r="KVF19" s="64"/>
      <c r="KVG19" s="64"/>
      <c r="KVH19" s="64"/>
      <c r="KVI19" s="64"/>
      <c r="KVJ19" s="64"/>
      <c r="KVK19" s="64"/>
      <c r="KVL19" s="64"/>
      <c r="KVM19" s="64"/>
      <c r="KVN19" s="64"/>
      <c r="KVO19" s="64"/>
      <c r="KVP19" s="64"/>
      <c r="KVQ19" s="64"/>
      <c r="KVR19" s="64"/>
      <c r="KVS19" s="64"/>
      <c r="KVT19" s="64"/>
      <c r="KVU19" s="64"/>
      <c r="KVV19" s="64"/>
      <c r="KVW19" s="64"/>
      <c r="KVX19" s="64"/>
      <c r="KVY19" s="64"/>
      <c r="KVZ19" s="64"/>
      <c r="KWA19" s="64"/>
      <c r="KWB19" s="64"/>
      <c r="KWC19" s="64"/>
      <c r="KWD19" s="64"/>
      <c r="KWE19" s="64"/>
      <c r="KWF19" s="64"/>
      <c r="KWG19" s="64"/>
      <c r="KWH19" s="64"/>
      <c r="KWI19" s="64"/>
      <c r="KWJ19" s="64"/>
      <c r="KWK19" s="64"/>
      <c r="KWL19" s="64"/>
      <c r="KWM19" s="64"/>
      <c r="KWN19" s="64"/>
      <c r="KWO19" s="64"/>
      <c r="KWP19" s="64"/>
      <c r="KWQ19" s="64"/>
      <c r="KWR19" s="64"/>
      <c r="KWS19" s="64"/>
      <c r="KWT19" s="64"/>
      <c r="KWU19" s="64"/>
      <c r="KWV19" s="64"/>
      <c r="KWW19" s="64"/>
      <c r="KWX19" s="64"/>
      <c r="KWY19" s="64"/>
      <c r="KWZ19" s="64"/>
      <c r="KXA19" s="64"/>
      <c r="KXB19" s="64"/>
      <c r="KXC19" s="64"/>
      <c r="KXD19" s="64"/>
      <c r="KXE19" s="64"/>
      <c r="KXF19" s="64"/>
      <c r="KXG19" s="64"/>
      <c r="KXH19" s="64"/>
      <c r="KXI19" s="64"/>
      <c r="KXJ19" s="64"/>
      <c r="KXK19" s="64"/>
      <c r="KXL19" s="64"/>
      <c r="KXM19" s="64"/>
      <c r="KXN19" s="64"/>
      <c r="KXO19" s="64"/>
      <c r="KXP19" s="64"/>
      <c r="KXQ19" s="64"/>
      <c r="KXR19" s="64"/>
      <c r="KXS19" s="64"/>
      <c r="KXT19" s="64"/>
      <c r="KXU19" s="64"/>
      <c r="KXV19" s="64"/>
      <c r="KXW19" s="64"/>
      <c r="KXX19" s="64"/>
      <c r="KXY19" s="64"/>
      <c r="KXZ19" s="64"/>
      <c r="KYA19" s="64"/>
      <c r="KYB19" s="64"/>
      <c r="KYC19" s="64"/>
      <c r="KYD19" s="64"/>
      <c r="KYE19" s="64"/>
      <c r="KYF19" s="64"/>
      <c r="KYG19" s="64"/>
      <c r="KYH19" s="64"/>
      <c r="KYI19" s="64"/>
      <c r="KYJ19" s="64"/>
      <c r="KYK19" s="64"/>
      <c r="KYL19" s="64"/>
      <c r="KYM19" s="64"/>
      <c r="KYN19" s="64"/>
      <c r="KYO19" s="64"/>
      <c r="KYP19" s="64"/>
      <c r="KYQ19" s="64"/>
      <c r="KYR19" s="64"/>
      <c r="KYS19" s="64"/>
      <c r="KYT19" s="64"/>
      <c r="KYU19" s="64"/>
      <c r="KYV19" s="64"/>
      <c r="KYW19" s="64"/>
      <c r="KYX19" s="64"/>
      <c r="KYY19" s="64"/>
      <c r="KYZ19" s="64"/>
      <c r="KZA19" s="64"/>
      <c r="KZB19" s="64"/>
      <c r="KZC19" s="64"/>
      <c r="KZD19" s="64"/>
      <c r="KZE19" s="64"/>
      <c r="KZF19" s="64"/>
      <c r="KZG19" s="64"/>
      <c r="KZH19" s="64"/>
      <c r="KZI19" s="64"/>
      <c r="KZJ19" s="64"/>
      <c r="KZK19" s="64"/>
      <c r="KZL19" s="64"/>
      <c r="KZM19" s="64"/>
      <c r="KZN19" s="64"/>
      <c r="KZO19" s="64"/>
      <c r="KZP19" s="64"/>
      <c r="KZQ19" s="64"/>
      <c r="KZR19" s="64"/>
      <c r="KZS19" s="64"/>
      <c r="KZT19" s="64"/>
      <c r="KZU19" s="64"/>
      <c r="KZV19" s="64"/>
      <c r="KZW19" s="64"/>
      <c r="KZX19" s="64"/>
      <c r="KZY19" s="64"/>
      <c r="KZZ19" s="64"/>
      <c r="LAA19" s="64"/>
      <c r="LAB19" s="64"/>
      <c r="LAC19" s="64"/>
      <c r="LAD19" s="64"/>
      <c r="LAE19" s="64"/>
      <c r="LAF19" s="64"/>
      <c r="LAG19" s="64"/>
      <c r="LAH19" s="64"/>
      <c r="LAI19" s="64"/>
      <c r="LAJ19" s="64"/>
      <c r="LAK19" s="64"/>
      <c r="LAL19" s="64"/>
      <c r="LAM19" s="64"/>
      <c r="LAN19" s="64"/>
      <c r="LAO19" s="64"/>
      <c r="LAP19" s="64"/>
      <c r="LAQ19" s="64"/>
      <c r="LAR19" s="64"/>
      <c r="LAS19" s="64"/>
      <c r="LAT19" s="64"/>
      <c r="LAU19" s="64"/>
      <c r="LAV19" s="64"/>
      <c r="LAW19" s="64"/>
      <c r="LAX19" s="64"/>
      <c r="LAY19" s="64"/>
      <c r="LAZ19" s="64"/>
      <c r="LBA19" s="64"/>
      <c r="LBB19" s="64"/>
      <c r="LBC19" s="64"/>
      <c r="LBD19" s="64"/>
      <c r="LBE19" s="64"/>
      <c r="LBF19" s="64"/>
      <c r="LBG19" s="64"/>
      <c r="LBH19" s="64"/>
      <c r="LBI19" s="64"/>
      <c r="LBJ19" s="64"/>
      <c r="LBK19" s="64"/>
      <c r="LBL19" s="64"/>
      <c r="LBM19" s="64"/>
      <c r="LBN19" s="64"/>
      <c r="LBO19" s="64"/>
      <c r="LBP19" s="64"/>
      <c r="LBQ19" s="64"/>
      <c r="LBR19" s="64"/>
      <c r="LBS19" s="64"/>
      <c r="LBT19" s="64"/>
      <c r="LBU19" s="64"/>
      <c r="LBV19" s="64"/>
      <c r="LBW19" s="64"/>
      <c r="LBX19" s="64"/>
      <c r="LBY19" s="64"/>
      <c r="LBZ19" s="64"/>
      <c r="LCA19" s="64"/>
      <c r="LCB19" s="64"/>
      <c r="LCC19" s="64"/>
      <c r="LCD19" s="64"/>
      <c r="LCE19" s="64"/>
      <c r="LCF19" s="64"/>
      <c r="LCG19" s="64"/>
      <c r="LCH19" s="64"/>
      <c r="LCI19" s="64"/>
      <c r="LCJ19" s="64"/>
      <c r="LCK19" s="64"/>
      <c r="LCL19" s="64"/>
      <c r="LCM19" s="64"/>
      <c r="LCN19" s="64"/>
      <c r="LCO19" s="64"/>
      <c r="LCP19" s="64"/>
      <c r="LCQ19" s="64"/>
      <c r="LCR19" s="64"/>
      <c r="LCS19" s="64"/>
      <c r="LCT19" s="64"/>
      <c r="LCU19" s="64"/>
      <c r="LCV19" s="64"/>
      <c r="LCW19" s="64"/>
      <c r="LCX19" s="64"/>
      <c r="LCY19" s="64"/>
      <c r="LCZ19" s="64"/>
      <c r="LDA19" s="64"/>
      <c r="LDB19" s="64"/>
      <c r="LDC19" s="64"/>
      <c r="LDD19" s="64"/>
      <c r="LDE19" s="64"/>
      <c r="LDF19" s="64"/>
      <c r="LDG19" s="64"/>
      <c r="LDH19" s="64"/>
      <c r="LDI19" s="64"/>
      <c r="LDJ19" s="64"/>
      <c r="LDK19" s="64"/>
      <c r="LDL19" s="64"/>
      <c r="LDM19" s="64"/>
      <c r="LDN19" s="64"/>
      <c r="LDO19" s="64"/>
      <c r="LDP19" s="64"/>
      <c r="LDQ19" s="64"/>
      <c r="LDR19" s="64"/>
      <c r="LDS19" s="64"/>
      <c r="LDT19" s="64"/>
      <c r="LDU19" s="64"/>
      <c r="LDV19" s="64"/>
      <c r="LDW19" s="64"/>
      <c r="LDX19" s="64"/>
      <c r="LDY19" s="64"/>
      <c r="LDZ19" s="64"/>
      <c r="LEA19" s="64"/>
      <c r="LEB19" s="64"/>
      <c r="LEC19" s="64"/>
      <c r="LED19" s="64"/>
      <c r="LEE19" s="64"/>
      <c r="LEF19" s="64"/>
      <c r="LEG19" s="64"/>
      <c r="LEH19" s="64"/>
      <c r="LEI19" s="64"/>
      <c r="LEJ19" s="64"/>
      <c r="LEK19" s="64"/>
      <c r="LEL19" s="64"/>
      <c r="LEM19" s="64"/>
      <c r="LEN19" s="64"/>
      <c r="LEO19" s="64"/>
      <c r="LEP19" s="64"/>
      <c r="LEQ19" s="64"/>
      <c r="LER19" s="64"/>
      <c r="LES19" s="64"/>
      <c r="LET19" s="64"/>
      <c r="LEU19" s="64"/>
      <c r="LEV19" s="64"/>
      <c r="LEW19" s="64"/>
      <c r="LEX19" s="64"/>
      <c r="LEY19" s="64"/>
      <c r="LEZ19" s="64"/>
      <c r="LFA19" s="64"/>
      <c r="LFB19" s="64"/>
      <c r="LFC19" s="64"/>
      <c r="LFD19" s="64"/>
      <c r="LFE19" s="64"/>
      <c r="LFF19" s="64"/>
      <c r="LFG19" s="64"/>
      <c r="LFH19" s="64"/>
      <c r="LFI19" s="64"/>
      <c r="LFJ19" s="64"/>
      <c r="LFK19" s="64"/>
      <c r="LFL19" s="64"/>
      <c r="LFM19" s="64"/>
      <c r="LFN19" s="64"/>
      <c r="LFO19" s="64"/>
      <c r="LFP19" s="64"/>
      <c r="LFQ19" s="64"/>
      <c r="LFR19" s="64"/>
      <c r="LFS19" s="64"/>
      <c r="LFT19" s="64"/>
      <c r="LFU19" s="64"/>
      <c r="LFV19" s="64"/>
      <c r="LFW19" s="64"/>
      <c r="LFX19" s="64"/>
      <c r="LFY19" s="64"/>
      <c r="LFZ19" s="64"/>
      <c r="LGA19" s="64"/>
      <c r="LGB19" s="64"/>
      <c r="LGC19" s="64"/>
      <c r="LGD19" s="64"/>
      <c r="LGE19" s="64"/>
      <c r="LGF19" s="64"/>
      <c r="LGG19" s="64"/>
      <c r="LGH19" s="64"/>
      <c r="LGI19" s="64"/>
      <c r="LGJ19" s="64"/>
      <c r="LGK19" s="64"/>
      <c r="LGL19" s="64"/>
      <c r="LGM19" s="64"/>
      <c r="LGN19" s="64"/>
      <c r="LGO19" s="64"/>
      <c r="LGP19" s="64"/>
      <c r="LGQ19" s="64"/>
      <c r="LGR19" s="64"/>
      <c r="LGS19" s="64"/>
      <c r="LGT19" s="64"/>
      <c r="LGU19" s="64"/>
      <c r="LGV19" s="64"/>
      <c r="LGW19" s="64"/>
      <c r="LGX19" s="64"/>
      <c r="LGY19" s="64"/>
      <c r="LGZ19" s="64"/>
      <c r="LHA19" s="64"/>
      <c r="LHB19" s="64"/>
      <c r="LHC19" s="64"/>
      <c r="LHD19" s="64"/>
      <c r="LHE19" s="64"/>
      <c r="LHF19" s="64"/>
      <c r="LHG19" s="64"/>
      <c r="LHH19" s="64"/>
      <c r="LHI19" s="64"/>
      <c r="LHJ19" s="64"/>
      <c r="LHK19" s="64"/>
      <c r="LHL19" s="64"/>
      <c r="LHM19" s="64"/>
      <c r="LHN19" s="64"/>
      <c r="LHO19" s="64"/>
      <c r="LHP19" s="64"/>
      <c r="LHQ19" s="64"/>
      <c r="LHR19" s="64"/>
      <c r="LHS19" s="64"/>
      <c r="LHT19" s="64"/>
      <c r="LHU19" s="64"/>
      <c r="LHV19" s="64"/>
      <c r="LHW19" s="64"/>
      <c r="LHX19" s="64"/>
      <c r="LHY19" s="64"/>
      <c r="LHZ19" s="64"/>
      <c r="LIA19" s="64"/>
      <c r="LIB19" s="64"/>
      <c r="LIC19" s="64"/>
      <c r="LID19" s="64"/>
      <c r="LIE19" s="64"/>
      <c r="LIF19" s="64"/>
      <c r="LIG19" s="64"/>
      <c r="LIH19" s="64"/>
      <c r="LII19" s="64"/>
      <c r="LIJ19" s="64"/>
      <c r="LIK19" s="64"/>
      <c r="LIL19" s="64"/>
      <c r="LIM19" s="64"/>
      <c r="LIN19" s="64"/>
      <c r="LIO19" s="64"/>
      <c r="LIP19" s="64"/>
      <c r="LIQ19" s="64"/>
      <c r="LIR19" s="64"/>
      <c r="LIS19" s="64"/>
      <c r="LIT19" s="64"/>
      <c r="LIU19" s="64"/>
      <c r="LIV19" s="64"/>
      <c r="LIW19" s="64"/>
      <c r="LIX19" s="64"/>
      <c r="LIY19" s="64"/>
      <c r="LIZ19" s="64"/>
      <c r="LJA19" s="64"/>
      <c r="LJB19" s="64"/>
      <c r="LJC19" s="64"/>
      <c r="LJD19" s="64"/>
      <c r="LJE19" s="64"/>
      <c r="LJF19" s="64"/>
      <c r="LJG19" s="64"/>
      <c r="LJH19" s="64"/>
      <c r="LJI19" s="64"/>
      <c r="LJJ19" s="64"/>
      <c r="LJK19" s="64"/>
      <c r="LJL19" s="64"/>
      <c r="LJM19" s="64"/>
      <c r="LJN19" s="64"/>
      <c r="LJO19" s="64"/>
      <c r="LJP19" s="64"/>
      <c r="LJQ19" s="64"/>
      <c r="LJR19" s="64"/>
      <c r="LJS19" s="64"/>
      <c r="LJT19" s="64"/>
      <c r="LJU19" s="64"/>
      <c r="LJV19" s="64"/>
      <c r="LJW19" s="64"/>
      <c r="LJX19" s="64"/>
      <c r="LJY19" s="64"/>
      <c r="LJZ19" s="64"/>
      <c r="LKA19" s="64"/>
      <c r="LKB19" s="64"/>
      <c r="LKC19" s="64"/>
      <c r="LKD19" s="64"/>
      <c r="LKE19" s="64"/>
      <c r="LKF19" s="64"/>
      <c r="LKG19" s="64"/>
      <c r="LKH19" s="64"/>
      <c r="LKI19" s="64"/>
      <c r="LKJ19" s="64"/>
      <c r="LKK19" s="64"/>
      <c r="LKL19" s="64"/>
      <c r="LKM19" s="64"/>
      <c r="LKN19" s="64"/>
      <c r="LKO19" s="64"/>
      <c r="LKP19" s="64"/>
      <c r="LKQ19" s="64"/>
      <c r="LKR19" s="64"/>
      <c r="LKS19" s="64"/>
      <c r="LKT19" s="64"/>
      <c r="LKU19" s="64"/>
      <c r="LKV19" s="64"/>
      <c r="LKW19" s="64"/>
      <c r="LKX19" s="64"/>
      <c r="LKY19" s="64"/>
      <c r="LKZ19" s="64"/>
      <c r="LLA19" s="64"/>
      <c r="LLB19" s="64"/>
      <c r="LLC19" s="64"/>
      <c r="LLD19" s="64"/>
      <c r="LLE19" s="64"/>
      <c r="LLF19" s="64"/>
      <c r="LLG19" s="64"/>
      <c r="LLH19" s="64"/>
      <c r="LLI19" s="64"/>
      <c r="LLJ19" s="64"/>
      <c r="LLK19" s="64"/>
      <c r="LLL19" s="64"/>
      <c r="LLM19" s="64"/>
      <c r="LLN19" s="64"/>
      <c r="LLO19" s="64"/>
      <c r="LLP19" s="64"/>
      <c r="LLQ19" s="64"/>
      <c r="LLR19" s="64"/>
      <c r="LLS19" s="64"/>
      <c r="LLT19" s="64"/>
      <c r="LLU19" s="64"/>
      <c r="LLV19" s="64"/>
      <c r="LLW19" s="64"/>
      <c r="LLX19" s="64"/>
      <c r="LLY19" s="64"/>
      <c r="LLZ19" s="64"/>
      <c r="LMA19" s="64"/>
      <c r="LMB19" s="64"/>
      <c r="LMC19" s="64"/>
      <c r="LMD19" s="64"/>
      <c r="LME19" s="64"/>
      <c r="LMF19" s="64"/>
      <c r="LMG19" s="64"/>
      <c r="LMH19" s="64"/>
      <c r="LMI19" s="64"/>
      <c r="LMJ19" s="64"/>
      <c r="LMK19" s="64"/>
      <c r="LML19" s="64"/>
      <c r="LMM19" s="64"/>
      <c r="LMN19" s="64"/>
      <c r="LMO19" s="64"/>
      <c r="LMP19" s="64"/>
      <c r="LMQ19" s="64"/>
      <c r="LMR19" s="64"/>
      <c r="LMS19" s="64"/>
      <c r="LMT19" s="64"/>
      <c r="LMU19" s="64"/>
      <c r="LMV19" s="64"/>
      <c r="LMW19" s="64"/>
      <c r="LMX19" s="64"/>
      <c r="LMY19" s="64"/>
      <c r="LMZ19" s="64"/>
      <c r="LNA19" s="64"/>
      <c r="LNB19" s="64"/>
      <c r="LNC19" s="64"/>
      <c r="LND19" s="64"/>
      <c r="LNE19" s="64"/>
      <c r="LNF19" s="64"/>
      <c r="LNG19" s="64"/>
      <c r="LNH19" s="64"/>
      <c r="LNI19" s="64"/>
      <c r="LNJ19" s="64"/>
      <c r="LNK19" s="64"/>
      <c r="LNL19" s="64"/>
      <c r="LNM19" s="64"/>
      <c r="LNN19" s="64"/>
      <c r="LNO19" s="64"/>
      <c r="LNP19" s="64"/>
      <c r="LNQ19" s="64"/>
      <c r="LNR19" s="64"/>
      <c r="LNS19" s="64"/>
      <c r="LNT19" s="64"/>
      <c r="LNU19" s="64"/>
      <c r="LNV19" s="64"/>
      <c r="LNW19" s="64"/>
      <c r="LNX19" s="64"/>
      <c r="LNY19" s="64"/>
      <c r="LNZ19" s="64"/>
      <c r="LOA19" s="64"/>
      <c r="LOB19" s="64"/>
      <c r="LOC19" s="64"/>
      <c r="LOD19" s="64"/>
      <c r="LOE19" s="64"/>
      <c r="LOF19" s="64"/>
      <c r="LOG19" s="64"/>
      <c r="LOH19" s="64"/>
      <c r="LOI19" s="64"/>
      <c r="LOJ19" s="64"/>
      <c r="LOK19" s="64"/>
      <c r="LOL19" s="64"/>
      <c r="LOM19" s="64"/>
      <c r="LON19" s="64"/>
      <c r="LOO19" s="64"/>
      <c r="LOP19" s="64"/>
      <c r="LOQ19" s="64"/>
      <c r="LOR19" s="64"/>
      <c r="LOS19" s="64"/>
      <c r="LOT19" s="64"/>
      <c r="LOU19" s="64"/>
      <c r="LOV19" s="64"/>
      <c r="LOW19" s="64"/>
      <c r="LOX19" s="64"/>
      <c r="LOY19" s="64"/>
      <c r="LOZ19" s="64"/>
      <c r="LPA19" s="64"/>
      <c r="LPB19" s="64"/>
      <c r="LPC19" s="64"/>
      <c r="LPD19" s="64"/>
      <c r="LPE19" s="64"/>
      <c r="LPF19" s="64"/>
      <c r="LPG19" s="64"/>
      <c r="LPH19" s="64"/>
      <c r="LPI19" s="64"/>
      <c r="LPJ19" s="64"/>
      <c r="LPK19" s="64"/>
      <c r="LPL19" s="64"/>
      <c r="LPM19" s="64"/>
      <c r="LPN19" s="64"/>
      <c r="LPO19" s="64"/>
      <c r="LPP19" s="64"/>
      <c r="LPQ19" s="64"/>
      <c r="LPR19" s="64"/>
      <c r="LPS19" s="64"/>
      <c r="LPT19" s="64"/>
      <c r="LPU19" s="64"/>
      <c r="LPV19" s="64"/>
      <c r="LPW19" s="64"/>
      <c r="LPX19" s="64"/>
      <c r="LPY19" s="64"/>
      <c r="LPZ19" s="64"/>
      <c r="LQA19" s="64"/>
      <c r="LQB19" s="64"/>
      <c r="LQC19" s="64"/>
      <c r="LQD19" s="64"/>
      <c r="LQE19" s="64"/>
      <c r="LQF19" s="64"/>
      <c r="LQG19" s="64"/>
      <c r="LQH19" s="64"/>
      <c r="LQI19" s="64"/>
      <c r="LQJ19" s="64"/>
      <c r="LQK19" s="64"/>
      <c r="LQL19" s="64"/>
      <c r="LQM19" s="64"/>
      <c r="LQN19" s="64"/>
      <c r="LQO19" s="64"/>
      <c r="LQP19" s="64"/>
      <c r="LQQ19" s="64"/>
      <c r="LQR19" s="64"/>
      <c r="LQS19" s="64"/>
      <c r="LQT19" s="64"/>
      <c r="LQU19" s="64"/>
      <c r="LQV19" s="64"/>
      <c r="LQW19" s="64"/>
      <c r="LQX19" s="64"/>
      <c r="LQY19" s="64"/>
      <c r="LQZ19" s="64"/>
      <c r="LRA19" s="64"/>
      <c r="LRB19" s="64"/>
      <c r="LRC19" s="64"/>
      <c r="LRD19" s="64"/>
      <c r="LRE19" s="64"/>
      <c r="LRF19" s="64"/>
      <c r="LRG19" s="64"/>
      <c r="LRH19" s="64"/>
      <c r="LRI19" s="64"/>
      <c r="LRJ19" s="64"/>
      <c r="LRK19" s="64"/>
      <c r="LRL19" s="64"/>
      <c r="LRM19" s="64"/>
      <c r="LRN19" s="64"/>
      <c r="LRO19" s="64"/>
      <c r="LRP19" s="64"/>
      <c r="LRQ19" s="64"/>
      <c r="LRR19" s="64"/>
      <c r="LRS19" s="64"/>
      <c r="LRT19" s="64"/>
      <c r="LRU19" s="64"/>
      <c r="LRV19" s="64"/>
      <c r="LRW19" s="64"/>
      <c r="LRX19" s="64"/>
      <c r="LRY19" s="64"/>
      <c r="LRZ19" s="64"/>
      <c r="LSA19" s="64"/>
      <c r="LSB19" s="64"/>
      <c r="LSC19" s="64"/>
      <c r="LSD19" s="64"/>
      <c r="LSE19" s="64"/>
      <c r="LSF19" s="64"/>
      <c r="LSG19" s="64"/>
      <c r="LSH19" s="64"/>
      <c r="LSI19" s="64"/>
      <c r="LSJ19" s="64"/>
      <c r="LSK19" s="64"/>
      <c r="LSL19" s="64"/>
      <c r="LSM19" s="64"/>
      <c r="LSN19" s="64"/>
      <c r="LSO19" s="64"/>
      <c r="LSP19" s="64"/>
      <c r="LSQ19" s="64"/>
      <c r="LSR19" s="64"/>
      <c r="LSS19" s="64"/>
      <c r="LST19" s="64"/>
      <c r="LSU19" s="64"/>
      <c r="LSV19" s="64"/>
      <c r="LSW19" s="64"/>
      <c r="LSX19" s="64"/>
      <c r="LSY19" s="64"/>
      <c r="LSZ19" s="64"/>
      <c r="LTA19" s="64"/>
      <c r="LTB19" s="64"/>
      <c r="LTC19" s="64"/>
      <c r="LTD19" s="64"/>
      <c r="LTE19" s="64"/>
      <c r="LTF19" s="64"/>
      <c r="LTG19" s="64"/>
      <c r="LTH19" s="64"/>
      <c r="LTI19" s="64"/>
      <c r="LTJ19" s="64"/>
      <c r="LTK19" s="64"/>
      <c r="LTL19" s="64"/>
      <c r="LTM19" s="64"/>
      <c r="LTN19" s="64"/>
      <c r="LTO19" s="64"/>
      <c r="LTP19" s="64"/>
      <c r="LTQ19" s="64"/>
      <c r="LTR19" s="64"/>
      <c r="LTS19" s="64"/>
      <c r="LTT19" s="64"/>
      <c r="LTU19" s="64"/>
      <c r="LTV19" s="64"/>
      <c r="LTW19" s="64"/>
      <c r="LTX19" s="64"/>
      <c r="LTY19" s="64"/>
      <c r="LTZ19" s="64"/>
      <c r="LUA19" s="64"/>
      <c r="LUB19" s="64"/>
      <c r="LUC19" s="64"/>
      <c r="LUD19" s="64"/>
      <c r="LUE19" s="64"/>
      <c r="LUF19" s="64"/>
      <c r="LUG19" s="64"/>
      <c r="LUH19" s="64"/>
      <c r="LUI19" s="64"/>
      <c r="LUJ19" s="64"/>
      <c r="LUK19" s="64"/>
      <c r="LUL19" s="64"/>
      <c r="LUM19" s="64"/>
      <c r="LUN19" s="64"/>
      <c r="LUO19" s="64"/>
      <c r="LUP19" s="64"/>
      <c r="LUQ19" s="64"/>
      <c r="LUR19" s="64"/>
      <c r="LUS19" s="64"/>
      <c r="LUT19" s="64"/>
      <c r="LUU19" s="64"/>
      <c r="LUV19" s="64"/>
      <c r="LUW19" s="64"/>
      <c r="LUX19" s="64"/>
      <c r="LUY19" s="64"/>
      <c r="LUZ19" s="64"/>
      <c r="LVA19" s="64"/>
      <c r="LVB19" s="64"/>
      <c r="LVC19" s="64"/>
      <c r="LVD19" s="64"/>
      <c r="LVE19" s="64"/>
      <c r="LVF19" s="64"/>
      <c r="LVG19" s="64"/>
      <c r="LVH19" s="64"/>
      <c r="LVI19" s="64"/>
      <c r="LVJ19" s="64"/>
      <c r="LVK19" s="64"/>
      <c r="LVL19" s="64"/>
      <c r="LVM19" s="64"/>
      <c r="LVN19" s="64"/>
      <c r="LVO19" s="64"/>
      <c r="LVP19" s="64"/>
      <c r="LVQ19" s="64"/>
      <c r="LVR19" s="64"/>
      <c r="LVS19" s="64"/>
      <c r="LVT19" s="64"/>
      <c r="LVU19" s="64"/>
      <c r="LVV19" s="64"/>
      <c r="LVW19" s="64"/>
      <c r="LVX19" s="64"/>
      <c r="LVY19" s="64"/>
      <c r="LVZ19" s="64"/>
      <c r="LWA19" s="64"/>
      <c r="LWB19" s="64"/>
      <c r="LWC19" s="64"/>
      <c r="LWD19" s="64"/>
      <c r="LWE19" s="64"/>
      <c r="LWF19" s="64"/>
      <c r="LWG19" s="64"/>
      <c r="LWH19" s="64"/>
      <c r="LWI19" s="64"/>
      <c r="LWJ19" s="64"/>
      <c r="LWK19" s="64"/>
      <c r="LWL19" s="64"/>
      <c r="LWM19" s="64"/>
      <c r="LWN19" s="64"/>
      <c r="LWO19" s="64"/>
      <c r="LWP19" s="64"/>
      <c r="LWQ19" s="64"/>
      <c r="LWR19" s="64"/>
      <c r="LWS19" s="64"/>
      <c r="LWT19" s="64"/>
      <c r="LWU19" s="64"/>
      <c r="LWV19" s="64"/>
      <c r="LWW19" s="64"/>
      <c r="LWX19" s="64"/>
      <c r="LWY19" s="64"/>
      <c r="LWZ19" s="64"/>
      <c r="LXA19" s="64"/>
      <c r="LXB19" s="64"/>
      <c r="LXC19" s="64"/>
      <c r="LXD19" s="64"/>
      <c r="LXE19" s="64"/>
      <c r="LXF19" s="64"/>
      <c r="LXG19" s="64"/>
      <c r="LXH19" s="64"/>
      <c r="LXI19" s="64"/>
      <c r="LXJ19" s="64"/>
      <c r="LXK19" s="64"/>
      <c r="LXL19" s="64"/>
      <c r="LXM19" s="64"/>
      <c r="LXN19" s="64"/>
      <c r="LXO19" s="64"/>
      <c r="LXP19" s="64"/>
      <c r="LXQ19" s="64"/>
      <c r="LXR19" s="64"/>
      <c r="LXS19" s="64"/>
      <c r="LXT19" s="64"/>
      <c r="LXU19" s="64"/>
      <c r="LXV19" s="64"/>
      <c r="LXW19" s="64"/>
      <c r="LXX19" s="64"/>
      <c r="LXY19" s="64"/>
      <c r="LXZ19" s="64"/>
      <c r="LYA19" s="64"/>
      <c r="LYB19" s="64"/>
      <c r="LYC19" s="64"/>
      <c r="LYD19" s="64"/>
      <c r="LYE19" s="64"/>
      <c r="LYF19" s="64"/>
      <c r="LYG19" s="64"/>
      <c r="LYH19" s="64"/>
      <c r="LYI19" s="64"/>
      <c r="LYJ19" s="64"/>
      <c r="LYK19" s="64"/>
      <c r="LYL19" s="64"/>
      <c r="LYM19" s="64"/>
      <c r="LYN19" s="64"/>
      <c r="LYO19" s="64"/>
      <c r="LYP19" s="64"/>
      <c r="LYQ19" s="64"/>
      <c r="LYR19" s="64"/>
      <c r="LYS19" s="64"/>
      <c r="LYT19" s="64"/>
      <c r="LYU19" s="64"/>
      <c r="LYV19" s="64"/>
      <c r="LYW19" s="64"/>
      <c r="LYX19" s="64"/>
      <c r="LYY19" s="64"/>
      <c r="LYZ19" s="64"/>
      <c r="LZA19" s="64"/>
      <c r="LZB19" s="64"/>
      <c r="LZC19" s="64"/>
      <c r="LZD19" s="64"/>
      <c r="LZE19" s="64"/>
      <c r="LZF19" s="64"/>
      <c r="LZG19" s="64"/>
      <c r="LZH19" s="64"/>
      <c r="LZI19" s="64"/>
      <c r="LZJ19" s="64"/>
      <c r="LZK19" s="64"/>
      <c r="LZL19" s="64"/>
      <c r="LZM19" s="64"/>
      <c r="LZN19" s="64"/>
      <c r="LZO19" s="64"/>
      <c r="LZP19" s="64"/>
      <c r="LZQ19" s="64"/>
      <c r="LZR19" s="64"/>
      <c r="LZS19" s="64"/>
      <c r="LZT19" s="64"/>
      <c r="LZU19" s="64"/>
      <c r="LZV19" s="64"/>
      <c r="LZW19" s="64"/>
      <c r="LZX19" s="64"/>
      <c r="LZY19" s="64"/>
      <c r="LZZ19" s="64"/>
      <c r="MAA19" s="64"/>
      <c r="MAB19" s="64"/>
      <c r="MAC19" s="64"/>
      <c r="MAD19" s="64"/>
      <c r="MAE19" s="64"/>
      <c r="MAF19" s="64"/>
      <c r="MAG19" s="64"/>
      <c r="MAH19" s="64"/>
      <c r="MAI19" s="64"/>
      <c r="MAJ19" s="64"/>
      <c r="MAK19" s="64"/>
      <c r="MAL19" s="64"/>
      <c r="MAM19" s="64"/>
      <c r="MAN19" s="64"/>
      <c r="MAO19" s="64"/>
      <c r="MAP19" s="64"/>
      <c r="MAQ19" s="64"/>
      <c r="MAR19" s="64"/>
      <c r="MAS19" s="64"/>
      <c r="MAT19" s="64"/>
      <c r="MAU19" s="64"/>
      <c r="MAV19" s="64"/>
      <c r="MAW19" s="64"/>
      <c r="MAX19" s="64"/>
      <c r="MAY19" s="64"/>
      <c r="MAZ19" s="64"/>
      <c r="MBA19" s="64"/>
      <c r="MBB19" s="64"/>
      <c r="MBC19" s="64"/>
      <c r="MBD19" s="64"/>
      <c r="MBE19" s="64"/>
      <c r="MBF19" s="64"/>
      <c r="MBG19" s="64"/>
      <c r="MBH19" s="64"/>
      <c r="MBI19" s="64"/>
      <c r="MBJ19" s="64"/>
      <c r="MBK19" s="64"/>
      <c r="MBL19" s="64"/>
      <c r="MBM19" s="64"/>
      <c r="MBN19" s="64"/>
      <c r="MBO19" s="64"/>
      <c r="MBP19" s="64"/>
      <c r="MBQ19" s="64"/>
      <c r="MBR19" s="64"/>
      <c r="MBS19" s="64"/>
      <c r="MBT19" s="64"/>
      <c r="MBU19" s="64"/>
      <c r="MBV19" s="64"/>
      <c r="MBW19" s="64"/>
      <c r="MBX19" s="64"/>
      <c r="MBY19" s="64"/>
      <c r="MBZ19" s="64"/>
      <c r="MCA19" s="64"/>
      <c r="MCB19" s="64"/>
      <c r="MCC19" s="64"/>
      <c r="MCD19" s="64"/>
      <c r="MCE19" s="64"/>
      <c r="MCF19" s="64"/>
      <c r="MCG19" s="64"/>
      <c r="MCH19" s="64"/>
      <c r="MCI19" s="64"/>
      <c r="MCJ19" s="64"/>
      <c r="MCK19" s="64"/>
      <c r="MCL19" s="64"/>
      <c r="MCM19" s="64"/>
      <c r="MCN19" s="64"/>
      <c r="MCO19" s="64"/>
      <c r="MCP19" s="64"/>
      <c r="MCQ19" s="64"/>
      <c r="MCR19" s="64"/>
      <c r="MCS19" s="64"/>
      <c r="MCT19" s="64"/>
      <c r="MCU19" s="64"/>
      <c r="MCV19" s="64"/>
      <c r="MCW19" s="64"/>
      <c r="MCX19" s="64"/>
      <c r="MCY19" s="64"/>
      <c r="MCZ19" s="64"/>
      <c r="MDA19" s="64"/>
      <c r="MDB19" s="64"/>
      <c r="MDC19" s="64"/>
      <c r="MDD19" s="64"/>
      <c r="MDE19" s="64"/>
      <c r="MDF19" s="64"/>
      <c r="MDG19" s="64"/>
      <c r="MDH19" s="64"/>
      <c r="MDI19" s="64"/>
      <c r="MDJ19" s="64"/>
      <c r="MDK19" s="64"/>
      <c r="MDL19" s="64"/>
      <c r="MDM19" s="64"/>
      <c r="MDN19" s="64"/>
      <c r="MDO19" s="64"/>
      <c r="MDP19" s="64"/>
      <c r="MDQ19" s="64"/>
      <c r="MDR19" s="64"/>
      <c r="MDS19" s="64"/>
      <c r="MDT19" s="64"/>
      <c r="MDU19" s="64"/>
      <c r="MDV19" s="64"/>
      <c r="MDW19" s="64"/>
      <c r="MDX19" s="64"/>
      <c r="MDY19" s="64"/>
      <c r="MDZ19" s="64"/>
      <c r="MEA19" s="64"/>
      <c r="MEB19" s="64"/>
      <c r="MEC19" s="64"/>
      <c r="MED19" s="64"/>
      <c r="MEE19" s="64"/>
      <c r="MEF19" s="64"/>
      <c r="MEG19" s="64"/>
      <c r="MEH19" s="64"/>
      <c r="MEI19" s="64"/>
      <c r="MEJ19" s="64"/>
      <c r="MEK19" s="64"/>
      <c r="MEL19" s="64"/>
      <c r="MEM19" s="64"/>
      <c r="MEN19" s="64"/>
      <c r="MEO19" s="64"/>
      <c r="MEP19" s="64"/>
      <c r="MEQ19" s="64"/>
      <c r="MER19" s="64"/>
      <c r="MES19" s="64"/>
      <c r="MET19" s="64"/>
      <c r="MEU19" s="64"/>
      <c r="MEV19" s="64"/>
      <c r="MEW19" s="64"/>
      <c r="MEX19" s="64"/>
      <c r="MEY19" s="64"/>
      <c r="MEZ19" s="64"/>
      <c r="MFA19" s="64"/>
      <c r="MFB19" s="64"/>
      <c r="MFC19" s="64"/>
      <c r="MFD19" s="64"/>
      <c r="MFE19" s="64"/>
      <c r="MFF19" s="64"/>
      <c r="MFG19" s="64"/>
      <c r="MFH19" s="64"/>
      <c r="MFI19" s="64"/>
      <c r="MFJ19" s="64"/>
      <c r="MFK19" s="64"/>
      <c r="MFL19" s="64"/>
      <c r="MFM19" s="64"/>
      <c r="MFN19" s="64"/>
      <c r="MFO19" s="64"/>
      <c r="MFP19" s="64"/>
      <c r="MFQ19" s="64"/>
      <c r="MFR19" s="64"/>
      <c r="MFS19" s="64"/>
      <c r="MFT19" s="64"/>
      <c r="MFU19" s="64"/>
      <c r="MFV19" s="64"/>
      <c r="MFW19" s="64"/>
      <c r="MFX19" s="64"/>
      <c r="MFY19" s="64"/>
      <c r="MFZ19" s="64"/>
      <c r="MGA19" s="64"/>
      <c r="MGB19" s="64"/>
      <c r="MGC19" s="64"/>
      <c r="MGD19" s="64"/>
      <c r="MGE19" s="64"/>
      <c r="MGF19" s="64"/>
      <c r="MGG19" s="64"/>
      <c r="MGH19" s="64"/>
      <c r="MGI19" s="64"/>
      <c r="MGJ19" s="64"/>
      <c r="MGK19" s="64"/>
      <c r="MGL19" s="64"/>
      <c r="MGM19" s="64"/>
      <c r="MGN19" s="64"/>
      <c r="MGO19" s="64"/>
      <c r="MGP19" s="64"/>
      <c r="MGQ19" s="64"/>
      <c r="MGR19" s="64"/>
      <c r="MGS19" s="64"/>
      <c r="MGT19" s="64"/>
      <c r="MGU19" s="64"/>
      <c r="MGV19" s="64"/>
      <c r="MGW19" s="64"/>
      <c r="MGX19" s="64"/>
      <c r="MGY19" s="64"/>
      <c r="MGZ19" s="64"/>
      <c r="MHA19" s="64"/>
      <c r="MHB19" s="64"/>
      <c r="MHC19" s="64"/>
      <c r="MHD19" s="64"/>
      <c r="MHE19" s="64"/>
      <c r="MHF19" s="64"/>
      <c r="MHG19" s="64"/>
      <c r="MHH19" s="64"/>
      <c r="MHI19" s="64"/>
      <c r="MHJ19" s="64"/>
      <c r="MHK19" s="64"/>
      <c r="MHL19" s="64"/>
      <c r="MHM19" s="64"/>
      <c r="MHN19" s="64"/>
      <c r="MHO19" s="64"/>
      <c r="MHP19" s="64"/>
      <c r="MHQ19" s="64"/>
      <c r="MHR19" s="64"/>
      <c r="MHS19" s="64"/>
      <c r="MHT19" s="64"/>
      <c r="MHU19" s="64"/>
      <c r="MHV19" s="64"/>
      <c r="MHW19" s="64"/>
      <c r="MHX19" s="64"/>
      <c r="MHY19" s="64"/>
      <c r="MHZ19" s="64"/>
      <c r="MIA19" s="64"/>
      <c r="MIB19" s="64"/>
      <c r="MIC19" s="64"/>
      <c r="MID19" s="64"/>
      <c r="MIE19" s="64"/>
      <c r="MIF19" s="64"/>
      <c r="MIG19" s="64"/>
      <c r="MIH19" s="64"/>
      <c r="MII19" s="64"/>
      <c r="MIJ19" s="64"/>
      <c r="MIK19" s="64"/>
      <c r="MIL19" s="64"/>
      <c r="MIM19" s="64"/>
      <c r="MIN19" s="64"/>
      <c r="MIO19" s="64"/>
      <c r="MIP19" s="64"/>
      <c r="MIQ19" s="64"/>
      <c r="MIR19" s="64"/>
      <c r="MIS19" s="64"/>
      <c r="MIT19" s="64"/>
      <c r="MIU19" s="64"/>
      <c r="MIV19" s="64"/>
      <c r="MIW19" s="64"/>
      <c r="MIX19" s="64"/>
      <c r="MIY19" s="64"/>
      <c r="MIZ19" s="64"/>
      <c r="MJA19" s="64"/>
      <c r="MJB19" s="64"/>
      <c r="MJC19" s="64"/>
      <c r="MJD19" s="64"/>
      <c r="MJE19" s="64"/>
      <c r="MJF19" s="64"/>
      <c r="MJG19" s="64"/>
      <c r="MJH19" s="64"/>
      <c r="MJI19" s="64"/>
      <c r="MJJ19" s="64"/>
      <c r="MJK19" s="64"/>
      <c r="MJL19" s="64"/>
      <c r="MJM19" s="64"/>
      <c r="MJN19" s="64"/>
      <c r="MJO19" s="64"/>
      <c r="MJP19" s="64"/>
      <c r="MJQ19" s="64"/>
      <c r="MJR19" s="64"/>
      <c r="MJS19" s="64"/>
      <c r="MJT19" s="64"/>
      <c r="MJU19" s="64"/>
      <c r="MJV19" s="64"/>
      <c r="MJW19" s="64"/>
      <c r="MJX19" s="64"/>
      <c r="MJY19" s="64"/>
      <c r="MJZ19" s="64"/>
      <c r="MKA19" s="64"/>
      <c r="MKB19" s="64"/>
      <c r="MKC19" s="64"/>
      <c r="MKD19" s="64"/>
      <c r="MKE19" s="64"/>
      <c r="MKF19" s="64"/>
      <c r="MKG19" s="64"/>
      <c r="MKH19" s="64"/>
      <c r="MKI19" s="64"/>
      <c r="MKJ19" s="64"/>
      <c r="MKK19" s="64"/>
      <c r="MKL19" s="64"/>
      <c r="MKM19" s="64"/>
      <c r="MKN19" s="64"/>
      <c r="MKO19" s="64"/>
      <c r="MKP19" s="64"/>
      <c r="MKQ19" s="64"/>
      <c r="MKR19" s="64"/>
      <c r="MKS19" s="64"/>
      <c r="MKT19" s="64"/>
      <c r="MKU19" s="64"/>
      <c r="MKV19" s="64"/>
      <c r="MKW19" s="64"/>
      <c r="MKX19" s="64"/>
      <c r="MKY19" s="64"/>
      <c r="MKZ19" s="64"/>
      <c r="MLA19" s="64"/>
      <c r="MLB19" s="64"/>
      <c r="MLC19" s="64"/>
      <c r="MLD19" s="64"/>
      <c r="MLE19" s="64"/>
      <c r="MLF19" s="64"/>
      <c r="MLG19" s="64"/>
      <c r="MLH19" s="64"/>
      <c r="MLI19" s="64"/>
      <c r="MLJ19" s="64"/>
      <c r="MLK19" s="64"/>
      <c r="MLL19" s="64"/>
      <c r="MLM19" s="64"/>
      <c r="MLN19" s="64"/>
      <c r="MLO19" s="64"/>
      <c r="MLP19" s="64"/>
      <c r="MLQ19" s="64"/>
      <c r="MLR19" s="64"/>
      <c r="MLS19" s="64"/>
      <c r="MLT19" s="64"/>
      <c r="MLU19" s="64"/>
      <c r="MLV19" s="64"/>
      <c r="MLW19" s="64"/>
      <c r="MLX19" s="64"/>
      <c r="MLY19" s="64"/>
      <c r="MLZ19" s="64"/>
      <c r="MMA19" s="64"/>
      <c r="MMB19" s="64"/>
      <c r="MMC19" s="64"/>
      <c r="MMD19" s="64"/>
      <c r="MME19" s="64"/>
      <c r="MMF19" s="64"/>
      <c r="MMG19" s="64"/>
      <c r="MMH19" s="64"/>
      <c r="MMI19" s="64"/>
      <c r="MMJ19" s="64"/>
      <c r="MMK19" s="64"/>
      <c r="MML19" s="64"/>
      <c r="MMM19" s="64"/>
      <c r="MMN19" s="64"/>
      <c r="MMO19" s="64"/>
      <c r="MMP19" s="64"/>
      <c r="MMQ19" s="64"/>
      <c r="MMR19" s="64"/>
      <c r="MMS19" s="64"/>
      <c r="MMT19" s="64"/>
      <c r="MMU19" s="64"/>
      <c r="MMV19" s="64"/>
      <c r="MMW19" s="64"/>
      <c r="MMX19" s="64"/>
      <c r="MMY19" s="64"/>
      <c r="MMZ19" s="64"/>
      <c r="MNA19" s="64"/>
      <c r="MNB19" s="64"/>
      <c r="MNC19" s="64"/>
      <c r="MND19" s="64"/>
      <c r="MNE19" s="64"/>
      <c r="MNF19" s="64"/>
      <c r="MNG19" s="64"/>
      <c r="MNH19" s="64"/>
      <c r="MNI19" s="64"/>
      <c r="MNJ19" s="64"/>
      <c r="MNK19" s="64"/>
      <c r="MNL19" s="64"/>
      <c r="MNM19" s="64"/>
      <c r="MNN19" s="64"/>
      <c r="MNO19" s="64"/>
      <c r="MNP19" s="64"/>
      <c r="MNQ19" s="64"/>
      <c r="MNR19" s="64"/>
      <c r="MNS19" s="64"/>
      <c r="MNT19" s="64"/>
      <c r="MNU19" s="64"/>
      <c r="MNV19" s="64"/>
      <c r="MNW19" s="64"/>
      <c r="MNX19" s="64"/>
      <c r="MNY19" s="64"/>
      <c r="MNZ19" s="64"/>
      <c r="MOA19" s="64"/>
      <c r="MOB19" s="64"/>
      <c r="MOC19" s="64"/>
      <c r="MOD19" s="64"/>
      <c r="MOE19" s="64"/>
      <c r="MOF19" s="64"/>
      <c r="MOG19" s="64"/>
      <c r="MOH19" s="64"/>
      <c r="MOI19" s="64"/>
      <c r="MOJ19" s="64"/>
      <c r="MOK19" s="64"/>
      <c r="MOL19" s="64"/>
      <c r="MOM19" s="64"/>
      <c r="MON19" s="64"/>
      <c r="MOO19" s="64"/>
      <c r="MOP19" s="64"/>
      <c r="MOQ19" s="64"/>
      <c r="MOR19" s="64"/>
      <c r="MOS19" s="64"/>
      <c r="MOT19" s="64"/>
      <c r="MOU19" s="64"/>
      <c r="MOV19" s="64"/>
      <c r="MOW19" s="64"/>
      <c r="MOX19" s="64"/>
      <c r="MOY19" s="64"/>
      <c r="MOZ19" s="64"/>
      <c r="MPA19" s="64"/>
      <c r="MPB19" s="64"/>
      <c r="MPC19" s="64"/>
      <c r="MPD19" s="64"/>
      <c r="MPE19" s="64"/>
      <c r="MPF19" s="64"/>
      <c r="MPG19" s="64"/>
      <c r="MPH19" s="64"/>
      <c r="MPI19" s="64"/>
      <c r="MPJ19" s="64"/>
      <c r="MPK19" s="64"/>
      <c r="MPL19" s="64"/>
      <c r="MPM19" s="64"/>
      <c r="MPN19" s="64"/>
      <c r="MPO19" s="64"/>
      <c r="MPP19" s="64"/>
      <c r="MPQ19" s="64"/>
      <c r="MPR19" s="64"/>
      <c r="MPS19" s="64"/>
      <c r="MPT19" s="64"/>
      <c r="MPU19" s="64"/>
      <c r="MPV19" s="64"/>
      <c r="MPW19" s="64"/>
      <c r="MPX19" s="64"/>
      <c r="MPY19" s="64"/>
      <c r="MPZ19" s="64"/>
      <c r="MQA19" s="64"/>
      <c r="MQB19" s="64"/>
      <c r="MQC19" s="64"/>
      <c r="MQD19" s="64"/>
      <c r="MQE19" s="64"/>
      <c r="MQF19" s="64"/>
      <c r="MQG19" s="64"/>
      <c r="MQH19" s="64"/>
      <c r="MQI19" s="64"/>
      <c r="MQJ19" s="64"/>
      <c r="MQK19" s="64"/>
      <c r="MQL19" s="64"/>
      <c r="MQM19" s="64"/>
      <c r="MQN19" s="64"/>
      <c r="MQO19" s="64"/>
      <c r="MQP19" s="64"/>
      <c r="MQQ19" s="64"/>
      <c r="MQR19" s="64"/>
      <c r="MQS19" s="64"/>
      <c r="MQT19" s="64"/>
      <c r="MQU19" s="64"/>
      <c r="MQV19" s="64"/>
      <c r="MQW19" s="64"/>
      <c r="MQX19" s="64"/>
      <c r="MQY19" s="64"/>
      <c r="MQZ19" s="64"/>
      <c r="MRA19" s="64"/>
      <c r="MRB19" s="64"/>
      <c r="MRC19" s="64"/>
      <c r="MRD19" s="64"/>
      <c r="MRE19" s="64"/>
      <c r="MRF19" s="64"/>
      <c r="MRG19" s="64"/>
      <c r="MRH19" s="64"/>
      <c r="MRI19" s="64"/>
      <c r="MRJ19" s="64"/>
      <c r="MRK19" s="64"/>
      <c r="MRL19" s="64"/>
      <c r="MRM19" s="64"/>
      <c r="MRN19" s="64"/>
      <c r="MRO19" s="64"/>
      <c r="MRP19" s="64"/>
      <c r="MRQ19" s="64"/>
      <c r="MRR19" s="64"/>
      <c r="MRS19" s="64"/>
      <c r="MRT19" s="64"/>
      <c r="MRU19" s="64"/>
      <c r="MRV19" s="64"/>
      <c r="MRW19" s="64"/>
      <c r="MRX19" s="64"/>
      <c r="MRY19" s="64"/>
      <c r="MRZ19" s="64"/>
      <c r="MSA19" s="64"/>
      <c r="MSB19" s="64"/>
      <c r="MSC19" s="64"/>
      <c r="MSD19" s="64"/>
      <c r="MSE19" s="64"/>
      <c r="MSF19" s="64"/>
      <c r="MSG19" s="64"/>
      <c r="MSH19" s="64"/>
      <c r="MSI19" s="64"/>
      <c r="MSJ19" s="64"/>
      <c r="MSK19" s="64"/>
      <c r="MSL19" s="64"/>
      <c r="MSM19" s="64"/>
      <c r="MSN19" s="64"/>
      <c r="MSO19" s="64"/>
      <c r="MSP19" s="64"/>
      <c r="MSQ19" s="64"/>
      <c r="MSR19" s="64"/>
      <c r="MSS19" s="64"/>
      <c r="MST19" s="64"/>
      <c r="MSU19" s="64"/>
      <c r="MSV19" s="64"/>
      <c r="MSW19" s="64"/>
      <c r="MSX19" s="64"/>
      <c r="MSY19" s="64"/>
      <c r="MSZ19" s="64"/>
      <c r="MTA19" s="64"/>
      <c r="MTB19" s="64"/>
      <c r="MTC19" s="64"/>
      <c r="MTD19" s="64"/>
      <c r="MTE19" s="64"/>
      <c r="MTF19" s="64"/>
      <c r="MTG19" s="64"/>
      <c r="MTH19" s="64"/>
      <c r="MTI19" s="64"/>
      <c r="MTJ19" s="64"/>
      <c r="MTK19" s="64"/>
      <c r="MTL19" s="64"/>
      <c r="MTM19" s="64"/>
      <c r="MTN19" s="64"/>
      <c r="MTO19" s="64"/>
      <c r="MTP19" s="64"/>
      <c r="MTQ19" s="64"/>
      <c r="MTR19" s="64"/>
      <c r="MTS19" s="64"/>
      <c r="MTT19" s="64"/>
      <c r="MTU19" s="64"/>
      <c r="MTV19" s="64"/>
      <c r="MTW19" s="64"/>
      <c r="MTX19" s="64"/>
      <c r="MTY19" s="64"/>
      <c r="MTZ19" s="64"/>
      <c r="MUA19" s="64"/>
      <c r="MUB19" s="64"/>
      <c r="MUC19" s="64"/>
      <c r="MUD19" s="64"/>
      <c r="MUE19" s="64"/>
      <c r="MUF19" s="64"/>
      <c r="MUG19" s="64"/>
      <c r="MUH19" s="64"/>
      <c r="MUI19" s="64"/>
      <c r="MUJ19" s="64"/>
      <c r="MUK19" s="64"/>
      <c r="MUL19" s="64"/>
      <c r="MUM19" s="64"/>
      <c r="MUN19" s="64"/>
      <c r="MUO19" s="64"/>
      <c r="MUP19" s="64"/>
      <c r="MUQ19" s="64"/>
      <c r="MUR19" s="64"/>
      <c r="MUS19" s="64"/>
      <c r="MUT19" s="64"/>
      <c r="MUU19" s="64"/>
      <c r="MUV19" s="64"/>
      <c r="MUW19" s="64"/>
      <c r="MUX19" s="64"/>
      <c r="MUY19" s="64"/>
      <c r="MUZ19" s="64"/>
      <c r="MVA19" s="64"/>
      <c r="MVB19" s="64"/>
      <c r="MVC19" s="64"/>
      <c r="MVD19" s="64"/>
      <c r="MVE19" s="64"/>
      <c r="MVF19" s="64"/>
      <c r="MVG19" s="64"/>
      <c r="MVH19" s="64"/>
      <c r="MVI19" s="64"/>
      <c r="MVJ19" s="64"/>
      <c r="MVK19" s="64"/>
      <c r="MVL19" s="64"/>
      <c r="MVM19" s="64"/>
      <c r="MVN19" s="64"/>
      <c r="MVO19" s="64"/>
      <c r="MVP19" s="64"/>
      <c r="MVQ19" s="64"/>
      <c r="MVR19" s="64"/>
      <c r="MVS19" s="64"/>
      <c r="MVT19" s="64"/>
      <c r="MVU19" s="64"/>
      <c r="MVV19" s="64"/>
      <c r="MVW19" s="64"/>
      <c r="MVX19" s="64"/>
      <c r="MVY19" s="64"/>
      <c r="MVZ19" s="64"/>
      <c r="MWA19" s="64"/>
      <c r="MWB19" s="64"/>
      <c r="MWC19" s="64"/>
      <c r="MWD19" s="64"/>
      <c r="MWE19" s="64"/>
      <c r="MWF19" s="64"/>
      <c r="MWG19" s="64"/>
      <c r="MWH19" s="64"/>
      <c r="MWI19" s="64"/>
      <c r="MWJ19" s="64"/>
      <c r="MWK19" s="64"/>
      <c r="MWL19" s="64"/>
      <c r="MWM19" s="64"/>
      <c r="MWN19" s="64"/>
      <c r="MWO19" s="64"/>
      <c r="MWP19" s="64"/>
      <c r="MWQ19" s="64"/>
      <c r="MWR19" s="64"/>
      <c r="MWS19" s="64"/>
      <c r="MWT19" s="64"/>
      <c r="MWU19" s="64"/>
      <c r="MWV19" s="64"/>
      <c r="MWW19" s="64"/>
      <c r="MWX19" s="64"/>
      <c r="MWY19" s="64"/>
      <c r="MWZ19" s="64"/>
      <c r="MXA19" s="64"/>
      <c r="MXB19" s="64"/>
      <c r="MXC19" s="64"/>
      <c r="MXD19" s="64"/>
      <c r="MXE19" s="64"/>
      <c r="MXF19" s="64"/>
      <c r="MXG19" s="64"/>
      <c r="MXH19" s="64"/>
      <c r="MXI19" s="64"/>
      <c r="MXJ19" s="64"/>
      <c r="MXK19" s="64"/>
      <c r="MXL19" s="64"/>
      <c r="MXM19" s="64"/>
      <c r="MXN19" s="64"/>
      <c r="MXO19" s="64"/>
      <c r="MXP19" s="64"/>
      <c r="MXQ19" s="64"/>
      <c r="MXR19" s="64"/>
      <c r="MXS19" s="64"/>
      <c r="MXT19" s="64"/>
      <c r="MXU19" s="64"/>
      <c r="MXV19" s="64"/>
      <c r="MXW19" s="64"/>
      <c r="MXX19" s="64"/>
      <c r="MXY19" s="64"/>
      <c r="MXZ19" s="64"/>
      <c r="MYA19" s="64"/>
      <c r="MYB19" s="64"/>
      <c r="MYC19" s="64"/>
      <c r="MYD19" s="64"/>
      <c r="MYE19" s="64"/>
      <c r="MYF19" s="64"/>
      <c r="MYG19" s="64"/>
      <c r="MYH19" s="64"/>
      <c r="MYI19" s="64"/>
      <c r="MYJ19" s="64"/>
      <c r="MYK19" s="64"/>
      <c r="MYL19" s="64"/>
      <c r="MYM19" s="64"/>
      <c r="MYN19" s="64"/>
      <c r="MYO19" s="64"/>
      <c r="MYP19" s="64"/>
      <c r="MYQ19" s="64"/>
      <c r="MYR19" s="64"/>
      <c r="MYS19" s="64"/>
      <c r="MYT19" s="64"/>
      <c r="MYU19" s="64"/>
      <c r="MYV19" s="64"/>
      <c r="MYW19" s="64"/>
      <c r="MYX19" s="64"/>
      <c r="MYY19" s="64"/>
      <c r="MYZ19" s="64"/>
      <c r="MZA19" s="64"/>
      <c r="MZB19" s="64"/>
      <c r="MZC19" s="64"/>
      <c r="MZD19" s="64"/>
      <c r="MZE19" s="64"/>
      <c r="MZF19" s="64"/>
      <c r="MZG19" s="64"/>
      <c r="MZH19" s="64"/>
      <c r="MZI19" s="64"/>
      <c r="MZJ19" s="64"/>
      <c r="MZK19" s="64"/>
      <c r="MZL19" s="64"/>
      <c r="MZM19" s="64"/>
      <c r="MZN19" s="64"/>
      <c r="MZO19" s="64"/>
      <c r="MZP19" s="64"/>
      <c r="MZQ19" s="64"/>
      <c r="MZR19" s="64"/>
      <c r="MZS19" s="64"/>
      <c r="MZT19" s="64"/>
      <c r="MZU19" s="64"/>
      <c r="MZV19" s="64"/>
      <c r="MZW19" s="64"/>
      <c r="MZX19" s="64"/>
      <c r="MZY19" s="64"/>
      <c r="MZZ19" s="64"/>
      <c r="NAA19" s="64"/>
      <c r="NAB19" s="64"/>
      <c r="NAC19" s="64"/>
      <c r="NAD19" s="64"/>
      <c r="NAE19" s="64"/>
      <c r="NAF19" s="64"/>
      <c r="NAG19" s="64"/>
      <c r="NAH19" s="64"/>
      <c r="NAI19" s="64"/>
      <c r="NAJ19" s="64"/>
      <c r="NAK19" s="64"/>
      <c r="NAL19" s="64"/>
      <c r="NAM19" s="64"/>
      <c r="NAN19" s="64"/>
      <c r="NAO19" s="64"/>
      <c r="NAP19" s="64"/>
      <c r="NAQ19" s="64"/>
      <c r="NAR19" s="64"/>
      <c r="NAS19" s="64"/>
      <c r="NAT19" s="64"/>
      <c r="NAU19" s="64"/>
      <c r="NAV19" s="64"/>
      <c r="NAW19" s="64"/>
      <c r="NAX19" s="64"/>
      <c r="NAY19" s="64"/>
      <c r="NAZ19" s="64"/>
      <c r="NBA19" s="64"/>
      <c r="NBB19" s="64"/>
      <c r="NBC19" s="64"/>
      <c r="NBD19" s="64"/>
      <c r="NBE19" s="64"/>
      <c r="NBF19" s="64"/>
      <c r="NBG19" s="64"/>
      <c r="NBH19" s="64"/>
      <c r="NBI19" s="64"/>
      <c r="NBJ19" s="64"/>
      <c r="NBK19" s="64"/>
      <c r="NBL19" s="64"/>
      <c r="NBM19" s="64"/>
      <c r="NBN19" s="64"/>
      <c r="NBO19" s="64"/>
      <c r="NBP19" s="64"/>
      <c r="NBQ19" s="64"/>
      <c r="NBR19" s="64"/>
      <c r="NBS19" s="64"/>
      <c r="NBT19" s="64"/>
      <c r="NBU19" s="64"/>
      <c r="NBV19" s="64"/>
      <c r="NBW19" s="64"/>
      <c r="NBX19" s="64"/>
      <c r="NBY19" s="64"/>
      <c r="NBZ19" s="64"/>
      <c r="NCA19" s="64"/>
      <c r="NCB19" s="64"/>
      <c r="NCC19" s="64"/>
      <c r="NCD19" s="64"/>
      <c r="NCE19" s="64"/>
      <c r="NCF19" s="64"/>
      <c r="NCG19" s="64"/>
      <c r="NCH19" s="64"/>
      <c r="NCI19" s="64"/>
      <c r="NCJ19" s="64"/>
      <c r="NCK19" s="64"/>
      <c r="NCL19" s="64"/>
      <c r="NCM19" s="64"/>
      <c r="NCN19" s="64"/>
      <c r="NCO19" s="64"/>
      <c r="NCP19" s="64"/>
      <c r="NCQ19" s="64"/>
      <c r="NCR19" s="64"/>
      <c r="NCS19" s="64"/>
      <c r="NCT19" s="64"/>
      <c r="NCU19" s="64"/>
      <c r="NCV19" s="64"/>
      <c r="NCW19" s="64"/>
      <c r="NCX19" s="64"/>
      <c r="NCY19" s="64"/>
      <c r="NCZ19" s="64"/>
      <c r="NDA19" s="64"/>
      <c r="NDB19" s="64"/>
      <c r="NDC19" s="64"/>
      <c r="NDD19" s="64"/>
      <c r="NDE19" s="64"/>
      <c r="NDF19" s="64"/>
      <c r="NDG19" s="64"/>
      <c r="NDH19" s="64"/>
      <c r="NDI19" s="64"/>
      <c r="NDJ19" s="64"/>
      <c r="NDK19" s="64"/>
      <c r="NDL19" s="64"/>
      <c r="NDM19" s="64"/>
      <c r="NDN19" s="64"/>
      <c r="NDO19" s="64"/>
      <c r="NDP19" s="64"/>
      <c r="NDQ19" s="64"/>
      <c r="NDR19" s="64"/>
      <c r="NDS19" s="64"/>
      <c r="NDT19" s="64"/>
      <c r="NDU19" s="64"/>
      <c r="NDV19" s="64"/>
      <c r="NDW19" s="64"/>
      <c r="NDX19" s="64"/>
      <c r="NDY19" s="64"/>
      <c r="NDZ19" s="64"/>
      <c r="NEA19" s="64"/>
      <c r="NEB19" s="64"/>
      <c r="NEC19" s="64"/>
      <c r="NED19" s="64"/>
      <c r="NEE19" s="64"/>
      <c r="NEF19" s="64"/>
      <c r="NEG19" s="64"/>
      <c r="NEH19" s="64"/>
      <c r="NEI19" s="64"/>
      <c r="NEJ19" s="64"/>
      <c r="NEK19" s="64"/>
      <c r="NEL19" s="64"/>
      <c r="NEM19" s="64"/>
      <c r="NEN19" s="64"/>
      <c r="NEO19" s="64"/>
      <c r="NEP19" s="64"/>
      <c r="NEQ19" s="64"/>
      <c r="NER19" s="64"/>
      <c r="NES19" s="64"/>
      <c r="NET19" s="64"/>
      <c r="NEU19" s="64"/>
      <c r="NEV19" s="64"/>
      <c r="NEW19" s="64"/>
      <c r="NEX19" s="64"/>
      <c r="NEY19" s="64"/>
      <c r="NEZ19" s="64"/>
      <c r="NFA19" s="64"/>
      <c r="NFB19" s="64"/>
      <c r="NFC19" s="64"/>
      <c r="NFD19" s="64"/>
      <c r="NFE19" s="64"/>
      <c r="NFF19" s="64"/>
      <c r="NFG19" s="64"/>
      <c r="NFH19" s="64"/>
      <c r="NFI19" s="64"/>
      <c r="NFJ19" s="64"/>
      <c r="NFK19" s="64"/>
      <c r="NFL19" s="64"/>
      <c r="NFM19" s="64"/>
      <c r="NFN19" s="64"/>
      <c r="NFO19" s="64"/>
      <c r="NFP19" s="64"/>
      <c r="NFQ19" s="64"/>
      <c r="NFR19" s="64"/>
      <c r="NFS19" s="64"/>
      <c r="NFT19" s="64"/>
      <c r="NFU19" s="64"/>
      <c r="NFV19" s="64"/>
      <c r="NFW19" s="64"/>
      <c r="NFX19" s="64"/>
      <c r="NFY19" s="64"/>
      <c r="NFZ19" s="64"/>
      <c r="NGA19" s="64"/>
      <c r="NGB19" s="64"/>
      <c r="NGC19" s="64"/>
      <c r="NGD19" s="64"/>
      <c r="NGE19" s="64"/>
      <c r="NGF19" s="64"/>
      <c r="NGG19" s="64"/>
      <c r="NGH19" s="64"/>
      <c r="NGI19" s="64"/>
      <c r="NGJ19" s="64"/>
      <c r="NGK19" s="64"/>
      <c r="NGL19" s="64"/>
      <c r="NGM19" s="64"/>
      <c r="NGN19" s="64"/>
      <c r="NGO19" s="64"/>
      <c r="NGP19" s="64"/>
      <c r="NGQ19" s="64"/>
      <c r="NGR19" s="64"/>
      <c r="NGS19" s="64"/>
      <c r="NGT19" s="64"/>
      <c r="NGU19" s="64"/>
      <c r="NGV19" s="64"/>
      <c r="NGW19" s="64"/>
      <c r="NGX19" s="64"/>
      <c r="NGY19" s="64"/>
      <c r="NGZ19" s="64"/>
      <c r="NHA19" s="64"/>
      <c r="NHB19" s="64"/>
      <c r="NHC19" s="64"/>
      <c r="NHD19" s="64"/>
      <c r="NHE19" s="64"/>
      <c r="NHF19" s="64"/>
      <c r="NHG19" s="64"/>
      <c r="NHH19" s="64"/>
      <c r="NHI19" s="64"/>
      <c r="NHJ19" s="64"/>
      <c r="NHK19" s="64"/>
      <c r="NHL19" s="64"/>
      <c r="NHM19" s="64"/>
      <c r="NHN19" s="64"/>
      <c r="NHO19" s="64"/>
      <c r="NHP19" s="64"/>
      <c r="NHQ19" s="64"/>
      <c r="NHR19" s="64"/>
      <c r="NHS19" s="64"/>
      <c r="NHT19" s="64"/>
      <c r="NHU19" s="64"/>
      <c r="NHV19" s="64"/>
      <c r="NHW19" s="64"/>
      <c r="NHX19" s="64"/>
      <c r="NHY19" s="64"/>
      <c r="NHZ19" s="64"/>
      <c r="NIA19" s="64"/>
      <c r="NIB19" s="64"/>
      <c r="NIC19" s="64"/>
      <c r="NID19" s="64"/>
      <c r="NIE19" s="64"/>
      <c r="NIF19" s="64"/>
      <c r="NIG19" s="64"/>
      <c r="NIH19" s="64"/>
      <c r="NII19" s="64"/>
      <c r="NIJ19" s="64"/>
      <c r="NIK19" s="64"/>
      <c r="NIL19" s="64"/>
      <c r="NIM19" s="64"/>
      <c r="NIN19" s="64"/>
      <c r="NIO19" s="64"/>
      <c r="NIP19" s="64"/>
      <c r="NIQ19" s="64"/>
      <c r="NIR19" s="64"/>
      <c r="NIS19" s="64"/>
      <c r="NIT19" s="64"/>
      <c r="NIU19" s="64"/>
      <c r="NIV19" s="64"/>
      <c r="NIW19" s="64"/>
      <c r="NIX19" s="64"/>
      <c r="NIY19" s="64"/>
      <c r="NIZ19" s="64"/>
      <c r="NJA19" s="64"/>
      <c r="NJB19" s="64"/>
      <c r="NJC19" s="64"/>
      <c r="NJD19" s="64"/>
      <c r="NJE19" s="64"/>
      <c r="NJF19" s="64"/>
      <c r="NJG19" s="64"/>
      <c r="NJH19" s="64"/>
      <c r="NJI19" s="64"/>
      <c r="NJJ19" s="64"/>
      <c r="NJK19" s="64"/>
      <c r="NJL19" s="64"/>
      <c r="NJM19" s="64"/>
      <c r="NJN19" s="64"/>
      <c r="NJO19" s="64"/>
      <c r="NJP19" s="64"/>
      <c r="NJQ19" s="64"/>
      <c r="NJR19" s="64"/>
      <c r="NJS19" s="64"/>
      <c r="NJT19" s="64"/>
      <c r="NJU19" s="64"/>
      <c r="NJV19" s="64"/>
      <c r="NJW19" s="64"/>
      <c r="NJX19" s="64"/>
      <c r="NJY19" s="64"/>
      <c r="NJZ19" s="64"/>
      <c r="NKA19" s="64"/>
      <c r="NKB19" s="64"/>
      <c r="NKC19" s="64"/>
      <c r="NKD19" s="64"/>
      <c r="NKE19" s="64"/>
      <c r="NKF19" s="64"/>
      <c r="NKG19" s="64"/>
      <c r="NKH19" s="64"/>
      <c r="NKI19" s="64"/>
      <c r="NKJ19" s="64"/>
      <c r="NKK19" s="64"/>
      <c r="NKL19" s="64"/>
      <c r="NKM19" s="64"/>
      <c r="NKN19" s="64"/>
      <c r="NKO19" s="64"/>
      <c r="NKP19" s="64"/>
      <c r="NKQ19" s="64"/>
      <c r="NKR19" s="64"/>
      <c r="NKS19" s="64"/>
      <c r="NKT19" s="64"/>
      <c r="NKU19" s="64"/>
      <c r="NKV19" s="64"/>
      <c r="NKW19" s="64"/>
      <c r="NKX19" s="64"/>
      <c r="NKY19" s="64"/>
      <c r="NKZ19" s="64"/>
      <c r="NLA19" s="64"/>
      <c r="NLB19" s="64"/>
      <c r="NLC19" s="64"/>
      <c r="NLD19" s="64"/>
      <c r="NLE19" s="64"/>
      <c r="NLF19" s="64"/>
      <c r="NLG19" s="64"/>
      <c r="NLH19" s="64"/>
      <c r="NLI19" s="64"/>
      <c r="NLJ19" s="64"/>
      <c r="NLK19" s="64"/>
      <c r="NLL19" s="64"/>
      <c r="NLM19" s="64"/>
      <c r="NLN19" s="64"/>
      <c r="NLO19" s="64"/>
      <c r="NLP19" s="64"/>
      <c r="NLQ19" s="64"/>
      <c r="NLR19" s="64"/>
      <c r="NLS19" s="64"/>
      <c r="NLT19" s="64"/>
      <c r="NLU19" s="64"/>
      <c r="NLV19" s="64"/>
      <c r="NLW19" s="64"/>
      <c r="NLX19" s="64"/>
      <c r="NLY19" s="64"/>
      <c r="NLZ19" s="64"/>
      <c r="NMA19" s="64"/>
      <c r="NMB19" s="64"/>
      <c r="NMC19" s="64"/>
      <c r="NMD19" s="64"/>
      <c r="NME19" s="64"/>
      <c r="NMF19" s="64"/>
      <c r="NMG19" s="64"/>
      <c r="NMH19" s="64"/>
      <c r="NMI19" s="64"/>
      <c r="NMJ19" s="64"/>
      <c r="NMK19" s="64"/>
      <c r="NML19" s="64"/>
      <c r="NMM19" s="64"/>
      <c r="NMN19" s="64"/>
      <c r="NMO19" s="64"/>
      <c r="NMP19" s="64"/>
      <c r="NMQ19" s="64"/>
      <c r="NMR19" s="64"/>
      <c r="NMS19" s="64"/>
      <c r="NMT19" s="64"/>
      <c r="NMU19" s="64"/>
      <c r="NMV19" s="64"/>
      <c r="NMW19" s="64"/>
      <c r="NMX19" s="64"/>
      <c r="NMY19" s="64"/>
      <c r="NMZ19" s="64"/>
      <c r="NNA19" s="64"/>
      <c r="NNB19" s="64"/>
      <c r="NNC19" s="64"/>
      <c r="NND19" s="64"/>
      <c r="NNE19" s="64"/>
      <c r="NNF19" s="64"/>
      <c r="NNG19" s="64"/>
      <c r="NNH19" s="64"/>
      <c r="NNI19" s="64"/>
      <c r="NNJ19" s="64"/>
      <c r="NNK19" s="64"/>
      <c r="NNL19" s="64"/>
      <c r="NNM19" s="64"/>
      <c r="NNN19" s="64"/>
      <c r="NNO19" s="64"/>
      <c r="NNP19" s="64"/>
      <c r="NNQ19" s="64"/>
      <c r="NNR19" s="64"/>
      <c r="NNS19" s="64"/>
      <c r="NNT19" s="64"/>
      <c r="NNU19" s="64"/>
      <c r="NNV19" s="64"/>
      <c r="NNW19" s="64"/>
      <c r="NNX19" s="64"/>
      <c r="NNY19" s="64"/>
      <c r="NNZ19" s="64"/>
      <c r="NOA19" s="64"/>
      <c r="NOB19" s="64"/>
      <c r="NOC19" s="64"/>
      <c r="NOD19" s="64"/>
      <c r="NOE19" s="64"/>
      <c r="NOF19" s="64"/>
      <c r="NOG19" s="64"/>
      <c r="NOH19" s="64"/>
      <c r="NOI19" s="64"/>
      <c r="NOJ19" s="64"/>
      <c r="NOK19" s="64"/>
      <c r="NOL19" s="64"/>
      <c r="NOM19" s="64"/>
      <c r="NON19" s="64"/>
      <c r="NOO19" s="64"/>
      <c r="NOP19" s="64"/>
      <c r="NOQ19" s="64"/>
      <c r="NOR19" s="64"/>
      <c r="NOS19" s="64"/>
      <c r="NOT19" s="64"/>
      <c r="NOU19" s="64"/>
      <c r="NOV19" s="64"/>
      <c r="NOW19" s="64"/>
      <c r="NOX19" s="64"/>
      <c r="NOY19" s="64"/>
      <c r="NOZ19" s="64"/>
      <c r="NPA19" s="64"/>
      <c r="NPB19" s="64"/>
      <c r="NPC19" s="64"/>
      <c r="NPD19" s="64"/>
      <c r="NPE19" s="64"/>
      <c r="NPF19" s="64"/>
      <c r="NPG19" s="64"/>
      <c r="NPH19" s="64"/>
      <c r="NPI19" s="64"/>
      <c r="NPJ19" s="64"/>
      <c r="NPK19" s="64"/>
      <c r="NPL19" s="64"/>
      <c r="NPM19" s="64"/>
      <c r="NPN19" s="64"/>
      <c r="NPO19" s="64"/>
      <c r="NPP19" s="64"/>
      <c r="NPQ19" s="64"/>
      <c r="NPR19" s="64"/>
      <c r="NPS19" s="64"/>
      <c r="NPT19" s="64"/>
      <c r="NPU19" s="64"/>
      <c r="NPV19" s="64"/>
      <c r="NPW19" s="64"/>
      <c r="NPX19" s="64"/>
      <c r="NPY19" s="64"/>
      <c r="NPZ19" s="64"/>
      <c r="NQA19" s="64"/>
      <c r="NQB19" s="64"/>
      <c r="NQC19" s="64"/>
      <c r="NQD19" s="64"/>
      <c r="NQE19" s="64"/>
      <c r="NQF19" s="64"/>
      <c r="NQG19" s="64"/>
      <c r="NQH19" s="64"/>
      <c r="NQI19" s="64"/>
      <c r="NQJ19" s="64"/>
      <c r="NQK19" s="64"/>
      <c r="NQL19" s="64"/>
      <c r="NQM19" s="64"/>
      <c r="NQN19" s="64"/>
      <c r="NQO19" s="64"/>
      <c r="NQP19" s="64"/>
      <c r="NQQ19" s="64"/>
      <c r="NQR19" s="64"/>
      <c r="NQS19" s="64"/>
      <c r="NQT19" s="64"/>
      <c r="NQU19" s="64"/>
      <c r="NQV19" s="64"/>
      <c r="NQW19" s="64"/>
      <c r="NQX19" s="64"/>
      <c r="NQY19" s="64"/>
      <c r="NQZ19" s="64"/>
      <c r="NRA19" s="64"/>
      <c r="NRB19" s="64"/>
      <c r="NRC19" s="64"/>
      <c r="NRD19" s="64"/>
      <c r="NRE19" s="64"/>
      <c r="NRF19" s="64"/>
      <c r="NRG19" s="64"/>
      <c r="NRH19" s="64"/>
      <c r="NRI19" s="64"/>
      <c r="NRJ19" s="64"/>
      <c r="NRK19" s="64"/>
      <c r="NRL19" s="64"/>
      <c r="NRM19" s="64"/>
      <c r="NRN19" s="64"/>
      <c r="NRO19" s="64"/>
      <c r="NRP19" s="64"/>
      <c r="NRQ19" s="64"/>
      <c r="NRR19" s="64"/>
      <c r="NRS19" s="64"/>
      <c r="NRT19" s="64"/>
      <c r="NRU19" s="64"/>
      <c r="NRV19" s="64"/>
      <c r="NRW19" s="64"/>
      <c r="NRX19" s="64"/>
      <c r="NRY19" s="64"/>
      <c r="NRZ19" s="64"/>
      <c r="NSA19" s="64"/>
      <c r="NSB19" s="64"/>
      <c r="NSC19" s="64"/>
      <c r="NSD19" s="64"/>
      <c r="NSE19" s="64"/>
      <c r="NSF19" s="64"/>
      <c r="NSG19" s="64"/>
      <c r="NSH19" s="64"/>
      <c r="NSI19" s="64"/>
      <c r="NSJ19" s="64"/>
      <c r="NSK19" s="64"/>
      <c r="NSL19" s="64"/>
      <c r="NSM19" s="64"/>
      <c r="NSN19" s="64"/>
      <c r="NSO19" s="64"/>
      <c r="NSP19" s="64"/>
      <c r="NSQ19" s="64"/>
      <c r="NSR19" s="64"/>
      <c r="NSS19" s="64"/>
      <c r="NST19" s="64"/>
      <c r="NSU19" s="64"/>
      <c r="NSV19" s="64"/>
      <c r="NSW19" s="64"/>
      <c r="NSX19" s="64"/>
      <c r="NSY19" s="64"/>
      <c r="NSZ19" s="64"/>
      <c r="NTA19" s="64"/>
      <c r="NTB19" s="64"/>
      <c r="NTC19" s="64"/>
      <c r="NTD19" s="64"/>
      <c r="NTE19" s="64"/>
      <c r="NTF19" s="64"/>
      <c r="NTG19" s="64"/>
      <c r="NTH19" s="64"/>
      <c r="NTI19" s="64"/>
      <c r="NTJ19" s="64"/>
      <c r="NTK19" s="64"/>
      <c r="NTL19" s="64"/>
      <c r="NTM19" s="64"/>
      <c r="NTN19" s="64"/>
      <c r="NTO19" s="64"/>
      <c r="NTP19" s="64"/>
      <c r="NTQ19" s="64"/>
      <c r="NTR19" s="64"/>
      <c r="NTS19" s="64"/>
      <c r="NTT19" s="64"/>
      <c r="NTU19" s="64"/>
      <c r="NTV19" s="64"/>
      <c r="NTW19" s="64"/>
      <c r="NTX19" s="64"/>
      <c r="NTY19" s="64"/>
      <c r="NTZ19" s="64"/>
      <c r="NUA19" s="64"/>
      <c r="NUB19" s="64"/>
      <c r="NUC19" s="64"/>
      <c r="NUD19" s="64"/>
      <c r="NUE19" s="64"/>
      <c r="NUF19" s="64"/>
      <c r="NUG19" s="64"/>
      <c r="NUH19" s="64"/>
      <c r="NUI19" s="64"/>
      <c r="NUJ19" s="64"/>
      <c r="NUK19" s="64"/>
      <c r="NUL19" s="64"/>
      <c r="NUM19" s="64"/>
      <c r="NUN19" s="64"/>
      <c r="NUO19" s="64"/>
      <c r="NUP19" s="64"/>
      <c r="NUQ19" s="64"/>
      <c r="NUR19" s="64"/>
      <c r="NUS19" s="64"/>
      <c r="NUT19" s="64"/>
      <c r="NUU19" s="64"/>
      <c r="NUV19" s="64"/>
      <c r="NUW19" s="64"/>
      <c r="NUX19" s="64"/>
      <c r="NUY19" s="64"/>
      <c r="NUZ19" s="64"/>
      <c r="NVA19" s="64"/>
      <c r="NVB19" s="64"/>
      <c r="NVC19" s="64"/>
      <c r="NVD19" s="64"/>
      <c r="NVE19" s="64"/>
      <c r="NVF19" s="64"/>
      <c r="NVG19" s="64"/>
      <c r="NVH19" s="64"/>
      <c r="NVI19" s="64"/>
      <c r="NVJ19" s="64"/>
      <c r="NVK19" s="64"/>
      <c r="NVL19" s="64"/>
      <c r="NVM19" s="64"/>
      <c r="NVN19" s="64"/>
      <c r="NVO19" s="64"/>
      <c r="NVP19" s="64"/>
      <c r="NVQ19" s="64"/>
      <c r="NVR19" s="64"/>
      <c r="NVS19" s="64"/>
      <c r="NVT19" s="64"/>
      <c r="NVU19" s="64"/>
      <c r="NVV19" s="64"/>
      <c r="NVW19" s="64"/>
      <c r="NVX19" s="64"/>
      <c r="NVY19" s="64"/>
      <c r="NVZ19" s="64"/>
      <c r="NWA19" s="64"/>
      <c r="NWB19" s="64"/>
      <c r="NWC19" s="64"/>
      <c r="NWD19" s="64"/>
      <c r="NWE19" s="64"/>
      <c r="NWF19" s="64"/>
      <c r="NWG19" s="64"/>
      <c r="NWH19" s="64"/>
      <c r="NWI19" s="64"/>
      <c r="NWJ19" s="64"/>
      <c r="NWK19" s="64"/>
      <c r="NWL19" s="64"/>
      <c r="NWM19" s="64"/>
      <c r="NWN19" s="64"/>
      <c r="NWO19" s="64"/>
      <c r="NWP19" s="64"/>
      <c r="NWQ19" s="64"/>
      <c r="NWR19" s="64"/>
      <c r="NWS19" s="64"/>
      <c r="NWT19" s="64"/>
      <c r="NWU19" s="64"/>
      <c r="NWV19" s="64"/>
      <c r="NWW19" s="64"/>
      <c r="NWX19" s="64"/>
      <c r="NWY19" s="64"/>
      <c r="NWZ19" s="64"/>
      <c r="NXA19" s="64"/>
      <c r="NXB19" s="64"/>
      <c r="NXC19" s="64"/>
      <c r="NXD19" s="64"/>
      <c r="NXE19" s="64"/>
      <c r="NXF19" s="64"/>
      <c r="NXG19" s="64"/>
      <c r="NXH19" s="64"/>
      <c r="NXI19" s="64"/>
      <c r="NXJ19" s="64"/>
      <c r="NXK19" s="64"/>
      <c r="NXL19" s="64"/>
      <c r="NXM19" s="64"/>
      <c r="NXN19" s="64"/>
      <c r="NXO19" s="64"/>
      <c r="NXP19" s="64"/>
      <c r="NXQ19" s="64"/>
      <c r="NXR19" s="64"/>
      <c r="NXS19" s="64"/>
      <c r="NXT19" s="64"/>
      <c r="NXU19" s="64"/>
      <c r="NXV19" s="64"/>
      <c r="NXW19" s="64"/>
      <c r="NXX19" s="64"/>
      <c r="NXY19" s="64"/>
      <c r="NXZ19" s="64"/>
      <c r="NYA19" s="64"/>
      <c r="NYB19" s="64"/>
      <c r="NYC19" s="64"/>
      <c r="NYD19" s="64"/>
      <c r="NYE19" s="64"/>
      <c r="NYF19" s="64"/>
      <c r="NYG19" s="64"/>
      <c r="NYH19" s="64"/>
      <c r="NYI19" s="64"/>
      <c r="NYJ19" s="64"/>
      <c r="NYK19" s="64"/>
      <c r="NYL19" s="64"/>
      <c r="NYM19" s="64"/>
      <c r="NYN19" s="64"/>
      <c r="NYO19" s="64"/>
      <c r="NYP19" s="64"/>
      <c r="NYQ19" s="64"/>
      <c r="NYR19" s="64"/>
      <c r="NYS19" s="64"/>
      <c r="NYT19" s="64"/>
      <c r="NYU19" s="64"/>
      <c r="NYV19" s="64"/>
      <c r="NYW19" s="64"/>
      <c r="NYX19" s="64"/>
      <c r="NYY19" s="64"/>
      <c r="NYZ19" s="64"/>
      <c r="NZA19" s="64"/>
      <c r="NZB19" s="64"/>
      <c r="NZC19" s="64"/>
      <c r="NZD19" s="64"/>
      <c r="NZE19" s="64"/>
      <c r="NZF19" s="64"/>
      <c r="NZG19" s="64"/>
      <c r="NZH19" s="64"/>
      <c r="NZI19" s="64"/>
      <c r="NZJ19" s="64"/>
      <c r="NZK19" s="64"/>
      <c r="NZL19" s="64"/>
      <c r="NZM19" s="64"/>
      <c r="NZN19" s="64"/>
      <c r="NZO19" s="64"/>
      <c r="NZP19" s="64"/>
      <c r="NZQ19" s="64"/>
      <c r="NZR19" s="64"/>
      <c r="NZS19" s="64"/>
      <c r="NZT19" s="64"/>
      <c r="NZU19" s="64"/>
      <c r="NZV19" s="64"/>
      <c r="NZW19" s="64"/>
      <c r="NZX19" s="64"/>
      <c r="NZY19" s="64"/>
      <c r="NZZ19" s="64"/>
      <c r="OAA19" s="64"/>
      <c r="OAB19" s="64"/>
      <c r="OAC19" s="64"/>
      <c r="OAD19" s="64"/>
      <c r="OAE19" s="64"/>
      <c r="OAF19" s="64"/>
      <c r="OAG19" s="64"/>
      <c r="OAH19" s="64"/>
      <c r="OAI19" s="64"/>
      <c r="OAJ19" s="64"/>
      <c r="OAK19" s="64"/>
      <c r="OAL19" s="64"/>
      <c r="OAM19" s="64"/>
      <c r="OAN19" s="64"/>
      <c r="OAO19" s="64"/>
      <c r="OAP19" s="64"/>
      <c r="OAQ19" s="64"/>
      <c r="OAR19" s="64"/>
      <c r="OAS19" s="64"/>
      <c r="OAT19" s="64"/>
      <c r="OAU19" s="64"/>
      <c r="OAV19" s="64"/>
      <c r="OAW19" s="64"/>
      <c r="OAX19" s="64"/>
      <c r="OAY19" s="64"/>
      <c r="OAZ19" s="64"/>
      <c r="OBA19" s="64"/>
      <c r="OBB19" s="64"/>
      <c r="OBC19" s="64"/>
      <c r="OBD19" s="64"/>
      <c r="OBE19" s="64"/>
      <c r="OBF19" s="64"/>
      <c r="OBG19" s="64"/>
      <c r="OBH19" s="64"/>
      <c r="OBI19" s="64"/>
      <c r="OBJ19" s="64"/>
      <c r="OBK19" s="64"/>
      <c r="OBL19" s="64"/>
      <c r="OBM19" s="64"/>
      <c r="OBN19" s="64"/>
      <c r="OBO19" s="64"/>
      <c r="OBP19" s="64"/>
      <c r="OBQ19" s="64"/>
      <c r="OBR19" s="64"/>
      <c r="OBS19" s="64"/>
      <c r="OBT19" s="64"/>
      <c r="OBU19" s="64"/>
      <c r="OBV19" s="64"/>
      <c r="OBW19" s="64"/>
      <c r="OBX19" s="64"/>
      <c r="OBY19" s="64"/>
      <c r="OBZ19" s="64"/>
      <c r="OCA19" s="64"/>
      <c r="OCB19" s="64"/>
      <c r="OCC19" s="64"/>
      <c r="OCD19" s="64"/>
      <c r="OCE19" s="64"/>
      <c r="OCF19" s="64"/>
      <c r="OCG19" s="64"/>
      <c r="OCH19" s="64"/>
      <c r="OCI19" s="64"/>
      <c r="OCJ19" s="64"/>
      <c r="OCK19" s="64"/>
      <c r="OCL19" s="64"/>
      <c r="OCM19" s="64"/>
      <c r="OCN19" s="64"/>
      <c r="OCO19" s="64"/>
      <c r="OCP19" s="64"/>
      <c r="OCQ19" s="64"/>
      <c r="OCR19" s="64"/>
      <c r="OCS19" s="64"/>
      <c r="OCT19" s="64"/>
      <c r="OCU19" s="64"/>
      <c r="OCV19" s="64"/>
      <c r="OCW19" s="64"/>
      <c r="OCX19" s="64"/>
      <c r="OCY19" s="64"/>
      <c r="OCZ19" s="64"/>
      <c r="ODA19" s="64"/>
      <c r="ODB19" s="64"/>
      <c r="ODC19" s="64"/>
      <c r="ODD19" s="64"/>
      <c r="ODE19" s="64"/>
      <c r="ODF19" s="64"/>
      <c r="ODG19" s="64"/>
      <c r="ODH19" s="64"/>
      <c r="ODI19" s="64"/>
      <c r="ODJ19" s="64"/>
      <c r="ODK19" s="64"/>
      <c r="ODL19" s="64"/>
      <c r="ODM19" s="64"/>
      <c r="ODN19" s="64"/>
      <c r="ODO19" s="64"/>
      <c r="ODP19" s="64"/>
      <c r="ODQ19" s="64"/>
      <c r="ODR19" s="64"/>
      <c r="ODS19" s="64"/>
      <c r="ODT19" s="64"/>
      <c r="ODU19" s="64"/>
      <c r="ODV19" s="64"/>
      <c r="ODW19" s="64"/>
      <c r="ODX19" s="64"/>
      <c r="ODY19" s="64"/>
      <c r="ODZ19" s="64"/>
      <c r="OEA19" s="64"/>
      <c r="OEB19" s="64"/>
      <c r="OEC19" s="64"/>
      <c r="OED19" s="64"/>
      <c r="OEE19" s="64"/>
      <c r="OEF19" s="64"/>
      <c r="OEG19" s="64"/>
      <c r="OEH19" s="64"/>
      <c r="OEI19" s="64"/>
      <c r="OEJ19" s="64"/>
      <c r="OEK19" s="64"/>
      <c r="OEL19" s="64"/>
      <c r="OEM19" s="64"/>
      <c r="OEN19" s="64"/>
      <c r="OEO19" s="64"/>
      <c r="OEP19" s="64"/>
      <c r="OEQ19" s="64"/>
      <c r="OER19" s="64"/>
      <c r="OES19" s="64"/>
      <c r="OET19" s="64"/>
      <c r="OEU19" s="64"/>
      <c r="OEV19" s="64"/>
      <c r="OEW19" s="64"/>
      <c r="OEX19" s="64"/>
      <c r="OEY19" s="64"/>
      <c r="OEZ19" s="64"/>
      <c r="OFA19" s="64"/>
      <c r="OFB19" s="64"/>
      <c r="OFC19" s="64"/>
      <c r="OFD19" s="64"/>
      <c r="OFE19" s="64"/>
      <c r="OFF19" s="64"/>
      <c r="OFG19" s="64"/>
      <c r="OFH19" s="64"/>
      <c r="OFI19" s="64"/>
      <c r="OFJ19" s="64"/>
      <c r="OFK19" s="64"/>
      <c r="OFL19" s="64"/>
      <c r="OFM19" s="64"/>
      <c r="OFN19" s="64"/>
      <c r="OFO19" s="64"/>
      <c r="OFP19" s="64"/>
      <c r="OFQ19" s="64"/>
      <c r="OFR19" s="64"/>
      <c r="OFS19" s="64"/>
      <c r="OFT19" s="64"/>
      <c r="OFU19" s="64"/>
      <c r="OFV19" s="64"/>
      <c r="OFW19" s="64"/>
      <c r="OFX19" s="64"/>
      <c r="OFY19" s="64"/>
      <c r="OFZ19" s="64"/>
      <c r="OGA19" s="64"/>
      <c r="OGB19" s="64"/>
      <c r="OGC19" s="64"/>
      <c r="OGD19" s="64"/>
      <c r="OGE19" s="64"/>
      <c r="OGF19" s="64"/>
      <c r="OGG19" s="64"/>
      <c r="OGH19" s="64"/>
      <c r="OGI19" s="64"/>
      <c r="OGJ19" s="64"/>
      <c r="OGK19" s="64"/>
      <c r="OGL19" s="64"/>
      <c r="OGM19" s="64"/>
      <c r="OGN19" s="64"/>
      <c r="OGO19" s="64"/>
      <c r="OGP19" s="64"/>
      <c r="OGQ19" s="64"/>
      <c r="OGR19" s="64"/>
      <c r="OGS19" s="64"/>
      <c r="OGT19" s="64"/>
      <c r="OGU19" s="64"/>
      <c r="OGV19" s="64"/>
      <c r="OGW19" s="64"/>
      <c r="OGX19" s="64"/>
      <c r="OGY19" s="64"/>
      <c r="OGZ19" s="64"/>
      <c r="OHA19" s="64"/>
      <c r="OHB19" s="64"/>
      <c r="OHC19" s="64"/>
      <c r="OHD19" s="64"/>
      <c r="OHE19" s="64"/>
      <c r="OHF19" s="64"/>
      <c r="OHG19" s="64"/>
      <c r="OHH19" s="64"/>
      <c r="OHI19" s="64"/>
      <c r="OHJ19" s="64"/>
      <c r="OHK19" s="64"/>
      <c r="OHL19" s="64"/>
      <c r="OHM19" s="64"/>
      <c r="OHN19" s="64"/>
      <c r="OHO19" s="64"/>
      <c r="OHP19" s="64"/>
      <c r="OHQ19" s="64"/>
      <c r="OHR19" s="64"/>
      <c r="OHS19" s="64"/>
      <c r="OHT19" s="64"/>
      <c r="OHU19" s="64"/>
      <c r="OHV19" s="64"/>
      <c r="OHW19" s="64"/>
      <c r="OHX19" s="64"/>
      <c r="OHY19" s="64"/>
      <c r="OHZ19" s="64"/>
      <c r="OIA19" s="64"/>
      <c r="OIB19" s="64"/>
      <c r="OIC19" s="64"/>
      <c r="OID19" s="64"/>
      <c r="OIE19" s="64"/>
      <c r="OIF19" s="64"/>
      <c r="OIG19" s="64"/>
      <c r="OIH19" s="64"/>
      <c r="OII19" s="64"/>
      <c r="OIJ19" s="64"/>
      <c r="OIK19" s="64"/>
      <c r="OIL19" s="64"/>
      <c r="OIM19" s="64"/>
      <c r="OIN19" s="64"/>
      <c r="OIO19" s="64"/>
      <c r="OIP19" s="64"/>
      <c r="OIQ19" s="64"/>
      <c r="OIR19" s="64"/>
      <c r="OIS19" s="64"/>
      <c r="OIT19" s="64"/>
      <c r="OIU19" s="64"/>
      <c r="OIV19" s="64"/>
      <c r="OIW19" s="64"/>
      <c r="OIX19" s="64"/>
      <c r="OIY19" s="64"/>
      <c r="OIZ19" s="64"/>
      <c r="OJA19" s="64"/>
      <c r="OJB19" s="64"/>
      <c r="OJC19" s="64"/>
      <c r="OJD19" s="64"/>
      <c r="OJE19" s="64"/>
      <c r="OJF19" s="64"/>
      <c r="OJG19" s="64"/>
      <c r="OJH19" s="64"/>
      <c r="OJI19" s="64"/>
      <c r="OJJ19" s="64"/>
      <c r="OJK19" s="64"/>
      <c r="OJL19" s="64"/>
      <c r="OJM19" s="64"/>
      <c r="OJN19" s="64"/>
      <c r="OJO19" s="64"/>
      <c r="OJP19" s="64"/>
      <c r="OJQ19" s="64"/>
      <c r="OJR19" s="64"/>
      <c r="OJS19" s="64"/>
      <c r="OJT19" s="64"/>
      <c r="OJU19" s="64"/>
      <c r="OJV19" s="64"/>
      <c r="OJW19" s="64"/>
      <c r="OJX19" s="64"/>
      <c r="OJY19" s="64"/>
      <c r="OJZ19" s="64"/>
      <c r="OKA19" s="64"/>
      <c r="OKB19" s="64"/>
      <c r="OKC19" s="64"/>
      <c r="OKD19" s="64"/>
      <c r="OKE19" s="64"/>
      <c r="OKF19" s="64"/>
      <c r="OKG19" s="64"/>
      <c r="OKH19" s="64"/>
      <c r="OKI19" s="64"/>
      <c r="OKJ19" s="64"/>
      <c r="OKK19" s="64"/>
      <c r="OKL19" s="64"/>
      <c r="OKM19" s="64"/>
      <c r="OKN19" s="64"/>
      <c r="OKO19" s="64"/>
      <c r="OKP19" s="64"/>
      <c r="OKQ19" s="64"/>
      <c r="OKR19" s="64"/>
      <c r="OKS19" s="64"/>
      <c r="OKT19" s="64"/>
      <c r="OKU19" s="64"/>
      <c r="OKV19" s="64"/>
      <c r="OKW19" s="64"/>
      <c r="OKX19" s="64"/>
      <c r="OKY19" s="64"/>
      <c r="OKZ19" s="64"/>
      <c r="OLA19" s="64"/>
      <c r="OLB19" s="64"/>
      <c r="OLC19" s="64"/>
      <c r="OLD19" s="64"/>
      <c r="OLE19" s="64"/>
      <c r="OLF19" s="64"/>
      <c r="OLG19" s="64"/>
      <c r="OLH19" s="64"/>
      <c r="OLI19" s="64"/>
      <c r="OLJ19" s="64"/>
      <c r="OLK19" s="64"/>
      <c r="OLL19" s="64"/>
      <c r="OLM19" s="64"/>
      <c r="OLN19" s="64"/>
      <c r="OLO19" s="64"/>
      <c r="OLP19" s="64"/>
      <c r="OLQ19" s="64"/>
      <c r="OLR19" s="64"/>
      <c r="OLS19" s="64"/>
      <c r="OLT19" s="64"/>
      <c r="OLU19" s="64"/>
      <c r="OLV19" s="64"/>
      <c r="OLW19" s="64"/>
      <c r="OLX19" s="64"/>
      <c r="OLY19" s="64"/>
      <c r="OLZ19" s="64"/>
      <c r="OMA19" s="64"/>
      <c r="OMB19" s="64"/>
      <c r="OMC19" s="64"/>
      <c r="OMD19" s="64"/>
      <c r="OME19" s="64"/>
      <c r="OMF19" s="64"/>
      <c r="OMG19" s="64"/>
      <c r="OMH19" s="64"/>
      <c r="OMI19" s="64"/>
      <c r="OMJ19" s="64"/>
      <c r="OMK19" s="64"/>
      <c r="OML19" s="64"/>
      <c r="OMM19" s="64"/>
      <c r="OMN19" s="64"/>
      <c r="OMO19" s="64"/>
      <c r="OMP19" s="64"/>
      <c r="OMQ19" s="64"/>
      <c r="OMR19" s="64"/>
      <c r="OMS19" s="64"/>
      <c r="OMT19" s="64"/>
      <c r="OMU19" s="64"/>
      <c r="OMV19" s="64"/>
      <c r="OMW19" s="64"/>
      <c r="OMX19" s="64"/>
      <c r="OMY19" s="64"/>
      <c r="OMZ19" s="64"/>
      <c r="ONA19" s="64"/>
      <c r="ONB19" s="64"/>
      <c r="ONC19" s="64"/>
      <c r="OND19" s="64"/>
      <c r="ONE19" s="64"/>
      <c r="ONF19" s="64"/>
      <c r="ONG19" s="64"/>
      <c r="ONH19" s="64"/>
      <c r="ONI19" s="64"/>
      <c r="ONJ19" s="64"/>
      <c r="ONK19" s="64"/>
      <c r="ONL19" s="64"/>
      <c r="ONM19" s="64"/>
      <c r="ONN19" s="64"/>
      <c r="ONO19" s="64"/>
      <c r="ONP19" s="64"/>
      <c r="ONQ19" s="64"/>
      <c r="ONR19" s="64"/>
      <c r="ONS19" s="64"/>
      <c r="ONT19" s="64"/>
      <c r="ONU19" s="64"/>
      <c r="ONV19" s="64"/>
      <c r="ONW19" s="64"/>
      <c r="ONX19" s="64"/>
      <c r="ONY19" s="64"/>
      <c r="ONZ19" s="64"/>
      <c r="OOA19" s="64"/>
      <c r="OOB19" s="64"/>
      <c r="OOC19" s="64"/>
      <c r="OOD19" s="64"/>
      <c r="OOE19" s="64"/>
      <c r="OOF19" s="64"/>
      <c r="OOG19" s="64"/>
      <c r="OOH19" s="64"/>
      <c r="OOI19" s="64"/>
      <c r="OOJ19" s="64"/>
      <c r="OOK19" s="64"/>
      <c r="OOL19" s="64"/>
      <c r="OOM19" s="64"/>
      <c r="OON19" s="64"/>
      <c r="OOO19" s="64"/>
      <c r="OOP19" s="64"/>
      <c r="OOQ19" s="64"/>
      <c r="OOR19" s="64"/>
      <c r="OOS19" s="64"/>
      <c r="OOT19" s="64"/>
      <c r="OOU19" s="64"/>
      <c r="OOV19" s="64"/>
      <c r="OOW19" s="64"/>
      <c r="OOX19" s="64"/>
      <c r="OOY19" s="64"/>
      <c r="OOZ19" s="64"/>
      <c r="OPA19" s="64"/>
      <c r="OPB19" s="64"/>
      <c r="OPC19" s="64"/>
      <c r="OPD19" s="64"/>
      <c r="OPE19" s="64"/>
      <c r="OPF19" s="64"/>
      <c r="OPG19" s="64"/>
      <c r="OPH19" s="64"/>
      <c r="OPI19" s="64"/>
      <c r="OPJ19" s="64"/>
      <c r="OPK19" s="64"/>
      <c r="OPL19" s="64"/>
      <c r="OPM19" s="64"/>
      <c r="OPN19" s="64"/>
      <c r="OPO19" s="64"/>
      <c r="OPP19" s="64"/>
      <c r="OPQ19" s="64"/>
      <c r="OPR19" s="64"/>
      <c r="OPS19" s="64"/>
      <c r="OPT19" s="64"/>
      <c r="OPU19" s="64"/>
      <c r="OPV19" s="64"/>
      <c r="OPW19" s="64"/>
      <c r="OPX19" s="64"/>
      <c r="OPY19" s="64"/>
      <c r="OPZ19" s="64"/>
      <c r="OQA19" s="64"/>
      <c r="OQB19" s="64"/>
      <c r="OQC19" s="64"/>
      <c r="OQD19" s="64"/>
      <c r="OQE19" s="64"/>
      <c r="OQF19" s="64"/>
      <c r="OQG19" s="64"/>
      <c r="OQH19" s="64"/>
      <c r="OQI19" s="64"/>
      <c r="OQJ19" s="64"/>
      <c r="OQK19" s="64"/>
      <c r="OQL19" s="64"/>
      <c r="OQM19" s="64"/>
      <c r="OQN19" s="64"/>
      <c r="OQO19" s="64"/>
      <c r="OQP19" s="64"/>
      <c r="OQQ19" s="64"/>
      <c r="OQR19" s="64"/>
      <c r="OQS19" s="64"/>
      <c r="OQT19" s="64"/>
      <c r="OQU19" s="64"/>
      <c r="OQV19" s="64"/>
      <c r="OQW19" s="64"/>
      <c r="OQX19" s="64"/>
      <c r="OQY19" s="64"/>
      <c r="OQZ19" s="64"/>
      <c r="ORA19" s="64"/>
      <c r="ORB19" s="64"/>
      <c r="ORC19" s="64"/>
      <c r="ORD19" s="64"/>
      <c r="ORE19" s="64"/>
      <c r="ORF19" s="64"/>
      <c r="ORG19" s="64"/>
      <c r="ORH19" s="64"/>
      <c r="ORI19" s="64"/>
      <c r="ORJ19" s="64"/>
      <c r="ORK19" s="64"/>
      <c r="ORL19" s="64"/>
      <c r="ORM19" s="64"/>
      <c r="ORN19" s="64"/>
      <c r="ORO19" s="64"/>
      <c r="ORP19" s="64"/>
      <c r="ORQ19" s="64"/>
      <c r="ORR19" s="64"/>
      <c r="ORS19" s="64"/>
      <c r="ORT19" s="64"/>
      <c r="ORU19" s="64"/>
      <c r="ORV19" s="64"/>
      <c r="ORW19" s="64"/>
      <c r="ORX19" s="64"/>
      <c r="ORY19" s="64"/>
      <c r="ORZ19" s="64"/>
      <c r="OSA19" s="64"/>
      <c r="OSB19" s="64"/>
      <c r="OSC19" s="64"/>
      <c r="OSD19" s="64"/>
      <c r="OSE19" s="64"/>
      <c r="OSF19" s="64"/>
      <c r="OSG19" s="64"/>
      <c r="OSH19" s="64"/>
      <c r="OSI19" s="64"/>
      <c r="OSJ19" s="64"/>
      <c r="OSK19" s="64"/>
      <c r="OSL19" s="64"/>
      <c r="OSM19" s="64"/>
      <c r="OSN19" s="64"/>
      <c r="OSO19" s="64"/>
      <c r="OSP19" s="64"/>
      <c r="OSQ19" s="64"/>
      <c r="OSR19" s="64"/>
      <c r="OSS19" s="64"/>
      <c r="OST19" s="64"/>
      <c r="OSU19" s="64"/>
      <c r="OSV19" s="64"/>
      <c r="OSW19" s="64"/>
      <c r="OSX19" s="64"/>
      <c r="OSY19" s="64"/>
      <c r="OSZ19" s="64"/>
      <c r="OTA19" s="64"/>
      <c r="OTB19" s="64"/>
      <c r="OTC19" s="64"/>
      <c r="OTD19" s="64"/>
      <c r="OTE19" s="64"/>
      <c r="OTF19" s="64"/>
      <c r="OTG19" s="64"/>
      <c r="OTH19" s="64"/>
      <c r="OTI19" s="64"/>
      <c r="OTJ19" s="64"/>
      <c r="OTK19" s="64"/>
      <c r="OTL19" s="64"/>
      <c r="OTM19" s="64"/>
      <c r="OTN19" s="64"/>
      <c r="OTO19" s="64"/>
      <c r="OTP19" s="64"/>
      <c r="OTQ19" s="64"/>
      <c r="OTR19" s="64"/>
      <c r="OTS19" s="64"/>
      <c r="OTT19" s="64"/>
      <c r="OTU19" s="64"/>
      <c r="OTV19" s="64"/>
      <c r="OTW19" s="64"/>
      <c r="OTX19" s="64"/>
      <c r="OTY19" s="64"/>
      <c r="OTZ19" s="64"/>
      <c r="OUA19" s="64"/>
      <c r="OUB19" s="64"/>
      <c r="OUC19" s="64"/>
      <c r="OUD19" s="64"/>
      <c r="OUE19" s="64"/>
      <c r="OUF19" s="64"/>
      <c r="OUG19" s="64"/>
      <c r="OUH19" s="64"/>
      <c r="OUI19" s="64"/>
      <c r="OUJ19" s="64"/>
      <c r="OUK19" s="64"/>
      <c r="OUL19" s="64"/>
      <c r="OUM19" s="64"/>
      <c r="OUN19" s="64"/>
      <c r="OUO19" s="64"/>
      <c r="OUP19" s="64"/>
      <c r="OUQ19" s="64"/>
      <c r="OUR19" s="64"/>
      <c r="OUS19" s="64"/>
      <c r="OUT19" s="64"/>
      <c r="OUU19" s="64"/>
      <c r="OUV19" s="64"/>
      <c r="OUW19" s="64"/>
      <c r="OUX19" s="64"/>
      <c r="OUY19" s="64"/>
      <c r="OUZ19" s="64"/>
      <c r="OVA19" s="64"/>
      <c r="OVB19" s="64"/>
      <c r="OVC19" s="64"/>
      <c r="OVD19" s="64"/>
      <c r="OVE19" s="64"/>
      <c r="OVF19" s="64"/>
      <c r="OVG19" s="64"/>
      <c r="OVH19" s="64"/>
      <c r="OVI19" s="64"/>
      <c r="OVJ19" s="64"/>
      <c r="OVK19" s="64"/>
      <c r="OVL19" s="64"/>
      <c r="OVM19" s="64"/>
      <c r="OVN19" s="64"/>
      <c r="OVO19" s="64"/>
      <c r="OVP19" s="64"/>
      <c r="OVQ19" s="64"/>
      <c r="OVR19" s="64"/>
      <c r="OVS19" s="64"/>
      <c r="OVT19" s="64"/>
      <c r="OVU19" s="64"/>
      <c r="OVV19" s="64"/>
      <c r="OVW19" s="64"/>
      <c r="OVX19" s="64"/>
      <c r="OVY19" s="64"/>
      <c r="OVZ19" s="64"/>
      <c r="OWA19" s="64"/>
      <c r="OWB19" s="64"/>
      <c r="OWC19" s="64"/>
      <c r="OWD19" s="64"/>
      <c r="OWE19" s="64"/>
      <c r="OWF19" s="64"/>
      <c r="OWG19" s="64"/>
      <c r="OWH19" s="64"/>
      <c r="OWI19" s="64"/>
      <c r="OWJ19" s="64"/>
      <c r="OWK19" s="64"/>
      <c r="OWL19" s="64"/>
      <c r="OWM19" s="64"/>
      <c r="OWN19" s="64"/>
      <c r="OWO19" s="64"/>
      <c r="OWP19" s="64"/>
      <c r="OWQ19" s="64"/>
      <c r="OWR19" s="64"/>
      <c r="OWS19" s="64"/>
      <c r="OWT19" s="64"/>
      <c r="OWU19" s="64"/>
      <c r="OWV19" s="64"/>
      <c r="OWW19" s="64"/>
      <c r="OWX19" s="64"/>
      <c r="OWY19" s="64"/>
      <c r="OWZ19" s="64"/>
      <c r="OXA19" s="64"/>
      <c r="OXB19" s="64"/>
      <c r="OXC19" s="64"/>
      <c r="OXD19" s="64"/>
      <c r="OXE19" s="64"/>
      <c r="OXF19" s="64"/>
      <c r="OXG19" s="64"/>
      <c r="OXH19" s="64"/>
      <c r="OXI19" s="64"/>
      <c r="OXJ19" s="64"/>
      <c r="OXK19" s="64"/>
      <c r="OXL19" s="64"/>
      <c r="OXM19" s="64"/>
      <c r="OXN19" s="64"/>
      <c r="OXO19" s="64"/>
      <c r="OXP19" s="64"/>
      <c r="OXQ19" s="64"/>
      <c r="OXR19" s="64"/>
      <c r="OXS19" s="64"/>
      <c r="OXT19" s="64"/>
      <c r="OXU19" s="64"/>
      <c r="OXV19" s="64"/>
      <c r="OXW19" s="64"/>
      <c r="OXX19" s="64"/>
      <c r="OXY19" s="64"/>
      <c r="OXZ19" s="64"/>
      <c r="OYA19" s="64"/>
      <c r="OYB19" s="64"/>
      <c r="OYC19" s="64"/>
      <c r="OYD19" s="64"/>
      <c r="OYE19" s="64"/>
      <c r="OYF19" s="64"/>
      <c r="OYG19" s="64"/>
      <c r="OYH19" s="64"/>
      <c r="OYI19" s="64"/>
      <c r="OYJ19" s="64"/>
      <c r="OYK19" s="64"/>
      <c r="OYL19" s="64"/>
      <c r="OYM19" s="64"/>
      <c r="OYN19" s="64"/>
      <c r="OYO19" s="64"/>
      <c r="OYP19" s="64"/>
      <c r="OYQ19" s="64"/>
      <c r="OYR19" s="64"/>
      <c r="OYS19" s="64"/>
      <c r="OYT19" s="64"/>
      <c r="OYU19" s="64"/>
      <c r="OYV19" s="64"/>
      <c r="OYW19" s="64"/>
      <c r="OYX19" s="64"/>
      <c r="OYY19" s="64"/>
      <c r="OYZ19" s="64"/>
      <c r="OZA19" s="64"/>
      <c r="OZB19" s="64"/>
      <c r="OZC19" s="64"/>
      <c r="OZD19" s="64"/>
      <c r="OZE19" s="64"/>
      <c r="OZF19" s="64"/>
      <c r="OZG19" s="64"/>
      <c r="OZH19" s="64"/>
      <c r="OZI19" s="64"/>
      <c r="OZJ19" s="64"/>
      <c r="OZK19" s="64"/>
      <c r="OZL19" s="64"/>
      <c r="OZM19" s="64"/>
      <c r="OZN19" s="64"/>
      <c r="OZO19" s="64"/>
      <c r="OZP19" s="64"/>
      <c r="OZQ19" s="64"/>
      <c r="OZR19" s="64"/>
      <c r="OZS19" s="64"/>
      <c r="OZT19" s="64"/>
      <c r="OZU19" s="64"/>
      <c r="OZV19" s="64"/>
      <c r="OZW19" s="64"/>
      <c r="OZX19" s="64"/>
      <c r="OZY19" s="64"/>
      <c r="OZZ19" s="64"/>
      <c r="PAA19" s="64"/>
      <c r="PAB19" s="64"/>
      <c r="PAC19" s="64"/>
      <c r="PAD19" s="64"/>
      <c r="PAE19" s="64"/>
      <c r="PAF19" s="64"/>
      <c r="PAG19" s="64"/>
      <c r="PAH19" s="64"/>
      <c r="PAI19" s="64"/>
      <c r="PAJ19" s="64"/>
      <c r="PAK19" s="64"/>
      <c r="PAL19" s="64"/>
      <c r="PAM19" s="64"/>
      <c r="PAN19" s="64"/>
      <c r="PAO19" s="64"/>
      <c r="PAP19" s="64"/>
      <c r="PAQ19" s="64"/>
      <c r="PAR19" s="64"/>
      <c r="PAS19" s="64"/>
      <c r="PAT19" s="64"/>
      <c r="PAU19" s="64"/>
      <c r="PAV19" s="64"/>
      <c r="PAW19" s="64"/>
      <c r="PAX19" s="64"/>
      <c r="PAY19" s="64"/>
      <c r="PAZ19" s="64"/>
      <c r="PBA19" s="64"/>
      <c r="PBB19" s="64"/>
      <c r="PBC19" s="64"/>
      <c r="PBD19" s="64"/>
      <c r="PBE19" s="64"/>
      <c r="PBF19" s="64"/>
      <c r="PBG19" s="64"/>
      <c r="PBH19" s="64"/>
      <c r="PBI19" s="64"/>
      <c r="PBJ19" s="64"/>
      <c r="PBK19" s="64"/>
      <c r="PBL19" s="64"/>
      <c r="PBM19" s="64"/>
      <c r="PBN19" s="64"/>
      <c r="PBO19" s="64"/>
      <c r="PBP19" s="64"/>
      <c r="PBQ19" s="64"/>
      <c r="PBR19" s="64"/>
      <c r="PBS19" s="64"/>
      <c r="PBT19" s="64"/>
      <c r="PBU19" s="64"/>
      <c r="PBV19" s="64"/>
      <c r="PBW19" s="64"/>
      <c r="PBX19" s="64"/>
      <c r="PBY19" s="64"/>
      <c r="PBZ19" s="64"/>
      <c r="PCA19" s="64"/>
      <c r="PCB19" s="64"/>
      <c r="PCC19" s="64"/>
      <c r="PCD19" s="64"/>
      <c r="PCE19" s="64"/>
      <c r="PCF19" s="64"/>
      <c r="PCG19" s="64"/>
      <c r="PCH19" s="64"/>
      <c r="PCI19" s="64"/>
      <c r="PCJ19" s="64"/>
      <c r="PCK19" s="64"/>
      <c r="PCL19" s="64"/>
      <c r="PCM19" s="64"/>
      <c r="PCN19" s="64"/>
      <c r="PCO19" s="64"/>
      <c r="PCP19" s="64"/>
      <c r="PCQ19" s="64"/>
      <c r="PCR19" s="64"/>
      <c r="PCS19" s="64"/>
      <c r="PCT19" s="64"/>
      <c r="PCU19" s="64"/>
      <c r="PCV19" s="64"/>
      <c r="PCW19" s="64"/>
      <c r="PCX19" s="64"/>
      <c r="PCY19" s="64"/>
      <c r="PCZ19" s="64"/>
      <c r="PDA19" s="64"/>
      <c r="PDB19" s="64"/>
      <c r="PDC19" s="64"/>
      <c r="PDD19" s="64"/>
      <c r="PDE19" s="64"/>
      <c r="PDF19" s="64"/>
      <c r="PDG19" s="64"/>
      <c r="PDH19" s="64"/>
      <c r="PDI19" s="64"/>
      <c r="PDJ19" s="64"/>
      <c r="PDK19" s="64"/>
      <c r="PDL19" s="64"/>
      <c r="PDM19" s="64"/>
      <c r="PDN19" s="64"/>
      <c r="PDO19" s="64"/>
      <c r="PDP19" s="64"/>
      <c r="PDQ19" s="64"/>
      <c r="PDR19" s="64"/>
      <c r="PDS19" s="64"/>
      <c r="PDT19" s="64"/>
      <c r="PDU19" s="64"/>
      <c r="PDV19" s="64"/>
      <c r="PDW19" s="64"/>
      <c r="PDX19" s="64"/>
      <c r="PDY19" s="64"/>
      <c r="PDZ19" s="64"/>
      <c r="PEA19" s="64"/>
      <c r="PEB19" s="64"/>
      <c r="PEC19" s="64"/>
      <c r="PED19" s="64"/>
      <c r="PEE19" s="64"/>
      <c r="PEF19" s="64"/>
      <c r="PEG19" s="64"/>
      <c r="PEH19" s="64"/>
      <c r="PEI19" s="64"/>
      <c r="PEJ19" s="64"/>
      <c r="PEK19" s="64"/>
      <c r="PEL19" s="64"/>
      <c r="PEM19" s="64"/>
      <c r="PEN19" s="64"/>
      <c r="PEO19" s="64"/>
      <c r="PEP19" s="64"/>
      <c r="PEQ19" s="64"/>
      <c r="PER19" s="64"/>
      <c r="PES19" s="64"/>
      <c r="PET19" s="64"/>
      <c r="PEU19" s="64"/>
      <c r="PEV19" s="64"/>
      <c r="PEW19" s="64"/>
      <c r="PEX19" s="64"/>
      <c r="PEY19" s="64"/>
      <c r="PEZ19" s="64"/>
      <c r="PFA19" s="64"/>
      <c r="PFB19" s="64"/>
      <c r="PFC19" s="64"/>
      <c r="PFD19" s="64"/>
      <c r="PFE19" s="64"/>
      <c r="PFF19" s="64"/>
      <c r="PFG19" s="64"/>
      <c r="PFH19" s="64"/>
      <c r="PFI19" s="64"/>
      <c r="PFJ19" s="64"/>
      <c r="PFK19" s="64"/>
      <c r="PFL19" s="64"/>
      <c r="PFM19" s="64"/>
      <c r="PFN19" s="64"/>
      <c r="PFO19" s="64"/>
      <c r="PFP19" s="64"/>
      <c r="PFQ19" s="64"/>
      <c r="PFR19" s="64"/>
      <c r="PFS19" s="64"/>
      <c r="PFT19" s="64"/>
      <c r="PFU19" s="64"/>
      <c r="PFV19" s="64"/>
      <c r="PFW19" s="64"/>
      <c r="PFX19" s="64"/>
      <c r="PFY19" s="64"/>
      <c r="PFZ19" s="64"/>
      <c r="PGA19" s="64"/>
      <c r="PGB19" s="64"/>
      <c r="PGC19" s="64"/>
      <c r="PGD19" s="64"/>
      <c r="PGE19" s="64"/>
      <c r="PGF19" s="64"/>
      <c r="PGG19" s="64"/>
      <c r="PGH19" s="64"/>
      <c r="PGI19" s="64"/>
      <c r="PGJ19" s="64"/>
      <c r="PGK19" s="64"/>
      <c r="PGL19" s="64"/>
      <c r="PGM19" s="64"/>
      <c r="PGN19" s="64"/>
      <c r="PGO19" s="64"/>
      <c r="PGP19" s="64"/>
      <c r="PGQ19" s="64"/>
      <c r="PGR19" s="64"/>
      <c r="PGS19" s="64"/>
      <c r="PGT19" s="64"/>
      <c r="PGU19" s="64"/>
      <c r="PGV19" s="64"/>
      <c r="PGW19" s="64"/>
      <c r="PGX19" s="64"/>
      <c r="PGY19" s="64"/>
      <c r="PGZ19" s="64"/>
      <c r="PHA19" s="64"/>
      <c r="PHB19" s="64"/>
      <c r="PHC19" s="64"/>
      <c r="PHD19" s="64"/>
      <c r="PHE19" s="64"/>
      <c r="PHF19" s="64"/>
      <c r="PHG19" s="64"/>
      <c r="PHH19" s="64"/>
      <c r="PHI19" s="64"/>
      <c r="PHJ19" s="64"/>
      <c r="PHK19" s="64"/>
      <c r="PHL19" s="64"/>
      <c r="PHM19" s="64"/>
      <c r="PHN19" s="64"/>
      <c r="PHO19" s="64"/>
      <c r="PHP19" s="64"/>
      <c r="PHQ19" s="64"/>
      <c r="PHR19" s="64"/>
      <c r="PHS19" s="64"/>
      <c r="PHT19" s="64"/>
      <c r="PHU19" s="64"/>
      <c r="PHV19" s="64"/>
      <c r="PHW19" s="64"/>
      <c r="PHX19" s="64"/>
      <c r="PHY19" s="64"/>
      <c r="PHZ19" s="64"/>
      <c r="PIA19" s="64"/>
      <c r="PIB19" s="64"/>
      <c r="PIC19" s="64"/>
      <c r="PID19" s="64"/>
      <c r="PIE19" s="64"/>
      <c r="PIF19" s="64"/>
      <c r="PIG19" s="64"/>
      <c r="PIH19" s="64"/>
      <c r="PII19" s="64"/>
      <c r="PIJ19" s="64"/>
      <c r="PIK19" s="64"/>
      <c r="PIL19" s="64"/>
      <c r="PIM19" s="64"/>
      <c r="PIN19" s="64"/>
      <c r="PIO19" s="64"/>
      <c r="PIP19" s="64"/>
      <c r="PIQ19" s="64"/>
      <c r="PIR19" s="64"/>
      <c r="PIS19" s="64"/>
      <c r="PIT19" s="64"/>
      <c r="PIU19" s="64"/>
      <c r="PIV19" s="64"/>
      <c r="PIW19" s="64"/>
      <c r="PIX19" s="64"/>
      <c r="PIY19" s="64"/>
      <c r="PIZ19" s="64"/>
      <c r="PJA19" s="64"/>
      <c r="PJB19" s="64"/>
      <c r="PJC19" s="64"/>
      <c r="PJD19" s="64"/>
      <c r="PJE19" s="64"/>
      <c r="PJF19" s="64"/>
      <c r="PJG19" s="64"/>
      <c r="PJH19" s="64"/>
      <c r="PJI19" s="64"/>
      <c r="PJJ19" s="64"/>
      <c r="PJK19" s="64"/>
      <c r="PJL19" s="64"/>
      <c r="PJM19" s="64"/>
      <c r="PJN19" s="64"/>
      <c r="PJO19" s="64"/>
      <c r="PJP19" s="64"/>
      <c r="PJQ19" s="64"/>
      <c r="PJR19" s="64"/>
      <c r="PJS19" s="64"/>
      <c r="PJT19" s="64"/>
      <c r="PJU19" s="64"/>
      <c r="PJV19" s="64"/>
      <c r="PJW19" s="64"/>
      <c r="PJX19" s="64"/>
      <c r="PJY19" s="64"/>
      <c r="PJZ19" s="64"/>
      <c r="PKA19" s="64"/>
      <c r="PKB19" s="64"/>
      <c r="PKC19" s="64"/>
      <c r="PKD19" s="64"/>
      <c r="PKE19" s="64"/>
      <c r="PKF19" s="64"/>
      <c r="PKG19" s="64"/>
      <c r="PKH19" s="64"/>
      <c r="PKI19" s="64"/>
      <c r="PKJ19" s="64"/>
      <c r="PKK19" s="64"/>
      <c r="PKL19" s="64"/>
      <c r="PKM19" s="64"/>
      <c r="PKN19" s="64"/>
      <c r="PKO19" s="64"/>
      <c r="PKP19" s="64"/>
      <c r="PKQ19" s="64"/>
      <c r="PKR19" s="64"/>
      <c r="PKS19" s="64"/>
      <c r="PKT19" s="64"/>
      <c r="PKU19" s="64"/>
      <c r="PKV19" s="64"/>
      <c r="PKW19" s="64"/>
      <c r="PKX19" s="64"/>
      <c r="PKY19" s="64"/>
      <c r="PKZ19" s="64"/>
      <c r="PLA19" s="64"/>
      <c r="PLB19" s="64"/>
      <c r="PLC19" s="64"/>
      <c r="PLD19" s="64"/>
      <c r="PLE19" s="64"/>
      <c r="PLF19" s="64"/>
      <c r="PLG19" s="64"/>
      <c r="PLH19" s="64"/>
      <c r="PLI19" s="64"/>
      <c r="PLJ19" s="64"/>
      <c r="PLK19" s="64"/>
      <c r="PLL19" s="64"/>
      <c r="PLM19" s="64"/>
      <c r="PLN19" s="64"/>
      <c r="PLO19" s="64"/>
      <c r="PLP19" s="64"/>
      <c r="PLQ19" s="64"/>
      <c r="PLR19" s="64"/>
      <c r="PLS19" s="64"/>
      <c r="PLT19" s="64"/>
      <c r="PLU19" s="64"/>
      <c r="PLV19" s="64"/>
      <c r="PLW19" s="64"/>
      <c r="PLX19" s="64"/>
      <c r="PLY19" s="64"/>
      <c r="PLZ19" s="64"/>
      <c r="PMA19" s="64"/>
      <c r="PMB19" s="64"/>
      <c r="PMC19" s="64"/>
      <c r="PMD19" s="64"/>
      <c r="PME19" s="64"/>
      <c r="PMF19" s="64"/>
      <c r="PMG19" s="64"/>
      <c r="PMH19" s="64"/>
      <c r="PMI19" s="64"/>
      <c r="PMJ19" s="64"/>
      <c r="PMK19" s="64"/>
      <c r="PML19" s="64"/>
      <c r="PMM19" s="64"/>
      <c r="PMN19" s="64"/>
      <c r="PMO19" s="64"/>
      <c r="PMP19" s="64"/>
      <c r="PMQ19" s="64"/>
      <c r="PMR19" s="64"/>
      <c r="PMS19" s="64"/>
      <c r="PMT19" s="64"/>
      <c r="PMU19" s="64"/>
      <c r="PMV19" s="64"/>
      <c r="PMW19" s="64"/>
      <c r="PMX19" s="64"/>
      <c r="PMY19" s="64"/>
      <c r="PMZ19" s="64"/>
      <c r="PNA19" s="64"/>
      <c r="PNB19" s="64"/>
      <c r="PNC19" s="64"/>
      <c r="PND19" s="64"/>
      <c r="PNE19" s="64"/>
      <c r="PNF19" s="64"/>
      <c r="PNG19" s="64"/>
      <c r="PNH19" s="64"/>
      <c r="PNI19" s="64"/>
      <c r="PNJ19" s="64"/>
      <c r="PNK19" s="64"/>
      <c r="PNL19" s="64"/>
      <c r="PNM19" s="64"/>
      <c r="PNN19" s="64"/>
      <c r="PNO19" s="64"/>
      <c r="PNP19" s="64"/>
      <c r="PNQ19" s="64"/>
      <c r="PNR19" s="64"/>
      <c r="PNS19" s="64"/>
      <c r="PNT19" s="64"/>
      <c r="PNU19" s="64"/>
      <c r="PNV19" s="64"/>
      <c r="PNW19" s="64"/>
      <c r="PNX19" s="64"/>
      <c r="PNY19" s="64"/>
      <c r="PNZ19" s="64"/>
      <c r="POA19" s="64"/>
      <c r="POB19" s="64"/>
      <c r="POC19" s="64"/>
      <c r="POD19" s="64"/>
      <c r="POE19" s="64"/>
      <c r="POF19" s="64"/>
      <c r="POG19" s="64"/>
      <c r="POH19" s="64"/>
      <c r="POI19" s="64"/>
      <c r="POJ19" s="64"/>
      <c r="POK19" s="64"/>
      <c r="POL19" s="64"/>
      <c r="POM19" s="64"/>
      <c r="PON19" s="64"/>
      <c r="POO19" s="64"/>
      <c r="POP19" s="64"/>
      <c r="POQ19" s="64"/>
      <c r="POR19" s="64"/>
      <c r="POS19" s="64"/>
      <c r="POT19" s="64"/>
      <c r="POU19" s="64"/>
      <c r="POV19" s="64"/>
      <c r="POW19" s="64"/>
      <c r="POX19" s="64"/>
      <c r="POY19" s="64"/>
      <c r="POZ19" s="64"/>
      <c r="PPA19" s="64"/>
      <c r="PPB19" s="64"/>
      <c r="PPC19" s="64"/>
      <c r="PPD19" s="64"/>
      <c r="PPE19" s="64"/>
      <c r="PPF19" s="64"/>
      <c r="PPG19" s="64"/>
      <c r="PPH19" s="64"/>
      <c r="PPI19" s="64"/>
      <c r="PPJ19" s="64"/>
      <c r="PPK19" s="64"/>
      <c r="PPL19" s="64"/>
      <c r="PPM19" s="64"/>
      <c r="PPN19" s="64"/>
      <c r="PPO19" s="64"/>
      <c r="PPP19" s="64"/>
      <c r="PPQ19" s="64"/>
      <c r="PPR19" s="64"/>
      <c r="PPS19" s="64"/>
      <c r="PPT19" s="64"/>
      <c r="PPU19" s="64"/>
      <c r="PPV19" s="64"/>
      <c r="PPW19" s="64"/>
      <c r="PPX19" s="64"/>
      <c r="PPY19" s="64"/>
      <c r="PPZ19" s="64"/>
      <c r="PQA19" s="64"/>
      <c r="PQB19" s="64"/>
      <c r="PQC19" s="64"/>
      <c r="PQD19" s="64"/>
      <c r="PQE19" s="64"/>
      <c r="PQF19" s="64"/>
      <c r="PQG19" s="64"/>
      <c r="PQH19" s="64"/>
      <c r="PQI19" s="64"/>
      <c r="PQJ19" s="64"/>
      <c r="PQK19" s="64"/>
      <c r="PQL19" s="64"/>
      <c r="PQM19" s="64"/>
      <c r="PQN19" s="64"/>
      <c r="PQO19" s="64"/>
      <c r="PQP19" s="64"/>
      <c r="PQQ19" s="64"/>
      <c r="PQR19" s="64"/>
      <c r="PQS19" s="64"/>
      <c r="PQT19" s="64"/>
      <c r="PQU19" s="64"/>
      <c r="PQV19" s="64"/>
      <c r="PQW19" s="64"/>
      <c r="PQX19" s="64"/>
      <c r="PQY19" s="64"/>
      <c r="PQZ19" s="64"/>
      <c r="PRA19" s="64"/>
      <c r="PRB19" s="64"/>
      <c r="PRC19" s="64"/>
      <c r="PRD19" s="64"/>
      <c r="PRE19" s="64"/>
      <c r="PRF19" s="64"/>
      <c r="PRG19" s="64"/>
      <c r="PRH19" s="64"/>
      <c r="PRI19" s="64"/>
      <c r="PRJ19" s="64"/>
      <c r="PRK19" s="64"/>
      <c r="PRL19" s="64"/>
      <c r="PRM19" s="64"/>
      <c r="PRN19" s="64"/>
      <c r="PRO19" s="64"/>
      <c r="PRP19" s="64"/>
      <c r="PRQ19" s="64"/>
      <c r="PRR19" s="64"/>
      <c r="PRS19" s="64"/>
      <c r="PRT19" s="64"/>
      <c r="PRU19" s="64"/>
      <c r="PRV19" s="64"/>
      <c r="PRW19" s="64"/>
      <c r="PRX19" s="64"/>
      <c r="PRY19" s="64"/>
      <c r="PRZ19" s="64"/>
      <c r="PSA19" s="64"/>
      <c r="PSB19" s="64"/>
      <c r="PSC19" s="64"/>
      <c r="PSD19" s="64"/>
      <c r="PSE19" s="64"/>
      <c r="PSF19" s="64"/>
      <c r="PSG19" s="64"/>
      <c r="PSH19" s="64"/>
      <c r="PSI19" s="64"/>
      <c r="PSJ19" s="64"/>
      <c r="PSK19" s="64"/>
      <c r="PSL19" s="64"/>
      <c r="PSM19" s="64"/>
      <c r="PSN19" s="64"/>
      <c r="PSO19" s="64"/>
      <c r="PSP19" s="64"/>
      <c r="PSQ19" s="64"/>
      <c r="PSR19" s="64"/>
      <c r="PSS19" s="64"/>
      <c r="PST19" s="64"/>
      <c r="PSU19" s="64"/>
      <c r="PSV19" s="64"/>
      <c r="PSW19" s="64"/>
      <c r="PSX19" s="64"/>
      <c r="PSY19" s="64"/>
      <c r="PSZ19" s="64"/>
      <c r="PTA19" s="64"/>
      <c r="PTB19" s="64"/>
      <c r="PTC19" s="64"/>
      <c r="PTD19" s="64"/>
      <c r="PTE19" s="64"/>
      <c r="PTF19" s="64"/>
      <c r="PTG19" s="64"/>
      <c r="PTH19" s="64"/>
      <c r="PTI19" s="64"/>
      <c r="PTJ19" s="64"/>
      <c r="PTK19" s="64"/>
      <c r="PTL19" s="64"/>
      <c r="PTM19" s="64"/>
      <c r="PTN19" s="64"/>
      <c r="PTO19" s="64"/>
      <c r="PTP19" s="64"/>
      <c r="PTQ19" s="64"/>
      <c r="PTR19" s="64"/>
      <c r="PTS19" s="64"/>
      <c r="PTT19" s="64"/>
      <c r="PTU19" s="64"/>
      <c r="PTV19" s="64"/>
      <c r="PTW19" s="64"/>
      <c r="PTX19" s="64"/>
      <c r="PTY19" s="64"/>
      <c r="PTZ19" s="64"/>
      <c r="PUA19" s="64"/>
      <c r="PUB19" s="64"/>
      <c r="PUC19" s="64"/>
      <c r="PUD19" s="64"/>
      <c r="PUE19" s="64"/>
      <c r="PUF19" s="64"/>
      <c r="PUG19" s="64"/>
      <c r="PUH19" s="64"/>
      <c r="PUI19" s="64"/>
      <c r="PUJ19" s="64"/>
      <c r="PUK19" s="64"/>
      <c r="PUL19" s="64"/>
      <c r="PUM19" s="64"/>
      <c r="PUN19" s="64"/>
      <c r="PUO19" s="64"/>
      <c r="PUP19" s="64"/>
      <c r="PUQ19" s="64"/>
      <c r="PUR19" s="64"/>
      <c r="PUS19" s="64"/>
      <c r="PUT19" s="64"/>
      <c r="PUU19" s="64"/>
      <c r="PUV19" s="64"/>
      <c r="PUW19" s="64"/>
      <c r="PUX19" s="64"/>
      <c r="PUY19" s="64"/>
      <c r="PUZ19" s="64"/>
      <c r="PVA19" s="64"/>
      <c r="PVB19" s="64"/>
      <c r="PVC19" s="64"/>
      <c r="PVD19" s="64"/>
      <c r="PVE19" s="64"/>
      <c r="PVF19" s="64"/>
      <c r="PVG19" s="64"/>
      <c r="PVH19" s="64"/>
      <c r="PVI19" s="64"/>
      <c r="PVJ19" s="64"/>
      <c r="PVK19" s="64"/>
      <c r="PVL19" s="64"/>
      <c r="PVM19" s="64"/>
      <c r="PVN19" s="64"/>
      <c r="PVO19" s="64"/>
      <c r="PVP19" s="64"/>
      <c r="PVQ19" s="64"/>
      <c r="PVR19" s="64"/>
      <c r="PVS19" s="64"/>
      <c r="PVT19" s="64"/>
      <c r="PVU19" s="64"/>
      <c r="PVV19" s="64"/>
      <c r="PVW19" s="64"/>
      <c r="PVX19" s="64"/>
      <c r="PVY19" s="64"/>
      <c r="PVZ19" s="64"/>
      <c r="PWA19" s="64"/>
      <c r="PWB19" s="64"/>
      <c r="PWC19" s="64"/>
      <c r="PWD19" s="64"/>
      <c r="PWE19" s="64"/>
      <c r="PWF19" s="64"/>
      <c r="PWG19" s="64"/>
      <c r="PWH19" s="64"/>
      <c r="PWI19" s="64"/>
      <c r="PWJ19" s="64"/>
      <c r="PWK19" s="64"/>
      <c r="PWL19" s="64"/>
      <c r="PWM19" s="64"/>
      <c r="PWN19" s="64"/>
      <c r="PWO19" s="64"/>
      <c r="PWP19" s="64"/>
      <c r="PWQ19" s="64"/>
      <c r="PWR19" s="64"/>
      <c r="PWS19" s="64"/>
      <c r="PWT19" s="64"/>
      <c r="PWU19" s="64"/>
      <c r="PWV19" s="64"/>
      <c r="PWW19" s="64"/>
      <c r="PWX19" s="64"/>
      <c r="PWY19" s="64"/>
      <c r="PWZ19" s="64"/>
      <c r="PXA19" s="64"/>
      <c r="PXB19" s="64"/>
      <c r="PXC19" s="64"/>
      <c r="PXD19" s="64"/>
      <c r="PXE19" s="64"/>
      <c r="PXF19" s="64"/>
      <c r="PXG19" s="64"/>
      <c r="PXH19" s="64"/>
      <c r="PXI19" s="64"/>
      <c r="PXJ19" s="64"/>
      <c r="PXK19" s="64"/>
      <c r="PXL19" s="64"/>
      <c r="PXM19" s="64"/>
      <c r="PXN19" s="64"/>
      <c r="PXO19" s="64"/>
      <c r="PXP19" s="64"/>
      <c r="PXQ19" s="64"/>
      <c r="PXR19" s="64"/>
      <c r="PXS19" s="64"/>
      <c r="PXT19" s="64"/>
      <c r="PXU19" s="64"/>
      <c r="PXV19" s="64"/>
      <c r="PXW19" s="64"/>
      <c r="PXX19" s="64"/>
      <c r="PXY19" s="64"/>
      <c r="PXZ19" s="64"/>
      <c r="PYA19" s="64"/>
      <c r="PYB19" s="64"/>
      <c r="PYC19" s="64"/>
      <c r="PYD19" s="64"/>
      <c r="PYE19" s="64"/>
      <c r="PYF19" s="64"/>
      <c r="PYG19" s="64"/>
      <c r="PYH19" s="64"/>
      <c r="PYI19" s="64"/>
      <c r="PYJ19" s="64"/>
      <c r="PYK19" s="64"/>
      <c r="PYL19" s="64"/>
      <c r="PYM19" s="64"/>
      <c r="PYN19" s="64"/>
      <c r="PYO19" s="64"/>
      <c r="PYP19" s="64"/>
      <c r="PYQ19" s="64"/>
      <c r="PYR19" s="64"/>
      <c r="PYS19" s="64"/>
      <c r="PYT19" s="64"/>
      <c r="PYU19" s="64"/>
      <c r="PYV19" s="64"/>
      <c r="PYW19" s="64"/>
      <c r="PYX19" s="64"/>
      <c r="PYY19" s="64"/>
      <c r="PYZ19" s="64"/>
      <c r="PZA19" s="64"/>
      <c r="PZB19" s="64"/>
      <c r="PZC19" s="64"/>
      <c r="PZD19" s="64"/>
      <c r="PZE19" s="64"/>
      <c r="PZF19" s="64"/>
      <c r="PZG19" s="64"/>
      <c r="PZH19" s="64"/>
      <c r="PZI19" s="64"/>
      <c r="PZJ19" s="64"/>
      <c r="PZK19" s="64"/>
      <c r="PZL19" s="64"/>
      <c r="PZM19" s="64"/>
      <c r="PZN19" s="64"/>
      <c r="PZO19" s="64"/>
      <c r="PZP19" s="64"/>
      <c r="PZQ19" s="64"/>
      <c r="PZR19" s="64"/>
      <c r="PZS19" s="64"/>
      <c r="PZT19" s="64"/>
      <c r="PZU19" s="64"/>
      <c r="PZV19" s="64"/>
      <c r="PZW19" s="64"/>
      <c r="PZX19" s="64"/>
      <c r="PZY19" s="64"/>
      <c r="PZZ19" s="64"/>
      <c r="QAA19" s="64"/>
      <c r="QAB19" s="64"/>
      <c r="QAC19" s="64"/>
      <c r="QAD19" s="64"/>
      <c r="QAE19" s="64"/>
      <c r="QAF19" s="64"/>
      <c r="QAG19" s="64"/>
      <c r="QAH19" s="64"/>
      <c r="QAI19" s="64"/>
      <c r="QAJ19" s="64"/>
      <c r="QAK19" s="64"/>
      <c r="QAL19" s="64"/>
      <c r="QAM19" s="64"/>
      <c r="QAN19" s="64"/>
      <c r="QAO19" s="64"/>
      <c r="QAP19" s="64"/>
      <c r="QAQ19" s="64"/>
      <c r="QAR19" s="64"/>
      <c r="QAS19" s="64"/>
      <c r="QAT19" s="64"/>
      <c r="QAU19" s="64"/>
      <c r="QAV19" s="64"/>
      <c r="QAW19" s="64"/>
      <c r="QAX19" s="64"/>
      <c r="QAY19" s="64"/>
      <c r="QAZ19" s="64"/>
      <c r="QBA19" s="64"/>
      <c r="QBB19" s="64"/>
      <c r="QBC19" s="64"/>
      <c r="QBD19" s="64"/>
      <c r="QBE19" s="64"/>
      <c r="QBF19" s="64"/>
      <c r="QBG19" s="64"/>
      <c r="QBH19" s="64"/>
      <c r="QBI19" s="64"/>
      <c r="QBJ19" s="64"/>
      <c r="QBK19" s="64"/>
      <c r="QBL19" s="64"/>
      <c r="QBM19" s="64"/>
      <c r="QBN19" s="64"/>
      <c r="QBO19" s="64"/>
      <c r="QBP19" s="64"/>
      <c r="QBQ19" s="64"/>
      <c r="QBR19" s="64"/>
      <c r="QBS19" s="64"/>
      <c r="QBT19" s="64"/>
      <c r="QBU19" s="64"/>
      <c r="QBV19" s="64"/>
      <c r="QBW19" s="64"/>
      <c r="QBX19" s="64"/>
      <c r="QBY19" s="64"/>
      <c r="QBZ19" s="64"/>
      <c r="QCA19" s="64"/>
      <c r="QCB19" s="64"/>
      <c r="QCC19" s="64"/>
      <c r="QCD19" s="64"/>
      <c r="QCE19" s="64"/>
      <c r="QCF19" s="64"/>
      <c r="QCG19" s="64"/>
      <c r="QCH19" s="64"/>
      <c r="QCI19" s="64"/>
      <c r="QCJ19" s="64"/>
      <c r="QCK19" s="64"/>
      <c r="QCL19" s="64"/>
      <c r="QCM19" s="64"/>
      <c r="QCN19" s="64"/>
      <c r="QCO19" s="64"/>
      <c r="QCP19" s="64"/>
      <c r="QCQ19" s="64"/>
      <c r="QCR19" s="64"/>
      <c r="QCS19" s="64"/>
      <c r="QCT19" s="64"/>
      <c r="QCU19" s="64"/>
      <c r="QCV19" s="64"/>
      <c r="QCW19" s="64"/>
      <c r="QCX19" s="64"/>
      <c r="QCY19" s="64"/>
      <c r="QCZ19" s="64"/>
      <c r="QDA19" s="64"/>
      <c r="QDB19" s="64"/>
      <c r="QDC19" s="64"/>
      <c r="QDD19" s="64"/>
      <c r="QDE19" s="64"/>
      <c r="QDF19" s="64"/>
      <c r="QDG19" s="64"/>
      <c r="QDH19" s="64"/>
      <c r="QDI19" s="64"/>
      <c r="QDJ19" s="64"/>
      <c r="QDK19" s="64"/>
      <c r="QDL19" s="64"/>
      <c r="QDM19" s="64"/>
      <c r="QDN19" s="64"/>
      <c r="QDO19" s="64"/>
      <c r="QDP19" s="64"/>
      <c r="QDQ19" s="64"/>
      <c r="QDR19" s="64"/>
      <c r="QDS19" s="64"/>
      <c r="QDT19" s="64"/>
      <c r="QDU19" s="64"/>
      <c r="QDV19" s="64"/>
      <c r="QDW19" s="64"/>
      <c r="QDX19" s="64"/>
      <c r="QDY19" s="64"/>
      <c r="QDZ19" s="64"/>
      <c r="QEA19" s="64"/>
      <c r="QEB19" s="64"/>
      <c r="QEC19" s="64"/>
      <c r="QED19" s="64"/>
      <c r="QEE19" s="64"/>
      <c r="QEF19" s="64"/>
      <c r="QEG19" s="64"/>
      <c r="QEH19" s="64"/>
      <c r="QEI19" s="64"/>
      <c r="QEJ19" s="64"/>
      <c r="QEK19" s="64"/>
      <c r="QEL19" s="64"/>
      <c r="QEM19" s="64"/>
      <c r="QEN19" s="64"/>
      <c r="QEO19" s="64"/>
      <c r="QEP19" s="64"/>
      <c r="QEQ19" s="64"/>
      <c r="QER19" s="64"/>
      <c r="QES19" s="64"/>
      <c r="QET19" s="64"/>
      <c r="QEU19" s="64"/>
      <c r="QEV19" s="64"/>
      <c r="QEW19" s="64"/>
      <c r="QEX19" s="64"/>
      <c r="QEY19" s="64"/>
      <c r="QEZ19" s="64"/>
      <c r="QFA19" s="64"/>
      <c r="QFB19" s="64"/>
      <c r="QFC19" s="64"/>
      <c r="QFD19" s="64"/>
      <c r="QFE19" s="64"/>
      <c r="QFF19" s="64"/>
      <c r="QFG19" s="64"/>
      <c r="QFH19" s="64"/>
      <c r="QFI19" s="64"/>
      <c r="QFJ19" s="64"/>
      <c r="QFK19" s="64"/>
      <c r="QFL19" s="64"/>
      <c r="QFM19" s="64"/>
      <c r="QFN19" s="64"/>
      <c r="QFO19" s="64"/>
      <c r="QFP19" s="64"/>
      <c r="QFQ19" s="64"/>
      <c r="QFR19" s="64"/>
      <c r="QFS19" s="64"/>
      <c r="QFT19" s="64"/>
      <c r="QFU19" s="64"/>
      <c r="QFV19" s="64"/>
      <c r="QFW19" s="64"/>
      <c r="QFX19" s="64"/>
      <c r="QFY19" s="64"/>
      <c r="QFZ19" s="64"/>
      <c r="QGA19" s="64"/>
      <c r="QGB19" s="64"/>
      <c r="QGC19" s="64"/>
      <c r="QGD19" s="64"/>
      <c r="QGE19" s="64"/>
      <c r="QGF19" s="64"/>
      <c r="QGG19" s="64"/>
      <c r="QGH19" s="64"/>
      <c r="QGI19" s="64"/>
      <c r="QGJ19" s="64"/>
      <c r="QGK19" s="64"/>
      <c r="QGL19" s="64"/>
      <c r="QGM19" s="64"/>
      <c r="QGN19" s="64"/>
      <c r="QGO19" s="64"/>
      <c r="QGP19" s="64"/>
      <c r="QGQ19" s="64"/>
      <c r="QGR19" s="64"/>
      <c r="QGS19" s="64"/>
      <c r="QGT19" s="64"/>
      <c r="QGU19" s="64"/>
      <c r="QGV19" s="64"/>
      <c r="QGW19" s="64"/>
      <c r="QGX19" s="64"/>
      <c r="QGY19" s="64"/>
      <c r="QGZ19" s="64"/>
      <c r="QHA19" s="64"/>
      <c r="QHB19" s="64"/>
      <c r="QHC19" s="64"/>
      <c r="QHD19" s="64"/>
      <c r="QHE19" s="64"/>
      <c r="QHF19" s="64"/>
      <c r="QHG19" s="64"/>
      <c r="QHH19" s="64"/>
      <c r="QHI19" s="64"/>
      <c r="QHJ19" s="64"/>
      <c r="QHK19" s="64"/>
      <c r="QHL19" s="64"/>
      <c r="QHM19" s="64"/>
      <c r="QHN19" s="64"/>
      <c r="QHO19" s="64"/>
      <c r="QHP19" s="64"/>
      <c r="QHQ19" s="64"/>
      <c r="QHR19" s="64"/>
      <c r="QHS19" s="64"/>
      <c r="QHT19" s="64"/>
      <c r="QHU19" s="64"/>
      <c r="QHV19" s="64"/>
      <c r="QHW19" s="64"/>
      <c r="QHX19" s="64"/>
      <c r="QHY19" s="64"/>
      <c r="QHZ19" s="64"/>
      <c r="QIA19" s="64"/>
      <c r="QIB19" s="64"/>
      <c r="QIC19" s="64"/>
      <c r="QID19" s="64"/>
      <c r="QIE19" s="64"/>
      <c r="QIF19" s="64"/>
      <c r="QIG19" s="64"/>
      <c r="QIH19" s="64"/>
      <c r="QII19" s="64"/>
      <c r="QIJ19" s="64"/>
      <c r="QIK19" s="64"/>
      <c r="QIL19" s="64"/>
      <c r="QIM19" s="64"/>
      <c r="QIN19" s="64"/>
      <c r="QIO19" s="64"/>
      <c r="QIP19" s="64"/>
      <c r="QIQ19" s="64"/>
      <c r="QIR19" s="64"/>
      <c r="QIS19" s="64"/>
      <c r="QIT19" s="64"/>
      <c r="QIU19" s="64"/>
      <c r="QIV19" s="64"/>
      <c r="QIW19" s="64"/>
      <c r="QIX19" s="64"/>
      <c r="QIY19" s="64"/>
      <c r="QIZ19" s="64"/>
      <c r="QJA19" s="64"/>
      <c r="QJB19" s="64"/>
      <c r="QJC19" s="64"/>
      <c r="QJD19" s="64"/>
      <c r="QJE19" s="64"/>
      <c r="QJF19" s="64"/>
      <c r="QJG19" s="64"/>
      <c r="QJH19" s="64"/>
      <c r="QJI19" s="64"/>
      <c r="QJJ19" s="64"/>
      <c r="QJK19" s="64"/>
      <c r="QJL19" s="64"/>
      <c r="QJM19" s="64"/>
      <c r="QJN19" s="64"/>
      <c r="QJO19" s="64"/>
      <c r="QJP19" s="64"/>
      <c r="QJQ19" s="64"/>
      <c r="QJR19" s="64"/>
      <c r="QJS19" s="64"/>
      <c r="QJT19" s="64"/>
      <c r="QJU19" s="64"/>
      <c r="QJV19" s="64"/>
      <c r="QJW19" s="64"/>
      <c r="QJX19" s="64"/>
      <c r="QJY19" s="64"/>
      <c r="QJZ19" s="64"/>
      <c r="QKA19" s="64"/>
      <c r="QKB19" s="64"/>
      <c r="QKC19" s="64"/>
      <c r="QKD19" s="64"/>
      <c r="QKE19" s="64"/>
      <c r="QKF19" s="64"/>
      <c r="QKG19" s="64"/>
      <c r="QKH19" s="64"/>
      <c r="QKI19" s="64"/>
      <c r="QKJ19" s="64"/>
      <c r="QKK19" s="64"/>
      <c r="QKL19" s="64"/>
      <c r="QKM19" s="64"/>
      <c r="QKN19" s="64"/>
      <c r="QKO19" s="64"/>
      <c r="QKP19" s="64"/>
      <c r="QKQ19" s="64"/>
      <c r="QKR19" s="64"/>
      <c r="QKS19" s="64"/>
      <c r="QKT19" s="64"/>
      <c r="QKU19" s="64"/>
      <c r="QKV19" s="64"/>
      <c r="QKW19" s="64"/>
      <c r="QKX19" s="64"/>
      <c r="QKY19" s="64"/>
      <c r="QKZ19" s="64"/>
      <c r="QLA19" s="64"/>
      <c r="QLB19" s="64"/>
      <c r="QLC19" s="64"/>
      <c r="QLD19" s="64"/>
      <c r="QLE19" s="64"/>
      <c r="QLF19" s="64"/>
      <c r="QLG19" s="64"/>
      <c r="QLH19" s="64"/>
      <c r="QLI19" s="64"/>
      <c r="QLJ19" s="64"/>
      <c r="QLK19" s="64"/>
      <c r="QLL19" s="64"/>
      <c r="QLM19" s="64"/>
      <c r="QLN19" s="64"/>
      <c r="QLO19" s="64"/>
      <c r="QLP19" s="64"/>
      <c r="QLQ19" s="64"/>
      <c r="QLR19" s="64"/>
      <c r="QLS19" s="64"/>
      <c r="QLT19" s="64"/>
      <c r="QLU19" s="64"/>
      <c r="QLV19" s="64"/>
      <c r="QLW19" s="64"/>
      <c r="QLX19" s="64"/>
      <c r="QLY19" s="64"/>
      <c r="QLZ19" s="64"/>
      <c r="QMA19" s="64"/>
      <c r="QMB19" s="64"/>
      <c r="QMC19" s="64"/>
      <c r="QMD19" s="64"/>
      <c r="QME19" s="64"/>
      <c r="QMF19" s="64"/>
      <c r="QMG19" s="64"/>
      <c r="QMH19" s="64"/>
      <c r="QMI19" s="64"/>
      <c r="QMJ19" s="64"/>
      <c r="QMK19" s="64"/>
      <c r="QML19" s="64"/>
      <c r="QMM19" s="64"/>
      <c r="QMN19" s="64"/>
      <c r="QMO19" s="64"/>
      <c r="QMP19" s="64"/>
      <c r="QMQ19" s="64"/>
      <c r="QMR19" s="64"/>
      <c r="QMS19" s="64"/>
      <c r="QMT19" s="64"/>
      <c r="QMU19" s="64"/>
      <c r="QMV19" s="64"/>
      <c r="QMW19" s="64"/>
      <c r="QMX19" s="64"/>
      <c r="QMY19" s="64"/>
      <c r="QMZ19" s="64"/>
      <c r="QNA19" s="64"/>
      <c r="QNB19" s="64"/>
      <c r="QNC19" s="64"/>
      <c r="QND19" s="64"/>
      <c r="QNE19" s="64"/>
      <c r="QNF19" s="64"/>
      <c r="QNG19" s="64"/>
      <c r="QNH19" s="64"/>
      <c r="QNI19" s="64"/>
      <c r="QNJ19" s="64"/>
      <c r="QNK19" s="64"/>
      <c r="QNL19" s="64"/>
      <c r="QNM19" s="64"/>
      <c r="QNN19" s="64"/>
      <c r="QNO19" s="64"/>
      <c r="QNP19" s="64"/>
      <c r="QNQ19" s="64"/>
      <c r="QNR19" s="64"/>
      <c r="QNS19" s="64"/>
      <c r="QNT19" s="64"/>
      <c r="QNU19" s="64"/>
      <c r="QNV19" s="64"/>
      <c r="QNW19" s="64"/>
      <c r="QNX19" s="64"/>
      <c r="QNY19" s="64"/>
      <c r="QNZ19" s="64"/>
      <c r="QOA19" s="64"/>
      <c r="QOB19" s="64"/>
      <c r="QOC19" s="64"/>
      <c r="QOD19" s="64"/>
      <c r="QOE19" s="64"/>
      <c r="QOF19" s="64"/>
      <c r="QOG19" s="64"/>
      <c r="QOH19" s="64"/>
      <c r="QOI19" s="64"/>
      <c r="QOJ19" s="64"/>
      <c r="QOK19" s="64"/>
      <c r="QOL19" s="64"/>
      <c r="QOM19" s="64"/>
      <c r="QON19" s="64"/>
      <c r="QOO19" s="64"/>
      <c r="QOP19" s="64"/>
      <c r="QOQ19" s="64"/>
      <c r="QOR19" s="64"/>
      <c r="QOS19" s="64"/>
      <c r="QOT19" s="64"/>
      <c r="QOU19" s="64"/>
      <c r="QOV19" s="64"/>
      <c r="QOW19" s="64"/>
      <c r="QOX19" s="64"/>
      <c r="QOY19" s="64"/>
      <c r="QOZ19" s="64"/>
      <c r="QPA19" s="64"/>
      <c r="QPB19" s="64"/>
      <c r="QPC19" s="64"/>
      <c r="QPD19" s="64"/>
      <c r="QPE19" s="64"/>
      <c r="QPF19" s="64"/>
      <c r="QPG19" s="64"/>
      <c r="QPH19" s="64"/>
      <c r="QPI19" s="64"/>
      <c r="QPJ19" s="64"/>
      <c r="QPK19" s="64"/>
      <c r="QPL19" s="64"/>
      <c r="QPM19" s="64"/>
      <c r="QPN19" s="64"/>
      <c r="QPO19" s="64"/>
      <c r="QPP19" s="64"/>
      <c r="QPQ19" s="64"/>
      <c r="QPR19" s="64"/>
      <c r="QPS19" s="64"/>
      <c r="QPT19" s="64"/>
      <c r="QPU19" s="64"/>
      <c r="QPV19" s="64"/>
      <c r="QPW19" s="64"/>
      <c r="QPX19" s="64"/>
      <c r="QPY19" s="64"/>
      <c r="QPZ19" s="64"/>
      <c r="QQA19" s="64"/>
      <c r="QQB19" s="64"/>
      <c r="QQC19" s="64"/>
      <c r="QQD19" s="64"/>
      <c r="QQE19" s="64"/>
      <c r="QQF19" s="64"/>
      <c r="QQG19" s="64"/>
      <c r="QQH19" s="64"/>
      <c r="QQI19" s="64"/>
      <c r="QQJ19" s="64"/>
      <c r="QQK19" s="64"/>
      <c r="QQL19" s="64"/>
      <c r="QQM19" s="64"/>
      <c r="QQN19" s="64"/>
      <c r="QQO19" s="64"/>
      <c r="QQP19" s="64"/>
      <c r="QQQ19" s="64"/>
      <c r="QQR19" s="64"/>
      <c r="QQS19" s="64"/>
      <c r="QQT19" s="64"/>
      <c r="QQU19" s="64"/>
      <c r="QQV19" s="64"/>
      <c r="QQW19" s="64"/>
      <c r="QQX19" s="64"/>
      <c r="QQY19" s="64"/>
      <c r="QQZ19" s="64"/>
      <c r="QRA19" s="64"/>
      <c r="QRB19" s="64"/>
      <c r="QRC19" s="64"/>
      <c r="QRD19" s="64"/>
      <c r="QRE19" s="64"/>
      <c r="QRF19" s="64"/>
      <c r="QRG19" s="64"/>
      <c r="QRH19" s="64"/>
      <c r="QRI19" s="64"/>
      <c r="QRJ19" s="64"/>
      <c r="QRK19" s="64"/>
      <c r="QRL19" s="64"/>
      <c r="QRM19" s="64"/>
      <c r="QRN19" s="64"/>
      <c r="QRO19" s="64"/>
      <c r="QRP19" s="64"/>
      <c r="QRQ19" s="64"/>
      <c r="QRR19" s="64"/>
      <c r="QRS19" s="64"/>
      <c r="QRT19" s="64"/>
      <c r="QRU19" s="64"/>
      <c r="QRV19" s="64"/>
      <c r="QRW19" s="64"/>
      <c r="QRX19" s="64"/>
      <c r="QRY19" s="64"/>
      <c r="QRZ19" s="64"/>
      <c r="QSA19" s="64"/>
      <c r="QSB19" s="64"/>
      <c r="QSC19" s="64"/>
      <c r="QSD19" s="64"/>
      <c r="QSE19" s="64"/>
      <c r="QSF19" s="64"/>
      <c r="QSG19" s="64"/>
      <c r="QSH19" s="64"/>
      <c r="QSI19" s="64"/>
      <c r="QSJ19" s="64"/>
      <c r="QSK19" s="64"/>
      <c r="QSL19" s="64"/>
      <c r="QSM19" s="64"/>
      <c r="QSN19" s="64"/>
      <c r="QSO19" s="64"/>
      <c r="QSP19" s="64"/>
      <c r="QSQ19" s="64"/>
      <c r="QSR19" s="64"/>
      <c r="QSS19" s="64"/>
      <c r="QST19" s="64"/>
      <c r="QSU19" s="64"/>
      <c r="QSV19" s="64"/>
      <c r="QSW19" s="64"/>
      <c r="QSX19" s="64"/>
      <c r="QSY19" s="64"/>
      <c r="QSZ19" s="64"/>
      <c r="QTA19" s="64"/>
      <c r="QTB19" s="64"/>
      <c r="QTC19" s="64"/>
      <c r="QTD19" s="64"/>
      <c r="QTE19" s="64"/>
      <c r="QTF19" s="64"/>
      <c r="QTG19" s="64"/>
      <c r="QTH19" s="64"/>
      <c r="QTI19" s="64"/>
      <c r="QTJ19" s="64"/>
      <c r="QTK19" s="64"/>
      <c r="QTL19" s="64"/>
      <c r="QTM19" s="64"/>
      <c r="QTN19" s="64"/>
      <c r="QTO19" s="64"/>
      <c r="QTP19" s="64"/>
      <c r="QTQ19" s="64"/>
      <c r="QTR19" s="64"/>
      <c r="QTS19" s="64"/>
      <c r="QTT19" s="64"/>
      <c r="QTU19" s="64"/>
      <c r="QTV19" s="64"/>
      <c r="QTW19" s="64"/>
      <c r="QTX19" s="64"/>
      <c r="QTY19" s="64"/>
      <c r="QTZ19" s="64"/>
      <c r="QUA19" s="64"/>
      <c r="QUB19" s="64"/>
      <c r="QUC19" s="64"/>
      <c r="QUD19" s="64"/>
      <c r="QUE19" s="64"/>
      <c r="QUF19" s="64"/>
      <c r="QUG19" s="64"/>
      <c r="QUH19" s="64"/>
      <c r="QUI19" s="64"/>
      <c r="QUJ19" s="64"/>
      <c r="QUK19" s="64"/>
      <c r="QUL19" s="64"/>
      <c r="QUM19" s="64"/>
      <c r="QUN19" s="64"/>
      <c r="QUO19" s="64"/>
      <c r="QUP19" s="64"/>
      <c r="QUQ19" s="64"/>
      <c r="QUR19" s="64"/>
      <c r="QUS19" s="64"/>
      <c r="QUT19" s="64"/>
      <c r="QUU19" s="64"/>
      <c r="QUV19" s="64"/>
      <c r="QUW19" s="64"/>
      <c r="QUX19" s="64"/>
      <c r="QUY19" s="64"/>
      <c r="QUZ19" s="64"/>
      <c r="QVA19" s="64"/>
      <c r="QVB19" s="64"/>
      <c r="QVC19" s="64"/>
      <c r="QVD19" s="64"/>
      <c r="QVE19" s="64"/>
      <c r="QVF19" s="64"/>
      <c r="QVG19" s="64"/>
      <c r="QVH19" s="64"/>
      <c r="QVI19" s="64"/>
      <c r="QVJ19" s="64"/>
      <c r="QVK19" s="64"/>
      <c r="QVL19" s="64"/>
      <c r="QVM19" s="64"/>
      <c r="QVN19" s="64"/>
      <c r="QVO19" s="64"/>
      <c r="QVP19" s="64"/>
      <c r="QVQ19" s="64"/>
      <c r="QVR19" s="64"/>
      <c r="QVS19" s="64"/>
      <c r="QVT19" s="64"/>
      <c r="QVU19" s="64"/>
      <c r="QVV19" s="64"/>
      <c r="QVW19" s="64"/>
      <c r="QVX19" s="64"/>
      <c r="QVY19" s="64"/>
      <c r="QVZ19" s="64"/>
      <c r="QWA19" s="64"/>
      <c r="QWB19" s="64"/>
      <c r="QWC19" s="64"/>
      <c r="QWD19" s="64"/>
      <c r="QWE19" s="64"/>
      <c r="QWF19" s="64"/>
      <c r="QWG19" s="64"/>
      <c r="QWH19" s="64"/>
      <c r="QWI19" s="64"/>
      <c r="QWJ19" s="64"/>
      <c r="QWK19" s="64"/>
      <c r="QWL19" s="64"/>
      <c r="QWM19" s="64"/>
      <c r="QWN19" s="64"/>
      <c r="QWO19" s="64"/>
      <c r="QWP19" s="64"/>
      <c r="QWQ19" s="64"/>
      <c r="QWR19" s="64"/>
      <c r="QWS19" s="64"/>
      <c r="QWT19" s="64"/>
      <c r="QWU19" s="64"/>
      <c r="QWV19" s="64"/>
      <c r="QWW19" s="64"/>
      <c r="QWX19" s="64"/>
      <c r="QWY19" s="64"/>
      <c r="QWZ19" s="64"/>
      <c r="QXA19" s="64"/>
      <c r="QXB19" s="64"/>
      <c r="QXC19" s="64"/>
      <c r="QXD19" s="64"/>
      <c r="QXE19" s="64"/>
      <c r="QXF19" s="64"/>
      <c r="QXG19" s="64"/>
      <c r="QXH19" s="64"/>
      <c r="QXI19" s="64"/>
      <c r="QXJ19" s="64"/>
      <c r="QXK19" s="64"/>
      <c r="QXL19" s="64"/>
      <c r="QXM19" s="64"/>
      <c r="QXN19" s="64"/>
      <c r="QXO19" s="64"/>
      <c r="QXP19" s="64"/>
      <c r="QXQ19" s="64"/>
      <c r="QXR19" s="64"/>
      <c r="QXS19" s="64"/>
      <c r="QXT19" s="64"/>
      <c r="QXU19" s="64"/>
      <c r="QXV19" s="64"/>
      <c r="QXW19" s="64"/>
      <c r="QXX19" s="64"/>
      <c r="QXY19" s="64"/>
      <c r="QXZ19" s="64"/>
      <c r="QYA19" s="64"/>
      <c r="QYB19" s="64"/>
      <c r="QYC19" s="64"/>
      <c r="QYD19" s="64"/>
      <c r="QYE19" s="64"/>
      <c r="QYF19" s="64"/>
      <c r="QYG19" s="64"/>
      <c r="QYH19" s="64"/>
      <c r="QYI19" s="64"/>
      <c r="QYJ19" s="64"/>
      <c r="QYK19" s="64"/>
      <c r="QYL19" s="64"/>
      <c r="QYM19" s="64"/>
      <c r="QYN19" s="64"/>
      <c r="QYO19" s="64"/>
      <c r="QYP19" s="64"/>
      <c r="QYQ19" s="64"/>
      <c r="QYR19" s="64"/>
      <c r="QYS19" s="64"/>
      <c r="QYT19" s="64"/>
      <c r="QYU19" s="64"/>
      <c r="QYV19" s="64"/>
      <c r="QYW19" s="64"/>
      <c r="QYX19" s="64"/>
      <c r="QYY19" s="64"/>
      <c r="QYZ19" s="64"/>
      <c r="QZA19" s="64"/>
      <c r="QZB19" s="64"/>
      <c r="QZC19" s="64"/>
      <c r="QZD19" s="64"/>
      <c r="QZE19" s="64"/>
      <c r="QZF19" s="64"/>
      <c r="QZG19" s="64"/>
      <c r="QZH19" s="64"/>
      <c r="QZI19" s="64"/>
      <c r="QZJ19" s="64"/>
      <c r="QZK19" s="64"/>
      <c r="QZL19" s="64"/>
      <c r="QZM19" s="64"/>
      <c r="QZN19" s="64"/>
      <c r="QZO19" s="64"/>
      <c r="QZP19" s="64"/>
      <c r="QZQ19" s="64"/>
      <c r="QZR19" s="64"/>
      <c r="QZS19" s="64"/>
      <c r="QZT19" s="64"/>
      <c r="QZU19" s="64"/>
      <c r="QZV19" s="64"/>
      <c r="QZW19" s="64"/>
      <c r="QZX19" s="64"/>
      <c r="QZY19" s="64"/>
      <c r="QZZ19" s="64"/>
      <c r="RAA19" s="64"/>
      <c r="RAB19" s="64"/>
      <c r="RAC19" s="64"/>
      <c r="RAD19" s="64"/>
      <c r="RAE19" s="64"/>
      <c r="RAF19" s="64"/>
      <c r="RAG19" s="64"/>
      <c r="RAH19" s="64"/>
      <c r="RAI19" s="64"/>
      <c r="RAJ19" s="64"/>
      <c r="RAK19" s="64"/>
      <c r="RAL19" s="64"/>
      <c r="RAM19" s="64"/>
      <c r="RAN19" s="64"/>
      <c r="RAO19" s="64"/>
      <c r="RAP19" s="64"/>
      <c r="RAQ19" s="64"/>
      <c r="RAR19" s="64"/>
      <c r="RAS19" s="64"/>
      <c r="RAT19" s="64"/>
      <c r="RAU19" s="64"/>
      <c r="RAV19" s="64"/>
      <c r="RAW19" s="64"/>
      <c r="RAX19" s="64"/>
      <c r="RAY19" s="64"/>
      <c r="RAZ19" s="64"/>
      <c r="RBA19" s="64"/>
      <c r="RBB19" s="64"/>
      <c r="RBC19" s="64"/>
      <c r="RBD19" s="64"/>
      <c r="RBE19" s="64"/>
      <c r="RBF19" s="64"/>
      <c r="RBG19" s="64"/>
      <c r="RBH19" s="64"/>
      <c r="RBI19" s="64"/>
      <c r="RBJ19" s="64"/>
      <c r="RBK19" s="64"/>
      <c r="RBL19" s="64"/>
      <c r="RBM19" s="64"/>
      <c r="RBN19" s="64"/>
      <c r="RBO19" s="64"/>
      <c r="RBP19" s="64"/>
      <c r="RBQ19" s="64"/>
      <c r="RBR19" s="64"/>
      <c r="RBS19" s="64"/>
      <c r="RBT19" s="64"/>
      <c r="RBU19" s="64"/>
      <c r="RBV19" s="64"/>
      <c r="RBW19" s="64"/>
      <c r="RBX19" s="64"/>
      <c r="RBY19" s="64"/>
      <c r="RBZ19" s="64"/>
      <c r="RCA19" s="64"/>
      <c r="RCB19" s="64"/>
      <c r="RCC19" s="64"/>
      <c r="RCD19" s="64"/>
      <c r="RCE19" s="64"/>
      <c r="RCF19" s="64"/>
      <c r="RCG19" s="64"/>
      <c r="RCH19" s="64"/>
      <c r="RCI19" s="64"/>
      <c r="RCJ19" s="64"/>
      <c r="RCK19" s="64"/>
      <c r="RCL19" s="64"/>
      <c r="RCM19" s="64"/>
      <c r="RCN19" s="64"/>
      <c r="RCO19" s="64"/>
      <c r="RCP19" s="64"/>
      <c r="RCQ19" s="64"/>
      <c r="RCR19" s="64"/>
      <c r="RCS19" s="64"/>
      <c r="RCT19" s="64"/>
      <c r="RCU19" s="64"/>
      <c r="RCV19" s="64"/>
      <c r="RCW19" s="64"/>
      <c r="RCX19" s="64"/>
      <c r="RCY19" s="64"/>
      <c r="RCZ19" s="64"/>
      <c r="RDA19" s="64"/>
      <c r="RDB19" s="64"/>
      <c r="RDC19" s="64"/>
      <c r="RDD19" s="64"/>
      <c r="RDE19" s="64"/>
      <c r="RDF19" s="64"/>
      <c r="RDG19" s="64"/>
      <c r="RDH19" s="64"/>
      <c r="RDI19" s="64"/>
      <c r="RDJ19" s="64"/>
      <c r="RDK19" s="64"/>
      <c r="RDL19" s="64"/>
      <c r="RDM19" s="64"/>
      <c r="RDN19" s="64"/>
      <c r="RDO19" s="64"/>
      <c r="RDP19" s="64"/>
      <c r="RDQ19" s="64"/>
      <c r="RDR19" s="64"/>
      <c r="RDS19" s="64"/>
      <c r="RDT19" s="64"/>
      <c r="RDU19" s="64"/>
      <c r="RDV19" s="64"/>
      <c r="RDW19" s="64"/>
      <c r="RDX19" s="64"/>
      <c r="RDY19" s="64"/>
      <c r="RDZ19" s="64"/>
      <c r="REA19" s="64"/>
      <c r="REB19" s="64"/>
      <c r="REC19" s="64"/>
      <c r="RED19" s="64"/>
      <c r="REE19" s="64"/>
      <c r="REF19" s="64"/>
      <c r="REG19" s="64"/>
      <c r="REH19" s="64"/>
      <c r="REI19" s="64"/>
      <c r="REJ19" s="64"/>
      <c r="REK19" s="64"/>
      <c r="REL19" s="64"/>
      <c r="REM19" s="64"/>
      <c r="REN19" s="64"/>
      <c r="REO19" s="64"/>
      <c r="REP19" s="64"/>
      <c r="REQ19" s="64"/>
      <c r="RER19" s="64"/>
      <c r="RES19" s="64"/>
      <c r="RET19" s="64"/>
      <c r="REU19" s="64"/>
      <c r="REV19" s="64"/>
      <c r="REW19" s="64"/>
      <c r="REX19" s="64"/>
      <c r="REY19" s="64"/>
      <c r="REZ19" s="64"/>
      <c r="RFA19" s="64"/>
      <c r="RFB19" s="64"/>
      <c r="RFC19" s="64"/>
      <c r="RFD19" s="64"/>
      <c r="RFE19" s="64"/>
      <c r="RFF19" s="64"/>
      <c r="RFG19" s="64"/>
      <c r="RFH19" s="64"/>
      <c r="RFI19" s="64"/>
      <c r="RFJ19" s="64"/>
      <c r="RFK19" s="64"/>
      <c r="RFL19" s="64"/>
      <c r="RFM19" s="64"/>
      <c r="RFN19" s="64"/>
      <c r="RFO19" s="64"/>
      <c r="RFP19" s="64"/>
      <c r="RFQ19" s="64"/>
      <c r="RFR19" s="64"/>
      <c r="RFS19" s="64"/>
      <c r="RFT19" s="64"/>
      <c r="RFU19" s="64"/>
      <c r="RFV19" s="64"/>
      <c r="RFW19" s="64"/>
      <c r="RFX19" s="64"/>
      <c r="RFY19" s="64"/>
      <c r="RFZ19" s="64"/>
      <c r="RGA19" s="64"/>
      <c r="RGB19" s="64"/>
      <c r="RGC19" s="64"/>
      <c r="RGD19" s="64"/>
      <c r="RGE19" s="64"/>
      <c r="RGF19" s="64"/>
      <c r="RGG19" s="64"/>
      <c r="RGH19" s="64"/>
      <c r="RGI19" s="64"/>
      <c r="RGJ19" s="64"/>
      <c r="RGK19" s="64"/>
      <c r="RGL19" s="64"/>
      <c r="RGM19" s="64"/>
      <c r="RGN19" s="64"/>
      <c r="RGO19" s="64"/>
      <c r="RGP19" s="64"/>
      <c r="RGQ19" s="64"/>
      <c r="RGR19" s="64"/>
      <c r="RGS19" s="64"/>
      <c r="RGT19" s="64"/>
      <c r="RGU19" s="64"/>
      <c r="RGV19" s="64"/>
      <c r="RGW19" s="64"/>
      <c r="RGX19" s="64"/>
      <c r="RGY19" s="64"/>
      <c r="RGZ19" s="64"/>
      <c r="RHA19" s="64"/>
      <c r="RHB19" s="64"/>
      <c r="RHC19" s="64"/>
      <c r="RHD19" s="64"/>
      <c r="RHE19" s="64"/>
      <c r="RHF19" s="64"/>
      <c r="RHG19" s="64"/>
      <c r="RHH19" s="64"/>
      <c r="RHI19" s="64"/>
      <c r="RHJ19" s="64"/>
      <c r="RHK19" s="64"/>
      <c r="RHL19" s="64"/>
      <c r="RHM19" s="64"/>
      <c r="RHN19" s="64"/>
      <c r="RHO19" s="64"/>
      <c r="RHP19" s="64"/>
      <c r="RHQ19" s="64"/>
      <c r="RHR19" s="64"/>
      <c r="RHS19" s="64"/>
      <c r="RHT19" s="64"/>
      <c r="RHU19" s="64"/>
      <c r="RHV19" s="64"/>
      <c r="RHW19" s="64"/>
      <c r="RHX19" s="64"/>
      <c r="RHY19" s="64"/>
      <c r="RHZ19" s="64"/>
      <c r="RIA19" s="64"/>
      <c r="RIB19" s="64"/>
      <c r="RIC19" s="64"/>
      <c r="RID19" s="64"/>
      <c r="RIE19" s="64"/>
      <c r="RIF19" s="64"/>
      <c r="RIG19" s="64"/>
      <c r="RIH19" s="64"/>
      <c r="RII19" s="64"/>
      <c r="RIJ19" s="64"/>
      <c r="RIK19" s="64"/>
      <c r="RIL19" s="64"/>
      <c r="RIM19" s="64"/>
      <c r="RIN19" s="64"/>
      <c r="RIO19" s="64"/>
      <c r="RIP19" s="64"/>
      <c r="RIQ19" s="64"/>
      <c r="RIR19" s="64"/>
      <c r="RIS19" s="64"/>
      <c r="RIT19" s="64"/>
      <c r="RIU19" s="64"/>
      <c r="RIV19" s="64"/>
      <c r="RIW19" s="64"/>
      <c r="RIX19" s="64"/>
      <c r="RIY19" s="64"/>
      <c r="RIZ19" s="64"/>
      <c r="RJA19" s="64"/>
      <c r="RJB19" s="64"/>
      <c r="RJC19" s="64"/>
      <c r="RJD19" s="64"/>
      <c r="RJE19" s="64"/>
      <c r="RJF19" s="64"/>
      <c r="RJG19" s="64"/>
      <c r="RJH19" s="64"/>
      <c r="RJI19" s="64"/>
      <c r="RJJ19" s="64"/>
      <c r="RJK19" s="64"/>
      <c r="RJL19" s="64"/>
      <c r="RJM19" s="64"/>
      <c r="RJN19" s="64"/>
      <c r="RJO19" s="64"/>
      <c r="RJP19" s="64"/>
      <c r="RJQ19" s="64"/>
      <c r="RJR19" s="64"/>
      <c r="RJS19" s="64"/>
      <c r="RJT19" s="64"/>
      <c r="RJU19" s="64"/>
      <c r="RJV19" s="64"/>
      <c r="RJW19" s="64"/>
      <c r="RJX19" s="64"/>
      <c r="RJY19" s="64"/>
      <c r="RJZ19" s="64"/>
      <c r="RKA19" s="64"/>
      <c r="RKB19" s="64"/>
      <c r="RKC19" s="64"/>
      <c r="RKD19" s="64"/>
      <c r="RKE19" s="64"/>
      <c r="RKF19" s="64"/>
      <c r="RKG19" s="64"/>
      <c r="RKH19" s="64"/>
      <c r="RKI19" s="64"/>
      <c r="RKJ19" s="64"/>
      <c r="RKK19" s="64"/>
      <c r="RKL19" s="64"/>
      <c r="RKM19" s="64"/>
      <c r="RKN19" s="64"/>
      <c r="RKO19" s="64"/>
      <c r="RKP19" s="64"/>
      <c r="RKQ19" s="64"/>
      <c r="RKR19" s="64"/>
      <c r="RKS19" s="64"/>
      <c r="RKT19" s="64"/>
      <c r="RKU19" s="64"/>
      <c r="RKV19" s="64"/>
      <c r="RKW19" s="64"/>
      <c r="RKX19" s="64"/>
      <c r="RKY19" s="64"/>
      <c r="RKZ19" s="64"/>
      <c r="RLA19" s="64"/>
      <c r="RLB19" s="64"/>
      <c r="RLC19" s="64"/>
      <c r="RLD19" s="64"/>
      <c r="RLE19" s="64"/>
      <c r="RLF19" s="64"/>
      <c r="RLG19" s="64"/>
      <c r="RLH19" s="64"/>
      <c r="RLI19" s="64"/>
      <c r="RLJ19" s="64"/>
      <c r="RLK19" s="64"/>
      <c r="RLL19" s="64"/>
      <c r="RLM19" s="64"/>
      <c r="RLN19" s="64"/>
      <c r="RLO19" s="64"/>
      <c r="RLP19" s="64"/>
      <c r="RLQ19" s="64"/>
      <c r="RLR19" s="64"/>
      <c r="RLS19" s="64"/>
      <c r="RLT19" s="64"/>
      <c r="RLU19" s="64"/>
      <c r="RLV19" s="64"/>
      <c r="RLW19" s="64"/>
      <c r="RLX19" s="64"/>
      <c r="RLY19" s="64"/>
      <c r="RLZ19" s="64"/>
      <c r="RMA19" s="64"/>
      <c r="RMB19" s="64"/>
      <c r="RMC19" s="64"/>
      <c r="RMD19" s="64"/>
      <c r="RME19" s="64"/>
      <c r="RMF19" s="64"/>
      <c r="RMG19" s="64"/>
      <c r="RMH19" s="64"/>
      <c r="RMI19" s="64"/>
      <c r="RMJ19" s="64"/>
      <c r="RMK19" s="64"/>
      <c r="RML19" s="64"/>
      <c r="RMM19" s="64"/>
      <c r="RMN19" s="64"/>
      <c r="RMO19" s="64"/>
      <c r="RMP19" s="64"/>
      <c r="RMQ19" s="64"/>
      <c r="RMR19" s="64"/>
      <c r="RMS19" s="64"/>
      <c r="RMT19" s="64"/>
      <c r="RMU19" s="64"/>
      <c r="RMV19" s="64"/>
      <c r="RMW19" s="64"/>
      <c r="RMX19" s="64"/>
      <c r="RMY19" s="64"/>
      <c r="RMZ19" s="64"/>
      <c r="RNA19" s="64"/>
      <c r="RNB19" s="64"/>
      <c r="RNC19" s="64"/>
      <c r="RND19" s="64"/>
      <c r="RNE19" s="64"/>
      <c r="RNF19" s="64"/>
      <c r="RNG19" s="64"/>
      <c r="RNH19" s="64"/>
      <c r="RNI19" s="64"/>
      <c r="RNJ19" s="64"/>
      <c r="RNK19" s="64"/>
      <c r="RNL19" s="64"/>
      <c r="RNM19" s="64"/>
      <c r="RNN19" s="64"/>
      <c r="RNO19" s="64"/>
      <c r="RNP19" s="64"/>
      <c r="RNQ19" s="64"/>
      <c r="RNR19" s="64"/>
      <c r="RNS19" s="64"/>
      <c r="RNT19" s="64"/>
      <c r="RNU19" s="64"/>
      <c r="RNV19" s="64"/>
      <c r="RNW19" s="64"/>
      <c r="RNX19" s="64"/>
      <c r="RNY19" s="64"/>
      <c r="RNZ19" s="64"/>
      <c r="ROA19" s="64"/>
      <c r="ROB19" s="64"/>
      <c r="ROC19" s="64"/>
      <c r="ROD19" s="64"/>
      <c r="ROE19" s="64"/>
      <c r="ROF19" s="64"/>
      <c r="ROG19" s="64"/>
      <c r="ROH19" s="64"/>
      <c r="ROI19" s="64"/>
      <c r="ROJ19" s="64"/>
      <c r="ROK19" s="64"/>
      <c r="ROL19" s="64"/>
      <c r="ROM19" s="64"/>
      <c r="RON19" s="64"/>
      <c r="ROO19" s="64"/>
      <c r="ROP19" s="64"/>
      <c r="ROQ19" s="64"/>
      <c r="ROR19" s="64"/>
      <c r="ROS19" s="64"/>
      <c r="ROT19" s="64"/>
      <c r="ROU19" s="64"/>
      <c r="ROV19" s="64"/>
      <c r="ROW19" s="64"/>
      <c r="ROX19" s="64"/>
      <c r="ROY19" s="64"/>
      <c r="ROZ19" s="64"/>
      <c r="RPA19" s="64"/>
      <c r="RPB19" s="64"/>
      <c r="RPC19" s="64"/>
      <c r="RPD19" s="64"/>
      <c r="RPE19" s="64"/>
      <c r="RPF19" s="64"/>
      <c r="RPG19" s="64"/>
      <c r="RPH19" s="64"/>
      <c r="RPI19" s="64"/>
      <c r="RPJ19" s="64"/>
      <c r="RPK19" s="64"/>
      <c r="RPL19" s="64"/>
      <c r="RPM19" s="64"/>
      <c r="RPN19" s="64"/>
      <c r="RPO19" s="64"/>
      <c r="RPP19" s="64"/>
      <c r="RPQ19" s="64"/>
      <c r="RPR19" s="64"/>
      <c r="RPS19" s="64"/>
      <c r="RPT19" s="64"/>
      <c r="RPU19" s="64"/>
      <c r="RPV19" s="64"/>
      <c r="RPW19" s="64"/>
      <c r="RPX19" s="64"/>
      <c r="RPY19" s="64"/>
      <c r="RPZ19" s="64"/>
      <c r="RQA19" s="64"/>
      <c r="RQB19" s="64"/>
      <c r="RQC19" s="64"/>
      <c r="RQD19" s="64"/>
      <c r="RQE19" s="64"/>
      <c r="RQF19" s="64"/>
      <c r="RQG19" s="64"/>
      <c r="RQH19" s="64"/>
      <c r="RQI19" s="64"/>
      <c r="RQJ19" s="64"/>
      <c r="RQK19" s="64"/>
      <c r="RQL19" s="64"/>
      <c r="RQM19" s="64"/>
      <c r="RQN19" s="64"/>
      <c r="RQO19" s="64"/>
      <c r="RQP19" s="64"/>
      <c r="RQQ19" s="64"/>
      <c r="RQR19" s="64"/>
      <c r="RQS19" s="64"/>
      <c r="RQT19" s="64"/>
      <c r="RQU19" s="64"/>
      <c r="RQV19" s="64"/>
      <c r="RQW19" s="64"/>
      <c r="RQX19" s="64"/>
      <c r="RQY19" s="64"/>
      <c r="RQZ19" s="64"/>
      <c r="RRA19" s="64"/>
      <c r="RRB19" s="64"/>
      <c r="RRC19" s="64"/>
      <c r="RRD19" s="64"/>
      <c r="RRE19" s="64"/>
      <c r="RRF19" s="64"/>
      <c r="RRG19" s="64"/>
      <c r="RRH19" s="64"/>
      <c r="RRI19" s="64"/>
      <c r="RRJ19" s="64"/>
      <c r="RRK19" s="64"/>
      <c r="RRL19" s="64"/>
      <c r="RRM19" s="64"/>
      <c r="RRN19" s="64"/>
      <c r="RRO19" s="64"/>
      <c r="RRP19" s="64"/>
      <c r="RRQ19" s="64"/>
      <c r="RRR19" s="64"/>
      <c r="RRS19" s="64"/>
      <c r="RRT19" s="64"/>
      <c r="RRU19" s="64"/>
      <c r="RRV19" s="64"/>
      <c r="RRW19" s="64"/>
      <c r="RRX19" s="64"/>
      <c r="RRY19" s="64"/>
      <c r="RRZ19" s="64"/>
      <c r="RSA19" s="64"/>
      <c r="RSB19" s="64"/>
      <c r="RSC19" s="64"/>
      <c r="RSD19" s="64"/>
      <c r="RSE19" s="64"/>
      <c r="RSF19" s="64"/>
      <c r="RSG19" s="64"/>
      <c r="RSH19" s="64"/>
      <c r="RSI19" s="64"/>
      <c r="RSJ19" s="64"/>
      <c r="RSK19" s="64"/>
      <c r="RSL19" s="64"/>
      <c r="RSM19" s="64"/>
      <c r="RSN19" s="64"/>
      <c r="RSO19" s="64"/>
      <c r="RSP19" s="64"/>
      <c r="RSQ19" s="64"/>
      <c r="RSR19" s="64"/>
      <c r="RSS19" s="64"/>
      <c r="RST19" s="64"/>
      <c r="RSU19" s="64"/>
      <c r="RSV19" s="64"/>
      <c r="RSW19" s="64"/>
      <c r="RSX19" s="64"/>
      <c r="RSY19" s="64"/>
      <c r="RSZ19" s="64"/>
      <c r="RTA19" s="64"/>
      <c r="RTB19" s="64"/>
      <c r="RTC19" s="64"/>
      <c r="RTD19" s="64"/>
      <c r="RTE19" s="64"/>
      <c r="RTF19" s="64"/>
      <c r="RTG19" s="64"/>
      <c r="RTH19" s="64"/>
      <c r="RTI19" s="64"/>
      <c r="RTJ19" s="64"/>
      <c r="RTK19" s="64"/>
      <c r="RTL19" s="64"/>
      <c r="RTM19" s="64"/>
      <c r="RTN19" s="64"/>
      <c r="RTO19" s="64"/>
      <c r="RTP19" s="64"/>
      <c r="RTQ19" s="64"/>
      <c r="RTR19" s="64"/>
      <c r="RTS19" s="64"/>
      <c r="RTT19" s="64"/>
      <c r="RTU19" s="64"/>
      <c r="RTV19" s="64"/>
      <c r="RTW19" s="64"/>
      <c r="RTX19" s="64"/>
      <c r="RTY19" s="64"/>
      <c r="RTZ19" s="64"/>
      <c r="RUA19" s="64"/>
      <c r="RUB19" s="64"/>
      <c r="RUC19" s="64"/>
      <c r="RUD19" s="64"/>
      <c r="RUE19" s="64"/>
      <c r="RUF19" s="64"/>
      <c r="RUG19" s="64"/>
      <c r="RUH19" s="64"/>
      <c r="RUI19" s="64"/>
      <c r="RUJ19" s="64"/>
      <c r="RUK19" s="64"/>
      <c r="RUL19" s="64"/>
      <c r="RUM19" s="64"/>
      <c r="RUN19" s="64"/>
      <c r="RUO19" s="64"/>
      <c r="RUP19" s="64"/>
      <c r="RUQ19" s="64"/>
      <c r="RUR19" s="64"/>
      <c r="RUS19" s="64"/>
      <c r="RUT19" s="64"/>
      <c r="RUU19" s="64"/>
      <c r="RUV19" s="64"/>
      <c r="RUW19" s="64"/>
      <c r="RUX19" s="64"/>
      <c r="RUY19" s="64"/>
      <c r="RUZ19" s="64"/>
      <c r="RVA19" s="64"/>
      <c r="RVB19" s="64"/>
      <c r="RVC19" s="64"/>
      <c r="RVD19" s="64"/>
      <c r="RVE19" s="64"/>
      <c r="RVF19" s="64"/>
      <c r="RVG19" s="64"/>
      <c r="RVH19" s="64"/>
      <c r="RVI19" s="64"/>
      <c r="RVJ19" s="64"/>
      <c r="RVK19" s="64"/>
      <c r="RVL19" s="64"/>
      <c r="RVM19" s="64"/>
      <c r="RVN19" s="64"/>
      <c r="RVO19" s="64"/>
      <c r="RVP19" s="64"/>
      <c r="RVQ19" s="64"/>
      <c r="RVR19" s="64"/>
      <c r="RVS19" s="64"/>
      <c r="RVT19" s="64"/>
      <c r="RVU19" s="64"/>
      <c r="RVV19" s="64"/>
      <c r="RVW19" s="64"/>
      <c r="RVX19" s="64"/>
      <c r="RVY19" s="64"/>
      <c r="RVZ19" s="64"/>
      <c r="RWA19" s="64"/>
      <c r="RWB19" s="64"/>
      <c r="RWC19" s="64"/>
      <c r="RWD19" s="64"/>
      <c r="RWE19" s="64"/>
      <c r="RWF19" s="64"/>
      <c r="RWG19" s="64"/>
      <c r="RWH19" s="64"/>
      <c r="RWI19" s="64"/>
      <c r="RWJ19" s="64"/>
      <c r="RWK19" s="64"/>
      <c r="RWL19" s="64"/>
      <c r="RWM19" s="64"/>
      <c r="RWN19" s="64"/>
      <c r="RWO19" s="64"/>
      <c r="RWP19" s="64"/>
      <c r="RWQ19" s="64"/>
      <c r="RWR19" s="64"/>
      <c r="RWS19" s="64"/>
      <c r="RWT19" s="64"/>
      <c r="RWU19" s="64"/>
      <c r="RWV19" s="64"/>
      <c r="RWW19" s="64"/>
      <c r="RWX19" s="64"/>
      <c r="RWY19" s="64"/>
      <c r="RWZ19" s="64"/>
      <c r="RXA19" s="64"/>
      <c r="RXB19" s="64"/>
      <c r="RXC19" s="64"/>
      <c r="RXD19" s="64"/>
      <c r="RXE19" s="64"/>
      <c r="RXF19" s="64"/>
      <c r="RXG19" s="64"/>
      <c r="RXH19" s="64"/>
      <c r="RXI19" s="64"/>
      <c r="RXJ19" s="64"/>
      <c r="RXK19" s="64"/>
      <c r="RXL19" s="64"/>
      <c r="RXM19" s="64"/>
      <c r="RXN19" s="64"/>
      <c r="RXO19" s="64"/>
      <c r="RXP19" s="64"/>
      <c r="RXQ19" s="64"/>
      <c r="RXR19" s="64"/>
      <c r="RXS19" s="64"/>
      <c r="RXT19" s="64"/>
      <c r="RXU19" s="64"/>
      <c r="RXV19" s="64"/>
      <c r="RXW19" s="64"/>
      <c r="RXX19" s="64"/>
      <c r="RXY19" s="64"/>
      <c r="RXZ19" s="64"/>
      <c r="RYA19" s="64"/>
      <c r="RYB19" s="64"/>
      <c r="RYC19" s="64"/>
      <c r="RYD19" s="64"/>
      <c r="RYE19" s="64"/>
      <c r="RYF19" s="64"/>
      <c r="RYG19" s="64"/>
      <c r="RYH19" s="64"/>
      <c r="RYI19" s="64"/>
      <c r="RYJ19" s="64"/>
      <c r="RYK19" s="64"/>
      <c r="RYL19" s="64"/>
      <c r="RYM19" s="64"/>
      <c r="RYN19" s="64"/>
      <c r="RYO19" s="64"/>
      <c r="RYP19" s="64"/>
      <c r="RYQ19" s="64"/>
      <c r="RYR19" s="64"/>
      <c r="RYS19" s="64"/>
      <c r="RYT19" s="64"/>
      <c r="RYU19" s="64"/>
      <c r="RYV19" s="64"/>
      <c r="RYW19" s="64"/>
      <c r="RYX19" s="64"/>
      <c r="RYY19" s="64"/>
      <c r="RYZ19" s="64"/>
      <c r="RZA19" s="64"/>
      <c r="RZB19" s="64"/>
      <c r="RZC19" s="64"/>
      <c r="RZD19" s="64"/>
      <c r="RZE19" s="64"/>
      <c r="RZF19" s="64"/>
      <c r="RZG19" s="64"/>
      <c r="RZH19" s="64"/>
      <c r="RZI19" s="64"/>
      <c r="RZJ19" s="64"/>
      <c r="RZK19" s="64"/>
      <c r="RZL19" s="64"/>
      <c r="RZM19" s="64"/>
      <c r="RZN19" s="64"/>
      <c r="RZO19" s="64"/>
      <c r="RZP19" s="64"/>
      <c r="RZQ19" s="64"/>
      <c r="RZR19" s="64"/>
      <c r="RZS19" s="64"/>
      <c r="RZT19" s="64"/>
      <c r="RZU19" s="64"/>
      <c r="RZV19" s="64"/>
      <c r="RZW19" s="64"/>
      <c r="RZX19" s="64"/>
      <c r="RZY19" s="64"/>
      <c r="RZZ19" s="64"/>
      <c r="SAA19" s="64"/>
      <c r="SAB19" s="64"/>
      <c r="SAC19" s="64"/>
      <c r="SAD19" s="64"/>
      <c r="SAE19" s="64"/>
      <c r="SAF19" s="64"/>
      <c r="SAG19" s="64"/>
      <c r="SAH19" s="64"/>
      <c r="SAI19" s="64"/>
      <c r="SAJ19" s="64"/>
      <c r="SAK19" s="64"/>
      <c r="SAL19" s="64"/>
      <c r="SAM19" s="64"/>
      <c r="SAN19" s="64"/>
      <c r="SAO19" s="64"/>
      <c r="SAP19" s="64"/>
      <c r="SAQ19" s="64"/>
      <c r="SAR19" s="64"/>
      <c r="SAS19" s="64"/>
      <c r="SAT19" s="64"/>
      <c r="SAU19" s="64"/>
      <c r="SAV19" s="64"/>
      <c r="SAW19" s="64"/>
      <c r="SAX19" s="64"/>
      <c r="SAY19" s="64"/>
      <c r="SAZ19" s="64"/>
      <c r="SBA19" s="64"/>
      <c r="SBB19" s="64"/>
      <c r="SBC19" s="64"/>
      <c r="SBD19" s="64"/>
      <c r="SBE19" s="64"/>
      <c r="SBF19" s="64"/>
      <c r="SBG19" s="64"/>
      <c r="SBH19" s="64"/>
      <c r="SBI19" s="64"/>
      <c r="SBJ19" s="64"/>
      <c r="SBK19" s="64"/>
      <c r="SBL19" s="64"/>
      <c r="SBM19" s="64"/>
      <c r="SBN19" s="64"/>
      <c r="SBO19" s="64"/>
      <c r="SBP19" s="64"/>
      <c r="SBQ19" s="64"/>
      <c r="SBR19" s="64"/>
      <c r="SBS19" s="64"/>
      <c r="SBT19" s="64"/>
      <c r="SBU19" s="64"/>
      <c r="SBV19" s="64"/>
      <c r="SBW19" s="64"/>
      <c r="SBX19" s="64"/>
      <c r="SBY19" s="64"/>
      <c r="SBZ19" s="64"/>
      <c r="SCA19" s="64"/>
      <c r="SCB19" s="64"/>
      <c r="SCC19" s="64"/>
      <c r="SCD19" s="64"/>
      <c r="SCE19" s="64"/>
      <c r="SCF19" s="64"/>
      <c r="SCG19" s="64"/>
      <c r="SCH19" s="64"/>
      <c r="SCI19" s="64"/>
      <c r="SCJ19" s="64"/>
      <c r="SCK19" s="64"/>
      <c r="SCL19" s="64"/>
      <c r="SCM19" s="64"/>
      <c r="SCN19" s="64"/>
      <c r="SCO19" s="64"/>
      <c r="SCP19" s="64"/>
      <c r="SCQ19" s="64"/>
      <c r="SCR19" s="64"/>
      <c r="SCS19" s="64"/>
      <c r="SCT19" s="64"/>
      <c r="SCU19" s="64"/>
      <c r="SCV19" s="64"/>
      <c r="SCW19" s="64"/>
      <c r="SCX19" s="64"/>
      <c r="SCY19" s="64"/>
      <c r="SCZ19" s="64"/>
      <c r="SDA19" s="64"/>
      <c r="SDB19" s="64"/>
      <c r="SDC19" s="64"/>
      <c r="SDD19" s="64"/>
      <c r="SDE19" s="64"/>
      <c r="SDF19" s="64"/>
      <c r="SDG19" s="64"/>
      <c r="SDH19" s="64"/>
      <c r="SDI19" s="64"/>
      <c r="SDJ19" s="64"/>
      <c r="SDK19" s="64"/>
      <c r="SDL19" s="64"/>
      <c r="SDM19" s="64"/>
      <c r="SDN19" s="64"/>
      <c r="SDO19" s="64"/>
      <c r="SDP19" s="64"/>
      <c r="SDQ19" s="64"/>
      <c r="SDR19" s="64"/>
      <c r="SDS19" s="64"/>
      <c r="SDT19" s="64"/>
      <c r="SDU19" s="64"/>
      <c r="SDV19" s="64"/>
      <c r="SDW19" s="64"/>
      <c r="SDX19" s="64"/>
      <c r="SDY19" s="64"/>
      <c r="SDZ19" s="64"/>
      <c r="SEA19" s="64"/>
      <c r="SEB19" s="64"/>
      <c r="SEC19" s="64"/>
      <c r="SED19" s="64"/>
      <c r="SEE19" s="64"/>
      <c r="SEF19" s="64"/>
      <c r="SEG19" s="64"/>
      <c r="SEH19" s="64"/>
      <c r="SEI19" s="64"/>
      <c r="SEJ19" s="64"/>
      <c r="SEK19" s="64"/>
      <c r="SEL19" s="64"/>
      <c r="SEM19" s="64"/>
      <c r="SEN19" s="64"/>
      <c r="SEO19" s="64"/>
      <c r="SEP19" s="64"/>
      <c r="SEQ19" s="64"/>
      <c r="SER19" s="64"/>
      <c r="SES19" s="64"/>
      <c r="SET19" s="64"/>
      <c r="SEU19" s="64"/>
      <c r="SEV19" s="64"/>
      <c r="SEW19" s="64"/>
      <c r="SEX19" s="64"/>
      <c r="SEY19" s="64"/>
      <c r="SEZ19" s="64"/>
      <c r="SFA19" s="64"/>
      <c r="SFB19" s="64"/>
      <c r="SFC19" s="64"/>
      <c r="SFD19" s="64"/>
      <c r="SFE19" s="64"/>
      <c r="SFF19" s="64"/>
      <c r="SFG19" s="64"/>
      <c r="SFH19" s="64"/>
      <c r="SFI19" s="64"/>
      <c r="SFJ19" s="64"/>
      <c r="SFK19" s="64"/>
      <c r="SFL19" s="64"/>
      <c r="SFM19" s="64"/>
      <c r="SFN19" s="64"/>
      <c r="SFO19" s="64"/>
      <c r="SFP19" s="64"/>
      <c r="SFQ19" s="64"/>
      <c r="SFR19" s="64"/>
      <c r="SFS19" s="64"/>
      <c r="SFT19" s="64"/>
      <c r="SFU19" s="64"/>
      <c r="SFV19" s="64"/>
      <c r="SFW19" s="64"/>
      <c r="SFX19" s="64"/>
      <c r="SFY19" s="64"/>
      <c r="SFZ19" s="64"/>
      <c r="SGA19" s="64"/>
      <c r="SGB19" s="64"/>
      <c r="SGC19" s="64"/>
      <c r="SGD19" s="64"/>
      <c r="SGE19" s="64"/>
      <c r="SGF19" s="64"/>
      <c r="SGG19" s="64"/>
      <c r="SGH19" s="64"/>
      <c r="SGI19" s="64"/>
      <c r="SGJ19" s="64"/>
      <c r="SGK19" s="64"/>
      <c r="SGL19" s="64"/>
      <c r="SGM19" s="64"/>
      <c r="SGN19" s="64"/>
      <c r="SGO19" s="64"/>
      <c r="SGP19" s="64"/>
      <c r="SGQ19" s="64"/>
      <c r="SGR19" s="64"/>
      <c r="SGS19" s="64"/>
      <c r="SGT19" s="64"/>
      <c r="SGU19" s="64"/>
      <c r="SGV19" s="64"/>
      <c r="SGW19" s="64"/>
      <c r="SGX19" s="64"/>
      <c r="SGY19" s="64"/>
      <c r="SGZ19" s="64"/>
      <c r="SHA19" s="64"/>
      <c r="SHB19" s="64"/>
      <c r="SHC19" s="64"/>
      <c r="SHD19" s="64"/>
      <c r="SHE19" s="64"/>
      <c r="SHF19" s="64"/>
      <c r="SHG19" s="64"/>
      <c r="SHH19" s="64"/>
      <c r="SHI19" s="64"/>
      <c r="SHJ19" s="64"/>
      <c r="SHK19" s="64"/>
      <c r="SHL19" s="64"/>
      <c r="SHM19" s="64"/>
      <c r="SHN19" s="64"/>
      <c r="SHO19" s="64"/>
      <c r="SHP19" s="64"/>
      <c r="SHQ19" s="64"/>
      <c r="SHR19" s="64"/>
      <c r="SHS19" s="64"/>
      <c r="SHT19" s="64"/>
      <c r="SHU19" s="64"/>
      <c r="SHV19" s="64"/>
      <c r="SHW19" s="64"/>
      <c r="SHX19" s="64"/>
      <c r="SHY19" s="64"/>
      <c r="SHZ19" s="64"/>
      <c r="SIA19" s="64"/>
      <c r="SIB19" s="64"/>
      <c r="SIC19" s="64"/>
      <c r="SID19" s="64"/>
      <c r="SIE19" s="64"/>
      <c r="SIF19" s="64"/>
      <c r="SIG19" s="64"/>
      <c r="SIH19" s="64"/>
      <c r="SII19" s="64"/>
      <c r="SIJ19" s="64"/>
      <c r="SIK19" s="64"/>
      <c r="SIL19" s="64"/>
      <c r="SIM19" s="64"/>
      <c r="SIN19" s="64"/>
      <c r="SIO19" s="64"/>
      <c r="SIP19" s="64"/>
      <c r="SIQ19" s="64"/>
      <c r="SIR19" s="64"/>
      <c r="SIS19" s="64"/>
      <c r="SIT19" s="64"/>
      <c r="SIU19" s="64"/>
      <c r="SIV19" s="64"/>
      <c r="SIW19" s="64"/>
      <c r="SIX19" s="64"/>
      <c r="SIY19" s="64"/>
      <c r="SIZ19" s="64"/>
      <c r="SJA19" s="64"/>
      <c r="SJB19" s="64"/>
      <c r="SJC19" s="64"/>
      <c r="SJD19" s="64"/>
      <c r="SJE19" s="64"/>
      <c r="SJF19" s="64"/>
      <c r="SJG19" s="64"/>
      <c r="SJH19" s="64"/>
      <c r="SJI19" s="64"/>
      <c r="SJJ19" s="64"/>
      <c r="SJK19" s="64"/>
      <c r="SJL19" s="64"/>
      <c r="SJM19" s="64"/>
      <c r="SJN19" s="64"/>
      <c r="SJO19" s="64"/>
      <c r="SJP19" s="64"/>
      <c r="SJQ19" s="64"/>
      <c r="SJR19" s="64"/>
      <c r="SJS19" s="64"/>
      <c r="SJT19" s="64"/>
      <c r="SJU19" s="64"/>
      <c r="SJV19" s="64"/>
      <c r="SJW19" s="64"/>
      <c r="SJX19" s="64"/>
      <c r="SJY19" s="64"/>
      <c r="SJZ19" s="64"/>
      <c r="SKA19" s="64"/>
      <c r="SKB19" s="64"/>
      <c r="SKC19" s="64"/>
      <c r="SKD19" s="64"/>
      <c r="SKE19" s="64"/>
      <c r="SKF19" s="64"/>
      <c r="SKG19" s="64"/>
      <c r="SKH19" s="64"/>
      <c r="SKI19" s="64"/>
      <c r="SKJ19" s="64"/>
      <c r="SKK19" s="64"/>
      <c r="SKL19" s="64"/>
      <c r="SKM19" s="64"/>
      <c r="SKN19" s="64"/>
      <c r="SKO19" s="64"/>
      <c r="SKP19" s="64"/>
      <c r="SKQ19" s="64"/>
      <c r="SKR19" s="64"/>
      <c r="SKS19" s="64"/>
      <c r="SKT19" s="64"/>
      <c r="SKU19" s="64"/>
      <c r="SKV19" s="64"/>
      <c r="SKW19" s="64"/>
      <c r="SKX19" s="64"/>
      <c r="SKY19" s="64"/>
      <c r="SKZ19" s="64"/>
      <c r="SLA19" s="64"/>
      <c r="SLB19" s="64"/>
      <c r="SLC19" s="64"/>
      <c r="SLD19" s="64"/>
      <c r="SLE19" s="64"/>
      <c r="SLF19" s="64"/>
      <c r="SLG19" s="64"/>
      <c r="SLH19" s="64"/>
      <c r="SLI19" s="64"/>
      <c r="SLJ19" s="64"/>
      <c r="SLK19" s="64"/>
      <c r="SLL19" s="64"/>
      <c r="SLM19" s="64"/>
      <c r="SLN19" s="64"/>
      <c r="SLO19" s="64"/>
      <c r="SLP19" s="64"/>
      <c r="SLQ19" s="64"/>
      <c r="SLR19" s="64"/>
      <c r="SLS19" s="64"/>
      <c r="SLT19" s="64"/>
      <c r="SLU19" s="64"/>
      <c r="SLV19" s="64"/>
      <c r="SLW19" s="64"/>
      <c r="SLX19" s="64"/>
      <c r="SLY19" s="64"/>
      <c r="SLZ19" s="64"/>
      <c r="SMA19" s="64"/>
      <c r="SMB19" s="64"/>
      <c r="SMC19" s="64"/>
      <c r="SMD19" s="64"/>
      <c r="SME19" s="64"/>
      <c r="SMF19" s="64"/>
      <c r="SMG19" s="64"/>
      <c r="SMH19" s="64"/>
      <c r="SMI19" s="64"/>
      <c r="SMJ19" s="64"/>
      <c r="SMK19" s="64"/>
      <c r="SML19" s="64"/>
      <c r="SMM19" s="64"/>
      <c r="SMN19" s="64"/>
      <c r="SMO19" s="64"/>
      <c r="SMP19" s="64"/>
      <c r="SMQ19" s="64"/>
      <c r="SMR19" s="64"/>
      <c r="SMS19" s="64"/>
      <c r="SMT19" s="64"/>
      <c r="SMU19" s="64"/>
      <c r="SMV19" s="64"/>
      <c r="SMW19" s="64"/>
      <c r="SMX19" s="64"/>
      <c r="SMY19" s="64"/>
      <c r="SMZ19" s="64"/>
      <c r="SNA19" s="64"/>
      <c r="SNB19" s="64"/>
      <c r="SNC19" s="64"/>
      <c r="SND19" s="64"/>
      <c r="SNE19" s="64"/>
      <c r="SNF19" s="64"/>
      <c r="SNG19" s="64"/>
      <c r="SNH19" s="64"/>
      <c r="SNI19" s="64"/>
      <c r="SNJ19" s="64"/>
      <c r="SNK19" s="64"/>
      <c r="SNL19" s="64"/>
      <c r="SNM19" s="64"/>
      <c r="SNN19" s="64"/>
      <c r="SNO19" s="64"/>
      <c r="SNP19" s="64"/>
      <c r="SNQ19" s="64"/>
      <c r="SNR19" s="64"/>
      <c r="SNS19" s="64"/>
      <c r="SNT19" s="64"/>
      <c r="SNU19" s="64"/>
      <c r="SNV19" s="64"/>
      <c r="SNW19" s="64"/>
      <c r="SNX19" s="64"/>
      <c r="SNY19" s="64"/>
      <c r="SNZ19" s="64"/>
      <c r="SOA19" s="64"/>
      <c r="SOB19" s="64"/>
      <c r="SOC19" s="64"/>
      <c r="SOD19" s="64"/>
      <c r="SOE19" s="64"/>
      <c r="SOF19" s="64"/>
      <c r="SOG19" s="64"/>
      <c r="SOH19" s="64"/>
      <c r="SOI19" s="64"/>
      <c r="SOJ19" s="64"/>
      <c r="SOK19" s="64"/>
      <c r="SOL19" s="64"/>
      <c r="SOM19" s="64"/>
      <c r="SON19" s="64"/>
      <c r="SOO19" s="64"/>
      <c r="SOP19" s="64"/>
      <c r="SOQ19" s="64"/>
      <c r="SOR19" s="64"/>
      <c r="SOS19" s="64"/>
      <c r="SOT19" s="64"/>
      <c r="SOU19" s="64"/>
      <c r="SOV19" s="64"/>
      <c r="SOW19" s="64"/>
      <c r="SOX19" s="64"/>
      <c r="SOY19" s="64"/>
      <c r="SOZ19" s="64"/>
      <c r="SPA19" s="64"/>
      <c r="SPB19" s="64"/>
      <c r="SPC19" s="64"/>
      <c r="SPD19" s="64"/>
      <c r="SPE19" s="64"/>
      <c r="SPF19" s="64"/>
      <c r="SPG19" s="64"/>
      <c r="SPH19" s="64"/>
      <c r="SPI19" s="64"/>
      <c r="SPJ19" s="64"/>
      <c r="SPK19" s="64"/>
      <c r="SPL19" s="64"/>
      <c r="SPM19" s="64"/>
      <c r="SPN19" s="64"/>
      <c r="SPO19" s="64"/>
      <c r="SPP19" s="64"/>
      <c r="SPQ19" s="64"/>
      <c r="SPR19" s="64"/>
      <c r="SPS19" s="64"/>
      <c r="SPT19" s="64"/>
      <c r="SPU19" s="64"/>
      <c r="SPV19" s="64"/>
      <c r="SPW19" s="64"/>
      <c r="SPX19" s="64"/>
      <c r="SPY19" s="64"/>
      <c r="SPZ19" s="64"/>
      <c r="SQA19" s="64"/>
      <c r="SQB19" s="64"/>
      <c r="SQC19" s="64"/>
      <c r="SQD19" s="64"/>
      <c r="SQE19" s="64"/>
      <c r="SQF19" s="64"/>
      <c r="SQG19" s="64"/>
      <c r="SQH19" s="64"/>
      <c r="SQI19" s="64"/>
      <c r="SQJ19" s="64"/>
      <c r="SQK19" s="64"/>
      <c r="SQL19" s="64"/>
      <c r="SQM19" s="64"/>
      <c r="SQN19" s="64"/>
      <c r="SQO19" s="64"/>
      <c r="SQP19" s="64"/>
      <c r="SQQ19" s="64"/>
      <c r="SQR19" s="64"/>
      <c r="SQS19" s="64"/>
      <c r="SQT19" s="64"/>
      <c r="SQU19" s="64"/>
      <c r="SQV19" s="64"/>
      <c r="SQW19" s="64"/>
      <c r="SQX19" s="64"/>
      <c r="SQY19" s="64"/>
      <c r="SQZ19" s="64"/>
      <c r="SRA19" s="64"/>
      <c r="SRB19" s="64"/>
      <c r="SRC19" s="64"/>
      <c r="SRD19" s="64"/>
      <c r="SRE19" s="64"/>
      <c r="SRF19" s="64"/>
      <c r="SRG19" s="64"/>
      <c r="SRH19" s="64"/>
      <c r="SRI19" s="64"/>
      <c r="SRJ19" s="64"/>
      <c r="SRK19" s="64"/>
      <c r="SRL19" s="64"/>
      <c r="SRM19" s="64"/>
      <c r="SRN19" s="64"/>
      <c r="SRO19" s="64"/>
      <c r="SRP19" s="64"/>
      <c r="SRQ19" s="64"/>
      <c r="SRR19" s="64"/>
      <c r="SRS19" s="64"/>
      <c r="SRT19" s="64"/>
      <c r="SRU19" s="64"/>
      <c r="SRV19" s="64"/>
      <c r="SRW19" s="64"/>
      <c r="SRX19" s="64"/>
      <c r="SRY19" s="64"/>
      <c r="SRZ19" s="64"/>
      <c r="SSA19" s="64"/>
      <c r="SSB19" s="64"/>
      <c r="SSC19" s="64"/>
      <c r="SSD19" s="64"/>
      <c r="SSE19" s="64"/>
      <c r="SSF19" s="64"/>
      <c r="SSG19" s="64"/>
      <c r="SSH19" s="64"/>
      <c r="SSI19" s="64"/>
      <c r="SSJ19" s="64"/>
      <c r="SSK19" s="64"/>
      <c r="SSL19" s="64"/>
      <c r="SSM19" s="64"/>
      <c r="SSN19" s="64"/>
      <c r="SSO19" s="64"/>
      <c r="SSP19" s="64"/>
      <c r="SSQ19" s="64"/>
      <c r="SSR19" s="64"/>
      <c r="SSS19" s="64"/>
      <c r="SST19" s="64"/>
      <c r="SSU19" s="64"/>
      <c r="SSV19" s="64"/>
      <c r="SSW19" s="64"/>
      <c r="SSX19" s="64"/>
      <c r="SSY19" s="64"/>
      <c r="SSZ19" s="64"/>
      <c r="STA19" s="64"/>
      <c r="STB19" s="64"/>
      <c r="STC19" s="64"/>
      <c r="STD19" s="64"/>
      <c r="STE19" s="64"/>
      <c r="STF19" s="64"/>
      <c r="STG19" s="64"/>
      <c r="STH19" s="64"/>
      <c r="STI19" s="64"/>
      <c r="STJ19" s="64"/>
      <c r="STK19" s="64"/>
      <c r="STL19" s="64"/>
      <c r="STM19" s="64"/>
      <c r="STN19" s="64"/>
      <c r="STO19" s="64"/>
      <c r="STP19" s="64"/>
      <c r="STQ19" s="64"/>
      <c r="STR19" s="64"/>
      <c r="STS19" s="64"/>
      <c r="STT19" s="64"/>
      <c r="STU19" s="64"/>
      <c r="STV19" s="64"/>
      <c r="STW19" s="64"/>
      <c r="STX19" s="64"/>
      <c r="STY19" s="64"/>
      <c r="STZ19" s="64"/>
      <c r="SUA19" s="64"/>
      <c r="SUB19" s="64"/>
      <c r="SUC19" s="64"/>
      <c r="SUD19" s="64"/>
      <c r="SUE19" s="64"/>
      <c r="SUF19" s="64"/>
      <c r="SUG19" s="64"/>
      <c r="SUH19" s="64"/>
      <c r="SUI19" s="64"/>
      <c r="SUJ19" s="64"/>
      <c r="SUK19" s="64"/>
      <c r="SUL19" s="64"/>
      <c r="SUM19" s="64"/>
      <c r="SUN19" s="64"/>
      <c r="SUO19" s="64"/>
      <c r="SUP19" s="64"/>
      <c r="SUQ19" s="64"/>
      <c r="SUR19" s="64"/>
      <c r="SUS19" s="64"/>
      <c r="SUT19" s="64"/>
      <c r="SUU19" s="64"/>
      <c r="SUV19" s="64"/>
      <c r="SUW19" s="64"/>
      <c r="SUX19" s="64"/>
      <c r="SUY19" s="64"/>
      <c r="SUZ19" s="64"/>
      <c r="SVA19" s="64"/>
      <c r="SVB19" s="64"/>
      <c r="SVC19" s="64"/>
      <c r="SVD19" s="64"/>
      <c r="SVE19" s="64"/>
      <c r="SVF19" s="64"/>
      <c r="SVG19" s="64"/>
      <c r="SVH19" s="64"/>
      <c r="SVI19" s="64"/>
      <c r="SVJ19" s="64"/>
      <c r="SVK19" s="64"/>
      <c r="SVL19" s="64"/>
      <c r="SVM19" s="64"/>
      <c r="SVN19" s="64"/>
      <c r="SVO19" s="64"/>
      <c r="SVP19" s="64"/>
      <c r="SVQ19" s="64"/>
      <c r="SVR19" s="64"/>
      <c r="SVS19" s="64"/>
      <c r="SVT19" s="64"/>
      <c r="SVU19" s="64"/>
      <c r="SVV19" s="64"/>
      <c r="SVW19" s="64"/>
      <c r="SVX19" s="64"/>
      <c r="SVY19" s="64"/>
      <c r="SVZ19" s="64"/>
      <c r="SWA19" s="64"/>
      <c r="SWB19" s="64"/>
      <c r="SWC19" s="64"/>
      <c r="SWD19" s="64"/>
      <c r="SWE19" s="64"/>
      <c r="SWF19" s="64"/>
      <c r="SWG19" s="64"/>
      <c r="SWH19" s="64"/>
      <c r="SWI19" s="64"/>
      <c r="SWJ19" s="64"/>
      <c r="SWK19" s="64"/>
      <c r="SWL19" s="64"/>
      <c r="SWM19" s="64"/>
      <c r="SWN19" s="64"/>
      <c r="SWO19" s="64"/>
      <c r="SWP19" s="64"/>
      <c r="SWQ19" s="64"/>
      <c r="SWR19" s="64"/>
      <c r="SWS19" s="64"/>
      <c r="SWT19" s="64"/>
      <c r="SWU19" s="64"/>
      <c r="SWV19" s="64"/>
      <c r="SWW19" s="64"/>
      <c r="SWX19" s="64"/>
      <c r="SWY19" s="64"/>
      <c r="SWZ19" s="64"/>
      <c r="SXA19" s="64"/>
      <c r="SXB19" s="64"/>
      <c r="SXC19" s="64"/>
      <c r="SXD19" s="64"/>
      <c r="SXE19" s="64"/>
      <c r="SXF19" s="64"/>
      <c r="SXG19" s="64"/>
      <c r="SXH19" s="64"/>
      <c r="SXI19" s="64"/>
      <c r="SXJ19" s="64"/>
      <c r="SXK19" s="64"/>
      <c r="SXL19" s="64"/>
      <c r="SXM19" s="64"/>
      <c r="SXN19" s="64"/>
      <c r="SXO19" s="64"/>
      <c r="SXP19" s="64"/>
      <c r="SXQ19" s="64"/>
      <c r="SXR19" s="64"/>
      <c r="SXS19" s="64"/>
      <c r="SXT19" s="64"/>
      <c r="SXU19" s="64"/>
      <c r="SXV19" s="64"/>
      <c r="SXW19" s="64"/>
      <c r="SXX19" s="64"/>
      <c r="SXY19" s="64"/>
      <c r="SXZ19" s="64"/>
      <c r="SYA19" s="64"/>
      <c r="SYB19" s="64"/>
      <c r="SYC19" s="64"/>
      <c r="SYD19" s="64"/>
      <c r="SYE19" s="64"/>
      <c r="SYF19" s="64"/>
      <c r="SYG19" s="64"/>
      <c r="SYH19" s="64"/>
      <c r="SYI19" s="64"/>
      <c r="SYJ19" s="64"/>
      <c r="SYK19" s="64"/>
      <c r="SYL19" s="64"/>
      <c r="SYM19" s="64"/>
      <c r="SYN19" s="64"/>
      <c r="SYO19" s="64"/>
      <c r="SYP19" s="64"/>
      <c r="SYQ19" s="64"/>
      <c r="SYR19" s="64"/>
      <c r="SYS19" s="64"/>
      <c r="SYT19" s="64"/>
      <c r="SYU19" s="64"/>
      <c r="SYV19" s="64"/>
      <c r="SYW19" s="64"/>
      <c r="SYX19" s="64"/>
      <c r="SYY19" s="64"/>
      <c r="SYZ19" s="64"/>
      <c r="SZA19" s="64"/>
      <c r="SZB19" s="64"/>
      <c r="SZC19" s="64"/>
      <c r="SZD19" s="64"/>
      <c r="SZE19" s="64"/>
      <c r="SZF19" s="64"/>
      <c r="SZG19" s="64"/>
      <c r="SZH19" s="64"/>
      <c r="SZI19" s="64"/>
      <c r="SZJ19" s="64"/>
      <c r="SZK19" s="64"/>
      <c r="SZL19" s="64"/>
      <c r="SZM19" s="64"/>
      <c r="SZN19" s="64"/>
      <c r="SZO19" s="64"/>
      <c r="SZP19" s="64"/>
      <c r="SZQ19" s="64"/>
      <c r="SZR19" s="64"/>
      <c r="SZS19" s="64"/>
      <c r="SZT19" s="64"/>
      <c r="SZU19" s="64"/>
      <c r="SZV19" s="64"/>
      <c r="SZW19" s="64"/>
      <c r="SZX19" s="64"/>
      <c r="SZY19" s="64"/>
      <c r="SZZ19" s="64"/>
      <c r="TAA19" s="64"/>
      <c r="TAB19" s="64"/>
      <c r="TAC19" s="64"/>
      <c r="TAD19" s="64"/>
      <c r="TAE19" s="64"/>
      <c r="TAF19" s="64"/>
      <c r="TAG19" s="64"/>
      <c r="TAH19" s="64"/>
      <c r="TAI19" s="64"/>
      <c r="TAJ19" s="64"/>
      <c r="TAK19" s="64"/>
      <c r="TAL19" s="64"/>
      <c r="TAM19" s="64"/>
      <c r="TAN19" s="64"/>
      <c r="TAO19" s="64"/>
      <c r="TAP19" s="64"/>
      <c r="TAQ19" s="64"/>
      <c r="TAR19" s="64"/>
      <c r="TAS19" s="64"/>
      <c r="TAT19" s="64"/>
      <c r="TAU19" s="64"/>
      <c r="TAV19" s="64"/>
      <c r="TAW19" s="64"/>
      <c r="TAX19" s="64"/>
      <c r="TAY19" s="64"/>
      <c r="TAZ19" s="64"/>
      <c r="TBA19" s="64"/>
      <c r="TBB19" s="64"/>
      <c r="TBC19" s="64"/>
      <c r="TBD19" s="64"/>
      <c r="TBE19" s="64"/>
      <c r="TBF19" s="64"/>
      <c r="TBG19" s="64"/>
      <c r="TBH19" s="64"/>
      <c r="TBI19" s="64"/>
      <c r="TBJ19" s="64"/>
      <c r="TBK19" s="64"/>
      <c r="TBL19" s="64"/>
      <c r="TBM19" s="64"/>
      <c r="TBN19" s="64"/>
      <c r="TBO19" s="64"/>
      <c r="TBP19" s="64"/>
      <c r="TBQ19" s="64"/>
      <c r="TBR19" s="64"/>
      <c r="TBS19" s="64"/>
      <c r="TBT19" s="64"/>
      <c r="TBU19" s="64"/>
      <c r="TBV19" s="64"/>
      <c r="TBW19" s="64"/>
      <c r="TBX19" s="64"/>
      <c r="TBY19" s="64"/>
      <c r="TBZ19" s="64"/>
      <c r="TCA19" s="64"/>
      <c r="TCB19" s="64"/>
      <c r="TCC19" s="64"/>
      <c r="TCD19" s="64"/>
      <c r="TCE19" s="64"/>
      <c r="TCF19" s="64"/>
      <c r="TCG19" s="64"/>
      <c r="TCH19" s="64"/>
      <c r="TCI19" s="64"/>
      <c r="TCJ19" s="64"/>
      <c r="TCK19" s="64"/>
      <c r="TCL19" s="64"/>
      <c r="TCM19" s="64"/>
      <c r="TCN19" s="64"/>
      <c r="TCO19" s="64"/>
      <c r="TCP19" s="64"/>
      <c r="TCQ19" s="64"/>
      <c r="TCR19" s="64"/>
      <c r="TCS19" s="64"/>
      <c r="TCT19" s="64"/>
      <c r="TCU19" s="64"/>
      <c r="TCV19" s="64"/>
      <c r="TCW19" s="64"/>
      <c r="TCX19" s="64"/>
      <c r="TCY19" s="64"/>
      <c r="TCZ19" s="64"/>
      <c r="TDA19" s="64"/>
      <c r="TDB19" s="64"/>
      <c r="TDC19" s="64"/>
      <c r="TDD19" s="64"/>
      <c r="TDE19" s="64"/>
      <c r="TDF19" s="64"/>
      <c r="TDG19" s="64"/>
      <c r="TDH19" s="64"/>
      <c r="TDI19" s="64"/>
      <c r="TDJ19" s="64"/>
      <c r="TDK19" s="64"/>
      <c r="TDL19" s="64"/>
      <c r="TDM19" s="64"/>
      <c r="TDN19" s="64"/>
      <c r="TDO19" s="64"/>
      <c r="TDP19" s="64"/>
      <c r="TDQ19" s="64"/>
      <c r="TDR19" s="64"/>
      <c r="TDS19" s="64"/>
      <c r="TDT19" s="64"/>
      <c r="TDU19" s="64"/>
      <c r="TDV19" s="64"/>
      <c r="TDW19" s="64"/>
      <c r="TDX19" s="64"/>
      <c r="TDY19" s="64"/>
      <c r="TDZ19" s="64"/>
      <c r="TEA19" s="64"/>
      <c r="TEB19" s="64"/>
      <c r="TEC19" s="64"/>
      <c r="TED19" s="64"/>
      <c r="TEE19" s="64"/>
      <c r="TEF19" s="64"/>
      <c r="TEG19" s="64"/>
      <c r="TEH19" s="64"/>
      <c r="TEI19" s="64"/>
      <c r="TEJ19" s="64"/>
      <c r="TEK19" s="64"/>
      <c r="TEL19" s="64"/>
      <c r="TEM19" s="64"/>
      <c r="TEN19" s="64"/>
      <c r="TEO19" s="64"/>
      <c r="TEP19" s="64"/>
      <c r="TEQ19" s="64"/>
      <c r="TER19" s="64"/>
      <c r="TES19" s="64"/>
      <c r="TET19" s="64"/>
      <c r="TEU19" s="64"/>
      <c r="TEV19" s="64"/>
      <c r="TEW19" s="64"/>
      <c r="TEX19" s="64"/>
      <c r="TEY19" s="64"/>
      <c r="TEZ19" s="64"/>
      <c r="TFA19" s="64"/>
      <c r="TFB19" s="64"/>
      <c r="TFC19" s="64"/>
      <c r="TFD19" s="64"/>
      <c r="TFE19" s="64"/>
      <c r="TFF19" s="64"/>
      <c r="TFG19" s="64"/>
      <c r="TFH19" s="64"/>
      <c r="TFI19" s="64"/>
      <c r="TFJ19" s="64"/>
      <c r="TFK19" s="64"/>
      <c r="TFL19" s="64"/>
      <c r="TFM19" s="64"/>
      <c r="TFN19" s="64"/>
      <c r="TFO19" s="64"/>
      <c r="TFP19" s="64"/>
      <c r="TFQ19" s="64"/>
      <c r="TFR19" s="64"/>
      <c r="TFS19" s="64"/>
      <c r="TFT19" s="64"/>
      <c r="TFU19" s="64"/>
      <c r="TFV19" s="64"/>
      <c r="TFW19" s="64"/>
      <c r="TFX19" s="64"/>
      <c r="TFY19" s="64"/>
      <c r="TFZ19" s="64"/>
      <c r="TGA19" s="64"/>
      <c r="TGB19" s="64"/>
      <c r="TGC19" s="64"/>
      <c r="TGD19" s="64"/>
      <c r="TGE19" s="64"/>
      <c r="TGF19" s="64"/>
      <c r="TGG19" s="64"/>
      <c r="TGH19" s="64"/>
      <c r="TGI19" s="64"/>
      <c r="TGJ19" s="64"/>
      <c r="TGK19" s="64"/>
      <c r="TGL19" s="64"/>
      <c r="TGM19" s="64"/>
      <c r="TGN19" s="64"/>
      <c r="TGO19" s="64"/>
      <c r="TGP19" s="64"/>
      <c r="TGQ19" s="64"/>
      <c r="TGR19" s="64"/>
      <c r="TGS19" s="64"/>
      <c r="TGT19" s="64"/>
      <c r="TGU19" s="64"/>
      <c r="TGV19" s="64"/>
      <c r="TGW19" s="64"/>
      <c r="TGX19" s="64"/>
      <c r="TGY19" s="64"/>
      <c r="TGZ19" s="64"/>
      <c r="THA19" s="64"/>
      <c r="THB19" s="64"/>
      <c r="THC19" s="64"/>
      <c r="THD19" s="64"/>
      <c r="THE19" s="64"/>
      <c r="THF19" s="64"/>
      <c r="THG19" s="64"/>
      <c r="THH19" s="64"/>
      <c r="THI19" s="64"/>
      <c r="THJ19" s="64"/>
      <c r="THK19" s="64"/>
      <c r="THL19" s="64"/>
      <c r="THM19" s="64"/>
      <c r="THN19" s="64"/>
      <c r="THO19" s="64"/>
      <c r="THP19" s="64"/>
      <c r="THQ19" s="64"/>
      <c r="THR19" s="64"/>
      <c r="THS19" s="64"/>
      <c r="THT19" s="64"/>
      <c r="THU19" s="64"/>
      <c r="THV19" s="64"/>
      <c r="THW19" s="64"/>
      <c r="THX19" s="64"/>
      <c r="THY19" s="64"/>
      <c r="THZ19" s="64"/>
      <c r="TIA19" s="64"/>
      <c r="TIB19" s="64"/>
      <c r="TIC19" s="64"/>
      <c r="TID19" s="64"/>
      <c r="TIE19" s="64"/>
      <c r="TIF19" s="64"/>
      <c r="TIG19" s="64"/>
      <c r="TIH19" s="64"/>
      <c r="TII19" s="64"/>
      <c r="TIJ19" s="64"/>
      <c r="TIK19" s="64"/>
      <c r="TIL19" s="64"/>
      <c r="TIM19" s="64"/>
      <c r="TIN19" s="64"/>
      <c r="TIO19" s="64"/>
      <c r="TIP19" s="64"/>
      <c r="TIQ19" s="64"/>
      <c r="TIR19" s="64"/>
      <c r="TIS19" s="64"/>
      <c r="TIT19" s="64"/>
      <c r="TIU19" s="64"/>
      <c r="TIV19" s="64"/>
      <c r="TIW19" s="64"/>
      <c r="TIX19" s="64"/>
      <c r="TIY19" s="64"/>
      <c r="TIZ19" s="64"/>
      <c r="TJA19" s="64"/>
      <c r="TJB19" s="64"/>
      <c r="TJC19" s="64"/>
      <c r="TJD19" s="64"/>
      <c r="TJE19" s="64"/>
      <c r="TJF19" s="64"/>
      <c r="TJG19" s="64"/>
      <c r="TJH19" s="64"/>
      <c r="TJI19" s="64"/>
      <c r="TJJ19" s="64"/>
      <c r="TJK19" s="64"/>
      <c r="TJL19" s="64"/>
      <c r="TJM19" s="64"/>
      <c r="TJN19" s="64"/>
      <c r="TJO19" s="64"/>
      <c r="TJP19" s="64"/>
      <c r="TJQ19" s="64"/>
      <c r="TJR19" s="64"/>
      <c r="TJS19" s="64"/>
      <c r="TJT19" s="64"/>
      <c r="TJU19" s="64"/>
      <c r="TJV19" s="64"/>
      <c r="TJW19" s="64"/>
      <c r="TJX19" s="64"/>
      <c r="TJY19" s="64"/>
      <c r="TJZ19" s="64"/>
      <c r="TKA19" s="64"/>
      <c r="TKB19" s="64"/>
      <c r="TKC19" s="64"/>
      <c r="TKD19" s="64"/>
      <c r="TKE19" s="64"/>
      <c r="TKF19" s="64"/>
      <c r="TKG19" s="64"/>
      <c r="TKH19" s="64"/>
      <c r="TKI19" s="64"/>
      <c r="TKJ19" s="64"/>
      <c r="TKK19" s="64"/>
      <c r="TKL19" s="64"/>
      <c r="TKM19" s="64"/>
      <c r="TKN19" s="64"/>
      <c r="TKO19" s="64"/>
      <c r="TKP19" s="64"/>
      <c r="TKQ19" s="64"/>
      <c r="TKR19" s="64"/>
      <c r="TKS19" s="64"/>
      <c r="TKT19" s="64"/>
      <c r="TKU19" s="64"/>
      <c r="TKV19" s="64"/>
      <c r="TKW19" s="64"/>
      <c r="TKX19" s="64"/>
      <c r="TKY19" s="64"/>
      <c r="TKZ19" s="64"/>
      <c r="TLA19" s="64"/>
      <c r="TLB19" s="64"/>
      <c r="TLC19" s="64"/>
      <c r="TLD19" s="64"/>
      <c r="TLE19" s="64"/>
      <c r="TLF19" s="64"/>
      <c r="TLG19" s="64"/>
      <c r="TLH19" s="64"/>
      <c r="TLI19" s="64"/>
      <c r="TLJ19" s="64"/>
      <c r="TLK19" s="64"/>
      <c r="TLL19" s="64"/>
      <c r="TLM19" s="64"/>
      <c r="TLN19" s="64"/>
      <c r="TLO19" s="64"/>
      <c r="TLP19" s="64"/>
      <c r="TLQ19" s="64"/>
      <c r="TLR19" s="64"/>
      <c r="TLS19" s="64"/>
      <c r="TLT19" s="64"/>
      <c r="TLU19" s="64"/>
      <c r="TLV19" s="64"/>
      <c r="TLW19" s="64"/>
      <c r="TLX19" s="64"/>
      <c r="TLY19" s="64"/>
      <c r="TLZ19" s="64"/>
      <c r="TMA19" s="64"/>
      <c r="TMB19" s="64"/>
      <c r="TMC19" s="64"/>
      <c r="TMD19" s="64"/>
      <c r="TME19" s="64"/>
      <c r="TMF19" s="64"/>
      <c r="TMG19" s="64"/>
      <c r="TMH19" s="64"/>
      <c r="TMI19" s="64"/>
      <c r="TMJ19" s="64"/>
      <c r="TMK19" s="64"/>
      <c r="TML19" s="64"/>
      <c r="TMM19" s="64"/>
      <c r="TMN19" s="64"/>
      <c r="TMO19" s="64"/>
      <c r="TMP19" s="64"/>
      <c r="TMQ19" s="64"/>
      <c r="TMR19" s="64"/>
      <c r="TMS19" s="64"/>
      <c r="TMT19" s="64"/>
      <c r="TMU19" s="64"/>
      <c r="TMV19" s="64"/>
      <c r="TMW19" s="64"/>
      <c r="TMX19" s="64"/>
      <c r="TMY19" s="64"/>
      <c r="TMZ19" s="64"/>
      <c r="TNA19" s="64"/>
      <c r="TNB19" s="64"/>
      <c r="TNC19" s="64"/>
      <c r="TND19" s="64"/>
      <c r="TNE19" s="64"/>
      <c r="TNF19" s="64"/>
      <c r="TNG19" s="64"/>
      <c r="TNH19" s="64"/>
      <c r="TNI19" s="64"/>
      <c r="TNJ19" s="64"/>
      <c r="TNK19" s="64"/>
      <c r="TNL19" s="64"/>
      <c r="TNM19" s="64"/>
      <c r="TNN19" s="64"/>
      <c r="TNO19" s="64"/>
      <c r="TNP19" s="64"/>
      <c r="TNQ19" s="64"/>
      <c r="TNR19" s="64"/>
      <c r="TNS19" s="64"/>
      <c r="TNT19" s="64"/>
      <c r="TNU19" s="64"/>
      <c r="TNV19" s="64"/>
      <c r="TNW19" s="64"/>
      <c r="TNX19" s="64"/>
      <c r="TNY19" s="64"/>
      <c r="TNZ19" s="64"/>
      <c r="TOA19" s="64"/>
      <c r="TOB19" s="64"/>
      <c r="TOC19" s="64"/>
      <c r="TOD19" s="64"/>
      <c r="TOE19" s="64"/>
      <c r="TOF19" s="64"/>
      <c r="TOG19" s="64"/>
      <c r="TOH19" s="64"/>
      <c r="TOI19" s="64"/>
      <c r="TOJ19" s="64"/>
      <c r="TOK19" s="64"/>
      <c r="TOL19" s="64"/>
      <c r="TOM19" s="64"/>
      <c r="TON19" s="64"/>
      <c r="TOO19" s="64"/>
      <c r="TOP19" s="64"/>
      <c r="TOQ19" s="64"/>
      <c r="TOR19" s="64"/>
      <c r="TOS19" s="64"/>
      <c r="TOT19" s="64"/>
      <c r="TOU19" s="64"/>
      <c r="TOV19" s="64"/>
      <c r="TOW19" s="64"/>
      <c r="TOX19" s="64"/>
      <c r="TOY19" s="64"/>
      <c r="TOZ19" s="64"/>
      <c r="TPA19" s="64"/>
      <c r="TPB19" s="64"/>
      <c r="TPC19" s="64"/>
      <c r="TPD19" s="64"/>
      <c r="TPE19" s="64"/>
      <c r="TPF19" s="64"/>
      <c r="TPG19" s="64"/>
      <c r="TPH19" s="64"/>
      <c r="TPI19" s="64"/>
      <c r="TPJ19" s="64"/>
      <c r="TPK19" s="64"/>
      <c r="TPL19" s="64"/>
      <c r="TPM19" s="64"/>
      <c r="TPN19" s="64"/>
      <c r="TPO19" s="64"/>
      <c r="TPP19" s="64"/>
      <c r="TPQ19" s="64"/>
      <c r="TPR19" s="64"/>
      <c r="TPS19" s="64"/>
      <c r="TPT19" s="64"/>
      <c r="TPU19" s="64"/>
      <c r="TPV19" s="64"/>
      <c r="TPW19" s="64"/>
      <c r="TPX19" s="64"/>
      <c r="TPY19" s="64"/>
      <c r="TPZ19" s="64"/>
      <c r="TQA19" s="64"/>
      <c r="TQB19" s="64"/>
      <c r="TQC19" s="64"/>
      <c r="TQD19" s="64"/>
      <c r="TQE19" s="64"/>
      <c r="TQF19" s="64"/>
      <c r="TQG19" s="64"/>
      <c r="TQH19" s="64"/>
      <c r="TQI19" s="64"/>
      <c r="TQJ19" s="64"/>
      <c r="TQK19" s="64"/>
      <c r="TQL19" s="64"/>
      <c r="TQM19" s="64"/>
      <c r="TQN19" s="64"/>
      <c r="TQO19" s="64"/>
      <c r="TQP19" s="64"/>
      <c r="TQQ19" s="64"/>
      <c r="TQR19" s="64"/>
      <c r="TQS19" s="64"/>
      <c r="TQT19" s="64"/>
      <c r="TQU19" s="64"/>
      <c r="TQV19" s="64"/>
      <c r="TQW19" s="64"/>
      <c r="TQX19" s="64"/>
      <c r="TQY19" s="64"/>
      <c r="TQZ19" s="64"/>
      <c r="TRA19" s="64"/>
      <c r="TRB19" s="64"/>
      <c r="TRC19" s="64"/>
      <c r="TRD19" s="64"/>
      <c r="TRE19" s="64"/>
      <c r="TRF19" s="64"/>
      <c r="TRG19" s="64"/>
      <c r="TRH19" s="64"/>
      <c r="TRI19" s="64"/>
      <c r="TRJ19" s="64"/>
      <c r="TRK19" s="64"/>
      <c r="TRL19" s="64"/>
      <c r="TRM19" s="64"/>
      <c r="TRN19" s="64"/>
      <c r="TRO19" s="64"/>
      <c r="TRP19" s="64"/>
      <c r="TRQ19" s="64"/>
      <c r="TRR19" s="64"/>
      <c r="TRS19" s="64"/>
      <c r="TRT19" s="64"/>
      <c r="TRU19" s="64"/>
      <c r="TRV19" s="64"/>
      <c r="TRW19" s="64"/>
      <c r="TRX19" s="64"/>
      <c r="TRY19" s="64"/>
      <c r="TRZ19" s="64"/>
      <c r="TSA19" s="64"/>
      <c r="TSB19" s="64"/>
      <c r="TSC19" s="64"/>
      <c r="TSD19" s="64"/>
      <c r="TSE19" s="64"/>
      <c r="TSF19" s="64"/>
      <c r="TSG19" s="64"/>
      <c r="TSH19" s="64"/>
      <c r="TSI19" s="64"/>
      <c r="TSJ19" s="64"/>
      <c r="TSK19" s="64"/>
      <c r="TSL19" s="64"/>
      <c r="TSM19" s="64"/>
      <c r="TSN19" s="64"/>
      <c r="TSO19" s="64"/>
      <c r="TSP19" s="64"/>
      <c r="TSQ19" s="64"/>
      <c r="TSR19" s="64"/>
      <c r="TSS19" s="64"/>
      <c r="TST19" s="64"/>
      <c r="TSU19" s="64"/>
      <c r="TSV19" s="64"/>
      <c r="TSW19" s="64"/>
      <c r="TSX19" s="64"/>
      <c r="TSY19" s="64"/>
      <c r="TSZ19" s="64"/>
      <c r="TTA19" s="64"/>
      <c r="TTB19" s="64"/>
      <c r="TTC19" s="64"/>
      <c r="TTD19" s="64"/>
      <c r="TTE19" s="64"/>
      <c r="TTF19" s="64"/>
      <c r="TTG19" s="64"/>
      <c r="TTH19" s="64"/>
      <c r="TTI19" s="64"/>
      <c r="TTJ19" s="64"/>
      <c r="TTK19" s="64"/>
      <c r="TTL19" s="64"/>
      <c r="TTM19" s="64"/>
      <c r="TTN19" s="64"/>
      <c r="TTO19" s="64"/>
      <c r="TTP19" s="64"/>
      <c r="TTQ19" s="64"/>
      <c r="TTR19" s="64"/>
      <c r="TTS19" s="64"/>
      <c r="TTT19" s="64"/>
      <c r="TTU19" s="64"/>
      <c r="TTV19" s="64"/>
      <c r="TTW19" s="64"/>
      <c r="TTX19" s="64"/>
      <c r="TTY19" s="64"/>
      <c r="TTZ19" s="64"/>
      <c r="TUA19" s="64"/>
      <c r="TUB19" s="64"/>
      <c r="TUC19" s="64"/>
      <c r="TUD19" s="64"/>
      <c r="TUE19" s="64"/>
      <c r="TUF19" s="64"/>
      <c r="TUG19" s="64"/>
      <c r="TUH19" s="64"/>
      <c r="TUI19" s="64"/>
      <c r="TUJ19" s="64"/>
      <c r="TUK19" s="64"/>
      <c r="TUL19" s="64"/>
      <c r="TUM19" s="64"/>
      <c r="TUN19" s="64"/>
      <c r="TUO19" s="64"/>
      <c r="TUP19" s="64"/>
      <c r="TUQ19" s="64"/>
      <c r="TUR19" s="64"/>
      <c r="TUS19" s="64"/>
      <c r="TUT19" s="64"/>
      <c r="TUU19" s="64"/>
      <c r="TUV19" s="64"/>
      <c r="TUW19" s="64"/>
      <c r="TUX19" s="64"/>
      <c r="TUY19" s="64"/>
      <c r="TUZ19" s="64"/>
      <c r="TVA19" s="64"/>
      <c r="TVB19" s="64"/>
      <c r="TVC19" s="64"/>
      <c r="TVD19" s="64"/>
      <c r="TVE19" s="64"/>
      <c r="TVF19" s="64"/>
      <c r="TVG19" s="64"/>
      <c r="TVH19" s="64"/>
      <c r="TVI19" s="64"/>
      <c r="TVJ19" s="64"/>
      <c r="TVK19" s="64"/>
      <c r="TVL19" s="64"/>
      <c r="TVM19" s="64"/>
      <c r="TVN19" s="64"/>
      <c r="TVO19" s="64"/>
      <c r="TVP19" s="64"/>
      <c r="TVQ19" s="64"/>
      <c r="TVR19" s="64"/>
      <c r="TVS19" s="64"/>
      <c r="TVT19" s="64"/>
      <c r="TVU19" s="64"/>
      <c r="TVV19" s="64"/>
      <c r="TVW19" s="64"/>
      <c r="TVX19" s="64"/>
      <c r="TVY19" s="64"/>
      <c r="TVZ19" s="64"/>
      <c r="TWA19" s="64"/>
      <c r="TWB19" s="64"/>
      <c r="TWC19" s="64"/>
      <c r="TWD19" s="64"/>
      <c r="TWE19" s="64"/>
      <c r="TWF19" s="64"/>
      <c r="TWG19" s="64"/>
      <c r="TWH19" s="64"/>
      <c r="TWI19" s="64"/>
      <c r="TWJ19" s="64"/>
      <c r="TWK19" s="64"/>
      <c r="TWL19" s="64"/>
      <c r="TWM19" s="64"/>
      <c r="TWN19" s="64"/>
      <c r="TWO19" s="64"/>
      <c r="TWP19" s="64"/>
      <c r="TWQ19" s="64"/>
      <c r="TWR19" s="64"/>
      <c r="TWS19" s="64"/>
      <c r="TWT19" s="64"/>
      <c r="TWU19" s="64"/>
      <c r="TWV19" s="64"/>
      <c r="TWW19" s="64"/>
      <c r="TWX19" s="64"/>
      <c r="TWY19" s="64"/>
      <c r="TWZ19" s="64"/>
      <c r="TXA19" s="64"/>
      <c r="TXB19" s="64"/>
      <c r="TXC19" s="64"/>
      <c r="TXD19" s="64"/>
      <c r="TXE19" s="64"/>
      <c r="TXF19" s="64"/>
      <c r="TXG19" s="64"/>
      <c r="TXH19" s="64"/>
      <c r="TXI19" s="64"/>
      <c r="TXJ19" s="64"/>
      <c r="TXK19" s="64"/>
      <c r="TXL19" s="64"/>
      <c r="TXM19" s="64"/>
      <c r="TXN19" s="64"/>
      <c r="TXO19" s="64"/>
      <c r="TXP19" s="64"/>
      <c r="TXQ19" s="64"/>
      <c r="TXR19" s="64"/>
      <c r="TXS19" s="64"/>
      <c r="TXT19" s="64"/>
      <c r="TXU19" s="64"/>
      <c r="TXV19" s="64"/>
      <c r="TXW19" s="64"/>
      <c r="TXX19" s="64"/>
      <c r="TXY19" s="64"/>
      <c r="TXZ19" s="64"/>
      <c r="TYA19" s="64"/>
      <c r="TYB19" s="64"/>
      <c r="TYC19" s="64"/>
      <c r="TYD19" s="64"/>
      <c r="TYE19" s="64"/>
      <c r="TYF19" s="64"/>
      <c r="TYG19" s="64"/>
      <c r="TYH19" s="64"/>
      <c r="TYI19" s="64"/>
      <c r="TYJ19" s="64"/>
      <c r="TYK19" s="64"/>
      <c r="TYL19" s="64"/>
      <c r="TYM19" s="64"/>
      <c r="TYN19" s="64"/>
      <c r="TYO19" s="64"/>
      <c r="TYP19" s="64"/>
      <c r="TYQ19" s="64"/>
      <c r="TYR19" s="64"/>
      <c r="TYS19" s="64"/>
      <c r="TYT19" s="64"/>
      <c r="TYU19" s="64"/>
      <c r="TYV19" s="64"/>
      <c r="TYW19" s="64"/>
      <c r="TYX19" s="64"/>
      <c r="TYY19" s="64"/>
      <c r="TYZ19" s="64"/>
      <c r="TZA19" s="64"/>
      <c r="TZB19" s="64"/>
      <c r="TZC19" s="64"/>
      <c r="TZD19" s="64"/>
      <c r="TZE19" s="64"/>
      <c r="TZF19" s="64"/>
      <c r="TZG19" s="64"/>
      <c r="TZH19" s="64"/>
      <c r="TZI19" s="64"/>
      <c r="TZJ19" s="64"/>
      <c r="TZK19" s="64"/>
      <c r="TZL19" s="64"/>
      <c r="TZM19" s="64"/>
      <c r="TZN19" s="64"/>
      <c r="TZO19" s="64"/>
      <c r="TZP19" s="64"/>
      <c r="TZQ19" s="64"/>
      <c r="TZR19" s="64"/>
      <c r="TZS19" s="64"/>
      <c r="TZT19" s="64"/>
      <c r="TZU19" s="64"/>
      <c r="TZV19" s="64"/>
      <c r="TZW19" s="64"/>
      <c r="TZX19" s="64"/>
      <c r="TZY19" s="64"/>
      <c r="TZZ19" s="64"/>
      <c r="UAA19" s="64"/>
      <c r="UAB19" s="64"/>
      <c r="UAC19" s="64"/>
      <c r="UAD19" s="64"/>
      <c r="UAE19" s="64"/>
      <c r="UAF19" s="64"/>
      <c r="UAG19" s="64"/>
      <c r="UAH19" s="64"/>
      <c r="UAI19" s="64"/>
      <c r="UAJ19" s="64"/>
      <c r="UAK19" s="64"/>
      <c r="UAL19" s="64"/>
      <c r="UAM19" s="64"/>
      <c r="UAN19" s="64"/>
      <c r="UAO19" s="64"/>
      <c r="UAP19" s="64"/>
      <c r="UAQ19" s="64"/>
      <c r="UAR19" s="64"/>
      <c r="UAS19" s="64"/>
      <c r="UAT19" s="64"/>
      <c r="UAU19" s="64"/>
      <c r="UAV19" s="64"/>
      <c r="UAW19" s="64"/>
      <c r="UAX19" s="64"/>
      <c r="UAY19" s="64"/>
      <c r="UAZ19" s="64"/>
      <c r="UBA19" s="64"/>
      <c r="UBB19" s="64"/>
      <c r="UBC19" s="64"/>
      <c r="UBD19" s="64"/>
      <c r="UBE19" s="64"/>
      <c r="UBF19" s="64"/>
      <c r="UBG19" s="64"/>
      <c r="UBH19" s="64"/>
      <c r="UBI19" s="64"/>
      <c r="UBJ19" s="64"/>
      <c r="UBK19" s="64"/>
      <c r="UBL19" s="64"/>
      <c r="UBM19" s="64"/>
      <c r="UBN19" s="64"/>
      <c r="UBO19" s="64"/>
      <c r="UBP19" s="64"/>
      <c r="UBQ19" s="64"/>
      <c r="UBR19" s="64"/>
      <c r="UBS19" s="64"/>
      <c r="UBT19" s="64"/>
      <c r="UBU19" s="64"/>
      <c r="UBV19" s="64"/>
      <c r="UBW19" s="64"/>
      <c r="UBX19" s="64"/>
      <c r="UBY19" s="64"/>
      <c r="UBZ19" s="64"/>
      <c r="UCA19" s="64"/>
      <c r="UCB19" s="64"/>
      <c r="UCC19" s="64"/>
      <c r="UCD19" s="64"/>
      <c r="UCE19" s="64"/>
      <c r="UCF19" s="64"/>
      <c r="UCG19" s="64"/>
      <c r="UCH19" s="64"/>
      <c r="UCI19" s="64"/>
      <c r="UCJ19" s="64"/>
      <c r="UCK19" s="64"/>
      <c r="UCL19" s="64"/>
      <c r="UCM19" s="64"/>
      <c r="UCN19" s="64"/>
      <c r="UCO19" s="64"/>
      <c r="UCP19" s="64"/>
      <c r="UCQ19" s="64"/>
      <c r="UCR19" s="64"/>
      <c r="UCS19" s="64"/>
      <c r="UCT19" s="64"/>
      <c r="UCU19" s="64"/>
      <c r="UCV19" s="64"/>
      <c r="UCW19" s="64"/>
      <c r="UCX19" s="64"/>
      <c r="UCY19" s="64"/>
      <c r="UCZ19" s="64"/>
      <c r="UDA19" s="64"/>
      <c r="UDB19" s="64"/>
      <c r="UDC19" s="64"/>
      <c r="UDD19" s="64"/>
      <c r="UDE19" s="64"/>
      <c r="UDF19" s="64"/>
      <c r="UDG19" s="64"/>
      <c r="UDH19" s="64"/>
      <c r="UDI19" s="64"/>
      <c r="UDJ19" s="64"/>
      <c r="UDK19" s="64"/>
      <c r="UDL19" s="64"/>
      <c r="UDM19" s="64"/>
      <c r="UDN19" s="64"/>
      <c r="UDO19" s="64"/>
      <c r="UDP19" s="64"/>
      <c r="UDQ19" s="64"/>
      <c r="UDR19" s="64"/>
      <c r="UDS19" s="64"/>
      <c r="UDT19" s="64"/>
      <c r="UDU19" s="64"/>
      <c r="UDV19" s="64"/>
      <c r="UDW19" s="64"/>
      <c r="UDX19" s="64"/>
      <c r="UDY19" s="64"/>
      <c r="UDZ19" s="64"/>
      <c r="UEA19" s="64"/>
      <c r="UEB19" s="64"/>
      <c r="UEC19" s="64"/>
      <c r="UED19" s="64"/>
      <c r="UEE19" s="64"/>
      <c r="UEF19" s="64"/>
      <c r="UEG19" s="64"/>
      <c r="UEH19" s="64"/>
      <c r="UEI19" s="64"/>
      <c r="UEJ19" s="64"/>
      <c r="UEK19" s="64"/>
      <c r="UEL19" s="64"/>
      <c r="UEM19" s="64"/>
      <c r="UEN19" s="64"/>
      <c r="UEO19" s="64"/>
      <c r="UEP19" s="64"/>
      <c r="UEQ19" s="64"/>
      <c r="UER19" s="64"/>
      <c r="UES19" s="64"/>
      <c r="UET19" s="64"/>
      <c r="UEU19" s="64"/>
      <c r="UEV19" s="64"/>
      <c r="UEW19" s="64"/>
      <c r="UEX19" s="64"/>
      <c r="UEY19" s="64"/>
      <c r="UEZ19" s="64"/>
      <c r="UFA19" s="64"/>
      <c r="UFB19" s="64"/>
      <c r="UFC19" s="64"/>
      <c r="UFD19" s="64"/>
      <c r="UFE19" s="64"/>
      <c r="UFF19" s="64"/>
      <c r="UFG19" s="64"/>
      <c r="UFH19" s="64"/>
      <c r="UFI19" s="64"/>
      <c r="UFJ19" s="64"/>
      <c r="UFK19" s="64"/>
      <c r="UFL19" s="64"/>
      <c r="UFM19" s="64"/>
      <c r="UFN19" s="64"/>
      <c r="UFO19" s="64"/>
      <c r="UFP19" s="64"/>
      <c r="UFQ19" s="64"/>
      <c r="UFR19" s="64"/>
      <c r="UFS19" s="64"/>
      <c r="UFT19" s="64"/>
      <c r="UFU19" s="64"/>
      <c r="UFV19" s="64"/>
      <c r="UFW19" s="64"/>
      <c r="UFX19" s="64"/>
      <c r="UFY19" s="64"/>
      <c r="UFZ19" s="64"/>
      <c r="UGA19" s="64"/>
      <c r="UGB19" s="64"/>
      <c r="UGC19" s="64"/>
      <c r="UGD19" s="64"/>
      <c r="UGE19" s="64"/>
      <c r="UGF19" s="64"/>
      <c r="UGG19" s="64"/>
      <c r="UGH19" s="64"/>
      <c r="UGI19" s="64"/>
      <c r="UGJ19" s="64"/>
      <c r="UGK19" s="64"/>
      <c r="UGL19" s="64"/>
      <c r="UGM19" s="64"/>
      <c r="UGN19" s="64"/>
      <c r="UGO19" s="64"/>
      <c r="UGP19" s="64"/>
      <c r="UGQ19" s="64"/>
      <c r="UGR19" s="64"/>
      <c r="UGS19" s="64"/>
      <c r="UGT19" s="64"/>
      <c r="UGU19" s="64"/>
      <c r="UGV19" s="64"/>
      <c r="UGW19" s="64"/>
      <c r="UGX19" s="64"/>
      <c r="UGY19" s="64"/>
      <c r="UGZ19" s="64"/>
      <c r="UHA19" s="64"/>
      <c r="UHB19" s="64"/>
      <c r="UHC19" s="64"/>
      <c r="UHD19" s="64"/>
      <c r="UHE19" s="64"/>
      <c r="UHF19" s="64"/>
      <c r="UHG19" s="64"/>
      <c r="UHH19" s="64"/>
      <c r="UHI19" s="64"/>
      <c r="UHJ19" s="64"/>
      <c r="UHK19" s="64"/>
      <c r="UHL19" s="64"/>
      <c r="UHM19" s="64"/>
      <c r="UHN19" s="64"/>
      <c r="UHO19" s="64"/>
      <c r="UHP19" s="64"/>
      <c r="UHQ19" s="64"/>
      <c r="UHR19" s="64"/>
      <c r="UHS19" s="64"/>
      <c r="UHT19" s="64"/>
      <c r="UHU19" s="64"/>
      <c r="UHV19" s="64"/>
      <c r="UHW19" s="64"/>
      <c r="UHX19" s="64"/>
      <c r="UHY19" s="64"/>
      <c r="UHZ19" s="64"/>
      <c r="UIA19" s="64"/>
      <c r="UIB19" s="64"/>
      <c r="UIC19" s="64"/>
      <c r="UID19" s="64"/>
      <c r="UIE19" s="64"/>
      <c r="UIF19" s="64"/>
      <c r="UIG19" s="64"/>
      <c r="UIH19" s="64"/>
      <c r="UII19" s="64"/>
      <c r="UIJ19" s="64"/>
      <c r="UIK19" s="64"/>
      <c r="UIL19" s="64"/>
      <c r="UIM19" s="64"/>
      <c r="UIN19" s="64"/>
      <c r="UIO19" s="64"/>
      <c r="UIP19" s="64"/>
      <c r="UIQ19" s="64"/>
      <c r="UIR19" s="64"/>
      <c r="UIS19" s="64"/>
      <c r="UIT19" s="64"/>
      <c r="UIU19" s="64"/>
      <c r="UIV19" s="64"/>
      <c r="UIW19" s="64"/>
      <c r="UIX19" s="64"/>
      <c r="UIY19" s="64"/>
      <c r="UIZ19" s="64"/>
      <c r="UJA19" s="64"/>
      <c r="UJB19" s="64"/>
      <c r="UJC19" s="64"/>
      <c r="UJD19" s="64"/>
      <c r="UJE19" s="64"/>
      <c r="UJF19" s="64"/>
      <c r="UJG19" s="64"/>
      <c r="UJH19" s="64"/>
      <c r="UJI19" s="64"/>
      <c r="UJJ19" s="64"/>
      <c r="UJK19" s="64"/>
      <c r="UJL19" s="64"/>
      <c r="UJM19" s="64"/>
      <c r="UJN19" s="64"/>
      <c r="UJO19" s="64"/>
      <c r="UJP19" s="64"/>
      <c r="UJQ19" s="64"/>
      <c r="UJR19" s="64"/>
      <c r="UJS19" s="64"/>
      <c r="UJT19" s="64"/>
      <c r="UJU19" s="64"/>
      <c r="UJV19" s="64"/>
      <c r="UJW19" s="64"/>
      <c r="UJX19" s="64"/>
      <c r="UJY19" s="64"/>
      <c r="UJZ19" s="64"/>
      <c r="UKA19" s="64"/>
      <c r="UKB19" s="64"/>
      <c r="UKC19" s="64"/>
      <c r="UKD19" s="64"/>
      <c r="UKE19" s="64"/>
      <c r="UKF19" s="64"/>
      <c r="UKG19" s="64"/>
      <c r="UKH19" s="64"/>
      <c r="UKI19" s="64"/>
      <c r="UKJ19" s="64"/>
      <c r="UKK19" s="64"/>
      <c r="UKL19" s="64"/>
      <c r="UKM19" s="64"/>
      <c r="UKN19" s="64"/>
      <c r="UKO19" s="64"/>
      <c r="UKP19" s="64"/>
      <c r="UKQ19" s="64"/>
      <c r="UKR19" s="64"/>
      <c r="UKS19" s="64"/>
      <c r="UKT19" s="64"/>
      <c r="UKU19" s="64"/>
      <c r="UKV19" s="64"/>
      <c r="UKW19" s="64"/>
      <c r="UKX19" s="64"/>
      <c r="UKY19" s="64"/>
      <c r="UKZ19" s="64"/>
      <c r="ULA19" s="64"/>
      <c r="ULB19" s="64"/>
      <c r="ULC19" s="64"/>
      <c r="ULD19" s="64"/>
      <c r="ULE19" s="64"/>
      <c r="ULF19" s="64"/>
      <c r="ULG19" s="64"/>
      <c r="ULH19" s="64"/>
      <c r="ULI19" s="64"/>
      <c r="ULJ19" s="64"/>
      <c r="ULK19" s="64"/>
      <c r="ULL19" s="64"/>
      <c r="ULM19" s="64"/>
      <c r="ULN19" s="64"/>
      <c r="ULO19" s="64"/>
      <c r="ULP19" s="64"/>
      <c r="ULQ19" s="64"/>
      <c r="ULR19" s="64"/>
      <c r="ULS19" s="64"/>
      <c r="ULT19" s="64"/>
      <c r="ULU19" s="64"/>
      <c r="ULV19" s="64"/>
      <c r="ULW19" s="64"/>
      <c r="ULX19" s="64"/>
      <c r="ULY19" s="64"/>
      <c r="ULZ19" s="64"/>
      <c r="UMA19" s="64"/>
      <c r="UMB19" s="64"/>
      <c r="UMC19" s="64"/>
      <c r="UMD19" s="64"/>
      <c r="UME19" s="64"/>
      <c r="UMF19" s="64"/>
      <c r="UMG19" s="64"/>
      <c r="UMH19" s="64"/>
      <c r="UMI19" s="64"/>
      <c r="UMJ19" s="64"/>
      <c r="UMK19" s="64"/>
      <c r="UML19" s="64"/>
      <c r="UMM19" s="64"/>
      <c r="UMN19" s="64"/>
      <c r="UMO19" s="64"/>
      <c r="UMP19" s="64"/>
      <c r="UMQ19" s="64"/>
      <c r="UMR19" s="64"/>
      <c r="UMS19" s="64"/>
      <c r="UMT19" s="64"/>
      <c r="UMU19" s="64"/>
      <c r="UMV19" s="64"/>
      <c r="UMW19" s="64"/>
      <c r="UMX19" s="64"/>
      <c r="UMY19" s="64"/>
      <c r="UMZ19" s="64"/>
      <c r="UNA19" s="64"/>
      <c r="UNB19" s="64"/>
      <c r="UNC19" s="64"/>
      <c r="UND19" s="64"/>
      <c r="UNE19" s="64"/>
      <c r="UNF19" s="64"/>
      <c r="UNG19" s="64"/>
      <c r="UNH19" s="64"/>
      <c r="UNI19" s="64"/>
      <c r="UNJ19" s="64"/>
      <c r="UNK19" s="64"/>
      <c r="UNL19" s="64"/>
      <c r="UNM19" s="64"/>
      <c r="UNN19" s="64"/>
      <c r="UNO19" s="64"/>
      <c r="UNP19" s="64"/>
      <c r="UNQ19" s="64"/>
      <c r="UNR19" s="64"/>
      <c r="UNS19" s="64"/>
      <c r="UNT19" s="64"/>
      <c r="UNU19" s="64"/>
      <c r="UNV19" s="64"/>
      <c r="UNW19" s="64"/>
      <c r="UNX19" s="64"/>
      <c r="UNY19" s="64"/>
      <c r="UNZ19" s="64"/>
      <c r="UOA19" s="64"/>
      <c r="UOB19" s="64"/>
      <c r="UOC19" s="64"/>
      <c r="UOD19" s="64"/>
      <c r="UOE19" s="64"/>
      <c r="UOF19" s="64"/>
      <c r="UOG19" s="64"/>
      <c r="UOH19" s="64"/>
      <c r="UOI19" s="64"/>
      <c r="UOJ19" s="64"/>
      <c r="UOK19" s="64"/>
      <c r="UOL19" s="64"/>
      <c r="UOM19" s="64"/>
      <c r="UON19" s="64"/>
      <c r="UOO19" s="64"/>
      <c r="UOP19" s="64"/>
      <c r="UOQ19" s="64"/>
      <c r="UOR19" s="64"/>
      <c r="UOS19" s="64"/>
      <c r="UOT19" s="64"/>
      <c r="UOU19" s="64"/>
      <c r="UOV19" s="64"/>
      <c r="UOW19" s="64"/>
      <c r="UOX19" s="64"/>
      <c r="UOY19" s="64"/>
      <c r="UOZ19" s="64"/>
      <c r="UPA19" s="64"/>
      <c r="UPB19" s="64"/>
      <c r="UPC19" s="64"/>
      <c r="UPD19" s="64"/>
      <c r="UPE19" s="64"/>
      <c r="UPF19" s="64"/>
      <c r="UPG19" s="64"/>
      <c r="UPH19" s="64"/>
      <c r="UPI19" s="64"/>
      <c r="UPJ19" s="64"/>
      <c r="UPK19" s="64"/>
      <c r="UPL19" s="64"/>
      <c r="UPM19" s="64"/>
      <c r="UPN19" s="64"/>
      <c r="UPO19" s="64"/>
      <c r="UPP19" s="64"/>
      <c r="UPQ19" s="64"/>
      <c r="UPR19" s="64"/>
      <c r="UPS19" s="64"/>
      <c r="UPT19" s="64"/>
      <c r="UPU19" s="64"/>
      <c r="UPV19" s="64"/>
      <c r="UPW19" s="64"/>
      <c r="UPX19" s="64"/>
      <c r="UPY19" s="64"/>
      <c r="UPZ19" s="64"/>
      <c r="UQA19" s="64"/>
      <c r="UQB19" s="64"/>
      <c r="UQC19" s="64"/>
      <c r="UQD19" s="64"/>
      <c r="UQE19" s="64"/>
      <c r="UQF19" s="64"/>
      <c r="UQG19" s="64"/>
      <c r="UQH19" s="64"/>
      <c r="UQI19" s="64"/>
      <c r="UQJ19" s="64"/>
      <c r="UQK19" s="64"/>
      <c r="UQL19" s="64"/>
      <c r="UQM19" s="64"/>
      <c r="UQN19" s="64"/>
      <c r="UQO19" s="64"/>
      <c r="UQP19" s="64"/>
      <c r="UQQ19" s="64"/>
      <c r="UQR19" s="64"/>
      <c r="UQS19" s="64"/>
      <c r="UQT19" s="64"/>
      <c r="UQU19" s="64"/>
      <c r="UQV19" s="64"/>
      <c r="UQW19" s="64"/>
      <c r="UQX19" s="64"/>
      <c r="UQY19" s="64"/>
      <c r="UQZ19" s="64"/>
      <c r="URA19" s="64"/>
      <c r="URB19" s="64"/>
      <c r="URC19" s="64"/>
      <c r="URD19" s="64"/>
      <c r="URE19" s="64"/>
      <c r="URF19" s="64"/>
      <c r="URG19" s="64"/>
      <c r="URH19" s="64"/>
      <c r="URI19" s="64"/>
      <c r="URJ19" s="64"/>
      <c r="URK19" s="64"/>
      <c r="URL19" s="64"/>
      <c r="URM19" s="64"/>
      <c r="URN19" s="64"/>
      <c r="URO19" s="64"/>
      <c r="URP19" s="64"/>
      <c r="URQ19" s="64"/>
      <c r="URR19" s="64"/>
      <c r="URS19" s="64"/>
      <c r="URT19" s="64"/>
      <c r="URU19" s="64"/>
      <c r="URV19" s="64"/>
      <c r="URW19" s="64"/>
      <c r="URX19" s="64"/>
      <c r="URY19" s="64"/>
      <c r="URZ19" s="64"/>
      <c r="USA19" s="64"/>
      <c r="USB19" s="64"/>
      <c r="USC19" s="64"/>
      <c r="USD19" s="64"/>
      <c r="USE19" s="64"/>
      <c r="USF19" s="64"/>
      <c r="USG19" s="64"/>
      <c r="USH19" s="64"/>
      <c r="USI19" s="64"/>
      <c r="USJ19" s="64"/>
      <c r="USK19" s="64"/>
      <c r="USL19" s="64"/>
      <c r="USM19" s="64"/>
      <c r="USN19" s="64"/>
      <c r="USO19" s="64"/>
      <c r="USP19" s="64"/>
      <c r="USQ19" s="64"/>
      <c r="USR19" s="64"/>
      <c r="USS19" s="64"/>
      <c r="UST19" s="64"/>
      <c r="USU19" s="64"/>
      <c r="USV19" s="64"/>
      <c r="USW19" s="64"/>
      <c r="USX19" s="64"/>
      <c r="USY19" s="64"/>
      <c r="USZ19" s="64"/>
      <c r="UTA19" s="64"/>
      <c r="UTB19" s="64"/>
      <c r="UTC19" s="64"/>
      <c r="UTD19" s="64"/>
      <c r="UTE19" s="64"/>
      <c r="UTF19" s="64"/>
      <c r="UTG19" s="64"/>
      <c r="UTH19" s="64"/>
      <c r="UTI19" s="64"/>
      <c r="UTJ19" s="64"/>
      <c r="UTK19" s="64"/>
      <c r="UTL19" s="64"/>
      <c r="UTM19" s="64"/>
      <c r="UTN19" s="64"/>
      <c r="UTO19" s="64"/>
      <c r="UTP19" s="64"/>
      <c r="UTQ19" s="64"/>
      <c r="UTR19" s="64"/>
      <c r="UTS19" s="64"/>
      <c r="UTT19" s="64"/>
      <c r="UTU19" s="64"/>
      <c r="UTV19" s="64"/>
      <c r="UTW19" s="64"/>
      <c r="UTX19" s="64"/>
      <c r="UTY19" s="64"/>
      <c r="UTZ19" s="64"/>
      <c r="UUA19" s="64"/>
      <c r="UUB19" s="64"/>
      <c r="UUC19" s="64"/>
      <c r="UUD19" s="64"/>
      <c r="UUE19" s="64"/>
      <c r="UUF19" s="64"/>
      <c r="UUG19" s="64"/>
      <c r="UUH19" s="64"/>
      <c r="UUI19" s="64"/>
      <c r="UUJ19" s="64"/>
      <c r="UUK19" s="64"/>
      <c r="UUL19" s="64"/>
      <c r="UUM19" s="64"/>
      <c r="UUN19" s="64"/>
      <c r="UUO19" s="64"/>
      <c r="UUP19" s="64"/>
      <c r="UUQ19" s="64"/>
      <c r="UUR19" s="64"/>
      <c r="UUS19" s="64"/>
      <c r="UUT19" s="64"/>
      <c r="UUU19" s="64"/>
      <c r="UUV19" s="64"/>
      <c r="UUW19" s="64"/>
      <c r="UUX19" s="64"/>
      <c r="UUY19" s="64"/>
      <c r="UUZ19" s="64"/>
      <c r="UVA19" s="64"/>
      <c r="UVB19" s="64"/>
      <c r="UVC19" s="64"/>
      <c r="UVD19" s="64"/>
      <c r="UVE19" s="64"/>
      <c r="UVF19" s="64"/>
      <c r="UVG19" s="64"/>
      <c r="UVH19" s="64"/>
      <c r="UVI19" s="64"/>
      <c r="UVJ19" s="64"/>
      <c r="UVK19" s="64"/>
      <c r="UVL19" s="64"/>
      <c r="UVM19" s="64"/>
      <c r="UVN19" s="64"/>
      <c r="UVO19" s="64"/>
      <c r="UVP19" s="64"/>
      <c r="UVQ19" s="64"/>
      <c r="UVR19" s="64"/>
      <c r="UVS19" s="64"/>
      <c r="UVT19" s="64"/>
      <c r="UVU19" s="64"/>
      <c r="UVV19" s="64"/>
      <c r="UVW19" s="64"/>
      <c r="UVX19" s="64"/>
      <c r="UVY19" s="64"/>
      <c r="UVZ19" s="64"/>
      <c r="UWA19" s="64"/>
      <c r="UWB19" s="64"/>
      <c r="UWC19" s="64"/>
      <c r="UWD19" s="64"/>
      <c r="UWE19" s="64"/>
      <c r="UWF19" s="64"/>
      <c r="UWG19" s="64"/>
      <c r="UWH19" s="64"/>
      <c r="UWI19" s="64"/>
      <c r="UWJ19" s="64"/>
      <c r="UWK19" s="64"/>
      <c r="UWL19" s="64"/>
      <c r="UWM19" s="64"/>
      <c r="UWN19" s="64"/>
      <c r="UWO19" s="64"/>
      <c r="UWP19" s="64"/>
      <c r="UWQ19" s="64"/>
      <c r="UWR19" s="64"/>
      <c r="UWS19" s="64"/>
      <c r="UWT19" s="64"/>
      <c r="UWU19" s="64"/>
      <c r="UWV19" s="64"/>
      <c r="UWW19" s="64"/>
      <c r="UWX19" s="64"/>
      <c r="UWY19" s="64"/>
      <c r="UWZ19" s="64"/>
      <c r="UXA19" s="64"/>
      <c r="UXB19" s="64"/>
      <c r="UXC19" s="64"/>
      <c r="UXD19" s="64"/>
      <c r="UXE19" s="64"/>
      <c r="UXF19" s="64"/>
      <c r="UXG19" s="64"/>
      <c r="UXH19" s="64"/>
      <c r="UXI19" s="64"/>
      <c r="UXJ19" s="64"/>
      <c r="UXK19" s="64"/>
      <c r="UXL19" s="64"/>
      <c r="UXM19" s="64"/>
      <c r="UXN19" s="64"/>
      <c r="UXO19" s="64"/>
      <c r="UXP19" s="64"/>
      <c r="UXQ19" s="64"/>
      <c r="UXR19" s="64"/>
      <c r="UXS19" s="64"/>
      <c r="UXT19" s="64"/>
      <c r="UXU19" s="64"/>
      <c r="UXV19" s="64"/>
      <c r="UXW19" s="64"/>
      <c r="UXX19" s="64"/>
      <c r="UXY19" s="64"/>
      <c r="UXZ19" s="64"/>
      <c r="UYA19" s="64"/>
      <c r="UYB19" s="64"/>
      <c r="UYC19" s="64"/>
      <c r="UYD19" s="64"/>
      <c r="UYE19" s="64"/>
      <c r="UYF19" s="64"/>
      <c r="UYG19" s="64"/>
      <c r="UYH19" s="64"/>
      <c r="UYI19" s="64"/>
      <c r="UYJ19" s="64"/>
      <c r="UYK19" s="64"/>
      <c r="UYL19" s="64"/>
      <c r="UYM19" s="64"/>
      <c r="UYN19" s="64"/>
      <c r="UYO19" s="64"/>
      <c r="UYP19" s="64"/>
      <c r="UYQ19" s="64"/>
      <c r="UYR19" s="64"/>
      <c r="UYS19" s="64"/>
      <c r="UYT19" s="64"/>
      <c r="UYU19" s="64"/>
      <c r="UYV19" s="64"/>
      <c r="UYW19" s="64"/>
      <c r="UYX19" s="64"/>
      <c r="UYY19" s="64"/>
      <c r="UYZ19" s="64"/>
      <c r="UZA19" s="64"/>
      <c r="UZB19" s="64"/>
      <c r="UZC19" s="64"/>
      <c r="UZD19" s="64"/>
      <c r="UZE19" s="64"/>
      <c r="UZF19" s="64"/>
      <c r="UZG19" s="64"/>
      <c r="UZH19" s="64"/>
      <c r="UZI19" s="64"/>
      <c r="UZJ19" s="64"/>
      <c r="UZK19" s="64"/>
      <c r="UZL19" s="64"/>
      <c r="UZM19" s="64"/>
      <c r="UZN19" s="64"/>
      <c r="UZO19" s="64"/>
      <c r="UZP19" s="64"/>
      <c r="UZQ19" s="64"/>
      <c r="UZR19" s="64"/>
      <c r="UZS19" s="64"/>
      <c r="UZT19" s="64"/>
      <c r="UZU19" s="64"/>
      <c r="UZV19" s="64"/>
      <c r="UZW19" s="64"/>
      <c r="UZX19" s="64"/>
      <c r="UZY19" s="64"/>
      <c r="UZZ19" s="64"/>
      <c r="VAA19" s="64"/>
      <c r="VAB19" s="64"/>
      <c r="VAC19" s="64"/>
      <c r="VAD19" s="64"/>
      <c r="VAE19" s="64"/>
      <c r="VAF19" s="64"/>
      <c r="VAG19" s="64"/>
      <c r="VAH19" s="64"/>
      <c r="VAI19" s="64"/>
      <c r="VAJ19" s="64"/>
      <c r="VAK19" s="64"/>
      <c r="VAL19" s="64"/>
      <c r="VAM19" s="64"/>
      <c r="VAN19" s="64"/>
      <c r="VAO19" s="64"/>
      <c r="VAP19" s="64"/>
      <c r="VAQ19" s="64"/>
      <c r="VAR19" s="64"/>
      <c r="VAS19" s="64"/>
      <c r="VAT19" s="64"/>
      <c r="VAU19" s="64"/>
      <c r="VAV19" s="64"/>
      <c r="VAW19" s="64"/>
      <c r="VAX19" s="64"/>
      <c r="VAY19" s="64"/>
      <c r="VAZ19" s="64"/>
      <c r="VBA19" s="64"/>
      <c r="VBB19" s="64"/>
      <c r="VBC19" s="64"/>
      <c r="VBD19" s="64"/>
      <c r="VBE19" s="64"/>
      <c r="VBF19" s="64"/>
      <c r="VBG19" s="64"/>
      <c r="VBH19" s="64"/>
      <c r="VBI19" s="64"/>
      <c r="VBJ19" s="64"/>
      <c r="VBK19" s="64"/>
      <c r="VBL19" s="64"/>
      <c r="VBM19" s="64"/>
      <c r="VBN19" s="64"/>
      <c r="VBO19" s="64"/>
      <c r="VBP19" s="64"/>
      <c r="VBQ19" s="64"/>
      <c r="VBR19" s="64"/>
      <c r="VBS19" s="64"/>
      <c r="VBT19" s="64"/>
      <c r="VBU19" s="64"/>
      <c r="VBV19" s="64"/>
      <c r="VBW19" s="64"/>
      <c r="VBX19" s="64"/>
      <c r="VBY19" s="64"/>
      <c r="VBZ19" s="64"/>
      <c r="VCA19" s="64"/>
      <c r="VCB19" s="64"/>
      <c r="VCC19" s="64"/>
      <c r="VCD19" s="64"/>
      <c r="VCE19" s="64"/>
      <c r="VCF19" s="64"/>
      <c r="VCG19" s="64"/>
      <c r="VCH19" s="64"/>
      <c r="VCI19" s="64"/>
      <c r="VCJ19" s="64"/>
      <c r="VCK19" s="64"/>
      <c r="VCL19" s="64"/>
      <c r="VCM19" s="64"/>
      <c r="VCN19" s="64"/>
      <c r="VCO19" s="64"/>
      <c r="VCP19" s="64"/>
      <c r="VCQ19" s="64"/>
      <c r="VCR19" s="64"/>
      <c r="VCS19" s="64"/>
      <c r="VCT19" s="64"/>
      <c r="VCU19" s="64"/>
      <c r="VCV19" s="64"/>
      <c r="VCW19" s="64"/>
      <c r="VCX19" s="64"/>
      <c r="VCY19" s="64"/>
      <c r="VCZ19" s="64"/>
      <c r="VDA19" s="64"/>
      <c r="VDB19" s="64"/>
      <c r="VDC19" s="64"/>
      <c r="VDD19" s="64"/>
      <c r="VDE19" s="64"/>
      <c r="VDF19" s="64"/>
      <c r="VDG19" s="64"/>
      <c r="VDH19" s="64"/>
      <c r="VDI19" s="64"/>
      <c r="VDJ19" s="64"/>
      <c r="VDK19" s="64"/>
      <c r="VDL19" s="64"/>
      <c r="VDM19" s="64"/>
      <c r="VDN19" s="64"/>
      <c r="VDO19" s="64"/>
      <c r="VDP19" s="64"/>
      <c r="VDQ19" s="64"/>
      <c r="VDR19" s="64"/>
      <c r="VDS19" s="64"/>
      <c r="VDT19" s="64"/>
      <c r="VDU19" s="64"/>
      <c r="VDV19" s="64"/>
      <c r="VDW19" s="64"/>
      <c r="VDX19" s="64"/>
      <c r="VDY19" s="64"/>
      <c r="VDZ19" s="64"/>
      <c r="VEA19" s="64"/>
      <c r="VEB19" s="64"/>
      <c r="VEC19" s="64"/>
      <c r="VED19" s="64"/>
      <c r="VEE19" s="64"/>
      <c r="VEF19" s="64"/>
      <c r="VEG19" s="64"/>
      <c r="VEH19" s="64"/>
      <c r="VEI19" s="64"/>
      <c r="VEJ19" s="64"/>
      <c r="VEK19" s="64"/>
      <c r="VEL19" s="64"/>
      <c r="VEM19" s="64"/>
      <c r="VEN19" s="64"/>
      <c r="VEO19" s="64"/>
      <c r="VEP19" s="64"/>
      <c r="VEQ19" s="64"/>
      <c r="VER19" s="64"/>
      <c r="VES19" s="64"/>
      <c r="VET19" s="64"/>
      <c r="VEU19" s="64"/>
      <c r="VEV19" s="64"/>
      <c r="VEW19" s="64"/>
      <c r="VEX19" s="64"/>
      <c r="VEY19" s="64"/>
      <c r="VEZ19" s="64"/>
      <c r="VFA19" s="64"/>
      <c r="VFB19" s="64"/>
      <c r="VFC19" s="64"/>
      <c r="VFD19" s="64"/>
      <c r="VFE19" s="64"/>
      <c r="VFF19" s="64"/>
      <c r="VFG19" s="64"/>
      <c r="VFH19" s="64"/>
      <c r="VFI19" s="64"/>
      <c r="VFJ19" s="64"/>
      <c r="VFK19" s="64"/>
      <c r="VFL19" s="64"/>
      <c r="VFM19" s="64"/>
      <c r="VFN19" s="64"/>
      <c r="VFO19" s="64"/>
      <c r="VFP19" s="64"/>
      <c r="VFQ19" s="64"/>
      <c r="VFR19" s="64"/>
      <c r="VFS19" s="64"/>
      <c r="VFT19" s="64"/>
      <c r="VFU19" s="64"/>
      <c r="VFV19" s="64"/>
      <c r="VFW19" s="64"/>
      <c r="VFX19" s="64"/>
      <c r="VFY19" s="64"/>
      <c r="VFZ19" s="64"/>
      <c r="VGA19" s="64"/>
      <c r="VGB19" s="64"/>
      <c r="VGC19" s="64"/>
      <c r="VGD19" s="64"/>
      <c r="VGE19" s="64"/>
      <c r="VGF19" s="64"/>
      <c r="VGG19" s="64"/>
      <c r="VGH19" s="64"/>
      <c r="VGI19" s="64"/>
      <c r="VGJ19" s="64"/>
      <c r="VGK19" s="64"/>
      <c r="VGL19" s="64"/>
      <c r="VGM19" s="64"/>
      <c r="VGN19" s="64"/>
      <c r="VGO19" s="64"/>
      <c r="VGP19" s="64"/>
      <c r="VGQ19" s="64"/>
      <c r="VGR19" s="64"/>
      <c r="VGS19" s="64"/>
      <c r="VGT19" s="64"/>
      <c r="VGU19" s="64"/>
      <c r="VGV19" s="64"/>
      <c r="VGW19" s="64"/>
      <c r="VGX19" s="64"/>
      <c r="VGY19" s="64"/>
      <c r="VGZ19" s="64"/>
      <c r="VHA19" s="64"/>
      <c r="VHB19" s="64"/>
      <c r="VHC19" s="64"/>
      <c r="VHD19" s="64"/>
      <c r="VHE19" s="64"/>
      <c r="VHF19" s="64"/>
      <c r="VHG19" s="64"/>
      <c r="VHH19" s="64"/>
      <c r="VHI19" s="64"/>
      <c r="VHJ19" s="64"/>
      <c r="VHK19" s="64"/>
      <c r="VHL19" s="64"/>
      <c r="VHM19" s="64"/>
      <c r="VHN19" s="64"/>
      <c r="VHO19" s="64"/>
      <c r="VHP19" s="64"/>
      <c r="VHQ19" s="64"/>
      <c r="VHR19" s="64"/>
      <c r="VHS19" s="64"/>
      <c r="VHT19" s="64"/>
      <c r="VHU19" s="64"/>
      <c r="VHV19" s="64"/>
      <c r="VHW19" s="64"/>
      <c r="VHX19" s="64"/>
      <c r="VHY19" s="64"/>
      <c r="VHZ19" s="64"/>
      <c r="VIA19" s="64"/>
      <c r="VIB19" s="64"/>
      <c r="VIC19" s="64"/>
      <c r="VID19" s="64"/>
      <c r="VIE19" s="64"/>
      <c r="VIF19" s="64"/>
      <c r="VIG19" s="64"/>
      <c r="VIH19" s="64"/>
      <c r="VII19" s="64"/>
      <c r="VIJ19" s="64"/>
      <c r="VIK19" s="64"/>
      <c r="VIL19" s="64"/>
      <c r="VIM19" s="64"/>
      <c r="VIN19" s="64"/>
      <c r="VIO19" s="64"/>
      <c r="VIP19" s="64"/>
      <c r="VIQ19" s="64"/>
      <c r="VIR19" s="64"/>
      <c r="VIS19" s="64"/>
      <c r="VIT19" s="64"/>
      <c r="VIU19" s="64"/>
      <c r="VIV19" s="64"/>
      <c r="VIW19" s="64"/>
      <c r="VIX19" s="64"/>
      <c r="VIY19" s="64"/>
      <c r="VIZ19" s="64"/>
      <c r="VJA19" s="64"/>
      <c r="VJB19" s="64"/>
      <c r="VJC19" s="64"/>
      <c r="VJD19" s="64"/>
      <c r="VJE19" s="64"/>
      <c r="VJF19" s="64"/>
      <c r="VJG19" s="64"/>
      <c r="VJH19" s="64"/>
      <c r="VJI19" s="64"/>
      <c r="VJJ19" s="64"/>
      <c r="VJK19" s="64"/>
      <c r="VJL19" s="64"/>
      <c r="VJM19" s="64"/>
      <c r="VJN19" s="64"/>
      <c r="VJO19" s="64"/>
      <c r="VJP19" s="64"/>
      <c r="VJQ19" s="64"/>
      <c r="VJR19" s="64"/>
      <c r="VJS19" s="64"/>
      <c r="VJT19" s="64"/>
      <c r="VJU19" s="64"/>
      <c r="VJV19" s="64"/>
      <c r="VJW19" s="64"/>
      <c r="VJX19" s="64"/>
      <c r="VJY19" s="64"/>
      <c r="VJZ19" s="64"/>
      <c r="VKA19" s="64"/>
      <c r="VKB19" s="64"/>
      <c r="VKC19" s="64"/>
      <c r="VKD19" s="64"/>
      <c r="VKE19" s="64"/>
      <c r="VKF19" s="64"/>
      <c r="VKG19" s="64"/>
      <c r="VKH19" s="64"/>
      <c r="VKI19" s="64"/>
      <c r="VKJ19" s="64"/>
      <c r="VKK19" s="64"/>
      <c r="VKL19" s="64"/>
      <c r="VKM19" s="64"/>
      <c r="VKN19" s="64"/>
      <c r="VKO19" s="64"/>
      <c r="VKP19" s="64"/>
      <c r="VKQ19" s="64"/>
      <c r="VKR19" s="64"/>
      <c r="VKS19" s="64"/>
      <c r="VKT19" s="64"/>
      <c r="VKU19" s="64"/>
      <c r="VKV19" s="64"/>
      <c r="VKW19" s="64"/>
      <c r="VKX19" s="64"/>
      <c r="VKY19" s="64"/>
      <c r="VKZ19" s="64"/>
      <c r="VLA19" s="64"/>
      <c r="VLB19" s="64"/>
      <c r="VLC19" s="64"/>
      <c r="VLD19" s="64"/>
      <c r="VLE19" s="64"/>
      <c r="VLF19" s="64"/>
      <c r="VLG19" s="64"/>
      <c r="VLH19" s="64"/>
      <c r="VLI19" s="64"/>
      <c r="VLJ19" s="64"/>
      <c r="VLK19" s="64"/>
      <c r="VLL19" s="64"/>
      <c r="VLM19" s="64"/>
      <c r="VLN19" s="64"/>
      <c r="VLO19" s="64"/>
      <c r="VLP19" s="64"/>
      <c r="VLQ19" s="64"/>
      <c r="VLR19" s="64"/>
      <c r="VLS19" s="64"/>
      <c r="VLT19" s="64"/>
      <c r="VLU19" s="64"/>
      <c r="VLV19" s="64"/>
      <c r="VLW19" s="64"/>
      <c r="VLX19" s="64"/>
      <c r="VLY19" s="64"/>
      <c r="VLZ19" s="64"/>
      <c r="VMA19" s="64"/>
      <c r="VMB19" s="64"/>
      <c r="VMC19" s="64"/>
      <c r="VMD19" s="64"/>
      <c r="VME19" s="64"/>
      <c r="VMF19" s="64"/>
      <c r="VMG19" s="64"/>
      <c r="VMH19" s="64"/>
      <c r="VMI19" s="64"/>
      <c r="VMJ19" s="64"/>
      <c r="VMK19" s="64"/>
      <c r="VML19" s="64"/>
      <c r="VMM19" s="64"/>
      <c r="VMN19" s="64"/>
      <c r="VMO19" s="64"/>
      <c r="VMP19" s="64"/>
      <c r="VMQ19" s="64"/>
      <c r="VMR19" s="64"/>
      <c r="VMS19" s="64"/>
      <c r="VMT19" s="64"/>
      <c r="VMU19" s="64"/>
      <c r="VMV19" s="64"/>
      <c r="VMW19" s="64"/>
      <c r="VMX19" s="64"/>
      <c r="VMY19" s="64"/>
      <c r="VMZ19" s="64"/>
      <c r="VNA19" s="64"/>
      <c r="VNB19" s="64"/>
      <c r="VNC19" s="64"/>
      <c r="VND19" s="64"/>
      <c r="VNE19" s="64"/>
      <c r="VNF19" s="64"/>
      <c r="VNG19" s="64"/>
      <c r="VNH19" s="64"/>
      <c r="VNI19" s="64"/>
      <c r="VNJ19" s="64"/>
      <c r="VNK19" s="64"/>
      <c r="VNL19" s="64"/>
      <c r="VNM19" s="64"/>
      <c r="VNN19" s="64"/>
      <c r="VNO19" s="64"/>
      <c r="VNP19" s="64"/>
      <c r="VNQ19" s="64"/>
      <c r="VNR19" s="64"/>
      <c r="VNS19" s="64"/>
      <c r="VNT19" s="64"/>
      <c r="VNU19" s="64"/>
      <c r="VNV19" s="64"/>
      <c r="VNW19" s="64"/>
      <c r="VNX19" s="64"/>
      <c r="VNY19" s="64"/>
      <c r="VNZ19" s="64"/>
      <c r="VOA19" s="64"/>
      <c r="VOB19" s="64"/>
      <c r="VOC19" s="64"/>
      <c r="VOD19" s="64"/>
      <c r="VOE19" s="64"/>
      <c r="VOF19" s="64"/>
      <c r="VOG19" s="64"/>
      <c r="VOH19" s="64"/>
      <c r="VOI19" s="64"/>
      <c r="VOJ19" s="64"/>
      <c r="VOK19" s="64"/>
      <c r="VOL19" s="64"/>
      <c r="VOM19" s="64"/>
      <c r="VON19" s="64"/>
      <c r="VOO19" s="64"/>
      <c r="VOP19" s="64"/>
      <c r="VOQ19" s="64"/>
      <c r="VOR19" s="64"/>
      <c r="VOS19" s="64"/>
      <c r="VOT19" s="64"/>
      <c r="VOU19" s="64"/>
      <c r="VOV19" s="64"/>
      <c r="VOW19" s="64"/>
      <c r="VOX19" s="64"/>
      <c r="VOY19" s="64"/>
      <c r="VOZ19" s="64"/>
      <c r="VPA19" s="64"/>
      <c r="VPB19" s="64"/>
      <c r="VPC19" s="64"/>
      <c r="VPD19" s="64"/>
      <c r="VPE19" s="64"/>
      <c r="VPF19" s="64"/>
      <c r="VPG19" s="64"/>
      <c r="VPH19" s="64"/>
      <c r="VPI19" s="64"/>
      <c r="VPJ19" s="64"/>
      <c r="VPK19" s="64"/>
      <c r="VPL19" s="64"/>
      <c r="VPM19" s="64"/>
      <c r="VPN19" s="64"/>
      <c r="VPO19" s="64"/>
      <c r="VPP19" s="64"/>
      <c r="VPQ19" s="64"/>
      <c r="VPR19" s="64"/>
      <c r="VPS19" s="64"/>
      <c r="VPT19" s="64"/>
      <c r="VPU19" s="64"/>
      <c r="VPV19" s="64"/>
      <c r="VPW19" s="64"/>
      <c r="VPX19" s="64"/>
      <c r="VPY19" s="64"/>
      <c r="VPZ19" s="64"/>
      <c r="VQA19" s="64"/>
      <c r="VQB19" s="64"/>
      <c r="VQC19" s="64"/>
      <c r="VQD19" s="64"/>
      <c r="VQE19" s="64"/>
      <c r="VQF19" s="64"/>
      <c r="VQG19" s="64"/>
      <c r="VQH19" s="64"/>
      <c r="VQI19" s="64"/>
      <c r="VQJ19" s="64"/>
      <c r="VQK19" s="64"/>
      <c r="VQL19" s="64"/>
      <c r="VQM19" s="64"/>
      <c r="VQN19" s="64"/>
      <c r="VQO19" s="64"/>
      <c r="VQP19" s="64"/>
      <c r="VQQ19" s="64"/>
      <c r="VQR19" s="64"/>
      <c r="VQS19" s="64"/>
      <c r="VQT19" s="64"/>
      <c r="VQU19" s="64"/>
      <c r="VQV19" s="64"/>
      <c r="VQW19" s="64"/>
      <c r="VQX19" s="64"/>
      <c r="VQY19" s="64"/>
      <c r="VQZ19" s="64"/>
      <c r="VRA19" s="64"/>
      <c r="VRB19" s="64"/>
      <c r="VRC19" s="64"/>
      <c r="VRD19" s="64"/>
      <c r="VRE19" s="64"/>
      <c r="VRF19" s="64"/>
      <c r="VRG19" s="64"/>
      <c r="VRH19" s="64"/>
      <c r="VRI19" s="64"/>
      <c r="VRJ19" s="64"/>
      <c r="VRK19" s="64"/>
      <c r="VRL19" s="64"/>
      <c r="VRM19" s="64"/>
      <c r="VRN19" s="64"/>
      <c r="VRO19" s="64"/>
      <c r="VRP19" s="64"/>
      <c r="VRQ19" s="64"/>
      <c r="VRR19" s="64"/>
      <c r="VRS19" s="64"/>
      <c r="VRT19" s="64"/>
      <c r="VRU19" s="64"/>
      <c r="VRV19" s="64"/>
      <c r="VRW19" s="64"/>
      <c r="VRX19" s="64"/>
      <c r="VRY19" s="64"/>
      <c r="VRZ19" s="64"/>
      <c r="VSA19" s="64"/>
      <c r="VSB19" s="64"/>
      <c r="VSC19" s="64"/>
      <c r="VSD19" s="64"/>
      <c r="VSE19" s="64"/>
      <c r="VSF19" s="64"/>
      <c r="VSG19" s="64"/>
      <c r="VSH19" s="64"/>
      <c r="VSI19" s="64"/>
      <c r="VSJ19" s="64"/>
      <c r="VSK19" s="64"/>
      <c r="VSL19" s="64"/>
      <c r="VSM19" s="64"/>
      <c r="VSN19" s="64"/>
      <c r="VSO19" s="64"/>
      <c r="VSP19" s="64"/>
      <c r="VSQ19" s="64"/>
      <c r="VSR19" s="64"/>
      <c r="VSS19" s="64"/>
      <c r="VST19" s="64"/>
      <c r="VSU19" s="64"/>
      <c r="VSV19" s="64"/>
      <c r="VSW19" s="64"/>
      <c r="VSX19" s="64"/>
      <c r="VSY19" s="64"/>
      <c r="VSZ19" s="64"/>
      <c r="VTA19" s="64"/>
      <c r="VTB19" s="64"/>
      <c r="VTC19" s="64"/>
      <c r="VTD19" s="64"/>
      <c r="VTE19" s="64"/>
      <c r="VTF19" s="64"/>
      <c r="VTG19" s="64"/>
      <c r="VTH19" s="64"/>
      <c r="VTI19" s="64"/>
      <c r="VTJ19" s="64"/>
      <c r="VTK19" s="64"/>
      <c r="VTL19" s="64"/>
      <c r="VTM19" s="64"/>
      <c r="VTN19" s="64"/>
      <c r="VTO19" s="64"/>
      <c r="VTP19" s="64"/>
      <c r="VTQ19" s="64"/>
      <c r="VTR19" s="64"/>
      <c r="VTS19" s="64"/>
      <c r="VTT19" s="64"/>
      <c r="VTU19" s="64"/>
      <c r="VTV19" s="64"/>
      <c r="VTW19" s="64"/>
      <c r="VTX19" s="64"/>
      <c r="VTY19" s="64"/>
      <c r="VTZ19" s="64"/>
      <c r="VUA19" s="64"/>
      <c r="VUB19" s="64"/>
      <c r="VUC19" s="64"/>
      <c r="VUD19" s="64"/>
      <c r="VUE19" s="64"/>
      <c r="VUF19" s="64"/>
      <c r="VUG19" s="64"/>
      <c r="VUH19" s="64"/>
      <c r="VUI19" s="64"/>
      <c r="VUJ19" s="64"/>
      <c r="VUK19" s="64"/>
      <c r="VUL19" s="64"/>
      <c r="VUM19" s="64"/>
      <c r="VUN19" s="64"/>
      <c r="VUO19" s="64"/>
      <c r="VUP19" s="64"/>
      <c r="VUQ19" s="64"/>
      <c r="VUR19" s="64"/>
      <c r="VUS19" s="64"/>
      <c r="VUT19" s="64"/>
      <c r="VUU19" s="64"/>
      <c r="VUV19" s="64"/>
      <c r="VUW19" s="64"/>
      <c r="VUX19" s="64"/>
      <c r="VUY19" s="64"/>
      <c r="VUZ19" s="64"/>
      <c r="VVA19" s="64"/>
      <c r="VVB19" s="64"/>
      <c r="VVC19" s="64"/>
      <c r="VVD19" s="64"/>
      <c r="VVE19" s="64"/>
      <c r="VVF19" s="64"/>
      <c r="VVG19" s="64"/>
      <c r="VVH19" s="64"/>
      <c r="VVI19" s="64"/>
      <c r="VVJ19" s="64"/>
      <c r="VVK19" s="64"/>
      <c r="VVL19" s="64"/>
      <c r="VVM19" s="64"/>
      <c r="VVN19" s="64"/>
      <c r="VVO19" s="64"/>
      <c r="VVP19" s="64"/>
      <c r="VVQ19" s="64"/>
      <c r="VVR19" s="64"/>
      <c r="VVS19" s="64"/>
      <c r="VVT19" s="64"/>
      <c r="VVU19" s="64"/>
      <c r="VVV19" s="64"/>
      <c r="VVW19" s="64"/>
      <c r="VVX19" s="64"/>
      <c r="VVY19" s="64"/>
      <c r="VVZ19" s="64"/>
      <c r="VWA19" s="64"/>
      <c r="VWB19" s="64"/>
      <c r="VWC19" s="64"/>
      <c r="VWD19" s="64"/>
      <c r="VWE19" s="64"/>
      <c r="VWF19" s="64"/>
      <c r="VWG19" s="64"/>
      <c r="VWH19" s="64"/>
      <c r="VWI19" s="64"/>
      <c r="VWJ19" s="64"/>
      <c r="VWK19" s="64"/>
      <c r="VWL19" s="64"/>
      <c r="VWM19" s="64"/>
      <c r="VWN19" s="64"/>
      <c r="VWO19" s="64"/>
      <c r="VWP19" s="64"/>
      <c r="VWQ19" s="64"/>
      <c r="VWR19" s="64"/>
      <c r="VWS19" s="64"/>
      <c r="VWT19" s="64"/>
      <c r="VWU19" s="64"/>
      <c r="VWV19" s="64"/>
      <c r="VWW19" s="64"/>
      <c r="VWX19" s="64"/>
      <c r="VWY19" s="64"/>
      <c r="VWZ19" s="64"/>
      <c r="VXA19" s="64"/>
      <c r="VXB19" s="64"/>
      <c r="VXC19" s="64"/>
      <c r="VXD19" s="64"/>
      <c r="VXE19" s="64"/>
      <c r="VXF19" s="64"/>
      <c r="VXG19" s="64"/>
      <c r="VXH19" s="64"/>
      <c r="VXI19" s="64"/>
      <c r="VXJ19" s="64"/>
      <c r="VXK19" s="64"/>
      <c r="VXL19" s="64"/>
      <c r="VXM19" s="64"/>
      <c r="VXN19" s="64"/>
      <c r="VXO19" s="64"/>
      <c r="VXP19" s="64"/>
      <c r="VXQ19" s="64"/>
      <c r="VXR19" s="64"/>
      <c r="VXS19" s="64"/>
      <c r="VXT19" s="64"/>
      <c r="VXU19" s="64"/>
      <c r="VXV19" s="64"/>
      <c r="VXW19" s="64"/>
      <c r="VXX19" s="64"/>
      <c r="VXY19" s="64"/>
      <c r="VXZ19" s="64"/>
      <c r="VYA19" s="64"/>
      <c r="VYB19" s="64"/>
      <c r="VYC19" s="64"/>
      <c r="VYD19" s="64"/>
      <c r="VYE19" s="64"/>
      <c r="VYF19" s="64"/>
      <c r="VYG19" s="64"/>
      <c r="VYH19" s="64"/>
      <c r="VYI19" s="64"/>
      <c r="VYJ19" s="64"/>
      <c r="VYK19" s="64"/>
      <c r="VYL19" s="64"/>
      <c r="VYM19" s="64"/>
      <c r="VYN19" s="64"/>
      <c r="VYO19" s="64"/>
      <c r="VYP19" s="64"/>
      <c r="VYQ19" s="64"/>
      <c r="VYR19" s="64"/>
      <c r="VYS19" s="64"/>
      <c r="VYT19" s="64"/>
      <c r="VYU19" s="64"/>
      <c r="VYV19" s="64"/>
      <c r="VYW19" s="64"/>
      <c r="VYX19" s="64"/>
      <c r="VYY19" s="64"/>
      <c r="VYZ19" s="64"/>
      <c r="VZA19" s="64"/>
      <c r="VZB19" s="64"/>
      <c r="VZC19" s="64"/>
      <c r="VZD19" s="64"/>
      <c r="VZE19" s="64"/>
      <c r="VZF19" s="64"/>
      <c r="VZG19" s="64"/>
      <c r="VZH19" s="64"/>
      <c r="VZI19" s="64"/>
      <c r="VZJ19" s="64"/>
      <c r="VZK19" s="64"/>
      <c r="VZL19" s="64"/>
      <c r="VZM19" s="64"/>
      <c r="VZN19" s="64"/>
      <c r="VZO19" s="64"/>
      <c r="VZP19" s="64"/>
      <c r="VZQ19" s="64"/>
      <c r="VZR19" s="64"/>
      <c r="VZS19" s="64"/>
      <c r="VZT19" s="64"/>
      <c r="VZU19" s="64"/>
      <c r="VZV19" s="64"/>
      <c r="VZW19" s="64"/>
      <c r="VZX19" s="64"/>
      <c r="VZY19" s="64"/>
      <c r="VZZ19" s="64"/>
      <c r="WAA19" s="64"/>
      <c r="WAB19" s="64"/>
      <c r="WAC19" s="64"/>
      <c r="WAD19" s="64"/>
      <c r="WAE19" s="64"/>
      <c r="WAF19" s="64"/>
      <c r="WAG19" s="64"/>
      <c r="WAH19" s="64"/>
      <c r="WAI19" s="64"/>
      <c r="WAJ19" s="64"/>
      <c r="WAK19" s="64"/>
      <c r="WAL19" s="64"/>
      <c r="WAM19" s="64"/>
      <c r="WAN19" s="64"/>
      <c r="WAO19" s="64"/>
      <c r="WAP19" s="64"/>
      <c r="WAQ19" s="64"/>
      <c r="WAR19" s="64"/>
      <c r="WAS19" s="64"/>
      <c r="WAT19" s="64"/>
      <c r="WAU19" s="64"/>
      <c r="WAV19" s="64"/>
      <c r="WAW19" s="64"/>
      <c r="WAX19" s="64"/>
      <c r="WAY19" s="64"/>
      <c r="WAZ19" s="64"/>
      <c r="WBA19" s="64"/>
      <c r="WBB19" s="64"/>
      <c r="WBC19" s="64"/>
      <c r="WBD19" s="64"/>
      <c r="WBE19" s="64"/>
      <c r="WBF19" s="64"/>
      <c r="WBG19" s="64"/>
      <c r="WBH19" s="64"/>
      <c r="WBI19" s="64"/>
      <c r="WBJ19" s="64"/>
      <c r="WBK19" s="64"/>
      <c r="WBL19" s="64"/>
      <c r="WBM19" s="64"/>
      <c r="WBN19" s="64"/>
      <c r="WBO19" s="64"/>
      <c r="WBP19" s="64"/>
      <c r="WBQ19" s="64"/>
      <c r="WBR19" s="64"/>
      <c r="WBS19" s="64"/>
      <c r="WBT19" s="64"/>
      <c r="WBU19" s="64"/>
      <c r="WBV19" s="64"/>
      <c r="WBW19" s="64"/>
      <c r="WBX19" s="64"/>
      <c r="WBY19" s="64"/>
      <c r="WBZ19" s="64"/>
      <c r="WCA19" s="64"/>
      <c r="WCB19" s="64"/>
      <c r="WCC19" s="64"/>
      <c r="WCD19" s="64"/>
      <c r="WCE19" s="64"/>
      <c r="WCF19" s="64"/>
      <c r="WCG19" s="64"/>
      <c r="WCH19" s="64"/>
      <c r="WCI19" s="64"/>
      <c r="WCJ19" s="64"/>
      <c r="WCK19" s="64"/>
      <c r="WCL19" s="64"/>
      <c r="WCM19" s="64"/>
      <c r="WCN19" s="64"/>
      <c r="WCO19" s="64"/>
      <c r="WCP19" s="64"/>
      <c r="WCQ19" s="64"/>
      <c r="WCR19" s="64"/>
      <c r="WCS19" s="64"/>
      <c r="WCT19" s="64"/>
      <c r="WCU19" s="64"/>
      <c r="WCV19" s="64"/>
      <c r="WCW19" s="64"/>
      <c r="WCX19" s="64"/>
      <c r="WCY19" s="64"/>
      <c r="WCZ19" s="64"/>
      <c r="WDA19" s="64"/>
      <c r="WDB19" s="64"/>
      <c r="WDC19" s="64"/>
      <c r="WDD19" s="64"/>
      <c r="WDE19" s="64"/>
      <c r="WDF19" s="64"/>
      <c r="WDG19" s="64"/>
      <c r="WDH19" s="64"/>
      <c r="WDI19" s="64"/>
      <c r="WDJ19" s="64"/>
      <c r="WDK19" s="64"/>
      <c r="WDL19" s="64"/>
      <c r="WDM19" s="64"/>
      <c r="WDN19" s="64"/>
      <c r="WDO19" s="64"/>
      <c r="WDP19" s="64"/>
      <c r="WDQ19" s="64"/>
      <c r="WDR19" s="64"/>
      <c r="WDS19" s="64"/>
      <c r="WDT19" s="64"/>
      <c r="WDU19" s="64"/>
      <c r="WDV19" s="64"/>
      <c r="WDW19" s="64"/>
      <c r="WDX19" s="64"/>
      <c r="WDY19" s="64"/>
      <c r="WDZ19" s="64"/>
      <c r="WEA19" s="64"/>
      <c r="WEB19" s="64"/>
      <c r="WEC19" s="64"/>
      <c r="WED19" s="64"/>
      <c r="WEE19" s="64"/>
      <c r="WEF19" s="64"/>
      <c r="WEG19" s="64"/>
      <c r="WEH19" s="64"/>
      <c r="WEI19" s="64"/>
      <c r="WEJ19" s="64"/>
      <c r="WEK19" s="64"/>
      <c r="WEL19" s="64"/>
      <c r="WEM19" s="64"/>
      <c r="WEN19" s="64"/>
      <c r="WEO19" s="64"/>
      <c r="WEP19" s="64"/>
      <c r="WEQ19" s="64"/>
      <c r="WER19" s="64"/>
      <c r="WES19" s="64"/>
      <c r="WET19" s="64"/>
      <c r="WEU19" s="64"/>
      <c r="WEV19" s="64"/>
      <c r="WEW19" s="64"/>
      <c r="WEX19" s="64"/>
      <c r="WEY19" s="64"/>
      <c r="WEZ19" s="64"/>
      <c r="WFA19" s="64"/>
      <c r="WFB19" s="64"/>
      <c r="WFC19" s="64"/>
      <c r="WFD19" s="64"/>
      <c r="WFE19" s="64"/>
      <c r="WFF19" s="64"/>
      <c r="WFG19" s="64"/>
      <c r="WFH19" s="64"/>
      <c r="WFI19" s="64"/>
      <c r="WFJ19" s="64"/>
      <c r="WFK19" s="64"/>
      <c r="WFL19" s="64"/>
      <c r="WFM19" s="64"/>
      <c r="WFN19" s="64"/>
      <c r="WFO19" s="64"/>
      <c r="WFP19" s="64"/>
      <c r="WFQ19" s="64"/>
      <c r="WFR19" s="64"/>
      <c r="WFS19" s="64"/>
      <c r="WFT19" s="64"/>
      <c r="WFU19" s="64"/>
      <c r="WFV19" s="64"/>
      <c r="WFW19" s="64"/>
      <c r="WFX19" s="64"/>
      <c r="WFY19" s="64"/>
      <c r="WFZ19" s="64"/>
      <c r="WGA19" s="64"/>
      <c r="WGB19" s="64"/>
      <c r="WGC19" s="64"/>
      <c r="WGD19" s="64"/>
      <c r="WGE19" s="64"/>
      <c r="WGF19" s="64"/>
      <c r="WGG19" s="64"/>
      <c r="WGH19" s="64"/>
      <c r="WGI19" s="64"/>
      <c r="WGJ19" s="64"/>
      <c r="WGK19" s="64"/>
      <c r="WGL19" s="64"/>
      <c r="WGM19" s="64"/>
      <c r="WGN19" s="64"/>
      <c r="WGO19" s="64"/>
      <c r="WGP19" s="64"/>
      <c r="WGQ19" s="64"/>
      <c r="WGR19" s="64"/>
      <c r="WGS19" s="64"/>
      <c r="WGT19" s="64"/>
      <c r="WGU19" s="64"/>
      <c r="WGV19" s="64"/>
      <c r="WGW19" s="64"/>
      <c r="WGX19" s="64"/>
      <c r="WGY19" s="64"/>
      <c r="WGZ19" s="64"/>
      <c r="WHA19" s="64"/>
      <c r="WHB19" s="64"/>
      <c r="WHC19" s="64"/>
      <c r="WHD19" s="64"/>
      <c r="WHE19" s="64"/>
      <c r="WHF19" s="64"/>
      <c r="WHG19" s="64"/>
      <c r="WHH19" s="64"/>
      <c r="WHI19" s="64"/>
      <c r="WHJ19" s="64"/>
      <c r="WHK19" s="64"/>
      <c r="WHL19" s="64"/>
      <c r="WHM19" s="64"/>
      <c r="WHN19" s="64"/>
      <c r="WHO19" s="64"/>
      <c r="WHP19" s="64"/>
      <c r="WHQ19" s="64"/>
      <c r="WHR19" s="64"/>
      <c r="WHS19" s="64"/>
      <c r="WHT19" s="64"/>
      <c r="WHU19" s="64"/>
      <c r="WHV19" s="64"/>
      <c r="WHW19" s="64"/>
      <c r="WHX19" s="64"/>
      <c r="WHY19" s="64"/>
      <c r="WHZ19" s="64"/>
      <c r="WIA19" s="64"/>
      <c r="WIB19" s="64"/>
      <c r="WIC19" s="64"/>
      <c r="WID19" s="64"/>
      <c r="WIE19" s="64"/>
      <c r="WIF19" s="64"/>
      <c r="WIG19" s="64"/>
      <c r="WIH19" s="64"/>
      <c r="WII19" s="64"/>
      <c r="WIJ19" s="64"/>
      <c r="WIK19" s="64"/>
      <c r="WIL19" s="64"/>
      <c r="WIM19" s="64"/>
      <c r="WIN19" s="64"/>
      <c r="WIO19" s="64"/>
      <c r="WIP19" s="64"/>
      <c r="WIQ19" s="64"/>
      <c r="WIR19" s="64"/>
      <c r="WIS19" s="64"/>
      <c r="WIT19" s="64"/>
      <c r="WIU19" s="64"/>
      <c r="WIV19" s="64"/>
      <c r="WIW19" s="64"/>
      <c r="WIX19" s="64"/>
      <c r="WIY19" s="64"/>
      <c r="WIZ19" s="64"/>
      <c r="WJA19" s="64"/>
      <c r="WJB19" s="64"/>
      <c r="WJC19" s="64"/>
      <c r="WJD19" s="64"/>
      <c r="WJE19" s="64"/>
      <c r="WJF19" s="64"/>
      <c r="WJG19" s="64"/>
      <c r="WJH19" s="64"/>
      <c r="WJI19" s="64"/>
      <c r="WJJ19" s="64"/>
      <c r="WJK19" s="64"/>
      <c r="WJL19" s="64"/>
      <c r="WJM19" s="64"/>
      <c r="WJN19" s="64"/>
      <c r="WJO19" s="64"/>
      <c r="WJP19" s="64"/>
      <c r="WJQ19" s="64"/>
      <c r="WJR19" s="64"/>
      <c r="WJS19" s="64"/>
      <c r="WJT19" s="64"/>
      <c r="WJU19" s="64"/>
      <c r="WJV19" s="64"/>
      <c r="WJW19" s="64"/>
      <c r="WJX19" s="64"/>
      <c r="WJY19" s="64"/>
      <c r="WJZ19" s="64"/>
      <c r="WKA19" s="64"/>
      <c r="WKB19" s="64"/>
      <c r="WKC19" s="64"/>
      <c r="WKD19" s="64"/>
      <c r="WKE19" s="64"/>
      <c r="WKF19" s="64"/>
      <c r="WKG19" s="64"/>
      <c r="WKH19" s="64"/>
      <c r="WKI19" s="64"/>
      <c r="WKJ19" s="64"/>
      <c r="WKK19" s="64"/>
      <c r="WKL19" s="64"/>
      <c r="WKM19" s="64"/>
      <c r="WKN19" s="64"/>
      <c r="WKO19" s="64"/>
      <c r="WKP19" s="64"/>
      <c r="WKQ19" s="64"/>
      <c r="WKR19" s="64"/>
      <c r="WKS19" s="64"/>
      <c r="WKT19" s="64"/>
      <c r="WKU19" s="64"/>
      <c r="WKV19" s="64"/>
      <c r="WKW19" s="64"/>
      <c r="WKX19" s="64"/>
      <c r="WKY19" s="64"/>
      <c r="WKZ19" s="64"/>
      <c r="WLA19" s="64"/>
      <c r="WLB19" s="64"/>
      <c r="WLC19" s="64"/>
      <c r="WLD19" s="64"/>
      <c r="WLE19" s="64"/>
      <c r="WLF19" s="64"/>
      <c r="WLG19" s="64"/>
      <c r="WLH19" s="64"/>
      <c r="WLI19" s="64"/>
      <c r="WLJ19" s="64"/>
      <c r="WLK19" s="64"/>
      <c r="WLL19" s="64"/>
      <c r="WLM19" s="64"/>
      <c r="WLN19" s="64"/>
      <c r="WLO19" s="64"/>
      <c r="WLP19" s="64"/>
      <c r="WLQ19" s="64"/>
      <c r="WLR19" s="64"/>
      <c r="WLS19" s="64"/>
      <c r="WLT19" s="64"/>
      <c r="WLU19" s="64"/>
      <c r="WLV19" s="64"/>
      <c r="WLW19" s="64"/>
      <c r="WLX19" s="64"/>
      <c r="WLY19" s="64"/>
      <c r="WLZ19" s="64"/>
      <c r="WMA19" s="64"/>
      <c r="WMB19" s="64"/>
      <c r="WMC19" s="64"/>
      <c r="WMD19" s="64"/>
      <c r="WME19" s="64"/>
      <c r="WMF19" s="64"/>
      <c r="WMG19" s="64"/>
      <c r="WMH19" s="64"/>
      <c r="WMI19" s="64"/>
      <c r="WMJ19" s="64"/>
      <c r="WMK19" s="64"/>
      <c r="WML19" s="64"/>
      <c r="WMM19" s="64"/>
      <c r="WMN19" s="64"/>
      <c r="WMO19" s="64"/>
      <c r="WMP19" s="64"/>
      <c r="WMQ19" s="64"/>
      <c r="WMR19" s="64"/>
      <c r="WMS19" s="64"/>
      <c r="WMT19" s="64"/>
      <c r="WMU19" s="64"/>
      <c r="WMV19" s="64"/>
      <c r="WMW19" s="64"/>
      <c r="WMX19" s="64"/>
      <c r="WMY19" s="64"/>
      <c r="WMZ19" s="64"/>
      <c r="WNA19" s="64"/>
      <c r="WNB19" s="64"/>
      <c r="WNC19" s="64"/>
      <c r="WND19" s="64"/>
      <c r="WNE19" s="64"/>
      <c r="WNF19" s="64"/>
      <c r="WNG19" s="64"/>
      <c r="WNH19" s="64"/>
      <c r="WNI19" s="64"/>
      <c r="WNJ19" s="64"/>
      <c r="WNK19" s="64"/>
      <c r="WNL19" s="64"/>
      <c r="WNM19" s="64"/>
      <c r="WNN19" s="64"/>
      <c r="WNO19" s="64"/>
      <c r="WNP19" s="64"/>
      <c r="WNQ19" s="64"/>
      <c r="WNR19" s="64"/>
      <c r="WNS19" s="64"/>
      <c r="WNT19" s="64"/>
      <c r="WNU19" s="64"/>
      <c r="WNV19" s="64"/>
      <c r="WNW19" s="64"/>
      <c r="WNX19" s="64"/>
      <c r="WNY19" s="64"/>
      <c r="WNZ19" s="64"/>
      <c r="WOA19" s="64"/>
      <c r="WOB19" s="64"/>
      <c r="WOC19" s="64"/>
      <c r="WOD19" s="64"/>
      <c r="WOE19" s="64"/>
      <c r="WOF19" s="64"/>
      <c r="WOG19" s="64"/>
      <c r="WOH19" s="64"/>
      <c r="WOI19" s="64"/>
      <c r="WOJ19" s="64"/>
      <c r="WOK19" s="64"/>
      <c r="WOL19" s="64"/>
      <c r="WOM19" s="64"/>
      <c r="WON19" s="64"/>
      <c r="WOO19" s="64"/>
      <c r="WOP19" s="64"/>
      <c r="WOQ19" s="64"/>
      <c r="WOR19" s="64"/>
      <c r="WOS19" s="64"/>
      <c r="WOT19" s="64"/>
      <c r="WOU19" s="64"/>
      <c r="WOV19" s="64"/>
      <c r="WOW19" s="64"/>
      <c r="WOX19" s="64"/>
      <c r="WOY19" s="64"/>
      <c r="WOZ19" s="64"/>
      <c r="WPA19" s="64"/>
      <c r="WPB19" s="64"/>
      <c r="WPC19" s="64"/>
      <c r="WPD19" s="64"/>
      <c r="WPE19" s="64"/>
      <c r="WPF19" s="64"/>
      <c r="WPG19" s="64"/>
      <c r="WPH19" s="64"/>
      <c r="WPI19" s="64"/>
      <c r="WPJ19" s="64"/>
      <c r="WPK19" s="64"/>
      <c r="WPL19" s="64"/>
      <c r="WPM19" s="64"/>
      <c r="WPN19" s="64"/>
      <c r="WPO19" s="64"/>
      <c r="WPP19" s="64"/>
      <c r="WPQ19" s="64"/>
      <c r="WPR19" s="64"/>
      <c r="WPS19" s="64"/>
      <c r="WPT19" s="64"/>
      <c r="WPU19" s="64"/>
      <c r="WPV19" s="64"/>
      <c r="WPW19" s="64"/>
      <c r="WPX19" s="64"/>
      <c r="WPY19" s="64"/>
      <c r="WPZ19" s="64"/>
      <c r="WQA19" s="64"/>
      <c r="WQB19" s="64"/>
      <c r="WQC19" s="64"/>
      <c r="WQD19" s="64"/>
      <c r="WQE19" s="64"/>
      <c r="WQF19" s="64"/>
      <c r="WQG19" s="64"/>
      <c r="WQH19" s="64"/>
      <c r="WQI19" s="64"/>
      <c r="WQJ19" s="64"/>
      <c r="WQK19" s="64"/>
      <c r="WQL19" s="64"/>
      <c r="WQM19" s="64"/>
      <c r="WQN19" s="64"/>
      <c r="WQO19" s="64"/>
      <c r="WQP19" s="64"/>
      <c r="WQQ19" s="64"/>
      <c r="WQR19" s="64"/>
      <c r="WQS19" s="64"/>
      <c r="WQT19" s="64"/>
      <c r="WQU19" s="64"/>
      <c r="WQV19" s="64"/>
      <c r="WQW19" s="64"/>
      <c r="WQX19" s="64"/>
      <c r="WQY19" s="64"/>
      <c r="WQZ19" s="64"/>
      <c r="WRA19" s="64"/>
      <c r="WRB19" s="64"/>
      <c r="WRC19" s="64"/>
      <c r="WRD19" s="64"/>
      <c r="WRE19" s="64"/>
      <c r="WRF19" s="64"/>
      <c r="WRG19" s="64"/>
      <c r="WRH19" s="64"/>
      <c r="WRI19" s="64"/>
      <c r="WRJ19" s="64"/>
      <c r="WRK19" s="64"/>
      <c r="WRL19" s="64"/>
      <c r="WRM19" s="64"/>
      <c r="WRN19" s="64"/>
      <c r="WRO19" s="64"/>
      <c r="WRP19" s="64"/>
      <c r="WRQ19" s="64"/>
      <c r="WRR19" s="64"/>
      <c r="WRS19" s="64"/>
      <c r="WRT19" s="64"/>
      <c r="WRU19" s="64"/>
      <c r="WRV19" s="64"/>
      <c r="WRW19" s="64"/>
      <c r="WRX19" s="64"/>
      <c r="WRY19" s="64"/>
      <c r="WRZ19" s="64"/>
      <c r="WSA19" s="64"/>
      <c r="WSB19" s="64"/>
      <c r="WSC19" s="64"/>
      <c r="WSD19" s="64"/>
      <c r="WSE19" s="64"/>
      <c r="WSF19" s="64"/>
      <c r="WSG19" s="64"/>
      <c r="WSH19" s="64"/>
      <c r="WSI19" s="64"/>
      <c r="WSJ19" s="64"/>
      <c r="WSK19" s="64"/>
      <c r="WSL19" s="64"/>
      <c r="WSM19" s="64"/>
      <c r="WSN19" s="64"/>
      <c r="WSO19" s="64"/>
      <c r="WSP19" s="64"/>
      <c r="WSQ19" s="64"/>
      <c r="WSR19" s="64"/>
      <c r="WSS19" s="64"/>
      <c r="WST19" s="64"/>
      <c r="WSU19" s="64"/>
      <c r="WSV19" s="64"/>
      <c r="WSW19" s="64"/>
      <c r="WSX19" s="64"/>
      <c r="WSY19" s="64"/>
      <c r="WSZ19" s="64"/>
      <c r="WTA19" s="64"/>
      <c r="WTB19" s="64"/>
      <c r="WTC19" s="64"/>
      <c r="WTD19" s="64"/>
      <c r="WTE19" s="64"/>
      <c r="WTF19" s="64"/>
      <c r="WTG19" s="64"/>
      <c r="WTH19" s="64"/>
      <c r="WTI19" s="64"/>
      <c r="WTJ19" s="64"/>
      <c r="WTK19" s="64"/>
      <c r="WTL19" s="64"/>
      <c r="WTM19" s="64"/>
      <c r="WTN19" s="64"/>
      <c r="WTO19" s="64"/>
      <c r="WTP19" s="64"/>
      <c r="WTQ19" s="64"/>
      <c r="WTR19" s="64"/>
      <c r="WTS19" s="64"/>
      <c r="WTT19" s="64"/>
      <c r="WTU19" s="64"/>
      <c r="WTV19" s="64"/>
      <c r="WTW19" s="64"/>
      <c r="WTX19" s="64"/>
      <c r="WTY19" s="64"/>
      <c r="WTZ19" s="64"/>
      <c r="WUA19" s="64"/>
      <c r="WUB19" s="64"/>
      <c r="WUC19" s="64"/>
      <c r="WUD19" s="64"/>
      <c r="WUE19" s="64"/>
      <c r="WUF19" s="64"/>
      <c r="WUG19" s="64"/>
      <c r="WUH19" s="64"/>
      <c r="WUI19" s="64"/>
      <c r="WUJ19" s="64"/>
      <c r="WUK19" s="64"/>
      <c r="WUL19" s="64"/>
      <c r="WUM19" s="64"/>
      <c r="WUN19" s="64"/>
      <c r="WUO19" s="64"/>
      <c r="WUP19" s="64"/>
      <c r="WUQ19" s="64"/>
      <c r="WUR19" s="64"/>
      <c r="WUS19" s="64"/>
      <c r="WUT19" s="64"/>
      <c r="WUU19" s="64"/>
      <c r="WUV19" s="64"/>
      <c r="WUW19" s="64"/>
      <c r="WUX19" s="64"/>
      <c r="WUY19" s="64"/>
      <c r="WUZ19" s="64"/>
      <c r="WVA19" s="64"/>
      <c r="WVB19" s="64"/>
      <c r="WVC19" s="64"/>
      <c r="WVD19" s="64"/>
      <c r="WVE19" s="64"/>
      <c r="WVF19" s="64"/>
      <c r="WVG19" s="64"/>
      <c r="WVH19" s="64"/>
      <c r="WVI19" s="64"/>
      <c r="WVJ19" s="64"/>
      <c r="WVK19" s="64"/>
      <c r="WVL19" s="64"/>
      <c r="WVM19" s="64"/>
      <c r="WVN19" s="64"/>
      <c r="WVO19" s="64"/>
      <c r="WVP19" s="64"/>
      <c r="WVQ19" s="64"/>
      <c r="WVR19" s="64"/>
      <c r="WVS19" s="64"/>
      <c r="WVT19" s="64"/>
      <c r="WVU19" s="64"/>
      <c r="WVV19" s="64"/>
      <c r="WVW19" s="64"/>
      <c r="WVX19" s="64"/>
      <c r="WVY19" s="64"/>
      <c r="WVZ19" s="64"/>
      <c r="WWA19" s="64"/>
      <c r="WWB19" s="64"/>
      <c r="WWC19" s="64"/>
      <c r="WWD19" s="64"/>
      <c r="WWE19" s="64"/>
      <c r="WWF19" s="64"/>
      <c r="WWG19" s="64"/>
      <c r="WWH19" s="64"/>
      <c r="WWI19" s="64"/>
      <c r="WWJ19" s="64"/>
      <c r="WWK19" s="64"/>
      <c r="WWL19" s="64"/>
      <c r="WWM19" s="64"/>
      <c r="WWN19" s="64"/>
      <c r="WWO19" s="64"/>
      <c r="WWP19" s="64"/>
      <c r="WWQ19" s="64"/>
      <c r="WWR19" s="64"/>
      <c r="WWS19" s="64"/>
      <c r="WWT19" s="64"/>
      <c r="WWU19" s="64"/>
      <c r="WWV19" s="64"/>
      <c r="WWW19" s="64"/>
      <c r="WWX19" s="64"/>
      <c r="WWY19" s="64"/>
      <c r="WWZ19" s="64"/>
      <c r="WXA19" s="64"/>
      <c r="WXB19" s="64"/>
      <c r="WXC19" s="64"/>
      <c r="WXD19" s="64"/>
      <c r="WXE19" s="64"/>
      <c r="WXF19" s="64"/>
      <c r="WXG19" s="64"/>
      <c r="WXH19" s="64"/>
      <c r="WXI19" s="64"/>
      <c r="WXJ19" s="64"/>
      <c r="WXK19" s="64"/>
      <c r="WXL19" s="64"/>
      <c r="WXM19" s="64"/>
      <c r="WXN19" s="64"/>
      <c r="WXO19" s="64"/>
      <c r="WXP19" s="64"/>
      <c r="WXQ19" s="64"/>
      <c r="WXR19" s="64"/>
      <c r="WXS19" s="64"/>
      <c r="WXT19" s="64"/>
      <c r="WXU19" s="64"/>
      <c r="WXV19" s="64"/>
      <c r="WXW19" s="64"/>
      <c r="WXX19" s="64"/>
      <c r="WXY19" s="64"/>
      <c r="WXZ19" s="64"/>
      <c r="WYA19" s="64"/>
      <c r="WYB19" s="64"/>
      <c r="WYC19" s="64"/>
      <c r="WYD19" s="64"/>
      <c r="WYE19" s="64"/>
      <c r="WYF19" s="64"/>
      <c r="WYG19" s="64"/>
      <c r="WYH19" s="64"/>
      <c r="WYI19" s="64"/>
      <c r="WYJ19" s="64"/>
      <c r="WYK19" s="64"/>
      <c r="WYL19" s="64"/>
      <c r="WYM19" s="64"/>
      <c r="WYN19" s="64"/>
      <c r="WYO19" s="64"/>
      <c r="WYP19" s="64"/>
      <c r="WYQ19" s="64"/>
      <c r="WYR19" s="64"/>
      <c r="WYS19" s="64"/>
      <c r="WYT19" s="64"/>
      <c r="WYU19" s="64"/>
      <c r="WYV19" s="64"/>
      <c r="WYW19" s="64"/>
      <c r="WYX19" s="64"/>
      <c r="WYY19" s="64"/>
      <c r="WYZ19" s="64"/>
      <c r="WZA19" s="64"/>
      <c r="WZB19" s="64"/>
      <c r="WZC19" s="64"/>
      <c r="WZD19" s="64"/>
      <c r="WZE19" s="64"/>
      <c r="WZF19" s="64"/>
      <c r="WZG19" s="64"/>
      <c r="WZH19" s="64"/>
      <c r="WZI19" s="64"/>
      <c r="WZJ19" s="64"/>
      <c r="WZK19" s="64"/>
      <c r="WZL19" s="64"/>
      <c r="WZM19" s="64"/>
      <c r="WZN19" s="64"/>
      <c r="WZO19" s="64"/>
      <c r="WZP19" s="64"/>
      <c r="WZQ19" s="64"/>
      <c r="WZR19" s="64"/>
      <c r="WZS19" s="64"/>
      <c r="WZT19" s="64"/>
      <c r="WZU19" s="64"/>
      <c r="WZV19" s="64"/>
      <c r="WZW19" s="64"/>
      <c r="WZX19" s="64"/>
      <c r="WZY19" s="64"/>
      <c r="WZZ19" s="64"/>
      <c r="XAA19" s="64"/>
      <c r="XAB19" s="64"/>
      <c r="XAC19" s="64"/>
      <c r="XAD19" s="64"/>
      <c r="XAE19" s="64"/>
      <c r="XAF19" s="64"/>
      <c r="XAG19" s="64"/>
      <c r="XAH19" s="64"/>
      <c r="XAI19" s="64"/>
      <c r="XAJ19" s="64"/>
      <c r="XAK19" s="64"/>
      <c r="XAL19" s="64"/>
      <c r="XAM19" s="64"/>
      <c r="XAN19" s="64"/>
      <c r="XAO19" s="64"/>
      <c r="XAP19" s="64"/>
      <c r="XAQ19" s="64"/>
      <c r="XAR19" s="64"/>
      <c r="XAS19" s="64"/>
      <c r="XAT19" s="64"/>
      <c r="XAU19" s="64"/>
      <c r="XAV19" s="64"/>
      <c r="XAW19" s="64"/>
      <c r="XAX19" s="64"/>
      <c r="XAY19" s="64"/>
      <c r="XAZ19" s="64"/>
      <c r="XBA19" s="64"/>
      <c r="XBB19" s="64"/>
      <c r="XBC19" s="64"/>
      <c r="XBD19" s="64"/>
      <c r="XBE19" s="64"/>
      <c r="XBF19" s="64"/>
      <c r="XBG19" s="64"/>
      <c r="XBH19" s="64"/>
      <c r="XBI19" s="64"/>
      <c r="XBJ19" s="64"/>
      <c r="XBK19" s="64"/>
      <c r="XBL19" s="64"/>
      <c r="XBM19" s="64"/>
      <c r="XBN19" s="64"/>
      <c r="XBO19" s="64"/>
      <c r="XBP19" s="64"/>
      <c r="XBQ19" s="64"/>
      <c r="XBR19" s="64"/>
      <c r="XBS19" s="64"/>
      <c r="XBT19" s="64"/>
      <c r="XBU19" s="64"/>
      <c r="XBV19" s="64"/>
      <c r="XBW19" s="64"/>
      <c r="XBX19" s="64"/>
      <c r="XBY19" s="64"/>
      <c r="XBZ19" s="64"/>
      <c r="XCA19" s="64"/>
      <c r="XCB19" s="64"/>
      <c r="XCC19" s="64"/>
      <c r="XCD19" s="64"/>
      <c r="XCE19" s="64"/>
      <c r="XCF19" s="64"/>
      <c r="XCG19" s="64"/>
      <c r="XCH19" s="64"/>
      <c r="XCI19" s="64"/>
      <c r="XCJ19" s="64"/>
      <c r="XCK19" s="64"/>
      <c r="XCL19" s="64"/>
      <c r="XCM19" s="64"/>
      <c r="XCN19" s="64"/>
      <c r="XCO19" s="64"/>
      <c r="XCP19" s="64"/>
      <c r="XCQ19" s="64"/>
      <c r="XCR19" s="64"/>
      <c r="XCS19" s="64"/>
      <c r="XCT19" s="64"/>
      <c r="XCU19" s="64"/>
      <c r="XCV19" s="64"/>
      <c r="XCW19" s="64"/>
      <c r="XCX19" s="64"/>
      <c r="XCY19" s="64"/>
      <c r="XCZ19" s="64"/>
      <c r="XDA19" s="64"/>
      <c r="XDB19" s="64"/>
      <c r="XDC19" s="64"/>
      <c r="XDD19" s="64"/>
      <c r="XDE19" s="64"/>
      <c r="XDF19" s="64"/>
      <c r="XDG19" s="64"/>
      <c r="XDH19" s="64"/>
      <c r="XDI19" s="64"/>
      <c r="XDJ19" s="64"/>
      <c r="XDK19" s="64"/>
      <c r="XDL19" s="64"/>
      <c r="XDM19" s="64"/>
      <c r="XDN19" s="64"/>
      <c r="XDO19" s="64"/>
      <c r="XDP19" s="64"/>
      <c r="XDQ19" s="64"/>
      <c r="XDR19" s="64"/>
      <c r="XDS19" s="64"/>
      <c r="XDT19" s="64"/>
      <c r="XDU19" s="64"/>
      <c r="XDV19" s="64"/>
      <c r="XDW19" s="64"/>
      <c r="XDX19" s="64"/>
      <c r="XDY19" s="64"/>
      <c r="XDZ19" s="64"/>
      <c r="XEA19" s="64"/>
      <c r="XEB19" s="64"/>
      <c r="XEC19" s="64"/>
      <c r="XED19" s="64"/>
      <c r="XEE19" s="64"/>
      <c r="XEF19" s="64"/>
      <c r="XEG19" s="64"/>
      <c r="XEH19" s="64"/>
      <c r="XEI19" s="64"/>
      <c r="XEJ19" s="64"/>
      <c r="XEK19" s="64"/>
      <c r="XEL19" s="64"/>
      <c r="XEM19" s="64"/>
      <c r="XEN19" s="64"/>
      <c r="XEO19" s="64"/>
      <c r="XEP19" s="64"/>
      <c r="XEQ19" s="64"/>
      <c r="XER19" s="64"/>
      <c r="XES19" s="64"/>
      <c r="XET19" s="64"/>
      <c r="XEU19" s="64"/>
      <c r="XEV19" s="64"/>
      <c r="XEW19" s="64"/>
      <c r="XEX19" s="64"/>
      <c r="XEY19" s="64"/>
      <c r="XEZ19" s="64"/>
      <c r="XFA19" s="64"/>
      <c r="XFB19" s="64"/>
      <c r="XFC19" s="64"/>
      <c r="XFD19" s="64"/>
    </row>
    <row r="20" spans="1:16384" ht="15" x14ac:dyDescent="0.2">
      <c r="A20" s="203"/>
      <c r="B20" s="26" t="str">
        <f>Cover!$C$9</f>
        <v>Most recent inspections as at 31 December 2019, published by 31 December 2019</v>
      </c>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c r="DZ20" s="204"/>
      <c r="EA20" s="204"/>
      <c r="EB20" s="204"/>
      <c r="EC20" s="204"/>
      <c r="ED20" s="204"/>
      <c r="EE20" s="204"/>
      <c r="EF20" s="204"/>
      <c r="EG20" s="204"/>
      <c r="EH20" s="204"/>
      <c r="EI20" s="204"/>
      <c r="EJ20" s="204"/>
      <c r="EK20" s="204"/>
      <c r="EL20" s="204"/>
      <c r="EM20" s="204"/>
      <c r="EN20" s="204"/>
      <c r="EO20" s="204"/>
      <c r="EP20" s="204"/>
      <c r="EQ20" s="204"/>
      <c r="ER20" s="204"/>
      <c r="ES20" s="204"/>
      <c r="ET20" s="204"/>
      <c r="EU20" s="204"/>
      <c r="EV20" s="204"/>
      <c r="EW20" s="204"/>
      <c r="EX20" s="204"/>
      <c r="EY20" s="204"/>
      <c r="EZ20" s="204"/>
      <c r="FA20" s="204"/>
      <c r="FB20" s="204"/>
      <c r="FC20" s="204"/>
      <c r="FD20" s="204"/>
      <c r="FE20" s="204"/>
      <c r="FF20" s="204"/>
      <c r="FG20" s="204"/>
      <c r="FH20" s="204"/>
      <c r="FI20" s="204"/>
      <c r="FJ20" s="204"/>
      <c r="FK20" s="204"/>
      <c r="FL20" s="204"/>
      <c r="FM20" s="204"/>
      <c r="FN20" s="204"/>
      <c r="FO20" s="204"/>
      <c r="FP20" s="204"/>
      <c r="FQ20" s="204"/>
      <c r="FR20" s="204"/>
      <c r="FS20" s="204"/>
      <c r="FT20" s="204"/>
      <c r="FU20" s="204"/>
      <c r="FV20" s="204"/>
      <c r="FW20" s="204"/>
      <c r="FX20" s="204"/>
      <c r="FY20" s="204"/>
      <c r="FZ20" s="204"/>
      <c r="GA20" s="204"/>
      <c r="GB20" s="204"/>
      <c r="GC20" s="204"/>
      <c r="GD20" s="204"/>
      <c r="GE20" s="204"/>
      <c r="GF20" s="204"/>
      <c r="GG20" s="204"/>
      <c r="GH20" s="204"/>
      <c r="GI20" s="204"/>
      <c r="GJ20" s="204"/>
      <c r="GK20" s="204"/>
      <c r="GL20" s="204"/>
      <c r="GM20" s="204"/>
      <c r="GN20" s="204"/>
      <c r="GO20" s="204"/>
      <c r="GP20" s="204"/>
      <c r="GQ20" s="204"/>
      <c r="GR20" s="204"/>
      <c r="GS20" s="204"/>
      <c r="GT20" s="204"/>
      <c r="GU20" s="204"/>
      <c r="GV20" s="204"/>
      <c r="GW20" s="204"/>
      <c r="GX20" s="204"/>
      <c r="GY20" s="204"/>
      <c r="GZ20" s="204"/>
      <c r="HA20" s="204"/>
      <c r="HB20" s="204"/>
      <c r="HC20" s="204"/>
      <c r="HD20" s="204"/>
      <c r="HE20" s="204"/>
      <c r="HF20" s="204"/>
      <c r="HG20" s="204"/>
      <c r="HH20" s="204"/>
      <c r="HI20" s="204"/>
      <c r="HJ20" s="204"/>
      <c r="HK20" s="204"/>
      <c r="HL20" s="204"/>
      <c r="HM20" s="204"/>
      <c r="HN20" s="204"/>
      <c r="HO20" s="204"/>
      <c r="HP20" s="204"/>
      <c r="HQ20" s="204"/>
      <c r="HR20" s="204"/>
      <c r="HS20" s="204"/>
      <c r="HT20" s="204"/>
      <c r="HU20" s="204"/>
      <c r="HV20" s="204"/>
      <c r="HW20" s="204"/>
      <c r="HX20" s="204"/>
      <c r="HY20" s="204"/>
      <c r="HZ20" s="204"/>
      <c r="IA20" s="204"/>
      <c r="IB20" s="204"/>
      <c r="IC20" s="204"/>
      <c r="ID20" s="204"/>
      <c r="IE20" s="204"/>
      <c r="IF20" s="204"/>
      <c r="IG20" s="204"/>
      <c r="IH20" s="204"/>
      <c r="II20" s="204"/>
      <c r="IJ20" s="204"/>
      <c r="IK20" s="204"/>
      <c r="IL20" s="204"/>
      <c r="IM20" s="204"/>
      <c r="IN20" s="204"/>
      <c r="IO20" s="204"/>
      <c r="IP20" s="204"/>
      <c r="IQ20" s="204"/>
      <c r="IR20" s="204"/>
      <c r="IS20" s="204"/>
      <c r="IT20" s="204"/>
      <c r="IU20" s="204"/>
      <c r="IV20" s="204"/>
      <c r="IW20" s="204"/>
      <c r="IX20" s="204"/>
      <c r="IY20" s="204"/>
      <c r="IZ20" s="204"/>
      <c r="JA20" s="204"/>
      <c r="JB20" s="204"/>
      <c r="JC20" s="204"/>
      <c r="JD20" s="204"/>
      <c r="JE20" s="204"/>
      <c r="JF20" s="204"/>
      <c r="JG20" s="204"/>
      <c r="JH20" s="204"/>
      <c r="JI20" s="204"/>
      <c r="JJ20" s="204"/>
      <c r="JK20" s="204"/>
      <c r="JL20" s="204"/>
      <c r="JM20" s="204"/>
      <c r="JN20" s="204"/>
      <c r="JO20" s="204"/>
      <c r="JP20" s="204"/>
      <c r="JQ20" s="204"/>
      <c r="JR20" s="204"/>
      <c r="JS20" s="204"/>
      <c r="JT20" s="204"/>
      <c r="JU20" s="204"/>
      <c r="JV20" s="204"/>
      <c r="JW20" s="204"/>
      <c r="JX20" s="204"/>
      <c r="JY20" s="204"/>
      <c r="JZ20" s="204"/>
      <c r="KA20" s="204"/>
      <c r="KB20" s="204"/>
      <c r="KC20" s="204"/>
      <c r="KD20" s="204"/>
      <c r="KE20" s="204"/>
      <c r="KF20" s="204"/>
      <c r="KG20" s="204"/>
      <c r="KH20" s="204"/>
      <c r="KI20" s="204"/>
      <c r="KJ20" s="204"/>
      <c r="KK20" s="204"/>
      <c r="KL20" s="204"/>
      <c r="KM20" s="204"/>
      <c r="KN20" s="204"/>
      <c r="KO20" s="204"/>
      <c r="KP20" s="204"/>
      <c r="KQ20" s="204"/>
      <c r="KR20" s="204"/>
      <c r="KS20" s="204"/>
      <c r="KT20" s="204"/>
      <c r="KU20" s="204"/>
      <c r="KV20" s="204"/>
      <c r="KW20" s="204"/>
      <c r="KX20" s="204"/>
      <c r="KY20" s="204"/>
      <c r="KZ20" s="204"/>
      <c r="LA20" s="204"/>
      <c r="LB20" s="204"/>
      <c r="LC20" s="204"/>
      <c r="LD20" s="204"/>
      <c r="LE20" s="204"/>
      <c r="LF20" s="204"/>
      <c r="LG20" s="204"/>
      <c r="LH20" s="204"/>
      <c r="LI20" s="204"/>
      <c r="LJ20" s="204"/>
      <c r="LK20" s="204"/>
      <c r="LL20" s="204"/>
      <c r="LM20" s="204"/>
      <c r="LN20" s="204"/>
      <c r="LO20" s="204"/>
      <c r="LP20" s="204"/>
      <c r="LQ20" s="204"/>
      <c r="LR20" s="204"/>
      <c r="LS20" s="204"/>
      <c r="LT20" s="204"/>
      <c r="LU20" s="204"/>
      <c r="LV20" s="204"/>
      <c r="LW20" s="204"/>
      <c r="LX20" s="204"/>
      <c r="LY20" s="204"/>
      <c r="LZ20" s="204"/>
      <c r="MA20" s="204"/>
      <c r="MB20" s="204"/>
      <c r="MC20" s="204"/>
      <c r="MD20" s="204"/>
      <c r="ME20" s="204"/>
      <c r="MF20" s="204"/>
      <c r="MG20" s="204"/>
      <c r="MH20" s="204"/>
      <c r="MI20" s="204"/>
      <c r="MJ20" s="204"/>
      <c r="MK20" s="204"/>
      <c r="ML20" s="204"/>
      <c r="MM20" s="204"/>
      <c r="MN20" s="204"/>
      <c r="MO20" s="204"/>
      <c r="MP20" s="204"/>
      <c r="MQ20" s="204"/>
      <c r="MR20" s="204"/>
      <c r="MS20" s="204"/>
      <c r="MT20" s="204"/>
      <c r="MU20" s="204"/>
      <c r="MV20" s="204"/>
      <c r="MW20" s="204"/>
      <c r="MX20" s="204"/>
      <c r="MY20" s="204"/>
      <c r="MZ20" s="204"/>
      <c r="NA20" s="204"/>
      <c r="NB20" s="204"/>
      <c r="NC20" s="204"/>
      <c r="ND20" s="204"/>
      <c r="NE20" s="204"/>
      <c r="NF20" s="204"/>
      <c r="NG20" s="204"/>
      <c r="NH20" s="204"/>
      <c r="NI20" s="204"/>
      <c r="NJ20" s="204"/>
      <c r="NK20" s="204"/>
      <c r="NL20" s="204"/>
      <c r="NM20" s="204"/>
      <c r="NN20" s="204"/>
      <c r="NO20" s="204"/>
      <c r="NP20" s="204"/>
      <c r="NQ20" s="204"/>
      <c r="NR20" s="204"/>
      <c r="NS20" s="204"/>
      <c r="NT20" s="204"/>
      <c r="NU20" s="204"/>
      <c r="NV20" s="204"/>
      <c r="NW20" s="204"/>
      <c r="NX20" s="204"/>
      <c r="NY20" s="204"/>
      <c r="NZ20" s="204"/>
      <c r="OA20" s="204"/>
      <c r="OB20" s="204"/>
      <c r="OC20" s="204"/>
      <c r="OD20" s="204"/>
      <c r="OE20" s="204"/>
      <c r="OF20" s="204"/>
      <c r="OG20" s="204"/>
      <c r="OH20" s="204"/>
      <c r="OI20" s="204"/>
      <c r="OJ20" s="204"/>
      <c r="OK20" s="204"/>
      <c r="OL20" s="204"/>
      <c r="OM20" s="204"/>
      <c r="ON20" s="204"/>
      <c r="OO20" s="204"/>
      <c r="OP20" s="204"/>
      <c r="OQ20" s="204"/>
      <c r="OR20" s="204"/>
      <c r="OS20" s="204"/>
      <c r="OT20" s="204"/>
      <c r="OU20" s="204"/>
      <c r="OV20" s="204"/>
      <c r="OW20" s="204"/>
      <c r="OX20" s="204"/>
      <c r="OY20" s="204"/>
      <c r="OZ20" s="204"/>
      <c r="PA20" s="204"/>
      <c r="PB20" s="204"/>
      <c r="PC20" s="204"/>
      <c r="PD20" s="204"/>
      <c r="PE20" s="204"/>
      <c r="PF20" s="204"/>
      <c r="PG20" s="204"/>
      <c r="PH20" s="204"/>
      <c r="PI20" s="204"/>
      <c r="PJ20" s="204"/>
      <c r="PK20" s="204"/>
      <c r="PL20" s="204"/>
      <c r="PM20" s="204"/>
      <c r="PN20" s="204"/>
      <c r="PO20" s="204"/>
      <c r="PP20" s="204"/>
      <c r="PQ20" s="204"/>
      <c r="PR20" s="204"/>
      <c r="PS20" s="204"/>
      <c r="PT20" s="204"/>
      <c r="PU20" s="204"/>
      <c r="PV20" s="204"/>
      <c r="PW20" s="204"/>
      <c r="PX20" s="204"/>
      <c r="PY20" s="204"/>
      <c r="PZ20" s="204"/>
      <c r="QA20" s="204"/>
      <c r="QB20" s="204"/>
      <c r="QC20" s="204"/>
      <c r="QD20" s="204"/>
      <c r="QE20" s="204"/>
      <c r="QF20" s="204"/>
      <c r="QG20" s="204"/>
      <c r="QH20" s="204"/>
      <c r="QI20" s="204"/>
      <c r="QJ20" s="204"/>
      <c r="QK20" s="204"/>
      <c r="QL20" s="204"/>
      <c r="QM20" s="204"/>
      <c r="QN20" s="204"/>
      <c r="QO20" s="204"/>
      <c r="QP20" s="204"/>
      <c r="QQ20" s="204"/>
      <c r="QR20" s="204"/>
      <c r="QS20" s="204"/>
      <c r="QT20" s="204"/>
      <c r="QU20" s="204"/>
      <c r="QV20" s="204"/>
      <c r="QW20" s="204"/>
      <c r="QX20" s="204"/>
      <c r="QY20" s="204"/>
      <c r="QZ20" s="204"/>
      <c r="RA20" s="204"/>
      <c r="RB20" s="204"/>
      <c r="RC20" s="204"/>
      <c r="RD20" s="204"/>
      <c r="RE20" s="204"/>
      <c r="RF20" s="204"/>
      <c r="RG20" s="204"/>
      <c r="RH20" s="204"/>
      <c r="RI20" s="204"/>
      <c r="RJ20" s="204"/>
      <c r="RK20" s="204"/>
      <c r="RL20" s="204"/>
      <c r="RM20" s="204"/>
      <c r="RN20" s="204"/>
      <c r="RO20" s="204"/>
      <c r="RP20" s="204"/>
      <c r="RQ20" s="204"/>
      <c r="RR20" s="204"/>
      <c r="RS20" s="204"/>
      <c r="RT20" s="204"/>
      <c r="RU20" s="204"/>
      <c r="RV20" s="204"/>
      <c r="RW20" s="204"/>
      <c r="RX20" s="204"/>
      <c r="RY20" s="204"/>
      <c r="RZ20" s="204"/>
      <c r="SA20" s="204"/>
      <c r="SB20" s="204"/>
      <c r="SC20" s="204"/>
      <c r="SD20" s="204"/>
      <c r="SE20" s="204"/>
      <c r="SF20" s="204"/>
      <c r="SG20" s="204"/>
      <c r="SH20" s="204"/>
      <c r="SI20" s="204"/>
      <c r="SJ20" s="204"/>
      <c r="SK20" s="204"/>
      <c r="SL20" s="204"/>
      <c r="SM20" s="204"/>
      <c r="SN20" s="204"/>
      <c r="SO20" s="204"/>
      <c r="SP20" s="204"/>
      <c r="SQ20" s="204"/>
      <c r="SR20" s="204"/>
      <c r="SS20" s="204"/>
      <c r="ST20" s="204"/>
      <c r="SU20" s="204"/>
      <c r="SV20" s="204"/>
      <c r="SW20" s="204"/>
      <c r="SX20" s="204"/>
      <c r="SY20" s="204"/>
      <c r="SZ20" s="204"/>
      <c r="TA20" s="204"/>
      <c r="TB20" s="204"/>
      <c r="TC20" s="204"/>
      <c r="TD20" s="204"/>
      <c r="TE20" s="204"/>
      <c r="TF20" s="204"/>
      <c r="TG20" s="204"/>
      <c r="TH20" s="204"/>
      <c r="TI20" s="204"/>
      <c r="TJ20" s="204"/>
      <c r="TK20" s="204"/>
      <c r="TL20" s="204"/>
      <c r="TM20" s="204"/>
      <c r="TN20" s="204"/>
      <c r="TO20" s="204"/>
      <c r="TP20" s="204"/>
      <c r="TQ20" s="204"/>
      <c r="TR20" s="204"/>
      <c r="TS20" s="204"/>
      <c r="TT20" s="204"/>
      <c r="TU20" s="204"/>
      <c r="TV20" s="204"/>
      <c r="TW20" s="204"/>
      <c r="TX20" s="204"/>
      <c r="TY20" s="204"/>
      <c r="TZ20" s="204"/>
      <c r="UA20" s="204"/>
      <c r="UB20" s="204"/>
      <c r="UC20" s="204"/>
      <c r="UD20" s="204"/>
      <c r="UE20" s="204"/>
      <c r="UF20" s="204"/>
      <c r="UG20" s="204"/>
      <c r="UH20" s="204"/>
      <c r="UI20" s="204"/>
      <c r="UJ20" s="204"/>
      <c r="UK20" s="204"/>
      <c r="UL20" s="204"/>
      <c r="UM20" s="204"/>
      <c r="UN20" s="204"/>
      <c r="UO20" s="204"/>
      <c r="UP20" s="204"/>
      <c r="UQ20" s="204"/>
      <c r="UR20" s="204"/>
      <c r="US20" s="204"/>
      <c r="UT20" s="204"/>
      <c r="UU20" s="204"/>
      <c r="UV20" s="204"/>
      <c r="UW20" s="204"/>
      <c r="UX20" s="204"/>
      <c r="UY20" s="204"/>
      <c r="UZ20" s="204"/>
      <c r="VA20" s="204"/>
      <c r="VB20" s="204"/>
      <c r="VC20" s="204"/>
      <c r="VD20" s="204"/>
      <c r="VE20" s="204"/>
      <c r="VF20" s="204"/>
      <c r="VG20" s="204"/>
      <c r="VH20" s="204"/>
      <c r="VI20" s="204"/>
      <c r="VJ20" s="204"/>
      <c r="VK20" s="204"/>
      <c r="VL20" s="204"/>
      <c r="VM20" s="204"/>
      <c r="VN20" s="204"/>
      <c r="VO20" s="204"/>
      <c r="VP20" s="204"/>
      <c r="VQ20" s="204"/>
      <c r="VR20" s="204"/>
      <c r="VS20" s="204"/>
      <c r="VT20" s="204"/>
      <c r="VU20" s="204"/>
      <c r="VV20" s="204"/>
      <c r="VW20" s="204"/>
      <c r="VX20" s="204"/>
      <c r="VY20" s="204"/>
      <c r="VZ20" s="204"/>
      <c r="WA20" s="204"/>
      <c r="WB20" s="204"/>
      <c r="WC20" s="204"/>
      <c r="WD20" s="204"/>
      <c r="WE20" s="204"/>
      <c r="WF20" s="204"/>
      <c r="WG20" s="204"/>
      <c r="WH20" s="204"/>
      <c r="WI20" s="204"/>
      <c r="WJ20" s="204"/>
      <c r="WK20" s="204"/>
      <c r="WL20" s="204"/>
      <c r="WM20" s="204"/>
      <c r="WN20" s="204"/>
      <c r="WO20" s="204"/>
      <c r="WP20" s="204"/>
      <c r="WQ20" s="204"/>
      <c r="WR20" s="204"/>
      <c r="WS20" s="204"/>
      <c r="WT20" s="204"/>
      <c r="WU20" s="204"/>
      <c r="WV20" s="204"/>
      <c r="WW20" s="204"/>
      <c r="WX20" s="204"/>
      <c r="WY20" s="204"/>
      <c r="WZ20" s="204"/>
      <c r="XA20" s="204"/>
      <c r="XB20" s="204"/>
      <c r="XC20" s="204"/>
      <c r="XD20" s="204"/>
      <c r="XE20" s="204"/>
      <c r="XF20" s="204"/>
      <c r="XG20" s="204"/>
      <c r="XH20" s="204"/>
      <c r="XI20" s="204"/>
      <c r="XJ20" s="204"/>
      <c r="XK20" s="204"/>
      <c r="XL20" s="204"/>
      <c r="XM20" s="204"/>
      <c r="XN20" s="204"/>
      <c r="XO20" s="204"/>
      <c r="XP20" s="204"/>
      <c r="XQ20" s="204"/>
      <c r="XR20" s="204"/>
      <c r="XS20" s="204"/>
      <c r="XT20" s="204"/>
      <c r="XU20" s="204"/>
      <c r="XV20" s="204"/>
      <c r="XW20" s="204"/>
      <c r="XX20" s="204"/>
      <c r="XY20" s="204"/>
      <c r="XZ20" s="204"/>
      <c r="YA20" s="204"/>
      <c r="YB20" s="204"/>
      <c r="YC20" s="204"/>
      <c r="YD20" s="204"/>
      <c r="YE20" s="204"/>
      <c r="YF20" s="204"/>
      <c r="YG20" s="204"/>
      <c r="YH20" s="204"/>
      <c r="YI20" s="204"/>
      <c r="YJ20" s="204"/>
      <c r="YK20" s="204"/>
      <c r="YL20" s="204"/>
      <c r="YM20" s="204"/>
      <c r="YN20" s="204"/>
      <c r="YO20" s="204"/>
      <c r="YP20" s="204"/>
      <c r="YQ20" s="204"/>
      <c r="YR20" s="204"/>
      <c r="YS20" s="204"/>
      <c r="YT20" s="204"/>
      <c r="YU20" s="204"/>
      <c r="YV20" s="204"/>
      <c r="YW20" s="204"/>
      <c r="YX20" s="204"/>
      <c r="YY20" s="204"/>
      <c r="YZ20" s="204"/>
      <c r="ZA20" s="204"/>
      <c r="ZB20" s="204"/>
      <c r="ZC20" s="204"/>
      <c r="ZD20" s="204"/>
      <c r="ZE20" s="204"/>
      <c r="ZF20" s="204"/>
      <c r="ZG20" s="204"/>
      <c r="ZH20" s="204"/>
      <c r="ZI20" s="204"/>
      <c r="ZJ20" s="204"/>
      <c r="ZK20" s="204"/>
      <c r="ZL20" s="204"/>
      <c r="ZM20" s="204"/>
      <c r="ZN20" s="204"/>
      <c r="ZO20" s="204"/>
      <c r="ZP20" s="204"/>
      <c r="ZQ20" s="204"/>
      <c r="ZR20" s="204"/>
      <c r="ZS20" s="204"/>
      <c r="ZT20" s="204"/>
      <c r="ZU20" s="204"/>
      <c r="ZV20" s="204"/>
      <c r="ZW20" s="204"/>
      <c r="ZX20" s="204"/>
      <c r="ZY20" s="204"/>
      <c r="ZZ20" s="204"/>
      <c r="AAA20" s="204"/>
      <c r="AAB20" s="204"/>
      <c r="AAC20" s="204"/>
      <c r="AAD20" s="204"/>
      <c r="AAE20" s="204"/>
      <c r="AAF20" s="204"/>
      <c r="AAG20" s="204"/>
      <c r="AAH20" s="204"/>
      <c r="AAI20" s="204"/>
      <c r="AAJ20" s="204"/>
      <c r="AAK20" s="204"/>
      <c r="AAL20" s="204"/>
      <c r="AAM20" s="204"/>
      <c r="AAN20" s="204"/>
      <c r="AAO20" s="204"/>
      <c r="AAP20" s="204"/>
      <c r="AAQ20" s="204"/>
      <c r="AAR20" s="204"/>
      <c r="AAS20" s="204"/>
      <c r="AAT20" s="204"/>
      <c r="AAU20" s="204"/>
      <c r="AAV20" s="204"/>
      <c r="AAW20" s="204"/>
      <c r="AAX20" s="204"/>
      <c r="AAY20" s="204"/>
      <c r="AAZ20" s="204"/>
      <c r="ABA20" s="204"/>
      <c r="ABB20" s="204"/>
      <c r="ABC20" s="204"/>
      <c r="ABD20" s="204"/>
      <c r="ABE20" s="204"/>
      <c r="ABF20" s="204"/>
      <c r="ABG20" s="204"/>
      <c r="ABH20" s="204"/>
      <c r="ABI20" s="204"/>
      <c r="ABJ20" s="204"/>
      <c r="ABK20" s="204"/>
      <c r="ABL20" s="204"/>
      <c r="ABM20" s="204"/>
      <c r="ABN20" s="204"/>
      <c r="ABO20" s="204"/>
      <c r="ABP20" s="204"/>
      <c r="ABQ20" s="204"/>
      <c r="ABR20" s="204"/>
      <c r="ABS20" s="204"/>
      <c r="ABT20" s="204"/>
      <c r="ABU20" s="204"/>
      <c r="ABV20" s="204"/>
      <c r="ABW20" s="204"/>
      <c r="ABX20" s="204"/>
      <c r="ABY20" s="204"/>
      <c r="ABZ20" s="204"/>
      <c r="ACA20" s="204"/>
      <c r="ACB20" s="204"/>
      <c r="ACC20" s="204"/>
      <c r="ACD20" s="204"/>
      <c r="ACE20" s="204"/>
      <c r="ACF20" s="204"/>
      <c r="ACG20" s="204"/>
      <c r="ACH20" s="204"/>
      <c r="ACI20" s="204"/>
      <c r="ACJ20" s="204"/>
      <c r="ACK20" s="204"/>
      <c r="ACL20" s="204"/>
      <c r="ACM20" s="204"/>
      <c r="ACN20" s="204"/>
      <c r="ACO20" s="204"/>
      <c r="ACP20" s="204"/>
      <c r="ACQ20" s="204"/>
      <c r="ACR20" s="204"/>
      <c r="ACS20" s="204"/>
      <c r="ACT20" s="204"/>
      <c r="ACU20" s="204"/>
      <c r="ACV20" s="204"/>
      <c r="ACW20" s="204"/>
      <c r="ACX20" s="204"/>
      <c r="ACY20" s="204"/>
      <c r="ACZ20" s="204"/>
      <c r="ADA20" s="204"/>
      <c r="ADB20" s="204"/>
      <c r="ADC20" s="204"/>
      <c r="ADD20" s="204"/>
      <c r="ADE20" s="204"/>
      <c r="ADF20" s="204"/>
      <c r="ADG20" s="204"/>
      <c r="ADH20" s="204"/>
      <c r="ADI20" s="204"/>
      <c r="ADJ20" s="204"/>
      <c r="ADK20" s="204"/>
      <c r="ADL20" s="204"/>
      <c r="ADM20" s="204"/>
      <c r="ADN20" s="204"/>
      <c r="ADO20" s="204"/>
      <c r="ADP20" s="204"/>
      <c r="ADQ20" s="204"/>
      <c r="ADR20" s="204"/>
      <c r="ADS20" s="204"/>
      <c r="ADT20" s="204"/>
      <c r="ADU20" s="204"/>
      <c r="ADV20" s="204"/>
      <c r="ADW20" s="204"/>
      <c r="ADX20" s="204"/>
      <c r="ADY20" s="204"/>
      <c r="ADZ20" s="204"/>
      <c r="AEA20" s="204"/>
      <c r="AEB20" s="204"/>
      <c r="AEC20" s="204"/>
      <c r="AED20" s="204"/>
      <c r="AEE20" s="204"/>
      <c r="AEF20" s="204"/>
      <c r="AEG20" s="204"/>
      <c r="AEH20" s="204"/>
      <c r="AEI20" s="204"/>
      <c r="AEJ20" s="204"/>
      <c r="AEK20" s="204"/>
      <c r="AEL20" s="204"/>
      <c r="AEM20" s="204"/>
      <c r="AEN20" s="204"/>
      <c r="AEO20" s="204"/>
      <c r="AEP20" s="204"/>
      <c r="AEQ20" s="204"/>
      <c r="AER20" s="204"/>
      <c r="AES20" s="204"/>
      <c r="AET20" s="204"/>
      <c r="AEU20" s="204"/>
      <c r="AEV20" s="204"/>
      <c r="AEW20" s="204"/>
      <c r="AEX20" s="204"/>
      <c r="AEY20" s="204"/>
      <c r="AEZ20" s="204"/>
      <c r="AFA20" s="204"/>
      <c r="AFB20" s="204"/>
      <c r="AFC20" s="204"/>
      <c r="AFD20" s="204"/>
      <c r="AFE20" s="204"/>
      <c r="AFF20" s="204"/>
      <c r="AFG20" s="204"/>
      <c r="AFH20" s="204"/>
      <c r="AFI20" s="204"/>
      <c r="AFJ20" s="204"/>
      <c r="AFK20" s="204"/>
      <c r="AFL20" s="204"/>
      <c r="AFM20" s="204"/>
      <c r="AFN20" s="204"/>
      <c r="AFO20" s="204"/>
      <c r="AFP20" s="204"/>
      <c r="AFQ20" s="204"/>
      <c r="AFR20" s="204"/>
      <c r="AFS20" s="204"/>
      <c r="AFT20" s="204"/>
      <c r="AFU20" s="204"/>
      <c r="AFV20" s="204"/>
      <c r="AFW20" s="204"/>
      <c r="AFX20" s="204"/>
      <c r="AFY20" s="204"/>
      <c r="AFZ20" s="204"/>
      <c r="AGA20" s="204"/>
      <c r="AGB20" s="204"/>
      <c r="AGC20" s="204"/>
      <c r="AGD20" s="204"/>
      <c r="AGE20" s="204"/>
      <c r="AGF20" s="204"/>
      <c r="AGG20" s="204"/>
      <c r="AGH20" s="204"/>
      <c r="AGI20" s="204"/>
      <c r="AGJ20" s="204"/>
      <c r="AGK20" s="204"/>
      <c r="AGL20" s="204"/>
      <c r="AGM20" s="204"/>
      <c r="AGN20" s="204"/>
      <c r="AGO20" s="204"/>
      <c r="AGP20" s="204"/>
      <c r="AGQ20" s="204"/>
      <c r="AGR20" s="204"/>
      <c r="AGS20" s="204"/>
      <c r="AGT20" s="204"/>
      <c r="AGU20" s="204"/>
      <c r="AGV20" s="204"/>
      <c r="AGW20" s="204"/>
      <c r="AGX20" s="204"/>
      <c r="AGY20" s="204"/>
      <c r="AGZ20" s="204"/>
      <c r="AHA20" s="204"/>
      <c r="AHB20" s="204"/>
      <c r="AHC20" s="204"/>
      <c r="AHD20" s="204"/>
      <c r="AHE20" s="204"/>
      <c r="AHF20" s="204"/>
      <c r="AHG20" s="204"/>
      <c r="AHH20" s="204"/>
      <c r="AHI20" s="204"/>
      <c r="AHJ20" s="204"/>
      <c r="AHK20" s="204"/>
      <c r="AHL20" s="204"/>
      <c r="AHM20" s="204"/>
      <c r="AHN20" s="204"/>
      <c r="AHO20" s="204"/>
      <c r="AHP20" s="204"/>
      <c r="AHQ20" s="204"/>
      <c r="AHR20" s="204"/>
      <c r="AHS20" s="204"/>
      <c r="AHT20" s="204"/>
      <c r="AHU20" s="204"/>
      <c r="AHV20" s="204"/>
      <c r="AHW20" s="204"/>
      <c r="AHX20" s="204"/>
      <c r="AHY20" s="204"/>
      <c r="AHZ20" s="204"/>
      <c r="AIA20" s="204"/>
      <c r="AIB20" s="204"/>
      <c r="AIC20" s="204"/>
      <c r="AID20" s="204"/>
      <c r="AIE20" s="204"/>
      <c r="AIF20" s="204"/>
      <c r="AIG20" s="204"/>
      <c r="AIH20" s="204"/>
      <c r="AII20" s="204"/>
      <c r="AIJ20" s="204"/>
      <c r="AIK20" s="204"/>
      <c r="AIL20" s="204"/>
      <c r="AIM20" s="204"/>
      <c r="AIN20" s="204"/>
      <c r="AIO20" s="204"/>
      <c r="AIP20" s="204"/>
      <c r="AIQ20" s="204"/>
      <c r="AIR20" s="204"/>
      <c r="AIS20" s="204"/>
      <c r="AIT20" s="204"/>
      <c r="AIU20" s="204"/>
      <c r="AIV20" s="204"/>
      <c r="AIW20" s="204"/>
      <c r="AIX20" s="204"/>
      <c r="AIY20" s="204"/>
      <c r="AIZ20" s="204"/>
      <c r="AJA20" s="204"/>
      <c r="AJB20" s="204"/>
      <c r="AJC20" s="204"/>
      <c r="AJD20" s="204"/>
      <c r="AJE20" s="204"/>
      <c r="AJF20" s="204"/>
      <c r="AJG20" s="204"/>
      <c r="AJH20" s="204"/>
      <c r="AJI20" s="204"/>
      <c r="AJJ20" s="204"/>
      <c r="AJK20" s="204"/>
      <c r="AJL20" s="204"/>
      <c r="AJM20" s="204"/>
      <c r="AJN20" s="204"/>
      <c r="AJO20" s="204"/>
      <c r="AJP20" s="204"/>
      <c r="AJQ20" s="204"/>
      <c r="AJR20" s="204"/>
      <c r="AJS20" s="204"/>
      <c r="AJT20" s="204"/>
      <c r="AJU20" s="204"/>
      <c r="AJV20" s="204"/>
      <c r="AJW20" s="204"/>
      <c r="AJX20" s="204"/>
      <c r="AJY20" s="204"/>
      <c r="AJZ20" s="204"/>
      <c r="AKA20" s="204"/>
      <c r="AKB20" s="204"/>
      <c r="AKC20" s="204"/>
      <c r="AKD20" s="204"/>
      <c r="AKE20" s="204"/>
      <c r="AKF20" s="204"/>
      <c r="AKG20" s="204"/>
      <c r="AKH20" s="204"/>
      <c r="AKI20" s="204"/>
      <c r="AKJ20" s="204"/>
      <c r="AKK20" s="204"/>
      <c r="AKL20" s="204"/>
      <c r="AKM20" s="204"/>
      <c r="AKN20" s="204"/>
      <c r="AKO20" s="204"/>
      <c r="AKP20" s="204"/>
      <c r="AKQ20" s="204"/>
      <c r="AKR20" s="204"/>
      <c r="AKS20" s="204"/>
      <c r="AKT20" s="204"/>
      <c r="AKU20" s="204"/>
      <c r="AKV20" s="204"/>
      <c r="AKW20" s="204"/>
      <c r="AKX20" s="204"/>
      <c r="AKY20" s="204"/>
      <c r="AKZ20" s="204"/>
      <c r="ALA20" s="204"/>
      <c r="ALB20" s="204"/>
      <c r="ALC20" s="204"/>
      <c r="ALD20" s="204"/>
      <c r="ALE20" s="204"/>
      <c r="ALF20" s="204"/>
      <c r="ALG20" s="204"/>
      <c r="ALH20" s="204"/>
      <c r="ALI20" s="204"/>
      <c r="ALJ20" s="204"/>
      <c r="ALK20" s="204"/>
      <c r="ALL20" s="204"/>
      <c r="ALM20" s="204"/>
      <c r="ALN20" s="204"/>
      <c r="ALO20" s="204"/>
      <c r="ALP20" s="204"/>
      <c r="ALQ20" s="204"/>
      <c r="ALR20" s="204"/>
      <c r="ALS20" s="204"/>
      <c r="ALT20" s="204"/>
      <c r="ALU20" s="204"/>
      <c r="ALV20" s="204"/>
      <c r="ALW20" s="204"/>
      <c r="ALX20" s="204"/>
      <c r="ALY20" s="204"/>
      <c r="ALZ20" s="204"/>
      <c r="AMA20" s="204"/>
      <c r="AMB20" s="204"/>
      <c r="AMC20" s="204"/>
      <c r="AMD20" s="204"/>
      <c r="AME20" s="204"/>
      <c r="AMF20" s="204"/>
      <c r="AMG20" s="204"/>
      <c r="AMH20" s="204"/>
      <c r="AMI20" s="204"/>
      <c r="AMJ20" s="204"/>
      <c r="AMK20" s="204"/>
      <c r="AML20" s="204"/>
      <c r="AMM20" s="204"/>
      <c r="AMN20" s="204"/>
      <c r="AMO20" s="204"/>
      <c r="AMP20" s="204"/>
      <c r="AMQ20" s="204"/>
      <c r="AMR20" s="204"/>
      <c r="AMS20" s="204"/>
      <c r="AMT20" s="204"/>
      <c r="AMU20" s="204"/>
      <c r="AMV20" s="204"/>
      <c r="AMW20" s="204"/>
      <c r="AMX20" s="204"/>
      <c r="AMY20" s="204"/>
      <c r="AMZ20" s="204"/>
      <c r="ANA20" s="204"/>
      <c r="ANB20" s="204"/>
      <c r="ANC20" s="204"/>
      <c r="AND20" s="204"/>
      <c r="ANE20" s="204"/>
      <c r="ANF20" s="204"/>
      <c r="ANG20" s="204"/>
      <c r="ANH20" s="204"/>
      <c r="ANI20" s="204"/>
      <c r="ANJ20" s="204"/>
      <c r="ANK20" s="204"/>
      <c r="ANL20" s="204"/>
      <c r="ANM20" s="204"/>
      <c r="ANN20" s="204"/>
      <c r="ANO20" s="204"/>
      <c r="ANP20" s="204"/>
      <c r="ANQ20" s="204"/>
      <c r="ANR20" s="204"/>
      <c r="ANS20" s="204"/>
      <c r="ANT20" s="204"/>
      <c r="ANU20" s="204"/>
      <c r="ANV20" s="204"/>
      <c r="ANW20" s="204"/>
      <c r="ANX20" s="204"/>
      <c r="ANY20" s="204"/>
      <c r="ANZ20" s="204"/>
      <c r="AOA20" s="204"/>
      <c r="AOB20" s="204"/>
      <c r="AOC20" s="204"/>
      <c r="AOD20" s="204"/>
      <c r="AOE20" s="204"/>
      <c r="AOF20" s="204"/>
      <c r="AOG20" s="204"/>
      <c r="AOH20" s="204"/>
      <c r="AOI20" s="204"/>
      <c r="AOJ20" s="204"/>
      <c r="AOK20" s="204"/>
      <c r="AOL20" s="204"/>
      <c r="AOM20" s="204"/>
      <c r="AON20" s="204"/>
      <c r="AOO20" s="204"/>
      <c r="AOP20" s="204"/>
      <c r="AOQ20" s="204"/>
      <c r="AOR20" s="204"/>
      <c r="AOS20" s="204"/>
      <c r="AOT20" s="204"/>
      <c r="AOU20" s="204"/>
      <c r="AOV20" s="204"/>
      <c r="AOW20" s="204"/>
      <c r="AOX20" s="204"/>
      <c r="AOY20" s="204"/>
      <c r="AOZ20" s="204"/>
      <c r="APA20" s="204"/>
      <c r="APB20" s="204"/>
      <c r="APC20" s="204"/>
      <c r="APD20" s="204"/>
      <c r="APE20" s="204"/>
      <c r="APF20" s="204"/>
      <c r="APG20" s="204"/>
      <c r="APH20" s="204"/>
      <c r="API20" s="204"/>
      <c r="APJ20" s="204"/>
      <c r="APK20" s="204"/>
      <c r="APL20" s="204"/>
      <c r="APM20" s="204"/>
      <c r="APN20" s="204"/>
      <c r="APO20" s="204"/>
      <c r="APP20" s="204"/>
      <c r="APQ20" s="204"/>
      <c r="APR20" s="204"/>
      <c r="APS20" s="204"/>
      <c r="APT20" s="204"/>
      <c r="APU20" s="204"/>
      <c r="APV20" s="204"/>
      <c r="APW20" s="204"/>
      <c r="APX20" s="204"/>
      <c r="APY20" s="204"/>
      <c r="APZ20" s="204"/>
      <c r="AQA20" s="204"/>
      <c r="AQB20" s="204"/>
      <c r="AQC20" s="204"/>
      <c r="AQD20" s="204"/>
      <c r="AQE20" s="204"/>
      <c r="AQF20" s="204"/>
      <c r="AQG20" s="204"/>
      <c r="AQH20" s="204"/>
      <c r="AQI20" s="204"/>
      <c r="AQJ20" s="204"/>
      <c r="AQK20" s="204"/>
      <c r="AQL20" s="204"/>
      <c r="AQM20" s="204"/>
      <c r="AQN20" s="204"/>
      <c r="AQO20" s="204"/>
      <c r="AQP20" s="204"/>
      <c r="AQQ20" s="204"/>
      <c r="AQR20" s="204"/>
      <c r="AQS20" s="204"/>
      <c r="AQT20" s="204"/>
      <c r="AQU20" s="204"/>
      <c r="AQV20" s="204"/>
      <c r="AQW20" s="204"/>
      <c r="AQX20" s="204"/>
      <c r="AQY20" s="204"/>
      <c r="AQZ20" s="204"/>
      <c r="ARA20" s="204"/>
      <c r="ARB20" s="204"/>
      <c r="ARC20" s="204"/>
      <c r="ARD20" s="204"/>
      <c r="ARE20" s="204"/>
      <c r="ARF20" s="204"/>
      <c r="ARG20" s="204"/>
      <c r="ARH20" s="204"/>
      <c r="ARI20" s="204"/>
      <c r="ARJ20" s="204"/>
      <c r="ARK20" s="204"/>
      <c r="ARL20" s="204"/>
      <c r="ARM20" s="204"/>
      <c r="ARN20" s="204"/>
      <c r="ARO20" s="204"/>
      <c r="ARP20" s="204"/>
      <c r="ARQ20" s="204"/>
      <c r="ARR20" s="204"/>
      <c r="ARS20" s="204"/>
      <c r="ART20" s="204"/>
      <c r="ARU20" s="204"/>
      <c r="ARV20" s="204"/>
      <c r="ARW20" s="204"/>
      <c r="ARX20" s="204"/>
      <c r="ARY20" s="204"/>
      <c r="ARZ20" s="204"/>
      <c r="ASA20" s="204"/>
      <c r="ASB20" s="204"/>
      <c r="ASC20" s="204"/>
      <c r="ASD20" s="204"/>
      <c r="ASE20" s="204"/>
      <c r="ASF20" s="204"/>
      <c r="ASG20" s="204"/>
      <c r="ASH20" s="204"/>
      <c r="ASI20" s="204"/>
      <c r="ASJ20" s="204"/>
      <c r="ASK20" s="204"/>
      <c r="ASL20" s="204"/>
      <c r="ASM20" s="204"/>
      <c r="ASN20" s="204"/>
      <c r="ASO20" s="204"/>
      <c r="ASP20" s="204"/>
      <c r="ASQ20" s="204"/>
      <c r="ASR20" s="204"/>
      <c r="ASS20" s="204"/>
      <c r="AST20" s="204"/>
      <c r="ASU20" s="204"/>
      <c r="ASV20" s="204"/>
      <c r="ASW20" s="204"/>
      <c r="ASX20" s="204"/>
      <c r="ASY20" s="204"/>
      <c r="ASZ20" s="204"/>
      <c r="ATA20" s="204"/>
      <c r="ATB20" s="204"/>
      <c r="ATC20" s="204"/>
      <c r="ATD20" s="204"/>
      <c r="ATE20" s="204"/>
      <c r="ATF20" s="204"/>
      <c r="ATG20" s="204"/>
      <c r="ATH20" s="204"/>
      <c r="ATI20" s="204"/>
      <c r="ATJ20" s="204"/>
      <c r="ATK20" s="204"/>
      <c r="ATL20" s="204"/>
      <c r="ATM20" s="204"/>
      <c r="ATN20" s="204"/>
      <c r="ATO20" s="204"/>
      <c r="ATP20" s="204"/>
      <c r="ATQ20" s="204"/>
      <c r="ATR20" s="204"/>
      <c r="ATS20" s="204"/>
      <c r="ATT20" s="204"/>
      <c r="ATU20" s="204"/>
      <c r="ATV20" s="204"/>
      <c r="ATW20" s="204"/>
      <c r="ATX20" s="204"/>
      <c r="ATY20" s="204"/>
      <c r="ATZ20" s="204"/>
      <c r="AUA20" s="204"/>
      <c r="AUB20" s="204"/>
      <c r="AUC20" s="204"/>
      <c r="AUD20" s="204"/>
      <c r="AUE20" s="204"/>
      <c r="AUF20" s="204"/>
      <c r="AUG20" s="204"/>
      <c r="AUH20" s="204"/>
      <c r="AUI20" s="204"/>
      <c r="AUJ20" s="204"/>
      <c r="AUK20" s="204"/>
      <c r="AUL20" s="204"/>
      <c r="AUM20" s="204"/>
      <c r="AUN20" s="204"/>
      <c r="AUO20" s="204"/>
      <c r="AUP20" s="204"/>
      <c r="AUQ20" s="204"/>
      <c r="AUR20" s="204"/>
      <c r="AUS20" s="204"/>
      <c r="AUT20" s="204"/>
      <c r="AUU20" s="204"/>
      <c r="AUV20" s="204"/>
      <c r="AUW20" s="204"/>
      <c r="AUX20" s="204"/>
      <c r="AUY20" s="204"/>
      <c r="AUZ20" s="204"/>
      <c r="AVA20" s="204"/>
      <c r="AVB20" s="204"/>
      <c r="AVC20" s="204"/>
      <c r="AVD20" s="204"/>
      <c r="AVE20" s="204"/>
      <c r="AVF20" s="204"/>
      <c r="AVG20" s="204"/>
      <c r="AVH20" s="204"/>
      <c r="AVI20" s="204"/>
      <c r="AVJ20" s="204"/>
      <c r="AVK20" s="204"/>
      <c r="AVL20" s="204"/>
      <c r="AVM20" s="204"/>
      <c r="AVN20" s="204"/>
      <c r="AVO20" s="204"/>
      <c r="AVP20" s="204"/>
      <c r="AVQ20" s="204"/>
      <c r="AVR20" s="204"/>
      <c r="AVS20" s="204"/>
      <c r="AVT20" s="204"/>
      <c r="AVU20" s="204"/>
      <c r="AVV20" s="204"/>
      <c r="AVW20" s="204"/>
      <c r="AVX20" s="204"/>
      <c r="AVY20" s="204"/>
      <c r="AVZ20" s="204"/>
      <c r="AWA20" s="204"/>
      <c r="AWB20" s="204"/>
      <c r="AWC20" s="204"/>
      <c r="AWD20" s="204"/>
      <c r="AWE20" s="204"/>
      <c r="AWF20" s="204"/>
      <c r="AWG20" s="204"/>
      <c r="AWH20" s="204"/>
      <c r="AWI20" s="204"/>
      <c r="AWJ20" s="204"/>
      <c r="AWK20" s="204"/>
      <c r="AWL20" s="204"/>
      <c r="AWM20" s="204"/>
      <c r="AWN20" s="204"/>
      <c r="AWO20" s="204"/>
      <c r="AWP20" s="204"/>
      <c r="AWQ20" s="204"/>
      <c r="AWR20" s="204"/>
      <c r="AWS20" s="204"/>
      <c r="AWT20" s="204"/>
      <c r="AWU20" s="204"/>
      <c r="AWV20" s="204"/>
      <c r="AWW20" s="204"/>
      <c r="AWX20" s="204"/>
      <c r="AWY20" s="204"/>
      <c r="AWZ20" s="204"/>
      <c r="AXA20" s="204"/>
      <c r="AXB20" s="204"/>
      <c r="AXC20" s="204"/>
      <c r="AXD20" s="204"/>
      <c r="AXE20" s="204"/>
      <c r="AXF20" s="204"/>
      <c r="AXG20" s="204"/>
      <c r="AXH20" s="204"/>
      <c r="AXI20" s="204"/>
      <c r="AXJ20" s="204"/>
      <c r="AXK20" s="204"/>
      <c r="AXL20" s="204"/>
      <c r="AXM20" s="204"/>
      <c r="AXN20" s="204"/>
      <c r="AXO20" s="204"/>
      <c r="AXP20" s="204"/>
      <c r="AXQ20" s="204"/>
      <c r="AXR20" s="204"/>
      <c r="AXS20" s="204"/>
      <c r="AXT20" s="204"/>
      <c r="AXU20" s="204"/>
      <c r="AXV20" s="204"/>
      <c r="AXW20" s="204"/>
      <c r="AXX20" s="204"/>
      <c r="AXY20" s="204"/>
      <c r="AXZ20" s="204"/>
      <c r="AYA20" s="204"/>
      <c r="AYB20" s="204"/>
      <c r="AYC20" s="204"/>
      <c r="AYD20" s="204"/>
      <c r="AYE20" s="204"/>
      <c r="AYF20" s="204"/>
      <c r="AYG20" s="204"/>
      <c r="AYH20" s="204"/>
      <c r="AYI20" s="204"/>
      <c r="AYJ20" s="204"/>
      <c r="AYK20" s="204"/>
      <c r="AYL20" s="204"/>
      <c r="AYM20" s="204"/>
      <c r="AYN20" s="204"/>
      <c r="AYO20" s="204"/>
      <c r="AYP20" s="204"/>
      <c r="AYQ20" s="204"/>
      <c r="AYR20" s="204"/>
      <c r="AYS20" s="204"/>
      <c r="AYT20" s="204"/>
      <c r="AYU20" s="204"/>
      <c r="AYV20" s="204"/>
      <c r="AYW20" s="204"/>
      <c r="AYX20" s="204"/>
      <c r="AYY20" s="204"/>
      <c r="AYZ20" s="204"/>
      <c r="AZA20" s="204"/>
      <c r="AZB20" s="204"/>
      <c r="AZC20" s="204"/>
      <c r="AZD20" s="204"/>
      <c r="AZE20" s="204"/>
      <c r="AZF20" s="204"/>
      <c r="AZG20" s="204"/>
      <c r="AZH20" s="204"/>
      <c r="AZI20" s="204"/>
      <c r="AZJ20" s="204"/>
      <c r="AZK20" s="204"/>
      <c r="AZL20" s="204"/>
      <c r="AZM20" s="204"/>
      <c r="AZN20" s="204"/>
      <c r="AZO20" s="204"/>
      <c r="AZP20" s="204"/>
      <c r="AZQ20" s="204"/>
      <c r="AZR20" s="204"/>
      <c r="AZS20" s="204"/>
      <c r="AZT20" s="204"/>
      <c r="AZU20" s="204"/>
      <c r="AZV20" s="204"/>
      <c r="AZW20" s="204"/>
      <c r="AZX20" s="204"/>
      <c r="AZY20" s="204"/>
      <c r="AZZ20" s="204"/>
      <c r="BAA20" s="204"/>
      <c r="BAB20" s="204"/>
      <c r="BAC20" s="204"/>
      <c r="BAD20" s="204"/>
      <c r="BAE20" s="204"/>
      <c r="BAF20" s="204"/>
      <c r="BAG20" s="204"/>
      <c r="BAH20" s="204"/>
      <c r="BAI20" s="204"/>
      <c r="BAJ20" s="204"/>
      <c r="BAK20" s="204"/>
      <c r="BAL20" s="204"/>
      <c r="BAM20" s="204"/>
      <c r="BAN20" s="204"/>
      <c r="BAO20" s="204"/>
      <c r="BAP20" s="204"/>
      <c r="BAQ20" s="204"/>
      <c r="BAR20" s="204"/>
      <c r="BAS20" s="204"/>
      <c r="BAT20" s="204"/>
      <c r="BAU20" s="204"/>
      <c r="BAV20" s="204"/>
      <c r="BAW20" s="204"/>
      <c r="BAX20" s="204"/>
      <c r="BAY20" s="204"/>
      <c r="BAZ20" s="204"/>
      <c r="BBA20" s="204"/>
      <c r="BBB20" s="204"/>
      <c r="BBC20" s="204"/>
      <c r="BBD20" s="204"/>
      <c r="BBE20" s="204"/>
      <c r="BBF20" s="204"/>
      <c r="BBG20" s="204"/>
      <c r="BBH20" s="204"/>
      <c r="BBI20" s="204"/>
      <c r="BBJ20" s="204"/>
      <c r="BBK20" s="204"/>
      <c r="BBL20" s="204"/>
      <c r="BBM20" s="204"/>
      <c r="BBN20" s="204"/>
      <c r="BBO20" s="204"/>
      <c r="BBP20" s="204"/>
      <c r="BBQ20" s="204"/>
      <c r="BBR20" s="204"/>
      <c r="BBS20" s="204"/>
      <c r="BBT20" s="204"/>
      <c r="BBU20" s="204"/>
      <c r="BBV20" s="204"/>
      <c r="BBW20" s="204"/>
      <c r="BBX20" s="204"/>
      <c r="BBY20" s="204"/>
      <c r="BBZ20" s="204"/>
      <c r="BCA20" s="204"/>
      <c r="BCB20" s="204"/>
      <c r="BCC20" s="204"/>
      <c r="BCD20" s="204"/>
      <c r="BCE20" s="204"/>
      <c r="BCF20" s="204"/>
      <c r="BCG20" s="204"/>
      <c r="BCH20" s="204"/>
      <c r="BCI20" s="204"/>
      <c r="BCJ20" s="204"/>
      <c r="BCK20" s="204"/>
      <c r="BCL20" s="204"/>
      <c r="BCM20" s="204"/>
      <c r="BCN20" s="204"/>
      <c r="BCO20" s="204"/>
      <c r="BCP20" s="204"/>
      <c r="BCQ20" s="204"/>
      <c r="BCR20" s="204"/>
      <c r="BCS20" s="204"/>
      <c r="BCT20" s="204"/>
      <c r="BCU20" s="204"/>
      <c r="BCV20" s="204"/>
      <c r="BCW20" s="204"/>
      <c r="BCX20" s="204"/>
      <c r="BCY20" s="204"/>
      <c r="BCZ20" s="204"/>
      <c r="BDA20" s="204"/>
      <c r="BDB20" s="204"/>
      <c r="BDC20" s="204"/>
      <c r="BDD20" s="204"/>
      <c r="BDE20" s="204"/>
      <c r="BDF20" s="204"/>
      <c r="BDG20" s="204"/>
      <c r="BDH20" s="204"/>
      <c r="BDI20" s="204"/>
      <c r="BDJ20" s="204"/>
      <c r="BDK20" s="204"/>
      <c r="BDL20" s="204"/>
      <c r="BDM20" s="204"/>
      <c r="BDN20" s="204"/>
      <c r="BDO20" s="204"/>
      <c r="BDP20" s="204"/>
      <c r="BDQ20" s="204"/>
      <c r="BDR20" s="204"/>
      <c r="BDS20" s="204"/>
      <c r="BDT20" s="204"/>
      <c r="BDU20" s="204"/>
      <c r="BDV20" s="204"/>
      <c r="BDW20" s="204"/>
      <c r="BDX20" s="204"/>
      <c r="BDY20" s="204"/>
      <c r="BDZ20" s="204"/>
      <c r="BEA20" s="204"/>
      <c r="BEB20" s="204"/>
      <c r="BEC20" s="204"/>
      <c r="BED20" s="204"/>
      <c r="BEE20" s="204"/>
      <c r="BEF20" s="204"/>
      <c r="BEG20" s="204"/>
      <c r="BEH20" s="204"/>
      <c r="BEI20" s="204"/>
      <c r="BEJ20" s="204"/>
      <c r="BEK20" s="204"/>
      <c r="BEL20" s="204"/>
      <c r="BEM20" s="204"/>
      <c r="BEN20" s="204"/>
      <c r="BEO20" s="204"/>
      <c r="BEP20" s="204"/>
      <c r="BEQ20" s="204"/>
      <c r="BER20" s="204"/>
      <c r="BES20" s="204"/>
      <c r="BET20" s="204"/>
      <c r="BEU20" s="204"/>
      <c r="BEV20" s="204"/>
      <c r="BEW20" s="204"/>
      <c r="BEX20" s="204"/>
      <c r="BEY20" s="204"/>
      <c r="BEZ20" s="204"/>
      <c r="BFA20" s="204"/>
      <c r="BFB20" s="204"/>
      <c r="BFC20" s="204"/>
      <c r="BFD20" s="204"/>
      <c r="BFE20" s="204"/>
      <c r="BFF20" s="204"/>
      <c r="BFG20" s="204"/>
      <c r="BFH20" s="204"/>
      <c r="BFI20" s="204"/>
      <c r="BFJ20" s="204"/>
      <c r="BFK20" s="204"/>
      <c r="BFL20" s="204"/>
      <c r="BFM20" s="204"/>
      <c r="BFN20" s="204"/>
      <c r="BFO20" s="204"/>
      <c r="BFP20" s="204"/>
      <c r="BFQ20" s="204"/>
      <c r="BFR20" s="204"/>
      <c r="BFS20" s="204"/>
      <c r="BFT20" s="204"/>
      <c r="BFU20" s="204"/>
      <c r="BFV20" s="204"/>
      <c r="BFW20" s="204"/>
      <c r="BFX20" s="204"/>
      <c r="BFY20" s="204"/>
      <c r="BFZ20" s="204"/>
      <c r="BGA20" s="204"/>
      <c r="BGB20" s="204"/>
      <c r="BGC20" s="204"/>
      <c r="BGD20" s="204"/>
      <c r="BGE20" s="204"/>
      <c r="BGF20" s="204"/>
      <c r="BGG20" s="204"/>
      <c r="BGH20" s="204"/>
      <c r="BGI20" s="204"/>
      <c r="BGJ20" s="204"/>
      <c r="BGK20" s="204"/>
      <c r="BGL20" s="204"/>
      <c r="BGM20" s="204"/>
      <c r="BGN20" s="204"/>
      <c r="BGO20" s="204"/>
      <c r="BGP20" s="204"/>
      <c r="BGQ20" s="204"/>
      <c r="BGR20" s="204"/>
      <c r="BGS20" s="204"/>
      <c r="BGT20" s="204"/>
      <c r="BGU20" s="204"/>
      <c r="BGV20" s="204"/>
      <c r="BGW20" s="204"/>
      <c r="BGX20" s="204"/>
      <c r="BGY20" s="204"/>
      <c r="BGZ20" s="204"/>
      <c r="BHA20" s="204"/>
      <c r="BHB20" s="204"/>
      <c r="BHC20" s="204"/>
      <c r="BHD20" s="204"/>
      <c r="BHE20" s="204"/>
      <c r="BHF20" s="204"/>
      <c r="BHG20" s="204"/>
      <c r="BHH20" s="204"/>
      <c r="BHI20" s="204"/>
      <c r="BHJ20" s="204"/>
      <c r="BHK20" s="204"/>
      <c r="BHL20" s="204"/>
      <c r="BHM20" s="204"/>
      <c r="BHN20" s="204"/>
      <c r="BHO20" s="204"/>
      <c r="BHP20" s="204"/>
      <c r="BHQ20" s="204"/>
      <c r="BHR20" s="204"/>
      <c r="BHS20" s="204"/>
      <c r="BHT20" s="204"/>
      <c r="BHU20" s="204"/>
      <c r="BHV20" s="204"/>
      <c r="BHW20" s="204"/>
      <c r="BHX20" s="204"/>
      <c r="BHY20" s="204"/>
      <c r="BHZ20" s="204"/>
      <c r="BIA20" s="204"/>
      <c r="BIB20" s="204"/>
      <c r="BIC20" s="204"/>
      <c r="BID20" s="204"/>
      <c r="BIE20" s="204"/>
      <c r="BIF20" s="204"/>
      <c r="BIG20" s="204"/>
      <c r="BIH20" s="204"/>
      <c r="BII20" s="204"/>
      <c r="BIJ20" s="204"/>
      <c r="BIK20" s="204"/>
      <c r="BIL20" s="204"/>
      <c r="BIM20" s="204"/>
      <c r="BIN20" s="204"/>
      <c r="BIO20" s="204"/>
      <c r="BIP20" s="204"/>
      <c r="BIQ20" s="204"/>
      <c r="BIR20" s="204"/>
      <c r="BIS20" s="204"/>
      <c r="BIT20" s="204"/>
      <c r="BIU20" s="204"/>
      <c r="BIV20" s="204"/>
      <c r="BIW20" s="204"/>
      <c r="BIX20" s="204"/>
      <c r="BIY20" s="204"/>
      <c r="BIZ20" s="204"/>
      <c r="BJA20" s="204"/>
      <c r="BJB20" s="204"/>
      <c r="BJC20" s="204"/>
      <c r="BJD20" s="204"/>
      <c r="BJE20" s="204"/>
      <c r="BJF20" s="204"/>
      <c r="BJG20" s="204"/>
      <c r="BJH20" s="204"/>
      <c r="BJI20" s="204"/>
      <c r="BJJ20" s="204"/>
      <c r="BJK20" s="204"/>
      <c r="BJL20" s="204"/>
      <c r="BJM20" s="204"/>
      <c r="BJN20" s="204"/>
      <c r="BJO20" s="204"/>
      <c r="BJP20" s="204"/>
      <c r="BJQ20" s="204"/>
      <c r="BJR20" s="204"/>
      <c r="BJS20" s="204"/>
      <c r="BJT20" s="204"/>
      <c r="BJU20" s="204"/>
      <c r="BJV20" s="204"/>
      <c r="BJW20" s="204"/>
      <c r="BJX20" s="204"/>
      <c r="BJY20" s="204"/>
      <c r="BJZ20" s="204"/>
      <c r="BKA20" s="204"/>
      <c r="BKB20" s="204"/>
      <c r="BKC20" s="204"/>
      <c r="BKD20" s="204"/>
      <c r="BKE20" s="204"/>
      <c r="BKF20" s="204"/>
      <c r="BKG20" s="204"/>
      <c r="BKH20" s="204"/>
      <c r="BKI20" s="204"/>
      <c r="BKJ20" s="204"/>
      <c r="BKK20" s="204"/>
      <c r="BKL20" s="204"/>
      <c r="BKM20" s="204"/>
      <c r="BKN20" s="204"/>
      <c r="BKO20" s="204"/>
      <c r="BKP20" s="204"/>
      <c r="BKQ20" s="204"/>
      <c r="BKR20" s="204"/>
      <c r="BKS20" s="204"/>
      <c r="BKT20" s="204"/>
      <c r="BKU20" s="204"/>
      <c r="BKV20" s="204"/>
      <c r="BKW20" s="204"/>
      <c r="BKX20" s="204"/>
      <c r="BKY20" s="204"/>
      <c r="BKZ20" s="204"/>
      <c r="BLA20" s="204"/>
      <c r="BLB20" s="204"/>
      <c r="BLC20" s="204"/>
      <c r="BLD20" s="204"/>
      <c r="BLE20" s="204"/>
      <c r="BLF20" s="204"/>
      <c r="BLG20" s="204"/>
      <c r="BLH20" s="204"/>
      <c r="BLI20" s="204"/>
      <c r="BLJ20" s="204"/>
      <c r="BLK20" s="204"/>
      <c r="BLL20" s="204"/>
      <c r="BLM20" s="204"/>
      <c r="BLN20" s="204"/>
      <c r="BLO20" s="204"/>
      <c r="BLP20" s="204"/>
      <c r="BLQ20" s="204"/>
      <c r="BLR20" s="204"/>
      <c r="BLS20" s="204"/>
      <c r="BLT20" s="204"/>
      <c r="BLU20" s="204"/>
      <c r="BLV20" s="204"/>
      <c r="BLW20" s="204"/>
      <c r="BLX20" s="204"/>
      <c r="BLY20" s="204"/>
      <c r="BLZ20" s="204"/>
      <c r="BMA20" s="204"/>
      <c r="BMB20" s="204"/>
      <c r="BMC20" s="204"/>
      <c r="BMD20" s="204"/>
      <c r="BME20" s="204"/>
      <c r="BMF20" s="204"/>
      <c r="BMG20" s="204"/>
      <c r="BMH20" s="204"/>
      <c r="BMI20" s="204"/>
      <c r="BMJ20" s="204"/>
      <c r="BMK20" s="204"/>
      <c r="BML20" s="204"/>
      <c r="BMM20" s="204"/>
      <c r="BMN20" s="204"/>
      <c r="BMO20" s="204"/>
      <c r="BMP20" s="204"/>
      <c r="BMQ20" s="204"/>
      <c r="BMR20" s="204"/>
      <c r="BMS20" s="204"/>
      <c r="BMT20" s="204"/>
      <c r="BMU20" s="204"/>
      <c r="BMV20" s="204"/>
      <c r="BMW20" s="204"/>
      <c r="BMX20" s="204"/>
      <c r="BMY20" s="204"/>
      <c r="BMZ20" s="204"/>
      <c r="BNA20" s="204"/>
      <c r="BNB20" s="204"/>
      <c r="BNC20" s="204"/>
      <c r="BND20" s="204"/>
      <c r="BNE20" s="204"/>
      <c r="BNF20" s="204"/>
      <c r="BNG20" s="204"/>
      <c r="BNH20" s="204"/>
      <c r="BNI20" s="204"/>
      <c r="BNJ20" s="204"/>
      <c r="BNK20" s="204"/>
      <c r="BNL20" s="204"/>
      <c r="BNM20" s="204"/>
      <c r="BNN20" s="204"/>
      <c r="BNO20" s="204"/>
      <c r="BNP20" s="204"/>
      <c r="BNQ20" s="204"/>
      <c r="BNR20" s="204"/>
      <c r="BNS20" s="204"/>
      <c r="BNT20" s="204"/>
      <c r="BNU20" s="204"/>
      <c r="BNV20" s="204"/>
      <c r="BNW20" s="204"/>
      <c r="BNX20" s="204"/>
      <c r="BNY20" s="204"/>
      <c r="BNZ20" s="204"/>
      <c r="BOA20" s="204"/>
      <c r="BOB20" s="204"/>
      <c r="BOC20" s="204"/>
      <c r="BOD20" s="204"/>
      <c r="BOE20" s="204"/>
      <c r="BOF20" s="204"/>
      <c r="BOG20" s="204"/>
      <c r="BOH20" s="204"/>
      <c r="BOI20" s="204"/>
      <c r="BOJ20" s="204"/>
      <c r="BOK20" s="204"/>
      <c r="BOL20" s="204"/>
      <c r="BOM20" s="204"/>
      <c r="BON20" s="204"/>
      <c r="BOO20" s="204"/>
      <c r="BOP20" s="204"/>
      <c r="BOQ20" s="204"/>
      <c r="BOR20" s="204"/>
      <c r="BOS20" s="204"/>
      <c r="BOT20" s="204"/>
      <c r="BOU20" s="204"/>
      <c r="BOV20" s="204"/>
      <c r="BOW20" s="204"/>
      <c r="BOX20" s="204"/>
      <c r="BOY20" s="204"/>
      <c r="BOZ20" s="204"/>
      <c r="BPA20" s="204"/>
      <c r="BPB20" s="204"/>
      <c r="BPC20" s="204"/>
      <c r="BPD20" s="204"/>
      <c r="BPE20" s="204"/>
      <c r="BPF20" s="204"/>
      <c r="BPG20" s="204"/>
      <c r="BPH20" s="204"/>
      <c r="BPI20" s="204"/>
      <c r="BPJ20" s="204"/>
      <c r="BPK20" s="204"/>
      <c r="BPL20" s="204"/>
      <c r="BPM20" s="204"/>
      <c r="BPN20" s="204"/>
      <c r="BPO20" s="204"/>
      <c r="BPP20" s="204"/>
      <c r="BPQ20" s="204"/>
      <c r="BPR20" s="204"/>
      <c r="BPS20" s="204"/>
      <c r="BPT20" s="204"/>
      <c r="BPU20" s="204"/>
      <c r="BPV20" s="204"/>
      <c r="BPW20" s="204"/>
      <c r="BPX20" s="204"/>
      <c r="BPY20" s="204"/>
      <c r="BPZ20" s="204"/>
      <c r="BQA20" s="204"/>
      <c r="BQB20" s="204"/>
      <c r="BQC20" s="204"/>
      <c r="BQD20" s="204"/>
      <c r="BQE20" s="204"/>
      <c r="BQF20" s="204"/>
      <c r="BQG20" s="204"/>
      <c r="BQH20" s="204"/>
      <c r="BQI20" s="204"/>
      <c r="BQJ20" s="204"/>
      <c r="BQK20" s="204"/>
      <c r="BQL20" s="204"/>
      <c r="BQM20" s="204"/>
      <c r="BQN20" s="204"/>
      <c r="BQO20" s="204"/>
      <c r="BQP20" s="204"/>
      <c r="BQQ20" s="204"/>
      <c r="BQR20" s="204"/>
      <c r="BQS20" s="204"/>
      <c r="BQT20" s="204"/>
      <c r="BQU20" s="204"/>
      <c r="BQV20" s="204"/>
      <c r="BQW20" s="204"/>
      <c r="BQX20" s="204"/>
      <c r="BQY20" s="204"/>
      <c r="BQZ20" s="204"/>
      <c r="BRA20" s="204"/>
      <c r="BRB20" s="204"/>
      <c r="BRC20" s="204"/>
      <c r="BRD20" s="204"/>
      <c r="BRE20" s="204"/>
      <c r="BRF20" s="204"/>
      <c r="BRG20" s="204"/>
      <c r="BRH20" s="204"/>
      <c r="BRI20" s="204"/>
      <c r="BRJ20" s="204"/>
      <c r="BRK20" s="204"/>
      <c r="BRL20" s="204"/>
      <c r="BRM20" s="204"/>
      <c r="BRN20" s="204"/>
      <c r="BRO20" s="204"/>
      <c r="BRP20" s="204"/>
      <c r="BRQ20" s="204"/>
      <c r="BRR20" s="204"/>
      <c r="BRS20" s="204"/>
      <c r="BRT20" s="204"/>
      <c r="BRU20" s="204"/>
      <c r="BRV20" s="204"/>
      <c r="BRW20" s="204"/>
      <c r="BRX20" s="204"/>
      <c r="BRY20" s="204"/>
      <c r="BRZ20" s="204"/>
      <c r="BSA20" s="204"/>
      <c r="BSB20" s="204"/>
      <c r="BSC20" s="204"/>
      <c r="BSD20" s="204"/>
      <c r="BSE20" s="204"/>
      <c r="BSF20" s="204"/>
      <c r="BSG20" s="204"/>
      <c r="BSH20" s="204"/>
      <c r="BSI20" s="204"/>
      <c r="BSJ20" s="204"/>
      <c r="BSK20" s="204"/>
      <c r="BSL20" s="204"/>
      <c r="BSM20" s="204"/>
      <c r="BSN20" s="204"/>
      <c r="BSO20" s="204"/>
      <c r="BSP20" s="204"/>
      <c r="BSQ20" s="204"/>
      <c r="BSR20" s="204"/>
      <c r="BSS20" s="204"/>
      <c r="BST20" s="204"/>
      <c r="BSU20" s="204"/>
      <c r="BSV20" s="204"/>
      <c r="BSW20" s="204"/>
      <c r="BSX20" s="204"/>
      <c r="BSY20" s="204"/>
      <c r="BSZ20" s="204"/>
      <c r="BTA20" s="204"/>
      <c r="BTB20" s="204"/>
      <c r="BTC20" s="204"/>
      <c r="BTD20" s="204"/>
      <c r="BTE20" s="204"/>
      <c r="BTF20" s="204"/>
      <c r="BTG20" s="204"/>
      <c r="BTH20" s="204"/>
      <c r="BTI20" s="204"/>
      <c r="BTJ20" s="204"/>
      <c r="BTK20" s="204"/>
      <c r="BTL20" s="204"/>
      <c r="BTM20" s="204"/>
      <c r="BTN20" s="204"/>
      <c r="BTO20" s="204"/>
      <c r="BTP20" s="204"/>
      <c r="BTQ20" s="204"/>
      <c r="BTR20" s="204"/>
      <c r="BTS20" s="204"/>
      <c r="BTT20" s="204"/>
      <c r="BTU20" s="204"/>
      <c r="BTV20" s="204"/>
      <c r="BTW20" s="204"/>
      <c r="BTX20" s="204"/>
      <c r="BTY20" s="204"/>
      <c r="BTZ20" s="204"/>
      <c r="BUA20" s="204"/>
      <c r="BUB20" s="204"/>
      <c r="BUC20" s="204"/>
      <c r="BUD20" s="204"/>
      <c r="BUE20" s="204"/>
      <c r="BUF20" s="204"/>
      <c r="BUG20" s="204"/>
      <c r="BUH20" s="204"/>
      <c r="BUI20" s="204"/>
      <c r="BUJ20" s="204"/>
      <c r="BUK20" s="204"/>
      <c r="BUL20" s="204"/>
      <c r="BUM20" s="204"/>
      <c r="BUN20" s="204"/>
      <c r="BUO20" s="204"/>
      <c r="BUP20" s="204"/>
      <c r="BUQ20" s="204"/>
      <c r="BUR20" s="204"/>
      <c r="BUS20" s="204"/>
      <c r="BUT20" s="204"/>
      <c r="BUU20" s="204"/>
      <c r="BUV20" s="204"/>
      <c r="BUW20" s="204"/>
      <c r="BUX20" s="204"/>
      <c r="BUY20" s="204"/>
      <c r="BUZ20" s="204"/>
      <c r="BVA20" s="204"/>
      <c r="BVB20" s="204"/>
      <c r="BVC20" s="204"/>
      <c r="BVD20" s="204"/>
      <c r="BVE20" s="204"/>
      <c r="BVF20" s="204"/>
      <c r="BVG20" s="204"/>
      <c r="BVH20" s="204"/>
      <c r="BVI20" s="204"/>
      <c r="BVJ20" s="204"/>
      <c r="BVK20" s="204"/>
      <c r="BVL20" s="204"/>
      <c r="BVM20" s="204"/>
      <c r="BVN20" s="204"/>
      <c r="BVO20" s="204"/>
      <c r="BVP20" s="204"/>
      <c r="BVQ20" s="204"/>
      <c r="BVR20" s="204"/>
      <c r="BVS20" s="204"/>
      <c r="BVT20" s="204"/>
      <c r="BVU20" s="204"/>
      <c r="BVV20" s="204"/>
      <c r="BVW20" s="204"/>
      <c r="BVX20" s="204"/>
      <c r="BVY20" s="204"/>
      <c r="BVZ20" s="204"/>
      <c r="BWA20" s="204"/>
      <c r="BWB20" s="204"/>
      <c r="BWC20" s="204"/>
      <c r="BWD20" s="204"/>
      <c r="BWE20" s="204"/>
      <c r="BWF20" s="204"/>
      <c r="BWG20" s="204"/>
      <c r="BWH20" s="204"/>
      <c r="BWI20" s="204"/>
      <c r="BWJ20" s="204"/>
      <c r="BWK20" s="204"/>
      <c r="BWL20" s="204"/>
      <c r="BWM20" s="204"/>
      <c r="BWN20" s="204"/>
      <c r="BWO20" s="204"/>
      <c r="BWP20" s="204"/>
      <c r="BWQ20" s="204"/>
      <c r="BWR20" s="204"/>
      <c r="BWS20" s="204"/>
      <c r="BWT20" s="204"/>
      <c r="BWU20" s="204"/>
      <c r="BWV20" s="204"/>
      <c r="BWW20" s="204"/>
      <c r="BWX20" s="204"/>
      <c r="BWY20" s="204"/>
      <c r="BWZ20" s="204"/>
      <c r="BXA20" s="204"/>
      <c r="BXB20" s="204"/>
      <c r="BXC20" s="204"/>
      <c r="BXD20" s="204"/>
      <c r="BXE20" s="204"/>
      <c r="BXF20" s="204"/>
      <c r="BXG20" s="204"/>
      <c r="BXH20" s="204"/>
      <c r="BXI20" s="204"/>
      <c r="BXJ20" s="204"/>
      <c r="BXK20" s="204"/>
      <c r="BXL20" s="204"/>
      <c r="BXM20" s="204"/>
      <c r="BXN20" s="204"/>
      <c r="BXO20" s="204"/>
      <c r="BXP20" s="204"/>
      <c r="BXQ20" s="204"/>
      <c r="BXR20" s="204"/>
      <c r="BXS20" s="204"/>
      <c r="BXT20" s="204"/>
      <c r="BXU20" s="204"/>
      <c r="BXV20" s="204"/>
      <c r="BXW20" s="204"/>
      <c r="BXX20" s="204"/>
      <c r="BXY20" s="204"/>
      <c r="BXZ20" s="204"/>
      <c r="BYA20" s="204"/>
      <c r="BYB20" s="204"/>
      <c r="BYC20" s="204"/>
      <c r="BYD20" s="204"/>
      <c r="BYE20" s="204"/>
      <c r="BYF20" s="204"/>
      <c r="BYG20" s="204"/>
      <c r="BYH20" s="204"/>
      <c r="BYI20" s="204"/>
      <c r="BYJ20" s="204"/>
      <c r="BYK20" s="204"/>
      <c r="BYL20" s="204"/>
      <c r="BYM20" s="204"/>
      <c r="BYN20" s="204"/>
      <c r="BYO20" s="204"/>
      <c r="BYP20" s="204"/>
      <c r="BYQ20" s="204"/>
      <c r="BYR20" s="204"/>
      <c r="BYS20" s="204"/>
      <c r="BYT20" s="204"/>
      <c r="BYU20" s="204"/>
      <c r="BYV20" s="204"/>
      <c r="BYW20" s="204"/>
      <c r="BYX20" s="204"/>
      <c r="BYY20" s="204"/>
      <c r="BYZ20" s="204"/>
      <c r="BZA20" s="204"/>
      <c r="BZB20" s="204"/>
      <c r="BZC20" s="204"/>
      <c r="BZD20" s="204"/>
      <c r="BZE20" s="204"/>
      <c r="BZF20" s="204"/>
      <c r="BZG20" s="204"/>
      <c r="BZH20" s="204"/>
      <c r="BZI20" s="204"/>
      <c r="BZJ20" s="204"/>
      <c r="BZK20" s="204"/>
      <c r="BZL20" s="204"/>
      <c r="BZM20" s="204"/>
      <c r="BZN20" s="204"/>
      <c r="BZO20" s="204"/>
      <c r="BZP20" s="204"/>
      <c r="BZQ20" s="204"/>
      <c r="BZR20" s="204"/>
      <c r="BZS20" s="204"/>
      <c r="BZT20" s="204"/>
      <c r="BZU20" s="204"/>
      <c r="BZV20" s="204"/>
      <c r="BZW20" s="204"/>
      <c r="BZX20" s="204"/>
      <c r="BZY20" s="204"/>
      <c r="BZZ20" s="204"/>
      <c r="CAA20" s="204"/>
      <c r="CAB20" s="204"/>
      <c r="CAC20" s="204"/>
      <c r="CAD20" s="204"/>
      <c r="CAE20" s="204"/>
      <c r="CAF20" s="204"/>
      <c r="CAG20" s="204"/>
      <c r="CAH20" s="204"/>
      <c r="CAI20" s="204"/>
      <c r="CAJ20" s="204"/>
      <c r="CAK20" s="204"/>
      <c r="CAL20" s="204"/>
      <c r="CAM20" s="204"/>
      <c r="CAN20" s="204"/>
      <c r="CAO20" s="204"/>
      <c r="CAP20" s="204"/>
      <c r="CAQ20" s="204"/>
      <c r="CAR20" s="204"/>
      <c r="CAS20" s="204"/>
      <c r="CAT20" s="204"/>
      <c r="CAU20" s="204"/>
      <c r="CAV20" s="204"/>
      <c r="CAW20" s="204"/>
      <c r="CAX20" s="204"/>
      <c r="CAY20" s="204"/>
      <c r="CAZ20" s="204"/>
      <c r="CBA20" s="204"/>
      <c r="CBB20" s="204"/>
      <c r="CBC20" s="204"/>
      <c r="CBD20" s="204"/>
      <c r="CBE20" s="204"/>
      <c r="CBF20" s="204"/>
      <c r="CBG20" s="204"/>
      <c r="CBH20" s="204"/>
      <c r="CBI20" s="204"/>
      <c r="CBJ20" s="204"/>
      <c r="CBK20" s="204"/>
      <c r="CBL20" s="204"/>
      <c r="CBM20" s="204"/>
      <c r="CBN20" s="204"/>
      <c r="CBO20" s="204"/>
      <c r="CBP20" s="204"/>
      <c r="CBQ20" s="204"/>
      <c r="CBR20" s="204"/>
      <c r="CBS20" s="204"/>
      <c r="CBT20" s="204"/>
      <c r="CBU20" s="204"/>
      <c r="CBV20" s="204"/>
      <c r="CBW20" s="204"/>
      <c r="CBX20" s="204"/>
      <c r="CBY20" s="204"/>
      <c r="CBZ20" s="204"/>
      <c r="CCA20" s="204"/>
      <c r="CCB20" s="204"/>
      <c r="CCC20" s="204"/>
      <c r="CCD20" s="204"/>
      <c r="CCE20" s="204"/>
      <c r="CCF20" s="204"/>
      <c r="CCG20" s="204"/>
      <c r="CCH20" s="204"/>
      <c r="CCI20" s="204"/>
      <c r="CCJ20" s="204"/>
      <c r="CCK20" s="204"/>
      <c r="CCL20" s="204"/>
      <c r="CCM20" s="204"/>
      <c r="CCN20" s="204"/>
      <c r="CCO20" s="204"/>
      <c r="CCP20" s="204"/>
      <c r="CCQ20" s="204"/>
      <c r="CCR20" s="204"/>
      <c r="CCS20" s="204"/>
      <c r="CCT20" s="204"/>
      <c r="CCU20" s="204"/>
      <c r="CCV20" s="204"/>
      <c r="CCW20" s="204"/>
      <c r="CCX20" s="204"/>
      <c r="CCY20" s="204"/>
      <c r="CCZ20" s="204"/>
      <c r="CDA20" s="204"/>
      <c r="CDB20" s="204"/>
      <c r="CDC20" s="204"/>
      <c r="CDD20" s="204"/>
      <c r="CDE20" s="204"/>
      <c r="CDF20" s="204"/>
      <c r="CDG20" s="204"/>
      <c r="CDH20" s="204"/>
      <c r="CDI20" s="204"/>
      <c r="CDJ20" s="204"/>
      <c r="CDK20" s="204"/>
      <c r="CDL20" s="204"/>
      <c r="CDM20" s="204"/>
      <c r="CDN20" s="204"/>
      <c r="CDO20" s="204"/>
      <c r="CDP20" s="204"/>
      <c r="CDQ20" s="204"/>
      <c r="CDR20" s="204"/>
      <c r="CDS20" s="204"/>
      <c r="CDT20" s="204"/>
      <c r="CDU20" s="204"/>
      <c r="CDV20" s="204"/>
      <c r="CDW20" s="204"/>
      <c r="CDX20" s="204"/>
      <c r="CDY20" s="204"/>
      <c r="CDZ20" s="204"/>
      <c r="CEA20" s="204"/>
      <c r="CEB20" s="204"/>
      <c r="CEC20" s="204"/>
      <c r="CED20" s="204"/>
      <c r="CEE20" s="204"/>
      <c r="CEF20" s="204"/>
      <c r="CEG20" s="204"/>
      <c r="CEH20" s="204"/>
      <c r="CEI20" s="204"/>
      <c r="CEJ20" s="204"/>
      <c r="CEK20" s="204"/>
      <c r="CEL20" s="204"/>
      <c r="CEM20" s="204"/>
      <c r="CEN20" s="204"/>
      <c r="CEO20" s="204"/>
      <c r="CEP20" s="204"/>
      <c r="CEQ20" s="204"/>
      <c r="CER20" s="204"/>
      <c r="CES20" s="204"/>
      <c r="CET20" s="204"/>
      <c r="CEU20" s="204"/>
      <c r="CEV20" s="204"/>
      <c r="CEW20" s="204"/>
      <c r="CEX20" s="204"/>
      <c r="CEY20" s="204"/>
      <c r="CEZ20" s="204"/>
      <c r="CFA20" s="204"/>
      <c r="CFB20" s="204"/>
      <c r="CFC20" s="204"/>
      <c r="CFD20" s="204"/>
      <c r="CFE20" s="204"/>
      <c r="CFF20" s="204"/>
      <c r="CFG20" s="204"/>
      <c r="CFH20" s="204"/>
      <c r="CFI20" s="204"/>
      <c r="CFJ20" s="204"/>
      <c r="CFK20" s="204"/>
      <c r="CFL20" s="204"/>
      <c r="CFM20" s="204"/>
      <c r="CFN20" s="204"/>
      <c r="CFO20" s="204"/>
      <c r="CFP20" s="204"/>
      <c r="CFQ20" s="204"/>
      <c r="CFR20" s="204"/>
      <c r="CFS20" s="204"/>
      <c r="CFT20" s="204"/>
      <c r="CFU20" s="204"/>
      <c r="CFV20" s="204"/>
      <c r="CFW20" s="204"/>
      <c r="CFX20" s="204"/>
      <c r="CFY20" s="204"/>
      <c r="CFZ20" s="204"/>
      <c r="CGA20" s="204"/>
      <c r="CGB20" s="204"/>
      <c r="CGC20" s="204"/>
      <c r="CGD20" s="204"/>
      <c r="CGE20" s="204"/>
      <c r="CGF20" s="204"/>
      <c r="CGG20" s="204"/>
      <c r="CGH20" s="204"/>
      <c r="CGI20" s="204"/>
      <c r="CGJ20" s="204"/>
      <c r="CGK20" s="204"/>
      <c r="CGL20" s="204"/>
      <c r="CGM20" s="204"/>
      <c r="CGN20" s="204"/>
      <c r="CGO20" s="204"/>
      <c r="CGP20" s="204"/>
      <c r="CGQ20" s="204"/>
      <c r="CGR20" s="204"/>
      <c r="CGS20" s="204"/>
      <c r="CGT20" s="204"/>
      <c r="CGU20" s="204"/>
      <c r="CGV20" s="204"/>
      <c r="CGW20" s="204"/>
      <c r="CGX20" s="204"/>
      <c r="CGY20" s="204"/>
      <c r="CGZ20" s="204"/>
      <c r="CHA20" s="204"/>
      <c r="CHB20" s="204"/>
      <c r="CHC20" s="204"/>
      <c r="CHD20" s="204"/>
      <c r="CHE20" s="204"/>
      <c r="CHF20" s="204"/>
      <c r="CHG20" s="204"/>
      <c r="CHH20" s="204"/>
      <c r="CHI20" s="204"/>
      <c r="CHJ20" s="204"/>
      <c r="CHK20" s="204"/>
      <c r="CHL20" s="204"/>
      <c r="CHM20" s="204"/>
      <c r="CHN20" s="204"/>
      <c r="CHO20" s="204"/>
      <c r="CHP20" s="204"/>
      <c r="CHQ20" s="204"/>
      <c r="CHR20" s="204"/>
      <c r="CHS20" s="204"/>
      <c r="CHT20" s="204"/>
      <c r="CHU20" s="204"/>
      <c r="CHV20" s="204"/>
      <c r="CHW20" s="204"/>
      <c r="CHX20" s="204"/>
      <c r="CHY20" s="204"/>
      <c r="CHZ20" s="204"/>
      <c r="CIA20" s="204"/>
      <c r="CIB20" s="204"/>
      <c r="CIC20" s="204"/>
      <c r="CID20" s="204"/>
      <c r="CIE20" s="204"/>
      <c r="CIF20" s="204"/>
      <c r="CIG20" s="204"/>
      <c r="CIH20" s="204"/>
      <c r="CII20" s="204"/>
      <c r="CIJ20" s="204"/>
      <c r="CIK20" s="204"/>
      <c r="CIL20" s="204"/>
      <c r="CIM20" s="204"/>
      <c r="CIN20" s="204"/>
      <c r="CIO20" s="204"/>
      <c r="CIP20" s="204"/>
      <c r="CIQ20" s="204"/>
      <c r="CIR20" s="204"/>
      <c r="CIS20" s="204"/>
      <c r="CIT20" s="204"/>
      <c r="CIU20" s="204"/>
      <c r="CIV20" s="204"/>
      <c r="CIW20" s="204"/>
      <c r="CIX20" s="204"/>
      <c r="CIY20" s="204"/>
      <c r="CIZ20" s="204"/>
      <c r="CJA20" s="204"/>
      <c r="CJB20" s="204"/>
      <c r="CJC20" s="204"/>
      <c r="CJD20" s="204"/>
      <c r="CJE20" s="204"/>
      <c r="CJF20" s="204"/>
      <c r="CJG20" s="204"/>
      <c r="CJH20" s="204"/>
      <c r="CJI20" s="204"/>
      <c r="CJJ20" s="204"/>
      <c r="CJK20" s="204"/>
      <c r="CJL20" s="204"/>
      <c r="CJM20" s="204"/>
      <c r="CJN20" s="204"/>
      <c r="CJO20" s="204"/>
      <c r="CJP20" s="204"/>
      <c r="CJQ20" s="204"/>
      <c r="CJR20" s="204"/>
      <c r="CJS20" s="204"/>
      <c r="CJT20" s="204"/>
      <c r="CJU20" s="204"/>
      <c r="CJV20" s="204"/>
      <c r="CJW20" s="204"/>
      <c r="CJX20" s="204"/>
      <c r="CJY20" s="204"/>
      <c r="CJZ20" s="204"/>
      <c r="CKA20" s="204"/>
      <c r="CKB20" s="204"/>
      <c r="CKC20" s="204"/>
      <c r="CKD20" s="204"/>
      <c r="CKE20" s="204"/>
      <c r="CKF20" s="204"/>
      <c r="CKG20" s="204"/>
      <c r="CKH20" s="204"/>
      <c r="CKI20" s="204"/>
      <c r="CKJ20" s="204"/>
      <c r="CKK20" s="204"/>
      <c r="CKL20" s="204"/>
      <c r="CKM20" s="204"/>
      <c r="CKN20" s="204"/>
      <c r="CKO20" s="204"/>
      <c r="CKP20" s="204"/>
      <c r="CKQ20" s="204"/>
      <c r="CKR20" s="204"/>
      <c r="CKS20" s="204"/>
      <c r="CKT20" s="204"/>
      <c r="CKU20" s="204"/>
      <c r="CKV20" s="204"/>
      <c r="CKW20" s="204"/>
      <c r="CKX20" s="204"/>
      <c r="CKY20" s="204"/>
      <c r="CKZ20" s="204"/>
      <c r="CLA20" s="204"/>
      <c r="CLB20" s="204"/>
      <c r="CLC20" s="204"/>
      <c r="CLD20" s="204"/>
      <c r="CLE20" s="204"/>
      <c r="CLF20" s="204"/>
      <c r="CLG20" s="204"/>
      <c r="CLH20" s="204"/>
      <c r="CLI20" s="204"/>
      <c r="CLJ20" s="204"/>
      <c r="CLK20" s="204"/>
      <c r="CLL20" s="204"/>
      <c r="CLM20" s="204"/>
      <c r="CLN20" s="204"/>
      <c r="CLO20" s="204"/>
      <c r="CLP20" s="204"/>
      <c r="CLQ20" s="204"/>
      <c r="CLR20" s="204"/>
      <c r="CLS20" s="204"/>
      <c r="CLT20" s="204"/>
      <c r="CLU20" s="204"/>
      <c r="CLV20" s="204"/>
      <c r="CLW20" s="204"/>
      <c r="CLX20" s="204"/>
      <c r="CLY20" s="204"/>
      <c r="CLZ20" s="204"/>
      <c r="CMA20" s="204"/>
      <c r="CMB20" s="204"/>
      <c r="CMC20" s="204"/>
      <c r="CMD20" s="204"/>
      <c r="CME20" s="204"/>
      <c r="CMF20" s="204"/>
      <c r="CMG20" s="204"/>
      <c r="CMH20" s="204"/>
      <c r="CMI20" s="204"/>
      <c r="CMJ20" s="204"/>
      <c r="CMK20" s="204"/>
      <c r="CML20" s="204"/>
      <c r="CMM20" s="204"/>
      <c r="CMN20" s="204"/>
      <c r="CMO20" s="204"/>
      <c r="CMP20" s="204"/>
      <c r="CMQ20" s="204"/>
      <c r="CMR20" s="204"/>
      <c r="CMS20" s="204"/>
      <c r="CMT20" s="204"/>
      <c r="CMU20" s="204"/>
      <c r="CMV20" s="204"/>
      <c r="CMW20" s="204"/>
      <c r="CMX20" s="204"/>
      <c r="CMY20" s="204"/>
      <c r="CMZ20" s="204"/>
      <c r="CNA20" s="204"/>
      <c r="CNB20" s="204"/>
      <c r="CNC20" s="204"/>
      <c r="CND20" s="204"/>
      <c r="CNE20" s="204"/>
      <c r="CNF20" s="204"/>
      <c r="CNG20" s="204"/>
      <c r="CNH20" s="204"/>
      <c r="CNI20" s="204"/>
      <c r="CNJ20" s="204"/>
      <c r="CNK20" s="204"/>
      <c r="CNL20" s="204"/>
      <c r="CNM20" s="204"/>
      <c r="CNN20" s="204"/>
      <c r="CNO20" s="204"/>
      <c r="CNP20" s="204"/>
      <c r="CNQ20" s="204"/>
      <c r="CNR20" s="204"/>
      <c r="CNS20" s="204"/>
      <c r="CNT20" s="204"/>
      <c r="CNU20" s="204"/>
      <c r="CNV20" s="204"/>
      <c r="CNW20" s="204"/>
      <c r="CNX20" s="204"/>
      <c r="CNY20" s="204"/>
      <c r="CNZ20" s="204"/>
      <c r="COA20" s="204"/>
      <c r="COB20" s="204"/>
      <c r="COC20" s="204"/>
      <c r="COD20" s="204"/>
      <c r="COE20" s="204"/>
      <c r="COF20" s="204"/>
      <c r="COG20" s="204"/>
      <c r="COH20" s="204"/>
      <c r="COI20" s="204"/>
      <c r="COJ20" s="204"/>
      <c r="COK20" s="204"/>
      <c r="COL20" s="204"/>
      <c r="COM20" s="204"/>
      <c r="CON20" s="204"/>
      <c r="COO20" s="204"/>
      <c r="COP20" s="204"/>
      <c r="COQ20" s="204"/>
      <c r="COR20" s="204"/>
      <c r="COS20" s="204"/>
      <c r="COT20" s="204"/>
      <c r="COU20" s="204"/>
      <c r="COV20" s="204"/>
      <c r="COW20" s="204"/>
      <c r="COX20" s="204"/>
      <c r="COY20" s="204"/>
      <c r="COZ20" s="204"/>
      <c r="CPA20" s="204"/>
      <c r="CPB20" s="204"/>
      <c r="CPC20" s="204"/>
      <c r="CPD20" s="204"/>
      <c r="CPE20" s="204"/>
      <c r="CPF20" s="204"/>
      <c r="CPG20" s="204"/>
      <c r="CPH20" s="204"/>
      <c r="CPI20" s="204"/>
      <c r="CPJ20" s="204"/>
      <c r="CPK20" s="204"/>
      <c r="CPL20" s="204"/>
      <c r="CPM20" s="204"/>
      <c r="CPN20" s="204"/>
      <c r="CPO20" s="204"/>
      <c r="CPP20" s="204"/>
      <c r="CPQ20" s="204"/>
      <c r="CPR20" s="204"/>
      <c r="CPS20" s="204"/>
      <c r="CPT20" s="204"/>
      <c r="CPU20" s="204"/>
      <c r="CPV20" s="204"/>
      <c r="CPW20" s="204"/>
      <c r="CPX20" s="204"/>
      <c r="CPY20" s="204"/>
      <c r="CPZ20" s="204"/>
      <c r="CQA20" s="204"/>
      <c r="CQB20" s="204"/>
      <c r="CQC20" s="204"/>
      <c r="CQD20" s="204"/>
      <c r="CQE20" s="204"/>
      <c r="CQF20" s="204"/>
      <c r="CQG20" s="204"/>
      <c r="CQH20" s="204"/>
      <c r="CQI20" s="204"/>
      <c r="CQJ20" s="204"/>
      <c r="CQK20" s="204"/>
      <c r="CQL20" s="204"/>
      <c r="CQM20" s="204"/>
      <c r="CQN20" s="204"/>
      <c r="CQO20" s="204"/>
      <c r="CQP20" s="204"/>
      <c r="CQQ20" s="204"/>
      <c r="CQR20" s="204"/>
      <c r="CQS20" s="204"/>
      <c r="CQT20" s="204"/>
      <c r="CQU20" s="204"/>
      <c r="CQV20" s="204"/>
      <c r="CQW20" s="204"/>
      <c r="CQX20" s="204"/>
      <c r="CQY20" s="204"/>
      <c r="CQZ20" s="204"/>
      <c r="CRA20" s="204"/>
      <c r="CRB20" s="204"/>
      <c r="CRC20" s="204"/>
      <c r="CRD20" s="204"/>
      <c r="CRE20" s="204"/>
      <c r="CRF20" s="204"/>
      <c r="CRG20" s="204"/>
      <c r="CRH20" s="204"/>
      <c r="CRI20" s="204"/>
      <c r="CRJ20" s="204"/>
      <c r="CRK20" s="204"/>
      <c r="CRL20" s="204"/>
      <c r="CRM20" s="204"/>
      <c r="CRN20" s="204"/>
      <c r="CRO20" s="204"/>
      <c r="CRP20" s="204"/>
      <c r="CRQ20" s="204"/>
      <c r="CRR20" s="204"/>
      <c r="CRS20" s="204"/>
      <c r="CRT20" s="204"/>
      <c r="CRU20" s="204"/>
      <c r="CRV20" s="204"/>
      <c r="CRW20" s="204"/>
      <c r="CRX20" s="204"/>
      <c r="CRY20" s="204"/>
      <c r="CRZ20" s="204"/>
      <c r="CSA20" s="204"/>
      <c r="CSB20" s="204"/>
      <c r="CSC20" s="204"/>
      <c r="CSD20" s="204"/>
      <c r="CSE20" s="204"/>
      <c r="CSF20" s="204"/>
      <c r="CSG20" s="204"/>
      <c r="CSH20" s="204"/>
      <c r="CSI20" s="204"/>
      <c r="CSJ20" s="204"/>
      <c r="CSK20" s="204"/>
      <c r="CSL20" s="204"/>
      <c r="CSM20" s="204"/>
      <c r="CSN20" s="204"/>
      <c r="CSO20" s="204"/>
      <c r="CSP20" s="204"/>
      <c r="CSQ20" s="204"/>
      <c r="CSR20" s="204"/>
      <c r="CSS20" s="204"/>
      <c r="CST20" s="204"/>
      <c r="CSU20" s="204"/>
      <c r="CSV20" s="204"/>
      <c r="CSW20" s="204"/>
      <c r="CSX20" s="204"/>
      <c r="CSY20" s="204"/>
      <c r="CSZ20" s="204"/>
      <c r="CTA20" s="204"/>
      <c r="CTB20" s="204"/>
      <c r="CTC20" s="204"/>
      <c r="CTD20" s="204"/>
      <c r="CTE20" s="204"/>
      <c r="CTF20" s="204"/>
      <c r="CTG20" s="204"/>
      <c r="CTH20" s="204"/>
      <c r="CTI20" s="204"/>
      <c r="CTJ20" s="204"/>
      <c r="CTK20" s="204"/>
      <c r="CTL20" s="204"/>
      <c r="CTM20" s="204"/>
      <c r="CTN20" s="204"/>
      <c r="CTO20" s="204"/>
      <c r="CTP20" s="204"/>
      <c r="CTQ20" s="204"/>
      <c r="CTR20" s="204"/>
      <c r="CTS20" s="204"/>
      <c r="CTT20" s="204"/>
      <c r="CTU20" s="204"/>
      <c r="CTV20" s="204"/>
      <c r="CTW20" s="204"/>
      <c r="CTX20" s="204"/>
      <c r="CTY20" s="204"/>
      <c r="CTZ20" s="204"/>
      <c r="CUA20" s="204"/>
      <c r="CUB20" s="204"/>
      <c r="CUC20" s="204"/>
      <c r="CUD20" s="204"/>
      <c r="CUE20" s="204"/>
      <c r="CUF20" s="204"/>
      <c r="CUG20" s="204"/>
      <c r="CUH20" s="204"/>
      <c r="CUI20" s="204"/>
      <c r="CUJ20" s="204"/>
      <c r="CUK20" s="204"/>
      <c r="CUL20" s="204"/>
      <c r="CUM20" s="204"/>
      <c r="CUN20" s="204"/>
      <c r="CUO20" s="204"/>
      <c r="CUP20" s="204"/>
      <c r="CUQ20" s="204"/>
      <c r="CUR20" s="204"/>
      <c r="CUS20" s="204"/>
      <c r="CUT20" s="204"/>
      <c r="CUU20" s="204"/>
      <c r="CUV20" s="204"/>
      <c r="CUW20" s="204"/>
      <c r="CUX20" s="204"/>
      <c r="CUY20" s="204"/>
      <c r="CUZ20" s="204"/>
      <c r="CVA20" s="204"/>
      <c r="CVB20" s="204"/>
      <c r="CVC20" s="204"/>
      <c r="CVD20" s="204"/>
      <c r="CVE20" s="204"/>
      <c r="CVF20" s="204"/>
      <c r="CVG20" s="204"/>
      <c r="CVH20" s="204"/>
      <c r="CVI20" s="204"/>
      <c r="CVJ20" s="204"/>
      <c r="CVK20" s="204"/>
      <c r="CVL20" s="204"/>
      <c r="CVM20" s="204"/>
      <c r="CVN20" s="204"/>
      <c r="CVO20" s="204"/>
      <c r="CVP20" s="204"/>
      <c r="CVQ20" s="204"/>
      <c r="CVR20" s="204"/>
      <c r="CVS20" s="204"/>
      <c r="CVT20" s="204"/>
      <c r="CVU20" s="204"/>
      <c r="CVV20" s="204"/>
      <c r="CVW20" s="204"/>
      <c r="CVX20" s="204"/>
      <c r="CVY20" s="204"/>
      <c r="CVZ20" s="204"/>
      <c r="CWA20" s="204"/>
      <c r="CWB20" s="204"/>
      <c r="CWC20" s="204"/>
      <c r="CWD20" s="204"/>
      <c r="CWE20" s="204"/>
      <c r="CWF20" s="204"/>
      <c r="CWG20" s="204"/>
      <c r="CWH20" s="204"/>
      <c r="CWI20" s="204"/>
      <c r="CWJ20" s="204"/>
      <c r="CWK20" s="204"/>
      <c r="CWL20" s="204"/>
      <c r="CWM20" s="204"/>
      <c r="CWN20" s="204"/>
      <c r="CWO20" s="204"/>
      <c r="CWP20" s="204"/>
      <c r="CWQ20" s="204"/>
      <c r="CWR20" s="204"/>
      <c r="CWS20" s="204"/>
      <c r="CWT20" s="204"/>
      <c r="CWU20" s="204"/>
      <c r="CWV20" s="204"/>
      <c r="CWW20" s="204"/>
      <c r="CWX20" s="204"/>
      <c r="CWY20" s="204"/>
      <c r="CWZ20" s="204"/>
      <c r="CXA20" s="204"/>
      <c r="CXB20" s="204"/>
      <c r="CXC20" s="204"/>
      <c r="CXD20" s="204"/>
      <c r="CXE20" s="204"/>
      <c r="CXF20" s="204"/>
      <c r="CXG20" s="204"/>
      <c r="CXH20" s="204"/>
      <c r="CXI20" s="204"/>
      <c r="CXJ20" s="204"/>
      <c r="CXK20" s="204"/>
      <c r="CXL20" s="204"/>
      <c r="CXM20" s="204"/>
      <c r="CXN20" s="204"/>
      <c r="CXO20" s="204"/>
      <c r="CXP20" s="204"/>
      <c r="CXQ20" s="204"/>
      <c r="CXR20" s="204"/>
      <c r="CXS20" s="204"/>
      <c r="CXT20" s="204"/>
      <c r="CXU20" s="204"/>
      <c r="CXV20" s="204"/>
      <c r="CXW20" s="204"/>
      <c r="CXX20" s="204"/>
      <c r="CXY20" s="204"/>
      <c r="CXZ20" s="204"/>
      <c r="CYA20" s="204"/>
      <c r="CYB20" s="204"/>
      <c r="CYC20" s="204"/>
      <c r="CYD20" s="204"/>
      <c r="CYE20" s="204"/>
      <c r="CYF20" s="204"/>
      <c r="CYG20" s="204"/>
      <c r="CYH20" s="204"/>
      <c r="CYI20" s="204"/>
      <c r="CYJ20" s="204"/>
      <c r="CYK20" s="204"/>
      <c r="CYL20" s="204"/>
      <c r="CYM20" s="204"/>
      <c r="CYN20" s="204"/>
      <c r="CYO20" s="204"/>
      <c r="CYP20" s="204"/>
      <c r="CYQ20" s="204"/>
      <c r="CYR20" s="204"/>
      <c r="CYS20" s="204"/>
      <c r="CYT20" s="204"/>
      <c r="CYU20" s="204"/>
      <c r="CYV20" s="204"/>
      <c r="CYW20" s="204"/>
      <c r="CYX20" s="204"/>
      <c r="CYY20" s="204"/>
      <c r="CYZ20" s="204"/>
      <c r="CZA20" s="204"/>
      <c r="CZB20" s="204"/>
      <c r="CZC20" s="204"/>
      <c r="CZD20" s="204"/>
      <c r="CZE20" s="204"/>
      <c r="CZF20" s="204"/>
      <c r="CZG20" s="204"/>
      <c r="CZH20" s="204"/>
      <c r="CZI20" s="204"/>
      <c r="CZJ20" s="204"/>
      <c r="CZK20" s="204"/>
      <c r="CZL20" s="204"/>
      <c r="CZM20" s="204"/>
      <c r="CZN20" s="204"/>
      <c r="CZO20" s="204"/>
      <c r="CZP20" s="204"/>
      <c r="CZQ20" s="204"/>
      <c r="CZR20" s="204"/>
      <c r="CZS20" s="204"/>
      <c r="CZT20" s="204"/>
      <c r="CZU20" s="204"/>
      <c r="CZV20" s="204"/>
      <c r="CZW20" s="204"/>
      <c r="CZX20" s="204"/>
      <c r="CZY20" s="204"/>
      <c r="CZZ20" s="204"/>
      <c r="DAA20" s="204"/>
      <c r="DAB20" s="204"/>
      <c r="DAC20" s="204"/>
      <c r="DAD20" s="204"/>
      <c r="DAE20" s="204"/>
      <c r="DAF20" s="204"/>
      <c r="DAG20" s="204"/>
      <c r="DAH20" s="204"/>
      <c r="DAI20" s="204"/>
      <c r="DAJ20" s="204"/>
      <c r="DAK20" s="204"/>
      <c r="DAL20" s="204"/>
      <c r="DAM20" s="204"/>
      <c r="DAN20" s="204"/>
      <c r="DAO20" s="204"/>
      <c r="DAP20" s="204"/>
      <c r="DAQ20" s="204"/>
      <c r="DAR20" s="204"/>
      <c r="DAS20" s="204"/>
      <c r="DAT20" s="204"/>
      <c r="DAU20" s="204"/>
      <c r="DAV20" s="204"/>
      <c r="DAW20" s="204"/>
      <c r="DAX20" s="204"/>
      <c r="DAY20" s="204"/>
      <c r="DAZ20" s="204"/>
      <c r="DBA20" s="204"/>
      <c r="DBB20" s="204"/>
      <c r="DBC20" s="204"/>
      <c r="DBD20" s="204"/>
      <c r="DBE20" s="204"/>
      <c r="DBF20" s="204"/>
      <c r="DBG20" s="204"/>
      <c r="DBH20" s="204"/>
      <c r="DBI20" s="204"/>
      <c r="DBJ20" s="204"/>
      <c r="DBK20" s="204"/>
      <c r="DBL20" s="204"/>
      <c r="DBM20" s="204"/>
      <c r="DBN20" s="204"/>
      <c r="DBO20" s="204"/>
      <c r="DBP20" s="204"/>
      <c r="DBQ20" s="204"/>
      <c r="DBR20" s="204"/>
      <c r="DBS20" s="204"/>
      <c r="DBT20" s="204"/>
      <c r="DBU20" s="204"/>
      <c r="DBV20" s="204"/>
      <c r="DBW20" s="204"/>
      <c r="DBX20" s="204"/>
      <c r="DBY20" s="204"/>
      <c r="DBZ20" s="204"/>
      <c r="DCA20" s="204"/>
      <c r="DCB20" s="204"/>
      <c r="DCC20" s="204"/>
      <c r="DCD20" s="204"/>
      <c r="DCE20" s="204"/>
      <c r="DCF20" s="204"/>
      <c r="DCG20" s="204"/>
      <c r="DCH20" s="204"/>
      <c r="DCI20" s="204"/>
      <c r="DCJ20" s="204"/>
      <c r="DCK20" s="204"/>
      <c r="DCL20" s="204"/>
      <c r="DCM20" s="204"/>
      <c r="DCN20" s="204"/>
      <c r="DCO20" s="204"/>
      <c r="DCP20" s="204"/>
      <c r="DCQ20" s="204"/>
      <c r="DCR20" s="204"/>
      <c r="DCS20" s="204"/>
      <c r="DCT20" s="204"/>
      <c r="DCU20" s="204"/>
      <c r="DCV20" s="204"/>
      <c r="DCW20" s="204"/>
      <c r="DCX20" s="204"/>
      <c r="DCY20" s="204"/>
      <c r="DCZ20" s="204"/>
      <c r="DDA20" s="204"/>
      <c r="DDB20" s="204"/>
      <c r="DDC20" s="204"/>
      <c r="DDD20" s="204"/>
      <c r="DDE20" s="204"/>
      <c r="DDF20" s="204"/>
      <c r="DDG20" s="204"/>
      <c r="DDH20" s="204"/>
      <c r="DDI20" s="204"/>
      <c r="DDJ20" s="204"/>
      <c r="DDK20" s="204"/>
      <c r="DDL20" s="204"/>
      <c r="DDM20" s="204"/>
      <c r="DDN20" s="204"/>
      <c r="DDO20" s="204"/>
      <c r="DDP20" s="204"/>
      <c r="DDQ20" s="204"/>
      <c r="DDR20" s="204"/>
      <c r="DDS20" s="204"/>
      <c r="DDT20" s="204"/>
      <c r="DDU20" s="204"/>
      <c r="DDV20" s="204"/>
      <c r="DDW20" s="204"/>
      <c r="DDX20" s="204"/>
      <c r="DDY20" s="204"/>
      <c r="DDZ20" s="204"/>
      <c r="DEA20" s="204"/>
      <c r="DEB20" s="204"/>
      <c r="DEC20" s="204"/>
      <c r="DED20" s="204"/>
      <c r="DEE20" s="204"/>
      <c r="DEF20" s="204"/>
      <c r="DEG20" s="204"/>
      <c r="DEH20" s="204"/>
      <c r="DEI20" s="204"/>
      <c r="DEJ20" s="204"/>
      <c r="DEK20" s="204"/>
      <c r="DEL20" s="204"/>
      <c r="DEM20" s="204"/>
      <c r="DEN20" s="204"/>
      <c r="DEO20" s="204"/>
      <c r="DEP20" s="204"/>
      <c r="DEQ20" s="204"/>
      <c r="DER20" s="204"/>
      <c r="DES20" s="204"/>
      <c r="DET20" s="204"/>
      <c r="DEU20" s="204"/>
      <c r="DEV20" s="204"/>
      <c r="DEW20" s="204"/>
      <c r="DEX20" s="204"/>
      <c r="DEY20" s="204"/>
      <c r="DEZ20" s="204"/>
      <c r="DFA20" s="204"/>
      <c r="DFB20" s="204"/>
      <c r="DFC20" s="204"/>
      <c r="DFD20" s="204"/>
      <c r="DFE20" s="204"/>
      <c r="DFF20" s="204"/>
      <c r="DFG20" s="204"/>
      <c r="DFH20" s="204"/>
      <c r="DFI20" s="204"/>
      <c r="DFJ20" s="204"/>
      <c r="DFK20" s="204"/>
      <c r="DFL20" s="204"/>
      <c r="DFM20" s="204"/>
      <c r="DFN20" s="204"/>
      <c r="DFO20" s="204"/>
      <c r="DFP20" s="204"/>
      <c r="DFQ20" s="204"/>
      <c r="DFR20" s="204"/>
      <c r="DFS20" s="204"/>
      <c r="DFT20" s="204"/>
      <c r="DFU20" s="204"/>
      <c r="DFV20" s="204"/>
      <c r="DFW20" s="204"/>
      <c r="DFX20" s="204"/>
      <c r="DFY20" s="204"/>
      <c r="DFZ20" s="204"/>
      <c r="DGA20" s="204"/>
      <c r="DGB20" s="204"/>
      <c r="DGC20" s="204"/>
      <c r="DGD20" s="204"/>
      <c r="DGE20" s="204"/>
      <c r="DGF20" s="204"/>
      <c r="DGG20" s="204"/>
      <c r="DGH20" s="204"/>
      <c r="DGI20" s="204"/>
      <c r="DGJ20" s="204"/>
      <c r="DGK20" s="204"/>
      <c r="DGL20" s="204"/>
      <c r="DGM20" s="204"/>
      <c r="DGN20" s="204"/>
      <c r="DGO20" s="204"/>
      <c r="DGP20" s="204"/>
      <c r="DGQ20" s="204"/>
      <c r="DGR20" s="204"/>
      <c r="DGS20" s="204"/>
      <c r="DGT20" s="204"/>
      <c r="DGU20" s="204"/>
      <c r="DGV20" s="204"/>
      <c r="DGW20" s="204"/>
      <c r="DGX20" s="204"/>
      <c r="DGY20" s="204"/>
      <c r="DGZ20" s="204"/>
      <c r="DHA20" s="204"/>
      <c r="DHB20" s="204"/>
      <c r="DHC20" s="204"/>
      <c r="DHD20" s="204"/>
      <c r="DHE20" s="204"/>
      <c r="DHF20" s="204"/>
      <c r="DHG20" s="204"/>
      <c r="DHH20" s="204"/>
      <c r="DHI20" s="204"/>
      <c r="DHJ20" s="204"/>
      <c r="DHK20" s="204"/>
      <c r="DHL20" s="204"/>
      <c r="DHM20" s="204"/>
      <c r="DHN20" s="204"/>
      <c r="DHO20" s="204"/>
      <c r="DHP20" s="204"/>
      <c r="DHQ20" s="204"/>
      <c r="DHR20" s="204"/>
      <c r="DHS20" s="204"/>
      <c r="DHT20" s="204"/>
      <c r="DHU20" s="204"/>
      <c r="DHV20" s="204"/>
      <c r="DHW20" s="204"/>
      <c r="DHX20" s="204"/>
      <c r="DHY20" s="204"/>
      <c r="DHZ20" s="204"/>
      <c r="DIA20" s="204"/>
      <c r="DIB20" s="204"/>
      <c r="DIC20" s="204"/>
      <c r="DID20" s="204"/>
      <c r="DIE20" s="204"/>
      <c r="DIF20" s="204"/>
      <c r="DIG20" s="204"/>
      <c r="DIH20" s="204"/>
      <c r="DII20" s="204"/>
      <c r="DIJ20" s="204"/>
      <c r="DIK20" s="204"/>
      <c r="DIL20" s="204"/>
      <c r="DIM20" s="204"/>
      <c r="DIN20" s="204"/>
      <c r="DIO20" s="204"/>
      <c r="DIP20" s="204"/>
      <c r="DIQ20" s="204"/>
      <c r="DIR20" s="204"/>
      <c r="DIS20" s="204"/>
      <c r="DIT20" s="204"/>
      <c r="DIU20" s="204"/>
      <c r="DIV20" s="204"/>
      <c r="DIW20" s="204"/>
      <c r="DIX20" s="204"/>
      <c r="DIY20" s="204"/>
      <c r="DIZ20" s="204"/>
      <c r="DJA20" s="204"/>
      <c r="DJB20" s="204"/>
      <c r="DJC20" s="204"/>
      <c r="DJD20" s="204"/>
      <c r="DJE20" s="204"/>
      <c r="DJF20" s="204"/>
      <c r="DJG20" s="204"/>
      <c r="DJH20" s="204"/>
      <c r="DJI20" s="204"/>
      <c r="DJJ20" s="204"/>
      <c r="DJK20" s="204"/>
      <c r="DJL20" s="204"/>
      <c r="DJM20" s="204"/>
      <c r="DJN20" s="204"/>
      <c r="DJO20" s="204"/>
      <c r="DJP20" s="204"/>
      <c r="DJQ20" s="204"/>
      <c r="DJR20" s="204"/>
      <c r="DJS20" s="204"/>
      <c r="DJT20" s="204"/>
      <c r="DJU20" s="204"/>
      <c r="DJV20" s="204"/>
      <c r="DJW20" s="204"/>
      <c r="DJX20" s="204"/>
      <c r="DJY20" s="204"/>
      <c r="DJZ20" s="204"/>
      <c r="DKA20" s="204"/>
      <c r="DKB20" s="204"/>
      <c r="DKC20" s="204"/>
      <c r="DKD20" s="204"/>
      <c r="DKE20" s="204"/>
      <c r="DKF20" s="204"/>
      <c r="DKG20" s="204"/>
      <c r="DKH20" s="204"/>
      <c r="DKI20" s="204"/>
      <c r="DKJ20" s="204"/>
      <c r="DKK20" s="204"/>
      <c r="DKL20" s="204"/>
      <c r="DKM20" s="204"/>
      <c r="DKN20" s="204"/>
      <c r="DKO20" s="204"/>
      <c r="DKP20" s="204"/>
      <c r="DKQ20" s="204"/>
      <c r="DKR20" s="204"/>
      <c r="DKS20" s="204"/>
      <c r="DKT20" s="204"/>
      <c r="DKU20" s="204"/>
      <c r="DKV20" s="204"/>
      <c r="DKW20" s="204"/>
      <c r="DKX20" s="204"/>
      <c r="DKY20" s="204"/>
      <c r="DKZ20" s="204"/>
      <c r="DLA20" s="204"/>
      <c r="DLB20" s="204"/>
      <c r="DLC20" s="204"/>
      <c r="DLD20" s="204"/>
      <c r="DLE20" s="204"/>
      <c r="DLF20" s="204"/>
      <c r="DLG20" s="204"/>
      <c r="DLH20" s="204"/>
      <c r="DLI20" s="204"/>
      <c r="DLJ20" s="204"/>
      <c r="DLK20" s="204"/>
      <c r="DLL20" s="204"/>
      <c r="DLM20" s="204"/>
      <c r="DLN20" s="204"/>
      <c r="DLO20" s="204"/>
      <c r="DLP20" s="204"/>
      <c r="DLQ20" s="204"/>
      <c r="DLR20" s="204"/>
      <c r="DLS20" s="204"/>
      <c r="DLT20" s="204"/>
      <c r="DLU20" s="204"/>
      <c r="DLV20" s="204"/>
      <c r="DLW20" s="204"/>
      <c r="DLX20" s="204"/>
      <c r="DLY20" s="204"/>
      <c r="DLZ20" s="204"/>
      <c r="DMA20" s="204"/>
      <c r="DMB20" s="204"/>
      <c r="DMC20" s="204"/>
      <c r="DMD20" s="204"/>
      <c r="DME20" s="204"/>
      <c r="DMF20" s="204"/>
      <c r="DMG20" s="204"/>
      <c r="DMH20" s="204"/>
      <c r="DMI20" s="204"/>
      <c r="DMJ20" s="204"/>
      <c r="DMK20" s="204"/>
      <c r="DML20" s="204"/>
      <c r="DMM20" s="204"/>
      <c r="DMN20" s="204"/>
      <c r="DMO20" s="204"/>
      <c r="DMP20" s="204"/>
      <c r="DMQ20" s="204"/>
      <c r="DMR20" s="204"/>
      <c r="DMS20" s="204"/>
      <c r="DMT20" s="204"/>
      <c r="DMU20" s="204"/>
      <c r="DMV20" s="204"/>
      <c r="DMW20" s="204"/>
      <c r="DMX20" s="204"/>
      <c r="DMY20" s="204"/>
      <c r="DMZ20" s="204"/>
      <c r="DNA20" s="204"/>
      <c r="DNB20" s="204"/>
      <c r="DNC20" s="204"/>
      <c r="DND20" s="204"/>
      <c r="DNE20" s="204"/>
      <c r="DNF20" s="204"/>
      <c r="DNG20" s="204"/>
      <c r="DNH20" s="204"/>
      <c r="DNI20" s="204"/>
      <c r="DNJ20" s="204"/>
      <c r="DNK20" s="204"/>
      <c r="DNL20" s="204"/>
      <c r="DNM20" s="204"/>
      <c r="DNN20" s="204"/>
      <c r="DNO20" s="204"/>
      <c r="DNP20" s="204"/>
      <c r="DNQ20" s="204"/>
      <c r="DNR20" s="204"/>
      <c r="DNS20" s="204"/>
      <c r="DNT20" s="204"/>
      <c r="DNU20" s="204"/>
      <c r="DNV20" s="204"/>
      <c r="DNW20" s="204"/>
      <c r="DNX20" s="204"/>
      <c r="DNY20" s="204"/>
      <c r="DNZ20" s="204"/>
      <c r="DOA20" s="204"/>
      <c r="DOB20" s="204"/>
      <c r="DOC20" s="204"/>
      <c r="DOD20" s="204"/>
      <c r="DOE20" s="204"/>
      <c r="DOF20" s="204"/>
      <c r="DOG20" s="204"/>
      <c r="DOH20" s="204"/>
      <c r="DOI20" s="204"/>
      <c r="DOJ20" s="204"/>
      <c r="DOK20" s="204"/>
      <c r="DOL20" s="204"/>
      <c r="DOM20" s="204"/>
      <c r="DON20" s="204"/>
      <c r="DOO20" s="204"/>
      <c r="DOP20" s="204"/>
      <c r="DOQ20" s="204"/>
      <c r="DOR20" s="204"/>
      <c r="DOS20" s="204"/>
      <c r="DOT20" s="204"/>
      <c r="DOU20" s="204"/>
      <c r="DOV20" s="204"/>
      <c r="DOW20" s="204"/>
      <c r="DOX20" s="204"/>
      <c r="DOY20" s="204"/>
      <c r="DOZ20" s="204"/>
      <c r="DPA20" s="204"/>
      <c r="DPB20" s="204"/>
      <c r="DPC20" s="204"/>
      <c r="DPD20" s="204"/>
      <c r="DPE20" s="204"/>
      <c r="DPF20" s="204"/>
      <c r="DPG20" s="204"/>
      <c r="DPH20" s="204"/>
      <c r="DPI20" s="204"/>
      <c r="DPJ20" s="204"/>
      <c r="DPK20" s="204"/>
      <c r="DPL20" s="204"/>
      <c r="DPM20" s="204"/>
      <c r="DPN20" s="204"/>
      <c r="DPO20" s="204"/>
      <c r="DPP20" s="204"/>
      <c r="DPQ20" s="204"/>
      <c r="DPR20" s="204"/>
      <c r="DPS20" s="204"/>
      <c r="DPT20" s="204"/>
      <c r="DPU20" s="204"/>
      <c r="DPV20" s="204"/>
      <c r="DPW20" s="204"/>
      <c r="DPX20" s="204"/>
      <c r="DPY20" s="204"/>
      <c r="DPZ20" s="204"/>
      <c r="DQA20" s="204"/>
      <c r="DQB20" s="204"/>
      <c r="DQC20" s="204"/>
      <c r="DQD20" s="204"/>
      <c r="DQE20" s="204"/>
      <c r="DQF20" s="204"/>
      <c r="DQG20" s="204"/>
      <c r="DQH20" s="204"/>
      <c r="DQI20" s="204"/>
      <c r="DQJ20" s="204"/>
      <c r="DQK20" s="204"/>
      <c r="DQL20" s="204"/>
      <c r="DQM20" s="204"/>
      <c r="DQN20" s="204"/>
      <c r="DQO20" s="204"/>
      <c r="DQP20" s="204"/>
      <c r="DQQ20" s="204"/>
      <c r="DQR20" s="204"/>
      <c r="DQS20" s="204"/>
      <c r="DQT20" s="204"/>
      <c r="DQU20" s="204"/>
      <c r="DQV20" s="204"/>
      <c r="DQW20" s="204"/>
      <c r="DQX20" s="204"/>
      <c r="DQY20" s="204"/>
      <c r="DQZ20" s="204"/>
      <c r="DRA20" s="204"/>
      <c r="DRB20" s="204"/>
      <c r="DRC20" s="204"/>
      <c r="DRD20" s="204"/>
      <c r="DRE20" s="204"/>
      <c r="DRF20" s="204"/>
      <c r="DRG20" s="204"/>
      <c r="DRH20" s="204"/>
      <c r="DRI20" s="204"/>
      <c r="DRJ20" s="204"/>
      <c r="DRK20" s="204"/>
      <c r="DRL20" s="204"/>
      <c r="DRM20" s="204"/>
      <c r="DRN20" s="204"/>
      <c r="DRO20" s="204"/>
      <c r="DRP20" s="204"/>
      <c r="DRQ20" s="204"/>
      <c r="DRR20" s="204"/>
      <c r="DRS20" s="204"/>
      <c r="DRT20" s="204"/>
      <c r="DRU20" s="204"/>
      <c r="DRV20" s="204"/>
      <c r="DRW20" s="204"/>
      <c r="DRX20" s="204"/>
      <c r="DRY20" s="204"/>
      <c r="DRZ20" s="204"/>
      <c r="DSA20" s="204"/>
      <c r="DSB20" s="204"/>
      <c r="DSC20" s="204"/>
      <c r="DSD20" s="204"/>
      <c r="DSE20" s="204"/>
      <c r="DSF20" s="204"/>
      <c r="DSG20" s="204"/>
      <c r="DSH20" s="204"/>
      <c r="DSI20" s="204"/>
      <c r="DSJ20" s="204"/>
      <c r="DSK20" s="204"/>
      <c r="DSL20" s="204"/>
      <c r="DSM20" s="204"/>
      <c r="DSN20" s="204"/>
      <c r="DSO20" s="204"/>
      <c r="DSP20" s="204"/>
      <c r="DSQ20" s="204"/>
      <c r="DSR20" s="204"/>
      <c r="DSS20" s="204"/>
      <c r="DST20" s="204"/>
      <c r="DSU20" s="204"/>
      <c r="DSV20" s="204"/>
      <c r="DSW20" s="204"/>
      <c r="DSX20" s="204"/>
      <c r="DSY20" s="204"/>
      <c r="DSZ20" s="204"/>
      <c r="DTA20" s="204"/>
      <c r="DTB20" s="204"/>
      <c r="DTC20" s="204"/>
      <c r="DTD20" s="204"/>
      <c r="DTE20" s="204"/>
      <c r="DTF20" s="204"/>
      <c r="DTG20" s="204"/>
      <c r="DTH20" s="204"/>
      <c r="DTI20" s="204"/>
      <c r="DTJ20" s="204"/>
      <c r="DTK20" s="204"/>
      <c r="DTL20" s="204"/>
      <c r="DTM20" s="204"/>
      <c r="DTN20" s="204"/>
      <c r="DTO20" s="204"/>
      <c r="DTP20" s="204"/>
      <c r="DTQ20" s="204"/>
      <c r="DTR20" s="204"/>
      <c r="DTS20" s="204"/>
      <c r="DTT20" s="204"/>
      <c r="DTU20" s="204"/>
      <c r="DTV20" s="204"/>
      <c r="DTW20" s="204"/>
      <c r="DTX20" s="204"/>
      <c r="DTY20" s="204"/>
      <c r="DTZ20" s="204"/>
      <c r="DUA20" s="204"/>
      <c r="DUB20" s="204"/>
      <c r="DUC20" s="204"/>
      <c r="DUD20" s="204"/>
      <c r="DUE20" s="204"/>
      <c r="DUF20" s="204"/>
      <c r="DUG20" s="204"/>
      <c r="DUH20" s="204"/>
      <c r="DUI20" s="204"/>
      <c r="DUJ20" s="204"/>
      <c r="DUK20" s="204"/>
      <c r="DUL20" s="204"/>
      <c r="DUM20" s="204"/>
      <c r="DUN20" s="204"/>
      <c r="DUO20" s="204"/>
      <c r="DUP20" s="204"/>
      <c r="DUQ20" s="204"/>
      <c r="DUR20" s="204"/>
      <c r="DUS20" s="204"/>
      <c r="DUT20" s="204"/>
      <c r="DUU20" s="204"/>
      <c r="DUV20" s="204"/>
      <c r="DUW20" s="204"/>
      <c r="DUX20" s="204"/>
      <c r="DUY20" s="204"/>
      <c r="DUZ20" s="204"/>
      <c r="DVA20" s="204"/>
      <c r="DVB20" s="204"/>
      <c r="DVC20" s="204"/>
      <c r="DVD20" s="204"/>
      <c r="DVE20" s="204"/>
      <c r="DVF20" s="204"/>
      <c r="DVG20" s="204"/>
      <c r="DVH20" s="204"/>
      <c r="DVI20" s="204"/>
      <c r="DVJ20" s="204"/>
      <c r="DVK20" s="204"/>
      <c r="DVL20" s="204"/>
      <c r="DVM20" s="204"/>
      <c r="DVN20" s="204"/>
      <c r="DVO20" s="204"/>
      <c r="DVP20" s="204"/>
      <c r="DVQ20" s="204"/>
      <c r="DVR20" s="204"/>
      <c r="DVS20" s="204"/>
      <c r="DVT20" s="204"/>
      <c r="DVU20" s="204"/>
      <c r="DVV20" s="204"/>
      <c r="DVW20" s="204"/>
      <c r="DVX20" s="204"/>
      <c r="DVY20" s="204"/>
      <c r="DVZ20" s="204"/>
      <c r="DWA20" s="204"/>
      <c r="DWB20" s="204"/>
      <c r="DWC20" s="204"/>
      <c r="DWD20" s="204"/>
      <c r="DWE20" s="204"/>
      <c r="DWF20" s="204"/>
      <c r="DWG20" s="204"/>
      <c r="DWH20" s="204"/>
      <c r="DWI20" s="204"/>
      <c r="DWJ20" s="204"/>
      <c r="DWK20" s="204"/>
      <c r="DWL20" s="204"/>
      <c r="DWM20" s="204"/>
      <c r="DWN20" s="204"/>
      <c r="DWO20" s="204"/>
      <c r="DWP20" s="204"/>
      <c r="DWQ20" s="204"/>
      <c r="DWR20" s="204"/>
      <c r="DWS20" s="204"/>
      <c r="DWT20" s="204"/>
      <c r="DWU20" s="204"/>
      <c r="DWV20" s="204"/>
      <c r="DWW20" s="204"/>
      <c r="DWX20" s="204"/>
      <c r="DWY20" s="204"/>
      <c r="DWZ20" s="204"/>
      <c r="DXA20" s="204"/>
      <c r="DXB20" s="204"/>
      <c r="DXC20" s="204"/>
      <c r="DXD20" s="204"/>
      <c r="DXE20" s="204"/>
      <c r="DXF20" s="204"/>
      <c r="DXG20" s="204"/>
      <c r="DXH20" s="204"/>
      <c r="DXI20" s="204"/>
      <c r="DXJ20" s="204"/>
      <c r="DXK20" s="204"/>
      <c r="DXL20" s="204"/>
      <c r="DXM20" s="204"/>
      <c r="DXN20" s="204"/>
      <c r="DXO20" s="204"/>
      <c r="DXP20" s="204"/>
      <c r="DXQ20" s="204"/>
      <c r="DXR20" s="204"/>
      <c r="DXS20" s="204"/>
      <c r="DXT20" s="204"/>
      <c r="DXU20" s="204"/>
      <c r="DXV20" s="204"/>
      <c r="DXW20" s="204"/>
      <c r="DXX20" s="204"/>
      <c r="DXY20" s="204"/>
      <c r="DXZ20" s="204"/>
      <c r="DYA20" s="204"/>
      <c r="DYB20" s="204"/>
      <c r="DYC20" s="204"/>
      <c r="DYD20" s="204"/>
      <c r="DYE20" s="204"/>
      <c r="DYF20" s="204"/>
      <c r="DYG20" s="204"/>
      <c r="DYH20" s="204"/>
      <c r="DYI20" s="204"/>
      <c r="DYJ20" s="204"/>
      <c r="DYK20" s="204"/>
      <c r="DYL20" s="204"/>
      <c r="DYM20" s="204"/>
      <c r="DYN20" s="204"/>
      <c r="DYO20" s="204"/>
      <c r="DYP20" s="204"/>
      <c r="DYQ20" s="204"/>
      <c r="DYR20" s="204"/>
      <c r="DYS20" s="204"/>
      <c r="DYT20" s="204"/>
      <c r="DYU20" s="204"/>
      <c r="DYV20" s="204"/>
      <c r="DYW20" s="204"/>
      <c r="DYX20" s="204"/>
      <c r="DYY20" s="204"/>
      <c r="DYZ20" s="204"/>
      <c r="DZA20" s="204"/>
      <c r="DZB20" s="204"/>
      <c r="DZC20" s="204"/>
      <c r="DZD20" s="204"/>
      <c r="DZE20" s="204"/>
      <c r="DZF20" s="204"/>
      <c r="DZG20" s="204"/>
      <c r="DZH20" s="204"/>
      <c r="DZI20" s="204"/>
      <c r="DZJ20" s="204"/>
      <c r="DZK20" s="204"/>
      <c r="DZL20" s="204"/>
      <c r="DZM20" s="204"/>
      <c r="DZN20" s="204"/>
      <c r="DZO20" s="204"/>
      <c r="DZP20" s="204"/>
      <c r="DZQ20" s="204"/>
      <c r="DZR20" s="204"/>
      <c r="DZS20" s="204"/>
      <c r="DZT20" s="204"/>
      <c r="DZU20" s="204"/>
      <c r="DZV20" s="204"/>
      <c r="DZW20" s="204"/>
      <c r="DZX20" s="204"/>
      <c r="DZY20" s="204"/>
      <c r="DZZ20" s="204"/>
      <c r="EAA20" s="204"/>
      <c r="EAB20" s="204"/>
      <c r="EAC20" s="204"/>
      <c r="EAD20" s="204"/>
      <c r="EAE20" s="204"/>
      <c r="EAF20" s="204"/>
      <c r="EAG20" s="204"/>
      <c r="EAH20" s="204"/>
      <c r="EAI20" s="204"/>
      <c r="EAJ20" s="204"/>
      <c r="EAK20" s="204"/>
      <c r="EAL20" s="204"/>
      <c r="EAM20" s="204"/>
      <c r="EAN20" s="204"/>
      <c r="EAO20" s="204"/>
      <c r="EAP20" s="204"/>
      <c r="EAQ20" s="204"/>
      <c r="EAR20" s="204"/>
      <c r="EAS20" s="204"/>
      <c r="EAT20" s="204"/>
      <c r="EAU20" s="204"/>
      <c r="EAV20" s="204"/>
      <c r="EAW20" s="204"/>
      <c r="EAX20" s="204"/>
      <c r="EAY20" s="204"/>
      <c r="EAZ20" s="204"/>
      <c r="EBA20" s="204"/>
      <c r="EBB20" s="204"/>
      <c r="EBC20" s="204"/>
      <c r="EBD20" s="204"/>
      <c r="EBE20" s="204"/>
      <c r="EBF20" s="204"/>
      <c r="EBG20" s="204"/>
      <c r="EBH20" s="204"/>
      <c r="EBI20" s="204"/>
      <c r="EBJ20" s="204"/>
      <c r="EBK20" s="204"/>
      <c r="EBL20" s="204"/>
      <c r="EBM20" s="204"/>
      <c r="EBN20" s="204"/>
      <c r="EBO20" s="204"/>
      <c r="EBP20" s="204"/>
      <c r="EBQ20" s="204"/>
      <c r="EBR20" s="204"/>
      <c r="EBS20" s="204"/>
      <c r="EBT20" s="204"/>
      <c r="EBU20" s="204"/>
      <c r="EBV20" s="204"/>
      <c r="EBW20" s="204"/>
      <c r="EBX20" s="204"/>
      <c r="EBY20" s="204"/>
      <c r="EBZ20" s="204"/>
      <c r="ECA20" s="204"/>
      <c r="ECB20" s="204"/>
      <c r="ECC20" s="204"/>
      <c r="ECD20" s="204"/>
      <c r="ECE20" s="204"/>
      <c r="ECF20" s="204"/>
      <c r="ECG20" s="204"/>
      <c r="ECH20" s="204"/>
      <c r="ECI20" s="204"/>
      <c r="ECJ20" s="204"/>
      <c r="ECK20" s="204"/>
      <c r="ECL20" s="204"/>
      <c r="ECM20" s="204"/>
      <c r="ECN20" s="204"/>
      <c r="ECO20" s="204"/>
      <c r="ECP20" s="204"/>
      <c r="ECQ20" s="204"/>
      <c r="ECR20" s="204"/>
      <c r="ECS20" s="204"/>
      <c r="ECT20" s="204"/>
      <c r="ECU20" s="204"/>
      <c r="ECV20" s="204"/>
      <c r="ECW20" s="204"/>
      <c r="ECX20" s="204"/>
      <c r="ECY20" s="204"/>
      <c r="ECZ20" s="204"/>
      <c r="EDA20" s="204"/>
      <c r="EDB20" s="204"/>
      <c r="EDC20" s="204"/>
      <c r="EDD20" s="204"/>
      <c r="EDE20" s="204"/>
      <c r="EDF20" s="204"/>
      <c r="EDG20" s="204"/>
      <c r="EDH20" s="204"/>
      <c r="EDI20" s="204"/>
      <c r="EDJ20" s="204"/>
      <c r="EDK20" s="204"/>
      <c r="EDL20" s="204"/>
      <c r="EDM20" s="204"/>
      <c r="EDN20" s="204"/>
      <c r="EDO20" s="204"/>
      <c r="EDP20" s="204"/>
      <c r="EDQ20" s="204"/>
      <c r="EDR20" s="204"/>
      <c r="EDS20" s="204"/>
      <c r="EDT20" s="204"/>
      <c r="EDU20" s="204"/>
      <c r="EDV20" s="204"/>
      <c r="EDW20" s="204"/>
      <c r="EDX20" s="204"/>
      <c r="EDY20" s="204"/>
      <c r="EDZ20" s="204"/>
      <c r="EEA20" s="204"/>
      <c r="EEB20" s="204"/>
      <c r="EEC20" s="204"/>
      <c r="EED20" s="204"/>
      <c r="EEE20" s="204"/>
      <c r="EEF20" s="204"/>
      <c r="EEG20" s="204"/>
      <c r="EEH20" s="204"/>
      <c r="EEI20" s="204"/>
      <c r="EEJ20" s="204"/>
      <c r="EEK20" s="204"/>
      <c r="EEL20" s="204"/>
      <c r="EEM20" s="204"/>
      <c r="EEN20" s="204"/>
      <c r="EEO20" s="204"/>
      <c r="EEP20" s="204"/>
      <c r="EEQ20" s="204"/>
      <c r="EER20" s="204"/>
      <c r="EES20" s="204"/>
      <c r="EET20" s="204"/>
      <c r="EEU20" s="204"/>
      <c r="EEV20" s="204"/>
      <c r="EEW20" s="204"/>
      <c r="EEX20" s="204"/>
      <c r="EEY20" s="204"/>
      <c r="EEZ20" s="204"/>
      <c r="EFA20" s="204"/>
      <c r="EFB20" s="204"/>
      <c r="EFC20" s="204"/>
      <c r="EFD20" s="204"/>
      <c r="EFE20" s="204"/>
      <c r="EFF20" s="204"/>
      <c r="EFG20" s="204"/>
      <c r="EFH20" s="204"/>
      <c r="EFI20" s="204"/>
      <c r="EFJ20" s="204"/>
      <c r="EFK20" s="204"/>
      <c r="EFL20" s="204"/>
      <c r="EFM20" s="204"/>
      <c r="EFN20" s="204"/>
      <c r="EFO20" s="204"/>
      <c r="EFP20" s="204"/>
      <c r="EFQ20" s="204"/>
      <c r="EFR20" s="204"/>
      <c r="EFS20" s="204"/>
      <c r="EFT20" s="204"/>
      <c r="EFU20" s="204"/>
      <c r="EFV20" s="204"/>
      <c r="EFW20" s="204"/>
      <c r="EFX20" s="204"/>
      <c r="EFY20" s="204"/>
      <c r="EFZ20" s="204"/>
      <c r="EGA20" s="204"/>
      <c r="EGB20" s="204"/>
      <c r="EGC20" s="204"/>
      <c r="EGD20" s="204"/>
      <c r="EGE20" s="204"/>
      <c r="EGF20" s="204"/>
      <c r="EGG20" s="204"/>
      <c r="EGH20" s="204"/>
      <c r="EGI20" s="204"/>
      <c r="EGJ20" s="204"/>
      <c r="EGK20" s="204"/>
      <c r="EGL20" s="204"/>
      <c r="EGM20" s="204"/>
      <c r="EGN20" s="204"/>
      <c r="EGO20" s="204"/>
      <c r="EGP20" s="204"/>
      <c r="EGQ20" s="204"/>
      <c r="EGR20" s="204"/>
      <c r="EGS20" s="204"/>
      <c r="EGT20" s="204"/>
      <c r="EGU20" s="204"/>
      <c r="EGV20" s="204"/>
      <c r="EGW20" s="204"/>
      <c r="EGX20" s="204"/>
      <c r="EGY20" s="204"/>
      <c r="EGZ20" s="204"/>
      <c r="EHA20" s="204"/>
      <c r="EHB20" s="204"/>
      <c r="EHC20" s="204"/>
      <c r="EHD20" s="204"/>
      <c r="EHE20" s="204"/>
      <c r="EHF20" s="204"/>
      <c r="EHG20" s="204"/>
      <c r="EHH20" s="204"/>
      <c r="EHI20" s="204"/>
      <c r="EHJ20" s="204"/>
      <c r="EHK20" s="204"/>
      <c r="EHL20" s="204"/>
      <c r="EHM20" s="204"/>
      <c r="EHN20" s="204"/>
      <c r="EHO20" s="204"/>
      <c r="EHP20" s="204"/>
      <c r="EHQ20" s="204"/>
      <c r="EHR20" s="204"/>
      <c r="EHS20" s="204"/>
      <c r="EHT20" s="204"/>
      <c r="EHU20" s="204"/>
      <c r="EHV20" s="204"/>
      <c r="EHW20" s="204"/>
      <c r="EHX20" s="204"/>
      <c r="EHY20" s="204"/>
      <c r="EHZ20" s="204"/>
      <c r="EIA20" s="204"/>
      <c r="EIB20" s="204"/>
      <c r="EIC20" s="204"/>
      <c r="EID20" s="204"/>
      <c r="EIE20" s="204"/>
      <c r="EIF20" s="204"/>
      <c r="EIG20" s="204"/>
      <c r="EIH20" s="204"/>
      <c r="EII20" s="204"/>
      <c r="EIJ20" s="204"/>
      <c r="EIK20" s="204"/>
      <c r="EIL20" s="204"/>
      <c r="EIM20" s="204"/>
      <c r="EIN20" s="204"/>
      <c r="EIO20" s="204"/>
      <c r="EIP20" s="204"/>
      <c r="EIQ20" s="204"/>
      <c r="EIR20" s="204"/>
      <c r="EIS20" s="204"/>
      <c r="EIT20" s="204"/>
      <c r="EIU20" s="204"/>
      <c r="EIV20" s="204"/>
      <c r="EIW20" s="204"/>
      <c r="EIX20" s="204"/>
      <c r="EIY20" s="204"/>
      <c r="EIZ20" s="204"/>
      <c r="EJA20" s="204"/>
      <c r="EJB20" s="204"/>
      <c r="EJC20" s="204"/>
      <c r="EJD20" s="204"/>
      <c r="EJE20" s="204"/>
      <c r="EJF20" s="204"/>
      <c r="EJG20" s="204"/>
      <c r="EJH20" s="204"/>
      <c r="EJI20" s="204"/>
      <c r="EJJ20" s="204"/>
      <c r="EJK20" s="204"/>
      <c r="EJL20" s="204"/>
      <c r="EJM20" s="204"/>
      <c r="EJN20" s="204"/>
      <c r="EJO20" s="204"/>
      <c r="EJP20" s="204"/>
      <c r="EJQ20" s="204"/>
      <c r="EJR20" s="204"/>
      <c r="EJS20" s="204"/>
      <c r="EJT20" s="204"/>
      <c r="EJU20" s="204"/>
      <c r="EJV20" s="204"/>
      <c r="EJW20" s="204"/>
      <c r="EJX20" s="204"/>
      <c r="EJY20" s="204"/>
      <c r="EJZ20" s="204"/>
      <c r="EKA20" s="204"/>
      <c r="EKB20" s="204"/>
      <c r="EKC20" s="204"/>
      <c r="EKD20" s="204"/>
      <c r="EKE20" s="204"/>
      <c r="EKF20" s="204"/>
      <c r="EKG20" s="204"/>
      <c r="EKH20" s="204"/>
      <c r="EKI20" s="204"/>
      <c r="EKJ20" s="204"/>
      <c r="EKK20" s="204"/>
      <c r="EKL20" s="204"/>
      <c r="EKM20" s="204"/>
      <c r="EKN20" s="204"/>
      <c r="EKO20" s="204"/>
      <c r="EKP20" s="204"/>
      <c r="EKQ20" s="204"/>
      <c r="EKR20" s="204"/>
      <c r="EKS20" s="204"/>
      <c r="EKT20" s="204"/>
      <c r="EKU20" s="204"/>
      <c r="EKV20" s="204"/>
      <c r="EKW20" s="204"/>
      <c r="EKX20" s="204"/>
      <c r="EKY20" s="204"/>
      <c r="EKZ20" s="204"/>
      <c r="ELA20" s="204"/>
      <c r="ELB20" s="204"/>
      <c r="ELC20" s="204"/>
      <c r="ELD20" s="204"/>
      <c r="ELE20" s="204"/>
      <c r="ELF20" s="204"/>
      <c r="ELG20" s="204"/>
      <c r="ELH20" s="204"/>
      <c r="ELI20" s="204"/>
      <c r="ELJ20" s="204"/>
      <c r="ELK20" s="204"/>
      <c r="ELL20" s="204"/>
      <c r="ELM20" s="204"/>
      <c r="ELN20" s="204"/>
      <c r="ELO20" s="204"/>
      <c r="ELP20" s="204"/>
      <c r="ELQ20" s="204"/>
      <c r="ELR20" s="204"/>
      <c r="ELS20" s="204"/>
      <c r="ELT20" s="204"/>
      <c r="ELU20" s="204"/>
      <c r="ELV20" s="204"/>
      <c r="ELW20" s="204"/>
      <c r="ELX20" s="204"/>
      <c r="ELY20" s="204"/>
      <c r="ELZ20" s="204"/>
      <c r="EMA20" s="204"/>
      <c r="EMB20" s="204"/>
      <c r="EMC20" s="204"/>
      <c r="EMD20" s="204"/>
      <c r="EME20" s="204"/>
      <c r="EMF20" s="204"/>
      <c r="EMG20" s="204"/>
      <c r="EMH20" s="204"/>
      <c r="EMI20" s="204"/>
      <c r="EMJ20" s="204"/>
      <c r="EMK20" s="204"/>
      <c r="EML20" s="204"/>
      <c r="EMM20" s="204"/>
      <c r="EMN20" s="204"/>
      <c r="EMO20" s="204"/>
      <c r="EMP20" s="204"/>
      <c r="EMQ20" s="204"/>
      <c r="EMR20" s="204"/>
      <c r="EMS20" s="204"/>
      <c r="EMT20" s="204"/>
      <c r="EMU20" s="204"/>
      <c r="EMV20" s="204"/>
      <c r="EMW20" s="204"/>
      <c r="EMX20" s="204"/>
      <c r="EMY20" s="204"/>
      <c r="EMZ20" s="204"/>
      <c r="ENA20" s="204"/>
      <c r="ENB20" s="204"/>
      <c r="ENC20" s="204"/>
      <c r="END20" s="204"/>
      <c r="ENE20" s="204"/>
      <c r="ENF20" s="204"/>
      <c r="ENG20" s="204"/>
      <c r="ENH20" s="204"/>
      <c r="ENI20" s="204"/>
      <c r="ENJ20" s="204"/>
      <c r="ENK20" s="204"/>
      <c r="ENL20" s="204"/>
      <c r="ENM20" s="204"/>
      <c r="ENN20" s="204"/>
      <c r="ENO20" s="204"/>
      <c r="ENP20" s="204"/>
      <c r="ENQ20" s="204"/>
      <c r="ENR20" s="204"/>
      <c r="ENS20" s="204"/>
      <c r="ENT20" s="204"/>
      <c r="ENU20" s="204"/>
      <c r="ENV20" s="204"/>
      <c r="ENW20" s="204"/>
      <c r="ENX20" s="204"/>
      <c r="ENY20" s="204"/>
      <c r="ENZ20" s="204"/>
      <c r="EOA20" s="204"/>
      <c r="EOB20" s="204"/>
      <c r="EOC20" s="204"/>
      <c r="EOD20" s="204"/>
      <c r="EOE20" s="204"/>
      <c r="EOF20" s="204"/>
      <c r="EOG20" s="204"/>
      <c r="EOH20" s="204"/>
      <c r="EOI20" s="204"/>
      <c r="EOJ20" s="204"/>
      <c r="EOK20" s="204"/>
      <c r="EOL20" s="204"/>
      <c r="EOM20" s="204"/>
      <c r="EON20" s="204"/>
      <c r="EOO20" s="204"/>
      <c r="EOP20" s="204"/>
      <c r="EOQ20" s="204"/>
      <c r="EOR20" s="204"/>
      <c r="EOS20" s="204"/>
      <c r="EOT20" s="204"/>
      <c r="EOU20" s="204"/>
      <c r="EOV20" s="204"/>
      <c r="EOW20" s="204"/>
      <c r="EOX20" s="204"/>
      <c r="EOY20" s="204"/>
      <c r="EOZ20" s="204"/>
      <c r="EPA20" s="204"/>
      <c r="EPB20" s="204"/>
      <c r="EPC20" s="204"/>
      <c r="EPD20" s="204"/>
      <c r="EPE20" s="204"/>
      <c r="EPF20" s="204"/>
      <c r="EPG20" s="204"/>
      <c r="EPH20" s="204"/>
      <c r="EPI20" s="204"/>
      <c r="EPJ20" s="204"/>
      <c r="EPK20" s="204"/>
      <c r="EPL20" s="204"/>
      <c r="EPM20" s="204"/>
      <c r="EPN20" s="204"/>
      <c r="EPO20" s="204"/>
      <c r="EPP20" s="204"/>
      <c r="EPQ20" s="204"/>
      <c r="EPR20" s="204"/>
      <c r="EPS20" s="204"/>
      <c r="EPT20" s="204"/>
      <c r="EPU20" s="204"/>
      <c r="EPV20" s="204"/>
      <c r="EPW20" s="204"/>
      <c r="EPX20" s="204"/>
      <c r="EPY20" s="204"/>
      <c r="EPZ20" s="204"/>
      <c r="EQA20" s="204"/>
      <c r="EQB20" s="204"/>
      <c r="EQC20" s="204"/>
      <c r="EQD20" s="204"/>
      <c r="EQE20" s="204"/>
      <c r="EQF20" s="204"/>
      <c r="EQG20" s="204"/>
      <c r="EQH20" s="204"/>
      <c r="EQI20" s="204"/>
      <c r="EQJ20" s="204"/>
      <c r="EQK20" s="204"/>
      <c r="EQL20" s="204"/>
      <c r="EQM20" s="204"/>
      <c r="EQN20" s="204"/>
      <c r="EQO20" s="204"/>
      <c r="EQP20" s="204"/>
      <c r="EQQ20" s="204"/>
      <c r="EQR20" s="204"/>
      <c r="EQS20" s="204"/>
      <c r="EQT20" s="204"/>
      <c r="EQU20" s="204"/>
      <c r="EQV20" s="204"/>
      <c r="EQW20" s="204"/>
      <c r="EQX20" s="204"/>
      <c r="EQY20" s="204"/>
      <c r="EQZ20" s="204"/>
      <c r="ERA20" s="204"/>
      <c r="ERB20" s="204"/>
      <c r="ERC20" s="204"/>
      <c r="ERD20" s="204"/>
      <c r="ERE20" s="204"/>
      <c r="ERF20" s="204"/>
      <c r="ERG20" s="204"/>
      <c r="ERH20" s="204"/>
      <c r="ERI20" s="204"/>
      <c r="ERJ20" s="204"/>
      <c r="ERK20" s="204"/>
      <c r="ERL20" s="204"/>
      <c r="ERM20" s="204"/>
      <c r="ERN20" s="204"/>
      <c r="ERO20" s="204"/>
      <c r="ERP20" s="204"/>
      <c r="ERQ20" s="204"/>
      <c r="ERR20" s="204"/>
      <c r="ERS20" s="204"/>
      <c r="ERT20" s="204"/>
      <c r="ERU20" s="204"/>
      <c r="ERV20" s="204"/>
      <c r="ERW20" s="204"/>
      <c r="ERX20" s="204"/>
      <c r="ERY20" s="204"/>
      <c r="ERZ20" s="204"/>
      <c r="ESA20" s="204"/>
      <c r="ESB20" s="204"/>
      <c r="ESC20" s="204"/>
      <c r="ESD20" s="204"/>
      <c r="ESE20" s="204"/>
      <c r="ESF20" s="204"/>
      <c r="ESG20" s="204"/>
      <c r="ESH20" s="204"/>
      <c r="ESI20" s="204"/>
      <c r="ESJ20" s="204"/>
      <c r="ESK20" s="204"/>
      <c r="ESL20" s="204"/>
      <c r="ESM20" s="204"/>
      <c r="ESN20" s="204"/>
      <c r="ESO20" s="204"/>
      <c r="ESP20" s="204"/>
      <c r="ESQ20" s="204"/>
      <c r="ESR20" s="204"/>
      <c r="ESS20" s="204"/>
      <c r="EST20" s="204"/>
      <c r="ESU20" s="204"/>
      <c r="ESV20" s="204"/>
      <c r="ESW20" s="204"/>
      <c r="ESX20" s="204"/>
      <c r="ESY20" s="204"/>
      <c r="ESZ20" s="204"/>
      <c r="ETA20" s="204"/>
      <c r="ETB20" s="204"/>
      <c r="ETC20" s="204"/>
      <c r="ETD20" s="204"/>
      <c r="ETE20" s="204"/>
      <c r="ETF20" s="204"/>
      <c r="ETG20" s="204"/>
      <c r="ETH20" s="204"/>
      <c r="ETI20" s="204"/>
      <c r="ETJ20" s="204"/>
      <c r="ETK20" s="204"/>
      <c r="ETL20" s="204"/>
      <c r="ETM20" s="204"/>
      <c r="ETN20" s="204"/>
      <c r="ETO20" s="204"/>
      <c r="ETP20" s="204"/>
      <c r="ETQ20" s="204"/>
      <c r="ETR20" s="204"/>
      <c r="ETS20" s="204"/>
      <c r="ETT20" s="204"/>
      <c r="ETU20" s="204"/>
      <c r="ETV20" s="204"/>
      <c r="ETW20" s="204"/>
      <c r="ETX20" s="204"/>
      <c r="ETY20" s="204"/>
      <c r="ETZ20" s="204"/>
      <c r="EUA20" s="204"/>
      <c r="EUB20" s="204"/>
      <c r="EUC20" s="204"/>
      <c r="EUD20" s="204"/>
      <c r="EUE20" s="204"/>
      <c r="EUF20" s="204"/>
      <c r="EUG20" s="204"/>
      <c r="EUH20" s="204"/>
      <c r="EUI20" s="204"/>
      <c r="EUJ20" s="204"/>
      <c r="EUK20" s="204"/>
      <c r="EUL20" s="204"/>
      <c r="EUM20" s="204"/>
      <c r="EUN20" s="204"/>
      <c r="EUO20" s="204"/>
      <c r="EUP20" s="204"/>
      <c r="EUQ20" s="204"/>
      <c r="EUR20" s="204"/>
      <c r="EUS20" s="204"/>
      <c r="EUT20" s="204"/>
      <c r="EUU20" s="204"/>
      <c r="EUV20" s="204"/>
      <c r="EUW20" s="204"/>
      <c r="EUX20" s="204"/>
      <c r="EUY20" s="204"/>
      <c r="EUZ20" s="204"/>
      <c r="EVA20" s="204"/>
      <c r="EVB20" s="204"/>
      <c r="EVC20" s="204"/>
      <c r="EVD20" s="204"/>
      <c r="EVE20" s="204"/>
      <c r="EVF20" s="204"/>
      <c r="EVG20" s="204"/>
      <c r="EVH20" s="204"/>
      <c r="EVI20" s="204"/>
      <c r="EVJ20" s="204"/>
      <c r="EVK20" s="204"/>
      <c r="EVL20" s="204"/>
      <c r="EVM20" s="204"/>
      <c r="EVN20" s="204"/>
      <c r="EVO20" s="204"/>
      <c r="EVP20" s="204"/>
      <c r="EVQ20" s="204"/>
      <c r="EVR20" s="204"/>
      <c r="EVS20" s="204"/>
      <c r="EVT20" s="204"/>
      <c r="EVU20" s="204"/>
      <c r="EVV20" s="204"/>
      <c r="EVW20" s="204"/>
      <c r="EVX20" s="204"/>
      <c r="EVY20" s="204"/>
      <c r="EVZ20" s="204"/>
      <c r="EWA20" s="204"/>
      <c r="EWB20" s="204"/>
      <c r="EWC20" s="204"/>
      <c r="EWD20" s="204"/>
      <c r="EWE20" s="204"/>
      <c r="EWF20" s="204"/>
      <c r="EWG20" s="204"/>
      <c r="EWH20" s="204"/>
      <c r="EWI20" s="204"/>
      <c r="EWJ20" s="204"/>
      <c r="EWK20" s="204"/>
      <c r="EWL20" s="204"/>
      <c r="EWM20" s="204"/>
      <c r="EWN20" s="204"/>
      <c r="EWO20" s="204"/>
      <c r="EWP20" s="204"/>
      <c r="EWQ20" s="204"/>
      <c r="EWR20" s="204"/>
      <c r="EWS20" s="204"/>
      <c r="EWT20" s="204"/>
      <c r="EWU20" s="204"/>
      <c r="EWV20" s="204"/>
      <c r="EWW20" s="204"/>
      <c r="EWX20" s="204"/>
      <c r="EWY20" s="204"/>
      <c r="EWZ20" s="204"/>
      <c r="EXA20" s="204"/>
      <c r="EXB20" s="204"/>
      <c r="EXC20" s="204"/>
      <c r="EXD20" s="204"/>
      <c r="EXE20" s="204"/>
      <c r="EXF20" s="204"/>
      <c r="EXG20" s="204"/>
      <c r="EXH20" s="204"/>
      <c r="EXI20" s="204"/>
      <c r="EXJ20" s="204"/>
      <c r="EXK20" s="204"/>
      <c r="EXL20" s="204"/>
      <c r="EXM20" s="204"/>
      <c r="EXN20" s="204"/>
      <c r="EXO20" s="204"/>
      <c r="EXP20" s="204"/>
      <c r="EXQ20" s="204"/>
      <c r="EXR20" s="204"/>
      <c r="EXS20" s="204"/>
      <c r="EXT20" s="204"/>
      <c r="EXU20" s="204"/>
      <c r="EXV20" s="204"/>
      <c r="EXW20" s="204"/>
      <c r="EXX20" s="204"/>
      <c r="EXY20" s="204"/>
      <c r="EXZ20" s="204"/>
      <c r="EYA20" s="204"/>
      <c r="EYB20" s="204"/>
      <c r="EYC20" s="204"/>
      <c r="EYD20" s="204"/>
      <c r="EYE20" s="204"/>
      <c r="EYF20" s="204"/>
      <c r="EYG20" s="204"/>
      <c r="EYH20" s="204"/>
      <c r="EYI20" s="204"/>
      <c r="EYJ20" s="204"/>
      <c r="EYK20" s="204"/>
      <c r="EYL20" s="204"/>
      <c r="EYM20" s="204"/>
      <c r="EYN20" s="204"/>
      <c r="EYO20" s="204"/>
      <c r="EYP20" s="204"/>
      <c r="EYQ20" s="204"/>
      <c r="EYR20" s="204"/>
      <c r="EYS20" s="204"/>
      <c r="EYT20" s="204"/>
      <c r="EYU20" s="204"/>
      <c r="EYV20" s="204"/>
      <c r="EYW20" s="204"/>
      <c r="EYX20" s="204"/>
      <c r="EYY20" s="204"/>
      <c r="EYZ20" s="204"/>
      <c r="EZA20" s="204"/>
      <c r="EZB20" s="204"/>
      <c r="EZC20" s="204"/>
      <c r="EZD20" s="204"/>
      <c r="EZE20" s="204"/>
      <c r="EZF20" s="204"/>
      <c r="EZG20" s="204"/>
      <c r="EZH20" s="204"/>
      <c r="EZI20" s="204"/>
      <c r="EZJ20" s="204"/>
      <c r="EZK20" s="204"/>
      <c r="EZL20" s="204"/>
      <c r="EZM20" s="204"/>
      <c r="EZN20" s="204"/>
      <c r="EZO20" s="204"/>
      <c r="EZP20" s="204"/>
      <c r="EZQ20" s="204"/>
      <c r="EZR20" s="204"/>
      <c r="EZS20" s="204"/>
      <c r="EZT20" s="204"/>
      <c r="EZU20" s="204"/>
      <c r="EZV20" s="204"/>
      <c r="EZW20" s="204"/>
      <c r="EZX20" s="204"/>
      <c r="EZY20" s="204"/>
      <c r="EZZ20" s="204"/>
      <c r="FAA20" s="204"/>
      <c r="FAB20" s="204"/>
      <c r="FAC20" s="204"/>
      <c r="FAD20" s="204"/>
      <c r="FAE20" s="204"/>
      <c r="FAF20" s="204"/>
      <c r="FAG20" s="204"/>
      <c r="FAH20" s="204"/>
      <c r="FAI20" s="204"/>
      <c r="FAJ20" s="204"/>
      <c r="FAK20" s="204"/>
      <c r="FAL20" s="204"/>
      <c r="FAM20" s="204"/>
      <c r="FAN20" s="204"/>
      <c r="FAO20" s="204"/>
      <c r="FAP20" s="204"/>
      <c r="FAQ20" s="204"/>
      <c r="FAR20" s="204"/>
      <c r="FAS20" s="204"/>
      <c r="FAT20" s="204"/>
      <c r="FAU20" s="204"/>
      <c r="FAV20" s="204"/>
      <c r="FAW20" s="204"/>
      <c r="FAX20" s="204"/>
      <c r="FAY20" s="204"/>
      <c r="FAZ20" s="204"/>
      <c r="FBA20" s="204"/>
      <c r="FBB20" s="204"/>
      <c r="FBC20" s="204"/>
      <c r="FBD20" s="204"/>
      <c r="FBE20" s="204"/>
      <c r="FBF20" s="204"/>
      <c r="FBG20" s="204"/>
      <c r="FBH20" s="204"/>
      <c r="FBI20" s="204"/>
      <c r="FBJ20" s="204"/>
      <c r="FBK20" s="204"/>
      <c r="FBL20" s="204"/>
      <c r="FBM20" s="204"/>
      <c r="FBN20" s="204"/>
      <c r="FBO20" s="204"/>
      <c r="FBP20" s="204"/>
      <c r="FBQ20" s="204"/>
      <c r="FBR20" s="204"/>
      <c r="FBS20" s="204"/>
      <c r="FBT20" s="204"/>
      <c r="FBU20" s="204"/>
      <c r="FBV20" s="204"/>
      <c r="FBW20" s="204"/>
      <c r="FBX20" s="204"/>
      <c r="FBY20" s="204"/>
      <c r="FBZ20" s="204"/>
      <c r="FCA20" s="204"/>
      <c r="FCB20" s="204"/>
      <c r="FCC20" s="204"/>
      <c r="FCD20" s="204"/>
      <c r="FCE20" s="204"/>
      <c r="FCF20" s="204"/>
      <c r="FCG20" s="204"/>
      <c r="FCH20" s="204"/>
      <c r="FCI20" s="204"/>
      <c r="FCJ20" s="204"/>
      <c r="FCK20" s="204"/>
      <c r="FCL20" s="204"/>
      <c r="FCM20" s="204"/>
      <c r="FCN20" s="204"/>
      <c r="FCO20" s="204"/>
      <c r="FCP20" s="204"/>
      <c r="FCQ20" s="204"/>
      <c r="FCR20" s="204"/>
      <c r="FCS20" s="204"/>
      <c r="FCT20" s="204"/>
      <c r="FCU20" s="204"/>
      <c r="FCV20" s="204"/>
      <c r="FCW20" s="204"/>
      <c r="FCX20" s="204"/>
      <c r="FCY20" s="204"/>
      <c r="FCZ20" s="204"/>
      <c r="FDA20" s="204"/>
      <c r="FDB20" s="204"/>
      <c r="FDC20" s="204"/>
      <c r="FDD20" s="204"/>
      <c r="FDE20" s="204"/>
      <c r="FDF20" s="204"/>
      <c r="FDG20" s="204"/>
      <c r="FDH20" s="204"/>
      <c r="FDI20" s="204"/>
      <c r="FDJ20" s="204"/>
      <c r="FDK20" s="204"/>
      <c r="FDL20" s="204"/>
      <c r="FDM20" s="204"/>
      <c r="FDN20" s="204"/>
      <c r="FDO20" s="204"/>
      <c r="FDP20" s="204"/>
      <c r="FDQ20" s="204"/>
      <c r="FDR20" s="204"/>
      <c r="FDS20" s="204"/>
      <c r="FDT20" s="204"/>
      <c r="FDU20" s="204"/>
      <c r="FDV20" s="204"/>
      <c r="FDW20" s="204"/>
      <c r="FDX20" s="204"/>
      <c r="FDY20" s="204"/>
      <c r="FDZ20" s="204"/>
      <c r="FEA20" s="204"/>
      <c r="FEB20" s="204"/>
      <c r="FEC20" s="204"/>
      <c r="FED20" s="204"/>
      <c r="FEE20" s="204"/>
      <c r="FEF20" s="204"/>
      <c r="FEG20" s="204"/>
      <c r="FEH20" s="204"/>
      <c r="FEI20" s="204"/>
      <c r="FEJ20" s="204"/>
      <c r="FEK20" s="204"/>
      <c r="FEL20" s="204"/>
      <c r="FEM20" s="204"/>
      <c r="FEN20" s="204"/>
      <c r="FEO20" s="204"/>
      <c r="FEP20" s="204"/>
      <c r="FEQ20" s="204"/>
      <c r="FER20" s="204"/>
      <c r="FES20" s="204"/>
      <c r="FET20" s="204"/>
      <c r="FEU20" s="204"/>
      <c r="FEV20" s="204"/>
      <c r="FEW20" s="204"/>
      <c r="FEX20" s="204"/>
      <c r="FEY20" s="204"/>
      <c r="FEZ20" s="204"/>
      <c r="FFA20" s="204"/>
      <c r="FFB20" s="204"/>
      <c r="FFC20" s="204"/>
      <c r="FFD20" s="204"/>
      <c r="FFE20" s="204"/>
      <c r="FFF20" s="204"/>
      <c r="FFG20" s="204"/>
      <c r="FFH20" s="204"/>
      <c r="FFI20" s="204"/>
      <c r="FFJ20" s="204"/>
      <c r="FFK20" s="204"/>
      <c r="FFL20" s="204"/>
      <c r="FFM20" s="204"/>
      <c r="FFN20" s="204"/>
      <c r="FFO20" s="204"/>
      <c r="FFP20" s="204"/>
      <c r="FFQ20" s="204"/>
      <c r="FFR20" s="204"/>
      <c r="FFS20" s="204"/>
      <c r="FFT20" s="204"/>
      <c r="FFU20" s="204"/>
      <c r="FFV20" s="204"/>
      <c r="FFW20" s="204"/>
      <c r="FFX20" s="204"/>
      <c r="FFY20" s="204"/>
      <c r="FFZ20" s="204"/>
      <c r="FGA20" s="204"/>
      <c r="FGB20" s="204"/>
      <c r="FGC20" s="204"/>
      <c r="FGD20" s="204"/>
      <c r="FGE20" s="204"/>
      <c r="FGF20" s="204"/>
      <c r="FGG20" s="204"/>
      <c r="FGH20" s="204"/>
      <c r="FGI20" s="204"/>
      <c r="FGJ20" s="204"/>
      <c r="FGK20" s="204"/>
      <c r="FGL20" s="204"/>
      <c r="FGM20" s="204"/>
      <c r="FGN20" s="204"/>
      <c r="FGO20" s="204"/>
      <c r="FGP20" s="204"/>
      <c r="FGQ20" s="204"/>
      <c r="FGR20" s="204"/>
      <c r="FGS20" s="204"/>
      <c r="FGT20" s="204"/>
      <c r="FGU20" s="204"/>
      <c r="FGV20" s="204"/>
      <c r="FGW20" s="204"/>
      <c r="FGX20" s="204"/>
      <c r="FGY20" s="204"/>
      <c r="FGZ20" s="204"/>
      <c r="FHA20" s="204"/>
      <c r="FHB20" s="204"/>
      <c r="FHC20" s="204"/>
      <c r="FHD20" s="204"/>
      <c r="FHE20" s="204"/>
      <c r="FHF20" s="204"/>
      <c r="FHG20" s="204"/>
      <c r="FHH20" s="204"/>
      <c r="FHI20" s="204"/>
      <c r="FHJ20" s="204"/>
      <c r="FHK20" s="204"/>
      <c r="FHL20" s="204"/>
      <c r="FHM20" s="204"/>
      <c r="FHN20" s="204"/>
      <c r="FHO20" s="204"/>
      <c r="FHP20" s="204"/>
      <c r="FHQ20" s="204"/>
      <c r="FHR20" s="204"/>
      <c r="FHS20" s="204"/>
      <c r="FHT20" s="204"/>
      <c r="FHU20" s="204"/>
      <c r="FHV20" s="204"/>
      <c r="FHW20" s="204"/>
      <c r="FHX20" s="204"/>
      <c r="FHY20" s="204"/>
      <c r="FHZ20" s="204"/>
      <c r="FIA20" s="204"/>
      <c r="FIB20" s="204"/>
      <c r="FIC20" s="204"/>
      <c r="FID20" s="204"/>
      <c r="FIE20" s="204"/>
      <c r="FIF20" s="204"/>
      <c r="FIG20" s="204"/>
      <c r="FIH20" s="204"/>
      <c r="FII20" s="204"/>
      <c r="FIJ20" s="204"/>
      <c r="FIK20" s="204"/>
      <c r="FIL20" s="204"/>
      <c r="FIM20" s="204"/>
      <c r="FIN20" s="204"/>
      <c r="FIO20" s="204"/>
      <c r="FIP20" s="204"/>
      <c r="FIQ20" s="204"/>
      <c r="FIR20" s="204"/>
      <c r="FIS20" s="204"/>
      <c r="FIT20" s="204"/>
      <c r="FIU20" s="204"/>
      <c r="FIV20" s="204"/>
      <c r="FIW20" s="204"/>
      <c r="FIX20" s="204"/>
      <c r="FIY20" s="204"/>
      <c r="FIZ20" s="204"/>
      <c r="FJA20" s="204"/>
      <c r="FJB20" s="204"/>
      <c r="FJC20" s="204"/>
      <c r="FJD20" s="204"/>
      <c r="FJE20" s="204"/>
      <c r="FJF20" s="204"/>
      <c r="FJG20" s="204"/>
      <c r="FJH20" s="204"/>
      <c r="FJI20" s="204"/>
      <c r="FJJ20" s="204"/>
      <c r="FJK20" s="204"/>
      <c r="FJL20" s="204"/>
      <c r="FJM20" s="204"/>
      <c r="FJN20" s="204"/>
      <c r="FJO20" s="204"/>
      <c r="FJP20" s="204"/>
      <c r="FJQ20" s="204"/>
      <c r="FJR20" s="204"/>
      <c r="FJS20" s="204"/>
      <c r="FJT20" s="204"/>
      <c r="FJU20" s="204"/>
      <c r="FJV20" s="204"/>
      <c r="FJW20" s="204"/>
      <c r="FJX20" s="204"/>
      <c r="FJY20" s="204"/>
      <c r="FJZ20" s="204"/>
      <c r="FKA20" s="204"/>
      <c r="FKB20" s="204"/>
      <c r="FKC20" s="204"/>
      <c r="FKD20" s="204"/>
      <c r="FKE20" s="204"/>
      <c r="FKF20" s="204"/>
      <c r="FKG20" s="204"/>
      <c r="FKH20" s="204"/>
      <c r="FKI20" s="204"/>
      <c r="FKJ20" s="204"/>
      <c r="FKK20" s="204"/>
      <c r="FKL20" s="204"/>
      <c r="FKM20" s="204"/>
      <c r="FKN20" s="204"/>
      <c r="FKO20" s="204"/>
      <c r="FKP20" s="204"/>
      <c r="FKQ20" s="204"/>
      <c r="FKR20" s="204"/>
      <c r="FKS20" s="204"/>
      <c r="FKT20" s="204"/>
      <c r="FKU20" s="204"/>
      <c r="FKV20" s="204"/>
      <c r="FKW20" s="204"/>
      <c r="FKX20" s="204"/>
      <c r="FKY20" s="204"/>
      <c r="FKZ20" s="204"/>
      <c r="FLA20" s="204"/>
      <c r="FLB20" s="204"/>
      <c r="FLC20" s="204"/>
      <c r="FLD20" s="204"/>
      <c r="FLE20" s="204"/>
      <c r="FLF20" s="204"/>
      <c r="FLG20" s="204"/>
      <c r="FLH20" s="204"/>
      <c r="FLI20" s="204"/>
      <c r="FLJ20" s="204"/>
      <c r="FLK20" s="204"/>
      <c r="FLL20" s="204"/>
      <c r="FLM20" s="204"/>
      <c r="FLN20" s="204"/>
      <c r="FLO20" s="204"/>
      <c r="FLP20" s="204"/>
      <c r="FLQ20" s="204"/>
      <c r="FLR20" s="204"/>
      <c r="FLS20" s="204"/>
      <c r="FLT20" s="204"/>
      <c r="FLU20" s="204"/>
      <c r="FLV20" s="204"/>
      <c r="FLW20" s="204"/>
      <c r="FLX20" s="204"/>
      <c r="FLY20" s="204"/>
      <c r="FLZ20" s="204"/>
      <c r="FMA20" s="204"/>
      <c r="FMB20" s="204"/>
      <c r="FMC20" s="204"/>
      <c r="FMD20" s="204"/>
      <c r="FME20" s="204"/>
      <c r="FMF20" s="204"/>
      <c r="FMG20" s="204"/>
      <c r="FMH20" s="204"/>
      <c r="FMI20" s="204"/>
      <c r="FMJ20" s="204"/>
      <c r="FMK20" s="204"/>
      <c r="FML20" s="204"/>
      <c r="FMM20" s="204"/>
      <c r="FMN20" s="204"/>
      <c r="FMO20" s="204"/>
      <c r="FMP20" s="204"/>
      <c r="FMQ20" s="204"/>
      <c r="FMR20" s="204"/>
      <c r="FMS20" s="204"/>
      <c r="FMT20" s="204"/>
      <c r="FMU20" s="204"/>
      <c r="FMV20" s="204"/>
      <c r="FMW20" s="204"/>
      <c r="FMX20" s="204"/>
      <c r="FMY20" s="204"/>
      <c r="FMZ20" s="204"/>
      <c r="FNA20" s="204"/>
      <c r="FNB20" s="204"/>
      <c r="FNC20" s="204"/>
      <c r="FND20" s="204"/>
      <c r="FNE20" s="204"/>
      <c r="FNF20" s="204"/>
      <c r="FNG20" s="204"/>
      <c r="FNH20" s="204"/>
      <c r="FNI20" s="204"/>
      <c r="FNJ20" s="204"/>
      <c r="FNK20" s="204"/>
      <c r="FNL20" s="204"/>
      <c r="FNM20" s="204"/>
      <c r="FNN20" s="204"/>
      <c r="FNO20" s="204"/>
      <c r="FNP20" s="204"/>
      <c r="FNQ20" s="204"/>
      <c r="FNR20" s="204"/>
      <c r="FNS20" s="204"/>
      <c r="FNT20" s="204"/>
      <c r="FNU20" s="204"/>
      <c r="FNV20" s="204"/>
      <c r="FNW20" s="204"/>
      <c r="FNX20" s="204"/>
      <c r="FNY20" s="204"/>
      <c r="FNZ20" s="204"/>
      <c r="FOA20" s="204"/>
      <c r="FOB20" s="204"/>
      <c r="FOC20" s="204"/>
      <c r="FOD20" s="204"/>
      <c r="FOE20" s="204"/>
      <c r="FOF20" s="204"/>
      <c r="FOG20" s="204"/>
      <c r="FOH20" s="204"/>
      <c r="FOI20" s="204"/>
      <c r="FOJ20" s="204"/>
      <c r="FOK20" s="204"/>
      <c r="FOL20" s="204"/>
      <c r="FOM20" s="204"/>
      <c r="FON20" s="204"/>
      <c r="FOO20" s="204"/>
      <c r="FOP20" s="204"/>
      <c r="FOQ20" s="204"/>
      <c r="FOR20" s="204"/>
      <c r="FOS20" s="204"/>
      <c r="FOT20" s="204"/>
      <c r="FOU20" s="204"/>
      <c r="FOV20" s="204"/>
      <c r="FOW20" s="204"/>
      <c r="FOX20" s="204"/>
      <c r="FOY20" s="204"/>
      <c r="FOZ20" s="204"/>
      <c r="FPA20" s="204"/>
      <c r="FPB20" s="204"/>
      <c r="FPC20" s="204"/>
      <c r="FPD20" s="204"/>
      <c r="FPE20" s="204"/>
      <c r="FPF20" s="204"/>
      <c r="FPG20" s="204"/>
      <c r="FPH20" s="204"/>
      <c r="FPI20" s="204"/>
      <c r="FPJ20" s="204"/>
      <c r="FPK20" s="204"/>
      <c r="FPL20" s="204"/>
      <c r="FPM20" s="204"/>
      <c r="FPN20" s="204"/>
      <c r="FPO20" s="204"/>
      <c r="FPP20" s="204"/>
      <c r="FPQ20" s="204"/>
      <c r="FPR20" s="204"/>
      <c r="FPS20" s="204"/>
      <c r="FPT20" s="204"/>
      <c r="FPU20" s="204"/>
      <c r="FPV20" s="204"/>
      <c r="FPW20" s="204"/>
      <c r="FPX20" s="204"/>
      <c r="FPY20" s="204"/>
      <c r="FPZ20" s="204"/>
      <c r="FQA20" s="204"/>
      <c r="FQB20" s="204"/>
      <c r="FQC20" s="204"/>
      <c r="FQD20" s="204"/>
      <c r="FQE20" s="204"/>
      <c r="FQF20" s="204"/>
      <c r="FQG20" s="204"/>
      <c r="FQH20" s="204"/>
      <c r="FQI20" s="204"/>
      <c r="FQJ20" s="204"/>
      <c r="FQK20" s="204"/>
      <c r="FQL20" s="204"/>
      <c r="FQM20" s="204"/>
      <c r="FQN20" s="204"/>
      <c r="FQO20" s="204"/>
      <c r="FQP20" s="204"/>
      <c r="FQQ20" s="204"/>
      <c r="FQR20" s="204"/>
      <c r="FQS20" s="204"/>
      <c r="FQT20" s="204"/>
      <c r="FQU20" s="204"/>
      <c r="FQV20" s="204"/>
      <c r="FQW20" s="204"/>
      <c r="FQX20" s="204"/>
      <c r="FQY20" s="204"/>
      <c r="FQZ20" s="204"/>
      <c r="FRA20" s="204"/>
      <c r="FRB20" s="204"/>
      <c r="FRC20" s="204"/>
      <c r="FRD20" s="204"/>
      <c r="FRE20" s="204"/>
      <c r="FRF20" s="204"/>
      <c r="FRG20" s="204"/>
      <c r="FRH20" s="204"/>
      <c r="FRI20" s="204"/>
      <c r="FRJ20" s="204"/>
      <c r="FRK20" s="204"/>
      <c r="FRL20" s="204"/>
      <c r="FRM20" s="204"/>
      <c r="FRN20" s="204"/>
      <c r="FRO20" s="204"/>
      <c r="FRP20" s="204"/>
      <c r="FRQ20" s="204"/>
      <c r="FRR20" s="204"/>
      <c r="FRS20" s="204"/>
      <c r="FRT20" s="204"/>
      <c r="FRU20" s="204"/>
      <c r="FRV20" s="204"/>
      <c r="FRW20" s="204"/>
      <c r="FRX20" s="204"/>
      <c r="FRY20" s="204"/>
      <c r="FRZ20" s="204"/>
      <c r="FSA20" s="204"/>
      <c r="FSB20" s="204"/>
      <c r="FSC20" s="204"/>
      <c r="FSD20" s="204"/>
      <c r="FSE20" s="204"/>
      <c r="FSF20" s="204"/>
      <c r="FSG20" s="204"/>
      <c r="FSH20" s="204"/>
      <c r="FSI20" s="204"/>
      <c r="FSJ20" s="204"/>
      <c r="FSK20" s="204"/>
      <c r="FSL20" s="204"/>
      <c r="FSM20" s="204"/>
      <c r="FSN20" s="204"/>
      <c r="FSO20" s="204"/>
      <c r="FSP20" s="204"/>
      <c r="FSQ20" s="204"/>
      <c r="FSR20" s="204"/>
      <c r="FSS20" s="204"/>
      <c r="FST20" s="204"/>
      <c r="FSU20" s="204"/>
      <c r="FSV20" s="204"/>
      <c r="FSW20" s="204"/>
      <c r="FSX20" s="204"/>
      <c r="FSY20" s="204"/>
      <c r="FSZ20" s="204"/>
      <c r="FTA20" s="204"/>
      <c r="FTB20" s="204"/>
      <c r="FTC20" s="204"/>
      <c r="FTD20" s="204"/>
      <c r="FTE20" s="204"/>
      <c r="FTF20" s="204"/>
      <c r="FTG20" s="204"/>
      <c r="FTH20" s="204"/>
      <c r="FTI20" s="204"/>
      <c r="FTJ20" s="204"/>
      <c r="FTK20" s="204"/>
      <c r="FTL20" s="204"/>
      <c r="FTM20" s="204"/>
      <c r="FTN20" s="204"/>
      <c r="FTO20" s="204"/>
      <c r="FTP20" s="204"/>
      <c r="FTQ20" s="204"/>
      <c r="FTR20" s="204"/>
      <c r="FTS20" s="204"/>
      <c r="FTT20" s="204"/>
      <c r="FTU20" s="204"/>
      <c r="FTV20" s="204"/>
      <c r="FTW20" s="204"/>
      <c r="FTX20" s="204"/>
      <c r="FTY20" s="204"/>
      <c r="FTZ20" s="204"/>
      <c r="FUA20" s="204"/>
      <c r="FUB20" s="204"/>
      <c r="FUC20" s="204"/>
      <c r="FUD20" s="204"/>
      <c r="FUE20" s="204"/>
      <c r="FUF20" s="204"/>
      <c r="FUG20" s="204"/>
      <c r="FUH20" s="204"/>
      <c r="FUI20" s="204"/>
      <c r="FUJ20" s="204"/>
      <c r="FUK20" s="204"/>
      <c r="FUL20" s="204"/>
      <c r="FUM20" s="204"/>
      <c r="FUN20" s="204"/>
      <c r="FUO20" s="204"/>
      <c r="FUP20" s="204"/>
      <c r="FUQ20" s="204"/>
      <c r="FUR20" s="204"/>
      <c r="FUS20" s="204"/>
      <c r="FUT20" s="204"/>
      <c r="FUU20" s="204"/>
      <c r="FUV20" s="204"/>
      <c r="FUW20" s="204"/>
      <c r="FUX20" s="204"/>
      <c r="FUY20" s="204"/>
      <c r="FUZ20" s="204"/>
      <c r="FVA20" s="204"/>
      <c r="FVB20" s="204"/>
      <c r="FVC20" s="204"/>
      <c r="FVD20" s="204"/>
      <c r="FVE20" s="204"/>
      <c r="FVF20" s="204"/>
      <c r="FVG20" s="204"/>
      <c r="FVH20" s="204"/>
      <c r="FVI20" s="204"/>
      <c r="FVJ20" s="204"/>
      <c r="FVK20" s="204"/>
      <c r="FVL20" s="204"/>
      <c r="FVM20" s="204"/>
      <c r="FVN20" s="204"/>
      <c r="FVO20" s="204"/>
      <c r="FVP20" s="204"/>
      <c r="FVQ20" s="204"/>
      <c r="FVR20" s="204"/>
      <c r="FVS20" s="204"/>
      <c r="FVT20" s="204"/>
      <c r="FVU20" s="204"/>
      <c r="FVV20" s="204"/>
      <c r="FVW20" s="204"/>
      <c r="FVX20" s="204"/>
      <c r="FVY20" s="204"/>
      <c r="FVZ20" s="204"/>
      <c r="FWA20" s="204"/>
      <c r="FWB20" s="204"/>
      <c r="FWC20" s="204"/>
      <c r="FWD20" s="204"/>
      <c r="FWE20" s="204"/>
      <c r="FWF20" s="204"/>
      <c r="FWG20" s="204"/>
      <c r="FWH20" s="204"/>
      <c r="FWI20" s="204"/>
      <c r="FWJ20" s="204"/>
      <c r="FWK20" s="204"/>
      <c r="FWL20" s="204"/>
      <c r="FWM20" s="204"/>
      <c r="FWN20" s="204"/>
      <c r="FWO20" s="204"/>
      <c r="FWP20" s="204"/>
      <c r="FWQ20" s="204"/>
      <c r="FWR20" s="204"/>
      <c r="FWS20" s="204"/>
      <c r="FWT20" s="204"/>
      <c r="FWU20" s="204"/>
      <c r="FWV20" s="204"/>
      <c r="FWW20" s="204"/>
      <c r="FWX20" s="204"/>
      <c r="FWY20" s="204"/>
      <c r="FWZ20" s="204"/>
      <c r="FXA20" s="204"/>
      <c r="FXB20" s="204"/>
      <c r="FXC20" s="204"/>
      <c r="FXD20" s="204"/>
      <c r="FXE20" s="204"/>
      <c r="FXF20" s="204"/>
      <c r="FXG20" s="204"/>
      <c r="FXH20" s="204"/>
      <c r="FXI20" s="204"/>
      <c r="FXJ20" s="204"/>
      <c r="FXK20" s="204"/>
      <c r="FXL20" s="204"/>
      <c r="FXM20" s="204"/>
      <c r="FXN20" s="204"/>
      <c r="FXO20" s="204"/>
      <c r="FXP20" s="204"/>
      <c r="FXQ20" s="204"/>
      <c r="FXR20" s="204"/>
      <c r="FXS20" s="204"/>
      <c r="FXT20" s="204"/>
      <c r="FXU20" s="204"/>
      <c r="FXV20" s="204"/>
      <c r="FXW20" s="204"/>
      <c r="FXX20" s="204"/>
      <c r="FXY20" s="204"/>
      <c r="FXZ20" s="204"/>
      <c r="FYA20" s="204"/>
      <c r="FYB20" s="204"/>
      <c r="FYC20" s="204"/>
      <c r="FYD20" s="204"/>
      <c r="FYE20" s="204"/>
      <c r="FYF20" s="204"/>
      <c r="FYG20" s="204"/>
      <c r="FYH20" s="204"/>
      <c r="FYI20" s="204"/>
      <c r="FYJ20" s="204"/>
      <c r="FYK20" s="204"/>
      <c r="FYL20" s="204"/>
      <c r="FYM20" s="204"/>
      <c r="FYN20" s="204"/>
      <c r="FYO20" s="204"/>
      <c r="FYP20" s="204"/>
      <c r="FYQ20" s="204"/>
      <c r="FYR20" s="204"/>
      <c r="FYS20" s="204"/>
      <c r="FYT20" s="204"/>
      <c r="FYU20" s="204"/>
      <c r="FYV20" s="204"/>
      <c r="FYW20" s="204"/>
      <c r="FYX20" s="204"/>
      <c r="FYY20" s="204"/>
      <c r="FYZ20" s="204"/>
      <c r="FZA20" s="204"/>
      <c r="FZB20" s="204"/>
      <c r="FZC20" s="204"/>
      <c r="FZD20" s="204"/>
      <c r="FZE20" s="204"/>
      <c r="FZF20" s="204"/>
      <c r="FZG20" s="204"/>
      <c r="FZH20" s="204"/>
      <c r="FZI20" s="204"/>
      <c r="FZJ20" s="204"/>
      <c r="FZK20" s="204"/>
      <c r="FZL20" s="204"/>
      <c r="FZM20" s="204"/>
      <c r="FZN20" s="204"/>
      <c r="FZO20" s="204"/>
      <c r="FZP20" s="204"/>
      <c r="FZQ20" s="204"/>
      <c r="FZR20" s="204"/>
      <c r="FZS20" s="204"/>
      <c r="FZT20" s="204"/>
      <c r="FZU20" s="204"/>
      <c r="FZV20" s="204"/>
      <c r="FZW20" s="204"/>
      <c r="FZX20" s="204"/>
      <c r="FZY20" s="204"/>
      <c r="FZZ20" s="204"/>
      <c r="GAA20" s="204"/>
      <c r="GAB20" s="204"/>
      <c r="GAC20" s="204"/>
      <c r="GAD20" s="204"/>
      <c r="GAE20" s="204"/>
      <c r="GAF20" s="204"/>
      <c r="GAG20" s="204"/>
      <c r="GAH20" s="204"/>
      <c r="GAI20" s="204"/>
      <c r="GAJ20" s="204"/>
      <c r="GAK20" s="204"/>
      <c r="GAL20" s="204"/>
      <c r="GAM20" s="204"/>
      <c r="GAN20" s="204"/>
      <c r="GAO20" s="204"/>
      <c r="GAP20" s="204"/>
      <c r="GAQ20" s="204"/>
      <c r="GAR20" s="204"/>
      <c r="GAS20" s="204"/>
      <c r="GAT20" s="204"/>
      <c r="GAU20" s="204"/>
      <c r="GAV20" s="204"/>
      <c r="GAW20" s="204"/>
      <c r="GAX20" s="204"/>
      <c r="GAY20" s="204"/>
      <c r="GAZ20" s="204"/>
      <c r="GBA20" s="204"/>
      <c r="GBB20" s="204"/>
      <c r="GBC20" s="204"/>
      <c r="GBD20" s="204"/>
      <c r="GBE20" s="204"/>
      <c r="GBF20" s="204"/>
      <c r="GBG20" s="204"/>
      <c r="GBH20" s="204"/>
      <c r="GBI20" s="204"/>
      <c r="GBJ20" s="204"/>
      <c r="GBK20" s="204"/>
      <c r="GBL20" s="204"/>
      <c r="GBM20" s="204"/>
      <c r="GBN20" s="204"/>
      <c r="GBO20" s="204"/>
      <c r="GBP20" s="204"/>
      <c r="GBQ20" s="204"/>
      <c r="GBR20" s="204"/>
      <c r="GBS20" s="204"/>
      <c r="GBT20" s="204"/>
      <c r="GBU20" s="204"/>
      <c r="GBV20" s="204"/>
      <c r="GBW20" s="204"/>
      <c r="GBX20" s="204"/>
      <c r="GBY20" s="204"/>
      <c r="GBZ20" s="204"/>
      <c r="GCA20" s="204"/>
      <c r="GCB20" s="204"/>
      <c r="GCC20" s="204"/>
      <c r="GCD20" s="204"/>
      <c r="GCE20" s="204"/>
      <c r="GCF20" s="204"/>
      <c r="GCG20" s="204"/>
      <c r="GCH20" s="204"/>
      <c r="GCI20" s="204"/>
      <c r="GCJ20" s="204"/>
      <c r="GCK20" s="204"/>
      <c r="GCL20" s="204"/>
      <c r="GCM20" s="204"/>
      <c r="GCN20" s="204"/>
      <c r="GCO20" s="204"/>
      <c r="GCP20" s="204"/>
      <c r="GCQ20" s="204"/>
      <c r="GCR20" s="204"/>
      <c r="GCS20" s="204"/>
      <c r="GCT20" s="204"/>
      <c r="GCU20" s="204"/>
      <c r="GCV20" s="204"/>
      <c r="GCW20" s="204"/>
      <c r="GCX20" s="204"/>
      <c r="GCY20" s="204"/>
      <c r="GCZ20" s="204"/>
      <c r="GDA20" s="204"/>
      <c r="GDB20" s="204"/>
      <c r="GDC20" s="204"/>
      <c r="GDD20" s="204"/>
      <c r="GDE20" s="204"/>
      <c r="GDF20" s="204"/>
      <c r="GDG20" s="204"/>
      <c r="GDH20" s="204"/>
      <c r="GDI20" s="204"/>
      <c r="GDJ20" s="204"/>
      <c r="GDK20" s="204"/>
      <c r="GDL20" s="204"/>
      <c r="GDM20" s="204"/>
      <c r="GDN20" s="204"/>
      <c r="GDO20" s="204"/>
      <c r="GDP20" s="204"/>
      <c r="GDQ20" s="204"/>
      <c r="GDR20" s="204"/>
      <c r="GDS20" s="204"/>
      <c r="GDT20" s="204"/>
      <c r="GDU20" s="204"/>
      <c r="GDV20" s="204"/>
      <c r="GDW20" s="204"/>
      <c r="GDX20" s="204"/>
      <c r="GDY20" s="204"/>
      <c r="GDZ20" s="204"/>
      <c r="GEA20" s="204"/>
      <c r="GEB20" s="204"/>
      <c r="GEC20" s="204"/>
      <c r="GED20" s="204"/>
      <c r="GEE20" s="204"/>
      <c r="GEF20" s="204"/>
      <c r="GEG20" s="204"/>
      <c r="GEH20" s="204"/>
      <c r="GEI20" s="204"/>
      <c r="GEJ20" s="204"/>
      <c r="GEK20" s="204"/>
      <c r="GEL20" s="204"/>
      <c r="GEM20" s="204"/>
      <c r="GEN20" s="204"/>
      <c r="GEO20" s="204"/>
      <c r="GEP20" s="204"/>
      <c r="GEQ20" s="204"/>
      <c r="GER20" s="204"/>
      <c r="GES20" s="204"/>
      <c r="GET20" s="204"/>
      <c r="GEU20" s="204"/>
      <c r="GEV20" s="204"/>
      <c r="GEW20" s="204"/>
      <c r="GEX20" s="204"/>
      <c r="GEY20" s="204"/>
      <c r="GEZ20" s="204"/>
      <c r="GFA20" s="204"/>
      <c r="GFB20" s="204"/>
      <c r="GFC20" s="204"/>
      <c r="GFD20" s="204"/>
      <c r="GFE20" s="204"/>
      <c r="GFF20" s="204"/>
      <c r="GFG20" s="204"/>
      <c r="GFH20" s="204"/>
      <c r="GFI20" s="204"/>
      <c r="GFJ20" s="204"/>
      <c r="GFK20" s="204"/>
      <c r="GFL20" s="204"/>
      <c r="GFM20" s="204"/>
      <c r="GFN20" s="204"/>
      <c r="GFO20" s="204"/>
      <c r="GFP20" s="204"/>
      <c r="GFQ20" s="204"/>
      <c r="GFR20" s="204"/>
      <c r="GFS20" s="204"/>
      <c r="GFT20" s="204"/>
      <c r="GFU20" s="204"/>
      <c r="GFV20" s="204"/>
      <c r="GFW20" s="204"/>
      <c r="GFX20" s="204"/>
      <c r="GFY20" s="204"/>
      <c r="GFZ20" s="204"/>
      <c r="GGA20" s="204"/>
      <c r="GGB20" s="204"/>
      <c r="GGC20" s="204"/>
      <c r="GGD20" s="204"/>
      <c r="GGE20" s="204"/>
      <c r="GGF20" s="204"/>
      <c r="GGG20" s="204"/>
      <c r="GGH20" s="204"/>
      <c r="GGI20" s="204"/>
      <c r="GGJ20" s="204"/>
      <c r="GGK20" s="204"/>
      <c r="GGL20" s="204"/>
      <c r="GGM20" s="204"/>
      <c r="GGN20" s="204"/>
      <c r="GGO20" s="204"/>
      <c r="GGP20" s="204"/>
      <c r="GGQ20" s="204"/>
      <c r="GGR20" s="204"/>
      <c r="GGS20" s="204"/>
      <c r="GGT20" s="204"/>
      <c r="GGU20" s="204"/>
      <c r="GGV20" s="204"/>
      <c r="GGW20" s="204"/>
      <c r="GGX20" s="204"/>
      <c r="GGY20" s="204"/>
      <c r="GGZ20" s="204"/>
      <c r="GHA20" s="204"/>
      <c r="GHB20" s="204"/>
      <c r="GHC20" s="204"/>
      <c r="GHD20" s="204"/>
      <c r="GHE20" s="204"/>
      <c r="GHF20" s="204"/>
      <c r="GHG20" s="204"/>
      <c r="GHH20" s="204"/>
      <c r="GHI20" s="204"/>
      <c r="GHJ20" s="204"/>
      <c r="GHK20" s="204"/>
      <c r="GHL20" s="204"/>
      <c r="GHM20" s="204"/>
      <c r="GHN20" s="204"/>
      <c r="GHO20" s="204"/>
      <c r="GHP20" s="204"/>
      <c r="GHQ20" s="204"/>
      <c r="GHR20" s="204"/>
      <c r="GHS20" s="204"/>
      <c r="GHT20" s="204"/>
      <c r="GHU20" s="204"/>
      <c r="GHV20" s="204"/>
      <c r="GHW20" s="204"/>
      <c r="GHX20" s="204"/>
      <c r="GHY20" s="204"/>
      <c r="GHZ20" s="204"/>
      <c r="GIA20" s="204"/>
      <c r="GIB20" s="204"/>
      <c r="GIC20" s="204"/>
      <c r="GID20" s="204"/>
      <c r="GIE20" s="204"/>
      <c r="GIF20" s="204"/>
      <c r="GIG20" s="204"/>
      <c r="GIH20" s="204"/>
      <c r="GII20" s="204"/>
      <c r="GIJ20" s="204"/>
      <c r="GIK20" s="204"/>
      <c r="GIL20" s="204"/>
      <c r="GIM20" s="204"/>
      <c r="GIN20" s="204"/>
      <c r="GIO20" s="204"/>
      <c r="GIP20" s="204"/>
      <c r="GIQ20" s="204"/>
      <c r="GIR20" s="204"/>
      <c r="GIS20" s="204"/>
      <c r="GIT20" s="204"/>
      <c r="GIU20" s="204"/>
      <c r="GIV20" s="204"/>
      <c r="GIW20" s="204"/>
      <c r="GIX20" s="204"/>
      <c r="GIY20" s="204"/>
      <c r="GIZ20" s="204"/>
      <c r="GJA20" s="204"/>
      <c r="GJB20" s="204"/>
      <c r="GJC20" s="204"/>
      <c r="GJD20" s="204"/>
      <c r="GJE20" s="204"/>
      <c r="GJF20" s="204"/>
      <c r="GJG20" s="204"/>
      <c r="GJH20" s="204"/>
      <c r="GJI20" s="204"/>
      <c r="GJJ20" s="204"/>
      <c r="GJK20" s="204"/>
      <c r="GJL20" s="204"/>
      <c r="GJM20" s="204"/>
      <c r="GJN20" s="204"/>
      <c r="GJO20" s="204"/>
      <c r="GJP20" s="204"/>
      <c r="GJQ20" s="204"/>
      <c r="GJR20" s="204"/>
      <c r="GJS20" s="204"/>
      <c r="GJT20" s="204"/>
      <c r="GJU20" s="204"/>
      <c r="GJV20" s="204"/>
      <c r="GJW20" s="204"/>
      <c r="GJX20" s="204"/>
      <c r="GJY20" s="204"/>
      <c r="GJZ20" s="204"/>
      <c r="GKA20" s="204"/>
      <c r="GKB20" s="204"/>
      <c r="GKC20" s="204"/>
      <c r="GKD20" s="204"/>
      <c r="GKE20" s="204"/>
      <c r="GKF20" s="204"/>
      <c r="GKG20" s="204"/>
      <c r="GKH20" s="204"/>
      <c r="GKI20" s="204"/>
      <c r="GKJ20" s="204"/>
      <c r="GKK20" s="204"/>
      <c r="GKL20" s="204"/>
      <c r="GKM20" s="204"/>
      <c r="GKN20" s="204"/>
      <c r="GKO20" s="204"/>
      <c r="GKP20" s="204"/>
      <c r="GKQ20" s="204"/>
      <c r="GKR20" s="204"/>
      <c r="GKS20" s="204"/>
      <c r="GKT20" s="204"/>
      <c r="GKU20" s="204"/>
      <c r="GKV20" s="204"/>
      <c r="GKW20" s="204"/>
      <c r="GKX20" s="204"/>
      <c r="GKY20" s="204"/>
      <c r="GKZ20" s="204"/>
      <c r="GLA20" s="204"/>
      <c r="GLB20" s="204"/>
      <c r="GLC20" s="204"/>
      <c r="GLD20" s="204"/>
      <c r="GLE20" s="204"/>
      <c r="GLF20" s="204"/>
      <c r="GLG20" s="204"/>
      <c r="GLH20" s="204"/>
      <c r="GLI20" s="204"/>
      <c r="GLJ20" s="204"/>
      <c r="GLK20" s="204"/>
      <c r="GLL20" s="204"/>
      <c r="GLM20" s="204"/>
      <c r="GLN20" s="204"/>
      <c r="GLO20" s="204"/>
      <c r="GLP20" s="204"/>
      <c r="GLQ20" s="204"/>
      <c r="GLR20" s="204"/>
      <c r="GLS20" s="204"/>
      <c r="GLT20" s="204"/>
      <c r="GLU20" s="204"/>
      <c r="GLV20" s="204"/>
      <c r="GLW20" s="204"/>
      <c r="GLX20" s="204"/>
      <c r="GLY20" s="204"/>
      <c r="GLZ20" s="204"/>
      <c r="GMA20" s="204"/>
      <c r="GMB20" s="204"/>
      <c r="GMC20" s="204"/>
      <c r="GMD20" s="204"/>
      <c r="GME20" s="204"/>
      <c r="GMF20" s="204"/>
      <c r="GMG20" s="204"/>
      <c r="GMH20" s="204"/>
      <c r="GMI20" s="204"/>
      <c r="GMJ20" s="204"/>
      <c r="GMK20" s="204"/>
      <c r="GML20" s="204"/>
      <c r="GMM20" s="204"/>
      <c r="GMN20" s="204"/>
      <c r="GMO20" s="204"/>
      <c r="GMP20" s="204"/>
      <c r="GMQ20" s="204"/>
      <c r="GMR20" s="204"/>
      <c r="GMS20" s="204"/>
      <c r="GMT20" s="204"/>
      <c r="GMU20" s="204"/>
      <c r="GMV20" s="204"/>
      <c r="GMW20" s="204"/>
      <c r="GMX20" s="204"/>
      <c r="GMY20" s="204"/>
      <c r="GMZ20" s="204"/>
      <c r="GNA20" s="204"/>
      <c r="GNB20" s="204"/>
      <c r="GNC20" s="204"/>
      <c r="GND20" s="204"/>
      <c r="GNE20" s="204"/>
      <c r="GNF20" s="204"/>
      <c r="GNG20" s="204"/>
      <c r="GNH20" s="204"/>
      <c r="GNI20" s="204"/>
      <c r="GNJ20" s="204"/>
      <c r="GNK20" s="204"/>
      <c r="GNL20" s="204"/>
      <c r="GNM20" s="204"/>
      <c r="GNN20" s="204"/>
      <c r="GNO20" s="204"/>
      <c r="GNP20" s="204"/>
      <c r="GNQ20" s="204"/>
      <c r="GNR20" s="204"/>
      <c r="GNS20" s="204"/>
      <c r="GNT20" s="204"/>
      <c r="GNU20" s="204"/>
      <c r="GNV20" s="204"/>
      <c r="GNW20" s="204"/>
      <c r="GNX20" s="204"/>
      <c r="GNY20" s="204"/>
      <c r="GNZ20" s="204"/>
      <c r="GOA20" s="204"/>
      <c r="GOB20" s="204"/>
      <c r="GOC20" s="204"/>
      <c r="GOD20" s="204"/>
      <c r="GOE20" s="204"/>
      <c r="GOF20" s="204"/>
      <c r="GOG20" s="204"/>
      <c r="GOH20" s="204"/>
      <c r="GOI20" s="204"/>
      <c r="GOJ20" s="204"/>
      <c r="GOK20" s="204"/>
      <c r="GOL20" s="204"/>
      <c r="GOM20" s="204"/>
      <c r="GON20" s="204"/>
      <c r="GOO20" s="204"/>
      <c r="GOP20" s="204"/>
      <c r="GOQ20" s="204"/>
      <c r="GOR20" s="204"/>
      <c r="GOS20" s="204"/>
      <c r="GOT20" s="204"/>
      <c r="GOU20" s="204"/>
      <c r="GOV20" s="204"/>
      <c r="GOW20" s="204"/>
      <c r="GOX20" s="204"/>
      <c r="GOY20" s="204"/>
      <c r="GOZ20" s="204"/>
      <c r="GPA20" s="204"/>
      <c r="GPB20" s="204"/>
      <c r="GPC20" s="204"/>
      <c r="GPD20" s="204"/>
      <c r="GPE20" s="204"/>
      <c r="GPF20" s="204"/>
      <c r="GPG20" s="204"/>
      <c r="GPH20" s="204"/>
      <c r="GPI20" s="204"/>
      <c r="GPJ20" s="204"/>
      <c r="GPK20" s="204"/>
      <c r="GPL20" s="204"/>
      <c r="GPM20" s="204"/>
      <c r="GPN20" s="204"/>
      <c r="GPO20" s="204"/>
      <c r="GPP20" s="204"/>
      <c r="GPQ20" s="204"/>
      <c r="GPR20" s="204"/>
      <c r="GPS20" s="204"/>
      <c r="GPT20" s="204"/>
      <c r="GPU20" s="204"/>
      <c r="GPV20" s="204"/>
      <c r="GPW20" s="204"/>
      <c r="GPX20" s="204"/>
      <c r="GPY20" s="204"/>
      <c r="GPZ20" s="204"/>
      <c r="GQA20" s="204"/>
      <c r="GQB20" s="204"/>
      <c r="GQC20" s="204"/>
      <c r="GQD20" s="204"/>
      <c r="GQE20" s="204"/>
      <c r="GQF20" s="204"/>
      <c r="GQG20" s="204"/>
      <c r="GQH20" s="204"/>
      <c r="GQI20" s="204"/>
      <c r="GQJ20" s="204"/>
      <c r="GQK20" s="204"/>
      <c r="GQL20" s="204"/>
      <c r="GQM20" s="204"/>
      <c r="GQN20" s="204"/>
      <c r="GQO20" s="204"/>
      <c r="GQP20" s="204"/>
      <c r="GQQ20" s="204"/>
      <c r="GQR20" s="204"/>
      <c r="GQS20" s="204"/>
      <c r="GQT20" s="204"/>
      <c r="GQU20" s="204"/>
      <c r="GQV20" s="204"/>
      <c r="GQW20" s="204"/>
      <c r="GQX20" s="204"/>
      <c r="GQY20" s="204"/>
      <c r="GQZ20" s="204"/>
      <c r="GRA20" s="204"/>
      <c r="GRB20" s="204"/>
      <c r="GRC20" s="204"/>
      <c r="GRD20" s="204"/>
      <c r="GRE20" s="204"/>
      <c r="GRF20" s="204"/>
      <c r="GRG20" s="204"/>
      <c r="GRH20" s="204"/>
      <c r="GRI20" s="204"/>
      <c r="GRJ20" s="204"/>
      <c r="GRK20" s="204"/>
      <c r="GRL20" s="204"/>
      <c r="GRM20" s="204"/>
      <c r="GRN20" s="204"/>
      <c r="GRO20" s="204"/>
      <c r="GRP20" s="204"/>
      <c r="GRQ20" s="204"/>
      <c r="GRR20" s="204"/>
      <c r="GRS20" s="204"/>
      <c r="GRT20" s="204"/>
      <c r="GRU20" s="204"/>
      <c r="GRV20" s="204"/>
      <c r="GRW20" s="204"/>
      <c r="GRX20" s="204"/>
      <c r="GRY20" s="204"/>
      <c r="GRZ20" s="204"/>
      <c r="GSA20" s="204"/>
      <c r="GSB20" s="204"/>
      <c r="GSC20" s="204"/>
      <c r="GSD20" s="204"/>
      <c r="GSE20" s="204"/>
      <c r="GSF20" s="204"/>
      <c r="GSG20" s="204"/>
      <c r="GSH20" s="204"/>
      <c r="GSI20" s="204"/>
      <c r="GSJ20" s="204"/>
      <c r="GSK20" s="204"/>
      <c r="GSL20" s="204"/>
      <c r="GSM20" s="204"/>
      <c r="GSN20" s="204"/>
      <c r="GSO20" s="204"/>
      <c r="GSP20" s="204"/>
      <c r="GSQ20" s="204"/>
      <c r="GSR20" s="204"/>
      <c r="GSS20" s="204"/>
      <c r="GST20" s="204"/>
      <c r="GSU20" s="204"/>
      <c r="GSV20" s="204"/>
      <c r="GSW20" s="204"/>
      <c r="GSX20" s="204"/>
      <c r="GSY20" s="204"/>
      <c r="GSZ20" s="204"/>
      <c r="GTA20" s="204"/>
      <c r="GTB20" s="204"/>
      <c r="GTC20" s="204"/>
      <c r="GTD20" s="204"/>
      <c r="GTE20" s="204"/>
      <c r="GTF20" s="204"/>
      <c r="GTG20" s="204"/>
      <c r="GTH20" s="204"/>
      <c r="GTI20" s="204"/>
      <c r="GTJ20" s="204"/>
      <c r="GTK20" s="204"/>
      <c r="GTL20" s="204"/>
      <c r="GTM20" s="204"/>
      <c r="GTN20" s="204"/>
      <c r="GTO20" s="204"/>
      <c r="GTP20" s="204"/>
      <c r="GTQ20" s="204"/>
      <c r="GTR20" s="204"/>
      <c r="GTS20" s="204"/>
      <c r="GTT20" s="204"/>
      <c r="GTU20" s="204"/>
      <c r="GTV20" s="204"/>
      <c r="GTW20" s="204"/>
      <c r="GTX20" s="204"/>
      <c r="GTY20" s="204"/>
      <c r="GTZ20" s="204"/>
      <c r="GUA20" s="204"/>
      <c r="GUB20" s="204"/>
      <c r="GUC20" s="204"/>
      <c r="GUD20" s="204"/>
      <c r="GUE20" s="204"/>
      <c r="GUF20" s="204"/>
      <c r="GUG20" s="204"/>
      <c r="GUH20" s="204"/>
      <c r="GUI20" s="204"/>
      <c r="GUJ20" s="204"/>
      <c r="GUK20" s="204"/>
      <c r="GUL20" s="204"/>
      <c r="GUM20" s="204"/>
      <c r="GUN20" s="204"/>
      <c r="GUO20" s="204"/>
      <c r="GUP20" s="204"/>
      <c r="GUQ20" s="204"/>
      <c r="GUR20" s="204"/>
      <c r="GUS20" s="204"/>
      <c r="GUT20" s="204"/>
      <c r="GUU20" s="204"/>
      <c r="GUV20" s="204"/>
      <c r="GUW20" s="204"/>
      <c r="GUX20" s="204"/>
      <c r="GUY20" s="204"/>
      <c r="GUZ20" s="204"/>
      <c r="GVA20" s="204"/>
      <c r="GVB20" s="204"/>
      <c r="GVC20" s="204"/>
      <c r="GVD20" s="204"/>
      <c r="GVE20" s="204"/>
      <c r="GVF20" s="204"/>
      <c r="GVG20" s="204"/>
      <c r="GVH20" s="204"/>
      <c r="GVI20" s="204"/>
      <c r="GVJ20" s="204"/>
      <c r="GVK20" s="204"/>
      <c r="GVL20" s="204"/>
      <c r="GVM20" s="204"/>
      <c r="GVN20" s="204"/>
      <c r="GVO20" s="204"/>
      <c r="GVP20" s="204"/>
      <c r="GVQ20" s="204"/>
      <c r="GVR20" s="204"/>
      <c r="GVS20" s="204"/>
      <c r="GVT20" s="204"/>
      <c r="GVU20" s="204"/>
      <c r="GVV20" s="204"/>
      <c r="GVW20" s="204"/>
      <c r="GVX20" s="204"/>
      <c r="GVY20" s="204"/>
      <c r="GVZ20" s="204"/>
      <c r="GWA20" s="204"/>
      <c r="GWB20" s="204"/>
      <c r="GWC20" s="204"/>
      <c r="GWD20" s="204"/>
      <c r="GWE20" s="204"/>
      <c r="GWF20" s="204"/>
      <c r="GWG20" s="204"/>
      <c r="GWH20" s="204"/>
      <c r="GWI20" s="204"/>
      <c r="GWJ20" s="204"/>
      <c r="GWK20" s="204"/>
      <c r="GWL20" s="204"/>
      <c r="GWM20" s="204"/>
      <c r="GWN20" s="204"/>
      <c r="GWO20" s="204"/>
      <c r="GWP20" s="204"/>
      <c r="GWQ20" s="204"/>
      <c r="GWR20" s="204"/>
      <c r="GWS20" s="204"/>
      <c r="GWT20" s="204"/>
      <c r="GWU20" s="204"/>
      <c r="GWV20" s="204"/>
      <c r="GWW20" s="204"/>
      <c r="GWX20" s="204"/>
      <c r="GWY20" s="204"/>
      <c r="GWZ20" s="204"/>
      <c r="GXA20" s="204"/>
      <c r="GXB20" s="204"/>
      <c r="GXC20" s="204"/>
      <c r="GXD20" s="204"/>
      <c r="GXE20" s="204"/>
      <c r="GXF20" s="204"/>
      <c r="GXG20" s="204"/>
      <c r="GXH20" s="204"/>
      <c r="GXI20" s="204"/>
      <c r="GXJ20" s="204"/>
      <c r="GXK20" s="204"/>
      <c r="GXL20" s="204"/>
      <c r="GXM20" s="204"/>
      <c r="GXN20" s="204"/>
      <c r="GXO20" s="204"/>
      <c r="GXP20" s="204"/>
      <c r="GXQ20" s="204"/>
      <c r="GXR20" s="204"/>
      <c r="GXS20" s="204"/>
      <c r="GXT20" s="204"/>
      <c r="GXU20" s="204"/>
      <c r="GXV20" s="204"/>
      <c r="GXW20" s="204"/>
      <c r="GXX20" s="204"/>
      <c r="GXY20" s="204"/>
      <c r="GXZ20" s="204"/>
      <c r="GYA20" s="204"/>
      <c r="GYB20" s="204"/>
      <c r="GYC20" s="204"/>
      <c r="GYD20" s="204"/>
      <c r="GYE20" s="204"/>
      <c r="GYF20" s="204"/>
      <c r="GYG20" s="204"/>
      <c r="GYH20" s="204"/>
      <c r="GYI20" s="204"/>
      <c r="GYJ20" s="204"/>
      <c r="GYK20" s="204"/>
      <c r="GYL20" s="204"/>
      <c r="GYM20" s="204"/>
      <c r="GYN20" s="204"/>
      <c r="GYO20" s="204"/>
      <c r="GYP20" s="204"/>
      <c r="GYQ20" s="204"/>
      <c r="GYR20" s="204"/>
      <c r="GYS20" s="204"/>
      <c r="GYT20" s="204"/>
      <c r="GYU20" s="204"/>
      <c r="GYV20" s="204"/>
      <c r="GYW20" s="204"/>
      <c r="GYX20" s="204"/>
      <c r="GYY20" s="204"/>
      <c r="GYZ20" s="204"/>
      <c r="GZA20" s="204"/>
      <c r="GZB20" s="204"/>
      <c r="GZC20" s="204"/>
      <c r="GZD20" s="204"/>
      <c r="GZE20" s="204"/>
      <c r="GZF20" s="204"/>
      <c r="GZG20" s="204"/>
      <c r="GZH20" s="204"/>
      <c r="GZI20" s="204"/>
      <c r="GZJ20" s="204"/>
      <c r="GZK20" s="204"/>
      <c r="GZL20" s="204"/>
      <c r="GZM20" s="204"/>
      <c r="GZN20" s="204"/>
      <c r="GZO20" s="204"/>
      <c r="GZP20" s="204"/>
      <c r="GZQ20" s="204"/>
      <c r="GZR20" s="204"/>
      <c r="GZS20" s="204"/>
      <c r="GZT20" s="204"/>
      <c r="GZU20" s="204"/>
      <c r="GZV20" s="204"/>
      <c r="GZW20" s="204"/>
      <c r="GZX20" s="204"/>
      <c r="GZY20" s="204"/>
      <c r="GZZ20" s="204"/>
      <c r="HAA20" s="204"/>
      <c r="HAB20" s="204"/>
      <c r="HAC20" s="204"/>
      <c r="HAD20" s="204"/>
      <c r="HAE20" s="204"/>
      <c r="HAF20" s="204"/>
      <c r="HAG20" s="204"/>
      <c r="HAH20" s="204"/>
      <c r="HAI20" s="204"/>
      <c r="HAJ20" s="204"/>
      <c r="HAK20" s="204"/>
      <c r="HAL20" s="204"/>
      <c r="HAM20" s="204"/>
      <c r="HAN20" s="204"/>
      <c r="HAO20" s="204"/>
      <c r="HAP20" s="204"/>
      <c r="HAQ20" s="204"/>
      <c r="HAR20" s="204"/>
      <c r="HAS20" s="204"/>
      <c r="HAT20" s="204"/>
      <c r="HAU20" s="204"/>
      <c r="HAV20" s="204"/>
      <c r="HAW20" s="204"/>
      <c r="HAX20" s="204"/>
      <c r="HAY20" s="204"/>
      <c r="HAZ20" s="204"/>
      <c r="HBA20" s="204"/>
      <c r="HBB20" s="204"/>
      <c r="HBC20" s="204"/>
      <c r="HBD20" s="204"/>
      <c r="HBE20" s="204"/>
      <c r="HBF20" s="204"/>
      <c r="HBG20" s="204"/>
      <c r="HBH20" s="204"/>
      <c r="HBI20" s="204"/>
      <c r="HBJ20" s="204"/>
      <c r="HBK20" s="204"/>
      <c r="HBL20" s="204"/>
      <c r="HBM20" s="204"/>
      <c r="HBN20" s="204"/>
      <c r="HBO20" s="204"/>
      <c r="HBP20" s="204"/>
      <c r="HBQ20" s="204"/>
      <c r="HBR20" s="204"/>
      <c r="HBS20" s="204"/>
      <c r="HBT20" s="204"/>
      <c r="HBU20" s="204"/>
      <c r="HBV20" s="204"/>
      <c r="HBW20" s="204"/>
      <c r="HBX20" s="204"/>
      <c r="HBY20" s="204"/>
      <c r="HBZ20" s="204"/>
      <c r="HCA20" s="204"/>
      <c r="HCB20" s="204"/>
      <c r="HCC20" s="204"/>
      <c r="HCD20" s="204"/>
      <c r="HCE20" s="204"/>
      <c r="HCF20" s="204"/>
      <c r="HCG20" s="204"/>
      <c r="HCH20" s="204"/>
      <c r="HCI20" s="204"/>
      <c r="HCJ20" s="204"/>
      <c r="HCK20" s="204"/>
      <c r="HCL20" s="204"/>
      <c r="HCM20" s="204"/>
      <c r="HCN20" s="204"/>
      <c r="HCO20" s="204"/>
      <c r="HCP20" s="204"/>
      <c r="HCQ20" s="204"/>
      <c r="HCR20" s="204"/>
      <c r="HCS20" s="204"/>
      <c r="HCT20" s="204"/>
      <c r="HCU20" s="204"/>
      <c r="HCV20" s="204"/>
      <c r="HCW20" s="204"/>
      <c r="HCX20" s="204"/>
      <c r="HCY20" s="204"/>
      <c r="HCZ20" s="204"/>
      <c r="HDA20" s="204"/>
      <c r="HDB20" s="204"/>
      <c r="HDC20" s="204"/>
      <c r="HDD20" s="204"/>
      <c r="HDE20" s="204"/>
      <c r="HDF20" s="204"/>
      <c r="HDG20" s="204"/>
      <c r="HDH20" s="204"/>
      <c r="HDI20" s="204"/>
      <c r="HDJ20" s="204"/>
      <c r="HDK20" s="204"/>
      <c r="HDL20" s="204"/>
      <c r="HDM20" s="204"/>
      <c r="HDN20" s="204"/>
      <c r="HDO20" s="204"/>
      <c r="HDP20" s="204"/>
      <c r="HDQ20" s="204"/>
      <c r="HDR20" s="204"/>
      <c r="HDS20" s="204"/>
      <c r="HDT20" s="204"/>
      <c r="HDU20" s="204"/>
      <c r="HDV20" s="204"/>
      <c r="HDW20" s="204"/>
      <c r="HDX20" s="204"/>
      <c r="HDY20" s="204"/>
      <c r="HDZ20" s="204"/>
      <c r="HEA20" s="204"/>
      <c r="HEB20" s="204"/>
      <c r="HEC20" s="204"/>
      <c r="HED20" s="204"/>
      <c r="HEE20" s="204"/>
      <c r="HEF20" s="204"/>
      <c r="HEG20" s="204"/>
      <c r="HEH20" s="204"/>
      <c r="HEI20" s="204"/>
      <c r="HEJ20" s="204"/>
      <c r="HEK20" s="204"/>
      <c r="HEL20" s="204"/>
      <c r="HEM20" s="204"/>
      <c r="HEN20" s="204"/>
      <c r="HEO20" s="204"/>
      <c r="HEP20" s="204"/>
      <c r="HEQ20" s="204"/>
      <c r="HER20" s="204"/>
      <c r="HES20" s="204"/>
      <c r="HET20" s="204"/>
      <c r="HEU20" s="204"/>
      <c r="HEV20" s="204"/>
      <c r="HEW20" s="204"/>
      <c r="HEX20" s="204"/>
      <c r="HEY20" s="204"/>
      <c r="HEZ20" s="204"/>
      <c r="HFA20" s="204"/>
      <c r="HFB20" s="204"/>
      <c r="HFC20" s="204"/>
      <c r="HFD20" s="204"/>
      <c r="HFE20" s="204"/>
      <c r="HFF20" s="204"/>
      <c r="HFG20" s="204"/>
      <c r="HFH20" s="204"/>
      <c r="HFI20" s="204"/>
      <c r="HFJ20" s="204"/>
      <c r="HFK20" s="204"/>
      <c r="HFL20" s="204"/>
      <c r="HFM20" s="204"/>
      <c r="HFN20" s="204"/>
      <c r="HFO20" s="204"/>
      <c r="HFP20" s="204"/>
      <c r="HFQ20" s="204"/>
      <c r="HFR20" s="204"/>
      <c r="HFS20" s="204"/>
      <c r="HFT20" s="204"/>
      <c r="HFU20" s="204"/>
      <c r="HFV20" s="204"/>
      <c r="HFW20" s="204"/>
      <c r="HFX20" s="204"/>
      <c r="HFY20" s="204"/>
      <c r="HFZ20" s="204"/>
      <c r="HGA20" s="204"/>
      <c r="HGB20" s="204"/>
      <c r="HGC20" s="204"/>
      <c r="HGD20" s="204"/>
      <c r="HGE20" s="204"/>
      <c r="HGF20" s="204"/>
      <c r="HGG20" s="204"/>
      <c r="HGH20" s="204"/>
      <c r="HGI20" s="204"/>
      <c r="HGJ20" s="204"/>
      <c r="HGK20" s="204"/>
      <c r="HGL20" s="204"/>
      <c r="HGM20" s="204"/>
      <c r="HGN20" s="204"/>
      <c r="HGO20" s="204"/>
      <c r="HGP20" s="204"/>
      <c r="HGQ20" s="204"/>
      <c r="HGR20" s="204"/>
      <c r="HGS20" s="204"/>
      <c r="HGT20" s="204"/>
      <c r="HGU20" s="204"/>
      <c r="HGV20" s="204"/>
      <c r="HGW20" s="204"/>
      <c r="HGX20" s="204"/>
      <c r="HGY20" s="204"/>
      <c r="HGZ20" s="204"/>
      <c r="HHA20" s="204"/>
      <c r="HHB20" s="204"/>
      <c r="HHC20" s="204"/>
      <c r="HHD20" s="204"/>
      <c r="HHE20" s="204"/>
      <c r="HHF20" s="204"/>
      <c r="HHG20" s="204"/>
      <c r="HHH20" s="204"/>
      <c r="HHI20" s="204"/>
      <c r="HHJ20" s="204"/>
      <c r="HHK20" s="204"/>
      <c r="HHL20" s="204"/>
      <c r="HHM20" s="204"/>
      <c r="HHN20" s="204"/>
      <c r="HHO20" s="204"/>
      <c r="HHP20" s="204"/>
      <c r="HHQ20" s="204"/>
      <c r="HHR20" s="204"/>
      <c r="HHS20" s="204"/>
      <c r="HHT20" s="204"/>
      <c r="HHU20" s="204"/>
      <c r="HHV20" s="204"/>
      <c r="HHW20" s="204"/>
      <c r="HHX20" s="204"/>
      <c r="HHY20" s="204"/>
      <c r="HHZ20" s="204"/>
      <c r="HIA20" s="204"/>
      <c r="HIB20" s="204"/>
      <c r="HIC20" s="204"/>
      <c r="HID20" s="204"/>
      <c r="HIE20" s="204"/>
      <c r="HIF20" s="204"/>
      <c r="HIG20" s="204"/>
      <c r="HIH20" s="204"/>
      <c r="HII20" s="204"/>
      <c r="HIJ20" s="204"/>
      <c r="HIK20" s="204"/>
      <c r="HIL20" s="204"/>
      <c r="HIM20" s="204"/>
      <c r="HIN20" s="204"/>
      <c r="HIO20" s="204"/>
      <c r="HIP20" s="204"/>
      <c r="HIQ20" s="204"/>
      <c r="HIR20" s="204"/>
      <c r="HIS20" s="204"/>
      <c r="HIT20" s="204"/>
      <c r="HIU20" s="204"/>
      <c r="HIV20" s="204"/>
      <c r="HIW20" s="204"/>
      <c r="HIX20" s="204"/>
      <c r="HIY20" s="204"/>
      <c r="HIZ20" s="204"/>
      <c r="HJA20" s="204"/>
      <c r="HJB20" s="204"/>
      <c r="HJC20" s="204"/>
      <c r="HJD20" s="204"/>
      <c r="HJE20" s="204"/>
      <c r="HJF20" s="204"/>
      <c r="HJG20" s="204"/>
      <c r="HJH20" s="204"/>
      <c r="HJI20" s="204"/>
      <c r="HJJ20" s="204"/>
      <c r="HJK20" s="204"/>
      <c r="HJL20" s="204"/>
      <c r="HJM20" s="204"/>
      <c r="HJN20" s="204"/>
      <c r="HJO20" s="204"/>
      <c r="HJP20" s="204"/>
      <c r="HJQ20" s="204"/>
      <c r="HJR20" s="204"/>
      <c r="HJS20" s="204"/>
      <c r="HJT20" s="204"/>
      <c r="HJU20" s="204"/>
      <c r="HJV20" s="204"/>
      <c r="HJW20" s="204"/>
      <c r="HJX20" s="204"/>
      <c r="HJY20" s="204"/>
      <c r="HJZ20" s="204"/>
      <c r="HKA20" s="204"/>
      <c r="HKB20" s="204"/>
      <c r="HKC20" s="204"/>
      <c r="HKD20" s="204"/>
      <c r="HKE20" s="204"/>
      <c r="HKF20" s="204"/>
      <c r="HKG20" s="204"/>
      <c r="HKH20" s="204"/>
      <c r="HKI20" s="204"/>
      <c r="HKJ20" s="204"/>
      <c r="HKK20" s="204"/>
      <c r="HKL20" s="204"/>
      <c r="HKM20" s="204"/>
      <c r="HKN20" s="204"/>
      <c r="HKO20" s="204"/>
      <c r="HKP20" s="204"/>
      <c r="HKQ20" s="204"/>
      <c r="HKR20" s="204"/>
      <c r="HKS20" s="204"/>
      <c r="HKT20" s="204"/>
      <c r="HKU20" s="204"/>
      <c r="HKV20" s="204"/>
      <c r="HKW20" s="204"/>
      <c r="HKX20" s="204"/>
      <c r="HKY20" s="204"/>
      <c r="HKZ20" s="204"/>
      <c r="HLA20" s="204"/>
      <c r="HLB20" s="204"/>
      <c r="HLC20" s="204"/>
      <c r="HLD20" s="204"/>
      <c r="HLE20" s="204"/>
      <c r="HLF20" s="204"/>
      <c r="HLG20" s="204"/>
      <c r="HLH20" s="204"/>
      <c r="HLI20" s="204"/>
      <c r="HLJ20" s="204"/>
      <c r="HLK20" s="204"/>
      <c r="HLL20" s="204"/>
      <c r="HLM20" s="204"/>
      <c r="HLN20" s="204"/>
      <c r="HLO20" s="204"/>
      <c r="HLP20" s="204"/>
      <c r="HLQ20" s="204"/>
      <c r="HLR20" s="204"/>
      <c r="HLS20" s="204"/>
      <c r="HLT20" s="204"/>
      <c r="HLU20" s="204"/>
      <c r="HLV20" s="204"/>
      <c r="HLW20" s="204"/>
      <c r="HLX20" s="204"/>
      <c r="HLY20" s="204"/>
      <c r="HLZ20" s="204"/>
      <c r="HMA20" s="204"/>
      <c r="HMB20" s="204"/>
      <c r="HMC20" s="204"/>
      <c r="HMD20" s="204"/>
      <c r="HME20" s="204"/>
      <c r="HMF20" s="204"/>
      <c r="HMG20" s="204"/>
      <c r="HMH20" s="204"/>
      <c r="HMI20" s="204"/>
      <c r="HMJ20" s="204"/>
      <c r="HMK20" s="204"/>
      <c r="HML20" s="204"/>
      <c r="HMM20" s="204"/>
      <c r="HMN20" s="204"/>
      <c r="HMO20" s="204"/>
      <c r="HMP20" s="204"/>
      <c r="HMQ20" s="204"/>
      <c r="HMR20" s="204"/>
      <c r="HMS20" s="204"/>
      <c r="HMT20" s="204"/>
      <c r="HMU20" s="204"/>
      <c r="HMV20" s="204"/>
      <c r="HMW20" s="204"/>
      <c r="HMX20" s="204"/>
      <c r="HMY20" s="204"/>
      <c r="HMZ20" s="204"/>
      <c r="HNA20" s="204"/>
      <c r="HNB20" s="204"/>
      <c r="HNC20" s="204"/>
      <c r="HND20" s="204"/>
      <c r="HNE20" s="204"/>
      <c r="HNF20" s="204"/>
      <c r="HNG20" s="204"/>
      <c r="HNH20" s="204"/>
      <c r="HNI20" s="204"/>
      <c r="HNJ20" s="204"/>
      <c r="HNK20" s="204"/>
      <c r="HNL20" s="204"/>
      <c r="HNM20" s="204"/>
      <c r="HNN20" s="204"/>
      <c r="HNO20" s="204"/>
      <c r="HNP20" s="204"/>
      <c r="HNQ20" s="204"/>
      <c r="HNR20" s="204"/>
      <c r="HNS20" s="204"/>
      <c r="HNT20" s="204"/>
      <c r="HNU20" s="204"/>
      <c r="HNV20" s="204"/>
      <c r="HNW20" s="204"/>
      <c r="HNX20" s="204"/>
      <c r="HNY20" s="204"/>
      <c r="HNZ20" s="204"/>
      <c r="HOA20" s="204"/>
      <c r="HOB20" s="204"/>
      <c r="HOC20" s="204"/>
      <c r="HOD20" s="204"/>
      <c r="HOE20" s="204"/>
      <c r="HOF20" s="204"/>
      <c r="HOG20" s="204"/>
      <c r="HOH20" s="204"/>
      <c r="HOI20" s="204"/>
      <c r="HOJ20" s="204"/>
      <c r="HOK20" s="204"/>
      <c r="HOL20" s="204"/>
      <c r="HOM20" s="204"/>
      <c r="HON20" s="204"/>
      <c r="HOO20" s="204"/>
      <c r="HOP20" s="204"/>
      <c r="HOQ20" s="204"/>
      <c r="HOR20" s="204"/>
      <c r="HOS20" s="204"/>
      <c r="HOT20" s="204"/>
      <c r="HOU20" s="204"/>
      <c r="HOV20" s="204"/>
      <c r="HOW20" s="204"/>
      <c r="HOX20" s="204"/>
      <c r="HOY20" s="204"/>
      <c r="HOZ20" s="204"/>
      <c r="HPA20" s="204"/>
      <c r="HPB20" s="204"/>
      <c r="HPC20" s="204"/>
      <c r="HPD20" s="204"/>
      <c r="HPE20" s="204"/>
      <c r="HPF20" s="204"/>
      <c r="HPG20" s="204"/>
      <c r="HPH20" s="204"/>
      <c r="HPI20" s="204"/>
      <c r="HPJ20" s="204"/>
      <c r="HPK20" s="204"/>
      <c r="HPL20" s="204"/>
      <c r="HPM20" s="204"/>
      <c r="HPN20" s="204"/>
      <c r="HPO20" s="204"/>
      <c r="HPP20" s="204"/>
      <c r="HPQ20" s="204"/>
      <c r="HPR20" s="204"/>
      <c r="HPS20" s="204"/>
      <c r="HPT20" s="204"/>
      <c r="HPU20" s="204"/>
      <c r="HPV20" s="204"/>
      <c r="HPW20" s="204"/>
      <c r="HPX20" s="204"/>
      <c r="HPY20" s="204"/>
      <c r="HPZ20" s="204"/>
      <c r="HQA20" s="204"/>
      <c r="HQB20" s="204"/>
      <c r="HQC20" s="204"/>
      <c r="HQD20" s="204"/>
      <c r="HQE20" s="204"/>
      <c r="HQF20" s="204"/>
      <c r="HQG20" s="204"/>
      <c r="HQH20" s="204"/>
      <c r="HQI20" s="204"/>
      <c r="HQJ20" s="204"/>
      <c r="HQK20" s="204"/>
      <c r="HQL20" s="204"/>
      <c r="HQM20" s="204"/>
      <c r="HQN20" s="204"/>
      <c r="HQO20" s="204"/>
      <c r="HQP20" s="204"/>
      <c r="HQQ20" s="204"/>
      <c r="HQR20" s="204"/>
      <c r="HQS20" s="204"/>
      <c r="HQT20" s="204"/>
      <c r="HQU20" s="204"/>
      <c r="HQV20" s="204"/>
      <c r="HQW20" s="204"/>
      <c r="HQX20" s="204"/>
      <c r="HQY20" s="204"/>
      <c r="HQZ20" s="204"/>
      <c r="HRA20" s="204"/>
      <c r="HRB20" s="204"/>
      <c r="HRC20" s="204"/>
      <c r="HRD20" s="204"/>
      <c r="HRE20" s="204"/>
      <c r="HRF20" s="204"/>
      <c r="HRG20" s="204"/>
      <c r="HRH20" s="204"/>
      <c r="HRI20" s="204"/>
      <c r="HRJ20" s="204"/>
      <c r="HRK20" s="204"/>
      <c r="HRL20" s="204"/>
      <c r="HRM20" s="204"/>
      <c r="HRN20" s="204"/>
      <c r="HRO20" s="204"/>
      <c r="HRP20" s="204"/>
      <c r="HRQ20" s="204"/>
      <c r="HRR20" s="204"/>
      <c r="HRS20" s="204"/>
      <c r="HRT20" s="204"/>
      <c r="HRU20" s="204"/>
      <c r="HRV20" s="204"/>
      <c r="HRW20" s="204"/>
      <c r="HRX20" s="204"/>
      <c r="HRY20" s="204"/>
      <c r="HRZ20" s="204"/>
      <c r="HSA20" s="204"/>
      <c r="HSB20" s="204"/>
      <c r="HSC20" s="204"/>
      <c r="HSD20" s="204"/>
      <c r="HSE20" s="204"/>
      <c r="HSF20" s="204"/>
      <c r="HSG20" s="204"/>
      <c r="HSH20" s="204"/>
      <c r="HSI20" s="204"/>
      <c r="HSJ20" s="204"/>
      <c r="HSK20" s="204"/>
      <c r="HSL20" s="204"/>
      <c r="HSM20" s="204"/>
      <c r="HSN20" s="204"/>
      <c r="HSO20" s="204"/>
      <c r="HSP20" s="204"/>
      <c r="HSQ20" s="204"/>
      <c r="HSR20" s="204"/>
      <c r="HSS20" s="204"/>
      <c r="HST20" s="204"/>
      <c r="HSU20" s="204"/>
      <c r="HSV20" s="204"/>
      <c r="HSW20" s="204"/>
      <c r="HSX20" s="204"/>
      <c r="HSY20" s="204"/>
      <c r="HSZ20" s="204"/>
      <c r="HTA20" s="204"/>
      <c r="HTB20" s="204"/>
      <c r="HTC20" s="204"/>
      <c r="HTD20" s="204"/>
      <c r="HTE20" s="204"/>
      <c r="HTF20" s="204"/>
      <c r="HTG20" s="204"/>
      <c r="HTH20" s="204"/>
      <c r="HTI20" s="204"/>
      <c r="HTJ20" s="204"/>
      <c r="HTK20" s="204"/>
      <c r="HTL20" s="204"/>
      <c r="HTM20" s="204"/>
      <c r="HTN20" s="204"/>
      <c r="HTO20" s="204"/>
      <c r="HTP20" s="204"/>
      <c r="HTQ20" s="204"/>
      <c r="HTR20" s="204"/>
      <c r="HTS20" s="204"/>
      <c r="HTT20" s="204"/>
      <c r="HTU20" s="204"/>
      <c r="HTV20" s="204"/>
      <c r="HTW20" s="204"/>
      <c r="HTX20" s="204"/>
      <c r="HTY20" s="204"/>
      <c r="HTZ20" s="204"/>
      <c r="HUA20" s="204"/>
      <c r="HUB20" s="204"/>
      <c r="HUC20" s="204"/>
      <c r="HUD20" s="204"/>
      <c r="HUE20" s="204"/>
      <c r="HUF20" s="204"/>
      <c r="HUG20" s="204"/>
      <c r="HUH20" s="204"/>
      <c r="HUI20" s="204"/>
      <c r="HUJ20" s="204"/>
      <c r="HUK20" s="204"/>
      <c r="HUL20" s="204"/>
      <c r="HUM20" s="204"/>
      <c r="HUN20" s="204"/>
      <c r="HUO20" s="204"/>
      <c r="HUP20" s="204"/>
      <c r="HUQ20" s="204"/>
      <c r="HUR20" s="204"/>
      <c r="HUS20" s="204"/>
      <c r="HUT20" s="204"/>
      <c r="HUU20" s="204"/>
      <c r="HUV20" s="204"/>
      <c r="HUW20" s="204"/>
      <c r="HUX20" s="204"/>
      <c r="HUY20" s="204"/>
      <c r="HUZ20" s="204"/>
      <c r="HVA20" s="204"/>
      <c r="HVB20" s="204"/>
      <c r="HVC20" s="204"/>
      <c r="HVD20" s="204"/>
      <c r="HVE20" s="204"/>
      <c r="HVF20" s="204"/>
      <c r="HVG20" s="204"/>
      <c r="HVH20" s="204"/>
      <c r="HVI20" s="204"/>
      <c r="HVJ20" s="204"/>
      <c r="HVK20" s="204"/>
      <c r="HVL20" s="204"/>
      <c r="HVM20" s="204"/>
      <c r="HVN20" s="204"/>
      <c r="HVO20" s="204"/>
      <c r="HVP20" s="204"/>
      <c r="HVQ20" s="204"/>
      <c r="HVR20" s="204"/>
      <c r="HVS20" s="204"/>
      <c r="HVT20" s="204"/>
      <c r="HVU20" s="204"/>
      <c r="HVV20" s="204"/>
      <c r="HVW20" s="204"/>
      <c r="HVX20" s="204"/>
      <c r="HVY20" s="204"/>
      <c r="HVZ20" s="204"/>
      <c r="HWA20" s="204"/>
      <c r="HWB20" s="204"/>
      <c r="HWC20" s="204"/>
      <c r="HWD20" s="204"/>
      <c r="HWE20" s="204"/>
      <c r="HWF20" s="204"/>
      <c r="HWG20" s="204"/>
      <c r="HWH20" s="204"/>
      <c r="HWI20" s="204"/>
      <c r="HWJ20" s="204"/>
      <c r="HWK20" s="204"/>
      <c r="HWL20" s="204"/>
      <c r="HWM20" s="204"/>
      <c r="HWN20" s="204"/>
      <c r="HWO20" s="204"/>
      <c r="HWP20" s="204"/>
      <c r="HWQ20" s="204"/>
      <c r="HWR20" s="204"/>
      <c r="HWS20" s="204"/>
      <c r="HWT20" s="204"/>
      <c r="HWU20" s="204"/>
      <c r="HWV20" s="204"/>
      <c r="HWW20" s="204"/>
      <c r="HWX20" s="204"/>
      <c r="HWY20" s="204"/>
      <c r="HWZ20" s="204"/>
      <c r="HXA20" s="204"/>
      <c r="HXB20" s="204"/>
      <c r="HXC20" s="204"/>
      <c r="HXD20" s="204"/>
      <c r="HXE20" s="204"/>
      <c r="HXF20" s="204"/>
      <c r="HXG20" s="204"/>
      <c r="HXH20" s="204"/>
      <c r="HXI20" s="204"/>
      <c r="HXJ20" s="204"/>
      <c r="HXK20" s="204"/>
      <c r="HXL20" s="204"/>
      <c r="HXM20" s="204"/>
      <c r="HXN20" s="204"/>
      <c r="HXO20" s="204"/>
      <c r="HXP20" s="204"/>
      <c r="HXQ20" s="204"/>
      <c r="HXR20" s="204"/>
      <c r="HXS20" s="204"/>
      <c r="HXT20" s="204"/>
      <c r="HXU20" s="204"/>
      <c r="HXV20" s="204"/>
      <c r="HXW20" s="204"/>
      <c r="HXX20" s="204"/>
      <c r="HXY20" s="204"/>
      <c r="HXZ20" s="204"/>
      <c r="HYA20" s="204"/>
      <c r="HYB20" s="204"/>
      <c r="HYC20" s="204"/>
      <c r="HYD20" s="204"/>
      <c r="HYE20" s="204"/>
      <c r="HYF20" s="204"/>
      <c r="HYG20" s="204"/>
      <c r="HYH20" s="204"/>
      <c r="HYI20" s="204"/>
      <c r="HYJ20" s="204"/>
      <c r="HYK20" s="204"/>
      <c r="HYL20" s="204"/>
      <c r="HYM20" s="204"/>
      <c r="HYN20" s="204"/>
      <c r="HYO20" s="204"/>
      <c r="HYP20" s="204"/>
      <c r="HYQ20" s="204"/>
      <c r="HYR20" s="204"/>
      <c r="HYS20" s="204"/>
      <c r="HYT20" s="204"/>
      <c r="HYU20" s="204"/>
      <c r="HYV20" s="204"/>
      <c r="HYW20" s="204"/>
      <c r="HYX20" s="204"/>
      <c r="HYY20" s="204"/>
      <c r="HYZ20" s="204"/>
      <c r="HZA20" s="204"/>
      <c r="HZB20" s="204"/>
      <c r="HZC20" s="204"/>
      <c r="HZD20" s="204"/>
      <c r="HZE20" s="204"/>
      <c r="HZF20" s="204"/>
      <c r="HZG20" s="204"/>
      <c r="HZH20" s="204"/>
      <c r="HZI20" s="204"/>
      <c r="HZJ20" s="204"/>
      <c r="HZK20" s="204"/>
      <c r="HZL20" s="204"/>
      <c r="HZM20" s="204"/>
      <c r="HZN20" s="204"/>
      <c r="HZO20" s="204"/>
      <c r="HZP20" s="204"/>
      <c r="HZQ20" s="204"/>
      <c r="HZR20" s="204"/>
      <c r="HZS20" s="204"/>
      <c r="HZT20" s="204"/>
      <c r="HZU20" s="204"/>
      <c r="HZV20" s="204"/>
      <c r="HZW20" s="204"/>
      <c r="HZX20" s="204"/>
      <c r="HZY20" s="204"/>
      <c r="HZZ20" s="204"/>
      <c r="IAA20" s="204"/>
      <c r="IAB20" s="204"/>
      <c r="IAC20" s="204"/>
      <c r="IAD20" s="204"/>
      <c r="IAE20" s="204"/>
      <c r="IAF20" s="204"/>
      <c r="IAG20" s="204"/>
      <c r="IAH20" s="204"/>
      <c r="IAI20" s="204"/>
      <c r="IAJ20" s="204"/>
      <c r="IAK20" s="204"/>
      <c r="IAL20" s="204"/>
      <c r="IAM20" s="204"/>
      <c r="IAN20" s="204"/>
      <c r="IAO20" s="204"/>
      <c r="IAP20" s="204"/>
      <c r="IAQ20" s="204"/>
      <c r="IAR20" s="204"/>
      <c r="IAS20" s="204"/>
      <c r="IAT20" s="204"/>
      <c r="IAU20" s="204"/>
      <c r="IAV20" s="204"/>
      <c r="IAW20" s="204"/>
      <c r="IAX20" s="204"/>
      <c r="IAY20" s="204"/>
      <c r="IAZ20" s="204"/>
      <c r="IBA20" s="204"/>
      <c r="IBB20" s="204"/>
      <c r="IBC20" s="204"/>
      <c r="IBD20" s="204"/>
      <c r="IBE20" s="204"/>
      <c r="IBF20" s="204"/>
      <c r="IBG20" s="204"/>
      <c r="IBH20" s="204"/>
      <c r="IBI20" s="204"/>
      <c r="IBJ20" s="204"/>
      <c r="IBK20" s="204"/>
      <c r="IBL20" s="204"/>
      <c r="IBM20" s="204"/>
      <c r="IBN20" s="204"/>
      <c r="IBO20" s="204"/>
      <c r="IBP20" s="204"/>
      <c r="IBQ20" s="204"/>
      <c r="IBR20" s="204"/>
      <c r="IBS20" s="204"/>
      <c r="IBT20" s="204"/>
      <c r="IBU20" s="204"/>
      <c r="IBV20" s="204"/>
      <c r="IBW20" s="204"/>
      <c r="IBX20" s="204"/>
      <c r="IBY20" s="204"/>
      <c r="IBZ20" s="204"/>
      <c r="ICA20" s="204"/>
      <c r="ICB20" s="204"/>
      <c r="ICC20" s="204"/>
      <c r="ICD20" s="204"/>
      <c r="ICE20" s="204"/>
      <c r="ICF20" s="204"/>
      <c r="ICG20" s="204"/>
      <c r="ICH20" s="204"/>
      <c r="ICI20" s="204"/>
      <c r="ICJ20" s="204"/>
      <c r="ICK20" s="204"/>
      <c r="ICL20" s="204"/>
      <c r="ICM20" s="204"/>
      <c r="ICN20" s="204"/>
      <c r="ICO20" s="204"/>
      <c r="ICP20" s="204"/>
      <c r="ICQ20" s="204"/>
      <c r="ICR20" s="204"/>
      <c r="ICS20" s="204"/>
      <c r="ICT20" s="204"/>
      <c r="ICU20" s="204"/>
      <c r="ICV20" s="204"/>
      <c r="ICW20" s="204"/>
      <c r="ICX20" s="204"/>
      <c r="ICY20" s="204"/>
      <c r="ICZ20" s="204"/>
      <c r="IDA20" s="204"/>
      <c r="IDB20" s="204"/>
      <c r="IDC20" s="204"/>
      <c r="IDD20" s="204"/>
      <c r="IDE20" s="204"/>
      <c r="IDF20" s="204"/>
      <c r="IDG20" s="204"/>
      <c r="IDH20" s="204"/>
      <c r="IDI20" s="204"/>
      <c r="IDJ20" s="204"/>
      <c r="IDK20" s="204"/>
      <c r="IDL20" s="204"/>
      <c r="IDM20" s="204"/>
      <c r="IDN20" s="204"/>
      <c r="IDO20" s="204"/>
      <c r="IDP20" s="204"/>
      <c r="IDQ20" s="204"/>
      <c r="IDR20" s="204"/>
      <c r="IDS20" s="204"/>
      <c r="IDT20" s="204"/>
      <c r="IDU20" s="204"/>
      <c r="IDV20" s="204"/>
      <c r="IDW20" s="204"/>
      <c r="IDX20" s="204"/>
      <c r="IDY20" s="204"/>
      <c r="IDZ20" s="204"/>
      <c r="IEA20" s="204"/>
      <c r="IEB20" s="204"/>
      <c r="IEC20" s="204"/>
      <c r="IED20" s="204"/>
      <c r="IEE20" s="204"/>
      <c r="IEF20" s="204"/>
      <c r="IEG20" s="204"/>
      <c r="IEH20" s="204"/>
      <c r="IEI20" s="204"/>
      <c r="IEJ20" s="204"/>
      <c r="IEK20" s="204"/>
      <c r="IEL20" s="204"/>
      <c r="IEM20" s="204"/>
      <c r="IEN20" s="204"/>
      <c r="IEO20" s="204"/>
      <c r="IEP20" s="204"/>
      <c r="IEQ20" s="204"/>
      <c r="IER20" s="204"/>
      <c r="IES20" s="204"/>
      <c r="IET20" s="204"/>
      <c r="IEU20" s="204"/>
      <c r="IEV20" s="204"/>
      <c r="IEW20" s="204"/>
      <c r="IEX20" s="204"/>
      <c r="IEY20" s="204"/>
      <c r="IEZ20" s="204"/>
      <c r="IFA20" s="204"/>
      <c r="IFB20" s="204"/>
      <c r="IFC20" s="204"/>
      <c r="IFD20" s="204"/>
      <c r="IFE20" s="204"/>
      <c r="IFF20" s="204"/>
      <c r="IFG20" s="204"/>
      <c r="IFH20" s="204"/>
      <c r="IFI20" s="204"/>
      <c r="IFJ20" s="204"/>
      <c r="IFK20" s="204"/>
      <c r="IFL20" s="204"/>
      <c r="IFM20" s="204"/>
      <c r="IFN20" s="204"/>
      <c r="IFO20" s="204"/>
      <c r="IFP20" s="204"/>
      <c r="IFQ20" s="204"/>
      <c r="IFR20" s="204"/>
      <c r="IFS20" s="204"/>
      <c r="IFT20" s="204"/>
      <c r="IFU20" s="204"/>
      <c r="IFV20" s="204"/>
      <c r="IFW20" s="204"/>
      <c r="IFX20" s="204"/>
      <c r="IFY20" s="204"/>
      <c r="IFZ20" s="204"/>
      <c r="IGA20" s="204"/>
      <c r="IGB20" s="204"/>
      <c r="IGC20" s="204"/>
      <c r="IGD20" s="204"/>
      <c r="IGE20" s="204"/>
      <c r="IGF20" s="204"/>
      <c r="IGG20" s="204"/>
      <c r="IGH20" s="204"/>
      <c r="IGI20" s="204"/>
      <c r="IGJ20" s="204"/>
      <c r="IGK20" s="204"/>
      <c r="IGL20" s="204"/>
      <c r="IGM20" s="204"/>
      <c r="IGN20" s="204"/>
      <c r="IGO20" s="204"/>
      <c r="IGP20" s="204"/>
      <c r="IGQ20" s="204"/>
      <c r="IGR20" s="204"/>
      <c r="IGS20" s="204"/>
      <c r="IGT20" s="204"/>
      <c r="IGU20" s="204"/>
      <c r="IGV20" s="204"/>
      <c r="IGW20" s="204"/>
      <c r="IGX20" s="204"/>
      <c r="IGY20" s="204"/>
      <c r="IGZ20" s="204"/>
      <c r="IHA20" s="204"/>
      <c r="IHB20" s="204"/>
      <c r="IHC20" s="204"/>
      <c r="IHD20" s="204"/>
      <c r="IHE20" s="204"/>
      <c r="IHF20" s="204"/>
      <c r="IHG20" s="204"/>
      <c r="IHH20" s="204"/>
      <c r="IHI20" s="204"/>
      <c r="IHJ20" s="204"/>
      <c r="IHK20" s="204"/>
      <c r="IHL20" s="204"/>
      <c r="IHM20" s="204"/>
      <c r="IHN20" s="204"/>
      <c r="IHO20" s="204"/>
      <c r="IHP20" s="204"/>
      <c r="IHQ20" s="204"/>
      <c r="IHR20" s="204"/>
      <c r="IHS20" s="204"/>
      <c r="IHT20" s="204"/>
      <c r="IHU20" s="204"/>
      <c r="IHV20" s="204"/>
      <c r="IHW20" s="204"/>
      <c r="IHX20" s="204"/>
      <c r="IHY20" s="204"/>
      <c r="IHZ20" s="204"/>
      <c r="IIA20" s="204"/>
      <c r="IIB20" s="204"/>
      <c r="IIC20" s="204"/>
      <c r="IID20" s="204"/>
      <c r="IIE20" s="204"/>
      <c r="IIF20" s="204"/>
      <c r="IIG20" s="204"/>
      <c r="IIH20" s="204"/>
      <c r="III20" s="204"/>
      <c r="IIJ20" s="204"/>
      <c r="IIK20" s="204"/>
      <c r="IIL20" s="204"/>
      <c r="IIM20" s="204"/>
      <c r="IIN20" s="204"/>
      <c r="IIO20" s="204"/>
      <c r="IIP20" s="204"/>
      <c r="IIQ20" s="204"/>
      <c r="IIR20" s="204"/>
      <c r="IIS20" s="204"/>
      <c r="IIT20" s="204"/>
      <c r="IIU20" s="204"/>
      <c r="IIV20" s="204"/>
      <c r="IIW20" s="204"/>
      <c r="IIX20" s="204"/>
      <c r="IIY20" s="204"/>
      <c r="IIZ20" s="204"/>
      <c r="IJA20" s="204"/>
      <c r="IJB20" s="204"/>
      <c r="IJC20" s="204"/>
      <c r="IJD20" s="204"/>
      <c r="IJE20" s="204"/>
      <c r="IJF20" s="204"/>
      <c r="IJG20" s="204"/>
      <c r="IJH20" s="204"/>
      <c r="IJI20" s="204"/>
      <c r="IJJ20" s="204"/>
      <c r="IJK20" s="204"/>
      <c r="IJL20" s="204"/>
      <c r="IJM20" s="204"/>
      <c r="IJN20" s="204"/>
      <c r="IJO20" s="204"/>
      <c r="IJP20" s="204"/>
      <c r="IJQ20" s="204"/>
      <c r="IJR20" s="204"/>
      <c r="IJS20" s="204"/>
      <c r="IJT20" s="204"/>
      <c r="IJU20" s="204"/>
      <c r="IJV20" s="204"/>
      <c r="IJW20" s="204"/>
      <c r="IJX20" s="204"/>
      <c r="IJY20" s="204"/>
      <c r="IJZ20" s="204"/>
      <c r="IKA20" s="204"/>
      <c r="IKB20" s="204"/>
      <c r="IKC20" s="204"/>
      <c r="IKD20" s="204"/>
      <c r="IKE20" s="204"/>
      <c r="IKF20" s="204"/>
      <c r="IKG20" s="204"/>
      <c r="IKH20" s="204"/>
      <c r="IKI20" s="204"/>
      <c r="IKJ20" s="204"/>
      <c r="IKK20" s="204"/>
      <c r="IKL20" s="204"/>
      <c r="IKM20" s="204"/>
      <c r="IKN20" s="204"/>
      <c r="IKO20" s="204"/>
      <c r="IKP20" s="204"/>
      <c r="IKQ20" s="204"/>
      <c r="IKR20" s="204"/>
      <c r="IKS20" s="204"/>
      <c r="IKT20" s="204"/>
      <c r="IKU20" s="204"/>
      <c r="IKV20" s="204"/>
      <c r="IKW20" s="204"/>
      <c r="IKX20" s="204"/>
      <c r="IKY20" s="204"/>
      <c r="IKZ20" s="204"/>
      <c r="ILA20" s="204"/>
      <c r="ILB20" s="204"/>
      <c r="ILC20" s="204"/>
      <c r="ILD20" s="204"/>
      <c r="ILE20" s="204"/>
      <c r="ILF20" s="204"/>
      <c r="ILG20" s="204"/>
      <c r="ILH20" s="204"/>
      <c r="ILI20" s="204"/>
      <c r="ILJ20" s="204"/>
      <c r="ILK20" s="204"/>
      <c r="ILL20" s="204"/>
      <c r="ILM20" s="204"/>
      <c r="ILN20" s="204"/>
      <c r="ILO20" s="204"/>
      <c r="ILP20" s="204"/>
      <c r="ILQ20" s="204"/>
      <c r="ILR20" s="204"/>
      <c r="ILS20" s="204"/>
      <c r="ILT20" s="204"/>
      <c r="ILU20" s="204"/>
      <c r="ILV20" s="204"/>
      <c r="ILW20" s="204"/>
      <c r="ILX20" s="204"/>
      <c r="ILY20" s="204"/>
      <c r="ILZ20" s="204"/>
      <c r="IMA20" s="204"/>
      <c r="IMB20" s="204"/>
      <c r="IMC20" s="204"/>
      <c r="IMD20" s="204"/>
      <c r="IME20" s="204"/>
      <c r="IMF20" s="204"/>
      <c r="IMG20" s="204"/>
      <c r="IMH20" s="204"/>
      <c r="IMI20" s="204"/>
      <c r="IMJ20" s="204"/>
      <c r="IMK20" s="204"/>
      <c r="IML20" s="204"/>
      <c r="IMM20" s="204"/>
      <c r="IMN20" s="204"/>
      <c r="IMO20" s="204"/>
      <c r="IMP20" s="204"/>
      <c r="IMQ20" s="204"/>
      <c r="IMR20" s="204"/>
      <c r="IMS20" s="204"/>
      <c r="IMT20" s="204"/>
      <c r="IMU20" s="204"/>
      <c r="IMV20" s="204"/>
      <c r="IMW20" s="204"/>
      <c r="IMX20" s="204"/>
      <c r="IMY20" s="204"/>
      <c r="IMZ20" s="204"/>
      <c r="INA20" s="204"/>
      <c r="INB20" s="204"/>
      <c r="INC20" s="204"/>
      <c r="IND20" s="204"/>
      <c r="INE20" s="204"/>
      <c r="INF20" s="204"/>
      <c r="ING20" s="204"/>
      <c r="INH20" s="204"/>
      <c r="INI20" s="204"/>
      <c r="INJ20" s="204"/>
      <c r="INK20" s="204"/>
      <c r="INL20" s="204"/>
      <c r="INM20" s="204"/>
      <c r="INN20" s="204"/>
      <c r="INO20" s="204"/>
      <c r="INP20" s="204"/>
      <c r="INQ20" s="204"/>
      <c r="INR20" s="204"/>
      <c r="INS20" s="204"/>
      <c r="INT20" s="204"/>
      <c r="INU20" s="204"/>
      <c r="INV20" s="204"/>
      <c r="INW20" s="204"/>
      <c r="INX20" s="204"/>
      <c r="INY20" s="204"/>
      <c r="INZ20" s="204"/>
      <c r="IOA20" s="204"/>
      <c r="IOB20" s="204"/>
      <c r="IOC20" s="204"/>
      <c r="IOD20" s="204"/>
      <c r="IOE20" s="204"/>
      <c r="IOF20" s="204"/>
      <c r="IOG20" s="204"/>
      <c r="IOH20" s="204"/>
      <c r="IOI20" s="204"/>
      <c r="IOJ20" s="204"/>
      <c r="IOK20" s="204"/>
      <c r="IOL20" s="204"/>
      <c r="IOM20" s="204"/>
      <c r="ION20" s="204"/>
      <c r="IOO20" s="204"/>
      <c r="IOP20" s="204"/>
      <c r="IOQ20" s="204"/>
      <c r="IOR20" s="204"/>
      <c r="IOS20" s="204"/>
      <c r="IOT20" s="204"/>
      <c r="IOU20" s="204"/>
      <c r="IOV20" s="204"/>
      <c r="IOW20" s="204"/>
      <c r="IOX20" s="204"/>
      <c r="IOY20" s="204"/>
      <c r="IOZ20" s="204"/>
      <c r="IPA20" s="204"/>
      <c r="IPB20" s="204"/>
      <c r="IPC20" s="204"/>
      <c r="IPD20" s="204"/>
      <c r="IPE20" s="204"/>
      <c r="IPF20" s="204"/>
      <c r="IPG20" s="204"/>
      <c r="IPH20" s="204"/>
      <c r="IPI20" s="204"/>
      <c r="IPJ20" s="204"/>
      <c r="IPK20" s="204"/>
      <c r="IPL20" s="204"/>
      <c r="IPM20" s="204"/>
      <c r="IPN20" s="204"/>
      <c r="IPO20" s="204"/>
      <c r="IPP20" s="204"/>
      <c r="IPQ20" s="204"/>
      <c r="IPR20" s="204"/>
      <c r="IPS20" s="204"/>
      <c r="IPT20" s="204"/>
      <c r="IPU20" s="204"/>
      <c r="IPV20" s="204"/>
      <c r="IPW20" s="204"/>
      <c r="IPX20" s="204"/>
      <c r="IPY20" s="204"/>
      <c r="IPZ20" s="204"/>
      <c r="IQA20" s="204"/>
      <c r="IQB20" s="204"/>
      <c r="IQC20" s="204"/>
      <c r="IQD20" s="204"/>
      <c r="IQE20" s="204"/>
      <c r="IQF20" s="204"/>
      <c r="IQG20" s="204"/>
      <c r="IQH20" s="204"/>
      <c r="IQI20" s="204"/>
      <c r="IQJ20" s="204"/>
      <c r="IQK20" s="204"/>
      <c r="IQL20" s="204"/>
      <c r="IQM20" s="204"/>
      <c r="IQN20" s="204"/>
      <c r="IQO20" s="204"/>
      <c r="IQP20" s="204"/>
      <c r="IQQ20" s="204"/>
      <c r="IQR20" s="204"/>
      <c r="IQS20" s="204"/>
      <c r="IQT20" s="204"/>
      <c r="IQU20" s="204"/>
      <c r="IQV20" s="204"/>
      <c r="IQW20" s="204"/>
      <c r="IQX20" s="204"/>
      <c r="IQY20" s="204"/>
      <c r="IQZ20" s="204"/>
      <c r="IRA20" s="204"/>
      <c r="IRB20" s="204"/>
      <c r="IRC20" s="204"/>
      <c r="IRD20" s="204"/>
      <c r="IRE20" s="204"/>
      <c r="IRF20" s="204"/>
      <c r="IRG20" s="204"/>
      <c r="IRH20" s="204"/>
      <c r="IRI20" s="204"/>
      <c r="IRJ20" s="204"/>
      <c r="IRK20" s="204"/>
      <c r="IRL20" s="204"/>
      <c r="IRM20" s="204"/>
      <c r="IRN20" s="204"/>
      <c r="IRO20" s="204"/>
      <c r="IRP20" s="204"/>
      <c r="IRQ20" s="204"/>
      <c r="IRR20" s="204"/>
      <c r="IRS20" s="204"/>
      <c r="IRT20" s="204"/>
      <c r="IRU20" s="204"/>
      <c r="IRV20" s="204"/>
      <c r="IRW20" s="204"/>
      <c r="IRX20" s="204"/>
      <c r="IRY20" s="204"/>
      <c r="IRZ20" s="204"/>
      <c r="ISA20" s="204"/>
      <c r="ISB20" s="204"/>
      <c r="ISC20" s="204"/>
      <c r="ISD20" s="204"/>
      <c r="ISE20" s="204"/>
      <c r="ISF20" s="204"/>
      <c r="ISG20" s="204"/>
      <c r="ISH20" s="204"/>
      <c r="ISI20" s="204"/>
      <c r="ISJ20" s="204"/>
      <c r="ISK20" s="204"/>
      <c r="ISL20" s="204"/>
      <c r="ISM20" s="204"/>
      <c r="ISN20" s="204"/>
      <c r="ISO20" s="204"/>
      <c r="ISP20" s="204"/>
      <c r="ISQ20" s="204"/>
      <c r="ISR20" s="204"/>
      <c r="ISS20" s="204"/>
      <c r="IST20" s="204"/>
      <c r="ISU20" s="204"/>
      <c r="ISV20" s="204"/>
      <c r="ISW20" s="204"/>
      <c r="ISX20" s="204"/>
      <c r="ISY20" s="204"/>
      <c r="ISZ20" s="204"/>
      <c r="ITA20" s="204"/>
      <c r="ITB20" s="204"/>
      <c r="ITC20" s="204"/>
      <c r="ITD20" s="204"/>
      <c r="ITE20" s="204"/>
      <c r="ITF20" s="204"/>
      <c r="ITG20" s="204"/>
      <c r="ITH20" s="204"/>
      <c r="ITI20" s="204"/>
      <c r="ITJ20" s="204"/>
      <c r="ITK20" s="204"/>
      <c r="ITL20" s="204"/>
      <c r="ITM20" s="204"/>
      <c r="ITN20" s="204"/>
      <c r="ITO20" s="204"/>
      <c r="ITP20" s="204"/>
      <c r="ITQ20" s="204"/>
      <c r="ITR20" s="204"/>
      <c r="ITS20" s="204"/>
      <c r="ITT20" s="204"/>
      <c r="ITU20" s="204"/>
      <c r="ITV20" s="204"/>
      <c r="ITW20" s="204"/>
      <c r="ITX20" s="204"/>
      <c r="ITY20" s="204"/>
      <c r="ITZ20" s="204"/>
      <c r="IUA20" s="204"/>
      <c r="IUB20" s="204"/>
      <c r="IUC20" s="204"/>
      <c r="IUD20" s="204"/>
      <c r="IUE20" s="204"/>
      <c r="IUF20" s="204"/>
      <c r="IUG20" s="204"/>
      <c r="IUH20" s="204"/>
      <c r="IUI20" s="204"/>
      <c r="IUJ20" s="204"/>
      <c r="IUK20" s="204"/>
      <c r="IUL20" s="204"/>
      <c r="IUM20" s="204"/>
      <c r="IUN20" s="204"/>
      <c r="IUO20" s="204"/>
      <c r="IUP20" s="204"/>
      <c r="IUQ20" s="204"/>
      <c r="IUR20" s="204"/>
      <c r="IUS20" s="204"/>
      <c r="IUT20" s="204"/>
      <c r="IUU20" s="204"/>
      <c r="IUV20" s="204"/>
      <c r="IUW20" s="204"/>
      <c r="IUX20" s="204"/>
      <c r="IUY20" s="204"/>
      <c r="IUZ20" s="204"/>
      <c r="IVA20" s="204"/>
      <c r="IVB20" s="204"/>
      <c r="IVC20" s="204"/>
      <c r="IVD20" s="204"/>
      <c r="IVE20" s="204"/>
      <c r="IVF20" s="204"/>
      <c r="IVG20" s="204"/>
      <c r="IVH20" s="204"/>
      <c r="IVI20" s="204"/>
      <c r="IVJ20" s="204"/>
      <c r="IVK20" s="204"/>
      <c r="IVL20" s="204"/>
      <c r="IVM20" s="204"/>
      <c r="IVN20" s="204"/>
      <c r="IVO20" s="204"/>
      <c r="IVP20" s="204"/>
      <c r="IVQ20" s="204"/>
      <c r="IVR20" s="204"/>
      <c r="IVS20" s="204"/>
      <c r="IVT20" s="204"/>
      <c r="IVU20" s="204"/>
      <c r="IVV20" s="204"/>
      <c r="IVW20" s="204"/>
      <c r="IVX20" s="204"/>
      <c r="IVY20" s="204"/>
      <c r="IVZ20" s="204"/>
      <c r="IWA20" s="204"/>
      <c r="IWB20" s="204"/>
      <c r="IWC20" s="204"/>
      <c r="IWD20" s="204"/>
      <c r="IWE20" s="204"/>
      <c r="IWF20" s="204"/>
      <c r="IWG20" s="204"/>
      <c r="IWH20" s="204"/>
      <c r="IWI20" s="204"/>
      <c r="IWJ20" s="204"/>
      <c r="IWK20" s="204"/>
      <c r="IWL20" s="204"/>
      <c r="IWM20" s="204"/>
      <c r="IWN20" s="204"/>
      <c r="IWO20" s="204"/>
      <c r="IWP20" s="204"/>
      <c r="IWQ20" s="204"/>
      <c r="IWR20" s="204"/>
      <c r="IWS20" s="204"/>
      <c r="IWT20" s="204"/>
      <c r="IWU20" s="204"/>
      <c r="IWV20" s="204"/>
      <c r="IWW20" s="204"/>
      <c r="IWX20" s="204"/>
      <c r="IWY20" s="204"/>
      <c r="IWZ20" s="204"/>
      <c r="IXA20" s="204"/>
      <c r="IXB20" s="204"/>
      <c r="IXC20" s="204"/>
      <c r="IXD20" s="204"/>
      <c r="IXE20" s="204"/>
      <c r="IXF20" s="204"/>
      <c r="IXG20" s="204"/>
      <c r="IXH20" s="204"/>
      <c r="IXI20" s="204"/>
      <c r="IXJ20" s="204"/>
      <c r="IXK20" s="204"/>
      <c r="IXL20" s="204"/>
      <c r="IXM20" s="204"/>
      <c r="IXN20" s="204"/>
      <c r="IXO20" s="204"/>
      <c r="IXP20" s="204"/>
      <c r="IXQ20" s="204"/>
      <c r="IXR20" s="204"/>
      <c r="IXS20" s="204"/>
      <c r="IXT20" s="204"/>
      <c r="IXU20" s="204"/>
      <c r="IXV20" s="204"/>
      <c r="IXW20" s="204"/>
      <c r="IXX20" s="204"/>
      <c r="IXY20" s="204"/>
      <c r="IXZ20" s="204"/>
      <c r="IYA20" s="204"/>
      <c r="IYB20" s="204"/>
      <c r="IYC20" s="204"/>
      <c r="IYD20" s="204"/>
      <c r="IYE20" s="204"/>
      <c r="IYF20" s="204"/>
      <c r="IYG20" s="204"/>
      <c r="IYH20" s="204"/>
      <c r="IYI20" s="204"/>
      <c r="IYJ20" s="204"/>
      <c r="IYK20" s="204"/>
      <c r="IYL20" s="204"/>
      <c r="IYM20" s="204"/>
      <c r="IYN20" s="204"/>
      <c r="IYO20" s="204"/>
      <c r="IYP20" s="204"/>
      <c r="IYQ20" s="204"/>
      <c r="IYR20" s="204"/>
      <c r="IYS20" s="204"/>
      <c r="IYT20" s="204"/>
      <c r="IYU20" s="204"/>
      <c r="IYV20" s="204"/>
      <c r="IYW20" s="204"/>
      <c r="IYX20" s="204"/>
      <c r="IYY20" s="204"/>
      <c r="IYZ20" s="204"/>
      <c r="IZA20" s="204"/>
      <c r="IZB20" s="204"/>
      <c r="IZC20" s="204"/>
      <c r="IZD20" s="204"/>
      <c r="IZE20" s="204"/>
      <c r="IZF20" s="204"/>
      <c r="IZG20" s="204"/>
      <c r="IZH20" s="204"/>
      <c r="IZI20" s="204"/>
      <c r="IZJ20" s="204"/>
      <c r="IZK20" s="204"/>
      <c r="IZL20" s="204"/>
      <c r="IZM20" s="204"/>
      <c r="IZN20" s="204"/>
      <c r="IZO20" s="204"/>
      <c r="IZP20" s="204"/>
      <c r="IZQ20" s="204"/>
      <c r="IZR20" s="204"/>
      <c r="IZS20" s="204"/>
      <c r="IZT20" s="204"/>
      <c r="IZU20" s="204"/>
      <c r="IZV20" s="204"/>
      <c r="IZW20" s="204"/>
      <c r="IZX20" s="204"/>
      <c r="IZY20" s="204"/>
      <c r="IZZ20" s="204"/>
      <c r="JAA20" s="204"/>
      <c r="JAB20" s="204"/>
      <c r="JAC20" s="204"/>
      <c r="JAD20" s="204"/>
      <c r="JAE20" s="204"/>
      <c r="JAF20" s="204"/>
      <c r="JAG20" s="204"/>
      <c r="JAH20" s="204"/>
      <c r="JAI20" s="204"/>
      <c r="JAJ20" s="204"/>
      <c r="JAK20" s="204"/>
      <c r="JAL20" s="204"/>
      <c r="JAM20" s="204"/>
      <c r="JAN20" s="204"/>
      <c r="JAO20" s="204"/>
      <c r="JAP20" s="204"/>
      <c r="JAQ20" s="204"/>
      <c r="JAR20" s="204"/>
      <c r="JAS20" s="204"/>
      <c r="JAT20" s="204"/>
      <c r="JAU20" s="204"/>
      <c r="JAV20" s="204"/>
      <c r="JAW20" s="204"/>
      <c r="JAX20" s="204"/>
      <c r="JAY20" s="204"/>
      <c r="JAZ20" s="204"/>
      <c r="JBA20" s="204"/>
      <c r="JBB20" s="204"/>
      <c r="JBC20" s="204"/>
      <c r="JBD20" s="204"/>
      <c r="JBE20" s="204"/>
      <c r="JBF20" s="204"/>
      <c r="JBG20" s="204"/>
      <c r="JBH20" s="204"/>
      <c r="JBI20" s="204"/>
      <c r="JBJ20" s="204"/>
      <c r="JBK20" s="204"/>
      <c r="JBL20" s="204"/>
      <c r="JBM20" s="204"/>
      <c r="JBN20" s="204"/>
      <c r="JBO20" s="204"/>
      <c r="JBP20" s="204"/>
      <c r="JBQ20" s="204"/>
      <c r="JBR20" s="204"/>
      <c r="JBS20" s="204"/>
      <c r="JBT20" s="204"/>
      <c r="JBU20" s="204"/>
      <c r="JBV20" s="204"/>
      <c r="JBW20" s="204"/>
      <c r="JBX20" s="204"/>
      <c r="JBY20" s="204"/>
      <c r="JBZ20" s="204"/>
      <c r="JCA20" s="204"/>
      <c r="JCB20" s="204"/>
      <c r="JCC20" s="204"/>
      <c r="JCD20" s="204"/>
      <c r="JCE20" s="204"/>
      <c r="JCF20" s="204"/>
      <c r="JCG20" s="204"/>
      <c r="JCH20" s="204"/>
      <c r="JCI20" s="204"/>
      <c r="JCJ20" s="204"/>
      <c r="JCK20" s="204"/>
      <c r="JCL20" s="204"/>
      <c r="JCM20" s="204"/>
      <c r="JCN20" s="204"/>
      <c r="JCO20" s="204"/>
      <c r="JCP20" s="204"/>
      <c r="JCQ20" s="204"/>
      <c r="JCR20" s="204"/>
      <c r="JCS20" s="204"/>
      <c r="JCT20" s="204"/>
      <c r="JCU20" s="204"/>
      <c r="JCV20" s="204"/>
      <c r="JCW20" s="204"/>
      <c r="JCX20" s="204"/>
      <c r="JCY20" s="204"/>
      <c r="JCZ20" s="204"/>
      <c r="JDA20" s="204"/>
      <c r="JDB20" s="204"/>
      <c r="JDC20" s="204"/>
      <c r="JDD20" s="204"/>
      <c r="JDE20" s="204"/>
      <c r="JDF20" s="204"/>
      <c r="JDG20" s="204"/>
      <c r="JDH20" s="204"/>
      <c r="JDI20" s="204"/>
      <c r="JDJ20" s="204"/>
      <c r="JDK20" s="204"/>
      <c r="JDL20" s="204"/>
      <c r="JDM20" s="204"/>
      <c r="JDN20" s="204"/>
      <c r="JDO20" s="204"/>
      <c r="JDP20" s="204"/>
      <c r="JDQ20" s="204"/>
      <c r="JDR20" s="204"/>
      <c r="JDS20" s="204"/>
      <c r="JDT20" s="204"/>
      <c r="JDU20" s="204"/>
      <c r="JDV20" s="204"/>
      <c r="JDW20" s="204"/>
      <c r="JDX20" s="204"/>
      <c r="JDY20" s="204"/>
      <c r="JDZ20" s="204"/>
      <c r="JEA20" s="204"/>
      <c r="JEB20" s="204"/>
      <c r="JEC20" s="204"/>
      <c r="JED20" s="204"/>
      <c r="JEE20" s="204"/>
      <c r="JEF20" s="204"/>
      <c r="JEG20" s="204"/>
      <c r="JEH20" s="204"/>
      <c r="JEI20" s="204"/>
      <c r="JEJ20" s="204"/>
      <c r="JEK20" s="204"/>
      <c r="JEL20" s="204"/>
      <c r="JEM20" s="204"/>
      <c r="JEN20" s="204"/>
      <c r="JEO20" s="204"/>
      <c r="JEP20" s="204"/>
      <c r="JEQ20" s="204"/>
      <c r="JER20" s="204"/>
      <c r="JES20" s="204"/>
      <c r="JET20" s="204"/>
      <c r="JEU20" s="204"/>
      <c r="JEV20" s="204"/>
      <c r="JEW20" s="204"/>
      <c r="JEX20" s="204"/>
      <c r="JEY20" s="204"/>
      <c r="JEZ20" s="204"/>
      <c r="JFA20" s="204"/>
      <c r="JFB20" s="204"/>
      <c r="JFC20" s="204"/>
      <c r="JFD20" s="204"/>
      <c r="JFE20" s="204"/>
      <c r="JFF20" s="204"/>
      <c r="JFG20" s="204"/>
      <c r="JFH20" s="204"/>
      <c r="JFI20" s="204"/>
      <c r="JFJ20" s="204"/>
      <c r="JFK20" s="204"/>
      <c r="JFL20" s="204"/>
      <c r="JFM20" s="204"/>
      <c r="JFN20" s="204"/>
      <c r="JFO20" s="204"/>
      <c r="JFP20" s="204"/>
      <c r="JFQ20" s="204"/>
      <c r="JFR20" s="204"/>
      <c r="JFS20" s="204"/>
      <c r="JFT20" s="204"/>
      <c r="JFU20" s="204"/>
      <c r="JFV20" s="204"/>
      <c r="JFW20" s="204"/>
      <c r="JFX20" s="204"/>
      <c r="JFY20" s="204"/>
      <c r="JFZ20" s="204"/>
      <c r="JGA20" s="204"/>
      <c r="JGB20" s="204"/>
      <c r="JGC20" s="204"/>
      <c r="JGD20" s="204"/>
      <c r="JGE20" s="204"/>
      <c r="JGF20" s="204"/>
      <c r="JGG20" s="204"/>
      <c r="JGH20" s="204"/>
      <c r="JGI20" s="204"/>
      <c r="JGJ20" s="204"/>
      <c r="JGK20" s="204"/>
      <c r="JGL20" s="204"/>
      <c r="JGM20" s="204"/>
      <c r="JGN20" s="204"/>
      <c r="JGO20" s="204"/>
      <c r="JGP20" s="204"/>
      <c r="JGQ20" s="204"/>
      <c r="JGR20" s="204"/>
      <c r="JGS20" s="204"/>
      <c r="JGT20" s="204"/>
      <c r="JGU20" s="204"/>
      <c r="JGV20" s="204"/>
      <c r="JGW20" s="204"/>
      <c r="JGX20" s="204"/>
      <c r="JGY20" s="204"/>
      <c r="JGZ20" s="204"/>
      <c r="JHA20" s="204"/>
      <c r="JHB20" s="204"/>
      <c r="JHC20" s="204"/>
      <c r="JHD20" s="204"/>
      <c r="JHE20" s="204"/>
      <c r="JHF20" s="204"/>
      <c r="JHG20" s="204"/>
      <c r="JHH20" s="204"/>
      <c r="JHI20" s="204"/>
      <c r="JHJ20" s="204"/>
      <c r="JHK20" s="204"/>
      <c r="JHL20" s="204"/>
      <c r="JHM20" s="204"/>
      <c r="JHN20" s="204"/>
      <c r="JHO20" s="204"/>
      <c r="JHP20" s="204"/>
      <c r="JHQ20" s="204"/>
      <c r="JHR20" s="204"/>
      <c r="JHS20" s="204"/>
      <c r="JHT20" s="204"/>
      <c r="JHU20" s="204"/>
      <c r="JHV20" s="204"/>
      <c r="JHW20" s="204"/>
      <c r="JHX20" s="204"/>
      <c r="JHY20" s="204"/>
      <c r="JHZ20" s="204"/>
      <c r="JIA20" s="204"/>
      <c r="JIB20" s="204"/>
      <c r="JIC20" s="204"/>
      <c r="JID20" s="204"/>
      <c r="JIE20" s="204"/>
      <c r="JIF20" s="204"/>
      <c r="JIG20" s="204"/>
      <c r="JIH20" s="204"/>
      <c r="JII20" s="204"/>
      <c r="JIJ20" s="204"/>
      <c r="JIK20" s="204"/>
      <c r="JIL20" s="204"/>
      <c r="JIM20" s="204"/>
      <c r="JIN20" s="204"/>
      <c r="JIO20" s="204"/>
      <c r="JIP20" s="204"/>
      <c r="JIQ20" s="204"/>
      <c r="JIR20" s="204"/>
      <c r="JIS20" s="204"/>
      <c r="JIT20" s="204"/>
      <c r="JIU20" s="204"/>
      <c r="JIV20" s="204"/>
      <c r="JIW20" s="204"/>
      <c r="JIX20" s="204"/>
      <c r="JIY20" s="204"/>
      <c r="JIZ20" s="204"/>
      <c r="JJA20" s="204"/>
      <c r="JJB20" s="204"/>
      <c r="JJC20" s="204"/>
      <c r="JJD20" s="204"/>
      <c r="JJE20" s="204"/>
      <c r="JJF20" s="204"/>
      <c r="JJG20" s="204"/>
      <c r="JJH20" s="204"/>
      <c r="JJI20" s="204"/>
      <c r="JJJ20" s="204"/>
      <c r="JJK20" s="204"/>
      <c r="JJL20" s="204"/>
      <c r="JJM20" s="204"/>
      <c r="JJN20" s="204"/>
      <c r="JJO20" s="204"/>
      <c r="JJP20" s="204"/>
      <c r="JJQ20" s="204"/>
      <c r="JJR20" s="204"/>
      <c r="JJS20" s="204"/>
      <c r="JJT20" s="204"/>
      <c r="JJU20" s="204"/>
      <c r="JJV20" s="204"/>
      <c r="JJW20" s="204"/>
      <c r="JJX20" s="204"/>
      <c r="JJY20" s="204"/>
      <c r="JJZ20" s="204"/>
      <c r="JKA20" s="204"/>
      <c r="JKB20" s="204"/>
      <c r="JKC20" s="204"/>
      <c r="JKD20" s="204"/>
      <c r="JKE20" s="204"/>
      <c r="JKF20" s="204"/>
      <c r="JKG20" s="204"/>
      <c r="JKH20" s="204"/>
      <c r="JKI20" s="204"/>
      <c r="JKJ20" s="204"/>
      <c r="JKK20" s="204"/>
      <c r="JKL20" s="204"/>
      <c r="JKM20" s="204"/>
      <c r="JKN20" s="204"/>
      <c r="JKO20" s="204"/>
      <c r="JKP20" s="204"/>
      <c r="JKQ20" s="204"/>
      <c r="JKR20" s="204"/>
      <c r="JKS20" s="204"/>
      <c r="JKT20" s="204"/>
      <c r="JKU20" s="204"/>
      <c r="JKV20" s="204"/>
      <c r="JKW20" s="204"/>
      <c r="JKX20" s="204"/>
      <c r="JKY20" s="204"/>
      <c r="JKZ20" s="204"/>
      <c r="JLA20" s="204"/>
      <c r="JLB20" s="204"/>
      <c r="JLC20" s="204"/>
      <c r="JLD20" s="204"/>
      <c r="JLE20" s="204"/>
      <c r="JLF20" s="204"/>
      <c r="JLG20" s="204"/>
      <c r="JLH20" s="204"/>
      <c r="JLI20" s="204"/>
      <c r="JLJ20" s="204"/>
      <c r="JLK20" s="204"/>
      <c r="JLL20" s="204"/>
      <c r="JLM20" s="204"/>
      <c r="JLN20" s="204"/>
      <c r="JLO20" s="204"/>
      <c r="JLP20" s="204"/>
      <c r="JLQ20" s="204"/>
      <c r="JLR20" s="204"/>
      <c r="JLS20" s="204"/>
      <c r="JLT20" s="204"/>
      <c r="JLU20" s="204"/>
      <c r="JLV20" s="204"/>
      <c r="JLW20" s="204"/>
      <c r="JLX20" s="204"/>
      <c r="JLY20" s="204"/>
      <c r="JLZ20" s="204"/>
      <c r="JMA20" s="204"/>
      <c r="JMB20" s="204"/>
      <c r="JMC20" s="204"/>
      <c r="JMD20" s="204"/>
      <c r="JME20" s="204"/>
      <c r="JMF20" s="204"/>
      <c r="JMG20" s="204"/>
      <c r="JMH20" s="204"/>
      <c r="JMI20" s="204"/>
      <c r="JMJ20" s="204"/>
      <c r="JMK20" s="204"/>
      <c r="JML20" s="204"/>
      <c r="JMM20" s="204"/>
      <c r="JMN20" s="204"/>
      <c r="JMO20" s="204"/>
      <c r="JMP20" s="204"/>
      <c r="JMQ20" s="204"/>
      <c r="JMR20" s="204"/>
      <c r="JMS20" s="204"/>
      <c r="JMT20" s="204"/>
      <c r="JMU20" s="204"/>
      <c r="JMV20" s="204"/>
      <c r="JMW20" s="204"/>
      <c r="JMX20" s="204"/>
      <c r="JMY20" s="204"/>
      <c r="JMZ20" s="204"/>
      <c r="JNA20" s="204"/>
      <c r="JNB20" s="204"/>
      <c r="JNC20" s="204"/>
      <c r="JND20" s="204"/>
      <c r="JNE20" s="204"/>
      <c r="JNF20" s="204"/>
      <c r="JNG20" s="204"/>
      <c r="JNH20" s="204"/>
      <c r="JNI20" s="204"/>
      <c r="JNJ20" s="204"/>
      <c r="JNK20" s="204"/>
      <c r="JNL20" s="204"/>
      <c r="JNM20" s="204"/>
      <c r="JNN20" s="204"/>
      <c r="JNO20" s="204"/>
      <c r="JNP20" s="204"/>
      <c r="JNQ20" s="204"/>
      <c r="JNR20" s="204"/>
      <c r="JNS20" s="204"/>
      <c r="JNT20" s="204"/>
      <c r="JNU20" s="204"/>
      <c r="JNV20" s="204"/>
      <c r="JNW20" s="204"/>
      <c r="JNX20" s="204"/>
      <c r="JNY20" s="204"/>
      <c r="JNZ20" s="204"/>
      <c r="JOA20" s="204"/>
      <c r="JOB20" s="204"/>
      <c r="JOC20" s="204"/>
      <c r="JOD20" s="204"/>
      <c r="JOE20" s="204"/>
      <c r="JOF20" s="204"/>
      <c r="JOG20" s="204"/>
      <c r="JOH20" s="204"/>
      <c r="JOI20" s="204"/>
      <c r="JOJ20" s="204"/>
      <c r="JOK20" s="204"/>
      <c r="JOL20" s="204"/>
      <c r="JOM20" s="204"/>
      <c r="JON20" s="204"/>
      <c r="JOO20" s="204"/>
      <c r="JOP20" s="204"/>
      <c r="JOQ20" s="204"/>
      <c r="JOR20" s="204"/>
      <c r="JOS20" s="204"/>
      <c r="JOT20" s="204"/>
      <c r="JOU20" s="204"/>
      <c r="JOV20" s="204"/>
      <c r="JOW20" s="204"/>
      <c r="JOX20" s="204"/>
      <c r="JOY20" s="204"/>
      <c r="JOZ20" s="204"/>
      <c r="JPA20" s="204"/>
      <c r="JPB20" s="204"/>
      <c r="JPC20" s="204"/>
      <c r="JPD20" s="204"/>
      <c r="JPE20" s="204"/>
      <c r="JPF20" s="204"/>
      <c r="JPG20" s="204"/>
      <c r="JPH20" s="204"/>
      <c r="JPI20" s="204"/>
      <c r="JPJ20" s="204"/>
      <c r="JPK20" s="204"/>
      <c r="JPL20" s="204"/>
      <c r="JPM20" s="204"/>
      <c r="JPN20" s="204"/>
      <c r="JPO20" s="204"/>
      <c r="JPP20" s="204"/>
      <c r="JPQ20" s="204"/>
      <c r="JPR20" s="204"/>
      <c r="JPS20" s="204"/>
      <c r="JPT20" s="204"/>
      <c r="JPU20" s="204"/>
      <c r="JPV20" s="204"/>
      <c r="JPW20" s="204"/>
      <c r="JPX20" s="204"/>
      <c r="JPY20" s="204"/>
      <c r="JPZ20" s="204"/>
      <c r="JQA20" s="204"/>
      <c r="JQB20" s="204"/>
      <c r="JQC20" s="204"/>
      <c r="JQD20" s="204"/>
      <c r="JQE20" s="204"/>
      <c r="JQF20" s="204"/>
      <c r="JQG20" s="204"/>
      <c r="JQH20" s="204"/>
      <c r="JQI20" s="204"/>
      <c r="JQJ20" s="204"/>
      <c r="JQK20" s="204"/>
      <c r="JQL20" s="204"/>
      <c r="JQM20" s="204"/>
      <c r="JQN20" s="204"/>
      <c r="JQO20" s="204"/>
      <c r="JQP20" s="204"/>
      <c r="JQQ20" s="204"/>
      <c r="JQR20" s="204"/>
      <c r="JQS20" s="204"/>
      <c r="JQT20" s="204"/>
      <c r="JQU20" s="204"/>
      <c r="JQV20" s="204"/>
      <c r="JQW20" s="204"/>
      <c r="JQX20" s="204"/>
      <c r="JQY20" s="204"/>
      <c r="JQZ20" s="204"/>
      <c r="JRA20" s="204"/>
      <c r="JRB20" s="204"/>
      <c r="JRC20" s="204"/>
      <c r="JRD20" s="204"/>
      <c r="JRE20" s="204"/>
      <c r="JRF20" s="204"/>
      <c r="JRG20" s="204"/>
      <c r="JRH20" s="204"/>
      <c r="JRI20" s="204"/>
      <c r="JRJ20" s="204"/>
      <c r="JRK20" s="204"/>
      <c r="JRL20" s="204"/>
      <c r="JRM20" s="204"/>
      <c r="JRN20" s="204"/>
      <c r="JRO20" s="204"/>
      <c r="JRP20" s="204"/>
      <c r="JRQ20" s="204"/>
      <c r="JRR20" s="204"/>
      <c r="JRS20" s="204"/>
      <c r="JRT20" s="204"/>
      <c r="JRU20" s="204"/>
      <c r="JRV20" s="204"/>
      <c r="JRW20" s="204"/>
      <c r="JRX20" s="204"/>
      <c r="JRY20" s="204"/>
      <c r="JRZ20" s="204"/>
      <c r="JSA20" s="204"/>
      <c r="JSB20" s="204"/>
      <c r="JSC20" s="204"/>
      <c r="JSD20" s="204"/>
      <c r="JSE20" s="204"/>
      <c r="JSF20" s="204"/>
      <c r="JSG20" s="204"/>
      <c r="JSH20" s="204"/>
      <c r="JSI20" s="204"/>
      <c r="JSJ20" s="204"/>
      <c r="JSK20" s="204"/>
      <c r="JSL20" s="204"/>
      <c r="JSM20" s="204"/>
      <c r="JSN20" s="204"/>
      <c r="JSO20" s="204"/>
      <c r="JSP20" s="204"/>
      <c r="JSQ20" s="204"/>
      <c r="JSR20" s="204"/>
      <c r="JSS20" s="204"/>
      <c r="JST20" s="204"/>
      <c r="JSU20" s="204"/>
      <c r="JSV20" s="204"/>
      <c r="JSW20" s="204"/>
      <c r="JSX20" s="204"/>
      <c r="JSY20" s="204"/>
      <c r="JSZ20" s="204"/>
      <c r="JTA20" s="204"/>
      <c r="JTB20" s="204"/>
      <c r="JTC20" s="204"/>
      <c r="JTD20" s="204"/>
      <c r="JTE20" s="204"/>
      <c r="JTF20" s="204"/>
      <c r="JTG20" s="204"/>
      <c r="JTH20" s="204"/>
      <c r="JTI20" s="204"/>
      <c r="JTJ20" s="204"/>
      <c r="JTK20" s="204"/>
      <c r="JTL20" s="204"/>
      <c r="JTM20" s="204"/>
      <c r="JTN20" s="204"/>
      <c r="JTO20" s="204"/>
      <c r="JTP20" s="204"/>
      <c r="JTQ20" s="204"/>
      <c r="JTR20" s="204"/>
      <c r="JTS20" s="204"/>
      <c r="JTT20" s="204"/>
      <c r="JTU20" s="204"/>
      <c r="JTV20" s="204"/>
      <c r="JTW20" s="204"/>
      <c r="JTX20" s="204"/>
      <c r="JTY20" s="204"/>
      <c r="JTZ20" s="204"/>
      <c r="JUA20" s="204"/>
      <c r="JUB20" s="204"/>
      <c r="JUC20" s="204"/>
      <c r="JUD20" s="204"/>
      <c r="JUE20" s="204"/>
      <c r="JUF20" s="204"/>
      <c r="JUG20" s="204"/>
      <c r="JUH20" s="204"/>
      <c r="JUI20" s="204"/>
      <c r="JUJ20" s="204"/>
      <c r="JUK20" s="204"/>
      <c r="JUL20" s="204"/>
      <c r="JUM20" s="204"/>
      <c r="JUN20" s="204"/>
      <c r="JUO20" s="204"/>
      <c r="JUP20" s="204"/>
      <c r="JUQ20" s="204"/>
      <c r="JUR20" s="204"/>
      <c r="JUS20" s="204"/>
      <c r="JUT20" s="204"/>
      <c r="JUU20" s="204"/>
      <c r="JUV20" s="204"/>
      <c r="JUW20" s="204"/>
      <c r="JUX20" s="204"/>
      <c r="JUY20" s="204"/>
      <c r="JUZ20" s="204"/>
      <c r="JVA20" s="204"/>
      <c r="JVB20" s="204"/>
      <c r="JVC20" s="204"/>
      <c r="JVD20" s="204"/>
      <c r="JVE20" s="204"/>
      <c r="JVF20" s="204"/>
      <c r="JVG20" s="204"/>
      <c r="JVH20" s="204"/>
      <c r="JVI20" s="204"/>
      <c r="JVJ20" s="204"/>
      <c r="JVK20" s="204"/>
      <c r="JVL20" s="204"/>
      <c r="JVM20" s="204"/>
      <c r="JVN20" s="204"/>
      <c r="JVO20" s="204"/>
      <c r="JVP20" s="204"/>
      <c r="JVQ20" s="204"/>
      <c r="JVR20" s="204"/>
      <c r="JVS20" s="204"/>
      <c r="JVT20" s="204"/>
      <c r="JVU20" s="204"/>
      <c r="JVV20" s="204"/>
      <c r="JVW20" s="204"/>
      <c r="JVX20" s="204"/>
      <c r="JVY20" s="204"/>
      <c r="JVZ20" s="204"/>
      <c r="JWA20" s="204"/>
      <c r="JWB20" s="204"/>
      <c r="JWC20" s="204"/>
      <c r="JWD20" s="204"/>
      <c r="JWE20" s="204"/>
      <c r="JWF20" s="204"/>
      <c r="JWG20" s="204"/>
      <c r="JWH20" s="204"/>
      <c r="JWI20" s="204"/>
      <c r="JWJ20" s="204"/>
      <c r="JWK20" s="204"/>
      <c r="JWL20" s="204"/>
      <c r="JWM20" s="204"/>
      <c r="JWN20" s="204"/>
      <c r="JWO20" s="204"/>
      <c r="JWP20" s="204"/>
      <c r="JWQ20" s="204"/>
      <c r="JWR20" s="204"/>
      <c r="JWS20" s="204"/>
      <c r="JWT20" s="204"/>
      <c r="JWU20" s="204"/>
      <c r="JWV20" s="204"/>
      <c r="JWW20" s="204"/>
      <c r="JWX20" s="204"/>
      <c r="JWY20" s="204"/>
      <c r="JWZ20" s="204"/>
      <c r="JXA20" s="204"/>
      <c r="JXB20" s="204"/>
      <c r="JXC20" s="204"/>
      <c r="JXD20" s="204"/>
      <c r="JXE20" s="204"/>
      <c r="JXF20" s="204"/>
      <c r="JXG20" s="204"/>
      <c r="JXH20" s="204"/>
      <c r="JXI20" s="204"/>
      <c r="JXJ20" s="204"/>
      <c r="JXK20" s="204"/>
      <c r="JXL20" s="204"/>
      <c r="JXM20" s="204"/>
      <c r="JXN20" s="204"/>
      <c r="JXO20" s="204"/>
      <c r="JXP20" s="204"/>
      <c r="JXQ20" s="204"/>
      <c r="JXR20" s="204"/>
      <c r="JXS20" s="204"/>
      <c r="JXT20" s="204"/>
      <c r="JXU20" s="204"/>
      <c r="JXV20" s="204"/>
      <c r="JXW20" s="204"/>
      <c r="JXX20" s="204"/>
      <c r="JXY20" s="204"/>
      <c r="JXZ20" s="204"/>
      <c r="JYA20" s="204"/>
      <c r="JYB20" s="204"/>
      <c r="JYC20" s="204"/>
      <c r="JYD20" s="204"/>
      <c r="JYE20" s="204"/>
      <c r="JYF20" s="204"/>
      <c r="JYG20" s="204"/>
      <c r="JYH20" s="204"/>
      <c r="JYI20" s="204"/>
      <c r="JYJ20" s="204"/>
      <c r="JYK20" s="204"/>
      <c r="JYL20" s="204"/>
      <c r="JYM20" s="204"/>
      <c r="JYN20" s="204"/>
      <c r="JYO20" s="204"/>
      <c r="JYP20" s="204"/>
      <c r="JYQ20" s="204"/>
      <c r="JYR20" s="204"/>
      <c r="JYS20" s="204"/>
      <c r="JYT20" s="204"/>
      <c r="JYU20" s="204"/>
      <c r="JYV20" s="204"/>
      <c r="JYW20" s="204"/>
      <c r="JYX20" s="204"/>
      <c r="JYY20" s="204"/>
      <c r="JYZ20" s="204"/>
      <c r="JZA20" s="204"/>
      <c r="JZB20" s="204"/>
      <c r="JZC20" s="204"/>
      <c r="JZD20" s="204"/>
      <c r="JZE20" s="204"/>
      <c r="JZF20" s="204"/>
      <c r="JZG20" s="204"/>
      <c r="JZH20" s="204"/>
      <c r="JZI20" s="204"/>
      <c r="JZJ20" s="204"/>
      <c r="JZK20" s="204"/>
      <c r="JZL20" s="204"/>
      <c r="JZM20" s="204"/>
      <c r="JZN20" s="204"/>
      <c r="JZO20" s="204"/>
      <c r="JZP20" s="204"/>
      <c r="JZQ20" s="204"/>
      <c r="JZR20" s="204"/>
      <c r="JZS20" s="204"/>
      <c r="JZT20" s="204"/>
      <c r="JZU20" s="204"/>
      <c r="JZV20" s="204"/>
      <c r="JZW20" s="204"/>
      <c r="JZX20" s="204"/>
      <c r="JZY20" s="204"/>
      <c r="JZZ20" s="204"/>
      <c r="KAA20" s="204"/>
      <c r="KAB20" s="204"/>
      <c r="KAC20" s="204"/>
      <c r="KAD20" s="204"/>
      <c r="KAE20" s="204"/>
      <c r="KAF20" s="204"/>
      <c r="KAG20" s="204"/>
      <c r="KAH20" s="204"/>
      <c r="KAI20" s="204"/>
      <c r="KAJ20" s="204"/>
      <c r="KAK20" s="204"/>
      <c r="KAL20" s="204"/>
      <c r="KAM20" s="204"/>
      <c r="KAN20" s="204"/>
      <c r="KAO20" s="204"/>
      <c r="KAP20" s="204"/>
      <c r="KAQ20" s="204"/>
      <c r="KAR20" s="204"/>
      <c r="KAS20" s="204"/>
      <c r="KAT20" s="204"/>
      <c r="KAU20" s="204"/>
      <c r="KAV20" s="204"/>
      <c r="KAW20" s="204"/>
      <c r="KAX20" s="204"/>
      <c r="KAY20" s="204"/>
      <c r="KAZ20" s="204"/>
      <c r="KBA20" s="204"/>
      <c r="KBB20" s="204"/>
      <c r="KBC20" s="204"/>
      <c r="KBD20" s="204"/>
      <c r="KBE20" s="204"/>
      <c r="KBF20" s="204"/>
      <c r="KBG20" s="204"/>
      <c r="KBH20" s="204"/>
      <c r="KBI20" s="204"/>
      <c r="KBJ20" s="204"/>
      <c r="KBK20" s="204"/>
      <c r="KBL20" s="204"/>
      <c r="KBM20" s="204"/>
      <c r="KBN20" s="204"/>
      <c r="KBO20" s="204"/>
      <c r="KBP20" s="204"/>
      <c r="KBQ20" s="204"/>
      <c r="KBR20" s="204"/>
      <c r="KBS20" s="204"/>
      <c r="KBT20" s="204"/>
      <c r="KBU20" s="204"/>
      <c r="KBV20" s="204"/>
      <c r="KBW20" s="204"/>
      <c r="KBX20" s="204"/>
      <c r="KBY20" s="204"/>
      <c r="KBZ20" s="204"/>
      <c r="KCA20" s="204"/>
      <c r="KCB20" s="204"/>
      <c r="KCC20" s="204"/>
      <c r="KCD20" s="204"/>
      <c r="KCE20" s="204"/>
      <c r="KCF20" s="204"/>
      <c r="KCG20" s="204"/>
      <c r="KCH20" s="204"/>
      <c r="KCI20" s="204"/>
      <c r="KCJ20" s="204"/>
      <c r="KCK20" s="204"/>
      <c r="KCL20" s="204"/>
      <c r="KCM20" s="204"/>
      <c r="KCN20" s="204"/>
      <c r="KCO20" s="204"/>
      <c r="KCP20" s="204"/>
      <c r="KCQ20" s="204"/>
      <c r="KCR20" s="204"/>
      <c r="KCS20" s="204"/>
      <c r="KCT20" s="204"/>
      <c r="KCU20" s="204"/>
      <c r="KCV20" s="204"/>
      <c r="KCW20" s="204"/>
      <c r="KCX20" s="204"/>
      <c r="KCY20" s="204"/>
      <c r="KCZ20" s="204"/>
      <c r="KDA20" s="204"/>
      <c r="KDB20" s="204"/>
      <c r="KDC20" s="204"/>
      <c r="KDD20" s="204"/>
      <c r="KDE20" s="204"/>
      <c r="KDF20" s="204"/>
      <c r="KDG20" s="204"/>
      <c r="KDH20" s="204"/>
      <c r="KDI20" s="204"/>
      <c r="KDJ20" s="204"/>
      <c r="KDK20" s="204"/>
      <c r="KDL20" s="204"/>
      <c r="KDM20" s="204"/>
      <c r="KDN20" s="204"/>
      <c r="KDO20" s="204"/>
      <c r="KDP20" s="204"/>
      <c r="KDQ20" s="204"/>
      <c r="KDR20" s="204"/>
      <c r="KDS20" s="204"/>
      <c r="KDT20" s="204"/>
      <c r="KDU20" s="204"/>
      <c r="KDV20" s="204"/>
      <c r="KDW20" s="204"/>
      <c r="KDX20" s="204"/>
      <c r="KDY20" s="204"/>
      <c r="KDZ20" s="204"/>
      <c r="KEA20" s="204"/>
      <c r="KEB20" s="204"/>
      <c r="KEC20" s="204"/>
      <c r="KED20" s="204"/>
      <c r="KEE20" s="204"/>
      <c r="KEF20" s="204"/>
      <c r="KEG20" s="204"/>
      <c r="KEH20" s="204"/>
      <c r="KEI20" s="204"/>
      <c r="KEJ20" s="204"/>
      <c r="KEK20" s="204"/>
      <c r="KEL20" s="204"/>
      <c r="KEM20" s="204"/>
      <c r="KEN20" s="204"/>
      <c r="KEO20" s="204"/>
      <c r="KEP20" s="204"/>
      <c r="KEQ20" s="204"/>
      <c r="KER20" s="204"/>
      <c r="KES20" s="204"/>
      <c r="KET20" s="204"/>
      <c r="KEU20" s="204"/>
      <c r="KEV20" s="204"/>
      <c r="KEW20" s="204"/>
      <c r="KEX20" s="204"/>
      <c r="KEY20" s="204"/>
      <c r="KEZ20" s="204"/>
      <c r="KFA20" s="204"/>
      <c r="KFB20" s="204"/>
      <c r="KFC20" s="204"/>
      <c r="KFD20" s="204"/>
      <c r="KFE20" s="204"/>
      <c r="KFF20" s="204"/>
      <c r="KFG20" s="204"/>
      <c r="KFH20" s="204"/>
      <c r="KFI20" s="204"/>
      <c r="KFJ20" s="204"/>
      <c r="KFK20" s="204"/>
      <c r="KFL20" s="204"/>
      <c r="KFM20" s="204"/>
      <c r="KFN20" s="204"/>
      <c r="KFO20" s="204"/>
      <c r="KFP20" s="204"/>
      <c r="KFQ20" s="204"/>
      <c r="KFR20" s="204"/>
      <c r="KFS20" s="204"/>
      <c r="KFT20" s="204"/>
      <c r="KFU20" s="204"/>
      <c r="KFV20" s="204"/>
      <c r="KFW20" s="204"/>
      <c r="KFX20" s="204"/>
      <c r="KFY20" s="204"/>
      <c r="KFZ20" s="204"/>
      <c r="KGA20" s="204"/>
      <c r="KGB20" s="204"/>
      <c r="KGC20" s="204"/>
      <c r="KGD20" s="204"/>
      <c r="KGE20" s="204"/>
      <c r="KGF20" s="204"/>
      <c r="KGG20" s="204"/>
      <c r="KGH20" s="204"/>
      <c r="KGI20" s="204"/>
      <c r="KGJ20" s="204"/>
      <c r="KGK20" s="204"/>
      <c r="KGL20" s="204"/>
      <c r="KGM20" s="204"/>
      <c r="KGN20" s="204"/>
      <c r="KGO20" s="204"/>
      <c r="KGP20" s="204"/>
      <c r="KGQ20" s="204"/>
      <c r="KGR20" s="204"/>
      <c r="KGS20" s="204"/>
      <c r="KGT20" s="204"/>
      <c r="KGU20" s="204"/>
      <c r="KGV20" s="204"/>
      <c r="KGW20" s="204"/>
      <c r="KGX20" s="204"/>
      <c r="KGY20" s="204"/>
      <c r="KGZ20" s="204"/>
      <c r="KHA20" s="204"/>
      <c r="KHB20" s="204"/>
      <c r="KHC20" s="204"/>
      <c r="KHD20" s="204"/>
      <c r="KHE20" s="204"/>
      <c r="KHF20" s="204"/>
      <c r="KHG20" s="204"/>
      <c r="KHH20" s="204"/>
      <c r="KHI20" s="204"/>
      <c r="KHJ20" s="204"/>
      <c r="KHK20" s="204"/>
      <c r="KHL20" s="204"/>
      <c r="KHM20" s="204"/>
      <c r="KHN20" s="204"/>
      <c r="KHO20" s="204"/>
      <c r="KHP20" s="204"/>
      <c r="KHQ20" s="204"/>
      <c r="KHR20" s="204"/>
      <c r="KHS20" s="204"/>
      <c r="KHT20" s="204"/>
      <c r="KHU20" s="204"/>
      <c r="KHV20" s="204"/>
      <c r="KHW20" s="204"/>
      <c r="KHX20" s="204"/>
      <c r="KHY20" s="204"/>
      <c r="KHZ20" s="204"/>
      <c r="KIA20" s="204"/>
      <c r="KIB20" s="204"/>
      <c r="KIC20" s="204"/>
      <c r="KID20" s="204"/>
      <c r="KIE20" s="204"/>
      <c r="KIF20" s="204"/>
      <c r="KIG20" s="204"/>
      <c r="KIH20" s="204"/>
      <c r="KII20" s="204"/>
      <c r="KIJ20" s="204"/>
      <c r="KIK20" s="204"/>
      <c r="KIL20" s="204"/>
      <c r="KIM20" s="204"/>
      <c r="KIN20" s="204"/>
      <c r="KIO20" s="204"/>
      <c r="KIP20" s="204"/>
      <c r="KIQ20" s="204"/>
      <c r="KIR20" s="204"/>
      <c r="KIS20" s="204"/>
      <c r="KIT20" s="204"/>
      <c r="KIU20" s="204"/>
      <c r="KIV20" s="204"/>
      <c r="KIW20" s="204"/>
      <c r="KIX20" s="204"/>
      <c r="KIY20" s="204"/>
      <c r="KIZ20" s="204"/>
      <c r="KJA20" s="204"/>
      <c r="KJB20" s="204"/>
      <c r="KJC20" s="204"/>
      <c r="KJD20" s="204"/>
      <c r="KJE20" s="204"/>
      <c r="KJF20" s="204"/>
      <c r="KJG20" s="204"/>
      <c r="KJH20" s="204"/>
      <c r="KJI20" s="204"/>
      <c r="KJJ20" s="204"/>
      <c r="KJK20" s="204"/>
      <c r="KJL20" s="204"/>
      <c r="KJM20" s="204"/>
      <c r="KJN20" s="204"/>
      <c r="KJO20" s="204"/>
      <c r="KJP20" s="204"/>
      <c r="KJQ20" s="204"/>
      <c r="KJR20" s="204"/>
      <c r="KJS20" s="204"/>
      <c r="KJT20" s="204"/>
      <c r="KJU20" s="204"/>
      <c r="KJV20" s="204"/>
      <c r="KJW20" s="204"/>
      <c r="KJX20" s="204"/>
      <c r="KJY20" s="204"/>
      <c r="KJZ20" s="204"/>
      <c r="KKA20" s="204"/>
      <c r="KKB20" s="204"/>
      <c r="KKC20" s="204"/>
      <c r="KKD20" s="204"/>
      <c r="KKE20" s="204"/>
      <c r="KKF20" s="204"/>
      <c r="KKG20" s="204"/>
      <c r="KKH20" s="204"/>
      <c r="KKI20" s="204"/>
      <c r="KKJ20" s="204"/>
      <c r="KKK20" s="204"/>
      <c r="KKL20" s="204"/>
      <c r="KKM20" s="204"/>
      <c r="KKN20" s="204"/>
      <c r="KKO20" s="204"/>
      <c r="KKP20" s="204"/>
      <c r="KKQ20" s="204"/>
      <c r="KKR20" s="204"/>
      <c r="KKS20" s="204"/>
      <c r="KKT20" s="204"/>
      <c r="KKU20" s="204"/>
      <c r="KKV20" s="204"/>
      <c r="KKW20" s="204"/>
      <c r="KKX20" s="204"/>
      <c r="KKY20" s="204"/>
      <c r="KKZ20" s="204"/>
      <c r="KLA20" s="204"/>
      <c r="KLB20" s="204"/>
      <c r="KLC20" s="204"/>
      <c r="KLD20" s="204"/>
      <c r="KLE20" s="204"/>
      <c r="KLF20" s="204"/>
      <c r="KLG20" s="204"/>
      <c r="KLH20" s="204"/>
      <c r="KLI20" s="204"/>
      <c r="KLJ20" s="204"/>
      <c r="KLK20" s="204"/>
      <c r="KLL20" s="204"/>
      <c r="KLM20" s="204"/>
      <c r="KLN20" s="204"/>
      <c r="KLO20" s="204"/>
      <c r="KLP20" s="204"/>
      <c r="KLQ20" s="204"/>
      <c r="KLR20" s="204"/>
      <c r="KLS20" s="204"/>
      <c r="KLT20" s="204"/>
      <c r="KLU20" s="204"/>
      <c r="KLV20" s="204"/>
      <c r="KLW20" s="204"/>
      <c r="KLX20" s="204"/>
      <c r="KLY20" s="204"/>
      <c r="KLZ20" s="204"/>
      <c r="KMA20" s="204"/>
      <c r="KMB20" s="204"/>
      <c r="KMC20" s="204"/>
      <c r="KMD20" s="204"/>
      <c r="KME20" s="204"/>
      <c r="KMF20" s="204"/>
      <c r="KMG20" s="204"/>
      <c r="KMH20" s="204"/>
      <c r="KMI20" s="204"/>
      <c r="KMJ20" s="204"/>
      <c r="KMK20" s="204"/>
      <c r="KML20" s="204"/>
      <c r="KMM20" s="204"/>
      <c r="KMN20" s="204"/>
      <c r="KMO20" s="204"/>
      <c r="KMP20" s="204"/>
      <c r="KMQ20" s="204"/>
      <c r="KMR20" s="204"/>
      <c r="KMS20" s="204"/>
      <c r="KMT20" s="204"/>
      <c r="KMU20" s="204"/>
      <c r="KMV20" s="204"/>
      <c r="KMW20" s="204"/>
      <c r="KMX20" s="204"/>
      <c r="KMY20" s="204"/>
      <c r="KMZ20" s="204"/>
      <c r="KNA20" s="204"/>
      <c r="KNB20" s="204"/>
      <c r="KNC20" s="204"/>
      <c r="KND20" s="204"/>
      <c r="KNE20" s="204"/>
      <c r="KNF20" s="204"/>
      <c r="KNG20" s="204"/>
      <c r="KNH20" s="204"/>
      <c r="KNI20" s="204"/>
      <c r="KNJ20" s="204"/>
      <c r="KNK20" s="204"/>
      <c r="KNL20" s="204"/>
      <c r="KNM20" s="204"/>
      <c r="KNN20" s="204"/>
      <c r="KNO20" s="204"/>
      <c r="KNP20" s="204"/>
      <c r="KNQ20" s="204"/>
      <c r="KNR20" s="204"/>
      <c r="KNS20" s="204"/>
      <c r="KNT20" s="204"/>
      <c r="KNU20" s="204"/>
      <c r="KNV20" s="204"/>
      <c r="KNW20" s="204"/>
      <c r="KNX20" s="204"/>
      <c r="KNY20" s="204"/>
      <c r="KNZ20" s="204"/>
      <c r="KOA20" s="204"/>
      <c r="KOB20" s="204"/>
      <c r="KOC20" s="204"/>
      <c r="KOD20" s="204"/>
      <c r="KOE20" s="204"/>
      <c r="KOF20" s="204"/>
      <c r="KOG20" s="204"/>
      <c r="KOH20" s="204"/>
      <c r="KOI20" s="204"/>
      <c r="KOJ20" s="204"/>
      <c r="KOK20" s="204"/>
      <c r="KOL20" s="204"/>
      <c r="KOM20" s="204"/>
      <c r="KON20" s="204"/>
      <c r="KOO20" s="204"/>
      <c r="KOP20" s="204"/>
      <c r="KOQ20" s="204"/>
      <c r="KOR20" s="204"/>
      <c r="KOS20" s="204"/>
      <c r="KOT20" s="204"/>
      <c r="KOU20" s="204"/>
      <c r="KOV20" s="204"/>
      <c r="KOW20" s="204"/>
      <c r="KOX20" s="204"/>
      <c r="KOY20" s="204"/>
      <c r="KOZ20" s="204"/>
      <c r="KPA20" s="204"/>
      <c r="KPB20" s="204"/>
      <c r="KPC20" s="204"/>
      <c r="KPD20" s="204"/>
      <c r="KPE20" s="204"/>
      <c r="KPF20" s="204"/>
      <c r="KPG20" s="204"/>
      <c r="KPH20" s="204"/>
      <c r="KPI20" s="204"/>
      <c r="KPJ20" s="204"/>
      <c r="KPK20" s="204"/>
      <c r="KPL20" s="204"/>
      <c r="KPM20" s="204"/>
      <c r="KPN20" s="204"/>
      <c r="KPO20" s="204"/>
      <c r="KPP20" s="204"/>
      <c r="KPQ20" s="204"/>
      <c r="KPR20" s="204"/>
      <c r="KPS20" s="204"/>
      <c r="KPT20" s="204"/>
      <c r="KPU20" s="204"/>
      <c r="KPV20" s="204"/>
      <c r="KPW20" s="204"/>
      <c r="KPX20" s="204"/>
      <c r="KPY20" s="204"/>
      <c r="KPZ20" s="204"/>
      <c r="KQA20" s="204"/>
      <c r="KQB20" s="204"/>
      <c r="KQC20" s="204"/>
      <c r="KQD20" s="204"/>
      <c r="KQE20" s="204"/>
      <c r="KQF20" s="204"/>
      <c r="KQG20" s="204"/>
      <c r="KQH20" s="204"/>
      <c r="KQI20" s="204"/>
      <c r="KQJ20" s="204"/>
      <c r="KQK20" s="204"/>
      <c r="KQL20" s="204"/>
      <c r="KQM20" s="204"/>
      <c r="KQN20" s="204"/>
      <c r="KQO20" s="204"/>
      <c r="KQP20" s="204"/>
      <c r="KQQ20" s="204"/>
      <c r="KQR20" s="204"/>
      <c r="KQS20" s="204"/>
      <c r="KQT20" s="204"/>
      <c r="KQU20" s="204"/>
      <c r="KQV20" s="204"/>
      <c r="KQW20" s="204"/>
      <c r="KQX20" s="204"/>
      <c r="KQY20" s="204"/>
      <c r="KQZ20" s="204"/>
      <c r="KRA20" s="204"/>
      <c r="KRB20" s="204"/>
      <c r="KRC20" s="204"/>
      <c r="KRD20" s="204"/>
      <c r="KRE20" s="204"/>
      <c r="KRF20" s="204"/>
      <c r="KRG20" s="204"/>
      <c r="KRH20" s="204"/>
      <c r="KRI20" s="204"/>
      <c r="KRJ20" s="204"/>
      <c r="KRK20" s="204"/>
      <c r="KRL20" s="204"/>
      <c r="KRM20" s="204"/>
      <c r="KRN20" s="204"/>
      <c r="KRO20" s="204"/>
      <c r="KRP20" s="204"/>
      <c r="KRQ20" s="204"/>
      <c r="KRR20" s="204"/>
      <c r="KRS20" s="204"/>
      <c r="KRT20" s="204"/>
      <c r="KRU20" s="204"/>
      <c r="KRV20" s="204"/>
      <c r="KRW20" s="204"/>
      <c r="KRX20" s="204"/>
      <c r="KRY20" s="204"/>
      <c r="KRZ20" s="204"/>
      <c r="KSA20" s="204"/>
      <c r="KSB20" s="204"/>
      <c r="KSC20" s="204"/>
      <c r="KSD20" s="204"/>
      <c r="KSE20" s="204"/>
      <c r="KSF20" s="204"/>
      <c r="KSG20" s="204"/>
      <c r="KSH20" s="204"/>
      <c r="KSI20" s="204"/>
      <c r="KSJ20" s="204"/>
      <c r="KSK20" s="204"/>
      <c r="KSL20" s="204"/>
      <c r="KSM20" s="204"/>
      <c r="KSN20" s="204"/>
      <c r="KSO20" s="204"/>
      <c r="KSP20" s="204"/>
      <c r="KSQ20" s="204"/>
      <c r="KSR20" s="204"/>
      <c r="KSS20" s="204"/>
      <c r="KST20" s="204"/>
      <c r="KSU20" s="204"/>
      <c r="KSV20" s="204"/>
      <c r="KSW20" s="204"/>
      <c r="KSX20" s="204"/>
      <c r="KSY20" s="204"/>
      <c r="KSZ20" s="204"/>
      <c r="KTA20" s="204"/>
      <c r="KTB20" s="204"/>
      <c r="KTC20" s="204"/>
      <c r="KTD20" s="204"/>
      <c r="KTE20" s="204"/>
      <c r="KTF20" s="204"/>
      <c r="KTG20" s="204"/>
      <c r="KTH20" s="204"/>
      <c r="KTI20" s="204"/>
      <c r="KTJ20" s="204"/>
      <c r="KTK20" s="204"/>
      <c r="KTL20" s="204"/>
      <c r="KTM20" s="204"/>
      <c r="KTN20" s="204"/>
      <c r="KTO20" s="204"/>
      <c r="KTP20" s="204"/>
      <c r="KTQ20" s="204"/>
      <c r="KTR20" s="204"/>
      <c r="KTS20" s="204"/>
      <c r="KTT20" s="204"/>
      <c r="KTU20" s="204"/>
      <c r="KTV20" s="204"/>
      <c r="KTW20" s="204"/>
      <c r="KTX20" s="204"/>
      <c r="KTY20" s="204"/>
      <c r="KTZ20" s="204"/>
      <c r="KUA20" s="204"/>
      <c r="KUB20" s="204"/>
      <c r="KUC20" s="204"/>
      <c r="KUD20" s="204"/>
      <c r="KUE20" s="204"/>
      <c r="KUF20" s="204"/>
      <c r="KUG20" s="204"/>
      <c r="KUH20" s="204"/>
      <c r="KUI20" s="204"/>
      <c r="KUJ20" s="204"/>
      <c r="KUK20" s="204"/>
      <c r="KUL20" s="204"/>
      <c r="KUM20" s="204"/>
      <c r="KUN20" s="204"/>
      <c r="KUO20" s="204"/>
      <c r="KUP20" s="204"/>
      <c r="KUQ20" s="204"/>
      <c r="KUR20" s="204"/>
      <c r="KUS20" s="204"/>
      <c r="KUT20" s="204"/>
      <c r="KUU20" s="204"/>
      <c r="KUV20" s="204"/>
      <c r="KUW20" s="204"/>
      <c r="KUX20" s="204"/>
      <c r="KUY20" s="204"/>
      <c r="KUZ20" s="204"/>
      <c r="KVA20" s="204"/>
      <c r="KVB20" s="204"/>
      <c r="KVC20" s="204"/>
      <c r="KVD20" s="204"/>
      <c r="KVE20" s="204"/>
      <c r="KVF20" s="204"/>
      <c r="KVG20" s="204"/>
      <c r="KVH20" s="204"/>
      <c r="KVI20" s="204"/>
      <c r="KVJ20" s="204"/>
      <c r="KVK20" s="204"/>
      <c r="KVL20" s="204"/>
      <c r="KVM20" s="204"/>
      <c r="KVN20" s="204"/>
      <c r="KVO20" s="204"/>
      <c r="KVP20" s="204"/>
      <c r="KVQ20" s="204"/>
      <c r="KVR20" s="204"/>
      <c r="KVS20" s="204"/>
      <c r="KVT20" s="204"/>
      <c r="KVU20" s="204"/>
      <c r="KVV20" s="204"/>
      <c r="KVW20" s="204"/>
      <c r="KVX20" s="204"/>
      <c r="KVY20" s="204"/>
      <c r="KVZ20" s="204"/>
      <c r="KWA20" s="204"/>
      <c r="KWB20" s="204"/>
      <c r="KWC20" s="204"/>
      <c r="KWD20" s="204"/>
      <c r="KWE20" s="204"/>
      <c r="KWF20" s="204"/>
      <c r="KWG20" s="204"/>
      <c r="KWH20" s="204"/>
      <c r="KWI20" s="204"/>
      <c r="KWJ20" s="204"/>
      <c r="KWK20" s="204"/>
      <c r="KWL20" s="204"/>
      <c r="KWM20" s="204"/>
      <c r="KWN20" s="204"/>
      <c r="KWO20" s="204"/>
      <c r="KWP20" s="204"/>
      <c r="KWQ20" s="204"/>
      <c r="KWR20" s="204"/>
      <c r="KWS20" s="204"/>
      <c r="KWT20" s="204"/>
      <c r="KWU20" s="204"/>
      <c r="KWV20" s="204"/>
      <c r="KWW20" s="204"/>
      <c r="KWX20" s="204"/>
      <c r="KWY20" s="204"/>
      <c r="KWZ20" s="204"/>
      <c r="KXA20" s="204"/>
      <c r="KXB20" s="204"/>
      <c r="KXC20" s="204"/>
      <c r="KXD20" s="204"/>
      <c r="KXE20" s="204"/>
      <c r="KXF20" s="204"/>
      <c r="KXG20" s="204"/>
      <c r="KXH20" s="204"/>
      <c r="KXI20" s="204"/>
      <c r="KXJ20" s="204"/>
      <c r="KXK20" s="204"/>
      <c r="KXL20" s="204"/>
      <c r="KXM20" s="204"/>
      <c r="KXN20" s="204"/>
      <c r="KXO20" s="204"/>
      <c r="KXP20" s="204"/>
      <c r="KXQ20" s="204"/>
      <c r="KXR20" s="204"/>
      <c r="KXS20" s="204"/>
      <c r="KXT20" s="204"/>
      <c r="KXU20" s="204"/>
      <c r="KXV20" s="204"/>
      <c r="KXW20" s="204"/>
      <c r="KXX20" s="204"/>
      <c r="KXY20" s="204"/>
      <c r="KXZ20" s="204"/>
      <c r="KYA20" s="204"/>
      <c r="KYB20" s="204"/>
      <c r="KYC20" s="204"/>
      <c r="KYD20" s="204"/>
      <c r="KYE20" s="204"/>
      <c r="KYF20" s="204"/>
      <c r="KYG20" s="204"/>
      <c r="KYH20" s="204"/>
      <c r="KYI20" s="204"/>
      <c r="KYJ20" s="204"/>
      <c r="KYK20" s="204"/>
      <c r="KYL20" s="204"/>
      <c r="KYM20" s="204"/>
      <c r="KYN20" s="204"/>
      <c r="KYO20" s="204"/>
      <c r="KYP20" s="204"/>
      <c r="KYQ20" s="204"/>
      <c r="KYR20" s="204"/>
      <c r="KYS20" s="204"/>
      <c r="KYT20" s="204"/>
      <c r="KYU20" s="204"/>
      <c r="KYV20" s="204"/>
      <c r="KYW20" s="204"/>
      <c r="KYX20" s="204"/>
      <c r="KYY20" s="204"/>
      <c r="KYZ20" s="204"/>
      <c r="KZA20" s="204"/>
      <c r="KZB20" s="204"/>
      <c r="KZC20" s="204"/>
      <c r="KZD20" s="204"/>
      <c r="KZE20" s="204"/>
      <c r="KZF20" s="204"/>
      <c r="KZG20" s="204"/>
      <c r="KZH20" s="204"/>
      <c r="KZI20" s="204"/>
      <c r="KZJ20" s="204"/>
      <c r="KZK20" s="204"/>
      <c r="KZL20" s="204"/>
      <c r="KZM20" s="204"/>
      <c r="KZN20" s="204"/>
      <c r="KZO20" s="204"/>
      <c r="KZP20" s="204"/>
      <c r="KZQ20" s="204"/>
      <c r="KZR20" s="204"/>
      <c r="KZS20" s="204"/>
      <c r="KZT20" s="204"/>
      <c r="KZU20" s="204"/>
      <c r="KZV20" s="204"/>
      <c r="KZW20" s="204"/>
      <c r="KZX20" s="204"/>
      <c r="KZY20" s="204"/>
      <c r="KZZ20" s="204"/>
      <c r="LAA20" s="204"/>
      <c r="LAB20" s="204"/>
      <c r="LAC20" s="204"/>
      <c r="LAD20" s="204"/>
      <c r="LAE20" s="204"/>
      <c r="LAF20" s="204"/>
      <c r="LAG20" s="204"/>
      <c r="LAH20" s="204"/>
      <c r="LAI20" s="204"/>
      <c r="LAJ20" s="204"/>
      <c r="LAK20" s="204"/>
      <c r="LAL20" s="204"/>
      <c r="LAM20" s="204"/>
      <c r="LAN20" s="204"/>
      <c r="LAO20" s="204"/>
      <c r="LAP20" s="204"/>
      <c r="LAQ20" s="204"/>
      <c r="LAR20" s="204"/>
      <c r="LAS20" s="204"/>
      <c r="LAT20" s="204"/>
      <c r="LAU20" s="204"/>
      <c r="LAV20" s="204"/>
      <c r="LAW20" s="204"/>
      <c r="LAX20" s="204"/>
      <c r="LAY20" s="204"/>
      <c r="LAZ20" s="204"/>
      <c r="LBA20" s="204"/>
      <c r="LBB20" s="204"/>
      <c r="LBC20" s="204"/>
      <c r="LBD20" s="204"/>
      <c r="LBE20" s="204"/>
      <c r="LBF20" s="204"/>
      <c r="LBG20" s="204"/>
      <c r="LBH20" s="204"/>
      <c r="LBI20" s="204"/>
      <c r="LBJ20" s="204"/>
      <c r="LBK20" s="204"/>
      <c r="LBL20" s="204"/>
      <c r="LBM20" s="204"/>
      <c r="LBN20" s="204"/>
      <c r="LBO20" s="204"/>
      <c r="LBP20" s="204"/>
      <c r="LBQ20" s="204"/>
      <c r="LBR20" s="204"/>
      <c r="LBS20" s="204"/>
      <c r="LBT20" s="204"/>
      <c r="LBU20" s="204"/>
      <c r="LBV20" s="204"/>
      <c r="LBW20" s="204"/>
      <c r="LBX20" s="204"/>
      <c r="LBY20" s="204"/>
      <c r="LBZ20" s="204"/>
      <c r="LCA20" s="204"/>
      <c r="LCB20" s="204"/>
      <c r="LCC20" s="204"/>
      <c r="LCD20" s="204"/>
      <c r="LCE20" s="204"/>
      <c r="LCF20" s="204"/>
      <c r="LCG20" s="204"/>
      <c r="LCH20" s="204"/>
      <c r="LCI20" s="204"/>
      <c r="LCJ20" s="204"/>
      <c r="LCK20" s="204"/>
      <c r="LCL20" s="204"/>
      <c r="LCM20" s="204"/>
      <c r="LCN20" s="204"/>
      <c r="LCO20" s="204"/>
      <c r="LCP20" s="204"/>
      <c r="LCQ20" s="204"/>
      <c r="LCR20" s="204"/>
      <c r="LCS20" s="204"/>
      <c r="LCT20" s="204"/>
      <c r="LCU20" s="204"/>
      <c r="LCV20" s="204"/>
      <c r="LCW20" s="204"/>
      <c r="LCX20" s="204"/>
      <c r="LCY20" s="204"/>
      <c r="LCZ20" s="204"/>
      <c r="LDA20" s="204"/>
      <c r="LDB20" s="204"/>
      <c r="LDC20" s="204"/>
      <c r="LDD20" s="204"/>
      <c r="LDE20" s="204"/>
      <c r="LDF20" s="204"/>
      <c r="LDG20" s="204"/>
      <c r="LDH20" s="204"/>
      <c r="LDI20" s="204"/>
      <c r="LDJ20" s="204"/>
      <c r="LDK20" s="204"/>
      <c r="LDL20" s="204"/>
      <c r="LDM20" s="204"/>
      <c r="LDN20" s="204"/>
      <c r="LDO20" s="204"/>
      <c r="LDP20" s="204"/>
      <c r="LDQ20" s="204"/>
      <c r="LDR20" s="204"/>
      <c r="LDS20" s="204"/>
      <c r="LDT20" s="204"/>
      <c r="LDU20" s="204"/>
      <c r="LDV20" s="204"/>
      <c r="LDW20" s="204"/>
      <c r="LDX20" s="204"/>
      <c r="LDY20" s="204"/>
      <c r="LDZ20" s="204"/>
      <c r="LEA20" s="204"/>
      <c r="LEB20" s="204"/>
      <c r="LEC20" s="204"/>
      <c r="LED20" s="204"/>
      <c r="LEE20" s="204"/>
      <c r="LEF20" s="204"/>
      <c r="LEG20" s="204"/>
      <c r="LEH20" s="204"/>
      <c r="LEI20" s="204"/>
      <c r="LEJ20" s="204"/>
      <c r="LEK20" s="204"/>
      <c r="LEL20" s="204"/>
      <c r="LEM20" s="204"/>
      <c r="LEN20" s="204"/>
      <c r="LEO20" s="204"/>
      <c r="LEP20" s="204"/>
      <c r="LEQ20" s="204"/>
      <c r="LER20" s="204"/>
      <c r="LES20" s="204"/>
      <c r="LET20" s="204"/>
      <c r="LEU20" s="204"/>
      <c r="LEV20" s="204"/>
      <c r="LEW20" s="204"/>
      <c r="LEX20" s="204"/>
      <c r="LEY20" s="204"/>
      <c r="LEZ20" s="204"/>
      <c r="LFA20" s="204"/>
      <c r="LFB20" s="204"/>
      <c r="LFC20" s="204"/>
      <c r="LFD20" s="204"/>
      <c r="LFE20" s="204"/>
      <c r="LFF20" s="204"/>
      <c r="LFG20" s="204"/>
      <c r="LFH20" s="204"/>
      <c r="LFI20" s="204"/>
      <c r="LFJ20" s="204"/>
      <c r="LFK20" s="204"/>
      <c r="LFL20" s="204"/>
      <c r="LFM20" s="204"/>
      <c r="LFN20" s="204"/>
      <c r="LFO20" s="204"/>
      <c r="LFP20" s="204"/>
      <c r="LFQ20" s="204"/>
      <c r="LFR20" s="204"/>
      <c r="LFS20" s="204"/>
      <c r="LFT20" s="204"/>
      <c r="LFU20" s="204"/>
      <c r="LFV20" s="204"/>
      <c r="LFW20" s="204"/>
      <c r="LFX20" s="204"/>
      <c r="LFY20" s="204"/>
      <c r="LFZ20" s="204"/>
      <c r="LGA20" s="204"/>
      <c r="LGB20" s="204"/>
      <c r="LGC20" s="204"/>
      <c r="LGD20" s="204"/>
      <c r="LGE20" s="204"/>
      <c r="LGF20" s="204"/>
      <c r="LGG20" s="204"/>
      <c r="LGH20" s="204"/>
      <c r="LGI20" s="204"/>
      <c r="LGJ20" s="204"/>
      <c r="LGK20" s="204"/>
      <c r="LGL20" s="204"/>
      <c r="LGM20" s="204"/>
      <c r="LGN20" s="204"/>
      <c r="LGO20" s="204"/>
      <c r="LGP20" s="204"/>
      <c r="LGQ20" s="204"/>
      <c r="LGR20" s="204"/>
      <c r="LGS20" s="204"/>
      <c r="LGT20" s="204"/>
      <c r="LGU20" s="204"/>
      <c r="LGV20" s="204"/>
      <c r="LGW20" s="204"/>
      <c r="LGX20" s="204"/>
      <c r="LGY20" s="204"/>
      <c r="LGZ20" s="204"/>
      <c r="LHA20" s="204"/>
      <c r="LHB20" s="204"/>
      <c r="LHC20" s="204"/>
      <c r="LHD20" s="204"/>
      <c r="LHE20" s="204"/>
      <c r="LHF20" s="204"/>
      <c r="LHG20" s="204"/>
      <c r="LHH20" s="204"/>
      <c r="LHI20" s="204"/>
      <c r="LHJ20" s="204"/>
      <c r="LHK20" s="204"/>
      <c r="LHL20" s="204"/>
      <c r="LHM20" s="204"/>
      <c r="LHN20" s="204"/>
      <c r="LHO20" s="204"/>
      <c r="LHP20" s="204"/>
      <c r="LHQ20" s="204"/>
      <c r="LHR20" s="204"/>
      <c r="LHS20" s="204"/>
      <c r="LHT20" s="204"/>
      <c r="LHU20" s="204"/>
      <c r="LHV20" s="204"/>
      <c r="LHW20" s="204"/>
      <c r="LHX20" s="204"/>
      <c r="LHY20" s="204"/>
      <c r="LHZ20" s="204"/>
      <c r="LIA20" s="204"/>
      <c r="LIB20" s="204"/>
      <c r="LIC20" s="204"/>
      <c r="LID20" s="204"/>
      <c r="LIE20" s="204"/>
      <c r="LIF20" s="204"/>
      <c r="LIG20" s="204"/>
      <c r="LIH20" s="204"/>
      <c r="LII20" s="204"/>
      <c r="LIJ20" s="204"/>
      <c r="LIK20" s="204"/>
      <c r="LIL20" s="204"/>
      <c r="LIM20" s="204"/>
      <c r="LIN20" s="204"/>
      <c r="LIO20" s="204"/>
      <c r="LIP20" s="204"/>
      <c r="LIQ20" s="204"/>
      <c r="LIR20" s="204"/>
      <c r="LIS20" s="204"/>
      <c r="LIT20" s="204"/>
      <c r="LIU20" s="204"/>
      <c r="LIV20" s="204"/>
      <c r="LIW20" s="204"/>
      <c r="LIX20" s="204"/>
      <c r="LIY20" s="204"/>
      <c r="LIZ20" s="204"/>
      <c r="LJA20" s="204"/>
      <c r="LJB20" s="204"/>
      <c r="LJC20" s="204"/>
      <c r="LJD20" s="204"/>
      <c r="LJE20" s="204"/>
      <c r="LJF20" s="204"/>
      <c r="LJG20" s="204"/>
      <c r="LJH20" s="204"/>
      <c r="LJI20" s="204"/>
      <c r="LJJ20" s="204"/>
      <c r="LJK20" s="204"/>
      <c r="LJL20" s="204"/>
      <c r="LJM20" s="204"/>
      <c r="LJN20" s="204"/>
      <c r="LJO20" s="204"/>
      <c r="LJP20" s="204"/>
      <c r="LJQ20" s="204"/>
      <c r="LJR20" s="204"/>
      <c r="LJS20" s="204"/>
      <c r="LJT20" s="204"/>
      <c r="LJU20" s="204"/>
      <c r="LJV20" s="204"/>
      <c r="LJW20" s="204"/>
      <c r="LJX20" s="204"/>
      <c r="LJY20" s="204"/>
      <c r="LJZ20" s="204"/>
      <c r="LKA20" s="204"/>
      <c r="LKB20" s="204"/>
      <c r="LKC20" s="204"/>
      <c r="LKD20" s="204"/>
      <c r="LKE20" s="204"/>
      <c r="LKF20" s="204"/>
      <c r="LKG20" s="204"/>
      <c r="LKH20" s="204"/>
      <c r="LKI20" s="204"/>
      <c r="LKJ20" s="204"/>
      <c r="LKK20" s="204"/>
      <c r="LKL20" s="204"/>
      <c r="LKM20" s="204"/>
      <c r="LKN20" s="204"/>
      <c r="LKO20" s="204"/>
      <c r="LKP20" s="204"/>
      <c r="LKQ20" s="204"/>
      <c r="LKR20" s="204"/>
      <c r="LKS20" s="204"/>
      <c r="LKT20" s="204"/>
      <c r="LKU20" s="204"/>
      <c r="LKV20" s="204"/>
      <c r="LKW20" s="204"/>
      <c r="LKX20" s="204"/>
      <c r="LKY20" s="204"/>
      <c r="LKZ20" s="204"/>
      <c r="LLA20" s="204"/>
      <c r="LLB20" s="204"/>
      <c r="LLC20" s="204"/>
      <c r="LLD20" s="204"/>
      <c r="LLE20" s="204"/>
      <c r="LLF20" s="204"/>
      <c r="LLG20" s="204"/>
      <c r="LLH20" s="204"/>
      <c r="LLI20" s="204"/>
      <c r="LLJ20" s="204"/>
      <c r="LLK20" s="204"/>
      <c r="LLL20" s="204"/>
      <c r="LLM20" s="204"/>
      <c r="LLN20" s="204"/>
      <c r="LLO20" s="204"/>
      <c r="LLP20" s="204"/>
      <c r="LLQ20" s="204"/>
      <c r="LLR20" s="204"/>
      <c r="LLS20" s="204"/>
      <c r="LLT20" s="204"/>
      <c r="LLU20" s="204"/>
      <c r="LLV20" s="204"/>
      <c r="LLW20" s="204"/>
      <c r="LLX20" s="204"/>
      <c r="LLY20" s="204"/>
      <c r="LLZ20" s="204"/>
      <c r="LMA20" s="204"/>
      <c r="LMB20" s="204"/>
      <c r="LMC20" s="204"/>
      <c r="LMD20" s="204"/>
      <c r="LME20" s="204"/>
      <c r="LMF20" s="204"/>
      <c r="LMG20" s="204"/>
      <c r="LMH20" s="204"/>
      <c r="LMI20" s="204"/>
      <c r="LMJ20" s="204"/>
      <c r="LMK20" s="204"/>
      <c r="LML20" s="204"/>
      <c r="LMM20" s="204"/>
      <c r="LMN20" s="204"/>
      <c r="LMO20" s="204"/>
      <c r="LMP20" s="204"/>
      <c r="LMQ20" s="204"/>
      <c r="LMR20" s="204"/>
      <c r="LMS20" s="204"/>
      <c r="LMT20" s="204"/>
      <c r="LMU20" s="204"/>
      <c r="LMV20" s="204"/>
      <c r="LMW20" s="204"/>
      <c r="LMX20" s="204"/>
      <c r="LMY20" s="204"/>
      <c r="LMZ20" s="204"/>
      <c r="LNA20" s="204"/>
      <c r="LNB20" s="204"/>
      <c r="LNC20" s="204"/>
      <c r="LND20" s="204"/>
      <c r="LNE20" s="204"/>
      <c r="LNF20" s="204"/>
      <c r="LNG20" s="204"/>
      <c r="LNH20" s="204"/>
      <c r="LNI20" s="204"/>
      <c r="LNJ20" s="204"/>
      <c r="LNK20" s="204"/>
      <c r="LNL20" s="204"/>
      <c r="LNM20" s="204"/>
      <c r="LNN20" s="204"/>
      <c r="LNO20" s="204"/>
      <c r="LNP20" s="204"/>
      <c r="LNQ20" s="204"/>
      <c r="LNR20" s="204"/>
      <c r="LNS20" s="204"/>
      <c r="LNT20" s="204"/>
      <c r="LNU20" s="204"/>
      <c r="LNV20" s="204"/>
      <c r="LNW20" s="204"/>
      <c r="LNX20" s="204"/>
      <c r="LNY20" s="204"/>
      <c r="LNZ20" s="204"/>
      <c r="LOA20" s="204"/>
      <c r="LOB20" s="204"/>
      <c r="LOC20" s="204"/>
      <c r="LOD20" s="204"/>
      <c r="LOE20" s="204"/>
      <c r="LOF20" s="204"/>
      <c r="LOG20" s="204"/>
      <c r="LOH20" s="204"/>
      <c r="LOI20" s="204"/>
      <c r="LOJ20" s="204"/>
      <c r="LOK20" s="204"/>
      <c r="LOL20" s="204"/>
      <c r="LOM20" s="204"/>
      <c r="LON20" s="204"/>
      <c r="LOO20" s="204"/>
      <c r="LOP20" s="204"/>
      <c r="LOQ20" s="204"/>
      <c r="LOR20" s="204"/>
      <c r="LOS20" s="204"/>
      <c r="LOT20" s="204"/>
      <c r="LOU20" s="204"/>
      <c r="LOV20" s="204"/>
      <c r="LOW20" s="204"/>
      <c r="LOX20" s="204"/>
      <c r="LOY20" s="204"/>
      <c r="LOZ20" s="204"/>
      <c r="LPA20" s="204"/>
      <c r="LPB20" s="204"/>
      <c r="LPC20" s="204"/>
      <c r="LPD20" s="204"/>
      <c r="LPE20" s="204"/>
      <c r="LPF20" s="204"/>
      <c r="LPG20" s="204"/>
      <c r="LPH20" s="204"/>
      <c r="LPI20" s="204"/>
      <c r="LPJ20" s="204"/>
      <c r="LPK20" s="204"/>
      <c r="LPL20" s="204"/>
      <c r="LPM20" s="204"/>
      <c r="LPN20" s="204"/>
      <c r="LPO20" s="204"/>
      <c r="LPP20" s="204"/>
      <c r="LPQ20" s="204"/>
      <c r="LPR20" s="204"/>
      <c r="LPS20" s="204"/>
      <c r="LPT20" s="204"/>
      <c r="LPU20" s="204"/>
      <c r="LPV20" s="204"/>
      <c r="LPW20" s="204"/>
      <c r="LPX20" s="204"/>
      <c r="LPY20" s="204"/>
      <c r="LPZ20" s="204"/>
      <c r="LQA20" s="204"/>
      <c r="LQB20" s="204"/>
      <c r="LQC20" s="204"/>
      <c r="LQD20" s="204"/>
      <c r="LQE20" s="204"/>
      <c r="LQF20" s="204"/>
      <c r="LQG20" s="204"/>
      <c r="LQH20" s="204"/>
      <c r="LQI20" s="204"/>
      <c r="LQJ20" s="204"/>
      <c r="LQK20" s="204"/>
      <c r="LQL20" s="204"/>
      <c r="LQM20" s="204"/>
      <c r="LQN20" s="204"/>
      <c r="LQO20" s="204"/>
      <c r="LQP20" s="204"/>
      <c r="LQQ20" s="204"/>
      <c r="LQR20" s="204"/>
      <c r="LQS20" s="204"/>
      <c r="LQT20" s="204"/>
      <c r="LQU20" s="204"/>
      <c r="LQV20" s="204"/>
      <c r="LQW20" s="204"/>
      <c r="LQX20" s="204"/>
      <c r="LQY20" s="204"/>
      <c r="LQZ20" s="204"/>
      <c r="LRA20" s="204"/>
      <c r="LRB20" s="204"/>
      <c r="LRC20" s="204"/>
      <c r="LRD20" s="204"/>
      <c r="LRE20" s="204"/>
      <c r="LRF20" s="204"/>
      <c r="LRG20" s="204"/>
      <c r="LRH20" s="204"/>
      <c r="LRI20" s="204"/>
      <c r="LRJ20" s="204"/>
      <c r="LRK20" s="204"/>
      <c r="LRL20" s="204"/>
      <c r="LRM20" s="204"/>
      <c r="LRN20" s="204"/>
      <c r="LRO20" s="204"/>
      <c r="LRP20" s="204"/>
      <c r="LRQ20" s="204"/>
      <c r="LRR20" s="204"/>
      <c r="LRS20" s="204"/>
      <c r="LRT20" s="204"/>
      <c r="LRU20" s="204"/>
      <c r="LRV20" s="204"/>
      <c r="LRW20" s="204"/>
      <c r="LRX20" s="204"/>
      <c r="LRY20" s="204"/>
      <c r="LRZ20" s="204"/>
      <c r="LSA20" s="204"/>
      <c r="LSB20" s="204"/>
      <c r="LSC20" s="204"/>
      <c r="LSD20" s="204"/>
      <c r="LSE20" s="204"/>
      <c r="LSF20" s="204"/>
      <c r="LSG20" s="204"/>
      <c r="LSH20" s="204"/>
      <c r="LSI20" s="204"/>
      <c r="LSJ20" s="204"/>
      <c r="LSK20" s="204"/>
      <c r="LSL20" s="204"/>
      <c r="LSM20" s="204"/>
      <c r="LSN20" s="204"/>
      <c r="LSO20" s="204"/>
      <c r="LSP20" s="204"/>
      <c r="LSQ20" s="204"/>
      <c r="LSR20" s="204"/>
      <c r="LSS20" s="204"/>
      <c r="LST20" s="204"/>
      <c r="LSU20" s="204"/>
      <c r="LSV20" s="204"/>
      <c r="LSW20" s="204"/>
      <c r="LSX20" s="204"/>
      <c r="LSY20" s="204"/>
      <c r="LSZ20" s="204"/>
      <c r="LTA20" s="204"/>
      <c r="LTB20" s="204"/>
      <c r="LTC20" s="204"/>
      <c r="LTD20" s="204"/>
      <c r="LTE20" s="204"/>
      <c r="LTF20" s="204"/>
      <c r="LTG20" s="204"/>
      <c r="LTH20" s="204"/>
      <c r="LTI20" s="204"/>
      <c r="LTJ20" s="204"/>
      <c r="LTK20" s="204"/>
      <c r="LTL20" s="204"/>
      <c r="LTM20" s="204"/>
      <c r="LTN20" s="204"/>
      <c r="LTO20" s="204"/>
      <c r="LTP20" s="204"/>
      <c r="LTQ20" s="204"/>
      <c r="LTR20" s="204"/>
      <c r="LTS20" s="204"/>
      <c r="LTT20" s="204"/>
      <c r="LTU20" s="204"/>
      <c r="LTV20" s="204"/>
      <c r="LTW20" s="204"/>
      <c r="LTX20" s="204"/>
      <c r="LTY20" s="204"/>
      <c r="LTZ20" s="204"/>
      <c r="LUA20" s="204"/>
      <c r="LUB20" s="204"/>
      <c r="LUC20" s="204"/>
      <c r="LUD20" s="204"/>
      <c r="LUE20" s="204"/>
      <c r="LUF20" s="204"/>
      <c r="LUG20" s="204"/>
      <c r="LUH20" s="204"/>
      <c r="LUI20" s="204"/>
      <c r="LUJ20" s="204"/>
      <c r="LUK20" s="204"/>
      <c r="LUL20" s="204"/>
      <c r="LUM20" s="204"/>
      <c r="LUN20" s="204"/>
      <c r="LUO20" s="204"/>
      <c r="LUP20" s="204"/>
      <c r="LUQ20" s="204"/>
      <c r="LUR20" s="204"/>
      <c r="LUS20" s="204"/>
      <c r="LUT20" s="204"/>
      <c r="LUU20" s="204"/>
      <c r="LUV20" s="204"/>
      <c r="LUW20" s="204"/>
      <c r="LUX20" s="204"/>
      <c r="LUY20" s="204"/>
      <c r="LUZ20" s="204"/>
      <c r="LVA20" s="204"/>
      <c r="LVB20" s="204"/>
      <c r="LVC20" s="204"/>
      <c r="LVD20" s="204"/>
      <c r="LVE20" s="204"/>
      <c r="LVF20" s="204"/>
      <c r="LVG20" s="204"/>
      <c r="LVH20" s="204"/>
      <c r="LVI20" s="204"/>
      <c r="LVJ20" s="204"/>
      <c r="LVK20" s="204"/>
      <c r="LVL20" s="204"/>
      <c r="LVM20" s="204"/>
      <c r="LVN20" s="204"/>
      <c r="LVO20" s="204"/>
      <c r="LVP20" s="204"/>
      <c r="LVQ20" s="204"/>
      <c r="LVR20" s="204"/>
      <c r="LVS20" s="204"/>
      <c r="LVT20" s="204"/>
      <c r="LVU20" s="204"/>
      <c r="LVV20" s="204"/>
      <c r="LVW20" s="204"/>
      <c r="LVX20" s="204"/>
      <c r="LVY20" s="204"/>
      <c r="LVZ20" s="204"/>
      <c r="LWA20" s="204"/>
      <c r="LWB20" s="204"/>
      <c r="LWC20" s="204"/>
      <c r="LWD20" s="204"/>
      <c r="LWE20" s="204"/>
      <c r="LWF20" s="204"/>
      <c r="LWG20" s="204"/>
      <c r="LWH20" s="204"/>
      <c r="LWI20" s="204"/>
      <c r="LWJ20" s="204"/>
      <c r="LWK20" s="204"/>
      <c r="LWL20" s="204"/>
      <c r="LWM20" s="204"/>
      <c r="LWN20" s="204"/>
      <c r="LWO20" s="204"/>
      <c r="LWP20" s="204"/>
      <c r="LWQ20" s="204"/>
      <c r="LWR20" s="204"/>
      <c r="LWS20" s="204"/>
      <c r="LWT20" s="204"/>
      <c r="LWU20" s="204"/>
      <c r="LWV20" s="204"/>
      <c r="LWW20" s="204"/>
      <c r="LWX20" s="204"/>
      <c r="LWY20" s="204"/>
      <c r="LWZ20" s="204"/>
      <c r="LXA20" s="204"/>
      <c r="LXB20" s="204"/>
      <c r="LXC20" s="204"/>
      <c r="LXD20" s="204"/>
      <c r="LXE20" s="204"/>
      <c r="LXF20" s="204"/>
      <c r="LXG20" s="204"/>
      <c r="LXH20" s="204"/>
      <c r="LXI20" s="204"/>
      <c r="LXJ20" s="204"/>
      <c r="LXK20" s="204"/>
      <c r="LXL20" s="204"/>
      <c r="LXM20" s="204"/>
      <c r="LXN20" s="204"/>
      <c r="LXO20" s="204"/>
      <c r="LXP20" s="204"/>
      <c r="LXQ20" s="204"/>
      <c r="LXR20" s="204"/>
      <c r="LXS20" s="204"/>
      <c r="LXT20" s="204"/>
      <c r="LXU20" s="204"/>
      <c r="LXV20" s="204"/>
      <c r="LXW20" s="204"/>
      <c r="LXX20" s="204"/>
      <c r="LXY20" s="204"/>
      <c r="LXZ20" s="204"/>
      <c r="LYA20" s="204"/>
      <c r="LYB20" s="204"/>
      <c r="LYC20" s="204"/>
      <c r="LYD20" s="204"/>
      <c r="LYE20" s="204"/>
      <c r="LYF20" s="204"/>
      <c r="LYG20" s="204"/>
      <c r="LYH20" s="204"/>
      <c r="LYI20" s="204"/>
      <c r="LYJ20" s="204"/>
      <c r="LYK20" s="204"/>
      <c r="LYL20" s="204"/>
      <c r="LYM20" s="204"/>
      <c r="LYN20" s="204"/>
      <c r="LYO20" s="204"/>
      <c r="LYP20" s="204"/>
      <c r="LYQ20" s="204"/>
      <c r="LYR20" s="204"/>
      <c r="LYS20" s="204"/>
      <c r="LYT20" s="204"/>
      <c r="LYU20" s="204"/>
      <c r="LYV20" s="204"/>
      <c r="LYW20" s="204"/>
      <c r="LYX20" s="204"/>
      <c r="LYY20" s="204"/>
      <c r="LYZ20" s="204"/>
      <c r="LZA20" s="204"/>
      <c r="LZB20" s="204"/>
      <c r="LZC20" s="204"/>
      <c r="LZD20" s="204"/>
      <c r="LZE20" s="204"/>
      <c r="LZF20" s="204"/>
      <c r="LZG20" s="204"/>
      <c r="LZH20" s="204"/>
      <c r="LZI20" s="204"/>
      <c r="LZJ20" s="204"/>
      <c r="LZK20" s="204"/>
      <c r="LZL20" s="204"/>
      <c r="LZM20" s="204"/>
      <c r="LZN20" s="204"/>
      <c r="LZO20" s="204"/>
      <c r="LZP20" s="204"/>
      <c r="LZQ20" s="204"/>
      <c r="LZR20" s="204"/>
      <c r="LZS20" s="204"/>
      <c r="LZT20" s="204"/>
      <c r="LZU20" s="204"/>
      <c r="LZV20" s="204"/>
      <c r="LZW20" s="204"/>
      <c r="LZX20" s="204"/>
      <c r="LZY20" s="204"/>
      <c r="LZZ20" s="204"/>
      <c r="MAA20" s="204"/>
      <c r="MAB20" s="204"/>
      <c r="MAC20" s="204"/>
      <c r="MAD20" s="204"/>
      <c r="MAE20" s="204"/>
      <c r="MAF20" s="204"/>
      <c r="MAG20" s="204"/>
      <c r="MAH20" s="204"/>
      <c r="MAI20" s="204"/>
      <c r="MAJ20" s="204"/>
      <c r="MAK20" s="204"/>
      <c r="MAL20" s="204"/>
      <c r="MAM20" s="204"/>
      <c r="MAN20" s="204"/>
      <c r="MAO20" s="204"/>
      <c r="MAP20" s="204"/>
      <c r="MAQ20" s="204"/>
      <c r="MAR20" s="204"/>
      <c r="MAS20" s="204"/>
      <c r="MAT20" s="204"/>
      <c r="MAU20" s="204"/>
      <c r="MAV20" s="204"/>
      <c r="MAW20" s="204"/>
      <c r="MAX20" s="204"/>
      <c r="MAY20" s="204"/>
      <c r="MAZ20" s="204"/>
      <c r="MBA20" s="204"/>
      <c r="MBB20" s="204"/>
      <c r="MBC20" s="204"/>
      <c r="MBD20" s="204"/>
      <c r="MBE20" s="204"/>
      <c r="MBF20" s="204"/>
      <c r="MBG20" s="204"/>
      <c r="MBH20" s="204"/>
      <c r="MBI20" s="204"/>
      <c r="MBJ20" s="204"/>
      <c r="MBK20" s="204"/>
      <c r="MBL20" s="204"/>
      <c r="MBM20" s="204"/>
      <c r="MBN20" s="204"/>
      <c r="MBO20" s="204"/>
      <c r="MBP20" s="204"/>
      <c r="MBQ20" s="204"/>
      <c r="MBR20" s="204"/>
      <c r="MBS20" s="204"/>
      <c r="MBT20" s="204"/>
      <c r="MBU20" s="204"/>
      <c r="MBV20" s="204"/>
      <c r="MBW20" s="204"/>
      <c r="MBX20" s="204"/>
      <c r="MBY20" s="204"/>
      <c r="MBZ20" s="204"/>
      <c r="MCA20" s="204"/>
      <c r="MCB20" s="204"/>
      <c r="MCC20" s="204"/>
      <c r="MCD20" s="204"/>
      <c r="MCE20" s="204"/>
      <c r="MCF20" s="204"/>
      <c r="MCG20" s="204"/>
      <c r="MCH20" s="204"/>
      <c r="MCI20" s="204"/>
      <c r="MCJ20" s="204"/>
      <c r="MCK20" s="204"/>
      <c r="MCL20" s="204"/>
      <c r="MCM20" s="204"/>
      <c r="MCN20" s="204"/>
      <c r="MCO20" s="204"/>
      <c r="MCP20" s="204"/>
      <c r="MCQ20" s="204"/>
      <c r="MCR20" s="204"/>
      <c r="MCS20" s="204"/>
      <c r="MCT20" s="204"/>
      <c r="MCU20" s="204"/>
      <c r="MCV20" s="204"/>
      <c r="MCW20" s="204"/>
      <c r="MCX20" s="204"/>
      <c r="MCY20" s="204"/>
      <c r="MCZ20" s="204"/>
      <c r="MDA20" s="204"/>
      <c r="MDB20" s="204"/>
      <c r="MDC20" s="204"/>
      <c r="MDD20" s="204"/>
      <c r="MDE20" s="204"/>
      <c r="MDF20" s="204"/>
      <c r="MDG20" s="204"/>
      <c r="MDH20" s="204"/>
      <c r="MDI20" s="204"/>
      <c r="MDJ20" s="204"/>
      <c r="MDK20" s="204"/>
      <c r="MDL20" s="204"/>
      <c r="MDM20" s="204"/>
      <c r="MDN20" s="204"/>
      <c r="MDO20" s="204"/>
      <c r="MDP20" s="204"/>
      <c r="MDQ20" s="204"/>
      <c r="MDR20" s="204"/>
      <c r="MDS20" s="204"/>
      <c r="MDT20" s="204"/>
      <c r="MDU20" s="204"/>
      <c r="MDV20" s="204"/>
      <c r="MDW20" s="204"/>
      <c r="MDX20" s="204"/>
      <c r="MDY20" s="204"/>
      <c r="MDZ20" s="204"/>
      <c r="MEA20" s="204"/>
      <c r="MEB20" s="204"/>
      <c r="MEC20" s="204"/>
      <c r="MED20" s="204"/>
      <c r="MEE20" s="204"/>
      <c r="MEF20" s="204"/>
      <c r="MEG20" s="204"/>
      <c r="MEH20" s="204"/>
      <c r="MEI20" s="204"/>
      <c r="MEJ20" s="204"/>
      <c r="MEK20" s="204"/>
      <c r="MEL20" s="204"/>
      <c r="MEM20" s="204"/>
      <c r="MEN20" s="204"/>
      <c r="MEO20" s="204"/>
      <c r="MEP20" s="204"/>
      <c r="MEQ20" s="204"/>
      <c r="MER20" s="204"/>
      <c r="MES20" s="204"/>
      <c r="MET20" s="204"/>
      <c r="MEU20" s="204"/>
      <c r="MEV20" s="204"/>
      <c r="MEW20" s="204"/>
      <c r="MEX20" s="204"/>
      <c r="MEY20" s="204"/>
      <c r="MEZ20" s="204"/>
      <c r="MFA20" s="204"/>
      <c r="MFB20" s="204"/>
      <c r="MFC20" s="204"/>
      <c r="MFD20" s="204"/>
      <c r="MFE20" s="204"/>
      <c r="MFF20" s="204"/>
      <c r="MFG20" s="204"/>
      <c r="MFH20" s="204"/>
      <c r="MFI20" s="204"/>
      <c r="MFJ20" s="204"/>
      <c r="MFK20" s="204"/>
      <c r="MFL20" s="204"/>
      <c r="MFM20" s="204"/>
      <c r="MFN20" s="204"/>
      <c r="MFO20" s="204"/>
      <c r="MFP20" s="204"/>
      <c r="MFQ20" s="204"/>
      <c r="MFR20" s="204"/>
      <c r="MFS20" s="204"/>
      <c r="MFT20" s="204"/>
      <c r="MFU20" s="204"/>
      <c r="MFV20" s="204"/>
      <c r="MFW20" s="204"/>
      <c r="MFX20" s="204"/>
      <c r="MFY20" s="204"/>
      <c r="MFZ20" s="204"/>
      <c r="MGA20" s="204"/>
      <c r="MGB20" s="204"/>
      <c r="MGC20" s="204"/>
      <c r="MGD20" s="204"/>
      <c r="MGE20" s="204"/>
      <c r="MGF20" s="204"/>
      <c r="MGG20" s="204"/>
      <c r="MGH20" s="204"/>
      <c r="MGI20" s="204"/>
      <c r="MGJ20" s="204"/>
      <c r="MGK20" s="204"/>
      <c r="MGL20" s="204"/>
      <c r="MGM20" s="204"/>
      <c r="MGN20" s="204"/>
      <c r="MGO20" s="204"/>
      <c r="MGP20" s="204"/>
      <c r="MGQ20" s="204"/>
      <c r="MGR20" s="204"/>
      <c r="MGS20" s="204"/>
      <c r="MGT20" s="204"/>
      <c r="MGU20" s="204"/>
      <c r="MGV20" s="204"/>
      <c r="MGW20" s="204"/>
      <c r="MGX20" s="204"/>
      <c r="MGY20" s="204"/>
      <c r="MGZ20" s="204"/>
      <c r="MHA20" s="204"/>
      <c r="MHB20" s="204"/>
      <c r="MHC20" s="204"/>
      <c r="MHD20" s="204"/>
      <c r="MHE20" s="204"/>
      <c r="MHF20" s="204"/>
      <c r="MHG20" s="204"/>
      <c r="MHH20" s="204"/>
      <c r="MHI20" s="204"/>
      <c r="MHJ20" s="204"/>
      <c r="MHK20" s="204"/>
      <c r="MHL20" s="204"/>
      <c r="MHM20" s="204"/>
      <c r="MHN20" s="204"/>
      <c r="MHO20" s="204"/>
      <c r="MHP20" s="204"/>
      <c r="MHQ20" s="204"/>
      <c r="MHR20" s="204"/>
      <c r="MHS20" s="204"/>
      <c r="MHT20" s="204"/>
      <c r="MHU20" s="204"/>
      <c r="MHV20" s="204"/>
      <c r="MHW20" s="204"/>
      <c r="MHX20" s="204"/>
      <c r="MHY20" s="204"/>
      <c r="MHZ20" s="204"/>
      <c r="MIA20" s="204"/>
      <c r="MIB20" s="204"/>
      <c r="MIC20" s="204"/>
      <c r="MID20" s="204"/>
      <c r="MIE20" s="204"/>
      <c r="MIF20" s="204"/>
      <c r="MIG20" s="204"/>
      <c r="MIH20" s="204"/>
      <c r="MII20" s="204"/>
      <c r="MIJ20" s="204"/>
      <c r="MIK20" s="204"/>
      <c r="MIL20" s="204"/>
      <c r="MIM20" s="204"/>
      <c r="MIN20" s="204"/>
      <c r="MIO20" s="204"/>
      <c r="MIP20" s="204"/>
      <c r="MIQ20" s="204"/>
      <c r="MIR20" s="204"/>
      <c r="MIS20" s="204"/>
      <c r="MIT20" s="204"/>
      <c r="MIU20" s="204"/>
      <c r="MIV20" s="204"/>
      <c r="MIW20" s="204"/>
      <c r="MIX20" s="204"/>
      <c r="MIY20" s="204"/>
      <c r="MIZ20" s="204"/>
      <c r="MJA20" s="204"/>
      <c r="MJB20" s="204"/>
      <c r="MJC20" s="204"/>
      <c r="MJD20" s="204"/>
      <c r="MJE20" s="204"/>
      <c r="MJF20" s="204"/>
      <c r="MJG20" s="204"/>
      <c r="MJH20" s="204"/>
      <c r="MJI20" s="204"/>
      <c r="MJJ20" s="204"/>
      <c r="MJK20" s="204"/>
      <c r="MJL20" s="204"/>
      <c r="MJM20" s="204"/>
      <c r="MJN20" s="204"/>
      <c r="MJO20" s="204"/>
      <c r="MJP20" s="204"/>
      <c r="MJQ20" s="204"/>
      <c r="MJR20" s="204"/>
      <c r="MJS20" s="204"/>
      <c r="MJT20" s="204"/>
      <c r="MJU20" s="204"/>
      <c r="MJV20" s="204"/>
      <c r="MJW20" s="204"/>
      <c r="MJX20" s="204"/>
      <c r="MJY20" s="204"/>
      <c r="MJZ20" s="204"/>
      <c r="MKA20" s="204"/>
      <c r="MKB20" s="204"/>
      <c r="MKC20" s="204"/>
      <c r="MKD20" s="204"/>
      <c r="MKE20" s="204"/>
      <c r="MKF20" s="204"/>
      <c r="MKG20" s="204"/>
      <c r="MKH20" s="204"/>
      <c r="MKI20" s="204"/>
      <c r="MKJ20" s="204"/>
      <c r="MKK20" s="204"/>
      <c r="MKL20" s="204"/>
      <c r="MKM20" s="204"/>
      <c r="MKN20" s="204"/>
      <c r="MKO20" s="204"/>
      <c r="MKP20" s="204"/>
      <c r="MKQ20" s="204"/>
      <c r="MKR20" s="204"/>
      <c r="MKS20" s="204"/>
      <c r="MKT20" s="204"/>
      <c r="MKU20" s="204"/>
      <c r="MKV20" s="204"/>
      <c r="MKW20" s="204"/>
      <c r="MKX20" s="204"/>
      <c r="MKY20" s="204"/>
      <c r="MKZ20" s="204"/>
      <c r="MLA20" s="204"/>
      <c r="MLB20" s="204"/>
      <c r="MLC20" s="204"/>
      <c r="MLD20" s="204"/>
      <c r="MLE20" s="204"/>
      <c r="MLF20" s="204"/>
      <c r="MLG20" s="204"/>
      <c r="MLH20" s="204"/>
      <c r="MLI20" s="204"/>
      <c r="MLJ20" s="204"/>
      <c r="MLK20" s="204"/>
      <c r="MLL20" s="204"/>
      <c r="MLM20" s="204"/>
      <c r="MLN20" s="204"/>
      <c r="MLO20" s="204"/>
      <c r="MLP20" s="204"/>
      <c r="MLQ20" s="204"/>
      <c r="MLR20" s="204"/>
      <c r="MLS20" s="204"/>
      <c r="MLT20" s="204"/>
      <c r="MLU20" s="204"/>
      <c r="MLV20" s="204"/>
      <c r="MLW20" s="204"/>
      <c r="MLX20" s="204"/>
      <c r="MLY20" s="204"/>
      <c r="MLZ20" s="204"/>
      <c r="MMA20" s="204"/>
      <c r="MMB20" s="204"/>
      <c r="MMC20" s="204"/>
      <c r="MMD20" s="204"/>
      <c r="MME20" s="204"/>
      <c r="MMF20" s="204"/>
      <c r="MMG20" s="204"/>
      <c r="MMH20" s="204"/>
      <c r="MMI20" s="204"/>
      <c r="MMJ20" s="204"/>
      <c r="MMK20" s="204"/>
      <c r="MML20" s="204"/>
      <c r="MMM20" s="204"/>
      <c r="MMN20" s="204"/>
      <c r="MMO20" s="204"/>
      <c r="MMP20" s="204"/>
      <c r="MMQ20" s="204"/>
      <c r="MMR20" s="204"/>
      <c r="MMS20" s="204"/>
      <c r="MMT20" s="204"/>
      <c r="MMU20" s="204"/>
      <c r="MMV20" s="204"/>
      <c r="MMW20" s="204"/>
      <c r="MMX20" s="204"/>
      <c r="MMY20" s="204"/>
      <c r="MMZ20" s="204"/>
      <c r="MNA20" s="204"/>
      <c r="MNB20" s="204"/>
      <c r="MNC20" s="204"/>
      <c r="MND20" s="204"/>
      <c r="MNE20" s="204"/>
      <c r="MNF20" s="204"/>
      <c r="MNG20" s="204"/>
      <c r="MNH20" s="204"/>
      <c r="MNI20" s="204"/>
      <c r="MNJ20" s="204"/>
      <c r="MNK20" s="204"/>
      <c r="MNL20" s="204"/>
      <c r="MNM20" s="204"/>
      <c r="MNN20" s="204"/>
      <c r="MNO20" s="204"/>
      <c r="MNP20" s="204"/>
      <c r="MNQ20" s="204"/>
      <c r="MNR20" s="204"/>
      <c r="MNS20" s="204"/>
      <c r="MNT20" s="204"/>
      <c r="MNU20" s="204"/>
      <c r="MNV20" s="204"/>
      <c r="MNW20" s="204"/>
      <c r="MNX20" s="204"/>
      <c r="MNY20" s="204"/>
      <c r="MNZ20" s="204"/>
      <c r="MOA20" s="204"/>
      <c r="MOB20" s="204"/>
      <c r="MOC20" s="204"/>
      <c r="MOD20" s="204"/>
      <c r="MOE20" s="204"/>
      <c r="MOF20" s="204"/>
      <c r="MOG20" s="204"/>
      <c r="MOH20" s="204"/>
      <c r="MOI20" s="204"/>
      <c r="MOJ20" s="204"/>
      <c r="MOK20" s="204"/>
      <c r="MOL20" s="204"/>
      <c r="MOM20" s="204"/>
      <c r="MON20" s="204"/>
      <c r="MOO20" s="204"/>
      <c r="MOP20" s="204"/>
      <c r="MOQ20" s="204"/>
      <c r="MOR20" s="204"/>
      <c r="MOS20" s="204"/>
      <c r="MOT20" s="204"/>
      <c r="MOU20" s="204"/>
      <c r="MOV20" s="204"/>
      <c r="MOW20" s="204"/>
      <c r="MOX20" s="204"/>
      <c r="MOY20" s="204"/>
      <c r="MOZ20" s="204"/>
      <c r="MPA20" s="204"/>
      <c r="MPB20" s="204"/>
      <c r="MPC20" s="204"/>
      <c r="MPD20" s="204"/>
      <c r="MPE20" s="204"/>
      <c r="MPF20" s="204"/>
      <c r="MPG20" s="204"/>
      <c r="MPH20" s="204"/>
      <c r="MPI20" s="204"/>
      <c r="MPJ20" s="204"/>
      <c r="MPK20" s="204"/>
      <c r="MPL20" s="204"/>
      <c r="MPM20" s="204"/>
      <c r="MPN20" s="204"/>
      <c r="MPO20" s="204"/>
      <c r="MPP20" s="204"/>
      <c r="MPQ20" s="204"/>
      <c r="MPR20" s="204"/>
      <c r="MPS20" s="204"/>
      <c r="MPT20" s="204"/>
      <c r="MPU20" s="204"/>
      <c r="MPV20" s="204"/>
      <c r="MPW20" s="204"/>
      <c r="MPX20" s="204"/>
      <c r="MPY20" s="204"/>
      <c r="MPZ20" s="204"/>
      <c r="MQA20" s="204"/>
      <c r="MQB20" s="204"/>
      <c r="MQC20" s="204"/>
      <c r="MQD20" s="204"/>
      <c r="MQE20" s="204"/>
      <c r="MQF20" s="204"/>
      <c r="MQG20" s="204"/>
      <c r="MQH20" s="204"/>
      <c r="MQI20" s="204"/>
      <c r="MQJ20" s="204"/>
      <c r="MQK20" s="204"/>
      <c r="MQL20" s="204"/>
      <c r="MQM20" s="204"/>
      <c r="MQN20" s="204"/>
      <c r="MQO20" s="204"/>
      <c r="MQP20" s="204"/>
      <c r="MQQ20" s="204"/>
      <c r="MQR20" s="204"/>
      <c r="MQS20" s="204"/>
      <c r="MQT20" s="204"/>
      <c r="MQU20" s="204"/>
      <c r="MQV20" s="204"/>
      <c r="MQW20" s="204"/>
      <c r="MQX20" s="204"/>
      <c r="MQY20" s="204"/>
      <c r="MQZ20" s="204"/>
      <c r="MRA20" s="204"/>
      <c r="MRB20" s="204"/>
      <c r="MRC20" s="204"/>
      <c r="MRD20" s="204"/>
      <c r="MRE20" s="204"/>
      <c r="MRF20" s="204"/>
      <c r="MRG20" s="204"/>
      <c r="MRH20" s="204"/>
      <c r="MRI20" s="204"/>
      <c r="MRJ20" s="204"/>
      <c r="MRK20" s="204"/>
      <c r="MRL20" s="204"/>
      <c r="MRM20" s="204"/>
      <c r="MRN20" s="204"/>
      <c r="MRO20" s="204"/>
      <c r="MRP20" s="204"/>
      <c r="MRQ20" s="204"/>
      <c r="MRR20" s="204"/>
      <c r="MRS20" s="204"/>
      <c r="MRT20" s="204"/>
      <c r="MRU20" s="204"/>
      <c r="MRV20" s="204"/>
      <c r="MRW20" s="204"/>
      <c r="MRX20" s="204"/>
      <c r="MRY20" s="204"/>
      <c r="MRZ20" s="204"/>
      <c r="MSA20" s="204"/>
      <c r="MSB20" s="204"/>
      <c r="MSC20" s="204"/>
      <c r="MSD20" s="204"/>
      <c r="MSE20" s="204"/>
      <c r="MSF20" s="204"/>
      <c r="MSG20" s="204"/>
      <c r="MSH20" s="204"/>
      <c r="MSI20" s="204"/>
      <c r="MSJ20" s="204"/>
      <c r="MSK20" s="204"/>
      <c r="MSL20" s="204"/>
      <c r="MSM20" s="204"/>
      <c r="MSN20" s="204"/>
      <c r="MSO20" s="204"/>
      <c r="MSP20" s="204"/>
      <c r="MSQ20" s="204"/>
      <c r="MSR20" s="204"/>
      <c r="MSS20" s="204"/>
      <c r="MST20" s="204"/>
      <c r="MSU20" s="204"/>
      <c r="MSV20" s="204"/>
      <c r="MSW20" s="204"/>
      <c r="MSX20" s="204"/>
      <c r="MSY20" s="204"/>
      <c r="MSZ20" s="204"/>
      <c r="MTA20" s="204"/>
      <c r="MTB20" s="204"/>
      <c r="MTC20" s="204"/>
      <c r="MTD20" s="204"/>
      <c r="MTE20" s="204"/>
      <c r="MTF20" s="204"/>
      <c r="MTG20" s="204"/>
      <c r="MTH20" s="204"/>
      <c r="MTI20" s="204"/>
      <c r="MTJ20" s="204"/>
      <c r="MTK20" s="204"/>
      <c r="MTL20" s="204"/>
      <c r="MTM20" s="204"/>
      <c r="MTN20" s="204"/>
      <c r="MTO20" s="204"/>
      <c r="MTP20" s="204"/>
      <c r="MTQ20" s="204"/>
      <c r="MTR20" s="204"/>
      <c r="MTS20" s="204"/>
      <c r="MTT20" s="204"/>
      <c r="MTU20" s="204"/>
      <c r="MTV20" s="204"/>
      <c r="MTW20" s="204"/>
      <c r="MTX20" s="204"/>
      <c r="MTY20" s="204"/>
      <c r="MTZ20" s="204"/>
      <c r="MUA20" s="204"/>
      <c r="MUB20" s="204"/>
      <c r="MUC20" s="204"/>
      <c r="MUD20" s="204"/>
      <c r="MUE20" s="204"/>
      <c r="MUF20" s="204"/>
      <c r="MUG20" s="204"/>
      <c r="MUH20" s="204"/>
      <c r="MUI20" s="204"/>
      <c r="MUJ20" s="204"/>
      <c r="MUK20" s="204"/>
      <c r="MUL20" s="204"/>
      <c r="MUM20" s="204"/>
      <c r="MUN20" s="204"/>
      <c r="MUO20" s="204"/>
      <c r="MUP20" s="204"/>
      <c r="MUQ20" s="204"/>
      <c r="MUR20" s="204"/>
      <c r="MUS20" s="204"/>
      <c r="MUT20" s="204"/>
      <c r="MUU20" s="204"/>
      <c r="MUV20" s="204"/>
      <c r="MUW20" s="204"/>
      <c r="MUX20" s="204"/>
      <c r="MUY20" s="204"/>
      <c r="MUZ20" s="204"/>
      <c r="MVA20" s="204"/>
      <c r="MVB20" s="204"/>
      <c r="MVC20" s="204"/>
      <c r="MVD20" s="204"/>
      <c r="MVE20" s="204"/>
      <c r="MVF20" s="204"/>
      <c r="MVG20" s="204"/>
      <c r="MVH20" s="204"/>
      <c r="MVI20" s="204"/>
      <c r="MVJ20" s="204"/>
      <c r="MVK20" s="204"/>
      <c r="MVL20" s="204"/>
      <c r="MVM20" s="204"/>
      <c r="MVN20" s="204"/>
      <c r="MVO20" s="204"/>
      <c r="MVP20" s="204"/>
      <c r="MVQ20" s="204"/>
      <c r="MVR20" s="204"/>
      <c r="MVS20" s="204"/>
      <c r="MVT20" s="204"/>
      <c r="MVU20" s="204"/>
      <c r="MVV20" s="204"/>
      <c r="MVW20" s="204"/>
      <c r="MVX20" s="204"/>
      <c r="MVY20" s="204"/>
      <c r="MVZ20" s="204"/>
      <c r="MWA20" s="204"/>
      <c r="MWB20" s="204"/>
      <c r="MWC20" s="204"/>
      <c r="MWD20" s="204"/>
      <c r="MWE20" s="204"/>
      <c r="MWF20" s="204"/>
      <c r="MWG20" s="204"/>
      <c r="MWH20" s="204"/>
      <c r="MWI20" s="204"/>
      <c r="MWJ20" s="204"/>
      <c r="MWK20" s="204"/>
      <c r="MWL20" s="204"/>
      <c r="MWM20" s="204"/>
      <c r="MWN20" s="204"/>
      <c r="MWO20" s="204"/>
      <c r="MWP20" s="204"/>
      <c r="MWQ20" s="204"/>
      <c r="MWR20" s="204"/>
      <c r="MWS20" s="204"/>
      <c r="MWT20" s="204"/>
      <c r="MWU20" s="204"/>
      <c r="MWV20" s="204"/>
      <c r="MWW20" s="204"/>
      <c r="MWX20" s="204"/>
      <c r="MWY20" s="204"/>
      <c r="MWZ20" s="204"/>
      <c r="MXA20" s="204"/>
      <c r="MXB20" s="204"/>
      <c r="MXC20" s="204"/>
      <c r="MXD20" s="204"/>
      <c r="MXE20" s="204"/>
      <c r="MXF20" s="204"/>
      <c r="MXG20" s="204"/>
      <c r="MXH20" s="204"/>
      <c r="MXI20" s="204"/>
      <c r="MXJ20" s="204"/>
      <c r="MXK20" s="204"/>
      <c r="MXL20" s="204"/>
      <c r="MXM20" s="204"/>
      <c r="MXN20" s="204"/>
      <c r="MXO20" s="204"/>
      <c r="MXP20" s="204"/>
      <c r="MXQ20" s="204"/>
      <c r="MXR20" s="204"/>
      <c r="MXS20" s="204"/>
      <c r="MXT20" s="204"/>
      <c r="MXU20" s="204"/>
      <c r="MXV20" s="204"/>
      <c r="MXW20" s="204"/>
      <c r="MXX20" s="204"/>
      <c r="MXY20" s="204"/>
      <c r="MXZ20" s="204"/>
      <c r="MYA20" s="204"/>
      <c r="MYB20" s="204"/>
      <c r="MYC20" s="204"/>
      <c r="MYD20" s="204"/>
      <c r="MYE20" s="204"/>
      <c r="MYF20" s="204"/>
      <c r="MYG20" s="204"/>
      <c r="MYH20" s="204"/>
      <c r="MYI20" s="204"/>
      <c r="MYJ20" s="204"/>
      <c r="MYK20" s="204"/>
      <c r="MYL20" s="204"/>
      <c r="MYM20" s="204"/>
      <c r="MYN20" s="204"/>
      <c r="MYO20" s="204"/>
      <c r="MYP20" s="204"/>
      <c r="MYQ20" s="204"/>
      <c r="MYR20" s="204"/>
      <c r="MYS20" s="204"/>
      <c r="MYT20" s="204"/>
      <c r="MYU20" s="204"/>
      <c r="MYV20" s="204"/>
      <c r="MYW20" s="204"/>
      <c r="MYX20" s="204"/>
      <c r="MYY20" s="204"/>
      <c r="MYZ20" s="204"/>
      <c r="MZA20" s="204"/>
      <c r="MZB20" s="204"/>
      <c r="MZC20" s="204"/>
      <c r="MZD20" s="204"/>
      <c r="MZE20" s="204"/>
      <c r="MZF20" s="204"/>
      <c r="MZG20" s="204"/>
      <c r="MZH20" s="204"/>
      <c r="MZI20" s="204"/>
      <c r="MZJ20" s="204"/>
      <c r="MZK20" s="204"/>
      <c r="MZL20" s="204"/>
      <c r="MZM20" s="204"/>
      <c r="MZN20" s="204"/>
      <c r="MZO20" s="204"/>
      <c r="MZP20" s="204"/>
      <c r="MZQ20" s="204"/>
      <c r="MZR20" s="204"/>
      <c r="MZS20" s="204"/>
      <c r="MZT20" s="204"/>
      <c r="MZU20" s="204"/>
      <c r="MZV20" s="204"/>
      <c r="MZW20" s="204"/>
      <c r="MZX20" s="204"/>
      <c r="MZY20" s="204"/>
      <c r="MZZ20" s="204"/>
      <c r="NAA20" s="204"/>
      <c r="NAB20" s="204"/>
      <c r="NAC20" s="204"/>
      <c r="NAD20" s="204"/>
      <c r="NAE20" s="204"/>
      <c r="NAF20" s="204"/>
      <c r="NAG20" s="204"/>
      <c r="NAH20" s="204"/>
      <c r="NAI20" s="204"/>
      <c r="NAJ20" s="204"/>
      <c r="NAK20" s="204"/>
      <c r="NAL20" s="204"/>
      <c r="NAM20" s="204"/>
      <c r="NAN20" s="204"/>
      <c r="NAO20" s="204"/>
      <c r="NAP20" s="204"/>
      <c r="NAQ20" s="204"/>
      <c r="NAR20" s="204"/>
      <c r="NAS20" s="204"/>
      <c r="NAT20" s="204"/>
      <c r="NAU20" s="204"/>
      <c r="NAV20" s="204"/>
      <c r="NAW20" s="204"/>
      <c r="NAX20" s="204"/>
      <c r="NAY20" s="204"/>
      <c r="NAZ20" s="204"/>
      <c r="NBA20" s="204"/>
      <c r="NBB20" s="204"/>
      <c r="NBC20" s="204"/>
      <c r="NBD20" s="204"/>
      <c r="NBE20" s="204"/>
      <c r="NBF20" s="204"/>
      <c r="NBG20" s="204"/>
      <c r="NBH20" s="204"/>
      <c r="NBI20" s="204"/>
      <c r="NBJ20" s="204"/>
      <c r="NBK20" s="204"/>
      <c r="NBL20" s="204"/>
      <c r="NBM20" s="204"/>
      <c r="NBN20" s="204"/>
      <c r="NBO20" s="204"/>
      <c r="NBP20" s="204"/>
      <c r="NBQ20" s="204"/>
      <c r="NBR20" s="204"/>
      <c r="NBS20" s="204"/>
      <c r="NBT20" s="204"/>
      <c r="NBU20" s="204"/>
      <c r="NBV20" s="204"/>
      <c r="NBW20" s="204"/>
      <c r="NBX20" s="204"/>
      <c r="NBY20" s="204"/>
      <c r="NBZ20" s="204"/>
      <c r="NCA20" s="204"/>
      <c r="NCB20" s="204"/>
      <c r="NCC20" s="204"/>
      <c r="NCD20" s="204"/>
      <c r="NCE20" s="204"/>
      <c r="NCF20" s="204"/>
      <c r="NCG20" s="204"/>
      <c r="NCH20" s="204"/>
      <c r="NCI20" s="204"/>
      <c r="NCJ20" s="204"/>
      <c r="NCK20" s="204"/>
      <c r="NCL20" s="204"/>
      <c r="NCM20" s="204"/>
      <c r="NCN20" s="204"/>
      <c r="NCO20" s="204"/>
      <c r="NCP20" s="204"/>
      <c r="NCQ20" s="204"/>
      <c r="NCR20" s="204"/>
      <c r="NCS20" s="204"/>
      <c r="NCT20" s="204"/>
      <c r="NCU20" s="204"/>
      <c r="NCV20" s="204"/>
      <c r="NCW20" s="204"/>
      <c r="NCX20" s="204"/>
      <c r="NCY20" s="204"/>
      <c r="NCZ20" s="204"/>
      <c r="NDA20" s="204"/>
      <c r="NDB20" s="204"/>
      <c r="NDC20" s="204"/>
      <c r="NDD20" s="204"/>
      <c r="NDE20" s="204"/>
      <c r="NDF20" s="204"/>
      <c r="NDG20" s="204"/>
      <c r="NDH20" s="204"/>
      <c r="NDI20" s="204"/>
      <c r="NDJ20" s="204"/>
      <c r="NDK20" s="204"/>
      <c r="NDL20" s="204"/>
      <c r="NDM20" s="204"/>
      <c r="NDN20" s="204"/>
      <c r="NDO20" s="204"/>
      <c r="NDP20" s="204"/>
      <c r="NDQ20" s="204"/>
      <c r="NDR20" s="204"/>
      <c r="NDS20" s="204"/>
      <c r="NDT20" s="204"/>
      <c r="NDU20" s="204"/>
      <c r="NDV20" s="204"/>
      <c r="NDW20" s="204"/>
      <c r="NDX20" s="204"/>
      <c r="NDY20" s="204"/>
      <c r="NDZ20" s="204"/>
      <c r="NEA20" s="204"/>
      <c r="NEB20" s="204"/>
      <c r="NEC20" s="204"/>
      <c r="NED20" s="204"/>
      <c r="NEE20" s="204"/>
      <c r="NEF20" s="204"/>
      <c r="NEG20" s="204"/>
      <c r="NEH20" s="204"/>
      <c r="NEI20" s="204"/>
      <c r="NEJ20" s="204"/>
      <c r="NEK20" s="204"/>
      <c r="NEL20" s="204"/>
      <c r="NEM20" s="204"/>
      <c r="NEN20" s="204"/>
      <c r="NEO20" s="204"/>
      <c r="NEP20" s="204"/>
      <c r="NEQ20" s="204"/>
      <c r="NER20" s="204"/>
      <c r="NES20" s="204"/>
      <c r="NET20" s="204"/>
      <c r="NEU20" s="204"/>
      <c r="NEV20" s="204"/>
      <c r="NEW20" s="204"/>
      <c r="NEX20" s="204"/>
      <c r="NEY20" s="204"/>
      <c r="NEZ20" s="204"/>
      <c r="NFA20" s="204"/>
      <c r="NFB20" s="204"/>
      <c r="NFC20" s="204"/>
      <c r="NFD20" s="204"/>
      <c r="NFE20" s="204"/>
      <c r="NFF20" s="204"/>
      <c r="NFG20" s="204"/>
      <c r="NFH20" s="204"/>
      <c r="NFI20" s="204"/>
      <c r="NFJ20" s="204"/>
      <c r="NFK20" s="204"/>
      <c r="NFL20" s="204"/>
      <c r="NFM20" s="204"/>
      <c r="NFN20" s="204"/>
      <c r="NFO20" s="204"/>
      <c r="NFP20" s="204"/>
      <c r="NFQ20" s="204"/>
      <c r="NFR20" s="204"/>
      <c r="NFS20" s="204"/>
      <c r="NFT20" s="204"/>
      <c r="NFU20" s="204"/>
      <c r="NFV20" s="204"/>
      <c r="NFW20" s="204"/>
      <c r="NFX20" s="204"/>
      <c r="NFY20" s="204"/>
      <c r="NFZ20" s="204"/>
      <c r="NGA20" s="204"/>
      <c r="NGB20" s="204"/>
      <c r="NGC20" s="204"/>
      <c r="NGD20" s="204"/>
      <c r="NGE20" s="204"/>
      <c r="NGF20" s="204"/>
      <c r="NGG20" s="204"/>
      <c r="NGH20" s="204"/>
      <c r="NGI20" s="204"/>
      <c r="NGJ20" s="204"/>
      <c r="NGK20" s="204"/>
      <c r="NGL20" s="204"/>
      <c r="NGM20" s="204"/>
      <c r="NGN20" s="204"/>
      <c r="NGO20" s="204"/>
      <c r="NGP20" s="204"/>
      <c r="NGQ20" s="204"/>
      <c r="NGR20" s="204"/>
      <c r="NGS20" s="204"/>
      <c r="NGT20" s="204"/>
      <c r="NGU20" s="204"/>
      <c r="NGV20" s="204"/>
      <c r="NGW20" s="204"/>
      <c r="NGX20" s="204"/>
      <c r="NGY20" s="204"/>
      <c r="NGZ20" s="204"/>
      <c r="NHA20" s="204"/>
      <c r="NHB20" s="204"/>
      <c r="NHC20" s="204"/>
      <c r="NHD20" s="204"/>
      <c r="NHE20" s="204"/>
      <c r="NHF20" s="204"/>
      <c r="NHG20" s="204"/>
      <c r="NHH20" s="204"/>
      <c r="NHI20" s="204"/>
      <c r="NHJ20" s="204"/>
      <c r="NHK20" s="204"/>
      <c r="NHL20" s="204"/>
      <c r="NHM20" s="204"/>
      <c r="NHN20" s="204"/>
      <c r="NHO20" s="204"/>
      <c r="NHP20" s="204"/>
      <c r="NHQ20" s="204"/>
      <c r="NHR20" s="204"/>
      <c r="NHS20" s="204"/>
      <c r="NHT20" s="204"/>
      <c r="NHU20" s="204"/>
      <c r="NHV20" s="204"/>
      <c r="NHW20" s="204"/>
      <c r="NHX20" s="204"/>
      <c r="NHY20" s="204"/>
      <c r="NHZ20" s="204"/>
      <c r="NIA20" s="204"/>
      <c r="NIB20" s="204"/>
      <c r="NIC20" s="204"/>
      <c r="NID20" s="204"/>
      <c r="NIE20" s="204"/>
      <c r="NIF20" s="204"/>
      <c r="NIG20" s="204"/>
      <c r="NIH20" s="204"/>
      <c r="NII20" s="204"/>
      <c r="NIJ20" s="204"/>
      <c r="NIK20" s="204"/>
      <c r="NIL20" s="204"/>
      <c r="NIM20" s="204"/>
      <c r="NIN20" s="204"/>
      <c r="NIO20" s="204"/>
      <c r="NIP20" s="204"/>
      <c r="NIQ20" s="204"/>
      <c r="NIR20" s="204"/>
      <c r="NIS20" s="204"/>
      <c r="NIT20" s="204"/>
      <c r="NIU20" s="204"/>
      <c r="NIV20" s="204"/>
      <c r="NIW20" s="204"/>
      <c r="NIX20" s="204"/>
      <c r="NIY20" s="204"/>
      <c r="NIZ20" s="204"/>
      <c r="NJA20" s="204"/>
      <c r="NJB20" s="204"/>
      <c r="NJC20" s="204"/>
      <c r="NJD20" s="204"/>
      <c r="NJE20" s="204"/>
      <c r="NJF20" s="204"/>
      <c r="NJG20" s="204"/>
      <c r="NJH20" s="204"/>
      <c r="NJI20" s="204"/>
      <c r="NJJ20" s="204"/>
      <c r="NJK20" s="204"/>
      <c r="NJL20" s="204"/>
      <c r="NJM20" s="204"/>
      <c r="NJN20" s="204"/>
      <c r="NJO20" s="204"/>
      <c r="NJP20" s="204"/>
      <c r="NJQ20" s="204"/>
      <c r="NJR20" s="204"/>
      <c r="NJS20" s="204"/>
      <c r="NJT20" s="204"/>
      <c r="NJU20" s="204"/>
      <c r="NJV20" s="204"/>
      <c r="NJW20" s="204"/>
      <c r="NJX20" s="204"/>
      <c r="NJY20" s="204"/>
      <c r="NJZ20" s="204"/>
      <c r="NKA20" s="204"/>
      <c r="NKB20" s="204"/>
      <c r="NKC20" s="204"/>
      <c r="NKD20" s="204"/>
      <c r="NKE20" s="204"/>
      <c r="NKF20" s="204"/>
      <c r="NKG20" s="204"/>
      <c r="NKH20" s="204"/>
      <c r="NKI20" s="204"/>
      <c r="NKJ20" s="204"/>
      <c r="NKK20" s="204"/>
      <c r="NKL20" s="204"/>
      <c r="NKM20" s="204"/>
      <c r="NKN20" s="204"/>
      <c r="NKO20" s="204"/>
      <c r="NKP20" s="204"/>
      <c r="NKQ20" s="204"/>
      <c r="NKR20" s="204"/>
      <c r="NKS20" s="204"/>
      <c r="NKT20" s="204"/>
      <c r="NKU20" s="204"/>
      <c r="NKV20" s="204"/>
      <c r="NKW20" s="204"/>
      <c r="NKX20" s="204"/>
      <c r="NKY20" s="204"/>
      <c r="NKZ20" s="204"/>
      <c r="NLA20" s="204"/>
      <c r="NLB20" s="204"/>
      <c r="NLC20" s="204"/>
      <c r="NLD20" s="204"/>
      <c r="NLE20" s="204"/>
      <c r="NLF20" s="204"/>
      <c r="NLG20" s="204"/>
      <c r="NLH20" s="204"/>
      <c r="NLI20" s="204"/>
      <c r="NLJ20" s="204"/>
      <c r="NLK20" s="204"/>
      <c r="NLL20" s="204"/>
      <c r="NLM20" s="204"/>
      <c r="NLN20" s="204"/>
      <c r="NLO20" s="204"/>
      <c r="NLP20" s="204"/>
      <c r="NLQ20" s="204"/>
      <c r="NLR20" s="204"/>
      <c r="NLS20" s="204"/>
      <c r="NLT20" s="204"/>
      <c r="NLU20" s="204"/>
      <c r="NLV20" s="204"/>
      <c r="NLW20" s="204"/>
      <c r="NLX20" s="204"/>
      <c r="NLY20" s="204"/>
      <c r="NLZ20" s="204"/>
      <c r="NMA20" s="204"/>
      <c r="NMB20" s="204"/>
      <c r="NMC20" s="204"/>
      <c r="NMD20" s="204"/>
      <c r="NME20" s="204"/>
      <c r="NMF20" s="204"/>
      <c r="NMG20" s="204"/>
      <c r="NMH20" s="204"/>
      <c r="NMI20" s="204"/>
      <c r="NMJ20" s="204"/>
      <c r="NMK20" s="204"/>
      <c r="NML20" s="204"/>
      <c r="NMM20" s="204"/>
      <c r="NMN20" s="204"/>
      <c r="NMO20" s="204"/>
      <c r="NMP20" s="204"/>
      <c r="NMQ20" s="204"/>
      <c r="NMR20" s="204"/>
      <c r="NMS20" s="204"/>
      <c r="NMT20" s="204"/>
      <c r="NMU20" s="204"/>
      <c r="NMV20" s="204"/>
      <c r="NMW20" s="204"/>
      <c r="NMX20" s="204"/>
      <c r="NMY20" s="204"/>
      <c r="NMZ20" s="204"/>
      <c r="NNA20" s="204"/>
      <c r="NNB20" s="204"/>
      <c r="NNC20" s="204"/>
      <c r="NND20" s="204"/>
      <c r="NNE20" s="204"/>
      <c r="NNF20" s="204"/>
      <c r="NNG20" s="204"/>
      <c r="NNH20" s="204"/>
      <c r="NNI20" s="204"/>
      <c r="NNJ20" s="204"/>
      <c r="NNK20" s="204"/>
      <c r="NNL20" s="204"/>
      <c r="NNM20" s="204"/>
      <c r="NNN20" s="204"/>
      <c r="NNO20" s="204"/>
      <c r="NNP20" s="204"/>
      <c r="NNQ20" s="204"/>
      <c r="NNR20" s="204"/>
      <c r="NNS20" s="204"/>
      <c r="NNT20" s="204"/>
      <c r="NNU20" s="204"/>
      <c r="NNV20" s="204"/>
      <c r="NNW20" s="204"/>
      <c r="NNX20" s="204"/>
      <c r="NNY20" s="204"/>
      <c r="NNZ20" s="204"/>
      <c r="NOA20" s="204"/>
      <c r="NOB20" s="204"/>
      <c r="NOC20" s="204"/>
      <c r="NOD20" s="204"/>
      <c r="NOE20" s="204"/>
      <c r="NOF20" s="204"/>
      <c r="NOG20" s="204"/>
      <c r="NOH20" s="204"/>
      <c r="NOI20" s="204"/>
      <c r="NOJ20" s="204"/>
      <c r="NOK20" s="204"/>
      <c r="NOL20" s="204"/>
      <c r="NOM20" s="204"/>
      <c r="NON20" s="204"/>
      <c r="NOO20" s="204"/>
      <c r="NOP20" s="204"/>
      <c r="NOQ20" s="204"/>
      <c r="NOR20" s="204"/>
      <c r="NOS20" s="204"/>
      <c r="NOT20" s="204"/>
      <c r="NOU20" s="204"/>
      <c r="NOV20" s="204"/>
      <c r="NOW20" s="204"/>
      <c r="NOX20" s="204"/>
      <c r="NOY20" s="204"/>
      <c r="NOZ20" s="204"/>
      <c r="NPA20" s="204"/>
      <c r="NPB20" s="204"/>
      <c r="NPC20" s="204"/>
      <c r="NPD20" s="204"/>
      <c r="NPE20" s="204"/>
      <c r="NPF20" s="204"/>
      <c r="NPG20" s="204"/>
      <c r="NPH20" s="204"/>
      <c r="NPI20" s="204"/>
      <c r="NPJ20" s="204"/>
      <c r="NPK20" s="204"/>
      <c r="NPL20" s="204"/>
      <c r="NPM20" s="204"/>
      <c r="NPN20" s="204"/>
      <c r="NPO20" s="204"/>
      <c r="NPP20" s="204"/>
      <c r="NPQ20" s="204"/>
      <c r="NPR20" s="204"/>
      <c r="NPS20" s="204"/>
      <c r="NPT20" s="204"/>
      <c r="NPU20" s="204"/>
      <c r="NPV20" s="204"/>
      <c r="NPW20" s="204"/>
      <c r="NPX20" s="204"/>
      <c r="NPY20" s="204"/>
      <c r="NPZ20" s="204"/>
      <c r="NQA20" s="204"/>
      <c r="NQB20" s="204"/>
      <c r="NQC20" s="204"/>
      <c r="NQD20" s="204"/>
      <c r="NQE20" s="204"/>
      <c r="NQF20" s="204"/>
      <c r="NQG20" s="204"/>
      <c r="NQH20" s="204"/>
      <c r="NQI20" s="204"/>
      <c r="NQJ20" s="204"/>
      <c r="NQK20" s="204"/>
      <c r="NQL20" s="204"/>
      <c r="NQM20" s="204"/>
      <c r="NQN20" s="204"/>
      <c r="NQO20" s="204"/>
      <c r="NQP20" s="204"/>
      <c r="NQQ20" s="204"/>
      <c r="NQR20" s="204"/>
      <c r="NQS20" s="204"/>
      <c r="NQT20" s="204"/>
      <c r="NQU20" s="204"/>
      <c r="NQV20" s="204"/>
      <c r="NQW20" s="204"/>
      <c r="NQX20" s="204"/>
      <c r="NQY20" s="204"/>
      <c r="NQZ20" s="204"/>
      <c r="NRA20" s="204"/>
      <c r="NRB20" s="204"/>
      <c r="NRC20" s="204"/>
      <c r="NRD20" s="204"/>
      <c r="NRE20" s="204"/>
      <c r="NRF20" s="204"/>
      <c r="NRG20" s="204"/>
      <c r="NRH20" s="204"/>
      <c r="NRI20" s="204"/>
      <c r="NRJ20" s="204"/>
      <c r="NRK20" s="204"/>
      <c r="NRL20" s="204"/>
      <c r="NRM20" s="204"/>
      <c r="NRN20" s="204"/>
      <c r="NRO20" s="204"/>
      <c r="NRP20" s="204"/>
      <c r="NRQ20" s="204"/>
      <c r="NRR20" s="204"/>
      <c r="NRS20" s="204"/>
      <c r="NRT20" s="204"/>
      <c r="NRU20" s="204"/>
      <c r="NRV20" s="204"/>
      <c r="NRW20" s="204"/>
      <c r="NRX20" s="204"/>
      <c r="NRY20" s="204"/>
      <c r="NRZ20" s="204"/>
      <c r="NSA20" s="204"/>
      <c r="NSB20" s="204"/>
      <c r="NSC20" s="204"/>
      <c r="NSD20" s="204"/>
      <c r="NSE20" s="204"/>
      <c r="NSF20" s="204"/>
      <c r="NSG20" s="204"/>
      <c r="NSH20" s="204"/>
      <c r="NSI20" s="204"/>
      <c r="NSJ20" s="204"/>
      <c r="NSK20" s="204"/>
      <c r="NSL20" s="204"/>
      <c r="NSM20" s="204"/>
      <c r="NSN20" s="204"/>
      <c r="NSO20" s="204"/>
      <c r="NSP20" s="204"/>
      <c r="NSQ20" s="204"/>
      <c r="NSR20" s="204"/>
      <c r="NSS20" s="204"/>
      <c r="NST20" s="204"/>
      <c r="NSU20" s="204"/>
      <c r="NSV20" s="204"/>
      <c r="NSW20" s="204"/>
      <c r="NSX20" s="204"/>
      <c r="NSY20" s="204"/>
      <c r="NSZ20" s="204"/>
      <c r="NTA20" s="204"/>
      <c r="NTB20" s="204"/>
      <c r="NTC20" s="204"/>
      <c r="NTD20" s="204"/>
      <c r="NTE20" s="204"/>
      <c r="NTF20" s="204"/>
      <c r="NTG20" s="204"/>
      <c r="NTH20" s="204"/>
      <c r="NTI20" s="204"/>
      <c r="NTJ20" s="204"/>
      <c r="NTK20" s="204"/>
      <c r="NTL20" s="204"/>
      <c r="NTM20" s="204"/>
      <c r="NTN20" s="204"/>
      <c r="NTO20" s="204"/>
      <c r="NTP20" s="204"/>
      <c r="NTQ20" s="204"/>
      <c r="NTR20" s="204"/>
      <c r="NTS20" s="204"/>
      <c r="NTT20" s="204"/>
      <c r="NTU20" s="204"/>
      <c r="NTV20" s="204"/>
      <c r="NTW20" s="204"/>
      <c r="NTX20" s="204"/>
      <c r="NTY20" s="204"/>
      <c r="NTZ20" s="204"/>
      <c r="NUA20" s="204"/>
      <c r="NUB20" s="204"/>
      <c r="NUC20" s="204"/>
      <c r="NUD20" s="204"/>
      <c r="NUE20" s="204"/>
      <c r="NUF20" s="204"/>
      <c r="NUG20" s="204"/>
      <c r="NUH20" s="204"/>
      <c r="NUI20" s="204"/>
      <c r="NUJ20" s="204"/>
      <c r="NUK20" s="204"/>
      <c r="NUL20" s="204"/>
      <c r="NUM20" s="204"/>
      <c r="NUN20" s="204"/>
      <c r="NUO20" s="204"/>
      <c r="NUP20" s="204"/>
      <c r="NUQ20" s="204"/>
      <c r="NUR20" s="204"/>
      <c r="NUS20" s="204"/>
      <c r="NUT20" s="204"/>
      <c r="NUU20" s="204"/>
      <c r="NUV20" s="204"/>
      <c r="NUW20" s="204"/>
      <c r="NUX20" s="204"/>
      <c r="NUY20" s="204"/>
      <c r="NUZ20" s="204"/>
      <c r="NVA20" s="204"/>
      <c r="NVB20" s="204"/>
      <c r="NVC20" s="204"/>
      <c r="NVD20" s="204"/>
      <c r="NVE20" s="204"/>
      <c r="NVF20" s="204"/>
      <c r="NVG20" s="204"/>
      <c r="NVH20" s="204"/>
      <c r="NVI20" s="204"/>
      <c r="NVJ20" s="204"/>
      <c r="NVK20" s="204"/>
      <c r="NVL20" s="204"/>
      <c r="NVM20" s="204"/>
      <c r="NVN20" s="204"/>
      <c r="NVO20" s="204"/>
      <c r="NVP20" s="204"/>
      <c r="NVQ20" s="204"/>
      <c r="NVR20" s="204"/>
      <c r="NVS20" s="204"/>
      <c r="NVT20" s="204"/>
      <c r="NVU20" s="204"/>
      <c r="NVV20" s="204"/>
      <c r="NVW20" s="204"/>
      <c r="NVX20" s="204"/>
      <c r="NVY20" s="204"/>
      <c r="NVZ20" s="204"/>
      <c r="NWA20" s="204"/>
      <c r="NWB20" s="204"/>
      <c r="NWC20" s="204"/>
      <c r="NWD20" s="204"/>
      <c r="NWE20" s="204"/>
      <c r="NWF20" s="204"/>
      <c r="NWG20" s="204"/>
      <c r="NWH20" s="204"/>
      <c r="NWI20" s="204"/>
      <c r="NWJ20" s="204"/>
      <c r="NWK20" s="204"/>
      <c r="NWL20" s="204"/>
      <c r="NWM20" s="204"/>
      <c r="NWN20" s="204"/>
      <c r="NWO20" s="204"/>
      <c r="NWP20" s="204"/>
      <c r="NWQ20" s="204"/>
      <c r="NWR20" s="204"/>
      <c r="NWS20" s="204"/>
      <c r="NWT20" s="204"/>
      <c r="NWU20" s="204"/>
      <c r="NWV20" s="204"/>
      <c r="NWW20" s="204"/>
      <c r="NWX20" s="204"/>
      <c r="NWY20" s="204"/>
      <c r="NWZ20" s="204"/>
      <c r="NXA20" s="204"/>
      <c r="NXB20" s="204"/>
      <c r="NXC20" s="204"/>
      <c r="NXD20" s="204"/>
      <c r="NXE20" s="204"/>
      <c r="NXF20" s="204"/>
      <c r="NXG20" s="204"/>
      <c r="NXH20" s="204"/>
      <c r="NXI20" s="204"/>
      <c r="NXJ20" s="204"/>
      <c r="NXK20" s="204"/>
      <c r="NXL20" s="204"/>
      <c r="NXM20" s="204"/>
      <c r="NXN20" s="204"/>
      <c r="NXO20" s="204"/>
      <c r="NXP20" s="204"/>
      <c r="NXQ20" s="204"/>
      <c r="NXR20" s="204"/>
      <c r="NXS20" s="204"/>
      <c r="NXT20" s="204"/>
      <c r="NXU20" s="204"/>
      <c r="NXV20" s="204"/>
      <c r="NXW20" s="204"/>
      <c r="NXX20" s="204"/>
      <c r="NXY20" s="204"/>
      <c r="NXZ20" s="204"/>
      <c r="NYA20" s="204"/>
      <c r="NYB20" s="204"/>
      <c r="NYC20" s="204"/>
      <c r="NYD20" s="204"/>
      <c r="NYE20" s="204"/>
      <c r="NYF20" s="204"/>
      <c r="NYG20" s="204"/>
      <c r="NYH20" s="204"/>
      <c r="NYI20" s="204"/>
      <c r="NYJ20" s="204"/>
      <c r="NYK20" s="204"/>
      <c r="NYL20" s="204"/>
      <c r="NYM20" s="204"/>
      <c r="NYN20" s="204"/>
      <c r="NYO20" s="204"/>
      <c r="NYP20" s="204"/>
      <c r="NYQ20" s="204"/>
      <c r="NYR20" s="204"/>
      <c r="NYS20" s="204"/>
      <c r="NYT20" s="204"/>
      <c r="NYU20" s="204"/>
      <c r="NYV20" s="204"/>
      <c r="NYW20" s="204"/>
      <c r="NYX20" s="204"/>
      <c r="NYY20" s="204"/>
      <c r="NYZ20" s="204"/>
      <c r="NZA20" s="204"/>
      <c r="NZB20" s="204"/>
      <c r="NZC20" s="204"/>
      <c r="NZD20" s="204"/>
      <c r="NZE20" s="204"/>
      <c r="NZF20" s="204"/>
      <c r="NZG20" s="204"/>
      <c r="NZH20" s="204"/>
      <c r="NZI20" s="204"/>
      <c r="NZJ20" s="204"/>
      <c r="NZK20" s="204"/>
      <c r="NZL20" s="204"/>
      <c r="NZM20" s="204"/>
      <c r="NZN20" s="204"/>
      <c r="NZO20" s="204"/>
      <c r="NZP20" s="204"/>
      <c r="NZQ20" s="204"/>
      <c r="NZR20" s="204"/>
      <c r="NZS20" s="204"/>
      <c r="NZT20" s="204"/>
      <c r="NZU20" s="204"/>
      <c r="NZV20" s="204"/>
      <c r="NZW20" s="204"/>
      <c r="NZX20" s="204"/>
      <c r="NZY20" s="204"/>
      <c r="NZZ20" s="204"/>
      <c r="OAA20" s="204"/>
      <c r="OAB20" s="204"/>
      <c r="OAC20" s="204"/>
      <c r="OAD20" s="204"/>
      <c r="OAE20" s="204"/>
      <c r="OAF20" s="204"/>
      <c r="OAG20" s="204"/>
      <c r="OAH20" s="204"/>
      <c r="OAI20" s="204"/>
      <c r="OAJ20" s="204"/>
      <c r="OAK20" s="204"/>
      <c r="OAL20" s="204"/>
      <c r="OAM20" s="204"/>
      <c r="OAN20" s="204"/>
      <c r="OAO20" s="204"/>
      <c r="OAP20" s="204"/>
      <c r="OAQ20" s="204"/>
      <c r="OAR20" s="204"/>
      <c r="OAS20" s="204"/>
      <c r="OAT20" s="204"/>
      <c r="OAU20" s="204"/>
      <c r="OAV20" s="204"/>
      <c r="OAW20" s="204"/>
      <c r="OAX20" s="204"/>
      <c r="OAY20" s="204"/>
      <c r="OAZ20" s="204"/>
      <c r="OBA20" s="204"/>
      <c r="OBB20" s="204"/>
      <c r="OBC20" s="204"/>
      <c r="OBD20" s="204"/>
      <c r="OBE20" s="204"/>
      <c r="OBF20" s="204"/>
      <c r="OBG20" s="204"/>
      <c r="OBH20" s="204"/>
      <c r="OBI20" s="204"/>
      <c r="OBJ20" s="204"/>
      <c r="OBK20" s="204"/>
      <c r="OBL20" s="204"/>
      <c r="OBM20" s="204"/>
      <c r="OBN20" s="204"/>
      <c r="OBO20" s="204"/>
      <c r="OBP20" s="204"/>
      <c r="OBQ20" s="204"/>
      <c r="OBR20" s="204"/>
      <c r="OBS20" s="204"/>
      <c r="OBT20" s="204"/>
      <c r="OBU20" s="204"/>
      <c r="OBV20" s="204"/>
      <c r="OBW20" s="204"/>
      <c r="OBX20" s="204"/>
      <c r="OBY20" s="204"/>
      <c r="OBZ20" s="204"/>
      <c r="OCA20" s="204"/>
      <c r="OCB20" s="204"/>
      <c r="OCC20" s="204"/>
      <c r="OCD20" s="204"/>
      <c r="OCE20" s="204"/>
      <c r="OCF20" s="204"/>
      <c r="OCG20" s="204"/>
      <c r="OCH20" s="204"/>
      <c r="OCI20" s="204"/>
      <c r="OCJ20" s="204"/>
      <c r="OCK20" s="204"/>
      <c r="OCL20" s="204"/>
      <c r="OCM20" s="204"/>
      <c r="OCN20" s="204"/>
      <c r="OCO20" s="204"/>
      <c r="OCP20" s="204"/>
      <c r="OCQ20" s="204"/>
      <c r="OCR20" s="204"/>
      <c r="OCS20" s="204"/>
      <c r="OCT20" s="204"/>
      <c r="OCU20" s="204"/>
      <c r="OCV20" s="204"/>
      <c r="OCW20" s="204"/>
      <c r="OCX20" s="204"/>
      <c r="OCY20" s="204"/>
      <c r="OCZ20" s="204"/>
      <c r="ODA20" s="204"/>
      <c r="ODB20" s="204"/>
      <c r="ODC20" s="204"/>
      <c r="ODD20" s="204"/>
      <c r="ODE20" s="204"/>
      <c r="ODF20" s="204"/>
      <c r="ODG20" s="204"/>
      <c r="ODH20" s="204"/>
      <c r="ODI20" s="204"/>
      <c r="ODJ20" s="204"/>
      <c r="ODK20" s="204"/>
      <c r="ODL20" s="204"/>
      <c r="ODM20" s="204"/>
      <c r="ODN20" s="204"/>
      <c r="ODO20" s="204"/>
      <c r="ODP20" s="204"/>
      <c r="ODQ20" s="204"/>
      <c r="ODR20" s="204"/>
      <c r="ODS20" s="204"/>
      <c r="ODT20" s="204"/>
      <c r="ODU20" s="204"/>
      <c r="ODV20" s="204"/>
      <c r="ODW20" s="204"/>
      <c r="ODX20" s="204"/>
      <c r="ODY20" s="204"/>
      <c r="ODZ20" s="204"/>
      <c r="OEA20" s="204"/>
      <c r="OEB20" s="204"/>
      <c r="OEC20" s="204"/>
      <c r="OED20" s="204"/>
      <c r="OEE20" s="204"/>
      <c r="OEF20" s="204"/>
      <c r="OEG20" s="204"/>
      <c r="OEH20" s="204"/>
      <c r="OEI20" s="204"/>
      <c r="OEJ20" s="204"/>
      <c r="OEK20" s="204"/>
      <c r="OEL20" s="204"/>
      <c r="OEM20" s="204"/>
      <c r="OEN20" s="204"/>
      <c r="OEO20" s="204"/>
      <c r="OEP20" s="204"/>
      <c r="OEQ20" s="204"/>
      <c r="OER20" s="204"/>
      <c r="OES20" s="204"/>
      <c r="OET20" s="204"/>
      <c r="OEU20" s="204"/>
      <c r="OEV20" s="204"/>
      <c r="OEW20" s="204"/>
      <c r="OEX20" s="204"/>
      <c r="OEY20" s="204"/>
      <c r="OEZ20" s="204"/>
      <c r="OFA20" s="204"/>
      <c r="OFB20" s="204"/>
      <c r="OFC20" s="204"/>
      <c r="OFD20" s="204"/>
      <c r="OFE20" s="204"/>
      <c r="OFF20" s="204"/>
      <c r="OFG20" s="204"/>
      <c r="OFH20" s="204"/>
      <c r="OFI20" s="204"/>
      <c r="OFJ20" s="204"/>
      <c r="OFK20" s="204"/>
      <c r="OFL20" s="204"/>
      <c r="OFM20" s="204"/>
      <c r="OFN20" s="204"/>
      <c r="OFO20" s="204"/>
      <c r="OFP20" s="204"/>
      <c r="OFQ20" s="204"/>
      <c r="OFR20" s="204"/>
      <c r="OFS20" s="204"/>
      <c r="OFT20" s="204"/>
      <c r="OFU20" s="204"/>
      <c r="OFV20" s="204"/>
      <c r="OFW20" s="204"/>
      <c r="OFX20" s="204"/>
      <c r="OFY20" s="204"/>
      <c r="OFZ20" s="204"/>
      <c r="OGA20" s="204"/>
      <c r="OGB20" s="204"/>
      <c r="OGC20" s="204"/>
      <c r="OGD20" s="204"/>
      <c r="OGE20" s="204"/>
      <c r="OGF20" s="204"/>
      <c r="OGG20" s="204"/>
      <c r="OGH20" s="204"/>
      <c r="OGI20" s="204"/>
      <c r="OGJ20" s="204"/>
      <c r="OGK20" s="204"/>
      <c r="OGL20" s="204"/>
      <c r="OGM20" s="204"/>
      <c r="OGN20" s="204"/>
      <c r="OGO20" s="204"/>
      <c r="OGP20" s="204"/>
      <c r="OGQ20" s="204"/>
      <c r="OGR20" s="204"/>
      <c r="OGS20" s="204"/>
      <c r="OGT20" s="204"/>
      <c r="OGU20" s="204"/>
      <c r="OGV20" s="204"/>
      <c r="OGW20" s="204"/>
      <c r="OGX20" s="204"/>
      <c r="OGY20" s="204"/>
      <c r="OGZ20" s="204"/>
      <c r="OHA20" s="204"/>
      <c r="OHB20" s="204"/>
      <c r="OHC20" s="204"/>
      <c r="OHD20" s="204"/>
      <c r="OHE20" s="204"/>
      <c r="OHF20" s="204"/>
      <c r="OHG20" s="204"/>
      <c r="OHH20" s="204"/>
      <c r="OHI20" s="204"/>
      <c r="OHJ20" s="204"/>
      <c r="OHK20" s="204"/>
      <c r="OHL20" s="204"/>
      <c r="OHM20" s="204"/>
      <c r="OHN20" s="204"/>
      <c r="OHO20" s="204"/>
      <c r="OHP20" s="204"/>
      <c r="OHQ20" s="204"/>
      <c r="OHR20" s="204"/>
      <c r="OHS20" s="204"/>
      <c r="OHT20" s="204"/>
      <c r="OHU20" s="204"/>
      <c r="OHV20" s="204"/>
      <c r="OHW20" s="204"/>
      <c r="OHX20" s="204"/>
      <c r="OHY20" s="204"/>
      <c r="OHZ20" s="204"/>
      <c r="OIA20" s="204"/>
      <c r="OIB20" s="204"/>
      <c r="OIC20" s="204"/>
      <c r="OID20" s="204"/>
      <c r="OIE20" s="204"/>
      <c r="OIF20" s="204"/>
      <c r="OIG20" s="204"/>
      <c r="OIH20" s="204"/>
      <c r="OII20" s="204"/>
      <c r="OIJ20" s="204"/>
      <c r="OIK20" s="204"/>
      <c r="OIL20" s="204"/>
      <c r="OIM20" s="204"/>
      <c r="OIN20" s="204"/>
      <c r="OIO20" s="204"/>
      <c r="OIP20" s="204"/>
      <c r="OIQ20" s="204"/>
      <c r="OIR20" s="204"/>
      <c r="OIS20" s="204"/>
      <c r="OIT20" s="204"/>
      <c r="OIU20" s="204"/>
      <c r="OIV20" s="204"/>
      <c r="OIW20" s="204"/>
      <c r="OIX20" s="204"/>
      <c r="OIY20" s="204"/>
      <c r="OIZ20" s="204"/>
      <c r="OJA20" s="204"/>
      <c r="OJB20" s="204"/>
      <c r="OJC20" s="204"/>
      <c r="OJD20" s="204"/>
      <c r="OJE20" s="204"/>
      <c r="OJF20" s="204"/>
      <c r="OJG20" s="204"/>
      <c r="OJH20" s="204"/>
      <c r="OJI20" s="204"/>
      <c r="OJJ20" s="204"/>
      <c r="OJK20" s="204"/>
      <c r="OJL20" s="204"/>
      <c r="OJM20" s="204"/>
      <c r="OJN20" s="204"/>
      <c r="OJO20" s="204"/>
      <c r="OJP20" s="204"/>
      <c r="OJQ20" s="204"/>
      <c r="OJR20" s="204"/>
      <c r="OJS20" s="204"/>
      <c r="OJT20" s="204"/>
      <c r="OJU20" s="204"/>
      <c r="OJV20" s="204"/>
      <c r="OJW20" s="204"/>
      <c r="OJX20" s="204"/>
      <c r="OJY20" s="204"/>
      <c r="OJZ20" s="204"/>
      <c r="OKA20" s="204"/>
      <c r="OKB20" s="204"/>
      <c r="OKC20" s="204"/>
      <c r="OKD20" s="204"/>
      <c r="OKE20" s="204"/>
      <c r="OKF20" s="204"/>
      <c r="OKG20" s="204"/>
      <c r="OKH20" s="204"/>
      <c r="OKI20" s="204"/>
      <c r="OKJ20" s="204"/>
      <c r="OKK20" s="204"/>
      <c r="OKL20" s="204"/>
      <c r="OKM20" s="204"/>
      <c r="OKN20" s="204"/>
      <c r="OKO20" s="204"/>
      <c r="OKP20" s="204"/>
      <c r="OKQ20" s="204"/>
      <c r="OKR20" s="204"/>
      <c r="OKS20" s="204"/>
      <c r="OKT20" s="204"/>
      <c r="OKU20" s="204"/>
      <c r="OKV20" s="204"/>
      <c r="OKW20" s="204"/>
      <c r="OKX20" s="204"/>
      <c r="OKY20" s="204"/>
      <c r="OKZ20" s="204"/>
      <c r="OLA20" s="204"/>
      <c r="OLB20" s="204"/>
      <c r="OLC20" s="204"/>
      <c r="OLD20" s="204"/>
      <c r="OLE20" s="204"/>
      <c r="OLF20" s="204"/>
      <c r="OLG20" s="204"/>
      <c r="OLH20" s="204"/>
      <c r="OLI20" s="204"/>
      <c r="OLJ20" s="204"/>
      <c r="OLK20" s="204"/>
      <c r="OLL20" s="204"/>
      <c r="OLM20" s="204"/>
      <c r="OLN20" s="204"/>
      <c r="OLO20" s="204"/>
      <c r="OLP20" s="204"/>
      <c r="OLQ20" s="204"/>
      <c r="OLR20" s="204"/>
      <c r="OLS20" s="204"/>
      <c r="OLT20" s="204"/>
      <c r="OLU20" s="204"/>
      <c r="OLV20" s="204"/>
      <c r="OLW20" s="204"/>
      <c r="OLX20" s="204"/>
      <c r="OLY20" s="204"/>
      <c r="OLZ20" s="204"/>
      <c r="OMA20" s="204"/>
      <c r="OMB20" s="204"/>
      <c r="OMC20" s="204"/>
      <c r="OMD20" s="204"/>
      <c r="OME20" s="204"/>
      <c r="OMF20" s="204"/>
      <c r="OMG20" s="204"/>
      <c r="OMH20" s="204"/>
      <c r="OMI20" s="204"/>
      <c r="OMJ20" s="204"/>
      <c r="OMK20" s="204"/>
      <c r="OML20" s="204"/>
      <c r="OMM20" s="204"/>
      <c r="OMN20" s="204"/>
      <c r="OMO20" s="204"/>
      <c r="OMP20" s="204"/>
      <c r="OMQ20" s="204"/>
      <c r="OMR20" s="204"/>
      <c r="OMS20" s="204"/>
      <c r="OMT20" s="204"/>
      <c r="OMU20" s="204"/>
      <c r="OMV20" s="204"/>
      <c r="OMW20" s="204"/>
      <c r="OMX20" s="204"/>
      <c r="OMY20" s="204"/>
      <c r="OMZ20" s="204"/>
      <c r="ONA20" s="204"/>
      <c r="ONB20" s="204"/>
      <c r="ONC20" s="204"/>
      <c r="OND20" s="204"/>
      <c r="ONE20" s="204"/>
      <c r="ONF20" s="204"/>
      <c r="ONG20" s="204"/>
      <c r="ONH20" s="204"/>
      <c r="ONI20" s="204"/>
      <c r="ONJ20" s="204"/>
      <c r="ONK20" s="204"/>
      <c r="ONL20" s="204"/>
      <c r="ONM20" s="204"/>
      <c r="ONN20" s="204"/>
      <c r="ONO20" s="204"/>
      <c r="ONP20" s="204"/>
      <c r="ONQ20" s="204"/>
      <c r="ONR20" s="204"/>
      <c r="ONS20" s="204"/>
      <c r="ONT20" s="204"/>
      <c r="ONU20" s="204"/>
      <c r="ONV20" s="204"/>
      <c r="ONW20" s="204"/>
      <c r="ONX20" s="204"/>
      <c r="ONY20" s="204"/>
      <c r="ONZ20" s="204"/>
      <c r="OOA20" s="204"/>
      <c r="OOB20" s="204"/>
      <c r="OOC20" s="204"/>
      <c r="OOD20" s="204"/>
      <c r="OOE20" s="204"/>
      <c r="OOF20" s="204"/>
      <c r="OOG20" s="204"/>
      <c r="OOH20" s="204"/>
      <c r="OOI20" s="204"/>
      <c r="OOJ20" s="204"/>
      <c r="OOK20" s="204"/>
      <c r="OOL20" s="204"/>
      <c r="OOM20" s="204"/>
      <c r="OON20" s="204"/>
      <c r="OOO20" s="204"/>
      <c r="OOP20" s="204"/>
      <c r="OOQ20" s="204"/>
      <c r="OOR20" s="204"/>
      <c r="OOS20" s="204"/>
      <c r="OOT20" s="204"/>
      <c r="OOU20" s="204"/>
      <c r="OOV20" s="204"/>
      <c r="OOW20" s="204"/>
      <c r="OOX20" s="204"/>
      <c r="OOY20" s="204"/>
      <c r="OOZ20" s="204"/>
      <c r="OPA20" s="204"/>
      <c r="OPB20" s="204"/>
      <c r="OPC20" s="204"/>
      <c r="OPD20" s="204"/>
      <c r="OPE20" s="204"/>
      <c r="OPF20" s="204"/>
      <c r="OPG20" s="204"/>
      <c r="OPH20" s="204"/>
      <c r="OPI20" s="204"/>
      <c r="OPJ20" s="204"/>
      <c r="OPK20" s="204"/>
      <c r="OPL20" s="204"/>
      <c r="OPM20" s="204"/>
      <c r="OPN20" s="204"/>
      <c r="OPO20" s="204"/>
      <c r="OPP20" s="204"/>
      <c r="OPQ20" s="204"/>
      <c r="OPR20" s="204"/>
      <c r="OPS20" s="204"/>
      <c r="OPT20" s="204"/>
      <c r="OPU20" s="204"/>
      <c r="OPV20" s="204"/>
      <c r="OPW20" s="204"/>
      <c r="OPX20" s="204"/>
      <c r="OPY20" s="204"/>
      <c r="OPZ20" s="204"/>
      <c r="OQA20" s="204"/>
      <c r="OQB20" s="204"/>
      <c r="OQC20" s="204"/>
      <c r="OQD20" s="204"/>
      <c r="OQE20" s="204"/>
      <c r="OQF20" s="204"/>
      <c r="OQG20" s="204"/>
      <c r="OQH20" s="204"/>
      <c r="OQI20" s="204"/>
      <c r="OQJ20" s="204"/>
      <c r="OQK20" s="204"/>
      <c r="OQL20" s="204"/>
      <c r="OQM20" s="204"/>
      <c r="OQN20" s="204"/>
      <c r="OQO20" s="204"/>
      <c r="OQP20" s="204"/>
      <c r="OQQ20" s="204"/>
      <c r="OQR20" s="204"/>
      <c r="OQS20" s="204"/>
      <c r="OQT20" s="204"/>
      <c r="OQU20" s="204"/>
      <c r="OQV20" s="204"/>
      <c r="OQW20" s="204"/>
      <c r="OQX20" s="204"/>
      <c r="OQY20" s="204"/>
      <c r="OQZ20" s="204"/>
      <c r="ORA20" s="204"/>
      <c r="ORB20" s="204"/>
      <c r="ORC20" s="204"/>
      <c r="ORD20" s="204"/>
      <c r="ORE20" s="204"/>
      <c r="ORF20" s="204"/>
      <c r="ORG20" s="204"/>
      <c r="ORH20" s="204"/>
      <c r="ORI20" s="204"/>
      <c r="ORJ20" s="204"/>
      <c r="ORK20" s="204"/>
      <c r="ORL20" s="204"/>
      <c r="ORM20" s="204"/>
      <c r="ORN20" s="204"/>
      <c r="ORO20" s="204"/>
      <c r="ORP20" s="204"/>
      <c r="ORQ20" s="204"/>
      <c r="ORR20" s="204"/>
      <c r="ORS20" s="204"/>
      <c r="ORT20" s="204"/>
      <c r="ORU20" s="204"/>
      <c r="ORV20" s="204"/>
      <c r="ORW20" s="204"/>
      <c r="ORX20" s="204"/>
      <c r="ORY20" s="204"/>
      <c r="ORZ20" s="204"/>
      <c r="OSA20" s="204"/>
      <c r="OSB20" s="204"/>
      <c r="OSC20" s="204"/>
      <c r="OSD20" s="204"/>
      <c r="OSE20" s="204"/>
      <c r="OSF20" s="204"/>
      <c r="OSG20" s="204"/>
      <c r="OSH20" s="204"/>
      <c r="OSI20" s="204"/>
      <c r="OSJ20" s="204"/>
      <c r="OSK20" s="204"/>
      <c r="OSL20" s="204"/>
      <c r="OSM20" s="204"/>
      <c r="OSN20" s="204"/>
      <c r="OSO20" s="204"/>
      <c r="OSP20" s="204"/>
      <c r="OSQ20" s="204"/>
      <c r="OSR20" s="204"/>
      <c r="OSS20" s="204"/>
      <c r="OST20" s="204"/>
      <c r="OSU20" s="204"/>
      <c r="OSV20" s="204"/>
      <c r="OSW20" s="204"/>
      <c r="OSX20" s="204"/>
      <c r="OSY20" s="204"/>
      <c r="OSZ20" s="204"/>
      <c r="OTA20" s="204"/>
      <c r="OTB20" s="204"/>
      <c r="OTC20" s="204"/>
      <c r="OTD20" s="204"/>
      <c r="OTE20" s="204"/>
      <c r="OTF20" s="204"/>
      <c r="OTG20" s="204"/>
      <c r="OTH20" s="204"/>
      <c r="OTI20" s="204"/>
      <c r="OTJ20" s="204"/>
      <c r="OTK20" s="204"/>
      <c r="OTL20" s="204"/>
      <c r="OTM20" s="204"/>
      <c r="OTN20" s="204"/>
      <c r="OTO20" s="204"/>
      <c r="OTP20" s="204"/>
      <c r="OTQ20" s="204"/>
      <c r="OTR20" s="204"/>
      <c r="OTS20" s="204"/>
      <c r="OTT20" s="204"/>
      <c r="OTU20" s="204"/>
      <c r="OTV20" s="204"/>
      <c r="OTW20" s="204"/>
      <c r="OTX20" s="204"/>
      <c r="OTY20" s="204"/>
      <c r="OTZ20" s="204"/>
      <c r="OUA20" s="204"/>
      <c r="OUB20" s="204"/>
      <c r="OUC20" s="204"/>
      <c r="OUD20" s="204"/>
      <c r="OUE20" s="204"/>
      <c r="OUF20" s="204"/>
      <c r="OUG20" s="204"/>
      <c r="OUH20" s="204"/>
      <c r="OUI20" s="204"/>
      <c r="OUJ20" s="204"/>
      <c r="OUK20" s="204"/>
      <c r="OUL20" s="204"/>
      <c r="OUM20" s="204"/>
      <c r="OUN20" s="204"/>
      <c r="OUO20" s="204"/>
      <c r="OUP20" s="204"/>
      <c r="OUQ20" s="204"/>
      <c r="OUR20" s="204"/>
      <c r="OUS20" s="204"/>
      <c r="OUT20" s="204"/>
      <c r="OUU20" s="204"/>
      <c r="OUV20" s="204"/>
      <c r="OUW20" s="204"/>
      <c r="OUX20" s="204"/>
      <c r="OUY20" s="204"/>
      <c r="OUZ20" s="204"/>
      <c r="OVA20" s="204"/>
      <c r="OVB20" s="204"/>
      <c r="OVC20" s="204"/>
      <c r="OVD20" s="204"/>
      <c r="OVE20" s="204"/>
      <c r="OVF20" s="204"/>
      <c r="OVG20" s="204"/>
      <c r="OVH20" s="204"/>
      <c r="OVI20" s="204"/>
      <c r="OVJ20" s="204"/>
      <c r="OVK20" s="204"/>
      <c r="OVL20" s="204"/>
      <c r="OVM20" s="204"/>
      <c r="OVN20" s="204"/>
      <c r="OVO20" s="204"/>
      <c r="OVP20" s="204"/>
      <c r="OVQ20" s="204"/>
      <c r="OVR20" s="204"/>
      <c r="OVS20" s="204"/>
      <c r="OVT20" s="204"/>
      <c r="OVU20" s="204"/>
      <c r="OVV20" s="204"/>
      <c r="OVW20" s="204"/>
      <c r="OVX20" s="204"/>
      <c r="OVY20" s="204"/>
      <c r="OVZ20" s="204"/>
      <c r="OWA20" s="204"/>
      <c r="OWB20" s="204"/>
      <c r="OWC20" s="204"/>
      <c r="OWD20" s="204"/>
      <c r="OWE20" s="204"/>
      <c r="OWF20" s="204"/>
      <c r="OWG20" s="204"/>
      <c r="OWH20" s="204"/>
      <c r="OWI20" s="204"/>
      <c r="OWJ20" s="204"/>
      <c r="OWK20" s="204"/>
      <c r="OWL20" s="204"/>
      <c r="OWM20" s="204"/>
      <c r="OWN20" s="204"/>
      <c r="OWO20" s="204"/>
      <c r="OWP20" s="204"/>
      <c r="OWQ20" s="204"/>
      <c r="OWR20" s="204"/>
      <c r="OWS20" s="204"/>
      <c r="OWT20" s="204"/>
      <c r="OWU20" s="204"/>
      <c r="OWV20" s="204"/>
      <c r="OWW20" s="204"/>
      <c r="OWX20" s="204"/>
      <c r="OWY20" s="204"/>
      <c r="OWZ20" s="204"/>
      <c r="OXA20" s="204"/>
      <c r="OXB20" s="204"/>
      <c r="OXC20" s="204"/>
      <c r="OXD20" s="204"/>
      <c r="OXE20" s="204"/>
      <c r="OXF20" s="204"/>
      <c r="OXG20" s="204"/>
      <c r="OXH20" s="204"/>
      <c r="OXI20" s="204"/>
      <c r="OXJ20" s="204"/>
      <c r="OXK20" s="204"/>
      <c r="OXL20" s="204"/>
      <c r="OXM20" s="204"/>
      <c r="OXN20" s="204"/>
      <c r="OXO20" s="204"/>
      <c r="OXP20" s="204"/>
      <c r="OXQ20" s="204"/>
      <c r="OXR20" s="204"/>
      <c r="OXS20" s="204"/>
      <c r="OXT20" s="204"/>
      <c r="OXU20" s="204"/>
      <c r="OXV20" s="204"/>
      <c r="OXW20" s="204"/>
      <c r="OXX20" s="204"/>
      <c r="OXY20" s="204"/>
      <c r="OXZ20" s="204"/>
      <c r="OYA20" s="204"/>
      <c r="OYB20" s="204"/>
      <c r="OYC20" s="204"/>
      <c r="OYD20" s="204"/>
      <c r="OYE20" s="204"/>
      <c r="OYF20" s="204"/>
      <c r="OYG20" s="204"/>
      <c r="OYH20" s="204"/>
      <c r="OYI20" s="204"/>
      <c r="OYJ20" s="204"/>
      <c r="OYK20" s="204"/>
      <c r="OYL20" s="204"/>
      <c r="OYM20" s="204"/>
      <c r="OYN20" s="204"/>
      <c r="OYO20" s="204"/>
      <c r="OYP20" s="204"/>
      <c r="OYQ20" s="204"/>
      <c r="OYR20" s="204"/>
      <c r="OYS20" s="204"/>
      <c r="OYT20" s="204"/>
      <c r="OYU20" s="204"/>
      <c r="OYV20" s="204"/>
      <c r="OYW20" s="204"/>
      <c r="OYX20" s="204"/>
      <c r="OYY20" s="204"/>
      <c r="OYZ20" s="204"/>
      <c r="OZA20" s="204"/>
      <c r="OZB20" s="204"/>
      <c r="OZC20" s="204"/>
      <c r="OZD20" s="204"/>
      <c r="OZE20" s="204"/>
      <c r="OZF20" s="204"/>
      <c r="OZG20" s="204"/>
      <c r="OZH20" s="204"/>
      <c r="OZI20" s="204"/>
      <c r="OZJ20" s="204"/>
      <c r="OZK20" s="204"/>
      <c r="OZL20" s="204"/>
      <c r="OZM20" s="204"/>
      <c r="OZN20" s="204"/>
      <c r="OZO20" s="204"/>
      <c r="OZP20" s="204"/>
      <c r="OZQ20" s="204"/>
      <c r="OZR20" s="204"/>
      <c r="OZS20" s="204"/>
      <c r="OZT20" s="204"/>
      <c r="OZU20" s="204"/>
      <c r="OZV20" s="204"/>
      <c r="OZW20" s="204"/>
      <c r="OZX20" s="204"/>
      <c r="OZY20" s="204"/>
      <c r="OZZ20" s="204"/>
      <c r="PAA20" s="204"/>
      <c r="PAB20" s="204"/>
      <c r="PAC20" s="204"/>
      <c r="PAD20" s="204"/>
      <c r="PAE20" s="204"/>
      <c r="PAF20" s="204"/>
      <c r="PAG20" s="204"/>
      <c r="PAH20" s="204"/>
      <c r="PAI20" s="204"/>
      <c r="PAJ20" s="204"/>
      <c r="PAK20" s="204"/>
      <c r="PAL20" s="204"/>
      <c r="PAM20" s="204"/>
      <c r="PAN20" s="204"/>
      <c r="PAO20" s="204"/>
      <c r="PAP20" s="204"/>
      <c r="PAQ20" s="204"/>
      <c r="PAR20" s="204"/>
      <c r="PAS20" s="204"/>
      <c r="PAT20" s="204"/>
      <c r="PAU20" s="204"/>
      <c r="PAV20" s="204"/>
      <c r="PAW20" s="204"/>
      <c r="PAX20" s="204"/>
      <c r="PAY20" s="204"/>
      <c r="PAZ20" s="204"/>
      <c r="PBA20" s="204"/>
      <c r="PBB20" s="204"/>
      <c r="PBC20" s="204"/>
      <c r="PBD20" s="204"/>
      <c r="PBE20" s="204"/>
      <c r="PBF20" s="204"/>
      <c r="PBG20" s="204"/>
      <c r="PBH20" s="204"/>
      <c r="PBI20" s="204"/>
      <c r="PBJ20" s="204"/>
      <c r="PBK20" s="204"/>
      <c r="PBL20" s="204"/>
      <c r="PBM20" s="204"/>
      <c r="PBN20" s="204"/>
      <c r="PBO20" s="204"/>
      <c r="PBP20" s="204"/>
      <c r="PBQ20" s="204"/>
      <c r="PBR20" s="204"/>
      <c r="PBS20" s="204"/>
      <c r="PBT20" s="204"/>
      <c r="PBU20" s="204"/>
      <c r="PBV20" s="204"/>
      <c r="PBW20" s="204"/>
      <c r="PBX20" s="204"/>
      <c r="PBY20" s="204"/>
      <c r="PBZ20" s="204"/>
      <c r="PCA20" s="204"/>
      <c r="PCB20" s="204"/>
      <c r="PCC20" s="204"/>
      <c r="PCD20" s="204"/>
      <c r="PCE20" s="204"/>
      <c r="PCF20" s="204"/>
      <c r="PCG20" s="204"/>
      <c r="PCH20" s="204"/>
      <c r="PCI20" s="204"/>
      <c r="PCJ20" s="204"/>
      <c r="PCK20" s="204"/>
      <c r="PCL20" s="204"/>
      <c r="PCM20" s="204"/>
      <c r="PCN20" s="204"/>
      <c r="PCO20" s="204"/>
      <c r="PCP20" s="204"/>
      <c r="PCQ20" s="204"/>
      <c r="PCR20" s="204"/>
      <c r="PCS20" s="204"/>
      <c r="PCT20" s="204"/>
      <c r="PCU20" s="204"/>
      <c r="PCV20" s="204"/>
      <c r="PCW20" s="204"/>
      <c r="PCX20" s="204"/>
      <c r="PCY20" s="204"/>
      <c r="PCZ20" s="204"/>
      <c r="PDA20" s="204"/>
      <c r="PDB20" s="204"/>
      <c r="PDC20" s="204"/>
      <c r="PDD20" s="204"/>
      <c r="PDE20" s="204"/>
      <c r="PDF20" s="204"/>
      <c r="PDG20" s="204"/>
      <c r="PDH20" s="204"/>
      <c r="PDI20" s="204"/>
      <c r="PDJ20" s="204"/>
      <c r="PDK20" s="204"/>
      <c r="PDL20" s="204"/>
      <c r="PDM20" s="204"/>
      <c r="PDN20" s="204"/>
      <c r="PDO20" s="204"/>
      <c r="PDP20" s="204"/>
      <c r="PDQ20" s="204"/>
      <c r="PDR20" s="204"/>
      <c r="PDS20" s="204"/>
      <c r="PDT20" s="204"/>
      <c r="PDU20" s="204"/>
      <c r="PDV20" s="204"/>
      <c r="PDW20" s="204"/>
      <c r="PDX20" s="204"/>
      <c r="PDY20" s="204"/>
      <c r="PDZ20" s="204"/>
      <c r="PEA20" s="204"/>
      <c r="PEB20" s="204"/>
      <c r="PEC20" s="204"/>
      <c r="PED20" s="204"/>
      <c r="PEE20" s="204"/>
      <c r="PEF20" s="204"/>
      <c r="PEG20" s="204"/>
      <c r="PEH20" s="204"/>
      <c r="PEI20" s="204"/>
      <c r="PEJ20" s="204"/>
      <c r="PEK20" s="204"/>
      <c r="PEL20" s="204"/>
      <c r="PEM20" s="204"/>
      <c r="PEN20" s="204"/>
      <c r="PEO20" s="204"/>
      <c r="PEP20" s="204"/>
      <c r="PEQ20" s="204"/>
      <c r="PER20" s="204"/>
      <c r="PES20" s="204"/>
      <c r="PET20" s="204"/>
      <c r="PEU20" s="204"/>
      <c r="PEV20" s="204"/>
      <c r="PEW20" s="204"/>
      <c r="PEX20" s="204"/>
      <c r="PEY20" s="204"/>
      <c r="PEZ20" s="204"/>
      <c r="PFA20" s="204"/>
      <c r="PFB20" s="204"/>
      <c r="PFC20" s="204"/>
      <c r="PFD20" s="204"/>
      <c r="PFE20" s="204"/>
      <c r="PFF20" s="204"/>
      <c r="PFG20" s="204"/>
      <c r="PFH20" s="204"/>
      <c r="PFI20" s="204"/>
      <c r="PFJ20" s="204"/>
      <c r="PFK20" s="204"/>
      <c r="PFL20" s="204"/>
      <c r="PFM20" s="204"/>
      <c r="PFN20" s="204"/>
      <c r="PFO20" s="204"/>
      <c r="PFP20" s="204"/>
      <c r="PFQ20" s="204"/>
      <c r="PFR20" s="204"/>
      <c r="PFS20" s="204"/>
      <c r="PFT20" s="204"/>
      <c r="PFU20" s="204"/>
      <c r="PFV20" s="204"/>
      <c r="PFW20" s="204"/>
      <c r="PFX20" s="204"/>
      <c r="PFY20" s="204"/>
      <c r="PFZ20" s="204"/>
      <c r="PGA20" s="204"/>
      <c r="PGB20" s="204"/>
      <c r="PGC20" s="204"/>
      <c r="PGD20" s="204"/>
      <c r="PGE20" s="204"/>
      <c r="PGF20" s="204"/>
      <c r="PGG20" s="204"/>
      <c r="PGH20" s="204"/>
      <c r="PGI20" s="204"/>
      <c r="PGJ20" s="204"/>
      <c r="PGK20" s="204"/>
      <c r="PGL20" s="204"/>
      <c r="PGM20" s="204"/>
      <c r="PGN20" s="204"/>
      <c r="PGO20" s="204"/>
      <c r="PGP20" s="204"/>
      <c r="PGQ20" s="204"/>
      <c r="PGR20" s="204"/>
      <c r="PGS20" s="204"/>
      <c r="PGT20" s="204"/>
      <c r="PGU20" s="204"/>
      <c r="PGV20" s="204"/>
      <c r="PGW20" s="204"/>
      <c r="PGX20" s="204"/>
      <c r="PGY20" s="204"/>
      <c r="PGZ20" s="204"/>
      <c r="PHA20" s="204"/>
      <c r="PHB20" s="204"/>
      <c r="PHC20" s="204"/>
      <c r="PHD20" s="204"/>
      <c r="PHE20" s="204"/>
      <c r="PHF20" s="204"/>
      <c r="PHG20" s="204"/>
      <c r="PHH20" s="204"/>
      <c r="PHI20" s="204"/>
      <c r="PHJ20" s="204"/>
      <c r="PHK20" s="204"/>
      <c r="PHL20" s="204"/>
      <c r="PHM20" s="204"/>
      <c r="PHN20" s="204"/>
      <c r="PHO20" s="204"/>
      <c r="PHP20" s="204"/>
      <c r="PHQ20" s="204"/>
      <c r="PHR20" s="204"/>
      <c r="PHS20" s="204"/>
      <c r="PHT20" s="204"/>
      <c r="PHU20" s="204"/>
      <c r="PHV20" s="204"/>
      <c r="PHW20" s="204"/>
      <c r="PHX20" s="204"/>
      <c r="PHY20" s="204"/>
      <c r="PHZ20" s="204"/>
      <c r="PIA20" s="204"/>
      <c r="PIB20" s="204"/>
      <c r="PIC20" s="204"/>
      <c r="PID20" s="204"/>
      <c r="PIE20" s="204"/>
      <c r="PIF20" s="204"/>
      <c r="PIG20" s="204"/>
      <c r="PIH20" s="204"/>
      <c r="PII20" s="204"/>
      <c r="PIJ20" s="204"/>
      <c r="PIK20" s="204"/>
      <c r="PIL20" s="204"/>
      <c r="PIM20" s="204"/>
      <c r="PIN20" s="204"/>
      <c r="PIO20" s="204"/>
      <c r="PIP20" s="204"/>
      <c r="PIQ20" s="204"/>
      <c r="PIR20" s="204"/>
      <c r="PIS20" s="204"/>
      <c r="PIT20" s="204"/>
      <c r="PIU20" s="204"/>
      <c r="PIV20" s="204"/>
      <c r="PIW20" s="204"/>
      <c r="PIX20" s="204"/>
      <c r="PIY20" s="204"/>
      <c r="PIZ20" s="204"/>
      <c r="PJA20" s="204"/>
      <c r="PJB20" s="204"/>
      <c r="PJC20" s="204"/>
      <c r="PJD20" s="204"/>
      <c r="PJE20" s="204"/>
      <c r="PJF20" s="204"/>
      <c r="PJG20" s="204"/>
      <c r="PJH20" s="204"/>
      <c r="PJI20" s="204"/>
      <c r="PJJ20" s="204"/>
      <c r="PJK20" s="204"/>
      <c r="PJL20" s="204"/>
      <c r="PJM20" s="204"/>
      <c r="PJN20" s="204"/>
      <c r="PJO20" s="204"/>
      <c r="PJP20" s="204"/>
      <c r="PJQ20" s="204"/>
      <c r="PJR20" s="204"/>
      <c r="PJS20" s="204"/>
      <c r="PJT20" s="204"/>
      <c r="PJU20" s="204"/>
      <c r="PJV20" s="204"/>
      <c r="PJW20" s="204"/>
      <c r="PJX20" s="204"/>
      <c r="PJY20" s="204"/>
      <c r="PJZ20" s="204"/>
      <c r="PKA20" s="204"/>
      <c r="PKB20" s="204"/>
      <c r="PKC20" s="204"/>
      <c r="PKD20" s="204"/>
      <c r="PKE20" s="204"/>
      <c r="PKF20" s="204"/>
      <c r="PKG20" s="204"/>
      <c r="PKH20" s="204"/>
      <c r="PKI20" s="204"/>
      <c r="PKJ20" s="204"/>
      <c r="PKK20" s="204"/>
      <c r="PKL20" s="204"/>
      <c r="PKM20" s="204"/>
      <c r="PKN20" s="204"/>
      <c r="PKO20" s="204"/>
      <c r="PKP20" s="204"/>
      <c r="PKQ20" s="204"/>
      <c r="PKR20" s="204"/>
      <c r="PKS20" s="204"/>
      <c r="PKT20" s="204"/>
      <c r="PKU20" s="204"/>
      <c r="PKV20" s="204"/>
      <c r="PKW20" s="204"/>
      <c r="PKX20" s="204"/>
      <c r="PKY20" s="204"/>
      <c r="PKZ20" s="204"/>
      <c r="PLA20" s="204"/>
      <c r="PLB20" s="204"/>
      <c r="PLC20" s="204"/>
      <c r="PLD20" s="204"/>
      <c r="PLE20" s="204"/>
      <c r="PLF20" s="204"/>
      <c r="PLG20" s="204"/>
      <c r="PLH20" s="204"/>
      <c r="PLI20" s="204"/>
      <c r="PLJ20" s="204"/>
      <c r="PLK20" s="204"/>
      <c r="PLL20" s="204"/>
      <c r="PLM20" s="204"/>
      <c r="PLN20" s="204"/>
      <c r="PLO20" s="204"/>
      <c r="PLP20" s="204"/>
      <c r="PLQ20" s="204"/>
      <c r="PLR20" s="204"/>
      <c r="PLS20" s="204"/>
      <c r="PLT20" s="204"/>
      <c r="PLU20" s="204"/>
      <c r="PLV20" s="204"/>
      <c r="PLW20" s="204"/>
      <c r="PLX20" s="204"/>
      <c r="PLY20" s="204"/>
      <c r="PLZ20" s="204"/>
      <c r="PMA20" s="204"/>
      <c r="PMB20" s="204"/>
      <c r="PMC20" s="204"/>
      <c r="PMD20" s="204"/>
      <c r="PME20" s="204"/>
      <c r="PMF20" s="204"/>
      <c r="PMG20" s="204"/>
      <c r="PMH20" s="204"/>
      <c r="PMI20" s="204"/>
      <c r="PMJ20" s="204"/>
      <c r="PMK20" s="204"/>
      <c r="PML20" s="204"/>
      <c r="PMM20" s="204"/>
      <c r="PMN20" s="204"/>
      <c r="PMO20" s="204"/>
      <c r="PMP20" s="204"/>
      <c r="PMQ20" s="204"/>
      <c r="PMR20" s="204"/>
      <c r="PMS20" s="204"/>
      <c r="PMT20" s="204"/>
      <c r="PMU20" s="204"/>
      <c r="PMV20" s="204"/>
      <c r="PMW20" s="204"/>
      <c r="PMX20" s="204"/>
      <c r="PMY20" s="204"/>
      <c r="PMZ20" s="204"/>
      <c r="PNA20" s="204"/>
      <c r="PNB20" s="204"/>
      <c r="PNC20" s="204"/>
      <c r="PND20" s="204"/>
      <c r="PNE20" s="204"/>
      <c r="PNF20" s="204"/>
      <c r="PNG20" s="204"/>
      <c r="PNH20" s="204"/>
      <c r="PNI20" s="204"/>
      <c r="PNJ20" s="204"/>
      <c r="PNK20" s="204"/>
      <c r="PNL20" s="204"/>
      <c r="PNM20" s="204"/>
      <c r="PNN20" s="204"/>
      <c r="PNO20" s="204"/>
      <c r="PNP20" s="204"/>
      <c r="PNQ20" s="204"/>
      <c r="PNR20" s="204"/>
      <c r="PNS20" s="204"/>
      <c r="PNT20" s="204"/>
      <c r="PNU20" s="204"/>
      <c r="PNV20" s="204"/>
      <c r="PNW20" s="204"/>
      <c r="PNX20" s="204"/>
      <c r="PNY20" s="204"/>
      <c r="PNZ20" s="204"/>
      <c r="POA20" s="204"/>
      <c r="POB20" s="204"/>
      <c r="POC20" s="204"/>
      <c r="POD20" s="204"/>
      <c r="POE20" s="204"/>
      <c r="POF20" s="204"/>
      <c r="POG20" s="204"/>
      <c r="POH20" s="204"/>
      <c r="POI20" s="204"/>
      <c r="POJ20" s="204"/>
      <c r="POK20" s="204"/>
      <c r="POL20" s="204"/>
      <c r="POM20" s="204"/>
      <c r="PON20" s="204"/>
      <c r="POO20" s="204"/>
      <c r="POP20" s="204"/>
      <c r="POQ20" s="204"/>
      <c r="POR20" s="204"/>
      <c r="POS20" s="204"/>
      <c r="POT20" s="204"/>
      <c r="POU20" s="204"/>
      <c r="POV20" s="204"/>
      <c r="POW20" s="204"/>
      <c r="POX20" s="204"/>
      <c r="POY20" s="204"/>
      <c r="POZ20" s="204"/>
      <c r="PPA20" s="204"/>
      <c r="PPB20" s="204"/>
      <c r="PPC20" s="204"/>
      <c r="PPD20" s="204"/>
      <c r="PPE20" s="204"/>
      <c r="PPF20" s="204"/>
      <c r="PPG20" s="204"/>
      <c r="PPH20" s="204"/>
      <c r="PPI20" s="204"/>
      <c r="PPJ20" s="204"/>
      <c r="PPK20" s="204"/>
      <c r="PPL20" s="204"/>
      <c r="PPM20" s="204"/>
      <c r="PPN20" s="204"/>
      <c r="PPO20" s="204"/>
      <c r="PPP20" s="204"/>
      <c r="PPQ20" s="204"/>
      <c r="PPR20" s="204"/>
      <c r="PPS20" s="204"/>
      <c r="PPT20" s="204"/>
      <c r="PPU20" s="204"/>
      <c r="PPV20" s="204"/>
      <c r="PPW20" s="204"/>
      <c r="PPX20" s="204"/>
      <c r="PPY20" s="204"/>
      <c r="PPZ20" s="204"/>
      <c r="PQA20" s="204"/>
      <c r="PQB20" s="204"/>
      <c r="PQC20" s="204"/>
      <c r="PQD20" s="204"/>
      <c r="PQE20" s="204"/>
      <c r="PQF20" s="204"/>
      <c r="PQG20" s="204"/>
      <c r="PQH20" s="204"/>
      <c r="PQI20" s="204"/>
      <c r="PQJ20" s="204"/>
      <c r="PQK20" s="204"/>
      <c r="PQL20" s="204"/>
      <c r="PQM20" s="204"/>
      <c r="PQN20" s="204"/>
      <c r="PQO20" s="204"/>
      <c r="PQP20" s="204"/>
      <c r="PQQ20" s="204"/>
      <c r="PQR20" s="204"/>
      <c r="PQS20" s="204"/>
      <c r="PQT20" s="204"/>
      <c r="PQU20" s="204"/>
      <c r="PQV20" s="204"/>
      <c r="PQW20" s="204"/>
      <c r="PQX20" s="204"/>
      <c r="PQY20" s="204"/>
      <c r="PQZ20" s="204"/>
      <c r="PRA20" s="204"/>
      <c r="PRB20" s="204"/>
      <c r="PRC20" s="204"/>
      <c r="PRD20" s="204"/>
      <c r="PRE20" s="204"/>
      <c r="PRF20" s="204"/>
      <c r="PRG20" s="204"/>
      <c r="PRH20" s="204"/>
      <c r="PRI20" s="204"/>
      <c r="PRJ20" s="204"/>
      <c r="PRK20" s="204"/>
      <c r="PRL20" s="204"/>
      <c r="PRM20" s="204"/>
      <c r="PRN20" s="204"/>
      <c r="PRO20" s="204"/>
      <c r="PRP20" s="204"/>
      <c r="PRQ20" s="204"/>
      <c r="PRR20" s="204"/>
      <c r="PRS20" s="204"/>
      <c r="PRT20" s="204"/>
      <c r="PRU20" s="204"/>
      <c r="PRV20" s="204"/>
      <c r="PRW20" s="204"/>
      <c r="PRX20" s="204"/>
      <c r="PRY20" s="204"/>
      <c r="PRZ20" s="204"/>
      <c r="PSA20" s="204"/>
      <c r="PSB20" s="204"/>
      <c r="PSC20" s="204"/>
      <c r="PSD20" s="204"/>
      <c r="PSE20" s="204"/>
      <c r="PSF20" s="204"/>
      <c r="PSG20" s="204"/>
      <c r="PSH20" s="204"/>
      <c r="PSI20" s="204"/>
      <c r="PSJ20" s="204"/>
      <c r="PSK20" s="204"/>
      <c r="PSL20" s="204"/>
      <c r="PSM20" s="204"/>
      <c r="PSN20" s="204"/>
      <c r="PSO20" s="204"/>
      <c r="PSP20" s="204"/>
      <c r="PSQ20" s="204"/>
      <c r="PSR20" s="204"/>
      <c r="PSS20" s="204"/>
      <c r="PST20" s="204"/>
      <c r="PSU20" s="204"/>
      <c r="PSV20" s="204"/>
      <c r="PSW20" s="204"/>
      <c r="PSX20" s="204"/>
      <c r="PSY20" s="204"/>
      <c r="PSZ20" s="204"/>
      <c r="PTA20" s="204"/>
      <c r="PTB20" s="204"/>
      <c r="PTC20" s="204"/>
      <c r="PTD20" s="204"/>
      <c r="PTE20" s="204"/>
      <c r="PTF20" s="204"/>
      <c r="PTG20" s="204"/>
      <c r="PTH20" s="204"/>
      <c r="PTI20" s="204"/>
      <c r="PTJ20" s="204"/>
      <c r="PTK20" s="204"/>
      <c r="PTL20" s="204"/>
      <c r="PTM20" s="204"/>
      <c r="PTN20" s="204"/>
      <c r="PTO20" s="204"/>
      <c r="PTP20" s="204"/>
      <c r="PTQ20" s="204"/>
      <c r="PTR20" s="204"/>
      <c r="PTS20" s="204"/>
      <c r="PTT20" s="204"/>
      <c r="PTU20" s="204"/>
      <c r="PTV20" s="204"/>
      <c r="PTW20" s="204"/>
      <c r="PTX20" s="204"/>
      <c r="PTY20" s="204"/>
      <c r="PTZ20" s="204"/>
      <c r="PUA20" s="204"/>
      <c r="PUB20" s="204"/>
      <c r="PUC20" s="204"/>
      <c r="PUD20" s="204"/>
      <c r="PUE20" s="204"/>
      <c r="PUF20" s="204"/>
      <c r="PUG20" s="204"/>
      <c r="PUH20" s="204"/>
      <c r="PUI20" s="204"/>
      <c r="PUJ20" s="204"/>
      <c r="PUK20" s="204"/>
      <c r="PUL20" s="204"/>
      <c r="PUM20" s="204"/>
      <c r="PUN20" s="204"/>
      <c r="PUO20" s="204"/>
      <c r="PUP20" s="204"/>
      <c r="PUQ20" s="204"/>
      <c r="PUR20" s="204"/>
      <c r="PUS20" s="204"/>
      <c r="PUT20" s="204"/>
      <c r="PUU20" s="204"/>
      <c r="PUV20" s="204"/>
      <c r="PUW20" s="204"/>
      <c r="PUX20" s="204"/>
      <c r="PUY20" s="204"/>
      <c r="PUZ20" s="204"/>
      <c r="PVA20" s="204"/>
      <c r="PVB20" s="204"/>
      <c r="PVC20" s="204"/>
      <c r="PVD20" s="204"/>
      <c r="PVE20" s="204"/>
      <c r="PVF20" s="204"/>
      <c r="PVG20" s="204"/>
      <c r="PVH20" s="204"/>
      <c r="PVI20" s="204"/>
      <c r="PVJ20" s="204"/>
      <c r="PVK20" s="204"/>
      <c r="PVL20" s="204"/>
      <c r="PVM20" s="204"/>
      <c r="PVN20" s="204"/>
      <c r="PVO20" s="204"/>
      <c r="PVP20" s="204"/>
      <c r="PVQ20" s="204"/>
      <c r="PVR20" s="204"/>
      <c r="PVS20" s="204"/>
      <c r="PVT20" s="204"/>
      <c r="PVU20" s="204"/>
      <c r="PVV20" s="204"/>
      <c r="PVW20" s="204"/>
      <c r="PVX20" s="204"/>
      <c r="PVY20" s="204"/>
      <c r="PVZ20" s="204"/>
      <c r="PWA20" s="204"/>
      <c r="PWB20" s="204"/>
      <c r="PWC20" s="204"/>
      <c r="PWD20" s="204"/>
      <c r="PWE20" s="204"/>
      <c r="PWF20" s="204"/>
      <c r="PWG20" s="204"/>
      <c r="PWH20" s="204"/>
      <c r="PWI20" s="204"/>
      <c r="PWJ20" s="204"/>
      <c r="PWK20" s="204"/>
      <c r="PWL20" s="204"/>
      <c r="PWM20" s="204"/>
      <c r="PWN20" s="204"/>
      <c r="PWO20" s="204"/>
      <c r="PWP20" s="204"/>
      <c r="PWQ20" s="204"/>
      <c r="PWR20" s="204"/>
      <c r="PWS20" s="204"/>
      <c r="PWT20" s="204"/>
      <c r="PWU20" s="204"/>
      <c r="PWV20" s="204"/>
      <c r="PWW20" s="204"/>
      <c r="PWX20" s="204"/>
      <c r="PWY20" s="204"/>
      <c r="PWZ20" s="204"/>
      <c r="PXA20" s="204"/>
      <c r="PXB20" s="204"/>
      <c r="PXC20" s="204"/>
      <c r="PXD20" s="204"/>
      <c r="PXE20" s="204"/>
      <c r="PXF20" s="204"/>
      <c r="PXG20" s="204"/>
      <c r="PXH20" s="204"/>
      <c r="PXI20" s="204"/>
      <c r="PXJ20" s="204"/>
      <c r="PXK20" s="204"/>
      <c r="PXL20" s="204"/>
      <c r="PXM20" s="204"/>
      <c r="PXN20" s="204"/>
      <c r="PXO20" s="204"/>
      <c r="PXP20" s="204"/>
      <c r="PXQ20" s="204"/>
      <c r="PXR20" s="204"/>
      <c r="PXS20" s="204"/>
      <c r="PXT20" s="204"/>
      <c r="PXU20" s="204"/>
      <c r="PXV20" s="204"/>
      <c r="PXW20" s="204"/>
      <c r="PXX20" s="204"/>
      <c r="PXY20" s="204"/>
      <c r="PXZ20" s="204"/>
      <c r="PYA20" s="204"/>
      <c r="PYB20" s="204"/>
      <c r="PYC20" s="204"/>
      <c r="PYD20" s="204"/>
      <c r="PYE20" s="204"/>
      <c r="PYF20" s="204"/>
      <c r="PYG20" s="204"/>
      <c r="PYH20" s="204"/>
      <c r="PYI20" s="204"/>
      <c r="PYJ20" s="204"/>
      <c r="PYK20" s="204"/>
      <c r="PYL20" s="204"/>
      <c r="PYM20" s="204"/>
      <c r="PYN20" s="204"/>
      <c r="PYO20" s="204"/>
      <c r="PYP20" s="204"/>
      <c r="PYQ20" s="204"/>
      <c r="PYR20" s="204"/>
      <c r="PYS20" s="204"/>
      <c r="PYT20" s="204"/>
      <c r="PYU20" s="204"/>
      <c r="PYV20" s="204"/>
      <c r="PYW20" s="204"/>
      <c r="PYX20" s="204"/>
      <c r="PYY20" s="204"/>
      <c r="PYZ20" s="204"/>
      <c r="PZA20" s="204"/>
      <c r="PZB20" s="204"/>
      <c r="PZC20" s="204"/>
      <c r="PZD20" s="204"/>
      <c r="PZE20" s="204"/>
      <c r="PZF20" s="204"/>
      <c r="PZG20" s="204"/>
      <c r="PZH20" s="204"/>
      <c r="PZI20" s="204"/>
      <c r="PZJ20" s="204"/>
      <c r="PZK20" s="204"/>
      <c r="PZL20" s="204"/>
      <c r="PZM20" s="204"/>
      <c r="PZN20" s="204"/>
      <c r="PZO20" s="204"/>
      <c r="PZP20" s="204"/>
      <c r="PZQ20" s="204"/>
      <c r="PZR20" s="204"/>
      <c r="PZS20" s="204"/>
      <c r="PZT20" s="204"/>
      <c r="PZU20" s="204"/>
      <c r="PZV20" s="204"/>
      <c r="PZW20" s="204"/>
      <c r="PZX20" s="204"/>
      <c r="PZY20" s="204"/>
      <c r="PZZ20" s="204"/>
      <c r="QAA20" s="204"/>
      <c r="QAB20" s="204"/>
      <c r="QAC20" s="204"/>
      <c r="QAD20" s="204"/>
      <c r="QAE20" s="204"/>
      <c r="QAF20" s="204"/>
      <c r="QAG20" s="204"/>
      <c r="QAH20" s="204"/>
      <c r="QAI20" s="204"/>
      <c r="QAJ20" s="204"/>
      <c r="QAK20" s="204"/>
      <c r="QAL20" s="204"/>
      <c r="QAM20" s="204"/>
      <c r="QAN20" s="204"/>
      <c r="QAO20" s="204"/>
      <c r="QAP20" s="204"/>
      <c r="QAQ20" s="204"/>
      <c r="QAR20" s="204"/>
      <c r="QAS20" s="204"/>
      <c r="QAT20" s="204"/>
      <c r="QAU20" s="204"/>
      <c r="QAV20" s="204"/>
      <c r="QAW20" s="204"/>
      <c r="QAX20" s="204"/>
      <c r="QAY20" s="204"/>
      <c r="QAZ20" s="204"/>
      <c r="QBA20" s="204"/>
      <c r="QBB20" s="204"/>
      <c r="QBC20" s="204"/>
      <c r="QBD20" s="204"/>
      <c r="QBE20" s="204"/>
      <c r="QBF20" s="204"/>
      <c r="QBG20" s="204"/>
      <c r="QBH20" s="204"/>
      <c r="QBI20" s="204"/>
      <c r="QBJ20" s="204"/>
      <c r="QBK20" s="204"/>
      <c r="QBL20" s="204"/>
      <c r="QBM20" s="204"/>
      <c r="QBN20" s="204"/>
      <c r="QBO20" s="204"/>
      <c r="QBP20" s="204"/>
      <c r="QBQ20" s="204"/>
      <c r="QBR20" s="204"/>
      <c r="QBS20" s="204"/>
      <c r="QBT20" s="204"/>
      <c r="QBU20" s="204"/>
      <c r="QBV20" s="204"/>
      <c r="QBW20" s="204"/>
      <c r="QBX20" s="204"/>
      <c r="QBY20" s="204"/>
      <c r="QBZ20" s="204"/>
      <c r="QCA20" s="204"/>
      <c r="QCB20" s="204"/>
      <c r="QCC20" s="204"/>
      <c r="QCD20" s="204"/>
      <c r="QCE20" s="204"/>
      <c r="QCF20" s="204"/>
      <c r="QCG20" s="204"/>
      <c r="QCH20" s="204"/>
      <c r="QCI20" s="204"/>
      <c r="QCJ20" s="204"/>
      <c r="QCK20" s="204"/>
      <c r="QCL20" s="204"/>
      <c r="QCM20" s="204"/>
      <c r="QCN20" s="204"/>
      <c r="QCO20" s="204"/>
      <c r="QCP20" s="204"/>
      <c r="QCQ20" s="204"/>
      <c r="QCR20" s="204"/>
      <c r="QCS20" s="204"/>
      <c r="QCT20" s="204"/>
      <c r="QCU20" s="204"/>
      <c r="QCV20" s="204"/>
      <c r="QCW20" s="204"/>
      <c r="QCX20" s="204"/>
      <c r="QCY20" s="204"/>
      <c r="QCZ20" s="204"/>
      <c r="QDA20" s="204"/>
      <c r="QDB20" s="204"/>
      <c r="QDC20" s="204"/>
      <c r="QDD20" s="204"/>
      <c r="QDE20" s="204"/>
      <c r="QDF20" s="204"/>
      <c r="QDG20" s="204"/>
      <c r="QDH20" s="204"/>
      <c r="QDI20" s="204"/>
      <c r="QDJ20" s="204"/>
      <c r="QDK20" s="204"/>
      <c r="QDL20" s="204"/>
      <c r="QDM20" s="204"/>
      <c r="QDN20" s="204"/>
      <c r="QDO20" s="204"/>
      <c r="QDP20" s="204"/>
      <c r="QDQ20" s="204"/>
      <c r="QDR20" s="204"/>
      <c r="QDS20" s="204"/>
      <c r="QDT20" s="204"/>
      <c r="QDU20" s="204"/>
      <c r="QDV20" s="204"/>
      <c r="QDW20" s="204"/>
      <c r="QDX20" s="204"/>
      <c r="QDY20" s="204"/>
      <c r="QDZ20" s="204"/>
      <c r="QEA20" s="204"/>
      <c r="QEB20" s="204"/>
      <c r="QEC20" s="204"/>
      <c r="QED20" s="204"/>
      <c r="QEE20" s="204"/>
      <c r="QEF20" s="204"/>
      <c r="QEG20" s="204"/>
      <c r="QEH20" s="204"/>
      <c r="QEI20" s="204"/>
      <c r="QEJ20" s="204"/>
      <c r="QEK20" s="204"/>
      <c r="QEL20" s="204"/>
      <c r="QEM20" s="204"/>
      <c r="QEN20" s="204"/>
      <c r="QEO20" s="204"/>
      <c r="QEP20" s="204"/>
      <c r="QEQ20" s="204"/>
      <c r="QER20" s="204"/>
      <c r="QES20" s="204"/>
      <c r="QET20" s="204"/>
      <c r="QEU20" s="204"/>
      <c r="QEV20" s="204"/>
      <c r="QEW20" s="204"/>
      <c r="QEX20" s="204"/>
      <c r="QEY20" s="204"/>
      <c r="QEZ20" s="204"/>
      <c r="QFA20" s="204"/>
      <c r="QFB20" s="204"/>
      <c r="QFC20" s="204"/>
      <c r="QFD20" s="204"/>
      <c r="QFE20" s="204"/>
      <c r="QFF20" s="204"/>
      <c r="QFG20" s="204"/>
      <c r="QFH20" s="204"/>
      <c r="QFI20" s="204"/>
      <c r="QFJ20" s="204"/>
      <c r="QFK20" s="204"/>
      <c r="QFL20" s="204"/>
      <c r="QFM20" s="204"/>
      <c r="QFN20" s="204"/>
      <c r="QFO20" s="204"/>
      <c r="QFP20" s="204"/>
      <c r="QFQ20" s="204"/>
      <c r="QFR20" s="204"/>
      <c r="QFS20" s="204"/>
      <c r="QFT20" s="204"/>
      <c r="QFU20" s="204"/>
      <c r="QFV20" s="204"/>
      <c r="QFW20" s="204"/>
      <c r="QFX20" s="204"/>
      <c r="QFY20" s="204"/>
      <c r="QFZ20" s="204"/>
      <c r="QGA20" s="204"/>
      <c r="QGB20" s="204"/>
      <c r="QGC20" s="204"/>
      <c r="QGD20" s="204"/>
      <c r="QGE20" s="204"/>
      <c r="QGF20" s="204"/>
      <c r="QGG20" s="204"/>
      <c r="QGH20" s="204"/>
      <c r="QGI20" s="204"/>
      <c r="QGJ20" s="204"/>
      <c r="QGK20" s="204"/>
      <c r="QGL20" s="204"/>
      <c r="QGM20" s="204"/>
      <c r="QGN20" s="204"/>
      <c r="QGO20" s="204"/>
      <c r="QGP20" s="204"/>
      <c r="QGQ20" s="204"/>
      <c r="QGR20" s="204"/>
      <c r="QGS20" s="204"/>
      <c r="QGT20" s="204"/>
      <c r="QGU20" s="204"/>
      <c r="QGV20" s="204"/>
      <c r="QGW20" s="204"/>
      <c r="QGX20" s="204"/>
      <c r="QGY20" s="204"/>
      <c r="QGZ20" s="204"/>
      <c r="QHA20" s="204"/>
      <c r="QHB20" s="204"/>
      <c r="QHC20" s="204"/>
      <c r="QHD20" s="204"/>
      <c r="QHE20" s="204"/>
      <c r="QHF20" s="204"/>
      <c r="QHG20" s="204"/>
      <c r="QHH20" s="204"/>
      <c r="QHI20" s="204"/>
      <c r="QHJ20" s="204"/>
      <c r="QHK20" s="204"/>
      <c r="QHL20" s="204"/>
      <c r="QHM20" s="204"/>
      <c r="QHN20" s="204"/>
      <c r="QHO20" s="204"/>
      <c r="QHP20" s="204"/>
      <c r="QHQ20" s="204"/>
      <c r="QHR20" s="204"/>
      <c r="QHS20" s="204"/>
      <c r="QHT20" s="204"/>
      <c r="QHU20" s="204"/>
      <c r="QHV20" s="204"/>
      <c r="QHW20" s="204"/>
      <c r="QHX20" s="204"/>
      <c r="QHY20" s="204"/>
      <c r="QHZ20" s="204"/>
      <c r="QIA20" s="204"/>
      <c r="QIB20" s="204"/>
      <c r="QIC20" s="204"/>
      <c r="QID20" s="204"/>
      <c r="QIE20" s="204"/>
      <c r="QIF20" s="204"/>
      <c r="QIG20" s="204"/>
      <c r="QIH20" s="204"/>
      <c r="QII20" s="204"/>
      <c r="QIJ20" s="204"/>
      <c r="QIK20" s="204"/>
      <c r="QIL20" s="204"/>
      <c r="QIM20" s="204"/>
      <c r="QIN20" s="204"/>
      <c r="QIO20" s="204"/>
      <c r="QIP20" s="204"/>
      <c r="QIQ20" s="204"/>
      <c r="QIR20" s="204"/>
      <c r="QIS20" s="204"/>
      <c r="QIT20" s="204"/>
      <c r="QIU20" s="204"/>
      <c r="QIV20" s="204"/>
      <c r="QIW20" s="204"/>
      <c r="QIX20" s="204"/>
      <c r="QIY20" s="204"/>
      <c r="QIZ20" s="204"/>
      <c r="QJA20" s="204"/>
      <c r="QJB20" s="204"/>
      <c r="QJC20" s="204"/>
      <c r="QJD20" s="204"/>
      <c r="QJE20" s="204"/>
      <c r="QJF20" s="204"/>
      <c r="QJG20" s="204"/>
      <c r="QJH20" s="204"/>
      <c r="QJI20" s="204"/>
      <c r="QJJ20" s="204"/>
      <c r="QJK20" s="204"/>
      <c r="QJL20" s="204"/>
      <c r="QJM20" s="204"/>
      <c r="QJN20" s="204"/>
      <c r="QJO20" s="204"/>
      <c r="QJP20" s="204"/>
      <c r="QJQ20" s="204"/>
      <c r="QJR20" s="204"/>
      <c r="QJS20" s="204"/>
      <c r="QJT20" s="204"/>
      <c r="QJU20" s="204"/>
      <c r="QJV20" s="204"/>
      <c r="QJW20" s="204"/>
      <c r="QJX20" s="204"/>
      <c r="QJY20" s="204"/>
      <c r="QJZ20" s="204"/>
      <c r="QKA20" s="204"/>
      <c r="QKB20" s="204"/>
      <c r="QKC20" s="204"/>
      <c r="QKD20" s="204"/>
      <c r="QKE20" s="204"/>
      <c r="QKF20" s="204"/>
      <c r="QKG20" s="204"/>
      <c r="QKH20" s="204"/>
      <c r="QKI20" s="204"/>
      <c r="QKJ20" s="204"/>
      <c r="QKK20" s="204"/>
      <c r="QKL20" s="204"/>
      <c r="QKM20" s="204"/>
      <c r="QKN20" s="204"/>
      <c r="QKO20" s="204"/>
      <c r="QKP20" s="204"/>
      <c r="QKQ20" s="204"/>
      <c r="QKR20" s="204"/>
      <c r="QKS20" s="204"/>
      <c r="QKT20" s="204"/>
      <c r="QKU20" s="204"/>
      <c r="QKV20" s="204"/>
      <c r="QKW20" s="204"/>
      <c r="QKX20" s="204"/>
      <c r="QKY20" s="204"/>
      <c r="QKZ20" s="204"/>
      <c r="QLA20" s="204"/>
      <c r="QLB20" s="204"/>
      <c r="QLC20" s="204"/>
      <c r="QLD20" s="204"/>
      <c r="QLE20" s="204"/>
      <c r="QLF20" s="204"/>
      <c r="QLG20" s="204"/>
      <c r="QLH20" s="204"/>
      <c r="QLI20" s="204"/>
      <c r="QLJ20" s="204"/>
      <c r="QLK20" s="204"/>
      <c r="QLL20" s="204"/>
      <c r="QLM20" s="204"/>
      <c r="QLN20" s="204"/>
      <c r="QLO20" s="204"/>
      <c r="QLP20" s="204"/>
      <c r="QLQ20" s="204"/>
      <c r="QLR20" s="204"/>
      <c r="QLS20" s="204"/>
      <c r="QLT20" s="204"/>
      <c r="QLU20" s="204"/>
      <c r="QLV20" s="204"/>
      <c r="QLW20" s="204"/>
      <c r="QLX20" s="204"/>
      <c r="QLY20" s="204"/>
      <c r="QLZ20" s="204"/>
      <c r="QMA20" s="204"/>
      <c r="QMB20" s="204"/>
      <c r="QMC20" s="204"/>
      <c r="QMD20" s="204"/>
      <c r="QME20" s="204"/>
      <c r="QMF20" s="204"/>
      <c r="QMG20" s="204"/>
      <c r="QMH20" s="204"/>
      <c r="QMI20" s="204"/>
      <c r="QMJ20" s="204"/>
      <c r="QMK20" s="204"/>
      <c r="QML20" s="204"/>
      <c r="QMM20" s="204"/>
      <c r="QMN20" s="204"/>
      <c r="QMO20" s="204"/>
      <c r="QMP20" s="204"/>
      <c r="QMQ20" s="204"/>
      <c r="QMR20" s="204"/>
      <c r="QMS20" s="204"/>
      <c r="QMT20" s="204"/>
      <c r="QMU20" s="204"/>
      <c r="QMV20" s="204"/>
      <c r="QMW20" s="204"/>
      <c r="QMX20" s="204"/>
      <c r="QMY20" s="204"/>
      <c r="QMZ20" s="204"/>
      <c r="QNA20" s="204"/>
      <c r="QNB20" s="204"/>
      <c r="QNC20" s="204"/>
      <c r="QND20" s="204"/>
      <c r="QNE20" s="204"/>
      <c r="QNF20" s="204"/>
      <c r="QNG20" s="204"/>
      <c r="QNH20" s="204"/>
      <c r="QNI20" s="204"/>
      <c r="QNJ20" s="204"/>
      <c r="QNK20" s="204"/>
      <c r="QNL20" s="204"/>
      <c r="QNM20" s="204"/>
      <c r="QNN20" s="204"/>
      <c r="QNO20" s="204"/>
      <c r="QNP20" s="204"/>
      <c r="QNQ20" s="204"/>
      <c r="QNR20" s="204"/>
      <c r="QNS20" s="204"/>
      <c r="QNT20" s="204"/>
      <c r="QNU20" s="204"/>
      <c r="QNV20" s="204"/>
      <c r="QNW20" s="204"/>
      <c r="QNX20" s="204"/>
      <c r="QNY20" s="204"/>
      <c r="QNZ20" s="204"/>
      <c r="QOA20" s="204"/>
      <c r="QOB20" s="204"/>
      <c r="QOC20" s="204"/>
      <c r="QOD20" s="204"/>
      <c r="QOE20" s="204"/>
      <c r="QOF20" s="204"/>
      <c r="QOG20" s="204"/>
      <c r="QOH20" s="204"/>
      <c r="QOI20" s="204"/>
      <c r="QOJ20" s="204"/>
      <c r="QOK20" s="204"/>
      <c r="QOL20" s="204"/>
      <c r="QOM20" s="204"/>
      <c r="QON20" s="204"/>
      <c r="QOO20" s="204"/>
      <c r="QOP20" s="204"/>
      <c r="QOQ20" s="204"/>
      <c r="QOR20" s="204"/>
      <c r="QOS20" s="204"/>
      <c r="QOT20" s="204"/>
      <c r="QOU20" s="204"/>
      <c r="QOV20" s="204"/>
      <c r="QOW20" s="204"/>
      <c r="QOX20" s="204"/>
      <c r="QOY20" s="204"/>
      <c r="QOZ20" s="204"/>
      <c r="QPA20" s="204"/>
      <c r="QPB20" s="204"/>
      <c r="QPC20" s="204"/>
      <c r="QPD20" s="204"/>
      <c r="QPE20" s="204"/>
      <c r="QPF20" s="204"/>
      <c r="QPG20" s="204"/>
      <c r="QPH20" s="204"/>
      <c r="QPI20" s="204"/>
      <c r="QPJ20" s="204"/>
      <c r="QPK20" s="204"/>
      <c r="QPL20" s="204"/>
      <c r="QPM20" s="204"/>
      <c r="QPN20" s="204"/>
      <c r="QPO20" s="204"/>
      <c r="QPP20" s="204"/>
      <c r="QPQ20" s="204"/>
      <c r="QPR20" s="204"/>
      <c r="QPS20" s="204"/>
      <c r="QPT20" s="204"/>
      <c r="QPU20" s="204"/>
      <c r="QPV20" s="204"/>
      <c r="QPW20" s="204"/>
      <c r="QPX20" s="204"/>
      <c r="QPY20" s="204"/>
      <c r="QPZ20" s="204"/>
      <c r="QQA20" s="204"/>
      <c r="QQB20" s="204"/>
      <c r="QQC20" s="204"/>
      <c r="QQD20" s="204"/>
      <c r="QQE20" s="204"/>
      <c r="QQF20" s="204"/>
      <c r="QQG20" s="204"/>
      <c r="QQH20" s="204"/>
      <c r="QQI20" s="204"/>
      <c r="QQJ20" s="204"/>
      <c r="QQK20" s="204"/>
      <c r="QQL20" s="204"/>
      <c r="QQM20" s="204"/>
      <c r="QQN20" s="204"/>
      <c r="QQO20" s="204"/>
      <c r="QQP20" s="204"/>
      <c r="QQQ20" s="204"/>
      <c r="QQR20" s="204"/>
      <c r="QQS20" s="204"/>
      <c r="QQT20" s="204"/>
      <c r="QQU20" s="204"/>
      <c r="QQV20" s="204"/>
      <c r="QQW20" s="204"/>
      <c r="QQX20" s="204"/>
      <c r="QQY20" s="204"/>
      <c r="QQZ20" s="204"/>
      <c r="QRA20" s="204"/>
      <c r="QRB20" s="204"/>
      <c r="QRC20" s="204"/>
      <c r="QRD20" s="204"/>
      <c r="QRE20" s="204"/>
      <c r="QRF20" s="204"/>
      <c r="QRG20" s="204"/>
      <c r="QRH20" s="204"/>
      <c r="QRI20" s="204"/>
      <c r="QRJ20" s="204"/>
      <c r="QRK20" s="204"/>
      <c r="QRL20" s="204"/>
      <c r="QRM20" s="204"/>
      <c r="QRN20" s="204"/>
      <c r="QRO20" s="204"/>
      <c r="QRP20" s="204"/>
      <c r="QRQ20" s="204"/>
      <c r="QRR20" s="204"/>
      <c r="QRS20" s="204"/>
      <c r="QRT20" s="204"/>
      <c r="QRU20" s="204"/>
      <c r="QRV20" s="204"/>
      <c r="QRW20" s="204"/>
      <c r="QRX20" s="204"/>
      <c r="QRY20" s="204"/>
      <c r="QRZ20" s="204"/>
      <c r="QSA20" s="204"/>
      <c r="QSB20" s="204"/>
      <c r="QSC20" s="204"/>
      <c r="QSD20" s="204"/>
      <c r="QSE20" s="204"/>
      <c r="QSF20" s="204"/>
      <c r="QSG20" s="204"/>
      <c r="QSH20" s="204"/>
      <c r="QSI20" s="204"/>
      <c r="QSJ20" s="204"/>
      <c r="QSK20" s="204"/>
      <c r="QSL20" s="204"/>
      <c r="QSM20" s="204"/>
      <c r="QSN20" s="204"/>
      <c r="QSO20" s="204"/>
      <c r="QSP20" s="204"/>
      <c r="QSQ20" s="204"/>
      <c r="QSR20" s="204"/>
      <c r="QSS20" s="204"/>
      <c r="QST20" s="204"/>
      <c r="QSU20" s="204"/>
      <c r="QSV20" s="204"/>
      <c r="QSW20" s="204"/>
      <c r="QSX20" s="204"/>
      <c r="QSY20" s="204"/>
      <c r="QSZ20" s="204"/>
      <c r="QTA20" s="204"/>
      <c r="QTB20" s="204"/>
      <c r="QTC20" s="204"/>
      <c r="QTD20" s="204"/>
      <c r="QTE20" s="204"/>
      <c r="QTF20" s="204"/>
      <c r="QTG20" s="204"/>
      <c r="QTH20" s="204"/>
      <c r="QTI20" s="204"/>
      <c r="QTJ20" s="204"/>
      <c r="QTK20" s="204"/>
      <c r="QTL20" s="204"/>
      <c r="QTM20" s="204"/>
      <c r="QTN20" s="204"/>
      <c r="QTO20" s="204"/>
      <c r="QTP20" s="204"/>
      <c r="QTQ20" s="204"/>
      <c r="QTR20" s="204"/>
      <c r="QTS20" s="204"/>
      <c r="QTT20" s="204"/>
      <c r="QTU20" s="204"/>
      <c r="QTV20" s="204"/>
      <c r="QTW20" s="204"/>
      <c r="QTX20" s="204"/>
      <c r="QTY20" s="204"/>
      <c r="QTZ20" s="204"/>
      <c r="QUA20" s="204"/>
      <c r="QUB20" s="204"/>
      <c r="QUC20" s="204"/>
      <c r="QUD20" s="204"/>
      <c r="QUE20" s="204"/>
      <c r="QUF20" s="204"/>
      <c r="QUG20" s="204"/>
      <c r="QUH20" s="204"/>
      <c r="QUI20" s="204"/>
      <c r="QUJ20" s="204"/>
      <c r="QUK20" s="204"/>
      <c r="QUL20" s="204"/>
      <c r="QUM20" s="204"/>
      <c r="QUN20" s="204"/>
      <c r="QUO20" s="204"/>
      <c r="QUP20" s="204"/>
      <c r="QUQ20" s="204"/>
      <c r="QUR20" s="204"/>
      <c r="QUS20" s="204"/>
      <c r="QUT20" s="204"/>
      <c r="QUU20" s="204"/>
      <c r="QUV20" s="204"/>
      <c r="QUW20" s="204"/>
      <c r="QUX20" s="204"/>
      <c r="QUY20" s="204"/>
      <c r="QUZ20" s="204"/>
      <c r="QVA20" s="204"/>
      <c r="QVB20" s="204"/>
      <c r="QVC20" s="204"/>
      <c r="QVD20" s="204"/>
      <c r="QVE20" s="204"/>
      <c r="QVF20" s="204"/>
      <c r="QVG20" s="204"/>
      <c r="QVH20" s="204"/>
      <c r="QVI20" s="204"/>
      <c r="QVJ20" s="204"/>
      <c r="QVK20" s="204"/>
      <c r="QVL20" s="204"/>
      <c r="QVM20" s="204"/>
      <c r="QVN20" s="204"/>
      <c r="QVO20" s="204"/>
      <c r="QVP20" s="204"/>
      <c r="QVQ20" s="204"/>
      <c r="QVR20" s="204"/>
      <c r="QVS20" s="204"/>
      <c r="QVT20" s="204"/>
      <c r="QVU20" s="204"/>
      <c r="QVV20" s="204"/>
      <c r="QVW20" s="204"/>
      <c r="QVX20" s="204"/>
      <c r="QVY20" s="204"/>
      <c r="QVZ20" s="204"/>
      <c r="QWA20" s="204"/>
      <c r="QWB20" s="204"/>
      <c r="QWC20" s="204"/>
      <c r="QWD20" s="204"/>
      <c r="QWE20" s="204"/>
      <c r="QWF20" s="204"/>
      <c r="QWG20" s="204"/>
      <c r="QWH20" s="204"/>
      <c r="QWI20" s="204"/>
      <c r="QWJ20" s="204"/>
      <c r="QWK20" s="204"/>
      <c r="QWL20" s="204"/>
      <c r="QWM20" s="204"/>
      <c r="QWN20" s="204"/>
      <c r="QWO20" s="204"/>
      <c r="QWP20" s="204"/>
      <c r="QWQ20" s="204"/>
      <c r="QWR20" s="204"/>
      <c r="QWS20" s="204"/>
      <c r="QWT20" s="204"/>
      <c r="QWU20" s="204"/>
      <c r="QWV20" s="204"/>
      <c r="QWW20" s="204"/>
      <c r="QWX20" s="204"/>
      <c r="QWY20" s="204"/>
      <c r="QWZ20" s="204"/>
      <c r="QXA20" s="204"/>
      <c r="QXB20" s="204"/>
      <c r="QXC20" s="204"/>
      <c r="QXD20" s="204"/>
      <c r="QXE20" s="204"/>
      <c r="QXF20" s="204"/>
      <c r="QXG20" s="204"/>
      <c r="QXH20" s="204"/>
      <c r="QXI20" s="204"/>
      <c r="QXJ20" s="204"/>
      <c r="QXK20" s="204"/>
      <c r="QXL20" s="204"/>
      <c r="QXM20" s="204"/>
      <c r="QXN20" s="204"/>
      <c r="QXO20" s="204"/>
      <c r="QXP20" s="204"/>
      <c r="QXQ20" s="204"/>
      <c r="QXR20" s="204"/>
      <c r="QXS20" s="204"/>
      <c r="QXT20" s="204"/>
      <c r="QXU20" s="204"/>
      <c r="QXV20" s="204"/>
      <c r="QXW20" s="204"/>
      <c r="QXX20" s="204"/>
      <c r="QXY20" s="204"/>
      <c r="QXZ20" s="204"/>
      <c r="QYA20" s="204"/>
      <c r="QYB20" s="204"/>
      <c r="QYC20" s="204"/>
      <c r="QYD20" s="204"/>
      <c r="QYE20" s="204"/>
      <c r="QYF20" s="204"/>
      <c r="QYG20" s="204"/>
      <c r="QYH20" s="204"/>
      <c r="QYI20" s="204"/>
      <c r="QYJ20" s="204"/>
      <c r="QYK20" s="204"/>
      <c r="QYL20" s="204"/>
      <c r="QYM20" s="204"/>
      <c r="QYN20" s="204"/>
      <c r="QYO20" s="204"/>
      <c r="QYP20" s="204"/>
      <c r="QYQ20" s="204"/>
      <c r="QYR20" s="204"/>
      <c r="QYS20" s="204"/>
      <c r="QYT20" s="204"/>
      <c r="QYU20" s="204"/>
      <c r="QYV20" s="204"/>
      <c r="QYW20" s="204"/>
      <c r="QYX20" s="204"/>
      <c r="QYY20" s="204"/>
      <c r="QYZ20" s="204"/>
      <c r="QZA20" s="204"/>
      <c r="QZB20" s="204"/>
      <c r="QZC20" s="204"/>
      <c r="QZD20" s="204"/>
      <c r="QZE20" s="204"/>
      <c r="QZF20" s="204"/>
      <c r="QZG20" s="204"/>
      <c r="QZH20" s="204"/>
      <c r="QZI20" s="204"/>
      <c r="QZJ20" s="204"/>
      <c r="QZK20" s="204"/>
      <c r="QZL20" s="204"/>
      <c r="QZM20" s="204"/>
      <c r="QZN20" s="204"/>
      <c r="QZO20" s="204"/>
      <c r="QZP20" s="204"/>
      <c r="QZQ20" s="204"/>
      <c r="QZR20" s="204"/>
      <c r="QZS20" s="204"/>
      <c r="QZT20" s="204"/>
      <c r="QZU20" s="204"/>
      <c r="QZV20" s="204"/>
      <c r="QZW20" s="204"/>
      <c r="QZX20" s="204"/>
      <c r="QZY20" s="204"/>
      <c r="QZZ20" s="204"/>
      <c r="RAA20" s="204"/>
      <c r="RAB20" s="204"/>
      <c r="RAC20" s="204"/>
      <c r="RAD20" s="204"/>
      <c r="RAE20" s="204"/>
      <c r="RAF20" s="204"/>
      <c r="RAG20" s="204"/>
      <c r="RAH20" s="204"/>
      <c r="RAI20" s="204"/>
      <c r="RAJ20" s="204"/>
      <c r="RAK20" s="204"/>
      <c r="RAL20" s="204"/>
      <c r="RAM20" s="204"/>
      <c r="RAN20" s="204"/>
      <c r="RAO20" s="204"/>
      <c r="RAP20" s="204"/>
      <c r="RAQ20" s="204"/>
      <c r="RAR20" s="204"/>
      <c r="RAS20" s="204"/>
      <c r="RAT20" s="204"/>
      <c r="RAU20" s="204"/>
      <c r="RAV20" s="204"/>
      <c r="RAW20" s="204"/>
      <c r="RAX20" s="204"/>
      <c r="RAY20" s="204"/>
      <c r="RAZ20" s="204"/>
      <c r="RBA20" s="204"/>
      <c r="RBB20" s="204"/>
      <c r="RBC20" s="204"/>
      <c r="RBD20" s="204"/>
      <c r="RBE20" s="204"/>
      <c r="RBF20" s="204"/>
      <c r="RBG20" s="204"/>
      <c r="RBH20" s="204"/>
      <c r="RBI20" s="204"/>
      <c r="RBJ20" s="204"/>
      <c r="RBK20" s="204"/>
      <c r="RBL20" s="204"/>
      <c r="RBM20" s="204"/>
      <c r="RBN20" s="204"/>
      <c r="RBO20" s="204"/>
      <c r="RBP20" s="204"/>
      <c r="RBQ20" s="204"/>
      <c r="RBR20" s="204"/>
      <c r="RBS20" s="204"/>
      <c r="RBT20" s="204"/>
      <c r="RBU20" s="204"/>
      <c r="RBV20" s="204"/>
      <c r="RBW20" s="204"/>
      <c r="RBX20" s="204"/>
      <c r="RBY20" s="204"/>
      <c r="RBZ20" s="204"/>
      <c r="RCA20" s="204"/>
      <c r="RCB20" s="204"/>
      <c r="RCC20" s="204"/>
      <c r="RCD20" s="204"/>
      <c r="RCE20" s="204"/>
      <c r="RCF20" s="204"/>
      <c r="RCG20" s="204"/>
      <c r="RCH20" s="204"/>
      <c r="RCI20" s="204"/>
      <c r="RCJ20" s="204"/>
      <c r="RCK20" s="204"/>
      <c r="RCL20" s="204"/>
      <c r="RCM20" s="204"/>
      <c r="RCN20" s="204"/>
      <c r="RCO20" s="204"/>
      <c r="RCP20" s="204"/>
      <c r="RCQ20" s="204"/>
      <c r="RCR20" s="204"/>
      <c r="RCS20" s="204"/>
      <c r="RCT20" s="204"/>
      <c r="RCU20" s="204"/>
      <c r="RCV20" s="204"/>
      <c r="RCW20" s="204"/>
      <c r="RCX20" s="204"/>
      <c r="RCY20" s="204"/>
      <c r="RCZ20" s="204"/>
      <c r="RDA20" s="204"/>
      <c r="RDB20" s="204"/>
      <c r="RDC20" s="204"/>
      <c r="RDD20" s="204"/>
      <c r="RDE20" s="204"/>
      <c r="RDF20" s="204"/>
      <c r="RDG20" s="204"/>
      <c r="RDH20" s="204"/>
      <c r="RDI20" s="204"/>
      <c r="RDJ20" s="204"/>
      <c r="RDK20" s="204"/>
      <c r="RDL20" s="204"/>
      <c r="RDM20" s="204"/>
      <c r="RDN20" s="204"/>
      <c r="RDO20" s="204"/>
      <c r="RDP20" s="204"/>
      <c r="RDQ20" s="204"/>
      <c r="RDR20" s="204"/>
      <c r="RDS20" s="204"/>
      <c r="RDT20" s="204"/>
      <c r="RDU20" s="204"/>
      <c r="RDV20" s="204"/>
      <c r="RDW20" s="204"/>
      <c r="RDX20" s="204"/>
      <c r="RDY20" s="204"/>
      <c r="RDZ20" s="204"/>
      <c r="REA20" s="204"/>
      <c r="REB20" s="204"/>
      <c r="REC20" s="204"/>
      <c r="RED20" s="204"/>
      <c r="REE20" s="204"/>
      <c r="REF20" s="204"/>
      <c r="REG20" s="204"/>
      <c r="REH20" s="204"/>
      <c r="REI20" s="204"/>
      <c r="REJ20" s="204"/>
      <c r="REK20" s="204"/>
      <c r="REL20" s="204"/>
      <c r="REM20" s="204"/>
      <c r="REN20" s="204"/>
      <c r="REO20" s="204"/>
      <c r="REP20" s="204"/>
      <c r="REQ20" s="204"/>
      <c r="RER20" s="204"/>
      <c r="RES20" s="204"/>
      <c r="RET20" s="204"/>
      <c r="REU20" s="204"/>
      <c r="REV20" s="204"/>
      <c r="REW20" s="204"/>
      <c r="REX20" s="204"/>
      <c r="REY20" s="204"/>
      <c r="REZ20" s="204"/>
      <c r="RFA20" s="204"/>
      <c r="RFB20" s="204"/>
      <c r="RFC20" s="204"/>
      <c r="RFD20" s="204"/>
      <c r="RFE20" s="204"/>
      <c r="RFF20" s="204"/>
      <c r="RFG20" s="204"/>
      <c r="RFH20" s="204"/>
      <c r="RFI20" s="204"/>
      <c r="RFJ20" s="204"/>
      <c r="RFK20" s="204"/>
      <c r="RFL20" s="204"/>
      <c r="RFM20" s="204"/>
      <c r="RFN20" s="204"/>
      <c r="RFO20" s="204"/>
      <c r="RFP20" s="204"/>
      <c r="RFQ20" s="204"/>
      <c r="RFR20" s="204"/>
      <c r="RFS20" s="204"/>
      <c r="RFT20" s="204"/>
      <c r="RFU20" s="204"/>
      <c r="RFV20" s="204"/>
      <c r="RFW20" s="204"/>
      <c r="RFX20" s="204"/>
      <c r="RFY20" s="204"/>
      <c r="RFZ20" s="204"/>
      <c r="RGA20" s="204"/>
      <c r="RGB20" s="204"/>
      <c r="RGC20" s="204"/>
      <c r="RGD20" s="204"/>
      <c r="RGE20" s="204"/>
      <c r="RGF20" s="204"/>
      <c r="RGG20" s="204"/>
      <c r="RGH20" s="204"/>
      <c r="RGI20" s="204"/>
      <c r="RGJ20" s="204"/>
      <c r="RGK20" s="204"/>
      <c r="RGL20" s="204"/>
      <c r="RGM20" s="204"/>
      <c r="RGN20" s="204"/>
      <c r="RGO20" s="204"/>
      <c r="RGP20" s="204"/>
      <c r="RGQ20" s="204"/>
      <c r="RGR20" s="204"/>
      <c r="RGS20" s="204"/>
      <c r="RGT20" s="204"/>
      <c r="RGU20" s="204"/>
      <c r="RGV20" s="204"/>
      <c r="RGW20" s="204"/>
      <c r="RGX20" s="204"/>
      <c r="RGY20" s="204"/>
      <c r="RGZ20" s="204"/>
      <c r="RHA20" s="204"/>
      <c r="RHB20" s="204"/>
      <c r="RHC20" s="204"/>
      <c r="RHD20" s="204"/>
      <c r="RHE20" s="204"/>
      <c r="RHF20" s="204"/>
      <c r="RHG20" s="204"/>
      <c r="RHH20" s="204"/>
      <c r="RHI20" s="204"/>
      <c r="RHJ20" s="204"/>
      <c r="RHK20" s="204"/>
      <c r="RHL20" s="204"/>
      <c r="RHM20" s="204"/>
      <c r="RHN20" s="204"/>
      <c r="RHO20" s="204"/>
      <c r="RHP20" s="204"/>
      <c r="RHQ20" s="204"/>
      <c r="RHR20" s="204"/>
      <c r="RHS20" s="204"/>
      <c r="RHT20" s="204"/>
      <c r="RHU20" s="204"/>
      <c r="RHV20" s="204"/>
      <c r="RHW20" s="204"/>
      <c r="RHX20" s="204"/>
      <c r="RHY20" s="204"/>
      <c r="RHZ20" s="204"/>
      <c r="RIA20" s="204"/>
      <c r="RIB20" s="204"/>
      <c r="RIC20" s="204"/>
      <c r="RID20" s="204"/>
      <c r="RIE20" s="204"/>
      <c r="RIF20" s="204"/>
      <c r="RIG20" s="204"/>
      <c r="RIH20" s="204"/>
      <c r="RII20" s="204"/>
      <c r="RIJ20" s="204"/>
      <c r="RIK20" s="204"/>
      <c r="RIL20" s="204"/>
      <c r="RIM20" s="204"/>
      <c r="RIN20" s="204"/>
      <c r="RIO20" s="204"/>
      <c r="RIP20" s="204"/>
      <c r="RIQ20" s="204"/>
      <c r="RIR20" s="204"/>
      <c r="RIS20" s="204"/>
      <c r="RIT20" s="204"/>
      <c r="RIU20" s="204"/>
      <c r="RIV20" s="204"/>
      <c r="RIW20" s="204"/>
      <c r="RIX20" s="204"/>
      <c r="RIY20" s="204"/>
      <c r="RIZ20" s="204"/>
      <c r="RJA20" s="204"/>
      <c r="RJB20" s="204"/>
      <c r="RJC20" s="204"/>
      <c r="RJD20" s="204"/>
      <c r="RJE20" s="204"/>
      <c r="RJF20" s="204"/>
      <c r="RJG20" s="204"/>
      <c r="RJH20" s="204"/>
      <c r="RJI20" s="204"/>
      <c r="RJJ20" s="204"/>
      <c r="RJK20" s="204"/>
      <c r="RJL20" s="204"/>
      <c r="RJM20" s="204"/>
      <c r="RJN20" s="204"/>
      <c r="RJO20" s="204"/>
      <c r="RJP20" s="204"/>
      <c r="RJQ20" s="204"/>
      <c r="RJR20" s="204"/>
      <c r="RJS20" s="204"/>
      <c r="RJT20" s="204"/>
      <c r="RJU20" s="204"/>
      <c r="RJV20" s="204"/>
      <c r="RJW20" s="204"/>
      <c r="RJX20" s="204"/>
      <c r="RJY20" s="204"/>
      <c r="RJZ20" s="204"/>
      <c r="RKA20" s="204"/>
      <c r="RKB20" s="204"/>
      <c r="RKC20" s="204"/>
      <c r="RKD20" s="204"/>
      <c r="RKE20" s="204"/>
      <c r="RKF20" s="204"/>
      <c r="RKG20" s="204"/>
      <c r="RKH20" s="204"/>
      <c r="RKI20" s="204"/>
      <c r="RKJ20" s="204"/>
      <c r="RKK20" s="204"/>
      <c r="RKL20" s="204"/>
      <c r="RKM20" s="204"/>
      <c r="RKN20" s="204"/>
      <c r="RKO20" s="204"/>
      <c r="RKP20" s="204"/>
      <c r="RKQ20" s="204"/>
      <c r="RKR20" s="204"/>
      <c r="RKS20" s="204"/>
      <c r="RKT20" s="204"/>
      <c r="RKU20" s="204"/>
      <c r="RKV20" s="204"/>
      <c r="RKW20" s="204"/>
      <c r="RKX20" s="204"/>
      <c r="RKY20" s="204"/>
      <c r="RKZ20" s="204"/>
      <c r="RLA20" s="204"/>
      <c r="RLB20" s="204"/>
      <c r="RLC20" s="204"/>
      <c r="RLD20" s="204"/>
      <c r="RLE20" s="204"/>
      <c r="RLF20" s="204"/>
      <c r="RLG20" s="204"/>
      <c r="RLH20" s="204"/>
      <c r="RLI20" s="204"/>
      <c r="RLJ20" s="204"/>
      <c r="RLK20" s="204"/>
      <c r="RLL20" s="204"/>
      <c r="RLM20" s="204"/>
      <c r="RLN20" s="204"/>
      <c r="RLO20" s="204"/>
      <c r="RLP20" s="204"/>
      <c r="RLQ20" s="204"/>
      <c r="RLR20" s="204"/>
      <c r="RLS20" s="204"/>
      <c r="RLT20" s="204"/>
      <c r="RLU20" s="204"/>
      <c r="RLV20" s="204"/>
      <c r="RLW20" s="204"/>
      <c r="RLX20" s="204"/>
      <c r="RLY20" s="204"/>
      <c r="RLZ20" s="204"/>
      <c r="RMA20" s="204"/>
      <c r="RMB20" s="204"/>
      <c r="RMC20" s="204"/>
      <c r="RMD20" s="204"/>
      <c r="RME20" s="204"/>
      <c r="RMF20" s="204"/>
      <c r="RMG20" s="204"/>
      <c r="RMH20" s="204"/>
      <c r="RMI20" s="204"/>
      <c r="RMJ20" s="204"/>
      <c r="RMK20" s="204"/>
      <c r="RML20" s="204"/>
      <c r="RMM20" s="204"/>
      <c r="RMN20" s="204"/>
      <c r="RMO20" s="204"/>
      <c r="RMP20" s="204"/>
      <c r="RMQ20" s="204"/>
      <c r="RMR20" s="204"/>
      <c r="RMS20" s="204"/>
      <c r="RMT20" s="204"/>
      <c r="RMU20" s="204"/>
      <c r="RMV20" s="204"/>
      <c r="RMW20" s="204"/>
      <c r="RMX20" s="204"/>
      <c r="RMY20" s="204"/>
      <c r="RMZ20" s="204"/>
      <c r="RNA20" s="204"/>
      <c r="RNB20" s="204"/>
      <c r="RNC20" s="204"/>
      <c r="RND20" s="204"/>
      <c r="RNE20" s="204"/>
      <c r="RNF20" s="204"/>
      <c r="RNG20" s="204"/>
      <c r="RNH20" s="204"/>
      <c r="RNI20" s="204"/>
      <c r="RNJ20" s="204"/>
      <c r="RNK20" s="204"/>
      <c r="RNL20" s="204"/>
      <c r="RNM20" s="204"/>
      <c r="RNN20" s="204"/>
      <c r="RNO20" s="204"/>
      <c r="RNP20" s="204"/>
      <c r="RNQ20" s="204"/>
      <c r="RNR20" s="204"/>
      <c r="RNS20" s="204"/>
      <c r="RNT20" s="204"/>
      <c r="RNU20" s="204"/>
      <c r="RNV20" s="204"/>
      <c r="RNW20" s="204"/>
      <c r="RNX20" s="204"/>
      <c r="RNY20" s="204"/>
      <c r="RNZ20" s="204"/>
      <c r="ROA20" s="204"/>
      <c r="ROB20" s="204"/>
      <c r="ROC20" s="204"/>
      <c r="ROD20" s="204"/>
      <c r="ROE20" s="204"/>
      <c r="ROF20" s="204"/>
      <c r="ROG20" s="204"/>
      <c r="ROH20" s="204"/>
      <c r="ROI20" s="204"/>
      <c r="ROJ20" s="204"/>
      <c r="ROK20" s="204"/>
      <c r="ROL20" s="204"/>
      <c r="ROM20" s="204"/>
      <c r="RON20" s="204"/>
      <c r="ROO20" s="204"/>
      <c r="ROP20" s="204"/>
      <c r="ROQ20" s="204"/>
      <c r="ROR20" s="204"/>
      <c r="ROS20" s="204"/>
      <c r="ROT20" s="204"/>
      <c r="ROU20" s="204"/>
      <c r="ROV20" s="204"/>
      <c r="ROW20" s="204"/>
      <c r="ROX20" s="204"/>
      <c r="ROY20" s="204"/>
      <c r="ROZ20" s="204"/>
      <c r="RPA20" s="204"/>
      <c r="RPB20" s="204"/>
      <c r="RPC20" s="204"/>
      <c r="RPD20" s="204"/>
      <c r="RPE20" s="204"/>
      <c r="RPF20" s="204"/>
      <c r="RPG20" s="204"/>
      <c r="RPH20" s="204"/>
      <c r="RPI20" s="204"/>
      <c r="RPJ20" s="204"/>
      <c r="RPK20" s="204"/>
      <c r="RPL20" s="204"/>
      <c r="RPM20" s="204"/>
      <c r="RPN20" s="204"/>
      <c r="RPO20" s="204"/>
      <c r="RPP20" s="204"/>
      <c r="RPQ20" s="204"/>
      <c r="RPR20" s="204"/>
      <c r="RPS20" s="204"/>
      <c r="RPT20" s="204"/>
      <c r="RPU20" s="204"/>
      <c r="RPV20" s="204"/>
      <c r="RPW20" s="204"/>
      <c r="RPX20" s="204"/>
      <c r="RPY20" s="204"/>
      <c r="RPZ20" s="204"/>
      <c r="RQA20" s="204"/>
      <c r="RQB20" s="204"/>
      <c r="RQC20" s="204"/>
      <c r="RQD20" s="204"/>
      <c r="RQE20" s="204"/>
      <c r="RQF20" s="204"/>
      <c r="RQG20" s="204"/>
      <c r="RQH20" s="204"/>
      <c r="RQI20" s="204"/>
      <c r="RQJ20" s="204"/>
      <c r="RQK20" s="204"/>
      <c r="RQL20" s="204"/>
      <c r="RQM20" s="204"/>
      <c r="RQN20" s="204"/>
      <c r="RQO20" s="204"/>
      <c r="RQP20" s="204"/>
      <c r="RQQ20" s="204"/>
      <c r="RQR20" s="204"/>
      <c r="RQS20" s="204"/>
      <c r="RQT20" s="204"/>
      <c r="RQU20" s="204"/>
      <c r="RQV20" s="204"/>
      <c r="RQW20" s="204"/>
      <c r="RQX20" s="204"/>
      <c r="RQY20" s="204"/>
      <c r="RQZ20" s="204"/>
      <c r="RRA20" s="204"/>
      <c r="RRB20" s="204"/>
      <c r="RRC20" s="204"/>
      <c r="RRD20" s="204"/>
      <c r="RRE20" s="204"/>
      <c r="RRF20" s="204"/>
      <c r="RRG20" s="204"/>
      <c r="RRH20" s="204"/>
      <c r="RRI20" s="204"/>
      <c r="RRJ20" s="204"/>
      <c r="RRK20" s="204"/>
      <c r="RRL20" s="204"/>
      <c r="RRM20" s="204"/>
      <c r="RRN20" s="204"/>
      <c r="RRO20" s="204"/>
      <c r="RRP20" s="204"/>
      <c r="RRQ20" s="204"/>
      <c r="RRR20" s="204"/>
      <c r="RRS20" s="204"/>
      <c r="RRT20" s="204"/>
      <c r="RRU20" s="204"/>
      <c r="RRV20" s="204"/>
      <c r="RRW20" s="204"/>
      <c r="RRX20" s="204"/>
      <c r="RRY20" s="204"/>
      <c r="RRZ20" s="204"/>
      <c r="RSA20" s="204"/>
      <c r="RSB20" s="204"/>
      <c r="RSC20" s="204"/>
      <c r="RSD20" s="204"/>
      <c r="RSE20" s="204"/>
      <c r="RSF20" s="204"/>
      <c r="RSG20" s="204"/>
      <c r="RSH20" s="204"/>
      <c r="RSI20" s="204"/>
      <c r="RSJ20" s="204"/>
      <c r="RSK20" s="204"/>
      <c r="RSL20" s="204"/>
      <c r="RSM20" s="204"/>
      <c r="RSN20" s="204"/>
      <c r="RSO20" s="204"/>
      <c r="RSP20" s="204"/>
      <c r="RSQ20" s="204"/>
      <c r="RSR20" s="204"/>
      <c r="RSS20" s="204"/>
      <c r="RST20" s="204"/>
      <c r="RSU20" s="204"/>
      <c r="RSV20" s="204"/>
      <c r="RSW20" s="204"/>
      <c r="RSX20" s="204"/>
      <c r="RSY20" s="204"/>
      <c r="RSZ20" s="204"/>
      <c r="RTA20" s="204"/>
      <c r="RTB20" s="204"/>
      <c r="RTC20" s="204"/>
      <c r="RTD20" s="204"/>
      <c r="RTE20" s="204"/>
      <c r="RTF20" s="204"/>
      <c r="RTG20" s="204"/>
      <c r="RTH20" s="204"/>
      <c r="RTI20" s="204"/>
      <c r="RTJ20" s="204"/>
      <c r="RTK20" s="204"/>
      <c r="RTL20" s="204"/>
      <c r="RTM20" s="204"/>
      <c r="RTN20" s="204"/>
      <c r="RTO20" s="204"/>
      <c r="RTP20" s="204"/>
      <c r="RTQ20" s="204"/>
      <c r="RTR20" s="204"/>
      <c r="RTS20" s="204"/>
      <c r="RTT20" s="204"/>
      <c r="RTU20" s="204"/>
      <c r="RTV20" s="204"/>
      <c r="RTW20" s="204"/>
      <c r="RTX20" s="204"/>
      <c r="RTY20" s="204"/>
      <c r="RTZ20" s="204"/>
      <c r="RUA20" s="204"/>
      <c r="RUB20" s="204"/>
      <c r="RUC20" s="204"/>
      <c r="RUD20" s="204"/>
      <c r="RUE20" s="204"/>
      <c r="RUF20" s="204"/>
      <c r="RUG20" s="204"/>
      <c r="RUH20" s="204"/>
      <c r="RUI20" s="204"/>
      <c r="RUJ20" s="204"/>
      <c r="RUK20" s="204"/>
      <c r="RUL20" s="204"/>
      <c r="RUM20" s="204"/>
      <c r="RUN20" s="204"/>
      <c r="RUO20" s="204"/>
      <c r="RUP20" s="204"/>
      <c r="RUQ20" s="204"/>
      <c r="RUR20" s="204"/>
      <c r="RUS20" s="204"/>
      <c r="RUT20" s="204"/>
      <c r="RUU20" s="204"/>
      <c r="RUV20" s="204"/>
      <c r="RUW20" s="204"/>
      <c r="RUX20" s="204"/>
      <c r="RUY20" s="204"/>
      <c r="RUZ20" s="204"/>
      <c r="RVA20" s="204"/>
      <c r="RVB20" s="204"/>
      <c r="RVC20" s="204"/>
      <c r="RVD20" s="204"/>
      <c r="RVE20" s="204"/>
      <c r="RVF20" s="204"/>
      <c r="RVG20" s="204"/>
      <c r="RVH20" s="204"/>
      <c r="RVI20" s="204"/>
      <c r="RVJ20" s="204"/>
      <c r="RVK20" s="204"/>
      <c r="RVL20" s="204"/>
      <c r="RVM20" s="204"/>
      <c r="RVN20" s="204"/>
      <c r="RVO20" s="204"/>
      <c r="RVP20" s="204"/>
      <c r="RVQ20" s="204"/>
      <c r="RVR20" s="204"/>
      <c r="RVS20" s="204"/>
      <c r="RVT20" s="204"/>
      <c r="RVU20" s="204"/>
      <c r="RVV20" s="204"/>
      <c r="RVW20" s="204"/>
      <c r="RVX20" s="204"/>
      <c r="RVY20" s="204"/>
      <c r="RVZ20" s="204"/>
      <c r="RWA20" s="204"/>
      <c r="RWB20" s="204"/>
      <c r="RWC20" s="204"/>
      <c r="RWD20" s="204"/>
      <c r="RWE20" s="204"/>
      <c r="RWF20" s="204"/>
      <c r="RWG20" s="204"/>
      <c r="RWH20" s="204"/>
      <c r="RWI20" s="204"/>
      <c r="RWJ20" s="204"/>
      <c r="RWK20" s="204"/>
      <c r="RWL20" s="204"/>
      <c r="RWM20" s="204"/>
      <c r="RWN20" s="204"/>
      <c r="RWO20" s="204"/>
      <c r="RWP20" s="204"/>
      <c r="RWQ20" s="204"/>
      <c r="RWR20" s="204"/>
      <c r="RWS20" s="204"/>
      <c r="RWT20" s="204"/>
      <c r="RWU20" s="204"/>
      <c r="RWV20" s="204"/>
      <c r="RWW20" s="204"/>
      <c r="RWX20" s="204"/>
      <c r="RWY20" s="204"/>
      <c r="RWZ20" s="204"/>
      <c r="RXA20" s="204"/>
      <c r="RXB20" s="204"/>
      <c r="RXC20" s="204"/>
      <c r="RXD20" s="204"/>
      <c r="RXE20" s="204"/>
      <c r="RXF20" s="204"/>
      <c r="RXG20" s="204"/>
      <c r="RXH20" s="204"/>
      <c r="RXI20" s="204"/>
      <c r="RXJ20" s="204"/>
      <c r="RXK20" s="204"/>
      <c r="RXL20" s="204"/>
      <c r="RXM20" s="204"/>
      <c r="RXN20" s="204"/>
      <c r="RXO20" s="204"/>
      <c r="RXP20" s="204"/>
      <c r="RXQ20" s="204"/>
      <c r="RXR20" s="204"/>
      <c r="RXS20" s="204"/>
      <c r="RXT20" s="204"/>
      <c r="RXU20" s="204"/>
      <c r="RXV20" s="204"/>
      <c r="RXW20" s="204"/>
      <c r="RXX20" s="204"/>
      <c r="RXY20" s="204"/>
      <c r="RXZ20" s="204"/>
      <c r="RYA20" s="204"/>
      <c r="RYB20" s="204"/>
      <c r="RYC20" s="204"/>
      <c r="RYD20" s="204"/>
      <c r="RYE20" s="204"/>
      <c r="RYF20" s="204"/>
      <c r="RYG20" s="204"/>
      <c r="RYH20" s="204"/>
      <c r="RYI20" s="204"/>
      <c r="RYJ20" s="204"/>
      <c r="RYK20" s="204"/>
      <c r="RYL20" s="204"/>
      <c r="RYM20" s="204"/>
      <c r="RYN20" s="204"/>
      <c r="RYO20" s="204"/>
      <c r="RYP20" s="204"/>
      <c r="RYQ20" s="204"/>
      <c r="RYR20" s="204"/>
      <c r="RYS20" s="204"/>
      <c r="RYT20" s="204"/>
      <c r="RYU20" s="204"/>
      <c r="RYV20" s="204"/>
      <c r="RYW20" s="204"/>
      <c r="RYX20" s="204"/>
      <c r="RYY20" s="204"/>
      <c r="RYZ20" s="204"/>
      <c r="RZA20" s="204"/>
      <c r="RZB20" s="204"/>
      <c r="RZC20" s="204"/>
      <c r="RZD20" s="204"/>
      <c r="RZE20" s="204"/>
      <c r="RZF20" s="204"/>
      <c r="RZG20" s="204"/>
      <c r="RZH20" s="204"/>
      <c r="RZI20" s="204"/>
      <c r="RZJ20" s="204"/>
      <c r="RZK20" s="204"/>
      <c r="RZL20" s="204"/>
      <c r="RZM20" s="204"/>
      <c r="RZN20" s="204"/>
      <c r="RZO20" s="204"/>
      <c r="RZP20" s="204"/>
      <c r="RZQ20" s="204"/>
      <c r="RZR20" s="204"/>
      <c r="RZS20" s="204"/>
      <c r="RZT20" s="204"/>
      <c r="RZU20" s="204"/>
      <c r="RZV20" s="204"/>
      <c r="RZW20" s="204"/>
      <c r="RZX20" s="204"/>
      <c r="RZY20" s="204"/>
      <c r="RZZ20" s="204"/>
      <c r="SAA20" s="204"/>
      <c r="SAB20" s="204"/>
      <c r="SAC20" s="204"/>
      <c r="SAD20" s="204"/>
      <c r="SAE20" s="204"/>
      <c r="SAF20" s="204"/>
      <c r="SAG20" s="204"/>
      <c r="SAH20" s="204"/>
      <c r="SAI20" s="204"/>
      <c r="SAJ20" s="204"/>
      <c r="SAK20" s="204"/>
      <c r="SAL20" s="204"/>
      <c r="SAM20" s="204"/>
      <c r="SAN20" s="204"/>
      <c r="SAO20" s="204"/>
      <c r="SAP20" s="204"/>
      <c r="SAQ20" s="204"/>
      <c r="SAR20" s="204"/>
      <c r="SAS20" s="204"/>
      <c r="SAT20" s="204"/>
      <c r="SAU20" s="204"/>
      <c r="SAV20" s="204"/>
      <c r="SAW20" s="204"/>
      <c r="SAX20" s="204"/>
      <c r="SAY20" s="204"/>
      <c r="SAZ20" s="204"/>
      <c r="SBA20" s="204"/>
      <c r="SBB20" s="204"/>
      <c r="SBC20" s="204"/>
      <c r="SBD20" s="204"/>
      <c r="SBE20" s="204"/>
      <c r="SBF20" s="204"/>
      <c r="SBG20" s="204"/>
      <c r="SBH20" s="204"/>
      <c r="SBI20" s="204"/>
      <c r="SBJ20" s="204"/>
      <c r="SBK20" s="204"/>
      <c r="SBL20" s="204"/>
      <c r="SBM20" s="204"/>
      <c r="SBN20" s="204"/>
      <c r="SBO20" s="204"/>
      <c r="SBP20" s="204"/>
      <c r="SBQ20" s="204"/>
      <c r="SBR20" s="204"/>
      <c r="SBS20" s="204"/>
      <c r="SBT20" s="204"/>
      <c r="SBU20" s="204"/>
      <c r="SBV20" s="204"/>
      <c r="SBW20" s="204"/>
      <c r="SBX20" s="204"/>
      <c r="SBY20" s="204"/>
      <c r="SBZ20" s="204"/>
      <c r="SCA20" s="204"/>
      <c r="SCB20" s="204"/>
      <c r="SCC20" s="204"/>
      <c r="SCD20" s="204"/>
      <c r="SCE20" s="204"/>
      <c r="SCF20" s="204"/>
      <c r="SCG20" s="204"/>
      <c r="SCH20" s="204"/>
      <c r="SCI20" s="204"/>
      <c r="SCJ20" s="204"/>
      <c r="SCK20" s="204"/>
      <c r="SCL20" s="204"/>
      <c r="SCM20" s="204"/>
      <c r="SCN20" s="204"/>
      <c r="SCO20" s="204"/>
      <c r="SCP20" s="204"/>
      <c r="SCQ20" s="204"/>
      <c r="SCR20" s="204"/>
      <c r="SCS20" s="204"/>
      <c r="SCT20" s="204"/>
      <c r="SCU20" s="204"/>
      <c r="SCV20" s="204"/>
      <c r="SCW20" s="204"/>
      <c r="SCX20" s="204"/>
      <c r="SCY20" s="204"/>
      <c r="SCZ20" s="204"/>
      <c r="SDA20" s="204"/>
      <c r="SDB20" s="204"/>
      <c r="SDC20" s="204"/>
      <c r="SDD20" s="204"/>
      <c r="SDE20" s="204"/>
      <c r="SDF20" s="204"/>
      <c r="SDG20" s="204"/>
      <c r="SDH20" s="204"/>
      <c r="SDI20" s="204"/>
      <c r="SDJ20" s="204"/>
      <c r="SDK20" s="204"/>
      <c r="SDL20" s="204"/>
      <c r="SDM20" s="204"/>
      <c r="SDN20" s="204"/>
      <c r="SDO20" s="204"/>
      <c r="SDP20" s="204"/>
      <c r="SDQ20" s="204"/>
      <c r="SDR20" s="204"/>
      <c r="SDS20" s="204"/>
      <c r="SDT20" s="204"/>
      <c r="SDU20" s="204"/>
      <c r="SDV20" s="204"/>
      <c r="SDW20" s="204"/>
      <c r="SDX20" s="204"/>
      <c r="SDY20" s="204"/>
      <c r="SDZ20" s="204"/>
      <c r="SEA20" s="204"/>
      <c r="SEB20" s="204"/>
      <c r="SEC20" s="204"/>
      <c r="SED20" s="204"/>
      <c r="SEE20" s="204"/>
      <c r="SEF20" s="204"/>
      <c r="SEG20" s="204"/>
      <c r="SEH20" s="204"/>
      <c r="SEI20" s="204"/>
      <c r="SEJ20" s="204"/>
      <c r="SEK20" s="204"/>
      <c r="SEL20" s="204"/>
      <c r="SEM20" s="204"/>
      <c r="SEN20" s="204"/>
      <c r="SEO20" s="204"/>
      <c r="SEP20" s="204"/>
      <c r="SEQ20" s="204"/>
      <c r="SER20" s="204"/>
      <c r="SES20" s="204"/>
      <c r="SET20" s="204"/>
      <c r="SEU20" s="204"/>
      <c r="SEV20" s="204"/>
      <c r="SEW20" s="204"/>
      <c r="SEX20" s="204"/>
      <c r="SEY20" s="204"/>
      <c r="SEZ20" s="204"/>
      <c r="SFA20" s="204"/>
      <c r="SFB20" s="204"/>
      <c r="SFC20" s="204"/>
      <c r="SFD20" s="204"/>
      <c r="SFE20" s="204"/>
      <c r="SFF20" s="204"/>
      <c r="SFG20" s="204"/>
      <c r="SFH20" s="204"/>
      <c r="SFI20" s="204"/>
      <c r="SFJ20" s="204"/>
      <c r="SFK20" s="204"/>
      <c r="SFL20" s="204"/>
      <c r="SFM20" s="204"/>
      <c r="SFN20" s="204"/>
      <c r="SFO20" s="204"/>
      <c r="SFP20" s="204"/>
      <c r="SFQ20" s="204"/>
      <c r="SFR20" s="204"/>
      <c r="SFS20" s="204"/>
      <c r="SFT20" s="204"/>
      <c r="SFU20" s="204"/>
      <c r="SFV20" s="204"/>
      <c r="SFW20" s="204"/>
      <c r="SFX20" s="204"/>
      <c r="SFY20" s="204"/>
      <c r="SFZ20" s="204"/>
      <c r="SGA20" s="204"/>
      <c r="SGB20" s="204"/>
      <c r="SGC20" s="204"/>
      <c r="SGD20" s="204"/>
      <c r="SGE20" s="204"/>
      <c r="SGF20" s="204"/>
      <c r="SGG20" s="204"/>
      <c r="SGH20" s="204"/>
      <c r="SGI20" s="204"/>
      <c r="SGJ20" s="204"/>
      <c r="SGK20" s="204"/>
      <c r="SGL20" s="204"/>
      <c r="SGM20" s="204"/>
      <c r="SGN20" s="204"/>
      <c r="SGO20" s="204"/>
      <c r="SGP20" s="204"/>
      <c r="SGQ20" s="204"/>
      <c r="SGR20" s="204"/>
      <c r="SGS20" s="204"/>
      <c r="SGT20" s="204"/>
      <c r="SGU20" s="204"/>
      <c r="SGV20" s="204"/>
      <c r="SGW20" s="204"/>
      <c r="SGX20" s="204"/>
      <c r="SGY20" s="204"/>
      <c r="SGZ20" s="204"/>
      <c r="SHA20" s="204"/>
      <c r="SHB20" s="204"/>
      <c r="SHC20" s="204"/>
      <c r="SHD20" s="204"/>
      <c r="SHE20" s="204"/>
      <c r="SHF20" s="204"/>
      <c r="SHG20" s="204"/>
      <c r="SHH20" s="204"/>
      <c r="SHI20" s="204"/>
      <c r="SHJ20" s="204"/>
      <c r="SHK20" s="204"/>
      <c r="SHL20" s="204"/>
      <c r="SHM20" s="204"/>
      <c r="SHN20" s="204"/>
      <c r="SHO20" s="204"/>
      <c r="SHP20" s="204"/>
      <c r="SHQ20" s="204"/>
      <c r="SHR20" s="204"/>
      <c r="SHS20" s="204"/>
      <c r="SHT20" s="204"/>
      <c r="SHU20" s="204"/>
      <c r="SHV20" s="204"/>
      <c r="SHW20" s="204"/>
      <c r="SHX20" s="204"/>
      <c r="SHY20" s="204"/>
      <c r="SHZ20" s="204"/>
      <c r="SIA20" s="204"/>
      <c r="SIB20" s="204"/>
      <c r="SIC20" s="204"/>
      <c r="SID20" s="204"/>
      <c r="SIE20" s="204"/>
      <c r="SIF20" s="204"/>
      <c r="SIG20" s="204"/>
      <c r="SIH20" s="204"/>
      <c r="SII20" s="204"/>
      <c r="SIJ20" s="204"/>
      <c r="SIK20" s="204"/>
      <c r="SIL20" s="204"/>
      <c r="SIM20" s="204"/>
      <c r="SIN20" s="204"/>
      <c r="SIO20" s="204"/>
      <c r="SIP20" s="204"/>
      <c r="SIQ20" s="204"/>
      <c r="SIR20" s="204"/>
      <c r="SIS20" s="204"/>
      <c r="SIT20" s="204"/>
      <c r="SIU20" s="204"/>
      <c r="SIV20" s="204"/>
      <c r="SIW20" s="204"/>
      <c r="SIX20" s="204"/>
      <c r="SIY20" s="204"/>
      <c r="SIZ20" s="204"/>
      <c r="SJA20" s="204"/>
      <c r="SJB20" s="204"/>
      <c r="SJC20" s="204"/>
      <c r="SJD20" s="204"/>
      <c r="SJE20" s="204"/>
      <c r="SJF20" s="204"/>
      <c r="SJG20" s="204"/>
      <c r="SJH20" s="204"/>
      <c r="SJI20" s="204"/>
      <c r="SJJ20" s="204"/>
      <c r="SJK20" s="204"/>
      <c r="SJL20" s="204"/>
      <c r="SJM20" s="204"/>
      <c r="SJN20" s="204"/>
      <c r="SJO20" s="204"/>
      <c r="SJP20" s="204"/>
      <c r="SJQ20" s="204"/>
      <c r="SJR20" s="204"/>
      <c r="SJS20" s="204"/>
      <c r="SJT20" s="204"/>
      <c r="SJU20" s="204"/>
      <c r="SJV20" s="204"/>
      <c r="SJW20" s="204"/>
      <c r="SJX20" s="204"/>
      <c r="SJY20" s="204"/>
      <c r="SJZ20" s="204"/>
      <c r="SKA20" s="204"/>
      <c r="SKB20" s="204"/>
      <c r="SKC20" s="204"/>
      <c r="SKD20" s="204"/>
      <c r="SKE20" s="204"/>
      <c r="SKF20" s="204"/>
      <c r="SKG20" s="204"/>
      <c r="SKH20" s="204"/>
      <c r="SKI20" s="204"/>
      <c r="SKJ20" s="204"/>
      <c r="SKK20" s="204"/>
      <c r="SKL20" s="204"/>
      <c r="SKM20" s="204"/>
      <c r="SKN20" s="204"/>
      <c r="SKO20" s="204"/>
      <c r="SKP20" s="204"/>
      <c r="SKQ20" s="204"/>
      <c r="SKR20" s="204"/>
      <c r="SKS20" s="204"/>
      <c r="SKT20" s="204"/>
      <c r="SKU20" s="204"/>
      <c r="SKV20" s="204"/>
      <c r="SKW20" s="204"/>
      <c r="SKX20" s="204"/>
      <c r="SKY20" s="204"/>
      <c r="SKZ20" s="204"/>
      <c r="SLA20" s="204"/>
      <c r="SLB20" s="204"/>
      <c r="SLC20" s="204"/>
      <c r="SLD20" s="204"/>
      <c r="SLE20" s="204"/>
      <c r="SLF20" s="204"/>
      <c r="SLG20" s="204"/>
      <c r="SLH20" s="204"/>
      <c r="SLI20" s="204"/>
      <c r="SLJ20" s="204"/>
      <c r="SLK20" s="204"/>
      <c r="SLL20" s="204"/>
      <c r="SLM20" s="204"/>
      <c r="SLN20" s="204"/>
      <c r="SLO20" s="204"/>
      <c r="SLP20" s="204"/>
      <c r="SLQ20" s="204"/>
      <c r="SLR20" s="204"/>
      <c r="SLS20" s="204"/>
      <c r="SLT20" s="204"/>
      <c r="SLU20" s="204"/>
      <c r="SLV20" s="204"/>
      <c r="SLW20" s="204"/>
      <c r="SLX20" s="204"/>
      <c r="SLY20" s="204"/>
      <c r="SLZ20" s="204"/>
      <c r="SMA20" s="204"/>
      <c r="SMB20" s="204"/>
      <c r="SMC20" s="204"/>
      <c r="SMD20" s="204"/>
      <c r="SME20" s="204"/>
      <c r="SMF20" s="204"/>
      <c r="SMG20" s="204"/>
      <c r="SMH20" s="204"/>
      <c r="SMI20" s="204"/>
      <c r="SMJ20" s="204"/>
      <c r="SMK20" s="204"/>
      <c r="SML20" s="204"/>
      <c r="SMM20" s="204"/>
      <c r="SMN20" s="204"/>
      <c r="SMO20" s="204"/>
      <c r="SMP20" s="204"/>
      <c r="SMQ20" s="204"/>
      <c r="SMR20" s="204"/>
      <c r="SMS20" s="204"/>
      <c r="SMT20" s="204"/>
      <c r="SMU20" s="204"/>
      <c r="SMV20" s="204"/>
      <c r="SMW20" s="204"/>
      <c r="SMX20" s="204"/>
      <c r="SMY20" s="204"/>
      <c r="SMZ20" s="204"/>
      <c r="SNA20" s="204"/>
      <c r="SNB20" s="204"/>
      <c r="SNC20" s="204"/>
      <c r="SND20" s="204"/>
      <c r="SNE20" s="204"/>
      <c r="SNF20" s="204"/>
      <c r="SNG20" s="204"/>
      <c r="SNH20" s="204"/>
      <c r="SNI20" s="204"/>
      <c r="SNJ20" s="204"/>
      <c r="SNK20" s="204"/>
      <c r="SNL20" s="204"/>
      <c r="SNM20" s="204"/>
      <c r="SNN20" s="204"/>
      <c r="SNO20" s="204"/>
      <c r="SNP20" s="204"/>
      <c r="SNQ20" s="204"/>
      <c r="SNR20" s="204"/>
      <c r="SNS20" s="204"/>
      <c r="SNT20" s="204"/>
      <c r="SNU20" s="204"/>
      <c r="SNV20" s="204"/>
      <c r="SNW20" s="204"/>
      <c r="SNX20" s="204"/>
      <c r="SNY20" s="204"/>
      <c r="SNZ20" s="204"/>
      <c r="SOA20" s="204"/>
      <c r="SOB20" s="204"/>
      <c r="SOC20" s="204"/>
      <c r="SOD20" s="204"/>
      <c r="SOE20" s="204"/>
      <c r="SOF20" s="204"/>
      <c r="SOG20" s="204"/>
      <c r="SOH20" s="204"/>
      <c r="SOI20" s="204"/>
      <c r="SOJ20" s="204"/>
      <c r="SOK20" s="204"/>
      <c r="SOL20" s="204"/>
      <c r="SOM20" s="204"/>
      <c r="SON20" s="204"/>
      <c r="SOO20" s="204"/>
      <c r="SOP20" s="204"/>
      <c r="SOQ20" s="204"/>
      <c r="SOR20" s="204"/>
      <c r="SOS20" s="204"/>
      <c r="SOT20" s="204"/>
      <c r="SOU20" s="204"/>
      <c r="SOV20" s="204"/>
      <c r="SOW20" s="204"/>
      <c r="SOX20" s="204"/>
      <c r="SOY20" s="204"/>
      <c r="SOZ20" s="204"/>
      <c r="SPA20" s="204"/>
      <c r="SPB20" s="204"/>
      <c r="SPC20" s="204"/>
      <c r="SPD20" s="204"/>
      <c r="SPE20" s="204"/>
      <c r="SPF20" s="204"/>
      <c r="SPG20" s="204"/>
      <c r="SPH20" s="204"/>
      <c r="SPI20" s="204"/>
      <c r="SPJ20" s="204"/>
      <c r="SPK20" s="204"/>
      <c r="SPL20" s="204"/>
      <c r="SPM20" s="204"/>
      <c r="SPN20" s="204"/>
      <c r="SPO20" s="204"/>
      <c r="SPP20" s="204"/>
      <c r="SPQ20" s="204"/>
      <c r="SPR20" s="204"/>
      <c r="SPS20" s="204"/>
      <c r="SPT20" s="204"/>
      <c r="SPU20" s="204"/>
      <c r="SPV20" s="204"/>
      <c r="SPW20" s="204"/>
      <c r="SPX20" s="204"/>
      <c r="SPY20" s="204"/>
      <c r="SPZ20" s="204"/>
      <c r="SQA20" s="204"/>
      <c r="SQB20" s="204"/>
      <c r="SQC20" s="204"/>
      <c r="SQD20" s="204"/>
      <c r="SQE20" s="204"/>
      <c r="SQF20" s="204"/>
      <c r="SQG20" s="204"/>
      <c r="SQH20" s="204"/>
      <c r="SQI20" s="204"/>
      <c r="SQJ20" s="204"/>
      <c r="SQK20" s="204"/>
      <c r="SQL20" s="204"/>
      <c r="SQM20" s="204"/>
      <c r="SQN20" s="204"/>
      <c r="SQO20" s="204"/>
      <c r="SQP20" s="204"/>
      <c r="SQQ20" s="204"/>
      <c r="SQR20" s="204"/>
      <c r="SQS20" s="204"/>
      <c r="SQT20" s="204"/>
      <c r="SQU20" s="204"/>
      <c r="SQV20" s="204"/>
      <c r="SQW20" s="204"/>
      <c r="SQX20" s="204"/>
      <c r="SQY20" s="204"/>
      <c r="SQZ20" s="204"/>
      <c r="SRA20" s="204"/>
      <c r="SRB20" s="204"/>
      <c r="SRC20" s="204"/>
      <c r="SRD20" s="204"/>
      <c r="SRE20" s="204"/>
      <c r="SRF20" s="204"/>
      <c r="SRG20" s="204"/>
      <c r="SRH20" s="204"/>
      <c r="SRI20" s="204"/>
      <c r="SRJ20" s="204"/>
      <c r="SRK20" s="204"/>
      <c r="SRL20" s="204"/>
      <c r="SRM20" s="204"/>
      <c r="SRN20" s="204"/>
      <c r="SRO20" s="204"/>
      <c r="SRP20" s="204"/>
      <c r="SRQ20" s="204"/>
      <c r="SRR20" s="204"/>
      <c r="SRS20" s="204"/>
      <c r="SRT20" s="204"/>
      <c r="SRU20" s="204"/>
      <c r="SRV20" s="204"/>
      <c r="SRW20" s="204"/>
      <c r="SRX20" s="204"/>
      <c r="SRY20" s="204"/>
      <c r="SRZ20" s="204"/>
      <c r="SSA20" s="204"/>
      <c r="SSB20" s="204"/>
      <c r="SSC20" s="204"/>
      <c r="SSD20" s="204"/>
      <c r="SSE20" s="204"/>
      <c r="SSF20" s="204"/>
      <c r="SSG20" s="204"/>
      <c r="SSH20" s="204"/>
      <c r="SSI20" s="204"/>
      <c r="SSJ20" s="204"/>
      <c r="SSK20" s="204"/>
      <c r="SSL20" s="204"/>
      <c r="SSM20" s="204"/>
      <c r="SSN20" s="204"/>
      <c r="SSO20" s="204"/>
      <c r="SSP20" s="204"/>
      <c r="SSQ20" s="204"/>
      <c r="SSR20" s="204"/>
      <c r="SSS20" s="204"/>
      <c r="SST20" s="204"/>
      <c r="SSU20" s="204"/>
      <c r="SSV20" s="204"/>
      <c r="SSW20" s="204"/>
      <c r="SSX20" s="204"/>
      <c r="SSY20" s="204"/>
      <c r="SSZ20" s="204"/>
      <c r="STA20" s="204"/>
      <c r="STB20" s="204"/>
      <c r="STC20" s="204"/>
      <c r="STD20" s="204"/>
      <c r="STE20" s="204"/>
      <c r="STF20" s="204"/>
      <c r="STG20" s="204"/>
      <c r="STH20" s="204"/>
      <c r="STI20" s="204"/>
      <c r="STJ20" s="204"/>
      <c r="STK20" s="204"/>
      <c r="STL20" s="204"/>
      <c r="STM20" s="204"/>
      <c r="STN20" s="204"/>
      <c r="STO20" s="204"/>
      <c r="STP20" s="204"/>
      <c r="STQ20" s="204"/>
      <c r="STR20" s="204"/>
      <c r="STS20" s="204"/>
      <c r="STT20" s="204"/>
      <c r="STU20" s="204"/>
      <c r="STV20" s="204"/>
      <c r="STW20" s="204"/>
      <c r="STX20" s="204"/>
      <c r="STY20" s="204"/>
      <c r="STZ20" s="204"/>
      <c r="SUA20" s="204"/>
      <c r="SUB20" s="204"/>
      <c r="SUC20" s="204"/>
      <c r="SUD20" s="204"/>
      <c r="SUE20" s="204"/>
      <c r="SUF20" s="204"/>
      <c r="SUG20" s="204"/>
      <c r="SUH20" s="204"/>
      <c r="SUI20" s="204"/>
      <c r="SUJ20" s="204"/>
      <c r="SUK20" s="204"/>
      <c r="SUL20" s="204"/>
      <c r="SUM20" s="204"/>
      <c r="SUN20" s="204"/>
      <c r="SUO20" s="204"/>
      <c r="SUP20" s="204"/>
      <c r="SUQ20" s="204"/>
      <c r="SUR20" s="204"/>
      <c r="SUS20" s="204"/>
      <c r="SUT20" s="204"/>
      <c r="SUU20" s="204"/>
      <c r="SUV20" s="204"/>
      <c r="SUW20" s="204"/>
      <c r="SUX20" s="204"/>
      <c r="SUY20" s="204"/>
      <c r="SUZ20" s="204"/>
      <c r="SVA20" s="204"/>
      <c r="SVB20" s="204"/>
      <c r="SVC20" s="204"/>
      <c r="SVD20" s="204"/>
      <c r="SVE20" s="204"/>
      <c r="SVF20" s="204"/>
      <c r="SVG20" s="204"/>
      <c r="SVH20" s="204"/>
      <c r="SVI20" s="204"/>
      <c r="SVJ20" s="204"/>
      <c r="SVK20" s="204"/>
      <c r="SVL20" s="204"/>
      <c r="SVM20" s="204"/>
      <c r="SVN20" s="204"/>
      <c r="SVO20" s="204"/>
      <c r="SVP20" s="204"/>
      <c r="SVQ20" s="204"/>
      <c r="SVR20" s="204"/>
      <c r="SVS20" s="204"/>
      <c r="SVT20" s="204"/>
      <c r="SVU20" s="204"/>
      <c r="SVV20" s="204"/>
      <c r="SVW20" s="204"/>
      <c r="SVX20" s="204"/>
      <c r="SVY20" s="204"/>
      <c r="SVZ20" s="204"/>
      <c r="SWA20" s="204"/>
      <c r="SWB20" s="204"/>
      <c r="SWC20" s="204"/>
      <c r="SWD20" s="204"/>
      <c r="SWE20" s="204"/>
      <c r="SWF20" s="204"/>
      <c r="SWG20" s="204"/>
      <c r="SWH20" s="204"/>
      <c r="SWI20" s="204"/>
      <c r="SWJ20" s="204"/>
      <c r="SWK20" s="204"/>
      <c r="SWL20" s="204"/>
      <c r="SWM20" s="204"/>
      <c r="SWN20" s="204"/>
      <c r="SWO20" s="204"/>
      <c r="SWP20" s="204"/>
      <c r="SWQ20" s="204"/>
      <c r="SWR20" s="204"/>
      <c r="SWS20" s="204"/>
      <c r="SWT20" s="204"/>
      <c r="SWU20" s="204"/>
      <c r="SWV20" s="204"/>
      <c r="SWW20" s="204"/>
      <c r="SWX20" s="204"/>
      <c r="SWY20" s="204"/>
      <c r="SWZ20" s="204"/>
      <c r="SXA20" s="204"/>
      <c r="SXB20" s="204"/>
      <c r="SXC20" s="204"/>
      <c r="SXD20" s="204"/>
      <c r="SXE20" s="204"/>
      <c r="SXF20" s="204"/>
      <c r="SXG20" s="204"/>
      <c r="SXH20" s="204"/>
      <c r="SXI20" s="204"/>
      <c r="SXJ20" s="204"/>
      <c r="SXK20" s="204"/>
      <c r="SXL20" s="204"/>
      <c r="SXM20" s="204"/>
      <c r="SXN20" s="204"/>
      <c r="SXO20" s="204"/>
      <c r="SXP20" s="204"/>
      <c r="SXQ20" s="204"/>
      <c r="SXR20" s="204"/>
      <c r="SXS20" s="204"/>
      <c r="SXT20" s="204"/>
      <c r="SXU20" s="204"/>
      <c r="SXV20" s="204"/>
      <c r="SXW20" s="204"/>
      <c r="SXX20" s="204"/>
      <c r="SXY20" s="204"/>
      <c r="SXZ20" s="204"/>
      <c r="SYA20" s="204"/>
      <c r="SYB20" s="204"/>
      <c r="SYC20" s="204"/>
      <c r="SYD20" s="204"/>
      <c r="SYE20" s="204"/>
      <c r="SYF20" s="204"/>
      <c r="SYG20" s="204"/>
      <c r="SYH20" s="204"/>
      <c r="SYI20" s="204"/>
      <c r="SYJ20" s="204"/>
      <c r="SYK20" s="204"/>
      <c r="SYL20" s="204"/>
      <c r="SYM20" s="204"/>
      <c r="SYN20" s="204"/>
      <c r="SYO20" s="204"/>
      <c r="SYP20" s="204"/>
      <c r="SYQ20" s="204"/>
      <c r="SYR20" s="204"/>
      <c r="SYS20" s="204"/>
      <c r="SYT20" s="204"/>
      <c r="SYU20" s="204"/>
      <c r="SYV20" s="204"/>
      <c r="SYW20" s="204"/>
      <c r="SYX20" s="204"/>
      <c r="SYY20" s="204"/>
      <c r="SYZ20" s="204"/>
      <c r="SZA20" s="204"/>
      <c r="SZB20" s="204"/>
      <c r="SZC20" s="204"/>
      <c r="SZD20" s="204"/>
      <c r="SZE20" s="204"/>
      <c r="SZF20" s="204"/>
      <c r="SZG20" s="204"/>
      <c r="SZH20" s="204"/>
      <c r="SZI20" s="204"/>
      <c r="SZJ20" s="204"/>
      <c r="SZK20" s="204"/>
      <c r="SZL20" s="204"/>
      <c r="SZM20" s="204"/>
      <c r="SZN20" s="204"/>
      <c r="SZO20" s="204"/>
      <c r="SZP20" s="204"/>
      <c r="SZQ20" s="204"/>
      <c r="SZR20" s="204"/>
      <c r="SZS20" s="204"/>
      <c r="SZT20" s="204"/>
      <c r="SZU20" s="204"/>
      <c r="SZV20" s="204"/>
      <c r="SZW20" s="204"/>
      <c r="SZX20" s="204"/>
      <c r="SZY20" s="204"/>
      <c r="SZZ20" s="204"/>
      <c r="TAA20" s="204"/>
      <c r="TAB20" s="204"/>
      <c r="TAC20" s="204"/>
      <c r="TAD20" s="204"/>
      <c r="TAE20" s="204"/>
      <c r="TAF20" s="204"/>
      <c r="TAG20" s="204"/>
      <c r="TAH20" s="204"/>
      <c r="TAI20" s="204"/>
      <c r="TAJ20" s="204"/>
      <c r="TAK20" s="204"/>
      <c r="TAL20" s="204"/>
      <c r="TAM20" s="204"/>
      <c r="TAN20" s="204"/>
      <c r="TAO20" s="204"/>
      <c r="TAP20" s="204"/>
      <c r="TAQ20" s="204"/>
      <c r="TAR20" s="204"/>
      <c r="TAS20" s="204"/>
      <c r="TAT20" s="204"/>
      <c r="TAU20" s="204"/>
      <c r="TAV20" s="204"/>
      <c r="TAW20" s="204"/>
      <c r="TAX20" s="204"/>
      <c r="TAY20" s="204"/>
      <c r="TAZ20" s="204"/>
      <c r="TBA20" s="204"/>
      <c r="TBB20" s="204"/>
      <c r="TBC20" s="204"/>
      <c r="TBD20" s="204"/>
      <c r="TBE20" s="204"/>
      <c r="TBF20" s="204"/>
      <c r="TBG20" s="204"/>
      <c r="TBH20" s="204"/>
      <c r="TBI20" s="204"/>
      <c r="TBJ20" s="204"/>
      <c r="TBK20" s="204"/>
      <c r="TBL20" s="204"/>
      <c r="TBM20" s="204"/>
      <c r="TBN20" s="204"/>
      <c r="TBO20" s="204"/>
      <c r="TBP20" s="204"/>
      <c r="TBQ20" s="204"/>
      <c r="TBR20" s="204"/>
      <c r="TBS20" s="204"/>
      <c r="TBT20" s="204"/>
      <c r="TBU20" s="204"/>
      <c r="TBV20" s="204"/>
      <c r="TBW20" s="204"/>
      <c r="TBX20" s="204"/>
      <c r="TBY20" s="204"/>
      <c r="TBZ20" s="204"/>
      <c r="TCA20" s="204"/>
      <c r="TCB20" s="204"/>
      <c r="TCC20" s="204"/>
      <c r="TCD20" s="204"/>
      <c r="TCE20" s="204"/>
      <c r="TCF20" s="204"/>
      <c r="TCG20" s="204"/>
      <c r="TCH20" s="204"/>
      <c r="TCI20" s="204"/>
      <c r="TCJ20" s="204"/>
      <c r="TCK20" s="204"/>
      <c r="TCL20" s="204"/>
      <c r="TCM20" s="204"/>
      <c r="TCN20" s="204"/>
      <c r="TCO20" s="204"/>
      <c r="TCP20" s="204"/>
      <c r="TCQ20" s="204"/>
      <c r="TCR20" s="204"/>
      <c r="TCS20" s="204"/>
      <c r="TCT20" s="204"/>
      <c r="TCU20" s="204"/>
      <c r="TCV20" s="204"/>
      <c r="TCW20" s="204"/>
      <c r="TCX20" s="204"/>
      <c r="TCY20" s="204"/>
      <c r="TCZ20" s="204"/>
      <c r="TDA20" s="204"/>
      <c r="TDB20" s="204"/>
      <c r="TDC20" s="204"/>
      <c r="TDD20" s="204"/>
      <c r="TDE20" s="204"/>
      <c r="TDF20" s="204"/>
      <c r="TDG20" s="204"/>
      <c r="TDH20" s="204"/>
      <c r="TDI20" s="204"/>
      <c r="TDJ20" s="204"/>
      <c r="TDK20" s="204"/>
      <c r="TDL20" s="204"/>
      <c r="TDM20" s="204"/>
      <c r="TDN20" s="204"/>
      <c r="TDO20" s="204"/>
      <c r="TDP20" s="204"/>
      <c r="TDQ20" s="204"/>
      <c r="TDR20" s="204"/>
      <c r="TDS20" s="204"/>
      <c r="TDT20" s="204"/>
      <c r="TDU20" s="204"/>
      <c r="TDV20" s="204"/>
      <c r="TDW20" s="204"/>
      <c r="TDX20" s="204"/>
      <c r="TDY20" s="204"/>
      <c r="TDZ20" s="204"/>
      <c r="TEA20" s="204"/>
      <c r="TEB20" s="204"/>
      <c r="TEC20" s="204"/>
      <c r="TED20" s="204"/>
      <c r="TEE20" s="204"/>
      <c r="TEF20" s="204"/>
      <c r="TEG20" s="204"/>
      <c r="TEH20" s="204"/>
      <c r="TEI20" s="204"/>
      <c r="TEJ20" s="204"/>
      <c r="TEK20" s="204"/>
      <c r="TEL20" s="204"/>
      <c r="TEM20" s="204"/>
      <c r="TEN20" s="204"/>
      <c r="TEO20" s="204"/>
      <c r="TEP20" s="204"/>
      <c r="TEQ20" s="204"/>
      <c r="TER20" s="204"/>
      <c r="TES20" s="204"/>
      <c r="TET20" s="204"/>
      <c r="TEU20" s="204"/>
      <c r="TEV20" s="204"/>
      <c r="TEW20" s="204"/>
      <c r="TEX20" s="204"/>
      <c r="TEY20" s="204"/>
      <c r="TEZ20" s="204"/>
      <c r="TFA20" s="204"/>
      <c r="TFB20" s="204"/>
      <c r="TFC20" s="204"/>
      <c r="TFD20" s="204"/>
      <c r="TFE20" s="204"/>
      <c r="TFF20" s="204"/>
      <c r="TFG20" s="204"/>
      <c r="TFH20" s="204"/>
      <c r="TFI20" s="204"/>
      <c r="TFJ20" s="204"/>
      <c r="TFK20" s="204"/>
      <c r="TFL20" s="204"/>
      <c r="TFM20" s="204"/>
      <c r="TFN20" s="204"/>
      <c r="TFO20" s="204"/>
      <c r="TFP20" s="204"/>
      <c r="TFQ20" s="204"/>
      <c r="TFR20" s="204"/>
      <c r="TFS20" s="204"/>
      <c r="TFT20" s="204"/>
      <c r="TFU20" s="204"/>
      <c r="TFV20" s="204"/>
      <c r="TFW20" s="204"/>
      <c r="TFX20" s="204"/>
      <c r="TFY20" s="204"/>
      <c r="TFZ20" s="204"/>
      <c r="TGA20" s="204"/>
      <c r="TGB20" s="204"/>
      <c r="TGC20" s="204"/>
      <c r="TGD20" s="204"/>
      <c r="TGE20" s="204"/>
      <c r="TGF20" s="204"/>
      <c r="TGG20" s="204"/>
      <c r="TGH20" s="204"/>
      <c r="TGI20" s="204"/>
      <c r="TGJ20" s="204"/>
      <c r="TGK20" s="204"/>
      <c r="TGL20" s="204"/>
      <c r="TGM20" s="204"/>
      <c r="TGN20" s="204"/>
      <c r="TGO20" s="204"/>
      <c r="TGP20" s="204"/>
      <c r="TGQ20" s="204"/>
      <c r="TGR20" s="204"/>
      <c r="TGS20" s="204"/>
      <c r="TGT20" s="204"/>
      <c r="TGU20" s="204"/>
      <c r="TGV20" s="204"/>
      <c r="TGW20" s="204"/>
      <c r="TGX20" s="204"/>
      <c r="TGY20" s="204"/>
      <c r="TGZ20" s="204"/>
      <c r="THA20" s="204"/>
      <c r="THB20" s="204"/>
      <c r="THC20" s="204"/>
      <c r="THD20" s="204"/>
      <c r="THE20" s="204"/>
      <c r="THF20" s="204"/>
      <c r="THG20" s="204"/>
      <c r="THH20" s="204"/>
      <c r="THI20" s="204"/>
      <c r="THJ20" s="204"/>
      <c r="THK20" s="204"/>
      <c r="THL20" s="204"/>
      <c r="THM20" s="204"/>
      <c r="THN20" s="204"/>
      <c r="THO20" s="204"/>
      <c r="THP20" s="204"/>
      <c r="THQ20" s="204"/>
      <c r="THR20" s="204"/>
      <c r="THS20" s="204"/>
      <c r="THT20" s="204"/>
      <c r="THU20" s="204"/>
      <c r="THV20" s="204"/>
      <c r="THW20" s="204"/>
      <c r="THX20" s="204"/>
      <c r="THY20" s="204"/>
      <c r="THZ20" s="204"/>
      <c r="TIA20" s="204"/>
      <c r="TIB20" s="204"/>
      <c r="TIC20" s="204"/>
      <c r="TID20" s="204"/>
      <c r="TIE20" s="204"/>
      <c r="TIF20" s="204"/>
      <c r="TIG20" s="204"/>
      <c r="TIH20" s="204"/>
      <c r="TII20" s="204"/>
      <c r="TIJ20" s="204"/>
      <c r="TIK20" s="204"/>
      <c r="TIL20" s="204"/>
      <c r="TIM20" s="204"/>
      <c r="TIN20" s="204"/>
      <c r="TIO20" s="204"/>
      <c r="TIP20" s="204"/>
      <c r="TIQ20" s="204"/>
      <c r="TIR20" s="204"/>
      <c r="TIS20" s="204"/>
      <c r="TIT20" s="204"/>
      <c r="TIU20" s="204"/>
      <c r="TIV20" s="204"/>
      <c r="TIW20" s="204"/>
      <c r="TIX20" s="204"/>
      <c r="TIY20" s="204"/>
      <c r="TIZ20" s="204"/>
      <c r="TJA20" s="204"/>
      <c r="TJB20" s="204"/>
      <c r="TJC20" s="204"/>
      <c r="TJD20" s="204"/>
      <c r="TJE20" s="204"/>
      <c r="TJF20" s="204"/>
      <c r="TJG20" s="204"/>
      <c r="TJH20" s="204"/>
      <c r="TJI20" s="204"/>
      <c r="TJJ20" s="204"/>
      <c r="TJK20" s="204"/>
      <c r="TJL20" s="204"/>
      <c r="TJM20" s="204"/>
      <c r="TJN20" s="204"/>
      <c r="TJO20" s="204"/>
      <c r="TJP20" s="204"/>
      <c r="TJQ20" s="204"/>
      <c r="TJR20" s="204"/>
      <c r="TJS20" s="204"/>
      <c r="TJT20" s="204"/>
      <c r="TJU20" s="204"/>
      <c r="TJV20" s="204"/>
      <c r="TJW20" s="204"/>
      <c r="TJX20" s="204"/>
      <c r="TJY20" s="204"/>
      <c r="TJZ20" s="204"/>
      <c r="TKA20" s="204"/>
      <c r="TKB20" s="204"/>
      <c r="TKC20" s="204"/>
      <c r="TKD20" s="204"/>
      <c r="TKE20" s="204"/>
      <c r="TKF20" s="204"/>
      <c r="TKG20" s="204"/>
      <c r="TKH20" s="204"/>
      <c r="TKI20" s="204"/>
      <c r="TKJ20" s="204"/>
      <c r="TKK20" s="204"/>
      <c r="TKL20" s="204"/>
      <c r="TKM20" s="204"/>
      <c r="TKN20" s="204"/>
      <c r="TKO20" s="204"/>
      <c r="TKP20" s="204"/>
      <c r="TKQ20" s="204"/>
      <c r="TKR20" s="204"/>
      <c r="TKS20" s="204"/>
      <c r="TKT20" s="204"/>
      <c r="TKU20" s="204"/>
      <c r="TKV20" s="204"/>
      <c r="TKW20" s="204"/>
      <c r="TKX20" s="204"/>
      <c r="TKY20" s="204"/>
      <c r="TKZ20" s="204"/>
      <c r="TLA20" s="204"/>
      <c r="TLB20" s="204"/>
      <c r="TLC20" s="204"/>
      <c r="TLD20" s="204"/>
      <c r="TLE20" s="204"/>
      <c r="TLF20" s="204"/>
      <c r="TLG20" s="204"/>
      <c r="TLH20" s="204"/>
      <c r="TLI20" s="204"/>
      <c r="TLJ20" s="204"/>
      <c r="TLK20" s="204"/>
      <c r="TLL20" s="204"/>
      <c r="TLM20" s="204"/>
      <c r="TLN20" s="204"/>
      <c r="TLO20" s="204"/>
      <c r="TLP20" s="204"/>
      <c r="TLQ20" s="204"/>
      <c r="TLR20" s="204"/>
      <c r="TLS20" s="204"/>
      <c r="TLT20" s="204"/>
      <c r="TLU20" s="204"/>
      <c r="TLV20" s="204"/>
      <c r="TLW20" s="204"/>
      <c r="TLX20" s="204"/>
      <c r="TLY20" s="204"/>
      <c r="TLZ20" s="204"/>
      <c r="TMA20" s="204"/>
      <c r="TMB20" s="204"/>
      <c r="TMC20" s="204"/>
      <c r="TMD20" s="204"/>
      <c r="TME20" s="204"/>
      <c r="TMF20" s="204"/>
      <c r="TMG20" s="204"/>
      <c r="TMH20" s="204"/>
      <c r="TMI20" s="204"/>
      <c r="TMJ20" s="204"/>
      <c r="TMK20" s="204"/>
      <c r="TML20" s="204"/>
      <c r="TMM20" s="204"/>
      <c r="TMN20" s="204"/>
      <c r="TMO20" s="204"/>
      <c r="TMP20" s="204"/>
      <c r="TMQ20" s="204"/>
      <c r="TMR20" s="204"/>
      <c r="TMS20" s="204"/>
      <c r="TMT20" s="204"/>
      <c r="TMU20" s="204"/>
      <c r="TMV20" s="204"/>
      <c r="TMW20" s="204"/>
      <c r="TMX20" s="204"/>
      <c r="TMY20" s="204"/>
      <c r="TMZ20" s="204"/>
      <c r="TNA20" s="204"/>
      <c r="TNB20" s="204"/>
      <c r="TNC20" s="204"/>
      <c r="TND20" s="204"/>
      <c r="TNE20" s="204"/>
      <c r="TNF20" s="204"/>
      <c r="TNG20" s="204"/>
      <c r="TNH20" s="204"/>
      <c r="TNI20" s="204"/>
      <c r="TNJ20" s="204"/>
      <c r="TNK20" s="204"/>
      <c r="TNL20" s="204"/>
      <c r="TNM20" s="204"/>
      <c r="TNN20" s="204"/>
      <c r="TNO20" s="204"/>
      <c r="TNP20" s="204"/>
      <c r="TNQ20" s="204"/>
      <c r="TNR20" s="204"/>
      <c r="TNS20" s="204"/>
      <c r="TNT20" s="204"/>
      <c r="TNU20" s="204"/>
      <c r="TNV20" s="204"/>
      <c r="TNW20" s="204"/>
      <c r="TNX20" s="204"/>
      <c r="TNY20" s="204"/>
      <c r="TNZ20" s="204"/>
      <c r="TOA20" s="204"/>
      <c r="TOB20" s="204"/>
      <c r="TOC20" s="204"/>
      <c r="TOD20" s="204"/>
      <c r="TOE20" s="204"/>
      <c r="TOF20" s="204"/>
      <c r="TOG20" s="204"/>
      <c r="TOH20" s="204"/>
      <c r="TOI20" s="204"/>
      <c r="TOJ20" s="204"/>
      <c r="TOK20" s="204"/>
      <c r="TOL20" s="204"/>
      <c r="TOM20" s="204"/>
      <c r="TON20" s="204"/>
      <c r="TOO20" s="204"/>
      <c r="TOP20" s="204"/>
      <c r="TOQ20" s="204"/>
      <c r="TOR20" s="204"/>
      <c r="TOS20" s="204"/>
      <c r="TOT20" s="204"/>
      <c r="TOU20" s="204"/>
      <c r="TOV20" s="204"/>
      <c r="TOW20" s="204"/>
      <c r="TOX20" s="204"/>
      <c r="TOY20" s="204"/>
      <c r="TOZ20" s="204"/>
      <c r="TPA20" s="204"/>
      <c r="TPB20" s="204"/>
      <c r="TPC20" s="204"/>
      <c r="TPD20" s="204"/>
      <c r="TPE20" s="204"/>
      <c r="TPF20" s="204"/>
      <c r="TPG20" s="204"/>
      <c r="TPH20" s="204"/>
      <c r="TPI20" s="204"/>
      <c r="TPJ20" s="204"/>
      <c r="TPK20" s="204"/>
      <c r="TPL20" s="204"/>
      <c r="TPM20" s="204"/>
      <c r="TPN20" s="204"/>
      <c r="TPO20" s="204"/>
      <c r="TPP20" s="204"/>
      <c r="TPQ20" s="204"/>
      <c r="TPR20" s="204"/>
      <c r="TPS20" s="204"/>
      <c r="TPT20" s="204"/>
      <c r="TPU20" s="204"/>
      <c r="TPV20" s="204"/>
      <c r="TPW20" s="204"/>
      <c r="TPX20" s="204"/>
      <c r="TPY20" s="204"/>
      <c r="TPZ20" s="204"/>
      <c r="TQA20" s="204"/>
      <c r="TQB20" s="204"/>
      <c r="TQC20" s="204"/>
      <c r="TQD20" s="204"/>
      <c r="TQE20" s="204"/>
      <c r="TQF20" s="204"/>
      <c r="TQG20" s="204"/>
      <c r="TQH20" s="204"/>
      <c r="TQI20" s="204"/>
      <c r="TQJ20" s="204"/>
      <c r="TQK20" s="204"/>
      <c r="TQL20" s="204"/>
      <c r="TQM20" s="204"/>
      <c r="TQN20" s="204"/>
      <c r="TQO20" s="204"/>
      <c r="TQP20" s="204"/>
      <c r="TQQ20" s="204"/>
      <c r="TQR20" s="204"/>
      <c r="TQS20" s="204"/>
      <c r="TQT20" s="204"/>
      <c r="TQU20" s="204"/>
      <c r="TQV20" s="204"/>
      <c r="TQW20" s="204"/>
      <c r="TQX20" s="204"/>
      <c r="TQY20" s="204"/>
      <c r="TQZ20" s="204"/>
      <c r="TRA20" s="204"/>
      <c r="TRB20" s="204"/>
      <c r="TRC20" s="204"/>
      <c r="TRD20" s="204"/>
      <c r="TRE20" s="204"/>
      <c r="TRF20" s="204"/>
      <c r="TRG20" s="204"/>
      <c r="TRH20" s="204"/>
      <c r="TRI20" s="204"/>
      <c r="TRJ20" s="204"/>
      <c r="TRK20" s="204"/>
      <c r="TRL20" s="204"/>
      <c r="TRM20" s="204"/>
      <c r="TRN20" s="204"/>
      <c r="TRO20" s="204"/>
      <c r="TRP20" s="204"/>
      <c r="TRQ20" s="204"/>
      <c r="TRR20" s="204"/>
      <c r="TRS20" s="204"/>
      <c r="TRT20" s="204"/>
      <c r="TRU20" s="204"/>
      <c r="TRV20" s="204"/>
      <c r="TRW20" s="204"/>
      <c r="TRX20" s="204"/>
      <c r="TRY20" s="204"/>
      <c r="TRZ20" s="204"/>
      <c r="TSA20" s="204"/>
      <c r="TSB20" s="204"/>
      <c r="TSC20" s="204"/>
      <c r="TSD20" s="204"/>
      <c r="TSE20" s="204"/>
      <c r="TSF20" s="204"/>
      <c r="TSG20" s="204"/>
      <c r="TSH20" s="204"/>
      <c r="TSI20" s="204"/>
      <c r="TSJ20" s="204"/>
      <c r="TSK20" s="204"/>
      <c r="TSL20" s="204"/>
      <c r="TSM20" s="204"/>
      <c r="TSN20" s="204"/>
      <c r="TSO20" s="204"/>
      <c r="TSP20" s="204"/>
      <c r="TSQ20" s="204"/>
      <c r="TSR20" s="204"/>
      <c r="TSS20" s="204"/>
      <c r="TST20" s="204"/>
      <c r="TSU20" s="204"/>
      <c r="TSV20" s="204"/>
      <c r="TSW20" s="204"/>
      <c r="TSX20" s="204"/>
      <c r="TSY20" s="204"/>
      <c r="TSZ20" s="204"/>
      <c r="TTA20" s="204"/>
      <c r="TTB20" s="204"/>
      <c r="TTC20" s="204"/>
      <c r="TTD20" s="204"/>
      <c r="TTE20" s="204"/>
      <c r="TTF20" s="204"/>
      <c r="TTG20" s="204"/>
      <c r="TTH20" s="204"/>
      <c r="TTI20" s="204"/>
      <c r="TTJ20" s="204"/>
      <c r="TTK20" s="204"/>
      <c r="TTL20" s="204"/>
      <c r="TTM20" s="204"/>
      <c r="TTN20" s="204"/>
      <c r="TTO20" s="204"/>
      <c r="TTP20" s="204"/>
      <c r="TTQ20" s="204"/>
      <c r="TTR20" s="204"/>
      <c r="TTS20" s="204"/>
      <c r="TTT20" s="204"/>
      <c r="TTU20" s="204"/>
      <c r="TTV20" s="204"/>
      <c r="TTW20" s="204"/>
      <c r="TTX20" s="204"/>
      <c r="TTY20" s="204"/>
      <c r="TTZ20" s="204"/>
      <c r="TUA20" s="204"/>
      <c r="TUB20" s="204"/>
      <c r="TUC20" s="204"/>
      <c r="TUD20" s="204"/>
      <c r="TUE20" s="204"/>
      <c r="TUF20" s="204"/>
      <c r="TUG20" s="204"/>
      <c r="TUH20" s="204"/>
      <c r="TUI20" s="204"/>
      <c r="TUJ20" s="204"/>
      <c r="TUK20" s="204"/>
      <c r="TUL20" s="204"/>
      <c r="TUM20" s="204"/>
      <c r="TUN20" s="204"/>
      <c r="TUO20" s="204"/>
      <c r="TUP20" s="204"/>
      <c r="TUQ20" s="204"/>
      <c r="TUR20" s="204"/>
      <c r="TUS20" s="204"/>
      <c r="TUT20" s="204"/>
      <c r="TUU20" s="204"/>
      <c r="TUV20" s="204"/>
      <c r="TUW20" s="204"/>
      <c r="TUX20" s="204"/>
      <c r="TUY20" s="204"/>
      <c r="TUZ20" s="204"/>
      <c r="TVA20" s="204"/>
      <c r="TVB20" s="204"/>
      <c r="TVC20" s="204"/>
      <c r="TVD20" s="204"/>
      <c r="TVE20" s="204"/>
      <c r="TVF20" s="204"/>
      <c r="TVG20" s="204"/>
      <c r="TVH20" s="204"/>
      <c r="TVI20" s="204"/>
      <c r="TVJ20" s="204"/>
      <c r="TVK20" s="204"/>
      <c r="TVL20" s="204"/>
      <c r="TVM20" s="204"/>
      <c r="TVN20" s="204"/>
      <c r="TVO20" s="204"/>
      <c r="TVP20" s="204"/>
      <c r="TVQ20" s="204"/>
      <c r="TVR20" s="204"/>
      <c r="TVS20" s="204"/>
      <c r="TVT20" s="204"/>
      <c r="TVU20" s="204"/>
      <c r="TVV20" s="204"/>
      <c r="TVW20" s="204"/>
      <c r="TVX20" s="204"/>
      <c r="TVY20" s="204"/>
      <c r="TVZ20" s="204"/>
      <c r="TWA20" s="204"/>
      <c r="TWB20" s="204"/>
      <c r="TWC20" s="204"/>
      <c r="TWD20" s="204"/>
      <c r="TWE20" s="204"/>
      <c r="TWF20" s="204"/>
      <c r="TWG20" s="204"/>
      <c r="TWH20" s="204"/>
      <c r="TWI20" s="204"/>
      <c r="TWJ20" s="204"/>
      <c r="TWK20" s="204"/>
      <c r="TWL20" s="204"/>
      <c r="TWM20" s="204"/>
      <c r="TWN20" s="204"/>
      <c r="TWO20" s="204"/>
      <c r="TWP20" s="204"/>
      <c r="TWQ20" s="204"/>
      <c r="TWR20" s="204"/>
      <c r="TWS20" s="204"/>
      <c r="TWT20" s="204"/>
      <c r="TWU20" s="204"/>
      <c r="TWV20" s="204"/>
      <c r="TWW20" s="204"/>
      <c r="TWX20" s="204"/>
      <c r="TWY20" s="204"/>
      <c r="TWZ20" s="204"/>
      <c r="TXA20" s="204"/>
      <c r="TXB20" s="204"/>
      <c r="TXC20" s="204"/>
      <c r="TXD20" s="204"/>
      <c r="TXE20" s="204"/>
      <c r="TXF20" s="204"/>
      <c r="TXG20" s="204"/>
      <c r="TXH20" s="204"/>
      <c r="TXI20" s="204"/>
      <c r="TXJ20" s="204"/>
      <c r="TXK20" s="204"/>
      <c r="TXL20" s="204"/>
      <c r="TXM20" s="204"/>
      <c r="TXN20" s="204"/>
      <c r="TXO20" s="204"/>
      <c r="TXP20" s="204"/>
      <c r="TXQ20" s="204"/>
      <c r="TXR20" s="204"/>
      <c r="TXS20" s="204"/>
      <c r="TXT20" s="204"/>
      <c r="TXU20" s="204"/>
      <c r="TXV20" s="204"/>
      <c r="TXW20" s="204"/>
      <c r="TXX20" s="204"/>
      <c r="TXY20" s="204"/>
      <c r="TXZ20" s="204"/>
      <c r="TYA20" s="204"/>
      <c r="TYB20" s="204"/>
      <c r="TYC20" s="204"/>
      <c r="TYD20" s="204"/>
      <c r="TYE20" s="204"/>
      <c r="TYF20" s="204"/>
      <c r="TYG20" s="204"/>
      <c r="TYH20" s="204"/>
      <c r="TYI20" s="204"/>
      <c r="TYJ20" s="204"/>
      <c r="TYK20" s="204"/>
      <c r="TYL20" s="204"/>
      <c r="TYM20" s="204"/>
      <c r="TYN20" s="204"/>
      <c r="TYO20" s="204"/>
      <c r="TYP20" s="204"/>
      <c r="TYQ20" s="204"/>
      <c r="TYR20" s="204"/>
      <c r="TYS20" s="204"/>
      <c r="TYT20" s="204"/>
      <c r="TYU20" s="204"/>
      <c r="TYV20" s="204"/>
      <c r="TYW20" s="204"/>
      <c r="TYX20" s="204"/>
      <c r="TYY20" s="204"/>
      <c r="TYZ20" s="204"/>
      <c r="TZA20" s="204"/>
      <c r="TZB20" s="204"/>
      <c r="TZC20" s="204"/>
      <c r="TZD20" s="204"/>
      <c r="TZE20" s="204"/>
      <c r="TZF20" s="204"/>
      <c r="TZG20" s="204"/>
      <c r="TZH20" s="204"/>
      <c r="TZI20" s="204"/>
      <c r="TZJ20" s="204"/>
      <c r="TZK20" s="204"/>
      <c r="TZL20" s="204"/>
      <c r="TZM20" s="204"/>
      <c r="TZN20" s="204"/>
      <c r="TZO20" s="204"/>
      <c r="TZP20" s="204"/>
      <c r="TZQ20" s="204"/>
      <c r="TZR20" s="204"/>
      <c r="TZS20" s="204"/>
      <c r="TZT20" s="204"/>
      <c r="TZU20" s="204"/>
      <c r="TZV20" s="204"/>
      <c r="TZW20" s="204"/>
      <c r="TZX20" s="204"/>
      <c r="TZY20" s="204"/>
      <c r="TZZ20" s="204"/>
      <c r="UAA20" s="204"/>
      <c r="UAB20" s="204"/>
      <c r="UAC20" s="204"/>
      <c r="UAD20" s="204"/>
      <c r="UAE20" s="204"/>
      <c r="UAF20" s="204"/>
      <c r="UAG20" s="204"/>
      <c r="UAH20" s="204"/>
      <c r="UAI20" s="204"/>
      <c r="UAJ20" s="204"/>
      <c r="UAK20" s="204"/>
      <c r="UAL20" s="204"/>
      <c r="UAM20" s="204"/>
      <c r="UAN20" s="204"/>
      <c r="UAO20" s="204"/>
      <c r="UAP20" s="204"/>
      <c r="UAQ20" s="204"/>
      <c r="UAR20" s="204"/>
      <c r="UAS20" s="204"/>
      <c r="UAT20" s="204"/>
      <c r="UAU20" s="204"/>
      <c r="UAV20" s="204"/>
      <c r="UAW20" s="204"/>
      <c r="UAX20" s="204"/>
      <c r="UAY20" s="204"/>
      <c r="UAZ20" s="204"/>
      <c r="UBA20" s="204"/>
      <c r="UBB20" s="204"/>
      <c r="UBC20" s="204"/>
      <c r="UBD20" s="204"/>
      <c r="UBE20" s="204"/>
      <c r="UBF20" s="204"/>
      <c r="UBG20" s="204"/>
      <c r="UBH20" s="204"/>
      <c r="UBI20" s="204"/>
      <c r="UBJ20" s="204"/>
      <c r="UBK20" s="204"/>
      <c r="UBL20" s="204"/>
      <c r="UBM20" s="204"/>
      <c r="UBN20" s="204"/>
      <c r="UBO20" s="204"/>
      <c r="UBP20" s="204"/>
      <c r="UBQ20" s="204"/>
      <c r="UBR20" s="204"/>
      <c r="UBS20" s="204"/>
      <c r="UBT20" s="204"/>
      <c r="UBU20" s="204"/>
      <c r="UBV20" s="204"/>
      <c r="UBW20" s="204"/>
      <c r="UBX20" s="204"/>
      <c r="UBY20" s="204"/>
      <c r="UBZ20" s="204"/>
      <c r="UCA20" s="204"/>
      <c r="UCB20" s="204"/>
      <c r="UCC20" s="204"/>
      <c r="UCD20" s="204"/>
      <c r="UCE20" s="204"/>
      <c r="UCF20" s="204"/>
      <c r="UCG20" s="204"/>
      <c r="UCH20" s="204"/>
      <c r="UCI20" s="204"/>
      <c r="UCJ20" s="204"/>
      <c r="UCK20" s="204"/>
      <c r="UCL20" s="204"/>
      <c r="UCM20" s="204"/>
      <c r="UCN20" s="204"/>
      <c r="UCO20" s="204"/>
      <c r="UCP20" s="204"/>
      <c r="UCQ20" s="204"/>
      <c r="UCR20" s="204"/>
      <c r="UCS20" s="204"/>
      <c r="UCT20" s="204"/>
      <c r="UCU20" s="204"/>
      <c r="UCV20" s="204"/>
      <c r="UCW20" s="204"/>
      <c r="UCX20" s="204"/>
      <c r="UCY20" s="204"/>
      <c r="UCZ20" s="204"/>
      <c r="UDA20" s="204"/>
      <c r="UDB20" s="204"/>
      <c r="UDC20" s="204"/>
      <c r="UDD20" s="204"/>
      <c r="UDE20" s="204"/>
      <c r="UDF20" s="204"/>
      <c r="UDG20" s="204"/>
      <c r="UDH20" s="204"/>
      <c r="UDI20" s="204"/>
      <c r="UDJ20" s="204"/>
      <c r="UDK20" s="204"/>
      <c r="UDL20" s="204"/>
      <c r="UDM20" s="204"/>
      <c r="UDN20" s="204"/>
      <c r="UDO20" s="204"/>
      <c r="UDP20" s="204"/>
      <c r="UDQ20" s="204"/>
      <c r="UDR20" s="204"/>
      <c r="UDS20" s="204"/>
      <c r="UDT20" s="204"/>
      <c r="UDU20" s="204"/>
      <c r="UDV20" s="204"/>
      <c r="UDW20" s="204"/>
      <c r="UDX20" s="204"/>
      <c r="UDY20" s="204"/>
      <c r="UDZ20" s="204"/>
      <c r="UEA20" s="204"/>
      <c r="UEB20" s="204"/>
      <c r="UEC20" s="204"/>
      <c r="UED20" s="204"/>
      <c r="UEE20" s="204"/>
      <c r="UEF20" s="204"/>
      <c r="UEG20" s="204"/>
      <c r="UEH20" s="204"/>
      <c r="UEI20" s="204"/>
      <c r="UEJ20" s="204"/>
      <c r="UEK20" s="204"/>
      <c r="UEL20" s="204"/>
      <c r="UEM20" s="204"/>
      <c r="UEN20" s="204"/>
      <c r="UEO20" s="204"/>
      <c r="UEP20" s="204"/>
      <c r="UEQ20" s="204"/>
      <c r="UER20" s="204"/>
      <c r="UES20" s="204"/>
      <c r="UET20" s="204"/>
      <c r="UEU20" s="204"/>
      <c r="UEV20" s="204"/>
      <c r="UEW20" s="204"/>
      <c r="UEX20" s="204"/>
      <c r="UEY20" s="204"/>
      <c r="UEZ20" s="204"/>
      <c r="UFA20" s="204"/>
      <c r="UFB20" s="204"/>
      <c r="UFC20" s="204"/>
      <c r="UFD20" s="204"/>
      <c r="UFE20" s="204"/>
      <c r="UFF20" s="204"/>
      <c r="UFG20" s="204"/>
      <c r="UFH20" s="204"/>
      <c r="UFI20" s="204"/>
      <c r="UFJ20" s="204"/>
      <c r="UFK20" s="204"/>
      <c r="UFL20" s="204"/>
      <c r="UFM20" s="204"/>
      <c r="UFN20" s="204"/>
      <c r="UFO20" s="204"/>
      <c r="UFP20" s="204"/>
      <c r="UFQ20" s="204"/>
      <c r="UFR20" s="204"/>
      <c r="UFS20" s="204"/>
      <c r="UFT20" s="204"/>
      <c r="UFU20" s="204"/>
      <c r="UFV20" s="204"/>
      <c r="UFW20" s="204"/>
      <c r="UFX20" s="204"/>
      <c r="UFY20" s="204"/>
      <c r="UFZ20" s="204"/>
      <c r="UGA20" s="204"/>
      <c r="UGB20" s="204"/>
      <c r="UGC20" s="204"/>
      <c r="UGD20" s="204"/>
      <c r="UGE20" s="204"/>
      <c r="UGF20" s="204"/>
      <c r="UGG20" s="204"/>
      <c r="UGH20" s="204"/>
      <c r="UGI20" s="204"/>
      <c r="UGJ20" s="204"/>
      <c r="UGK20" s="204"/>
      <c r="UGL20" s="204"/>
      <c r="UGM20" s="204"/>
      <c r="UGN20" s="204"/>
      <c r="UGO20" s="204"/>
      <c r="UGP20" s="204"/>
      <c r="UGQ20" s="204"/>
      <c r="UGR20" s="204"/>
      <c r="UGS20" s="204"/>
      <c r="UGT20" s="204"/>
      <c r="UGU20" s="204"/>
      <c r="UGV20" s="204"/>
      <c r="UGW20" s="204"/>
      <c r="UGX20" s="204"/>
      <c r="UGY20" s="204"/>
      <c r="UGZ20" s="204"/>
      <c r="UHA20" s="204"/>
      <c r="UHB20" s="204"/>
      <c r="UHC20" s="204"/>
      <c r="UHD20" s="204"/>
      <c r="UHE20" s="204"/>
      <c r="UHF20" s="204"/>
      <c r="UHG20" s="204"/>
      <c r="UHH20" s="204"/>
      <c r="UHI20" s="204"/>
      <c r="UHJ20" s="204"/>
      <c r="UHK20" s="204"/>
      <c r="UHL20" s="204"/>
      <c r="UHM20" s="204"/>
      <c r="UHN20" s="204"/>
      <c r="UHO20" s="204"/>
      <c r="UHP20" s="204"/>
      <c r="UHQ20" s="204"/>
      <c r="UHR20" s="204"/>
      <c r="UHS20" s="204"/>
      <c r="UHT20" s="204"/>
      <c r="UHU20" s="204"/>
      <c r="UHV20" s="204"/>
      <c r="UHW20" s="204"/>
      <c r="UHX20" s="204"/>
      <c r="UHY20" s="204"/>
      <c r="UHZ20" s="204"/>
      <c r="UIA20" s="204"/>
      <c r="UIB20" s="204"/>
      <c r="UIC20" s="204"/>
      <c r="UID20" s="204"/>
      <c r="UIE20" s="204"/>
      <c r="UIF20" s="204"/>
      <c r="UIG20" s="204"/>
      <c r="UIH20" s="204"/>
      <c r="UII20" s="204"/>
      <c r="UIJ20" s="204"/>
      <c r="UIK20" s="204"/>
      <c r="UIL20" s="204"/>
      <c r="UIM20" s="204"/>
      <c r="UIN20" s="204"/>
      <c r="UIO20" s="204"/>
      <c r="UIP20" s="204"/>
      <c r="UIQ20" s="204"/>
      <c r="UIR20" s="204"/>
      <c r="UIS20" s="204"/>
      <c r="UIT20" s="204"/>
      <c r="UIU20" s="204"/>
      <c r="UIV20" s="204"/>
      <c r="UIW20" s="204"/>
      <c r="UIX20" s="204"/>
      <c r="UIY20" s="204"/>
      <c r="UIZ20" s="204"/>
      <c r="UJA20" s="204"/>
      <c r="UJB20" s="204"/>
      <c r="UJC20" s="204"/>
      <c r="UJD20" s="204"/>
      <c r="UJE20" s="204"/>
      <c r="UJF20" s="204"/>
      <c r="UJG20" s="204"/>
      <c r="UJH20" s="204"/>
      <c r="UJI20" s="204"/>
      <c r="UJJ20" s="204"/>
      <c r="UJK20" s="204"/>
      <c r="UJL20" s="204"/>
      <c r="UJM20" s="204"/>
      <c r="UJN20" s="204"/>
      <c r="UJO20" s="204"/>
      <c r="UJP20" s="204"/>
      <c r="UJQ20" s="204"/>
      <c r="UJR20" s="204"/>
      <c r="UJS20" s="204"/>
      <c r="UJT20" s="204"/>
      <c r="UJU20" s="204"/>
      <c r="UJV20" s="204"/>
      <c r="UJW20" s="204"/>
      <c r="UJX20" s="204"/>
      <c r="UJY20" s="204"/>
      <c r="UJZ20" s="204"/>
      <c r="UKA20" s="204"/>
      <c r="UKB20" s="204"/>
      <c r="UKC20" s="204"/>
      <c r="UKD20" s="204"/>
      <c r="UKE20" s="204"/>
      <c r="UKF20" s="204"/>
      <c r="UKG20" s="204"/>
      <c r="UKH20" s="204"/>
      <c r="UKI20" s="204"/>
      <c r="UKJ20" s="204"/>
      <c r="UKK20" s="204"/>
      <c r="UKL20" s="204"/>
      <c r="UKM20" s="204"/>
      <c r="UKN20" s="204"/>
      <c r="UKO20" s="204"/>
      <c r="UKP20" s="204"/>
      <c r="UKQ20" s="204"/>
      <c r="UKR20" s="204"/>
      <c r="UKS20" s="204"/>
      <c r="UKT20" s="204"/>
      <c r="UKU20" s="204"/>
      <c r="UKV20" s="204"/>
      <c r="UKW20" s="204"/>
      <c r="UKX20" s="204"/>
      <c r="UKY20" s="204"/>
      <c r="UKZ20" s="204"/>
      <c r="ULA20" s="204"/>
      <c r="ULB20" s="204"/>
      <c r="ULC20" s="204"/>
      <c r="ULD20" s="204"/>
      <c r="ULE20" s="204"/>
      <c r="ULF20" s="204"/>
      <c r="ULG20" s="204"/>
      <c r="ULH20" s="204"/>
      <c r="ULI20" s="204"/>
      <c r="ULJ20" s="204"/>
      <c r="ULK20" s="204"/>
      <c r="ULL20" s="204"/>
      <c r="ULM20" s="204"/>
      <c r="ULN20" s="204"/>
      <c r="ULO20" s="204"/>
      <c r="ULP20" s="204"/>
      <c r="ULQ20" s="204"/>
      <c r="ULR20" s="204"/>
      <c r="ULS20" s="204"/>
      <c r="ULT20" s="204"/>
      <c r="ULU20" s="204"/>
      <c r="ULV20" s="204"/>
      <c r="ULW20" s="204"/>
      <c r="ULX20" s="204"/>
      <c r="ULY20" s="204"/>
      <c r="ULZ20" s="204"/>
      <c r="UMA20" s="204"/>
      <c r="UMB20" s="204"/>
      <c r="UMC20" s="204"/>
      <c r="UMD20" s="204"/>
      <c r="UME20" s="204"/>
      <c r="UMF20" s="204"/>
      <c r="UMG20" s="204"/>
      <c r="UMH20" s="204"/>
      <c r="UMI20" s="204"/>
      <c r="UMJ20" s="204"/>
      <c r="UMK20" s="204"/>
      <c r="UML20" s="204"/>
      <c r="UMM20" s="204"/>
      <c r="UMN20" s="204"/>
      <c r="UMO20" s="204"/>
      <c r="UMP20" s="204"/>
      <c r="UMQ20" s="204"/>
      <c r="UMR20" s="204"/>
      <c r="UMS20" s="204"/>
      <c r="UMT20" s="204"/>
      <c r="UMU20" s="204"/>
      <c r="UMV20" s="204"/>
      <c r="UMW20" s="204"/>
      <c r="UMX20" s="204"/>
      <c r="UMY20" s="204"/>
      <c r="UMZ20" s="204"/>
      <c r="UNA20" s="204"/>
      <c r="UNB20" s="204"/>
      <c r="UNC20" s="204"/>
      <c r="UND20" s="204"/>
      <c r="UNE20" s="204"/>
      <c r="UNF20" s="204"/>
      <c r="UNG20" s="204"/>
      <c r="UNH20" s="204"/>
      <c r="UNI20" s="204"/>
      <c r="UNJ20" s="204"/>
      <c r="UNK20" s="204"/>
      <c r="UNL20" s="204"/>
      <c r="UNM20" s="204"/>
      <c r="UNN20" s="204"/>
      <c r="UNO20" s="204"/>
      <c r="UNP20" s="204"/>
      <c r="UNQ20" s="204"/>
      <c r="UNR20" s="204"/>
      <c r="UNS20" s="204"/>
      <c r="UNT20" s="204"/>
      <c r="UNU20" s="204"/>
      <c r="UNV20" s="204"/>
      <c r="UNW20" s="204"/>
      <c r="UNX20" s="204"/>
      <c r="UNY20" s="204"/>
      <c r="UNZ20" s="204"/>
      <c r="UOA20" s="204"/>
      <c r="UOB20" s="204"/>
      <c r="UOC20" s="204"/>
      <c r="UOD20" s="204"/>
      <c r="UOE20" s="204"/>
      <c r="UOF20" s="204"/>
      <c r="UOG20" s="204"/>
      <c r="UOH20" s="204"/>
      <c r="UOI20" s="204"/>
      <c r="UOJ20" s="204"/>
      <c r="UOK20" s="204"/>
      <c r="UOL20" s="204"/>
      <c r="UOM20" s="204"/>
      <c r="UON20" s="204"/>
      <c r="UOO20" s="204"/>
      <c r="UOP20" s="204"/>
      <c r="UOQ20" s="204"/>
      <c r="UOR20" s="204"/>
      <c r="UOS20" s="204"/>
      <c r="UOT20" s="204"/>
      <c r="UOU20" s="204"/>
      <c r="UOV20" s="204"/>
      <c r="UOW20" s="204"/>
      <c r="UOX20" s="204"/>
      <c r="UOY20" s="204"/>
      <c r="UOZ20" s="204"/>
      <c r="UPA20" s="204"/>
      <c r="UPB20" s="204"/>
      <c r="UPC20" s="204"/>
      <c r="UPD20" s="204"/>
      <c r="UPE20" s="204"/>
      <c r="UPF20" s="204"/>
      <c r="UPG20" s="204"/>
      <c r="UPH20" s="204"/>
      <c r="UPI20" s="204"/>
      <c r="UPJ20" s="204"/>
      <c r="UPK20" s="204"/>
      <c r="UPL20" s="204"/>
      <c r="UPM20" s="204"/>
      <c r="UPN20" s="204"/>
      <c r="UPO20" s="204"/>
      <c r="UPP20" s="204"/>
      <c r="UPQ20" s="204"/>
      <c r="UPR20" s="204"/>
      <c r="UPS20" s="204"/>
      <c r="UPT20" s="204"/>
      <c r="UPU20" s="204"/>
      <c r="UPV20" s="204"/>
      <c r="UPW20" s="204"/>
      <c r="UPX20" s="204"/>
      <c r="UPY20" s="204"/>
      <c r="UPZ20" s="204"/>
      <c r="UQA20" s="204"/>
      <c r="UQB20" s="204"/>
      <c r="UQC20" s="204"/>
      <c r="UQD20" s="204"/>
      <c r="UQE20" s="204"/>
      <c r="UQF20" s="204"/>
      <c r="UQG20" s="204"/>
      <c r="UQH20" s="204"/>
      <c r="UQI20" s="204"/>
      <c r="UQJ20" s="204"/>
      <c r="UQK20" s="204"/>
      <c r="UQL20" s="204"/>
      <c r="UQM20" s="204"/>
      <c r="UQN20" s="204"/>
      <c r="UQO20" s="204"/>
      <c r="UQP20" s="204"/>
      <c r="UQQ20" s="204"/>
      <c r="UQR20" s="204"/>
      <c r="UQS20" s="204"/>
      <c r="UQT20" s="204"/>
      <c r="UQU20" s="204"/>
      <c r="UQV20" s="204"/>
      <c r="UQW20" s="204"/>
      <c r="UQX20" s="204"/>
      <c r="UQY20" s="204"/>
      <c r="UQZ20" s="204"/>
      <c r="URA20" s="204"/>
      <c r="URB20" s="204"/>
      <c r="URC20" s="204"/>
      <c r="URD20" s="204"/>
      <c r="URE20" s="204"/>
      <c r="URF20" s="204"/>
      <c r="URG20" s="204"/>
      <c r="URH20" s="204"/>
      <c r="URI20" s="204"/>
      <c r="URJ20" s="204"/>
      <c r="URK20" s="204"/>
      <c r="URL20" s="204"/>
      <c r="URM20" s="204"/>
      <c r="URN20" s="204"/>
      <c r="URO20" s="204"/>
      <c r="URP20" s="204"/>
      <c r="URQ20" s="204"/>
      <c r="URR20" s="204"/>
      <c r="URS20" s="204"/>
      <c r="URT20" s="204"/>
      <c r="URU20" s="204"/>
      <c r="URV20" s="204"/>
      <c r="URW20" s="204"/>
      <c r="URX20" s="204"/>
      <c r="URY20" s="204"/>
      <c r="URZ20" s="204"/>
      <c r="USA20" s="204"/>
      <c r="USB20" s="204"/>
      <c r="USC20" s="204"/>
      <c r="USD20" s="204"/>
      <c r="USE20" s="204"/>
      <c r="USF20" s="204"/>
      <c r="USG20" s="204"/>
      <c r="USH20" s="204"/>
      <c r="USI20" s="204"/>
      <c r="USJ20" s="204"/>
      <c r="USK20" s="204"/>
      <c r="USL20" s="204"/>
      <c r="USM20" s="204"/>
      <c r="USN20" s="204"/>
      <c r="USO20" s="204"/>
      <c r="USP20" s="204"/>
      <c r="USQ20" s="204"/>
      <c r="USR20" s="204"/>
      <c r="USS20" s="204"/>
      <c r="UST20" s="204"/>
      <c r="USU20" s="204"/>
      <c r="USV20" s="204"/>
      <c r="USW20" s="204"/>
      <c r="USX20" s="204"/>
      <c r="USY20" s="204"/>
      <c r="USZ20" s="204"/>
      <c r="UTA20" s="204"/>
      <c r="UTB20" s="204"/>
      <c r="UTC20" s="204"/>
      <c r="UTD20" s="204"/>
      <c r="UTE20" s="204"/>
      <c r="UTF20" s="204"/>
      <c r="UTG20" s="204"/>
      <c r="UTH20" s="204"/>
      <c r="UTI20" s="204"/>
      <c r="UTJ20" s="204"/>
      <c r="UTK20" s="204"/>
      <c r="UTL20" s="204"/>
      <c r="UTM20" s="204"/>
      <c r="UTN20" s="204"/>
      <c r="UTO20" s="204"/>
      <c r="UTP20" s="204"/>
      <c r="UTQ20" s="204"/>
      <c r="UTR20" s="204"/>
      <c r="UTS20" s="204"/>
      <c r="UTT20" s="204"/>
      <c r="UTU20" s="204"/>
      <c r="UTV20" s="204"/>
      <c r="UTW20" s="204"/>
      <c r="UTX20" s="204"/>
      <c r="UTY20" s="204"/>
      <c r="UTZ20" s="204"/>
      <c r="UUA20" s="204"/>
      <c r="UUB20" s="204"/>
      <c r="UUC20" s="204"/>
      <c r="UUD20" s="204"/>
      <c r="UUE20" s="204"/>
      <c r="UUF20" s="204"/>
      <c r="UUG20" s="204"/>
      <c r="UUH20" s="204"/>
      <c r="UUI20" s="204"/>
      <c r="UUJ20" s="204"/>
      <c r="UUK20" s="204"/>
      <c r="UUL20" s="204"/>
      <c r="UUM20" s="204"/>
      <c r="UUN20" s="204"/>
      <c r="UUO20" s="204"/>
      <c r="UUP20" s="204"/>
      <c r="UUQ20" s="204"/>
      <c r="UUR20" s="204"/>
      <c r="UUS20" s="204"/>
      <c r="UUT20" s="204"/>
      <c r="UUU20" s="204"/>
      <c r="UUV20" s="204"/>
      <c r="UUW20" s="204"/>
      <c r="UUX20" s="204"/>
      <c r="UUY20" s="204"/>
      <c r="UUZ20" s="204"/>
      <c r="UVA20" s="204"/>
      <c r="UVB20" s="204"/>
      <c r="UVC20" s="204"/>
      <c r="UVD20" s="204"/>
      <c r="UVE20" s="204"/>
      <c r="UVF20" s="204"/>
      <c r="UVG20" s="204"/>
      <c r="UVH20" s="204"/>
      <c r="UVI20" s="204"/>
      <c r="UVJ20" s="204"/>
      <c r="UVK20" s="204"/>
      <c r="UVL20" s="204"/>
      <c r="UVM20" s="204"/>
      <c r="UVN20" s="204"/>
      <c r="UVO20" s="204"/>
      <c r="UVP20" s="204"/>
      <c r="UVQ20" s="204"/>
      <c r="UVR20" s="204"/>
      <c r="UVS20" s="204"/>
      <c r="UVT20" s="204"/>
      <c r="UVU20" s="204"/>
      <c r="UVV20" s="204"/>
      <c r="UVW20" s="204"/>
      <c r="UVX20" s="204"/>
      <c r="UVY20" s="204"/>
      <c r="UVZ20" s="204"/>
      <c r="UWA20" s="204"/>
      <c r="UWB20" s="204"/>
      <c r="UWC20" s="204"/>
      <c r="UWD20" s="204"/>
      <c r="UWE20" s="204"/>
      <c r="UWF20" s="204"/>
      <c r="UWG20" s="204"/>
      <c r="UWH20" s="204"/>
      <c r="UWI20" s="204"/>
      <c r="UWJ20" s="204"/>
      <c r="UWK20" s="204"/>
      <c r="UWL20" s="204"/>
      <c r="UWM20" s="204"/>
      <c r="UWN20" s="204"/>
      <c r="UWO20" s="204"/>
      <c r="UWP20" s="204"/>
      <c r="UWQ20" s="204"/>
      <c r="UWR20" s="204"/>
      <c r="UWS20" s="204"/>
      <c r="UWT20" s="204"/>
      <c r="UWU20" s="204"/>
      <c r="UWV20" s="204"/>
      <c r="UWW20" s="204"/>
      <c r="UWX20" s="204"/>
      <c r="UWY20" s="204"/>
      <c r="UWZ20" s="204"/>
      <c r="UXA20" s="204"/>
      <c r="UXB20" s="204"/>
      <c r="UXC20" s="204"/>
      <c r="UXD20" s="204"/>
      <c r="UXE20" s="204"/>
      <c r="UXF20" s="204"/>
      <c r="UXG20" s="204"/>
      <c r="UXH20" s="204"/>
      <c r="UXI20" s="204"/>
      <c r="UXJ20" s="204"/>
      <c r="UXK20" s="204"/>
      <c r="UXL20" s="204"/>
      <c r="UXM20" s="204"/>
      <c r="UXN20" s="204"/>
      <c r="UXO20" s="204"/>
      <c r="UXP20" s="204"/>
      <c r="UXQ20" s="204"/>
      <c r="UXR20" s="204"/>
      <c r="UXS20" s="204"/>
      <c r="UXT20" s="204"/>
      <c r="UXU20" s="204"/>
      <c r="UXV20" s="204"/>
      <c r="UXW20" s="204"/>
      <c r="UXX20" s="204"/>
      <c r="UXY20" s="204"/>
      <c r="UXZ20" s="204"/>
      <c r="UYA20" s="204"/>
      <c r="UYB20" s="204"/>
      <c r="UYC20" s="204"/>
      <c r="UYD20" s="204"/>
      <c r="UYE20" s="204"/>
      <c r="UYF20" s="204"/>
      <c r="UYG20" s="204"/>
      <c r="UYH20" s="204"/>
      <c r="UYI20" s="204"/>
      <c r="UYJ20" s="204"/>
      <c r="UYK20" s="204"/>
      <c r="UYL20" s="204"/>
      <c r="UYM20" s="204"/>
      <c r="UYN20" s="204"/>
      <c r="UYO20" s="204"/>
      <c r="UYP20" s="204"/>
      <c r="UYQ20" s="204"/>
      <c r="UYR20" s="204"/>
      <c r="UYS20" s="204"/>
      <c r="UYT20" s="204"/>
      <c r="UYU20" s="204"/>
      <c r="UYV20" s="204"/>
      <c r="UYW20" s="204"/>
      <c r="UYX20" s="204"/>
      <c r="UYY20" s="204"/>
      <c r="UYZ20" s="204"/>
      <c r="UZA20" s="204"/>
      <c r="UZB20" s="204"/>
      <c r="UZC20" s="204"/>
      <c r="UZD20" s="204"/>
      <c r="UZE20" s="204"/>
      <c r="UZF20" s="204"/>
      <c r="UZG20" s="204"/>
      <c r="UZH20" s="204"/>
      <c r="UZI20" s="204"/>
      <c r="UZJ20" s="204"/>
      <c r="UZK20" s="204"/>
      <c r="UZL20" s="204"/>
      <c r="UZM20" s="204"/>
      <c r="UZN20" s="204"/>
      <c r="UZO20" s="204"/>
      <c r="UZP20" s="204"/>
      <c r="UZQ20" s="204"/>
      <c r="UZR20" s="204"/>
      <c r="UZS20" s="204"/>
      <c r="UZT20" s="204"/>
      <c r="UZU20" s="204"/>
      <c r="UZV20" s="204"/>
      <c r="UZW20" s="204"/>
      <c r="UZX20" s="204"/>
      <c r="UZY20" s="204"/>
      <c r="UZZ20" s="204"/>
      <c r="VAA20" s="204"/>
      <c r="VAB20" s="204"/>
      <c r="VAC20" s="204"/>
      <c r="VAD20" s="204"/>
      <c r="VAE20" s="204"/>
      <c r="VAF20" s="204"/>
      <c r="VAG20" s="204"/>
      <c r="VAH20" s="204"/>
      <c r="VAI20" s="204"/>
      <c r="VAJ20" s="204"/>
      <c r="VAK20" s="204"/>
      <c r="VAL20" s="204"/>
      <c r="VAM20" s="204"/>
      <c r="VAN20" s="204"/>
      <c r="VAO20" s="204"/>
      <c r="VAP20" s="204"/>
      <c r="VAQ20" s="204"/>
      <c r="VAR20" s="204"/>
      <c r="VAS20" s="204"/>
      <c r="VAT20" s="204"/>
      <c r="VAU20" s="204"/>
      <c r="VAV20" s="204"/>
      <c r="VAW20" s="204"/>
      <c r="VAX20" s="204"/>
      <c r="VAY20" s="204"/>
      <c r="VAZ20" s="204"/>
      <c r="VBA20" s="204"/>
      <c r="VBB20" s="204"/>
      <c r="VBC20" s="204"/>
      <c r="VBD20" s="204"/>
      <c r="VBE20" s="204"/>
      <c r="VBF20" s="204"/>
      <c r="VBG20" s="204"/>
      <c r="VBH20" s="204"/>
      <c r="VBI20" s="204"/>
      <c r="VBJ20" s="204"/>
      <c r="VBK20" s="204"/>
      <c r="VBL20" s="204"/>
      <c r="VBM20" s="204"/>
      <c r="VBN20" s="204"/>
      <c r="VBO20" s="204"/>
      <c r="VBP20" s="204"/>
      <c r="VBQ20" s="204"/>
      <c r="VBR20" s="204"/>
      <c r="VBS20" s="204"/>
      <c r="VBT20" s="204"/>
      <c r="VBU20" s="204"/>
      <c r="VBV20" s="204"/>
      <c r="VBW20" s="204"/>
      <c r="VBX20" s="204"/>
      <c r="VBY20" s="204"/>
      <c r="VBZ20" s="204"/>
      <c r="VCA20" s="204"/>
      <c r="VCB20" s="204"/>
      <c r="VCC20" s="204"/>
      <c r="VCD20" s="204"/>
      <c r="VCE20" s="204"/>
      <c r="VCF20" s="204"/>
      <c r="VCG20" s="204"/>
      <c r="VCH20" s="204"/>
      <c r="VCI20" s="204"/>
      <c r="VCJ20" s="204"/>
      <c r="VCK20" s="204"/>
      <c r="VCL20" s="204"/>
      <c r="VCM20" s="204"/>
      <c r="VCN20" s="204"/>
      <c r="VCO20" s="204"/>
      <c r="VCP20" s="204"/>
      <c r="VCQ20" s="204"/>
      <c r="VCR20" s="204"/>
      <c r="VCS20" s="204"/>
      <c r="VCT20" s="204"/>
      <c r="VCU20" s="204"/>
      <c r="VCV20" s="204"/>
      <c r="VCW20" s="204"/>
      <c r="VCX20" s="204"/>
      <c r="VCY20" s="204"/>
      <c r="VCZ20" s="204"/>
      <c r="VDA20" s="204"/>
      <c r="VDB20" s="204"/>
      <c r="VDC20" s="204"/>
      <c r="VDD20" s="204"/>
      <c r="VDE20" s="204"/>
      <c r="VDF20" s="204"/>
      <c r="VDG20" s="204"/>
      <c r="VDH20" s="204"/>
      <c r="VDI20" s="204"/>
      <c r="VDJ20" s="204"/>
      <c r="VDK20" s="204"/>
      <c r="VDL20" s="204"/>
      <c r="VDM20" s="204"/>
      <c r="VDN20" s="204"/>
      <c r="VDO20" s="204"/>
      <c r="VDP20" s="204"/>
      <c r="VDQ20" s="204"/>
      <c r="VDR20" s="204"/>
      <c r="VDS20" s="204"/>
      <c r="VDT20" s="204"/>
      <c r="VDU20" s="204"/>
      <c r="VDV20" s="204"/>
      <c r="VDW20" s="204"/>
      <c r="VDX20" s="204"/>
      <c r="VDY20" s="204"/>
      <c r="VDZ20" s="204"/>
      <c r="VEA20" s="204"/>
      <c r="VEB20" s="204"/>
      <c r="VEC20" s="204"/>
      <c r="VED20" s="204"/>
      <c r="VEE20" s="204"/>
      <c r="VEF20" s="204"/>
      <c r="VEG20" s="204"/>
      <c r="VEH20" s="204"/>
      <c r="VEI20" s="204"/>
      <c r="VEJ20" s="204"/>
      <c r="VEK20" s="204"/>
      <c r="VEL20" s="204"/>
      <c r="VEM20" s="204"/>
      <c r="VEN20" s="204"/>
      <c r="VEO20" s="204"/>
      <c r="VEP20" s="204"/>
      <c r="VEQ20" s="204"/>
      <c r="VER20" s="204"/>
      <c r="VES20" s="204"/>
      <c r="VET20" s="204"/>
      <c r="VEU20" s="204"/>
      <c r="VEV20" s="204"/>
      <c r="VEW20" s="204"/>
      <c r="VEX20" s="204"/>
      <c r="VEY20" s="204"/>
      <c r="VEZ20" s="204"/>
      <c r="VFA20" s="204"/>
      <c r="VFB20" s="204"/>
      <c r="VFC20" s="204"/>
      <c r="VFD20" s="204"/>
      <c r="VFE20" s="204"/>
      <c r="VFF20" s="204"/>
      <c r="VFG20" s="204"/>
      <c r="VFH20" s="204"/>
      <c r="VFI20" s="204"/>
      <c r="VFJ20" s="204"/>
      <c r="VFK20" s="204"/>
      <c r="VFL20" s="204"/>
      <c r="VFM20" s="204"/>
      <c r="VFN20" s="204"/>
      <c r="VFO20" s="204"/>
      <c r="VFP20" s="204"/>
      <c r="VFQ20" s="204"/>
      <c r="VFR20" s="204"/>
      <c r="VFS20" s="204"/>
      <c r="VFT20" s="204"/>
      <c r="VFU20" s="204"/>
      <c r="VFV20" s="204"/>
      <c r="VFW20" s="204"/>
      <c r="VFX20" s="204"/>
      <c r="VFY20" s="204"/>
      <c r="VFZ20" s="204"/>
      <c r="VGA20" s="204"/>
      <c r="VGB20" s="204"/>
      <c r="VGC20" s="204"/>
      <c r="VGD20" s="204"/>
      <c r="VGE20" s="204"/>
      <c r="VGF20" s="204"/>
      <c r="VGG20" s="204"/>
      <c r="VGH20" s="204"/>
      <c r="VGI20" s="204"/>
      <c r="VGJ20" s="204"/>
      <c r="VGK20" s="204"/>
      <c r="VGL20" s="204"/>
      <c r="VGM20" s="204"/>
      <c r="VGN20" s="204"/>
      <c r="VGO20" s="204"/>
      <c r="VGP20" s="204"/>
      <c r="VGQ20" s="204"/>
      <c r="VGR20" s="204"/>
      <c r="VGS20" s="204"/>
      <c r="VGT20" s="204"/>
      <c r="VGU20" s="204"/>
      <c r="VGV20" s="204"/>
      <c r="VGW20" s="204"/>
      <c r="VGX20" s="204"/>
      <c r="VGY20" s="204"/>
      <c r="VGZ20" s="204"/>
      <c r="VHA20" s="204"/>
      <c r="VHB20" s="204"/>
      <c r="VHC20" s="204"/>
      <c r="VHD20" s="204"/>
      <c r="VHE20" s="204"/>
      <c r="VHF20" s="204"/>
      <c r="VHG20" s="204"/>
      <c r="VHH20" s="204"/>
      <c r="VHI20" s="204"/>
      <c r="VHJ20" s="204"/>
      <c r="VHK20" s="204"/>
      <c r="VHL20" s="204"/>
      <c r="VHM20" s="204"/>
      <c r="VHN20" s="204"/>
      <c r="VHO20" s="204"/>
      <c r="VHP20" s="204"/>
      <c r="VHQ20" s="204"/>
      <c r="VHR20" s="204"/>
      <c r="VHS20" s="204"/>
      <c r="VHT20" s="204"/>
      <c r="VHU20" s="204"/>
      <c r="VHV20" s="204"/>
      <c r="VHW20" s="204"/>
      <c r="VHX20" s="204"/>
      <c r="VHY20" s="204"/>
      <c r="VHZ20" s="204"/>
      <c r="VIA20" s="204"/>
      <c r="VIB20" s="204"/>
      <c r="VIC20" s="204"/>
      <c r="VID20" s="204"/>
      <c r="VIE20" s="204"/>
      <c r="VIF20" s="204"/>
      <c r="VIG20" s="204"/>
      <c r="VIH20" s="204"/>
      <c r="VII20" s="204"/>
      <c r="VIJ20" s="204"/>
      <c r="VIK20" s="204"/>
      <c r="VIL20" s="204"/>
      <c r="VIM20" s="204"/>
      <c r="VIN20" s="204"/>
      <c r="VIO20" s="204"/>
      <c r="VIP20" s="204"/>
      <c r="VIQ20" s="204"/>
      <c r="VIR20" s="204"/>
      <c r="VIS20" s="204"/>
      <c r="VIT20" s="204"/>
      <c r="VIU20" s="204"/>
      <c r="VIV20" s="204"/>
      <c r="VIW20" s="204"/>
      <c r="VIX20" s="204"/>
      <c r="VIY20" s="204"/>
      <c r="VIZ20" s="204"/>
      <c r="VJA20" s="204"/>
      <c r="VJB20" s="204"/>
      <c r="VJC20" s="204"/>
      <c r="VJD20" s="204"/>
      <c r="VJE20" s="204"/>
      <c r="VJF20" s="204"/>
      <c r="VJG20" s="204"/>
      <c r="VJH20" s="204"/>
      <c r="VJI20" s="204"/>
      <c r="VJJ20" s="204"/>
      <c r="VJK20" s="204"/>
      <c r="VJL20" s="204"/>
      <c r="VJM20" s="204"/>
      <c r="VJN20" s="204"/>
      <c r="VJO20" s="204"/>
      <c r="VJP20" s="204"/>
      <c r="VJQ20" s="204"/>
      <c r="VJR20" s="204"/>
      <c r="VJS20" s="204"/>
      <c r="VJT20" s="204"/>
      <c r="VJU20" s="204"/>
      <c r="VJV20" s="204"/>
      <c r="VJW20" s="204"/>
      <c r="VJX20" s="204"/>
      <c r="VJY20" s="204"/>
      <c r="VJZ20" s="204"/>
      <c r="VKA20" s="204"/>
      <c r="VKB20" s="204"/>
      <c r="VKC20" s="204"/>
      <c r="VKD20" s="204"/>
      <c r="VKE20" s="204"/>
      <c r="VKF20" s="204"/>
      <c r="VKG20" s="204"/>
      <c r="VKH20" s="204"/>
      <c r="VKI20" s="204"/>
      <c r="VKJ20" s="204"/>
      <c r="VKK20" s="204"/>
      <c r="VKL20" s="204"/>
      <c r="VKM20" s="204"/>
      <c r="VKN20" s="204"/>
      <c r="VKO20" s="204"/>
      <c r="VKP20" s="204"/>
      <c r="VKQ20" s="204"/>
      <c r="VKR20" s="204"/>
      <c r="VKS20" s="204"/>
      <c r="VKT20" s="204"/>
      <c r="VKU20" s="204"/>
      <c r="VKV20" s="204"/>
      <c r="VKW20" s="204"/>
      <c r="VKX20" s="204"/>
      <c r="VKY20" s="204"/>
      <c r="VKZ20" s="204"/>
      <c r="VLA20" s="204"/>
      <c r="VLB20" s="204"/>
      <c r="VLC20" s="204"/>
      <c r="VLD20" s="204"/>
      <c r="VLE20" s="204"/>
      <c r="VLF20" s="204"/>
      <c r="VLG20" s="204"/>
      <c r="VLH20" s="204"/>
      <c r="VLI20" s="204"/>
      <c r="VLJ20" s="204"/>
      <c r="VLK20" s="204"/>
      <c r="VLL20" s="204"/>
      <c r="VLM20" s="204"/>
      <c r="VLN20" s="204"/>
      <c r="VLO20" s="204"/>
      <c r="VLP20" s="204"/>
      <c r="VLQ20" s="204"/>
      <c r="VLR20" s="204"/>
      <c r="VLS20" s="204"/>
      <c r="VLT20" s="204"/>
      <c r="VLU20" s="204"/>
      <c r="VLV20" s="204"/>
      <c r="VLW20" s="204"/>
      <c r="VLX20" s="204"/>
      <c r="VLY20" s="204"/>
      <c r="VLZ20" s="204"/>
      <c r="VMA20" s="204"/>
      <c r="VMB20" s="204"/>
      <c r="VMC20" s="204"/>
      <c r="VMD20" s="204"/>
      <c r="VME20" s="204"/>
      <c r="VMF20" s="204"/>
      <c r="VMG20" s="204"/>
      <c r="VMH20" s="204"/>
      <c r="VMI20" s="204"/>
      <c r="VMJ20" s="204"/>
      <c r="VMK20" s="204"/>
      <c r="VML20" s="204"/>
      <c r="VMM20" s="204"/>
      <c r="VMN20" s="204"/>
      <c r="VMO20" s="204"/>
      <c r="VMP20" s="204"/>
      <c r="VMQ20" s="204"/>
      <c r="VMR20" s="204"/>
      <c r="VMS20" s="204"/>
      <c r="VMT20" s="204"/>
      <c r="VMU20" s="204"/>
      <c r="VMV20" s="204"/>
      <c r="VMW20" s="204"/>
      <c r="VMX20" s="204"/>
      <c r="VMY20" s="204"/>
      <c r="VMZ20" s="204"/>
      <c r="VNA20" s="204"/>
      <c r="VNB20" s="204"/>
      <c r="VNC20" s="204"/>
      <c r="VND20" s="204"/>
      <c r="VNE20" s="204"/>
      <c r="VNF20" s="204"/>
      <c r="VNG20" s="204"/>
      <c r="VNH20" s="204"/>
      <c r="VNI20" s="204"/>
      <c r="VNJ20" s="204"/>
      <c r="VNK20" s="204"/>
      <c r="VNL20" s="204"/>
      <c r="VNM20" s="204"/>
      <c r="VNN20" s="204"/>
      <c r="VNO20" s="204"/>
      <c r="VNP20" s="204"/>
      <c r="VNQ20" s="204"/>
      <c r="VNR20" s="204"/>
      <c r="VNS20" s="204"/>
      <c r="VNT20" s="204"/>
      <c r="VNU20" s="204"/>
      <c r="VNV20" s="204"/>
      <c r="VNW20" s="204"/>
      <c r="VNX20" s="204"/>
      <c r="VNY20" s="204"/>
      <c r="VNZ20" s="204"/>
      <c r="VOA20" s="204"/>
      <c r="VOB20" s="204"/>
      <c r="VOC20" s="204"/>
      <c r="VOD20" s="204"/>
      <c r="VOE20" s="204"/>
      <c r="VOF20" s="204"/>
      <c r="VOG20" s="204"/>
      <c r="VOH20" s="204"/>
      <c r="VOI20" s="204"/>
      <c r="VOJ20" s="204"/>
      <c r="VOK20" s="204"/>
      <c r="VOL20" s="204"/>
      <c r="VOM20" s="204"/>
      <c r="VON20" s="204"/>
      <c r="VOO20" s="204"/>
      <c r="VOP20" s="204"/>
      <c r="VOQ20" s="204"/>
      <c r="VOR20" s="204"/>
      <c r="VOS20" s="204"/>
      <c r="VOT20" s="204"/>
      <c r="VOU20" s="204"/>
      <c r="VOV20" s="204"/>
      <c r="VOW20" s="204"/>
      <c r="VOX20" s="204"/>
      <c r="VOY20" s="204"/>
      <c r="VOZ20" s="204"/>
      <c r="VPA20" s="204"/>
      <c r="VPB20" s="204"/>
      <c r="VPC20" s="204"/>
      <c r="VPD20" s="204"/>
      <c r="VPE20" s="204"/>
      <c r="VPF20" s="204"/>
      <c r="VPG20" s="204"/>
      <c r="VPH20" s="204"/>
      <c r="VPI20" s="204"/>
      <c r="VPJ20" s="204"/>
      <c r="VPK20" s="204"/>
      <c r="VPL20" s="204"/>
      <c r="VPM20" s="204"/>
      <c r="VPN20" s="204"/>
      <c r="VPO20" s="204"/>
      <c r="VPP20" s="204"/>
      <c r="VPQ20" s="204"/>
      <c r="VPR20" s="204"/>
      <c r="VPS20" s="204"/>
      <c r="VPT20" s="204"/>
      <c r="VPU20" s="204"/>
      <c r="VPV20" s="204"/>
      <c r="VPW20" s="204"/>
      <c r="VPX20" s="204"/>
      <c r="VPY20" s="204"/>
      <c r="VPZ20" s="204"/>
      <c r="VQA20" s="204"/>
      <c r="VQB20" s="204"/>
      <c r="VQC20" s="204"/>
      <c r="VQD20" s="204"/>
      <c r="VQE20" s="204"/>
      <c r="VQF20" s="204"/>
      <c r="VQG20" s="204"/>
      <c r="VQH20" s="204"/>
      <c r="VQI20" s="204"/>
      <c r="VQJ20" s="204"/>
      <c r="VQK20" s="204"/>
      <c r="VQL20" s="204"/>
      <c r="VQM20" s="204"/>
      <c r="VQN20" s="204"/>
      <c r="VQO20" s="204"/>
      <c r="VQP20" s="204"/>
      <c r="VQQ20" s="204"/>
      <c r="VQR20" s="204"/>
      <c r="VQS20" s="204"/>
      <c r="VQT20" s="204"/>
      <c r="VQU20" s="204"/>
      <c r="VQV20" s="204"/>
      <c r="VQW20" s="204"/>
      <c r="VQX20" s="204"/>
      <c r="VQY20" s="204"/>
      <c r="VQZ20" s="204"/>
      <c r="VRA20" s="204"/>
      <c r="VRB20" s="204"/>
      <c r="VRC20" s="204"/>
      <c r="VRD20" s="204"/>
      <c r="VRE20" s="204"/>
      <c r="VRF20" s="204"/>
      <c r="VRG20" s="204"/>
      <c r="VRH20" s="204"/>
      <c r="VRI20" s="204"/>
      <c r="VRJ20" s="204"/>
      <c r="VRK20" s="204"/>
      <c r="VRL20" s="204"/>
      <c r="VRM20" s="204"/>
      <c r="VRN20" s="204"/>
      <c r="VRO20" s="204"/>
      <c r="VRP20" s="204"/>
      <c r="VRQ20" s="204"/>
      <c r="VRR20" s="204"/>
      <c r="VRS20" s="204"/>
      <c r="VRT20" s="204"/>
      <c r="VRU20" s="204"/>
      <c r="VRV20" s="204"/>
      <c r="VRW20" s="204"/>
      <c r="VRX20" s="204"/>
      <c r="VRY20" s="204"/>
      <c r="VRZ20" s="204"/>
      <c r="VSA20" s="204"/>
      <c r="VSB20" s="204"/>
      <c r="VSC20" s="204"/>
      <c r="VSD20" s="204"/>
      <c r="VSE20" s="204"/>
      <c r="VSF20" s="204"/>
      <c r="VSG20" s="204"/>
      <c r="VSH20" s="204"/>
      <c r="VSI20" s="204"/>
      <c r="VSJ20" s="204"/>
      <c r="VSK20" s="204"/>
      <c r="VSL20" s="204"/>
      <c r="VSM20" s="204"/>
      <c r="VSN20" s="204"/>
      <c r="VSO20" s="204"/>
      <c r="VSP20" s="204"/>
      <c r="VSQ20" s="204"/>
      <c r="VSR20" s="204"/>
      <c r="VSS20" s="204"/>
      <c r="VST20" s="204"/>
      <c r="VSU20" s="204"/>
      <c r="VSV20" s="204"/>
      <c r="VSW20" s="204"/>
      <c r="VSX20" s="204"/>
      <c r="VSY20" s="204"/>
      <c r="VSZ20" s="204"/>
      <c r="VTA20" s="204"/>
      <c r="VTB20" s="204"/>
      <c r="VTC20" s="204"/>
      <c r="VTD20" s="204"/>
      <c r="VTE20" s="204"/>
      <c r="VTF20" s="204"/>
      <c r="VTG20" s="204"/>
      <c r="VTH20" s="204"/>
      <c r="VTI20" s="204"/>
      <c r="VTJ20" s="204"/>
      <c r="VTK20" s="204"/>
      <c r="VTL20" s="204"/>
      <c r="VTM20" s="204"/>
      <c r="VTN20" s="204"/>
      <c r="VTO20" s="204"/>
      <c r="VTP20" s="204"/>
      <c r="VTQ20" s="204"/>
      <c r="VTR20" s="204"/>
      <c r="VTS20" s="204"/>
      <c r="VTT20" s="204"/>
      <c r="VTU20" s="204"/>
      <c r="VTV20" s="204"/>
      <c r="VTW20" s="204"/>
      <c r="VTX20" s="204"/>
      <c r="VTY20" s="204"/>
      <c r="VTZ20" s="204"/>
      <c r="VUA20" s="204"/>
      <c r="VUB20" s="204"/>
      <c r="VUC20" s="204"/>
      <c r="VUD20" s="204"/>
      <c r="VUE20" s="204"/>
      <c r="VUF20" s="204"/>
      <c r="VUG20" s="204"/>
      <c r="VUH20" s="204"/>
      <c r="VUI20" s="204"/>
      <c r="VUJ20" s="204"/>
      <c r="VUK20" s="204"/>
      <c r="VUL20" s="204"/>
      <c r="VUM20" s="204"/>
      <c r="VUN20" s="204"/>
      <c r="VUO20" s="204"/>
      <c r="VUP20" s="204"/>
      <c r="VUQ20" s="204"/>
      <c r="VUR20" s="204"/>
      <c r="VUS20" s="204"/>
      <c r="VUT20" s="204"/>
      <c r="VUU20" s="204"/>
      <c r="VUV20" s="204"/>
      <c r="VUW20" s="204"/>
      <c r="VUX20" s="204"/>
      <c r="VUY20" s="204"/>
      <c r="VUZ20" s="204"/>
      <c r="VVA20" s="204"/>
      <c r="VVB20" s="204"/>
      <c r="VVC20" s="204"/>
      <c r="VVD20" s="204"/>
      <c r="VVE20" s="204"/>
      <c r="VVF20" s="204"/>
      <c r="VVG20" s="204"/>
      <c r="VVH20" s="204"/>
      <c r="VVI20" s="204"/>
      <c r="VVJ20" s="204"/>
      <c r="VVK20" s="204"/>
      <c r="VVL20" s="204"/>
      <c r="VVM20" s="204"/>
      <c r="VVN20" s="204"/>
      <c r="VVO20" s="204"/>
      <c r="VVP20" s="204"/>
      <c r="VVQ20" s="204"/>
      <c r="VVR20" s="204"/>
      <c r="VVS20" s="204"/>
      <c r="VVT20" s="204"/>
      <c r="VVU20" s="204"/>
      <c r="VVV20" s="204"/>
      <c r="VVW20" s="204"/>
      <c r="VVX20" s="204"/>
      <c r="VVY20" s="204"/>
      <c r="VVZ20" s="204"/>
      <c r="VWA20" s="204"/>
      <c r="VWB20" s="204"/>
      <c r="VWC20" s="204"/>
      <c r="VWD20" s="204"/>
      <c r="VWE20" s="204"/>
      <c r="VWF20" s="204"/>
      <c r="VWG20" s="204"/>
      <c r="VWH20" s="204"/>
      <c r="VWI20" s="204"/>
      <c r="VWJ20" s="204"/>
      <c r="VWK20" s="204"/>
      <c r="VWL20" s="204"/>
      <c r="VWM20" s="204"/>
      <c r="VWN20" s="204"/>
      <c r="VWO20" s="204"/>
      <c r="VWP20" s="204"/>
      <c r="VWQ20" s="204"/>
      <c r="VWR20" s="204"/>
      <c r="VWS20" s="204"/>
      <c r="VWT20" s="204"/>
      <c r="VWU20" s="204"/>
      <c r="VWV20" s="204"/>
      <c r="VWW20" s="204"/>
      <c r="VWX20" s="204"/>
      <c r="VWY20" s="204"/>
      <c r="VWZ20" s="204"/>
      <c r="VXA20" s="204"/>
      <c r="VXB20" s="204"/>
      <c r="VXC20" s="204"/>
      <c r="VXD20" s="204"/>
      <c r="VXE20" s="204"/>
      <c r="VXF20" s="204"/>
      <c r="VXG20" s="204"/>
      <c r="VXH20" s="204"/>
      <c r="VXI20" s="204"/>
      <c r="VXJ20" s="204"/>
      <c r="VXK20" s="204"/>
      <c r="VXL20" s="204"/>
      <c r="VXM20" s="204"/>
      <c r="VXN20" s="204"/>
      <c r="VXO20" s="204"/>
      <c r="VXP20" s="204"/>
      <c r="VXQ20" s="204"/>
      <c r="VXR20" s="204"/>
      <c r="VXS20" s="204"/>
      <c r="VXT20" s="204"/>
      <c r="VXU20" s="204"/>
      <c r="VXV20" s="204"/>
      <c r="VXW20" s="204"/>
      <c r="VXX20" s="204"/>
      <c r="VXY20" s="204"/>
      <c r="VXZ20" s="204"/>
      <c r="VYA20" s="204"/>
      <c r="VYB20" s="204"/>
      <c r="VYC20" s="204"/>
      <c r="VYD20" s="204"/>
      <c r="VYE20" s="204"/>
      <c r="VYF20" s="204"/>
      <c r="VYG20" s="204"/>
      <c r="VYH20" s="204"/>
      <c r="VYI20" s="204"/>
      <c r="VYJ20" s="204"/>
      <c r="VYK20" s="204"/>
      <c r="VYL20" s="204"/>
      <c r="VYM20" s="204"/>
      <c r="VYN20" s="204"/>
      <c r="VYO20" s="204"/>
      <c r="VYP20" s="204"/>
      <c r="VYQ20" s="204"/>
      <c r="VYR20" s="204"/>
      <c r="VYS20" s="204"/>
      <c r="VYT20" s="204"/>
      <c r="VYU20" s="204"/>
      <c r="VYV20" s="204"/>
      <c r="VYW20" s="204"/>
      <c r="VYX20" s="204"/>
      <c r="VYY20" s="204"/>
      <c r="VYZ20" s="204"/>
      <c r="VZA20" s="204"/>
      <c r="VZB20" s="204"/>
      <c r="VZC20" s="204"/>
      <c r="VZD20" s="204"/>
      <c r="VZE20" s="204"/>
      <c r="VZF20" s="204"/>
      <c r="VZG20" s="204"/>
      <c r="VZH20" s="204"/>
      <c r="VZI20" s="204"/>
      <c r="VZJ20" s="204"/>
      <c r="VZK20" s="204"/>
      <c r="VZL20" s="204"/>
      <c r="VZM20" s="204"/>
      <c r="VZN20" s="204"/>
      <c r="VZO20" s="204"/>
      <c r="VZP20" s="204"/>
      <c r="VZQ20" s="204"/>
      <c r="VZR20" s="204"/>
      <c r="VZS20" s="204"/>
      <c r="VZT20" s="204"/>
      <c r="VZU20" s="204"/>
      <c r="VZV20" s="204"/>
      <c r="VZW20" s="204"/>
      <c r="VZX20" s="204"/>
      <c r="VZY20" s="204"/>
      <c r="VZZ20" s="204"/>
      <c r="WAA20" s="204"/>
      <c r="WAB20" s="204"/>
      <c r="WAC20" s="204"/>
      <c r="WAD20" s="204"/>
      <c r="WAE20" s="204"/>
      <c r="WAF20" s="204"/>
      <c r="WAG20" s="204"/>
      <c r="WAH20" s="204"/>
      <c r="WAI20" s="204"/>
      <c r="WAJ20" s="204"/>
      <c r="WAK20" s="204"/>
      <c r="WAL20" s="204"/>
      <c r="WAM20" s="204"/>
      <c r="WAN20" s="204"/>
      <c r="WAO20" s="204"/>
      <c r="WAP20" s="204"/>
      <c r="WAQ20" s="204"/>
      <c r="WAR20" s="204"/>
      <c r="WAS20" s="204"/>
      <c r="WAT20" s="204"/>
      <c r="WAU20" s="204"/>
      <c r="WAV20" s="204"/>
      <c r="WAW20" s="204"/>
      <c r="WAX20" s="204"/>
      <c r="WAY20" s="204"/>
      <c r="WAZ20" s="204"/>
      <c r="WBA20" s="204"/>
      <c r="WBB20" s="204"/>
      <c r="WBC20" s="204"/>
      <c r="WBD20" s="204"/>
      <c r="WBE20" s="204"/>
      <c r="WBF20" s="204"/>
      <c r="WBG20" s="204"/>
      <c r="WBH20" s="204"/>
      <c r="WBI20" s="204"/>
      <c r="WBJ20" s="204"/>
      <c r="WBK20" s="204"/>
      <c r="WBL20" s="204"/>
      <c r="WBM20" s="204"/>
      <c r="WBN20" s="204"/>
      <c r="WBO20" s="204"/>
      <c r="WBP20" s="204"/>
      <c r="WBQ20" s="204"/>
      <c r="WBR20" s="204"/>
      <c r="WBS20" s="204"/>
      <c r="WBT20" s="204"/>
      <c r="WBU20" s="204"/>
      <c r="WBV20" s="204"/>
      <c r="WBW20" s="204"/>
      <c r="WBX20" s="204"/>
      <c r="WBY20" s="204"/>
      <c r="WBZ20" s="204"/>
      <c r="WCA20" s="204"/>
      <c r="WCB20" s="204"/>
      <c r="WCC20" s="204"/>
      <c r="WCD20" s="204"/>
      <c r="WCE20" s="204"/>
      <c r="WCF20" s="204"/>
      <c r="WCG20" s="204"/>
      <c r="WCH20" s="204"/>
      <c r="WCI20" s="204"/>
      <c r="WCJ20" s="204"/>
      <c r="WCK20" s="204"/>
      <c r="WCL20" s="204"/>
      <c r="WCM20" s="204"/>
      <c r="WCN20" s="204"/>
      <c r="WCO20" s="204"/>
      <c r="WCP20" s="204"/>
      <c r="WCQ20" s="204"/>
      <c r="WCR20" s="204"/>
      <c r="WCS20" s="204"/>
      <c r="WCT20" s="204"/>
      <c r="WCU20" s="204"/>
      <c r="WCV20" s="204"/>
      <c r="WCW20" s="204"/>
      <c r="WCX20" s="204"/>
      <c r="WCY20" s="204"/>
      <c r="WCZ20" s="204"/>
      <c r="WDA20" s="204"/>
      <c r="WDB20" s="204"/>
      <c r="WDC20" s="204"/>
      <c r="WDD20" s="204"/>
      <c r="WDE20" s="204"/>
      <c r="WDF20" s="204"/>
      <c r="WDG20" s="204"/>
      <c r="WDH20" s="204"/>
      <c r="WDI20" s="204"/>
      <c r="WDJ20" s="204"/>
      <c r="WDK20" s="204"/>
      <c r="WDL20" s="204"/>
      <c r="WDM20" s="204"/>
      <c r="WDN20" s="204"/>
      <c r="WDO20" s="204"/>
      <c r="WDP20" s="204"/>
      <c r="WDQ20" s="204"/>
      <c r="WDR20" s="204"/>
      <c r="WDS20" s="204"/>
      <c r="WDT20" s="204"/>
      <c r="WDU20" s="204"/>
      <c r="WDV20" s="204"/>
      <c r="WDW20" s="204"/>
      <c r="WDX20" s="204"/>
      <c r="WDY20" s="204"/>
      <c r="WDZ20" s="204"/>
      <c r="WEA20" s="204"/>
      <c r="WEB20" s="204"/>
      <c r="WEC20" s="204"/>
      <c r="WED20" s="204"/>
      <c r="WEE20" s="204"/>
      <c r="WEF20" s="204"/>
      <c r="WEG20" s="204"/>
      <c r="WEH20" s="204"/>
      <c r="WEI20" s="204"/>
      <c r="WEJ20" s="204"/>
      <c r="WEK20" s="204"/>
      <c r="WEL20" s="204"/>
      <c r="WEM20" s="204"/>
      <c r="WEN20" s="204"/>
      <c r="WEO20" s="204"/>
      <c r="WEP20" s="204"/>
      <c r="WEQ20" s="204"/>
      <c r="WER20" s="204"/>
      <c r="WES20" s="204"/>
      <c r="WET20" s="204"/>
      <c r="WEU20" s="204"/>
      <c r="WEV20" s="204"/>
      <c r="WEW20" s="204"/>
      <c r="WEX20" s="204"/>
      <c r="WEY20" s="204"/>
      <c r="WEZ20" s="204"/>
      <c r="WFA20" s="204"/>
      <c r="WFB20" s="204"/>
      <c r="WFC20" s="204"/>
      <c r="WFD20" s="204"/>
      <c r="WFE20" s="204"/>
      <c r="WFF20" s="204"/>
      <c r="WFG20" s="204"/>
      <c r="WFH20" s="204"/>
      <c r="WFI20" s="204"/>
      <c r="WFJ20" s="204"/>
      <c r="WFK20" s="204"/>
      <c r="WFL20" s="204"/>
      <c r="WFM20" s="204"/>
      <c r="WFN20" s="204"/>
      <c r="WFO20" s="204"/>
      <c r="WFP20" s="204"/>
      <c r="WFQ20" s="204"/>
      <c r="WFR20" s="204"/>
      <c r="WFS20" s="204"/>
      <c r="WFT20" s="204"/>
      <c r="WFU20" s="204"/>
      <c r="WFV20" s="204"/>
      <c r="WFW20" s="204"/>
      <c r="WFX20" s="204"/>
      <c r="WFY20" s="204"/>
      <c r="WFZ20" s="204"/>
      <c r="WGA20" s="204"/>
      <c r="WGB20" s="204"/>
      <c r="WGC20" s="204"/>
      <c r="WGD20" s="204"/>
      <c r="WGE20" s="204"/>
      <c r="WGF20" s="204"/>
      <c r="WGG20" s="204"/>
      <c r="WGH20" s="204"/>
      <c r="WGI20" s="204"/>
      <c r="WGJ20" s="204"/>
      <c r="WGK20" s="204"/>
      <c r="WGL20" s="204"/>
      <c r="WGM20" s="204"/>
      <c r="WGN20" s="204"/>
      <c r="WGO20" s="204"/>
      <c r="WGP20" s="204"/>
      <c r="WGQ20" s="204"/>
      <c r="WGR20" s="204"/>
      <c r="WGS20" s="204"/>
      <c r="WGT20" s="204"/>
      <c r="WGU20" s="204"/>
      <c r="WGV20" s="204"/>
      <c r="WGW20" s="204"/>
      <c r="WGX20" s="204"/>
      <c r="WGY20" s="204"/>
      <c r="WGZ20" s="204"/>
      <c r="WHA20" s="204"/>
      <c r="WHB20" s="204"/>
      <c r="WHC20" s="204"/>
      <c r="WHD20" s="204"/>
      <c r="WHE20" s="204"/>
      <c r="WHF20" s="204"/>
      <c r="WHG20" s="204"/>
      <c r="WHH20" s="204"/>
      <c r="WHI20" s="204"/>
      <c r="WHJ20" s="204"/>
      <c r="WHK20" s="204"/>
      <c r="WHL20" s="204"/>
      <c r="WHM20" s="204"/>
      <c r="WHN20" s="204"/>
      <c r="WHO20" s="204"/>
      <c r="WHP20" s="204"/>
      <c r="WHQ20" s="204"/>
      <c r="WHR20" s="204"/>
      <c r="WHS20" s="204"/>
      <c r="WHT20" s="204"/>
      <c r="WHU20" s="204"/>
      <c r="WHV20" s="204"/>
      <c r="WHW20" s="204"/>
      <c r="WHX20" s="204"/>
      <c r="WHY20" s="204"/>
      <c r="WHZ20" s="204"/>
      <c r="WIA20" s="204"/>
      <c r="WIB20" s="204"/>
      <c r="WIC20" s="204"/>
      <c r="WID20" s="204"/>
      <c r="WIE20" s="204"/>
      <c r="WIF20" s="204"/>
      <c r="WIG20" s="204"/>
      <c r="WIH20" s="204"/>
      <c r="WII20" s="204"/>
      <c r="WIJ20" s="204"/>
      <c r="WIK20" s="204"/>
      <c r="WIL20" s="204"/>
      <c r="WIM20" s="204"/>
      <c r="WIN20" s="204"/>
      <c r="WIO20" s="204"/>
      <c r="WIP20" s="204"/>
      <c r="WIQ20" s="204"/>
      <c r="WIR20" s="204"/>
      <c r="WIS20" s="204"/>
      <c r="WIT20" s="204"/>
      <c r="WIU20" s="204"/>
      <c r="WIV20" s="204"/>
      <c r="WIW20" s="204"/>
      <c r="WIX20" s="204"/>
      <c r="WIY20" s="204"/>
      <c r="WIZ20" s="204"/>
      <c r="WJA20" s="204"/>
      <c r="WJB20" s="204"/>
      <c r="WJC20" s="204"/>
      <c r="WJD20" s="204"/>
      <c r="WJE20" s="204"/>
      <c r="WJF20" s="204"/>
      <c r="WJG20" s="204"/>
      <c r="WJH20" s="204"/>
      <c r="WJI20" s="204"/>
      <c r="WJJ20" s="204"/>
      <c r="WJK20" s="204"/>
      <c r="WJL20" s="204"/>
      <c r="WJM20" s="204"/>
      <c r="WJN20" s="204"/>
      <c r="WJO20" s="204"/>
      <c r="WJP20" s="204"/>
      <c r="WJQ20" s="204"/>
      <c r="WJR20" s="204"/>
      <c r="WJS20" s="204"/>
      <c r="WJT20" s="204"/>
      <c r="WJU20" s="204"/>
      <c r="WJV20" s="204"/>
      <c r="WJW20" s="204"/>
      <c r="WJX20" s="204"/>
      <c r="WJY20" s="204"/>
      <c r="WJZ20" s="204"/>
      <c r="WKA20" s="204"/>
      <c r="WKB20" s="204"/>
      <c r="WKC20" s="204"/>
      <c r="WKD20" s="204"/>
      <c r="WKE20" s="204"/>
      <c r="WKF20" s="204"/>
      <c r="WKG20" s="204"/>
      <c r="WKH20" s="204"/>
      <c r="WKI20" s="204"/>
      <c r="WKJ20" s="204"/>
      <c r="WKK20" s="204"/>
      <c r="WKL20" s="204"/>
      <c r="WKM20" s="204"/>
      <c r="WKN20" s="204"/>
      <c r="WKO20" s="204"/>
      <c r="WKP20" s="204"/>
      <c r="WKQ20" s="204"/>
      <c r="WKR20" s="204"/>
      <c r="WKS20" s="204"/>
      <c r="WKT20" s="204"/>
      <c r="WKU20" s="204"/>
      <c r="WKV20" s="204"/>
      <c r="WKW20" s="204"/>
      <c r="WKX20" s="204"/>
      <c r="WKY20" s="204"/>
      <c r="WKZ20" s="204"/>
      <c r="WLA20" s="204"/>
      <c r="WLB20" s="204"/>
      <c r="WLC20" s="204"/>
      <c r="WLD20" s="204"/>
      <c r="WLE20" s="204"/>
      <c r="WLF20" s="204"/>
      <c r="WLG20" s="204"/>
      <c r="WLH20" s="204"/>
      <c r="WLI20" s="204"/>
      <c r="WLJ20" s="204"/>
      <c r="WLK20" s="204"/>
      <c r="WLL20" s="204"/>
      <c r="WLM20" s="204"/>
      <c r="WLN20" s="204"/>
      <c r="WLO20" s="204"/>
      <c r="WLP20" s="204"/>
      <c r="WLQ20" s="204"/>
      <c r="WLR20" s="204"/>
      <c r="WLS20" s="204"/>
      <c r="WLT20" s="204"/>
      <c r="WLU20" s="204"/>
      <c r="WLV20" s="204"/>
      <c r="WLW20" s="204"/>
      <c r="WLX20" s="204"/>
      <c r="WLY20" s="204"/>
      <c r="WLZ20" s="204"/>
      <c r="WMA20" s="204"/>
      <c r="WMB20" s="204"/>
      <c r="WMC20" s="204"/>
      <c r="WMD20" s="204"/>
      <c r="WME20" s="204"/>
      <c r="WMF20" s="204"/>
      <c r="WMG20" s="204"/>
      <c r="WMH20" s="204"/>
      <c r="WMI20" s="204"/>
      <c r="WMJ20" s="204"/>
      <c r="WMK20" s="204"/>
      <c r="WML20" s="204"/>
      <c r="WMM20" s="204"/>
      <c r="WMN20" s="204"/>
      <c r="WMO20" s="204"/>
      <c r="WMP20" s="204"/>
      <c r="WMQ20" s="204"/>
      <c r="WMR20" s="204"/>
      <c r="WMS20" s="204"/>
      <c r="WMT20" s="204"/>
      <c r="WMU20" s="204"/>
      <c r="WMV20" s="204"/>
      <c r="WMW20" s="204"/>
      <c r="WMX20" s="204"/>
      <c r="WMY20" s="204"/>
      <c r="WMZ20" s="204"/>
      <c r="WNA20" s="204"/>
      <c r="WNB20" s="204"/>
      <c r="WNC20" s="204"/>
      <c r="WND20" s="204"/>
      <c r="WNE20" s="204"/>
      <c r="WNF20" s="204"/>
      <c r="WNG20" s="204"/>
      <c r="WNH20" s="204"/>
      <c r="WNI20" s="204"/>
      <c r="WNJ20" s="204"/>
      <c r="WNK20" s="204"/>
      <c r="WNL20" s="204"/>
      <c r="WNM20" s="204"/>
      <c r="WNN20" s="204"/>
      <c r="WNO20" s="204"/>
      <c r="WNP20" s="204"/>
      <c r="WNQ20" s="204"/>
      <c r="WNR20" s="204"/>
      <c r="WNS20" s="204"/>
      <c r="WNT20" s="204"/>
      <c r="WNU20" s="204"/>
      <c r="WNV20" s="204"/>
      <c r="WNW20" s="204"/>
      <c r="WNX20" s="204"/>
      <c r="WNY20" s="204"/>
      <c r="WNZ20" s="204"/>
      <c r="WOA20" s="204"/>
      <c r="WOB20" s="204"/>
      <c r="WOC20" s="204"/>
      <c r="WOD20" s="204"/>
      <c r="WOE20" s="204"/>
      <c r="WOF20" s="204"/>
      <c r="WOG20" s="204"/>
      <c r="WOH20" s="204"/>
      <c r="WOI20" s="204"/>
      <c r="WOJ20" s="204"/>
      <c r="WOK20" s="204"/>
      <c r="WOL20" s="204"/>
      <c r="WOM20" s="204"/>
      <c r="WON20" s="204"/>
      <c r="WOO20" s="204"/>
      <c r="WOP20" s="204"/>
      <c r="WOQ20" s="204"/>
      <c r="WOR20" s="204"/>
      <c r="WOS20" s="204"/>
      <c r="WOT20" s="204"/>
      <c r="WOU20" s="204"/>
      <c r="WOV20" s="204"/>
      <c r="WOW20" s="204"/>
      <c r="WOX20" s="204"/>
      <c r="WOY20" s="204"/>
      <c r="WOZ20" s="204"/>
      <c r="WPA20" s="204"/>
      <c r="WPB20" s="204"/>
      <c r="WPC20" s="204"/>
      <c r="WPD20" s="204"/>
      <c r="WPE20" s="204"/>
      <c r="WPF20" s="204"/>
      <c r="WPG20" s="204"/>
      <c r="WPH20" s="204"/>
      <c r="WPI20" s="204"/>
      <c r="WPJ20" s="204"/>
      <c r="WPK20" s="204"/>
      <c r="WPL20" s="204"/>
      <c r="WPM20" s="204"/>
      <c r="WPN20" s="204"/>
      <c r="WPO20" s="204"/>
      <c r="WPP20" s="204"/>
      <c r="WPQ20" s="204"/>
      <c r="WPR20" s="204"/>
      <c r="WPS20" s="204"/>
      <c r="WPT20" s="204"/>
      <c r="WPU20" s="204"/>
      <c r="WPV20" s="204"/>
      <c r="WPW20" s="204"/>
      <c r="WPX20" s="204"/>
      <c r="WPY20" s="204"/>
      <c r="WPZ20" s="204"/>
      <c r="WQA20" s="204"/>
      <c r="WQB20" s="204"/>
      <c r="WQC20" s="204"/>
      <c r="WQD20" s="204"/>
      <c r="WQE20" s="204"/>
      <c r="WQF20" s="204"/>
      <c r="WQG20" s="204"/>
      <c r="WQH20" s="204"/>
      <c r="WQI20" s="204"/>
      <c r="WQJ20" s="204"/>
      <c r="WQK20" s="204"/>
      <c r="WQL20" s="204"/>
      <c r="WQM20" s="204"/>
      <c r="WQN20" s="204"/>
      <c r="WQO20" s="204"/>
      <c r="WQP20" s="204"/>
      <c r="WQQ20" s="204"/>
      <c r="WQR20" s="204"/>
      <c r="WQS20" s="204"/>
      <c r="WQT20" s="204"/>
      <c r="WQU20" s="204"/>
      <c r="WQV20" s="204"/>
      <c r="WQW20" s="204"/>
      <c r="WQX20" s="204"/>
      <c r="WQY20" s="204"/>
      <c r="WQZ20" s="204"/>
      <c r="WRA20" s="204"/>
      <c r="WRB20" s="204"/>
      <c r="WRC20" s="204"/>
      <c r="WRD20" s="204"/>
      <c r="WRE20" s="204"/>
      <c r="WRF20" s="204"/>
      <c r="WRG20" s="204"/>
      <c r="WRH20" s="204"/>
      <c r="WRI20" s="204"/>
      <c r="WRJ20" s="204"/>
      <c r="WRK20" s="204"/>
      <c r="WRL20" s="204"/>
      <c r="WRM20" s="204"/>
      <c r="WRN20" s="204"/>
      <c r="WRO20" s="204"/>
      <c r="WRP20" s="204"/>
      <c r="WRQ20" s="204"/>
      <c r="WRR20" s="204"/>
      <c r="WRS20" s="204"/>
      <c r="WRT20" s="204"/>
      <c r="WRU20" s="204"/>
      <c r="WRV20" s="204"/>
      <c r="WRW20" s="204"/>
      <c r="WRX20" s="204"/>
      <c r="WRY20" s="204"/>
      <c r="WRZ20" s="204"/>
      <c r="WSA20" s="204"/>
      <c r="WSB20" s="204"/>
      <c r="WSC20" s="204"/>
      <c r="WSD20" s="204"/>
      <c r="WSE20" s="204"/>
      <c r="WSF20" s="204"/>
      <c r="WSG20" s="204"/>
      <c r="WSH20" s="204"/>
      <c r="WSI20" s="204"/>
      <c r="WSJ20" s="204"/>
      <c r="WSK20" s="204"/>
      <c r="WSL20" s="204"/>
      <c r="WSM20" s="204"/>
      <c r="WSN20" s="204"/>
      <c r="WSO20" s="204"/>
      <c r="WSP20" s="204"/>
      <c r="WSQ20" s="204"/>
      <c r="WSR20" s="204"/>
      <c r="WSS20" s="204"/>
      <c r="WST20" s="204"/>
      <c r="WSU20" s="204"/>
      <c r="WSV20" s="204"/>
      <c r="WSW20" s="204"/>
      <c r="WSX20" s="204"/>
      <c r="WSY20" s="204"/>
      <c r="WSZ20" s="204"/>
      <c r="WTA20" s="204"/>
      <c r="WTB20" s="204"/>
      <c r="WTC20" s="204"/>
      <c r="WTD20" s="204"/>
      <c r="WTE20" s="204"/>
      <c r="WTF20" s="204"/>
      <c r="WTG20" s="204"/>
      <c r="WTH20" s="204"/>
      <c r="WTI20" s="204"/>
      <c r="WTJ20" s="204"/>
      <c r="WTK20" s="204"/>
      <c r="WTL20" s="204"/>
      <c r="WTM20" s="204"/>
      <c r="WTN20" s="204"/>
      <c r="WTO20" s="204"/>
      <c r="WTP20" s="204"/>
      <c r="WTQ20" s="204"/>
      <c r="WTR20" s="204"/>
      <c r="WTS20" s="204"/>
      <c r="WTT20" s="204"/>
      <c r="WTU20" s="204"/>
      <c r="WTV20" s="204"/>
      <c r="WTW20" s="204"/>
      <c r="WTX20" s="204"/>
      <c r="WTY20" s="204"/>
      <c r="WTZ20" s="204"/>
      <c r="WUA20" s="204"/>
      <c r="WUB20" s="204"/>
      <c r="WUC20" s="204"/>
      <c r="WUD20" s="204"/>
      <c r="WUE20" s="204"/>
      <c r="WUF20" s="204"/>
      <c r="WUG20" s="204"/>
      <c r="WUH20" s="204"/>
      <c r="WUI20" s="204"/>
      <c r="WUJ20" s="204"/>
      <c r="WUK20" s="204"/>
      <c r="WUL20" s="204"/>
      <c r="WUM20" s="204"/>
      <c r="WUN20" s="204"/>
      <c r="WUO20" s="204"/>
      <c r="WUP20" s="204"/>
      <c r="WUQ20" s="204"/>
      <c r="WUR20" s="204"/>
      <c r="WUS20" s="204"/>
      <c r="WUT20" s="204"/>
      <c r="WUU20" s="204"/>
      <c r="WUV20" s="204"/>
      <c r="WUW20" s="204"/>
      <c r="WUX20" s="204"/>
      <c r="WUY20" s="204"/>
      <c r="WUZ20" s="204"/>
      <c r="WVA20" s="204"/>
      <c r="WVB20" s="204"/>
      <c r="WVC20" s="204"/>
      <c r="WVD20" s="204"/>
      <c r="WVE20" s="204"/>
      <c r="WVF20" s="204"/>
      <c r="WVG20" s="204"/>
      <c r="WVH20" s="204"/>
      <c r="WVI20" s="204"/>
      <c r="WVJ20" s="204"/>
      <c r="WVK20" s="204"/>
      <c r="WVL20" s="204"/>
      <c r="WVM20" s="204"/>
      <c r="WVN20" s="204"/>
      <c r="WVO20" s="204"/>
      <c r="WVP20" s="204"/>
      <c r="WVQ20" s="204"/>
      <c r="WVR20" s="204"/>
      <c r="WVS20" s="204"/>
      <c r="WVT20" s="204"/>
      <c r="WVU20" s="204"/>
      <c r="WVV20" s="204"/>
      <c r="WVW20" s="204"/>
      <c r="WVX20" s="204"/>
      <c r="WVY20" s="204"/>
      <c r="WVZ20" s="204"/>
      <c r="WWA20" s="204"/>
      <c r="WWB20" s="204"/>
      <c r="WWC20" s="204"/>
      <c r="WWD20" s="204"/>
      <c r="WWE20" s="204"/>
      <c r="WWF20" s="204"/>
      <c r="WWG20" s="204"/>
      <c r="WWH20" s="204"/>
      <c r="WWI20" s="204"/>
      <c r="WWJ20" s="204"/>
      <c r="WWK20" s="204"/>
      <c r="WWL20" s="204"/>
      <c r="WWM20" s="204"/>
      <c r="WWN20" s="204"/>
      <c r="WWO20" s="204"/>
      <c r="WWP20" s="204"/>
      <c r="WWQ20" s="204"/>
      <c r="WWR20" s="204"/>
      <c r="WWS20" s="204"/>
      <c r="WWT20" s="204"/>
      <c r="WWU20" s="204"/>
      <c r="WWV20" s="204"/>
      <c r="WWW20" s="204"/>
      <c r="WWX20" s="204"/>
      <c r="WWY20" s="204"/>
      <c r="WWZ20" s="204"/>
      <c r="WXA20" s="204"/>
      <c r="WXB20" s="204"/>
      <c r="WXC20" s="204"/>
      <c r="WXD20" s="204"/>
      <c r="WXE20" s="204"/>
      <c r="WXF20" s="204"/>
      <c r="WXG20" s="204"/>
      <c r="WXH20" s="204"/>
      <c r="WXI20" s="204"/>
      <c r="WXJ20" s="204"/>
      <c r="WXK20" s="204"/>
      <c r="WXL20" s="204"/>
      <c r="WXM20" s="204"/>
      <c r="WXN20" s="204"/>
      <c r="WXO20" s="204"/>
      <c r="WXP20" s="204"/>
      <c r="WXQ20" s="204"/>
      <c r="WXR20" s="204"/>
      <c r="WXS20" s="204"/>
      <c r="WXT20" s="204"/>
      <c r="WXU20" s="204"/>
      <c r="WXV20" s="204"/>
      <c r="WXW20" s="204"/>
      <c r="WXX20" s="204"/>
      <c r="WXY20" s="204"/>
      <c r="WXZ20" s="204"/>
      <c r="WYA20" s="204"/>
      <c r="WYB20" s="204"/>
      <c r="WYC20" s="204"/>
      <c r="WYD20" s="204"/>
      <c r="WYE20" s="204"/>
      <c r="WYF20" s="204"/>
      <c r="WYG20" s="204"/>
      <c r="WYH20" s="204"/>
      <c r="WYI20" s="204"/>
      <c r="WYJ20" s="204"/>
      <c r="WYK20" s="204"/>
      <c r="WYL20" s="204"/>
      <c r="WYM20" s="204"/>
      <c r="WYN20" s="204"/>
      <c r="WYO20" s="204"/>
      <c r="WYP20" s="204"/>
      <c r="WYQ20" s="204"/>
      <c r="WYR20" s="204"/>
      <c r="WYS20" s="204"/>
      <c r="WYT20" s="204"/>
      <c r="WYU20" s="204"/>
      <c r="WYV20" s="204"/>
      <c r="WYW20" s="204"/>
      <c r="WYX20" s="204"/>
      <c r="WYY20" s="204"/>
      <c r="WYZ20" s="204"/>
      <c r="WZA20" s="204"/>
      <c r="WZB20" s="204"/>
      <c r="WZC20" s="204"/>
      <c r="WZD20" s="204"/>
      <c r="WZE20" s="204"/>
      <c r="WZF20" s="204"/>
      <c r="WZG20" s="204"/>
      <c r="WZH20" s="204"/>
      <c r="WZI20" s="204"/>
      <c r="WZJ20" s="204"/>
      <c r="WZK20" s="204"/>
      <c r="WZL20" s="204"/>
      <c r="WZM20" s="204"/>
      <c r="WZN20" s="204"/>
      <c r="WZO20" s="204"/>
      <c r="WZP20" s="204"/>
      <c r="WZQ20" s="204"/>
      <c r="WZR20" s="204"/>
      <c r="WZS20" s="204"/>
      <c r="WZT20" s="204"/>
      <c r="WZU20" s="204"/>
      <c r="WZV20" s="204"/>
      <c r="WZW20" s="204"/>
      <c r="WZX20" s="204"/>
      <c r="WZY20" s="204"/>
      <c r="WZZ20" s="204"/>
      <c r="XAA20" s="204"/>
      <c r="XAB20" s="204"/>
      <c r="XAC20" s="204"/>
      <c r="XAD20" s="204"/>
      <c r="XAE20" s="204"/>
      <c r="XAF20" s="204"/>
      <c r="XAG20" s="204"/>
      <c r="XAH20" s="204"/>
      <c r="XAI20" s="204"/>
      <c r="XAJ20" s="204"/>
      <c r="XAK20" s="204"/>
      <c r="XAL20" s="204"/>
      <c r="XAM20" s="204"/>
      <c r="XAN20" s="204"/>
      <c r="XAO20" s="204"/>
      <c r="XAP20" s="204"/>
      <c r="XAQ20" s="204"/>
      <c r="XAR20" s="204"/>
      <c r="XAS20" s="204"/>
      <c r="XAT20" s="204"/>
      <c r="XAU20" s="204"/>
      <c r="XAV20" s="204"/>
      <c r="XAW20" s="204"/>
      <c r="XAX20" s="204"/>
      <c r="XAY20" s="204"/>
      <c r="XAZ20" s="204"/>
      <c r="XBA20" s="204"/>
      <c r="XBB20" s="204"/>
      <c r="XBC20" s="204"/>
      <c r="XBD20" s="204"/>
      <c r="XBE20" s="204"/>
      <c r="XBF20" s="204"/>
      <c r="XBG20" s="204"/>
      <c r="XBH20" s="204"/>
      <c r="XBI20" s="204"/>
      <c r="XBJ20" s="204"/>
      <c r="XBK20" s="204"/>
      <c r="XBL20" s="204"/>
      <c r="XBM20" s="204"/>
      <c r="XBN20" s="204"/>
      <c r="XBO20" s="204"/>
      <c r="XBP20" s="204"/>
      <c r="XBQ20" s="204"/>
      <c r="XBR20" s="204"/>
      <c r="XBS20" s="204"/>
      <c r="XBT20" s="204"/>
      <c r="XBU20" s="204"/>
      <c r="XBV20" s="204"/>
      <c r="XBW20" s="204"/>
      <c r="XBX20" s="204"/>
      <c r="XBY20" s="204"/>
      <c r="XBZ20" s="204"/>
      <c r="XCA20" s="204"/>
      <c r="XCB20" s="204"/>
      <c r="XCC20" s="204"/>
      <c r="XCD20" s="204"/>
      <c r="XCE20" s="204"/>
      <c r="XCF20" s="204"/>
      <c r="XCG20" s="204"/>
      <c r="XCH20" s="204"/>
      <c r="XCI20" s="204"/>
      <c r="XCJ20" s="204"/>
      <c r="XCK20" s="204"/>
      <c r="XCL20" s="204"/>
      <c r="XCM20" s="204"/>
      <c r="XCN20" s="204"/>
      <c r="XCO20" s="204"/>
      <c r="XCP20" s="204"/>
      <c r="XCQ20" s="204"/>
      <c r="XCR20" s="204"/>
      <c r="XCS20" s="204"/>
      <c r="XCT20" s="204"/>
      <c r="XCU20" s="204"/>
      <c r="XCV20" s="204"/>
      <c r="XCW20" s="204"/>
      <c r="XCX20" s="204"/>
      <c r="XCY20" s="204"/>
      <c r="XCZ20" s="204"/>
      <c r="XDA20" s="204"/>
      <c r="XDB20" s="204"/>
      <c r="XDC20" s="204"/>
      <c r="XDD20" s="204"/>
      <c r="XDE20" s="204"/>
      <c r="XDF20" s="204"/>
      <c r="XDG20" s="204"/>
      <c r="XDH20" s="204"/>
      <c r="XDI20" s="204"/>
      <c r="XDJ20" s="204"/>
      <c r="XDK20" s="204"/>
      <c r="XDL20" s="204"/>
      <c r="XDM20" s="204"/>
      <c r="XDN20" s="204"/>
      <c r="XDO20" s="204"/>
      <c r="XDP20" s="204"/>
      <c r="XDQ20" s="204"/>
      <c r="XDR20" s="204"/>
      <c r="XDS20" s="204"/>
      <c r="XDT20" s="204"/>
      <c r="XDU20" s="204"/>
      <c r="XDV20" s="204"/>
      <c r="XDW20" s="204"/>
      <c r="XDX20" s="204"/>
      <c r="XDY20" s="204"/>
      <c r="XDZ20" s="204"/>
      <c r="XEA20" s="204"/>
      <c r="XEB20" s="204"/>
      <c r="XEC20" s="204"/>
      <c r="XED20" s="204"/>
      <c r="XEE20" s="204"/>
      <c r="XEF20" s="204"/>
      <c r="XEG20" s="204"/>
      <c r="XEH20" s="204"/>
      <c r="XEI20" s="204"/>
      <c r="XEJ20" s="204"/>
      <c r="XEK20" s="204"/>
      <c r="XEL20" s="204"/>
      <c r="XEM20" s="204"/>
      <c r="XEN20" s="204"/>
      <c r="XEO20" s="204"/>
      <c r="XEP20" s="204"/>
      <c r="XEQ20" s="204"/>
      <c r="XER20" s="204"/>
      <c r="XES20" s="204"/>
      <c r="XET20" s="204"/>
      <c r="XEU20" s="204"/>
      <c r="XEV20" s="204"/>
      <c r="XEW20" s="204"/>
      <c r="XEX20" s="204"/>
      <c r="XEY20" s="204"/>
      <c r="XEZ20" s="204"/>
      <c r="XFA20" s="204"/>
      <c r="XFB20" s="204"/>
      <c r="XFC20" s="204"/>
      <c r="XFD20" s="204"/>
    </row>
    <row r="21" spans="1:16384" x14ac:dyDescent="0.2">
      <c r="A21" s="203"/>
      <c r="B21" s="203"/>
      <c r="C21" s="54"/>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4"/>
      <c r="AI21" s="204"/>
      <c r="AJ21" s="204"/>
      <c r="AK21" s="204"/>
      <c r="AL21" s="204"/>
      <c r="AM21" s="204"/>
      <c r="AN21" s="204"/>
      <c r="AO21" s="204"/>
      <c r="AP21" s="204"/>
      <c r="AQ21" s="204"/>
      <c r="AR21" s="204"/>
      <c r="AS21" s="204"/>
      <c r="AT21" s="204"/>
      <c r="AU21" s="204"/>
      <c r="AV21" s="204"/>
      <c r="AW21" s="204"/>
      <c r="AX21" s="204"/>
      <c r="AY21" s="204"/>
      <c r="AZ21" s="204"/>
      <c r="BA21" s="204"/>
      <c r="BB21" s="204"/>
      <c r="BC21" s="204"/>
      <c r="BD21" s="204"/>
      <c r="BE21" s="204"/>
      <c r="BF21" s="204"/>
      <c r="BG21" s="204"/>
      <c r="BH21" s="204"/>
      <c r="BI21" s="204"/>
      <c r="BJ21" s="204"/>
      <c r="BK21" s="204"/>
      <c r="BL21" s="204"/>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c r="DZ21" s="204"/>
      <c r="EA21" s="204"/>
      <c r="EB21" s="204"/>
      <c r="EC21" s="204"/>
      <c r="ED21" s="204"/>
      <c r="EE21" s="204"/>
      <c r="EF21" s="204"/>
      <c r="EG21" s="204"/>
      <c r="EH21" s="204"/>
      <c r="EI21" s="204"/>
      <c r="EJ21" s="204"/>
      <c r="EK21" s="204"/>
      <c r="EL21" s="204"/>
      <c r="EM21" s="204"/>
      <c r="EN21" s="204"/>
      <c r="EO21" s="204"/>
      <c r="EP21" s="204"/>
      <c r="EQ21" s="204"/>
      <c r="ER21" s="204"/>
      <c r="ES21" s="204"/>
      <c r="ET21" s="204"/>
      <c r="EU21" s="204"/>
      <c r="EV21" s="204"/>
      <c r="EW21" s="204"/>
      <c r="EX21" s="204"/>
      <c r="EY21" s="204"/>
      <c r="EZ21" s="204"/>
      <c r="FA21" s="204"/>
      <c r="FB21" s="204"/>
      <c r="FC21" s="204"/>
      <c r="FD21" s="204"/>
      <c r="FE21" s="204"/>
      <c r="FF21" s="204"/>
      <c r="FG21" s="204"/>
      <c r="FH21" s="204"/>
      <c r="FI21" s="204"/>
      <c r="FJ21" s="204"/>
      <c r="FK21" s="204"/>
      <c r="FL21" s="204"/>
      <c r="FM21" s="204"/>
      <c r="FN21" s="204"/>
      <c r="FO21" s="204"/>
      <c r="FP21" s="204"/>
      <c r="FQ21" s="204"/>
      <c r="FR21" s="204"/>
      <c r="FS21" s="204"/>
      <c r="FT21" s="204"/>
      <c r="FU21" s="204"/>
      <c r="FV21" s="204"/>
      <c r="FW21" s="204"/>
      <c r="FX21" s="204"/>
      <c r="FY21" s="204"/>
      <c r="FZ21" s="204"/>
      <c r="GA21" s="204"/>
      <c r="GB21" s="204"/>
      <c r="GC21" s="204"/>
      <c r="GD21" s="204"/>
      <c r="GE21" s="204"/>
      <c r="GF21" s="204"/>
      <c r="GG21" s="204"/>
      <c r="GH21" s="204"/>
      <c r="GI21" s="204"/>
      <c r="GJ21" s="204"/>
      <c r="GK21" s="204"/>
      <c r="GL21" s="204"/>
      <c r="GM21" s="204"/>
      <c r="GN21" s="204"/>
      <c r="GO21" s="204"/>
      <c r="GP21" s="204"/>
      <c r="GQ21" s="204"/>
      <c r="GR21" s="204"/>
      <c r="GS21" s="204"/>
      <c r="GT21" s="204"/>
      <c r="GU21" s="204"/>
      <c r="GV21" s="204"/>
      <c r="GW21" s="204"/>
      <c r="GX21" s="204"/>
      <c r="GY21" s="204"/>
      <c r="GZ21" s="204"/>
      <c r="HA21" s="204"/>
      <c r="HB21" s="204"/>
      <c r="HC21" s="204"/>
      <c r="HD21" s="204"/>
      <c r="HE21" s="204"/>
      <c r="HF21" s="204"/>
      <c r="HG21" s="204"/>
      <c r="HH21" s="204"/>
      <c r="HI21" s="204"/>
      <c r="HJ21" s="204"/>
      <c r="HK21" s="204"/>
      <c r="HL21" s="204"/>
      <c r="HM21" s="204"/>
      <c r="HN21" s="204"/>
      <c r="HO21" s="204"/>
      <c r="HP21" s="204"/>
      <c r="HQ21" s="204"/>
      <c r="HR21" s="204"/>
      <c r="HS21" s="204"/>
      <c r="HT21" s="204"/>
      <c r="HU21" s="204"/>
      <c r="HV21" s="204"/>
      <c r="HW21" s="204"/>
      <c r="HX21" s="204"/>
      <c r="HY21" s="204"/>
      <c r="HZ21" s="204"/>
      <c r="IA21" s="204"/>
      <c r="IB21" s="204"/>
      <c r="IC21" s="204"/>
      <c r="ID21" s="204"/>
      <c r="IE21" s="204"/>
      <c r="IF21" s="204"/>
      <c r="IG21" s="204"/>
      <c r="IH21" s="204"/>
      <c r="II21" s="204"/>
      <c r="IJ21" s="204"/>
      <c r="IK21" s="204"/>
      <c r="IL21" s="204"/>
      <c r="IM21" s="204"/>
      <c r="IN21" s="204"/>
      <c r="IO21" s="204"/>
      <c r="IP21" s="204"/>
      <c r="IQ21" s="204"/>
      <c r="IR21" s="204"/>
      <c r="IS21" s="204"/>
      <c r="IT21" s="204"/>
      <c r="IU21" s="204"/>
      <c r="IV21" s="204"/>
      <c r="IW21" s="204"/>
      <c r="IX21" s="204"/>
      <c r="IY21" s="204"/>
      <c r="IZ21" s="204"/>
      <c r="JA21" s="204"/>
      <c r="JB21" s="204"/>
      <c r="JC21" s="204"/>
      <c r="JD21" s="204"/>
      <c r="JE21" s="204"/>
      <c r="JF21" s="204"/>
      <c r="JG21" s="204"/>
      <c r="JH21" s="204"/>
      <c r="JI21" s="204"/>
      <c r="JJ21" s="204"/>
      <c r="JK21" s="204"/>
      <c r="JL21" s="204"/>
      <c r="JM21" s="204"/>
      <c r="JN21" s="204"/>
      <c r="JO21" s="204"/>
      <c r="JP21" s="204"/>
      <c r="JQ21" s="204"/>
      <c r="JR21" s="204"/>
      <c r="JS21" s="204"/>
      <c r="JT21" s="204"/>
      <c r="JU21" s="204"/>
      <c r="JV21" s="204"/>
      <c r="JW21" s="204"/>
      <c r="JX21" s="204"/>
      <c r="JY21" s="204"/>
      <c r="JZ21" s="204"/>
      <c r="KA21" s="204"/>
      <c r="KB21" s="204"/>
      <c r="KC21" s="204"/>
      <c r="KD21" s="204"/>
      <c r="KE21" s="204"/>
      <c r="KF21" s="204"/>
      <c r="KG21" s="204"/>
      <c r="KH21" s="204"/>
      <c r="KI21" s="204"/>
      <c r="KJ21" s="204"/>
      <c r="KK21" s="204"/>
      <c r="KL21" s="204"/>
      <c r="KM21" s="204"/>
      <c r="KN21" s="204"/>
      <c r="KO21" s="204"/>
      <c r="KP21" s="204"/>
      <c r="KQ21" s="204"/>
      <c r="KR21" s="204"/>
      <c r="KS21" s="204"/>
      <c r="KT21" s="204"/>
      <c r="KU21" s="204"/>
      <c r="KV21" s="204"/>
      <c r="KW21" s="204"/>
      <c r="KX21" s="204"/>
      <c r="KY21" s="204"/>
      <c r="KZ21" s="204"/>
      <c r="LA21" s="204"/>
      <c r="LB21" s="204"/>
      <c r="LC21" s="204"/>
      <c r="LD21" s="204"/>
      <c r="LE21" s="204"/>
      <c r="LF21" s="204"/>
      <c r="LG21" s="204"/>
      <c r="LH21" s="204"/>
      <c r="LI21" s="204"/>
      <c r="LJ21" s="204"/>
      <c r="LK21" s="204"/>
      <c r="LL21" s="204"/>
      <c r="LM21" s="204"/>
      <c r="LN21" s="204"/>
      <c r="LO21" s="204"/>
      <c r="LP21" s="204"/>
      <c r="LQ21" s="204"/>
      <c r="LR21" s="204"/>
      <c r="LS21" s="204"/>
      <c r="LT21" s="204"/>
      <c r="LU21" s="204"/>
      <c r="LV21" s="204"/>
      <c r="LW21" s="204"/>
      <c r="LX21" s="204"/>
      <c r="LY21" s="204"/>
      <c r="LZ21" s="204"/>
      <c r="MA21" s="204"/>
      <c r="MB21" s="204"/>
      <c r="MC21" s="204"/>
      <c r="MD21" s="204"/>
      <c r="ME21" s="204"/>
      <c r="MF21" s="204"/>
      <c r="MG21" s="204"/>
      <c r="MH21" s="204"/>
      <c r="MI21" s="204"/>
      <c r="MJ21" s="204"/>
      <c r="MK21" s="204"/>
      <c r="ML21" s="204"/>
      <c r="MM21" s="204"/>
      <c r="MN21" s="204"/>
      <c r="MO21" s="204"/>
      <c r="MP21" s="204"/>
      <c r="MQ21" s="204"/>
      <c r="MR21" s="204"/>
      <c r="MS21" s="204"/>
      <c r="MT21" s="204"/>
      <c r="MU21" s="204"/>
      <c r="MV21" s="204"/>
      <c r="MW21" s="204"/>
      <c r="MX21" s="204"/>
      <c r="MY21" s="204"/>
      <c r="MZ21" s="204"/>
      <c r="NA21" s="204"/>
      <c r="NB21" s="204"/>
      <c r="NC21" s="204"/>
      <c r="ND21" s="204"/>
      <c r="NE21" s="204"/>
      <c r="NF21" s="204"/>
      <c r="NG21" s="204"/>
      <c r="NH21" s="204"/>
      <c r="NI21" s="204"/>
      <c r="NJ21" s="204"/>
      <c r="NK21" s="204"/>
      <c r="NL21" s="204"/>
      <c r="NM21" s="204"/>
      <c r="NN21" s="204"/>
      <c r="NO21" s="204"/>
      <c r="NP21" s="204"/>
      <c r="NQ21" s="204"/>
      <c r="NR21" s="204"/>
      <c r="NS21" s="204"/>
      <c r="NT21" s="204"/>
      <c r="NU21" s="204"/>
      <c r="NV21" s="204"/>
      <c r="NW21" s="204"/>
      <c r="NX21" s="204"/>
      <c r="NY21" s="204"/>
      <c r="NZ21" s="204"/>
      <c r="OA21" s="204"/>
      <c r="OB21" s="204"/>
      <c r="OC21" s="204"/>
      <c r="OD21" s="204"/>
      <c r="OE21" s="204"/>
      <c r="OF21" s="204"/>
      <c r="OG21" s="204"/>
      <c r="OH21" s="204"/>
      <c r="OI21" s="204"/>
      <c r="OJ21" s="204"/>
      <c r="OK21" s="204"/>
      <c r="OL21" s="204"/>
      <c r="OM21" s="204"/>
      <c r="ON21" s="204"/>
      <c r="OO21" s="204"/>
      <c r="OP21" s="204"/>
      <c r="OQ21" s="204"/>
      <c r="OR21" s="204"/>
      <c r="OS21" s="204"/>
      <c r="OT21" s="204"/>
      <c r="OU21" s="204"/>
      <c r="OV21" s="204"/>
      <c r="OW21" s="204"/>
      <c r="OX21" s="204"/>
      <c r="OY21" s="204"/>
      <c r="OZ21" s="204"/>
      <c r="PA21" s="204"/>
      <c r="PB21" s="204"/>
      <c r="PC21" s="204"/>
      <c r="PD21" s="204"/>
      <c r="PE21" s="204"/>
      <c r="PF21" s="204"/>
      <c r="PG21" s="204"/>
      <c r="PH21" s="204"/>
      <c r="PI21" s="204"/>
      <c r="PJ21" s="204"/>
      <c r="PK21" s="204"/>
      <c r="PL21" s="204"/>
      <c r="PM21" s="204"/>
      <c r="PN21" s="204"/>
      <c r="PO21" s="204"/>
      <c r="PP21" s="204"/>
      <c r="PQ21" s="204"/>
      <c r="PR21" s="204"/>
      <c r="PS21" s="204"/>
      <c r="PT21" s="204"/>
      <c r="PU21" s="204"/>
      <c r="PV21" s="204"/>
      <c r="PW21" s="204"/>
      <c r="PX21" s="204"/>
      <c r="PY21" s="204"/>
      <c r="PZ21" s="204"/>
      <c r="QA21" s="204"/>
      <c r="QB21" s="204"/>
      <c r="QC21" s="204"/>
      <c r="QD21" s="204"/>
      <c r="QE21" s="204"/>
      <c r="QF21" s="204"/>
      <c r="QG21" s="204"/>
      <c r="QH21" s="204"/>
      <c r="QI21" s="204"/>
      <c r="QJ21" s="204"/>
      <c r="QK21" s="204"/>
      <c r="QL21" s="204"/>
      <c r="QM21" s="204"/>
      <c r="QN21" s="204"/>
      <c r="QO21" s="204"/>
      <c r="QP21" s="204"/>
      <c r="QQ21" s="204"/>
      <c r="QR21" s="204"/>
      <c r="QS21" s="204"/>
      <c r="QT21" s="204"/>
      <c r="QU21" s="204"/>
      <c r="QV21" s="204"/>
      <c r="QW21" s="204"/>
      <c r="QX21" s="204"/>
      <c r="QY21" s="204"/>
      <c r="QZ21" s="204"/>
      <c r="RA21" s="204"/>
      <c r="RB21" s="204"/>
      <c r="RC21" s="204"/>
      <c r="RD21" s="204"/>
      <c r="RE21" s="204"/>
      <c r="RF21" s="204"/>
      <c r="RG21" s="204"/>
      <c r="RH21" s="204"/>
      <c r="RI21" s="204"/>
      <c r="RJ21" s="204"/>
      <c r="RK21" s="204"/>
      <c r="RL21" s="204"/>
      <c r="RM21" s="204"/>
      <c r="RN21" s="204"/>
      <c r="RO21" s="204"/>
      <c r="RP21" s="204"/>
      <c r="RQ21" s="204"/>
      <c r="RR21" s="204"/>
      <c r="RS21" s="204"/>
      <c r="RT21" s="204"/>
      <c r="RU21" s="204"/>
      <c r="RV21" s="204"/>
      <c r="RW21" s="204"/>
      <c r="RX21" s="204"/>
      <c r="RY21" s="204"/>
      <c r="RZ21" s="204"/>
      <c r="SA21" s="204"/>
      <c r="SB21" s="204"/>
      <c r="SC21" s="204"/>
      <c r="SD21" s="204"/>
      <c r="SE21" s="204"/>
      <c r="SF21" s="204"/>
      <c r="SG21" s="204"/>
      <c r="SH21" s="204"/>
      <c r="SI21" s="204"/>
      <c r="SJ21" s="204"/>
      <c r="SK21" s="204"/>
      <c r="SL21" s="204"/>
      <c r="SM21" s="204"/>
      <c r="SN21" s="204"/>
      <c r="SO21" s="204"/>
      <c r="SP21" s="204"/>
      <c r="SQ21" s="204"/>
      <c r="SR21" s="204"/>
      <c r="SS21" s="204"/>
      <c r="ST21" s="204"/>
      <c r="SU21" s="204"/>
      <c r="SV21" s="204"/>
      <c r="SW21" s="204"/>
      <c r="SX21" s="204"/>
      <c r="SY21" s="204"/>
      <c r="SZ21" s="204"/>
      <c r="TA21" s="204"/>
      <c r="TB21" s="204"/>
      <c r="TC21" s="204"/>
      <c r="TD21" s="204"/>
      <c r="TE21" s="204"/>
      <c r="TF21" s="204"/>
      <c r="TG21" s="204"/>
      <c r="TH21" s="204"/>
      <c r="TI21" s="204"/>
      <c r="TJ21" s="204"/>
      <c r="TK21" s="204"/>
      <c r="TL21" s="204"/>
      <c r="TM21" s="204"/>
      <c r="TN21" s="204"/>
      <c r="TO21" s="204"/>
      <c r="TP21" s="204"/>
      <c r="TQ21" s="204"/>
      <c r="TR21" s="204"/>
      <c r="TS21" s="204"/>
      <c r="TT21" s="204"/>
      <c r="TU21" s="204"/>
      <c r="TV21" s="204"/>
      <c r="TW21" s="204"/>
      <c r="TX21" s="204"/>
      <c r="TY21" s="204"/>
      <c r="TZ21" s="204"/>
      <c r="UA21" s="204"/>
      <c r="UB21" s="204"/>
      <c r="UC21" s="204"/>
      <c r="UD21" s="204"/>
      <c r="UE21" s="204"/>
      <c r="UF21" s="204"/>
      <c r="UG21" s="204"/>
      <c r="UH21" s="204"/>
      <c r="UI21" s="204"/>
      <c r="UJ21" s="204"/>
      <c r="UK21" s="204"/>
      <c r="UL21" s="204"/>
      <c r="UM21" s="204"/>
      <c r="UN21" s="204"/>
      <c r="UO21" s="204"/>
      <c r="UP21" s="204"/>
      <c r="UQ21" s="204"/>
      <c r="UR21" s="204"/>
      <c r="US21" s="204"/>
      <c r="UT21" s="204"/>
      <c r="UU21" s="204"/>
      <c r="UV21" s="204"/>
      <c r="UW21" s="204"/>
      <c r="UX21" s="204"/>
      <c r="UY21" s="204"/>
      <c r="UZ21" s="204"/>
      <c r="VA21" s="204"/>
      <c r="VB21" s="204"/>
      <c r="VC21" s="204"/>
      <c r="VD21" s="204"/>
      <c r="VE21" s="204"/>
      <c r="VF21" s="204"/>
      <c r="VG21" s="204"/>
      <c r="VH21" s="204"/>
      <c r="VI21" s="204"/>
      <c r="VJ21" s="204"/>
      <c r="VK21" s="204"/>
      <c r="VL21" s="204"/>
      <c r="VM21" s="204"/>
      <c r="VN21" s="204"/>
      <c r="VO21" s="204"/>
      <c r="VP21" s="204"/>
      <c r="VQ21" s="204"/>
      <c r="VR21" s="204"/>
      <c r="VS21" s="204"/>
      <c r="VT21" s="204"/>
      <c r="VU21" s="204"/>
      <c r="VV21" s="204"/>
      <c r="VW21" s="204"/>
      <c r="VX21" s="204"/>
      <c r="VY21" s="204"/>
      <c r="VZ21" s="204"/>
      <c r="WA21" s="204"/>
      <c r="WB21" s="204"/>
      <c r="WC21" s="204"/>
      <c r="WD21" s="204"/>
      <c r="WE21" s="204"/>
      <c r="WF21" s="204"/>
      <c r="WG21" s="204"/>
      <c r="WH21" s="204"/>
      <c r="WI21" s="204"/>
      <c r="WJ21" s="204"/>
      <c r="WK21" s="204"/>
      <c r="WL21" s="204"/>
      <c r="WM21" s="204"/>
      <c r="WN21" s="204"/>
      <c r="WO21" s="204"/>
      <c r="WP21" s="204"/>
      <c r="WQ21" s="204"/>
      <c r="WR21" s="204"/>
      <c r="WS21" s="204"/>
      <c r="WT21" s="204"/>
      <c r="WU21" s="204"/>
      <c r="WV21" s="204"/>
      <c r="WW21" s="204"/>
      <c r="WX21" s="204"/>
      <c r="WY21" s="204"/>
      <c r="WZ21" s="204"/>
      <c r="XA21" s="204"/>
      <c r="XB21" s="204"/>
      <c r="XC21" s="204"/>
      <c r="XD21" s="204"/>
      <c r="XE21" s="204"/>
      <c r="XF21" s="204"/>
      <c r="XG21" s="204"/>
      <c r="XH21" s="204"/>
      <c r="XI21" s="204"/>
      <c r="XJ21" s="204"/>
      <c r="XK21" s="204"/>
      <c r="XL21" s="204"/>
      <c r="XM21" s="204"/>
      <c r="XN21" s="204"/>
      <c r="XO21" s="204"/>
      <c r="XP21" s="204"/>
      <c r="XQ21" s="204"/>
      <c r="XR21" s="204"/>
      <c r="XS21" s="204"/>
      <c r="XT21" s="204"/>
      <c r="XU21" s="204"/>
      <c r="XV21" s="204"/>
      <c r="XW21" s="204"/>
      <c r="XX21" s="204"/>
      <c r="XY21" s="204"/>
      <c r="XZ21" s="204"/>
      <c r="YA21" s="204"/>
      <c r="YB21" s="204"/>
      <c r="YC21" s="204"/>
      <c r="YD21" s="204"/>
      <c r="YE21" s="204"/>
      <c r="YF21" s="204"/>
      <c r="YG21" s="204"/>
      <c r="YH21" s="204"/>
      <c r="YI21" s="204"/>
      <c r="YJ21" s="204"/>
      <c r="YK21" s="204"/>
      <c r="YL21" s="204"/>
      <c r="YM21" s="204"/>
      <c r="YN21" s="204"/>
      <c r="YO21" s="204"/>
      <c r="YP21" s="204"/>
      <c r="YQ21" s="204"/>
      <c r="YR21" s="204"/>
      <c r="YS21" s="204"/>
      <c r="YT21" s="204"/>
      <c r="YU21" s="204"/>
      <c r="YV21" s="204"/>
      <c r="YW21" s="204"/>
      <c r="YX21" s="204"/>
      <c r="YY21" s="204"/>
      <c r="YZ21" s="204"/>
      <c r="ZA21" s="204"/>
      <c r="ZB21" s="204"/>
      <c r="ZC21" s="204"/>
      <c r="ZD21" s="204"/>
      <c r="ZE21" s="204"/>
      <c r="ZF21" s="204"/>
      <c r="ZG21" s="204"/>
      <c r="ZH21" s="204"/>
      <c r="ZI21" s="204"/>
      <c r="ZJ21" s="204"/>
      <c r="ZK21" s="204"/>
      <c r="ZL21" s="204"/>
      <c r="ZM21" s="204"/>
      <c r="ZN21" s="204"/>
      <c r="ZO21" s="204"/>
      <c r="ZP21" s="204"/>
      <c r="ZQ21" s="204"/>
      <c r="ZR21" s="204"/>
      <c r="ZS21" s="204"/>
      <c r="ZT21" s="204"/>
      <c r="ZU21" s="204"/>
      <c r="ZV21" s="204"/>
      <c r="ZW21" s="204"/>
      <c r="ZX21" s="204"/>
      <c r="ZY21" s="204"/>
      <c r="ZZ21" s="204"/>
      <c r="AAA21" s="204"/>
      <c r="AAB21" s="204"/>
      <c r="AAC21" s="204"/>
      <c r="AAD21" s="204"/>
      <c r="AAE21" s="204"/>
      <c r="AAF21" s="204"/>
      <c r="AAG21" s="204"/>
      <c r="AAH21" s="204"/>
      <c r="AAI21" s="204"/>
      <c r="AAJ21" s="204"/>
      <c r="AAK21" s="204"/>
      <c r="AAL21" s="204"/>
      <c r="AAM21" s="204"/>
      <c r="AAN21" s="204"/>
      <c r="AAO21" s="204"/>
      <c r="AAP21" s="204"/>
      <c r="AAQ21" s="204"/>
      <c r="AAR21" s="204"/>
      <c r="AAS21" s="204"/>
      <c r="AAT21" s="204"/>
      <c r="AAU21" s="204"/>
      <c r="AAV21" s="204"/>
      <c r="AAW21" s="204"/>
      <c r="AAX21" s="204"/>
      <c r="AAY21" s="204"/>
      <c r="AAZ21" s="204"/>
      <c r="ABA21" s="204"/>
      <c r="ABB21" s="204"/>
      <c r="ABC21" s="204"/>
      <c r="ABD21" s="204"/>
      <c r="ABE21" s="204"/>
      <c r="ABF21" s="204"/>
      <c r="ABG21" s="204"/>
      <c r="ABH21" s="204"/>
      <c r="ABI21" s="204"/>
      <c r="ABJ21" s="204"/>
      <c r="ABK21" s="204"/>
      <c r="ABL21" s="204"/>
      <c r="ABM21" s="204"/>
      <c r="ABN21" s="204"/>
      <c r="ABO21" s="204"/>
      <c r="ABP21" s="204"/>
      <c r="ABQ21" s="204"/>
      <c r="ABR21" s="204"/>
      <c r="ABS21" s="204"/>
      <c r="ABT21" s="204"/>
      <c r="ABU21" s="204"/>
      <c r="ABV21" s="204"/>
      <c r="ABW21" s="204"/>
      <c r="ABX21" s="204"/>
      <c r="ABY21" s="204"/>
      <c r="ABZ21" s="204"/>
      <c r="ACA21" s="204"/>
      <c r="ACB21" s="204"/>
      <c r="ACC21" s="204"/>
      <c r="ACD21" s="204"/>
      <c r="ACE21" s="204"/>
      <c r="ACF21" s="204"/>
      <c r="ACG21" s="204"/>
      <c r="ACH21" s="204"/>
      <c r="ACI21" s="204"/>
      <c r="ACJ21" s="204"/>
      <c r="ACK21" s="204"/>
      <c r="ACL21" s="204"/>
      <c r="ACM21" s="204"/>
      <c r="ACN21" s="204"/>
      <c r="ACO21" s="204"/>
      <c r="ACP21" s="204"/>
      <c r="ACQ21" s="204"/>
      <c r="ACR21" s="204"/>
      <c r="ACS21" s="204"/>
      <c r="ACT21" s="204"/>
      <c r="ACU21" s="204"/>
      <c r="ACV21" s="204"/>
      <c r="ACW21" s="204"/>
      <c r="ACX21" s="204"/>
      <c r="ACY21" s="204"/>
      <c r="ACZ21" s="204"/>
      <c r="ADA21" s="204"/>
      <c r="ADB21" s="204"/>
      <c r="ADC21" s="204"/>
      <c r="ADD21" s="204"/>
      <c r="ADE21" s="204"/>
      <c r="ADF21" s="204"/>
      <c r="ADG21" s="204"/>
      <c r="ADH21" s="204"/>
      <c r="ADI21" s="204"/>
      <c r="ADJ21" s="204"/>
      <c r="ADK21" s="204"/>
      <c r="ADL21" s="204"/>
      <c r="ADM21" s="204"/>
      <c r="ADN21" s="204"/>
      <c r="ADO21" s="204"/>
      <c r="ADP21" s="204"/>
      <c r="ADQ21" s="204"/>
      <c r="ADR21" s="204"/>
      <c r="ADS21" s="204"/>
      <c r="ADT21" s="204"/>
      <c r="ADU21" s="204"/>
      <c r="ADV21" s="204"/>
      <c r="ADW21" s="204"/>
      <c r="ADX21" s="204"/>
      <c r="ADY21" s="204"/>
      <c r="ADZ21" s="204"/>
      <c r="AEA21" s="204"/>
      <c r="AEB21" s="204"/>
      <c r="AEC21" s="204"/>
      <c r="AED21" s="204"/>
      <c r="AEE21" s="204"/>
      <c r="AEF21" s="204"/>
      <c r="AEG21" s="204"/>
      <c r="AEH21" s="204"/>
      <c r="AEI21" s="204"/>
      <c r="AEJ21" s="204"/>
      <c r="AEK21" s="204"/>
      <c r="AEL21" s="204"/>
      <c r="AEM21" s="204"/>
      <c r="AEN21" s="204"/>
      <c r="AEO21" s="204"/>
      <c r="AEP21" s="204"/>
      <c r="AEQ21" s="204"/>
      <c r="AER21" s="204"/>
      <c r="AES21" s="204"/>
      <c r="AET21" s="204"/>
      <c r="AEU21" s="204"/>
      <c r="AEV21" s="204"/>
      <c r="AEW21" s="204"/>
      <c r="AEX21" s="204"/>
      <c r="AEY21" s="204"/>
      <c r="AEZ21" s="204"/>
      <c r="AFA21" s="204"/>
      <c r="AFB21" s="204"/>
      <c r="AFC21" s="204"/>
      <c r="AFD21" s="204"/>
      <c r="AFE21" s="204"/>
      <c r="AFF21" s="204"/>
      <c r="AFG21" s="204"/>
      <c r="AFH21" s="204"/>
      <c r="AFI21" s="204"/>
      <c r="AFJ21" s="204"/>
      <c r="AFK21" s="204"/>
      <c r="AFL21" s="204"/>
      <c r="AFM21" s="204"/>
      <c r="AFN21" s="204"/>
      <c r="AFO21" s="204"/>
      <c r="AFP21" s="204"/>
      <c r="AFQ21" s="204"/>
      <c r="AFR21" s="204"/>
      <c r="AFS21" s="204"/>
      <c r="AFT21" s="204"/>
      <c r="AFU21" s="204"/>
      <c r="AFV21" s="204"/>
      <c r="AFW21" s="204"/>
      <c r="AFX21" s="204"/>
      <c r="AFY21" s="204"/>
      <c r="AFZ21" s="204"/>
      <c r="AGA21" s="204"/>
      <c r="AGB21" s="204"/>
      <c r="AGC21" s="204"/>
      <c r="AGD21" s="204"/>
      <c r="AGE21" s="204"/>
      <c r="AGF21" s="204"/>
      <c r="AGG21" s="204"/>
      <c r="AGH21" s="204"/>
      <c r="AGI21" s="204"/>
      <c r="AGJ21" s="204"/>
      <c r="AGK21" s="204"/>
      <c r="AGL21" s="204"/>
      <c r="AGM21" s="204"/>
      <c r="AGN21" s="204"/>
      <c r="AGO21" s="204"/>
      <c r="AGP21" s="204"/>
      <c r="AGQ21" s="204"/>
      <c r="AGR21" s="204"/>
      <c r="AGS21" s="204"/>
      <c r="AGT21" s="204"/>
      <c r="AGU21" s="204"/>
      <c r="AGV21" s="204"/>
      <c r="AGW21" s="204"/>
      <c r="AGX21" s="204"/>
      <c r="AGY21" s="204"/>
      <c r="AGZ21" s="204"/>
      <c r="AHA21" s="204"/>
      <c r="AHB21" s="204"/>
      <c r="AHC21" s="204"/>
      <c r="AHD21" s="204"/>
      <c r="AHE21" s="204"/>
      <c r="AHF21" s="204"/>
      <c r="AHG21" s="204"/>
      <c r="AHH21" s="204"/>
      <c r="AHI21" s="204"/>
      <c r="AHJ21" s="204"/>
      <c r="AHK21" s="204"/>
      <c r="AHL21" s="204"/>
      <c r="AHM21" s="204"/>
      <c r="AHN21" s="204"/>
      <c r="AHO21" s="204"/>
      <c r="AHP21" s="204"/>
      <c r="AHQ21" s="204"/>
      <c r="AHR21" s="204"/>
      <c r="AHS21" s="204"/>
      <c r="AHT21" s="204"/>
      <c r="AHU21" s="204"/>
      <c r="AHV21" s="204"/>
      <c r="AHW21" s="204"/>
      <c r="AHX21" s="204"/>
      <c r="AHY21" s="204"/>
      <c r="AHZ21" s="204"/>
      <c r="AIA21" s="204"/>
      <c r="AIB21" s="204"/>
      <c r="AIC21" s="204"/>
      <c r="AID21" s="204"/>
      <c r="AIE21" s="204"/>
      <c r="AIF21" s="204"/>
      <c r="AIG21" s="204"/>
      <c r="AIH21" s="204"/>
      <c r="AII21" s="204"/>
      <c r="AIJ21" s="204"/>
      <c r="AIK21" s="204"/>
      <c r="AIL21" s="204"/>
      <c r="AIM21" s="204"/>
      <c r="AIN21" s="204"/>
      <c r="AIO21" s="204"/>
      <c r="AIP21" s="204"/>
      <c r="AIQ21" s="204"/>
      <c r="AIR21" s="204"/>
      <c r="AIS21" s="204"/>
      <c r="AIT21" s="204"/>
      <c r="AIU21" s="204"/>
      <c r="AIV21" s="204"/>
      <c r="AIW21" s="204"/>
      <c r="AIX21" s="204"/>
      <c r="AIY21" s="204"/>
      <c r="AIZ21" s="204"/>
      <c r="AJA21" s="204"/>
      <c r="AJB21" s="204"/>
      <c r="AJC21" s="204"/>
      <c r="AJD21" s="204"/>
      <c r="AJE21" s="204"/>
      <c r="AJF21" s="204"/>
      <c r="AJG21" s="204"/>
      <c r="AJH21" s="204"/>
      <c r="AJI21" s="204"/>
      <c r="AJJ21" s="204"/>
      <c r="AJK21" s="204"/>
      <c r="AJL21" s="204"/>
      <c r="AJM21" s="204"/>
      <c r="AJN21" s="204"/>
      <c r="AJO21" s="204"/>
      <c r="AJP21" s="204"/>
      <c r="AJQ21" s="204"/>
      <c r="AJR21" s="204"/>
      <c r="AJS21" s="204"/>
      <c r="AJT21" s="204"/>
      <c r="AJU21" s="204"/>
      <c r="AJV21" s="204"/>
      <c r="AJW21" s="204"/>
      <c r="AJX21" s="204"/>
      <c r="AJY21" s="204"/>
      <c r="AJZ21" s="204"/>
      <c r="AKA21" s="204"/>
      <c r="AKB21" s="204"/>
      <c r="AKC21" s="204"/>
      <c r="AKD21" s="204"/>
      <c r="AKE21" s="204"/>
      <c r="AKF21" s="204"/>
      <c r="AKG21" s="204"/>
      <c r="AKH21" s="204"/>
      <c r="AKI21" s="204"/>
      <c r="AKJ21" s="204"/>
      <c r="AKK21" s="204"/>
      <c r="AKL21" s="204"/>
      <c r="AKM21" s="204"/>
      <c r="AKN21" s="204"/>
      <c r="AKO21" s="204"/>
      <c r="AKP21" s="204"/>
      <c r="AKQ21" s="204"/>
      <c r="AKR21" s="204"/>
      <c r="AKS21" s="204"/>
      <c r="AKT21" s="204"/>
      <c r="AKU21" s="204"/>
      <c r="AKV21" s="204"/>
      <c r="AKW21" s="204"/>
      <c r="AKX21" s="204"/>
      <c r="AKY21" s="204"/>
      <c r="AKZ21" s="204"/>
      <c r="ALA21" s="204"/>
      <c r="ALB21" s="204"/>
      <c r="ALC21" s="204"/>
      <c r="ALD21" s="204"/>
      <c r="ALE21" s="204"/>
      <c r="ALF21" s="204"/>
      <c r="ALG21" s="204"/>
      <c r="ALH21" s="204"/>
      <c r="ALI21" s="204"/>
      <c r="ALJ21" s="204"/>
      <c r="ALK21" s="204"/>
      <c r="ALL21" s="204"/>
      <c r="ALM21" s="204"/>
      <c r="ALN21" s="204"/>
      <c r="ALO21" s="204"/>
      <c r="ALP21" s="204"/>
      <c r="ALQ21" s="204"/>
      <c r="ALR21" s="204"/>
      <c r="ALS21" s="204"/>
      <c r="ALT21" s="204"/>
      <c r="ALU21" s="204"/>
      <c r="ALV21" s="204"/>
      <c r="ALW21" s="204"/>
      <c r="ALX21" s="204"/>
      <c r="ALY21" s="204"/>
      <c r="ALZ21" s="204"/>
      <c r="AMA21" s="204"/>
      <c r="AMB21" s="204"/>
      <c r="AMC21" s="204"/>
      <c r="AMD21" s="204"/>
      <c r="AME21" s="204"/>
      <c r="AMF21" s="204"/>
      <c r="AMG21" s="204"/>
      <c r="AMH21" s="204"/>
      <c r="AMI21" s="204"/>
      <c r="AMJ21" s="204"/>
      <c r="AMK21" s="204"/>
      <c r="AML21" s="204"/>
      <c r="AMM21" s="204"/>
      <c r="AMN21" s="204"/>
      <c r="AMO21" s="204"/>
      <c r="AMP21" s="204"/>
      <c r="AMQ21" s="204"/>
      <c r="AMR21" s="204"/>
      <c r="AMS21" s="204"/>
      <c r="AMT21" s="204"/>
      <c r="AMU21" s="204"/>
      <c r="AMV21" s="204"/>
      <c r="AMW21" s="204"/>
      <c r="AMX21" s="204"/>
      <c r="AMY21" s="204"/>
      <c r="AMZ21" s="204"/>
      <c r="ANA21" s="204"/>
      <c r="ANB21" s="204"/>
      <c r="ANC21" s="204"/>
      <c r="AND21" s="204"/>
      <c r="ANE21" s="204"/>
      <c r="ANF21" s="204"/>
      <c r="ANG21" s="204"/>
      <c r="ANH21" s="204"/>
      <c r="ANI21" s="204"/>
      <c r="ANJ21" s="204"/>
      <c r="ANK21" s="204"/>
      <c r="ANL21" s="204"/>
      <c r="ANM21" s="204"/>
      <c r="ANN21" s="204"/>
      <c r="ANO21" s="204"/>
      <c r="ANP21" s="204"/>
      <c r="ANQ21" s="204"/>
      <c r="ANR21" s="204"/>
      <c r="ANS21" s="204"/>
      <c r="ANT21" s="204"/>
      <c r="ANU21" s="204"/>
      <c r="ANV21" s="204"/>
      <c r="ANW21" s="204"/>
      <c r="ANX21" s="204"/>
      <c r="ANY21" s="204"/>
      <c r="ANZ21" s="204"/>
      <c r="AOA21" s="204"/>
      <c r="AOB21" s="204"/>
      <c r="AOC21" s="204"/>
      <c r="AOD21" s="204"/>
      <c r="AOE21" s="204"/>
      <c r="AOF21" s="204"/>
      <c r="AOG21" s="204"/>
      <c r="AOH21" s="204"/>
      <c r="AOI21" s="204"/>
      <c r="AOJ21" s="204"/>
      <c r="AOK21" s="204"/>
      <c r="AOL21" s="204"/>
      <c r="AOM21" s="204"/>
      <c r="AON21" s="204"/>
      <c r="AOO21" s="204"/>
      <c r="AOP21" s="204"/>
      <c r="AOQ21" s="204"/>
      <c r="AOR21" s="204"/>
      <c r="AOS21" s="204"/>
      <c r="AOT21" s="204"/>
      <c r="AOU21" s="204"/>
      <c r="AOV21" s="204"/>
      <c r="AOW21" s="204"/>
      <c r="AOX21" s="204"/>
      <c r="AOY21" s="204"/>
      <c r="AOZ21" s="204"/>
      <c r="APA21" s="204"/>
      <c r="APB21" s="204"/>
      <c r="APC21" s="204"/>
      <c r="APD21" s="204"/>
      <c r="APE21" s="204"/>
      <c r="APF21" s="204"/>
      <c r="APG21" s="204"/>
      <c r="APH21" s="204"/>
      <c r="API21" s="204"/>
      <c r="APJ21" s="204"/>
      <c r="APK21" s="204"/>
      <c r="APL21" s="204"/>
      <c r="APM21" s="204"/>
      <c r="APN21" s="204"/>
      <c r="APO21" s="204"/>
      <c r="APP21" s="204"/>
      <c r="APQ21" s="204"/>
      <c r="APR21" s="204"/>
      <c r="APS21" s="204"/>
      <c r="APT21" s="204"/>
      <c r="APU21" s="204"/>
      <c r="APV21" s="204"/>
      <c r="APW21" s="204"/>
      <c r="APX21" s="204"/>
      <c r="APY21" s="204"/>
      <c r="APZ21" s="204"/>
      <c r="AQA21" s="204"/>
      <c r="AQB21" s="204"/>
      <c r="AQC21" s="204"/>
      <c r="AQD21" s="204"/>
      <c r="AQE21" s="204"/>
      <c r="AQF21" s="204"/>
      <c r="AQG21" s="204"/>
      <c r="AQH21" s="204"/>
      <c r="AQI21" s="204"/>
      <c r="AQJ21" s="204"/>
      <c r="AQK21" s="204"/>
      <c r="AQL21" s="204"/>
      <c r="AQM21" s="204"/>
      <c r="AQN21" s="204"/>
      <c r="AQO21" s="204"/>
      <c r="AQP21" s="204"/>
      <c r="AQQ21" s="204"/>
      <c r="AQR21" s="204"/>
      <c r="AQS21" s="204"/>
      <c r="AQT21" s="204"/>
      <c r="AQU21" s="204"/>
      <c r="AQV21" s="204"/>
      <c r="AQW21" s="204"/>
      <c r="AQX21" s="204"/>
      <c r="AQY21" s="204"/>
      <c r="AQZ21" s="204"/>
      <c r="ARA21" s="204"/>
      <c r="ARB21" s="204"/>
      <c r="ARC21" s="204"/>
      <c r="ARD21" s="204"/>
      <c r="ARE21" s="204"/>
      <c r="ARF21" s="204"/>
      <c r="ARG21" s="204"/>
      <c r="ARH21" s="204"/>
      <c r="ARI21" s="204"/>
      <c r="ARJ21" s="204"/>
      <c r="ARK21" s="204"/>
      <c r="ARL21" s="204"/>
      <c r="ARM21" s="204"/>
      <c r="ARN21" s="204"/>
      <c r="ARO21" s="204"/>
      <c r="ARP21" s="204"/>
      <c r="ARQ21" s="204"/>
      <c r="ARR21" s="204"/>
      <c r="ARS21" s="204"/>
      <c r="ART21" s="204"/>
      <c r="ARU21" s="204"/>
      <c r="ARV21" s="204"/>
      <c r="ARW21" s="204"/>
      <c r="ARX21" s="204"/>
      <c r="ARY21" s="204"/>
      <c r="ARZ21" s="204"/>
      <c r="ASA21" s="204"/>
      <c r="ASB21" s="204"/>
      <c r="ASC21" s="204"/>
      <c r="ASD21" s="204"/>
      <c r="ASE21" s="204"/>
      <c r="ASF21" s="204"/>
      <c r="ASG21" s="204"/>
      <c r="ASH21" s="204"/>
      <c r="ASI21" s="204"/>
      <c r="ASJ21" s="204"/>
      <c r="ASK21" s="204"/>
      <c r="ASL21" s="204"/>
      <c r="ASM21" s="204"/>
      <c r="ASN21" s="204"/>
      <c r="ASO21" s="204"/>
      <c r="ASP21" s="204"/>
      <c r="ASQ21" s="204"/>
      <c r="ASR21" s="204"/>
      <c r="ASS21" s="204"/>
      <c r="AST21" s="204"/>
      <c r="ASU21" s="204"/>
      <c r="ASV21" s="204"/>
      <c r="ASW21" s="204"/>
      <c r="ASX21" s="204"/>
      <c r="ASY21" s="204"/>
      <c r="ASZ21" s="204"/>
      <c r="ATA21" s="204"/>
      <c r="ATB21" s="204"/>
      <c r="ATC21" s="204"/>
      <c r="ATD21" s="204"/>
      <c r="ATE21" s="204"/>
      <c r="ATF21" s="204"/>
      <c r="ATG21" s="204"/>
      <c r="ATH21" s="204"/>
      <c r="ATI21" s="204"/>
      <c r="ATJ21" s="204"/>
      <c r="ATK21" s="204"/>
      <c r="ATL21" s="204"/>
      <c r="ATM21" s="204"/>
      <c r="ATN21" s="204"/>
      <c r="ATO21" s="204"/>
      <c r="ATP21" s="204"/>
      <c r="ATQ21" s="204"/>
      <c r="ATR21" s="204"/>
      <c r="ATS21" s="204"/>
      <c r="ATT21" s="204"/>
      <c r="ATU21" s="204"/>
      <c r="ATV21" s="204"/>
      <c r="ATW21" s="204"/>
      <c r="ATX21" s="204"/>
      <c r="ATY21" s="204"/>
      <c r="ATZ21" s="204"/>
      <c r="AUA21" s="204"/>
      <c r="AUB21" s="204"/>
      <c r="AUC21" s="204"/>
      <c r="AUD21" s="204"/>
      <c r="AUE21" s="204"/>
      <c r="AUF21" s="204"/>
      <c r="AUG21" s="204"/>
      <c r="AUH21" s="204"/>
      <c r="AUI21" s="204"/>
      <c r="AUJ21" s="204"/>
      <c r="AUK21" s="204"/>
      <c r="AUL21" s="204"/>
      <c r="AUM21" s="204"/>
      <c r="AUN21" s="204"/>
      <c r="AUO21" s="204"/>
      <c r="AUP21" s="204"/>
      <c r="AUQ21" s="204"/>
      <c r="AUR21" s="204"/>
      <c r="AUS21" s="204"/>
      <c r="AUT21" s="204"/>
      <c r="AUU21" s="204"/>
      <c r="AUV21" s="204"/>
      <c r="AUW21" s="204"/>
      <c r="AUX21" s="204"/>
      <c r="AUY21" s="204"/>
      <c r="AUZ21" s="204"/>
      <c r="AVA21" s="204"/>
      <c r="AVB21" s="204"/>
      <c r="AVC21" s="204"/>
      <c r="AVD21" s="204"/>
      <c r="AVE21" s="204"/>
      <c r="AVF21" s="204"/>
      <c r="AVG21" s="204"/>
      <c r="AVH21" s="204"/>
      <c r="AVI21" s="204"/>
      <c r="AVJ21" s="204"/>
      <c r="AVK21" s="204"/>
      <c r="AVL21" s="204"/>
      <c r="AVM21" s="204"/>
      <c r="AVN21" s="204"/>
      <c r="AVO21" s="204"/>
      <c r="AVP21" s="204"/>
      <c r="AVQ21" s="204"/>
      <c r="AVR21" s="204"/>
      <c r="AVS21" s="204"/>
      <c r="AVT21" s="204"/>
      <c r="AVU21" s="204"/>
      <c r="AVV21" s="204"/>
      <c r="AVW21" s="204"/>
      <c r="AVX21" s="204"/>
      <c r="AVY21" s="204"/>
      <c r="AVZ21" s="204"/>
      <c r="AWA21" s="204"/>
      <c r="AWB21" s="204"/>
      <c r="AWC21" s="204"/>
      <c r="AWD21" s="204"/>
      <c r="AWE21" s="204"/>
      <c r="AWF21" s="204"/>
      <c r="AWG21" s="204"/>
      <c r="AWH21" s="204"/>
      <c r="AWI21" s="204"/>
      <c r="AWJ21" s="204"/>
      <c r="AWK21" s="204"/>
      <c r="AWL21" s="204"/>
      <c r="AWM21" s="204"/>
      <c r="AWN21" s="204"/>
      <c r="AWO21" s="204"/>
      <c r="AWP21" s="204"/>
      <c r="AWQ21" s="204"/>
      <c r="AWR21" s="204"/>
      <c r="AWS21" s="204"/>
      <c r="AWT21" s="204"/>
      <c r="AWU21" s="204"/>
      <c r="AWV21" s="204"/>
      <c r="AWW21" s="204"/>
      <c r="AWX21" s="204"/>
      <c r="AWY21" s="204"/>
      <c r="AWZ21" s="204"/>
      <c r="AXA21" s="204"/>
      <c r="AXB21" s="204"/>
      <c r="AXC21" s="204"/>
      <c r="AXD21" s="204"/>
      <c r="AXE21" s="204"/>
      <c r="AXF21" s="204"/>
      <c r="AXG21" s="204"/>
      <c r="AXH21" s="204"/>
      <c r="AXI21" s="204"/>
      <c r="AXJ21" s="204"/>
      <c r="AXK21" s="204"/>
      <c r="AXL21" s="204"/>
      <c r="AXM21" s="204"/>
      <c r="AXN21" s="204"/>
      <c r="AXO21" s="204"/>
      <c r="AXP21" s="204"/>
      <c r="AXQ21" s="204"/>
      <c r="AXR21" s="204"/>
      <c r="AXS21" s="204"/>
      <c r="AXT21" s="204"/>
      <c r="AXU21" s="204"/>
      <c r="AXV21" s="204"/>
      <c r="AXW21" s="204"/>
      <c r="AXX21" s="204"/>
      <c r="AXY21" s="204"/>
      <c r="AXZ21" s="204"/>
      <c r="AYA21" s="204"/>
      <c r="AYB21" s="204"/>
      <c r="AYC21" s="204"/>
      <c r="AYD21" s="204"/>
      <c r="AYE21" s="204"/>
      <c r="AYF21" s="204"/>
      <c r="AYG21" s="204"/>
      <c r="AYH21" s="204"/>
      <c r="AYI21" s="204"/>
      <c r="AYJ21" s="204"/>
      <c r="AYK21" s="204"/>
      <c r="AYL21" s="204"/>
      <c r="AYM21" s="204"/>
      <c r="AYN21" s="204"/>
      <c r="AYO21" s="204"/>
      <c r="AYP21" s="204"/>
      <c r="AYQ21" s="204"/>
      <c r="AYR21" s="204"/>
      <c r="AYS21" s="204"/>
      <c r="AYT21" s="204"/>
      <c r="AYU21" s="204"/>
      <c r="AYV21" s="204"/>
      <c r="AYW21" s="204"/>
      <c r="AYX21" s="204"/>
      <c r="AYY21" s="204"/>
      <c r="AYZ21" s="204"/>
      <c r="AZA21" s="204"/>
      <c r="AZB21" s="204"/>
      <c r="AZC21" s="204"/>
      <c r="AZD21" s="204"/>
      <c r="AZE21" s="204"/>
      <c r="AZF21" s="204"/>
      <c r="AZG21" s="204"/>
      <c r="AZH21" s="204"/>
      <c r="AZI21" s="204"/>
      <c r="AZJ21" s="204"/>
      <c r="AZK21" s="204"/>
      <c r="AZL21" s="204"/>
      <c r="AZM21" s="204"/>
      <c r="AZN21" s="204"/>
      <c r="AZO21" s="204"/>
      <c r="AZP21" s="204"/>
      <c r="AZQ21" s="204"/>
      <c r="AZR21" s="204"/>
      <c r="AZS21" s="204"/>
      <c r="AZT21" s="204"/>
      <c r="AZU21" s="204"/>
      <c r="AZV21" s="204"/>
      <c r="AZW21" s="204"/>
      <c r="AZX21" s="204"/>
      <c r="AZY21" s="204"/>
      <c r="AZZ21" s="204"/>
      <c r="BAA21" s="204"/>
      <c r="BAB21" s="204"/>
      <c r="BAC21" s="204"/>
      <c r="BAD21" s="204"/>
      <c r="BAE21" s="204"/>
      <c r="BAF21" s="204"/>
      <c r="BAG21" s="204"/>
      <c r="BAH21" s="204"/>
      <c r="BAI21" s="204"/>
      <c r="BAJ21" s="204"/>
      <c r="BAK21" s="204"/>
      <c r="BAL21" s="204"/>
      <c r="BAM21" s="204"/>
      <c r="BAN21" s="204"/>
      <c r="BAO21" s="204"/>
      <c r="BAP21" s="204"/>
      <c r="BAQ21" s="204"/>
      <c r="BAR21" s="204"/>
      <c r="BAS21" s="204"/>
      <c r="BAT21" s="204"/>
      <c r="BAU21" s="204"/>
      <c r="BAV21" s="204"/>
      <c r="BAW21" s="204"/>
      <c r="BAX21" s="204"/>
      <c r="BAY21" s="204"/>
      <c r="BAZ21" s="204"/>
      <c r="BBA21" s="204"/>
      <c r="BBB21" s="204"/>
      <c r="BBC21" s="204"/>
      <c r="BBD21" s="204"/>
      <c r="BBE21" s="204"/>
      <c r="BBF21" s="204"/>
      <c r="BBG21" s="204"/>
      <c r="BBH21" s="204"/>
      <c r="BBI21" s="204"/>
      <c r="BBJ21" s="204"/>
      <c r="BBK21" s="204"/>
      <c r="BBL21" s="204"/>
      <c r="BBM21" s="204"/>
      <c r="BBN21" s="204"/>
      <c r="BBO21" s="204"/>
      <c r="BBP21" s="204"/>
      <c r="BBQ21" s="204"/>
      <c r="BBR21" s="204"/>
      <c r="BBS21" s="204"/>
      <c r="BBT21" s="204"/>
      <c r="BBU21" s="204"/>
      <c r="BBV21" s="204"/>
      <c r="BBW21" s="204"/>
      <c r="BBX21" s="204"/>
      <c r="BBY21" s="204"/>
      <c r="BBZ21" s="204"/>
      <c r="BCA21" s="204"/>
      <c r="BCB21" s="204"/>
      <c r="BCC21" s="204"/>
      <c r="BCD21" s="204"/>
      <c r="BCE21" s="204"/>
      <c r="BCF21" s="204"/>
      <c r="BCG21" s="204"/>
      <c r="BCH21" s="204"/>
      <c r="BCI21" s="204"/>
      <c r="BCJ21" s="204"/>
      <c r="BCK21" s="204"/>
      <c r="BCL21" s="204"/>
      <c r="BCM21" s="204"/>
      <c r="BCN21" s="204"/>
      <c r="BCO21" s="204"/>
      <c r="BCP21" s="204"/>
      <c r="BCQ21" s="204"/>
      <c r="BCR21" s="204"/>
      <c r="BCS21" s="204"/>
      <c r="BCT21" s="204"/>
      <c r="BCU21" s="204"/>
      <c r="BCV21" s="204"/>
      <c r="BCW21" s="204"/>
      <c r="BCX21" s="204"/>
      <c r="BCY21" s="204"/>
      <c r="BCZ21" s="204"/>
      <c r="BDA21" s="204"/>
      <c r="BDB21" s="204"/>
      <c r="BDC21" s="204"/>
      <c r="BDD21" s="204"/>
      <c r="BDE21" s="204"/>
      <c r="BDF21" s="204"/>
      <c r="BDG21" s="204"/>
      <c r="BDH21" s="204"/>
      <c r="BDI21" s="204"/>
      <c r="BDJ21" s="204"/>
      <c r="BDK21" s="204"/>
      <c r="BDL21" s="204"/>
      <c r="BDM21" s="204"/>
      <c r="BDN21" s="204"/>
      <c r="BDO21" s="204"/>
      <c r="BDP21" s="204"/>
      <c r="BDQ21" s="204"/>
      <c r="BDR21" s="204"/>
      <c r="BDS21" s="204"/>
      <c r="BDT21" s="204"/>
      <c r="BDU21" s="204"/>
      <c r="BDV21" s="204"/>
      <c r="BDW21" s="204"/>
      <c r="BDX21" s="204"/>
      <c r="BDY21" s="204"/>
      <c r="BDZ21" s="204"/>
      <c r="BEA21" s="204"/>
      <c r="BEB21" s="204"/>
      <c r="BEC21" s="204"/>
      <c r="BED21" s="204"/>
      <c r="BEE21" s="204"/>
      <c r="BEF21" s="204"/>
      <c r="BEG21" s="204"/>
      <c r="BEH21" s="204"/>
      <c r="BEI21" s="204"/>
      <c r="BEJ21" s="204"/>
      <c r="BEK21" s="204"/>
      <c r="BEL21" s="204"/>
      <c r="BEM21" s="204"/>
      <c r="BEN21" s="204"/>
      <c r="BEO21" s="204"/>
      <c r="BEP21" s="204"/>
      <c r="BEQ21" s="204"/>
      <c r="BER21" s="204"/>
      <c r="BES21" s="204"/>
      <c r="BET21" s="204"/>
      <c r="BEU21" s="204"/>
      <c r="BEV21" s="204"/>
      <c r="BEW21" s="204"/>
      <c r="BEX21" s="204"/>
      <c r="BEY21" s="204"/>
      <c r="BEZ21" s="204"/>
      <c r="BFA21" s="204"/>
      <c r="BFB21" s="204"/>
      <c r="BFC21" s="204"/>
      <c r="BFD21" s="204"/>
      <c r="BFE21" s="204"/>
      <c r="BFF21" s="204"/>
      <c r="BFG21" s="204"/>
      <c r="BFH21" s="204"/>
      <c r="BFI21" s="204"/>
      <c r="BFJ21" s="204"/>
      <c r="BFK21" s="204"/>
      <c r="BFL21" s="204"/>
      <c r="BFM21" s="204"/>
      <c r="BFN21" s="204"/>
      <c r="BFO21" s="204"/>
      <c r="BFP21" s="204"/>
      <c r="BFQ21" s="204"/>
      <c r="BFR21" s="204"/>
      <c r="BFS21" s="204"/>
      <c r="BFT21" s="204"/>
      <c r="BFU21" s="204"/>
      <c r="BFV21" s="204"/>
      <c r="BFW21" s="204"/>
      <c r="BFX21" s="204"/>
      <c r="BFY21" s="204"/>
      <c r="BFZ21" s="204"/>
      <c r="BGA21" s="204"/>
      <c r="BGB21" s="204"/>
      <c r="BGC21" s="204"/>
      <c r="BGD21" s="204"/>
      <c r="BGE21" s="204"/>
      <c r="BGF21" s="204"/>
      <c r="BGG21" s="204"/>
      <c r="BGH21" s="204"/>
      <c r="BGI21" s="204"/>
      <c r="BGJ21" s="204"/>
      <c r="BGK21" s="204"/>
      <c r="BGL21" s="204"/>
      <c r="BGM21" s="204"/>
      <c r="BGN21" s="204"/>
      <c r="BGO21" s="204"/>
      <c r="BGP21" s="204"/>
      <c r="BGQ21" s="204"/>
      <c r="BGR21" s="204"/>
      <c r="BGS21" s="204"/>
      <c r="BGT21" s="204"/>
      <c r="BGU21" s="204"/>
      <c r="BGV21" s="204"/>
      <c r="BGW21" s="204"/>
      <c r="BGX21" s="204"/>
      <c r="BGY21" s="204"/>
      <c r="BGZ21" s="204"/>
      <c r="BHA21" s="204"/>
      <c r="BHB21" s="204"/>
      <c r="BHC21" s="204"/>
      <c r="BHD21" s="204"/>
      <c r="BHE21" s="204"/>
      <c r="BHF21" s="204"/>
      <c r="BHG21" s="204"/>
      <c r="BHH21" s="204"/>
      <c r="BHI21" s="204"/>
      <c r="BHJ21" s="204"/>
      <c r="BHK21" s="204"/>
      <c r="BHL21" s="204"/>
      <c r="BHM21" s="204"/>
      <c r="BHN21" s="204"/>
      <c r="BHO21" s="204"/>
      <c r="BHP21" s="204"/>
      <c r="BHQ21" s="204"/>
      <c r="BHR21" s="204"/>
      <c r="BHS21" s="204"/>
      <c r="BHT21" s="204"/>
      <c r="BHU21" s="204"/>
      <c r="BHV21" s="204"/>
      <c r="BHW21" s="204"/>
      <c r="BHX21" s="204"/>
      <c r="BHY21" s="204"/>
      <c r="BHZ21" s="204"/>
      <c r="BIA21" s="204"/>
      <c r="BIB21" s="204"/>
      <c r="BIC21" s="204"/>
      <c r="BID21" s="204"/>
      <c r="BIE21" s="204"/>
      <c r="BIF21" s="204"/>
      <c r="BIG21" s="204"/>
      <c r="BIH21" s="204"/>
      <c r="BII21" s="204"/>
      <c r="BIJ21" s="204"/>
      <c r="BIK21" s="204"/>
      <c r="BIL21" s="204"/>
      <c r="BIM21" s="204"/>
      <c r="BIN21" s="204"/>
      <c r="BIO21" s="204"/>
      <c r="BIP21" s="204"/>
      <c r="BIQ21" s="204"/>
      <c r="BIR21" s="204"/>
      <c r="BIS21" s="204"/>
      <c r="BIT21" s="204"/>
      <c r="BIU21" s="204"/>
      <c r="BIV21" s="204"/>
      <c r="BIW21" s="204"/>
      <c r="BIX21" s="204"/>
      <c r="BIY21" s="204"/>
      <c r="BIZ21" s="204"/>
      <c r="BJA21" s="204"/>
      <c r="BJB21" s="204"/>
      <c r="BJC21" s="204"/>
      <c r="BJD21" s="204"/>
      <c r="BJE21" s="204"/>
      <c r="BJF21" s="204"/>
      <c r="BJG21" s="204"/>
      <c r="BJH21" s="204"/>
      <c r="BJI21" s="204"/>
      <c r="BJJ21" s="204"/>
      <c r="BJK21" s="204"/>
      <c r="BJL21" s="204"/>
      <c r="BJM21" s="204"/>
      <c r="BJN21" s="204"/>
      <c r="BJO21" s="204"/>
      <c r="BJP21" s="204"/>
      <c r="BJQ21" s="204"/>
      <c r="BJR21" s="204"/>
      <c r="BJS21" s="204"/>
      <c r="BJT21" s="204"/>
      <c r="BJU21" s="204"/>
      <c r="BJV21" s="204"/>
      <c r="BJW21" s="204"/>
      <c r="BJX21" s="204"/>
      <c r="BJY21" s="204"/>
      <c r="BJZ21" s="204"/>
      <c r="BKA21" s="204"/>
      <c r="BKB21" s="204"/>
      <c r="BKC21" s="204"/>
      <c r="BKD21" s="204"/>
      <c r="BKE21" s="204"/>
      <c r="BKF21" s="204"/>
      <c r="BKG21" s="204"/>
      <c r="BKH21" s="204"/>
      <c r="BKI21" s="204"/>
      <c r="BKJ21" s="204"/>
      <c r="BKK21" s="204"/>
      <c r="BKL21" s="204"/>
      <c r="BKM21" s="204"/>
      <c r="BKN21" s="204"/>
      <c r="BKO21" s="204"/>
      <c r="BKP21" s="204"/>
      <c r="BKQ21" s="204"/>
      <c r="BKR21" s="204"/>
      <c r="BKS21" s="204"/>
      <c r="BKT21" s="204"/>
      <c r="BKU21" s="204"/>
      <c r="BKV21" s="204"/>
      <c r="BKW21" s="204"/>
      <c r="BKX21" s="204"/>
      <c r="BKY21" s="204"/>
      <c r="BKZ21" s="204"/>
      <c r="BLA21" s="204"/>
      <c r="BLB21" s="204"/>
      <c r="BLC21" s="204"/>
      <c r="BLD21" s="204"/>
      <c r="BLE21" s="204"/>
      <c r="BLF21" s="204"/>
      <c r="BLG21" s="204"/>
      <c r="BLH21" s="204"/>
      <c r="BLI21" s="204"/>
      <c r="BLJ21" s="204"/>
      <c r="BLK21" s="204"/>
      <c r="BLL21" s="204"/>
      <c r="BLM21" s="204"/>
      <c r="BLN21" s="204"/>
      <c r="BLO21" s="204"/>
      <c r="BLP21" s="204"/>
      <c r="BLQ21" s="204"/>
      <c r="BLR21" s="204"/>
      <c r="BLS21" s="204"/>
      <c r="BLT21" s="204"/>
      <c r="BLU21" s="204"/>
      <c r="BLV21" s="204"/>
      <c r="BLW21" s="204"/>
      <c r="BLX21" s="204"/>
      <c r="BLY21" s="204"/>
      <c r="BLZ21" s="204"/>
      <c r="BMA21" s="204"/>
      <c r="BMB21" s="204"/>
      <c r="BMC21" s="204"/>
      <c r="BMD21" s="204"/>
      <c r="BME21" s="204"/>
      <c r="BMF21" s="204"/>
      <c r="BMG21" s="204"/>
      <c r="BMH21" s="204"/>
      <c r="BMI21" s="204"/>
      <c r="BMJ21" s="204"/>
      <c r="BMK21" s="204"/>
      <c r="BML21" s="204"/>
      <c r="BMM21" s="204"/>
      <c r="BMN21" s="204"/>
      <c r="BMO21" s="204"/>
      <c r="BMP21" s="204"/>
      <c r="BMQ21" s="204"/>
      <c r="BMR21" s="204"/>
      <c r="BMS21" s="204"/>
      <c r="BMT21" s="204"/>
      <c r="BMU21" s="204"/>
      <c r="BMV21" s="204"/>
      <c r="BMW21" s="204"/>
      <c r="BMX21" s="204"/>
      <c r="BMY21" s="204"/>
      <c r="BMZ21" s="204"/>
      <c r="BNA21" s="204"/>
      <c r="BNB21" s="204"/>
      <c r="BNC21" s="204"/>
      <c r="BND21" s="204"/>
      <c r="BNE21" s="204"/>
      <c r="BNF21" s="204"/>
      <c r="BNG21" s="204"/>
      <c r="BNH21" s="204"/>
      <c r="BNI21" s="204"/>
      <c r="BNJ21" s="204"/>
      <c r="BNK21" s="204"/>
      <c r="BNL21" s="204"/>
      <c r="BNM21" s="204"/>
      <c r="BNN21" s="204"/>
      <c r="BNO21" s="204"/>
      <c r="BNP21" s="204"/>
      <c r="BNQ21" s="204"/>
      <c r="BNR21" s="204"/>
      <c r="BNS21" s="204"/>
      <c r="BNT21" s="204"/>
      <c r="BNU21" s="204"/>
      <c r="BNV21" s="204"/>
      <c r="BNW21" s="204"/>
      <c r="BNX21" s="204"/>
      <c r="BNY21" s="204"/>
      <c r="BNZ21" s="204"/>
      <c r="BOA21" s="204"/>
      <c r="BOB21" s="204"/>
      <c r="BOC21" s="204"/>
      <c r="BOD21" s="204"/>
      <c r="BOE21" s="204"/>
      <c r="BOF21" s="204"/>
      <c r="BOG21" s="204"/>
      <c r="BOH21" s="204"/>
      <c r="BOI21" s="204"/>
      <c r="BOJ21" s="204"/>
      <c r="BOK21" s="204"/>
      <c r="BOL21" s="204"/>
      <c r="BOM21" s="204"/>
      <c r="BON21" s="204"/>
      <c r="BOO21" s="204"/>
      <c r="BOP21" s="204"/>
      <c r="BOQ21" s="204"/>
      <c r="BOR21" s="204"/>
      <c r="BOS21" s="204"/>
      <c r="BOT21" s="204"/>
      <c r="BOU21" s="204"/>
      <c r="BOV21" s="204"/>
      <c r="BOW21" s="204"/>
      <c r="BOX21" s="204"/>
      <c r="BOY21" s="204"/>
      <c r="BOZ21" s="204"/>
      <c r="BPA21" s="204"/>
      <c r="BPB21" s="204"/>
      <c r="BPC21" s="204"/>
      <c r="BPD21" s="204"/>
      <c r="BPE21" s="204"/>
      <c r="BPF21" s="204"/>
      <c r="BPG21" s="204"/>
      <c r="BPH21" s="204"/>
      <c r="BPI21" s="204"/>
      <c r="BPJ21" s="204"/>
      <c r="BPK21" s="204"/>
      <c r="BPL21" s="204"/>
      <c r="BPM21" s="204"/>
      <c r="BPN21" s="204"/>
      <c r="BPO21" s="204"/>
      <c r="BPP21" s="204"/>
      <c r="BPQ21" s="204"/>
      <c r="BPR21" s="204"/>
      <c r="BPS21" s="204"/>
      <c r="BPT21" s="204"/>
      <c r="BPU21" s="204"/>
      <c r="BPV21" s="204"/>
      <c r="BPW21" s="204"/>
      <c r="BPX21" s="204"/>
      <c r="BPY21" s="204"/>
      <c r="BPZ21" s="204"/>
      <c r="BQA21" s="204"/>
      <c r="BQB21" s="204"/>
      <c r="BQC21" s="204"/>
      <c r="BQD21" s="204"/>
      <c r="BQE21" s="204"/>
      <c r="BQF21" s="204"/>
      <c r="BQG21" s="204"/>
      <c r="BQH21" s="204"/>
      <c r="BQI21" s="204"/>
      <c r="BQJ21" s="204"/>
      <c r="BQK21" s="204"/>
      <c r="BQL21" s="204"/>
      <c r="BQM21" s="204"/>
      <c r="BQN21" s="204"/>
      <c r="BQO21" s="204"/>
      <c r="BQP21" s="204"/>
      <c r="BQQ21" s="204"/>
      <c r="BQR21" s="204"/>
      <c r="BQS21" s="204"/>
      <c r="BQT21" s="204"/>
      <c r="BQU21" s="204"/>
      <c r="BQV21" s="204"/>
      <c r="BQW21" s="204"/>
      <c r="BQX21" s="204"/>
      <c r="BQY21" s="204"/>
      <c r="BQZ21" s="204"/>
      <c r="BRA21" s="204"/>
      <c r="BRB21" s="204"/>
      <c r="BRC21" s="204"/>
      <c r="BRD21" s="204"/>
      <c r="BRE21" s="204"/>
      <c r="BRF21" s="204"/>
      <c r="BRG21" s="204"/>
      <c r="BRH21" s="204"/>
      <c r="BRI21" s="204"/>
      <c r="BRJ21" s="204"/>
      <c r="BRK21" s="204"/>
      <c r="BRL21" s="204"/>
      <c r="BRM21" s="204"/>
      <c r="BRN21" s="204"/>
      <c r="BRO21" s="204"/>
      <c r="BRP21" s="204"/>
      <c r="BRQ21" s="204"/>
      <c r="BRR21" s="204"/>
      <c r="BRS21" s="204"/>
      <c r="BRT21" s="204"/>
      <c r="BRU21" s="204"/>
      <c r="BRV21" s="204"/>
      <c r="BRW21" s="204"/>
      <c r="BRX21" s="204"/>
      <c r="BRY21" s="204"/>
      <c r="BRZ21" s="204"/>
      <c r="BSA21" s="204"/>
      <c r="BSB21" s="204"/>
      <c r="BSC21" s="204"/>
      <c r="BSD21" s="204"/>
      <c r="BSE21" s="204"/>
      <c r="BSF21" s="204"/>
      <c r="BSG21" s="204"/>
      <c r="BSH21" s="204"/>
      <c r="BSI21" s="204"/>
      <c r="BSJ21" s="204"/>
      <c r="BSK21" s="204"/>
      <c r="BSL21" s="204"/>
      <c r="BSM21" s="204"/>
      <c r="BSN21" s="204"/>
      <c r="BSO21" s="204"/>
      <c r="BSP21" s="204"/>
      <c r="BSQ21" s="204"/>
      <c r="BSR21" s="204"/>
      <c r="BSS21" s="204"/>
      <c r="BST21" s="204"/>
      <c r="BSU21" s="204"/>
      <c r="BSV21" s="204"/>
      <c r="BSW21" s="204"/>
      <c r="BSX21" s="204"/>
      <c r="BSY21" s="204"/>
      <c r="BSZ21" s="204"/>
      <c r="BTA21" s="204"/>
      <c r="BTB21" s="204"/>
      <c r="BTC21" s="204"/>
      <c r="BTD21" s="204"/>
      <c r="BTE21" s="204"/>
      <c r="BTF21" s="204"/>
      <c r="BTG21" s="204"/>
      <c r="BTH21" s="204"/>
      <c r="BTI21" s="204"/>
      <c r="BTJ21" s="204"/>
      <c r="BTK21" s="204"/>
      <c r="BTL21" s="204"/>
      <c r="BTM21" s="204"/>
      <c r="BTN21" s="204"/>
      <c r="BTO21" s="204"/>
      <c r="BTP21" s="204"/>
      <c r="BTQ21" s="204"/>
      <c r="BTR21" s="204"/>
      <c r="BTS21" s="204"/>
      <c r="BTT21" s="204"/>
      <c r="BTU21" s="204"/>
      <c r="BTV21" s="204"/>
      <c r="BTW21" s="204"/>
      <c r="BTX21" s="204"/>
      <c r="BTY21" s="204"/>
      <c r="BTZ21" s="204"/>
      <c r="BUA21" s="204"/>
      <c r="BUB21" s="204"/>
      <c r="BUC21" s="204"/>
      <c r="BUD21" s="204"/>
      <c r="BUE21" s="204"/>
      <c r="BUF21" s="204"/>
      <c r="BUG21" s="204"/>
      <c r="BUH21" s="204"/>
      <c r="BUI21" s="204"/>
      <c r="BUJ21" s="204"/>
      <c r="BUK21" s="204"/>
      <c r="BUL21" s="204"/>
      <c r="BUM21" s="204"/>
      <c r="BUN21" s="204"/>
      <c r="BUO21" s="204"/>
      <c r="BUP21" s="204"/>
      <c r="BUQ21" s="204"/>
      <c r="BUR21" s="204"/>
      <c r="BUS21" s="204"/>
      <c r="BUT21" s="204"/>
      <c r="BUU21" s="204"/>
      <c r="BUV21" s="204"/>
      <c r="BUW21" s="204"/>
      <c r="BUX21" s="204"/>
      <c r="BUY21" s="204"/>
      <c r="BUZ21" s="204"/>
      <c r="BVA21" s="204"/>
      <c r="BVB21" s="204"/>
      <c r="BVC21" s="204"/>
      <c r="BVD21" s="204"/>
      <c r="BVE21" s="204"/>
      <c r="BVF21" s="204"/>
      <c r="BVG21" s="204"/>
      <c r="BVH21" s="204"/>
      <c r="BVI21" s="204"/>
      <c r="BVJ21" s="204"/>
      <c r="BVK21" s="204"/>
      <c r="BVL21" s="204"/>
      <c r="BVM21" s="204"/>
      <c r="BVN21" s="204"/>
      <c r="BVO21" s="204"/>
      <c r="BVP21" s="204"/>
      <c r="BVQ21" s="204"/>
      <c r="BVR21" s="204"/>
      <c r="BVS21" s="204"/>
      <c r="BVT21" s="204"/>
      <c r="BVU21" s="204"/>
      <c r="BVV21" s="204"/>
      <c r="BVW21" s="204"/>
      <c r="BVX21" s="204"/>
      <c r="BVY21" s="204"/>
      <c r="BVZ21" s="204"/>
      <c r="BWA21" s="204"/>
      <c r="BWB21" s="204"/>
      <c r="BWC21" s="204"/>
      <c r="BWD21" s="204"/>
      <c r="BWE21" s="204"/>
      <c r="BWF21" s="204"/>
      <c r="BWG21" s="204"/>
      <c r="BWH21" s="204"/>
      <c r="BWI21" s="204"/>
      <c r="BWJ21" s="204"/>
      <c r="BWK21" s="204"/>
      <c r="BWL21" s="204"/>
      <c r="BWM21" s="204"/>
      <c r="BWN21" s="204"/>
      <c r="BWO21" s="204"/>
      <c r="BWP21" s="204"/>
      <c r="BWQ21" s="204"/>
      <c r="BWR21" s="204"/>
      <c r="BWS21" s="204"/>
      <c r="BWT21" s="204"/>
      <c r="BWU21" s="204"/>
      <c r="BWV21" s="204"/>
      <c r="BWW21" s="204"/>
      <c r="BWX21" s="204"/>
      <c r="BWY21" s="204"/>
      <c r="BWZ21" s="204"/>
      <c r="BXA21" s="204"/>
      <c r="BXB21" s="204"/>
      <c r="BXC21" s="204"/>
      <c r="BXD21" s="204"/>
      <c r="BXE21" s="204"/>
      <c r="BXF21" s="204"/>
      <c r="BXG21" s="204"/>
      <c r="BXH21" s="204"/>
      <c r="BXI21" s="204"/>
      <c r="BXJ21" s="204"/>
      <c r="BXK21" s="204"/>
      <c r="BXL21" s="204"/>
      <c r="BXM21" s="204"/>
      <c r="BXN21" s="204"/>
      <c r="BXO21" s="204"/>
      <c r="BXP21" s="204"/>
      <c r="BXQ21" s="204"/>
      <c r="BXR21" s="204"/>
      <c r="BXS21" s="204"/>
      <c r="BXT21" s="204"/>
      <c r="BXU21" s="204"/>
      <c r="BXV21" s="204"/>
      <c r="BXW21" s="204"/>
      <c r="BXX21" s="204"/>
      <c r="BXY21" s="204"/>
      <c r="BXZ21" s="204"/>
      <c r="BYA21" s="204"/>
      <c r="BYB21" s="204"/>
      <c r="BYC21" s="204"/>
      <c r="BYD21" s="204"/>
      <c r="BYE21" s="204"/>
      <c r="BYF21" s="204"/>
      <c r="BYG21" s="204"/>
      <c r="BYH21" s="204"/>
      <c r="BYI21" s="204"/>
      <c r="BYJ21" s="204"/>
      <c r="BYK21" s="204"/>
      <c r="BYL21" s="204"/>
      <c r="BYM21" s="204"/>
      <c r="BYN21" s="204"/>
      <c r="BYO21" s="204"/>
      <c r="BYP21" s="204"/>
      <c r="BYQ21" s="204"/>
      <c r="BYR21" s="204"/>
      <c r="BYS21" s="204"/>
      <c r="BYT21" s="204"/>
      <c r="BYU21" s="204"/>
      <c r="BYV21" s="204"/>
      <c r="BYW21" s="204"/>
      <c r="BYX21" s="204"/>
      <c r="BYY21" s="204"/>
      <c r="BYZ21" s="204"/>
      <c r="BZA21" s="204"/>
      <c r="BZB21" s="204"/>
      <c r="BZC21" s="204"/>
      <c r="BZD21" s="204"/>
      <c r="BZE21" s="204"/>
      <c r="BZF21" s="204"/>
      <c r="BZG21" s="204"/>
      <c r="BZH21" s="204"/>
      <c r="BZI21" s="204"/>
      <c r="BZJ21" s="204"/>
      <c r="BZK21" s="204"/>
      <c r="BZL21" s="204"/>
      <c r="BZM21" s="204"/>
      <c r="BZN21" s="204"/>
      <c r="BZO21" s="204"/>
      <c r="BZP21" s="204"/>
      <c r="BZQ21" s="204"/>
      <c r="BZR21" s="204"/>
      <c r="BZS21" s="204"/>
      <c r="BZT21" s="204"/>
      <c r="BZU21" s="204"/>
      <c r="BZV21" s="204"/>
      <c r="BZW21" s="204"/>
      <c r="BZX21" s="204"/>
      <c r="BZY21" s="204"/>
      <c r="BZZ21" s="204"/>
      <c r="CAA21" s="204"/>
      <c r="CAB21" s="204"/>
      <c r="CAC21" s="204"/>
      <c r="CAD21" s="204"/>
      <c r="CAE21" s="204"/>
      <c r="CAF21" s="204"/>
      <c r="CAG21" s="204"/>
      <c r="CAH21" s="204"/>
      <c r="CAI21" s="204"/>
      <c r="CAJ21" s="204"/>
      <c r="CAK21" s="204"/>
      <c r="CAL21" s="204"/>
      <c r="CAM21" s="204"/>
      <c r="CAN21" s="204"/>
      <c r="CAO21" s="204"/>
      <c r="CAP21" s="204"/>
      <c r="CAQ21" s="204"/>
      <c r="CAR21" s="204"/>
      <c r="CAS21" s="204"/>
      <c r="CAT21" s="204"/>
      <c r="CAU21" s="204"/>
      <c r="CAV21" s="204"/>
      <c r="CAW21" s="204"/>
      <c r="CAX21" s="204"/>
      <c r="CAY21" s="204"/>
      <c r="CAZ21" s="204"/>
      <c r="CBA21" s="204"/>
      <c r="CBB21" s="204"/>
      <c r="CBC21" s="204"/>
      <c r="CBD21" s="204"/>
      <c r="CBE21" s="204"/>
      <c r="CBF21" s="204"/>
      <c r="CBG21" s="204"/>
      <c r="CBH21" s="204"/>
      <c r="CBI21" s="204"/>
      <c r="CBJ21" s="204"/>
      <c r="CBK21" s="204"/>
      <c r="CBL21" s="204"/>
      <c r="CBM21" s="204"/>
      <c r="CBN21" s="204"/>
      <c r="CBO21" s="204"/>
      <c r="CBP21" s="204"/>
      <c r="CBQ21" s="204"/>
      <c r="CBR21" s="204"/>
      <c r="CBS21" s="204"/>
      <c r="CBT21" s="204"/>
      <c r="CBU21" s="204"/>
      <c r="CBV21" s="204"/>
      <c r="CBW21" s="204"/>
      <c r="CBX21" s="204"/>
      <c r="CBY21" s="204"/>
      <c r="CBZ21" s="204"/>
      <c r="CCA21" s="204"/>
      <c r="CCB21" s="204"/>
      <c r="CCC21" s="204"/>
      <c r="CCD21" s="204"/>
      <c r="CCE21" s="204"/>
      <c r="CCF21" s="204"/>
      <c r="CCG21" s="204"/>
      <c r="CCH21" s="204"/>
      <c r="CCI21" s="204"/>
      <c r="CCJ21" s="204"/>
      <c r="CCK21" s="204"/>
      <c r="CCL21" s="204"/>
      <c r="CCM21" s="204"/>
      <c r="CCN21" s="204"/>
      <c r="CCO21" s="204"/>
      <c r="CCP21" s="204"/>
      <c r="CCQ21" s="204"/>
      <c r="CCR21" s="204"/>
      <c r="CCS21" s="204"/>
      <c r="CCT21" s="204"/>
      <c r="CCU21" s="204"/>
      <c r="CCV21" s="204"/>
      <c r="CCW21" s="204"/>
      <c r="CCX21" s="204"/>
      <c r="CCY21" s="204"/>
      <c r="CCZ21" s="204"/>
      <c r="CDA21" s="204"/>
      <c r="CDB21" s="204"/>
      <c r="CDC21" s="204"/>
      <c r="CDD21" s="204"/>
      <c r="CDE21" s="204"/>
      <c r="CDF21" s="204"/>
      <c r="CDG21" s="204"/>
      <c r="CDH21" s="204"/>
      <c r="CDI21" s="204"/>
      <c r="CDJ21" s="204"/>
      <c r="CDK21" s="204"/>
      <c r="CDL21" s="204"/>
      <c r="CDM21" s="204"/>
      <c r="CDN21" s="204"/>
      <c r="CDO21" s="204"/>
      <c r="CDP21" s="204"/>
      <c r="CDQ21" s="204"/>
      <c r="CDR21" s="204"/>
      <c r="CDS21" s="204"/>
      <c r="CDT21" s="204"/>
      <c r="CDU21" s="204"/>
      <c r="CDV21" s="204"/>
      <c r="CDW21" s="204"/>
      <c r="CDX21" s="204"/>
      <c r="CDY21" s="204"/>
      <c r="CDZ21" s="204"/>
      <c r="CEA21" s="204"/>
      <c r="CEB21" s="204"/>
      <c r="CEC21" s="204"/>
      <c r="CED21" s="204"/>
      <c r="CEE21" s="204"/>
      <c r="CEF21" s="204"/>
      <c r="CEG21" s="204"/>
      <c r="CEH21" s="204"/>
      <c r="CEI21" s="204"/>
      <c r="CEJ21" s="204"/>
      <c r="CEK21" s="204"/>
      <c r="CEL21" s="204"/>
      <c r="CEM21" s="204"/>
      <c r="CEN21" s="204"/>
      <c r="CEO21" s="204"/>
      <c r="CEP21" s="204"/>
      <c r="CEQ21" s="204"/>
      <c r="CER21" s="204"/>
      <c r="CES21" s="204"/>
      <c r="CET21" s="204"/>
      <c r="CEU21" s="204"/>
      <c r="CEV21" s="204"/>
      <c r="CEW21" s="204"/>
      <c r="CEX21" s="204"/>
      <c r="CEY21" s="204"/>
      <c r="CEZ21" s="204"/>
      <c r="CFA21" s="204"/>
      <c r="CFB21" s="204"/>
      <c r="CFC21" s="204"/>
      <c r="CFD21" s="204"/>
      <c r="CFE21" s="204"/>
      <c r="CFF21" s="204"/>
      <c r="CFG21" s="204"/>
      <c r="CFH21" s="204"/>
      <c r="CFI21" s="204"/>
      <c r="CFJ21" s="204"/>
      <c r="CFK21" s="204"/>
      <c r="CFL21" s="204"/>
      <c r="CFM21" s="204"/>
      <c r="CFN21" s="204"/>
      <c r="CFO21" s="204"/>
      <c r="CFP21" s="204"/>
      <c r="CFQ21" s="204"/>
      <c r="CFR21" s="204"/>
      <c r="CFS21" s="204"/>
      <c r="CFT21" s="204"/>
      <c r="CFU21" s="204"/>
      <c r="CFV21" s="204"/>
      <c r="CFW21" s="204"/>
      <c r="CFX21" s="204"/>
      <c r="CFY21" s="204"/>
      <c r="CFZ21" s="204"/>
      <c r="CGA21" s="204"/>
      <c r="CGB21" s="204"/>
      <c r="CGC21" s="204"/>
      <c r="CGD21" s="204"/>
      <c r="CGE21" s="204"/>
      <c r="CGF21" s="204"/>
      <c r="CGG21" s="204"/>
      <c r="CGH21" s="204"/>
      <c r="CGI21" s="204"/>
      <c r="CGJ21" s="204"/>
      <c r="CGK21" s="204"/>
      <c r="CGL21" s="204"/>
      <c r="CGM21" s="204"/>
      <c r="CGN21" s="204"/>
      <c r="CGO21" s="204"/>
      <c r="CGP21" s="204"/>
      <c r="CGQ21" s="204"/>
      <c r="CGR21" s="204"/>
      <c r="CGS21" s="204"/>
      <c r="CGT21" s="204"/>
      <c r="CGU21" s="204"/>
      <c r="CGV21" s="204"/>
      <c r="CGW21" s="204"/>
      <c r="CGX21" s="204"/>
      <c r="CGY21" s="204"/>
      <c r="CGZ21" s="204"/>
      <c r="CHA21" s="204"/>
      <c r="CHB21" s="204"/>
      <c r="CHC21" s="204"/>
      <c r="CHD21" s="204"/>
      <c r="CHE21" s="204"/>
      <c r="CHF21" s="204"/>
      <c r="CHG21" s="204"/>
      <c r="CHH21" s="204"/>
      <c r="CHI21" s="204"/>
      <c r="CHJ21" s="204"/>
      <c r="CHK21" s="204"/>
      <c r="CHL21" s="204"/>
      <c r="CHM21" s="204"/>
      <c r="CHN21" s="204"/>
      <c r="CHO21" s="204"/>
      <c r="CHP21" s="204"/>
      <c r="CHQ21" s="204"/>
      <c r="CHR21" s="204"/>
      <c r="CHS21" s="204"/>
      <c r="CHT21" s="204"/>
      <c r="CHU21" s="204"/>
      <c r="CHV21" s="204"/>
      <c r="CHW21" s="204"/>
      <c r="CHX21" s="204"/>
      <c r="CHY21" s="204"/>
      <c r="CHZ21" s="204"/>
      <c r="CIA21" s="204"/>
      <c r="CIB21" s="204"/>
      <c r="CIC21" s="204"/>
      <c r="CID21" s="204"/>
      <c r="CIE21" s="204"/>
      <c r="CIF21" s="204"/>
      <c r="CIG21" s="204"/>
      <c r="CIH21" s="204"/>
      <c r="CII21" s="204"/>
      <c r="CIJ21" s="204"/>
      <c r="CIK21" s="204"/>
      <c r="CIL21" s="204"/>
      <c r="CIM21" s="204"/>
      <c r="CIN21" s="204"/>
      <c r="CIO21" s="204"/>
      <c r="CIP21" s="204"/>
      <c r="CIQ21" s="204"/>
      <c r="CIR21" s="204"/>
      <c r="CIS21" s="204"/>
      <c r="CIT21" s="204"/>
      <c r="CIU21" s="204"/>
      <c r="CIV21" s="204"/>
      <c r="CIW21" s="204"/>
      <c r="CIX21" s="204"/>
      <c r="CIY21" s="204"/>
      <c r="CIZ21" s="204"/>
      <c r="CJA21" s="204"/>
      <c r="CJB21" s="204"/>
      <c r="CJC21" s="204"/>
      <c r="CJD21" s="204"/>
      <c r="CJE21" s="204"/>
      <c r="CJF21" s="204"/>
      <c r="CJG21" s="204"/>
      <c r="CJH21" s="204"/>
      <c r="CJI21" s="204"/>
      <c r="CJJ21" s="204"/>
      <c r="CJK21" s="204"/>
      <c r="CJL21" s="204"/>
      <c r="CJM21" s="204"/>
      <c r="CJN21" s="204"/>
      <c r="CJO21" s="204"/>
      <c r="CJP21" s="204"/>
      <c r="CJQ21" s="204"/>
      <c r="CJR21" s="204"/>
      <c r="CJS21" s="204"/>
      <c r="CJT21" s="204"/>
      <c r="CJU21" s="204"/>
      <c r="CJV21" s="204"/>
      <c r="CJW21" s="204"/>
      <c r="CJX21" s="204"/>
      <c r="CJY21" s="204"/>
      <c r="CJZ21" s="204"/>
      <c r="CKA21" s="204"/>
      <c r="CKB21" s="204"/>
      <c r="CKC21" s="204"/>
      <c r="CKD21" s="204"/>
      <c r="CKE21" s="204"/>
      <c r="CKF21" s="204"/>
      <c r="CKG21" s="204"/>
      <c r="CKH21" s="204"/>
      <c r="CKI21" s="204"/>
      <c r="CKJ21" s="204"/>
      <c r="CKK21" s="204"/>
      <c r="CKL21" s="204"/>
      <c r="CKM21" s="204"/>
      <c r="CKN21" s="204"/>
      <c r="CKO21" s="204"/>
      <c r="CKP21" s="204"/>
      <c r="CKQ21" s="204"/>
      <c r="CKR21" s="204"/>
      <c r="CKS21" s="204"/>
      <c r="CKT21" s="204"/>
      <c r="CKU21" s="204"/>
      <c r="CKV21" s="204"/>
      <c r="CKW21" s="204"/>
      <c r="CKX21" s="204"/>
      <c r="CKY21" s="204"/>
      <c r="CKZ21" s="204"/>
      <c r="CLA21" s="204"/>
      <c r="CLB21" s="204"/>
      <c r="CLC21" s="204"/>
      <c r="CLD21" s="204"/>
      <c r="CLE21" s="204"/>
      <c r="CLF21" s="204"/>
      <c r="CLG21" s="204"/>
      <c r="CLH21" s="204"/>
      <c r="CLI21" s="204"/>
      <c r="CLJ21" s="204"/>
      <c r="CLK21" s="204"/>
      <c r="CLL21" s="204"/>
      <c r="CLM21" s="204"/>
      <c r="CLN21" s="204"/>
      <c r="CLO21" s="204"/>
      <c r="CLP21" s="204"/>
      <c r="CLQ21" s="204"/>
      <c r="CLR21" s="204"/>
      <c r="CLS21" s="204"/>
      <c r="CLT21" s="204"/>
      <c r="CLU21" s="204"/>
      <c r="CLV21" s="204"/>
      <c r="CLW21" s="204"/>
      <c r="CLX21" s="204"/>
      <c r="CLY21" s="204"/>
      <c r="CLZ21" s="204"/>
      <c r="CMA21" s="204"/>
      <c r="CMB21" s="204"/>
      <c r="CMC21" s="204"/>
      <c r="CMD21" s="204"/>
      <c r="CME21" s="204"/>
      <c r="CMF21" s="204"/>
      <c r="CMG21" s="204"/>
      <c r="CMH21" s="204"/>
      <c r="CMI21" s="204"/>
      <c r="CMJ21" s="204"/>
      <c r="CMK21" s="204"/>
      <c r="CML21" s="204"/>
      <c r="CMM21" s="204"/>
      <c r="CMN21" s="204"/>
      <c r="CMO21" s="204"/>
      <c r="CMP21" s="204"/>
      <c r="CMQ21" s="204"/>
      <c r="CMR21" s="204"/>
      <c r="CMS21" s="204"/>
      <c r="CMT21" s="204"/>
      <c r="CMU21" s="204"/>
      <c r="CMV21" s="204"/>
      <c r="CMW21" s="204"/>
      <c r="CMX21" s="204"/>
      <c r="CMY21" s="204"/>
      <c r="CMZ21" s="204"/>
      <c r="CNA21" s="204"/>
      <c r="CNB21" s="204"/>
      <c r="CNC21" s="204"/>
      <c r="CND21" s="204"/>
      <c r="CNE21" s="204"/>
      <c r="CNF21" s="204"/>
      <c r="CNG21" s="204"/>
      <c r="CNH21" s="204"/>
      <c r="CNI21" s="204"/>
      <c r="CNJ21" s="204"/>
      <c r="CNK21" s="204"/>
      <c r="CNL21" s="204"/>
      <c r="CNM21" s="204"/>
      <c r="CNN21" s="204"/>
      <c r="CNO21" s="204"/>
      <c r="CNP21" s="204"/>
      <c r="CNQ21" s="204"/>
      <c r="CNR21" s="204"/>
      <c r="CNS21" s="204"/>
      <c r="CNT21" s="204"/>
      <c r="CNU21" s="204"/>
      <c r="CNV21" s="204"/>
      <c r="CNW21" s="204"/>
      <c r="CNX21" s="204"/>
      <c r="CNY21" s="204"/>
      <c r="CNZ21" s="204"/>
      <c r="COA21" s="204"/>
      <c r="COB21" s="204"/>
      <c r="COC21" s="204"/>
      <c r="COD21" s="204"/>
      <c r="COE21" s="204"/>
      <c r="COF21" s="204"/>
      <c r="COG21" s="204"/>
      <c r="COH21" s="204"/>
      <c r="COI21" s="204"/>
      <c r="COJ21" s="204"/>
      <c r="COK21" s="204"/>
      <c r="COL21" s="204"/>
      <c r="COM21" s="204"/>
      <c r="CON21" s="204"/>
      <c r="COO21" s="204"/>
      <c r="COP21" s="204"/>
      <c r="COQ21" s="204"/>
      <c r="COR21" s="204"/>
      <c r="COS21" s="204"/>
      <c r="COT21" s="204"/>
      <c r="COU21" s="204"/>
      <c r="COV21" s="204"/>
      <c r="COW21" s="204"/>
      <c r="COX21" s="204"/>
      <c r="COY21" s="204"/>
      <c r="COZ21" s="204"/>
      <c r="CPA21" s="204"/>
      <c r="CPB21" s="204"/>
      <c r="CPC21" s="204"/>
      <c r="CPD21" s="204"/>
      <c r="CPE21" s="204"/>
      <c r="CPF21" s="204"/>
      <c r="CPG21" s="204"/>
      <c r="CPH21" s="204"/>
      <c r="CPI21" s="204"/>
      <c r="CPJ21" s="204"/>
      <c r="CPK21" s="204"/>
      <c r="CPL21" s="204"/>
      <c r="CPM21" s="204"/>
      <c r="CPN21" s="204"/>
      <c r="CPO21" s="204"/>
      <c r="CPP21" s="204"/>
      <c r="CPQ21" s="204"/>
      <c r="CPR21" s="204"/>
      <c r="CPS21" s="204"/>
      <c r="CPT21" s="204"/>
      <c r="CPU21" s="204"/>
      <c r="CPV21" s="204"/>
      <c r="CPW21" s="204"/>
      <c r="CPX21" s="204"/>
      <c r="CPY21" s="204"/>
      <c r="CPZ21" s="204"/>
      <c r="CQA21" s="204"/>
      <c r="CQB21" s="204"/>
      <c r="CQC21" s="204"/>
      <c r="CQD21" s="204"/>
      <c r="CQE21" s="204"/>
      <c r="CQF21" s="204"/>
      <c r="CQG21" s="204"/>
      <c r="CQH21" s="204"/>
      <c r="CQI21" s="204"/>
      <c r="CQJ21" s="204"/>
      <c r="CQK21" s="204"/>
      <c r="CQL21" s="204"/>
      <c r="CQM21" s="204"/>
      <c r="CQN21" s="204"/>
      <c r="CQO21" s="204"/>
      <c r="CQP21" s="204"/>
      <c r="CQQ21" s="204"/>
      <c r="CQR21" s="204"/>
      <c r="CQS21" s="204"/>
      <c r="CQT21" s="204"/>
      <c r="CQU21" s="204"/>
      <c r="CQV21" s="204"/>
      <c r="CQW21" s="204"/>
      <c r="CQX21" s="204"/>
      <c r="CQY21" s="204"/>
      <c r="CQZ21" s="204"/>
      <c r="CRA21" s="204"/>
      <c r="CRB21" s="204"/>
      <c r="CRC21" s="204"/>
      <c r="CRD21" s="204"/>
      <c r="CRE21" s="204"/>
      <c r="CRF21" s="204"/>
      <c r="CRG21" s="204"/>
      <c r="CRH21" s="204"/>
      <c r="CRI21" s="204"/>
      <c r="CRJ21" s="204"/>
      <c r="CRK21" s="204"/>
      <c r="CRL21" s="204"/>
      <c r="CRM21" s="204"/>
      <c r="CRN21" s="204"/>
      <c r="CRO21" s="204"/>
      <c r="CRP21" s="204"/>
      <c r="CRQ21" s="204"/>
      <c r="CRR21" s="204"/>
      <c r="CRS21" s="204"/>
      <c r="CRT21" s="204"/>
      <c r="CRU21" s="204"/>
      <c r="CRV21" s="204"/>
      <c r="CRW21" s="204"/>
      <c r="CRX21" s="204"/>
      <c r="CRY21" s="204"/>
      <c r="CRZ21" s="204"/>
      <c r="CSA21" s="204"/>
      <c r="CSB21" s="204"/>
      <c r="CSC21" s="204"/>
      <c r="CSD21" s="204"/>
      <c r="CSE21" s="204"/>
      <c r="CSF21" s="204"/>
      <c r="CSG21" s="204"/>
      <c r="CSH21" s="204"/>
      <c r="CSI21" s="204"/>
      <c r="CSJ21" s="204"/>
      <c r="CSK21" s="204"/>
      <c r="CSL21" s="204"/>
      <c r="CSM21" s="204"/>
      <c r="CSN21" s="204"/>
      <c r="CSO21" s="204"/>
      <c r="CSP21" s="204"/>
      <c r="CSQ21" s="204"/>
      <c r="CSR21" s="204"/>
      <c r="CSS21" s="204"/>
      <c r="CST21" s="204"/>
      <c r="CSU21" s="204"/>
      <c r="CSV21" s="204"/>
      <c r="CSW21" s="204"/>
      <c r="CSX21" s="204"/>
      <c r="CSY21" s="204"/>
      <c r="CSZ21" s="204"/>
      <c r="CTA21" s="204"/>
      <c r="CTB21" s="204"/>
      <c r="CTC21" s="204"/>
      <c r="CTD21" s="204"/>
      <c r="CTE21" s="204"/>
      <c r="CTF21" s="204"/>
      <c r="CTG21" s="204"/>
      <c r="CTH21" s="204"/>
      <c r="CTI21" s="204"/>
      <c r="CTJ21" s="204"/>
      <c r="CTK21" s="204"/>
      <c r="CTL21" s="204"/>
      <c r="CTM21" s="204"/>
      <c r="CTN21" s="204"/>
      <c r="CTO21" s="204"/>
      <c r="CTP21" s="204"/>
      <c r="CTQ21" s="204"/>
      <c r="CTR21" s="204"/>
      <c r="CTS21" s="204"/>
      <c r="CTT21" s="204"/>
      <c r="CTU21" s="204"/>
      <c r="CTV21" s="204"/>
      <c r="CTW21" s="204"/>
      <c r="CTX21" s="204"/>
      <c r="CTY21" s="204"/>
      <c r="CTZ21" s="204"/>
      <c r="CUA21" s="204"/>
      <c r="CUB21" s="204"/>
      <c r="CUC21" s="204"/>
      <c r="CUD21" s="204"/>
      <c r="CUE21" s="204"/>
      <c r="CUF21" s="204"/>
      <c r="CUG21" s="204"/>
      <c r="CUH21" s="204"/>
      <c r="CUI21" s="204"/>
      <c r="CUJ21" s="204"/>
      <c r="CUK21" s="204"/>
      <c r="CUL21" s="204"/>
      <c r="CUM21" s="204"/>
      <c r="CUN21" s="204"/>
      <c r="CUO21" s="204"/>
      <c r="CUP21" s="204"/>
      <c r="CUQ21" s="204"/>
      <c r="CUR21" s="204"/>
      <c r="CUS21" s="204"/>
      <c r="CUT21" s="204"/>
      <c r="CUU21" s="204"/>
      <c r="CUV21" s="204"/>
      <c r="CUW21" s="204"/>
      <c r="CUX21" s="204"/>
      <c r="CUY21" s="204"/>
      <c r="CUZ21" s="204"/>
      <c r="CVA21" s="204"/>
      <c r="CVB21" s="204"/>
      <c r="CVC21" s="204"/>
      <c r="CVD21" s="204"/>
      <c r="CVE21" s="204"/>
      <c r="CVF21" s="204"/>
      <c r="CVG21" s="204"/>
      <c r="CVH21" s="204"/>
      <c r="CVI21" s="204"/>
      <c r="CVJ21" s="204"/>
      <c r="CVK21" s="204"/>
      <c r="CVL21" s="204"/>
      <c r="CVM21" s="204"/>
      <c r="CVN21" s="204"/>
      <c r="CVO21" s="204"/>
      <c r="CVP21" s="204"/>
      <c r="CVQ21" s="204"/>
      <c r="CVR21" s="204"/>
      <c r="CVS21" s="204"/>
      <c r="CVT21" s="204"/>
      <c r="CVU21" s="204"/>
      <c r="CVV21" s="204"/>
      <c r="CVW21" s="204"/>
      <c r="CVX21" s="204"/>
      <c r="CVY21" s="204"/>
      <c r="CVZ21" s="204"/>
      <c r="CWA21" s="204"/>
      <c r="CWB21" s="204"/>
      <c r="CWC21" s="204"/>
      <c r="CWD21" s="204"/>
      <c r="CWE21" s="204"/>
      <c r="CWF21" s="204"/>
      <c r="CWG21" s="204"/>
      <c r="CWH21" s="204"/>
      <c r="CWI21" s="204"/>
      <c r="CWJ21" s="204"/>
      <c r="CWK21" s="204"/>
      <c r="CWL21" s="204"/>
      <c r="CWM21" s="204"/>
      <c r="CWN21" s="204"/>
      <c r="CWO21" s="204"/>
      <c r="CWP21" s="204"/>
      <c r="CWQ21" s="204"/>
      <c r="CWR21" s="204"/>
      <c r="CWS21" s="204"/>
      <c r="CWT21" s="204"/>
      <c r="CWU21" s="204"/>
      <c r="CWV21" s="204"/>
      <c r="CWW21" s="204"/>
      <c r="CWX21" s="204"/>
      <c r="CWY21" s="204"/>
      <c r="CWZ21" s="204"/>
      <c r="CXA21" s="204"/>
      <c r="CXB21" s="204"/>
      <c r="CXC21" s="204"/>
      <c r="CXD21" s="204"/>
      <c r="CXE21" s="204"/>
      <c r="CXF21" s="204"/>
      <c r="CXG21" s="204"/>
      <c r="CXH21" s="204"/>
      <c r="CXI21" s="204"/>
      <c r="CXJ21" s="204"/>
      <c r="CXK21" s="204"/>
      <c r="CXL21" s="204"/>
      <c r="CXM21" s="204"/>
      <c r="CXN21" s="204"/>
      <c r="CXO21" s="204"/>
      <c r="CXP21" s="204"/>
      <c r="CXQ21" s="204"/>
      <c r="CXR21" s="204"/>
      <c r="CXS21" s="204"/>
      <c r="CXT21" s="204"/>
      <c r="CXU21" s="204"/>
      <c r="CXV21" s="204"/>
      <c r="CXW21" s="204"/>
      <c r="CXX21" s="204"/>
      <c r="CXY21" s="204"/>
      <c r="CXZ21" s="204"/>
      <c r="CYA21" s="204"/>
      <c r="CYB21" s="204"/>
      <c r="CYC21" s="204"/>
      <c r="CYD21" s="204"/>
      <c r="CYE21" s="204"/>
      <c r="CYF21" s="204"/>
      <c r="CYG21" s="204"/>
      <c r="CYH21" s="204"/>
      <c r="CYI21" s="204"/>
      <c r="CYJ21" s="204"/>
      <c r="CYK21" s="204"/>
      <c r="CYL21" s="204"/>
      <c r="CYM21" s="204"/>
      <c r="CYN21" s="204"/>
      <c r="CYO21" s="204"/>
      <c r="CYP21" s="204"/>
      <c r="CYQ21" s="204"/>
      <c r="CYR21" s="204"/>
      <c r="CYS21" s="204"/>
      <c r="CYT21" s="204"/>
      <c r="CYU21" s="204"/>
      <c r="CYV21" s="204"/>
      <c r="CYW21" s="204"/>
      <c r="CYX21" s="204"/>
      <c r="CYY21" s="204"/>
      <c r="CYZ21" s="204"/>
      <c r="CZA21" s="204"/>
      <c r="CZB21" s="204"/>
      <c r="CZC21" s="204"/>
      <c r="CZD21" s="204"/>
      <c r="CZE21" s="204"/>
      <c r="CZF21" s="204"/>
      <c r="CZG21" s="204"/>
      <c r="CZH21" s="204"/>
      <c r="CZI21" s="204"/>
      <c r="CZJ21" s="204"/>
      <c r="CZK21" s="204"/>
      <c r="CZL21" s="204"/>
      <c r="CZM21" s="204"/>
      <c r="CZN21" s="204"/>
      <c r="CZO21" s="204"/>
      <c r="CZP21" s="204"/>
      <c r="CZQ21" s="204"/>
      <c r="CZR21" s="204"/>
      <c r="CZS21" s="204"/>
      <c r="CZT21" s="204"/>
      <c r="CZU21" s="204"/>
      <c r="CZV21" s="204"/>
      <c r="CZW21" s="204"/>
      <c r="CZX21" s="204"/>
      <c r="CZY21" s="204"/>
      <c r="CZZ21" s="204"/>
      <c r="DAA21" s="204"/>
      <c r="DAB21" s="204"/>
      <c r="DAC21" s="204"/>
      <c r="DAD21" s="204"/>
      <c r="DAE21" s="204"/>
      <c r="DAF21" s="204"/>
      <c r="DAG21" s="204"/>
      <c r="DAH21" s="204"/>
      <c r="DAI21" s="204"/>
      <c r="DAJ21" s="204"/>
      <c r="DAK21" s="204"/>
      <c r="DAL21" s="204"/>
      <c r="DAM21" s="204"/>
      <c r="DAN21" s="204"/>
      <c r="DAO21" s="204"/>
      <c r="DAP21" s="204"/>
      <c r="DAQ21" s="204"/>
      <c r="DAR21" s="204"/>
      <c r="DAS21" s="204"/>
      <c r="DAT21" s="204"/>
      <c r="DAU21" s="204"/>
      <c r="DAV21" s="204"/>
      <c r="DAW21" s="204"/>
      <c r="DAX21" s="204"/>
      <c r="DAY21" s="204"/>
      <c r="DAZ21" s="204"/>
      <c r="DBA21" s="204"/>
      <c r="DBB21" s="204"/>
      <c r="DBC21" s="204"/>
      <c r="DBD21" s="204"/>
      <c r="DBE21" s="204"/>
      <c r="DBF21" s="204"/>
      <c r="DBG21" s="204"/>
      <c r="DBH21" s="204"/>
      <c r="DBI21" s="204"/>
      <c r="DBJ21" s="204"/>
      <c r="DBK21" s="204"/>
      <c r="DBL21" s="204"/>
      <c r="DBM21" s="204"/>
      <c r="DBN21" s="204"/>
      <c r="DBO21" s="204"/>
      <c r="DBP21" s="204"/>
      <c r="DBQ21" s="204"/>
      <c r="DBR21" s="204"/>
      <c r="DBS21" s="204"/>
      <c r="DBT21" s="204"/>
      <c r="DBU21" s="204"/>
      <c r="DBV21" s="204"/>
      <c r="DBW21" s="204"/>
      <c r="DBX21" s="204"/>
      <c r="DBY21" s="204"/>
      <c r="DBZ21" s="204"/>
      <c r="DCA21" s="204"/>
      <c r="DCB21" s="204"/>
      <c r="DCC21" s="204"/>
      <c r="DCD21" s="204"/>
      <c r="DCE21" s="204"/>
      <c r="DCF21" s="204"/>
      <c r="DCG21" s="204"/>
      <c r="DCH21" s="204"/>
      <c r="DCI21" s="204"/>
      <c r="DCJ21" s="204"/>
      <c r="DCK21" s="204"/>
      <c r="DCL21" s="204"/>
      <c r="DCM21" s="204"/>
      <c r="DCN21" s="204"/>
      <c r="DCO21" s="204"/>
      <c r="DCP21" s="204"/>
      <c r="DCQ21" s="204"/>
      <c r="DCR21" s="204"/>
      <c r="DCS21" s="204"/>
      <c r="DCT21" s="204"/>
      <c r="DCU21" s="204"/>
      <c r="DCV21" s="204"/>
      <c r="DCW21" s="204"/>
      <c r="DCX21" s="204"/>
      <c r="DCY21" s="204"/>
      <c r="DCZ21" s="204"/>
      <c r="DDA21" s="204"/>
      <c r="DDB21" s="204"/>
      <c r="DDC21" s="204"/>
      <c r="DDD21" s="204"/>
      <c r="DDE21" s="204"/>
      <c r="DDF21" s="204"/>
      <c r="DDG21" s="204"/>
      <c r="DDH21" s="204"/>
      <c r="DDI21" s="204"/>
      <c r="DDJ21" s="204"/>
      <c r="DDK21" s="204"/>
      <c r="DDL21" s="204"/>
      <c r="DDM21" s="204"/>
      <c r="DDN21" s="204"/>
      <c r="DDO21" s="204"/>
      <c r="DDP21" s="204"/>
      <c r="DDQ21" s="204"/>
      <c r="DDR21" s="204"/>
      <c r="DDS21" s="204"/>
      <c r="DDT21" s="204"/>
      <c r="DDU21" s="204"/>
      <c r="DDV21" s="204"/>
      <c r="DDW21" s="204"/>
      <c r="DDX21" s="204"/>
      <c r="DDY21" s="204"/>
      <c r="DDZ21" s="204"/>
      <c r="DEA21" s="204"/>
      <c r="DEB21" s="204"/>
      <c r="DEC21" s="204"/>
      <c r="DED21" s="204"/>
      <c r="DEE21" s="204"/>
      <c r="DEF21" s="204"/>
      <c r="DEG21" s="204"/>
      <c r="DEH21" s="204"/>
      <c r="DEI21" s="204"/>
      <c r="DEJ21" s="204"/>
      <c r="DEK21" s="204"/>
      <c r="DEL21" s="204"/>
      <c r="DEM21" s="204"/>
      <c r="DEN21" s="204"/>
      <c r="DEO21" s="204"/>
      <c r="DEP21" s="204"/>
      <c r="DEQ21" s="204"/>
      <c r="DER21" s="204"/>
      <c r="DES21" s="204"/>
      <c r="DET21" s="204"/>
      <c r="DEU21" s="204"/>
      <c r="DEV21" s="204"/>
      <c r="DEW21" s="204"/>
      <c r="DEX21" s="204"/>
      <c r="DEY21" s="204"/>
      <c r="DEZ21" s="204"/>
      <c r="DFA21" s="204"/>
      <c r="DFB21" s="204"/>
      <c r="DFC21" s="204"/>
      <c r="DFD21" s="204"/>
      <c r="DFE21" s="204"/>
      <c r="DFF21" s="204"/>
      <c r="DFG21" s="204"/>
      <c r="DFH21" s="204"/>
      <c r="DFI21" s="204"/>
      <c r="DFJ21" s="204"/>
      <c r="DFK21" s="204"/>
      <c r="DFL21" s="204"/>
      <c r="DFM21" s="204"/>
      <c r="DFN21" s="204"/>
      <c r="DFO21" s="204"/>
      <c r="DFP21" s="204"/>
      <c r="DFQ21" s="204"/>
      <c r="DFR21" s="204"/>
      <c r="DFS21" s="204"/>
      <c r="DFT21" s="204"/>
      <c r="DFU21" s="204"/>
      <c r="DFV21" s="204"/>
      <c r="DFW21" s="204"/>
      <c r="DFX21" s="204"/>
      <c r="DFY21" s="204"/>
      <c r="DFZ21" s="204"/>
      <c r="DGA21" s="204"/>
      <c r="DGB21" s="204"/>
      <c r="DGC21" s="204"/>
      <c r="DGD21" s="204"/>
      <c r="DGE21" s="204"/>
      <c r="DGF21" s="204"/>
      <c r="DGG21" s="204"/>
      <c r="DGH21" s="204"/>
      <c r="DGI21" s="204"/>
      <c r="DGJ21" s="204"/>
      <c r="DGK21" s="204"/>
      <c r="DGL21" s="204"/>
      <c r="DGM21" s="204"/>
      <c r="DGN21" s="204"/>
      <c r="DGO21" s="204"/>
      <c r="DGP21" s="204"/>
      <c r="DGQ21" s="204"/>
      <c r="DGR21" s="204"/>
      <c r="DGS21" s="204"/>
      <c r="DGT21" s="204"/>
      <c r="DGU21" s="204"/>
      <c r="DGV21" s="204"/>
      <c r="DGW21" s="204"/>
      <c r="DGX21" s="204"/>
      <c r="DGY21" s="204"/>
      <c r="DGZ21" s="204"/>
      <c r="DHA21" s="204"/>
      <c r="DHB21" s="204"/>
      <c r="DHC21" s="204"/>
      <c r="DHD21" s="204"/>
      <c r="DHE21" s="204"/>
      <c r="DHF21" s="204"/>
      <c r="DHG21" s="204"/>
      <c r="DHH21" s="204"/>
      <c r="DHI21" s="204"/>
      <c r="DHJ21" s="204"/>
      <c r="DHK21" s="204"/>
      <c r="DHL21" s="204"/>
      <c r="DHM21" s="204"/>
      <c r="DHN21" s="204"/>
      <c r="DHO21" s="204"/>
      <c r="DHP21" s="204"/>
      <c r="DHQ21" s="204"/>
      <c r="DHR21" s="204"/>
      <c r="DHS21" s="204"/>
      <c r="DHT21" s="204"/>
      <c r="DHU21" s="204"/>
      <c r="DHV21" s="204"/>
      <c r="DHW21" s="204"/>
      <c r="DHX21" s="204"/>
      <c r="DHY21" s="204"/>
      <c r="DHZ21" s="204"/>
      <c r="DIA21" s="204"/>
      <c r="DIB21" s="204"/>
      <c r="DIC21" s="204"/>
      <c r="DID21" s="204"/>
      <c r="DIE21" s="204"/>
      <c r="DIF21" s="204"/>
      <c r="DIG21" s="204"/>
      <c r="DIH21" s="204"/>
      <c r="DII21" s="204"/>
      <c r="DIJ21" s="204"/>
      <c r="DIK21" s="204"/>
      <c r="DIL21" s="204"/>
      <c r="DIM21" s="204"/>
      <c r="DIN21" s="204"/>
      <c r="DIO21" s="204"/>
      <c r="DIP21" s="204"/>
      <c r="DIQ21" s="204"/>
      <c r="DIR21" s="204"/>
      <c r="DIS21" s="204"/>
      <c r="DIT21" s="204"/>
      <c r="DIU21" s="204"/>
      <c r="DIV21" s="204"/>
      <c r="DIW21" s="204"/>
      <c r="DIX21" s="204"/>
      <c r="DIY21" s="204"/>
      <c r="DIZ21" s="204"/>
      <c r="DJA21" s="204"/>
      <c r="DJB21" s="204"/>
      <c r="DJC21" s="204"/>
      <c r="DJD21" s="204"/>
      <c r="DJE21" s="204"/>
      <c r="DJF21" s="204"/>
      <c r="DJG21" s="204"/>
      <c r="DJH21" s="204"/>
      <c r="DJI21" s="204"/>
      <c r="DJJ21" s="204"/>
      <c r="DJK21" s="204"/>
      <c r="DJL21" s="204"/>
      <c r="DJM21" s="204"/>
      <c r="DJN21" s="204"/>
      <c r="DJO21" s="204"/>
      <c r="DJP21" s="204"/>
      <c r="DJQ21" s="204"/>
      <c r="DJR21" s="204"/>
      <c r="DJS21" s="204"/>
      <c r="DJT21" s="204"/>
      <c r="DJU21" s="204"/>
      <c r="DJV21" s="204"/>
      <c r="DJW21" s="204"/>
      <c r="DJX21" s="204"/>
      <c r="DJY21" s="204"/>
      <c r="DJZ21" s="204"/>
      <c r="DKA21" s="204"/>
      <c r="DKB21" s="204"/>
      <c r="DKC21" s="204"/>
      <c r="DKD21" s="204"/>
      <c r="DKE21" s="204"/>
      <c r="DKF21" s="204"/>
      <c r="DKG21" s="204"/>
      <c r="DKH21" s="204"/>
      <c r="DKI21" s="204"/>
      <c r="DKJ21" s="204"/>
      <c r="DKK21" s="204"/>
      <c r="DKL21" s="204"/>
      <c r="DKM21" s="204"/>
      <c r="DKN21" s="204"/>
      <c r="DKO21" s="204"/>
      <c r="DKP21" s="204"/>
      <c r="DKQ21" s="204"/>
      <c r="DKR21" s="204"/>
      <c r="DKS21" s="204"/>
      <c r="DKT21" s="204"/>
      <c r="DKU21" s="204"/>
      <c r="DKV21" s="204"/>
      <c r="DKW21" s="204"/>
      <c r="DKX21" s="204"/>
      <c r="DKY21" s="204"/>
      <c r="DKZ21" s="204"/>
      <c r="DLA21" s="204"/>
      <c r="DLB21" s="204"/>
      <c r="DLC21" s="204"/>
      <c r="DLD21" s="204"/>
      <c r="DLE21" s="204"/>
      <c r="DLF21" s="204"/>
      <c r="DLG21" s="204"/>
      <c r="DLH21" s="204"/>
      <c r="DLI21" s="204"/>
      <c r="DLJ21" s="204"/>
      <c r="DLK21" s="204"/>
      <c r="DLL21" s="204"/>
      <c r="DLM21" s="204"/>
      <c r="DLN21" s="204"/>
      <c r="DLO21" s="204"/>
      <c r="DLP21" s="204"/>
      <c r="DLQ21" s="204"/>
      <c r="DLR21" s="204"/>
      <c r="DLS21" s="204"/>
      <c r="DLT21" s="204"/>
      <c r="DLU21" s="204"/>
      <c r="DLV21" s="204"/>
      <c r="DLW21" s="204"/>
      <c r="DLX21" s="204"/>
      <c r="DLY21" s="204"/>
      <c r="DLZ21" s="204"/>
      <c r="DMA21" s="204"/>
      <c r="DMB21" s="204"/>
      <c r="DMC21" s="204"/>
      <c r="DMD21" s="204"/>
      <c r="DME21" s="204"/>
      <c r="DMF21" s="204"/>
      <c r="DMG21" s="204"/>
      <c r="DMH21" s="204"/>
      <c r="DMI21" s="204"/>
      <c r="DMJ21" s="204"/>
      <c r="DMK21" s="204"/>
      <c r="DML21" s="204"/>
      <c r="DMM21" s="204"/>
      <c r="DMN21" s="204"/>
      <c r="DMO21" s="204"/>
      <c r="DMP21" s="204"/>
      <c r="DMQ21" s="204"/>
      <c r="DMR21" s="204"/>
      <c r="DMS21" s="204"/>
      <c r="DMT21" s="204"/>
      <c r="DMU21" s="204"/>
      <c r="DMV21" s="204"/>
      <c r="DMW21" s="204"/>
      <c r="DMX21" s="204"/>
      <c r="DMY21" s="204"/>
      <c r="DMZ21" s="204"/>
      <c r="DNA21" s="204"/>
      <c r="DNB21" s="204"/>
      <c r="DNC21" s="204"/>
      <c r="DND21" s="204"/>
      <c r="DNE21" s="204"/>
      <c r="DNF21" s="204"/>
      <c r="DNG21" s="204"/>
      <c r="DNH21" s="204"/>
      <c r="DNI21" s="204"/>
      <c r="DNJ21" s="204"/>
      <c r="DNK21" s="204"/>
      <c r="DNL21" s="204"/>
      <c r="DNM21" s="204"/>
      <c r="DNN21" s="204"/>
      <c r="DNO21" s="204"/>
      <c r="DNP21" s="204"/>
      <c r="DNQ21" s="204"/>
      <c r="DNR21" s="204"/>
      <c r="DNS21" s="204"/>
      <c r="DNT21" s="204"/>
      <c r="DNU21" s="204"/>
      <c r="DNV21" s="204"/>
      <c r="DNW21" s="204"/>
      <c r="DNX21" s="204"/>
      <c r="DNY21" s="204"/>
      <c r="DNZ21" s="204"/>
      <c r="DOA21" s="204"/>
      <c r="DOB21" s="204"/>
      <c r="DOC21" s="204"/>
      <c r="DOD21" s="204"/>
      <c r="DOE21" s="204"/>
      <c r="DOF21" s="204"/>
      <c r="DOG21" s="204"/>
      <c r="DOH21" s="204"/>
      <c r="DOI21" s="204"/>
      <c r="DOJ21" s="204"/>
      <c r="DOK21" s="204"/>
      <c r="DOL21" s="204"/>
      <c r="DOM21" s="204"/>
      <c r="DON21" s="204"/>
      <c r="DOO21" s="204"/>
      <c r="DOP21" s="204"/>
      <c r="DOQ21" s="204"/>
      <c r="DOR21" s="204"/>
      <c r="DOS21" s="204"/>
      <c r="DOT21" s="204"/>
      <c r="DOU21" s="204"/>
      <c r="DOV21" s="204"/>
      <c r="DOW21" s="204"/>
      <c r="DOX21" s="204"/>
      <c r="DOY21" s="204"/>
      <c r="DOZ21" s="204"/>
      <c r="DPA21" s="204"/>
      <c r="DPB21" s="204"/>
      <c r="DPC21" s="204"/>
      <c r="DPD21" s="204"/>
      <c r="DPE21" s="204"/>
      <c r="DPF21" s="204"/>
      <c r="DPG21" s="204"/>
      <c r="DPH21" s="204"/>
      <c r="DPI21" s="204"/>
      <c r="DPJ21" s="204"/>
      <c r="DPK21" s="204"/>
      <c r="DPL21" s="204"/>
      <c r="DPM21" s="204"/>
      <c r="DPN21" s="204"/>
      <c r="DPO21" s="204"/>
      <c r="DPP21" s="204"/>
      <c r="DPQ21" s="204"/>
      <c r="DPR21" s="204"/>
      <c r="DPS21" s="204"/>
      <c r="DPT21" s="204"/>
      <c r="DPU21" s="204"/>
      <c r="DPV21" s="204"/>
      <c r="DPW21" s="204"/>
      <c r="DPX21" s="204"/>
      <c r="DPY21" s="204"/>
      <c r="DPZ21" s="204"/>
      <c r="DQA21" s="204"/>
      <c r="DQB21" s="204"/>
      <c r="DQC21" s="204"/>
      <c r="DQD21" s="204"/>
      <c r="DQE21" s="204"/>
      <c r="DQF21" s="204"/>
      <c r="DQG21" s="204"/>
      <c r="DQH21" s="204"/>
      <c r="DQI21" s="204"/>
      <c r="DQJ21" s="204"/>
      <c r="DQK21" s="204"/>
      <c r="DQL21" s="204"/>
      <c r="DQM21" s="204"/>
      <c r="DQN21" s="204"/>
      <c r="DQO21" s="204"/>
      <c r="DQP21" s="204"/>
      <c r="DQQ21" s="204"/>
      <c r="DQR21" s="204"/>
      <c r="DQS21" s="204"/>
      <c r="DQT21" s="204"/>
      <c r="DQU21" s="204"/>
      <c r="DQV21" s="204"/>
      <c r="DQW21" s="204"/>
      <c r="DQX21" s="204"/>
      <c r="DQY21" s="204"/>
      <c r="DQZ21" s="204"/>
      <c r="DRA21" s="204"/>
      <c r="DRB21" s="204"/>
      <c r="DRC21" s="204"/>
      <c r="DRD21" s="204"/>
      <c r="DRE21" s="204"/>
      <c r="DRF21" s="204"/>
      <c r="DRG21" s="204"/>
      <c r="DRH21" s="204"/>
      <c r="DRI21" s="204"/>
      <c r="DRJ21" s="204"/>
      <c r="DRK21" s="204"/>
      <c r="DRL21" s="204"/>
      <c r="DRM21" s="204"/>
      <c r="DRN21" s="204"/>
      <c r="DRO21" s="204"/>
      <c r="DRP21" s="204"/>
      <c r="DRQ21" s="204"/>
      <c r="DRR21" s="204"/>
      <c r="DRS21" s="204"/>
      <c r="DRT21" s="204"/>
      <c r="DRU21" s="204"/>
      <c r="DRV21" s="204"/>
      <c r="DRW21" s="204"/>
      <c r="DRX21" s="204"/>
      <c r="DRY21" s="204"/>
      <c r="DRZ21" s="204"/>
      <c r="DSA21" s="204"/>
      <c r="DSB21" s="204"/>
      <c r="DSC21" s="204"/>
      <c r="DSD21" s="204"/>
      <c r="DSE21" s="204"/>
      <c r="DSF21" s="204"/>
      <c r="DSG21" s="204"/>
      <c r="DSH21" s="204"/>
      <c r="DSI21" s="204"/>
      <c r="DSJ21" s="204"/>
      <c r="DSK21" s="204"/>
      <c r="DSL21" s="204"/>
      <c r="DSM21" s="204"/>
      <c r="DSN21" s="204"/>
      <c r="DSO21" s="204"/>
      <c r="DSP21" s="204"/>
      <c r="DSQ21" s="204"/>
      <c r="DSR21" s="204"/>
      <c r="DSS21" s="204"/>
      <c r="DST21" s="204"/>
      <c r="DSU21" s="204"/>
      <c r="DSV21" s="204"/>
      <c r="DSW21" s="204"/>
      <c r="DSX21" s="204"/>
      <c r="DSY21" s="204"/>
      <c r="DSZ21" s="204"/>
      <c r="DTA21" s="204"/>
      <c r="DTB21" s="204"/>
      <c r="DTC21" s="204"/>
      <c r="DTD21" s="204"/>
      <c r="DTE21" s="204"/>
      <c r="DTF21" s="204"/>
      <c r="DTG21" s="204"/>
      <c r="DTH21" s="204"/>
      <c r="DTI21" s="204"/>
      <c r="DTJ21" s="204"/>
      <c r="DTK21" s="204"/>
      <c r="DTL21" s="204"/>
      <c r="DTM21" s="204"/>
      <c r="DTN21" s="204"/>
      <c r="DTO21" s="204"/>
      <c r="DTP21" s="204"/>
      <c r="DTQ21" s="204"/>
      <c r="DTR21" s="204"/>
      <c r="DTS21" s="204"/>
      <c r="DTT21" s="204"/>
      <c r="DTU21" s="204"/>
      <c r="DTV21" s="204"/>
      <c r="DTW21" s="204"/>
      <c r="DTX21" s="204"/>
      <c r="DTY21" s="204"/>
      <c r="DTZ21" s="204"/>
      <c r="DUA21" s="204"/>
      <c r="DUB21" s="204"/>
      <c r="DUC21" s="204"/>
      <c r="DUD21" s="204"/>
      <c r="DUE21" s="204"/>
      <c r="DUF21" s="204"/>
      <c r="DUG21" s="204"/>
      <c r="DUH21" s="204"/>
      <c r="DUI21" s="204"/>
      <c r="DUJ21" s="204"/>
      <c r="DUK21" s="204"/>
      <c r="DUL21" s="204"/>
      <c r="DUM21" s="204"/>
      <c r="DUN21" s="204"/>
      <c r="DUO21" s="204"/>
      <c r="DUP21" s="204"/>
      <c r="DUQ21" s="204"/>
      <c r="DUR21" s="204"/>
      <c r="DUS21" s="204"/>
      <c r="DUT21" s="204"/>
      <c r="DUU21" s="204"/>
      <c r="DUV21" s="204"/>
      <c r="DUW21" s="204"/>
      <c r="DUX21" s="204"/>
      <c r="DUY21" s="204"/>
      <c r="DUZ21" s="204"/>
      <c r="DVA21" s="204"/>
      <c r="DVB21" s="204"/>
      <c r="DVC21" s="204"/>
      <c r="DVD21" s="204"/>
      <c r="DVE21" s="204"/>
      <c r="DVF21" s="204"/>
      <c r="DVG21" s="204"/>
      <c r="DVH21" s="204"/>
      <c r="DVI21" s="204"/>
      <c r="DVJ21" s="204"/>
      <c r="DVK21" s="204"/>
      <c r="DVL21" s="204"/>
      <c r="DVM21" s="204"/>
      <c r="DVN21" s="204"/>
      <c r="DVO21" s="204"/>
      <c r="DVP21" s="204"/>
      <c r="DVQ21" s="204"/>
      <c r="DVR21" s="204"/>
      <c r="DVS21" s="204"/>
      <c r="DVT21" s="204"/>
      <c r="DVU21" s="204"/>
      <c r="DVV21" s="204"/>
      <c r="DVW21" s="204"/>
      <c r="DVX21" s="204"/>
      <c r="DVY21" s="204"/>
      <c r="DVZ21" s="204"/>
      <c r="DWA21" s="204"/>
      <c r="DWB21" s="204"/>
      <c r="DWC21" s="204"/>
      <c r="DWD21" s="204"/>
      <c r="DWE21" s="204"/>
      <c r="DWF21" s="204"/>
      <c r="DWG21" s="204"/>
      <c r="DWH21" s="204"/>
      <c r="DWI21" s="204"/>
      <c r="DWJ21" s="204"/>
      <c r="DWK21" s="204"/>
      <c r="DWL21" s="204"/>
      <c r="DWM21" s="204"/>
      <c r="DWN21" s="204"/>
      <c r="DWO21" s="204"/>
      <c r="DWP21" s="204"/>
      <c r="DWQ21" s="204"/>
      <c r="DWR21" s="204"/>
      <c r="DWS21" s="204"/>
      <c r="DWT21" s="204"/>
      <c r="DWU21" s="204"/>
      <c r="DWV21" s="204"/>
      <c r="DWW21" s="204"/>
      <c r="DWX21" s="204"/>
      <c r="DWY21" s="204"/>
      <c r="DWZ21" s="204"/>
      <c r="DXA21" s="204"/>
      <c r="DXB21" s="204"/>
      <c r="DXC21" s="204"/>
      <c r="DXD21" s="204"/>
      <c r="DXE21" s="204"/>
      <c r="DXF21" s="204"/>
      <c r="DXG21" s="204"/>
      <c r="DXH21" s="204"/>
      <c r="DXI21" s="204"/>
      <c r="DXJ21" s="204"/>
      <c r="DXK21" s="204"/>
      <c r="DXL21" s="204"/>
      <c r="DXM21" s="204"/>
      <c r="DXN21" s="204"/>
      <c r="DXO21" s="204"/>
      <c r="DXP21" s="204"/>
      <c r="DXQ21" s="204"/>
      <c r="DXR21" s="204"/>
      <c r="DXS21" s="204"/>
      <c r="DXT21" s="204"/>
      <c r="DXU21" s="204"/>
      <c r="DXV21" s="204"/>
      <c r="DXW21" s="204"/>
      <c r="DXX21" s="204"/>
      <c r="DXY21" s="204"/>
      <c r="DXZ21" s="204"/>
      <c r="DYA21" s="204"/>
      <c r="DYB21" s="204"/>
      <c r="DYC21" s="204"/>
      <c r="DYD21" s="204"/>
      <c r="DYE21" s="204"/>
      <c r="DYF21" s="204"/>
      <c r="DYG21" s="204"/>
      <c r="DYH21" s="204"/>
      <c r="DYI21" s="204"/>
      <c r="DYJ21" s="204"/>
      <c r="DYK21" s="204"/>
      <c r="DYL21" s="204"/>
      <c r="DYM21" s="204"/>
      <c r="DYN21" s="204"/>
      <c r="DYO21" s="204"/>
      <c r="DYP21" s="204"/>
      <c r="DYQ21" s="204"/>
      <c r="DYR21" s="204"/>
      <c r="DYS21" s="204"/>
      <c r="DYT21" s="204"/>
      <c r="DYU21" s="204"/>
      <c r="DYV21" s="204"/>
      <c r="DYW21" s="204"/>
      <c r="DYX21" s="204"/>
      <c r="DYY21" s="204"/>
      <c r="DYZ21" s="204"/>
      <c r="DZA21" s="204"/>
      <c r="DZB21" s="204"/>
      <c r="DZC21" s="204"/>
      <c r="DZD21" s="204"/>
      <c r="DZE21" s="204"/>
      <c r="DZF21" s="204"/>
      <c r="DZG21" s="204"/>
      <c r="DZH21" s="204"/>
      <c r="DZI21" s="204"/>
      <c r="DZJ21" s="204"/>
      <c r="DZK21" s="204"/>
      <c r="DZL21" s="204"/>
      <c r="DZM21" s="204"/>
      <c r="DZN21" s="204"/>
      <c r="DZO21" s="204"/>
      <c r="DZP21" s="204"/>
      <c r="DZQ21" s="204"/>
      <c r="DZR21" s="204"/>
      <c r="DZS21" s="204"/>
      <c r="DZT21" s="204"/>
      <c r="DZU21" s="204"/>
      <c r="DZV21" s="204"/>
      <c r="DZW21" s="204"/>
      <c r="DZX21" s="204"/>
      <c r="DZY21" s="204"/>
      <c r="DZZ21" s="204"/>
      <c r="EAA21" s="204"/>
      <c r="EAB21" s="204"/>
      <c r="EAC21" s="204"/>
      <c r="EAD21" s="204"/>
      <c r="EAE21" s="204"/>
      <c r="EAF21" s="204"/>
      <c r="EAG21" s="204"/>
      <c r="EAH21" s="204"/>
      <c r="EAI21" s="204"/>
      <c r="EAJ21" s="204"/>
      <c r="EAK21" s="204"/>
      <c r="EAL21" s="204"/>
      <c r="EAM21" s="204"/>
      <c r="EAN21" s="204"/>
      <c r="EAO21" s="204"/>
      <c r="EAP21" s="204"/>
      <c r="EAQ21" s="204"/>
      <c r="EAR21" s="204"/>
      <c r="EAS21" s="204"/>
      <c r="EAT21" s="204"/>
      <c r="EAU21" s="204"/>
      <c r="EAV21" s="204"/>
      <c r="EAW21" s="204"/>
      <c r="EAX21" s="204"/>
      <c r="EAY21" s="204"/>
      <c r="EAZ21" s="204"/>
      <c r="EBA21" s="204"/>
      <c r="EBB21" s="204"/>
      <c r="EBC21" s="204"/>
      <c r="EBD21" s="204"/>
      <c r="EBE21" s="204"/>
      <c r="EBF21" s="204"/>
      <c r="EBG21" s="204"/>
      <c r="EBH21" s="204"/>
      <c r="EBI21" s="204"/>
      <c r="EBJ21" s="204"/>
      <c r="EBK21" s="204"/>
      <c r="EBL21" s="204"/>
      <c r="EBM21" s="204"/>
      <c r="EBN21" s="204"/>
      <c r="EBO21" s="204"/>
      <c r="EBP21" s="204"/>
      <c r="EBQ21" s="204"/>
      <c r="EBR21" s="204"/>
      <c r="EBS21" s="204"/>
      <c r="EBT21" s="204"/>
      <c r="EBU21" s="204"/>
      <c r="EBV21" s="204"/>
      <c r="EBW21" s="204"/>
      <c r="EBX21" s="204"/>
      <c r="EBY21" s="204"/>
      <c r="EBZ21" s="204"/>
      <c r="ECA21" s="204"/>
      <c r="ECB21" s="204"/>
      <c r="ECC21" s="204"/>
      <c r="ECD21" s="204"/>
      <c r="ECE21" s="204"/>
      <c r="ECF21" s="204"/>
      <c r="ECG21" s="204"/>
      <c r="ECH21" s="204"/>
      <c r="ECI21" s="204"/>
      <c r="ECJ21" s="204"/>
      <c r="ECK21" s="204"/>
      <c r="ECL21" s="204"/>
      <c r="ECM21" s="204"/>
      <c r="ECN21" s="204"/>
      <c r="ECO21" s="204"/>
      <c r="ECP21" s="204"/>
      <c r="ECQ21" s="204"/>
      <c r="ECR21" s="204"/>
      <c r="ECS21" s="204"/>
      <c r="ECT21" s="204"/>
      <c r="ECU21" s="204"/>
      <c r="ECV21" s="204"/>
      <c r="ECW21" s="204"/>
      <c r="ECX21" s="204"/>
      <c r="ECY21" s="204"/>
      <c r="ECZ21" s="204"/>
      <c r="EDA21" s="204"/>
      <c r="EDB21" s="204"/>
      <c r="EDC21" s="204"/>
      <c r="EDD21" s="204"/>
      <c r="EDE21" s="204"/>
      <c r="EDF21" s="204"/>
      <c r="EDG21" s="204"/>
      <c r="EDH21" s="204"/>
      <c r="EDI21" s="204"/>
      <c r="EDJ21" s="204"/>
      <c r="EDK21" s="204"/>
      <c r="EDL21" s="204"/>
      <c r="EDM21" s="204"/>
      <c r="EDN21" s="204"/>
      <c r="EDO21" s="204"/>
      <c r="EDP21" s="204"/>
      <c r="EDQ21" s="204"/>
      <c r="EDR21" s="204"/>
      <c r="EDS21" s="204"/>
      <c r="EDT21" s="204"/>
      <c r="EDU21" s="204"/>
      <c r="EDV21" s="204"/>
      <c r="EDW21" s="204"/>
      <c r="EDX21" s="204"/>
      <c r="EDY21" s="204"/>
      <c r="EDZ21" s="204"/>
      <c r="EEA21" s="204"/>
      <c r="EEB21" s="204"/>
      <c r="EEC21" s="204"/>
      <c r="EED21" s="204"/>
      <c r="EEE21" s="204"/>
      <c r="EEF21" s="204"/>
      <c r="EEG21" s="204"/>
      <c r="EEH21" s="204"/>
      <c r="EEI21" s="204"/>
      <c r="EEJ21" s="204"/>
      <c r="EEK21" s="204"/>
      <c r="EEL21" s="204"/>
      <c r="EEM21" s="204"/>
      <c r="EEN21" s="204"/>
      <c r="EEO21" s="204"/>
      <c r="EEP21" s="204"/>
      <c r="EEQ21" s="204"/>
      <c r="EER21" s="204"/>
      <c r="EES21" s="204"/>
      <c r="EET21" s="204"/>
      <c r="EEU21" s="204"/>
      <c r="EEV21" s="204"/>
      <c r="EEW21" s="204"/>
      <c r="EEX21" s="204"/>
      <c r="EEY21" s="204"/>
      <c r="EEZ21" s="204"/>
      <c r="EFA21" s="204"/>
      <c r="EFB21" s="204"/>
      <c r="EFC21" s="204"/>
      <c r="EFD21" s="204"/>
      <c r="EFE21" s="204"/>
      <c r="EFF21" s="204"/>
      <c r="EFG21" s="204"/>
      <c r="EFH21" s="204"/>
      <c r="EFI21" s="204"/>
      <c r="EFJ21" s="204"/>
      <c r="EFK21" s="204"/>
      <c r="EFL21" s="204"/>
      <c r="EFM21" s="204"/>
      <c r="EFN21" s="204"/>
      <c r="EFO21" s="204"/>
      <c r="EFP21" s="204"/>
      <c r="EFQ21" s="204"/>
      <c r="EFR21" s="204"/>
      <c r="EFS21" s="204"/>
      <c r="EFT21" s="204"/>
      <c r="EFU21" s="204"/>
      <c r="EFV21" s="204"/>
      <c r="EFW21" s="204"/>
      <c r="EFX21" s="204"/>
      <c r="EFY21" s="204"/>
      <c r="EFZ21" s="204"/>
      <c r="EGA21" s="204"/>
      <c r="EGB21" s="204"/>
      <c r="EGC21" s="204"/>
      <c r="EGD21" s="204"/>
      <c r="EGE21" s="204"/>
      <c r="EGF21" s="204"/>
      <c r="EGG21" s="204"/>
      <c r="EGH21" s="204"/>
      <c r="EGI21" s="204"/>
      <c r="EGJ21" s="204"/>
      <c r="EGK21" s="204"/>
      <c r="EGL21" s="204"/>
      <c r="EGM21" s="204"/>
      <c r="EGN21" s="204"/>
      <c r="EGO21" s="204"/>
      <c r="EGP21" s="204"/>
      <c r="EGQ21" s="204"/>
      <c r="EGR21" s="204"/>
      <c r="EGS21" s="204"/>
      <c r="EGT21" s="204"/>
      <c r="EGU21" s="204"/>
      <c r="EGV21" s="204"/>
      <c r="EGW21" s="204"/>
      <c r="EGX21" s="204"/>
      <c r="EGY21" s="204"/>
      <c r="EGZ21" s="204"/>
      <c r="EHA21" s="204"/>
      <c r="EHB21" s="204"/>
      <c r="EHC21" s="204"/>
      <c r="EHD21" s="204"/>
      <c r="EHE21" s="204"/>
      <c r="EHF21" s="204"/>
      <c r="EHG21" s="204"/>
      <c r="EHH21" s="204"/>
      <c r="EHI21" s="204"/>
      <c r="EHJ21" s="204"/>
      <c r="EHK21" s="204"/>
      <c r="EHL21" s="204"/>
      <c r="EHM21" s="204"/>
      <c r="EHN21" s="204"/>
      <c r="EHO21" s="204"/>
      <c r="EHP21" s="204"/>
      <c r="EHQ21" s="204"/>
      <c r="EHR21" s="204"/>
      <c r="EHS21" s="204"/>
      <c r="EHT21" s="204"/>
      <c r="EHU21" s="204"/>
      <c r="EHV21" s="204"/>
      <c r="EHW21" s="204"/>
      <c r="EHX21" s="204"/>
      <c r="EHY21" s="204"/>
      <c r="EHZ21" s="204"/>
      <c r="EIA21" s="204"/>
      <c r="EIB21" s="204"/>
      <c r="EIC21" s="204"/>
      <c r="EID21" s="204"/>
      <c r="EIE21" s="204"/>
      <c r="EIF21" s="204"/>
      <c r="EIG21" s="204"/>
      <c r="EIH21" s="204"/>
      <c r="EII21" s="204"/>
      <c r="EIJ21" s="204"/>
      <c r="EIK21" s="204"/>
      <c r="EIL21" s="204"/>
      <c r="EIM21" s="204"/>
      <c r="EIN21" s="204"/>
      <c r="EIO21" s="204"/>
      <c r="EIP21" s="204"/>
      <c r="EIQ21" s="204"/>
      <c r="EIR21" s="204"/>
      <c r="EIS21" s="204"/>
      <c r="EIT21" s="204"/>
      <c r="EIU21" s="204"/>
      <c r="EIV21" s="204"/>
      <c r="EIW21" s="204"/>
      <c r="EIX21" s="204"/>
      <c r="EIY21" s="204"/>
      <c r="EIZ21" s="204"/>
      <c r="EJA21" s="204"/>
      <c r="EJB21" s="204"/>
      <c r="EJC21" s="204"/>
      <c r="EJD21" s="204"/>
      <c r="EJE21" s="204"/>
      <c r="EJF21" s="204"/>
      <c r="EJG21" s="204"/>
      <c r="EJH21" s="204"/>
      <c r="EJI21" s="204"/>
      <c r="EJJ21" s="204"/>
      <c r="EJK21" s="204"/>
      <c r="EJL21" s="204"/>
      <c r="EJM21" s="204"/>
      <c r="EJN21" s="204"/>
      <c r="EJO21" s="204"/>
      <c r="EJP21" s="204"/>
      <c r="EJQ21" s="204"/>
      <c r="EJR21" s="204"/>
      <c r="EJS21" s="204"/>
      <c r="EJT21" s="204"/>
      <c r="EJU21" s="204"/>
      <c r="EJV21" s="204"/>
      <c r="EJW21" s="204"/>
      <c r="EJX21" s="204"/>
      <c r="EJY21" s="204"/>
      <c r="EJZ21" s="204"/>
      <c r="EKA21" s="204"/>
      <c r="EKB21" s="204"/>
      <c r="EKC21" s="204"/>
      <c r="EKD21" s="204"/>
      <c r="EKE21" s="204"/>
      <c r="EKF21" s="204"/>
      <c r="EKG21" s="204"/>
      <c r="EKH21" s="204"/>
      <c r="EKI21" s="204"/>
      <c r="EKJ21" s="204"/>
      <c r="EKK21" s="204"/>
      <c r="EKL21" s="204"/>
      <c r="EKM21" s="204"/>
      <c r="EKN21" s="204"/>
      <c r="EKO21" s="204"/>
      <c r="EKP21" s="204"/>
      <c r="EKQ21" s="204"/>
      <c r="EKR21" s="204"/>
      <c r="EKS21" s="204"/>
      <c r="EKT21" s="204"/>
      <c r="EKU21" s="204"/>
      <c r="EKV21" s="204"/>
      <c r="EKW21" s="204"/>
      <c r="EKX21" s="204"/>
      <c r="EKY21" s="204"/>
      <c r="EKZ21" s="204"/>
      <c r="ELA21" s="204"/>
      <c r="ELB21" s="204"/>
      <c r="ELC21" s="204"/>
      <c r="ELD21" s="204"/>
      <c r="ELE21" s="204"/>
      <c r="ELF21" s="204"/>
      <c r="ELG21" s="204"/>
      <c r="ELH21" s="204"/>
      <c r="ELI21" s="204"/>
      <c r="ELJ21" s="204"/>
      <c r="ELK21" s="204"/>
      <c r="ELL21" s="204"/>
      <c r="ELM21" s="204"/>
      <c r="ELN21" s="204"/>
      <c r="ELO21" s="204"/>
      <c r="ELP21" s="204"/>
      <c r="ELQ21" s="204"/>
      <c r="ELR21" s="204"/>
      <c r="ELS21" s="204"/>
      <c r="ELT21" s="204"/>
      <c r="ELU21" s="204"/>
      <c r="ELV21" s="204"/>
      <c r="ELW21" s="204"/>
      <c r="ELX21" s="204"/>
      <c r="ELY21" s="204"/>
      <c r="ELZ21" s="204"/>
      <c r="EMA21" s="204"/>
      <c r="EMB21" s="204"/>
      <c r="EMC21" s="204"/>
      <c r="EMD21" s="204"/>
      <c r="EME21" s="204"/>
      <c r="EMF21" s="204"/>
      <c r="EMG21" s="204"/>
      <c r="EMH21" s="204"/>
      <c r="EMI21" s="204"/>
      <c r="EMJ21" s="204"/>
      <c r="EMK21" s="204"/>
      <c r="EML21" s="204"/>
      <c r="EMM21" s="204"/>
      <c r="EMN21" s="204"/>
      <c r="EMO21" s="204"/>
      <c r="EMP21" s="204"/>
      <c r="EMQ21" s="204"/>
      <c r="EMR21" s="204"/>
      <c r="EMS21" s="204"/>
      <c r="EMT21" s="204"/>
      <c r="EMU21" s="204"/>
      <c r="EMV21" s="204"/>
      <c r="EMW21" s="204"/>
      <c r="EMX21" s="204"/>
      <c r="EMY21" s="204"/>
      <c r="EMZ21" s="204"/>
      <c r="ENA21" s="204"/>
      <c r="ENB21" s="204"/>
      <c r="ENC21" s="204"/>
      <c r="END21" s="204"/>
      <c r="ENE21" s="204"/>
      <c r="ENF21" s="204"/>
      <c r="ENG21" s="204"/>
      <c r="ENH21" s="204"/>
      <c r="ENI21" s="204"/>
      <c r="ENJ21" s="204"/>
      <c r="ENK21" s="204"/>
      <c r="ENL21" s="204"/>
      <c r="ENM21" s="204"/>
      <c r="ENN21" s="204"/>
      <c r="ENO21" s="204"/>
      <c r="ENP21" s="204"/>
      <c r="ENQ21" s="204"/>
      <c r="ENR21" s="204"/>
      <c r="ENS21" s="204"/>
      <c r="ENT21" s="204"/>
      <c r="ENU21" s="204"/>
      <c r="ENV21" s="204"/>
      <c r="ENW21" s="204"/>
      <c r="ENX21" s="204"/>
      <c r="ENY21" s="204"/>
      <c r="ENZ21" s="204"/>
      <c r="EOA21" s="204"/>
      <c r="EOB21" s="204"/>
      <c r="EOC21" s="204"/>
      <c r="EOD21" s="204"/>
      <c r="EOE21" s="204"/>
      <c r="EOF21" s="204"/>
      <c r="EOG21" s="204"/>
      <c r="EOH21" s="204"/>
      <c r="EOI21" s="204"/>
      <c r="EOJ21" s="204"/>
      <c r="EOK21" s="204"/>
      <c r="EOL21" s="204"/>
      <c r="EOM21" s="204"/>
      <c r="EON21" s="204"/>
      <c r="EOO21" s="204"/>
      <c r="EOP21" s="204"/>
      <c r="EOQ21" s="204"/>
      <c r="EOR21" s="204"/>
      <c r="EOS21" s="204"/>
      <c r="EOT21" s="204"/>
      <c r="EOU21" s="204"/>
      <c r="EOV21" s="204"/>
      <c r="EOW21" s="204"/>
      <c r="EOX21" s="204"/>
      <c r="EOY21" s="204"/>
      <c r="EOZ21" s="204"/>
      <c r="EPA21" s="204"/>
      <c r="EPB21" s="204"/>
      <c r="EPC21" s="204"/>
      <c r="EPD21" s="204"/>
      <c r="EPE21" s="204"/>
      <c r="EPF21" s="204"/>
      <c r="EPG21" s="204"/>
      <c r="EPH21" s="204"/>
      <c r="EPI21" s="204"/>
      <c r="EPJ21" s="204"/>
      <c r="EPK21" s="204"/>
      <c r="EPL21" s="204"/>
      <c r="EPM21" s="204"/>
      <c r="EPN21" s="204"/>
      <c r="EPO21" s="204"/>
      <c r="EPP21" s="204"/>
      <c r="EPQ21" s="204"/>
      <c r="EPR21" s="204"/>
      <c r="EPS21" s="204"/>
      <c r="EPT21" s="204"/>
      <c r="EPU21" s="204"/>
      <c r="EPV21" s="204"/>
      <c r="EPW21" s="204"/>
      <c r="EPX21" s="204"/>
      <c r="EPY21" s="204"/>
      <c r="EPZ21" s="204"/>
      <c r="EQA21" s="204"/>
      <c r="EQB21" s="204"/>
      <c r="EQC21" s="204"/>
      <c r="EQD21" s="204"/>
      <c r="EQE21" s="204"/>
      <c r="EQF21" s="204"/>
      <c r="EQG21" s="204"/>
      <c r="EQH21" s="204"/>
      <c r="EQI21" s="204"/>
      <c r="EQJ21" s="204"/>
      <c r="EQK21" s="204"/>
      <c r="EQL21" s="204"/>
      <c r="EQM21" s="204"/>
      <c r="EQN21" s="204"/>
      <c r="EQO21" s="204"/>
      <c r="EQP21" s="204"/>
      <c r="EQQ21" s="204"/>
      <c r="EQR21" s="204"/>
      <c r="EQS21" s="204"/>
      <c r="EQT21" s="204"/>
      <c r="EQU21" s="204"/>
      <c r="EQV21" s="204"/>
      <c r="EQW21" s="204"/>
      <c r="EQX21" s="204"/>
      <c r="EQY21" s="204"/>
      <c r="EQZ21" s="204"/>
      <c r="ERA21" s="204"/>
      <c r="ERB21" s="204"/>
      <c r="ERC21" s="204"/>
      <c r="ERD21" s="204"/>
      <c r="ERE21" s="204"/>
      <c r="ERF21" s="204"/>
      <c r="ERG21" s="204"/>
      <c r="ERH21" s="204"/>
      <c r="ERI21" s="204"/>
      <c r="ERJ21" s="204"/>
      <c r="ERK21" s="204"/>
      <c r="ERL21" s="204"/>
      <c r="ERM21" s="204"/>
      <c r="ERN21" s="204"/>
      <c r="ERO21" s="204"/>
      <c r="ERP21" s="204"/>
      <c r="ERQ21" s="204"/>
      <c r="ERR21" s="204"/>
      <c r="ERS21" s="204"/>
      <c r="ERT21" s="204"/>
      <c r="ERU21" s="204"/>
      <c r="ERV21" s="204"/>
      <c r="ERW21" s="204"/>
      <c r="ERX21" s="204"/>
      <c r="ERY21" s="204"/>
      <c r="ERZ21" s="204"/>
      <c r="ESA21" s="204"/>
      <c r="ESB21" s="204"/>
      <c r="ESC21" s="204"/>
      <c r="ESD21" s="204"/>
      <c r="ESE21" s="204"/>
      <c r="ESF21" s="204"/>
      <c r="ESG21" s="204"/>
      <c r="ESH21" s="204"/>
      <c r="ESI21" s="204"/>
      <c r="ESJ21" s="204"/>
      <c r="ESK21" s="204"/>
      <c r="ESL21" s="204"/>
      <c r="ESM21" s="204"/>
      <c r="ESN21" s="204"/>
      <c r="ESO21" s="204"/>
      <c r="ESP21" s="204"/>
      <c r="ESQ21" s="204"/>
      <c r="ESR21" s="204"/>
      <c r="ESS21" s="204"/>
      <c r="EST21" s="204"/>
      <c r="ESU21" s="204"/>
      <c r="ESV21" s="204"/>
      <c r="ESW21" s="204"/>
      <c r="ESX21" s="204"/>
      <c r="ESY21" s="204"/>
      <c r="ESZ21" s="204"/>
      <c r="ETA21" s="204"/>
      <c r="ETB21" s="204"/>
      <c r="ETC21" s="204"/>
      <c r="ETD21" s="204"/>
      <c r="ETE21" s="204"/>
      <c r="ETF21" s="204"/>
      <c r="ETG21" s="204"/>
      <c r="ETH21" s="204"/>
      <c r="ETI21" s="204"/>
      <c r="ETJ21" s="204"/>
      <c r="ETK21" s="204"/>
      <c r="ETL21" s="204"/>
      <c r="ETM21" s="204"/>
      <c r="ETN21" s="204"/>
      <c r="ETO21" s="204"/>
      <c r="ETP21" s="204"/>
      <c r="ETQ21" s="204"/>
      <c r="ETR21" s="204"/>
      <c r="ETS21" s="204"/>
      <c r="ETT21" s="204"/>
      <c r="ETU21" s="204"/>
      <c r="ETV21" s="204"/>
      <c r="ETW21" s="204"/>
      <c r="ETX21" s="204"/>
      <c r="ETY21" s="204"/>
      <c r="ETZ21" s="204"/>
      <c r="EUA21" s="204"/>
      <c r="EUB21" s="204"/>
      <c r="EUC21" s="204"/>
      <c r="EUD21" s="204"/>
      <c r="EUE21" s="204"/>
      <c r="EUF21" s="204"/>
      <c r="EUG21" s="204"/>
      <c r="EUH21" s="204"/>
      <c r="EUI21" s="204"/>
      <c r="EUJ21" s="204"/>
      <c r="EUK21" s="204"/>
      <c r="EUL21" s="204"/>
      <c r="EUM21" s="204"/>
      <c r="EUN21" s="204"/>
      <c r="EUO21" s="204"/>
      <c r="EUP21" s="204"/>
      <c r="EUQ21" s="204"/>
      <c r="EUR21" s="204"/>
      <c r="EUS21" s="204"/>
      <c r="EUT21" s="204"/>
      <c r="EUU21" s="204"/>
      <c r="EUV21" s="204"/>
      <c r="EUW21" s="204"/>
      <c r="EUX21" s="204"/>
      <c r="EUY21" s="204"/>
      <c r="EUZ21" s="204"/>
      <c r="EVA21" s="204"/>
      <c r="EVB21" s="204"/>
      <c r="EVC21" s="204"/>
      <c r="EVD21" s="204"/>
      <c r="EVE21" s="204"/>
      <c r="EVF21" s="204"/>
      <c r="EVG21" s="204"/>
      <c r="EVH21" s="204"/>
      <c r="EVI21" s="204"/>
      <c r="EVJ21" s="204"/>
      <c r="EVK21" s="204"/>
      <c r="EVL21" s="204"/>
      <c r="EVM21" s="204"/>
      <c r="EVN21" s="204"/>
      <c r="EVO21" s="204"/>
      <c r="EVP21" s="204"/>
      <c r="EVQ21" s="204"/>
      <c r="EVR21" s="204"/>
      <c r="EVS21" s="204"/>
      <c r="EVT21" s="204"/>
      <c r="EVU21" s="204"/>
      <c r="EVV21" s="204"/>
      <c r="EVW21" s="204"/>
      <c r="EVX21" s="204"/>
      <c r="EVY21" s="204"/>
      <c r="EVZ21" s="204"/>
      <c r="EWA21" s="204"/>
      <c r="EWB21" s="204"/>
      <c r="EWC21" s="204"/>
      <c r="EWD21" s="204"/>
      <c r="EWE21" s="204"/>
      <c r="EWF21" s="204"/>
      <c r="EWG21" s="204"/>
      <c r="EWH21" s="204"/>
      <c r="EWI21" s="204"/>
      <c r="EWJ21" s="204"/>
      <c r="EWK21" s="204"/>
      <c r="EWL21" s="204"/>
      <c r="EWM21" s="204"/>
      <c r="EWN21" s="204"/>
      <c r="EWO21" s="204"/>
      <c r="EWP21" s="204"/>
      <c r="EWQ21" s="204"/>
      <c r="EWR21" s="204"/>
      <c r="EWS21" s="204"/>
      <c r="EWT21" s="204"/>
      <c r="EWU21" s="204"/>
      <c r="EWV21" s="204"/>
      <c r="EWW21" s="204"/>
      <c r="EWX21" s="204"/>
      <c r="EWY21" s="204"/>
      <c r="EWZ21" s="204"/>
      <c r="EXA21" s="204"/>
      <c r="EXB21" s="204"/>
      <c r="EXC21" s="204"/>
      <c r="EXD21" s="204"/>
      <c r="EXE21" s="204"/>
      <c r="EXF21" s="204"/>
      <c r="EXG21" s="204"/>
      <c r="EXH21" s="204"/>
      <c r="EXI21" s="204"/>
      <c r="EXJ21" s="204"/>
      <c r="EXK21" s="204"/>
      <c r="EXL21" s="204"/>
      <c r="EXM21" s="204"/>
      <c r="EXN21" s="204"/>
      <c r="EXO21" s="204"/>
      <c r="EXP21" s="204"/>
      <c r="EXQ21" s="204"/>
      <c r="EXR21" s="204"/>
      <c r="EXS21" s="204"/>
      <c r="EXT21" s="204"/>
      <c r="EXU21" s="204"/>
      <c r="EXV21" s="204"/>
      <c r="EXW21" s="204"/>
      <c r="EXX21" s="204"/>
      <c r="EXY21" s="204"/>
      <c r="EXZ21" s="204"/>
      <c r="EYA21" s="204"/>
      <c r="EYB21" s="204"/>
      <c r="EYC21" s="204"/>
      <c r="EYD21" s="204"/>
      <c r="EYE21" s="204"/>
      <c r="EYF21" s="204"/>
      <c r="EYG21" s="204"/>
      <c r="EYH21" s="204"/>
      <c r="EYI21" s="204"/>
      <c r="EYJ21" s="204"/>
      <c r="EYK21" s="204"/>
      <c r="EYL21" s="204"/>
      <c r="EYM21" s="204"/>
      <c r="EYN21" s="204"/>
      <c r="EYO21" s="204"/>
      <c r="EYP21" s="204"/>
      <c r="EYQ21" s="204"/>
      <c r="EYR21" s="204"/>
      <c r="EYS21" s="204"/>
      <c r="EYT21" s="204"/>
      <c r="EYU21" s="204"/>
      <c r="EYV21" s="204"/>
      <c r="EYW21" s="204"/>
      <c r="EYX21" s="204"/>
      <c r="EYY21" s="204"/>
      <c r="EYZ21" s="204"/>
      <c r="EZA21" s="204"/>
      <c r="EZB21" s="204"/>
      <c r="EZC21" s="204"/>
      <c r="EZD21" s="204"/>
      <c r="EZE21" s="204"/>
      <c r="EZF21" s="204"/>
      <c r="EZG21" s="204"/>
      <c r="EZH21" s="204"/>
      <c r="EZI21" s="204"/>
      <c r="EZJ21" s="204"/>
      <c r="EZK21" s="204"/>
      <c r="EZL21" s="204"/>
      <c r="EZM21" s="204"/>
      <c r="EZN21" s="204"/>
      <c r="EZO21" s="204"/>
      <c r="EZP21" s="204"/>
      <c r="EZQ21" s="204"/>
      <c r="EZR21" s="204"/>
      <c r="EZS21" s="204"/>
      <c r="EZT21" s="204"/>
      <c r="EZU21" s="204"/>
      <c r="EZV21" s="204"/>
      <c r="EZW21" s="204"/>
      <c r="EZX21" s="204"/>
      <c r="EZY21" s="204"/>
      <c r="EZZ21" s="204"/>
      <c r="FAA21" s="204"/>
      <c r="FAB21" s="204"/>
      <c r="FAC21" s="204"/>
      <c r="FAD21" s="204"/>
      <c r="FAE21" s="204"/>
      <c r="FAF21" s="204"/>
      <c r="FAG21" s="204"/>
      <c r="FAH21" s="204"/>
      <c r="FAI21" s="204"/>
      <c r="FAJ21" s="204"/>
      <c r="FAK21" s="204"/>
      <c r="FAL21" s="204"/>
      <c r="FAM21" s="204"/>
      <c r="FAN21" s="204"/>
      <c r="FAO21" s="204"/>
      <c r="FAP21" s="204"/>
      <c r="FAQ21" s="204"/>
      <c r="FAR21" s="204"/>
      <c r="FAS21" s="204"/>
      <c r="FAT21" s="204"/>
      <c r="FAU21" s="204"/>
      <c r="FAV21" s="204"/>
      <c r="FAW21" s="204"/>
      <c r="FAX21" s="204"/>
      <c r="FAY21" s="204"/>
      <c r="FAZ21" s="204"/>
      <c r="FBA21" s="204"/>
      <c r="FBB21" s="204"/>
      <c r="FBC21" s="204"/>
      <c r="FBD21" s="204"/>
      <c r="FBE21" s="204"/>
      <c r="FBF21" s="204"/>
      <c r="FBG21" s="204"/>
      <c r="FBH21" s="204"/>
      <c r="FBI21" s="204"/>
      <c r="FBJ21" s="204"/>
      <c r="FBK21" s="204"/>
      <c r="FBL21" s="204"/>
      <c r="FBM21" s="204"/>
      <c r="FBN21" s="204"/>
      <c r="FBO21" s="204"/>
      <c r="FBP21" s="204"/>
      <c r="FBQ21" s="204"/>
      <c r="FBR21" s="204"/>
      <c r="FBS21" s="204"/>
      <c r="FBT21" s="204"/>
      <c r="FBU21" s="204"/>
      <c r="FBV21" s="204"/>
      <c r="FBW21" s="204"/>
      <c r="FBX21" s="204"/>
      <c r="FBY21" s="204"/>
      <c r="FBZ21" s="204"/>
      <c r="FCA21" s="204"/>
      <c r="FCB21" s="204"/>
      <c r="FCC21" s="204"/>
      <c r="FCD21" s="204"/>
      <c r="FCE21" s="204"/>
      <c r="FCF21" s="204"/>
      <c r="FCG21" s="204"/>
      <c r="FCH21" s="204"/>
      <c r="FCI21" s="204"/>
      <c r="FCJ21" s="204"/>
      <c r="FCK21" s="204"/>
      <c r="FCL21" s="204"/>
      <c r="FCM21" s="204"/>
      <c r="FCN21" s="204"/>
      <c r="FCO21" s="204"/>
      <c r="FCP21" s="204"/>
      <c r="FCQ21" s="204"/>
      <c r="FCR21" s="204"/>
      <c r="FCS21" s="204"/>
      <c r="FCT21" s="204"/>
      <c r="FCU21" s="204"/>
      <c r="FCV21" s="204"/>
      <c r="FCW21" s="204"/>
      <c r="FCX21" s="204"/>
      <c r="FCY21" s="204"/>
      <c r="FCZ21" s="204"/>
      <c r="FDA21" s="204"/>
      <c r="FDB21" s="204"/>
      <c r="FDC21" s="204"/>
      <c r="FDD21" s="204"/>
      <c r="FDE21" s="204"/>
      <c r="FDF21" s="204"/>
      <c r="FDG21" s="204"/>
      <c r="FDH21" s="204"/>
      <c r="FDI21" s="204"/>
      <c r="FDJ21" s="204"/>
      <c r="FDK21" s="204"/>
      <c r="FDL21" s="204"/>
      <c r="FDM21" s="204"/>
      <c r="FDN21" s="204"/>
      <c r="FDO21" s="204"/>
      <c r="FDP21" s="204"/>
      <c r="FDQ21" s="204"/>
      <c r="FDR21" s="204"/>
      <c r="FDS21" s="204"/>
      <c r="FDT21" s="204"/>
      <c r="FDU21" s="204"/>
      <c r="FDV21" s="204"/>
      <c r="FDW21" s="204"/>
      <c r="FDX21" s="204"/>
      <c r="FDY21" s="204"/>
      <c r="FDZ21" s="204"/>
      <c r="FEA21" s="204"/>
      <c r="FEB21" s="204"/>
      <c r="FEC21" s="204"/>
      <c r="FED21" s="204"/>
      <c r="FEE21" s="204"/>
      <c r="FEF21" s="204"/>
      <c r="FEG21" s="204"/>
      <c r="FEH21" s="204"/>
      <c r="FEI21" s="204"/>
      <c r="FEJ21" s="204"/>
      <c r="FEK21" s="204"/>
      <c r="FEL21" s="204"/>
      <c r="FEM21" s="204"/>
      <c r="FEN21" s="204"/>
      <c r="FEO21" s="204"/>
      <c r="FEP21" s="204"/>
      <c r="FEQ21" s="204"/>
      <c r="FER21" s="204"/>
      <c r="FES21" s="204"/>
      <c r="FET21" s="204"/>
      <c r="FEU21" s="204"/>
      <c r="FEV21" s="204"/>
      <c r="FEW21" s="204"/>
      <c r="FEX21" s="204"/>
      <c r="FEY21" s="204"/>
      <c r="FEZ21" s="204"/>
      <c r="FFA21" s="204"/>
      <c r="FFB21" s="204"/>
      <c r="FFC21" s="204"/>
      <c r="FFD21" s="204"/>
      <c r="FFE21" s="204"/>
      <c r="FFF21" s="204"/>
      <c r="FFG21" s="204"/>
      <c r="FFH21" s="204"/>
      <c r="FFI21" s="204"/>
      <c r="FFJ21" s="204"/>
      <c r="FFK21" s="204"/>
      <c r="FFL21" s="204"/>
      <c r="FFM21" s="204"/>
      <c r="FFN21" s="204"/>
      <c r="FFO21" s="204"/>
      <c r="FFP21" s="204"/>
      <c r="FFQ21" s="204"/>
      <c r="FFR21" s="204"/>
      <c r="FFS21" s="204"/>
      <c r="FFT21" s="204"/>
      <c r="FFU21" s="204"/>
      <c r="FFV21" s="204"/>
      <c r="FFW21" s="204"/>
      <c r="FFX21" s="204"/>
      <c r="FFY21" s="204"/>
      <c r="FFZ21" s="204"/>
      <c r="FGA21" s="204"/>
      <c r="FGB21" s="204"/>
      <c r="FGC21" s="204"/>
      <c r="FGD21" s="204"/>
      <c r="FGE21" s="204"/>
      <c r="FGF21" s="204"/>
      <c r="FGG21" s="204"/>
      <c r="FGH21" s="204"/>
      <c r="FGI21" s="204"/>
      <c r="FGJ21" s="204"/>
      <c r="FGK21" s="204"/>
      <c r="FGL21" s="204"/>
      <c r="FGM21" s="204"/>
      <c r="FGN21" s="204"/>
      <c r="FGO21" s="204"/>
      <c r="FGP21" s="204"/>
      <c r="FGQ21" s="204"/>
      <c r="FGR21" s="204"/>
      <c r="FGS21" s="204"/>
      <c r="FGT21" s="204"/>
      <c r="FGU21" s="204"/>
      <c r="FGV21" s="204"/>
      <c r="FGW21" s="204"/>
      <c r="FGX21" s="204"/>
      <c r="FGY21" s="204"/>
      <c r="FGZ21" s="204"/>
      <c r="FHA21" s="204"/>
      <c r="FHB21" s="204"/>
      <c r="FHC21" s="204"/>
      <c r="FHD21" s="204"/>
      <c r="FHE21" s="204"/>
      <c r="FHF21" s="204"/>
      <c r="FHG21" s="204"/>
      <c r="FHH21" s="204"/>
      <c r="FHI21" s="204"/>
      <c r="FHJ21" s="204"/>
      <c r="FHK21" s="204"/>
      <c r="FHL21" s="204"/>
      <c r="FHM21" s="204"/>
      <c r="FHN21" s="204"/>
      <c r="FHO21" s="204"/>
      <c r="FHP21" s="204"/>
      <c r="FHQ21" s="204"/>
      <c r="FHR21" s="204"/>
      <c r="FHS21" s="204"/>
      <c r="FHT21" s="204"/>
      <c r="FHU21" s="204"/>
      <c r="FHV21" s="204"/>
      <c r="FHW21" s="204"/>
      <c r="FHX21" s="204"/>
      <c r="FHY21" s="204"/>
      <c r="FHZ21" s="204"/>
      <c r="FIA21" s="204"/>
      <c r="FIB21" s="204"/>
      <c r="FIC21" s="204"/>
      <c r="FID21" s="204"/>
      <c r="FIE21" s="204"/>
      <c r="FIF21" s="204"/>
      <c r="FIG21" s="204"/>
      <c r="FIH21" s="204"/>
      <c r="FII21" s="204"/>
      <c r="FIJ21" s="204"/>
      <c r="FIK21" s="204"/>
      <c r="FIL21" s="204"/>
      <c r="FIM21" s="204"/>
      <c r="FIN21" s="204"/>
      <c r="FIO21" s="204"/>
      <c r="FIP21" s="204"/>
      <c r="FIQ21" s="204"/>
      <c r="FIR21" s="204"/>
      <c r="FIS21" s="204"/>
      <c r="FIT21" s="204"/>
      <c r="FIU21" s="204"/>
      <c r="FIV21" s="204"/>
      <c r="FIW21" s="204"/>
      <c r="FIX21" s="204"/>
      <c r="FIY21" s="204"/>
      <c r="FIZ21" s="204"/>
      <c r="FJA21" s="204"/>
      <c r="FJB21" s="204"/>
      <c r="FJC21" s="204"/>
      <c r="FJD21" s="204"/>
      <c r="FJE21" s="204"/>
      <c r="FJF21" s="204"/>
      <c r="FJG21" s="204"/>
      <c r="FJH21" s="204"/>
      <c r="FJI21" s="204"/>
      <c r="FJJ21" s="204"/>
      <c r="FJK21" s="204"/>
      <c r="FJL21" s="204"/>
      <c r="FJM21" s="204"/>
      <c r="FJN21" s="204"/>
      <c r="FJO21" s="204"/>
      <c r="FJP21" s="204"/>
      <c r="FJQ21" s="204"/>
      <c r="FJR21" s="204"/>
      <c r="FJS21" s="204"/>
      <c r="FJT21" s="204"/>
      <c r="FJU21" s="204"/>
      <c r="FJV21" s="204"/>
      <c r="FJW21" s="204"/>
      <c r="FJX21" s="204"/>
      <c r="FJY21" s="204"/>
      <c r="FJZ21" s="204"/>
      <c r="FKA21" s="204"/>
      <c r="FKB21" s="204"/>
      <c r="FKC21" s="204"/>
      <c r="FKD21" s="204"/>
      <c r="FKE21" s="204"/>
      <c r="FKF21" s="204"/>
      <c r="FKG21" s="204"/>
      <c r="FKH21" s="204"/>
      <c r="FKI21" s="204"/>
      <c r="FKJ21" s="204"/>
      <c r="FKK21" s="204"/>
      <c r="FKL21" s="204"/>
      <c r="FKM21" s="204"/>
      <c r="FKN21" s="204"/>
      <c r="FKO21" s="204"/>
      <c r="FKP21" s="204"/>
      <c r="FKQ21" s="204"/>
      <c r="FKR21" s="204"/>
      <c r="FKS21" s="204"/>
      <c r="FKT21" s="204"/>
      <c r="FKU21" s="204"/>
      <c r="FKV21" s="204"/>
      <c r="FKW21" s="204"/>
      <c r="FKX21" s="204"/>
      <c r="FKY21" s="204"/>
      <c r="FKZ21" s="204"/>
      <c r="FLA21" s="204"/>
      <c r="FLB21" s="204"/>
      <c r="FLC21" s="204"/>
      <c r="FLD21" s="204"/>
      <c r="FLE21" s="204"/>
      <c r="FLF21" s="204"/>
      <c r="FLG21" s="204"/>
      <c r="FLH21" s="204"/>
      <c r="FLI21" s="204"/>
      <c r="FLJ21" s="204"/>
      <c r="FLK21" s="204"/>
      <c r="FLL21" s="204"/>
      <c r="FLM21" s="204"/>
      <c r="FLN21" s="204"/>
      <c r="FLO21" s="204"/>
      <c r="FLP21" s="204"/>
      <c r="FLQ21" s="204"/>
      <c r="FLR21" s="204"/>
      <c r="FLS21" s="204"/>
      <c r="FLT21" s="204"/>
      <c r="FLU21" s="204"/>
      <c r="FLV21" s="204"/>
      <c r="FLW21" s="204"/>
      <c r="FLX21" s="204"/>
      <c r="FLY21" s="204"/>
      <c r="FLZ21" s="204"/>
      <c r="FMA21" s="204"/>
      <c r="FMB21" s="204"/>
      <c r="FMC21" s="204"/>
      <c r="FMD21" s="204"/>
      <c r="FME21" s="204"/>
      <c r="FMF21" s="204"/>
      <c r="FMG21" s="204"/>
      <c r="FMH21" s="204"/>
      <c r="FMI21" s="204"/>
      <c r="FMJ21" s="204"/>
      <c r="FMK21" s="204"/>
      <c r="FML21" s="204"/>
      <c r="FMM21" s="204"/>
      <c r="FMN21" s="204"/>
      <c r="FMO21" s="204"/>
      <c r="FMP21" s="204"/>
      <c r="FMQ21" s="204"/>
      <c r="FMR21" s="204"/>
      <c r="FMS21" s="204"/>
      <c r="FMT21" s="204"/>
      <c r="FMU21" s="204"/>
      <c r="FMV21" s="204"/>
      <c r="FMW21" s="204"/>
      <c r="FMX21" s="204"/>
      <c r="FMY21" s="204"/>
      <c r="FMZ21" s="204"/>
      <c r="FNA21" s="204"/>
      <c r="FNB21" s="204"/>
      <c r="FNC21" s="204"/>
      <c r="FND21" s="204"/>
      <c r="FNE21" s="204"/>
      <c r="FNF21" s="204"/>
      <c r="FNG21" s="204"/>
      <c r="FNH21" s="204"/>
      <c r="FNI21" s="204"/>
      <c r="FNJ21" s="204"/>
      <c r="FNK21" s="204"/>
      <c r="FNL21" s="204"/>
      <c r="FNM21" s="204"/>
      <c r="FNN21" s="204"/>
      <c r="FNO21" s="204"/>
      <c r="FNP21" s="204"/>
      <c r="FNQ21" s="204"/>
      <c r="FNR21" s="204"/>
      <c r="FNS21" s="204"/>
      <c r="FNT21" s="204"/>
      <c r="FNU21" s="204"/>
      <c r="FNV21" s="204"/>
      <c r="FNW21" s="204"/>
      <c r="FNX21" s="204"/>
      <c r="FNY21" s="204"/>
      <c r="FNZ21" s="204"/>
      <c r="FOA21" s="204"/>
      <c r="FOB21" s="204"/>
      <c r="FOC21" s="204"/>
      <c r="FOD21" s="204"/>
      <c r="FOE21" s="204"/>
      <c r="FOF21" s="204"/>
      <c r="FOG21" s="204"/>
      <c r="FOH21" s="204"/>
      <c r="FOI21" s="204"/>
      <c r="FOJ21" s="204"/>
      <c r="FOK21" s="204"/>
      <c r="FOL21" s="204"/>
      <c r="FOM21" s="204"/>
      <c r="FON21" s="204"/>
      <c r="FOO21" s="204"/>
      <c r="FOP21" s="204"/>
      <c r="FOQ21" s="204"/>
      <c r="FOR21" s="204"/>
      <c r="FOS21" s="204"/>
      <c r="FOT21" s="204"/>
      <c r="FOU21" s="204"/>
      <c r="FOV21" s="204"/>
      <c r="FOW21" s="204"/>
      <c r="FOX21" s="204"/>
      <c r="FOY21" s="204"/>
      <c r="FOZ21" s="204"/>
      <c r="FPA21" s="204"/>
      <c r="FPB21" s="204"/>
      <c r="FPC21" s="204"/>
      <c r="FPD21" s="204"/>
      <c r="FPE21" s="204"/>
      <c r="FPF21" s="204"/>
      <c r="FPG21" s="204"/>
      <c r="FPH21" s="204"/>
      <c r="FPI21" s="204"/>
      <c r="FPJ21" s="204"/>
      <c r="FPK21" s="204"/>
      <c r="FPL21" s="204"/>
      <c r="FPM21" s="204"/>
      <c r="FPN21" s="204"/>
      <c r="FPO21" s="204"/>
      <c r="FPP21" s="204"/>
      <c r="FPQ21" s="204"/>
      <c r="FPR21" s="204"/>
      <c r="FPS21" s="204"/>
      <c r="FPT21" s="204"/>
      <c r="FPU21" s="204"/>
      <c r="FPV21" s="204"/>
      <c r="FPW21" s="204"/>
      <c r="FPX21" s="204"/>
      <c r="FPY21" s="204"/>
      <c r="FPZ21" s="204"/>
      <c r="FQA21" s="204"/>
      <c r="FQB21" s="204"/>
      <c r="FQC21" s="204"/>
      <c r="FQD21" s="204"/>
      <c r="FQE21" s="204"/>
      <c r="FQF21" s="204"/>
      <c r="FQG21" s="204"/>
      <c r="FQH21" s="204"/>
      <c r="FQI21" s="204"/>
      <c r="FQJ21" s="204"/>
      <c r="FQK21" s="204"/>
      <c r="FQL21" s="204"/>
      <c r="FQM21" s="204"/>
      <c r="FQN21" s="204"/>
      <c r="FQO21" s="204"/>
      <c r="FQP21" s="204"/>
      <c r="FQQ21" s="204"/>
      <c r="FQR21" s="204"/>
      <c r="FQS21" s="204"/>
      <c r="FQT21" s="204"/>
      <c r="FQU21" s="204"/>
      <c r="FQV21" s="204"/>
      <c r="FQW21" s="204"/>
      <c r="FQX21" s="204"/>
      <c r="FQY21" s="204"/>
      <c r="FQZ21" s="204"/>
      <c r="FRA21" s="204"/>
      <c r="FRB21" s="204"/>
      <c r="FRC21" s="204"/>
      <c r="FRD21" s="204"/>
      <c r="FRE21" s="204"/>
      <c r="FRF21" s="204"/>
      <c r="FRG21" s="204"/>
      <c r="FRH21" s="204"/>
      <c r="FRI21" s="204"/>
      <c r="FRJ21" s="204"/>
      <c r="FRK21" s="204"/>
      <c r="FRL21" s="204"/>
      <c r="FRM21" s="204"/>
      <c r="FRN21" s="204"/>
      <c r="FRO21" s="204"/>
      <c r="FRP21" s="204"/>
      <c r="FRQ21" s="204"/>
      <c r="FRR21" s="204"/>
      <c r="FRS21" s="204"/>
      <c r="FRT21" s="204"/>
      <c r="FRU21" s="204"/>
      <c r="FRV21" s="204"/>
      <c r="FRW21" s="204"/>
      <c r="FRX21" s="204"/>
      <c r="FRY21" s="204"/>
      <c r="FRZ21" s="204"/>
      <c r="FSA21" s="204"/>
      <c r="FSB21" s="204"/>
      <c r="FSC21" s="204"/>
      <c r="FSD21" s="204"/>
      <c r="FSE21" s="204"/>
      <c r="FSF21" s="204"/>
      <c r="FSG21" s="204"/>
      <c r="FSH21" s="204"/>
      <c r="FSI21" s="204"/>
      <c r="FSJ21" s="204"/>
      <c r="FSK21" s="204"/>
      <c r="FSL21" s="204"/>
      <c r="FSM21" s="204"/>
      <c r="FSN21" s="204"/>
      <c r="FSO21" s="204"/>
      <c r="FSP21" s="204"/>
      <c r="FSQ21" s="204"/>
      <c r="FSR21" s="204"/>
      <c r="FSS21" s="204"/>
      <c r="FST21" s="204"/>
      <c r="FSU21" s="204"/>
      <c r="FSV21" s="204"/>
      <c r="FSW21" s="204"/>
      <c r="FSX21" s="204"/>
      <c r="FSY21" s="204"/>
      <c r="FSZ21" s="204"/>
      <c r="FTA21" s="204"/>
      <c r="FTB21" s="204"/>
      <c r="FTC21" s="204"/>
      <c r="FTD21" s="204"/>
      <c r="FTE21" s="204"/>
      <c r="FTF21" s="204"/>
      <c r="FTG21" s="204"/>
      <c r="FTH21" s="204"/>
      <c r="FTI21" s="204"/>
      <c r="FTJ21" s="204"/>
      <c r="FTK21" s="204"/>
      <c r="FTL21" s="204"/>
      <c r="FTM21" s="204"/>
      <c r="FTN21" s="204"/>
      <c r="FTO21" s="204"/>
      <c r="FTP21" s="204"/>
      <c r="FTQ21" s="204"/>
      <c r="FTR21" s="204"/>
      <c r="FTS21" s="204"/>
      <c r="FTT21" s="204"/>
      <c r="FTU21" s="204"/>
      <c r="FTV21" s="204"/>
      <c r="FTW21" s="204"/>
      <c r="FTX21" s="204"/>
      <c r="FTY21" s="204"/>
      <c r="FTZ21" s="204"/>
      <c r="FUA21" s="204"/>
      <c r="FUB21" s="204"/>
      <c r="FUC21" s="204"/>
      <c r="FUD21" s="204"/>
      <c r="FUE21" s="204"/>
      <c r="FUF21" s="204"/>
      <c r="FUG21" s="204"/>
      <c r="FUH21" s="204"/>
      <c r="FUI21" s="204"/>
      <c r="FUJ21" s="204"/>
      <c r="FUK21" s="204"/>
      <c r="FUL21" s="204"/>
      <c r="FUM21" s="204"/>
      <c r="FUN21" s="204"/>
      <c r="FUO21" s="204"/>
      <c r="FUP21" s="204"/>
      <c r="FUQ21" s="204"/>
      <c r="FUR21" s="204"/>
      <c r="FUS21" s="204"/>
      <c r="FUT21" s="204"/>
      <c r="FUU21" s="204"/>
      <c r="FUV21" s="204"/>
      <c r="FUW21" s="204"/>
      <c r="FUX21" s="204"/>
      <c r="FUY21" s="204"/>
      <c r="FUZ21" s="204"/>
      <c r="FVA21" s="204"/>
      <c r="FVB21" s="204"/>
      <c r="FVC21" s="204"/>
      <c r="FVD21" s="204"/>
      <c r="FVE21" s="204"/>
      <c r="FVF21" s="204"/>
      <c r="FVG21" s="204"/>
      <c r="FVH21" s="204"/>
      <c r="FVI21" s="204"/>
      <c r="FVJ21" s="204"/>
      <c r="FVK21" s="204"/>
      <c r="FVL21" s="204"/>
      <c r="FVM21" s="204"/>
      <c r="FVN21" s="204"/>
      <c r="FVO21" s="204"/>
      <c r="FVP21" s="204"/>
      <c r="FVQ21" s="204"/>
      <c r="FVR21" s="204"/>
      <c r="FVS21" s="204"/>
      <c r="FVT21" s="204"/>
      <c r="FVU21" s="204"/>
      <c r="FVV21" s="204"/>
      <c r="FVW21" s="204"/>
      <c r="FVX21" s="204"/>
      <c r="FVY21" s="204"/>
      <c r="FVZ21" s="204"/>
      <c r="FWA21" s="204"/>
      <c r="FWB21" s="204"/>
      <c r="FWC21" s="204"/>
      <c r="FWD21" s="204"/>
      <c r="FWE21" s="204"/>
      <c r="FWF21" s="204"/>
      <c r="FWG21" s="204"/>
      <c r="FWH21" s="204"/>
      <c r="FWI21" s="204"/>
      <c r="FWJ21" s="204"/>
      <c r="FWK21" s="204"/>
      <c r="FWL21" s="204"/>
      <c r="FWM21" s="204"/>
      <c r="FWN21" s="204"/>
      <c r="FWO21" s="204"/>
      <c r="FWP21" s="204"/>
      <c r="FWQ21" s="204"/>
      <c r="FWR21" s="204"/>
      <c r="FWS21" s="204"/>
      <c r="FWT21" s="204"/>
      <c r="FWU21" s="204"/>
      <c r="FWV21" s="204"/>
      <c r="FWW21" s="204"/>
      <c r="FWX21" s="204"/>
      <c r="FWY21" s="204"/>
      <c r="FWZ21" s="204"/>
      <c r="FXA21" s="204"/>
      <c r="FXB21" s="204"/>
      <c r="FXC21" s="204"/>
      <c r="FXD21" s="204"/>
      <c r="FXE21" s="204"/>
      <c r="FXF21" s="204"/>
      <c r="FXG21" s="204"/>
      <c r="FXH21" s="204"/>
      <c r="FXI21" s="204"/>
      <c r="FXJ21" s="204"/>
      <c r="FXK21" s="204"/>
      <c r="FXL21" s="204"/>
      <c r="FXM21" s="204"/>
      <c r="FXN21" s="204"/>
      <c r="FXO21" s="204"/>
      <c r="FXP21" s="204"/>
      <c r="FXQ21" s="204"/>
      <c r="FXR21" s="204"/>
      <c r="FXS21" s="204"/>
      <c r="FXT21" s="204"/>
      <c r="FXU21" s="204"/>
      <c r="FXV21" s="204"/>
      <c r="FXW21" s="204"/>
      <c r="FXX21" s="204"/>
      <c r="FXY21" s="204"/>
      <c r="FXZ21" s="204"/>
      <c r="FYA21" s="204"/>
      <c r="FYB21" s="204"/>
      <c r="FYC21" s="204"/>
      <c r="FYD21" s="204"/>
      <c r="FYE21" s="204"/>
      <c r="FYF21" s="204"/>
      <c r="FYG21" s="204"/>
      <c r="FYH21" s="204"/>
      <c r="FYI21" s="204"/>
      <c r="FYJ21" s="204"/>
      <c r="FYK21" s="204"/>
      <c r="FYL21" s="204"/>
      <c r="FYM21" s="204"/>
      <c r="FYN21" s="204"/>
      <c r="FYO21" s="204"/>
      <c r="FYP21" s="204"/>
      <c r="FYQ21" s="204"/>
      <c r="FYR21" s="204"/>
      <c r="FYS21" s="204"/>
      <c r="FYT21" s="204"/>
      <c r="FYU21" s="204"/>
      <c r="FYV21" s="204"/>
      <c r="FYW21" s="204"/>
      <c r="FYX21" s="204"/>
      <c r="FYY21" s="204"/>
      <c r="FYZ21" s="204"/>
      <c r="FZA21" s="204"/>
      <c r="FZB21" s="204"/>
      <c r="FZC21" s="204"/>
      <c r="FZD21" s="204"/>
      <c r="FZE21" s="204"/>
      <c r="FZF21" s="204"/>
      <c r="FZG21" s="204"/>
      <c r="FZH21" s="204"/>
      <c r="FZI21" s="204"/>
      <c r="FZJ21" s="204"/>
      <c r="FZK21" s="204"/>
      <c r="FZL21" s="204"/>
      <c r="FZM21" s="204"/>
      <c r="FZN21" s="204"/>
      <c r="FZO21" s="204"/>
      <c r="FZP21" s="204"/>
      <c r="FZQ21" s="204"/>
      <c r="FZR21" s="204"/>
      <c r="FZS21" s="204"/>
      <c r="FZT21" s="204"/>
      <c r="FZU21" s="204"/>
      <c r="FZV21" s="204"/>
      <c r="FZW21" s="204"/>
      <c r="FZX21" s="204"/>
      <c r="FZY21" s="204"/>
      <c r="FZZ21" s="204"/>
      <c r="GAA21" s="204"/>
      <c r="GAB21" s="204"/>
      <c r="GAC21" s="204"/>
      <c r="GAD21" s="204"/>
      <c r="GAE21" s="204"/>
      <c r="GAF21" s="204"/>
      <c r="GAG21" s="204"/>
      <c r="GAH21" s="204"/>
      <c r="GAI21" s="204"/>
      <c r="GAJ21" s="204"/>
      <c r="GAK21" s="204"/>
      <c r="GAL21" s="204"/>
      <c r="GAM21" s="204"/>
      <c r="GAN21" s="204"/>
      <c r="GAO21" s="204"/>
      <c r="GAP21" s="204"/>
      <c r="GAQ21" s="204"/>
      <c r="GAR21" s="204"/>
      <c r="GAS21" s="204"/>
      <c r="GAT21" s="204"/>
      <c r="GAU21" s="204"/>
      <c r="GAV21" s="204"/>
      <c r="GAW21" s="204"/>
      <c r="GAX21" s="204"/>
      <c r="GAY21" s="204"/>
      <c r="GAZ21" s="204"/>
      <c r="GBA21" s="204"/>
      <c r="GBB21" s="204"/>
      <c r="GBC21" s="204"/>
      <c r="GBD21" s="204"/>
      <c r="GBE21" s="204"/>
      <c r="GBF21" s="204"/>
      <c r="GBG21" s="204"/>
      <c r="GBH21" s="204"/>
      <c r="GBI21" s="204"/>
      <c r="GBJ21" s="204"/>
      <c r="GBK21" s="204"/>
      <c r="GBL21" s="204"/>
      <c r="GBM21" s="204"/>
      <c r="GBN21" s="204"/>
      <c r="GBO21" s="204"/>
      <c r="GBP21" s="204"/>
      <c r="GBQ21" s="204"/>
      <c r="GBR21" s="204"/>
      <c r="GBS21" s="204"/>
      <c r="GBT21" s="204"/>
      <c r="GBU21" s="204"/>
      <c r="GBV21" s="204"/>
      <c r="GBW21" s="204"/>
      <c r="GBX21" s="204"/>
      <c r="GBY21" s="204"/>
      <c r="GBZ21" s="204"/>
      <c r="GCA21" s="204"/>
      <c r="GCB21" s="204"/>
      <c r="GCC21" s="204"/>
      <c r="GCD21" s="204"/>
      <c r="GCE21" s="204"/>
      <c r="GCF21" s="204"/>
      <c r="GCG21" s="204"/>
      <c r="GCH21" s="204"/>
      <c r="GCI21" s="204"/>
      <c r="GCJ21" s="204"/>
      <c r="GCK21" s="204"/>
      <c r="GCL21" s="204"/>
      <c r="GCM21" s="204"/>
      <c r="GCN21" s="204"/>
      <c r="GCO21" s="204"/>
      <c r="GCP21" s="204"/>
      <c r="GCQ21" s="204"/>
      <c r="GCR21" s="204"/>
      <c r="GCS21" s="204"/>
      <c r="GCT21" s="204"/>
      <c r="GCU21" s="204"/>
      <c r="GCV21" s="204"/>
      <c r="GCW21" s="204"/>
      <c r="GCX21" s="204"/>
      <c r="GCY21" s="204"/>
      <c r="GCZ21" s="204"/>
      <c r="GDA21" s="204"/>
      <c r="GDB21" s="204"/>
      <c r="GDC21" s="204"/>
      <c r="GDD21" s="204"/>
      <c r="GDE21" s="204"/>
      <c r="GDF21" s="204"/>
      <c r="GDG21" s="204"/>
      <c r="GDH21" s="204"/>
      <c r="GDI21" s="204"/>
      <c r="GDJ21" s="204"/>
      <c r="GDK21" s="204"/>
      <c r="GDL21" s="204"/>
      <c r="GDM21" s="204"/>
      <c r="GDN21" s="204"/>
      <c r="GDO21" s="204"/>
      <c r="GDP21" s="204"/>
      <c r="GDQ21" s="204"/>
      <c r="GDR21" s="204"/>
      <c r="GDS21" s="204"/>
      <c r="GDT21" s="204"/>
      <c r="GDU21" s="204"/>
      <c r="GDV21" s="204"/>
      <c r="GDW21" s="204"/>
      <c r="GDX21" s="204"/>
      <c r="GDY21" s="204"/>
      <c r="GDZ21" s="204"/>
      <c r="GEA21" s="204"/>
      <c r="GEB21" s="204"/>
      <c r="GEC21" s="204"/>
      <c r="GED21" s="204"/>
      <c r="GEE21" s="204"/>
      <c r="GEF21" s="204"/>
      <c r="GEG21" s="204"/>
      <c r="GEH21" s="204"/>
      <c r="GEI21" s="204"/>
      <c r="GEJ21" s="204"/>
      <c r="GEK21" s="204"/>
      <c r="GEL21" s="204"/>
      <c r="GEM21" s="204"/>
      <c r="GEN21" s="204"/>
      <c r="GEO21" s="204"/>
      <c r="GEP21" s="204"/>
      <c r="GEQ21" s="204"/>
      <c r="GER21" s="204"/>
      <c r="GES21" s="204"/>
      <c r="GET21" s="204"/>
      <c r="GEU21" s="204"/>
      <c r="GEV21" s="204"/>
      <c r="GEW21" s="204"/>
      <c r="GEX21" s="204"/>
      <c r="GEY21" s="204"/>
      <c r="GEZ21" s="204"/>
      <c r="GFA21" s="204"/>
      <c r="GFB21" s="204"/>
      <c r="GFC21" s="204"/>
      <c r="GFD21" s="204"/>
      <c r="GFE21" s="204"/>
      <c r="GFF21" s="204"/>
      <c r="GFG21" s="204"/>
      <c r="GFH21" s="204"/>
      <c r="GFI21" s="204"/>
      <c r="GFJ21" s="204"/>
      <c r="GFK21" s="204"/>
      <c r="GFL21" s="204"/>
      <c r="GFM21" s="204"/>
      <c r="GFN21" s="204"/>
      <c r="GFO21" s="204"/>
      <c r="GFP21" s="204"/>
      <c r="GFQ21" s="204"/>
      <c r="GFR21" s="204"/>
      <c r="GFS21" s="204"/>
      <c r="GFT21" s="204"/>
      <c r="GFU21" s="204"/>
      <c r="GFV21" s="204"/>
      <c r="GFW21" s="204"/>
      <c r="GFX21" s="204"/>
      <c r="GFY21" s="204"/>
      <c r="GFZ21" s="204"/>
      <c r="GGA21" s="204"/>
      <c r="GGB21" s="204"/>
      <c r="GGC21" s="204"/>
      <c r="GGD21" s="204"/>
      <c r="GGE21" s="204"/>
      <c r="GGF21" s="204"/>
      <c r="GGG21" s="204"/>
      <c r="GGH21" s="204"/>
      <c r="GGI21" s="204"/>
      <c r="GGJ21" s="204"/>
      <c r="GGK21" s="204"/>
      <c r="GGL21" s="204"/>
      <c r="GGM21" s="204"/>
      <c r="GGN21" s="204"/>
      <c r="GGO21" s="204"/>
      <c r="GGP21" s="204"/>
      <c r="GGQ21" s="204"/>
      <c r="GGR21" s="204"/>
      <c r="GGS21" s="204"/>
      <c r="GGT21" s="204"/>
      <c r="GGU21" s="204"/>
      <c r="GGV21" s="204"/>
      <c r="GGW21" s="204"/>
      <c r="GGX21" s="204"/>
      <c r="GGY21" s="204"/>
      <c r="GGZ21" s="204"/>
      <c r="GHA21" s="204"/>
      <c r="GHB21" s="204"/>
      <c r="GHC21" s="204"/>
      <c r="GHD21" s="204"/>
      <c r="GHE21" s="204"/>
      <c r="GHF21" s="204"/>
      <c r="GHG21" s="204"/>
      <c r="GHH21" s="204"/>
      <c r="GHI21" s="204"/>
      <c r="GHJ21" s="204"/>
      <c r="GHK21" s="204"/>
      <c r="GHL21" s="204"/>
      <c r="GHM21" s="204"/>
      <c r="GHN21" s="204"/>
      <c r="GHO21" s="204"/>
      <c r="GHP21" s="204"/>
      <c r="GHQ21" s="204"/>
      <c r="GHR21" s="204"/>
      <c r="GHS21" s="204"/>
      <c r="GHT21" s="204"/>
      <c r="GHU21" s="204"/>
      <c r="GHV21" s="204"/>
      <c r="GHW21" s="204"/>
      <c r="GHX21" s="204"/>
      <c r="GHY21" s="204"/>
      <c r="GHZ21" s="204"/>
      <c r="GIA21" s="204"/>
      <c r="GIB21" s="204"/>
      <c r="GIC21" s="204"/>
      <c r="GID21" s="204"/>
      <c r="GIE21" s="204"/>
      <c r="GIF21" s="204"/>
      <c r="GIG21" s="204"/>
      <c r="GIH21" s="204"/>
      <c r="GII21" s="204"/>
      <c r="GIJ21" s="204"/>
      <c r="GIK21" s="204"/>
      <c r="GIL21" s="204"/>
      <c r="GIM21" s="204"/>
      <c r="GIN21" s="204"/>
      <c r="GIO21" s="204"/>
      <c r="GIP21" s="204"/>
      <c r="GIQ21" s="204"/>
      <c r="GIR21" s="204"/>
      <c r="GIS21" s="204"/>
      <c r="GIT21" s="204"/>
      <c r="GIU21" s="204"/>
      <c r="GIV21" s="204"/>
      <c r="GIW21" s="204"/>
      <c r="GIX21" s="204"/>
      <c r="GIY21" s="204"/>
      <c r="GIZ21" s="204"/>
      <c r="GJA21" s="204"/>
      <c r="GJB21" s="204"/>
      <c r="GJC21" s="204"/>
      <c r="GJD21" s="204"/>
      <c r="GJE21" s="204"/>
      <c r="GJF21" s="204"/>
      <c r="GJG21" s="204"/>
      <c r="GJH21" s="204"/>
      <c r="GJI21" s="204"/>
      <c r="GJJ21" s="204"/>
      <c r="GJK21" s="204"/>
      <c r="GJL21" s="204"/>
      <c r="GJM21" s="204"/>
      <c r="GJN21" s="204"/>
      <c r="GJO21" s="204"/>
      <c r="GJP21" s="204"/>
      <c r="GJQ21" s="204"/>
      <c r="GJR21" s="204"/>
      <c r="GJS21" s="204"/>
      <c r="GJT21" s="204"/>
      <c r="GJU21" s="204"/>
      <c r="GJV21" s="204"/>
      <c r="GJW21" s="204"/>
      <c r="GJX21" s="204"/>
      <c r="GJY21" s="204"/>
      <c r="GJZ21" s="204"/>
      <c r="GKA21" s="204"/>
      <c r="GKB21" s="204"/>
      <c r="GKC21" s="204"/>
      <c r="GKD21" s="204"/>
      <c r="GKE21" s="204"/>
      <c r="GKF21" s="204"/>
      <c r="GKG21" s="204"/>
      <c r="GKH21" s="204"/>
      <c r="GKI21" s="204"/>
      <c r="GKJ21" s="204"/>
      <c r="GKK21" s="204"/>
      <c r="GKL21" s="204"/>
      <c r="GKM21" s="204"/>
      <c r="GKN21" s="204"/>
      <c r="GKO21" s="204"/>
      <c r="GKP21" s="204"/>
      <c r="GKQ21" s="204"/>
      <c r="GKR21" s="204"/>
      <c r="GKS21" s="204"/>
      <c r="GKT21" s="204"/>
      <c r="GKU21" s="204"/>
      <c r="GKV21" s="204"/>
      <c r="GKW21" s="204"/>
      <c r="GKX21" s="204"/>
      <c r="GKY21" s="204"/>
      <c r="GKZ21" s="204"/>
      <c r="GLA21" s="204"/>
      <c r="GLB21" s="204"/>
      <c r="GLC21" s="204"/>
      <c r="GLD21" s="204"/>
      <c r="GLE21" s="204"/>
      <c r="GLF21" s="204"/>
      <c r="GLG21" s="204"/>
      <c r="GLH21" s="204"/>
      <c r="GLI21" s="204"/>
      <c r="GLJ21" s="204"/>
      <c r="GLK21" s="204"/>
      <c r="GLL21" s="204"/>
      <c r="GLM21" s="204"/>
      <c r="GLN21" s="204"/>
      <c r="GLO21" s="204"/>
      <c r="GLP21" s="204"/>
      <c r="GLQ21" s="204"/>
      <c r="GLR21" s="204"/>
      <c r="GLS21" s="204"/>
      <c r="GLT21" s="204"/>
      <c r="GLU21" s="204"/>
      <c r="GLV21" s="204"/>
      <c r="GLW21" s="204"/>
      <c r="GLX21" s="204"/>
      <c r="GLY21" s="204"/>
      <c r="GLZ21" s="204"/>
      <c r="GMA21" s="204"/>
      <c r="GMB21" s="204"/>
      <c r="GMC21" s="204"/>
      <c r="GMD21" s="204"/>
      <c r="GME21" s="204"/>
      <c r="GMF21" s="204"/>
      <c r="GMG21" s="204"/>
      <c r="GMH21" s="204"/>
      <c r="GMI21" s="204"/>
      <c r="GMJ21" s="204"/>
      <c r="GMK21" s="204"/>
      <c r="GML21" s="204"/>
      <c r="GMM21" s="204"/>
      <c r="GMN21" s="204"/>
      <c r="GMO21" s="204"/>
      <c r="GMP21" s="204"/>
      <c r="GMQ21" s="204"/>
      <c r="GMR21" s="204"/>
      <c r="GMS21" s="204"/>
      <c r="GMT21" s="204"/>
      <c r="GMU21" s="204"/>
      <c r="GMV21" s="204"/>
      <c r="GMW21" s="204"/>
      <c r="GMX21" s="204"/>
      <c r="GMY21" s="204"/>
      <c r="GMZ21" s="204"/>
      <c r="GNA21" s="204"/>
      <c r="GNB21" s="204"/>
      <c r="GNC21" s="204"/>
      <c r="GND21" s="204"/>
      <c r="GNE21" s="204"/>
      <c r="GNF21" s="204"/>
      <c r="GNG21" s="204"/>
      <c r="GNH21" s="204"/>
      <c r="GNI21" s="204"/>
      <c r="GNJ21" s="204"/>
      <c r="GNK21" s="204"/>
      <c r="GNL21" s="204"/>
      <c r="GNM21" s="204"/>
      <c r="GNN21" s="204"/>
      <c r="GNO21" s="204"/>
      <c r="GNP21" s="204"/>
      <c r="GNQ21" s="204"/>
      <c r="GNR21" s="204"/>
      <c r="GNS21" s="204"/>
      <c r="GNT21" s="204"/>
      <c r="GNU21" s="204"/>
      <c r="GNV21" s="204"/>
      <c r="GNW21" s="204"/>
      <c r="GNX21" s="204"/>
      <c r="GNY21" s="204"/>
      <c r="GNZ21" s="204"/>
      <c r="GOA21" s="204"/>
      <c r="GOB21" s="204"/>
      <c r="GOC21" s="204"/>
      <c r="GOD21" s="204"/>
      <c r="GOE21" s="204"/>
      <c r="GOF21" s="204"/>
      <c r="GOG21" s="204"/>
      <c r="GOH21" s="204"/>
      <c r="GOI21" s="204"/>
      <c r="GOJ21" s="204"/>
      <c r="GOK21" s="204"/>
      <c r="GOL21" s="204"/>
      <c r="GOM21" s="204"/>
      <c r="GON21" s="204"/>
      <c r="GOO21" s="204"/>
      <c r="GOP21" s="204"/>
      <c r="GOQ21" s="204"/>
      <c r="GOR21" s="204"/>
      <c r="GOS21" s="204"/>
      <c r="GOT21" s="204"/>
      <c r="GOU21" s="204"/>
      <c r="GOV21" s="204"/>
      <c r="GOW21" s="204"/>
      <c r="GOX21" s="204"/>
      <c r="GOY21" s="204"/>
      <c r="GOZ21" s="204"/>
      <c r="GPA21" s="204"/>
      <c r="GPB21" s="204"/>
      <c r="GPC21" s="204"/>
      <c r="GPD21" s="204"/>
      <c r="GPE21" s="204"/>
      <c r="GPF21" s="204"/>
      <c r="GPG21" s="204"/>
      <c r="GPH21" s="204"/>
      <c r="GPI21" s="204"/>
      <c r="GPJ21" s="204"/>
      <c r="GPK21" s="204"/>
      <c r="GPL21" s="204"/>
      <c r="GPM21" s="204"/>
      <c r="GPN21" s="204"/>
      <c r="GPO21" s="204"/>
      <c r="GPP21" s="204"/>
      <c r="GPQ21" s="204"/>
      <c r="GPR21" s="204"/>
      <c r="GPS21" s="204"/>
      <c r="GPT21" s="204"/>
      <c r="GPU21" s="204"/>
      <c r="GPV21" s="204"/>
      <c r="GPW21" s="204"/>
      <c r="GPX21" s="204"/>
      <c r="GPY21" s="204"/>
      <c r="GPZ21" s="204"/>
      <c r="GQA21" s="204"/>
      <c r="GQB21" s="204"/>
      <c r="GQC21" s="204"/>
      <c r="GQD21" s="204"/>
      <c r="GQE21" s="204"/>
      <c r="GQF21" s="204"/>
      <c r="GQG21" s="204"/>
      <c r="GQH21" s="204"/>
      <c r="GQI21" s="204"/>
      <c r="GQJ21" s="204"/>
      <c r="GQK21" s="204"/>
      <c r="GQL21" s="204"/>
      <c r="GQM21" s="204"/>
      <c r="GQN21" s="204"/>
      <c r="GQO21" s="204"/>
      <c r="GQP21" s="204"/>
      <c r="GQQ21" s="204"/>
      <c r="GQR21" s="204"/>
      <c r="GQS21" s="204"/>
      <c r="GQT21" s="204"/>
      <c r="GQU21" s="204"/>
      <c r="GQV21" s="204"/>
      <c r="GQW21" s="204"/>
      <c r="GQX21" s="204"/>
      <c r="GQY21" s="204"/>
      <c r="GQZ21" s="204"/>
      <c r="GRA21" s="204"/>
      <c r="GRB21" s="204"/>
      <c r="GRC21" s="204"/>
      <c r="GRD21" s="204"/>
      <c r="GRE21" s="204"/>
      <c r="GRF21" s="204"/>
      <c r="GRG21" s="204"/>
      <c r="GRH21" s="204"/>
      <c r="GRI21" s="204"/>
      <c r="GRJ21" s="204"/>
      <c r="GRK21" s="204"/>
      <c r="GRL21" s="204"/>
      <c r="GRM21" s="204"/>
      <c r="GRN21" s="204"/>
      <c r="GRO21" s="204"/>
      <c r="GRP21" s="204"/>
      <c r="GRQ21" s="204"/>
      <c r="GRR21" s="204"/>
      <c r="GRS21" s="204"/>
      <c r="GRT21" s="204"/>
      <c r="GRU21" s="204"/>
      <c r="GRV21" s="204"/>
      <c r="GRW21" s="204"/>
      <c r="GRX21" s="204"/>
      <c r="GRY21" s="204"/>
      <c r="GRZ21" s="204"/>
      <c r="GSA21" s="204"/>
      <c r="GSB21" s="204"/>
      <c r="GSC21" s="204"/>
      <c r="GSD21" s="204"/>
      <c r="GSE21" s="204"/>
      <c r="GSF21" s="204"/>
      <c r="GSG21" s="204"/>
      <c r="GSH21" s="204"/>
      <c r="GSI21" s="204"/>
      <c r="GSJ21" s="204"/>
      <c r="GSK21" s="204"/>
      <c r="GSL21" s="204"/>
      <c r="GSM21" s="204"/>
      <c r="GSN21" s="204"/>
      <c r="GSO21" s="204"/>
      <c r="GSP21" s="204"/>
      <c r="GSQ21" s="204"/>
      <c r="GSR21" s="204"/>
      <c r="GSS21" s="204"/>
      <c r="GST21" s="204"/>
      <c r="GSU21" s="204"/>
      <c r="GSV21" s="204"/>
      <c r="GSW21" s="204"/>
      <c r="GSX21" s="204"/>
      <c r="GSY21" s="204"/>
      <c r="GSZ21" s="204"/>
      <c r="GTA21" s="204"/>
      <c r="GTB21" s="204"/>
      <c r="GTC21" s="204"/>
      <c r="GTD21" s="204"/>
      <c r="GTE21" s="204"/>
      <c r="GTF21" s="204"/>
      <c r="GTG21" s="204"/>
      <c r="GTH21" s="204"/>
      <c r="GTI21" s="204"/>
      <c r="GTJ21" s="204"/>
      <c r="GTK21" s="204"/>
      <c r="GTL21" s="204"/>
      <c r="GTM21" s="204"/>
      <c r="GTN21" s="204"/>
      <c r="GTO21" s="204"/>
      <c r="GTP21" s="204"/>
      <c r="GTQ21" s="204"/>
      <c r="GTR21" s="204"/>
      <c r="GTS21" s="204"/>
      <c r="GTT21" s="204"/>
      <c r="GTU21" s="204"/>
      <c r="GTV21" s="204"/>
      <c r="GTW21" s="204"/>
      <c r="GTX21" s="204"/>
      <c r="GTY21" s="204"/>
      <c r="GTZ21" s="204"/>
      <c r="GUA21" s="204"/>
      <c r="GUB21" s="204"/>
      <c r="GUC21" s="204"/>
      <c r="GUD21" s="204"/>
      <c r="GUE21" s="204"/>
      <c r="GUF21" s="204"/>
      <c r="GUG21" s="204"/>
      <c r="GUH21" s="204"/>
      <c r="GUI21" s="204"/>
      <c r="GUJ21" s="204"/>
      <c r="GUK21" s="204"/>
      <c r="GUL21" s="204"/>
      <c r="GUM21" s="204"/>
      <c r="GUN21" s="204"/>
      <c r="GUO21" s="204"/>
      <c r="GUP21" s="204"/>
      <c r="GUQ21" s="204"/>
      <c r="GUR21" s="204"/>
      <c r="GUS21" s="204"/>
      <c r="GUT21" s="204"/>
      <c r="GUU21" s="204"/>
      <c r="GUV21" s="204"/>
      <c r="GUW21" s="204"/>
      <c r="GUX21" s="204"/>
      <c r="GUY21" s="204"/>
      <c r="GUZ21" s="204"/>
      <c r="GVA21" s="204"/>
      <c r="GVB21" s="204"/>
      <c r="GVC21" s="204"/>
      <c r="GVD21" s="204"/>
      <c r="GVE21" s="204"/>
      <c r="GVF21" s="204"/>
      <c r="GVG21" s="204"/>
      <c r="GVH21" s="204"/>
      <c r="GVI21" s="204"/>
      <c r="GVJ21" s="204"/>
      <c r="GVK21" s="204"/>
      <c r="GVL21" s="204"/>
      <c r="GVM21" s="204"/>
      <c r="GVN21" s="204"/>
      <c r="GVO21" s="204"/>
      <c r="GVP21" s="204"/>
      <c r="GVQ21" s="204"/>
      <c r="GVR21" s="204"/>
      <c r="GVS21" s="204"/>
      <c r="GVT21" s="204"/>
      <c r="GVU21" s="204"/>
      <c r="GVV21" s="204"/>
      <c r="GVW21" s="204"/>
      <c r="GVX21" s="204"/>
      <c r="GVY21" s="204"/>
      <c r="GVZ21" s="204"/>
      <c r="GWA21" s="204"/>
      <c r="GWB21" s="204"/>
      <c r="GWC21" s="204"/>
      <c r="GWD21" s="204"/>
      <c r="GWE21" s="204"/>
      <c r="GWF21" s="204"/>
      <c r="GWG21" s="204"/>
      <c r="GWH21" s="204"/>
      <c r="GWI21" s="204"/>
      <c r="GWJ21" s="204"/>
      <c r="GWK21" s="204"/>
      <c r="GWL21" s="204"/>
      <c r="GWM21" s="204"/>
      <c r="GWN21" s="204"/>
      <c r="GWO21" s="204"/>
      <c r="GWP21" s="204"/>
      <c r="GWQ21" s="204"/>
      <c r="GWR21" s="204"/>
      <c r="GWS21" s="204"/>
      <c r="GWT21" s="204"/>
      <c r="GWU21" s="204"/>
      <c r="GWV21" s="204"/>
      <c r="GWW21" s="204"/>
      <c r="GWX21" s="204"/>
      <c r="GWY21" s="204"/>
      <c r="GWZ21" s="204"/>
      <c r="GXA21" s="204"/>
      <c r="GXB21" s="204"/>
      <c r="GXC21" s="204"/>
      <c r="GXD21" s="204"/>
      <c r="GXE21" s="204"/>
      <c r="GXF21" s="204"/>
      <c r="GXG21" s="204"/>
      <c r="GXH21" s="204"/>
      <c r="GXI21" s="204"/>
      <c r="GXJ21" s="204"/>
      <c r="GXK21" s="204"/>
      <c r="GXL21" s="204"/>
      <c r="GXM21" s="204"/>
      <c r="GXN21" s="204"/>
      <c r="GXO21" s="204"/>
      <c r="GXP21" s="204"/>
      <c r="GXQ21" s="204"/>
      <c r="GXR21" s="204"/>
      <c r="GXS21" s="204"/>
      <c r="GXT21" s="204"/>
      <c r="GXU21" s="204"/>
      <c r="GXV21" s="204"/>
      <c r="GXW21" s="204"/>
      <c r="GXX21" s="204"/>
      <c r="GXY21" s="204"/>
      <c r="GXZ21" s="204"/>
      <c r="GYA21" s="204"/>
      <c r="GYB21" s="204"/>
      <c r="GYC21" s="204"/>
      <c r="GYD21" s="204"/>
      <c r="GYE21" s="204"/>
      <c r="GYF21" s="204"/>
      <c r="GYG21" s="204"/>
      <c r="GYH21" s="204"/>
      <c r="GYI21" s="204"/>
      <c r="GYJ21" s="204"/>
      <c r="GYK21" s="204"/>
      <c r="GYL21" s="204"/>
      <c r="GYM21" s="204"/>
      <c r="GYN21" s="204"/>
      <c r="GYO21" s="204"/>
      <c r="GYP21" s="204"/>
      <c r="GYQ21" s="204"/>
      <c r="GYR21" s="204"/>
      <c r="GYS21" s="204"/>
      <c r="GYT21" s="204"/>
      <c r="GYU21" s="204"/>
      <c r="GYV21" s="204"/>
      <c r="GYW21" s="204"/>
      <c r="GYX21" s="204"/>
      <c r="GYY21" s="204"/>
      <c r="GYZ21" s="204"/>
      <c r="GZA21" s="204"/>
      <c r="GZB21" s="204"/>
      <c r="GZC21" s="204"/>
      <c r="GZD21" s="204"/>
      <c r="GZE21" s="204"/>
      <c r="GZF21" s="204"/>
      <c r="GZG21" s="204"/>
      <c r="GZH21" s="204"/>
      <c r="GZI21" s="204"/>
      <c r="GZJ21" s="204"/>
      <c r="GZK21" s="204"/>
      <c r="GZL21" s="204"/>
      <c r="GZM21" s="204"/>
      <c r="GZN21" s="204"/>
      <c r="GZO21" s="204"/>
      <c r="GZP21" s="204"/>
      <c r="GZQ21" s="204"/>
      <c r="GZR21" s="204"/>
      <c r="GZS21" s="204"/>
      <c r="GZT21" s="204"/>
      <c r="GZU21" s="204"/>
      <c r="GZV21" s="204"/>
      <c r="GZW21" s="204"/>
      <c r="GZX21" s="204"/>
      <c r="GZY21" s="204"/>
      <c r="GZZ21" s="204"/>
      <c r="HAA21" s="204"/>
      <c r="HAB21" s="204"/>
      <c r="HAC21" s="204"/>
      <c r="HAD21" s="204"/>
      <c r="HAE21" s="204"/>
      <c r="HAF21" s="204"/>
      <c r="HAG21" s="204"/>
      <c r="HAH21" s="204"/>
      <c r="HAI21" s="204"/>
      <c r="HAJ21" s="204"/>
      <c r="HAK21" s="204"/>
      <c r="HAL21" s="204"/>
      <c r="HAM21" s="204"/>
      <c r="HAN21" s="204"/>
      <c r="HAO21" s="204"/>
      <c r="HAP21" s="204"/>
      <c r="HAQ21" s="204"/>
      <c r="HAR21" s="204"/>
      <c r="HAS21" s="204"/>
      <c r="HAT21" s="204"/>
      <c r="HAU21" s="204"/>
      <c r="HAV21" s="204"/>
      <c r="HAW21" s="204"/>
      <c r="HAX21" s="204"/>
      <c r="HAY21" s="204"/>
      <c r="HAZ21" s="204"/>
      <c r="HBA21" s="204"/>
      <c r="HBB21" s="204"/>
      <c r="HBC21" s="204"/>
      <c r="HBD21" s="204"/>
      <c r="HBE21" s="204"/>
      <c r="HBF21" s="204"/>
      <c r="HBG21" s="204"/>
      <c r="HBH21" s="204"/>
      <c r="HBI21" s="204"/>
      <c r="HBJ21" s="204"/>
      <c r="HBK21" s="204"/>
      <c r="HBL21" s="204"/>
      <c r="HBM21" s="204"/>
      <c r="HBN21" s="204"/>
      <c r="HBO21" s="204"/>
      <c r="HBP21" s="204"/>
      <c r="HBQ21" s="204"/>
      <c r="HBR21" s="204"/>
      <c r="HBS21" s="204"/>
      <c r="HBT21" s="204"/>
      <c r="HBU21" s="204"/>
      <c r="HBV21" s="204"/>
      <c r="HBW21" s="204"/>
      <c r="HBX21" s="204"/>
      <c r="HBY21" s="204"/>
      <c r="HBZ21" s="204"/>
      <c r="HCA21" s="204"/>
      <c r="HCB21" s="204"/>
      <c r="HCC21" s="204"/>
      <c r="HCD21" s="204"/>
      <c r="HCE21" s="204"/>
      <c r="HCF21" s="204"/>
      <c r="HCG21" s="204"/>
      <c r="HCH21" s="204"/>
      <c r="HCI21" s="204"/>
      <c r="HCJ21" s="204"/>
      <c r="HCK21" s="204"/>
      <c r="HCL21" s="204"/>
      <c r="HCM21" s="204"/>
      <c r="HCN21" s="204"/>
      <c r="HCO21" s="204"/>
      <c r="HCP21" s="204"/>
      <c r="HCQ21" s="204"/>
      <c r="HCR21" s="204"/>
      <c r="HCS21" s="204"/>
      <c r="HCT21" s="204"/>
      <c r="HCU21" s="204"/>
      <c r="HCV21" s="204"/>
      <c r="HCW21" s="204"/>
      <c r="HCX21" s="204"/>
      <c r="HCY21" s="204"/>
      <c r="HCZ21" s="204"/>
      <c r="HDA21" s="204"/>
      <c r="HDB21" s="204"/>
      <c r="HDC21" s="204"/>
      <c r="HDD21" s="204"/>
      <c r="HDE21" s="204"/>
      <c r="HDF21" s="204"/>
      <c r="HDG21" s="204"/>
      <c r="HDH21" s="204"/>
      <c r="HDI21" s="204"/>
      <c r="HDJ21" s="204"/>
      <c r="HDK21" s="204"/>
      <c r="HDL21" s="204"/>
      <c r="HDM21" s="204"/>
      <c r="HDN21" s="204"/>
      <c r="HDO21" s="204"/>
      <c r="HDP21" s="204"/>
      <c r="HDQ21" s="204"/>
      <c r="HDR21" s="204"/>
      <c r="HDS21" s="204"/>
      <c r="HDT21" s="204"/>
      <c r="HDU21" s="204"/>
      <c r="HDV21" s="204"/>
      <c r="HDW21" s="204"/>
      <c r="HDX21" s="204"/>
      <c r="HDY21" s="204"/>
      <c r="HDZ21" s="204"/>
      <c r="HEA21" s="204"/>
      <c r="HEB21" s="204"/>
      <c r="HEC21" s="204"/>
      <c r="HED21" s="204"/>
      <c r="HEE21" s="204"/>
      <c r="HEF21" s="204"/>
      <c r="HEG21" s="204"/>
      <c r="HEH21" s="204"/>
      <c r="HEI21" s="204"/>
      <c r="HEJ21" s="204"/>
      <c r="HEK21" s="204"/>
      <c r="HEL21" s="204"/>
      <c r="HEM21" s="204"/>
      <c r="HEN21" s="204"/>
      <c r="HEO21" s="204"/>
      <c r="HEP21" s="204"/>
      <c r="HEQ21" s="204"/>
      <c r="HER21" s="204"/>
      <c r="HES21" s="204"/>
      <c r="HET21" s="204"/>
      <c r="HEU21" s="204"/>
      <c r="HEV21" s="204"/>
      <c r="HEW21" s="204"/>
      <c r="HEX21" s="204"/>
      <c r="HEY21" s="204"/>
      <c r="HEZ21" s="204"/>
      <c r="HFA21" s="204"/>
      <c r="HFB21" s="204"/>
      <c r="HFC21" s="204"/>
      <c r="HFD21" s="204"/>
      <c r="HFE21" s="204"/>
      <c r="HFF21" s="204"/>
      <c r="HFG21" s="204"/>
      <c r="HFH21" s="204"/>
      <c r="HFI21" s="204"/>
      <c r="HFJ21" s="204"/>
      <c r="HFK21" s="204"/>
      <c r="HFL21" s="204"/>
      <c r="HFM21" s="204"/>
      <c r="HFN21" s="204"/>
      <c r="HFO21" s="204"/>
      <c r="HFP21" s="204"/>
      <c r="HFQ21" s="204"/>
      <c r="HFR21" s="204"/>
      <c r="HFS21" s="204"/>
      <c r="HFT21" s="204"/>
      <c r="HFU21" s="204"/>
      <c r="HFV21" s="204"/>
      <c r="HFW21" s="204"/>
      <c r="HFX21" s="204"/>
      <c r="HFY21" s="204"/>
      <c r="HFZ21" s="204"/>
      <c r="HGA21" s="204"/>
      <c r="HGB21" s="204"/>
      <c r="HGC21" s="204"/>
      <c r="HGD21" s="204"/>
      <c r="HGE21" s="204"/>
      <c r="HGF21" s="204"/>
      <c r="HGG21" s="204"/>
      <c r="HGH21" s="204"/>
      <c r="HGI21" s="204"/>
      <c r="HGJ21" s="204"/>
      <c r="HGK21" s="204"/>
      <c r="HGL21" s="204"/>
      <c r="HGM21" s="204"/>
      <c r="HGN21" s="204"/>
      <c r="HGO21" s="204"/>
      <c r="HGP21" s="204"/>
      <c r="HGQ21" s="204"/>
      <c r="HGR21" s="204"/>
      <c r="HGS21" s="204"/>
      <c r="HGT21" s="204"/>
      <c r="HGU21" s="204"/>
      <c r="HGV21" s="204"/>
      <c r="HGW21" s="204"/>
      <c r="HGX21" s="204"/>
      <c r="HGY21" s="204"/>
      <c r="HGZ21" s="204"/>
      <c r="HHA21" s="204"/>
      <c r="HHB21" s="204"/>
      <c r="HHC21" s="204"/>
      <c r="HHD21" s="204"/>
      <c r="HHE21" s="204"/>
      <c r="HHF21" s="204"/>
      <c r="HHG21" s="204"/>
      <c r="HHH21" s="204"/>
      <c r="HHI21" s="204"/>
      <c r="HHJ21" s="204"/>
      <c r="HHK21" s="204"/>
      <c r="HHL21" s="204"/>
      <c r="HHM21" s="204"/>
      <c r="HHN21" s="204"/>
      <c r="HHO21" s="204"/>
      <c r="HHP21" s="204"/>
      <c r="HHQ21" s="204"/>
      <c r="HHR21" s="204"/>
      <c r="HHS21" s="204"/>
      <c r="HHT21" s="204"/>
      <c r="HHU21" s="204"/>
      <c r="HHV21" s="204"/>
      <c r="HHW21" s="204"/>
      <c r="HHX21" s="204"/>
      <c r="HHY21" s="204"/>
      <c r="HHZ21" s="204"/>
      <c r="HIA21" s="204"/>
      <c r="HIB21" s="204"/>
      <c r="HIC21" s="204"/>
      <c r="HID21" s="204"/>
      <c r="HIE21" s="204"/>
      <c r="HIF21" s="204"/>
      <c r="HIG21" s="204"/>
      <c r="HIH21" s="204"/>
      <c r="HII21" s="204"/>
      <c r="HIJ21" s="204"/>
      <c r="HIK21" s="204"/>
      <c r="HIL21" s="204"/>
      <c r="HIM21" s="204"/>
      <c r="HIN21" s="204"/>
      <c r="HIO21" s="204"/>
      <c r="HIP21" s="204"/>
      <c r="HIQ21" s="204"/>
      <c r="HIR21" s="204"/>
      <c r="HIS21" s="204"/>
      <c r="HIT21" s="204"/>
      <c r="HIU21" s="204"/>
      <c r="HIV21" s="204"/>
      <c r="HIW21" s="204"/>
      <c r="HIX21" s="204"/>
      <c r="HIY21" s="204"/>
      <c r="HIZ21" s="204"/>
      <c r="HJA21" s="204"/>
      <c r="HJB21" s="204"/>
      <c r="HJC21" s="204"/>
      <c r="HJD21" s="204"/>
      <c r="HJE21" s="204"/>
      <c r="HJF21" s="204"/>
      <c r="HJG21" s="204"/>
      <c r="HJH21" s="204"/>
      <c r="HJI21" s="204"/>
      <c r="HJJ21" s="204"/>
      <c r="HJK21" s="204"/>
      <c r="HJL21" s="204"/>
      <c r="HJM21" s="204"/>
      <c r="HJN21" s="204"/>
      <c r="HJO21" s="204"/>
      <c r="HJP21" s="204"/>
      <c r="HJQ21" s="204"/>
      <c r="HJR21" s="204"/>
      <c r="HJS21" s="204"/>
      <c r="HJT21" s="204"/>
      <c r="HJU21" s="204"/>
      <c r="HJV21" s="204"/>
      <c r="HJW21" s="204"/>
      <c r="HJX21" s="204"/>
      <c r="HJY21" s="204"/>
      <c r="HJZ21" s="204"/>
      <c r="HKA21" s="204"/>
      <c r="HKB21" s="204"/>
      <c r="HKC21" s="204"/>
      <c r="HKD21" s="204"/>
      <c r="HKE21" s="204"/>
      <c r="HKF21" s="204"/>
      <c r="HKG21" s="204"/>
      <c r="HKH21" s="204"/>
      <c r="HKI21" s="204"/>
      <c r="HKJ21" s="204"/>
      <c r="HKK21" s="204"/>
      <c r="HKL21" s="204"/>
      <c r="HKM21" s="204"/>
      <c r="HKN21" s="204"/>
      <c r="HKO21" s="204"/>
      <c r="HKP21" s="204"/>
      <c r="HKQ21" s="204"/>
      <c r="HKR21" s="204"/>
      <c r="HKS21" s="204"/>
      <c r="HKT21" s="204"/>
      <c r="HKU21" s="204"/>
      <c r="HKV21" s="204"/>
      <c r="HKW21" s="204"/>
      <c r="HKX21" s="204"/>
      <c r="HKY21" s="204"/>
      <c r="HKZ21" s="204"/>
      <c r="HLA21" s="204"/>
      <c r="HLB21" s="204"/>
      <c r="HLC21" s="204"/>
      <c r="HLD21" s="204"/>
      <c r="HLE21" s="204"/>
      <c r="HLF21" s="204"/>
      <c r="HLG21" s="204"/>
      <c r="HLH21" s="204"/>
      <c r="HLI21" s="204"/>
      <c r="HLJ21" s="204"/>
      <c r="HLK21" s="204"/>
      <c r="HLL21" s="204"/>
      <c r="HLM21" s="204"/>
      <c r="HLN21" s="204"/>
      <c r="HLO21" s="204"/>
      <c r="HLP21" s="204"/>
      <c r="HLQ21" s="204"/>
      <c r="HLR21" s="204"/>
      <c r="HLS21" s="204"/>
      <c r="HLT21" s="204"/>
      <c r="HLU21" s="204"/>
      <c r="HLV21" s="204"/>
      <c r="HLW21" s="204"/>
      <c r="HLX21" s="204"/>
      <c r="HLY21" s="204"/>
      <c r="HLZ21" s="204"/>
      <c r="HMA21" s="204"/>
      <c r="HMB21" s="204"/>
      <c r="HMC21" s="204"/>
      <c r="HMD21" s="204"/>
      <c r="HME21" s="204"/>
      <c r="HMF21" s="204"/>
      <c r="HMG21" s="204"/>
      <c r="HMH21" s="204"/>
      <c r="HMI21" s="204"/>
      <c r="HMJ21" s="204"/>
      <c r="HMK21" s="204"/>
      <c r="HML21" s="204"/>
      <c r="HMM21" s="204"/>
      <c r="HMN21" s="204"/>
      <c r="HMO21" s="204"/>
      <c r="HMP21" s="204"/>
      <c r="HMQ21" s="204"/>
      <c r="HMR21" s="204"/>
      <c r="HMS21" s="204"/>
      <c r="HMT21" s="204"/>
      <c r="HMU21" s="204"/>
      <c r="HMV21" s="204"/>
      <c r="HMW21" s="204"/>
      <c r="HMX21" s="204"/>
      <c r="HMY21" s="204"/>
      <c r="HMZ21" s="204"/>
      <c r="HNA21" s="204"/>
      <c r="HNB21" s="204"/>
      <c r="HNC21" s="204"/>
      <c r="HND21" s="204"/>
      <c r="HNE21" s="204"/>
      <c r="HNF21" s="204"/>
      <c r="HNG21" s="204"/>
      <c r="HNH21" s="204"/>
      <c r="HNI21" s="204"/>
      <c r="HNJ21" s="204"/>
      <c r="HNK21" s="204"/>
      <c r="HNL21" s="204"/>
      <c r="HNM21" s="204"/>
      <c r="HNN21" s="204"/>
      <c r="HNO21" s="204"/>
      <c r="HNP21" s="204"/>
      <c r="HNQ21" s="204"/>
      <c r="HNR21" s="204"/>
      <c r="HNS21" s="204"/>
      <c r="HNT21" s="204"/>
      <c r="HNU21" s="204"/>
      <c r="HNV21" s="204"/>
      <c r="HNW21" s="204"/>
      <c r="HNX21" s="204"/>
      <c r="HNY21" s="204"/>
      <c r="HNZ21" s="204"/>
      <c r="HOA21" s="204"/>
      <c r="HOB21" s="204"/>
      <c r="HOC21" s="204"/>
      <c r="HOD21" s="204"/>
      <c r="HOE21" s="204"/>
      <c r="HOF21" s="204"/>
      <c r="HOG21" s="204"/>
      <c r="HOH21" s="204"/>
      <c r="HOI21" s="204"/>
      <c r="HOJ21" s="204"/>
      <c r="HOK21" s="204"/>
      <c r="HOL21" s="204"/>
      <c r="HOM21" s="204"/>
      <c r="HON21" s="204"/>
      <c r="HOO21" s="204"/>
      <c r="HOP21" s="204"/>
      <c r="HOQ21" s="204"/>
      <c r="HOR21" s="204"/>
      <c r="HOS21" s="204"/>
      <c r="HOT21" s="204"/>
      <c r="HOU21" s="204"/>
      <c r="HOV21" s="204"/>
      <c r="HOW21" s="204"/>
      <c r="HOX21" s="204"/>
      <c r="HOY21" s="204"/>
      <c r="HOZ21" s="204"/>
      <c r="HPA21" s="204"/>
      <c r="HPB21" s="204"/>
      <c r="HPC21" s="204"/>
      <c r="HPD21" s="204"/>
      <c r="HPE21" s="204"/>
      <c r="HPF21" s="204"/>
      <c r="HPG21" s="204"/>
      <c r="HPH21" s="204"/>
      <c r="HPI21" s="204"/>
      <c r="HPJ21" s="204"/>
      <c r="HPK21" s="204"/>
      <c r="HPL21" s="204"/>
      <c r="HPM21" s="204"/>
      <c r="HPN21" s="204"/>
      <c r="HPO21" s="204"/>
      <c r="HPP21" s="204"/>
      <c r="HPQ21" s="204"/>
      <c r="HPR21" s="204"/>
      <c r="HPS21" s="204"/>
      <c r="HPT21" s="204"/>
      <c r="HPU21" s="204"/>
      <c r="HPV21" s="204"/>
      <c r="HPW21" s="204"/>
      <c r="HPX21" s="204"/>
      <c r="HPY21" s="204"/>
      <c r="HPZ21" s="204"/>
      <c r="HQA21" s="204"/>
      <c r="HQB21" s="204"/>
      <c r="HQC21" s="204"/>
      <c r="HQD21" s="204"/>
      <c r="HQE21" s="204"/>
      <c r="HQF21" s="204"/>
      <c r="HQG21" s="204"/>
      <c r="HQH21" s="204"/>
      <c r="HQI21" s="204"/>
      <c r="HQJ21" s="204"/>
      <c r="HQK21" s="204"/>
      <c r="HQL21" s="204"/>
      <c r="HQM21" s="204"/>
      <c r="HQN21" s="204"/>
      <c r="HQO21" s="204"/>
      <c r="HQP21" s="204"/>
      <c r="HQQ21" s="204"/>
      <c r="HQR21" s="204"/>
      <c r="HQS21" s="204"/>
      <c r="HQT21" s="204"/>
      <c r="HQU21" s="204"/>
      <c r="HQV21" s="204"/>
      <c r="HQW21" s="204"/>
      <c r="HQX21" s="204"/>
      <c r="HQY21" s="204"/>
      <c r="HQZ21" s="204"/>
      <c r="HRA21" s="204"/>
      <c r="HRB21" s="204"/>
      <c r="HRC21" s="204"/>
      <c r="HRD21" s="204"/>
      <c r="HRE21" s="204"/>
      <c r="HRF21" s="204"/>
      <c r="HRG21" s="204"/>
      <c r="HRH21" s="204"/>
      <c r="HRI21" s="204"/>
      <c r="HRJ21" s="204"/>
      <c r="HRK21" s="204"/>
      <c r="HRL21" s="204"/>
      <c r="HRM21" s="204"/>
      <c r="HRN21" s="204"/>
      <c r="HRO21" s="204"/>
      <c r="HRP21" s="204"/>
      <c r="HRQ21" s="204"/>
      <c r="HRR21" s="204"/>
      <c r="HRS21" s="204"/>
      <c r="HRT21" s="204"/>
      <c r="HRU21" s="204"/>
      <c r="HRV21" s="204"/>
      <c r="HRW21" s="204"/>
      <c r="HRX21" s="204"/>
      <c r="HRY21" s="204"/>
      <c r="HRZ21" s="204"/>
      <c r="HSA21" s="204"/>
      <c r="HSB21" s="204"/>
      <c r="HSC21" s="204"/>
      <c r="HSD21" s="204"/>
      <c r="HSE21" s="204"/>
      <c r="HSF21" s="204"/>
      <c r="HSG21" s="204"/>
      <c r="HSH21" s="204"/>
      <c r="HSI21" s="204"/>
      <c r="HSJ21" s="204"/>
      <c r="HSK21" s="204"/>
      <c r="HSL21" s="204"/>
      <c r="HSM21" s="204"/>
      <c r="HSN21" s="204"/>
      <c r="HSO21" s="204"/>
      <c r="HSP21" s="204"/>
      <c r="HSQ21" s="204"/>
      <c r="HSR21" s="204"/>
      <c r="HSS21" s="204"/>
      <c r="HST21" s="204"/>
      <c r="HSU21" s="204"/>
      <c r="HSV21" s="204"/>
      <c r="HSW21" s="204"/>
      <c r="HSX21" s="204"/>
      <c r="HSY21" s="204"/>
      <c r="HSZ21" s="204"/>
      <c r="HTA21" s="204"/>
      <c r="HTB21" s="204"/>
      <c r="HTC21" s="204"/>
      <c r="HTD21" s="204"/>
      <c r="HTE21" s="204"/>
      <c r="HTF21" s="204"/>
      <c r="HTG21" s="204"/>
      <c r="HTH21" s="204"/>
      <c r="HTI21" s="204"/>
      <c r="HTJ21" s="204"/>
      <c r="HTK21" s="204"/>
      <c r="HTL21" s="204"/>
      <c r="HTM21" s="204"/>
      <c r="HTN21" s="204"/>
      <c r="HTO21" s="204"/>
      <c r="HTP21" s="204"/>
      <c r="HTQ21" s="204"/>
      <c r="HTR21" s="204"/>
      <c r="HTS21" s="204"/>
      <c r="HTT21" s="204"/>
      <c r="HTU21" s="204"/>
      <c r="HTV21" s="204"/>
      <c r="HTW21" s="204"/>
      <c r="HTX21" s="204"/>
      <c r="HTY21" s="204"/>
      <c r="HTZ21" s="204"/>
      <c r="HUA21" s="204"/>
      <c r="HUB21" s="204"/>
      <c r="HUC21" s="204"/>
      <c r="HUD21" s="204"/>
      <c r="HUE21" s="204"/>
      <c r="HUF21" s="204"/>
      <c r="HUG21" s="204"/>
      <c r="HUH21" s="204"/>
      <c r="HUI21" s="204"/>
      <c r="HUJ21" s="204"/>
      <c r="HUK21" s="204"/>
      <c r="HUL21" s="204"/>
      <c r="HUM21" s="204"/>
      <c r="HUN21" s="204"/>
      <c r="HUO21" s="204"/>
      <c r="HUP21" s="204"/>
      <c r="HUQ21" s="204"/>
      <c r="HUR21" s="204"/>
      <c r="HUS21" s="204"/>
      <c r="HUT21" s="204"/>
      <c r="HUU21" s="204"/>
      <c r="HUV21" s="204"/>
      <c r="HUW21" s="204"/>
      <c r="HUX21" s="204"/>
      <c r="HUY21" s="204"/>
      <c r="HUZ21" s="204"/>
      <c r="HVA21" s="204"/>
      <c r="HVB21" s="204"/>
      <c r="HVC21" s="204"/>
      <c r="HVD21" s="204"/>
      <c r="HVE21" s="204"/>
      <c r="HVF21" s="204"/>
      <c r="HVG21" s="204"/>
      <c r="HVH21" s="204"/>
      <c r="HVI21" s="204"/>
      <c r="HVJ21" s="204"/>
      <c r="HVK21" s="204"/>
      <c r="HVL21" s="204"/>
      <c r="HVM21" s="204"/>
      <c r="HVN21" s="204"/>
      <c r="HVO21" s="204"/>
      <c r="HVP21" s="204"/>
      <c r="HVQ21" s="204"/>
      <c r="HVR21" s="204"/>
      <c r="HVS21" s="204"/>
      <c r="HVT21" s="204"/>
      <c r="HVU21" s="204"/>
      <c r="HVV21" s="204"/>
      <c r="HVW21" s="204"/>
      <c r="HVX21" s="204"/>
      <c r="HVY21" s="204"/>
      <c r="HVZ21" s="204"/>
      <c r="HWA21" s="204"/>
      <c r="HWB21" s="204"/>
      <c r="HWC21" s="204"/>
      <c r="HWD21" s="204"/>
      <c r="HWE21" s="204"/>
      <c r="HWF21" s="204"/>
      <c r="HWG21" s="204"/>
      <c r="HWH21" s="204"/>
      <c r="HWI21" s="204"/>
      <c r="HWJ21" s="204"/>
      <c r="HWK21" s="204"/>
      <c r="HWL21" s="204"/>
      <c r="HWM21" s="204"/>
      <c r="HWN21" s="204"/>
      <c r="HWO21" s="204"/>
      <c r="HWP21" s="204"/>
      <c r="HWQ21" s="204"/>
      <c r="HWR21" s="204"/>
      <c r="HWS21" s="204"/>
      <c r="HWT21" s="204"/>
      <c r="HWU21" s="204"/>
      <c r="HWV21" s="204"/>
      <c r="HWW21" s="204"/>
      <c r="HWX21" s="204"/>
      <c r="HWY21" s="204"/>
      <c r="HWZ21" s="204"/>
      <c r="HXA21" s="204"/>
      <c r="HXB21" s="204"/>
      <c r="HXC21" s="204"/>
      <c r="HXD21" s="204"/>
      <c r="HXE21" s="204"/>
      <c r="HXF21" s="204"/>
      <c r="HXG21" s="204"/>
      <c r="HXH21" s="204"/>
      <c r="HXI21" s="204"/>
      <c r="HXJ21" s="204"/>
      <c r="HXK21" s="204"/>
      <c r="HXL21" s="204"/>
      <c r="HXM21" s="204"/>
      <c r="HXN21" s="204"/>
      <c r="HXO21" s="204"/>
      <c r="HXP21" s="204"/>
      <c r="HXQ21" s="204"/>
      <c r="HXR21" s="204"/>
      <c r="HXS21" s="204"/>
      <c r="HXT21" s="204"/>
      <c r="HXU21" s="204"/>
      <c r="HXV21" s="204"/>
      <c r="HXW21" s="204"/>
      <c r="HXX21" s="204"/>
      <c r="HXY21" s="204"/>
      <c r="HXZ21" s="204"/>
      <c r="HYA21" s="204"/>
      <c r="HYB21" s="204"/>
      <c r="HYC21" s="204"/>
      <c r="HYD21" s="204"/>
      <c r="HYE21" s="204"/>
      <c r="HYF21" s="204"/>
      <c r="HYG21" s="204"/>
      <c r="HYH21" s="204"/>
      <c r="HYI21" s="204"/>
      <c r="HYJ21" s="204"/>
      <c r="HYK21" s="204"/>
      <c r="HYL21" s="204"/>
      <c r="HYM21" s="204"/>
      <c r="HYN21" s="204"/>
      <c r="HYO21" s="204"/>
      <c r="HYP21" s="204"/>
      <c r="HYQ21" s="204"/>
      <c r="HYR21" s="204"/>
      <c r="HYS21" s="204"/>
      <c r="HYT21" s="204"/>
      <c r="HYU21" s="204"/>
      <c r="HYV21" s="204"/>
      <c r="HYW21" s="204"/>
      <c r="HYX21" s="204"/>
      <c r="HYY21" s="204"/>
      <c r="HYZ21" s="204"/>
      <c r="HZA21" s="204"/>
      <c r="HZB21" s="204"/>
      <c r="HZC21" s="204"/>
      <c r="HZD21" s="204"/>
      <c r="HZE21" s="204"/>
      <c r="HZF21" s="204"/>
      <c r="HZG21" s="204"/>
      <c r="HZH21" s="204"/>
      <c r="HZI21" s="204"/>
      <c r="HZJ21" s="204"/>
      <c r="HZK21" s="204"/>
      <c r="HZL21" s="204"/>
      <c r="HZM21" s="204"/>
      <c r="HZN21" s="204"/>
      <c r="HZO21" s="204"/>
      <c r="HZP21" s="204"/>
      <c r="HZQ21" s="204"/>
      <c r="HZR21" s="204"/>
      <c r="HZS21" s="204"/>
      <c r="HZT21" s="204"/>
      <c r="HZU21" s="204"/>
      <c r="HZV21" s="204"/>
      <c r="HZW21" s="204"/>
      <c r="HZX21" s="204"/>
      <c r="HZY21" s="204"/>
      <c r="HZZ21" s="204"/>
      <c r="IAA21" s="204"/>
      <c r="IAB21" s="204"/>
      <c r="IAC21" s="204"/>
      <c r="IAD21" s="204"/>
      <c r="IAE21" s="204"/>
      <c r="IAF21" s="204"/>
      <c r="IAG21" s="204"/>
      <c r="IAH21" s="204"/>
      <c r="IAI21" s="204"/>
      <c r="IAJ21" s="204"/>
      <c r="IAK21" s="204"/>
      <c r="IAL21" s="204"/>
      <c r="IAM21" s="204"/>
      <c r="IAN21" s="204"/>
      <c r="IAO21" s="204"/>
      <c r="IAP21" s="204"/>
      <c r="IAQ21" s="204"/>
      <c r="IAR21" s="204"/>
      <c r="IAS21" s="204"/>
      <c r="IAT21" s="204"/>
      <c r="IAU21" s="204"/>
      <c r="IAV21" s="204"/>
      <c r="IAW21" s="204"/>
      <c r="IAX21" s="204"/>
      <c r="IAY21" s="204"/>
      <c r="IAZ21" s="204"/>
      <c r="IBA21" s="204"/>
      <c r="IBB21" s="204"/>
      <c r="IBC21" s="204"/>
      <c r="IBD21" s="204"/>
      <c r="IBE21" s="204"/>
      <c r="IBF21" s="204"/>
      <c r="IBG21" s="204"/>
      <c r="IBH21" s="204"/>
      <c r="IBI21" s="204"/>
      <c r="IBJ21" s="204"/>
      <c r="IBK21" s="204"/>
      <c r="IBL21" s="204"/>
      <c r="IBM21" s="204"/>
      <c r="IBN21" s="204"/>
      <c r="IBO21" s="204"/>
      <c r="IBP21" s="204"/>
      <c r="IBQ21" s="204"/>
      <c r="IBR21" s="204"/>
      <c r="IBS21" s="204"/>
      <c r="IBT21" s="204"/>
      <c r="IBU21" s="204"/>
      <c r="IBV21" s="204"/>
      <c r="IBW21" s="204"/>
      <c r="IBX21" s="204"/>
      <c r="IBY21" s="204"/>
      <c r="IBZ21" s="204"/>
      <c r="ICA21" s="204"/>
      <c r="ICB21" s="204"/>
      <c r="ICC21" s="204"/>
      <c r="ICD21" s="204"/>
      <c r="ICE21" s="204"/>
      <c r="ICF21" s="204"/>
      <c r="ICG21" s="204"/>
      <c r="ICH21" s="204"/>
      <c r="ICI21" s="204"/>
      <c r="ICJ21" s="204"/>
      <c r="ICK21" s="204"/>
      <c r="ICL21" s="204"/>
      <c r="ICM21" s="204"/>
      <c r="ICN21" s="204"/>
      <c r="ICO21" s="204"/>
      <c r="ICP21" s="204"/>
      <c r="ICQ21" s="204"/>
      <c r="ICR21" s="204"/>
      <c r="ICS21" s="204"/>
      <c r="ICT21" s="204"/>
      <c r="ICU21" s="204"/>
      <c r="ICV21" s="204"/>
      <c r="ICW21" s="204"/>
      <c r="ICX21" s="204"/>
      <c r="ICY21" s="204"/>
      <c r="ICZ21" s="204"/>
      <c r="IDA21" s="204"/>
      <c r="IDB21" s="204"/>
      <c r="IDC21" s="204"/>
      <c r="IDD21" s="204"/>
      <c r="IDE21" s="204"/>
      <c r="IDF21" s="204"/>
      <c r="IDG21" s="204"/>
      <c r="IDH21" s="204"/>
      <c r="IDI21" s="204"/>
      <c r="IDJ21" s="204"/>
      <c r="IDK21" s="204"/>
      <c r="IDL21" s="204"/>
      <c r="IDM21" s="204"/>
      <c r="IDN21" s="204"/>
      <c r="IDO21" s="204"/>
      <c r="IDP21" s="204"/>
      <c r="IDQ21" s="204"/>
      <c r="IDR21" s="204"/>
      <c r="IDS21" s="204"/>
      <c r="IDT21" s="204"/>
      <c r="IDU21" s="204"/>
      <c r="IDV21" s="204"/>
      <c r="IDW21" s="204"/>
      <c r="IDX21" s="204"/>
      <c r="IDY21" s="204"/>
      <c r="IDZ21" s="204"/>
      <c r="IEA21" s="204"/>
      <c r="IEB21" s="204"/>
      <c r="IEC21" s="204"/>
      <c r="IED21" s="204"/>
      <c r="IEE21" s="204"/>
      <c r="IEF21" s="204"/>
      <c r="IEG21" s="204"/>
      <c r="IEH21" s="204"/>
      <c r="IEI21" s="204"/>
      <c r="IEJ21" s="204"/>
      <c r="IEK21" s="204"/>
      <c r="IEL21" s="204"/>
      <c r="IEM21" s="204"/>
      <c r="IEN21" s="204"/>
      <c r="IEO21" s="204"/>
      <c r="IEP21" s="204"/>
      <c r="IEQ21" s="204"/>
      <c r="IER21" s="204"/>
      <c r="IES21" s="204"/>
      <c r="IET21" s="204"/>
      <c r="IEU21" s="204"/>
      <c r="IEV21" s="204"/>
      <c r="IEW21" s="204"/>
      <c r="IEX21" s="204"/>
      <c r="IEY21" s="204"/>
      <c r="IEZ21" s="204"/>
      <c r="IFA21" s="204"/>
      <c r="IFB21" s="204"/>
      <c r="IFC21" s="204"/>
      <c r="IFD21" s="204"/>
      <c r="IFE21" s="204"/>
      <c r="IFF21" s="204"/>
      <c r="IFG21" s="204"/>
      <c r="IFH21" s="204"/>
      <c r="IFI21" s="204"/>
      <c r="IFJ21" s="204"/>
      <c r="IFK21" s="204"/>
      <c r="IFL21" s="204"/>
      <c r="IFM21" s="204"/>
      <c r="IFN21" s="204"/>
      <c r="IFO21" s="204"/>
      <c r="IFP21" s="204"/>
      <c r="IFQ21" s="204"/>
      <c r="IFR21" s="204"/>
      <c r="IFS21" s="204"/>
      <c r="IFT21" s="204"/>
      <c r="IFU21" s="204"/>
      <c r="IFV21" s="204"/>
      <c r="IFW21" s="204"/>
      <c r="IFX21" s="204"/>
      <c r="IFY21" s="204"/>
      <c r="IFZ21" s="204"/>
      <c r="IGA21" s="204"/>
      <c r="IGB21" s="204"/>
      <c r="IGC21" s="204"/>
      <c r="IGD21" s="204"/>
      <c r="IGE21" s="204"/>
      <c r="IGF21" s="204"/>
      <c r="IGG21" s="204"/>
      <c r="IGH21" s="204"/>
      <c r="IGI21" s="204"/>
      <c r="IGJ21" s="204"/>
      <c r="IGK21" s="204"/>
      <c r="IGL21" s="204"/>
      <c r="IGM21" s="204"/>
      <c r="IGN21" s="204"/>
      <c r="IGO21" s="204"/>
      <c r="IGP21" s="204"/>
      <c r="IGQ21" s="204"/>
      <c r="IGR21" s="204"/>
      <c r="IGS21" s="204"/>
      <c r="IGT21" s="204"/>
      <c r="IGU21" s="204"/>
      <c r="IGV21" s="204"/>
      <c r="IGW21" s="204"/>
      <c r="IGX21" s="204"/>
      <c r="IGY21" s="204"/>
      <c r="IGZ21" s="204"/>
      <c r="IHA21" s="204"/>
      <c r="IHB21" s="204"/>
      <c r="IHC21" s="204"/>
      <c r="IHD21" s="204"/>
      <c r="IHE21" s="204"/>
      <c r="IHF21" s="204"/>
      <c r="IHG21" s="204"/>
      <c r="IHH21" s="204"/>
      <c r="IHI21" s="204"/>
      <c r="IHJ21" s="204"/>
      <c r="IHK21" s="204"/>
      <c r="IHL21" s="204"/>
      <c r="IHM21" s="204"/>
      <c r="IHN21" s="204"/>
      <c r="IHO21" s="204"/>
      <c r="IHP21" s="204"/>
      <c r="IHQ21" s="204"/>
      <c r="IHR21" s="204"/>
      <c r="IHS21" s="204"/>
      <c r="IHT21" s="204"/>
      <c r="IHU21" s="204"/>
      <c r="IHV21" s="204"/>
      <c r="IHW21" s="204"/>
      <c r="IHX21" s="204"/>
      <c r="IHY21" s="204"/>
      <c r="IHZ21" s="204"/>
      <c r="IIA21" s="204"/>
      <c r="IIB21" s="204"/>
      <c r="IIC21" s="204"/>
      <c r="IID21" s="204"/>
      <c r="IIE21" s="204"/>
      <c r="IIF21" s="204"/>
      <c r="IIG21" s="204"/>
      <c r="IIH21" s="204"/>
      <c r="III21" s="204"/>
      <c r="IIJ21" s="204"/>
      <c r="IIK21" s="204"/>
      <c r="IIL21" s="204"/>
      <c r="IIM21" s="204"/>
      <c r="IIN21" s="204"/>
      <c r="IIO21" s="204"/>
      <c r="IIP21" s="204"/>
      <c r="IIQ21" s="204"/>
      <c r="IIR21" s="204"/>
      <c r="IIS21" s="204"/>
      <c r="IIT21" s="204"/>
      <c r="IIU21" s="204"/>
      <c r="IIV21" s="204"/>
      <c r="IIW21" s="204"/>
      <c r="IIX21" s="204"/>
      <c r="IIY21" s="204"/>
      <c r="IIZ21" s="204"/>
      <c r="IJA21" s="204"/>
      <c r="IJB21" s="204"/>
      <c r="IJC21" s="204"/>
      <c r="IJD21" s="204"/>
      <c r="IJE21" s="204"/>
      <c r="IJF21" s="204"/>
      <c r="IJG21" s="204"/>
      <c r="IJH21" s="204"/>
      <c r="IJI21" s="204"/>
      <c r="IJJ21" s="204"/>
      <c r="IJK21" s="204"/>
      <c r="IJL21" s="204"/>
      <c r="IJM21" s="204"/>
      <c r="IJN21" s="204"/>
      <c r="IJO21" s="204"/>
      <c r="IJP21" s="204"/>
      <c r="IJQ21" s="204"/>
      <c r="IJR21" s="204"/>
      <c r="IJS21" s="204"/>
      <c r="IJT21" s="204"/>
      <c r="IJU21" s="204"/>
      <c r="IJV21" s="204"/>
      <c r="IJW21" s="204"/>
      <c r="IJX21" s="204"/>
      <c r="IJY21" s="204"/>
      <c r="IJZ21" s="204"/>
      <c r="IKA21" s="204"/>
      <c r="IKB21" s="204"/>
      <c r="IKC21" s="204"/>
      <c r="IKD21" s="204"/>
      <c r="IKE21" s="204"/>
      <c r="IKF21" s="204"/>
      <c r="IKG21" s="204"/>
      <c r="IKH21" s="204"/>
      <c r="IKI21" s="204"/>
      <c r="IKJ21" s="204"/>
      <c r="IKK21" s="204"/>
      <c r="IKL21" s="204"/>
      <c r="IKM21" s="204"/>
      <c r="IKN21" s="204"/>
      <c r="IKO21" s="204"/>
      <c r="IKP21" s="204"/>
      <c r="IKQ21" s="204"/>
      <c r="IKR21" s="204"/>
      <c r="IKS21" s="204"/>
      <c r="IKT21" s="204"/>
      <c r="IKU21" s="204"/>
      <c r="IKV21" s="204"/>
      <c r="IKW21" s="204"/>
      <c r="IKX21" s="204"/>
      <c r="IKY21" s="204"/>
      <c r="IKZ21" s="204"/>
      <c r="ILA21" s="204"/>
      <c r="ILB21" s="204"/>
      <c r="ILC21" s="204"/>
      <c r="ILD21" s="204"/>
      <c r="ILE21" s="204"/>
      <c r="ILF21" s="204"/>
      <c r="ILG21" s="204"/>
      <c r="ILH21" s="204"/>
      <c r="ILI21" s="204"/>
      <c r="ILJ21" s="204"/>
      <c r="ILK21" s="204"/>
      <c r="ILL21" s="204"/>
      <c r="ILM21" s="204"/>
      <c r="ILN21" s="204"/>
      <c r="ILO21" s="204"/>
      <c r="ILP21" s="204"/>
      <c r="ILQ21" s="204"/>
      <c r="ILR21" s="204"/>
      <c r="ILS21" s="204"/>
      <c r="ILT21" s="204"/>
      <c r="ILU21" s="204"/>
      <c r="ILV21" s="204"/>
      <c r="ILW21" s="204"/>
      <c r="ILX21" s="204"/>
      <c r="ILY21" s="204"/>
      <c r="ILZ21" s="204"/>
      <c r="IMA21" s="204"/>
      <c r="IMB21" s="204"/>
      <c r="IMC21" s="204"/>
      <c r="IMD21" s="204"/>
      <c r="IME21" s="204"/>
      <c r="IMF21" s="204"/>
      <c r="IMG21" s="204"/>
      <c r="IMH21" s="204"/>
      <c r="IMI21" s="204"/>
      <c r="IMJ21" s="204"/>
      <c r="IMK21" s="204"/>
      <c r="IML21" s="204"/>
      <c r="IMM21" s="204"/>
      <c r="IMN21" s="204"/>
      <c r="IMO21" s="204"/>
      <c r="IMP21" s="204"/>
      <c r="IMQ21" s="204"/>
      <c r="IMR21" s="204"/>
      <c r="IMS21" s="204"/>
      <c r="IMT21" s="204"/>
      <c r="IMU21" s="204"/>
      <c r="IMV21" s="204"/>
      <c r="IMW21" s="204"/>
      <c r="IMX21" s="204"/>
      <c r="IMY21" s="204"/>
      <c r="IMZ21" s="204"/>
      <c r="INA21" s="204"/>
      <c r="INB21" s="204"/>
      <c r="INC21" s="204"/>
      <c r="IND21" s="204"/>
      <c r="INE21" s="204"/>
      <c r="INF21" s="204"/>
      <c r="ING21" s="204"/>
      <c r="INH21" s="204"/>
      <c r="INI21" s="204"/>
      <c r="INJ21" s="204"/>
      <c r="INK21" s="204"/>
      <c r="INL21" s="204"/>
      <c r="INM21" s="204"/>
      <c r="INN21" s="204"/>
      <c r="INO21" s="204"/>
      <c r="INP21" s="204"/>
      <c r="INQ21" s="204"/>
      <c r="INR21" s="204"/>
      <c r="INS21" s="204"/>
      <c r="INT21" s="204"/>
      <c r="INU21" s="204"/>
      <c r="INV21" s="204"/>
      <c r="INW21" s="204"/>
      <c r="INX21" s="204"/>
      <c r="INY21" s="204"/>
      <c r="INZ21" s="204"/>
      <c r="IOA21" s="204"/>
      <c r="IOB21" s="204"/>
      <c r="IOC21" s="204"/>
      <c r="IOD21" s="204"/>
      <c r="IOE21" s="204"/>
      <c r="IOF21" s="204"/>
      <c r="IOG21" s="204"/>
      <c r="IOH21" s="204"/>
      <c r="IOI21" s="204"/>
      <c r="IOJ21" s="204"/>
      <c r="IOK21" s="204"/>
      <c r="IOL21" s="204"/>
      <c r="IOM21" s="204"/>
      <c r="ION21" s="204"/>
      <c r="IOO21" s="204"/>
      <c r="IOP21" s="204"/>
      <c r="IOQ21" s="204"/>
      <c r="IOR21" s="204"/>
      <c r="IOS21" s="204"/>
      <c r="IOT21" s="204"/>
      <c r="IOU21" s="204"/>
      <c r="IOV21" s="204"/>
      <c r="IOW21" s="204"/>
      <c r="IOX21" s="204"/>
      <c r="IOY21" s="204"/>
      <c r="IOZ21" s="204"/>
      <c r="IPA21" s="204"/>
      <c r="IPB21" s="204"/>
      <c r="IPC21" s="204"/>
      <c r="IPD21" s="204"/>
      <c r="IPE21" s="204"/>
      <c r="IPF21" s="204"/>
      <c r="IPG21" s="204"/>
      <c r="IPH21" s="204"/>
      <c r="IPI21" s="204"/>
      <c r="IPJ21" s="204"/>
      <c r="IPK21" s="204"/>
      <c r="IPL21" s="204"/>
      <c r="IPM21" s="204"/>
      <c r="IPN21" s="204"/>
      <c r="IPO21" s="204"/>
      <c r="IPP21" s="204"/>
      <c r="IPQ21" s="204"/>
      <c r="IPR21" s="204"/>
      <c r="IPS21" s="204"/>
      <c r="IPT21" s="204"/>
      <c r="IPU21" s="204"/>
      <c r="IPV21" s="204"/>
      <c r="IPW21" s="204"/>
      <c r="IPX21" s="204"/>
      <c r="IPY21" s="204"/>
      <c r="IPZ21" s="204"/>
      <c r="IQA21" s="204"/>
      <c r="IQB21" s="204"/>
      <c r="IQC21" s="204"/>
      <c r="IQD21" s="204"/>
      <c r="IQE21" s="204"/>
      <c r="IQF21" s="204"/>
      <c r="IQG21" s="204"/>
      <c r="IQH21" s="204"/>
      <c r="IQI21" s="204"/>
      <c r="IQJ21" s="204"/>
      <c r="IQK21" s="204"/>
      <c r="IQL21" s="204"/>
      <c r="IQM21" s="204"/>
      <c r="IQN21" s="204"/>
      <c r="IQO21" s="204"/>
      <c r="IQP21" s="204"/>
      <c r="IQQ21" s="204"/>
      <c r="IQR21" s="204"/>
      <c r="IQS21" s="204"/>
      <c r="IQT21" s="204"/>
      <c r="IQU21" s="204"/>
      <c r="IQV21" s="204"/>
      <c r="IQW21" s="204"/>
      <c r="IQX21" s="204"/>
      <c r="IQY21" s="204"/>
      <c r="IQZ21" s="204"/>
      <c r="IRA21" s="204"/>
      <c r="IRB21" s="204"/>
      <c r="IRC21" s="204"/>
      <c r="IRD21" s="204"/>
      <c r="IRE21" s="204"/>
      <c r="IRF21" s="204"/>
      <c r="IRG21" s="204"/>
      <c r="IRH21" s="204"/>
      <c r="IRI21" s="204"/>
      <c r="IRJ21" s="204"/>
      <c r="IRK21" s="204"/>
      <c r="IRL21" s="204"/>
      <c r="IRM21" s="204"/>
      <c r="IRN21" s="204"/>
      <c r="IRO21" s="204"/>
      <c r="IRP21" s="204"/>
      <c r="IRQ21" s="204"/>
      <c r="IRR21" s="204"/>
      <c r="IRS21" s="204"/>
      <c r="IRT21" s="204"/>
      <c r="IRU21" s="204"/>
      <c r="IRV21" s="204"/>
      <c r="IRW21" s="204"/>
      <c r="IRX21" s="204"/>
      <c r="IRY21" s="204"/>
      <c r="IRZ21" s="204"/>
      <c r="ISA21" s="204"/>
      <c r="ISB21" s="204"/>
      <c r="ISC21" s="204"/>
      <c r="ISD21" s="204"/>
      <c r="ISE21" s="204"/>
      <c r="ISF21" s="204"/>
      <c r="ISG21" s="204"/>
      <c r="ISH21" s="204"/>
      <c r="ISI21" s="204"/>
      <c r="ISJ21" s="204"/>
      <c r="ISK21" s="204"/>
      <c r="ISL21" s="204"/>
      <c r="ISM21" s="204"/>
      <c r="ISN21" s="204"/>
      <c r="ISO21" s="204"/>
      <c r="ISP21" s="204"/>
      <c r="ISQ21" s="204"/>
      <c r="ISR21" s="204"/>
      <c r="ISS21" s="204"/>
      <c r="IST21" s="204"/>
      <c r="ISU21" s="204"/>
      <c r="ISV21" s="204"/>
      <c r="ISW21" s="204"/>
      <c r="ISX21" s="204"/>
      <c r="ISY21" s="204"/>
      <c r="ISZ21" s="204"/>
      <c r="ITA21" s="204"/>
      <c r="ITB21" s="204"/>
      <c r="ITC21" s="204"/>
      <c r="ITD21" s="204"/>
      <c r="ITE21" s="204"/>
      <c r="ITF21" s="204"/>
      <c r="ITG21" s="204"/>
      <c r="ITH21" s="204"/>
      <c r="ITI21" s="204"/>
      <c r="ITJ21" s="204"/>
      <c r="ITK21" s="204"/>
      <c r="ITL21" s="204"/>
      <c r="ITM21" s="204"/>
      <c r="ITN21" s="204"/>
      <c r="ITO21" s="204"/>
      <c r="ITP21" s="204"/>
      <c r="ITQ21" s="204"/>
      <c r="ITR21" s="204"/>
      <c r="ITS21" s="204"/>
      <c r="ITT21" s="204"/>
      <c r="ITU21" s="204"/>
      <c r="ITV21" s="204"/>
      <c r="ITW21" s="204"/>
      <c r="ITX21" s="204"/>
      <c r="ITY21" s="204"/>
      <c r="ITZ21" s="204"/>
      <c r="IUA21" s="204"/>
      <c r="IUB21" s="204"/>
      <c r="IUC21" s="204"/>
      <c r="IUD21" s="204"/>
      <c r="IUE21" s="204"/>
      <c r="IUF21" s="204"/>
      <c r="IUG21" s="204"/>
      <c r="IUH21" s="204"/>
      <c r="IUI21" s="204"/>
      <c r="IUJ21" s="204"/>
      <c r="IUK21" s="204"/>
      <c r="IUL21" s="204"/>
      <c r="IUM21" s="204"/>
      <c r="IUN21" s="204"/>
      <c r="IUO21" s="204"/>
      <c r="IUP21" s="204"/>
      <c r="IUQ21" s="204"/>
      <c r="IUR21" s="204"/>
      <c r="IUS21" s="204"/>
      <c r="IUT21" s="204"/>
      <c r="IUU21" s="204"/>
      <c r="IUV21" s="204"/>
      <c r="IUW21" s="204"/>
      <c r="IUX21" s="204"/>
      <c r="IUY21" s="204"/>
      <c r="IUZ21" s="204"/>
      <c r="IVA21" s="204"/>
      <c r="IVB21" s="204"/>
      <c r="IVC21" s="204"/>
      <c r="IVD21" s="204"/>
      <c r="IVE21" s="204"/>
      <c r="IVF21" s="204"/>
      <c r="IVG21" s="204"/>
      <c r="IVH21" s="204"/>
      <c r="IVI21" s="204"/>
      <c r="IVJ21" s="204"/>
      <c r="IVK21" s="204"/>
      <c r="IVL21" s="204"/>
      <c r="IVM21" s="204"/>
      <c r="IVN21" s="204"/>
      <c r="IVO21" s="204"/>
      <c r="IVP21" s="204"/>
      <c r="IVQ21" s="204"/>
      <c r="IVR21" s="204"/>
      <c r="IVS21" s="204"/>
      <c r="IVT21" s="204"/>
      <c r="IVU21" s="204"/>
      <c r="IVV21" s="204"/>
      <c r="IVW21" s="204"/>
      <c r="IVX21" s="204"/>
      <c r="IVY21" s="204"/>
      <c r="IVZ21" s="204"/>
      <c r="IWA21" s="204"/>
      <c r="IWB21" s="204"/>
      <c r="IWC21" s="204"/>
      <c r="IWD21" s="204"/>
      <c r="IWE21" s="204"/>
      <c r="IWF21" s="204"/>
      <c r="IWG21" s="204"/>
      <c r="IWH21" s="204"/>
      <c r="IWI21" s="204"/>
      <c r="IWJ21" s="204"/>
      <c r="IWK21" s="204"/>
      <c r="IWL21" s="204"/>
      <c r="IWM21" s="204"/>
      <c r="IWN21" s="204"/>
      <c r="IWO21" s="204"/>
      <c r="IWP21" s="204"/>
      <c r="IWQ21" s="204"/>
      <c r="IWR21" s="204"/>
      <c r="IWS21" s="204"/>
      <c r="IWT21" s="204"/>
      <c r="IWU21" s="204"/>
      <c r="IWV21" s="204"/>
      <c r="IWW21" s="204"/>
      <c r="IWX21" s="204"/>
      <c r="IWY21" s="204"/>
      <c r="IWZ21" s="204"/>
      <c r="IXA21" s="204"/>
      <c r="IXB21" s="204"/>
      <c r="IXC21" s="204"/>
      <c r="IXD21" s="204"/>
      <c r="IXE21" s="204"/>
      <c r="IXF21" s="204"/>
      <c r="IXG21" s="204"/>
      <c r="IXH21" s="204"/>
      <c r="IXI21" s="204"/>
      <c r="IXJ21" s="204"/>
      <c r="IXK21" s="204"/>
      <c r="IXL21" s="204"/>
      <c r="IXM21" s="204"/>
      <c r="IXN21" s="204"/>
      <c r="IXO21" s="204"/>
      <c r="IXP21" s="204"/>
      <c r="IXQ21" s="204"/>
      <c r="IXR21" s="204"/>
      <c r="IXS21" s="204"/>
      <c r="IXT21" s="204"/>
      <c r="IXU21" s="204"/>
      <c r="IXV21" s="204"/>
      <c r="IXW21" s="204"/>
      <c r="IXX21" s="204"/>
      <c r="IXY21" s="204"/>
      <c r="IXZ21" s="204"/>
      <c r="IYA21" s="204"/>
      <c r="IYB21" s="204"/>
      <c r="IYC21" s="204"/>
      <c r="IYD21" s="204"/>
      <c r="IYE21" s="204"/>
      <c r="IYF21" s="204"/>
      <c r="IYG21" s="204"/>
      <c r="IYH21" s="204"/>
      <c r="IYI21" s="204"/>
      <c r="IYJ21" s="204"/>
      <c r="IYK21" s="204"/>
      <c r="IYL21" s="204"/>
      <c r="IYM21" s="204"/>
      <c r="IYN21" s="204"/>
      <c r="IYO21" s="204"/>
      <c r="IYP21" s="204"/>
      <c r="IYQ21" s="204"/>
      <c r="IYR21" s="204"/>
      <c r="IYS21" s="204"/>
      <c r="IYT21" s="204"/>
      <c r="IYU21" s="204"/>
      <c r="IYV21" s="204"/>
      <c r="IYW21" s="204"/>
      <c r="IYX21" s="204"/>
      <c r="IYY21" s="204"/>
      <c r="IYZ21" s="204"/>
      <c r="IZA21" s="204"/>
      <c r="IZB21" s="204"/>
      <c r="IZC21" s="204"/>
      <c r="IZD21" s="204"/>
      <c r="IZE21" s="204"/>
      <c r="IZF21" s="204"/>
      <c r="IZG21" s="204"/>
      <c r="IZH21" s="204"/>
      <c r="IZI21" s="204"/>
      <c r="IZJ21" s="204"/>
      <c r="IZK21" s="204"/>
      <c r="IZL21" s="204"/>
      <c r="IZM21" s="204"/>
      <c r="IZN21" s="204"/>
      <c r="IZO21" s="204"/>
      <c r="IZP21" s="204"/>
      <c r="IZQ21" s="204"/>
      <c r="IZR21" s="204"/>
      <c r="IZS21" s="204"/>
      <c r="IZT21" s="204"/>
      <c r="IZU21" s="204"/>
      <c r="IZV21" s="204"/>
      <c r="IZW21" s="204"/>
      <c r="IZX21" s="204"/>
      <c r="IZY21" s="204"/>
      <c r="IZZ21" s="204"/>
      <c r="JAA21" s="204"/>
      <c r="JAB21" s="204"/>
      <c r="JAC21" s="204"/>
      <c r="JAD21" s="204"/>
      <c r="JAE21" s="204"/>
      <c r="JAF21" s="204"/>
      <c r="JAG21" s="204"/>
      <c r="JAH21" s="204"/>
      <c r="JAI21" s="204"/>
      <c r="JAJ21" s="204"/>
      <c r="JAK21" s="204"/>
      <c r="JAL21" s="204"/>
      <c r="JAM21" s="204"/>
      <c r="JAN21" s="204"/>
      <c r="JAO21" s="204"/>
      <c r="JAP21" s="204"/>
      <c r="JAQ21" s="204"/>
      <c r="JAR21" s="204"/>
      <c r="JAS21" s="204"/>
      <c r="JAT21" s="204"/>
      <c r="JAU21" s="204"/>
      <c r="JAV21" s="204"/>
      <c r="JAW21" s="204"/>
      <c r="JAX21" s="204"/>
      <c r="JAY21" s="204"/>
      <c r="JAZ21" s="204"/>
      <c r="JBA21" s="204"/>
      <c r="JBB21" s="204"/>
      <c r="JBC21" s="204"/>
      <c r="JBD21" s="204"/>
      <c r="JBE21" s="204"/>
      <c r="JBF21" s="204"/>
      <c r="JBG21" s="204"/>
      <c r="JBH21" s="204"/>
      <c r="JBI21" s="204"/>
      <c r="JBJ21" s="204"/>
      <c r="JBK21" s="204"/>
      <c r="JBL21" s="204"/>
      <c r="JBM21" s="204"/>
      <c r="JBN21" s="204"/>
      <c r="JBO21" s="204"/>
      <c r="JBP21" s="204"/>
      <c r="JBQ21" s="204"/>
      <c r="JBR21" s="204"/>
      <c r="JBS21" s="204"/>
      <c r="JBT21" s="204"/>
      <c r="JBU21" s="204"/>
      <c r="JBV21" s="204"/>
      <c r="JBW21" s="204"/>
      <c r="JBX21" s="204"/>
      <c r="JBY21" s="204"/>
      <c r="JBZ21" s="204"/>
      <c r="JCA21" s="204"/>
      <c r="JCB21" s="204"/>
      <c r="JCC21" s="204"/>
      <c r="JCD21" s="204"/>
      <c r="JCE21" s="204"/>
      <c r="JCF21" s="204"/>
      <c r="JCG21" s="204"/>
      <c r="JCH21" s="204"/>
      <c r="JCI21" s="204"/>
      <c r="JCJ21" s="204"/>
      <c r="JCK21" s="204"/>
      <c r="JCL21" s="204"/>
      <c r="JCM21" s="204"/>
      <c r="JCN21" s="204"/>
      <c r="JCO21" s="204"/>
      <c r="JCP21" s="204"/>
      <c r="JCQ21" s="204"/>
      <c r="JCR21" s="204"/>
      <c r="JCS21" s="204"/>
      <c r="JCT21" s="204"/>
      <c r="JCU21" s="204"/>
      <c r="JCV21" s="204"/>
      <c r="JCW21" s="204"/>
      <c r="JCX21" s="204"/>
      <c r="JCY21" s="204"/>
      <c r="JCZ21" s="204"/>
      <c r="JDA21" s="204"/>
      <c r="JDB21" s="204"/>
      <c r="JDC21" s="204"/>
      <c r="JDD21" s="204"/>
      <c r="JDE21" s="204"/>
      <c r="JDF21" s="204"/>
      <c r="JDG21" s="204"/>
      <c r="JDH21" s="204"/>
      <c r="JDI21" s="204"/>
      <c r="JDJ21" s="204"/>
      <c r="JDK21" s="204"/>
      <c r="JDL21" s="204"/>
      <c r="JDM21" s="204"/>
      <c r="JDN21" s="204"/>
      <c r="JDO21" s="204"/>
      <c r="JDP21" s="204"/>
      <c r="JDQ21" s="204"/>
      <c r="JDR21" s="204"/>
      <c r="JDS21" s="204"/>
      <c r="JDT21" s="204"/>
      <c r="JDU21" s="204"/>
      <c r="JDV21" s="204"/>
      <c r="JDW21" s="204"/>
      <c r="JDX21" s="204"/>
      <c r="JDY21" s="204"/>
      <c r="JDZ21" s="204"/>
      <c r="JEA21" s="204"/>
      <c r="JEB21" s="204"/>
      <c r="JEC21" s="204"/>
      <c r="JED21" s="204"/>
      <c r="JEE21" s="204"/>
      <c r="JEF21" s="204"/>
      <c r="JEG21" s="204"/>
      <c r="JEH21" s="204"/>
      <c r="JEI21" s="204"/>
      <c r="JEJ21" s="204"/>
      <c r="JEK21" s="204"/>
      <c r="JEL21" s="204"/>
      <c r="JEM21" s="204"/>
      <c r="JEN21" s="204"/>
      <c r="JEO21" s="204"/>
      <c r="JEP21" s="204"/>
      <c r="JEQ21" s="204"/>
      <c r="JER21" s="204"/>
      <c r="JES21" s="204"/>
      <c r="JET21" s="204"/>
      <c r="JEU21" s="204"/>
      <c r="JEV21" s="204"/>
      <c r="JEW21" s="204"/>
      <c r="JEX21" s="204"/>
      <c r="JEY21" s="204"/>
      <c r="JEZ21" s="204"/>
      <c r="JFA21" s="204"/>
      <c r="JFB21" s="204"/>
      <c r="JFC21" s="204"/>
      <c r="JFD21" s="204"/>
      <c r="JFE21" s="204"/>
      <c r="JFF21" s="204"/>
      <c r="JFG21" s="204"/>
      <c r="JFH21" s="204"/>
      <c r="JFI21" s="204"/>
      <c r="JFJ21" s="204"/>
      <c r="JFK21" s="204"/>
      <c r="JFL21" s="204"/>
      <c r="JFM21" s="204"/>
      <c r="JFN21" s="204"/>
      <c r="JFO21" s="204"/>
      <c r="JFP21" s="204"/>
      <c r="JFQ21" s="204"/>
      <c r="JFR21" s="204"/>
      <c r="JFS21" s="204"/>
      <c r="JFT21" s="204"/>
      <c r="JFU21" s="204"/>
      <c r="JFV21" s="204"/>
      <c r="JFW21" s="204"/>
      <c r="JFX21" s="204"/>
      <c r="JFY21" s="204"/>
      <c r="JFZ21" s="204"/>
      <c r="JGA21" s="204"/>
      <c r="JGB21" s="204"/>
      <c r="JGC21" s="204"/>
      <c r="JGD21" s="204"/>
      <c r="JGE21" s="204"/>
      <c r="JGF21" s="204"/>
      <c r="JGG21" s="204"/>
      <c r="JGH21" s="204"/>
      <c r="JGI21" s="204"/>
      <c r="JGJ21" s="204"/>
      <c r="JGK21" s="204"/>
      <c r="JGL21" s="204"/>
      <c r="JGM21" s="204"/>
      <c r="JGN21" s="204"/>
      <c r="JGO21" s="204"/>
      <c r="JGP21" s="204"/>
      <c r="JGQ21" s="204"/>
      <c r="JGR21" s="204"/>
      <c r="JGS21" s="204"/>
      <c r="JGT21" s="204"/>
      <c r="JGU21" s="204"/>
      <c r="JGV21" s="204"/>
      <c r="JGW21" s="204"/>
      <c r="JGX21" s="204"/>
      <c r="JGY21" s="204"/>
      <c r="JGZ21" s="204"/>
      <c r="JHA21" s="204"/>
      <c r="JHB21" s="204"/>
      <c r="JHC21" s="204"/>
      <c r="JHD21" s="204"/>
      <c r="JHE21" s="204"/>
      <c r="JHF21" s="204"/>
      <c r="JHG21" s="204"/>
      <c r="JHH21" s="204"/>
      <c r="JHI21" s="204"/>
      <c r="JHJ21" s="204"/>
      <c r="JHK21" s="204"/>
      <c r="JHL21" s="204"/>
      <c r="JHM21" s="204"/>
      <c r="JHN21" s="204"/>
      <c r="JHO21" s="204"/>
      <c r="JHP21" s="204"/>
      <c r="JHQ21" s="204"/>
      <c r="JHR21" s="204"/>
      <c r="JHS21" s="204"/>
      <c r="JHT21" s="204"/>
      <c r="JHU21" s="204"/>
      <c r="JHV21" s="204"/>
      <c r="JHW21" s="204"/>
      <c r="JHX21" s="204"/>
      <c r="JHY21" s="204"/>
      <c r="JHZ21" s="204"/>
      <c r="JIA21" s="204"/>
      <c r="JIB21" s="204"/>
      <c r="JIC21" s="204"/>
      <c r="JID21" s="204"/>
      <c r="JIE21" s="204"/>
      <c r="JIF21" s="204"/>
      <c r="JIG21" s="204"/>
      <c r="JIH21" s="204"/>
      <c r="JII21" s="204"/>
      <c r="JIJ21" s="204"/>
      <c r="JIK21" s="204"/>
      <c r="JIL21" s="204"/>
      <c r="JIM21" s="204"/>
      <c r="JIN21" s="204"/>
      <c r="JIO21" s="204"/>
      <c r="JIP21" s="204"/>
      <c r="JIQ21" s="204"/>
      <c r="JIR21" s="204"/>
      <c r="JIS21" s="204"/>
      <c r="JIT21" s="204"/>
      <c r="JIU21" s="204"/>
      <c r="JIV21" s="204"/>
      <c r="JIW21" s="204"/>
      <c r="JIX21" s="204"/>
      <c r="JIY21" s="204"/>
      <c r="JIZ21" s="204"/>
      <c r="JJA21" s="204"/>
      <c r="JJB21" s="204"/>
      <c r="JJC21" s="204"/>
      <c r="JJD21" s="204"/>
      <c r="JJE21" s="204"/>
      <c r="JJF21" s="204"/>
      <c r="JJG21" s="204"/>
      <c r="JJH21" s="204"/>
      <c r="JJI21" s="204"/>
      <c r="JJJ21" s="204"/>
      <c r="JJK21" s="204"/>
      <c r="JJL21" s="204"/>
      <c r="JJM21" s="204"/>
      <c r="JJN21" s="204"/>
      <c r="JJO21" s="204"/>
      <c r="JJP21" s="204"/>
      <c r="JJQ21" s="204"/>
      <c r="JJR21" s="204"/>
      <c r="JJS21" s="204"/>
      <c r="JJT21" s="204"/>
      <c r="JJU21" s="204"/>
      <c r="JJV21" s="204"/>
      <c r="JJW21" s="204"/>
      <c r="JJX21" s="204"/>
      <c r="JJY21" s="204"/>
      <c r="JJZ21" s="204"/>
      <c r="JKA21" s="204"/>
      <c r="JKB21" s="204"/>
      <c r="JKC21" s="204"/>
      <c r="JKD21" s="204"/>
      <c r="JKE21" s="204"/>
      <c r="JKF21" s="204"/>
      <c r="JKG21" s="204"/>
      <c r="JKH21" s="204"/>
      <c r="JKI21" s="204"/>
      <c r="JKJ21" s="204"/>
      <c r="JKK21" s="204"/>
      <c r="JKL21" s="204"/>
      <c r="JKM21" s="204"/>
      <c r="JKN21" s="204"/>
      <c r="JKO21" s="204"/>
      <c r="JKP21" s="204"/>
      <c r="JKQ21" s="204"/>
      <c r="JKR21" s="204"/>
      <c r="JKS21" s="204"/>
      <c r="JKT21" s="204"/>
      <c r="JKU21" s="204"/>
      <c r="JKV21" s="204"/>
      <c r="JKW21" s="204"/>
      <c r="JKX21" s="204"/>
      <c r="JKY21" s="204"/>
      <c r="JKZ21" s="204"/>
      <c r="JLA21" s="204"/>
      <c r="JLB21" s="204"/>
      <c r="JLC21" s="204"/>
      <c r="JLD21" s="204"/>
      <c r="JLE21" s="204"/>
      <c r="JLF21" s="204"/>
      <c r="JLG21" s="204"/>
      <c r="JLH21" s="204"/>
      <c r="JLI21" s="204"/>
      <c r="JLJ21" s="204"/>
      <c r="JLK21" s="204"/>
      <c r="JLL21" s="204"/>
      <c r="JLM21" s="204"/>
      <c r="JLN21" s="204"/>
      <c r="JLO21" s="204"/>
      <c r="JLP21" s="204"/>
      <c r="JLQ21" s="204"/>
      <c r="JLR21" s="204"/>
      <c r="JLS21" s="204"/>
      <c r="JLT21" s="204"/>
      <c r="JLU21" s="204"/>
      <c r="JLV21" s="204"/>
      <c r="JLW21" s="204"/>
      <c r="JLX21" s="204"/>
      <c r="JLY21" s="204"/>
      <c r="JLZ21" s="204"/>
      <c r="JMA21" s="204"/>
      <c r="JMB21" s="204"/>
      <c r="JMC21" s="204"/>
      <c r="JMD21" s="204"/>
      <c r="JME21" s="204"/>
      <c r="JMF21" s="204"/>
      <c r="JMG21" s="204"/>
      <c r="JMH21" s="204"/>
      <c r="JMI21" s="204"/>
      <c r="JMJ21" s="204"/>
      <c r="JMK21" s="204"/>
      <c r="JML21" s="204"/>
      <c r="JMM21" s="204"/>
      <c r="JMN21" s="204"/>
      <c r="JMO21" s="204"/>
      <c r="JMP21" s="204"/>
      <c r="JMQ21" s="204"/>
      <c r="JMR21" s="204"/>
      <c r="JMS21" s="204"/>
      <c r="JMT21" s="204"/>
      <c r="JMU21" s="204"/>
      <c r="JMV21" s="204"/>
      <c r="JMW21" s="204"/>
      <c r="JMX21" s="204"/>
      <c r="JMY21" s="204"/>
      <c r="JMZ21" s="204"/>
      <c r="JNA21" s="204"/>
      <c r="JNB21" s="204"/>
      <c r="JNC21" s="204"/>
      <c r="JND21" s="204"/>
      <c r="JNE21" s="204"/>
      <c r="JNF21" s="204"/>
      <c r="JNG21" s="204"/>
      <c r="JNH21" s="204"/>
      <c r="JNI21" s="204"/>
      <c r="JNJ21" s="204"/>
      <c r="JNK21" s="204"/>
      <c r="JNL21" s="204"/>
      <c r="JNM21" s="204"/>
      <c r="JNN21" s="204"/>
      <c r="JNO21" s="204"/>
      <c r="JNP21" s="204"/>
      <c r="JNQ21" s="204"/>
      <c r="JNR21" s="204"/>
      <c r="JNS21" s="204"/>
      <c r="JNT21" s="204"/>
      <c r="JNU21" s="204"/>
      <c r="JNV21" s="204"/>
      <c r="JNW21" s="204"/>
      <c r="JNX21" s="204"/>
      <c r="JNY21" s="204"/>
      <c r="JNZ21" s="204"/>
      <c r="JOA21" s="204"/>
      <c r="JOB21" s="204"/>
      <c r="JOC21" s="204"/>
      <c r="JOD21" s="204"/>
      <c r="JOE21" s="204"/>
      <c r="JOF21" s="204"/>
      <c r="JOG21" s="204"/>
      <c r="JOH21" s="204"/>
      <c r="JOI21" s="204"/>
      <c r="JOJ21" s="204"/>
      <c r="JOK21" s="204"/>
      <c r="JOL21" s="204"/>
      <c r="JOM21" s="204"/>
      <c r="JON21" s="204"/>
      <c r="JOO21" s="204"/>
      <c r="JOP21" s="204"/>
      <c r="JOQ21" s="204"/>
      <c r="JOR21" s="204"/>
      <c r="JOS21" s="204"/>
      <c r="JOT21" s="204"/>
      <c r="JOU21" s="204"/>
      <c r="JOV21" s="204"/>
      <c r="JOW21" s="204"/>
      <c r="JOX21" s="204"/>
      <c r="JOY21" s="204"/>
      <c r="JOZ21" s="204"/>
      <c r="JPA21" s="204"/>
      <c r="JPB21" s="204"/>
      <c r="JPC21" s="204"/>
      <c r="JPD21" s="204"/>
      <c r="JPE21" s="204"/>
      <c r="JPF21" s="204"/>
      <c r="JPG21" s="204"/>
      <c r="JPH21" s="204"/>
      <c r="JPI21" s="204"/>
      <c r="JPJ21" s="204"/>
      <c r="JPK21" s="204"/>
      <c r="JPL21" s="204"/>
      <c r="JPM21" s="204"/>
      <c r="JPN21" s="204"/>
      <c r="JPO21" s="204"/>
      <c r="JPP21" s="204"/>
      <c r="JPQ21" s="204"/>
      <c r="JPR21" s="204"/>
      <c r="JPS21" s="204"/>
      <c r="JPT21" s="204"/>
      <c r="JPU21" s="204"/>
      <c r="JPV21" s="204"/>
      <c r="JPW21" s="204"/>
      <c r="JPX21" s="204"/>
      <c r="JPY21" s="204"/>
      <c r="JPZ21" s="204"/>
      <c r="JQA21" s="204"/>
      <c r="JQB21" s="204"/>
      <c r="JQC21" s="204"/>
      <c r="JQD21" s="204"/>
      <c r="JQE21" s="204"/>
      <c r="JQF21" s="204"/>
      <c r="JQG21" s="204"/>
      <c r="JQH21" s="204"/>
      <c r="JQI21" s="204"/>
      <c r="JQJ21" s="204"/>
      <c r="JQK21" s="204"/>
      <c r="JQL21" s="204"/>
      <c r="JQM21" s="204"/>
      <c r="JQN21" s="204"/>
      <c r="JQO21" s="204"/>
      <c r="JQP21" s="204"/>
      <c r="JQQ21" s="204"/>
      <c r="JQR21" s="204"/>
      <c r="JQS21" s="204"/>
      <c r="JQT21" s="204"/>
      <c r="JQU21" s="204"/>
      <c r="JQV21" s="204"/>
      <c r="JQW21" s="204"/>
      <c r="JQX21" s="204"/>
      <c r="JQY21" s="204"/>
      <c r="JQZ21" s="204"/>
      <c r="JRA21" s="204"/>
      <c r="JRB21" s="204"/>
      <c r="JRC21" s="204"/>
      <c r="JRD21" s="204"/>
      <c r="JRE21" s="204"/>
      <c r="JRF21" s="204"/>
      <c r="JRG21" s="204"/>
      <c r="JRH21" s="204"/>
      <c r="JRI21" s="204"/>
      <c r="JRJ21" s="204"/>
      <c r="JRK21" s="204"/>
      <c r="JRL21" s="204"/>
      <c r="JRM21" s="204"/>
      <c r="JRN21" s="204"/>
      <c r="JRO21" s="204"/>
      <c r="JRP21" s="204"/>
      <c r="JRQ21" s="204"/>
      <c r="JRR21" s="204"/>
      <c r="JRS21" s="204"/>
      <c r="JRT21" s="204"/>
      <c r="JRU21" s="204"/>
      <c r="JRV21" s="204"/>
      <c r="JRW21" s="204"/>
      <c r="JRX21" s="204"/>
      <c r="JRY21" s="204"/>
      <c r="JRZ21" s="204"/>
      <c r="JSA21" s="204"/>
      <c r="JSB21" s="204"/>
      <c r="JSC21" s="204"/>
      <c r="JSD21" s="204"/>
      <c r="JSE21" s="204"/>
      <c r="JSF21" s="204"/>
      <c r="JSG21" s="204"/>
      <c r="JSH21" s="204"/>
      <c r="JSI21" s="204"/>
      <c r="JSJ21" s="204"/>
      <c r="JSK21" s="204"/>
      <c r="JSL21" s="204"/>
      <c r="JSM21" s="204"/>
      <c r="JSN21" s="204"/>
      <c r="JSO21" s="204"/>
      <c r="JSP21" s="204"/>
      <c r="JSQ21" s="204"/>
      <c r="JSR21" s="204"/>
      <c r="JSS21" s="204"/>
      <c r="JST21" s="204"/>
      <c r="JSU21" s="204"/>
      <c r="JSV21" s="204"/>
      <c r="JSW21" s="204"/>
      <c r="JSX21" s="204"/>
      <c r="JSY21" s="204"/>
      <c r="JSZ21" s="204"/>
      <c r="JTA21" s="204"/>
      <c r="JTB21" s="204"/>
      <c r="JTC21" s="204"/>
      <c r="JTD21" s="204"/>
      <c r="JTE21" s="204"/>
      <c r="JTF21" s="204"/>
      <c r="JTG21" s="204"/>
      <c r="JTH21" s="204"/>
      <c r="JTI21" s="204"/>
      <c r="JTJ21" s="204"/>
      <c r="JTK21" s="204"/>
      <c r="JTL21" s="204"/>
      <c r="JTM21" s="204"/>
      <c r="JTN21" s="204"/>
      <c r="JTO21" s="204"/>
      <c r="JTP21" s="204"/>
      <c r="JTQ21" s="204"/>
      <c r="JTR21" s="204"/>
      <c r="JTS21" s="204"/>
      <c r="JTT21" s="204"/>
      <c r="JTU21" s="204"/>
      <c r="JTV21" s="204"/>
      <c r="JTW21" s="204"/>
      <c r="JTX21" s="204"/>
      <c r="JTY21" s="204"/>
      <c r="JTZ21" s="204"/>
      <c r="JUA21" s="204"/>
      <c r="JUB21" s="204"/>
      <c r="JUC21" s="204"/>
      <c r="JUD21" s="204"/>
      <c r="JUE21" s="204"/>
      <c r="JUF21" s="204"/>
      <c r="JUG21" s="204"/>
      <c r="JUH21" s="204"/>
      <c r="JUI21" s="204"/>
      <c r="JUJ21" s="204"/>
      <c r="JUK21" s="204"/>
      <c r="JUL21" s="204"/>
      <c r="JUM21" s="204"/>
      <c r="JUN21" s="204"/>
      <c r="JUO21" s="204"/>
      <c r="JUP21" s="204"/>
      <c r="JUQ21" s="204"/>
      <c r="JUR21" s="204"/>
      <c r="JUS21" s="204"/>
      <c r="JUT21" s="204"/>
      <c r="JUU21" s="204"/>
      <c r="JUV21" s="204"/>
      <c r="JUW21" s="204"/>
      <c r="JUX21" s="204"/>
      <c r="JUY21" s="204"/>
      <c r="JUZ21" s="204"/>
      <c r="JVA21" s="204"/>
      <c r="JVB21" s="204"/>
      <c r="JVC21" s="204"/>
      <c r="JVD21" s="204"/>
      <c r="JVE21" s="204"/>
      <c r="JVF21" s="204"/>
      <c r="JVG21" s="204"/>
      <c r="JVH21" s="204"/>
      <c r="JVI21" s="204"/>
      <c r="JVJ21" s="204"/>
      <c r="JVK21" s="204"/>
      <c r="JVL21" s="204"/>
      <c r="JVM21" s="204"/>
      <c r="JVN21" s="204"/>
      <c r="JVO21" s="204"/>
      <c r="JVP21" s="204"/>
      <c r="JVQ21" s="204"/>
      <c r="JVR21" s="204"/>
      <c r="JVS21" s="204"/>
      <c r="JVT21" s="204"/>
      <c r="JVU21" s="204"/>
      <c r="JVV21" s="204"/>
      <c r="JVW21" s="204"/>
      <c r="JVX21" s="204"/>
      <c r="JVY21" s="204"/>
      <c r="JVZ21" s="204"/>
      <c r="JWA21" s="204"/>
      <c r="JWB21" s="204"/>
      <c r="JWC21" s="204"/>
      <c r="JWD21" s="204"/>
      <c r="JWE21" s="204"/>
      <c r="JWF21" s="204"/>
      <c r="JWG21" s="204"/>
      <c r="JWH21" s="204"/>
      <c r="JWI21" s="204"/>
      <c r="JWJ21" s="204"/>
      <c r="JWK21" s="204"/>
      <c r="JWL21" s="204"/>
      <c r="JWM21" s="204"/>
      <c r="JWN21" s="204"/>
      <c r="JWO21" s="204"/>
      <c r="JWP21" s="204"/>
      <c r="JWQ21" s="204"/>
      <c r="JWR21" s="204"/>
      <c r="JWS21" s="204"/>
      <c r="JWT21" s="204"/>
      <c r="JWU21" s="204"/>
      <c r="JWV21" s="204"/>
      <c r="JWW21" s="204"/>
      <c r="JWX21" s="204"/>
      <c r="JWY21" s="204"/>
      <c r="JWZ21" s="204"/>
      <c r="JXA21" s="204"/>
      <c r="JXB21" s="204"/>
      <c r="JXC21" s="204"/>
      <c r="JXD21" s="204"/>
      <c r="JXE21" s="204"/>
      <c r="JXF21" s="204"/>
      <c r="JXG21" s="204"/>
      <c r="JXH21" s="204"/>
      <c r="JXI21" s="204"/>
      <c r="JXJ21" s="204"/>
      <c r="JXK21" s="204"/>
      <c r="JXL21" s="204"/>
      <c r="JXM21" s="204"/>
      <c r="JXN21" s="204"/>
      <c r="JXO21" s="204"/>
      <c r="JXP21" s="204"/>
      <c r="JXQ21" s="204"/>
      <c r="JXR21" s="204"/>
      <c r="JXS21" s="204"/>
      <c r="JXT21" s="204"/>
      <c r="JXU21" s="204"/>
      <c r="JXV21" s="204"/>
      <c r="JXW21" s="204"/>
      <c r="JXX21" s="204"/>
      <c r="JXY21" s="204"/>
      <c r="JXZ21" s="204"/>
      <c r="JYA21" s="204"/>
      <c r="JYB21" s="204"/>
      <c r="JYC21" s="204"/>
      <c r="JYD21" s="204"/>
      <c r="JYE21" s="204"/>
      <c r="JYF21" s="204"/>
      <c r="JYG21" s="204"/>
      <c r="JYH21" s="204"/>
      <c r="JYI21" s="204"/>
      <c r="JYJ21" s="204"/>
      <c r="JYK21" s="204"/>
      <c r="JYL21" s="204"/>
      <c r="JYM21" s="204"/>
      <c r="JYN21" s="204"/>
      <c r="JYO21" s="204"/>
      <c r="JYP21" s="204"/>
      <c r="JYQ21" s="204"/>
      <c r="JYR21" s="204"/>
      <c r="JYS21" s="204"/>
      <c r="JYT21" s="204"/>
      <c r="JYU21" s="204"/>
      <c r="JYV21" s="204"/>
      <c r="JYW21" s="204"/>
      <c r="JYX21" s="204"/>
      <c r="JYY21" s="204"/>
      <c r="JYZ21" s="204"/>
      <c r="JZA21" s="204"/>
      <c r="JZB21" s="204"/>
      <c r="JZC21" s="204"/>
      <c r="JZD21" s="204"/>
      <c r="JZE21" s="204"/>
      <c r="JZF21" s="204"/>
      <c r="JZG21" s="204"/>
      <c r="JZH21" s="204"/>
      <c r="JZI21" s="204"/>
      <c r="JZJ21" s="204"/>
      <c r="JZK21" s="204"/>
      <c r="JZL21" s="204"/>
      <c r="JZM21" s="204"/>
      <c r="JZN21" s="204"/>
      <c r="JZO21" s="204"/>
      <c r="JZP21" s="204"/>
      <c r="JZQ21" s="204"/>
      <c r="JZR21" s="204"/>
      <c r="JZS21" s="204"/>
      <c r="JZT21" s="204"/>
      <c r="JZU21" s="204"/>
      <c r="JZV21" s="204"/>
      <c r="JZW21" s="204"/>
      <c r="JZX21" s="204"/>
      <c r="JZY21" s="204"/>
      <c r="JZZ21" s="204"/>
      <c r="KAA21" s="204"/>
      <c r="KAB21" s="204"/>
      <c r="KAC21" s="204"/>
      <c r="KAD21" s="204"/>
      <c r="KAE21" s="204"/>
      <c r="KAF21" s="204"/>
      <c r="KAG21" s="204"/>
      <c r="KAH21" s="204"/>
      <c r="KAI21" s="204"/>
      <c r="KAJ21" s="204"/>
      <c r="KAK21" s="204"/>
      <c r="KAL21" s="204"/>
      <c r="KAM21" s="204"/>
      <c r="KAN21" s="204"/>
      <c r="KAO21" s="204"/>
      <c r="KAP21" s="204"/>
      <c r="KAQ21" s="204"/>
      <c r="KAR21" s="204"/>
      <c r="KAS21" s="204"/>
      <c r="KAT21" s="204"/>
      <c r="KAU21" s="204"/>
      <c r="KAV21" s="204"/>
      <c r="KAW21" s="204"/>
      <c r="KAX21" s="204"/>
      <c r="KAY21" s="204"/>
      <c r="KAZ21" s="204"/>
      <c r="KBA21" s="204"/>
      <c r="KBB21" s="204"/>
      <c r="KBC21" s="204"/>
      <c r="KBD21" s="204"/>
      <c r="KBE21" s="204"/>
      <c r="KBF21" s="204"/>
      <c r="KBG21" s="204"/>
      <c r="KBH21" s="204"/>
      <c r="KBI21" s="204"/>
      <c r="KBJ21" s="204"/>
      <c r="KBK21" s="204"/>
      <c r="KBL21" s="204"/>
      <c r="KBM21" s="204"/>
      <c r="KBN21" s="204"/>
      <c r="KBO21" s="204"/>
      <c r="KBP21" s="204"/>
      <c r="KBQ21" s="204"/>
      <c r="KBR21" s="204"/>
      <c r="KBS21" s="204"/>
      <c r="KBT21" s="204"/>
      <c r="KBU21" s="204"/>
      <c r="KBV21" s="204"/>
      <c r="KBW21" s="204"/>
      <c r="KBX21" s="204"/>
      <c r="KBY21" s="204"/>
      <c r="KBZ21" s="204"/>
      <c r="KCA21" s="204"/>
      <c r="KCB21" s="204"/>
      <c r="KCC21" s="204"/>
      <c r="KCD21" s="204"/>
      <c r="KCE21" s="204"/>
      <c r="KCF21" s="204"/>
      <c r="KCG21" s="204"/>
      <c r="KCH21" s="204"/>
      <c r="KCI21" s="204"/>
      <c r="KCJ21" s="204"/>
      <c r="KCK21" s="204"/>
      <c r="KCL21" s="204"/>
      <c r="KCM21" s="204"/>
      <c r="KCN21" s="204"/>
      <c r="KCO21" s="204"/>
      <c r="KCP21" s="204"/>
      <c r="KCQ21" s="204"/>
      <c r="KCR21" s="204"/>
      <c r="KCS21" s="204"/>
      <c r="KCT21" s="204"/>
      <c r="KCU21" s="204"/>
      <c r="KCV21" s="204"/>
      <c r="KCW21" s="204"/>
      <c r="KCX21" s="204"/>
      <c r="KCY21" s="204"/>
      <c r="KCZ21" s="204"/>
      <c r="KDA21" s="204"/>
      <c r="KDB21" s="204"/>
      <c r="KDC21" s="204"/>
      <c r="KDD21" s="204"/>
      <c r="KDE21" s="204"/>
      <c r="KDF21" s="204"/>
      <c r="KDG21" s="204"/>
      <c r="KDH21" s="204"/>
      <c r="KDI21" s="204"/>
      <c r="KDJ21" s="204"/>
      <c r="KDK21" s="204"/>
      <c r="KDL21" s="204"/>
      <c r="KDM21" s="204"/>
      <c r="KDN21" s="204"/>
      <c r="KDO21" s="204"/>
      <c r="KDP21" s="204"/>
      <c r="KDQ21" s="204"/>
      <c r="KDR21" s="204"/>
      <c r="KDS21" s="204"/>
      <c r="KDT21" s="204"/>
      <c r="KDU21" s="204"/>
      <c r="KDV21" s="204"/>
      <c r="KDW21" s="204"/>
      <c r="KDX21" s="204"/>
      <c r="KDY21" s="204"/>
      <c r="KDZ21" s="204"/>
      <c r="KEA21" s="204"/>
      <c r="KEB21" s="204"/>
      <c r="KEC21" s="204"/>
      <c r="KED21" s="204"/>
      <c r="KEE21" s="204"/>
      <c r="KEF21" s="204"/>
      <c r="KEG21" s="204"/>
      <c r="KEH21" s="204"/>
      <c r="KEI21" s="204"/>
      <c r="KEJ21" s="204"/>
      <c r="KEK21" s="204"/>
      <c r="KEL21" s="204"/>
      <c r="KEM21" s="204"/>
      <c r="KEN21" s="204"/>
      <c r="KEO21" s="204"/>
      <c r="KEP21" s="204"/>
      <c r="KEQ21" s="204"/>
      <c r="KER21" s="204"/>
      <c r="KES21" s="204"/>
      <c r="KET21" s="204"/>
      <c r="KEU21" s="204"/>
      <c r="KEV21" s="204"/>
      <c r="KEW21" s="204"/>
      <c r="KEX21" s="204"/>
      <c r="KEY21" s="204"/>
      <c r="KEZ21" s="204"/>
      <c r="KFA21" s="204"/>
      <c r="KFB21" s="204"/>
      <c r="KFC21" s="204"/>
      <c r="KFD21" s="204"/>
      <c r="KFE21" s="204"/>
      <c r="KFF21" s="204"/>
      <c r="KFG21" s="204"/>
      <c r="KFH21" s="204"/>
      <c r="KFI21" s="204"/>
      <c r="KFJ21" s="204"/>
      <c r="KFK21" s="204"/>
      <c r="KFL21" s="204"/>
      <c r="KFM21" s="204"/>
      <c r="KFN21" s="204"/>
      <c r="KFO21" s="204"/>
      <c r="KFP21" s="204"/>
      <c r="KFQ21" s="204"/>
      <c r="KFR21" s="204"/>
      <c r="KFS21" s="204"/>
      <c r="KFT21" s="204"/>
      <c r="KFU21" s="204"/>
      <c r="KFV21" s="204"/>
      <c r="KFW21" s="204"/>
      <c r="KFX21" s="204"/>
      <c r="KFY21" s="204"/>
      <c r="KFZ21" s="204"/>
      <c r="KGA21" s="204"/>
      <c r="KGB21" s="204"/>
      <c r="KGC21" s="204"/>
      <c r="KGD21" s="204"/>
      <c r="KGE21" s="204"/>
      <c r="KGF21" s="204"/>
      <c r="KGG21" s="204"/>
      <c r="KGH21" s="204"/>
      <c r="KGI21" s="204"/>
      <c r="KGJ21" s="204"/>
      <c r="KGK21" s="204"/>
      <c r="KGL21" s="204"/>
      <c r="KGM21" s="204"/>
      <c r="KGN21" s="204"/>
      <c r="KGO21" s="204"/>
      <c r="KGP21" s="204"/>
      <c r="KGQ21" s="204"/>
      <c r="KGR21" s="204"/>
      <c r="KGS21" s="204"/>
      <c r="KGT21" s="204"/>
      <c r="KGU21" s="204"/>
      <c r="KGV21" s="204"/>
      <c r="KGW21" s="204"/>
      <c r="KGX21" s="204"/>
      <c r="KGY21" s="204"/>
      <c r="KGZ21" s="204"/>
      <c r="KHA21" s="204"/>
      <c r="KHB21" s="204"/>
      <c r="KHC21" s="204"/>
      <c r="KHD21" s="204"/>
      <c r="KHE21" s="204"/>
      <c r="KHF21" s="204"/>
      <c r="KHG21" s="204"/>
      <c r="KHH21" s="204"/>
      <c r="KHI21" s="204"/>
      <c r="KHJ21" s="204"/>
      <c r="KHK21" s="204"/>
      <c r="KHL21" s="204"/>
      <c r="KHM21" s="204"/>
      <c r="KHN21" s="204"/>
      <c r="KHO21" s="204"/>
      <c r="KHP21" s="204"/>
      <c r="KHQ21" s="204"/>
      <c r="KHR21" s="204"/>
      <c r="KHS21" s="204"/>
      <c r="KHT21" s="204"/>
      <c r="KHU21" s="204"/>
      <c r="KHV21" s="204"/>
      <c r="KHW21" s="204"/>
      <c r="KHX21" s="204"/>
      <c r="KHY21" s="204"/>
      <c r="KHZ21" s="204"/>
      <c r="KIA21" s="204"/>
      <c r="KIB21" s="204"/>
      <c r="KIC21" s="204"/>
      <c r="KID21" s="204"/>
      <c r="KIE21" s="204"/>
      <c r="KIF21" s="204"/>
      <c r="KIG21" s="204"/>
      <c r="KIH21" s="204"/>
      <c r="KII21" s="204"/>
      <c r="KIJ21" s="204"/>
      <c r="KIK21" s="204"/>
      <c r="KIL21" s="204"/>
      <c r="KIM21" s="204"/>
      <c r="KIN21" s="204"/>
      <c r="KIO21" s="204"/>
      <c r="KIP21" s="204"/>
      <c r="KIQ21" s="204"/>
      <c r="KIR21" s="204"/>
      <c r="KIS21" s="204"/>
      <c r="KIT21" s="204"/>
      <c r="KIU21" s="204"/>
      <c r="KIV21" s="204"/>
      <c r="KIW21" s="204"/>
      <c r="KIX21" s="204"/>
      <c r="KIY21" s="204"/>
      <c r="KIZ21" s="204"/>
      <c r="KJA21" s="204"/>
      <c r="KJB21" s="204"/>
      <c r="KJC21" s="204"/>
      <c r="KJD21" s="204"/>
      <c r="KJE21" s="204"/>
      <c r="KJF21" s="204"/>
      <c r="KJG21" s="204"/>
      <c r="KJH21" s="204"/>
      <c r="KJI21" s="204"/>
      <c r="KJJ21" s="204"/>
      <c r="KJK21" s="204"/>
      <c r="KJL21" s="204"/>
      <c r="KJM21" s="204"/>
      <c r="KJN21" s="204"/>
      <c r="KJO21" s="204"/>
      <c r="KJP21" s="204"/>
      <c r="KJQ21" s="204"/>
      <c r="KJR21" s="204"/>
      <c r="KJS21" s="204"/>
      <c r="KJT21" s="204"/>
      <c r="KJU21" s="204"/>
      <c r="KJV21" s="204"/>
      <c r="KJW21" s="204"/>
      <c r="KJX21" s="204"/>
      <c r="KJY21" s="204"/>
      <c r="KJZ21" s="204"/>
      <c r="KKA21" s="204"/>
      <c r="KKB21" s="204"/>
      <c r="KKC21" s="204"/>
      <c r="KKD21" s="204"/>
      <c r="KKE21" s="204"/>
      <c r="KKF21" s="204"/>
      <c r="KKG21" s="204"/>
      <c r="KKH21" s="204"/>
      <c r="KKI21" s="204"/>
      <c r="KKJ21" s="204"/>
      <c r="KKK21" s="204"/>
      <c r="KKL21" s="204"/>
      <c r="KKM21" s="204"/>
      <c r="KKN21" s="204"/>
      <c r="KKO21" s="204"/>
      <c r="KKP21" s="204"/>
      <c r="KKQ21" s="204"/>
      <c r="KKR21" s="204"/>
      <c r="KKS21" s="204"/>
      <c r="KKT21" s="204"/>
      <c r="KKU21" s="204"/>
      <c r="KKV21" s="204"/>
      <c r="KKW21" s="204"/>
      <c r="KKX21" s="204"/>
      <c r="KKY21" s="204"/>
      <c r="KKZ21" s="204"/>
      <c r="KLA21" s="204"/>
      <c r="KLB21" s="204"/>
      <c r="KLC21" s="204"/>
      <c r="KLD21" s="204"/>
      <c r="KLE21" s="204"/>
      <c r="KLF21" s="204"/>
      <c r="KLG21" s="204"/>
      <c r="KLH21" s="204"/>
      <c r="KLI21" s="204"/>
      <c r="KLJ21" s="204"/>
      <c r="KLK21" s="204"/>
      <c r="KLL21" s="204"/>
      <c r="KLM21" s="204"/>
      <c r="KLN21" s="204"/>
      <c r="KLO21" s="204"/>
      <c r="KLP21" s="204"/>
      <c r="KLQ21" s="204"/>
      <c r="KLR21" s="204"/>
      <c r="KLS21" s="204"/>
      <c r="KLT21" s="204"/>
      <c r="KLU21" s="204"/>
      <c r="KLV21" s="204"/>
      <c r="KLW21" s="204"/>
      <c r="KLX21" s="204"/>
      <c r="KLY21" s="204"/>
      <c r="KLZ21" s="204"/>
      <c r="KMA21" s="204"/>
      <c r="KMB21" s="204"/>
      <c r="KMC21" s="204"/>
      <c r="KMD21" s="204"/>
      <c r="KME21" s="204"/>
      <c r="KMF21" s="204"/>
      <c r="KMG21" s="204"/>
      <c r="KMH21" s="204"/>
      <c r="KMI21" s="204"/>
      <c r="KMJ21" s="204"/>
      <c r="KMK21" s="204"/>
      <c r="KML21" s="204"/>
      <c r="KMM21" s="204"/>
      <c r="KMN21" s="204"/>
      <c r="KMO21" s="204"/>
      <c r="KMP21" s="204"/>
      <c r="KMQ21" s="204"/>
      <c r="KMR21" s="204"/>
      <c r="KMS21" s="204"/>
      <c r="KMT21" s="204"/>
      <c r="KMU21" s="204"/>
      <c r="KMV21" s="204"/>
      <c r="KMW21" s="204"/>
      <c r="KMX21" s="204"/>
      <c r="KMY21" s="204"/>
      <c r="KMZ21" s="204"/>
      <c r="KNA21" s="204"/>
      <c r="KNB21" s="204"/>
      <c r="KNC21" s="204"/>
      <c r="KND21" s="204"/>
      <c r="KNE21" s="204"/>
      <c r="KNF21" s="204"/>
      <c r="KNG21" s="204"/>
      <c r="KNH21" s="204"/>
      <c r="KNI21" s="204"/>
      <c r="KNJ21" s="204"/>
      <c r="KNK21" s="204"/>
      <c r="KNL21" s="204"/>
      <c r="KNM21" s="204"/>
      <c r="KNN21" s="204"/>
      <c r="KNO21" s="204"/>
      <c r="KNP21" s="204"/>
      <c r="KNQ21" s="204"/>
      <c r="KNR21" s="204"/>
      <c r="KNS21" s="204"/>
      <c r="KNT21" s="204"/>
      <c r="KNU21" s="204"/>
      <c r="KNV21" s="204"/>
      <c r="KNW21" s="204"/>
      <c r="KNX21" s="204"/>
      <c r="KNY21" s="204"/>
      <c r="KNZ21" s="204"/>
      <c r="KOA21" s="204"/>
      <c r="KOB21" s="204"/>
      <c r="KOC21" s="204"/>
      <c r="KOD21" s="204"/>
      <c r="KOE21" s="204"/>
      <c r="KOF21" s="204"/>
      <c r="KOG21" s="204"/>
      <c r="KOH21" s="204"/>
      <c r="KOI21" s="204"/>
      <c r="KOJ21" s="204"/>
      <c r="KOK21" s="204"/>
      <c r="KOL21" s="204"/>
      <c r="KOM21" s="204"/>
      <c r="KON21" s="204"/>
      <c r="KOO21" s="204"/>
      <c r="KOP21" s="204"/>
      <c r="KOQ21" s="204"/>
      <c r="KOR21" s="204"/>
      <c r="KOS21" s="204"/>
      <c r="KOT21" s="204"/>
      <c r="KOU21" s="204"/>
      <c r="KOV21" s="204"/>
      <c r="KOW21" s="204"/>
      <c r="KOX21" s="204"/>
      <c r="KOY21" s="204"/>
      <c r="KOZ21" s="204"/>
      <c r="KPA21" s="204"/>
      <c r="KPB21" s="204"/>
      <c r="KPC21" s="204"/>
      <c r="KPD21" s="204"/>
      <c r="KPE21" s="204"/>
      <c r="KPF21" s="204"/>
      <c r="KPG21" s="204"/>
      <c r="KPH21" s="204"/>
      <c r="KPI21" s="204"/>
      <c r="KPJ21" s="204"/>
      <c r="KPK21" s="204"/>
      <c r="KPL21" s="204"/>
      <c r="KPM21" s="204"/>
      <c r="KPN21" s="204"/>
      <c r="KPO21" s="204"/>
      <c r="KPP21" s="204"/>
      <c r="KPQ21" s="204"/>
      <c r="KPR21" s="204"/>
      <c r="KPS21" s="204"/>
      <c r="KPT21" s="204"/>
      <c r="KPU21" s="204"/>
      <c r="KPV21" s="204"/>
      <c r="KPW21" s="204"/>
      <c r="KPX21" s="204"/>
      <c r="KPY21" s="204"/>
      <c r="KPZ21" s="204"/>
      <c r="KQA21" s="204"/>
      <c r="KQB21" s="204"/>
      <c r="KQC21" s="204"/>
      <c r="KQD21" s="204"/>
      <c r="KQE21" s="204"/>
      <c r="KQF21" s="204"/>
      <c r="KQG21" s="204"/>
      <c r="KQH21" s="204"/>
      <c r="KQI21" s="204"/>
      <c r="KQJ21" s="204"/>
      <c r="KQK21" s="204"/>
      <c r="KQL21" s="204"/>
      <c r="KQM21" s="204"/>
      <c r="KQN21" s="204"/>
      <c r="KQO21" s="204"/>
      <c r="KQP21" s="204"/>
      <c r="KQQ21" s="204"/>
      <c r="KQR21" s="204"/>
      <c r="KQS21" s="204"/>
      <c r="KQT21" s="204"/>
      <c r="KQU21" s="204"/>
      <c r="KQV21" s="204"/>
      <c r="KQW21" s="204"/>
      <c r="KQX21" s="204"/>
      <c r="KQY21" s="204"/>
      <c r="KQZ21" s="204"/>
      <c r="KRA21" s="204"/>
      <c r="KRB21" s="204"/>
      <c r="KRC21" s="204"/>
      <c r="KRD21" s="204"/>
      <c r="KRE21" s="204"/>
      <c r="KRF21" s="204"/>
      <c r="KRG21" s="204"/>
      <c r="KRH21" s="204"/>
      <c r="KRI21" s="204"/>
      <c r="KRJ21" s="204"/>
      <c r="KRK21" s="204"/>
      <c r="KRL21" s="204"/>
      <c r="KRM21" s="204"/>
      <c r="KRN21" s="204"/>
      <c r="KRO21" s="204"/>
      <c r="KRP21" s="204"/>
      <c r="KRQ21" s="204"/>
      <c r="KRR21" s="204"/>
      <c r="KRS21" s="204"/>
      <c r="KRT21" s="204"/>
      <c r="KRU21" s="204"/>
      <c r="KRV21" s="204"/>
      <c r="KRW21" s="204"/>
      <c r="KRX21" s="204"/>
      <c r="KRY21" s="204"/>
      <c r="KRZ21" s="204"/>
      <c r="KSA21" s="204"/>
      <c r="KSB21" s="204"/>
      <c r="KSC21" s="204"/>
      <c r="KSD21" s="204"/>
      <c r="KSE21" s="204"/>
      <c r="KSF21" s="204"/>
      <c r="KSG21" s="204"/>
      <c r="KSH21" s="204"/>
      <c r="KSI21" s="204"/>
      <c r="KSJ21" s="204"/>
      <c r="KSK21" s="204"/>
      <c r="KSL21" s="204"/>
      <c r="KSM21" s="204"/>
      <c r="KSN21" s="204"/>
      <c r="KSO21" s="204"/>
      <c r="KSP21" s="204"/>
      <c r="KSQ21" s="204"/>
      <c r="KSR21" s="204"/>
      <c r="KSS21" s="204"/>
      <c r="KST21" s="204"/>
      <c r="KSU21" s="204"/>
      <c r="KSV21" s="204"/>
      <c r="KSW21" s="204"/>
      <c r="KSX21" s="204"/>
      <c r="KSY21" s="204"/>
      <c r="KSZ21" s="204"/>
      <c r="KTA21" s="204"/>
      <c r="KTB21" s="204"/>
      <c r="KTC21" s="204"/>
      <c r="KTD21" s="204"/>
      <c r="KTE21" s="204"/>
      <c r="KTF21" s="204"/>
      <c r="KTG21" s="204"/>
      <c r="KTH21" s="204"/>
      <c r="KTI21" s="204"/>
      <c r="KTJ21" s="204"/>
      <c r="KTK21" s="204"/>
      <c r="KTL21" s="204"/>
      <c r="KTM21" s="204"/>
      <c r="KTN21" s="204"/>
      <c r="KTO21" s="204"/>
      <c r="KTP21" s="204"/>
      <c r="KTQ21" s="204"/>
      <c r="KTR21" s="204"/>
      <c r="KTS21" s="204"/>
      <c r="KTT21" s="204"/>
      <c r="KTU21" s="204"/>
      <c r="KTV21" s="204"/>
      <c r="KTW21" s="204"/>
      <c r="KTX21" s="204"/>
      <c r="KTY21" s="204"/>
      <c r="KTZ21" s="204"/>
      <c r="KUA21" s="204"/>
      <c r="KUB21" s="204"/>
      <c r="KUC21" s="204"/>
      <c r="KUD21" s="204"/>
      <c r="KUE21" s="204"/>
      <c r="KUF21" s="204"/>
      <c r="KUG21" s="204"/>
      <c r="KUH21" s="204"/>
      <c r="KUI21" s="204"/>
      <c r="KUJ21" s="204"/>
      <c r="KUK21" s="204"/>
      <c r="KUL21" s="204"/>
      <c r="KUM21" s="204"/>
      <c r="KUN21" s="204"/>
      <c r="KUO21" s="204"/>
      <c r="KUP21" s="204"/>
      <c r="KUQ21" s="204"/>
      <c r="KUR21" s="204"/>
      <c r="KUS21" s="204"/>
      <c r="KUT21" s="204"/>
      <c r="KUU21" s="204"/>
      <c r="KUV21" s="204"/>
      <c r="KUW21" s="204"/>
      <c r="KUX21" s="204"/>
      <c r="KUY21" s="204"/>
      <c r="KUZ21" s="204"/>
      <c r="KVA21" s="204"/>
      <c r="KVB21" s="204"/>
      <c r="KVC21" s="204"/>
      <c r="KVD21" s="204"/>
      <c r="KVE21" s="204"/>
      <c r="KVF21" s="204"/>
      <c r="KVG21" s="204"/>
      <c r="KVH21" s="204"/>
      <c r="KVI21" s="204"/>
      <c r="KVJ21" s="204"/>
      <c r="KVK21" s="204"/>
      <c r="KVL21" s="204"/>
      <c r="KVM21" s="204"/>
      <c r="KVN21" s="204"/>
      <c r="KVO21" s="204"/>
      <c r="KVP21" s="204"/>
      <c r="KVQ21" s="204"/>
      <c r="KVR21" s="204"/>
      <c r="KVS21" s="204"/>
      <c r="KVT21" s="204"/>
      <c r="KVU21" s="204"/>
      <c r="KVV21" s="204"/>
      <c r="KVW21" s="204"/>
      <c r="KVX21" s="204"/>
      <c r="KVY21" s="204"/>
      <c r="KVZ21" s="204"/>
      <c r="KWA21" s="204"/>
      <c r="KWB21" s="204"/>
      <c r="KWC21" s="204"/>
      <c r="KWD21" s="204"/>
      <c r="KWE21" s="204"/>
      <c r="KWF21" s="204"/>
      <c r="KWG21" s="204"/>
      <c r="KWH21" s="204"/>
      <c r="KWI21" s="204"/>
      <c r="KWJ21" s="204"/>
      <c r="KWK21" s="204"/>
      <c r="KWL21" s="204"/>
      <c r="KWM21" s="204"/>
      <c r="KWN21" s="204"/>
      <c r="KWO21" s="204"/>
      <c r="KWP21" s="204"/>
      <c r="KWQ21" s="204"/>
      <c r="KWR21" s="204"/>
      <c r="KWS21" s="204"/>
      <c r="KWT21" s="204"/>
      <c r="KWU21" s="204"/>
      <c r="KWV21" s="204"/>
      <c r="KWW21" s="204"/>
      <c r="KWX21" s="204"/>
      <c r="KWY21" s="204"/>
      <c r="KWZ21" s="204"/>
      <c r="KXA21" s="204"/>
      <c r="KXB21" s="204"/>
      <c r="KXC21" s="204"/>
      <c r="KXD21" s="204"/>
      <c r="KXE21" s="204"/>
      <c r="KXF21" s="204"/>
      <c r="KXG21" s="204"/>
      <c r="KXH21" s="204"/>
      <c r="KXI21" s="204"/>
      <c r="KXJ21" s="204"/>
      <c r="KXK21" s="204"/>
      <c r="KXL21" s="204"/>
      <c r="KXM21" s="204"/>
      <c r="KXN21" s="204"/>
      <c r="KXO21" s="204"/>
      <c r="KXP21" s="204"/>
      <c r="KXQ21" s="204"/>
      <c r="KXR21" s="204"/>
      <c r="KXS21" s="204"/>
      <c r="KXT21" s="204"/>
      <c r="KXU21" s="204"/>
      <c r="KXV21" s="204"/>
      <c r="KXW21" s="204"/>
      <c r="KXX21" s="204"/>
      <c r="KXY21" s="204"/>
      <c r="KXZ21" s="204"/>
      <c r="KYA21" s="204"/>
      <c r="KYB21" s="204"/>
      <c r="KYC21" s="204"/>
      <c r="KYD21" s="204"/>
      <c r="KYE21" s="204"/>
      <c r="KYF21" s="204"/>
      <c r="KYG21" s="204"/>
      <c r="KYH21" s="204"/>
      <c r="KYI21" s="204"/>
      <c r="KYJ21" s="204"/>
      <c r="KYK21" s="204"/>
      <c r="KYL21" s="204"/>
      <c r="KYM21" s="204"/>
      <c r="KYN21" s="204"/>
      <c r="KYO21" s="204"/>
      <c r="KYP21" s="204"/>
      <c r="KYQ21" s="204"/>
      <c r="KYR21" s="204"/>
      <c r="KYS21" s="204"/>
      <c r="KYT21" s="204"/>
      <c r="KYU21" s="204"/>
      <c r="KYV21" s="204"/>
      <c r="KYW21" s="204"/>
      <c r="KYX21" s="204"/>
      <c r="KYY21" s="204"/>
      <c r="KYZ21" s="204"/>
      <c r="KZA21" s="204"/>
      <c r="KZB21" s="204"/>
      <c r="KZC21" s="204"/>
      <c r="KZD21" s="204"/>
      <c r="KZE21" s="204"/>
      <c r="KZF21" s="204"/>
      <c r="KZG21" s="204"/>
      <c r="KZH21" s="204"/>
      <c r="KZI21" s="204"/>
      <c r="KZJ21" s="204"/>
      <c r="KZK21" s="204"/>
      <c r="KZL21" s="204"/>
      <c r="KZM21" s="204"/>
      <c r="KZN21" s="204"/>
      <c r="KZO21" s="204"/>
      <c r="KZP21" s="204"/>
      <c r="KZQ21" s="204"/>
      <c r="KZR21" s="204"/>
      <c r="KZS21" s="204"/>
      <c r="KZT21" s="204"/>
      <c r="KZU21" s="204"/>
      <c r="KZV21" s="204"/>
      <c r="KZW21" s="204"/>
      <c r="KZX21" s="204"/>
      <c r="KZY21" s="204"/>
      <c r="KZZ21" s="204"/>
      <c r="LAA21" s="204"/>
      <c r="LAB21" s="204"/>
      <c r="LAC21" s="204"/>
      <c r="LAD21" s="204"/>
      <c r="LAE21" s="204"/>
      <c r="LAF21" s="204"/>
      <c r="LAG21" s="204"/>
      <c r="LAH21" s="204"/>
      <c r="LAI21" s="204"/>
      <c r="LAJ21" s="204"/>
      <c r="LAK21" s="204"/>
      <c r="LAL21" s="204"/>
      <c r="LAM21" s="204"/>
      <c r="LAN21" s="204"/>
      <c r="LAO21" s="204"/>
      <c r="LAP21" s="204"/>
      <c r="LAQ21" s="204"/>
      <c r="LAR21" s="204"/>
      <c r="LAS21" s="204"/>
      <c r="LAT21" s="204"/>
      <c r="LAU21" s="204"/>
      <c r="LAV21" s="204"/>
      <c r="LAW21" s="204"/>
      <c r="LAX21" s="204"/>
      <c r="LAY21" s="204"/>
      <c r="LAZ21" s="204"/>
      <c r="LBA21" s="204"/>
      <c r="LBB21" s="204"/>
      <c r="LBC21" s="204"/>
      <c r="LBD21" s="204"/>
      <c r="LBE21" s="204"/>
      <c r="LBF21" s="204"/>
      <c r="LBG21" s="204"/>
      <c r="LBH21" s="204"/>
      <c r="LBI21" s="204"/>
      <c r="LBJ21" s="204"/>
      <c r="LBK21" s="204"/>
      <c r="LBL21" s="204"/>
      <c r="LBM21" s="204"/>
      <c r="LBN21" s="204"/>
      <c r="LBO21" s="204"/>
      <c r="LBP21" s="204"/>
      <c r="LBQ21" s="204"/>
      <c r="LBR21" s="204"/>
      <c r="LBS21" s="204"/>
      <c r="LBT21" s="204"/>
      <c r="LBU21" s="204"/>
      <c r="LBV21" s="204"/>
      <c r="LBW21" s="204"/>
      <c r="LBX21" s="204"/>
      <c r="LBY21" s="204"/>
      <c r="LBZ21" s="204"/>
      <c r="LCA21" s="204"/>
      <c r="LCB21" s="204"/>
      <c r="LCC21" s="204"/>
      <c r="LCD21" s="204"/>
      <c r="LCE21" s="204"/>
      <c r="LCF21" s="204"/>
      <c r="LCG21" s="204"/>
      <c r="LCH21" s="204"/>
      <c r="LCI21" s="204"/>
      <c r="LCJ21" s="204"/>
      <c r="LCK21" s="204"/>
      <c r="LCL21" s="204"/>
      <c r="LCM21" s="204"/>
      <c r="LCN21" s="204"/>
      <c r="LCO21" s="204"/>
      <c r="LCP21" s="204"/>
      <c r="LCQ21" s="204"/>
      <c r="LCR21" s="204"/>
      <c r="LCS21" s="204"/>
      <c r="LCT21" s="204"/>
      <c r="LCU21" s="204"/>
      <c r="LCV21" s="204"/>
      <c r="LCW21" s="204"/>
      <c r="LCX21" s="204"/>
      <c r="LCY21" s="204"/>
      <c r="LCZ21" s="204"/>
      <c r="LDA21" s="204"/>
      <c r="LDB21" s="204"/>
      <c r="LDC21" s="204"/>
      <c r="LDD21" s="204"/>
      <c r="LDE21" s="204"/>
      <c r="LDF21" s="204"/>
      <c r="LDG21" s="204"/>
      <c r="LDH21" s="204"/>
      <c r="LDI21" s="204"/>
      <c r="LDJ21" s="204"/>
      <c r="LDK21" s="204"/>
      <c r="LDL21" s="204"/>
      <c r="LDM21" s="204"/>
      <c r="LDN21" s="204"/>
      <c r="LDO21" s="204"/>
      <c r="LDP21" s="204"/>
      <c r="LDQ21" s="204"/>
      <c r="LDR21" s="204"/>
      <c r="LDS21" s="204"/>
      <c r="LDT21" s="204"/>
      <c r="LDU21" s="204"/>
      <c r="LDV21" s="204"/>
      <c r="LDW21" s="204"/>
      <c r="LDX21" s="204"/>
      <c r="LDY21" s="204"/>
      <c r="LDZ21" s="204"/>
      <c r="LEA21" s="204"/>
      <c r="LEB21" s="204"/>
      <c r="LEC21" s="204"/>
      <c r="LED21" s="204"/>
      <c r="LEE21" s="204"/>
      <c r="LEF21" s="204"/>
      <c r="LEG21" s="204"/>
      <c r="LEH21" s="204"/>
      <c r="LEI21" s="204"/>
      <c r="LEJ21" s="204"/>
      <c r="LEK21" s="204"/>
      <c r="LEL21" s="204"/>
      <c r="LEM21" s="204"/>
      <c r="LEN21" s="204"/>
      <c r="LEO21" s="204"/>
      <c r="LEP21" s="204"/>
      <c r="LEQ21" s="204"/>
      <c r="LER21" s="204"/>
      <c r="LES21" s="204"/>
      <c r="LET21" s="204"/>
      <c r="LEU21" s="204"/>
      <c r="LEV21" s="204"/>
      <c r="LEW21" s="204"/>
      <c r="LEX21" s="204"/>
      <c r="LEY21" s="204"/>
      <c r="LEZ21" s="204"/>
      <c r="LFA21" s="204"/>
      <c r="LFB21" s="204"/>
      <c r="LFC21" s="204"/>
      <c r="LFD21" s="204"/>
      <c r="LFE21" s="204"/>
      <c r="LFF21" s="204"/>
      <c r="LFG21" s="204"/>
      <c r="LFH21" s="204"/>
      <c r="LFI21" s="204"/>
      <c r="LFJ21" s="204"/>
      <c r="LFK21" s="204"/>
      <c r="LFL21" s="204"/>
      <c r="LFM21" s="204"/>
      <c r="LFN21" s="204"/>
      <c r="LFO21" s="204"/>
      <c r="LFP21" s="204"/>
      <c r="LFQ21" s="204"/>
      <c r="LFR21" s="204"/>
      <c r="LFS21" s="204"/>
      <c r="LFT21" s="204"/>
      <c r="LFU21" s="204"/>
      <c r="LFV21" s="204"/>
      <c r="LFW21" s="204"/>
      <c r="LFX21" s="204"/>
      <c r="LFY21" s="204"/>
      <c r="LFZ21" s="204"/>
      <c r="LGA21" s="204"/>
      <c r="LGB21" s="204"/>
      <c r="LGC21" s="204"/>
      <c r="LGD21" s="204"/>
      <c r="LGE21" s="204"/>
      <c r="LGF21" s="204"/>
      <c r="LGG21" s="204"/>
      <c r="LGH21" s="204"/>
      <c r="LGI21" s="204"/>
      <c r="LGJ21" s="204"/>
      <c r="LGK21" s="204"/>
      <c r="LGL21" s="204"/>
      <c r="LGM21" s="204"/>
      <c r="LGN21" s="204"/>
      <c r="LGO21" s="204"/>
      <c r="LGP21" s="204"/>
      <c r="LGQ21" s="204"/>
      <c r="LGR21" s="204"/>
      <c r="LGS21" s="204"/>
      <c r="LGT21" s="204"/>
      <c r="LGU21" s="204"/>
      <c r="LGV21" s="204"/>
      <c r="LGW21" s="204"/>
      <c r="LGX21" s="204"/>
      <c r="LGY21" s="204"/>
      <c r="LGZ21" s="204"/>
      <c r="LHA21" s="204"/>
      <c r="LHB21" s="204"/>
      <c r="LHC21" s="204"/>
      <c r="LHD21" s="204"/>
      <c r="LHE21" s="204"/>
      <c r="LHF21" s="204"/>
      <c r="LHG21" s="204"/>
      <c r="LHH21" s="204"/>
      <c r="LHI21" s="204"/>
      <c r="LHJ21" s="204"/>
      <c r="LHK21" s="204"/>
      <c r="LHL21" s="204"/>
      <c r="LHM21" s="204"/>
      <c r="LHN21" s="204"/>
      <c r="LHO21" s="204"/>
      <c r="LHP21" s="204"/>
      <c r="LHQ21" s="204"/>
      <c r="LHR21" s="204"/>
      <c r="LHS21" s="204"/>
      <c r="LHT21" s="204"/>
      <c r="LHU21" s="204"/>
      <c r="LHV21" s="204"/>
      <c r="LHW21" s="204"/>
      <c r="LHX21" s="204"/>
      <c r="LHY21" s="204"/>
      <c r="LHZ21" s="204"/>
      <c r="LIA21" s="204"/>
      <c r="LIB21" s="204"/>
      <c r="LIC21" s="204"/>
      <c r="LID21" s="204"/>
      <c r="LIE21" s="204"/>
      <c r="LIF21" s="204"/>
      <c r="LIG21" s="204"/>
      <c r="LIH21" s="204"/>
      <c r="LII21" s="204"/>
      <c r="LIJ21" s="204"/>
      <c r="LIK21" s="204"/>
      <c r="LIL21" s="204"/>
      <c r="LIM21" s="204"/>
      <c r="LIN21" s="204"/>
      <c r="LIO21" s="204"/>
      <c r="LIP21" s="204"/>
      <c r="LIQ21" s="204"/>
      <c r="LIR21" s="204"/>
      <c r="LIS21" s="204"/>
      <c r="LIT21" s="204"/>
      <c r="LIU21" s="204"/>
      <c r="LIV21" s="204"/>
      <c r="LIW21" s="204"/>
      <c r="LIX21" s="204"/>
      <c r="LIY21" s="204"/>
      <c r="LIZ21" s="204"/>
      <c r="LJA21" s="204"/>
      <c r="LJB21" s="204"/>
      <c r="LJC21" s="204"/>
      <c r="LJD21" s="204"/>
      <c r="LJE21" s="204"/>
      <c r="LJF21" s="204"/>
      <c r="LJG21" s="204"/>
      <c r="LJH21" s="204"/>
      <c r="LJI21" s="204"/>
      <c r="LJJ21" s="204"/>
      <c r="LJK21" s="204"/>
      <c r="LJL21" s="204"/>
      <c r="LJM21" s="204"/>
      <c r="LJN21" s="204"/>
      <c r="LJO21" s="204"/>
      <c r="LJP21" s="204"/>
      <c r="LJQ21" s="204"/>
      <c r="LJR21" s="204"/>
      <c r="LJS21" s="204"/>
      <c r="LJT21" s="204"/>
      <c r="LJU21" s="204"/>
      <c r="LJV21" s="204"/>
      <c r="LJW21" s="204"/>
      <c r="LJX21" s="204"/>
      <c r="LJY21" s="204"/>
      <c r="LJZ21" s="204"/>
      <c r="LKA21" s="204"/>
      <c r="LKB21" s="204"/>
      <c r="LKC21" s="204"/>
      <c r="LKD21" s="204"/>
      <c r="LKE21" s="204"/>
      <c r="LKF21" s="204"/>
      <c r="LKG21" s="204"/>
      <c r="LKH21" s="204"/>
      <c r="LKI21" s="204"/>
      <c r="LKJ21" s="204"/>
      <c r="LKK21" s="204"/>
      <c r="LKL21" s="204"/>
      <c r="LKM21" s="204"/>
      <c r="LKN21" s="204"/>
      <c r="LKO21" s="204"/>
      <c r="LKP21" s="204"/>
      <c r="LKQ21" s="204"/>
      <c r="LKR21" s="204"/>
      <c r="LKS21" s="204"/>
      <c r="LKT21" s="204"/>
      <c r="LKU21" s="204"/>
      <c r="LKV21" s="204"/>
      <c r="LKW21" s="204"/>
      <c r="LKX21" s="204"/>
      <c r="LKY21" s="204"/>
      <c r="LKZ21" s="204"/>
      <c r="LLA21" s="204"/>
      <c r="LLB21" s="204"/>
      <c r="LLC21" s="204"/>
      <c r="LLD21" s="204"/>
      <c r="LLE21" s="204"/>
      <c r="LLF21" s="204"/>
      <c r="LLG21" s="204"/>
      <c r="LLH21" s="204"/>
      <c r="LLI21" s="204"/>
      <c r="LLJ21" s="204"/>
      <c r="LLK21" s="204"/>
      <c r="LLL21" s="204"/>
      <c r="LLM21" s="204"/>
      <c r="LLN21" s="204"/>
      <c r="LLO21" s="204"/>
      <c r="LLP21" s="204"/>
      <c r="LLQ21" s="204"/>
      <c r="LLR21" s="204"/>
      <c r="LLS21" s="204"/>
      <c r="LLT21" s="204"/>
      <c r="LLU21" s="204"/>
      <c r="LLV21" s="204"/>
      <c r="LLW21" s="204"/>
      <c r="LLX21" s="204"/>
      <c r="LLY21" s="204"/>
      <c r="LLZ21" s="204"/>
      <c r="LMA21" s="204"/>
      <c r="LMB21" s="204"/>
      <c r="LMC21" s="204"/>
      <c r="LMD21" s="204"/>
      <c r="LME21" s="204"/>
      <c r="LMF21" s="204"/>
      <c r="LMG21" s="204"/>
      <c r="LMH21" s="204"/>
      <c r="LMI21" s="204"/>
      <c r="LMJ21" s="204"/>
      <c r="LMK21" s="204"/>
      <c r="LML21" s="204"/>
      <c r="LMM21" s="204"/>
      <c r="LMN21" s="204"/>
      <c r="LMO21" s="204"/>
      <c r="LMP21" s="204"/>
      <c r="LMQ21" s="204"/>
      <c r="LMR21" s="204"/>
      <c r="LMS21" s="204"/>
      <c r="LMT21" s="204"/>
      <c r="LMU21" s="204"/>
      <c r="LMV21" s="204"/>
      <c r="LMW21" s="204"/>
      <c r="LMX21" s="204"/>
      <c r="LMY21" s="204"/>
      <c r="LMZ21" s="204"/>
      <c r="LNA21" s="204"/>
      <c r="LNB21" s="204"/>
      <c r="LNC21" s="204"/>
      <c r="LND21" s="204"/>
      <c r="LNE21" s="204"/>
      <c r="LNF21" s="204"/>
      <c r="LNG21" s="204"/>
      <c r="LNH21" s="204"/>
      <c r="LNI21" s="204"/>
      <c r="LNJ21" s="204"/>
      <c r="LNK21" s="204"/>
      <c r="LNL21" s="204"/>
      <c r="LNM21" s="204"/>
      <c r="LNN21" s="204"/>
      <c r="LNO21" s="204"/>
      <c r="LNP21" s="204"/>
      <c r="LNQ21" s="204"/>
      <c r="LNR21" s="204"/>
      <c r="LNS21" s="204"/>
      <c r="LNT21" s="204"/>
      <c r="LNU21" s="204"/>
      <c r="LNV21" s="204"/>
      <c r="LNW21" s="204"/>
      <c r="LNX21" s="204"/>
      <c r="LNY21" s="204"/>
      <c r="LNZ21" s="204"/>
      <c r="LOA21" s="204"/>
      <c r="LOB21" s="204"/>
      <c r="LOC21" s="204"/>
      <c r="LOD21" s="204"/>
      <c r="LOE21" s="204"/>
      <c r="LOF21" s="204"/>
      <c r="LOG21" s="204"/>
      <c r="LOH21" s="204"/>
      <c r="LOI21" s="204"/>
      <c r="LOJ21" s="204"/>
      <c r="LOK21" s="204"/>
      <c r="LOL21" s="204"/>
      <c r="LOM21" s="204"/>
      <c r="LON21" s="204"/>
      <c r="LOO21" s="204"/>
      <c r="LOP21" s="204"/>
      <c r="LOQ21" s="204"/>
      <c r="LOR21" s="204"/>
      <c r="LOS21" s="204"/>
      <c r="LOT21" s="204"/>
      <c r="LOU21" s="204"/>
      <c r="LOV21" s="204"/>
      <c r="LOW21" s="204"/>
      <c r="LOX21" s="204"/>
      <c r="LOY21" s="204"/>
      <c r="LOZ21" s="204"/>
      <c r="LPA21" s="204"/>
      <c r="LPB21" s="204"/>
      <c r="LPC21" s="204"/>
      <c r="LPD21" s="204"/>
      <c r="LPE21" s="204"/>
      <c r="LPF21" s="204"/>
      <c r="LPG21" s="204"/>
      <c r="LPH21" s="204"/>
      <c r="LPI21" s="204"/>
      <c r="LPJ21" s="204"/>
      <c r="LPK21" s="204"/>
      <c r="LPL21" s="204"/>
      <c r="LPM21" s="204"/>
      <c r="LPN21" s="204"/>
      <c r="LPO21" s="204"/>
      <c r="LPP21" s="204"/>
      <c r="LPQ21" s="204"/>
      <c r="LPR21" s="204"/>
      <c r="LPS21" s="204"/>
      <c r="LPT21" s="204"/>
      <c r="LPU21" s="204"/>
      <c r="LPV21" s="204"/>
      <c r="LPW21" s="204"/>
      <c r="LPX21" s="204"/>
      <c r="LPY21" s="204"/>
      <c r="LPZ21" s="204"/>
      <c r="LQA21" s="204"/>
      <c r="LQB21" s="204"/>
      <c r="LQC21" s="204"/>
      <c r="LQD21" s="204"/>
      <c r="LQE21" s="204"/>
      <c r="LQF21" s="204"/>
      <c r="LQG21" s="204"/>
      <c r="LQH21" s="204"/>
      <c r="LQI21" s="204"/>
      <c r="LQJ21" s="204"/>
      <c r="LQK21" s="204"/>
      <c r="LQL21" s="204"/>
      <c r="LQM21" s="204"/>
      <c r="LQN21" s="204"/>
      <c r="LQO21" s="204"/>
      <c r="LQP21" s="204"/>
      <c r="LQQ21" s="204"/>
      <c r="LQR21" s="204"/>
      <c r="LQS21" s="204"/>
      <c r="LQT21" s="204"/>
      <c r="LQU21" s="204"/>
      <c r="LQV21" s="204"/>
      <c r="LQW21" s="204"/>
      <c r="LQX21" s="204"/>
      <c r="LQY21" s="204"/>
      <c r="LQZ21" s="204"/>
      <c r="LRA21" s="204"/>
      <c r="LRB21" s="204"/>
      <c r="LRC21" s="204"/>
      <c r="LRD21" s="204"/>
      <c r="LRE21" s="204"/>
      <c r="LRF21" s="204"/>
      <c r="LRG21" s="204"/>
      <c r="LRH21" s="204"/>
      <c r="LRI21" s="204"/>
      <c r="LRJ21" s="204"/>
      <c r="LRK21" s="204"/>
      <c r="LRL21" s="204"/>
      <c r="LRM21" s="204"/>
      <c r="LRN21" s="204"/>
      <c r="LRO21" s="204"/>
      <c r="LRP21" s="204"/>
      <c r="LRQ21" s="204"/>
      <c r="LRR21" s="204"/>
      <c r="LRS21" s="204"/>
      <c r="LRT21" s="204"/>
      <c r="LRU21" s="204"/>
      <c r="LRV21" s="204"/>
      <c r="LRW21" s="204"/>
      <c r="LRX21" s="204"/>
      <c r="LRY21" s="204"/>
      <c r="LRZ21" s="204"/>
      <c r="LSA21" s="204"/>
      <c r="LSB21" s="204"/>
      <c r="LSC21" s="204"/>
      <c r="LSD21" s="204"/>
      <c r="LSE21" s="204"/>
      <c r="LSF21" s="204"/>
      <c r="LSG21" s="204"/>
      <c r="LSH21" s="204"/>
      <c r="LSI21" s="204"/>
      <c r="LSJ21" s="204"/>
      <c r="LSK21" s="204"/>
      <c r="LSL21" s="204"/>
      <c r="LSM21" s="204"/>
      <c r="LSN21" s="204"/>
      <c r="LSO21" s="204"/>
      <c r="LSP21" s="204"/>
      <c r="LSQ21" s="204"/>
      <c r="LSR21" s="204"/>
      <c r="LSS21" s="204"/>
      <c r="LST21" s="204"/>
      <c r="LSU21" s="204"/>
      <c r="LSV21" s="204"/>
      <c r="LSW21" s="204"/>
      <c r="LSX21" s="204"/>
      <c r="LSY21" s="204"/>
      <c r="LSZ21" s="204"/>
      <c r="LTA21" s="204"/>
      <c r="LTB21" s="204"/>
      <c r="LTC21" s="204"/>
      <c r="LTD21" s="204"/>
      <c r="LTE21" s="204"/>
      <c r="LTF21" s="204"/>
      <c r="LTG21" s="204"/>
      <c r="LTH21" s="204"/>
      <c r="LTI21" s="204"/>
      <c r="LTJ21" s="204"/>
      <c r="LTK21" s="204"/>
      <c r="LTL21" s="204"/>
      <c r="LTM21" s="204"/>
      <c r="LTN21" s="204"/>
      <c r="LTO21" s="204"/>
      <c r="LTP21" s="204"/>
      <c r="LTQ21" s="204"/>
      <c r="LTR21" s="204"/>
      <c r="LTS21" s="204"/>
      <c r="LTT21" s="204"/>
      <c r="LTU21" s="204"/>
      <c r="LTV21" s="204"/>
      <c r="LTW21" s="204"/>
      <c r="LTX21" s="204"/>
      <c r="LTY21" s="204"/>
      <c r="LTZ21" s="204"/>
      <c r="LUA21" s="204"/>
      <c r="LUB21" s="204"/>
      <c r="LUC21" s="204"/>
      <c r="LUD21" s="204"/>
      <c r="LUE21" s="204"/>
      <c r="LUF21" s="204"/>
      <c r="LUG21" s="204"/>
      <c r="LUH21" s="204"/>
      <c r="LUI21" s="204"/>
      <c r="LUJ21" s="204"/>
      <c r="LUK21" s="204"/>
      <c r="LUL21" s="204"/>
      <c r="LUM21" s="204"/>
      <c r="LUN21" s="204"/>
      <c r="LUO21" s="204"/>
      <c r="LUP21" s="204"/>
      <c r="LUQ21" s="204"/>
      <c r="LUR21" s="204"/>
      <c r="LUS21" s="204"/>
      <c r="LUT21" s="204"/>
      <c r="LUU21" s="204"/>
      <c r="LUV21" s="204"/>
      <c r="LUW21" s="204"/>
      <c r="LUX21" s="204"/>
      <c r="LUY21" s="204"/>
      <c r="LUZ21" s="204"/>
      <c r="LVA21" s="204"/>
      <c r="LVB21" s="204"/>
      <c r="LVC21" s="204"/>
      <c r="LVD21" s="204"/>
      <c r="LVE21" s="204"/>
      <c r="LVF21" s="204"/>
      <c r="LVG21" s="204"/>
      <c r="LVH21" s="204"/>
      <c r="LVI21" s="204"/>
      <c r="LVJ21" s="204"/>
      <c r="LVK21" s="204"/>
      <c r="LVL21" s="204"/>
      <c r="LVM21" s="204"/>
      <c r="LVN21" s="204"/>
      <c r="LVO21" s="204"/>
      <c r="LVP21" s="204"/>
      <c r="LVQ21" s="204"/>
      <c r="LVR21" s="204"/>
      <c r="LVS21" s="204"/>
      <c r="LVT21" s="204"/>
      <c r="LVU21" s="204"/>
      <c r="LVV21" s="204"/>
      <c r="LVW21" s="204"/>
      <c r="LVX21" s="204"/>
      <c r="LVY21" s="204"/>
      <c r="LVZ21" s="204"/>
      <c r="LWA21" s="204"/>
      <c r="LWB21" s="204"/>
      <c r="LWC21" s="204"/>
      <c r="LWD21" s="204"/>
      <c r="LWE21" s="204"/>
      <c r="LWF21" s="204"/>
      <c r="LWG21" s="204"/>
      <c r="LWH21" s="204"/>
      <c r="LWI21" s="204"/>
      <c r="LWJ21" s="204"/>
      <c r="LWK21" s="204"/>
      <c r="LWL21" s="204"/>
      <c r="LWM21" s="204"/>
      <c r="LWN21" s="204"/>
      <c r="LWO21" s="204"/>
      <c r="LWP21" s="204"/>
      <c r="LWQ21" s="204"/>
      <c r="LWR21" s="204"/>
      <c r="LWS21" s="204"/>
      <c r="LWT21" s="204"/>
      <c r="LWU21" s="204"/>
      <c r="LWV21" s="204"/>
      <c r="LWW21" s="204"/>
      <c r="LWX21" s="204"/>
      <c r="LWY21" s="204"/>
      <c r="LWZ21" s="204"/>
      <c r="LXA21" s="204"/>
      <c r="LXB21" s="204"/>
      <c r="LXC21" s="204"/>
      <c r="LXD21" s="204"/>
      <c r="LXE21" s="204"/>
      <c r="LXF21" s="204"/>
      <c r="LXG21" s="204"/>
      <c r="LXH21" s="204"/>
      <c r="LXI21" s="204"/>
      <c r="LXJ21" s="204"/>
      <c r="LXK21" s="204"/>
      <c r="LXL21" s="204"/>
      <c r="LXM21" s="204"/>
      <c r="LXN21" s="204"/>
      <c r="LXO21" s="204"/>
      <c r="LXP21" s="204"/>
      <c r="LXQ21" s="204"/>
      <c r="LXR21" s="204"/>
      <c r="LXS21" s="204"/>
      <c r="LXT21" s="204"/>
      <c r="LXU21" s="204"/>
      <c r="LXV21" s="204"/>
      <c r="LXW21" s="204"/>
      <c r="LXX21" s="204"/>
      <c r="LXY21" s="204"/>
      <c r="LXZ21" s="204"/>
      <c r="LYA21" s="204"/>
      <c r="LYB21" s="204"/>
      <c r="LYC21" s="204"/>
      <c r="LYD21" s="204"/>
      <c r="LYE21" s="204"/>
      <c r="LYF21" s="204"/>
      <c r="LYG21" s="204"/>
      <c r="LYH21" s="204"/>
      <c r="LYI21" s="204"/>
      <c r="LYJ21" s="204"/>
      <c r="LYK21" s="204"/>
      <c r="LYL21" s="204"/>
      <c r="LYM21" s="204"/>
      <c r="LYN21" s="204"/>
      <c r="LYO21" s="204"/>
      <c r="LYP21" s="204"/>
      <c r="LYQ21" s="204"/>
      <c r="LYR21" s="204"/>
      <c r="LYS21" s="204"/>
      <c r="LYT21" s="204"/>
      <c r="LYU21" s="204"/>
      <c r="LYV21" s="204"/>
      <c r="LYW21" s="204"/>
      <c r="LYX21" s="204"/>
      <c r="LYY21" s="204"/>
      <c r="LYZ21" s="204"/>
      <c r="LZA21" s="204"/>
      <c r="LZB21" s="204"/>
      <c r="LZC21" s="204"/>
      <c r="LZD21" s="204"/>
      <c r="LZE21" s="204"/>
      <c r="LZF21" s="204"/>
      <c r="LZG21" s="204"/>
      <c r="LZH21" s="204"/>
      <c r="LZI21" s="204"/>
      <c r="LZJ21" s="204"/>
      <c r="LZK21" s="204"/>
      <c r="LZL21" s="204"/>
      <c r="LZM21" s="204"/>
      <c r="LZN21" s="204"/>
      <c r="LZO21" s="204"/>
      <c r="LZP21" s="204"/>
      <c r="LZQ21" s="204"/>
      <c r="LZR21" s="204"/>
      <c r="LZS21" s="204"/>
      <c r="LZT21" s="204"/>
      <c r="LZU21" s="204"/>
      <c r="LZV21" s="204"/>
      <c r="LZW21" s="204"/>
      <c r="LZX21" s="204"/>
      <c r="LZY21" s="204"/>
      <c r="LZZ21" s="204"/>
      <c r="MAA21" s="204"/>
      <c r="MAB21" s="204"/>
      <c r="MAC21" s="204"/>
      <c r="MAD21" s="204"/>
      <c r="MAE21" s="204"/>
      <c r="MAF21" s="204"/>
      <c r="MAG21" s="204"/>
      <c r="MAH21" s="204"/>
      <c r="MAI21" s="204"/>
      <c r="MAJ21" s="204"/>
      <c r="MAK21" s="204"/>
      <c r="MAL21" s="204"/>
      <c r="MAM21" s="204"/>
      <c r="MAN21" s="204"/>
      <c r="MAO21" s="204"/>
      <c r="MAP21" s="204"/>
      <c r="MAQ21" s="204"/>
      <c r="MAR21" s="204"/>
      <c r="MAS21" s="204"/>
      <c r="MAT21" s="204"/>
      <c r="MAU21" s="204"/>
      <c r="MAV21" s="204"/>
      <c r="MAW21" s="204"/>
      <c r="MAX21" s="204"/>
      <c r="MAY21" s="204"/>
      <c r="MAZ21" s="204"/>
      <c r="MBA21" s="204"/>
      <c r="MBB21" s="204"/>
      <c r="MBC21" s="204"/>
      <c r="MBD21" s="204"/>
      <c r="MBE21" s="204"/>
      <c r="MBF21" s="204"/>
      <c r="MBG21" s="204"/>
      <c r="MBH21" s="204"/>
      <c r="MBI21" s="204"/>
      <c r="MBJ21" s="204"/>
      <c r="MBK21" s="204"/>
      <c r="MBL21" s="204"/>
      <c r="MBM21" s="204"/>
      <c r="MBN21" s="204"/>
      <c r="MBO21" s="204"/>
      <c r="MBP21" s="204"/>
      <c r="MBQ21" s="204"/>
      <c r="MBR21" s="204"/>
      <c r="MBS21" s="204"/>
      <c r="MBT21" s="204"/>
      <c r="MBU21" s="204"/>
      <c r="MBV21" s="204"/>
      <c r="MBW21" s="204"/>
      <c r="MBX21" s="204"/>
      <c r="MBY21" s="204"/>
      <c r="MBZ21" s="204"/>
      <c r="MCA21" s="204"/>
      <c r="MCB21" s="204"/>
      <c r="MCC21" s="204"/>
      <c r="MCD21" s="204"/>
      <c r="MCE21" s="204"/>
      <c r="MCF21" s="204"/>
      <c r="MCG21" s="204"/>
      <c r="MCH21" s="204"/>
      <c r="MCI21" s="204"/>
      <c r="MCJ21" s="204"/>
      <c r="MCK21" s="204"/>
      <c r="MCL21" s="204"/>
      <c r="MCM21" s="204"/>
      <c r="MCN21" s="204"/>
      <c r="MCO21" s="204"/>
      <c r="MCP21" s="204"/>
      <c r="MCQ21" s="204"/>
      <c r="MCR21" s="204"/>
      <c r="MCS21" s="204"/>
      <c r="MCT21" s="204"/>
      <c r="MCU21" s="204"/>
      <c r="MCV21" s="204"/>
      <c r="MCW21" s="204"/>
      <c r="MCX21" s="204"/>
      <c r="MCY21" s="204"/>
      <c r="MCZ21" s="204"/>
      <c r="MDA21" s="204"/>
      <c r="MDB21" s="204"/>
      <c r="MDC21" s="204"/>
      <c r="MDD21" s="204"/>
      <c r="MDE21" s="204"/>
      <c r="MDF21" s="204"/>
      <c r="MDG21" s="204"/>
      <c r="MDH21" s="204"/>
      <c r="MDI21" s="204"/>
      <c r="MDJ21" s="204"/>
      <c r="MDK21" s="204"/>
      <c r="MDL21" s="204"/>
      <c r="MDM21" s="204"/>
      <c r="MDN21" s="204"/>
      <c r="MDO21" s="204"/>
      <c r="MDP21" s="204"/>
      <c r="MDQ21" s="204"/>
      <c r="MDR21" s="204"/>
      <c r="MDS21" s="204"/>
      <c r="MDT21" s="204"/>
      <c r="MDU21" s="204"/>
      <c r="MDV21" s="204"/>
      <c r="MDW21" s="204"/>
      <c r="MDX21" s="204"/>
      <c r="MDY21" s="204"/>
      <c r="MDZ21" s="204"/>
      <c r="MEA21" s="204"/>
      <c r="MEB21" s="204"/>
      <c r="MEC21" s="204"/>
      <c r="MED21" s="204"/>
      <c r="MEE21" s="204"/>
      <c r="MEF21" s="204"/>
      <c r="MEG21" s="204"/>
      <c r="MEH21" s="204"/>
      <c r="MEI21" s="204"/>
      <c r="MEJ21" s="204"/>
      <c r="MEK21" s="204"/>
      <c r="MEL21" s="204"/>
      <c r="MEM21" s="204"/>
      <c r="MEN21" s="204"/>
      <c r="MEO21" s="204"/>
      <c r="MEP21" s="204"/>
      <c r="MEQ21" s="204"/>
      <c r="MER21" s="204"/>
      <c r="MES21" s="204"/>
      <c r="MET21" s="204"/>
      <c r="MEU21" s="204"/>
      <c r="MEV21" s="204"/>
      <c r="MEW21" s="204"/>
      <c r="MEX21" s="204"/>
      <c r="MEY21" s="204"/>
      <c r="MEZ21" s="204"/>
      <c r="MFA21" s="204"/>
      <c r="MFB21" s="204"/>
      <c r="MFC21" s="204"/>
      <c r="MFD21" s="204"/>
      <c r="MFE21" s="204"/>
      <c r="MFF21" s="204"/>
      <c r="MFG21" s="204"/>
      <c r="MFH21" s="204"/>
      <c r="MFI21" s="204"/>
      <c r="MFJ21" s="204"/>
      <c r="MFK21" s="204"/>
      <c r="MFL21" s="204"/>
      <c r="MFM21" s="204"/>
      <c r="MFN21" s="204"/>
      <c r="MFO21" s="204"/>
      <c r="MFP21" s="204"/>
      <c r="MFQ21" s="204"/>
      <c r="MFR21" s="204"/>
      <c r="MFS21" s="204"/>
      <c r="MFT21" s="204"/>
      <c r="MFU21" s="204"/>
      <c r="MFV21" s="204"/>
      <c r="MFW21" s="204"/>
      <c r="MFX21" s="204"/>
      <c r="MFY21" s="204"/>
      <c r="MFZ21" s="204"/>
      <c r="MGA21" s="204"/>
      <c r="MGB21" s="204"/>
      <c r="MGC21" s="204"/>
      <c r="MGD21" s="204"/>
      <c r="MGE21" s="204"/>
      <c r="MGF21" s="204"/>
      <c r="MGG21" s="204"/>
      <c r="MGH21" s="204"/>
      <c r="MGI21" s="204"/>
      <c r="MGJ21" s="204"/>
      <c r="MGK21" s="204"/>
      <c r="MGL21" s="204"/>
      <c r="MGM21" s="204"/>
      <c r="MGN21" s="204"/>
      <c r="MGO21" s="204"/>
      <c r="MGP21" s="204"/>
      <c r="MGQ21" s="204"/>
      <c r="MGR21" s="204"/>
      <c r="MGS21" s="204"/>
      <c r="MGT21" s="204"/>
      <c r="MGU21" s="204"/>
      <c r="MGV21" s="204"/>
      <c r="MGW21" s="204"/>
      <c r="MGX21" s="204"/>
      <c r="MGY21" s="204"/>
      <c r="MGZ21" s="204"/>
      <c r="MHA21" s="204"/>
      <c r="MHB21" s="204"/>
      <c r="MHC21" s="204"/>
      <c r="MHD21" s="204"/>
      <c r="MHE21" s="204"/>
      <c r="MHF21" s="204"/>
      <c r="MHG21" s="204"/>
      <c r="MHH21" s="204"/>
      <c r="MHI21" s="204"/>
      <c r="MHJ21" s="204"/>
      <c r="MHK21" s="204"/>
      <c r="MHL21" s="204"/>
      <c r="MHM21" s="204"/>
      <c r="MHN21" s="204"/>
      <c r="MHO21" s="204"/>
      <c r="MHP21" s="204"/>
      <c r="MHQ21" s="204"/>
      <c r="MHR21" s="204"/>
      <c r="MHS21" s="204"/>
      <c r="MHT21" s="204"/>
      <c r="MHU21" s="204"/>
      <c r="MHV21" s="204"/>
      <c r="MHW21" s="204"/>
      <c r="MHX21" s="204"/>
      <c r="MHY21" s="204"/>
      <c r="MHZ21" s="204"/>
      <c r="MIA21" s="204"/>
      <c r="MIB21" s="204"/>
      <c r="MIC21" s="204"/>
      <c r="MID21" s="204"/>
      <c r="MIE21" s="204"/>
      <c r="MIF21" s="204"/>
      <c r="MIG21" s="204"/>
      <c r="MIH21" s="204"/>
      <c r="MII21" s="204"/>
      <c r="MIJ21" s="204"/>
      <c r="MIK21" s="204"/>
      <c r="MIL21" s="204"/>
      <c r="MIM21" s="204"/>
      <c r="MIN21" s="204"/>
      <c r="MIO21" s="204"/>
      <c r="MIP21" s="204"/>
      <c r="MIQ21" s="204"/>
      <c r="MIR21" s="204"/>
      <c r="MIS21" s="204"/>
      <c r="MIT21" s="204"/>
      <c r="MIU21" s="204"/>
      <c r="MIV21" s="204"/>
      <c r="MIW21" s="204"/>
      <c r="MIX21" s="204"/>
      <c r="MIY21" s="204"/>
      <c r="MIZ21" s="204"/>
      <c r="MJA21" s="204"/>
      <c r="MJB21" s="204"/>
      <c r="MJC21" s="204"/>
      <c r="MJD21" s="204"/>
      <c r="MJE21" s="204"/>
      <c r="MJF21" s="204"/>
      <c r="MJG21" s="204"/>
      <c r="MJH21" s="204"/>
      <c r="MJI21" s="204"/>
      <c r="MJJ21" s="204"/>
      <c r="MJK21" s="204"/>
      <c r="MJL21" s="204"/>
      <c r="MJM21" s="204"/>
      <c r="MJN21" s="204"/>
      <c r="MJO21" s="204"/>
      <c r="MJP21" s="204"/>
      <c r="MJQ21" s="204"/>
      <c r="MJR21" s="204"/>
      <c r="MJS21" s="204"/>
      <c r="MJT21" s="204"/>
      <c r="MJU21" s="204"/>
      <c r="MJV21" s="204"/>
      <c r="MJW21" s="204"/>
      <c r="MJX21" s="204"/>
      <c r="MJY21" s="204"/>
      <c r="MJZ21" s="204"/>
      <c r="MKA21" s="204"/>
      <c r="MKB21" s="204"/>
      <c r="MKC21" s="204"/>
      <c r="MKD21" s="204"/>
      <c r="MKE21" s="204"/>
      <c r="MKF21" s="204"/>
      <c r="MKG21" s="204"/>
      <c r="MKH21" s="204"/>
      <c r="MKI21" s="204"/>
      <c r="MKJ21" s="204"/>
      <c r="MKK21" s="204"/>
      <c r="MKL21" s="204"/>
      <c r="MKM21" s="204"/>
      <c r="MKN21" s="204"/>
      <c r="MKO21" s="204"/>
      <c r="MKP21" s="204"/>
      <c r="MKQ21" s="204"/>
      <c r="MKR21" s="204"/>
      <c r="MKS21" s="204"/>
      <c r="MKT21" s="204"/>
      <c r="MKU21" s="204"/>
      <c r="MKV21" s="204"/>
      <c r="MKW21" s="204"/>
      <c r="MKX21" s="204"/>
      <c r="MKY21" s="204"/>
      <c r="MKZ21" s="204"/>
      <c r="MLA21" s="204"/>
      <c r="MLB21" s="204"/>
      <c r="MLC21" s="204"/>
      <c r="MLD21" s="204"/>
      <c r="MLE21" s="204"/>
      <c r="MLF21" s="204"/>
      <c r="MLG21" s="204"/>
      <c r="MLH21" s="204"/>
      <c r="MLI21" s="204"/>
      <c r="MLJ21" s="204"/>
      <c r="MLK21" s="204"/>
      <c r="MLL21" s="204"/>
      <c r="MLM21" s="204"/>
      <c r="MLN21" s="204"/>
      <c r="MLO21" s="204"/>
      <c r="MLP21" s="204"/>
      <c r="MLQ21" s="204"/>
      <c r="MLR21" s="204"/>
      <c r="MLS21" s="204"/>
      <c r="MLT21" s="204"/>
      <c r="MLU21" s="204"/>
      <c r="MLV21" s="204"/>
      <c r="MLW21" s="204"/>
      <c r="MLX21" s="204"/>
      <c r="MLY21" s="204"/>
      <c r="MLZ21" s="204"/>
      <c r="MMA21" s="204"/>
      <c r="MMB21" s="204"/>
      <c r="MMC21" s="204"/>
      <c r="MMD21" s="204"/>
      <c r="MME21" s="204"/>
      <c r="MMF21" s="204"/>
      <c r="MMG21" s="204"/>
      <c r="MMH21" s="204"/>
      <c r="MMI21" s="204"/>
      <c r="MMJ21" s="204"/>
      <c r="MMK21" s="204"/>
      <c r="MML21" s="204"/>
      <c r="MMM21" s="204"/>
      <c r="MMN21" s="204"/>
      <c r="MMO21" s="204"/>
      <c r="MMP21" s="204"/>
      <c r="MMQ21" s="204"/>
      <c r="MMR21" s="204"/>
      <c r="MMS21" s="204"/>
      <c r="MMT21" s="204"/>
      <c r="MMU21" s="204"/>
      <c r="MMV21" s="204"/>
      <c r="MMW21" s="204"/>
      <c r="MMX21" s="204"/>
      <c r="MMY21" s="204"/>
      <c r="MMZ21" s="204"/>
      <c r="MNA21" s="204"/>
      <c r="MNB21" s="204"/>
      <c r="MNC21" s="204"/>
      <c r="MND21" s="204"/>
      <c r="MNE21" s="204"/>
      <c r="MNF21" s="204"/>
      <c r="MNG21" s="204"/>
      <c r="MNH21" s="204"/>
      <c r="MNI21" s="204"/>
      <c r="MNJ21" s="204"/>
      <c r="MNK21" s="204"/>
      <c r="MNL21" s="204"/>
      <c r="MNM21" s="204"/>
      <c r="MNN21" s="204"/>
      <c r="MNO21" s="204"/>
      <c r="MNP21" s="204"/>
      <c r="MNQ21" s="204"/>
      <c r="MNR21" s="204"/>
      <c r="MNS21" s="204"/>
      <c r="MNT21" s="204"/>
      <c r="MNU21" s="204"/>
      <c r="MNV21" s="204"/>
      <c r="MNW21" s="204"/>
      <c r="MNX21" s="204"/>
      <c r="MNY21" s="204"/>
      <c r="MNZ21" s="204"/>
      <c r="MOA21" s="204"/>
      <c r="MOB21" s="204"/>
      <c r="MOC21" s="204"/>
      <c r="MOD21" s="204"/>
      <c r="MOE21" s="204"/>
      <c r="MOF21" s="204"/>
      <c r="MOG21" s="204"/>
      <c r="MOH21" s="204"/>
      <c r="MOI21" s="204"/>
      <c r="MOJ21" s="204"/>
      <c r="MOK21" s="204"/>
      <c r="MOL21" s="204"/>
      <c r="MOM21" s="204"/>
      <c r="MON21" s="204"/>
      <c r="MOO21" s="204"/>
      <c r="MOP21" s="204"/>
      <c r="MOQ21" s="204"/>
      <c r="MOR21" s="204"/>
      <c r="MOS21" s="204"/>
      <c r="MOT21" s="204"/>
      <c r="MOU21" s="204"/>
      <c r="MOV21" s="204"/>
      <c r="MOW21" s="204"/>
      <c r="MOX21" s="204"/>
      <c r="MOY21" s="204"/>
      <c r="MOZ21" s="204"/>
      <c r="MPA21" s="204"/>
      <c r="MPB21" s="204"/>
      <c r="MPC21" s="204"/>
      <c r="MPD21" s="204"/>
      <c r="MPE21" s="204"/>
      <c r="MPF21" s="204"/>
      <c r="MPG21" s="204"/>
      <c r="MPH21" s="204"/>
      <c r="MPI21" s="204"/>
      <c r="MPJ21" s="204"/>
      <c r="MPK21" s="204"/>
      <c r="MPL21" s="204"/>
      <c r="MPM21" s="204"/>
      <c r="MPN21" s="204"/>
      <c r="MPO21" s="204"/>
      <c r="MPP21" s="204"/>
      <c r="MPQ21" s="204"/>
      <c r="MPR21" s="204"/>
      <c r="MPS21" s="204"/>
      <c r="MPT21" s="204"/>
      <c r="MPU21" s="204"/>
      <c r="MPV21" s="204"/>
      <c r="MPW21" s="204"/>
      <c r="MPX21" s="204"/>
      <c r="MPY21" s="204"/>
      <c r="MPZ21" s="204"/>
      <c r="MQA21" s="204"/>
      <c r="MQB21" s="204"/>
      <c r="MQC21" s="204"/>
      <c r="MQD21" s="204"/>
      <c r="MQE21" s="204"/>
      <c r="MQF21" s="204"/>
      <c r="MQG21" s="204"/>
      <c r="MQH21" s="204"/>
      <c r="MQI21" s="204"/>
      <c r="MQJ21" s="204"/>
      <c r="MQK21" s="204"/>
      <c r="MQL21" s="204"/>
      <c r="MQM21" s="204"/>
      <c r="MQN21" s="204"/>
      <c r="MQO21" s="204"/>
      <c r="MQP21" s="204"/>
      <c r="MQQ21" s="204"/>
      <c r="MQR21" s="204"/>
      <c r="MQS21" s="204"/>
      <c r="MQT21" s="204"/>
      <c r="MQU21" s="204"/>
      <c r="MQV21" s="204"/>
      <c r="MQW21" s="204"/>
      <c r="MQX21" s="204"/>
      <c r="MQY21" s="204"/>
      <c r="MQZ21" s="204"/>
      <c r="MRA21" s="204"/>
      <c r="MRB21" s="204"/>
      <c r="MRC21" s="204"/>
      <c r="MRD21" s="204"/>
      <c r="MRE21" s="204"/>
      <c r="MRF21" s="204"/>
      <c r="MRG21" s="204"/>
      <c r="MRH21" s="204"/>
      <c r="MRI21" s="204"/>
      <c r="MRJ21" s="204"/>
      <c r="MRK21" s="204"/>
      <c r="MRL21" s="204"/>
      <c r="MRM21" s="204"/>
      <c r="MRN21" s="204"/>
      <c r="MRO21" s="204"/>
      <c r="MRP21" s="204"/>
      <c r="MRQ21" s="204"/>
      <c r="MRR21" s="204"/>
      <c r="MRS21" s="204"/>
      <c r="MRT21" s="204"/>
      <c r="MRU21" s="204"/>
      <c r="MRV21" s="204"/>
      <c r="MRW21" s="204"/>
      <c r="MRX21" s="204"/>
      <c r="MRY21" s="204"/>
      <c r="MRZ21" s="204"/>
      <c r="MSA21" s="204"/>
      <c r="MSB21" s="204"/>
      <c r="MSC21" s="204"/>
      <c r="MSD21" s="204"/>
      <c r="MSE21" s="204"/>
      <c r="MSF21" s="204"/>
      <c r="MSG21" s="204"/>
      <c r="MSH21" s="204"/>
      <c r="MSI21" s="204"/>
      <c r="MSJ21" s="204"/>
      <c r="MSK21" s="204"/>
      <c r="MSL21" s="204"/>
      <c r="MSM21" s="204"/>
      <c r="MSN21" s="204"/>
      <c r="MSO21" s="204"/>
      <c r="MSP21" s="204"/>
      <c r="MSQ21" s="204"/>
      <c r="MSR21" s="204"/>
      <c r="MSS21" s="204"/>
      <c r="MST21" s="204"/>
      <c r="MSU21" s="204"/>
      <c r="MSV21" s="204"/>
      <c r="MSW21" s="204"/>
      <c r="MSX21" s="204"/>
      <c r="MSY21" s="204"/>
      <c r="MSZ21" s="204"/>
      <c r="MTA21" s="204"/>
      <c r="MTB21" s="204"/>
      <c r="MTC21" s="204"/>
      <c r="MTD21" s="204"/>
      <c r="MTE21" s="204"/>
      <c r="MTF21" s="204"/>
      <c r="MTG21" s="204"/>
      <c r="MTH21" s="204"/>
      <c r="MTI21" s="204"/>
      <c r="MTJ21" s="204"/>
      <c r="MTK21" s="204"/>
      <c r="MTL21" s="204"/>
      <c r="MTM21" s="204"/>
      <c r="MTN21" s="204"/>
      <c r="MTO21" s="204"/>
      <c r="MTP21" s="204"/>
      <c r="MTQ21" s="204"/>
      <c r="MTR21" s="204"/>
      <c r="MTS21" s="204"/>
      <c r="MTT21" s="204"/>
      <c r="MTU21" s="204"/>
      <c r="MTV21" s="204"/>
      <c r="MTW21" s="204"/>
      <c r="MTX21" s="204"/>
      <c r="MTY21" s="204"/>
      <c r="MTZ21" s="204"/>
      <c r="MUA21" s="204"/>
      <c r="MUB21" s="204"/>
      <c r="MUC21" s="204"/>
      <c r="MUD21" s="204"/>
      <c r="MUE21" s="204"/>
      <c r="MUF21" s="204"/>
      <c r="MUG21" s="204"/>
      <c r="MUH21" s="204"/>
      <c r="MUI21" s="204"/>
      <c r="MUJ21" s="204"/>
      <c r="MUK21" s="204"/>
      <c r="MUL21" s="204"/>
      <c r="MUM21" s="204"/>
      <c r="MUN21" s="204"/>
      <c r="MUO21" s="204"/>
      <c r="MUP21" s="204"/>
      <c r="MUQ21" s="204"/>
      <c r="MUR21" s="204"/>
      <c r="MUS21" s="204"/>
      <c r="MUT21" s="204"/>
      <c r="MUU21" s="204"/>
      <c r="MUV21" s="204"/>
      <c r="MUW21" s="204"/>
      <c r="MUX21" s="204"/>
      <c r="MUY21" s="204"/>
      <c r="MUZ21" s="204"/>
      <c r="MVA21" s="204"/>
      <c r="MVB21" s="204"/>
      <c r="MVC21" s="204"/>
      <c r="MVD21" s="204"/>
      <c r="MVE21" s="204"/>
      <c r="MVF21" s="204"/>
      <c r="MVG21" s="204"/>
      <c r="MVH21" s="204"/>
      <c r="MVI21" s="204"/>
      <c r="MVJ21" s="204"/>
      <c r="MVK21" s="204"/>
      <c r="MVL21" s="204"/>
      <c r="MVM21" s="204"/>
      <c r="MVN21" s="204"/>
      <c r="MVO21" s="204"/>
      <c r="MVP21" s="204"/>
      <c r="MVQ21" s="204"/>
      <c r="MVR21" s="204"/>
      <c r="MVS21" s="204"/>
      <c r="MVT21" s="204"/>
      <c r="MVU21" s="204"/>
      <c r="MVV21" s="204"/>
      <c r="MVW21" s="204"/>
      <c r="MVX21" s="204"/>
      <c r="MVY21" s="204"/>
      <c r="MVZ21" s="204"/>
      <c r="MWA21" s="204"/>
      <c r="MWB21" s="204"/>
      <c r="MWC21" s="204"/>
      <c r="MWD21" s="204"/>
      <c r="MWE21" s="204"/>
      <c r="MWF21" s="204"/>
      <c r="MWG21" s="204"/>
      <c r="MWH21" s="204"/>
      <c r="MWI21" s="204"/>
      <c r="MWJ21" s="204"/>
      <c r="MWK21" s="204"/>
      <c r="MWL21" s="204"/>
      <c r="MWM21" s="204"/>
      <c r="MWN21" s="204"/>
      <c r="MWO21" s="204"/>
      <c r="MWP21" s="204"/>
      <c r="MWQ21" s="204"/>
      <c r="MWR21" s="204"/>
      <c r="MWS21" s="204"/>
      <c r="MWT21" s="204"/>
      <c r="MWU21" s="204"/>
      <c r="MWV21" s="204"/>
      <c r="MWW21" s="204"/>
      <c r="MWX21" s="204"/>
      <c r="MWY21" s="204"/>
      <c r="MWZ21" s="204"/>
      <c r="MXA21" s="204"/>
      <c r="MXB21" s="204"/>
      <c r="MXC21" s="204"/>
      <c r="MXD21" s="204"/>
      <c r="MXE21" s="204"/>
      <c r="MXF21" s="204"/>
      <c r="MXG21" s="204"/>
      <c r="MXH21" s="204"/>
      <c r="MXI21" s="204"/>
      <c r="MXJ21" s="204"/>
      <c r="MXK21" s="204"/>
      <c r="MXL21" s="204"/>
      <c r="MXM21" s="204"/>
      <c r="MXN21" s="204"/>
      <c r="MXO21" s="204"/>
      <c r="MXP21" s="204"/>
      <c r="MXQ21" s="204"/>
      <c r="MXR21" s="204"/>
      <c r="MXS21" s="204"/>
      <c r="MXT21" s="204"/>
      <c r="MXU21" s="204"/>
      <c r="MXV21" s="204"/>
      <c r="MXW21" s="204"/>
      <c r="MXX21" s="204"/>
      <c r="MXY21" s="204"/>
      <c r="MXZ21" s="204"/>
      <c r="MYA21" s="204"/>
      <c r="MYB21" s="204"/>
      <c r="MYC21" s="204"/>
      <c r="MYD21" s="204"/>
      <c r="MYE21" s="204"/>
      <c r="MYF21" s="204"/>
      <c r="MYG21" s="204"/>
      <c r="MYH21" s="204"/>
      <c r="MYI21" s="204"/>
      <c r="MYJ21" s="204"/>
      <c r="MYK21" s="204"/>
      <c r="MYL21" s="204"/>
      <c r="MYM21" s="204"/>
      <c r="MYN21" s="204"/>
      <c r="MYO21" s="204"/>
      <c r="MYP21" s="204"/>
      <c r="MYQ21" s="204"/>
      <c r="MYR21" s="204"/>
      <c r="MYS21" s="204"/>
      <c r="MYT21" s="204"/>
      <c r="MYU21" s="204"/>
      <c r="MYV21" s="204"/>
      <c r="MYW21" s="204"/>
      <c r="MYX21" s="204"/>
      <c r="MYY21" s="204"/>
      <c r="MYZ21" s="204"/>
      <c r="MZA21" s="204"/>
      <c r="MZB21" s="204"/>
      <c r="MZC21" s="204"/>
      <c r="MZD21" s="204"/>
      <c r="MZE21" s="204"/>
      <c r="MZF21" s="204"/>
      <c r="MZG21" s="204"/>
      <c r="MZH21" s="204"/>
      <c r="MZI21" s="204"/>
      <c r="MZJ21" s="204"/>
      <c r="MZK21" s="204"/>
      <c r="MZL21" s="204"/>
      <c r="MZM21" s="204"/>
      <c r="MZN21" s="204"/>
      <c r="MZO21" s="204"/>
      <c r="MZP21" s="204"/>
      <c r="MZQ21" s="204"/>
      <c r="MZR21" s="204"/>
      <c r="MZS21" s="204"/>
      <c r="MZT21" s="204"/>
      <c r="MZU21" s="204"/>
      <c r="MZV21" s="204"/>
      <c r="MZW21" s="204"/>
      <c r="MZX21" s="204"/>
      <c r="MZY21" s="204"/>
      <c r="MZZ21" s="204"/>
      <c r="NAA21" s="204"/>
      <c r="NAB21" s="204"/>
      <c r="NAC21" s="204"/>
      <c r="NAD21" s="204"/>
      <c r="NAE21" s="204"/>
      <c r="NAF21" s="204"/>
      <c r="NAG21" s="204"/>
      <c r="NAH21" s="204"/>
      <c r="NAI21" s="204"/>
      <c r="NAJ21" s="204"/>
      <c r="NAK21" s="204"/>
      <c r="NAL21" s="204"/>
      <c r="NAM21" s="204"/>
      <c r="NAN21" s="204"/>
      <c r="NAO21" s="204"/>
      <c r="NAP21" s="204"/>
      <c r="NAQ21" s="204"/>
      <c r="NAR21" s="204"/>
      <c r="NAS21" s="204"/>
      <c r="NAT21" s="204"/>
      <c r="NAU21" s="204"/>
      <c r="NAV21" s="204"/>
      <c r="NAW21" s="204"/>
      <c r="NAX21" s="204"/>
      <c r="NAY21" s="204"/>
      <c r="NAZ21" s="204"/>
      <c r="NBA21" s="204"/>
      <c r="NBB21" s="204"/>
      <c r="NBC21" s="204"/>
      <c r="NBD21" s="204"/>
      <c r="NBE21" s="204"/>
      <c r="NBF21" s="204"/>
      <c r="NBG21" s="204"/>
      <c r="NBH21" s="204"/>
      <c r="NBI21" s="204"/>
      <c r="NBJ21" s="204"/>
      <c r="NBK21" s="204"/>
      <c r="NBL21" s="204"/>
      <c r="NBM21" s="204"/>
      <c r="NBN21" s="204"/>
      <c r="NBO21" s="204"/>
      <c r="NBP21" s="204"/>
      <c r="NBQ21" s="204"/>
      <c r="NBR21" s="204"/>
      <c r="NBS21" s="204"/>
      <c r="NBT21" s="204"/>
      <c r="NBU21" s="204"/>
      <c r="NBV21" s="204"/>
      <c r="NBW21" s="204"/>
      <c r="NBX21" s="204"/>
      <c r="NBY21" s="204"/>
      <c r="NBZ21" s="204"/>
      <c r="NCA21" s="204"/>
      <c r="NCB21" s="204"/>
      <c r="NCC21" s="204"/>
      <c r="NCD21" s="204"/>
      <c r="NCE21" s="204"/>
      <c r="NCF21" s="204"/>
      <c r="NCG21" s="204"/>
      <c r="NCH21" s="204"/>
      <c r="NCI21" s="204"/>
      <c r="NCJ21" s="204"/>
      <c r="NCK21" s="204"/>
      <c r="NCL21" s="204"/>
      <c r="NCM21" s="204"/>
      <c r="NCN21" s="204"/>
      <c r="NCO21" s="204"/>
      <c r="NCP21" s="204"/>
      <c r="NCQ21" s="204"/>
      <c r="NCR21" s="204"/>
      <c r="NCS21" s="204"/>
      <c r="NCT21" s="204"/>
      <c r="NCU21" s="204"/>
      <c r="NCV21" s="204"/>
      <c r="NCW21" s="204"/>
      <c r="NCX21" s="204"/>
      <c r="NCY21" s="204"/>
      <c r="NCZ21" s="204"/>
      <c r="NDA21" s="204"/>
      <c r="NDB21" s="204"/>
      <c r="NDC21" s="204"/>
      <c r="NDD21" s="204"/>
      <c r="NDE21" s="204"/>
      <c r="NDF21" s="204"/>
      <c r="NDG21" s="204"/>
      <c r="NDH21" s="204"/>
      <c r="NDI21" s="204"/>
      <c r="NDJ21" s="204"/>
      <c r="NDK21" s="204"/>
      <c r="NDL21" s="204"/>
      <c r="NDM21" s="204"/>
      <c r="NDN21" s="204"/>
      <c r="NDO21" s="204"/>
      <c r="NDP21" s="204"/>
      <c r="NDQ21" s="204"/>
      <c r="NDR21" s="204"/>
      <c r="NDS21" s="204"/>
      <c r="NDT21" s="204"/>
      <c r="NDU21" s="204"/>
      <c r="NDV21" s="204"/>
      <c r="NDW21" s="204"/>
      <c r="NDX21" s="204"/>
      <c r="NDY21" s="204"/>
      <c r="NDZ21" s="204"/>
      <c r="NEA21" s="204"/>
      <c r="NEB21" s="204"/>
      <c r="NEC21" s="204"/>
      <c r="NED21" s="204"/>
      <c r="NEE21" s="204"/>
      <c r="NEF21" s="204"/>
      <c r="NEG21" s="204"/>
      <c r="NEH21" s="204"/>
      <c r="NEI21" s="204"/>
      <c r="NEJ21" s="204"/>
      <c r="NEK21" s="204"/>
      <c r="NEL21" s="204"/>
      <c r="NEM21" s="204"/>
      <c r="NEN21" s="204"/>
      <c r="NEO21" s="204"/>
      <c r="NEP21" s="204"/>
      <c r="NEQ21" s="204"/>
      <c r="NER21" s="204"/>
      <c r="NES21" s="204"/>
      <c r="NET21" s="204"/>
      <c r="NEU21" s="204"/>
      <c r="NEV21" s="204"/>
      <c r="NEW21" s="204"/>
      <c r="NEX21" s="204"/>
      <c r="NEY21" s="204"/>
      <c r="NEZ21" s="204"/>
      <c r="NFA21" s="204"/>
      <c r="NFB21" s="204"/>
      <c r="NFC21" s="204"/>
      <c r="NFD21" s="204"/>
      <c r="NFE21" s="204"/>
      <c r="NFF21" s="204"/>
      <c r="NFG21" s="204"/>
      <c r="NFH21" s="204"/>
      <c r="NFI21" s="204"/>
      <c r="NFJ21" s="204"/>
      <c r="NFK21" s="204"/>
      <c r="NFL21" s="204"/>
      <c r="NFM21" s="204"/>
      <c r="NFN21" s="204"/>
      <c r="NFO21" s="204"/>
      <c r="NFP21" s="204"/>
      <c r="NFQ21" s="204"/>
      <c r="NFR21" s="204"/>
      <c r="NFS21" s="204"/>
      <c r="NFT21" s="204"/>
      <c r="NFU21" s="204"/>
      <c r="NFV21" s="204"/>
      <c r="NFW21" s="204"/>
      <c r="NFX21" s="204"/>
      <c r="NFY21" s="204"/>
      <c r="NFZ21" s="204"/>
      <c r="NGA21" s="204"/>
      <c r="NGB21" s="204"/>
      <c r="NGC21" s="204"/>
      <c r="NGD21" s="204"/>
      <c r="NGE21" s="204"/>
      <c r="NGF21" s="204"/>
      <c r="NGG21" s="204"/>
      <c r="NGH21" s="204"/>
      <c r="NGI21" s="204"/>
      <c r="NGJ21" s="204"/>
      <c r="NGK21" s="204"/>
      <c r="NGL21" s="204"/>
      <c r="NGM21" s="204"/>
      <c r="NGN21" s="204"/>
      <c r="NGO21" s="204"/>
      <c r="NGP21" s="204"/>
      <c r="NGQ21" s="204"/>
      <c r="NGR21" s="204"/>
      <c r="NGS21" s="204"/>
      <c r="NGT21" s="204"/>
      <c r="NGU21" s="204"/>
      <c r="NGV21" s="204"/>
      <c r="NGW21" s="204"/>
      <c r="NGX21" s="204"/>
      <c r="NGY21" s="204"/>
      <c r="NGZ21" s="204"/>
      <c r="NHA21" s="204"/>
      <c r="NHB21" s="204"/>
      <c r="NHC21" s="204"/>
      <c r="NHD21" s="204"/>
      <c r="NHE21" s="204"/>
      <c r="NHF21" s="204"/>
      <c r="NHG21" s="204"/>
      <c r="NHH21" s="204"/>
      <c r="NHI21" s="204"/>
      <c r="NHJ21" s="204"/>
      <c r="NHK21" s="204"/>
      <c r="NHL21" s="204"/>
      <c r="NHM21" s="204"/>
      <c r="NHN21" s="204"/>
      <c r="NHO21" s="204"/>
      <c r="NHP21" s="204"/>
      <c r="NHQ21" s="204"/>
      <c r="NHR21" s="204"/>
      <c r="NHS21" s="204"/>
      <c r="NHT21" s="204"/>
      <c r="NHU21" s="204"/>
      <c r="NHV21" s="204"/>
      <c r="NHW21" s="204"/>
      <c r="NHX21" s="204"/>
      <c r="NHY21" s="204"/>
      <c r="NHZ21" s="204"/>
      <c r="NIA21" s="204"/>
      <c r="NIB21" s="204"/>
      <c r="NIC21" s="204"/>
      <c r="NID21" s="204"/>
      <c r="NIE21" s="204"/>
      <c r="NIF21" s="204"/>
      <c r="NIG21" s="204"/>
      <c r="NIH21" s="204"/>
      <c r="NII21" s="204"/>
      <c r="NIJ21" s="204"/>
      <c r="NIK21" s="204"/>
      <c r="NIL21" s="204"/>
      <c r="NIM21" s="204"/>
      <c r="NIN21" s="204"/>
      <c r="NIO21" s="204"/>
      <c r="NIP21" s="204"/>
      <c r="NIQ21" s="204"/>
      <c r="NIR21" s="204"/>
      <c r="NIS21" s="204"/>
      <c r="NIT21" s="204"/>
      <c r="NIU21" s="204"/>
      <c r="NIV21" s="204"/>
      <c r="NIW21" s="204"/>
      <c r="NIX21" s="204"/>
      <c r="NIY21" s="204"/>
      <c r="NIZ21" s="204"/>
      <c r="NJA21" s="204"/>
      <c r="NJB21" s="204"/>
      <c r="NJC21" s="204"/>
      <c r="NJD21" s="204"/>
      <c r="NJE21" s="204"/>
      <c r="NJF21" s="204"/>
      <c r="NJG21" s="204"/>
      <c r="NJH21" s="204"/>
      <c r="NJI21" s="204"/>
      <c r="NJJ21" s="204"/>
      <c r="NJK21" s="204"/>
      <c r="NJL21" s="204"/>
      <c r="NJM21" s="204"/>
      <c r="NJN21" s="204"/>
      <c r="NJO21" s="204"/>
      <c r="NJP21" s="204"/>
      <c r="NJQ21" s="204"/>
      <c r="NJR21" s="204"/>
      <c r="NJS21" s="204"/>
      <c r="NJT21" s="204"/>
      <c r="NJU21" s="204"/>
      <c r="NJV21" s="204"/>
      <c r="NJW21" s="204"/>
      <c r="NJX21" s="204"/>
      <c r="NJY21" s="204"/>
      <c r="NJZ21" s="204"/>
      <c r="NKA21" s="204"/>
      <c r="NKB21" s="204"/>
      <c r="NKC21" s="204"/>
      <c r="NKD21" s="204"/>
      <c r="NKE21" s="204"/>
      <c r="NKF21" s="204"/>
      <c r="NKG21" s="204"/>
      <c r="NKH21" s="204"/>
      <c r="NKI21" s="204"/>
      <c r="NKJ21" s="204"/>
      <c r="NKK21" s="204"/>
      <c r="NKL21" s="204"/>
      <c r="NKM21" s="204"/>
      <c r="NKN21" s="204"/>
      <c r="NKO21" s="204"/>
      <c r="NKP21" s="204"/>
      <c r="NKQ21" s="204"/>
      <c r="NKR21" s="204"/>
      <c r="NKS21" s="204"/>
      <c r="NKT21" s="204"/>
      <c r="NKU21" s="204"/>
      <c r="NKV21" s="204"/>
      <c r="NKW21" s="204"/>
      <c r="NKX21" s="204"/>
      <c r="NKY21" s="204"/>
      <c r="NKZ21" s="204"/>
      <c r="NLA21" s="204"/>
      <c r="NLB21" s="204"/>
      <c r="NLC21" s="204"/>
      <c r="NLD21" s="204"/>
      <c r="NLE21" s="204"/>
      <c r="NLF21" s="204"/>
      <c r="NLG21" s="204"/>
      <c r="NLH21" s="204"/>
      <c r="NLI21" s="204"/>
      <c r="NLJ21" s="204"/>
      <c r="NLK21" s="204"/>
      <c r="NLL21" s="204"/>
      <c r="NLM21" s="204"/>
      <c r="NLN21" s="204"/>
      <c r="NLO21" s="204"/>
      <c r="NLP21" s="204"/>
      <c r="NLQ21" s="204"/>
      <c r="NLR21" s="204"/>
      <c r="NLS21" s="204"/>
      <c r="NLT21" s="204"/>
      <c r="NLU21" s="204"/>
      <c r="NLV21" s="204"/>
      <c r="NLW21" s="204"/>
      <c r="NLX21" s="204"/>
      <c r="NLY21" s="204"/>
      <c r="NLZ21" s="204"/>
      <c r="NMA21" s="204"/>
      <c r="NMB21" s="204"/>
      <c r="NMC21" s="204"/>
      <c r="NMD21" s="204"/>
      <c r="NME21" s="204"/>
      <c r="NMF21" s="204"/>
      <c r="NMG21" s="204"/>
      <c r="NMH21" s="204"/>
      <c r="NMI21" s="204"/>
      <c r="NMJ21" s="204"/>
      <c r="NMK21" s="204"/>
      <c r="NML21" s="204"/>
      <c r="NMM21" s="204"/>
      <c r="NMN21" s="204"/>
      <c r="NMO21" s="204"/>
      <c r="NMP21" s="204"/>
      <c r="NMQ21" s="204"/>
      <c r="NMR21" s="204"/>
      <c r="NMS21" s="204"/>
      <c r="NMT21" s="204"/>
      <c r="NMU21" s="204"/>
      <c r="NMV21" s="204"/>
      <c r="NMW21" s="204"/>
      <c r="NMX21" s="204"/>
      <c r="NMY21" s="204"/>
      <c r="NMZ21" s="204"/>
      <c r="NNA21" s="204"/>
      <c r="NNB21" s="204"/>
      <c r="NNC21" s="204"/>
      <c r="NND21" s="204"/>
      <c r="NNE21" s="204"/>
      <c r="NNF21" s="204"/>
      <c r="NNG21" s="204"/>
      <c r="NNH21" s="204"/>
      <c r="NNI21" s="204"/>
      <c r="NNJ21" s="204"/>
      <c r="NNK21" s="204"/>
      <c r="NNL21" s="204"/>
      <c r="NNM21" s="204"/>
      <c r="NNN21" s="204"/>
      <c r="NNO21" s="204"/>
      <c r="NNP21" s="204"/>
      <c r="NNQ21" s="204"/>
      <c r="NNR21" s="204"/>
      <c r="NNS21" s="204"/>
      <c r="NNT21" s="204"/>
      <c r="NNU21" s="204"/>
      <c r="NNV21" s="204"/>
      <c r="NNW21" s="204"/>
      <c r="NNX21" s="204"/>
      <c r="NNY21" s="204"/>
      <c r="NNZ21" s="204"/>
      <c r="NOA21" s="204"/>
      <c r="NOB21" s="204"/>
      <c r="NOC21" s="204"/>
      <c r="NOD21" s="204"/>
      <c r="NOE21" s="204"/>
      <c r="NOF21" s="204"/>
      <c r="NOG21" s="204"/>
      <c r="NOH21" s="204"/>
      <c r="NOI21" s="204"/>
      <c r="NOJ21" s="204"/>
      <c r="NOK21" s="204"/>
      <c r="NOL21" s="204"/>
      <c r="NOM21" s="204"/>
      <c r="NON21" s="204"/>
      <c r="NOO21" s="204"/>
      <c r="NOP21" s="204"/>
      <c r="NOQ21" s="204"/>
      <c r="NOR21" s="204"/>
      <c r="NOS21" s="204"/>
      <c r="NOT21" s="204"/>
      <c r="NOU21" s="204"/>
      <c r="NOV21" s="204"/>
      <c r="NOW21" s="204"/>
      <c r="NOX21" s="204"/>
      <c r="NOY21" s="204"/>
      <c r="NOZ21" s="204"/>
      <c r="NPA21" s="204"/>
      <c r="NPB21" s="204"/>
      <c r="NPC21" s="204"/>
      <c r="NPD21" s="204"/>
      <c r="NPE21" s="204"/>
      <c r="NPF21" s="204"/>
      <c r="NPG21" s="204"/>
      <c r="NPH21" s="204"/>
      <c r="NPI21" s="204"/>
      <c r="NPJ21" s="204"/>
      <c r="NPK21" s="204"/>
      <c r="NPL21" s="204"/>
      <c r="NPM21" s="204"/>
      <c r="NPN21" s="204"/>
      <c r="NPO21" s="204"/>
      <c r="NPP21" s="204"/>
      <c r="NPQ21" s="204"/>
      <c r="NPR21" s="204"/>
      <c r="NPS21" s="204"/>
      <c r="NPT21" s="204"/>
      <c r="NPU21" s="204"/>
      <c r="NPV21" s="204"/>
      <c r="NPW21" s="204"/>
      <c r="NPX21" s="204"/>
      <c r="NPY21" s="204"/>
      <c r="NPZ21" s="204"/>
      <c r="NQA21" s="204"/>
      <c r="NQB21" s="204"/>
      <c r="NQC21" s="204"/>
      <c r="NQD21" s="204"/>
      <c r="NQE21" s="204"/>
      <c r="NQF21" s="204"/>
      <c r="NQG21" s="204"/>
      <c r="NQH21" s="204"/>
      <c r="NQI21" s="204"/>
      <c r="NQJ21" s="204"/>
      <c r="NQK21" s="204"/>
      <c r="NQL21" s="204"/>
      <c r="NQM21" s="204"/>
      <c r="NQN21" s="204"/>
      <c r="NQO21" s="204"/>
      <c r="NQP21" s="204"/>
      <c r="NQQ21" s="204"/>
      <c r="NQR21" s="204"/>
      <c r="NQS21" s="204"/>
      <c r="NQT21" s="204"/>
      <c r="NQU21" s="204"/>
      <c r="NQV21" s="204"/>
      <c r="NQW21" s="204"/>
      <c r="NQX21" s="204"/>
      <c r="NQY21" s="204"/>
      <c r="NQZ21" s="204"/>
      <c r="NRA21" s="204"/>
      <c r="NRB21" s="204"/>
      <c r="NRC21" s="204"/>
      <c r="NRD21" s="204"/>
      <c r="NRE21" s="204"/>
      <c r="NRF21" s="204"/>
      <c r="NRG21" s="204"/>
      <c r="NRH21" s="204"/>
      <c r="NRI21" s="204"/>
      <c r="NRJ21" s="204"/>
      <c r="NRK21" s="204"/>
      <c r="NRL21" s="204"/>
      <c r="NRM21" s="204"/>
      <c r="NRN21" s="204"/>
      <c r="NRO21" s="204"/>
      <c r="NRP21" s="204"/>
      <c r="NRQ21" s="204"/>
      <c r="NRR21" s="204"/>
      <c r="NRS21" s="204"/>
      <c r="NRT21" s="204"/>
      <c r="NRU21" s="204"/>
      <c r="NRV21" s="204"/>
      <c r="NRW21" s="204"/>
      <c r="NRX21" s="204"/>
      <c r="NRY21" s="204"/>
      <c r="NRZ21" s="204"/>
      <c r="NSA21" s="204"/>
      <c r="NSB21" s="204"/>
      <c r="NSC21" s="204"/>
      <c r="NSD21" s="204"/>
      <c r="NSE21" s="204"/>
      <c r="NSF21" s="204"/>
      <c r="NSG21" s="204"/>
      <c r="NSH21" s="204"/>
      <c r="NSI21" s="204"/>
      <c r="NSJ21" s="204"/>
      <c r="NSK21" s="204"/>
      <c r="NSL21" s="204"/>
      <c r="NSM21" s="204"/>
      <c r="NSN21" s="204"/>
      <c r="NSO21" s="204"/>
      <c r="NSP21" s="204"/>
      <c r="NSQ21" s="204"/>
      <c r="NSR21" s="204"/>
      <c r="NSS21" s="204"/>
      <c r="NST21" s="204"/>
      <c r="NSU21" s="204"/>
      <c r="NSV21" s="204"/>
      <c r="NSW21" s="204"/>
      <c r="NSX21" s="204"/>
      <c r="NSY21" s="204"/>
      <c r="NSZ21" s="204"/>
      <c r="NTA21" s="204"/>
      <c r="NTB21" s="204"/>
      <c r="NTC21" s="204"/>
      <c r="NTD21" s="204"/>
      <c r="NTE21" s="204"/>
      <c r="NTF21" s="204"/>
      <c r="NTG21" s="204"/>
      <c r="NTH21" s="204"/>
      <c r="NTI21" s="204"/>
      <c r="NTJ21" s="204"/>
      <c r="NTK21" s="204"/>
      <c r="NTL21" s="204"/>
      <c r="NTM21" s="204"/>
      <c r="NTN21" s="204"/>
      <c r="NTO21" s="204"/>
      <c r="NTP21" s="204"/>
      <c r="NTQ21" s="204"/>
      <c r="NTR21" s="204"/>
      <c r="NTS21" s="204"/>
      <c r="NTT21" s="204"/>
      <c r="NTU21" s="204"/>
      <c r="NTV21" s="204"/>
      <c r="NTW21" s="204"/>
      <c r="NTX21" s="204"/>
      <c r="NTY21" s="204"/>
      <c r="NTZ21" s="204"/>
      <c r="NUA21" s="204"/>
      <c r="NUB21" s="204"/>
      <c r="NUC21" s="204"/>
      <c r="NUD21" s="204"/>
      <c r="NUE21" s="204"/>
      <c r="NUF21" s="204"/>
      <c r="NUG21" s="204"/>
      <c r="NUH21" s="204"/>
      <c r="NUI21" s="204"/>
      <c r="NUJ21" s="204"/>
      <c r="NUK21" s="204"/>
      <c r="NUL21" s="204"/>
      <c r="NUM21" s="204"/>
      <c r="NUN21" s="204"/>
      <c r="NUO21" s="204"/>
      <c r="NUP21" s="204"/>
      <c r="NUQ21" s="204"/>
      <c r="NUR21" s="204"/>
      <c r="NUS21" s="204"/>
      <c r="NUT21" s="204"/>
      <c r="NUU21" s="204"/>
      <c r="NUV21" s="204"/>
      <c r="NUW21" s="204"/>
      <c r="NUX21" s="204"/>
      <c r="NUY21" s="204"/>
      <c r="NUZ21" s="204"/>
      <c r="NVA21" s="204"/>
      <c r="NVB21" s="204"/>
      <c r="NVC21" s="204"/>
      <c r="NVD21" s="204"/>
      <c r="NVE21" s="204"/>
      <c r="NVF21" s="204"/>
      <c r="NVG21" s="204"/>
      <c r="NVH21" s="204"/>
      <c r="NVI21" s="204"/>
      <c r="NVJ21" s="204"/>
      <c r="NVK21" s="204"/>
      <c r="NVL21" s="204"/>
      <c r="NVM21" s="204"/>
      <c r="NVN21" s="204"/>
      <c r="NVO21" s="204"/>
      <c r="NVP21" s="204"/>
      <c r="NVQ21" s="204"/>
      <c r="NVR21" s="204"/>
      <c r="NVS21" s="204"/>
      <c r="NVT21" s="204"/>
      <c r="NVU21" s="204"/>
      <c r="NVV21" s="204"/>
      <c r="NVW21" s="204"/>
      <c r="NVX21" s="204"/>
      <c r="NVY21" s="204"/>
      <c r="NVZ21" s="204"/>
      <c r="NWA21" s="204"/>
      <c r="NWB21" s="204"/>
      <c r="NWC21" s="204"/>
      <c r="NWD21" s="204"/>
      <c r="NWE21" s="204"/>
      <c r="NWF21" s="204"/>
      <c r="NWG21" s="204"/>
      <c r="NWH21" s="204"/>
      <c r="NWI21" s="204"/>
      <c r="NWJ21" s="204"/>
      <c r="NWK21" s="204"/>
      <c r="NWL21" s="204"/>
      <c r="NWM21" s="204"/>
      <c r="NWN21" s="204"/>
      <c r="NWO21" s="204"/>
      <c r="NWP21" s="204"/>
      <c r="NWQ21" s="204"/>
      <c r="NWR21" s="204"/>
      <c r="NWS21" s="204"/>
      <c r="NWT21" s="204"/>
      <c r="NWU21" s="204"/>
      <c r="NWV21" s="204"/>
      <c r="NWW21" s="204"/>
      <c r="NWX21" s="204"/>
      <c r="NWY21" s="204"/>
      <c r="NWZ21" s="204"/>
      <c r="NXA21" s="204"/>
      <c r="NXB21" s="204"/>
      <c r="NXC21" s="204"/>
      <c r="NXD21" s="204"/>
      <c r="NXE21" s="204"/>
      <c r="NXF21" s="204"/>
      <c r="NXG21" s="204"/>
      <c r="NXH21" s="204"/>
      <c r="NXI21" s="204"/>
      <c r="NXJ21" s="204"/>
      <c r="NXK21" s="204"/>
      <c r="NXL21" s="204"/>
      <c r="NXM21" s="204"/>
      <c r="NXN21" s="204"/>
      <c r="NXO21" s="204"/>
      <c r="NXP21" s="204"/>
      <c r="NXQ21" s="204"/>
      <c r="NXR21" s="204"/>
      <c r="NXS21" s="204"/>
      <c r="NXT21" s="204"/>
      <c r="NXU21" s="204"/>
      <c r="NXV21" s="204"/>
      <c r="NXW21" s="204"/>
      <c r="NXX21" s="204"/>
      <c r="NXY21" s="204"/>
      <c r="NXZ21" s="204"/>
      <c r="NYA21" s="204"/>
      <c r="NYB21" s="204"/>
      <c r="NYC21" s="204"/>
      <c r="NYD21" s="204"/>
      <c r="NYE21" s="204"/>
      <c r="NYF21" s="204"/>
      <c r="NYG21" s="204"/>
      <c r="NYH21" s="204"/>
      <c r="NYI21" s="204"/>
      <c r="NYJ21" s="204"/>
      <c r="NYK21" s="204"/>
      <c r="NYL21" s="204"/>
      <c r="NYM21" s="204"/>
      <c r="NYN21" s="204"/>
      <c r="NYO21" s="204"/>
      <c r="NYP21" s="204"/>
      <c r="NYQ21" s="204"/>
      <c r="NYR21" s="204"/>
      <c r="NYS21" s="204"/>
      <c r="NYT21" s="204"/>
      <c r="NYU21" s="204"/>
      <c r="NYV21" s="204"/>
      <c r="NYW21" s="204"/>
      <c r="NYX21" s="204"/>
      <c r="NYY21" s="204"/>
      <c r="NYZ21" s="204"/>
      <c r="NZA21" s="204"/>
      <c r="NZB21" s="204"/>
      <c r="NZC21" s="204"/>
      <c r="NZD21" s="204"/>
      <c r="NZE21" s="204"/>
      <c r="NZF21" s="204"/>
      <c r="NZG21" s="204"/>
      <c r="NZH21" s="204"/>
      <c r="NZI21" s="204"/>
      <c r="NZJ21" s="204"/>
      <c r="NZK21" s="204"/>
      <c r="NZL21" s="204"/>
      <c r="NZM21" s="204"/>
      <c r="NZN21" s="204"/>
      <c r="NZO21" s="204"/>
      <c r="NZP21" s="204"/>
      <c r="NZQ21" s="204"/>
      <c r="NZR21" s="204"/>
      <c r="NZS21" s="204"/>
      <c r="NZT21" s="204"/>
      <c r="NZU21" s="204"/>
      <c r="NZV21" s="204"/>
      <c r="NZW21" s="204"/>
      <c r="NZX21" s="204"/>
      <c r="NZY21" s="204"/>
      <c r="NZZ21" s="204"/>
      <c r="OAA21" s="204"/>
      <c r="OAB21" s="204"/>
      <c r="OAC21" s="204"/>
      <c r="OAD21" s="204"/>
      <c r="OAE21" s="204"/>
      <c r="OAF21" s="204"/>
      <c r="OAG21" s="204"/>
      <c r="OAH21" s="204"/>
      <c r="OAI21" s="204"/>
      <c r="OAJ21" s="204"/>
      <c r="OAK21" s="204"/>
      <c r="OAL21" s="204"/>
      <c r="OAM21" s="204"/>
      <c r="OAN21" s="204"/>
      <c r="OAO21" s="204"/>
      <c r="OAP21" s="204"/>
      <c r="OAQ21" s="204"/>
      <c r="OAR21" s="204"/>
      <c r="OAS21" s="204"/>
      <c r="OAT21" s="204"/>
      <c r="OAU21" s="204"/>
      <c r="OAV21" s="204"/>
      <c r="OAW21" s="204"/>
      <c r="OAX21" s="204"/>
      <c r="OAY21" s="204"/>
      <c r="OAZ21" s="204"/>
      <c r="OBA21" s="204"/>
      <c r="OBB21" s="204"/>
      <c r="OBC21" s="204"/>
      <c r="OBD21" s="204"/>
      <c r="OBE21" s="204"/>
      <c r="OBF21" s="204"/>
      <c r="OBG21" s="204"/>
      <c r="OBH21" s="204"/>
      <c r="OBI21" s="204"/>
      <c r="OBJ21" s="204"/>
      <c r="OBK21" s="204"/>
      <c r="OBL21" s="204"/>
      <c r="OBM21" s="204"/>
      <c r="OBN21" s="204"/>
      <c r="OBO21" s="204"/>
      <c r="OBP21" s="204"/>
      <c r="OBQ21" s="204"/>
      <c r="OBR21" s="204"/>
      <c r="OBS21" s="204"/>
      <c r="OBT21" s="204"/>
      <c r="OBU21" s="204"/>
      <c r="OBV21" s="204"/>
      <c r="OBW21" s="204"/>
      <c r="OBX21" s="204"/>
      <c r="OBY21" s="204"/>
      <c r="OBZ21" s="204"/>
      <c r="OCA21" s="204"/>
      <c r="OCB21" s="204"/>
      <c r="OCC21" s="204"/>
      <c r="OCD21" s="204"/>
      <c r="OCE21" s="204"/>
      <c r="OCF21" s="204"/>
      <c r="OCG21" s="204"/>
      <c r="OCH21" s="204"/>
      <c r="OCI21" s="204"/>
      <c r="OCJ21" s="204"/>
      <c r="OCK21" s="204"/>
      <c r="OCL21" s="204"/>
      <c r="OCM21" s="204"/>
      <c r="OCN21" s="204"/>
      <c r="OCO21" s="204"/>
      <c r="OCP21" s="204"/>
      <c r="OCQ21" s="204"/>
      <c r="OCR21" s="204"/>
      <c r="OCS21" s="204"/>
      <c r="OCT21" s="204"/>
      <c r="OCU21" s="204"/>
      <c r="OCV21" s="204"/>
      <c r="OCW21" s="204"/>
      <c r="OCX21" s="204"/>
      <c r="OCY21" s="204"/>
      <c r="OCZ21" s="204"/>
      <c r="ODA21" s="204"/>
      <c r="ODB21" s="204"/>
      <c r="ODC21" s="204"/>
      <c r="ODD21" s="204"/>
      <c r="ODE21" s="204"/>
      <c r="ODF21" s="204"/>
      <c r="ODG21" s="204"/>
      <c r="ODH21" s="204"/>
      <c r="ODI21" s="204"/>
      <c r="ODJ21" s="204"/>
      <c r="ODK21" s="204"/>
      <c r="ODL21" s="204"/>
      <c r="ODM21" s="204"/>
      <c r="ODN21" s="204"/>
      <c r="ODO21" s="204"/>
      <c r="ODP21" s="204"/>
      <c r="ODQ21" s="204"/>
      <c r="ODR21" s="204"/>
      <c r="ODS21" s="204"/>
      <c r="ODT21" s="204"/>
      <c r="ODU21" s="204"/>
      <c r="ODV21" s="204"/>
      <c r="ODW21" s="204"/>
      <c r="ODX21" s="204"/>
      <c r="ODY21" s="204"/>
      <c r="ODZ21" s="204"/>
      <c r="OEA21" s="204"/>
      <c r="OEB21" s="204"/>
      <c r="OEC21" s="204"/>
      <c r="OED21" s="204"/>
      <c r="OEE21" s="204"/>
      <c r="OEF21" s="204"/>
      <c r="OEG21" s="204"/>
      <c r="OEH21" s="204"/>
      <c r="OEI21" s="204"/>
      <c r="OEJ21" s="204"/>
      <c r="OEK21" s="204"/>
      <c r="OEL21" s="204"/>
      <c r="OEM21" s="204"/>
      <c r="OEN21" s="204"/>
      <c r="OEO21" s="204"/>
      <c r="OEP21" s="204"/>
      <c r="OEQ21" s="204"/>
      <c r="OER21" s="204"/>
      <c r="OES21" s="204"/>
      <c r="OET21" s="204"/>
      <c r="OEU21" s="204"/>
      <c r="OEV21" s="204"/>
      <c r="OEW21" s="204"/>
      <c r="OEX21" s="204"/>
      <c r="OEY21" s="204"/>
      <c r="OEZ21" s="204"/>
      <c r="OFA21" s="204"/>
      <c r="OFB21" s="204"/>
      <c r="OFC21" s="204"/>
      <c r="OFD21" s="204"/>
      <c r="OFE21" s="204"/>
      <c r="OFF21" s="204"/>
      <c r="OFG21" s="204"/>
      <c r="OFH21" s="204"/>
      <c r="OFI21" s="204"/>
      <c r="OFJ21" s="204"/>
      <c r="OFK21" s="204"/>
      <c r="OFL21" s="204"/>
      <c r="OFM21" s="204"/>
      <c r="OFN21" s="204"/>
      <c r="OFO21" s="204"/>
      <c r="OFP21" s="204"/>
      <c r="OFQ21" s="204"/>
      <c r="OFR21" s="204"/>
      <c r="OFS21" s="204"/>
      <c r="OFT21" s="204"/>
      <c r="OFU21" s="204"/>
      <c r="OFV21" s="204"/>
      <c r="OFW21" s="204"/>
      <c r="OFX21" s="204"/>
      <c r="OFY21" s="204"/>
      <c r="OFZ21" s="204"/>
      <c r="OGA21" s="204"/>
      <c r="OGB21" s="204"/>
      <c r="OGC21" s="204"/>
      <c r="OGD21" s="204"/>
      <c r="OGE21" s="204"/>
      <c r="OGF21" s="204"/>
      <c r="OGG21" s="204"/>
      <c r="OGH21" s="204"/>
      <c r="OGI21" s="204"/>
      <c r="OGJ21" s="204"/>
      <c r="OGK21" s="204"/>
      <c r="OGL21" s="204"/>
      <c r="OGM21" s="204"/>
      <c r="OGN21" s="204"/>
      <c r="OGO21" s="204"/>
      <c r="OGP21" s="204"/>
      <c r="OGQ21" s="204"/>
      <c r="OGR21" s="204"/>
      <c r="OGS21" s="204"/>
      <c r="OGT21" s="204"/>
      <c r="OGU21" s="204"/>
      <c r="OGV21" s="204"/>
      <c r="OGW21" s="204"/>
      <c r="OGX21" s="204"/>
      <c r="OGY21" s="204"/>
      <c r="OGZ21" s="204"/>
      <c r="OHA21" s="204"/>
      <c r="OHB21" s="204"/>
      <c r="OHC21" s="204"/>
      <c r="OHD21" s="204"/>
      <c r="OHE21" s="204"/>
      <c r="OHF21" s="204"/>
      <c r="OHG21" s="204"/>
      <c r="OHH21" s="204"/>
      <c r="OHI21" s="204"/>
      <c r="OHJ21" s="204"/>
      <c r="OHK21" s="204"/>
      <c r="OHL21" s="204"/>
      <c r="OHM21" s="204"/>
      <c r="OHN21" s="204"/>
      <c r="OHO21" s="204"/>
      <c r="OHP21" s="204"/>
      <c r="OHQ21" s="204"/>
      <c r="OHR21" s="204"/>
      <c r="OHS21" s="204"/>
      <c r="OHT21" s="204"/>
      <c r="OHU21" s="204"/>
      <c r="OHV21" s="204"/>
      <c r="OHW21" s="204"/>
      <c r="OHX21" s="204"/>
      <c r="OHY21" s="204"/>
      <c r="OHZ21" s="204"/>
      <c r="OIA21" s="204"/>
      <c r="OIB21" s="204"/>
      <c r="OIC21" s="204"/>
      <c r="OID21" s="204"/>
      <c r="OIE21" s="204"/>
      <c r="OIF21" s="204"/>
      <c r="OIG21" s="204"/>
      <c r="OIH21" s="204"/>
      <c r="OII21" s="204"/>
      <c r="OIJ21" s="204"/>
      <c r="OIK21" s="204"/>
      <c r="OIL21" s="204"/>
      <c r="OIM21" s="204"/>
      <c r="OIN21" s="204"/>
      <c r="OIO21" s="204"/>
      <c r="OIP21" s="204"/>
      <c r="OIQ21" s="204"/>
      <c r="OIR21" s="204"/>
      <c r="OIS21" s="204"/>
      <c r="OIT21" s="204"/>
      <c r="OIU21" s="204"/>
      <c r="OIV21" s="204"/>
      <c r="OIW21" s="204"/>
      <c r="OIX21" s="204"/>
      <c r="OIY21" s="204"/>
      <c r="OIZ21" s="204"/>
      <c r="OJA21" s="204"/>
      <c r="OJB21" s="204"/>
      <c r="OJC21" s="204"/>
      <c r="OJD21" s="204"/>
      <c r="OJE21" s="204"/>
      <c r="OJF21" s="204"/>
      <c r="OJG21" s="204"/>
      <c r="OJH21" s="204"/>
      <c r="OJI21" s="204"/>
      <c r="OJJ21" s="204"/>
      <c r="OJK21" s="204"/>
      <c r="OJL21" s="204"/>
      <c r="OJM21" s="204"/>
      <c r="OJN21" s="204"/>
      <c r="OJO21" s="204"/>
      <c r="OJP21" s="204"/>
      <c r="OJQ21" s="204"/>
      <c r="OJR21" s="204"/>
      <c r="OJS21" s="204"/>
      <c r="OJT21" s="204"/>
      <c r="OJU21" s="204"/>
      <c r="OJV21" s="204"/>
      <c r="OJW21" s="204"/>
      <c r="OJX21" s="204"/>
      <c r="OJY21" s="204"/>
      <c r="OJZ21" s="204"/>
      <c r="OKA21" s="204"/>
      <c r="OKB21" s="204"/>
      <c r="OKC21" s="204"/>
      <c r="OKD21" s="204"/>
      <c r="OKE21" s="204"/>
      <c r="OKF21" s="204"/>
      <c r="OKG21" s="204"/>
      <c r="OKH21" s="204"/>
      <c r="OKI21" s="204"/>
      <c r="OKJ21" s="204"/>
      <c r="OKK21" s="204"/>
      <c r="OKL21" s="204"/>
      <c r="OKM21" s="204"/>
      <c r="OKN21" s="204"/>
      <c r="OKO21" s="204"/>
      <c r="OKP21" s="204"/>
      <c r="OKQ21" s="204"/>
      <c r="OKR21" s="204"/>
      <c r="OKS21" s="204"/>
      <c r="OKT21" s="204"/>
      <c r="OKU21" s="204"/>
      <c r="OKV21" s="204"/>
      <c r="OKW21" s="204"/>
      <c r="OKX21" s="204"/>
      <c r="OKY21" s="204"/>
      <c r="OKZ21" s="204"/>
      <c r="OLA21" s="204"/>
      <c r="OLB21" s="204"/>
      <c r="OLC21" s="204"/>
      <c r="OLD21" s="204"/>
      <c r="OLE21" s="204"/>
      <c r="OLF21" s="204"/>
      <c r="OLG21" s="204"/>
      <c r="OLH21" s="204"/>
      <c r="OLI21" s="204"/>
      <c r="OLJ21" s="204"/>
      <c r="OLK21" s="204"/>
      <c r="OLL21" s="204"/>
      <c r="OLM21" s="204"/>
      <c r="OLN21" s="204"/>
      <c r="OLO21" s="204"/>
      <c r="OLP21" s="204"/>
      <c r="OLQ21" s="204"/>
      <c r="OLR21" s="204"/>
      <c r="OLS21" s="204"/>
      <c r="OLT21" s="204"/>
      <c r="OLU21" s="204"/>
      <c r="OLV21" s="204"/>
      <c r="OLW21" s="204"/>
      <c r="OLX21" s="204"/>
      <c r="OLY21" s="204"/>
      <c r="OLZ21" s="204"/>
      <c r="OMA21" s="204"/>
      <c r="OMB21" s="204"/>
      <c r="OMC21" s="204"/>
      <c r="OMD21" s="204"/>
      <c r="OME21" s="204"/>
      <c r="OMF21" s="204"/>
      <c r="OMG21" s="204"/>
      <c r="OMH21" s="204"/>
      <c r="OMI21" s="204"/>
      <c r="OMJ21" s="204"/>
      <c r="OMK21" s="204"/>
      <c r="OML21" s="204"/>
      <c r="OMM21" s="204"/>
      <c r="OMN21" s="204"/>
      <c r="OMO21" s="204"/>
      <c r="OMP21" s="204"/>
      <c r="OMQ21" s="204"/>
      <c r="OMR21" s="204"/>
      <c r="OMS21" s="204"/>
      <c r="OMT21" s="204"/>
      <c r="OMU21" s="204"/>
      <c r="OMV21" s="204"/>
      <c r="OMW21" s="204"/>
      <c r="OMX21" s="204"/>
      <c r="OMY21" s="204"/>
      <c r="OMZ21" s="204"/>
      <c r="ONA21" s="204"/>
      <c r="ONB21" s="204"/>
      <c r="ONC21" s="204"/>
      <c r="OND21" s="204"/>
      <c r="ONE21" s="204"/>
      <c r="ONF21" s="204"/>
      <c r="ONG21" s="204"/>
      <c r="ONH21" s="204"/>
      <c r="ONI21" s="204"/>
      <c r="ONJ21" s="204"/>
      <c r="ONK21" s="204"/>
      <c r="ONL21" s="204"/>
      <c r="ONM21" s="204"/>
      <c r="ONN21" s="204"/>
      <c r="ONO21" s="204"/>
      <c r="ONP21" s="204"/>
      <c r="ONQ21" s="204"/>
      <c r="ONR21" s="204"/>
      <c r="ONS21" s="204"/>
      <c r="ONT21" s="204"/>
      <c r="ONU21" s="204"/>
      <c r="ONV21" s="204"/>
      <c r="ONW21" s="204"/>
      <c r="ONX21" s="204"/>
      <c r="ONY21" s="204"/>
      <c r="ONZ21" s="204"/>
      <c r="OOA21" s="204"/>
      <c r="OOB21" s="204"/>
      <c r="OOC21" s="204"/>
      <c r="OOD21" s="204"/>
      <c r="OOE21" s="204"/>
      <c r="OOF21" s="204"/>
      <c r="OOG21" s="204"/>
      <c r="OOH21" s="204"/>
      <c r="OOI21" s="204"/>
      <c r="OOJ21" s="204"/>
      <c r="OOK21" s="204"/>
      <c r="OOL21" s="204"/>
      <c r="OOM21" s="204"/>
      <c r="OON21" s="204"/>
      <c r="OOO21" s="204"/>
      <c r="OOP21" s="204"/>
      <c r="OOQ21" s="204"/>
      <c r="OOR21" s="204"/>
      <c r="OOS21" s="204"/>
      <c r="OOT21" s="204"/>
      <c r="OOU21" s="204"/>
      <c r="OOV21" s="204"/>
      <c r="OOW21" s="204"/>
      <c r="OOX21" s="204"/>
      <c r="OOY21" s="204"/>
      <c r="OOZ21" s="204"/>
      <c r="OPA21" s="204"/>
      <c r="OPB21" s="204"/>
      <c r="OPC21" s="204"/>
      <c r="OPD21" s="204"/>
      <c r="OPE21" s="204"/>
      <c r="OPF21" s="204"/>
      <c r="OPG21" s="204"/>
      <c r="OPH21" s="204"/>
      <c r="OPI21" s="204"/>
      <c r="OPJ21" s="204"/>
      <c r="OPK21" s="204"/>
      <c r="OPL21" s="204"/>
      <c r="OPM21" s="204"/>
      <c r="OPN21" s="204"/>
      <c r="OPO21" s="204"/>
      <c r="OPP21" s="204"/>
      <c r="OPQ21" s="204"/>
      <c r="OPR21" s="204"/>
      <c r="OPS21" s="204"/>
      <c r="OPT21" s="204"/>
      <c r="OPU21" s="204"/>
      <c r="OPV21" s="204"/>
      <c r="OPW21" s="204"/>
      <c r="OPX21" s="204"/>
      <c r="OPY21" s="204"/>
      <c r="OPZ21" s="204"/>
      <c r="OQA21" s="204"/>
      <c r="OQB21" s="204"/>
      <c r="OQC21" s="204"/>
      <c r="OQD21" s="204"/>
      <c r="OQE21" s="204"/>
      <c r="OQF21" s="204"/>
      <c r="OQG21" s="204"/>
      <c r="OQH21" s="204"/>
      <c r="OQI21" s="204"/>
      <c r="OQJ21" s="204"/>
      <c r="OQK21" s="204"/>
      <c r="OQL21" s="204"/>
      <c r="OQM21" s="204"/>
      <c r="OQN21" s="204"/>
      <c r="OQO21" s="204"/>
      <c r="OQP21" s="204"/>
      <c r="OQQ21" s="204"/>
      <c r="OQR21" s="204"/>
      <c r="OQS21" s="204"/>
      <c r="OQT21" s="204"/>
      <c r="OQU21" s="204"/>
      <c r="OQV21" s="204"/>
      <c r="OQW21" s="204"/>
      <c r="OQX21" s="204"/>
      <c r="OQY21" s="204"/>
      <c r="OQZ21" s="204"/>
      <c r="ORA21" s="204"/>
      <c r="ORB21" s="204"/>
      <c r="ORC21" s="204"/>
      <c r="ORD21" s="204"/>
      <c r="ORE21" s="204"/>
      <c r="ORF21" s="204"/>
      <c r="ORG21" s="204"/>
      <c r="ORH21" s="204"/>
      <c r="ORI21" s="204"/>
      <c r="ORJ21" s="204"/>
      <c r="ORK21" s="204"/>
      <c r="ORL21" s="204"/>
      <c r="ORM21" s="204"/>
      <c r="ORN21" s="204"/>
      <c r="ORO21" s="204"/>
      <c r="ORP21" s="204"/>
      <c r="ORQ21" s="204"/>
      <c r="ORR21" s="204"/>
      <c r="ORS21" s="204"/>
      <c r="ORT21" s="204"/>
      <c r="ORU21" s="204"/>
      <c r="ORV21" s="204"/>
      <c r="ORW21" s="204"/>
      <c r="ORX21" s="204"/>
      <c r="ORY21" s="204"/>
      <c r="ORZ21" s="204"/>
      <c r="OSA21" s="204"/>
      <c r="OSB21" s="204"/>
      <c r="OSC21" s="204"/>
      <c r="OSD21" s="204"/>
      <c r="OSE21" s="204"/>
      <c r="OSF21" s="204"/>
      <c r="OSG21" s="204"/>
      <c r="OSH21" s="204"/>
      <c r="OSI21" s="204"/>
      <c r="OSJ21" s="204"/>
      <c r="OSK21" s="204"/>
      <c r="OSL21" s="204"/>
      <c r="OSM21" s="204"/>
      <c r="OSN21" s="204"/>
      <c r="OSO21" s="204"/>
      <c r="OSP21" s="204"/>
      <c r="OSQ21" s="204"/>
      <c r="OSR21" s="204"/>
      <c r="OSS21" s="204"/>
      <c r="OST21" s="204"/>
      <c r="OSU21" s="204"/>
      <c r="OSV21" s="204"/>
      <c r="OSW21" s="204"/>
      <c r="OSX21" s="204"/>
      <c r="OSY21" s="204"/>
      <c r="OSZ21" s="204"/>
      <c r="OTA21" s="204"/>
      <c r="OTB21" s="204"/>
      <c r="OTC21" s="204"/>
      <c r="OTD21" s="204"/>
      <c r="OTE21" s="204"/>
      <c r="OTF21" s="204"/>
      <c r="OTG21" s="204"/>
      <c r="OTH21" s="204"/>
      <c r="OTI21" s="204"/>
      <c r="OTJ21" s="204"/>
      <c r="OTK21" s="204"/>
      <c r="OTL21" s="204"/>
      <c r="OTM21" s="204"/>
      <c r="OTN21" s="204"/>
      <c r="OTO21" s="204"/>
      <c r="OTP21" s="204"/>
      <c r="OTQ21" s="204"/>
      <c r="OTR21" s="204"/>
      <c r="OTS21" s="204"/>
      <c r="OTT21" s="204"/>
      <c r="OTU21" s="204"/>
      <c r="OTV21" s="204"/>
      <c r="OTW21" s="204"/>
      <c r="OTX21" s="204"/>
      <c r="OTY21" s="204"/>
      <c r="OTZ21" s="204"/>
      <c r="OUA21" s="204"/>
      <c r="OUB21" s="204"/>
      <c r="OUC21" s="204"/>
      <c r="OUD21" s="204"/>
      <c r="OUE21" s="204"/>
      <c r="OUF21" s="204"/>
      <c r="OUG21" s="204"/>
      <c r="OUH21" s="204"/>
      <c r="OUI21" s="204"/>
      <c r="OUJ21" s="204"/>
      <c r="OUK21" s="204"/>
      <c r="OUL21" s="204"/>
      <c r="OUM21" s="204"/>
      <c r="OUN21" s="204"/>
      <c r="OUO21" s="204"/>
      <c r="OUP21" s="204"/>
      <c r="OUQ21" s="204"/>
      <c r="OUR21" s="204"/>
      <c r="OUS21" s="204"/>
      <c r="OUT21" s="204"/>
      <c r="OUU21" s="204"/>
      <c r="OUV21" s="204"/>
      <c r="OUW21" s="204"/>
      <c r="OUX21" s="204"/>
      <c r="OUY21" s="204"/>
      <c r="OUZ21" s="204"/>
      <c r="OVA21" s="204"/>
      <c r="OVB21" s="204"/>
      <c r="OVC21" s="204"/>
      <c r="OVD21" s="204"/>
      <c r="OVE21" s="204"/>
      <c r="OVF21" s="204"/>
      <c r="OVG21" s="204"/>
      <c r="OVH21" s="204"/>
      <c r="OVI21" s="204"/>
      <c r="OVJ21" s="204"/>
      <c r="OVK21" s="204"/>
      <c r="OVL21" s="204"/>
      <c r="OVM21" s="204"/>
      <c r="OVN21" s="204"/>
      <c r="OVO21" s="204"/>
      <c r="OVP21" s="204"/>
      <c r="OVQ21" s="204"/>
      <c r="OVR21" s="204"/>
      <c r="OVS21" s="204"/>
      <c r="OVT21" s="204"/>
      <c r="OVU21" s="204"/>
      <c r="OVV21" s="204"/>
      <c r="OVW21" s="204"/>
      <c r="OVX21" s="204"/>
      <c r="OVY21" s="204"/>
      <c r="OVZ21" s="204"/>
      <c r="OWA21" s="204"/>
      <c r="OWB21" s="204"/>
      <c r="OWC21" s="204"/>
      <c r="OWD21" s="204"/>
      <c r="OWE21" s="204"/>
      <c r="OWF21" s="204"/>
      <c r="OWG21" s="204"/>
      <c r="OWH21" s="204"/>
      <c r="OWI21" s="204"/>
      <c r="OWJ21" s="204"/>
      <c r="OWK21" s="204"/>
      <c r="OWL21" s="204"/>
      <c r="OWM21" s="204"/>
      <c r="OWN21" s="204"/>
      <c r="OWO21" s="204"/>
      <c r="OWP21" s="204"/>
      <c r="OWQ21" s="204"/>
      <c r="OWR21" s="204"/>
      <c r="OWS21" s="204"/>
      <c r="OWT21" s="204"/>
      <c r="OWU21" s="204"/>
      <c r="OWV21" s="204"/>
      <c r="OWW21" s="204"/>
      <c r="OWX21" s="204"/>
      <c r="OWY21" s="204"/>
      <c r="OWZ21" s="204"/>
      <c r="OXA21" s="204"/>
      <c r="OXB21" s="204"/>
      <c r="OXC21" s="204"/>
      <c r="OXD21" s="204"/>
      <c r="OXE21" s="204"/>
      <c r="OXF21" s="204"/>
      <c r="OXG21" s="204"/>
      <c r="OXH21" s="204"/>
      <c r="OXI21" s="204"/>
      <c r="OXJ21" s="204"/>
      <c r="OXK21" s="204"/>
      <c r="OXL21" s="204"/>
      <c r="OXM21" s="204"/>
      <c r="OXN21" s="204"/>
      <c r="OXO21" s="204"/>
      <c r="OXP21" s="204"/>
      <c r="OXQ21" s="204"/>
      <c r="OXR21" s="204"/>
      <c r="OXS21" s="204"/>
      <c r="OXT21" s="204"/>
      <c r="OXU21" s="204"/>
      <c r="OXV21" s="204"/>
      <c r="OXW21" s="204"/>
      <c r="OXX21" s="204"/>
      <c r="OXY21" s="204"/>
      <c r="OXZ21" s="204"/>
      <c r="OYA21" s="204"/>
      <c r="OYB21" s="204"/>
      <c r="OYC21" s="204"/>
      <c r="OYD21" s="204"/>
      <c r="OYE21" s="204"/>
      <c r="OYF21" s="204"/>
      <c r="OYG21" s="204"/>
      <c r="OYH21" s="204"/>
      <c r="OYI21" s="204"/>
      <c r="OYJ21" s="204"/>
      <c r="OYK21" s="204"/>
      <c r="OYL21" s="204"/>
      <c r="OYM21" s="204"/>
      <c r="OYN21" s="204"/>
      <c r="OYO21" s="204"/>
      <c r="OYP21" s="204"/>
      <c r="OYQ21" s="204"/>
      <c r="OYR21" s="204"/>
      <c r="OYS21" s="204"/>
      <c r="OYT21" s="204"/>
      <c r="OYU21" s="204"/>
      <c r="OYV21" s="204"/>
      <c r="OYW21" s="204"/>
      <c r="OYX21" s="204"/>
      <c r="OYY21" s="204"/>
      <c r="OYZ21" s="204"/>
      <c r="OZA21" s="204"/>
      <c r="OZB21" s="204"/>
      <c r="OZC21" s="204"/>
      <c r="OZD21" s="204"/>
      <c r="OZE21" s="204"/>
      <c r="OZF21" s="204"/>
      <c r="OZG21" s="204"/>
      <c r="OZH21" s="204"/>
      <c r="OZI21" s="204"/>
      <c r="OZJ21" s="204"/>
      <c r="OZK21" s="204"/>
      <c r="OZL21" s="204"/>
      <c r="OZM21" s="204"/>
      <c r="OZN21" s="204"/>
      <c r="OZO21" s="204"/>
      <c r="OZP21" s="204"/>
      <c r="OZQ21" s="204"/>
      <c r="OZR21" s="204"/>
      <c r="OZS21" s="204"/>
      <c r="OZT21" s="204"/>
      <c r="OZU21" s="204"/>
      <c r="OZV21" s="204"/>
      <c r="OZW21" s="204"/>
      <c r="OZX21" s="204"/>
      <c r="OZY21" s="204"/>
      <c r="OZZ21" s="204"/>
      <c r="PAA21" s="204"/>
      <c r="PAB21" s="204"/>
      <c r="PAC21" s="204"/>
      <c r="PAD21" s="204"/>
      <c r="PAE21" s="204"/>
      <c r="PAF21" s="204"/>
      <c r="PAG21" s="204"/>
      <c r="PAH21" s="204"/>
      <c r="PAI21" s="204"/>
      <c r="PAJ21" s="204"/>
      <c r="PAK21" s="204"/>
      <c r="PAL21" s="204"/>
      <c r="PAM21" s="204"/>
      <c r="PAN21" s="204"/>
      <c r="PAO21" s="204"/>
      <c r="PAP21" s="204"/>
      <c r="PAQ21" s="204"/>
      <c r="PAR21" s="204"/>
      <c r="PAS21" s="204"/>
      <c r="PAT21" s="204"/>
      <c r="PAU21" s="204"/>
      <c r="PAV21" s="204"/>
      <c r="PAW21" s="204"/>
      <c r="PAX21" s="204"/>
      <c r="PAY21" s="204"/>
      <c r="PAZ21" s="204"/>
      <c r="PBA21" s="204"/>
      <c r="PBB21" s="204"/>
      <c r="PBC21" s="204"/>
      <c r="PBD21" s="204"/>
      <c r="PBE21" s="204"/>
      <c r="PBF21" s="204"/>
      <c r="PBG21" s="204"/>
      <c r="PBH21" s="204"/>
      <c r="PBI21" s="204"/>
      <c r="PBJ21" s="204"/>
      <c r="PBK21" s="204"/>
      <c r="PBL21" s="204"/>
      <c r="PBM21" s="204"/>
      <c r="PBN21" s="204"/>
      <c r="PBO21" s="204"/>
      <c r="PBP21" s="204"/>
      <c r="PBQ21" s="204"/>
      <c r="PBR21" s="204"/>
      <c r="PBS21" s="204"/>
      <c r="PBT21" s="204"/>
      <c r="PBU21" s="204"/>
      <c r="PBV21" s="204"/>
      <c r="PBW21" s="204"/>
      <c r="PBX21" s="204"/>
      <c r="PBY21" s="204"/>
      <c r="PBZ21" s="204"/>
      <c r="PCA21" s="204"/>
      <c r="PCB21" s="204"/>
      <c r="PCC21" s="204"/>
      <c r="PCD21" s="204"/>
      <c r="PCE21" s="204"/>
      <c r="PCF21" s="204"/>
      <c r="PCG21" s="204"/>
      <c r="PCH21" s="204"/>
      <c r="PCI21" s="204"/>
      <c r="PCJ21" s="204"/>
      <c r="PCK21" s="204"/>
      <c r="PCL21" s="204"/>
      <c r="PCM21" s="204"/>
      <c r="PCN21" s="204"/>
      <c r="PCO21" s="204"/>
      <c r="PCP21" s="204"/>
      <c r="PCQ21" s="204"/>
      <c r="PCR21" s="204"/>
      <c r="PCS21" s="204"/>
      <c r="PCT21" s="204"/>
      <c r="PCU21" s="204"/>
      <c r="PCV21" s="204"/>
      <c r="PCW21" s="204"/>
      <c r="PCX21" s="204"/>
      <c r="PCY21" s="204"/>
      <c r="PCZ21" s="204"/>
      <c r="PDA21" s="204"/>
      <c r="PDB21" s="204"/>
      <c r="PDC21" s="204"/>
      <c r="PDD21" s="204"/>
      <c r="PDE21" s="204"/>
      <c r="PDF21" s="204"/>
      <c r="PDG21" s="204"/>
      <c r="PDH21" s="204"/>
      <c r="PDI21" s="204"/>
      <c r="PDJ21" s="204"/>
      <c r="PDK21" s="204"/>
      <c r="PDL21" s="204"/>
      <c r="PDM21" s="204"/>
      <c r="PDN21" s="204"/>
      <c r="PDO21" s="204"/>
      <c r="PDP21" s="204"/>
      <c r="PDQ21" s="204"/>
      <c r="PDR21" s="204"/>
      <c r="PDS21" s="204"/>
      <c r="PDT21" s="204"/>
      <c r="PDU21" s="204"/>
      <c r="PDV21" s="204"/>
      <c r="PDW21" s="204"/>
      <c r="PDX21" s="204"/>
      <c r="PDY21" s="204"/>
      <c r="PDZ21" s="204"/>
      <c r="PEA21" s="204"/>
      <c r="PEB21" s="204"/>
      <c r="PEC21" s="204"/>
      <c r="PED21" s="204"/>
      <c r="PEE21" s="204"/>
      <c r="PEF21" s="204"/>
      <c r="PEG21" s="204"/>
      <c r="PEH21" s="204"/>
      <c r="PEI21" s="204"/>
      <c r="PEJ21" s="204"/>
      <c r="PEK21" s="204"/>
      <c r="PEL21" s="204"/>
      <c r="PEM21" s="204"/>
      <c r="PEN21" s="204"/>
      <c r="PEO21" s="204"/>
      <c r="PEP21" s="204"/>
      <c r="PEQ21" s="204"/>
      <c r="PER21" s="204"/>
      <c r="PES21" s="204"/>
      <c r="PET21" s="204"/>
      <c r="PEU21" s="204"/>
      <c r="PEV21" s="204"/>
      <c r="PEW21" s="204"/>
      <c r="PEX21" s="204"/>
      <c r="PEY21" s="204"/>
      <c r="PEZ21" s="204"/>
      <c r="PFA21" s="204"/>
      <c r="PFB21" s="204"/>
      <c r="PFC21" s="204"/>
      <c r="PFD21" s="204"/>
      <c r="PFE21" s="204"/>
      <c r="PFF21" s="204"/>
      <c r="PFG21" s="204"/>
      <c r="PFH21" s="204"/>
      <c r="PFI21" s="204"/>
      <c r="PFJ21" s="204"/>
      <c r="PFK21" s="204"/>
      <c r="PFL21" s="204"/>
      <c r="PFM21" s="204"/>
      <c r="PFN21" s="204"/>
      <c r="PFO21" s="204"/>
      <c r="PFP21" s="204"/>
      <c r="PFQ21" s="204"/>
      <c r="PFR21" s="204"/>
      <c r="PFS21" s="204"/>
      <c r="PFT21" s="204"/>
      <c r="PFU21" s="204"/>
      <c r="PFV21" s="204"/>
      <c r="PFW21" s="204"/>
      <c r="PFX21" s="204"/>
      <c r="PFY21" s="204"/>
      <c r="PFZ21" s="204"/>
      <c r="PGA21" s="204"/>
      <c r="PGB21" s="204"/>
      <c r="PGC21" s="204"/>
      <c r="PGD21" s="204"/>
      <c r="PGE21" s="204"/>
      <c r="PGF21" s="204"/>
      <c r="PGG21" s="204"/>
      <c r="PGH21" s="204"/>
      <c r="PGI21" s="204"/>
      <c r="PGJ21" s="204"/>
      <c r="PGK21" s="204"/>
      <c r="PGL21" s="204"/>
      <c r="PGM21" s="204"/>
      <c r="PGN21" s="204"/>
      <c r="PGO21" s="204"/>
      <c r="PGP21" s="204"/>
      <c r="PGQ21" s="204"/>
      <c r="PGR21" s="204"/>
      <c r="PGS21" s="204"/>
      <c r="PGT21" s="204"/>
      <c r="PGU21" s="204"/>
      <c r="PGV21" s="204"/>
      <c r="PGW21" s="204"/>
      <c r="PGX21" s="204"/>
      <c r="PGY21" s="204"/>
      <c r="PGZ21" s="204"/>
      <c r="PHA21" s="204"/>
      <c r="PHB21" s="204"/>
      <c r="PHC21" s="204"/>
      <c r="PHD21" s="204"/>
      <c r="PHE21" s="204"/>
      <c r="PHF21" s="204"/>
      <c r="PHG21" s="204"/>
      <c r="PHH21" s="204"/>
      <c r="PHI21" s="204"/>
      <c r="PHJ21" s="204"/>
      <c r="PHK21" s="204"/>
      <c r="PHL21" s="204"/>
      <c r="PHM21" s="204"/>
      <c r="PHN21" s="204"/>
      <c r="PHO21" s="204"/>
      <c r="PHP21" s="204"/>
      <c r="PHQ21" s="204"/>
      <c r="PHR21" s="204"/>
      <c r="PHS21" s="204"/>
      <c r="PHT21" s="204"/>
      <c r="PHU21" s="204"/>
      <c r="PHV21" s="204"/>
      <c r="PHW21" s="204"/>
      <c r="PHX21" s="204"/>
      <c r="PHY21" s="204"/>
      <c r="PHZ21" s="204"/>
      <c r="PIA21" s="204"/>
      <c r="PIB21" s="204"/>
      <c r="PIC21" s="204"/>
      <c r="PID21" s="204"/>
      <c r="PIE21" s="204"/>
      <c r="PIF21" s="204"/>
      <c r="PIG21" s="204"/>
      <c r="PIH21" s="204"/>
      <c r="PII21" s="204"/>
      <c r="PIJ21" s="204"/>
      <c r="PIK21" s="204"/>
      <c r="PIL21" s="204"/>
      <c r="PIM21" s="204"/>
      <c r="PIN21" s="204"/>
      <c r="PIO21" s="204"/>
      <c r="PIP21" s="204"/>
      <c r="PIQ21" s="204"/>
      <c r="PIR21" s="204"/>
      <c r="PIS21" s="204"/>
      <c r="PIT21" s="204"/>
      <c r="PIU21" s="204"/>
      <c r="PIV21" s="204"/>
      <c r="PIW21" s="204"/>
      <c r="PIX21" s="204"/>
      <c r="PIY21" s="204"/>
      <c r="PIZ21" s="204"/>
      <c r="PJA21" s="204"/>
      <c r="PJB21" s="204"/>
      <c r="PJC21" s="204"/>
      <c r="PJD21" s="204"/>
      <c r="PJE21" s="204"/>
      <c r="PJF21" s="204"/>
      <c r="PJG21" s="204"/>
      <c r="PJH21" s="204"/>
      <c r="PJI21" s="204"/>
      <c r="PJJ21" s="204"/>
      <c r="PJK21" s="204"/>
      <c r="PJL21" s="204"/>
      <c r="PJM21" s="204"/>
      <c r="PJN21" s="204"/>
      <c r="PJO21" s="204"/>
      <c r="PJP21" s="204"/>
      <c r="PJQ21" s="204"/>
      <c r="PJR21" s="204"/>
      <c r="PJS21" s="204"/>
      <c r="PJT21" s="204"/>
      <c r="PJU21" s="204"/>
      <c r="PJV21" s="204"/>
      <c r="PJW21" s="204"/>
      <c r="PJX21" s="204"/>
      <c r="PJY21" s="204"/>
      <c r="PJZ21" s="204"/>
      <c r="PKA21" s="204"/>
      <c r="PKB21" s="204"/>
      <c r="PKC21" s="204"/>
      <c r="PKD21" s="204"/>
      <c r="PKE21" s="204"/>
      <c r="PKF21" s="204"/>
      <c r="PKG21" s="204"/>
      <c r="PKH21" s="204"/>
      <c r="PKI21" s="204"/>
      <c r="PKJ21" s="204"/>
      <c r="PKK21" s="204"/>
      <c r="PKL21" s="204"/>
      <c r="PKM21" s="204"/>
      <c r="PKN21" s="204"/>
      <c r="PKO21" s="204"/>
      <c r="PKP21" s="204"/>
      <c r="PKQ21" s="204"/>
      <c r="PKR21" s="204"/>
      <c r="PKS21" s="204"/>
      <c r="PKT21" s="204"/>
      <c r="PKU21" s="204"/>
      <c r="PKV21" s="204"/>
      <c r="PKW21" s="204"/>
      <c r="PKX21" s="204"/>
      <c r="PKY21" s="204"/>
      <c r="PKZ21" s="204"/>
      <c r="PLA21" s="204"/>
      <c r="PLB21" s="204"/>
      <c r="PLC21" s="204"/>
      <c r="PLD21" s="204"/>
      <c r="PLE21" s="204"/>
      <c r="PLF21" s="204"/>
      <c r="PLG21" s="204"/>
      <c r="PLH21" s="204"/>
      <c r="PLI21" s="204"/>
      <c r="PLJ21" s="204"/>
      <c r="PLK21" s="204"/>
      <c r="PLL21" s="204"/>
      <c r="PLM21" s="204"/>
      <c r="PLN21" s="204"/>
      <c r="PLO21" s="204"/>
      <c r="PLP21" s="204"/>
      <c r="PLQ21" s="204"/>
      <c r="PLR21" s="204"/>
      <c r="PLS21" s="204"/>
      <c r="PLT21" s="204"/>
      <c r="PLU21" s="204"/>
      <c r="PLV21" s="204"/>
      <c r="PLW21" s="204"/>
      <c r="PLX21" s="204"/>
      <c r="PLY21" s="204"/>
      <c r="PLZ21" s="204"/>
      <c r="PMA21" s="204"/>
      <c r="PMB21" s="204"/>
      <c r="PMC21" s="204"/>
      <c r="PMD21" s="204"/>
      <c r="PME21" s="204"/>
      <c r="PMF21" s="204"/>
      <c r="PMG21" s="204"/>
      <c r="PMH21" s="204"/>
      <c r="PMI21" s="204"/>
      <c r="PMJ21" s="204"/>
      <c r="PMK21" s="204"/>
      <c r="PML21" s="204"/>
      <c r="PMM21" s="204"/>
      <c r="PMN21" s="204"/>
      <c r="PMO21" s="204"/>
      <c r="PMP21" s="204"/>
      <c r="PMQ21" s="204"/>
      <c r="PMR21" s="204"/>
      <c r="PMS21" s="204"/>
      <c r="PMT21" s="204"/>
      <c r="PMU21" s="204"/>
      <c r="PMV21" s="204"/>
      <c r="PMW21" s="204"/>
      <c r="PMX21" s="204"/>
      <c r="PMY21" s="204"/>
      <c r="PMZ21" s="204"/>
      <c r="PNA21" s="204"/>
      <c r="PNB21" s="204"/>
      <c r="PNC21" s="204"/>
      <c r="PND21" s="204"/>
      <c r="PNE21" s="204"/>
      <c r="PNF21" s="204"/>
      <c r="PNG21" s="204"/>
      <c r="PNH21" s="204"/>
      <c r="PNI21" s="204"/>
      <c r="PNJ21" s="204"/>
      <c r="PNK21" s="204"/>
      <c r="PNL21" s="204"/>
      <c r="PNM21" s="204"/>
      <c r="PNN21" s="204"/>
      <c r="PNO21" s="204"/>
      <c r="PNP21" s="204"/>
      <c r="PNQ21" s="204"/>
      <c r="PNR21" s="204"/>
      <c r="PNS21" s="204"/>
      <c r="PNT21" s="204"/>
      <c r="PNU21" s="204"/>
      <c r="PNV21" s="204"/>
      <c r="PNW21" s="204"/>
      <c r="PNX21" s="204"/>
      <c r="PNY21" s="204"/>
      <c r="PNZ21" s="204"/>
      <c r="POA21" s="204"/>
      <c r="POB21" s="204"/>
      <c r="POC21" s="204"/>
      <c r="POD21" s="204"/>
      <c r="POE21" s="204"/>
      <c r="POF21" s="204"/>
      <c r="POG21" s="204"/>
      <c r="POH21" s="204"/>
      <c r="POI21" s="204"/>
      <c r="POJ21" s="204"/>
      <c r="POK21" s="204"/>
      <c r="POL21" s="204"/>
      <c r="POM21" s="204"/>
      <c r="PON21" s="204"/>
      <c r="POO21" s="204"/>
      <c r="POP21" s="204"/>
      <c r="POQ21" s="204"/>
      <c r="POR21" s="204"/>
      <c r="POS21" s="204"/>
      <c r="POT21" s="204"/>
      <c r="POU21" s="204"/>
      <c r="POV21" s="204"/>
      <c r="POW21" s="204"/>
      <c r="POX21" s="204"/>
      <c r="POY21" s="204"/>
      <c r="POZ21" s="204"/>
      <c r="PPA21" s="204"/>
      <c r="PPB21" s="204"/>
      <c r="PPC21" s="204"/>
      <c r="PPD21" s="204"/>
      <c r="PPE21" s="204"/>
      <c r="PPF21" s="204"/>
      <c r="PPG21" s="204"/>
      <c r="PPH21" s="204"/>
      <c r="PPI21" s="204"/>
      <c r="PPJ21" s="204"/>
      <c r="PPK21" s="204"/>
      <c r="PPL21" s="204"/>
      <c r="PPM21" s="204"/>
      <c r="PPN21" s="204"/>
      <c r="PPO21" s="204"/>
      <c r="PPP21" s="204"/>
      <c r="PPQ21" s="204"/>
      <c r="PPR21" s="204"/>
      <c r="PPS21" s="204"/>
      <c r="PPT21" s="204"/>
      <c r="PPU21" s="204"/>
      <c r="PPV21" s="204"/>
      <c r="PPW21" s="204"/>
      <c r="PPX21" s="204"/>
      <c r="PPY21" s="204"/>
      <c r="PPZ21" s="204"/>
      <c r="PQA21" s="204"/>
      <c r="PQB21" s="204"/>
      <c r="PQC21" s="204"/>
      <c r="PQD21" s="204"/>
      <c r="PQE21" s="204"/>
      <c r="PQF21" s="204"/>
      <c r="PQG21" s="204"/>
      <c r="PQH21" s="204"/>
      <c r="PQI21" s="204"/>
      <c r="PQJ21" s="204"/>
      <c r="PQK21" s="204"/>
      <c r="PQL21" s="204"/>
      <c r="PQM21" s="204"/>
      <c r="PQN21" s="204"/>
      <c r="PQO21" s="204"/>
      <c r="PQP21" s="204"/>
      <c r="PQQ21" s="204"/>
      <c r="PQR21" s="204"/>
      <c r="PQS21" s="204"/>
      <c r="PQT21" s="204"/>
      <c r="PQU21" s="204"/>
      <c r="PQV21" s="204"/>
      <c r="PQW21" s="204"/>
      <c r="PQX21" s="204"/>
      <c r="PQY21" s="204"/>
      <c r="PQZ21" s="204"/>
      <c r="PRA21" s="204"/>
      <c r="PRB21" s="204"/>
      <c r="PRC21" s="204"/>
      <c r="PRD21" s="204"/>
      <c r="PRE21" s="204"/>
      <c r="PRF21" s="204"/>
      <c r="PRG21" s="204"/>
      <c r="PRH21" s="204"/>
      <c r="PRI21" s="204"/>
      <c r="PRJ21" s="204"/>
      <c r="PRK21" s="204"/>
      <c r="PRL21" s="204"/>
      <c r="PRM21" s="204"/>
      <c r="PRN21" s="204"/>
      <c r="PRO21" s="204"/>
      <c r="PRP21" s="204"/>
      <c r="PRQ21" s="204"/>
      <c r="PRR21" s="204"/>
      <c r="PRS21" s="204"/>
      <c r="PRT21" s="204"/>
      <c r="PRU21" s="204"/>
      <c r="PRV21" s="204"/>
      <c r="PRW21" s="204"/>
      <c r="PRX21" s="204"/>
      <c r="PRY21" s="204"/>
      <c r="PRZ21" s="204"/>
      <c r="PSA21" s="204"/>
      <c r="PSB21" s="204"/>
      <c r="PSC21" s="204"/>
      <c r="PSD21" s="204"/>
      <c r="PSE21" s="204"/>
      <c r="PSF21" s="204"/>
      <c r="PSG21" s="204"/>
      <c r="PSH21" s="204"/>
      <c r="PSI21" s="204"/>
      <c r="PSJ21" s="204"/>
      <c r="PSK21" s="204"/>
      <c r="PSL21" s="204"/>
      <c r="PSM21" s="204"/>
      <c r="PSN21" s="204"/>
      <c r="PSO21" s="204"/>
      <c r="PSP21" s="204"/>
      <c r="PSQ21" s="204"/>
      <c r="PSR21" s="204"/>
      <c r="PSS21" s="204"/>
      <c r="PST21" s="204"/>
      <c r="PSU21" s="204"/>
      <c r="PSV21" s="204"/>
      <c r="PSW21" s="204"/>
      <c r="PSX21" s="204"/>
      <c r="PSY21" s="204"/>
      <c r="PSZ21" s="204"/>
      <c r="PTA21" s="204"/>
      <c r="PTB21" s="204"/>
      <c r="PTC21" s="204"/>
      <c r="PTD21" s="204"/>
      <c r="PTE21" s="204"/>
      <c r="PTF21" s="204"/>
      <c r="PTG21" s="204"/>
      <c r="PTH21" s="204"/>
      <c r="PTI21" s="204"/>
      <c r="PTJ21" s="204"/>
      <c r="PTK21" s="204"/>
      <c r="PTL21" s="204"/>
      <c r="PTM21" s="204"/>
      <c r="PTN21" s="204"/>
      <c r="PTO21" s="204"/>
      <c r="PTP21" s="204"/>
      <c r="PTQ21" s="204"/>
      <c r="PTR21" s="204"/>
      <c r="PTS21" s="204"/>
      <c r="PTT21" s="204"/>
      <c r="PTU21" s="204"/>
      <c r="PTV21" s="204"/>
      <c r="PTW21" s="204"/>
      <c r="PTX21" s="204"/>
      <c r="PTY21" s="204"/>
      <c r="PTZ21" s="204"/>
      <c r="PUA21" s="204"/>
      <c r="PUB21" s="204"/>
      <c r="PUC21" s="204"/>
      <c r="PUD21" s="204"/>
      <c r="PUE21" s="204"/>
      <c r="PUF21" s="204"/>
      <c r="PUG21" s="204"/>
      <c r="PUH21" s="204"/>
      <c r="PUI21" s="204"/>
      <c r="PUJ21" s="204"/>
      <c r="PUK21" s="204"/>
      <c r="PUL21" s="204"/>
      <c r="PUM21" s="204"/>
      <c r="PUN21" s="204"/>
      <c r="PUO21" s="204"/>
      <c r="PUP21" s="204"/>
      <c r="PUQ21" s="204"/>
      <c r="PUR21" s="204"/>
      <c r="PUS21" s="204"/>
      <c r="PUT21" s="204"/>
      <c r="PUU21" s="204"/>
      <c r="PUV21" s="204"/>
      <c r="PUW21" s="204"/>
      <c r="PUX21" s="204"/>
      <c r="PUY21" s="204"/>
      <c r="PUZ21" s="204"/>
      <c r="PVA21" s="204"/>
      <c r="PVB21" s="204"/>
      <c r="PVC21" s="204"/>
      <c r="PVD21" s="204"/>
      <c r="PVE21" s="204"/>
      <c r="PVF21" s="204"/>
      <c r="PVG21" s="204"/>
      <c r="PVH21" s="204"/>
      <c r="PVI21" s="204"/>
      <c r="PVJ21" s="204"/>
      <c r="PVK21" s="204"/>
      <c r="PVL21" s="204"/>
      <c r="PVM21" s="204"/>
      <c r="PVN21" s="204"/>
      <c r="PVO21" s="204"/>
      <c r="PVP21" s="204"/>
      <c r="PVQ21" s="204"/>
      <c r="PVR21" s="204"/>
      <c r="PVS21" s="204"/>
      <c r="PVT21" s="204"/>
      <c r="PVU21" s="204"/>
      <c r="PVV21" s="204"/>
      <c r="PVW21" s="204"/>
      <c r="PVX21" s="204"/>
      <c r="PVY21" s="204"/>
      <c r="PVZ21" s="204"/>
      <c r="PWA21" s="204"/>
      <c r="PWB21" s="204"/>
      <c r="PWC21" s="204"/>
      <c r="PWD21" s="204"/>
      <c r="PWE21" s="204"/>
      <c r="PWF21" s="204"/>
      <c r="PWG21" s="204"/>
      <c r="PWH21" s="204"/>
      <c r="PWI21" s="204"/>
      <c r="PWJ21" s="204"/>
      <c r="PWK21" s="204"/>
      <c r="PWL21" s="204"/>
      <c r="PWM21" s="204"/>
      <c r="PWN21" s="204"/>
      <c r="PWO21" s="204"/>
      <c r="PWP21" s="204"/>
      <c r="PWQ21" s="204"/>
      <c r="PWR21" s="204"/>
      <c r="PWS21" s="204"/>
      <c r="PWT21" s="204"/>
      <c r="PWU21" s="204"/>
      <c r="PWV21" s="204"/>
      <c r="PWW21" s="204"/>
      <c r="PWX21" s="204"/>
      <c r="PWY21" s="204"/>
      <c r="PWZ21" s="204"/>
      <c r="PXA21" s="204"/>
      <c r="PXB21" s="204"/>
      <c r="PXC21" s="204"/>
      <c r="PXD21" s="204"/>
      <c r="PXE21" s="204"/>
      <c r="PXF21" s="204"/>
      <c r="PXG21" s="204"/>
      <c r="PXH21" s="204"/>
      <c r="PXI21" s="204"/>
      <c r="PXJ21" s="204"/>
      <c r="PXK21" s="204"/>
      <c r="PXL21" s="204"/>
      <c r="PXM21" s="204"/>
      <c r="PXN21" s="204"/>
      <c r="PXO21" s="204"/>
      <c r="PXP21" s="204"/>
      <c r="PXQ21" s="204"/>
      <c r="PXR21" s="204"/>
      <c r="PXS21" s="204"/>
      <c r="PXT21" s="204"/>
      <c r="PXU21" s="204"/>
      <c r="PXV21" s="204"/>
      <c r="PXW21" s="204"/>
      <c r="PXX21" s="204"/>
      <c r="PXY21" s="204"/>
      <c r="PXZ21" s="204"/>
      <c r="PYA21" s="204"/>
      <c r="PYB21" s="204"/>
      <c r="PYC21" s="204"/>
      <c r="PYD21" s="204"/>
      <c r="PYE21" s="204"/>
      <c r="PYF21" s="204"/>
      <c r="PYG21" s="204"/>
      <c r="PYH21" s="204"/>
      <c r="PYI21" s="204"/>
      <c r="PYJ21" s="204"/>
      <c r="PYK21" s="204"/>
      <c r="PYL21" s="204"/>
      <c r="PYM21" s="204"/>
      <c r="PYN21" s="204"/>
      <c r="PYO21" s="204"/>
      <c r="PYP21" s="204"/>
      <c r="PYQ21" s="204"/>
      <c r="PYR21" s="204"/>
      <c r="PYS21" s="204"/>
      <c r="PYT21" s="204"/>
      <c r="PYU21" s="204"/>
      <c r="PYV21" s="204"/>
      <c r="PYW21" s="204"/>
      <c r="PYX21" s="204"/>
      <c r="PYY21" s="204"/>
      <c r="PYZ21" s="204"/>
      <c r="PZA21" s="204"/>
      <c r="PZB21" s="204"/>
      <c r="PZC21" s="204"/>
      <c r="PZD21" s="204"/>
      <c r="PZE21" s="204"/>
      <c r="PZF21" s="204"/>
      <c r="PZG21" s="204"/>
      <c r="PZH21" s="204"/>
      <c r="PZI21" s="204"/>
      <c r="PZJ21" s="204"/>
      <c r="PZK21" s="204"/>
      <c r="PZL21" s="204"/>
      <c r="PZM21" s="204"/>
      <c r="PZN21" s="204"/>
      <c r="PZO21" s="204"/>
      <c r="PZP21" s="204"/>
      <c r="PZQ21" s="204"/>
      <c r="PZR21" s="204"/>
      <c r="PZS21" s="204"/>
      <c r="PZT21" s="204"/>
      <c r="PZU21" s="204"/>
      <c r="PZV21" s="204"/>
      <c r="PZW21" s="204"/>
      <c r="PZX21" s="204"/>
      <c r="PZY21" s="204"/>
      <c r="PZZ21" s="204"/>
      <c r="QAA21" s="204"/>
      <c r="QAB21" s="204"/>
      <c r="QAC21" s="204"/>
      <c r="QAD21" s="204"/>
      <c r="QAE21" s="204"/>
      <c r="QAF21" s="204"/>
      <c r="QAG21" s="204"/>
      <c r="QAH21" s="204"/>
      <c r="QAI21" s="204"/>
      <c r="QAJ21" s="204"/>
      <c r="QAK21" s="204"/>
      <c r="QAL21" s="204"/>
      <c r="QAM21" s="204"/>
      <c r="QAN21" s="204"/>
      <c r="QAO21" s="204"/>
      <c r="QAP21" s="204"/>
      <c r="QAQ21" s="204"/>
      <c r="QAR21" s="204"/>
      <c r="QAS21" s="204"/>
      <c r="QAT21" s="204"/>
      <c r="QAU21" s="204"/>
      <c r="QAV21" s="204"/>
      <c r="QAW21" s="204"/>
      <c r="QAX21" s="204"/>
      <c r="QAY21" s="204"/>
      <c r="QAZ21" s="204"/>
      <c r="QBA21" s="204"/>
      <c r="QBB21" s="204"/>
      <c r="QBC21" s="204"/>
      <c r="QBD21" s="204"/>
      <c r="QBE21" s="204"/>
      <c r="QBF21" s="204"/>
      <c r="QBG21" s="204"/>
      <c r="QBH21" s="204"/>
      <c r="QBI21" s="204"/>
      <c r="QBJ21" s="204"/>
      <c r="QBK21" s="204"/>
      <c r="QBL21" s="204"/>
      <c r="QBM21" s="204"/>
      <c r="QBN21" s="204"/>
      <c r="QBO21" s="204"/>
      <c r="QBP21" s="204"/>
      <c r="QBQ21" s="204"/>
      <c r="QBR21" s="204"/>
      <c r="QBS21" s="204"/>
      <c r="QBT21" s="204"/>
      <c r="QBU21" s="204"/>
      <c r="QBV21" s="204"/>
      <c r="QBW21" s="204"/>
      <c r="QBX21" s="204"/>
      <c r="QBY21" s="204"/>
      <c r="QBZ21" s="204"/>
      <c r="QCA21" s="204"/>
      <c r="QCB21" s="204"/>
      <c r="QCC21" s="204"/>
      <c r="QCD21" s="204"/>
      <c r="QCE21" s="204"/>
      <c r="QCF21" s="204"/>
      <c r="QCG21" s="204"/>
      <c r="QCH21" s="204"/>
      <c r="QCI21" s="204"/>
      <c r="QCJ21" s="204"/>
      <c r="QCK21" s="204"/>
      <c r="QCL21" s="204"/>
      <c r="QCM21" s="204"/>
      <c r="QCN21" s="204"/>
      <c r="QCO21" s="204"/>
      <c r="QCP21" s="204"/>
      <c r="QCQ21" s="204"/>
      <c r="QCR21" s="204"/>
      <c r="QCS21" s="204"/>
      <c r="QCT21" s="204"/>
      <c r="QCU21" s="204"/>
      <c r="QCV21" s="204"/>
      <c r="QCW21" s="204"/>
      <c r="QCX21" s="204"/>
      <c r="QCY21" s="204"/>
      <c r="QCZ21" s="204"/>
      <c r="QDA21" s="204"/>
      <c r="QDB21" s="204"/>
      <c r="QDC21" s="204"/>
      <c r="QDD21" s="204"/>
      <c r="QDE21" s="204"/>
      <c r="QDF21" s="204"/>
      <c r="QDG21" s="204"/>
      <c r="QDH21" s="204"/>
      <c r="QDI21" s="204"/>
      <c r="QDJ21" s="204"/>
      <c r="QDK21" s="204"/>
      <c r="QDL21" s="204"/>
      <c r="QDM21" s="204"/>
      <c r="QDN21" s="204"/>
      <c r="QDO21" s="204"/>
      <c r="QDP21" s="204"/>
      <c r="QDQ21" s="204"/>
      <c r="QDR21" s="204"/>
      <c r="QDS21" s="204"/>
      <c r="QDT21" s="204"/>
      <c r="QDU21" s="204"/>
      <c r="QDV21" s="204"/>
      <c r="QDW21" s="204"/>
      <c r="QDX21" s="204"/>
      <c r="QDY21" s="204"/>
      <c r="QDZ21" s="204"/>
      <c r="QEA21" s="204"/>
      <c r="QEB21" s="204"/>
      <c r="QEC21" s="204"/>
      <c r="QED21" s="204"/>
      <c r="QEE21" s="204"/>
      <c r="QEF21" s="204"/>
      <c r="QEG21" s="204"/>
      <c r="QEH21" s="204"/>
      <c r="QEI21" s="204"/>
      <c r="QEJ21" s="204"/>
      <c r="QEK21" s="204"/>
      <c r="QEL21" s="204"/>
      <c r="QEM21" s="204"/>
      <c r="QEN21" s="204"/>
      <c r="QEO21" s="204"/>
      <c r="QEP21" s="204"/>
      <c r="QEQ21" s="204"/>
      <c r="QER21" s="204"/>
      <c r="QES21" s="204"/>
      <c r="QET21" s="204"/>
      <c r="QEU21" s="204"/>
      <c r="QEV21" s="204"/>
      <c r="QEW21" s="204"/>
      <c r="QEX21" s="204"/>
      <c r="QEY21" s="204"/>
      <c r="QEZ21" s="204"/>
      <c r="QFA21" s="204"/>
      <c r="QFB21" s="204"/>
      <c r="QFC21" s="204"/>
      <c r="QFD21" s="204"/>
      <c r="QFE21" s="204"/>
      <c r="QFF21" s="204"/>
      <c r="QFG21" s="204"/>
      <c r="QFH21" s="204"/>
      <c r="QFI21" s="204"/>
      <c r="QFJ21" s="204"/>
      <c r="QFK21" s="204"/>
      <c r="QFL21" s="204"/>
      <c r="QFM21" s="204"/>
      <c r="QFN21" s="204"/>
      <c r="QFO21" s="204"/>
      <c r="QFP21" s="204"/>
      <c r="QFQ21" s="204"/>
      <c r="QFR21" s="204"/>
      <c r="QFS21" s="204"/>
      <c r="QFT21" s="204"/>
      <c r="QFU21" s="204"/>
      <c r="QFV21" s="204"/>
      <c r="QFW21" s="204"/>
      <c r="QFX21" s="204"/>
      <c r="QFY21" s="204"/>
      <c r="QFZ21" s="204"/>
      <c r="QGA21" s="204"/>
      <c r="QGB21" s="204"/>
      <c r="QGC21" s="204"/>
      <c r="QGD21" s="204"/>
      <c r="QGE21" s="204"/>
      <c r="QGF21" s="204"/>
      <c r="QGG21" s="204"/>
      <c r="QGH21" s="204"/>
      <c r="QGI21" s="204"/>
      <c r="QGJ21" s="204"/>
      <c r="QGK21" s="204"/>
      <c r="QGL21" s="204"/>
      <c r="QGM21" s="204"/>
      <c r="QGN21" s="204"/>
      <c r="QGO21" s="204"/>
      <c r="QGP21" s="204"/>
      <c r="QGQ21" s="204"/>
      <c r="QGR21" s="204"/>
      <c r="QGS21" s="204"/>
      <c r="QGT21" s="204"/>
      <c r="QGU21" s="204"/>
      <c r="QGV21" s="204"/>
      <c r="QGW21" s="204"/>
      <c r="QGX21" s="204"/>
      <c r="QGY21" s="204"/>
      <c r="QGZ21" s="204"/>
      <c r="QHA21" s="204"/>
      <c r="QHB21" s="204"/>
      <c r="QHC21" s="204"/>
      <c r="QHD21" s="204"/>
      <c r="QHE21" s="204"/>
      <c r="QHF21" s="204"/>
      <c r="QHG21" s="204"/>
      <c r="QHH21" s="204"/>
      <c r="QHI21" s="204"/>
      <c r="QHJ21" s="204"/>
      <c r="QHK21" s="204"/>
      <c r="QHL21" s="204"/>
      <c r="QHM21" s="204"/>
      <c r="QHN21" s="204"/>
      <c r="QHO21" s="204"/>
      <c r="QHP21" s="204"/>
      <c r="QHQ21" s="204"/>
      <c r="QHR21" s="204"/>
      <c r="QHS21" s="204"/>
      <c r="QHT21" s="204"/>
      <c r="QHU21" s="204"/>
      <c r="QHV21" s="204"/>
      <c r="QHW21" s="204"/>
      <c r="QHX21" s="204"/>
      <c r="QHY21" s="204"/>
      <c r="QHZ21" s="204"/>
      <c r="QIA21" s="204"/>
      <c r="QIB21" s="204"/>
      <c r="QIC21" s="204"/>
      <c r="QID21" s="204"/>
      <c r="QIE21" s="204"/>
      <c r="QIF21" s="204"/>
      <c r="QIG21" s="204"/>
      <c r="QIH21" s="204"/>
      <c r="QII21" s="204"/>
      <c r="QIJ21" s="204"/>
      <c r="QIK21" s="204"/>
      <c r="QIL21" s="204"/>
      <c r="QIM21" s="204"/>
      <c r="QIN21" s="204"/>
      <c r="QIO21" s="204"/>
      <c r="QIP21" s="204"/>
      <c r="QIQ21" s="204"/>
      <c r="QIR21" s="204"/>
      <c r="QIS21" s="204"/>
      <c r="QIT21" s="204"/>
      <c r="QIU21" s="204"/>
      <c r="QIV21" s="204"/>
      <c r="QIW21" s="204"/>
      <c r="QIX21" s="204"/>
      <c r="QIY21" s="204"/>
      <c r="QIZ21" s="204"/>
      <c r="QJA21" s="204"/>
      <c r="QJB21" s="204"/>
      <c r="QJC21" s="204"/>
      <c r="QJD21" s="204"/>
      <c r="QJE21" s="204"/>
      <c r="QJF21" s="204"/>
      <c r="QJG21" s="204"/>
      <c r="QJH21" s="204"/>
      <c r="QJI21" s="204"/>
      <c r="QJJ21" s="204"/>
      <c r="QJK21" s="204"/>
      <c r="QJL21" s="204"/>
      <c r="QJM21" s="204"/>
      <c r="QJN21" s="204"/>
      <c r="QJO21" s="204"/>
      <c r="QJP21" s="204"/>
      <c r="QJQ21" s="204"/>
      <c r="QJR21" s="204"/>
      <c r="QJS21" s="204"/>
      <c r="QJT21" s="204"/>
      <c r="QJU21" s="204"/>
      <c r="QJV21" s="204"/>
      <c r="QJW21" s="204"/>
      <c r="QJX21" s="204"/>
      <c r="QJY21" s="204"/>
      <c r="QJZ21" s="204"/>
      <c r="QKA21" s="204"/>
      <c r="QKB21" s="204"/>
      <c r="QKC21" s="204"/>
      <c r="QKD21" s="204"/>
      <c r="QKE21" s="204"/>
      <c r="QKF21" s="204"/>
      <c r="QKG21" s="204"/>
      <c r="QKH21" s="204"/>
      <c r="QKI21" s="204"/>
      <c r="QKJ21" s="204"/>
      <c r="QKK21" s="204"/>
      <c r="QKL21" s="204"/>
      <c r="QKM21" s="204"/>
      <c r="QKN21" s="204"/>
      <c r="QKO21" s="204"/>
      <c r="QKP21" s="204"/>
      <c r="QKQ21" s="204"/>
      <c r="QKR21" s="204"/>
      <c r="QKS21" s="204"/>
      <c r="QKT21" s="204"/>
      <c r="QKU21" s="204"/>
      <c r="QKV21" s="204"/>
      <c r="QKW21" s="204"/>
      <c r="QKX21" s="204"/>
      <c r="QKY21" s="204"/>
      <c r="QKZ21" s="204"/>
      <c r="QLA21" s="204"/>
      <c r="QLB21" s="204"/>
      <c r="QLC21" s="204"/>
      <c r="QLD21" s="204"/>
      <c r="QLE21" s="204"/>
      <c r="QLF21" s="204"/>
      <c r="QLG21" s="204"/>
      <c r="QLH21" s="204"/>
      <c r="QLI21" s="204"/>
      <c r="QLJ21" s="204"/>
      <c r="QLK21" s="204"/>
      <c r="QLL21" s="204"/>
      <c r="QLM21" s="204"/>
      <c r="QLN21" s="204"/>
      <c r="QLO21" s="204"/>
      <c r="QLP21" s="204"/>
      <c r="QLQ21" s="204"/>
      <c r="QLR21" s="204"/>
      <c r="QLS21" s="204"/>
      <c r="QLT21" s="204"/>
      <c r="QLU21" s="204"/>
      <c r="QLV21" s="204"/>
      <c r="QLW21" s="204"/>
      <c r="QLX21" s="204"/>
      <c r="QLY21" s="204"/>
      <c r="QLZ21" s="204"/>
      <c r="QMA21" s="204"/>
      <c r="QMB21" s="204"/>
      <c r="QMC21" s="204"/>
      <c r="QMD21" s="204"/>
      <c r="QME21" s="204"/>
      <c r="QMF21" s="204"/>
      <c r="QMG21" s="204"/>
      <c r="QMH21" s="204"/>
      <c r="QMI21" s="204"/>
      <c r="QMJ21" s="204"/>
      <c r="QMK21" s="204"/>
      <c r="QML21" s="204"/>
      <c r="QMM21" s="204"/>
      <c r="QMN21" s="204"/>
      <c r="QMO21" s="204"/>
      <c r="QMP21" s="204"/>
      <c r="QMQ21" s="204"/>
      <c r="QMR21" s="204"/>
      <c r="QMS21" s="204"/>
      <c r="QMT21" s="204"/>
      <c r="QMU21" s="204"/>
      <c r="QMV21" s="204"/>
      <c r="QMW21" s="204"/>
      <c r="QMX21" s="204"/>
      <c r="QMY21" s="204"/>
      <c r="QMZ21" s="204"/>
      <c r="QNA21" s="204"/>
      <c r="QNB21" s="204"/>
      <c r="QNC21" s="204"/>
      <c r="QND21" s="204"/>
      <c r="QNE21" s="204"/>
      <c r="QNF21" s="204"/>
      <c r="QNG21" s="204"/>
      <c r="QNH21" s="204"/>
      <c r="QNI21" s="204"/>
      <c r="QNJ21" s="204"/>
      <c r="QNK21" s="204"/>
      <c r="QNL21" s="204"/>
      <c r="QNM21" s="204"/>
      <c r="QNN21" s="204"/>
      <c r="QNO21" s="204"/>
      <c r="QNP21" s="204"/>
      <c r="QNQ21" s="204"/>
      <c r="QNR21" s="204"/>
      <c r="QNS21" s="204"/>
      <c r="QNT21" s="204"/>
      <c r="QNU21" s="204"/>
      <c r="QNV21" s="204"/>
      <c r="QNW21" s="204"/>
      <c r="QNX21" s="204"/>
      <c r="QNY21" s="204"/>
      <c r="QNZ21" s="204"/>
      <c r="QOA21" s="204"/>
      <c r="QOB21" s="204"/>
      <c r="QOC21" s="204"/>
      <c r="QOD21" s="204"/>
      <c r="QOE21" s="204"/>
      <c r="QOF21" s="204"/>
      <c r="QOG21" s="204"/>
      <c r="QOH21" s="204"/>
      <c r="QOI21" s="204"/>
      <c r="QOJ21" s="204"/>
      <c r="QOK21" s="204"/>
      <c r="QOL21" s="204"/>
      <c r="QOM21" s="204"/>
      <c r="QON21" s="204"/>
      <c r="QOO21" s="204"/>
      <c r="QOP21" s="204"/>
      <c r="QOQ21" s="204"/>
      <c r="QOR21" s="204"/>
      <c r="QOS21" s="204"/>
      <c r="QOT21" s="204"/>
      <c r="QOU21" s="204"/>
      <c r="QOV21" s="204"/>
      <c r="QOW21" s="204"/>
      <c r="QOX21" s="204"/>
      <c r="QOY21" s="204"/>
      <c r="QOZ21" s="204"/>
      <c r="QPA21" s="204"/>
      <c r="QPB21" s="204"/>
      <c r="QPC21" s="204"/>
      <c r="QPD21" s="204"/>
      <c r="QPE21" s="204"/>
      <c r="QPF21" s="204"/>
      <c r="QPG21" s="204"/>
      <c r="QPH21" s="204"/>
      <c r="QPI21" s="204"/>
      <c r="QPJ21" s="204"/>
      <c r="QPK21" s="204"/>
      <c r="QPL21" s="204"/>
      <c r="QPM21" s="204"/>
      <c r="QPN21" s="204"/>
      <c r="QPO21" s="204"/>
      <c r="QPP21" s="204"/>
      <c r="QPQ21" s="204"/>
      <c r="QPR21" s="204"/>
      <c r="QPS21" s="204"/>
      <c r="QPT21" s="204"/>
      <c r="QPU21" s="204"/>
      <c r="QPV21" s="204"/>
      <c r="QPW21" s="204"/>
      <c r="QPX21" s="204"/>
      <c r="QPY21" s="204"/>
      <c r="QPZ21" s="204"/>
      <c r="QQA21" s="204"/>
      <c r="QQB21" s="204"/>
      <c r="QQC21" s="204"/>
      <c r="QQD21" s="204"/>
      <c r="QQE21" s="204"/>
      <c r="QQF21" s="204"/>
      <c r="QQG21" s="204"/>
      <c r="QQH21" s="204"/>
      <c r="QQI21" s="204"/>
      <c r="QQJ21" s="204"/>
      <c r="QQK21" s="204"/>
      <c r="QQL21" s="204"/>
      <c r="QQM21" s="204"/>
      <c r="QQN21" s="204"/>
      <c r="QQO21" s="204"/>
      <c r="QQP21" s="204"/>
      <c r="QQQ21" s="204"/>
      <c r="QQR21" s="204"/>
      <c r="QQS21" s="204"/>
      <c r="QQT21" s="204"/>
      <c r="QQU21" s="204"/>
      <c r="QQV21" s="204"/>
      <c r="QQW21" s="204"/>
      <c r="QQX21" s="204"/>
      <c r="QQY21" s="204"/>
      <c r="QQZ21" s="204"/>
      <c r="QRA21" s="204"/>
      <c r="QRB21" s="204"/>
      <c r="QRC21" s="204"/>
      <c r="QRD21" s="204"/>
      <c r="QRE21" s="204"/>
      <c r="QRF21" s="204"/>
      <c r="QRG21" s="204"/>
      <c r="QRH21" s="204"/>
      <c r="QRI21" s="204"/>
      <c r="QRJ21" s="204"/>
      <c r="QRK21" s="204"/>
      <c r="QRL21" s="204"/>
      <c r="QRM21" s="204"/>
      <c r="QRN21" s="204"/>
      <c r="QRO21" s="204"/>
      <c r="QRP21" s="204"/>
      <c r="QRQ21" s="204"/>
      <c r="QRR21" s="204"/>
      <c r="QRS21" s="204"/>
      <c r="QRT21" s="204"/>
      <c r="QRU21" s="204"/>
      <c r="QRV21" s="204"/>
      <c r="QRW21" s="204"/>
      <c r="QRX21" s="204"/>
      <c r="QRY21" s="204"/>
      <c r="QRZ21" s="204"/>
      <c r="QSA21" s="204"/>
      <c r="QSB21" s="204"/>
      <c r="QSC21" s="204"/>
      <c r="QSD21" s="204"/>
      <c r="QSE21" s="204"/>
      <c r="QSF21" s="204"/>
      <c r="QSG21" s="204"/>
      <c r="QSH21" s="204"/>
      <c r="QSI21" s="204"/>
      <c r="QSJ21" s="204"/>
      <c r="QSK21" s="204"/>
      <c r="QSL21" s="204"/>
      <c r="QSM21" s="204"/>
      <c r="QSN21" s="204"/>
      <c r="QSO21" s="204"/>
      <c r="QSP21" s="204"/>
      <c r="QSQ21" s="204"/>
      <c r="QSR21" s="204"/>
      <c r="QSS21" s="204"/>
      <c r="QST21" s="204"/>
      <c r="QSU21" s="204"/>
      <c r="QSV21" s="204"/>
      <c r="QSW21" s="204"/>
      <c r="QSX21" s="204"/>
      <c r="QSY21" s="204"/>
      <c r="QSZ21" s="204"/>
      <c r="QTA21" s="204"/>
      <c r="QTB21" s="204"/>
      <c r="QTC21" s="204"/>
      <c r="QTD21" s="204"/>
      <c r="QTE21" s="204"/>
      <c r="QTF21" s="204"/>
      <c r="QTG21" s="204"/>
      <c r="QTH21" s="204"/>
      <c r="QTI21" s="204"/>
      <c r="QTJ21" s="204"/>
      <c r="QTK21" s="204"/>
      <c r="QTL21" s="204"/>
      <c r="QTM21" s="204"/>
      <c r="QTN21" s="204"/>
      <c r="QTO21" s="204"/>
      <c r="QTP21" s="204"/>
      <c r="QTQ21" s="204"/>
      <c r="QTR21" s="204"/>
      <c r="QTS21" s="204"/>
      <c r="QTT21" s="204"/>
      <c r="QTU21" s="204"/>
      <c r="QTV21" s="204"/>
      <c r="QTW21" s="204"/>
      <c r="QTX21" s="204"/>
      <c r="QTY21" s="204"/>
      <c r="QTZ21" s="204"/>
      <c r="QUA21" s="204"/>
      <c r="QUB21" s="204"/>
      <c r="QUC21" s="204"/>
      <c r="QUD21" s="204"/>
      <c r="QUE21" s="204"/>
      <c r="QUF21" s="204"/>
      <c r="QUG21" s="204"/>
      <c r="QUH21" s="204"/>
      <c r="QUI21" s="204"/>
      <c r="QUJ21" s="204"/>
      <c r="QUK21" s="204"/>
      <c r="QUL21" s="204"/>
      <c r="QUM21" s="204"/>
      <c r="QUN21" s="204"/>
      <c r="QUO21" s="204"/>
      <c r="QUP21" s="204"/>
      <c r="QUQ21" s="204"/>
      <c r="QUR21" s="204"/>
      <c r="QUS21" s="204"/>
      <c r="QUT21" s="204"/>
      <c r="QUU21" s="204"/>
      <c r="QUV21" s="204"/>
      <c r="QUW21" s="204"/>
      <c r="QUX21" s="204"/>
      <c r="QUY21" s="204"/>
      <c r="QUZ21" s="204"/>
      <c r="QVA21" s="204"/>
      <c r="QVB21" s="204"/>
      <c r="QVC21" s="204"/>
      <c r="QVD21" s="204"/>
      <c r="QVE21" s="204"/>
      <c r="QVF21" s="204"/>
      <c r="QVG21" s="204"/>
      <c r="QVH21" s="204"/>
      <c r="QVI21" s="204"/>
      <c r="QVJ21" s="204"/>
      <c r="QVK21" s="204"/>
      <c r="QVL21" s="204"/>
      <c r="QVM21" s="204"/>
      <c r="QVN21" s="204"/>
      <c r="QVO21" s="204"/>
      <c r="QVP21" s="204"/>
      <c r="QVQ21" s="204"/>
      <c r="QVR21" s="204"/>
      <c r="QVS21" s="204"/>
      <c r="QVT21" s="204"/>
      <c r="QVU21" s="204"/>
      <c r="QVV21" s="204"/>
      <c r="QVW21" s="204"/>
      <c r="QVX21" s="204"/>
      <c r="QVY21" s="204"/>
      <c r="QVZ21" s="204"/>
      <c r="QWA21" s="204"/>
      <c r="QWB21" s="204"/>
      <c r="QWC21" s="204"/>
      <c r="QWD21" s="204"/>
      <c r="QWE21" s="204"/>
      <c r="QWF21" s="204"/>
      <c r="QWG21" s="204"/>
      <c r="QWH21" s="204"/>
      <c r="QWI21" s="204"/>
      <c r="QWJ21" s="204"/>
      <c r="QWK21" s="204"/>
      <c r="QWL21" s="204"/>
      <c r="QWM21" s="204"/>
      <c r="QWN21" s="204"/>
      <c r="QWO21" s="204"/>
      <c r="QWP21" s="204"/>
      <c r="QWQ21" s="204"/>
      <c r="QWR21" s="204"/>
      <c r="QWS21" s="204"/>
      <c r="QWT21" s="204"/>
      <c r="QWU21" s="204"/>
      <c r="QWV21" s="204"/>
      <c r="QWW21" s="204"/>
      <c r="QWX21" s="204"/>
      <c r="QWY21" s="204"/>
      <c r="QWZ21" s="204"/>
      <c r="QXA21" s="204"/>
      <c r="QXB21" s="204"/>
      <c r="QXC21" s="204"/>
      <c r="QXD21" s="204"/>
      <c r="QXE21" s="204"/>
      <c r="QXF21" s="204"/>
      <c r="QXG21" s="204"/>
      <c r="QXH21" s="204"/>
      <c r="QXI21" s="204"/>
      <c r="QXJ21" s="204"/>
      <c r="QXK21" s="204"/>
      <c r="QXL21" s="204"/>
      <c r="QXM21" s="204"/>
      <c r="QXN21" s="204"/>
      <c r="QXO21" s="204"/>
      <c r="QXP21" s="204"/>
      <c r="QXQ21" s="204"/>
      <c r="QXR21" s="204"/>
      <c r="QXS21" s="204"/>
      <c r="QXT21" s="204"/>
      <c r="QXU21" s="204"/>
      <c r="QXV21" s="204"/>
      <c r="QXW21" s="204"/>
      <c r="QXX21" s="204"/>
      <c r="QXY21" s="204"/>
      <c r="QXZ21" s="204"/>
      <c r="QYA21" s="204"/>
      <c r="QYB21" s="204"/>
      <c r="QYC21" s="204"/>
      <c r="QYD21" s="204"/>
      <c r="QYE21" s="204"/>
      <c r="QYF21" s="204"/>
      <c r="QYG21" s="204"/>
      <c r="QYH21" s="204"/>
      <c r="QYI21" s="204"/>
      <c r="QYJ21" s="204"/>
      <c r="QYK21" s="204"/>
      <c r="QYL21" s="204"/>
      <c r="QYM21" s="204"/>
      <c r="QYN21" s="204"/>
      <c r="QYO21" s="204"/>
      <c r="QYP21" s="204"/>
      <c r="QYQ21" s="204"/>
      <c r="QYR21" s="204"/>
      <c r="QYS21" s="204"/>
      <c r="QYT21" s="204"/>
      <c r="QYU21" s="204"/>
      <c r="QYV21" s="204"/>
      <c r="QYW21" s="204"/>
      <c r="QYX21" s="204"/>
      <c r="QYY21" s="204"/>
      <c r="QYZ21" s="204"/>
      <c r="QZA21" s="204"/>
      <c r="QZB21" s="204"/>
      <c r="QZC21" s="204"/>
      <c r="QZD21" s="204"/>
      <c r="QZE21" s="204"/>
      <c r="QZF21" s="204"/>
      <c r="QZG21" s="204"/>
      <c r="QZH21" s="204"/>
      <c r="QZI21" s="204"/>
      <c r="QZJ21" s="204"/>
      <c r="QZK21" s="204"/>
      <c r="QZL21" s="204"/>
      <c r="QZM21" s="204"/>
      <c r="QZN21" s="204"/>
      <c r="QZO21" s="204"/>
      <c r="QZP21" s="204"/>
      <c r="QZQ21" s="204"/>
      <c r="QZR21" s="204"/>
      <c r="QZS21" s="204"/>
      <c r="QZT21" s="204"/>
      <c r="QZU21" s="204"/>
      <c r="QZV21" s="204"/>
      <c r="QZW21" s="204"/>
      <c r="QZX21" s="204"/>
      <c r="QZY21" s="204"/>
      <c r="QZZ21" s="204"/>
      <c r="RAA21" s="204"/>
      <c r="RAB21" s="204"/>
      <c r="RAC21" s="204"/>
      <c r="RAD21" s="204"/>
      <c r="RAE21" s="204"/>
      <c r="RAF21" s="204"/>
      <c r="RAG21" s="204"/>
      <c r="RAH21" s="204"/>
      <c r="RAI21" s="204"/>
      <c r="RAJ21" s="204"/>
      <c r="RAK21" s="204"/>
      <c r="RAL21" s="204"/>
      <c r="RAM21" s="204"/>
      <c r="RAN21" s="204"/>
      <c r="RAO21" s="204"/>
      <c r="RAP21" s="204"/>
      <c r="RAQ21" s="204"/>
      <c r="RAR21" s="204"/>
      <c r="RAS21" s="204"/>
      <c r="RAT21" s="204"/>
      <c r="RAU21" s="204"/>
      <c r="RAV21" s="204"/>
      <c r="RAW21" s="204"/>
      <c r="RAX21" s="204"/>
      <c r="RAY21" s="204"/>
      <c r="RAZ21" s="204"/>
      <c r="RBA21" s="204"/>
      <c r="RBB21" s="204"/>
      <c r="RBC21" s="204"/>
      <c r="RBD21" s="204"/>
      <c r="RBE21" s="204"/>
      <c r="RBF21" s="204"/>
      <c r="RBG21" s="204"/>
      <c r="RBH21" s="204"/>
      <c r="RBI21" s="204"/>
      <c r="RBJ21" s="204"/>
      <c r="RBK21" s="204"/>
      <c r="RBL21" s="204"/>
      <c r="RBM21" s="204"/>
      <c r="RBN21" s="204"/>
      <c r="RBO21" s="204"/>
      <c r="RBP21" s="204"/>
      <c r="RBQ21" s="204"/>
      <c r="RBR21" s="204"/>
      <c r="RBS21" s="204"/>
      <c r="RBT21" s="204"/>
      <c r="RBU21" s="204"/>
      <c r="RBV21" s="204"/>
      <c r="RBW21" s="204"/>
      <c r="RBX21" s="204"/>
      <c r="RBY21" s="204"/>
      <c r="RBZ21" s="204"/>
      <c r="RCA21" s="204"/>
      <c r="RCB21" s="204"/>
      <c r="RCC21" s="204"/>
      <c r="RCD21" s="204"/>
      <c r="RCE21" s="204"/>
      <c r="RCF21" s="204"/>
      <c r="RCG21" s="204"/>
      <c r="RCH21" s="204"/>
      <c r="RCI21" s="204"/>
      <c r="RCJ21" s="204"/>
      <c r="RCK21" s="204"/>
      <c r="RCL21" s="204"/>
      <c r="RCM21" s="204"/>
      <c r="RCN21" s="204"/>
      <c r="RCO21" s="204"/>
      <c r="RCP21" s="204"/>
      <c r="RCQ21" s="204"/>
      <c r="RCR21" s="204"/>
      <c r="RCS21" s="204"/>
      <c r="RCT21" s="204"/>
      <c r="RCU21" s="204"/>
      <c r="RCV21" s="204"/>
      <c r="RCW21" s="204"/>
      <c r="RCX21" s="204"/>
      <c r="RCY21" s="204"/>
      <c r="RCZ21" s="204"/>
      <c r="RDA21" s="204"/>
      <c r="RDB21" s="204"/>
      <c r="RDC21" s="204"/>
      <c r="RDD21" s="204"/>
      <c r="RDE21" s="204"/>
      <c r="RDF21" s="204"/>
      <c r="RDG21" s="204"/>
      <c r="RDH21" s="204"/>
      <c r="RDI21" s="204"/>
      <c r="RDJ21" s="204"/>
      <c r="RDK21" s="204"/>
      <c r="RDL21" s="204"/>
      <c r="RDM21" s="204"/>
      <c r="RDN21" s="204"/>
      <c r="RDO21" s="204"/>
      <c r="RDP21" s="204"/>
      <c r="RDQ21" s="204"/>
      <c r="RDR21" s="204"/>
      <c r="RDS21" s="204"/>
      <c r="RDT21" s="204"/>
      <c r="RDU21" s="204"/>
      <c r="RDV21" s="204"/>
      <c r="RDW21" s="204"/>
      <c r="RDX21" s="204"/>
      <c r="RDY21" s="204"/>
      <c r="RDZ21" s="204"/>
      <c r="REA21" s="204"/>
      <c r="REB21" s="204"/>
      <c r="REC21" s="204"/>
      <c r="RED21" s="204"/>
      <c r="REE21" s="204"/>
      <c r="REF21" s="204"/>
      <c r="REG21" s="204"/>
      <c r="REH21" s="204"/>
      <c r="REI21" s="204"/>
      <c r="REJ21" s="204"/>
      <c r="REK21" s="204"/>
      <c r="REL21" s="204"/>
      <c r="REM21" s="204"/>
      <c r="REN21" s="204"/>
      <c r="REO21" s="204"/>
      <c r="REP21" s="204"/>
      <c r="REQ21" s="204"/>
      <c r="RER21" s="204"/>
      <c r="RES21" s="204"/>
      <c r="RET21" s="204"/>
      <c r="REU21" s="204"/>
      <c r="REV21" s="204"/>
      <c r="REW21" s="204"/>
      <c r="REX21" s="204"/>
      <c r="REY21" s="204"/>
      <c r="REZ21" s="204"/>
      <c r="RFA21" s="204"/>
      <c r="RFB21" s="204"/>
      <c r="RFC21" s="204"/>
      <c r="RFD21" s="204"/>
      <c r="RFE21" s="204"/>
      <c r="RFF21" s="204"/>
      <c r="RFG21" s="204"/>
      <c r="RFH21" s="204"/>
      <c r="RFI21" s="204"/>
      <c r="RFJ21" s="204"/>
      <c r="RFK21" s="204"/>
      <c r="RFL21" s="204"/>
      <c r="RFM21" s="204"/>
      <c r="RFN21" s="204"/>
      <c r="RFO21" s="204"/>
      <c r="RFP21" s="204"/>
      <c r="RFQ21" s="204"/>
      <c r="RFR21" s="204"/>
      <c r="RFS21" s="204"/>
      <c r="RFT21" s="204"/>
      <c r="RFU21" s="204"/>
      <c r="RFV21" s="204"/>
      <c r="RFW21" s="204"/>
      <c r="RFX21" s="204"/>
      <c r="RFY21" s="204"/>
      <c r="RFZ21" s="204"/>
      <c r="RGA21" s="204"/>
      <c r="RGB21" s="204"/>
      <c r="RGC21" s="204"/>
      <c r="RGD21" s="204"/>
      <c r="RGE21" s="204"/>
      <c r="RGF21" s="204"/>
      <c r="RGG21" s="204"/>
      <c r="RGH21" s="204"/>
      <c r="RGI21" s="204"/>
      <c r="RGJ21" s="204"/>
      <c r="RGK21" s="204"/>
      <c r="RGL21" s="204"/>
      <c r="RGM21" s="204"/>
      <c r="RGN21" s="204"/>
      <c r="RGO21" s="204"/>
      <c r="RGP21" s="204"/>
      <c r="RGQ21" s="204"/>
      <c r="RGR21" s="204"/>
      <c r="RGS21" s="204"/>
      <c r="RGT21" s="204"/>
      <c r="RGU21" s="204"/>
      <c r="RGV21" s="204"/>
      <c r="RGW21" s="204"/>
      <c r="RGX21" s="204"/>
      <c r="RGY21" s="204"/>
      <c r="RGZ21" s="204"/>
      <c r="RHA21" s="204"/>
      <c r="RHB21" s="204"/>
      <c r="RHC21" s="204"/>
      <c r="RHD21" s="204"/>
      <c r="RHE21" s="204"/>
      <c r="RHF21" s="204"/>
      <c r="RHG21" s="204"/>
      <c r="RHH21" s="204"/>
      <c r="RHI21" s="204"/>
      <c r="RHJ21" s="204"/>
      <c r="RHK21" s="204"/>
      <c r="RHL21" s="204"/>
      <c r="RHM21" s="204"/>
      <c r="RHN21" s="204"/>
      <c r="RHO21" s="204"/>
      <c r="RHP21" s="204"/>
      <c r="RHQ21" s="204"/>
      <c r="RHR21" s="204"/>
      <c r="RHS21" s="204"/>
      <c r="RHT21" s="204"/>
      <c r="RHU21" s="204"/>
      <c r="RHV21" s="204"/>
      <c r="RHW21" s="204"/>
      <c r="RHX21" s="204"/>
      <c r="RHY21" s="204"/>
      <c r="RHZ21" s="204"/>
      <c r="RIA21" s="204"/>
      <c r="RIB21" s="204"/>
      <c r="RIC21" s="204"/>
      <c r="RID21" s="204"/>
      <c r="RIE21" s="204"/>
      <c r="RIF21" s="204"/>
      <c r="RIG21" s="204"/>
      <c r="RIH21" s="204"/>
      <c r="RII21" s="204"/>
      <c r="RIJ21" s="204"/>
      <c r="RIK21" s="204"/>
      <c r="RIL21" s="204"/>
      <c r="RIM21" s="204"/>
      <c r="RIN21" s="204"/>
      <c r="RIO21" s="204"/>
      <c r="RIP21" s="204"/>
      <c r="RIQ21" s="204"/>
      <c r="RIR21" s="204"/>
      <c r="RIS21" s="204"/>
      <c r="RIT21" s="204"/>
      <c r="RIU21" s="204"/>
      <c r="RIV21" s="204"/>
      <c r="RIW21" s="204"/>
      <c r="RIX21" s="204"/>
      <c r="RIY21" s="204"/>
      <c r="RIZ21" s="204"/>
      <c r="RJA21" s="204"/>
      <c r="RJB21" s="204"/>
      <c r="RJC21" s="204"/>
      <c r="RJD21" s="204"/>
      <c r="RJE21" s="204"/>
      <c r="RJF21" s="204"/>
      <c r="RJG21" s="204"/>
      <c r="RJH21" s="204"/>
      <c r="RJI21" s="204"/>
      <c r="RJJ21" s="204"/>
      <c r="RJK21" s="204"/>
      <c r="RJL21" s="204"/>
      <c r="RJM21" s="204"/>
      <c r="RJN21" s="204"/>
      <c r="RJO21" s="204"/>
      <c r="RJP21" s="204"/>
      <c r="RJQ21" s="204"/>
      <c r="RJR21" s="204"/>
      <c r="RJS21" s="204"/>
      <c r="RJT21" s="204"/>
      <c r="RJU21" s="204"/>
      <c r="RJV21" s="204"/>
      <c r="RJW21" s="204"/>
      <c r="RJX21" s="204"/>
      <c r="RJY21" s="204"/>
      <c r="RJZ21" s="204"/>
      <c r="RKA21" s="204"/>
      <c r="RKB21" s="204"/>
      <c r="RKC21" s="204"/>
      <c r="RKD21" s="204"/>
      <c r="RKE21" s="204"/>
      <c r="RKF21" s="204"/>
      <c r="RKG21" s="204"/>
      <c r="RKH21" s="204"/>
      <c r="RKI21" s="204"/>
      <c r="RKJ21" s="204"/>
      <c r="RKK21" s="204"/>
      <c r="RKL21" s="204"/>
      <c r="RKM21" s="204"/>
      <c r="RKN21" s="204"/>
      <c r="RKO21" s="204"/>
      <c r="RKP21" s="204"/>
      <c r="RKQ21" s="204"/>
      <c r="RKR21" s="204"/>
      <c r="RKS21" s="204"/>
      <c r="RKT21" s="204"/>
      <c r="RKU21" s="204"/>
      <c r="RKV21" s="204"/>
      <c r="RKW21" s="204"/>
      <c r="RKX21" s="204"/>
      <c r="RKY21" s="204"/>
      <c r="RKZ21" s="204"/>
      <c r="RLA21" s="204"/>
      <c r="RLB21" s="204"/>
      <c r="RLC21" s="204"/>
      <c r="RLD21" s="204"/>
      <c r="RLE21" s="204"/>
      <c r="RLF21" s="204"/>
      <c r="RLG21" s="204"/>
      <c r="RLH21" s="204"/>
      <c r="RLI21" s="204"/>
      <c r="RLJ21" s="204"/>
      <c r="RLK21" s="204"/>
      <c r="RLL21" s="204"/>
      <c r="RLM21" s="204"/>
      <c r="RLN21" s="204"/>
      <c r="RLO21" s="204"/>
      <c r="RLP21" s="204"/>
      <c r="RLQ21" s="204"/>
      <c r="RLR21" s="204"/>
      <c r="RLS21" s="204"/>
      <c r="RLT21" s="204"/>
      <c r="RLU21" s="204"/>
      <c r="RLV21" s="204"/>
      <c r="RLW21" s="204"/>
      <c r="RLX21" s="204"/>
      <c r="RLY21" s="204"/>
      <c r="RLZ21" s="204"/>
      <c r="RMA21" s="204"/>
      <c r="RMB21" s="204"/>
      <c r="RMC21" s="204"/>
      <c r="RMD21" s="204"/>
      <c r="RME21" s="204"/>
      <c r="RMF21" s="204"/>
      <c r="RMG21" s="204"/>
      <c r="RMH21" s="204"/>
      <c r="RMI21" s="204"/>
      <c r="RMJ21" s="204"/>
      <c r="RMK21" s="204"/>
      <c r="RML21" s="204"/>
      <c r="RMM21" s="204"/>
      <c r="RMN21" s="204"/>
      <c r="RMO21" s="204"/>
      <c r="RMP21" s="204"/>
      <c r="RMQ21" s="204"/>
      <c r="RMR21" s="204"/>
      <c r="RMS21" s="204"/>
      <c r="RMT21" s="204"/>
      <c r="RMU21" s="204"/>
      <c r="RMV21" s="204"/>
      <c r="RMW21" s="204"/>
      <c r="RMX21" s="204"/>
      <c r="RMY21" s="204"/>
      <c r="RMZ21" s="204"/>
      <c r="RNA21" s="204"/>
      <c r="RNB21" s="204"/>
      <c r="RNC21" s="204"/>
      <c r="RND21" s="204"/>
      <c r="RNE21" s="204"/>
      <c r="RNF21" s="204"/>
      <c r="RNG21" s="204"/>
      <c r="RNH21" s="204"/>
      <c r="RNI21" s="204"/>
      <c r="RNJ21" s="204"/>
      <c r="RNK21" s="204"/>
      <c r="RNL21" s="204"/>
      <c r="RNM21" s="204"/>
      <c r="RNN21" s="204"/>
      <c r="RNO21" s="204"/>
      <c r="RNP21" s="204"/>
      <c r="RNQ21" s="204"/>
      <c r="RNR21" s="204"/>
      <c r="RNS21" s="204"/>
      <c r="RNT21" s="204"/>
      <c r="RNU21" s="204"/>
      <c r="RNV21" s="204"/>
      <c r="RNW21" s="204"/>
      <c r="RNX21" s="204"/>
      <c r="RNY21" s="204"/>
      <c r="RNZ21" s="204"/>
      <c r="ROA21" s="204"/>
      <c r="ROB21" s="204"/>
      <c r="ROC21" s="204"/>
      <c r="ROD21" s="204"/>
      <c r="ROE21" s="204"/>
      <c r="ROF21" s="204"/>
      <c r="ROG21" s="204"/>
      <c r="ROH21" s="204"/>
      <c r="ROI21" s="204"/>
      <c r="ROJ21" s="204"/>
      <c r="ROK21" s="204"/>
      <c r="ROL21" s="204"/>
      <c r="ROM21" s="204"/>
      <c r="RON21" s="204"/>
      <c r="ROO21" s="204"/>
      <c r="ROP21" s="204"/>
      <c r="ROQ21" s="204"/>
      <c r="ROR21" s="204"/>
      <c r="ROS21" s="204"/>
      <c r="ROT21" s="204"/>
      <c r="ROU21" s="204"/>
      <c r="ROV21" s="204"/>
      <c r="ROW21" s="204"/>
      <c r="ROX21" s="204"/>
      <c r="ROY21" s="204"/>
      <c r="ROZ21" s="204"/>
      <c r="RPA21" s="204"/>
      <c r="RPB21" s="204"/>
      <c r="RPC21" s="204"/>
      <c r="RPD21" s="204"/>
      <c r="RPE21" s="204"/>
      <c r="RPF21" s="204"/>
      <c r="RPG21" s="204"/>
      <c r="RPH21" s="204"/>
      <c r="RPI21" s="204"/>
      <c r="RPJ21" s="204"/>
      <c r="RPK21" s="204"/>
      <c r="RPL21" s="204"/>
      <c r="RPM21" s="204"/>
      <c r="RPN21" s="204"/>
      <c r="RPO21" s="204"/>
      <c r="RPP21" s="204"/>
      <c r="RPQ21" s="204"/>
      <c r="RPR21" s="204"/>
      <c r="RPS21" s="204"/>
      <c r="RPT21" s="204"/>
      <c r="RPU21" s="204"/>
      <c r="RPV21" s="204"/>
      <c r="RPW21" s="204"/>
      <c r="RPX21" s="204"/>
      <c r="RPY21" s="204"/>
      <c r="RPZ21" s="204"/>
      <c r="RQA21" s="204"/>
      <c r="RQB21" s="204"/>
      <c r="RQC21" s="204"/>
      <c r="RQD21" s="204"/>
      <c r="RQE21" s="204"/>
      <c r="RQF21" s="204"/>
      <c r="RQG21" s="204"/>
      <c r="RQH21" s="204"/>
      <c r="RQI21" s="204"/>
      <c r="RQJ21" s="204"/>
      <c r="RQK21" s="204"/>
      <c r="RQL21" s="204"/>
      <c r="RQM21" s="204"/>
      <c r="RQN21" s="204"/>
      <c r="RQO21" s="204"/>
      <c r="RQP21" s="204"/>
      <c r="RQQ21" s="204"/>
      <c r="RQR21" s="204"/>
      <c r="RQS21" s="204"/>
      <c r="RQT21" s="204"/>
      <c r="RQU21" s="204"/>
      <c r="RQV21" s="204"/>
      <c r="RQW21" s="204"/>
      <c r="RQX21" s="204"/>
      <c r="RQY21" s="204"/>
      <c r="RQZ21" s="204"/>
      <c r="RRA21" s="204"/>
      <c r="RRB21" s="204"/>
      <c r="RRC21" s="204"/>
      <c r="RRD21" s="204"/>
      <c r="RRE21" s="204"/>
      <c r="RRF21" s="204"/>
      <c r="RRG21" s="204"/>
      <c r="RRH21" s="204"/>
      <c r="RRI21" s="204"/>
      <c r="RRJ21" s="204"/>
      <c r="RRK21" s="204"/>
      <c r="RRL21" s="204"/>
      <c r="RRM21" s="204"/>
      <c r="RRN21" s="204"/>
      <c r="RRO21" s="204"/>
      <c r="RRP21" s="204"/>
      <c r="RRQ21" s="204"/>
      <c r="RRR21" s="204"/>
      <c r="RRS21" s="204"/>
      <c r="RRT21" s="204"/>
      <c r="RRU21" s="204"/>
      <c r="RRV21" s="204"/>
      <c r="RRW21" s="204"/>
      <c r="RRX21" s="204"/>
      <c r="RRY21" s="204"/>
      <c r="RRZ21" s="204"/>
      <c r="RSA21" s="204"/>
      <c r="RSB21" s="204"/>
      <c r="RSC21" s="204"/>
      <c r="RSD21" s="204"/>
      <c r="RSE21" s="204"/>
      <c r="RSF21" s="204"/>
      <c r="RSG21" s="204"/>
      <c r="RSH21" s="204"/>
      <c r="RSI21" s="204"/>
      <c r="RSJ21" s="204"/>
      <c r="RSK21" s="204"/>
      <c r="RSL21" s="204"/>
      <c r="RSM21" s="204"/>
      <c r="RSN21" s="204"/>
      <c r="RSO21" s="204"/>
      <c r="RSP21" s="204"/>
      <c r="RSQ21" s="204"/>
      <c r="RSR21" s="204"/>
      <c r="RSS21" s="204"/>
      <c r="RST21" s="204"/>
      <c r="RSU21" s="204"/>
      <c r="RSV21" s="204"/>
      <c r="RSW21" s="204"/>
      <c r="RSX21" s="204"/>
      <c r="RSY21" s="204"/>
      <c r="RSZ21" s="204"/>
      <c r="RTA21" s="204"/>
      <c r="RTB21" s="204"/>
      <c r="RTC21" s="204"/>
      <c r="RTD21" s="204"/>
      <c r="RTE21" s="204"/>
      <c r="RTF21" s="204"/>
      <c r="RTG21" s="204"/>
      <c r="RTH21" s="204"/>
      <c r="RTI21" s="204"/>
      <c r="RTJ21" s="204"/>
      <c r="RTK21" s="204"/>
      <c r="RTL21" s="204"/>
      <c r="RTM21" s="204"/>
      <c r="RTN21" s="204"/>
      <c r="RTO21" s="204"/>
      <c r="RTP21" s="204"/>
      <c r="RTQ21" s="204"/>
      <c r="RTR21" s="204"/>
      <c r="RTS21" s="204"/>
      <c r="RTT21" s="204"/>
      <c r="RTU21" s="204"/>
      <c r="RTV21" s="204"/>
      <c r="RTW21" s="204"/>
      <c r="RTX21" s="204"/>
      <c r="RTY21" s="204"/>
      <c r="RTZ21" s="204"/>
      <c r="RUA21" s="204"/>
      <c r="RUB21" s="204"/>
      <c r="RUC21" s="204"/>
      <c r="RUD21" s="204"/>
      <c r="RUE21" s="204"/>
      <c r="RUF21" s="204"/>
      <c r="RUG21" s="204"/>
      <c r="RUH21" s="204"/>
      <c r="RUI21" s="204"/>
      <c r="RUJ21" s="204"/>
      <c r="RUK21" s="204"/>
      <c r="RUL21" s="204"/>
      <c r="RUM21" s="204"/>
      <c r="RUN21" s="204"/>
      <c r="RUO21" s="204"/>
      <c r="RUP21" s="204"/>
      <c r="RUQ21" s="204"/>
      <c r="RUR21" s="204"/>
      <c r="RUS21" s="204"/>
      <c r="RUT21" s="204"/>
      <c r="RUU21" s="204"/>
      <c r="RUV21" s="204"/>
      <c r="RUW21" s="204"/>
      <c r="RUX21" s="204"/>
      <c r="RUY21" s="204"/>
      <c r="RUZ21" s="204"/>
      <c r="RVA21" s="204"/>
      <c r="RVB21" s="204"/>
      <c r="RVC21" s="204"/>
      <c r="RVD21" s="204"/>
      <c r="RVE21" s="204"/>
      <c r="RVF21" s="204"/>
      <c r="RVG21" s="204"/>
      <c r="RVH21" s="204"/>
      <c r="RVI21" s="204"/>
      <c r="RVJ21" s="204"/>
      <c r="RVK21" s="204"/>
      <c r="RVL21" s="204"/>
      <c r="RVM21" s="204"/>
      <c r="RVN21" s="204"/>
      <c r="RVO21" s="204"/>
      <c r="RVP21" s="204"/>
      <c r="RVQ21" s="204"/>
      <c r="RVR21" s="204"/>
      <c r="RVS21" s="204"/>
      <c r="RVT21" s="204"/>
      <c r="RVU21" s="204"/>
      <c r="RVV21" s="204"/>
      <c r="RVW21" s="204"/>
      <c r="RVX21" s="204"/>
      <c r="RVY21" s="204"/>
      <c r="RVZ21" s="204"/>
      <c r="RWA21" s="204"/>
      <c r="RWB21" s="204"/>
      <c r="RWC21" s="204"/>
      <c r="RWD21" s="204"/>
      <c r="RWE21" s="204"/>
      <c r="RWF21" s="204"/>
      <c r="RWG21" s="204"/>
      <c r="RWH21" s="204"/>
      <c r="RWI21" s="204"/>
      <c r="RWJ21" s="204"/>
      <c r="RWK21" s="204"/>
      <c r="RWL21" s="204"/>
      <c r="RWM21" s="204"/>
      <c r="RWN21" s="204"/>
      <c r="RWO21" s="204"/>
      <c r="RWP21" s="204"/>
      <c r="RWQ21" s="204"/>
      <c r="RWR21" s="204"/>
      <c r="RWS21" s="204"/>
      <c r="RWT21" s="204"/>
      <c r="RWU21" s="204"/>
      <c r="RWV21" s="204"/>
      <c r="RWW21" s="204"/>
      <c r="RWX21" s="204"/>
      <c r="RWY21" s="204"/>
      <c r="RWZ21" s="204"/>
      <c r="RXA21" s="204"/>
      <c r="RXB21" s="204"/>
      <c r="RXC21" s="204"/>
      <c r="RXD21" s="204"/>
      <c r="RXE21" s="204"/>
      <c r="RXF21" s="204"/>
      <c r="RXG21" s="204"/>
      <c r="RXH21" s="204"/>
      <c r="RXI21" s="204"/>
      <c r="RXJ21" s="204"/>
      <c r="RXK21" s="204"/>
      <c r="RXL21" s="204"/>
      <c r="RXM21" s="204"/>
      <c r="RXN21" s="204"/>
      <c r="RXO21" s="204"/>
      <c r="RXP21" s="204"/>
      <c r="RXQ21" s="204"/>
      <c r="RXR21" s="204"/>
      <c r="RXS21" s="204"/>
      <c r="RXT21" s="204"/>
      <c r="RXU21" s="204"/>
      <c r="RXV21" s="204"/>
      <c r="RXW21" s="204"/>
      <c r="RXX21" s="204"/>
      <c r="RXY21" s="204"/>
      <c r="RXZ21" s="204"/>
      <c r="RYA21" s="204"/>
      <c r="RYB21" s="204"/>
      <c r="RYC21" s="204"/>
      <c r="RYD21" s="204"/>
      <c r="RYE21" s="204"/>
      <c r="RYF21" s="204"/>
      <c r="RYG21" s="204"/>
      <c r="RYH21" s="204"/>
      <c r="RYI21" s="204"/>
      <c r="RYJ21" s="204"/>
      <c r="RYK21" s="204"/>
      <c r="RYL21" s="204"/>
      <c r="RYM21" s="204"/>
      <c r="RYN21" s="204"/>
      <c r="RYO21" s="204"/>
      <c r="RYP21" s="204"/>
      <c r="RYQ21" s="204"/>
      <c r="RYR21" s="204"/>
      <c r="RYS21" s="204"/>
      <c r="RYT21" s="204"/>
      <c r="RYU21" s="204"/>
      <c r="RYV21" s="204"/>
      <c r="RYW21" s="204"/>
      <c r="RYX21" s="204"/>
      <c r="RYY21" s="204"/>
      <c r="RYZ21" s="204"/>
      <c r="RZA21" s="204"/>
      <c r="RZB21" s="204"/>
      <c r="RZC21" s="204"/>
      <c r="RZD21" s="204"/>
      <c r="RZE21" s="204"/>
      <c r="RZF21" s="204"/>
      <c r="RZG21" s="204"/>
      <c r="RZH21" s="204"/>
      <c r="RZI21" s="204"/>
      <c r="RZJ21" s="204"/>
      <c r="RZK21" s="204"/>
      <c r="RZL21" s="204"/>
      <c r="RZM21" s="204"/>
      <c r="RZN21" s="204"/>
      <c r="RZO21" s="204"/>
      <c r="RZP21" s="204"/>
      <c r="RZQ21" s="204"/>
      <c r="RZR21" s="204"/>
      <c r="RZS21" s="204"/>
      <c r="RZT21" s="204"/>
      <c r="RZU21" s="204"/>
      <c r="RZV21" s="204"/>
      <c r="RZW21" s="204"/>
      <c r="RZX21" s="204"/>
      <c r="RZY21" s="204"/>
      <c r="RZZ21" s="204"/>
      <c r="SAA21" s="204"/>
      <c r="SAB21" s="204"/>
      <c r="SAC21" s="204"/>
      <c r="SAD21" s="204"/>
      <c r="SAE21" s="204"/>
      <c r="SAF21" s="204"/>
      <c r="SAG21" s="204"/>
      <c r="SAH21" s="204"/>
      <c r="SAI21" s="204"/>
      <c r="SAJ21" s="204"/>
      <c r="SAK21" s="204"/>
      <c r="SAL21" s="204"/>
      <c r="SAM21" s="204"/>
      <c r="SAN21" s="204"/>
      <c r="SAO21" s="204"/>
      <c r="SAP21" s="204"/>
      <c r="SAQ21" s="204"/>
      <c r="SAR21" s="204"/>
      <c r="SAS21" s="204"/>
      <c r="SAT21" s="204"/>
      <c r="SAU21" s="204"/>
      <c r="SAV21" s="204"/>
      <c r="SAW21" s="204"/>
      <c r="SAX21" s="204"/>
      <c r="SAY21" s="204"/>
      <c r="SAZ21" s="204"/>
      <c r="SBA21" s="204"/>
      <c r="SBB21" s="204"/>
      <c r="SBC21" s="204"/>
      <c r="SBD21" s="204"/>
      <c r="SBE21" s="204"/>
      <c r="SBF21" s="204"/>
      <c r="SBG21" s="204"/>
      <c r="SBH21" s="204"/>
      <c r="SBI21" s="204"/>
      <c r="SBJ21" s="204"/>
      <c r="SBK21" s="204"/>
      <c r="SBL21" s="204"/>
      <c r="SBM21" s="204"/>
      <c r="SBN21" s="204"/>
      <c r="SBO21" s="204"/>
      <c r="SBP21" s="204"/>
      <c r="SBQ21" s="204"/>
      <c r="SBR21" s="204"/>
      <c r="SBS21" s="204"/>
      <c r="SBT21" s="204"/>
      <c r="SBU21" s="204"/>
      <c r="SBV21" s="204"/>
      <c r="SBW21" s="204"/>
      <c r="SBX21" s="204"/>
      <c r="SBY21" s="204"/>
      <c r="SBZ21" s="204"/>
      <c r="SCA21" s="204"/>
      <c r="SCB21" s="204"/>
      <c r="SCC21" s="204"/>
      <c r="SCD21" s="204"/>
      <c r="SCE21" s="204"/>
      <c r="SCF21" s="204"/>
      <c r="SCG21" s="204"/>
      <c r="SCH21" s="204"/>
      <c r="SCI21" s="204"/>
      <c r="SCJ21" s="204"/>
      <c r="SCK21" s="204"/>
      <c r="SCL21" s="204"/>
      <c r="SCM21" s="204"/>
      <c r="SCN21" s="204"/>
      <c r="SCO21" s="204"/>
      <c r="SCP21" s="204"/>
      <c r="SCQ21" s="204"/>
      <c r="SCR21" s="204"/>
      <c r="SCS21" s="204"/>
      <c r="SCT21" s="204"/>
      <c r="SCU21" s="204"/>
      <c r="SCV21" s="204"/>
      <c r="SCW21" s="204"/>
      <c r="SCX21" s="204"/>
      <c r="SCY21" s="204"/>
      <c r="SCZ21" s="204"/>
      <c r="SDA21" s="204"/>
      <c r="SDB21" s="204"/>
      <c r="SDC21" s="204"/>
      <c r="SDD21" s="204"/>
      <c r="SDE21" s="204"/>
      <c r="SDF21" s="204"/>
      <c r="SDG21" s="204"/>
      <c r="SDH21" s="204"/>
      <c r="SDI21" s="204"/>
      <c r="SDJ21" s="204"/>
      <c r="SDK21" s="204"/>
      <c r="SDL21" s="204"/>
      <c r="SDM21" s="204"/>
      <c r="SDN21" s="204"/>
      <c r="SDO21" s="204"/>
      <c r="SDP21" s="204"/>
      <c r="SDQ21" s="204"/>
      <c r="SDR21" s="204"/>
      <c r="SDS21" s="204"/>
      <c r="SDT21" s="204"/>
      <c r="SDU21" s="204"/>
      <c r="SDV21" s="204"/>
      <c r="SDW21" s="204"/>
      <c r="SDX21" s="204"/>
      <c r="SDY21" s="204"/>
      <c r="SDZ21" s="204"/>
      <c r="SEA21" s="204"/>
      <c r="SEB21" s="204"/>
      <c r="SEC21" s="204"/>
      <c r="SED21" s="204"/>
      <c r="SEE21" s="204"/>
      <c r="SEF21" s="204"/>
      <c r="SEG21" s="204"/>
      <c r="SEH21" s="204"/>
      <c r="SEI21" s="204"/>
      <c r="SEJ21" s="204"/>
      <c r="SEK21" s="204"/>
      <c r="SEL21" s="204"/>
      <c r="SEM21" s="204"/>
      <c r="SEN21" s="204"/>
      <c r="SEO21" s="204"/>
      <c r="SEP21" s="204"/>
      <c r="SEQ21" s="204"/>
      <c r="SER21" s="204"/>
      <c r="SES21" s="204"/>
      <c r="SET21" s="204"/>
      <c r="SEU21" s="204"/>
      <c r="SEV21" s="204"/>
      <c r="SEW21" s="204"/>
      <c r="SEX21" s="204"/>
      <c r="SEY21" s="204"/>
      <c r="SEZ21" s="204"/>
      <c r="SFA21" s="204"/>
      <c r="SFB21" s="204"/>
      <c r="SFC21" s="204"/>
      <c r="SFD21" s="204"/>
      <c r="SFE21" s="204"/>
      <c r="SFF21" s="204"/>
      <c r="SFG21" s="204"/>
      <c r="SFH21" s="204"/>
      <c r="SFI21" s="204"/>
      <c r="SFJ21" s="204"/>
      <c r="SFK21" s="204"/>
      <c r="SFL21" s="204"/>
      <c r="SFM21" s="204"/>
      <c r="SFN21" s="204"/>
      <c r="SFO21" s="204"/>
      <c r="SFP21" s="204"/>
      <c r="SFQ21" s="204"/>
      <c r="SFR21" s="204"/>
      <c r="SFS21" s="204"/>
      <c r="SFT21" s="204"/>
      <c r="SFU21" s="204"/>
      <c r="SFV21" s="204"/>
      <c r="SFW21" s="204"/>
      <c r="SFX21" s="204"/>
      <c r="SFY21" s="204"/>
      <c r="SFZ21" s="204"/>
      <c r="SGA21" s="204"/>
      <c r="SGB21" s="204"/>
      <c r="SGC21" s="204"/>
      <c r="SGD21" s="204"/>
      <c r="SGE21" s="204"/>
      <c r="SGF21" s="204"/>
      <c r="SGG21" s="204"/>
      <c r="SGH21" s="204"/>
      <c r="SGI21" s="204"/>
      <c r="SGJ21" s="204"/>
      <c r="SGK21" s="204"/>
      <c r="SGL21" s="204"/>
      <c r="SGM21" s="204"/>
      <c r="SGN21" s="204"/>
      <c r="SGO21" s="204"/>
      <c r="SGP21" s="204"/>
      <c r="SGQ21" s="204"/>
      <c r="SGR21" s="204"/>
      <c r="SGS21" s="204"/>
      <c r="SGT21" s="204"/>
      <c r="SGU21" s="204"/>
      <c r="SGV21" s="204"/>
      <c r="SGW21" s="204"/>
      <c r="SGX21" s="204"/>
      <c r="SGY21" s="204"/>
      <c r="SGZ21" s="204"/>
      <c r="SHA21" s="204"/>
      <c r="SHB21" s="204"/>
      <c r="SHC21" s="204"/>
      <c r="SHD21" s="204"/>
      <c r="SHE21" s="204"/>
      <c r="SHF21" s="204"/>
      <c r="SHG21" s="204"/>
      <c r="SHH21" s="204"/>
      <c r="SHI21" s="204"/>
      <c r="SHJ21" s="204"/>
      <c r="SHK21" s="204"/>
      <c r="SHL21" s="204"/>
      <c r="SHM21" s="204"/>
      <c r="SHN21" s="204"/>
      <c r="SHO21" s="204"/>
      <c r="SHP21" s="204"/>
      <c r="SHQ21" s="204"/>
      <c r="SHR21" s="204"/>
      <c r="SHS21" s="204"/>
      <c r="SHT21" s="204"/>
      <c r="SHU21" s="204"/>
      <c r="SHV21" s="204"/>
      <c r="SHW21" s="204"/>
      <c r="SHX21" s="204"/>
      <c r="SHY21" s="204"/>
      <c r="SHZ21" s="204"/>
      <c r="SIA21" s="204"/>
      <c r="SIB21" s="204"/>
      <c r="SIC21" s="204"/>
      <c r="SID21" s="204"/>
      <c r="SIE21" s="204"/>
      <c r="SIF21" s="204"/>
      <c r="SIG21" s="204"/>
      <c r="SIH21" s="204"/>
      <c r="SII21" s="204"/>
      <c r="SIJ21" s="204"/>
      <c r="SIK21" s="204"/>
      <c r="SIL21" s="204"/>
      <c r="SIM21" s="204"/>
      <c r="SIN21" s="204"/>
      <c r="SIO21" s="204"/>
      <c r="SIP21" s="204"/>
      <c r="SIQ21" s="204"/>
      <c r="SIR21" s="204"/>
      <c r="SIS21" s="204"/>
      <c r="SIT21" s="204"/>
      <c r="SIU21" s="204"/>
      <c r="SIV21" s="204"/>
      <c r="SIW21" s="204"/>
      <c r="SIX21" s="204"/>
      <c r="SIY21" s="204"/>
      <c r="SIZ21" s="204"/>
      <c r="SJA21" s="204"/>
      <c r="SJB21" s="204"/>
      <c r="SJC21" s="204"/>
      <c r="SJD21" s="204"/>
      <c r="SJE21" s="204"/>
      <c r="SJF21" s="204"/>
      <c r="SJG21" s="204"/>
      <c r="SJH21" s="204"/>
      <c r="SJI21" s="204"/>
      <c r="SJJ21" s="204"/>
      <c r="SJK21" s="204"/>
      <c r="SJL21" s="204"/>
      <c r="SJM21" s="204"/>
      <c r="SJN21" s="204"/>
      <c r="SJO21" s="204"/>
      <c r="SJP21" s="204"/>
      <c r="SJQ21" s="204"/>
      <c r="SJR21" s="204"/>
      <c r="SJS21" s="204"/>
      <c r="SJT21" s="204"/>
      <c r="SJU21" s="204"/>
      <c r="SJV21" s="204"/>
      <c r="SJW21" s="204"/>
      <c r="SJX21" s="204"/>
      <c r="SJY21" s="204"/>
      <c r="SJZ21" s="204"/>
      <c r="SKA21" s="204"/>
      <c r="SKB21" s="204"/>
      <c r="SKC21" s="204"/>
      <c r="SKD21" s="204"/>
      <c r="SKE21" s="204"/>
      <c r="SKF21" s="204"/>
      <c r="SKG21" s="204"/>
      <c r="SKH21" s="204"/>
      <c r="SKI21" s="204"/>
      <c r="SKJ21" s="204"/>
      <c r="SKK21" s="204"/>
      <c r="SKL21" s="204"/>
      <c r="SKM21" s="204"/>
      <c r="SKN21" s="204"/>
      <c r="SKO21" s="204"/>
      <c r="SKP21" s="204"/>
      <c r="SKQ21" s="204"/>
      <c r="SKR21" s="204"/>
      <c r="SKS21" s="204"/>
      <c r="SKT21" s="204"/>
      <c r="SKU21" s="204"/>
      <c r="SKV21" s="204"/>
      <c r="SKW21" s="204"/>
      <c r="SKX21" s="204"/>
      <c r="SKY21" s="204"/>
      <c r="SKZ21" s="204"/>
      <c r="SLA21" s="204"/>
      <c r="SLB21" s="204"/>
      <c r="SLC21" s="204"/>
      <c r="SLD21" s="204"/>
      <c r="SLE21" s="204"/>
      <c r="SLF21" s="204"/>
      <c r="SLG21" s="204"/>
      <c r="SLH21" s="204"/>
      <c r="SLI21" s="204"/>
      <c r="SLJ21" s="204"/>
      <c r="SLK21" s="204"/>
      <c r="SLL21" s="204"/>
      <c r="SLM21" s="204"/>
      <c r="SLN21" s="204"/>
      <c r="SLO21" s="204"/>
      <c r="SLP21" s="204"/>
      <c r="SLQ21" s="204"/>
      <c r="SLR21" s="204"/>
      <c r="SLS21" s="204"/>
      <c r="SLT21" s="204"/>
      <c r="SLU21" s="204"/>
      <c r="SLV21" s="204"/>
      <c r="SLW21" s="204"/>
      <c r="SLX21" s="204"/>
      <c r="SLY21" s="204"/>
      <c r="SLZ21" s="204"/>
      <c r="SMA21" s="204"/>
      <c r="SMB21" s="204"/>
      <c r="SMC21" s="204"/>
      <c r="SMD21" s="204"/>
      <c r="SME21" s="204"/>
      <c r="SMF21" s="204"/>
      <c r="SMG21" s="204"/>
      <c r="SMH21" s="204"/>
      <c r="SMI21" s="204"/>
      <c r="SMJ21" s="204"/>
      <c r="SMK21" s="204"/>
      <c r="SML21" s="204"/>
      <c r="SMM21" s="204"/>
      <c r="SMN21" s="204"/>
      <c r="SMO21" s="204"/>
      <c r="SMP21" s="204"/>
      <c r="SMQ21" s="204"/>
      <c r="SMR21" s="204"/>
      <c r="SMS21" s="204"/>
      <c r="SMT21" s="204"/>
      <c r="SMU21" s="204"/>
      <c r="SMV21" s="204"/>
      <c r="SMW21" s="204"/>
      <c r="SMX21" s="204"/>
      <c r="SMY21" s="204"/>
      <c r="SMZ21" s="204"/>
      <c r="SNA21" s="204"/>
      <c r="SNB21" s="204"/>
      <c r="SNC21" s="204"/>
      <c r="SND21" s="204"/>
      <c r="SNE21" s="204"/>
      <c r="SNF21" s="204"/>
      <c r="SNG21" s="204"/>
      <c r="SNH21" s="204"/>
      <c r="SNI21" s="204"/>
      <c r="SNJ21" s="204"/>
      <c r="SNK21" s="204"/>
      <c r="SNL21" s="204"/>
      <c r="SNM21" s="204"/>
      <c r="SNN21" s="204"/>
      <c r="SNO21" s="204"/>
      <c r="SNP21" s="204"/>
      <c r="SNQ21" s="204"/>
      <c r="SNR21" s="204"/>
      <c r="SNS21" s="204"/>
      <c r="SNT21" s="204"/>
      <c r="SNU21" s="204"/>
      <c r="SNV21" s="204"/>
      <c r="SNW21" s="204"/>
      <c r="SNX21" s="204"/>
      <c r="SNY21" s="204"/>
      <c r="SNZ21" s="204"/>
      <c r="SOA21" s="204"/>
      <c r="SOB21" s="204"/>
      <c r="SOC21" s="204"/>
      <c r="SOD21" s="204"/>
      <c r="SOE21" s="204"/>
      <c r="SOF21" s="204"/>
      <c r="SOG21" s="204"/>
      <c r="SOH21" s="204"/>
      <c r="SOI21" s="204"/>
      <c r="SOJ21" s="204"/>
      <c r="SOK21" s="204"/>
      <c r="SOL21" s="204"/>
      <c r="SOM21" s="204"/>
      <c r="SON21" s="204"/>
      <c r="SOO21" s="204"/>
      <c r="SOP21" s="204"/>
      <c r="SOQ21" s="204"/>
      <c r="SOR21" s="204"/>
      <c r="SOS21" s="204"/>
      <c r="SOT21" s="204"/>
      <c r="SOU21" s="204"/>
      <c r="SOV21" s="204"/>
      <c r="SOW21" s="204"/>
      <c r="SOX21" s="204"/>
      <c r="SOY21" s="204"/>
      <c r="SOZ21" s="204"/>
      <c r="SPA21" s="204"/>
      <c r="SPB21" s="204"/>
      <c r="SPC21" s="204"/>
      <c r="SPD21" s="204"/>
      <c r="SPE21" s="204"/>
      <c r="SPF21" s="204"/>
      <c r="SPG21" s="204"/>
      <c r="SPH21" s="204"/>
      <c r="SPI21" s="204"/>
      <c r="SPJ21" s="204"/>
      <c r="SPK21" s="204"/>
      <c r="SPL21" s="204"/>
      <c r="SPM21" s="204"/>
      <c r="SPN21" s="204"/>
      <c r="SPO21" s="204"/>
      <c r="SPP21" s="204"/>
      <c r="SPQ21" s="204"/>
      <c r="SPR21" s="204"/>
      <c r="SPS21" s="204"/>
      <c r="SPT21" s="204"/>
      <c r="SPU21" s="204"/>
      <c r="SPV21" s="204"/>
      <c r="SPW21" s="204"/>
      <c r="SPX21" s="204"/>
      <c r="SPY21" s="204"/>
      <c r="SPZ21" s="204"/>
      <c r="SQA21" s="204"/>
      <c r="SQB21" s="204"/>
      <c r="SQC21" s="204"/>
      <c r="SQD21" s="204"/>
      <c r="SQE21" s="204"/>
      <c r="SQF21" s="204"/>
      <c r="SQG21" s="204"/>
      <c r="SQH21" s="204"/>
      <c r="SQI21" s="204"/>
      <c r="SQJ21" s="204"/>
      <c r="SQK21" s="204"/>
      <c r="SQL21" s="204"/>
      <c r="SQM21" s="204"/>
      <c r="SQN21" s="204"/>
      <c r="SQO21" s="204"/>
      <c r="SQP21" s="204"/>
      <c r="SQQ21" s="204"/>
      <c r="SQR21" s="204"/>
      <c r="SQS21" s="204"/>
      <c r="SQT21" s="204"/>
      <c r="SQU21" s="204"/>
      <c r="SQV21" s="204"/>
      <c r="SQW21" s="204"/>
      <c r="SQX21" s="204"/>
      <c r="SQY21" s="204"/>
      <c r="SQZ21" s="204"/>
      <c r="SRA21" s="204"/>
      <c r="SRB21" s="204"/>
      <c r="SRC21" s="204"/>
      <c r="SRD21" s="204"/>
      <c r="SRE21" s="204"/>
      <c r="SRF21" s="204"/>
      <c r="SRG21" s="204"/>
      <c r="SRH21" s="204"/>
      <c r="SRI21" s="204"/>
      <c r="SRJ21" s="204"/>
      <c r="SRK21" s="204"/>
      <c r="SRL21" s="204"/>
      <c r="SRM21" s="204"/>
      <c r="SRN21" s="204"/>
      <c r="SRO21" s="204"/>
      <c r="SRP21" s="204"/>
      <c r="SRQ21" s="204"/>
      <c r="SRR21" s="204"/>
      <c r="SRS21" s="204"/>
      <c r="SRT21" s="204"/>
      <c r="SRU21" s="204"/>
      <c r="SRV21" s="204"/>
      <c r="SRW21" s="204"/>
      <c r="SRX21" s="204"/>
      <c r="SRY21" s="204"/>
      <c r="SRZ21" s="204"/>
      <c r="SSA21" s="204"/>
      <c r="SSB21" s="204"/>
      <c r="SSC21" s="204"/>
      <c r="SSD21" s="204"/>
      <c r="SSE21" s="204"/>
      <c r="SSF21" s="204"/>
      <c r="SSG21" s="204"/>
      <c r="SSH21" s="204"/>
      <c r="SSI21" s="204"/>
      <c r="SSJ21" s="204"/>
      <c r="SSK21" s="204"/>
      <c r="SSL21" s="204"/>
      <c r="SSM21" s="204"/>
      <c r="SSN21" s="204"/>
      <c r="SSO21" s="204"/>
      <c r="SSP21" s="204"/>
      <c r="SSQ21" s="204"/>
      <c r="SSR21" s="204"/>
      <c r="SSS21" s="204"/>
      <c r="SST21" s="204"/>
      <c r="SSU21" s="204"/>
      <c r="SSV21" s="204"/>
      <c r="SSW21" s="204"/>
      <c r="SSX21" s="204"/>
      <c r="SSY21" s="204"/>
      <c r="SSZ21" s="204"/>
      <c r="STA21" s="204"/>
      <c r="STB21" s="204"/>
      <c r="STC21" s="204"/>
      <c r="STD21" s="204"/>
      <c r="STE21" s="204"/>
      <c r="STF21" s="204"/>
      <c r="STG21" s="204"/>
      <c r="STH21" s="204"/>
      <c r="STI21" s="204"/>
      <c r="STJ21" s="204"/>
      <c r="STK21" s="204"/>
      <c r="STL21" s="204"/>
      <c r="STM21" s="204"/>
      <c r="STN21" s="204"/>
      <c r="STO21" s="204"/>
      <c r="STP21" s="204"/>
      <c r="STQ21" s="204"/>
      <c r="STR21" s="204"/>
      <c r="STS21" s="204"/>
      <c r="STT21" s="204"/>
      <c r="STU21" s="204"/>
      <c r="STV21" s="204"/>
      <c r="STW21" s="204"/>
      <c r="STX21" s="204"/>
      <c r="STY21" s="204"/>
      <c r="STZ21" s="204"/>
      <c r="SUA21" s="204"/>
      <c r="SUB21" s="204"/>
      <c r="SUC21" s="204"/>
      <c r="SUD21" s="204"/>
      <c r="SUE21" s="204"/>
      <c r="SUF21" s="204"/>
      <c r="SUG21" s="204"/>
      <c r="SUH21" s="204"/>
      <c r="SUI21" s="204"/>
      <c r="SUJ21" s="204"/>
      <c r="SUK21" s="204"/>
      <c r="SUL21" s="204"/>
      <c r="SUM21" s="204"/>
      <c r="SUN21" s="204"/>
      <c r="SUO21" s="204"/>
      <c r="SUP21" s="204"/>
      <c r="SUQ21" s="204"/>
      <c r="SUR21" s="204"/>
      <c r="SUS21" s="204"/>
      <c r="SUT21" s="204"/>
      <c r="SUU21" s="204"/>
      <c r="SUV21" s="204"/>
      <c r="SUW21" s="204"/>
      <c r="SUX21" s="204"/>
      <c r="SUY21" s="204"/>
      <c r="SUZ21" s="204"/>
      <c r="SVA21" s="204"/>
      <c r="SVB21" s="204"/>
      <c r="SVC21" s="204"/>
      <c r="SVD21" s="204"/>
      <c r="SVE21" s="204"/>
      <c r="SVF21" s="204"/>
      <c r="SVG21" s="204"/>
      <c r="SVH21" s="204"/>
      <c r="SVI21" s="204"/>
      <c r="SVJ21" s="204"/>
      <c r="SVK21" s="204"/>
      <c r="SVL21" s="204"/>
      <c r="SVM21" s="204"/>
      <c r="SVN21" s="204"/>
      <c r="SVO21" s="204"/>
      <c r="SVP21" s="204"/>
      <c r="SVQ21" s="204"/>
      <c r="SVR21" s="204"/>
      <c r="SVS21" s="204"/>
      <c r="SVT21" s="204"/>
      <c r="SVU21" s="204"/>
      <c r="SVV21" s="204"/>
      <c r="SVW21" s="204"/>
      <c r="SVX21" s="204"/>
      <c r="SVY21" s="204"/>
      <c r="SVZ21" s="204"/>
      <c r="SWA21" s="204"/>
      <c r="SWB21" s="204"/>
      <c r="SWC21" s="204"/>
      <c r="SWD21" s="204"/>
      <c r="SWE21" s="204"/>
      <c r="SWF21" s="204"/>
      <c r="SWG21" s="204"/>
      <c r="SWH21" s="204"/>
      <c r="SWI21" s="204"/>
      <c r="SWJ21" s="204"/>
      <c r="SWK21" s="204"/>
      <c r="SWL21" s="204"/>
      <c r="SWM21" s="204"/>
      <c r="SWN21" s="204"/>
      <c r="SWO21" s="204"/>
      <c r="SWP21" s="204"/>
      <c r="SWQ21" s="204"/>
      <c r="SWR21" s="204"/>
      <c r="SWS21" s="204"/>
      <c r="SWT21" s="204"/>
      <c r="SWU21" s="204"/>
      <c r="SWV21" s="204"/>
      <c r="SWW21" s="204"/>
      <c r="SWX21" s="204"/>
      <c r="SWY21" s="204"/>
      <c r="SWZ21" s="204"/>
      <c r="SXA21" s="204"/>
      <c r="SXB21" s="204"/>
      <c r="SXC21" s="204"/>
      <c r="SXD21" s="204"/>
      <c r="SXE21" s="204"/>
      <c r="SXF21" s="204"/>
      <c r="SXG21" s="204"/>
      <c r="SXH21" s="204"/>
      <c r="SXI21" s="204"/>
      <c r="SXJ21" s="204"/>
      <c r="SXK21" s="204"/>
      <c r="SXL21" s="204"/>
      <c r="SXM21" s="204"/>
      <c r="SXN21" s="204"/>
      <c r="SXO21" s="204"/>
      <c r="SXP21" s="204"/>
      <c r="SXQ21" s="204"/>
      <c r="SXR21" s="204"/>
      <c r="SXS21" s="204"/>
      <c r="SXT21" s="204"/>
      <c r="SXU21" s="204"/>
      <c r="SXV21" s="204"/>
      <c r="SXW21" s="204"/>
      <c r="SXX21" s="204"/>
      <c r="SXY21" s="204"/>
      <c r="SXZ21" s="204"/>
      <c r="SYA21" s="204"/>
      <c r="SYB21" s="204"/>
      <c r="SYC21" s="204"/>
      <c r="SYD21" s="204"/>
      <c r="SYE21" s="204"/>
      <c r="SYF21" s="204"/>
      <c r="SYG21" s="204"/>
      <c r="SYH21" s="204"/>
      <c r="SYI21" s="204"/>
      <c r="SYJ21" s="204"/>
      <c r="SYK21" s="204"/>
      <c r="SYL21" s="204"/>
      <c r="SYM21" s="204"/>
      <c r="SYN21" s="204"/>
      <c r="SYO21" s="204"/>
      <c r="SYP21" s="204"/>
      <c r="SYQ21" s="204"/>
      <c r="SYR21" s="204"/>
      <c r="SYS21" s="204"/>
      <c r="SYT21" s="204"/>
      <c r="SYU21" s="204"/>
      <c r="SYV21" s="204"/>
      <c r="SYW21" s="204"/>
      <c r="SYX21" s="204"/>
      <c r="SYY21" s="204"/>
      <c r="SYZ21" s="204"/>
      <c r="SZA21" s="204"/>
      <c r="SZB21" s="204"/>
      <c r="SZC21" s="204"/>
      <c r="SZD21" s="204"/>
      <c r="SZE21" s="204"/>
      <c r="SZF21" s="204"/>
      <c r="SZG21" s="204"/>
      <c r="SZH21" s="204"/>
      <c r="SZI21" s="204"/>
      <c r="SZJ21" s="204"/>
      <c r="SZK21" s="204"/>
      <c r="SZL21" s="204"/>
      <c r="SZM21" s="204"/>
      <c r="SZN21" s="204"/>
      <c r="SZO21" s="204"/>
      <c r="SZP21" s="204"/>
      <c r="SZQ21" s="204"/>
      <c r="SZR21" s="204"/>
      <c r="SZS21" s="204"/>
      <c r="SZT21" s="204"/>
      <c r="SZU21" s="204"/>
      <c r="SZV21" s="204"/>
      <c r="SZW21" s="204"/>
      <c r="SZX21" s="204"/>
      <c r="SZY21" s="204"/>
      <c r="SZZ21" s="204"/>
      <c r="TAA21" s="204"/>
      <c r="TAB21" s="204"/>
      <c r="TAC21" s="204"/>
      <c r="TAD21" s="204"/>
      <c r="TAE21" s="204"/>
      <c r="TAF21" s="204"/>
      <c r="TAG21" s="204"/>
      <c r="TAH21" s="204"/>
      <c r="TAI21" s="204"/>
      <c r="TAJ21" s="204"/>
      <c r="TAK21" s="204"/>
      <c r="TAL21" s="204"/>
      <c r="TAM21" s="204"/>
      <c r="TAN21" s="204"/>
      <c r="TAO21" s="204"/>
      <c r="TAP21" s="204"/>
      <c r="TAQ21" s="204"/>
      <c r="TAR21" s="204"/>
      <c r="TAS21" s="204"/>
      <c r="TAT21" s="204"/>
      <c r="TAU21" s="204"/>
      <c r="TAV21" s="204"/>
      <c r="TAW21" s="204"/>
      <c r="TAX21" s="204"/>
      <c r="TAY21" s="204"/>
      <c r="TAZ21" s="204"/>
      <c r="TBA21" s="204"/>
      <c r="TBB21" s="204"/>
      <c r="TBC21" s="204"/>
      <c r="TBD21" s="204"/>
      <c r="TBE21" s="204"/>
      <c r="TBF21" s="204"/>
      <c r="TBG21" s="204"/>
      <c r="TBH21" s="204"/>
      <c r="TBI21" s="204"/>
      <c r="TBJ21" s="204"/>
      <c r="TBK21" s="204"/>
      <c r="TBL21" s="204"/>
      <c r="TBM21" s="204"/>
      <c r="TBN21" s="204"/>
      <c r="TBO21" s="204"/>
      <c r="TBP21" s="204"/>
      <c r="TBQ21" s="204"/>
      <c r="TBR21" s="204"/>
      <c r="TBS21" s="204"/>
      <c r="TBT21" s="204"/>
      <c r="TBU21" s="204"/>
      <c r="TBV21" s="204"/>
      <c r="TBW21" s="204"/>
      <c r="TBX21" s="204"/>
      <c r="TBY21" s="204"/>
      <c r="TBZ21" s="204"/>
      <c r="TCA21" s="204"/>
      <c r="TCB21" s="204"/>
      <c r="TCC21" s="204"/>
      <c r="TCD21" s="204"/>
      <c r="TCE21" s="204"/>
      <c r="TCF21" s="204"/>
      <c r="TCG21" s="204"/>
      <c r="TCH21" s="204"/>
      <c r="TCI21" s="204"/>
      <c r="TCJ21" s="204"/>
      <c r="TCK21" s="204"/>
      <c r="TCL21" s="204"/>
      <c r="TCM21" s="204"/>
      <c r="TCN21" s="204"/>
      <c r="TCO21" s="204"/>
      <c r="TCP21" s="204"/>
      <c r="TCQ21" s="204"/>
      <c r="TCR21" s="204"/>
      <c r="TCS21" s="204"/>
      <c r="TCT21" s="204"/>
      <c r="TCU21" s="204"/>
      <c r="TCV21" s="204"/>
      <c r="TCW21" s="204"/>
      <c r="TCX21" s="204"/>
      <c r="TCY21" s="204"/>
      <c r="TCZ21" s="204"/>
      <c r="TDA21" s="204"/>
      <c r="TDB21" s="204"/>
      <c r="TDC21" s="204"/>
      <c r="TDD21" s="204"/>
      <c r="TDE21" s="204"/>
      <c r="TDF21" s="204"/>
      <c r="TDG21" s="204"/>
      <c r="TDH21" s="204"/>
      <c r="TDI21" s="204"/>
      <c r="TDJ21" s="204"/>
      <c r="TDK21" s="204"/>
      <c r="TDL21" s="204"/>
      <c r="TDM21" s="204"/>
      <c r="TDN21" s="204"/>
      <c r="TDO21" s="204"/>
      <c r="TDP21" s="204"/>
      <c r="TDQ21" s="204"/>
      <c r="TDR21" s="204"/>
      <c r="TDS21" s="204"/>
      <c r="TDT21" s="204"/>
      <c r="TDU21" s="204"/>
      <c r="TDV21" s="204"/>
      <c r="TDW21" s="204"/>
      <c r="TDX21" s="204"/>
      <c r="TDY21" s="204"/>
      <c r="TDZ21" s="204"/>
      <c r="TEA21" s="204"/>
      <c r="TEB21" s="204"/>
      <c r="TEC21" s="204"/>
      <c r="TED21" s="204"/>
      <c r="TEE21" s="204"/>
      <c r="TEF21" s="204"/>
      <c r="TEG21" s="204"/>
      <c r="TEH21" s="204"/>
      <c r="TEI21" s="204"/>
      <c r="TEJ21" s="204"/>
      <c r="TEK21" s="204"/>
      <c r="TEL21" s="204"/>
      <c r="TEM21" s="204"/>
      <c r="TEN21" s="204"/>
      <c r="TEO21" s="204"/>
      <c r="TEP21" s="204"/>
      <c r="TEQ21" s="204"/>
      <c r="TER21" s="204"/>
      <c r="TES21" s="204"/>
      <c r="TET21" s="204"/>
      <c r="TEU21" s="204"/>
      <c r="TEV21" s="204"/>
      <c r="TEW21" s="204"/>
      <c r="TEX21" s="204"/>
      <c r="TEY21" s="204"/>
      <c r="TEZ21" s="204"/>
      <c r="TFA21" s="204"/>
      <c r="TFB21" s="204"/>
      <c r="TFC21" s="204"/>
      <c r="TFD21" s="204"/>
      <c r="TFE21" s="204"/>
      <c r="TFF21" s="204"/>
      <c r="TFG21" s="204"/>
      <c r="TFH21" s="204"/>
      <c r="TFI21" s="204"/>
      <c r="TFJ21" s="204"/>
      <c r="TFK21" s="204"/>
      <c r="TFL21" s="204"/>
      <c r="TFM21" s="204"/>
      <c r="TFN21" s="204"/>
      <c r="TFO21" s="204"/>
      <c r="TFP21" s="204"/>
      <c r="TFQ21" s="204"/>
      <c r="TFR21" s="204"/>
      <c r="TFS21" s="204"/>
      <c r="TFT21" s="204"/>
      <c r="TFU21" s="204"/>
      <c r="TFV21" s="204"/>
      <c r="TFW21" s="204"/>
      <c r="TFX21" s="204"/>
      <c r="TFY21" s="204"/>
      <c r="TFZ21" s="204"/>
      <c r="TGA21" s="204"/>
      <c r="TGB21" s="204"/>
      <c r="TGC21" s="204"/>
      <c r="TGD21" s="204"/>
      <c r="TGE21" s="204"/>
      <c r="TGF21" s="204"/>
      <c r="TGG21" s="204"/>
      <c r="TGH21" s="204"/>
      <c r="TGI21" s="204"/>
      <c r="TGJ21" s="204"/>
      <c r="TGK21" s="204"/>
      <c r="TGL21" s="204"/>
      <c r="TGM21" s="204"/>
      <c r="TGN21" s="204"/>
      <c r="TGO21" s="204"/>
      <c r="TGP21" s="204"/>
      <c r="TGQ21" s="204"/>
      <c r="TGR21" s="204"/>
      <c r="TGS21" s="204"/>
      <c r="TGT21" s="204"/>
      <c r="TGU21" s="204"/>
      <c r="TGV21" s="204"/>
      <c r="TGW21" s="204"/>
      <c r="TGX21" s="204"/>
      <c r="TGY21" s="204"/>
      <c r="TGZ21" s="204"/>
      <c r="THA21" s="204"/>
      <c r="THB21" s="204"/>
      <c r="THC21" s="204"/>
      <c r="THD21" s="204"/>
      <c r="THE21" s="204"/>
      <c r="THF21" s="204"/>
      <c r="THG21" s="204"/>
      <c r="THH21" s="204"/>
      <c r="THI21" s="204"/>
      <c r="THJ21" s="204"/>
      <c r="THK21" s="204"/>
      <c r="THL21" s="204"/>
      <c r="THM21" s="204"/>
      <c r="THN21" s="204"/>
      <c r="THO21" s="204"/>
      <c r="THP21" s="204"/>
      <c r="THQ21" s="204"/>
      <c r="THR21" s="204"/>
      <c r="THS21" s="204"/>
      <c r="THT21" s="204"/>
      <c r="THU21" s="204"/>
      <c r="THV21" s="204"/>
      <c r="THW21" s="204"/>
      <c r="THX21" s="204"/>
      <c r="THY21" s="204"/>
      <c r="THZ21" s="204"/>
      <c r="TIA21" s="204"/>
      <c r="TIB21" s="204"/>
      <c r="TIC21" s="204"/>
      <c r="TID21" s="204"/>
      <c r="TIE21" s="204"/>
      <c r="TIF21" s="204"/>
      <c r="TIG21" s="204"/>
      <c r="TIH21" s="204"/>
      <c r="TII21" s="204"/>
      <c r="TIJ21" s="204"/>
      <c r="TIK21" s="204"/>
      <c r="TIL21" s="204"/>
      <c r="TIM21" s="204"/>
      <c r="TIN21" s="204"/>
      <c r="TIO21" s="204"/>
      <c r="TIP21" s="204"/>
      <c r="TIQ21" s="204"/>
      <c r="TIR21" s="204"/>
      <c r="TIS21" s="204"/>
      <c r="TIT21" s="204"/>
      <c r="TIU21" s="204"/>
      <c r="TIV21" s="204"/>
      <c r="TIW21" s="204"/>
      <c r="TIX21" s="204"/>
      <c r="TIY21" s="204"/>
      <c r="TIZ21" s="204"/>
      <c r="TJA21" s="204"/>
      <c r="TJB21" s="204"/>
      <c r="TJC21" s="204"/>
      <c r="TJD21" s="204"/>
      <c r="TJE21" s="204"/>
      <c r="TJF21" s="204"/>
      <c r="TJG21" s="204"/>
      <c r="TJH21" s="204"/>
      <c r="TJI21" s="204"/>
      <c r="TJJ21" s="204"/>
      <c r="TJK21" s="204"/>
      <c r="TJL21" s="204"/>
      <c r="TJM21" s="204"/>
      <c r="TJN21" s="204"/>
      <c r="TJO21" s="204"/>
      <c r="TJP21" s="204"/>
      <c r="TJQ21" s="204"/>
      <c r="TJR21" s="204"/>
      <c r="TJS21" s="204"/>
      <c r="TJT21" s="204"/>
      <c r="TJU21" s="204"/>
      <c r="TJV21" s="204"/>
      <c r="TJW21" s="204"/>
      <c r="TJX21" s="204"/>
      <c r="TJY21" s="204"/>
      <c r="TJZ21" s="204"/>
      <c r="TKA21" s="204"/>
      <c r="TKB21" s="204"/>
      <c r="TKC21" s="204"/>
      <c r="TKD21" s="204"/>
      <c r="TKE21" s="204"/>
      <c r="TKF21" s="204"/>
      <c r="TKG21" s="204"/>
      <c r="TKH21" s="204"/>
      <c r="TKI21" s="204"/>
      <c r="TKJ21" s="204"/>
      <c r="TKK21" s="204"/>
      <c r="TKL21" s="204"/>
      <c r="TKM21" s="204"/>
      <c r="TKN21" s="204"/>
      <c r="TKO21" s="204"/>
      <c r="TKP21" s="204"/>
      <c r="TKQ21" s="204"/>
      <c r="TKR21" s="204"/>
      <c r="TKS21" s="204"/>
      <c r="TKT21" s="204"/>
      <c r="TKU21" s="204"/>
      <c r="TKV21" s="204"/>
      <c r="TKW21" s="204"/>
      <c r="TKX21" s="204"/>
      <c r="TKY21" s="204"/>
      <c r="TKZ21" s="204"/>
      <c r="TLA21" s="204"/>
      <c r="TLB21" s="204"/>
      <c r="TLC21" s="204"/>
      <c r="TLD21" s="204"/>
      <c r="TLE21" s="204"/>
      <c r="TLF21" s="204"/>
      <c r="TLG21" s="204"/>
      <c r="TLH21" s="204"/>
      <c r="TLI21" s="204"/>
      <c r="TLJ21" s="204"/>
      <c r="TLK21" s="204"/>
      <c r="TLL21" s="204"/>
      <c r="TLM21" s="204"/>
      <c r="TLN21" s="204"/>
      <c r="TLO21" s="204"/>
      <c r="TLP21" s="204"/>
      <c r="TLQ21" s="204"/>
      <c r="TLR21" s="204"/>
      <c r="TLS21" s="204"/>
      <c r="TLT21" s="204"/>
      <c r="TLU21" s="204"/>
      <c r="TLV21" s="204"/>
      <c r="TLW21" s="204"/>
      <c r="TLX21" s="204"/>
      <c r="TLY21" s="204"/>
      <c r="TLZ21" s="204"/>
      <c r="TMA21" s="204"/>
      <c r="TMB21" s="204"/>
      <c r="TMC21" s="204"/>
      <c r="TMD21" s="204"/>
      <c r="TME21" s="204"/>
      <c r="TMF21" s="204"/>
      <c r="TMG21" s="204"/>
      <c r="TMH21" s="204"/>
      <c r="TMI21" s="204"/>
      <c r="TMJ21" s="204"/>
      <c r="TMK21" s="204"/>
      <c r="TML21" s="204"/>
      <c r="TMM21" s="204"/>
      <c r="TMN21" s="204"/>
      <c r="TMO21" s="204"/>
      <c r="TMP21" s="204"/>
      <c r="TMQ21" s="204"/>
      <c r="TMR21" s="204"/>
      <c r="TMS21" s="204"/>
      <c r="TMT21" s="204"/>
      <c r="TMU21" s="204"/>
      <c r="TMV21" s="204"/>
      <c r="TMW21" s="204"/>
      <c r="TMX21" s="204"/>
      <c r="TMY21" s="204"/>
      <c r="TMZ21" s="204"/>
      <c r="TNA21" s="204"/>
      <c r="TNB21" s="204"/>
      <c r="TNC21" s="204"/>
      <c r="TND21" s="204"/>
      <c r="TNE21" s="204"/>
      <c r="TNF21" s="204"/>
      <c r="TNG21" s="204"/>
      <c r="TNH21" s="204"/>
      <c r="TNI21" s="204"/>
      <c r="TNJ21" s="204"/>
      <c r="TNK21" s="204"/>
      <c r="TNL21" s="204"/>
      <c r="TNM21" s="204"/>
      <c r="TNN21" s="204"/>
      <c r="TNO21" s="204"/>
      <c r="TNP21" s="204"/>
      <c r="TNQ21" s="204"/>
      <c r="TNR21" s="204"/>
      <c r="TNS21" s="204"/>
      <c r="TNT21" s="204"/>
      <c r="TNU21" s="204"/>
      <c r="TNV21" s="204"/>
      <c r="TNW21" s="204"/>
      <c r="TNX21" s="204"/>
      <c r="TNY21" s="204"/>
      <c r="TNZ21" s="204"/>
      <c r="TOA21" s="204"/>
      <c r="TOB21" s="204"/>
      <c r="TOC21" s="204"/>
      <c r="TOD21" s="204"/>
      <c r="TOE21" s="204"/>
      <c r="TOF21" s="204"/>
      <c r="TOG21" s="204"/>
      <c r="TOH21" s="204"/>
      <c r="TOI21" s="204"/>
      <c r="TOJ21" s="204"/>
      <c r="TOK21" s="204"/>
      <c r="TOL21" s="204"/>
      <c r="TOM21" s="204"/>
      <c r="TON21" s="204"/>
      <c r="TOO21" s="204"/>
      <c r="TOP21" s="204"/>
      <c r="TOQ21" s="204"/>
      <c r="TOR21" s="204"/>
      <c r="TOS21" s="204"/>
      <c r="TOT21" s="204"/>
      <c r="TOU21" s="204"/>
      <c r="TOV21" s="204"/>
      <c r="TOW21" s="204"/>
      <c r="TOX21" s="204"/>
      <c r="TOY21" s="204"/>
      <c r="TOZ21" s="204"/>
      <c r="TPA21" s="204"/>
      <c r="TPB21" s="204"/>
      <c r="TPC21" s="204"/>
      <c r="TPD21" s="204"/>
      <c r="TPE21" s="204"/>
      <c r="TPF21" s="204"/>
      <c r="TPG21" s="204"/>
      <c r="TPH21" s="204"/>
      <c r="TPI21" s="204"/>
      <c r="TPJ21" s="204"/>
      <c r="TPK21" s="204"/>
      <c r="TPL21" s="204"/>
      <c r="TPM21" s="204"/>
      <c r="TPN21" s="204"/>
      <c r="TPO21" s="204"/>
      <c r="TPP21" s="204"/>
      <c r="TPQ21" s="204"/>
      <c r="TPR21" s="204"/>
      <c r="TPS21" s="204"/>
      <c r="TPT21" s="204"/>
      <c r="TPU21" s="204"/>
      <c r="TPV21" s="204"/>
      <c r="TPW21" s="204"/>
      <c r="TPX21" s="204"/>
      <c r="TPY21" s="204"/>
      <c r="TPZ21" s="204"/>
      <c r="TQA21" s="204"/>
      <c r="TQB21" s="204"/>
      <c r="TQC21" s="204"/>
      <c r="TQD21" s="204"/>
      <c r="TQE21" s="204"/>
      <c r="TQF21" s="204"/>
      <c r="TQG21" s="204"/>
      <c r="TQH21" s="204"/>
      <c r="TQI21" s="204"/>
      <c r="TQJ21" s="204"/>
      <c r="TQK21" s="204"/>
      <c r="TQL21" s="204"/>
      <c r="TQM21" s="204"/>
      <c r="TQN21" s="204"/>
      <c r="TQO21" s="204"/>
      <c r="TQP21" s="204"/>
      <c r="TQQ21" s="204"/>
      <c r="TQR21" s="204"/>
      <c r="TQS21" s="204"/>
      <c r="TQT21" s="204"/>
      <c r="TQU21" s="204"/>
      <c r="TQV21" s="204"/>
      <c r="TQW21" s="204"/>
      <c r="TQX21" s="204"/>
      <c r="TQY21" s="204"/>
      <c r="TQZ21" s="204"/>
      <c r="TRA21" s="204"/>
      <c r="TRB21" s="204"/>
      <c r="TRC21" s="204"/>
      <c r="TRD21" s="204"/>
      <c r="TRE21" s="204"/>
      <c r="TRF21" s="204"/>
      <c r="TRG21" s="204"/>
      <c r="TRH21" s="204"/>
      <c r="TRI21" s="204"/>
      <c r="TRJ21" s="204"/>
      <c r="TRK21" s="204"/>
      <c r="TRL21" s="204"/>
      <c r="TRM21" s="204"/>
      <c r="TRN21" s="204"/>
      <c r="TRO21" s="204"/>
      <c r="TRP21" s="204"/>
      <c r="TRQ21" s="204"/>
      <c r="TRR21" s="204"/>
      <c r="TRS21" s="204"/>
      <c r="TRT21" s="204"/>
      <c r="TRU21" s="204"/>
      <c r="TRV21" s="204"/>
      <c r="TRW21" s="204"/>
      <c r="TRX21" s="204"/>
      <c r="TRY21" s="204"/>
      <c r="TRZ21" s="204"/>
      <c r="TSA21" s="204"/>
      <c r="TSB21" s="204"/>
      <c r="TSC21" s="204"/>
      <c r="TSD21" s="204"/>
      <c r="TSE21" s="204"/>
      <c r="TSF21" s="204"/>
      <c r="TSG21" s="204"/>
      <c r="TSH21" s="204"/>
      <c r="TSI21" s="204"/>
      <c r="TSJ21" s="204"/>
      <c r="TSK21" s="204"/>
      <c r="TSL21" s="204"/>
      <c r="TSM21" s="204"/>
      <c r="TSN21" s="204"/>
      <c r="TSO21" s="204"/>
      <c r="TSP21" s="204"/>
      <c r="TSQ21" s="204"/>
      <c r="TSR21" s="204"/>
      <c r="TSS21" s="204"/>
      <c r="TST21" s="204"/>
      <c r="TSU21" s="204"/>
      <c r="TSV21" s="204"/>
      <c r="TSW21" s="204"/>
      <c r="TSX21" s="204"/>
      <c r="TSY21" s="204"/>
      <c r="TSZ21" s="204"/>
      <c r="TTA21" s="204"/>
      <c r="TTB21" s="204"/>
      <c r="TTC21" s="204"/>
      <c r="TTD21" s="204"/>
      <c r="TTE21" s="204"/>
      <c r="TTF21" s="204"/>
      <c r="TTG21" s="204"/>
      <c r="TTH21" s="204"/>
      <c r="TTI21" s="204"/>
      <c r="TTJ21" s="204"/>
      <c r="TTK21" s="204"/>
      <c r="TTL21" s="204"/>
      <c r="TTM21" s="204"/>
      <c r="TTN21" s="204"/>
      <c r="TTO21" s="204"/>
      <c r="TTP21" s="204"/>
      <c r="TTQ21" s="204"/>
      <c r="TTR21" s="204"/>
      <c r="TTS21" s="204"/>
      <c r="TTT21" s="204"/>
      <c r="TTU21" s="204"/>
      <c r="TTV21" s="204"/>
      <c r="TTW21" s="204"/>
      <c r="TTX21" s="204"/>
      <c r="TTY21" s="204"/>
      <c r="TTZ21" s="204"/>
      <c r="TUA21" s="204"/>
      <c r="TUB21" s="204"/>
      <c r="TUC21" s="204"/>
      <c r="TUD21" s="204"/>
      <c r="TUE21" s="204"/>
      <c r="TUF21" s="204"/>
      <c r="TUG21" s="204"/>
      <c r="TUH21" s="204"/>
      <c r="TUI21" s="204"/>
      <c r="TUJ21" s="204"/>
      <c r="TUK21" s="204"/>
      <c r="TUL21" s="204"/>
      <c r="TUM21" s="204"/>
      <c r="TUN21" s="204"/>
      <c r="TUO21" s="204"/>
      <c r="TUP21" s="204"/>
      <c r="TUQ21" s="204"/>
      <c r="TUR21" s="204"/>
      <c r="TUS21" s="204"/>
      <c r="TUT21" s="204"/>
      <c r="TUU21" s="204"/>
      <c r="TUV21" s="204"/>
      <c r="TUW21" s="204"/>
      <c r="TUX21" s="204"/>
      <c r="TUY21" s="204"/>
      <c r="TUZ21" s="204"/>
      <c r="TVA21" s="204"/>
      <c r="TVB21" s="204"/>
      <c r="TVC21" s="204"/>
      <c r="TVD21" s="204"/>
      <c r="TVE21" s="204"/>
      <c r="TVF21" s="204"/>
      <c r="TVG21" s="204"/>
      <c r="TVH21" s="204"/>
      <c r="TVI21" s="204"/>
      <c r="TVJ21" s="204"/>
      <c r="TVK21" s="204"/>
      <c r="TVL21" s="204"/>
      <c r="TVM21" s="204"/>
      <c r="TVN21" s="204"/>
      <c r="TVO21" s="204"/>
      <c r="TVP21" s="204"/>
      <c r="TVQ21" s="204"/>
      <c r="TVR21" s="204"/>
      <c r="TVS21" s="204"/>
      <c r="TVT21" s="204"/>
      <c r="TVU21" s="204"/>
      <c r="TVV21" s="204"/>
      <c r="TVW21" s="204"/>
      <c r="TVX21" s="204"/>
      <c r="TVY21" s="204"/>
      <c r="TVZ21" s="204"/>
      <c r="TWA21" s="204"/>
      <c r="TWB21" s="204"/>
      <c r="TWC21" s="204"/>
      <c r="TWD21" s="204"/>
      <c r="TWE21" s="204"/>
      <c r="TWF21" s="204"/>
      <c r="TWG21" s="204"/>
      <c r="TWH21" s="204"/>
      <c r="TWI21" s="204"/>
      <c r="TWJ21" s="204"/>
      <c r="TWK21" s="204"/>
      <c r="TWL21" s="204"/>
      <c r="TWM21" s="204"/>
      <c r="TWN21" s="204"/>
      <c r="TWO21" s="204"/>
      <c r="TWP21" s="204"/>
      <c r="TWQ21" s="204"/>
      <c r="TWR21" s="204"/>
      <c r="TWS21" s="204"/>
      <c r="TWT21" s="204"/>
      <c r="TWU21" s="204"/>
      <c r="TWV21" s="204"/>
      <c r="TWW21" s="204"/>
      <c r="TWX21" s="204"/>
      <c r="TWY21" s="204"/>
      <c r="TWZ21" s="204"/>
      <c r="TXA21" s="204"/>
      <c r="TXB21" s="204"/>
      <c r="TXC21" s="204"/>
      <c r="TXD21" s="204"/>
      <c r="TXE21" s="204"/>
      <c r="TXF21" s="204"/>
      <c r="TXG21" s="204"/>
      <c r="TXH21" s="204"/>
      <c r="TXI21" s="204"/>
      <c r="TXJ21" s="204"/>
      <c r="TXK21" s="204"/>
      <c r="TXL21" s="204"/>
      <c r="TXM21" s="204"/>
      <c r="TXN21" s="204"/>
      <c r="TXO21" s="204"/>
      <c r="TXP21" s="204"/>
      <c r="TXQ21" s="204"/>
      <c r="TXR21" s="204"/>
      <c r="TXS21" s="204"/>
      <c r="TXT21" s="204"/>
      <c r="TXU21" s="204"/>
      <c r="TXV21" s="204"/>
      <c r="TXW21" s="204"/>
      <c r="TXX21" s="204"/>
      <c r="TXY21" s="204"/>
      <c r="TXZ21" s="204"/>
      <c r="TYA21" s="204"/>
      <c r="TYB21" s="204"/>
      <c r="TYC21" s="204"/>
      <c r="TYD21" s="204"/>
      <c r="TYE21" s="204"/>
      <c r="TYF21" s="204"/>
      <c r="TYG21" s="204"/>
      <c r="TYH21" s="204"/>
      <c r="TYI21" s="204"/>
      <c r="TYJ21" s="204"/>
      <c r="TYK21" s="204"/>
      <c r="TYL21" s="204"/>
      <c r="TYM21" s="204"/>
      <c r="TYN21" s="204"/>
      <c r="TYO21" s="204"/>
      <c r="TYP21" s="204"/>
      <c r="TYQ21" s="204"/>
      <c r="TYR21" s="204"/>
      <c r="TYS21" s="204"/>
      <c r="TYT21" s="204"/>
      <c r="TYU21" s="204"/>
      <c r="TYV21" s="204"/>
      <c r="TYW21" s="204"/>
      <c r="TYX21" s="204"/>
      <c r="TYY21" s="204"/>
      <c r="TYZ21" s="204"/>
      <c r="TZA21" s="204"/>
      <c r="TZB21" s="204"/>
      <c r="TZC21" s="204"/>
      <c r="TZD21" s="204"/>
      <c r="TZE21" s="204"/>
      <c r="TZF21" s="204"/>
      <c r="TZG21" s="204"/>
      <c r="TZH21" s="204"/>
      <c r="TZI21" s="204"/>
      <c r="TZJ21" s="204"/>
      <c r="TZK21" s="204"/>
      <c r="TZL21" s="204"/>
      <c r="TZM21" s="204"/>
      <c r="TZN21" s="204"/>
      <c r="TZO21" s="204"/>
      <c r="TZP21" s="204"/>
      <c r="TZQ21" s="204"/>
      <c r="TZR21" s="204"/>
      <c r="TZS21" s="204"/>
      <c r="TZT21" s="204"/>
      <c r="TZU21" s="204"/>
      <c r="TZV21" s="204"/>
      <c r="TZW21" s="204"/>
      <c r="TZX21" s="204"/>
      <c r="TZY21" s="204"/>
      <c r="TZZ21" s="204"/>
      <c r="UAA21" s="204"/>
      <c r="UAB21" s="204"/>
      <c r="UAC21" s="204"/>
      <c r="UAD21" s="204"/>
      <c r="UAE21" s="204"/>
      <c r="UAF21" s="204"/>
      <c r="UAG21" s="204"/>
      <c r="UAH21" s="204"/>
      <c r="UAI21" s="204"/>
      <c r="UAJ21" s="204"/>
      <c r="UAK21" s="204"/>
      <c r="UAL21" s="204"/>
      <c r="UAM21" s="204"/>
      <c r="UAN21" s="204"/>
      <c r="UAO21" s="204"/>
      <c r="UAP21" s="204"/>
      <c r="UAQ21" s="204"/>
      <c r="UAR21" s="204"/>
      <c r="UAS21" s="204"/>
      <c r="UAT21" s="204"/>
      <c r="UAU21" s="204"/>
      <c r="UAV21" s="204"/>
      <c r="UAW21" s="204"/>
      <c r="UAX21" s="204"/>
      <c r="UAY21" s="204"/>
      <c r="UAZ21" s="204"/>
      <c r="UBA21" s="204"/>
      <c r="UBB21" s="204"/>
      <c r="UBC21" s="204"/>
      <c r="UBD21" s="204"/>
      <c r="UBE21" s="204"/>
      <c r="UBF21" s="204"/>
      <c r="UBG21" s="204"/>
      <c r="UBH21" s="204"/>
      <c r="UBI21" s="204"/>
      <c r="UBJ21" s="204"/>
      <c r="UBK21" s="204"/>
      <c r="UBL21" s="204"/>
      <c r="UBM21" s="204"/>
      <c r="UBN21" s="204"/>
      <c r="UBO21" s="204"/>
      <c r="UBP21" s="204"/>
      <c r="UBQ21" s="204"/>
      <c r="UBR21" s="204"/>
      <c r="UBS21" s="204"/>
      <c r="UBT21" s="204"/>
      <c r="UBU21" s="204"/>
      <c r="UBV21" s="204"/>
      <c r="UBW21" s="204"/>
      <c r="UBX21" s="204"/>
      <c r="UBY21" s="204"/>
      <c r="UBZ21" s="204"/>
      <c r="UCA21" s="204"/>
      <c r="UCB21" s="204"/>
      <c r="UCC21" s="204"/>
      <c r="UCD21" s="204"/>
      <c r="UCE21" s="204"/>
      <c r="UCF21" s="204"/>
      <c r="UCG21" s="204"/>
      <c r="UCH21" s="204"/>
      <c r="UCI21" s="204"/>
      <c r="UCJ21" s="204"/>
      <c r="UCK21" s="204"/>
      <c r="UCL21" s="204"/>
      <c r="UCM21" s="204"/>
      <c r="UCN21" s="204"/>
      <c r="UCO21" s="204"/>
      <c r="UCP21" s="204"/>
      <c r="UCQ21" s="204"/>
      <c r="UCR21" s="204"/>
      <c r="UCS21" s="204"/>
      <c r="UCT21" s="204"/>
      <c r="UCU21" s="204"/>
      <c r="UCV21" s="204"/>
      <c r="UCW21" s="204"/>
      <c r="UCX21" s="204"/>
      <c r="UCY21" s="204"/>
      <c r="UCZ21" s="204"/>
      <c r="UDA21" s="204"/>
      <c r="UDB21" s="204"/>
      <c r="UDC21" s="204"/>
      <c r="UDD21" s="204"/>
      <c r="UDE21" s="204"/>
      <c r="UDF21" s="204"/>
      <c r="UDG21" s="204"/>
      <c r="UDH21" s="204"/>
      <c r="UDI21" s="204"/>
      <c r="UDJ21" s="204"/>
      <c r="UDK21" s="204"/>
      <c r="UDL21" s="204"/>
      <c r="UDM21" s="204"/>
      <c r="UDN21" s="204"/>
      <c r="UDO21" s="204"/>
      <c r="UDP21" s="204"/>
      <c r="UDQ21" s="204"/>
      <c r="UDR21" s="204"/>
      <c r="UDS21" s="204"/>
      <c r="UDT21" s="204"/>
      <c r="UDU21" s="204"/>
      <c r="UDV21" s="204"/>
      <c r="UDW21" s="204"/>
      <c r="UDX21" s="204"/>
      <c r="UDY21" s="204"/>
      <c r="UDZ21" s="204"/>
      <c r="UEA21" s="204"/>
      <c r="UEB21" s="204"/>
      <c r="UEC21" s="204"/>
      <c r="UED21" s="204"/>
      <c r="UEE21" s="204"/>
      <c r="UEF21" s="204"/>
      <c r="UEG21" s="204"/>
      <c r="UEH21" s="204"/>
      <c r="UEI21" s="204"/>
      <c r="UEJ21" s="204"/>
      <c r="UEK21" s="204"/>
      <c r="UEL21" s="204"/>
      <c r="UEM21" s="204"/>
      <c r="UEN21" s="204"/>
      <c r="UEO21" s="204"/>
      <c r="UEP21" s="204"/>
      <c r="UEQ21" s="204"/>
      <c r="UER21" s="204"/>
      <c r="UES21" s="204"/>
      <c r="UET21" s="204"/>
      <c r="UEU21" s="204"/>
      <c r="UEV21" s="204"/>
      <c r="UEW21" s="204"/>
      <c r="UEX21" s="204"/>
      <c r="UEY21" s="204"/>
      <c r="UEZ21" s="204"/>
      <c r="UFA21" s="204"/>
      <c r="UFB21" s="204"/>
      <c r="UFC21" s="204"/>
      <c r="UFD21" s="204"/>
      <c r="UFE21" s="204"/>
      <c r="UFF21" s="204"/>
      <c r="UFG21" s="204"/>
      <c r="UFH21" s="204"/>
      <c r="UFI21" s="204"/>
      <c r="UFJ21" s="204"/>
      <c r="UFK21" s="204"/>
      <c r="UFL21" s="204"/>
      <c r="UFM21" s="204"/>
      <c r="UFN21" s="204"/>
      <c r="UFO21" s="204"/>
      <c r="UFP21" s="204"/>
      <c r="UFQ21" s="204"/>
      <c r="UFR21" s="204"/>
      <c r="UFS21" s="204"/>
      <c r="UFT21" s="204"/>
      <c r="UFU21" s="204"/>
      <c r="UFV21" s="204"/>
      <c r="UFW21" s="204"/>
      <c r="UFX21" s="204"/>
      <c r="UFY21" s="204"/>
      <c r="UFZ21" s="204"/>
      <c r="UGA21" s="204"/>
      <c r="UGB21" s="204"/>
      <c r="UGC21" s="204"/>
      <c r="UGD21" s="204"/>
      <c r="UGE21" s="204"/>
      <c r="UGF21" s="204"/>
      <c r="UGG21" s="204"/>
      <c r="UGH21" s="204"/>
      <c r="UGI21" s="204"/>
      <c r="UGJ21" s="204"/>
      <c r="UGK21" s="204"/>
      <c r="UGL21" s="204"/>
      <c r="UGM21" s="204"/>
      <c r="UGN21" s="204"/>
      <c r="UGO21" s="204"/>
      <c r="UGP21" s="204"/>
      <c r="UGQ21" s="204"/>
      <c r="UGR21" s="204"/>
      <c r="UGS21" s="204"/>
      <c r="UGT21" s="204"/>
      <c r="UGU21" s="204"/>
      <c r="UGV21" s="204"/>
      <c r="UGW21" s="204"/>
      <c r="UGX21" s="204"/>
      <c r="UGY21" s="204"/>
      <c r="UGZ21" s="204"/>
      <c r="UHA21" s="204"/>
      <c r="UHB21" s="204"/>
      <c r="UHC21" s="204"/>
      <c r="UHD21" s="204"/>
      <c r="UHE21" s="204"/>
      <c r="UHF21" s="204"/>
      <c r="UHG21" s="204"/>
      <c r="UHH21" s="204"/>
      <c r="UHI21" s="204"/>
      <c r="UHJ21" s="204"/>
      <c r="UHK21" s="204"/>
      <c r="UHL21" s="204"/>
      <c r="UHM21" s="204"/>
      <c r="UHN21" s="204"/>
      <c r="UHO21" s="204"/>
      <c r="UHP21" s="204"/>
      <c r="UHQ21" s="204"/>
      <c r="UHR21" s="204"/>
      <c r="UHS21" s="204"/>
      <c r="UHT21" s="204"/>
      <c r="UHU21" s="204"/>
      <c r="UHV21" s="204"/>
      <c r="UHW21" s="204"/>
      <c r="UHX21" s="204"/>
      <c r="UHY21" s="204"/>
      <c r="UHZ21" s="204"/>
      <c r="UIA21" s="204"/>
      <c r="UIB21" s="204"/>
      <c r="UIC21" s="204"/>
      <c r="UID21" s="204"/>
      <c r="UIE21" s="204"/>
      <c r="UIF21" s="204"/>
      <c r="UIG21" s="204"/>
      <c r="UIH21" s="204"/>
      <c r="UII21" s="204"/>
      <c r="UIJ21" s="204"/>
      <c r="UIK21" s="204"/>
      <c r="UIL21" s="204"/>
      <c r="UIM21" s="204"/>
      <c r="UIN21" s="204"/>
      <c r="UIO21" s="204"/>
      <c r="UIP21" s="204"/>
      <c r="UIQ21" s="204"/>
      <c r="UIR21" s="204"/>
      <c r="UIS21" s="204"/>
      <c r="UIT21" s="204"/>
      <c r="UIU21" s="204"/>
      <c r="UIV21" s="204"/>
      <c r="UIW21" s="204"/>
      <c r="UIX21" s="204"/>
      <c r="UIY21" s="204"/>
      <c r="UIZ21" s="204"/>
      <c r="UJA21" s="204"/>
      <c r="UJB21" s="204"/>
      <c r="UJC21" s="204"/>
      <c r="UJD21" s="204"/>
      <c r="UJE21" s="204"/>
      <c r="UJF21" s="204"/>
      <c r="UJG21" s="204"/>
      <c r="UJH21" s="204"/>
      <c r="UJI21" s="204"/>
      <c r="UJJ21" s="204"/>
      <c r="UJK21" s="204"/>
      <c r="UJL21" s="204"/>
      <c r="UJM21" s="204"/>
      <c r="UJN21" s="204"/>
      <c r="UJO21" s="204"/>
      <c r="UJP21" s="204"/>
      <c r="UJQ21" s="204"/>
      <c r="UJR21" s="204"/>
      <c r="UJS21" s="204"/>
      <c r="UJT21" s="204"/>
      <c r="UJU21" s="204"/>
      <c r="UJV21" s="204"/>
      <c r="UJW21" s="204"/>
      <c r="UJX21" s="204"/>
      <c r="UJY21" s="204"/>
      <c r="UJZ21" s="204"/>
      <c r="UKA21" s="204"/>
      <c r="UKB21" s="204"/>
      <c r="UKC21" s="204"/>
      <c r="UKD21" s="204"/>
      <c r="UKE21" s="204"/>
      <c r="UKF21" s="204"/>
      <c r="UKG21" s="204"/>
      <c r="UKH21" s="204"/>
      <c r="UKI21" s="204"/>
      <c r="UKJ21" s="204"/>
      <c r="UKK21" s="204"/>
      <c r="UKL21" s="204"/>
      <c r="UKM21" s="204"/>
      <c r="UKN21" s="204"/>
      <c r="UKO21" s="204"/>
      <c r="UKP21" s="204"/>
      <c r="UKQ21" s="204"/>
      <c r="UKR21" s="204"/>
      <c r="UKS21" s="204"/>
      <c r="UKT21" s="204"/>
      <c r="UKU21" s="204"/>
      <c r="UKV21" s="204"/>
      <c r="UKW21" s="204"/>
      <c r="UKX21" s="204"/>
      <c r="UKY21" s="204"/>
      <c r="UKZ21" s="204"/>
      <c r="ULA21" s="204"/>
      <c r="ULB21" s="204"/>
      <c r="ULC21" s="204"/>
      <c r="ULD21" s="204"/>
      <c r="ULE21" s="204"/>
      <c r="ULF21" s="204"/>
      <c r="ULG21" s="204"/>
      <c r="ULH21" s="204"/>
      <c r="ULI21" s="204"/>
      <c r="ULJ21" s="204"/>
      <c r="ULK21" s="204"/>
      <c r="ULL21" s="204"/>
      <c r="ULM21" s="204"/>
      <c r="ULN21" s="204"/>
      <c r="ULO21" s="204"/>
      <c r="ULP21" s="204"/>
      <c r="ULQ21" s="204"/>
      <c r="ULR21" s="204"/>
      <c r="ULS21" s="204"/>
      <c r="ULT21" s="204"/>
      <c r="ULU21" s="204"/>
      <c r="ULV21" s="204"/>
      <c r="ULW21" s="204"/>
      <c r="ULX21" s="204"/>
      <c r="ULY21" s="204"/>
      <c r="ULZ21" s="204"/>
      <c r="UMA21" s="204"/>
      <c r="UMB21" s="204"/>
      <c r="UMC21" s="204"/>
      <c r="UMD21" s="204"/>
      <c r="UME21" s="204"/>
      <c r="UMF21" s="204"/>
      <c r="UMG21" s="204"/>
      <c r="UMH21" s="204"/>
      <c r="UMI21" s="204"/>
      <c r="UMJ21" s="204"/>
      <c r="UMK21" s="204"/>
      <c r="UML21" s="204"/>
      <c r="UMM21" s="204"/>
      <c r="UMN21" s="204"/>
      <c r="UMO21" s="204"/>
      <c r="UMP21" s="204"/>
      <c r="UMQ21" s="204"/>
      <c r="UMR21" s="204"/>
      <c r="UMS21" s="204"/>
      <c r="UMT21" s="204"/>
      <c r="UMU21" s="204"/>
      <c r="UMV21" s="204"/>
      <c r="UMW21" s="204"/>
      <c r="UMX21" s="204"/>
      <c r="UMY21" s="204"/>
      <c r="UMZ21" s="204"/>
      <c r="UNA21" s="204"/>
      <c r="UNB21" s="204"/>
      <c r="UNC21" s="204"/>
      <c r="UND21" s="204"/>
      <c r="UNE21" s="204"/>
      <c r="UNF21" s="204"/>
      <c r="UNG21" s="204"/>
      <c r="UNH21" s="204"/>
      <c r="UNI21" s="204"/>
      <c r="UNJ21" s="204"/>
      <c r="UNK21" s="204"/>
      <c r="UNL21" s="204"/>
      <c r="UNM21" s="204"/>
      <c r="UNN21" s="204"/>
      <c r="UNO21" s="204"/>
      <c r="UNP21" s="204"/>
      <c r="UNQ21" s="204"/>
      <c r="UNR21" s="204"/>
      <c r="UNS21" s="204"/>
      <c r="UNT21" s="204"/>
      <c r="UNU21" s="204"/>
      <c r="UNV21" s="204"/>
      <c r="UNW21" s="204"/>
      <c r="UNX21" s="204"/>
      <c r="UNY21" s="204"/>
      <c r="UNZ21" s="204"/>
      <c r="UOA21" s="204"/>
      <c r="UOB21" s="204"/>
      <c r="UOC21" s="204"/>
      <c r="UOD21" s="204"/>
      <c r="UOE21" s="204"/>
      <c r="UOF21" s="204"/>
      <c r="UOG21" s="204"/>
      <c r="UOH21" s="204"/>
      <c r="UOI21" s="204"/>
      <c r="UOJ21" s="204"/>
      <c r="UOK21" s="204"/>
      <c r="UOL21" s="204"/>
      <c r="UOM21" s="204"/>
      <c r="UON21" s="204"/>
      <c r="UOO21" s="204"/>
      <c r="UOP21" s="204"/>
      <c r="UOQ21" s="204"/>
      <c r="UOR21" s="204"/>
      <c r="UOS21" s="204"/>
      <c r="UOT21" s="204"/>
      <c r="UOU21" s="204"/>
      <c r="UOV21" s="204"/>
      <c r="UOW21" s="204"/>
      <c r="UOX21" s="204"/>
      <c r="UOY21" s="204"/>
      <c r="UOZ21" s="204"/>
      <c r="UPA21" s="204"/>
      <c r="UPB21" s="204"/>
      <c r="UPC21" s="204"/>
      <c r="UPD21" s="204"/>
      <c r="UPE21" s="204"/>
      <c r="UPF21" s="204"/>
      <c r="UPG21" s="204"/>
      <c r="UPH21" s="204"/>
      <c r="UPI21" s="204"/>
      <c r="UPJ21" s="204"/>
      <c r="UPK21" s="204"/>
      <c r="UPL21" s="204"/>
      <c r="UPM21" s="204"/>
      <c r="UPN21" s="204"/>
      <c r="UPO21" s="204"/>
      <c r="UPP21" s="204"/>
      <c r="UPQ21" s="204"/>
      <c r="UPR21" s="204"/>
      <c r="UPS21" s="204"/>
      <c r="UPT21" s="204"/>
      <c r="UPU21" s="204"/>
      <c r="UPV21" s="204"/>
      <c r="UPW21" s="204"/>
      <c r="UPX21" s="204"/>
      <c r="UPY21" s="204"/>
      <c r="UPZ21" s="204"/>
      <c r="UQA21" s="204"/>
      <c r="UQB21" s="204"/>
      <c r="UQC21" s="204"/>
      <c r="UQD21" s="204"/>
      <c r="UQE21" s="204"/>
      <c r="UQF21" s="204"/>
      <c r="UQG21" s="204"/>
      <c r="UQH21" s="204"/>
      <c r="UQI21" s="204"/>
      <c r="UQJ21" s="204"/>
      <c r="UQK21" s="204"/>
      <c r="UQL21" s="204"/>
      <c r="UQM21" s="204"/>
      <c r="UQN21" s="204"/>
      <c r="UQO21" s="204"/>
      <c r="UQP21" s="204"/>
      <c r="UQQ21" s="204"/>
      <c r="UQR21" s="204"/>
      <c r="UQS21" s="204"/>
      <c r="UQT21" s="204"/>
      <c r="UQU21" s="204"/>
      <c r="UQV21" s="204"/>
      <c r="UQW21" s="204"/>
      <c r="UQX21" s="204"/>
      <c r="UQY21" s="204"/>
      <c r="UQZ21" s="204"/>
      <c r="URA21" s="204"/>
      <c r="URB21" s="204"/>
      <c r="URC21" s="204"/>
      <c r="URD21" s="204"/>
      <c r="URE21" s="204"/>
      <c r="URF21" s="204"/>
      <c r="URG21" s="204"/>
      <c r="URH21" s="204"/>
      <c r="URI21" s="204"/>
      <c r="URJ21" s="204"/>
      <c r="URK21" s="204"/>
      <c r="URL21" s="204"/>
      <c r="URM21" s="204"/>
      <c r="URN21" s="204"/>
      <c r="URO21" s="204"/>
      <c r="URP21" s="204"/>
      <c r="URQ21" s="204"/>
      <c r="URR21" s="204"/>
      <c r="URS21" s="204"/>
      <c r="URT21" s="204"/>
      <c r="URU21" s="204"/>
      <c r="URV21" s="204"/>
      <c r="URW21" s="204"/>
      <c r="URX21" s="204"/>
      <c r="URY21" s="204"/>
      <c r="URZ21" s="204"/>
      <c r="USA21" s="204"/>
      <c r="USB21" s="204"/>
      <c r="USC21" s="204"/>
      <c r="USD21" s="204"/>
      <c r="USE21" s="204"/>
      <c r="USF21" s="204"/>
      <c r="USG21" s="204"/>
      <c r="USH21" s="204"/>
      <c r="USI21" s="204"/>
      <c r="USJ21" s="204"/>
      <c r="USK21" s="204"/>
      <c r="USL21" s="204"/>
      <c r="USM21" s="204"/>
      <c r="USN21" s="204"/>
      <c r="USO21" s="204"/>
      <c r="USP21" s="204"/>
      <c r="USQ21" s="204"/>
      <c r="USR21" s="204"/>
      <c r="USS21" s="204"/>
      <c r="UST21" s="204"/>
      <c r="USU21" s="204"/>
      <c r="USV21" s="204"/>
      <c r="USW21" s="204"/>
      <c r="USX21" s="204"/>
      <c r="USY21" s="204"/>
      <c r="USZ21" s="204"/>
      <c r="UTA21" s="204"/>
      <c r="UTB21" s="204"/>
      <c r="UTC21" s="204"/>
      <c r="UTD21" s="204"/>
      <c r="UTE21" s="204"/>
      <c r="UTF21" s="204"/>
      <c r="UTG21" s="204"/>
      <c r="UTH21" s="204"/>
      <c r="UTI21" s="204"/>
      <c r="UTJ21" s="204"/>
      <c r="UTK21" s="204"/>
      <c r="UTL21" s="204"/>
      <c r="UTM21" s="204"/>
      <c r="UTN21" s="204"/>
      <c r="UTO21" s="204"/>
      <c r="UTP21" s="204"/>
      <c r="UTQ21" s="204"/>
      <c r="UTR21" s="204"/>
      <c r="UTS21" s="204"/>
      <c r="UTT21" s="204"/>
      <c r="UTU21" s="204"/>
      <c r="UTV21" s="204"/>
      <c r="UTW21" s="204"/>
      <c r="UTX21" s="204"/>
      <c r="UTY21" s="204"/>
      <c r="UTZ21" s="204"/>
      <c r="UUA21" s="204"/>
      <c r="UUB21" s="204"/>
      <c r="UUC21" s="204"/>
      <c r="UUD21" s="204"/>
      <c r="UUE21" s="204"/>
      <c r="UUF21" s="204"/>
      <c r="UUG21" s="204"/>
      <c r="UUH21" s="204"/>
      <c r="UUI21" s="204"/>
      <c r="UUJ21" s="204"/>
      <c r="UUK21" s="204"/>
      <c r="UUL21" s="204"/>
      <c r="UUM21" s="204"/>
      <c r="UUN21" s="204"/>
      <c r="UUO21" s="204"/>
      <c r="UUP21" s="204"/>
      <c r="UUQ21" s="204"/>
      <c r="UUR21" s="204"/>
      <c r="UUS21" s="204"/>
      <c r="UUT21" s="204"/>
      <c r="UUU21" s="204"/>
      <c r="UUV21" s="204"/>
      <c r="UUW21" s="204"/>
      <c r="UUX21" s="204"/>
      <c r="UUY21" s="204"/>
      <c r="UUZ21" s="204"/>
      <c r="UVA21" s="204"/>
      <c r="UVB21" s="204"/>
      <c r="UVC21" s="204"/>
      <c r="UVD21" s="204"/>
      <c r="UVE21" s="204"/>
      <c r="UVF21" s="204"/>
      <c r="UVG21" s="204"/>
      <c r="UVH21" s="204"/>
      <c r="UVI21" s="204"/>
      <c r="UVJ21" s="204"/>
      <c r="UVK21" s="204"/>
      <c r="UVL21" s="204"/>
      <c r="UVM21" s="204"/>
      <c r="UVN21" s="204"/>
      <c r="UVO21" s="204"/>
      <c r="UVP21" s="204"/>
      <c r="UVQ21" s="204"/>
      <c r="UVR21" s="204"/>
      <c r="UVS21" s="204"/>
      <c r="UVT21" s="204"/>
      <c r="UVU21" s="204"/>
      <c r="UVV21" s="204"/>
      <c r="UVW21" s="204"/>
      <c r="UVX21" s="204"/>
      <c r="UVY21" s="204"/>
      <c r="UVZ21" s="204"/>
      <c r="UWA21" s="204"/>
      <c r="UWB21" s="204"/>
      <c r="UWC21" s="204"/>
      <c r="UWD21" s="204"/>
      <c r="UWE21" s="204"/>
      <c r="UWF21" s="204"/>
      <c r="UWG21" s="204"/>
      <c r="UWH21" s="204"/>
      <c r="UWI21" s="204"/>
      <c r="UWJ21" s="204"/>
      <c r="UWK21" s="204"/>
      <c r="UWL21" s="204"/>
      <c r="UWM21" s="204"/>
      <c r="UWN21" s="204"/>
      <c r="UWO21" s="204"/>
      <c r="UWP21" s="204"/>
      <c r="UWQ21" s="204"/>
      <c r="UWR21" s="204"/>
      <c r="UWS21" s="204"/>
      <c r="UWT21" s="204"/>
      <c r="UWU21" s="204"/>
      <c r="UWV21" s="204"/>
      <c r="UWW21" s="204"/>
      <c r="UWX21" s="204"/>
      <c r="UWY21" s="204"/>
      <c r="UWZ21" s="204"/>
      <c r="UXA21" s="204"/>
      <c r="UXB21" s="204"/>
      <c r="UXC21" s="204"/>
      <c r="UXD21" s="204"/>
      <c r="UXE21" s="204"/>
      <c r="UXF21" s="204"/>
      <c r="UXG21" s="204"/>
      <c r="UXH21" s="204"/>
      <c r="UXI21" s="204"/>
      <c r="UXJ21" s="204"/>
      <c r="UXK21" s="204"/>
      <c r="UXL21" s="204"/>
      <c r="UXM21" s="204"/>
      <c r="UXN21" s="204"/>
      <c r="UXO21" s="204"/>
      <c r="UXP21" s="204"/>
      <c r="UXQ21" s="204"/>
      <c r="UXR21" s="204"/>
      <c r="UXS21" s="204"/>
      <c r="UXT21" s="204"/>
      <c r="UXU21" s="204"/>
      <c r="UXV21" s="204"/>
      <c r="UXW21" s="204"/>
      <c r="UXX21" s="204"/>
      <c r="UXY21" s="204"/>
      <c r="UXZ21" s="204"/>
      <c r="UYA21" s="204"/>
      <c r="UYB21" s="204"/>
      <c r="UYC21" s="204"/>
      <c r="UYD21" s="204"/>
      <c r="UYE21" s="204"/>
      <c r="UYF21" s="204"/>
      <c r="UYG21" s="204"/>
      <c r="UYH21" s="204"/>
      <c r="UYI21" s="204"/>
      <c r="UYJ21" s="204"/>
      <c r="UYK21" s="204"/>
      <c r="UYL21" s="204"/>
      <c r="UYM21" s="204"/>
      <c r="UYN21" s="204"/>
      <c r="UYO21" s="204"/>
      <c r="UYP21" s="204"/>
      <c r="UYQ21" s="204"/>
      <c r="UYR21" s="204"/>
      <c r="UYS21" s="204"/>
      <c r="UYT21" s="204"/>
      <c r="UYU21" s="204"/>
      <c r="UYV21" s="204"/>
      <c r="UYW21" s="204"/>
      <c r="UYX21" s="204"/>
      <c r="UYY21" s="204"/>
      <c r="UYZ21" s="204"/>
      <c r="UZA21" s="204"/>
      <c r="UZB21" s="204"/>
      <c r="UZC21" s="204"/>
      <c r="UZD21" s="204"/>
      <c r="UZE21" s="204"/>
      <c r="UZF21" s="204"/>
      <c r="UZG21" s="204"/>
      <c r="UZH21" s="204"/>
      <c r="UZI21" s="204"/>
      <c r="UZJ21" s="204"/>
      <c r="UZK21" s="204"/>
      <c r="UZL21" s="204"/>
      <c r="UZM21" s="204"/>
      <c r="UZN21" s="204"/>
      <c r="UZO21" s="204"/>
      <c r="UZP21" s="204"/>
      <c r="UZQ21" s="204"/>
      <c r="UZR21" s="204"/>
      <c r="UZS21" s="204"/>
      <c r="UZT21" s="204"/>
      <c r="UZU21" s="204"/>
      <c r="UZV21" s="204"/>
      <c r="UZW21" s="204"/>
      <c r="UZX21" s="204"/>
      <c r="UZY21" s="204"/>
      <c r="UZZ21" s="204"/>
      <c r="VAA21" s="204"/>
      <c r="VAB21" s="204"/>
      <c r="VAC21" s="204"/>
      <c r="VAD21" s="204"/>
      <c r="VAE21" s="204"/>
      <c r="VAF21" s="204"/>
      <c r="VAG21" s="204"/>
      <c r="VAH21" s="204"/>
      <c r="VAI21" s="204"/>
      <c r="VAJ21" s="204"/>
      <c r="VAK21" s="204"/>
      <c r="VAL21" s="204"/>
      <c r="VAM21" s="204"/>
      <c r="VAN21" s="204"/>
      <c r="VAO21" s="204"/>
      <c r="VAP21" s="204"/>
      <c r="VAQ21" s="204"/>
      <c r="VAR21" s="204"/>
      <c r="VAS21" s="204"/>
      <c r="VAT21" s="204"/>
      <c r="VAU21" s="204"/>
      <c r="VAV21" s="204"/>
      <c r="VAW21" s="204"/>
      <c r="VAX21" s="204"/>
      <c r="VAY21" s="204"/>
      <c r="VAZ21" s="204"/>
      <c r="VBA21" s="204"/>
      <c r="VBB21" s="204"/>
      <c r="VBC21" s="204"/>
      <c r="VBD21" s="204"/>
      <c r="VBE21" s="204"/>
      <c r="VBF21" s="204"/>
      <c r="VBG21" s="204"/>
      <c r="VBH21" s="204"/>
      <c r="VBI21" s="204"/>
      <c r="VBJ21" s="204"/>
      <c r="VBK21" s="204"/>
      <c r="VBL21" s="204"/>
      <c r="VBM21" s="204"/>
      <c r="VBN21" s="204"/>
      <c r="VBO21" s="204"/>
      <c r="VBP21" s="204"/>
      <c r="VBQ21" s="204"/>
      <c r="VBR21" s="204"/>
      <c r="VBS21" s="204"/>
      <c r="VBT21" s="204"/>
      <c r="VBU21" s="204"/>
      <c r="VBV21" s="204"/>
      <c r="VBW21" s="204"/>
      <c r="VBX21" s="204"/>
      <c r="VBY21" s="204"/>
      <c r="VBZ21" s="204"/>
      <c r="VCA21" s="204"/>
      <c r="VCB21" s="204"/>
      <c r="VCC21" s="204"/>
      <c r="VCD21" s="204"/>
      <c r="VCE21" s="204"/>
      <c r="VCF21" s="204"/>
      <c r="VCG21" s="204"/>
      <c r="VCH21" s="204"/>
      <c r="VCI21" s="204"/>
      <c r="VCJ21" s="204"/>
      <c r="VCK21" s="204"/>
      <c r="VCL21" s="204"/>
      <c r="VCM21" s="204"/>
      <c r="VCN21" s="204"/>
      <c r="VCO21" s="204"/>
      <c r="VCP21" s="204"/>
      <c r="VCQ21" s="204"/>
      <c r="VCR21" s="204"/>
      <c r="VCS21" s="204"/>
      <c r="VCT21" s="204"/>
      <c r="VCU21" s="204"/>
      <c r="VCV21" s="204"/>
      <c r="VCW21" s="204"/>
      <c r="VCX21" s="204"/>
      <c r="VCY21" s="204"/>
      <c r="VCZ21" s="204"/>
      <c r="VDA21" s="204"/>
      <c r="VDB21" s="204"/>
      <c r="VDC21" s="204"/>
      <c r="VDD21" s="204"/>
      <c r="VDE21" s="204"/>
      <c r="VDF21" s="204"/>
      <c r="VDG21" s="204"/>
      <c r="VDH21" s="204"/>
      <c r="VDI21" s="204"/>
      <c r="VDJ21" s="204"/>
      <c r="VDK21" s="204"/>
      <c r="VDL21" s="204"/>
      <c r="VDM21" s="204"/>
      <c r="VDN21" s="204"/>
      <c r="VDO21" s="204"/>
      <c r="VDP21" s="204"/>
      <c r="VDQ21" s="204"/>
      <c r="VDR21" s="204"/>
      <c r="VDS21" s="204"/>
      <c r="VDT21" s="204"/>
      <c r="VDU21" s="204"/>
      <c r="VDV21" s="204"/>
      <c r="VDW21" s="204"/>
      <c r="VDX21" s="204"/>
      <c r="VDY21" s="204"/>
      <c r="VDZ21" s="204"/>
      <c r="VEA21" s="204"/>
      <c r="VEB21" s="204"/>
      <c r="VEC21" s="204"/>
      <c r="VED21" s="204"/>
      <c r="VEE21" s="204"/>
      <c r="VEF21" s="204"/>
      <c r="VEG21" s="204"/>
      <c r="VEH21" s="204"/>
      <c r="VEI21" s="204"/>
      <c r="VEJ21" s="204"/>
      <c r="VEK21" s="204"/>
      <c r="VEL21" s="204"/>
      <c r="VEM21" s="204"/>
      <c r="VEN21" s="204"/>
      <c r="VEO21" s="204"/>
      <c r="VEP21" s="204"/>
      <c r="VEQ21" s="204"/>
      <c r="VER21" s="204"/>
      <c r="VES21" s="204"/>
      <c r="VET21" s="204"/>
      <c r="VEU21" s="204"/>
      <c r="VEV21" s="204"/>
      <c r="VEW21" s="204"/>
      <c r="VEX21" s="204"/>
      <c r="VEY21" s="204"/>
      <c r="VEZ21" s="204"/>
      <c r="VFA21" s="204"/>
      <c r="VFB21" s="204"/>
      <c r="VFC21" s="204"/>
      <c r="VFD21" s="204"/>
      <c r="VFE21" s="204"/>
      <c r="VFF21" s="204"/>
      <c r="VFG21" s="204"/>
      <c r="VFH21" s="204"/>
      <c r="VFI21" s="204"/>
      <c r="VFJ21" s="204"/>
      <c r="VFK21" s="204"/>
      <c r="VFL21" s="204"/>
      <c r="VFM21" s="204"/>
      <c r="VFN21" s="204"/>
      <c r="VFO21" s="204"/>
      <c r="VFP21" s="204"/>
      <c r="VFQ21" s="204"/>
      <c r="VFR21" s="204"/>
      <c r="VFS21" s="204"/>
      <c r="VFT21" s="204"/>
      <c r="VFU21" s="204"/>
      <c r="VFV21" s="204"/>
      <c r="VFW21" s="204"/>
      <c r="VFX21" s="204"/>
      <c r="VFY21" s="204"/>
      <c r="VFZ21" s="204"/>
      <c r="VGA21" s="204"/>
      <c r="VGB21" s="204"/>
      <c r="VGC21" s="204"/>
      <c r="VGD21" s="204"/>
      <c r="VGE21" s="204"/>
      <c r="VGF21" s="204"/>
      <c r="VGG21" s="204"/>
      <c r="VGH21" s="204"/>
      <c r="VGI21" s="204"/>
      <c r="VGJ21" s="204"/>
      <c r="VGK21" s="204"/>
      <c r="VGL21" s="204"/>
      <c r="VGM21" s="204"/>
      <c r="VGN21" s="204"/>
      <c r="VGO21" s="204"/>
      <c r="VGP21" s="204"/>
      <c r="VGQ21" s="204"/>
      <c r="VGR21" s="204"/>
      <c r="VGS21" s="204"/>
      <c r="VGT21" s="204"/>
      <c r="VGU21" s="204"/>
      <c r="VGV21" s="204"/>
      <c r="VGW21" s="204"/>
      <c r="VGX21" s="204"/>
      <c r="VGY21" s="204"/>
      <c r="VGZ21" s="204"/>
      <c r="VHA21" s="204"/>
      <c r="VHB21" s="204"/>
      <c r="VHC21" s="204"/>
      <c r="VHD21" s="204"/>
      <c r="VHE21" s="204"/>
      <c r="VHF21" s="204"/>
      <c r="VHG21" s="204"/>
      <c r="VHH21" s="204"/>
      <c r="VHI21" s="204"/>
      <c r="VHJ21" s="204"/>
      <c r="VHK21" s="204"/>
      <c r="VHL21" s="204"/>
      <c r="VHM21" s="204"/>
      <c r="VHN21" s="204"/>
      <c r="VHO21" s="204"/>
      <c r="VHP21" s="204"/>
      <c r="VHQ21" s="204"/>
      <c r="VHR21" s="204"/>
      <c r="VHS21" s="204"/>
      <c r="VHT21" s="204"/>
      <c r="VHU21" s="204"/>
      <c r="VHV21" s="204"/>
      <c r="VHW21" s="204"/>
      <c r="VHX21" s="204"/>
      <c r="VHY21" s="204"/>
      <c r="VHZ21" s="204"/>
      <c r="VIA21" s="204"/>
      <c r="VIB21" s="204"/>
      <c r="VIC21" s="204"/>
      <c r="VID21" s="204"/>
      <c r="VIE21" s="204"/>
      <c r="VIF21" s="204"/>
      <c r="VIG21" s="204"/>
      <c r="VIH21" s="204"/>
      <c r="VII21" s="204"/>
      <c r="VIJ21" s="204"/>
      <c r="VIK21" s="204"/>
      <c r="VIL21" s="204"/>
      <c r="VIM21" s="204"/>
      <c r="VIN21" s="204"/>
      <c r="VIO21" s="204"/>
      <c r="VIP21" s="204"/>
      <c r="VIQ21" s="204"/>
      <c r="VIR21" s="204"/>
      <c r="VIS21" s="204"/>
      <c r="VIT21" s="204"/>
      <c r="VIU21" s="204"/>
      <c r="VIV21" s="204"/>
      <c r="VIW21" s="204"/>
      <c r="VIX21" s="204"/>
      <c r="VIY21" s="204"/>
      <c r="VIZ21" s="204"/>
      <c r="VJA21" s="204"/>
      <c r="VJB21" s="204"/>
      <c r="VJC21" s="204"/>
      <c r="VJD21" s="204"/>
      <c r="VJE21" s="204"/>
      <c r="VJF21" s="204"/>
      <c r="VJG21" s="204"/>
      <c r="VJH21" s="204"/>
      <c r="VJI21" s="204"/>
      <c r="VJJ21" s="204"/>
      <c r="VJK21" s="204"/>
      <c r="VJL21" s="204"/>
      <c r="VJM21" s="204"/>
      <c r="VJN21" s="204"/>
      <c r="VJO21" s="204"/>
      <c r="VJP21" s="204"/>
      <c r="VJQ21" s="204"/>
      <c r="VJR21" s="204"/>
      <c r="VJS21" s="204"/>
      <c r="VJT21" s="204"/>
      <c r="VJU21" s="204"/>
      <c r="VJV21" s="204"/>
      <c r="VJW21" s="204"/>
      <c r="VJX21" s="204"/>
      <c r="VJY21" s="204"/>
      <c r="VJZ21" s="204"/>
      <c r="VKA21" s="204"/>
      <c r="VKB21" s="204"/>
      <c r="VKC21" s="204"/>
      <c r="VKD21" s="204"/>
      <c r="VKE21" s="204"/>
      <c r="VKF21" s="204"/>
      <c r="VKG21" s="204"/>
      <c r="VKH21" s="204"/>
      <c r="VKI21" s="204"/>
      <c r="VKJ21" s="204"/>
      <c r="VKK21" s="204"/>
      <c r="VKL21" s="204"/>
      <c r="VKM21" s="204"/>
      <c r="VKN21" s="204"/>
      <c r="VKO21" s="204"/>
      <c r="VKP21" s="204"/>
      <c r="VKQ21" s="204"/>
      <c r="VKR21" s="204"/>
      <c r="VKS21" s="204"/>
      <c r="VKT21" s="204"/>
      <c r="VKU21" s="204"/>
      <c r="VKV21" s="204"/>
      <c r="VKW21" s="204"/>
      <c r="VKX21" s="204"/>
      <c r="VKY21" s="204"/>
      <c r="VKZ21" s="204"/>
      <c r="VLA21" s="204"/>
      <c r="VLB21" s="204"/>
      <c r="VLC21" s="204"/>
      <c r="VLD21" s="204"/>
      <c r="VLE21" s="204"/>
      <c r="VLF21" s="204"/>
      <c r="VLG21" s="204"/>
      <c r="VLH21" s="204"/>
      <c r="VLI21" s="204"/>
      <c r="VLJ21" s="204"/>
      <c r="VLK21" s="204"/>
      <c r="VLL21" s="204"/>
      <c r="VLM21" s="204"/>
      <c r="VLN21" s="204"/>
      <c r="VLO21" s="204"/>
      <c r="VLP21" s="204"/>
      <c r="VLQ21" s="204"/>
      <c r="VLR21" s="204"/>
      <c r="VLS21" s="204"/>
      <c r="VLT21" s="204"/>
      <c r="VLU21" s="204"/>
      <c r="VLV21" s="204"/>
      <c r="VLW21" s="204"/>
      <c r="VLX21" s="204"/>
      <c r="VLY21" s="204"/>
      <c r="VLZ21" s="204"/>
      <c r="VMA21" s="204"/>
      <c r="VMB21" s="204"/>
      <c r="VMC21" s="204"/>
      <c r="VMD21" s="204"/>
      <c r="VME21" s="204"/>
      <c r="VMF21" s="204"/>
      <c r="VMG21" s="204"/>
      <c r="VMH21" s="204"/>
      <c r="VMI21" s="204"/>
      <c r="VMJ21" s="204"/>
      <c r="VMK21" s="204"/>
      <c r="VML21" s="204"/>
      <c r="VMM21" s="204"/>
      <c r="VMN21" s="204"/>
      <c r="VMO21" s="204"/>
      <c r="VMP21" s="204"/>
      <c r="VMQ21" s="204"/>
      <c r="VMR21" s="204"/>
      <c r="VMS21" s="204"/>
      <c r="VMT21" s="204"/>
      <c r="VMU21" s="204"/>
      <c r="VMV21" s="204"/>
      <c r="VMW21" s="204"/>
      <c r="VMX21" s="204"/>
      <c r="VMY21" s="204"/>
      <c r="VMZ21" s="204"/>
      <c r="VNA21" s="204"/>
      <c r="VNB21" s="204"/>
      <c r="VNC21" s="204"/>
      <c r="VND21" s="204"/>
      <c r="VNE21" s="204"/>
      <c r="VNF21" s="204"/>
      <c r="VNG21" s="204"/>
      <c r="VNH21" s="204"/>
      <c r="VNI21" s="204"/>
      <c r="VNJ21" s="204"/>
      <c r="VNK21" s="204"/>
      <c r="VNL21" s="204"/>
      <c r="VNM21" s="204"/>
      <c r="VNN21" s="204"/>
      <c r="VNO21" s="204"/>
      <c r="VNP21" s="204"/>
      <c r="VNQ21" s="204"/>
      <c r="VNR21" s="204"/>
      <c r="VNS21" s="204"/>
      <c r="VNT21" s="204"/>
      <c r="VNU21" s="204"/>
      <c r="VNV21" s="204"/>
      <c r="VNW21" s="204"/>
      <c r="VNX21" s="204"/>
      <c r="VNY21" s="204"/>
      <c r="VNZ21" s="204"/>
      <c r="VOA21" s="204"/>
      <c r="VOB21" s="204"/>
      <c r="VOC21" s="204"/>
      <c r="VOD21" s="204"/>
      <c r="VOE21" s="204"/>
      <c r="VOF21" s="204"/>
      <c r="VOG21" s="204"/>
      <c r="VOH21" s="204"/>
      <c r="VOI21" s="204"/>
      <c r="VOJ21" s="204"/>
      <c r="VOK21" s="204"/>
      <c r="VOL21" s="204"/>
      <c r="VOM21" s="204"/>
      <c r="VON21" s="204"/>
      <c r="VOO21" s="204"/>
      <c r="VOP21" s="204"/>
      <c r="VOQ21" s="204"/>
      <c r="VOR21" s="204"/>
      <c r="VOS21" s="204"/>
      <c r="VOT21" s="204"/>
      <c r="VOU21" s="204"/>
      <c r="VOV21" s="204"/>
      <c r="VOW21" s="204"/>
      <c r="VOX21" s="204"/>
      <c r="VOY21" s="204"/>
      <c r="VOZ21" s="204"/>
      <c r="VPA21" s="204"/>
      <c r="VPB21" s="204"/>
      <c r="VPC21" s="204"/>
      <c r="VPD21" s="204"/>
      <c r="VPE21" s="204"/>
      <c r="VPF21" s="204"/>
      <c r="VPG21" s="204"/>
      <c r="VPH21" s="204"/>
      <c r="VPI21" s="204"/>
      <c r="VPJ21" s="204"/>
      <c r="VPK21" s="204"/>
      <c r="VPL21" s="204"/>
      <c r="VPM21" s="204"/>
      <c r="VPN21" s="204"/>
      <c r="VPO21" s="204"/>
      <c r="VPP21" s="204"/>
      <c r="VPQ21" s="204"/>
      <c r="VPR21" s="204"/>
      <c r="VPS21" s="204"/>
      <c r="VPT21" s="204"/>
      <c r="VPU21" s="204"/>
      <c r="VPV21" s="204"/>
      <c r="VPW21" s="204"/>
      <c r="VPX21" s="204"/>
      <c r="VPY21" s="204"/>
      <c r="VPZ21" s="204"/>
      <c r="VQA21" s="204"/>
      <c r="VQB21" s="204"/>
      <c r="VQC21" s="204"/>
      <c r="VQD21" s="204"/>
      <c r="VQE21" s="204"/>
      <c r="VQF21" s="204"/>
      <c r="VQG21" s="204"/>
      <c r="VQH21" s="204"/>
      <c r="VQI21" s="204"/>
      <c r="VQJ21" s="204"/>
      <c r="VQK21" s="204"/>
      <c r="VQL21" s="204"/>
      <c r="VQM21" s="204"/>
      <c r="VQN21" s="204"/>
      <c r="VQO21" s="204"/>
      <c r="VQP21" s="204"/>
      <c r="VQQ21" s="204"/>
      <c r="VQR21" s="204"/>
      <c r="VQS21" s="204"/>
      <c r="VQT21" s="204"/>
      <c r="VQU21" s="204"/>
      <c r="VQV21" s="204"/>
      <c r="VQW21" s="204"/>
      <c r="VQX21" s="204"/>
      <c r="VQY21" s="204"/>
      <c r="VQZ21" s="204"/>
      <c r="VRA21" s="204"/>
      <c r="VRB21" s="204"/>
      <c r="VRC21" s="204"/>
      <c r="VRD21" s="204"/>
      <c r="VRE21" s="204"/>
      <c r="VRF21" s="204"/>
      <c r="VRG21" s="204"/>
      <c r="VRH21" s="204"/>
      <c r="VRI21" s="204"/>
      <c r="VRJ21" s="204"/>
      <c r="VRK21" s="204"/>
      <c r="VRL21" s="204"/>
      <c r="VRM21" s="204"/>
      <c r="VRN21" s="204"/>
      <c r="VRO21" s="204"/>
      <c r="VRP21" s="204"/>
      <c r="VRQ21" s="204"/>
      <c r="VRR21" s="204"/>
      <c r="VRS21" s="204"/>
      <c r="VRT21" s="204"/>
      <c r="VRU21" s="204"/>
      <c r="VRV21" s="204"/>
      <c r="VRW21" s="204"/>
      <c r="VRX21" s="204"/>
      <c r="VRY21" s="204"/>
      <c r="VRZ21" s="204"/>
      <c r="VSA21" s="204"/>
      <c r="VSB21" s="204"/>
      <c r="VSC21" s="204"/>
      <c r="VSD21" s="204"/>
      <c r="VSE21" s="204"/>
      <c r="VSF21" s="204"/>
      <c r="VSG21" s="204"/>
      <c r="VSH21" s="204"/>
      <c r="VSI21" s="204"/>
      <c r="VSJ21" s="204"/>
      <c r="VSK21" s="204"/>
      <c r="VSL21" s="204"/>
      <c r="VSM21" s="204"/>
      <c r="VSN21" s="204"/>
      <c r="VSO21" s="204"/>
      <c r="VSP21" s="204"/>
      <c r="VSQ21" s="204"/>
      <c r="VSR21" s="204"/>
      <c r="VSS21" s="204"/>
      <c r="VST21" s="204"/>
      <c r="VSU21" s="204"/>
      <c r="VSV21" s="204"/>
      <c r="VSW21" s="204"/>
      <c r="VSX21" s="204"/>
      <c r="VSY21" s="204"/>
      <c r="VSZ21" s="204"/>
      <c r="VTA21" s="204"/>
      <c r="VTB21" s="204"/>
      <c r="VTC21" s="204"/>
      <c r="VTD21" s="204"/>
      <c r="VTE21" s="204"/>
      <c r="VTF21" s="204"/>
      <c r="VTG21" s="204"/>
      <c r="VTH21" s="204"/>
      <c r="VTI21" s="204"/>
      <c r="VTJ21" s="204"/>
      <c r="VTK21" s="204"/>
      <c r="VTL21" s="204"/>
      <c r="VTM21" s="204"/>
      <c r="VTN21" s="204"/>
      <c r="VTO21" s="204"/>
      <c r="VTP21" s="204"/>
      <c r="VTQ21" s="204"/>
      <c r="VTR21" s="204"/>
      <c r="VTS21" s="204"/>
      <c r="VTT21" s="204"/>
      <c r="VTU21" s="204"/>
      <c r="VTV21" s="204"/>
      <c r="VTW21" s="204"/>
      <c r="VTX21" s="204"/>
      <c r="VTY21" s="204"/>
      <c r="VTZ21" s="204"/>
      <c r="VUA21" s="204"/>
      <c r="VUB21" s="204"/>
      <c r="VUC21" s="204"/>
      <c r="VUD21" s="204"/>
      <c r="VUE21" s="204"/>
      <c r="VUF21" s="204"/>
      <c r="VUG21" s="204"/>
      <c r="VUH21" s="204"/>
      <c r="VUI21" s="204"/>
      <c r="VUJ21" s="204"/>
      <c r="VUK21" s="204"/>
      <c r="VUL21" s="204"/>
      <c r="VUM21" s="204"/>
      <c r="VUN21" s="204"/>
      <c r="VUO21" s="204"/>
      <c r="VUP21" s="204"/>
      <c r="VUQ21" s="204"/>
      <c r="VUR21" s="204"/>
      <c r="VUS21" s="204"/>
      <c r="VUT21" s="204"/>
      <c r="VUU21" s="204"/>
      <c r="VUV21" s="204"/>
      <c r="VUW21" s="204"/>
      <c r="VUX21" s="204"/>
      <c r="VUY21" s="204"/>
      <c r="VUZ21" s="204"/>
      <c r="VVA21" s="204"/>
      <c r="VVB21" s="204"/>
      <c r="VVC21" s="204"/>
      <c r="VVD21" s="204"/>
      <c r="VVE21" s="204"/>
      <c r="VVF21" s="204"/>
      <c r="VVG21" s="204"/>
      <c r="VVH21" s="204"/>
      <c r="VVI21" s="204"/>
      <c r="VVJ21" s="204"/>
      <c r="VVK21" s="204"/>
      <c r="VVL21" s="204"/>
      <c r="VVM21" s="204"/>
      <c r="VVN21" s="204"/>
      <c r="VVO21" s="204"/>
      <c r="VVP21" s="204"/>
      <c r="VVQ21" s="204"/>
      <c r="VVR21" s="204"/>
      <c r="VVS21" s="204"/>
      <c r="VVT21" s="204"/>
      <c r="VVU21" s="204"/>
      <c r="VVV21" s="204"/>
      <c r="VVW21" s="204"/>
      <c r="VVX21" s="204"/>
      <c r="VVY21" s="204"/>
      <c r="VVZ21" s="204"/>
      <c r="VWA21" s="204"/>
      <c r="VWB21" s="204"/>
      <c r="VWC21" s="204"/>
      <c r="VWD21" s="204"/>
      <c r="VWE21" s="204"/>
      <c r="VWF21" s="204"/>
      <c r="VWG21" s="204"/>
      <c r="VWH21" s="204"/>
      <c r="VWI21" s="204"/>
      <c r="VWJ21" s="204"/>
      <c r="VWK21" s="204"/>
      <c r="VWL21" s="204"/>
      <c r="VWM21" s="204"/>
      <c r="VWN21" s="204"/>
      <c r="VWO21" s="204"/>
      <c r="VWP21" s="204"/>
      <c r="VWQ21" s="204"/>
      <c r="VWR21" s="204"/>
      <c r="VWS21" s="204"/>
      <c r="VWT21" s="204"/>
      <c r="VWU21" s="204"/>
      <c r="VWV21" s="204"/>
      <c r="VWW21" s="204"/>
      <c r="VWX21" s="204"/>
      <c r="VWY21" s="204"/>
      <c r="VWZ21" s="204"/>
      <c r="VXA21" s="204"/>
      <c r="VXB21" s="204"/>
      <c r="VXC21" s="204"/>
      <c r="VXD21" s="204"/>
      <c r="VXE21" s="204"/>
      <c r="VXF21" s="204"/>
      <c r="VXG21" s="204"/>
      <c r="VXH21" s="204"/>
      <c r="VXI21" s="204"/>
      <c r="VXJ21" s="204"/>
      <c r="VXK21" s="204"/>
      <c r="VXL21" s="204"/>
      <c r="VXM21" s="204"/>
      <c r="VXN21" s="204"/>
      <c r="VXO21" s="204"/>
      <c r="VXP21" s="204"/>
      <c r="VXQ21" s="204"/>
      <c r="VXR21" s="204"/>
      <c r="VXS21" s="204"/>
      <c r="VXT21" s="204"/>
      <c r="VXU21" s="204"/>
      <c r="VXV21" s="204"/>
      <c r="VXW21" s="204"/>
      <c r="VXX21" s="204"/>
      <c r="VXY21" s="204"/>
      <c r="VXZ21" s="204"/>
      <c r="VYA21" s="204"/>
      <c r="VYB21" s="204"/>
      <c r="VYC21" s="204"/>
      <c r="VYD21" s="204"/>
      <c r="VYE21" s="204"/>
      <c r="VYF21" s="204"/>
      <c r="VYG21" s="204"/>
      <c r="VYH21" s="204"/>
      <c r="VYI21" s="204"/>
      <c r="VYJ21" s="204"/>
      <c r="VYK21" s="204"/>
      <c r="VYL21" s="204"/>
      <c r="VYM21" s="204"/>
      <c r="VYN21" s="204"/>
      <c r="VYO21" s="204"/>
      <c r="VYP21" s="204"/>
      <c r="VYQ21" s="204"/>
      <c r="VYR21" s="204"/>
      <c r="VYS21" s="204"/>
      <c r="VYT21" s="204"/>
      <c r="VYU21" s="204"/>
      <c r="VYV21" s="204"/>
      <c r="VYW21" s="204"/>
      <c r="VYX21" s="204"/>
      <c r="VYY21" s="204"/>
      <c r="VYZ21" s="204"/>
      <c r="VZA21" s="204"/>
      <c r="VZB21" s="204"/>
      <c r="VZC21" s="204"/>
      <c r="VZD21" s="204"/>
      <c r="VZE21" s="204"/>
      <c r="VZF21" s="204"/>
      <c r="VZG21" s="204"/>
      <c r="VZH21" s="204"/>
      <c r="VZI21" s="204"/>
      <c r="VZJ21" s="204"/>
      <c r="VZK21" s="204"/>
      <c r="VZL21" s="204"/>
      <c r="VZM21" s="204"/>
      <c r="VZN21" s="204"/>
      <c r="VZO21" s="204"/>
      <c r="VZP21" s="204"/>
      <c r="VZQ21" s="204"/>
      <c r="VZR21" s="204"/>
      <c r="VZS21" s="204"/>
      <c r="VZT21" s="204"/>
      <c r="VZU21" s="204"/>
      <c r="VZV21" s="204"/>
      <c r="VZW21" s="204"/>
      <c r="VZX21" s="204"/>
      <c r="VZY21" s="204"/>
      <c r="VZZ21" s="204"/>
      <c r="WAA21" s="204"/>
      <c r="WAB21" s="204"/>
      <c r="WAC21" s="204"/>
      <c r="WAD21" s="204"/>
      <c r="WAE21" s="204"/>
      <c r="WAF21" s="204"/>
      <c r="WAG21" s="204"/>
      <c r="WAH21" s="204"/>
      <c r="WAI21" s="204"/>
      <c r="WAJ21" s="204"/>
      <c r="WAK21" s="204"/>
      <c r="WAL21" s="204"/>
      <c r="WAM21" s="204"/>
      <c r="WAN21" s="204"/>
      <c r="WAO21" s="204"/>
      <c r="WAP21" s="204"/>
      <c r="WAQ21" s="204"/>
      <c r="WAR21" s="204"/>
      <c r="WAS21" s="204"/>
      <c r="WAT21" s="204"/>
      <c r="WAU21" s="204"/>
      <c r="WAV21" s="204"/>
      <c r="WAW21" s="204"/>
      <c r="WAX21" s="204"/>
      <c r="WAY21" s="204"/>
      <c r="WAZ21" s="204"/>
      <c r="WBA21" s="204"/>
      <c r="WBB21" s="204"/>
      <c r="WBC21" s="204"/>
      <c r="WBD21" s="204"/>
      <c r="WBE21" s="204"/>
      <c r="WBF21" s="204"/>
      <c r="WBG21" s="204"/>
      <c r="WBH21" s="204"/>
      <c r="WBI21" s="204"/>
      <c r="WBJ21" s="204"/>
      <c r="WBK21" s="204"/>
      <c r="WBL21" s="204"/>
      <c r="WBM21" s="204"/>
      <c r="WBN21" s="204"/>
      <c r="WBO21" s="204"/>
      <c r="WBP21" s="204"/>
      <c r="WBQ21" s="204"/>
      <c r="WBR21" s="204"/>
      <c r="WBS21" s="204"/>
      <c r="WBT21" s="204"/>
      <c r="WBU21" s="204"/>
      <c r="WBV21" s="204"/>
      <c r="WBW21" s="204"/>
      <c r="WBX21" s="204"/>
      <c r="WBY21" s="204"/>
      <c r="WBZ21" s="204"/>
      <c r="WCA21" s="204"/>
      <c r="WCB21" s="204"/>
      <c r="WCC21" s="204"/>
      <c r="WCD21" s="204"/>
      <c r="WCE21" s="204"/>
      <c r="WCF21" s="204"/>
      <c r="WCG21" s="204"/>
      <c r="WCH21" s="204"/>
      <c r="WCI21" s="204"/>
      <c r="WCJ21" s="204"/>
      <c r="WCK21" s="204"/>
      <c r="WCL21" s="204"/>
      <c r="WCM21" s="204"/>
      <c r="WCN21" s="204"/>
      <c r="WCO21" s="204"/>
      <c r="WCP21" s="204"/>
      <c r="WCQ21" s="204"/>
      <c r="WCR21" s="204"/>
      <c r="WCS21" s="204"/>
      <c r="WCT21" s="204"/>
      <c r="WCU21" s="204"/>
      <c r="WCV21" s="204"/>
      <c r="WCW21" s="204"/>
      <c r="WCX21" s="204"/>
      <c r="WCY21" s="204"/>
      <c r="WCZ21" s="204"/>
      <c r="WDA21" s="204"/>
      <c r="WDB21" s="204"/>
      <c r="WDC21" s="204"/>
      <c r="WDD21" s="204"/>
      <c r="WDE21" s="204"/>
      <c r="WDF21" s="204"/>
      <c r="WDG21" s="204"/>
      <c r="WDH21" s="204"/>
      <c r="WDI21" s="204"/>
      <c r="WDJ21" s="204"/>
      <c r="WDK21" s="204"/>
      <c r="WDL21" s="204"/>
      <c r="WDM21" s="204"/>
      <c r="WDN21" s="204"/>
      <c r="WDO21" s="204"/>
      <c r="WDP21" s="204"/>
      <c r="WDQ21" s="204"/>
      <c r="WDR21" s="204"/>
      <c r="WDS21" s="204"/>
      <c r="WDT21" s="204"/>
      <c r="WDU21" s="204"/>
      <c r="WDV21" s="204"/>
      <c r="WDW21" s="204"/>
      <c r="WDX21" s="204"/>
      <c r="WDY21" s="204"/>
      <c r="WDZ21" s="204"/>
      <c r="WEA21" s="204"/>
      <c r="WEB21" s="204"/>
      <c r="WEC21" s="204"/>
      <c r="WED21" s="204"/>
      <c r="WEE21" s="204"/>
      <c r="WEF21" s="204"/>
      <c r="WEG21" s="204"/>
      <c r="WEH21" s="204"/>
      <c r="WEI21" s="204"/>
      <c r="WEJ21" s="204"/>
      <c r="WEK21" s="204"/>
      <c r="WEL21" s="204"/>
      <c r="WEM21" s="204"/>
      <c r="WEN21" s="204"/>
      <c r="WEO21" s="204"/>
      <c r="WEP21" s="204"/>
      <c r="WEQ21" s="204"/>
      <c r="WER21" s="204"/>
      <c r="WES21" s="204"/>
      <c r="WET21" s="204"/>
      <c r="WEU21" s="204"/>
      <c r="WEV21" s="204"/>
      <c r="WEW21" s="204"/>
      <c r="WEX21" s="204"/>
      <c r="WEY21" s="204"/>
      <c r="WEZ21" s="204"/>
      <c r="WFA21" s="204"/>
      <c r="WFB21" s="204"/>
      <c r="WFC21" s="204"/>
      <c r="WFD21" s="204"/>
      <c r="WFE21" s="204"/>
      <c r="WFF21" s="204"/>
      <c r="WFG21" s="204"/>
      <c r="WFH21" s="204"/>
      <c r="WFI21" s="204"/>
      <c r="WFJ21" s="204"/>
      <c r="WFK21" s="204"/>
      <c r="WFL21" s="204"/>
      <c r="WFM21" s="204"/>
      <c r="WFN21" s="204"/>
      <c r="WFO21" s="204"/>
      <c r="WFP21" s="204"/>
      <c r="WFQ21" s="204"/>
      <c r="WFR21" s="204"/>
      <c r="WFS21" s="204"/>
      <c r="WFT21" s="204"/>
      <c r="WFU21" s="204"/>
      <c r="WFV21" s="204"/>
      <c r="WFW21" s="204"/>
      <c r="WFX21" s="204"/>
      <c r="WFY21" s="204"/>
      <c r="WFZ21" s="204"/>
      <c r="WGA21" s="204"/>
      <c r="WGB21" s="204"/>
      <c r="WGC21" s="204"/>
      <c r="WGD21" s="204"/>
      <c r="WGE21" s="204"/>
      <c r="WGF21" s="204"/>
      <c r="WGG21" s="204"/>
      <c r="WGH21" s="204"/>
      <c r="WGI21" s="204"/>
      <c r="WGJ21" s="204"/>
      <c r="WGK21" s="204"/>
      <c r="WGL21" s="204"/>
      <c r="WGM21" s="204"/>
      <c r="WGN21" s="204"/>
      <c r="WGO21" s="204"/>
      <c r="WGP21" s="204"/>
      <c r="WGQ21" s="204"/>
      <c r="WGR21" s="204"/>
      <c r="WGS21" s="204"/>
      <c r="WGT21" s="204"/>
      <c r="WGU21" s="204"/>
      <c r="WGV21" s="204"/>
      <c r="WGW21" s="204"/>
      <c r="WGX21" s="204"/>
      <c r="WGY21" s="204"/>
      <c r="WGZ21" s="204"/>
      <c r="WHA21" s="204"/>
      <c r="WHB21" s="204"/>
      <c r="WHC21" s="204"/>
      <c r="WHD21" s="204"/>
      <c r="WHE21" s="204"/>
      <c r="WHF21" s="204"/>
      <c r="WHG21" s="204"/>
      <c r="WHH21" s="204"/>
      <c r="WHI21" s="204"/>
      <c r="WHJ21" s="204"/>
      <c r="WHK21" s="204"/>
      <c r="WHL21" s="204"/>
      <c r="WHM21" s="204"/>
      <c r="WHN21" s="204"/>
      <c r="WHO21" s="204"/>
      <c r="WHP21" s="204"/>
      <c r="WHQ21" s="204"/>
      <c r="WHR21" s="204"/>
      <c r="WHS21" s="204"/>
      <c r="WHT21" s="204"/>
      <c r="WHU21" s="204"/>
      <c r="WHV21" s="204"/>
      <c r="WHW21" s="204"/>
      <c r="WHX21" s="204"/>
      <c r="WHY21" s="204"/>
      <c r="WHZ21" s="204"/>
      <c r="WIA21" s="204"/>
      <c r="WIB21" s="204"/>
      <c r="WIC21" s="204"/>
      <c r="WID21" s="204"/>
      <c r="WIE21" s="204"/>
      <c r="WIF21" s="204"/>
      <c r="WIG21" s="204"/>
      <c r="WIH21" s="204"/>
      <c r="WII21" s="204"/>
      <c r="WIJ21" s="204"/>
      <c r="WIK21" s="204"/>
      <c r="WIL21" s="204"/>
      <c r="WIM21" s="204"/>
      <c r="WIN21" s="204"/>
      <c r="WIO21" s="204"/>
      <c r="WIP21" s="204"/>
      <c r="WIQ21" s="204"/>
      <c r="WIR21" s="204"/>
      <c r="WIS21" s="204"/>
      <c r="WIT21" s="204"/>
      <c r="WIU21" s="204"/>
      <c r="WIV21" s="204"/>
      <c r="WIW21" s="204"/>
      <c r="WIX21" s="204"/>
      <c r="WIY21" s="204"/>
      <c r="WIZ21" s="204"/>
      <c r="WJA21" s="204"/>
      <c r="WJB21" s="204"/>
      <c r="WJC21" s="204"/>
      <c r="WJD21" s="204"/>
      <c r="WJE21" s="204"/>
      <c r="WJF21" s="204"/>
      <c r="WJG21" s="204"/>
      <c r="WJH21" s="204"/>
      <c r="WJI21" s="204"/>
      <c r="WJJ21" s="204"/>
      <c r="WJK21" s="204"/>
      <c r="WJL21" s="204"/>
      <c r="WJM21" s="204"/>
      <c r="WJN21" s="204"/>
      <c r="WJO21" s="204"/>
      <c r="WJP21" s="204"/>
      <c r="WJQ21" s="204"/>
      <c r="WJR21" s="204"/>
      <c r="WJS21" s="204"/>
      <c r="WJT21" s="204"/>
      <c r="WJU21" s="204"/>
      <c r="WJV21" s="204"/>
      <c r="WJW21" s="204"/>
      <c r="WJX21" s="204"/>
      <c r="WJY21" s="204"/>
      <c r="WJZ21" s="204"/>
      <c r="WKA21" s="204"/>
      <c r="WKB21" s="204"/>
      <c r="WKC21" s="204"/>
      <c r="WKD21" s="204"/>
      <c r="WKE21" s="204"/>
      <c r="WKF21" s="204"/>
      <c r="WKG21" s="204"/>
      <c r="WKH21" s="204"/>
      <c r="WKI21" s="204"/>
      <c r="WKJ21" s="204"/>
      <c r="WKK21" s="204"/>
      <c r="WKL21" s="204"/>
      <c r="WKM21" s="204"/>
      <c r="WKN21" s="204"/>
      <c r="WKO21" s="204"/>
      <c r="WKP21" s="204"/>
      <c r="WKQ21" s="204"/>
      <c r="WKR21" s="204"/>
      <c r="WKS21" s="204"/>
      <c r="WKT21" s="204"/>
      <c r="WKU21" s="204"/>
      <c r="WKV21" s="204"/>
      <c r="WKW21" s="204"/>
      <c r="WKX21" s="204"/>
      <c r="WKY21" s="204"/>
      <c r="WKZ21" s="204"/>
      <c r="WLA21" s="204"/>
      <c r="WLB21" s="204"/>
      <c r="WLC21" s="204"/>
      <c r="WLD21" s="204"/>
      <c r="WLE21" s="204"/>
      <c r="WLF21" s="204"/>
      <c r="WLG21" s="204"/>
      <c r="WLH21" s="204"/>
      <c r="WLI21" s="204"/>
      <c r="WLJ21" s="204"/>
      <c r="WLK21" s="204"/>
      <c r="WLL21" s="204"/>
      <c r="WLM21" s="204"/>
      <c r="WLN21" s="204"/>
      <c r="WLO21" s="204"/>
      <c r="WLP21" s="204"/>
      <c r="WLQ21" s="204"/>
      <c r="WLR21" s="204"/>
      <c r="WLS21" s="204"/>
      <c r="WLT21" s="204"/>
      <c r="WLU21" s="204"/>
      <c r="WLV21" s="204"/>
      <c r="WLW21" s="204"/>
      <c r="WLX21" s="204"/>
      <c r="WLY21" s="204"/>
      <c r="WLZ21" s="204"/>
      <c r="WMA21" s="204"/>
      <c r="WMB21" s="204"/>
      <c r="WMC21" s="204"/>
      <c r="WMD21" s="204"/>
      <c r="WME21" s="204"/>
      <c r="WMF21" s="204"/>
      <c r="WMG21" s="204"/>
      <c r="WMH21" s="204"/>
      <c r="WMI21" s="204"/>
      <c r="WMJ21" s="204"/>
      <c r="WMK21" s="204"/>
      <c r="WML21" s="204"/>
      <c r="WMM21" s="204"/>
      <c r="WMN21" s="204"/>
      <c r="WMO21" s="204"/>
      <c r="WMP21" s="204"/>
      <c r="WMQ21" s="204"/>
      <c r="WMR21" s="204"/>
      <c r="WMS21" s="204"/>
      <c r="WMT21" s="204"/>
      <c r="WMU21" s="204"/>
      <c r="WMV21" s="204"/>
      <c r="WMW21" s="204"/>
      <c r="WMX21" s="204"/>
      <c r="WMY21" s="204"/>
      <c r="WMZ21" s="204"/>
      <c r="WNA21" s="204"/>
      <c r="WNB21" s="204"/>
      <c r="WNC21" s="204"/>
      <c r="WND21" s="204"/>
      <c r="WNE21" s="204"/>
      <c r="WNF21" s="204"/>
      <c r="WNG21" s="204"/>
      <c r="WNH21" s="204"/>
      <c r="WNI21" s="204"/>
      <c r="WNJ21" s="204"/>
      <c r="WNK21" s="204"/>
      <c r="WNL21" s="204"/>
      <c r="WNM21" s="204"/>
      <c r="WNN21" s="204"/>
      <c r="WNO21" s="204"/>
      <c r="WNP21" s="204"/>
      <c r="WNQ21" s="204"/>
      <c r="WNR21" s="204"/>
      <c r="WNS21" s="204"/>
      <c r="WNT21" s="204"/>
      <c r="WNU21" s="204"/>
      <c r="WNV21" s="204"/>
      <c r="WNW21" s="204"/>
      <c r="WNX21" s="204"/>
      <c r="WNY21" s="204"/>
      <c r="WNZ21" s="204"/>
      <c r="WOA21" s="204"/>
      <c r="WOB21" s="204"/>
      <c r="WOC21" s="204"/>
      <c r="WOD21" s="204"/>
      <c r="WOE21" s="204"/>
      <c r="WOF21" s="204"/>
      <c r="WOG21" s="204"/>
      <c r="WOH21" s="204"/>
      <c r="WOI21" s="204"/>
      <c r="WOJ21" s="204"/>
      <c r="WOK21" s="204"/>
      <c r="WOL21" s="204"/>
      <c r="WOM21" s="204"/>
      <c r="WON21" s="204"/>
      <c r="WOO21" s="204"/>
      <c r="WOP21" s="204"/>
      <c r="WOQ21" s="204"/>
      <c r="WOR21" s="204"/>
      <c r="WOS21" s="204"/>
      <c r="WOT21" s="204"/>
      <c r="WOU21" s="204"/>
      <c r="WOV21" s="204"/>
      <c r="WOW21" s="204"/>
      <c r="WOX21" s="204"/>
      <c r="WOY21" s="204"/>
      <c r="WOZ21" s="204"/>
      <c r="WPA21" s="204"/>
      <c r="WPB21" s="204"/>
      <c r="WPC21" s="204"/>
      <c r="WPD21" s="204"/>
      <c r="WPE21" s="204"/>
      <c r="WPF21" s="204"/>
      <c r="WPG21" s="204"/>
      <c r="WPH21" s="204"/>
      <c r="WPI21" s="204"/>
      <c r="WPJ21" s="204"/>
      <c r="WPK21" s="204"/>
      <c r="WPL21" s="204"/>
      <c r="WPM21" s="204"/>
      <c r="WPN21" s="204"/>
      <c r="WPO21" s="204"/>
      <c r="WPP21" s="204"/>
      <c r="WPQ21" s="204"/>
      <c r="WPR21" s="204"/>
      <c r="WPS21" s="204"/>
      <c r="WPT21" s="204"/>
      <c r="WPU21" s="204"/>
      <c r="WPV21" s="204"/>
      <c r="WPW21" s="204"/>
      <c r="WPX21" s="204"/>
      <c r="WPY21" s="204"/>
      <c r="WPZ21" s="204"/>
      <c r="WQA21" s="204"/>
      <c r="WQB21" s="204"/>
      <c r="WQC21" s="204"/>
      <c r="WQD21" s="204"/>
      <c r="WQE21" s="204"/>
      <c r="WQF21" s="204"/>
      <c r="WQG21" s="204"/>
      <c r="WQH21" s="204"/>
      <c r="WQI21" s="204"/>
      <c r="WQJ21" s="204"/>
      <c r="WQK21" s="204"/>
      <c r="WQL21" s="204"/>
      <c r="WQM21" s="204"/>
      <c r="WQN21" s="204"/>
      <c r="WQO21" s="204"/>
      <c r="WQP21" s="204"/>
      <c r="WQQ21" s="204"/>
      <c r="WQR21" s="204"/>
      <c r="WQS21" s="204"/>
      <c r="WQT21" s="204"/>
      <c r="WQU21" s="204"/>
      <c r="WQV21" s="204"/>
      <c r="WQW21" s="204"/>
      <c r="WQX21" s="204"/>
      <c r="WQY21" s="204"/>
      <c r="WQZ21" s="204"/>
      <c r="WRA21" s="204"/>
      <c r="WRB21" s="204"/>
      <c r="WRC21" s="204"/>
      <c r="WRD21" s="204"/>
      <c r="WRE21" s="204"/>
      <c r="WRF21" s="204"/>
      <c r="WRG21" s="204"/>
      <c r="WRH21" s="204"/>
      <c r="WRI21" s="204"/>
      <c r="WRJ21" s="204"/>
      <c r="WRK21" s="204"/>
      <c r="WRL21" s="204"/>
      <c r="WRM21" s="204"/>
      <c r="WRN21" s="204"/>
      <c r="WRO21" s="204"/>
      <c r="WRP21" s="204"/>
      <c r="WRQ21" s="204"/>
      <c r="WRR21" s="204"/>
      <c r="WRS21" s="204"/>
      <c r="WRT21" s="204"/>
      <c r="WRU21" s="204"/>
      <c r="WRV21" s="204"/>
      <c r="WRW21" s="204"/>
      <c r="WRX21" s="204"/>
      <c r="WRY21" s="204"/>
      <c r="WRZ21" s="204"/>
      <c r="WSA21" s="204"/>
      <c r="WSB21" s="204"/>
      <c r="WSC21" s="204"/>
      <c r="WSD21" s="204"/>
      <c r="WSE21" s="204"/>
      <c r="WSF21" s="204"/>
      <c r="WSG21" s="204"/>
      <c r="WSH21" s="204"/>
      <c r="WSI21" s="204"/>
      <c r="WSJ21" s="204"/>
      <c r="WSK21" s="204"/>
      <c r="WSL21" s="204"/>
      <c r="WSM21" s="204"/>
      <c r="WSN21" s="204"/>
      <c r="WSO21" s="204"/>
      <c r="WSP21" s="204"/>
      <c r="WSQ21" s="204"/>
      <c r="WSR21" s="204"/>
      <c r="WSS21" s="204"/>
      <c r="WST21" s="204"/>
      <c r="WSU21" s="204"/>
      <c r="WSV21" s="204"/>
      <c r="WSW21" s="204"/>
      <c r="WSX21" s="204"/>
      <c r="WSY21" s="204"/>
      <c r="WSZ21" s="204"/>
      <c r="WTA21" s="204"/>
      <c r="WTB21" s="204"/>
      <c r="WTC21" s="204"/>
      <c r="WTD21" s="204"/>
      <c r="WTE21" s="204"/>
      <c r="WTF21" s="204"/>
      <c r="WTG21" s="204"/>
      <c r="WTH21" s="204"/>
      <c r="WTI21" s="204"/>
      <c r="WTJ21" s="204"/>
      <c r="WTK21" s="204"/>
      <c r="WTL21" s="204"/>
      <c r="WTM21" s="204"/>
      <c r="WTN21" s="204"/>
      <c r="WTO21" s="204"/>
      <c r="WTP21" s="204"/>
      <c r="WTQ21" s="204"/>
      <c r="WTR21" s="204"/>
      <c r="WTS21" s="204"/>
      <c r="WTT21" s="204"/>
      <c r="WTU21" s="204"/>
      <c r="WTV21" s="204"/>
      <c r="WTW21" s="204"/>
      <c r="WTX21" s="204"/>
      <c r="WTY21" s="204"/>
      <c r="WTZ21" s="204"/>
      <c r="WUA21" s="204"/>
      <c r="WUB21" s="204"/>
      <c r="WUC21" s="204"/>
      <c r="WUD21" s="204"/>
      <c r="WUE21" s="204"/>
      <c r="WUF21" s="204"/>
      <c r="WUG21" s="204"/>
      <c r="WUH21" s="204"/>
      <c r="WUI21" s="204"/>
      <c r="WUJ21" s="204"/>
      <c r="WUK21" s="204"/>
      <c r="WUL21" s="204"/>
      <c r="WUM21" s="204"/>
      <c r="WUN21" s="204"/>
      <c r="WUO21" s="204"/>
      <c r="WUP21" s="204"/>
      <c r="WUQ21" s="204"/>
      <c r="WUR21" s="204"/>
      <c r="WUS21" s="204"/>
      <c r="WUT21" s="204"/>
      <c r="WUU21" s="204"/>
      <c r="WUV21" s="204"/>
      <c r="WUW21" s="204"/>
      <c r="WUX21" s="204"/>
      <c r="WUY21" s="204"/>
      <c r="WUZ21" s="204"/>
      <c r="WVA21" s="204"/>
      <c r="WVB21" s="204"/>
      <c r="WVC21" s="204"/>
      <c r="WVD21" s="204"/>
      <c r="WVE21" s="204"/>
      <c r="WVF21" s="204"/>
      <c r="WVG21" s="204"/>
      <c r="WVH21" s="204"/>
      <c r="WVI21" s="204"/>
      <c r="WVJ21" s="204"/>
      <c r="WVK21" s="204"/>
      <c r="WVL21" s="204"/>
      <c r="WVM21" s="204"/>
      <c r="WVN21" s="204"/>
      <c r="WVO21" s="204"/>
      <c r="WVP21" s="204"/>
      <c r="WVQ21" s="204"/>
      <c r="WVR21" s="204"/>
      <c r="WVS21" s="204"/>
      <c r="WVT21" s="204"/>
      <c r="WVU21" s="204"/>
      <c r="WVV21" s="204"/>
      <c r="WVW21" s="204"/>
      <c r="WVX21" s="204"/>
      <c r="WVY21" s="204"/>
      <c r="WVZ21" s="204"/>
      <c r="WWA21" s="204"/>
      <c r="WWB21" s="204"/>
      <c r="WWC21" s="204"/>
      <c r="WWD21" s="204"/>
      <c r="WWE21" s="204"/>
      <c r="WWF21" s="204"/>
      <c r="WWG21" s="204"/>
      <c r="WWH21" s="204"/>
      <c r="WWI21" s="204"/>
      <c r="WWJ21" s="204"/>
      <c r="WWK21" s="204"/>
      <c r="WWL21" s="204"/>
      <c r="WWM21" s="204"/>
      <c r="WWN21" s="204"/>
      <c r="WWO21" s="204"/>
      <c r="WWP21" s="204"/>
      <c r="WWQ21" s="204"/>
      <c r="WWR21" s="204"/>
      <c r="WWS21" s="204"/>
      <c r="WWT21" s="204"/>
      <c r="WWU21" s="204"/>
      <c r="WWV21" s="204"/>
      <c r="WWW21" s="204"/>
      <c r="WWX21" s="204"/>
      <c r="WWY21" s="204"/>
      <c r="WWZ21" s="204"/>
      <c r="WXA21" s="204"/>
      <c r="WXB21" s="204"/>
      <c r="WXC21" s="204"/>
      <c r="WXD21" s="204"/>
      <c r="WXE21" s="204"/>
      <c r="WXF21" s="204"/>
      <c r="WXG21" s="204"/>
      <c r="WXH21" s="204"/>
      <c r="WXI21" s="204"/>
      <c r="WXJ21" s="204"/>
      <c r="WXK21" s="204"/>
      <c r="WXL21" s="204"/>
      <c r="WXM21" s="204"/>
      <c r="WXN21" s="204"/>
      <c r="WXO21" s="204"/>
      <c r="WXP21" s="204"/>
      <c r="WXQ21" s="204"/>
      <c r="WXR21" s="204"/>
      <c r="WXS21" s="204"/>
      <c r="WXT21" s="204"/>
      <c r="WXU21" s="204"/>
      <c r="WXV21" s="204"/>
      <c r="WXW21" s="204"/>
      <c r="WXX21" s="204"/>
      <c r="WXY21" s="204"/>
      <c r="WXZ21" s="204"/>
      <c r="WYA21" s="204"/>
      <c r="WYB21" s="204"/>
      <c r="WYC21" s="204"/>
      <c r="WYD21" s="204"/>
      <c r="WYE21" s="204"/>
      <c r="WYF21" s="204"/>
      <c r="WYG21" s="204"/>
      <c r="WYH21" s="204"/>
      <c r="WYI21" s="204"/>
      <c r="WYJ21" s="204"/>
      <c r="WYK21" s="204"/>
      <c r="WYL21" s="204"/>
      <c r="WYM21" s="204"/>
      <c r="WYN21" s="204"/>
      <c r="WYO21" s="204"/>
      <c r="WYP21" s="204"/>
      <c r="WYQ21" s="204"/>
      <c r="WYR21" s="204"/>
      <c r="WYS21" s="204"/>
      <c r="WYT21" s="204"/>
      <c r="WYU21" s="204"/>
      <c r="WYV21" s="204"/>
      <c r="WYW21" s="204"/>
      <c r="WYX21" s="204"/>
      <c r="WYY21" s="204"/>
      <c r="WYZ21" s="204"/>
      <c r="WZA21" s="204"/>
      <c r="WZB21" s="204"/>
      <c r="WZC21" s="204"/>
      <c r="WZD21" s="204"/>
      <c r="WZE21" s="204"/>
      <c r="WZF21" s="204"/>
      <c r="WZG21" s="204"/>
      <c r="WZH21" s="204"/>
      <c r="WZI21" s="204"/>
      <c r="WZJ21" s="204"/>
      <c r="WZK21" s="204"/>
      <c r="WZL21" s="204"/>
      <c r="WZM21" s="204"/>
      <c r="WZN21" s="204"/>
      <c r="WZO21" s="204"/>
      <c r="WZP21" s="204"/>
      <c r="WZQ21" s="204"/>
      <c r="WZR21" s="204"/>
      <c r="WZS21" s="204"/>
      <c r="WZT21" s="204"/>
      <c r="WZU21" s="204"/>
      <c r="WZV21" s="204"/>
      <c r="WZW21" s="204"/>
      <c r="WZX21" s="204"/>
      <c r="WZY21" s="204"/>
      <c r="WZZ21" s="204"/>
      <c r="XAA21" s="204"/>
      <c r="XAB21" s="204"/>
      <c r="XAC21" s="204"/>
      <c r="XAD21" s="204"/>
      <c r="XAE21" s="204"/>
      <c r="XAF21" s="204"/>
      <c r="XAG21" s="204"/>
      <c r="XAH21" s="204"/>
      <c r="XAI21" s="204"/>
      <c r="XAJ21" s="204"/>
      <c r="XAK21" s="204"/>
      <c r="XAL21" s="204"/>
      <c r="XAM21" s="204"/>
      <c r="XAN21" s="204"/>
      <c r="XAO21" s="204"/>
      <c r="XAP21" s="204"/>
      <c r="XAQ21" s="204"/>
      <c r="XAR21" s="204"/>
      <c r="XAS21" s="204"/>
      <c r="XAT21" s="204"/>
      <c r="XAU21" s="204"/>
      <c r="XAV21" s="204"/>
      <c r="XAW21" s="204"/>
      <c r="XAX21" s="204"/>
      <c r="XAY21" s="204"/>
      <c r="XAZ21" s="204"/>
      <c r="XBA21" s="204"/>
      <c r="XBB21" s="204"/>
      <c r="XBC21" s="204"/>
      <c r="XBD21" s="204"/>
      <c r="XBE21" s="204"/>
      <c r="XBF21" s="204"/>
      <c r="XBG21" s="204"/>
      <c r="XBH21" s="204"/>
      <c r="XBI21" s="204"/>
      <c r="XBJ21" s="204"/>
      <c r="XBK21" s="204"/>
      <c r="XBL21" s="204"/>
      <c r="XBM21" s="204"/>
      <c r="XBN21" s="204"/>
      <c r="XBO21" s="204"/>
      <c r="XBP21" s="204"/>
      <c r="XBQ21" s="204"/>
      <c r="XBR21" s="204"/>
      <c r="XBS21" s="204"/>
      <c r="XBT21" s="204"/>
      <c r="XBU21" s="204"/>
      <c r="XBV21" s="204"/>
      <c r="XBW21" s="204"/>
      <c r="XBX21" s="204"/>
      <c r="XBY21" s="204"/>
      <c r="XBZ21" s="204"/>
      <c r="XCA21" s="204"/>
      <c r="XCB21" s="204"/>
      <c r="XCC21" s="204"/>
      <c r="XCD21" s="204"/>
      <c r="XCE21" s="204"/>
      <c r="XCF21" s="204"/>
      <c r="XCG21" s="204"/>
      <c r="XCH21" s="204"/>
      <c r="XCI21" s="204"/>
      <c r="XCJ21" s="204"/>
      <c r="XCK21" s="204"/>
      <c r="XCL21" s="204"/>
      <c r="XCM21" s="204"/>
      <c r="XCN21" s="204"/>
      <c r="XCO21" s="204"/>
      <c r="XCP21" s="204"/>
      <c r="XCQ21" s="204"/>
      <c r="XCR21" s="204"/>
      <c r="XCS21" s="204"/>
      <c r="XCT21" s="204"/>
      <c r="XCU21" s="204"/>
      <c r="XCV21" s="204"/>
      <c r="XCW21" s="204"/>
      <c r="XCX21" s="204"/>
      <c r="XCY21" s="204"/>
      <c r="XCZ21" s="204"/>
      <c r="XDA21" s="204"/>
      <c r="XDB21" s="204"/>
      <c r="XDC21" s="204"/>
      <c r="XDD21" s="204"/>
      <c r="XDE21" s="204"/>
      <c r="XDF21" s="204"/>
      <c r="XDG21" s="204"/>
      <c r="XDH21" s="204"/>
      <c r="XDI21" s="204"/>
      <c r="XDJ21" s="204"/>
      <c r="XDK21" s="204"/>
      <c r="XDL21" s="204"/>
      <c r="XDM21" s="204"/>
      <c r="XDN21" s="204"/>
      <c r="XDO21" s="204"/>
      <c r="XDP21" s="204"/>
      <c r="XDQ21" s="204"/>
      <c r="XDR21" s="204"/>
      <c r="XDS21" s="204"/>
      <c r="XDT21" s="204"/>
      <c r="XDU21" s="204"/>
      <c r="XDV21" s="204"/>
      <c r="XDW21" s="204"/>
      <c r="XDX21" s="204"/>
      <c r="XDY21" s="204"/>
      <c r="XDZ21" s="204"/>
      <c r="XEA21" s="204"/>
      <c r="XEB21" s="204"/>
      <c r="XEC21" s="204"/>
      <c r="XED21" s="204"/>
      <c r="XEE21" s="204"/>
      <c r="XEF21" s="204"/>
      <c r="XEG21" s="204"/>
      <c r="XEH21" s="204"/>
      <c r="XEI21" s="204"/>
      <c r="XEJ21" s="204"/>
      <c r="XEK21" s="204"/>
      <c r="XEL21" s="204"/>
      <c r="XEM21" s="204"/>
      <c r="XEN21" s="204"/>
      <c r="XEO21" s="204"/>
      <c r="XEP21" s="204"/>
      <c r="XEQ21" s="204"/>
      <c r="XER21" s="204"/>
      <c r="XES21" s="204"/>
      <c r="XET21" s="204"/>
      <c r="XEU21" s="204"/>
      <c r="XEV21" s="204"/>
      <c r="XEW21" s="204"/>
      <c r="XEX21" s="204"/>
      <c r="XEY21" s="204"/>
      <c r="XEZ21" s="204"/>
      <c r="XFA21" s="204"/>
      <c r="XFB21" s="204"/>
      <c r="XFC21" s="204"/>
      <c r="XFD21" s="204"/>
    </row>
    <row r="22" spans="1:16384" ht="14.45" customHeight="1" x14ac:dyDescent="0.2">
      <c r="A22" s="203"/>
      <c r="B22" s="354"/>
      <c r="C22" s="372" t="s">
        <v>202</v>
      </c>
      <c r="D22" s="357" t="s">
        <v>203</v>
      </c>
      <c r="E22" s="352" t="s">
        <v>136</v>
      </c>
      <c r="F22" s="352"/>
      <c r="G22" s="352"/>
      <c r="H22" s="352"/>
      <c r="I22" s="352"/>
      <c r="J22" s="352"/>
      <c r="K22" s="352"/>
      <c r="L22" s="352"/>
      <c r="M22" s="351" t="s">
        <v>204</v>
      </c>
      <c r="N22" s="351"/>
      <c r="O22" s="351"/>
      <c r="P22" s="351"/>
      <c r="Q22" s="351" t="s">
        <v>141</v>
      </c>
      <c r="R22" s="351"/>
      <c r="S22" s="351"/>
      <c r="T22" s="351"/>
      <c r="U22" s="203"/>
      <c r="V22" s="203"/>
      <c r="W22" s="203"/>
      <c r="X22" s="203"/>
      <c r="Y22" s="203"/>
      <c r="Z22" s="203"/>
      <c r="AA22" s="203"/>
      <c r="AB22" s="203"/>
      <c r="AC22" s="203"/>
      <c r="AD22" s="203"/>
      <c r="AE22" s="203"/>
      <c r="AF22" s="203"/>
      <c r="AG22" s="203"/>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c r="DZ22" s="204"/>
      <c r="EA22" s="204"/>
      <c r="EB22" s="204"/>
      <c r="EC22" s="204"/>
      <c r="ED22" s="204"/>
      <c r="EE22" s="204"/>
      <c r="EF22" s="204"/>
      <c r="EG22" s="204"/>
      <c r="EH22" s="204"/>
      <c r="EI22" s="204"/>
      <c r="EJ22" s="204"/>
      <c r="EK22" s="204"/>
      <c r="EL22" s="204"/>
      <c r="EM22" s="204"/>
      <c r="EN22" s="204"/>
      <c r="EO22" s="204"/>
      <c r="EP22" s="204"/>
      <c r="EQ22" s="204"/>
      <c r="ER22" s="204"/>
      <c r="ES22" s="204"/>
      <c r="ET22" s="204"/>
      <c r="EU22" s="204"/>
      <c r="EV22" s="204"/>
      <c r="EW22" s="204"/>
      <c r="EX22" s="204"/>
      <c r="EY22" s="204"/>
      <c r="EZ22" s="204"/>
      <c r="FA22" s="204"/>
      <c r="FB22" s="204"/>
      <c r="FC22" s="204"/>
      <c r="FD22" s="204"/>
      <c r="FE22" s="204"/>
      <c r="FF22" s="204"/>
      <c r="FG22" s="204"/>
      <c r="FH22" s="204"/>
      <c r="FI22" s="204"/>
      <c r="FJ22" s="204"/>
      <c r="FK22" s="204"/>
      <c r="FL22" s="204"/>
      <c r="FM22" s="204"/>
      <c r="FN22" s="204"/>
      <c r="FO22" s="204"/>
      <c r="FP22" s="204"/>
      <c r="FQ22" s="204"/>
      <c r="FR22" s="204"/>
      <c r="FS22" s="204"/>
      <c r="FT22" s="204"/>
      <c r="FU22" s="204"/>
      <c r="FV22" s="204"/>
      <c r="FW22" s="204"/>
      <c r="FX22" s="204"/>
      <c r="FY22" s="204"/>
      <c r="FZ22" s="204"/>
      <c r="GA22" s="204"/>
      <c r="GB22" s="204"/>
      <c r="GC22" s="204"/>
      <c r="GD22" s="204"/>
      <c r="GE22" s="204"/>
      <c r="GF22" s="204"/>
      <c r="GG22" s="204"/>
      <c r="GH22" s="204"/>
      <c r="GI22" s="204"/>
      <c r="GJ22" s="204"/>
      <c r="GK22" s="204"/>
      <c r="GL22" s="204"/>
      <c r="GM22" s="204"/>
      <c r="GN22" s="204"/>
      <c r="GO22" s="204"/>
      <c r="GP22" s="204"/>
      <c r="GQ22" s="204"/>
      <c r="GR22" s="204"/>
      <c r="GS22" s="204"/>
      <c r="GT22" s="204"/>
      <c r="GU22" s="204"/>
      <c r="GV22" s="204"/>
      <c r="GW22" s="204"/>
      <c r="GX22" s="204"/>
      <c r="GY22" s="204"/>
      <c r="GZ22" s="204"/>
      <c r="HA22" s="204"/>
      <c r="HB22" s="204"/>
      <c r="HC22" s="204"/>
      <c r="HD22" s="204"/>
      <c r="HE22" s="204"/>
      <c r="HF22" s="204"/>
      <c r="HG22" s="204"/>
      <c r="HH22" s="204"/>
      <c r="HI22" s="204"/>
      <c r="HJ22" s="204"/>
      <c r="HK22" s="204"/>
      <c r="HL22" s="204"/>
      <c r="HM22" s="204"/>
      <c r="HN22" s="204"/>
      <c r="HO22" s="204"/>
      <c r="HP22" s="204"/>
      <c r="HQ22" s="204"/>
      <c r="HR22" s="204"/>
      <c r="HS22" s="204"/>
      <c r="HT22" s="204"/>
      <c r="HU22" s="204"/>
      <c r="HV22" s="204"/>
      <c r="HW22" s="204"/>
      <c r="HX22" s="204"/>
      <c r="HY22" s="204"/>
      <c r="HZ22" s="204"/>
      <c r="IA22" s="204"/>
      <c r="IB22" s="204"/>
      <c r="IC22" s="204"/>
      <c r="ID22" s="204"/>
      <c r="IE22" s="204"/>
      <c r="IF22" s="204"/>
      <c r="IG22" s="204"/>
      <c r="IH22" s="204"/>
      <c r="II22" s="204"/>
      <c r="IJ22" s="204"/>
      <c r="IK22" s="204"/>
      <c r="IL22" s="204"/>
      <c r="IM22" s="204"/>
      <c r="IN22" s="204"/>
      <c r="IO22" s="204"/>
      <c r="IP22" s="204"/>
      <c r="IQ22" s="204"/>
      <c r="IR22" s="204"/>
      <c r="IS22" s="204"/>
      <c r="IT22" s="204"/>
      <c r="IU22" s="204"/>
      <c r="IV22" s="204"/>
      <c r="IW22" s="204"/>
      <c r="IX22" s="204"/>
      <c r="IY22" s="204"/>
      <c r="IZ22" s="204"/>
      <c r="JA22" s="204"/>
      <c r="JB22" s="204"/>
      <c r="JC22" s="204"/>
      <c r="JD22" s="204"/>
      <c r="JE22" s="204"/>
      <c r="JF22" s="204"/>
      <c r="JG22" s="204"/>
      <c r="JH22" s="204"/>
      <c r="JI22" s="204"/>
      <c r="JJ22" s="204"/>
      <c r="JK22" s="204"/>
      <c r="JL22" s="204"/>
      <c r="JM22" s="204"/>
      <c r="JN22" s="204"/>
      <c r="JO22" s="204"/>
      <c r="JP22" s="204"/>
      <c r="JQ22" s="204"/>
      <c r="JR22" s="204"/>
      <c r="JS22" s="204"/>
      <c r="JT22" s="204"/>
      <c r="JU22" s="204"/>
      <c r="JV22" s="204"/>
      <c r="JW22" s="204"/>
      <c r="JX22" s="204"/>
      <c r="JY22" s="204"/>
      <c r="JZ22" s="204"/>
      <c r="KA22" s="204"/>
      <c r="KB22" s="204"/>
      <c r="KC22" s="204"/>
      <c r="KD22" s="204"/>
      <c r="KE22" s="204"/>
      <c r="KF22" s="204"/>
      <c r="KG22" s="204"/>
      <c r="KH22" s="204"/>
      <c r="KI22" s="204"/>
      <c r="KJ22" s="204"/>
      <c r="KK22" s="204"/>
      <c r="KL22" s="204"/>
      <c r="KM22" s="204"/>
      <c r="KN22" s="204"/>
      <c r="KO22" s="204"/>
      <c r="KP22" s="204"/>
      <c r="KQ22" s="204"/>
      <c r="KR22" s="204"/>
      <c r="KS22" s="204"/>
      <c r="KT22" s="204"/>
      <c r="KU22" s="204"/>
      <c r="KV22" s="204"/>
      <c r="KW22" s="204"/>
      <c r="KX22" s="204"/>
      <c r="KY22" s="204"/>
      <c r="KZ22" s="204"/>
      <c r="LA22" s="204"/>
      <c r="LB22" s="204"/>
      <c r="LC22" s="204"/>
      <c r="LD22" s="204"/>
      <c r="LE22" s="204"/>
      <c r="LF22" s="204"/>
      <c r="LG22" s="204"/>
      <c r="LH22" s="204"/>
      <c r="LI22" s="204"/>
      <c r="LJ22" s="204"/>
      <c r="LK22" s="204"/>
      <c r="LL22" s="204"/>
      <c r="LM22" s="204"/>
      <c r="LN22" s="204"/>
      <c r="LO22" s="204"/>
      <c r="LP22" s="204"/>
      <c r="LQ22" s="204"/>
      <c r="LR22" s="204"/>
      <c r="LS22" s="204"/>
      <c r="LT22" s="204"/>
      <c r="LU22" s="204"/>
      <c r="LV22" s="204"/>
      <c r="LW22" s="204"/>
      <c r="LX22" s="204"/>
      <c r="LY22" s="204"/>
      <c r="LZ22" s="204"/>
      <c r="MA22" s="204"/>
      <c r="MB22" s="204"/>
      <c r="MC22" s="204"/>
      <c r="MD22" s="204"/>
      <c r="ME22" s="204"/>
      <c r="MF22" s="204"/>
      <c r="MG22" s="204"/>
      <c r="MH22" s="204"/>
      <c r="MI22" s="204"/>
      <c r="MJ22" s="204"/>
      <c r="MK22" s="204"/>
      <c r="ML22" s="204"/>
      <c r="MM22" s="204"/>
      <c r="MN22" s="204"/>
      <c r="MO22" s="204"/>
      <c r="MP22" s="204"/>
      <c r="MQ22" s="204"/>
      <c r="MR22" s="204"/>
      <c r="MS22" s="204"/>
      <c r="MT22" s="204"/>
      <c r="MU22" s="204"/>
      <c r="MV22" s="204"/>
      <c r="MW22" s="204"/>
      <c r="MX22" s="204"/>
      <c r="MY22" s="204"/>
      <c r="MZ22" s="204"/>
      <c r="NA22" s="204"/>
      <c r="NB22" s="204"/>
      <c r="NC22" s="204"/>
      <c r="ND22" s="204"/>
      <c r="NE22" s="204"/>
      <c r="NF22" s="204"/>
      <c r="NG22" s="204"/>
      <c r="NH22" s="204"/>
      <c r="NI22" s="204"/>
      <c r="NJ22" s="204"/>
      <c r="NK22" s="204"/>
      <c r="NL22" s="204"/>
      <c r="NM22" s="204"/>
      <c r="NN22" s="204"/>
      <c r="NO22" s="204"/>
      <c r="NP22" s="204"/>
      <c r="NQ22" s="204"/>
      <c r="NR22" s="204"/>
      <c r="NS22" s="204"/>
      <c r="NT22" s="204"/>
      <c r="NU22" s="204"/>
      <c r="NV22" s="204"/>
      <c r="NW22" s="204"/>
      <c r="NX22" s="204"/>
      <c r="NY22" s="204"/>
      <c r="NZ22" s="204"/>
      <c r="OA22" s="204"/>
      <c r="OB22" s="204"/>
      <c r="OC22" s="204"/>
      <c r="OD22" s="204"/>
      <c r="OE22" s="204"/>
      <c r="OF22" s="204"/>
      <c r="OG22" s="204"/>
      <c r="OH22" s="204"/>
      <c r="OI22" s="204"/>
      <c r="OJ22" s="204"/>
      <c r="OK22" s="204"/>
      <c r="OL22" s="204"/>
      <c r="OM22" s="204"/>
      <c r="ON22" s="204"/>
      <c r="OO22" s="204"/>
      <c r="OP22" s="204"/>
      <c r="OQ22" s="204"/>
      <c r="OR22" s="204"/>
      <c r="OS22" s="204"/>
      <c r="OT22" s="204"/>
      <c r="OU22" s="204"/>
      <c r="OV22" s="204"/>
      <c r="OW22" s="204"/>
      <c r="OX22" s="204"/>
      <c r="OY22" s="204"/>
      <c r="OZ22" s="204"/>
      <c r="PA22" s="204"/>
      <c r="PB22" s="204"/>
      <c r="PC22" s="204"/>
      <c r="PD22" s="204"/>
      <c r="PE22" s="204"/>
      <c r="PF22" s="204"/>
      <c r="PG22" s="204"/>
      <c r="PH22" s="204"/>
      <c r="PI22" s="204"/>
      <c r="PJ22" s="204"/>
      <c r="PK22" s="204"/>
      <c r="PL22" s="204"/>
      <c r="PM22" s="204"/>
      <c r="PN22" s="204"/>
      <c r="PO22" s="204"/>
      <c r="PP22" s="204"/>
      <c r="PQ22" s="204"/>
      <c r="PR22" s="204"/>
      <c r="PS22" s="204"/>
      <c r="PT22" s="204"/>
      <c r="PU22" s="204"/>
      <c r="PV22" s="204"/>
      <c r="PW22" s="204"/>
      <c r="PX22" s="204"/>
      <c r="PY22" s="204"/>
      <c r="PZ22" s="204"/>
      <c r="QA22" s="204"/>
      <c r="QB22" s="204"/>
      <c r="QC22" s="204"/>
      <c r="QD22" s="204"/>
      <c r="QE22" s="204"/>
      <c r="QF22" s="204"/>
      <c r="QG22" s="204"/>
      <c r="QH22" s="204"/>
      <c r="QI22" s="204"/>
      <c r="QJ22" s="204"/>
      <c r="QK22" s="204"/>
      <c r="QL22" s="204"/>
      <c r="QM22" s="204"/>
      <c r="QN22" s="204"/>
      <c r="QO22" s="204"/>
      <c r="QP22" s="204"/>
      <c r="QQ22" s="204"/>
      <c r="QR22" s="204"/>
      <c r="QS22" s="204"/>
      <c r="QT22" s="204"/>
      <c r="QU22" s="204"/>
      <c r="QV22" s="204"/>
      <c r="QW22" s="204"/>
      <c r="QX22" s="204"/>
      <c r="QY22" s="204"/>
      <c r="QZ22" s="204"/>
      <c r="RA22" s="204"/>
      <c r="RB22" s="204"/>
      <c r="RC22" s="204"/>
      <c r="RD22" s="204"/>
      <c r="RE22" s="204"/>
      <c r="RF22" s="204"/>
      <c r="RG22" s="204"/>
      <c r="RH22" s="204"/>
      <c r="RI22" s="204"/>
      <c r="RJ22" s="204"/>
      <c r="RK22" s="204"/>
      <c r="RL22" s="204"/>
      <c r="RM22" s="204"/>
      <c r="RN22" s="204"/>
      <c r="RO22" s="204"/>
      <c r="RP22" s="204"/>
      <c r="RQ22" s="204"/>
      <c r="RR22" s="204"/>
      <c r="RS22" s="204"/>
      <c r="RT22" s="204"/>
      <c r="RU22" s="204"/>
      <c r="RV22" s="204"/>
      <c r="RW22" s="204"/>
      <c r="RX22" s="204"/>
      <c r="RY22" s="204"/>
      <c r="RZ22" s="204"/>
      <c r="SA22" s="204"/>
      <c r="SB22" s="204"/>
      <c r="SC22" s="204"/>
      <c r="SD22" s="204"/>
      <c r="SE22" s="204"/>
      <c r="SF22" s="204"/>
      <c r="SG22" s="204"/>
      <c r="SH22" s="204"/>
      <c r="SI22" s="204"/>
      <c r="SJ22" s="204"/>
      <c r="SK22" s="204"/>
      <c r="SL22" s="204"/>
      <c r="SM22" s="204"/>
      <c r="SN22" s="204"/>
      <c r="SO22" s="204"/>
      <c r="SP22" s="204"/>
      <c r="SQ22" s="204"/>
      <c r="SR22" s="204"/>
      <c r="SS22" s="204"/>
      <c r="ST22" s="204"/>
      <c r="SU22" s="204"/>
      <c r="SV22" s="204"/>
      <c r="SW22" s="204"/>
      <c r="SX22" s="204"/>
      <c r="SY22" s="204"/>
      <c r="SZ22" s="204"/>
      <c r="TA22" s="204"/>
      <c r="TB22" s="204"/>
      <c r="TC22" s="204"/>
      <c r="TD22" s="204"/>
      <c r="TE22" s="204"/>
      <c r="TF22" s="204"/>
      <c r="TG22" s="204"/>
      <c r="TH22" s="204"/>
      <c r="TI22" s="204"/>
      <c r="TJ22" s="204"/>
      <c r="TK22" s="204"/>
      <c r="TL22" s="204"/>
      <c r="TM22" s="204"/>
      <c r="TN22" s="204"/>
      <c r="TO22" s="204"/>
      <c r="TP22" s="204"/>
      <c r="TQ22" s="204"/>
      <c r="TR22" s="204"/>
      <c r="TS22" s="204"/>
      <c r="TT22" s="204"/>
      <c r="TU22" s="204"/>
      <c r="TV22" s="204"/>
      <c r="TW22" s="204"/>
      <c r="TX22" s="204"/>
      <c r="TY22" s="204"/>
      <c r="TZ22" s="204"/>
      <c r="UA22" s="204"/>
      <c r="UB22" s="204"/>
      <c r="UC22" s="204"/>
      <c r="UD22" s="204"/>
      <c r="UE22" s="204"/>
      <c r="UF22" s="204"/>
      <c r="UG22" s="204"/>
      <c r="UH22" s="204"/>
      <c r="UI22" s="204"/>
      <c r="UJ22" s="204"/>
      <c r="UK22" s="204"/>
      <c r="UL22" s="204"/>
      <c r="UM22" s="204"/>
      <c r="UN22" s="204"/>
      <c r="UO22" s="204"/>
      <c r="UP22" s="204"/>
      <c r="UQ22" s="204"/>
      <c r="UR22" s="204"/>
      <c r="US22" s="204"/>
      <c r="UT22" s="204"/>
      <c r="UU22" s="204"/>
      <c r="UV22" s="204"/>
      <c r="UW22" s="204"/>
      <c r="UX22" s="204"/>
      <c r="UY22" s="204"/>
      <c r="UZ22" s="204"/>
      <c r="VA22" s="204"/>
      <c r="VB22" s="204"/>
      <c r="VC22" s="204"/>
      <c r="VD22" s="204"/>
      <c r="VE22" s="204"/>
      <c r="VF22" s="204"/>
      <c r="VG22" s="204"/>
      <c r="VH22" s="204"/>
      <c r="VI22" s="204"/>
      <c r="VJ22" s="204"/>
      <c r="VK22" s="204"/>
      <c r="VL22" s="204"/>
      <c r="VM22" s="204"/>
      <c r="VN22" s="204"/>
      <c r="VO22" s="204"/>
      <c r="VP22" s="204"/>
      <c r="VQ22" s="204"/>
      <c r="VR22" s="204"/>
      <c r="VS22" s="204"/>
      <c r="VT22" s="204"/>
      <c r="VU22" s="204"/>
      <c r="VV22" s="204"/>
      <c r="VW22" s="204"/>
      <c r="VX22" s="204"/>
      <c r="VY22" s="204"/>
      <c r="VZ22" s="204"/>
      <c r="WA22" s="204"/>
      <c r="WB22" s="204"/>
      <c r="WC22" s="204"/>
      <c r="WD22" s="204"/>
      <c r="WE22" s="204"/>
      <c r="WF22" s="204"/>
      <c r="WG22" s="204"/>
      <c r="WH22" s="204"/>
      <c r="WI22" s="204"/>
      <c r="WJ22" s="204"/>
      <c r="WK22" s="204"/>
      <c r="WL22" s="204"/>
      <c r="WM22" s="204"/>
      <c r="WN22" s="204"/>
      <c r="WO22" s="204"/>
      <c r="WP22" s="204"/>
      <c r="WQ22" s="204"/>
      <c r="WR22" s="204"/>
      <c r="WS22" s="204"/>
      <c r="WT22" s="204"/>
      <c r="WU22" s="204"/>
      <c r="WV22" s="204"/>
      <c r="WW22" s="204"/>
      <c r="WX22" s="204"/>
      <c r="WY22" s="204"/>
      <c r="WZ22" s="204"/>
      <c r="XA22" s="204"/>
      <c r="XB22" s="204"/>
      <c r="XC22" s="204"/>
      <c r="XD22" s="204"/>
      <c r="XE22" s="204"/>
      <c r="XF22" s="204"/>
      <c r="XG22" s="204"/>
      <c r="XH22" s="204"/>
      <c r="XI22" s="204"/>
      <c r="XJ22" s="204"/>
      <c r="XK22" s="204"/>
      <c r="XL22" s="204"/>
      <c r="XM22" s="204"/>
      <c r="XN22" s="204"/>
      <c r="XO22" s="204"/>
      <c r="XP22" s="204"/>
      <c r="XQ22" s="204"/>
      <c r="XR22" s="204"/>
      <c r="XS22" s="204"/>
      <c r="XT22" s="204"/>
      <c r="XU22" s="204"/>
      <c r="XV22" s="204"/>
      <c r="XW22" s="204"/>
      <c r="XX22" s="204"/>
      <c r="XY22" s="204"/>
      <c r="XZ22" s="204"/>
      <c r="YA22" s="204"/>
      <c r="YB22" s="204"/>
      <c r="YC22" s="204"/>
      <c r="YD22" s="204"/>
      <c r="YE22" s="204"/>
      <c r="YF22" s="204"/>
      <c r="YG22" s="204"/>
      <c r="YH22" s="204"/>
      <c r="YI22" s="204"/>
      <c r="YJ22" s="204"/>
      <c r="YK22" s="204"/>
      <c r="YL22" s="204"/>
      <c r="YM22" s="204"/>
      <c r="YN22" s="204"/>
      <c r="YO22" s="204"/>
      <c r="YP22" s="204"/>
      <c r="YQ22" s="204"/>
      <c r="YR22" s="204"/>
      <c r="YS22" s="204"/>
      <c r="YT22" s="204"/>
      <c r="YU22" s="204"/>
      <c r="YV22" s="204"/>
      <c r="YW22" s="204"/>
      <c r="YX22" s="204"/>
      <c r="YY22" s="204"/>
      <c r="YZ22" s="204"/>
      <c r="ZA22" s="204"/>
      <c r="ZB22" s="204"/>
      <c r="ZC22" s="204"/>
      <c r="ZD22" s="204"/>
      <c r="ZE22" s="204"/>
      <c r="ZF22" s="204"/>
      <c r="ZG22" s="204"/>
      <c r="ZH22" s="204"/>
      <c r="ZI22" s="204"/>
      <c r="ZJ22" s="204"/>
      <c r="ZK22" s="204"/>
      <c r="ZL22" s="204"/>
      <c r="ZM22" s="204"/>
      <c r="ZN22" s="204"/>
      <c r="ZO22" s="204"/>
      <c r="ZP22" s="204"/>
      <c r="ZQ22" s="204"/>
      <c r="ZR22" s="204"/>
      <c r="ZS22" s="204"/>
      <c r="ZT22" s="204"/>
      <c r="ZU22" s="204"/>
      <c r="ZV22" s="204"/>
      <c r="ZW22" s="204"/>
      <c r="ZX22" s="204"/>
      <c r="ZY22" s="204"/>
      <c r="ZZ22" s="204"/>
      <c r="AAA22" s="204"/>
      <c r="AAB22" s="204"/>
      <c r="AAC22" s="204"/>
      <c r="AAD22" s="204"/>
      <c r="AAE22" s="204"/>
      <c r="AAF22" s="204"/>
      <c r="AAG22" s="204"/>
      <c r="AAH22" s="204"/>
      <c r="AAI22" s="204"/>
      <c r="AAJ22" s="204"/>
      <c r="AAK22" s="204"/>
      <c r="AAL22" s="204"/>
      <c r="AAM22" s="204"/>
      <c r="AAN22" s="204"/>
      <c r="AAO22" s="204"/>
      <c r="AAP22" s="204"/>
      <c r="AAQ22" s="204"/>
      <c r="AAR22" s="204"/>
      <c r="AAS22" s="204"/>
      <c r="AAT22" s="204"/>
      <c r="AAU22" s="204"/>
      <c r="AAV22" s="204"/>
      <c r="AAW22" s="204"/>
      <c r="AAX22" s="204"/>
      <c r="AAY22" s="204"/>
      <c r="AAZ22" s="204"/>
      <c r="ABA22" s="204"/>
      <c r="ABB22" s="204"/>
      <c r="ABC22" s="204"/>
      <c r="ABD22" s="204"/>
      <c r="ABE22" s="204"/>
      <c r="ABF22" s="204"/>
      <c r="ABG22" s="204"/>
      <c r="ABH22" s="204"/>
      <c r="ABI22" s="204"/>
      <c r="ABJ22" s="204"/>
      <c r="ABK22" s="204"/>
      <c r="ABL22" s="204"/>
      <c r="ABM22" s="204"/>
      <c r="ABN22" s="204"/>
      <c r="ABO22" s="204"/>
      <c r="ABP22" s="204"/>
      <c r="ABQ22" s="204"/>
      <c r="ABR22" s="204"/>
      <c r="ABS22" s="204"/>
      <c r="ABT22" s="204"/>
      <c r="ABU22" s="204"/>
      <c r="ABV22" s="204"/>
      <c r="ABW22" s="204"/>
      <c r="ABX22" s="204"/>
      <c r="ABY22" s="204"/>
      <c r="ABZ22" s="204"/>
      <c r="ACA22" s="204"/>
      <c r="ACB22" s="204"/>
      <c r="ACC22" s="204"/>
      <c r="ACD22" s="204"/>
      <c r="ACE22" s="204"/>
      <c r="ACF22" s="204"/>
      <c r="ACG22" s="204"/>
      <c r="ACH22" s="204"/>
      <c r="ACI22" s="204"/>
      <c r="ACJ22" s="204"/>
      <c r="ACK22" s="204"/>
      <c r="ACL22" s="204"/>
      <c r="ACM22" s="204"/>
      <c r="ACN22" s="204"/>
      <c r="ACO22" s="204"/>
      <c r="ACP22" s="204"/>
      <c r="ACQ22" s="204"/>
      <c r="ACR22" s="204"/>
      <c r="ACS22" s="204"/>
      <c r="ACT22" s="204"/>
      <c r="ACU22" s="204"/>
      <c r="ACV22" s="204"/>
      <c r="ACW22" s="204"/>
      <c r="ACX22" s="204"/>
      <c r="ACY22" s="204"/>
      <c r="ACZ22" s="204"/>
      <c r="ADA22" s="204"/>
      <c r="ADB22" s="204"/>
      <c r="ADC22" s="204"/>
      <c r="ADD22" s="204"/>
      <c r="ADE22" s="204"/>
      <c r="ADF22" s="204"/>
      <c r="ADG22" s="204"/>
      <c r="ADH22" s="204"/>
      <c r="ADI22" s="204"/>
      <c r="ADJ22" s="204"/>
      <c r="ADK22" s="204"/>
      <c r="ADL22" s="204"/>
      <c r="ADM22" s="204"/>
      <c r="ADN22" s="204"/>
      <c r="ADO22" s="204"/>
      <c r="ADP22" s="204"/>
      <c r="ADQ22" s="204"/>
      <c r="ADR22" s="204"/>
      <c r="ADS22" s="204"/>
      <c r="ADT22" s="204"/>
      <c r="ADU22" s="204"/>
      <c r="ADV22" s="204"/>
      <c r="ADW22" s="204"/>
      <c r="ADX22" s="204"/>
      <c r="ADY22" s="204"/>
      <c r="ADZ22" s="204"/>
      <c r="AEA22" s="204"/>
      <c r="AEB22" s="204"/>
      <c r="AEC22" s="204"/>
      <c r="AED22" s="204"/>
      <c r="AEE22" s="204"/>
      <c r="AEF22" s="204"/>
      <c r="AEG22" s="204"/>
      <c r="AEH22" s="204"/>
      <c r="AEI22" s="204"/>
      <c r="AEJ22" s="204"/>
      <c r="AEK22" s="204"/>
      <c r="AEL22" s="204"/>
      <c r="AEM22" s="204"/>
      <c r="AEN22" s="204"/>
      <c r="AEO22" s="204"/>
      <c r="AEP22" s="204"/>
      <c r="AEQ22" s="204"/>
      <c r="AER22" s="204"/>
      <c r="AES22" s="204"/>
      <c r="AET22" s="204"/>
      <c r="AEU22" s="204"/>
      <c r="AEV22" s="204"/>
      <c r="AEW22" s="204"/>
      <c r="AEX22" s="204"/>
      <c r="AEY22" s="204"/>
      <c r="AEZ22" s="204"/>
      <c r="AFA22" s="204"/>
      <c r="AFB22" s="204"/>
      <c r="AFC22" s="204"/>
      <c r="AFD22" s="204"/>
      <c r="AFE22" s="204"/>
      <c r="AFF22" s="204"/>
      <c r="AFG22" s="204"/>
      <c r="AFH22" s="204"/>
      <c r="AFI22" s="204"/>
      <c r="AFJ22" s="204"/>
      <c r="AFK22" s="204"/>
      <c r="AFL22" s="204"/>
      <c r="AFM22" s="204"/>
      <c r="AFN22" s="204"/>
      <c r="AFO22" s="204"/>
      <c r="AFP22" s="204"/>
      <c r="AFQ22" s="204"/>
      <c r="AFR22" s="204"/>
      <c r="AFS22" s="204"/>
      <c r="AFT22" s="204"/>
      <c r="AFU22" s="204"/>
      <c r="AFV22" s="204"/>
      <c r="AFW22" s="204"/>
      <c r="AFX22" s="204"/>
      <c r="AFY22" s="204"/>
      <c r="AFZ22" s="204"/>
      <c r="AGA22" s="204"/>
      <c r="AGB22" s="204"/>
      <c r="AGC22" s="204"/>
      <c r="AGD22" s="204"/>
      <c r="AGE22" s="204"/>
      <c r="AGF22" s="204"/>
      <c r="AGG22" s="204"/>
      <c r="AGH22" s="204"/>
      <c r="AGI22" s="204"/>
      <c r="AGJ22" s="204"/>
      <c r="AGK22" s="204"/>
      <c r="AGL22" s="204"/>
      <c r="AGM22" s="204"/>
      <c r="AGN22" s="204"/>
      <c r="AGO22" s="204"/>
      <c r="AGP22" s="204"/>
      <c r="AGQ22" s="204"/>
      <c r="AGR22" s="204"/>
      <c r="AGS22" s="204"/>
      <c r="AGT22" s="204"/>
      <c r="AGU22" s="204"/>
      <c r="AGV22" s="204"/>
      <c r="AGW22" s="204"/>
      <c r="AGX22" s="204"/>
      <c r="AGY22" s="204"/>
      <c r="AGZ22" s="204"/>
      <c r="AHA22" s="204"/>
      <c r="AHB22" s="204"/>
      <c r="AHC22" s="204"/>
      <c r="AHD22" s="204"/>
      <c r="AHE22" s="204"/>
      <c r="AHF22" s="204"/>
      <c r="AHG22" s="204"/>
      <c r="AHH22" s="204"/>
      <c r="AHI22" s="204"/>
      <c r="AHJ22" s="204"/>
      <c r="AHK22" s="204"/>
      <c r="AHL22" s="204"/>
      <c r="AHM22" s="204"/>
      <c r="AHN22" s="204"/>
      <c r="AHO22" s="204"/>
      <c r="AHP22" s="204"/>
      <c r="AHQ22" s="204"/>
      <c r="AHR22" s="204"/>
      <c r="AHS22" s="204"/>
      <c r="AHT22" s="204"/>
      <c r="AHU22" s="204"/>
      <c r="AHV22" s="204"/>
      <c r="AHW22" s="204"/>
      <c r="AHX22" s="204"/>
      <c r="AHY22" s="204"/>
      <c r="AHZ22" s="204"/>
      <c r="AIA22" s="204"/>
      <c r="AIB22" s="204"/>
      <c r="AIC22" s="204"/>
      <c r="AID22" s="204"/>
      <c r="AIE22" s="204"/>
      <c r="AIF22" s="204"/>
      <c r="AIG22" s="204"/>
      <c r="AIH22" s="204"/>
      <c r="AII22" s="204"/>
      <c r="AIJ22" s="204"/>
      <c r="AIK22" s="204"/>
      <c r="AIL22" s="204"/>
      <c r="AIM22" s="204"/>
      <c r="AIN22" s="204"/>
      <c r="AIO22" s="204"/>
      <c r="AIP22" s="204"/>
      <c r="AIQ22" s="204"/>
      <c r="AIR22" s="204"/>
      <c r="AIS22" s="204"/>
      <c r="AIT22" s="204"/>
      <c r="AIU22" s="204"/>
      <c r="AIV22" s="204"/>
      <c r="AIW22" s="204"/>
      <c r="AIX22" s="204"/>
      <c r="AIY22" s="204"/>
      <c r="AIZ22" s="204"/>
      <c r="AJA22" s="204"/>
      <c r="AJB22" s="204"/>
      <c r="AJC22" s="204"/>
      <c r="AJD22" s="204"/>
      <c r="AJE22" s="204"/>
      <c r="AJF22" s="204"/>
      <c r="AJG22" s="204"/>
      <c r="AJH22" s="204"/>
      <c r="AJI22" s="204"/>
      <c r="AJJ22" s="204"/>
      <c r="AJK22" s="204"/>
      <c r="AJL22" s="204"/>
      <c r="AJM22" s="204"/>
      <c r="AJN22" s="204"/>
      <c r="AJO22" s="204"/>
      <c r="AJP22" s="204"/>
      <c r="AJQ22" s="204"/>
      <c r="AJR22" s="204"/>
      <c r="AJS22" s="204"/>
      <c r="AJT22" s="204"/>
      <c r="AJU22" s="204"/>
      <c r="AJV22" s="204"/>
      <c r="AJW22" s="204"/>
      <c r="AJX22" s="204"/>
      <c r="AJY22" s="204"/>
      <c r="AJZ22" s="204"/>
      <c r="AKA22" s="204"/>
      <c r="AKB22" s="204"/>
      <c r="AKC22" s="204"/>
      <c r="AKD22" s="204"/>
      <c r="AKE22" s="204"/>
      <c r="AKF22" s="204"/>
      <c r="AKG22" s="204"/>
      <c r="AKH22" s="204"/>
      <c r="AKI22" s="204"/>
      <c r="AKJ22" s="204"/>
      <c r="AKK22" s="204"/>
      <c r="AKL22" s="204"/>
      <c r="AKM22" s="204"/>
      <c r="AKN22" s="204"/>
      <c r="AKO22" s="204"/>
      <c r="AKP22" s="204"/>
      <c r="AKQ22" s="204"/>
      <c r="AKR22" s="204"/>
      <c r="AKS22" s="204"/>
      <c r="AKT22" s="204"/>
      <c r="AKU22" s="204"/>
      <c r="AKV22" s="204"/>
      <c r="AKW22" s="204"/>
      <c r="AKX22" s="204"/>
      <c r="AKY22" s="204"/>
      <c r="AKZ22" s="204"/>
      <c r="ALA22" s="204"/>
      <c r="ALB22" s="204"/>
      <c r="ALC22" s="204"/>
      <c r="ALD22" s="204"/>
      <c r="ALE22" s="204"/>
      <c r="ALF22" s="204"/>
      <c r="ALG22" s="204"/>
      <c r="ALH22" s="204"/>
      <c r="ALI22" s="204"/>
      <c r="ALJ22" s="204"/>
      <c r="ALK22" s="204"/>
      <c r="ALL22" s="204"/>
      <c r="ALM22" s="204"/>
      <c r="ALN22" s="204"/>
      <c r="ALO22" s="204"/>
      <c r="ALP22" s="204"/>
      <c r="ALQ22" s="204"/>
      <c r="ALR22" s="204"/>
      <c r="ALS22" s="204"/>
      <c r="ALT22" s="204"/>
      <c r="ALU22" s="204"/>
      <c r="ALV22" s="204"/>
      <c r="ALW22" s="204"/>
      <c r="ALX22" s="204"/>
      <c r="ALY22" s="204"/>
      <c r="ALZ22" s="204"/>
      <c r="AMA22" s="204"/>
      <c r="AMB22" s="204"/>
      <c r="AMC22" s="204"/>
      <c r="AMD22" s="204"/>
      <c r="AME22" s="204"/>
      <c r="AMF22" s="204"/>
      <c r="AMG22" s="204"/>
      <c r="AMH22" s="204"/>
      <c r="AMI22" s="204"/>
      <c r="AMJ22" s="204"/>
      <c r="AMK22" s="204"/>
      <c r="AML22" s="204"/>
      <c r="AMM22" s="204"/>
      <c r="AMN22" s="204"/>
      <c r="AMO22" s="204"/>
      <c r="AMP22" s="204"/>
      <c r="AMQ22" s="204"/>
      <c r="AMR22" s="204"/>
      <c r="AMS22" s="204"/>
      <c r="AMT22" s="204"/>
      <c r="AMU22" s="204"/>
      <c r="AMV22" s="204"/>
      <c r="AMW22" s="204"/>
      <c r="AMX22" s="204"/>
      <c r="AMY22" s="204"/>
      <c r="AMZ22" s="204"/>
      <c r="ANA22" s="204"/>
      <c r="ANB22" s="204"/>
      <c r="ANC22" s="204"/>
      <c r="AND22" s="204"/>
      <c r="ANE22" s="204"/>
      <c r="ANF22" s="204"/>
      <c r="ANG22" s="204"/>
      <c r="ANH22" s="204"/>
      <c r="ANI22" s="204"/>
      <c r="ANJ22" s="204"/>
      <c r="ANK22" s="204"/>
      <c r="ANL22" s="204"/>
      <c r="ANM22" s="204"/>
      <c r="ANN22" s="204"/>
      <c r="ANO22" s="204"/>
      <c r="ANP22" s="204"/>
      <c r="ANQ22" s="204"/>
      <c r="ANR22" s="204"/>
      <c r="ANS22" s="204"/>
      <c r="ANT22" s="204"/>
      <c r="ANU22" s="204"/>
      <c r="ANV22" s="204"/>
      <c r="ANW22" s="204"/>
      <c r="ANX22" s="204"/>
      <c r="ANY22" s="204"/>
      <c r="ANZ22" s="204"/>
      <c r="AOA22" s="204"/>
      <c r="AOB22" s="204"/>
      <c r="AOC22" s="204"/>
      <c r="AOD22" s="204"/>
      <c r="AOE22" s="204"/>
      <c r="AOF22" s="204"/>
      <c r="AOG22" s="204"/>
      <c r="AOH22" s="204"/>
      <c r="AOI22" s="204"/>
      <c r="AOJ22" s="204"/>
      <c r="AOK22" s="204"/>
      <c r="AOL22" s="204"/>
      <c r="AOM22" s="204"/>
      <c r="AON22" s="204"/>
      <c r="AOO22" s="204"/>
      <c r="AOP22" s="204"/>
      <c r="AOQ22" s="204"/>
      <c r="AOR22" s="204"/>
      <c r="AOS22" s="204"/>
      <c r="AOT22" s="204"/>
      <c r="AOU22" s="204"/>
      <c r="AOV22" s="204"/>
      <c r="AOW22" s="204"/>
      <c r="AOX22" s="204"/>
      <c r="AOY22" s="204"/>
      <c r="AOZ22" s="204"/>
      <c r="APA22" s="204"/>
      <c r="APB22" s="204"/>
      <c r="APC22" s="204"/>
      <c r="APD22" s="204"/>
      <c r="APE22" s="204"/>
      <c r="APF22" s="204"/>
      <c r="APG22" s="204"/>
      <c r="APH22" s="204"/>
      <c r="API22" s="204"/>
      <c r="APJ22" s="204"/>
      <c r="APK22" s="204"/>
      <c r="APL22" s="204"/>
      <c r="APM22" s="204"/>
      <c r="APN22" s="204"/>
      <c r="APO22" s="204"/>
      <c r="APP22" s="204"/>
      <c r="APQ22" s="204"/>
      <c r="APR22" s="204"/>
      <c r="APS22" s="204"/>
      <c r="APT22" s="204"/>
      <c r="APU22" s="204"/>
      <c r="APV22" s="204"/>
      <c r="APW22" s="204"/>
      <c r="APX22" s="204"/>
      <c r="APY22" s="204"/>
      <c r="APZ22" s="204"/>
      <c r="AQA22" s="204"/>
      <c r="AQB22" s="204"/>
      <c r="AQC22" s="204"/>
      <c r="AQD22" s="204"/>
      <c r="AQE22" s="204"/>
      <c r="AQF22" s="204"/>
      <c r="AQG22" s="204"/>
      <c r="AQH22" s="204"/>
      <c r="AQI22" s="204"/>
      <c r="AQJ22" s="204"/>
      <c r="AQK22" s="204"/>
      <c r="AQL22" s="204"/>
      <c r="AQM22" s="204"/>
      <c r="AQN22" s="204"/>
      <c r="AQO22" s="204"/>
      <c r="AQP22" s="204"/>
      <c r="AQQ22" s="204"/>
      <c r="AQR22" s="204"/>
      <c r="AQS22" s="204"/>
      <c r="AQT22" s="204"/>
      <c r="AQU22" s="204"/>
      <c r="AQV22" s="204"/>
      <c r="AQW22" s="204"/>
      <c r="AQX22" s="204"/>
      <c r="AQY22" s="204"/>
      <c r="AQZ22" s="204"/>
      <c r="ARA22" s="204"/>
      <c r="ARB22" s="204"/>
      <c r="ARC22" s="204"/>
      <c r="ARD22" s="204"/>
      <c r="ARE22" s="204"/>
      <c r="ARF22" s="204"/>
      <c r="ARG22" s="204"/>
      <c r="ARH22" s="204"/>
      <c r="ARI22" s="204"/>
      <c r="ARJ22" s="204"/>
      <c r="ARK22" s="204"/>
      <c r="ARL22" s="204"/>
      <c r="ARM22" s="204"/>
      <c r="ARN22" s="204"/>
      <c r="ARO22" s="204"/>
      <c r="ARP22" s="204"/>
      <c r="ARQ22" s="204"/>
      <c r="ARR22" s="204"/>
      <c r="ARS22" s="204"/>
      <c r="ART22" s="204"/>
      <c r="ARU22" s="204"/>
      <c r="ARV22" s="204"/>
      <c r="ARW22" s="204"/>
      <c r="ARX22" s="204"/>
      <c r="ARY22" s="204"/>
      <c r="ARZ22" s="204"/>
      <c r="ASA22" s="204"/>
      <c r="ASB22" s="204"/>
      <c r="ASC22" s="204"/>
      <c r="ASD22" s="204"/>
      <c r="ASE22" s="204"/>
      <c r="ASF22" s="204"/>
      <c r="ASG22" s="204"/>
      <c r="ASH22" s="204"/>
      <c r="ASI22" s="204"/>
      <c r="ASJ22" s="204"/>
      <c r="ASK22" s="204"/>
      <c r="ASL22" s="204"/>
      <c r="ASM22" s="204"/>
      <c r="ASN22" s="204"/>
      <c r="ASO22" s="204"/>
      <c r="ASP22" s="204"/>
      <c r="ASQ22" s="204"/>
      <c r="ASR22" s="204"/>
      <c r="ASS22" s="204"/>
      <c r="AST22" s="204"/>
      <c r="ASU22" s="204"/>
      <c r="ASV22" s="204"/>
      <c r="ASW22" s="204"/>
      <c r="ASX22" s="204"/>
      <c r="ASY22" s="204"/>
      <c r="ASZ22" s="204"/>
      <c r="ATA22" s="204"/>
      <c r="ATB22" s="204"/>
      <c r="ATC22" s="204"/>
      <c r="ATD22" s="204"/>
      <c r="ATE22" s="204"/>
      <c r="ATF22" s="204"/>
      <c r="ATG22" s="204"/>
      <c r="ATH22" s="204"/>
      <c r="ATI22" s="204"/>
      <c r="ATJ22" s="204"/>
      <c r="ATK22" s="204"/>
      <c r="ATL22" s="204"/>
      <c r="ATM22" s="204"/>
      <c r="ATN22" s="204"/>
      <c r="ATO22" s="204"/>
      <c r="ATP22" s="204"/>
      <c r="ATQ22" s="204"/>
      <c r="ATR22" s="204"/>
      <c r="ATS22" s="204"/>
      <c r="ATT22" s="204"/>
      <c r="ATU22" s="204"/>
      <c r="ATV22" s="204"/>
      <c r="ATW22" s="204"/>
      <c r="ATX22" s="204"/>
      <c r="ATY22" s="204"/>
      <c r="ATZ22" s="204"/>
      <c r="AUA22" s="204"/>
      <c r="AUB22" s="204"/>
      <c r="AUC22" s="204"/>
      <c r="AUD22" s="204"/>
      <c r="AUE22" s="204"/>
      <c r="AUF22" s="204"/>
      <c r="AUG22" s="204"/>
      <c r="AUH22" s="204"/>
      <c r="AUI22" s="204"/>
      <c r="AUJ22" s="204"/>
      <c r="AUK22" s="204"/>
      <c r="AUL22" s="204"/>
      <c r="AUM22" s="204"/>
      <c r="AUN22" s="204"/>
      <c r="AUO22" s="204"/>
      <c r="AUP22" s="204"/>
      <c r="AUQ22" s="204"/>
      <c r="AUR22" s="204"/>
      <c r="AUS22" s="204"/>
      <c r="AUT22" s="204"/>
      <c r="AUU22" s="204"/>
      <c r="AUV22" s="204"/>
      <c r="AUW22" s="204"/>
      <c r="AUX22" s="204"/>
      <c r="AUY22" s="204"/>
      <c r="AUZ22" s="204"/>
      <c r="AVA22" s="204"/>
      <c r="AVB22" s="204"/>
      <c r="AVC22" s="204"/>
      <c r="AVD22" s="204"/>
      <c r="AVE22" s="204"/>
      <c r="AVF22" s="204"/>
      <c r="AVG22" s="204"/>
      <c r="AVH22" s="204"/>
      <c r="AVI22" s="204"/>
      <c r="AVJ22" s="204"/>
      <c r="AVK22" s="204"/>
      <c r="AVL22" s="204"/>
      <c r="AVM22" s="204"/>
      <c r="AVN22" s="204"/>
      <c r="AVO22" s="204"/>
      <c r="AVP22" s="204"/>
      <c r="AVQ22" s="204"/>
      <c r="AVR22" s="204"/>
      <c r="AVS22" s="204"/>
      <c r="AVT22" s="204"/>
      <c r="AVU22" s="204"/>
      <c r="AVV22" s="204"/>
      <c r="AVW22" s="204"/>
      <c r="AVX22" s="204"/>
      <c r="AVY22" s="204"/>
      <c r="AVZ22" s="204"/>
      <c r="AWA22" s="204"/>
      <c r="AWB22" s="204"/>
      <c r="AWC22" s="204"/>
      <c r="AWD22" s="204"/>
      <c r="AWE22" s="204"/>
      <c r="AWF22" s="204"/>
      <c r="AWG22" s="204"/>
      <c r="AWH22" s="204"/>
      <c r="AWI22" s="204"/>
      <c r="AWJ22" s="204"/>
      <c r="AWK22" s="204"/>
      <c r="AWL22" s="204"/>
      <c r="AWM22" s="204"/>
      <c r="AWN22" s="204"/>
      <c r="AWO22" s="204"/>
      <c r="AWP22" s="204"/>
      <c r="AWQ22" s="204"/>
      <c r="AWR22" s="204"/>
      <c r="AWS22" s="204"/>
      <c r="AWT22" s="204"/>
      <c r="AWU22" s="204"/>
      <c r="AWV22" s="204"/>
      <c r="AWW22" s="204"/>
      <c r="AWX22" s="204"/>
      <c r="AWY22" s="204"/>
      <c r="AWZ22" s="204"/>
      <c r="AXA22" s="204"/>
      <c r="AXB22" s="204"/>
      <c r="AXC22" s="204"/>
      <c r="AXD22" s="204"/>
      <c r="AXE22" s="204"/>
      <c r="AXF22" s="204"/>
      <c r="AXG22" s="204"/>
      <c r="AXH22" s="204"/>
      <c r="AXI22" s="204"/>
      <c r="AXJ22" s="204"/>
      <c r="AXK22" s="204"/>
      <c r="AXL22" s="204"/>
      <c r="AXM22" s="204"/>
      <c r="AXN22" s="204"/>
      <c r="AXO22" s="204"/>
      <c r="AXP22" s="204"/>
      <c r="AXQ22" s="204"/>
      <c r="AXR22" s="204"/>
      <c r="AXS22" s="204"/>
      <c r="AXT22" s="204"/>
      <c r="AXU22" s="204"/>
      <c r="AXV22" s="204"/>
      <c r="AXW22" s="204"/>
      <c r="AXX22" s="204"/>
      <c r="AXY22" s="204"/>
      <c r="AXZ22" s="204"/>
      <c r="AYA22" s="204"/>
      <c r="AYB22" s="204"/>
      <c r="AYC22" s="204"/>
      <c r="AYD22" s="204"/>
      <c r="AYE22" s="204"/>
      <c r="AYF22" s="204"/>
      <c r="AYG22" s="204"/>
      <c r="AYH22" s="204"/>
      <c r="AYI22" s="204"/>
      <c r="AYJ22" s="204"/>
      <c r="AYK22" s="204"/>
      <c r="AYL22" s="204"/>
      <c r="AYM22" s="204"/>
      <c r="AYN22" s="204"/>
      <c r="AYO22" s="204"/>
      <c r="AYP22" s="204"/>
      <c r="AYQ22" s="204"/>
      <c r="AYR22" s="204"/>
      <c r="AYS22" s="204"/>
      <c r="AYT22" s="204"/>
      <c r="AYU22" s="204"/>
      <c r="AYV22" s="204"/>
      <c r="AYW22" s="204"/>
      <c r="AYX22" s="204"/>
      <c r="AYY22" s="204"/>
      <c r="AYZ22" s="204"/>
      <c r="AZA22" s="204"/>
      <c r="AZB22" s="204"/>
      <c r="AZC22" s="204"/>
      <c r="AZD22" s="204"/>
      <c r="AZE22" s="204"/>
      <c r="AZF22" s="204"/>
      <c r="AZG22" s="204"/>
      <c r="AZH22" s="204"/>
      <c r="AZI22" s="204"/>
      <c r="AZJ22" s="204"/>
      <c r="AZK22" s="204"/>
      <c r="AZL22" s="204"/>
      <c r="AZM22" s="204"/>
      <c r="AZN22" s="204"/>
      <c r="AZO22" s="204"/>
      <c r="AZP22" s="204"/>
      <c r="AZQ22" s="204"/>
      <c r="AZR22" s="204"/>
      <c r="AZS22" s="204"/>
      <c r="AZT22" s="204"/>
      <c r="AZU22" s="204"/>
      <c r="AZV22" s="204"/>
      <c r="AZW22" s="204"/>
      <c r="AZX22" s="204"/>
      <c r="AZY22" s="204"/>
      <c r="AZZ22" s="204"/>
      <c r="BAA22" s="204"/>
      <c r="BAB22" s="204"/>
      <c r="BAC22" s="204"/>
      <c r="BAD22" s="204"/>
      <c r="BAE22" s="204"/>
      <c r="BAF22" s="204"/>
      <c r="BAG22" s="204"/>
      <c r="BAH22" s="204"/>
      <c r="BAI22" s="204"/>
      <c r="BAJ22" s="204"/>
      <c r="BAK22" s="204"/>
      <c r="BAL22" s="204"/>
      <c r="BAM22" s="204"/>
      <c r="BAN22" s="204"/>
      <c r="BAO22" s="204"/>
      <c r="BAP22" s="204"/>
      <c r="BAQ22" s="204"/>
      <c r="BAR22" s="204"/>
      <c r="BAS22" s="204"/>
      <c r="BAT22" s="204"/>
      <c r="BAU22" s="204"/>
      <c r="BAV22" s="204"/>
      <c r="BAW22" s="204"/>
      <c r="BAX22" s="204"/>
      <c r="BAY22" s="204"/>
      <c r="BAZ22" s="204"/>
      <c r="BBA22" s="204"/>
      <c r="BBB22" s="204"/>
      <c r="BBC22" s="204"/>
      <c r="BBD22" s="204"/>
      <c r="BBE22" s="204"/>
      <c r="BBF22" s="204"/>
      <c r="BBG22" s="204"/>
      <c r="BBH22" s="204"/>
      <c r="BBI22" s="204"/>
      <c r="BBJ22" s="204"/>
      <c r="BBK22" s="204"/>
      <c r="BBL22" s="204"/>
      <c r="BBM22" s="204"/>
      <c r="BBN22" s="204"/>
      <c r="BBO22" s="204"/>
      <c r="BBP22" s="204"/>
      <c r="BBQ22" s="204"/>
      <c r="BBR22" s="204"/>
      <c r="BBS22" s="204"/>
      <c r="BBT22" s="204"/>
      <c r="BBU22" s="204"/>
      <c r="BBV22" s="204"/>
      <c r="BBW22" s="204"/>
      <c r="BBX22" s="204"/>
      <c r="BBY22" s="204"/>
      <c r="BBZ22" s="204"/>
      <c r="BCA22" s="204"/>
      <c r="BCB22" s="204"/>
      <c r="BCC22" s="204"/>
      <c r="BCD22" s="204"/>
      <c r="BCE22" s="204"/>
      <c r="BCF22" s="204"/>
      <c r="BCG22" s="204"/>
      <c r="BCH22" s="204"/>
      <c r="BCI22" s="204"/>
      <c r="BCJ22" s="204"/>
      <c r="BCK22" s="204"/>
      <c r="BCL22" s="204"/>
      <c r="BCM22" s="204"/>
      <c r="BCN22" s="204"/>
      <c r="BCO22" s="204"/>
      <c r="BCP22" s="204"/>
      <c r="BCQ22" s="204"/>
      <c r="BCR22" s="204"/>
      <c r="BCS22" s="204"/>
      <c r="BCT22" s="204"/>
      <c r="BCU22" s="204"/>
      <c r="BCV22" s="204"/>
      <c r="BCW22" s="204"/>
      <c r="BCX22" s="204"/>
      <c r="BCY22" s="204"/>
      <c r="BCZ22" s="204"/>
      <c r="BDA22" s="204"/>
      <c r="BDB22" s="204"/>
      <c r="BDC22" s="204"/>
      <c r="BDD22" s="204"/>
      <c r="BDE22" s="204"/>
      <c r="BDF22" s="204"/>
      <c r="BDG22" s="204"/>
      <c r="BDH22" s="204"/>
      <c r="BDI22" s="204"/>
      <c r="BDJ22" s="204"/>
      <c r="BDK22" s="204"/>
      <c r="BDL22" s="204"/>
      <c r="BDM22" s="204"/>
      <c r="BDN22" s="204"/>
      <c r="BDO22" s="204"/>
      <c r="BDP22" s="204"/>
      <c r="BDQ22" s="204"/>
      <c r="BDR22" s="204"/>
      <c r="BDS22" s="204"/>
      <c r="BDT22" s="204"/>
      <c r="BDU22" s="204"/>
      <c r="BDV22" s="204"/>
      <c r="BDW22" s="204"/>
      <c r="BDX22" s="204"/>
      <c r="BDY22" s="204"/>
      <c r="BDZ22" s="204"/>
      <c r="BEA22" s="204"/>
      <c r="BEB22" s="204"/>
      <c r="BEC22" s="204"/>
      <c r="BED22" s="204"/>
      <c r="BEE22" s="204"/>
      <c r="BEF22" s="204"/>
      <c r="BEG22" s="204"/>
      <c r="BEH22" s="204"/>
      <c r="BEI22" s="204"/>
      <c r="BEJ22" s="204"/>
      <c r="BEK22" s="204"/>
      <c r="BEL22" s="204"/>
      <c r="BEM22" s="204"/>
      <c r="BEN22" s="204"/>
      <c r="BEO22" s="204"/>
      <c r="BEP22" s="204"/>
      <c r="BEQ22" s="204"/>
      <c r="BER22" s="204"/>
      <c r="BES22" s="204"/>
      <c r="BET22" s="204"/>
      <c r="BEU22" s="204"/>
      <c r="BEV22" s="204"/>
      <c r="BEW22" s="204"/>
      <c r="BEX22" s="204"/>
      <c r="BEY22" s="204"/>
      <c r="BEZ22" s="204"/>
      <c r="BFA22" s="204"/>
      <c r="BFB22" s="204"/>
      <c r="BFC22" s="204"/>
      <c r="BFD22" s="204"/>
      <c r="BFE22" s="204"/>
      <c r="BFF22" s="204"/>
      <c r="BFG22" s="204"/>
      <c r="BFH22" s="204"/>
      <c r="BFI22" s="204"/>
      <c r="BFJ22" s="204"/>
      <c r="BFK22" s="204"/>
      <c r="BFL22" s="204"/>
      <c r="BFM22" s="204"/>
      <c r="BFN22" s="204"/>
      <c r="BFO22" s="204"/>
      <c r="BFP22" s="204"/>
      <c r="BFQ22" s="204"/>
      <c r="BFR22" s="204"/>
      <c r="BFS22" s="204"/>
      <c r="BFT22" s="204"/>
      <c r="BFU22" s="204"/>
      <c r="BFV22" s="204"/>
      <c r="BFW22" s="204"/>
      <c r="BFX22" s="204"/>
      <c r="BFY22" s="204"/>
      <c r="BFZ22" s="204"/>
      <c r="BGA22" s="204"/>
      <c r="BGB22" s="204"/>
      <c r="BGC22" s="204"/>
      <c r="BGD22" s="204"/>
      <c r="BGE22" s="204"/>
      <c r="BGF22" s="204"/>
      <c r="BGG22" s="204"/>
      <c r="BGH22" s="204"/>
      <c r="BGI22" s="204"/>
      <c r="BGJ22" s="204"/>
      <c r="BGK22" s="204"/>
      <c r="BGL22" s="204"/>
      <c r="BGM22" s="204"/>
      <c r="BGN22" s="204"/>
      <c r="BGO22" s="204"/>
      <c r="BGP22" s="204"/>
      <c r="BGQ22" s="204"/>
      <c r="BGR22" s="204"/>
      <c r="BGS22" s="204"/>
      <c r="BGT22" s="204"/>
      <c r="BGU22" s="204"/>
      <c r="BGV22" s="204"/>
      <c r="BGW22" s="204"/>
      <c r="BGX22" s="204"/>
      <c r="BGY22" s="204"/>
      <c r="BGZ22" s="204"/>
      <c r="BHA22" s="204"/>
      <c r="BHB22" s="204"/>
      <c r="BHC22" s="204"/>
      <c r="BHD22" s="204"/>
      <c r="BHE22" s="204"/>
      <c r="BHF22" s="204"/>
      <c r="BHG22" s="204"/>
      <c r="BHH22" s="204"/>
      <c r="BHI22" s="204"/>
      <c r="BHJ22" s="204"/>
      <c r="BHK22" s="204"/>
      <c r="BHL22" s="204"/>
      <c r="BHM22" s="204"/>
      <c r="BHN22" s="204"/>
      <c r="BHO22" s="204"/>
      <c r="BHP22" s="204"/>
      <c r="BHQ22" s="204"/>
      <c r="BHR22" s="204"/>
      <c r="BHS22" s="204"/>
      <c r="BHT22" s="204"/>
      <c r="BHU22" s="204"/>
      <c r="BHV22" s="204"/>
      <c r="BHW22" s="204"/>
      <c r="BHX22" s="204"/>
      <c r="BHY22" s="204"/>
      <c r="BHZ22" s="204"/>
      <c r="BIA22" s="204"/>
      <c r="BIB22" s="204"/>
      <c r="BIC22" s="204"/>
      <c r="BID22" s="204"/>
      <c r="BIE22" s="204"/>
      <c r="BIF22" s="204"/>
      <c r="BIG22" s="204"/>
      <c r="BIH22" s="204"/>
      <c r="BII22" s="204"/>
      <c r="BIJ22" s="204"/>
      <c r="BIK22" s="204"/>
      <c r="BIL22" s="204"/>
      <c r="BIM22" s="204"/>
      <c r="BIN22" s="204"/>
      <c r="BIO22" s="204"/>
      <c r="BIP22" s="204"/>
      <c r="BIQ22" s="204"/>
      <c r="BIR22" s="204"/>
      <c r="BIS22" s="204"/>
      <c r="BIT22" s="204"/>
      <c r="BIU22" s="204"/>
      <c r="BIV22" s="204"/>
      <c r="BIW22" s="204"/>
      <c r="BIX22" s="204"/>
      <c r="BIY22" s="204"/>
      <c r="BIZ22" s="204"/>
      <c r="BJA22" s="204"/>
      <c r="BJB22" s="204"/>
      <c r="BJC22" s="204"/>
      <c r="BJD22" s="204"/>
      <c r="BJE22" s="204"/>
      <c r="BJF22" s="204"/>
      <c r="BJG22" s="204"/>
      <c r="BJH22" s="204"/>
      <c r="BJI22" s="204"/>
      <c r="BJJ22" s="204"/>
      <c r="BJK22" s="204"/>
      <c r="BJL22" s="204"/>
      <c r="BJM22" s="204"/>
      <c r="BJN22" s="204"/>
      <c r="BJO22" s="204"/>
      <c r="BJP22" s="204"/>
      <c r="BJQ22" s="204"/>
      <c r="BJR22" s="204"/>
      <c r="BJS22" s="204"/>
      <c r="BJT22" s="204"/>
      <c r="BJU22" s="204"/>
      <c r="BJV22" s="204"/>
      <c r="BJW22" s="204"/>
      <c r="BJX22" s="204"/>
      <c r="BJY22" s="204"/>
      <c r="BJZ22" s="204"/>
      <c r="BKA22" s="204"/>
      <c r="BKB22" s="204"/>
      <c r="BKC22" s="204"/>
      <c r="BKD22" s="204"/>
      <c r="BKE22" s="204"/>
      <c r="BKF22" s="204"/>
      <c r="BKG22" s="204"/>
      <c r="BKH22" s="204"/>
      <c r="BKI22" s="204"/>
      <c r="BKJ22" s="204"/>
      <c r="BKK22" s="204"/>
      <c r="BKL22" s="204"/>
      <c r="BKM22" s="204"/>
      <c r="BKN22" s="204"/>
      <c r="BKO22" s="204"/>
      <c r="BKP22" s="204"/>
      <c r="BKQ22" s="204"/>
      <c r="BKR22" s="204"/>
      <c r="BKS22" s="204"/>
      <c r="BKT22" s="204"/>
      <c r="BKU22" s="204"/>
      <c r="BKV22" s="204"/>
      <c r="BKW22" s="204"/>
      <c r="BKX22" s="204"/>
      <c r="BKY22" s="204"/>
      <c r="BKZ22" s="204"/>
      <c r="BLA22" s="204"/>
      <c r="BLB22" s="204"/>
      <c r="BLC22" s="204"/>
      <c r="BLD22" s="204"/>
      <c r="BLE22" s="204"/>
      <c r="BLF22" s="204"/>
      <c r="BLG22" s="204"/>
      <c r="BLH22" s="204"/>
      <c r="BLI22" s="204"/>
      <c r="BLJ22" s="204"/>
      <c r="BLK22" s="204"/>
      <c r="BLL22" s="204"/>
      <c r="BLM22" s="204"/>
      <c r="BLN22" s="204"/>
      <c r="BLO22" s="204"/>
      <c r="BLP22" s="204"/>
      <c r="BLQ22" s="204"/>
      <c r="BLR22" s="204"/>
      <c r="BLS22" s="204"/>
      <c r="BLT22" s="204"/>
      <c r="BLU22" s="204"/>
      <c r="BLV22" s="204"/>
      <c r="BLW22" s="204"/>
      <c r="BLX22" s="204"/>
      <c r="BLY22" s="204"/>
      <c r="BLZ22" s="204"/>
      <c r="BMA22" s="204"/>
      <c r="BMB22" s="204"/>
      <c r="BMC22" s="204"/>
      <c r="BMD22" s="204"/>
      <c r="BME22" s="204"/>
      <c r="BMF22" s="204"/>
      <c r="BMG22" s="204"/>
      <c r="BMH22" s="204"/>
      <c r="BMI22" s="204"/>
      <c r="BMJ22" s="204"/>
      <c r="BMK22" s="204"/>
      <c r="BML22" s="204"/>
      <c r="BMM22" s="204"/>
      <c r="BMN22" s="204"/>
      <c r="BMO22" s="204"/>
      <c r="BMP22" s="204"/>
      <c r="BMQ22" s="204"/>
      <c r="BMR22" s="204"/>
      <c r="BMS22" s="204"/>
      <c r="BMT22" s="204"/>
      <c r="BMU22" s="204"/>
      <c r="BMV22" s="204"/>
      <c r="BMW22" s="204"/>
      <c r="BMX22" s="204"/>
      <c r="BMY22" s="204"/>
      <c r="BMZ22" s="204"/>
      <c r="BNA22" s="204"/>
      <c r="BNB22" s="204"/>
      <c r="BNC22" s="204"/>
      <c r="BND22" s="204"/>
      <c r="BNE22" s="204"/>
      <c r="BNF22" s="204"/>
      <c r="BNG22" s="204"/>
      <c r="BNH22" s="204"/>
      <c r="BNI22" s="204"/>
      <c r="BNJ22" s="204"/>
      <c r="BNK22" s="204"/>
      <c r="BNL22" s="204"/>
      <c r="BNM22" s="204"/>
      <c r="BNN22" s="204"/>
      <c r="BNO22" s="204"/>
      <c r="BNP22" s="204"/>
      <c r="BNQ22" s="204"/>
      <c r="BNR22" s="204"/>
      <c r="BNS22" s="204"/>
      <c r="BNT22" s="204"/>
      <c r="BNU22" s="204"/>
      <c r="BNV22" s="204"/>
      <c r="BNW22" s="204"/>
      <c r="BNX22" s="204"/>
      <c r="BNY22" s="204"/>
      <c r="BNZ22" s="204"/>
      <c r="BOA22" s="204"/>
      <c r="BOB22" s="204"/>
      <c r="BOC22" s="204"/>
      <c r="BOD22" s="204"/>
      <c r="BOE22" s="204"/>
      <c r="BOF22" s="204"/>
      <c r="BOG22" s="204"/>
      <c r="BOH22" s="204"/>
      <c r="BOI22" s="204"/>
      <c r="BOJ22" s="204"/>
      <c r="BOK22" s="204"/>
      <c r="BOL22" s="204"/>
      <c r="BOM22" s="204"/>
      <c r="BON22" s="204"/>
      <c r="BOO22" s="204"/>
      <c r="BOP22" s="204"/>
      <c r="BOQ22" s="204"/>
      <c r="BOR22" s="204"/>
      <c r="BOS22" s="204"/>
      <c r="BOT22" s="204"/>
      <c r="BOU22" s="204"/>
      <c r="BOV22" s="204"/>
      <c r="BOW22" s="204"/>
      <c r="BOX22" s="204"/>
      <c r="BOY22" s="204"/>
      <c r="BOZ22" s="204"/>
      <c r="BPA22" s="204"/>
      <c r="BPB22" s="204"/>
      <c r="BPC22" s="204"/>
      <c r="BPD22" s="204"/>
      <c r="BPE22" s="204"/>
      <c r="BPF22" s="204"/>
      <c r="BPG22" s="204"/>
      <c r="BPH22" s="204"/>
      <c r="BPI22" s="204"/>
      <c r="BPJ22" s="204"/>
      <c r="BPK22" s="204"/>
      <c r="BPL22" s="204"/>
      <c r="BPM22" s="204"/>
      <c r="BPN22" s="204"/>
      <c r="BPO22" s="204"/>
      <c r="BPP22" s="204"/>
      <c r="BPQ22" s="204"/>
      <c r="BPR22" s="204"/>
      <c r="BPS22" s="204"/>
      <c r="BPT22" s="204"/>
      <c r="BPU22" s="204"/>
      <c r="BPV22" s="204"/>
      <c r="BPW22" s="204"/>
      <c r="BPX22" s="204"/>
      <c r="BPY22" s="204"/>
      <c r="BPZ22" s="204"/>
      <c r="BQA22" s="204"/>
      <c r="BQB22" s="204"/>
      <c r="BQC22" s="204"/>
      <c r="BQD22" s="204"/>
      <c r="BQE22" s="204"/>
      <c r="BQF22" s="204"/>
      <c r="BQG22" s="204"/>
      <c r="BQH22" s="204"/>
      <c r="BQI22" s="204"/>
      <c r="BQJ22" s="204"/>
      <c r="BQK22" s="204"/>
      <c r="BQL22" s="204"/>
      <c r="BQM22" s="204"/>
      <c r="BQN22" s="204"/>
      <c r="BQO22" s="204"/>
      <c r="BQP22" s="204"/>
      <c r="BQQ22" s="204"/>
      <c r="BQR22" s="204"/>
      <c r="BQS22" s="204"/>
      <c r="BQT22" s="204"/>
      <c r="BQU22" s="204"/>
      <c r="BQV22" s="204"/>
      <c r="BQW22" s="204"/>
      <c r="BQX22" s="204"/>
      <c r="BQY22" s="204"/>
      <c r="BQZ22" s="204"/>
      <c r="BRA22" s="204"/>
      <c r="BRB22" s="204"/>
      <c r="BRC22" s="204"/>
      <c r="BRD22" s="204"/>
      <c r="BRE22" s="204"/>
      <c r="BRF22" s="204"/>
      <c r="BRG22" s="204"/>
      <c r="BRH22" s="204"/>
      <c r="BRI22" s="204"/>
      <c r="BRJ22" s="204"/>
      <c r="BRK22" s="204"/>
      <c r="BRL22" s="204"/>
      <c r="BRM22" s="204"/>
      <c r="BRN22" s="204"/>
      <c r="BRO22" s="204"/>
      <c r="BRP22" s="204"/>
      <c r="BRQ22" s="204"/>
      <c r="BRR22" s="204"/>
      <c r="BRS22" s="204"/>
      <c r="BRT22" s="204"/>
      <c r="BRU22" s="204"/>
      <c r="BRV22" s="204"/>
      <c r="BRW22" s="204"/>
      <c r="BRX22" s="204"/>
      <c r="BRY22" s="204"/>
      <c r="BRZ22" s="204"/>
      <c r="BSA22" s="204"/>
      <c r="BSB22" s="204"/>
      <c r="BSC22" s="204"/>
      <c r="BSD22" s="204"/>
      <c r="BSE22" s="204"/>
      <c r="BSF22" s="204"/>
      <c r="BSG22" s="204"/>
      <c r="BSH22" s="204"/>
      <c r="BSI22" s="204"/>
      <c r="BSJ22" s="204"/>
      <c r="BSK22" s="204"/>
      <c r="BSL22" s="204"/>
      <c r="BSM22" s="204"/>
      <c r="BSN22" s="204"/>
      <c r="BSO22" s="204"/>
      <c r="BSP22" s="204"/>
      <c r="BSQ22" s="204"/>
      <c r="BSR22" s="204"/>
      <c r="BSS22" s="204"/>
      <c r="BST22" s="204"/>
      <c r="BSU22" s="204"/>
      <c r="BSV22" s="204"/>
      <c r="BSW22" s="204"/>
      <c r="BSX22" s="204"/>
      <c r="BSY22" s="204"/>
      <c r="BSZ22" s="204"/>
      <c r="BTA22" s="204"/>
      <c r="BTB22" s="204"/>
      <c r="BTC22" s="204"/>
      <c r="BTD22" s="204"/>
      <c r="BTE22" s="204"/>
      <c r="BTF22" s="204"/>
      <c r="BTG22" s="204"/>
      <c r="BTH22" s="204"/>
      <c r="BTI22" s="204"/>
      <c r="BTJ22" s="204"/>
      <c r="BTK22" s="204"/>
      <c r="BTL22" s="204"/>
      <c r="BTM22" s="204"/>
      <c r="BTN22" s="204"/>
      <c r="BTO22" s="204"/>
      <c r="BTP22" s="204"/>
      <c r="BTQ22" s="204"/>
      <c r="BTR22" s="204"/>
      <c r="BTS22" s="204"/>
      <c r="BTT22" s="204"/>
      <c r="BTU22" s="204"/>
      <c r="BTV22" s="204"/>
      <c r="BTW22" s="204"/>
      <c r="BTX22" s="204"/>
      <c r="BTY22" s="204"/>
      <c r="BTZ22" s="204"/>
      <c r="BUA22" s="204"/>
      <c r="BUB22" s="204"/>
      <c r="BUC22" s="204"/>
      <c r="BUD22" s="204"/>
      <c r="BUE22" s="204"/>
      <c r="BUF22" s="204"/>
      <c r="BUG22" s="204"/>
      <c r="BUH22" s="204"/>
      <c r="BUI22" s="204"/>
      <c r="BUJ22" s="204"/>
      <c r="BUK22" s="204"/>
      <c r="BUL22" s="204"/>
      <c r="BUM22" s="204"/>
      <c r="BUN22" s="204"/>
      <c r="BUO22" s="204"/>
      <c r="BUP22" s="204"/>
      <c r="BUQ22" s="204"/>
      <c r="BUR22" s="204"/>
      <c r="BUS22" s="204"/>
      <c r="BUT22" s="204"/>
      <c r="BUU22" s="204"/>
      <c r="BUV22" s="204"/>
      <c r="BUW22" s="204"/>
      <c r="BUX22" s="204"/>
      <c r="BUY22" s="204"/>
      <c r="BUZ22" s="204"/>
      <c r="BVA22" s="204"/>
      <c r="BVB22" s="204"/>
      <c r="BVC22" s="204"/>
      <c r="BVD22" s="204"/>
      <c r="BVE22" s="204"/>
      <c r="BVF22" s="204"/>
      <c r="BVG22" s="204"/>
      <c r="BVH22" s="204"/>
      <c r="BVI22" s="204"/>
      <c r="BVJ22" s="204"/>
      <c r="BVK22" s="204"/>
      <c r="BVL22" s="204"/>
      <c r="BVM22" s="204"/>
      <c r="BVN22" s="204"/>
      <c r="BVO22" s="204"/>
      <c r="BVP22" s="204"/>
      <c r="BVQ22" s="204"/>
      <c r="BVR22" s="204"/>
      <c r="BVS22" s="204"/>
      <c r="BVT22" s="204"/>
      <c r="BVU22" s="204"/>
      <c r="BVV22" s="204"/>
      <c r="BVW22" s="204"/>
      <c r="BVX22" s="204"/>
      <c r="BVY22" s="204"/>
      <c r="BVZ22" s="204"/>
      <c r="BWA22" s="204"/>
      <c r="BWB22" s="204"/>
      <c r="BWC22" s="204"/>
      <c r="BWD22" s="204"/>
      <c r="BWE22" s="204"/>
      <c r="BWF22" s="204"/>
      <c r="BWG22" s="204"/>
      <c r="BWH22" s="204"/>
      <c r="BWI22" s="204"/>
      <c r="BWJ22" s="204"/>
      <c r="BWK22" s="204"/>
      <c r="BWL22" s="204"/>
      <c r="BWM22" s="204"/>
      <c r="BWN22" s="204"/>
      <c r="BWO22" s="204"/>
      <c r="BWP22" s="204"/>
      <c r="BWQ22" s="204"/>
      <c r="BWR22" s="204"/>
      <c r="BWS22" s="204"/>
      <c r="BWT22" s="204"/>
      <c r="BWU22" s="204"/>
      <c r="BWV22" s="204"/>
      <c r="BWW22" s="204"/>
      <c r="BWX22" s="204"/>
      <c r="BWY22" s="204"/>
      <c r="BWZ22" s="204"/>
      <c r="BXA22" s="204"/>
      <c r="BXB22" s="204"/>
      <c r="BXC22" s="204"/>
      <c r="BXD22" s="204"/>
      <c r="BXE22" s="204"/>
      <c r="BXF22" s="204"/>
      <c r="BXG22" s="204"/>
      <c r="BXH22" s="204"/>
      <c r="BXI22" s="204"/>
      <c r="BXJ22" s="204"/>
      <c r="BXK22" s="204"/>
      <c r="BXL22" s="204"/>
      <c r="BXM22" s="204"/>
      <c r="BXN22" s="204"/>
      <c r="BXO22" s="204"/>
      <c r="BXP22" s="204"/>
      <c r="BXQ22" s="204"/>
      <c r="BXR22" s="204"/>
      <c r="BXS22" s="204"/>
      <c r="BXT22" s="204"/>
      <c r="BXU22" s="204"/>
      <c r="BXV22" s="204"/>
      <c r="BXW22" s="204"/>
      <c r="BXX22" s="204"/>
      <c r="BXY22" s="204"/>
      <c r="BXZ22" s="204"/>
      <c r="BYA22" s="204"/>
      <c r="BYB22" s="204"/>
      <c r="BYC22" s="204"/>
      <c r="BYD22" s="204"/>
      <c r="BYE22" s="204"/>
      <c r="BYF22" s="204"/>
      <c r="BYG22" s="204"/>
      <c r="BYH22" s="204"/>
      <c r="BYI22" s="204"/>
      <c r="BYJ22" s="204"/>
      <c r="BYK22" s="204"/>
      <c r="BYL22" s="204"/>
      <c r="BYM22" s="204"/>
      <c r="BYN22" s="204"/>
      <c r="BYO22" s="204"/>
      <c r="BYP22" s="204"/>
      <c r="BYQ22" s="204"/>
      <c r="BYR22" s="204"/>
      <c r="BYS22" s="204"/>
      <c r="BYT22" s="204"/>
      <c r="BYU22" s="204"/>
      <c r="BYV22" s="204"/>
      <c r="BYW22" s="204"/>
      <c r="BYX22" s="204"/>
      <c r="BYY22" s="204"/>
      <c r="BYZ22" s="204"/>
      <c r="BZA22" s="204"/>
      <c r="BZB22" s="204"/>
      <c r="BZC22" s="204"/>
      <c r="BZD22" s="204"/>
      <c r="BZE22" s="204"/>
      <c r="BZF22" s="204"/>
      <c r="BZG22" s="204"/>
      <c r="BZH22" s="204"/>
      <c r="BZI22" s="204"/>
      <c r="BZJ22" s="204"/>
      <c r="BZK22" s="204"/>
      <c r="BZL22" s="204"/>
      <c r="BZM22" s="204"/>
      <c r="BZN22" s="204"/>
      <c r="BZO22" s="204"/>
      <c r="BZP22" s="204"/>
      <c r="BZQ22" s="204"/>
      <c r="BZR22" s="204"/>
      <c r="BZS22" s="204"/>
      <c r="BZT22" s="204"/>
      <c r="BZU22" s="204"/>
      <c r="BZV22" s="204"/>
      <c r="BZW22" s="204"/>
      <c r="BZX22" s="204"/>
      <c r="BZY22" s="204"/>
      <c r="BZZ22" s="204"/>
      <c r="CAA22" s="204"/>
      <c r="CAB22" s="204"/>
      <c r="CAC22" s="204"/>
      <c r="CAD22" s="204"/>
      <c r="CAE22" s="204"/>
      <c r="CAF22" s="204"/>
      <c r="CAG22" s="204"/>
      <c r="CAH22" s="204"/>
      <c r="CAI22" s="204"/>
      <c r="CAJ22" s="204"/>
      <c r="CAK22" s="204"/>
      <c r="CAL22" s="204"/>
      <c r="CAM22" s="204"/>
      <c r="CAN22" s="204"/>
      <c r="CAO22" s="204"/>
      <c r="CAP22" s="204"/>
      <c r="CAQ22" s="204"/>
      <c r="CAR22" s="204"/>
      <c r="CAS22" s="204"/>
      <c r="CAT22" s="204"/>
      <c r="CAU22" s="204"/>
      <c r="CAV22" s="204"/>
      <c r="CAW22" s="204"/>
      <c r="CAX22" s="204"/>
      <c r="CAY22" s="204"/>
      <c r="CAZ22" s="204"/>
      <c r="CBA22" s="204"/>
      <c r="CBB22" s="204"/>
      <c r="CBC22" s="204"/>
      <c r="CBD22" s="204"/>
      <c r="CBE22" s="204"/>
      <c r="CBF22" s="204"/>
      <c r="CBG22" s="204"/>
      <c r="CBH22" s="204"/>
      <c r="CBI22" s="204"/>
      <c r="CBJ22" s="204"/>
      <c r="CBK22" s="204"/>
      <c r="CBL22" s="204"/>
      <c r="CBM22" s="204"/>
      <c r="CBN22" s="204"/>
      <c r="CBO22" s="204"/>
      <c r="CBP22" s="204"/>
      <c r="CBQ22" s="204"/>
      <c r="CBR22" s="204"/>
      <c r="CBS22" s="204"/>
      <c r="CBT22" s="204"/>
      <c r="CBU22" s="204"/>
      <c r="CBV22" s="204"/>
      <c r="CBW22" s="204"/>
      <c r="CBX22" s="204"/>
      <c r="CBY22" s="204"/>
      <c r="CBZ22" s="204"/>
      <c r="CCA22" s="204"/>
      <c r="CCB22" s="204"/>
      <c r="CCC22" s="204"/>
      <c r="CCD22" s="204"/>
      <c r="CCE22" s="204"/>
      <c r="CCF22" s="204"/>
      <c r="CCG22" s="204"/>
      <c r="CCH22" s="204"/>
      <c r="CCI22" s="204"/>
      <c r="CCJ22" s="204"/>
      <c r="CCK22" s="204"/>
      <c r="CCL22" s="204"/>
      <c r="CCM22" s="204"/>
      <c r="CCN22" s="204"/>
      <c r="CCO22" s="204"/>
      <c r="CCP22" s="204"/>
      <c r="CCQ22" s="204"/>
      <c r="CCR22" s="204"/>
      <c r="CCS22" s="204"/>
      <c r="CCT22" s="204"/>
      <c r="CCU22" s="204"/>
      <c r="CCV22" s="204"/>
      <c r="CCW22" s="204"/>
      <c r="CCX22" s="204"/>
      <c r="CCY22" s="204"/>
      <c r="CCZ22" s="204"/>
      <c r="CDA22" s="204"/>
      <c r="CDB22" s="204"/>
      <c r="CDC22" s="204"/>
      <c r="CDD22" s="204"/>
      <c r="CDE22" s="204"/>
      <c r="CDF22" s="204"/>
      <c r="CDG22" s="204"/>
      <c r="CDH22" s="204"/>
      <c r="CDI22" s="204"/>
      <c r="CDJ22" s="204"/>
      <c r="CDK22" s="204"/>
      <c r="CDL22" s="204"/>
      <c r="CDM22" s="204"/>
      <c r="CDN22" s="204"/>
      <c r="CDO22" s="204"/>
      <c r="CDP22" s="204"/>
      <c r="CDQ22" s="204"/>
      <c r="CDR22" s="204"/>
      <c r="CDS22" s="204"/>
      <c r="CDT22" s="204"/>
      <c r="CDU22" s="204"/>
      <c r="CDV22" s="204"/>
      <c r="CDW22" s="204"/>
      <c r="CDX22" s="204"/>
      <c r="CDY22" s="204"/>
      <c r="CDZ22" s="204"/>
      <c r="CEA22" s="204"/>
      <c r="CEB22" s="204"/>
      <c r="CEC22" s="204"/>
      <c r="CED22" s="204"/>
      <c r="CEE22" s="204"/>
      <c r="CEF22" s="204"/>
      <c r="CEG22" s="204"/>
      <c r="CEH22" s="204"/>
      <c r="CEI22" s="204"/>
      <c r="CEJ22" s="204"/>
      <c r="CEK22" s="204"/>
      <c r="CEL22" s="204"/>
      <c r="CEM22" s="204"/>
      <c r="CEN22" s="204"/>
      <c r="CEO22" s="204"/>
      <c r="CEP22" s="204"/>
      <c r="CEQ22" s="204"/>
      <c r="CER22" s="204"/>
      <c r="CES22" s="204"/>
      <c r="CET22" s="204"/>
      <c r="CEU22" s="204"/>
      <c r="CEV22" s="204"/>
      <c r="CEW22" s="204"/>
      <c r="CEX22" s="204"/>
      <c r="CEY22" s="204"/>
      <c r="CEZ22" s="204"/>
      <c r="CFA22" s="204"/>
      <c r="CFB22" s="204"/>
      <c r="CFC22" s="204"/>
      <c r="CFD22" s="204"/>
      <c r="CFE22" s="204"/>
      <c r="CFF22" s="204"/>
      <c r="CFG22" s="204"/>
      <c r="CFH22" s="204"/>
      <c r="CFI22" s="204"/>
      <c r="CFJ22" s="204"/>
      <c r="CFK22" s="204"/>
      <c r="CFL22" s="204"/>
      <c r="CFM22" s="204"/>
      <c r="CFN22" s="204"/>
      <c r="CFO22" s="204"/>
      <c r="CFP22" s="204"/>
      <c r="CFQ22" s="204"/>
      <c r="CFR22" s="204"/>
      <c r="CFS22" s="204"/>
      <c r="CFT22" s="204"/>
      <c r="CFU22" s="204"/>
      <c r="CFV22" s="204"/>
      <c r="CFW22" s="204"/>
      <c r="CFX22" s="204"/>
      <c r="CFY22" s="204"/>
      <c r="CFZ22" s="204"/>
      <c r="CGA22" s="204"/>
      <c r="CGB22" s="204"/>
      <c r="CGC22" s="204"/>
      <c r="CGD22" s="204"/>
      <c r="CGE22" s="204"/>
      <c r="CGF22" s="204"/>
      <c r="CGG22" s="204"/>
      <c r="CGH22" s="204"/>
      <c r="CGI22" s="204"/>
      <c r="CGJ22" s="204"/>
      <c r="CGK22" s="204"/>
      <c r="CGL22" s="204"/>
      <c r="CGM22" s="204"/>
      <c r="CGN22" s="204"/>
      <c r="CGO22" s="204"/>
      <c r="CGP22" s="204"/>
      <c r="CGQ22" s="204"/>
      <c r="CGR22" s="204"/>
      <c r="CGS22" s="204"/>
      <c r="CGT22" s="204"/>
      <c r="CGU22" s="204"/>
      <c r="CGV22" s="204"/>
      <c r="CGW22" s="204"/>
      <c r="CGX22" s="204"/>
      <c r="CGY22" s="204"/>
      <c r="CGZ22" s="204"/>
      <c r="CHA22" s="204"/>
      <c r="CHB22" s="204"/>
      <c r="CHC22" s="204"/>
      <c r="CHD22" s="204"/>
      <c r="CHE22" s="204"/>
      <c r="CHF22" s="204"/>
      <c r="CHG22" s="204"/>
      <c r="CHH22" s="204"/>
      <c r="CHI22" s="204"/>
      <c r="CHJ22" s="204"/>
      <c r="CHK22" s="204"/>
      <c r="CHL22" s="204"/>
      <c r="CHM22" s="204"/>
      <c r="CHN22" s="204"/>
      <c r="CHO22" s="204"/>
      <c r="CHP22" s="204"/>
      <c r="CHQ22" s="204"/>
      <c r="CHR22" s="204"/>
      <c r="CHS22" s="204"/>
      <c r="CHT22" s="204"/>
      <c r="CHU22" s="204"/>
      <c r="CHV22" s="204"/>
      <c r="CHW22" s="204"/>
      <c r="CHX22" s="204"/>
      <c r="CHY22" s="204"/>
      <c r="CHZ22" s="204"/>
      <c r="CIA22" s="204"/>
      <c r="CIB22" s="204"/>
      <c r="CIC22" s="204"/>
      <c r="CID22" s="204"/>
      <c r="CIE22" s="204"/>
      <c r="CIF22" s="204"/>
      <c r="CIG22" s="204"/>
      <c r="CIH22" s="204"/>
      <c r="CII22" s="204"/>
      <c r="CIJ22" s="204"/>
      <c r="CIK22" s="204"/>
      <c r="CIL22" s="204"/>
      <c r="CIM22" s="204"/>
      <c r="CIN22" s="204"/>
      <c r="CIO22" s="204"/>
      <c r="CIP22" s="204"/>
      <c r="CIQ22" s="204"/>
      <c r="CIR22" s="204"/>
      <c r="CIS22" s="204"/>
      <c r="CIT22" s="204"/>
      <c r="CIU22" s="204"/>
      <c r="CIV22" s="204"/>
      <c r="CIW22" s="204"/>
      <c r="CIX22" s="204"/>
      <c r="CIY22" s="204"/>
      <c r="CIZ22" s="204"/>
      <c r="CJA22" s="204"/>
      <c r="CJB22" s="204"/>
      <c r="CJC22" s="204"/>
      <c r="CJD22" s="204"/>
      <c r="CJE22" s="204"/>
      <c r="CJF22" s="204"/>
      <c r="CJG22" s="204"/>
      <c r="CJH22" s="204"/>
      <c r="CJI22" s="204"/>
      <c r="CJJ22" s="204"/>
      <c r="CJK22" s="204"/>
      <c r="CJL22" s="204"/>
      <c r="CJM22" s="204"/>
      <c r="CJN22" s="204"/>
      <c r="CJO22" s="204"/>
      <c r="CJP22" s="204"/>
      <c r="CJQ22" s="204"/>
      <c r="CJR22" s="204"/>
      <c r="CJS22" s="204"/>
      <c r="CJT22" s="204"/>
      <c r="CJU22" s="204"/>
      <c r="CJV22" s="204"/>
      <c r="CJW22" s="204"/>
      <c r="CJX22" s="204"/>
      <c r="CJY22" s="204"/>
      <c r="CJZ22" s="204"/>
      <c r="CKA22" s="204"/>
      <c r="CKB22" s="204"/>
      <c r="CKC22" s="204"/>
      <c r="CKD22" s="204"/>
      <c r="CKE22" s="204"/>
      <c r="CKF22" s="204"/>
      <c r="CKG22" s="204"/>
      <c r="CKH22" s="204"/>
      <c r="CKI22" s="204"/>
      <c r="CKJ22" s="204"/>
      <c r="CKK22" s="204"/>
      <c r="CKL22" s="204"/>
      <c r="CKM22" s="204"/>
      <c r="CKN22" s="204"/>
      <c r="CKO22" s="204"/>
      <c r="CKP22" s="204"/>
      <c r="CKQ22" s="204"/>
      <c r="CKR22" s="204"/>
      <c r="CKS22" s="204"/>
      <c r="CKT22" s="204"/>
      <c r="CKU22" s="204"/>
      <c r="CKV22" s="204"/>
      <c r="CKW22" s="204"/>
      <c r="CKX22" s="204"/>
      <c r="CKY22" s="204"/>
      <c r="CKZ22" s="204"/>
      <c r="CLA22" s="204"/>
      <c r="CLB22" s="204"/>
      <c r="CLC22" s="204"/>
      <c r="CLD22" s="204"/>
      <c r="CLE22" s="204"/>
      <c r="CLF22" s="204"/>
      <c r="CLG22" s="204"/>
      <c r="CLH22" s="204"/>
      <c r="CLI22" s="204"/>
      <c r="CLJ22" s="204"/>
      <c r="CLK22" s="204"/>
      <c r="CLL22" s="204"/>
      <c r="CLM22" s="204"/>
      <c r="CLN22" s="204"/>
      <c r="CLO22" s="204"/>
      <c r="CLP22" s="204"/>
      <c r="CLQ22" s="204"/>
      <c r="CLR22" s="204"/>
      <c r="CLS22" s="204"/>
      <c r="CLT22" s="204"/>
      <c r="CLU22" s="204"/>
      <c r="CLV22" s="204"/>
      <c r="CLW22" s="204"/>
      <c r="CLX22" s="204"/>
      <c r="CLY22" s="204"/>
      <c r="CLZ22" s="204"/>
      <c r="CMA22" s="204"/>
      <c r="CMB22" s="204"/>
      <c r="CMC22" s="204"/>
      <c r="CMD22" s="204"/>
      <c r="CME22" s="204"/>
      <c r="CMF22" s="204"/>
      <c r="CMG22" s="204"/>
      <c r="CMH22" s="204"/>
      <c r="CMI22" s="204"/>
      <c r="CMJ22" s="204"/>
      <c r="CMK22" s="204"/>
      <c r="CML22" s="204"/>
      <c r="CMM22" s="204"/>
      <c r="CMN22" s="204"/>
      <c r="CMO22" s="204"/>
      <c r="CMP22" s="204"/>
      <c r="CMQ22" s="204"/>
      <c r="CMR22" s="204"/>
      <c r="CMS22" s="204"/>
      <c r="CMT22" s="204"/>
      <c r="CMU22" s="204"/>
      <c r="CMV22" s="204"/>
      <c r="CMW22" s="204"/>
      <c r="CMX22" s="204"/>
      <c r="CMY22" s="204"/>
      <c r="CMZ22" s="204"/>
      <c r="CNA22" s="204"/>
      <c r="CNB22" s="204"/>
      <c r="CNC22" s="204"/>
      <c r="CND22" s="204"/>
      <c r="CNE22" s="204"/>
      <c r="CNF22" s="204"/>
      <c r="CNG22" s="204"/>
      <c r="CNH22" s="204"/>
      <c r="CNI22" s="204"/>
      <c r="CNJ22" s="204"/>
      <c r="CNK22" s="204"/>
      <c r="CNL22" s="204"/>
      <c r="CNM22" s="204"/>
      <c r="CNN22" s="204"/>
      <c r="CNO22" s="204"/>
      <c r="CNP22" s="204"/>
      <c r="CNQ22" s="204"/>
      <c r="CNR22" s="204"/>
      <c r="CNS22" s="204"/>
      <c r="CNT22" s="204"/>
      <c r="CNU22" s="204"/>
      <c r="CNV22" s="204"/>
      <c r="CNW22" s="204"/>
      <c r="CNX22" s="204"/>
      <c r="CNY22" s="204"/>
      <c r="CNZ22" s="204"/>
      <c r="COA22" s="204"/>
      <c r="COB22" s="204"/>
      <c r="COC22" s="204"/>
      <c r="COD22" s="204"/>
      <c r="COE22" s="204"/>
      <c r="COF22" s="204"/>
      <c r="COG22" s="204"/>
      <c r="COH22" s="204"/>
      <c r="COI22" s="204"/>
      <c r="COJ22" s="204"/>
      <c r="COK22" s="204"/>
      <c r="COL22" s="204"/>
      <c r="COM22" s="204"/>
      <c r="CON22" s="204"/>
      <c r="COO22" s="204"/>
      <c r="COP22" s="204"/>
      <c r="COQ22" s="204"/>
      <c r="COR22" s="204"/>
      <c r="COS22" s="204"/>
      <c r="COT22" s="204"/>
      <c r="COU22" s="204"/>
      <c r="COV22" s="204"/>
      <c r="COW22" s="204"/>
      <c r="COX22" s="204"/>
      <c r="COY22" s="204"/>
      <c r="COZ22" s="204"/>
      <c r="CPA22" s="204"/>
      <c r="CPB22" s="204"/>
      <c r="CPC22" s="204"/>
      <c r="CPD22" s="204"/>
      <c r="CPE22" s="204"/>
      <c r="CPF22" s="204"/>
      <c r="CPG22" s="204"/>
      <c r="CPH22" s="204"/>
      <c r="CPI22" s="204"/>
      <c r="CPJ22" s="204"/>
      <c r="CPK22" s="204"/>
      <c r="CPL22" s="204"/>
      <c r="CPM22" s="204"/>
      <c r="CPN22" s="204"/>
      <c r="CPO22" s="204"/>
      <c r="CPP22" s="204"/>
      <c r="CPQ22" s="204"/>
      <c r="CPR22" s="204"/>
      <c r="CPS22" s="204"/>
      <c r="CPT22" s="204"/>
      <c r="CPU22" s="204"/>
      <c r="CPV22" s="204"/>
      <c r="CPW22" s="204"/>
      <c r="CPX22" s="204"/>
      <c r="CPY22" s="204"/>
      <c r="CPZ22" s="204"/>
      <c r="CQA22" s="204"/>
      <c r="CQB22" s="204"/>
      <c r="CQC22" s="204"/>
      <c r="CQD22" s="204"/>
      <c r="CQE22" s="204"/>
      <c r="CQF22" s="204"/>
      <c r="CQG22" s="204"/>
      <c r="CQH22" s="204"/>
      <c r="CQI22" s="204"/>
      <c r="CQJ22" s="204"/>
      <c r="CQK22" s="204"/>
      <c r="CQL22" s="204"/>
      <c r="CQM22" s="204"/>
      <c r="CQN22" s="204"/>
      <c r="CQO22" s="204"/>
      <c r="CQP22" s="204"/>
      <c r="CQQ22" s="204"/>
      <c r="CQR22" s="204"/>
      <c r="CQS22" s="204"/>
      <c r="CQT22" s="204"/>
      <c r="CQU22" s="204"/>
      <c r="CQV22" s="204"/>
      <c r="CQW22" s="204"/>
      <c r="CQX22" s="204"/>
      <c r="CQY22" s="204"/>
      <c r="CQZ22" s="204"/>
      <c r="CRA22" s="204"/>
      <c r="CRB22" s="204"/>
      <c r="CRC22" s="204"/>
      <c r="CRD22" s="204"/>
      <c r="CRE22" s="204"/>
      <c r="CRF22" s="204"/>
      <c r="CRG22" s="204"/>
      <c r="CRH22" s="204"/>
      <c r="CRI22" s="204"/>
      <c r="CRJ22" s="204"/>
      <c r="CRK22" s="204"/>
      <c r="CRL22" s="204"/>
      <c r="CRM22" s="204"/>
      <c r="CRN22" s="204"/>
      <c r="CRO22" s="204"/>
      <c r="CRP22" s="204"/>
      <c r="CRQ22" s="204"/>
      <c r="CRR22" s="204"/>
      <c r="CRS22" s="204"/>
      <c r="CRT22" s="204"/>
      <c r="CRU22" s="204"/>
      <c r="CRV22" s="204"/>
      <c r="CRW22" s="204"/>
      <c r="CRX22" s="204"/>
      <c r="CRY22" s="204"/>
      <c r="CRZ22" s="204"/>
      <c r="CSA22" s="204"/>
      <c r="CSB22" s="204"/>
      <c r="CSC22" s="204"/>
      <c r="CSD22" s="204"/>
      <c r="CSE22" s="204"/>
      <c r="CSF22" s="204"/>
      <c r="CSG22" s="204"/>
      <c r="CSH22" s="204"/>
      <c r="CSI22" s="204"/>
      <c r="CSJ22" s="204"/>
      <c r="CSK22" s="204"/>
      <c r="CSL22" s="204"/>
      <c r="CSM22" s="204"/>
      <c r="CSN22" s="204"/>
      <c r="CSO22" s="204"/>
      <c r="CSP22" s="204"/>
      <c r="CSQ22" s="204"/>
      <c r="CSR22" s="204"/>
      <c r="CSS22" s="204"/>
      <c r="CST22" s="204"/>
      <c r="CSU22" s="204"/>
      <c r="CSV22" s="204"/>
      <c r="CSW22" s="204"/>
      <c r="CSX22" s="204"/>
      <c r="CSY22" s="204"/>
      <c r="CSZ22" s="204"/>
      <c r="CTA22" s="204"/>
      <c r="CTB22" s="204"/>
      <c r="CTC22" s="204"/>
      <c r="CTD22" s="204"/>
      <c r="CTE22" s="204"/>
      <c r="CTF22" s="204"/>
      <c r="CTG22" s="204"/>
      <c r="CTH22" s="204"/>
      <c r="CTI22" s="204"/>
      <c r="CTJ22" s="204"/>
      <c r="CTK22" s="204"/>
      <c r="CTL22" s="204"/>
      <c r="CTM22" s="204"/>
      <c r="CTN22" s="204"/>
      <c r="CTO22" s="204"/>
      <c r="CTP22" s="204"/>
      <c r="CTQ22" s="204"/>
      <c r="CTR22" s="204"/>
      <c r="CTS22" s="204"/>
      <c r="CTT22" s="204"/>
      <c r="CTU22" s="204"/>
      <c r="CTV22" s="204"/>
      <c r="CTW22" s="204"/>
      <c r="CTX22" s="204"/>
      <c r="CTY22" s="204"/>
      <c r="CTZ22" s="204"/>
      <c r="CUA22" s="204"/>
      <c r="CUB22" s="204"/>
      <c r="CUC22" s="204"/>
      <c r="CUD22" s="204"/>
      <c r="CUE22" s="204"/>
      <c r="CUF22" s="204"/>
      <c r="CUG22" s="204"/>
      <c r="CUH22" s="204"/>
      <c r="CUI22" s="204"/>
      <c r="CUJ22" s="204"/>
      <c r="CUK22" s="204"/>
      <c r="CUL22" s="204"/>
      <c r="CUM22" s="204"/>
      <c r="CUN22" s="204"/>
      <c r="CUO22" s="204"/>
      <c r="CUP22" s="204"/>
      <c r="CUQ22" s="204"/>
      <c r="CUR22" s="204"/>
      <c r="CUS22" s="204"/>
      <c r="CUT22" s="204"/>
      <c r="CUU22" s="204"/>
      <c r="CUV22" s="204"/>
      <c r="CUW22" s="204"/>
      <c r="CUX22" s="204"/>
      <c r="CUY22" s="204"/>
      <c r="CUZ22" s="204"/>
      <c r="CVA22" s="204"/>
      <c r="CVB22" s="204"/>
      <c r="CVC22" s="204"/>
      <c r="CVD22" s="204"/>
      <c r="CVE22" s="204"/>
      <c r="CVF22" s="204"/>
      <c r="CVG22" s="204"/>
      <c r="CVH22" s="204"/>
      <c r="CVI22" s="204"/>
      <c r="CVJ22" s="204"/>
      <c r="CVK22" s="204"/>
      <c r="CVL22" s="204"/>
      <c r="CVM22" s="204"/>
      <c r="CVN22" s="204"/>
      <c r="CVO22" s="204"/>
      <c r="CVP22" s="204"/>
      <c r="CVQ22" s="204"/>
      <c r="CVR22" s="204"/>
      <c r="CVS22" s="204"/>
      <c r="CVT22" s="204"/>
      <c r="CVU22" s="204"/>
      <c r="CVV22" s="204"/>
      <c r="CVW22" s="204"/>
      <c r="CVX22" s="204"/>
      <c r="CVY22" s="204"/>
      <c r="CVZ22" s="204"/>
      <c r="CWA22" s="204"/>
      <c r="CWB22" s="204"/>
      <c r="CWC22" s="204"/>
      <c r="CWD22" s="204"/>
      <c r="CWE22" s="204"/>
      <c r="CWF22" s="204"/>
      <c r="CWG22" s="204"/>
      <c r="CWH22" s="204"/>
      <c r="CWI22" s="204"/>
      <c r="CWJ22" s="204"/>
      <c r="CWK22" s="204"/>
      <c r="CWL22" s="204"/>
      <c r="CWM22" s="204"/>
      <c r="CWN22" s="204"/>
      <c r="CWO22" s="204"/>
      <c r="CWP22" s="204"/>
      <c r="CWQ22" s="204"/>
      <c r="CWR22" s="204"/>
      <c r="CWS22" s="204"/>
      <c r="CWT22" s="204"/>
      <c r="CWU22" s="204"/>
      <c r="CWV22" s="204"/>
      <c r="CWW22" s="204"/>
      <c r="CWX22" s="204"/>
      <c r="CWY22" s="204"/>
      <c r="CWZ22" s="204"/>
      <c r="CXA22" s="204"/>
      <c r="CXB22" s="204"/>
      <c r="CXC22" s="204"/>
      <c r="CXD22" s="204"/>
      <c r="CXE22" s="204"/>
      <c r="CXF22" s="204"/>
      <c r="CXG22" s="204"/>
      <c r="CXH22" s="204"/>
      <c r="CXI22" s="204"/>
      <c r="CXJ22" s="204"/>
      <c r="CXK22" s="204"/>
      <c r="CXL22" s="204"/>
      <c r="CXM22" s="204"/>
      <c r="CXN22" s="204"/>
      <c r="CXO22" s="204"/>
      <c r="CXP22" s="204"/>
      <c r="CXQ22" s="204"/>
      <c r="CXR22" s="204"/>
      <c r="CXS22" s="204"/>
      <c r="CXT22" s="204"/>
      <c r="CXU22" s="204"/>
      <c r="CXV22" s="204"/>
      <c r="CXW22" s="204"/>
      <c r="CXX22" s="204"/>
      <c r="CXY22" s="204"/>
      <c r="CXZ22" s="204"/>
      <c r="CYA22" s="204"/>
      <c r="CYB22" s="204"/>
      <c r="CYC22" s="204"/>
      <c r="CYD22" s="204"/>
      <c r="CYE22" s="204"/>
      <c r="CYF22" s="204"/>
      <c r="CYG22" s="204"/>
      <c r="CYH22" s="204"/>
      <c r="CYI22" s="204"/>
      <c r="CYJ22" s="204"/>
      <c r="CYK22" s="204"/>
      <c r="CYL22" s="204"/>
      <c r="CYM22" s="204"/>
      <c r="CYN22" s="204"/>
      <c r="CYO22" s="204"/>
      <c r="CYP22" s="204"/>
      <c r="CYQ22" s="204"/>
      <c r="CYR22" s="204"/>
      <c r="CYS22" s="204"/>
      <c r="CYT22" s="204"/>
      <c r="CYU22" s="204"/>
      <c r="CYV22" s="204"/>
      <c r="CYW22" s="204"/>
      <c r="CYX22" s="204"/>
      <c r="CYY22" s="204"/>
      <c r="CYZ22" s="204"/>
      <c r="CZA22" s="204"/>
      <c r="CZB22" s="204"/>
      <c r="CZC22" s="204"/>
      <c r="CZD22" s="204"/>
      <c r="CZE22" s="204"/>
      <c r="CZF22" s="204"/>
      <c r="CZG22" s="204"/>
      <c r="CZH22" s="204"/>
      <c r="CZI22" s="204"/>
      <c r="CZJ22" s="204"/>
      <c r="CZK22" s="204"/>
      <c r="CZL22" s="204"/>
      <c r="CZM22" s="204"/>
      <c r="CZN22" s="204"/>
      <c r="CZO22" s="204"/>
      <c r="CZP22" s="204"/>
      <c r="CZQ22" s="204"/>
      <c r="CZR22" s="204"/>
      <c r="CZS22" s="204"/>
      <c r="CZT22" s="204"/>
      <c r="CZU22" s="204"/>
      <c r="CZV22" s="204"/>
      <c r="CZW22" s="204"/>
      <c r="CZX22" s="204"/>
      <c r="CZY22" s="204"/>
      <c r="CZZ22" s="204"/>
      <c r="DAA22" s="204"/>
      <c r="DAB22" s="204"/>
      <c r="DAC22" s="204"/>
      <c r="DAD22" s="204"/>
      <c r="DAE22" s="204"/>
      <c r="DAF22" s="204"/>
      <c r="DAG22" s="204"/>
      <c r="DAH22" s="204"/>
      <c r="DAI22" s="204"/>
      <c r="DAJ22" s="204"/>
      <c r="DAK22" s="204"/>
      <c r="DAL22" s="204"/>
      <c r="DAM22" s="204"/>
      <c r="DAN22" s="204"/>
      <c r="DAO22" s="204"/>
      <c r="DAP22" s="204"/>
      <c r="DAQ22" s="204"/>
      <c r="DAR22" s="204"/>
      <c r="DAS22" s="204"/>
      <c r="DAT22" s="204"/>
      <c r="DAU22" s="204"/>
      <c r="DAV22" s="204"/>
      <c r="DAW22" s="204"/>
      <c r="DAX22" s="204"/>
      <c r="DAY22" s="204"/>
      <c r="DAZ22" s="204"/>
      <c r="DBA22" s="204"/>
      <c r="DBB22" s="204"/>
      <c r="DBC22" s="204"/>
      <c r="DBD22" s="204"/>
      <c r="DBE22" s="204"/>
      <c r="DBF22" s="204"/>
      <c r="DBG22" s="204"/>
      <c r="DBH22" s="204"/>
      <c r="DBI22" s="204"/>
      <c r="DBJ22" s="204"/>
      <c r="DBK22" s="204"/>
      <c r="DBL22" s="204"/>
      <c r="DBM22" s="204"/>
      <c r="DBN22" s="204"/>
      <c r="DBO22" s="204"/>
      <c r="DBP22" s="204"/>
      <c r="DBQ22" s="204"/>
      <c r="DBR22" s="204"/>
      <c r="DBS22" s="204"/>
      <c r="DBT22" s="204"/>
      <c r="DBU22" s="204"/>
      <c r="DBV22" s="204"/>
      <c r="DBW22" s="204"/>
      <c r="DBX22" s="204"/>
      <c r="DBY22" s="204"/>
      <c r="DBZ22" s="204"/>
      <c r="DCA22" s="204"/>
      <c r="DCB22" s="204"/>
      <c r="DCC22" s="204"/>
      <c r="DCD22" s="204"/>
      <c r="DCE22" s="204"/>
      <c r="DCF22" s="204"/>
      <c r="DCG22" s="204"/>
      <c r="DCH22" s="204"/>
      <c r="DCI22" s="204"/>
      <c r="DCJ22" s="204"/>
      <c r="DCK22" s="204"/>
      <c r="DCL22" s="204"/>
      <c r="DCM22" s="204"/>
      <c r="DCN22" s="204"/>
      <c r="DCO22" s="204"/>
      <c r="DCP22" s="204"/>
      <c r="DCQ22" s="204"/>
      <c r="DCR22" s="204"/>
      <c r="DCS22" s="204"/>
      <c r="DCT22" s="204"/>
      <c r="DCU22" s="204"/>
      <c r="DCV22" s="204"/>
      <c r="DCW22" s="204"/>
      <c r="DCX22" s="204"/>
      <c r="DCY22" s="204"/>
      <c r="DCZ22" s="204"/>
      <c r="DDA22" s="204"/>
      <c r="DDB22" s="204"/>
      <c r="DDC22" s="204"/>
      <c r="DDD22" s="204"/>
      <c r="DDE22" s="204"/>
      <c r="DDF22" s="204"/>
      <c r="DDG22" s="204"/>
      <c r="DDH22" s="204"/>
      <c r="DDI22" s="204"/>
      <c r="DDJ22" s="204"/>
      <c r="DDK22" s="204"/>
      <c r="DDL22" s="204"/>
      <c r="DDM22" s="204"/>
      <c r="DDN22" s="204"/>
      <c r="DDO22" s="204"/>
      <c r="DDP22" s="204"/>
      <c r="DDQ22" s="204"/>
      <c r="DDR22" s="204"/>
      <c r="DDS22" s="204"/>
      <c r="DDT22" s="204"/>
      <c r="DDU22" s="204"/>
      <c r="DDV22" s="204"/>
      <c r="DDW22" s="204"/>
      <c r="DDX22" s="204"/>
      <c r="DDY22" s="204"/>
      <c r="DDZ22" s="204"/>
      <c r="DEA22" s="204"/>
      <c r="DEB22" s="204"/>
      <c r="DEC22" s="204"/>
      <c r="DED22" s="204"/>
      <c r="DEE22" s="204"/>
      <c r="DEF22" s="204"/>
      <c r="DEG22" s="204"/>
      <c r="DEH22" s="204"/>
      <c r="DEI22" s="204"/>
      <c r="DEJ22" s="204"/>
      <c r="DEK22" s="204"/>
      <c r="DEL22" s="204"/>
      <c r="DEM22" s="204"/>
      <c r="DEN22" s="204"/>
      <c r="DEO22" s="204"/>
      <c r="DEP22" s="204"/>
      <c r="DEQ22" s="204"/>
      <c r="DER22" s="204"/>
      <c r="DES22" s="204"/>
      <c r="DET22" s="204"/>
      <c r="DEU22" s="204"/>
      <c r="DEV22" s="204"/>
      <c r="DEW22" s="204"/>
      <c r="DEX22" s="204"/>
      <c r="DEY22" s="204"/>
      <c r="DEZ22" s="204"/>
      <c r="DFA22" s="204"/>
      <c r="DFB22" s="204"/>
      <c r="DFC22" s="204"/>
      <c r="DFD22" s="204"/>
      <c r="DFE22" s="204"/>
      <c r="DFF22" s="204"/>
      <c r="DFG22" s="204"/>
      <c r="DFH22" s="204"/>
      <c r="DFI22" s="204"/>
      <c r="DFJ22" s="204"/>
      <c r="DFK22" s="204"/>
      <c r="DFL22" s="204"/>
      <c r="DFM22" s="204"/>
      <c r="DFN22" s="204"/>
      <c r="DFO22" s="204"/>
      <c r="DFP22" s="204"/>
      <c r="DFQ22" s="204"/>
      <c r="DFR22" s="204"/>
      <c r="DFS22" s="204"/>
      <c r="DFT22" s="204"/>
      <c r="DFU22" s="204"/>
      <c r="DFV22" s="204"/>
      <c r="DFW22" s="204"/>
      <c r="DFX22" s="204"/>
      <c r="DFY22" s="204"/>
      <c r="DFZ22" s="204"/>
      <c r="DGA22" s="204"/>
      <c r="DGB22" s="204"/>
      <c r="DGC22" s="204"/>
      <c r="DGD22" s="204"/>
      <c r="DGE22" s="204"/>
      <c r="DGF22" s="204"/>
      <c r="DGG22" s="204"/>
      <c r="DGH22" s="204"/>
      <c r="DGI22" s="204"/>
      <c r="DGJ22" s="204"/>
      <c r="DGK22" s="204"/>
      <c r="DGL22" s="204"/>
      <c r="DGM22" s="204"/>
      <c r="DGN22" s="204"/>
      <c r="DGO22" s="204"/>
      <c r="DGP22" s="204"/>
      <c r="DGQ22" s="204"/>
      <c r="DGR22" s="204"/>
      <c r="DGS22" s="204"/>
      <c r="DGT22" s="204"/>
      <c r="DGU22" s="204"/>
      <c r="DGV22" s="204"/>
      <c r="DGW22" s="204"/>
      <c r="DGX22" s="204"/>
      <c r="DGY22" s="204"/>
      <c r="DGZ22" s="204"/>
      <c r="DHA22" s="204"/>
      <c r="DHB22" s="204"/>
      <c r="DHC22" s="204"/>
      <c r="DHD22" s="204"/>
      <c r="DHE22" s="204"/>
      <c r="DHF22" s="204"/>
      <c r="DHG22" s="204"/>
      <c r="DHH22" s="204"/>
      <c r="DHI22" s="204"/>
      <c r="DHJ22" s="204"/>
      <c r="DHK22" s="204"/>
      <c r="DHL22" s="204"/>
      <c r="DHM22" s="204"/>
      <c r="DHN22" s="204"/>
      <c r="DHO22" s="204"/>
      <c r="DHP22" s="204"/>
      <c r="DHQ22" s="204"/>
      <c r="DHR22" s="204"/>
      <c r="DHS22" s="204"/>
      <c r="DHT22" s="204"/>
      <c r="DHU22" s="204"/>
      <c r="DHV22" s="204"/>
      <c r="DHW22" s="204"/>
      <c r="DHX22" s="204"/>
      <c r="DHY22" s="204"/>
      <c r="DHZ22" s="204"/>
      <c r="DIA22" s="204"/>
      <c r="DIB22" s="204"/>
      <c r="DIC22" s="204"/>
      <c r="DID22" s="204"/>
      <c r="DIE22" s="204"/>
      <c r="DIF22" s="204"/>
      <c r="DIG22" s="204"/>
      <c r="DIH22" s="204"/>
      <c r="DII22" s="204"/>
      <c r="DIJ22" s="204"/>
      <c r="DIK22" s="204"/>
      <c r="DIL22" s="204"/>
      <c r="DIM22" s="204"/>
      <c r="DIN22" s="204"/>
      <c r="DIO22" s="204"/>
      <c r="DIP22" s="204"/>
      <c r="DIQ22" s="204"/>
      <c r="DIR22" s="204"/>
      <c r="DIS22" s="204"/>
      <c r="DIT22" s="204"/>
      <c r="DIU22" s="204"/>
      <c r="DIV22" s="204"/>
      <c r="DIW22" s="204"/>
      <c r="DIX22" s="204"/>
      <c r="DIY22" s="204"/>
      <c r="DIZ22" s="204"/>
      <c r="DJA22" s="204"/>
      <c r="DJB22" s="204"/>
      <c r="DJC22" s="204"/>
      <c r="DJD22" s="204"/>
      <c r="DJE22" s="204"/>
      <c r="DJF22" s="204"/>
      <c r="DJG22" s="204"/>
      <c r="DJH22" s="204"/>
      <c r="DJI22" s="204"/>
      <c r="DJJ22" s="204"/>
      <c r="DJK22" s="204"/>
      <c r="DJL22" s="204"/>
      <c r="DJM22" s="204"/>
      <c r="DJN22" s="204"/>
      <c r="DJO22" s="204"/>
      <c r="DJP22" s="204"/>
      <c r="DJQ22" s="204"/>
      <c r="DJR22" s="204"/>
      <c r="DJS22" s="204"/>
      <c r="DJT22" s="204"/>
      <c r="DJU22" s="204"/>
      <c r="DJV22" s="204"/>
      <c r="DJW22" s="204"/>
      <c r="DJX22" s="204"/>
      <c r="DJY22" s="204"/>
      <c r="DJZ22" s="204"/>
      <c r="DKA22" s="204"/>
      <c r="DKB22" s="204"/>
      <c r="DKC22" s="204"/>
      <c r="DKD22" s="204"/>
      <c r="DKE22" s="204"/>
      <c r="DKF22" s="204"/>
      <c r="DKG22" s="204"/>
      <c r="DKH22" s="204"/>
      <c r="DKI22" s="204"/>
      <c r="DKJ22" s="204"/>
      <c r="DKK22" s="204"/>
      <c r="DKL22" s="204"/>
      <c r="DKM22" s="204"/>
      <c r="DKN22" s="204"/>
      <c r="DKO22" s="204"/>
      <c r="DKP22" s="204"/>
      <c r="DKQ22" s="204"/>
      <c r="DKR22" s="204"/>
      <c r="DKS22" s="204"/>
      <c r="DKT22" s="204"/>
      <c r="DKU22" s="204"/>
      <c r="DKV22" s="204"/>
      <c r="DKW22" s="204"/>
      <c r="DKX22" s="204"/>
      <c r="DKY22" s="204"/>
      <c r="DKZ22" s="204"/>
      <c r="DLA22" s="204"/>
      <c r="DLB22" s="204"/>
      <c r="DLC22" s="204"/>
      <c r="DLD22" s="204"/>
      <c r="DLE22" s="204"/>
      <c r="DLF22" s="204"/>
      <c r="DLG22" s="204"/>
      <c r="DLH22" s="204"/>
      <c r="DLI22" s="204"/>
      <c r="DLJ22" s="204"/>
      <c r="DLK22" s="204"/>
      <c r="DLL22" s="204"/>
      <c r="DLM22" s="204"/>
      <c r="DLN22" s="204"/>
      <c r="DLO22" s="204"/>
      <c r="DLP22" s="204"/>
      <c r="DLQ22" s="204"/>
      <c r="DLR22" s="204"/>
      <c r="DLS22" s="204"/>
      <c r="DLT22" s="204"/>
      <c r="DLU22" s="204"/>
      <c r="DLV22" s="204"/>
      <c r="DLW22" s="204"/>
      <c r="DLX22" s="204"/>
      <c r="DLY22" s="204"/>
      <c r="DLZ22" s="204"/>
      <c r="DMA22" s="204"/>
      <c r="DMB22" s="204"/>
      <c r="DMC22" s="204"/>
      <c r="DMD22" s="204"/>
      <c r="DME22" s="204"/>
      <c r="DMF22" s="204"/>
      <c r="DMG22" s="204"/>
      <c r="DMH22" s="204"/>
      <c r="DMI22" s="204"/>
      <c r="DMJ22" s="204"/>
      <c r="DMK22" s="204"/>
      <c r="DML22" s="204"/>
      <c r="DMM22" s="204"/>
      <c r="DMN22" s="204"/>
      <c r="DMO22" s="204"/>
      <c r="DMP22" s="204"/>
      <c r="DMQ22" s="204"/>
      <c r="DMR22" s="204"/>
      <c r="DMS22" s="204"/>
      <c r="DMT22" s="204"/>
      <c r="DMU22" s="204"/>
      <c r="DMV22" s="204"/>
      <c r="DMW22" s="204"/>
      <c r="DMX22" s="204"/>
      <c r="DMY22" s="204"/>
      <c r="DMZ22" s="204"/>
      <c r="DNA22" s="204"/>
      <c r="DNB22" s="204"/>
      <c r="DNC22" s="204"/>
      <c r="DND22" s="204"/>
      <c r="DNE22" s="204"/>
      <c r="DNF22" s="204"/>
      <c r="DNG22" s="204"/>
      <c r="DNH22" s="204"/>
      <c r="DNI22" s="204"/>
      <c r="DNJ22" s="204"/>
      <c r="DNK22" s="204"/>
      <c r="DNL22" s="204"/>
      <c r="DNM22" s="204"/>
      <c r="DNN22" s="204"/>
      <c r="DNO22" s="204"/>
      <c r="DNP22" s="204"/>
      <c r="DNQ22" s="204"/>
      <c r="DNR22" s="204"/>
      <c r="DNS22" s="204"/>
      <c r="DNT22" s="204"/>
      <c r="DNU22" s="204"/>
      <c r="DNV22" s="204"/>
      <c r="DNW22" s="204"/>
      <c r="DNX22" s="204"/>
      <c r="DNY22" s="204"/>
      <c r="DNZ22" s="204"/>
      <c r="DOA22" s="204"/>
      <c r="DOB22" s="204"/>
      <c r="DOC22" s="204"/>
      <c r="DOD22" s="204"/>
      <c r="DOE22" s="204"/>
      <c r="DOF22" s="204"/>
      <c r="DOG22" s="204"/>
      <c r="DOH22" s="204"/>
      <c r="DOI22" s="204"/>
      <c r="DOJ22" s="204"/>
      <c r="DOK22" s="204"/>
      <c r="DOL22" s="204"/>
      <c r="DOM22" s="204"/>
      <c r="DON22" s="204"/>
      <c r="DOO22" s="204"/>
      <c r="DOP22" s="204"/>
      <c r="DOQ22" s="204"/>
      <c r="DOR22" s="204"/>
      <c r="DOS22" s="204"/>
      <c r="DOT22" s="204"/>
      <c r="DOU22" s="204"/>
      <c r="DOV22" s="204"/>
      <c r="DOW22" s="204"/>
      <c r="DOX22" s="204"/>
      <c r="DOY22" s="204"/>
      <c r="DOZ22" s="204"/>
      <c r="DPA22" s="204"/>
      <c r="DPB22" s="204"/>
      <c r="DPC22" s="204"/>
      <c r="DPD22" s="204"/>
      <c r="DPE22" s="204"/>
      <c r="DPF22" s="204"/>
      <c r="DPG22" s="204"/>
      <c r="DPH22" s="204"/>
      <c r="DPI22" s="204"/>
      <c r="DPJ22" s="204"/>
      <c r="DPK22" s="204"/>
      <c r="DPL22" s="204"/>
      <c r="DPM22" s="204"/>
      <c r="DPN22" s="204"/>
      <c r="DPO22" s="204"/>
      <c r="DPP22" s="204"/>
      <c r="DPQ22" s="204"/>
      <c r="DPR22" s="204"/>
      <c r="DPS22" s="204"/>
      <c r="DPT22" s="204"/>
      <c r="DPU22" s="204"/>
      <c r="DPV22" s="204"/>
      <c r="DPW22" s="204"/>
      <c r="DPX22" s="204"/>
      <c r="DPY22" s="204"/>
      <c r="DPZ22" s="204"/>
      <c r="DQA22" s="204"/>
      <c r="DQB22" s="204"/>
      <c r="DQC22" s="204"/>
      <c r="DQD22" s="204"/>
      <c r="DQE22" s="204"/>
      <c r="DQF22" s="204"/>
      <c r="DQG22" s="204"/>
      <c r="DQH22" s="204"/>
      <c r="DQI22" s="204"/>
      <c r="DQJ22" s="204"/>
      <c r="DQK22" s="204"/>
      <c r="DQL22" s="204"/>
      <c r="DQM22" s="204"/>
      <c r="DQN22" s="204"/>
      <c r="DQO22" s="204"/>
      <c r="DQP22" s="204"/>
      <c r="DQQ22" s="204"/>
      <c r="DQR22" s="204"/>
      <c r="DQS22" s="204"/>
      <c r="DQT22" s="204"/>
      <c r="DQU22" s="204"/>
      <c r="DQV22" s="204"/>
      <c r="DQW22" s="204"/>
      <c r="DQX22" s="204"/>
      <c r="DQY22" s="204"/>
      <c r="DQZ22" s="204"/>
      <c r="DRA22" s="204"/>
      <c r="DRB22" s="204"/>
      <c r="DRC22" s="204"/>
      <c r="DRD22" s="204"/>
      <c r="DRE22" s="204"/>
      <c r="DRF22" s="204"/>
      <c r="DRG22" s="204"/>
      <c r="DRH22" s="204"/>
      <c r="DRI22" s="204"/>
      <c r="DRJ22" s="204"/>
      <c r="DRK22" s="204"/>
      <c r="DRL22" s="204"/>
      <c r="DRM22" s="204"/>
      <c r="DRN22" s="204"/>
      <c r="DRO22" s="204"/>
      <c r="DRP22" s="204"/>
      <c r="DRQ22" s="204"/>
      <c r="DRR22" s="204"/>
      <c r="DRS22" s="204"/>
      <c r="DRT22" s="204"/>
      <c r="DRU22" s="204"/>
      <c r="DRV22" s="204"/>
      <c r="DRW22" s="204"/>
      <c r="DRX22" s="204"/>
      <c r="DRY22" s="204"/>
      <c r="DRZ22" s="204"/>
      <c r="DSA22" s="204"/>
      <c r="DSB22" s="204"/>
      <c r="DSC22" s="204"/>
      <c r="DSD22" s="204"/>
      <c r="DSE22" s="204"/>
      <c r="DSF22" s="204"/>
      <c r="DSG22" s="204"/>
      <c r="DSH22" s="204"/>
      <c r="DSI22" s="204"/>
      <c r="DSJ22" s="204"/>
      <c r="DSK22" s="204"/>
      <c r="DSL22" s="204"/>
      <c r="DSM22" s="204"/>
      <c r="DSN22" s="204"/>
      <c r="DSO22" s="204"/>
      <c r="DSP22" s="204"/>
      <c r="DSQ22" s="204"/>
      <c r="DSR22" s="204"/>
      <c r="DSS22" s="204"/>
      <c r="DST22" s="204"/>
      <c r="DSU22" s="204"/>
      <c r="DSV22" s="204"/>
      <c r="DSW22" s="204"/>
      <c r="DSX22" s="204"/>
      <c r="DSY22" s="204"/>
      <c r="DSZ22" s="204"/>
      <c r="DTA22" s="204"/>
      <c r="DTB22" s="204"/>
      <c r="DTC22" s="204"/>
      <c r="DTD22" s="204"/>
      <c r="DTE22" s="204"/>
      <c r="DTF22" s="204"/>
      <c r="DTG22" s="204"/>
      <c r="DTH22" s="204"/>
      <c r="DTI22" s="204"/>
      <c r="DTJ22" s="204"/>
      <c r="DTK22" s="204"/>
      <c r="DTL22" s="204"/>
      <c r="DTM22" s="204"/>
      <c r="DTN22" s="204"/>
      <c r="DTO22" s="204"/>
      <c r="DTP22" s="204"/>
      <c r="DTQ22" s="204"/>
      <c r="DTR22" s="204"/>
      <c r="DTS22" s="204"/>
      <c r="DTT22" s="204"/>
      <c r="DTU22" s="204"/>
      <c r="DTV22" s="204"/>
      <c r="DTW22" s="204"/>
      <c r="DTX22" s="204"/>
      <c r="DTY22" s="204"/>
      <c r="DTZ22" s="204"/>
      <c r="DUA22" s="204"/>
      <c r="DUB22" s="204"/>
      <c r="DUC22" s="204"/>
      <c r="DUD22" s="204"/>
      <c r="DUE22" s="204"/>
      <c r="DUF22" s="204"/>
      <c r="DUG22" s="204"/>
      <c r="DUH22" s="204"/>
      <c r="DUI22" s="204"/>
      <c r="DUJ22" s="204"/>
      <c r="DUK22" s="204"/>
      <c r="DUL22" s="204"/>
      <c r="DUM22" s="204"/>
      <c r="DUN22" s="204"/>
      <c r="DUO22" s="204"/>
      <c r="DUP22" s="204"/>
      <c r="DUQ22" s="204"/>
      <c r="DUR22" s="204"/>
      <c r="DUS22" s="204"/>
      <c r="DUT22" s="204"/>
      <c r="DUU22" s="204"/>
      <c r="DUV22" s="204"/>
      <c r="DUW22" s="204"/>
      <c r="DUX22" s="204"/>
      <c r="DUY22" s="204"/>
      <c r="DUZ22" s="204"/>
      <c r="DVA22" s="204"/>
      <c r="DVB22" s="204"/>
      <c r="DVC22" s="204"/>
      <c r="DVD22" s="204"/>
      <c r="DVE22" s="204"/>
      <c r="DVF22" s="204"/>
      <c r="DVG22" s="204"/>
      <c r="DVH22" s="204"/>
      <c r="DVI22" s="204"/>
      <c r="DVJ22" s="204"/>
      <c r="DVK22" s="204"/>
      <c r="DVL22" s="204"/>
      <c r="DVM22" s="204"/>
      <c r="DVN22" s="204"/>
      <c r="DVO22" s="204"/>
      <c r="DVP22" s="204"/>
      <c r="DVQ22" s="204"/>
      <c r="DVR22" s="204"/>
      <c r="DVS22" s="204"/>
      <c r="DVT22" s="204"/>
      <c r="DVU22" s="204"/>
      <c r="DVV22" s="204"/>
      <c r="DVW22" s="204"/>
      <c r="DVX22" s="204"/>
      <c r="DVY22" s="204"/>
      <c r="DVZ22" s="204"/>
      <c r="DWA22" s="204"/>
      <c r="DWB22" s="204"/>
      <c r="DWC22" s="204"/>
      <c r="DWD22" s="204"/>
      <c r="DWE22" s="204"/>
      <c r="DWF22" s="204"/>
      <c r="DWG22" s="204"/>
      <c r="DWH22" s="204"/>
      <c r="DWI22" s="204"/>
      <c r="DWJ22" s="204"/>
      <c r="DWK22" s="204"/>
      <c r="DWL22" s="204"/>
      <c r="DWM22" s="204"/>
      <c r="DWN22" s="204"/>
      <c r="DWO22" s="204"/>
      <c r="DWP22" s="204"/>
      <c r="DWQ22" s="204"/>
      <c r="DWR22" s="204"/>
      <c r="DWS22" s="204"/>
      <c r="DWT22" s="204"/>
      <c r="DWU22" s="204"/>
      <c r="DWV22" s="204"/>
      <c r="DWW22" s="204"/>
      <c r="DWX22" s="204"/>
      <c r="DWY22" s="204"/>
      <c r="DWZ22" s="204"/>
      <c r="DXA22" s="204"/>
      <c r="DXB22" s="204"/>
      <c r="DXC22" s="204"/>
      <c r="DXD22" s="204"/>
      <c r="DXE22" s="204"/>
      <c r="DXF22" s="204"/>
      <c r="DXG22" s="204"/>
      <c r="DXH22" s="204"/>
      <c r="DXI22" s="204"/>
      <c r="DXJ22" s="204"/>
      <c r="DXK22" s="204"/>
      <c r="DXL22" s="204"/>
      <c r="DXM22" s="204"/>
      <c r="DXN22" s="204"/>
      <c r="DXO22" s="204"/>
      <c r="DXP22" s="204"/>
      <c r="DXQ22" s="204"/>
      <c r="DXR22" s="204"/>
      <c r="DXS22" s="204"/>
      <c r="DXT22" s="204"/>
      <c r="DXU22" s="204"/>
      <c r="DXV22" s="204"/>
      <c r="DXW22" s="204"/>
      <c r="DXX22" s="204"/>
      <c r="DXY22" s="204"/>
      <c r="DXZ22" s="204"/>
      <c r="DYA22" s="204"/>
      <c r="DYB22" s="204"/>
      <c r="DYC22" s="204"/>
      <c r="DYD22" s="204"/>
      <c r="DYE22" s="204"/>
      <c r="DYF22" s="204"/>
      <c r="DYG22" s="204"/>
      <c r="DYH22" s="204"/>
      <c r="DYI22" s="204"/>
      <c r="DYJ22" s="204"/>
      <c r="DYK22" s="204"/>
      <c r="DYL22" s="204"/>
      <c r="DYM22" s="204"/>
      <c r="DYN22" s="204"/>
      <c r="DYO22" s="204"/>
      <c r="DYP22" s="204"/>
      <c r="DYQ22" s="204"/>
      <c r="DYR22" s="204"/>
      <c r="DYS22" s="204"/>
      <c r="DYT22" s="204"/>
      <c r="DYU22" s="204"/>
      <c r="DYV22" s="204"/>
      <c r="DYW22" s="204"/>
      <c r="DYX22" s="204"/>
      <c r="DYY22" s="204"/>
      <c r="DYZ22" s="204"/>
      <c r="DZA22" s="204"/>
      <c r="DZB22" s="204"/>
      <c r="DZC22" s="204"/>
      <c r="DZD22" s="204"/>
      <c r="DZE22" s="204"/>
      <c r="DZF22" s="204"/>
      <c r="DZG22" s="204"/>
      <c r="DZH22" s="204"/>
      <c r="DZI22" s="204"/>
      <c r="DZJ22" s="204"/>
      <c r="DZK22" s="204"/>
      <c r="DZL22" s="204"/>
      <c r="DZM22" s="204"/>
      <c r="DZN22" s="204"/>
      <c r="DZO22" s="204"/>
      <c r="DZP22" s="204"/>
      <c r="DZQ22" s="204"/>
      <c r="DZR22" s="204"/>
      <c r="DZS22" s="204"/>
      <c r="DZT22" s="204"/>
      <c r="DZU22" s="204"/>
      <c r="DZV22" s="204"/>
      <c r="DZW22" s="204"/>
      <c r="DZX22" s="204"/>
      <c r="DZY22" s="204"/>
      <c r="DZZ22" s="204"/>
      <c r="EAA22" s="204"/>
      <c r="EAB22" s="204"/>
      <c r="EAC22" s="204"/>
      <c r="EAD22" s="204"/>
      <c r="EAE22" s="204"/>
      <c r="EAF22" s="204"/>
      <c r="EAG22" s="204"/>
      <c r="EAH22" s="204"/>
      <c r="EAI22" s="204"/>
      <c r="EAJ22" s="204"/>
      <c r="EAK22" s="204"/>
      <c r="EAL22" s="204"/>
      <c r="EAM22" s="204"/>
      <c r="EAN22" s="204"/>
      <c r="EAO22" s="204"/>
      <c r="EAP22" s="204"/>
      <c r="EAQ22" s="204"/>
      <c r="EAR22" s="204"/>
      <c r="EAS22" s="204"/>
      <c r="EAT22" s="204"/>
      <c r="EAU22" s="204"/>
      <c r="EAV22" s="204"/>
      <c r="EAW22" s="204"/>
      <c r="EAX22" s="204"/>
      <c r="EAY22" s="204"/>
      <c r="EAZ22" s="204"/>
      <c r="EBA22" s="204"/>
      <c r="EBB22" s="204"/>
      <c r="EBC22" s="204"/>
      <c r="EBD22" s="204"/>
      <c r="EBE22" s="204"/>
      <c r="EBF22" s="204"/>
      <c r="EBG22" s="204"/>
      <c r="EBH22" s="204"/>
      <c r="EBI22" s="204"/>
      <c r="EBJ22" s="204"/>
      <c r="EBK22" s="204"/>
      <c r="EBL22" s="204"/>
      <c r="EBM22" s="204"/>
      <c r="EBN22" s="204"/>
      <c r="EBO22" s="204"/>
      <c r="EBP22" s="204"/>
      <c r="EBQ22" s="204"/>
      <c r="EBR22" s="204"/>
      <c r="EBS22" s="204"/>
      <c r="EBT22" s="204"/>
      <c r="EBU22" s="204"/>
      <c r="EBV22" s="204"/>
      <c r="EBW22" s="204"/>
      <c r="EBX22" s="204"/>
      <c r="EBY22" s="204"/>
      <c r="EBZ22" s="204"/>
      <c r="ECA22" s="204"/>
      <c r="ECB22" s="204"/>
      <c r="ECC22" s="204"/>
      <c r="ECD22" s="204"/>
      <c r="ECE22" s="204"/>
      <c r="ECF22" s="204"/>
      <c r="ECG22" s="204"/>
      <c r="ECH22" s="204"/>
      <c r="ECI22" s="204"/>
      <c r="ECJ22" s="204"/>
      <c r="ECK22" s="204"/>
      <c r="ECL22" s="204"/>
      <c r="ECM22" s="204"/>
      <c r="ECN22" s="204"/>
      <c r="ECO22" s="204"/>
      <c r="ECP22" s="204"/>
      <c r="ECQ22" s="204"/>
      <c r="ECR22" s="204"/>
      <c r="ECS22" s="204"/>
      <c r="ECT22" s="204"/>
      <c r="ECU22" s="204"/>
      <c r="ECV22" s="204"/>
      <c r="ECW22" s="204"/>
      <c r="ECX22" s="204"/>
      <c r="ECY22" s="204"/>
      <c r="ECZ22" s="204"/>
      <c r="EDA22" s="204"/>
      <c r="EDB22" s="204"/>
      <c r="EDC22" s="204"/>
      <c r="EDD22" s="204"/>
      <c r="EDE22" s="204"/>
      <c r="EDF22" s="204"/>
      <c r="EDG22" s="204"/>
      <c r="EDH22" s="204"/>
      <c r="EDI22" s="204"/>
      <c r="EDJ22" s="204"/>
      <c r="EDK22" s="204"/>
      <c r="EDL22" s="204"/>
      <c r="EDM22" s="204"/>
      <c r="EDN22" s="204"/>
      <c r="EDO22" s="204"/>
      <c r="EDP22" s="204"/>
      <c r="EDQ22" s="204"/>
      <c r="EDR22" s="204"/>
      <c r="EDS22" s="204"/>
      <c r="EDT22" s="204"/>
      <c r="EDU22" s="204"/>
      <c r="EDV22" s="204"/>
      <c r="EDW22" s="204"/>
      <c r="EDX22" s="204"/>
      <c r="EDY22" s="204"/>
      <c r="EDZ22" s="204"/>
      <c r="EEA22" s="204"/>
      <c r="EEB22" s="204"/>
      <c r="EEC22" s="204"/>
      <c r="EED22" s="204"/>
      <c r="EEE22" s="204"/>
      <c r="EEF22" s="204"/>
      <c r="EEG22" s="204"/>
      <c r="EEH22" s="204"/>
      <c r="EEI22" s="204"/>
      <c r="EEJ22" s="204"/>
      <c r="EEK22" s="204"/>
      <c r="EEL22" s="204"/>
      <c r="EEM22" s="204"/>
      <c r="EEN22" s="204"/>
      <c r="EEO22" s="204"/>
      <c r="EEP22" s="204"/>
      <c r="EEQ22" s="204"/>
      <c r="EER22" s="204"/>
      <c r="EES22" s="204"/>
      <c r="EET22" s="204"/>
      <c r="EEU22" s="204"/>
      <c r="EEV22" s="204"/>
      <c r="EEW22" s="204"/>
      <c r="EEX22" s="204"/>
      <c r="EEY22" s="204"/>
      <c r="EEZ22" s="204"/>
      <c r="EFA22" s="204"/>
      <c r="EFB22" s="204"/>
      <c r="EFC22" s="204"/>
      <c r="EFD22" s="204"/>
      <c r="EFE22" s="204"/>
      <c r="EFF22" s="204"/>
      <c r="EFG22" s="204"/>
      <c r="EFH22" s="204"/>
      <c r="EFI22" s="204"/>
      <c r="EFJ22" s="204"/>
      <c r="EFK22" s="204"/>
      <c r="EFL22" s="204"/>
      <c r="EFM22" s="204"/>
      <c r="EFN22" s="204"/>
      <c r="EFO22" s="204"/>
      <c r="EFP22" s="204"/>
      <c r="EFQ22" s="204"/>
      <c r="EFR22" s="204"/>
      <c r="EFS22" s="204"/>
      <c r="EFT22" s="204"/>
      <c r="EFU22" s="204"/>
      <c r="EFV22" s="204"/>
      <c r="EFW22" s="204"/>
      <c r="EFX22" s="204"/>
      <c r="EFY22" s="204"/>
      <c r="EFZ22" s="204"/>
      <c r="EGA22" s="204"/>
      <c r="EGB22" s="204"/>
      <c r="EGC22" s="204"/>
      <c r="EGD22" s="204"/>
      <c r="EGE22" s="204"/>
      <c r="EGF22" s="204"/>
      <c r="EGG22" s="204"/>
      <c r="EGH22" s="204"/>
      <c r="EGI22" s="204"/>
      <c r="EGJ22" s="204"/>
      <c r="EGK22" s="204"/>
      <c r="EGL22" s="204"/>
      <c r="EGM22" s="204"/>
      <c r="EGN22" s="204"/>
      <c r="EGO22" s="204"/>
      <c r="EGP22" s="204"/>
      <c r="EGQ22" s="204"/>
      <c r="EGR22" s="204"/>
      <c r="EGS22" s="204"/>
      <c r="EGT22" s="204"/>
      <c r="EGU22" s="204"/>
      <c r="EGV22" s="204"/>
      <c r="EGW22" s="204"/>
      <c r="EGX22" s="204"/>
      <c r="EGY22" s="204"/>
      <c r="EGZ22" s="204"/>
      <c r="EHA22" s="204"/>
      <c r="EHB22" s="204"/>
      <c r="EHC22" s="204"/>
      <c r="EHD22" s="204"/>
      <c r="EHE22" s="204"/>
      <c r="EHF22" s="204"/>
      <c r="EHG22" s="204"/>
      <c r="EHH22" s="204"/>
      <c r="EHI22" s="204"/>
      <c r="EHJ22" s="204"/>
      <c r="EHK22" s="204"/>
      <c r="EHL22" s="204"/>
      <c r="EHM22" s="204"/>
      <c r="EHN22" s="204"/>
      <c r="EHO22" s="204"/>
      <c r="EHP22" s="204"/>
      <c r="EHQ22" s="204"/>
      <c r="EHR22" s="204"/>
      <c r="EHS22" s="204"/>
      <c r="EHT22" s="204"/>
      <c r="EHU22" s="204"/>
      <c r="EHV22" s="204"/>
      <c r="EHW22" s="204"/>
      <c r="EHX22" s="204"/>
      <c r="EHY22" s="204"/>
      <c r="EHZ22" s="204"/>
      <c r="EIA22" s="204"/>
      <c r="EIB22" s="204"/>
      <c r="EIC22" s="204"/>
      <c r="EID22" s="204"/>
      <c r="EIE22" s="204"/>
      <c r="EIF22" s="204"/>
      <c r="EIG22" s="204"/>
      <c r="EIH22" s="204"/>
      <c r="EII22" s="204"/>
      <c r="EIJ22" s="204"/>
      <c r="EIK22" s="204"/>
      <c r="EIL22" s="204"/>
      <c r="EIM22" s="204"/>
      <c r="EIN22" s="204"/>
      <c r="EIO22" s="204"/>
      <c r="EIP22" s="204"/>
      <c r="EIQ22" s="204"/>
      <c r="EIR22" s="204"/>
      <c r="EIS22" s="204"/>
      <c r="EIT22" s="204"/>
      <c r="EIU22" s="204"/>
      <c r="EIV22" s="204"/>
      <c r="EIW22" s="204"/>
      <c r="EIX22" s="204"/>
      <c r="EIY22" s="204"/>
      <c r="EIZ22" s="204"/>
      <c r="EJA22" s="204"/>
      <c r="EJB22" s="204"/>
      <c r="EJC22" s="204"/>
      <c r="EJD22" s="204"/>
      <c r="EJE22" s="204"/>
      <c r="EJF22" s="204"/>
      <c r="EJG22" s="204"/>
      <c r="EJH22" s="204"/>
      <c r="EJI22" s="204"/>
      <c r="EJJ22" s="204"/>
      <c r="EJK22" s="204"/>
      <c r="EJL22" s="204"/>
      <c r="EJM22" s="204"/>
      <c r="EJN22" s="204"/>
      <c r="EJO22" s="204"/>
      <c r="EJP22" s="204"/>
      <c r="EJQ22" s="204"/>
      <c r="EJR22" s="204"/>
      <c r="EJS22" s="204"/>
      <c r="EJT22" s="204"/>
      <c r="EJU22" s="204"/>
      <c r="EJV22" s="204"/>
      <c r="EJW22" s="204"/>
      <c r="EJX22" s="204"/>
      <c r="EJY22" s="204"/>
      <c r="EJZ22" s="204"/>
      <c r="EKA22" s="204"/>
      <c r="EKB22" s="204"/>
      <c r="EKC22" s="204"/>
      <c r="EKD22" s="204"/>
      <c r="EKE22" s="204"/>
      <c r="EKF22" s="204"/>
      <c r="EKG22" s="204"/>
      <c r="EKH22" s="204"/>
      <c r="EKI22" s="204"/>
      <c r="EKJ22" s="204"/>
      <c r="EKK22" s="204"/>
      <c r="EKL22" s="204"/>
      <c r="EKM22" s="204"/>
      <c r="EKN22" s="204"/>
      <c r="EKO22" s="204"/>
      <c r="EKP22" s="204"/>
      <c r="EKQ22" s="204"/>
      <c r="EKR22" s="204"/>
      <c r="EKS22" s="204"/>
      <c r="EKT22" s="204"/>
      <c r="EKU22" s="204"/>
      <c r="EKV22" s="204"/>
      <c r="EKW22" s="204"/>
      <c r="EKX22" s="204"/>
      <c r="EKY22" s="204"/>
      <c r="EKZ22" s="204"/>
      <c r="ELA22" s="204"/>
      <c r="ELB22" s="204"/>
      <c r="ELC22" s="204"/>
      <c r="ELD22" s="204"/>
      <c r="ELE22" s="204"/>
      <c r="ELF22" s="204"/>
      <c r="ELG22" s="204"/>
      <c r="ELH22" s="204"/>
      <c r="ELI22" s="204"/>
      <c r="ELJ22" s="204"/>
      <c r="ELK22" s="204"/>
      <c r="ELL22" s="204"/>
      <c r="ELM22" s="204"/>
      <c r="ELN22" s="204"/>
      <c r="ELO22" s="204"/>
      <c r="ELP22" s="204"/>
      <c r="ELQ22" s="204"/>
      <c r="ELR22" s="204"/>
      <c r="ELS22" s="204"/>
      <c r="ELT22" s="204"/>
      <c r="ELU22" s="204"/>
      <c r="ELV22" s="204"/>
      <c r="ELW22" s="204"/>
      <c r="ELX22" s="204"/>
      <c r="ELY22" s="204"/>
      <c r="ELZ22" s="204"/>
      <c r="EMA22" s="204"/>
      <c r="EMB22" s="204"/>
      <c r="EMC22" s="204"/>
      <c r="EMD22" s="204"/>
      <c r="EME22" s="204"/>
      <c r="EMF22" s="204"/>
      <c r="EMG22" s="204"/>
      <c r="EMH22" s="204"/>
      <c r="EMI22" s="204"/>
      <c r="EMJ22" s="204"/>
      <c r="EMK22" s="204"/>
      <c r="EML22" s="204"/>
      <c r="EMM22" s="204"/>
      <c r="EMN22" s="204"/>
      <c r="EMO22" s="204"/>
      <c r="EMP22" s="204"/>
      <c r="EMQ22" s="204"/>
      <c r="EMR22" s="204"/>
      <c r="EMS22" s="204"/>
      <c r="EMT22" s="204"/>
      <c r="EMU22" s="204"/>
      <c r="EMV22" s="204"/>
      <c r="EMW22" s="204"/>
      <c r="EMX22" s="204"/>
      <c r="EMY22" s="204"/>
      <c r="EMZ22" s="204"/>
      <c r="ENA22" s="204"/>
      <c r="ENB22" s="204"/>
      <c r="ENC22" s="204"/>
      <c r="END22" s="204"/>
      <c r="ENE22" s="204"/>
      <c r="ENF22" s="204"/>
      <c r="ENG22" s="204"/>
      <c r="ENH22" s="204"/>
      <c r="ENI22" s="204"/>
      <c r="ENJ22" s="204"/>
      <c r="ENK22" s="204"/>
      <c r="ENL22" s="204"/>
      <c r="ENM22" s="204"/>
      <c r="ENN22" s="204"/>
      <c r="ENO22" s="204"/>
      <c r="ENP22" s="204"/>
      <c r="ENQ22" s="204"/>
      <c r="ENR22" s="204"/>
      <c r="ENS22" s="204"/>
      <c r="ENT22" s="204"/>
      <c r="ENU22" s="204"/>
      <c r="ENV22" s="204"/>
      <c r="ENW22" s="204"/>
      <c r="ENX22" s="204"/>
      <c r="ENY22" s="204"/>
      <c r="ENZ22" s="204"/>
      <c r="EOA22" s="204"/>
      <c r="EOB22" s="204"/>
      <c r="EOC22" s="204"/>
      <c r="EOD22" s="204"/>
      <c r="EOE22" s="204"/>
      <c r="EOF22" s="204"/>
      <c r="EOG22" s="204"/>
      <c r="EOH22" s="204"/>
      <c r="EOI22" s="204"/>
      <c r="EOJ22" s="204"/>
      <c r="EOK22" s="204"/>
      <c r="EOL22" s="204"/>
      <c r="EOM22" s="204"/>
      <c r="EON22" s="204"/>
      <c r="EOO22" s="204"/>
      <c r="EOP22" s="204"/>
      <c r="EOQ22" s="204"/>
      <c r="EOR22" s="204"/>
      <c r="EOS22" s="204"/>
      <c r="EOT22" s="204"/>
      <c r="EOU22" s="204"/>
      <c r="EOV22" s="204"/>
      <c r="EOW22" s="204"/>
      <c r="EOX22" s="204"/>
      <c r="EOY22" s="204"/>
      <c r="EOZ22" s="204"/>
      <c r="EPA22" s="204"/>
      <c r="EPB22" s="204"/>
      <c r="EPC22" s="204"/>
      <c r="EPD22" s="204"/>
      <c r="EPE22" s="204"/>
      <c r="EPF22" s="204"/>
      <c r="EPG22" s="204"/>
      <c r="EPH22" s="204"/>
      <c r="EPI22" s="204"/>
      <c r="EPJ22" s="204"/>
      <c r="EPK22" s="204"/>
      <c r="EPL22" s="204"/>
      <c r="EPM22" s="204"/>
      <c r="EPN22" s="204"/>
      <c r="EPO22" s="204"/>
      <c r="EPP22" s="204"/>
      <c r="EPQ22" s="204"/>
      <c r="EPR22" s="204"/>
      <c r="EPS22" s="204"/>
      <c r="EPT22" s="204"/>
      <c r="EPU22" s="204"/>
      <c r="EPV22" s="204"/>
      <c r="EPW22" s="204"/>
      <c r="EPX22" s="204"/>
      <c r="EPY22" s="204"/>
      <c r="EPZ22" s="204"/>
      <c r="EQA22" s="204"/>
      <c r="EQB22" s="204"/>
      <c r="EQC22" s="204"/>
      <c r="EQD22" s="204"/>
      <c r="EQE22" s="204"/>
      <c r="EQF22" s="204"/>
      <c r="EQG22" s="204"/>
      <c r="EQH22" s="204"/>
      <c r="EQI22" s="204"/>
      <c r="EQJ22" s="204"/>
      <c r="EQK22" s="204"/>
      <c r="EQL22" s="204"/>
      <c r="EQM22" s="204"/>
      <c r="EQN22" s="204"/>
      <c r="EQO22" s="204"/>
      <c r="EQP22" s="204"/>
      <c r="EQQ22" s="204"/>
      <c r="EQR22" s="204"/>
      <c r="EQS22" s="204"/>
      <c r="EQT22" s="204"/>
      <c r="EQU22" s="204"/>
      <c r="EQV22" s="204"/>
      <c r="EQW22" s="204"/>
      <c r="EQX22" s="204"/>
      <c r="EQY22" s="204"/>
      <c r="EQZ22" s="204"/>
      <c r="ERA22" s="204"/>
      <c r="ERB22" s="204"/>
      <c r="ERC22" s="204"/>
      <c r="ERD22" s="204"/>
      <c r="ERE22" s="204"/>
      <c r="ERF22" s="204"/>
      <c r="ERG22" s="204"/>
      <c r="ERH22" s="204"/>
      <c r="ERI22" s="204"/>
      <c r="ERJ22" s="204"/>
      <c r="ERK22" s="204"/>
      <c r="ERL22" s="204"/>
      <c r="ERM22" s="204"/>
      <c r="ERN22" s="204"/>
      <c r="ERO22" s="204"/>
      <c r="ERP22" s="204"/>
      <c r="ERQ22" s="204"/>
      <c r="ERR22" s="204"/>
      <c r="ERS22" s="204"/>
      <c r="ERT22" s="204"/>
      <c r="ERU22" s="204"/>
      <c r="ERV22" s="204"/>
      <c r="ERW22" s="204"/>
      <c r="ERX22" s="204"/>
      <c r="ERY22" s="204"/>
      <c r="ERZ22" s="204"/>
      <c r="ESA22" s="204"/>
      <c r="ESB22" s="204"/>
      <c r="ESC22" s="204"/>
      <c r="ESD22" s="204"/>
      <c r="ESE22" s="204"/>
      <c r="ESF22" s="204"/>
      <c r="ESG22" s="204"/>
      <c r="ESH22" s="204"/>
      <c r="ESI22" s="204"/>
      <c r="ESJ22" s="204"/>
      <c r="ESK22" s="204"/>
      <c r="ESL22" s="204"/>
      <c r="ESM22" s="204"/>
      <c r="ESN22" s="204"/>
      <c r="ESO22" s="204"/>
      <c r="ESP22" s="204"/>
      <c r="ESQ22" s="204"/>
      <c r="ESR22" s="204"/>
      <c r="ESS22" s="204"/>
      <c r="EST22" s="204"/>
      <c r="ESU22" s="204"/>
      <c r="ESV22" s="204"/>
      <c r="ESW22" s="204"/>
      <c r="ESX22" s="204"/>
      <c r="ESY22" s="204"/>
      <c r="ESZ22" s="204"/>
      <c r="ETA22" s="204"/>
      <c r="ETB22" s="204"/>
      <c r="ETC22" s="204"/>
      <c r="ETD22" s="204"/>
      <c r="ETE22" s="204"/>
      <c r="ETF22" s="204"/>
      <c r="ETG22" s="204"/>
      <c r="ETH22" s="204"/>
      <c r="ETI22" s="204"/>
      <c r="ETJ22" s="204"/>
      <c r="ETK22" s="204"/>
      <c r="ETL22" s="204"/>
      <c r="ETM22" s="204"/>
      <c r="ETN22" s="204"/>
      <c r="ETO22" s="204"/>
      <c r="ETP22" s="204"/>
      <c r="ETQ22" s="204"/>
      <c r="ETR22" s="204"/>
      <c r="ETS22" s="204"/>
      <c r="ETT22" s="204"/>
      <c r="ETU22" s="204"/>
      <c r="ETV22" s="204"/>
      <c r="ETW22" s="204"/>
      <c r="ETX22" s="204"/>
      <c r="ETY22" s="204"/>
      <c r="ETZ22" s="204"/>
      <c r="EUA22" s="204"/>
      <c r="EUB22" s="204"/>
      <c r="EUC22" s="204"/>
      <c r="EUD22" s="204"/>
      <c r="EUE22" s="204"/>
      <c r="EUF22" s="204"/>
      <c r="EUG22" s="204"/>
      <c r="EUH22" s="204"/>
      <c r="EUI22" s="204"/>
      <c r="EUJ22" s="204"/>
      <c r="EUK22" s="204"/>
      <c r="EUL22" s="204"/>
      <c r="EUM22" s="204"/>
      <c r="EUN22" s="204"/>
      <c r="EUO22" s="204"/>
      <c r="EUP22" s="204"/>
      <c r="EUQ22" s="204"/>
      <c r="EUR22" s="204"/>
      <c r="EUS22" s="204"/>
      <c r="EUT22" s="204"/>
      <c r="EUU22" s="204"/>
      <c r="EUV22" s="204"/>
      <c r="EUW22" s="204"/>
      <c r="EUX22" s="204"/>
      <c r="EUY22" s="204"/>
      <c r="EUZ22" s="204"/>
      <c r="EVA22" s="204"/>
      <c r="EVB22" s="204"/>
      <c r="EVC22" s="204"/>
      <c r="EVD22" s="204"/>
      <c r="EVE22" s="204"/>
      <c r="EVF22" s="204"/>
      <c r="EVG22" s="204"/>
      <c r="EVH22" s="204"/>
      <c r="EVI22" s="204"/>
      <c r="EVJ22" s="204"/>
      <c r="EVK22" s="204"/>
      <c r="EVL22" s="204"/>
      <c r="EVM22" s="204"/>
      <c r="EVN22" s="204"/>
      <c r="EVO22" s="204"/>
      <c r="EVP22" s="204"/>
      <c r="EVQ22" s="204"/>
      <c r="EVR22" s="204"/>
      <c r="EVS22" s="204"/>
      <c r="EVT22" s="204"/>
      <c r="EVU22" s="204"/>
      <c r="EVV22" s="204"/>
      <c r="EVW22" s="204"/>
      <c r="EVX22" s="204"/>
      <c r="EVY22" s="204"/>
      <c r="EVZ22" s="204"/>
      <c r="EWA22" s="204"/>
      <c r="EWB22" s="204"/>
      <c r="EWC22" s="204"/>
      <c r="EWD22" s="204"/>
      <c r="EWE22" s="204"/>
      <c r="EWF22" s="204"/>
      <c r="EWG22" s="204"/>
      <c r="EWH22" s="204"/>
      <c r="EWI22" s="204"/>
      <c r="EWJ22" s="204"/>
      <c r="EWK22" s="204"/>
      <c r="EWL22" s="204"/>
      <c r="EWM22" s="204"/>
      <c r="EWN22" s="204"/>
      <c r="EWO22" s="204"/>
      <c r="EWP22" s="204"/>
      <c r="EWQ22" s="204"/>
      <c r="EWR22" s="204"/>
      <c r="EWS22" s="204"/>
      <c r="EWT22" s="204"/>
      <c r="EWU22" s="204"/>
      <c r="EWV22" s="204"/>
      <c r="EWW22" s="204"/>
      <c r="EWX22" s="204"/>
      <c r="EWY22" s="204"/>
      <c r="EWZ22" s="204"/>
      <c r="EXA22" s="204"/>
      <c r="EXB22" s="204"/>
      <c r="EXC22" s="204"/>
      <c r="EXD22" s="204"/>
      <c r="EXE22" s="204"/>
      <c r="EXF22" s="204"/>
      <c r="EXG22" s="204"/>
      <c r="EXH22" s="204"/>
      <c r="EXI22" s="204"/>
      <c r="EXJ22" s="204"/>
      <c r="EXK22" s="204"/>
      <c r="EXL22" s="204"/>
      <c r="EXM22" s="204"/>
      <c r="EXN22" s="204"/>
      <c r="EXO22" s="204"/>
      <c r="EXP22" s="204"/>
      <c r="EXQ22" s="204"/>
      <c r="EXR22" s="204"/>
      <c r="EXS22" s="204"/>
      <c r="EXT22" s="204"/>
      <c r="EXU22" s="204"/>
      <c r="EXV22" s="204"/>
      <c r="EXW22" s="204"/>
      <c r="EXX22" s="204"/>
      <c r="EXY22" s="204"/>
      <c r="EXZ22" s="204"/>
      <c r="EYA22" s="204"/>
      <c r="EYB22" s="204"/>
      <c r="EYC22" s="204"/>
      <c r="EYD22" s="204"/>
      <c r="EYE22" s="204"/>
      <c r="EYF22" s="204"/>
      <c r="EYG22" s="204"/>
      <c r="EYH22" s="204"/>
      <c r="EYI22" s="204"/>
      <c r="EYJ22" s="204"/>
      <c r="EYK22" s="204"/>
      <c r="EYL22" s="204"/>
      <c r="EYM22" s="204"/>
      <c r="EYN22" s="204"/>
      <c r="EYO22" s="204"/>
      <c r="EYP22" s="204"/>
      <c r="EYQ22" s="204"/>
      <c r="EYR22" s="204"/>
      <c r="EYS22" s="204"/>
      <c r="EYT22" s="204"/>
      <c r="EYU22" s="204"/>
      <c r="EYV22" s="204"/>
      <c r="EYW22" s="204"/>
      <c r="EYX22" s="204"/>
      <c r="EYY22" s="204"/>
      <c r="EYZ22" s="204"/>
      <c r="EZA22" s="204"/>
      <c r="EZB22" s="204"/>
      <c r="EZC22" s="204"/>
      <c r="EZD22" s="204"/>
      <c r="EZE22" s="204"/>
      <c r="EZF22" s="204"/>
      <c r="EZG22" s="204"/>
      <c r="EZH22" s="204"/>
      <c r="EZI22" s="204"/>
      <c r="EZJ22" s="204"/>
      <c r="EZK22" s="204"/>
      <c r="EZL22" s="204"/>
      <c r="EZM22" s="204"/>
      <c r="EZN22" s="204"/>
      <c r="EZO22" s="204"/>
      <c r="EZP22" s="204"/>
      <c r="EZQ22" s="204"/>
      <c r="EZR22" s="204"/>
      <c r="EZS22" s="204"/>
      <c r="EZT22" s="204"/>
      <c r="EZU22" s="204"/>
      <c r="EZV22" s="204"/>
      <c r="EZW22" s="204"/>
      <c r="EZX22" s="204"/>
      <c r="EZY22" s="204"/>
      <c r="EZZ22" s="204"/>
      <c r="FAA22" s="204"/>
      <c r="FAB22" s="204"/>
      <c r="FAC22" s="204"/>
      <c r="FAD22" s="204"/>
      <c r="FAE22" s="204"/>
      <c r="FAF22" s="204"/>
      <c r="FAG22" s="204"/>
      <c r="FAH22" s="204"/>
      <c r="FAI22" s="204"/>
      <c r="FAJ22" s="204"/>
      <c r="FAK22" s="204"/>
      <c r="FAL22" s="204"/>
      <c r="FAM22" s="204"/>
      <c r="FAN22" s="204"/>
      <c r="FAO22" s="204"/>
      <c r="FAP22" s="204"/>
      <c r="FAQ22" s="204"/>
      <c r="FAR22" s="204"/>
      <c r="FAS22" s="204"/>
      <c r="FAT22" s="204"/>
      <c r="FAU22" s="204"/>
      <c r="FAV22" s="204"/>
      <c r="FAW22" s="204"/>
      <c r="FAX22" s="204"/>
      <c r="FAY22" s="204"/>
      <c r="FAZ22" s="204"/>
      <c r="FBA22" s="204"/>
      <c r="FBB22" s="204"/>
      <c r="FBC22" s="204"/>
      <c r="FBD22" s="204"/>
      <c r="FBE22" s="204"/>
      <c r="FBF22" s="204"/>
      <c r="FBG22" s="204"/>
      <c r="FBH22" s="204"/>
      <c r="FBI22" s="204"/>
      <c r="FBJ22" s="204"/>
      <c r="FBK22" s="204"/>
      <c r="FBL22" s="204"/>
      <c r="FBM22" s="204"/>
      <c r="FBN22" s="204"/>
      <c r="FBO22" s="204"/>
      <c r="FBP22" s="204"/>
      <c r="FBQ22" s="204"/>
      <c r="FBR22" s="204"/>
      <c r="FBS22" s="204"/>
      <c r="FBT22" s="204"/>
      <c r="FBU22" s="204"/>
      <c r="FBV22" s="204"/>
      <c r="FBW22" s="204"/>
      <c r="FBX22" s="204"/>
      <c r="FBY22" s="204"/>
      <c r="FBZ22" s="204"/>
      <c r="FCA22" s="204"/>
      <c r="FCB22" s="204"/>
      <c r="FCC22" s="204"/>
      <c r="FCD22" s="204"/>
      <c r="FCE22" s="204"/>
      <c r="FCF22" s="204"/>
      <c r="FCG22" s="204"/>
      <c r="FCH22" s="204"/>
      <c r="FCI22" s="204"/>
      <c r="FCJ22" s="204"/>
      <c r="FCK22" s="204"/>
      <c r="FCL22" s="204"/>
      <c r="FCM22" s="204"/>
      <c r="FCN22" s="204"/>
      <c r="FCO22" s="204"/>
      <c r="FCP22" s="204"/>
      <c r="FCQ22" s="204"/>
      <c r="FCR22" s="204"/>
      <c r="FCS22" s="204"/>
      <c r="FCT22" s="204"/>
      <c r="FCU22" s="204"/>
      <c r="FCV22" s="204"/>
      <c r="FCW22" s="204"/>
      <c r="FCX22" s="204"/>
      <c r="FCY22" s="204"/>
      <c r="FCZ22" s="204"/>
      <c r="FDA22" s="204"/>
      <c r="FDB22" s="204"/>
      <c r="FDC22" s="204"/>
      <c r="FDD22" s="204"/>
      <c r="FDE22" s="204"/>
      <c r="FDF22" s="204"/>
      <c r="FDG22" s="204"/>
      <c r="FDH22" s="204"/>
      <c r="FDI22" s="204"/>
      <c r="FDJ22" s="204"/>
      <c r="FDK22" s="204"/>
      <c r="FDL22" s="204"/>
      <c r="FDM22" s="204"/>
      <c r="FDN22" s="204"/>
      <c r="FDO22" s="204"/>
      <c r="FDP22" s="204"/>
      <c r="FDQ22" s="204"/>
      <c r="FDR22" s="204"/>
      <c r="FDS22" s="204"/>
      <c r="FDT22" s="204"/>
      <c r="FDU22" s="204"/>
      <c r="FDV22" s="204"/>
      <c r="FDW22" s="204"/>
      <c r="FDX22" s="204"/>
      <c r="FDY22" s="204"/>
      <c r="FDZ22" s="204"/>
      <c r="FEA22" s="204"/>
      <c r="FEB22" s="204"/>
      <c r="FEC22" s="204"/>
      <c r="FED22" s="204"/>
      <c r="FEE22" s="204"/>
      <c r="FEF22" s="204"/>
      <c r="FEG22" s="204"/>
      <c r="FEH22" s="204"/>
      <c r="FEI22" s="204"/>
      <c r="FEJ22" s="204"/>
      <c r="FEK22" s="204"/>
      <c r="FEL22" s="204"/>
      <c r="FEM22" s="204"/>
      <c r="FEN22" s="204"/>
      <c r="FEO22" s="204"/>
      <c r="FEP22" s="204"/>
      <c r="FEQ22" s="204"/>
      <c r="FER22" s="204"/>
      <c r="FES22" s="204"/>
      <c r="FET22" s="204"/>
      <c r="FEU22" s="204"/>
      <c r="FEV22" s="204"/>
      <c r="FEW22" s="204"/>
      <c r="FEX22" s="204"/>
      <c r="FEY22" s="204"/>
      <c r="FEZ22" s="204"/>
      <c r="FFA22" s="204"/>
      <c r="FFB22" s="204"/>
      <c r="FFC22" s="204"/>
      <c r="FFD22" s="204"/>
      <c r="FFE22" s="204"/>
      <c r="FFF22" s="204"/>
      <c r="FFG22" s="204"/>
      <c r="FFH22" s="204"/>
      <c r="FFI22" s="204"/>
      <c r="FFJ22" s="204"/>
      <c r="FFK22" s="204"/>
      <c r="FFL22" s="204"/>
      <c r="FFM22" s="204"/>
      <c r="FFN22" s="204"/>
      <c r="FFO22" s="204"/>
      <c r="FFP22" s="204"/>
      <c r="FFQ22" s="204"/>
      <c r="FFR22" s="204"/>
      <c r="FFS22" s="204"/>
      <c r="FFT22" s="204"/>
      <c r="FFU22" s="204"/>
      <c r="FFV22" s="204"/>
      <c r="FFW22" s="204"/>
      <c r="FFX22" s="204"/>
      <c r="FFY22" s="204"/>
      <c r="FFZ22" s="204"/>
      <c r="FGA22" s="204"/>
      <c r="FGB22" s="204"/>
      <c r="FGC22" s="204"/>
      <c r="FGD22" s="204"/>
      <c r="FGE22" s="204"/>
      <c r="FGF22" s="204"/>
      <c r="FGG22" s="204"/>
      <c r="FGH22" s="204"/>
      <c r="FGI22" s="204"/>
      <c r="FGJ22" s="204"/>
      <c r="FGK22" s="204"/>
      <c r="FGL22" s="204"/>
      <c r="FGM22" s="204"/>
      <c r="FGN22" s="204"/>
      <c r="FGO22" s="204"/>
      <c r="FGP22" s="204"/>
      <c r="FGQ22" s="204"/>
      <c r="FGR22" s="204"/>
      <c r="FGS22" s="204"/>
      <c r="FGT22" s="204"/>
      <c r="FGU22" s="204"/>
      <c r="FGV22" s="204"/>
      <c r="FGW22" s="204"/>
      <c r="FGX22" s="204"/>
      <c r="FGY22" s="204"/>
      <c r="FGZ22" s="204"/>
      <c r="FHA22" s="204"/>
      <c r="FHB22" s="204"/>
      <c r="FHC22" s="204"/>
      <c r="FHD22" s="204"/>
      <c r="FHE22" s="204"/>
      <c r="FHF22" s="204"/>
      <c r="FHG22" s="204"/>
      <c r="FHH22" s="204"/>
      <c r="FHI22" s="204"/>
      <c r="FHJ22" s="204"/>
      <c r="FHK22" s="204"/>
      <c r="FHL22" s="204"/>
      <c r="FHM22" s="204"/>
      <c r="FHN22" s="204"/>
      <c r="FHO22" s="204"/>
      <c r="FHP22" s="204"/>
      <c r="FHQ22" s="204"/>
      <c r="FHR22" s="204"/>
      <c r="FHS22" s="204"/>
      <c r="FHT22" s="204"/>
      <c r="FHU22" s="204"/>
      <c r="FHV22" s="204"/>
      <c r="FHW22" s="204"/>
      <c r="FHX22" s="204"/>
      <c r="FHY22" s="204"/>
      <c r="FHZ22" s="204"/>
      <c r="FIA22" s="204"/>
      <c r="FIB22" s="204"/>
      <c r="FIC22" s="204"/>
      <c r="FID22" s="204"/>
      <c r="FIE22" s="204"/>
      <c r="FIF22" s="204"/>
      <c r="FIG22" s="204"/>
      <c r="FIH22" s="204"/>
      <c r="FII22" s="204"/>
      <c r="FIJ22" s="204"/>
      <c r="FIK22" s="204"/>
      <c r="FIL22" s="204"/>
      <c r="FIM22" s="204"/>
      <c r="FIN22" s="204"/>
      <c r="FIO22" s="204"/>
      <c r="FIP22" s="204"/>
      <c r="FIQ22" s="204"/>
      <c r="FIR22" s="204"/>
      <c r="FIS22" s="204"/>
      <c r="FIT22" s="204"/>
      <c r="FIU22" s="204"/>
      <c r="FIV22" s="204"/>
      <c r="FIW22" s="204"/>
      <c r="FIX22" s="204"/>
      <c r="FIY22" s="204"/>
      <c r="FIZ22" s="204"/>
      <c r="FJA22" s="204"/>
      <c r="FJB22" s="204"/>
      <c r="FJC22" s="204"/>
      <c r="FJD22" s="204"/>
      <c r="FJE22" s="204"/>
      <c r="FJF22" s="204"/>
      <c r="FJG22" s="204"/>
      <c r="FJH22" s="204"/>
      <c r="FJI22" s="204"/>
      <c r="FJJ22" s="204"/>
      <c r="FJK22" s="204"/>
      <c r="FJL22" s="204"/>
      <c r="FJM22" s="204"/>
      <c r="FJN22" s="204"/>
      <c r="FJO22" s="204"/>
      <c r="FJP22" s="204"/>
      <c r="FJQ22" s="204"/>
      <c r="FJR22" s="204"/>
      <c r="FJS22" s="204"/>
      <c r="FJT22" s="204"/>
      <c r="FJU22" s="204"/>
      <c r="FJV22" s="204"/>
      <c r="FJW22" s="204"/>
      <c r="FJX22" s="204"/>
      <c r="FJY22" s="204"/>
      <c r="FJZ22" s="204"/>
      <c r="FKA22" s="204"/>
      <c r="FKB22" s="204"/>
      <c r="FKC22" s="204"/>
      <c r="FKD22" s="204"/>
      <c r="FKE22" s="204"/>
      <c r="FKF22" s="204"/>
      <c r="FKG22" s="204"/>
      <c r="FKH22" s="204"/>
      <c r="FKI22" s="204"/>
      <c r="FKJ22" s="204"/>
      <c r="FKK22" s="204"/>
      <c r="FKL22" s="204"/>
      <c r="FKM22" s="204"/>
      <c r="FKN22" s="204"/>
      <c r="FKO22" s="204"/>
      <c r="FKP22" s="204"/>
      <c r="FKQ22" s="204"/>
      <c r="FKR22" s="204"/>
      <c r="FKS22" s="204"/>
      <c r="FKT22" s="204"/>
      <c r="FKU22" s="204"/>
      <c r="FKV22" s="204"/>
      <c r="FKW22" s="204"/>
      <c r="FKX22" s="204"/>
      <c r="FKY22" s="204"/>
      <c r="FKZ22" s="204"/>
      <c r="FLA22" s="204"/>
      <c r="FLB22" s="204"/>
      <c r="FLC22" s="204"/>
      <c r="FLD22" s="204"/>
      <c r="FLE22" s="204"/>
      <c r="FLF22" s="204"/>
      <c r="FLG22" s="204"/>
      <c r="FLH22" s="204"/>
      <c r="FLI22" s="204"/>
      <c r="FLJ22" s="204"/>
      <c r="FLK22" s="204"/>
      <c r="FLL22" s="204"/>
      <c r="FLM22" s="204"/>
      <c r="FLN22" s="204"/>
      <c r="FLO22" s="204"/>
      <c r="FLP22" s="204"/>
      <c r="FLQ22" s="204"/>
      <c r="FLR22" s="204"/>
      <c r="FLS22" s="204"/>
      <c r="FLT22" s="204"/>
      <c r="FLU22" s="204"/>
      <c r="FLV22" s="204"/>
      <c r="FLW22" s="204"/>
      <c r="FLX22" s="204"/>
      <c r="FLY22" s="204"/>
      <c r="FLZ22" s="204"/>
      <c r="FMA22" s="204"/>
      <c r="FMB22" s="204"/>
      <c r="FMC22" s="204"/>
      <c r="FMD22" s="204"/>
      <c r="FME22" s="204"/>
      <c r="FMF22" s="204"/>
      <c r="FMG22" s="204"/>
      <c r="FMH22" s="204"/>
      <c r="FMI22" s="204"/>
      <c r="FMJ22" s="204"/>
      <c r="FMK22" s="204"/>
      <c r="FML22" s="204"/>
      <c r="FMM22" s="204"/>
      <c r="FMN22" s="204"/>
      <c r="FMO22" s="204"/>
      <c r="FMP22" s="204"/>
      <c r="FMQ22" s="204"/>
      <c r="FMR22" s="204"/>
      <c r="FMS22" s="204"/>
      <c r="FMT22" s="204"/>
      <c r="FMU22" s="204"/>
      <c r="FMV22" s="204"/>
      <c r="FMW22" s="204"/>
      <c r="FMX22" s="204"/>
      <c r="FMY22" s="204"/>
      <c r="FMZ22" s="204"/>
      <c r="FNA22" s="204"/>
      <c r="FNB22" s="204"/>
      <c r="FNC22" s="204"/>
      <c r="FND22" s="204"/>
      <c r="FNE22" s="204"/>
      <c r="FNF22" s="204"/>
      <c r="FNG22" s="204"/>
      <c r="FNH22" s="204"/>
      <c r="FNI22" s="204"/>
      <c r="FNJ22" s="204"/>
      <c r="FNK22" s="204"/>
      <c r="FNL22" s="204"/>
      <c r="FNM22" s="204"/>
      <c r="FNN22" s="204"/>
      <c r="FNO22" s="204"/>
      <c r="FNP22" s="204"/>
      <c r="FNQ22" s="204"/>
      <c r="FNR22" s="204"/>
      <c r="FNS22" s="204"/>
      <c r="FNT22" s="204"/>
      <c r="FNU22" s="204"/>
      <c r="FNV22" s="204"/>
      <c r="FNW22" s="204"/>
      <c r="FNX22" s="204"/>
      <c r="FNY22" s="204"/>
      <c r="FNZ22" s="204"/>
      <c r="FOA22" s="204"/>
      <c r="FOB22" s="204"/>
      <c r="FOC22" s="204"/>
      <c r="FOD22" s="204"/>
      <c r="FOE22" s="204"/>
      <c r="FOF22" s="204"/>
      <c r="FOG22" s="204"/>
      <c r="FOH22" s="204"/>
      <c r="FOI22" s="204"/>
      <c r="FOJ22" s="204"/>
      <c r="FOK22" s="204"/>
      <c r="FOL22" s="204"/>
      <c r="FOM22" s="204"/>
      <c r="FON22" s="204"/>
      <c r="FOO22" s="204"/>
      <c r="FOP22" s="204"/>
      <c r="FOQ22" s="204"/>
      <c r="FOR22" s="204"/>
      <c r="FOS22" s="204"/>
      <c r="FOT22" s="204"/>
      <c r="FOU22" s="204"/>
      <c r="FOV22" s="204"/>
      <c r="FOW22" s="204"/>
      <c r="FOX22" s="204"/>
      <c r="FOY22" s="204"/>
      <c r="FOZ22" s="204"/>
      <c r="FPA22" s="204"/>
      <c r="FPB22" s="204"/>
      <c r="FPC22" s="204"/>
      <c r="FPD22" s="204"/>
      <c r="FPE22" s="204"/>
      <c r="FPF22" s="204"/>
      <c r="FPG22" s="204"/>
      <c r="FPH22" s="204"/>
      <c r="FPI22" s="204"/>
      <c r="FPJ22" s="204"/>
      <c r="FPK22" s="204"/>
      <c r="FPL22" s="204"/>
      <c r="FPM22" s="204"/>
      <c r="FPN22" s="204"/>
      <c r="FPO22" s="204"/>
      <c r="FPP22" s="204"/>
      <c r="FPQ22" s="204"/>
      <c r="FPR22" s="204"/>
      <c r="FPS22" s="204"/>
      <c r="FPT22" s="204"/>
      <c r="FPU22" s="204"/>
      <c r="FPV22" s="204"/>
      <c r="FPW22" s="204"/>
      <c r="FPX22" s="204"/>
      <c r="FPY22" s="204"/>
      <c r="FPZ22" s="204"/>
      <c r="FQA22" s="204"/>
      <c r="FQB22" s="204"/>
      <c r="FQC22" s="204"/>
      <c r="FQD22" s="204"/>
      <c r="FQE22" s="204"/>
      <c r="FQF22" s="204"/>
      <c r="FQG22" s="204"/>
      <c r="FQH22" s="204"/>
      <c r="FQI22" s="204"/>
      <c r="FQJ22" s="204"/>
      <c r="FQK22" s="204"/>
      <c r="FQL22" s="204"/>
      <c r="FQM22" s="204"/>
      <c r="FQN22" s="204"/>
      <c r="FQO22" s="204"/>
      <c r="FQP22" s="204"/>
      <c r="FQQ22" s="204"/>
      <c r="FQR22" s="204"/>
      <c r="FQS22" s="204"/>
      <c r="FQT22" s="204"/>
      <c r="FQU22" s="204"/>
      <c r="FQV22" s="204"/>
      <c r="FQW22" s="204"/>
      <c r="FQX22" s="204"/>
      <c r="FQY22" s="204"/>
      <c r="FQZ22" s="204"/>
      <c r="FRA22" s="204"/>
      <c r="FRB22" s="204"/>
      <c r="FRC22" s="204"/>
      <c r="FRD22" s="204"/>
      <c r="FRE22" s="204"/>
      <c r="FRF22" s="204"/>
      <c r="FRG22" s="204"/>
      <c r="FRH22" s="204"/>
      <c r="FRI22" s="204"/>
      <c r="FRJ22" s="204"/>
      <c r="FRK22" s="204"/>
      <c r="FRL22" s="204"/>
      <c r="FRM22" s="204"/>
      <c r="FRN22" s="204"/>
      <c r="FRO22" s="204"/>
      <c r="FRP22" s="204"/>
      <c r="FRQ22" s="204"/>
      <c r="FRR22" s="204"/>
      <c r="FRS22" s="204"/>
      <c r="FRT22" s="204"/>
      <c r="FRU22" s="204"/>
      <c r="FRV22" s="204"/>
      <c r="FRW22" s="204"/>
      <c r="FRX22" s="204"/>
      <c r="FRY22" s="204"/>
      <c r="FRZ22" s="204"/>
      <c r="FSA22" s="204"/>
      <c r="FSB22" s="204"/>
      <c r="FSC22" s="204"/>
      <c r="FSD22" s="204"/>
      <c r="FSE22" s="204"/>
      <c r="FSF22" s="204"/>
      <c r="FSG22" s="204"/>
      <c r="FSH22" s="204"/>
      <c r="FSI22" s="204"/>
      <c r="FSJ22" s="204"/>
      <c r="FSK22" s="204"/>
      <c r="FSL22" s="204"/>
      <c r="FSM22" s="204"/>
      <c r="FSN22" s="204"/>
      <c r="FSO22" s="204"/>
      <c r="FSP22" s="204"/>
      <c r="FSQ22" s="204"/>
      <c r="FSR22" s="204"/>
      <c r="FSS22" s="204"/>
      <c r="FST22" s="204"/>
      <c r="FSU22" s="204"/>
      <c r="FSV22" s="204"/>
      <c r="FSW22" s="204"/>
      <c r="FSX22" s="204"/>
      <c r="FSY22" s="204"/>
      <c r="FSZ22" s="204"/>
      <c r="FTA22" s="204"/>
      <c r="FTB22" s="204"/>
      <c r="FTC22" s="204"/>
      <c r="FTD22" s="204"/>
      <c r="FTE22" s="204"/>
      <c r="FTF22" s="204"/>
      <c r="FTG22" s="204"/>
      <c r="FTH22" s="204"/>
      <c r="FTI22" s="204"/>
      <c r="FTJ22" s="204"/>
      <c r="FTK22" s="204"/>
      <c r="FTL22" s="204"/>
      <c r="FTM22" s="204"/>
      <c r="FTN22" s="204"/>
      <c r="FTO22" s="204"/>
      <c r="FTP22" s="204"/>
      <c r="FTQ22" s="204"/>
      <c r="FTR22" s="204"/>
      <c r="FTS22" s="204"/>
      <c r="FTT22" s="204"/>
      <c r="FTU22" s="204"/>
      <c r="FTV22" s="204"/>
      <c r="FTW22" s="204"/>
      <c r="FTX22" s="204"/>
      <c r="FTY22" s="204"/>
      <c r="FTZ22" s="204"/>
      <c r="FUA22" s="204"/>
      <c r="FUB22" s="204"/>
      <c r="FUC22" s="204"/>
      <c r="FUD22" s="204"/>
      <c r="FUE22" s="204"/>
      <c r="FUF22" s="204"/>
      <c r="FUG22" s="204"/>
      <c r="FUH22" s="204"/>
      <c r="FUI22" s="204"/>
      <c r="FUJ22" s="204"/>
      <c r="FUK22" s="204"/>
      <c r="FUL22" s="204"/>
      <c r="FUM22" s="204"/>
      <c r="FUN22" s="204"/>
      <c r="FUO22" s="204"/>
      <c r="FUP22" s="204"/>
      <c r="FUQ22" s="204"/>
      <c r="FUR22" s="204"/>
      <c r="FUS22" s="204"/>
      <c r="FUT22" s="204"/>
      <c r="FUU22" s="204"/>
      <c r="FUV22" s="204"/>
      <c r="FUW22" s="204"/>
      <c r="FUX22" s="204"/>
      <c r="FUY22" s="204"/>
      <c r="FUZ22" s="204"/>
      <c r="FVA22" s="204"/>
      <c r="FVB22" s="204"/>
      <c r="FVC22" s="204"/>
      <c r="FVD22" s="204"/>
      <c r="FVE22" s="204"/>
      <c r="FVF22" s="204"/>
      <c r="FVG22" s="204"/>
      <c r="FVH22" s="204"/>
      <c r="FVI22" s="204"/>
      <c r="FVJ22" s="204"/>
      <c r="FVK22" s="204"/>
      <c r="FVL22" s="204"/>
      <c r="FVM22" s="204"/>
      <c r="FVN22" s="204"/>
      <c r="FVO22" s="204"/>
      <c r="FVP22" s="204"/>
      <c r="FVQ22" s="204"/>
      <c r="FVR22" s="204"/>
      <c r="FVS22" s="204"/>
      <c r="FVT22" s="204"/>
      <c r="FVU22" s="204"/>
      <c r="FVV22" s="204"/>
      <c r="FVW22" s="204"/>
      <c r="FVX22" s="204"/>
      <c r="FVY22" s="204"/>
      <c r="FVZ22" s="204"/>
      <c r="FWA22" s="204"/>
      <c r="FWB22" s="204"/>
      <c r="FWC22" s="204"/>
      <c r="FWD22" s="204"/>
      <c r="FWE22" s="204"/>
      <c r="FWF22" s="204"/>
      <c r="FWG22" s="204"/>
      <c r="FWH22" s="204"/>
      <c r="FWI22" s="204"/>
      <c r="FWJ22" s="204"/>
      <c r="FWK22" s="204"/>
      <c r="FWL22" s="204"/>
      <c r="FWM22" s="204"/>
      <c r="FWN22" s="204"/>
      <c r="FWO22" s="204"/>
      <c r="FWP22" s="204"/>
      <c r="FWQ22" s="204"/>
      <c r="FWR22" s="204"/>
      <c r="FWS22" s="204"/>
      <c r="FWT22" s="204"/>
      <c r="FWU22" s="204"/>
      <c r="FWV22" s="204"/>
      <c r="FWW22" s="204"/>
      <c r="FWX22" s="204"/>
      <c r="FWY22" s="204"/>
      <c r="FWZ22" s="204"/>
      <c r="FXA22" s="204"/>
      <c r="FXB22" s="204"/>
      <c r="FXC22" s="204"/>
      <c r="FXD22" s="204"/>
      <c r="FXE22" s="204"/>
      <c r="FXF22" s="204"/>
      <c r="FXG22" s="204"/>
      <c r="FXH22" s="204"/>
      <c r="FXI22" s="204"/>
      <c r="FXJ22" s="204"/>
      <c r="FXK22" s="204"/>
      <c r="FXL22" s="204"/>
      <c r="FXM22" s="204"/>
      <c r="FXN22" s="204"/>
      <c r="FXO22" s="204"/>
      <c r="FXP22" s="204"/>
      <c r="FXQ22" s="204"/>
      <c r="FXR22" s="204"/>
      <c r="FXS22" s="204"/>
      <c r="FXT22" s="204"/>
      <c r="FXU22" s="204"/>
      <c r="FXV22" s="204"/>
      <c r="FXW22" s="204"/>
      <c r="FXX22" s="204"/>
      <c r="FXY22" s="204"/>
      <c r="FXZ22" s="204"/>
      <c r="FYA22" s="204"/>
      <c r="FYB22" s="204"/>
      <c r="FYC22" s="204"/>
      <c r="FYD22" s="204"/>
      <c r="FYE22" s="204"/>
      <c r="FYF22" s="204"/>
      <c r="FYG22" s="204"/>
      <c r="FYH22" s="204"/>
      <c r="FYI22" s="204"/>
      <c r="FYJ22" s="204"/>
      <c r="FYK22" s="204"/>
      <c r="FYL22" s="204"/>
      <c r="FYM22" s="204"/>
      <c r="FYN22" s="204"/>
      <c r="FYO22" s="204"/>
      <c r="FYP22" s="204"/>
      <c r="FYQ22" s="204"/>
      <c r="FYR22" s="204"/>
      <c r="FYS22" s="204"/>
      <c r="FYT22" s="204"/>
      <c r="FYU22" s="204"/>
      <c r="FYV22" s="204"/>
      <c r="FYW22" s="204"/>
      <c r="FYX22" s="204"/>
      <c r="FYY22" s="204"/>
      <c r="FYZ22" s="204"/>
      <c r="FZA22" s="204"/>
      <c r="FZB22" s="204"/>
      <c r="FZC22" s="204"/>
      <c r="FZD22" s="204"/>
      <c r="FZE22" s="204"/>
      <c r="FZF22" s="204"/>
      <c r="FZG22" s="204"/>
      <c r="FZH22" s="204"/>
      <c r="FZI22" s="204"/>
      <c r="FZJ22" s="204"/>
      <c r="FZK22" s="204"/>
      <c r="FZL22" s="204"/>
      <c r="FZM22" s="204"/>
      <c r="FZN22" s="204"/>
      <c r="FZO22" s="204"/>
      <c r="FZP22" s="204"/>
      <c r="FZQ22" s="204"/>
      <c r="FZR22" s="204"/>
      <c r="FZS22" s="204"/>
      <c r="FZT22" s="204"/>
      <c r="FZU22" s="204"/>
      <c r="FZV22" s="204"/>
      <c r="FZW22" s="204"/>
      <c r="FZX22" s="204"/>
      <c r="FZY22" s="204"/>
      <c r="FZZ22" s="204"/>
      <c r="GAA22" s="204"/>
      <c r="GAB22" s="204"/>
      <c r="GAC22" s="204"/>
      <c r="GAD22" s="204"/>
      <c r="GAE22" s="204"/>
      <c r="GAF22" s="204"/>
      <c r="GAG22" s="204"/>
      <c r="GAH22" s="204"/>
      <c r="GAI22" s="204"/>
      <c r="GAJ22" s="204"/>
      <c r="GAK22" s="204"/>
      <c r="GAL22" s="204"/>
      <c r="GAM22" s="204"/>
      <c r="GAN22" s="204"/>
      <c r="GAO22" s="204"/>
      <c r="GAP22" s="204"/>
      <c r="GAQ22" s="204"/>
      <c r="GAR22" s="204"/>
      <c r="GAS22" s="204"/>
      <c r="GAT22" s="204"/>
      <c r="GAU22" s="204"/>
      <c r="GAV22" s="204"/>
      <c r="GAW22" s="204"/>
      <c r="GAX22" s="204"/>
      <c r="GAY22" s="204"/>
      <c r="GAZ22" s="204"/>
      <c r="GBA22" s="204"/>
      <c r="GBB22" s="204"/>
      <c r="GBC22" s="204"/>
      <c r="GBD22" s="204"/>
      <c r="GBE22" s="204"/>
      <c r="GBF22" s="204"/>
      <c r="GBG22" s="204"/>
      <c r="GBH22" s="204"/>
      <c r="GBI22" s="204"/>
      <c r="GBJ22" s="204"/>
      <c r="GBK22" s="204"/>
      <c r="GBL22" s="204"/>
      <c r="GBM22" s="204"/>
      <c r="GBN22" s="204"/>
      <c r="GBO22" s="204"/>
      <c r="GBP22" s="204"/>
      <c r="GBQ22" s="204"/>
      <c r="GBR22" s="204"/>
      <c r="GBS22" s="204"/>
      <c r="GBT22" s="204"/>
      <c r="GBU22" s="204"/>
      <c r="GBV22" s="204"/>
      <c r="GBW22" s="204"/>
      <c r="GBX22" s="204"/>
      <c r="GBY22" s="204"/>
      <c r="GBZ22" s="204"/>
      <c r="GCA22" s="204"/>
      <c r="GCB22" s="204"/>
      <c r="GCC22" s="204"/>
      <c r="GCD22" s="204"/>
      <c r="GCE22" s="204"/>
      <c r="GCF22" s="204"/>
      <c r="GCG22" s="204"/>
      <c r="GCH22" s="204"/>
      <c r="GCI22" s="204"/>
      <c r="GCJ22" s="204"/>
      <c r="GCK22" s="204"/>
      <c r="GCL22" s="204"/>
      <c r="GCM22" s="204"/>
      <c r="GCN22" s="204"/>
      <c r="GCO22" s="204"/>
      <c r="GCP22" s="204"/>
      <c r="GCQ22" s="204"/>
      <c r="GCR22" s="204"/>
      <c r="GCS22" s="204"/>
      <c r="GCT22" s="204"/>
      <c r="GCU22" s="204"/>
      <c r="GCV22" s="204"/>
      <c r="GCW22" s="204"/>
      <c r="GCX22" s="204"/>
      <c r="GCY22" s="204"/>
      <c r="GCZ22" s="204"/>
      <c r="GDA22" s="204"/>
      <c r="GDB22" s="204"/>
      <c r="GDC22" s="204"/>
      <c r="GDD22" s="204"/>
      <c r="GDE22" s="204"/>
      <c r="GDF22" s="204"/>
      <c r="GDG22" s="204"/>
      <c r="GDH22" s="204"/>
      <c r="GDI22" s="204"/>
      <c r="GDJ22" s="204"/>
      <c r="GDK22" s="204"/>
      <c r="GDL22" s="204"/>
      <c r="GDM22" s="204"/>
      <c r="GDN22" s="204"/>
      <c r="GDO22" s="204"/>
      <c r="GDP22" s="204"/>
      <c r="GDQ22" s="204"/>
      <c r="GDR22" s="204"/>
      <c r="GDS22" s="204"/>
      <c r="GDT22" s="204"/>
      <c r="GDU22" s="204"/>
      <c r="GDV22" s="204"/>
      <c r="GDW22" s="204"/>
      <c r="GDX22" s="204"/>
      <c r="GDY22" s="204"/>
      <c r="GDZ22" s="204"/>
      <c r="GEA22" s="204"/>
      <c r="GEB22" s="204"/>
      <c r="GEC22" s="204"/>
      <c r="GED22" s="204"/>
      <c r="GEE22" s="204"/>
      <c r="GEF22" s="204"/>
      <c r="GEG22" s="204"/>
      <c r="GEH22" s="204"/>
      <c r="GEI22" s="204"/>
      <c r="GEJ22" s="204"/>
      <c r="GEK22" s="204"/>
      <c r="GEL22" s="204"/>
      <c r="GEM22" s="204"/>
      <c r="GEN22" s="204"/>
      <c r="GEO22" s="204"/>
      <c r="GEP22" s="204"/>
      <c r="GEQ22" s="204"/>
      <c r="GER22" s="204"/>
      <c r="GES22" s="204"/>
      <c r="GET22" s="204"/>
      <c r="GEU22" s="204"/>
      <c r="GEV22" s="204"/>
      <c r="GEW22" s="204"/>
      <c r="GEX22" s="204"/>
      <c r="GEY22" s="204"/>
      <c r="GEZ22" s="204"/>
      <c r="GFA22" s="204"/>
      <c r="GFB22" s="204"/>
      <c r="GFC22" s="204"/>
      <c r="GFD22" s="204"/>
      <c r="GFE22" s="204"/>
      <c r="GFF22" s="204"/>
      <c r="GFG22" s="204"/>
      <c r="GFH22" s="204"/>
      <c r="GFI22" s="204"/>
      <c r="GFJ22" s="204"/>
      <c r="GFK22" s="204"/>
      <c r="GFL22" s="204"/>
      <c r="GFM22" s="204"/>
      <c r="GFN22" s="204"/>
      <c r="GFO22" s="204"/>
      <c r="GFP22" s="204"/>
      <c r="GFQ22" s="204"/>
      <c r="GFR22" s="204"/>
      <c r="GFS22" s="204"/>
      <c r="GFT22" s="204"/>
      <c r="GFU22" s="204"/>
      <c r="GFV22" s="204"/>
      <c r="GFW22" s="204"/>
      <c r="GFX22" s="204"/>
      <c r="GFY22" s="204"/>
      <c r="GFZ22" s="204"/>
      <c r="GGA22" s="204"/>
      <c r="GGB22" s="204"/>
      <c r="GGC22" s="204"/>
      <c r="GGD22" s="204"/>
      <c r="GGE22" s="204"/>
      <c r="GGF22" s="204"/>
      <c r="GGG22" s="204"/>
      <c r="GGH22" s="204"/>
      <c r="GGI22" s="204"/>
      <c r="GGJ22" s="204"/>
      <c r="GGK22" s="204"/>
      <c r="GGL22" s="204"/>
      <c r="GGM22" s="204"/>
      <c r="GGN22" s="204"/>
      <c r="GGO22" s="204"/>
      <c r="GGP22" s="204"/>
      <c r="GGQ22" s="204"/>
      <c r="GGR22" s="204"/>
      <c r="GGS22" s="204"/>
      <c r="GGT22" s="204"/>
      <c r="GGU22" s="204"/>
      <c r="GGV22" s="204"/>
      <c r="GGW22" s="204"/>
      <c r="GGX22" s="204"/>
      <c r="GGY22" s="204"/>
      <c r="GGZ22" s="204"/>
      <c r="GHA22" s="204"/>
      <c r="GHB22" s="204"/>
      <c r="GHC22" s="204"/>
      <c r="GHD22" s="204"/>
      <c r="GHE22" s="204"/>
      <c r="GHF22" s="204"/>
      <c r="GHG22" s="204"/>
      <c r="GHH22" s="204"/>
      <c r="GHI22" s="204"/>
      <c r="GHJ22" s="204"/>
      <c r="GHK22" s="204"/>
      <c r="GHL22" s="204"/>
      <c r="GHM22" s="204"/>
      <c r="GHN22" s="204"/>
      <c r="GHO22" s="204"/>
      <c r="GHP22" s="204"/>
      <c r="GHQ22" s="204"/>
      <c r="GHR22" s="204"/>
      <c r="GHS22" s="204"/>
      <c r="GHT22" s="204"/>
      <c r="GHU22" s="204"/>
      <c r="GHV22" s="204"/>
      <c r="GHW22" s="204"/>
      <c r="GHX22" s="204"/>
      <c r="GHY22" s="204"/>
      <c r="GHZ22" s="204"/>
      <c r="GIA22" s="204"/>
      <c r="GIB22" s="204"/>
      <c r="GIC22" s="204"/>
      <c r="GID22" s="204"/>
      <c r="GIE22" s="204"/>
      <c r="GIF22" s="204"/>
      <c r="GIG22" s="204"/>
      <c r="GIH22" s="204"/>
      <c r="GII22" s="204"/>
      <c r="GIJ22" s="204"/>
      <c r="GIK22" s="204"/>
      <c r="GIL22" s="204"/>
      <c r="GIM22" s="204"/>
      <c r="GIN22" s="204"/>
      <c r="GIO22" s="204"/>
      <c r="GIP22" s="204"/>
      <c r="GIQ22" s="204"/>
      <c r="GIR22" s="204"/>
      <c r="GIS22" s="204"/>
      <c r="GIT22" s="204"/>
      <c r="GIU22" s="204"/>
      <c r="GIV22" s="204"/>
      <c r="GIW22" s="204"/>
      <c r="GIX22" s="204"/>
      <c r="GIY22" s="204"/>
      <c r="GIZ22" s="204"/>
      <c r="GJA22" s="204"/>
      <c r="GJB22" s="204"/>
      <c r="GJC22" s="204"/>
      <c r="GJD22" s="204"/>
      <c r="GJE22" s="204"/>
      <c r="GJF22" s="204"/>
      <c r="GJG22" s="204"/>
      <c r="GJH22" s="204"/>
      <c r="GJI22" s="204"/>
      <c r="GJJ22" s="204"/>
      <c r="GJK22" s="204"/>
      <c r="GJL22" s="204"/>
      <c r="GJM22" s="204"/>
      <c r="GJN22" s="204"/>
      <c r="GJO22" s="204"/>
      <c r="GJP22" s="204"/>
      <c r="GJQ22" s="204"/>
      <c r="GJR22" s="204"/>
      <c r="GJS22" s="204"/>
      <c r="GJT22" s="204"/>
      <c r="GJU22" s="204"/>
      <c r="GJV22" s="204"/>
      <c r="GJW22" s="204"/>
      <c r="GJX22" s="204"/>
      <c r="GJY22" s="204"/>
      <c r="GJZ22" s="204"/>
      <c r="GKA22" s="204"/>
      <c r="GKB22" s="204"/>
      <c r="GKC22" s="204"/>
      <c r="GKD22" s="204"/>
      <c r="GKE22" s="204"/>
      <c r="GKF22" s="204"/>
      <c r="GKG22" s="204"/>
      <c r="GKH22" s="204"/>
      <c r="GKI22" s="204"/>
      <c r="GKJ22" s="204"/>
      <c r="GKK22" s="204"/>
      <c r="GKL22" s="204"/>
      <c r="GKM22" s="204"/>
      <c r="GKN22" s="204"/>
      <c r="GKO22" s="204"/>
      <c r="GKP22" s="204"/>
      <c r="GKQ22" s="204"/>
      <c r="GKR22" s="204"/>
      <c r="GKS22" s="204"/>
      <c r="GKT22" s="204"/>
      <c r="GKU22" s="204"/>
      <c r="GKV22" s="204"/>
      <c r="GKW22" s="204"/>
      <c r="GKX22" s="204"/>
      <c r="GKY22" s="204"/>
      <c r="GKZ22" s="204"/>
      <c r="GLA22" s="204"/>
      <c r="GLB22" s="204"/>
      <c r="GLC22" s="204"/>
      <c r="GLD22" s="204"/>
      <c r="GLE22" s="204"/>
      <c r="GLF22" s="204"/>
      <c r="GLG22" s="204"/>
      <c r="GLH22" s="204"/>
      <c r="GLI22" s="204"/>
      <c r="GLJ22" s="204"/>
      <c r="GLK22" s="204"/>
      <c r="GLL22" s="204"/>
      <c r="GLM22" s="204"/>
      <c r="GLN22" s="204"/>
      <c r="GLO22" s="204"/>
      <c r="GLP22" s="204"/>
      <c r="GLQ22" s="204"/>
      <c r="GLR22" s="204"/>
      <c r="GLS22" s="204"/>
      <c r="GLT22" s="204"/>
      <c r="GLU22" s="204"/>
      <c r="GLV22" s="204"/>
      <c r="GLW22" s="204"/>
      <c r="GLX22" s="204"/>
      <c r="GLY22" s="204"/>
      <c r="GLZ22" s="204"/>
      <c r="GMA22" s="204"/>
      <c r="GMB22" s="204"/>
      <c r="GMC22" s="204"/>
      <c r="GMD22" s="204"/>
      <c r="GME22" s="204"/>
      <c r="GMF22" s="204"/>
      <c r="GMG22" s="204"/>
      <c r="GMH22" s="204"/>
      <c r="GMI22" s="204"/>
      <c r="GMJ22" s="204"/>
      <c r="GMK22" s="204"/>
      <c r="GML22" s="204"/>
      <c r="GMM22" s="204"/>
      <c r="GMN22" s="204"/>
      <c r="GMO22" s="204"/>
      <c r="GMP22" s="204"/>
      <c r="GMQ22" s="204"/>
      <c r="GMR22" s="204"/>
      <c r="GMS22" s="204"/>
      <c r="GMT22" s="204"/>
      <c r="GMU22" s="204"/>
      <c r="GMV22" s="204"/>
      <c r="GMW22" s="204"/>
      <c r="GMX22" s="204"/>
      <c r="GMY22" s="204"/>
      <c r="GMZ22" s="204"/>
      <c r="GNA22" s="204"/>
      <c r="GNB22" s="204"/>
      <c r="GNC22" s="204"/>
      <c r="GND22" s="204"/>
      <c r="GNE22" s="204"/>
      <c r="GNF22" s="204"/>
      <c r="GNG22" s="204"/>
      <c r="GNH22" s="204"/>
      <c r="GNI22" s="204"/>
      <c r="GNJ22" s="204"/>
      <c r="GNK22" s="204"/>
      <c r="GNL22" s="204"/>
      <c r="GNM22" s="204"/>
      <c r="GNN22" s="204"/>
      <c r="GNO22" s="204"/>
      <c r="GNP22" s="204"/>
      <c r="GNQ22" s="204"/>
      <c r="GNR22" s="204"/>
      <c r="GNS22" s="204"/>
      <c r="GNT22" s="204"/>
      <c r="GNU22" s="204"/>
      <c r="GNV22" s="204"/>
      <c r="GNW22" s="204"/>
      <c r="GNX22" s="204"/>
      <c r="GNY22" s="204"/>
      <c r="GNZ22" s="204"/>
      <c r="GOA22" s="204"/>
      <c r="GOB22" s="204"/>
      <c r="GOC22" s="204"/>
      <c r="GOD22" s="204"/>
      <c r="GOE22" s="204"/>
      <c r="GOF22" s="204"/>
      <c r="GOG22" s="204"/>
      <c r="GOH22" s="204"/>
      <c r="GOI22" s="204"/>
      <c r="GOJ22" s="204"/>
      <c r="GOK22" s="204"/>
      <c r="GOL22" s="204"/>
      <c r="GOM22" s="204"/>
      <c r="GON22" s="204"/>
      <c r="GOO22" s="204"/>
      <c r="GOP22" s="204"/>
      <c r="GOQ22" s="204"/>
      <c r="GOR22" s="204"/>
      <c r="GOS22" s="204"/>
      <c r="GOT22" s="204"/>
      <c r="GOU22" s="204"/>
      <c r="GOV22" s="204"/>
      <c r="GOW22" s="204"/>
      <c r="GOX22" s="204"/>
      <c r="GOY22" s="204"/>
      <c r="GOZ22" s="204"/>
      <c r="GPA22" s="204"/>
      <c r="GPB22" s="204"/>
      <c r="GPC22" s="204"/>
      <c r="GPD22" s="204"/>
      <c r="GPE22" s="204"/>
      <c r="GPF22" s="204"/>
      <c r="GPG22" s="204"/>
      <c r="GPH22" s="204"/>
      <c r="GPI22" s="204"/>
      <c r="GPJ22" s="204"/>
      <c r="GPK22" s="204"/>
      <c r="GPL22" s="204"/>
      <c r="GPM22" s="204"/>
      <c r="GPN22" s="204"/>
      <c r="GPO22" s="204"/>
      <c r="GPP22" s="204"/>
      <c r="GPQ22" s="204"/>
      <c r="GPR22" s="204"/>
      <c r="GPS22" s="204"/>
      <c r="GPT22" s="204"/>
      <c r="GPU22" s="204"/>
      <c r="GPV22" s="204"/>
      <c r="GPW22" s="204"/>
      <c r="GPX22" s="204"/>
      <c r="GPY22" s="204"/>
      <c r="GPZ22" s="204"/>
      <c r="GQA22" s="204"/>
      <c r="GQB22" s="204"/>
      <c r="GQC22" s="204"/>
      <c r="GQD22" s="204"/>
      <c r="GQE22" s="204"/>
      <c r="GQF22" s="204"/>
      <c r="GQG22" s="204"/>
      <c r="GQH22" s="204"/>
      <c r="GQI22" s="204"/>
      <c r="GQJ22" s="204"/>
      <c r="GQK22" s="204"/>
      <c r="GQL22" s="204"/>
      <c r="GQM22" s="204"/>
      <c r="GQN22" s="204"/>
      <c r="GQO22" s="204"/>
      <c r="GQP22" s="204"/>
      <c r="GQQ22" s="204"/>
      <c r="GQR22" s="204"/>
      <c r="GQS22" s="204"/>
      <c r="GQT22" s="204"/>
      <c r="GQU22" s="204"/>
      <c r="GQV22" s="204"/>
      <c r="GQW22" s="204"/>
      <c r="GQX22" s="204"/>
      <c r="GQY22" s="204"/>
      <c r="GQZ22" s="204"/>
      <c r="GRA22" s="204"/>
      <c r="GRB22" s="204"/>
      <c r="GRC22" s="204"/>
      <c r="GRD22" s="204"/>
      <c r="GRE22" s="204"/>
      <c r="GRF22" s="204"/>
      <c r="GRG22" s="204"/>
      <c r="GRH22" s="204"/>
      <c r="GRI22" s="204"/>
      <c r="GRJ22" s="204"/>
      <c r="GRK22" s="204"/>
      <c r="GRL22" s="204"/>
      <c r="GRM22" s="204"/>
      <c r="GRN22" s="204"/>
      <c r="GRO22" s="204"/>
      <c r="GRP22" s="204"/>
      <c r="GRQ22" s="204"/>
      <c r="GRR22" s="204"/>
      <c r="GRS22" s="204"/>
      <c r="GRT22" s="204"/>
      <c r="GRU22" s="204"/>
      <c r="GRV22" s="204"/>
      <c r="GRW22" s="204"/>
      <c r="GRX22" s="204"/>
      <c r="GRY22" s="204"/>
      <c r="GRZ22" s="204"/>
      <c r="GSA22" s="204"/>
      <c r="GSB22" s="204"/>
      <c r="GSC22" s="204"/>
      <c r="GSD22" s="204"/>
      <c r="GSE22" s="204"/>
      <c r="GSF22" s="204"/>
      <c r="GSG22" s="204"/>
      <c r="GSH22" s="204"/>
      <c r="GSI22" s="204"/>
      <c r="GSJ22" s="204"/>
      <c r="GSK22" s="204"/>
      <c r="GSL22" s="204"/>
      <c r="GSM22" s="204"/>
      <c r="GSN22" s="204"/>
      <c r="GSO22" s="204"/>
      <c r="GSP22" s="204"/>
      <c r="GSQ22" s="204"/>
      <c r="GSR22" s="204"/>
      <c r="GSS22" s="204"/>
      <c r="GST22" s="204"/>
      <c r="GSU22" s="204"/>
      <c r="GSV22" s="204"/>
      <c r="GSW22" s="204"/>
      <c r="GSX22" s="204"/>
      <c r="GSY22" s="204"/>
      <c r="GSZ22" s="204"/>
      <c r="GTA22" s="204"/>
      <c r="GTB22" s="204"/>
      <c r="GTC22" s="204"/>
      <c r="GTD22" s="204"/>
      <c r="GTE22" s="204"/>
      <c r="GTF22" s="204"/>
      <c r="GTG22" s="204"/>
      <c r="GTH22" s="204"/>
      <c r="GTI22" s="204"/>
      <c r="GTJ22" s="204"/>
      <c r="GTK22" s="204"/>
      <c r="GTL22" s="204"/>
      <c r="GTM22" s="204"/>
      <c r="GTN22" s="204"/>
      <c r="GTO22" s="204"/>
      <c r="GTP22" s="204"/>
      <c r="GTQ22" s="204"/>
      <c r="GTR22" s="204"/>
      <c r="GTS22" s="204"/>
      <c r="GTT22" s="204"/>
      <c r="GTU22" s="204"/>
      <c r="GTV22" s="204"/>
      <c r="GTW22" s="204"/>
      <c r="GTX22" s="204"/>
      <c r="GTY22" s="204"/>
      <c r="GTZ22" s="204"/>
      <c r="GUA22" s="204"/>
      <c r="GUB22" s="204"/>
      <c r="GUC22" s="204"/>
      <c r="GUD22" s="204"/>
      <c r="GUE22" s="204"/>
      <c r="GUF22" s="204"/>
      <c r="GUG22" s="204"/>
      <c r="GUH22" s="204"/>
      <c r="GUI22" s="204"/>
      <c r="GUJ22" s="204"/>
      <c r="GUK22" s="204"/>
      <c r="GUL22" s="204"/>
      <c r="GUM22" s="204"/>
      <c r="GUN22" s="204"/>
      <c r="GUO22" s="204"/>
      <c r="GUP22" s="204"/>
      <c r="GUQ22" s="204"/>
      <c r="GUR22" s="204"/>
      <c r="GUS22" s="204"/>
      <c r="GUT22" s="204"/>
      <c r="GUU22" s="204"/>
      <c r="GUV22" s="204"/>
      <c r="GUW22" s="204"/>
      <c r="GUX22" s="204"/>
      <c r="GUY22" s="204"/>
      <c r="GUZ22" s="204"/>
      <c r="GVA22" s="204"/>
      <c r="GVB22" s="204"/>
      <c r="GVC22" s="204"/>
      <c r="GVD22" s="204"/>
      <c r="GVE22" s="204"/>
      <c r="GVF22" s="204"/>
      <c r="GVG22" s="204"/>
      <c r="GVH22" s="204"/>
      <c r="GVI22" s="204"/>
      <c r="GVJ22" s="204"/>
      <c r="GVK22" s="204"/>
      <c r="GVL22" s="204"/>
      <c r="GVM22" s="204"/>
      <c r="GVN22" s="204"/>
      <c r="GVO22" s="204"/>
      <c r="GVP22" s="204"/>
      <c r="GVQ22" s="204"/>
      <c r="GVR22" s="204"/>
      <c r="GVS22" s="204"/>
      <c r="GVT22" s="204"/>
      <c r="GVU22" s="204"/>
      <c r="GVV22" s="204"/>
      <c r="GVW22" s="204"/>
      <c r="GVX22" s="204"/>
      <c r="GVY22" s="204"/>
      <c r="GVZ22" s="204"/>
      <c r="GWA22" s="204"/>
      <c r="GWB22" s="204"/>
      <c r="GWC22" s="204"/>
      <c r="GWD22" s="204"/>
      <c r="GWE22" s="204"/>
      <c r="GWF22" s="204"/>
      <c r="GWG22" s="204"/>
      <c r="GWH22" s="204"/>
      <c r="GWI22" s="204"/>
      <c r="GWJ22" s="204"/>
      <c r="GWK22" s="204"/>
      <c r="GWL22" s="204"/>
      <c r="GWM22" s="204"/>
      <c r="GWN22" s="204"/>
      <c r="GWO22" s="204"/>
      <c r="GWP22" s="204"/>
      <c r="GWQ22" s="204"/>
      <c r="GWR22" s="204"/>
      <c r="GWS22" s="204"/>
      <c r="GWT22" s="204"/>
      <c r="GWU22" s="204"/>
      <c r="GWV22" s="204"/>
      <c r="GWW22" s="204"/>
      <c r="GWX22" s="204"/>
      <c r="GWY22" s="204"/>
      <c r="GWZ22" s="204"/>
      <c r="GXA22" s="204"/>
      <c r="GXB22" s="204"/>
      <c r="GXC22" s="204"/>
      <c r="GXD22" s="204"/>
      <c r="GXE22" s="204"/>
      <c r="GXF22" s="204"/>
      <c r="GXG22" s="204"/>
      <c r="GXH22" s="204"/>
      <c r="GXI22" s="204"/>
      <c r="GXJ22" s="204"/>
      <c r="GXK22" s="204"/>
      <c r="GXL22" s="204"/>
      <c r="GXM22" s="204"/>
      <c r="GXN22" s="204"/>
      <c r="GXO22" s="204"/>
      <c r="GXP22" s="204"/>
      <c r="GXQ22" s="204"/>
      <c r="GXR22" s="204"/>
      <c r="GXS22" s="204"/>
      <c r="GXT22" s="204"/>
      <c r="GXU22" s="204"/>
      <c r="GXV22" s="204"/>
      <c r="GXW22" s="204"/>
      <c r="GXX22" s="204"/>
      <c r="GXY22" s="204"/>
      <c r="GXZ22" s="204"/>
      <c r="GYA22" s="204"/>
      <c r="GYB22" s="204"/>
      <c r="GYC22" s="204"/>
      <c r="GYD22" s="204"/>
      <c r="GYE22" s="204"/>
      <c r="GYF22" s="204"/>
      <c r="GYG22" s="204"/>
      <c r="GYH22" s="204"/>
      <c r="GYI22" s="204"/>
      <c r="GYJ22" s="204"/>
      <c r="GYK22" s="204"/>
      <c r="GYL22" s="204"/>
      <c r="GYM22" s="204"/>
      <c r="GYN22" s="204"/>
      <c r="GYO22" s="204"/>
      <c r="GYP22" s="204"/>
      <c r="GYQ22" s="204"/>
      <c r="GYR22" s="204"/>
      <c r="GYS22" s="204"/>
      <c r="GYT22" s="204"/>
      <c r="GYU22" s="204"/>
      <c r="GYV22" s="204"/>
      <c r="GYW22" s="204"/>
      <c r="GYX22" s="204"/>
      <c r="GYY22" s="204"/>
      <c r="GYZ22" s="204"/>
      <c r="GZA22" s="204"/>
      <c r="GZB22" s="204"/>
      <c r="GZC22" s="204"/>
      <c r="GZD22" s="204"/>
      <c r="GZE22" s="204"/>
      <c r="GZF22" s="204"/>
      <c r="GZG22" s="204"/>
      <c r="GZH22" s="204"/>
      <c r="GZI22" s="204"/>
      <c r="GZJ22" s="204"/>
      <c r="GZK22" s="204"/>
      <c r="GZL22" s="204"/>
      <c r="GZM22" s="204"/>
      <c r="GZN22" s="204"/>
      <c r="GZO22" s="204"/>
      <c r="GZP22" s="204"/>
      <c r="GZQ22" s="204"/>
      <c r="GZR22" s="204"/>
      <c r="GZS22" s="204"/>
      <c r="GZT22" s="204"/>
      <c r="GZU22" s="204"/>
      <c r="GZV22" s="204"/>
      <c r="GZW22" s="204"/>
      <c r="GZX22" s="204"/>
      <c r="GZY22" s="204"/>
      <c r="GZZ22" s="204"/>
      <c r="HAA22" s="204"/>
      <c r="HAB22" s="204"/>
      <c r="HAC22" s="204"/>
      <c r="HAD22" s="204"/>
      <c r="HAE22" s="204"/>
      <c r="HAF22" s="204"/>
      <c r="HAG22" s="204"/>
      <c r="HAH22" s="204"/>
      <c r="HAI22" s="204"/>
      <c r="HAJ22" s="204"/>
      <c r="HAK22" s="204"/>
      <c r="HAL22" s="204"/>
      <c r="HAM22" s="204"/>
      <c r="HAN22" s="204"/>
      <c r="HAO22" s="204"/>
      <c r="HAP22" s="204"/>
      <c r="HAQ22" s="204"/>
      <c r="HAR22" s="204"/>
      <c r="HAS22" s="204"/>
      <c r="HAT22" s="204"/>
      <c r="HAU22" s="204"/>
      <c r="HAV22" s="204"/>
      <c r="HAW22" s="204"/>
      <c r="HAX22" s="204"/>
      <c r="HAY22" s="204"/>
      <c r="HAZ22" s="204"/>
      <c r="HBA22" s="204"/>
      <c r="HBB22" s="204"/>
      <c r="HBC22" s="204"/>
      <c r="HBD22" s="204"/>
      <c r="HBE22" s="204"/>
      <c r="HBF22" s="204"/>
      <c r="HBG22" s="204"/>
      <c r="HBH22" s="204"/>
      <c r="HBI22" s="204"/>
      <c r="HBJ22" s="204"/>
      <c r="HBK22" s="204"/>
      <c r="HBL22" s="204"/>
      <c r="HBM22" s="204"/>
      <c r="HBN22" s="204"/>
      <c r="HBO22" s="204"/>
      <c r="HBP22" s="204"/>
      <c r="HBQ22" s="204"/>
      <c r="HBR22" s="204"/>
      <c r="HBS22" s="204"/>
      <c r="HBT22" s="204"/>
      <c r="HBU22" s="204"/>
      <c r="HBV22" s="204"/>
      <c r="HBW22" s="204"/>
      <c r="HBX22" s="204"/>
      <c r="HBY22" s="204"/>
      <c r="HBZ22" s="204"/>
      <c r="HCA22" s="204"/>
      <c r="HCB22" s="204"/>
      <c r="HCC22" s="204"/>
      <c r="HCD22" s="204"/>
      <c r="HCE22" s="204"/>
      <c r="HCF22" s="204"/>
      <c r="HCG22" s="204"/>
      <c r="HCH22" s="204"/>
      <c r="HCI22" s="204"/>
      <c r="HCJ22" s="204"/>
      <c r="HCK22" s="204"/>
      <c r="HCL22" s="204"/>
      <c r="HCM22" s="204"/>
      <c r="HCN22" s="204"/>
      <c r="HCO22" s="204"/>
      <c r="HCP22" s="204"/>
      <c r="HCQ22" s="204"/>
      <c r="HCR22" s="204"/>
      <c r="HCS22" s="204"/>
      <c r="HCT22" s="204"/>
      <c r="HCU22" s="204"/>
      <c r="HCV22" s="204"/>
      <c r="HCW22" s="204"/>
      <c r="HCX22" s="204"/>
      <c r="HCY22" s="204"/>
      <c r="HCZ22" s="204"/>
      <c r="HDA22" s="204"/>
      <c r="HDB22" s="204"/>
      <c r="HDC22" s="204"/>
      <c r="HDD22" s="204"/>
      <c r="HDE22" s="204"/>
      <c r="HDF22" s="204"/>
      <c r="HDG22" s="204"/>
      <c r="HDH22" s="204"/>
      <c r="HDI22" s="204"/>
      <c r="HDJ22" s="204"/>
      <c r="HDK22" s="204"/>
      <c r="HDL22" s="204"/>
      <c r="HDM22" s="204"/>
      <c r="HDN22" s="204"/>
      <c r="HDO22" s="204"/>
      <c r="HDP22" s="204"/>
      <c r="HDQ22" s="204"/>
      <c r="HDR22" s="204"/>
      <c r="HDS22" s="204"/>
      <c r="HDT22" s="204"/>
      <c r="HDU22" s="204"/>
      <c r="HDV22" s="204"/>
      <c r="HDW22" s="204"/>
      <c r="HDX22" s="204"/>
      <c r="HDY22" s="204"/>
      <c r="HDZ22" s="204"/>
      <c r="HEA22" s="204"/>
      <c r="HEB22" s="204"/>
      <c r="HEC22" s="204"/>
      <c r="HED22" s="204"/>
      <c r="HEE22" s="204"/>
      <c r="HEF22" s="204"/>
      <c r="HEG22" s="204"/>
      <c r="HEH22" s="204"/>
      <c r="HEI22" s="204"/>
      <c r="HEJ22" s="204"/>
      <c r="HEK22" s="204"/>
      <c r="HEL22" s="204"/>
      <c r="HEM22" s="204"/>
      <c r="HEN22" s="204"/>
      <c r="HEO22" s="204"/>
      <c r="HEP22" s="204"/>
      <c r="HEQ22" s="204"/>
      <c r="HER22" s="204"/>
      <c r="HES22" s="204"/>
      <c r="HET22" s="204"/>
      <c r="HEU22" s="204"/>
      <c r="HEV22" s="204"/>
      <c r="HEW22" s="204"/>
      <c r="HEX22" s="204"/>
      <c r="HEY22" s="204"/>
      <c r="HEZ22" s="204"/>
      <c r="HFA22" s="204"/>
      <c r="HFB22" s="204"/>
      <c r="HFC22" s="204"/>
      <c r="HFD22" s="204"/>
      <c r="HFE22" s="204"/>
      <c r="HFF22" s="204"/>
      <c r="HFG22" s="204"/>
      <c r="HFH22" s="204"/>
      <c r="HFI22" s="204"/>
      <c r="HFJ22" s="204"/>
      <c r="HFK22" s="204"/>
      <c r="HFL22" s="204"/>
      <c r="HFM22" s="204"/>
      <c r="HFN22" s="204"/>
      <c r="HFO22" s="204"/>
      <c r="HFP22" s="204"/>
      <c r="HFQ22" s="204"/>
      <c r="HFR22" s="204"/>
      <c r="HFS22" s="204"/>
      <c r="HFT22" s="204"/>
      <c r="HFU22" s="204"/>
      <c r="HFV22" s="204"/>
      <c r="HFW22" s="204"/>
      <c r="HFX22" s="204"/>
      <c r="HFY22" s="204"/>
      <c r="HFZ22" s="204"/>
      <c r="HGA22" s="204"/>
      <c r="HGB22" s="204"/>
      <c r="HGC22" s="204"/>
      <c r="HGD22" s="204"/>
      <c r="HGE22" s="204"/>
      <c r="HGF22" s="204"/>
      <c r="HGG22" s="204"/>
      <c r="HGH22" s="204"/>
      <c r="HGI22" s="204"/>
      <c r="HGJ22" s="204"/>
      <c r="HGK22" s="204"/>
      <c r="HGL22" s="204"/>
      <c r="HGM22" s="204"/>
      <c r="HGN22" s="204"/>
      <c r="HGO22" s="204"/>
      <c r="HGP22" s="204"/>
      <c r="HGQ22" s="204"/>
      <c r="HGR22" s="204"/>
      <c r="HGS22" s="204"/>
      <c r="HGT22" s="204"/>
      <c r="HGU22" s="204"/>
      <c r="HGV22" s="204"/>
      <c r="HGW22" s="204"/>
      <c r="HGX22" s="204"/>
      <c r="HGY22" s="204"/>
      <c r="HGZ22" s="204"/>
      <c r="HHA22" s="204"/>
      <c r="HHB22" s="204"/>
      <c r="HHC22" s="204"/>
      <c r="HHD22" s="204"/>
      <c r="HHE22" s="204"/>
      <c r="HHF22" s="204"/>
      <c r="HHG22" s="204"/>
      <c r="HHH22" s="204"/>
      <c r="HHI22" s="204"/>
      <c r="HHJ22" s="204"/>
      <c r="HHK22" s="204"/>
      <c r="HHL22" s="204"/>
      <c r="HHM22" s="204"/>
      <c r="HHN22" s="204"/>
      <c r="HHO22" s="204"/>
      <c r="HHP22" s="204"/>
      <c r="HHQ22" s="204"/>
      <c r="HHR22" s="204"/>
      <c r="HHS22" s="204"/>
      <c r="HHT22" s="204"/>
      <c r="HHU22" s="204"/>
      <c r="HHV22" s="204"/>
      <c r="HHW22" s="204"/>
      <c r="HHX22" s="204"/>
      <c r="HHY22" s="204"/>
      <c r="HHZ22" s="204"/>
      <c r="HIA22" s="204"/>
      <c r="HIB22" s="204"/>
      <c r="HIC22" s="204"/>
      <c r="HID22" s="204"/>
      <c r="HIE22" s="204"/>
      <c r="HIF22" s="204"/>
      <c r="HIG22" s="204"/>
      <c r="HIH22" s="204"/>
      <c r="HII22" s="204"/>
      <c r="HIJ22" s="204"/>
      <c r="HIK22" s="204"/>
      <c r="HIL22" s="204"/>
      <c r="HIM22" s="204"/>
      <c r="HIN22" s="204"/>
      <c r="HIO22" s="204"/>
      <c r="HIP22" s="204"/>
      <c r="HIQ22" s="204"/>
      <c r="HIR22" s="204"/>
      <c r="HIS22" s="204"/>
      <c r="HIT22" s="204"/>
      <c r="HIU22" s="204"/>
      <c r="HIV22" s="204"/>
      <c r="HIW22" s="204"/>
      <c r="HIX22" s="204"/>
      <c r="HIY22" s="204"/>
      <c r="HIZ22" s="204"/>
      <c r="HJA22" s="204"/>
      <c r="HJB22" s="204"/>
      <c r="HJC22" s="204"/>
      <c r="HJD22" s="204"/>
      <c r="HJE22" s="204"/>
      <c r="HJF22" s="204"/>
      <c r="HJG22" s="204"/>
      <c r="HJH22" s="204"/>
      <c r="HJI22" s="204"/>
      <c r="HJJ22" s="204"/>
      <c r="HJK22" s="204"/>
      <c r="HJL22" s="204"/>
      <c r="HJM22" s="204"/>
      <c r="HJN22" s="204"/>
      <c r="HJO22" s="204"/>
      <c r="HJP22" s="204"/>
      <c r="HJQ22" s="204"/>
      <c r="HJR22" s="204"/>
      <c r="HJS22" s="204"/>
      <c r="HJT22" s="204"/>
      <c r="HJU22" s="204"/>
      <c r="HJV22" s="204"/>
      <c r="HJW22" s="204"/>
      <c r="HJX22" s="204"/>
      <c r="HJY22" s="204"/>
      <c r="HJZ22" s="204"/>
      <c r="HKA22" s="204"/>
      <c r="HKB22" s="204"/>
      <c r="HKC22" s="204"/>
      <c r="HKD22" s="204"/>
      <c r="HKE22" s="204"/>
      <c r="HKF22" s="204"/>
      <c r="HKG22" s="204"/>
      <c r="HKH22" s="204"/>
      <c r="HKI22" s="204"/>
      <c r="HKJ22" s="204"/>
      <c r="HKK22" s="204"/>
      <c r="HKL22" s="204"/>
      <c r="HKM22" s="204"/>
      <c r="HKN22" s="204"/>
      <c r="HKO22" s="204"/>
      <c r="HKP22" s="204"/>
      <c r="HKQ22" s="204"/>
      <c r="HKR22" s="204"/>
      <c r="HKS22" s="204"/>
      <c r="HKT22" s="204"/>
      <c r="HKU22" s="204"/>
      <c r="HKV22" s="204"/>
      <c r="HKW22" s="204"/>
      <c r="HKX22" s="204"/>
      <c r="HKY22" s="204"/>
      <c r="HKZ22" s="204"/>
      <c r="HLA22" s="204"/>
      <c r="HLB22" s="204"/>
      <c r="HLC22" s="204"/>
      <c r="HLD22" s="204"/>
      <c r="HLE22" s="204"/>
      <c r="HLF22" s="204"/>
      <c r="HLG22" s="204"/>
      <c r="HLH22" s="204"/>
      <c r="HLI22" s="204"/>
      <c r="HLJ22" s="204"/>
      <c r="HLK22" s="204"/>
      <c r="HLL22" s="204"/>
      <c r="HLM22" s="204"/>
      <c r="HLN22" s="204"/>
      <c r="HLO22" s="204"/>
      <c r="HLP22" s="204"/>
      <c r="HLQ22" s="204"/>
      <c r="HLR22" s="204"/>
      <c r="HLS22" s="204"/>
      <c r="HLT22" s="204"/>
      <c r="HLU22" s="204"/>
      <c r="HLV22" s="204"/>
      <c r="HLW22" s="204"/>
      <c r="HLX22" s="204"/>
      <c r="HLY22" s="204"/>
      <c r="HLZ22" s="204"/>
      <c r="HMA22" s="204"/>
      <c r="HMB22" s="204"/>
      <c r="HMC22" s="204"/>
      <c r="HMD22" s="204"/>
      <c r="HME22" s="204"/>
      <c r="HMF22" s="204"/>
      <c r="HMG22" s="204"/>
      <c r="HMH22" s="204"/>
      <c r="HMI22" s="204"/>
      <c r="HMJ22" s="204"/>
      <c r="HMK22" s="204"/>
      <c r="HML22" s="204"/>
      <c r="HMM22" s="204"/>
      <c r="HMN22" s="204"/>
      <c r="HMO22" s="204"/>
      <c r="HMP22" s="204"/>
      <c r="HMQ22" s="204"/>
      <c r="HMR22" s="204"/>
      <c r="HMS22" s="204"/>
      <c r="HMT22" s="204"/>
      <c r="HMU22" s="204"/>
      <c r="HMV22" s="204"/>
      <c r="HMW22" s="204"/>
      <c r="HMX22" s="204"/>
      <c r="HMY22" s="204"/>
      <c r="HMZ22" s="204"/>
      <c r="HNA22" s="204"/>
      <c r="HNB22" s="204"/>
      <c r="HNC22" s="204"/>
      <c r="HND22" s="204"/>
      <c r="HNE22" s="204"/>
      <c r="HNF22" s="204"/>
      <c r="HNG22" s="204"/>
      <c r="HNH22" s="204"/>
      <c r="HNI22" s="204"/>
      <c r="HNJ22" s="204"/>
      <c r="HNK22" s="204"/>
      <c r="HNL22" s="204"/>
      <c r="HNM22" s="204"/>
      <c r="HNN22" s="204"/>
      <c r="HNO22" s="204"/>
      <c r="HNP22" s="204"/>
      <c r="HNQ22" s="204"/>
      <c r="HNR22" s="204"/>
      <c r="HNS22" s="204"/>
      <c r="HNT22" s="204"/>
      <c r="HNU22" s="204"/>
      <c r="HNV22" s="204"/>
      <c r="HNW22" s="204"/>
      <c r="HNX22" s="204"/>
      <c r="HNY22" s="204"/>
      <c r="HNZ22" s="204"/>
      <c r="HOA22" s="204"/>
      <c r="HOB22" s="204"/>
      <c r="HOC22" s="204"/>
      <c r="HOD22" s="204"/>
      <c r="HOE22" s="204"/>
      <c r="HOF22" s="204"/>
      <c r="HOG22" s="204"/>
      <c r="HOH22" s="204"/>
      <c r="HOI22" s="204"/>
      <c r="HOJ22" s="204"/>
      <c r="HOK22" s="204"/>
      <c r="HOL22" s="204"/>
      <c r="HOM22" s="204"/>
      <c r="HON22" s="204"/>
      <c r="HOO22" s="204"/>
      <c r="HOP22" s="204"/>
      <c r="HOQ22" s="204"/>
      <c r="HOR22" s="204"/>
      <c r="HOS22" s="204"/>
      <c r="HOT22" s="204"/>
      <c r="HOU22" s="204"/>
      <c r="HOV22" s="204"/>
      <c r="HOW22" s="204"/>
      <c r="HOX22" s="204"/>
      <c r="HOY22" s="204"/>
      <c r="HOZ22" s="204"/>
      <c r="HPA22" s="204"/>
      <c r="HPB22" s="204"/>
      <c r="HPC22" s="204"/>
      <c r="HPD22" s="204"/>
      <c r="HPE22" s="204"/>
      <c r="HPF22" s="204"/>
      <c r="HPG22" s="204"/>
      <c r="HPH22" s="204"/>
      <c r="HPI22" s="204"/>
      <c r="HPJ22" s="204"/>
      <c r="HPK22" s="204"/>
      <c r="HPL22" s="204"/>
      <c r="HPM22" s="204"/>
      <c r="HPN22" s="204"/>
      <c r="HPO22" s="204"/>
      <c r="HPP22" s="204"/>
      <c r="HPQ22" s="204"/>
      <c r="HPR22" s="204"/>
      <c r="HPS22" s="204"/>
      <c r="HPT22" s="204"/>
      <c r="HPU22" s="204"/>
      <c r="HPV22" s="204"/>
      <c r="HPW22" s="204"/>
      <c r="HPX22" s="204"/>
      <c r="HPY22" s="204"/>
      <c r="HPZ22" s="204"/>
      <c r="HQA22" s="204"/>
      <c r="HQB22" s="204"/>
      <c r="HQC22" s="204"/>
      <c r="HQD22" s="204"/>
      <c r="HQE22" s="204"/>
      <c r="HQF22" s="204"/>
      <c r="HQG22" s="204"/>
      <c r="HQH22" s="204"/>
      <c r="HQI22" s="204"/>
      <c r="HQJ22" s="204"/>
      <c r="HQK22" s="204"/>
      <c r="HQL22" s="204"/>
      <c r="HQM22" s="204"/>
      <c r="HQN22" s="204"/>
      <c r="HQO22" s="204"/>
      <c r="HQP22" s="204"/>
      <c r="HQQ22" s="204"/>
      <c r="HQR22" s="204"/>
      <c r="HQS22" s="204"/>
      <c r="HQT22" s="204"/>
      <c r="HQU22" s="204"/>
      <c r="HQV22" s="204"/>
      <c r="HQW22" s="204"/>
      <c r="HQX22" s="204"/>
      <c r="HQY22" s="204"/>
      <c r="HQZ22" s="204"/>
      <c r="HRA22" s="204"/>
      <c r="HRB22" s="204"/>
      <c r="HRC22" s="204"/>
      <c r="HRD22" s="204"/>
      <c r="HRE22" s="204"/>
      <c r="HRF22" s="204"/>
      <c r="HRG22" s="204"/>
      <c r="HRH22" s="204"/>
      <c r="HRI22" s="204"/>
      <c r="HRJ22" s="204"/>
      <c r="HRK22" s="204"/>
      <c r="HRL22" s="204"/>
      <c r="HRM22" s="204"/>
      <c r="HRN22" s="204"/>
      <c r="HRO22" s="204"/>
      <c r="HRP22" s="204"/>
      <c r="HRQ22" s="204"/>
      <c r="HRR22" s="204"/>
      <c r="HRS22" s="204"/>
      <c r="HRT22" s="204"/>
      <c r="HRU22" s="204"/>
      <c r="HRV22" s="204"/>
      <c r="HRW22" s="204"/>
      <c r="HRX22" s="204"/>
      <c r="HRY22" s="204"/>
      <c r="HRZ22" s="204"/>
      <c r="HSA22" s="204"/>
      <c r="HSB22" s="204"/>
      <c r="HSC22" s="204"/>
      <c r="HSD22" s="204"/>
      <c r="HSE22" s="204"/>
      <c r="HSF22" s="204"/>
      <c r="HSG22" s="204"/>
      <c r="HSH22" s="204"/>
      <c r="HSI22" s="204"/>
      <c r="HSJ22" s="204"/>
      <c r="HSK22" s="204"/>
      <c r="HSL22" s="204"/>
      <c r="HSM22" s="204"/>
      <c r="HSN22" s="204"/>
      <c r="HSO22" s="204"/>
      <c r="HSP22" s="204"/>
      <c r="HSQ22" s="204"/>
      <c r="HSR22" s="204"/>
      <c r="HSS22" s="204"/>
      <c r="HST22" s="204"/>
      <c r="HSU22" s="204"/>
      <c r="HSV22" s="204"/>
      <c r="HSW22" s="204"/>
      <c r="HSX22" s="204"/>
      <c r="HSY22" s="204"/>
      <c r="HSZ22" s="204"/>
      <c r="HTA22" s="204"/>
      <c r="HTB22" s="204"/>
      <c r="HTC22" s="204"/>
      <c r="HTD22" s="204"/>
      <c r="HTE22" s="204"/>
      <c r="HTF22" s="204"/>
      <c r="HTG22" s="204"/>
      <c r="HTH22" s="204"/>
      <c r="HTI22" s="204"/>
      <c r="HTJ22" s="204"/>
      <c r="HTK22" s="204"/>
      <c r="HTL22" s="204"/>
      <c r="HTM22" s="204"/>
      <c r="HTN22" s="204"/>
      <c r="HTO22" s="204"/>
      <c r="HTP22" s="204"/>
      <c r="HTQ22" s="204"/>
      <c r="HTR22" s="204"/>
      <c r="HTS22" s="204"/>
      <c r="HTT22" s="204"/>
      <c r="HTU22" s="204"/>
      <c r="HTV22" s="204"/>
      <c r="HTW22" s="204"/>
      <c r="HTX22" s="204"/>
      <c r="HTY22" s="204"/>
      <c r="HTZ22" s="204"/>
      <c r="HUA22" s="204"/>
      <c r="HUB22" s="204"/>
      <c r="HUC22" s="204"/>
      <c r="HUD22" s="204"/>
      <c r="HUE22" s="204"/>
      <c r="HUF22" s="204"/>
      <c r="HUG22" s="204"/>
      <c r="HUH22" s="204"/>
      <c r="HUI22" s="204"/>
      <c r="HUJ22" s="204"/>
      <c r="HUK22" s="204"/>
      <c r="HUL22" s="204"/>
      <c r="HUM22" s="204"/>
      <c r="HUN22" s="204"/>
      <c r="HUO22" s="204"/>
      <c r="HUP22" s="204"/>
      <c r="HUQ22" s="204"/>
      <c r="HUR22" s="204"/>
      <c r="HUS22" s="204"/>
      <c r="HUT22" s="204"/>
      <c r="HUU22" s="204"/>
      <c r="HUV22" s="204"/>
      <c r="HUW22" s="204"/>
      <c r="HUX22" s="204"/>
      <c r="HUY22" s="204"/>
      <c r="HUZ22" s="204"/>
      <c r="HVA22" s="204"/>
      <c r="HVB22" s="204"/>
      <c r="HVC22" s="204"/>
      <c r="HVD22" s="204"/>
      <c r="HVE22" s="204"/>
      <c r="HVF22" s="204"/>
      <c r="HVG22" s="204"/>
      <c r="HVH22" s="204"/>
      <c r="HVI22" s="204"/>
      <c r="HVJ22" s="204"/>
      <c r="HVK22" s="204"/>
      <c r="HVL22" s="204"/>
      <c r="HVM22" s="204"/>
      <c r="HVN22" s="204"/>
      <c r="HVO22" s="204"/>
      <c r="HVP22" s="204"/>
      <c r="HVQ22" s="204"/>
      <c r="HVR22" s="204"/>
      <c r="HVS22" s="204"/>
      <c r="HVT22" s="204"/>
      <c r="HVU22" s="204"/>
      <c r="HVV22" s="204"/>
      <c r="HVW22" s="204"/>
      <c r="HVX22" s="204"/>
      <c r="HVY22" s="204"/>
      <c r="HVZ22" s="204"/>
      <c r="HWA22" s="204"/>
      <c r="HWB22" s="204"/>
      <c r="HWC22" s="204"/>
      <c r="HWD22" s="204"/>
      <c r="HWE22" s="204"/>
      <c r="HWF22" s="204"/>
      <c r="HWG22" s="204"/>
      <c r="HWH22" s="204"/>
      <c r="HWI22" s="204"/>
      <c r="HWJ22" s="204"/>
      <c r="HWK22" s="204"/>
      <c r="HWL22" s="204"/>
      <c r="HWM22" s="204"/>
      <c r="HWN22" s="204"/>
      <c r="HWO22" s="204"/>
      <c r="HWP22" s="204"/>
      <c r="HWQ22" s="204"/>
      <c r="HWR22" s="204"/>
      <c r="HWS22" s="204"/>
      <c r="HWT22" s="204"/>
      <c r="HWU22" s="204"/>
      <c r="HWV22" s="204"/>
      <c r="HWW22" s="204"/>
      <c r="HWX22" s="204"/>
      <c r="HWY22" s="204"/>
      <c r="HWZ22" s="204"/>
      <c r="HXA22" s="204"/>
      <c r="HXB22" s="204"/>
      <c r="HXC22" s="204"/>
      <c r="HXD22" s="204"/>
      <c r="HXE22" s="204"/>
      <c r="HXF22" s="204"/>
      <c r="HXG22" s="204"/>
      <c r="HXH22" s="204"/>
      <c r="HXI22" s="204"/>
      <c r="HXJ22" s="204"/>
      <c r="HXK22" s="204"/>
      <c r="HXL22" s="204"/>
      <c r="HXM22" s="204"/>
      <c r="HXN22" s="204"/>
      <c r="HXO22" s="204"/>
      <c r="HXP22" s="204"/>
      <c r="HXQ22" s="204"/>
      <c r="HXR22" s="204"/>
      <c r="HXS22" s="204"/>
      <c r="HXT22" s="204"/>
      <c r="HXU22" s="204"/>
      <c r="HXV22" s="204"/>
      <c r="HXW22" s="204"/>
      <c r="HXX22" s="204"/>
      <c r="HXY22" s="204"/>
      <c r="HXZ22" s="204"/>
      <c r="HYA22" s="204"/>
      <c r="HYB22" s="204"/>
      <c r="HYC22" s="204"/>
      <c r="HYD22" s="204"/>
      <c r="HYE22" s="204"/>
      <c r="HYF22" s="204"/>
      <c r="HYG22" s="204"/>
      <c r="HYH22" s="204"/>
      <c r="HYI22" s="204"/>
      <c r="HYJ22" s="204"/>
      <c r="HYK22" s="204"/>
      <c r="HYL22" s="204"/>
      <c r="HYM22" s="204"/>
      <c r="HYN22" s="204"/>
      <c r="HYO22" s="204"/>
      <c r="HYP22" s="204"/>
      <c r="HYQ22" s="204"/>
      <c r="HYR22" s="204"/>
      <c r="HYS22" s="204"/>
      <c r="HYT22" s="204"/>
      <c r="HYU22" s="204"/>
      <c r="HYV22" s="204"/>
      <c r="HYW22" s="204"/>
      <c r="HYX22" s="204"/>
      <c r="HYY22" s="204"/>
      <c r="HYZ22" s="204"/>
      <c r="HZA22" s="204"/>
      <c r="HZB22" s="204"/>
      <c r="HZC22" s="204"/>
      <c r="HZD22" s="204"/>
      <c r="HZE22" s="204"/>
      <c r="HZF22" s="204"/>
      <c r="HZG22" s="204"/>
      <c r="HZH22" s="204"/>
      <c r="HZI22" s="204"/>
      <c r="HZJ22" s="204"/>
      <c r="HZK22" s="204"/>
      <c r="HZL22" s="204"/>
      <c r="HZM22" s="204"/>
      <c r="HZN22" s="204"/>
      <c r="HZO22" s="204"/>
      <c r="HZP22" s="204"/>
      <c r="HZQ22" s="204"/>
      <c r="HZR22" s="204"/>
      <c r="HZS22" s="204"/>
      <c r="HZT22" s="204"/>
      <c r="HZU22" s="204"/>
      <c r="HZV22" s="204"/>
      <c r="HZW22" s="204"/>
      <c r="HZX22" s="204"/>
      <c r="HZY22" s="204"/>
      <c r="HZZ22" s="204"/>
      <c r="IAA22" s="204"/>
      <c r="IAB22" s="204"/>
      <c r="IAC22" s="204"/>
      <c r="IAD22" s="204"/>
      <c r="IAE22" s="204"/>
      <c r="IAF22" s="204"/>
      <c r="IAG22" s="204"/>
      <c r="IAH22" s="204"/>
      <c r="IAI22" s="204"/>
      <c r="IAJ22" s="204"/>
      <c r="IAK22" s="204"/>
      <c r="IAL22" s="204"/>
      <c r="IAM22" s="204"/>
      <c r="IAN22" s="204"/>
      <c r="IAO22" s="204"/>
      <c r="IAP22" s="204"/>
      <c r="IAQ22" s="204"/>
      <c r="IAR22" s="204"/>
      <c r="IAS22" s="204"/>
      <c r="IAT22" s="204"/>
      <c r="IAU22" s="204"/>
      <c r="IAV22" s="204"/>
      <c r="IAW22" s="204"/>
      <c r="IAX22" s="204"/>
      <c r="IAY22" s="204"/>
      <c r="IAZ22" s="204"/>
      <c r="IBA22" s="204"/>
      <c r="IBB22" s="204"/>
      <c r="IBC22" s="204"/>
      <c r="IBD22" s="204"/>
      <c r="IBE22" s="204"/>
      <c r="IBF22" s="204"/>
      <c r="IBG22" s="204"/>
      <c r="IBH22" s="204"/>
      <c r="IBI22" s="204"/>
      <c r="IBJ22" s="204"/>
      <c r="IBK22" s="204"/>
      <c r="IBL22" s="204"/>
      <c r="IBM22" s="204"/>
      <c r="IBN22" s="204"/>
      <c r="IBO22" s="204"/>
      <c r="IBP22" s="204"/>
      <c r="IBQ22" s="204"/>
      <c r="IBR22" s="204"/>
      <c r="IBS22" s="204"/>
      <c r="IBT22" s="204"/>
      <c r="IBU22" s="204"/>
      <c r="IBV22" s="204"/>
      <c r="IBW22" s="204"/>
      <c r="IBX22" s="204"/>
      <c r="IBY22" s="204"/>
      <c r="IBZ22" s="204"/>
      <c r="ICA22" s="204"/>
      <c r="ICB22" s="204"/>
      <c r="ICC22" s="204"/>
      <c r="ICD22" s="204"/>
      <c r="ICE22" s="204"/>
      <c r="ICF22" s="204"/>
      <c r="ICG22" s="204"/>
      <c r="ICH22" s="204"/>
      <c r="ICI22" s="204"/>
      <c r="ICJ22" s="204"/>
      <c r="ICK22" s="204"/>
      <c r="ICL22" s="204"/>
      <c r="ICM22" s="204"/>
      <c r="ICN22" s="204"/>
      <c r="ICO22" s="204"/>
      <c r="ICP22" s="204"/>
      <c r="ICQ22" s="204"/>
      <c r="ICR22" s="204"/>
      <c r="ICS22" s="204"/>
      <c r="ICT22" s="204"/>
      <c r="ICU22" s="204"/>
      <c r="ICV22" s="204"/>
      <c r="ICW22" s="204"/>
      <c r="ICX22" s="204"/>
      <c r="ICY22" s="204"/>
      <c r="ICZ22" s="204"/>
      <c r="IDA22" s="204"/>
      <c r="IDB22" s="204"/>
      <c r="IDC22" s="204"/>
      <c r="IDD22" s="204"/>
      <c r="IDE22" s="204"/>
      <c r="IDF22" s="204"/>
      <c r="IDG22" s="204"/>
      <c r="IDH22" s="204"/>
      <c r="IDI22" s="204"/>
      <c r="IDJ22" s="204"/>
      <c r="IDK22" s="204"/>
      <c r="IDL22" s="204"/>
      <c r="IDM22" s="204"/>
      <c r="IDN22" s="204"/>
      <c r="IDO22" s="204"/>
      <c r="IDP22" s="204"/>
      <c r="IDQ22" s="204"/>
      <c r="IDR22" s="204"/>
      <c r="IDS22" s="204"/>
      <c r="IDT22" s="204"/>
      <c r="IDU22" s="204"/>
      <c r="IDV22" s="204"/>
      <c r="IDW22" s="204"/>
      <c r="IDX22" s="204"/>
      <c r="IDY22" s="204"/>
      <c r="IDZ22" s="204"/>
      <c r="IEA22" s="204"/>
      <c r="IEB22" s="204"/>
      <c r="IEC22" s="204"/>
      <c r="IED22" s="204"/>
      <c r="IEE22" s="204"/>
      <c r="IEF22" s="204"/>
      <c r="IEG22" s="204"/>
      <c r="IEH22" s="204"/>
      <c r="IEI22" s="204"/>
      <c r="IEJ22" s="204"/>
      <c r="IEK22" s="204"/>
      <c r="IEL22" s="204"/>
      <c r="IEM22" s="204"/>
      <c r="IEN22" s="204"/>
      <c r="IEO22" s="204"/>
      <c r="IEP22" s="204"/>
      <c r="IEQ22" s="204"/>
      <c r="IER22" s="204"/>
      <c r="IES22" s="204"/>
      <c r="IET22" s="204"/>
      <c r="IEU22" s="204"/>
      <c r="IEV22" s="204"/>
      <c r="IEW22" s="204"/>
      <c r="IEX22" s="204"/>
      <c r="IEY22" s="204"/>
      <c r="IEZ22" s="204"/>
      <c r="IFA22" s="204"/>
      <c r="IFB22" s="204"/>
      <c r="IFC22" s="204"/>
      <c r="IFD22" s="204"/>
      <c r="IFE22" s="204"/>
      <c r="IFF22" s="204"/>
      <c r="IFG22" s="204"/>
      <c r="IFH22" s="204"/>
      <c r="IFI22" s="204"/>
      <c r="IFJ22" s="204"/>
      <c r="IFK22" s="204"/>
      <c r="IFL22" s="204"/>
      <c r="IFM22" s="204"/>
      <c r="IFN22" s="204"/>
      <c r="IFO22" s="204"/>
      <c r="IFP22" s="204"/>
      <c r="IFQ22" s="204"/>
      <c r="IFR22" s="204"/>
      <c r="IFS22" s="204"/>
      <c r="IFT22" s="204"/>
      <c r="IFU22" s="204"/>
      <c r="IFV22" s="204"/>
      <c r="IFW22" s="204"/>
      <c r="IFX22" s="204"/>
      <c r="IFY22" s="204"/>
      <c r="IFZ22" s="204"/>
      <c r="IGA22" s="204"/>
      <c r="IGB22" s="204"/>
      <c r="IGC22" s="204"/>
      <c r="IGD22" s="204"/>
      <c r="IGE22" s="204"/>
      <c r="IGF22" s="204"/>
      <c r="IGG22" s="204"/>
      <c r="IGH22" s="204"/>
      <c r="IGI22" s="204"/>
      <c r="IGJ22" s="204"/>
      <c r="IGK22" s="204"/>
      <c r="IGL22" s="204"/>
      <c r="IGM22" s="204"/>
      <c r="IGN22" s="204"/>
      <c r="IGO22" s="204"/>
      <c r="IGP22" s="204"/>
      <c r="IGQ22" s="204"/>
      <c r="IGR22" s="204"/>
      <c r="IGS22" s="204"/>
      <c r="IGT22" s="204"/>
      <c r="IGU22" s="204"/>
      <c r="IGV22" s="204"/>
      <c r="IGW22" s="204"/>
      <c r="IGX22" s="204"/>
      <c r="IGY22" s="204"/>
      <c r="IGZ22" s="204"/>
      <c r="IHA22" s="204"/>
      <c r="IHB22" s="204"/>
      <c r="IHC22" s="204"/>
      <c r="IHD22" s="204"/>
      <c r="IHE22" s="204"/>
      <c r="IHF22" s="204"/>
      <c r="IHG22" s="204"/>
      <c r="IHH22" s="204"/>
      <c r="IHI22" s="204"/>
      <c r="IHJ22" s="204"/>
      <c r="IHK22" s="204"/>
      <c r="IHL22" s="204"/>
      <c r="IHM22" s="204"/>
      <c r="IHN22" s="204"/>
      <c r="IHO22" s="204"/>
      <c r="IHP22" s="204"/>
      <c r="IHQ22" s="204"/>
      <c r="IHR22" s="204"/>
      <c r="IHS22" s="204"/>
      <c r="IHT22" s="204"/>
      <c r="IHU22" s="204"/>
      <c r="IHV22" s="204"/>
      <c r="IHW22" s="204"/>
      <c r="IHX22" s="204"/>
      <c r="IHY22" s="204"/>
      <c r="IHZ22" s="204"/>
      <c r="IIA22" s="204"/>
      <c r="IIB22" s="204"/>
      <c r="IIC22" s="204"/>
      <c r="IID22" s="204"/>
      <c r="IIE22" s="204"/>
      <c r="IIF22" s="204"/>
      <c r="IIG22" s="204"/>
      <c r="IIH22" s="204"/>
      <c r="III22" s="204"/>
      <c r="IIJ22" s="204"/>
      <c r="IIK22" s="204"/>
      <c r="IIL22" s="204"/>
      <c r="IIM22" s="204"/>
      <c r="IIN22" s="204"/>
      <c r="IIO22" s="204"/>
      <c r="IIP22" s="204"/>
      <c r="IIQ22" s="204"/>
      <c r="IIR22" s="204"/>
      <c r="IIS22" s="204"/>
      <c r="IIT22" s="204"/>
      <c r="IIU22" s="204"/>
      <c r="IIV22" s="204"/>
      <c r="IIW22" s="204"/>
      <c r="IIX22" s="204"/>
      <c r="IIY22" s="204"/>
      <c r="IIZ22" s="204"/>
      <c r="IJA22" s="204"/>
      <c r="IJB22" s="204"/>
      <c r="IJC22" s="204"/>
      <c r="IJD22" s="204"/>
      <c r="IJE22" s="204"/>
      <c r="IJF22" s="204"/>
      <c r="IJG22" s="204"/>
      <c r="IJH22" s="204"/>
      <c r="IJI22" s="204"/>
      <c r="IJJ22" s="204"/>
      <c r="IJK22" s="204"/>
      <c r="IJL22" s="204"/>
      <c r="IJM22" s="204"/>
      <c r="IJN22" s="204"/>
      <c r="IJO22" s="204"/>
      <c r="IJP22" s="204"/>
      <c r="IJQ22" s="204"/>
      <c r="IJR22" s="204"/>
      <c r="IJS22" s="204"/>
      <c r="IJT22" s="204"/>
      <c r="IJU22" s="204"/>
      <c r="IJV22" s="204"/>
      <c r="IJW22" s="204"/>
      <c r="IJX22" s="204"/>
      <c r="IJY22" s="204"/>
      <c r="IJZ22" s="204"/>
      <c r="IKA22" s="204"/>
      <c r="IKB22" s="204"/>
      <c r="IKC22" s="204"/>
      <c r="IKD22" s="204"/>
      <c r="IKE22" s="204"/>
      <c r="IKF22" s="204"/>
      <c r="IKG22" s="204"/>
      <c r="IKH22" s="204"/>
      <c r="IKI22" s="204"/>
      <c r="IKJ22" s="204"/>
      <c r="IKK22" s="204"/>
      <c r="IKL22" s="204"/>
      <c r="IKM22" s="204"/>
      <c r="IKN22" s="204"/>
      <c r="IKO22" s="204"/>
      <c r="IKP22" s="204"/>
      <c r="IKQ22" s="204"/>
      <c r="IKR22" s="204"/>
      <c r="IKS22" s="204"/>
      <c r="IKT22" s="204"/>
      <c r="IKU22" s="204"/>
      <c r="IKV22" s="204"/>
      <c r="IKW22" s="204"/>
      <c r="IKX22" s="204"/>
      <c r="IKY22" s="204"/>
      <c r="IKZ22" s="204"/>
      <c r="ILA22" s="204"/>
      <c r="ILB22" s="204"/>
      <c r="ILC22" s="204"/>
      <c r="ILD22" s="204"/>
      <c r="ILE22" s="204"/>
      <c r="ILF22" s="204"/>
      <c r="ILG22" s="204"/>
      <c r="ILH22" s="204"/>
      <c r="ILI22" s="204"/>
      <c r="ILJ22" s="204"/>
      <c r="ILK22" s="204"/>
      <c r="ILL22" s="204"/>
      <c r="ILM22" s="204"/>
      <c r="ILN22" s="204"/>
      <c r="ILO22" s="204"/>
      <c r="ILP22" s="204"/>
      <c r="ILQ22" s="204"/>
      <c r="ILR22" s="204"/>
      <c r="ILS22" s="204"/>
      <c r="ILT22" s="204"/>
      <c r="ILU22" s="204"/>
      <c r="ILV22" s="204"/>
      <c r="ILW22" s="204"/>
      <c r="ILX22" s="204"/>
      <c r="ILY22" s="204"/>
      <c r="ILZ22" s="204"/>
      <c r="IMA22" s="204"/>
      <c r="IMB22" s="204"/>
      <c r="IMC22" s="204"/>
      <c r="IMD22" s="204"/>
      <c r="IME22" s="204"/>
      <c r="IMF22" s="204"/>
      <c r="IMG22" s="204"/>
      <c r="IMH22" s="204"/>
      <c r="IMI22" s="204"/>
      <c r="IMJ22" s="204"/>
      <c r="IMK22" s="204"/>
      <c r="IML22" s="204"/>
      <c r="IMM22" s="204"/>
      <c r="IMN22" s="204"/>
      <c r="IMO22" s="204"/>
      <c r="IMP22" s="204"/>
      <c r="IMQ22" s="204"/>
      <c r="IMR22" s="204"/>
      <c r="IMS22" s="204"/>
      <c r="IMT22" s="204"/>
      <c r="IMU22" s="204"/>
      <c r="IMV22" s="204"/>
      <c r="IMW22" s="204"/>
      <c r="IMX22" s="204"/>
      <c r="IMY22" s="204"/>
      <c r="IMZ22" s="204"/>
      <c r="INA22" s="204"/>
      <c r="INB22" s="204"/>
      <c r="INC22" s="204"/>
      <c r="IND22" s="204"/>
      <c r="INE22" s="204"/>
      <c r="INF22" s="204"/>
      <c r="ING22" s="204"/>
      <c r="INH22" s="204"/>
      <c r="INI22" s="204"/>
      <c r="INJ22" s="204"/>
      <c r="INK22" s="204"/>
      <c r="INL22" s="204"/>
      <c r="INM22" s="204"/>
      <c r="INN22" s="204"/>
      <c r="INO22" s="204"/>
      <c r="INP22" s="204"/>
      <c r="INQ22" s="204"/>
      <c r="INR22" s="204"/>
      <c r="INS22" s="204"/>
      <c r="INT22" s="204"/>
      <c r="INU22" s="204"/>
      <c r="INV22" s="204"/>
      <c r="INW22" s="204"/>
      <c r="INX22" s="204"/>
      <c r="INY22" s="204"/>
      <c r="INZ22" s="204"/>
      <c r="IOA22" s="204"/>
      <c r="IOB22" s="204"/>
      <c r="IOC22" s="204"/>
      <c r="IOD22" s="204"/>
      <c r="IOE22" s="204"/>
      <c r="IOF22" s="204"/>
      <c r="IOG22" s="204"/>
      <c r="IOH22" s="204"/>
      <c r="IOI22" s="204"/>
      <c r="IOJ22" s="204"/>
      <c r="IOK22" s="204"/>
      <c r="IOL22" s="204"/>
      <c r="IOM22" s="204"/>
      <c r="ION22" s="204"/>
      <c r="IOO22" s="204"/>
      <c r="IOP22" s="204"/>
      <c r="IOQ22" s="204"/>
      <c r="IOR22" s="204"/>
      <c r="IOS22" s="204"/>
      <c r="IOT22" s="204"/>
      <c r="IOU22" s="204"/>
      <c r="IOV22" s="204"/>
      <c r="IOW22" s="204"/>
      <c r="IOX22" s="204"/>
      <c r="IOY22" s="204"/>
      <c r="IOZ22" s="204"/>
      <c r="IPA22" s="204"/>
      <c r="IPB22" s="204"/>
      <c r="IPC22" s="204"/>
      <c r="IPD22" s="204"/>
      <c r="IPE22" s="204"/>
      <c r="IPF22" s="204"/>
      <c r="IPG22" s="204"/>
      <c r="IPH22" s="204"/>
      <c r="IPI22" s="204"/>
      <c r="IPJ22" s="204"/>
      <c r="IPK22" s="204"/>
      <c r="IPL22" s="204"/>
      <c r="IPM22" s="204"/>
      <c r="IPN22" s="204"/>
      <c r="IPO22" s="204"/>
      <c r="IPP22" s="204"/>
      <c r="IPQ22" s="204"/>
      <c r="IPR22" s="204"/>
      <c r="IPS22" s="204"/>
      <c r="IPT22" s="204"/>
      <c r="IPU22" s="204"/>
      <c r="IPV22" s="204"/>
      <c r="IPW22" s="204"/>
      <c r="IPX22" s="204"/>
      <c r="IPY22" s="204"/>
      <c r="IPZ22" s="204"/>
      <c r="IQA22" s="204"/>
      <c r="IQB22" s="204"/>
      <c r="IQC22" s="204"/>
      <c r="IQD22" s="204"/>
      <c r="IQE22" s="204"/>
      <c r="IQF22" s="204"/>
      <c r="IQG22" s="204"/>
      <c r="IQH22" s="204"/>
      <c r="IQI22" s="204"/>
      <c r="IQJ22" s="204"/>
      <c r="IQK22" s="204"/>
      <c r="IQL22" s="204"/>
      <c r="IQM22" s="204"/>
      <c r="IQN22" s="204"/>
      <c r="IQO22" s="204"/>
      <c r="IQP22" s="204"/>
      <c r="IQQ22" s="204"/>
      <c r="IQR22" s="204"/>
      <c r="IQS22" s="204"/>
      <c r="IQT22" s="204"/>
      <c r="IQU22" s="204"/>
      <c r="IQV22" s="204"/>
      <c r="IQW22" s="204"/>
      <c r="IQX22" s="204"/>
      <c r="IQY22" s="204"/>
      <c r="IQZ22" s="204"/>
      <c r="IRA22" s="204"/>
      <c r="IRB22" s="204"/>
      <c r="IRC22" s="204"/>
      <c r="IRD22" s="204"/>
      <c r="IRE22" s="204"/>
      <c r="IRF22" s="204"/>
      <c r="IRG22" s="204"/>
      <c r="IRH22" s="204"/>
      <c r="IRI22" s="204"/>
      <c r="IRJ22" s="204"/>
      <c r="IRK22" s="204"/>
      <c r="IRL22" s="204"/>
      <c r="IRM22" s="204"/>
      <c r="IRN22" s="204"/>
      <c r="IRO22" s="204"/>
      <c r="IRP22" s="204"/>
      <c r="IRQ22" s="204"/>
      <c r="IRR22" s="204"/>
      <c r="IRS22" s="204"/>
      <c r="IRT22" s="204"/>
      <c r="IRU22" s="204"/>
      <c r="IRV22" s="204"/>
      <c r="IRW22" s="204"/>
      <c r="IRX22" s="204"/>
      <c r="IRY22" s="204"/>
      <c r="IRZ22" s="204"/>
      <c r="ISA22" s="204"/>
      <c r="ISB22" s="204"/>
      <c r="ISC22" s="204"/>
      <c r="ISD22" s="204"/>
      <c r="ISE22" s="204"/>
      <c r="ISF22" s="204"/>
      <c r="ISG22" s="204"/>
      <c r="ISH22" s="204"/>
      <c r="ISI22" s="204"/>
      <c r="ISJ22" s="204"/>
      <c r="ISK22" s="204"/>
      <c r="ISL22" s="204"/>
      <c r="ISM22" s="204"/>
      <c r="ISN22" s="204"/>
      <c r="ISO22" s="204"/>
      <c r="ISP22" s="204"/>
      <c r="ISQ22" s="204"/>
      <c r="ISR22" s="204"/>
      <c r="ISS22" s="204"/>
      <c r="IST22" s="204"/>
      <c r="ISU22" s="204"/>
      <c r="ISV22" s="204"/>
      <c r="ISW22" s="204"/>
      <c r="ISX22" s="204"/>
      <c r="ISY22" s="204"/>
      <c r="ISZ22" s="204"/>
      <c r="ITA22" s="204"/>
      <c r="ITB22" s="204"/>
      <c r="ITC22" s="204"/>
      <c r="ITD22" s="204"/>
      <c r="ITE22" s="204"/>
      <c r="ITF22" s="204"/>
      <c r="ITG22" s="204"/>
      <c r="ITH22" s="204"/>
      <c r="ITI22" s="204"/>
      <c r="ITJ22" s="204"/>
      <c r="ITK22" s="204"/>
      <c r="ITL22" s="204"/>
      <c r="ITM22" s="204"/>
      <c r="ITN22" s="204"/>
      <c r="ITO22" s="204"/>
      <c r="ITP22" s="204"/>
      <c r="ITQ22" s="204"/>
      <c r="ITR22" s="204"/>
      <c r="ITS22" s="204"/>
      <c r="ITT22" s="204"/>
      <c r="ITU22" s="204"/>
      <c r="ITV22" s="204"/>
      <c r="ITW22" s="204"/>
      <c r="ITX22" s="204"/>
      <c r="ITY22" s="204"/>
      <c r="ITZ22" s="204"/>
      <c r="IUA22" s="204"/>
      <c r="IUB22" s="204"/>
      <c r="IUC22" s="204"/>
      <c r="IUD22" s="204"/>
      <c r="IUE22" s="204"/>
      <c r="IUF22" s="204"/>
      <c r="IUG22" s="204"/>
      <c r="IUH22" s="204"/>
      <c r="IUI22" s="204"/>
      <c r="IUJ22" s="204"/>
      <c r="IUK22" s="204"/>
      <c r="IUL22" s="204"/>
      <c r="IUM22" s="204"/>
      <c r="IUN22" s="204"/>
      <c r="IUO22" s="204"/>
      <c r="IUP22" s="204"/>
      <c r="IUQ22" s="204"/>
      <c r="IUR22" s="204"/>
      <c r="IUS22" s="204"/>
      <c r="IUT22" s="204"/>
      <c r="IUU22" s="204"/>
      <c r="IUV22" s="204"/>
      <c r="IUW22" s="204"/>
      <c r="IUX22" s="204"/>
      <c r="IUY22" s="204"/>
      <c r="IUZ22" s="204"/>
      <c r="IVA22" s="204"/>
      <c r="IVB22" s="204"/>
      <c r="IVC22" s="204"/>
      <c r="IVD22" s="204"/>
      <c r="IVE22" s="204"/>
      <c r="IVF22" s="204"/>
      <c r="IVG22" s="204"/>
      <c r="IVH22" s="204"/>
      <c r="IVI22" s="204"/>
      <c r="IVJ22" s="204"/>
      <c r="IVK22" s="204"/>
      <c r="IVL22" s="204"/>
      <c r="IVM22" s="204"/>
      <c r="IVN22" s="204"/>
      <c r="IVO22" s="204"/>
      <c r="IVP22" s="204"/>
      <c r="IVQ22" s="204"/>
      <c r="IVR22" s="204"/>
      <c r="IVS22" s="204"/>
      <c r="IVT22" s="204"/>
      <c r="IVU22" s="204"/>
      <c r="IVV22" s="204"/>
      <c r="IVW22" s="204"/>
      <c r="IVX22" s="204"/>
      <c r="IVY22" s="204"/>
      <c r="IVZ22" s="204"/>
      <c r="IWA22" s="204"/>
      <c r="IWB22" s="204"/>
      <c r="IWC22" s="204"/>
      <c r="IWD22" s="204"/>
      <c r="IWE22" s="204"/>
      <c r="IWF22" s="204"/>
      <c r="IWG22" s="204"/>
      <c r="IWH22" s="204"/>
      <c r="IWI22" s="204"/>
      <c r="IWJ22" s="204"/>
      <c r="IWK22" s="204"/>
      <c r="IWL22" s="204"/>
      <c r="IWM22" s="204"/>
      <c r="IWN22" s="204"/>
      <c r="IWO22" s="204"/>
      <c r="IWP22" s="204"/>
      <c r="IWQ22" s="204"/>
      <c r="IWR22" s="204"/>
      <c r="IWS22" s="204"/>
      <c r="IWT22" s="204"/>
      <c r="IWU22" s="204"/>
      <c r="IWV22" s="204"/>
      <c r="IWW22" s="204"/>
      <c r="IWX22" s="204"/>
      <c r="IWY22" s="204"/>
      <c r="IWZ22" s="204"/>
      <c r="IXA22" s="204"/>
      <c r="IXB22" s="204"/>
      <c r="IXC22" s="204"/>
      <c r="IXD22" s="204"/>
      <c r="IXE22" s="204"/>
      <c r="IXF22" s="204"/>
      <c r="IXG22" s="204"/>
      <c r="IXH22" s="204"/>
      <c r="IXI22" s="204"/>
      <c r="IXJ22" s="204"/>
      <c r="IXK22" s="204"/>
      <c r="IXL22" s="204"/>
      <c r="IXM22" s="204"/>
      <c r="IXN22" s="204"/>
      <c r="IXO22" s="204"/>
      <c r="IXP22" s="204"/>
      <c r="IXQ22" s="204"/>
      <c r="IXR22" s="204"/>
      <c r="IXS22" s="204"/>
      <c r="IXT22" s="204"/>
      <c r="IXU22" s="204"/>
      <c r="IXV22" s="204"/>
      <c r="IXW22" s="204"/>
      <c r="IXX22" s="204"/>
      <c r="IXY22" s="204"/>
      <c r="IXZ22" s="204"/>
      <c r="IYA22" s="204"/>
      <c r="IYB22" s="204"/>
      <c r="IYC22" s="204"/>
      <c r="IYD22" s="204"/>
      <c r="IYE22" s="204"/>
      <c r="IYF22" s="204"/>
      <c r="IYG22" s="204"/>
      <c r="IYH22" s="204"/>
      <c r="IYI22" s="204"/>
      <c r="IYJ22" s="204"/>
      <c r="IYK22" s="204"/>
      <c r="IYL22" s="204"/>
      <c r="IYM22" s="204"/>
      <c r="IYN22" s="204"/>
      <c r="IYO22" s="204"/>
      <c r="IYP22" s="204"/>
      <c r="IYQ22" s="204"/>
      <c r="IYR22" s="204"/>
      <c r="IYS22" s="204"/>
      <c r="IYT22" s="204"/>
      <c r="IYU22" s="204"/>
      <c r="IYV22" s="204"/>
      <c r="IYW22" s="204"/>
      <c r="IYX22" s="204"/>
      <c r="IYY22" s="204"/>
      <c r="IYZ22" s="204"/>
      <c r="IZA22" s="204"/>
      <c r="IZB22" s="204"/>
      <c r="IZC22" s="204"/>
      <c r="IZD22" s="204"/>
      <c r="IZE22" s="204"/>
      <c r="IZF22" s="204"/>
      <c r="IZG22" s="204"/>
      <c r="IZH22" s="204"/>
      <c r="IZI22" s="204"/>
      <c r="IZJ22" s="204"/>
      <c r="IZK22" s="204"/>
      <c r="IZL22" s="204"/>
      <c r="IZM22" s="204"/>
      <c r="IZN22" s="204"/>
      <c r="IZO22" s="204"/>
      <c r="IZP22" s="204"/>
      <c r="IZQ22" s="204"/>
      <c r="IZR22" s="204"/>
      <c r="IZS22" s="204"/>
      <c r="IZT22" s="204"/>
      <c r="IZU22" s="204"/>
      <c r="IZV22" s="204"/>
      <c r="IZW22" s="204"/>
      <c r="IZX22" s="204"/>
      <c r="IZY22" s="204"/>
      <c r="IZZ22" s="204"/>
      <c r="JAA22" s="204"/>
      <c r="JAB22" s="204"/>
      <c r="JAC22" s="204"/>
      <c r="JAD22" s="204"/>
      <c r="JAE22" s="204"/>
      <c r="JAF22" s="204"/>
      <c r="JAG22" s="204"/>
      <c r="JAH22" s="204"/>
      <c r="JAI22" s="204"/>
      <c r="JAJ22" s="204"/>
      <c r="JAK22" s="204"/>
      <c r="JAL22" s="204"/>
      <c r="JAM22" s="204"/>
      <c r="JAN22" s="204"/>
      <c r="JAO22" s="204"/>
      <c r="JAP22" s="204"/>
      <c r="JAQ22" s="204"/>
      <c r="JAR22" s="204"/>
      <c r="JAS22" s="204"/>
      <c r="JAT22" s="204"/>
      <c r="JAU22" s="204"/>
      <c r="JAV22" s="204"/>
      <c r="JAW22" s="204"/>
      <c r="JAX22" s="204"/>
      <c r="JAY22" s="204"/>
      <c r="JAZ22" s="204"/>
      <c r="JBA22" s="204"/>
      <c r="JBB22" s="204"/>
      <c r="JBC22" s="204"/>
      <c r="JBD22" s="204"/>
      <c r="JBE22" s="204"/>
      <c r="JBF22" s="204"/>
      <c r="JBG22" s="204"/>
      <c r="JBH22" s="204"/>
      <c r="JBI22" s="204"/>
      <c r="JBJ22" s="204"/>
      <c r="JBK22" s="204"/>
      <c r="JBL22" s="204"/>
      <c r="JBM22" s="204"/>
      <c r="JBN22" s="204"/>
      <c r="JBO22" s="204"/>
      <c r="JBP22" s="204"/>
      <c r="JBQ22" s="204"/>
      <c r="JBR22" s="204"/>
      <c r="JBS22" s="204"/>
      <c r="JBT22" s="204"/>
      <c r="JBU22" s="204"/>
      <c r="JBV22" s="204"/>
      <c r="JBW22" s="204"/>
      <c r="JBX22" s="204"/>
      <c r="JBY22" s="204"/>
      <c r="JBZ22" s="204"/>
      <c r="JCA22" s="204"/>
      <c r="JCB22" s="204"/>
      <c r="JCC22" s="204"/>
      <c r="JCD22" s="204"/>
      <c r="JCE22" s="204"/>
      <c r="JCF22" s="204"/>
      <c r="JCG22" s="204"/>
      <c r="JCH22" s="204"/>
      <c r="JCI22" s="204"/>
      <c r="JCJ22" s="204"/>
      <c r="JCK22" s="204"/>
      <c r="JCL22" s="204"/>
      <c r="JCM22" s="204"/>
      <c r="JCN22" s="204"/>
      <c r="JCO22" s="204"/>
      <c r="JCP22" s="204"/>
      <c r="JCQ22" s="204"/>
      <c r="JCR22" s="204"/>
      <c r="JCS22" s="204"/>
      <c r="JCT22" s="204"/>
      <c r="JCU22" s="204"/>
      <c r="JCV22" s="204"/>
      <c r="JCW22" s="204"/>
      <c r="JCX22" s="204"/>
      <c r="JCY22" s="204"/>
      <c r="JCZ22" s="204"/>
      <c r="JDA22" s="204"/>
      <c r="JDB22" s="204"/>
      <c r="JDC22" s="204"/>
      <c r="JDD22" s="204"/>
      <c r="JDE22" s="204"/>
      <c r="JDF22" s="204"/>
      <c r="JDG22" s="204"/>
      <c r="JDH22" s="204"/>
      <c r="JDI22" s="204"/>
      <c r="JDJ22" s="204"/>
      <c r="JDK22" s="204"/>
      <c r="JDL22" s="204"/>
      <c r="JDM22" s="204"/>
      <c r="JDN22" s="204"/>
      <c r="JDO22" s="204"/>
      <c r="JDP22" s="204"/>
      <c r="JDQ22" s="204"/>
      <c r="JDR22" s="204"/>
      <c r="JDS22" s="204"/>
      <c r="JDT22" s="204"/>
      <c r="JDU22" s="204"/>
      <c r="JDV22" s="204"/>
      <c r="JDW22" s="204"/>
      <c r="JDX22" s="204"/>
      <c r="JDY22" s="204"/>
      <c r="JDZ22" s="204"/>
      <c r="JEA22" s="204"/>
      <c r="JEB22" s="204"/>
      <c r="JEC22" s="204"/>
      <c r="JED22" s="204"/>
      <c r="JEE22" s="204"/>
      <c r="JEF22" s="204"/>
      <c r="JEG22" s="204"/>
      <c r="JEH22" s="204"/>
      <c r="JEI22" s="204"/>
      <c r="JEJ22" s="204"/>
      <c r="JEK22" s="204"/>
      <c r="JEL22" s="204"/>
      <c r="JEM22" s="204"/>
      <c r="JEN22" s="204"/>
      <c r="JEO22" s="204"/>
      <c r="JEP22" s="204"/>
      <c r="JEQ22" s="204"/>
      <c r="JER22" s="204"/>
      <c r="JES22" s="204"/>
      <c r="JET22" s="204"/>
      <c r="JEU22" s="204"/>
      <c r="JEV22" s="204"/>
      <c r="JEW22" s="204"/>
      <c r="JEX22" s="204"/>
      <c r="JEY22" s="204"/>
      <c r="JEZ22" s="204"/>
      <c r="JFA22" s="204"/>
      <c r="JFB22" s="204"/>
      <c r="JFC22" s="204"/>
      <c r="JFD22" s="204"/>
      <c r="JFE22" s="204"/>
      <c r="JFF22" s="204"/>
      <c r="JFG22" s="204"/>
      <c r="JFH22" s="204"/>
      <c r="JFI22" s="204"/>
      <c r="JFJ22" s="204"/>
      <c r="JFK22" s="204"/>
      <c r="JFL22" s="204"/>
      <c r="JFM22" s="204"/>
      <c r="JFN22" s="204"/>
      <c r="JFO22" s="204"/>
      <c r="JFP22" s="204"/>
      <c r="JFQ22" s="204"/>
      <c r="JFR22" s="204"/>
      <c r="JFS22" s="204"/>
      <c r="JFT22" s="204"/>
      <c r="JFU22" s="204"/>
      <c r="JFV22" s="204"/>
      <c r="JFW22" s="204"/>
      <c r="JFX22" s="204"/>
      <c r="JFY22" s="204"/>
      <c r="JFZ22" s="204"/>
      <c r="JGA22" s="204"/>
      <c r="JGB22" s="204"/>
      <c r="JGC22" s="204"/>
      <c r="JGD22" s="204"/>
      <c r="JGE22" s="204"/>
      <c r="JGF22" s="204"/>
      <c r="JGG22" s="204"/>
      <c r="JGH22" s="204"/>
      <c r="JGI22" s="204"/>
      <c r="JGJ22" s="204"/>
      <c r="JGK22" s="204"/>
      <c r="JGL22" s="204"/>
      <c r="JGM22" s="204"/>
      <c r="JGN22" s="204"/>
      <c r="JGO22" s="204"/>
      <c r="JGP22" s="204"/>
      <c r="JGQ22" s="204"/>
      <c r="JGR22" s="204"/>
      <c r="JGS22" s="204"/>
      <c r="JGT22" s="204"/>
      <c r="JGU22" s="204"/>
      <c r="JGV22" s="204"/>
      <c r="JGW22" s="204"/>
      <c r="JGX22" s="204"/>
      <c r="JGY22" s="204"/>
      <c r="JGZ22" s="204"/>
      <c r="JHA22" s="204"/>
      <c r="JHB22" s="204"/>
      <c r="JHC22" s="204"/>
      <c r="JHD22" s="204"/>
      <c r="JHE22" s="204"/>
      <c r="JHF22" s="204"/>
      <c r="JHG22" s="204"/>
      <c r="JHH22" s="204"/>
      <c r="JHI22" s="204"/>
      <c r="JHJ22" s="204"/>
      <c r="JHK22" s="204"/>
      <c r="JHL22" s="204"/>
      <c r="JHM22" s="204"/>
      <c r="JHN22" s="204"/>
      <c r="JHO22" s="204"/>
      <c r="JHP22" s="204"/>
      <c r="JHQ22" s="204"/>
      <c r="JHR22" s="204"/>
      <c r="JHS22" s="204"/>
      <c r="JHT22" s="204"/>
      <c r="JHU22" s="204"/>
      <c r="JHV22" s="204"/>
      <c r="JHW22" s="204"/>
      <c r="JHX22" s="204"/>
      <c r="JHY22" s="204"/>
      <c r="JHZ22" s="204"/>
      <c r="JIA22" s="204"/>
      <c r="JIB22" s="204"/>
      <c r="JIC22" s="204"/>
      <c r="JID22" s="204"/>
      <c r="JIE22" s="204"/>
      <c r="JIF22" s="204"/>
      <c r="JIG22" s="204"/>
      <c r="JIH22" s="204"/>
      <c r="JII22" s="204"/>
      <c r="JIJ22" s="204"/>
      <c r="JIK22" s="204"/>
      <c r="JIL22" s="204"/>
      <c r="JIM22" s="204"/>
      <c r="JIN22" s="204"/>
      <c r="JIO22" s="204"/>
      <c r="JIP22" s="204"/>
      <c r="JIQ22" s="204"/>
      <c r="JIR22" s="204"/>
      <c r="JIS22" s="204"/>
      <c r="JIT22" s="204"/>
      <c r="JIU22" s="204"/>
      <c r="JIV22" s="204"/>
      <c r="JIW22" s="204"/>
      <c r="JIX22" s="204"/>
      <c r="JIY22" s="204"/>
      <c r="JIZ22" s="204"/>
      <c r="JJA22" s="204"/>
      <c r="JJB22" s="204"/>
      <c r="JJC22" s="204"/>
      <c r="JJD22" s="204"/>
      <c r="JJE22" s="204"/>
      <c r="JJF22" s="204"/>
      <c r="JJG22" s="204"/>
      <c r="JJH22" s="204"/>
      <c r="JJI22" s="204"/>
      <c r="JJJ22" s="204"/>
      <c r="JJK22" s="204"/>
      <c r="JJL22" s="204"/>
      <c r="JJM22" s="204"/>
      <c r="JJN22" s="204"/>
      <c r="JJO22" s="204"/>
      <c r="JJP22" s="204"/>
      <c r="JJQ22" s="204"/>
      <c r="JJR22" s="204"/>
      <c r="JJS22" s="204"/>
      <c r="JJT22" s="204"/>
      <c r="JJU22" s="204"/>
      <c r="JJV22" s="204"/>
      <c r="JJW22" s="204"/>
      <c r="JJX22" s="204"/>
      <c r="JJY22" s="204"/>
      <c r="JJZ22" s="204"/>
      <c r="JKA22" s="204"/>
      <c r="JKB22" s="204"/>
      <c r="JKC22" s="204"/>
      <c r="JKD22" s="204"/>
      <c r="JKE22" s="204"/>
      <c r="JKF22" s="204"/>
      <c r="JKG22" s="204"/>
      <c r="JKH22" s="204"/>
      <c r="JKI22" s="204"/>
      <c r="JKJ22" s="204"/>
      <c r="JKK22" s="204"/>
      <c r="JKL22" s="204"/>
      <c r="JKM22" s="204"/>
      <c r="JKN22" s="204"/>
      <c r="JKO22" s="204"/>
      <c r="JKP22" s="204"/>
      <c r="JKQ22" s="204"/>
      <c r="JKR22" s="204"/>
      <c r="JKS22" s="204"/>
      <c r="JKT22" s="204"/>
      <c r="JKU22" s="204"/>
      <c r="JKV22" s="204"/>
      <c r="JKW22" s="204"/>
      <c r="JKX22" s="204"/>
      <c r="JKY22" s="204"/>
      <c r="JKZ22" s="204"/>
      <c r="JLA22" s="204"/>
      <c r="JLB22" s="204"/>
      <c r="JLC22" s="204"/>
      <c r="JLD22" s="204"/>
      <c r="JLE22" s="204"/>
      <c r="JLF22" s="204"/>
      <c r="JLG22" s="204"/>
      <c r="JLH22" s="204"/>
      <c r="JLI22" s="204"/>
      <c r="JLJ22" s="204"/>
      <c r="JLK22" s="204"/>
      <c r="JLL22" s="204"/>
      <c r="JLM22" s="204"/>
      <c r="JLN22" s="204"/>
      <c r="JLO22" s="204"/>
      <c r="JLP22" s="204"/>
      <c r="JLQ22" s="204"/>
      <c r="JLR22" s="204"/>
      <c r="JLS22" s="204"/>
      <c r="JLT22" s="204"/>
      <c r="JLU22" s="204"/>
      <c r="JLV22" s="204"/>
      <c r="JLW22" s="204"/>
      <c r="JLX22" s="204"/>
      <c r="JLY22" s="204"/>
      <c r="JLZ22" s="204"/>
      <c r="JMA22" s="204"/>
      <c r="JMB22" s="204"/>
      <c r="JMC22" s="204"/>
      <c r="JMD22" s="204"/>
      <c r="JME22" s="204"/>
      <c r="JMF22" s="204"/>
      <c r="JMG22" s="204"/>
      <c r="JMH22" s="204"/>
      <c r="JMI22" s="204"/>
      <c r="JMJ22" s="204"/>
      <c r="JMK22" s="204"/>
      <c r="JML22" s="204"/>
      <c r="JMM22" s="204"/>
      <c r="JMN22" s="204"/>
      <c r="JMO22" s="204"/>
      <c r="JMP22" s="204"/>
      <c r="JMQ22" s="204"/>
      <c r="JMR22" s="204"/>
      <c r="JMS22" s="204"/>
      <c r="JMT22" s="204"/>
      <c r="JMU22" s="204"/>
      <c r="JMV22" s="204"/>
      <c r="JMW22" s="204"/>
      <c r="JMX22" s="204"/>
      <c r="JMY22" s="204"/>
      <c r="JMZ22" s="204"/>
      <c r="JNA22" s="204"/>
      <c r="JNB22" s="204"/>
      <c r="JNC22" s="204"/>
      <c r="JND22" s="204"/>
      <c r="JNE22" s="204"/>
      <c r="JNF22" s="204"/>
      <c r="JNG22" s="204"/>
      <c r="JNH22" s="204"/>
      <c r="JNI22" s="204"/>
      <c r="JNJ22" s="204"/>
      <c r="JNK22" s="204"/>
      <c r="JNL22" s="204"/>
      <c r="JNM22" s="204"/>
      <c r="JNN22" s="204"/>
      <c r="JNO22" s="204"/>
      <c r="JNP22" s="204"/>
      <c r="JNQ22" s="204"/>
      <c r="JNR22" s="204"/>
      <c r="JNS22" s="204"/>
      <c r="JNT22" s="204"/>
      <c r="JNU22" s="204"/>
      <c r="JNV22" s="204"/>
      <c r="JNW22" s="204"/>
      <c r="JNX22" s="204"/>
      <c r="JNY22" s="204"/>
      <c r="JNZ22" s="204"/>
      <c r="JOA22" s="204"/>
      <c r="JOB22" s="204"/>
      <c r="JOC22" s="204"/>
      <c r="JOD22" s="204"/>
      <c r="JOE22" s="204"/>
      <c r="JOF22" s="204"/>
      <c r="JOG22" s="204"/>
      <c r="JOH22" s="204"/>
      <c r="JOI22" s="204"/>
      <c r="JOJ22" s="204"/>
      <c r="JOK22" s="204"/>
      <c r="JOL22" s="204"/>
      <c r="JOM22" s="204"/>
      <c r="JON22" s="204"/>
      <c r="JOO22" s="204"/>
      <c r="JOP22" s="204"/>
      <c r="JOQ22" s="204"/>
      <c r="JOR22" s="204"/>
      <c r="JOS22" s="204"/>
      <c r="JOT22" s="204"/>
      <c r="JOU22" s="204"/>
      <c r="JOV22" s="204"/>
      <c r="JOW22" s="204"/>
      <c r="JOX22" s="204"/>
      <c r="JOY22" s="204"/>
      <c r="JOZ22" s="204"/>
      <c r="JPA22" s="204"/>
      <c r="JPB22" s="204"/>
      <c r="JPC22" s="204"/>
      <c r="JPD22" s="204"/>
      <c r="JPE22" s="204"/>
      <c r="JPF22" s="204"/>
      <c r="JPG22" s="204"/>
      <c r="JPH22" s="204"/>
      <c r="JPI22" s="204"/>
      <c r="JPJ22" s="204"/>
      <c r="JPK22" s="204"/>
      <c r="JPL22" s="204"/>
      <c r="JPM22" s="204"/>
      <c r="JPN22" s="204"/>
      <c r="JPO22" s="204"/>
      <c r="JPP22" s="204"/>
      <c r="JPQ22" s="204"/>
      <c r="JPR22" s="204"/>
      <c r="JPS22" s="204"/>
      <c r="JPT22" s="204"/>
      <c r="JPU22" s="204"/>
      <c r="JPV22" s="204"/>
      <c r="JPW22" s="204"/>
      <c r="JPX22" s="204"/>
      <c r="JPY22" s="204"/>
      <c r="JPZ22" s="204"/>
      <c r="JQA22" s="204"/>
      <c r="JQB22" s="204"/>
      <c r="JQC22" s="204"/>
      <c r="JQD22" s="204"/>
      <c r="JQE22" s="204"/>
      <c r="JQF22" s="204"/>
      <c r="JQG22" s="204"/>
      <c r="JQH22" s="204"/>
      <c r="JQI22" s="204"/>
      <c r="JQJ22" s="204"/>
      <c r="JQK22" s="204"/>
      <c r="JQL22" s="204"/>
      <c r="JQM22" s="204"/>
      <c r="JQN22" s="204"/>
      <c r="JQO22" s="204"/>
      <c r="JQP22" s="204"/>
      <c r="JQQ22" s="204"/>
      <c r="JQR22" s="204"/>
      <c r="JQS22" s="204"/>
      <c r="JQT22" s="204"/>
      <c r="JQU22" s="204"/>
      <c r="JQV22" s="204"/>
      <c r="JQW22" s="204"/>
      <c r="JQX22" s="204"/>
      <c r="JQY22" s="204"/>
      <c r="JQZ22" s="204"/>
      <c r="JRA22" s="204"/>
      <c r="JRB22" s="204"/>
      <c r="JRC22" s="204"/>
      <c r="JRD22" s="204"/>
      <c r="JRE22" s="204"/>
      <c r="JRF22" s="204"/>
      <c r="JRG22" s="204"/>
      <c r="JRH22" s="204"/>
      <c r="JRI22" s="204"/>
      <c r="JRJ22" s="204"/>
      <c r="JRK22" s="204"/>
      <c r="JRL22" s="204"/>
      <c r="JRM22" s="204"/>
      <c r="JRN22" s="204"/>
      <c r="JRO22" s="204"/>
      <c r="JRP22" s="204"/>
      <c r="JRQ22" s="204"/>
      <c r="JRR22" s="204"/>
      <c r="JRS22" s="204"/>
      <c r="JRT22" s="204"/>
      <c r="JRU22" s="204"/>
      <c r="JRV22" s="204"/>
      <c r="JRW22" s="204"/>
      <c r="JRX22" s="204"/>
      <c r="JRY22" s="204"/>
      <c r="JRZ22" s="204"/>
      <c r="JSA22" s="204"/>
      <c r="JSB22" s="204"/>
      <c r="JSC22" s="204"/>
      <c r="JSD22" s="204"/>
      <c r="JSE22" s="204"/>
      <c r="JSF22" s="204"/>
      <c r="JSG22" s="204"/>
      <c r="JSH22" s="204"/>
      <c r="JSI22" s="204"/>
      <c r="JSJ22" s="204"/>
      <c r="JSK22" s="204"/>
      <c r="JSL22" s="204"/>
      <c r="JSM22" s="204"/>
      <c r="JSN22" s="204"/>
      <c r="JSO22" s="204"/>
      <c r="JSP22" s="204"/>
      <c r="JSQ22" s="204"/>
      <c r="JSR22" s="204"/>
      <c r="JSS22" s="204"/>
      <c r="JST22" s="204"/>
      <c r="JSU22" s="204"/>
      <c r="JSV22" s="204"/>
      <c r="JSW22" s="204"/>
      <c r="JSX22" s="204"/>
      <c r="JSY22" s="204"/>
      <c r="JSZ22" s="204"/>
      <c r="JTA22" s="204"/>
      <c r="JTB22" s="204"/>
      <c r="JTC22" s="204"/>
      <c r="JTD22" s="204"/>
      <c r="JTE22" s="204"/>
      <c r="JTF22" s="204"/>
      <c r="JTG22" s="204"/>
      <c r="JTH22" s="204"/>
      <c r="JTI22" s="204"/>
      <c r="JTJ22" s="204"/>
      <c r="JTK22" s="204"/>
      <c r="JTL22" s="204"/>
      <c r="JTM22" s="204"/>
      <c r="JTN22" s="204"/>
      <c r="JTO22" s="204"/>
      <c r="JTP22" s="204"/>
      <c r="JTQ22" s="204"/>
      <c r="JTR22" s="204"/>
      <c r="JTS22" s="204"/>
      <c r="JTT22" s="204"/>
      <c r="JTU22" s="204"/>
      <c r="JTV22" s="204"/>
      <c r="JTW22" s="204"/>
      <c r="JTX22" s="204"/>
      <c r="JTY22" s="204"/>
      <c r="JTZ22" s="204"/>
      <c r="JUA22" s="204"/>
      <c r="JUB22" s="204"/>
      <c r="JUC22" s="204"/>
      <c r="JUD22" s="204"/>
      <c r="JUE22" s="204"/>
      <c r="JUF22" s="204"/>
      <c r="JUG22" s="204"/>
      <c r="JUH22" s="204"/>
      <c r="JUI22" s="204"/>
      <c r="JUJ22" s="204"/>
      <c r="JUK22" s="204"/>
      <c r="JUL22" s="204"/>
      <c r="JUM22" s="204"/>
      <c r="JUN22" s="204"/>
      <c r="JUO22" s="204"/>
      <c r="JUP22" s="204"/>
      <c r="JUQ22" s="204"/>
      <c r="JUR22" s="204"/>
      <c r="JUS22" s="204"/>
      <c r="JUT22" s="204"/>
      <c r="JUU22" s="204"/>
      <c r="JUV22" s="204"/>
      <c r="JUW22" s="204"/>
      <c r="JUX22" s="204"/>
      <c r="JUY22" s="204"/>
      <c r="JUZ22" s="204"/>
      <c r="JVA22" s="204"/>
      <c r="JVB22" s="204"/>
      <c r="JVC22" s="204"/>
      <c r="JVD22" s="204"/>
      <c r="JVE22" s="204"/>
      <c r="JVF22" s="204"/>
      <c r="JVG22" s="204"/>
      <c r="JVH22" s="204"/>
      <c r="JVI22" s="204"/>
      <c r="JVJ22" s="204"/>
      <c r="JVK22" s="204"/>
      <c r="JVL22" s="204"/>
      <c r="JVM22" s="204"/>
      <c r="JVN22" s="204"/>
      <c r="JVO22" s="204"/>
      <c r="JVP22" s="204"/>
      <c r="JVQ22" s="204"/>
      <c r="JVR22" s="204"/>
      <c r="JVS22" s="204"/>
      <c r="JVT22" s="204"/>
      <c r="JVU22" s="204"/>
      <c r="JVV22" s="204"/>
      <c r="JVW22" s="204"/>
      <c r="JVX22" s="204"/>
      <c r="JVY22" s="204"/>
      <c r="JVZ22" s="204"/>
      <c r="JWA22" s="204"/>
      <c r="JWB22" s="204"/>
      <c r="JWC22" s="204"/>
      <c r="JWD22" s="204"/>
      <c r="JWE22" s="204"/>
      <c r="JWF22" s="204"/>
      <c r="JWG22" s="204"/>
      <c r="JWH22" s="204"/>
      <c r="JWI22" s="204"/>
      <c r="JWJ22" s="204"/>
      <c r="JWK22" s="204"/>
      <c r="JWL22" s="204"/>
      <c r="JWM22" s="204"/>
      <c r="JWN22" s="204"/>
      <c r="JWO22" s="204"/>
      <c r="JWP22" s="204"/>
      <c r="JWQ22" s="204"/>
      <c r="JWR22" s="204"/>
      <c r="JWS22" s="204"/>
      <c r="JWT22" s="204"/>
      <c r="JWU22" s="204"/>
      <c r="JWV22" s="204"/>
      <c r="JWW22" s="204"/>
      <c r="JWX22" s="204"/>
      <c r="JWY22" s="204"/>
      <c r="JWZ22" s="204"/>
      <c r="JXA22" s="204"/>
      <c r="JXB22" s="204"/>
      <c r="JXC22" s="204"/>
      <c r="JXD22" s="204"/>
      <c r="JXE22" s="204"/>
      <c r="JXF22" s="204"/>
      <c r="JXG22" s="204"/>
      <c r="JXH22" s="204"/>
      <c r="JXI22" s="204"/>
      <c r="JXJ22" s="204"/>
      <c r="JXK22" s="204"/>
      <c r="JXL22" s="204"/>
      <c r="JXM22" s="204"/>
      <c r="JXN22" s="204"/>
      <c r="JXO22" s="204"/>
      <c r="JXP22" s="204"/>
      <c r="JXQ22" s="204"/>
      <c r="JXR22" s="204"/>
      <c r="JXS22" s="204"/>
      <c r="JXT22" s="204"/>
      <c r="JXU22" s="204"/>
      <c r="JXV22" s="204"/>
      <c r="JXW22" s="204"/>
      <c r="JXX22" s="204"/>
      <c r="JXY22" s="204"/>
      <c r="JXZ22" s="204"/>
      <c r="JYA22" s="204"/>
      <c r="JYB22" s="204"/>
      <c r="JYC22" s="204"/>
      <c r="JYD22" s="204"/>
      <c r="JYE22" s="204"/>
      <c r="JYF22" s="204"/>
      <c r="JYG22" s="204"/>
      <c r="JYH22" s="204"/>
      <c r="JYI22" s="204"/>
      <c r="JYJ22" s="204"/>
      <c r="JYK22" s="204"/>
      <c r="JYL22" s="204"/>
      <c r="JYM22" s="204"/>
      <c r="JYN22" s="204"/>
      <c r="JYO22" s="204"/>
      <c r="JYP22" s="204"/>
      <c r="JYQ22" s="204"/>
      <c r="JYR22" s="204"/>
      <c r="JYS22" s="204"/>
      <c r="JYT22" s="204"/>
      <c r="JYU22" s="204"/>
      <c r="JYV22" s="204"/>
      <c r="JYW22" s="204"/>
      <c r="JYX22" s="204"/>
      <c r="JYY22" s="204"/>
      <c r="JYZ22" s="204"/>
      <c r="JZA22" s="204"/>
      <c r="JZB22" s="204"/>
      <c r="JZC22" s="204"/>
      <c r="JZD22" s="204"/>
      <c r="JZE22" s="204"/>
      <c r="JZF22" s="204"/>
      <c r="JZG22" s="204"/>
      <c r="JZH22" s="204"/>
      <c r="JZI22" s="204"/>
      <c r="JZJ22" s="204"/>
      <c r="JZK22" s="204"/>
      <c r="JZL22" s="204"/>
      <c r="JZM22" s="204"/>
      <c r="JZN22" s="204"/>
      <c r="JZO22" s="204"/>
      <c r="JZP22" s="204"/>
      <c r="JZQ22" s="204"/>
      <c r="JZR22" s="204"/>
      <c r="JZS22" s="204"/>
      <c r="JZT22" s="204"/>
      <c r="JZU22" s="204"/>
      <c r="JZV22" s="204"/>
      <c r="JZW22" s="204"/>
      <c r="JZX22" s="204"/>
      <c r="JZY22" s="204"/>
      <c r="JZZ22" s="204"/>
      <c r="KAA22" s="204"/>
      <c r="KAB22" s="204"/>
      <c r="KAC22" s="204"/>
      <c r="KAD22" s="204"/>
      <c r="KAE22" s="204"/>
      <c r="KAF22" s="204"/>
      <c r="KAG22" s="204"/>
      <c r="KAH22" s="204"/>
      <c r="KAI22" s="204"/>
      <c r="KAJ22" s="204"/>
      <c r="KAK22" s="204"/>
      <c r="KAL22" s="204"/>
      <c r="KAM22" s="204"/>
      <c r="KAN22" s="204"/>
      <c r="KAO22" s="204"/>
      <c r="KAP22" s="204"/>
      <c r="KAQ22" s="204"/>
      <c r="KAR22" s="204"/>
      <c r="KAS22" s="204"/>
      <c r="KAT22" s="204"/>
      <c r="KAU22" s="204"/>
      <c r="KAV22" s="204"/>
      <c r="KAW22" s="204"/>
      <c r="KAX22" s="204"/>
      <c r="KAY22" s="204"/>
      <c r="KAZ22" s="204"/>
      <c r="KBA22" s="204"/>
      <c r="KBB22" s="204"/>
      <c r="KBC22" s="204"/>
      <c r="KBD22" s="204"/>
      <c r="KBE22" s="204"/>
      <c r="KBF22" s="204"/>
      <c r="KBG22" s="204"/>
      <c r="KBH22" s="204"/>
      <c r="KBI22" s="204"/>
      <c r="KBJ22" s="204"/>
      <c r="KBK22" s="204"/>
      <c r="KBL22" s="204"/>
      <c r="KBM22" s="204"/>
      <c r="KBN22" s="204"/>
      <c r="KBO22" s="204"/>
      <c r="KBP22" s="204"/>
      <c r="KBQ22" s="204"/>
      <c r="KBR22" s="204"/>
      <c r="KBS22" s="204"/>
      <c r="KBT22" s="204"/>
      <c r="KBU22" s="204"/>
      <c r="KBV22" s="204"/>
      <c r="KBW22" s="204"/>
      <c r="KBX22" s="204"/>
      <c r="KBY22" s="204"/>
      <c r="KBZ22" s="204"/>
      <c r="KCA22" s="204"/>
      <c r="KCB22" s="204"/>
      <c r="KCC22" s="204"/>
      <c r="KCD22" s="204"/>
      <c r="KCE22" s="204"/>
      <c r="KCF22" s="204"/>
      <c r="KCG22" s="204"/>
      <c r="KCH22" s="204"/>
      <c r="KCI22" s="204"/>
      <c r="KCJ22" s="204"/>
      <c r="KCK22" s="204"/>
      <c r="KCL22" s="204"/>
      <c r="KCM22" s="204"/>
      <c r="KCN22" s="204"/>
      <c r="KCO22" s="204"/>
      <c r="KCP22" s="204"/>
      <c r="KCQ22" s="204"/>
      <c r="KCR22" s="204"/>
      <c r="KCS22" s="204"/>
      <c r="KCT22" s="204"/>
      <c r="KCU22" s="204"/>
      <c r="KCV22" s="204"/>
      <c r="KCW22" s="204"/>
      <c r="KCX22" s="204"/>
      <c r="KCY22" s="204"/>
      <c r="KCZ22" s="204"/>
      <c r="KDA22" s="204"/>
      <c r="KDB22" s="204"/>
      <c r="KDC22" s="204"/>
      <c r="KDD22" s="204"/>
      <c r="KDE22" s="204"/>
      <c r="KDF22" s="204"/>
      <c r="KDG22" s="204"/>
      <c r="KDH22" s="204"/>
      <c r="KDI22" s="204"/>
      <c r="KDJ22" s="204"/>
      <c r="KDK22" s="204"/>
      <c r="KDL22" s="204"/>
      <c r="KDM22" s="204"/>
      <c r="KDN22" s="204"/>
      <c r="KDO22" s="204"/>
      <c r="KDP22" s="204"/>
      <c r="KDQ22" s="204"/>
      <c r="KDR22" s="204"/>
      <c r="KDS22" s="204"/>
      <c r="KDT22" s="204"/>
      <c r="KDU22" s="204"/>
      <c r="KDV22" s="204"/>
      <c r="KDW22" s="204"/>
      <c r="KDX22" s="204"/>
      <c r="KDY22" s="204"/>
      <c r="KDZ22" s="204"/>
      <c r="KEA22" s="204"/>
      <c r="KEB22" s="204"/>
      <c r="KEC22" s="204"/>
      <c r="KED22" s="204"/>
      <c r="KEE22" s="204"/>
      <c r="KEF22" s="204"/>
      <c r="KEG22" s="204"/>
      <c r="KEH22" s="204"/>
      <c r="KEI22" s="204"/>
      <c r="KEJ22" s="204"/>
      <c r="KEK22" s="204"/>
      <c r="KEL22" s="204"/>
      <c r="KEM22" s="204"/>
      <c r="KEN22" s="204"/>
      <c r="KEO22" s="204"/>
      <c r="KEP22" s="204"/>
      <c r="KEQ22" s="204"/>
      <c r="KER22" s="204"/>
      <c r="KES22" s="204"/>
      <c r="KET22" s="204"/>
      <c r="KEU22" s="204"/>
      <c r="KEV22" s="204"/>
      <c r="KEW22" s="204"/>
      <c r="KEX22" s="204"/>
      <c r="KEY22" s="204"/>
      <c r="KEZ22" s="204"/>
      <c r="KFA22" s="204"/>
      <c r="KFB22" s="204"/>
      <c r="KFC22" s="204"/>
      <c r="KFD22" s="204"/>
      <c r="KFE22" s="204"/>
      <c r="KFF22" s="204"/>
      <c r="KFG22" s="204"/>
      <c r="KFH22" s="204"/>
      <c r="KFI22" s="204"/>
      <c r="KFJ22" s="204"/>
      <c r="KFK22" s="204"/>
      <c r="KFL22" s="204"/>
      <c r="KFM22" s="204"/>
      <c r="KFN22" s="204"/>
      <c r="KFO22" s="204"/>
      <c r="KFP22" s="204"/>
      <c r="KFQ22" s="204"/>
      <c r="KFR22" s="204"/>
      <c r="KFS22" s="204"/>
      <c r="KFT22" s="204"/>
      <c r="KFU22" s="204"/>
      <c r="KFV22" s="204"/>
      <c r="KFW22" s="204"/>
      <c r="KFX22" s="204"/>
      <c r="KFY22" s="204"/>
      <c r="KFZ22" s="204"/>
      <c r="KGA22" s="204"/>
      <c r="KGB22" s="204"/>
      <c r="KGC22" s="204"/>
      <c r="KGD22" s="204"/>
      <c r="KGE22" s="204"/>
      <c r="KGF22" s="204"/>
      <c r="KGG22" s="204"/>
      <c r="KGH22" s="204"/>
      <c r="KGI22" s="204"/>
      <c r="KGJ22" s="204"/>
      <c r="KGK22" s="204"/>
      <c r="KGL22" s="204"/>
      <c r="KGM22" s="204"/>
      <c r="KGN22" s="204"/>
      <c r="KGO22" s="204"/>
      <c r="KGP22" s="204"/>
      <c r="KGQ22" s="204"/>
      <c r="KGR22" s="204"/>
      <c r="KGS22" s="204"/>
      <c r="KGT22" s="204"/>
      <c r="KGU22" s="204"/>
      <c r="KGV22" s="204"/>
      <c r="KGW22" s="204"/>
      <c r="KGX22" s="204"/>
      <c r="KGY22" s="204"/>
      <c r="KGZ22" s="204"/>
      <c r="KHA22" s="204"/>
      <c r="KHB22" s="204"/>
      <c r="KHC22" s="204"/>
      <c r="KHD22" s="204"/>
      <c r="KHE22" s="204"/>
      <c r="KHF22" s="204"/>
      <c r="KHG22" s="204"/>
      <c r="KHH22" s="204"/>
      <c r="KHI22" s="204"/>
      <c r="KHJ22" s="204"/>
      <c r="KHK22" s="204"/>
      <c r="KHL22" s="204"/>
      <c r="KHM22" s="204"/>
      <c r="KHN22" s="204"/>
      <c r="KHO22" s="204"/>
      <c r="KHP22" s="204"/>
      <c r="KHQ22" s="204"/>
      <c r="KHR22" s="204"/>
      <c r="KHS22" s="204"/>
      <c r="KHT22" s="204"/>
      <c r="KHU22" s="204"/>
      <c r="KHV22" s="204"/>
      <c r="KHW22" s="204"/>
      <c r="KHX22" s="204"/>
      <c r="KHY22" s="204"/>
      <c r="KHZ22" s="204"/>
      <c r="KIA22" s="204"/>
      <c r="KIB22" s="204"/>
      <c r="KIC22" s="204"/>
      <c r="KID22" s="204"/>
      <c r="KIE22" s="204"/>
      <c r="KIF22" s="204"/>
      <c r="KIG22" s="204"/>
      <c r="KIH22" s="204"/>
      <c r="KII22" s="204"/>
      <c r="KIJ22" s="204"/>
      <c r="KIK22" s="204"/>
      <c r="KIL22" s="204"/>
      <c r="KIM22" s="204"/>
      <c r="KIN22" s="204"/>
      <c r="KIO22" s="204"/>
      <c r="KIP22" s="204"/>
      <c r="KIQ22" s="204"/>
      <c r="KIR22" s="204"/>
      <c r="KIS22" s="204"/>
      <c r="KIT22" s="204"/>
      <c r="KIU22" s="204"/>
      <c r="KIV22" s="204"/>
      <c r="KIW22" s="204"/>
      <c r="KIX22" s="204"/>
      <c r="KIY22" s="204"/>
      <c r="KIZ22" s="204"/>
      <c r="KJA22" s="204"/>
      <c r="KJB22" s="204"/>
      <c r="KJC22" s="204"/>
      <c r="KJD22" s="204"/>
      <c r="KJE22" s="204"/>
      <c r="KJF22" s="204"/>
      <c r="KJG22" s="204"/>
      <c r="KJH22" s="204"/>
      <c r="KJI22" s="204"/>
      <c r="KJJ22" s="204"/>
      <c r="KJK22" s="204"/>
      <c r="KJL22" s="204"/>
      <c r="KJM22" s="204"/>
      <c r="KJN22" s="204"/>
      <c r="KJO22" s="204"/>
      <c r="KJP22" s="204"/>
      <c r="KJQ22" s="204"/>
      <c r="KJR22" s="204"/>
      <c r="KJS22" s="204"/>
      <c r="KJT22" s="204"/>
      <c r="KJU22" s="204"/>
      <c r="KJV22" s="204"/>
      <c r="KJW22" s="204"/>
      <c r="KJX22" s="204"/>
      <c r="KJY22" s="204"/>
      <c r="KJZ22" s="204"/>
      <c r="KKA22" s="204"/>
      <c r="KKB22" s="204"/>
      <c r="KKC22" s="204"/>
      <c r="KKD22" s="204"/>
      <c r="KKE22" s="204"/>
      <c r="KKF22" s="204"/>
      <c r="KKG22" s="204"/>
      <c r="KKH22" s="204"/>
      <c r="KKI22" s="204"/>
      <c r="KKJ22" s="204"/>
      <c r="KKK22" s="204"/>
      <c r="KKL22" s="204"/>
      <c r="KKM22" s="204"/>
      <c r="KKN22" s="204"/>
      <c r="KKO22" s="204"/>
      <c r="KKP22" s="204"/>
      <c r="KKQ22" s="204"/>
      <c r="KKR22" s="204"/>
      <c r="KKS22" s="204"/>
      <c r="KKT22" s="204"/>
      <c r="KKU22" s="204"/>
      <c r="KKV22" s="204"/>
      <c r="KKW22" s="204"/>
      <c r="KKX22" s="204"/>
      <c r="KKY22" s="204"/>
      <c r="KKZ22" s="204"/>
      <c r="KLA22" s="204"/>
      <c r="KLB22" s="204"/>
      <c r="KLC22" s="204"/>
      <c r="KLD22" s="204"/>
      <c r="KLE22" s="204"/>
      <c r="KLF22" s="204"/>
      <c r="KLG22" s="204"/>
      <c r="KLH22" s="204"/>
      <c r="KLI22" s="204"/>
      <c r="KLJ22" s="204"/>
      <c r="KLK22" s="204"/>
      <c r="KLL22" s="204"/>
      <c r="KLM22" s="204"/>
      <c r="KLN22" s="204"/>
      <c r="KLO22" s="204"/>
      <c r="KLP22" s="204"/>
      <c r="KLQ22" s="204"/>
      <c r="KLR22" s="204"/>
      <c r="KLS22" s="204"/>
      <c r="KLT22" s="204"/>
      <c r="KLU22" s="204"/>
      <c r="KLV22" s="204"/>
      <c r="KLW22" s="204"/>
      <c r="KLX22" s="204"/>
      <c r="KLY22" s="204"/>
      <c r="KLZ22" s="204"/>
      <c r="KMA22" s="204"/>
      <c r="KMB22" s="204"/>
      <c r="KMC22" s="204"/>
      <c r="KMD22" s="204"/>
      <c r="KME22" s="204"/>
      <c r="KMF22" s="204"/>
      <c r="KMG22" s="204"/>
      <c r="KMH22" s="204"/>
      <c r="KMI22" s="204"/>
      <c r="KMJ22" s="204"/>
      <c r="KMK22" s="204"/>
      <c r="KML22" s="204"/>
      <c r="KMM22" s="204"/>
      <c r="KMN22" s="204"/>
      <c r="KMO22" s="204"/>
      <c r="KMP22" s="204"/>
      <c r="KMQ22" s="204"/>
      <c r="KMR22" s="204"/>
      <c r="KMS22" s="204"/>
      <c r="KMT22" s="204"/>
      <c r="KMU22" s="204"/>
      <c r="KMV22" s="204"/>
      <c r="KMW22" s="204"/>
      <c r="KMX22" s="204"/>
      <c r="KMY22" s="204"/>
      <c r="KMZ22" s="204"/>
      <c r="KNA22" s="204"/>
      <c r="KNB22" s="204"/>
      <c r="KNC22" s="204"/>
      <c r="KND22" s="204"/>
      <c r="KNE22" s="204"/>
      <c r="KNF22" s="204"/>
      <c r="KNG22" s="204"/>
      <c r="KNH22" s="204"/>
      <c r="KNI22" s="204"/>
      <c r="KNJ22" s="204"/>
      <c r="KNK22" s="204"/>
      <c r="KNL22" s="204"/>
      <c r="KNM22" s="204"/>
      <c r="KNN22" s="204"/>
      <c r="KNO22" s="204"/>
      <c r="KNP22" s="204"/>
      <c r="KNQ22" s="204"/>
      <c r="KNR22" s="204"/>
      <c r="KNS22" s="204"/>
      <c r="KNT22" s="204"/>
      <c r="KNU22" s="204"/>
      <c r="KNV22" s="204"/>
      <c r="KNW22" s="204"/>
      <c r="KNX22" s="204"/>
      <c r="KNY22" s="204"/>
      <c r="KNZ22" s="204"/>
      <c r="KOA22" s="204"/>
      <c r="KOB22" s="204"/>
      <c r="KOC22" s="204"/>
      <c r="KOD22" s="204"/>
      <c r="KOE22" s="204"/>
      <c r="KOF22" s="204"/>
      <c r="KOG22" s="204"/>
      <c r="KOH22" s="204"/>
      <c r="KOI22" s="204"/>
      <c r="KOJ22" s="204"/>
      <c r="KOK22" s="204"/>
      <c r="KOL22" s="204"/>
      <c r="KOM22" s="204"/>
      <c r="KON22" s="204"/>
      <c r="KOO22" s="204"/>
      <c r="KOP22" s="204"/>
      <c r="KOQ22" s="204"/>
      <c r="KOR22" s="204"/>
      <c r="KOS22" s="204"/>
      <c r="KOT22" s="204"/>
      <c r="KOU22" s="204"/>
      <c r="KOV22" s="204"/>
      <c r="KOW22" s="204"/>
      <c r="KOX22" s="204"/>
      <c r="KOY22" s="204"/>
      <c r="KOZ22" s="204"/>
      <c r="KPA22" s="204"/>
      <c r="KPB22" s="204"/>
      <c r="KPC22" s="204"/>
      <c r="KPD22" s="204"/>
      <c r="KPE22" s="204"/>
      <c r="KPF22" s="204"/>
      <c r="KPG22" s="204"/>
      <c r="KPH22" s="204"/>
      <c r="KPI22" s="204"/>
      <c r="KPJ22" s="204"/>
      <c r="KPK22" s="204"/>
      <c r="KPL22" s="204"/>
      <c r="KPM22" s="204"/>
      <c r="KPN22" s="204"/>
      <c r="KPO22" s="204"/>
      <c r="KPP22" s="204"/>
      <c r="KPQ22" s="204"/>
      <c r="KPR22" s="204"/>
      <c r="KPS22" s="204"/>
      <c r="KPT22" s="204"/>
      <c r="KPU22" s="204"/>
      <c r="KPV22" s="204"/>
      <c r="KPW22" s="204"/>
      <c r="KPX22" s="204"/>
      <c r="KPY22" s="204"/>
      <c r="KPZ22" s="204"/>
      <c r="KQA22" s="204"/>
      <c r="KQB22" s="204"/>
      <c r="KQC22" s="204"/>
      <c r="KQD22" s="204"/>
      <c r="KQE22" s="204"/>
      <c r="KQF22" s="204"/>
      <c r="KQG22" s="204"/>
      <c r="KQH22" s="204"/>
      <c r="KQI22" s="204"/>
      <c r="KQJ22" s="204"/>
      <c r="KQK22" s="204"/>
      <c r="KQL22" s="204"/>
      <c r="KQM22" s="204"/>
      <c r="KQN22" s="204"/>
      <c r="KQO22" s="204"/>
      <c r="KQP22" s="204"/>
      <c r="KQQ22" s="204"/>
      <c r="KQR22" s="204"/>
      <c r="KQS22" s="204"/>
      <c r="KQT22" s="204"/>
      <c r="KQU22" s="204"/>
      <c r="KQV22" s="204"/>
      <c r="KQW22" s="204"/>
      <c r="KQX22" s="204"/>
      <c r="KQY22" s="204"/>
      <c r="KQZ22" s="204"/>
      <c r="KRA22" s="204"/>
      <c r="KRB22" s="204"/>
      <c r="KRC22" s="204"/>
      <c r="KRD22" s="204"/>
      <c r="KRE22" s="204"/>
      <c r="KRF22" s="204"/>
      <c r="KRG22" s="204"/>
      <c r="KRH22" s="204"/>
      <c r="KRI22" s="204"/>
      <c r="KRJ22" s="204"/>
      <c r="KRK22" s="204"/>
      <c r="KRL22" s="204"/>
      <c r="KRM22" s="204"/>
      <c r="KRN22" s="204"/>
      <c r="KRO22" s="204"/>
      <c r="KRP22" s="204"/>
      <c r="KRQ22" s="204"/>
      <c r="KRR22" s="204"/>
      <c r="KRS22" s="204"/>
      <c r="KRT22" s="204"/>
      <c r="KRU22" s="204"/>
      <c r="KRV22" s="204"/>
      <c r="KRW22" s="204"/>
      <c r="KRX22" s="204"/>
      <c r="KRY22" s="204"/>
      <c r="KRZ22" s="204"/>
      <c r="KSA22" s="204"/>
      <c r="KSB22" s="204"/>
      <c r="KSC22" s="204"/>
      <c r="KSD22" s="204"/>
      <c r="KSE22" s="204"/>
      <c r="KSF22" s="204"/>
      <c r="KSG22" s="204"/>
      <c r="KSH22" s="204"/>
      <c r="KSI22" s="204"/>
      <c r="KSJ22" s="204"/>
      <c r="KSK22" s="204"/>
      <c r="KSL22" s="204"/>
      <c r="KSM22" s="204"/>
      <c r="KSN22" s="204"/>
      <c r="KSO22" s="204"/>
      <c r="KSP22" s="204"/>
      <c r="KSQ22" s="204"/>
      <c r="KSR22" s="204"/>
      <c r="KSS22" s="204"/>
      <c r="KST22" s="204"/>
      <c r="KSU22" s="204"/>
      <c r="KSV22" s="204"/>
      <c r="KSW22" s="204"/>
      <c r="KSX22" s="204"/>
      <c r="KSY22" s="204"/>
      <c r="KSZ22" s="204"/>
      <c r="KTA22" s="204"/>
      <c r="KTB22" s="204"/>
      <c r="KTC22" s="204"/>
      <c r="KTD22" s="204"/>
      <c r="KTE22" s="204"/>
      <c r="KTF22" s="204"/>
      <c r="KTG22" s="204"/>
      <c r="KTH22" s="204"/>
      <c r="KTI22" s="204"/>
      <c r="KTJ22" s="204"/>
      <c r="KTK22" s="204"/>
      <c r="KTL22" s="204"/>
      <c r="KTM22" s="204"/>
      <c r="KTN22" s="204"/>
      <c r="KTO22" s="204"/>
      <c r="KTP22" s="204"/>
      <c r="KTQ22" s="204"/>
      <c r="KTR22" s="204"/>
      <c r="KTS22" s="204"/>
      <c r="KTT22" s="204"/>
      <c r="KTU22" s="204"/>
      <c r="KTV22" s="204"/>
      <c r="KTW22" s="204"/>
      <c r="KTX22" s="204"/>
      <c r="KTY22" s="204"/>
      <c r="KTZ22" s="204"/>
      <c r="KUA22" s="204"/>
      <c r="KUB22" s="204"/>
      <c r="KUC22" s="204"/>
      <c r="KUD22" s="204"/>
      <c r="KUE22" s="204"/>
      <c r="KUF22" s="204"/>
      <c r="KUG22" s="204"/>
      <c r="KUH22" s="204"/>
      <c r="KUI22" s="204"/>
      <c r="KUJ22" s="204"/>
      <c r="KUK22" s="204"/>
      <c r="KUL22" s="204"/>
      <c r="KUM22" s="204"/>
      <c r="KUN22" s="204"/>
      <c r="KUO22" s="204"/>
      <c r="KUP22" s="204"/>
      <c r="KUQ22" s="204"/>
      <c r="KUR22" s="204"/>
      <c r="KUS22" s="204"/>
      <c r="KUT22" s="204"/>
      <c r="KUU22" s="204"/>
      <c r="KUV22" s="204"/>
      <c r="KUW22" s="204"/>
      <c r="KUX22" s="204"/>
      <c r="KUY22" s="204"/>
      <c r="KUZ22" s="204"/>
      <c r="KVA22" s="204"/>
      <c r="KVB22" s="204"/>
      <c r="KVC22" s="204"/>
      <c r="KVD22" s="204"/>
      <c r="KVE22" s="204"/>
      <c r="KVF22" s="204"/>
      <c r="KVG22" s="204"/>
      <c r="KVH22" s="204"/>
      <c r="KVI22" s="204"/>
      <c r="KVJ22" s="204"/>
      <c r="KVK22" s="204"/>
      <c r="KVL22" s="204"/>
      <c r="KVM22" s="204"/>
      <c r="KVN22" s="204"/>
      <c r="KVO22" s="204"/>
      <c r="KVP22" s="204"/>
      <c r="KVQ22" s="204"/>
      <c r="KVR22" s="204"/>
      <c r="KVS22" s="204"/>
      <c r="KVT22" s="204"/>
      <c r="KVU22" s="204"/>
      <c r="KVV22" s="204"/>
      <c r="KVW22" s="204"/>
      <c r="KVX22" s="204"/>
      <c r="KVY22" s="204"/>
      <c r="KVZ22" s="204"/>
      <c r="KWA22" s="204"/>
      <c r="KWB22" s="204"/>
      <c r="KWC22" s="204"/>
      <c r="KWD22" s="204"/>
      <c r="KWE22" s="204"/>
      <c r="KWF22" s="204"/>
      <c r="KWG22" s="204"/>
      <c r="KWH22" s="204"/>
      <c r="KWI22" s="204"/>
      <c r="KWJ22" s="204"/>
      <c r="KWK22" s="204"/>
      <c r="KWL22" s="204"/>
      <c r="KWM22" s="204"/>
      <c r="KWN22" s="204"/>
      <c r="KWO22" s="204"/>
      <c r="KWP22" s="204"/>
      <c r="KWQ22" s="204"/>
      <c r="KWR22" s="204"/>
      <c r="KWS22" s="204"/>
      <c r="KWT22" s="204"/>
      <c r="KWU22" s="204"/>
      <c r="KWV22" s="204"/>
      <c r="KWW22" s="204"/>
      <c r="KWX22" s="204"/>
      <c r="KWY22" s="204"/>
      <c r="KWZ22" s="204"/>
      <c r="KXA22" s="204"/>
      <c r="KXB22" s="204"/>
      <c r="KXC22" s="204"/>
      <c r="KXD22" s="204"/>
      <c r="KXE22" s="204"/>
      <c r="KXF22" s="204"/>
      <c r="KXG22" s="204"/>
      <c r="KXH22" s="204"/>
      <c r="KXI22" s="204"/>
      <c r="KXJ22" s="204"/>
      <c r="KXK22" s="204"/>
      <c r="KXL22" s="204"/>
      <c r="KXM22" s="204"/>
      <c r="KXN22" s="204"/>
      <c r="KXO22" s="204"/>
      <c r="KXP22" s="204"/>
      <c r="KXQ22" s="204"/>
      <c r="KXR22" s="204"/>
      <c r="KXS22" s="204"/>
      <c r="KXT22" s="204"/>
      <c r="KXU22" s="204"/>
      <c r="KXV22" s="204"/>
      <c r="KXW22" s="204"/>
      <c r="KXX22" s="204"/>
      <c r="KXY22" s="204"/>
      <c r="KXZ22" s="204"/>
      <c r="KYA22" s="204"/>
      <c r="KYB22" s="204"/>
      <c r="KYC22" s="204"/>
      <c r="KYD22" s="204"/>
      <c r="KYE22" s="204"/>
      <c r="KYF22" s="204"/>
      <c r="KYG22" s="204"/>
      <c r="KYH22" s="204"/>
      <c r="KYI22" s="204"/>
      <c r="KYJ22" s="204"/>
      <c r="KYK22" s="204"/>
      <c r="KYL22" s="204"/>
      <c r="KYM22" s="204"/>
      <c r="KYN22" s="204"/>
      <c r="KYO22" s="204"/>
      <c r="KYP22" s="204"/>
      <c r="KYQ22" s="204"/>
      <c r="KYR22" s="204"/>
      <c r="KYS22" s="204"/>
      <c r="KYT22" s="204"/>
      <c r="KYU22" s="204"/>
      <c r="KYV22" s="204"/>
      <c r="KYW22" s="204"/>
      <c r="KYX22" s="204"/>
      <c r="KYY22" s="204"/>
      <c r="KYZ22" s="204"/>
      <c r="KZA22" s="204"/>
      <c r="KZB22" s="204"/>
      <c r="KZC22" s="204"/>
      <c r="KZD22" s="204"/>
      <c r="KZE22" s="204"/>
      <c r="KZF22" s="204"/>
      <c r="KZG22" s="204"/>
      <c r="KZH22" s="204"/>
      <c r="KZI22" s="204"/>
      <c r="KZJ22" s="204"/>
      <c r="KZK22" s="204"/>
      <c r="KZL22" s="204"/>
      <c r="KZM22" s="204"/>
      <c r="KZN22" s="204"/>
      <c r="KZO22" s="204"/>
      <c r="KZP22" s="204"/>
      <c r="KZQ22" s="204"/>
      <c r="KZR22" s="204"/>
      <c r="KZS22" s="204"/>
      <c r="KZT22" s="204"/>
      <c r="KZU22" s="204"/>
      <c r="KZV22" s="204"/>
      <c r="KZW22" s="204"/>
      <c r="KZX22" s="204"/>
      <c r="KZY22" s="204"/>
      <c r="KZZ22" s="204"/>
      <c r="LAA22" s="204"/>
      <c r="LAB22" s="204"/>
      <c r="LAC22" s="204"/>
      <c r="LAD22" s="204"/>
      <c r="LAE22" s="204"/>
      <c r="LAF22" s="204"/>
      <c r="LAG22" s="204"/>
      <c r="LAH22" s="204"/>
      <c r="LAI22" s="204"/>
      <c r="LAJ22" s="204"/>
      <c r="LAK22" s="204"/>
      <c r="LAL22" s="204"/>
      <c r="LAM22" s="204"/>
      <c r="LAN22" s="204"/>
      <c r="LAO22" s="204"/>
      <c r="LAP22" s="204"/>
      <c r="LAQ22" s="204"/>
      <c r="LAR22" s="204"/>
      <c r="LAS22" s="204"/>
      <c r="LAT22" s="204"/>
      <c r="LAU22" s="204"/>
      <c r="LAV22" s="204"/>
      <c r="LAW22" s="204"/>
      <c r="LAX22" s="204"/>
      <c r="LAY22" s="204"/>
      <c r="LAZ22" s="204"/>
      <c r="LBA22" s="204"/>
      <c r="LBB22" s="204"/>
      <c r="LBC22" s="204"/>
      <c r="LBD22" s="204"/>
      <c r="LBE22" s="204"/>
      <c r="LBF22" s="204"/>
      <c r="LBG22" s="204"/>
      <c r="LBH22" s="204"/>
      <c r="LBI22" s="204"/>
      <c r="LBJ22" s="204"/>
      <c r="LBK22" s="204"/>
      <c r="LBL22" s="204"/>
      <c r="LBM22" s="204"/>
      <c r="LBN22" s="204"/>
      <c r="LBO22" s="204"/>
      <c r="LBP22" s="204"/>
      <c r="LBQ22" s="204"/>
      <c r="LBR22" s="204"/>
      <c r="LBS22" s="204"/>
      <c r="LBT22" s="204"/>
      <c r="LBU22" s="204"/>
      <c r="LBV22" s="204"/>
      <c r="LBW22" s="204"/>
      <c r="LBX22" s="204"/>
      <c r="LBY22" s="204"/>
      <c r="LBZ22" s="204"/>
      <c r="LCA22" s="204"/>
      <c r="LCB22" s="204"/>
      <c r="LCC22" s="204"/>
      <c r="LCD22" s="204"/>
      <c r="LCE22" s="204"/>
      <c r="LCF22" s="204"/>
      <c r="LCG22" s="204"/>
      <c r="LCH22" s="204"/>
      <c r="LCI22" s="204"/>
      <c r="LCJ22" s="204"/>
      <c r="LCK22" s="204"/>
      <c r="LCL22" s="204"/>
      <c r="LCM22" s="204"/>
      <c r="LCN22" s="204"/>
      <c r="LCO22" s="204"/>
      <c r="LCP22" s="204"/>
      <c r="LCQ22" s="204"/>
      <c r="LCR22" s="204"/>
      <c r="LCS22" s="204"/>
      <c r="LCT22" s="204"/>
      <c r="LCU22" s="204"/>
      <c r="LCV22" s="204"/>
      <c r="LCW22" s="204"/>
      <c r="LCX22" s="204"/>
      <c r="LCY22" s="204"/>
      <c r="LCZ22" s="204"/>
      <c r="LDA22" s="204"/>
      <c r="LDB22" s="204"/>
      <c r="LDC22" s="204"/>
      <c r="LDD22" s="204"/>
      <c r="LDE22" s="204"/>
      <c r="LDF22" s="204"/>
      <c r="LDG22" s="204"/>
      <c r="LDH22" s="204"/>
      <c r="LDI22" s="204"/>
      <c r="LDJ22" s="204"/>
      <c r="LDK22" s="204"/>
      <c r="LDL22" s="204"/>
      <c r="LDM22" s="204"/>
      <c r="LDN22" s="204"/>
      <c r="LDO22" s="204"/>
      <c r="LDP22" s="204"/>
      <c r="LDQ22" s="204"/>
      <c r="LDR22" s="204"/>
      <c r="LDS22" s="204"/>
      <c r="LDT22" s="204"/>
      <c r="LDU22" s="204"/>
      <c r="LDV22" s="204"/>
      <c r="LDW22" s="204"/>
      <c r="LDX22" s="204"/>
      <c r="LDY22" s="204"/>
      <c r="LDZ22" s="204"/>
      <c r="LEA22" s="204"/>
      <c r="LEB22" s="204"/>
      <c r="LEC22" s="204"/>
      <c r="LED22" s="204"/>
      <c r="LEE22" s="204"/>
      <c r="LEF22" s="204"/>
      <c r="LEG22" s="204"/>
      <c r="LEH22" s="204"/>
      <c r="LEI22" s="204"/>
      <c r="LEJ22" s="204"/>
      <c r="LEK22" s="204"/>
      <c r="LEL22" s="204"/>
      <c r="LEM22" s="204"/>
      <c r="LEN22" s="204"/>
      <c r="LEO22" s="204"/>
      <c r="LEP22" s="204"/>
      <c r="LEQ22" s="204"/>
      <c r="LER22" s="204"/>
      <c r="LES22" s="204"/>
      <c r="LET22" s="204"/>
      <c r="LEU22" s="204"/>
      <c r="LEV22" s="204"/>
      <c r="LEW22" s="204"/>
      <c r="LEX22" s="204"/>
      <c r="LEY22" s="204"/>
      <c r="LEZ22" s="204"/>
      <c r="LFA22" s="204"/>
      <c r="LFB22" s="204"/>
      <c r="LFC22" s="204"/>
      <c r="LFD22" s="204"/>
      <c r="LFE22" s="204"/>
      <c r="LFF22" s="204"/>
      <c r="LFG22" s="204"/>
      <c r="LFH22" s="204"/>
      <c r="LFI22" s="204"/>
      <c r="LFJ22" s="204"/>
      <c r="LFK22" s="204"/>
      <c r="LFL22" s="204"/>
      <c r="LFM22" s="204"/>
      <c r="LFN22" s="204"/>
      <c r="LFO22" s="204"/>
      <c r="LFP22" s="204"/>
      <c r="LFQ22" s="204"/>
      <c r="LFR22" s="204"/>
      <c r="LFS22" s="204"/>
      <c r="LFT22" s="204"/>
      <c r="LFU22" s="204"/>
      <c r="LFV22" s="204"/>
      <c r="LFW22" s="204"/>
      <c r="LFX22" s="204"/>
      <c r="LFY22" s="204"/>
      <c r="LFZ22" s="204"/>
      <c r="LGA22" s="204"/>
      <c r="LGB22" s="204"/>
      <c r="LGC22" s="204"/>
      <c r="LGD22" s="204"/>
      <c r="LGE22" s="204"/>
      <c r="LGF22" s="204"/>
      <c r="LGG22" s="204"/>
      <c r="LGH22" s="204"/>
      <c r="LGI22" s="204"/>
      <c r="LGJ22" s="204"/>
      <c r="LGK22" s="204"/>
      <c r="LGL22" s="204"/>
      <c r="LGM22" s="204"/>
      <c r="LGN22" s="204"/>
      <c r="LGO22" s="204"/>
      <c r="LGP22" s="204"/>
      <c r="LGQ22" s="204"/>
      <c r="LGR22" s="204"/>
      <c r="LGS22" s="204"/>
      <c r="LGT22" s="204"/>
      <c r="LGU22" s="204"/>
      <c r="LGV22" s="204"/>
      <c r="LGW22" s="204"/>
      <c r="LGX22" s="204"/>
      <c r="LGY22" s="204"/>
      <c r="LGZ22" s="204"/>
      <c r="LHA22" s="204"/>
      <c r="LHB22" s="204"/>
      <c r="LHC22" s="204"/>
      <c r="LHD22" s="204"/>
      <c r="LHE22" s="204"/>
      <c r="LHF22" s="204"/>
      <c r="LHG22" s="204"/>
      <c r="LHH22" s="204"/>
      <c r="LHI22" s="204"/>
      <c r="LHJ22" s="204"/>
      <c r="LHK22" s="204"/>
      <c r="LHL22" s="204"/>
      <c r="LHM22" s="204"/>
      <c r="LHN22" s="204"/>
      <c r="LHO22" s="204"/>
      <c r="LHP22" s="204"/>
      <c r="LHQ22" s="204"/>
      <c r="LHR22" s="204"/>
      <c r="LHS22" s="204"/>
      <c r="LHT22" s="204"/>
      <c r="LHU22" s="204"/>
      <c r="LHV22" s="204"/>
      <c r="LHW22" s="204"/>
      <c r="LHX22" s="204"/>
      <c r="LHY22" s="204"/>
      <c r="LHZ22" s="204"/>
      <c r="LIA22" s="204"/>
      <c r="LIB22" s="204"/>
      <c r="LIC22" s="204"/>
      <c r="LID22" s="204"/>
      <c r="LIE22" s="204"/>
      <c r="LIF22" s="204"/>
      <c r="LIG22" s="204"/>
      <c r="LIH22" s="204"/>
      <c r="LII22" s="204"/>
      <c r="LIJ22" s="204"/>
      <c r="LIK22" s="204"/>
      <c r="LIL22" s="204"/>
      <c r="LIM22" s="204"/>
      <c r="LIN22" s="204"/>
      <c r="LIO22" s="204"/>
      <c r="LIP22" s="204"/>
      <c r="LIQ22" s="204"/>
      <c r="LIR22" s="204"/>
      <c r="LIS22" s="204"/>
      <c r="LIT22" s="204"/>
      <c r="LIU22" s="204"/>
      <c r="LIV22" s="204"/>
      <c r="LIW22" s="204"/>
      <c r="LIX22" s="204"/>
      <c r="LIY22" s="204"/>
      <c r="LIZ22" s="204"/>
      <c r="LJA22" s="204"/>
      <c r="LJB22" s="204"/>
      <c r="LJC22" s="204"/>
      <c r="LJD22" s="204"/>
      <c r="LJE22" s="204"/>
      <c r="LJF22" s="204"/>
      <c r="LJG22" s="204"/>
      <c r="LJH22" s="204"/>
      <c r="LJI22" s="204"/>
      <c r="LJJ22" s="204"/>
      <c r="LJK22" s="204"/>
      <c r="LJL22" s="204"/>
      <c r="LJM22" s="204"/>
      <c r="LJN22" s="204"/>
      <c r="LJO22" s="204"/>
      <c r="LJP22" s="204"/>
      <c r="LJQ22" s="204"/>
      <c r="LJR22" s="204"/>
      <c r="LJS22" s="204"/>
      <c r="LJT22" s="204"/>
      <c r="LJU22" s="204"/>
      <c r="LJV22" s="204"/>
      <c r="LJW22" s="204"/>
      <c r="LJX22" s="204"/>
      <c r="LJY22" s="204"/>
      <c r="LJZ22" s="204"/>
      <c r="LKA22" s="204"/>
      <c r="LKB22" s="204"/>
      <c r="LKC22" s="204"/>
      <c r="LKD22" s="204"/>
      <c r="LKE22" s="204"/>
      <c r="LKF22" s="204"/>
      <c r="LKG22" s="204"/>
      <c r="LKH22" s="204"/>
      <c r="LKI22" s="204"/>
      <c r="LKJ22" s="204"/>
      <c r="LKK22" s="204"/>
      <c r="LKL22" s="204"/>
      <c r="LKM22" s="204"/>
      <c r="LKN22" s="204"/>
      <c r="LKO22" s="204"/>
      <c r="LKP22" s="204"/>
      <c r="LKQ22" s="204"/>
      <c r="LKR22" s="204"/>
      <c r="LKS22" s="204"/>
      <c r="LKT22" s="204"/>
      <c r="LKU22" s="204"/>
      <c r="LKV22" s="204"/>
      <c r="LKW22" s="204"/>
      <c r="LKX22" s="204"/>
      <c r="LKY22" s="204"/>
      <c r="LKZ22" s="204"/>
      <c r="LLA22" s="204"/>
      <c r="LLB22" s="204"/>
      <c r="LLC22" s="204"/>
      <c r="LLD22" s="204"/>
      <c r="LLE22" s="204"/>
      <c r="LLF22" s="204"/>
      <c r="LLG22" s="204"/>
      <c r="LLH22" s="204"/>
      <c r="LLI22" s="204"/>
      <c r="LLJ22" s="204"/>
      <c r="LLK22" s="204"/>
      <c r="LLL22" s="204"/>
      <c r="LLM22" s="204"/>
      <c r="LLN22" s="204"/>
      <c r="LLO22" s="204"/>
      <c r="LLP22" s="204"/>
      <c r="LLQ22" s="204"/>
      <c r="LLR22" s="204"/>
      <c r="LLS22" s="204"/>
      <c r="LLT22" s="204"/>
      <c r="LLU22" s="204"/>
      <c r="LLV22" s="204"/>
      <c r="LLW22" s="204"/>
      <c r="LLX22" s="204"/>
      <c r="LLY22" s="204"/>
      <c r="LLZ22" s="204"/>
      <c r="LMA22" s="204"/>
      <c r="LMB22" s="204"/>
      <c r="LMC22" s="204"/>
      <c r="LMD22" s="204"/>
      <c r="LME22" s="204"/>
      <c r="LMF22" s="204"/>
      <c r="LMG22" s="204"/>
      <c r="LMH22" s="204"/>
      <c r="LMI22" s="204"/>
      <c r="LMJ22" s="204"/>
      <c r="LMK22" s="204"/>
      <c r="LML22" s="204"/>
      <c r="LMM22" s="204"/>
      <c r="LMN22" s="204"/>
      <c r="LMO22" s="204"/>
      <c r="LMP22" s="204"/>
      <c r="LMQ22" s="204"/>
      <c r="LMR22" s="204"/>
      <c r="LMS22" s="204"/>
      <c r="LMT22" s="204"/>
      <c r="LMU22" s="204"/>
      <c r="LMV22" s="204"/>
      <c r="LMW22" s="204"/>
      <c r="LMX22" s="204"/>
      <c r="LMY22" s="204"/>
      <c r="LMZ22" s="204"/>
      <c r="LNA22" s="204"/>
      <c r="LNB22" s="204"/>
      <c r="LNC22" s="204"/>
      <c r="LND22" s="204"/>
      <c r="LNE22" s="204"/>
      <c r="LNF22" s="204"/>
      <c r="LNG22" s="204"/>
      <c r="LNH22" s="204"/>
      <c r="LNI22" s="204"/>
      <c r="LNJ22" s="204"/>
      <c r="LNK22" s="204"/>
      <c r="LNL22" s="204"/>
      <c r="LNM22" s="204"/>
      <c r="LNN22" s="204"/>
      <c r="LNO22" s="204"/>
      <c r="LNP22" s="204"/>
      <c r="LNQ22" s="204"/>
      <c r="LNR22" s="204"/>
      <c r="LNS22" s="204"/>
      <c r="LNT22" s="204"/>
      <c r="LNU22" s="204"/>
      <c r="LNV22" s="204"/>
      <c r="LNW22" s="204"/>
      <c r="LNX22" s="204"/>
      <c r="LNY22" s="204"/>
      <c r="LNZ22" s="204"/>
      <c r="LOA22" s="204"/>
      <c r="LOB22" s="204"/>
      <c r="LOC22" s="204"/>
      <c r="LOD22" s="204"/>
      <c r="LOE22" s="204"/>
      <c r="LOF22" s="204"/>
      <c r="LOG22" s="204"/>
      <c r="LOH22" s="204"/>
      <c r="LOI22" s="204"/>
      <c r="LOJ22" s="204"/>
      <c r="LOK22" s="204"/>
      <c r="LOL22" s="204"/>
      <c r="LOM22" s="204"/>
      <c r="LON22" s="204"/>
      <c r="LOO22" s="204"/>
      <c r="LOP22" s="204"/>
      <c r="LOQ22" s="204"/>
      <c r="LOR22" s="204"/>
      <c r="LOS22" s="204"/>
      <c r="LOT22" s="204"/>
      <c r="LOU22" s="204"/>
      <c r="LOV22" s="204"/>
      <c r="LOW22" s="204"/>
      <c r="LOX22" s="204"/>
      <c r="LOY22" s="204"/>
      <c r="LOZ22" s="204"/>
      <c r="LPA22" s="204"/>
      <c r="LPB22" s="204"/>
      <c r="LPC22" s="204"/>
      <c r="LPD22" s="204"/>
      <c r="LPE22" s="204"/>
      <c r="LPF22" s="204"/>
      <c r="LPG22" s="204"/>
      <c r="LPH22" s="204"/>
      <c r="LPI22" s="204"/>
      <c r="LPJ22" s="204"/>
      <c r="LPK22" s="204"/>
      <c r="LPL22" s="204"/>
      <c r="LPM22" s="204"/>
      <c r="LPN22" s="204"/>
      <c r="LPO22" s="204"/>
      <c r="LPP22" s="204"/>
      <c r="LPQ22" s="204"/>
      <c r="LPR22" s="204"/>
      <c r="LPS22" s="204"/>
      <c r="LPT22" s="204"/>
      <c r="LPU22" s="204"/>
      <c r="LPV22" s="204"/>
      <c r="LPW22" s="204"/>
      <c r="LPX22" s="204"/>
      <c r="LPY22" s="204"/>
      <c r="LPZ22" s="204"/>
      <c r="LQA22" s="204"/>
      <c r="LQB22" s="204"/>
      <c r="LQC22" s="204"/>
      <c r="LQD22" s="204"/>
      <c r="LQE22" s="204"/>
      <c r="LQF22" s="204"/>
      <c r="LQG22" s="204"/>
      <c r="LQH22" s="204"/>
      <c r="LQI22" s="204"/>
      <c r="LQJ22" s="204"/>
      <c r="LQK22" s="204"/>
      <c r="LQL22" s="204"/>
      <c r="LQM22" s="204"/>
      <c r="LQN22" s="204"/>
      <c r="LQO22" s="204"/>
      <c r="LQP22" s="204"/>
      <c r="LQQ22" s="204"/>
      <c r="LQR22" s="204"/>
      <c r="LQS22" s="204"/>
      <c r="LQT22" s="204"/>
      <c r="LQU22" s="204"/>
      <c r="LQV22" s="204"/>
      <c r="LQW22" s="204"/>
      <c r="LQX22" s="204"/>
      <c r="LQY22" s="204"/>
      <c r="LQZ22" s="204"/>
      <c r="LRA22" s="204"/>
      <c r="LRB22" s="204"/>
      <c r="LRC22" s="204"/>
      <c r="LRD22" s="204"/>
      <c r="LRE22" s="204"/>
      <c r="LRF22" s="204"/>
      <c r="LRG22" s="204"/>
      <c r="LRH22" s="204"/>
      <c r="LRI22" s="204"/>
      <c r="LRJ22" s="204"/>
      <c r="LRK22" s="204"/>
      <c r="LRL22" s="204"/>
      <c r="LRM22" s="204"/>
      <c r="LRN22" s="204"/>
      <c r="LRO22" s="204"/>
      <c r="LRP22" s="204"/>
      <c r="LRQ22" s="204"/>
      <c r="LRR22" s="204"/>
      <c r="LRS22" s="204"/>
      <c r="LRT22" s="204"/>
      <c r="LRU22" s="204"/>
      <c r="LRV22" s="204"/>
      <c r="LRW22" s="204"/>
      <c r="LRX22" s="204"/>
      <c r="LRY22" s="204"/>
      <c r="LRZ22" s="204"/>
      <c r="LSA22" s="204"/>
      <c r="LSB22" s="204"/>
      <c r="LSC22" s="204"/>
      <c r="LSD22" s="204"/>
      <c r="LSE22" s="204"/>
      <c r="LSF22" s="204"/>
      <c r="LSG22" s="204"/>
      <c r="LSH22" s="204"/>
      <c r="LSI22" s="204"/>
      <c r="LSJ22" s="204"/>
      <c r="LSK22" s="204"/>
      <c r="LSL22" s="204"/>
      <c r="LSM22" s="204"/>
      <c r="LSN22" s="204"/>
      <c r="LSO22" s="204"/>
      <c r="LSP22" s="204"/>
      <c r="LSQ22" s="204"/>
      <c r="LSR22" s="204"/>
      <c r="LSS22" s="204"/>
      <c r="LST22" s="204"/>
      <c r="LSU22" s="204"/>
      <c r="LSV22" s="204"/>
      <c r="LSW22" s="204"/>
      <c r="LSX22" s="204"/>
      <c r="LSY22" s="204"/>
      <c r="LSZ22" s="204"/>
      <c r="LTA22" s="204"/>
      <c r="LTB22" s="204"/>
      <c r="LTC22" s="204"/>
      <c r="LTD22" s="204"/>
      <c r="LTE22" s="204"/>
      <c r="LTF22" s="204"/>
      <c r="LTG22" s="204"/>
      <c r="LTH22" s="204"/>
      <c r="LTI22" s="204"/>
      <c r="LTJ22" s="204"/>
      <c r="LTK22" s="204"/>
      <c r="LTL22" s="204"/>
      <c r="LTM22" s="204"/>
      <c r="LTN22" s="204"/>
      <c r="LTO22" s="204"/>
      <c r="LTP22" s="204"/>
      <c r="LTQ22" s="204"/>
      <c r="LTR22" s="204"/>
      <c r="LTS22" s="204"/>
      <c r="LTT22" s="204"/>
      <c r="LTU22" s="204"/>
      <c r="LTV22" s="204"/>
      <c r="LTW22" s="204"/>
      <c r="LTX22" s="204"/>
      <c r="LTY22" s="204"/>
      <c r="LTZ22" s="204"/>
      <c r="LUA22" s="204"/>
      <c r="LUB22" s="204"/>
      <c r="LUC22" s="204"/>
      <c r="LUD22" s="204"/>
      <c r="LUE22" s="204"/>
      <c r="LUF22" s="204"/>
      <c r="LUG22" s="204"/>
      <c r="LUH22" s="204"/>
      <c r="LUI22" s="204"/>
      <c r="LUJ22" s="204"/>
      <c r="LUK22" s="204"/>
      <c r="LUL22" s="204"/>
      <c r="LUM22" s="204"/>
      <c r="LUN22" s="204"/>
      <c r="LUO22" s="204"/>
      <c r="LUP22" s="204"/>
      <c r="LUQ22" s="204"/>
      <c r="LUR22" s="204"/>
      <c r="LUS22" s="204"/>
      <c r="LUT22" s="204"/>
      <c r="LUU22" s="204"/>
      <c r="LUV22" s="204"/>
      <c r="LUW22" s="204"/>
      <c r="LUX22" s="204"/>
      <c r="LUY22" s="204"/>
      <c r="LUZ22" s="204"/>
      <c r="LVA22" s="204"/>
      <c r="LVB22" s="204"/>
      <c r="LVC22" s="204"/>
      <c r="LVD22" s="204"/>
      <c r="LVE22" s="204"/>
      <c r="LVF22" s="204"/>
      <c r="LVG22" s="204"/>
      <c r="LVH22" s="204"/>
      <c r="LVI22" s="204"/>
      <c r="LVJ22" s="204"/>
      <c r="LVK22" s="204"/>
      <c r="LVL22" s="204"/>
      <c r="LVM22" s="204"/>
      <c r="LVN22" s="204"/>
      <c r="LVO22" s="204"/>
      <c r="LVP22" s="204"/>
      <c r="LVQ22" s="204"/>
      <c r="LVR22" s="204"/>
      <c r="LVS22" s="204"/>
      <c r="LVT22" s="204"/>
      <c r="LVU22" s="204"/>
      <c r="LVV22" s="204"/>
      <c r="LVW22" s="204"/>
      <c r="LVX22" s="204"/>
      <c r="LVY22" s="204"/>
      <c r="LVZ22" s="204"/>
      <c r="LWA22" s="204"/>
      <c r="LWB22" s="204"/>
      <c r="LWC22" s="204"/>
      <c r="LWD22" s="204"/>
      <c r="LWE22" s="204"/>
      <c r="LWF22" s="204"/>
      <c r="LWG22" s="204"/>
      <c r="LWH22" s="204"/>
      <c r="LWI22" s="204"/>
      <c r="LWJ22" s="204"/>
      <c r="LWK22" s="204"/>
      <c r="LWL22" s="204"/>
      <c r="LWM22" s="204"/>
      <c r="LWN22" s="204"/>
      <c r="LWO22" s="204"/>
      <c r="LWP22" s="204"/>
      <c r="LWQ22" s="204"/>
      <c r="LWR22" s="204"/>
      <c r="LWS22" s="204"/>
      <c r="LWT22" s="204"/>
      <c r="LWU22" s="204"/>
      <c r="LWV22" s="204"/>
      <c r="LWW22" s="204"/>
      <c r="LWX22" s="204"/>
      <c r="LWY22" s="204"/>
      <c r="LWZ22" s="204"/>
      <c r="LXA22" s="204"/>
      <c r="LXB22" s="204"/>
      <c r="LXC22" s="204"/>
      <c r="LXD22" s="204"/>
      <c r="LXE22" s="204"/>
      <c r="LXF22" s="204"/>
      <c r="LXG22" s="204"/>
      <c r="LXH22" s="204"/>
      <c r="LXI22" s="204"/>
      <c r="LXJ22" s="204"/>
      <c r="LXK22" s="204"/>
      <c r="LXL22" s="204"/>
      <c r="LXM22" s="204"/>
      <c r="LXN22" s="204"/>
      <c r="LXO22" s="204"/>
      <c r="LXP22" s="204"/>
      <c r="LXQ22" s="204"/>
      <c r="LXR22" s="204"/>
      <c r="LXS22" s="204"/>
      <c r="LXT22" s="204"/>
      <c r="LXU22" s="204"/>
      <c r="LXV22" s="204"/>
      <c r="LXW22" s="204"/>
      <c r="LXX22" s="204"/>
      <c r="LXY22" s="204"/>
      <c r="LXZ22" s="204"/>
      <c r="LYA22" s="204"/>
      <c r="LYB22" s="204"/>
      <c r="LYC22" s="204"/>
      <c r="LYD22" s="204"/>
      <c r="LYE22" s="204"/>
      <c r="LYF22" s="204"/>
      <c r="LYG22" s="204"/>
      <c r="LYH22" s="204"/>
      <c r="LYI22" s="204"/>
      <c r="LYJ22" s="204"/>
      <c r="LYK22" s="204"/>
      <c r="LYL22" s="204"/>
      <c r="LYM22" s="204"/>
      <c r="LYN22" s="204"/>
      <c r="LYO22" s="204"/>
      <c r="LYP22" s="204"/>
      <c r="LYQ22" s="204"/>
      <c r="LYR22" s="204"/>
      <c r="LYS22" s="204"/>
      <c r="LYT22" s="204"/>
      <c r="LYU22" s="204"/>
      <c r="LYV22" s="204"/>
      <c r="LYW22" s="204"/>
      <c r="LYX22" s="204"/>
      <c r="LYY22" s="204"/>
      <c r="LYZ22" s="204"/>
      <c r="LZA22" s="204"/>
      <c r="LZB22" s="204"/>
      <c r="LZC22" s="204"/>
      <c r="LZD22" s="204"/>
      <c r="LZE22" s="204"/>
      <c r="LZF22" s="204"/>
      <c r="LZG22" s="204"/>
      <c r="LZH22" s="204"/>
      <c r="LZI22" s="204"/>
      <c r="LZJ22" s="204"/>
      <c r="LZK22" s="204"/>
      <c r="LZL22" s="204"/>
      <c r="LZM22" s="204"/>
      <c r="LZN22" s="204"/>
      <c r="LZO22" s="204"/>
      <c r="LZP22" s="204"/>
      <c r="LZQ22" s="204"/>
      <c r="LZR22" s="204"/>
      <c r="LZS22" s="204"/>
      <c r="LZT22" s="204"/>
      <c r="LZU22" s="204"/>
      <c r="LZV22" s="204"/>
      <c r="LZW22" s="204"/>
      <c r="LZX22" s="204"/>
      <c r="LZY22" s="204"/>
      <c r="LZZ22" s="204"/>
      <c r="MAA22" s="204"/>
      <c r="MAB22" s="204"/>
      <c r="MAC22" s="204"/>
      <c r="MAD22" s="204"/>
      <c r="MAE22" s="204"/>
      <c r="MAF22" s="204"/>
      <c r="MAG22" s="204"/>
      <c r="MAH22" s="204"/>
      <c r="MAI22" s="204"/>
      <c r="MAJ22" s="204"/>
      <c r="MAK22" s="204"/>
      <c r="MAL22" s="204"/>
      <c r="MAM22" s="204"/>
      <c r="MAN22" s="204"/>
      <c r="MAO22" s="204"/>
      <c r="MAP22" s="204"/>
      <c r="MAQ22" s="204"/>
      <c r="MAR22" s="204"/>
      <c r="MAS22" s="204"/>
      <c r="MAT22" s="204"/>
      <c r="MAU22" s="204"/>
      <c r="MAV22" s="204"/>
      <c r="MAW22" s="204"/>
      <c r="MAX22" s="204"/>
      <c r="MAY22" s="204"/>
      <c r="MAZ22" s="204"/>
      <c r="MBA22" s="204"/>
      <c r="MBB22" s="204"/>
      <c r="MBC22" s="204"/>
      <c r="MBD22" s="204"/>
      <c r="MBE22" s="204"/>
      <c r="MBF22" s="204"/>
      <c r="MBG22" s="204"/>
      <c r="MBH22" s="204"/>
      <c r="MBI22" s="204"/>
      <c r="MBJ22" s="204"/>
      <c r="MBK22" s="204"/>
      <c r="MBL22" s="204"/>
      <c r="MBM22" s="204"/>
      <c r="MBN22" s="204"/>
      <c r="MBO22" s="204"/>
      <c r="MBP22" s="204"/>
      <c r="MBQ22" s="204"/>
      <c r="MBR22" s="204"/>
      <c r="MBS22" s="204"/>
      <c r="MBT22" s="204"/>
      <c r="MBU22" s="204"/>
      <c r="MBV22" s="204"/>
      <c r="MBW22" s="204"/>
      <c r="MBX22" s="204"/>
      <c r="MBY22" s="204"/>
      <c r="MBZ22" s="204"/>
      <c r="MCA22" s="204"/>
      <c r="MCB22" s="204"/>
      <c r="MCC22" s="204"/>
      <c r="MCD22" s="204"/>
      <c r="MCE22" s="204"/>
      <c r="MCF22" s="204"/>
      <c r="MCG22" s="204"/>
      <c r="MCH22" s="204"/>
      <c r="MCI22" s="204"/>
      <c r="MCJ22" s="204"/>
      <c r="MCK22" s="204"/>
      <c r="MCL22" s="204"/>
      <c r="MCM22" s="204"/>
      <c r="MCN22" s="204"/>
      <c r="MCO22" s="204"/>
      <c r="MCP22" s="204"/>
      <c r="MCQ22" s="204"/>
      <c r="MCR22" s="204"/>
      <c r="MCS22" s="204"/>
      <c r="MCT22" s="204"/>
      <c r="MCU22" s="204"/>
      <c r="MCV22" s="204"/>
      <c r="MCW22" s="204"/>
      <c r="MCX22" s="204"/>
      <c r="MCY22" s="204"/>
      <c r="MCZ22" s="204"/>
      <c r="MDA22" s="204"/>
      <c r="MDB22" s="204"/>
      <c r="MDC22" s="204"/>
      <c r="MDD22" s="204"/>
      <c r="MDE22" s="204"/>
      <c r="MDF22" s="204"/>
      <c r="MDG22" s="204"/>
      <c r="MDH22" s="204"/>
      <c r="MDI22" s="204"/>
      <c r="MDJ22" s="204"/>
      <c r="MDK22" s="204"/>
      <c r="MDL22" s="204"/>
      <c r="MDM22" s="204"/>
      <c r="MDN22" s="204"/>
      <c r="MDO22" s="204"/>
      <c r="MDP22" s="204"/>
      <c r="MDQ22" s="204"/>
      <c r="MDR22" s="204"/>
      <c r="MDS22" s="204"/>
      <c r="MDT22" s="204"/>
      <c r="MDU22" s="204"/>
      <c r="MDV22" s="204"/>
      <c r="MDW22" s="204"/>
      <c r="MDX22" s="204"/>
      <c r="MDY22" s="204"/>
      <c r="MDZ22" s="204"/>
      <c r="MEA22" s="204"/>
      <c r="MEB22" s="204"/>
      <c r="MEC22" s="204"/>
      <c r="MED22" s="204"/>
      <c r="MEE22" s="204"/>
      <c r="MEF22" s="204"/>
      <c r="MEG22" s="204"/>
      <c r="MEH22" s="204"/>
      <c r="MEI22" s="204"/>
      <c r="MEJ22" s="204"/>
      <c r="MEK22" s="204"/>
      <c r="MEL22" s="204"/>
      <c r="MEM22" s="204"/>
      <c r="MEN22" s="204"/>
      <c r="MEO22" s="204"/>
      <c r="MEP22" s="204"/>
      <c r="MEQ22" s="204"/>
      <c r="MER22" s="204"/>
      <c r="MES22" s="204"/>
      <c r="MET22" s="204"/>
      <c r="MEU22" s="204"/>
      <c r="MEV22" s="204"/>
      <c r="MEW22" s="204"/>
      <c r="MEX22" s="204"/>
      <c r="MEY22" s="204"/>
      <c r="MEZ22" s="204"/>
      <c r="MFA22" s="204"/>
      <c r="MFB22" s="204"/>
      <c r="MFC22" s="204"/>
      <c r="MFD22" s="204"/>
      <c r="MFE22" s="204"/>
      <c r="MFF22" s="204"/>
      <c r="MFG22" s="204"/>
      <c r="MFH22" s="204"/>
      <c r="MFI22" s="204"/>
      <c r="MFJ22" s="204"/>
      <c r="MFK22" s="204"/>
      <c r="MFL22" s="204"/>
      <c r="MFM22" s="204"/>
      <c r="MFN22" s="204"/>
      <c r="MFO22" s="204"/>
      <c r="MFP22" s="204"/>
      <c r="MFQ22" s="204"/>
      <c r="MFR22" s="204"/>
      <c r="MFS22" s="204"/>
      <c r="MFT22" s="204"/>
      <c r="MFU22" s="204"/>
      <c r="MFV22" s="204"/>
      <c r="MFW22" s="204"/>
      <c r="MFX22" s="204"/>
      <c r="MFY22" s="204"/>
      <c r="MFZ22" s="204"/>
      <c r="MGA22" s="204"/>
      <c r="MGB22" s="204"/>
      <c r="MGC22" s="204"/>
      <c r="MGD22" s="204"/>
      <c r="MGE22" s="204"/>
      <c r="MGF22" s="204"/>
      <c r="MGG22" s="204"/>
      <c r="MGH22" s="204"/>
      <c r="MGI22" s="204"/>
      <c r="MGJ22" s="204"/>
      <c r="MGK22" s="204"/>
      <c r="MGL22" s="204"/>
      <c r="MGM22" s="204"/>
      <c r="MGN22" s="204"/>
      <c r="MGO22" s="204"/>
      <c r="MGP22" s="204"/>
      <c r="MGQ22" s="204"/>
      <c r="MGR22" s="204"/>
      <c r="MGS22" s="204"/>
      <c r="MGT22" s="204"/>
      <c r="MGU22" s="204"/>
      <c r="MGV22" s="204"/>
      <c r="MGW22" s="204"/>
      <c r="MGX22" s="204"/>
      <c r="MGY22" s="204"/>
      <c r="MGZ22" s="204"/>
      <c r="MHA22" s="204"/>
      <c r="MHB22" s="204"/>
      <c r="MHC22" s="204"/>
      <c r="MHD22" s="204"/>
      <c r="MHE22" s="204"/>
      <c r="MHF22" s="204"/>
      <c r="MHG22" s="204"/>
      <c r="MHH22" s="204"/>
      <c r="MHI22" s="204"/>
      <c r="MHJ22" s="204"/>
      <c r="MHK22" s="204"/>
      <c r="MHL22" s="204"/>
      <c r="MHM22" s="204"/>
      <c r="MHN22" s="204"/>
      <c r="MHO22" s="204"/>
      <c r="MHP22" s="204"/>
      <c r="MHQ22" s="204"/>
      <c r="MHR22" s="204"/>
      <c r="MHS22" s="204"/>
      <c r="MHT22" s="204"/>
      <c r="MHU22" s="204"/>
      <c r="MHV22" s="204"/>
      <c r="MHW22" s="204"/>
      <c r="MHX22" s="204"/>
      <c r="MHY22" s="204"/>
      <c r="MHZ22" s="204"/>
      <c r="MIA22" s="204"/>
      <c r="MIB22" s="204"/>
      <c r="MIC22" s="204"/>
      <c r="MID22" s="204"/>
      <c r="MIE22" s="204"/>
      <c r="MIF22" s="204"/>
      <c r="MIG22" s="204"/>
      <c r="MIH22" s="204"/>
      <c r="MII22" s="204"/>
      <c r="MIJ22" s="204"/>
      <c r="MIK22" s="204"/>
      <c r="MIL22" s="204"/>
      <c r="MIM22" s="204"/>
      <c r="MIN22" s="204"/>
      <c r="MIO22" s="204"/>
      <c r="MIP22" s="204"/>
      <c r="MIQ22" s="204"/>
      <c r="MIR22" s="204"/>
      <c r="MIS22" s="204"/>
      <c r="MIT22" s="204"/>
      <c r="MIU22" s="204"/>
      <c r="MIV22" s="204"/>
      <c r="MIW22" s="204"/>
      <c r="MIX22" s="204"/>
      <c r="MIY22" s="204"/>
      <c r="MIZ22" s="204"/>
      <c r="MJA22" s="204"/>
      <c r="MJB22" s="204"/>
      <c r="MJC22" s="204"/>
      <c r="MJD22" s="204"/>
      <c r="MJE22" s="204"/>
      <c r="MJF22" s="204"/>
      <c r="MJG22" s="204"/>
      <c r="MJH22" s="204"/>
      <c r="MJI22" s="204"/>
      <c r="MJJ22" s="204"/>
      <c r="MJK22" s="204"/>
      <c r="MJL22" s="204"/>
      <c r="MJM22" s="204"/>
      <c r="MJN22" s="204"/>
      <c r="MJO22" s="204"/>
      <c r="MJP22" s="204"/>
      <c r="MJQ22" s="204"/>
      <c r="MJR22" s="204"/>
      <c r="MJS22" s="204"/>
      <c r="MJT22" s="204"/>
      <c r="MJU22" s="204"/>
      <c r="MJV22" s="204"/>
      <c r="MJW22" s="204"/>
      <c r="MJX22" s="204"/>
      <c r="MJY22" s="204"/>
      <c r="MJZ22" s="204"/>
      <c r="MKA22" s="204"/>
      <c r="MKB22" s="204"/>
      <c r="MKC22" s="204"/>
      <c r="MKD22" s="204"/>
      <c r="MKE22" s="204"/>
      <c r="MKF22" s="204"/>
      <c r="MKG22" s="204"/>
      <c r="MKH22" s="204"/>
      <c r="MKI22" s="204"/>
      <c r="MKJ22" s="204"/>
      <c r="MKK22" s="204"/>
      <c r="MKL22" s="204"/>
      <c r="MKM22" s="204"/>
      <c r="MKN22" s="204"/>
      <c r="MKO22" s="204"/>
      <c r="MKP22" s="204"/>
      <c r="MKQ22" s="204"/>
      <c r="MKR22" s="204"/>
      <c r="MKS22" s="204"/>
      <c r="MKT22" s="204"/>
      <c r="MKU22" s="204"/>
      <c r="MKV22" s="204"/>
      <c r="MKW22" s="204"/>
      <c r="MKX22" s="204"/>
      <c r="MKY22" s="204"/>
      <c r="MKZ22" s="204"/>
      <c r="MLA22" s="204"/>
      <c r="MLB22" s="204"/>
      <c r="MLC22" s="204"/>
      <c r="MLD22" s="204"/>
      <c r="MLE22" s="204"/>
      <c r="MLF22" s="204"/>
      <c r="MLG22" s="204"/>
      <c r="MLH22" s="204"/>
      <c r="MLI22" s="204"/>
      <c r="MLJ22" s="204"/>
      <c r="MLK22" s="204"/>
      <c r="MLL22" s="204"/>
      <c r="MLM22" s="204"/>
      <c r="MLN22" s="204"/>
      <c r="MLO22" s="204"/>
      <c r="MLP22" s="204"/>
      <c r="MLQ22" s="204"/>
      <c r="MLR22" s="204"/>
      <c r="MLS22" s="204"/>
      <c r="MLT22" s="204"/>
      <c r="MLU22" s="204"/>
      <c r="MLV22" s="204"/>
      <c r="MLW22" s="204"/>
      <c r="MLX22" s="204"/>
      <c r="MLY22" s="204"/>
      <c r="MLZ22" s="204"/>
      <c r="MMA22" s="204"/>
      <c r="MMB22" s="204"/>
      <c r="MMC22" s="204"/>
      <c r="MMD22" s="204"/>
      <c r="MME22" s="204"/>
      <c r="MMF22" s="204"/>
      <c r="MMG22" s="204"/>
      <c r="MMH22" s="204"/>
      <c r="MMI22" s="204"/>
      <c r="MMJ22" s="204"/>
      <c r="MMK22" s="204"/>
      <c r="MML22" s="204"/>
      <c r="MMM22" s="204"/>
      <c r="MMN22" s="204"/>
      <c r="MMO22" s="204"/>
      <c r="MMP22" s="204"/>
      <c r="MMQ22" s="204"/>
      <c r="MMR22" s="204"/>
      <c r="MMS22" s="204"/>
      <c r="MMT22" s="204"/>
      <c r="MMU22" s="204"/>
      <c r="MMV22" s="204"/>
      <c r="MMW22" s="204"/>
      <c r="MMX22" s="204"/>
      <c r="MMY22" s="204"/>
      <c r="MMZ22" s="204"/>
      <c r="MNA22" s="204"/>
      <c r="MNB22" s="204"/>
      <c r="MNC22" s="204"/>
      <c r="MND22" s="204"/>
      <c r="MNE22" s="204"/>
      <c r="MNF22" s="204"/>
      <c r="MNG22" s="204"/>
      <c r="MNH22" s="204"/>
      <c r="MNI22" s="204"/>
      <c r="MNJ22" s="204"/>
      <c r="MNK22" s="204"/>
      <c r="MNL22" s="204"/>
      <c r="MNM22" s="204"/>
      <c r="MNN22" s="204"/>
      <c r="MNO22" s="204"/>
      <c r="MNP22" s="204"/>
      <c r="MNQ22" s="204"/>
      <c r="MNR22" s="204"/>
      <c r="MNS22" s="204"/>
      <c r="MNT22" s="204"/>
      <c r="MNU22" s="204"/>
      <c r="MNV22" s="204"/>
      <c r="MNW22" s="204"/>
      <c r="MNX22" s="204"/>
      <c r="MNY22" s="204"/>
      <c r="MNZ22" s="204"/>
      <c r="MOA22" s="204"/>
      <c r="MOB22" s="204"/>
      <c r="MOC22" s="204"/>
      <c r="MOD22" s="204"/>
      <c r="MOE22" s="204"/>
      <c r="MOF22" s="204"/>
      <c r="MOG22" s="204"/>
      <c r="MOH22" s="204"/>
      <c r="MOI22" s="204"/>
      <c r="MOJ22" s="204"/>
      <c r="MOK22" s="204"/>
      <c r="MOL22" s="204"/>
      <c r="MOM22" s="204"/>
      <c r="MON22" s="204"/>
      <c r="MOO22" s="204"/>
      <c r="MOP22" s="204"/>
      <c r="MOQ22" s="204"/>
      <c r="MOR22" s="204"/>
      <c r="MOS22" s="204"/>
      <c r="MOT22" s="204"/>
      <c r="MOU22" s="204"/>
      <c r="MOV22" s="204"/>
      <c r="MOW22" s="204"/>
      <c r="MOX22" s="204"/>
      <c r="MOY22" s="204"/>
      <c r="MOZ22" s="204"/>
      <c r="MPA22" s="204"/>
      <c r="MPB22" s="204"/>
      <c r="MPC22" s="204"/>
      <c r="MPD22" s="204"/>
      <c r="MPE22" s="204"/>
      <c r="MPF22" s="204"/>
      <c r="MPG22" s="204"/>
      <c r="MPH22" s="204"/>
      <c r="MPI22" s="204"/>
      <c r="MPJ22" s="204"/>
      <c r="MPK22" s="204"/>
      <c r="MPL22" s="204"/>
      <c r="MPM22" s="204"/>
      <c r="MPN22" s="204"/>
      <c r="MPO22" s="204"/>
      <c r="MPP22" s="204"/>
      <c r="MPQ22" s="204"/>
      <c r="MPR22" s="204"/>
      <c r="MPS22" s="204"/>
      <c r="MPT22" s="204"/>
      <c r="MPU22" s="204"/>
      <c r="MPV22" s="204"/>
      <c r="MPW22" s="204"/>
      <c r="MPX22" s="204"/>
      <c r="MPY22" s="204"/>
      <c r="MPZ22" s="204"/>
      <c r="MQA22" s="204"/>
      <c r="MQB22" s="204"/>
      <c r="MQC22" s="204"/>
      <c r="MQD22" s="204"/>
      <c r="MQE22" s="204"/>
      <c r="MQF22" s="204"/>
      <c r="MQG22" s="204"/>
      <c r="MQH22" s="204"/>
      <c r="MQI22" s="204"/>
      <c r="MQJ22" s="204"/>
      <c r="MQK22" s="204"/>
      <c r="MQL22" s="204"/>
      <c r="MQM22" s="204"/>
      <c r="MQN22" s="204"/>
      <c r="MQO22" s="204"/>
      <c r="MQP22" s="204"/>
      <c r="MQQ22" s="204"/>
      <c r="MQR22" s="204"/>
      <c r="MQS22" s="204"/>
      <c r="MQT22" s="204"/>
      <c r="MQU22" s="204"/>
      <c r="MQV22" s="204"/>
      <c r="MQW22" s="204"/>
      <c r="MQX22" s="204"/>
      <c r="MQY22" s="204"/>
      <c r="MQZ22" s="204"/>
      <c r="MRA22" s="204"/>
      <c r="MRB22" s="204"/>
      <c r="MRC22" s="204"/>
      <c r="MRD22" s="204"/>
      <c r="MRE22" s="204"/>
      <c r="MRF22" s="204"/>
      <c r="MRG22" s="204"/>
      <c r="MRH22" s="204"/>
      <c r="MRI22" s="204"/>
      <c r="MRJ22" s="204"/>
      <c r="MRK22" s="204"/>
      <c r="MRL22" s="204"/>
      <c r="MRM22" s="204"/>
      <c r="MRN22" s="204"/>
      <c r="MRO22" s="204"/>
      <c r="MRP22" s="204"/>
      <c r="MRQ22" s="204"/>
      <c r="MRR22" s="204"/>
      <c r="MRS22" s="204"/>
      <c r="MRT22" s="204"/>
      <c r="MRU22" s="204"/>
      <c r="MRV22" s="204"/>
      <c r="MRW22" s="204"/>
      <c r="MRX22" s="204"/>
      <c r="MRY22" s="204"/>
      <c r="MRZ22" s="204"/>
      <c r="MSA22" s="204"/>
      <c r="MSB22" s="204"/>
      <c r="MSC22" s="204"/>
      <c r="MSD22" s="204"/>
      <c r="MSE22" s="204"/>
      <c r="MSF22" s="204"/>
      <c r="MSG22" s="204"/>
      <c r="MSH22" s="204"/>
      <c r="MSI22" s="204"/>
      <c r="MSJ22" s="204"/>
      <c r="MSK22" s="204"/>
      <c r="MSL22" s="204"/>
      <c r="MSM22" s="204"/>
      <c r="MSN22" s="204"/>
      <c r="MSO22" s="204"/>
      <c r="MSP22" s="204"/>
      <c r="MSQ22" s="204"/>
      <c r="MSR22" s="204"/>
      <c r="MSS22" s="204"/>
      <c r="MST22" s="204"/>
      <c r="MSU22" s="204"/>
      <c r="MSV22" s="204"/>
      <c r="MSW22" s="204"/>
      <c r="MSX22" s="204"/>
      <c r="MSY22" s="204"/>
      <c r="MSZ22" s="204"/>
      <c r="MTA22" s="204"/>
      <c r="MTB22" s="204"/>
      <c r="MTC22" s="204"/>
      <c r="MTD22" s="204"/>
      <c r="MTE22" s="204"/>
      <c r="MTF22" s="204"/>
      <c r="MTG22" s="204"/>
      <c r="MTH22" s="204"/>
      <c r="MTI22" s="204"/>
      <c r="MTJ22" s="204"/>
      <c r="MTK22" s="204"/>
      <c r="MTL22" s="204"/>
      <c r="MTM22" s="204"/>
      <c r="MTN22" s="204"/>
      <c r="MTO22" s="204"/>
      <c r="MTP22" s="204"/>
      <c r="MTQ22" s="204"/>
      <c r="MTR22" s="204"/>
      <c r="MTS22" s="204"/>
      <c r="MTT22" s="204"/>
      <c r="MTU22" s="204"/>
      <c r="MTV22" s="204"/>
      <c r="MTW22" s="204"/>
      <c r="MTX22" s="204"/>
      <c r="MTY22" s="204"/>
      <c r="MTZ22" s="204"/>
      <c r="MUA22" s="204"/>
      <c r="MUB22" s="204"/>
      <c r="MUC22" s="204"/>
      <c r="MUD22" s="204"/>
      <c r="MUE22" s="204"/>
      <c r="MUF22" s="204"/>
      <c r="MUG22" s="204"/>
      <c r="MUH22" s="204"/>
      <c r="MUI22" s="204"/>
      <c r="MUJ22" s="204"/>
      <c r="MUK22" s="204"/>
      <c r="MUL22" s="204"/>
      <c r="MUM22" s="204"/>
      <c r="MUN22" s="204"/>
      <c r="MUO22" s="204"/>
      <c r="MUP22" s="204"/>
      <c r="MUQ22" s="204"/>
      <c r="MUR22" s="204"/>
      <c r="MUS22" s="204"/>
      <c r="MUT22" s="204"/>
      <c r="MUU22" s="204"/>
      <c r="MUV22" s="204"/>
      <c r="MUW22" s="204"/>
      <c r="MUX22" s="204"/>
      <c r="MUY22" s="204"/>
      <c r="MUZ22" s="204"/>
      <c r="MVA22" s="204"/>
      <c r="MVB22" s="204"/>
      <c r="MVC22" s="204"/>
      <c r="MVD22" s="204"/>
      <c r="MVE22" s="204"/>
      <c r="MVF22" s="204"/>
      <c r="MVG22" s="204"/>
      <c r="MVH22" s="204"/>
      <c r="MVI22" s="204"/>
      <c r="MVJ22" s="204"/>
      <c r="MVK22" s="204"/>
      <c r="MVL22" s="204"/>
      <c r="MVM22" s="204"/>
      <c r="MVN22" s="204"/>
      <c r="MVO22" s="204"/>
      <c r="MVP22" s="204"/>
      <c r="MVQ22" s="204"/>
      <c r="MVR22" s="204"/>
      <c r="MVS22" s="204"/>
      <c r="MVT22" s="204"/>
      <c r="MVU22" s="204"/>
      <c r="MVV22" s="204"/>
      <c r="MVW22" s="204"/>
      <c r="MVX22" s="204"/>
      <c r="MVY22" s="204"/>
      <c r="MVZ22" s="204"/>
      <c r="MWA22" s="204"/>
      <c r="MWB22" s="204"/>
      <c r="MWC22" s="204"/>
      <c r="MWD22" s="204"/>
      <c r="MWE22" s="204"/>
      <c r="MWF22" s="204"/>
      <c r="MWG22" s="204"/>
      <c r="MWH22" s="204"/>
      <c r="MWI22" s="204"/>
      <c r="MWJ22" s="204"/>
      <c r="MWK22" s="204"/>
      <c r="MWL22" s="204"/>
      <c r="MWM22" s="204"/>
      <c r="MWN22" s="204"/>
      <c r="MWO22" s="204"/>
      <c r="MWP22" s="204"/>
      <c r="MWQ22" s="204"/>
      <c r="MWR22" s="204"/>
      <c r="MWS22" s="204"/>
      <c r="MWT22" s="204"/>
      <c r="MWU22" s="204"/>
      <c r="MWV22" s="204"/>
      <c r="MWW22" s="204"/>
      <c r="MWX22" s="204"/>
      <c r="MWY22" s="204"/>
      <c r="MWZ22" s="204"/>
      <c r="MXA22" s="204"/>
      <c r="MXB22" s="204"/>
      <c r="MXC22" s="204"/>
      <c r="MXD22" s="204"/>
      <c r="MXE22" s="204"/>
      <c r="MXF22" s="204"/>
      <c r="MXG22" s="204"/>
      <c r="MXH22" s="204"/>
      <c r="MXI22" s="204"/>
      <c r="MXJ22" s="204"/>
      <c r="MXK22" s="204"/>
      <c r="MXL22" s="204"/>
      <c r="MXM22" s="204"/>
      <c r="MXN22" s="204"/>
      <c r="MXO22" s="204"/>
      <c r="MXP22" s="204"/>
      <c r="MXQ22" s="204"/>
      <c r="MXR22" s="204"/>
      <c r="MXS22" s="204"/>
      <c r="MXT22" s="204"/>
      <c r="MXU22" s="204"/>
      <c r="MXV22" s="204"/>
      <c r="MXW22" s="204"/>
      <c r="MXX22" s="204"/>
      <c r="MXY22" s="204"/>
      <c r="MXZ22" s="204"/>
      <c r="MYA22" s="204"/>
      <c r="MYB22" s="204"/>
      <c r="MYC22" s="204"/>
      <c r="MYD22" s="204"/>
      <c r="MYE22" s="204"/>
      <c r="MYF22" s="204"/>
      <c r="MYG22" s="204"/>
      <c r="MYH22" s="204"/>
      <c r="MYI22" s="204"/>
      <c r="MYJ22" s="204"/>
      <c r="MYK22" s="204"/>
      <c r="MYL22" s="204"/>
      <c r="MYM22" s="204"/>
      <c r="MYN22" s="204"/>
      <c r="MYO22" s="204"/>
      <c r="MYP22" s="204"/>
      <c r="MYQ22" s="204"/>
      <c r="MYR22" s="204"/>
      <c r="MYS22" s="204"/>
      <c r="MYT22" s="204"/>
      <c r="MYU22" s="204"/>
      <c r="MYV22" s="204"/>
      <c r="MYW22" s="204"/>
      <c r="MYX22" s="204"/>
      <c r="MYY22" s="204"/>
      <c r="MYZ22" s="204"/>
      <c r="MZA22" s="204"/>
      <c r="MZB22" s="204"/>
      <c r="MZC22" s="204"/>
      <c r="MZD22" s="204"/>
      <c r="MZE22" s="204"/>
      <c r="MZF22" s="204"/>
      <c r="MZG22" s="204"/>
      <c r="MZH22" s="204"/>
      <c r="MZI22" s="204"/>
      <c r="MZJ22" s="204"/>
      <c r="MZK22" s="204"/>
      <c r="MZL22" s="204"/>
      <c r="MZM22" s="204"/>
      <c r="MZN22" s="204"/>
      <c r="MZO22" s="204"/>
      <c r="MZP22" s="204"/>
      <c r="MZQ22" s="204"/>
      <c r="MZR22" s="204"/>
      <c r="MZS22" s="204"/>
      <c r="MZT22" s="204"/>
      <c r="MZU22" s="204"/>
      <c r="MZV22" s="204"/>
      <c r="MZW22" s="204"/>
      <c r="MZX22" s="204"/>
      <c r="MZY22" s="204"/>
      <c r="MZZ22" s="204"/>
      <c r="NAA22" s="204"/>
      <c r="NAB22" s="204"/>
      <c r="NAC22" s="204"/>
      <c r="NAD22" s="204"/>
      <c r="NAE22" s="204"/>
      <c r="NAF22" s="204"/>
      <c r="NAG22" s="204"/>
      <c r="NAH22" s="204"/>
      <c r="NAI22" s="204"/>
      <c r="NAJ22" s="204"/>
      <c r="NAK22" s="204"/>
      <c r="NAL22" s="204"/>
      <c r="NAM22" s="204"/>
      <c r="NAN22" s="204"/>
      <c r="NAO22" s="204"/>
      <c r="NAP22" s="204"/>
      <c r="NAQ22" s="204"/>
      <c r="NAR22" s="204"/>
      <c r="NAS22" s="204"/>
      <c r="NAT22" s="204"/>
      <c r="NAU22" s="204"/>
      <c r="NAV22" s="204"/>
      <c r="NAW22" s="204"/>
      <c r="NAX22" s="204"/>
      <c r="NAY22" s="204"/>
      <c r="NAZ22" s="204"/>
      <c r="NBA22" s="204"/>
      <c r="NBB22" s="204"/>
      <c r="NBC22" s="204"/>
      <c r="NBD22" s="204"/>
      <c r="NBE22" s="204"/>
      <c r="NBF22" s="204"/>
      <c r="NBG22" s="204"/>
      <c r="NBH22" s="204"/>
      <c r="NBI22" s="204"/>
      <c r="NBJ22" s="204"/>
      <c r="NBK22" s="204"/>
      <c r="NBL22" s="204"/>
      <c r="NBM22" s="204"/>
      <c r="NBN22" s="204"/>
      <c r="NBO22" s="204"/>
      <c r="NBP22" s="204"/>
      <c r="NBQ22" s="204"/>
      <c r="NBR22" s="204"/>
      <c r="NBS22" s="204"/>
      <c r="NBT22" s="204"/>
      <c r="NBU22" s="204"/>
      <c r="NBV22" s="204"/>
      <c r="NBW22" s="204"/>
      <c r="NBX22" s="204"/>
      <c r="NBY22" s="204"/>
      <c r="NBZ22" s="204"/>
      <c r="NCA22" s="204"/>
      <c r="NCB22" s="204"/>
      <c r="NCC22" s="204"/>
      <c r="NCD22" s="204"/>
      <c r="NCE22" s="204"/>
      <c r="NCF22" s="204"/>
      <c r="NCG22" s="204"/>
      <c r="NCH22" s="204"/>
      <c r="NCI22" s="204"/>
      <c r="NCJ22" s="204"/>
      <c r="NCK22" s="204"/>
      <c r="NCL22" s="204"/>
      <c r="NCM22" s="204"/>
      <c r="NCN22" s="204"/>
      <c r="NCO22" s="204"/>
      <c r="NCP22" s="204"/>
      <c r="NCQ22" s="204"/>
      <c r="NCR22" s="204"/>
      <c r="NCS22" s="204"/>
      <c r="NCT22" s="204"/>
      <c r="NCU22" s="204"/>
      <c r="NCV22" s="204"/>
      <c r="NCW22" s="204"/>
      <c r="NCX22" s="204"/>
      <c r="NCY22" s="204"/>
      <c r="NCZ22" s="204"/>
      <c r="NDA22" s="204"/>
      <c r="NDB22" s="204"/>
      <c r="NDC22" s="204"/>
      <c r="NDD22" s="204"/>
      <c r="NDE22" s="204"/>
      <c r="NDF22" s="204"/>
      <c r="NDG22" s="204"/>
      <c r="NDH22" s="204"/>
      <c r="NDI22" s="204"/>
      <c r="NDJ22" s="204"/>
      <c r="NDK22" s="204"/>
      <c r="NDL22" s="204"/>
      <c r="NDM22" s="204"/>
      <c r="NDN22" s="204"/>
      <c r="NDO22" s="204"/>
      <c r="NDP22" s="204"/>
      <c r="NDQ22" s="204"/>
      <c r="NDR22" s="204"/>
      <c r="NDS22" s="204"/>
      <c r="NDT22" s="204"/>
      <c r="NDU22" s="204"/>
      <c r="NDV22" s="204"/>
      <c r="NDW22" s="204"/>
      <c r="NDX22" s="204"/>
      <c r="NDY22" s="204"/>
      <c r="NDZ22" s="204"/>
      <c r="NEA22" s="204"/>
      <c r="NEB22" s="204"/>
      <c r="NEC22" s="204"/>
      <c r="NED22" s="204"/>
      <c r="NEE22" s="204"/>
      <c r="NEF22" s="204"/>
      <c r="NEG22" s="204"/>
      <c r="NEH22" s="204"/>
      <c r="NEI22" s="204"/>
      <c r="NEJ22" s="204"/>
      <c r="NEK22" s="204"/>
      <c r="NEL22" s="204"/>
      <c r="NEM22" s="204"/>
      <c r="NEN22" s="204"/>
      <c r="NEO22" s="204"/>
      <c r="NEP22" s="204"/>
      <c r="NEQ22" s="204"/>
      <c r="NER22" s="204"/>
      <c r="NES22" s="204"/>
      <c r="NET22" s="204"/>
      <c r="NEU22" s="204"/>
      <c r="NEV22" s="204"/>
      <c r="NEW22" s="204"/>
      <c r="NEX22" s="204"/>
      <c r="NEY22" s="204"/>
      <c r="NEZ22" s="204"/>
      <c r="NFA22" s="204"/>
      <c r="NFB22" s="204"/>
      <c r="NFC22" s="204"/>
      <c r="NFD22" s="204"/>
      <c r="NFE22" s="204"/>
      <c r="NFF22" s="204"/>
      <c r="NFG22" s="204"/>
      <c r="NFH22" s="204"/>
      <c r="NFI22" s="204"/>
      <c r="NFJ22" s="204"/>
      <c r="NFK22" s="204"/>
      <c r="NFL22" s="204"/>
      <c r="NFM22" s="204"/>
      <c r="NFN22" s="204"/>
      <c r="NFO22" s="204"/>
      <c r="NFP22" s="204"/>
      <c r="NFQ22" s="204"/>
      <c r="NFR22" s="204"/>
      <c r="NFS22" s="204"/>
      <c r="NFT22" s="204"/>
      <c r="NFU22" s="204"/>
      <c r="NFV22" s="204"/>
      <c r="NFW22" s="204"/>
      <c r="NFX22" s="204"/>
      <c r="NFY22" s="204"/>
      <c r="NFZ22" s="204"/>
      <c r="NGA22" s="204"/>
      <c r="NGB22" s="204"/>
      <c r="NGC22" s="204"/>
      <c r="NGD22" s="204"/>
      <c r="NGE22" s="204"/>
      <c r="NGF22" s="204"/>
      <c r="NGG22" s="204"/>
      <c r="NGH22" s="204"/>
      <c r="NGI22" s="204"/>
      <c r="NGJ22" s="204"/>
      <c r="NGK22" s="204"/>
      <c r="NGL22" s="204"/>
      <c r="NGM22" s="204"/>
      <c r="NGN22" s="204"/>
      <c r="NGO22" s="204"/>
      <c r="NGP22" s="204"/>
      <c r="NGQ22" s="204"/>
      <c r="NGR22" s="204"/>
      <c r="NGS22" s="204"/>
      <c r="NGT22" s="204"/>
      <c r="NGU22" s="204"/>
      <c r="NGV22" s="204"/>
      <c r="NGW22" s="204"/>
      <c r="NGX22" s="204"/>
      <c r="NGY22" s="204"/>
      <c r="NGZ22" s="204"/>
      <c r="NHA22" s="204"/>
      <c r="NHB22" s="204"/>
      <c r="NHC22" s="204"/>
      <c r="NHD22" s="204"/>
      <c r="NHE22" s="204"/>
      <c r="NHF22" s="204"/>
      <c r="NHG22" s="204"/>
      <c r="NHH22" s="204"/>
      <c r="NHI22" s="204"/>
      <c r="NHJ22" s="204"/>
      <c r="NHK22" s="204"/>
      <c r="NHL22" s="204"/>
      <c r="NHM22" s="204"/>
      <c r="NHN22" s="204"/>
      <c r="NHO22" s="204"/>
      <c r="NHP22" s="204"/>
      <c r="NHQ22" s="204"/>
      <c r="NHR22" s="204"/>
      <c r="NHS22" s="204"/>
      <c r="NHT22" s="204"/>
      <c r="NHU22" s="204"/>
      <c r="NHV22" s="204"/>
      <c r="NHW22" s="204"/>
      <c r="NHX22" s="204"/>
      <c r="NHY22" s="204"/>
      <c r="NHZ22" s="204"/>
      <c r="NIA22" s="204"/>
      <c r="NIB22" s="204"/>
      <c r="NIC22" s="204"/>
      <c r="NID22" s="204"/>
      <c r="NIE22" s="204"/>
      <c r="NIF22" s="204"/>
      <c r="NIG22" s="204"/>
      <c r="NIH22" s="204"/>
      <c r="NII22" s="204"/>
      <c r="NIJ22" s="204"/>
      <c r="NIK22" s="204"/>
      <c r="NIL22" s="204"/>
      <c r="NIM22" s="204"/>
      <c r="NIN22" s="204"/>
      <c r="NIO22" s="204"/>
      <c r="NIP22" s="204"/>
      <c r="NIQ22" s="204"/>
      <c r="NIR22" s="204"/>
      <c r="NIS22" s="204"/>
      <c r="NIT22" s="204"/>
      <c r="NIU22" s="204"/>
      <c r="NIV22" s="204"/>
      <c r="NIW22" s="204"/>
      <c r="NIX22" s="204"/>
      <c r="NIY22" s="204"/>
      <c r="NIZ22" s="204"/>
      <c r="NJA22" s="204"/>
      <c r="NJB22" s="204"/>
      <c r="NJC22" s="204"/>
      <c r="NJD22" s="204"/>
      <c r="NJE22" s="204"/>
      <c r="NJF22" s="204"/>
      <c r="NJG22" s="204"/>
      <c r="NJH22" s="204"/>
      <c r="NJI22" s="204"/>
      <c r="NJJ22" s="204"/>
      <c r="NJK22" s="204"/>
      <c r="NJL22" s="204"/>
      <c r="NJM22" s="204"/>
      <c r="NJN22" s="204"/>
      <c r="NJO22" s="204"/>
      <c r="NJP22" s="204"/>
      <c r="NJQ22" s="204"/>
      <c r="NJR22" s="204"/>
      <c r="NJS22" s="204"/>
      <c r="NJT22" s="204"/>
      <c r="NJU22" s="204"/>
      <c r="NJV22" s="204"/>
      <c r="NJW22" s="204"/>
      <c r="NJX22" s="204"/>
      <c r="NJY22" s="204"/>
      <c r="NJZ22" s="204"/>
      <c r="NKA22" s="204"/>
      <c r="NKB22" s="204"/>
      <c r="NKC22" s="204"/>
      <c r="NKD22" s="204"/>
      <c r="NKE22" s="204"/>
      <c r="NKF22" s="204"/>
      <c r="NKG22" s="204"/>
      <c r="NKH22" s="204"/>
      <c r="NKI22" s="204"/>
      <c r="NKJ22" s="204"/>
      <c r="NKK22" s="204"/>
      <c r="NKL22" s="204"/>
      <c r="NKM22" s="204"/>
      <c r="NKN22" s="204"/>
      <c r="NKO22" s="204"/>
      <c r="NKP22" s="204"/>
      <c r="NKQ22" s="204"/>
      <c r="NKR22" s="204"/>
      <c r="NKS22" s="204"/>
      <c r="NKT22" s="204"/>
      <c r="NKU22" s="204"/>
      <c r="NKV22" s="204"/>
      <c r="NKW22" s="204"/>
      <c r="NKX22" s="204"/>
      <c r="NKY22" s="204"/>
      <c r="NKZ22" s="204"/>
      <c r="NLA22" s="204"/>
      <c r="NLB22" s="204"/>
      <c r="NLC22" s="204"/>
      <c r="NLD22" s="204"/>
      <c r="NLE22" s="204"/>
      <c r="NLF22" s="204"/>
      <c r="NLG22" s="204"/>
      <c r="NLH22" s="204"/>
      <c r="NLI22" s="204"/>
      <c r="NLJ22" s="204"/>
      <c r="NLK22" s="204"/>
      <c r="NLL22" s="204"/>
      <c r="NLM22" s="204"/>
      <c r="NLN22" s="204"/>
      <c r="NLO22" s="204"/>
      <c r="NLP22" s="204"/>
      <c r="NLQ22" s="204"/>
      <c r="NLR22" s="204"/>
      <c r="NLS22" s="204"/>
      <c r="NLT22" s="204"/>
      <c r="NLU22" s="204"/>
      <c r="NLV22" s="204"/>
      <c r="NLW22" s="204"/>
      <c r="NLX22" s="204"/>
      <c r="NLY22" s="204"/>
      <c r="NLZ22" s="204"/>
      <c r="NMA22" s="204"/>
      <c r="NMB22" s="204"/>
      <c r="NMC22" s="204"/>
      <c r="NMD22" s="204"/>
      <c r="NME22" s="204"/>
      <c r="NMF22" s="204"/>
      <c r="NMG22" s="204"/>
      <c r="NMH22" s="204"/>
      <c r="NMI22" s="204"/>
      <c r="NMJ22" s="204"/>
      <c r="NMK22" s="204"/>
      <c r="NML22" s="204"/>
      <c r="NMM22" s="204"/>
      <c r="NMN22" s="204"/>
      <c r="NMO22" s="204"/>
      <c r="NMP22" s="204"/>
      <c r="NMQ22" s="204"/>
      <c r="NMR22" s="204"/>
      <c r="NMS22" s="204"/>
      <c r="NMT22" s="204"/>
      <c r="NMU22" s="204"/>
      <c r="NMV22" s="204"/>
      <c r="NMW22" s="204"/>
      <c r="NMX22" s="204"/>
      <c r="NMY22" s="204"/>
      <c r="NMZ22" s="204"/>
      <c r="NNA22" s="204"/>
      <c r="NNB22" s="204"/>
      <c r="NNC22" s="204"/>
      <c r="NND22" s="204"/>
      <c r="NNE22" s="204"/>
      <c r="NNF22" s="204"/>
      <c r="NNG22" s="204"/>
      <c r="NNH22" s="204"/>
      <c r="NNI22" s="204"/>
      <c r="NNJ22" s="204"/>
      <c r="NNK22" s="204"/>
      <c r="NNL22" s="204"/>
      <c r="NNM22" s="204"/>
      <c r="NNN22" s="204"/>
      <c r="NNO22" s="204"/>
      <c r="NNP22" s="204"/>
      <c r="NNQ22" s="204"/>
      <c r="NNR22" s="204"/>
      <c r="NNS22" s="204"/>
      <c r="NNT22" s="204"/>
      <c r="NNU22" s="204"/>
      <c r="NNV22" s="204"/>
      <c r="NNW22" s="204"/>
      <c r="NNX22" s="204"/>
      <c r="NNY22" s="204"/>
      <c r="NNZ22" s="204"/>
      <c r="NOA22" s="204"/>
      <c r="NOB22" s="204"/>
      <c r="NOC22" s="204"/>
      <c r="NOD22" s="204"/>
      <c r="NOE22" s="204"/>
      <c r="NOF22" s="204"/>
      <c r="NOG22" s="204"/>
      <c r="NOH22" s="204"/>
      <c r="NOI22" s="204"/>
      <c r="NOJ22" s="204"/>
      <c r="NOK22" s="204"/>
      <c r="NOL22" s="204"/>
      <c r="NOM22" s="204"/>
      <c r="NON22" s="204"/>
      <c r="NOO22" s="204"/>
      <c r="NOP22" s="204"/>
      <c r="NOQ22" s="204"/>
      <c r="NOR22" s="204"/>
      <c r="NOS22" s="204"/>
      <c r="NOT22" s="204"/>
      <c r="NOU22" s="204"/>
      <c r="NOV22" s="204"/>
      <c r="NOW22" s="204"/>
      <c r="NOX22" s="204"/>
      <c r="NOY22" s="204"/>
      <c r="NOZ22" s="204"/>
      <c r="NPA22" s="204"/>
      <c r="NPB22" s="204"/>
      <c r="NPC22" s="204"/>
      <c r="NPD22" s="204"/>
      <c r="NPE22" s="204"/>
      <c r="NPF22" s="204"/>
      <c r="NPG22" s="204"/>
      <c r="NPH22" s="204"/>
      <c r="NPI22" s="204"/>
      <c r="NPJ22" s="204"/>
      <c r="NPK22" s="204"/>
      <c r="NPL22" s="204"/>
      <c r="NPM22" s="204"/>
      <c r="NPN22" s="204"/>
      <c r="NPO22" s="204"/>
      <c r="NPP22" s="204"/>
      <c r="NPQ22" s="204"/>
      <c r="NPR22" s="204"/>
      <c r="NPS22" s="204"/>
      <c r="NPT22" s="204"/>
      <c r="NPU22" s="204"/>
      <c r="NPV22" s="204"/>
      <c r="NPW22" s="204"/>
      <c r="NPX22" s="204"/>
      <c r="NPY22" s="204"/>
      <c r="NPZ22" s="204"/>
      <c r="NQA22" s="204"/>
      <c r="NQB22" s="204"/>
      <c r="NQC22" s="204"/>
      <c r="NQD22" s="204"/>
      <c r="NQE22" s="204"/>
      <c r="NQF22" s="204"/>
      <c r="NQG22" s="204"/>
      <c r="NQH22" s="204"/>
      <c r="NQI22" s="204"/>
      <c r="NQJ22" s="204"/>
      <c r="NQK22" s="204"/>
      <c r="NQL22" s="204"/>
      <c r="NQM22" s="204"/>
      <c r="NQN22" s="204"/>
      <c r="NQO22" s="204"/>
      <c r="NQP22" s="204"/>
      <c r="NQQ22" s="204"/>
      <c r="NQR22" s="204"/>
      <c r="NQS22" s="204"/>
      <c r="NQT22" s="204"/>
      <c r="NQU22" s="204"/>
      <c r="NQV22" s="204"/>
      <c r="NQW22" s="204"/>
      <c r="NQX22" s="204"/>
      <c r="NQY22" s="204"/>
      <c r="NQZ22" s="204"/>
      <c r="NRA22" s="204"/>
      <c r="NRB22" s="204"/>
      <c r="NRC22" s="204"/>
      <c r="NRD22" s="204"/>
      <c r="NRE22" s="204"/>
      <c r="NRF22" s="204"/>
      <c r="NRG22" s="204"/>
      <c r="NRH22" s="204"/>
      <c r="NRI22" s="204"/>
      <c r="NRJ22" s="204"/>
      <c r="NRK22" s="204"/>
      <c r="NRL22" s="204"/>
      <c r="NRM22" s="204"/>
      <c r="NRN22" s="204"/>
      <c r="NRO22" s="204"/>
      <c r="NRP22" s="204"/>
      <c r="NRQ22" s="204"/>
      <c r="NRR22" s="204"/>
      <c r="NRS22" s="204"/>
      <c r="NRT22" s="204"/>
      <c r="NRU22" s="204"/>
      <c r="NRV22" s="204"/>
      <c r="NRW22" s="204"/>
      <c r="NRX22" s="204"/>
      <c r="NRY22" s="204"/>
      <c r="NRZ22" s="204"/>
      <c r="NSA22" s="204"/>
      <c r="NSB22" s="204"/>
      <c r="NSC22" s="204"/>
      <c r="NSD22" s="204"/>
      <c r="NSE22" s="204"/>
      <c r="NSF22" s="204"/>
      <c r="NSG22" s="204"/>
      <c r="NSH22" s="204"/>
      <c r="NSI22" s="204"/>
      <c r="NSJ22" s="204"/>
      <c r="NSK22" s="204"/>
      <c r="NSL22" s="204"/>
      <c r="NSM22" s="204"/>
      <c r="NSN22" s="204"/>
      <c r="NSO22" s="204"/>
      <c r="NSP22" s="204"/>
      <c r="NSQ22" s="204"/>
      <c r="NSR22" s="204"/>
      <c r="NSS22" s="204"/>
      <c r="NST22" s="204"/>
      <c r="NSU22" s="204"/>
      <c r="NSV22" s="204"/>
      <c r="NSW22" s="204"/>
      <c r="NSX22" s="204"/>
      <c r="NSY22" s="204"/>
      <c r="NSZ22" s="204"/>
      <c r="NTA22" s="204"/>
      <c r="NTB22" s="204"/>
      <c r="NTC22" s="204"/>
      <c r="NTD22" s="204"/>
      <c r="NTE22" s="204"/>
      <c r="NTF22" s="204"/>
      <c r="NTG22" s="204"/>
      <c r="NTH22" s="204"/>
      <c r="NTI22" s="204"/>
      <c r="NTJ22" s="204"/>
      <c r="NTK22" s="204"/>
      <c r="NTL22" s="204"/>
      <c r="NTM22" s="204"/>
      <c r="NTN22" s="204"/>
      <c r="NTO22" s="204"/>
      <c r="NTP22" s="204"/>
      <c r="NTQ22" s="204"/>
      <c r="NTR22" s="204"/>
      <c r="NTS22" s="204"/>
      <c r="NTT22" s="204"/>
      <c r="NTU22" s="204"/>
      <c r="NTV22" s="204"/>
      <c r="NTW22" s="204"/>
      <c r="NTX22" s="204"/>
      <c r="NTY22" s="204"/>
      <c r="NTZ22" s="204"/>
      <c r="NUA22" s="204"/>
      <c r="NUB22" s="204"/>
      <c r="NUC22" s="204"/>
      <c r="NUD22" s="204"/>
      <c r="NUE22" s="204"/>
      <c r="NUF22" s="204"/>
      <c r="NUG22" s="204"/>
      <c r="NUH22" s="204"/>
      <c r="NUI22" s="204"/>
      <c r="NUJ22" s="204"/>
      <c r="NUK22" s="204"/>
      <c r="NUL22" s="204"/>
      <c r="NUM22" s="204"/>
      <c r="NUN22" s="204"/>
      <c r="NUO22" s="204"/>
      <c r="NUP22" s="204"/>
      <c r="NUQ22" s="204"/>
      <c r="NUR22" s="204"/>
      <c r="NUS22" s="204"/>
      <c r="NUT22" s="204"/>
      <c r="NUU22" s="204"/>
      <c r="NUV22" s="204"/>
      <c r="NUW22" s="204"/>
      <c r="NUX22" s="204"/>
      <c r="NUY22" s="204"/>
      <c r="NUZ22" s="204"/>
      <c r="NVA22" s="204"/>
      <c r="NVB22" s="204"/>
      <c r="NVC22" s="204"/>
      <c r="NVD22" s="204"/>
      <c r="NVE22" s="204"/>
      <c r="NVF22" s="204"/>
      <c r="NVG22" s="204"/>
      <c r="NVH22" s="204"/>
      <c r="NVI22" s="204"/>
      <c r="NVJ22" s="204"/>
      <c r="NVK22" s="204"/>
      <c r="NVL22" s="204"/>
      <c r="NVM22" s="204"/>
      <c r="NVN22" s="204"/>
      <c r="NVO22" s="204"/>
      <c r="NVP22" s="204"/>
      <c r="NVQ22" s="204"/>
      <c r="NVR22" s="204"/>
      <c r="NVS22" s="204"/>
      <c r="NVT22" s="204"/>
      <c r="NVU22" s="204"/>
      <c r="NVV22" s="204"/>
      <c r="NVW22" s="204"/>
      <c r="NVX22" s="204"/>
      <c r="NVY22" s="204"/>
      <c r="NVZ22" s="204"/>
      <c r="NWA22" s="204"/>
      <c r="NWB22" s="204"/>
      <c r="NWC22" s="204"/>
      <c r="NWD22" s="204"/>
      <c r="NWE22" s="204"/>
      <c r="NWF22" s="204"/>
      <c r="NWG22" s="204"/>
      <c r="NWH22" s="204"/>
      <c r="NWI22" s="204"/>
      <c r="NWJ22" s="204"/>
      <c r="NWK22" s="204"/>
      <c r="NWL22" s="204"/>
      <c r="NWM22" s="204"/>
      <c r="NWN22" s="204"/>
      <c r="NWO22" s="204"/>
      <c r="NWP22" s="204"/>
      <c r="NWQ22" s="204"/>
      <c r="NWR22" s="204"/>
      <c r="NWS22" s="204"/>
      <c r="NWT22" s="204"/>
      <c r="NWU22" s="204"/>
      <c r="NWV22" s="204"/>
      <c r="NWW22" s="204"/>
      <c r="NWX22" s="204"/>
      <c r="NWY22" s="204"/>
      <c r="NWZ22" s="204"/>
      <c r="NXA22" s="204"/>
      <c r="NXB22" s="204"/>
      <c r="NXC22" s="204"/>
      <c r="NXD22" s="204"/>
      <c r="NXE22" s="204"/>
      <c r="NXF22" s="204"/>
      <c r="NXG22" s="204"/>
      <c r="NXH22" s="204"/>
      <c r="NXI22" s="204"/>
      <c r="NXJ22" s="204"/>
      <c r="NXK22" s="204"/>
      <c r="NXL22" s="204"/>
      <c r="NXM22" s="204"/>
      <c r="NXN22" s="204"/>
      <c r="NXO22" s="204"/>
      <c r="NXP22" s="204"/>
      <c r="NXQ22" s="204"/>
      <c r="NXR22" s="204"/>
      <c r="NXS22" s="204"/>
      <c r="NXT22" s="204"/>
      <c r="NXU22" s="204"/>
      <c r="NXV22" s="204"/>
      <c r="NXW22" s="204"/>
      <c r="NXX22" s="204"/>
      <c r="NXY22" s="204"/>
      <c r="NXZ22" s="204"/>
      <c r="NYA22" s="204"/>
      <c r="NYB22" s="204"/>
      <c r="NYC22" s="204"/>
      <c r="NYD22" s="204"/>
      <c r="NYE22" s="204"/>
      <c r="NYF22" s="204"/>
      <c r="NYG22" s="204"/>
      <c r="NYH22" s="204"/>
      <c r="NYI22" s="204"/>
      <c r="NYJ22" s="204"/>
      <c r="NYK22" s="204"/>
      <c r="NYL22" s="204"/>
      <c r="NYM22" s="204"/>
      <c r="NYN22" s="204"/>
      <c r="NYO22" s="204"/>
      <c r="NYP22" s="204"/>
      <c r="NYQ22" s="204"/>
      <c r="NYR22" s="204"/>
      <c r="NYS22" s="204"/>
      <c r="NYT22" s="204"/>
      <c r="NYU22" s="204"/>
      <c r="NYV22" s="204"/>
      <c r="NYW22" s="204"/>
      <c r="NYX22" s="204"/>
      <c r="NYY22" s="204"/>
      <c r="NYZ22" s="204"/>
      <c r="NZA22" s="204"/>
      <c r="NZB22" s="204"/>
      <c r="NZC22" s="204"/>
      <c r="NZD22" s="204"/>
      <c r="NZE22" s="204"/>
      <c r="NZF22" s="204"/>
      <c r="NZG22" s="204"/>
      <c r="NZH22" s="204"/>
      <c r="NZI22" s="204"/>
      <c r="NZJ22" s="204"/>
      <c r="NZK22" s="204"/>
      <c r="NZL22" s="204"/>
      <c r="NZM22" s="204"/>
      <c r="NZN22" s="204"/>
      <c r="NZO22" s="204"/>
      <c r="NZP22" s="204"/>
      <c r="NZQ22" s="204"/>
      <c r="NZR22" s="204"/>
      <c r="NZS22" s="204"/>
      <c r="NZT22" s="204"/>
      <c r="NZU22" s="204"/>
      <c r="NZV22" s="204"/>
      <c r="NZW22" s="204"/>
      <c r="NZX22" s="204"/>
      <c r="NZY22" s="204"/>
      <c r="NZZ22" s="204"/>
      <c r="OAA22" s="204"/>
      <c r="OAB22" s="204"/>
      <c r="OAC22" s="204"/>
      <c r="OAD22" s="204"/>
      <c r="OAE22" s="204"/>
      <c r="OAF22" s="204"/>
      <c r="OAG22" s="204"/>
      <c r="OAH22" s="204"/>
      <c r="OAI22" s="204"/>
      <c r="OAJ22" s="204"/>
      <c r="OAK22" s="204"/>
      <c r="OAL22" s="204"/>
      <c r="OAM22" s="204"/>
      <c r="OAN22" s="204"/>
      <c r="OAO22" s="204"/>
      <c r="OAP22" s="204"/>
      <c r="OAQ22" s="204"/>
      <c r="OAR22" s="204"/>
      <c r="OAS22" s="204"/>
      <c r="OAT22" s="204"/>
      <c r="OAU22" s="204"/>
      <c r="OAV22" s="204"/>
      <c r="OAW22" s="204"/>
      <c r="OAX22" s="204"/>
      <c r="OAY22" s="204"/>
      <c r="OAZ22" s="204"/>
      <c r="OBA22" s="204"/>
      <c r="OBB22" s="204"/>
      <c r="OBC22" s="204"/>
      <c r="OBD22" s="204"/>
      <c r="OBE22" s="204"/>
      <c r="OBF22" s="204"/>
      <c r="OBG22" s="204"/>
      <c r="OBH22" s="204"/>
      <c r="OBI22" s="204"/>
      <c r="OBJ22" s="204"/>
      <c r="OBK22" s="204"/>
      <c r="OBL22" s="204"/>
      <c r="OBM22" s="204"/>
      <c r="OBN22" s="204"/>
      <c r="OBO22" s="204"/>
      <c r="OBP22" s="204"/>
      <c r="OBQ22" s="204"/>
      <c r="OBR22" s="204"/>
      <c r="OBS22" s="204"/>
      <c r="OBT22" s="204"/>
      <c r="OBU22" s="204"/>
      <c r="OBV22" s="204"/>
      <c r="OBW22" s="204"/>
      <c r="OBX22" s="204"/>
      <c r="OBY22" s="204"/>
      <c r="OBZ22" s="204"/>
      <c r="OCA22" s="204"/>
      <c r="OCB22" s="204"/>
      <c r="OCC22" s="204"/>
      <c r="OCD22" s="204"/>
      <c r="OCE22" s="204"/>
      <c r="OCF22" s="204"/>
      <c r="OCG22" s="204"/>
      <c r="OCH22" s="204"/>
      <c r="OCI22" s="204"/>
      <c r="OCJ22" s="204"/>
      <c r="OCK22" s="204"/>
      <c r="OCL22" s="204"/>
      <c r="OCM22" s="204"/>
      <c r="OCN22" s="204"/>
      <c r="OCO22" s="204"/>
      <c r="OCP22" s="204"/>
      <c r="OCQ22" s="204"/>
      <c r="OCR22" s="204"/>
      <c r="OCS22" s="204"/>
      <c r="OCT22" s="204"/>
      <c r="OCU22" s="204"/>
      <c r="OCV22" s="204"/>
      <c r="OCW22" s="204"/>
      <c r="OCX22" s="204"/>
      <c r="OCY22" s="204"/>
      <c r="OCZ22" s="204"/>
      <c r="ODA22" s="204"/>
      <c r="ODB22" s="204"/>
      <c r="ODC22" s="204"/>
      <c r="ODD22" s="204"/>
      <c r="ODE22" s="204"/>
      <c r="ODF22" s="204"/>
      <c r="ODG22" s="204"/>
      <c r="ODH22" s="204"/>
      <c r="ODI22" s="204"/>
      <c r="ODJ22" s="204"/>
      <c r="ODK22" s="204"/>
      <c r="ODL22" s="204"/>
      <c r="ODM22" s="204"/>
      <c r="ODN22" s="204"/>
      <c r="ODO22" s="204"/>
      <c r="ODP22" s="204"/>
      <c r="ODQ22" s="204"/>
      <c r="ODR22" s="204"/>
      <c r="ODS22" s="204"/>
      <c r="ODT22" s="204"/>
      <c r="ODU22" s="204"/>
      <c r="ODV22" s="204"/>
      <c r="ODW22" s="204"/>
      <c r="ODX22" s="204"/>
      <c r="ODY22" s="204"/>
      <c r="ODZ22" s="204"/>
      <c r="OEA22" s="204"/>
      <c r="OEB22" s="204"/>
      <c r="OEC22" s="204"/>
      <c r="OED22" s="204"/>
      <c r="OEE22" s="204"/>
      <c r="OEF22" s="204"/>
      <c r="OEG22" s="204"/>
      <c r="OEH22" s="204"/>
      <c r="OEI22" s="204"/>
      <c r="OEJ22" s="204"/>
      <c r="OEK22" s="204"/>
      <c r="OEL22" s="204"/>
      <c r="OEM22" s="204"/>
      <c r="OEN22" s="204"/>
      <c r="OEO22" s="204"/>
      <c r="OEP22" s="204"/>
      <c r="OEQ22" s="204"/>
      <c r="OER22" s="204"/>
      <c r="OES22" s="204"/>
      <c r="OET22" s="204"/>
      <c r="OEU22" s="204"/>
      <c r="OEV22" s="204"/>
      <c r="OEW22" s="204"/>
      <c r="OEX22" s="204"/>
      <c r="OEY22" s="204"/>
      <c r="OEZ22" s="204"/>
      <c r="OFA22" s="204"/>
      <c r="OFB22" s="204"/>
      <c r="OFC22" s="204"/>
      <c r="OFD22" s="204"/>
      <c r="OFE22" s="204"/>
      <c r="OFF22" s="204"/>
      <c r="OFG22" s="204"/>
      <c r="OFH22" s="204"/>
      <c r="OFI22" s="204"/>
      <c r="OFJ22" s="204"/>
      <c r="OFK22" s="204"/>
      <c r="OFL22" s="204"/>
      <c r="OFM22" s="204"/>
      <c r="OFN22" s="204"/>
      <c r="OFO22" s="204"/>
      <c r="OFP22" s="204"/>
      <c r="OFQ22" s="204"/>
      <c r="OFR22" s="204"/>
      <c r="OFS22" s="204"/>
      <c r="OFT22" s="204"/>
      <c r="OFU22" s="204"/>
      <c r="OFV22" s="204"/>
      <c r="OFW22" s="204"/>
      <c r="OFX22" s="204"/>
      <c r="OFY22" s="204"/>
      <c r="OFZ22" s="204"/>
      <c r="OGA22" s="204"/>
      <c r="OGB22" s="204"/>
      <c r="OGC22" s="204"/>
      <c r="OGD22" s="204"/>
      <c r="OGE22" s="204"/>
      <c r="OGF22" s="204"/>
      <c r="OGG22" s="204"/>
      <c r="OGH22" s="204"/>
      <c r="OGI22" s="204"/>
      <c r="OGJ22" s="204"/>
      <c r="OGK22" s="204"/>
      <c r="OGL22" s="204"/>
      <c r="OGM22" s="204"/>
      <c r="OGN22" s="204"/>
      <c r="OGO22" s="204"/>
      <c r="OGP22" s="204"/>
      <c r="OGQ22" s="204"/>
      <c r="OGR22" s="204"/>
      <c r="OGS22" s="204"/>
      <c r="OGT22" s="204"/>
      <c r="OGU22" s="204"/>
      <c r="OGV22" s="204"/>
      <c r="OGW22" s="204"/>
      <c r="OGX22" s="204"/>
      <c r="OGY22" s="204"/>
      <c r="OGZ22" s="204"/>
      <c r="OHA22" s="204"/>
      <c r="OHB22" s="204"/>
      <c r="OHC22" s="204"/>
      <c r="OHD22" s="204"/>
      <c r="OHE22" s="204"/>
      <c r="OHF22" s="204"/>
      <c r="OHG22" s="204"/>
      <c r="OHH22" s="204"/>
      <c r="OHI22" s="204"/>
      <c r="OHJ22" s="204"/>
      <c r="OHK22" s="204"/>
      <c r="OHL22" s="204"/>
      <c r="OHM22" s="204"/>
      <c r="OHN22" s="204"/>
      <c r="OHO22" s="204"/>
      <c r="OHP22" s="204"/>
      <c r="OHQ22" s="204"/>
      <c r="OHR22" s="204"/>
      <c r="OHS22" s="204"/>
      <c r="OHT22" s="204"/>
      <c r="OHU22" s="204"/>
      <c r="OHV22" s="204"/>
      <c r="OHW22" s="204"/>
      <c r="OHX22" s="204"/>
      <c r="OHY22" s="204"/>
      <c r="OHZ22" s="204"/>
      <c r="OIA22" s="204"/>
      <c r="OIB22" s="204"/>
      <c r="OIC22" s="204"/>
      <c r="OID22" s="204"/>
      <c r="OIE22" s="204"/>
      <c r="OIF22" s="204"/>
      <c r="OIG22" s="204"/>
      <c r="OIH22" s="204"/>
      <c r="OII22" s="204"/>
      <c r="OIJ22" s="204"/>
      <c r="OIK22" s="204"/>
      <c r="OIL22" s="204"/>
      <c r="OIM22" s="204"/>
      <c r="OIN22" s="204"/>
      <c r="OIO22" s="204"/>
      <c r="OIP22" s="204"/>
      <c r="OIQ22" s="204"/>
      <c r="OIR22" s="204"/>
      <c r="OIS22" s="204"/>
      <c r="OIT22" s="204"/>
      <c r="OIU22" s="204"/>
      <c r="OIV22" s="204"/>
      <c r="OIW22" s="204"/>
      <c r="OIX22" s="204"/>
      <c r="OIY22" s="204"/>
      <c r="OIZ22" s="204"/>
      <c r="OJA22" s="204"/>
      <c r="OJB22" s="204"/>
      <c r="OJC22" s="204"/>
      <c r="OJD22" s="204"/>
      <c r="OJE22" s="204"/>
      <c r="OJF22" s="204"/>
      <c r="OJG22" s="204"/>
      <c r="OJH22" s="204"/>
      <c r="OJI22" s="204"/>
      <c r="OJJ22" s="204"/>
      <c r="OJK22" s="204"/>
      <c r="OJL22" s="204"/>
      <c r="OJM22" s="204"/>
      <c r="OJN22" s="204"/>
      <c r="OJO22" s="204"/>
      <c r="OJP22" s="204"/>
      <c r="OJQ22" s="204"/>
      <c r="OJR22" s="204"/>
      <c r="OJS22" s="204"/>
      <c r="OJT22" s="204"/>
      <c r="OJU22" s="204"/>
      <c r="OJV22" s="204"/>
      <c r="OJW22" s="204"/>
      <c r="OJX22" s="204"/>
      <c r="OJY22" s="204"/>
      <c r="OJZ22" s="204"/>
      <c r="OKA22" s="204"/>
      <c r="OKB22" s="204"/>
      <c r="OKC22" s="204"/>
      <c r="OKD22" s="204"/>
      <c r="OKE22" s="204"/>
      <c r="OKF22" s="204"/>
      <c r="OKG22" s="204"/>
      <c r="OKH22" s="204"/>
      <c r="OKI22" s="204"/>
      <c r="OKJ22" s="204"/>
      <c r="OKK22" s="204"/>
      <c r="OKL22" s="204"/>
      <c r="OKM22" s="204"/>
      <c r="OKN22" s="204"/>
      <c r="OKO22" s="204"/>
      <c r="OKP22" s="204"/>
      <c r="OKQ22" s="204"/>
      <c r="OKR22" s="204"/>
      <c r="OKS22" s="204"/>
      <c r="OKT22" s="204"/>
      <c r="OKU22" s="204"/>
      <c r="OKV22" s="204"/>
      <c r="OKW22" s="204"/>
      <c r="OKX22" s="204"/>
      <c r="OKY22" s="204"/>
      <c r="OKZ22" s="204"/>
      <c r="OLA22" s="204"/>
      <c r="OLB22" s="204"/>
      <c r="OLC22" s="204"/>
      <c r="OLD22" s="204"/>
      <c r="OLE22" s="204"/>
      <c r="OLF22" s="204"/>
      <c r="OLG22" s="204"/>
      <c r="OLH22" s="204"/>
      <c r="OLI22" s="204"/>
      <c r="OLJ22" s="204"/>
      <c r="OLK22" s="204"/>
      <c r="OLL22" s="204"/>
      <c r="OLM22" s="204"/>
      <c r="OLN22" s="204"/>
      <c r="OLO22" s="204"/>
      <c r="OLP22" s="204"/>
      <c r="OLQ22" s="204"/>
      <c r="OLR22" s="204"/>
      <c r="OLS22" s="204"/>
      <c r="OLT22" s="204"/>
      <c r="OLU22" s="204"/>
      <c r="OLV22" s="204"/>
      <c r="OLW22" s="204"/>
      <c r="OLX22" s="204"/>
      <c r="OLY22" s="204"/>
      <c r="OLZ22" s="204"/>
      <c r="OMA22" s="204"/>
      <c r="OMB22" s="204"/>
      <c r="OMC22" s="204"/>
      <c r="OMD22" s="204"/>
      <c r="OME22" s="204"/>
      <c r="OMF22" s="204"/>
      <c r="OMG22" s="204"/>
      <c r="OMH22" s="204"/>
      <c r="OMI22" s="204"/>
      <c r="OMJ22" s="204"/>
      <c r="OMK22" s="204"/>
      <c r="OML22" s="204"/>
      <c r="OMM22" s="204"/>
      <c r="OMN22" s="204"/>
      <c r="OMO22" s="204"/>
      <c r="OMP22" s="204"/>
      <c r="OMQ22" s="204"/>
      <c r="OMR22" s="204"/>
      <c r="OMS22" s="204"/>
      <c r="OMT22" s="204"/>
      <c r="OMU22" s="204"/>
      <c r="OMV22" s="204"/>
      <c r="OMW22" s="204"/>
      <c r="OMX22" s="204"/>
      <c r="OMY22" s="204"/>
      <c r="OMZ22" s="204"/>
      <c r="ONA22" s="204"/>
      <c r="ONB22" s="204"/>
      <c r="ONC22" s="204"/>
      <c r="OND22" s="204"/>
      <c r="ONE22" s="204"/>
      <c r="ONF22" s="204"/>
      <c r="ONG22" s="204"/>
      <c r="ONH22" s="204"/>
      <c r="ONI22" s="204"/>
      <c r="ONJ22" s="204"/>
      <c r="ONK22" s="204"/>
      <c r="ONL22" s="204"/>
      <c r="ONM22" s="204"/>
      <c r="ONN22" s="204"/>
      <c r="ONO22" s="204"/>
      <c r="ONP22" s="204"/>
      <c r="ONQ22" s="204"/>
      <c r="ONR22" s="204"/>
      <c r="ONS22" s="204"/>
      <c r="ONT22" s="204"/>
      <c r="ONU22" s="204"/>
      <c r="ONV22" s="204"/>
      <c r="ONW22" s="204"/>
      <c r="ONX22" s="204"/>
      <c r="ONY22" s="204"/>
      <c r="ONZ22" s="204"/>
      <c r="OOA22" s="204"/>
      <c r="OOB22" s="204"/>
      <c r="OOC22" s="204"/>
      <c r="OOD22" s="204"/>
      <c r="OOE22" s="204"/>
      <c r="OOF22" s="204"/>
      <c r="OOG22" s="204"/>
      <c r="OOH22" s="204"/>
      <c r="OOI22" s="204"/>
      <c r="OOJ22" s="204"/>
      <c r="OOK22" s="204"/>
      <c r="OOL22" s="204"/>
      <c r="OOM22" s="204"/>
      <c r="OON22" s="204"/>
      <c r="OOO22" s="204"/>
      <c r="OOP22" s="204"/>
      <c r="OOQ22" s="204"/>
      <c r="OOR22" s="204"/>
      <c r="OOS22" s="204"/>
      <c r="OOT22" s="204"/>
      <c r="OOU22" s="204"/>
      <c r="OOV22" s="204"/>
      <c r="OOW22" s="204"/>
      <c r="OOX22" s="204"/>
      <c r="OOY22" s="204"/>
      <c r="OOZ22" s="204"/>
      <c r="OPA22" s="204"/>
      <c r="OPB22" s="204"/>
      <c r="OPC22" s="204"/>
      <c r="OPD22" s="204"/>
      <c r="OPE22" s="204"/>
      <c r="OPF22" s="204"/>
      <c r="OPG22" s="204"/>
      <c r="OPH22" s="204"/>
      <c r="OPI22" s="204"/>
      <c r="OPJ22" s="204"/>
      <c r="OPK22" s="204"/>
      <c r="OPL22" s="204"/>
      <c r="OPM22" s="204"/>
      <c r="OPN22" s="204"/>
      <c r="OPO22" s="204"/>
      <c r="OPP22" s="204"/>
      <c r="OPQ22" s="204"/>
      <c r="OPR22" s="204"/>
      <c r="OPS22" s="204"/>
      <c r="OPT22" s="204"/>
      <c r="OPU22" s="204"/>
      <c r="OPV22" s="204"/>
      <c r="OPW22" s="204"/>
      <c r="OPX22" s="204"/>
      <c r="OPY22" s="204"/>
      <c r="OPZ22" s="204"/>
      <c r="OQA22" s="204"/>
      <c r="OQB22" s="204"/>
      <c r="OQC22" s="204"/>
      <c r="OQD22" s="204"/>
      <c r="OQE22" s="204"/>
      <c r="OQF22" s="204"/>
      <c r="OQG22" s="204"/>
      <c r="OQH22" s="204"/>
      <c r="OQI22" s="204"/>
      <c r="OQJ22" s="204"/>
      <c r="OQK22" s="204"/>
      <c r="OQL22" s="204"/>
      <c r="OQM22" s="204"/>
      <c r="OQN22" s="204"/>
      <c r="OQO22" s="204"/>
      <c r="OQP22" s="204"/>
      <c r="OQQ22" s="204"/>
      <c r="OQR22" s="204"/>
      <c r="OQS22" s="204"/>
      <c r="OQT22" s="204"/>
      <c r="OQU22" s="204"/>
      <c r="OQV22" s="204"/>
      <c r="OQW22" s="204"/>
      <c r="OQX22" s="204"/>
      <c r="OQY22" s="204"/>
      <c r="OQZ22" s="204"/>
      <c r="ORA22" s="204"/>
      <c r="ORB22" s="204"/>
      <c r="ORC22" s="204"/>
      <c r="ORD22" s="204"/>
      <c r="ORE22" s="204"/>
      <c r="ORF22" s="204"/>
      <c r="ORG22" s="204"/>
      <c r="ORH22" s="204"/>
      <c r="ORI22" s="204"/>
      <c r="ORJ22" s="204"/>
      <c r="ORK22" s="204"/>
      <c r="ORL22" s="204"/>
      <c r="ORM22" s="204"/>
      <c r="ORN22" s="204"/>
      <c r="ORO22" s="204"/>
      <c r="ORP22" s="204"/>
      <c r="ORQ22" s="204"/>
      <c r="ORR22" s="204"/>
      <c r="ORS22" s="204"/>
      <c r="ORT22" s="204"/>
      <c r="ORU22" s="204"/>
      <c r="ORV22" s="204"/>
      <c r="ORW22" s="204"/>
      <c r="ORX22" s="204"/>
      <c r="ORY22" s="204"/>
      <c r="ORZ22" s="204"/>
      <c r="OSA22" s="204"/>
      <c r="OSB22" s="204"/>
      <c r="OSC22" s="204"/>
      <c r="OSD22" s="204"/>
      <c r="OSE22" s="204"/>
      <c r="OSF22" s="204"/>
      <c r="OSG22" s="204"/>
      <c r="OSH22" s="204"/>
      <c r="OSI22" s="204"/>
      <c r="OSJ22" s="204"/>
      <c r="OSK22" s="204"/>
      <c r="OSL22" s="204"/>
      <c r="OSM22" s="204"/>
      <c r="OSN22" s="204"/>
      <c r="OSO22" s="204"/>
      <c r="OSP22" s="204"/>
      <c r="OSQ22" s="204"/>
      <c r="OSR22" s="204"/>
      <c r="OSS22" s="204"/>
      <c r="OST22" s="204"/>
      <c r="OSU22" s="204"/>
      <c r="OSV22" s="204"/>
      <c r="OSW22" s="204"/>
      <c r="OSX22" s="204"/>
      <c r="OSY22" s="204"/>
      <c r="OSZ22" s="204"/>
      <c r="OTA22" s="204"/>
      <c r="OTB22" s="204"/>
      <c r="OTC22" s="204"/>
      <c r="OTD22" s="204"/>
      <c r="OTE22" s="204"/>
      <c r="OTF22" s="204"/>
      <c r="OTG22" s="204"/>
      <c r="OTH22" s="204"/>
      <c r="OTI22" s="204"/>
      <c r="OTJ22" s="204"/>
      <c r="OTK22" s="204"/>
      <c r="OTL22" s="204"/>
      <c r="OTM22" s="204"/>
      <c r="OTN22" s="204"/>
      <c r="OTO22" s="204"/>
      <c r="OTP22" s="204"/>
      <c r="OTQ22" s="204"/>
      <c r="OTR22" s="204"/>
      <c r="OTS22" s="204"/>
      <c r="OTT22" s="204"/>
      <c r="OTU22" s="204"/>
      <c r="OTV22" s="204"/>
      <c r="OTW22" s="204"/>
      <c r="OTX22" s="204"/>
      <c r="OTY22" s="204"/>
      <c r="OTZ22" s="204"/>
      <c r="OUA22" s="204"/>
      <c r="OUB22" s="204"/>
      <c r="OUC22" s="204"/>
      <c r="OUD22" s="204"/>
      <c r="OUE22" s="204"/>
      <c r="OUF22" s="204"/>
      <c r="OUG22" s="204"/>
      <c r="OUH22" s="204"/>
      <c r="OUI22" s="204"/>
      <c r="OUJ22" s="204"/>
      <c r="OUK22" s="204"/>
      <c r="OUL22" s="204"/>
      <c r="OUM22" s="204"/>
      <c r="OUN22" s="204"/>
      <c r="OUO22" s="204"/>
      <c r="OUP22" s="204"/>
      <c r="OUQ22" s="204"/>
      <c r="OUR22" s="204"/>
      <c r="OUS22" s="204"/>
      <c r="OUT22" s="204"/>
      <c r="OUU22" s="204"/>
      <c r="OUV22" s="204"/>
      <c r="OUW22" s="204"/>
      <c r="OUX22" s="204"/>
      <c r="OUY22" s="204"/>
      <c r="OUZ22" s="204"/>
      <c r="OVA22" s="204"/>
      <c r="OVB22" s="204"/>
      <c r="OVC22" s="204"/>
      <c r="OVD22" s="204"/>
      <c r="OVE22" s="204"/>
      <c r="OVF22" s="204"/>
      <c r="OVG22" s="204"/>
      <c r="OVH22" s="204"/>
      <c r="OVI22" s="204"/>
      <c r="OVJ22" s="204"/>
      <c r="OVK22" s="204"/>
      <c r="OVL22" s="204"/>
      <c r="OVM22" s="204"/>
      <c r="OVN22" s="204"/>
      <c r="OVO22" s="204"/>
      <c r="OVP22" s="204"/>
      <c r="OVQ22" s="204"/>
      <c r="OVR22" s="204"/>
      <c r="OVS22" s="204"/>
      <c r="OVT22" s="204"/>
      <c r="OVU22" s="204"/>
      <c r="OVV22" s="204"/>
      <c r="OVW22" s="204"/>
      <c r="OVX22" s="204"/>
      <c r="OVY22" s="204"/>
      <c r="OVZ22" s="204"/>
      <c r="OWA22" s="204"/>
      <c r="OWB22" s="204"/>
      <c r="OWC22" s="204"/>
      <c r="OWD22" s="204"/>
      <c r="OWE22" s="204"/>
      <c r="OWF22" s="204"/>
      <c r="OWG22" s="204"/>
      <c r="OWH22" s="204"/>
      <c r="OWI22" s="204"/>
      <c r="OWJ22" s="204"/>
      <c r="OWK22" s="204"/>
      <c r="OWL22" s="204"/>
      <c r="OWM22" s="204"/>
      <c r="OWN22" s="204"/>
      <c r="OWO22" s="204"/>
      <c r="OWP22" s="204"/>
      <c r="OWQ22" s="204"/>
      <c r="OWR22" s="204"/>
      <c r="OWS22" s="204"/>
      <c r="OWT22" s="204"/>
      <c r="OWU22" s="204"/>
      <c r="OWV22" s="204"/>
      <c r="OWW22" s="204"/>
      <c r="OWX22" s="204"/>
      <c r="OWY22" s="204"/>
      <c r="OWZ22" s="204"/>
      <c r="OXA22" s="204"/>
      <c r="OXB22" s="204"/>
      <c r="OXC22" s="204"/>
      <c r="OXD22" s="204"/>
      <c r="OXE22" s="204"/>
      <c r="OXF22" s="204"/>
      <c r="OXG22" s="204"/>
      <c r="OXH22" s="204"/>
      <c r="OXI22" s="204"/>
      <c r="OXJ22" s="204"/>
      <c r="OXK22" s="204"/>
      <c r="OXL22" s="204"/>
      <c r="OXM22" s="204"/>
      <c r="OXN22" s="204"/>
      <c r="OXO22" s="204"/>
      <c r="OXP22" s="204"/>
      <c r="OXQ22" s="204"/>
      <c r="OXR22" s="204"/>
      <c r="OXS22" s="204"/>
      <c r="OXT22" s="204"/>
      <c r="OXU22" s="204"/>
      <c r="OXV22" s="204"/>
      <c r="OXW22" s="204"/>
      <c r="OXX22" s="204"/>
      <c r="OXY22" s="204"/>
      <c r="OXZ22" s="204"/>
      <c r="OYA22" s="204"/>
      <c r="OYB22" s="204"/>
      <c r="OYC22" s="204"/>
      <c r="OYD22" s="204"/>
      <c r="OYE22" s="204"/>
      <c r="OYF22" s="204"/>
      <c r="OYG22" s="204"/>
      <c r="OYH22" s="204"/>
      <c r="OYI22" s="204"/>
      <c r="OYJ22" s="204"/>
      <c r="OYK22" s="204"/>
      <c r="OYL22" s="204"/>
      <c r="OYM22" s="204"/>
      <c r="OYN22" s="204"/>
      <c r="OYO22" s="204"/>
      <c r="OYP22" s="204"/>
      <c r="OYQ22" s="204"/>
      <c r="OYR22" s="204"/>
      <c r="OYS22" s="204"/>
      <c r="OYT22" s="204"/>
      <c r="OYU22" s="204"/>
      <c r="OYV22" s="204"/>
      <c r="OYW22" s="204"/>
      <c r="OYX22" s="204"/>
      <c r="OYY22" s="204"/>
      <c r="OYZ22" s="204"/>
      <c r="OZA22" s="204"/>
      <c r="OZB22" s="204"/>
      <c r="OZC22" s="204"/>
      <c r="OZD22" s="204"/>
      <c r="OZE22" s="204"/>
      <c r="OZF22" s="204"/>
      <c r="OZG22" s="204"/>
      <c r="OZH22" s="204"/>
      <c r="OZI22" s="204"/>
      <c r="OZJ22" s="204"/>
      <c r="OZK22" s="204"/>
      <c r="OZL22" s="204"/>
      <c r="OZM22" s="204"/>
      <c r="OZN22" s="204"/>
      <c r="OZO22" s="204"/>
      <c r="OZP22" s="204"/>
      <c r="OZQ22" s="204"/>
      <c r="OZR22" s="204"/>
      <c r="OZS22" s="204"/>
      <c r="OZT22" s="204"/>
      <c r="OZU22" s="204"/>
      <c r="OZV22" s="204"/>
      <c r="OZW22" s="204"/>
      <c r="OZX22" s="204"/>
      <c r="OZY22" s="204"/>
      <c r="OZZ22" s="204"/>
      <c r="PAA22" s="204"/>
      <c r="PAB22" s="204"/>
      <c r="PAC22" s="204"/>
      <c r="PAD22" s="204"/>
      <c r="PAE22" s="204"/>
      <c r="PAF22" s="204"/>
      <c r="PAG22" s="204"/>
      <c r="PAH22" s="204"/>
      <c r="PAI22" s="204"/>
      <c r="PAJ22" s="204"/>
      <c r="PAK22" s="204"/>
      <c r="PAL22" s="204"/>
      <c r="PAM22" s="204"/>
      <c r="PAN22" s="204"/>
      <c r="PAO22" s="204"/>
      <c r="PAP22" s="204"/>
      <c r="PAQ22" s="204"/>
      <c r="PAR22" s="204"/>
      <c r="PAS22" s="204"/>
      <c r="PAT22" s="204"/>
      <c r="PAU22" s="204"/>
      <c r="PAV22" s="204"/>
      <c r="PAW22" s="204"/>
      <c r="PAX22" s="204"/>
      <c r="PAY22" s="204"/>
      <c r="PAZ22" s="204"/>
      <c r="PBA22" s="204"/>
      <c r="PBB22" s="204"/>
      <c r="PBC22" s="204"/>
      <c r="PBD22" s="204"/>
      <c r="PBE22" s="204"/>
      <c r="PBF22" s="204"/>
      <c r="PBG22" s="204"/>
      <c r="PBH22" s="204"/>
      <c r="PBI22" s="204"/>
      <c r="PBJ22" s="204"/>
      <c r="PBK22" s="204"/>
      <c r="PBL22" s="204"/>
      <c r="PBM22" s="204"/>
      <c r="PBN22" s="204"/>
      <c r="PBO22" s="204"/>
      <c r="PBP22" s="204"/>
      <c r="PBQ22" s="204"/>
      <c r="PBR22" s="204"/>
      <c r="PBS22" s="204"/>
      <c r="PBT22" s="204"/>
      <c r="PBU22" s="204"/>
      <c r="PBV22" s="204"/>
      <c r="PBW22" s="204"/>
      <c r="PBX22" s="204"/>
      <c r="PBY22" s="204"/>
      <c r="PBZ22" s="204"/>
      <c r="PCA22" s="204"/>
      <c r="PCB22" s="204"/>
      <c r="PCC22" s="204"/>
      <c r="PCD22" s="204"/>
      <c r="PCE22" s="204"/>
      <c r="PCF22" s="204"/>
      <c r="PCG22" s="204"/>
      <c r="PCH22" s="204"/>
      <c r="PCI22" s="204"/>
      <c r="PCJ22" s="204"/>
      <c r="PCK22" s="204"/>
      <c r="PCL22" s="204"/>
      <c r="PCM22" s="204"/>
      <c r="PCN22" s="204"/>
      <c r="PCO22" s="204"/>
      <c r="PCP22" s="204"/>
      <c r="PCQ22" s="204"/>
      <c r="PCR22" s="204"/>
      <c r="PCS22" s="204"/>
      <c r="PCT22" s="204"/>
      <c r="PCU22" s="204"/>
      <c r="PCV22" s="204"/>
      <c r="PCW22" s="204"/>
      <c r="PCX22" s="204"/>
      <c r="PCY22" s="204"/>
      <c r="PCZ22" s="204"/>
      <c r="PDA22" s="204"/>
      <c r="PDB22" s="204"/>
      <c r="PDC22" s="204"/>
      <c r="PDD22" s="204"/>
      <c r="PDE22" s="204"/>
      <c r="PDF22" s="204"/>
      <c r="PDG22" s="204"/>
      <c r="PDH22" s="204"/>
      <c r="PDI22" s="204"/>
      <c r="PDJ22" s="204"/>
      <c r="PDK22" s="204"/>
      <c r="PDL22" s="204"/>
      <c r="PDM22" s="204"/>
      <c r="PDN22" s="204"/>
      <c r="PDO22" s="204"/>
      <c r="PDP22" s="204"/>
      <c r="PDQ22" s="204"/>
      <c r="PDR22" s="204"/>
      <c r="PDS22" s="204"/>
      <c r="PDT22" s="204"/>
      <c r="PDU22" s="204"/>
      <c r="PDV22" s="204"/>
      <c r="PDW22" s="204"/>
      <c r="PDX22" s="204"/>
      <c r="PDY22" s="204"/>
      <c r="PDZ22" s="204"/>
      <c r="PEA22" s="204"/>
      <c r="PEB22" s="204"/>
      <c r="PEC22" s="204"/>
      <c r="PED22" s="204"/>
      <c r="PEE22" s="204"/>
      <c r="PEF22" s="204"/>
      <c r="PEG22" s="204"/>
      <c r="PEH22" s="204"/>
      <c r="PEI22" s="204"/>
      <c r="PEJ22" s="204"/>
      <c r="PEK22" s="204"/>
      <c r="PEL22" s="204"/>
      <c r="PEM22" s="204"/>
      <c r="PEN22" s="204"/>
      <c r="PEO22" s="204"/>
      <c r="PEP22" s="204"/>
      <c r="PEQ22" s="204"/>
      <c r="PER22" s="204"/>
      <c r="PES22" s="204"/>
      <c r="PET22" s="204"/>
      <c r="PEU22" s="204"/>
      <c r="PEV22" s="204"/>
      <c r="PEW22" s="204"/>
      <c r="PEX22" s="204"/>
      <c r="PEY22" s="204"/>
      <c r="PEZ22" s="204"/>
      <c r="PFA22" s="204"/>
      <c r="PFB22" s="204"/>
      <c r="PFC22" s="204"/>
      <c r="PFD22" s="204"/>
      <c r="PFE22" s="204"/>
      <c r="PFF22" s="204"/>
      <c r="PFG22" s="204"/>
      <c r="PFH22" s="204"/>
      <c r="PFI22" s="204"/>
      <c r="PFJ22" s="204"/>
      <c r="PFK22" s="204"/>
      <c r="PFL22" s="204"/>
      <c r="PFM22" s="204"/>
      <c r="PFN22" s="204"/>
      <c r="PFO22" s="204"/>
      <c r="PFP22" s="204"/>
      <c r="PFQ22" s="204"/>
      <c r="PFR22" s="204"/>
      <c r="PFS22" s="204"/>
      <c r="PFT22" s="204"/>
      <c r="PFU22" s="204"/>
      <c r="PFV22" s="204"/>
      <c r="PFW22" s="204"/>
      <c r="PFX22" s="204"/>
      <c r="PFY22" s="204"/>
      <c r="PFZ22" s="204"/>
      <c r="PGA22" s="204"/>
      <c r="PGB22" s="204"/>
      <c r="PGC22" s="204"/>
      <c r="PGD22" s="204"/>
      <c r="PGE22" s="204"/>
      <c r="PGF22" s="204"/>
      <c r="PGG22" s="204"/>
      <c r="PGH22" s="204"/>
      <c r="PGI22" s="204"/>
      <c r="PGJ22" s="204"/>
      <c r="PGK22" s="204"/>
      <c r="PGL22" s="204"/>
      <c r="PGM22" s="204"/>
      <c r="PGN22" s="204"/>
      <c r="PGO22" s="204"/>
      <c r="PGP22" s="204"/>
      <c r="PGQ22" s="204"/>
      <c r="PGR22" s="204"/>
      <c r="PGS22" s="204"/>
      <c r="PGT22" s="204"/>
      <c r="PGU22" s="204"/>
      <c r="PGV22" s="204"/>
      <c r="PGW22" s="204"/>
      <c r="PGX22" s="204"/>
      <c r="PGY22" s="204"/>
      <c r="PGZ22" s="204"/>
      <c r="PHA22" s="204"/>
      <c r="PHB22" s="204"/>
      <c r="PHC22" s="204"/>
      <c r="PHD22" s="204"/>
      <c r="PHE22" s="204"/>
      <c r="PHF22" s="204"/>
      <c r="PHG22" s="204"/>
      <c r="PHH22" s="204"/>
      <c r="PHI22" s="204"/>
      <c r="PHJ22" s="204"/>
      <c r="PHK22" s="204"/>
      <c r="PHL22" s="204"/>
      <c r="PHM22" s="204"/>
      <c r="PHN22" s="204"/>
      <c r="PHO22" s="204"/>
      <c r="PHP22" s="204"/>
      <c r="PHQ22" s="204"/>
      <c r="PHR22" s="204"/>
      <c r="PHS22" s="204"/>
      <c r="PHT22" s="204"/>
      <c r="PHU22" s="204"/>
      <c r="PHV22" s="204"/>
      <c r="PHW22" s="204"/>
      <c r="PHX22" s="204"/>
      <c r="PHY22" s="204"/>
      <c r="PHZ22" s="204"/>
      <c r="PIA22" s="204"/>
      <c r="PIB22" s="204"/>
      <c r="PIC22" s="204"/>
      <c r="PID22" s="204"/>
      <c r="PIE22" s="204"/>
      <c r="PIF22" s="204"/>
      <c r="PIG22" s="204"/>
      <c r="PIH22" s="204"/>
      <c r="PII22" s="204"/>
      <c r="PIJ22" s="204"/>
      <c r="PIK22" s="204"/>
      <c r="PIL22" s="204"/>
      <c r="PIM22" s="204"/>
      <c r="PIN22" s="204"/>
      <c r="PIO22" s="204"/>
      <c r="PIP22" s="204"/>
      <c r="PIQ22" s="204"/>
      <c r="PIR22" s="204"/>
      <c r="PIS22" s="204"/>
      <c r="PIT22" s="204"/>
      <c r="PIU22" s="204"/>
      <c r="PIV22" s="204"/>
      <c r="PIW22" s="204"/>
      <c r="PIX22" s="204"/>
      <c r="PIY22" s="204"/>
      <c r="PIZ22" s="204"/>
      <c r="PJA22" s="204"/>
      <c r="PJB22" s="204"/>
      <c r="PJC22" s="204"/>
      <c r="PJD22" s="204"/>
      <c r="PJE22" s="204"/>
      <c r="PJF22" s="204"/>
      <c r="PJG22" s="204"/>
      <c r="PJH22" s="204"/>
      <c r="PJI22" s="204"/>
      <c r="PJJ22" s="204"/>
      <c r="PJK22" s="204"/>
      <c r="PJL22" s="204"/>
      <c r="PJM22" s="204"/>
      <c r="PJN22" s="204"/>
      <c r="PJO22" s="204"/>
      <c r="PJP22" s="204"/>
      <c r="PJQ22" s="204"/>
      <c r="PJR22" s="204"/>
      <c r="PJS22" s="204"/>
      <c r="PJT22" s="204"/>
      <c r="PJU22" s="204"/>
      <c r="PJV22" s="204"/>
      <c r="PJW22" s="204"/>
      <c r="PJX22" s="204"/>
      <c r="PJY22" s="204"/>
      <c r="PJZ22" s="204"/>
      <c r="PKA22" s="204"/>
      <c r="PKB22" s="204"/>
      <c r="PKC22" s="204"/>
      <c r="PKD22" s="204"/>
      <c r="PKE22" s="204"/>
      <c r="PKF22" s="204"/>
      <c r="PKG22" s="204"/>
      <c r="PKH22" s="204"/>
      <c r="PKI22" s="204"/>
      <c r="PKJ22" s="204"/>
      <c r="PKK22" s="204"/>
      <c r="PKL22" s="204"/>
      <c r="PKM22" s="204"/>
      <c r="PKN22" s="204"/>
      <c r="PKO22" s="204"/>
      <c r="PKP22" s="204"/>
      <c r="PKQ22" s="204"/>
      <c r="PKR22" s="204"/>
      <c r="PKS22" s="204"/>
      <c r="PKT22" s="204"/>
      <c r="PKU22" s="204"/>
      <c r="PKV22" s="204"/>
      <c r="PKW22" s="204"/>
      <c r="PKX22" s="204"/>
      <c r="PKY22" s="204"/>
      <c r="PKZ22" s="204"/>
      <c r="PLA22" s="204"/>
      <c r="PLB22" s="204"/>
      <c r="PLC22" s="204"/>
      <c r="PLD22" s="204"/>
      <c r="PLE22" s="204"/>
      <c r="PLF22" s="204"/>
      <c r="PLG22" s="204"/>
      <c r="PLH22" s="204"/>
      <c r="PLI22" s="204"/>
      <c r="PLJ22" s="204"/>
      <c r="PLK22" s="204"/>
      <c r="PLL22" s="204"/>
      <c r="PLM22" s="204"/>
      <c r="PLN22" s="204"/>
      <c r="PLO22" s="204"/>
      <c r="PLP22" s="204"/>
      <c r="PLQ22" s="204"/>
      <c r="PLR22" s="204"/>
      <c r="PLS22" s="204"/>
      <c r="PLT22" s="204"/>
      <c r="PLU22" s="204"/>
      <c r="PLV22" s="204"/>
      <c r="PLW22" s="204"/>
      <c r="PLX22" s="204"/>
      <c r="PLY22" s="204"/>
      <c r="PLZ22" s="204"/>
      <c r="PMA22" s="204"/>
      <c r="PMB22" s="204"/>
      <c r="PMC22" s="204"/>
      <c r="PMD22" s="204"/>
      <c r="PME22" s="204"/>
      <c r="PMF22" s="204"/>
      <c r="PMG22" s="204"/>
      <c r="PMH22" s="204"/>
      <c r="PMI22" s="204"/>
      <c r="PMJ22" s="204"/>
      <c r="PMK22" s="204"/>
      <c r="PML22" s="204"/>
      <c r="PMM22" s="204"/>
      <c r="PMN22" s="204"/>
      <c r="PMO22" s="204"/>
      <c r="PMP22" s="204"/>
      <c r="PMQ22" s="204"/>
      <c r="PMR22" s="204"/>
      <c r="PMS22" s="204"/>
      <c r="PMT22" s="204"/>
      <c r="PMU22" s="204"/>
      <c r="PMV22" s="204"/>
      <c r="PMW22" s="204"/>
      <c r="PMX22" s="204"/>
      <c r="PMY22" s="204"/>
      <c r="PMZ22" s="204"/>
      <c r="PNA22" s="204"/>
      <c r="PNB22" s="204"/>
      <c r="PNC22" s="204"/>
      <c r="PND22" s="204"/>
      <c r="PNE22" s="204"/>
      <c r="PNF22" s="204"/>
      <c r="PNG22" s="204"/>
      <c r="PNH22" s="204"/>
      <c r="PNI22" s="204"/>
      <c r="PNJ22" s="204"/>
      <c r="PNK22" s="204"/>
      <c r="PNL22" s="204"/>
      <c r="PNM22" s="204"/>
      <c r="PNN22" s="204"/>
      <c r="PNO22" s="204"/>
      <c r="PNP22" s="204"/>
      <c r="PNQ22" s="204"/>
      <c r="PNR22" s="204"/>
      <c r="PNS22" s="204"/>
      <c r="PNT22" s="204"/>
      <c r="PNU22" s="204"/>
      <c r="PNV22" s="204"/>
      <c r="PNW22" s="204"/>
      <c r="PNX22" s="204"/>
      <c r="PNY22" s="204"/>
      <c r="PNZ22" s="204"/>
      <c r="POA22" s="204"/>
      <c r="POB22" s="204"/>
      <c r="POC22" s="204"/>
      <c r="POD22" s="204"/>
      <c r="POE22" s="204"/>
      <c r="POF22" s="204"/>
      <c r="POG22" s="204"/>
      <c r="POH22" s="204"/>
      <c r="POI22" s="204"/>
      <c r="POJ22" s="204"/>
      <c r="POK22" s="204"/>
      <c r="POL22" s="204"/>
      <c r="POM22" s="204"/>
      <c r="PON22" s="204"/>
      <c r="POO22" s="204"/>
      <c r="POP22" s="204"/>
      <c r="POQ22" s="204"/>
      <c r="POR22" s="204"/>
      <c r="POS22" s="204"/>
      <c r="POT22" s="204"/>
      <c r="POU22" s="204"/>
      <c r="POV22" s="204"/>
      <c r="POW22" s="204"/>
      <c r="POX22" s="204"/>
      <c r="POY22" s="204"/>
      <c r="POZ22" s="204"/>
      <c r="PPA22" s="204"/>
      <c r="PPB22" s="204"/>
      <c r="PPC22" s="204"/>
      <c r="PPD22" s="204"/>
      <c r="PPE22" s="204"/>
      <c r="PPF22" s="204"/>
      <c r="PPG22" s="204"/>
      <c r="PPH22" s="204"/>
      <c r="PPI22" s="204"/>
      <c r="PPJ22" s="204"/>
      <c r="PPK22" s="204"/>
      <c r="PPL22" s="204"/>
      <c r="PPM22" s="204"/>
      <c r="PPN22" s="204"/>
      <c r="PPO22" s="204"/>
      <c r="PPP22" s="204"/>
      <c r="PPQ22" s="204"/>
      <c r="PPR22" s="204"/>
      <c r="PPS22" s="204"/>
      <c r="PPT22" s="204"/>
      <c r="PPU22" s="204"/>
      <c r="PPV22" s="204"/>
      <c r="PPW22" s="204"/>
      <c r="PPX22" s="204"/>
      <c r="PPY22" s="204"/>
      <c r="PPZ22" s="204"/>
      <c r="PQA22" s="204"/>
      <c r="PQB22" s="204"/>
      <c r="PQC22" s="204"/>
      <c r="PQD22" s="204"/>
      <c r="PQE22" s="204"/>
      <c r="PQF22" s="204"/>
      <c r="PQG22" s="204"/>
      <c r="PQH22" s="204"/>
      <c r="PQI22" s="204"/>
      <c r="PQJ22" s="204"/>
      <c r="PQK22" s="204"/>
      <c r="PQL22" s="204"/>
      <c r="PQM22" s="204"/>
      <c r="PQN22" s="204"/>
      <c r="PQO22" s="204"/>
      <c r="PQP22" s="204"/>
      <c r="PQQ22" s="204"/>
      <c r="PQR22" s="204"/>
      <c r="PQS22" s="204"/>
      <c r="PQT22" s="204"/>
      <c r="PQU22" s="204"/>
      <c r="PQV22" s="204"/>
      <c r="PQW22" s="204"/>
      <c r="PQX22" s="204"/>
      <c r="PQY22" s="204"/>
      <c r="PQZ22" s="204"/>
      <c r="PRA22" s="204"/>
      <c r="PRB22" s="204"/>
      <c r="PRC22" s="204"/>
      <c r="PRD22" s="204"/>
      <c r="PRE22" s="204"/>
      <c r="PRF22" s="204"/>
      <c r="PRG22" s="204"/>
      <c r="PRH22" s="204"/>
      <c r="PRI22" s="204"/>
      <c r="PRJ22" s="204"/>
      <c r="PRK22" s="204"/>
      <c r="PRL22" s="204"/>
      <c r="PRM22" s="204"/>
      <c r="PRN22" s="204"/>
      <c r="PRO22" s="204"/>
      <c r="PRP22" s="204"/>
      <c r="PRQ22" s="204"/>
      <c r="PRR22" s="204"/>
      <c r="PRS22" s="204"/>
      <c r="PRT22" s="204"/>
      <c r="PRU22" s="204"/>
      <c r="PRV22" s="204"/>
      <c r="PRW22" s="204"/>
      <c r="PRX22" s="204"/>
      <c r="PRY22" s="204"/>
      <c r="PRZ22" s="204"/>
      <c r="PSA22" s="204"/>
      <c r="PSB22" s="204"/>
      <c r="PSC22" s="204"/>
      <c r="PSD22" s="204"/>
      <c r="PSE22" s="204"/>
      <c r="PSF22" s="204"/>
      <c r="PSG22" s="204"/>
      <c r="PSH22" s="204"/>
      <c r="PSI22" s="204"/>
      <c r="PSJ22" s="204"/>
      <c r="PSK22" s="204"/>
      <c r="PSL22" s="204"/>
      <c r="PSM22" s="204"/>
      <c r="PSN22" s="204"/>
      <c r="PSO22" s="204"/>
      <c r="PSP22" s="204"/>
      <c r="PSQ22" s="204"/>
      <c r="PSR22" s="204"/>
      <c r="PSS22" s="204"/>
      <c r="PST22" s="204"/>
      <c r="PSU22" s="204"/>
      <c r="PSV22" s="204"/>
      <c r="PSW22" s="204"/>
      <c r="PSX22" s="204"/>
      <c r="PSY22" s="204"/>
      <c r="PSZ22" s="204"/>
      <c r="PTA22" s="204"/>
      <c r="PTB22" s="204"/>
      <c r="PTC22" s="204"/>
      <c r="PTD22" s="204"/>
      <c r="PTE22" s="204"/>
      <c r="PTF22" s="204"/>
      <c r="PTG22" s="204"/>
      <c r="PTH22" s="204"/>
      <c r="PTI22" s="204"/>
      <c r="PTJ22" s="204"/>
      <c r="PTK22" s="204"/>
      <c r="PTL22" s="204"/>
      <c r="PTM22" s="204"/>
      <c r="PTN22" s="204"/>
      <c r="PTO22" s="204"/>
      <c r="PTP22" s="204"/>
      <c r="PTQ22" s="204"/>
      <c r="PTR22" s="204"/>
      <c r="PTS22" s="204"/>
      <c r="PTT22" s="204"/>
      <c r="PTU22" s="204"/>
      <c r="PTV22" s="204"/>
      <c r="PTW22" s="204"/>
      <c r="PTX22" s="204"/>
      <c r="PTY22" s="204"/>
      <c r="PTZ22" s="204"/>
      <c r="PUA22" s="204"/>
      <c r="PUB22" s="204"/>
      <c r="PUC22" s="204"/>
      <c r="PUD22" s="204"/>
      <c r="PUE22" s="204"/>
      <c r="PUF22" s="204"/>
      <c r="PUG22" s="204"/>
      <c r="PUH22" s="204"/>
      <c r="PUI22" s="204"/>
      <c r="PUJ22" s="204"/>
      <c r="PUK22" s="204"/>
      <c r="PUL22" s="204"/>
      <c r="PUM22" s="204"/>
      <c r="PUN22" s="204"/>
      <c r="PUO22" s="204"/>
      <c r="PUP22" s="204"/>
      <c r="PUQ22" s="204"/>
      <c r="PUR22" s="204"/>
      <c r="PUS22" s="204"/>
      <c r="PUT22" s="204"/>
      <c r="PUU22" s="204"/>
      <c r="PUV22" s="204"/>
      <c r="PUW22" s="204"/>
      <c r="PUX22" s="204"/>
      <c r="PUY22" s="204"/>
      <c r="PUZ22" s="204"/>
      <c r="PVA22" s="204"/>
      <c r="PVB22" s="204"/>
      <c r="PVC22" s="204"/>
      <c r="PVD22" s="204"/>
      <c r="PVE22" s="204"/>
      <c r="PVF22" s="204"/>
      <c r="PVG22" s="204"/>
      <c r="PVH22" s="204"/>
      <c r="PVI22" s="204"/>
      <c r="PVJ22" s="204"/>
      <c r="PVK22" s="204"/>
      <c r="PVL22" s="204"/>
      <c r="PVM22" s="204"/>
      <c r="PVN22" s="204"/>
      <c r="PVO22" s="204"/>
      <c r="PVP22" s="204"/>
      <c r="PVQ22" s="204"/>
      <c r="PVR22" s="204"/>
      <c r="PVS22" s="204"/>
      <c r="PVT22" s="204"/>
      <c r="PVU22" s="204"/>
      <c r="PVV22" s="204"/>
      <c r="PVW22" s="204"/>
      <c r="PVX22" s="204"/>
      <c r="PVY22" s="204"/>
      <c r="PVZ22" s="204"/>
      <c r="PWA22" s="204"/>
      <c r="PWB22" s="204"/>
      <c r="PWC22" s="204"/>
      <c r="PWD22" s="204"/>
      <c r="PWE22" s="204"/>
      <c r="PWF22" s="204"/>
      <c r="PWG22" s="204"/>
      <c r="PWH22" s="204"/>
      <c r="PWI22" s="204"/>
      <c r="PWJ22" s="204"/>
      <c r="PWK22" s="204"/>
      <c r="PWL22" s="204"/>
      <c r="PWM22" s="204"/>
      <c r="PWN22" s="204"/>
      <c r="PWO22" s="204"/>
      <c r="PWP22" s="204"/>
      <c r="PWQ22" s="204"/>
      <c r="PWR22" s="204"/>
      <c r="PWS22" s="204"/>
      <c r="PWT22" s="204"/>
      <c r="PWU22" s="204"/>
      <c r="PWV22" s="204"/>
      <c r="PWW22" s="204"/>
      <c r="PWX22" s="204"/>
      <c r="PWY22" s="204"/>
      <c r="PWZ22" s="204"/>
      <c r="PXA22" s="204"/>
      <c r="PXB22" s="204"/>
      <c r="PXC22" s="204"/>
      <c r="PXD22" s="204"/>
      <c r="PXE22" s="204"/>
      <c r="PXF22" s="204"/>
      <c r="PXG22" s="204"/>
      <c r="PXH22" s="204"/>
      <c r="PXI22" s="204"/>
      <c r="PXJ22" s="204"/>
      <c r="PXK22" s="204"/>
      <c r="PXL22" s="204"/>
      <c r="PXM22" s="204"/>
      <c r="PXN22" s="204"/>
      <c r="PXO22" s="204"/>
      <c r="PXP22" s="204"/>
      <c r="PXQ22" s="204"/>
      <c r="PXR22" s="204"/>
      <c r="PXS22" s="204"/>
      <c r="PXT22" s="204"/>
      <c r="PXU22" s="204"/>
      <c r="PXV22" s="204"/>
      <c r="PXW22" s="204"/>
      <c r="PXX22" s="204"/>
      <c r="PXY22" s="204"/>
      <c r="PXZ22" s="204"/>
      <c r="PYA22" s="204"/>
      <c r="PYB22" s="204"/>
      <c r="PYC22" s="204"/>
      <c r="PYD22" s="204"/>
      <c r="PYE22" s="204"/>
      <c r="PYF22" s="204"/>
      <c r="PYG22" s="204"/>
      <c r="PYH22" s="204"/>
      <c r="PYI22" s="204"/>
      <c r="PYJ22" s="204"/>
      <c r="PYK22" s="204"/>
      <c r="PYL22" s="204"/>
      <c r="PYM22" s="204"/>
      <c r="PYN22" s="204"/>
      <c r="PYO22" s="204"/>
      <c r="PYP22" s="204"/>
      <c r="PYQ22" s="204"/>
      <c r="PYR22" s="204"/>
      <c r="PYS22" s="204"/>
      <c r="PYT22" s="204"/>
      <c r="PYU22" s="204"/>
      <c r="PYV22" s="204"/>
      <c r="PYW22" s="204"/>
      <c r="PYX22" s="204"/>
      <c r="PYY22" s="204"/>
      <c r="PYZ22" s="204"/>
      <c r="PZA22" s="204"/>
      <c r="PZB22" s="204"/>
      <c r="PZC22" s="204"/>
      <c r="PZD22" s="204"/>
      <c r="PZE22" s="204"/>
      <c r="PZF22" s="204"/>
      <c r="PZG22" s="204"/>
      <c r="PZH22" s="204"/>
      <c r="PZI22" s="204"/>
      <c r="PZJ22" s="204"/>
      <c r="PZK22" s="204"/>
      <c r="PZL22" s="204"/>
      <c r="PZM22" s="204"/>
      <c r="PZN22" s="204"/>
      <c r="PZO22" s="204"/>
      <c r="PZP22" s="204"/>
      <c r="PZQ22" s="204"/>
      <c r="PZR22" s="204"/>
      <c r="PZS22" s="204"/>
      <c r="PZT22" s="204"/>
      <c r="PZU22" s="204"/>
      <c r="PZV22" s="204"/>
      <c r="PZW22" s="204"/>
      <c r="PZX22" s="204"/>
      <c r="PZY22" s="204"/>
      <c r="PZZ22" s="204"/>
      <c r="QAA22" s="204"/>
      <c r="QAB22" s="204"/>
      <c r="QAC22" s="204"/>
      <c r="QAD22" s="204"/>
      <c r="QAE22" s="204"/>
      <c r="QAF22" s="204"/>
      <c r="QAG22" s="204"/>
      <c r="QAH22" s="204"/>
      <c r="QAI22" s="204"/>
      <c r="QAJ22" s="204"/>
      <c r="QAK22" s="204"/>
      <c r="QAL22" s="204"/>
      <c r="QAM22" s="204"/>
      <c r="QAN22" s="204"/>
      <c r="QAO22" s="204"/>
      <c r="QAP22" s="204"/>
      <c r="QAQ22" s="204"/>
      <c r="QAR22" s="204"/>
      <c r="QAS22" s="204"/>
      <c r="QAT22" s="204"/>
      <c r="QAU22" s="204"/>
      <c r="QAV22" s="204"/>
      <c r="QAW22" s="204"/>
      <c r="QAX22" s="204"/>
      <c r="QAY22" s="204"/>
      <c r="QAZ22" s="204"/>
      <c r="QBA22" s="204"/>
      <c r="QBB22" s="204"/>
      <c r="QBC22" s="204"/>
      <c r="QBD22" s="204"/>
      <c r="QBE22" s="204"/>
      <c r="QBF22" s="204"/>
      <c r="QBG22" s="204"/>
      <c r="QBH22" s="204"/>
      <c r="QBI22" s="204"/>
      <c r="QBJ22" s="204"/>
      <c r="QBK22" s="204"/>
      <c r="QBL22" s="204"/>
      <c r="QBM22" s="204"/>
      <c r="QBN22" s="204"/>
      <c r="QBO22" s="204"/>
      <c r="QBP22" s="204"/>
      <c r="QBQ22" s="204"/>
      <c r="QBR22" s="204"/>
      <c r="QBS22" s="204"/>
      <c r="QBT22" s="204"/>
      <c r="QBU22" s="204"/>
      <c r="QBV22" s="204"/>
      <c r="QBW22" s="204"/>
      <c r="QBX22" s="204"/>
      <c r="QBY22" s="204"/>
      <c r="QBZ22" s="204"/>
      <c r="QCA22" s="204"/>
      <c r="QCB22" s="204"/>
      <c r="QCC22" s="204"/>
      <c r="QCD22" s="204"/>
      <c r="QCE22" s="204"/>
      <c r="QCF22" s="204"/>
      <c r="QCG22" s="204"/>
      <c r="QCH22" s="204"/>
      <c r="QCI22" s="204"/>
      <c r="QCJ22" s="204"/>
      <c r="QCK22" s="204"/>
      <c r="QCL22" s="204"/>
      <c r="QCM22" s="204"/>
      <c r="QCN22" s="204"/>
      <c r="QCO22" s="204"/>
      <c r="QCP22" s="204"/>
      <c r="QCQ22" s="204"/>
      <c r="QCR22" s="204"/>
      <c r="QCS22" s="204"/>
      <c r="QCT22" s="204"/>
      <c r="QCU22" s="204"/>
      <c r="QCV22" s="204"/>
      <c r="QCW22" s="204"/>
      <c r="QCX22" s="204"/>
      <c r="QCY22" s="204"/>
      <c r="QCZ22" s="204"/>
      <c r="QDA22" s="204"/>
      <c r="QDB22" s="204"/>
      <c r="QDC22" s="204"/>
      <c r="QDD22" s="204"/>
      <c r="QDE22" s="204"/>
      <c r="QDF22" s="204"/>
      <c r="QDG22" s="204"/>
      <c r="QDH22" s="204"/>
      <c r="QDI22" s="204"/>
      <c r="QDJ22" s="204"/>
      <c r="QDK22" s="204"/>
      <c r="QDL22" s="204"/>
      <c r="QDM22" s="204"/>
      <c r="QDN22" s="204"/>
      <c r="QDO22" s="204"/>
      <c r="QDP22" s="204"/>
      <c r="QDQ22" s="204"/>
      <c r="QDR22" s="204"/>
      <c r="QDS22" s="204"/>
      <c r="QDT22" s="204"/>
      <c r="QDU22" s="204"/>
      <c r="QDV22" s="204"/>
      <c r="QDW22" s="204"/>
      <c r="QDX22" s="204"/>
      <c r="QDY22" s="204"/>
      <c r="QDZ22" s="204"/>
      <c r="QEA22" s="204"/>
      <c r="QEB22" s="204"/>
      <c r="QEC22" s="204"/>
      <c r="QED22" s="204"/>
      <c r="QEE22" s="204"/>
      <c r="QEF22" s="204"/>
      <c r="QEG22" s="204"/>
      <c r="QEH22" s="204"/>
      <c r="QEI22" s="204"/>
      <c r="QEJ22" s="204"/>
      <c r="QEK22" s="204"/>
      <c r="QEL22" s="204"/>
      <c r="QEM22" s="204"/>
      <c r="QEN22" s="204"/>
      <c r="QEO22" s="204"/>
      <c r="QEP22" s="204"/>
      <c r="QEQ22" s="204"/>
      <c r="QER22" s="204"/>
      <c r="QES22" s="204"/>
      <c r="QET22" s="204"/>
      <c r="QEU22" s="204"/>
      <c r="QEV22" s="204"/>
      <c r="QEW22" s="204"/>
      <c r="QEX22" s="204"/>
      <c r="QEY22" s="204"/>
      <c r="QEZ22" s="204"/>
      <c r="QFA22" s="204"/>
      <c r="QFB22" s="204"/>
      <c r="QFC22" s="204"/>
      <c r="QFD22" s="204"/>
      <c r="QFE22" s="204"/>
      <c r="QFF22" s="204"/>
      <c r="QFG22" s="204"/>
      <c r="QFH22" s="204"/>
      <c r="QFI22" s="204"/>
      <c r="QFJ22" s="204"/>
      <c r="QFK22" s="204"/>
      <c r="QFL22" s="204"/>
      <c r="QFM22" s="204"/>
      <c r="QFN22" s="204"/>
      <c r="QFO22" s="204"/>
      <c r="QFP22" s="204"/>
      <c r="QFQ22" s="204"/>
      <c r="QFR22" s="204"/>
      <c r="QFS22" s="204"/>
      <c r="QFT22" s="204"/>
      <c r="QFU22" s="204"/>
      <c r="QFV22" s="204"/>
      <c r="QFW22" s="204"/>
      <c r="QFX22" s="204"/>
      <c r="QFY22" s="204"/>
      <c r="QFZ22" s="204"/>
      <c r="QGA22" s="204"/>
      <c r="QGB22" s="204"/>
      <c r="QGC22" s="204"/>
      <c r="QGD22" s="204"/>
      <c r="QGE22" s="204"/>
      <c r="QGF22" s="204"/>
      <c r="QGG22" s="204"/>
      <c r="QGH22" s="204"/>
      <c r="QGI22" s="204"/>
      <c r="QGJ22" s="204"/>
      <c r="QGK22" s="204"/>
      <c r="QGL22" s="204"/>
      <c r="QGM22" s="204"/>
      <c r="QGN22" s="204"/>
      <c r="QGO22" s="204"/>
      <c r="QGP22" s="204"/>
      <c r="QGQ22" s="204"/>
      <c r="QGR22" s="204"/>
      <c r="QGS22" s="204"/>
      <c r="QGT22" s="204"/>
      <c r="QGU22" s="204"/>
      <c r="QGV22" s="204"/>
      <c r="QGW22" s="204"/>
      <c r="QGX22" s="204"/>
      <c r="QGY22" s="204"/>
      <c r="QGZ22" s="204"/>
      <c r="QHA22" s="204"/>
      <c r="QHB22" s="204"/>
      <c r="QHC22" s="204"/>
      <c r="QHD22" s="204"/>
      <c r="QHE22" s="204"/>
      <c r="QHF22" s="204"/>
      <c r="QHG22" s="204"/>
      <c r="QHH22" s="204"/>
      <c r="QHI22" s="204"/>
      <c r="QHJ22" s="204"/>
      <c r="QHK22" s="204"/>
      <c r="QHL22" s="204"/>
      <c r="QHM22" s="204"/>
      <c r="QHN22" s="204"/>
      <c r="QHO22" s="204"/>
      <c r="QHP22" s="204"/>
      <c r="QHQ22" s="204"/>
      <c r="QHR22" s="204"/>
      <c r="QHS22" s="204"/>
      <c r="QHT22" s="204"/>
      <c r="QHU22" s="204"/>
      <c r="QHV22" s="204"/>
      <c r="QHW22" s="204"/>
      <c r="QHX22" s="204"/>
      <c r="QHY22" s="204"/>
      <c r="QHZ22" s="204"/>
      <c r="QIA22" s="204"/>
      <c r="QIB22" s="204"/>
      <c r="QIC22" s="204"/>
      <c r="QID22" s="204"/>
      <c r="QIE22" s="204"/>
      <c r="QIF22" s="204"/>
      <c r="QIG22" s="204"/>
      <c r="QIH22" s="204"/>
      <c r="QII22" s="204"/>
      <c r="QIJ22" s="204"/>
      <c r="QIK22" s="204"/>
      <c r="QIL22" s="204"/>
      <c r="QIM22" s="204"/>
      <c r="QIN22" s="204"/>
      <c r="QIO22" s="204"/>
      <c r="QIP22" s="204"/>
      <c r="QIQ22" s="204"/>
      <c r="QIR22" s="204"/>
      <c r="QIS22" s="204"/>
      <c r="QIT22" s="204"/>
      <c r="QIU22" s="204"/>
      <c r="QIV22" s="204"/>
      <c r="QIW22" s="204"/>
      <c r="QIX22" s="204"/>
      <c r="QIY22" s="204"/>
      <c r="QIZ22" s="204"/>
      <c r="QJA22" s="204"/>
      <c r="QJB22" s="204"/>
      <c r="QJC22" s="204"/>
      <c r="QJD22" s="204"/>
      <c r="QJE22" s="204"/>
      <c r="QJF22" s="204"/>
      <c r="QJG22" s="204"/>
      <c r="QJH22" s="204"/>
      <c r="QJI22" s="204"/>
      <c r="QJJ22" s="204"/>
      <c r="QJK22" s="204"/>
      <c r="QJL22" s="204"/>
      <c r="QJM22" s="204"/>
      <c r="QJN22" s="204"/>
      <c r="QJO22" s="204"/>
      <c r="QJP22" s="204"/>
      <c r="QJQ22" s="204"/>
      <c r="QJR22" s="204"/>
      <c r="QJS22" s="204"/>
      <c r="QJT22" s="204"/>
      <c r="QJU22" s="204"/>
      <c r="QJV22" s="204"/>
      <c r="QJW22" s="204"/>
      <c r="QJX22" s="204"/>
      <c r="QJY22" s="204"/>
      <c r="QJZ22" s="204"/>
      <c r="QKA22" s="204"/>
      <c r="QKB22" s="204"/>
      <c r="QKC22" s="204"/>
      <c r="QKD22" s="204"/>
      <c r="QKE22" s="204"/>
      <c r="QKF22" s="204"/>
      <c r="QKG22" s="204"/>
      <c r="QKH22" s="204"/>
      <c r="QKI22" s="204"/>
      <c r="QKJ22" s="204"/>
      <c r="QKK22" s="204"/>
      <c r="QKL22" s="204"/>
      <c r="QKM22" s="204"/>
      <c r="QKN22" s="204"/>
      <c r="QKO22" s="204"/>
      <c r="QKP22" s="204"/>
      <c r="QKQ22" s="204"/>
      <c r="QKR22" s="204"/>
      <c r="QKS22" s="204"/>
      <c r="QKT22" s="204"/>
      <c r="QKU22" s="204"/>
      <c r="QKV22" s="204"/>
      <c r="QKW22" s="204"/>
      <c r="QKX22" s="204"/>
      <c r="QKY22" s="204"/>
      <c r="QKZ22" s="204"/>
      <c r="QLA22" s="204"/>
      <c r="QLB22" s="204"/>
      <c r="QLC22" s="204"/>
      <c r="QLD22" s="204"/>
      <c r="QLE22" s="204"/>
      <c r="QLF22" s="204"/>
      <c r="QLG22" s="204"/>
      <c r="QLH22" s="204"/>
      <c r="QLI22" s="204"/>
      <c r="QLJ22" s="204"/>
      <c r="QLK22" s="204"/>
      <c r="QLL22" s="204"/>
      <c r="QLM22" s="204"/>
      <c r="QLN22" s="204"/>
      <c r="QLO22" s="204"/>
      <c r="QLP22" s="204"/>
      <c r="QLQ22" s="204"/>
      <c r="QLR22" s="204"/>
      <c r="QLS22" s="204"/>
      <c r="QLT22" s="204"/>
      <c r="QLU22" s="204"/>
      <c r="QLV22" s="204"/>
      <c r="QLW22" s="204"/>
      <c r="QLX22" s="204"/>
      <c r="QLY22" s="204"/>
      <c r="QLZ22" s="204"/>
      <c r="QMA22" s="204"/>
      <c r="QMB22" s="204"/>
      <c r="QMC22" s="204"/>
      <c r="QMD22" s="204"/>
      <c r="QME22" s="204"/>
      <c r="QMF22" s="204"/>
      <c r="QMG22" s="204"/>
      <c r="QMH22" s="204"/>
      <c r="QMI22" s="204"/>
      <c r="QMJ22" s="204"/>
      <c r="QMK22" s="204"/>
      <c r="QML22" s="204"/>
      <c r="QMM22" s="204"/>
      <c r="QMN22" s="204"/>
      <c r="QMO22" s="204"/>
      <c r="QMP22" s="204"/>
      <c r="QMQ22" s="204"/>
      <c r="QMR22" s="204"/>
      <c r="QMS22" s="204"/>
      <c r="QMT22" s="204"/>
      <c r="QMU22" s="204"/>
      <c r="QMV22" s="204"/>
      <c r="QMW22" s="204"/>
      <c r="QMX22" s="204"/>
      <c r="QMY22" s="204"/>
      <c r="QMZ22" s="204"/>
      <c r="QNA22" s="204"/>
      <c r="QNB22" s="204"/>
      <c r="QNC22" s="204"/>
      <c r="QND22" s="204"/>
      <c r="QNE22" s="204"/>
      <c r="QNF22" s="204"/>
      <c r="QNG22" s="204"/>
      <c r="QNH22" s="204"/>
      <c r="QNI22" s="204"/>
      <c r="QNJ22" s="204"/>
      <c r="QNK22" s="204"/>
      <c r="QNL22" s="204"/>
      <c r="QNM22" s="204"/>
      <c r="QNN22" s="204"/>
      <c r="QNO22" s="204"/>
      <c r="QNP22" s="204"/>
      <c r="QNQ22" s="204"/>
      <c r="QNR22" s="204"/>
      <c r="QNS22" s="204"/>
      <c r="QNT22" s="204"/>
      <c r="QNU22" s="204"/>
      <c r="QNV22" s="204"/>
      <c r="QNW22" s="204"/>
      <c r="QNX22" s="204"/>
      <c r="QNY22" s="204"/>
      <c r="QNZ22" s="204"/>
      <c r="QOA22" s="204"/>
      <c r="QOB22" s="204"/>
      <c r="QOC22" s="204"/>
      <c r="QOD22" s="204"/>
      <c r="QOE22" s="204"/>
      <c r="QOF22" s="204"/>
      <c r="QOG22" s="204"/>
      <c r="QOH22" s="204"/>
      <c r="QOI22" s="204"/>
      <c r="QOJ22" s="204"/>
      <c r="QOK22" s="204"/>
      <c r="QOL22" s="204"/>
      <c r="QOM22" s="204"/>
      <c r="QON22" s="204"/>
      <c r="QOO22" s="204"/>
      <c r="QOP22" s="204"/>
      <c r="QOQ22" s="204"/>
      <c r="QOR22" s="204"/>
      <c r="QOS22" s="204"/>
      <c r="QOT22" s="204"/>
      <c r="QOU22" s="204"/>
      <c r="QOV22" s="204"/>
      <c r="QOW22" s="204"/>
      <c r="QOX22" s="204"/>
      <c r="QOY22" s="204"/>
      <c r="QOZ22" s="204"/>
      <c r="QPA22" s="204"/>
      <c r="QPB22" s="204"/>
      <c r="QPC22" s="204"/>
      <c r="QPD22" s="204"/>
      <c r="QPE22" s="204"/>
      <c r="QPF22" s="204"/>
      <c r="QPG22" s="204"/>
      <c r="QPH22" s="204"/>
      <c r="QPI22" s="204"/>
      <c r="QPJ22" s="204"/>
      <c r="QPK22" s="204"/>
      <c r="QPL22" s="204"/>
      <c r="QPM22" s="204"/>
      <c r="QPN22" s="204"/>
      <c r="QPO22" s="204"/>
      <c r="QPP22" s="204"/>
      <c r="QPQ22" s="204"/>
      <c r="QPR22" s="204"/>
      <c r="QPS22" s="204"/>
      <c r="QPT22" s="204"/>
      <c r="QPU22" s="204"/>
      <c r="QPV22" s="204"/>
      <c r="QPW22" s="204"/>
      <c r="QPX22" s="204"/>
      <c r="QPY22" s="204"/>
      <c r="QPZ22" s="204"/>
      <c r="QQA22" s="204"/>
      <c r="QQB22" s="204"/>
      <c r="QQC22" s="204"/>
      <c r="QQD22" s="204"/>
      <c r="QQE22" s="204"/>
      <c r="QQF22" s="204"/>
      <c r="QQG22" s="204"/>
      <c r="QQH22" s="204"/>
      <c r="QQI22" s="204"/>
      <c r="QQJ22" s="204"/>
      <c r="QQK22" s="204"/>
      <c r="QQL22" s="204"/>
      <c r="QQM22" s="204"/>
      <c r="QQN22" s="204"/>
      <c r="QQO22" s="204"/>
      <c r="QQP22" s="204"/>
      <c r="QQQ22" s="204"/>
      <c r="QQR22" s="204"/>
      <c r="QQS22" s="204"/>
      <c r="QQT22" s="204"/>
      <c r="QQU22" s="204"/>
      <c r="QQV22" s="204"/>
      <c r="QQW22" s="204"/>
      <c r="QQX22" s="204"/>
      <c r="QQY22" s="204"/>
      <c r="QQZ22" s="204"/>
      <c r="QRA22" s="204"/>
      <c r="QRB22" s="204"/>
      <c r="QRC22" s="204"/>
      <c r="QRD22" s="204"/>
      <c r="QRE22" s="204"/>
      <c r="QRF22" s="204"/>
      <c r="QRG22" s="204"/>
      <c r="QRH22" s="204"/>
      <c r="QRI22" s="204"/>
      <c r="QRJ22" s="204"/>
      <c r="QRK22" s="204"/>
      <c r="QRL22" s="204"/>
      <c r="QRM22" s="204"/>
      <c r="QRN22" s="204"/>
      <c r="QRO22" s="204"/>
      <c r="QRP22" s="204"/>
      <c r="QRQ22" s="204"/>
      <c r="QRR22" s="204"/>
      <c r="QRS22" s="204"/>
      <c r="QRT22" s="204"/>
      <c r="QRU22" s="204"/>
      <c r="QRV22" s="204"/>
      <c r="QRW22" s="204"/>
      <c r="QRX22" s="204"/>
      <c r="QRY22" s="204"/>
      <c r="QRZ22" s="204"/>
      <c r="QSA22" s="204"/>
      <c r="QSB22" s="204"/>
      <c r="QSC22" s="204"/>
      <c r="QSD22" s="204"/>
      <c r="QSE22" s="204"/>
      <c r="QSF22" s="204"/>
      <c r="QSG22" s="204"/>
      <c r="QSH22" s="204"/>
      <c r="QSI22" s="204"/>
      <c r="QSJ22" s="204"/>
      <c r="QSK22" s="204"/>
      <c r="QSL22" s="204"/>
      <c r="QSM22" s="204"/>
      <c r="QSN22" s="204"/>
      <c r="QSO22" s="204"/>
      <c r="QSP22" s="204"/>
      <c r="QSQ22" s="204"/>
      <c r="QSR22" s="204"/>
      <c r="QSS22" s="204"/>
      <c r="QST22" s="204"/>
      <c r="QSU22" s="204"/>
      <c r="QSV22" s="204"/>
      <c r="QSW22" s="204"/>
      <c r="QSX22" s="204"/>
      <c r="QSY22" s="204"/>
      <c r="QSZ22" s="204"/>
      <c r="QTA22" s="204"/>
      <c r="QTB22" s="204"/>
      <c r="QTC22" s="204"/>
      <c r="QTD22" s="204"/>
      <c r="QTE22" s="204"/>
      <c r="QTF22" s="204"/>
      <c r="QTG22" s="204"/>
      <c r="QTH22" s="204"/>
      <c r="QTI22" s="204"/>
      <c r="QTJ22" s="204"/>
      <c r="QTK22" s="204"/>
      <c r="QTL22" s="204"/>
      <c r="QTM22" s="204"/>
      <c r="QTN22" s="204"/>
      <c r="QTO22" s="204"/>
      <c r="QTP22" s="204"/>
      <c r="QTQ22" s="204"/>
      <c r="QTR22" s="204"/>
      <c r="QTS22" s="204"/>
      <c r="QTT22" s="204"/>
      <c r="QTU22" s="204"/>
      <c r="QTV22" s="204"/>
      <c r="QTW22" s="204"/>
      <c r="QTX22" s="204"/>
      <c r="QTY22" s="204"/>
      <c r="QTZ22" s="204"/>
      <c r="QUA22" s="204"/>
      <c r="QUB22" s="204"/>
      <c r="QUC22" s="204"/>
      <c r="QUD22" s="204"/>
      <c r="QUE22" s="204"/>
      <c r="QUF22" s="204"/>
      <c r="QUG22" s="204"/>
      <c r="QUH22" s="204"/>
      <c r="QUI22" s="204"/>
      <c r="QUJ22" s="204"/>
      <c r="QUK22" s="204"/>
      <c r="QUL22" s="204"/>
      <c r="QUM22" s="204"/>
      <c r="QUN22" s="204"/>
      <c r="QUO22" s="204"/>
      <c r="QUP22" s="204"/>
      <c r="QUQ22" s="204"/>
      <c r="QUR22" s="204"/>
      <c r="QUS22" s="204"/>
      <c r="QUT22" s="204"/>
      <c r="QUU22" s="204"/>
      <c r="QUV22" s="204"/>
      <c r="QUW22" s="204"/>
      <c r="QUX22" s="204"/>
      <c r="QUY22" s="204"/>
      <c r="QUZ22" s="204"/>
      <c r="QVA22" s="204"/>
      <c r="QVB22" s="204"/>
      <c r="QVC22" s="204"/>
      <c r="QVD22" s="204"/>
      <c r="QVE22" s="204"/>
      <c r="QVF22" s="204"/>
      <c r="QVG22" s="204"/>
      <c r="QVH22" s="204"/>
      <c r="QVI22" s="204"/>
      <c r="QVJ22" s="204"/>
      <c r="QVK22" s="204"/>
      <c r="QVL22" s="204"/>
      <c r="QVM22" s="204"/>
      <c r="QVN22" s="204"/>
      <c r="QVO22" s="204"/>
      <c r="QVP22" s="204"/>
      <c r="QVQ22" s="204"/>
      <c r="QVR22" s="204"/>
      <c r="QVS22" s="204"/>
      <c r="QVT22" s="204"/>
      <c r="QVU22" s="204"/>
      <c r="QVV22" s="204"/>
      <c r="QVW22" s="204"/>
      <c r="QVX22" s="204"/>
      <c r="QVY22" s="204"/>
      <c r="QVZ22" s="204"/>
      <c r="QWA22" s="204"/>
      <c r="QWB22" s="204"/>
      <c r="QWC22" s="204"/>
      <c r="QWD22" s="204"/>
      <c r="QWE22" s="204"/>
      <c r="QWF22" s="204"/>
      <c r="QWG22" s="204"/>
      <c r="QWH22" s="204"/>
      <c r="QWI22" s="204"/>
      <c r="QWJ22" s="204"/>
      <c r="QWK22" s="204"/>
      <c r="QWL22" s="204"/>
      <c r="QWM22" s="204"/>
      <c r="QWN22" s="204"/>
      <c r="QWO22" s="204"/>
      <c r="QWP22" s="204"/>
      <c r="QWQ22" s="204"/>
      <c r="QWR22" s="204"/>
      <c r="QWS22" s="204"/>
      <c r="QWT22" s="204"/>
      <c r="QWU22" s="204"/>
      <c r="QWV22" s="204"/>
      <c r="QWW22" s="204"/>
      <c r="QWX22" s="204"/>
      <c r="QWY22" s="204"/>
      <c r="QWZ22" s="204"/>
      <c r="QXA22" s="204"/>
      <c r="QXB22" s="204"/>
      <c r="QXC22" s="204"/>
      <c r="QXD22" s="204"/>
      <c r="QXE22" s="204"/>
      <c r="QXF22" s="204"/>
      <c r="QXG22" s="204"/>
      <c r="QXH22" s="204"/>
      <c r="QXI22" s="204"/>
      <c r="QXJ22" s="204"/>
      <c r="QXK22" s="204"/>
      <c r="QXL22" s="204"/>
      <c r="QXM22" s="204"/>
      <c r="QXN22" s="204"/>
      <c r="QXO22" s="204"/>
      <c r="QXP22" s="204"/>
      <c r="QXQ22" s="204"/>
      <c r="QXR22" s="204"/>
      <c r="QXS22" s="204"/>
      <c r="QXT22" s="204"/>
      <c r="QXU22" s="204"/>
      <c r="QXV22" s="204"/>
      <c r="QXW22" s="204"/>
      <c r="QXX22" s="204"/>
      <c r="QXY22" s="204"/>
      <c r="QXZ22" s="204"/>
      <c r="QYA22" s="204"/>
      <c r="QYB22" s="204"/>
      <c r="QYC22" s="204"/>
      <c r="QYD22" s="204"/>
      <c r="QYE22" s="204"/>
      <c r="QYF22" s="204"/>
      <c r="QYG22" s="204"/>
      <c r="QYH22" s="204"/>
      <c r="QYI22" s="204"/>
      <c r="QYJ22" s="204"/>
      <c r="QYK22" s="204"/>
      <c r="QYL22" s="204"/>
      <c r="QYM22" s="204"/>
      <c r="QYN22" s="204"/>
      <c r="QYO22" s="204"/>
      <c r="QYP22" s="204"/>
      <c r="QYQ22" s="204"/>
      <c r="QYR22" s="204"/>
      <c r="QYS22" s="204"/>
      <c r="QYT22" s="204"/>
      <c r="QYU22" s="204"/>
      <c r="QYV22" s="204"/>
      <c r="QYW22" s="204"/>
      <c r="QYX22" s="204"/>
      <c r="QYY22" s="204"/>
      <c r="QYZ22" s="204"/>
      <c r="QZA22" s="204"/>
      <c r="QZB22" s="204"/>
      <c r="QZC22" s="204"/>
      <c r="QZD22" s="204"/>
      <c r="QZE22" s="204"/>
      <c r="QZF22" s="204"/>
      <c r="QZG22" s="204"/>
      <c r="QZH22" s="204"/>
      <c r="QZI22" s="204"/>
      <c r="QZJ22" s="204"/>
      <c r="QZK22" s="204"/>
      <c r="QZL22" s="204"/>
      <c r="QZM22" s="204"/>
      <c r="QZN22" s="204"/>
      <c r="QZO22" s="204"/>
      <c r="QZP22" s="204"/>
      <c r="QZQ22" s="204"/>
      <c r="QZR22" s="204"/>
      <c r="QZS22" s="204"/>
      <c r="QZT22" s="204"/>
      <c r="QZU22" s="204"/>
      <c r="QZV22" s="204"/>
      <c r="QZW22" s="204"/>
      <c r="QZX22" s="204"/>
      <c r="QZY22" s="204"/>
      <c r="QZZ22" s="204"/>
      <c r="RAA22" s="204"/>
      <c r="RAB22" s="204"/>
      <c r="RAC22" s="204"/>
      <c r="RAD22" s="204"/>
      <c r="RAE22" s="204"/>
      <c r="RAF22" s="204"/>
      <c r="RAG22" s="204"/>
      <c r="RAH22" s="204"/>
      <c r="RAI22" s="204"/>
      <c r="RAJ22" s="204"/>
      <c r="RAK22" s="204"/>
      <c r="RAL22" s="204"/>
      <c r="RAM22" s="204"/>
      <c r="RAN22" s="204"/>
      <c r="RAO22" s="204"/>
      <c r="RAP22" s="204"/>
      <c r="RAQ22" s="204"/>
      <c r="RAR22" s="204"/>
      <c r="RAS22" s="204"/>
      <c r="RAT22" s="204"/>
      <c r="RAU22" s="204"/>
      <c r="RAV22" s="204"/>
      <c r="RAW22" s="204"/>
      <c r="RAX22" s="204"/>
      <c r="RAY22" s="204"/>
      <c r="RAZ22" s="204"/>
      <c r="RBA22" s="204"/>
      <c r="RBB22" s="204"/>
      <c r="RBC22" s="204"/>
      <c r="RBD22" s="204"/>
      <c r="RBE22" s="204"/>
      <c r="RBF22" s="204"/>
      <c r="RBG22" s="204"/>
      <c r="RBH22" s="204"/>
      <c r="RBI22" s="204"/>
      <c r="RBJ22" s="204"/>
      <c r="RBK22" s="204"/>
      <c r="RBL22" s="204"/>
      <c r="RBM22" s="204"/>
      <c r="RBN22" s="204"/>
      <c r="RBO22" s="204"/>
      <c r="RBP22" s="204"/>
      <c r="RBQ22" s="204"/>
      <c r="RBR22" s="204"/>
      <c r="RBS22" s="204"/>
      <c r="RBT22" s="204"/>
      <c r="RBU22" s="204"/>
      <c r="RBV22" s="204"/>
      <c r="RBW22" s="204"/>
      <c r="RBX22" s="204"/>
      <c r="RBY22" s="204"/>
      <c r="RBZ22" s="204"/>
      <c r="RCA22" s="204"/>
      <c r="RCB22" s="204"/>
      <c r="RCC22" s="204"/>
      <c r="RCD22" s="204"/>
      <c r="RCE22" s="204"/>
      <c r="RCF22" s="204"/>
      <c r="RCG22" s="204"/>
      <c r="RCH22" s="204"/>
      <c r="RCI22" s="204"/>
      <c r="RCJ22" s="204"/>
      <c r="RCK22" s="204"/>
      <c r="RCL22" s="204"/>
      <c r="RCM22" s="204"/>
      <c r="RCN22" s="204"/>
      <c r="RCO22" s="204"/>
      <c r="RCP22" s="204"/>
      <c r="RCQ22" s="204"/>
      <c r="RCR22" s="204"/>
      <c r="RCS22" s="204"/>
      <c r="RCT22" s="204"/>
      <c r="RCU22" s="204"/>
      <c r="RCV22" s="204"/>
      <c r="RCW22" s="204"/>
      <c r="RCX22" s="204"/>
      <c r="RCY22" s="204"/>
      <c r="RCZ22" s="204"/>
      <c r="RDA22" s="204"/>
      <c r="RDB22" s="204"/>
      <c r="RDC22" s="204"/>
      <c r="RDD22" s="204"/>
      <c r="RDE22" s="204"/>
      <c r="RDF22" s="204"/>
      <c r="RDG22" s="204"/>
      <c r="RDH22" s="204"/>
      <c r="RDI22" s="204"/>
      <c r="RDJ22" s="204"/>
      <c r="RDK22" s="204"/>
      <c r="RDL22" s="204"/>
      <c r="RDM22" s="204"/>
      <c r="RDN22" s="204"/>
      <c r="RDO22" s="204"/>
      <c r="RDP22" s="204"/>
      <c r="RDQ22" s="204"/>
      <c r="RDR22" s="204"/>
      <c r="RDS22" s="204"/>
      <c r="RDT22" s="204"/>
      <c r="RDU22" s="204"/>
      <c r="RDV22" s="204"/>
      <c r="RDW22" s="204"/>
      <c r="RDX22" s="204"/>
      <c r="RDY22" s="204"/>
      <c r="RDZ22" s="204"/>
      <c r="REA22" s="204"/>
      <c r="REB22" s="204"/>
      <c r="REC22" s="204"/>
      <c r="RED22" s="204"/>
      <c r="REE22" s="204"/>
      <c r="REF22" s="204"/>
      <c r="REG22" s="204"/>
      <c r="REH22" s="204"/>
      <c r="REI22" s="204"/>
      <c r="REJ22" s="204"/>
      <c r="REK22" s="204"/>
      <c r="REL22" s="204"/>
      <c r="REM22" s="204"/>
      <c r="REN22" s="204"/>
      <c r="REO22" s="204"/>
      <c r="REP22" s="204"/>
      <c r="REQ22" s="204"/>
      <c r="RER22" s="204"/>
      <c r="RES22" s="204"/>
      <c r="RET22" s="204"/>
      <c r="REU22" s="204"/>
      <c r="REV22" s="204"/>
      <c r="REW22" s="204"/>
      <c r="REX22" s="204"/>
      <c r="REY22" s="204"/>
      <c r="REZ22" s="204"/>
      <c r="RFA22" s="204"/>
      <c r="RFB22" s="204"/>
      <c r="RFC22" s="204"/>
      <c r="RFD22" s="204"/>
      <c r="RFE22" s="204"/>
      <c r="RFF22" s="204"/>
      <c r="RFG22" s="204"/>
      <c r="RFH22" s="204"/>
      <c r="RFI22" s="204"/>
      <c r="RFJ22" s="204"/>
      <c r="RFK22" s="204"/>
      <c r="RFL22" s="204"/>
      <c r="RFM22" s="204"/>
      <c r="RFN22" s="204"/>
      <c r="RFO22" s="204"/>
      <c r="RFP22" s="204"/>
      <c r="RFQ22" s="204"/>
      <c r="RFR22" s="204"/>
      <c r="RFS22" s="204"/>
      <c r="RFT22" s="204"/>
      <c r="RFU22" s="204"/>
      <c r="RFV22" s="204"/>
      <c r="RFW22" s="204"/>
      <c r="RFX22" s="204"/>
      <c r="RFY22" s="204"/>
      <c r="RFZ22" s="204"/>
      <c r="RGA22" s="204"/>
      <c r="RGB22" s="204"/>
      <c r="RGC22" s="204"/>
      <c r="RGD22" s="204"/>
      <c r="RGE22" s="204"/>
      <c r="RGF22" s="204"/>
      <c r="RGG22" s="204"/>
      <c r="RGH22" s="204"/>
      <c r="RGI22" s="204"/>
      <c r="RGJ22" s="204"/>
      <c r="RGK22" s="204"/>
      <c r="RGL22" s="204"/>
      <c r="RGM22" s="204"/>
      <c r="RGN22" s="204"/>
      <c r="RGO22" s="204"/>
      <c r="RGP22" s="204"/>
      <c r="RGQ22" s="204"/>
      <c r="RGR22" s="204"/>
      <c r="RGS22" s="204"/>
      <c r="RGT22" s="204"/>
      <c r="RGU22" s="204"/>
      <c r="RGV22" s="204"/>
      <c r="RGW22" s="204"/>
      <c r="RGX22" s="204"/>
      <c r="RGY22" s="204"/>
      <c r="RGZ22" s="204"/>
      <c r="RHA22" s="204"/>
      <c r="RHB22" s="204"/>
      <c r="RHC22" s="204"/>
      <c r="RHD22" s="204"/>
      <c r="RHE22" s="204"/>
      <c r="RHF22" s="204"/>
      <c r="RHG22" s="204"/>
      <c r="RHH22" s="204"/>
      <c r="RHI22" s="204"/>
      <c r="RHJ22" s="204"/>
      <c r="RHK22" s="204"/>
      <c r="RHL22" s="204"/>
      <c r="RHM22" s="204"/>
      <c r="RHN22" s="204"/>
      <c r="RHO22" s="204"/>
      <c r="RHP22" s="204"/>
      <c r="RHQ22" s="204"/>
      <c r="RHR22" s="204"/>
      <c r="RHS22" s="204"/>
      <c r="RHT22" s="204"/>
      <c r="RHU22" s="204"/>
      <c r="RHV22" s="204"/>
      <c r="RHW22" s="204"/>
      <c r="RHX22" s="204"/>
      <c r="RHY22" s="204"/>
      <c r="RHZ22" s="204"/>
      <c r="RIA22" s="204"/>
      <c r="RIB22" s="204"/>
      <c r="RIC22" s="204"/>
      <c r="RID22" s="204"/>
      <c r="RIE22" s="204"/>
      <c r="RIF22" s="204"/>
      <c r="RIG22" s="204"/>
      <c r="RIH22" s="204"/>
      <c r="RII22" s="204"/>
      <c r="RIJ22" s="204"/>
      <c r="RIK22" s="204"/>
      <c r="RIL22" s="204"/>
      <c r="RIM22" s="204"/>
      <c r="RIN22" s="204"/>
      <c r="RIO22" s="204"/>
      <c r="RIP22" s="204"/>
      <c r="RIQ22" s="204"/>
      <c r="RIR22" s="204"/>
      <c r="RIS22" s="204"/>
      <c r="RIT22" s="204"/>
      <c r="RIU22" s="204"/>
      <c r="RIV22" s="204"/>
      <c r="RIW22" s="204"/>
      <c r="RIX22" s="204"/>
      <c r="RIY22" s="204"/>
      <c r="RIZ22" s="204"/>
      <c r="RJA22" s="204"/>
      <c r="RJB22" s="204"/>
      <c r="RJC22" s="204"/>
      <c r="RJD22" s="204"/>
      <c r="RJE22" s="204"/>
      <c r="RJF22" s="204"/>
      <c r="RJG22" s="204"/>
      <c r="RJH22" s="204"/>
      <c r="RJI22" s="204"/>
      <c r="RJJ22" s="204"/>
      <c r="RJK22" s="204"/>
      <c r="RJL22" s="204"/>
      <c r="RJM22" s="204"/>
      <c r="RJN22" s="204"/>
      <c r="RJO22" s="204"/>
      <c r="RJP22" s="204"/>
      <c r="RJQ22" s="204"/>
      <c r="RJR22" s="204"/>
      <c r="RJS22" s="204"/>
      <c r="RJT22" s="204"/>
      <c r="RJU22" s="204"/>
      <c r="RJV22" s="204"/>
      <c r="RJW22" s="204"/>
      <c r="RJX22" s="204"/>
      <c r="RJY22" s="204"/>
      <c r="RJZ22" s="204"/>
      <c r="RKA22" s="204"/>
      <c r="RKB22" s="204"/>
      <c r="RKC22" s="204"/>
      <c r="RKD22" s="204"/>
      <c r="RKE22" s="204"/>
      <c r="RKF22" s="204"/>
      <c r="RKG22" s="204"/>
      <c r="RKH22" s="204"/>
      <c r="RKI22" s="204"/>
      <c r="RKJ22" s="204"/>
      <c r="RKK22" s="204"/>
      <c r="RKL22" s="204"/>
      <c r="RKM22" s="204"/>
      <c r="RKN22" s="204"/>
      <c r="RKO22" s="204"/>
      <c r="RKP22" s="204"/>
      <c r="RKQ22" s="204"/>
      <c r="RKR22" s="204"/>
      <c r="RKS22" s="204"/>
      <c r="RKT22" s="204"/>
      <c r="RKU22" s="204"/>
      <c r="RKV22" s="204"/>
      <c r="RKW22" s="204"/>
      <c r="RKX22" s="204"/>
      <c r="RKY22" s="204"/>
      <c r="RKZ22" s="204"/>
      <c r="RLA22" s="204"/>
      <c r="RLB22" s="204"/>
      <c r="RLC22" s="204"/>
      <c r="RLD22" s="204"/>
      <c r="RLE22" s="204"/>
      <c r="RLF22" s="204"/>
      <c r="RLG22" s="204"/>
      <c r="RLH22" s="204"/>
      <c r="RLI22" s="204"/>
      <c r="RLJ22" s="204"/>
      <c r="RLK22" s="204"/>
      <c r="RLL22" s="204"/>
      <c r="RLM22" s="204"/>
      <c r="RLN22" s="204"/>
      <c r="RLO22" s="204"/>
      <c r="RLP22" s="204"/>
      <c r="RLQ22" s="204"/>
      <c r="RLR22" s="204"/>
      <c r="RLS22" s="204"/>
      <c r="RLT22" s="204"/>
      <c r="RLU22" s="204"/>
      <c r="RLV22" s="204"/>
      <c r="RLW22" s="204"/>
      <c r="RLX22" s="204"/>
      <c r="RLY22" s="204"/>
      <c r="RLZ22" s="204"/>
      <c r="RMA22" s="204"/>
      <c r="RMB22" s="204"/>
      <c r="RMC22" s="204"/>
      <c r="RMD22" s="204"/>
      <c r="RME22" s="204"/>
      <c r="RMF22" s="204"/>
      <c r="RMG22" s="204"/>
      <c r="RMH22" s="204"/>
      <c r="RMI22" s="204"/>
      <c r="RMJ22" s="204"/>
      <c r="RMK22" s="204"/>
      <c r="RML22" s="204"/>
      <c r="RMM22" s="204"/>
      <c r="RMN22" s="204"/>
      <c r="RMO22" s="204"/>
      <c r="RMP22" s="204"/>
      <c r="RMQ22" s="204"/>
      <c r="RMR22" s="204"/>
      <c r="RMS22" s="204"/>
      <c r="RMT22" s="204"/>
      <c r="RMU22" s="204"/>
      <c r="RMV22" s="204"/>
      <c r="RMW22" s="204"/>
      <c r="RMX22" s="204"/>
      <c r="RMY22" s="204"/>
      <c r="RMZ22" s="204"/>
      <c r="RNA22" s="204"/>
      <c r="RNB22" s="204"/>
      <c r="RNC22" s="204"/>
      <c r="RND22" s="204"/>
      <c r="RNE22" s="204"/>
      <c r="RNF22" s="204"/>
      <c r="RNG22" s="204"/>
      <c r="RNH22" s="204"/>
      <c r="RNI22" s="204"/>
      <c r="RNJ22" s="204"/>
      <c r="RNK22" s="204"/>
      <c r="RNL22" s="204"/>
      <c r="RNM22" s="204"/>
      <c r="RNN22" s="204"/>
      <c r="RNO22" s="204"/>
      <c r="RNP22" s="204"/>
      <c r="RNQ22" s="204"/>
      <c r="RNR22" s="204"/>
      <c r="RNS22" s="204"/>
      <c r="RNT22" s="204"/>
      <c r="RNU22" s="204"/>
      <c r="RNV22" s="204"/>
      <c r="RNW22" s="204"/>
      <c r="RNX22" s="204"/>
      <c r="RNY22" s="204"/>
      <c r="RNZ22" s="204"/>
      <c r="ROA22" s="204"/>
      <c r="ROB22" s="204"/>
      <c r="ROC22" s="204"/>
      <c r="ROD22" s="204"/>
      <c r="ROE22" s="204"/>
      <c r="ROF22" s="204"/>
      <c r="ROG22" s="204"/>
      <c r="ROH22" s="204"/>
      <c r="ROI22" s="204"/>
      <c r="ROJ22" s="204"/>
      <c r="ROK22" s="204"/>
      <c r="ROL22" s="204"/>
      <c r="ROM22" s="204"/>
      <c r="RON22" s="204"/>
      <c r="ROO22" s="204"/>
      <c r="ROP22" s="204"/>
      <c r="ROQ22" s="204"/>
      <c r="ROR22" s="204"/>
      <c r="ROS22" s="204"/>
      <c r="ROT22" s="204"/>
      <c r="ROU22" s="204"/>
      <c r="ROV22" s="204"/>
      <c r="ROW22" s="204"/>
      <c r="ROX22" s="204"/>
      <c r="ROY22" s="204"/>
      <c r="ROZ22" s="204"/>
      <c r="RPA22" s="204"/>
      <c r="RPB22" s="204"/>
      <c r="RPC22" s="204"/>
      <c r="RPD22" s="204"/>
      <c r="RPE22" s="204"/>
      <c r="RPF22" s="204"/>
      <c r="RPG22" s="204"/>
      <c r="RPH22" s="204"/>
      <c r="RPI22" s="204"/>
      <c r="RPJ22" s="204"/>
      <c r="RPK22" s="204"/>
      <c r="RPL22" s="204"/>
      <c r="RPM22" s="204"/>
      <c r="RPN22" s="204"/>
      <c r="RPO22" s="204"/>
      <c r="RPP22" s="204"/>
      <c r="RPQ22" s="204"/>
      <c r="RPR22" s="204"/>
      <c r="RPS22" s="204"/>
      <c r="RPT22" s="204"/>
      <c r="RPU22" s="204"/>
      <c r="RPV22" s="204"/>
      <c r="RPW22" s="204"/>
      <c r="RPX22" s="204"/>
      <c r="RPY22" s="204"/>
      <c r="RPZ22" s="204"/>
      <c r="RQA22" s="204"/>
      <c r="RQB22" s="204"/>
      <c r="RQC22" s="204"/>
      <c r="RQD22" s="204"/>
      <c r="RQE22" s="204"/>
      <c r="RQF22" s="204"/>
      <c r="RQG22" s="204"/>
      <c r="RQH22" s="204"/>
      <c r="RQI22" s="204"/>
      <c r="RQJ22" s="204"/>
      <c r="RQK22" s="204"/>
      <c r="RQL22" s="204"/>
      <c r="RQM22" s="204"/>
      <c r="RQN22" s="204"/>
      <c r="RQO22" s="204"/>
      <c r="RQP22" s="204"/>
      <c r="RQQ22" s="204"/>
      <c r="RQR22" s="204"/>
      <c r="RQS22" s="204"/>
      <c r="RQT22" s="204"/>
      <c r="RQU22" s="204"/>
      <c r="RQV22" s="204"/>
      <c r="RQW22" s="204"/>
      <c r="RQX22" s="204"/>
      <c r="RQY22" s="204"/>
      <c r="RQZ22" s="204"/>
      <c r="RRA22" s="204"/>
      <c r="RRB22" s="204"/>
      <c r="RRC22" s="204"/>
      <c r="RRD22" s="204"/>
      <c r="RRE22" s="204"/>
      <c r="RRF22" s="204"/>
      <c r="RRG22" s="204"/>
      <c r="RRH22" s="204"/>
      <c r="RRI22" s="204"/>
      <c r="RRJ22" s="204"/>
      <c r="RRK22" s="204"/>
      <c r="RRL22" s="204"/>
      <c r="RRM22" s="204"/>
      <c r="RRN22" s="204"/>
      <c r="RRO22" s="204"/>
      <c r="RRP22" s="204"/>
      <c r="RRQ22" s="204"/>
      <c r="RRR22" s="204"/>
      <c r="RRS22" s="204"/>
      <c r="RRT22" s="204"/>
      <c r="RRU22" s="204"/>
      <c r="RRV22" s="204"/>
      <c r="RRW22" s="204"/>
      <c r="RRX22" s="204"/>
      <c r="RRY22" s="204"/>
      <c r="RRZ22" s="204"/>
      <c r="RSA22" s="204"/>
      <c r="RSB22" s="204"/>
      <c r="RSC22" s="204"/>
      <c r="RSD22" s="204"/>
      <c r="RSE22" s="204"/>
      <c r="RSF22" s="204"/>
      <c r="RSG22" s="204"/>
      <c r="RSH22" s="204"/>
      <c r="RSI22" s="204"/>
      <c r="RSJ22" s="204"/>
      <c r="RSK22" s="204"/>
      <c r="RSL22" s="204"/>
      <c r="RSM22" s="204"/>
      <c r="RSN22" s="204"/>
      <c r="RSO22" s="204"/>
      <c r="RSP22" s="204"/>
      <c r="RSQ22" s="204"/>
      <c r="RSR22" s="204"/>
      <c r="RSS22" s="204"/>
      <c r="RST22" s="204"/>
      <c r="RSU22" s="204"/>
      <c r="RSV22" s="204"/>
      <c r="RSW22" s="204"/>
      <c r="RSX22" s="204"/>
      <c r="RSY22" s="204"/>
      <c r="RSZ22" s="204"/>
      <c r="RTA22" s="204"/>
      <c r="RTB22" s="204"/>
      <c r="RTC22" s="204"/>
      <c r="RTD22" s="204"/>
      <c r="RTE22" s="204"/>
      <c r="RTF22" s="204"/>
      <c r="RTG22" s="204"/>
      <c r="RTH22" s="204"/>
      <c r="RTI22" s="204"/>
      <c r="RTJ22" s="204"/>
      <c r="RTK22" s="204"/>
      <c r="RTL22" s="204"/>
      <c r="RTM22" s="204"/>
      <c r="RTN22" s="204"/>
      <c r="RTO22" s="204"/>
      <c r="RTP22" s="204"/>
      <c r="RTQ22" s="204"/>
      <c r="RTR22" s="204"/>
      <c r="RTS22" s="204"/>
      <c r="RTT22" s="204"/>
      <c r="RTU22" s="204"/>
      <c r="RTV22" s="204"/>
      <c r="RTW22" s="204"/>
      <c r="RTX22" s="204"/>
      <c r="RTY22" s="204"/>
      <c r="RTZ22" s="204"/>
      <c r="RUA22" s="204"/>
      <c r="RUB22" s="204"/>
      <c r="RUC22" s="204"/>
      <c r="RUD22" s="204"/>
      <c r="RUE22" s="204"/>
      <c r="RUF22" s="204"/>
      <c r="RUG22" s="204"/>
      <c r="RUH22" s="204"/>
      <c r="RUI22" s="204"/>
      <c r="RUJ22" s="204"/>
      <c r="RUK22" s="204"/>
      <c r="RUL22" s="204"/>
      <c r="RUM22" s="204"/>
      <c r="RUN22" s="204"/>
      <c r="RUO22" s="204"/>
      <c r="RUP22" s="204"/>
      <c r="RUQ22" s="204"/>
      <c r="RUR22" s="204"/>
      <c r="RUS22" s="204"/>
      <c r="RUT22" s="204"/>
      <c r="RUU22" s="204"/>
      <c r="RUV22" s="204"/>
      <c r="RUW22" s="204"/>
      <c r="RUX22" s="204"/>
      <c r="RUY22" s="204"/>
      <c r="RUZ22" s="204"/>
      <c r="RVA22" s="204"/>
      <c r="RVB22" s="204"/>
      <c r="RVC22" s="204"/>
      <c r="RVD22" s="204"/>
      <c r="RVE22" s="204"/>
      <c r="RVF22" s="204"/>
      <c r="RVG22" s="204"/>
      <c r="RVH22" s="204"/>
      <c r="RVI22" s="204"/>
      <c r="RVJ22" s="204"/>
      <c r="RVK22" s="204"/>
      <c r="RVL22" s="204"/>
      <c r="RVM22" s="204"/>
      <c r="RVN22" s="204"/>
      <c r="RVO22" s="204"/>
      <c r="RVP22" s="204"/>
      <c r="RVQ22" s="204"/>
      <c r="RVR22" s="204"/>
      <c r="RVS22" s="204"/>
      <c r="RVT22" s="204"/>
      <c r="RVU22" s="204"/>
      <c r="RVV22" s="204"/>
      <c r="RVW22" s="204"/>
      <c r="RVX22" s="204"/>
      <c r="RVY22" s="204"/>
      <c r="RVZ22" s="204"/>
      <c r="RWA22" s="204"/>
      <c r="RWB22" s="204"/>
      <c r="RWC22" s="204"/>
      <c r="RWD22" s="204"/>
      <c r="RWE22" s="204"/>
      <c r="RWF22" s="204"/>
      <c r="RWG22" s="204"/>
      <c r="RWH22" s="204"/>
      <c r="RWI22" s="204"/>
      <c r="RWJ22" s="204"/>
      <c r="RWK22" s="204"/>
      <c r="RWL22" s="204"/>
      <c r="RWM22" s="204"/>
      <c r="RWN22" s="204"/>
      <c r="RWO22" s="204"/>
      <c r="RWP22" s="204"/>
      <c r="RWQ22" s="204"/>
      <c r="RWR22" s="204"/>
      <c r="RWS22" s="204"/>
      <c r="RWT22" s="204"/>
      <c r="RWU22" s="204"/>
      <c r="RWV22" s="204"/>
      <c r="RWW22" s="204"/>
      <c r="RWX22" s="204"/>
      <c r="RWY22" s="204"/>
      <c r="RWZ22" s="204"/>
      <c r="RXA22" s="204"/>
      <c r="RXB22" s="204"/>
      <c r="RXC22" s="204"/>
      <c r="RXD22" s="204"/>
      <c r="RXE22" s="204"/>
      <c r="RXF22" s="204"/>
      <c r="RXG22" s="204"/>
      <c r="RXH22" s="204"/>
      <c r="RXI22" s="204"/>
      <c r="RXJ22" s="204"/>
      <c r="RXK22" s="204"/>
      <c r="RXL22" s="204"/>
      <c r="RXM22" s="204"/>
      <c r="RXN22" s="204"/>
      <c r="RXO22" s="204"/>
      <c r="RXP22" s="204"/>
      <c r="RXQ22" s="204"/>
      <c r="RXR22" s="204"/>
      <c r="RXS22" s="204"/>
      <c r="RXT22" s="204"/>
      <c r="RXU22" s="204"/>
      <c r="RXV22" s="204"/>
      <c r="RXW22" s="204"/>
      <c r="RXX22" s="204"/>
      <c r="RXY22" s="204"/>
      <c r="RXZ22" s="204"/>
      <c r="RYA22" s="204"/>
      <c r="RYB22" s="204"/>
      <c r="RYC22" s="204"/>
      <c r="RYD22" s="204"/>
      <c r="RYE22" s="204"/>
      <c r="RYF22" s="204"/>
      <c r="RYG22" s="204"/>
      <c r="RYH22" s="204"/>
      <c r="RYI22" s="204"/>
      <c r="RYJ22" s="204"/>
      <c r="RYK22" s="204"/>
      <c r="RYL22" s="204"/>
      <c r="RYM22" s="204"/>
      <c r="RYN22" s="204"/>
      <c r="RYO22" s="204"/>
      <c r="RYP22" s="204"/>
      <c r="RYQ22" s="204"/>
      <c r="RYR22" s="204"/>
      <c r="RYS22" s="204"/>
      <c r="RYT22" s="204"/>
      <c r="RYU22" s="204"/>
      <c r="RYV22" s="204"/>
      <c r="RYW22" s="204"/>
      <c r="RYX22" s="204"/>
      <c r="RYY22" s="204"/>
      <c r="RYZ22" s="204"/>
      <c r="RZA22" s="204"/>
      <c r="RZB22" s="204"/>
      <c r="RZC22" s="204"/>
      <c r="RZD22" s="204"/>
      <c r="RZE22" s="204"/>
      <c r="RZF22" s="204"/>
      <c r="RZG22" s="204"/>
      <c r="RZH22" s="204"/>
      <c r="RZI22" s="204"/>
      <c r="RZJ22" s="204"/>
      <c r="RZK22" s="204"/>
      <c r="RZL22" s="204"/>
      <c r="RZM22" s="204"/>
      <c r="RZN22" s="204"/>
      <c r="RZO22" s="204"/>
      <c r="RZP22" s="204"/>
      <c r="RZQ22" s="204"/>
      <c r="RZR22" s="204"/>
      <c r="RZS22" s="204"/>
      <c r="RZT22" s="204"/>
      <c r="RZU22" s="204"/>
      <c r="RZV22" s="204"/>
      <c r="RZW22" s="204"/>
      <c r="RZX22" s="204"/>
      <c r="RZY22" s="204"/>
      <c r="RZZ22" s="204"/>
      <c r="SAA22" s="204"/>
      <c r="SAB22" s="204"/>
      <c r="SAC22" s="204"/>
      <c r="SAD22" s="204"/>
      <c r="SAE22" s="204"/>
      <c r="SAF22" s="204"/>
      <c r="SAG22" s="204"/>
      <c r="SAH22" s="204"/>
      <c r="SAI22" s="204"/>
      <c r="SAJ22" s="204"/>
      <c r="SAK22" s="204"/>
      <c r="SAL22" s="204"/>
      <c r="SAM22" s="204"/>
      <c r="SAN22" s="204"/>
      <c r="SAO22" s="204"/>
      <c r="SAP22" s="204"/>
      <c r="SAQ22" s="204"/>
      <c r="SAR22" s="204"/>
      <c r="SAS22" s="204"/>
      <c r="SAT22" s="204"/>
      <c r="SAU22" s="204"/>
      <c r="SAV22" s="204"/>
      <c r="SAW22" s="204"/>
      <c r="SAX22" s="204"/>
      <c r="SAY22" s="204"/>
      <c r="SAZ22" s="204"/>
      <c r="SBA22" s="204"/>
      <c r="SBB22" s="204"/>
      <c r="SBC22" s="204"/>
      <c r="SBD22" s="204"/>
      <c r="SBE22" s="204"/>
      <c r="SBF22" s="204"/>
      <c r="SBG22" s="204"/>
      <c r="SBH22" s="204"/>
      <c r="SBI22" s="204"/>
      <c r="SBJ22" s="204"/>
      <c r="SBK22" s="204"/>
      <c r="SBL22" s="204"/>
      <c r="SBM22" s="204"/>
      <c r="SBN22" s="204"/>
      <c r="SBO22" s="204"/>
      <c r="SBP22" s="204"/>
      <c r="SBQ22" s="204"/>
      <c r="SBR22" s="204"/>
      <c r="SBS22" s="204"/>
      <c r="SBT22" s="204"/>
      <c r="SBU22" s="204"/>
      <c r="SBV22" s="204"/>
      <c r="SBW22" s="204"/>
      <c r="SBX22" s="204"/>
      <c r="SBY22" s="204"/>
      <c r="SBZ22" s="204"/>
      <c r="SCA22" s="204"/>
      <c r="SCB22" s="204"/>
      <c r="SCC22" s="204"/>
      <c r="SCD22" s="204"/>
      <c r="SCE22" s="204"/>
      <c r="SCF22" s="204"/>
      <c r="SCG22" s="204"/>
      <c r="SCH22" s="204"/>
      <c r="SCI22" s="204"/>
      <c r="SCJ22" s="204"/>
      <c r="SCK22" s="204"/>
      <c r="SCL22" s="204"/>
      <c r="SCM22" s="204"/>
      <c r="SCN22" s="204"/>
      <c r="SCO22" s="204"/>
      <c r="SCP22" s="204"/>
      <c r="SCQ22" s="204"/>
      <c r="SCR22" s="204"/>
      <c r="SCS22" s="204"/>
      <c r="SCT22" s="204"/>
      <c r="SCU22" s="204"/>
      <c r="SCV22" s="204"/>
      <c r="SCW22" s="204"/>
      <c r="SCX22" s="204"/>
      <c r="SCY22" s="204"/>
      <c r="SCZ22" s="204"/>
      <c r="SDA22" s="204"/>
      <c r="SDB22" s="204"/>
      <c r="SDC22" s="204"/>
      <c r="SDD22" s="204"/>
      <c r="SDE22" s="204"/>
      <c r="SDF22" s="204"/>
      <c r="SDG22" s="204"/>
      <c r="SDH22" s="204"/>
      <c r="SDI22" s="204"/>
      <c r="SDJ22" s="204"/>
      <c r="SDK22" s="204"/>
      <c r="SDL22" s="204"/>
      <c r="SDM22" s="204"/>
      <c r="SDN22" s="204"/>
      <c r="SDO22" s="204"/>
      <c r="SDP22" s="204"/>
      <c r="SDQ22" s="204"/>
      <c r="SDR22" s="204"/>
      <c r="SDS22" s="204"/>
      <c r="SDT22" s="204"/>
      <c r="SDU22" s="204"/>
      <c r="SDV22" s="204"/>
      <c r="SDW22" s="204"/>
      <c r="SDX22" s="204"/>
      <c r="SDY22" s="204"/>
      <c r="SDZ22" s="204"/>
      <c r="SEA22" s="204"/>
      <c r="SEB22" s="204"/>
      <c r="SEC22" s="204"/>
      <c r="SED22" s="204"/>
      <c r="SEE22" s="204"/>
      <c r="SEF22" s="204"/>
      <c r="SEG22" s="204"/>
      <c r="SEH22" s="204"/>
      <c r="SEI22" s="204"/>
      <c r="SEJ22" s="204"/>
      <c r="SEK22" s="204"/>
      <c r="SEL22" s="204"/>
      <c r="SEM22" s="204"/>
      <c r="SEN22" s="204"/>
      <c r="SEO22" s="204"/>
      <c r="SEP22" s="204"/>
      <c r="SEQ22" s="204"/>
      <c r="SER22" s="204"/>
      <c r="SES22" s="204"/>
      <c r="SET22" s="204"/>
      <c r="SEU22" s="204"/>
      <c r="SEV22" s="204"/>
      <c r="SEW22" s="204"/>
      <c r="SEX22" s="204"/>
      <c r="SEY22" s="204"/>
      <c r="SEZ22" s="204"/>
      <c r="SFA22" s="204"/>
      <c r="SFB22" s="204"/>
      <c r="SFC22" s="204"/>
      <c r="SFD22" s="204"/>
      <c r="SFE22" s="204"/>
      <c r="SFF22" s="204"/>
      <c r="SFG22" s="204"/>
      <c r="SFH22" s="204"/>
      <c r="SFI22" s="204"/>
      <c r="SFJ22" s="204"/>
      <c r="SFK22" s="204"/>
      <c r="SFL22" s="204"/>
      <c r="SFM22" s="204"/>
      <c r="SFN22" s="204"/>
      <c r="SFO22" s="204"/>
      <c r="SFP22" s="204"/>
      <c r="SFQ22" s="204"/>
      <c r="SFR22" s="204"/>
      <c r="SFS22" s="204"/>
      <c r="SFT22" s="204"/>
      <c r="SFU22" s="204"/>
      <c r="SFV22" s="204"/>
      <c r="SFW22" s="204"/>
      <c r="SFX22" s="204"/>
      <c r="SFY22" s="204"/>
      <c r="SFZ22" s="204"/>
      <c r="SGA22" s="204"/>
      <c r="SGB22" s="204"/>
      <c r="SGC22" s="204"/>
      <c r="SGD22" s="204"/>
      <c r="SGE22" s="204"/>
      <c r="SGF22" s="204"/>
      <c r="SGG22" s="204"/>
      <c r="SGH22" s="204"/>
      <c r="SGI22" s="204"/>
      <c r="SGJ22" s="204"/>
      <c r="SGK22" s="204"/>
      <c r="SGL22" s="204"/>
      <c r="SGM22" s="204"/>
      <c r="SGN22" s="204"/>
      <c r="SGO22" s="204"/>
      <c r="SGP22" s="204"/>
      <c r="SGQ22" s="204"/>
      <c r="SGR22" s="204"/>
      <c r="SGS22" s="204"/>
      <c r="SGT22" s="204"/>
      <c r="SGU22" s="204"/>
      <c r="SGV22" s="204"/>
      <c r="SGW22" s="204"/>
      <c r="SGX22" s="204"/>
      <c r="SGY22" s="204"/>
      <c r="SGZ22" s="204"/>
      <c r="SHA22" s="204"/>
      <c r="SHB22" s="204"/>
      <c r="SHC22" s="204"/>
      <c r="SHD22" s="204"/>
      <c r="SHE22" s="204"/>
      <c r="SHF22" s="204"/>
      <c r="SHG22" s="204"/>
      <c r="SHH22" s="204"/>
      <c r="SHI22" s="204"/>
      <c r="SHJ22" s="204"/>
      <c r="SHK22" s="204"/>
      <c r="SHL22" s="204"/>
      <c r="SHM22" s="204"/>
      <c r="SHN22" s="204"/>
      <c r="SHO22" s="204"/>
      <c r="SHP22" s="204"/>
      <c r="SHQ22" s="204"/>
      <c r="SHR22" s="204"/>
      <c r="SHS22" s="204"/>
      <c r="SHT22" s="204"/>
      <c r="SHU22" s="204"/>
      <c r="SHV22" s="204"/>
      <c r="SHW22" s="204"/>
      <c r="SHX22" s="204"/>
      <c r="SHY22" s="204"/>
      <c r="SHZ22" s="204"/>
      <c r="SIA22" s="204"/>
      <c r="SIB22" s="204"/>
      <c r="SIC22" s="204"/>
      <c r="SID22" s="204"/>
      <c r="SIE22" s="204"/>
      <c r="SIF22" s="204"/>
      <c r="SIG22" s="204"/>
      <c r="SIH22" s="204"/>
      <c r="SII22" s="204"/>
      <c r="SIJ22" s="204"/>
      <c r="SIK22" s="204"/>
      <c r="SIL22" s="204"/>
      <c r="SIM22" s="204"/>
      <c r="SIN22" s="204"/>
      <c r="SIO22" s="204"/>
      <c r="SIP22" s="204"/>
      <c r="SIQ22" s="204"/>
      <c r="SIR22" s="204"/>
      <c r="SIS22" s="204"/>
      <c r="SIT22" s="204"/>
      <c r="SIU22" s="204"/>
      <c r="SIV22" s="204"/>
      <c r="SIW22" s="204"/>
      <c r="SIX22" s="204"/>
      <c r="SIY22" s="204"/>
      <c r="SIZ22" s="204"/>
      <c r="SJA22" s="204"/>
      <c r="SJB22" s="204"/>
      <c r="SJC22" s="204"/>
      <c r="SJD22" s="204"/>
      <c r="SJE22" s="204"/>
      <c r="SJF22" s="204"/>
      <c r="SJG22" s="204"/>
      <c r="SJH22" s="204"/>
      <c r="SJI22" s="204"/>
      <c r="SJJ22" s="204"/>
      <c r="SJK22" s="204"/>
      <c r="SJL22" s="204"/>
      <c r="SJM22" s="204"/>
      <c r="SJN22" s="204"/>
      <c r="SJO22" s="204"/>
      <c r="SJP22" s="204"/>
      <c r="SJQ22" s="204"/>
      <c r="SJR22" s="204"/>
      <c r="SJS22" s="204"/>
      <c r="SJT22" s="204"/>
      <c r="SJU22" s="204"/>
      <c r="SJV22" s="204"/>
      <c r="SJW22" s="204"/>
      <c r="SJX22" s="204"/>
      <c r="SJY22" s="204"/>
      <c r="SJZ22" s="204"/>
      <c r="SKA22" s="204"/>
      <c r="SKB22" s="204"/>
      <c r="SKC22" s="204"/>
      <c r="SKD22" s="204"/>
      <c r="SKE22" s="204"/>
      <c r="SKF22" s="204"/>
      <c r="SKG22" s="204"/>
      <c r="SKH22" s="204"/>
      <c r="SKI22" s="204"/>
      <c r="SKJ22" s="204"/>
      <c r="SKK22" s="204"/>
      <c r="SKL22" s="204"/>
      <c r="SKM22" s="204"/>
      <c r="SKN22" s="204"/>
      <c r="SKO22" s="204"/>
      <c r="SKP22" s="204"/>
      <c r="SKQ22" s="204"/>
      <c r="SKR22" s="204"/>
      <c r="SKS22" s="204"/>
      <c r="SKT22" s="204"/>
      <c r="SKU22" s="204"/>
      <c r="SKV22" s="204"/>
      <c r="SKW22" s="204"/>
      <c r="SKX22" s="204"/>
      <c r="SKY22" s="204"/>
      <c r="SKZ22" s="204"/>
      <c r="SLA22" s="204"/>
      <c r="SLB22" s="204"/>
      <c r="SLC22" s="204"/>
      <c r="SLD22" s="204"/>
      <c r="SLE22" s="204"/>
      <c r="SLF22" s="204"/>
      <c r="SLG22" s="204"/>
      <c r="SLH22" s="204"/>
      <c r="SLI22" s="204"/>
      <c r="SLJ22" s="204"/>
      <c r="SLK22" s="204"/>
      <c r="SLL22" s="204"/>
      <c r="SLM22" s="204"/>
      <c r="SLN22" s="204"/>
      <c r="SLO22" s="204"/>
      <c r="SLP22" s="204"/>
      <c r="SLQ22" s="204"/>
      <c r="SLR22" s="204"/>
      <c r="SLS22" s="204"/>
      <c r="SLT22" s="204"/>
      <c r="SLU22" s="204"/>
      <c r="SLV22" s="204"/>
      <c r="SLW22" s="204"/>
      <c r="SLX22" s="204"/>
      <c r="SLY22" s="204"/>
      <c r="SLZ22" s="204"/>
      <c r="SMA22" s="204"/>
      <c r="SMB22" s="204"/>
      <c r="SMC22" s="204"/>
      <c r="SMD22" s="204"/>
      <c r="SME22" s="204"/>
      <c r="SMF22" s="204"/>
      <c r="SMG22" s="204"/>
      <c r="SMH22" s="204"/>
      <c r="SMI22" s="204"/>
      <c r="SMJ22" s="204"/>
      <c r="SMK22" s="204"/>
      <c r="SML22" s="204"/>
      <c r="SMM22" s="204"/>
      <c r="SMN22" s="204"/>
      <c r="SMO22" s="204"/>
      <c r="SMP22" s="204"/>
      <c r="SMQ22" s="204"/>
      <c r="SMR22" s="204"/>
      <c r="SMS22" s="204"/>
      <c r="SMT22" s="204"/>
      <c r="SMU22" s="204"/>
      <c r="SMV22" s="204"/>
      <c r="SMW22" s="204"/>
      <c r="SMX22" s="204"/>
      <c r="SMY22" s="204"/>
      <c r="SMZ22" s="204"/>
      <c r="SNA22" s="204"/>
      <c r="SNB22" s="204"/>
      <c r="SNC22" s="204"/>
      <c r="SND22" s="204"/>
      <c r="SNE22" s="204"/>
      <c r="SNF22" s="204"/>
      <c r="SNG22" s="204"/>
      <c r="SNH22" s="204"/>
      <c r="SNI22" s="204"/>
      <c r="SNJ22" s="204"/>
      <c r="SNK22" s="204"/>
      <c r="SNL22" s="204"/>
      <c r="SNM22" s="204"/>
      <c r="SNN22" s="204"/>
      <c r="SNO22" s="204"/>
      <c r="SNP22" s="204"/>
      <c r="SNQ22" s="204"/>
      <c r="SNR22" s="204"/>
      <c r="SNS22" s="204"/>
      <c r="SNT22" s="204"/>
      <c r="SNU22" s="204"/>
      <c r="SNV22" s="204"/>
      <c r="SNW22" s="204"/>
      <c r="SNX22" s="204"/>
      <c r="SNY22" s="204"/>
      <c r="SNZ22" s="204"/>
      <c r="SOA22" s="204"/>
      <c r="SOB22" s="204"/>
      <c r="SOC22" s="204"/>
      <c r="SOD22" s="204"/>
      <c r="SOE22" s="204"/>
      <c r="SOF22" s="204"/>
      <c r="SOG22" s="204"/>
      <c r="SOH22" s="204"/>
      <c r="SOI22" s="204"/>
      <c r="SOJ22" s="204"/>
      <c r="SOK22" s="204"/>
      <c r="SOL22" s="204"/>
      <c r="SOM22" s="204"/>
      <c r="SON22" s="204"/>
      <c r="SOO22" s="204"/>
      <c r="SOP22" s="204"/>
      <c r="SOQ22" s="204"/>
      <c r="SOR22" s="204"/>
      <c r="SOS22" s="204"/>
      <c r="SOT22" s="204"/>
      <c r="SOU22" s="204"/>
      <c r="SOV22" s="204"/>
      <c r="SOW22" s="204"/>
      <c r="SOX22" s="204"/>
      <c r="SOY22" s="204"/>
      <c r="SOZ22" s="204"/>
      <c r="SPA22" s="204"/>
      <c r="SPB22" s="204"/>
      <c r="SPC22" s="204"/>
      <c r="SPD22" s="204"/>
      <c r="SPE22" s="204"/>
      <c r="SPF22" s="204"/>
      <c r="SPG22" s="204"/>
      <c r="SPH22" s="204"/>
      <c r="SPI22" s="204"/>
      <c r="SPJ22" s="204"/>
      <c r="SPK22" s="204"/>
      <c r="SPL22" s="204"/>
      <c r="SPM22" s="204"/>
      <c r="SPN22" s="204"/>
      <c r="SPO22" s="204"/>
      <c r="SPP22" s="204"/>
      <c r="SPQ22" s="204"/>
      <c r="SPR22" s="204"/>
      <c r="SPS22" s="204"/>
      <c r="SPT22" s="204"/>
      <c r="SPU22" s="204"/>
      <c r="SPV22" s="204"/>
      <c r="SPW22" s="204"/>
      <c r="SPX22" s="204"/>
      <c r="SPY22" s="204"/>
      <c r="SPZ22" s="204"/>
      <c r="SQA22" s="204"/>
      <c r="SQB22" s="204"/>
      <c r="SQC22" s="204"/>
      <c r="SQD22" s="204"/>
      <c r="SQE22" s="204"/>
      <c r="SQF22" s="204"/>
      <c r="SQG22" s="204"/>
      <c r="SQH22" s="204"/>
      <c r="SQI22" s="204"/>
      <c r="SQJ22" s="204"/>
      <c r="SQK22" s="204"/>
      <c r="SQL22" s="204"/>
      <c r="SQM22" s="204"/>
      <c r="SQN22" s="204"/>
      <c r="SQO22" s="204"/>
      <c r="SQP22" s="204"/>
      <c r="SQQ22" s="204"/>
      <c r="SQR22" s="204"/>
      <c r="SQS22" s="204"/>
      <c r="SQT22" s="204"/>
      <c r="SQU22" s="204"/>
      <c r="SQV22" s="204"/>
      <c r="SQW22" s="204"/>
      <c r="SQX22" s="204"/>
      <c r="SQY22" s="204"/>
      <c r="SQZ22" s="204"/>
      <c r="SRA22" s="204"/>
      <c r="SRB22" s="204"/>
      <c r="SRC22" s="204"/>
      <c r="SRD22" s="204"/>
      <c r="SRE22" s="204"/>
      <c r="SRF22" s="204"/>
      <c r="SRG22" s="204"/>
      <c r="SRH22" s="204"/>
      <c r="SRI22" s="204"/>
      <c r="SRJ22" s="204"/>
      <c r="SRK22" s="204"/>
      <c r="SRL22" s="204"/>
      <c r="SRM22" s="204"/>
      <c r="SRN22" s="204"/>
      <c r="SRO22" s="204"/>
      <c r="SRP22" s="204"/>
      <c r="SRQ22" s="204"/>
      <c r="SRR22" s="204"/>
      <c r="SRS22" s="204"/>
      <c r="SRT22" s="204"/>
      <c r="SRU22" s="204"/>
      <c r="SRV22" s="204"/>
      <c r="SRW22" s="204"/>
      <c r="SRX22" s="204"/>
      <c r="SRY22" s="204"/>
      <c r="SRZ22" s="204"/>
      <c r="SSA22" s="204"/>
      <c r="SSB22" s="204"/>
      <c r="SSC22" s="204"/>
      <c r="SSD22" s="204"/>
      <c r="SSE22" s="204"/>
      <c r="SSF22" s="204"/>
      <c r="SSG22" s="204"/>
      <c r="SSH22" s="204"/>
      <c r="SSI22" s="204"/>
      <c r="SSJ22" s="204"/>
      <c r="SSK22" s="204"/>
      <c r="SSL22" s="204"/>
      <c r="SSM22" s="204"/>
      <c r="SSN22" s="204"/>
      <c r="SSO22" s="204"/>
      <c r="SSP22" s="204"/>
      <c r="SSQ22" s="204"/>
      <c r="SSR22" s="204"/>
      <c r="SSS22" s="204"/>
      <c r="SST22" s="204"/>
      <c r="SSU22" s="204"/>
      <c r="SSV22" s="204"/>
      <c r="SSW22" s="204"/>
      <c r="SSX22" s="204"/>
      <c r="SSY22" s="204"/>
      <c r="SSZ22" s="204"/>
      <c r="STA22" s="204"/>
      <c r="STB22" s="204"/>
      <c r="STC22" s="204"/>
      <c r="STD22" s="204"/>
      <c r="STE22" s="204"/>
      <c r="STF22" s="204"/>
      <c r="STG22" s="204"/>
      <c r="STH22" s="204"/>
      <c r="STI22" s="204"/>
      <c r="STJ22" s="204"/>
      <c r="STK22" s="204"/>
      <c r="STL22" s="204"/>
      <c r="STM22" s="204"/>
      <c r="STN22" s="204"/>
      <c r="STO22" s="204"/>
      <c r="STP22" s="204"/>
      <c r="STQ22" s="204"/>
      <c r="STR22" s="204"/>
      <c r="STS22" s="204"/>
      <c r="STT22" s="204"/>
      <c r="STU22" s="204"/>
      <c r="STV22" s="204"/>
      <c r="STW22" s="204"/>
      <c r="STX22" s="204"/>
      <c r="STY22" s="204"/>
      <c r="STZ22" s="204"/>
      <c r="SUA22" s="204"/>
      <c r="SUB22" s="204"/>
      <c r="SUC22" s="204"/>
      <c r="SUD22" s="204"/>
      <c r="SUE22" s="204"/>
      <c r="SUF22" s="204"/>
      <c r="SUG22" s="204"/>
      <c r="SUH22" s="204"/>
      <c r="SUI22" s="204"/>
      <c r="SUJ22" s="204"/>
      <c r="SUK22" s="204"/>
      <c r="SUL22" s="204"/>
      <c r="SUM22" s="204"/>
      <c r="SUN22" s="204"/>
      <c r="SUO22" s="204"/>
      <c r="SUP22" s="204"/>
      <c r="SUQ22" s="204"/>
      <c r="SUR22" s="204"/>
      <c r="SUS22" s="204"/>
      <c r="SUT22" s="204"/>
      <c r="SUU22" s="204"/>
      <c r="SUV22" s="204"/>
      <c r="SUW22" s="204"/>
      <c r="SUX22" s="204"/>
      <c r="SUY22" s="204"/>
      <c r="SUZ22" s="204"/>
      <c r="SVA22" s="204"/>
      <c r="SVB22" s="204"/>
      <c r="SVC22" s="204"/>
      <c r="SVD22" s="204"/>
      <c r="SVE22" s="204"/>
      <c r="SVF22" s="204"/>
      <c r="SVG22" s="204"/>
      <c r="SVH22" s="204"/>
      <c r="SVI22" s="204"/>
      <c r="SVJ22" s="204"/>
      <c r="SVK22" s="204"/>
      <c r="SVL22" s="204"/>
      <c r="SVM22" s="204"/>
      <c r="SVN22" s="204"/>
      <c r="SVO22" s="204"/>
      <c r="SVP22" s="204"/>
      <c r="SVQ22" s="204"/>
      <c r="SVR22" s="204"/>
      <c r="SVS22" s="204"/>
      <c r="SVT22" s="204"/>
      <c r="SVU22" s="204"/>
      <c r="SVV22" s="204"/>
      <c r="SVW22" s="204"/>
      <c r="SVX22" s="204"/>
      <c r="SVY22" s="204"/>
      <c r="SVZ22" s="204"/>
      <c r="SWA22" s="204"/>
      <c r="SWB22" s="204"/>
      <c r="SWC22" s="204"/>
      <c r="SWD22" s="204"/>
      <c r="SWE22" s="204"/>
      <c r="SWF22" s="204"/>
      <c r="SWG22" s="204"/>
      <c r="SWH22" s="204"/>
      <c r="SWI22" s="204"/>
      <c r="SWJ22" s="204"/>
      <c r="SWK22" s="204"/>
      <c r="SWL22" s="204"/>
      <c r="SWM22" s="204"/>
      <c r="SWN22" s="204"/>
      <c r="SWO22" s="204"/>
      <c r="SWP22" s="204"/>
      <c r="SWQ22" s="204"/>
      <c r="SWR22" s="204"/>
      <c r="SWS22" s="204"/>
      <c r="SWT22" s="204"/>
      <c r="SWU22" s="204"/>
      <c r="SWV22" s="204"/>
      <c r="SWW22" s="204"/>
      <c r="SWX22" s="204"/>
      <c r="SWY22" s="204"/>
      <c r="SWZ22" s="204"/>
      <c r="SXA22" s="204"/>
      <c r="SXB22" s="204"/>
      <c r="SXC22" s="204"/>
      <c r="SXD22" s="204"/>
      <c r="SXE22" s="204"/>
      <c r="SXF22" s="204"/>
      <c r="SXG22" s="204"/>
      <c r="SXH22" s="204"/>
      <c r="SXI22" s="204"/>
      <c r="SXJ22" s="204"/>
      <c r="SXK22" s="204"/>
      <c r="SXL22" s="204"/>
      <c r="SXM22" s="204"/>
      <c r="SXN22" s="204"/>
      <c r="SXO22" s="204"/>
      <c r="SXP22" s="204"/>
      <c r="SXQ22" s="204"/>
      <c r="SXR22" s="204"/>
      <c r="SXS22" s="204"/>
      <c r="SXT22" s="204"/>
      <c r="SXU22" s="204"/>
      <c r="SXV22" s="204"/>
      <c r="SXW22" s="204"/>
      <c r="SXX22" s="204"/>
      <c r="SXY22" s="204"/>
      <c r="SXZ22" s="204"/>
      <c r="SYA22" s="204"/>
      <c r="SYB22" s="204"/>
      <c r="SYC22" s="204"/>
      <c r="SYD22" s="204"/>
      <c r="SYE22" s="204"/>
      <c r="SYF22" s="204"/>
      <c r="SYG22" s="204"/>
      <c r="SYH22" s="204"/>
      <c r="SYI22" s="204"/>
      <c r="SYJ22" s="204"/>
      <c r="SYK22" s="204"/>
      <c r="SYL22" s="204"/>
      <c r="SYM22" s="204"/>
      <c r="SYN22" s="204"/>
      <c r="SYO22" s="204"/>
      <c r="SYP22" s="204"/>
      <c r="SYQ22" s="204"/>
      <c r="SYR22" s="204"/>
      <c r="SYS22" s="204"/>
      <c r="SYT22" s="204"/>
      <c r="SYU22" s="204"/>
      <c r="SYV22" s="204"/>
      <c r="SYW22" s="204"/>
      <c r="SYX22" s="204"/>
      <c r="SYY22" s="204"/>
      <c r="SYZ22" s="204"/>
      <c r="SZA22" s="204"/>
      <c r="SZB22" s="204"/>
      <c r="SZC22" s="204"/>
      <c r="SZD22" s="204"/>
      <c r="SZE22" s="204"/>
      <c r="SZF22" s="204"/>
      <c r="SZG22" s="204"/>
      <c r="SZH22" s="204"/>
      <c r="SZI22" s="204"/>
      <c r="SZJ22" s="204"/>
      <c r="SZK22" s="204"/>
      <c r="SZL22" s="204"/>
      <c r="SZM22" s="204"/>
      <c r="SZN22" s="204"/>
      <c r="SZO22" s="204"/>
      <c r="SZP22" s="204"/>
      <c r="SZQ22" s="204"/>
      <c r="SZR22" s="204"/>
      <c r="SZS22" s="204"/>
      <c r="SZT22" s="204"/>
      <c r="SZU22" s="204"/>
      <c r="SZV22" s="204"/>
      <c r="SZW22" s="204"/>
      <c r="SZX22" s="204"/>
      <c r="SZY22" s="204"/>
      <c r="SZZ22" s="204"/>
      <c r="TAA22" s="204"/>
      <c r="TAB22" s="204"/>
      <c r="TAC22" s="204"/>
      <c r="TAD22" s="204"/>
      <c r="TAE22" s="204"/>
      <c r="TAF22" s="204"/>
      <c r="TAG22" s="204"/>
      <c r="TAH22" s="204"/>
      <c r="TAI22" s="204"/>
      <c r="TAJ22" s="204"/>
      <c r="TAK22" s="204"/>
      <c r="TAL22" s="204"/>
      <c r="TAM22" s="204"/>
      <c r="TAN22" s="204"/>
      <c r="TAO22" s="204"/>
      <c r="TAP22" s="204"/>
      <c r="TAQ22" s="204"/>
      <c r="TAR22" s="204"/>
      <c r="TAS22" s="204"/>
      <c r="TAT22" s="204"/>
      <c r="TAU22" s="204"/>
      <c r="TAV22" s="204"/>
      <c r="TAW22" s="204"/>
      <c r="TAX22" s="204"/>
      <c r="TAY22" s="204"/>
      <c r="TAZ22" s="204"/>
      <c r="TBA22" s="204"/>
      <c r="TBB22" s="204"/>
      <c r="TBC22" s="204"/>
      <c r="TBD22" s="204"/>
      <c r="TBE22" s="204"/>
      <c r="TBF22" s="204"/>
      <c r="TBG22" s="204"/>
      <c r="TBH22" s="204"/>
      <c r="TBI22" s="204"/>
      <c r="TBJ22" s="204"/>
      <c r="TBK22" s="204"/>
      <c r="TBL22" s="204"/>
      <c r="TBM22" s="204"/>
      <c r="TBN22" s="204"/>
      <c r="TBO22" s="204"/>
      <c r="TBP22" s="204"/>
      <c r="TBQ22" s="204"/>
      <c r="TBR22" s="204"/>
      <c r="TBS22" s="204"/>
      <c r="TBT22" s="204"/>
      <c r="TBU22" s="204"/>
      <c r="TBV22" s="204"/>
      <c r="TBW22" s="204"/>
      <c r="TBX22" s="204"/>
      <c r="TBY22" s="204"/>
      <c r="TBZ22" s="204"/>
      <c r="TCA22" s="204"/>
      <c r="TCB22" s="204"/>
      <c r="TCC22" s="204"/>
      <c r="TCD22" s="204"/>
      <c r="TCE22" s="204"/>
      <c r="TCF22" s="204"/>
      <c r="TCG22" s="204"/>
      <c r="TCH22" s="204"/>
      <c r="TCI22" s="204"/>
      <c r="TCJ22" s="204"/>
      <c r="TCK22" s="204"/>
      <c r="TCL22" s="204"/>
      <c r="TCM22" s="204"/>
      <c r="TCN22" s="204"/>
      <c r="TCO22" s="204"/>
      <c r="TCP22" s="204"/>
      <c r="TCQ22" s="204"/>
      <c r="TCR22" s="204"/>
      <c r="TCS22" s="204"/>
      <c r="TCT22" s="204"/>
      <c r="TCU22" s="204"/>
      <c r="TCV22" s="204"/>
      <c r="TCW22" s="204"/>
      <c r="TCX22" s="204"/>
      <c r="TCY22" s="204"/>
      <c r="TCZ22" s="204"/>
      <c r="TDA22" s="204"/>
      <c r="TDB22" s="204"/>
      <c r="TDC22" s="204"/>
      <c r="TDD22" s="204"/>
      <c r="TDE22" s="204"/>
      <c r="TDF22" s="204"/>
      <c r="TDG22" s="204"/>
      <c r="TDH22" s="204"/>
      <c r="TDI22" s="204"/>
      <c r="TDJ22" s="204"/>
      <c r="TDK22" s="204"/>
      <c r="TDL22" s="204"/>
      <c r="TDM22" s="204"/>
      <c r="TDN22" s="204"/>
      <c r="TDO22" s="204"/>
      <c r="TDP22" s="204"/>
      <c r="TDQ22" s="204"/>
      <c r="TDR22" s="204"/>
      <c r="TDS22" s="204"/>
      <c r="TDT22" s="204"/>
      <c r="TDU22" s="204"/>
      <c r="TDV22" s="204"/>
      <c r="TDW22" s="204"/>
      <c r="TDX22" s="204"/>
      <c r="TDY22" s="204"/>
      <c r="TDZ22" s="204"/>
      <c r="TEA22" s="204"/>
      <c r="TEB22" s="204"/>
      <c r="TEC22" s="204"/>
      <c r="TED22" s="204"/>
      <c r="TEE22" s="204"/>
      <c r="TEF22" s="204"/>
      <c r="TEG22" s="204"/>
      <c r="TEH22" s="204"/>
      <c r="TEI22" s="204"/>
      <c r="TEJ22" s="204"/>
      <c r="TEK22" s="204"/>
      <c r="TEL22" s="204"/>
      <c r="TEM22" s="204"/>
      <c r="TEN22" s="204"/>
      <c r="TEO22" s="204"/>
      <c r="TEP22" s="204"/>
      <c r="TEQ22" s="204"/>
      <c r="TER22" s="204"/>
      <c r="TES22" s="204"/>
      <c r="TET22" s="204"/>
      <c r="TEU22" s="204"/>
      <c r="TEV22" s="204"/>
      <c r="TEW22" s="204"/>
      <c r="TEX22" s="204"/>
      <c r="TEY22" s="204"/>
      <c r="TEZ22" s="204"/>
      <c r="TFA22" s="204"/>
      <c r="TFB22" s="204"/>
      <c r="TFC22" s="204"/>
      <c r="TFD22" s="204"/>
      <c r="TFE22" s="204"/>
      <c r="TFF22" s="204"/>
      <c r="TFG22" s="204"/>
      <c r="TFH22" s="204"/>
      <c r="TFI22" s="204"/>
      <c r="TFJ22" s="204"/>
      <c r="TFK22" s="204"/>
      <c r="TFL22" s="204"/>
      <c r="TFM22" s="204"/>
      <c r="TFN22" s="204"/>
      <c r="TFO22" s="204"/>
      <c r="TFP22" s="204"/>
      <c r="TFQ22" s="204"/>
      <c r="TFR22" s="204"/>
      <c r="TFS22" s="204"/>
      <c r="TFT22" s="204"/>
      <c r="TFU22" s="204"/>
      <c r="TFV22" s="204"/>
      <c r="TFW22" s="204"/>
      <c r="TFX22" s="204"/>
      <c r="TFY22" s="204"/>
      <c r="TFZ22" s="204"/>
      <c r="TGA22" s="204"/>
      <c r="TGB22" s="204"/>
      <c r="TGC22" s="204"/>
      <c r="TGD22" s="204"/>
      <c r="TGE22" s="204"/>
      <c r="TGF22" s="204"/>
      <c r="TGG22" s="204"/>
      <c r="TGH22" s="204"/>
      <c r="TGI22" s="204"/>
      <c r="TGJ22" s="204"/>
      <c r="TGK22" s="204"/>
      <c r="TGL22" s="204"/>
      <c r="TGM22" s="204"/>
      <c r="TGN22" s="204"/>
      <c r="TGO22" s="204"/>
      <c r="TGP22" s="204"/>
      <c r="TGQ22" s="204"/>
      <c r="TGR22" s="204"/>
      <c r="TGS22" s="204"/>
      <c r="TGT22" s="204"/>
      <c r="TGU22" s="204"/>
      <c r="TGV22" s="204"/>
      <c r="TGW22" s="204"/>
      <c r="TGX22" s="204"/>
      <c r="TGY22" s="204"/>
      <c r="TGZ22" s="204"/>
      <c r="THA22" s="204"/>
      <c r="THB22" s="204"/>
      <c r="THC22" s="204"/>
      <c r="THD22" s="204"/>
      <c r="THE22" s="204"/>
      <c r="THF22" s="204"/>
      <c r="THG22" s="204"/>
      <c r="THH22" s="204"/>
      <c r="THI22" s="204"/>
      <c r="THJ22" s="204"/>
      <c r="THK22" s="204"/>
      <c r="THL22" s="204"/>
      <c r="THM22" s="204"/>
      <c r="THN22" s="204"/>
      <c r="THO22" s="204"/>
      <c r="THP22" s="204"/>
      <c r="THQ22" s="204"/>
      <c r="THR22" s="204"/>
      <c r="THS22" s="204"/>
      <c r="THT22" s="204"/>
      <c r="THU22" s="204"/>
      <c r="THV22" s="204"/>
      <c r="THW22" s="204"/>
      <c r="THX22" s="204"/>
      <c r="THY22" s="204"/>
      <c r="THZ22" s="204"/>
      <c r="TIA22" s="204"/>
      <c r="TIB22" s="204"/>
      <c r="TIC22" s="204"/>
      <c r="TID22" s="204"/>
      <c r="TIE22" s="204"/>
      <c r="TIF22" s="204"/>
      <c r="TIG22" s="204"/>
      <c r="TIH22" s="204"/>
      <c r="TII22" s="204"/>
      <c r="TIJ22" s="204"/>
      <c r="TIK22" s="204"/>
      <c r="TIL22" s="204"/>
      <c r="TIM22" s="204"/>
      <c r="TIN22" s="204"/>
      <c r="TIO22" s="204"/>
      <c r="TIP22" s="204"/>
      <c r="TIQ22" s="204"/>
      <c r="TIR22" s="204"/>
      <c r="TIS22" s="204"/>
      <c r="TIT22" s="204"/>
      <c r="TIU22" s="204"/>
      <c r="TIV22" s="204"/>
      <c r="TIW22" s="204"/>
      <c r="TIX22" s="204"/>
      <c r="TIY22" s="204"/>
      <c r="TIZ22" s="204"/>
      <c r="TJA22" s="204"/>
      <c r="TJB22" s="204"/>
      <c r="TJC22" s="204"/>
      <c r="TJD22" s="204"/>
      <c r="TJE22" s="204"/>
      <c r="TJF22" s="204"/>
      <c r="TJG22" s="204"/>
      <c r="TJH22" s="204"/>
      <c r="TJI22" s="204"/>
      <c r="TJJ22" s="204"/>
      <c r="TJK22" s="204"/>
      <c r="TJL22" s="204"/>
      <c r="TJM22" s="204"/>
      <c r="TJN22" s="204"/>
      <c r="TJO22" s="204"/>
      <c r="TJP22" s="204"/>
      <c r="TJQ22" s="204"/>
      <c r="TJR22" s="204"/>
      <c r="TJS22" s="204"/>
      <c r="TJT22" s="204"/>
      <c r="TJU22" s="204"/>
      <c r="TJV22" s="204"/>
      <c r="TJW22" s="204"/>
      <c r="TJX22" s="204"/>
      <c r="TJY22" s="204"/>
      <c r="TJZ22" s="204"/>
      <c r="TKA22" s="204"/>
      <c r="TKB22" s="204"/>
      <c r="TKC22" s="204"/>
      <c r="TKD22" s="204"/>
      <c r="TKE22" s="204"/>
      <c r="TKF22" s="204"/>
      <c r="TKG22" s="204"/>
      <c r="TKH22" s="204"/>
      <c r="TKI22" s="204"/>
      <c r="TKJ22" s="204"/>
      <c r="TKK22" s="204"/>
      <c r="TKL22" s="204"/>
      <c r="TKM22" s="204"/>
      <c r="TKN22" s="204"/>
      <c r="TKO22" s="204"/>
      <c r="TKP22" s="204"/>
      <c r="TKQ22" s="204"/>
      <c r="TKR22" s="204"/>
      <c r="TKS22" s="204"/>
      <c r="TKT22" s="204"/>
      <c r="TKU22" s="204"/>
      <c r="TKV22" s="204"/>
      <c r="TKW22" s="204"/>
      <c r="TKX22" s="204"/>
      <c r="TKY22" s="204"/>
      <c r="TKZ22" s="204"/>
      <c r="TLA22" s="204"/>
      <c r="TLB22" s="204"/>
      <c r="TLC22" s="204"/>
      <c r="TLD22" s="204"/>
      <c r="TLE22" s="204"/>
      <c r="TLF22" s="204"/>
      <c r="TLG22" s="204"/>
      <c r="TLH22" s="204"/>
      <c r="TLI22" s="204"/>
      <c r="TLJ22" s="204"/>
      <c r="TLK22" s="204"/>
      <c r="TLL22" s="204"/>
      <c r="TLM22" s="204"/>
      <c r="TLN22" s="204"/>
      <c r="TLO22" s="204"/>
      <c r="TLP22" s="204"/>
      <c r="TLQ22" s="204"/>
      <c r="TLR22" s="204"/>
      <c r="TLS22" s="204"/>
      <c r="TLT22" s="204"/>
      <c r="TLU22" s="204"/>
      <c r="TLV22" s="204"/>
      <c r="TLW22" s="204"/>
      <c r="TLX22" s="204"/>
      <c r="TLY22" s="204"/>
      <c r="TLZ22" s="204"/>
      <c r="TMA22" s="204"/>
      <c r="TMB22" s="204"/>
      <c r="TMC22" s="204"/>
      <c r="TMD22" s="204"/>
      <c r="TME22" s="204"/>
      <c r="TMF22" s="204"/>
      <c r="TMG22" s="204"/>
      <c r="TMH22" s="204"/>
      <c r="TMI22" s="204"/>
      <c r="TMJ22" s="204"/>
      <c r="TMK22" s="204"/>
      <c r="TML22" s="204"/>
      <c r="TMM22" s="204"/>
      <c r="TMN22" s="204"/>
      <c r="TMO22" s="204"/>
      <c r="TMP22" s="204"/>
      <c r="TMQ22" s="204"/>
      <c r="TMR22" s="204"/>
      <c r="TMS22" s="204"/>
      <c r="TMT22" s="204"/>
      <c r="TMU22" s="204"/>
      <c r="TMV22" s="204"/>
      <c r="TMW22" s="204"/>
      <c r="TMX22" s="204"/>
      <c r="TMY22" s="204"/>
      <c r="TMZ22" s="204"/>
      <c r="TNA22" s="204"/>
      <c r="TNB22" s="204"/>
      <c r="TNC22" s="204"/>
      <c r="TND22" s="204"/>
      <c r="TNE22" s="204"/>
      <c r="TNF22" s="204"/>
      <c r="TNG22" s="204"/>
      <c r="TNH22" s="204"/>
      <c r="TNI22" s="204"/>
      <c r="TNJ22" s="204"/>
      <c r="TNK22" s="204"/>
      <c r="TNL22" s="204"/>
      <c r="TNM22" s="204"/>
      <c r="TNN22" s="204"/>
      <c r="TNO22" s="204"/>
      <c r="TNP22" s="204"/>
      <c r="TNQ22" s="204"/>
      <c r="TNR22" s="204"/>
      <c r="TNS22" s="204"/>
      <c r="TNT22" s="204"/>
      <c r="TNU22" s="204"/>
      <c r="TNV22" s="204"/>
      <c r="TNW22" s="204"/>
      <c r="TNX22" s="204"/>
      <c r="TNY22" s="204"/>
      <c r="TNZ22" s="204"/>
      <c r="TOA22" s="204"/>
      <c r="TOB22" s="204"/>
      <c r="TOC22" s="204"/>
      <c r="TOD22" s="204"/>
      <c r="TOE22" s="204"/>
      <c r="TOF22" s="204"/>
      <c r="TOG22" s="204"/>
      <c r="TOH22" s="204"/>
      <c r="TOI22" s="204"/>
      <c r="TOJ22" s="204"/>
      <c r="TOK22" s="204"/>
      <c r="TOL22" s="204"/>
      <c r="TOM22" s="204"/>
      <c r="TON22" s="204"/>
      <c r="TOO22" s="204"/>
      <c r="TOP22" s="204"/>
      <c r="TOQ22" s="204"/>
      <c r="TOR22" s="204"/>
      <c r="TOS22" s="204"/>
      <c r="TOT22" s="204"/>
      <c r="TOU22" s="204"/>
      <c r="TOV22" s="204"/>
      <c r="TOW22" s="204"/>
      <c r="TOX22" s="204"/>
      <c r="TOY22" s="204"/>
      <c r="TOZ22" s="204"/>
      <c r="TPA22" s="204"/>
      <c r="TPB22" s="204"/>
      <c r="TPC22" s="204"/>
      <c r="TPD22" s="204"/>
      <c r="TPE22" s="204"/>
      <c r="TPF22" s="204"/>
      <c r="TPG22" s="204"/>
      <c r="TPH22" s="204"/>
      <c r="TPI22" s="204"/>
      <c r="TPJ22" s="204"/>
      <c r="TPK22" s="204"/>
      <c r="TPL22" s="204"/>
      <c r="TPM22" s="204"/>
      <c r="TPN22" s="204"/>
      <c r="TPO22" s="204"/>
      <c r="TPP22" s="204"/>
      <c r="TPQ22" s="204"/>
      <c r="TPR22" s="204"/>
      <c r="TPS22" s="204"/>
      <c r="TPT22" s="204"/>
      <c r="TPU22" s="204"/>
      <c r="TPV22" s="204"/>
      <c r="TPW22" s="204"/>
      <c r="TPX22" s="204"/>
      <c r="TPY22" s="204"/>
      <c r="TPZ22" s="204"/>
      <c r="TQA22" s="204"/>
      <c r="TQB22" s="204"/>
      <c r="TQC22" s="204"/>
      <c r="TQD22" s="204"/>
      <c r="TQE22" s="204"/>
      <c r="TQF22" s="204"/>
      <c r="TQG22" s="204"/>
      <c r="TQH22" s="204"/>
      <c r="TQI22" s="204"/>
      <c r="TQJ22" s="204"/>
      <c r="TQK22" s="204"/>
      <c r="TQL22" s="204"/>
      <c r="TQM22" s="204"/>
      <c r="TQN22" s="204"/>
      <c r="TQO22" s="204"/>
      <c r="TQP22" s="204"/>
      <c r="TQQ22" s="204"/>
      <c r="TQR22" s="204"/>
      <c r="TQS22" s="204"/>
      <c r="TQT22" s="204"/>
      <c r="TQU22" s="204"/>
      <c r="TQV22" s="204"/>
      <c r="TQW22" s="204"/>
      <c r="TQX22" s="204"/>
      <c r="TQY22" s="204"/>
      <c r="TQZ22" s="204"/>
      <c r="TRA22" s="204"/>
      <c r="TRB22" s="204"/>
      <c r="TRC22" s="204"/>
      <c r="TRD22" s="204"/>
      <c r="TRE22" s="204"/>
      <c r="TRF22" s="204"/>
      <c r="TRG22" s="204"/>
      <c r="TRH22" s="204"/>
      <c r="TRI22" s="204"/>
      <c r="TRJ22" s="204"/>
      <c r="TRK22" s="204"/>
      <c r="TRL22" s="204"/>
      <c r="TRM22" s="204"/>
      <c r="TRN22" s="204"/>
      <c r="TRO22" s="204"/>
      <c r="TRP22" s="204"/>
      <c r="TRQ22" s="204"/>
      <c r="TRR22" s="204"/>
      <c r="TRS22" s="204"/>
      <c r="TRT22" s="204"/>
      <c r="TRU22" s="204"/>
      <c r="TRV22" s="204"/>
      <c r="TRW22" s="204"/>
      <c r="TRX22" s="204"/>
      <c r="TRY22" s="204"/>
      <c r="TRZ22" s="204"/>
      <c r="TSA22" s="204"/>
      <c r="TSB22" s="204"/>
      <c r="TSC22" s="204"/>
      <c r="TSD22" s="204"/>
      <c r="TSE22" s="204"/>
      <c r="TSF22" s="204"/>
      <c r="TSG22" s="204"/>
      <c r="TSH22" s="204"/>
      <c r="TSI22" s="204"/>
      <c r="TSJ22" s="204"/>
      <c r="TSK22" s="204"/>
      <c r="TSL22" s="204"/>
      <c r="TSM22" s="204"/>
      <c r="TSN22" s="204"/>
      <c r="TSO22" s="204"/>
      <c r="TSP22" s="204"/>
      <c r="TSQ22" s="204"/>
      <c r="TSR22" s="204"/>
      <c r="TSS22" s="204"/>
      <c r="TST22" s="204"/>
      <c r="TSU22" s="204"/>
      <c r="TSV22" s="204"/>
      <c r="TSW22" s="204"/>
      <c r="TSX22" s="204"/>
      <c r="TSY22" s="204"/>
      <c r="TSZ22" s="204"/>
      <c r="TTA22" s="204"/>
      <c r="TTB22" s="204"/>
      <c r="TTC22" s="204"/>
      <c r="TTD22" s="204"/>
      <c r="TTE22" s="204"/>
      <c r="TTF22" s="204"/>
      <c r="TTG22" s="204"/>
      <c r="TTH22" s="204"/>
      <c r="TTI22" s="204"/>
      <c r="TTJ22" s="204"/>
      <c r="TTK22" s="204"/>
      <c r="TTL22" s="204"/>
      <c r="TTM22" s="204"/>
      <c r="TTN22" s="204"/>
      <c r="TTO22" s="204"/>
      <c r="TTP22" s="204"/>
      <c r="TTQ22" s="204"/>
      <c r="TTR22" s="204"/>
      <c r="TTS22" s="204"/>
      <c r="TTT22" s="204"/>
      <c r="TTU22" s="204"/>
      <c r="TTV22" s="204"/>
      <c r="TTW22" s="204"/>
      <c r="TTX22" s="204"/>
      <c r="TTY22" s="204"/>
      <c r="TTZ22" s="204"/>
      <c r="TUA22" s="204"/>
      <c r="TUB22" s="204"/>
      <c r="TUC22" s="204"/>
      <c r="TUD22" s="204"/>
      <c r="TUE22" s="204"/>
      <c r="TUF22" s="204"/>
      <c r="TUG22" s="204"/>
      <c r="TUH22" s="204"/>
      <c r="TUI22" s="204"/>
      <c r="TUJ22" s="204"/>
      <c r="TUK22" s="204"/>
      <c r="TUL22" s="204"/>
      <c r="TUM22" s="204"/>
      <c r="TUN22" s="204"/>
      <c r="TUO22" s="204"/>
      <c r="TUP22" s="204"/>
      <c r="TUQ22" s="204"/>
      <c r="TUR22" s="204"/>
      <c r="TUS22" s="204"/>
      <c r="TUT22" s="204"/>
      <c r="TUU22" s="204"/>
      <c r="TUV22" s="204"/>
      <c r="TUW22" s="204"/>
      <c r="TUX22" s="204"/>
      <c r="TUY22" s="204"/>
      <c r="TUZ22" s="204"/>
      <c r="TVA22" s="204"/>
      <c r="TVB22" s="204"/>
      <c r="TVC22" s="204"/>
      <c r="TVD22" s="204"/>
      <c r="TVE22" s="204"/>
      <c r="TVF22" s="204"/>
      <c r="TVG22" s="204"/>
      <c r="TVH22" s="204"/>
      <c r="TVI22" s="204"/>
      <c r="TVJ22" s="204"/>
      <c r="TVK22" s="204"/>
      <c r="TVL22" s="204"/>
      <c r="TVM22" s="204"/>
      <c r="TVN22" s="204"/>
      <c r="TVO22" s="204"/>
      <c r="TVP22" s="204"/>
      <c r="TVQ22" s="204"/>
      <c r="TVR22" s="204"/>
      <c r="TVS22" s="204"/>
      <c r="TVT22" s="204"/>
      <c r="TVU22" s="204"/>
      <c r="TVV22" s="204"/>
      <c r="TVW22" s="204"/>
      <c r="TVX22" s="204"/>
      <c r="TVY22" s="204"/>
      <c r="TVZ22" s="204"/>
      <c r="TWA22" s="204"/>
      <c r="TWB22" s="204"/>
      <c r="TWC22" s="204"/>
      <c r="TWD22" s="204"/>
      <c r="TWE22" s="204"/>
      <c r="TWF22" s="204"/>
      <c r="TWG22" s="204"/>
      <c r="TWH22" s="204"/>
      <c r="TWI22" s="204"/>
      <c r="TWJ22" s="204"/>
      <c r="TWK22" s="204"/>
      <c r="TWL22" s="204"/>
      <c r="TWM22" s="204"/>
      <c r="TWN22" s="204"/>
      <c r="TWO22" s="204"/>
      <c r="TWP22" s="204"/>
      <c r="TWQ22" s="204"/>
      <c r="TWR22" s="204"/>
      <c r="TWS22" s="204"/>
      <c r="TWT22" s="204"/>
      <c r="TWU22" s="204"/>
      <c r="TWV22" s="204"/>
      <c r="TWW22" s="204"/>
      <c r="TWX22" s="204"/>
      <c r="TWY22" s="204"/>
      <c r="TWZ22" s="204"/>
      <c r="TXA22" s="204"/>
      <c r="TXB22" s="204"/>
      <c r="TXC22" s="204"/>
      <c r="TXD22" s="204"/>
      <c r="TXE22" s="204"/>
      <c r="TXF22" s="204"/>
      <c r="TXG22" s="204"/>
      <c r="TXH22" s="204"/>
      <c r="TXI22" s="204"/>
      <c r="TXJ22" s="204"/>
      <c r="TXK22" s="204"/>
      <c r="TXL22" s="204"/>
      <c r="TXM22" s="204"/>
      <c r="TXN22" s="204"/>
      <c r="TXO22" s="204"/>
      <c r="TXP22" s="204"/>
      <c r="TXQ22" s="204"/>
      <c r="TXR22" s="204"/>
      <c r="TXS22" s="204"/>
      <c r="TXT22" s="204"/>
      <c r="TXU22" s="204"/>
      <c r="TXV22" s="204"/>
      <c r="TXW22" s="204"/>
      <c r="TXX22" s="204"/>
      <c r="TXY22" s="204"/>
      <c r="TXZ22" s="204"/>
      <c r="TYA22" s="204"/>
      <c r="TYB22" s="204"/>
      <c r="TYC22" s="204"/>
      <c r="TYD22" s="204"/>
      <c r="TYE22" s="204"/>
      <c r="TYF22" s="204"/>
      <c r="TYG22" s="204"/>
      <c r="TYH22" s="204"/>
      <c r="TYI22" s="204"/>
      <c r="TYJ22" s="204"/>
      <c r="TYK22" s="204"/>
      <c r="TYL22" s="204"/>
      <c r="TYM22" s="204"/>
      <c r="TYN22" s="204"/>
      <c r="TYO22" s="204"/>
      <c r="TYP22" s="204"/>
      <c r="TYQ22" s="204"/>
      <c r="TYR22" s="204"/>
      <c r="TYS22" s="204"/>
      <c r="TYT22" s="204"/>
      <c r="TYU22" s="204"/>
      <c r="TYV22" s="204"/>
      <c r="TYW22" s="204"/>
      <c r="TYX22" s="204"/>
      <c r="TYY22" s="204"/>
      <c r="TYZ22" s="204"/>
      <c r="TZA22" s="204"/>
      <c r="TZB22" s="204"/>
      <c r="TZC22" s="204"/>
      <c r="TZD22" s="204"/>
      <c r="TZE22" s="204"/>
      <c r="TZF22" s="204"/>
      <c r="TZG22" s="204"/>
      <c r="TZH22" s="204"/>
      <c r="TZI22" s="204"/>
      <c r="TZJ22" s="204"/>
      <c r="TZK22" s="204"/>
      <c r="TZL22" s="204"/>
      <c r="TZM22" s="204"/>
      <c r="TZN22" s="204"/>
      <c r="TZO22" s="204"/>
      <c r="TZP22" s="204"/>
      <c r="TZQ22" s="204"/>
      <c r="TZR22" s="204"/>
      <c r="TZS22" s="204"/>
      <c r="TZT22" s="204"/>
      <c r="TZU22" s="204"/>
      <c r="TZV22" s="204"/>
      <c r="TZW22" s="204"/>
      <c r="TZX22" s="204"/>
      <c r="TZY22" s="204"/>
      <c r="TZZ22" s="204"/>
      <c r="UAA22" s="204"/>
      <c r="UAB22" s="204"/>
      <c r="UAC22" s="204"/>
      <c r="UAD22" s="204"/>
      <c r="UAE22" s="204"/>
      <c r="UAF22" s="204"/>
      <c r="UAG22" s="204"/>
      <c r="UAH22" s="204"/>
      <c r="UAI22" s="204"/>
      <c r="UAJ22" s="204"/>
      <c r="UAK22" s="204"/>
      <c r="UAL22" s="204"/>
      <c r="UAM22" s="204"/>
      <c r="UAN22" s="204"/>
      <c r="UAO22" s="204"/>
      <c r="UAP22" s="204"/>
      <c r="UAQ22" s="204"/>
      <c r="UAR22" s="204"/>
      <c r="UAS22" s="204"/>
      <c r="UAT22" s="204"/>
      <c r="UAU22" s="204"/>
      <c r="UAV22" s="204"/>
      <c r="UAW22" s="204"/>
      <c r="UAX22" s="204"/>
      <c r="UAY22" s="204"/>
      <c r="UAZ22" s="204"/>
      <c r="UBA22" s="204"/>
      <c r="UBB22" s="204"/>
      <c r="UBC22" s="204"/>
      <c r="UBD22" s="204"/>
      <c r="UBE22" s="204"/>
      <c r="UBF22" s="204"/>
      <c r="UBG22" s="204"/>
      <c r="UBH22" s="204"/>
      <c r="UBI22" s="204"/>
      <c r="UBJ22" s="204"/>
      <c r="UBK22" s="204"/>
      <c r="UBL22" s="204"/>
      <c r="UBM22" s="204"/>
      <c r="UBN22" s="204"/>
      <c r="UBO22" s="204"/>
      <c r="UBP22" s="204"/>
      <c r="UBQ22" s="204"/>
      <c r="UBR22" s="204"/>
      <c r="UBS22" s="204"/>
      <c r="UBT22" s="204"/>
      <c r="UBU22" s="204"/>
      <c r="UBV22" s="204"/>
      <c r="UBW22" s="204"/>
      <c r="UBX22" s="204"/>
      <c r="UBY22" s="204"/>
      <c r="UBZ22" s="204"/>
      <c r="UCA22" s="204"/>
      <c r="UCB22" s="204"/>
      <c r="UCC22" s="204"/>
      <c r="UCD22" s="204"/>
      <c r="UCE22" s="204"/>
      <c r="UCF22" s="204"/>
      <c r="UCG22" s="204"/>
      <c r="UCH22" s="204"/>
      <c r="UCI22" s="204"/>
      <c r="UCJ22" s="204"/>
      <c r="UCK22" s="204"/>
      <c r="UCL22" s="204"/>
      <c r="UCM22" s="204"/>
      <c r="UCN22" s="204"/>
      <c r="UCO22" s="204"/>
      <c r="UCP22" s="204"/>
      <c r="UCQ22" s="204"/>
      <c r="UCR22" s="204"/>
      <c r="UCS22" s="204"/>
      <c r="UCT22" s="204"/>
      <c r="UCU22" s="204"/>
      <c r="UCV22" s="204"/>
      <c r="UCW22" s="204"/>
      <c r="UCX22" s="204"/>
      <c r="UCY22" s="204"/>
      <c r="UCZ22" s="204"/>
      <c r="UDA22" s="204"/>
      <c r="UDB22" s="204"/>
      <c r="UDC22" s="204"/>
      <c r="UDD22" s="204"/>
      <c r="UDE22" s="204"/>
      <c r="UDF22" s="204"/>
      <c r="UDG22" s="204"/>
      <c r="UDH22" s="204"/>
      <c r="UDI22" s="204"/>
      <c r="UDJ22" s="204"/>
      <c r="UDK22" s="204"/>
      <c r="UDL22" s="204"/>
      <c r="UDM22" s="204"/>
      <c r="UDN22" s="204"/>
      <c r="UDO22" s="204"/>
      <c r="UDP22" s="204"/>
      <c r="UDQ22" s="204"/>
      <c r="UDR22" s="204"/>
      <c r="UDS22" s="204"/>
      <c r="UDT22" s="204"/>
      <c r="UDU22" s="204"/>
      <c r="UDV22" s="204"/>
      <c r="UDW22" s="204"/>
      <c r="UDX22" s="204"/>
      <c r="UDY22" s="204"/>
      <c r="UDZ22" s="204"/>
      <c r="UEA22" s="204"/>
      <c r="UEB22" s="204"/>
      <c r="UEC22" s="204"/>
      <c r="UED22" s="204"/>
      <c r="UEE22" s="204"/>
      <c r="UEF22" s="204"/>
      <c r="UEG22" s="204"/>
      <c r="UEH22" s="204"/>
      <c r="UEI22" s="204"/>
      <c r="UEJ22" s="204"/>
      <c r="UEK22" s="204"/>
      <c r="UEL22" s="204"/>
      <c r="UEM22" s="204"/>
      <c r="UEN22" s="204"/>
      <c r="UEO22" s="204"/>
      <c r="UEP22" s="204"/>
      <c r="UEQ22" s="204"/>
      <c r="UER22" s="204"/>
      <c r="UES22" s="204"/>
      <c r="UET22" s="204"/>
      <c r="UEU22" s="204"/>
      <c r="UEV22" s="204"/>
      <c r="UEW22" s="204"/>
      <c r="UEX22" s="204"/>
      <c r="UEY22" s="204"/>
      <c r="UEZ22" s="204"/>
      <c r="UFA22" s="204"/>
      <c r="UFB22" s="204"/>
      <c r="UFC22" s="204"/>
      <c r="UFD22" s="204"/>
      <c r="UFE22" s="204"/>
      <c r="UFF22" s="204"/>
      <c r="UFG22" s="204"/>
      <c r="UFH22" s="204"/>
      <c r="UFI22" s="204"/>
      <c r="UFJ22" s="204"/>
      <c r="UFK22" s="204"/>
      <c r="UFL22" s="204"/>
      <c r="UFM22" s="204"/>
      <c r="UFN22" s="204"/>
      <c r="UFO22" s="204"/>
      <c r="UFP22" s="204"/>
      <c r="UFQ22" s="204"/>
      <c r="UFR22" s="204"/>
      <c r="UFS22" s="204"/>
      <c r="UFT22" s="204"/>
      <c r="UFU22" s="204"/>
      <c r="UFV22" s="204"/>
      <c r="UFW22" s="204"/>
      <c r="UFX22" s="204"/>
      <c r="UFY22" s="204"/>
      <c r="UFZ22" s="204"/>
      <c r="UGA22" s="204"/>
      <c r="UGB22" s="204"/>
      <c r="UGC22" s="204"/>
      <c r="UGD22" s="204"/>
      <c r="UGE22" s="204"/>
      <c r="UGF22" s="204"/>
      <c r="UGG22" s="204"/>
      <c r="UGH22" s="204"/>
      <c r="UGI22" s="204"/>
      <c r="UGJ22" s="204"/>
      <c r="UGK22" s="204"/>
      <c r="UGL22" s="204"/>
      <c r="UGM22" s="204"/>
      <c r="UGN22" s="204"/>
      <c r="UGO22" s="204"/>
      <c r="UGP22" s="204"/>
      <c r="UGQ22" s="204"/>
      <c r="UGR22" s="204"/>
      <c r="UGS22" s="204"/>
      <c r="UGT22" s="204"/>
      <c r="UGU22" s="204"/>
      <c r="UGV22" s="204"/>
      <c r="UGW22" s="204"/>
      <c r="UGX22" s="204"/>
      <c r="UGY22" s="204"/>
      <c r="UGZ22" s="204"/>
      <c r="UHA22" s="204"/>
      <c r="UHB22" s="204"/>
      <c r="UHC22" s="204"/>
      <c r="UHD22" s="204"/>
      <c r="UHE22" s="204"/>
      <c r="UHF22" s="204"/>
      <c r="UHG22" s="204"/>
      <c r="UHH22" s="204"/>
      <c r="UHI22" s="204"/>
      <c r="UHJ22" s="204"/>
      <c r="UHK22" s="204"/>
      <c r="UHL22" s="204"/>
      <c r="UHM22" s="204"/>
      <c r="UHN22" s="204"/>
      <c r="UHO22" s="204"/>
      <c r="UHP22" s="204"/>
      <c r="UHQ22" s="204"/>
      <c r="UHR22" s="204"/>
      <c r="UHS22" s="204"/>
      <c r="UHT22" s="204"/>
      <c r="UHU22" s="204"/>
      <c r="UHV22" s="204"/>
      <c r="UHW22" s="204"/>
      <c r="UHX22" s="204"/>
      <c r="UHY22" s="204"/>
      <c r="UHZ22" s="204"/>
      <c r="UIA22" s="204"/>
      <c r="UIB22" s="204"/>
      <c r="UIC22" s="204"/>
      <c r="UID22" s="204"/>
      <c r="UIE22" s="204"/>
      <c r="UIF22" s="204"/>
      <c r="UIG22" s="204"/>
      <c r="UIH22" s="204"/>
      <c r="UII22" s="204"/>
      <c r="UIJ22" s="204"/>
      <c r="UIK22" s="204"/>
      <c r="UIL22" s="204"/>
      <c r="UIM22" s="204"/>
      <c r="UIN22" s="204"/>
      <c r="UIO22" s="204"/>
      <c r="UIP22" s="204"/>
      <c r="UIQ22" s="204"/>
      <c r="UIR22" s="204"/>
      <c r="UIS22" s="204"/>
      <c r="UIT22" s="204"/>
      <c r="UIU22" s="204"/>
      <c r="UIV22" s="204"/>
      <c r="UIW22" s="204"/>
      <c r="UIX22" s="204"/>
      <c r="UIY22" s="204"/>
      <c r="UIZ22" s="204"/>
      <c r="UJA22" s="204"/>
      <c r="UJB22" s="204"/>
      <c r="UJC22" s="204"/>
      <c r="UJD22" s="204"/>
      <c r="UJE22" s="204"/>
      <c r="UJF22" s="204"/>
      <c r="UJG22" s="204"/>
      <c r="UJH22" s="204"/>
      <c r="UJI22" s="204"/>
      <c r="UJJ22" s="204"/>
      <c r="UJK22" s="204"/>
      <c r="UJL22" s="204"/>
      <c r="UJM22" s="204"/>
      <c r="UJN22" s="204"/>
      <c r="UJO22" s="204"/>
      <c r="UJP22" s="204"/>
      <c r="UJQ22" s="204"/>
      <c r="UJR22" s="204"/>
      <c r="UJS22" s="204"/>
      <c r="UJT22" s="204"/>
      <c r="UJU22" s="204"/>
      <c r="UJV22" s="204"/>
      <c r="UJW22" s="204"/>
      <c r="UJX22" s="204"/>
      <c r="UJY22" s="204"/>
      <c r="UJZ22" s="204"/>
      <c r="UKA22" s="204"/>
      <c r="UKB22" s="204"/>
      <c r="UKC22" s="204"/>
      <c r="UKD22" s="204"/>
      <c r="UKE22" s="204"/>
      <c r="UKF22" s="204"/>
      <c r="UKG22" s="204"/>
      <c r="UKH22" s="204"/>
      <c r="UKI22" s="204"/>
      <c r="UKJ22" s="204"/>
      <c r="UKK22" s="204"/>
      <c r="UKL22" s="204"/>
      <c r="UKM22" s="204"/>
      <c r="UKN22" s="204"/>
      <c r="UKO22" s="204"/>
      <c r="UKP22" s="204"/>
      <c r="UKQ22" s="204"/>
      <c r="UKR22" s="204"/>
      <c r="UKS22" s="204"/>
      <c r="UKT22" s="204"/>
      <c r="UKU22" s="204"/>
      <c r="UKV22" s="204"/>
      <c r="UKW22" s="204"/>
      <c r="UKX22" s="204"/>
      <c r="UKY22" s="204"/>
      <c r="UKZ22" s="204"/>
      <c r="ULA22" s="204"/>
      <c r="ULB22" s="204"/>
      <c r="ULC22" s="204"/>
      <c r="ULD22" s="204"/>
      <c r="ULE22" s="204"/>
      <c r="ULF22" s="204"/>
      <c r="ULG22" s="204"/>
      <c r="ULH22" s="204"/>
      <c r="ULI22" s="204"/>
      <c r="ULJ22" s="204"/>
      <c r="ULK22" s="204"/>
      <c r="ULL22" s="204"/>
      <c r="ULM22" s="204"/>
      <c r="ULN22" s="204"/>
      <c r="ULO22" s="204"/>
      <c r="ULP22" s="204"/>
      <c r="ULQ22" s="204"/>
      <c r="ULR22" s="204"/>
      <c r="ULS22" s="204"/>
      <c r="ULT22" s="204"/>
      <c r="ULU22" s="204"/>
      <c r="ULV22" s="204"/>
      <c r="ULW22" s="204"/>
      <c r="ULX22" s="204"/>
      <c r="ULY22" s="204"/>
      <c r="ULZ22" s="204"/>
      <c r="UMA22" s="204"/>
      <c r="UMB22" s="204"/>
      <c r="UMC22" s="204"/>
      <c r="UMD22" s="204"/>
      <c r="UME22" s="204"/>
      <c r="UMF22" s="204"/>
      <c r="UMG22" s="204"/>
      <c r="UMH22" s="204"/>
      <c r="UMI22" s="204"/>
      <c r="UMJ22" s="204"/>
      <c r="UMK22" s="204"/>
      <c r="UML22" s="204"/>
      <c r="UMM22" s="204"/>
      <c r="UMN22" s="204"/>
      <c r="UMO22" s="204"/>
      <c r="UMP22" s="204"/>
      <c r="UMQ22" s="204"/>
      <c r="UMR22" s="204"/>
      <c r="UMS22" s="204"/>
      <c r="UMT22" s="204"/>
      <c r="UMU22" s="204"/>
      <c r="UMV22" s="204"/>
      <c r="UMW22" s="204"/>
      <c r="UMX22" s="204"/>
      <c r="UMY22" s="204"/>
      <c r="UMZ22" s="204"/>
      <c r="UNA22" s="204"/>
      <c r="UNB22" s="204"/>
      <c r="UNC22" s="204"/>
      <c r="UND22" s="204"/>
      <c r="UNE22" s="204"/>
      <c r="UNF22" s="204"/>
      <c r="UNG22" s="204"/>
      <c r="UNH22" s="204"/>
      <c r="UNI22" s="204"/>
      <c r="UNJ22" s="204"/>
      <c r="UNK22" s="204"/>
      <c r="UNL22" s="204"/>
      <c r="UNM22" s="204"/>
      <c r="UNN22" s="204"/>
      <c r="UNO22" s="204"/>
      <c r="UNP22" s="204"/>
      <c r="UNQ22" s="204"/>
      <c r="UNR22" s="204"/>
      <c r="UNS22" s="204"/>
      <c r="UNT22" s="204"/>
      <c r="UNU22" s="204"/>
      <c r="UNV22" s="204"/>
      <c r="UNW22" s="204"/>
      <c r="UNX22" s="204"/>
      <c r="UNY22" s="204"/>
      <c r="UNZ22" s="204"/>
      <c r="UOA22" s="204"/>
      <c r="UOB22" s="204"/>
      <c r="UOC22" s="204"/>
      <c r="UOD22" s="204"/>
      <c r="UOE22" s="204"/>
      <c r="UOF22" s="204"/>
      <c r="UOG22" s="204"/>
      <c r="UOH22" s="204"/>
      <c r="UOI22" s="204"/>
      <c r="UOJ22" s="204"/>
      <c r="UOK22" s="204"/>
      <c r="UOL22" s="204"/>
      <c r="UOM22" s="204"/>
      <c r="UON22" s="204"/>
      <c r="UOO22" s="204"/>
      <c r="UOP22" s="204"/>
      <c r="UOQ22" s="204"/>
      <c r="UOR22" s="204"/>
      <c r="UOS22" s="204"/>
      <c r="UOT22" s="204"/>
      <c r="UOU22" s="204"/>
      <c r="UOV22" s="204"/>
      <c r="UOW22" s="204"/>
      <c r="UOX22" s="204"/>
      <c r="UOY22" s="204"/>
      <c r="UOZ22" s="204"/>
      <c r="UPA22" s="204"/>
      <c r="UPB22" s="204"/>
      <c r="UPC22" s="204"/>
      <c r="UPD22" s="204"/>
      <c r="UPE22" s="204"/>
      <c r="UPF22" s="204"/>
      <c r="UPG22" s="204"/>
      <c r="UPH22" s="204"/>
      <c r="UPI22" s="204"/>
      <c r="UPJ22" s="204"/>
      <c r="UPK22" s="204"/>
      <c r="UPL22" s="204"/>
      <c r="UPM22" s="204"/>
      <c r="UPN22" s="204"/>
      <c r="UPO22" s="204"/>
      <c r="UPP22" s="204"/>
      <c r="UPQ22" s="204"/>
      <c r="UPR22" s="204"/>
      <c r="UPS22" s="204"/>
      <c r="UPT22" s="204"/>
      <c r="UPU22" s="204"/>
      <c r="UPV22" s="204"/>
      <c r="UPW22" s="204"/>
      <c r="UPX22" s="204"/>
      <c r="UPY22" s="204"/>
      <c r="UPZ22" s="204"/>
      <c r="UQA22" s="204"/>
      <c r="UQB22" s="204"/>
      <c r="UQC22" s="204"/>
      <c r="UQD22" s="204"/>
      <c r="UQE22" s="204"/>
      <c r="UQF22" s="204"/>
      <c r="UQG22" s="204"/>
      <c r="UQH22" s="204"/>
      <c r="UQI22" s="204"/>
      <c r="UQJ22" s="204"/>
      <c r="UQK22" s="204"/>
      <c r="UQL22" s="204"/>
      <c r="UQM22" s="204"/>
      <c r="UQN22" s="204"/>
      <c r="UQO22" s="204"/>
      <c r="UQP22" s="204"/>
      <c r="UQQ22" s="204"/>
      <c r="UQR22" s="204"/>
      <c r="UQS22" s="204"/>
      <c r="UQT22" s="204"/>
      <c r="UQU22" s="204"/>
      <c r="UQV22" s="204"/>
      <c r="UQW22" s="204"/>
      <c r="UQX22" s="204"/>
      <c r="UQY22" s="204"/>
      <c r="UQZ22" s="204"/>
      <c r="URA22" s="204"/>
      <c r="URB22" s="204"/>
      <c r="URC22" s="204"/>
      <c r="URD22" s="204"/>
      <c r="URE22" s="204"/>
      <c r="URF22" s="204"/>
      <c r="URG22" s="204"/>
      <c r="URH22" s="204"/>
      <c r="URI22" s="204"/>
      <c r="URJ22" s="204"/>
      <c r="URK22" s="204"/>
      <c r="URL22" s="204"/>
      <c r="URM22" s="204"/>
      <c r="URN22" s="204"/>
      <c r="URO22" s="204"/>
      <c r="URP22" s="204"/>
      <c r="URQ22" s="204"/>
      <c r="URR22" s="204"/>
      <c r="URS22" s="204"/>
      <c r="URT22" s="204"/>
      <c r="URU22" s="204"/>
      <c r="URV22" s="204"/>
      <c r="URW22" s="204"/>
      <c r="URX22" s="204"/>
      <c r="URY22" s="204"/>
      <c r="URZ22" s="204"/>
      <c r="USA22" s="204"/>
      <c r="USB22" s="204"/>
      <c r="USC22" s="204"/>
      <c r="USD22" s="204"/>
      <c r="USE22" s="204"/>
      <c r="USF22" s="204"/>
      <c r="USG22" s="204"/>
      <c r="USH22" s="204"/>
      <c r="USI22" s="204"/>
      <c r="USJ22" s="204"/>
      <c r="USK22" s="204"/>
      <c r="USL22" s="204"/>
      <c r="USM22" s="204"/>
      <c r="USN22" s="204"/>
      <c r="USO22" s="204"/>
      <c r="USP22" s="204"/>
      <c r="USQ22" s="204"/>
      <c r="USR22" s="204"/>
      <c r="USS22" s="204"/>
      <c r="UST22" s="204"/>
      <c r="USU22" s="204"/>
      <c r="USV22" s="204"/>
      <c r="USW22" s="204"/>
      <c r="USX22" s="204"/>
      <c r="USY22" s="204"/>
      <c r="USZ22" s="204"/>
      <c r="UTA22" s="204"/>
      <c r="UTB22" s="204"/>
      <c r="UTC22" s="204"/>
      <c r="UTD22" s="204"/>
      <c r="UTE22" s="204"/>
      <c r="UTF22" s="204"/>
      <c r="UTG22" s="204"/>
      <c r="UTH22" s="204"/>
      <c r="UTI22" s="204"/>
      <c r="UTJ22" s="204"/>
      <c r="UTK22" s="204"/>
      <c r="UTL22" s="204"/>
      <c r="UTM22" s="204"/>
      <c r="UTN22" s="204"/>
      <c r="UTO22" s="204"/>
      <c r="UTP22" s="204"/>
      <c r="UTQ22" s="204"/>
      <c r="UTR22" s="204"/>
      <c r="UTS22" s="204"/>
      <c r="UTT22" s="204"/>
      <c r="UTU22" s="204"/>
      <c r="UTV22" s="204"/>
      <c r="UTW22" s="204"/>
      <c r="UTX22" s="204"/>
      <c r="UTY22" s="204"/>
      <c r="UTZ22" s="204"/>
      <c r="UUA22" s="204"/>
      <c r="UUB22" s="204"/>
      <c r="UUC22" s="204"/>
      <c r="UUD22" s="204"/>
      <c r="UUE22" s="204"/>
      <c r="UUF22" s="204"/>
      <c r="UUG22" s="204"/>
      <c r="UUH22" s="204"/>
      <c r="UUI22" s="204"/>
      <c r="UUJ22" s="204"/>
      <c r="UUK22" s="204"/>
      <c r="UUL22" s="204"/>
      <c r="UUM22" s="204"/>
      <c r="UUN22" s="204"/>
      <c r="UUO22" s="204"/>
      <c r="UUP22" s="204"/>
      <c r="UUQ22" s="204"/>
      <c r="UUR22" s="204"/>
      <c r="UUS22" s="204"/>
      <c r="UUT22" s="204"/>
      <c r="UUU22" s="204"/>
      <c r="UUV22" s="204"/>
      <c r="UUW22" s="204"/>
      <c r="UUX22" s="204"/>
      <c r="UUY22" s="204"/>
      <c r="UUZ22" s="204"/>
      <c r="UVA22" s="204"/>
      <c r="UVB22" s="204"/>
      <c r="UVC22" s="204"/>
      <c r="UVD22" s="204"/>
      <c r="UVE22" s="204"/>
      <c r="UVF22" s="204"/>
      <c r="UVG22" s="204"/>
      <c r="UVH22" s="204"/>
      <c r="UVI22" s="204"/>
      <c r="UVJ22" s="204"/>
      <c r="UVK22" s="204"/>
      <c r="UVL22" s="204"/>
      <c r="UVM22" s="204"/>
      <c r="UVN22" s="204"/>
      <c r="UVO22" s="204"/>
      <c r="UVP22" s="204"/>
      <c r="UVQ22" s="204"/>
      <c r="UVR22" s="204"/>
      <c r="UVS22" s="204"/>
      <c r="UVT22" s="204"/>
      <c r="UVU22" s="204"/>
      <c r="UVV22" s="204"/>
      <c r="UVW22" s="204"/>
      <c r="UVX22" s="204"/>
      <c r="UVY22" s="204"/>
      <c r="UVZ22" s="204"/>
      <c r="UWA22" s="204"/>
      <c r="UWB22" s="204"/>
      <c r="UWC22" s="204"/>
      <c r="UWD22" s="204"/>
      <c r="UWE22" s="204"/>
      <c r="UWF22" s="204"/>
      <c r="UWG22" s="204"/>
      <c r="UWH22" s="204"/>
      <c r="UWI22" s="204"/>
      <c r="UWJ22" s="204"/>
      <c r="UWK22" s="204"/>
      <c r="UWL22" s="204"/>
      <c r="UWM22" s="204"/>
      <c r="UWN22" s="204"/>
      <c r="UWO22" s="204"/>
      <c r="UWP22" s="204"/>
      <c r="UWQ22" s="204"/>
      <c r="UWR22" s="204"/>
      <c r="UWS22" s="204"/>
      <c r="UWT22" s="204"/>
      <c r="UWU22" s="204"/>
      <c r="UWV22" s="204"/>
      <c r="UWW22" s="204"/>
      <c r="UWX22" s="204"/>
      <c r="UWY22" s="204"/>
      <c r="UWZ22" s="204"/>
      <c r="UXA22" s="204"/>
      <c r="UXB22" s="204"/>
      <c r="UXC22" s="204"/>
      <c r="UXD22" s="204"/>
      <c r="UXE22" s="204"/>
      <c r="UXF22" s="204"/>
      <c r="UXG22" s="204"/>
      <c r="UXH22" s="204"/>
      <c r="UXI22" s="204"/>
      <c r="UXJ22" s="204"/>
      <c r="UXK22" s="204"/>
      <c r="UXL22" s="204"/>
      <c r="UXM22" s="204"/>
      <c r="UXN22" s="204"/>
      <c r="UXO22" s="204"/>
      <c r="UXP22" s="204"/>
      <c r="UXQ22" s="204"/>
      <c r="UXR22" s="204"/>
      <c r="UXS22" s="204"/>
      <c r="UXT22" s="204"/>
      <c r="UXU22" s="204"/>
      <c r="UXV22" s="204"/>
      <c r="UXW22" s="204"/>
      <c r="UXX22" s="204"/>
      <c r="UXY22" s="204"/>
      <c r="UXZ22" s="204"/>
      <c r="UYA22" s="204"/>
      <c r="UYB22" s="204"/>
      <c r="UYC22" s="204"/>
      <c r="UYD22" s="204"/>
      <c r="UYE22" s="204"/>
      <c r="UYF22" s="204"/>
      <c r="UYG22" s="204"/>
      <c r="UYH22" s="204"/>
      <c r="UYI22" s="204"/>
      <c r="UYJ22" s="204"/>
      <c r="UYK22" s="204"/>
      <c r="UYL22" s="204"/>
      <c r="UYM22" s="204"/>
      <c r="UYN22" s="204"/>
      <c r="UYO22" s="204"/>
      <c r="UYP22" s="204"/>
      <c r="UYQ22" s="204"/>
      <c r="UYR22" s="204"/>
      <c r="UYS22" s="204"/>
      <c r="UYT22" s="204"/>
      <c r="UYU22" s="204"/>
      <c r="UYV22" s="204"/>
      <c r="UYW22" s="204"/>
      <c r="UYX22" s="204"/>
      <c r="UYY22" s="204"/>
      <c r="UYZ22" s="204"/>
      <c r="UZA22" s="204"/>
      <c r="UZB22" s="204"/>
      <c r="UZC22" s="204"/>
      <c r="UZD22" s="204"/>
      <c r="UZE22" s="204"/>
      <c r="UZF22" s="204"/>
      <c r="UZG22" s="204"/>
      <c r="UZH22" s="204"/>
      <c r="UZI22" s="204"/>
      <c r="UZJ22" s="204"/>
      <c r="UZK22" s="204"/>
      <c r="UZL22" s="204"/>
      <c r="UZM22" s="204"/>
      <c r="UZN22" s="204"/>
      <c r="UZO22" s="204"/>
      <c r="UZP22" s="204"/>
      <c r="UZQ22" s="204"/>
      <c r="UZR22" s="204"/>
      <c r="UZS22" s="204"/>
      <c r="UZT22" s="204"/>
      <c r="UZU22" s="204"/>
      <c r="UZV22" s="204"/>
      <c r="UZW22" s="204"/>
      <c r="UZX22" s="204"/>
      <c r="UZY22" s="204"/>
      <c r="UZZ22" s="204"/>
      <c r="VAA22" s="204"/>
      <c r="VAB22" s="204"/>
      <c r="VAC22" s="204"/>
      <c r="VAD22" s="204"/>
      <c r="VAE22" s="204"/>
      <c r="VAF22" s="204"/>
      <c r="VAG22" s="204"/>
      <c r="VAH22" s="204"/>
      <c r="VAI22" s="204"/>
      <c r="VAJ22" s="204"/>
      <c r="VAK22" s="204"/>
      <c r="VAL22" s="204"/>
      <c r="VAM22" s="204"/>
      <c r="VAN22" s="204"/>
      <c r="VAO22" s="204"/>
      <c r="VAP22" s="204"/>
      <c r="VAQ22" s="204"/>
      <c r="VAR22" s="204"/>
      <c r="VAS22" s="204"/>
      <c r="VAT22" s="204"/>
      <c r="VAU22" s="204"/>
      <c r="VAV22" s="204"/>
      <c r="VAW22" s="204"/>
      <c r="VAX22" s="204"/>
      <c r="VAY22" s="204"/>
      <c r="VAZ22" s="204"/>
      <c r="VBA22" s="204"/>
      <c r="VBB22" s="204"/>
      <c r="VBC22" s="204"/>
      <c r="VBD22" s="204"/>
      <c r="VBE22" s="204"/>
      <c r="VBF22" s="204"/>
      <c r="VBG22" s="204"/>
      <c r="VBH22" s="204"/>
      <c r="VBI22" s="204"/>
      <c r="VBJ22" s="204"/>
      <c r="VBK22" s="204"/>
      <c r="VBL22" s="204"/>
      <c r="VBM22" s="204"/>
      <c r="VBN22" s="204"/>
      <c r="VBO22" s="204"/>
      <c r="VBP22" s="204"/>
      <c r="VBQ22" s="204"/>
      <c r="VBR22" s="204"/>
      <c r="VBS22" s="204"/>
      <c r="VBT22" s="204"/>
      <c r="VBU22" s="204"/>
      <c r="VBV22" s="204"/>
      <c r="VBW22" s="204"/>
      <c r="VBX22" s="204"/>
      <c r="VBY22" s="204"/>
      <c r="VBZ22" s="204"/>
      <c r="VCA22" s="204"/>
      <c r="VCB22" s="204"/>
      <c r="VCC22" s="204"/>
      <c r="VCD22" s="204"/>
      <c r="VCE22" s="204"/>
      <c r="VCF22" s="204"/>
      <c r="VCG22" s="204"/>
      <c r="VCH22" s="204"/>
      <c r="VCI22" s="204"/>
      <c r="VCJ22" s="204"/>
      <c r="VCK22" s="204"/>
      <c r="VCL22" s="204"/>
      <c r="VCM22" s="204"/>
      <c r="VCN22" s="204"/>
      <c r="VCO22" s="204"/>
      <c r="VCP22" s="204"/>
      <c r="VCQ22" s="204"/>
      <c r="VCR22" s="204"/>
      <c r="VCS22" s="204"/>
      <c r="VCT22" s="204"/>
      <c r="VCU22" s="204"/>
      <c r="VCV22" s="204"/>
      <c r="VCW22" s="204"/>
      <c r="VCX22" s="204"/>
      <c r="VCY22" s="204"/>
      <c r="VCZ22" s="204"/>
      <c r="VDA22" s="204"/>
      <c r="VDB22" s="204"/>
      <c r="VDC22" s="204"/>
      <c r="VDD22" s="204"/>
      <c r="VDE22" s="204"/>
      <c r="VDF22" s="204"/>
      <c r="VDG22" s="204"/>
      <c r="VDH22" s="204"/>
      <c r="VDI22" s="204"/>
      <c r="VDJ22" s="204"/>
      <c r="VDK22" s="204"/>
      <c r="VDL22" s="204"/>
      <c r="VDM22" s="204"/>
      <c r="VDN22" s="204"/>
      <c r="VDO22" s="204"/>
      <c r="VDP22" s="204"/>
      <c r="VDQ22" s="204"/>
      <c r="VDR22" s="204"/>
      <c r="VDS22" s="204"/>
      <c r="VDT22" s="204"/>
      <c r="VDU22" s="204"/>
      <c r="VDV22" s="204"/>
      <c r="VDW22" s="204"/>
      <c r="VDX22" s="204"/>
      <c r="VDY22" s="204"/>
      <c r="VDZ22" s="204"/>
      <c r="VEA22" s="204"/>
      <c r="VEB22" s="204"/>
      <c r="VEC22" s="204"/>
      <c r="VED22" s="204"/>
      <c r="VEE22" s="204"/>
      <c r="VEF22" s="204"/>
      <c r="VEG22" s="204"/>
      <c r="VEH22" s="204"/>
      <c r="VEI22" s="204"/>
      <c r="VEJ22" s="204"/>
      <c r="VEK22" s="204"/>
      <c r="VEL22" s="204"/>
      <c r="VEM22" s="204"/>
      <c r="VEN22" s="204"/>
      <c r="VEO22" s="204"/>
      <c r="VEP22" s="204"/>
      <c r="VEQ22" s="204"/>
      <c r="VER22" s="204"/>
      <c r="VES22" s="204"/>
      <c r="VET22" s="204"/>
      <c r="VEU22" s="204"/>
      <c r="VEV22" s="204"/>
      <c r="VEW22" s="204"/>
      <c r="VEX22" s="204"/>
      <c r="VEY22" s="204"/>
      <c r="VEZ22" s="204"/>
      <c r="VFA22" s="204"/>
      <c r="VFB22" s="204"/>
      <c r="VFC22" s="204"/>
      <c r="VFD22" s="204"/>
      <c r="VFE22" s="204"/>
      <c r="VFF22" s="204"/>
      <c r="VFG22" s="204"/>
      <c r="VFH22" s="204"/>
      <c r="VFI22" s="204"/>
      <c r="VFJ22" s="204"/>
      <c r="VFK22" s="204"/>
      <c r="VFL22" s="204"/>
      <c r="VFM22" s="204"/>
      <c r="VFN22" s="204"/>
      <c r="VFO22" s="204"/>
      <c r="VFP22" s="204"/>
      <c r="VFQ22" s="204"/>
      <c r="VFR22" s="204"/>
      <c r="VFS22" s="204"/>
      <c r="VFT22" s="204"/>
      <c r="VFU22" s="204"/>
      <c r="VFV22" s="204"/>
      <c r="VFW22" s="204"/>
      <c r="VFX22" s="204"/>
      <c r="VFY22" s="204"/>
      <c r="VFZ22" s="204"/>
      <c r="VGA22" s="204"/>
      <c r="VGB22" s="204"/>
      <c r="VGC22" s="204"/>
      <c r="VGD22" s="204"/>
      <c r="VGE22" s="204"/>
      <c r="VGF22" s="204"/>
      <c r="VGG22" s="204"/>
      <c r="VGH22" s="204"/>
      <c r="VGI22" s="204"/>
      <c r="VGJ22" s="204"/>
      <c r="VGK22" s="204"/>
      <c r="VGL22" s="204"/>
      <c r="VGM22" s="204"/>
      <c r="VGN22" s="204"/>
      <c r="VGO22" s="204"/>
      <c r="VGP22" s="204"/>
      <c r="VGQ22" s="204"/>
      <c r="VGR22" s="204"/>
      <c r="VGS22" s="204"/>
      <c r="VGT22" s="204"/>
      <c r="VGU22" s="204"/>
      <c r="VGV22" s="204"/>
      <c r="VGW22" s="204"/>
      <c r="VGX22" s="204"/>
      <c r="VGY22" s="204"/>
      <c r="VGZ22" s="204"/>
      <c r="VHA22" s="204"/>
      <c r="VHB22" s="204"/>
      <c r="VHC22" s="204"/>
      <c r="VHD22" s="204"/>
      <c r="VHE22" s="204"/>
      <c r="VHF22" s="204"/>
      <c r="VHG22" s="204"/>
      <c r="VHH22" s="204"/>
      <c r="VHI22" s="204"/>
      <c r="VHJ22" s="204"/>
      <c r="VHK22" s="204"/>
      <c r="VHL22" s="204"/>
      <c r="VHM22" s="204"/>
      <c r="VHN22" s="204"/>
      <c r="VHO22" s="204"/>
      <c r="VHP22" s="204"/>
      <c r="VHQ22" s="204"/>
      <c r="VHR22" s="204"/>
      <c r="VHS22" s="204"/>
      <c r="VHT22" s="204"/>
      <c r="VHU22" s="204"/>
      <c r="VHV22" s="204"/>
      <c r="VHW22" s="204"/>
      <c r="VHX22" s="204"/>
      <c r="VHY22" s="204"/>
      <c r="VHZ22" s="204"/>
      <c r="VIA22" s="204"/>
      <c r="VIB22" s="204"/>
      <c r="VIC22" s="204"/>
      <c r="VID22" s="204"/>
      <c r="VIE22" s="204"/>
      <c r="VIF22" s="204"/>
      <c r="VIG22" s="204"/>
      <c r="VIH22" s="204"/>
      <c r="VII22" s="204"/>
      <c r="VIJ22" s="204"/>
      <c r="VIK22" s="204"/>
      <c r="VIL22" s="204"/>
      <c r="VIM22" s="204"/>
      <c r="VIN22" s="204"/>
      <c r="VIO22" s="204"/>
      <c r="VIP22" s="204"/>
      <c r="VIQ22" s="204"/>
      <c r="VIR22" s="204"/>
      <c r="VIS22" s="204"/>
      <c r="VIT22" s="204"/>
      <c r="VIU22" s="204"/>
      <c r="VIV22" s="204"/>
      <c r="VIW22" s="204"/>
      <c r="VIX22" s="204"/>
      <c r="VIY22" s="204"/>
      <c r="VIZ22" s="204"/>
      <c r="VJA22" s="204"/>
      <c r="VJB22" s="204"/>
      <c r="VJC22" s="204"/>
      <c r="VJD22" s="204"/>
      <c r="VJE22" s="204"/>
      <c r="VJF22" s="204"/>
      <c r="VJG22" s="204"/>
      <c r="VJH22" s="204"/>
      <c r="VJI22" s="204"/>
      <c r="VJJ22" s="204"/>
      <c r="VJK22" s="204"/>
      <c r="VJL22" s="204"/>
      <c r="VJM22" s="204"/>
      <c r="VJN22" s="204"/>
      <c r="VJO22" s="204"/>
      <c r="VJP22" s="204"/>
      <c r="VJQ22" s="204"/>
      <c r="VJR22" s="204"/>
      <c r="VJS22" s="204"/>
      <c r="VJT22" s="204"/>
      <c r="VJU22" s="204"/>
      <c r="VJV22" s="204"/>
      <c r="VJW22" s="204"/>
      <c r="VJX22" s="204"/>
      <c r="VJY22" s="204"/>
      <c r="VJZ22" s="204"/>
      <c r="VKA22" s="204"/>
      <c r="VKB22" s="204"/>
      <c r="VKC22" s="204"/>
      <c r="VKD22" s="204"/>
      <c r="VKE22" s="204"/>
      <c r="VKF22" s="204"/>
      <c r="VKG22" s="204"/>
      <c r="VKH22" s="204"/>
      <c r="VKI22" s="204"/>
      <c r="VKJ22" s="204"/>
      <c r="VKK22" s="204"/>
      <c r="VKL22" s="204"/>
      <c r="VKM22" s="204"/>
      <c r="VKN22" s="204"/>
      <c r="VKO22" s="204"/>
      <c r="VKP22" s="204"/>
      <c r="VKQ22" s="204"/>
      <c r="VKR22" s="204"/>
      <c r="VKS22" s="204"/>
      <c r="VKT22" s="204"/>
      <c r="VKU22" s="204"/>
      <c r="VKV22" s="204"/>
      <c r="VKW22" s="204"/>
      <c r="VKX22" s="204"/>
      <c r="VKY22" s="204"/>
      <c r="VKZ22" s="204"/>
      <c r="VLA22" s="204"/>
      <c r="VLB22" s="204"/>
      <c r="VLC22" s="204"/>
      <c r="VLD22" s="204"/>
      <c r="VLE22" s="204"/>
      <c r="VLF22" s="204"/>
      <c r="VLG22" s="204"/>
      <c r="VLH22" s="204"/>
      <c r="VLI22" s="204"/>
      <c r="VLJ22" s="204"/>
      <c r="VLK22" s="204"/>
      <c r="VLL22" s="204"/>
      <c r="VLM22" s="204"/>
      <c r="VLN22" s="204"/>
      <c r="VLO22" s="204"/>
      <c r="VLP22" s="204"/>
      <c r="VLQ22" s="204"/>
      <c r="VLR22" s="204"/>
      <c r="VLS22" s="204"/>
      <c r="VLT22" s="204"/>
      <c r="VLU22" s="204"/>
      <c r="VLV22" s="204"/>
      <c r="VLW22" s="204"/>
      <c r="VLX22" s="204"/>
      <c r="VLY22" s="204"/>
      <c r="VLZ22" s="204"/>
      <c r="VMA22" s="204"/>
      <c r="VMB22" s="204"/>
      <c r="VMC22" s="204"/>
      <c r="VMD22" s="204"/>
      <c r="VME22" s="204"/>
      <c r="VMF22" s="204"/>
      <c r="VMG22" s="204"/>
      <c r="VMH22" s="204"/>
      <c r="VMI22" s="204"/>
      <c r="VMJ22" s="204"/>
      <c r="VMK22" s="204"/>
      <c r="VML22" s="204"/>
      <c r="VMM22" s="204"/>
      <c r="VMN22" s="204"/>
      <c r="VMO22" s="204"/>
      <c r="VMP22" s="204"/>
      <c r="VMQ22" s="204"/>
      <c r="VMR22" s="204"/>
      <c r="VMS22" s="204"/>
      <c r="VMT22" s="204"/>
      <c r="VMU22" s="204"/>
      <c r="VMV22" s="204"/>
      <c r="VMW22" s="204"/>
      <c r="VMX22" s="204"/>
      <c r="VMY22" s="204"/>
      <c r="VMZ22" s="204"/>
      <c r="VNA22" s="204"/>
      <c r="VNB22" s="204"/>
      <c r="VNC22" s="204"/>
      <c r="VND22" s="204"/>
      <c r="VNE22" s="204"/>
      <c r="VNF22" s="204"/>
      <c r="VNG22" s="204"/>
      <c r="VNH22" s="204"/>
      <c r="VNI22" s="204"/>
      <c r="VNJ22" s="204"/>
      <c r="VNK22" s="204"/>
      <c r="VNL22" s="204"/>
      <c r="VNM22" s="204"/>
      <c r="VNN22" s="204"/>
      <c r="VNO22" s="204"/>
      <c r="VNP22" s="204"/>
      <c r="VNQ22" s="204"/>
      <c r="VNR22" s="204"/>
      <c r="VNS22" s="204"/>
      <c r="VNT22" s="204"/>
      <c r="VNU22" s="204"/>
      <c r="VNV22" s="204"/>
      <c r="VNW22" s="204"/>
      <c r="VNX22" s="204"/>
      <c r="VNY22" s="204"/>
      <c r="VNZ22" s="204"/>
      <c r="VOA22" s="204"/>
      <c r="VOB22" s="204"/>
      <c r="VOC22" s="204"/>
      <c r="VOD22" s="204"/>
      <c r="VOE22" s="204"/>
      <c r="VOF22" s="204"/>
      <c r="VOG22" s="204"/>
      <c r="VOH22" s="204"/>
      <c r="VOI22" s="204"/>
      <c r="VOJ22" s="204"/>
      <c r="VOK22" s="204"/>
      <c r="VOL22" s="204"/>
      <c r="VOM22" s="204"/>
      <c r="VON22" s="204"/>
      <c r="VOO22" s="204"/>
      <c r="VOP22" s="204"/>
      <c r="VOQ22" s="204"/>
      <c r="VOR22" s="204"/>
      <c r="VOS22" s="204"/>
      <c r="VOT22" s="204"/>
      <c r="VOU22" s="204"/>
      <c r="VOV22" s="204"/>
      <c r="VOW22" s="204"/>
      <c r="VOX22" s="204"/>
      <c r="VOY22" s="204"/>
      <c r="VOZ22" s="204"/>
      <c r="VPA22" s="204"/>
      <c r="VPB22" s="204"/>
      <c r="VPC22" s="204"/>
      <c r="VPD22" s="204"/>
      <c r="VPE22" s="204"/>
      <c r="VPF22" s="204"/>
      <c r="VPG22" s="204"/>
      <c r="VPH22" s="204"/>
      <c r="VPI22" s="204"/>
      <c r="VPJ22" s="204"/>
      <c r="VPK22" s="204"/>
      <c r="VPL22" s="204"/>
      <c r="VPM22" s="204"/>
      <c r="VPN22" s="204"/>
      <c r="VPO22" s="204"/>
      <c r="VPP22" s="204"/>
      <c r="VPQ22" s="204"/>
      <c r="VPR22" s="204"/>
      <c r="VPS22" s="204"/>
      <c r="VPT22" s="204"/>
      <c r="VPU22" s="204"/>
      <c r="VPV22" s="204"/>
      <c r="VPW22" s="204"/>
      <c r="VPX22" s="204"/>
      <c r="VPY22" s="204"/>
      <c r="VPZ22" s="204"/>
      <c r="VQA22" s="204"/>
      <c r="VQB22" s="204"/>
      <c r="VQC22" s="204"/>
      <c r="VQD22" s="204"/>
      <c r="VQE22" s="204"/>
      <c r="VQF22" s="204"/>
      <c r="VQG22" s="204"/>
      <c r="VQH22" s="204"/>
      <c r="VQI22" s="204"/>
      <c r="VQJ22" s="204"/>
      <c r="VQK22" s="204"/>
      <c r="VQL22" s="204"/>
      <c r="VQM22" s="204"/>
      <c r="VQN22" s="204"/>
      <c r="VQO22" s="204"/>
      <c r="VQP22" s="204"/>
      <c r="VQQ22" s="204"/>
      <c r="VQR22" s="204"/>
      <c r="VQS22" s="204"/>
      <c r="VQT22" s="204"/>
      <c r="VQU22" s="204"/>
      <c r="VQV22" s="204"/>
      <c r="VQW22" s="204"/>
      <c r="VQX22" s="204"/>
      <c r="VQY22" s="204"/>
      <c r="VQZ22" s="204"/>
      <c r="VRA22" s="204"/>
      <c r="VRB22" s="204"/>
      <c r="VRC22" s="204"/>
      <c r="VRD22" s="204"/>
      <c r="VRE22" s="204"/>
      <c r="VRF22" s="204"/>
      <c r="VRG22" s="204"/>
      <c r="VRH22" s="204"/>
      <c r="VRI22" s="204"/>
      <c r="VRJ22" s="204"/>
      <c r="VRK22" s="204"/>
      <c r="VRL22" s="204"/>
      <c r="VRM22" s="204"/>
      <c r="VRN22" s="204"/>
      <c r="VRO22" s="204"/>
      <c r="VRP22" s="204"/>
      <c r="VRQ22" s="204"/>
      <c r="VRR22" s="204"/>
      <c r="VRS22" s="204"/>
      <c r="VRT22" s="204"/>
      <c r="VRU22" s="204"/>
      <c r="VRV22" s="204"/>
      <c r="VRW22" s="204"/>
      <c r="VRX22" s="204"/>
      <c r="VRY22" s="204"/>
      <c r="VRZ22" s="204"/>
      <c r="VSA22" s="204"/>
      <c r="VSB22" s="204"/>
      <c r="VSC22" s="204"/>
      <c r="VSD22" s="204"/>
      <c r="VSE22" s="204"/>
      <c r="VSF22" s="204"/>
      <c r="VSG22" s="204"/>
      <c r="VSH22" s="204"/>
      <c r="VSI22" s="204"/>
      <c r="VSJ22" s="204"/>
      <c r="VSK22" s="204"/>
      <c r="VSL22" s="204"/>
      <c r="VSM22" s="204"/>
      <c r="VSN22" s="204"/>
      <c r="VSO22" s="204"/>
      <c r="VSP22" s="204"/>
      <c r="VSQ22" s="204"/>
      <c r="VSR22" s="204"/>
      <c r="VSS22" s="204"/>
      <c r="VST22" s="204"/>
      <c r="VSU22" s="204"/>
      <c r="VSV22" s="204"/>
      <c r="VSW22" s="204"/>
      <c r="VSX22" s="204"/>
      <c r="VSY22" s="204"/>
      <c r="VSZ22" s="204"/>
      <c r="VTA22" s="204"/>
      <c r="VTB22" s="204"/>
      <c r="VTC22" s="204"/>
      <c r="VTD22" s="204"/>
      <c r="VTE22" s="204"/>
      <c r="VTF22" s="204"/>
      <c r="VTG22" s="204"/>
      <c r="VTH22" s="204"/>
      <c r="VTI22" s="204"/>
      <c r="VTJ22" s="204"/>
      <c r="VTK22" s="204"/>
      <c r="VTL22" s="204"/>
      <c r="VTM22" s="204"/>
      <c r="VTN22" s="204"/>
      <c r="VTO22" s="204"/>
      <c r="VTP22" s="204"/>
      <c r="VTQ22" s="204"/>
      <c r="VTR22" s="204"/>
      <c r="VTS22" s="204"/>
      <c r="VTT22" s="204"/>
      <c r="VTU22" s="204"/>
      <c r="VTV22" s="204"/>
      <c r="VTW22" s="204"/>
      <c r="VTX22" s="204"/>
      <c r="VTY22" s="204"/>
      <c r="VTZ22" s="204"/>
      <c r="VUA22" s="204"/>
      <c r="VUB22" s="204"/>
      <c r="VUC22" s="204"/>
      <c r="VUD22" s="204"/>
      <c r="VUE22" s="204"/>
      <c r="VUF22" s="204"/>
      <c r="VUG22" s="204"/>
      <c r="VUH22" s="204"/>
      <c r="VUI22" s="204"/>
      <c r="VUJ22" s="204"/>
      <c r="VUK22" s="204"/>
      <c r="VUL22" s="204"/>
      <c r="VUM22" s="204"/>
      <c r="VUN22" s="204"/>
      <c r="VUO22" s="204"/>
      <c r="VUP22" s="204"/>
      <c r="VUQ22" s="204"/>
      <c r="VUR22" s="204"/>
      <c r="VUS22" s="204"/>
      <c r="VUT22" s="204"/>
      <c r="VUU22" s="204"/>
      <c r="VUV22" s="204"/>
      <c r="VUW22" s="204"/>
      <c r="VUX22" s="204"/>
      <c r="VUY22" s="204"/>
      <c r="VUZ22" s="204"/>
      <c r="VVA22" s="204"/>
      <c r="VVB22" s="204"/>
      <c r="VVC22" s="204"/>
      <c r="VVD22" s="204"/>
      <c r="VVE22" s="204"/>
      <c r="VVF22" s="204"/>
      <c r="VVG22" s="204"/>
      <c r="VVH22" s="204"/>
      <c r="VVI22" s="204"/>
      <c r="VVJ22" s="204"/>
      <c r="VVK22" s="204"/>
      <c r="VVL22" s="204"/>
      <c r="VVM22" s="204"/>
      <c r="VVN22" s="204"/>
      <c r="VVO22" s="204"/>
      <c r="VVP22" s="204"/>
      <c r="VVQ22" s="204"/>
      <c r="VVR22" s="204"/>
      <c r="VVS22" s="204"/>
      <c r="VVT22" s="204"/>
      <c r="VVU22" s="204"/>
      <c r="VVV22" s="204"/>
      <c r="VVW22" s="204"/>
      <c r="VVX22" s="204"/>
      <c r="VVY22" s="204"/>
      <c r="VVZ22" s="204"/>
      <c r="VWA22" s="204"/>
      <c r="VWB22" s="204"/>
      <c r="VWC22" s="204"/>
      <c r="VWD22" s="204"/>
      <c r="VWE22" s="204"/>
      <c r="VWF22" s="204"/>
      <c r="VWG22" s="204"/>
      <c r="VWH22" s="204"/>
      <c r="VWI22" s="204"/>
      <c r="VWJ22" s="204"/>
      <c r="VWK22" s="204"/>
      <c r="VWL22" s="204"/>
      <c r="VWM22" s="204"/>
      <c r="VWN22" s="204"/>
      <c r="VWO22" s="204"/>
      <c r="VWP22" s="204"/>
      <c r="VWQ22" s="204"/>
      <c r="VWR22" s="204"/>
      <c r="VWS22" s="204"/>
      <c r="VWT22" s="204"/>
      <c r="VWU22" s="204"/>
      <c r="VWV22" s="204"/>
      <c r="VWW22" s="204"/>
      <c r="VWX22" s="204"/>
      <c r="VWY22" s="204"/>
      <c r="VWZ22" s="204"/>
      <c r="VXA22" s="204"/>
      <c r="VXB22" s="204"/>
      <c r="VXC22" s="204"/>
      <c r="VXD22" s="204"/>
      <c r="VXE22" s="204"/>
      <c r="VXF22" s="204"/>
      <c r="VXG22" s="204"/>
      <c r="VXH22" s="204"/>
      <c r="VXI22" s="204"/>
      <c r="VXJ22" s="204"/>
      <c r="VXK22" s="204"/>
      <c r="VXL22" s="204"/>
      <c r="VXM22" s="204"/>
      <c r="VXN22" s="204"/>
      <c r="VXO22" s="204"/>
      <c r="VXP22" s="204"/>
      <c r="VXQ22" s="204"/>
      <c r="VXR22" s="204"/>
      <c r="VXS22" s="204"/>
      <c r="VXT22" s="204"/>
      <c r="VXU22" s="204"/>
      <c r="VXV22" s="204"/>
      <c r="VXW22" s="204"/>
      <c r="VXX22" s="204"/>
      <c r="VXY22" s="204"/>
      <c r="VXZ22" s="204"/>
      <c r="VYA22" s="204"/>
      <c r="VYB22" s="204"/>
      <c r="VYC22" s="204"/>
      <c r="VYD22" s="204"/>
      <c r="VYE22" s="204"/>
      <c r="VYF22" s="204"/>
      <c r="VYG22" s="204"/>
      <c r="VYH22" s="204"/>
      <c r="VYI22" s="204"/>
      <c r="VYJ22" s="204"/>
      <c r="VYK22" s="204"/>
      <c r="VYL22" s="204"/>
      <c r="VYM22" s="204"/>
      <c r="VYN22" s="204"/>
      <c r="VYO22" s="204"/>
      <c r="VYP22" s="204"/>
      <c r="VYQ22" s="204"/>
      <c r="VYR22" s="204"/>
      <c r="VYS22" s="204"/>
      <c r="VYT22" s="204"/>
      <c r="VYU22" s="204"/>
      <c r="VYV22" s="204"/>
      <c r="VYW22" s="204"/>
      <c r="VYX22" s="204"/>
      <c r="VYY22" s="204"/>
      <c r="VYZ22" s="204"/>
      <c r="VZA22" s="204"/>
      <c r="VZB22" s="204"/>
      <c r="VZC22" s="204"/>
      <c r="VZD22" s="204"/>
      <c r="VZE22" s="204"/>
      <c r="VZF22" s="204"/>
      <c r="VZG22" s="204"/>
      <c r="VZH22" s="204"/>
      <c r="VZI22" s="204"/>
      <c r="VZJ22" s="204"/>
      <c r="VZK22" s="204"/>
      <c r="VZL22" s="204"/>
      <c r="VZM22" s="204"/>
      <c r="VZN22" s="204"/>
      <c r="VZO22" s="204"/>
      <c r="VZP22" s="204"/>
      <c r="VZQ22" s="204"/>
      <c r="VZR22" s="204"/>
      <c r="VZS22" s="204"/>
      <c r="VZT22" s="204"/>
      <c r="VZU22" s="204"/>
      <c r="VZV22" s="204"/>
      <c r="VZW22" s="204"/>
      <c r="VZX22" s="204"/>
      <c r="VZY22" s="204"/>
      <c r="VZZ22" s="204"/>
      <c r="WAA22" s="204"/>
      <c r="WAB22" s="204"/>
      <c r="WAC22" s="204"/>
      <c r="WAD22" s="204"/>
      <c r="WAE22" s="204"/>
      <c r="WAF22" s="204"/>
      <c r="WAG22" s="204"/>
      <c r="WAH22" s="204"/>
      <c r="WAI22" s="204"/>
      <c r="WAJ22" s="204"/>
      <c r="WAK22" s="204"/>
      <c r="WAL22" s="204"/>
      <c r="WAM22" s="204"/>
      <c r="WAN22" s="204"/>
      <c r="WAO22" s="204"/>
      <c r="WAP22" s="204"/>
      <c r="WAQ22" s="204"/>
      <c r="WAR22" s="204"/>
      <c r="WAS22" s="204"/>
      <c r="WAT22" s="204"/>
      <c r="WAU22" s="204"/>
      <c r="WAV22" s="204"/>
      <c r="WAW22" s="204"/>
      <c r="WAX22" s="204"/>
      <c r="WAY22" s="204"/>
      <c r="WAZ22" s="204"/>
      <c r="WBA22" s="204"/>
      <c r="WBB22" s="204"/>
      <c r="WBC22" s="204"/>
      <c r="WBD22" s="204"/>
      <c r="WBE22" s="204"/>
      <c r="WBF22" s="204"/>
      <c r="WBG22" s="204"/>
      <c r="WBH22" s="204"/>
      <c r="WBI22" s="204"/>
      <c r="WBJ22" s="204"/>
      <c r="WBK22" s="204"/>
      <c r="WBL22" s="204"/>
      <c r="WBM22" s="204"/>
      <c r="WBN22" s="204"/>
      <c r="WBO22" s="204"/>
      <c r="WBP22" s="204"/>
      <c r="WBQ22" s="204"/>
      <c r="WBR22" s="204"/>
      <c r="WBS22" s="204"/>
      <c r="WBT22" s="204"/>
      <c r="WBU22" s="204"/>
      <c r="WBV22" s="204"/>
      <c r="WBW22" s="204"/>
      <c r="WBX22" s="204"/>
      <c r="WBY22" s="204"/>
      <c r="WBZ22" s="204"/>
      <c r="WCA22" s="204"/>
      <c r="WCB22" s="204"/>
      <c r="WCC22" s="204"/>
      <c r="WCD22" s="204"/>
      <c r="WCE22" s="204"/>
      <c r="WCF22" s="204"/>
      <c r="WCG22" s="204"/>
      <c r="WCH22" s="204"/>
      <c r="WCI22" s="204"/>
      <c r="WCJ22" s="204"/>
      <c r="WCK22" s="204"/>
      <c r="WCL22" s="204"/>
      <c r="WCM22" s="204"/>
      <c r="WCN22" s="204"/>
      <c r="WCO22" s="204"/>
      <c r="WCP22" s="204"/>
      <c r="WCQ22" s="204"/>
      <c r="WCR22" s="204"/>
      <c r="WCS22" s="204"/>
      <c r="WCT22" s="204"/>
      <c r="WCU22" s="204"/>
      <c r="WCV22" s="204"/>
      <c r="WCW22" s="204"/>
      <c r="WCX22" s="204"/>
      <c r="WCY22" s="204"/>
      <c r="WCZ22" s="204"/>
      <c r="WDA22" s="204"/>
      <c r="WDB22" s="204"/>
      <c r="WDC22" s="204"/>
      <c r="WDD22" s="204"/>
      <c r="WDE22" s="204"/>
      <c r="WDF22" s="204"/>
      <c r="WDG22" s="204"/>
      <c r="WDH22" s="204"/>
      <c r="WDI22" s="204"/>
      <c r="WDJ22" s="204"/>
      <c r="WDK22" s="204"/>
      <c r="WDL22" s="204"/>
      <c r="WDM22" s="204"/>
      <c r="WDN22" s="204"/>
      <c r="WDO22" s="204"/>
      <c r="WDP22" s="204"/>
      <c r="WDQ22" s="204"/>
      <c r="WDR22" s="204"/>
      <c r="WDS22" s="204"/>
      <c r="WDT22" s="204"/>
      <c r="WDU22" s="204"/>
      <c r="WDV22" s="204"/>
      <c r="WDW22" s="204"/>
      <c r="WDX22" s="204"/>
      <c r="WDY22" s="204"/>
      <c r="WDZ22" s="204"/>
      <c r="WEA22" s="204"/>
      <c r="WEB22" s="204"/>
      <c r="WEC22" s="204"/>
      <c r="WED22" s="204"/>
      <c r="WEE22" s="204"/>
      <c r="WEF22" s="204"/>
      <c r="WEG22" s="204"/>
      <c r="WEH22" s="204"/>
      <c r="WEI22" s="204"/>
      <c r="WEJ22" s="204"/>
      <c r="WEK22" s="204"/>
      <c r="WEL22" s="204"/>
      <c r="WEM22" s="204"/>
      <c r="WEN22" s="204"/>
      <c r="WEO22" s="204"/>
      <c r="WEP22" s="204"/>
      <c r="WEQ22" s="204"/>
      <c r="WER22" s="204"/>
      <c r="WES22" s="204"/>
      <c r="WET22" s="204"/>
      <c r="WEU22" s="204"/>
      <c r="WEV22" s="204"/>
      <c r="WEW22" s="204"/>
      <c r="WEX22" s="204"/>
      <c r="WEY22" s="204"/>
      <c r="WEZ22" s="204"/>
      <c r="WFA22" s="204"/>
      <c r="WFB22" s="204"/>
      <c r="WFC22" s="204"/>
      <c r="WFD22" s="204"/>
      <c r="WFE22" s="204"/>
      <c r="WFF22" s="204"/>
      <c r="WFG22" s="204"/>
      <c r="WFH22" s="204"/>
      <c r="WFI22" s="204"/>
      <c r="WFJ22" s="204"/>
      <c r="WFK22" s="204"/>
      <c r="WFL22" s="204"/>
      <c r="WFM22" s="204"/>
      <c r="WFN22" s="204"/>
      <c r="WFO22" s="204"/>
      <c r="WFP22" s="204"/>
      <c r="WFQ22" s="204"/>
      <c r="WFR22" s="204"/>
      <c r="WFS22" s="204"/>
      <c r="WFT22" s="204"/>
      <c r="WFU22" s="204"/>
      <c r="WFV22" s="204"/>
      <c r="WFW22" s="204"/>
      <c r="WFX22" s="204"/>
      <c r="WFY22" s="204"/>
      <c r="WFZ22" s="204"/>
      <c r="WGA22" s="204"/>
      <c r="WGB22" s="204"/>
      <c r="WGC22" s="204"/>
      <c r="WGD22" s="204"/>
      <c r="WGE22" s="204"/>
      <c r="WGF22" s="204"/>
      <c r="WGG22" s="204"/>
      <c r="WGH22" s="204"/>
      <c r="WGI22" s="204"/>
      <c r="WGJ22" s="204"/>
      <c r="WGK22" s="204"/>
      <c r="WGL22" s="204"/>
      <c r="WGM22" s="204"/>
      <c r="WGN22" s="204"/>
      <c r="WGO22" s="204"/>
      <c r="WGP22" s="204"/>
      <c r="WGQ22" s="204"/>
      <c r="WGR22" s="204"/>
      <c r="WGS22" s="204"/>
      <c r="WGT22" s="204"/>
      <c r="WGU22" s="204"/>
      <c r="WGV22" s="204"/>
      <c r="WGW22" s="204"/>
      <c r="WGX22" s="204"/>
      <c r="WGY22" s="204"/>
      <c r="WGZ22" s="204"/>
      <c r="WHA22" s="204"/>
      <c r="WHB22" s="204"/>
      <c r="WHC22" s="204"/>
      <c r="WHD22" s="204"/>
      <c r="WHE22" s="204"/>
      <c r="WHF22" s="204"/>
      <c r="WHG22" s="204"/>
      <c r="WHH22" s="204"/>
      <c r="WHI22" s="204"/>
      <c r="WHJ22" s="204"/>
      <c r="WHK22" s="204"/>
      <c r="WHL22" s="204"/>
      <c r="WHM22" s="204"/>
      <c r="WHN22" s="204"/>
      <c r="WHO22" s="204"/>
      <c r="WHP22" s="204"/>
      <c r="WHQ22" s="204"/>
      <c r="WHR22" s="204"/>
      <c r="WHS22" s="204"/>
      <c r="WHT22" s="204"/>
      <c r="WHU22" s="204"/>
      <c r="WHV22" s="204"/>
      <c r="WHW22" s="204"/>
      <c r="WHX22" s="204"/>
      <c r="WHY22" s="204"/>
      <c r="WHZ22" s="204"/>
      <c r="WIA22" s="204"/>
      <c r="WIB22" s="204"/>
      <c r="WIC22" s="204"/>
      <c r="WID22" s="204"/>
      <c r="WIE22" s="204"/>
      <c r="WIF22" s="204"/>
      <c r="WIG22" s="204"/>
      <c r="WIH22" s="204"/>
      <c r="WII22" s="204"/>
      <c r="WIJ22" s="204"/>
      <c r="WIK22" s="204"/>
      <c r="WIL22" s="204"/>
      <c r="WIM22" s="204"/>
      <c r="WIN22" s="204"/>
      <c r="WIO22" s="204"/>
      <c r="WIP22" s="204"/>
      <c r="WIQ22" s="204"/>
      <c r="WIR22" s="204"/>
      <c r="WIS22" s="204"/>
      <c r="WIT22" s="204"/>
      <c r="WIU22" s="204"/>
      <c r="WIV22" s="204"/>
      <c r="WIW22" s="204"/>
      <c r="WIX22" s="204"/>
      <c r="WIY22" s="204"/>
      <c r="WIZ22" s="204"/>
      <c r="WJA22" s="204"/>
      <c r="WJB22" s="204"/>
      <c r="WJC22" s="204"/>
      <c r="WJD22" s="204"/>
      <c r="WJE22" s="204"/>
      <c r="WJF22" s="204"/>
      <c r="WJG22" s="204"/>
      <c r="WJH22" s="204"/>
      <c r="WJI22" s="204"/>
      <c r="WJJ22" s="204"/>
      <c r="WJK22" s="204"/>
      <c r="WJL22" s="204"/>
      <c r="WJM22" s="204"/>
      <c r="WJN22" s="204"/>
      <c r="WJO22" s="204"/>
      <c r="WJP22" s="204"/>
      <c r="WJQ22" s="204"/>
      <c r="WJR22" s="204"/>
      <c r="WJS22" s="204"/>
      <c r="WJT22" s="204"/>
      <c r="WJU22" s="204"/>
      <c r="WJV22" s="204"/>
      <c r="WJW22" s="204"/>
      <c r="WJX22" s="204"/>
      <c r="WJY22" s="204"/>
      <c r="WJZ22" s="204"/>
      <c r="WKA22" s="204"/>
      <c r="WKB22" s="204"/>
      <c r="WKC22" s="204"/>
      <c r="WKD22" s="204"/>
      <c r="WKE22" s="204"/>
      <c r="WKF22" s="204"/>
      <c r="WKG22" s="204"/>
      <c r="WKH22" s="204"/>
      <c r="WKI22" s="204"/>
      <c r="WKJ22" s="204"/>
      <c r="WKK22" s="204"/>
      <c r="WKL22" s="204"/>
      <c r="WKM22" s="204"/>
      <c r="WKN22" s="204"/>
      <c r="WKO22" s="204"/>
      <c r="WKP22" s="204"/>
      <c r="WKQ22" s="204"/>
      <c r="WKR22" s="204"/>
      <c r="WKS22" s="204"/>
      <c r="WKT22" s="204"/>
      <c r="WKU22" s="204"/>
      <c r="WKV22" s="204"/>
      <c r="WKW22" s="204"/>
      <c r="WKX22" s="204"/>
      <c r="WKY22" s="204"/>
      <c r="WKZ22" s="204"/>
      <c r="WLA22" s="204"/>
      <c r="WLB22" s="204"/>
      <c r="WLC22" s="204"/>
      <c r="WLD22" s="204"/>
      <c r="WLE22" s="204"/>
      <c r="WLF22" s="204"/>
      <c r="WLG22" s="204"/>
      <c r="WLH22" s="204"/>
      <c r="WLI22" s="204"/>
      <c r="WLJ22" s="204"/>
      <c r="WLK22" s="204"/>
      <c r="WLL22" s="204"/>
      <c r="WLM22" s="204"/>
      <c r="WLN22" s="204"/>
      <c r="WLO22" s="204"/>
      <c r="WLP22" s="204"/>
      <c r="WLQ22" s="204"/>
      <c r="WLR22" s="204"/>
      <c r="WLS22" s="204"/>
      <c r="WLT22" s="204"/>
      <c r="WLU22" s="204"/>
      <c r="WLV22" s="204"/>
      <c r="WLW22" s="204"/>
      <c r="WLX22" s="204"/>
      <c r="WLY22" s="204"/>
      <c r="WLZ22" s="204"/>
      <c r="WMA22" s="204"/>
      <c r="WMB22" s="204"/>
      <c r="WMC22" s="204"/>
      <c r="WMD22" s="204"/>
      <c r="WME22" s="204"/>
      <c r="WMF22" s="204"/>
      <c r="WMG22" s="204"/>
      <c r="WMH22" s="204"/>
      <c r="WMI22" s="204"/>
      <c r="WMJ22" s="204"/>
      <c r="WMK22" s="204"/>
      <c r="WML22" s="204"/>
      <c r="WMM22" s="204"/>
      <c r="WMN22" s="204"/>
      <c r="WMO22" s="204"/>
      <c r="WMP22" s="204"/>
      <c r="WMQ22" s="204"/>
      <c r="WMR22" s="204"/>
      <c r="WMS22" s="204"/>
      <c r="WMT22" s="204"/>
      <c r="WMU22" s="204"/>
      <c r="WMV22" s="204"/>
      <c r="WMW22" s="204"/>
      <c r="WMX22" s="204"/>
      <c r="WMY22" s="204"/>
      <c r="WMZ22" s="204"/>
      <c r="WNA22" s="204"/>
      <c r="WNB22" s="204"/>
      <c r="WNC22" s="204"/>
      <c r="WND22" s="204"/>
      <c r="WNE22" s="204"/>
      <c r="WNF22" s="204"/>
      <c r="WNG22" s="204"/>
      <c r="WNH22" s="204"/>
      <c r="WNI22" s="204"/>
      <c r="WNJ22" s="204"/>
      <c r="WNK22" s="204"/>
      <c r="WNL22" s="204"/>
      <c r="WNM22" s="204"/>
      <c r="WNN22" s="204"/>
      <c r="WNO22" s="204"/>
      <c r="WNP22" s="204"/>
      <c r="WNQ22" s="204"/>
      <c r="WNR22" s="204"/>
      <c r="WNS22" s="204"/>
      <c r="WNT22" s="204"/>
      <c r="WNU22" s="204"/>
      <c r="WNV22" s="204"/>
      <c r="WNW22" s="204"/>
      <c r="WNX22" s="204"/>
      <c r="WNY22" s="204"/>
      <c r="WNZ22" s="204"/>
      <c r="WOA22" s="204"/>
      <c r="WOB22" s="204"/>
      <c r="WOC22" s="204"/>
      <c r="WOD22" s="204"/>
      <c r="WOE22" s="204"/>
      <c r="WOF22" s="204"/>
      <c r="WOG22" s="204"/>
      <c r="WOH22" s="204"/>
      <c r="WOI22" s="204"/>
      <c r="WOJ22" s="204"/>
      <c r="WOK22" s="204"/>
      <c r="WOL22" s="204"/>
      <c r="WOM22" s="204"/>
      <c r="WON22" s="204"/>
      <c r="WOO22" s="204"/>
      <c r="WOP22" s="204"/>
      <c r="WOQ22" s="204"/>
      <c r="WOR22" s="204"/>
      <c r="WOS22" s="204"/>
      <c r="WOT22" s="204"/>
      <c r="WOU22" s="204"/>
      <c r="WOV22" s="204"/>
      <c r="WOW22" s="204"/>
      <c r="WOX22" s="204"/>
      <c r="WOY22" s="204"/>
      <c r="WOZ22" s="204"/>
      <c r="WPA22" s="204"/>
      <c r="WPB22" s="204"/>
      <c r="WPC22" s="204"/>
      <c r="WPD22" s="204"/>
      <c r="WPE22" s="204"/>
      <c r="WPF22" s="204"/>
      <c r="WPG22" s="204"/>
      <c r="WPH22" s="204"/>
      <c r="WPI22" s="204"/>
      <c r="WPJ22" s="204"/>
      <c r="WPK22" s="204"/>
      <c r="WPL22" s="204"/>
      <c r="WPM22" s="204"/>
      <c r="WPN22" s="204"/>
      <c r="WPO22" s="204"/>
      <c r="WPP22" s="204"/>
      <c r="WPQ22" s="204"/>
      <c r="WPR22" s="204"/>
      <c r="WPS22" s="204"/>
      <c r="WPT22" s="204"/>
      <c r="WPU22" s="204"/>
      <c r="WPV22" s="204"/>
      <c r="WPW22" s="204"/>
      <c r="WPX22" s="204"/>
      <c r="WPY22" s="204"/>
      <c r="WPZ22" s="204"/>
      <c r="WQA22" s="204"/>
      <c r="WQB22" s="204"/>
      <c r="WQC22" s="204"/>
      <c r="WQD22" s="204"/>
      <c r="WQE22" s="204"/>
      <c r="WQF22" s="204"/>
      <c r="WQG22" s="204"/>
      <c r="WQH22" s="204"/>
      <c r="WQI22" s="204"/>
      <c r="WQJ22" s="204"/>
      <c r="WQK22" s="204"/>
      <c r="WQL22" s="204"/>
      <c r="WQM22" s="204"/>
      <c r="WQN22" s="204"/>
      <c r="WQO22" s="204"/>
      <c r="WQP22" s="204"/>
      <c r="WQQ22" s="204"/>
      <c r="WQR22" s="204"/>
      <c r="WQS22" s="204"/>
      <c r="WQT22" s="204"/>
      <c r="WQU22" s="204"/>
      <c r="WQV22" s="204"/>
      <c r="WQW22" s="204"/>
      <c r="WQX22" s="204"/>
      <c r="WQY22" s="204"/>
      <c r="WQZ22" s="204"/>
      <c r="WRA22" s="204"/>
      <c r="WRB22" s="204"/>
      <c r="WRC22" s="204"/>
      <c r="WRD22" s="204"/>
      <c r="WRE22" s="204"/>
      <c r="WRF22" s="204"/>
      <c r="WRG22" s="204"/>
      <c r="WRH22" s="204"/>
      <c r="WRI22" s="204"/>
      <c r="WRJ22" s="204"/>
      <c r="WRK22" s="204"/>
      <c r="WRL22" s="204"/>
      <c r="WRM22" s="204"/>
      <c r="WRN22" s="204"/>
      <c r="WRO22" s="204"/>
      <c r="WRP22" s="204"/>
      <c r="WRQ22" s="204"/>
      <c r="WRR22" s="204"/>
      <c r="WRS22" s="204"/>
      <c r="WRT22" s="204"/>
      <c r="WRU22" s="204"/>
      <c r="WRV22" s="204"/>
      <c r="WRW22" s="204"/>
      <c r="WRX22" s="204"/>
      <c r="WRY22" s="204"/>
      <c r="WRZ22" s="204"/>
      <c r="WSA22" s="204"/>
      <c r="WSB22" s="204"/>
      <c r="WSC22" s="204"/>
      <c r="WSD22" s="204"/>
      <c r="WSE22" s="204"/>
      <c r="WSF22" s="204"/>
      <c r="WSG22" s="204"/>
      <c r="WSH22" s="204"/>
      <c r="WSI22" s="204"/>
      <c r="WSJ22" s="204"/>
      <c r="WSK22" s="204"/>
      <c r="WSL22" s="204"/>
      <c r="WSM22" s="204"/>
      <c r="WSN22" s="204"/>
      <c r="WSO22" s="204"/>
      <c r="WSP22" s="204"/>
      <c r="WSQ22" s="204"/>
      <c r="WSR22" s="204"/>
      <c r="WSS22" s="204"/>
      <c r="WST22" s="204"/>
      <c r="WSU22" s="204"/>
      <c r="WSV22" s="204"/>
      <c r="WSW22" s="204"/>
      <c r="WSX22" s="204"/>
      <c r="WSY22" s="204"/>
      <c r="WSZ22" s="204"/>
      <c r="WTA22" s="204"/>
      <c r="WTB22" s="204"/>
      <c r="WTC22" s="204"/>
      <c r="WTD22" s="204"/>
      <c r="WTE22" s="204"/>
      <c r="WTF22" s="204"/>
      <c r="WTG22" s="204"/>
      <c r="WTH22" s="204"/>
      <c r="WTI22" s="204"/>
      <c r="WTJ22" s="204"/>
      <c r="WTK22" s="204"/>
      <c r="WTL22" s="204"/>
      <c r="WTM22" s="204"/>
      <c r="WTN22" s="204"/>
      <c r="WTO22" s="204"/>
      <c r="WTP22" s="204"/>
      <c r="WTQ22" s="204"/>
      <c r="WTR22" s="204"/>
      <c r="WTS22" s="204"/>
      <c r="WTT22" s="204"/>
      <c r="WTU22" s="204"/>
      <c r="WTV22" s="204"/>
      <c r="WTW22" s="204"/>
      <c r="WTX22" s="204"/>
      <c r="WTY22" s="204"/>
      <c r="WTZ22" s="204"/>
      <c r="WUA22" s="204"/>
      <c r="WUB22" s="204"/>
      <c r="WUC22" s="204"/>
      <c r="WUD22" s="204"/>
      <c r="WUE22" s="204"/>
      <c r="WUF22" s="204"/>
      <c r="WUG22" s="204"/>
      <c r="WUH22" s="204"/>
      <c r="WUI22" s="204"/>
      <c r="WUJ22" s="204"/>
      <c r="WUK22" s="204"/>
      <c r="WUL22" s="204"/>
      <c r="WUM22" s="204"/>
      <c r="WUN22" s="204"/>
      <c r="WUO22" s="204"/>
      <c r="WUP22" s="204"/>
      <c r="WUQ22" s="204"/>
      <c r="WUR22" s="204"/>
      <c r="WUS22" s="204"/>
      <c r="WUT22" s="204"/>
      <c r="WUU22" s="204"/>
      <c r="WUV22" s="204"/>
      <c r="WUW22" s="204"/>
      <c r="WUX22" s="204"/>
      <c r="WUY22" s="204"/>
      <c r="WUZ22" s="204"/>
      <c r="WVA22" s="204"/>
      <c r="WVB22" s="204"/>
      <c r="WVC22" s="204"/>
      <c r="WVD22" s="204"/>
      <c r="WVE22" s="204"/>
      <c r="WVF22" s="204"/>
      <c r="WVG22" s="204"/>
      <c r="WVH22" s="204"/>
      <c r="WVI22" s="204"/>
      <c r="WVJ22" s="204"/>
      <c r="WVK22" s="204"/>
      <c r="WVL22" s="204"/>
      <c r="WVM22" s="204"/>
      <c r="WVN22" s="204"/>
      <c r="WVO22" s="204"/>
      <c r="WVP22" s="204"/>
      <c r="WVQ22" s="204"/>
      <c r="WVR22" s="204"/>
      <c r="WVS22" s="204"/>
      <c r="WVT22" s="204"/>
      <c r="WVU22" s="204"/>
      <c r="WVV22" s="204"/>
      <c r="WVW22" s="204"/>
      <c r="WVX22" s="204"/>
      <c r="WVY22" s="204"/>
      <c r="WVZ22" s="204"/>
      <c r="WWA22" s="204"/>
      <c r="WWB22" s="204"/>
      <c r="WWC22" s="204"/>
      <c r="WWD22" s="204"/>
      <c r="WWE22" s="204"/>
      <c r="WWF22" s="204"/>
      <c r="WWG22" s="204"/>
      <c r="WWH22" s="204"/>
      <c r="WWI22" s="204"/>
      <c r="WWJ22" s="204"/>
      <c r="WWK22" s="204"/>
      <c r="WWL22" s="204"/>
      <c r="WWM22" s="204"/>
      <c r="WWN22" s="204"/>
      <c r="WWO22" s="204"/>
      <c r="WWP22" s="204"/>
      <c r="WWQ22" s="204"/>
      <c r="WWR22" s="204"/>
      <c r="WWS22" s="204"/>
      <c r="WWT22" s="204"/>
      <c r="WWU22" s="204"/>
      <c r="WWV22" s="204"/>
      <c r="WWW22" s="204"/>
      <c r="WWX22" s="204"/>
      <c r="WWY22" s="204"/>
      <c r="WWZ22" s="204"/>
      <c r="WXA22" s="204"/>
      <c r="WXB22" s="204"/>
      <c r="WXC22" s="204"/>
      <c r="WXD22" s="204"/>
      <c r="WXE22" s="204"/>
      <c r="WXF22" s="204"/>
      <c r="WXG22" s="204"/>
      <c r="WXH22" s="204"/>
      <c r="WXI22" s="204"/>
      <c r="WXJ22" s="204"/>
      <c r="WXK22" s="204"/>
      <c r="WXL22" s="204"/>
      <c r="WXM22" s="204"/>
      <c r="WXN22" s="204"/>
      <c r="WXO22" s="204"/>
      <c r="WXP22" s="204"/>
      <c r="WXQ22" s="204"/>
      <c r="WXR22" s="204"/>
      <c r="WXS22" s="204"/>
      <c r="WXT22" s="204"/>
      <c r="WXU22" s="204"/>
      <c r="WXV22" s="204"/>
      <c r="WXW22" s="204"/>
      <c r="WXX22" s="204"/>
      <c r="WXY22" s="204"/>
      <c r="WXZ22" s="204"/>
      <c r="WYA22" s="204"/>
      <c r="WYB22" s="204"/>
      <c r="WYC22" s="204"/>
      <c r="WYD22" s="204"/>
      <c r="WYE22" s="204"/>
      <c r="WYF22" s="204"/>
      <c r="WYG22" s="204"/>
      <c r="WYH22" s="204"/>
      <c r="WYI22" s="204"/>
      <c r="WYJ22" s="204"/>
      <c r="WYK22" s="204"/>
      <c r="WYL22" s="204"/>
      <c r="WYM22" s="204"/>
      <c r="WYN22" s="204"/>
      <c r="WYO22" s="204"/>
      <c r="WYP22" s="204"/>
      <c r="WYQ22" s="204"/>
      <c r="WYR22" s="204"/>
      <c r="WYS22" s="204"/>
      <c r="WYT22" s="204"/>
      <c r="WYU22" s="204"/>
      <c r="WYV22" s="204"/>
      <c r="WYW22" s="204"/>
      <c r="WYX22" s="204"/>
      <c r="WYY22" s="204"/>
      <c r="WYZ22" s="204"/>
      <c r="WZA22" s="204"/>
      <c r="WZB22" s="204"/>
      <c r="WZC22" s="204"/>
      <c r="WZD22" s="204"/>
      <c r="WZE22" s="204"/>
      <c r="WZF22" s="204"/>
      <c r="WZG22" s="204"/>
      <c r="WZH22" s="204"/>
      <c r="WZI22" s="204"/>
      <c r="WZJ22" s="204"/>
      <c r="WZK22" s="204"/>
      <c r="WZL22" s="204"/>
      <c r="WZM22" s="204"/>
      <c r="WZN22" s="204"/>
      <c r="WZO22" s="204"/>
      <c r="WZP22" s="204"/>
      <c r="WZQ22" s="204"/>
      <c r="WZR22" s="204"/>
      <c r="WZS22" s="204"/>
      <c r="WZT22" s="204"/>
      <c r="WZU22" s="204"/>
      <c r="WZV22" s="204"/>
      <c r="WZW22" s="204"/>
      <c r="WZX22" s="204"/>
      <c r="WZY22" s="204"/>
      <c r="WZZ22" s="204"/>
      <c r="XAA22" s="204"/>
      <c r="XAB22" s="204"/>
      <c r="XAC22" s="204"/>
      <c r="XAD22" s="204"/>
      <c r="XAE22" s="204"/>
      <c r="XAF22" s="204"/>
      <c r="XAG22" s="204"/>
      <c r="XAH22" s="204"/>
      <c r="XAI22" s="204"/>
      <c r="XAJ22" s="204"/>
      <c r="XAK22" s="204"/>
      <c r="XAL22" s="204"/>
      <c r="XAM22" s="204"/>
      <c r="XAN22" s="204"/>
      <c r="XAO22" s="204"/>
      <c r="XAP22" s="204"/>
      <c r="XAQ22" s="204"/>
      <c r="XAR22" s="204"/>
      <c r="XAS22" s="204"/>
      <c r="XAT22" s="204"/>
      <c r="XAU22" s="204"/>
      <c r="XAV22" s="204"/>
      <c r="XAW22" s="204"/>
      <c r="XAX22" s="204"/>
      <c r="XAY22" s="204"/>
      <c r="XAZ22" s="204"/>
      <c r="XBA22" s="204"/>
      <c r="XBB22" s="204"/>
      <c r="XBC22" s="204"/>
      <c r="XBD22" s="204"/>
      <c r="XBE22" s="204"/>
      <c r="XBF22" s="204"/>
      <c r="XBG22" s="204"/>
      <c r="XBH22" s="204"/>
      <c r="XBI22" s="204"/>
      <c r="XBJ22" s="204"/>
      <c r="XBK22" s="204"/>
      <c r="XBL22" s="204"/>
      <c r="XBM22" s="204"/>
      <c r="XBN22" s="204"/>
      <c r="XBO22" s="204"/>
      <c r="XBP22" s="204"/>
      <c r="XBQ22" s="204"/>
      <c r="XBR22" s="204"/>
      <c r="XBS22" s="204"/>
      <c r="XBT22" s="204"/>
      <c r="XBU22" s="204"/>
      <c r="XBV22" s="204"/>
      <c r="XBW22" s="204"/>
      <c r="XBX22" s="204"/>
      <c r="XBY22" s="204"/>
      <c r="XBZ22" s="204"/>
      <c r="XCA22" s="204"/>
      <c r="XCB22" s="204"/>
      <c r="XCC22" s="204"/>
      <c r="XCD22" s="204"/>
      <c r="XCE22" s="204"/>
      <c r="XCF22" s="204"/>
      <c r="XCG22" s="204"/>
      <c r="XCH22" s="204"/>
      <c r="XCI22" s="204"/>
      <c r="XCJ22" s="204"/>
      <c r="XCK22" s="204"/>
      <c r="XCL22" s="204"/>
      <c r="XCM22" s="204"/>
      <c r="XCN22" s="204"/>
      <c r="XCO22" s="204"/>
      <c r="XCP22" s="204"/>
      <c r="XCQ22" s="204"/>
      <c r="XCR22" s="204"/>
      <c r="XCS22" s="204"/>
      <c r="XCT22" s="204"/>
      <c r="XCU22" s="204"/>
      <c r="XCV22" s="204"/>
      <c r="XCW22" s="204"/>
      <c r="XCX22" s="204"/>
      <c r="XCY22" s="204"/>
      <c r="XCZ22" s="204"/>
      <c r="XDA22" s="204"/>
      <c r="XDB22" s="204"/>
      <c r="XDC22" s="204"/>
      <c r="XDD22" s="204"/>
      <c r="XDE22" s="204"/>
      <c r="XDF22" s="204"/>
      <c r="XDG22" s="204"/>
      <c r="XDH22" s="204"/>
      <c r="XDI22" s="204"/>
      <c r="XDJ22" s="204"/>
      <c r="XDK22" s="204"/>
      <c r="XDL22" s="204"/>
      <c r="XDM22" s="204"/>
      <c r="XDN22" s="204"/>
      <c r="XDO22" s="204"/>
      <c r="XDP22" s="204"/>
      <c r="XDQ22" s="204"/>
      <c r="XDR22" s="204"/>
      <c r="XDS22" s="204"/>
      <c r="XDT22" s="204"/>
      <c r="XDU22" s="204"/>
      <c r="XDV22" s="204"/>
      <c r="XDW22" s="204"/>
      <c r="XDX22" s="204"/>
      <c r="XDY22" s="204"/>
      <c r="XDZ22" s="204"/>
      <c r="XEA22" s="204"/>
      <c r="XEB22" s="204"/>
      <c r="XEC22" s="204"/>
      <c r="XED22" s="204"/>
      <c r="XEE22" s="204"/>
      <c r="XEF22" s="204"/>
      <c r="XEG22" s="204"/>
      <c r="XEH22" s="204"/>
      <c r="XEI22" s="204"/>
      <c r="XEJ22" s="204"/>
      <c r="XEK22" s="204"/>
      <c r="XEL22" s="204"/>
      <c r="XEM22" s="204"/>
      <c r="XEN22" s="204"/>
      <c r="XEO22" s="204"/>
      <c r="XEP22" s="204"/>
      <c r="XEQ22" s="204"/>
      <c r="XER22" s="204"/>
      <c r="XES22" s="204"/>
      <c r="XET22" s="204"/>
      <c r="XEU22" s="204"/>
      <c r="XEV22" s="204"/>
      <c r="XEW22" s="204"/>
      <c r="XEX22" s="204"/>
      <c r="XEY22" s="204"/>
      <c r="XEZ22" s="204"/>
      <c r="XFA22" s="204"/>
      <c r="XFB22" s="204"/>
      <c r="XFC22" s="204"/>
      <c r="XFD22" s="204"/>
    </row>
    <row r="23" spans="1:16384" ht="34.5" customHeight="1" x14ac:dyDescent="0.2">
      <c r="A23" s="203"/>
      <c r="B23" s="354"/>
      <c r="C23" s="372"/>
      <c r="D23" s="357"/>
      <c r="E23" s="352" t="s">
        <v>175</v>
      </c>
      <c r="F23" s="352"/>
      <c r="G23" s="352"/>
      <c r="H23" s="352"/>
      <c r="I23" s="352" t="s">
        <v>176</v>
      </c>
      <c r="J23" s="352"/>
      <c r="K23" s="352"/>
      <c r="L23" s="352"/>
      <c r="M23" s="351" t="s">
        <v>175</v>
      </c>
      <c r="N23" s="351"/>
      <c r="O23" s="351" t="s">
        <v>176</v>
      </c>
      <c r="P23" s="351"/>
      <c r="Q23" s="351" t="s">
        <v>175</v>
      </c>
      <c r="R23" s="351"/>
      <c r="S23" s="351" t="s">
        <v>176</v>
      </c>
      <c r="T23" s="351"/>
      <c r="U23" s="203"/>
      <c r="V23" s="203"/>
      <c r="W23" s="203"/>
      <c r="X23" s="203"/>
      <c r="Y23" s="203"/>
      <c r="Z23" s="203"/>
      <c r="AA23" s="203"/>
      <c r="AB23" s="203"/>
      <c r="AC23" s="203"/>
      <c r="AD23" s="203"/>
      <c r="AE23" s="203"/>
      <c r="AF23" s="203"/>
      <c r="AG23" s="203"/>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c r="EU23" s="204"/>
      <c r="EV23" s="204"/>
      <c r="EW23" s="204"/>
      <c r="EX23" s="204"/>
      <c r="EY23" s="204"/>
      <c r="EZ23" s="204"/>
      <c r="FA23" s="204"/>
      <c r="FB23" s="204"/>
      <c r="FC23" s="204"/>
      <c r="FD23" s="204"/>
      <c r="FE23" s="204"/>
      <c r="FF23" s="204"/>
      <c r="FG23" s="204"/>
      <c r="FH23" s="204"/>
      <c r="FI23" s="204"/>
      <c r="FJ23" s="204"/>
      <c r="FK23" s="204"/>
      <c r="FL23" s="204"/>
      <c r="FM23" s="204"/>
      <c r="FN23" s="204"/>
      <c r="FO23" s="204"/>
      <c r="FP23" s="204"/>
      <c r="FQ23" s="204"/>
      <c r="FR23" s="204"/>
      <c r="FS23" s="204"/>
      <c r="FT23" s="204"/>
      <c r="FU23" s="204"/>
      <c r="FV23" s="204"/>
      <c r="FW23" s="204"/>
      <c r="FX23" s="204"/>
      <c r="FY23" s="204"/>
      <c r="FZ23" s="204"/>
      <c r="GA23" s="204"/>
      <c r="GB23" s="204"/>
      <c r="GC23" s="204"/>
      <c r="GD23" s="204"/>
      <c r="GE23" s="204"/>
      <c r="GF23" s="204"/>
      <c r="GG23" s="204"/>
      <c r="GH23" s="204"/>
      <c r="GI23" s="204"/>
      <c r="GJ23" s="204"/>
      <c r="GK23" s="204"/>
      <c r="GL23" s="204"/>
      <c r="GM23" s="204"/>
      <c r="GN23" s="204"/>
      <c r="GO23" s="204"/>
      <c r="GP23" s="204"/>
      <c r="GQ23" s="204"/>
      <c r="GR23" s="204"/>
      <c r="GS23" s="204"/>
      <c r="GT23" s="204"/>
      <c r="GU23" s="204"/>
      <c r="GV23" s="204"/>
      <c r="GW23" s="204"/>
      <c r="GX23" s="204"/>
      <c r="GY23" s="204"/>
      <c r="GZ23" s="204"/>
      <c r="HA23" s="204"/>
      <c r="HB23" s="204"/>
      <c r="HC23" s="204"/>
      <c r="HD23" s="204"/>
      <c r="HE23" s="204"/>
      <c r="HF23" s="204"/>
      <c r="HG23" s="204"/>
      <c r="HH23" s="204"/>
      <c r="HI23" s="204"/>
      <c r="HJ23" s="204"/>
      <c r="HK23" s="204"/>
      <c r="HL23" s="204"/>
      <c r="HM23" s="204"/>
      <c r="HN23" s="204"/>
      <c r="HO23" s="204"/>
      <c r="HP23" s="204"/>
      <c r="HQ23" s="204"/>
      <c r="HR23" s="204"/>
      <c r="HS23" s="204"/>
      <c r="HT23" s="204"/>
      <c r="HU23" s="204"/>
      <c r="HV23" s="204"/>
      <c r="HW23" s="204"/>
      <c r="HX23" s="204"/>
      <c r="HY23" s="204"/>
      <c r="HZ23" s="204"/>
      <c r="IA23" s="204"/>
      <c r="IB23" s="204"/>
      <c r="IC23" s="204"/>
      <c r="ID23" s="204"/>
      <c r="IE23" s="204"/>
      <c r="IF23" s="204"/>
      <c r="IG23" s="204"/>
      <c r="IH23" s="204"/>
      <c r="II23" s="204"/>
      <c r="IJ23" s="204"/>
      <c r="IK23" s="204"/>
      <c r="IL23" s="204"/>
      <c r="IM23" s="204"/>
      <c r="IN23" s="204"/>
      <c r="IO23" s="204"/>
      <c r="IP23" s="204"/>
      <c r="IQ23" s="204"/>
      <c r="IR23" s="204"/>
      <c r="IS23" s="204"/>
      <c r="IT23" s="204"/>
      <c r="IU23" s="204"/>
      <c r="IV23" s="204"/>
      <c r="IW23" s="204"/>
      <c r="IX23" s="204"/>
      <c r="IY23" s="204"/>
      <c r="IZ23" s="204"/>
      <c r="JA23" s="204"/>
      <c r="JB23" s="204"/>
      <c r="JC23" s="204"/>
      <c r="JD23" s="204"/>
      <c r="JE23" s="204"/>
      <c r="JF23" s="204"/>
      <c r="JG23" s="204"/>
      <c r="JH23" s="204"/>
      <c r="JI23" s="204"/>
      <c r="JJ23" s="204"/>
      <c r="JK23" s="204"/>
      <c r="JL23" s="204"/>
      <c r="JM23" s="204"/>
      <c r="JN23" s="204"/>
      <c r="JO23" s="204"/>
      <c r="JP23" s="204"/>
      <c r="JQ23" s="204"/>
      <c r="JR23" s="204"/>
      <c r="JS23" s="204"/>
      <c r="JT23" s="204"/>
      <c r="JU23" s="204"/>
      <c r="JV23" s="204"/>
      <c r="JW23" s="204"/>
      <c r="JX23" s="204"/>
      <c r="JY23" s="204"/>
      <c r="JZ23" s="204"/>
      <c r="KA23" s="204"/>
      <c r="KB23" s="204"/>
      <c r="KC23" s="204"/>
      <c r="KD23" s="204"/>
      <c r="KE23" s="204"/>
      <c r="KF23" s="204"/>
      <c r="KG23" s="204"/>
      <c r="KH23" s="204"/>
      <c r="KI23" s="204"/>
      <c r="KJ23" s="204"/>
      <c r="KK23" s="204"/>
      <c r="KL23" s="204"/>
      <c r="KM23" s="204"/>
      <c r="KN23" s="204"/>
      <c r="KO23" s="204"/>
      <c r="KP23" s="204"/>
      <c r="KQ23" s="204"/>
      <c r="KR23" s="204"/>
      <c r="KS23" s="204"/>
      <c r="KT23" s="204"/>
      <c r="KU23" s="204"/>
      <c r="KV23" s="204"/>
      <c r="KW23" s="204"/>
      <c r="KX23" s="204"/>
      <c r="KY23" s="204"/>
      <c r="KZ23" s="204"/>
      <c r="LA23" s="204"/>
      <c r="LB23" s="204"/>
      <c r="LC23" s="204"/>
      <c r="LD23" s="204"/>
      <c r="LE23" s="204"/>
      <c r="LF23" s="204"/>
      <c r="LG23" s="204"/>
      <c r="LH23" s="204"/>
      <c r="LI23" s="204"/>
      <c r="LJ23" s="204"/>
      <c r="LK23" s="204"/>
      <c r="LL23" s="204"/>
      <c r="LM23" s="204"/>
      <c r="LN23" s="204"/>
      <c r="LO23" s="204"/>
      <c r="LP23" s="204"/>
      <c r="LQ23" s="204"/>
      <c r="LR23" s="204"/>
      <c r="LS23" s="204"/>
      <c r="LT23" s="204"/>
      <c r="LU23" s="204"/>
      <c r="LV23" s="204"/>
      <c r="LW23" s="204"/>
      <c r="LX23" s="204"/>
      <c r="LY23" s="204"/>
      <c r="LZ23" s="204"/>
      <c r="MA23" s="204"/>
      <c r="MB23" s="204"/>
      <c r="MC23" s="204"/>
      <c r="MD23" s="204"/>
      <c r="ME23" s="204"/>
      <c r="MF23" s="204"/>
      <c r="MG23" s="204"/>
      <c r="MH23" s="204"/>
      <c r="MI23" s="204"/>
      <c r="MJ23" s="204"/>
      <c r="MK23" s="204"/>
      <c r="ML23" s="204"/>
      <c r="MM23" s="204"/>
      <c r="MN23" s="204"/>
      <c r="MO23" s="204"/>
      <c r="MP23" s="204"/>
      <c r="MQ23" s="204"/>
      <c r="MR23" s="204"/>
      <c r="MS23" s="204"/>
      <c r="MT23" s="204"/>
      <c r="MU23" s="204"/>
      <c r="MV23" s="204"/>
      <c r="MW23" s="204"/>
      <c r="MX23" s="204"/>
      <c r="MY23" s="204"/>
      <c r="MZ23" s="204"/>
      <c r="NA23" s="204"/>
      <c r="NB23" s="204"/>
      <c r="NC23" s="204"/>
      <c r="ND23" s="204"/>
      <c r="NE23" s="204"/>
      <c r="NF23" s="204"/>
      <c r="NG23" s="204"/>
      <c r="NH23" s="204"/>
      <c r="NI23" s="204"/>
      <c r="NJ23" s="204"/>
      <c r="NK23" s="204"/>
      <c r="NL23" s="204"/>
      <c r="NM23" s="204"/>
      <c r="NN23" s="204"/>
      <c r="NO23" s="204"/>
      <c r="NP23" s="204"/>
      <c r="NQ23" s="204"/>
      <c r="NR23" s="204"/>
      <c r="NS23" s="204"/>
      <c r="NT23" s="204"/>
      <c r="NU23" s="204"/>
      <c r="NV23" s="204"/>
      <c r="NW23" s="204"/>
      <c r="NX23" s="204"/>
      <c r="NY23" s="204"/>
      <c r="NZ23" s="204"/>
      <c r="OA23" s="204"/>
      <c r="OB23" s="204"/>
      <c r="OC23" s="204"/>
      <c r="OD23" s="204"/>
      <c r="OE23" s="204"/>
      <c r="OF23" s="204"/>
      <c r="OG23" s="204"/>
      <c r="OH23" s="204"/>
      <c r="OI23" s="204"/>
      <c r="OJ23" s="204"/>
      <c r="OK23" s="204"/>
      <c r="OL23" s="204"/>
      <c r="OM23" s="204"/>
      <c r="ON23" s="204"/>
      <c r="OO23" s="204"/>
      <c r="OP23" s="204"/>
      <c r="OQ23" s="204"/>
      <c r="OR23" s="204"/>
      <c r="OS23" s="204"/>
      <c r="OT23" s="204"/>
      <c r="OU23" s="204"/>
      <c r="OV23" s="204"/>
      <c r="OW23" s="204"/>
      <c r="OX23" s="204"/>
      <c r="OY23" s="204"/>
      <c r="OZ23" s="204"/>
      <c r="PA23" s="204"/>
      <c r="PB23" s="204"/>
      <c r="PC23" s="204"/>
      <c r="PD23" s="204"/>
      <c r="PE23" s="204"/>
      <c r="PF23" s="204"/>
      <c r="PG23" s="204"/>
      <c r="PH23" s="204"/>
      <c r="PI23" s="204"/>
      <c r="PJ23" s="204"/>
      <c r="PK23" s="204"/>
      <c r="PL23" s="204"/>
      <c r="PM23" s="204"/>
      <c r="PN23" s="204"/>
      <c r="PO23" s="204"/>
      <c r="PP23" s="204"/>
      <c r="PQ23" s="204"/>
      <c r="PR23" s="204"/>
      <c r="PS23" s="204"/>
      <c r="PT23" s="204"/>
      <c r="PU23" s="204"/>
      <c r="PV23" s="204"/>
      <c r="PW23" s="204"/>
      <c r="PX23" s="204"/>
      <c r="PY23" s="204"/>
      <c r="PZ23" s="204"/>
      <c r="QA23" s="204"/>
      <c r="QB23" s="204"/>
      <c r="QC23" s="204"/>
      <c r="QD23" s="204"/>
      <c r="QE23" s="204"/>
      <c r="QF23" s="204"/>
      <c r="QG23" s="204"/>
      <c r="QH23" s="204"/>
      <c r="QI23" s="204"/>
      <c r="QJ23" s="204"/>
      <c r="QK23" s="204"/>
      <c r="QL23" s="204"/>
      <c r="QM23" s="204"/>
      <c r="QN23" s="204"/>
      <c r="QO23" s="204"/>
      <c r="QP23" s="204"/>
      <c r="QQ23" s="204"/>
      <c r="QR23" s="204"/>
      <c r="QS23" s="204"/>
      <c r="QT23" s="204"/>
      <c r="QU23" s="204"/>
      <c r="QV23" s="204"/>
      <c r="QW23" s="204"/>
      <c r="QX23" s="204"/>
      <c r="QY23" s="204"/>
      <c r="QZ23" s="204"/>
      <c r="RA23" s="204"/>
      <c r="RB23" s="204"/>
      <c r="RC23" s="204"/>
      <c r="RD23" s="204"/>
      <c r="RE23" s="204"/>
      <c r="RF23" s="204"/>
      <c r="RG23" s="204"/>
      <c r="RH23" s="204"/>
      <c r="RI23" s="204"/>
      <c r="RJ23" s="204"/>
      <c r="RK23" s="204"/>
      <c r="RL23" s="204"/>
      <c r="RM23" s="204"/>
      <c r="RN23" s="204"/>
      <c r="RO23" s="204"/>
      <c r="RP23" s="204"/>
      <c r="RQ23" s="204"/>
      <c r="RR23" s="204"/>
      <c r="RS23" s="204"/>
      <c r="RT23" s="204"/>
      <c r="RU23" s="204"/>
      <c r="RV23" s="204"/>
      <c r="RW23" s="204"/>
      <c r="RX23" s="204"/>
      <c r="RY23" s="204"/>
      <c r="RZ23" s="204"/>
      <c r="SA23" s="204"/>
      <c r="SB23" s="204"/>
      <c r="SC23" s="204"/>
      <c r="SD23" s="204"/>
      <c r="SE23" s="204"/>
      <c r="SF23" s="204"/>
      <c r="SG23" s="204"/>
      <c r="SH23" s="204"/>
      <c r="SI23" s="204"/>
      <c r="SJ23" s="204"/>
      <c r="SK23" s="204"/>
      <c r="SL23" s="204"/>
      <c r="SM23" s="204"/>
      <c r="SN23" s="204"/>
      <c r="SO23" s="204"/>
      <c r="SP23" s="204"/>
      <c r="SQ23" s="204"/>
      <c r="SR23" s="204"/>
      <c r="SS23" s="204"/>
      <c r="ST23" s="204"/>
      <c r="SU23" s="204"/>
      <c r="SV23" s="204"/>
      <c r="SW23" s="204"/>
      <c r="SX23" s="204"/>
      <c r="SY23" s="204"/>
      <c r="SZ23" s="204"/>
      <c r="TA23" s="204"/>
      <c r="TB23" s="204"/>
      <c r="TC23" s="204"/>
      <c r="TD23" s="204"/>
      <c r="TE23" s="204"/>
      <c r="TF23" s="204"/>
      <c r="TG23" s="204"/>
      <c r="TH23" s="204"/>
      <c r="TI23" s="204"/>
      <c r="TJ23" s="204"/>
      <c r="TK23" s="204"/>
      <c r="TL23" s="204"/>
      <c r="TM23" s="204"/>
      <c r="TN23" s="204"/>
      <c r="TO23" s="204"/>
      <c r="TP23" s="204"/>
      <c r="TQ23" s="204"/>
      <c r="TR23" s="204"/>
      <c r="TS23" s="204"/>
      <c r="TT23" s="204"/>
      <c r="TU23" s="204"/>
      <c r="TV23" s="204"/>
      <c r="TW23" s="204"/>
      <c r="TX23" s="204"/>
      <c r="TY23" s="204"/>
      <c r="TZ23" s="204"/>
      <c r="UA23" s="204"/>
      <c r="UB23" s="204"/>
      <c r="UC23" s="204"/>
      <c r="UD23" s="204"/>
      <c r="UE23" s="204"/>
      <c r="UF23" s="204"/>
      <c r="UG23" s="204"/>
      <c r="UH23" s="204"/>
      <c r="UI23" s="204"/>
      <c r="UJ23" s="204"/>
      <c r="UK23" s="204"/>
      <c r="UL23" s="204"/>
      <c r="UM23" s="204"/>
      <c r="UN23" s="204"/>
      <c r="UO23" s="204"/>
      <c r="UP23" s="204"/>
      <c r="UQ23" s="204"/>
      <c r="UR23" s="204"/>
      <c r="US23" s="204"/>
      <c r="UT23" s="204"/>
      <c r="UU23" s="204"/>
      <c r="UV23" s="204"/>
      <c r="UW23" s="204"/>
      <c r="UX23" s="204"/>
      <c r="UY23" s="204"/>
      <c r="UZ23" s="204"/>
      <c r="VA23" s="204"/>
      <c r="VB23" s="204"/>
      <c r="VC23" s="204"/>
      <c r="VD23" s="204"/>
      <c r="VE23" s="204"/>
      <c r="VF23" s="204"/>
      <c r="VG23" s="204"/>
      <c r="VH23" s="204"/>
      <c r="VI23" s="204"/>
      <c r="VJ23" s="204"/>
      <c r="VK23" s="204"/>
      <c r="VL23" s="204"/>
      <c r="VM23" s="204"/>
      <c r="VN23" s="204"/>
      <c r="VO23" s="204"/>
      <c r="VP23" s="204"/>
      <c r="VQ23" s="204"/>
      <c r="VR23" s="204"/>
      <c r="VS23" s="204"/>
      <c r="VT23" s="204"/>
      <c r="VU23" s="204"/>
      <c r="VV23" s="204"/>
      <c r="VW23" s="204"/>
      <c r="VX23" s="204"/>
      <c r="VY23" s="204"/>
      <c r="VZ23" s="204"/>
      <c r="WA23" s="204"/>
      <c r="WB23" s="204"/>
      <c r="WC23" s="204"/>
      <c r="WD23" s="204"/>
      <c r="WE23" s="204"/>
      <c r="WF23" s="204"/>
      <c r="WG23" s="204"/>
      <c r="WH23" s="204"/>
      <c r="WI23" s="204"/>
      <c r="WJ23" s="204"/>
      <c r="WK23" s="204"/>
      <c r="WL23" s="204"/>
      <c r="WM23" s="204"/>
      <c r="WN23" s="204"/>
      <c r="WO23" s="204"/>
      <c r="WP23" s="204"/>
      <c r="WQ23" s="204"/>
      <c r="WR23" s="204"/>
      <c r="WS23" s="204"/>
      <c r="WT23" s="204"/>
      <c r="WU23" s="204"/>
      <c r="WV23" s="204"/>
      <c r="WW23" s="204"/>
      <c r="WX23" s="204"/>
      <c r="WY23" s="204"/>
      <c r="WZ23" s="204"/>
      <c r="XA23" s="204"/>
      <c r="XB23" s="204"/>
      <c r="XC23" s="204"/>
      <c r="XD23" s="204"/>
      <c r="XE23" s="204"/>
      <c r="XF23" s="204"/>
      <c r="XG23" s="204"/>
      <c r="XH23" s="204"/>
      <c r="XI23" s="204"/>
      <c r="XJ23" s="204"/>
      <c r="XK23" s="204"/>
      <c r="XL23" s="204"/>
      <c r="XM23" s="204"/>
      <c r="XN23" s="204"/>
      <c r="XO23" s="204"/>
      <c r="XP23" s="204"/>
      <c r="XQ23" s="204"/>
      <c r="XR23" s="204"/>
      <c r="XS23" s="204"/>
      <c r="XT23" s="204"/>
      <c r="XU23" s="204"/>
      <c r="XV23" s="204"/>
      <c r="XW23" s="204"/>
      <c r="XX23" s="204"/>
      <c r="XY23" s="204"/>
      <c r="XZ23" s="204"/>
      <c r="YA23" s="204"/>
      <c r="YB23" s="204"/>
      <c r="YC23" s="204"/>
      <c r="YD23" s="204"/>
      <c r="YE23" s="204"/>
      <c r="YF23" s="204"/>
      <c r="YG23" s="204"/>
      <c r="YH23" s="204"/>
      <c r="YI23" s="204"/>
      <c r="YJ23" s="204"/>
      <c r="YK23" s="204"/>
      <c r="YL23" s="204"/>
      <c r="YM23" s="204"/>
      <c r="YN23" s="204"/>
      <c r="YO23" s="204"/>
      <c r="YP23" s="204"/>
      <c r="YQ23" s="204"/>
      <c r="YR23" s="204"/>
      <c r="YS23" s="204"/>
      <c r="YT23" s="204"/>
      <c r="YU23" s="204"/>
      <c r="YV23" s="204"/>
      <c r="YW23" s="204"/>
      <c r="YX23" s="204"/>
      <c r="YY23" s="204"/>
      <c r="YZ23" s="204"/>
      <c r="ZA23" s="204"/>
      <c r="ZB23" s="204"/>
      <c r="ZC23" s="204"/>
      <c r="ZD23" s="204"/>
      <c r="ZE23" s="204"/>
      <c r="ZF23" s="204"/>
      <c r="ZG23" s="204"/>
      <c r="ZH23" s="204"/>
      <c r="ZI23" s="204"/>
      <c r="ZJ23" s="204"/>
      <c r="ZK23" s="204"/>
      <c r="ZL23" s="204"/>
      <c r="ZM23" s="204"/>
      <c r="ZN23" s="204"/>
      <c r="ZO23" s="204"/>
      <c r="ZP23" s="204"/>
      <c r="ZQ23" s="204"/>
      <c r="ZR23" s="204"/>
      <c r="ZS23" s="204"/>
      <c r="ZT23" s="204"/>
      <c r="ZU23" s="204"/>
      <c r="ZV23" s="204"/>
      <c r="ZW23" s="204"/>
      <c r="ZX23" s="204"/>
      <c r="ZY23" s="204"/>
      <c r="ZZ23" s="204"/>
      <c r="AAA23" s="204"/>
      <c r="AAB23" s="204"/>
      <c r="AAC23" s="204"/>
      <c r="AAD23" s="204"/>
      <c r="AAE23" s="204"/>
      <c r="AAF23" s="204"/>
      <c r="AAG23" s="204"/>
      <c r="AAH23" s="204"/>
      <c r="AAI23" s="204"/>
      <c r="AAJ23" s="204"/>
      <c r="AAK23" s="204"/>
      <c r="AAL23" s="204"/>
      <c r="AAM23" s="204"/>
      <c r="AAN23" s="204"/>
      <c r="AAO23" s="204"/>
      <c r="AAP23" s="204"/>
      <c r="AAQ23" s="204"/>
      <c r="AAR23" s="204"/>
      <c r="AAS23" s="204"/>
      <c r="AAT23" s="204"/>
      <c r="AAU23" s="204"/>
      <c r="AAV23" s="204"/>
      <c r="AAW23" s="204"/>
      <c r="AAX23" s="204"/>
      <c r="AAY23" s="204"/>
      <c r="AAZ23" s="204"/>
      <c r="ABA23" s="204"/>
      <c r="ABB23" s="204"/>
      <c r="ABC23" s="204"/>
      <c r="ABD23" s="204"/>
      <c r="ABE23" s="204"/>
      <c r="ABF23" s="204"/>
      <c r="ABG23" s="204"/>
      <c r="ABH23" s="204"/>
      <c r="ABI23" s="204"/>
      <c r="ABJ23" s="204"/>
      <c r="ABK23" s="204"/>
      <c r="ABL23" s="204"/>
      <c r="ABM23" s="204"/>
      <c r="ABN23" s="204"/>
      <c r="ABO23" s="204"/>
      <c r="ABP23" s="204"/>
      <c r="ABQ23" s="204"/>
      <c r="ABR23" s="204"/>
      <c r="ABS23" s="204"/>
      <c r="ABT23" s="204"/>
      <c r="ABU23" s="204"/>
      <c r="ABV23" s="204"/>
      <c r="ABW23" s="204"/>
      <c r="ABX23" s="204"/>
      <c r="ABY23" s="204"/>
      <c r="ABZ23" s="204"/>
      <c r="ACA23" s="204"/>
      <c r="ACB23" s="204"/>
      <c r="ACC23" s="204"/>
      <c r="ACD23" s="204"/>
      <c r="ACE23" s="204"/>
      <c r="ACF23" s="204"/>
      <c r="ACG23" s="204"/>
      <c r="ACH23" s="204"/>
      <c r="ACI23" s="204"/>
      <c r="ACJ23" s="204"/>
      <c r="ACK23" s="204"/>
      <c r="ACL23" s="204"/>
      <c r="ACM23" s="204"/>
      <c r="ACN23" s="204"/>
      <c r="ACO23" s="204"/>
      <c r="ACP23" s="204"/>
      <c r="ACQ23" s="204"/>
      <c r="ACR23" s="204"/>
      <c r="ACS23" s="204"/>
      <c r="ACT23" s="204"/>
      <c r="ACU23" s="204"/>
      <c r="ACV23" s="204"/>
      <c r="ACW23" s="204"/>
      <c r="ACX23" s="204"/>
      <c r="ACY23" s="204"/>
      <c r="ACZ23" s="204"/>
      <c r="ADA23" s="204"/>
      <c r="ADB23" s="204"/>
      <c r="ADC23" s="204"/>
      <c r="ADD23" s="204"/>
      <c r="ADE23" s="204"/>
      <c r="ADF23" s="204"/>
      <c r="ADG23" s="204"/>
      <c r="ADH23" s="204"/>
      <c r="ADI23" s="204"/>
      <c r="ADJ23" s="204"/>
      <c r="ADK23" s="204"/>
      <c r="ADL23" s="204"/>
      <c r="ADM23" s="204"/>
      <c r="ADN23" s="204"/>
      <c r="ADO23" s="204"/>
      <c r="ADP23" s="204"/>
      <c r="ADQ23" s="204"/>
      <c r="ADR23" s="204"/>
      <c r="ADS23" s="204"/>
      <c r="ADT23" s="204"/>
      <c r="ADU23" s="204"/>
      <c r="ADV23" s="204"/>
      <c r="ADW23" s="204"/>
      <c r="ADX23" s="204"/>
      <c r="ADY23" s="204"/>
      <c r="ADZ23" s="204"/>
      <c r="AEA23" s="204"/>
      <c r="AEB23" s="204"/>
      <c r="AEC23" s="204"/>
      <c r="AED23" s="204"/>
      <c r="AEE23" s="204"/>
      <c r="AEF23" s="204"/>
      <c r="AEG23" s="204"/>
      <c r="AEH23" s="204"/>
      <c r="AEI23" s="204"/>
      <c r="AEJ23" s="204"/>
      <c r="AEK23" s="204"/>
      <c r="AEL23" s="204"/>
      <c r="AEM23" s="204"/>
      <c r="AEN23" s="204"/>
      <c r="AEO23" s="204"/>
      <c r="AEP23" s="204"/>
      <c r="AEQ23" s="204"/>
      <c r="AER23" s="204"/>
      <c r="AES23" s="204"/>
      <c r="AET23" s="204"/>
      <c r="AEU23" s="204"/>
      <c r="AEV23" s="204"/>
      <c r="AEW23" s="204"/>
      <c r="AEX23" s="204"/>
      <c r="AEY23" s="204"/>
      <c r="AEZ23" s="204"/>
      <c r="AFA23" s="204"/>
      <c r="AFB23" s="204"/>
      <c r="AFC23" s="204"/>
      <c r="AFD23" s="204"/>
      <c r="AFE23" s="204"/>
      <c r="AFF23" s="204"/>
      <c r="AFG23" s="204"/>
      <c r="AFH23" s="204"/>
      <c r="AFI23" s="204"/>
      <c r="AFJ23" s="204"/>
      <c r="AFK23" s="204"/>
      <c r="AFL23" s="204"/>
      <c r="AFM23" s="204"/>
      <c r="AFN23" s="204"/>
      <c r="AFO23" s="204"/>
      <c r="AFP23" s="204"/>
      <c r="AFQ23" s="204"/>
      <c r="AFR23" s="204"/>
      <c r="AFS23" s="204"/>
      <c r="AFT23" s="204"/>
      <c r="AFU23" s="204"/>
      <c r="AFV23" s="204"/>
      <c r="AFW23" s="204"/>
      <c r="AFX23" s="204"/>
      <c r="AFY23" s="204"/>
      <c r="AFZ23" s="204"/>
      <c r="AGA23" s="204"/>
      <c r="AGB23" s="204"/>
      <c r="AGC23" s="204"/>
      <c r="AGD23" s="204"/>
      <c r="AGE23" s="204"/>
      <c r="AGF23" s="204"/>
      <c r="AGG23" s="204"/>
      <c r="AGH23" s="204"/>
      <c r="AGI23" s="204"/>
      <c r="AGJ23" s="204"/>
      <c r="AGK23" s="204"/>
      <c r="AGL23" s="204"/>
      <c r="AGM23" s="204"/>
      <c r="AGN23" s="204"/>
      <c r="AGO23" s="204"/>
      <c r="AGP23" s="204"/>
      <c r="AGQ23" s="204"/>
      <c r="AGR23" s="204"/>
      <c r="AGS23" s="204"/>
      <c r="AGT23" s="204"/>
      <c r="AGU23" s="204"/>
      <c r="AGV23" s="204"/>
      <c r="AGW23" s="204"/>
      <c r="AGX23" s="204"/>
      <c r="AGY23" s="204"/>
      <c r="AGZ23" s="204"/>
      <c r="AHA23" s="204"/>
      <c r="AHB23" s="204"/>
      <c r="AHC23" s="204"/>
      <c r="AHD23" s="204"/>
      <c r="AHE23" s="204"/>
      <c r="AHF23" s="204"/>
      <c r="AHG23" s="204"/>
      <c r="AHH23" s="204"/>
      <c r="AHI23" s="204"/>
      <c r="AHJ23" s="204"/>
      <c r="AHK23" s="204"/>
      <c r="AHL23" s="204"/>
      <c r="AHM23" s="204"/>
      <c r="AHN23" s="204"/>
      <c r="AHO23" s="204"/>
      <c r="AHP23" s="204"/>
      <c r="AHQ23" s="204"/>
      <c r="AHR23" s="204"/>
      <c r="AHS23" s="204"/>
      <c r="AHT23" s="204"/>
      <c r="AHU23" s="204"/>
      <c r="AHV23" s="204"/>
      <c r="AHW23" s="204"/>
      <c r="AHX23" s="204"/>
      <c r="AHY23" s="204"/>
      <c r="AHZ23" s="204"/>
      <c r="AIA23" s="204"/>
      <c r="AIB23" s="204"/>
      <c r="AIC23" s="204"/>
      <c r="AID23" s="204"/>
      <c r="AIE23" s="204"/>
      <c r="AIF23" s="204"/>
      <c r="AIG23" s="204"/>
      <c r="AIH23" s="204"/>
      <c r="AII23" s="204"/>
      <c r="AIJ23" s="204"/>
      <c r="AIK23" s="204"/>
      <c r="AIL23" s="204"/>
      <c r="AIM23" s="204"/>
      <c r="AIN23" s="204"/>
      <c r="AIO23" s="204"/>
      <c r="AIP23" s="204"/>
      <c r="AIQ23" s="204"/>
      <c r="AIR23" s="204"/>
      <c r="AIS23" s="204"/>
      <c r="AIT23" s="204"/>
      <c r="AIU23" s="204"/>
      <c r="AIV23" s="204"/>
      <c r="AIW23" s="204"/>
      <c r="AIX23" s="204"/>
      <c r="AIY23" s="204"/>
      <c r="AIZ23" s="204"/>
      <c r="AJA23" s="204"/>
      <c r="AJB23" s="204"/>
      <c r="AJC23" s="204"/>
      <c r="AJD23" s="204"/>
      <c r="AJE23" s="204"/>
      <c r="AJF23" s="204"/>
      <c r="AJG23" s="204"/>
      <c r="AJH23" s="204"/>
      <c r="AJI23" s="204"/>
      <c r="AJJ23" s="204"/>
      <c r="AJK23" s="204"/>
      <c r="AJL23" s="204"/>
      <c r="AJM23" s="204"/>
      <c r="AJN23" s="204"/>
      <c r="AJO23" s="204"/>
      <c r="AJP23" s="204"/>
      <c r="AJQ23" s="204"/>
      <c r="AJR23" s="204"/>
      <c r="AJS23" s="204"/>
      <c r="AJT23" s="204"/>
      <c r="AJU23" s="204"/>
      <c r="AJV23" s="204"/>
      <c r="AJW23" s="204"/>
      <c r="AJX23" s="204"/>
      <c r="AJY23" s="204"/>
      <c r="AJZ23" s="204"/>
      <c r="AKA23" s="204"/>
      <c r="AKB23" s="204"/>
      <c r="AKC23" s="204"/>
      <c r="AKD23" s="204"/>
      <c r="AKE23" s="204"/>
      <c r="AKF23" s="204"/>
      <c r="AKG23" s="204"/>
      <c r="AKH23" s="204"/>
      <c r="AKI23" s="204"/>
      <c r="AKJ23" s="204"/>
      <c r="AKK23" s="204"/>
      <c r="AKL23" s="204"/>
      <c r="AKM23" s="204"/>
      <c r="AKN23" s="204"/>
      <c r="AKO23" s="204"/>
      <c r="AKP23" s="204"/>
      <c r="AKQ23" s="204"/>
      <c r="AKR23" s="204"/>
      <c r="AKS23" s="204"/>
      <c r="AKT23" s="204"/>
      <c r="AKU23" s="204"/>
      <c r="AKV23" s="204"/>
      <c r="AKW23" s="204"/>
      <c r="AKX23" s="204"/>
      <c r="AKY23" s="204"/>
      <c r="AKZ23" s="204"/>
      <c r="ALA23" s="204"/>
      <c r="ALB23" s="204"/>
      <c r="ALC23" s="204"/>
      <c r="ALD23" s="204"/>
      <c r="ALE23" s="204"/>
      <c r="ALF23" s="204"/>
      <c r="ALG23" s="204"/>
      <c r="ALH23" s="204"/>
      <c r="ALI23" s="204"/>
      <c r="ALJ23" s="204"/>
      <c r="ALK23" s="204"/>
      <c r="ALL23" s="204"/>
      <c r="ALM23" s="204"/>
      <c r="ALN23" s="204"/>
      <c r="ALO23" s="204"/>
      <c r="ALP23" s="204"/>
      <c r="ALQ23" s="204"/>
      <c r="ALR23" s="204"/>
      <c r="ALS23" s="204"/>
      <c r="ALT23" s="204"/>
      <c r="ALU23" s="204"/>
      <c r="ALV23" s="204"/>
      <c r="ALW23" s="204"/>
      <c r="ALX23" s="204"/>
      <c r="ALY23" s="204"/>
      <c r="ALZ23" s="204"/>
      <c r="AMA23" s="204"/>
      <c r="AMB23" s="204"/>
      <c r="AMC23" s="204"/>
      <c r="AMD23" s="204"/>
      <c r="AME23" s="204"/>
      <c r="AMF23" s="204"/>
      <c r="AMG23" s="204"/>
      <c r="AMH23" s="204"/>
      <c r="AMI23" s="204"/>
      <c r="AMJ23" s="204"/>
      <c r="AMK23" s="204"/>
      <c r="AML23" s="204"/>
      <c r="AMM23" s="204"/>
      <c r="AMN23" s="204"/>
      <c r="AMO23" s="204"/>
      <c r="AMP23" s="204"/>
      <c r="AMQ23" s="204"/>
      <c r="AMR23" s="204"/>
      <c r="AMS23" s="204"/>
      <c r="AMT23" s="204"/>
      <c r="AMU23" s="204"/>
      <c r="AMV23" s="204"/>
      <c r="AMW23" s="204"/>
      <c r="AMX23" s="204"/>
      <c r="AMY23" s="204"/>
      <c r="AMZ23" s="204"/>
      <c r="ANA23" s="204"/>
      <c r="ANB23" s="204"/>
      <c r="ANC23" s="204"/>
      <c r="AND23" s="204"/>
      <c r="ANE23" s="204"/>
      <c r="ANF23" s="204"/>
      <c r="ANG23" s="204"/>
      <c r="ANH23" s="204"/>
      <c r="ANI23" s="204"/>
      <c r="ANJ23" s="204"/>
      <c r="ANK23" s="204"/>
      <c r="ANL23" s="204"/>
      <c r="ANM23" s="204"/>
      <c r="ANN23" s="204"/>
      <c r="ANO23" s="204"/>
      <c r="ANP23" s="204"/>
      <c r="ANQ23" s="204"/>
      <c r="ANR23" s="204"/>
      <c r="ANS23" s="204"/>
      <c r="ANT23" s="204"/>
      <c r="ANU23" s="204"/>
      <c r="ANV23" s="204"/>
      <c r="ANW23" s="204"/>
      <c r="ANX23" s="204"/>
      <c r="ANY23" s="204"/>
      <c r="ANZ23" s="204"/>
      <c r="AOA23" s="204"/>
      <c r="AOB23" s="204"/>
      <c r="AOC23" s="204"/>
      <c r="AOD23" s="204"/>
      <c r="AOE23" s="204"/>
      <c r="AOF23" s="204"/>
      <c r="AOG23" s="204"/>
      <c r="AOH23" s="204"/>
      <c r="AOI23" s="204"/>
      <c r="AOJ23" s="204"/>
      <c r="AOK23" s="204"/>
      <c r="AOL23" s="204"/>
      <c r="AOM23" s="204"/>
      <c r="AON23" s="204"/>
      <c r="AOO23" s="204"/>
      <c r="AOP23" s="204"/>
      <c r="AOQ23" s="204"/>
      <c r="AOR23" s="204"/>
      <c r="AOS23" s="204"/>
      <c r="AOT23" s="204"/>
      <c r="AOU23" s="204"/>
      <c r="AOV23" s="204"/>
      <c r="AOW23" s="204"/>
      <c r="AOX23" s="204"/>
      <c r="AOY23" s="204"/>
      <c r="AOZ23" s="204"/>
      <c r="APA23" s="204"/>
      <c r="APB23" s="204"/>
      <c r="APC23" s="204"/>
      <c r="APD23" s="204"/>
      <c r="APE23" s="204"/>
      <c r="APF23" s="204"/>
      <c r="APG23" s="204"/>
      <c r="APH23" s="204"/>
      <c r="API23" s="204"/>
      <c r="APJ23" s="204"/>
      <c r="APK23" s="204"/>
      <c r="APL23" s="204"/>
      <c r="APM23" s="204"/>
      <c r="APN23" s="204"/>
      <c r="APO23" s="204"/>
      <c r="APP23" s="204"/>
      <c r="APQ23" s="204"/>
      <c r="APR23" s="204"/>
      <c r="APS23" s="204"/>
      <c r="APT23" s="204"/>
      <c r="APU23" s="204"/>
      <c r="APV23" s="204"/>
      <c r="APW23" s="204"/>
      <c r="APX23" s="204"/>
      <c r="APY23" s="204"/>
      <c r="APZ23" s="204"/>
      <c r="AQA23" s="204"/>
      <c r="AQB23" s="204"/>
      <c r="AQC23" s="204"/>
      <c r="AQD23" s="204"/>
      <c r="AQE23" s="204"/>
      <c r="AQF23" s="204"/>
      <c r="AQG23" s="204"/>
      <c r="AQH23" s="204"/>
      <c r="AQI23" s="204"/>
      <c r="AQJ23" s="204"/>
      <c r="AQK23" s="204"/>
      <c r="AQL23" s="204"/>
      <c r="AQM23" s="204"/>
      <c r="AQN23" s="204"/>
      <c r="AQO23" s="204"/>
      <c r="AQP23" s="204"/>
      <c r="AQQ23" s="204"/>
      <c r="AQR23" s="204"/>
      <c r="AQS23" s="204"/>
      <c r="AQT23" s="204"/>
      <c r="AQU23" s="204"/>
      <c r="AQV23" s="204"/>
      <c r="AQW23" s="204"/>
      <c r="AQX23" s="204"/>
      <c r="AQY23" s="204"/>
      <c r="AQZ23" s="204"/>
      <c r="ARA23" s="204"/>
      <c r="ARB23" s="204"/>
      <c r="ARC23" s="204"/>
      <c r="ARD23" s="204"/>
      <c r="ARE23" s="204"/>
      <c r="ARF23" s="204"/>
      <c r="ARG23" s="204"/>
      <c r="ARH23" s="204"/>
      <c r="ARI23" s="204"/>
      <c r="ARJ23" s="204"/>
      <c r="ARK23" s="204"/>
      <c r="ARL23" s="204"/>
      <c r="ARM23" s="204"/>
      <c r="ARN23" s="204"/>
      <c r="ARO23" s="204"/>
      <c r="ARP23" s="204"/>
      <c r="ARQ23" s="204"/>
      <c r="ARR23" s="204"/>
      <c r="ARS23" s="204"/>
      <c r="ART23" s="204"/>
      <c r="ARU23" s="204"/>
      <c r="ARV23" s="204"/>
      <c r="ARW23" s="204"/>
      <c r="ARX23" s="204"/>
      <c r="ARY23" s="204"/>
      <c r="ARZ23" s="204"/>
      <c r="ASA23" s="204"/>
      <c r="ASB23" s="204"/>
      <c r="ASC23" s="204"/>
      <c r="ASD23" s="204"/>
      <c r="ASE23" s="204"/>
      <c r="ASF23" s="204"/>
      <c r="ASG23" s="204"/>
      <c r="ASH23" s="204"/>
      <c r="ASI23" s="204"/>
      <c r="ASJ23" s="204"/>
      <c r="ASK23" s="204"/>
      <c r="ASL23" s="204"/>
      <c r="ASM23" s="204"/>
      <c r="ASN23" s="204"/>
      <c r="ASO23" s="204"/>
      <c r="ASP23" s="204"/>
      <c r="ASQ23" s="204"/>
      <c r="ASR23" s="204"/>
      <c r="ASS23" s="204"/>
      <c r="AST23" s="204"/>
      <c r="ASU23" s="204"/>
      <c r="ASV23" s="204"/>
      <c r="ASW23" s="204"/>
      <c r="ASX23" s="204"/>
      <c r="ASY23" s="204"/>
      <c r="ASZ23" s="204"/>
      <c r="ATA23" s="204"/>
      <c r="ATB23" s="204"/>
      <c r="ATC23" s="204"/>
      <c r="ATD23" s="204"/>
      <c r="ATE23" s="204"/>
      <c r="ATF23" s="204"/>
      <c r="ATG23" s="204"/>
      <c r="ATH23" s="204"/>
      <c r="ATI23" s="204"/>
      <c r="ATJ23" s="204"/>
      <c r="ATK23" s="204"/>
      <c r="ATL23" s="204"/>
      <c r="ATM23" s="204"/>
      <c r="ATN23" s="204"/>
      <c r="ATO23" s="204"/>
      <c r="ATP23" s="204"/>
      <c r="ATQ23" s="204"/>
      <c r="ATR23" s="204"/>
      <c r="ATS23" s="204"/>
      <c r="ATT23" s="204"/>
      <c r="ATU23" s="204"/>
      <c r="ATV23" s="204"/>
      <c r="ATW23" s="204"/>
      <c r="ATX23" s="204"/>
      <c r="ATY23" s="204"/>
      <c r="ATZ23" s="204"/>
      <c r="AUA23" s="204"/>
      <c r="AUB23" s="204"/>
      <c r="AUC23" s="204"/>
      <c r="AUD23" s="204"/>
      <c r="AUE23" s="204"/>
      <c r="AUF23" s="204"/>
      <c r="AUG23" s="204"/>
      <c r="AUH23" s="204"/>
      <c r="AUI23" s="204"/>
      <c r="AUJ23" s="204"/>
      <c r="AUK23" s="204"/>
      <c r="AUL23" s="204"/>
      <c r="AUM23" s="204"/>
      <c r="AUN23" s="204"/>
      <c r="AUO23" s="204"/>
      <c r="AUP23" s="204"/>
      <c r="AUQ23" s="204"/>
      <c r="AUR23" s="204"/>
      <c r="AUS23" s="204"/>
      <c r="AUT23" s="204"/>
      <c r="AUU23" s="204"/>
      <c r="AUV23" s="204"/>
      <c r="AUW23" s="204"/>
      <c r="AUX23" s="204"/>
      <c r="AUY23" s="204"/>
      <c r="AUZ23" s="204"/>
      <c r="AVA23" s="204"/>
      <c r="AVB23" s="204"/>
      <c r="AVC23" s="204"/>
      <c r="AVD23" s="204"/>
      <c r="AVE23" s="204"/>
      <c r="AVF23" s="204"/>
      <c r="AVG23" s="204"/>
      <c r="AVH23" s="204"/>
      <c r="AVI23" s="204"/>
      <c r="AVJ23" s="204"/>
      <c r="AVK23" s="204"/>
      <c r="AVL23" s="204"/>
      <c r="AVM23" s="204"/>
      <c r="AVN23" s="204"/>
      <c r="AVO23" s="204"/>
      <c r="AVP23" s="204"/>
      <c r="AVQ23" s="204"/>
      <c r="AVR23" s="204"/>
      <c r="AVS23" s="204"/>
      <c r="AVT23" s="204"/>
      <c r="AVU23" s="204"/>
      <c r="AVV23" s="204"/>
      <c r="AVW23" s="204"/>
      <c r="AVX23" s="204"/>
      <c r="AVY23" s="204"/>
      <c r="AVZ23" s="204"/>
      <c r="AWA23" s="204"/>
      <c r="AWB23" s="204"/>
      <c r="AWC23" s="204"/>
      <c r="AWD23" s="204"/>
      <c r="AWE23" s="204"/>
      <c r="AWF23" s="204"/>
      <c r="AWG23" s="204"/>
      <c r="AWH23" s="204"/>
      <c r="AWI23" s="204"/>
      <c r="AWJ23" s="204"/>
      <c r="AWK23" s="204"/>
      <c r="AWL23" s="204"/>
      <c r="AWM23" s="204"/>
      <c r="AWN23" s="204"/>
      <c r="AWO23" s="204"/>
      <c r="AWP23" s="204"/>
      <c r="AWQ23" s="204"/>
      <c r="AWR23" s="204"/>
      <c r="AWS23" s="204"/>
      <c r="AWT23" s="204"/>
      <c r="AWU23" s="204"/>
      <c r="AWV23" s="204"/>
      <c r="AWW23" s="204"/>
      <c r="AWX23" s="204"/>
      <c r="AWY23" s="204"/>
      <c r="AWZ23" s="204"/>
      <c r="AXA23" s="204"/>
      <c r="AXB23" s="204"/>
      <c r="AXC23" s="204"/>
      <c r="AXD23" s="204"/>
      <c r="AXE23" s="204"/>
      <c r="AXF23" s="204"/>
      <c r="AXG23" s="204"/>
      <c r="AXH23" s="204"/>
      <c r="AXI23" s="204"/>
      <c r="AXJ23" s="204"/>
      <c r="AXK23" s="204"/>
      <c r="AXL23" s="204"/>
      <c r="AXM23" s="204"/>
      <c r="AXN23" s="204"/>
      <c r="AXO23" s="204"/>
      <c r="AXP23" s="204"/>
      <c r="AXQ23" s="204"/>
      <c r="AXR23" s="204"/>
      <c r="AXS23" s="204"/>
      <c r="AXT23" s="204"/>
      <c r="AXU23" s="204"/>
      <c r="AXV23" s="204"/>
      <c r="AXW23" s="204"/>
      <c r="AXX23" s="204"/>
      <c r="AXY23" s="204"/>
      <c r="AXZ23" s="204"/>
      <c r="AYA23" s="204"/>
      <c r="AYB23" s="204"/>
      <c r="AYC23" s="204"/>
      <c r="AYD23" s="204"/>
      <c r="AYE23" s="204"/>
      <c r="AYF23" s="204"/>
      <c r="AYG23" s="204"/>
      <c r="AYH23" s="204"/>
      <c r="AYI23" s="204"/>
      <c r="AYJ23" s="204"/>
      <c r="AYK23" s="204"/>
      <c r="AYL23" s="204"/>
      <c r="AYM23" s="204"/>
      <c r="AYN23" s="204"/>
      <c r="AYO23" s="204"/>
      <c r="AYP23" s="204"/>
      <c r="AYQ23" s="204"/>
      <c r="AYR23" s="204"/>
      <c r="AYS23" s="204"/>
      <c r="AYT23" s="204"/>
      <c r="AYU23" s="204"/>
      <c r="AYV23" s="204"/>
      <c r="AYW23" s="204"/>
      <c r="AYX23" s="204"/>
      <c r="AYY23" s="204"/>
      <c r="AYZ23" s="204"/>
      <c r="AZA23" s="204"/>
      <c r="AZB23" s="204"/>
      <c r="AZC23" s="204"/>
      <c r="AZD23" s="204"/>
      <c r="AZE23" s="204"/>
      <c r="AZF23" s="204"/>
      <c r="AZG23" s="204"/>
      <c r="AZH23" s="204"/>
      <c r="AZI23" s="204"/>
      <c r="AZJ23" s="204"/>
      <c r="AZK23" s="204"/>
      <c r="AZL23" s="204"/>
      <c r="AZM23" s="204"/>
      <c r="AZN23" s="204"/>
      <c r="AZO23" s="204"/>
      <c r="AZP23" s="204"/>
      <c r="AZQ23" s="204"/>
      <c r="AZR23" s="204"/>
      <c r="AZS23" s="204"/>
      <c r="AZT23" s="204"/>
      <c r="AZU23" s="204"/>
      <c r="AZV23" s="204"/>
      <c r="AZW23" s="204"/>
      <c r="AZX23" s="204"/>
      <c r="AZY23" s="204"/>
      <c r="AZZ23" s="204"/>
      <c r="BAA23" s="204"/>
      <c r="BAB23" s="204"/>
      <c r="BAC23" s="204"/>
      <c r="BAD23" s="204"/>
      <c r="BAE23" s="204"/>
      <c r="BAF23" s="204"/>
      <c r="BAG23" s="204"/>
      <c r="BAH23" s="204"/>
      <c r="BAI23" s="204"/>
      <c r="BAJ23" s="204"/>
      <c r="BAK23" s="204"/>
      <c r="BAL23" s="204"/>
      <c r="BAM23" s="204"/>
      <c r="BAN23" s="204"/>
      <c r="BAO23" s="204"/>
      <c r="BAP23" s="204"/>
      <c r="BAQ23" s="204"/>
      <c r="BAR23" s="204"/>
      <c r="BAS23" s="204"/>
      <c r="BAT23" s="204"/>
      <c r="BAU23" s="204"/>
      <c r="BAV23" s="204"/>
      <c r="BAW23" s="204"/>
      <c r="BAX23" s="204"/>
      <c r="BAY23" s="204"/>
      <c r="BAZ23" s="204"/>
      <c r="BBA23" s="204"/>
      <c r="BBB23" s="204"/>
      <c r="BBC23" s="204"/>
      <c r="BBD23" s="204"/>
      <c r="BBE23" s="204"/>
      <c r="BBF23" s="204"/>
      <c r="BBG23" s="204"/>
      <c r="BBH23" s="204"/>
      <c r="BBI23" s="204"/>
      <c r="BBJ23" s="204"/>
      <c r="BBK23" s="204"/>
      <c r="BBL23" s="204"/>
      <c r="BBM23" s="204"/>
      <c r="BBN23" s="204"/>
      <c r="BBO23" s="204"/>
      <c r="BBP23" s="204"/>
      <c r="BBQ23" s="204"/>
      <c r="BBR23" s="204"/>
      <c r="BBS23" s="204"/>
      <c r="BBT23" s="204"/>
      <c r="BBU23" s="204"/>
      <c r="BBV23" s="204"/>
      <c r="BBW23" s="204"/>
      <c r="BBX23" s="204"/>
      <c r="BBY23" s="204"/>
      <c r="BBZ23" s="204"/>
      <c r="BCA23" s="204"/>
      <c r="BCB23" s="204"/>
      <c r="BCC23" s="204"/>
      <c r="BCD23" s="204"/>
      <c r="BCE23" s="204"/>
      <c r="BCF23" s="204"/>
      <c r="BCG23" s="204"/>
      <c r="BCH23" s="204"/>
      <c r="BCI23" s="204"/>
      <c r="BCJ23" s="204"/>
      <c r="BCK23" s="204"/>
      <c r="BCL23" s="204"/>
      <c r="BCM23" s="204"/>
      <c r="BCN23" s="204"/>
      <c r="BCO23" s="204"/>
      <c r="BCP23" s="204"/>
      <c r="BCQ23" s="204"/>
      <c r="BCR23" s="204"/>
      <c r="BCS23" s="204"/>
      <c r="BCT23" s="204"/>
      <c r="BCU23" s="204"/>
      <c r="BCV23" s="204"/>
      <c r="BCW23" s="204"/>
      <c r="BCX23" s="204"/>
      <c r="BCY23" s="204"/>
      <c r="BCZ23" s="204"/>
      <c r="BDA23" s="204"/>
      <c r="BDB23" s="204"/>
      <c r="BDC23" s="204"/>
      <c r="BDD23" s="204"/>
      <c r="BDE23" s="204"/>
      <c r="BDF23" s="204"/>
      <c r="BDG23" s="204"/>
      <c r="BDH23" s="204"/>
      <c r="BDI23" s="204"/>
      <c r="BDJ23" s="204"/>
      <c r="BDK23" s="204"/>
      <c r="BDL23" s="204"/>
      <c r="BDM23" s="204"/>
      <c r="BDN23" s="204"/>
      <c r="BDO23" s="204"/>
      <c r="BDP23" s="204"/>
      <c r="BDQ23" s="204"/>
      <c r="BDR23" s="204"/>
      <c r="BDS23" s="204"/>
      <c r="BDT23" s="204"/>
      <c r="BDU23" s="204"/>
      <c r="BDV23" s="204"/>
      <c r="BDW23" s="204"/>
      <c r="BDX23" s="204"/>
      <c r="BDY23" s="204"/>
      <c r="BDZ23" s="204"/>
      <c r="BEA23" s="204"/>
      <c r="BEB23" s="204"/>
      <c r="BEC23" s="204"/>
      <c r="BED23" s="204"/>
      <c r="BEE23" s="204"/>
      <c r="BEF23" s="204"/>
      <c r="BEG23" s="204"/>
      <c r="BEH23" s="204"/>
      <c r="BEI23" s="204"/>
      <c r="BEJ23" s="204"/>
      <c r="BEK23" s="204"/>
      <c r="BEL23" s="204"/>
      <c r="BEM23" s="204"/>
      <c r="BEN23" s="204"/>
      <c r="BEO23" s="204"/>
      <c r="BEP23" s="204"/>
      <c r="BEQ23" s="204"/>
      <c r="BER23" s="204"/>
      <c r="BES23" s="204"/>
      <c r="BET23" s="204"/>
      <c r="BEU23" s="204"/>
      <c r="BEV23" s="204"/>
      <c r="BEW23" s="204"/>
      <c r="BEX23" s="204"/>
      <c r="BEY23" s="204"/>
      <c r="BEZ23" s="204"/>
      <c r="BFA23" s="204"/>
      <c r="BFB23" s="204"/>
      <c r="BFC23" s="204"/>
      <c r="BFD23" s="204"/>
      <c r="BFE23" s="204"/>
      <c r="BFF23" s="204"/>
      <c r="BFG23" s="204"/>
      <c r="BFH23" s="204"/>
      <c r="BFI23" s="204"/>
      <c r="BFJ23" s="204"/>
      <c r="BFK23" s="204"/>
      <c r="BFL23" s="204"/>
      <c r="BFM23" s="204"/>
      <c r="BFN23" s="204"/>
      <c r="BFO23" s="204"/>
      <c r="BFP23" s="204"/>
      <c r="BFQ23" s="204"/>
      <c r="BFR23" s="204"/>
      <c r="BFS23" s="204"/>
      <c r="BFT23" s="204"/>
      <c r="BFU23" s="204"/>
      <c r="BFV23" s="204"/>
      <c r="BFW23" s="204"/>
      <c r="BFX23" s="204"/>
      <c r="BFY23" s="204"/>
      <c r="BFZ23" s="204"/>
      <c r="BGA23" s="204"/>
      <c r="BGB23" s="204"/>
      <c r="BGC23" s="204"/>
      <c r="BGD23" s="204"/>
      <c r="BGE23" s="204"/>
      <c r="BGF23" s="204"/>
      <c r="BGG23" s="204"/>
      <c r="BGH23" s="204"/>
      <c r="BGI23" s="204"/>
      <c r="BGJ23" s="204"/>
      <c r="BGK23" s="204"/>
      <c r="BGL23" s="204"/>
      <c r="BGM23" s="204"/>
      <c r="BGN23" s="204"/>
      <c r="BGO23" s="204"/>
      <c r="BGP23" s="204"/>
      <c r="BGQ23" s="204"/>
      <c r="BGR23" s="204"/>
      <c r="BGS23" s="204"/>
      <c r="BGT23" s="204"/>
      <c r="BGU23" s="204"/>
      <c r="BGV23" s="204"/>
      <c r="BGW23" s="204"/>
      <c r="BGX23" s="204"/>
      <c r="BGY23" s="204"/>
      <c r="BGZ23" s="204"/>
      <c r="BHA23" s="204"/>
      <c r="BHB23" s="204"/>
      <c r="BHC23" s="204"/>
      <c r="BHD23" s="204"/>
      <c r="BHE23" s="204"/>
      <c r="BHF23" s="204"/>
      <c r="BHG23" s="204"/>
      <c r="BHH23" s="204"/>
      <c r="BHI23" s="204"/>
      <c r="BHJ23" s="204"/>
      <c r="BHK23" s="204"/>
      <c r="BHL23" s="204"/>
      <c r="BHM23" s="204"/>
      <c r="BHN23" s="204"/>
      <c r="BHO23" s="204"/>
      <c r="BHP23" s="204"/>
      <c r="BHQ23" s="204"/>
      <c r="BHR23" s="204"/>
      <c r="BHS23" s="204"/>
      <c r="BHT23" s="204"/>
      <c r="BHU23" s="204"/>
      <c r="BHV23" s="204"/>
      <c r="BHW23" s="204"/>
      <c r="BHX23" s="204"/>
      <c r="BHY23" s="204"/>
      <c r="BHZ23" s="204"/>
      <c r="BIA23" s="204"/>
      <c r="BIB23" s="204"/>
      <c r="BIC23" s="204"/>
      <c r="BID23" s="204"/>
      <c r="BIE23" s="204"/>
      <c r="BIF23" s="204"/>
      <c r="BIG23" s="204"/>
      <c r="BIH23" s="204"/>
      <c r="BII23" s="204"/>
      <c r="BIJ23" s="204"/>
      <c r="BIK23" s="204"/>
      <c r="BIL23" s="204"/>
      <c r="BIM23" s="204"/>
      <c r="BIN23" s="204"/>
      <c r="BIO23" s="204"/>
      <c r="BIP23" s="204"/>
      <c r="BIQ23" s="204"/>
      <c r="BIR23" s="204"/>
      <c r="BIS23" s="204"/>
      <c r="BIT23" s="204"/>
      <c r="BIU23" s="204"/>
      <c r="BIV23" s="204"/>
      <c r="BIW23" s="204"/>
      <c r="BIX23" s="204"/>
      <c r="BIY23" s="204"/>
      <c r="BIZ23" s="204"/>
      <c r="BJA23" s="204"/>
      <c r="BJB23" s="204"/>
      <c r="BJC23" s="204"/>
      <c r="BJD23" s="204"/>
      <c r="BJE23" s="204"/>
      <c r="BJF23" s="204"/>
      <c r="BJG23" s="204"/>
      <c r="BJH23" s="204"/>
      <c r="BJI23" s="204"/>
      <c r="BJJ23" s="204"/>
      <c r="BJK23" s="204"/>
      <c r="BJL23" s="204"/>
      <c r="BJM23" s="204"/>
      <c r="BJN23" s="204"/>
      <c r="BJO23" s="204"/>
      <c r="BJP23" s="204"/>
      <c r="BJQ23" s="204"/>
      <c r="BJR23" s="204"/>
      <c r="BJS23" s="204"/>
      <c r="BJT23" s="204"/>
      <c r="BJU23" s="204"/>
      <c r="BJV23" s="204"/>
      <c r="BJW23" s="204"/>
      <c r="BJX23" s="204"/>
      <c r="BJY23" s="204"/>
      <c r="BJZ23" s="204"/>
      <c r="BKA23" s="204"/>
      <c r="BKB23" s="204"/>
      <c r="BKC23" s="204"/>
      <c r="BKD23" s="204"/>
      <c r="BKE23" s="204"/>
      <c r="BKF23" s="204"/>
      <c r="BKG23" s="204"/>
      <c r="BKH23" s="204"/>
      <c r="BKI23" s="204"/>
      <c r="BKJ23" s="204"/>
      <c r="BKK23" s="204"/>
      <c r="BKL23" s="204"/>
      <c r="BKM23" s="204"/>
      <c r="BKN23" s="204"/>
      <c r="BKO23" s="204"/>
      <c r="BKP23" s="204"/>
      <c r="BKQ23" s="204"/>
      <c r="BKR23" s="204"/>
      <c r="BKS23" s="204"/>
      <c r="BKT23" s="204"/>
      <c r="BKU23" s="204"/>
      <c r="BKV23" s="204"/>
      <c r="BKW23" s="204"/>
      <c r="BKX23" s="204"/>
      <c r="BKY23" s="204"/>
      <c r="BKZ23" s="204"/>
      <c r="BLA23" s="204"/>
      <c r="BLB23" s="204"/>
      <c r="BLC23" s="204"/>
      <c r="BLD23" s="204"/>
      <c r="BLE23" s="204"/>
      <c r="BLF23" s="204"/>
      <c r="BLG23" s="204"/>
      <c r="BLH23" s="204"/>
      <c r="BLI23" s="204"/>
      <c r="BLJ23" s="204"/>
      <c r="BLK23" s="204"/>
      <c r="BLL23" s="204"/>
      <c r="BLM23" s="204"/>
      <c r="BLN23" s="204"/>
      <c r="BLO23" s="204"/>
      <c r="BLP23" s="204"/>
      <c r="BLQ23" s="204"/>
      <c r="BLR23" s="204"/>
      <c r="BLS23" s="204"/>
      <c r="BLT23" s="204"/>
      <c r="BLU23" s="204"/>
      <c r="BLV23" s="204"/>
      <c r="BLW23" s="204"/>
      <c r="BLX23" s="204"/>
      <c r="BLY23" s="204"/>
      <c r="BLZ23" s="204"/>
      <c r="BMA23" s="204"/>
      <c r="BMB23" s="204"/>
      <c r="BMC23" s="204"/>
      <c r="BMD23" s="204"/>
      <c r="BME23" s="204"/>
      <c r="BMF23" s="204"/>
      <c r="BMG23" s="204"/>
      <c r="BMH23" s="204"/>
      <c r="BMI23" s="204"/>
      <c r="BMJ23" s="204"/>
      <c r="BMK23" s="204"/>
      <c r="BML23" s="204"/>
      <c r="BMM23" s="204"/>
      <c r="BMN23" s="204"/>
      <c r="BMO23" s="204"/>
      <c r="BMP23" s="204"/>
      <c r="BMQ23" s="204"/>
      <c r="BMR23" s="204"/>
      <c r="BMS23" s="204"/>
      <c r="BMT23" s="204"/>
      <c r="BMU23" s="204"/>
      <c r="BMV23" s="204"/>
      <c r="BMW23" s="204"/>
      <c r="BMX23" s="204"/>
      <c r="BMY23" s="204"/>
      <c r="BMZ23" s="204"/>
      <c r="BNA23" s="204"/>
      <c r="BNB23" s="204"/>
      <c r="BNC23" s="204"/>
      <c r="BND23" s="204"/>
      <c r="BNE23" s="204"/>
      <c r="BNF23" s="204"/>
      <c r="BNG23" s="204"/>
      <c r="BNH23" s="204"/>
      <c r="BNI23" s="204"/>
      <c r="BNJ23" s="204"/>
      <c r="BNK23" s="204"/>
      <c r="BNL23" s="204"/>
      <c r="BNM23" s="204"/>
      <c r="BNN23" s="204"/>
      <c r="BNO23" s="204"/>
      <c r="BNP23" s="204"/>
      <c r="BNQ23" s="204"/>
      <c r="BNR23" s="204"/>
      <c r="BNS23" s="204"/>
      <c r="BNT23" s="204"/>
      <c r="BNU23" s="204"/>
      <c r="BNV23" s="204"/>
      <c r="BNW23" s="204"/>
      <c r="BNX23" s="204"/>
      <c r="BNY23" s="204"/>
      <c r="BNZ23" s="204"/>
      <c r="BOA23" s="204"/>
      <c r="BOB23" s="204"/>
      <c r="BOC23" s="204"/>
      <c r="BOD23" s="204"/>
      <c r="BOE23" s="204"/>
      <c r="BOF23" s="204"/>
      <c r="BOG23" s="204"/>
      <c r="BOH23" s="204"/>
      <c r="BOI23" s="204"/>
      <c r="BOJ23" s="204"/>
      <c r="BOK23" s="204"/>
      <c r="BOL23" s="204"/>
      <c r="BOM23" s="204"/>
      <c r="BON23" s="204"/>
      <c r="BOO23" s="204"/>
      <c r="BOP23" s="204"/>
      <c r="BOQ23" s="204"/>
      <c r="BOR23" s="204"/>
      <c r="BOS23" s="204"/>
      <c r="BOT23" s="204"/>
      <c r="BOU23" s="204"/>
      <c r="BOV23" s="204"/>
      <c r="BOW23" s="204"/>
      <c r="BOX23" s="204"/>
      <c r="BOY23" s="204"/>
      <c r="BOZ23" s="204"/>
      <c r="BPA23" s="204"/>
      <c r="BPB23" s="204"/>
      <c r="BPC23" s="204"/>
      <c r="BPD23" s="204"/>
      <c r="BPE23" s="204"/>
      <c r="BPF23" s="204"/>
      <c r="BPG23" s="204"/>
      <c r="BPH23" s="204"/>
      <c r="BPI23" s="204"/>
      <c r="BPJ23" s="204"/>
      <c r="BPK23" s="204"/>
      <c r="BPL23" s="204"/>
      <c r="BPM23" s="204"/>
      <c r="BPN23" s="204"/>
      <c r="BPO23" s="204"/>
      <c r="BPP23" s="204"/>
      <c r="BPQ23" s="204"/>
      <c r="BPR23" s="204"/>
      <c r="BPS23" s="204"/>
      <c r="BPT23" s="204"/>
      <c r="BPU23" s="204"/>
      <c r="BPV23" s="204"/>
      <c r="BPW23" s="204"/>
      <c r="BPX23" s="204"/>
      <c r="BPY23" s="204"/>
      <c r="BPZ23" s="204"/>
      <c r="BQA23" s="204"/>
      <c r="BQB23" s="204"/>
      <c r="BQC23" s="204"/>
      <c r="BQD23" s="204"/>
      <c r="BQE23" s="204"/>
      <c r="BQF23" s="204"/>
      <c r="BQG23" s="204"/>
      <c r="BQH23" s="204"/>
      <c r="BQI23" s="204"/>
      <c r="BQJ23" s="204"/>
      <c r="BQK23" s="204"/>
      <c r="BQL23" s="204"/>
      <c r="BQM23" s="204"/>
      <c r="BQN23" s="204"/>
      <c r="BQO23" s="204"/>
      <c r="BQP23" s="204"/>
      <c r="BQQ23" s="204"/>
      <c r="BQR23" s="204"/>
      <c r="BQS23" s="204"/>
      <c r="BQT23" s="204"/>
      <c r="BQU23" s="204"/>
      <c r="BQV23" s="204"/>
      <c r="BQW23" s="204"/>
      <c r="BQX23" s="204"/>
      <c r="BQY23" s="204"/>
      <c r="BQZ23" s="204"/>
      <c r="BRA23" s="204"/>
      <c r="BRB23" s="204"/>
      <c r="BRC23" s="204"/>
      <c r="BRD23" s="204"/>
      <c r="BRE23" s="204"/>
      <c r="BRF23" s="204"/>
      <c r="BRG23" s="204"/>
      <c r="BRH23" s="204"/>
      <c r="BRI23" s="204"/>
      <c r="BRJ23" s="204"/>
      <c r="BRK23" s="204"/>
      <c r="BRL23" s="204"/>
      <c r="BRM23" s="204"/>
      <c r="BRN23" s="204"/>
      <c r="BRO23" s="204"/>
      <c r="BRP23" s="204"/>
      <c r="BRQ23" s="204"/>
      <c r="BRR23" s="204"/>
      <c r="BRS23" s="204"/>
      <c r="BRT23" s="204"/>
      <c r="BRU23" s="204"/>
      <c r="BRV23" s="204"/>
      <c r="BRW23" s="204"/>
      <c r="BRX23" s="204"/>
      <c r="BRY23" s="204"/>
      <c r="BRZ23" s="204"/>
      <c r="BSA23" s="204"/>
      <c r="BSB23" s="204"/>
      <c r="BSC23" s="204"/>
      <c r="BSD23" s="204"/>
      <c r="BSE23" s="204"/>
      <c r="BSF23" s="204"/>
      <c r="BSG23" s="204"/>
      <c r="BSH23" s="204"/>
      <c r="BSI23" s="204"/>
      <c r="BSJ23" s="204"/>
      <c r="BSK23" s="204"/>
      <c r="BSL23" s="204"/>
      <c r="BSM23" s="204"/>
      <c r="BSN23" s="204"/>
      <c r="BSO23" s="204"/>
      <c r="BSP23" s="204"/>
      <c r="BSQ23" s="204"/>
      <c r="BSR23" s="204"/>
      <c r="BSS23" s="204"/>
      <c r="BST23" s="204"/>
      <c r="BSU23" s="204"/>
      <c r="BSV23" s="204"/>
      <c r="BSW23" s="204"/>
      <c r="BSX23" s="204"/>
      <c r="BSY23" s="204"/>
      <c r="BSZ23" s="204"/>
      <c r="BTA23" s="204"/>
      <c r="BTB23" s="204"/>
      <c r="BTC23" s="204"/>
      <c r="BTD23" s="204"/>
      <c r="BTE23" s="204"/>
      <c r="BTF23" s="204"/>
      <c r="BTG23" s="204"/>
      <c r="BTH23" s="204"/>
      <c r="BTI23" s="204"/>
      <c r="BTJ23" s="204"/>
      <c r="BTK23" s="204"/>
      <c r="BTL23" s="204"/>
      <c r="BTM23" s="204"/>
      <c r="BTN23" s="204"/>
      <c r="BTO23" s="204"/>
      <c r="BTP23" s="204"/>
      <c r="BTQ23" s="204"/>
      <c r="BTR23" s="204"/>
      <c r="BTS23" s="204"/>
      <c r="BTT23" s="204"/>
      <c r="BTU23" s="204"/>
      <c r="BTV23" s="204"/>
      <c r="BTW23" s="204"/>
      <c r="BTX23" s="204"/>
      <c r="BTY23" s="204"/>
      <c r="BTZ23" s="204"/>
      <c r="BUA23" s="204"/>
      <c r="BUB23" s="204"/>
      <c r="BUC23" s="204"/>
      <c r="BUD23" s="204"/>
      <c r="BUE23" s="204"/>
      <c r="BUF23" s="204"/>
      <c r="BUG23" s="204"/>
      <c r="BUH23" s="204"/>
      <c r="BUI23" s="204"/>
      <c r="BUJ23" s="204"/>
      <c r="BUK23" s="204"/>
      <c r="BUL23" s="204"/>
      <c r="BUM23" s="204"/>
      <c r="BUN23" s="204"/>
      <c r="BUO23" s="204"/>
      <c r="BUP23" s="204"/>
      <c r="BUQ23" s="204"/>
      <c r="BUR23" s="204"/>
      <c r="BUS23" s="204"/>
      <c r="BUT23" s="204"/>
      <c r="BUU23" s="204"/>
      <c r="BUV23" s="204"/>
      <c r="BUW23" s="204"/>
      <c r="BUX23" s="204"/>
      <c r="BUY23" s="204"/>
      <c r="BUZ23" s="204"/>
      <c r="BVA23" s="204"/>
      <c r="BVB23" s="204"/>
      <c r="BVC23" s="204"/>
      <c r="BVD23" s="204"/>
      <c r="BVE23" s="204"/>
      <c r="BVF23" s="204"/>
      <c r="BVG23" s="204"/>
      <c r="BVH23" s="204"/>
      <c r="BVI23" s="204"/>
      <c r="BVJ23" s="204"/>
      <c r="BVK23" s="204"/>
      <c r="BVL23" s="204"/>
      <c r="BVM23" s="204"/>
      <c r="BVN23" s="204"/>
      <c r="BVO23" s="204"/>
      <c r="BVP23" s="204"/>
      <c r="BVQ23" s="204"/>
      <c r="BVR23" s="204"/>
      <c r="BVS23" s="204"/>
      <c r="BVT23" s="204"/>
      <c r="BVU23" s="204"/>
      <c r="BVV23" s="204"/>
      <c r="BVW23" s="204"/>
      <c r="BVX23" s="204"/>
      <c r="BVY23" s="204"/>
      <c r="BVZ23" s="204"/>
      <c r="BWA23" s="204"/>
      <c r="BWB23" s="204"/>
      <c r="BWC23" s="204"/>
      <c r="BWD23" s="204"/>
      <c r="BWE23" s="204"/>
      <c r="BWF23" s="204"/>
      <c r="BWG23" s="204"/>
      <c r="BWH23" s="204"/>
      <c r="BWI23" s="204"/>
      <c r="BWJ23" s="204"/>
      <c r="BWK23" s="204"/>
      <c r="BWL23" s="204"/>
      <c r="BWM23" s="204"/>
      <c r="BWN23" s="204"/>
      <c r="BWO23" s="204"/>
      <c r="BWP23" s="204"/>
      <c r="BWQ23" s="204"/>
      <c r="BWR23" s="204"/>
      <c r="BWS23" s="204"/>
      <c r="BWT23" s="204"/>
      <c r="BWU23" s="204"/>
      <c r="BWV23" s="204"/>
      <c r="BWW23" s="204"/>
      <c r="BWX23" s="204"/>
      <c r="BWY23" s="204"/>
      <c r="BWZ23" s="204"/>
      <c r="BXA23" s="204"/>
      <c r="BXB23" s="204"/>
      <c r="BXC23" s="204"/>
      <c r="BXD23" s="204"/>
      <c r="BXE23" s="204"/>
      <c r="BXF23" s="204"/>
      <c r="BXG23" s="204"/>
      <c r="BXH23" s="204"/>
      <c r="BXI23" s="204"/>
      <c r="BXJ23" s="204"/>
      <c r="BXK23" s="204"/>
      <c r="BXL23" s="204"/>
      <c r="BXM23" s="204"/>
      <c r="BXN23" s="204"/>
      <c r="BXO23" s="204"/>
      <c r="BXP23" s="204"/>
      <c r="BXQ23" s="204"/>
      <c r="BXR23" s="204"/>
      <c r="BXS23" s="204"/>
      <c r="BXT23" s="204"/>
      <c r="BXU23" s="204"/>
      <c r="BXV23" s="204"/>
      <c r="BXW23" s="204"/>
      <c r="BXX23" s="204"/>
      <c r="BXY23" s="204"/>
      <c r="BXZ23" s="204"/>
      <c r="BYA23" s="204"/>
      <c r="BYB23" s="204"/>
      <c r="BYC23" s="204"/>
      <c r="BYD23" s="204"/>
      <c r="BYE23" s="204"/>
      <c r="BYF23" s="204"/>
      <c r="BYG23" s="204"/>
      <c r="BYH23" s="204"/>
      <c r="BYI23" s="204"/>
      <c r="BYJ23" s="204"/>
      <c r="BYK23" s="204"/>
      <c r="BYL23" s="204"/>
      <c r="BYM23" s="204"/>
      <c r="BYN23" s="204"/>
      <c r="BYO23" s="204"/>
      <c r="BYP23" s="204"/>
      <c r="BYQ23" s="204"/>
      <c r="BYR23" s="204"/>
      <c r="BYS23" s="204"/>
      <c r="BYT23" s="204"/>
      <c r="BYU23" s="204"/>
      <c r="BYV23" s="204"/>
      <c r="BYW23" s="204"/>
      <c r="BYX23" s="204"/>
      <c r="BYY23" s="204"/>
      <c r="BYZ23" s="204"/>
      <c r="BZA23" s="204"/>
      <c r="BZB23" s="204"/>
      <c r="BZC23" s="204"/>
      <c r="BZD23" s="204"/>
      <c r="BZE23" s="204"/>
      <c r="BZF23" s="204"/>
      <c r="BZG23" s="204"/>
      <c r="BZH23" s="204"/>
      <c r="BZI23" s="204"/>
      <c r="BZJ23" s="204"/>
      <c r="BZK23" s="204"/>
      <c r="BZL23" s="204"/>
      <c r="BZM23" s="204"/>
      <c r="BZN23" s="204"/>
      <c r="BZO23" s="204"/>
      <c r="BZP23" s="204"/>
      <c r="BZQ23" s="204"/>
      <c r="BZR23" s="204"/>
      <c r="BZS23" s="204"/>
      <c r="BZT23" s="204"/>
      <c r="BZU23" s="204"/>
      <c r="BZV23" s="204"/>
      <c r="BZW23" s="204"/>
      <c r="BZX23" s="204"/>
      <c r="BZY23" s="204"/>
      <c r="BZZ23" s="204"/>
      <c r="CAA23" s="204"/>
      <c r="CAB23" s="204"/>
      <c r="CAC23" s="204"/>
      <c r="CAD23" s="204"/>
      <c r="CAE23" s="204"/>
      <c r="CAF23" s="204"/>
      <c r="CAG23" s="204"/>
      <c r="CAH23" s="204"/>
      <c r="CAI23" s="204"/>
      <c r="CAJ23" s="204"/>
      <c r="CAK23" s="204"/>
      <c r="CAL23" s="204"/>
      <c r="CAM23" s="204"/>
      <c r="CAN23" s="204"/>
      <c r="CAO23" s="204"/>
      <c r="CAP23" s="204"/>
      <c r="CAQ23" s="204"/>
      <c r="CAR23" s="204"/>
      <c r="CAS23" s="204"/>
      <c r="CAT23" s="204"/>
      <c r="CAU23" s="204"/>
      <c r="CAV23" s="204"/>
      <c r="CAW23" s="204"/>
      <c r="CAX23" s="204"/>
      <c r="CAY23" s="204"/>
      <c r="CAZ23" s="204"/>
      <c r="CBA23" s="204"/>
      <c r="CBB23" s="204"/>
      <c r="CBC23" s="204"/>
      <c r="CBD23" s="204"/>
      <c r="CBE23" s="204"/>
      <c r="CBF23" s="204"/>
      <c r="CBG23" s="204"/>
      <c r="CBH23" s="204"/>
      <c r="CBI23" s="204"/>
      <c r="CBJ23" s="204"/>
      <c r="CBK23" s="204"/>
      <c r="CBL23" s="204"/>
      <c r="CBM23" s="204"/>
      <c r="CBN23" s="204"/>
      <c r="CBO23" s="204"/>
      <c r="CBP23" s="204"/>
      <c r="CBQ23" s="204"/>
      <c r="CBR23" s="204"/>
      <c r="CBS23" s="204"/>
      <c r="CBT23" s="204"/>
      <c r="CBU23" s="204"/>
      <c r="CBV23" s="204"/>
      <c r="CBW23" s="204"/>
      <c r="CBX23" s="204"/>
      <c r="CBY23" s="204"/>
      <c r="CBZ23" s="204"/>
      <c r="CCA23" s="204"/>
      <c r="CCB23" s="204"/>
      <c r="CCC23" s="204"/>
      <c r="CCD23" s="204"/>
      <c r="CCE23" s="204"/>
      <c r="CCF23" s="204"/>
      <c r="CCG23" s="204"/>
      <c r="CCH23" s="204"/>
      <c r="CCI23" s="204"/>
      <c r="CCJ23" s="204"/>
      <c r="CCK23" s="204"/>
      <c r="CCL23" s="204"/>
      <c r="CCM23" s="204"/>
      <c r="CCN23" s="204"/>
      <c r="CCO23" s="204"/>
      <c r="CCP23" s="204"/>
      <c r="CCQ23" s="204"/>
      <c r="CCR23" s="204"/>
      <c r="CCS23" s="204"/>
      <c r="CCT23" s="204"/>
      <c r="CCU23" s="204"/>
      <c r="CCV23" s="204"/>
      <c r="CCW23" s="204"/>
      <c r="CCX23" s="204"/>
      <c r="CCY23" s="204"/>
      <c r="CCZ23" s="204"/>
      <c r="CDA23" s="204"/>
      <c r="CDB23" s="204"/>
      <c r="CDC23" s="204"/>
      <c r="CDD23" s="204"/>
      <c r="CDE23" s="204"/>
      <c r="CDF23" s="204"/>
      <c r="CDG23" s="204"/>
      <c r="CDH23" s="204"/>
      <c r="CDI23" s="204"/>
      <c r="CDJ23" s="204"/>
      <c r="CDK23" s="204"/>
      <c r="CDL23" s="204"/>
      <c r="CDM23" s="204"/>
      <c r="CDN23" s="204"/>
      <c r="CDO23" s="204"/>
      <c r="CDP23" s="204"/>
      <c r="CDQ23" s="204"/>
      <c r="CDR23" s="204"/>
      <c r="CDS23" s="204"/>
      <c r="CDT23" s="204"/>
      <c r="CDU23" s="204"/>
      <c r="CDV23" s="204"/>
      <c r="CDW23" s="204"/>
      <c r="CDX23" s="204"/>
      <c r="CDY23" s="204"/>
      <c r="CDZ23" s="204"/>
      <c r="CEA23" s="204"/>
      <c r="CEB23" s="204"/>
      <c r="CEC23" s="204"/>
      <c r="CED23" s="204"/>
      <c r="CEE23" s="204"/>
      <c r="CEF23" s="204"/>
      <c r="CEG23" s="204"/>
      <c r="CEH23" s="204"/>
      <c r="CEI23" s="204"/>
      <c r="CEJ23" s="204"/>
      <c r="CEK23" s="204"/>
      <c r="CEL23" s="204"/>
      <c r="CEM23" s="204"/>
      <c r="CEN23" s="204"/>
      <c r="CEO23" s="204"/>
      <c r="CEP23" s="204"/>
      <c r="CEQ23" s="204"/>
      <c r="CER23" s="204"/>
      <c r="CES23" s="204"/>
      <c r="CET23" s="204"/>
      <c r="CEU23" s="204"/>
      <c r="CEV23" s="204"/>
      <c r="CEW23" s="204"/>
      <c r="CEX23" s="204"/>
      <c r="CEY23" s="204"/>
      <c r="CEZ23" s="204"/>
      <c r="CFA23" s="204"/>
      <c r="CFB23" s="204"/>
      <c r="CFC23" s="204"/>
      <c r="CFD23" s="204"/>
      <c r="CFE23" s="204"/>
      <c r="CFF23" s="204"/>
      <c r="CFG23" s="204"/>
      <c r="CFH23" s="204"/>
      <c r="CFI23" s="204"/>
      <c r="CFJ23" s="204"/>
      <c r="CFK23" s="204"/>
      <c r="CFL23" s="204"/>
      <c r="CFM23" s="204"/>
      <c r="CFN23" s="204"/>
      <c r="CFO23" s="204"/>
      <c r="CFP23" s="204"/>
      <c r="CFQ23" s="204"/>
      <c r="CFR23" s="204"/>
      <c r="CFS23" s="204"/>
      <c r="CFT23" s="204"/>
      <c r="CFU23" s="204"/>
      <c r="CFV23" s="204"/>
      <c r="CFW23" s="204"/>
      <c r="CFX23" s="204"/>
      <c r="CFY23" s="204"/>
      <c r="CFZ23" s="204"/>
      <c r="CGA23" s="204"/>
      <c r="CGB23" s="204"/>
      <c r="CGC23" s="204"/>
      <c r="CGD23" s="204"/>
      <c r="CGE23" s="204"/>
      <c r="CGF23" s="204"/>
      <c r="CGG23" s="204"/>
      <c r="CGH23" s="204"/>
      <c r="CGI23" s="204"/>
      <c r="CGJ23" s="204"/>
      <c r="CGK23" s="204"/>
      <c r="CGL23" s="204"/>
      <c r="CGM23" s="204"/>
      <c r="CGN23" s="204"/>
      <c r="CGO23" s="204"/>
      <c r="CGP23" s="204"/>
      <c r="CGQ23" s="204"/>
      <c r="CGR23" s="204"/>
      <c r="CGS23" s="204"/>
      <c r="CGT23" s="204"/>
      <c r="CGU23" s="204"/>
      <c r="CGV23" s="204"/>
      <c r="CGW23" s="204"/>
      <c r="CGX23" s="204"/>
      <c r="CGY23" s="204"/>
      <c r="CGZ23" s="204"/>
      <c r="CHA23" s="204"/>
      <c r="CHB23" s="204"/>
      <c r="CHC23" s="204"/>
      <c r="CHD23" s="204"/>
      <c r="CHE23" s="204"/>
      <c r="CHF23" s="204"/>
      <c r="CHG23" s="204"/>
      <c r="CHH23" s="204"/>
      <c r="CHI23" s="204"/>
      <c r="CHJ23" s="204"/>
      <c r="CHK23" s="204"/>
      <c r="CHL23" s="204"/>
      <c r="CHM23" s="204"/>
      <c r="CHN23" s="204"/>
      <c r="CHO23" s="204"/>
      <c r="CHP23" s="204"/>
      <c r="CHQ23" s="204"/>
      <c r="CHR23" s="204"/>
      <c r="CHS23" s="204"/>
      <c r="CHT23" s="204"/>
      <c r="CHU23" s="204"/>
      <c r="CHV23" s="204"/>
      <c r="CHW23" s="204"/>
      <c r="CHX23" s="204"/>
      <c r="CHY23" s="204"/>
      <c r="CHZ23" s="204"/>
      <c r="CIA23" s="204"/>
      <c r="CIB23" s="204"/>
      <c r="CIC23" s="204"/>
      <c r="CID23" s="204"/>
      <c r="CIE23" s="204"/>
      <c r="CIF23" s="204"/>
      <c r="CIG23" s="204"/>
      <c r="CIH23" s="204"/>
      <c r="CII23" s="204"/>
      <c r="CIJ23" s="204"/>
      <c r="CIK23" s="204"/>
      <c r="CIL23" s="204"/>
      <c r="CIM23" s="204"/>
      <c r="CIN23" s="204"/>
      <c r="CIO23" s="204"/>
      <c r="CIP23" s="204"/>
      <c r="CIQ23" s="204"/>
      <c r="CIR23" s="204"/>
      <c r="CIS23" s="204"/>
      <c r="CIT23" s="204"/>
      <c r="CIU23" s="204"/>
      <c r="CIV23" s="204"/>
      <c r="CIW23" s="204"/>
      <c r="CIX23" s="204"/>
      <c r="CIY23" s="204"/>
      <c r="CIZ23" s="204"/>
      <c r="CJA23" s="204"/>
      <c r="CJB23" s="204"/>
      <c r="CJC23" s="204"/>
      <c r="CJD23" s="204"/>
      <c r="CJE23" s="204"/>
      <c r="CJF23" s="204"/>
      <c r="CJG23" s="204"/>
      <c r="CJH23" s="204"/>
      <c r="CJI23" s="204"/>
      <c r="CJJ23" s="204"/>
      <c r="CJK23" s="204"/>
      <c r="CJL23" s="204"/>
      <c r="CJM23" s="204"/>
      <c r="CJN23" s="204"/>
      <c r="CJO23" s="204"/>
      <c r="CJP23" s="204"/>
      <c r="CJQ23" s="204"/>
      <c r="CJR23" s="204"/>
      <c r="CJS23" s="204"/>
      <c r="CJT23" s="204"/>
      <c r="CJU23" s="204"/>
      <c r="CJV23" s="204"/>
      <c r="CJW23" s="204"/>
      <c r="CJX23" s="204"/>
      <c r="CJY23" s="204"/>
      <c r="CJZ23" s="204"/>
      <c r="CKA23" s="204"/>
      <c r="CKB23" s="204"/>
      <c r="CKC23" s="204"/>
      <c r="CKD23" s="204"/>
      <c r="CKE23" s="204"/>
      <c r="CKF23" s="204"/>
      <c r="CKG23" s="204"/>
      <c r="CKH23" s="204"/>
      <c r="CKI23" s="204"/>
      <c r="CKJ23" s="204"/>
      <c r="CKK23" s="204"/>
      <c r="CKL23" s="204"/>
      <c r="CKM23" s="204"/>
      <c r="CKN23" s="204"/>
      <c r="CKO23" s="204"/>
      <c r="CKP23" s="204"/>
      <c r="CKQ23" s="204"/>
      <c r="CKR23" s="204"/>
      <c r="CKS23" s="204"/>
      <c r="CKT23" s="204"/>
      <c r="CKU23" s="204"/>
      <c r="CKV23" s="204"/>
      <c r="CKW23" s="204"/>
      <c r="CKX23" s="204"/>
      <c r="CKY23" s="204"/>
      <c r="CKZ23" s="204"/>
      <c r="CLA23" s="204"/>
      <c r="CLB23" s="204"/>
      <c r="CLC23" s="204"/>
      <c r="CLD23" s="204"/>
      <c r="CLE23" s="204"/>
      <c r="CLF23" s="204"/>
      <c r="CLG23" s="204"/>
      <c r="CLH23" s="204"/>
      <c r="CLI23" s="204"/>
      <c r="CLJ23" s="204"/>
      <c r="CLK23" s="204"/>
      <c r="CLL23" s="204"/>
      <c r="CLM23" s="204"/>
      <c r="CLN23" s="204"/>
      <c r="CLO23" s="204"/>
      <c r="CLP23" s="204"/>
      <c r="CLQ23" s="204"/>
      <c r="CLR23" s="204"/>
      <c r="CLS23" s="204"/>
      <c r="CLT23" s="204"/>
      <c r="CLU23" s="204"/>
      <c r="CLV23" s="204"/>
      <c r="CLW23" s="204"/>
      <c r="CLX23" s="204"/>
      <c r="CLY23" s="204"/>
      <c r="CLZ23" s="204"/>
      <c r="CMA23" s="204"/>
      <c r="CMB23" s="204"/>
      <c r="CMC23" s="204"/>
      <c r="CMD23" s="204"/>
      <c r="CME23" s="204"/>
      <c r="CMF23" s="204"/>
      <c r="CMG23" s="204"/>
      <c r="CMH23" s="204"/>
      <c r="CMI23" s="204"/>
      <c r="CMJ23" s="204"/>
      <c r="CMK23" s="204"/>
      <c r="CML23" s="204"/>
      <c r="CMM23" s="204"/>
      <c r="CMN23" s="204"/>
      <c r="CMO23" s="204"/>
      <c r="CMP23" s="204"/>
      <c r="CMQ23" s="204"/>
      <c r="CMR23" s="204"/>
      <c r="CMS23" s="204"/>
      <c r="CMT23" s="204"/>
      <c r="CMU23" s="204"/>
      <c r="CMV23" s="204"/>
      <c r="CMW23" s="204"/>
      <c r="CMX23" s="204"/>
      <c r="CMY23" s="204"/>
      <c r="CMZ23" s="204"/>
      <c r="CNA23" s="204"/>
      <c r="CNB23" s="204"/>
      <c r="CNC23" s="204"/>
      <c r="CND23" s="204"/>
      <c r="CNE23" s="204"/>
      <c r="CNF23" s="204"/>
      <c r="CNG23" s="204"/>
      <c r="CNH23" s="204"/>
      <c r="CNI23" s="204"/>
      <c r="CNJ23" s="204"/>
      <c r="CNK23" s="204"/>
      <c r="CNL23" s="204"/>
      <c r="CNM23" s="204"/>
      <c r="CNN23" s="204"/>
      <c r="CNO23" s="204"/>
      <c r="CNP23" s="204"/>
      <c r="CNQ23" s="204"/>
      <c r="CNR23" s="204"/>
      <c r="CNS23" s="204"/>
      <c r="CNT23" s="204"/>
      <c r="CNU23" s="204"/>
      <c r="CNV23" s="204"/>
      <c r="CNW23" s="204"/>
      <c r="CNX23" s="204"/>
      <c r="CNY23" s="204"/>
      <c r="CNZ23" s="204"/>
      <c r="COA23" s="204"/>
      <c r="COB23" s="204"/>
      <c r="COC23" s="204"/>
      <c r="COD23" s="204"/>
      <c r="COE23" s="204"/>
      <c r="COF23" s="204"/>
      <c r="COG23" s="204"/>
      <c r="COH23" s="204"/>
      <c r="COI23" s="204"/>
      <c r="COJ23" s="204"/>
      <c r="COK23" s="204"/>
      <c r="COL23" s="204"/>
      <c r="COM23" s="204"/>
      <c r="CON23" s="204"/>
      <c r="COO23" s="204"/>
      <c r="COP23" s="204"/>
      <c r="COQ23" s="204"/>
      <c r="COR23" s="204"/>
      <c r="COS23" s="204"/>
      <c r="COT23" s="204"/>
      <c r="COU23" s="204"/>
      <c r="COV23" s="204"/>
      <c r="COW23" s="204"/>
      <c r="COX23" s="204"/>
      <c r="COY23" s="204"/>
      <c r="COZ23" s="204"/>
      <c r="CPA23" s="204"/>
      <c r="CPB23" s="204"/>
      <c r="CPC23" s="204"/>
      <c r="CPD23" s="204"/>
      <c r="CPE23" s="204"/>
      <c r="CPF23" s="204"/>
      <c r="CPG23" s="204"/>
      <c r="CPH23" s="204"/>
      <c r="CPI23" s="204"/>
      <c r="CPJ23" s="204"/>
      <c r="CPK23" s="204"/>
      <c r="CPL23" s="204"/>
      <c r="CPM23" s="204"/>
      <c r="CPN23" s="204"/>
      <c r="CPO23" s="204"/>
      <c r="CPP23" s="204"/>
      <c r="CPQ23" s="204"/>
      <c r="CPR23" s="204"/>
      <c r="CPS23" s="204"/>
      <c r="CPT23" s="204"/>
      <c r="CPU23" s="204"/>
      <c r="CPV23" s="204"/>
      <c r="CPW23" s="204"/>
      <c r="CPX23" s="204"/>
      <c r="CPY23" s="204"/>
      <c r="CPZ23" s="204"/>
      <c r="CQA23" s="204"/>
      <c r="CQB23" s="204"/>
      <c r="CQC23" s="204"/>
      <c r="CQD23" s="204"/>
      <c r="CQE23" s="204"/>
      <c r="CQF23" s="204"/>
      <c r="CQG23" s="204"/>
      <c r="CQH23" s="204"/>
      <c r="CQI23" s="204"/>
      <c r="CQJ23" s="204"/>
      <c r="CQK23" s="204"/>
      <c r="CQL23" s="204"/>
      <c r="CQM23" s="204"/>
      <c r="CQN23" s="204"/>
      <c r="CQO23" s="204"/>
      <c r="CQP23" s="204"/>
      <c r="CQQ23" s="204"/>
      <c r="CQR23" s="204"/>
      <c r="CQS23" s="204"/>
      <c r="CQT23" s="204"/>
      <c r="CQU23" s="204"/>
      <c r="CQV23" s="204"/>
      <c r="CQW23" s="204"/>
      <c r="CQX23" s="204"/>
      <c r="CQY23" s="204"/>
      <c r="CQZ23" s="204"/>
      <c r="CRA23" s="204"/>
      <c r="CRB23" s="204"/>
      <c r="CRC23" s="204"/>
      <c r="CRD23" s="204"/>
      <c r="CRE23" s="204"/>
      <c r="CRF23" s="204"/>
      <c r="CRG23" s="204"/>
      <c r="CRH23" s="204"/>
      <c r="CRI23" s="204"/>
      <c r="CRJ23" s="204"/>
      <c r="CRK23" s="204"/>
      <c r="CRL23" s="204"/>
      <c r="CRM23" s="204"/>
      <c r="CRN23" s="204"/>
      <c r="CRO23" s="204"/>
      <c r="CRP23" s="204"/>
      <c r="CRQ23" s="204"/>
      <c r="CRR23" s="204"/>
      <c r="CRS23" s="204"/>
      <c r="CRT23" s="204"/>
      <c r="CRU23" s="204"/>
      <c r="CRV23" s="204"/>
      <c r="CRW23" s="204"/>
      <c r="CRX23" s="204"/>
      <c r="CRY23" s="204"/>
      <c r="CRZ23" s="204"/>
      <c r="CSA23" s="204"/>
      <c r="CSB23" s="204"/>
      <c r="CSC23" s="204"/>
      <c r="CSD23" s="204"/>
      <c r="CSE23" s="204"/>
      <c r="CSF23" s="204"/>
      <c r="CSG23" s="204"/>
      <c r="CSH23" s="204"/>
      <c r="CSI23" s="204"/>
      <c r="CSJ23" s="204"/>
      <c r="CSK23" s="204"/>
      <c r="CSL23" s="204"/>
      <c r="CSM23" s="204"/>
      <c r="CSN23" s="204"/>
      <c r="CSO23" s="204"/>
      <c r="CSP23" s="204"/>
      <c r="CSQ23" s="204"/>
      <c r="CSR23" s="204"/>
      <c r="CSS23" s="204"/>
      <c r="CST23" s="204"/>
      <c r="CSU23" s="204"/>
      <c r="CSV23" s="204"/>
      <c r="CSW23" s="204"/>
      <c r="CSX23" s="204"/>
      <c r="CSY23" s="204"/>
      <c r="CSZ23" s="204"/>
      <c r="CTA23" s="204"/>
      <c r="CTB23" s="204"/>
      <c r="CTC23" s="204"/>
      <c r="CTD23" s="204"/>
      <c r="CTE23" s="204"/>
      <c r="CTF23" s="204"/>
      <c r="CTG23" s="204"/>
      <c r="CTH23" s="204"/>
      <c r="CTI23" s="204"/>
      <c r="CTJ23" s="204"/>
      <c r="CTK23" s="204"/>
      <c r="CTL23" s="204"/>
      <c r="CTM23" s="204"/>
      <c r="CTN23" s="204"/>
      <c r="CTO23" s="204"/>
      <c r="CTP23" s="204"/>
      <c r="CTQ23" s="204"/>
      <c r="CTR23" s="204"/>
      <c r="CTS23" s="204"/>
      <c r="CTT23" s="204"/>
      <c r="CTU23" s="204"/>
      <c r="CTV23" s="204"/>
      <c r="CTW23" s="204"/>
      <c r="CTX23" s="204"/>
      <c r="CTY23" s="204"/>
      <c r="CTZ23" s="204"/>
      <c r="CUA23" s="204"/>
      <c r="CUB23" s="204"/>
      <c r="CUC23" s="204"/>
      <c r="CUD23" s="204"/>
      <c r="CUE23" s="204"/>
      <c r="CUF23" s="204"/>
      <c r="CUG23" s="204"/>
      <c r="CUH23" s="204"/>
      <c r="CUI23" s="204"/>
      <c r="CUJ23" s="204"/>
      <c r="CUK23" s="204"/>
      <c r="CUL23" s="204"/>
      <c r="CUM23" s="204"/>
      <c r="CUN23" s="204"/>
      <c r="CUO23" s="204"/>
      <c r="CUP23" s="204"/>
      <c r="CUQ23" s="204"/>
      <c r="CUR23" s="204"/>
      <c r="CUS23" s="204"/>
      <c r="CUT23" s="204"/>
      <c r="CUU23" s="204"/>
      <c r="CUV23" s="204"/>
      <c r="CUW23" s="204"/>
      <c r="CUX23" s="204"/>
      <c r="CUY23" s="204"/>
      <c r="CUZ23" s="204"/>
      <c r="CVA23" s="204"/>
      <c r="CVB23" s="204"/>
      <c r="CVC23" s="204"/>
      <c r="CVD23" s="204"/>
      <c r="CVE23" s="204"/>
      <c r="CVF23" s="204"/>
      <c r="CVG23" s="204"/>
      <c r="CVH23" s="204"/>
      <c r="CVI23" s="204"/>
      <c r="CVJ23" s="204"/>
      <c r="CVK23" s="204"/>
      <c r="CVL23" s="204"/>
      <c r="CVM23" s="204"/>
      <c r="CVN23" s="204"/>
      <c r="CVO23" s="204"/>
      <c r="CVP23" s="204"/>
      <c r="CVQ23" s="204"/>
      <c r="CVR23" s="204"/>
      <c r="CVS23" s="204"/>
      <c r="CVT23" s="204"/>
      <c r="CVU23" s="204"/>
      <c r="CVV23" s="204"/>
      <c r="CVW23" s="204"/>
      <c r="CVX23" s="204"/>
      <c r="CVY23" s="204"/>
      <c r="CVZ23" s="204"/>
      <c r="CWA23" s="204"/>
      <c r="CWB23" s="204"/>
      <c r="CWC23" s="204"/>
      <c r="CWD23" s="204"/>
      <c r="CWE23" s="204"/>
      <c r="CWF23" s="204"/>
      <c r="CWG23" s="204"/>
      <c r="CWH23" s="204"/>
      <c r="CWI23" s="204"/>
      <c r="CWJ23" s="204"/>
      <c r="CWK23" s="204"/>
      <c r="CWL23" s="204"/>
      <c r="CWM23" s="204"/>
      <c r="CWN23" s="204"/>
      <c r="CWO23" s="204"/>
      <c r="CWP23" s="204"/>
      <c r="CWQ23" s="204"/>
      <c r="CWR23" s="204"/>
      <c r="CWS23" s="204"/>
      <c r="CWT23" s="204"/>
      <c r="CWU23" s="204"/>
      <c r="CWV23" s="204"/>
      <c r="CWW23" s="204"/>
      <c r="CWX23" s="204"/>
      <c r="CWY23" s="204"/>
      <c r="CWZ23" s="204"/>
      <c r="CXA23" s="204"/>
      <c r="CXB23" s="204"/>
      <c r="CXC23" s="204"/>
      <c r="CXD23" s="204"/>
      <c r="CXE23" s="204"/>
      <c r="CXF23" s="204"/>
      <c r="CXG23" s="204"/>
      <c r="CXH23" s="204"/>
      <c r="CXI23" s="204"/>
      <c r="CXJ23" s="204"/>
      <c r="CXK23" s="204"/>
      <c r="CXL23" s="204"/>
      <c r="CXM23" s="204"/>
      <c r="CXN23" s="204"/>
      <c r="CXO23" s="204"/>
      <c r="CXP23" s="204"/>
      <c r="CXQ23" s="204"/>
      <c r="CXR23" s="204"/>
      <c r="CXS23" s="204"/>
      <c r="CXT23" s="204"/>
      <c r="CXU23" s="204"/>
      <c r="CXV23" s="204"/>
      <c r="CXW23" s="204"/>
      <c r="CXX23" s="204"/>
      <c r="CXY23" s="204"/>
      <c r="CXZ23" s="204"/>
      <c r="CYA23" s="204"/>
      <c r="CYB23" s="204"/>
      <c r="CYC23" s="204"/>
      <c r="CYD23" s="204"/>
      <c r="CYE23" s="204"/>
      <c r="CYF23" s="204"/>
      <c r="CYG23" s="204"/>
      <c r="CYH23" s="204"/>
      <c r="CYI23" s="204"/>
      <c r="CYJ23" s="204"/>
      <c r="CYK23" s="204"/>
      <c r="CYL23" s="204"/>
      <c r="CYM23" s="204"/>
      <c r="CYN23" s="204"/>
      <c r="CYO23" s="204"/>
      <c r="CYP23" s="204"/>
      <c r="CYQ23" s="204"/>
      <c r="CYR23" s="204"/>
      <c r="CYS23" s="204"/>
      <c r="CYT23" s="204"/>
      <c r="CYU23" s="204"/>
      <c r="CYV23" s="204"/>
      <c r="CYW23" s="204"/>
      <c r="CYX23" s="204"/>
      <c r="CYY23" s="204"/>
      <c r="CYZ23" s="204"/>
      <c r="CZA23" s="204"/>
      <c r="CZB23" s="204"/>
      <c r="CZC23" s="204"/>
      <c r="CZD23" s="204"/>
      <c r="CZE23" s="204"/>
      <c r="CZF23" s="204"/>
      <c r="CZG23" s="204"/>
      <c r="CZH23" s="204"/>
      <c r="CZI23" s="204"/>
      <c r="CZJ23" s="204"/>
      <c r="CZK23" s="204"/>
      <c r="CZL23" s="204"/>
      <c r="CZM23" s="204"/>
      <c r="CZN23" s="204"/>
      <c r="CZO23" s="204"/>
      <c r="CZP23" s="204"/>
      <c r="CZQ23" s="204"/>
      <c r="CZR23" s="204"/>
      <c r="CZS23" s="204"/>
      <c r="CZT23" s="204"/>
      <c r="CZU23" s="204"/>
      <c r="CZV23" s="204"/>
      <c r="CZW23" s="204"/>
      <c r="CZX23" s="204"/>
      <c r="CZY23" s="204"/>
      <c r="CZZ23" s="204"/>
      <c r="DAA23" s="204"/>
      <c r="DAB23" s="204"/>
      <c r="DAC23" s="204"/>
      <c r="DAD23" s="204"/>
      <c r="DAE23" s="204"/>
      <c r="DAF23" s="204"/>
      <c r="DAG23" s="204"/>
      <c r="DAH23" s="204"/>
      <c r="DAI23" s="204"/>
      <c r="DAJ23" s="204"/>
      <c r="DAK23" s="204"/>
      <c r="DAL23" s="204"/>
      <c r="DAM23" s="204"/>
      <c r="DAN23" s="204"/>
      <c r="DAO23" s="204"/>
      <c r="DAP23" s="204"/>
      <c r="DAQ23" s="204"/>
      <c r="DAR23" s="204"/>
      <c r="DAS23" s="204"/>
      <c r="DAT23" s="204"/>
      <c r="DAU23" s="204"/>
      <c r="DAV23" s="204"/>
      <c r="DAW23" s="204"/>
      <c r="DAX23" s="204"/>
      <c r="DAY23" s="204"/>
      <c r="DAZ23" s="204"/>
      <c r="DBA23" s="204"/>
      <c r="DBB23" s="204"/>
      <c r="DBC23" s="204"/>
      <c r="DBD23" s="204"/>
      <c r="DBE23" s="204"/>
      <c r="DBF23" s="204"/>
      <c r="DBG23" s="204"/>
      <c r="DBH23" s="204"/>
      <c r="DBI23" s="204"/>
      <c r="DBJ23" s="204"/>
      <c r="DBK23" s="204"/>
      <c r="DBL23" s="204"/>
      <c r="DBM23" s="204"/>
      <c r="DBN23" s="204"/>
      <c r="DBO23" s="204"/>
      <c r="DBP23" s="204"/>
      <c r="DBQ23" s="204"/>
      <c r="DBR23" s="204"/>
      <c r="DBS23" s="204"/>
      <c r="DBT23" s="204"/>
      <c r="DBU23" s="204"/>
      <c r="DBV23" s="204"/>
      <c r="DBW23" s="204"/>
      <c r="DBX23" s="204"/>
      <c r="DBY23" s="204"/>
      <c r="DBZ23" s="204"/>
      <c r="DCA23" s="204"/>
      <c r="DCB23" s="204"/>
      <c r="DCC23" s="204"/>
      <c r="DCD23" s="204"/>
      <c r="DCE23" s="204"/>
      <c r="DCF23" s="204"/>
      <c r="DCG23" s="204"/>
      <c r="DCH23" s="204"/>
      <c r="DCI23" s="204"/>
      <c r="DCJ23" s="204"/>
      <c r="DCK23" s="204"/>
      <c r="DCL23" s="204"/>
      <c r="DCM23" s="204"/>
      <c r="DCN23" s="204"/>
      <c r="DCO23" s="204"/>
      <c r="DCP23" s="204"/>
      <c r="DCQ23" s="204"/>
      <c r="DCR23" s="204"/>
      <c r="DCS23" s="204"/>
      <c r="DCT23" s="204"/>
      <c r="DCU23" s="204"/>
      <c r="DCV23" s="204"/>
      <c r="DCW23" s="204"/>
      <c r="DCX23" s="204"/>
      <c r="DCY23" s="204"/>
      <c r="DCZ23" s="204"/>
      <c r="DDA23" s="204"/>
      <c r="DDB23" s="204"/>
      <c r="DDC23" s="204"/>
      <c r="DDD23" s="204"/>
      <c r="DDE23" s="204"/>
      <c r="DDF23" s="204"/>
      <c r="DDG23" s="204"/>
      <c r="DDH23" s="204"/>
      <c r="DDI23" s="204"/>
      <c r="DDJ23" s="204"/>
      <c r="DDK23" s="204"/>
      <c r="DDL23" s="204"/>
      <c r="DDM23" s="204"/>
      <c r="DDN23" s="204"/>
      <c r="DDO23" s="204"/>
      <c r="DDP23" s="204"/>
      <c r="DDQ23" s="204"/>
      <c r="DDR23" s="204"/>
      <c r="DDS23" s="204"/>
      <c r="DDT23" s="204"/>
      <c r="DDU23" s="204"/>
      <c r="DDV23" s="204"/>
      <c r="DDW23" s="204"/>
      <c r="DDX23" s="204"/>
      <c r="DDY23" s="204"/>
      <c r="DDZ23" s="204"/>
      <c r="DEA23" s="204"/>
      <c r="DEB23" s="204"/>
      <c r="DEC23" s="204"/>
      <c r="DED23" s="204"/>
      <c r="DEE23" s="204"/>
      <c r="DEF23" s="204"/>
      <c r="DEG23" s="204"/>
      <c r="DEH23" s="204"/>
      <c r="DEI23" s="204"/>
      <c r="DEJ23" s="204"/>
      <c r="DEK23" s="204"/>
      <c r="DEL23" s="204"/>
      <c r="DEM23" s="204"/>
      <c r="DEN23" s="204"/>
      <c r="DEO23" s="204"/>
      <c r="DEP23" s="204"/>
      <c r="DEQ23" s="204"/>
      <c r="DER23" s="204"/>
      <c r="DES23" s="204"/>
      <c r="DET23" s="204"/>
      <c r="DEU23" s="204"/>
      <c r="DEV23" s="204"/>
      <c r="DEW23" s="204"/>
      <c r="DEX23" s="204"/>
      <c r="DEY23" s="204"/>
      <c r="DEZ23" s="204"/>
      <c r="DFA23" s="204"/>
      <c r="DFB23" s="204"/>
      <c r="DFC23" s="204"/>
      <c r="DFD23" s="204"/>
      <c r="DFE23" s="204"/>
      <c r="DFF23" s="204"/>
      <c r="DFG23" s="204"/>
      <c r="DFH23" s="204"/>
      <c r="DFI23" s="204"/>
      <c r="DFJ23" s="204"/>
      <c r="DFK23" s="204"/>
      <c r="DFL23" s="204"/>
      <c r="DFM23" s="204"/>
      <c r="DFN23" s="204"/>
      <c r="DFO23" s="204"/>
      <c r="DFP23" s="204"/>
      <c r="DFQ23" s="204"/>
      <c r="DFR23" s="204"/>
      <c r="DFS23" s="204"/>
      <c r="DFT23" s="204"/>
      <c r="DFU23" s="204"/>
      <c r="DFV23" s="204"/>
      <c r="DFW23" s="204"/>
      <c r="DFX23" s="204"/>
      <c r="DFY23" s="204"/>
      <c r="DFZ23" s="204"/>
      <c r="DGA23" s="204"/>
      <c r="DGB23" s="204"/>
      <c r="DGC23" s="204"/>
      <c r="DGD23" s="204"/>
      <c r="DGE23" s="204"/>
      <c r="DGF23" s="204"/>
      <c r="DGG23" s="204"/>
      <c r="DGH23" s="204"/>
      <c r="DGI23" s="204"/>
      <c r="DGJ23" s="204"/>
      <c r="DGK23" s="204"/>
      <c r="DGL23" s="204"/>
      <c r="DGM23" s="204"/>
      <c r="DGN23" s="204"/>
      <c r="DGO23" s="204"/>
      <c r="DGP23" s="204"/>
      <c r="DGQ23" s="204"/>
      <c r="DGR23" s="204"/>
      <c r="DGS23" s="204"/>
      <c r="DGT23" s="204"/>
      <c r="DGU23" s="204"/>
      <c r="DGV23" s="204"/>
      <c r="DGW23" s="204"/>
      <c r="DGX23" s="204"/>
      <c r="DGY23" s="204"/>
      <c r="DGZ23" s="204"/>
      <c r="DHA23" s="204"/>
      <c r="DHB23" s="204"/>
      <c r="DHC23" s="204"/>
      <c r="DHD23" s="204"/>
      <c r="DHE23" s="204"/>
      <c r="DHF23" s="204"/>
      <c r="DHG23" s="204"/>
      <c r="DHH23" s="204"/>
      <c r="DHI23" s="204"/>
      <c r="DHJ23" s="204"/>
      <c r="DHK23" s="204"/>
      <c r="DHL23" s="204"/>
      <c r="DHM23" s="204"/>
      <c r="DHN23" s="204"/>
      <c r="DHO23" s="204"/>
      <c r="DHP23" s="204"/>
      <c r="DHQ23" s="204"/>
      <c r="DHR23" s="204"/>
      <c r="DHS23" s="204"/>
      <c r="DHT23" s="204"/>
      <c r="DHU23" s="204"/>
      <c r="DHV23" s="204"/>
      <c r="DHW23" s="204"/>
      <c r="DHX23" s="204"/>
      <c r="DHY23" s="204"/>
      <c r="DHZ23" s="204"/>
      <c r="DIA23" s="204"/>
      <c r="DIB23" s="204"/>
      <c r="DIC23" s="204"/>
      <c r="DID23" s="204"/>
      <c r="DIE23" s="204"/>
      <c r="DIF23" s="204"/>
      <c r="DIG23" s="204"/>
      <c r="DIH23" s="204"/>
      <c r="DII23" s="204"/>
      <c r="DIJ23" s="204"/>
      <c r="DIK23" s="204"/>
      <c r="DIL23" s="204"/>
      <c r="DIM23" s="204"/>
      <c r="DIN23" s="204"/>
      <c r="DIO23" s="204"/>
      <c r="DIP23" s="204"/>
      <c r="DIQ23" s="204"/>
      <c r="DIR23" s="204"/>
      <c r="DIS23" s="204"/>
      <c r="DIT23" s="204"/>
      <c r="DIU23" s="204"/>
      <c r="DIV23" s="204"/>
      <c r="DIW23" s="204"/>
      <c r="DIX23" s="204"/>
      <c r="DIY23" s="204"/>
      <c r="DIZ23" s="204"/>
      <c r="DJA23" s="204"/>
      <c r="DJB23" s="204"/>
      <c r="DJC23" s="204"/>
      <c r="DJD23" s="204"/>
      <c r="DJE23" s="204"/>
      <c r="DJF23" s="204"/>
      <c r="DJG23" s="204"/>
      <c r="DJH23" s="204"/>
      <c r="DJI23" s="204"/>
      <c r="DJJ23" s="204"/>
      <c r="DJK23" s="204"/>
      <c r="DJL23" s="204"/>
      <c r="DJM23" s="204"/>
      <c r="DJN23" s="204"/>
      <c r="DJO23" s="204"/>
      <c r="DJP23" s="204"/>
      <c r="DJQ23" s="204"/>
      <c r="DJR23" s="204"/>
      <c r="DJS23" s="204"/>
      <c r="DJT23" s="204"/>
      <c r="DJU23" s="204"/>
      <c r="DJV23" s="204"/>
      <c r="DJW23" s="204"/>
      <c r="DJX23" s="204"/>
      <c r="DJY23" s="204"/>
      <c r="DJZ23" s="204"/>
      <c r="DKA23" s="204"/>
      <c r="DKB23" s="204"/>
      <c r="DKC23" s="204"/>
      <c r="DKD23" s="204"/>
      <c r="DKE23" s="204"/>
      <c r="DKF23" s="204"/>
      <c r="DKG23" s="204"/>
      <c r="DKH23" s="204"/>
      <c r="DKI23" s="204"/>
      <c r="DKJ23" s="204"/>
      <c r="DKK23" s="204"/>
      <c r="DKL23" s="204"/>
      <c r="DKM23" s="204"/>
      <c r="DKN23" s="204"/>
      <c r="DKO23" s="204"/>
      <c r="DKP23" s="204"/>
      <c r="DKQ23" s="204"/>
      <c r="DKR23" s="204"/>
      <c r="DKS23" s="204"/>
      <c r="DKT23" s="204"/>
      <c r="DKU23" s="204"/>
      <c r="DKV23" s="204"/>
      <c r="DKW23" s="204"/>
      <c r="DKX23" s="204"/>
      <c r="DKY23" s="204"/>
      <c r="DKZ23" s="204"/>
      <c r="DLA23" s="204"/>
      <c r="DLB23" s="204"/>
      <c r="DLC23" s="204"/>
      <c r="DLD23" s="204"/>
      <c r="DLE23" s="204"/>
      <c r="DLF23" s="204"/>
      <c r="DLG23" s="204"/>
      <c r="DLH23" s="204"/>
      <c r="DLI23" s="204"/>
      <c r="DLJ23" s="204"/>
      <c r="DLK23" s="204"/>
      <c r="DLL23" s="204"/>
      <c r="DLM23" s="204"/>
      <c r="DLN23" s="204"/>
      <c r="DLO23" s="204"/>
      <c r="DLP23" s="204"/>
      <c r="DLQ23" s="204"/>
      <c r="DLR23" s="204"/>
      <c r="DLS23" s="204"/>
      <c r="DLT23" s="204"/>
      <c r="DLU23" s="204"/>
      <c r="DLV23" s="204"/>
      <c r="DLW23" s="204"/>
      <c r="DLX23" s="204"/>
      <c r="DLY23" s="204"/>
      <c r="DLZ23" s="204"/>
      <c r="DMA23" s="204"/>
      <c r="DMB23" s="204"/>
      <c r="DMC23" s="204"/>
      <c r="DMD23" s="204"/>
      <c r="DME23" s="204"/>
      <c r="DMF23" s="204"/>
      <c r="DMG23" s="204"/>
      <c r="DMH23" s="204"/>
      <c r="DMI23" s="204"/>
      <c r="DMJ23" s="204"/>
      <c r="DMK23" s="204"/>
      <c r="DML23" s="204"/>
      <c r="DMM23" s="204"/>
      <c r="DMN23" s="204"/>
      <c r="DMO23" s="204"/>
      <c r="DMP23" s="204"/>
      <c r="DMQ23" s="204"/>
      <c r="DMR23" s="204"/>
      <c r="DMS23" s="204"/>
      <c r="DMT23" s="204"/>
      <c r="DMU23" s="204"/>
      <c r="DMV23" s="204"/>
      <c r="DMW23" s="204"/>
      <c r="DMX23" s="204"/>
      <c r="DMY23" s="204"/>
      <c r="DMZ23" s="204"/>
      <c r="DNA23" s="204"/>
      <c r="DNB23" s="204"/>
      <c r="DNC23" s="204"/>
      <c r="DND23" s="204"/>
      <c r="DNE23" s="204"/>
      <c r="DNF23" s="204"/>
      <c r="DNG23" s="204"/>
      <c r="DNH23" s="204"/>
      <c r="DNI23" s="204"/>
      <c r="DNJ23" s="204"/>
      <c r="DNK23" s="204"/>
      <c r="DNL23" s="204"/>
      <c r="DNM23" s="204"/>
      <c r="DNN23" s="204"/>
      <c r="DNO23" s="204"/>
      <c r="DNP23" s="204"/>
      <c r="DNQ23" s="204"/>
      <c r="DNR23" s="204"/>
      <c r="DNS23" s="204"/>
      <c r="DNT23" s="204"/>
      <c r="DNU23" s="204"/>
      <c r="DNV23" s="204"/>
      <c r="DNW23" s="204"/>
      <c r="DNX23" s="204"/>
      <c r="DNY23" s="204"/>
      <c r="DNZ23" s="204"/>
      <c r="DOA23" s="204"/>
      <c r="DOB23" s="204"/>
      <c r="DOC23" s="204"/>
      <c r="DOD23" s="204"/>
      <c r="DOE23" s="204"/>
      <c r="DOF23" s="204"/>
      <c r="DOG23" s="204"/>
      <c r="DOH23" s="204"/>
      <c r="DOI23" s="204"/>
      <c r="DOJ23" s="204"/>
      <c r="DOK23" s="204"/>
      <c r="DOL23" s="204"/>
      <c r="DOM23" s="204"/>
      <c r="DON23" s="204"/>
      <c r="DOO23" s="204"/>
      <c r="DOP23" s="204"/>
      <c r="DOQ23" s="204"/>
      <c r="DOR23" s="204"/>
      <c r="DOS23" s="204"/>
      <c r="DOT23" s="204"/>
      <c r="DOU23" s="204"/>
      <c r="DOV23" s="204"/>
      <c r="DOW23" s="204"/>
      <c r="DOX23" s="204"/>
      <c r="DOY23" s="204"/>
      <c r="DOZ23" s="204"/>
      <c r="DPA23" s="204"/>
      <c r="DPB23" s="204"/>
      <c r="DPC23" s="204"/>
      <c r="DPD23" s="204"/>
      <c r="DPE23" s="204"/>
      <c r="DPF23" s="204"/>
      <c r="DPG23" s="204"/>
      <c r="DPH23" s="204"/>
      <c r="DPI23" s="204"/>
      <c r="DPJ23" s="204"/>
      <c r="DPK23" s="204"/>
      <c r="DPL23" s="204"/>
      <c r="DPM23" s="204"/>
      <c r="DPN23" s="204"/>
      <c r="DPO23" s="204"/>
      <c r="DPP23" s="204"/>
      <c r="DPQ23" s="204"/>
      <c r="DPR23" s="204"/>
      <c r="DPS23" s="204"/>
      <c r="DPT23" s="204"/>
      <c r="DPU23" s="204"/>
      <c r="DPV23" s="204"/>
      <c r="DPW23" s="204"/>
      <c r="DPX23" s="204"/>
      <c r="DPY23" s="204"/>
      <c r="DPZ23" s="204"/>
      <c r="DQA23" s="204"/>
      <c r="DQB23" s="204"/>
      <c r="DQC23" s="204"/>
      <c r="DQD23" s="204"/>
      <c r="DQE23" s="204"/>
      <c r="DQF23" s="204"/>
      <c r="DQG23" s="204"/>
      <c r="DQH23" s="204"/>
      <c r="DQI23" s="204"/>
      <c r="DQJ23" s="204"/>
      <c r="DQK23" s="204"/>
      <c r="DQL23" s="204"/>
      <c r="DQM23" s="204"/>
      <c r="DQN23" s="204"/>
      <c r="DQO23" s="204"/>
      <c r="DQP23" s="204"/>
      <c r="DQQ23" s="204"/>
      <c r="DQR23" s="204"/>
      <c r="DQS23" s="204"/>
      <c r="DQT23" s="204"/>
      <c r="DQU23" s="204"/>
      <c r="DQV23" s="204"/>
      <c r="DQW23" s="204"/>
      <c r="DQX23" s="204"/>
      <c r="DQY23" s="204"/>
      <c r="DQZ23" s="204"/>
      <c r="DRA23" s="204"/>
      <c r="DRB23" s="204"/>
      <c r="DRC23" s="204"/>
      <c r="DRD23" s="204"/>
      <c r="DRE23" s="204"/>
      <c r="DRF23" s="204"/>
      <c r="DRG23" s="204"/>
      <c r="DRH23" s="204"/>
      <c r="DRI23" s="204"/>
      <c r="DRJ23" s="204"/>
      <c r="DRK23" s="204"/>
      <c r="DRL23" s="204"/>
      <c r="DRM23" s="204"/>
      <c r="DRN23" s="204"/>
      <c r="DRO23" s="204"/>
      <c r="DRP23" s="204"/>
      <c r="DRQ23" s="204"/>
      <c r="DRR23" s="204"/>
      <c r="DRS23" s="204"/>
      <c r="DRT23" s="204"/>
      <c r="DRU23" s="204"/>
      <c r="DRV23" s="204"/>
      <c r="DRW23" s="204"/>
      <c r="DRX23" s="204"/>
      <c r="DRY23" s="204"/>
      <c r="DRZ23" s="204"/>
      <c r="DSA23" s="204"/>
      <c r="DSB23" s="204"/>
      <c r="DSC23" s="204"/>
      <c r="DSD23" s="204"/>
      <c r="DSE23" s="204"/>
      <c r="DSF23" s="204"/>
      <c r="DSG23" s="204"/>
      <c r="DSH23" s="204"/>
      <c r="DSI23" s="204"/>
      <c r="DSJ23" s="204"/>
      <c r="DSK23" s="204"/>
      <c r="DSL23" s="204"/>
      <c r="DSM23" s="204"/>
      <c r="DSN23" s="204"/>
      <c r="DSO23" s="204"/>
      <c r="DSP23" s="204"/>
      <c r="DSQ23" s="204"/>
      <c r="DSR23" s="204"/>
      <c r="DSS23" s="204"/>
      <c r="DST23" s="204"/>
      <c r="DSU23" s="204"/>
      <c r="DSV23" s="204"/>
      <c r="DSW23" s="204"/>
      <c r="DSX23" s="204"/>
      <c r="DSY23" s="204"/>
      <c r="DSZ23" s="204"/>
      <c r="DTA23" s="204"/>
      <c r="DTB23" s="204"/>
      <c r="DTC23" s="204"/>
      <c r="DTD23" s="204"/>
      <c r="DTE23" s="204"/>
      <c r="DTF23" s="204"/>
      <c r="DTG23" s="204"/>
      <c r="DTH23" s="204"/>
      <c r="DTI23" s="204"/>
      <c r="DTJ23" s="204"/>
      <c r="DTK23" s="204"/>
      <c r="DTL23" s="204"/>
      <c r="DTM23" s="204"/>
      <c r="DTN23" s="204"/>
      <c r="DTO23" s="204"/>
      <c r="DTP23" s="204"/>
      <c r="DTQ23" s="204"/>
      <c r="DTR23" s="204"/>
      <c r="DTS23" s="204"/>
      <c r="DTT23" s="204"/>
      <c r="DTU23" s="204"/>
      <c r="DTV23" s="204"/>
      <c r="DTW23" s="204"/>
      <c r="DTX23" s="204"/>
      <c r="DTY23" s="204"/>
      <c r="DTZ23" s="204"/>
      <c r="DUA23" s="204"/>
      <c r="DUB23" s="204"/>
      <c r="DUC23" s="204"/>
      <c r="DUD23" s="204"/>
      <c r="DUE23" s="204"/>
      <c r="DUF23" s="204"/>
      <c r="DUG23" s="204"/>
      <c r="DUH23" s="204"/>
      <c r="DUI23" s="204"/>
      <c r="DUJ23" s="204"/>
      <c r="DUK23" s="204"/>
      <c r="DUL23" s="204"/>
      <c r="DUM23" s="204"/>
      <c r="DUN23" s="204"/>
      <c r="DUO23" s="204"/>
      <c r="DUP23" s="204"/>
      <c r="DUQ23" s="204"/>
      <c r="DUR23" s="204"/>
      <c r="DUS23" s="204"/>
      <c r="DUT23" s="204"/>
      <c r="DUU23" s="204"/>
      <c r="DUV23" s="204"/>
      <c r="DUW23" s="204"/>
      <c r="DUX23" s="204"/>
      <c r="DUY23" s="204"/>
      <c r="DUZ23" s="204"/>
      <c r="DVA23" s="204"/>
      <c r="DVB23" s="204"/>
      <c r="DVC23" s="204"/>
      <c r="DVD23" s="204"/>
      <c r="DVE23" s="204"/>
      <c r="DVF23" s="204"/>
      <c r="DVG23" s="204"/>
      <c r="DVH23" s="204"/>
      <c r="DVI23" s="204"/>
      <c r="DVJ23" s="204"/>
      <c r="DVK23" s="204"/>
      <c r="DVL23" s="204"/>
      <c r="DVM23" s="204"/>
      <c r="DVN23" s="204"/>
      <c r="DVO23" s="204"/>
      <c r="DVP23" s="204"/>
      <c r="DVQ23" s="204"/>
      <c r="DVR23" s="204"/>
      <c r="DVS23" s="204"/>
      <c r="DVT23" s="204"/>
      <c r="DVU23" s="204"/>
      <c r="DVV23" s="204"/>
      <c r="DVW23" s="204"/>
      <c r="DVX23" s="204"/>
      <c r="DVY23" s="204"/>
      <c r="DVZ23" s="204"/>
      <c r="DWA23" s="204"/>
      <c r="DWB23" s="204"/>
      <c r="DWC23" s="204"/>
      <c r="DWD23" s="204"/>
      <c r="DWE23" s="204"/>
      <c r="DWF23" s="204"/>
      <c r="DWG23" s="204"/>
      <c r="DWH23" s="204"/>
      <c r="DWI23" s="204"/>
      <c r="DWJ23" s="204"/>
      <c r="DWK23" s="204"/>
      <c r="DWL23" s="204"/>
      <c r="DWM23" s="204"/>
      <c r="DWN23" s="204"/>
      <c r="DWO23" s="204"/>
      <c r="DWP23" s="204"/>
      <c r="DWQ23" s="204"/>
      <c r="DWR23" s="204"/>
      <c r="DWS23" s="204"/>
      <c r="DWT23" s="204"/>
      <c r="DWU23" s="204"/>
      <c r="DWV23" s="204"/>
      <c r="DWW23" s="204"/>
      <c r="DWX23" s="204"/>
      <c r="DWY23" s="204"/>
      <c r="DWZ23" s="204"/>
      <c r="DXA23" s="204"/>
      <c r="DXB23" s="204"/>
      <c r="DXC23" s="204"/>
      <c r="DXD23" s="204"/>
      <c r="DXE23" s="204"/>
      <c r="DXF23" s="204"/>
      <c r="DXG23" s="204"/>
      <c r="DXH23" s="204"/>
      <c r="DXI23" s="204"/>
      <c r="DXJ23" s="204"/>
      <c r="DXK23" s="204"/>
      <c r="DXL23" s="204"/>
      <c r="DXM23" s="204"/>
      <c r="DXN23" s="204"/>
      <c r="DXO23" s="204"/>
      <c r="DXP23" s="204"/>
      <c r="DXQ23" s="204"/>
      <c r="DXR23" s="204"/>
      <c r="DXS23" s="204"/>
      <c r="DXT23" s="204"/>
      <c r="DXU23" s="204"/>
      <c r="DXV23" s="204"/>
      <c r="DXW23" s="204"/>
      <c r="DXX23" s="204"/>
      <c r="DXY23" s="204"/>
      <c r="DXZ23" s="204"/>
      <c r="DYA23" s="204"/>
      <c r="DYB23" s="204"/>
      <c r="DYC23" s="204"/>
      <c r="DYD23" s="204"/>
      <c r="DYE23" s="204"/>
      <c r="DYF23" s="204"/>
      <c r="DYG23" s="204"/>
      <c r="DYH23" s="204"/>
      <c r="DYI23" s="204"/>
      <c r="DYJ23" s="204"/>
      <c r="DYK23" s="204"/>
      <c r="DYL23" s="204"/>
      <c r="DYM23" s="204"/>
      <c r="DYN23" s="204"/>
      <c r="DYO23" s="204"/>
      <c r="DYP23" s="204"/>
      <c r="DYQ23" s="204"/>
      <c r="DYR23" s="204"/>
      <c r="DYS23" s="204"/>
      <c r="DYT23" s="204"/>
      <c r="DYU23" s="204"/>
      <c r="DYV23" s="204"/>
      <c r="DYW23" s="204"/>
      <c r="DYX23" s="204"/>
      <c r="DYY23" s="204"/>
      <c r="DYZ23" s="204"/>
      <c r="DZA23" s="204"/>
      <c r="DZB23" s="204"/>
      <c r="DZC23" s="204"/>
      <c r="DZD23" s="204"/>
      <c r="DZE23" s="204"/>
      <c r="DZF23" s="204"/>
      <c r="DZG23" s="204"/>
      <c r="DZH23" s="204"/>
      <c r="DZI23" s="204"/>
      <c r="DZJ23" s="204"/>
      <c r="DZK23" s="204"/>
      <c r="DZL23" s="204"/>
      <c r="DZM23" s="204"/>
      <c r="DZN23" s="204"/>
      <c r="DZO23" s="204"/>
      <c r="DZP23" s="204"/>
      <c r="DZQ23" s="204"/>
      <c r="DZR23" s="204"/>
      <c r="DZS23" s="204"/>
      <c r="DZT23" s="204"/>
      <c r="DZU23" s="204"/>
      <c r="DZV23" s="204"/>
      <c r="DZW23" s="204"/>
      <c r="DZX23" s="204"/>
      <c r="DZY23" s="204"/>
      <c r="DZZ23" s="204"/>
      <c r="EAA23" s="204"/>
      <c r="EAB23" s="204"/>
      <c r="EAC23" s="204"/>
      <c r="EAD23" s="204"/>
      <c r="EAE23" s="204"/>
      <c r="EAF23" s="204"/>
      <c r="EAG23" s="204"/>
      <c r="EAH23" s="204"/>
      <c r="EAI23" s="204"/>
      <c r="EAJ23" s="204"/>
      <c r="EAK23" s="204"/>
      <c r="EAL23" s="204"/>
      <c r="EAM23" s="204"/>
      <c r="EAN23" s="204"/>
      <c r="EAO23" s="204"/>
      <c r="EAP23" s="204"/>
      <c r="EAQ23" s="204"/>
      <c r="EAR23" s="204"/>
      <c r="EAS23" s="204"/>
      <c r="EAT23" s="204"/>
      <c r="EAU23" s="204"/>
      <c r="EAV23" s="204"/>
      <c r="EAW23" s="204"/>
      <c r="EAX23" s="204"/>
      <c r="EAY23" s="204"/>
      <c r="EAZ23" s="204"/>
      <c r="EBA23" s="204"/>
      <c r="EBB23" s="204"/>
      <c r="EBC23" s="204"/>
      <c r="EBD23" s="204"/>
      <c r="EBE23" s="204"/>
      <c r="EBF23" s="204"/>
      <c r="EBG23" s="204"/>
      <c r="EBH23" s="204"/>
      <c r="EBI23" s="204"/>
      <c r="EBJ23" s="204"/>
      <c r="EBK23" s="204"/>
      <c r="EBL23" s="204"/>
      <c r="EBM23" s="204"/>
      <c r="EBN23" s="204"/>
      <c r="EBO23" s="204"/>
      <c r="EBP23" s="204"/>
      <c r="EBQ23" s="204"/>
      <c r="EBR23" s="204"/>
      <c r="EBS23" s="204"/>
      <c r="EBT23" s="204"/>
      <c r="EBU23" s="204"/>
      <c r="EBV23" s="204"/>
      <c r="EBW23" s="204"/>
      <c r="EBX23" s="204"/>
      <c r="EBY23" s="204"/>
      <c r="EBZ23" s="204"/>
      <c r="ECA23" s="204"/>
      <c r="ECB23" s="204"/>
      <c r="ECC23" s="204"/>
      <c r="ECD23" s="204"/>
      <c r="ECE23" s="204"/>
      <c r="ECF23" s="204"/>
      <c r="ECG23" s="204"/>
      <c r="ECH23" s="204"/>
      <c r="ECI23" s="204"/>
      <c r="ECJ23" s="204"/>
      <c r="ECK23" s="204"/>
      <c r="ECL23" s="204"/>
      <c r="ECM23" s="204"/>
      <c r="ECN23" s="204"/>
      <c r="ECO23" s="204"/>
      <c r="ECP23" s="204"/>
      <c r="ECQ23" s="204"/>
      <c r="ECR23" s="204"/>
      <c r="ECS23" s="204"/>
      <c r="ECT23" s="204"/>
      <c r="ECU23" s="204"/>
      <c r="ECV23" s="204"/>
      <c r="ECW23" s="204"/>
      <c r="ECX23" s="204"/>
      <c r="ECY23" s="204"/>
      <c r="ECZ23" s="204"/>
      <c r="EDA23" s="204"/>
      <c r="EDB23" s="204"/>
      <c r="EDC23" s="204"/>
      <c r="EDD23" s="204"/>
      <c r="EDE23" s="204"/>
      <c r="EDF23" s="204"/>
      <c r="EDG23" s="204"/>
      <c r="EDH23" s="204"/>
      <c r="EDI23" s="204"/>
      <c r="EDJ23" s="204"/>
      <c r="EDK23" s="204"/>
      <c r="EDL23" s="204"/>
      <c r="EDM23" s="204"/>
      <c r="EDN23" s="204"/>
      <c r="EDO23" s="204"/>
      <c r="EDP23" s="204"/>
      <c r="EDQ23" s="204"/>
      <c r="EDR23" s="204"/>
      <c r="EDS23" s="204"/>
      <c r="EDT23" s="204"/>
      <c r="EDU23" s="204"/>
      <c r="EDV23" s="204"/>
      <c r="EDW23" s="204"/>
      <c r="EDX23" s="204"/>
      <c r="EDY23" s="204"/>
      <c r="EDZ23" s="204"/>
      <c r="EEA23" s="204"/>
      <c r="EEB23" s="204"/>
      <c r="EEC23" s="204"/>
      <c r="EED23" s="204"/>
      <c r="EEE23" s="204"/>
      <c r="EEF23" s="204"/>
      <c r="EEG23" s="204"/>
      <c r="EEH23" s="204"/>
      <c r="EEI23" s="204"/>
      <c r="EEJ23" s="204"/>
      <c r="EEK23" s="204"/>
      <c r="EEL23" s="204"/>
      <c r="EEM23" s="204"/>
      <c r="EEN23" s="204"/>
      <c r="EEO23" s="204"/>
      <c r="EEP23" s="204"/>
      <c r="EEQ23" s="204"/>
      <c r="EER23" s="204"/>
      <c r="EES23" s="204"/>
      <c r="EET23" s="204"/>
      <c r="EEU23" s="204"/>
      <c r="EEV23" s="204"/>
      <c r="EEW23" s="204"/>
      <c r="EEX23" s="204"/>
      <c r="EEY23" s="204"/>
      <c r="EEZ23" s="204"/>
      <c r="EFA23" s="204"/>
      <c r="EFB23" s="204"/>
      <c r="EFC23" s="204"/>
      <c r="EFD23" s="204"/>
      <c r="EFE23" s="204"/>
      <c r="EFF23" s="204"/>
      <c r="EFG23" s="204"/>
      <c r="EFH23" s="204"/>
      <c r="EFI23" s="204"/>
      <c r="EFJ23" s="204"/>
      <c r="EFK23" s="204"/>
      <c r="EFL23" s="204"/>
      <c r="EFM23" s="204"/>
      <c r="EFN23" s="204"/>
      <c r="EFO23" s="204"/>
      <c r="EFP23" s="204"/>
      <c r="EFQ23" s="204"/>
      <c r="EFR23" s="204"/>
      <c r="EFS23" s="204"/>
      <c r="EFT23" s="204"/>
      <c r="EFU23" s="204"/>
      <c r="EFV23" s="204"/>
      <c r="EFW23" s="204"/>
      <c r="EFX23" s="204"/>
      <c r="EFY23" s="204"/>
      <c r="EFZ23" s="204"/>
      <c r="EGA23" s="204"/>
      <c r="EGB23" s="204"/>
      <c r="EGC23" s="204"/>
      <c r="EGD23" s="204"/>
      <c r="EGE23" s="204"/>
      <c r="EGF23" s="204"/>
      <c r="EGG23" s="204"/>
      <c r="EGH23" s="204"/>
      <c r="EGI23" s="204"/>
      <c r="EGJ23" s="204"/>
      <c r="EGK23" s="204"/>
      <c r="EGL23" s="204"/>
      <c r="EGM23" s="204"/>
      <c r="EGN23" s="204"/>
      <c r="EGO23" s="204"/>
      <c r="EGP23" s="204"/>
      <c r="EGQ23" s="204"/>
      <c r="EGR23" s="204"/>
      <c r="EGS23" s="204"/>
      <c r="EGT23" s="204"/>
      <c r="EGU23" s="204"/>
      <c r="EGV23" s="204"/>
      <c r="EGW23" s="204"/>
      <c r="EGX23" s="204"/>
      <c r="EGY23" s="204"/>
      <c r="EGZ23" s="204"/>
      <c r="EHA23" s="204"/>
      <c r="EHB23" s="204"/>
      <c r="EHC23" s="204"/>
      <c r="EHD23" s="204"/>
      <c r="EHE23" s="204"/>
      <c r="EHF23" s="204"/>
      <c r="EHG23" s="204"/>
      <c r="EHH23" s="204"/>
      <c r="EHI23" s="204"/>
      <c r="EHJ23" s="204"/>
      <c r="EHK23" s="204"/>
      <c r="EHL23" s="204"/>
      <c r="EHM23" s="204"/>
      <c r="EHN23" s="204"/>
      <c r="EHO23" s="204"/>
      <c r="EHP23" s="204"/>
      <c r="EHQ23" s="204"/>
      <c r="EHR23" s="204"/>
      <c r="EHS23" s="204"/>
      <c r="EHT23" s="204"/>
      <c r="EHU23" s="204"/>
      <c r="EHV23" s="204"/>
      <c r="EHW23" s="204"/>
      <c r="EHX23" s="204"/>
      <c r="EHY23" s="204"/>
      <c r="EHZ23" s="204"/>
      <c r="EIA23" s="204"/>
      <c r="EIB23" s="204"/>
      <c r="EIC23" s="204"/>
      <c r="EID23" s="204"/>
      <c r="EIE23" s="204"/>
      <c r="EIF23" s="204"/>
      <c r="EIG23" s="204"/>
      <c r="EIH23" s="204"/>
      <c r="EII23" s="204"/>
      <c r="EIJ23" s="204"/>
      <c r="EIK23" s="204"/>
      <c r="EIL23" s="204"/>
      <c r="EIM23" s="204"/>
      <c r="EIN23" s="204"/>
      <c r="EIO23" s="204"/>
      <c r="EIP23" s="204"/>
      <c r="EIQ23" s="204"/>
      <c r="EIR23" s="204"/>
      <c r="EIS23" s="204"/>
      <c r="EIT23" s="204"/>
      <c r="EIU23" s="204"/>
      <c r="EIV23" s="204"/>
      <c r="EIW23" s="204"/>
      <c r="EIX23" s="204"/>
      <c r="EIY23" s="204"/>
      <c r="EIZ23" s="204"/>
      <c r="EJA23" s="204"/>
      <c r="EJB23" s="204"/>
      <c r="EJC23" s="204"/>
      <c r="EJD23" s="204"/>
      <c r="EJE23" s="204"/>
      <c r="EJF23" s="204"/>
      <c r="EJG23" s="204"/>
      <c r="EJH23" s="204"/>
      <c r="EJI23" s="204"/>
      <c r="EJJ23" s="204"/>
      <c r="EJK23" s="204"/>
      <c r="EJL23" s="204"/>
      <c r="EJM23" s="204"/>
      <c r="EJN23" s="204"/>
      <c r="EJO23" s="204"/>
      <c r="EJP23" s="204"/>
      <c r="EJQ23" s="204"/>
      <c r="EJR23" s="204"/>
      <c r="EJS23" s="204"/>
      <c r="EJT23" s="204"/>
      <c r="EJU23" s="204"/>
      <c r="EJV23" s="204"/>
      <c r="EJW23" s="204"/>
      <c r="EJX23" s="204"/>
      <c r="EJY23" s="204"/>
      <c r="EJZ23" s="204"/>
      <c r="EKA23" s="204"/>
      <c r="EKB23" s="204"/>
      <c r="EKC23" s="204"/>
      <c r="EKD23" s="204"/>
      <c r="EKE23" s="204"/>
      <c r="EKF23" s="204"/>
      <c r="EKG23" s="204"/>
      <c r="EKH23" s="204"/>
      <c r="EKI23" s="204"/>
      <c r="EKJ23" s="204"/>
      <c r="EKK23" s="204"/>
      <c r="EKL23" s="204"/>
      <c r="EKM23" s="204"/>
      <c r="EKN23" s="204"/>
      <c r="EKO23" s="204"/>
      <c r="EKP23" s="204"/>
      <c r="EKQ23" s="204"/>
      <c r="EKR23" s="204"/>
      <c r="EKS23" s="204"/>
      <c r="EKT23" s="204"/>
      <c r="EKU23" s="204"/>
      <c r="EKV23" s="204"/>
      <c r="EKW23" s="204"/>
      <c r="EKX23" s="204"/>
      <c r="EKY23" s="204"/>
      <c r="EKZ23" s="204"/>
      <c r="ELA23" s="204"/>
      <c r="ELB23" s="204"/>
      <c r="ELC23" s="204"/>
      <c r="ELD23" s="204"/>
      <c r="ELE23" s="204"/>
      <c r="ELF23" s="204"/>
      <c r="ELG23" s="204"/>
      <c r="ELH23" s="204"/>
      <c r="ELI23" s="204"/>
      <c r="ELJ23" s="204"/>
      <c r="ELK23" s="204"/>
      <c r="ELL23" s="204"/>
      <c r="ELM23" s="204"/>
      <c r="ELN23" s="204"/>
      <c r="ELO23" s="204"/>
      <c r="ELP23" s="204"/>
      <c r="ELQ23" s="204"/>
      <c r="ELR23" s="204"/>
      <c r="ELS23" s="204"/>
      <c r="ELT23" s="204"/>
      <c r="ELU23" s="204"/>
      <c r="ELV23" s="204"/>
      <c r="ELW23" s="204"/>
      <c r="ELX23" s="204"/>
      <c r="ELY23" s="204"/>
      <c r="ELZ23" s="204"/>
      <c r="EMA23" s="204"/>
      <c r="EMB23" s="204"/>
      <c r="EMC23" s="204"/>
      <c r="EMD23" s="204"/>
      <c r="EME23" s="204"/>
      <c r="EMF23" s="204"/>
      <c r="EMG23" s="204"/>
      <c r="EMH23" s="204"/>
      <c r="EMI23" s="204"/>
      <c r="EMJ23" s="204"/>
      <c r="EMK23" s="204"/>
      <c r="EML23" s="204"/>
      <c r="EMM23" s="204"/>
      <c r="EMN23" s="204"/>
      <c r="EMO23" s="204"/>
      <c r="EMP23" s="204"/>
      <c r="EMQ23" s="204"/>
      <c r="EMR23" s="204"/>
      <c r="EMS23" s="204"/>
      <c r="EMT23" s="204"/>
      <c r="EMU23" s="204"/>
      <c r="EMV23" s="204"/>
      <c r="EMW23" s="204"/>
      <c r="EMX23" s="204"/>
      <c r="EMY23" s="204"/>
      <c r="EMZ23" s="204"/>
      <c r="ENA23" s="204"/>
      <c r="ENB23" s="204"/>
      <c r="ENC23" s="204"/>
      <c r="END23" s="204"/>
      <c r="ENE23" s="204"/>
      <c r="ENF23" s="204"/>
      <c r="ENG23" s="204"/>
      <c r="ENH23" s="204"/>
      <c r="ENI23" s="204"/>
      <c r="ENJ23" s="204"/>
      <c r="ENK23" s="204"/>
      <c r="ENL23" s="204"/>
      <c r="ENM23" s="204"/>
      <c r="ENN23" s="204"/>
      <c r="ENO23" s="204"/>
      <c r="ENP23" s="204"/>
      <c r="ENQ23" s="204"/>
      <c r="ENR23" s="204"/>
      <c r="ENS23" s="204"/>
      <c r="ENT23" s="204"/>
      <c r="ENU23" s="204"/>
      <c r="ENV23" s="204"/>
      <c r="ENW23" s="204"/>
      <c r="ENX23" s="204"/>
      <c r="ENY23" s="204"/>
      <c r="ENZ23" s="204"/>
      <c r="EOA23" s="204"/>
      <c r="EOB23" s="204"/>
      <c r="EOC23" s="204"/>
      <c r="EOD23" s="204"/>
      <c r="EOE23" s="204"/>
      <c r="EOF23" s="204"/>
      <c r="EOG23" s="204"/>
      <c r="EOH23" s="204"/>
      <c r="EOI23" s="204"/>
      <c r="EOJ23" s="204"/>
      <c r="EOK23" s="204"/>
      <c r="EOL23" s="204"/>
      <c r="EOM23" s="204"/>
      <c r="EON23" s="204"/>
      <c r="EOO23" s="204"/>
      <c r="EOP23" s="204"/>
      <c r="EOQ23" s="204"/>
      <c r="EOR23" s="204"/>
      <c r="EOS23" s="204"/>
      <c r="EOT23" s="204"/>
      <c r="EOU23" s="204"/>
      <c r="EOV23" s="204"/>
      <c r="EOW23" s="204"/>
      <c r="EOX23" s="204"/>
      <c r="EOY23" s="204"/>
      <c r="EOZ23" s="204"/>
      <c r="EPA23" s="204"/>
      <c r="EPB23" s="204"/>
      <c r="EPC23" s="204"/>
      <c r="EPD23" s="204"/>
      <c r="EPE23" s="204"/>
      <c r="EPF23" s="204"/>
      <c r="EPG23" s="204"/>
      <c r="EPH23" s="204"/>
      <c r="EPI23" s="204"/>
      <c r="EPJ23" s="204"/>
      <c r="EPK23" s="204"/>
      <c r="EPL23" s="204"/>
      <c r="EPM23" s="204"/>
      <c r="EPN23" s="204"/>
      <c r="EPO23" s="204"/>
      <c r="EPP23" s="204"/>
      <c r="EPQ23" s="204"/>
      <c r="EPR23" s="204"/>
      <c r="EPS23" s="204"/>
      <c r="EPT23" s="204"/>
      <c r="EPU23" s="204"/>
      <c r="EPV23" s="204"/>
      <c r="EPW23" s="204"/>
      <c r="EPX23" s="204"/>
      <c r="EPY23" s="204"/>
      <c r="EPZ23" s="204"/>
      <c r="EQA23" s="204"/>
      <c r="EQB23" s="204"/>
      <c r="EQC23" s="204"/>
      <c r="EQD23" s="204"/>
      <c r="EQE23" s="204"/>
      <c r="EQF23" s="204"/>
      <c r="EQG23" s="204"/>
      <c r="EQH23" s="204"/>
      <c r="EQI23" s="204"/>
      <c r="EQJ23" s="204"/>
      <c r="EQK23" s="204"/>
      <c r="EQL23" s="204"/>
      <c r="EQM23" s="204"/>
      <c r="EQN23" s="204"/>
      <c r="EQO23" s="204"/>
      <c r="EQP23" s="204"/>
      <c r="EQQ23" s="204"/>
      <c r="EQR23" s="204"/>
      <c r="EQS23" s="204"/>
      <c r="EQT23" s="204"/>
      <c r="EQU23" s="204"/>
      <c r="EQV23" s="204"/>
      <c r="EQW23" s="204"/>
      <c r="EQX23" s="204"/>
      <c r="EQY23" s="204"/>
      <c r="EQZ23" s="204"/>
      <c r="ERA23" s="204"/>
      <c r="ERB23" s="204"/>
      <c r="ERC23" s="204"/>
      <c r="ERD23" s="204"/>
      <c r="ERE23" s="204"/>
      <c r="ERF23" s="204"/>
      <c r="ERG23" s="204"/>
      <c r="ERH23" s="204"/>
      <c r="ERI23" s="204"/>
      <c r="ERJ23" s="204"/>
      <c r="ERK23" s="204"/>
      <c r="ERL23" s="204"/>
      <c r="ERM23" s="204"/>
      <c r="ERN23" s="204"/>
      <c r="ERO23" s="204"/>
      <c r="ERP23" s="204"/>
      <c r="ERQ23" s="204"/>
      <c r="ERR23" s="204"/>
      <c r="ERS23" s="204"/>
      <c r="ERT23" s="204"/>
      <c r="ERU23" s="204"/>
      <c r="ERV23" s="204"/>
      <c r="ERW23" s="204"/>
      <c r="ERX23" s="204"/>
      <c r="ERY23" s="204"/>
      <c r="ERZ23" s="204"/>
      <c r="ESA23" s="204"/>
      <c r="ESB23" s="204"/>
      <c r="ESC23" s="204"/>
      <c r="ESD23" s="204"/>
      <c r="ESE23" s="204"/>
      <c r="ESF23" s="204"/>
      <c r="ESG23" s="204"/>
      <c r="ESH23" s="204"/>
      <c r="ESI23" s="204"/>
      <c r="ESJ23" s="204"/>
      <c r="ESK23" s="204"/>
      <c r="ESL23" s="204"/>
      <c r="ESM23" s="204"/>
      <c r="ESN23" s="204"/>
      <c r="ESO23" s="204"/>
      <c r="ESP23" s="204"/>
      <c r="ESQ23" s="204"/>
      <c r="ESR23" s="204"/>
      <c r="ESS23" s="204"/>
      <c r="EST23" s="204"/>
      <c r="ESU23" s="204"/>
      <c r="ESV23" s="204"/>
      <c r="ESW23" s="204"/>
      <c r="ESX23" s="204"/>
      <c r="ESY23" s="204"/>
      <c r="ESZ23" s="204"/>
      <c r="ETA23" s="204"/>
      <c r="ETB23" s="204"/>
      <c r="ETC23" s="204"/>
      <c r="ETD23" s="204"/>
      <c r="ETE23" s="204"/>
      <c r="ETF23" s="204"/>
      <c r="ETG23" s="204"/>
      <c r="ETH23" s="204"/>
      <c r="ETI23" s="204"/>
      <c r="ETJ23" s="204"/>
      <c r="ETK23" s="204"/>
      <c r="ETL23" s="204"/>
      <c r="ETM23" s="204"/>
      <c r="ETN23" s="204"/>
      <c r="ETO23" s="204"/>
      <c r="ETP23" s="204"/>
      <c r="ETQ23" s="204"/>
      <c r="ETR23" s="204"/>
      <c r="ETS23" s="204"/>
      <c r="ETT23" s="204"/>
      <c r="ETU23" s="204"/>
      <c r="ETV23" s="204"/>
      <c r="ETW23" s="204"/>
      <c r="ETX23" s="204"/>
      <c r="ETY23" s="204"/>
      <c r="ETZ23" s="204"/>
      <c r="EUA23" s="204"/>
      <c r="EUB23" s="204"/>
      <c r="EUC23" s="204"/>
      <c r="EUD23" s="204"/>
      <c r="EUE23" s="204"/>
      <c r="EUF23" s="204"/>
      <c r="EUG23" s="204"/>
      <c r="EUH23" s="204"/>
      <c r="EUI23" s="204"/>
      <c r="EUJ23" s="204"/>
      <c r="EUK23" s="204"/>
      <c r="EUL23" s="204"/>
      <c r="EUM23" s="204"/>
      <c r="EUN23" s="204"/>
      <c r="EUO23" s="204"/>
      <c r="EUP23" s="204"/>
      <c r="EUQ23" s="204"/>
      <c r="EUR23" s="204"/>
      <c r="EUS23" s="204"/>
      <c r="EUT23" s="204"/>
      <c r="EUU23" s="204"/>
      <c r="EUV23" s="204"/>
      <c r="EUW23" s="204"/>
      <c r="EUX23" s="204"/>
      <c r="EUY23" s="204"/>
      <c r="EUZ23" s="204"/>
      <c r="EVA23" s="204"/>
      <c r="EVB23" s="204"/>
      <c r="EVC23" s="204"/>
      <c r="EVD23" s="204"/>
      <c r="EVE23" s="204"/>
      <c r="EVF23" s="204"/>
      <c r="EVG23" s="204"/>
      <c r="EVH23" s="204"/>
      <c r="EVI23" s="204"/>
      <c r="EVJ23" s="204"/>
      <c r="EVK23" s="204"/>
      <c r="EVL23" s="204"/>
      <c r="EVM23" s="204"/>
      <c r="EVN23" s="204"/>
      <c r="EVO23" s="204"/>
      <c r="EVP23" s="204"/>
      <c r="EVQ23" s="204"/>
      <c r="EVR23" s="204"/>
      <c r="EVS23" s="204"/>
      <c r="EVT23" s="204"/>
      <c r="EVU23" s="204"/>
      <c r="EVV23" s="204"/>
      <c r="EVW23" s="204"/>
      <c r="EVX23" s="204"/>
      <c r="EVY23" s="204"/>
      <c r="EVZ23" s="204"/>
      <c r="EWA23" s="204"/>
      <c r="EWB23" s="204"/>
      <c r="EWC23" s="204"/>
      <c r="EWD23" s="204"/>
      <c r="EWE23" s="204"/>
      <c r="EWF23" s="204"/>
      <c r="EWG23" s="204"/>
      <c r="EWH23" s="204"/>
      <c r="EWI23" s="204"/>
      <c r="EWJ23" s="204"/>
      <c r="EWK23" s="204"/>
      <c r="EWL23" s="204"/>
      <c r="EWM23" s="204"/>
      <c r="EWN23" s="204"/>
      <c r="EWO23" s="204"/>
      <c r="EWP23" s="204"/>
      <c r="EWQ23" s="204"/>
      <c r="EWR23" s="204"/>
      <c r="EWS23" s="204"/>
      <c r="EWT23" s="204"/>
      <c r="EWU23" s="204"/>
      <c r="EWV23" s="204"/>
      <c r="EWW23" s="204"/>
      <c r="EWX23" s="204"/>
      <c r="EWY23" s="204"/>
      <c r="EWZ23" s="204"/>
      <c r="EXA23" s="204"/>
      <c r="EXB23" s="204"/>
      <c r="EXC23" s="204"/>
      <c r="EXD23" s="204"/>
      <c r="EXE23" s="204"/>
      <c r="EXF23" s="204"/>
      <c r="EXG23" s="204"/>
      <c r="EXH23" s="204"/>
      <c r="EXI23" s="204"/>
      <c r="EXJ23" s="204"/>
      <c r="EXK23" s="204"/>
      <c r="EXL23" s="204"/>
      <c r="EXM23" s="204"/>
      <c r="EXN23" s="204"/>
      <c r="EXO23" s="204"/>
      <c r="EXP23" s="204"/>
      <c r="EXQ23" s="204"/>
      <c r="EXR23" s="204"/>
      <c r="EXS23" s="204"/>
      <c r="EXT23" s="204"/>
      <c r="EXU23" s="204"/>
      <c r="EXV23" s="204"/>
      <c r="EXW23" s="204"/>
      <c r="EXX23" s="204"/>
      <c r="EXY23" s="204"/>
      <c r="EXZ23" s="204"/>
      <c r="EYA23" s="204"/>
      <c r="EYB23" s="204"/>
      <c r="EYC23" s="204"/>
      <c r="EYD23" s="204"/>
      <c r="EYE23" s="204"/>
      <c r="EYF23" s="204"/>
      <c r="EYG23" s="204"/>
      <c r="EYH23" s="204"/>
      <c r="EYI23" s="204"/>
      <c r="EYJ23" s="204"/>
      <c r="EYK23" s="204"/>
      <c r="EYL23" s="204"/>
      <c r="EYM23" s="204"/>
      <c r="EYN23" s="204"/>
      <c r="EYO23" s="204"/>
      <c r="EYP23" s="204"/>
      <c r="EYQ23" s="204"/>
      <c r="EYR23" s="204"/>
      <c r="EYS23" s="204"/>
      <c r="EYT23" s="204"/>
      <c r="EYU23" s="204"/>
      <c r="EYV23" s="204"/>
      <c r="EYW23" s="204"/>
      <c r="EYX23" s="204"/>
      <c r="EYY23" s="204"/>
      <c r="EYZ23" s="204"/>
      <c r="EZA23" s="204"/>
      <c r="EZB23" s="204"/>
      <c r="EZC23" s="204"/>
      <c r="EZD23" s="204"/>
      <c r="EZE23" s="204"/>
      <c r="EZF23" s="204"/>
      <c r="EZG23" s="204"/>
      <c r="EZH23" s="204"/>
      <c r="EZI23" s="204"/>
      <c r="EZJ23" s="204"/>
      <c r="EZK23" s="204"/>
      <c r="EZL23" s="204"/>
      <c r="EZM23" s="204"/>
      <c r="EZN23" s="204"/>
      <c r="EZO23" s="204"/>
      <c r="EZP23" s="204"/>
      <c r="EZQ23" s="204"/>
      <c r="EZR23" s="204"/>
      <c r="EZS23" s="204"/>
      <c r="EZT23" s="204"/>
      <c r="EZU23" s="204"/>
      <c r="EZV23" s="204"/>
      <c r="EZW23" s="204"/>
      <c r="EZX23" s="204"/>
      <c r="EZY23" s="204"/>
      <c r="EZZ23" s="204"/>
      <c r="FAA23" s="204"/>
      <c r="FAB23" s="204"/>
      <c r="FAC23" s="204"/>
      <c r="FAD23" s="204"/>
      <c r="FAE23" s="204"/>
      <c r="FAF23" s="204"/>
      <c r="FAG23" s="204"/>
      <c r="FAH23" s="204"/>
      <c r="FAI23" s="204"/>
      <c r="FAJ23" s="204"/>
      <c r="FAK23" s="204"/>
      <c r="FAL23" s="204"/>
      <c r="FAM23" s="204"/>
      <c r="FAN23" s="204"/>
      <c r="FAO23" s="204"/>
      <c r="FAP23" s="204"/>
      <c r="FAQ23" s="204"/>
      <c r="FAR23" s="204"/>
      <c r="FAS23" s="204"/>
      <c r="FAT23" s="204"/>
      <c r="FAU23" s="204"/>
      <c r="FAV23" s="204"/>
      <c r="FAW23" s="204"/>
      <c r="FAX23" s="204"/>
      <c r="FAY23" s="204"/>
      <c r="FAZ23" s="204"/>
      <c r="FBA23" s="204"/>
      <c r="FBB23" s="204"/>
      <c r="FBC23" s="204"/>
      <c r="FBD23" s="204"/>
      <c r="FBE23" s="204"/>
      <c r="FBF23" s="204"/>
      <c r="FBG23" s="204"/>
      <c r="FBH23" s="204"/>
      <c r="FBI23" s="204"/>
      <c r="FBJ23" s="204"/>
      <c r="FBK23" s="204"/>
      <c r="FBL23" s="204"/>
      <c r="FBM23" s="204"/>
      <c r="FBN23" s="204"/>
      <c r="FBO23" s="204"/>
      <c r="FBP23" s="204"/>
      <c r="FBQ23" s="204"/>
      <c r="FBR23" s="204"/>
      <c r="FBS23" s="204"/>
      <c r="FBT23" s="204"/>
      <c r="FBU23" s="204"/>
      <c r="FBV23" s="204"/>
      <c r="FBW23" s="204"/>
      <c r="FBX23" s="204"/>
      <c r="FBY23" s="204"/>
      <c r="FBZ23" s="204"/>
      <c r="FCA23" s="204"/>
      <c r="FCB23" s="204"/>
      <c r="FCC23" s="204"/>
      <c r="FCD23" s="204"/>
      <c r="FCE23" s="204"/>
      <c r="FCF23" s="204"/>
      <c r="FCG23" s="204"/>
      <c r="FCH23" s="204"/>
      <c r="FCI23" s="204"/>
      <c r="FCJ23" s="204"/>
      <c r="FCK23" s="204"/>
      <c r="FCL23" s="204"/>
      <c r="FCM23" s="204"/>
      <c r="FCN23" s="204"/>
      <c r="FCO23" s="204"/>
      <c r="FCP23" s="204"/>
      <c r="FCQ23" s="204"/>
      <c r="FCR23" s="204"/>
      <c r="FCS23" s="204"/>
      <c r="FCT23" s="204"/>
      <c r="FCU23" s="204"/>
      <c r="FCV23" s="204"/>
      <c r="FCW23" s="204"/>
      <c r="FCX23" s="204"/>
      <c r="FCY23" s="204"/>
      <c r="FCZ23" s="204"/>
      <c r="FDA23" s="204"/>
      <c r="FDB23" s="204"/>
      <c r="FDC23" s="204"/>
      <c r="FDD23" s="204"/>
      <c r="FDE23" s="204"/>
      <c r="FDF23" s="204"/>
      <c r="FDG23" s="204"/>
      <c r="FDH23" s="204"/>
      <c r="FDI23" s="204"/>
      <c r="FDJ23" s="204"/>
      <c r="FDK23" s="204"/>
      <c r="FDL23" s="204"/>
      <c r="FDM23" s="204"/>
      <c r="FDN23" s="204"/>
      <c r="FDO23" s="204"/>
      <c r="FDP23" s="204"/>
      <c r="FDQ23" s="204"/>
      <c r="FDR23" s="204"/>
      <c r="FDS23" s="204"/>
      <c r="FDT23" s="204"/>
      <c r="FDU23" s="204"/>
      <c r="FDV23" s="204"/>
      <c r="FDW23" s="204"/>
      <c r="FDX23" s="204"/>
      <c r="FDY23" s="204"/>
      <c r="FDZ23" s="204"/>
      <c r="FEA23" s="204"/>
      <c r="FEB23" s="204"/>
      <c r="FEC23" s="204"/>
      <c r="FED23" s="204"/>
      <c r="FEE23" s="204"/>
      <c r="FEF23" s="204"/>
      <c r="FEG23" s="204"/>
      <c r="FEH23" s="204"/>
      <c r="FEI23" s="204"/>
      <c r="FEJ23" s="204"/>
      <c r="FEK23" s="204"/>
      <c r="FEL23" s="204"/>
      <c r="FEM23" s="204"/>
      <c r="FEN23" s="204"/>
      <c r="FEO23" s="204"/>
      <c r="FEP23" s="204"/>
      <c r="FEQ23" s="204"/>
      <c r="FER23" s="204"/>
      <c r="FES23" s="204"/>
      <c r="FET23" s="204"/>
      <c r="FEU23" s="204"/>
      <c r="FEV23" s="204"/>
      <c r="FEW23" s="204"/>
      <c r="FEX23" s="204"/>
      <c r="FEY23" s="204"/>
      <c r="FEZ23" s="204"/>
      <c r="FFA23" s="204"/>
      <c r="FFB23" s="204"/>
      <c r="FFC23" s="204"/>
      <c r="FFD23" s="204"/>
      <c r="FFE23" s="204"/>
      <c r="FFF23" s="204"/>
      <c r="FFG23" s="204"/>
      <c r="FFH23" s="204"/>
      <c r="FFI23" s="204"/>
      <c r="FFJ23" s="204"/>
      <c r="FFK23" s="204"/>
      <c r="FFL23" s="204"/>
      <c r="FFM23" s="204"/>
      <c r="FFN23" s="204"/>
      <c r="FFO23" s="204"/>
      <c r="FFP23" s="204"/>
      <c r="FFQ23" s="204"/>
      <c r="FFR23" s="204"/>
      <c r="FFS23" s="204"/>
      <c r="FFT23" s="204"/>
      <c r="FFU23" s="204"/>
      <c r="FFV23" s="204"/>
      <c r="FFW23" s="204"/>
      <c r="FFX23" s="204"/>
      <c r="FFY23" s="204"/>
      <c r="FFZ23" s="204"/>
      <c r="FGA23" s="204"/>
      <c r="FGB23" s="204"/>
      <c r="FGC23" s="204"/>
      <c r="FGD23" s="204"/>
      <c r="FGE23" s="204"/>
      <c r="FGF23" s="204"/>
      <c r="FGG23" s="204"/>
      <c r="FGH23" s="204"/>
      <c r="FGI23" s="204"/>
      <c r="FGJ23" s="204"/>
      <c r="FGK23" s="204"/>
      <c r="FGL23" s="204"/>
      <c r="FGM23" s="204"/>
      <c r="FGN23" s="204"/>
      <c r="FGO23" s="204"/>
      <c r="FGP23" s="204"/>
      <c r="FGQ23" s="204"/>
      <c r="FGR23" s="204"/>
      <c r="FGS23" s="204"/>
      <c r="FGT23" s="204"/>
      <c r="FGU23" s="204"/>
      <c r="FGV23" s="204"/>
      <c r="FGW23" s="204"/>
      <c r="FGX23" s="204"/>
      <c r="FGY23" s="204"/>
      <c r="FGZ23" s="204"/>
      <c r="FHA23" s="204"/>
      <c r="FHB23" s="204"/>
      <c r="FHC23" s="204"/>
      <c r="FHD23" s="204"/>
      <c r="FHE23" s="204"/>
      <c r="FHF23" s="204"/>
      <c r="FHG23" s="204"/>
      <c r="FHH23" s="204"/>
      <c r="FHI23" s="204"/>
      <c r="FHJ23" s="204"/>
      <c r="FHK23" s="204"/>
      <c r="FHL23" s="204"/>
      <c r="FHM23" s="204"/>
      <c r="FHN23" s="204"/>
      <c r="FHO23" s="204"/>
      <c r="FHP23" s="204"/>
      <c r="FHQ23" s="204"/>
      <c r="FHR23" s="204"/>
      <c r="FHS23" s="204"/>
      <c r="FHT23" s="204"/>
      <c r="FHU23" s="204"/>
      <c r="FHV23" s="204"/>
      <c r="FHW23" s="204"/>
      <c r="FHX23" s="204"/>
      <c r="FHY23" s="204"/>
      <c r="FHZ23" s="204"/>
      <c r="FIA23" s="204"/>
      <c r="FIB23" s="204"/>
      <c r="FIC23" s="204"/>
      <c r="FID23" s="204"/>
      <c r="FIE23" s="204"/>
      <c r="FIF23" s="204"/>
      <c r="FIG23" s="204"/>
      <c r="FIH23" s="204"/>
      <c r="FII23" s="204"/>
      <c r="FIJ23" s="204"/>
      <c r="FIK23" s="204"/>
      <c r="FIL23" s="204"/>
      <c r="FIM23" s="204"/>
      <c r="FIN23" s="204"/>
      <c r="FIO23" s="204"/>
      <c r="FIP23" s="204"/>
      <c r="FIQ23" s="204"/>
      <c r="FIR23" s="204"/>
      <c r="FIS23" s="204"/>
      <c r="FIT23" s="204"/>
      <c r="FIU23" s="204"/>
      <c r="FIV23" s="204"/>
      <c r="FIW23" s="204"/>
      <c r="FIX23" s="204"/>
      <c r="FIY23" s="204"/>
      <c r="FIZ23" s="204"/>
      <c r="FJA23" s="204"/>
      <c r="FJB23" s="204"/>
      <c r="FJC23" s="204"/>
      <c r="FJD23" s="204"/>
      <c r="FJE23" s="204"/>
      <c r="FJF23" s="204"/>
      <c r="FJG23" s="204"/>
      <c r="FJH23" s="204"/>
      <c r="FJI23" s="204"/>
      <c r="FJJ23" s="204"/>
      <c r="FJK23" s="204"/>
      <c r="FJL23" s="204"/>
      <c r="FJM23" s="204"/>
      <c r="FJN23" s="204"/>
      <c r="FJO23" s="204"/>
      <c r="FJP23" s="204"/>
      <c r="FJQ23" s="204"/>
      <c r="FJR23" s="204"/>
      <c r="FJS23" s="204"/>
      <c r="FJT23" s="204"/>
      <c r="FJU23" s="204"/>
      <c r="FJV23" s="204"/>
      <c r="FJW23" s="204"/>
      <c r="FJX23" s="204"/>
      <c r="FJY23" s="204"/>
      <c r="FJZ23" s="204"/>
      <c r="FKA23" s="204"/>
      <c r="FKB23" s="204"/>
      <c r="FKC23" s="204"/>
      <c r="FKD23" s="204"/>
      <c r="FKE23" s="204"/>
      <c r="FKF23" s="204"/>
      <c r="FKG23" s="204"/>
      <c r="FKH23" s="204"/>
      <c r="FKI23" s="204"/>
      <c r="FKJ23" s="204"/>
      <c r="FKK23" s="204"/>
      <c r="FKL23" s="204"/>
      <c r="FKM23" s="204"/>
      <c r="FKN23" s="204"/>
      <c r="FKO23" s="204"/>
      <c r="FKP23" s="204"/>
      <c r="FKQ23" s="204"/>
      <c r="FKR23" s="204"/>
      <c r="FKS23" s="204"/>
      <c r="FKT23" s="204"/>
      <c r="FKU23" s="204"/>
      <c r="FKV23" s="204"/>
      <c r="FKW23" s="204"/>
      <c r="FKX23" s="204"/>
      <c r="FKY23" s="204"/>
      <c r="FKZ23" s="204"/>
      <c r="FLA23" s="204"/>
      <c r="FLB23" s="204"/>
      <c r="FLC23" s="204"/>
      <c r="FLD23" s="204"/>
      <c r="FLE23" s="204"/>
      <c r="FLF23" s="204"/>
      <c r="FLG23" s="204"/>
      <c r="FLH23" s="204"/>
      <c r="FLI23" s="204"/>
      <c r="FLJ23" s="204"/>
      <c r="FLK23" s="204"/>
      <c r="FLL23" s="204"/>
      <c r="FLM23" s="204"/>
      <c r="FLN23" s="204"/>
      <c r="FLO23" s="204"/>
      <c r="FLP23" s="204"/>
      <c r="FLQ23" s="204"/>
      <c r="FLR23" s="204"/>
      <c r="FLS23" s="204"/>
      <c r="FLT23" s="204"/>
      <c r="FLU23" s="204"/>
      <c r="FLV23" s="204"/>
      <c r="FLW23" s="204"/>
      <c r="FLX23" s="204"/>
      <c r="FLY23" s="204"/>
      <c r="FLZ23" s="204"/>
      <c r="FMA23" s="204"/>
      <c r="FMB23" s="204"/>
      <c r="FMC23" s="204"/>
      <c r="FMD23" s="204"/>
      <c r="FME23" s="204"/>
      <c r="FMF23" s="204"/>
      <c r="FMG23" s="204"/>
      <c r="FMH23" s="204"/>
      <c r="FMI23" s="204"/>
      <c r="FMJ23" s="204"/>
      <c r="FMK23" s="204"/>
      <c r="FML23" s="204"/>
      <c r="FMM23" s="204"/>
      <c r="FMN23" s="204"/>
      <c r="FMO23" s="204"/>
      <c r="FMP23" s="204"/>
      <c r="FMQ23" s="204"/>
      <c r="FMR23" s="204"/>
      <c r="FMS23" s="204"/>
      <c r="FMT23" s="204"/>
      <c r="FMU23" s="204"/>
      <c r="FMV23" s="204"/>
      <c r="FMW23" s="204"/>
      <c r="FMX23" s="204"/>
      <c r="FMY23" s="204"/>
      <c r="FMZ23" s="204"/>
      <c r="FNA23" s="204"/>
      <c r="FNB23" s="204"/>
      <c r="FNC23" s="204"/>
      <c r="FND23" s="204"/>
      <c r="FNE23" s="204"/>
      <c r="FNF23" s="204"/>
      <c r="FNG23" s="204"/>
      <c r="FNH23" s="204"/>
      <c r="FNI23" s="204"/>
      <c r="FNJ23" s="204"/>
      <c r="FNK23" s="204"/>
      <c r="FNL23" s="204"/>
      <c r="FNM23" s="204"/>
      <c r="FNN23" s="204"/>
      <c r="FNO23" s="204"/>
      <c r="FNP23" s="204"/>
      <c r="FNQ23" s="204"/>
      <c r="FNR23" s="204"/>
      <c r="FNS23" s="204"/>
      <c r="FNT23" s="204"/>
      <c r="FNU23" s="204"/>
      <c r="FNV23" s="204"/>
      <c r="FNW23" s="204"/>
      <c r="FNX23" s="204"/>
      <c r="FNY23" s="204"/>
      <c r="FNZ23" s="204"/>
      <c r="FOA23" s="204"/>
      <c r="FOB23" s="204"/>
      <c r="FOC23" s="204"/>
      <c r="FOD23" s="204"/>
      <c r="FOE23" s="204"/>
      <c r="FOF23" s="204"/>
      <c r="FOG23" s="204"/>
      <c r="FOH23" s="204"/>
      <c r="FOI23" s="204"/>
      <c r="FOJ23" s="204"/>
      <c r="FOK23" s="204"/>
      <c r="FOL23" s="204"/>
      <c r="FOM23" s="204"/>
      <c r="FON23" s="204"/>
      <c r="FOO23" s="204"/>
      <c r="FOP23" s="204"/>
      <c r="FOQ23" s="204"/>
      <c r="FOR23" s="204"/>
      <c r="FOS23" s="204"/>
      <c r="FOT23" s="204"/>
      <c r="FOU23" s="204"/>
      <c r="FOV23" s="204"/>
      <c r="FOW23" s="204"/>
      <c r="FOX23" s="204"/>
      <c r="FOY23" s="204"/>
      <c r="FOZ23" s="204"/>
      <c r="FPA23" s="204"/>
      <c r="FPB23" s="204"/>
      <c r="FPC23" s="204"/>
      <c r="FPD23" s="204"/>
      <c r="FPE23" s="204"/>
      <c r="FPF23" s="204"/>
      <c r="FPG23" s="204"/>
      <c r="FPH23" s="204"/>
      <c r="FPI23" s="204"/>
      <c r="FPJ23" s="204"/>
      <c r="FPK23" s="204"/>
      <c r="FPL23" s="204"/>
      <c r="FPM23" s="204"/>
      <c r="FPN23" s="204"/>
      <c r="FPO23" s="204"/>
      <c r="FPP23" s="204"/>
      <c r="FPQ23" s="204"/>
      <c r="FPR23" s="204"/>
      <c r="FPS23" s="204"/>
      <c r="FPT23" s="204"/>
      <c r="FPU23" s="204"/>
      <c r="FPV23" s="204"/>
      <c r="FPW23" s="204"/>
      <c r="FPX23" s="204"/>
      <c r="FPY23" s="204"/>
      <c r="FPZ23" s="204"/>
      <c r="FQA23" s="204"/>
      <c r="FQB23" s="204"/>
      <c r="FQC23" s="204"/>
      <c r="FQD23" s="204"/>
      <c r="FQE23" s="204"/>
      <c r="FQF23" s="204"/>
      <c r="FQG23" s="204"/>
      <c r="FQH23" s="204"/>
      <c r="FQI23" s="204"/>
      <c r="FQJ23" s="204"/>
      <c r="FQK23" s="204"/>
      <c r="FQL23" s="204"/>
      <c r="FQM23" s="204"/>
      <c r="FQN23" s="204"/>
      <c r="FQO23" s="204"/>
      <c r="FQP23" s="204"/>
      <c r="FQQ23" s="204"/>
      <c r="FQR23" s="204"/>
      <c r="FQS23" s="204"/>
      <c r="FQT23" s="204"/>
      <c r="FQU23" s="204"/>
      <c r="FQV23" s="204"/>
      <c r="FQW23" s="204"/>
      <c r="FQX23" s="204"/>
      <c r="FQY23" s="204"/>
      <c r="FQZ23" s="204"/>
      <c r="FRA23" s="204"/>
      <c r="FRB23" s="204"/>
      <c r="FRC23" s="204"/>
      <c r="FRD23" s="204"/>
      <c r="FRE23" s="204"/>
      <c r="FRF23" s="204"/>
      <c r="FRG23" s="204"/>
      <c r="FRH23" s="204"/>
      <c r="FRI23" s="204"/>
      <c r="FRJ23" s="204"/>
      <c r="FRK23" s="204"/>
      <c r="FRL23" s="204"/>
      <c r="FRM23" s="204"/>
      <c r="FRN23" s="204"/>
      <c r="FRO23" s="204"/>
      <c r="FRP23" s="204"/>
      <c r="FRQ23" s="204"/>
      <c r="FRR23" s="204"/>
      <c r="FRS23" s="204"/>
      <c r="FRT23" s="204"/>
      <c r="FRU23" s="204"/>
      <c r="FRV23" s="204"/>
      <c r="FRW23" s="204"/>
      <c r="FRX23" s="204"/>
      <c r="FRY23" s="204"/>
      <c r="FRZ23" s="204"/>
      <c r="FSA23" s="204"/>
      <c r="FSB23" s="204"/>
      <c r="FSC23" s="204"/>
      <c r="FSD23" s="204"/>
      <c r="FSE23" s="204"/>
      <c r="FSF23" s="204"/>
      <c r="FSG23" s="204"/>
      <c r="FSH23" s="204"/>
      <c r="FSI23" s="204"/>
      <c r="FSJ23" s="204"/>
      <c r="FSK23" s="204"/>
      <c r="FSL23" s="204"/>
      <c r="FSM23" s="204"/>
      <c r="FSN23" s="204"/>
      <c r="FSO23" s="204"/>
      <c r="FSP23" s="204"/>
      <c r="FSQ23" s="204"/>
      <c r="FSR23" s="204"/>
      <c r="FSS23" s="204"/>
      <c r="FST23" s="204"/>
      <c r="FSU23" s="204"/>
      <c r="FSV23" s="204"/>
      <c r="FSW23" s="204"/>
      <c r="FSX23" s="204"/>
      <c r="FSY23" s="204"/>
      <c r="FSZ23" s="204"/>
      <c r="FTA23" s="204"/>
      <c r="FTB23" s="204"/>
      <c r="FTC23" s="204"/>
      <c r="FTD23" s="204"/>
      <c r="FTE23" s="204"/>
      <c r="FTF23" s="204"/>
      <c r="FTG23" s="204"/>
      <c r="FTH23" s="204"/>
      <c r="FTI23" s="204"/>
      <c r="FTJ23" s="204"/>
      <c r="FTK23" s="204"/>
      <c r="FTL23" s="204"/>
      <c r="FTM23" s="204"/>
      <c r="FTN23" s="204"/>
      <c r="FTO23" s="204"/>
      <c r="FTP23" s="204"/>
      <c r="FTQ23" s="204"/>
      <c r="FTR23" s="204"/>
      <c r="FTS23" s="204"/>
      <c r="FTT23" s="204"/>
      <c r="FTU23" s="204"/>
      <c r="FTV23" s="204"/>
      <c r="FTW23" s="204"/>
      <c r="FTX23" s="204"/>
      <c r="FTY23" s="204"/>
      <c r="FTZ23" s="204"/>
      <c r="FUA23" s="204"/>
      <c r="FUB23" s="204"/>
      <c r="FUC23" s="204"/>
      <c r="FUD23" s="204"/>
      <c r="FUE23" s="204"/>
      <c r="FUF23" s="204"/>
      <c r="FUG23" s="204"/>
      <c r="FUH23" s="204"/>
      <c r="FUI23" s="204"/>
      <c r="FUJ23" s="204"/>
      <c r="FUK23" s="204"/>
      <c r="FUL23" s="204"/>
      <c r="FUM23" s="204"/>
      <c r="FUN23" s="204"/>
      <c r="FUO23" s="204"/>
      <c r="FUP23" s="204"/>
      <c r="FUQ23" s="204"/>
      <c r="FUR23" s="204"/>
      <c r="FUS23" s="204"/>
      <c r="FUT23" s="204"/>
      <c r="FUU23" s="204"/>
      <c r="FUV23" s="204"/>
      <c r="FUW23" s="204"/>
      <c r="FUX23" s="204"/>
      <c r="FUY23" s="204"/>
      <c r="FUZ23" s="204"/>
      <c r="FVA23" s="204"/>
      <c r="FVB23" s="204"/>
      <c r="FVC23" s="204"/>
      <c r="FVD23" s="204"/>
      <c r="FVE23" s="204"/>
      <c r="FVF23" s="204"/>
      <c r="FVG23" s="204"/>
      <c r="FVH23" s="204"/>
      <c r="FVI23" s="204"/>
      <c r="FVJ23" s="204"/>
      <c r="FVK23" s="204"/>
      <c r="FVL23" s="204"/>
      <c r="FVM23" s="204"/>
      <c r="FVN23" s="204"/>
      <c r="FVO23" s="204"/>
      <c r="FVP23" s="204"/>
      <c r="FVQ23" s="204"/>
      <c r="FVR23" s="204"/>
      <c r="FVS23" s="204"/>
      <c r="FVT23" s="204"/>
      <c r="FVU23" s="204"/>
      <c r="FVV23" s="204"/>
      <c r="FVW23" s="204"/>
      <c r="FVX23" s="204"/>
      <c r="FVY23" s="204"/>
      <c r="FVZ23" s="204"/>
      <c r="FWA23" s="204"/>
      <c r="FWB23" s="204"/>
      <c r="FWC23" s="204"/>
      <c r="FWD23" s="204"/>
      <c r="FWE23" s="204"/>
      <c r="FWF23" s="204"/>
      <c r="FWG23" s="204"/>
      <c r="FWH23" s="204"/>
      <c r="FWI23" s="204"/>
      <c r="FWJ23" s="204"/>
      <c r="FWK23" s="204"/>
      <c r="FWL23" s="204"/>
      <c r="FWM23" s="204"/>
      <c r="FWN23" s="204"/>
      <c r="FWO23" s="204"/>
      <c r="FWP23" s="204"/>
      <c r="FWQ23" s="204"/>
      <c r="FWR23" s="204"/>
      <c r="FWS23" s="204"/>
      <c r="FWT23" s="204"/>
      <c r="FWU23" s="204"/>
      <c r="FWV23" s="204"/>
      <c r="FWW23" s="204"/>
      <c r="FWX23" s="204"/>
      <c r="FWY23" s="204"/>
      <c r="FWZ23" s="204"/>
      <c r="FXA23" s="204"/>
      <c r="FXB23" s="204"/>
      <c r="FXC23" s="204"/>
      <c r="FXD23" s="204"/>
      <c r="FXE23" s="204"/>
      <c r="FXF23" s="204"/>
      <c r="FXG23" s="204"/>
      <c r="FXH23" s="204"/>
      <c r="FXI23" s="204"/>
      <c r="FXJ23" s="204"/>
      <c r="FXK23" s="204"/>
      <c r="FXL23" s="204"/>
      <c r="FXM23" s="204"/>
      <c r="FXN23" s="204"/>
      <c r="FXO23" s="204"/>
      <c r="FXP23" s="204"/>
      <c r="FXQ23" s="204"/>
      <c r="FXR23" s="204"/>
      <c r="FXS23" s="204"/>
      <c r="FXT23" s="204"/>
      <c r="FXU23" s="204"/>
      <c r="FXV23" s="204"/>
      <c r="FXW23" s="204"/>
      <c r="FXX23" s="204"/>
      <c r="FXY23" s="204"/>
      <c r="FXZ23" s="204"/>
      <c r="FYA23" s="204"/>
      <c r="FYB23" s="204"/>
      <c r="FYC23" s="204"/>
      <c r="FYD23" s="204"/>
      <c r="FYE23" s="204"/>
      <c r="FYF23" s="204"/>
      <c r="FYG23" s="204"/>
      <c r="FYH23" s="204"/>
      <c r="FYI23" s="204"/>
      <c r="FYJ23" s="204"/>
      <c r="FYK23" s="204"/>
      <c r="FYL23" s="204"/>
      <c r="FYM23" s="204"/>
      <c r="FYN23" s="204"/>
      <c r="FYO23" s="204"/>
      <c r="FYP23" s="204"/>
      <c r="FYQ23" s="204"/>
      <c r="FYR23" s="204"/>
      <c r="FYS23" s="204"/>
      <c r="FYT23" s="204"/>
      <c r="FYU23" s="204"/>
      <c r="FYV23" s="204"/>
      <c r="FYW23" s="204"/>
      <c r="FYX23" s="204"/>
      <c r="FYY23" s="204"/>
      <c r="FYZ23" s="204"/>
      <c r="FZA23" s="204"/>
      <c r="FZB23" s="204"/>
      <c r="FZC23" s="204"/>
      <c r="FZD23" s="204"/>
      <c r="FZE23" s="204"/>
      <c r="FZF23" s="204"/>
      <c r="FZG23" s="204"/>
      <c r="FZH23" s="204"/>
      <c r="FZI23" s="204"/>
      <c r="FZJ23" s="204"/>
      <c r="FZK23" s="204"/>
      <c r="FZL23" s="204"/>
      <c r="FZM23" s="204"/>
      <c r="FZN23" s="204"/>
      <c r="FZO23" s="204"/>
      <c r="FZP23" s="204"/>
      <c r="FZQ23" s="204"/>
      <c r="FZR23" s="204"/>
      <c r="FZS23" s="204"/>
      <c r="FZT23" s="204"/>
      <c r="FZU23" s="204"/>
      <c r="FZV23" s="204"/>
      <c r="FZW23" s="204"/>
      <c r="FZX23" s="204"/>
      <c r="FZY23" s="204"/>
      <c r="FZZ23" s="204"/>
      <c r="GAA23" s="204"/>
      <c r="GAB23" s="204"/>
      <c r="GAC23" s="204"/>
      <c r="GAD23" s="204"/>
      <c r="GAE23" s="204"/>
      <c r="GAF23" s="204"/>
      <c r="GAG23" s="204"/>
      <c r="GAH23" s="204"/>
      <c r="GAI23" s="204"/>
      <c r="GAJ23" s="204"/>
      <c r="GAK23" s="204"/>
      <c r="GAL23" s="204"/>
      <c r="GAM23" s="204"/>
      <c r="GAN23" s="204"/>
      <c r="GAO23" s="204"/>
      <c r="GAP23" s="204"/>
      <c r="GAQ23" s="204"/>
      <c r="GAR23" s="204"/>
      <c r="GAS23" s="204"/>
      <c r="GAT23" s="204"/>
      <c r="GAU23" s="204"/>
      <c r="GAV23" s="204"/>
      <c r="GAW23" s="204"/>
      <c r="GAX23" s="204"/>
      <c r="GAY23" s="204"/>
      <c r="GAZ23" s="204"/>
      <c r="GBA23" s="204"/>
      <c r="GBB23" s="204"/>
      <c r="GBC23" s="204"/>
      <c r="GBD23" s="204"/>
      <c r="GBE23" s="204"/>
      <c r="GBF23" s="204"/>
      <c r="GBG23" s="204"/>
      <c r="GBH23" s="204"/>
      <c r="GBI23" s="204"/>
      <c r="GBJ23" s="204"/>
      <c r="GBK23" s="204"/>
      <c r="GBL23" s="204"/>
      <c r="GBM23" s="204"/>
      <c r="GBN23" s="204"/>
      <c r="GBO23" s="204"/>
      <c r="GBP23" s="204"/>
      <c r="GBQ23" s="204"/>
      <c r="GBR23" s="204"/>
      <c r="GBS23" s="204"/>
      <c r="GBT23" s="204"/>
      <c r="GBU23" s="204"/>
      <c r="GBV23" s="204"/>
      <c r="GBW23" s="204"/>
      <c r="GBX23" s="204"/>
      <c r="GBY23" s="204"/>
      <c r="GBZ23" s="204"/>
      <c r="GCA23" s="204"/>
      <c r="GCB23" s="204"/>
      <c r="GCC23" s="204"/>
      <c r="GCD23" s="204"/>
      <c r="GCE23" s="204"/>
      <c r="GCF23" s="204"/>
      <c r="GCG23" s="204"/>
      <c r="GCH23" s="204"/>
      <c r="GCI23" s="204"/>
      <c r="GCJ23" s="204"/>
      <c r="GCK23" s="204"/>
      <c r="GCL23" s="204"/>
      <c r="GCM23" s="204"/>
      <c r="GCN23" s="204"/>
      <c r="GCO23" s="204"/>
      <c r="GCP23" s="204"/>
      <c r="GCQ23" s="204"/>
      <c r="GCR23" s="204"/>
      <c r="GCS23" s="204"/>
      <c r="GCT23" s="204"/>
      <c r="GCU23" s="204"/>
      <c r="GCV23" s="204"/>
      <c r="GCW23" s="204"/>
      <c r="GCX23" s="204"/>
      <c r="GCY23" s="204"/>
      <c r="GCZ23" s="204"/>
      <c r="GDA23" s="204"/>
      <c r="GDB23" s="204"/>
      <c r="GDC23" s="204"/>
      <c r="GDD23" s="204"/>
      <c r="GDE23" s="204"/>
      <c r="GDF23" s="204"/>
      <c r="GDG23" s="204"/>
      <c r="GDH23" s="204"/>
      <c r="GDI23" s="204"/>
      <c r="GDJ23" s="204"/>
      <c r="GDK23" s="204"/>
      <c r="GDL23" s="204"/>
      <c r="GDM23" s="204"/>
      <c r="GDN23" s="204"/>
      <c r="GDO23" s="204"/>
      <c r="GDP23" s="204"/>
      <c r="GDQ23" s="204"/>
      <c r="GDR23" s="204"/>
      <c r="GDS23" s="204"/>
      <c r="GDT23" s="204"/>
      <c r="GDU23" s="204"/>
      <c r="GDV23" s="204"/>
      <c r="GDW23" s="204"/>
      <c r="GDX23" s="204"/>
      <c r="GDY23" s="204"/>
      <c r="GDZ23" s="204"/>
      <c r="GEA23" s="204"/>
      <c r="GEB23" s="204"/>
      <c r="GEC23" s="204"/>
      <c r="GED23" s="204"/>
      <c r="GEE23" s="204"/>
      <c r="GEF23" s="204"/>
      <c r="GEG23" s="204"/>
      <c r="GEH23" s="204"/>
      <c r="GEI23" s="204"/>
      <c r="GEJ23" s="204"/>
      <c r="GEK23" s="204"/>
      <c r="GEL23" s="204"/>
      <c r="GEM23" s="204"/>
      <c r="GEN23" s="204"/>
      <c r="GEO23" s="204"/>
      <c r="GEP23" s="204"/>
      <c r="GEQ23" s="204"/>
      <c r="GER23" s="204"/>
      <c r="GES23" s="204"/>
      <c r="GET23" s="204"/>
      <c r="GEU23" s="204"/>
      <c r="GEV23" s="204"/>
      <c r="GEW23" s="204"/>
      <c r="GEX23" s="204"/>
      <c r="GEY23" s="204"/>
      <c r="GEZ23" s="204"/>
      <c r="GFA23" s="204"/>
      <c r="GFB23" s="204"/>
      <c r="GFC23" s="204"/>
      <c r="GFD23" s="204"/>
      <c r="GFE23" s="204"/>
      <c r="GFF23" s="204"/>
      <c r="GFG23" s="204"/>
      <c r="GFH23" s="204"/>
      <c r="GFI23" s="204"/>
      <c r="GFJ23" s="204"/>
      <c r="GFK23" s="204"/>
      <c r="GFL23" s="204"/>
      <c r="GFM23" s="204"/>
      <c r="GFN23" s="204"/>
      <c r="GFO23" s="204"/>
      <c r="GFP23" s="204"/>
      <c r="GFQ23" s="204"/>
      <c r="GFR23" s="204"/>
      <c r="GFS23" s="204"/>
      <c r="GFT23" s="204"/>
      <c r="GFU23" s="204"/>
      <c r="GFV23" s="204"/>
      <c r="GFW23" s="204"/>
      <c r="GFX23" s="204"/>
      <c r="GFY23" s="204"/>
      <c r="GFZ23" s="204"/>
      <c r="GGA23" s="204"/>
      <c r="GGB23" s="204"/>
      <c r="GGC23" s="204"/>
      <c r="GGD23" s="204"/>
      <c r="GGE23" s="204"/>
      <c r="GGF23" s="204"/>
      <c r="GGG23" s="204"/>
      <c r="GGH23" s="204"/>
      <c r="GGI23" s="204"/>
      <c r="GGJ23" s="204"/>
      <c r="GGK23" s="204"/>
      <c r="GGL23" s="204"/>
      <c r="GGM23" s="204"/>
      <c r="GGN23" s="204"/>
      <c r="GGO23" s="204"/>
      <c r="GGP23" s="204"/>
      <c r="GGQ23" s="204"/>
      <c r="GGR23" s="204"/>
      <c r="GGS23" s="204"/>
      <c r="GGT23" s="204"/>
      <c r="GGU23" s="204"/>
      <c r="GGV23" s="204"/>
      <c r="GGW23" s="204"/>
      <c r="GGX23" s="204"/>
      <c r="GGY23" s="204"/>
      <c r="GGZ23" s="204"/>
      <c r="GHA23" s="204"/>
      <c r="GHB23" s="204"/>
      <c r="GHC23" s="204"/>
      <c r="GHD23" s="204"/>
      <c r="GHE23" s="204"/>
      <c r="GHF23" s="204"/>
      <c r="GHG23" s="204"/>
      <c r="GHH23" s="204"/>
      <c r="GHI23" s="204"/>
      <c r="GHJ23" s="204"/>
      <c r="GHK23" s="204"/>
      <c r="GHL23" s="204"/>
      <c r="GHM23" s="204"/>
      <c r="GHN23" s="204"/>
      <c r="GHO23" s="204"/>
      <c r="GHP23" s="204"/>
      <c r="GHQ23" s="204"/>
      <c r="GHR23" s="204"/>
      <c r="GHS23" s="204"/>
      <c r="GHT23" s="204"/>
      <c r="GHU23" s="204"/>
      <c r="GHV23" s="204"/>
      <c r="GHW23" s="204"/>
      <c r="GHX23" s="204"/>
      <c r="GHY23" s="204"/>
      <c r="GHZ23" s="204"/>
      <c r="GIA23" s="204"/>
      <c r="GIB23" s="204"/>
      <c r="GIC23" s="204"/>
      <c r="GID23" s="204"/>
      <c r="GIE23" s="204"/>
      <c r="GIF23" s="204"/>
      <c r="GIG23" s="204"/>
      <c r="GIH23" s="204"/>
      <c r="GII23" s="204"/>
      <c r="GIJ23" s="204"/>
      <c r="GIK23" s="204"/>
      <c r="GIL23" s="204"/>
      <c r="GIM23" s="204"/>
      <c r="GIN23" s="204"/>
      <c r="GIO23" s="204"/>
      <c r="GIP23" s="204"/>
      <c r="GIQ23" s="204"/>
      <c r="GIR23" s="204"/>
      <c r="GIS23" s="204"/>
      <c r="GIT23" s="204"/>
      <c r="GIU23" s="204"/>
      <c r="GIV23" s="204"/>
      <c r="GIW23" s="204"/>
      <c r="GIX23" s="204"/>
      <c r="GIY23" s="204"/>
      <c r="GIZ23" s="204"/>
      <c r="GJA23" s="204"/>
      <c r="GJB23" s="204"/>
      <c r="GJC23" s="204"/>
      <c r="GJD23" s="204"/>
      <c r="GJE23" s="204"/>
      <c r="GJF23" s="204"/>
      <c r="GJG23" s="204"/>
      <c r="GJH23" s="204"/>
      <c r="GJI23" s="204"/>
      <c r="GJJ23" s="204"/>
      <c r="GJK23" s="204"/>
      <c r="GJL23" s="204"/>
      <c r="GJM23" s="204"/>
      <c r="GJN23" s="204"/>
      <c r="GJO23" s="204"/>
      <c r="GJP23" s="204"/>
      <c r="GJQ23" s="204"/>
      <c r="GJR23" s="204"/>
      <c r="GJS23" s="204"/>
      <c r="GJT23" s="204"/>
      <c r="GJU23" s="204"/>
      <c r="GJV23" s="204"/>
      <c r="GJW23" s="204"/>
      <c r="GJX23" s="204"/>
      <c r="GJY23" s="204"/>
      <c r="GJZ23" s="204"/>
      <c r="GKA23" s="204"/>
      <c r="GKB23" s="204"/>
      <c r="GKC23" s="204"/>
      <c r="GKD23" s="204"/>
      <c r="GKE23" s="204"/>
      <c r="GKF23" s="204"/>
      <c r="GKG23" s="204"/>
      <c r="GKH23" s="204"/>
      <c r="GKI23" s="204"/>
      <c r="GKJ23" s="204"/>
      <c r="GKK23" s="204"/>
      <c r="GKL23" s="204"/>
      <c r="GKM23" s="204"/>
      <c r="GKN23" s="204"/>
      <c r="GKO23" s="204"/>
      <c r="GKP23" s="204"/>
      <c r="GKQ23" s="204"/>
      <c r="GKR23" s="204"/>
      <c r="GKS23" s="204"/>
      <c r="GKT23" s="204"/>
      <c r="GKU23" s="204"/>
      <c r="GKV23" s="204"/>
      <c r="GKW23" s="204"/>
      <c r="GKX23" s="204"/>
      <c r="GKY23" s="204"/>
      <c r="GKZ23" s="204"/>
      <c r="GLA23" s="204"/>
      <c r="GLB23" s="204"/>
      <c r="GLC23" s="204"/>
      <c r="GLD23" s="204"/>
      <c r="GLE23" s="204"/>
      <c r="GLF23" s="204"/>
      <c r="GLG23" s="204"/>
      <c r="GLH23" s="204"/>
      <c r="GLI23" s="204"/>
      <c r="GLJ23" s="204"/>
      <c r="GLK23" s="204"/>
      <c r="GLL23" s="204"/>
      <c r="GLM23" s="204"/>
      <c r="GLN23" s="204"/>
      <c r="GLO23" s="204"/>
      <c r="GLP23" s="204"/>
      <c r="GLQ23" s="204"/>
      <c r="GLR23" s="204"/>
      <c r="GLS23" s="204"/>
      <c r="GLT23" s="204"/>
      <c r="GLU23" s="204"/>
      <c r="GLV23" s="204"/>
      <c r="GLW23" s="204"/>
      <c r="GLX23" s="204"/>
      <c r="GLY23" s="204"/>
      <c r="GLZ23" s="204"/>
      <c r="GMA23" s="204"/>
      <c r="GMB23" s="204"/>
      <c r="GMC23" s="204"/>
      <c r="GMD23" s="204"/>
      <c r="GME23" s="204"/>
      <c r="GMF23" s="204"/>
      <c r="GMG23" s="204"/>
      <c r="GMH23" s="204"/>
      <c r="GMI23" s="204"/>
      <c r="GMJ23" s="204"/>
      <c r="GMK23" s="204"/>
      <c r="GML23" s="204"/>
      <c r="GMM23" s="204"/>
      <c r="GMN23" s="204"/>
      <c r="GMO23" s="204"/>
      <c r="GMP23" s="204"/>
      <c r="GMQ23" s="204"/>
      <c r="GMR23" s="204"/>
      <c r="GMS23" s="204"/>
      <c r="GMT23" s="204"/>
      <c r="GMU23" s="204"/>
      <c r="GMV23" s="204"/>
      <c r="GMW23" s="204"/>
      <c r="GMX23" s="204"/>
      <c r="GMY23" s="204"/>
      <c r="GMZ23" s="204"/>
      <c r="GNA23" s="204"/>
      <c r="GNB23" s="204"/>
      <c r="GNC23" s="204"/>
      <c r="GND23" s="204"/>
      <c r="GNE23" s="204"/>
      <c r="GNF23" s="204"/>
      <c r="GNG23" s="204"/>
      <c r="GNH23" s="204"/>
      <c r="GNI23" s="204"/>
      <c r="GNJ23" s="204"/>
      <c r="GNK23" s="204"/>
      <c r="GNL23" s="204"/>
      <c r="GNM23" s="204"/>
      <c r="GNN23" s="204"/>
      <c r="GNO23" s="204"/>
      <c r="GNP23" s="204"/>
      <c r="GNQ23" s="204"/>
      <c r="GNR23" s="204"/>
      <c r="GNS23" s="204"/>
      <c r="GNT23" s="204"/>
      <c r="GNU23" s="204"/>
      <c r="GNV23" s="204"/>
      <c r="GNW23" s="204"/>
      <c r="GNX23" s="204"/>
      <c r="GNY23" s="204"/>
      <c r="GNZ23" s="204"/>
      <c r="GOA23" s="204"/>
      <c r="GOB23" s="204"/>
      <c r="GOC23" s="204"/>
      <c r="GOD23" s="204"/>
      <c r="GOE23" s="204"/>
      <c r="GOF23" s="204"/>
      <c r="GOG23" s="204"/>
      <c r="GOH23" s="204"/>
      <c r="GOI23" s="204"/>
      <c r="GOJ23" s="204"/>
      <c r="GOK23" s="204"/>
      <c r="GOL23" s="204"/>
      <c r="GOM23" s="204"/>
      <c r="GON23" s="204"/>
      <c r="GOO23" s="204"/>
      <c r="GOP23" s="204"/>
      <c r="GOQ23" s="204"/>
      <c r="GOR23" s="204"/>
      <c r="GOS23" s="204"/>
      <c r="GOT23" s="204"/>
      <c r="GOU23" s="204"/>
      <c r="GOV23" s="204"/>
      <c r="GOW23" s="204"/>
      <c r="GOX23" s="204"/>
      <c r="GOY23" s="204"/>
      <c r="GOZ23" s="204"/>
      <c r="GPA23" s="204"/>
      <c r="GPB23" s="204"/>
      <c r="GPC23" s="204"/>
      <c r="GPD23" s="204"/>
      <c r="GPE23" s="204"/>
      <c r="GPF23" s="204"/>
      <c r="GPG23" s="204"/>
      <c r="GPH23" s="204"/>
      <c r="GPI23" s="204"/>
      <c r="GPJ23" s="204"/>
      <c r="GPK23" s="204"/>
      <c r="GPL23" s="204"/>
      <c r="GPM23" s="204"/>
      <c r="GPN23" s="204"/>
      <c r="GPO23" s="204"/>
      <c r="GPP23" s="204"/>
      <c r="GPQ23" s="204"/>
      <c r="GPR23" s="204"/>
      <c r="GPS23" s="204"/>
      <c r="GPT23" s="204"/>
      <c r="GPU23" s="204"/>
      <c r="GPV23" s="204"/>
      <c r="GPW23" s="204"/>
      <c r="GPX23" s="204"/>
      <c r="GPY23" s="204"/>
      <c r="GPZ23" s="204"/>
      <c r="GQA23" s="204"/>
      <c r="GQB23" s="204"/>
      <c r="GQC23" s="204"/>
      <c r="GQD23" s="204"/>
      <c r="GQE23" s="204"/>
      <c r="GQF23" s="204"/>
      <c r="GQG23" s="204"/>
      <c r="GQH23" s="204"/>
      <c r="GQI23" s="204"/>
      <c r="GQJ23" s="204"/>
      <c r="GQK23" s="204"/>
      <c r="GQL23" s="204"/>
      <c r="GQM23" s="204"/>
      <c r="GQN23" s="204"/>
      <c r="GQO23" s="204"/>
      <c r="GQP23" s="204"/>
      <c r="GQQ23" s="204"/>
      <c r="GQR23" s="204"/>
      <c r="GQS23" s="204"/>
      <c r="GQT23" s="204"/>
      <c r="GQU23" s="204"/>
      <c r="GQV23" s="204"/>
      <c r="GQW23" s="204"/>
      <c r="GQX23" s="204"/>
      <c r="GQY23" s="204"/>
      <c r="GQZ23" s="204"/>
      <c r="GRA23" s="204"/>
      <c r="GRB23" s="204"/>
      <c r="GRC23" s="204"/>
      <c r="GRD23" s="204"/>
      <c r="GRE23" s="204"/>
      <c r="GRF23" s="204"/>
      <c r="GRG23" s="204"/>
      <c r="GRH23" s="204"/>
      <c r="GRI23" s="204"/>
      <c r="GRJ23" s="204"/>
      <c r="GRK23" s="204"/>
      <c r="GRL23" s="204"/>
      <c r="GRM23" s="204"/>
      <c r="GRN23" s="204"/>
      <c r="GRO23" s="204"/>
      <c r="GRP23" s="204"/>
      <c r="GRQ23" s="204"/>
      <c r="GRR23" s="204"/>
      <c r="GRS23" s="204"/>
      <c r="GRT23" s="204"/>
      <c r="GRU23" s="204"/>
      <c r="GRV23" s="204"/>
      <c r="GRW23" s="204"/>
      <c r="GRX23" s="204"/>
      <c r="GRY23" s="204"/>
      <c r="GRZ23" s="204"/>
      <c r="GSA23" s="204"/>
      <c r="GSB23" s="204"/>
      <c r="GSC23" s="204"/>
      <c r="GSD23" s="204"/>
      <c r="GSE23" s="204"/>
      <c r="GSF23" s="204"/>
      <c r="GSG23" s="204"/>
      <c r="GSH23" s="204"/>
      <c r="GSI23" s="204"/>
      <c r="GSJ23" s="204"/>
      <c r="GSK23" s="204"/>
      <c r="GSL23" s="204"/>
      <c r="GSM23" s="204"/>
      <c r="GSN23" s="204"/>
      <c r="GSO23" s="204"/>
      <c r="GSP23" s="204"/>
      <c r="GSQ23" s="204"/>
      <c r="GSR23" s="204"/>
      <c r="GSS23" s="204"/>
      <c r="GST23" s="204"/>
      <c r="GSU23" s="204"/>
      <c r="GSV23" s="204"/>
      <c r="GSW23" s="204"/>
      <c r="GSX23" s="204"/>
      <c r="GSY23" s="204"/>
      <c r="GSZ23" s="204"/>
      <c r="GTA23" s="204"/>
      <c r="GTB23" s="204"/>
      <c r="GTC23" s="204"/>
      <c r="GTD23" s="204"/>
      <c r="GTE23" s="204"/>
      <c r="GTF23" s="204"/>
      <c r="GTG23" s="204"/>
      <c r="GTH23" s="204"/>
      <c r="GTI23" s="204"/>
      <c r="GTJ23" s="204"/>
      <c r="GTK23" s="204"/>
      <c r="GTL23" s="204"/>
      <c r="GTM23" s="204"/>
      <c r="GTN23" s="204"/>
      <c r="GTO23" s="204"/>
      <c r="GTP23" s="204"/>
      <c r="GTQ23" s="204"/>
      <c r="GTR23" s="204"/>
      <c r="GTS23" s="204"/>
      <c r="GTT23" s="204"/>
      <c r="GTU23" s="204"/>
      <c r="GTV23" s="204"/>
      <c r="GTW23" s="204"/>
      <c r="GTX23" s="204"/>
      <c r="GTY23" s="204"/>
      <c r="GTZ23" s="204"/>
      <c r="GUA23" s="204"/>
      <c r="GUB23" s="204"/>
      <c r="GUC23" s="204"/>
      <c r="GUD23" s="204"/>
      <c r="GUE23" s="204"/>
      <c r="GUF23" s="204"/>
      <c r="GUG23" s="204"/>
      <c r="GUH23" s="204"/>
      <c r="GUI23" s="204"/>
      <c r="GUJ23" s="204"/>
      <c r="GUK23" s="204"/>
      <c r="GUL23" s="204"/>
      <c r="GUM23" s="204"/>
      <c r="GUN23" s="204"/>
      <c r="GUO23" s="204"/>
      <c r="GUP23" s="204"/>
      <c r="GUQ23" s="204"/>
      <c r="GUR23" s="204"/>
      <c r="GUS23" s="204"/>
      <c r="GUT23" s="204"/>
      <c r="GUU23" s="204"/>
      <c r="GUV23" s="204"/>
      <c r="GUW23" s="204"/>
      <c r="GUX23" s="204"/>
      <c r="GUY23" s="204"/>
      <c r="GUZ23" s="204"/>
      <c r="GVA23" s="204"/>
      <c r="GVB23" s="204"/>
      <c r="GVC23" s="204"/>
      <c r="GVD23" s="204"/>
      <c r="GVE23" s="204"/>
      <c r="GVF23" s="204"/>
      <c r="GVG23" s="204"/>
      <c r="GVH23" s="204"/>
      <c r="GVI23" s="204"/>
      <c r="GVJ23" s="204"/>
      <c r="GVK23" s="204"/>
      <c r="GVL23" s="204"/>
      <c r="GVM23" s="204"/>
      <c r="GVN23" s="204"/>
      <c r="GVO23" s="204"/>
      <c r="GVP23" s="204"/>
      <c r="GVQ23" s="204"/>
      <c r="GVR23" s="204"/>
      <c r="GVS23" s="204"/>
      <c r="GVT23" s="204"/>
      <c r="GVU23" s="204"/>
      <c r="GVV23" s="204"/>
      <c r="GVW23" s="204"/>
      <c r="GVX23" s="204"/>
      <c r="GVY23" s="204"/>
      <c r="GVZ23" s="204"/>
      <c r="GWA23" s="204"/>
      <c r="GWB23" s="204"/>
      <c r="GWC23" s="204"/>
      <c r="GWD23" s="204"/>
      <c r="GWE23" s="204"/>
      <c r="GWF23" s="204"/>
      <c r="GWG23" s="204"/>
      <c r="GWH23" s="204"/>
      <c r="GWI23" s="204"/>
      <c r="GWJ23" s="204"/>
      <c r="GWK23" s="204"/>
      <c r="GWL23" s="204"/>
      <c r="GWM23" s="204"/>
      <c r="GWN23" s="204"/>
      <c r="GWO23" s="204"/>
      <c r="GWP23" s="204"/>
      <c r="GWQ23" s="204"/>
      <c r="GWR23" s="204"/>
      <c r="GWS23" s="204"/>
      <c r="GWT23" s="204"/>
      <c r="GWU23" s="204"/>
      <c r="GWV23" s="204"/>
      <c r="GWW23" s="204"/>
      <c r="GWX23" s="204"/>
      <c r="GWY23" s="204"/>
      <c r="GWZ23" s="204"/>
      <c r="GXA23" s="204"/>
      <c r="GXB23" s="204"/>
      <c r="GXC23" s="204"/>
      <c r="GXD23" s="204"/>
      <c r="GXE23" s="204"/>
      <c r="GXF23" s="204"/>
      <c r="GXG23" s="204"/>
      <c r="GXH23" s="204"/>
      <c r="GXI23" s="204"/>
      <c r="GXJ23" s="204"/>
      <c r="GXK23" s="204"/>
      <c r="GXL23" s="204"/>
      <c r="GXM23" s="204"/>
      <c r="GXN23" s="204"/>
      <c r="GXO23" s="204"/>
      <c r="GXP23" s="204"/>
      <c r="GXQ23" s="204"/>
      <c r="GXR23" s="204"/>
      <c r="GXS23" s="204"/>
      <c r="GXT23" s="204"/>
      <c r="GXU23" s="204"/>
      <c r="GXV23" s="204"/>
      <c r="GXW23" s="204"/>
      <c r="GXX23" s="204"/>
      <c r="GXY23" s="204"/>
      <c r="GXZ23" s="204"/>
      <c r="GYA23" s="204"/>
      <c r="GYB23" s="204"/>
      <c r="GYC23" s="204"/>
      <c r="GYD23" s="204"/>
      <c r="GYE23" s="204"/>
      <c r="GYF23" s="204"/>
      <c r="GYG23" s="204"/>
      <c r="GYH23" s="204"/>
      <c r="GYI23" s="204"/>
      <c r="GYJ23" s="204"/>
      <c r="GYK23" s="204"/>
      <c r="GYL23" s="204"/>
      <c r="GYM23" s="204"/>
      <c r="GYN23" s="204"/>
      <c r="GYO23" s="204"/>
      <c r="GYP23" s="204"/>
      <c r="GYQ23" s="204"/>
      <c r="GYR23" s="204"/>
      <c r="GYS23" s="204"/>
      <c r="GYT23" s="204"/>
      <c r="GYU23" s="204"/>
      <c r="GYV23" s="204"/>
      <c r="GYW23" s="204"/>
      <c r="GYX23" s="204"/>
      <c r="GYY23" s="204"/>
      <c r="GYZ23" s="204"/>
      <c r="GZA23" s="204"/>
      <c r="GZB23" s="204"/>
      <c r="GZC23" s="204"/>
      <c r="GZD23" s="204"/>
      <c r="GZE23" s="204"/>
      <c r="GZF23" s="204"/>
      <c r="GZG23" s="204"/>
      <c r="GZH23" s="204"/>
      <c r="GZI23" s="204"/>
      <c r="GZJ23" s="204"/>
      <c r="GZK23" s="204"/>
      <c r="GZL23" s="204"/>
      <c r="GZM23" s="204"/>
      <c r="GZN23" s="204"/>
      <c r="GZO23" s="204"/>
      <c r="GZP23" s="204"/>
      <c r="GZQ23" s="204"/>
      <c r="GZR23" s="204"/>
      <c r="GZS23" s="204"/>
      <c r="GZT23" s="204"/>
      <c r="GZU23" s="204"/>
      <c r="GZV23" s="204"/>
      <c r="GZW23" s="204"/>
      <c r="GZX23" s="204"/>
      <c r="GZY23" s="204"/>
      <c r="GZZ23" s="204"/>
      <c r="HAA23" s="204"/>
      <c r="HAB23" s="204"/>
      <c r="HAC23" s="204"/>
      <c r="HAD23" s="204"/>
      <c r="HAE23" s="204"/>
      <c r="HAF23" s="204"/>
      <c r="HAG23" s="204"/>
      <c r="HAH23" s="204"/>
      <c r="HAI23" s="204"/>
      <c r="HAJ23" s="204"/>
      <c r="HAK23" s="204"/>
      <c r="HAL23" s="204"/>
      <c r="HAM23" s="204"/>
      <c r="HAN23" s="204"/>
      <c r="HAO23" s="204"/>
      <c r="HAP23" s="204"/>
      <c r="HAQ23" s="204"/>
      <c r="HAR23" s="204"/>
      <c r="HAS23" s="204"/>
      <c r="HAT23" s="204"/>
      <c r="HAU23" s="204"/>
      <c r="HAV23" s="204"/>
      <c r="HAW23" s="204"/>
      <c r="HAX23" s="204"/>
      <c r="HAY23" s="204"/>
      <c r="HAZ23" s="204"/>
      <c r="HBA23" s="204"/>
      <c r="HBB23" s="204"/>
      <c r="HBC23" s="204"/>
      <c r="HBD23" s="204"/>
      <c r="HBE23" s="204"/>
      <c r="HBF23" s="204"/>
      <c r="HBG23" s="204"/>
      <c r="HBH23" s="204"/>
      <c r="HBI23" s="204"/>
      <c r="HBJ23" s="204"/>
      <c r="HBK23" s="204"/>
      <c r="HBL23" s="204"/>
      <c r="HBM23" s="204"/>
      <c r="HBN23" s="204"/>
      <c r="HBO23" s="204"/>
      <c r="HBP23" s="204"/>
      <c r="HBQ23" s="204"/>
      <c r="HBR23" s="204"/>
      <c r="HBS23" s="204"/>
      <c r="HBT23" s="204"/>
      <c r="HBU23" s="204"/>
      <c r="HBV23" s="204"/>
      <c r="HBW23" s="204"/>
      <c r="HBX23" s="204"/>
      <c r="HBY23" s="204"/>
      <c r="HBZ23" s="204"/>
      <c r="HCA23" s="204"/>
      <c r="HCB23" s="204"/>
      <c r="HCC23" s="204"/>
      <c r="HCD23" s="204"/>
      <c r="HCE23" s="204"/>
      <c r="HCF23" s="204"/>
      <c r="HCG23" s="204"/>
      <c r="HCH23" s="204"/>
      <c r="HCI23" s="204"/>
      <c r="HCJ23" s="204"/>
      <c r="HCK23" s="204"/>
      <c r="HCL23" s="204"/>
      <c r="HCM23" s="204"/>
      <c r="HCN23" s="204"/>
      <c r="HCO23" s="204"/>
      <c r="HCP23" s="204"/>
      <c r="HCQ23" s="204"/>
      <c r="HCR23" s="204"/>
      <c r="HCS23" s="204"/>
      <c r="HCT23" s="204"/>
      <c r="HCU23" s="204"/>
      <c r="HCV23" s="204"/>
      <c r="HCW23" s="204"/>
      <c r="HCX23" s="204"/>
      <c r="HCY23" s="204"/>
      <c r="HCZ23" s="204"/>
      <c r="HDA23" s="204"/>
      <c r="HDB23" s="204"/>
      <c r="HDC23" s="204"/>
      <c r="HDD23" s="204"/>
      <c r="HDE23" s="204"/>
      <c r="HDF23" s="204"/>
      <c r="HDG23" s="204"/>
      <c r="HDH23" s="204"/>
      <c r="HDI23" s="204"/>
      <c r="HDJ23" s="204"/>
      <c r="HDK23" s="204"/>
      <c r="HDL23" s="204"/>
      <c r="HDM23" s="204"/>
      <c r="HDN23" s="204"/>
      <c r="HDO23" s="204"/>
      <c r="HDP23" s="204"/>
      <c r="HDQ23" s="204"/>
      <c r="HDR23" s="204"/>
      <c r="HDS23" s="204"/>
      <c r="HDT23" s="204"/>
      <c r="HDU23" s="204"/>
      <c r="HDV23" s="204"/>
      <c r="HDW23" s="204"/>
      <c r="HDX23" s="204"/>
      <c r="HDY23" s="204"/>
      <c r="HDZ23" s="204"/>
      <c r="HEA23" s="204"/>
      <c r="HEB23" s="204"/>
      <c r="HEC23" s="204"/>
      <c r="HED23" s="204"/>
      <c r="HEE23" s="204"/>
      <c r="HEF23" s="204"/>
      <c r="HEG23" s="204"/>
      <c r="HEH23" s="204"/>
      <c r="HEI23" s="204"/>
      <c r="HEJ23" s="204"/>
      <c r="HEK23" s="204"/>
      <c r="HEL23" s="204"/>
      <c r="HEM23" s="204"/>
      <c r="HEN23" s="204"/>
      <c r="HEO23" s="204"/>
      <c r="HEP23" s="204"/>
      <c r="HEQ23" s="204"/>
      <c r="HER23" s="204"/>
      <c r="HES23" s="204"/>
      <c r="HET23" s="204"/>
      <c r="HEU23" s="204"/>
      <c r="HEV23" s="204"/>
      <c r="HEW23" s="204"/>
      <c r="HEX23" s="204"/>
      <c r="HEY23" s="204"/>
      <c r="HEZ23" s="204"/>
      <c r="HFA23" s="204"/>
      <c r="HFB23" s="204"/>
      <c r="HFC23" s="204"/>
      <c r="HFD23" s="204"/>
      <c r="HFE23" s="204"/>
      <c r="HFF23" s="204"/>
      <c r="HFG23" s="204"/>
      <c r="HFH23" s="204"/>
      <c r="HFI23" s="204"/>
      <c r="HFJ23" s="204"/>
      <c r="HFK23" s="204"/>
      <c r="HFL23" s="204"/>
      <c r="HFM23" s="204"/>
      <c r="HFN23" s="204"/>
      <c r="HFO23" s="204"/>
      <c r="HFP23" s="204"/>
      <c r="HFQ23" s="204"/>
      <c r="HFR23" s="204"/>
      <c r="HFS23" s="204"/>
      <c r="HFT23" s="204"/>
      <c r="HFU23" s="204"/>
      <c r="HFV23" s="204"/>
      <c r="HFW23" s="204"/>
      <c r="HFX23" s="204"/>
      <c r="HFY23" s="204"/>
      <c r="HFZ23" s="204"/>
      <c r="HGA23" s="204"/>
      <c r="HGB23" s="204"/>
      <c r="HGC23" s="204"/>
      <c r="HGD23" s="204"/>
      <c r="HGE23" s="204"/>
      <c r="HGF23" s="204"/>
      <c r="HGG23" s="204"/>
      <c r="HGH23" s="204"/>
      <c r="HGI23" s="204"/>
      <c r="HGJ23" s="204"/>
      <c r="HGK23" s="204"/>
      <c r="HGL23" s="204"/>
      <c r="HGM23" s="204"/>
      <c r="HGN23" s="204"/>
      <c r="HGO23" s="204"/>
      <c r="HGP23" s="204"/>
      <c r="HGQ23" s="204"/>
      <c r="HGR23" s="204"/>
      <c r="HGS23" s="204"/>
      <c r="HGT23" s="204"/>
      <c r="HGU23" s="204"/>
      <c r="HGV23" s="204"/>
      <c r="HGW23" s="204"/>
      <c r="HGX23" s="204"/>
      <c r="HGY23" s="204"/>
      <c r="HGZ23" s="204"/>
      <c r="HHA23" s="204"/>
      <c r="HHB23" s="204"/>
      <c r="HHC23" s="204"/>
      <c r="HHD23" s="204"/>
      <c r="HHE23" s="204"/>
      <c r="HHF23" s="204"/>
      <c r="HHG23" s="204"/>
      <c r="HHH23" s="204"/>
      <c r="HHI23" s="204"/>
      <c r="HHJ23" s="204"/>
      <c r="HHK23" s="204"/>
      <c r="HHL23" s="204"/>
      <c r="HHM23" s="204"/>
      <c r="HHN23" s="204"/>
      <c r="HHO23" s="204"/>
      <c r="HHP23" s="204"/>
      <c r="HHQ23" s="204"/>
      <c r="HHR23" s="204"/>
      <c r="HHS23" s="204"/>
      <c r="HHT23" s="204"/>
      <c r="HHU23" s="204"/>
      <c r="HHV23" s="204"/>
      <c r="HHW23" s="204"/>
      <c r="HHX23" s="204"/>
      <c r="HHY23" s="204"/>
      <c r="HHZ23" s="204"/>
      <c r="HIA23" s="204"/>
      <c r="HIB23" s="204"/>
      <c r="HIC23" s="204"/>
      <c r="HID23" s="204"/>
      <c r="HIE23" s="204"/>
      <c r="HIF23" s="204"/>
      <c r="HIG23" s="204"/>
      <c r="HIH23" s="204"/>
      <c r="HII23" s="204"/>
      <c r="HIJ23" s="204"/>
      <c r="HIK23" s="204"/>
      <c r="HIL23" s="204"/>
      <c r="HIM23" s="204"/>
      <c r="HIN23" s="204"/>
      <c r="HIO23" s="204"/>
      <c r="HIP23" s="204"/>
      <c r="HIQ23" s="204"/>
      <c r="HIR23" s="204"/>
      <c r="HIS23" s="204"/>
      <c r="HIT23" s="204"/>
      <c r="HIU23" s="204"/>
      <c r="HIV23" s="204"/>
      <c r="HIW23" s="204"/>
      <c r="HIX23" s="204"/>
      <c r="HIY23" s="204"/>
      <c r="HIZ23" s="204"/>
      <c r="HJA23" s="204"/>
      <c r="HJB23" s="204"/>
      <c r="HJC23" s="204"/>
      <c r="HJD23" s="204"/>
      <c r="HJE23" s="204"/>
      <c r="HJF23" s="204"/>
      <c r="HJG23" s="204"/>
      <c r="HJH23" s="204"/>
      <c r="HJI23" s="204"/>
      <c r="HJJ23" s="204"/>
      <c r="HJK23" s="204"/>
      <c r="HJL23" s="204"/>
      <c r="HJM23" s="204"/>
      <c r="HJN23" s="204"/>
      <c r="HJO23" s="204"/>
      <c r="HJP23" s="204"/>
      <c r="HJQ23" s="204"/>
      <c r="HJR23" s="204"/>
      <c r="HJS23" s="204"/>
      <c r="HJT23" s="204"/>
      <c r="HJU23" s="204"/>
      <c r="HJV23" s="204"/>
      <c r="HJW23" s="204"/>
      <c r="HJX23" s="204"/>
      <c r="HJY23" s="204"/>
      <c r="HJZ23" s="204"/>
      <c r="HKA23" s="204"/>
      <c r="HKB23" s="204"/>
      <c r="HKC23" s="204"/>
      <c r="HKD23" s="204"/>
      <c r="HKE23" s="204"/>
      <c r="HKF23" s="204"/>
      <c r="HKG23" s="204"/>
      <c r="HKH23" s="204"/>
      <c r="HKI23" s="204"/>
      <c r="HKJ23" s="204"/>
      <c r="HKK23" s="204"/>
      <c r="HKL23" s="204"/>
      <c r="HKM23" s="204"/>
      <c r="HKN23" s="204"/>
      <c r="HKO23" s="204"/>
      <c r="HKP23" s="204"/>
      <c r="HKQ23" s="204"/>
      <c r="HKR23" s="204"/>
      <c r="HKS23" s="204"/>
      <c r="HKT23" s="204"/>
      <c r="HKU23" s="204"/>
      <c r="HKV23" s="204"/>
      <c r="HKW23" s="204"/>
      <c r="HKX23" s="204"/>
      <c r="HKY23" s="204"/>
      <c r="HKZ23" s="204"/>
      <c r="HLA23" s="204"/>
      <c r="HLB23" s="204"/>
      <c r="HLC23" s="204"/>
      <c r="HLD23" s="204"/>
      <c r="HLE23" s="204"/>
      <c r="HLF23" s="204"/>
      <c r="HLG23" s="204"/>
      <c r="HLH23" s="204"/>
      <c r="HLI23" s="204"/>
      <c r="HLJ23" s="204"/>
      <c r="HLK23" s="204"/>
      <c r="HLL23" s="204"/>
      <c r="HLM23" s="204"/>
      <c r="HLN23" s="204"/>
      <c r="HLO23" s="204"/>
      <c r="HLP23" s="204"/>
      <c r="HLQ23" s="204"/>
      <c r="HLR23" s="204"/>
      <c r="HLS23" s="204"/>
      <c r="HLT23" s="204"/>
      <c r="HLU23" s="204"/>
      <c r="HLV23" s="204"/>
      <c r="HLW23" s="204"/>
      <c r="HLX23" s="204"/>
      <c r="HLY23" s="204"/>
      <c r="HLZ23" s="204"/>
      <c r="HMA23" s="204"/>
      <c r="HMB23" s="204"/>
      <c r="HMC23" s="204"/>
      <c r="HMD23" s="204"/>
      <c r="HME23" s="204"/>
      <c r="HMF23" s="204"/>
      <c r="HMG23" s="204"/>
      <c r="HMH23" s="204"/>
      <c r="HMI23" s="204"/>
      <c r="HMJ23" s="204"/>
      <c r="HMK23" s="204"/>
      <c r="HML23" s="204"/>
      <c r="HMM23" s="204"/>
      <c r="HMN23" s="204"/>
      <c r="HMO23" s="204"/>
      <c r="HMP23" s="204"/>
      <c r="HMQ23" s="204"/>
      <c r="HMR23" s="204"/>
      <c r="HMS23" s="204"/>
      <c r="HMT23" s="204"/>
      <c r="HMU23" s="204"/>
      <c r="HMV23" s="204"/>
      <c r="HMW23" s="204"/>
      <c r="HMX23" s="204"/>
      <c r="HMY23" s="204"/>
      <c r="HMZ23" s="204"/>
      <c r="HNA23" s="204"/>
      <c r="HNB23" s="204"/>
      <c r="HNC23" s="204"/>
      <c r="HND23" s="204"/>
      <c r="HNE23" s="204"/>
      <c r="HNF23" s="204"/>
      <c r="HNG23" s="204"/>
      <c r="HNH23" s="204"/>
      <c r="HNI23" s="204"/>
      <c r="HNJ23" s="204"/>
      <c r="HNK23" s="204"/>
      <c r="HNL23" s="204"/>
      <c r="HNM23" s="204"/>
      <c r="HNN23" s="204"/>
      <c r="HNO23" s="204"/>
      <c r="HNP23" s="204"/>
      <c r="HNQ23" s="204"/>
      <c r="HNR23" s="204"/>
      <c r="HNS23" s="204"/>
      <c r="HNT23" s="204"/>
      <c r="HNU23" s="204"/>
      <c r="HNV23" s="204"/>
      <c r="HNW23" s="204"/>
      <c r="HNX23" s="204"/>
      <c r="HNY23" s="204"/>
      <c r="HNZ23" s="204"/>
      <c r="HOA23" s="204"/>
      <c r="HOB23" s="204"/>
      <c r="HOC23" s="204"/>
      <c r="HOD23" s="204"/>
      <c r="HOE23" s="204"/>
      <c r="HOF23" s="204"/>
      <c r="HOG23" s="204"/>
      <c r="HOH23" s="204"/>
      <c r="HOI23" s="204"/>
      <c r="HOJ23" s="204"/>
      <c r="HOK23" s="204"/>
      <c r="HOL23" s="204"/>
      <c r="HOM23" s="204"/>
      <c r="HON23" s="204"/>
      <c r="HOO23" s="204"/>
      <c r="HOP23" s="204"/>
      <c r="HOQ23" s="204"/>
      <c r="HOR23" s="204"/>
      <c r="HOS23" s="204"/>
      <c r="HOT23" s="204"/>
      <c r="HOU23" s="204"/>
      <c r="HOV23" s="204"/>
      <c r="HOW23" s="204"/>
      <c r="HOX23" s="204"/>
      <c r="HOY23" s="204"/>
      <c r="HOZ23" s="204"/>
      <c r="HPA23" s="204"/>
      <c r="HPB23" s="204"/>
      <c r="HPC23" s="204"/>
      <c r="HPD23" s="204"/>
      <c r="HPE23" s="204"/>
      <c r="HPF23" s="204"/>
      <c r="HPG23" s="204"/>
      <c r="HPH23" s="204"/>
      <c r="HPI23" s="204"/>
      <c r="HPJ23" s="204"/>
      <c r="HPK23" s="204"/>
      <c r="HPL23" s="204"/>
      <c r="HPM23" s="204"/>
      <c r="HPN23" s="204"/>
      <c r="HPO23" s="204"/>
      <c r="HPP23" s="204"/>
      <c r="HPQ23" s="204"/>
      <c r="HPR23" s="204"/>
      <c r="HPS23" s="204"/>
      <c r="HPT23" s="204"/>
      <c r="HPU23" s="204"/>
      <c r="HPV23" s="204"/>
      <c r="HPW23" s="204"/>
      <c r="HPX23" s="204"/>
      <c r="HPY23" s="204"/>
      <c r="HPZ23" s="204"/>
      <c r="HQA23" s="204"/>
      <c r="HQB23" s="204"/>
      <c r="HQC23" s="204"/>
      <c r="HQD23" s="204"/>
      <c r="HQE23" s="204"/>
      <c r="HQF23" s="204"/>
      <c r="HQG23" s="204"/>
      <c r="HQH23" s="204"/>
      <c r="HQI23" s="204"/>
      <c r="HQJ23" s="204"/>
      <c r="HQK23" s="204"/>
      <c r="HQL23" s="204"/>
      <c r="HQM23" s="204"/>
      <c r="HQN23" s="204"/>
      <c r="HQO23" s="204"/>
      <c r="HQP23" s="204"/>
      <c r="HQQ23" s="204"/>
      <c r="HQR23" s="204"/>
      <c r="HQS23" s="204"/>
      <c r="HQT23" s="204"/>
      <c r="HQU23" s="204"/>
      <c r="HQV23" s="204"/>
      <c r="HQW23" s="204"/>
      <c r="HQX23" s="204"/>
      <c r="HQY23" s="204"/>
      <c r="HQZ23" s="204"/>
      <c r="HRA23" s="204"/>
      <c r="HRB23" s="204"/>
      <c r="HRC23" s="204"/>
      <c r="HRD23" s="204"/>
      <c r="HRE23" s="204"/>
      <c r="HRF23" s="204"/>
      <c r="HRG23" s="204"/>
      <c r="HRH23" s="204"/>
      <c r="HRI23" s="204"/>
      <c r="HRJ23" s="204"/>
      <c r="HRK23" s="204"/>
      <c r="HRL23" s="204"/>
      <c r="HRM23" s="204"/>
      <c r="HRN23" s="204"/>
      <c r="HRO23" s="204"/>
      <c r="HRP23" s="204"/>
      <c r="HRQ23" s="204"/>
      <c r="HRR23" s="204"/>
      <c r="HRS23" s="204"/>
      <c r="HRT23" s="204"/>
      <c r="HRU23" s="204"/>
      <c r="HRV23" s="204"/>
      <c r="HRW23" s="204"/>
      <c r="HRX23" s="204"/>
      <c r="HRY23" s="204"/>
      <c r="HRZ23" s="204"/>
      <c r="HSA23" s="204"/>
      <c r="HSB23" s="204"/>
      <c r="HSC23" s="204"/>
      <c r="HSD23" s="204"/>
      <c r="HSE23" s="204"/>
      <c r="HSF23" s="204"/>
      <c r="HSG23" s="204"/>
      <c r="HSH23" s="204"/>
      <c r="HSI23" s="204"/>
      <c r="HSJ23" s="204"/>
      <c r="HSK23" s="204"/>
      <c r="HSL23" s="204"/>
      <c r="HSM23" s="204"/>
      <c r="HSN23" s="204"/>
      <c r="HSO23" s="204"/>
      <c r="HSP23" s="204"/>
      <c r="HSQ23" s="204"/>
      <c r="HSR23" s="204"/>
      <c r="HSS23" s="204"/>
      <c r="HST23" s="204"/>
      <c r="HSU23" s="204"/>
      <c r="HSV23" s="204"/>
      <c r="HSW23" s="204"/>
      <c r="HSX23" s="204"/>
      <c r="HSY23" s="204"/>
      <c r="HSZ23" s="204"/>
      <c r="HTA23" s="204"/>
      <c r="HTB23" s="204"/>
      <c r="HTC23" s="204"/>
      <c r="HTD23" s="204"/>
      <c r="HTE23" s="204"/>
      <c r="HTF23" s="204"/>
      <c r="HTG23" s="204"/>
      <c r="HTH23" s="204"/>
      <c r="HTI23" s="204"/>
      <c r="HTJ23" s="204"/>
      <c r="HTK23" s="204"/>
      <c r="HTL23" s="204"/>
      <c r="HTM23" s="204"/>
      <c r="HTN23" s="204"/>
      <c r="HTO23" s="204"/>
      <c r="HTP23" s="204"/>
      <c r="HTQ23" s="204"/>
      <c r="HTR23" s="204"/>
      <c r="HTS23" s="204"/>
      <c r="HTT23" s="204"/>
      <c r="HTU23" s="204"/>
      <c r="HTV23" s="204"/>
      <c r="HTW23" s="204"/>
      <c r="HTX23" s="204"/>
      <c r="HTY23" s="204"/>
      <c r="HTZ23" s="204"/>
      <c r="HUA23" s="204"/>
      <c r="HUB23" s="204"/>
      <c r="HUC23" s="204"/>
      <c r="HUD23" s="204"/>
      <c r="HUE23" s="204"/>
      <c r="HUF23" s="204"/>
      <c r="HUG23" s="204"/>
      <c r="HUH23" s="204"/>
      <c r="HUI23" s="204"/>
      <c r="HUJ23" s="204"/>
      <c r="HUK23" s="204"/>
      <c r="HUL23" s="204"/>
      <c r="HUM23" s="204"/>
      <c r="HUN23" s="204"/>
      <c r="HUO23" s="204"/>
      <c r="HUP23" s="204"/>
      <c r="HUQ23" s="204"/>
      <c r="HUR23" s="204"/>
      <c r="HUS23" s="204"/>
      <c r="HUT23" s="204"/>
      <c r="HUU23" s="204"/>
      <c r="HUV23" s="204"/>
      <c r="HUW23" s="204"/>
      <c r="HUX23" s="204"/>
      <c r="HUY23" s="204"/>
      <c r="HUZ23" s="204"/>
      <c r="HVA23" s="204"/>
      <c r="HVB23" s="204"/>
      <c r="HVC23" s="204"/>
      <c r="HVD23" s="204"/>
      <c r="HVE23" s="204"/>
      <c r="HVF23" s="204"/>
      <c r="HVG23" s="204"/>
      <c r="HVH23" s="204"/>
      <c r="HVI23" s="204"/>
      <c r="HVJ23" s="204"/>
      <c r="HVK23" s="204"/>
      <c r="HVL23" s="204"/>
      <c r="HVM23" s="204"/>
      <c r="HVN23" s="204"/>
      <c r="HVO23" s="204"/>
      <c r="HVP23" s="204"/>
      <c r="HVQ23" s="204"/>
      <c r="HVR23" s="204"/>
      <c r="HVS23" s="204"/>
      <c r="HVT23" s="204"/>
      <c r="HVU23" s="204"/>
      <c r="HVV23" s="204"/>
      <c r="HVW23" s="204"/>
      <c r="HVX23" s="204"/>
      <c r="HVY23" s="204"/>
      <c r="HVZ23" s="204"/>
      <c r="HWA23" s="204"/>
      <c r="HWB23" s="204"/>
      <c r="HWC23" s="204"/>
      <c r="HWD23" s="204"/>
      <c r="HWE23" s="204"/>
      <c r="HWF23" s="204"/>
      <c r="HWG23" s="204"/>
      <c r="HWH23" s="204"/>
      <c r="HWI23" s="204"/>
      <c r="HWJ23" s="204"/>
      <c r="HWK23" s="204"/>
      <c r="HWL23" s="204"/>
      <c r="HWM23" s="204"/>
      <c r="HWN23" s="204"/>
      <c r="HWO23" s="204"/>
      <c r="HWP23" s="204"/>
      <c r="HWQ23" s="204"/>
      <c r="HWR23" s="204"/>
      <c r="HWS23" s="204"/>
      <c r="HWT23" s="204"/>
      <c r="HWU23" s="204"/>
      <c r="HWV23" s="204"/>
      <c r="HWW23" s="204"/>
      <c r="HWX23" s="204"/>
      <c r="HWY23" s="204"/>
      <c r="HWZ23" s="204"/>
      <c r="HXA23" s="204"/>
      <c r="HXB23" s="204"/>
      <c r="HXC23" s="204"/>
      <c r="HXD23" s="204"/>
      <c r="HXE23" s="204"/>
      <c r="HXF23" s="204"/>
      <c r="HXG23" s="204"/>
      <c r="HXH23" s="204"/>
      <c r="HXI23" s="204"/>
      <c r="HXJ23" s="204"/>
      <c r="HXK23" s="204"/>
      <c r="HXL23" s="204"/>
      <c r="HXM23" s="204"/>
      <c r="HXN23" s="204"/>
      <c r="HXO23" s="204"/>
      <c r="HXP23" s="204"/>
      <c r="HXQ23" s="204"/>
      <c r="HXR23" s="204"/>
      <c r="HXS23" s="204"/>
      <c r="HXT23" s="204"/>
      <c r="HXU23" s="204"/>
      <c r="HXV23" s="204"/>
      <c r="HXW23" s="204"/>
      <c r="HXX23" s="204"/>
      <c r="HXY23" s="204"/>
      <c r="HXZ23" s="204"/>
      <c r="HYA23" s="204"/>
      <c r="HYB23" s="204"/>
      <c r="HYC23" s="204"/>
      <c r="HYD23" s="204"/>
      <c r="HYE23" s="204"/>
      <c r="HYF23" s="204"/>
      <c r="HYG23" s="204"/>
      <c r="HYH23" s="204"/>
      <c r="HYI23" s="204"/>
      <c r="HYJ23" s="204"/>
      <c r="HYK23" s="204"/>
      <c r="HYL23" s="204"/>
      <c r="HYM23" s="204"/>
      <c r="HYN23" s="204"/>
      <c r="HYO23" s="204"/>
      <c r="HYP23" s="204"/>
      <c r="HYQ23" s="204"/>
      <c r="HYR23" s="204"/>
      <c r="HYS23" s="204"/>
      <c r="HYT23" s="204"/>
      <c r="HYU23" s="204"/>
      <c r="HYV23" s="204"/>
      <c r="HYW23" s="204"/>
      <c r="HYX23" s="204"/>
      <c r="HYY23" s="204"/>
      <c r="HYZ23" s="204"/>
      <c r="HZA23" s="204"/>
      <c r="HZB23" s="204"/>
      <c r="HZC23" s="204"/>
      <c r="HZD23" s="204"/>
      <c r="HZE23" s="204"/>
      <c r="HZF23" s="204"/>
      <c r="HZG23" s="204"/>
      <c r="HZH23" s="204"/>
      <c r="HZI23" s="204"/>
      <c r="HZJ23" s="204"/>
      <c r="HZK23" s="204"/>
      <c r="HZL23" s="204"/>
      <c r="HZM23" s="204"/>
      <c r="HZN23" s="204"/>
      <c r="HZO23" s="204"/>
      <c r="HZP23" s="204"/>
      <c r="HZQ23" s="204"/>
      <c r="HZR23" s="204"/>
      <c r="HZS23" s="204"/>
      <c r="HZT23" s="204"/>
      <c r="HZU23" s="204"/>
      <c r="HZV23" s="204"/>
      <c r="HZW23" s="204"/>
      <c r="HZX23" s="204"/>
      <c r="HZY23" s="204"/>
      <c r="HZZ23" s="204"/>
      <c r="IAA23" s="204"/>
      <c r="IAB23" s="204"/>
      <c r="IAC23" s="204"/>
      <c r="IAD23" s="204"/>
      <c r="IAE23" s="204"/>
      <c r="IAF23" s="204"/>
      <c r="IAG23" s="204"/>
      <c r="IAH23" s="204"/>
      <c r="IAI23" s="204"/>
      <c r="IAJ23" s="204"/>
      <c r="IAK23" s="204"/>
      <c r="IAL23" s="204"/>
      <c r="IAM23" s="204"/>
      <c r="IAN23" s="204"/>
      <c r="IAO23" s="204"/>
      <c r="IAP23" s="204"/>
      <c r="IAQ23" s="204"/>
      <c r="IAR23" s="204"/>
      <c r="IAS23" s="204"/>
      <c r="IAT23" s="204"/>
      <c r="IAU23" s="204"/>
      <c r="IAV23" s="204"/>
      <c r="IAW23" s="204"/>
      <c r="IAX23" s="204"/>
      <c r="IAY23" s="204"/>
      <c r="IAZ23" s="204"/>
      <c r="IBA23" s="204"/>
      <c r="IBB23" s="204"/>
      <c r="IBC23" s="204"/>
      <c r="IBD23" s="204"/>
      <c r="IBE23" s="204"/>
      <c r="IBF23" s="204"/>
      <c r="IBG23" s="204"/>
      <c r="IBH23" s="204"/>
      <c r="IBI23" s="204"/>
      <c r="IBJ23" s="204"/>
      <c r="IBK23" s="204"/>
      <c r="IBL23" s="204"/>
      <c r="IBM23" s="204"/>
      <c r="IBN23" s="204"/>
      <c r="IBO23" s="204"/>
      <c r="IBP23" s="204"/>
      <c r="IBQ23" s="204"/>
      <c r="IBR23" s="204"/>
      <c r="IBS23" s="204"/>
      <c r="IBT23" s="204"/>
      <c r="IBU23" s="204"/>
      <c r="IBV23" s="204"/>
      <c r="IBW23" s="204"/>
      <c r="IBX23" s="204"/>
      <c r="IBY23" s="204"/>
      <c r="IBZ23" s="204"/>
      <c r="ICA23" s="204"/>
      <c r="ICB23" s="204"/>
      <c r="ICC23" s="204"/>
      <c r="ICD23" s="204"/>
      <c r="ICE23" s="204"/>
      <c r="ICF23" s="204"/>
      <c r="ICG23" s="204"/>
      <c r="ICH23" s="204"/>
      <c r="ICI23" s="204"/>
      <c r="ICJ23" s="204"/>
      <c r="ICK23" s="204"/>
      <c r="ICL23" s="204"/>
      <c r="ICM23" s="204"/>
      <c r="ICN23" s="204"/>
      <c r="ICO23" s="204"/>
      <c r="ICP23" s="204"/>
      <c r="ICQ23" s="204"/>
      <c r="ICR23" s="204"/>
      <c r="ICS23" s="204"/>
      <c r="ICT23" s="204"/>
      <c r="ICU23" s="204"/>
      <c r="ICV23" s="204"/>
      <c r="ICW23" s="204"/>
      <c r="ICX23" s="204"/>
      <c r="ICY23" s="204"/>
      <c r="ICZ23" s="204"/>
      <c r="IDA23" s="204"/>
      <c r="IDB23" s="204"/>
      <c r="IDC23" s="204"/>
      <c r="IDD23" s="204"/>
      <c r="IDE23" s="204"/>
      <c r="IDF23" s="204"/>
      <c r="IDG23" s="204"/>
      <c r="IDH23" s="204"/>
      <c r="IDI23" s="204"/>
      <c r="IDJ23" s="204"/>
      <c r="IDK23" s="204"/>
      <c r="IDL23" s="204"/>
      <c r="IDM23" s="204"/>
      <c r="IDN23" s="204"/>
      <c r="IDO23" s="204"/>
      <c r="IDP23" s="204"/>
      <c r="IDQ23" s="204"/>
      <c r="IDR23" s="204"/>
      <c r="IDS23" s="204"/>
      <c r="IDT23" s="204"/>
      <c r="IDU23" s="204"/>
      <c r="IDV23" s="204"/>
      <c r="IDW23" s="204"/>
      <c r="IDX23" s="204"/>
      <c r="IDY23" s="204"/>
      <c r="IDZ23" s="204"/>
      <c r="IEA23" s="204"/>
      <c r="IEB23" s="204"/>
      <c r="IEC23" s="204"/>
      <c r="IED23" s="204"/>
      <c r="IEE23" s="204"/>
      <c r="IEF23" s="204"/>
      <c r="IEG23" s="204"/>
      <c r="IEH23" s="204"/>
      <c r="IEI23" s="204"/>
      <c r="IEJ23" s="204"/>
      <c r="IEK23" s="204"/>
      <c r="IEL23" s="204"/>
      <c r="IEM23" s="204"/>
      <c r="IEN23" s="204"/>
      <c r="IEO23" s="204"/>
      <c r="IEP23" s="204"/>
      <c r="IEQ23" s="204"/>
      <c r="IER23" s="204"/>
      <c r="IES23" s="204"/>
      <c r="IET23" s="204"/>
      <c r="IEU23" s="204"/>
      <c r="IEV23" s="204"/>
      <c r="IEW23" s="204"/>
      <c r="IEX23" s="204"/>
      <c r="IEY23" s="204"/>
      <c r="IEZ23" s="204"/>
      <c r="IFA23" s="204"/>
      <c r="IFB23" s="204"/>
      <c r="IFC23" s="204"/>
      <c r="IFD23" s="204"/>
      <c r="IFE23" s="204"/>
      <c r="IFF23" s="204"/>
      <c r="IFG23" s="204"/>
      <c r="IFH23" s="204"/>
      <c r="IFI23" s="204"/>
      <c r="IFJ23" s="204"/>
      <c r="IFK23" s="204"/>
      <c r="IFL23" s="204"/>
      <c r="IFM23" s="204"/>
      <c r="IFN23" s="204"/>
      <c r="IFO23" s="204"/>
      <c r="IFP23" s="204"/>
      <c r="IFQ23" s="204"/>
      <c r="IFR23" s="204"/>
      <c r="IFS23" s="204"/>
      <c r="IFT23" s="204"/>
      <c r="IFU23" s="204"/>
      <c r="IFV23" s="204"/>
      <c r="IFW23" s="204"/>
      <c r="IFX23" s="204"/>
      <c r="IFY23" s="204"/>
      <c r="IFZ23" s="204"/>
      <c r="IGA23" s="204"/>
      <c r="IGB23" s="204"/>
      <c r="IGC23" s="204"/>
      <c r="IGD23" s="204"/>
      <c r="IGE23" s="204"/>
      <c r="IGF23" s="204"/>
      <c r="IGG23" s="204"/>
      <c r="IGH23" s="204"/>
      <c r="IGI23" s="204"/>
      <c r="IGJ23" s="204"/>
      <c r="IGK23" s="204"/>
      <c r="IGL23" s="204"/>
      <c r="IGM23" s="204"/>
      <c r="IGN23" s="204"/>
      <c r="IGO23" s="204"/>
      <c r="IGP23" s="204"/>
      <c r="IGQ23" s="204"/>
      <c r="IGR23" s="204"/>
      <c r="IGS23" s="204"/>
      <c r="IGT23" s="204"/>
      <c r="IGU23" s="204"/>
      <c r="IGV23" s="204"/>
      <c r="IGW23" s="204"/>
      <c r="IGX23" s="204"/>
      <c r="IGY23" s="204"/>
      <c r="IGZ23" s="204"/>
      <c r="IHA23" s="204"/>
      <c r="IHB23" s="204"/>
      <c r="IHC23" s="204"/>
      <c r="IHD23" s="204"/>
      <c r="IHE23" s="204"/>
      <c r="IHF23" s="204"/>
      <c r="IHG23" s="204"/>
      <c r="IHH23" s="204"/>
      <c r="IHI23" s="204"/>
      <c r="IHJ23" s="204"/>
      <c r="IHK23" s="204"/>
      <c r="IHL23" s="204"/>
      <c r="IHM23" s="204"/>
      <c r="IHN23" s="204"/>
      <c r="IHO23" s="204"/>
      <c r="IHP23" s="204"/>
      <c r="IHQ23" s="204"/>
      <c r="IHR23" s="204"/>
      <c r="IHS23" s="204"/>
      <c r="IHT23" s="204"/>
      <c r="IHU23" s="204"/>
      <c r="IHV23" s="204"/>
      <c r="IHW23" s="204"/>
      <c r="IHX23" s="204"/>
      <c r="IHY23" s="204"/>
      <c r="IHZ23" s="204"/>
      <c r="IIA23" s="204"/>
      <c r="IIB23" s="204"/>
      <c r="IIC23" s="204"/>
      <c r="IID23" s="204"/>
      <c r="IIE23" s="204"/>
      <c r="IIF23" s="204"/>
      <c r="IIG23" s="204"/>
      <c r="IIH23" s="204"/>
      <c r="III23" s="204"/>
      <c r="IIJ23" s="204"/>
      <c r="IIK23" s="204"/>
      <c r="IIL23" s="204"/>
      <c r="IIM23" s="204"/>
      <c r="IIN23" s="204"/>
      <c r="IIO23" s="204"/>
      <c r="IIP23" s="204"/>
      <c r="IIQ23" s="204"/>
      <c r="IIR23" s="204"/>
      <c r="IIS23" s="204"/>
      <c r="IIT23" s="204"/>
      <c r="IIU23" s="204"/>
      <c r="IIV23" s="204"/>
      <c r="IIW23" s="204"/>
      <c r="IIX23" s="204"/>
      <c r="IIY23" s="204"/>
      <c r="IIZ23" s="204"/>
      <c r="IJA23" s="204"/>
      <c r="IJB23" s="204"/>
      <c r="IJC23" s="204"/>
      <c r="IJD23" s="204"/>
      <c r="IJE23" s="204"/>
      <c r="IJF23" s="204"/>
      <c r="IJG23" s="204"/>
      <c r="IJH23" s="204"/>
      <c r="IJI23" s="204"/>
      <c r="IJJ23" s="204"/>
      <c r="IJK23" s="204"/>
      <c r="IJL23" s="204"/>
      <c r="IJM23" s="204"/>
      <c r="IJN23" s="204"/>
      <c r="IJO23" s="204"/>
      <c r="IJP23" s="204"/>
      <c r="IJQ23" s="204"/>
      <c r="IJR23" s="204"/>
      <c r="IJS23" s="204"/>
      <c r="IJT23" s="204"/>
      <c r="IJU23" s="204"/>
      <c r="IJV23" s="204"/>
      <c r="IJW23" s="204"/>
      <c r="IJX23" s="204"/>
      <c r="IJY23" s="204"/>
      <c r="IJZ23" s="204"/>
      <c r="IKA23" s="204"/>
      <c r="IKB23" s="204"/>
      <c r="IKC23" s="204"/>
      <c r="IKD23" s="204"/>
      <c r="IKE23" s="204"/>
      <c r="IKF23" s="204"/>
      <c r="IKG23" s="204"/>
      <c r="IKH23" s="204"/>
      <c r="IKI23" s="204"/>
      <c r="IKJ23" s="204"/>
      <c r="IKK23" s="204"/>
      <c r="IKL23" s="204"/>
      <c r="IKM23" s="204"/>
      <c r="IKN23" s="204"/>
      <c r="IKO23" s="204"/>
      <c r="IKP23" s="204"/>
      <c r="IKQ23" s="204"/>
      <c r="IKR23" s="204"/>
      <c r="IKS23" s="204"/>
      <c r="IKT23" s="204"/>
      <c r="IKU23" s="204"/>
      <c r="IKV23" s="204"/>
      <c r="IKW23" s="204"/>
      <c r="IKX23" s="204"/>
      <c r="IKY23" s="204"/>
      <c r="IKZ23" s="204"/>
      <c r="ILA23" s="204"/>
      <c r="ILB23" s="204"/>
      <c r="ILC23" s="204"/>
      <c r="ILD23" s="204"/>
      <c r="ILE23" s="204"/>
      <c r="ILF23" s="204"/>
      <c r="ILG23" s="204"/>
      <c r="ILH23" s="204"/>
      <c r="ILI23" s="204"/>
      <c r="ILJ23" s="204"/>
      <c r="ILK23" s="204"/>
      <c r="ILL23" s="204"/>
      <c r="ILM23" s="204"/>
      <c r="ILN23" s="204"/>
      <c r="ILO23" s="204"/>
      <c r="ILP23" s="204"/>
      <c r="ILQ23" s="204"/>
      <c r="ILR23" s="204"/>
      <c r="ILS23" s="204"/>
      <c r="ILT23" s="204"/>
      <c r="ILU23" s="204"/>
      <c r="ILV23" s="204"/>
      <c r="ILW23" s="204"/>
      <c r="ILX23" s="204"/>
      <c r="ILY23" s="204"/>
      <c r="ILZ23" s="204"/>
      <c r="IMA23" s="204"/>
      <c r="IMB23" s="204"/>
      <c r="IMC23" s="204"/>
      <c r="IMD23" s="204"/>
      <c r="IME23" s="204"/>
      <c r="IMF23" s="204"/>
      <c r="IMG23" s="204"/>
      <c r="IMH23" s="204"/>
      <c r="IMI23" s="204"/>
      <c r="IMJ23" s="204"/>
      <c r="IMK23" s="204"/>
      <c r="IML23" s="204"/>
      <c r="IMM23" s="204"/>
      <c r="IMN23" s="204"/>
      <c r="IMO23" s="204"/>
      <c r="IMP23" s="204"/>
      <c r="IMQ23" s="204"/>
      <c r="IMR23" s="204"/>
      <c r="IMS23" s="204"/>
      <c r="IMT23" s="204"/>
      <c r="IMU23" s="204"/>
      <c r="IMV23" s="204"/>
      <c r="IMW23" s="204"/>
      <c r="IMX23" s="204"/>
      <c r="IMY23" s="204"/>
      <c r="IMZ23" s="204"/>
      <c r="INA23" s="204"/>
      <c r="INB23" s="204"/>
      <c r="INC23" s="204"/>
      <c r="IND23" s="204"/>
      <c r="INE23" s="204"/>
      <c r="INF23" s="204"/>
      <c r="ING23" s="204"/>
      <c r="INH23" s="204"/>
      <c r="INI23" s="204"/>
      <c r="INJ23" s="204"/>
      <c r="INK23" s="204"/>
      <c r="INL23" s="204"/>
      <c r="INM23" s="204"/>
      <c r="INN23" s="204"/>
      <c r="INO23" s="204"/>
      <c r="INP23" s="204"/>
      <c r="INQ23" s="204"/>
      <c r="INR23" s="204"/>
      <c r="INS23" s="204"/>
      <c r="INT23" s="204"/>
      <c r="INU23" s="204"/>
      <c r="INV23" s="204"/>
      <c r="INW23" s="204"/>
      <c r="INX23" s="204"/>
      <c r="INY23" s="204"/>
      <c r="INZ23" s="204"/>
      <c r="IOA23" s="204"/>
      <c r="IOB23" s="204"/>
      <c r="IOC23" s="204"/>
      <c r="IOD23" s="204"/>
      <c r="IOE23" s="204"/>
      <c r="IOF23" s="204"/>
      <c r="IOG23" s="204"/>
      <c r="IOH23" s="204"/>
      <c r="IOI23" s="204"/>
      <c r="IOJ23" s="204"/>
      <c r="IOK23" s="204"/>
      <c r="IOL23" s="204"/>
      <c r="IOM23" s="204"/>
      <c r="ION23" s="204"/>
      <c r="IOO23" s="204"/>
      <c r="IOP23" s="204"/>
      <c r="IOQ23" s="204"/>
      <c r="IOR23" s="204"/>
      <c r="IOS23" s="204"/>
      <c r="IOT23" s="204"/>
      <c r="IOU23" s="204"/>
      <c r="IOV23" s="204"/>
      <c r="IOW23" s="204"/>
      <c r="IOX23" s="204"/>
      <c r="IOY23" s="204"/>
      <c r="IOZ23" s="204"/>
      <c r="IPA23" s="204"/>
      <c r="IPB23" s="204"/>
      <c r="IPC23" s="204"/>
      <c r="IPD23" s="204"/>
      <c r="IPE23" s="204"/>
      <c r="IPF23" s="204"/>
      <c r="IPG23" s="204"/>
      <c r="IPH23" s="204"/>
      <c r="IPI23" s="204"/>
      <c r="IPJ23" s="204"/>
      <c r="IPK23" s="204"/>
      <c r="IPL23" s="204"/>
      <c r="IPM23" s="204"/>
      <c r="IPN23" s="204"/>
      <c r="IPO23" s="204"/>
      <c r="IPP23" s="204"/>
      <c r="IPQ23" s="204"/>
      <c r="IPR23" s="204"/>
      <c r="IPS23" s="204"/>
      <c r="IPT23" s="204"/>
      <c r="IPU23" s="204"/>
      <c r="IPV23" s="204"/>
      <c r="IPW23" s="204"/>
      <c r="IPX23" s="204"/>
      <c r="IPY23" s="204"/>
      <c r="IPZ23" s="204"/>
      <c r="IQA23" s="204"/>
      <c r="IQB23" s="204"/>
      <c r="IQC23" s="204"/>
      <c r="IQD23" s="204"/>
      <c r="IQE23" s="204"/>
      <c r="IQF23" s="204"/>
      <c r="IQG23" s="204"/>
      <c r="IQH23" s="204"/>
      <c r="IQI23" s="204"/>
      <c r="IQJ23" s="204"/>
      <c r="IQK23" s="204"/>
      <c r="IQL23" s="204"/>
      <c r="IQM23" s="204"/>
      <c r="IQN23" s="204"/>
      <c r="IQO23" s="204"/>
      <c r="IQP23" s="204"/>
      <c r="IQQ23" s="204"/>
      <c r="IQR23" s="204"/>
      <c r="IQS23" s="204"/>
      <c r="IQT23" s="204"/>
      <c r="IQU23" s="204"/>
      <c r="IQV23" s="204"/>
      <c r="IQW23" s="204"/>
      <c r="IQX23" s="204"/>
      <c r="IQY23" s="204"/>
      <c r="IQZ23" s="204"/>
      <c r="IRA23" s="204"/>
      <c r="IRB23" s="204"/>
      <c r="IRC23" s="204"/>
      <c r="IRD23" s="204"/>
      <c r="IRE23" s="204"/>
      <c r="IRF23" s="204"/>
      <c r="IRG23" s="204"/>
      <c r="IRH23" s="204"/>
      <c r="IRI23" s="204"/>
      <c r="IRJ23" s="204"/>
      <c r="IRK23" s="204"/>
      <c r="IRL23" s="204"/>
      <c r="IRM23" s="204"/>
      <c r="IRN23" s="204"/>
      <c r="IRO23" s="204"/>
      <c r="IRP23" s="204"/>
      <c r="IRQ23" s="204"/>
      <c r="IRR23" s="204"/>
      <c r="IRS23" s="204"/>
      <c r="IRT23" s="204"/>
      <c r="IRU23" s="204"/>
      <c r="IRV23" s="204"/>
      <c r="IRW23" s="204"/>
      <c r="IRX23" s="204"/>
      <c r="IRY23" s="204"/>
      <c r="IRZ23" s="204"/>
      <c r="ISA23" s="204"/>
      <c r="ISB23" s="204"/>
      <c r="ISC23" s="204"/>
      <c r="ISD23" s="204"/>
      <c r="ISE23" s="204"/>
      <c r="ISF23" s="204"/>
      <c r="ISG23" s="204"/>
      <c r="ISH23" s="204"/>
      <c r="ISI23" s="204"/>
      <c r="ISJ23" s="204"/>
      <c r="ISK23" s="204"/>
      <c r="ISL23" s="204"/>
      <c r="ISM23" s="204"/>
      <c r="ISN23" s="204"/>
      <c r="ISO23" s="204"/>
      <c r="ISP23" s="204"/>
      <c r="ISQ23" s="204"/>
      <c r="ISR23" s="204"/>
      <c r="ISS23" s="204"/>
      <c r="IST23" s="204"/>
      <c r="ISU23" s="204"/>
      <c r="ISV23" s="204"/>
      <c r="ISW23" s="204"/>
      <c r="ISX23" s="204"/>
      <c r="ISY23" s="204"/>
      <c r="ISZ23" s="204"/>
      <c r="ITA23" s="204"/>
      <c r="ITB23" s="204"/>
      <c r="ITC23" s="204"/>
      <c r="ITD23" s="204"/>
      <c r="ITE23" s="204"/>
      <c r="ITF23" s="204"/>
      <c r="ITG23" s="204"/>
      <c r="ITH23" s="204"/>
      <c r="ITI23" s="204"/>
      <c r="ITJ23" s="204"/>
      <c r="ITK23" s="204"/>
      <c r="ITL23" s="204"/>
      <c r="ITM23" s="204"/>
      <c r="ITN23" s="204"/>
      <c r="ITO23" s="204"/>
      <c r="ITP23" s="204"/>
      <c r="ITQ23" s="204"/>
      <c r="ITR23" s="204"/>
      <c r="ITS23" s="204"/>
      <c r="ITT23" s="204"/>
      <c r="ITU23" s="204"/>
      <c r="ITV23" s="204"/>
      <c r="ITW23" s="204"/>
      <c r="ITX23" s="204"/>
      <c r="ITY23" s="204"/>
      <c r="ITZ23" s="204"/>
      <c r="IUA23" s="204"/>
      <c r="IUB23" s="204"/>
      <c r="IUC23" s="204"/>
      <c r="IUD23" s="204"/>
      <c r="IUE23" s="204"/>
      <c r="IUF23" s="204"/>
      <c r="IUG23" s="204"/>
      <c r="IUH23" s="204"/>
      <c r="IUI23" s="204"/>
      <c r="IUJ23" s="204"/>
      <c r="IUK23" s="204"/>
      <c r="IUL23" s="204"/>
      <c r="IUM23" s="204"/>
      <c r="IUN23" s="204"/>
      <c r="IUO23" s="204"/>
      <c r="IUP23" s="204"/>
      <c r="IUQ23" s="204"/>
      <c r="IUR23" s="204"/>
      <c r="IUS23" s="204"/>
      <c r="IUT23" s="204"/>
      <c r="IUU23" s="204"/>
      <c r="IUV23" s="204"/>
      <c r="IUW23" s="204"/>
      <c r="IUX23" s="204"/>
      <c r="IUY23" s="204"/>
      <c r="IUZ23" s="204"/>
      <c r="IVA23" s="204"/>
      <c r="IVB23" s="204"/>
      <c r="IVC23" s="204"/>
      <c r="IVD23" s="204"/>
      <c r="IVE23" s="204"/>
      <c r="IVF23" s="204"/>
      <c r="IVG23" s="204"/>
      <c r="IVH23" s="204"/>
      <c r="IVI23" s="204"/>
      <c r="IVJ23" s="204"/>
      <c r="IVK23" s="204"/>
      <c r="IVL23" s="204"/>
      <c r="IVM23" s="204"/>
      <c r="IVN23" s="204"/>
      <c r="IVO23" s="204"/>
      <c r="IVP23" s="204"/>
      <c r="IVQ23" s="204"/>
      <c r="IVR23" s="204"/>
      <c r="IVS23" s="204"/>
      <c r="IVT23" s="204"/>
      <c r="IVU23" s="204"/>
      <c r="IVV23" s="204"/>
      <c r="IVW23" s="204"/>
      <c r="IVX23" s="204"/>
      <c r="IVY23" s="204"/>
      <c r="IVZ23" s="204"/>
      <c r="IWA23" s="204"/>
      <c r="IWB23" s="204"/>
      <c r="IWC23" s="204"/>
      <c r="IWD23" s="204"/>
      <c r="IWE23" s="204"/>
      <c r="IWF23" s="204"/>
      <c r="IWG23" s="204"/>
      <c r="IWH23" s="204"/>
      <c r="IWI23" s="204"/>
      <c r="IWJ23" s="204"/>
      <c r="IWK23" s="204"/>
      <c r="IWL23" s="204"/>
      <c r="IWM23" s="204"/>
      <c r="IWN23" s="204"/>
      <c r="IWO23" s="204"/>
      <c r="IWP23" s="204"/>
      <c r="IWQ23" s="204"/>
      <c r="IWR23" s="204"/>
      <c r="IWS23" s="204"/>
      <c r="IWT23" s="204"/>
      <c r="IWU23" s="204"/>
      <c r="IWV23" s="204"/>
      <c r="IWW23" s="204"/>
      <c r="IWX23" s="204"/>
      <c r="IWY23" s="204"/>
      <c r="IWZ23" s="204"/>
      <c r="IXA23" s="204"/>
      <c r="IXB23" s="204"/>
      <c r="IXC23" s="204"/>
      <c r="IXD23" s="204"/>
      <c r="IXE23" s="204"/>
      <c r="IXF23" s="204"/>
      <c r="IXG23" s="204"/>
      <c r="IXH23" s="204"/>
      <c r="IXI23" s="204"/>
      <c r="IXJ23" s="204"/>
      <c r="IXK23" s="204"/>
      <c r="IXL23" s="204"/>
      <c r="IXM23" s="204"/>
      <c r="IXN23" s="204"/>
      <c r="IXO23" s="204"/>
      <c r="IXP23" s="204"/>
      <c r="IXQ23" s="204"/>
      <c r="IXR23" s="204"/>
      <c r="IXS23" s="204"/>
      <c r="IXT23" s="204"/>
      <c r="IXU23" s="204"/>
      <c r="IXV23" s="204"/>
      <c r="IXW23" s="204"/>
      <c r="IXX23" s="204"/>
      <c r="IXY23" s="204"/>
      <c r="IXZ23" s="204"/>
      <c r="IYA23" s="204"/>
      <c r="IYB23" s="204"/>
      <c r="IYC23" s="204"/>
      <c r="IYD23" s="204"/>
      <c r="IYE23" s="204"/>
      <c r="IYF23" s="204"/>
      <c r="IYG23" s="204"/>
      <c r="IYH23" s="204"/>
      <c r="IYI23" s="204"/>
      <c r="IYJ23" s="204"/>
      <c r="IYK23" s="204"/>
      <c r="IYL23" s="204"/>
      <c r="IYM23" s="204"/>
      <c r="IYN23" s="204"/>
      <c r="IYO23" s="204"/>
      <c r="IYP23" s="204"/>
      <c r="IYQ23" s="204"/>
      <c r="IYR23" s="204"/>
      <c r="IYS23" s="204"/>
      <c r="IYT23" s="204"/>
      <c r="IYU23" s="204"/>
      <c r="IYV23" s="204"/>
      <c r="IYW23" s="204"/>
      <c r="IYX23" s="204"/>
      <c r="IYY23" s="204"/>
      <c r="IYZ23" s="204"/>
      <c r="IZA23" s="204"/>
      <c r="IZB23" s="204"/>
      <c r="IZC23" s="204"/>
      <c r="IZD23" s="204"/>
      <c r="IZE23" s="204"/>
      <c r="IZF23" s="204"/>
      <c r="IZG23" s="204"/>
      <c r="IZH23" s="204"/>
      <c r="IZI23" s="204"/>
      <c r="IZJ23" s="204"/>
      <c r="IZK23" s="204"/>
      <c r="IZL23" s="204"/>
      <c r="IZM23" s="204"/>
      <c r="IZN23" s="204"/>
      <c r="IZO23" s="204"/>
      <c r="IZP23" s="204"/>
      <c r="IZQ23" s="204"/>
      <c r="IZR23" s="204"/>
      <c r="IZS23" s="204"/>
      <c r="IZT23" s="204"/>
      <c r="IZU23" s="204"/>
      <c r="IZV23" s="204"/>
      <c r="IZW23" s="204"/>
      <c r="IZX23" s="204"/>
      <c r="IZY23" s="204"/>
      <c r="IZZ23" s="204"/>
      <c r="JAA23" s="204"/>
      <c r="JAB23" s="204"/>
      <c r="JAC23" s="204"/>
      <c r="JAD23" s="204"/>
      <c r="JAE23" s="204"/>
      <c r="JAF23" s="204"/>
      <c r="JAG23" s="204"/>
      <c r="JAH23" s="204"/>
      <c r="JAI23" s="204"/>
      <c r="JAJ23" s="204"/>
      <c r="JAK23" s="204"/>
      <c r="JAL23" s="204"/>
      <c r="JAM23" s="204"/>
      <c r="JAN23" s="204"/>
      <c r="JAO23" s="204"/>
      <c r="JAP23" s="204"/>
      <c r="JAQ23" s="204"/>
      <c r="JAR23" s="204"/>
      <c r="JAS23" s="204"/>
      <c r="JAT23" s="204"/>
      <c r="JAU23" s="204"/>
      <c r="JAV23" s="204"/>
      <c r="JAW23" s="204"/>
      <c r="JAX23" s="204"/>
      <c r="JAY23" s="204"/>
      <c r="JAZ23" s="204"/>
      <c r="JBA23" s="204"/>
      <c r="JBB23" s="204"/>
      <c r="JBC23" s="204"/>
      <c r="JBD23" s="204"/>
      <c r="JBE23" s="204"/>
      <c r="JBF23" s="204"/>
      <c r="JBG23" s="204"/>
      <c r="JBH23" s="204"/>
      <c r="JBI23" s="204"/>
      <c r="JBJ23" s="204"/>
      <c r="JBK23" s="204"/>
      <c r="JBL23" s="204"/>
      <c r="JBM23" s="204"/>
      <c r="JBN23" s="204"/>
      <c r="JBO23" s="204"/>
      <c r="JBP23" s="204"/>
      <c r="JBQ23" s="204"/>
      <c r="JBR23" s="204"/>
      <c r="JBS23" s="204"/>
      <c r="JBT23" s="204"/>
      <c r="JBU23" s="204"/>
      <c r="JBV23" s="204"/>
      <c r="JBW23" s="204"/>
      <c r="JBX23" s="204"/>
      <c r="JBY23" s="204"/>
      <c r="JBZ23" s="204"/>
      <c r="JCA23" s="204"/>
      <c r="JCB23" s="204"/>
      <c r="JCC23" s="204"/>
      <c r="JCD23" s="204"/>
      <c r="JCE23" s="204"/>
      <c r="JCF23" s="204"/>
      <c r="JCG23" s="204"/>
      <c r="JCH23" s="204"/>
      <c r="JCI23" s="204"/>
      <c r="JCJ23" s="204"/>
      <c r="JCK23" s="204"/>
      <c r="JCL23" s="204"/>
      <c r="JCM23" s="204"/>
      <c r="JCN23" s="204"/>
      <c r="JCO23" s="204"/>
      <c r="JCP23" s="204"/>
      <c r="JCQ23" s="204"/>
      <c r="JCR23" s="204"/>
      <c r="JCS23" s="204"/>
      <c r="JCT23" s="204"/>
      <c r="JCU23" s="204"/>
      <c r="JCV23" s="204"/>
      <c r="JCW23" s="204"/>
      <c r="JCX23" s="204"/>
      <c r="JCY23" s="204"/>
      <c r="JCZ23" s="204"/>
      <c r="JDA23" s="204"/>
      <c r="JDB23" s="204"/>
      <c r="JDC23" s="204"/>
      <c r="JDD23" s="204"/>
      <c r="JDE23" s="204"/>
      <c r="JDF23" s="204"/>
      <c r="JDG23" s="204"/>
      <c r="JDH23" s="204"/>
      <c r="JDI23" s="204"/>
      <c r="JDJ23" s="204"/>
      <c r="JDK23" s="204"/>
      <c r="JDL23" s="204"/>
      <c r="JDM23" s="204"/>
      <c r="JDN23" s="204"/>
      <c r="JDO23" s="204"/>
      <c r="JDP23" s="204"/>
      <c r="JDQ23" s="204"/>
      <c r="JDR23" s="204"/>
      <c r="JDS23" s="204"/>
      <c r="JDT23" s="204"/>
      <c r="JDU23" s="204"/>
      <c r="JDV23" s="204"/>
      <c r="JDW23" s="204"/>
      <c r="JDX23" s="204"/>
      <c r="JDY23" s="204"/>
      <c r="JDZ23" s="204"/>
      <c r="JEA23" s="204"/>
      <c r="JEB23" s="204"/>
      <c r="JEC23" s="204"/>
      <c r="JED23" s="204"/>
      <c r="JEE23" s="204"/>
      <c r="JEF23" s="204"/>
      <c r="JEG23" s="204"/>
      <c r="JEH23" s="204"/>
      <c r="JEI23" s="204"/>
      <c r="JEJ23" s="204"/>
      <c r="JEK23" s="204"/>
      <c r="JEL23" s="204"/>
      <c r="JEM23" s="204"/>
      <c r="JEN23" s="204"/>
      <c r="JEO23" s="204"/>
      <c r="JEP23" s="204"/>
      <c r="JEQ23" s="204"/>
      <c r="JER23" s="204"/>
      <c r="JES23" s="204"/>
      <c r="JET23" s="204"/>
      <c r="JEU23" s="204"/>
      <c r="JEV23" s="204"/>
      <c r="JEW23" s="204"/>
      <c r="JEX23" s="204"/>
      <c r="JEY23" s="204"/>
      <c r="JEZ23" s="204"/>
      <c r="JFA23" s="204"/>
      <c r="JFB23" s="204"/>
      <c r="JFC23" s="204"/>
      <c r="JFD23" s="204"/>
      <c r="JFE23" s="204"/>
      <c r="JFF23" s="204"/>
      <c r="JFG23" s="204"/>
      <c r="JFH23" s="204"/>
      <c r="JFI23" s="204"/>
      <c r="JFJ23" s="204"/>
      <c r="JFK23" s="204"/>
      <c r="JFL23" s="204"/>
      <c r="JFM23" s="204"/>
      <c r="JFN23" s="204"/>
      <c r="JFO23" s="204"/>
      <c r="JFP23" s="204"/>
      <c r="JFQ23" s="204"/>
      <c r="JFR23" s="204"/>
      <c r="JFS23" s="204"/>
      <c r="JFT23" s="204"/>
      <c r="JFU23" s="204"/>
      <c r="JFV23" s="204"/>
      <c r="JFW23" s="204"/>
      <c r="JFX23" s="204"/>
      <c r="JFY23" s="204"/>
      <c r="JFZ23" s="204"/>
      <c r="JGA23" s="204"/>
      <c r="JGB23" s="204"/>
      <c r="JGC23" s="204"/>
      <c r="JGD23" s="204"/>
      <c r="JGE23" s="204"/>
      <c r="JGF23" s="204"/>
      <c r="JGG23" s="204"/>
      <c r="JGH23" s="204"/>
      <c r="JGI23" s="204"/>
      <c r="JGJ23" s="204"/>
      <c r="JGK23" s="204"/>
      <c r="JGL23" s="204"/>
      <c r="JGM23" s="204"/>
      <c r="JGN23" s="204"/>
      <c r="JGO23" s="204"/>
      <c r="JGP23" s="204"/>
      <c r="JGQ23" s="204"/>
      <c r="JGR23" s="204"/>
      <c r="JGS23" s="204"/>
      <c r="JGT23" s="204"/>
      <c r="JGU23" s="204"/>
      <c r="JGV23" s="204"/>
      <c r="JGW23" s="204"/>
      <c r="JGX23" s="204"/>
      <c r="JGY23" s="204"/>
      <c r="JGZ23" s="204"/>
      <c r="JHA23" s="204"/>
      <c r="JHB23" s="204"/>
      <c r="JHC23" s="204"/>
      <c r="JHD23" s="204"/>
      <c r="JHE23" s="204"/>
      <c r="JHF23" s="204"/>
      <c r="JHG23" s="204"/>
      <c r="JHH23" s="204"/>
      <c r="JHI23" s="204"/>
      <c r="JHJ23" s="204"/>
      <c r="JHK23" s="204"/>
      <c r="JHL23" s="204"/>
      <c r="JHM23" s="204"/>
      <c r="JHN23" s="204"/>
      <c r="JHO23" s="204"/>
      <c r="JHP23" s="204"/>
      <c r="JHQ23" s="204"/>
      <c r="JHR23" s="204"/>
      <c r="JHS23" s="204"/>
      <c r="JHT23" s="204"/>
      <c r="JHU23" s="204"/>
      <c r="JHV23" s="204"/>
      <c r="JHW23" s="204"/>
      <c r="JHX23" s="204"/>
      <c r="JHY23" s="204"/>
      <c r="JHZ23" s="204"/>
      <c r="JIA23" s="204"/>
      <c r="JIB23" s="204"/>
      <c r="JIC23" s="204"/>
      <c r="JID23" s="204"/>
      <c r="JIE23" s="204"/>
      <c r="JIF23" s="204"/>
      <c r="JIG23" s="204"/>
      <c r="JIH23" s="204"/>
      <c r="JII23" s="204"/>
      <c r="JIJ23" s="204"/>
      <c r="JIK23" s="204"/>
      <c r="JIL23" s="204"/>
      <c r="JIM23" s="204"/>
      <c r="JIN23" s="204"/>
      <c r="JIO23" s="204"/>
      <c r="JIP23" s="204"/>
      <c r="JIQ23" s="204"/>
      <c r="JIR23" s="204"/>
      <c r="JIS23" s="204"/>
      <c r="JIT23" s="204"/>
      <c r="JIU23" s="204"/>
      <c r="JIV23" s="204"/>
      <c r="JIW23" s="204"/>
      <c r="JIX23" s="204"/>
      <c r="JIY23" s="204"/>
      <c r="JIZ23" s="204"/>
      <c r="JJA23" s="204"/>
      <c r="JJB23" s="204"/>
      <c r="JJC23" s="204"/>
      <c r="JJD23" s="204"/>
      <c r="JJE23" s="204"/>
      <c r="JJF23" s="204"/>
      <c r="JJG23" s="204"/>
      <c r="JJH23" s="204"/>
      <c r="JJI23" s="204"/>
      <c r="JJJ23" s="204"/>
      <c r="JJK23" s="204"/>
      <c r="JJL23" s="204"/>
      <c r="JJM23" s="204"/>
      <c r="JJN23" s="204"/>
      <c r="JJO23" s="204"/>
      <c r="JJP23" s="204"/>
      <c r="JJQ23" s="204"/>
      <c r="JJR23" s="204"/>
      <c r="JJS23" s="204"/>
      <c r="JJT23" s="204"/>
      <c r="JJU23" s="204"/>
      <c r="JJV23" s="204"/>
      <c r="JJW23" s="204"/>
      <c r="JJX23" s="204"/>
      <c r="JJY23" s="204"/>
      <c r="JJZ23" s="204"/>
      <c r="JKA23" s="204"/>
      <c r="JKB23" s="204"/>
      <c r="JKC23" s="204"/>
      <c r="JKD23" s="204"/>
      <c r="JKE23" s="204"/>
      <c r="JKF23" s="204"/>
      <c r="JKG23" s="204"/>
      <c r="JKH23" s="204"/>
      <c r="JKI23" s="204"/>
      <c r="JKJ23" s="204"/>
      <c r="JKK23" s="204"/>
      <c r="JKL23" s="204"/>
      <c r="JKM23" s="204"/>
      <c r="JKN23" s="204"/>
      <c r="JKO23" s="204"/>
      <c r="JKP23" s="204"/>
      <c r="JKQ23" s="204"/>
      <c r="JKR23" s="204"/>
      <c r="JKS23" s="204"/>
      <c r="JKT23" s="204"/>
      <c r="JKU23" s="204"/>
      <c r="JKV23" s="204"/>
      <c r="JKW23" s="204"/>
      <c r="JKX23" s="204"/>
      <c r="JKY23" s="204"/>
      <c r="JKZ23" s="204"/>
      <c r="JLA23" s="204"/>
      <c r="JLB23" s="204"/>
      <c r="JLC23" s="204"/>
      <c r="JLD23" s="204"/>
      <c r="JLE23" s="204"/>
      <c r="JLF23" s="204"/>
      <c r="JLG23" s="204"/>
      <c r="JLH23" s="204"/>
      <c r="JLI23" s="204"/>
      <c r="JLJ23" s="204"/>
      <c r="JLK23" s="204"/>
      <c r="JLL23" s="204"/>
      <c r="JLM23" s="204"/>
      <c r="JLN23" s="204"/>
      <c r="JLO23" s="204"/>
      <c r="JLP23" s="204"/>
      <c r="JLQ23" s="204"/>
      <c r="JLR23" s="204"/>
      <c r="JLS23" s="204"/>
      <c r="JLT23" s="204"/>
      <c r="JLU23" s="204"/>
      <c r="JLV23" s="204"/>
      <c r="JLW23" s="204"/>
      <c r="JLX23" s="204"/>
      <c r="JLY23" s="204"/>
      <c r="JLZ23" s="204"/>
      <c r="JMA23" s="204"/>
      <c r="JMB23" s="204"/>
      <c r="JMC23" s="204"/>
      <c r="JMD23" s="204"/>
      <c r="JME23" s="204"/>
      <c r="JMF23" s="204"/>
      <c r="JMG23" s="204"/>
      <c r="JMH23" s="204"/>
      <c r="JMI23" s="204"/>
      <c r="JMJ23" s="204"/>
      <c r="JMK23" s="204"/>
      <c r="JML23" s="204"/>
      <c r="JMM23" s="204"/>
      <c r="JMN23" s="204"/>
      <c r="JMO23" s="204"/>
      <c r="JMP23" s="204"/>
      <c r="JMQ23" s="204"/>
      <c r="JMR23" s="204"/>
      <c r="JMS23" s="204"/>
      <c r="JMT23" s="204"/>
      <c r="JMU23" s="204"/>
      <c r="JMV23" s="204"/>
      <c r="JMW23" s="204"/>
      <c r="JMX23" s="204"/>
      <c r="JMY23" s="204"/>
      <c r="JMZ23" s="204"/>
      <c r="JNA23" s="204"/>
      <c r="JNB23" s="204"/>
      <c r="JNC23" s="204"/>
      <c r="JND23" s="204"/>
      <c r="JNE23" s="204"/>
      <c r="JNF23" s="204"/>
      <c r="JNG23" s="204"/>
      <c r="JNH23" s="204"/>
      <c r="JNI23" s="204"/>
      <c r="JNJ23" s="204"/>
      <c r="JNK23" s="204"/>
      <c r="JNL23" s="204"/>
      <c r="JNM23" s="204"/>
      <c r="JNN23" s="204"/>
      <c r="JNO23" s="204"/>
      <c r="JNP23" s="204"/>
      <c r="JNQ23" s="204"/>
      <c r="JNR23" s="204"/>
      <c r="JNS23" s="204"/>
      <c r="JNT23" s="204"/>
      <c r="JNU23" s="204"/>
      <c r="JNV23" s="204"/>
      <c r="JNW23" s="204"/>
      <c r="JNX23" s="204"/>
      <c r="JNY23" s="204"/>
      <c r="JNZ23" s="204"/>
      <c r="JOA23" s="204"/>
      <c r="JOB23" s="204"/>
      <c r="JOC23" s="204"/>
      <c r="JOD23" s="204"/>
      <c r="JOE23" s="204"/>
      <c r="JOF23" s="204"/>
      <c r="JOG23" s="204"/>
      <c r="JOH23" s="204"/>
      <c r="JOI23" s="204"/>
      <c r="JOJ23" s="204"/>
      <c r="JOK23" s="204"/>
      <c r="JOL23" s="204"/>
      <c r="JOM23" s="204"/>
      <c r="JON23" s="204"/>
      <c r="JOO23" s="204"/>
      <c r="JOP23" s="204"/>
      <c r="JOQ23" s="204"/>
      <c r="JOR23" s="204"/>
      <c r="JOS23" s="204"/>
      <c r="JOT23" s="204"/>
      <c r="JOU23" s="204"/>
      <c r="JOV23" s="204"/>
      <c r="JOW23" s="204"/>
      <c r="JOX23" s="204"/>
      <c r="JOY23" s="204"/>
      <c r="JOZ23" s="204"/>
      <c r="JPA23" s="204"/>
      <c r="JPB23" s="204"/>
      <c r="JPC23" s="204"/>
      <c r="JPD23" s="204"/>
      <c r="JPE23" s="204"/>
      <c r="JPF23" s="204"/>
      <c r="JPG23" s="204"/>
      <c r="JPH23" s="204"/>
      <c r="JPI23" s="204"/>
      <c r="JPJ23" s="204"/>
      <c r="JPK23" s="204"/>
      <c r="JPL23" s="204"/>
      <c r="JPM23" s="204"/>
      <c r="JPN23" s="204"/>
      <c r="JPO23" s="204"/>
      <c r="JPP23" s="204"/>
      <c r="JPQ23" s="204"/>
      <c r="JPR23" s="204"/>
      <c r="JPS23" s="204"/>
      <c r="JPT23" s="204"/>
      <c r="JPU23" s="204"/>
      <c r="JPV23" s="204"/>
      <c r="JPW23" s="204"/>
      <c r="JPX23" s="204"/>
      <c r="JPY23" s="204"/>
      <c r="JPZ23" s="204"/>
      <c r="JQA23" s="204"/>
      <c r="JQB23" s="204"/>
      <c r="JQC23" s="204"/>
      <c r="JQD23" s="204"/>
      <c r="JQE23" s="204"/>
      <c r="JQF23" s="204"/>
      <c r="JQG23" s="204"/>
      <c r="JQH23" s="204"/>
      <c r="JQI23" s="204"/>
      <c r="JQJ23" s="204"/>
      <c r="JQK23" s="204"/>
      <c r="JQL23" s="204"/>
      <c r="JQM23" s="204"/>
      <c r="JQN23" s="204"/>
      <c r="JQO23" s="204"/>
      <c r="JQP23" s="204"/>
      <c r="JQQ23" s="204"/>
      <c r="JQR23" s="204"/>
      <c r="JQS23" s="204"/>
      <c r="JQT23" s="204"/>
      <c r="JQU23" s="204"/>
      <c r="JQV23" s="204"/>
      <c r="JQW23" s="204"/>
      <c r="JQX23" s="204"/>
      <c r="JQY23" s="204"/>
      <c r="JQZ23" s="204"/>
      <c r="JRA23" s="204"/>
      <c r="JRB23" s="204"/>
      <c r="JRC23" s="204"/>
      <c r="JRD23" s="204"/>
      <c r="JRE23" s="204"/>
      <c r="JRF23" s="204"/>
      <c r="JRG23" s="204"/>
      <c r="JRH23" s="204"/>
      <c r="JRI23" s="204"/>
      <c r="JRJ23" s="204"/>
      <c r="JRK23" s="204"/>
      <c r="JRL23" s="204"/>
      <c r="JRM23" s="204"/>
      <c r="JRN23" s="204"/>
      <c r="JRO23" s="204"/>
      <c r="JRP23" s="204"/>
      <c r="JRQ23" s="204"/>
      <c r="JRR23" s="204"/>
      <c r="JRS23" s="204"/>
      <c r="JRT23" s="204"/>
      <c r="JRU23" s="204"/>
      <c r="JRV23" s="204"/>
      <c r="JRW23" s="204"/>
      <c r="JRX23" s="204"/>
      <c r="JRY23" s="204"/>
      <c r="JRZ23" s="204"/>
      <c r="JSA23" s="204"/>
      <c r="JSB23" s="204"/>
      <c r="JSC23" s="204"/>
      <c r="JSD23" s="204"/>
      <c r="JSE23" s="204"/>
      <c r="JSF23" s="204"/>
      <c r="JSG23" s="204"/>
      <c r="JSH23" s="204"/>
      <c r="JSI23" s="204"/>
      <c r="JSJ23" s="204"/>
      <c r="JSK23" s="204"/>
      <c r="JSL23" s="204"/>
      <c r="JSM23" s="204"/>
      <c r="JSN23" s="204"/>
      <c r="JSO23" s="204"/>
      <c r="JSP23" s="204"/>
      <c r="JSQ23" s="204"/>
      <c r="JSR23" s="204"/>
      <c r="JSS23" s="204"/>
      <c r="JST23" s="204"/>
      <c r="JSU23" s="204"/>
      <c r="JSV23" s="204"/>
      <c r="JSW23" s="204"/>
      <c r="JSX23" s="204"/>
      <c r="JSY23" s="204"/>
      <c r="JSZ23" s="204"/>
      <c r="JTA23" s="204"/>
      <c r="JTB23" s="204"/>
      <c r="JTC23" s="204"/>
      <c r="JTD23" s="204"/>
      <c r="JTE23" s="204"/>
      <c r="JTF23" s="204"/>
      <c r="JTG23" s="204"/>
      <c r="JTH23" s="204"/>
      <c r="JTI23" s="204"/>
      <c r="JTJ23" s="204"/>
      <c r="JTK23" s="204"/>
      <c r="JTL23" s="204"/>
      <c r="JTM23" s="204"/>
      <c r="JTN23" s="204"/>
      <c r="JTO23" s="204"/>
      <c r="JTP23" s="204"/>
      <c r="JTQ23" s="204"/>
      <c r="JTR23" s="204"/>
      <c r="JTS23" s="204"/>
      <c r="JTT23" s="204"/>
      <c r="JTU23" s="204"/>
      <c r="JTV23" s="204"/>
      <c r="JTW23" s="204"/>
      <c r="JTX23" s="204"/>
      <c r="JTY23" s="204"/>
      <c r="JTZ23" s="204"/>
      <c r="JUA23" s="204"/>
      <c r="JUB23" s="204"/>
      <c r="JUC23" s="204"/>
      <c r="JUD23" s="204"/>
      <c r="JUE23" s="204"/>
      <c r="JUF23" s="204"/>
      <c r="JUG23" s="204"/>
      <c r="JUH23" s="204"/>
      <c r="JUI23" s="204"/>
      <c r="JUJ23" s="204"/>
      <c r="JUK23" s="204"/>
      <c r="JUL23" s="204"/>
      <c r="JUM23" s="204"/>
      <c r="JUN23" s="204"/>
      <c r="JUO23" s="204"/>
      <c r="JUP23" s="204"/>
      <c r="JUQ23" s="204"/>
      <c r="JUR23" s="204"/>
      <c r="JUS23" s="204"/>
      <c r="JUT23" s="204"/>
      <c r="JUU23" s="204"/>
      <c r="JUV23" s="204"/>
      <c r="JUW23" s="204"/>
      <c r="JUX23" s="204"/>
      <c r="JUY23" s="204"/>
      <c r="JUZ23" s="204"/>
      <c r="JVA23" s="204"/>
      <c r="JVB23" s="204"/>
      <c r="JVC23" s="204"/>
      <c r="JVD23" s="204"/>
      <c r="JVE23" s="204"/>
      <c r="JVF23" s="204"/>
      <c r="JVG23" s="204"/>
      <c r="JVH23" s="204"/>
      <c r="JVI23" s="204"/>
      <c r="JVJ23" s="204"/>
      <c r="JVK23" s="204"/>
      <c r="JVL23" s="204"/>
      <c r="JVM23" s="204"/>
      <c r="JVN23" s="204"/>
      <c r="JVO23" s="204"/>
      <c r="JVP23" s="204"/>
      <c r="JVQ23" s="204"/>
      <c r="JVR23" s="204"/>
      <c r="JVS23" s="204"/>
      <c r="JVT23" s="204"/>
      <c r="JVU23" s="204"/>
      <c r="JVV23" s="204"/>
      <c r="JVW23" s="204"/>
      <c r="JVX23" s="204"/>
      <c r="JVY23" s="204"/>
      <c r="JVZ23" s="204"/>
      <c r="JWA23" s="204"/>
      <c r="JWB23" s="204"/>
      <c r="JWC23" s="204"/>
      <c r="JWD23" s="204"/>
      <c r="JWE23" s="204"/>
      <c r="JWF23" s="204"/>
      <c r="JWG23" s="204"/>
      <c r="JWH23" s="204"/>
      <c r="JWI23" s="204"/>
      <c r="JWJ23" s="204"/>
      <c r="JWK23" s="204"/>
      <c r="JWL23" s="204"/>
      <c r="JWM23" s="204"/>
      <c r="JWN23" s="204"/>
      <c r="JWO23" s="204"/>
      <c r="JWP23" s="204"/>
      <c r="JWQ23" s="204"/>
      <c r="JWR23" s="204"/>
      <c r="JWS23" s="204"/>
      <c r="JWT23" s="204"/>
      <c r="JWU23" s="204"/>
      <c r="JWV23" s="204"/>
      <c r="JWW23" s="204"/>
      <c r="JWX23" s="204"/>
      <c r="JWY23" s="204"/>
      <c r="JWZ23" s="204"/>
      <c r="JXA23" s="204"/>
      <c r="JXB23" s="204"/>
      <c r="JXC23" s="204"/>
      <c r="JXD23" s="204"/>
      <c r="JXE23" s="204"/>
      <c r="JXF23" s="204"/>
      <c r="JXG23" s="204"/>
      <c r="JXH23" s="204"/>
      <c r="JXI23" s="204"/>
      <c r="JXJ23" s="204"/>
      <c r="JXK23" s="204"/>
      <c r="JXL23" s="204"/>
      <c r="JXM23" s="204"/>
      <c r="JXN23" s="204"/>
      <c r="JXO23" s="204"/>
      <c r="JXP23" s="204"/>
      <c r="JXQ23" s="204"/>
      <c r="JXR23" s="204"/>
      <c r="JXS23" s="204"/>
      <c r="JXT23" s="204"/>
      <c r="JXU23" s="204"/>
      <c r="JXV23" s="204"/>
      <c r="JXW23" s="204"/>
      <c r="JXX23" s="204"/>
      <c r="JXY23" s="204"/>
      <c r="JXZ23" s="204"/>
      <c r="JYA23" s="204"/>
      <c r="JYB23" s="204"/>
      <c r="JYC23" s="204"/>
      <c r="JYD23" s="204"/>
      <c r="JYE23" s="204"/>
      <c r="JYF23" s="204"/>
      <c r="JYG23" s="204"/>
      <c r="JYH23" s="204"/>
      <c r="JYI23" s="204"/>
      <c r="JYJ23" s="204"/>
      <c r="JYK23" s="204"/>
      <c r="JYL23" s="204"/>
      <c r="JYM23" s="204"/>
      <c r="JYN23" s="204"/>
      <c r="JYO23" s="204"/>
      <c r="JYP23" s="204"/>
      <c r="JYQ23" s="204"/>
      <c r="JYR23" s="204"/>
      <c r="JYS23" s="204"/>
      <c r="JYT23" s="204"/>
      <c r="JYU23" s="204"/>
      <c r="JYV23" s="204"/>
      <c r="JYW23" s="204"/>
      <c r="JYX23" s="204"/>
      <c r="JYY23" s="204"/>
      <c r="JYZ23" s="204"/>
      <c r="JZA23" s="204"/>
      <c r="JZB23" s="204"/>
      <c r="JZC23" s="204"/>
      <c r="JZD23" s="204"/>
      <c r="JZE23" s="204"/>
      <c r="JZF23" s="204"/>
      <c r="JZG23" s="204"/>
      <c r="JZH23" s="204"/>
      <c r="JZI23" s="204"/>
      <c r="JZJ23" s="204"/>
      <c r="JZK23" s="204"/>
      <c r="JZL23" s="204"/>
      <c r="JZM23" s="204"/>
      <c r="JZN23" s="204"/>
      <c r="JZO23" s="204"/>
      <c r="JZP23" s="204"/>
      <c r="JZQ23" s="204"/>
      <c r="JZR23" s="204"/>
      <c r="JZS23" s="204"/>
      <c r="JZT23" s="204"/>
      <c r="JZU23" s="204"/>
      <c r="JZV23" s="204"/>
      <c r="JZW23" s="204"/>
      <c r="JZX23" s="204"/>
      <c r="JZY23" s="204"/>
      <c r="JZZ23" s="204"/>
      <c r="KAA23" s="204"/>
      <c r="KAB23" s="204"/>
      <c r="KAC23" s="204"/>
      <c r="KAD23" s="204"/>
      <c r="KAE23" s="204"/>
      <c r="KAF23" s="204"/>
      <c r="KAG23" s="204"/>
      <c r="KAH23" s="204"/>
      <c r="KAI23" s="204"/>
      <c r="KAJ23" s="204"/>
      <c r="KAK23" s="204"/>
      <c r="KAL23" s="204"/>
      <c r="KAM23" s="204"/>
      <c r="KAN23" s="204"/>
      <c r="KAO23" s="204"/>
      <c r="KAP23" s="204"/>
      <c r="KAQ23" s="204"/>
      <c r="KAR23" s="204"/>
      <c r="KAS23" s="204"/>
      <c r="KAT23" s="204"/>
      <c r="KAU23" s="204"/>
      <c r="KAV23" s="204"/>
      <c r="KAW23" s="204"/>
      <c r="KAX23" s="204"/>
      <c r="KAY23" s="204"/>
      <c r="KAZ23" s="204"/>
      <c r="KBA23" s="204"/>
      <c r="KBB23" s="204"/>
      <c r="KBC23" s="204"/>
      <c r="KBD23" s="204"/>
      <c r="KBE23" s="204"/>
      <c r="KBF23" s="204"/>
      <c r="KBG23" s="204"/>
      <c r="KBH23" s="204"/>
      <c r="KBI23" s="204"/>
      <c r="KBJ23" s="204"/>
      <c r="KBK23" s="204"/>
      <c r="KBL23" s="204"/>
      <c r="KBM23" s="204"/>
      <c r="KBN23" s="204"/>
      <c r="KBO23" s="204"/>
      <c r="KBP23" s="204"/>
      <c r="KBQ23" s="204"/>
      <c r="KBR23" s="204"/>
      <c r="KBS23" s="204"/>
      <c r="KBT23" s="204"/>
      <c r="KBU23" s="204"/>
      <c r="KBV23" s="204"/>
      <c r="KBW23" s="204"/>
      <c r="KBX23" s="204"/>
      <c r="KBY23" s="204"/>
      <c r="KBZ23" s="204"/>
      <c r="KCA23" s="204"/>
      <c r="KCB23" s="204"/>
      <c r="KCC23" s="204"/>
      <c r="KCD23" s="204"/>
      <c r="KCE23" s="204"/>
      <c r="KCF23" s="204"/>
      <c r="KCG23" s="204"/>
      <c r="KCH23" s="204"/>
      <c r="KCI23" s="204"/>
      <c r="KCJ23" s="204"/>
      <c r="KCK23" s="204"/>
      <c r="KCL23" s="204"/>
      <c r="KCM23" s="204"/>
      <c r="KCN23" s="204"/>
      <c r="KCO23" s="204"/>
      <c r="KCP23" s="204"/>
      <c r="KCQ23" s="204"/>
      <c r="KCR23" s="204"/>
      <c r="KCS23" s="204"/>
      <c r="KCT23" s="204"/>
      <c r="KCU23" s="204"/>
      <c r="KCV23" s="204"/>
      <c r="KCW23" s="204"/>
      <c r="KCX23" s="204"/>
      <c r="KCY23" s="204"/>
      <c r="KCZ23" s="204"/>
      <c r="KDA23" s="204"/>
      <c r="KDB23" s="204"/>
      <c r="KDC23" s="204"/>
      <c r="KDD23" s="204"/>
      <c r="KDE23" s="204"/>
      <c r="KDF23" s="204"/>
      <c r="KDG23" s="204"/>
      <c r="KDH23" s="204"/>
      <c r="KDI23" s="204"/>
      <c r="KDJ23" s="204"/>
      <c r="KDK23" s="204"/>
      <c r="KDL23" s="204"/>
      <c r="KDM23" s="204"/>
      <c r="KDN23" s="204"/>
      <c r="KDO23" s="204"/>
      <c r="KDP23" s="204"/>
      <c r="KDQ23" s="204"/>
      <c r="KDR23" s="204"/>
      <c r="KDS23" s="204"/>
      <c r="KDT23" s="204"/>
      <c r="KDU23" s="204"/>
      <c r="KDV23" s="204"/>
      <c r="KDW23" s="204"/>
      <c r="KDX23" s="204"/>
      <c r="KDY23" s="204"/>
      <c r="KDZ23" s="204"/>
      <c r="KEA23" s="204"/>
      <c r="KEB23" s="204"/>
      <c r="KEC23" s="204"/>
      <c r="KED23" s="204"/>
      <c r="KEE23" s="204"/>
      <c r="KEF23" s="204"/>
      <c r="KEG23" s="204"/>
      <c r="KEH23" s="204"/>
      <c r="KEI23" s="204"/>
      <c r="KEJ23" s="204"/>
      <c r="KEK23" s="204"/>
      <c r="KEL23" s="204"/>
      <c r="KEM23" s="204"/>
      <c r="KEN23" s="204"/>
      <c r="KEO23" s="204"/>
      <c r="KEP23" s="204"/>
      <c r="KEQ23" s="204"/>
      <c r="KER23" s="204"/>
      <c r="KES23" s="204"/>
      <c r="KET23" s="204"/>
      <c r="KEU23" s="204"/>
      <c r="KEV23" s="204"/>
      <c r="KEW23" s="204"/>
      <c r="KEX23" s="204"/>
      <c r="KEY23" s="204"/>
      <c r="KEZ23" s="204"/>
      <c r="KFA23" s="204"/>
      <c r="KFB23" s="204"/>
      <c r="KFC23" s="204"/>
      <c r="KFD23" s="204"/>
      <c r="KFE23" s="204"/>
      <c r="KFF23" s="204"/>
      <c r="KFG23" s="204"/>
      <c r="KFH23" s="204"/>
      <c r="KFI23" s="204"/>
      <c r="KFJ23" s="204"/>
      <c r="KFK23" s="204"/>
      <c r="KFL23" s="204"/>
      <c r="KFM23" s="204"/>
      <c r="KFN23" s="204"/>
      <c r="KFO23" s="204"/>
      <c r="KFP23" s="204"/>
      <c r="KFQ23" s="204"/>
      <c r="KFR23" s="204"/>
      <c r="KFS23" s="204"/>
      <c r="KFT23" s="204"/>
      <c r="KFU23" s="204"/>
      <c r="KFV23" s="204"/>
      <c r="KFW23" s="204"/>
      <c r="KFX23" s="204"/>
      <c r="KFY23" s="204"/>
      <c r="KFZ23" s="204"/>
      <c r="KGA23" s="204"/>
      <c r="KGB23" s="204"/>
      <c r="KGC23" s="204"/>
      <c r="KGD23" s="204"/>
      <c r="KGE23" s="204"/>
      <c r="KGF23" s="204"/>
      <c r="KGG23" s="204"/>
      <c r="KGH23" s="204"/>
      <c r="KGI23" s="204"/>
      <c r="KGJ23" s="204"/>
      <c r="KGK23" s="204"/>
      <c r="KGL23" s="204"/>
      <c r="KGM23" s="204"/>
      <c r="KGN23" s="204"/>
      <c r="KGO23" s="204"/>
      <c r="KGP23" s="204"/>
      <c r="KGQ23" s="204"/>
      <c r="KGR23" s="204"/>
      <c r="KGS23" s="204"/>
      <c r="KGT23" s="204"/>
      <c r="KGU23" s="204"/>
      <c r="KGV23" s="204"/>
      <c r="KGW23" s="204"/>
      <c r="KGX23" s="204"/>
      <c r="KGY23" s="204"/>
      <c r="KGZ23" s="204"/>
      <c r="KHA23" s="204"/>
      <c r="KHB23" s="204"/>
      <c r="KHC23" s="204"/>
      <c r="KHD23" s="204"/>
      <c r="KHE23" s="204"/>
      <c r="KHF23" s="204"/>
      <c r="KHG23" s="204"/>
      <c r="KHH23" s="204"/>
      <c r="KHI23" s="204"/>
      <c r="KHJ23" s="204"/>
      <c r="KHK23" s="204"/>
      <c r="KHL23" s="204"/>
      <c r="KHM23" s="204"/>
      <c r="KHN23" s="204"/>
      <c r="KHO23" s="204"/>
      <c r="KHP23" s="204"/>
      <c r="KHQ23" s="204"/>
      <c r="KHR23" s="204"/>
      <c r="KHS23" s="204"/>
      <c r="KHT23" s="204"/>
      <c r="KHU23" s="204"/>
      <c r="KHV23" s="204"/>
      <c r="KHW23" s="204"/>
      <c r="KHX23" s="204"/>
      <c r="KHY23" s="204"/>
      <c r="KHZ23" s="204"/>
      <c r="KIA23" s="204"/>
      <c r="KIB23" s="204"/>
      <c r="KIC23" s="204"/>
      <c r="KID23" s="204"/>
      <c r="KIE23" s="204"/>
      <c r="KIF23" s="204"/>
      <c r="KIG23" s="204"/>
      <c r="KIH23" s="204"/>
      <c r="KII23" s="204"/>
      <c r="KIJ23" s="204"/>
      <c r="KIK23" s="204"/>
      <c r="KIL23" s="204"/>
      <c r="KIM23" s="204"/>
      <c r="KIN23" s="204"/>
      <c r="KIO23" s="204"/>
      <c r="KIP23" s="204"/>
      <c r="KIQ23" s="204"/>
      <c r="KIR23" s="204"/>
      <c r="KIS23" s="204"/>
      <c r="KIT23" s="204"/>
      <c r="KIU23" s="204"/>
      <c r="KIV23" s="204"/>
      <c r="KIW23" s="204"/>
      <c r="KIX23" s="204"/>
      <c r="KIY23" s="204"/>
      <c r="KIZ23" s="204"/>
      <c r="KJA23" s="204"/>
      <c r="KJB23" s="204"/>
      <c r="KJC23" s="204"/>
      <c r="KJD23" s="204"/>
      <c r="KJE23" s="204"/>
      <c r="KJF23" s="204"/>
      <c r="KJG23" s="204"/>
      <c r="KJH23" s="204"/>
      <c r="KJI23" s="204"/>
      <c r="KJJ23" s="204"/>
      <c r="KJK23" s="204"/>
      <c r="KJL23" s="204"/>
      <c r="KJM23" s="204"/>
      <c r="KJN23" s="204"/>
      <c r="KJO23" s="204"/>
      <c r="KJP23" s="204"/>
      <c r="KJQ23" s="204"/>
      <c r="KJR23" s="204"/>
      <c r="KJS23" s="204"/>
      <c r="KJT23" s="204"/>
      <c r="KJU23" s="204"/>
      <c r="KJV23" s="204"/>
      <c r="KJW23" s="204"/>
      <c r="KJX23" s="204"/>
      <c r="KJY23" s="204"/>
      <c r="KJZ23" s="204"/>
      <c r="KKA23" s="204"/>
      <c r="KKB23" s="204"/>
      <c r="KKC23" s="204"/>
      <c r="KKD23" s="204"/>
      <c r="KKE23" s="204"/>
      <c r="KKF23" s="204"/>
      <c r="KKG23" s="204"/>
      <c r="KKH23" s="204"/>
      <c r="KKI23" s="204"/>
      <c r="KKJ23" s="204"/>
      <c r="KKK23" s="204"/>
      <c r="KKL23" s="204"/>
      <c r="KKM23" s="204"/>
      <c r="KKN23" s="204"/>
      <c r="KKO23" s="204"/>
      <c r="KKP23" s="204"/>
      <c r="KKQ23" s="204"/>
      <c r="KKR23" s="204"/>
      <c r="KKS23" s="204"/>
      <c r="KKT23" s="204"/>
      <c r="KKU23" s="204"/>
      <c r="KKV23" s="204"/>
      <c r="KKW23" s="204"/>
      <c r="KKX23" s="204"/>
      <c r="KKY23" s="204"/>
      <c r="KKZ23" s="204"/>
      <c r="KLA23" s="204"/>
      <c r="KLB23" s="204"/>
      <c r="KLC23" s="204"/>
      <c r="KLD23" s="204"/>
      <c r="KLE23" s="204"/>
      <c r="KLF23" s="204"/>
      <c r="KLG23" s="204"/>
      <c r="KLH23" s="204"/>
      <c r="KLI23" s="204"/>
      <c r="KLJ23" s="204"/>
      <c r="KLK23" s="204"/>
      <c r="KLL23" s="204"/>
      <c r="KLM23" s="204"/>
      <c r="KLN23" s="204"/>
      <c r="KLO23" s="204"/>
      <c r="KLP23" s="204"/>
      <c r="KLQ23" s="204"/>
      <c r="KLR23" s="204"/>
      <c r="KLS23" s="204"/>
      <c r="KLT23" s="204"/>
      <c r="KLU23" s="204"/>
      <c r="KLV23" s="204"/>
      <c r="KLW23" s="204"/>
      <c r="KLX23" s="204"/>
      <c r="KLY23" s="204"/>
      <c r="KLZ23" s="204"/>
      <c r="KMA23" s="204"/>
      <c r="KMB23" s="204"/>
      <c r="KMC23" s="204"/>
      <c r="KMD23" s="204"/>
      <c r="KME23" s="204"/>
      <c r="KMF23" s="204"/>
      <c r="KMG23" s="204"/>
      <c r="KMH23" s="204"/>
      <c r="KMI23" s="204"/>
      <c r="KMJ23" s="204"/>
      <c r="KMK23" s="204"/>
      <c r="KML23" s="204"/>
      <c r="KMM23" s="204"/>
      <c r="KMN23" s="204"/>
      <c r="KMO23" s="204"/>
      <c r="KMP23" s="204"/>
      <c r="KMQ23" s="204"/>
      <c r="KMR23" s="204"/>
      <c r="KMS23" s="204"/>
      <c r="KMT23" s="204"/>
      <c r="KMU23" s="204"/>
      <c r="KMV23" s="204"/>
      <c r="KMW23" s="204"/>
      <c r="KMX23" s="204"/>
      <c r="KMY23" s="204"/>
      <c r="KMZ23" s="204"/>
      <c r="KNA23" s="204"/>
      <c r="KNB23" s="204"/>
      <c r="KNC23" s="204"/>
      <c r="KND23" s="204"/>
      <c r="KNE23" s="204"/>
      <c r="KNF23" s="204"/>
      <c r="KNG23" s="204"/>
      <c r="KNH23" s="204"/>
      <c r="KNI23" s="204"/>
      <c r="KNJ23" s="204"/>
      <c r="KNK23" s="204"/>
      <c r="KNL23" s="204"/>
      <c r="KNM23" s="204"/>
      <c r="KNN23" s="204"/>
      <c r="KNO23" s="204"/>
      <c r="KNP23" s="204"/>
      <c r="KNQ23" s="204"/>
      <c r="KNR23" s="204"/>
      <c r="KNS23" s="204"/>
      <c r="KNT23" s="204"/>
      <c r="KNU23" s="204"/>
      <c r="KNV23" s="204"/>
      <c r="KNW23" s="204"/>
      <c r="KNX23" s="204"/>
      <c r="KNY23" s="204"/>
      <c r="KNZ23" s="204"/>
      <c r="KOA23" s="204"/>
      <c r="KOB23" s="204"/>
      <c r="KOC23" s="204"/>
      <c r="KOD23" s="204"/>
      <c r="KOE23" s="204"/>
      <c r="KOF23" s="204"/>
      <c r="KOG23" s="204"/>
      <c r="KOH23" s="204"/>
      <c r="KOI23" s="204"/>
      <c r="KOJ23" s="204"/>
      <c r="KOK23" s="204"/>
      <c r="KOL23" s="204"/>
      <c r="KOM23" s="204"/>
      <c r="KON23" s="204"/>
      <c r="KOO23" s="204"/>
      <c r="KOP23" s="204"/>
      <c r="KOQ23" s="204"/>
      <c r="KOR23" s="204"/>
      <c r="KOS23" s="204"/>
      <c r="KOT23" s="204"/>
      <c r="KOU23" s="204"/>
      <c r="KOV23" s="204"/>
      <c r="KOW23" s="204"/>
      <c r="KOX23" s="204"/>
      <c r="KOY23" s="204"/>
      <c r="KOZ23" s="204"/>
      <c r="KPA23" s="204"/>
      <c r="KPB23" s="204"/>
      <c r="KPC23" s="204"/>
      <c r="KPD23" s="204"/>
      <c r="KPE23" s="204"/>
      <c r="KPF23" s="204"/>
      <c r="KPG23" s="204"/>
      <c r="KPH23" s="204"/>
      <c r="KPI23" s="204"/>
      <c r="KPJ23" s="204"/>
      <c r="KPK23" s="204"/>
      <c r="KPL23" s="204"/>
      <c r="KPM23" s="204"/>
      <c r="KPN23" s="204"/>
      <c r="KPO23" s="204"/>
      <c r="KPP23" s="204"/>
      <c r="KPQ23" s="204"/>
      <c r="KPR23" s="204"/>
      <c r="KPS23" s="204"/>
      <c r="KPT23" s="204"/>
      <c r="KPU23" s="204"/>
      <c r="KPV23" s="204"/>
      <c r="KPW23" s="204"/>
      <c r="KPX23" s="204"/>
      <c r="KPY23" s="204"/>
      <c r="KPZ23" s="204"/>
      <c r="KQA23" s="204"/>
      <c r="KQB23" s="204"/>
      <c r="KQC23" s="204"/>
      <c r="KQD23" s="204"/>
      <c r="KQE23" s="204"/>
      <c r="KQF23" s="204"/>
      <c r="KQG23" s="204"/>
      <c r="KQH23" s="204"/>
      <c r="KQI23" s="204"/>
      <c r="KQJ23" s="204"/>
      <c r="KQK23" s="204"/>
      <c r="KQL23" s="204"/>
      <c r="KQM23" s="204"/>
      <c r="KQN23" s="204"/>
      <c r="KQO23" s="204"/>
      <c r="KQP23" s="204"/>
      <c r="KQQ23" s="204"/>
      <c r="KQR23" s="204"/>
      <c r="KQS23" s="204"/>
      <c r="KQT23" s="204"/>
      <c r="KQU23" s="204"/>
      <c r="KQV23" s="204"/>
      <c r="KQW23" s="204"/>
      <c r="KQX23" s="204"/>
      <c r="KQY23" s="204"/>
      <c r="KQZ23" s="204"/>
      <c r="KRA23" s="204"/>
      <c r="KRB23" s="204"/>
      <c r="KRC23" s="204"/>
      <c r="KRD23" s="204"/>
      <c r="KRE23" s="204"/>
      <c r="KRF23" s="204"/>
      <c r="KRG23" s="204"/>
      <c r="KRH23" s="204"/>
      <c r="KRI23" s="204"/>
      <c r="KRJ23" s="204"/>
      <c r="KRK23" s="204"/>
      <c r="KRL23" s="204"/>
      <c r="KRM23" s="204"/>
      <c r="KRN23" s="204"/>
      <c r="KRO23" s="204"/>
      <c r="KRP23" s="204"/>
      <c r="KRQ23" s="204"/>
      <c r="KRR23" s="204"/>
      <c r="KRS23" s="204"/>
      <c r="KRT23" s="204"/>
      <c r="KRU23" s="204"/>
      <c r="KRV23" s="204"/>
      <c r="KRW23" s="204"/>
      <c r="KRX23" s="204"/>
      <c r="KRY23" s="204"/>
      <c r="KRZ23" s="204"/>
      <c r="KSA23" s="204"/>
      <c r="KSB23" s="204"/>
      <c r="KSC23" s="204"/>
      <c r="KSD23" s="204"/>
      <c r="KSE23" s="204"/>
      <c r="KSF23" s="204"/>
      <c r="KSG23" s="204"/>
      <c r="KSH23" s="204"/>
      <c r="KSI23" s="204"/>
      <c r="KSJ23" s="204"/>
      <c r="KSK23" s="204"/>
      <c r="KSL23" s="204"/>
      <c r="KSM23" s="204"/>
      <c r="KSN23" s="204"/>
      <c r="KSO23" s="204"/>
      <c r="KSP23" s="204"/>
      <c r="KSQ23" s="204"/>
      <c r="KSR23" s="204"/>
      <c r="KSS23" s="204"/>
      <c r="KST23" s="204"/>
      <c r="KSU23" s="204"/>
      <c r="KSV23" s="204"/>
      <c r="KSW23" s="204"/>
      <c r="KSX23" s="204"/>
      <c r="KSY23" s="204"/>
      <c r="KSZ23" s="204"/>
      <c r="KTA23" s="204"/>
      <c r="KTB23" s="204"/>
      <c r="KTC23" s="204"/>
      <c r="KTD23" s="204"/>
      <c r="KTE23" s="204"/>
      <c r="KTF23" s="204"/>
      <c r="KTG23" s="204"/>
      <c r="KTH23" s="204"/>
      <c r="KTI23" s="204"/>
      <c r="KTJ23" s="204"/>
      <c r="KTK23" s="204"/>
      <c r="KTL23" s="204"/>
      <c r="KTM23" s="204"/>
      <c r="KTN23" s="204"/>
      <c r="KTO23" s="204"/>
      <c r="KTP23" s="204"/>
      <c r="KTQ23" s="204"/>
      <c r="KTR23" s="204"/>
      <c r="KTS23" s="204"/>
      <c r="KTT23" s="204"/>
      <c r="KTU23" s="204"/>
      <c r="KTV23" s="204"/>
      <c r="KTW23" s="204"/>
      <c r="KTX23" s="204"/>
      <c r="KTY23" s="204"/>
      <c r="KTZ23" s="204"/>
      <c r="KUA23" s="204"/>
      <c r="KUB23" s="204"/>
      <c r="KUC23" s="204"/>
      <c r="KUD23" s="204"/>
      <c r="KUE23" s="204"/>
      <c r="KUF23" s="204"/>
      <c r="KUG23" s="204"/>
      <c r="KUH23" s="204"/>
      <c r="KUI23" s="204"/>
      <c r="KUJ23" s="204"/>
      <c r="KUK23" s="204"/>
      <c r="KUL23" s="204"/>
      <c r="KUM23" s="204"/>
      <c r="KUN23" s="204"/>
      <c r="KUO23" s="204"/>
      <c r="KUP23" s="204"/>
      <c r="KUQ23" s="204"/>
      <c r="KUR23" s="204"/>
      <c r="KUS23" s="204"/>
      <c r="KUT23" s="204"/>
      <c r="KUU23" s="204"/>
      <c r="KUV23" s="204"/>
      <c r="KUW23" s="204"/>
      <c r="KUX23" s="204"/>
      <c r="KUY23" s="204"/>
      <c r="KUZ23" s="204"/>
      <c r="KVA23" s="204"/>
      <c r="KVB23" s="204"/>
      <c r="KVC23" s="204"/>
      <c r="KVD23" s="204"/>
      <c r="KVE23" s="204"/>
      <c r="KVF23" s="204"/>
      <c r="KVG23" s="204"/>
      <c r="KVH23" s="204"/>
      <c r="KVI23" s="204"/>
      <c r="KVJ23" s="204"/>
      <c r="KVK23" s="204"/>
      <c r="KVL23" s="204"/>
      <c r="KVM23" s="204"/>
      <c r="KVN23" s="204"/>
      <c r="KVO23" s="204"/>
      <c r="KVP23" s="204"/>
      <c r="KVQ23" s="204"/>
      <c r="KVR23" s="204"/>
      <c r="KVS23" s="204"/>
      <c r="KVT23" s="204"/>
      <c r="KVU23" s="204"/>
      <c r="KVV23" s="204"/>
      <c r="KVW23" s="204"/>
      <c r="KVX23" s="204"/>
      <c r="KVY23" s="204"/>
      <c r="KVZ23" s="204"/>
      <c r="KWA23" s="204"/>
      <c r="KWB23" s="204"/>
      <c r="KWC23" s="204"/>
      <c r="KWD23" s="204"/>
      <c r="KWE23" s="204"/>
      <c r="KWF23" s="204"/>
      <c r="KWG23" s="204"/>
      <c r="KWH23" s="204"/>
      <c r="KWI23" s="204"/>
      <c r="KWJ23" s="204"/>
      <c r="KWK23" s="204"/>
      <c r="KWL23" s="204"/>
      <c r="KWM23" s="204"/>
      <c r="KWN23" s="204"/>
      <c r="KWO23" s="204"/>
      <c r="KWP23" s="204"/>
      <c r="KWQ23" s="204"/>
      <c r="KWR23" s="204"/>
      <c r="KWS23" s="204"/>
      <c r="KWT23" s="204"/>
      <c r="KWU23" s="204"/>
      <c r="KWV23" s="204"/>
      <c r="KWW23" s="204"/>
      <c r="KWX23" s="204"/>
      <c r="KWY23" s="204"/>
      <c r="KWZ23" s="204"/>
      <c r="KXA23" s="204"/>
      <c r="KXB23" s="204"/>
      <c r="KXC23" s="204"/>
      <c r="KXD23" s="204"/>
      <c r="KXE23" s="204"/>
      <c r="KXF23" s="204"/>
      <c r="KXG23" s="204"/>
      <c r="KXH23" s="204"/>
      <c r="KXI23" s="204"/>
      <c r="KXJ23" s="204"/>
      <c r="KXK23" s="204"/>
      <c r="KXL23" s="204"/>
      <c r="KXM23" s="204"/>
      <c r="KXN23" s="204"/>
      <c r="KXO23" s="204"/>
      <c r="KXP23" s="204"/>
      <c r="KXQ23" s="204"/>
      <c r="KXR23" s="204"/>
      <c r="KXS23" s="204"/>
      <c r="KXT23" s="204"/>
      <c r="KXU23" s="204"/>
      <c r="KXV23" s="204"/>
      <c r="KXW23" s="204"/>
      <c r="KXX23" s="204"/>
      <c r="KXY23" s="204"/>
      <c r="KXZ23" s="204"/>
      <c r="KYA23" s="204"/>
      <c r="KYB23" s="204"/>
      <c r="KYC23" s="204"/>
      <c r="KYD23" s="204"/>
      <c r="KYE23" s="204"/>
      <c r="KYF23" s="204"/>
      <c r="KYG23" s="204"/>
      <c r="KYH23" s="204"/>
      <c r="KYI23" s="204"/>
      <c r="KYJ23" s="204"/>
      <c r="KYK23" s="204"/>
      <c r="KYL23" s="204"/>
      <c r="KYM23" s="204"/>
      <c r="KYN23" s="204"/>
      <c r="KYO23" s="204"/>
      <c r="KYP23" s="204"/>
      <c r="KYQ23" s="204"/>
      <c r="KYR23" s="204"/>
      <c r="KYS23" s="204"/>
      <c r="KYT23" s="204"/>
      <c r="KYU23" s="204"/>
      <c r="KYV23" s="204"/>
      <c r="KYW23" s="204"/>
      <c r="KYX23" s="204"/>
      <c r="KYY23" s="204"/>
      <c r="KYZ23" s="204"/>
      <c r="KZA23" s="204"/>
      <c r="KZB23" s="204"/>
      <c r="KZC23" s="204"/>
      <c r="KZD23" s="204"/>
      <c r="KZE23" s="204"/>
      <c r="KZF23" s="204"/>
      <c r="KZG23" s="204"/>
      <c r="KZH23" s="204"/>
      <c r="KZI23" s="204"/>
      <c r="KZJ23" s="204"/>
      <c r="KZK23" s="204"/>
      <c r="KZL23" s="204"/>
      <c r="KZM23" s="204"/>
      <c r="KZN23" s="204"/>
      <c r="KZO23" s="204"/>
      <c r="KZP23" s="204"/>
      <c r="KZQ23" s="204"/>
      <c r="KZR23" s="204"/>
      <c r="KZS23" s="204"/>
      <c r="KZT23" s="204"/>
      <c r="KZU23" s="204"/>
      <c r="KZV23" s="204"/>
      <c r="KZW23" s="204"/>
      <c r="KZX23" s="204"/>
      <c r="KZY23" s="204"/>
      <c r="KZZ23" s="204"/>
      <c r="LAA23" s="204"/>
      <c r="LAB23" s="204"/>
      <c r="LAC23" s="204"/>
      <c r="LAD23" s="204"/>
      <c r="LAE23" s="204"/>
      <c r="LAF23" s="204"/>
      <c r="LAG23" s="204"/>
      <c r="LAH23" s="204"/>
      <c r="LAI23" s="204"/>
      <c r="LAJ23" s="204"/>
      <c r="LAK23" s="204"/>
      <c r="LAL23" s="204"/>
      <c r="LAM23" s="204"/>
      <c r="LAN23" s="204"/>
      <c r="LAO23" s="204"/>
      <c r="LAP23" s="204"/>
      <c r="LAQ23" s="204"/>
      <c r="LAR23" s="204"/>
      <c r="LAS23" s="204"/>
      <c r="LAT23" s="204"/>
      <c r="LAU23" s="204"/>
      <c r="LAV23" s="204"/>
      <c r="LAW23" s="204"/>
      <c r="LAX23" s="204"/>
      <c r="LAY23" s="204"/>
      <c r="LAZ23" s="204"/>
      <c r="LBA23" s="204"/>
      <c r="LBB23" s="204"/>
      <c r="LBC23" s="204"/>
      <c r="LBD23" s="204"/>
      <c r="LBE23" s="204"/>
      <c r="LBF23" s="204"/>
      <c r="LBG23" s="204"/>
      <c r="LBH23" s="204"/>
      <c r="LBI23" s="204"/>
      <c r="LBJ23" s="204"/>
      <c r="LBK23" s="204"/>
      <c r="LBL23" s="204"/>
      <c r="LBM23" s="204"/>
      <c r="LBN23" s="204"/>
      <c r="LBO23" s="204"/>
      <c r="LBP23" s="204"/>
      <c r="LBQ23" s="204"/>
      <c r="LBR23" s="204"/>
      <c r="LBS23" s="204"/>
      <c r="LBT23" s="204"/>
      <c r="LBU23" s="204"/>
      <c r="LBV23" s="204"/>
      <c r="LBW23" s="204"/>
      <c r="LBX23" s="204"/>
      <c r="LBY23" s="204"/>
      <c r="LBZ23" s="204"/>
      <c r="LCA23" s="204"/>
      <c r="LCB23" s="204"/>
      <c r="LCC23" s="204"/>
      <c r="LCD23" s="204"/>
      <c r="LCE23" s="204"/>
      <c r="LCF23" s="204"/>
      <c r="LCG23" s="204"/>
      <c r="LCH23" s="204"/>
      <c r="LCI23" s="204"/>
      <c r="LCJ23" s="204"/>
      <c r="LCK23" s="204"/>
      <c r="LCL23" s="204"/>
      <c r="LCM23" s="204"/>
      <c r="LCN23" s="204"/>
      <c r="LCO23" s="204"/>
      <c r="LCP23" s="204"/>
      <c r="LCQ23" s="204"/>
      <c r="LCR23" s="204"/>
      <c r="LCS23" s="204"/>
      <c r="LCT23" s="204"/>
      <c r="LCU23" s="204"/>
      <c r="LCV23" s="204"/>
      <c r="LCW23" s="204"/>
      <c r="LCX23" s="204"/>
      <c r="LCY23" s="204"/>
      <c r="LCZ23" s="204"/>
      <c r="LDA23" s="204"/>
      <c r="LDB23" s="204"/>
      <c r="LDC23" s="204"/>
      <c r="LDD23" s="204"/>
      <c r="LDE23" s="204"/>
      <c r="LDF23" s="204"/>
      <c r="LDG23" s="204"/>
      <c r="LDH23" s="204"/>
      <c r="LDI23" s="204"/>
      <c r="LDJ23" s="204"/>
      <c r="LDK23" s="204"/>
      <c r="LDL23" s="204"/>
      <c r="LDM23" s="204"/>
      <c r="LDN23" s="204"/>
      <c r="LDO23" s="204"/>
      <c r="LDP23" s="204"/>
      <c r="LDQ23" s="204"/>
      <c r="LDR23" s="204"/>
      <c r="LDS23" s="204"/>
      <c r="LDT23" s="204"/>
      <c r="LDU23" s="204"/>
      <c r="LDV23" s="204"/>
      <c r="LDW23" s="204"/>
      <c r="LDX23" s="204"/>
      <c r="LDY23" s="204"/>
      <c r="LDZ23" s="204"/>
      <c r="LEA23" s="204"/>
      <c r="LEB23" s="204"/>
      <c r="LEC23" s="204"/>
      <c r="LED23" s="204"/>
      <c r="LEE23" s="204"/>
      <c r="LEF23" s="204"/>
      <c r="LEG23" s="204"/>
      <c r="LEH23" s="204"/>
      <c r="LEI23" s="204"/>
      <c r="LEJ23" s="204"/>
      <c r="LEK23" s="204"/>
      <c r="LEL23" s="204"/>
      <c r="LEM23" s="204"/>
      <c r="LEN23" s="204"/>
      <c r="LEO23" s="204"/>
      <c r="LEP23" s="204"/>
      <c r="LEQ23" s="204"/>
      <c r="LER23" s="204"/>
      <c r="LES23" s="204"/>
      <c r="LET23" s="204"/>
      <c r="LEU23" s="204"/>
      <c r="LEV23" s="204"/>
      <c r="LEW23" s="204"/>
      <c r="LEX23" s="204"/>
      <c r="LEY23" s="204"/>
      <c r="LEZ23" s="204"/>
      <c r="LFA23" s="204"/>
      <c r="LFB23" s="204"/>
      <c r="LFC23" s="204"/>
      <c r="LFD23" s="204"/>
      <c r="LFE23" s="204"/>
      <c r="LFF23" s="204"/>
      <c r="LFG23" s="204"/>
      <c r="LFH23" s="204"/>
      <c r="LFI23" s="204"/>
      <c r="LFJ23" s="204"/>
      <c r="LFK23" s="204"/>
      <c r="LFL23" s="204"/>
      <c r="LFM23" s="204"/>
      <c r="LFN23" s="204"/>
      <c r="LFO23" s="204"/>
      <c r="LFP23" s="204"/>
      <c r="LFQ23" s="204"/>
      <c r="LFR23" s="204"/>
      <c r="LFS23" s="204"/>
      <c r="LFT23" s="204"/>
      <c r="LFU23" s="204"/>
      <c r="LFV23" s="204"/>
      <c r="LFW23" s="204"/>
      <c r="LFX23" s="204"/>
      <c r="LFY23" s="204"/>
      <c r="LFZ23" s="204"/>
      <c r="LGA23" s="204"/>
      <c r="LGB23" s="204"/>
      <c r="LGC23" s="204"/>
      <c r="LGD23" s="204"/>
      <c r="LGE23" s="204"/>
      <c r="LGF23" s="204"/>
      <c r="LGG23" s="204"/>
      <c r="LGH23" s="204"/>
      <c r="LGI23" s="204"/>
      <c r="LGJ23" s="204"/>
      <c r="LGK23" s="204"/>
      <c r="LGL23" s="204"/>
      <c r="LGM23" s="204"/>
      <c r="LGN23" s="204"/>
      <c r="LGO23" s="204"/>
      <c r="LGP23" s="204"/>
      <c r="LGQ23" s="204"/>
      <c r="LGR23" s="204"/>
      <c r="LGS23" s="204"/>
      <c r="LGT23" s="204"/>
      <c r="LGU23" s="204"/>
      <c r="LGV23" s="204"/>
      <c r="LGW23" s="204"/>
      <c r="LGX23" s="204"/>
      <c r="LGY23" s="204"/>
      <c r="LGZ23" s="204"/>
      <c r="LHA23" s="204"/>
      <c r="LHB23" s="204"/>
      <c r="LHC23" s="204"/>
      <c r="LHD23" s="204"/>
      <c r="LHE23" s="204"/>
      <c r="LHF23" s="204"/>
      <c r="LHG23" s="204"/>
      <c r="LHH23" s="204"/>
      <c r="LHI23" s="204"/>
      <c r="LHJ23" s="204"/>
      <c r="LHK23" s="204"/>
      <c r="LHL23" s="204"/>
      <c r="LHM23" s="204"/>
      <c r="LHN23" s="204"/>
      <c r="LHO23" s="204"/>
      <c r="LHP23" s="204"/>
      <c r="LHQ23" s="204"/>
      <c r="LHR23" s="204"/>
      <c r="LHS23" s="204"/>
      <c r="LHT23" s="204"/>
      <c r="LHU23" s="204"/>
      <c r="LHV23" s="204"/>
      <c r="LHW23" s="204"/>
      <c r="LHX23" s="204"/>
      <c r="LHY23" s="204"/>
      <c r="LHZ23" s="204"/>
      <c r="LIA23" s="204"/>
      <c r="LIB23" s="204"/>
      <c r="LIC23" s="204"/>
      <c r="LID23" s="204"/>
      <c r="LIE23" s="204"/>
      <c r="LIF23" s="204"/>
      <c r="LIG23" s="204"/>
      <c r="LIH23" s="204"/>
      <c r="LII23" s="204"/>
      <c r="LIJ23" s="204"/>
      <c r="LIK23" s="204"/>
      <c r="LIL23" s="204"/>
      <c r="LIM23" s="204"/>
      <c r="LIN23" s="204"/>
      <c r="LIO23" s="204"/>
      <c r="LIP23" s="204"/>
      <c r="LIQ23" s="204"/>
      <c r="LIR23" s="204"/>
      <c r="LIS23" s="204"/>
      <c r="LIT23" s="204"/>
      <c r="LIU23" s="204"/>
      <c r="LIV23" s="204"/>
      <c r="LIW23" s="204"/>
      <c r="LIX23" s="204"/>
      <c r="LIY23" s="204"/>
      <c r="LIZ23" s="204"/>
      <c r="LJA23" s="204"/>
      <c r="LJB23" s="204"/>
      <c r="LJC23" s="204"/>
      <c r="LJD23" s="204"/>
      <c r="LJE23" s="204"/>
      <c r="LJF23" s="204"/>
      <c r="LJG23" s="204"/>
      <c r="LJH23" s="204"/>
      <c r="LJI23" s="204"/>
      <c r="LJJ23" s="204"/>
      <c r="LJK23" s="204"/>
      <c r="LJL23" s="204"/>
      <c r="LJM23" s="204"/>
      <c r="LJN23" s="204"/>
      <c r="LJO23" s="204"/>
      <c r="LJP23" s="204"/>
      <c r="LJQ23" s="204"/>
      <c r="LJR23" s="204"/>
      <c r="LJS23" s="204"/>
      <c r="LJT23" s="204"/>
      <c r="LJU23" s="204"/>
      <c r="LJV23" s="204"/>
      <c r="LJW23" s="204"/>
      <c r="LJX23" s="204"/>
      <c r="LJY23" s="204"/>
      <c r="LJZ23" s="204"/>
      <c r="LKA23" s="204"/>
      <c r="LKB23" s="204"/>
      <c r="LKC23" s="204"/>
      <c r="LKD23" s="204"/>
      <c r="LKE23" s="204"/>
      <c r="LKF23" s="204"/>
      <c r="LKG23" s="204"/>
      <c r="LKH23" s="204"/>
      <c r="LKI23" s="204"/>
      <c r="LKJ23" s="204"/>
      <c r="LKK23" s="204"/>
      <c r="LKL23" s="204"/>
      <c r="LKM23" s="204"/>
      <c r="LKN23" s="204"/>
      <c r="LKO23" s="204"/>
      <c r="LKP23" s="204"/>
      <c r="LKQ23" s="204"/>
      <c r="LKR23" s="204"/>
      <c r="LKS23" s="204"/>
      <c r="LKT23" s="204"/>
      <c r="LKU23" s="204"/>
      <c r="LKV23" s="204"/>
      <c r="LKW23" s="204"/>
      <c r="LKX23" s="204"/>
      <c r="LKY23" s="204"/>
      <c r="LKZ23" s="204"/>
      <c r="LLA23" s="204"/>
      <c r="LLB23" s="204"/>
      <c r="LLC23" s="204"/>
      <c r="LLD23" s="204"/>
      <c r="LLE23" s="204"/>
      <c r="LLF23" s="204"/>
      <c r="LLG23" s="204"/>
      <c r="LLH23" s="204"/>
      <c r="LLI23" s="204"/>
      <c r="LLJ23" s="204"/>
      <c r="LLK23" s="204"/>
      <c r="LLL23" s="204"/>
      <c r="LLM23" s="204"/>
      <c r="LLN23" s="204"/>
      <c r="LLO23" s="204"/>
      <c r="LLP23" s="204"/>
      <c r="LLQ23" s="204"/>
      <c r="LLR23" s="204"/>
      <c r="LLS23" s="204"/>
      <c r="LLT23" s="204"/>
      <c r="LLU23" s="204"/>
      <c r="LLV23" s="204"/>
      <c r="LLW23" s="204"/>
      <c r="LLX23" s="204"/>
      <c r="LLY23" s="204"/>
      <c r="LLZ23" s="204"/>
      <c r="LMA23" s="204"/>
      <c r="LMB23" s="204"/>
      <c r="LMC23" s="204"/>
      <c r="LMD23" s="204"/>
      <c r="LME23" s="204"/>
      <c r="LMF23" s="204"/>
      <c r="LMG23" s="204"/>
      <c r="LMH23" s="204"/>
      <c r="LMI23" s="204"/>
      <c r="LMJ23" s="204"/>
      <c r="LMK23" s="204"/>
      <c r="LML23" s="204"/>
      <c r="LMM23" s="204"/>
      <c r="LMN23" s="204"/>
      <c r="LMO23" s="204"/>
      <c r="LMP23" s="204"/>
      <c r="LMQ23" s="204"/>
      <c r="LMR23" s="204"/>
      <c r="LMS23" s="204"/>
      <c r="LMT23" s="204"/>
      <c r="LMU23" s="204"/>
      <c r="LMV23" s="204"/>
      <c r="LMW23" s="204"/>
      <c r="LMX23" s="204"/>
      <c r="LMY23" s="204"/>
      <c r="LMZ23" s="204"/>
      <c r="LNA23" s="204"/>
      <c r="LNB23" s="204"/>
      <c r="LNC23" s="204"/>
      <c r="LND23" s="204"/>
      <c r="LNE23" s="204"/>
      <c r="LNF23" s="204"/>
      <c r="LNG23" s="204"/>
      <c r="LNH23" s="204"/>
      <c r="LNI23" s="204"/>
      <c r="LNJ23" s="204"/>
      <c r="LNK23" s="204"/>
      <c r="LNL23" s="204"/>
      <c r="LNM23" s="204"/>
      <c r="LNN23" s="204"/>
      <c r="LNO23" s="204"/>
      <c r="LNP23" s="204"/>
      <c r="LNQ23" s="204"/>
      <c r="LNR23" s="204"/>
      <c r="LNS23" s="204"/>
      <c r="LNT23" s="204"/>
      <c r="LNU23" s="204"/>
      <c r="LNV23" s="204"/>
      <c r="LNW23" s="204"/>
      <c r="LNX23" s="204"/>
      <c r="LNY23" s="204"/>
      <c r="LNZ23" s="204"/>
      <c r="LOA23" s="204"/>
      <c r="LOB23" s="204"/>
      <c r="LOC23" s="204"/>
      <c r="LOD23" s="204"/>
      <c r="LOE23" s="204"/>
      <c r="LOF23" s="204"/>
      <c r="LOG23" s="204"/>
      <c r="LOH23" s="204"/>
      <c r="LOI23" s="204"/>
      <c r="LOJ23" s="204"/>
      <c r="LOK23" s="204"/>
      <c r="LOL23" s="204"/>
      <c r="LOM23" s="204"/>
      <c r="LON23" s="204"/>
      <c r="LOO23" s="204"/>
      <c r="LOP23" s="204"/>
      <c r="LOQ23" s="204"/>
      <c r="LOR23" s="204"/>
      <c r="LOS23" s="204"/>
      <c r="LOT23" s="204"/>
      <c r="LOU23" s="204"/>
      <c r="LOV23" s="204"/>
      <c r="LOW23" s="204"/>
      <c r="LOX23" s="204"/>
      <c r="LOY23" s="204"/>
      <c r="LOZ23" s="204"/>
      <c r="LPA23" s="204"/>
      <c r="LPB23" s="204"/>
      <c r="LPC23" s="204"/>
      <c r="LPD23" s="204"/>
      <c r="LPE23" s="204"/>
      <c r="LPF23" s="204"/>
      <c r="LPG23" s="204"/>
      <c r="LPH23" s="204"/>
      <c r="LPI23" s="204"/>
      <c r="LPJ23" s="204"/>
      <c r="LPK23" s="204"/>
      <c r="LPL23" s="204"/>
      <c r="LPM23" s="204"/>
      <c r="LPN23" s="204"/>
      <c r="LPO23" s="204"/>
      <c r="LPP23" s="204"/>
      <c r="LPQ23" s="204"/>
      <c r="LPR23" s="204"/>
      <c r="LPS23" s="204"/>
      <c r="LPT23" s="204"/>
      <c r="LPU23" s="204"/>
      <c r="LPV23" s="204"/>
      <c r="LPW23" s="204"/>
      <c r="LPX23" s="204"/>
      <c r="LPY23" s="204"/>
      <c r="LPZ23" s="204"/>
      <c r="LQA23" s="204"/>
      <c r="LQB23" s="204"/>
      <c r="LQC23" s="204"/>
      <c r="LQD23" s="204"/>
      <c r="LQE23" s="204"/>
      <c r="LQF23" s="204"/>
      <c r="LQG23" s="204"/>
      <c r="LQH23" s="204"/>
      <c r="LQI23" s="204"/>
      <c r="LQJ23" s="204"/>
      <c r="LQK23" s="204"/>
      <c r="LQL23" s="204"/>
      <c r="LQM23" s="204"/>
      <c r="LQN23" s="204"/>
      <c r="LQO23" s="204"/>
      <c r="LQP23" s="204"/>
      <c r="LQQ23" s="204"/>
      <c r="LQR23" s="204"/>
      <c r="LQS23" s="204"/>
      <c r="LQT23" s="204"/>
      <c r="LQU23" s="204"/>
      <c r="LQV23" s="204"/>
      <c r="LQW23" s="204"/>
      <c r="LQX23" s="204"/>
      <c r="LQY23" s="204"/>
      <c r="LQZ23" s="204"/>
      <c r="LRA23" s="204"/>
      <c r="LRB23" s="204"/>
      <c r="LRC23" s="204"/>
      <c r="LRD23" s="204"/>
      <c r="LRE23" s="204"/>
      <c r="LRF23" s="204"/>
      <c r="LRG23" s="204"/>
      <c r="LRH23" s="204"/>
      <c r="LRI23" s="204"/>
      <c r="LRJ23" s="204"/>
      <c r="LRK23" s="204"/>
      <c r="LRL23" s="204"/>
      <c r="LRM23" s="204"/>
      <c r="LRN23" s="204"/>
      <c r="LRO23" s="204"/>
      <c r="LRP23" s="204"/>
      <c r="LRQ23" s="204"/>
      <c r="LRR23" s="204"/>
      <c r="LRS23" s="204"/>
      <c r="LRT23" s="204"/>
      <c r="LRU23" s="204"/>
      <c r="LRV23" s="204"/>
      <c r="LRW23" s="204"/>
      <c r="LRX23" s="204"/>
      <c r="LRY23" s="204"/>
      <c r="LRZ23" s="204"/>
      <c r="LSA23" s="204"/>
      <c r="LSB23" s="204"/>
      <c r="LSC23" s="204"/>
      <c r="LSD23" s="204"/>
      <c r="LSE23" s="204"/>
      <c r="LSF23" s="204"/>
      <c r="LSG23" s="204"/>
      <c r="LSH23" s="204"/>
      <c r="LSI23" s="204"/>
      <c r="LSJ23" s="204"/>
      <c r="LSK23" s="204"/>
      <c r="LSL23" s="204"/>
      <c r="LSM23" s="204"/>
      <c r="LSN23" s="204"/>
      <c r="LSO23" s="204"/>
      <c r="LSP23" s="204"/>
      <c r="LSQ23" s="204"/>
      <c r="LSR23" s="204"/>
      <c r="LSS23" s="204"/>
      <c r="LST23" s="204"/>
      <c r="LSU23" s="204"/>
      <c r="LSV23" s="204"/>
      <c r="LSW23" s="204"/>
      <c r="LSX23" s="204"/>
      <c r="LSY23" s="204"/>
      <c r="LSZ23" s="204"/>
      <c r="LTA23" s="204"/>
      <c r="LTB23" s="204"/>
      <c r="LTC23" s="204"/>
      <c r="LTD23" s="204"/>
      <c r="LTE23" s="204"/>
      <c r="LTF23" s="204"/>
      <c r="LTG23" s="204"/>
      <c r="LTH23" s="204"/>
      <c r="LTI23" s="204"/>
      <c r="LTJ23" s="204"/>
      <c r="LTK23" s="204"/>
      <c r="LTL23" s="204"/>
      <c r="LTM23" s="204"/>
      <c r="LTN23" s="204"/>
      <c r="LTO23" s="204"/>
      <c r="LTP23" s="204"/>
      <c r="LTQ23" s="204"/>
      <c r="LTR23" s="204"/>
      <c r="LTS23" s="204"/>
      <c r="LTT23" s="204"/>
      <c r="LTU23" s="204"/>
      <c r="LTV23" s="204"/>
      <c r="LTW23" s="204"/>
      <c r="LTX23" s="204"/>
      <c r="LTY23" s="204"/>
      <c r="LTZ23" s="204"/>
      <c r="LUA23" s="204"/>
      <c r="LUB23" s="204"/>
      <c r="LUC23" s="204"/>
      <c r="LUD23" s="204"/>
      <c r="LUE23" s="204"/>
      <c r="LUF23" s="204"/>
      <c r="LUG23" s="204"/>
      <c r="LUH23" s="204"/>
      <c r="LUI23" s="204"/>
      <c r="LUJ23" s="204"/>
      <c r="LUK23" s="204"/>
      <c r="LUL23" s="204"/>
      <c r="LUM23" s="204"/>
      <c r="LUN23" s="204"/>
      <c r="LUO23" s="204"/>
      <c r="LUP23" s="204"/>
      <c r="LUQ23" s="204"/>
      <c r="LUR23" s="204"/>
      <c r="LUS23" s="204"/>
      <c r="LUT23" s="204"/>
      <c r="LUU23" s="204"/>
      <c r="LUV23" s="204"/>
      <c r="LUW23" s="204"/>
      <c r="LUX23" s="204"/>
      <c r="LUY23" s="204"/>
      <c r="LUZ23" s="204"/>
      <c r="LVA23" s="204"/>
      <c r="LVB23" s="204"/>
      <c r="LVC23" s="204"/>
      <c r="LVD23" s="204"/>
      <c r="LVE23" s="204"/>
      <c r="LVF23" s="204"/>
      <c r="LVG23" s="204"/>
      <c r="LVH23" s="204"/>
      <c r="LVI23" s="204"/>
      <c r="LVJ23" s="204"/>
      <c r="LVK23" s="204"/>
      <c r="LVL23" s="204"/>
      <c r="LVM23" s="204"/>
      <c r="LVN23" s="204"/>
      <c r="LVO23" s="204"/>
      <c r="LVP23" s="204"/>
      <c r="LVQ23" s="204"/>
      <c r="LVR23" s="204"/>
      <c r="LVS23" s="204"/>
      <c r="LVT23" s="204"/>
      <c r="LVU23" s="204"/>
      <c r="LVV23" s="204"/>
      <c r="LVW23" s="204"/>
      <c r="LVX23" s="204"/>
      <c r="LVY23" s="204"/>
      <c r="LVZ23" s="204"/>
      <c r="LWA23" s="204"/>
      <c r="LWB23" s="204"/>
      <c r="LWC23" s="204"/>
      <c r="LWD23" s="204"/>
      <c r="LWE23" s="204"/>
      <c r="LWF23" s="204"/>
      <c r="LWG23" s="204"/>
      <c r="LWH23" s="204"/>
      <c r="LWI23" s="204"/>
      <c r="LWJ23" s="204"/>
      <c r="LWK23" s="204"/>
      <c r="LWL23" s="204"/>
      <c r="LWM23" s="204"/>
      <c r="LWN23" s="204"/>
      <c r="LWO23" s="204"/>
      <c r="LWP23" s="204"/>
      <c r="LWQ23" s="204"/>
      <c r="LWR23" s="204"/>
      <c r="LWS23" s="204"/>
      <c r="LWT23" s="204"/>
      <c r="LWU23" s="204"/>
      <c r="LWV23" s="204"/>
      <c r="LWW23" s="204"/>
      <c r="LWX23" s="204"/>
      <c r="LWY23" s="204"/>
      <c r="LWZ23" s="204"/>
      <c r="LXA23" s="204"/>
      <c r="LXB23" s="204"/>
      <c r="LXC23" s="204"/>
      <c r="LXD23" s="204"/>
      <c r="LXE23" s="204"/>
      <c r="LXF23" s="204"/>
      <c r="LXG23" s="204"/>
      <c r="LXH23" s="204"/>
      <c r="LXI23" s="204"/>
      <c r="LXJ23" s="204"/>
      <c r="LXK23" s="204"/>
      <c r="LXL23" s="204"/>
      <c r="LXM23" s="204"/>
      <c r="LXN23" s="204"/>
      <c r="LXO23" s="204"/>
      <c r="LXP23" s="204"/>
      <c r="LXQ23" s="204"/>
      <c r="LXR23" s="204"/>
      <c r="LXS23" s="204"/>
      <c r="LXT23" s="204"/>
      <c r="LXU23" s="204"/>
      <c r="LXV23" s="204"/>
      <c r="LXW23" s="204"/>
      <c r="LXX23" s="204"/>
      <c r="LXY23" s="204"/>
      <c r="LXZ23" s="204"/>
      <c r="LYA23" s="204"/>
      <c r="LYB23" s="204"/>
      <c r="LYC23" s="204"/>
      <c r="LYD23" s="204"/>
      <c r="LYE23" s="204"/>
      <c r="LYF23" s="204"/>
      <c r="LYG23" s="204"/>
      <c r="LYH23" s="204"/>
      <c r="LYI23" s="204"/>
      <c r="LYJ23" s="204"/>
      <c r="LYK23" s="204"/>
      <c r="LYL23" s="204"/>
      <c r="LYM23" s="204"/>
      <c r="LYN23" s="204"/>
      <c r="LYO23" s="204"/>
      <c r="LYP23" s="204"/>
      <c r="LYQ23" s="204"/>
      <c r="LYR23" s="204"/>
      <c r="LYS23" s="204"/>
      <c r="LYT23" s="204"/>
      <c r="LYU23" s="204"/>
      <c r="LYV23" s="204"/>
      <c r="LYW23" s="204"/>
      <c r="LYX23" s="204"/>
      <c r="LYY23" s="204"/>
      <c r="LYZ23" s="204"/>
      <c r="LZA23" s="204"/>
      <c r="LZB23" s="204"/>
      <c r="LZC23" s="204"/>
      <c r="LZD23" s="204"/>
      <c r="LZE23" s="204"/>
      <c r="LZF23" s="204"/>
      <c r="LZG23" s="204"/>
      <c r="LZH23" s="204"/>
      <c r="LZI23" s="204"/>
      <c r="LZJ23" s="204"/>
      <c r="LZK23" s="204"/>
      <c r="LZL23" s="204"/>
      <c r="LZM23" s="204"/>
      <c r="LZN23" s="204"/>
      <c r="LZO23" s="204"/>
      <c r="LZP23" s="204"/>
      <c r="LZQ23" s="204"/>
      <c r="LZR23" s="204"/>
      <c r="LZS23" s="204"/>
      <c r="LZT23" s="204"/>
      <c r="LZU23" s="204"/>
      <c r="LZV23" s="204"/>
      <c r="LZW23" s="204"/>
      <c r="LZX23" s="204"/>
      <c r="LZY23" s="204"/>
      <c r="LZZ23" s="204"/>
      <c r="MAA23" s="204"/>
      <c r="MAB23" s="204"/>
      <c r="MAC23" s="204"/>
      <c r="MAD23" s="204"/>
      <c r="MAE23" s="204"/>
      <c r="MAF23" s="204"/>
      <c r="MAG23" s="204"/>
      <c r="MAH23" s="204"/>
      <c r="MAI23" s="204"/>
      <c r="MAJ23" s="204"/>
      <c r="MAK23" s="204"/>
      <c r="MAL23" s="204"/>
      <c r="MAM23" s="204"/>
      <c r="MAN23" s="204"/>
      <c r="MAO23" s="204"/>
      <c r="MAP23" s="204"/>
      <c r="MAQ23" s="204"/>
      <c r="MAR23" s="204"/>
      <c r="MAS23" s="204"/>
      <c r="MAT23" s="204"/>
      <c r="MAU23" s="204"/>
      <c r="MAV23" s="204"/>
      <c r="MAW23" s="204"/>
      <c r="MAX23" s="204"/>
      <c r="MAY23" s="204"/>
      <c r="MAZ23" s="204"/>
      <c r="MBA23" s="204"/>
      <c r="MBB23" s="204"/>
      <c r="MBC23" s="204"/>
      <c r="MBD23" s="204"/>
      <c r="MBE23" s="204"/>
      <c r="MBF23" s="204"/>
      <c r="MBG23" s="204"/>
      <c r="MBH23" s="204"/>
      <c r="MBI23" s="204"/>
      <c r="MBJ23" s="204"/>
      <c r="MBK23" s="204"/>
      <c r="MBL23" s="204"/>
      <c r="MBM23" s="204"/>
      <c r="MBN23" s="204"/>
      <c r="MBO23" s="204"/>
      <c r="MBP23" s="204"/>
      <c r="MBQ23" s="204"/>
      <c r="MBR23" s="204"/>
      <c r="MBS23" s="204"/>
      <c r="MBT23" s="204"/>
      <c r="MBU23" s="204"/>
      <c r="MBV23" s="204"/>
      <c r="MBW23" s="204"/>
      <c r="MBX23" s="204"/>
      <c r="MBY23" s="204"/>
      <c r="MBZ23" s="204"/>
      <c r="MCA23" s="204"/>
      <c r="MCB23" s="204"/>
      <c r="MCC23" s="204"/>
      <c r="MCD23" s="204"/>
      <c r="MCE23" s="204"/>
      <c r="MCF23" s="204"/>
      <c r="MCG23" s="204"/>
      <c r="MCH23" s="204"/>
      <c r="MCI23" s="204"/>
      <c r="MCJ23" s="204"/>
      <c r="MCK23" s="204"/>
      <c r="MCL23" s="204"/>
      <c r="MCM23" s="204"/>
      <c r="MCN23" s="204"/>
      <c r="MCO23" s="204"/>
      <c r="MCP23" s="204"/>
      <c r="MCQ23" s="204"/>
      <c r="MCR23" s="204"/>
      <c r="MCS23" s="204"/>
      <c r="MCT23" s="204"/>
      <c r="MCU23" s="204"/>
      <c r="MCV23" s="204"/>
      <c r="MCW23" s="204"/>
      <c r="MCX23" s="204"/>
      <c r="MCY23" s="204"/>
      <c r="MCZ23" s="204"/>
      <c r="MDA23" s="204"/>
      <c r="MDB23" s="204"/>
      <c r="MDC23" s="204"/>
      <c r="MDD23" s="204"/>
      <c r="MDE23" s="204"/>
      <c r="MDF23" s="204"/>
      <c r="MDG23" s="204"/>
      <c r="MDH23" s="204"/>
      <c r="MDI23" s="204"/>
      <c r="MDJ23" s="204"/>
      <c r="MDK23" s="204"/>
      <c r="MDL23" s="204"/>
      <c r="MDM23" s="204"/>
      <c r="MDN23" s="204"/>
      <c r="MDO23" s="204"/>
      <c r="MDP23" s="204"/>
      <c r="MDQ23" s="204"/>
      <c r="MDR23" s="204"/>
      <c r="MDS23" s="204"/>
      <c r="MDT23" s="204"/>
      <c r="MDU23" s="204"/>
      <c r="MDV23" s="204"/>
      <c r="MDW23" s="204"/>
      <c r="MDX23" s="204"/>
      <c r="MDY23" s="204"/>
      <c r="MDZ23" s="204"/>
      <c r="MEA23" s="204"/>
      <c r="MEB23" s="204"/>
      <c r="MEC23" s="204"/>
      <c r="MED23" s="204"/>
      <c r="MEE23" s="204"/>
      <c r="MEF23" s="204"/>
      <c r="MEG23" s="204"/>
      <c r="MEH23" s="204"/>
      <c r="MEI23" s="204"/>
      <c r="MEJ23" s="204"/>
      <c r="MEK23" s="204"/>
      <c r="MEL23" s="204"/>
      <c r="MEM23" s="204"/>
      <c r="MEN23" s="204"/>
      <c r="MEO23" s="204"/>
      <c r="MEP23" s="204"/>
      <c r="MEQ23" s="204"/>
      <c r="MER23" s="204"/>
      <c r="MES23" s="204"/>
      <c r="MET23" s="204"/>
      <c r="MEU23" s="204"/>
      <c r="MEV23" s="204"/>
      <c r="MEW23" s="204"/>
      <c r="MEX23" s="204"/>
      <c r="MEY23" s="204"/>
      <c r="MEZ23" s="204"/>
      <c r="MFA23" s="204"/>
      <c r="MFB23" s="204"/>
      <c r="MFC23" s="204"/>
      <c r="MFD23" s="204"/>
      <c r="MFE23" s="204"/>
      <c r="MFF23" s="204"/>
      <c r="MFG23" s="204"/>
      <c r="MFH23" s="204"/>
      <c r="MFI23" s="204"/>
      <c r="MFJ23" s="204"/>
      <c r="MFK23" s="204"/>
      <c r="MFL23" s="204"/>
      <c r="MFM23" s="204"/>
      <c r="MFN23" s="204"/>
      <c r="MFO23" s="204"/>
      <c r="MFP23" s="204"/>
      <c r="MFQ23" s="204"/>
      <c r="MFR23" s="204"/>
      <c r="MFS23" s="204"/>
      <c r="MFT23" s="204"/>
      <c r="MFU23" s="204"/>
      <c r="MFV23" s="204"/>
      <c r="MFW23" s="204"/>
      <c r="MFX23" s="204"/>
      <c r="MFY23" s="204"/>
      <c r="MFZ23" s="204"/>
      <c r="MGA23" s="204"/>
      <c r="MGB23" s="204"/>
      <c r="MGC23" s="204"/>
      <c r="MGD23" s="204"/>
      <c r="MGE23" s="204"/>
      <c r="MGF23" s="204"/>
      <c r="MGG23" s="204"/>
      <c r="MGH23" s="204"/>
      <c r="MGI23" s="204"/>
      <c r="MGJ23" s="204"/>
      <c r="MGK23" s="204"/>
      <c r="MGL23" s="204"/>
      <c r="MGM23" s="204"/>
      <c r="MGN23" s="204"/>
      <c r="MGO23" s="204"/>
      <c r="MGP23" s="204"/>
      <c r="MGQ23" s="204"/>
      <c r="MGR23" s="204"/>
      <c r="MGS23" s="204"/>
      <c r="MGT23" s="204"/>
      <c r="MGU23" s="204"/>
      <c r="MGV23" s="204"/>
      <c r="MGW23" s="204"/>
      <c r="MGX23" s="204"/>
      <c r="MGY23" s="204"/>
      <c r="MGZ23" s="204"/>
      <c r="MHA23" s="204"/>
      <c r="MHB23" s="204"/>
      <c r="MHC23" s="204"/>
      <c r="MHD23" s="204"/>
      <c r="MHE23" s="204"/>
      <c r="MHF23" s="204"/>
      <c r="MHG23" s="204"/>
      <c r="MHH23" s="204"/>
      <c r="MHI23" s="204"/>
      <c r="MHJ23" s="204"/>
      <c r="MHK23" s="204"/>
      <c r="MHL23" s="204"/>
      <c r="MHM23" s="204"/>
      <c r="MHN23" s="204"/>
      <c r="MHO23" s="204"/>
      <c r="MHP23" s="204"/>
      <c r="MHQ23" s="204"/>
      <c r="MHR23" s="204"/>
      <c r="MHS23" s="204"/>
      <c r="MHT23" s="204"/>
      <c r="MHU23" s="204"/>
      <c r="MHV23" s="204"/>
      <c r="MHW23" s="204"/>
      <c r="MHX23" s="204"/>
      <c r="MHY23" s="204"/>
      <c r="MHZ23" s="204"/>
      <c r="MIA23" s="204"/>
      <c r="MIB23" s="204"/>
      <c r="MIC23" s="204"/>
      <c r="MID23" s="204"/>
      <c r="MIE23" s="204"/>
      <c r="MIF23" s="204"/>
      <c r="MIG23" s="204"/>
      <c r="MIH23" s="204"/>
      <c r="MII23" s="204"/>
      <c r="MIJ23" s="204"/>
      <c r="MIK23" s="204"/>
      <c r="MIL23" s="204"/>
      <c r="MIM23" s="204"/>
      <c r="MIN23" s="204"/>
      <c r="MIO23" s="204"/>
      <c r="MIP23" s="204"/>
      <c r="MIQ23" s="204"/>
      <c r="MIR23" s="204"/>
      <c r="MIS23" s="204"/>
      <c r="MIT23" s="204"/>
      <c r="MIU23" s="204"/>
      <c r="MIV23" s="204"/>
      <c r="MIW23" s="204"/>
      <c r="MIX23" s="204"/>
      <c r="MIY23" s="204"/>
      <c r="MIZ23" s="204"/>
      <c r="MJA23" s="204"/>
      <c r="MJB23" s="204"/>
      <c r="MJC23" s="204"/>
      <c r="MJD23" s="204"/>
      <c r="MJE23" s="204"/>
      <c r="MJF23" s="204"/>
      <c r="MJG23" s="204"/>
      <c r="MJH23" s="204"/>
      <c r="MJI23" s="204"/>
      <c r="MJJ23" s="204"/>
      <c r="MJK23" s="204"/>
      <c r="MJL23" s="204"/>
      <c r="MJM23" s="204"/>
      <c r="MJN23" s="204"/>
      <c r="MJO23" s="204"/>
      <c r="MJP23" s="204"/>
      <c r="MJQ23" s="204"/>
      <c r="MJR23" s="204"/>
      <c r="MJS23" s="204"/>
      <c r="MJT23" s="204"/>
      <c r="MJU23" s="204"/>
      <c r="MJV23" s="204"/>
      <c r="MJW23" s="204"/>
      <c r="MJX23" s="204"/>
      <c r="MJY23" s="204"/>
      <c r="MJZ23" s="204"/>
      <c r="MKA23" s="204"/>
      <c r="MKB23" s="204"/>
      <c r="MKC23" s="204"/>
      <c r="MKD23" s="204"/>
      <c r="MKE23" s="204"/>
      <c r="MKF23" s="204"/>
      <c r="MKG23" s="204"/>
      <c r="MKH23" s="204"/>
      <c r="MKI23" s="204"/>
      <c r="MKJ23" s="204"/>
      <c r="MKK23" s="204"/>
      <c r="MKL23" s="204"/>
      <c r="MKM23" s="204"/>
      <c r="MKN23" s="204"/>
      <c r="MKO23" s="204"/>
      <c r="MKP23" s="204"/>
      <c r="MKQ23" s="204"/>
      <c r="MKR23" s="204"/>
      <c r="MKS23" s="204"/>
      <c r="MKT23" s="204"/>
      <c r="MKU23" s="204"/>
      <c r="MKV23" s="204"/>
      <c r="MKW23" s="204"/>
      <c r="MKX23" s="204"/>
      <c r="MKY23" s="204"/>
      <c r="MKZ23" s="204"/>
      <c r="MLA23" s="204"/>
      <c r="MLB23" s="204"/>
      <c r="MLC23" s="204"/>
      <c r="MLD23" s="204"/>
      <c r="MLE23" s="204"/>
      <c r="MLF23" s="204"/>
      <c r="MLG23" s="204"/>
      <c r="MLH23" s="204"/>
      <c r="MLI23" s="204"/>
      <c r="MLJ23" s="204"/>
      <c r="MLK23" s="204"/>
      <c r="MLL23" s="204"/>
      <c r="MLM23" s="204"/>
      <c r="MLN23" s="204"/>
      <c r="MLO23" s="204"/>
      <c r="MLP23" s="204"/>
      <c r="MLQ23" s="204"/>
      <c r="MLR23" s="204"/>
      <c r="MLS23" s="204"/>
      <c r="MLT23" s="204"/>
      <c r="MLU23" s="204"/>
      <c r="MLV23" s="204"/>
      <c r="MLW23" s="204"/>
      <c r="MLX23" s="204"/>
      <c r="MLY23" s="204"/>
      <c r="MLZ23" s="204"/>
      <c r="MMA23" s="204"/>
      <c r="MMB23" s="204"/>
      <c r="MMC23" s="204"/>
      <c r="MMD23" s="204"/>
      <c r="MME23" s="204"/>
      <c r="MMF23" s="204"/>
      <c r="MMG23" s="204"/>
      <c r="MMH23" s="204"/>
      <c r="MMI23" s="204"/>
      <c r="MMJ23" s="204"/>
      <c r="MMK23" s="204"/>
      <c r="MML23" s="204"/>
      <c r="MMM23" s="204"/>
      <c r="MMN23" s="204"/>
      <c r="MMO23" s="204"/>
      <c r="MMP23" s="204"/>
      <c r="MMQ23" s="204"/>
      <c r="MMR23" s="204"/>
      <c r="MMS23" s="204"/>
      <c r="MMT23" s="204"/>
      <c r="MMU23" s="204"/>
      <c r="MMV23" s="204"/>
      <c r="MMW23" s="204"/>
      <c r="MMX23" s="204"/>
      <c r="MMY23" s="204"/>
      <c r="MMZ23" s="204"/>
      <c r="MNA23" s="204"/>
      <c r="MNB23" s="204"/>
      <c r="MNC23" s="204"/>
      <c r="MND23" s="204"/>
      <c r="MNE23" s="204"/>
      <c r="MNF23" s="204"/>
      <c r="MNG23" s="204"/>
      <c r="MNH23" s="204"/>
      <c r="MNI23" s="204"/>
      <c r="MNJ23" s="204"/>
      <c r="MNK23" s="204"/>
      <c r="MNL23" s="204"/>
      <c r="MNM23" s="204"/>
      <c r="MNN23" s="204"/>
      <c r="MNO23" s="204"/>
      <c r="MNP23" s="204"/>
      <c r="MNQ23" s="204"/>
      <c r="MNR23" s="204"/>
      <c r="MNS23" s="204"/>
      <c r="MNT23" s="204"/>
      <c r="MNU23" s="204"/>
      <c r="MNV23" s="204"/>
      <c r="MNW23" s="204"/>
      <c r="MNX23" s="204"/>
      <c r="MNY23" s="204"/>
      <c r="MNZ23" s="204"/>
      <c r="MOA23" s="204"/>
      <c r="MOB23" s="204"/>
      <c r="MOC23" s="204"/>
      <c r="MOD23" s="204"/>
      <c r="MOE23" s="204"/>
      <c r="MOF23" s="204"/>
      <c r="MOG23" s="204"/>
      <c r="MOH23" s="204"/>
      <c r="MOI23" s="204"/>
      <c r="MOJ23" s="204"/>
      <c r="MOK23" s="204"/>
      <c r="MOL23" s="204"/>
      <c r="MOM23" s="204"/>
      <c r="MON23" s="204"/>
      <c r="MOO23" s="204"/>
      <c r="MOP23" s="204"/>
      <c r="MOQ23" s="204"/>
      <c r="MOR23" s="204"/>
      <c r="MOS23" s="204"/>
      <c r="MOT23" s="204"/>
      <c r="MOU23" s="204"/>
      <c r="MOV23" s="204"/>
      <c r="MOW23" s="204"/>
      <c r="MOX23" s="204"/>
      <c r="MOY23" s="204"/>
      <c r="MOZ23" s="204"/>
      <c r="MPA23" s="204"/>
      <c r="MPB23" s="204"/>
      <c r="MPC23" s="204"/>
      <c r="MPD23" s="204"/>
      <c r="MPE23" s="204"/>
      <c r="MPF23" s="204"/>
      <c r="MPG23" s="204"/>
      <c r="MPH23" s="204"/>
      <c r="MPI23" s="204"/>
      <c r="MPJ23" s="204"/>
      <c r="MPK23" s="204"/>
      <c r="MPL23" s="204"/>
      <c r="MPM23" s="204"/>
      <c r="MPN23" s="204"/>
      <c r="MPO23" s="204"/>
      <c r="MPP23" s="204"/>
      <c r="MPQ23" s="204"/>
      <c r="MPR23" s="204"/>
      <c r="MPS23" s="204"/>
      <c r="MPT23" s="204"/>
      <c r="MPU23" s="204"/>
      <c r="MPV23" s="204"/>
      <c r="MPW23" s="204"/>
      <c r="MPX23" s="204"/>
      <c r="MPY23" s="204"/>
      <c r="MPZ23" s="204"/>
      <c r="MQA23" s="204"/>
      <c r="MQB23" s="204"/>
      <c r="MQC23" s="204"/>
      <c r="MQD23" s="204"/>
      <c r="MQE23" s="204"/>
      <c r="MQF23" s="204"/>
      <c r="MQG23" s="204"/>
      <c r="MQH23" s="204"/>
      <c r="MQI23" s="204"/>
      <c r="MQJ23" s="204"/>
      <c r="MQK23" s="204"/>
      <c r="MQL23" s="204"/>
      <c r="MQM23" s="204"/>
      <c r="MQN23" s="204"/>
      <c r="MQO23" s="204"/>
      <c r="MQP23" s="204"/>
      <c r="MQQ23" s="204"/>
      <c r="MQR23" s="204"/>
      <c r="MQS23" s="204"/>
      <c r="MQT23" s="204"/>
      <c r="MQU23" s="204"/>
      <c r="MQV23" s="204"/>
      <c r="MQW23" s="204"/>
      <c r="MQX23" s="204"/>
      <c r="MQY23" s="204"/>
      <c r="MQZ23" s="204"/>
      <c r="MRA23" s="204"/>
      <c r="MRB23" s="204"/>
      <c r="MRC23" s="204"/>
      <c r="MRD23" s="204"/>
      <c r="MRE23" s="204"/>
      <c r="MRF23" s="204"/>
      <c r="MRG23" s="204"/>
      <c r="MRH23" s="204"/>
      <c r="MRI23" s="204"/>
      <c r="MRJ23" s="204"/>
      <c r="MRK23" s="204"/>
      <c r="MRL23" s="204"/>
      <c r="MRM23" s="204"/>
      <c r="MRN23" s="204"/>
      <c r="MRO23" s="204"/>
      <c r="MRP23" s="204"/>
      <c r="MRQ23" s="204"/>
      <c r="MRR23" s="204"/>
      <c r="MRS23" s="204"/>
      <c r="MRT23" s="204"/>
      <c r="MRU23" s="204"/>
      <c r="MRV23" s="204"/>
      <c r="MRW23" s="204"/>
      <c r="MRX23" s="204"/>
      <c r="MRY23" s="204"/>
      <c r="MRZ23" s="204"/>
      <c r="MSA23" s="204"/>
      <c r="MSB23" s="204"/>
      <c r="MSC23" s="204"/>
      <c r="MSD23" s="204"/>
      <c r="MSE23" s="204"/>
      <c r="MSF23" s="204"/>
      <c r="MSG23" s="204"/>
      <c r="MSH23" s="204"/>
      <c r="MSI23" s="204"/>
      <c r="MSJ23" s="204"/>
      <c r="MSK23" s="204"/>
      <c r="MSL23" s="204"/>
      <c r="MSM23" s="204"/>
      <c r="MSN23" s="204"/>
      <c r="MSO23" s="204"/>
      <c r="MSP23" s="204"/>
      <c r="MSQ23" s="204"/>
      <c r="MSR23" s="204"/>
      <c r="MSS23" s="204"/>
      <c r="MST23" s="204"/>
      <c r="MSU23" s="204"/>
      <c r="MSV23" s="204"/>
      <c r="MSW23" s="204"/>
      <c r="MSX23" s="204"/>
      <c r="MSY23" s="204"/>
      <c r="MSZ23" s="204"/>
      <c r="MTA23" s="204"/>
      <c r="MTB23" s="204"/>
      <c r="MTC23" s="204"/>
      <c r="MTD23" s="204"/>
      <c r="MTE23" s="204"/>
      <c r="MTF23" s="204"/>
      <c r="MTG23" s="204"/>
      <c r="MTH23" s="204"/>
      <c r="MTI23" s="204"/>
      <c r="MTJ23" s="204"/>
      <c r="MTK23" s="204"/>
      <c r="MTL23" s="204"/>
      <c r="MTM23" s="204"/>
      <c r="MTN23" s="204"/>
      <c r="MTO23" s="204"/>
      <c r="MTP23" s="204"/>
      <c r="MTQ23" s="204"/>
      <c r="MTR23" s="204"/>
      <c r="MTS23" s="204"/>
      <c r="MTT23" s="204"/>
      <c r="MTU23" s="204"/>
      <c r="MTV23" s="204"/>
      <c r="MTW23" s="204"/>
      <c r="MTX23" s="204"/>
      <c r="MTY23" s="204"/>
      <c r="MTZ23" s="204"/>
      <c r="MUA23" s="204"/>
      <c r="MUB23" s="204"/>
      <c r="MUC23" s="204"/>
      <c r="MUD23" s="204"/>
      <c r="MUE23" s="204"/>
      <c r="MUF23" s="204"/>
      <c r="MUG23" s="204"/>
      <c r="MUH23" s="204"/>
      <c r="MUI23" s="204"/>
      <c r="MUJ23" s="204"/>
      <c r="MUK23" s="204"/>
      <c r="MUL23" s="204"/>
      <c r="MUM23" s="204"/>
      <c r="MUN23" s="204"/>
      <c r="MUO23" s="204"/>
      <c r="MUP23" s="204"/>
      <c r="MUQ23" s="204"/>
      <c r="MUR23" s="204"/>
      <c r="MUS23" s="204"/>
      <c r="MUT23" s="204"/>
      <c r="MUU23" s="204"/>
      <c r="MUV23" s="204"/>
      <c r="MUW23" s="204"/>
      <c r="MUX23" s="204"/>
      <c r="MUY23" s="204"/>
      <c r="MUZ23" s="204"/>
      <c r="MVA23" s="204"/>
      <c r="MVB23" s="204"/>
      <c r="MVC23" s="204"/>
      <c r="MVD23" s="204"/>
      <c r="MVE23" s="204"/>
      <c r="MVF23" s="204"/>
      <c r="MVG23" s="204"/>
      <c r="MVH23" s="204"/>
      <c r="MVI23" s="204"/>
      <c r="MVJ23" s="204"/>
      <c r="MVK23" s="204"/>
      <c r="MVL23" s="204"/>
      <c r="MVM23" s="204"/>
      <c r="MVN23" s="204"/>
      <c r="MVO23" s="204"/>
      <c r="MVP23" s="204"/>
      <c r="MVQ23" s="204"/>
      <c r="MVR23" s="204"/>
      <c r="MVS23" s="204"/>
      <c r="MVT23" s="204"/>
      <c r="MVU23" s="204"/>
      <c r="MVV23" s="204"/>
      <c r="MVW23" s="204"/>
      <c r="MVX23" s="204"/>
      <c r="MVY23" s="204"/>
      <c r="MVZ23" s="204"/>
      <c r="MWA23" s="204"/>
      <c r="MWB23" s="204"/>
      <c r="MWC23" s="204"/>
      <c r="MWD23" s="204"/>
      <c r="MWE23" s="204"/>
      <c r="MWF23" s="204"/>
      <c r="MWG23" s="204"/>
      <c r="MWH23" s="204"/>
      <c r="MWI23" s="204"/>
      <c r="MWJ23" s="204"/>
      <c r="MWK23" s="204"/>
      <c r="MWL23" s="204"/>
      <c r="MWM23" s="204"/>
      <c r="MWN23" s="204"/>
      <c r="MWO23" s="204"/>
      <c r="MWP23" s="204"/>
      <c r="MWQ23" s="204"/>
      <c r="MWR23" s="204"/>
      <c r="MWS23" s="204"/>
      <c r="MWT23" s="204"/>
      <c r="MWU23" s="204"/>
      <c r="MWV23" s="204"/>
      <c r="MWW23" s="204"/>
      <c r="MWX23" s="204"/>
      <c r="MWY23" s="204"/>
      <c r="MWZ23" s="204"/>
      <c r="MXA23" s="204"/>
      <c r="MXB23" s="204"/>
      <c r="MXC23" s="204"/>
      <c r="MXD23" s="204"/>
      <c r="MXE23" s="204"/>
      <c r="MXF23" s="204"/>
      <c r="MXG23" s="204"/>
      <c r="MXH23" s="204"/>
      <c r="MXI23" s="204"/>
      <c r="MXJ23" s="204"/>
      <c r="MXK23" s="204"/>
      <c r="MXL23" s="204"/>
      <c r="MXM23" s="204"/>
      <c r="MXN23" s="204"/>
      <c r="MXO23" s="204"/>
      <c r="MXP23" s="204"/>
      <c r="MXQ23" s="204"/>
      <c r="MXR23" s="204"/>
      <c r="MXS23" s="204"/>
      <c r="MXT23" s="204"/>
      <c r="MXU23" s="204"/>
      <c r="MXV23" s="204"/>
      <c r="MXW23" s="204"/>
      <c r="MXX23" s="204"/>
      <c r="MXY23" s="204"/>
      <c r="MXZ23" s="204"/>
      <c r="MYA23" s="204"/>
      <c r="MYB23" s="204"/>
      <c r="MYC23" s="204"/>
      <c r="MYD23" s="204"/>
      <c r="MYE23" s="204"/>
      <c r="MYF23" s="204"/>
      <c r="MYG23" s="204"/>
      <c r="MYH23" s="204"/>
      <c r="MYI23" s="204"/>
      <c r="MYJ23" s="204"/>
      <c r="MYK23" s="204"/>
      <c r="MYL23" s="204"/>
      <c r="MYM23" s="204"/>
      <c r="MYN23" s="204"/>
      <c r="MYO23" s="204"/>
      <c r="MYP23" s="204"/>
      <c r="MYQ23" s="204"/>
      <c r="MYR23" s="204"/>
      <c r="MYS23" s="204"/>
      <c r="MYT23" s="204"/>
      <c r="MYU23" s="204"/>
      <c r="MYV23" s="204"/>
      <c r="MYW23" s="204"/>
      <c r="MYX23" s="204"/>
      <c r="MYY23" s="204"/>
      <c r="MYZ23" s="204"/>
      <c r="MZA23" s="204"/>
      <c r="MZB23" s="204"/>
      <c r="MZC23" s="204"/>
      <c r="MZD23" s="204"/>
      <c r="MZE23" s="204"/>
      <c r="MZF23" s="204"/>
      <c r="MZG23" s="204"/>
      <c r="MZH23" s="204"/>
      <c r="MZI23" s="204"/>
      <c r="MZJ23" s="204"/>
      <c r="MZK23" s="204"/>
      <c r="MZL23" s="204"/>
      <c r="MZM23" s="204"/>
      <c r="MZN23" s="204"/>
      <c r="MZO23" s="204"/>
      <c r="MZP23" s="204"/>
      <c r="MZQ23" s="204"/>
      <c r="MZR23" s="204"/>
      <c r="MZS23" s="204"/>
      <c r="MZT23" s="204"/>
      <c r="MZU23" s="204"/>
      <c r="MZV23" s="204"/>
      <c r="MZW23" s="204"/>
      <c r="MZX23" s="204"/>
      <c r="MZY23" s="204"/>
      <c r="MZZ23" s="204"/>
      <c r="NAA23" s="204"/>
      <c r="NAB23" s="204"/>
      <c r="NAC23" s="204"/>
      <c r="NAD23" s="204"/>
      <c r="NAE23" s="204"/>
      <c r="NAF23" s="204"/>
      <c r="NAG23" s="204"/>
      <c r="NAH23" s="204"/>
      <c r="NAI23" s="204"/>
      <c r="NAJ23" s="204"/>
      <c r="NAK23" s="204"/>
      <c r="NAL23" s="204"/>
      <c r="NAM23" s="204"/>
      <c r="NAN23" s="204"/>
      <c r="NAO23" s="204"/>
      <c r="NAP23" s="204"/>
      <c r="NAQ23" s="204"/>
      <c r="NAR23" s="204"/>
      <c r="NAS23" s="204"/>
      <c r="NAT23" s="204"/>
      <c r="NAU23" s="204"/>
      <c r="NAV23" s="204"/>
      <c r="NAW23" s="204"/>
      <c r="NAX23" s="204"/>
      <c r="NAY23" s="204"/>
      <c r="NAZ23" s="204"/>
      <c r="NBA23" s="204"/>
      <c r="NBB23" s="204"/>
      <c r="NBC23" s="204"/>
      <c r="NBD23" s="204"/>
      <c r="NBE23" s="204"/>
      <c r="NBF23" s="204"/>
      <c r="NBG23" s="204"/>
      <c r="NBH23" s="204"/>
      <c r="NBI23" s="204"/>
      <c r="NBJ23" s="204"/>
      <c r="NBK23" s="204"/>
      <c r="NBL23" s="204"/>
      <c r="NBM23" s="204"/>
      <c r="NBN23" s="204"/>
      <c r="NBO23" s="204"/>
      <c r="NBP23" s="204"/>
      <c r="NBQ23" s="204"/>
      <c r="NBR23" s="204"/>
      <c r="NBS23" s="204"/>
      <c r="NBT23" s="204"/>
      <c r="NBU23" s="204"/>
      <c r="NBV23" s="204"/>
      <c r="NBW23" s="204"/>
      <c r="NBX23" s="204"/>
      <c r="NBY23" s="204"/>
      <c r="NBZ23" s="204"/>
      <c r="NCA23" s="204"/>
      <c r="NCB23" s="204"/>
      <c r="NCC23" s="204"/>
      <c r="NCD23" s="204"/>
      <c r="NCE23" s="204"/>
      <c r="NCF23" s="204"/>
      <c r="NCG23" s="204"/>
      <c r="NCH23" s="204"/>
      <c r="NCI23" s="204"/>
      <c r="NCJ23" s="204"/>
      <c r="NCK23" s="204"/>
      <c r="NCL23" s="204"/>
      <c r="NCM23" s="204"/>
      <c r="NCN23" s="204"/>
      <c r="NCO23" s="204"/>
      <c r="NCP23" s="204"/>
      <c r="NCQ23" s="204"/>
      <c r="NCR23" s="204"/>
      <c r="NCS23" s="204"/>
      <c r="NCT23" s="204"/>
      <c r="NCU23" s="204"/>
      <c r="NCV23" s="204"/>
      <c r="NCW23" s="204"/>
      <c r="NCX23" s="204"/>
      <c r="NCY23" s="204"/>
      <c r="NCZ23" s="204"/>
      <c r="NDA23" s="204"/>
      <c r="NDB23" s="204"/>
      <c r="NDC23" s="204"/>
      <c r="NDD23" s="204"/>
      <c r="NDE23" s="204"/>
      <c r="NDF23" s="204"/>
      <c r="NDG23" s="204"/>
      <c r="NDH23" s="204"/>
      <c r="NDI23" s="204"/>
      <c r="NDJ23" s="204"/>
      <c r="NDK23" s="204"/>
      <c r="NDL23" s="204"/>
      <c r="NDM23" s="204"/>
      <c r="NDN23" s="204"/>
      <c r="NDO23" s="204"/>
      <c r="NDP23" s="204"/>
      <c r="NDQ23" s="204"/>
      <c r="NDR23" s="204"/>
      <c r="NDS23" s="204"/>
      <c r="NDT23" s="204"/>
      <c r="NDU23" s="204"/>
      <c r="NDV23" s="204"/>
      <c r="NDW23" s="204"/>
      <c r="NDX23" s="204"/>
      <c r="NDY23" s="204"/>
      <c r="NDZ23" s="204"/>
      <c r="NEA23" s="204"/>
      <c r="NEB23" s="204"/>
      <c r="NEC23" s="204"/>
      <c r="NED23" s="204"/>
      <c r="NEE23" s="204"/>
      <c r="NEF23" s="204"/>
      <c r="NEG23" s="204"/>
      <c r="NEH23" s="204"/>
      <c r="NEI23" s="204"/>
      <c r="NEJ23" s="204"/>
      <c r="NEK23" s="204"/>
      <c r="NEL23" s="204"/>
      <c r="NEM23" s="204"/>
      <c r="NEN23" s="204"/>
      <c r="NEO23" s="204"/>
      <c r="NEP23" s="204"/>
      <c r="NEQ23" s="204"/>
      <c r="NER23" s="204"/>
      <c r="NES23" s="204"/>
      <c r="NET23" s="204"/>
      <c r="NEU23" s="204"/>
      <c r="NEV23" s="204"/>
      <c r="NEW23" s="204"/>
      <c r="NEX23" s="204"/>
      <c r="NEY23" s="204"/>
      <c r="NEZ23" s="204"/>
      <c r="NFA23" s="204"/>
      <c r="NFB23" s="204"/>
      <c r="NFC23" s="204"/>
      <c r="NFD23" s="204"/>
      <c r="NFE23" s="204"/>
      <c r="NFF23" s="204"/>
      <c r="NFG23" s="204"/>
      <c r="NFH23" s="204"/>
      <c r="NFI23" s="204"/>
      <c r="NFJ23" s="204"/>
      <c r="NFK23" s="204"/>
      <c r="NFL23" s="204"/>
      <c r="NFM23" s="204"/>
      <c r="NFN23" s="204"/>
      <c r="NFO23" s="204"/>
      <c r="NFP23" s="204"/>
      <c r="NFQ23" s="204"/>
      <c r="NFR23" s="204"/>
      <c r="NFS23" s="204"/>
      <c r="NFT23" s="204"/>
      <c r="NFU23" s="204"/>
      <c r="NFV23" s="204"/>
      <c r="NFW23" s="204"/>
      <c r="NFX23" s="204"/>
      <c r="NFY23" s="204"/>
      <c r="NFZ23" s="204"/>
      <c r="NGA23" s="204"/>
      <c r="NGB23" s="204"/>
      <c r="NGC23" s="204"/>
      <c r="NGD23" s="204"/>
      <c r="NGE23" s="204"/>
      <c r="NGF23" s="204"/>
      <c r="NGG23" s="204"/>
      <c r="NGH23" s="204"/>
      <c r="NGI23" s="204"/>
      <c r="NGJ23" s="204"/>
      <c r="NGK23" s="204"/>
      <c r="NGL23" s="204"/>
      <c r="NGM23" s="204"/>
      <c r="NGN23" s="204"/>
      <c r="NGO23" s="204"/>
      <c r="NGP23" s="204"/>
      <c r="NGQ23" s="204"/>
      <c r="NGR23" s="204"/>
      <c r="NGS23" s="204"/>
      <c r="NGT23" s="204"/>
      <c r="NGU23" s="204"/>
      <c r="NGV23" s="204"/>
      <c r="NGW23" s="204"/>
      <c r="NGX23" s="204"/>
      <c r="NGY23" s="204"/>
      <c r="NGZ23" s="204"/>
      <c r="NHA23" s="204"/>
      <c r="NHB23" s="204"/>
      <c r="NHC23" s="204"/>
      <c r="NHD23" s="204"/>
      <c r="NHE23" s="204"/>
      <c r="NHF23" s="204"/>
      <c r="NHG23" s="204"/>
      <c r="NHH23" s="204"/>
      <c r="NHI23" s="204"/>
      <c r="NHJ23" s="204"/>
      <c r="NHK23" s="204"/>
      <c r="NHL23" s="204"/>
      <c r="NHM23" s="204"/>
      <c r="NHN23" s="204"/>
      <c r="NHO23" s="204"/>
      <c r="NHP23" s="204"/>
      <c r="NHQ23" s="204"/>
      <c r="NHR23" s="204"/>
      <c r="NHS23" s="204"/>
      <c r="NHT23" s="204"/>
      <c r="NHU23" s="204"/>
      <c r="NHV23" s="204"/>
      <c r="NHW23" s="204"/>
      <c r="NHX23" s="204"/>
      <c r="NHY23" s="204"/>
      <c r="NHZ23" s="204"/>
      <c r="NIA23" s="204"/>
      <c r="NIB23" s="204"/>
      <c r="NIC23" s="204"/>
      <c r="NID23" s="204"/>
      <c r="NIE23" s="204"/>
      <c r="NIF23" s="204"/>
      <c r="NIG23" s="204"/>
      <c r="NIH23" s="204"/>
      <c r="NII23" s="204"/>
      <c r="NIJ23" s="204"/>
      <c r="NIK23" s="204"/>
      <c r="NIL23" s="204"/>
      <c r="NIM23" s="204"/>
      <c r="NIN23" s="204"/>
      <c r="NIO23" s="204"/>
      <c r="NIP23" s="204"/>
      <c r="NIQ23" s="204"/>
      <c r="NIR23" s="204"/>
      <c r="NIS23" s="204"/>
      <c r="NIT23" s="204"/>
      <c r="NIU23" s="204"/>
      <c r="NIV23" s="204"/>
      <c r="NIW23" s="204"/>
      <c r="NIX23" s="204"/>
      <c r="NIY23" s="204"/>
      <c r="NIZ23" s="204"/>
      <c r="NJA23" s="204"/>
      <c r="NJB23" s="204"/>
      <c r="NJC23" s="204"/>
      <c r="NJD23" s="204"/>
      <c r="NJE23" s="204"/>
      <c r="NJF23" s="204"/>
      <c r="NJG23" s="204"/>
      <c r="NJH23" s="204"/>
      <c r="NJI23" s="204"/>
      <c r="NJJ23" s="204"/>
      <c r="NJK23" s="204"/>
      <c r="NJL23" s="204"/>
      <c r="NJM23" s="204"/>
      <c r="NJN23" s="204"/>
      <c r="NJO23" s="204"/>
      <c r="NJP23" s="204"/>
      <c r="NJQ23" s="204"/>
      <c r="NJR23" s="204"/>
      <c r="NJS23" s="204"/>
      <c r="NJT23" s="204"/>
      <c r="NJU23" s="204"/>
      <c r="NJV23" s="204"/>
      <c r="NJW23" s="204"/>
      <c r="NJX23" s="204"/>
      <c r="NJY23" s="204"/>
      <c r="NJZ23" s="204"/>
      <c r="NKA23" s="204"/>
      <c r="NKB23" s="204"/>
      <c r="NKC23" s="204"/>
      <c r="NKD23" s="204"/>
      <c r="NKE23" s="204"/>
      <c r="NKF23" s="204"/>
      <c r="NKG23" s="204"/>
      <c r="NKH23" s="204"/>
      <c r="NKI23" s="204"/>
      <c r="NKJ23" s="204"/>
      <c r="NKK23" s="204"/>
      <c r="NKL23" s="204"/>
      <c r="NKM23" s="204"/>
      <c r="NKN23" s="204"/>
      <c r="NKO23" s="204"/>
      <c r="NKP23" s="204"/>
      <c r="NKQ23" s="204"/>
      <c r="NKR23" s="204"/>
      <c r="NKS23" s="204"/>
      <c r="NKT23" s="204"/>
      <c r="NKU23" s="204"/>
      <c r="NKV23" s="204"/>
      <c r="NKW23" s="204"/>
      <c r="NKX23" s="204"/>
      <c r="NKY23" s="204"/>
      <c r="NKZ23" s="204"/>
      <c r="NLA23" s="204"/>
      <c r="NLB23" s="204"/>
      <c r="NLC23" s="204"/>
      <c r="NLD23" s="204"/>
      <c r="NLE23" s="204"/>
      <c r="NLF23" s="204"/>
      <c r="NLG23" s="204"/>
      <c r="NLH23" s="204"/>
      <c r="NLI23" s="204"/>
      <c r="NLJ23" s="204"/>
      <c r="NLK23" s="204"/>
      <c r="NLL23" s="204"/>
      <c r="NLM23" s="204"/>
      <c r="NLN23" s="204"/>
      <c r="NLO23" s="204"/>
      <c r="NLP23" s="204"/>
      <c r="NLQ23" s="204"/>
      <c r="NLR23" s="204"/>
      <c r="NLS23" s="204"/>
      <c r="NLT23" s="204"/>
      <c r="NLU23" s="204"/>
      <c r="NLV23" s="204"/>
      <c r="NLW23" s="204"/>
      <c r="NLX23" s="204"/>
      <c r="NLY23" s="204"/>
      <c r="NLZ23" s="204"/>
      <c r="NMA23" s="204"/>
      <c r="NMB23" s="204"/>
      <c r="NMC23" s="204"/>
      <c r="NMD23" s="204"/>
      <c r="NME23" s="204"/>
      <c r="NMF23" s="204"/>
      <c r="NMG23" s="204"/>
      <c r="NMH23" s="204"/>
      <c r="NMI23" s="204"/>
      <c r="NMJ23" s="204"/>
      <c r="NMK23" s="204"/>
      <c r="NML23" s="204"/>
      <c r="NMM23" s="204"/>
      <c r="NMN23" s="204"/>
      <c r="NMO23" s="204"/>
      <c r="NMP23" s="204"/>
      <c r="NMQ23" s="204"/>
      <c r="NMR23" s="204"/>
      <c r="NMS23" s="204"/>
      <c r="NMT23" s="204"/>
      <c r="NMU23" s="204"/>
      <c r="NMV23" s="204"/>
      <c r="NMW23" s="204"/>
      <c r="NMX23" s="204"/>
      <c r="NMY23" s="204"/>
      <c r="NMZ23" s="204"/>
      <c r="NNA23" s="204"/>
      <c r="NNB23" s="204"/>
      <c r="NNC23" s="204"/>
      <c r="NND23" s="204"/>
      <c r="NNE23" s="204"/>
      <c r="NNF23" s="204"/>
      <c r="NNG23" s="204"/>
      <c r="NNH23" s="204"/>
      <c r="NNI23" s="204"/>
      <c r="NNJ23" s="204"/>
      <c r="NNK23" s="204"/>
      <c r="NNL23" s="204"/>
      <c r="NNM23" s="204"/>
      <c r="NNN23" s="204"/>
      <c r="NNO23" s="204"/>
      <c r="NNP23" s="204"/>
      <c r="NNQ23" s="204"/>
      <c r="NNR23" s="204"/>
      <c r="NNS23" s="204"/>
      <c r="NNT23" s="204"/>
      <c r="NNU23" s="204"/>
      <c r="NNV23" s="204"/>
      <c r="NNW23" s="204"/>
      <c r="NNX23" s="204"/>
      <c r="NNY23" s="204"/>
      <c r="NNZ23" s="204"/>
      <c r="NOA23" s="204"/>
      <c r="NOB23" s="204"/>
      <c r="NOC23" s="204"/>
      <c r="NOD23" s="204"/>
      <c r="NOE23" s="204"/>
      <c r="NOF23" s="204"/>
      <c r="NOG23" s="204"/>
      <c r="NOH23" s="204"/>
      <c r="NOI23" s="204"/>
      <c r="NOJ23" s="204"/>
      <c r="NOK23" s="204"/>
      <c r="NOL23" s="204"/>
      <c r="NOM23" s="204"/>
      <c r="NON23" s="204"/>
      <c r="NOO23" s="204"/>
      <c r="NOP23" s="204"/>
      <c r="NOQ23" s="204"/>
      <c r="NOR23" s="204"/>
      <c r="NOS23" s="204"/>
      <c r="NOT23" s="204"/>
      <c r="NOU23" s="204"/>
      <c r="NOV23" s="204"/>
      <c r="NOW23" s="204"/>
      <c r="NOX23" s="204"/>
      <c r="NOY23" s="204"/>
      <c r="NOZ23" s="204"/>
      <c r="NPA23" s="204"/>
      <c r="NPB23" s="204"/>
      <c r="NPC23" s="204"/>
      <c r="NPD23" s="204"/>
      <c r="NPE23" s="204"/>
      <c r="NPF23" s="204"/>
      <c r="NPG23" s="204"/>
      <c r="NPH23" s="204"/>
      <c r="NPI23" s="204"/>
      <c r="NPJ23" s="204"/>
      <c r="NPK23" s="204"/>
      <c r="NPL23" s="204"/>
      <c r="NPM23" s="204"/>
      <c r="NPN23" s="204"/>
      <c r="NPO23" s="204"/>
      <c r="NPP23" s="204"/>
      <c r="NPQ23" s="204"/>
      <c r="NPR23" s="204"/>
      <c r="NPS23" s="204"/>
      <c r="NPT23" s="204"/>
      <c r="NPU23" s="204"/>
      <c r="NPV23" s="204"/>
      <c r="NPW23" s="204"/>
      <c r="NPX23" s="204"/>
      <c r="NPY23" s="204"/>
      <c r="NPZ23" s="204"/>
      <c r="NQA23" s="204"/>
      <c r="NQB23" s="204"/>
      <c r="NQC23" s="204"/>
      <c r="NQD23" s="204"/>
      <c r="NQE23" s="204"/>
      <c r="NQF23" s="204"/>
      <c r="NQG23" s="204"/>
      <c r="NQH23" s="204"/>
      <c r="NQI23" s="204"/>
      <c r="NQJ23" s="204"/>
      <c r="NQK23" s="204"/>
      <c r="NQL23" s="204"/>
      <c r="NQM23" s="204"/>
      <c r="NQN23" s="204"/>
      <c r="NQO23" s="204"/>
      <c r="NQP23" s="204"/>
      <c r="NQQ23" s="204"/>
      <c r="NQR23" s="204"/>
      <c r="NQS23" s="204"/>
      <c r="NQT23" s="204"/>
      <c r="NQU23" s="204"/>
      <c r="NQV23" s="204"/>
      <c r="NQW23" s="204"/>
      <c r="NQX23" s="204"/>
      <c r="NQY23" s="204"/>
      <c r="NQZ23" s="204"/>
      <c r="NRA23" s="204"/>
      <c r="NRB23" s="204"/>
      <c r="NRC23" s="204"/>
      <c r="NRD23" s="204"/>
      <c r="NRE23" s="204"/>
      <c r="NRF23" s="204"/>
      <c r="NRG23" s="204"/>
      <c r="NRH23" s="204"/>
      <c r="NRI23" s="204"/>
      <c r="NRJ23" s="204"/>
      <c r="NRK23" s="204"/>
      <c r="NRL23" s="204"/>
      <c r="NRM23" s="204"/>
      <c r="NRN23" s="204"/>
      <c r="NRO23" s="204"/>
      <c r="NRP23" s="204"/>
      <c r="NRQ23" s="204"/>
      <c r="NRR23" s="204"/>
      <c r="NRS23" s="204"/>
      <c r="NRT23" s="204"/>
      <c r="NRU23" s="204"/>
      <c r="NRV23" s="204"/>
      <c r="NRW23" s="204"/>
      <c r="NRX23" s="204"/>
      <c r="NRY23" s="204"/>
      <c r="NRZ23" s="204"/>
      <c r="NSA23" s="204"/>
      <c r="NSB23" s="204"/>
      <c r="NSC23" s="204"/>
      <c r="NSD23" s="204"/>
      <c r="NSE23" s="204"/>
      <c r="NSF23" s="204"/>
      <c r="NSG23" s="204"/>
      <c r="NSH23" s="204"/>
      <c r="NSI23" s="204"/>
      <c r="NSJ23" s="204"/>
      <c r="NSK23" s="204"/>
      <c r="NSL23" s="204"/>
      <c r="NSM23" s="204"/>
      <c r="NSN23" s="204"/>
      <c r="NSO23" s="204"/>
      <c r="NSP23" s="204"/>
      <c r="NSQ23" s="204"/>
      <c r="NSR23" s="204"/>
      <c r="NSS23" s="204"/>
      <c r="NST23" s="204"/>
      <c r="NSU23" s="204"/>
      <c r="NSV23" s="204"/>
      <c r="NSW23" s="204"/>
      <c r="NSX23" s="204"/>
      <c r="NSY23" s="204"/>
      <c r="NSZ23" s="204"/>
      <c r="NTA23" s="204"/>
      <c r="NTB23" s="204"/>
      <c r="NTC23" s="204"/>
      <c r="NTD23" s="204"/>
      <c r="NTE23" s="204"/>
      <c r="NTF23" s="204"/>
      <c r="NTG23" s="204"/>
      <c r="NTH23" s="204"/>
      <c r="NTI23" s="204"/>
      <c r="NTJ23" s="204"/>
      <c r="NTK23" s="204"/>
      <c r="NTL23" s="204"/>
      <c r="NTM23" s="204"/>
      <c r="NTN23" s="204"/>
      <c r="NTO23" s="204"/>
      <c r="NTP23" s="204"/>
      <c r="NTQ23" s="204"/>
      <c r="NTR23" s="204"/>
      <c r="NTS23" s="204"/>
      <c r="NTT23" s="204"/>
      <c r="NTU23" s="204"/>
      <c r="NTV23" s="204"/>
      <c r="NTW23" s="204"/>
      <c r="NTX23" s="204"/>
      <c r="NTY23" s="204"/>
      <c r="NTZ23" s="204"/>
      <c r="NUA23" s="204"/>
      <c r="NUB23" s="204"/>
      <c r="NUC23" s="204"/>
      <c r="NUD23" s="204"/>
      <c r="NUE23" s="204"/>
      <c r="NUF23" s="204"/>
      <c r="NUG23" s="204"/>
      <c r="NUH23" s="204"/>
      <c r="NUI23" s="204"/>
      <c r="NUJ23" s="204"/>
      <c r="NUK23" s="204"/>
      <c r="NUL23" s="204"/>
      <c r="NUM23" s="204"/>
      <c r="NUN23" s="204"/>
      <c r="NUO23" s="204"/>
      <c r="NUP23" s="204"/>
      <c r="NUQ23" s="204"/>
      <c r="NUR23" s="204"/>
      <c r="NUS23" s="204"/>
      <c r="NUT23" s="204"/>
      <c r="NUU23" s="204"/>
      <c r="NUV23" s="204"/>
      <c r="NUW23" s="204"/>
      <c r="NUX23" s="204"/>
      <c r="NUY23" s="204"/>
      <c r="NUZ23" s="204"/>
      <c r="NVA23" s="204"/>
      <c r="NVB23" s="204"/>
      <c r="NVC23" s="204"/>
      <c r="NVD23" s="204"/>
      <c r="NVE23" s="204"/>
      <c r="NVF23" s="204"/>
      <c r="NVG23" s="204"/>
      <c r="NVH23" s="204"/>
      <c r="NVI23" s="204"/>
      <c r="NVJ23" s="204"/>
      <c r="NVK23" s="204"/>
      <c r="NVL23" s="204"/>
      <c r="NVM23" s="204"/>
      <c r="NVN23" s="204"/>
      <c r="NVO23" s="204"/>
      <c r="NVP23" s="204"/>
      <c r="NVQ23" s="204"/>
      <c r="NVR23" s="204"/>
      <c r="NVS23" s="204"/>
      <c r="NVT23" s="204"/>
      <c r="NVU23" s="204"/>
      <c r="NVV23" s="204"/>
      <c r="NVW23" s="204"/>
      <c r="NVX23" s="204"/>
      <c r="NVY23" s="204"/>
      <c r="NVZ23" s="204"/>
      <c r="NWA23" s="204"/>
      <c r="NWB23" s="204"/>
      <c r="NWC23" s="204"/>
      <c r="NWD23" s="204"/>
      <c r="NWE23" s="204"/>
      <c r="NWF23" s="204"/>
      <c r="NWG23" s="204"/>
      <c r="NWH23" s="204"/>
      <c r="NWI23" s="204"/>
      <c r="NWJ23" s="204"/>
      <c r="NWK23" s="204"/>
      <c r="NWL23" s="204"/>
      <c r="NWM23" s="204"/>
      <c r="NWN23" s="204"/>
      <c r="NWO23" s="204"/>
      <c r="NWP23" s="204"/>
      <c r="NWQ23" s="204"/>
      <c r="NWR23" s="204"/>
      <c r="NWS23" s="204"/>
      <c r="NWT23" s="204"/>
      <c r="NWU23" s="204"/>
      <c r="NWV23" s="204"/>
      <c r="NWW23" s="204"/>
      <c r="NWX23" s="204"/>
      <c r="NWY23" s="204"/>
      <c r="NWZ23" s="204"/>
      <c r="NXA23" s="204"/>
      <c r="NXB23" s="204"/>
      <c r="NXC23" s="204"/>
      <c r="NXD23" s="204"/>
      <c r="NXE23" s="204"/>
      <c r="NXF23" s="204"/>
      <c r="NXG23" s="204"/>
      <c r="NXH23" s="204"/>
      <c r="NXI23" s="204"/>
      <c r="NXJ23" s="204"/>
      <c r="NXK23" s="204"/>
      <c r="NXL23" s="204"/>
      <c r="NXM23" s="204"/>
      <c r="NXN23" s="204"/>
      <c r="NXO23" s="204"/>
      <c r="NXP23" s="204"/>
      <c r="NXQ23" s="204"/>
      <c r="NXR23" s="204"/>
      <c r="NXS23" s="204"/>
      <c r="NXT23" s="204"/>
      <c r="NXU23" s="204"/>
      <c r="NXV23" s="204"/>
      <c r="NXW23" s="204"/>
      <c r="NXX23" s="204"/>
      <c r="NXY23" s="204"/>
      <c r="NXZ23" s="204"/>
      <c r="NYA23" s="204"/>
      <c r="NYB23" s="204"/>
      <c r="NYC23" s="204"/>
      <c r="NYD23" s="204"/>
      <c r="NYE23" s="204"/>
      <c r="NYF23" s="204"/>
      <c r="NYG23" s="204"/>
      <c r="NYH23" s="204"/>
      <c r="NYI23" s="204"/>
      <c r="NYJ23" s="204"/>
      <c r="NYK23" s="204"/>
      <c r="NYL23" s="204"/>
      <c r="NYM23" s="204"/>
      <c r="NYN23" s="204"/>
      <c r="NYO23" s="204"/>
      <c r="NYP23" s="204"/>
      <c r="NYQ23" s="204"/>
      <c r="NYR23" s="204"/>
      <c r="NYS23" s="204"/>
      <c r="NYT23" s="204"/>
      <c r="NYU23" s="204"/>
      <c r="NYV23" s="204"/>
      <c r="NYW23" s="204"/>
      <c r="NYX23" s="204"/>
      <c r="NYY23" s="204"/>
      <c r="NYZ23" s="204"/>
      <c r="NZA23" s="204"/>
      <c r="NZB23" s="204"/>
      <c r="NZC23" s="204"/>
      <c r="NZD23" s="204"/>
      <c r="NZE23" s="204"/>
      <c r="NZF23" s="204"/>
      <c r="NZG23" s="204"/>
      <c r="NZH23" s="204"/>
      <c r="NZI23" s="204"/>
      <c r="NZJ23" s="204"/>
      <c r="NZK23" s="204"/>
      <c r="NZL23" s="204"/>
      <c r="NZM23" s="204"/>
      <c r="NZN23" s="204"/>
      <c r="NZO23" s="204"/>
      <c r="NZP23" s="204"/>
      <c r="NZQ23" s="204"/>
      <c r="NZR23" s="204"/>
      <c r="NZS23" s="204"/>
      <c r="NZT23" s="204"/>
      <c r="NZU23" s="204"/>
      <c r="NZV23" s="204"/>
      <c r="NZW23" s="204"/>
      <c r="NZX23" s="204"/>
      <c r="NZY23" s="204"/>
      <c r="NZZ23" s="204"/>
      <c r="OAA23" s="204"/>
      <c r="OAB23" s="204"/>
      <c r="OAC23" s="204"/>
      <c r="OAD23" s="204"/>
      <c r="OAE23" s="204"/>
      <c r="OAF23" s="204"/>
      <c r="OAG23" s="204"/>
      <c r="OAH23" s="204"/>
      <c r="OAI23" s="204"/>
      <c r="OAJ23" s="204"/>
      <c r="OAK23" s="204"/>
      <c r="OAL23" s="204"/>
      <c r="OAM23" s="204"/>
      <c r="OAN23" s="204"/>
      <c r="OAO23" s="204"/>
      <c r="OAP23" s="204"/>
      <c r="OAQ23" s="204"/>
      <c r="OAR23" s="204"/>
      <c r="OAS23" s="204"/>
      <c r="OAT23" s="204"/>
      <c r="OAU23" s="204"/>
      <c r="OAV23" s="204"/>
      <c r="OAW23" s="204"/>
      <c r="OAX23" s="204"/>
      <c r="OAY23" s="204"/>
      <c r="OAZ23" s="204"/>
      <c r="OBA23" s="204"/>
      <c r="OBB23" s="204"/>
      <c r="OBC23" s="204"/>
      <c r="OBD23" s="204"/>
      <c r="OBE23" s="204"/>
      <c r="OBF23" s="204"/>
      <c r="OBG23" s="204"/>
      <c r="OBH23" s="204"/>
      <c r="OBI23" s="204"/>
      <c r="OBJ23" s="204"/>
      <c r="OBK23" s="204"/>
      <c r="OBL23" s="204"/>
      <c r="OBM23" s="204"/>
      <c r="OBN23" s="204"/>
      <c r="OBO23" s="204"/>
      <c r="OBP23" s="204"/>
      <c r="OBQ23" s="204"/>
      <c r="OBR23" s="204"/>
      <c r="OBS23" s="204"/>
      <c r="OBT23" s="204"/>
      <c r="OBU23" s="204"/>
      <c r="OBV23" s="204"/>
      <c r="OBW23" s="204"/>
      <c r="OBX23" s="204"/>
      <c r="OBY23" s="204"/>
      <c r="OBZ23" s="204"/>
      <c r="OCA23" s="204"/>
      <c r="OCB23" s="204"/>
      <c r="OCC23" s="204"/>
      <c r="OCD23" s="204"/>
      <c r="OCE23" s="204"/>
      <c r="OCF23" s="204"/>
      <c r="OCG23" s="204"/>
      <c r="OCH23" s="204"/>
      <c r="OCI23" s="204"/>
      <c r="OCJ23" s="204"/>
      <c r="OCK23" s="204"/>
      <c r="OCL23" s="204"/>
      <c r="OCM23" s="204"/>
      <c r="OCN23" s="204"/>
      <c r="OCO23" s="204"/>
      <c r="OCP23" s="204"/>
      <c r="OCQ23" s="204"/>
      <c r="OCR23" s="204"/>
      <c r="OCS23" s="204"/>
      <c r="OCT23" s="204"/>
      <c r="OCU23" s="204"/>
      <c r="OCV23" s="204"/>
      <c r="OCW23" s="204"/>
      <c r="OCX23" s="204"/>
      <c r="OCY23" s="204"/>
      <c r="OCZ23" s="204"/>
      <c r="ODA23" s="204"/>
      <c r="ODB23" s="204"/>
      <c r="ODC23" s="204"/>
      <c r="ODD23" s="204"/>
      <c r="ODE23" s="204"/>
      <c r="ODF23" s="204"/>
      <c r="ODG23" s="204"/>
      <c r="ODH23" s="204"/>
      <c r="ODI23" s="204"/>
      <c r="ODJ23" s="204"/>
      <c r="ODK23" s="204"/>
      <c r="ODL23" s="204"/>
      <c r="ODM23" s="204"/>
      <c r="ODN23" s="204"/>
      <c r="ODO23" s="204"/>
      <c r="ODP23" s="204"/>
      <c r="ODQ23" s="204"/>
      <c r="ODR23" s="204"/>
      <c r="ODS23" s="204"/>
      <c r="ODT23" s="204"/>
      <c r="ODU23" s="204"/>
      <c r="ODV23" s="204"/>
      <c r="ODW23" s="204"/>
      <c r="ODX23" s="204"/>
      <c r="ODY23" s="204"/>
      <c r="ODZ23" s="204"/>
      <c r="OEA23" s="204"/>
      <c r="OEB23" s="204"/>
      <c r="OEC23" s="204"/>
      <c r="OED23" s="204"/>
      <c r="OEE23" s="204"/>
      <c r="OEF23" s="204"/>
      <c r="OEG23" s="204"/>
      <c r="OEH23" s="204"/>
      <c r="OEI23" s="204"/>
      <c r="OEJ23" s="204"/>
      <c r="OEK23" s="204"/>
      <c r="OEL23" s="204"/>
      <c r="OEM23" s="204"/>
      <c r="OEN23" s="204"/>
      <c r="OEO23" s="204"/>
      <c r="OEP23" s="204"/>
      <c r="OEQ23" s="204"/>
      <c r="OER23" s="204"/>
      <c r="OES23" s="204"/>
      <c r="OET23" s="204"/>
      <c r="OEU23" s="204"/>
      <c r="OEV23" s="204"/>
      <c r="OEW23" s="204"/>
      <c r="OEX23" s="204"/>
      <c r="OEY23" s="204"/>
      <c r="OEZ23" s="204"/>
      <c r="OFA23" s="204"/>
      <c r="OFB23" s="204"/>
      <c r="OFC23" s="204"/>
      <c r="OFD23" s="204"/>
      <c r="OFE23" s="204"/>
      <c r="OFF23" s="204"/>
      <c r="OFG23" s="204"/>
      <c r="OFH23" s="204"/>
      <c r="OFI23" s="204"/>
      <c r="OFJ23" s="204"/>
      <c r="OFK23" s="204"/>
      <c r="OFL23" s="204"/>
      <c r="OFM23" s="204"/>
      <c r="OFN23" s="204"/>
      <c r="OFO23" s="204"/>
      <c r="OFP23" s="204"/>
      <c r="OFQ23" s="204"/>
      <c r="OFR23" s="204"/>
      <c r="OFS23" s="204"/>
      <c r="OFT23" s="204"/>
      <c r="OFU23" s="204"/>
      <c r="OFV23" s="204"/>
      <c r="OFW23" s="204"/>
      <c r="OFX23" s="204"/>
      <c r="OFY23" s="204"/>
      <c r="OFZ23" s="204"/>
      <c r="OGA23" s="204"/>
      <c r="OGB23" s="204"/>
      <c r="OGC23" s="204"/>
      <c r="OGD23" s="204"/>
      <c r="OGE23" s="204"/>
      <c r="OGF23" s="204"/>
      <c r="OGG23" s="204"/>
      <c r="OGH23" s="204"/>
      <c r="OGI23" s="204"/>
      <c r="OGJ23" s="204"/>
      <c r="OGK23" s="204"/>
      <c r="OGL23" s="204"/>
      <c r="OGM23" s="204"/>
      <c r="OGN23" s="204"/>
      <c r="OGO23" s="204"/>
      <c r="OGP23" s="204"/>
      <c r="OGQ23" s="204"/>
      <c r="OGR23" s="204"/>
      <c r="OGS23" s="204"/>
      <c r="OGT23" s="204"/>
      <c r="OGU23" s="204"/>
      <c r="OGV23" s="204"/>
      <c r="OGW23" s="204"/>
      <c r="OGX23" s="204"/>
      <c r="OGY23" s="204"/>
      <c r="OGZ23" s="204"/>
      <c r="OHA23" s="204"/>
      <c r="OHB23" s="204"/>
      <c r="OHC23" s="204"/>
      <c r="OHD23" s="204"/>
      <c r="OHE23" s="204"/>
      <c r="OHF23" s="204"/>
      <c r="OHG23" s="204"/>
      <c r="OHH23" s="204"/>
      <c r="OHI23" s="204"/>
      <c r="OHJ23" s="204"/>
      <c r="OHK23" s="204"/>
      <c r="OHL23" s="204"/>
      <c r="OHM23" s="204"/>
      <c r="OHN23" s="204"/>
      <c r="OHO23" s="204"/>
      <c r="OHP23" s="204"/>
      <c r="OHQ23" s="204"/>
      <c r="OHR23" s="204"/>
      <c r="OHS23" s="204"/>
      <c r="OHT23" s="204"/>
      <c r="OHU23" s="204"/>
      <c r="OHV23" s="204"/>
      <c r="OHW23" s="204"/>
      <c r="OHX23" s="204"/>
      <c r="OHY23" s="204"/>
      <c r="OHZ23" s="204"/>
      <c r="OIA23" s="204"/>
      <c r="OIB23" s="204"/>
      <c r="OIC23" s="204"/>
      <c r="OID23" s="204"/>
      <c r="OIE23" s="204"/>
      <c r="OIF23" s="204"/>
      <c r="OIG23" s="204"/>
      <c r="OIH23" s="204"/>
      <c r="OII23" s="204"/>
      <c r="OIJ23" s="204"/>
      <c r="OIK23" s="204"/>
      <c r="OIL23" s="204"/>
      <c r="OIM23" s="204"/>
      <c r="OIN23" s="204"/>
      <c r="OIO23" s="204"/>
      <c r="OIP23" s="204"/>
      <c r="OIQ23" s="204"/>
      <c r="OIR23" s="204"/>
      <c r="OIS23" s="204"/>
      <c r="OIT23" s="204"/>
      <c r="OIU23" s="204"/>
      <c r="OIV23" s="204"/>
      <c r="OIW23" s="204"/>
      <c r="OIX23" s="204"/>
      <c r="OIY23" s="204"/>
      <c r="OIZ23" s="204"/>
      <c r="OJA23" s="204"/>
      <c r="OJB23" s="204"/>
      <c r="OJC23" s="204"/>
      <c r="OJD23" s="204"/>
      <c r="OJE23" s="204"/>
      <c r="OJF23" s="204"/>
      <c r="OJG23" s="204"/>
      <c r="OJH23" s="204"/>
      <c r="OJI23" s="204"/>
      <c r="OJJ23" s="204"/>
      <c r="OJK23" s="204"/>
      <c r="OJL23" s="204"/>
      <c r="OJM23" s="204"/>
      <c r="OJN23" s="204"/>
      <c r="OJO23" s="204"/>
      <c r="OJP23" s="204"/>
      <c r="OJQ23" s="204"/>
      <c r="OJR23" s="204"/>
      <c r="OJS23" s="204"/>
      <c r="OJT23" s="204"/>
      <c r="OJU23" s="204"/>
      <c r="OJV23" s="204"/>
      <c r="OJW23" s="204"/>
      <c r="OJX23" s="204"/>
      <c r="OJY23" s="204"/>
      <c r="OJZ23" s="204"/>
      <c r="OKA23" s="204"/>
      <c r="OKB23" s="204"/>
      <c r="OKC23" s="204"/>
      <c r="OKD23" s="204"/>
      <c r="OKE23" s="204"/>
      <c r="OKF23" s="204"/>
      <c r="OKG23" s="204"/>
      <c r="OKH23" s="204"/>
      <c r="OKI23" s="204"/>
      <c r="OKJ23" s="204"/>
      <c r="OKK23" s="204"/>
      <c r="OKL23" s="204"/>
      <c r="OKM23" s="204"/>
      <c r="OKN23" s="204"/>
      <c r="OKO23" s="204"/>
      <c r="OKP23" s="204"/>
      <c r="OKQ23" s="204"/>
      <c r="OKR23" s="204"/>
      <c r="OKS23" s="204"/>
      <c r="OKT23" s="204"/>
      <c r="OKU23" s="204"/>
      <c r="OKV23" s="204"/>
      <c r="OKW23" s="204"/>
      <c r="OKX23" s="204"/>
      <c r="OKY23" s="204"/>
      <c r="OKZ23" s="204"/>
      <c r="OLA23" s="204"/>
      <c r="OLB23" s="204"/>
      <c r="OLC23" s="204"/>
      <c r="OLD23" s="204"/>
      <c r="OLE23" s="204"/>
      <c r="OLF23" s="204"/>
      <c r="OLG23" s="204"/>
      <c r="OLH23" s="204"/>
      <c r="OLI23" s="204"/>
      <c r="OLJ23" s="204"/>
      <c r="OLK23" s="204"/>
      <c r="OLL23" s="204"/>
      <c r="OLM23" s="204"/>
      <c r="OLN23" s="204"/>
      <c r="OLO23" s="204"/>
      <c r="OLP23" s="204"/>
      <c r="OLQ23" s="204"/>
      <c r="OLR23" s="204"/>
      <c r="OLS23" s="204"/>
      <c r="OLT23" s="204"/>
      <c r="OLU23" s="204"/>
      <c r="OLV23" s="204"/>
      <c r="OLW23" s="204"/>
      <c r="OLX23" s="204"/>
      <c r="OLY23" s="204"/>
      <c r="OLZ23" s="204"/>
      <c r="OMA23" s="204"/>
      <c r="OMB23" s="204"/>
      <c r="OMC23" s="204"/>
      <c r="OMD23" s="204"/>
      <c r="OME23" s="204"/>
      <c r="OMF23" s="204"/>
      <c r="OMG23" s="204"/>
      <c r="OMH23" s="204"/>
      <c r="OMI23" s="204"/>
      <c r="OMJ23" s="204"/>
      <c r="OMK23" s="204"/>
      <c r="OML23" s="204"/>
      <c r="OMM23" s="204"/>
      <c r="OMN23" s="204"/>
      <c r="OMO23" s="204"/>
      <c r="OMP23" s="204"/>
      <c r="OMQ23" s="204"/>
      <c r="OMR23" s="204"/>
      <c r="OMS23" s="204"/>
      <c r="OMT23" s="204"/>
      <c r="OMU23" s="204"/>
      <c r="OMV23" s="204"/>
      <c r="OMW23" s="204"/>
      <c r="OMX23" s="204"/>
      <c r="OMY23" s="204"/>
      <c r="OMZ23" s="204"/>
      <c r="ONA23" s="204"/>
      <c r="ONB23" s="204"/>
      <c r="ONC23" s="204"/>
      <c r="OND23" s="204"/>
      <c r="ONE23" s="204"/>
      <c r="ONF23" s="204"/>
      <c r="ONG23" s="204"/>
      <c r="ONH23" s="204"/>
      <c r="ONI23" s="204"/>
      <c r="ONJ23" s="204"/>
      <c r="ONK23" s="204"/>
      <c r="ONL23" s="204"/>
      <c r="ONM23" s="204"/>
      <c r="ONN23" s="204"/>
      <c r="ONO23" s="204"/>
      <c r="ONP23" s="204"/>
      <c r="ONQ23" s="204"/>
      <c r="ONR23" s="204"/>
      <c r="ONS23" s="204"/>
      <c r="ONT23" s="204"/>
      <c r="ONU23" s="204"/>
      <c r="ONV23" s="204"/>
      <c r="ONW23" s="204"/>
      <c r="ONX23" s="204"/>
      <c r="ONY23" s="204"/>
      <c r="ONZ23" s="204"/>
      <c r="OOA23" s="204"/>
      <c r="OOB23" s="204"/>
      <c r="OOC23" s="204"/>
      <c r="OOD23" s="204"/>
      <c r="OOE23" s="204"/>
      <c r="OOF23" s="204"/>
      <c r="OOG23" s="204"/>
      <c r="OOH23" s="204"/>
      <c r="OOI23" s="204"/>
      <c r="OOJ23" s="204"/>
      <c r="OOK23" s="204"/>
      <c r="OOL23" s="204"/>
      <c r="OOM23" s="204"/>
      <c r="OON23" s="204"/>
      <c r="OOO23" s="204"/>
      <c r="OOP23" s="204"/>
      <c r="OOQ23" s="204"/>
      <c r="OOR23" s="204"/>
      <c r="OOS23" s="204"/>
      <c r="OOT23" s="204"/>
      <c r="OOU23" s="204"/>
      <c r="OOV23" s="204"/>
      <c r="OOW23" s="204"/>
      <c r="OOX23" s="204"/>
      <c r="OOY23" s="204"/>
      <c r="OOZ23" s="204"/>
      <c r="OPA23" s="204"/>
      <c r="OPB23" s="204"/>
      <c r="OPC23" s="204"/>
      <c r="OPD23" s="204"/>
      <c r="OPE23" s="204"/>
      <c r="OPF23" s="204"/>
      <c r="OPG23" s="204"/>
      <c r="OPH23" s="204"/>
      <c r="OPI23" s="204"/>
      <c r="OPJ23" s="204"/>
      <c r="OPK23" s="204"/>
      <c r="OPL23" s="204"/>
      <c r="OPM23" s="204"/>
      <c r="OPN23" s="204"/>
      <c r="OPO23" s="204"/>
      <c r="OPP23" s="204"/>
      <c r="OPQ23" s="204"/>
      <c r="OPR23" s="204"/>
      <c r="OPS23" s="204"/>
      <c r="OPT23" s="204"/>
      <c r="OPU23" s="204"/>
      <c r="OPV23" s="204"/>
      <c r="OPW23" s="204"/>
      <c r="OPX23" s="204"/>
      <c r="OPY23" s="204"/>
      <c r="OPZ23" s="204"/>
      <c r="OQA23" s="204"/>
      <c r="OQB23" s="204"/>
      <c r="OQC23" s="204"/>
      <c r="OQD23" s="204"/>
      <c r="OQE23" s="204"/>
      <c r="OQF23" s="204"/>
      <c r="OQG23" s="204"/>
      <c r="OQH23" s="204"/>
      <c r="OQI23" s="204"/>
      <c r="OQJ23" s="204"/>
      <c r="OQK23" s="204"/>
      <c r="OQL23" s="204"/>
      <c r="OQM23" s="204"/>
      <c r="OQN23" s="204"/>
      <c r="OQO23" s="204"/>
      <c r="OQP23" s="204"/>
      <c r="OQQ23" s="204"/>
      <c r="OQR23" s="204"/>
      <c r="OQS23" s="204"/>
      <c r="OQT23" s="204"/>
      <c r="OQU23" s="204"/>
      <c r="OQV23" s="204"/>
      <c r="OQW23" s="204"/>
      <c r="OQX23" s="204"/>
      <c r="OQY23" s="204"/>
      <c r="OQZ23" s="204"/>
      <c r="ORA23" s="204"/>
      <c r="ORB23" s="204"/>
      <c r="ORC23" s="204"/>
      <c r="ORD23" s="204"/>
      <c r="ORE23" s="204"/>
      <c r="ORF23" s="204"/>
      <c r="ORG23" s="204"/>
      <c r="ORH23" s="204"/>
      <c r="ORI23" s="204"/>
      <c r="ORJ23" s="204"/>
      <c r="ORK23" s="204"/>
      <c r="ORL23" s="204"/>
      <c r="ORM23" s="204"/>
      <c r="ORN23" s="204"/>
      <c r="ORO23" s="204"/>
      <c r="ORP23" s="204"/>
      <c r="ORQ23" s="204"/>
      <c r="ORR23" s="204"/>
      <c r="ORS23" s="204"/>
      <c r="ORT23" s="204"/>
      <c r="ORU23" s="204"/>
      <c r="ORV23" s="204"/>
      <c r="ORW23" s="204"/>
      <c r="ORX23" s="204"/>
      <c r="ORY23" s="204"/>
      <c r="ORZ23" s="204"/>
      <c r="OSA23" s="204"/>
      <c r="OSB23" s="204"/>
      <c r="OSC23" s="204"/>
      <c r="OSD23" s="204"/>
      <c r="OSE23" s="204"/>
      <c r="OSF23" s="204"/>
      <c r="OSG23" s="204"/>
      <c r="OSH23" s="204"/>
      <c r="OSI23" s="204"/>
      <c r="OSJ23" s="204"/>
      <c r="OSK23" s="204"/>
      <c r="OSL23" s="204"/>
      <c r="OSM23" s="204"/>
      <c r="OSN23" s="204"/>
      <c r="OSO23" s="204"/>
      <c r="OSP23" s="204"/>
      <c r="OSQ23" s="204"/>
      <c r="OSR23" s="204"/>
      <c r="OSS23" s="204"/>
      <c r="OST23" s="204"/>
      <c r="OSU23" s="204"/>
      <c r="OSV23" s="204"/>
      <c r="OSW23" s="204"/>
      <c r="OSX23" s="204"/>
      <c r="OSY23" s="204"/>
      <c r="OSZ23" s="204"/>
      <c r="OTA23" s="204"/>
      <c r="OTB23" s="204"/>
      <c r="OTC23" s="204"/>
      <c r="OTD23" s="204"/>
      <c r="OTE23" s="204"/>
      <c r="OTF23" s="204"/>
      <c r="OTG23" s="204"/>
      <c r="OTH23" s="204"/>
      <c r="OTI23" s="204"/>
      <c r="OTJ23" s="204"/>
      <c r="OTK23" s="204"/>
      <c r="OTL23" s="204"/>
      <c r="OTM23" s="204"/>
      <c r="OTN23" s="204"/>
      <c r="OTO23" s="204"/>
      <c r="OTP23" s="204"/>
      <c r="OTQ23" s="204"/>
      <c r="OTR23" s="204"/>
      <c r="OTS23" s="204"/>
      <c r="OTT23" s="204"/>
      <c r="OTU23" s="204"/>
      <c r="OTV23" s="204"/>
      <c r="OTW23" s="204"/>
      <c r="OTX23" s="204"/>
      <c r="OTY23" s="204"/>
      <c r="OTZ23" s="204"/>
      <c r="OUA23" s="204"/>
      <c r="OUB23" s="204"/>
      <c r="OUC23" s="204"/>
      <c r="OUD23" s="204"/>
      <c r="OUE23" s="204"/>
      <c r="OUF23" s="204"/>
      <c r="OUG23" s="204"/>
      <c r="OUH23" s="204"/>
      <c r="OUI23" s="204"/>
      <c r="OUJ23" s="204"/>
      <c r="OUK23" s="204"/>
      <c r="OUL23" s="204"/>
      <c r="OUM23" s="204"/>
      <c r="OUN23" s="204"/>
      <c r="OUO23" s="204"/>
      <c r="OUP23" s="204"/>
      <c r="OUQ23" s="204"/>
      <c r="OUR23" s="204"/>
      <c r="OUS23" s="204"/>
      <c r="OUT23" s="204"/>
      <c r="OUU23" s="204"/>
      <c r="OUV23" s="204"/>
      <c r="OUW23" s="204"/>
      <c r="OUX23" s="204"/>
      <c r="OUY23" s="204"/>
      <c r="OUZ23" s="204"/>
      <c r="OVA23" s="204"/>
      <c r="OVB23" s="204"/>
      <c r="OVC23" s="204"/>
      <c r="OVD23" s="204"/>
      <c r="OVE23" s="204"/>
      <c r="OVF23" s="204"/>
      <c r="OVG23" s="204"/>
      <c r="OVH23" s="204"/>
      <c r="OVI23" s="204"/>
      <c r="OVJ23" s="204"/>
      <c r="OVK23" s="204"/>
      <c r="OVL23" s="204"/>
      <c r="OVM23" s="204"/>
      <c r="OVN23" s="204"/>
      <c r="OVO23" s="204"/>
      <c r="OVP23" s="204"/>
      <c r="OVQ23" s="204"/>
      <c r="OVR23" s="204"/>
      <c r="OVS23" s="204"/>
      <c r="OVT23" s="204"/>
      <c r="OVU23" s="204"/>
      <c r="OVV23" s="204"/>
      <c r="OVW23" s="204"/>
      <c r="OVX23" s="204"/>
      <c r="OVY23" s="204"/>
      <c r="OVZ23" s="204"/>
      <c r="OWA23" s="204"/>
      <c r="OWB23" s="204"/>
      <c r="OWC23" s="204"/>
      <c r="OWD23" s="204"/>
      <c r="OWE23" s="204"/>
      <c r="OWF23" s="204"/>
      <c r="OWG23" s="204"/>
      <c r="OWH23" s="204"/>
      <c r="OWI23" s="204"/>
      <c r="OWJ23" s="204"/>
      <c r="OWK23" s="204"/>
      <c r="OWL23" s="204"/>
      <c r="OWM23" s="204"/>
      <c r="OWN23" s="204"/>
      <c r="OWO23" s="204"/>
      <c r="OWP23" s="204"/>
      <c r="OWQ23" s="204"/>
      <c r="OWR23" s="204"/>
      <c r="OWS23" s="204"/>
      <c r="OWT23" s="204"/>
      <c r="OWU23" s="204"/>
      <c r="OWV23" s="204"/>
      <c r="OWW23" s="204"/>
      <c r="OWX23" s="204"/>
      <c r="OWY23" s="204"/>
      <c r="OWZ23" s="204"/>
      <c r="OXA23" s="204"/>
      <c r="OXB23" s="204"/>
      <c r="OXC23" s="204"/>
      <c r="OXD23" s="204"/>
      <c r="OXE23" s="204"/>
      <c r="OXF23" s="204"/>
      <c r="OXG23" s="204"/>
      <c r="OXH23" s="204"/>
      <c r="OXI23" s="204"/>
      <c r="OXJ23" s="204"/>
      <c r="OXK23" s="204"/>
      <c r="OXL23" s="204"/>
      <c r="OXM23" s="204"/>
      <c r="OXN23" s="204"/>
      <c r="OXO23" s="204"/>
      <c r="OXP23" s="204"/>
      <c r="OXQ23" s="204"/>
      <c r="OXR23" s="204"/>
      <c r="OXS23" s="204"/>
      <c r="OXT23" s="204"/>
      <c r="OXU23" s="204"/>
      <c r="OXV23" s="204"/>
      <c r="OXW23" s="204"/>
      <c r="OXX23" s="204"/>
      <c r="OXY23" s="204"/>
      <c r="OXZ23" s="204"/>
      <c r="OYA23" s="204"/>
      <c r="OYB23" s="204"/>
      <c r="OYC23" s="204"/>
      <c r="OYD23" s="204"/>
      <c r="OYE23" s="204"/>
      <c r="OYF23" s="204"/>
      <c r="OYG23" s="204"/>
      <c r="OYH23" s="204"/>
      <c r="OYI23" s="204"/>
      <c r="OYJ23" s="204"/>
      <c r="OYK23" s="204"/>
      <c r="OYL23" s="204"/>
      <c r="OYM23" s="204"/>
      <c r="OYN23" s="204"/>
      <c r="OYO23" s="204"/>
      <c r="OYP23" s="204"/>
      <c r="OYQ23" s="204"/>
      <c r="OYR23" s="204"/>
      <c r="OYS23" s="204"/>
      <c r="OYT23" s="204"/>
      <c r="OYU23" s="204"/>
      <c r="OYV23" s="204"/>
      <c r="OYW23" s="204"/>
      <c r="OYX23" s="204"/>
      <c r="OYY23" s="204"/>
      <c r="OYZ23" s="204"/>
      <c r="OZA23" s="204"/>
      <c r="OZB23" s="204"/>
      <c r="OZC23" s="204"/>
      <c r="OZD23" s="204"/>
      <c r="OZE23" s="204"/>
      <c r="OZF23" s="204"/>
      <c r="OZG23" s="204"/>
      <c r="OZH23" s="204"/>
      <c r="OZI23" s="204"/>
      <c r="OZJ23" s="204"/>
      <c r="OZK23" s="204"/>
      <c r="OZL23" s="204"/>
      <c r="OZM23" s="204"/>
      <c r="OZN23" s="204"/>
      <c r="OZO23" s="204"/>
      <c r="OZP23" s="204"/>
      <c r="OZQ23" s="204"/>
      <c r="OZR23" s="204"/>
      <c r="OZS23" s="204"/>
      <c r="OZT23" s="204"/>
      <c r="OZU23" s="204"/>
      <c r="OZV23" s="204"/>
      <c r="OZW23" s="204"/>
      <c r="OZX23" s="204"/>
      <c r="OZY23" s="204"/>
      <c r="OZZ23" s="204"/>
      <c r="PAA23" s="204"/>
      <c r="PAB23" s="204"/>
      <c r="PAC23" s="204"/>
      <c r="PAD23" s="204"/>
      <c r="PAE23" s="204"/>
      <c r="PAF23" s="204"/>
      <c r="PAG23" s="204"/>
      <c r="PAH23" s="204"/>
      <c r="PAI23" s="204"/>
      <c r="PAJ23" s="204"/>
      <c r="PAK23" s="204"/>
      <c r="PAL23" s="204"/>
      <c r="PAM23" s="204"/>
      <c r="PAN23" s="204"/>
      <c r="PAO23" s="204"/>
      <c r="PAP23" s="204"/>
      <c r="PAQ23" s="204"/>
      <c r="PAR23" s="204"/>
      <c r="PAS23" s="204"/>
      <c r="PAT23" s="204"/>
      <c r="PAU23" s="204"/>
      <c r="PAV23" s="204"/>
      <c r="PAW23" s="204"/>
      <c r="PAX23" s="204"/>
      <c r="PAY23" s="204"/>
      <c r="PAZ23" s="204"/>
      <c r="PBA23" s="204"/>
      <c r="PBB23" s="204"/>
      <c r="PBC23" s="204"/>
      <c r="PBD23" s="204"/>
      <c r="PBE23" s="204"/>
      <c r="PBF23" s="204"/>
      <c r="PBG23" s="204"/>
      <c r="PBH23" s="204"/>
      <c r="PBI23" s="204"/>
      <c r="PBJ23" s="204"/>
      <c r="PBK23" s="204"/>
      <c r="PBL23" s="204"/>
      <c r="PBM23" s="204"/>
      <c r="PBN23" s="204"/>
      <c r="PBO23" s="204"/>
      <c r="PBP23" s="204"/>
      <c r="PBQ23" s="204"/>
      <c r="PBR23" s="204"/>
      <c r="PBS23" s="204"/>
      <c r="PBT23" s="204"/>
      <c r="PBU23" s="204"/>
      <c r="PBV23" s="204"/>
      <c r="PBW23" s="204"/>
      <c r="PBX23" s="204"/>
      <c r="PBY23" s="204"/>
      <c r="PBZ23" s="204"/>
      <c r="PCA23" s="204"/>
      <c r="PCB23" s="204"/>
      <c r="PCC23" s="204"/>
      <c r="PCD23" s="204"/>
      <c r="PCE23" s="204"/>
      <c r="PCF23" s="204"/>
      <c r="PCG23" s="204"/>
      <c r="PCH23" s="204"/>
      <c r="PCI23" s="204"/>
      <c r="PCJ23" s="204"/>
      <c r="PCK23" s="204"/>
      <c r="PCL23" s="204"/>
      <c r="PCM23" s="204"/>
      <c r="PCN23" s="204"/>
      <c r="PCO23" s="204"/>
      <c r="PCP23" s="204"/>
      <c r="PCQ23" s="204"/>
      <c r="PCR23" s="204"/>
      <c r="PCS23" s="204"/>
      <c r="PCT23" s="204"/>
      <c r="PCU23" s="204"/>
      <c r="PCV23" s="204"/>
      <c r="PCW23" s="204"/>
      <c r="PCX23" s="204"/>
      <c r="PCY23" s="204"/>
      <c r="PCZ23" s="204"/>
      <c r="PDA23" s="204"/>
      <c r="PDB23" s="204"/>
      <c r="PDC23" s="204"/>
      <c r="PDD23" s="204"/>
      <c r="PDE23" s="204"/>
      <c r="PDF23" s="204"/>
      <c r="PDG23" s="204"/>
      <c r="PDH23" s="204"/>
      <c r="PDI23" s="204"/>
      <c r="PDJ23" s="204"/>
      <c r="PDK23" s="204"/>
      <c r="PDL23" s="204"/>
      <c r="PDM23" s="204"/>
      <c r="PDN23" s="204"/>
      <c r="PDO23" s="204"/>
      <c r="PDP23" s="204"/>
      <c r="PDQ23" s="204"/>
      <c r="PDR23" s="204"/>
      <c r="PDS23" s="204"/>
      <c r="PDT23" s="204"/>
      <c r="PDU23" s="204"/>
      <c r="PDV23" s="204"/>
      <c r="PDW23" s="204"/>
      <c r="PDX23" s="204"/>
      <c r="PDY23" s="204"/>
      <c r="PDZ23" s="204"/>
      <c r="PEA23" s="204"/>
      <c r="PEB23" s="204"/>
      <c r="PEC23" s="204"/>
      <c r="PED23" s="204"/>
      <c r="PEE23" s="204"/>
      <c r="PEF23" s="204"/>
      <c r="PEG23" s="204"/>
      <c r="PEH23" s="204"/>
      <c r="PEI23" s="204"/>
      <c r="PEJ23" s="204"/>
      <c r="PEK23" s="204"/>
      <c r="PEL23" s="204"/>
      <c r="PEM23" s="204"/>
      <c r="PEN23" s="204"/>
      <c r="PEO23" s="204"/>
      <c r="PEP23" s="204"/>
      <c r="PEQ23" s="204"/>
      <c r="PER23" s="204"/>
      <c r="PES23" s="204"/>
      <c r="PET23" s="204"/>
      <c r="PEU23" s="204"/>
      <c r="PEV23" s="204"/>
      <c r="PEW23" s="204"/>
      <c r="PEX23" s="204"/>
      <c r="PEY23" s="204"/>
      <c r="PEZ23" s="204"/>
      <c r="PFA23" s="204"/>
      <c r="PFB23" s="204"/>
      <c r="PFC23" s="204"/>
      <c r="PFD23" s="204"/>
      <c r="PFE23" s="204"/>
      <c r="PFF23" s="204"/>
      <c r="PFG23" s="204"/>
      <c r="PFH23" s="204"/>
      <c r="PFI23" s="204"/>
      <c r="PFJ23" s="204"/>
      <c r="PFK23" s="204"/>
      <c r="PFL23" s="204"/>
      <c r="PFM23" s="204"/>
      <c r="PFN23" s="204"/>
      <c r="PFO23" s="204"/>
      <c r="PFP23" s="204"/>
      <c r="PFQ23" s="204"/>
      <c r="PFR23" s="204"/>
      <c r="PFS23" s="204"/>
      <c r="PFT23" s="204"/>
      <c r="PFU23" s="204"/>
      <c r="PFV23" s="204"/>
      <c r="PFW23" s="204"/>
      <c r="PFX23" s="204"/>
      <c r="PFY23" s="204"/>
      <c r="PFZ23" s="204"/>
      <c r="PGA23" s="204"/>
      <c r="PGB23" s="204"/>
      <c r="PGC23" s="204"/>
      <c r="PGD23" s="204"/>
      <c r="PGE23" s="204"/>
      <c r="PGF23" s="204"/>
      <c r="PGG23" s="204"/>
      <c r="PGH23" s="204"/>
      <c r="PGI23" s="204"/>
      <c r="PGJ23" s="204"/>
      <c r="PGK23" s="204"/>
      <c r="PGL23" s="204"/>
      <c r="PGM23" s="204"/>
      <c r="PGN23" s="204"/>
      <c r="PGO23" s="204"/>
      <c r="PGP23" s="204"/>
      <c r="PGQ23" s="204"/>
      <c r="PGR23" s="204"/>
      <c r="PGS23" s="204"/>
      <c r="PGT23" s="204"/>
      <c r="PGU23" s="204"/>
      <c r="PGV23" s="204"/>
      <c r="PGW23" s="204"/>
      <c r="PGX23" s="204"/>
      <c r="PGY23" s="204"/>
      <c r="PGZ23" s="204"/>
      <c r="PHA23" s="204"/>
      <c r="PHB23" s="204"/>
      <c r="PHC23" s="204"/>
      <c r="PHD23" s="204"/>
      <c r="PHE23" s="204"/>
      <c r="PHF23" s="204"/>
      <c r="PHG23" s="204"/>
      <c r="PHH23" s="204"/>
      <c r="PHI23" s="204"/>
      <c r="PHJ23" s="204"/>
      <c r="PHK23" s="204"/>
      <c r="PHL23" s="204"/>
      <c r="PHM23" s="204"/>
      <c r="PHN23" s="204"/>
      <c r="PHO23" s="204"/>
      <c r="PHP23" s="204"/>
      <c r="PHQ23" s="204"/>
      <c r="PHR23" s="204"/>
      <c r="PHS23" s="204"/>
      <c r="PHT23" s="204"/>
      <c r="PHU23" s="204"/>
      <c r="PHV23" s="204"/>
      <c r="PHW23" s="204"/>
      <c r="PHX23" s="204"/>
      <c r="PHY23" s="204"/>
      <c r="PHZ23" s="204"/>
      <c r="PIA23" s="204"/>
      <c r="PIB23" s="204"/>
      <c r="PIC23" s="204"/>
      <c r="PID23" s="204"/>
      <c r="PIE23" s="204"/>
      <c r="PIF23" s="204"/>
      <c r="PIG23" s="204"/>
      <c r="PIH23" s="204"/>
      <c r="PII23" s="204"/>
      <c r="PIJ23" s="204"/>
      <c r="PIK23" s="204"/>
      <c r="PIL23" s="204"/>
      <c r="PIM23" s="204"/>
      <c r="PIN23" s="204"/>
      <c r="PIO23" s="204"/>
      <c r="PIP23" s="204"/>
      <c r="PIQ23" s="204"/>
      <c r="PIR23" s="204"/>
      <c r="PIS23" s="204"/>
      <c r="PIT23" s="204"/>
      <c r="PIU23" s="204"/>
      <c r="PIV23" s="204"/>
      <c r="PIW23" s="204"/>
      <c r="PIX23" s="204"/>
      <c r="PIY23" s="204"/>
      <c r="PIZ23" s="204"/>
      <c r="PJA23" s="204"/>
      <c r="PJB23" s="204"/>
      <c r="PJC23" s="204"/>
      <c r="PJD23" s="204"/>
      <c r="PJE23" s="204"/>
      <c r="PJF23" s="204"/>
      <c r="PJG23" s="204"/>
      <c r="PJH23" s="204"/>
      <c r="PJI23" s="204"/>
      <c r="PJJ23" s="204"/>
      <c r="PJK23" s="204"/>
      <c r="PJL23" s="204"/>
      <c r="PJM23" s="204"/>
      <c r="PJN23" s="204"/>
      <c r="PJO23" s="204"/>
      <c r="PJP23" s="204"/>
      <c r="PJQ23" s="204"/>
      <c r="PJR23" s="204"/>
      <c r="PJS23" s="204"/>
      <c r="PJT23" s="204"/>
      <c r="PJU23" s="204"/>
      <c r="PJV23" s="204"/>
      <c r="PJW23" s="204"/>
      <c r="PJX23" s="204"/>
      <c r="PJY23" s="204"/>
      <c r="PJZ23" s="204"/>
      <c r="PKA23" s="204"/>
      <c r="PKB23" s="204"/>
      <c r="PKC23" s="204"/>
      <c r="PKD23" s="204"/>
      <c r="PKE23" s="204"/>
      <c r="PKF23" s="204"/>
      <c r="PKG23" s="204"/>
      <c r="PKH23" s="204"/>
      <c r="PKI23" s="204"/>
      <c r="PKJ23" s="204"/>
      <c r="PKK23" s="204"/>
      <c r="PKL23" s="204"/>
      <c r="PKM23" s="204"/>
      <c r="PKN23" s="204"/>
      <c r="PKO23" s="204"/>
      <c r="PKP23" s="204"/>
      <c r="PKQ23" s="204"/>
      <c r="PKR23" s="204"/>
      <c r="PKS23" s="204"/>
      <c r="PKT23" s="204"/>
      <c r="PKU23" s="204"/>
      <c r="PKV23" s="204"/>
      <c r="PKW23" s="204"/>
      <c r="PKX23" s="204"/>
      <c r="PKY23" s="204"/>
      <c r="PKZ23" s="204"/>
      <c r="PLA23" s="204"/>
      <c r="PLB23" s="204"/>
      <c r="PLC23" s="204"/>
      <c r="PLD23" s="204"/>
      <c r="PLE23" s="204"/>
      <c r="PLF23" s="204"/>
      <c r="PLG23" s="204"/>
      <c r="PLH23" s="204"/>
      <c r="PLI23" s="204"/>
      <c r="PLJ23" s="204"/>
      <c r="PLK23" s="204"/>
      <c r="PLL23" s="204"/>
      <c r="PLM23" s="204"/>
      <c r="PLN23" s="204"/>
      <c r="PLO23" s="204"/>
      <c r="PLP23" s="204"/>
      <c r="PLQ23" s="204"/>
      <c r="PLR23" s="204"/>
      <c r="PLS23" s="204"/>
      <c r="PLT23" s="204"/>
      <c r="PLU23" s="204"/>
      <c r="PLV23" s="204"/>
      <c r="PLW23" s="204"/>
      <c r="PLX23" s="204"/>
      <c r="PLY23" s="204"/>
      <c r="PLZ23" s="204"/>
      <c r="PMA23" s="204"/>
      <c r="PMB23" s="204"/>
      <c r="PMC23" s="204"/>
      <c r="PMD23" s="204"/>
      <c r="PME23" s="204"/>
      <c r="PMF23" s="204"/>
      <c r="PMG23" s="204"/>
      <c r="PMH23" s="204"/>
      <c r="PMI23" s="204"/>
      <c r="PMJ23" s="204"/>
      <c r="PMK23" s="204"/>
      <c r="PML23" s="204"/>
      <c r="PMM23" s="204"/>
      <c r="PMN23" s="204"/>
      <c r="PMO23" s="204"/>
      <c r="PMP23" s="204"/>
      <c r="PMQ23" s="204"/>
      <c r="PMR23" s="204"/>
      <c r="PMS23" s="204"/>
      <c r="PMT23" s="204"/>
      <c r="PMU23" s="204"/>
      <c r="PMV23" s="204"/>
      <c r="PMW23" s="204"/>
      <c r="PMX23" s="204"/>
      <c r="PMY23" s="204"/>
      <c r="PMZ23" s="204"/>
      <c r="PNA23" s="204"/>
      <c r="PNB23" s="204"/>
      <c r="PNC23" s="204"/>
      <c r="PND23" s="204"/>
      <c r="PNE23" s="204"/>
      <c r="PNF23" s="204"/>
      <c r="PNG23" s="204"/>
      <c r="PNH23" s="204"/>
      <c r="PNI23" s="204"/>
      <c r="PNJ23" s="204"/>
      <c r="PNK23" s="204"/>
      <c r="PNL23" s="204"/>
      <c r="PNM23" s="204"/>
      <c r="PNN23" s="204"/>
      <c r="PNO23" s="204"/>
      <c r="PNP23" s="204"/>
      <c r="PNQ23" s="204"/>
      <c r="PNR23" s="204"/>
      <c r="PNS23" s="204"/>
      <c r="PNT23" s="204"/>
      <c r="PNU23" s="204"/>
      <c r="PNV23" s="204"/>
      <c r="PNW23" s="204"/>
      <c r="PNX23" s="204"/>
      <c r="PNY23" s="204"/>
      <c r="PNZ23" s="204"/>
      <c r="POA23" s="204"/>
      <c r="POB23" s="204"/>
      <c r="POC23" s="204"/>
      <c r="POD23" s="204"/>
      <c r="POE23" s="204"/>
      <c r="POF23" s="204"/>
      <c r="POG23" s="204"/>
      <c r="POH23" s="204"/>
      <c r="POI23" s="204"/>
      <c r="POJ23" s="204"/>
      <c r="POK23" s="204"/>
      <c r="POL23" s="204"/>
      <c r="POM23" s="204"/>
      <c r="PON23" s="204"/>
      <c r="POO23" s="204"/>
      <c r="POP23" s="204"/>
      <c r="POQ23" s="204"/>
      <c r="POR23" s="204"/>
      <c r="POS23" s="204"/>
      <c r="POT23" s="204"/>
      <c r="POU23" s="204"/>
      <c r="POV23" s="204"/>
      <c r="POW23" s="204"/>
      <c r="POX23" s="204"/>
      <c r="POY23" s="204"/>
      <c r="POZ23" s="204"/>
      <c r="PPA23" s="204"/>
      <c r="PPB23" s="204"/>
      <c r="PPC23" s="204"/>
      <c r="PPD23" s="204"/>
      <c r="PPE23" s="204"/>
      <c r="PPF23" s="204"/>
      <c r="PPG23" s="204"/>
      <c r="PPH23" s="204"/>
      <c r="PPI23" s="204"/>
      <c r="PPJ23" s="204"/>
      <c r="PPK23" s="204"/>
      <c r="PPL23" s="204"/>
      <c r="PPM23" s="204"/>
      <c r="PPN23" s="204"/>
      <c r="PPO23" s="204"/>
      <c r="PPP23" s="204"/>
      <c r="PPQ23" s="204"/>
      <c r="PPR23" s="204"/>
      <c r="PPS23" s="204"/>
      <c r="PPT23" s="204"/>
      <c r="PPU23" s="204"/>
      <c r="PPV23" s="204"/>
      <c r="PPW23" s="204"/>
      <c r="PPX23" s="204"/>
      <c r="PPY23" s="204"/>
      <c r="PPZ23" s="204"/>
      <c r="PQA23" s="204"/>
      <c r="PQB23" s="204"/>
      <c r="PQC23" s="204"/>
      <c r="PQD23" s="204"/>
      <c r="PQE23" s="204"/>
      <c r="PQF23" s="204"/>
      <c r="PQG23" s="204"/>
      <c r="PQH23" s="204"/>
      <c r="PQI23" s="204"/>
      <c r="PQJ23" s="204"/>
      <c r="PQK23" s="204"/>
      <c r="PQL23" s="204"/>
      <c r="PQM23" s="204"/>
      <c r="PQN23" s="204"/>
      <c r="PQO23" s="204"/>
      <c r="PQP23" s="204"/>
      <c r="PQQ23" s="204"/>
      <c r="PQR23" s="204"/>
      <c r="PQS23" s="204"/>
      <c r="PQT23" s="204"/>
      <c r="PQU23" s="204"/>
      <c r="PQV23" s="204"/>
      <c r="PQW23" s="204"/>
      <c r="PQX23" s="204"/>
      <c r="PQY23" s="204"/>
      <c r="PQZ23" s="204"/>
      <c r="PRA23" s="204"/>
      <c r="PRB23" s="204"/>
      <c r="PRC23" s="204"/>
      <c r="PRD23" s="204"/>
      <c r="PRE23" s="204"/>
      <c r="PRF23" s="204"/>
      <c r="PRG23" s="204"/>
      <c r="PRH23" s="204"/>
      <c r="PRI23" s="204"/>
      <c r="PRJ23" s="204"/>
      <c r="PRK23" s="204"/>
      <c r="PRL23" s="204"/>
      <c r="PRM23" s="204"/>
      <c r="PRN23" s="204"/>
      <c r="PRO23" s="204"/>
      <c r="PRP23" s="204"/>
      <c r="PRQ23" s="204"/>
      <c r="PRR23" s="204"/>
      <c r="PRS23" s="204"/>
      <c r="PRT23" s="204"/>
      <c r="PRU23" s="204"/>
      <c r="PRV23" s="204"/>
      <c r="PRW23" s="204"/>
      <c r="PRX23" s="204"/>
      <c r="PRY23" s="204"/>
      <c r="PRZ23" s="204"/>
      <c r="PSA23" s="204"/>
      <c r="PSB23" s="204"/>
      <c r="PSC23" s="204"/>
      <c r="PSD23" s="204"/>
      <c r="PSE23" s="204"/>
      <c r="PSF23" s="204"/>
      <c r="PSG23" s="204"/>
      <c r="PSH23" s="204"/>
      <c r="PSI23" s="204"/>
      <c r="PSJ23" s="204"/>
      <c r="PSK23" s="204"/>
      <c r="PSL23" s="204"/>
      <c r="PSM23" s="204"/>
      <c r="PSN23" s="204"/>
      <c r="PSO23" s="204"/>
      <c r="PSP23" s="204"/>
      <c r="PSQ23" s="204"/>
      <c r="PSR23" s="204"/>
      <c r="PSS23" s="204"/>
      <c r="PST23" s="204"/>
      <c r="PSU23" s="204"/>
      <c r="PSV23" s="204"/>
      <c r="PSW23" s="204"/>
      <c r="PSX23" s="204"/>
      <c r="PSY23" s="204"/>
      <c r="PSZ23" s="204"/>
      <c r="PTA23" s="204"/>
      <c r="PTB23" s="204"/>
      <c r="PTC23" s="204"/>
      <c r="PTD23" s="204"/>
      <c r="PTE23" s="204"/>
      <c r="PTF23" s="204"/>
      <c r="PTG23" s="204"/>
      <c r="PTH23" s="204"/>
      <c r="PTI23" s="204"/>
      <c r="PTJ23" s="204"/>
      <c r="PTK23" s="204"/>
      <c r="PTL23" s="204"/>
      <c r="PTM23" s="204"/>
      <c r="PTN23" s="204"/>
      <c r="PTO23" s="204"/>
      <c r="PTP23" s="204"/>
      <c r="PTQ23" s="204"/>
      <c r="PTR23" s="204"/>
      <c r="PTS23" s="204"/>
      <c r="PTT23" s="204"/>
      <c r="PTU23" s="204"/>
      <c r="PTV23" s="204"/>
      <c r="PTW23" s="204"/>
      <c r="PTX23" s="204"/>
      <c r="PTY23" s="204"/>
      <c r="PTZ23" s="204"/>
      <c r="PUA23" s="204"/>
      <c r="PUB23" s="204"/>
      <c r="PUC23" s="204"/>
      <c r="PUD23" s="204"/>
      <c r="PUE23" s="204"/>
      <c r="PUF23" s="204"/>
      <c r="PUG23" s="204"/>
      <c r="PUH23" s="204"/>
      <c r="PUI23" s="204"/>
      <c r="PUJ23" s="204"/>
      <c r="PUK23" s="204"/>
      <c r="PUL23" s="204"/>
      <c r="PUM23" s="204"/>
      <c r="PUN23" s="204"/>
      <c r="PUO23" s="204"/>
      <c r="PUP23" s="204"/>
      <c r="PUQ23" s="204"/>
      <c r="PUR23" s="204"/>
      <c r="PUS23" s="204"/>
      <c r="PUT23" s="204"/>
      <c r="PUU23" s="204"/>
      <c r="PUV23" s="204"/>
      <c r="PUW23" s="204"/>
      <c r="PUX23" s="204"/>
      <c r="PUY23" s="204"/>
      <c r="PUZ23" s="204"/>
      <c r="PVA23" s="204"/>
      <c r="PVB23" s="204"/>
      <c r="PVC23" s="204"/>
      <c r="PVD23" s="204"/>
      <c r="PVE23" s="204"/>
      <c r="PVF23" s="204"/>
      <c r="PVG23" s="204"/>
      <c r="PVH23" s="204"/>
      <c r="PVI23" s="204"/>
      <c r="PVJ23" s="204"/>
      <c r="PVK23" s="204"/>
      <c r="PVL23" s="204"/>
      <c r="PVM23" s="204"/>
      <c r="PVN23" s="204"/>
      <c r="PVO23" s="204"/>
      <c r="PVP23" s="204"/>
      <c r="PVQ23" s="204"/>
      <c r="PVR23" s="204"/>
      <c r="PVS23" s="204"/>
      <c r="PVT23" s="204"/>
      <c r="PVU23" s="204"/>
      <c r="PVV23" s="204"/>
      <c r="PVW23" s="204"/>
      <c r="PVX23" s="204"/>
      <c r="PVY23" s="204"/>
      <c r="PVZ23" s="204"/>
      <c r="PWA23" s="204"/>
      <c r="PWB23" s="204"/>
      <c r="PWC23" s="204"/>
      <c r="PWD23" s="204"/>
      <c r="PWE23" s="204"/>
      <c r="PWF23" s="204"/>
      <c r="PWG23" s="204"/>
      <c r="PWH23" s="204"/>
      <c r="PWI23" s="204"/>
      <c r="PWJ23" s="204"/>
      <c r="PWK23" s="204"/>
      <c r="PWL23" s="204"/>
      <c r="PWM23" s="204"/>
      <c r="PWN23" s="204"/>
      <c r="PWO23" s="204"/>
      <c r="PWP23" s="204"/>
      <c r="PWQ23" s="204"/>
      <c r="PWR23" s="204"/>
      <c r="PWS23" s="204"/>
      <c r="PWT23" s="204"/>
      <c r="PWU23" s="204"/>
      <c r="PWV23" s="204"/>
      <c r="PWW23" s="204"/>
      <c r="PWX23" s="204"/>
      <c r="PWY23" s="204"/>
      <c r="PWZ23" s="204"/>
      <c r="PXA23" s="204"/>
      <c r="PXB23" s="204"/>
      <c r="PXC23" s="204"/>
      <c r="PXD23" s="204"/>
      <c r="PXE23" s="204"/>
      <c r="PXF23" s="204"/>
      <c r="PXG23" s="204"/>
      <c r="PXH23" s="204"/>
      <c r="PXI23" s="204"/>
      <c r="PXJ23" s="204"/>
      <c r="PXK23" s="204"/>
      <c r="PXL23" s="204"/>
      <c r="PXM23" s="204"/>
      <c r="PXN23" s="204"/>
      <c r="PXO23" s="204"/>
      <c r="PXP23" s="204"/>
      <c r="PXQ23" s="204"/>
      <c r="PXR23" s="204"/>
      <c r="PXS23" s="204"/>
      <c r="PXT23" s="204"/>
      <c r="PXU23" s="204"/>
      <c r="PXV23" s="204"/>
      <c r="PXW23" s="204"/>
      <c r="PXX23" s="204"/>
      <c r="PXY23" s="204"/>
      <c r="PXZ23" s="204"/>
      <c r="PYA23" s="204"/>
      <c r="PYB23" s="204"/>
      <c r="PYC23" s="204"/>
      <c r="PYD23" s="204"/>
      <c r="PYE23" s="204"/>
      <c r="PYF23" s="204"/>
      <c r="PYG23" s="204"/>
      <c r="PYH23" s="204"/>
      <c r="PYI23" s="204"/>
      <c r="PYJ23" s="204"/>
      <c r="PYK23" s="204"/>
      <c r="PYL23" s="204"/>
      <c r="PYM23" s="204"/>
      <c r="PYN23" s="204"/>
      <c r="PYO23" s="204"/>
      <c r="PYP23" s="204"/>
      <c r="PYQ23" s="204"/>
      <c r="PYR23" s="204"/>
      <c r="PYS23" s="204"/>
      <c r="PYT23" s="204"/>
      <c r="PYU23" s="204"/>
      <c r="PYV23" s="204"/>
      <c r="PYW23" s="204"/>
      <c r="PYX23" s="204"/>
      <c r="PYY23" s="204"/>
      <c r="PYZ23" s="204"/>
      <c r="PZA23" s="204"/>
      <c r="PZB23" s="204"/>
      <c r="PZC23" s="204"/>
      <c r="PZD23" s="204"/>
      <c r="PZE23" s="204"/>
      <c r="PZF23" s="204"/>
      <c r="PZG23" s="204"/>
      <c r="PZH23" s="204"/>
      <c r="PZI23" s="204"/>
      <c r="PZJ23" s="204"/>
      <c r="PZK23" s="204"/>
      <c r="PZL23" s="204"/>
      <c r="PZM23" s="204"/>
      <c r="PZN23" s="204"/>
      <c r="PZO23" s="204"/>
      <c r="PZP23" s="204"/>
      <c r="PZQ23" s="204"/>
      <c r="PZR23" s="204"/>
      <c r="PZS23" s="204"/>
      <c r="PZT23" s="204"/>
      <c r="PZU23" s="204"/>
      <c r="PZV23" s="204"/>
      <c r="PZW23" s="204"/>
      <c r="PZX23" s="204"/>
      <c r="PZY23" s="204"/>
      <c r="PZZ23" s="204"/>
      <c r="QAA23" s="204"/>
      <c r="QAB23" s="204"/>
      <c r="QAC23" s="204"/>
      <c r="QAD23" s="204"/>
      <c r="QAE23" s="204"/>
      <c r="QAF23" s="204"/>
      <c r="QAG23" s="204"/>
      <c r="QAH23" s="204"/>
      <c r="QAI23" s="204"/>
      <c r="QAJ23" s="204"/>
      <c r="QAK23" s="204"/>
      <c r="QAL23" s="204"/>
      <c r="QAM23" s="204"/>
      <c r="QAN23" s="204"/>
      <c r="QAO23" s="204"/>
      <c r="QAP23" s="204"/>
      <c r="QAQ23" s="204"/>
      <c r="QAR23" s="204"/>
      <c r="QAS23" s="204"/>
      <c r="QAT23" s="204"/>
      <c r="QAU23" s="204"/>
      <c r="QAV23" s="204"/>
      <c r="QAW23" s="204"/>
      <c r="QAX23" s="204"/>
      <c r="QAY23" s="204"/>
      <c r="QAZ23" s="204"/>
      <c r="QBA23" s="204"/>
      <c r="QBB23" s="204"/>
      <c r="QBC23" s="204"/>
      <c r="QBD23" s="204"/>
      <c r="QBE23" s="204"/>
      <c r="QBF23" s="204"/>
      <c r="QBG23" s="204"/>
      <c r="QBH23" s="204"/>
      <c r="QBI23" s="204"/>
      <c r="QBJ23" s="204"/>
      <c r="QBK23" s="204"/>
      <c r="QBL23" s="204"/>
      <c r="QBM23" s="204"/>
      <c r="QBN23" s="204"/>
      <c r="QBO23" s="204"/>
      <c r="QBP23" s="204"/>
      <c r="QBQ23" s="204"/>
      <c r="QBR23" s="204"/>
      <c r="QBS23" s="204"/>
      <c r="QBT23" s="204"/>
      <c r="QBU23" s="204"/>
      <c r="QBV23" s="204"/>
      <c r="QBW23" s="204"/>
      <c r="QBX23" s="204"/>
      <c r="QBY23" s="204"/>
      <c r="QBZ23" s="204"/>
      <c r="QCA23" s="204"/>
      <c r="QCB23" s="204"/>
      <c r="QCC23" s="204"/>
      <c r="QCD23" s="204"/>
      <c r="QCE23" s="204"/>
      <c r="QCF23" s="204"/>
      <c r="QCG23" s="204"/>
      <c r="QCH23" s="204"/>
      <c r="QCI23" s="204"/>
      <c r="QCJ23" s="204"/>
      <c r="QCK23" s="204"/>
      <c r="QCL23" s="204"/>
      <c r="QCM23" s="204"/>
      <c r="QCN23" s="204"/>
      <c r="QCO23" s="204"/>
      <c r="QCP23" s="204"/>
      <c r="QCQ23" s="204"/>
      <c r="QCR23" s="204"/>
      <c r="QCS23" s="204"/>
      <c r="QCT23" s="204"/>
      <c r="QCU23" s="204"/>
      <c r="QCV23" s="204"/>
      <c r="QCW23" s="204"/>
      <c r="QCX23" s="204"/>
      <c r="QCY23" s="204"/>
      <c r="QCZ23" s="204"/>
      <c r="QDA23" s="204"/>
      <c r="QDB23" s="204"/>
      <c r="QDC23" s="204"/>
      <c r="QDD23" s="204"/>
      <c r="QDE23" s="204"/>
      <c r="QDF23" s="204"/>
      <c r="QDG23" s="204"/>
      <c r="QDH23" s="204"/>
      <c r="QDI23" s="204"/>
      <c r="QDJ23" s="204"/>
      <c r="QDK23" s="204"/>
      <c r="QDL23" s="204"/>
      <c r="QDM23" s="204"/>
      <c r="QDN23" s="204"/>
      <c r="QDO23" s="204"/>
      <c r="QDP23" s="204"/>
      <c r="QDQ23" s="204"/>
      <c r="QDR23" s="204"/>
      <c r="QDS23" s="204"/>
      <c r="QDT23" s="204"/>
      <c r="QDU23" s="204"/>
      <c r="QDV23" s="204"/>
      <c r="QDW23" s="204"/>
      <c r="QDX23" s="204"/>
      <c r="QDY23" s="204"/>
      <c r="QDZ23" s="204"/>
      <c r="QEA23" s="204"/>
      <c r="QEB23" s="204"/>
      <c r="QEC23" s="204"/>
      <c r="QED23" s="204"/>
      <c r="QEE23" s="204"/>
      <c r="QEF23" s="204"/>
      <c r="QEG23" s="204"/>
      <c r="QEH23" s="204"/>
      <c r="QEI23" s="204"/>
      <c r="QEJ23" s="204"/>
      <c r="QEK23" s="204"/>
      <c r="QEL23" s="204"/>
      <c r="QEM23" s="204"/>
      <c r="QEN23" s="204"/>
      <c r="QEO23" s="204"/>
      <c r="QEP23" s="204"/>
      <c r="QEQ23" s="204"/>
      <c r="QER23" s="204"/>
      <c r="QES23" s="204"/>
      <c r="QET23" s="204"/>
      <c r="QEU23" s="204"/>
      <c r="QEV23" s="204"/>
      <c r="QEW23" s="204"/>
      <c r="QEX23" s="204"/>
      <c r="QEY23" s="204"/>
      <c r="QEZ23" s="204"/>
      <c r="QFA23" s="204"/>
      <c r="QFB23" s="204"/>
      <c r="QFC23" s="204"/>
      <c r="QFD23" s="204"/>
      <c r="QFE23" s="204"/>
      <c r="QFF23" s="204"/>
      <c r="QFG23" s="204"/>
      <c r="QFH23" s="204"/>
      <c r="QFI23" s="204"/>
      <c r="QFJ23" s="204"/>
      <c r="QFK23" s="204"/>
      <c r="QFL23" s="204"/>
      <c r="QFM23" s="204"/>
      <c r="QFN23" s="204"/>
      <c r="QFO23" s="204"/>
      <c r="QFP23" s="204"/>
      <c r="QFQ23" s="204"/>
      <c r="QFR23" s="204"/>
      <c r="QFS23" s="204"/>
      <c r="QFT23" s="204"/>
      <c r="QFU23" s="204"/>
      <c r="QFV23" s="204"/>
      <c r="QFW23" s="204"/>
      <c r="QFX23" s="204"/>
      <c r="QFY23" s="204"/>
      <c r="QFZ23" s="204"/>
      <c r="QGA23" s="204"/>
      <c r="QGB23" s="204"/>
      <c r="QGC23" s="204"/>
      <c r="QGD23" s="204"/>
      <c r="QGE23" s="204"/>
      <c r="QGF23" s="204"/>
      <c r="QGG23" s="204"/>
      <c r="QGH23" s="204"/>
      <c r="QGI23" s="204"/>
      <c r="QGJ23" s="204"/>
      <c r="QGK23" s="204"/>
      <c r="QGL23" s="204"/>
      <c r="QGM23" s="204"/>
      <c r="QGN23" s="204"/>
      <c r="QGO23" s="204"/>
      <c r="QGP23" s="204"/>
      <c r="QGQ23" s="204"/>
      <c r="QGR23" s="204"/>
      <c r="QGS23" s="204"/>
      <c r="QGT23" s="204"/>
      <c r="QGU23" s="204"/>
      <c r="QGV23" s="204"/>
      <c r="QGW23" s="204"/>
      <c r="QGX23" s="204"/>
      <c r="QGY23" s="204"/>
      <c r="QGZ23" s="204"/>
      <c r="QHA23" s="204"/>
      <c r="QHB23" s="204"/>
      <c r="QHC23" s="204"/>
      <c r="QHD23" s="204"/>
      <c r="QHE23" s="204"/>
      <c r="QHF23" s="204"/>
      <c r="QHG23" s="204"/>
      <c r="QHH23" s="204"/>
      <c r="QHI23" s="204"/>
      <c r="QHJ23" s="204"/>
      <c r="QHK23" s="204"/>
      <c r="QHL23" s="204"/>
      <c r="QHM23" s="204"/>
      <c r="QHN23" s="204"/>
      <c r="QHO23" s="204"/>
      <c r="QHP23" s="204"/>
      <c r="QHQ23" s="204"/>
      <c r="QHR23" s="204"/>
      <c r="QHS23" s="204"/>
      <c r="QHT23" s="204"/>
      <c r="QHU23" s="204"/>
      <c r="QHV23" s="204"/>
      <c r="QHW23" s="204"/>
      <c r="QHX23" s="204"/>
      <c r="QHY23" s="204"/>
      <c r="QHZ23" s="204"/>
      <c r="QIA23" s="204"/>
      <c r="QIB23" s="204"/>
      <c r="QIC23" s="204"/>
      <c r="QID23" s="204"/>
      <c r="QIE23" s="204"/>
      <c r="QIF23" s="204"/>
      <c r="QIG23" s="204"/>
      <c r="QIH23" s="204"/>
      <c r="QII23" s="204"/>
      <c r="QIJ23" s="204"/>
      <c r="QIK23" s="204"/>
      <c r="QIL23" s="204"/>
      <c r="QIM23" s="204"/>
      <c r="QIN23" s="204"/>
      <c r="QIO23" s="204"/>
      <c r="QIP23" s="204"/>
      <c r="QIQ23" s="204"/>
      <c r="QIR23" s="204"/>
      <c r="QIS23" s="204"/>
      <c r="QIT23" s="204"/>
      <c r="QIU23" s="204"/>
      <c r="QIV23" s="204"/>
      <c r="QIW23" s="204"/>
      <c r="QIX23" s="204"/>
      <c r="QIY23" s="204"/>
      <c r="QIZ23" s="204"/>
      <c r="QJA23" s="204"/>
      <c r="QJB23" s="204"/>
      <c r="QJC23" s="204"/>
      <c r="QJD23" s="204"/>
      <c r="QJE23" s="204"/>
      <c r="QJF23" s="204"/>
      <c r="QJG23" s="204"/>
      <c r="QJH23" s="204"/>
      <c r="QJI23" s="204"/>
      <c r="QJJ23" s="204"/>
      <c r="QJK23" s="204"/>
      <c r="QJL23" s="204"/>
      <c r="QJM23" s="204"/>
      <c r="QJN23" s="204"/>
      <c r="QJO23" s="204"/>
      <c r="QJP23" s="204"/>
      <c r="QJQ23" s="204"/>
      <c r="QJR23" s="204"/>
      <c r="QJS23" s="204"/>
      <c r="QJT23" s="204"/>
      <c r="QJU23" s="204"/>
      <c r="QJV23" s="204"/>
      <c r="QJW23" s="204"/>
      <c r="QJX23" s="204"/>
      <c r="QJY23" s="204"/>
      <c r="QJZ23" s="204"/>
      <c r="QKA23" s="204"/>
      <c r="QKB23" s="204"/>
      <c r="QKC23" s="204"/>
      <c r="QKD23" s="204"/>
      <c r="QKE23" s="204"/>
      <c r="QKF23" s="204"/>
      <c r="QKG23" s="204"/>
      <c r="QKH23" s="204"/>
      <c r="QKI23" s="204"/>
      <c r="QKJ23" s="204"/>
      <c r="QKK23" s="204"/>
      <c r="QKL23" s="204"/>
      <c r="QKM23" s="204"/>
      <c r="QKN23" s="204"/>
      <c r="QKO23" s="204"/>
      <c r="QKP23" s="204"/>
      <c r="QKQ23" s="204"/>
      <c r="QKR23" s="204"/>
      <c r="QKS23" s="204"/>
      <c r="QKT23" s="204"/>
      <c r="QKU23" s="204"/>
      <c r="QKV23" s="204"/>
      <c r="QKW23" s="204"/>
      <c r="QKX23" s="204"/>
      <c r="QKY23" s="204"/>
      <c r="QKZ23" s="204"/>
      <c r="QLA23" s="204"/>
      <c r="QLB23" s="204"/>
      <c r="QLC23" s="204"/>
      <c r="QLD23" s="204"/>
      <c r="QLE23" s="204"/>
      <c r="QLF23" s="204"/>
      <c r="QLG23" s="204"/>
      <c r="QLH23" s="204"/>
      <c r="QLI23" s="204"/>
      <c r="QLJ23" s="204"/>
      <c r="QLK23" s="204"/>
      <c r="QLL23" s="204"/>
      <c r="QLM23" s="204"/>
      <c r="QLN23" s="204"/>
      <c r="QLO23" s="204"/>
      <c r="QLP23" s="204"/>
      <c r="QLQ23" s="204"/>
      <c r="QLR23" s="204"/>
      <c r="QLS23" s="204"/>
      <c r="QLT23" s="204"/>
      <c r="QLU23" s="204"/>
      <c r="QLV23" s="204"/>
      <c r="QLW23" s="204"/>
      <c r="QLX23" s="204"/>
      <c r="QLY23" s="204"/>
      <c r="QLZ23" s="204"/>
      <c r="QMA23" s="204"/>
      <c r="QMB23" s="204"/>
      <c r="QMC23" s="204"/>
      <c r="QMD23" s="204"/>
      <c r="QME23" s="204"/>
      <c r="QMF23" s="204"/>
      <c r="QMG23" s="204"/>
      <c r="QMH23" s="204"/>
      <c r="QMI23" s="204"/>
      <c r="QMJ23" s="204"/>
      <c r="QMK23" s="204"/>
      <c r="QML23" s="204"/>
      <c r="QMM23" s="204"/>
      <c r="QMN23" s="204"/>
      <c r="QMO23" s="204"/>
      <c r="QMP23" s="204"/>
      <c r="QMQ23" s="204"/>
      <c r="QMR23" s="204"/>
      <c r="QMS23" s="204"/>
      <c r="QMT23" s="204"/>
      <c r="QMU23" s="204"/>
      <c r="QMV23" s="204"/>
      <c r="QMW23" s="204"/>
      <c r="QMX23" s="204"/>
      <c r="QMY23" s="204"/>
      <c r="QMZ23" s="204"/>
      <c r="QNA23" s="204"/>
      <c r="QNB23" s="204"/>
      <c r="QNC23" s="204"/>
      <c r="QND23" s="204"/>
      <c r="QNE23" s="204"/>
      <c r="QNF23" s="204"/>
      <c r="QNG23" s="204"/>
      <c r="QNH23" s="204"/>
      <c r="QNI23" s="204"/>
      <c r="QNJ23" s="204"/>
      <c r="QNK23" s="204"/>
      <c r="QNL23" s="204"/>
      <c r="QNM23" s="204"/>
      <c r="QNN23" s="204"/>
      <c r="QNO23" s="204"/>
      <c r="QNP23" s="204"/>
      <c r="QNQ23" s="204"/>
      <c r="QNR23" s="204"/>
      <c r="QNS23" s="204"/>
      <c r="QNT23" s="204"/>
      <c r="QNU23" s="204"/>
      <c r="QNV23" s="204"/>
      <c r="QNW23" s="204"/>
      <c r="QNX23" s="204"/>
      <c r="QNY23" s="204"/>
      <c r="QNZ23" s="204"/>
      <c r="QOA23" s="204"/>
      <c r="QOB23" s="204"/>
      <c r="QOC23" s="204"/>
      <c r="QOD23" s="204"/>
      <c r="QOE23" s="204"/>
      <c r="QOF23" s="204"/>
      <c r="QOG23" s="204"/>
      <c r="QOH23" s="204"/>
      <c r="QOI23" s="204"/>
      <c r="QOJ23" s="204"/>
      <c r="QOK23" s="204"/>
      <c r="QOL23" s="204"/>
      <c r="QOM23" s="204"/>
      <c r="QON23" s="204"/>
      <c r="QOO23" s="204"/>
      <c r="QOP23" s="204"/>
      <c r="QOQ23" s="204"/>
      <c r="QOR23" s="204"/>
      <c r="QOS23" s="204"/>
      <c r="QOT23" s="204"/>
      <c r="QOU23" s="204"/>
      <c r="QOV23" s="204"/>
      <c r="QOW23" s="204"/>
      <c r="QOX23" s="204"/>
      <c r="QOY23" s="204"/>
      <c r="QOZ23" s="204"/>
      <c r="QPA23" s="204"/>
      <c r="QPB23" s="204"/>
      <c r="QPC23" s="204"/>
      <c r="QPD23" s="204"/>
      <c r="QPE23" s="204"/>
      <c r="QPF23" s="204"/>
      <c r="QPG23" s="204"/>
      <c r="QPH23" s="204"/>
      <c r="QPI23" s="204"/>
      <c r="QPJ23" s="204"/>
      <c r="QPK23" s="204"/>
      <c r="QPL23" s="204"/>
      <c r="QPM23" s="204"/>
      <c r="QPN23" s="204"/>
      <c r="QPO23" s="204"/>
      <c r="QPP23" s="204"/>
      <c r="QPQ23" s="204"/>
      <c r="QPR23" s="204"/>
      <c r="QPS23" s="204"/>
      <c r="QPT23" s="204"/>
      <c r="QPU23" s="204"/>
      <c r="QPV23" s="204"/>
      <c r="QPW23" s="204"/>
      <c r="QPX23" s="204"/>
      <c r="QPY23" s="204"/>
      <c r="QPZ23" s="204"/>
      <c r="QQA23" s="204"/>
      <c r="QQB23" s="204"/>
      <c r="QQC23" s="204"/>
      <c r="QQD23" s="204"/>
      <c r="QQE23" s="204"/>
      <c r="QQF23" s="204"/>
      <c r="QQG23" s="204"/>
      <c r="QQH23" s="204"/>
      <c r="QQI23" s="204"/>
      <c r="QQJ23" s="204"/>
      <c r="QQK23" s="204"/>
      <c r="QQL23" s="204"/>
      <c r="QQM23" s="204"/>
      <c r="QQN23" s="204"/>
      <c r="QQO23" s="204"/>
      <c r="QQP23" s="204"/>
      <c r="QQQ23" s="204"/>
      <c r="QQR23" s="204"/>
      <c r="QQS23" s="204"/>
      <c r="QQT23" s="204"/>
      <c r="QQU23" s="204"/>
      <c r="QQV23" s="204"/>
      <c r="QQW23" s="204"/>
      <c r="QQX23" s="204"/>
      <c r="QQY23" s="204"/>
      <c r="QQZ23" s="204"/>
      <c r="QRA23" s="204"/>
      <c r="QRB23" s="204"/>
      <c r="QRC23" s="204"/>
      <c r="QRD23" s="204"/>
      <c r="QRE23" s="204"/>
      <c r="QRF23" s="204"/>
      <c r="QRG23" s="204"/>
      <c r="QRH23" s="204"/>
      <c r="QRI23" s="204"/>
      <c r="QRJ23" s="204"/>
      <c r="QRK23" s="204"/>
      <c r="QRL23" s="204"/>
      <c r="QRM23" s="204"/>
      <c r="QRN23" s="204"/>
      <c r="QRO23" s="204"/>
      <c r="QRP23" s="204"/>
      <c r="QRQ23" s="204"/>
      <c r="QRR23" s="204"/>
      <c r="QRS23" s="204"/>
      <c r="QRT23" s="204"/>
      <c r="QRU23" s="204"/>
      <c r="QRV23" s="204"/>
      <c r="QRW23" s="204"/>
      <c r="QRX23" s="204"/>
      <c r="QRY23" s="204"/>
      <c r="QRZ23" s="204"/>
      <c r="QSA23" s="204"/>
      <c r="QSB23" s="204"/>
      <c r="QSC23" s="204"/>
      <c r="QSD23" s="204"/>
      <c r="QSE23" s="204"/>
      <c r="QSF23" s="204"/>
      <c r="QSG23" s="204"/>
      <c r="QSH23" s="204"/>
      <c r="QSI23" s="204"/>
      <c r="QSJ23" s="204"/>
      <c r="QSK23" s="204"/>
      <c r="QSL23" s="204"/>
      <c r="QSM23" s="204"/>
      <c r="QSN23" s="204"/>
      <c r="QSO23" s="204"/>
      <c r="QSP23" s="204"/>
      <c r="QSQ23" s="204"/>
      <c r="QSR23" s="204"/>
      <c r="QSS23" s="204"/>
      <c r="QST23" s="204"/>
      <c r="QSU23" s="204"/>
      <c r="QSV23" s="204"/>
      <c r="QSW23" s="204"/>
      <c r="QSX23" s="204"/>
      <c r="QSY23" s="204"/>
      <c r="QSZ23" s="204"/>
      <c r="QTA23" s="204"/>
      <c r="QTB23" s="204"/>
      <c r="QTC23" s="204"/>
      <c r="QTD23" s="204"/>
      <c r="QTE23" s="204"/>
      <c r="QTF23" s="204"/>
      <c r="QTG23" s="204"/>
      <c r="QTH23" s="204"/>
      <c r="QTI23" s="204"/>
      <c r="QTJ23" s="204"/>
      <c r="QTK23" s="204"/>
      <c r="QTL23" s="204"/>
      <c r="QTM23" s="204"/>
      <c r="QTN23" s="204"/>
      <c r="QTO23" s="204"/>
      <c r="QTP23" s="204"/>
      <c r="QTQ23" s="204"/>
      <c r="QTR23" s="204"/>
      <c r="QTS23" s="204"/>
      <c r="QTT23" s="204"/>
      <c r="QTU23" s="204"/>
      <c r="QTV23" s="204"/>
      <c r="QTW23" s="204"/>
      <c r="QTX23" s="204"/>
      <c r="QTY23" s="204"/>
      <c r="QTZ23" s="204"/>
      <c r="QUA23" s="204"/>
      <c r="QUB23" s="204"/>
      <c r="QUC23" s="204"/>
      <c r="QUD23" s="204"/>
      <c r="QUE23" s="204"/>
      <c r="QUF23" s="204"/>
      <c r="QUG23" s="204"/>
      <c r="QUH23" s="204"/>
      <c r="QUI23" s="204"/>
      <c r="QUJ23" s="204"/>
      <c r="QUK23" s="204"/>
      <c r="QUL23" s="204"/>
      <c r="QUM23" s="204"/>
      <c r="QUN23" s="204"/>
      <c r="QUO23" s="204"/>
      <c r="QUP23" s="204"/>
      <c r="QUQ23" s="204"/>
      <c r="QUR23" s="204"/>
      <c r="QUS23" s="204"/>
      <c r="QUT23" s="204"/>
      <c r="QUU23" s="204"/>
      <c r="QUV23" s="204"/>
      <c r="QUW23" s="204"/>
      <c r="QUX23" s="204"/>
      <c r="QUY23" s="204"/>
      <c r="QUZ23" s="204"/>
      <c r="QVA23" s="204"/>
      <c r="QVB23" s="204"/>
      <c r="QVC23" s="204"/>
      <c r="QVD23" s="204"/>
      <c r="QVE23" s="204"/>
      <c r="QVF23" s="204"/>
      <c r="QVG23" s="204"/>
      <c r="QVH23" s="204"/>
      <c r="QVI23" s="204"/>
      <c r="QVJ23" s="204"/>
      <c r="QVK23" s="204"/>
      <c r="QVL23" s="204"/>
      <c r="QVM23" s="204"/>
      <c r="QVN23" s="204"/>
      <c r="QVO23" s="204"/>
      <c r="QVP23" s="204"/>
      <c r="QVQ23" s="204"/>
      <c r="QVR23" s="204"/>
      <c r="QVS23" s="204"/>
      <c r="QVT23" s="204"/>
      <c r="QVU23" s="204"/>
      <c r="QVV23" s="204"/>
      <c r="QVW23" s="204"/>
      <c r="QVX23" s="204"/>
      <c r="QVY23" s="204"/>
      <c r="QVZ23" s="204"/>
      <c r="QWA23" s="204"/>
      <c r="QWB23" s="204"/>
      <c r="QWC23" s="204"/>
      <c r="QWD23" s="204"/>
      <c r="QWE23" s="204"/>
      <c r="QWF23" s="204"/>
      <c r="QWG23" s="204"/>
      <c r="QWH23" s="204"/>
      <c r="QWI23" s="204"/>
      <c r="QWJ23" s="204"/>
      <c r="QWK23" s="204"/>
      <c r="QWL23" s="204"/>
      <c r="QWM23" s="204"/>
      <c r="QWN23" s="204"/>
      <c r="QWO23" s="204"/>
      <c r="QWP23" s="204"/>
      <c r="QWQ23" s="204"/>
      <c r="QWR23" s="204"/>
      <c r="QWS23" s="204"/>
      <c r="QWT23" s="204"/>
      <c r="QWU23" s="204"/>
      <c r="QWV23" s="204"/>
      <c r="QWW23" s="204"/>
      <c r="QWX23" s="204"/>
      <c r="QWY23" s="204"/>
      <c r="QWZ23" s="204"/>
      <c r="QXA23" s="204"/>
      <c r="QXB23" s="204"/>
      <c r="QXC23" s="204"/>
      <c r="QXD23" s="204"/>
      <c r="QXE23" s="204"/>
      <c r="QXF23" s="204"/>
      <c r="QXG23" s="204"/>
      <c r="QXH23" s="204"/>
      <c r="QXI23" s="204"/>
      <c r="QXJ23" s="204"/>
      <c r="QXK23" s="204"/>
      <c r="QXL23" s="204"/>
      <c r="QXM23" s="204"/>
      <c r="QXN23" s="204"/>
      <c r="QXO23" s="204"/>
      <c r="QXP23" s="204"/>
      <c r="QXQ23" s="204"/>
      <c r="QXR23" s="204"/>
      <c r="QXS23" s="204"/>
      <c r="QXT23" s="204"/>
      <c r="QXU23" s="204"/>
      <c r="QXV23" s="204"/>
      <c r="QXW23" s="204"/>
      <c r="QXX23" s="204"/>
      <c r="QXY23" s="204"/>
      <c r="QXZ23" s="204"/>
      <c r="QYA23" s="204"/>
      <c r="QYB23" s="204"/>
      <c r="QYC23" s="204"/>
      <c r="QYD23" s="204"/>
      <c r="QYE23" s="204"/>
      <c r="QYF23" s="204"/>
      <c r="QYG23" s="204"/>
      <c r="QYH23" s="204"/>
      <c r="QYI23" s="204"/>
      <c r="QYJ23" s="204"/>
      <c r="QYK23" s="204"/>
      <c r="QYL23" s="204"/>
      <c r="QYM23" s="204"/>
      <c r="QYN23" s="204"/>
      <c r="QYO23" s="204"/>
      <c r="QYP23" s="204"/>
      <c r="QYQ23" s="204"/>
      <c r="QYR23" s="204"/>
      <c r="QYS23" s="204"/>
      <c r="QYT23" s="204"/>
      <c r="QYU23" s="204"/>
      <c r="QYV23" s="204"/>
      <c r="QYW23" s="204"/>
      <c r="QYX23" s="204"/>
      <c r="QYY23" s="204"/>
      <c r="QYZ23" s="204"/>
      <c r="QZA23" s="204"/>
      <c r="QZB23" s="204"/>
      <c r="QZC23" s="204"/>
      <c r="QZD23" s="204"/>
      <c r="QZE23" s="204"/>
      <c r="QZF23" s="204"/>
      <c r="QZG23" s="204"/>
      <c r="QZH23" s="204"/>
      <c r="QZI23" s="204"/>
      <c r="QZJ23" s="204"/>
      <c r="QZK23" s="204"/>
      <c r="QZL23" s="204"/>
      <c r="QZM23" s="204"/>
      <c r="QZN23" s="204"/>
      <c r="QZO23" s="204"/>
      <c r="QZP23" s="204"/>
      <c r="QZQ23" s="204"/>
      <c r="QZR23" s="204"/>
      <c r="QZS23" s="204"/>
      <c r="QZT23" s="204"/>
      <c r="QZU23" s="204"/>
      <c r="QZV23" s="204"/>
      <c r="QZW23" s="204"/>
      <c r="QZX23" s="204"/>
      <c r="QZY23" s="204"/>
      <c r="QZZ23" s="204"/>
      <c r="RAA23" s="204"/>
      <c r="RAB23" s="204"/>
      <c r="RAC23" s="204"/>
      <c r="RAD23" s="204"/>
      <c r="RAE23" s="204"/>
      <c r="RAF23" s="204"/>
      <c r="RAG23" s="204"/>
      <c r="RAH23" s="204"/>
      <c r="RAI23" s="204"/>
      <c r="RAJ23" s="204"/>
      <c r="RAK23" s="204"/>
      <c r="RAL23" s="204"/>
      <c r="RAM23" s="204"/>
      <c r="RAN23" s="204"/>
      <c r="RAO23" s="204"/>
      <c r="RAP23" s="204"/>
      <c r="RAQ23" s="204"/>
      <c r="RAR23" s="204"/>
      <c r="RAS23" s="204"/>
      <c r="RAT23" s="204"/>
      <c r="RAU23" s="204"/>
      <c r="RAV23" s="204"/>
      <c r="RAW23" s="204"/>
      <c r="RAX23" s="204"/>
      <c r="RAY23" s="204"/>
      <c r="RAZ23" s="204"/>
      <c r="RBA23" s="204"/>
      <c r="RBB23" s="204"/>
      <c r="RBC23" s="204"/>
      <c r="RBD23" s="204"/>
      <c r="RBE23" s="204"/>
      <c r="RBF23" s="204"/>
      <c r="RBG23" s="204"/>
      <c r="RBH23" s="204"/>
      <c r="RBI23" s="204"/>
      <c r="RBJ23" s="204"/>
      <c r="RBK23" s="204"/>
      <c r="RBL23" s="204"/>
      <c r="RBM23" s="204"/>
      <c r="RBN23" s="204"/>
      <c r="RBO23" s="204"/>
      <c r="RBP23" s="204"/>
      <c r="RBQ23" s="204"/>
      <c r="RBR23" s="204"/>
      <c r="RBS23" s="204"/>
      <c r="RBT23" s="204"/>
      <c r="RBU23" s="204"/>
      <c r="RBV23" s="204"/>
      <c r="RBW23" s="204"/>
      <c r="RBX23" s="204"/>
      <c r="RBY23" s="204"/>
      <c r="RBZ23" s="204"/>
      <c r="RCA23" s="204"/>
      <c r="RCB23" s="204"/>
      <c r="RCC23" s="204"/>
      <c r="RCD23" s="204"/>
      <c r="RCE23" s="204"/>
      <c r="RCF23" s="204"/>
      <c r="RCG23" s="204"/>
      <c r="RCH23" s="204"/>
      <c r="RCI23" s="204"/>
      <c r="RCJ23" s="204"/>
      <c r="RCK23" s="204"/>
      <c r="RCL23" s="204"/>
      <c r="RCM23" s="204"/>
      <c r="RCN23" s="204"/>
      <c r="RCO23" s="204"/>
      <c r="RCP23" s="204"/>
      <c r="RCQ23" s="204"/>
      <c r="RCR23" s="204"/>
      <c r="RCS23" s="204"/>
      <c r="RCT23" s="204"/>
      <c r="RCU23" s="204"/>
      <c r="RCV23" s="204"/>
      <c r="RCW23" s="204"/>
      <c r="RCX23" s="204"/>
      <c r="RCY23" s="204"/>
      <c r="RCZ23" s="204"/>
      <c r="RDA23" s="204"/>
      <c r="RDB23" s="204"/>
      <c r="RDC23" s="204"/>
      <c r="RDD23" s="204"/>
      <c r="RDE23" s="204"/>
      <c r="RDF23" s="204"/>
      <c r="RDG23" s="204"/>
      <c r="RDH23" s="204"/>
      <c r="RDI23" s="204"/>
      <c r="RDJ23" s="204"/>
      <c r="RDK23" s="204"/>
      <c r="RDL23" s="204"/>
      <c r="RDM23" s="204"/>
      <c r="RDN23" s="204"/>
      <c r="RDO23" s="204"/>
      <c r="RDP23" s="204"/>
      <c r="RDQ23" s="204"/>
      <c r="RDR23" s="204"/>
      <c r="RDS23" s="204"/>
      <c r="RDT23" s="204"/>
      <c r="RDU23" s="204"/>
      <c r="RDV23" s="204"/>
      <c r="RDW23" s="204"/>
      <c r="RDX23" s="204"/>
      <c r="RDY23" s="204"/>
      <c r="RDZ23" s="204"/>
      <c r="REA23" s="204"/>
      <c r="REB23" s="204"/>
      <c r="REC23" s="204"/>
      <c r="RED23" s="204"/>
      <c r="REE23" s="204"/>
      <c r="REF23" s="204"/>
      <c r="REG23" s="204"/>
      <c r="REH23" s="204"/>
      <c r="REI23" s="204"/>
      <c r="REJ23" s="204"/>
      <c r="REK23" s="204"/>
      <c r="REL23" s="204"/>
      <c r="REM23" s="204"/>
      <c r="REN23" s="204"/>
      <c r="REO23" s="204"/>
      <c r="REP23" s="204"/>
      <c r="REQ23" s="204"/>
      <c r="RER23" s="204"/>
      <c r="RES23" s="204"/>
      <c r="RET23" s="204"/>
      <c r="REU23" s="204"/>
      <c r="REV23" s="204"/>
      <c r="REW23" s="204"/>
      <c r="REX23" s="204"/>
      <c r="REY23" s="204"/>
      <c r="REZ23" s="204"/>
      <c r="RFA23" s="204"/>
      <c r="RFB23" s="204"/>
      <c r="RFC23" s="204"/>
      <c r="RFD23" s="204"/>
      <c r="RFE23" s="204"/>
      <c r="RFF23" s="204"/>
      <c r="RFG23" s="204"/>
      <c r="RFH23" s="204"/>
      <c r="RFI23" s="204"/>
      <c r="RFJ23" s="204"/>
      <c r="RFK23" s="204"/>
      <c r="RFL23" s="204"/>
      <c r="RFM23" s="204"/>
      <c r="RFN23" s="204"/>
      <c r="RFO23" s="204"/>
      <c r="RFP23" s="204"/>
      <c r="RFQ23" s="204"/>
      <c r="RFR23" s="204"/>
      <c r="RFS23" s="204"/>
      <c r="RFT23" s="204"/>
      <c r="RFU23" s="204"/>
      <c r="RFV23" s="204"/>
      <c r="RFW23" s="204"/>
      <c r="RFX23" s="204"/>
      <c r="RFY23" s="204"/>
      <c r="RFZ23" s="204"/>
      <c r="RGA23" s="204"/>
      <c r="RGB23" s="204"/>
      <c r="RGC23" s="204"/>
      <c r="RGD23" s="204"/>
      <c r="RGE23" s="204"/>
      <c r="RGF23" s="204"/>
      <c r="RGG23" s="204"/>
      <c r="RGH23" s="204"/>
      <c r="RGI23" s="204"/>
      <c r="RGJ23" s="204"/>
      <c r="RGK23" s="204"/>
      <c r="RGL23" s="204"/>
      <c r="RGM23" s="204"/>
      <c r="RGN23" s="204"/>
      <c r="RGO23" s="204"/>
      <c r="RGP23" s="204"/>
      <c r="RGQ23" s="204"/>
      <c r="RGR23" s="204"/>
      <c r="RGS23" s="204"/>
      <c r="RGT23" s="204"/>
      <c r="RGU23" s="204"/>
      <c r="RGV23" s="204"/>
      <c r="RGW23" s="204"/>
      <c r="RGX23" s="204"/>
      <c r="RGY23" s="204"/>
      <c r="RGZ23" s="204"/>
      <c r="RHA23" s="204"/>
      <c r="RHB23" s="204"/>
      <c r="RHC23" s="204"/>
      <c r="RHD23" s="204"/>
      <c r="RHE23" s="204"/>
      <c r="RHF23" s="204"/>
      <c r="RHG23" s="204"/>
      <c r="RHH23" s="204"/>
      <c r="RHI23" s="204"/>
      <c r="RHJ23" s="204"/>
      <c r="RHK23" s="204"/>
      <c r="RHL23" s="204"/>
      <c r="RHM23" s="204"/>
      <c r="RHN23" s="204"/>
      <c r="RHO23" s="204"/>
      <c r="RHP23" s="204"/>
      <c r="RHQ23" s="204"/>
      <c r="RHR23" s="204"/>
      <c r="RHS23" s="204"/>
      <c r="RHT23" s="204"/>
      <c r="RHU23" s="204"/>
      <c r="RHV23" s="204"/>
      <c r="RHW23" s="204"/>
      <c r="RHX23" s="204"/>
      <c r="RHY23" s="204"/>
      <c r="RHZ23" s="204"/>
      <c r="RIA23" s="204"/>
      <c r="RIB23" s="204"/>
      <c r="RIC23" s="204"/>
      <c r="RID23" s="204"/>
      <c r="RIE23" s="204"/>
      <c r="RIF23" s="204"/>
      <c r="RIG23" s="204"/>
      <c r="RIH23" s="204"/>
      <c r="RII23" s="204"/>
      <c r="RIJ23" s="204"/>
      <c r="RIK23" s="204"/>
      <c r="RIL23" s="204"/>
      <c r="RIM23" s="204"/>
      <c r="RIN23" s="204"/>
      <c r="RIO23" s="204"/>
      <c r="RIP23" s="204"/>
      <c r="RIQ23" s="204"/>
      <c r="RIR23" s="204"/>
      <c r="RIS23" s="204"/>
      <c r="RIT23" s="204"/>
      <c r="RIU23" s="204"/>
      <c r="RIV23" s="204"/>
      <c r="RIW23" s="204"/>
      <c r="RIX23" s="204"/>
      <c r="RIY23" s="204"/>
      <c r="RIZ23" s="204"/>
      <c r="RJA23" s="204"/>
      <c r="RJB23" s="204"/>
      <c r="RJC23" s="204"/>
      <c r="RJD23" s="204"/>
      <c r="RJE23" s="204"/>
      <c r="RJF23" s="204"/>
      <c r="RJG23" s="204"/>
      <c r="RJH23" s="204"/>
      <c r="RJI23" s="204"/>
      <c r="RJJ23" s="204"/>
      <c r="RJK23" s="204"/>
      <c r="RJL23" s="204"/>
      <c r="RJM23" s="204"/>
      <c r="RJN23" s="204"/>
      <c r="RJO23" s="204"/>
      <c r="RJP23" s="204"/>
      <c r="RJQ23" s="204"/>
      <c r="RJR23" s="204"/>
      <c r="RJS23" s="204"/>
      <c r="RJT23" s="204"/>
      <c r="RJU23" s="204"/>
      <c r="RJV23" s="204"/>
      <c r="RJW23" s="204"/>
      <c r="RJX23" s="204"/>
      <c r="RJY23" s="204"/>
      <c r="RJZ23" s="204"/>
      <c r="RKA23" s="204"/>
      <c r="RKB23" s="204"/>
      <c r="RKC23" s="204"/>
      <c r="RKD23" s="204"/>
      <c r="RKE23" s="204"/>
      <c r="RKF23" s="204"/>
      <c r="RKG23" s="204"/>
      <c r="RKH23" s="204"/>
      <c r="RKI23" s="204"/>
      <c r="RKJ23" s="204"/>
      <c r="RKK23" s="204"/>
      <c r="RKL23" s="204"/>
      <c r="RKM23" s="204"/>
      <c r="RKN23" s="204"/>
      <c r="RKO23" s="204"/>
      <c r="RKP23" s="204"/>
      <c r="RKQ23" s="204"/>
      <c r="RKR23" s="204"/>
      <c r="RKS23" s="204"/>
      <c r="RKT23" s="204"/>
      <c r="RKU23" s="204"/>
      <c r="RKV23" s="204"/>
      <c r="RKW23" s="204"/>
      <c r="RKX23" s="204"/>
      <c r="RKY23" s="204"/>
      <c r="RKZ23" s="204"/>
      <c r="RLA23" s="204"/>
      <c r="RLB23" s="204"/>
      <c r="RLC23" s="204"/>
      <c r="RLD23" s="204"/>
      <c r="RLE23" s="204"/>
      <c r="RLF23" s="204"/>
      <c r="RLG23" s="204"/>
      <c r="RLH23" s="204"/>
      <c r="RLI23" s="204"/>
      <c r="RLJ23" s="204"/>
      <c r="RLK23" s="204"/>
      <c r="RLL23" s="204"/>
      <c r="RLM23" s="204"/>
      <c r="RLN23" s="204"/>
      <c r="RLO23" s="204"/>
      <c r="RLP23" s="204"/>
      <c r="RLQ23" s="204"/>
      <c r="RLR23" s="204"/>
      <c r="RLS23" s="204"/>
      <c r="RLT23" s="204"/>
      <c r="RLU23" s="204"/>
      <c r="RLV23" s="204"/>
      <c r="RLW23" s="204"/>
      <c r="RLX23" s="204"/>
      <c r="RLY23" s="204"/>
      <c r="RLZ23" s="204"/>
      <c r="RMA23" s="204"/>
      <c r="RMB23" s="204"/>
      <c r="RMC23" s="204"/>
      <c r="RMD23" s="204"/>
      <c r="RME23" s="204"/>
      <c r="RMF23" s="204"/>
      <c r="RMG23" s="204"/>
      <c r="RMH23" s="204"/>
      <c r="RMI23" s="204"/>
      <c r="RMJ23" s="204"/>
      <c r="RMK23" s="204"/>
      <c r="RML23" s="204"/>
      <c r="RMM23" s="204"/>
      <c r="RMN23" s="204"/>
      <c r="RMO23" s="204"/>
      <c r="RMP23" s="204"/>
      <c r="RMQ23" s="204"/>
      <c r="RMR23" s="204"/>
      <c r="RMS23" s="204"/>
      <c r="RMT23" s="204"/>
      <c r="RMU23" s="204"/>
      <c r="RMV23" s="204"/>
      <c r="RMW23" s="204"/>
      <c r="RMX23" s="204"/>
      <c r="RMY23" s="204"/>
      <c r="RMZ23" s="204"/>
      <c r="RNA23" s="204"/>
      <c r="RNB23" s="204"/>
      <c r="RNC23" s="204"/>
      <c r="RND23" s="204"/>
      <c r="RNE23" s="204"/>
      <c r="RNF23" s="204"/>
      <c r="RNG23" s="204"/>
      <c r="RNH23" s="204"/>
      <c r="RNI23" s="204"/>
      <c r="RNJ23" s="204"/>
      <c r="RNK23" s="204"/>
      <c r="RNL23" s="204"/>
      <c r="RNM23" s="204"/>
      <c r="RNN23" s="204"/>
      <c r="RNO23" s="204"/>
      <c r="RNP23" s="204"/>
      <c r="RNQ23" s="204"/>
      <c r="RNR23" s="204"/>
      <c r="RNS23" s="204"/>
      <c r="RNT23" s="204"/>
      <c r="RNU23" s="204"/>
      <c r="RNV23" s="204"/>
      <c r="RNW23" s="204"/>
      <c r="RNX23" s="204"/>
      <c r="RNY23" s="204"/>
      <c r="RNZ23" s="204"/>
      <c r="ROA23" s="204"/>
      <c r="ROB23" s="204"/>
      <c r="ROC23" s="204"/>
      <c r="ROD23" s="204"/>
      <c r="ROE23" s="204"/>
      <c r="ROF23" s="204"/>
      <c r="ROG23" s="204"/>
      <c r="ROH23" s="204"/>
      <c r="ROI23" s="204"/>
      <c r="ROJ23" s="204"/>
      <c r="ROK23" s="204"/>
      <c r="ROL23" s="204"/>
      <c r="ROM23" s="204"/>
      <c r="RON23" s="204"/>
      <c r="ROO23" s="204"/>
      <c r="ROP23" s="204"/>
      <c r="ROQ23" s="204"/>
      <c r="ROR23" s="204"/>
      <c r="ROS23" s="204"/>
      <c r="ROT23" s="204"/>
      <c r="ROU23" s="204"/>
      <c r="ROV23" s="204"/>
      <c r="ROW23" s="204"/>
      <c r="ROX23" s="204"/>
      <c r="ROY23" s="204"/>
      <c r="ROZ23" s="204"/>
      <c r="RPA23" s="204"/>
      <c r="RPB23" s="204"/>
      <c r="RPC23" s="204"/>
      <c r="RPD23" s="204"/>
      <c r="RPE23" s="204"/>
      <c r="RPF23" s="204"/>
      <c r="RPG23" s="204"/>
      <c r="RPH23" s="204"/>
      <c r="RPI23" s="204"/>
      <c r="RPJ23" s="204"/>
      <c r="RPK23" s="204"/>
      <c r="RPL23" s="204"/>
      <c r="RPM23" s="204"/>
      <c r="RPN23" s="204"/>
      <c r="RPO23" s="204"/>
      <c r="RPP23" s="204"/>
      <c r="RPQ23" s="204"/>
      <c r="RPR23" s="204"/>
      <c r="RPS23" s="204"/>
      <c r="RPT23" s="204"/>
      <c r="RPU23" s="204"/>
      <c r="RPV23" s="204"/>
      <c r="RPW23" s="204"/>
      <c r="RPX23" s="204"/>
      <c r="RPY23" s="204"/>
      <c r="RPZ23" s="204"/>
      <c r="RQA23" s="204"/>
      <c r="RQB23" s="204"/>
      <c r="RQC23" s="204"/>
      <c r="RQD23" s="204"/>
      <c r="RQE23" s="204"/>
      <c r="RQF23" s="204"/>
      <c r="RQG23" s="204"/>
      <c r="RQH23" s="204"/>
      <c r="RQI23" s="204"/>
      <c r="RQJ23" s="204"/>
      <c r="RQK23" s="204"/>
      <c r="RQL23" s="204"/>
      <c r="RQM23" s="204"/>
      <c r="RQN23" s="204"/>
      <c r="RQO23" s="204"/>
      <c r="RQP23" s="204"/>
      <c r="RQQ23" s="204"/>
      <c r="RQR23" s="204"/>
      <c r="RQS23" s="204"/>
      <c r="RQT23" s="204"/>
      <c r="RQU23" s="204"/>
      <c r="RQV23" s="204"/>
      <c r="RQW23" s="204"/>
      <c r="RQX23" s="204"/>
      <c r="RQY23" s="204"/>
      <c r="RQZ23" s="204"/>
      <c r="RRA23" s="204"/>
      <c r="RRB23" s="204"/>
      <c r="RRC23" s="204"/>
      <c r="RRD23" s="204"/>
      <c r="RRE23" s="204"/>
      <c r="RRF23" s="204"/>
      <c r="RRG23" s="204"/>
      <c r="RRH23" s="204"/>
      <c r="RRI23" s="204"/>
      <c r="RRJ23" s="204"/>
      <c r="RRK23" s="204"/>
      <c r="RRL23" s="204"/>
      <c r="RRM23" s="204"/>
      <c r="RRN23" s="204"/>
      <c r="RRO23" s="204"/>
      <c r="RRP23" s="204"/>
      <c r="RRQ23" s="204"/>
      <c r="RRR23" s="204"/>
      <c r="RRS23" s="204"/>
      <c r="RRT23" s="204"/>
      <c r="RRU23" s="204"/>
      <c r="RRV23" s="204"/>
      <c r="RRW23" s="204"/>
      <c r="RRX23" s="204"/>
      <c r="RRY23" s="204"/>
      <c r="RRZ23" s="204"/>
      <c r="RSA23" s="204"/>
      <c r="RSB23" s="204"/>
      <c r="RSC23" s="204"/>
      <c r="RSD23" s="204"/>
      <c r="RSE23" s="204"/>
      <c r="RSF23" s="204"/>
      <c r="RSG23" s="204"/>
      <c r="RSH23" s="204"/>
      <c r="RSI23" s="204"/>
      <c r="RSJ23" s="204"/>
      <c r="RSK23" s="204"/>
      <c r="RSL23" s="204"/>
      <c r="RSM23" s="204"/>
      <c r="RSN23" s="204"/>
      <c r="RSO23" s="204"/>
      <c r="RSP23" s="204"/>
      <c r="RSQ23" s="204"/>
      <c r="RSR23" s="204"/>
      <c r="RSS23" s="204"/>
      <c r="RST23" s="204"/>
      <c r="RSU23" s="204"/>
      <c r="RSV23" s="204"/>
      <c r="RSW23" s="204"/>
      <c r="RSX23" s="204"/>
      <c r="RSY23" s="204"/>
      <c r="RSZ23" s="204"/>
      <c r="RTA23" s="204"/>
      <c r="RTB23" s="204"/>
      <c r="RTC23" s="204"/>
      <c r="RTD23" s="204"/>
      <c r="RTE23" s="204"/>
      <c r="RTF23" s="204"/>
      <c r="RTG23" s="204"/>
      <c r="RTH23" s="204"/>
      <c r="RTI23" s="204"/>
      <c r="RTJ23" s="204"/>
      <c r="RTK23" s="204"/>
      <c r="RTL23" s="204"/>
      <c r="RTM23" s="204"/>
      <c r="RTN23" s="204"/>
      <c r="RTO23" s="204"/>
      <c r="RTP23" s="204"/>
      <c r="RTQ23" s="204"/>
      <c r="RTR23" s="204"/>
      <c r="RTS23" s="204"/>
      <c r="RTT23" s="204"/>
      <c r="RTU23" s="204"/>
      <c r="RTV23" s="204"/>
      <c r="RTW23" s="204"/>
      <c r="RTX23" s="204"/>
      <c r="RTY23" s="204"/>
      <c r="RTZ23" s="204"/>
      <c r="RUA23" s="204"/>
      <c r="RUB23" s="204"/>
      <c r="RUC23" s="204"/>
      <c r="RUD23" s="204"/>
      <c r="RUE23" s="204"/>
      <c r="RUF23" s="204"/>
      <c r="RUG23" s="204"/>
      <c r="RUH23" s="204"/>
      <c r="RUI23" s="204"/>
      <c r="RUJ23" s="204"/>
      <c r="RUK23" s="204"/>
      <c r="RUL23" s="204"/>
      <c r="RUM23" s="204"/>
      <c r="RUN23" s="204"/>
      <c r="RUO23" s="204"/>
      <c r="RUP23" s="204"/>
      <c r="RUQ23" s="204"/>
      <c r="RUR23" s="204"/>
      <c r="RUS23" s="204"/>
      <c r="RUT23" s="204"/>
      <c r="RUU23" s="204"/>
      <c r="RUV23" s="204"/>
      <c r="RUW23" s="204"/>
      <c r="RUX23" s="204"/>
      <c r="RUY23" s="204"/>
      <c r="RUZ23" s="204"/>
      <c r="RVA23" s="204"/>
      <c r="RVB23" s="204"/>
      <c r="RVC23" s="204"/>
      <c r="RVD23" s="204"/>
      <c r="RVE23" s="204"/>
      <c r="RVF23" s="204"/>
      <c r="RVG23" s="204"/>
      <c r="RVH23" s="204"/>
      <c r="RVI23" s="204"/>
      <c r="RVJ23" s="204"/>
      <c r="RVK23" s="204"/>
      <c r="RVL23" s="204"/>
      <c r="RVM23" s="204"/>
      <c r="RVN23" s="204"/>
      <c r="RVO23" s="204"/>
      <c r="RVP23" s="204"/>
      <c r="RVQ23" s="204"/>
      <c r="RVR23" s="204"/>
      <c r="RVS23" s="204"/>
      <c r="RVT23" s="204"/>
      <c r="RVU23" s="204"/>
      <c r="RVV23" s="204"/>
      <c r="RVW23" s="204"/>
      <c r="RVX23" s="204"/>
      <c r="RVY23" s="204"/>
      <c r="RVZ23" s="204"/>
      <c r="RWA23" s="204"/>
      <c r="RWB23" s="204"/>
      <c r="RWC23" s="204"/>
      <c r="RWD23" s="204"/>
      <c r="RWE23" s="204"/>
      <c r="RWF23" s="204"/>
      <c r="RWG23" s="204"/>
      <c r="RWH23" s="204"/>
      <c r="RWI23" s="204"/>
      <c r="RWJ23" s="204"/>
      <c r="RWK23" s="204"/>
      <c r="RWL23" s="204"/>
      <c r="RWM23" s="204"/>
      <c r="RWN23" s="204"/>
      <c r="RWO23" s="204"/>
      <c r="RWP23" s="204"/>
      <c r="RWQ23" s="204"/>
      <c r="RWR23" s="204"/>
      <c r="RWS23" s="204"/>
      <c r="RWT23" s="204"/>
      <c r="RWU23" s="204"/>
      <c r="RWV23" s="204"/>
      <c r="RWW23" s="204"/>
      <c r="RWX23" s="204"/>
      <c r="RWY23" s="204"/>
      <c r="RWZ23" s="204"/>
      <c r="RXA23" s="204"/>
      <c r="RXB23" s="204"/>
      <c r="RXC23" s="204"/>
      <c r="RXD23" s="204"/>
      <c r="RXE23" s="204"/>
      <c r="RXF23" s="204"/>
      <c r="RXG23" s="204"/>
      <c r="RXH23" s="204"/>
      <c r="RXI23" s="204"/>
      <c r="RXJ23" s="204"/>
      <c r="RXK23" s="204"/>
      <c r="RXL23" s="204"/>
      <c r="RXM23" s="204"/>
      <c r="RXN23" s="204"/>
      <c r="RXO23" s="204"/>
      <c r="RXP23" s="204"/>
      <c r="RXQ23" s="204"/>
      <c r="RXR23" s="204"/>
      <c r="RXS23" s="204"/>
      <c r="RXT23" s="204"/>
      <c r="RXU23" s="204"/>
      <c r="RXV23" s="204"/>
      <c r="RXW23" s="204"/>
      <c r="RXX23" s="204"/>
      <c r="RXY23" s="204"/>
      <c r="RXZ23" s="204"/>
      <c r="RYA23" s="204"/>
      <c r="RYB23" s="204"/>
      <c r="RYC23" s="204"/>
      <c r="RYD23" s="204"/>
      <c r="RYE23" s="204"/>
      <c r="RYF23" s="204"/>
      <c r="RYG23" s="204"/>
      <c r="RYH23" s="204"/>
      <c r="RYI23" s="204"/>
      <c r="RYJ23" s="204"/>
      <c r="RYK23" s="204"/>
      <c r="RYL23" s="204"/>
      <c r="RYM23" s="204"/>
      <c r="RYN23" s="204"/>
      <c r="RYO23" s="204"/>
      <c r="RYP23" s="204"/>
      <c r="RYQ23" s="204"/>
      <c r="RYR23" s="204"/>
      <c r="RYS23" s="204"/>
      <c r="RYT23" s="204"/>
      <c r="RYU23" s="204"/>
      <c r="RYV23" s="204"/>
      <c r="RYW23" s="204"/>
      <c r="RYX23" s="204"/>
      <c r="RYY23" s="204"/>
      <c r="RYZ23" s="204"/>
      <c r="RZA23" s="204"/>
      <c r="RZB23" s="204"/>
      <c r="RZC23" s="204"/>
      <c r="RZD23" s="204"/>
      <c r="RZE23" s="204"/>
      <c r="RZF23" s="204"/>
      <c r="RZG23" s="204"/>
      <c r="RZH23" s="204"/>
      <c r="RZI23" s="204"/>
      <c r="RZJ23" s="204"/>
      <c r="RZK23" s="204"/>
      <c r="RZL23" s="204"/>
      <c r="RZM23" s="204"/>
      <c r="RZN23" s="204"/>
      <c r="RZO23" s="204"/>
      <c r="RZP23" s="204"/>
      <c r="RZQ23" s="204"/>
      <c r="RZR23" s="204"/>
      <c r="RZS23" s="204"/>
      <c r="RZT23" s="204"/>
      <c r="RZU23" s="204"/>
      <c r="RZV23" s="204"/>
      <c r="RZW23" s="204"/>
      <c r="RZX23" s="204"/>
      <c r="RZY23" s="204"/>
      <c r="RZZ23" s="204"/>
      <c r="SAA23" s="204"/>
      <c r="SAB23" s="204"/>
      <c r="SAC23" s="204"/>
      <c r="SAD23" s="204"/>
      <c r="SAE23" s="204"/>
      <c r="SAF23" s="204"/>
      <c r="SAG23" s="204"/>
      <c r="SAH23" s="204"/>
      <c r="SAI23" s="204"/>
      <c r="SAJ23" s="204"/>
      <c r="SAK23" s="204"/>
      <c r="SAL23" s="204"/>
      <c r="SAM23" s="204"/>
      <c r="SAN23" s="204"/>
      <c r="SAO23" s="204"/>
      <c r="SAP23" s="204"/>
      <c r="SAQ23" s="204"/>
      <c r="SAR23" s="204"/>
      <c r="SAS23" s="204"/>
      <c r="SAT23" s="204"/>
      <c r="SAU23" s="204"/>
      <c r="SAV23" s="204"/>
      <c r="SAW23" s="204"/>
      <c r="SAX23" s="204"/>
      <c r="SAY23" s="204"/>
      <c r="SAZ23" s="204"/>
      <c r="SBA23" s="204"/>
      <c r="SBB23" s="204"/>
      <c r="SBC23" s="204"/>
      <c r="SBD23" s="204"/>
      <c r="SBE23" s="204"/>
      <c r="SBF23" s="204"/>
      <c r="SBG23" s="204"/>
      <c r="SBH23" s="204"/>
      <c r="SBI23" s="204"/>
      <c r="SBJ23" s="204"/>
      <c r="SBK23" s="204"/>
      <c r="SBL23" s="204"/>
      <c r="SBM23" s="204"/>
      <c r="SBN23" s="204"/>
      <c r="SBO23" s="204"/>
      <c r="SBP23" s="204"/>
      <c r="SBQ23" s="204"/>
      <c r="SBR23" s="204"/>
      <c r="SBS23" s="204"/>
      <c r="SBT23" s="204"/>
      <c r="SBU23" s="204"/>
      <c r="SBV23" s="204"/>
      <c r="SBW23" s="204"/>
      <c r="SBX23" s="204"/>
      <c r="SBY23" s="204"/>
      <c r="SBZ23" s="204"/>
      <c r="SCA23" s="204"/>
      <c r="SCB23" s="204"/>
      <c r="SCC23" s="204"/>
      <c r="SCD23" s="204"/>
      <c r="SCE23" s="204"/>
      <c r="SCF23" s="204"/>
      <c r="SCG23" s="204"/>
      <c r="SCH23" s="204"/>
      <c r="SCI23" s="204"/>
      <c r="SCJ23" s="204"/>
      <c r="SCK23" s="204"/>
      <c r="SCL23" s="204"/>
      <c r="SCM23" s="204"/>
      <c r="SCN23" s="204"/>
      <c r="SCO23" s="204"/>
      <c r="SCP23" s="204"/>
      <c r="SCQ23" s="204"/>
      <c r="SCR23" s="204"/>
      <c r="SCS23" s="204"/>
      <c r="SCT23" s="204"/>
      <c r="SCU23" s="204"/>
      <c r="SCV23" s="204"/>
      <c r="SCW23" s="204"/>
      <c r="SCX23" s="204"/>
      <c r="SCY23" s="204"/>
      <c r="SCZ23" s="204"/>
      <c r="SDA23" s="204"/>
      <c r="SDB23" s="204"/>
      <c r="SDC23" s="204"/>
      <c r="SDD23" s="204"/>
      <c r="SDE23" s="204"/>
      <c r="SDF23" s="204"/>
      <c r="SDG23" s="204"/>
      <c r="SDH23" s="204"/>
      <c r="SDI23" s="204"/>
      <c r="SDJ23" s="204"/>
      <c r="SDK23" s="204"/>
      <c r="SDL23" s="204"/>
      <c r="SDM23" s="204"/>
      <c r="SDN23" s="204"/>
      <c r="SDO23" s="204"/>
      <c r="SDP23" s="204"/>
      <c r="SDQ23" s="204"/>
      <c r="SDR23" s="204"/>
      <c r="SDS23" s="204"/>
      <c r="SDT23" s="204"/>
      <c r="SDU23" s="204"/>
      <c r="SDV23" s="204"/>
      <c r="SDW23" s="204"/>
      <c r="SDX23" s="204"/>
      <c r="SDY23" s="204"/>
      <c r="SDZ23" s="204"/>
      <c r="SEA23" s="204"/>
      <c r="SEB23" s="204"/>
      <c r="SEC23" s="204"/>
      <c r="SED23" s="204"/>
      <c r="SEE23" s="204"/>
      <c r="SEF23" s="204"/>
      <c r="SEG23" s="204"/>
      <c r="SEH23" s="204"/>
      <c r="SEI23" s="204"/>
      <c r="SEJ23" s="204"/>
      <c r="SEK23" s="204"/>
      <c r="SEL23" s="204"/>
      <c r="SEM23" s="204"/>
      <c r="SEN23" s="204"/>
      <c r="SEO23" s="204"/>
      <c r="SEP23" s="204"/>
      <c r="SEQ23" s="204"/>
      <c r="SER23" s="204"/>
      <c r="SES23" s="204"/>
      <c r="SET23" s="204"/>
      <c r="SEU23" s="204"/>
      <c r="SEV23" s="204"/>
      <c r="SEW23" s="204"/>
      <c r="SEX23" s="204"/>
      <c r="SEY23" s="204"/>
      <c r="SEZ23" s="204"/>
      <c r="SFA23" s="204"/>
      <c r="SFB23" s="204"/>
      <c r="SFC23" s="204"/>
      <c r="SFD23" s="204"/>
      <c r="SFE23" s="204"/>
      <c r="SFF23" s="204"/>
      <c r="SFG23" s="204"/>
      <c r="SFH23" s="204"/>
      <c r="SFI23" s="204"/>
      <c r="SFJ23" s="204"/>
      <c r="SFK23" s="204"/>
      <c r="SFL23" s="204"/>
      <c r="SFM23" s="204"/>
      <c r="SFN23" s="204"/>
      <c r="SFO23" s="204"/>
      <c r="SFP23" s="204"/>
      <c r="SFQ23" s="204"/>
      <c r="SFR23" s="204"/>
      <c r="SFS23" s="204"/>
      <c r="SFT23" s="204"/>
      <c r="SFU23" s="204"/>
      <c r="SFV23" s="204"/>
      <c r="SFW23" s="204"/>
      <c r="SFX23" s="204"/>
      <c r="SFY23" s="204"/>
      <c r="SFZ23" s="204"/>
      <c r="SGA23" s="204"/>
      <c r="SGB23" s="204"/>
      <c r="SGC23" s="204"/>
      <c r="SGD23" s="204"/>
      <c r="SGE23" s="204"/>
      <c r="SGF23" s="204"/>
      <c r="SGG23" s="204"/>
      <c r="SGH23" s="204"/>
      <c r="SGI23" s="204"/>
      <c r="SGJ23" s="204"/>
      <c r="SGK23" s="204"/>
      <c r="SGL23" s="204"/>
      <c r="SGM23" s="204"/>
      <c r="SGN23" s="204"/>
      <c r="SGO23" s="204"/>
      <c r="SGP23" s="204"/>
      <c r="SGQ23" s="204"/>
      <c r="SGR23" s="204"/>
      <c r="SGS23" s="204"/>
      <c r="SGT23" s="204"/>
      <c r="SGU23" s="204"/>
      <c r="SGV23" s="204"/>
      <c r="SGW23" s="204"/>
      <c r="SGX23" s="204"/>
      <c r="SGY23" s="204"/>
      <c r="SGZ23" s="204"/>
      <c r="SHA23" s="204"/>
      <c r="SHB23" s="204"/>
      <c r="SHC23" s="204"/>
      <c r="SHD23" s="204"/>
      <c r="SHE23" s="204"/>
      <c r="SHF23" s="204"/>
      <c r="SHG23" s="204"/>
      <c r="SHH23" s="204"/>
      <c r="SHI23" s="204"/>
      <c r="SHJ23" s="204"/>
      <c r="SHK23" s="204"/>
      <c r="SHL23" s="204"/>
      <c r="SHM23" s="204"/>
      <c r="SHN23" s="204"/>
      <c r="SHO23" s="204"/>
      <c r="SHP23" s="204"/>
      <c r="SHQ23" s="204"/>
      <c r="SHR23" s="204"/>
      <c r="SHS23" s="204"/>
      <c r="SHT23" s="204"/>
      <c r="SHU23" s="204"/>
      <c r="SHV23" s="204"/>
      <c r="SHW23" s="204"/>
      <c r="SHX23" s="204"/>
      <c r="SHY23" s="204"/>
      <c r="SHZ23" s="204"/>
      <c r="SIA23" s="204"/>
      <c r="SIB23" s="204"/>
      <c r="SIC23" s="204"/>
      <c r="SID23" s="204"/>
      <c r="SIE23" s="204"/>
      <c r="SIF23" s="204"/>
      <c r="SIG23" s="204"/>
      <c r="SIH23" s="204"/>
      <c r="SII23" s="204"/>
      <c r="SIJ23" s="204"/>
      <c r="SIK23" s="204"/>
      <c r="SIL23" s="204"/>
      <c r="SIM23" s="204"/>
      <c r="SIN23" s="204"/>
      <c r="SIO23" s="204"/>
      <c r="SIP23" s="204"/>
      <c r="SIQ23" s="204"/>
      <c r="SIR23" s="204"/>
      <c r="SIS23" s="204"/>
      <c r="SIT23" s="204"/>
      <c r="SIU23" s="204"/>
      <c r="SIV23" s="204"/>
      <c r="SIW23" s="204"/>
      <c r="SIX23" s="204"/>
      <c r="SIY23" s="204"/>
      <c r="SIZ23" s="204"/>
      <c r="SJA23" s="204"/>
      <c r="SJB23" s="204"/>
      <c r="SJC23" s="204"/>
      <c r="SJD23" s="204"/>
      <c r="SJE23" s="204"/>
      <c r="SJF23" s="204"/>
      <c r="SJG23" s="204"/>
      <c r="SJH23" s="204"/>
      <c r="SJI23" s="204"/>
      <c r="SJJ23" s="204"/>
      <c r="SJK23" s="204"/>
      <c r="SJL23" s="204"/>
      <c r="SJM23" s="204"/>
      <c r="SJN23" s="204"/>
      <c r="SJO23" s="204"/>
      <c r="SJP23" s="204"/>
      <c r="SJQ23" s="204"/>
      <c r="SJR23" s="204"/>
      <c r="SJS23" s="204"/>
      <c r="SJT23" s="204"/>
      <c r="SJU23" s="204"/>
      <c r="SJV23" s="204"/>
      <c r="SJW23" s="204"/>
      <c r="SJX23" s="204"/>
      <c r="SJY23" s="204"/>
      <c r="SJZ23" s="204"/>
      <c r="SKA23" s="204"/>
      <c r="SKB23" s="204"/>
      <c r="SKC23" s="204"/>
      <c r="SKD23" s="204"/>
      <c r="SKE23" s="204"/>
      <c r="SKF23" s="204"/>
      <c r="SKG23" s="204"/>
      <c r="SKH23" s="204"/>
      <c r="SKI23" s="204"/>
      <c r="SKJ23" s="204"/>
      <c r="SKK23" s="204"/>
      <c r="SKL23" s="204"/>
      <c r="SKM23" s="204"/>
      <c r="SKN23" s="204"/>
      <c r="SKO23" s="204"/>
      <c r="SKP23" s="204"/>
      <c r="SKQ23" s="204"/>
      <c r="SKR23" s="204"/>
      <c r="SKS23" s="204"/>
      <c r="SKT23" s="204"/>
      <c r="SKU23" s="204"/>
      <c r="SKV23" s="204"/>
      <c r="SKW23" s="204"/>
      <c r="SKX23" s="204"/>
      <c r="SKY23" s="204"/>
      <c r="SKZ23" s="204"/>
      <c r="SLA23" s="204"/>
      <c r="SLB23" s="204"/>
      <c r="SLC23" s="204"/>
      <c r="SLD23" s="204"/>
      <c r="SLE23" s="204"/>
      <c r="SLF23" s="204"/>
      <c r="SLG23" s="204"/>
      <c r="SLH23" s="204"/>
      <c r="SLI23" s="204"/>
      <c r="SLJ23" s="204"/>
      <c r="SLK23" s="204"/>
      <c r="SLL23" s="204"/>
      <c r="SLM23" s="204"/>
      <c r="SLN23" s="204"/>
      <c r="SLO23" s="204"/>
      <c r="SLP23" s="204"/>
      <c r="SLQ23" s="204"/>
      <c r="SLR23" s="204"/>
      <c r="SLS23" s="204"/>
      <c r="SLT23" s="204"/>
      <c r="SLU23" s="204"/>
      <c r="SLV23" s="204"/>
      <c r="SLW23" s="204"/>
      <c r="SLX23" s="204"/>
      <c r="SLY23" s="204"/>
      <c r="SLZ23" s="204"/>
      <c r="SMA23" s="204"/>
      <c r="SMB23" s="204"/>
      <c r="SMC23" s="204"/>
      <c r="SMD23" s="204"/>
      <c r="SME23" s="204"/>
      <c r="SMF23" s="204"/>
      <c r="SMG23" s="204"/>
      <c r="SMH23" s="204"/>
      <c r="SMI23" s="204"/>
      <c r="SMJ23" s="204"/>
      <c r="SMK23" s="204"/>
      <c r="SML23" s="204"/>
      <c r="SMM23" s="204"/>
      <c r="SMN23" s="204"/>
      <c r="SMO23" s="204"/>
      <c r="SMP23" s="204"/>
      <c r="SMQ23" s="204"/>
      <c r="SMR23" s="204"/>
      <c r="SMS23" s="204"/>
      <c r="SMT23" s="204"/>
      <c r="SMU23" s="204"/>
      <c r="SMV23" s="204"/>
      <c r="SMW23" s="204"/>
      <c r="SMX23" s="204"/>
      <c r="SMY23" s="204"/>
      <c r="SMZ23" s="204"/>
      <c r="SNA23" s="204"/>
      <c r="SNB23" s="204"/>
      <c r="SNC23" s="204"/>
      <c r="SND23" s="204"/>
      <c r="SNE23" s="204"/>
      <c r="SNF23" s="204"/>
      <c r="SNG23" s="204"/>
      <c r="SNH23" s="204"/>
      <c r="SNI23" s="204"/>
      <c r="SNJ23" s="204"/>
      <c r="SNK23" s="204"/>
      <c r="SNL23" s="204"/>
      <c r="SNM23" s="204"/>
      <c r="SNN23" s="204"/>
      <c r="SNO23" s="204"/>
      <c r="SNP23" s="204"/>
      <c r="SNQ23" s="204"/>
      <c r="SNR23" s="204"/>
      <c r="SNS23" s="204"/>
      <c r="SNT23" s="204"/>
      <c r="SNU23" s="204"/>
      <c r="SNV23" s="204"/>
      <c r="SNW23" s="204"/>
      <c r="SNX23" s="204"/>
      <c r="SNY23" s="204"/>
      <c r="SNZ23" s="204"/>
      <c r="SOA23" s="204"/>
      <c r="SOB23" s="204"/>
      <c r="SOC23" s="204"/>
      <c r="SOD23" s="204"/>
      <c r="SOE23" s="204"/>
      <c r="SOF23" s="204"/>
      <c r="SOG23" s="204"/>
      <c r="SOH23" s="204"/>
      <c r="SOI23" s="204"/>
      <c r="SOJ23" s="204"/>
      <c r="SOK23" s="204"/>
      <c r="SOL23" s="204"/>
      <c r="SOM23" s="204"/>
      <c r="SON23" s="204"/>
      <c r="SOO23" s="204"/>
      <c r="SOP23" s="204"/>
      <c r="SOQ23" s="204"/>
      <c r="SOR23" s="204"/>
      <c r="SOS23" s="204"/>
      <c r="SOT23" s="204"/>
      <c r="SOU23" s="204"/>
      <c r="SOV23" s="204"/>
      <c r="SOW23" s="204"/>
      <c r="SOX23" s="204"/>
      <c r="SOY23" s="204"/>
      <c r="SOZ23" s="204"/>
      <c r="SPA23" s="204"/>
      <c r="SPB23" s="204"/>
      <c r="SPC23" s="204"/>
      <c r="SPD23" s="204"/>
      <c r="SPE23" s="204"/>
      <c r="SPF23" s="204"/>
      <c r="SPG23" s="204"/>
      <c r="SPH23" s="204"/>
      <c r="SPI23" s="204"/>
      <c r="SPJ23" s="204"/>
      <c r="SPK23" s="204"/>
      <c r="SPL23" s="204"/>
      <c r="SPM23" s="204"/>
      <c r="SPN23" s="204"/>
      <c r="SPO23" s="204"/>
      <c r="SPP23" s="204"/>
      <c r="SPQ23" s="204"/>
      <c r="SPR23" s="204"/>
      <c r="SPS23" s="204"/>
      <c r="SPT23" s="204"/>
      <c r="SPU23" s="204"/>
      <c r="SPV23" s="204"/>
      <c r="SPW23" s="204"/>
      <c r="SPX23" s="204"/>
      <c r="SPY23" s="204"/>
      <c r="SPZ23" s="204"/>
      <c r="SQA23" s="204"/>
      <c r="SQB23" s="204"/>
      <c r="SQC23" s="204"/>
      <c r="SQD23" s="204"/>
      <c r="SQE23" s="204"/>
      <c r="SQF23" s="204"/>
      <c r="SQG23" s="204"/>
      <c r="SQH23" s="204"/>
      <c r="SQI23" s="204"/>
      <c r="SQJ23" s="204"/>
      <c r="SQK23" s="204"/>
      <c r="SQL23" s="204"/>
      <c r="SQM23" s="204"/>
      <c r="SQN23" s="204"/>
      <c r="SQO23" s="204"/>
      <c r="SQP23" s="204"/>
      <c r="SQQ23" s="204"/>
      <c r="SQR23" s="204"/>
      <c r="SQS23" s="204"/>
      <c r="SQT23" s="204"/>
      <c r="SQU23" s="204"/>
      <c r="SQV23" s="204"/>
      <c r="SQW23" s="204"/>
      <c r="SQX23" s="204"/>
      <c r="SQY23" s="204"/>
      <c r="SQZ23" s="204"/>
      <c r="SRA23" s="204"/>
      <c r="SRB23" s="204"/>
      <c r="SRC23" s="204"/>
      <c r="SRD23" s="204"/>
      <c r="SRE23" s="204"/>
      <c r="SRF23" s="204"/>
      <c r="SRG23" s="204"/>
      <c r="SRH23" s="204"/>
      <c r="SRI23" s="204"/>
      <c r="SRJ23" s="204"/>
      <c r="SRK23" s="204"/>
      <c r="SRL23" s="204"/>
      <c r="SRM23" s="204"/>
      <c r="SRN23" s="204"/>
      <c r="SRO23" s="204"/>
      <c r="SRP23" s="204"/>
      <c r="SRQ23" s="204"/>
      <c r="SRR23" s="204"/>
      <c r="SRS23" s="204"/>
      <c r="SRT23" s="204"/>
      <c r="SRU23" s="204"/>
      <c r="SRV23" s="204"/>
      <c r="SRW23" s="204"/>
      <c r="SRX23" s="204"/>
      <c r="SRY23" s="204"/>
      <c r="SRZ23" s="204"/>
      <c r="SSA23" s="204"/>
      <c r="SSB23" s="204"/>
      <c r="SSC23" s="204"/>
      <c r="SSD23" s="204"/>
      <c r="SSE23" s="204"/>
      <c r="SSF23" s="204"/>
      <c r="SSG23" s="204"/>
      <c r="SSH23" s="204"/>
      <c r="SSI23" s="204"/>
      <c r="SSJ23" s="204"/>
      <c r="SSK23" s="204"/>
      <c r="SSL23" s="204"/>
      <c r="SSM23" s="204"/>
      <c r="SSN23" s="204"/>
      <c r="SSO23" s="204"/>
      <c r="SSP23" s="204"/>
      <c r="SSQ23" s="204"/>
      <c r="SSR23" s="204"/>
      <c r="SSS23" s="204"/>
      <c r="SST23" s="204"/>
      <c r="SSU23" s="204"/>
      <c r="SSV23" s="204"/>
      <c r="SSW23" s="204"/>
      <c r="SSX23" s="204"/>
      <c r="SSY23" s="204"/>
      <c r="SSZ23" s="204"/>
      <c r="STA23" s="204"/>
      <c r="STB23" s="204"/>
      <c r="STC23" s="204"/>
      <c r="STD23" s="204"/>
      <c r="STE23" s="204"/>
      <c r="STF23" s="204"/>
      <c r="STG23" s="204"/>
      <c r="STH23" s="204"/>
      <c r="STI23" s="204"/>
      <c r="STJ23" s="204"/>
      <c r="STK23" s="204"/>
      <c r="STL23" s="204"/>
      <c r="STM23" s="204"/>
      <c r="STN23" s="204"/>
      <c r="STO23" s="204"/>
      <c r="STP23" s="204"/>
      <c r="STQ23" s="204"/>
      <c r="STR23" s="204"/>
      <c r="STS23" s="204"/>
      <c r="STT23" s="204"/>
      <c r="STU23" s="204"/>
      <c r="STV23" s="204"/>
      <c r="STW23" s="204"/>
      <c r="STX23" s="204"/>
      <c r="STY23" s="204"/>
      <c r="STZ23" s="204"/>
      <c r="SUA23" s="204"/>
      <c r="SUB23" s="204"/>
      <c r="SUC23" s="204"/>
      <c r="SUD23" s="204"/>
      <c r="SUE23" s="204"/>
      <c r="SUF23" s="204"/>
      <c r="SUG23" s="204"/>
      <c r="SUH23" s="204"/>
      <c r="SUI23" s="204"/>
      <c r="SUJ23" s="204"/>
      <c r="SUK23" s="204"/>
      <c r="SUL23" s="204"/>
      <c r="SUM23" s="204"/>
      <c r="SUN23" s="204"/>
      <c r="SUO23" s="204"/>
      <c r="SUP23" s="204"/>
      <c r="SUQ23" s="204"/>
      <c r="SUR23" s="204"/>
      <c r="SUS23" s="204"/>
      <c r="SUT23" s="204"/>
      <c r="SUU23" s="204"/>
      <c r="SUV23" s="204"/>
      <c r="SUW23" s="204"/>
      <c r="SUX23" s="204"/>
      <c r="SUY23" s="204"/>
      <c r="SUZ23" s="204"/>
      <c r="SVA23" s="204"/>
      <c r="SVB23" s="204"/>
      <c r="SVC23" s="204"/>
      <c r="SVD23" s="204"/>
      <c r="SVE23" s="204"/>
      <c r="SVF23" s="204"/>
      <c r="SVG23" s="204"/>
      <c r="SVH23" s="204"/>
      <c r="SVI23" s="204"/>
      <c r="SVJ23" s="204"/>
      <c r="SVK23" s="204"/>
      <c r="SVL23" s="204"/>
      <c r="SVM23" s="204"/>
      <c r="SVN23" s="204"/>
      <c r="SVO23" s="204"/>
      <c r="SVP23" s="204"/>
      <c r="SVQ23" s="204"/>
      <c r="SVR23" s="204"/>
      <c r="SVS23" s="204"/>
      <c r="SVT23" s="204"/>
      <c r="SVU23" s="204"/>
      <c r="SVV23" s="204"/>
      <c r="SVW23" s="204"/>
      <c r="SVX23" s="204"/>
      <c r="SVY23" s="204"/>
      <c r="SVZ23" s="204"/>
      <c r="SWA23" s="204"/>
      <c r="SWB23" s="204"/>
      <c r="SWC23" s="204"/>
      <c r="SWD23" s="204"/>
      <c r="SWE23" s="204"/>
      <c r="SWF23" s="204"/>
      <c r="SWG23" s="204"/>
      <c r="SWH23" s="204"/>
      <c r="SWI23" s="204"/>
      <c r="SWJ23" s="204"/>
      <c r="SWK23" s="204"/>
      <c r="SWL23" s="204"/>
      <c r="SWM23" s="204"/>
      <c r="SWN23" s="204"/>
      <c r="SWO23" s="204"/>
      <c r="SWP23" s="204"/>
      <c r="SWQ23" s="204"/>
      <c r="SWR23" s="204"/>
      <c r="SWS23" s="204"/>
      <c r="SWT23" s="204"/>
      <c r="SWU23" s="204"/>
      <c r="SWV23" s="204"/>
      <c r="SWW23" s="204"/>
      <c r="SWX23" s="204"/>
      <c r="SWY23" s="204"/>
      <c r="SWZ23" s="204"/>
      <c r="SXA23" s="204"/>
      <c r="SXB23" s="204"/>
      <c r="SXC23" s="204"/>
      <c r="SXD23" s="204"/>
      <c r="SXE23" s="204"/>
      <c r="SXF23" s="204"/>
      <c r="SXG23" s="204"/>
      <c r="SXH23" s="204"/>
      <c r="SXI23" s="204"/>
      <c r="SXJ23" s="204"/>
      <c r="SXK23" s="204"/>
      <c r="SXL23" s="204"/>
      <c r="SXM23" s="204"/>
      <c r="SXN23" s="204"/>
      <c r="SXO23" s="204"/>
      <c r="SXP23" s="204"/>
      <c r="SXQ23" s="204"/>
      <c r="SXR23" s="204"/>
      <c r="SXS23" s="204"/>
      <c r="SXT23" s="204"/>
      <c r="SXU23" s="204"/>
      <c r="SXV23" s="204"/>
      <c r="SXW23" s="204"/>
      <c r="SXX23" s="204"/>
      <c r="SXY23" s="204"/>
      <c r="SXZ23" s="204"/>
      <c r="SYA23" s="204"/>
      <c r="SYB23" s="204"/>
      <c r="SYC23" s="204"/>
      <c r="SYD23" s="204"/>
      <c r="SYE23" s="204"/>
      <c r="SYF23" s="204"/>
      <c r="SYG23" s="204"/>
      <c r="SYH23" s="204"/>
      <c r="SYI23" s="204"/>
      <c r="SYJ23" s="204"/>
      <c r="SYK23" s="204"/>
      <c r="SYL23" s="204"/>
      <c r="SYM23" s="204"/>
      <c r="SYN23" s="204"/>
      <c r="SYO23" s="204"/>
      <c r="SYP23" s="204"/>
      <c r="SYQ23" s="204"/>
      <c r="SYR23" s="204"/>
      <c r="SYS23" s="204"/>
      <c r="SYT23" s="204"/>
      <c r="SYU23" s="204"/>
      <c r="SYV23" s="204"/>
      <c r="SYW23" s="204"/>
      <c r="SYX23" s="204"/>
      <c r="SYY23" s="204"/>
      <c r="SYZ23" s="204"/>
      <c r="SZA23" s="204"/>
      <c r="SZB23" s="204"/>
      <c r="SZC23" s="204"/>
      <c r="SZD23" s="204"/>
      <c r="SZE23" s="204"/>
      <c r="SZF23" s="204"/>
      <c r="SZG23" s="204"/>
      <c r="SZH23" s="204"/>
      <c r="SZI23" s="204"/>
      <c r="SZJ23" s="204"/>
      <c r="SZK23" s="204"/>
      <c r="SZL23" s="204"/>
      <c r="SZM23" s="204"/>
      <c r="SZN23" s="204"/>
      <c r="SZO23" s="204"/>
      <c r="SZP23" s="204"/>
      <c r="SZQ23" s="204"/>
      <c r="SZR23" s="204"/>
      <c r="SZS23" s="204"/>
      <c r="SZT23" s="204"/>
      <c r="SZU23" s="204"/>
      <c r="SZV23" s="204"/>
      <c r="SZW23" s="204"/>
      <c r="SZX23" s="204"/>
      <c r="SZY23" s="204"/>
      <c r="SZZ23" s="204"/>
      <c r="TAA23" s="204"/>
      <c r="TAB23" s="204"/>
      <c r="TAC23" s="204"/>
      <c r="TAD23" s="204"/>
      <c r="TAE23" s="204"/>
      <c r="TAF23" s="204"/>
      <c r="TAG23" s="204"/>
      <c r="TAH23" s="204"/>
      <c r="TAI23" s="204"/>
      <c r="TAJ23" s="204"/>
      <c r="TAK23" s="204"/>
      <c r="TAL23" s="204"/>
      <c r="TAM23" s="204"/>
      <c r="TAN23" s="204"/>
      <c r="TAO23" s="204"/>
      <c r="TAP23" s="204"/>
      <c r="TAQ23" s="204"/>
      <c r="TAR23" s="204"/>
      <c r="TAS23" s="204"/>
      <c r="TAT23" s="204"/>
      <c r="TAU23" s="204"/>
      <c r="TAV23" s="204"/>
      <c r="TAW23" s="204"/>
      <c r="TAX23" s="204"/>
      <c r="TAY23" s="204"/>
      <c r="TAZ23" s="204"/>
      <c r="TBA23" s="204"/>
      <c r="TBB23" s="204"/>
      <c r="TBC23" s="204"/>
      <c r="TBD23" s="204"/>
      <c r="TBE23" s="204"/>
      <c r="TBF23" s="204"/>
      <c r="TBG23" s="204"/>
      <c r="TBH23" s="204"/>
      <c r="TBI23" s="204"/>
      <c r="TBJ23" s="204"/>
      <c r="TBK23" s="204"/>
      <c r="TBL23" s="204"/>
      <c r="TBM23" s="204"/>
      <c r="TBN23" s="204"/>
      <c r="TBO23" s="204"/>
      <c r="TBP23" s="204"/>
      <c r="TBQ23" s="204"/>
      <c r="TBR23" s="204"/>
      <c r="TBS23" s="204"/>
      <c r="TBT23" s="204"/>
      <c r="TBU23" s="204"/>
      <c r="TBV23" s="204"/>
      <c r="TBW23" s="204"/>
      <c r="TBX23" s="204"/>
      <c r="TBY23" s="204"/>
      <c r="TBZ23" s="204"/>
      <c r="TCA23" s="204"/>
      <c r="TCB23" s="204"/>
      <c r="TCC23" s="204"/>
      <c r="TCD23" s="204"/>
      <c r="TCE23" s="204"/>
      <c r="TCF23" s="204"/>
      <c r="TCG23" s="204"/>
      <c r="TCH23" s="204"/>
      <c r="TCI23" s="204"/>
      <c r="TCJ23" s="204"/>
      <c r="TCK23" s="204"/>
      <c r="TCL23" s="204"/>
      <c r="TCM23" s="204"/>
      <c r="TCN23" s="204"/>
      <c r="TCO23" s="204"/>
      <c r="TCP23" s="204"/>
      <c r="TCQ23" s="204"/>
      <c r="TCR23" s="204"/>
      <c r="TCS23" s="204"/>
      <c r="TCT23" s="204"/>
      <c r="TCU23" s="204"/>
      <c r="TCV23" s="204"/>
      <c r="TCW23" s="204"/>
      <c r="TCX23" s="204"/>
      <c r="TCY23" s="204"/>
      <c r="TCZ23" s="204"/>
      <c r="TDA23" s="204"/>
      <c r="TDB23" s="204"/>
      <c r="TDC23" s="204"/>
      <c r="TDD23" s="204"/>
      <c r="TDE23" s="204"/>
      <c r="TDF23" s="204"/>
      <c r="TDG23" s="204"/>
      <c r="TDH23" s="204"/>
      <c r="TDI23" s="204"/>
      <c r="TDJ23" s="204"/>
      <c r="TDK23" s="204"/>
      <c r="TDL23" s="204"/>
      <c r="TDM23" s="204"/>
      <c r="TDN23" s="204"/>
      <c r="TDO23" s="204"/>
      <c r="TDP23" s="204"/>
      <c r="TDQ23" s="204"/>
      <c r="TDR23" s="204"/>
      <c r="TDS23" s="204"/>
      <c r="TDT23" s="204"/>
      <c r="TDU23" s="204"/>
      <c r="TDV23" s="204"/>
      <c r="TDW23" s="204"/>
      <c r="TDX23" s="204"/>
      <c r="TDY23" s="204"/>
      <c r="TDZ23" s="204"/>
      <c r="TEA23" s="204"/>
      <c r="TEB23" s="204"/>
      <c r="TEC23" s="204"/>
      <c r="TED23" s="204"/>
      <c r="TEE23" s="204"/>
      <c r="TEF23" s="204"/>
      <c r="TEG23" s="204"/>
      <c r="TEH23" s="204"/>
      <c r="TEI23" s="204"/>
      <c r="TEJ23" s="204"/>
      <c r="TEK23" s="204"/>
      <c r="TEL23" s="204"/>
      <c r="TEM23" s="204"/>
      <c r="TEN23" s="204"/>
      <c r="TEO23" s="204"/>
      <c r="TEP23" s="204"/>
      <c r="TEQ23" s="204"/>
      <c r="TER23" s="204"/>
      <c r="TES23" s="204"/>
      <c r="TET23" s="204"/>
      <c r="TEU23" s="204"/>
      <c r="TEV23" s="204"/>
      <c r="TEW23" s="204"/>
      <c r="TEX23" s="204"/>
      <c r="TEY23" s="204"/>
      <c r="TEZ23" s="204"/>
      <c r="TFA23" s="204"/>
      <c r="TFB23" s="204"/>
      <c r="TFC23" s="204"/>
      <c r="TFD23" s="204"/>
      <c r="TFE23" s="204"/>
      <c r="TFF23" s="204"/>
      <c r="TFG23" s="204"/>
      <c r="TFH23" s="204"/>
      <c r="TFI23" s="204"/>
      <c r="TFJ23" s="204"/>
      <c r="TFK23" s="204"/>
      <c r="TFL23" s="204"/>
      <c r="TFM23" s="204"/>
      <c r="TFN23" s="204"/>
      <c r="TFO23" s="204"/>
      <c r="TFP23" s="204"/>
      <c r="TFQ23" s="204"/>
      <c r="TFR23" s="204"/>
      <c r="TFS23" s="204"/>
      <c r="TFT23" s="204"/>
      <c r="TFU23" s="204"/>
      <c r="TFV23" s="204"/>
      <c r="TFW23" s="204"/>
      <c r="TFX23" s="204"/>
      <c r="TFY23" s="204"/>
      <c r="TFZ23" s="204"/>
      <c r="TGA23" s="204"/>
      <c r="TGB23" s="204"/>
      <c r="TGC23" s="204"/>
      <c r="TGD23" s="204"/>
      <c r="TGE23" s="204"/>
      <c r="TGF23" s="204"/>
      <c r="TGG23" s="204"/>
      <c r="TGH23" s="204"/>
      <c r="TGI23" s="204"/>
      <c r="TGJ23" s="204"/>
      <c r="TGK23" s="204"/>
      <c r="TGL23" s="204"/>
      <c r="TGM23" s="204"/>
      <c r="TGN23" s="204"/>
      <c r="TGO23" s="204"/>
      <c r="TGP23" s="204"/>
      <c r="TGQ23" s="204"/>
      <c r="TGR23" s="204"/>
      <c r="TGS23" s="204"/>
      <c r="TGT23" s="204"/>
      <c r="TGU23" s="204"/>
      <c r="TGV23" s="204"/>
      <c r="TGW23" s="204"/>
      <c r="TGX23" s="204"/>
      <c r="TGY23" s="204"/>
      <c r="TGZ23" s="204"/>
      <c r="THA23" s="204"/>
      <c r="THB23" s="204"/>
      <c r="THC23" s="204"/>
      <c r="THD23" s="204"/>
      <c r="THE23" s="204"/>
      <c r="THF23" s="204"/>
      <c r="THG23" s="204"/>
      <c r="THH23" s="204"/>
      <c r="THI23" s="204"/>
      <c r="THJ23" s="204"/>
      <c r="THK23" s="204"/>
      <c r="THL23" s="204"/>
      <c r="THM23" s="204"/>
      <c r="THN23" s="204"/>
      <c r="THO23" s="204"/>
      <c r="THP23" s="204"/>
      <c r="THQ23" s="204"/>
      <c r="THR23" s="204"/>
      <c r="THS23" s="204"/>
      <c r="THT23" s="204"/>
      <c r="THU23" s="204"/>
      <c r="THV23" s="204"/>
      <c r="THW23" s="204"/>
      <c r="THX23" s="204"/>
      <c r="THY23" s="204"/>
      <c r="THZ23" s="204"/>
      <c r="TIA23" s="204"/>
      <c r="TIB23" s="204"/>
      <c r="TIC23" s="204"/>
      <c r="TID23" s="204"/>
      <c r="TIE23" s="204"/>
      <c r="TIF23" s="204"/>
      <c r="TIG23" s="204"/>
      <c r="TIH23" s="204"/>
      <c r="TII23" s="204"/>
      <c r="TIJ23" s="204"/>
      <c r="TIK23" s="204"/>
      <c r="TIL23" s="204"/>
      <c r="TIM23" s="204"/>
      <c r="TIN23" s="204"/>
      <c r="TIO23" s="204"/>
      <c r="TIP23" s="204"/>
      <c r="TIQ23" s="204"/>
      <c r="TIR23" s="204"/>
      <c r="TIS23" s="204"/>
      <c r="TIT23" s="204"/>
      <c r="TIU23" s="204"/>
      <c r="TIV23" s="204"/>
      <c r="TIW23" s="204"/>
      <c r="TIX23" s="204"/>
      <c r="TIY23" s="204"/>
      <c r="TIZ23" s="204"/>
      <c r="TJA23" s="204"/>
      <c r="TJB23" s="204"/>
      <c r="TJC23" s="204"/>
      <c r="TJD23" s="204"/>
      <c r="TJE23" s="204"/>
      <c r="TJF23" s="204"/>
      <c r="TJG23" s="204"/>
      <c r="TJH23" s="204"/>
      <c r="TJI23" s="204"/>
      <c r="TJJ23" s="204"/>
      <c r="TJK23" s="204"/>
      <c r="TJL23" s="204"/>
      <c r="TJM23" s="204"/>
      <c r="TJN23" s="204"/>
      <c r="TJO23" s="204"/>
      <c r="TJP23" s="204"/>
      <c r="TJQ23" s="204"/>
      <c r="TJR23" s="204"/>
      <c r="TJS23" s="204"/>
      <c r="TJT23" s="204"/>
      <c r="TJU23" s="204"/>
      <c r="TJV23" s="204"/>
      <c r="TJW23" s="204"/>
      <c r="TJX23" s="204"/>
      <c r="TJY23" s="204"/>
      <c r="TJZ23" s="204"/>
      <c r="TKA23" s="204"/>
      <c r="TKB23" s="204"/>
      <c r="TKC23" s="204"/>
      <c r="TKD23" s="204"/>
      <c r="TKE23" s="204"/>
      <c r="TKF23" s="204"/>
      <c r="TKG23" s="204"/>
      <c r="TKH23" s="204"/>
      <c r="TKI23" s="204"/>
      <c r="TKJ23" s="204"/>
      <c r="TKK23" s="204"/>
      <c r="TKL23" s="204"/>
      <c r="TKM23" s="204"/>
      <c r="TKN23" s="204"/>
      <c r="TKO23" s="204"/>
      <c r="TKP23" s="204"/>
      <c r="TKQ23" s="204"/>
      <c r="TKR23" s="204"/>
      <c r="TKS23" s="204"/>
      <c r="TKT23" s="204"/>
      <c r="TKU23" s="204"/>
      <c r="TKV23" s="204"/>
      <c r="TKW23" s="204"/>
      <c r="TKX23" s="204"/>
      <c r="TKY23" s="204"/>
      <c r="TKZ23" s="204"/>
      <c r="TLA23" s="204"/>
      <c r="TLB23" s="204"/>
      <c r="TLC23" s="204"/>
      <c r="TLD23" s="204"/>
      <c r="TLE23" s="204"/>
      <c r="TLF23" s="204"/>
      <c r="TLG23" s="204"/>
      <c r="TLH23" s="204"/>
      <c r="TLI23" s="204"/>
      <c r="TLJ23" s="204"/>
      <c r="TLK23" s="204"/>
      <c r="TLL23" s="204"/>
      <c r="TLM23" s="204"/>
      <c r="TLN23" s="204"/>
      <c r="TLO23" s="204"/>
      <c r="TLP23" s="204"/>
      <c r="TLQ23" s="204"/>
      <c r="TLR23" s="204"/>
      <c r="TLS23" s="204"/>
      <c r="TLT23" s="204"/>
      <c r="TLU23" s="204"/>
      <c r="TLV23" s="204"/>
      <c r="TLW23" s="204"/>
      <c r="TLX23" s="204"/>
      <c r="TLY23" s="204"/>
      <c r="TLZ23" s="204"/>
      <c r="TMA23" s="204"/>
      <c r="TMB23" s="204"/>
      <c r="TMC23" s="204"/>
      <c r="TMD23" s="204"/>
      <c r="TME23" s="204"/>
      <c r="TMF23" s="204"/>
      <c r="TMG23" s="204"/>
      <c r="TMH23" s="204"/>
      <c r="TMI23" s="204"/>
      <c r="TMJ23" s="204"/>
      <c r="TMK23" s="204"/>
      <c r="TML23" s="204"/>
      <c r="TMM23" s="204"/>
      <c r="TMN23" s="204"/>
      <c r="TMO23" s="204"/>
      <c r="TMP23" s="204"/>
      <c r="TMQ23" s="204"/>
      <c r="TMR23" s="204"/>
      <c r="TMS23" s="204"/>
      <c r="TMT23" s="204"/>
      <c r="TMU23" s="204"/>
      <c r="TMV23" s="204"/>
      <c r="TMW23" s="204"/>
      <c r="TMX23" s="204"/>
      <c r="TMY23" s="204"/>
      <c r="TMZ23" s="204"/>
      <c r="TNA23" s="204"/>
      <c r="TNB23" s="204"/>
      <c r="TNC23" s="204"/>
      <c r="TND23" s="204"/>
      <c r="TNE23" s="204"/>
      <c r="TNF23" s="204"/>
      <c r="TNG23" s="204"/>
      <c r="TNH23" s="204"/>
      <c r="TNI23" s="204"/>
      <c r="TNJ23" s="204"/>
      <c r="TNK23" s="204"/>
      <c r="TNL23" s="204"/>
      <c r="TNM23" s="204"/>
      <c r="TNN23" s="204"/>
      <c r="TNO23" s="204"/>
      <c r="TNP23" s="204"/>
      <c r="TNQ23" s="204"/>
      <c r="TNR23" s="204"/>
      <c r="TNS23" s="204"/>
      <c r="TNT23" s="204"/>
      <c r="TNU23" s="204"/>
      <c r="TNV23" s="204"/>
      <c r="TNW23" s="204"/>
      <c r="TNX23" s="204"/>
      <c r="TNY23" s="204"/>
      <c r="TNZ23" s="204"/>
      <c r="TOA23" s="204"/>
      <c r="TOB23" s="204"/>
      <c r="TOC23" s="204"/>
      <c r="TOD23" s="204"/>
      <c r="TOE23" s="204"/>
      <c r="TOF23" s="204"/>
      <c r="TOG23" s="204"/>
      <c r="TOH23" s="204"/>
      <c r="TOI23" s="204"/>
      <c r="TOJ23" s="204"/>
      <c r="TOK23" s="204"/>
      <c r="TOL23" s="204"/>
      <c r="TOM23" s="204"/>
      <c r="TON23" s="204"/>
      <c r="TOO23" s="204"/>
      <c r="TOP23" s="204"/>
      <c r="TOQ23" s="204"/>
      <c r="TOR23" s="204"/>
      <c r="TOS23" s="204"/>
      <c r="TOT23" s="204"/>
      <c r="TOU23" s="204"/>
      <c r="TOV23" s="204"/>
      <c r="TOW23" s="204"/>
      <c r="TOX23" s="204"/>
      <c r="TOY23" s="204"/>
      <c r="TOZ23" s="204"/>
      <c r="TPA23" s="204"/>
      <c r="TPB23" s="204"/>
      <c r="TPC23" s="204"/>
      <c r="TPD23" s="204"/>
      <c r="TPE23" s="204"/>
      <c r="TPF23" s="204"/>
      <c r="TPG23" s="204"/>
      <c r="TPH23" s="204"/>
      <c r="TPI23" s="204"/>
      <c r="TPJ23" s="204"/>
      <c r="TPK23" s="204"/>
      <c r="TPL23" s="204"/>
      <c r="TPM23" s="204"/>
      <c r="TPN23" s="204"/>
      <c r="TPO23" s="204"/>
      <c r="TPP23" s="204"/>
      <c r="TPQ23" s="204"/>
      <c r="TPR23" s="204"/>
      <c r="TPS23" s="204"/>
      <c r="TPT23" s="204"/>
      <c r="TPU23" s="204"/>
      <c r="TPV23" s="204"/>
      <c r="TPW23" s="204"/>
      <c r="TPX23" s="204"/>
      <c r="TPY23" s="204"/>
      <c r="TPZ23" s="204"/>
      <c r="TQA23" s="204"/>
      <c r="TQB23" s="204"/>
      <c r="TQC23" s="204"/>
      <c r="TQD23" s="204"/>
      <c r="TQE23" s="204"/>
      <c r="TQF23" s="204"/>
      <c r="TQG23" s="204"/>
      <c r="TQH23" s="204"/>
      <c r="TQI23" s="204"/>
      <c r="TQJ23" s="204"/>
      <c r="TQK23" s="204"/>
      <c r="TQL23" s="204"/>
      <c r="TQM23" s="204"/>
      <c r="TQN23" s="204"/>
      <c r="TQO23" s="204"/>
      <c r="TQP23" s="204"/>
      <c r="TQQ23" s="204"/>
      <c r="TQR23" s="204"/>
      <c r="TQS23" s="204"/>
      <c r="TQT23" s="204"/>
      <c r="TQU23" s="204"/>
      <c r="TQV23" s="204"/>
      <c r="TQW23" s="204"/>
      <c r="TQX23" s="204"/>
      <c r="TQY23" s="204"/>
      <c r="TQZ23" s="204"/>
      <c r="TRA23" s="204"/>
      <c r="TRB23" s="204"/>
      <c r="TRC23" s="204"/>
      <c r="TRD23" s="204"/>
      <c r="TRE23" s="204"/>
      <c r="TRF23" s="204"/>
      <c r="TRG23" s="204"/>
      <c r="TRH23" s="204"/>
      <c r="TRI23" s="204"/>
      <c r="TRJ23" s="204"/>
      <c r="TRK23" s="204"/>
      <c r="TRL23" s="204"/>
      <c r="TRM23" s="204"/>
      <c r="TRN23" s="204"/>
      <c r="TRO23" s="204"/>
      <c r="TRP23" s="204"/>
      <c r="TRQ23" s="204"/>
      <c r="TRR23" s="204"/>
      <c r="TRS23" s="204"/>
      <c r="TRT23" s="204"/>
      <c r="TRU23" s="204"/>
      <c r="TRV23" s="204"/>
      <c r="TRW23" s="204"/>
      <c r="TRX23" s="204"/>
      <c r="TRY23" s="204"/>
      <c r="TRZ23" s="204"/>
      <c r="TSA23" s="204"/>
      <c r="TSB23" s="204"/>
      <c r="TSC23" s="204"/>
      <c r="TSD23" s="204"/>
      <c r="TSE23" s="204"/>
      <c r="TSF23" s="204"/>
      <c r="TSG23" s="204"/>
      <c r="TSH23" s="204"/>
      <c r="TSI23" s="204"/>
      <c r="TSJ23" s="204"/>
      <c r="TSK23" s="204"/>
      <c r="TSL23" s="204"/>
      <c r="TSM23" s="204"/>
      <c r="TSN23" s="204"/>
      <c r="TSO23" s="204"/>
      <c r="TSP23" s="204"/>
      <c r="TSQ23" s="204"/>
      <c r="TSR23" s="204"/>
      <c r="TSS23" s="204"/>
      <c r="TST23" s="204"/>
      <c r="TSU23" s="204"/>
      <c r="TSV23" s="204"/>
      <c r="TSW23" s="204"/>
      <c r="TSX23" s="204"/>
      <c r="TSY23" s="204"/>
      <c r="TSZ23" s="204"/>
      <c r="TTA23" s="204"/>
      <c r="TTB23" s="204"/>
      <c r="TTC23" s="204"/>
      <c r="TTD23" s="204"/>
      <c r="TTE23" s="204"/>
      <c r="TTF23" s="204"/>
      <c r="TTG23" s="204"/>
      <c r="TTH23" s="204"/>
      <c r="TTI23" s="204"/>
      <c r="TTJ23" s="204"/>
      <c r="TTK23" s="204"/>
      <c r="TTL23" s="204"/>
      <c r="TTM23" s="204"/>
      <c r="TTN23" s="204"/>
      <c r="TTO23" s="204"/>
      <c r="TTP23" s="204"/>
      <c r="TTQ23" s="204"/>
      <c r="TTR23" s="204"/>
      <c r="TTS23" s="204"/>
      <c r="TTT23" s="204"/>
      <c r="TTU23" s="204"/>
      <c r="TTV23" s="204"/>
      <c r="TTW23" s="204"/>
      <c r="TTX23" s="204"/>
      <c r="TTY23" s="204"/>
      <c r="TTZ23" s="204"/>
      <c r="TUA23" s="204"/>
      <c r="TUB23" s="204"/>
      <c r="TUC23" s="204"/>
      <c r="TUD23" s="204"/>
      <c r="TUE23" s="204"/>
      <c r="TUF23" s="204"/>
      <c r="TUG23" s="204"/>
      <c r="TUH23" s="204"/>
      <c r="TUI23" s="204"/>
      <c r="TUJ23" s="204"/>
      <c r="TUK23" s="204"/>
      <c r="TUL23" s="204"/>
      <c r="TUM23" s="204"/>
      <c r="TUN23" s="204"/>
      <c r="TUO23" s="204"/>
      <c r="TUP23" s="204"/>
      <c r="TUQ23" s="204"/>
      <c r="TUR23" s="204"/>
      <c r="TUS23" s="204"/>
      <c r="TUT23" s="204"/>
      <c r="TUU23" s="204"/>
      <c r="TUV23" s="204"/>
      <c r="TUW23" s="204"/>
      <c r="TUX23" s="204"/>
      <c r="TUY23" s="204"/>
      <c r="TUZ23" s="204"/>
      <c r="TVA23" s="204"/>
      <c r="TVB23" s="204"/>
      <c r="TVC23" s="204"/>
      <c r="TVD23" s="204"/>
      <c r="TVE23" s="204"/>
      <c r="TVF23" s="204"/>
      <c r="TVG23" s="204"/>
      <c r="TVH23" s="204"/>
      <c r="TVI23" s="204"/>
      <c r="TVJ23" s="204"/>
      <c r="TVK23" s="204"/>
      <c r="TVL23" s="204"/>
      <c r="TVM23" s="204"/>
      <c r="TVN23" s="204"/>
      <c r="TVO23" s="204"/>
      <c r="TVP23" s="204"/>
      <c r="TVQ23" s="204"/>
      <c r="TVR23" s="204"/>
      <c r="TVS23" s="204"/>
      <c r="TVT23" s="204"/>
      <c r="TVU23" s="204"/>
      <c r="TVV23" s="204"/>
      <c r="TVW23" s="204"/>
      <c r="TVX23" s="204"/>
      <c r="TVY23" s="204"/>
      <c r="TVZ23" s="204"/>
      <c r="TWA23" s="204"/>
      <c r="TWB23" s="204"/>
      <c r="TWC23" s="204"/>
      <c r="TWD23" s="204"/>
      <c r="TWE23" s="204"/>
      <c r="TWF23" s="204"/>
      <c r="TWG23" s="204"/>
      <c r="TWH23" s="204"/>
      <c r="TWI23" s="204"/>
      <c r="TWJ23" s="204"/>
      <c r="TWK23" s="204"/>
      <c r="TWL23" s="204"/>
      <c r="TWM23" s="204"/>
      <c r="TWN23" s="204"/>
      <c r="TWO23" s="204"/>
      <c r="TWP23" s="204"/>
      <c r="TWQ23" s="204"/>
      <c r="TWR23" s="204"/>
      <c r="TWS23" s="204"/>
      <c r="TWT23" s="204"/>
      <c r="TWU23" s="204"/>
      <c r="TWV23" s="204"/>
      <c r="TWW23" s="204"/>
      <c r="TWX23" s="204"/>
      <c r="TWY23" s="204"/>
      <c r="TWZ23" s="204"/>
      <c r="TXA23" s="204"/>
      <c r="TXB23" s="204"/>
      <c r="TXC23" s="204"/>
      <c r="TXD23" s="204"/>
      <c r="TXE23" s="204"/>
      <c r="TXF23" s="204"/>
      <c r="TXG23" s="204"/>
      <c r="TXH23" s="204"/>
      <c r="TXI23" s="204"/>
      <c r="TXJ23" s="204"/>
      <c r="TXK23" s="204"/>
      <c r="TXL23" s="204"/>
      <c r="TXM23" s="204"/>
      <c r="TXN23" s="204"/>
      <c r="TXO23" s="204"/>
      <c r="TXP23" s="204"/>
      <c r="TXQ23" s="204"/>
      <c r="TXR23" s="204"/>
      <c r="TXS23" s="204"/>
      <c r="TXT23" s="204"/>
      <c r="TXU23" s="204"/>
      <c r="TXV23" s="204"/>
      <c r="TXW23" s="204"/>
      <c r="TXX23" s="204"/>
      <c r="TXY23" s="204"/>
      <c r="TXZ23" s="204"/>
      <c r="TYA23" s="204"/>
      <c r="TYB23" s="204"/>
      <c r="TYC23" s="204"/>
      <c r="TYD23" s="204"/>
      <c r="TYE23" s="204"/>
      <c r="TYF23" s="204"/>
      <c r="TYG23" s="204"/>
      <c r="TYH23" s="204"/>
      <c r="TYI23" s="204"/>
      <c r="TYJ23" s="204"/>
      <c r="TYK23" s="204"/>
      <c r="TYL23" s="204"/>
      <c r="TYM23" s="204"/>
      <c r="TYN23" s="204"/>
      <c r="TYO23" s="204"/>
      <c r="TYP23" s="204"/>
      <c r="TYQ23" s="204"/>
      <c r="TYR23" s="204"/>
      <c r="TYS23" s="204"/>
      <c r="TYT23" s="204"/>
      <c r="TYU23" s="204"/>
      <c r="TYV23" s="204"/>
      <c r="TYW23" s="204"/>
      <c r="TYX23" s="204"/>
      <c r="TYY23" s="204"/>
      <c r="TYZ23" s="204"/>
      <c r="TZA23" s="204"/>
      <c r="TZB23" s="204"/>
      <c r="TZC23" s="204"/>
      <c r="TZD23" s="204"/>
      <c r="TZE23" s="204"/>
      <c r="TZF23" s="204"/>
      <c r="TZG23" s="204"/>
      <c r="TZH23" s="204"/>
      <c r="TZI23" s="204"/>
      <c r="TZJ23" s="204"/>
      <c r="TZK23" s="204"/>
      <c r="TZL23" s="204"/>
      <c r="TZM23" s="204"/>
      <c r="TZN23" s="204"/>
      <c r="TZO23" s="204"/>
      <c r="TZP23" s="204"/>
      <c r="TZQ23" s="204"/>
      <c r="TZR23" s="204"/>
      <c r="TZS23" s="204"/>
      <c r="TZT23" s="204"/>
      <c r="TZU23" s="204"/>
      <c r="TZV23" s="204"/>
      <c r="TZW23" s="204"/>
      <c r="TZX23" s="204"/>
      <c r="TZY23" s="204"/>
      <c r="TZZ23" s="204"/>
      <c r="UAA23" s="204"/>
      <c r="UAB23" s="204"/>
      <c r="UAC23" s="204"/>
      <c r="UAD23" s="204"/>
      <c r="UAE23" s="204"/>
      <c r="UAF23" s="204"/>
      <c r="UAG23" s="204"/>
      <c r="UAH23" s="204"/>
      <c r="UAI23" s="204"/>
      <c r="UAJ23" s="204"/>
      <c r="UAK23" s="204"/>
      <c r="UAL23" s="204"/>
      <c r="UAM23" s="204"/>
      <c r="UAN23" s="204"/>
      <c r="UAO23" s="204"/>
      <c r="UAP23" s="204"/>
      <c r="UAQ23" s="204"/>
      <c r="UAR23" s="204"/>
      <c r="UAS23" s="204"/>
      <c r="UAT23" s="204"/>
      <c r="UAU23" s="204"/>
      <c r="UAV23" s="204"/>
      <c r="UAW23" s="204"/>
      <c r="UAX23" s="204"/>
      <c r="UAY23" s="204"/>
      <c r="UAZ23" s="204"/>
      <c r="UBA23" s="204"/>
      <c r="UBB23" s="204"/>
      <c r="UBC23" s="204"/>
      <c r="UBD23" s="204"/>
      <c r="UBE23" s="204"/>
      <c r="UBF23" s="204"/>
      <c r="UBG23" s="204"/>
      <c r="UBH23" s="204"/>
      <c r="UBI23" s="204"/>
      <c r="UBJ23" s="204"/>
      <c r="UBK23" s="204"/>
      <c r="UBL23" s="204"/>
      <c r="UBM23" s="204"/>
      <c r="UBN23" s="204"/>
      <c r="UBO23" s="204"/>
      <c r="UBP23" s="204"/>
      <c r="UBQ23" s="204"/>
      <c r="UBR23" s="204"/>
      <c r="UBS23" s="204"/>
      <c r="UBT23" s="204"/>
      <c r="UBU23" s="204"/>
      <c r="UBV23" s="204"/>
      <c r="UBW23" s="204"/>
      <c r="UBX23" s="204"/>
      <c r="UBY23" s="204"/>
      <c r="UBZ23" s="204"/>
      <c r="UCA23" s="204"/>
      <c r="UCB23" s="204"/>
      <c r="UCC23" s="204"/>
      <c r="UCD23" s="204"/>
      <c r="UCE23" s="204"/>
      <c r="UCF23" s="204"/>
      <c r="UCG23" s="204"/>
      <c r="UCH23" s="204"/>
      <c r="UCI23" s="204"/>
      <c r="UCJ23" s="204"/>
      <c r="UCK23" s="204"/>
      <c r="UCL23" s="204"/>
      <c r="UCM23" s="204"/>
      <c r="UCN23" s="204"/>
      <c r="UCO23" s="204"/>
      <c r="UCP23" s="204"/>
      <c r="UCQ23" s="204"/>
      <c r="UCR23" s="204"/>
      <c r="UCS23" s="204"/>
      <c r="UCT23" s="204"/>
      <c r="UCU23" s="204"/>
      <c r="UCV23" s="204"/>
      <c r="UCW23" s="204"/>
      <c r="UCX23" s="204"/>
      <c r="UCY23" s="204"/>
      <c r="UCZ23" s="204"/>
      <c r="UDA23" s="204"/>
      <c r="UDB23" s="204"/>
      <c r="UDC23" s="204"/>
      <c r="UDD23" s="204"/>
      <c r="UDE23" s="204"/>
      <c r="UDF23" s="204"/>
      <c r="UDG23" s="204"/>
      <c r="UDH23" s="204"/>
      <c r="UDI23" s="204"/>
      <c r="UDJ23" s="204"/>
      <c r="UDK23" s="204"/>
      <c r="UDL23" s="204"/>
      <c r="UDM23" s="204"/>
      <c r="UDN23" s="204"/>
      <c r="UDO23" s="204"/>
      <c r="UDP23" s="204"/>
      <c r="UDQ23" s="204"/>
      <c r="UDR23" s="204"/>
      <c r="UDS23" s="204"/>
      <c r="UDT23" s="204"/>
      <c r="UDU23" s="204"/>
      <c r="UDV23" s="204"/>
      <c r="UDW23" s="204"/>
      <c r="UDX23" s="204"/>
      <c r="UDY23" s="204"/>
      <c r="UDZ23" s="204"/>
      <c r="UEA23" s="204"/>
      <c r="UEB23" s="204"/>
      <c r="UEC23" s="204"/>
      <c r="UED23" s="204"/>
      <c r="UEE23" s="204"/>
      <c r="UEF23" s="204"/>
      <c r="UEG23" s="204"/>
      <c r="UEH23" s="204"/>
      <c r="UEI23" s="204"/>
      <c r="UEJ23" s="204"/>
      <c r="UEK23" s="204"/>
      <c r="UEL23" s="204"/>
      <c r="UEM23" s="204"/>
      <c r="UEN23" s="204"/>
      <c r="UEO23" s="204"/>
      <c r="UEP23" s="204"/>
      <c r="UEQ23" s="204"/>
      <c r="UER23" s="204"/>
      <c r="UES23" s="204"/>
      <c r="UET23" s="204"/>
      <c r="UEU23" s="204"/>
      <c r="UEV23" s="204"/>
      <c r="UEW23" s="204"/>
      <c r="UEX23" s="204"/>
      <c r="UEY23" s="204"/>
      <c r="UEZ23" s="204"/>
      <c r="UFA23" s="204"/>
      <c r="UFB23" s="204"/>
      <c r="UFC23" s="204"/>
      <c r="UFD23" s="204"/>
      <c r="UFE23" s="204"/>
      <c r="UFF23" s="204"/>
      <c r="UFG23" s="204"/>
      <c r="UFH23" s="204"/>
      <c r="UFI23" s="204"/>
      <c r="UFJ23" s="204"/>
      <c r="UFK23" s="204"/>
      <c r="UFL23" s="204"/>
      <c r="UFM23" s="204"/>
      <c r="UFN23" s="204"/>
      <c r="UFO23" s="204"/>
      <c r="UFP23" s="204"/>
      <c r="UFQ23" s="204"/>
      <c r="UFR23" s="204"/>
      <c r="UFS23" s="204"/>
      <c r="UFT23" s="204"/>
      <c r="UFU23" s="204"/>
      <c r="UFV23" s="204"/>
      <c r="UFW23" s="204"/>
      <c r="UFX23" s="204"/>
      <c r="UFY23" s="204"/>
      <c r="UFZ23" s="204"/>
      <c r="UGA23" s="204"/>
      <c r="UGB23" s="204"/>
      <c r="UGC23" s="204"/>
      <c r="UGD23" s="204"/>
      <c r="UGE23" s="204"/>
      <c r="UGF23" s="204"/>
      <c r="UGG23" s="204"/>
      <c r="UGH23" s="204"/>
      <c r="UGI23" s="204"/>
      <c r="UGJ23" s="204"/>
      <c r="UGK23" s="204"/>
      <c r="UGL23" s="204"/>
      <c r="UGM23" s="204"/>
      <c r="UGN23" s="204"/>
      <c r="UGO23" s="204"/>
      <c r="UGP23" s="204"/>
      <c r="UGQ23" s="204"/>
      <c r="UGR23" s="204"/>
      <c r="UGS23" s="204"/>
      <c r="UGT23" s="204"/>
      <c r="UGU23" s="204"/>
      <c r="UGV23" s="204"/>
      <c r="UGW23" s="204"/>
      <c r="UGX23" s="204"/>
      <c r="UGY23" s="204"/>
      <c r="UGZ23" s="204"/>
      <c r="UHA23" s="204"/>
      <c r="UHB23" s="204"/>
      <c r="UHC23" s="204"/>
      <c r="UHD23" s="204"/>
      <c r="UHE23" s="204"/>
      <c r="UHF23" s="204"/>
      <c r="UHG23" s="204"/>
      <c r="UHH23" s="204"/>
      <c r="UHI23" s="204"/>
      <c r="UHJ23" s="204"/>
      <c r="UHK23" s="204"/>
      <c r="UHL23" s="204"/>
      <c r="UHM23" s="204"/>
      <c r="UHN23" s="204"/>
      <c r="UHO23" s="204"/>
      <c r="UHP23" s="204"/>
      <c r="UHQ23" s="204"/>
      <c r="UHR23" s="204"/>
      <c r="UHS23" s="204"/>
      <c r="UHT23" s="204"/>
      <c r="UHU23" s="204"/>
      <c r="UHV23" s="204"/>
      <c r="UHW23" s="204"/>
      <c r="UHX23" s="204"/>
      <c r="UHY23" s="204"/>
      <c r="UHZ23" s="204"/>
      <c r="UIA23" s="204"/>
      <c r="UIB23" s="204"/>
      <c r="UIC23" s="204"/>
      <c r="UID23" s="204"/>
      <c r="UIE23" s="204"/>
      <c r="UIF23" s="204"/>
      <c r="UIG23" s="204"/>
      <c r="UIH23" s="204"/>
      <c r="UII23" s="204"/>
      <c r="UIJ23" s="204"/>
      <c r="UIK23" s="204"/>
      <c r="UIL23" s="204"/>
      <c r="UIM23" s="204"/>
      <c r="UIN23" s="204"/>
      <c r="UIO23" s="204"/>
      <c r="UIP23" s="204"/>
      <c r="UIQ23" s="204"/>
      <c r="UIR23" s="204"/>
      <c r="UIS23" s="204"/>
      <c r="UIT23" s="204"/>
      <c r="UIU23" s="204"/>
      <c r="UIV23" s="204"/>
      <c r="UIW23" s="204"/>
      <c r="UIX23" s="204"/>
      <c r="UIY23" s="204"/>
      <c r="UIZ23" s="204"/>
      <c r="UJA23" s="204"/>
      <c r="UJB23" s="204"/>
      <c r="UJC23" s="204"/>
      <c r="UJD23" s="204"/>
      <c r="UJE23" s="204"/>
      <c r="UJF23" s="204"/>
      <c r="UJG23" s="204"/>
      <c r="UJH23" s="204"/>
      <c r="UJI23" s="204"/>
      <c r="UJJ23" s="204"/>
      <c r="UJK23" s="204"/>
      <c r="UJL23" s="204"/>
      <c r="UJM23" s="204"/>
      <c r="UJN23" s="204"/>
      <c r="UJO23" s="204"/>
      <c r="UJP23" s="204"/>
      <c r="UJQ23" s="204"/>
      <c r="UJR23" s="204"/>
      <c r="UJS23" s="204"/>
      <c r="UJT23" s="204"/>
      <c r="UJU23" s="204"/>
      <c r="UJV23" s="204"/>
      <c r="UJW23" s="204"/>
      <c r="UJX23" s="204"/>
      <c r="UJY23" s="204"/>
      <c r="UJZ23" s="204"/>
      <c r="UKA23" s="204"/>
      <c r="UKB23" s="204"/>
      <c r="UKC23" s="204"/>
      <c r="UKD23" s="204"/>
      <c r="UKE23" s="204"/>
      <c r="UKF23" s="204"/>
      <c r="UKG23" s="204"/>
      <c r="UKH23" s="204"/>
      <c r="UKI23" s="204"/>
      <c r="UKJ23" s="204"/>
      <c r="UKK23" s="204"/>
      <c r="UKL23" s="204"/>
      <c r="UKM23" s="204"/>
      <c r="UKN23" s="204"/>
      <c r="UKO23" s="204"/>
      <c r="UKP23" s="204"/>
      <c r="UKQ23" s="204"/>
      <c r="UKR23" s="204"/>
      <c r="UKS23" s="204"/>
      <c r="UKT23" s="204"/>
      <c r="UKU23" s="204"/>
      <c r="UKV23" s="204"/>
      <c r="UKW23" s="204"/>
      <c r="UKX23" s="204"/>
      <c r="UKY23" s="204"/>
      <c r="UKZ23" s="204"/>
      <c r="ULA23" s="204"/>
      <c r="ULB23" s="204"/>
      <c r="ULC23" s="204"/>
      <c r="ULD23" s="204"/>
      <c r="ULE23" s="204"/>
      <c r="ULF23" s="204"/>
      <c r="ULG23" s="204"/>
      <c r="ULH23" s="204"/>
      <c r="ULI23" s="204"/>
      <c r="ULJ23" s="204"/>
      <c r="ULK23" s="204"/>
      <c r="ULL23" s="204"/>
      <c r="ULM23" s="204"/>
      <c r="ULN23" s="204"/>
      <c r="ULO23" s="204"/>
      <c r="ULP23" s="204"/>
      <c r="ULQ23" s="204"/>
      <c r="ULR23" s="204"/>
      <c r="ULS23" s="204"/>
      <c r="ULT23" s="204"/>
      <c r="ULU23" s="204"/>
      <c r="ULV23" s="204"/>
      <c r="ULW23" s="204"/>
      <c r="ULX23" s="204"/>
      <c r="ULY23" s="204"/>
      <c r="ULZ23" s="204"/>
      <c r="UMA23" s="204"/>
      <c r="UMB23" s="204"/>
      <c r="UMC23" s="204"/>
      <c r="UMD23" s="204"/>
      <c r="UME23" s="204"/>
      <c r="UMF23" s="204"/>
      <c r="UMG23" s="204"/>
      <c r="UMH23" s="204"/>
      <c r="UMI23" s="204"/>
      <c r="UMJ23" s="204"/>
      <c r="UMK23" s="204"/>
      <c r="UML23" s="204"/>
      <c r="UMM23" s="204"/>
      <c r="UMN23" s="204"/>
      <c r="UMO23" s="204"/>
      <c r="UMP23" s="204"/>
      <c r="UMQ23" s="204"/>
      <c r="UMR23" s="204"/>
      <c r="UMS23" s="204"/>
      <c r="UMT23" s="204"/>
      <c r="UMU23" s="204"/>
      <c r="UMV23" s="204"/>
      <c r="UMW23" s="204"/>
      <c r="UMX23" s="204"/>
      <c r="UMY23" s="204"/>
      <c r="UMZ23" s="204"/>
      <c r="UNA23" s="204"/>
      <c r="UNB23" s="204"/>
      <c r="UNC23" s="204"/>
      <c r="UND23" s="204"/>
      <c r="UNE23" s="204"/>
      <c r="UNF23" s="204"/>
      <c r="UNG23" s="204"/>
      <c r="UNH23" s="204"/>
      <c r="UNI23" s="204"/>
      <c r="UNJ23" s="204"/>
      <c r="UNK23" s="204"/>
      <c r="UNL23" s="204"/>
      <c r="UNM23" s="204"/>
      <c r="UNN23" s="204"/>
      <c r="UNO23" s="204"/>
      <c r="UNP23" s="204"/>
      <c r="UNQ23" s="204"/>
      <c r="UNR23" s="204"/>
      <c r="UNS23" s="204"/>
      <c r="UNT23" s="204"/>
      <c r="UNU23" s="204"/>
      <c r="UNV23" s="204"/>
      <c r="UNW23" s="204"/>
      <c r="UNX23" s="204"/>
      <c r="UNY23" s="204"/>
      <c r="UNZ23" s="204"/>
      <c r="UOA23" s="204"/>
      <c r="UOB23" s="204"/>
      <c r="UOC23" s="204"/>
      <c r="UOD23" s="204"/>
      <c r="UOE23" s="204"/>
      <c r="UOF23" s="204"/>
      <c r="UOG23" s="204"/>
      <c r="UOH23" s="204"/>
      <c r="UOI23" s="204"/>
      <c r="UOJ23" s="204"/>
      <c r="UOK23" s="204"/>
      <c r="UOL23" s="204"/>
      <c r="UOM23" s="204"/>
      <c r="UON23" s="204"/>
      <c r="UOO23" s="204"/>
      <c r="UOP23" s="204"/>
      <c r="UOQ23" s="204"/>
      <c r="UOR23" s="204"/>
      <c r="UOS23" s="204"/>
      <c r="UOT23" s="204"/>
      <c r="UOU23" s="204"/>
      <c r="UOV23" s="204"/>
      <c r="UOW23" s="204"/>
      <c r="UOX23" s="204"/>
      <c r="UOY23" s="204"/>
      <c r="UOZ23" s="204"/>
      <c r="UPA23" s="204"/>
      <c r="UPB23" s="204"/>
      <c r="UPC23" s="204"/>
      <c r="UPD23" s="204"/>
      <c r="UPE23" s="204"/>
      <c r="UPF23" s="204"/>
      <c r="UPG23" s="204"/>
      <c r="UPH23" s="204"/>
      <c r="UPI23" s="204"/>
      <c r="UPJ23" s="204"/>
      <c r="UPK23" s="204"/>
      <c r="UPL23" s="204"/>
      <c r="UPM23" s="204"/>
      <c r="UPN23" s="204"/>
      <c r="UPO23" s="204"/>
      <c r="UPP23" s="204"/>
      <c r="UPQ23" s="204"/>
      <c r="UPR23" s="204"/>
      <c r="UPS23" s="204"/>
      <c r="UPT23" s="204"/>
      <c r="UPU23" s="204"/>
      <c r="UPV23" s="204"/>
      <c r="UPW23" s="204"/>
      <c r="UPX23" s="204"/>
      <c r="UPY23" s="204"/>
      <c r="UPZ23" s="204"/>
      <c r="UQA23" s="204"/>
      <c r="UQB23" s="204"/>
      <c r="UQC23" s="204"/>
      <c r="UQD23" s="204"/>
      <c r="UQE23" s="204"/>
      <c r="UQF23" s="204"/>
      <c r="UQG23" s="204"/>
      <c r="UQH23" s="204"/>
      <c r="UQI23" s="204"/>
      <c r="UQJ23" s="204"/>
      <c r="UQK23" s="204"/>
      <c r="UQL23" s="204"/>
      <c r="UQM23" s="204"/>
      <c r="UQN23" s="204"/>
      <c r="UQO23" s="204"/>
      <c r="UQP23" s="204"/>
      <c r="UQQ23" s="204"/>
      <c r="UQR23" s="204"/>
      <c r="UQS23" s="204"/>
      <c r="UQT23" s="204"/>
      <c r="UQU23" s="204"/>
      <c r="UQV23" s="204"/>
      <c r="UQW23" s="204"/>
      <c r="UQX23" s="204"/>
      <c r="UQY23" s="204"/>
      <c r="UQZ23" s="204"/>
      <c r="URA23" s="204"/>
      <c r="URB23" s="204"/>
      <c r="URC23" s="204"/>
      <c r="URD23" s="204"/>
      <c r="URE23" s="204"/>
      <c r="URF23" s="204"/>
      <c r="URG23" s="204"/>
      <c r="URH23" s="204"/>
      <c r="URI23" s="204"/>
      <c r="URJ23" s="204"/>
      <c r="URK23" s="204"/>
      <c r="URL23" s="204"/>
      <c r="URM23" s="204"/>
      <c r="URN23" s="204"/>
      <c r="URO23" s="204"/>
      <c r="URP23" s="204"/>
      <c r="URQ23" s="204"/>
      <c r="URR23" s="204"/>
      <c r="URS23" s="204"/>
      <c r="URT23" s="204"/>
      <c r="URU23" s="204"/>
      <c r="URV23" s="204"/>
      <c r="URW23" s="204"/>
      <c r="URX23" s="204"/>
      <c r="URY23" s="204"/>
      <c r="URZ23" s="204"/>
      <c r="USA23" s="204"/>
      <c r="USB23" s="204"/>
      <c r="USC23" s="204"/>
      <c r="USD23" s="204"/>
      <c r="USE23" s="204"/>
      <c r="USF23" s="204"/>
      <c r="USG23" s="204"/>
      <c r="USH23" s="204"/>
      <c r="USI23" s="204"/>
      <c r="USJ23" s="204"/>
      <c r="USK23" s="204"/>
      <c r="USL23" s="204"/>
      <c r="USM23" s="204"/>
      <c r="USN23" s="204"/>
      <c r="USO23" s="204"/>
      <c r="USP23" s="204"/>
      <c r="USQ23" s="204"/>
      <c r="USR23" s="204"/>
      <c r="USS23" s="204"/>
      <c r="UST23" s="204"/>
      <c r="USU23" s="204"/>
      <c r="USV23" s="204"/>
      <c r="USW23" s="204"/>
      <c r="USX23" s="204"/>
      <c r="USY23" s="204"/>
      <c r="USZ23" s="204"/>
      <c r="UTA23" s="204"/>
      <c r="UTB23" s="204"/>
      <c r="UTC23" s="204"/>
      <c r="UTD23" s="204"/>
      <c r="UTE23" s="204"/>
      <c r="UTF23" s="204"/>
      <c r="UTG23" s="204"/>
      <c r="UTH23" s="204"/>
      <c r="UTI23" s="204"/>
      <c r="UTJ23" s="204"/>
      <c r="UTK23" s="204"/>
      <c r="UTL23" s="204"/>
      <c r="UTM23" s="204"/>
      <c r="UTN23" s="204"/>
      <c r="UTO23" s="204"/>
      <c r="UTP23" s="204"/>
      <c r="UTQ23" s="204"/>
      <c r="UTR23" s="204"/>
      <c r="UTS23" s="204"/>
      <c r="UTT23" s="204"/>
      <c r="UTU23" s="204"/>
      <c r="UTV23" s="204"/>
      <c r="UTW23" s="204"/>
      <c r="UTX23" s="204"/>
      <c r="UTY23" s="204"/>
      <c r="UTZ23" s="204"/>
      <c r="UUA23" s="204"/>
      <c r="UUB23" s="204"/>
      <c r="UUC23" s="204"/>
      <c r="UUD23" s="204"/>
      <c r="UUE23" s="204"/>
      <c r="UUF23" s="204"/>
      <c r="UUG23" s="204"/>
      <c r="UUH23" s="204"/>
      <c r="UUI23" s="204"/>
      <c r="UUJ23" s="204"/>
      <c r="UUK23" s="204"/>
      <c r="UUL23" s="204"/>
      <c r="UUM23" s="204"/>
      <c r="UUN23" s="204"/>
      <c r="UUO23" s="204"/>
      <c r="UUP23" s="204"/>
      <c r="UUQ23" s="204"/>
      <c r="UUR23" s="204"/>
      <c r="UUS23" s="204"/>
      <c r="UUT23" s="204"/>
      <c r="UUU23" s="204"/>
      <c r="UUV23" s="204"/>
      <c r="UUW23" s="204"/>
      <c r="UUX23" s="204"/>
      <c r="UUY23" s="204"/>
      <c r="UUZ23" s="204"/>
      <c r="UVA23" s="204"/>
      <c r="UVB23" s="204"/>
      <c r="UVC23" s="204"/>
      <c r="UVD23" s="204"/>
      <c r="UVE23" s="204"/>
      <c r="UVF23" s="204"/>
      <c r="UVG23" s="204"/>
      <c r="UVH23" s="204"/>
      <c r="UVI23" s="204"/>
      <c r="UVJ23" s="204"/>
      <c r="UVK23" s="204"/>
      <c r="UVL23" s="204"/>
      <c r="UVM23" s="204"/>
      <c r="UVN23" s="204"/>
      <c r="UVO23" s="204"/>
      <c r="UVP23" s="204"/>
      <c r="UVQ23" s="204"/>
      <c r="UVR23" s="204"/>
      <c r="UVS23" s="204"/>
      <c r="UVT23" s="204"/>
      <c r="UVU23" s="204"/>
      <c r="UVV23" s="204"/>
      <c r="UVW23" s="204"/>
      <c r="UVX23" s="204"/>
      <c r="UVY23" s="204"/>
      <c r="UVZ23" s="204"/>
      <c r="UWA23" s="204"/>
      <c r="UWB23" s="204"/>
      <c r="UWC23" s="204"/>
      <c r="UWD23" s="204"/>
      <c r="UWE23" s="204"/>
      <c r="UWF23" s="204"/>
      <c r="UWG23" s="204"/>
      <c r="UWH23" s="204"/>
      <c r="UWI23" s="204"/>
      <c r="UWJ23" s="204"/>
      <c r="UWK23" s="204"/>
      <c r="UWL23" s="204"/>
      <c r="UWM23" s="204"/>
      <c r="UWN23" s="204"/>
      <c r="UWO23" s="204"/>
      <c r="UWP23" s="204"/>
      <c r="UWQ23" s="204"/>
      <c r="UWR23" s="204"/>
      <c r="UWS23" s="204"/>
      <c r="UWT23" s="204"/>
      <c r="UWU23" s="204"/>
      <c r="UWV23" s="204"/>
      <c r="UWW23" s="204"/>
      <c r="UWX23" s="204"/>
      <c r="UWY23" s="204"/>
      <c r="UWZ23" s="204"/>
      <c r="UXA23" s="204"/>
      <c r="UXB23" s="204"/>
      <c r="UXC23" s="204"/>
      <c r="UXD23" s="204"/>
      <c r="UXE23" s="204"/>
      <c r="UXF23" s="204"/>
      <c r="UXG23" s="204"/>
      <c r="UXH23" s="204"/>
      <c r="UXI23" s="204"/>
      <c r="UXJ23" s="204"/>
      <c r="UXK23" s="204"/>
      <c r="UXL23" s="204"/>
      <c r="UXM23" s="204"/>
      <c r="UXN23" s="204"/>
      <c r="UXO23" s="204"/>
      <c r="UXP23" s="204"/>
      <c r="UXQ23" s="204"/>
      <c r="UXR23" s="204"/>
      <c r="UXS23" s="204"/>
      <c r="UXT23" s="204"/>
      <c r="UXU23" s="204"/>
      <c r="UXV23" s="204"/>
      <c r="UXW23" s="204"/>
      <c r="UXX23" s="204"/>
      <c r="UXY23" s="204"/>
      <c r="UXZ23" s="204"/>
      <c r="UYA23" s="204"/>
      <c r="UYB23" s="204"/>
      <c r="UYC23" s="204"/>
      <c r="UYD23" s="204"/>
      <c r="UYE23" s="204"/>
      <c r="UYF23" s="204"/>
      <c r="UYG23" s="204"/>
      <c r="UYH23" s="204"/>
      <c r="UYI23" s="204"/>
      <c r="UYJ23" s="204"/>
      <c r="UYK23" s="204"/>
      <c r="UYL23" s="204"/>
      <c r="UYM23" s="204"/>
      <c r="UYN23" s="204"/>
      <c r="UYO23" s="204"/>
      <c r="UYP23" s="204"/>
      <c r="UYQ23" s="204"/>
      <c r="UYR23" s="204"/>
      <c r="UYS23" s="204"/>
      <c r="UYT23" s="204"/>
      <c r="UYU23" s="204"/>
      <c r="UYV23" s="204"/>
      <c r="UYW23" s="204"/>
      <c r="UYX23" s="204"/>
      <c r="UYY23" s="204"/>
      <c r="UYZ23" s="204"/>
      <c r="UZA23" s="204"/>
      <c r="UZB23" s="204"/>
      <c r="UZC23" s="204"/>
      <c r="UZD23" s="204"/>
      <c r="UZE23" s="204"/>
      <c r="UZF23" s="204"/>
      <c r="UZG23" s="204"/>
      <c r="UZH23" s="204"/>
      <c r="UZI23" s="204"/>
      <c r="UZJ23" s="204"/>
      <c r="UZK23" s="204"/>
      <c r="UZL23" s="204"/>
      <c r="UZM23" s="204"/>
      <c r="UZN23" s="204"/>
      <c r="UZO23" s="204"/>
      <c r="UZP23" s="204"/>
      <c r="UZQ23" s="204"/>
      <c r="UZR23" s="204"/>
      <c r="UZS23" s="204"/>
      <c r="UZT23" s="204"/>
      <c r="UZU23" s="204"/>
      <c r="UZV23" s="204"/>
      <c r="UZW23" s="204"/>
      <c r="UZX23" s="204"/>
      <c r="UZY23" s="204"/>
      <c r="UZZ23" s="204"/>
      <c r="VAA23" s="204"/>
      <c r="VAB23" s="204"/>
      <c r="VAC23" s="204"/>
      <c r="VAD23" s="204"/>
      <c r="VAE23" s="204"/>
      <c r="VAF23" s="204"/>
      <c r="VAG23" s="204"/>
      <c r="VAH23" s="204"/>
      <c r="VAI23" s="204"/>
      <c r="VAJ23" s="204"/>
      <c r="VAK23" s="204"/>
      <c r="VAL23" s="204"/>
      <c r="VAM23" s="204"/>
      <c r="VAN23" s="204"/>
      <c r="VAO23" s="204"/>
      <c r="VAP23" s="204"/>
      <c r="VAQ23" s="204"/>
      <c r="VAR23" s="204"/>
      <c r="VAS23" s="204"/>
      <c r="VAT23" s="204"/>
      <c r="VAU23" s="204"/>
      <c r="VAV23" s="204"/>
      <c r="VAW23" s="204"/>
      <c r="VAX23" s="204"/>
      <c r="VAY23" s="204"/>
      <c r="VAZ23" s="204"/>
      <c r="VBA23" s="204"/>
      <c r="VBB23" s="204"/>
      <c r="VBC23" s="204"/>
      <c r="VBD23" s="204"/>
      <c r="VBE23" s="204"/>
      <c r="VBF23" s="204"/>
      <c r="VBG23" s="204"/>
      <c r="VBH23" s="204"/>
      <c r="VBI23" s="204"/>
      <c r="VBJ23" s="204"/>
      <c r="VBK23" s="204"/>
      <c r="VBL23" s="204"/>
      <c r="VBM23" s="204"/>
      <c r="VBN23" s="204"/>
      <c r="VBO23" s="204"/>
      <c r="VBP23" s="204"/>
      <c r="VBQ23" s="204"/>
      <c r="VBR23" s="204"/>
      <c r="VBS23" s="204"/>
      <c r="VBT23" s="204"/>
      <c r="VBU23" s="204"/>
      <c r="VBV23" s="204"/>
      <c r="VBW23" s="204"/>
      <c r="VBX23" s="204"/>
      <c r="VBY23" s="204"/>
      <c r="VBZ23" s="204"/>
      <c r="VCA23" s="204"/>
      <c r="VCB23" s="204"/>
      <c r="VCC23" s="204"/>
      <c r="VCD23" s="204"/>
      <c r="VCE23" s="204"/>
      <c r="VCF23" s="204"/>
      <c r="VCG23" s="204"/>
      <c r="VCH23" s="204"/>
      <c r="VCI23" s="204"/>
      <c r="VCJ23" s="204"/>
      <c r="VCK23" s="204"/>
      <c r="VCL23" s="204"/>
      <c r="VCM23" s="204"/>
      <c r="VCN23" s="204"/>
      <c r="VCO23" s="204"/>
      <c r="VCP23" s="204"/>
      <c r="VCQ23" s="204"/>
      <c r="VCR23" s="204"/>
      <c r="VCS23" s="204"/>
      <c r="VCT23" s="204"/>
      <c r="VCU23" s="204"/>
      <c r="VCV23" s="204"/>
      <c r="VCW23" s="204"/>
      <c r="VCX23" s="204"/>
      <c r="VCY23" s="204"/>
      <c r="VCZ23" s="204"/>
      <c r="VDA23" s="204"/>
      <c r="VDB23" s="204"/>
      <c r="VDC23" s="204"/>
      <c r="VDD23" s="204"/>
      <c r="VDE23" s="204"/>
      <c r="VDF23" s="204"/>
      <c r="VDG23" s="204"/>
      <c r="VDH23" s="204"/>
      <c r="VDI23" s="204"/>
      <c r="VDJ23" s="204"/>
      <c r="VDK23" s="204"/>
      <c r="VDL23" s="204"/>
      <c r="VDM23" s="204"/>
      <c r="VDN23" s="204"/>
      <c r="VDO23" s="204"/>
      <c r="VDP23" s="204"/>
      <c r="VDQ23" s="204"/>
      <c r="VDR23" s="204"/>
      <c r="VDS23" s="204"/>
      <c r="VDT23" s="204"/>
      <c r="VDU23" s="204"/>
      <c r="VDV23" s="204"/>
      <c r="VDW23" s="204"/>
      <c r="VDX23" s="204"/>
      <c r="VDY23" s="204"/>
      <c r="VDZ23" s="204"/>
      <c r="VEA23" s="204"/>
      <c r="VEB23" s="204"/>
      <c r="VEC23" s="204"/>
      <c r="VED23" s="204"/>
      <c r="VEE23" s="204"/>
      <c r="VEF23" s="204"/>
      <c r="VEG23" s="204"/>
      <c r="VEH23" s="204"/>
      <c r="VEI23" s="204"/>
      <c r="VEJ23" s="204"/>
      <c r="VEK23" s="204"/>
      <c r="VEL23" s="204"/>
      <c r="VEM23" s="204"/>
      <c r="VEN23" s="204"/>
      <c r="VEO23" s="204"/>
      <c r="VEP23" s="204"/>
      <c r="VEQ23" s="204"/>
      <c r="VER23" s="204"/>
      <c r="VES23" s="204"/>
      <c r="VET23" s="204"/>
      <c r="VEU23" s="204"/>
      <c r="VEV23" s="204"/>
      <c r="VEW23" s="204"/>
      <c r="VEX23" s="204"/>
      <c r="VEY23" s="204"/>
      <c r="VEZ23" s="204"/>
      <c r="VFA23" s="204"/>
      <c r="VFB23" s="204"/>
      <c r="VFC23" s="204"/>
      <c r="VFD23" s="204"/>
      <c r="VFE23" s="204"/>
      <c r="VFF23" s="204"/>
      <c r="VFG23" s="204"/>
      <c r="VFH23" s="204"/>
      <c r="VFI23" s="204"/>
      <c r="VFJ23" s="204"/>
      <c r="VFK23" s="204"/>
      <c r="VFL23" s="204"/>
      <c r="VFM23" s="204"/>
      <c r="VFN23" s="204"/>
      <c r="VFO23" s="204"/>
      <c r="VFP23" s="204"/>
      <c r="VFQ23" s="204"/>
      <c r="VFR23" s="204"/>
      <c r="VFS23" s="204"/>
      <c r="VFT23" s="204"/>
      <c r="VFU23" s="204"/>
      <c r="VFV23" s="204"/>
      <c r="VFW23" s="204"/>
      <c r="VFX23" s="204"/>
      <c r="VFY23" s="204"/>
      <c r="VFZ23" s="204"/>
      <c r="VGA23" s="204"/>
      <c r="VGB23" s="204"/>
      <c r="VGC23" s="204"/>
      <c r="VGD23" s="204"/>
      <c r="VGE23" s="204"/>
      <c r="VGF23" s="204"/>
      <c r="VGG23" s="204"/>
      <c r="VGH23" s="204"/>
      <c r="VGI23" s="204"/>
      <c r="VGJ23" s="204"/>
      <c r="VGK23" s="204"/>
      <c r="VGL23" s="204"/>
      <c r="VGM23" s="204"/>
      <c r="VGN23" s="204"/>
      <c r="VGO23" s="204"/>
      <c r="VGP23" s="204"/>
      <c r="VGQ23" s="204"/>
      <c r="VGR23" s="204"/>
      <c r="VGS23" s="204"/>
      <c r="VGT23" s="204"/>
      <c r="VGU23" s="204"/>
      <c r="VGV23" s="204"/>
      <c r="VGW23" s="204"/>
      <c r="VGX23" s="204"/>
      <c r="VGY23" s="204"/>
      <c r="VGZ23" s="204"/>
      <c r="VHA23" s="204"/>
      <c r="VHB23" s="204"/>
      <c r="VHC23" s="204"/>
      <c r="VHD23" s="204"/>
      <c r="VHE23" s="204"/>
      <c r="VHF23" s="204"/>
      <c r="VHG23" s="204"/>
      <c r="VHH23" s="204"/>
      <c r="VHI23" s="204"/>
      <c r="VHJ23" s="204"/>
      <c r="VHK23" s="204"/>
      <c r="VHL23" s="204"/>
      <c r="VHM23" s="204"/>
      <c r="VHN23" s="204"/>
      <c r="VHO23" s="204"/>
      <c r="VHP23" s="204"/>
      <c r="VHQ23" s="204"/>
      <c r="VHR23" s="204"/>
      <c r="VHS23" s="204"/>
      <c r="VHT23" s="204"/>
      <c r="VHU23" s="204"/>
      <c r="VHV23" s="204"/>
      <c r="VHW23" s="204"/>
      <c r="VHX23" s="204"/>
      <c r="VHY23" s="204"/>
      <c r="VHZ23" s="204"/>
      <c r="VIA23" s="204"/>
      <c r="VIB23" s="204"/>
      <c r="VIC23" s="204"/>
      <c r="VID23" s="204"/>
      <c r="VIE23" s="204"/>
      <c r="VIF23" s="204"/>
      <c r="VIG23" s="204"/>
      <c r="VIH23" s="204"/>
      <c r="VII23" s="204"/>
      <c r="VIJ23" s="204"/>
      <c r="VIK23" s="204"/>
      <c r="VIL23" s="204"/>
      <c r="VIM23" s="204"/>
      <c r="VIN23" s="204"/>
      <c r="VIO23" s="204"/>
      <c r="VIP23" s="204"/>
      <c r="VIQ23" s="204"/>
      <c r="VIR23" s="204"/>
      <c r="VIS23" s="204"/>
      <c r="VIT23" s="204"/>
      <c r="VIU23" s="204"/>
      <c r="VIV23" s="204"/>
      <c r="VIW23" s="204"/>
      <c r="VIX23" s="204"/>
      <c r="VIY23" s="204"/>
      <c r="VIZ23" s="204"/>
      <c r="VJA23" s="204"/>
      <c r="VJB23" s="204"/>
      <c r="VJC23" s="204"/>
      <c r="VJD23" s="204"/>
      <c r="VJE23" s="204"/>
      <c r="VJF23" s="204"/>
      <c r="VJG23" s="204"/>
      <c r="VJH23" s="204"/>
      <c r="VJI23" s="204"/>
      <c r="VJJ23" s="204"/>
      <c r="VJK23" s="204"/>
      <c r="VJL23" s="204"/>
      <c r="VJM23" s="204"/>
      <c r="VJN23" s="204"/>
      <c r="VJO23" s="204"/>
      <c r="VJP23" s="204"/>
      <c r="VJQ23" s="204"/>
      <c r="VJR23" s="204"/>
      <c r="VJS23" s="204"/>
      <c r="VJT23" s="204"/>
      <c r="VJU23" s="204"/>
      <c r="VJV23" s="204"/>
      <c r="VJW23" s="204"/>
      <c r="VJX23" s="204"/>
      <c r="VJY23" s="204"/>
      <c r="VJZ23" s="204"/>
      <c r="VKA23" s="204"/>
      <c r="VKB23" s="204"/>
      <c r="VKC23" s="204"/>
      <c r="VKD23" s="204"/>
      <c r="VKE23" s="204"/>
      <c r="VKF23" s="204"/>
      <c r="VKG23" s="204"/>
      <c r="VKH23" s="204"/>
      <c r="VKI23" s="204"/>
      <c r="VKJ23" s="204"/>
      <c r="VKK23" s="204"/>
      <c r="VKL23" s="204"/>
      <c r="VKM23" s="204"/>
      <c r="VKN23" s="204"/>
      <c r="VKO23" s="204"/>
      <c r="VKP23" s="204"/>
      <c r="VKQ23" s="204"/>
      <c r="VKR23" s="204"/>
      <c r="VKS23" s="204"/>
      <c r="VKT23" s="204"/>
      <c r="VKU23" s="204"/>
      <c r="VKV23" s="204"/>
      <c r="VKW23" s="204"/>
      <c r="VKX23" s="204"/>
      <c r="VKY23" s="204"/>
      <c r="VKZ23" s="204"/>
      <c r="VLA23" s="204"/>
      <c r="VLB23" s="204"/>
      <c r="VLC23" s="204"/>
      <c r="VLD23" s="204"/>
      <c r="VLE23" s="204"/>
      <c r="VLF23" s="204"/>
      <c r="VLG23" s="204"/>
      <c r="VLH23" s="204"/>
      <c r="VLI23" s="204"/>
      <c r="VLJ23" s="204"/>
      <c r="VLK23" s="204"/>
      <c r="VLL23" s="204"/>
      <c r="VLM23" s="204"/>
      <c r="VLN23" s="204"/>
      <c r="VLO23" s="204"/>
      <c r="VLP23" s="204"/>
      <c r="VLQ23" s="204"/>
      <c r="VLR23" s="204"/>
      <c r="VLS23" s="204"/>
      <c r="VLT23" s="204"/>
      <c r="VLU23" s="204"/>
      <c r="VLV23" s="204"/>
      <c r="VLW23" s="204"/>
      <c r="VLX23" s="204"/>
      <c r="VLY23" s="204"/>
      <c r="VLZ23" s="204"/>
      <c r="VMA23" s="204"/>
      <c r="VMB23" s="204"/>
      <c r="VMC23" s="204"/>
      <c r="VMD23" s="204"/>
      <c r="VME23" s="204"/>
      <c r="VMF23" s="204"/>
      <c r="VMG23" s="204"/>
      <c r="VMH23" s="204"/>
      <c r="VMI23" s="204"/>
      <c r="VMJ23" s="204"/>
      <c r="VMK23" s="204"/>
      <c r="VML23" s="204"/>
      <c r="VMM23" s="204"/>
      <c r="VMN23" s="204"/>
      <c r="VMO23" s="204"/>
      <c r="VMP23" s="204"/>
      <c r="VMQ23" s="204"/>
      <c r="VMR23" s="204"/>
      <c r="VMS23" s="204"/>
      <c r="VMT23" s="204"/>
      <c r="VMU23" s="204"/>
      <c r="VMV23" s="204"/>
      <c r="VMW23" s="204"/>
      <c r="VMX23" s="204"/>
      <c r="VMY23" s="204"/>
      <c r="VMZ23" s="204"/>
      <c r="VNA23" s="204"/>
      <c r="VNB23" s="204"/>
      <c r="VNC23" s="204"/>
      <c r="VND23" s="204"/>
      <c r="VNE23" s="204"/>
      <c r="VNF23" s="204"/>
      <c r="VNG23" s="204"/>
      <c r="VNH23" s="204"/>
      <c r="VNI23" s="204"/>
      <c r="VNJ23" s="204"/>
      <c r="VNK23" s="204"/>
      <c r="VNL23" s="204"/>
      <c r="VNM23" s="204"/>
      <c r="VNN23" s="204"/>
      <c r="VNO23" s="204"/>
      <c r="VNP23" s="204"/>
      <c r="VNQ23" s="204"/>
      <c r="VNR23" s="204"/>
      <c r="VNS23" s="204"/>
      <c r="VNT23" s="204"/>
      <c r="VNU23" s="204"/>
      <c r="VNV23" s="204"/>
      <c r="VNW23" s="204"/>
      <c r="VNX23" s="204"/>
      <c r="VNY23" s="204"/>
      <c r="VNZ23" s="204"/>
      <c r="VOA23" s="204"/>
      <c r="VOB23" s="204"/>
      <c r="VOC23" s="204"/>
      <c r="VOD23" s="204"/>
      <c r="VOE23" s="204"/>
      <c r="VOF23" s="204"/>
      <c r="VOG23" s="204"/>
      <c r="VOH23" s="204"/>
      <c r="VOI23" s="204"/>
      <c r="VOJ23" s="204"/>
      <c r="VOK23" s="204"/>
      <c r="VOL23" s="204"/>
      <c r="VOM23" s="204"/>
      <c r="VON23" s="204"/>
      <c r="VOO23" s="204"/>
      <c r="VOP23" s="204"/>
      <c r="VOQ23" s="204"/>
      <c r="VOR23" s="204"/>
      <c r="VOS23" s="204"/>
      <c r="VOT23" s="204"/>
      <c r="VOU23" s="204"/>
      <c r="VOV23" s="204"/>
      <c r="VOW23" s="204"/>
      <c r="VOX23" s="204"/>
      <c r="VOY23" s="204"/>
      <c r="VOZ23" s="204"/>
      <c r="VPA23" s="204"/>
      <c r="VPB23" s="204"/>
      <c r="VPC23" s="204"/>
      <c r="VPD23" s="204"/>
      <c r="VPE23" s="204"/>
      <c r="VPF23" s="204"/>
      <c r="VPG23" s="204"/>
      <c r="VPH23" s="204"/>
      <c r="VPI23" s="204"/>
      <c r="VPJ23" s="204"/>
      <c r="VPK23" s="204"/>
      <c r="VPL23" s="204"/>
      <c r="VPM23" s="204"/>
      <c r="VPN23" s="204"/>
      <c r="VPO23" s="204"/>
      <c r="VPP23" s="204"/>
      <c r="VPQ23" s="204"/>
      <c r="VPR23" s="204"/>
      <c r="VPS23" s="204"/>
      <c r="VPT23" s="204"/>
      <c r="VPU23" s="204"/>
      <c r="VPV23" s="204"/>
      <c r="VPW23" s="204"/>
      <c r="VPX23" s="204"/>
      <c r="VPY23" s="204"/>
      <c r="VPZ23" s="204"/>
      <c r="VQA23" s="204"/>
      <c r="VQB23" s="204"/>
      <c r="VQC23" s="204"/>
      <c r="VQD23" s="204"/>
      <c r="VQE23" s="204"/>
      <c r="VQF23" s="204"/>
      <c r="VQG23" s="204"/>
      <c r="VQH23" s="204"/>
      <c r="VQI23" s="204"/>
      <c r="VQJ23" s="204"/>
      <c r="VQK23" s="204"/>
      <c r="VQL23" s="204"/>
      <c r="VQM23" s="204"/>
      <c r="VQN23" s="204"/>
      <c r="VQO23" s="204"/>
      <c r="VQP23" s="204"/>
      <c r="VQQ23" s="204"/>
      <c r="VQR23" s="204"/>
      <c r="VQS23" s="204"/>
      <c r="VQT23" s="204"/>
      <c r="VQU23" s="204"/>
      <c r="VQV23" s="204"/>
      <c r="VQW23" s="204"/>
      <c r="VQX23" s="204"/>
      <c r="VQY23" s="204"/>
      <c r="VQZ23" s="204"/>
      <c r="VRA23" s="204"/>
      <c r="VRB23" s="204"/>
      <c r="VRC23" s="204"/>
      <c r="VRD23" s="204"/>
      <c r="VRE23" s="204"/>
      <c r="VRF23" s="204"/>
      <c r="VRG23" s="204"/>
      <c r="VRH23" s="204"/>
      <c r="VRI23" s="204"/>
      <c r="VRJ23" s="204"/>
      <c r="VRK23" s="204"/>
      <c r="VRL23" s="204"/>
      <c r="VRM23" s="204"/>
      <c r="VRN23" s="204"/>
      <c r="VRO23" s="204"/>
      <c r="VRP23" s="204"/>
      <c r="VRQ23" s="204"/>
      <c r="VRR23" s="204"/>
      <c r="VRS23" s="204"/>
      <c r="VRT23" s="204"/>
      <c r="VRU23" s="204"/>
      <c r="VRV23" s="204"/>
      <c r="VRW23" s="204"/>
      <c r="VRX23" s="204"/>
      <c r="VRY23" s="204"/>
      <c r="VRZ23" s="204"/>
      <c r="VSA23" s="204"/>
      <c r="VSB23" s="204"/>
      <c r="VSC23" s="204"/>
      <c r="VSD23" s="204"/>
      <c r="VSE23" s="204"/>
      <c r="VSF23" s="204"/>
      <c r="VSG23" s="204"/>
      <c r="VSH23" s="204"/>
      <c r="VSI23" s="204"/>
      <c r="VSJ23" s="204"/>
      <c r="VSK23" s="204"/>
      <c r="VSL23" s="204"/>
      <c r="VSM23" s="204"/>
      <c r="VSN23" s="204"/>
      <c r="VSO23" s="204"/>
      <c r="VSP23" s="204"/>
      <c r="VSQ23" s="204"/>
      <c r="VSR23" s="204"/>
      <c r="VSS23" s="204"/>
      <c r="VST23" s="204"/>
      <c r="VSU23" s="204"/>
      <c r="VSV23" s="204"/>
      <c r="VSW23" s="204"/>
      <c r="VSX23" s="204"/>
      <c r="VSY23" s="204"/>
      <c r="VSZ23" s="204"/>
      <c r="VTA23" s="204"/>
      <c r="VTB23" s="204"/>
      <c r="VTC23" s="204"/>
      <c r="VTD23" s="204"/>
      <c r="VTE23" s="204"/>
      <c r="VTF23" s="204"/>
      <c r="VTG23" s="204"/>
      <c r="VTH23" s="204"/>
      <c r="VTI23" s="204"/>
      <c r="VTJ23" s="204"/>
      <c r="VTK23" s="204"/>
      <c r="VTL23" s="204"/>
      <c r="VTM23" s="204"/>
      <c r="VTN23" s="204"/>
      <c r="VTO23" s="204"/>
      <c r="VTP23" s="204"/>
      <c r="VTQ23" s="204"/>
      <c r="VTR23" s="204"/>
      <c r="VTS23" s="204"/>
      <c r="VTT23" s="204"/>
      <c r="VTU23" s="204"/>
      <c r="VTV23" s="204"/>
      <c r="VTW23" s="204"/>
      <c r="VTX23" s="204"/>
      <c r="VTY23" s="204"/>
      <c r="VTZ23" s="204"/>
      <c r="VUA23" s="204"/>
      <c r="VUB23" s="204"/>
      <c r="VUC23" s="204"/>
      <c r="VUD23" s="204"/>
      <c r="VUE23" s="204"/>
      <c r="VUF23" s="204"/>
      <c r="VUG23" s="204"/>
      <c r="VUH23" s="204"/>
      <c r="VUI23" s="204"/>
      <c r="VUJ23" s="204"/>
      <c r="VUK23" s="204"/>
      <c r="VUL23" s="204"/>
      <c r="VUM23" s="204"/>
      <c r="VUN23" s="204"/>
      <c r="VUO23" s="204"/>
      <c r="VUP23" s="204"/>
      <c r="VUQ23" s="204"/>
      <c r="VUR23" s="204"/>
      <c r="VUS23" s="204"/>
      <c r="VUT23" s="204"/>
      <c r="VUU23" s="204"/>
      <c r="VUV23" s="204"/>
      <c r="VUW23" s="204"/>
      <c r="VUX23" s="204"/>
      <c r="VUY23" s="204"/>
      <c r="VUZ23" s="204"/>
      <c r="VVA23" s="204"/>
      <c r="VVB23" s="204"/>
      <c r="VVC23" s="204"/>
      <c r="VVD23" s="204"/>
      <c r="VVE23" s="204"/>
      <c r="VVF23" s="204"/>
      <c r="VVG23" s="204"/>
      <c r="VVH23" s="204"/>
      <c r="VVI23" s="204"/>
      <c r="VVJ23" s="204"/>
      <c r="VVK23" s="204"/>
      <c r="VVL23" s="204"/>
      <c r="VVM23" s="204"/>
      <c r="VVN23" s="204"/>
      <c r="VVO23" s="204"/>
      <c r="VVP23" s="204"/>
      <c r="VVQ23" s="204"/>
      <c r="VVR23" s="204"/>
      <c r="VVS23" s="204"/>
      <c r="VVT23" s="204"/>
      <c r="VVU23" s="204"/>
      <c r="VVV23" s="204"/>
      <c r="VVW23" s="204"/>
      <c r="VVX23" s="204"/>
      <c r="VVY23" s="204"/>
      <c r="VVZ23" s="204"/>
      <c r="VWA23" s="204"/>
      <c r="VWB23" s="204"/>
      <c r="VWC23" s="204"/>
      <c r="VWD23" s="204"/>
      <c r="VWE23" s="204"/>
      <c r="VWF23" s="204"/>
      <c r="VWG23" s="204"/>
      <c r="VWH23" s="204"/>
      <c r="VWI23" s="204"/>
      <c r="VWJ23" s="204"/>
      <c r="VWK23" s="204"/>
      <c r="VWL23" s="204"/>
      <c r="VWM23" s="204"/>
      <c r="VWN23" s="204"/>
      <c r="VWO23" s="204"/>
      <c r="VWP23" s="204"/>
      <c r="VWQ23" s="204"/>
      <c r="VWR23" s="204"/>
      <c r="VWS23" s="204"/>
      <c r="VWT23" s="204"/>
      <c r="VWU23" s="204"/>
      <c r="VWV23" s="204"/>
      <c r="VWW23" s="204"/>
      <c r="VWX23" s="204"/>
      <c r="VWY23" s="204"/>
      <c r="VWZ23" s="204"/>
      <c r="VXA23" s="204"/>
      <c r="VXB23" s="204"/>
      <c r="VXC23" s="204"/>
      <c r="VXD23" s="204"/>
      <c r="VXE23" s="204"/>
      <c r="VXF23" s="204"/>
      <c r="VXG23" s="204"/>
      <c r="VXH23" s="204"/>
      <c r="VXI23" s="204"/>
      <c r="VXJ23" s="204"/>
      <c r="VXK23" s="204"/>
      <c r="VXL23" s="204"/>
      <c r="VXM23" s="204"/>
      <c r="VXN23" s="204"/>
      <c r="VXO23" s="204"/>
      <c r="VXP23" s="204"/>
      <c r="VXQ23" s="204"/>
      <c r="VXR23" s="204"/>
      <c r="VXS23" s="204"/>
      <c r="VXT23" s="204"/>
      <c r="VXU23" s="204"/>
      <c r="VXV23" s="204"/>
      <c r="VXW23" s="204"/>
      <c r="VXX23" s="204"/>
      <c r="VXY23" s="204"/>
      <c r="VXZ23" s="204"/>
      <c r="VYA23" s="204"/>
      <c r="VYB23" s="204"/>
      <c r="VYC23" s="204"/>
      <c r="VYD23" s="204"/>
      <c r="VYE23" s="204"/>
      <c r="VYF23" s="204"/>
      <c r="VYG23" s="204"/>
      <c r="VYH23" s="204"/>
      <c r="VYI23" s="204"/>
      <c r="VYJ23" s="204"/>
      <c r="VYK23" s="204"/>
      <c r="VYL23" s="204"/>
      <c r="VYM23" s="204"/>
      <c r="VYN23" s="204"/>
      <c r="VYO23" s="204"/>
      <c r="VYP23" s="204"/>
      <c r="VYQ23" s="204"/>
      <c r="VYR23" s="204"/>
      <c r="VYS23" s="204"/>
      <c r="VYT23" s="204"/>
      <c r="VYU23" s="204"/>
      <c r="VYV23" s="204"/>
      <c r="VYW23" s="204"/>
      <c r="VYX23" s="204"/>
      <c r="VYY23" s="204"/>
      <c r="VYZ23" s="204"/>
      <c r="VZA23" s="204"/>
      <c r="VZB23" s="204"/>
      <c r="VZC23" s="204"/>
      <c r="VZD23" s="204"/>
      <c r="VZE23" s="204"/>
      <c r="VZF23" s="204"/>
      <c r="VZG23" s="204"/>
      <c r="VZH23" s="204"/>
      <c r="VZI23" s="204"/>
      <c r="VZJ23" s="204"/>
      <c r="VZK23" s="204"/>
      <c r="VZL23" s="204"/>
      <c r="VZM23" s="204"/>
      <c r="VZN23" s="204"/>
      <c r="VZO23" s="204"/>
      <c r="VZP23" s="204"/>
      <c r="VZQ23" s="204"/>
      <c r="VZR23" s="204"/>
      <c r="VZS23" s="204"/>
      <c r="VZT23" s="204"/>
      <c r="VZU23" s="204"/>
      <c r="VZV23" s="204"/>
      <c r="VZW23" s="204"/>
      <c r="VZX23" s="204"/>
      <c r="VZY23" s="204"/>
      <c r="VZZ23" s="204"/>
      <c r="WAA23" s="204"/>
      <c r="WAB23" s="204"/>
      <c r="WAC23" s="204"/>
      <c r="WAD23" s="204"/>
      <c r="WAE23" s="204"/>
      <c r="WAF23" s="204"/>
      <c r="WAG23" s="204"/>
      <c r="WAH23" s="204"/>
      <c r="WAI23" s="204"/>
      <c r="WAJ23" s="204"/>
      <c r="WAK23" s="204"/>
      <c r="WAL23" s="204"/>
      <c r="WAM23" s="204"/>
      <c r="WAN23" s="204"/>
      <c r="WAO23" s="204"/>
      <c r="WAP23" s="204"/>
      <c r="WAQ23" s="204"/>
      <c r="WAR23" s="204"/>
      <c r="WAS23" s="204"/>
      <c r="WAT23" s="204"/>
      <c r="WAU23" s="204"/>
      <c r="WAV23" s="204"/>
      <c r="WAW23" s="204"/>
      <c r="WAX23" s="204"/>
      <c r="WAY23" s="204"/>
      <c r="WAZ23" s="204"/>
      <c r="WBA23" s="204"/>
      <c r="WBB23" s="204"/>
      <c r="WBC23" s="204"/>
      <c r="WBD23" s="204"/>
      <c r="WBE23" s="204"/>
      <c r="WBF23" s="204"/>
      <c r="WBG23" s="204"/>
      <c r="WBH23" s="204"/>
      <c r="WBI23" s="204"/>
      <c r="WBJ23" s="204"/>
      <c r="WBK23" s="204"/>
      <c r="WBL23" s="204"/>
      <c r="WBM23" s="204"/>
      <c r="WBN23" s="204"/>
      <c r="WBO23" s="204"/>
      <c r="WBP23" s="204"/>
      <c r="WBQ23" s="204"/>
      <c r="WBR23" s="204"/>
      <c r="WBS23" s="204"/>
      <c r="WBT23" s="204"/>
      <c r="WBU23" s="204"/>
      <c r="WBV23" s="204"/>
      <c r="WBW23" s="204"/>
      <c r="WBX23" s="204"/>
      <c r="WBY23" s="204"/>
      <c r="WBZ23" s="204"/>
      <c r="WCA23" s="204"/>
      <c r="WCB23" s="204"/>
      <c r="WCC23" s="204"/>
      <c r="WCD23" s="204"/>
      <c r="WCE23" s="204"/>
      <c r="WCF23" s="204"/>
      <c r="WCG23" s="204"/>
      <c r="WCH23" s="204"/>
      <c r="WCI23" s="204"/>
      <c r="WCJ23" s="204"/>
      <c r="WCK23" s="204"/>
      <c r="WCL23" s="204"/>
      <c r="WCM23" s="204"/>
      <c r="WCN23" s="204"/>
      <c r="WCO23" s="204"/>
      <c r="WCP23" s="204"/>
      <c r="WCQ23" s="204"/>
      <c r="WCR23" s="204"/>
      <c r="WCS23" s="204"/>
      <c r="WCT23" s="204"/>
      <c r="WCU23" s="204"/>
      <c r="WCV23" s="204"/>
      <c r="WCW23" s="204"/>
      <c r="WCX23" s="204"/>
      <c r="WCY23" s="204"/>
      <c r="WCZ23" s="204"/>
      <c r="WDA23" s="204"/>
      <c r="WDB23" s="204"/>
      <c r="WDC23" s="204"/>
      <c r="WDD23" s="204"/>
      <c r="WDE23" s="204"/>
      <c r="WDF23" s="204"/>
      <c r="WDG23" s="204"/>
      <c r="WDH23" s="204"/>
      <c r="WDI23" s="204"/>
      <c r="WDJ23" s="204"/>
      <c r="WDK23" s="204"/>
      <c r="WDL23" s="204"/>
      <c r="WDM23" s="204"/>
      <c r="WDN23" s="204"/>
      <c r="WDO23" s="204"/>
      <c r="WDP23" s="204"/>
      <c r="WDQ23" s="204"/>
      <c r="WDR23" s="204"/>
      <c r="WDS23" s="204"/>
      <c r="WDT23" s="204"/>
      <c r="WDU23" s="204"/>
      <c r="WDV23" s="204"/>
      <c r="WDW23" s="204"/>
      <c r="WDX23" s="204"/>
      <c r="WDY23" s="204"/>
      <c r="WDZ23" s="204"/>
      <c r="WEA23" s="204"/>
      <c r="WEB23" s="204"/>
      <c r="WEC23" s="204"/>
      <c r="WED23" s="204"/>
      <c r="WEE23" s="204"/>
      <c r="WEF23" s="204"/>
      <c r="WEG23" s="204"/>
      <c r="WEH23" s="204"/>
      <c r="WEI23" s="204"/>
      <c r="WEJ23" s="204"/>
      <c r="WEK23" s="204"/>
      <c r="WEL23" s="204"/>
      <c r="WEM23" s="204"/>
      <c r="WEN23" s="204"/>
      <c r="WEO23" s="204"/>
      <c r="WEP23" s="204"/>
      <c r="WEQ23" s="204"/>
      <c r="WER23" s="204"/>
      <c r="WES23" s="204"/>
      <c r="WET23" s="204"/>
      <c r="WEU23" s="204"/>
      <c r="WEV23" s="204"/>
      <c r="WEW23" s="204"/>
      <c r="WEX23" s="204"/>
      <c r="WEY23" s="204"/>
      <c r="WEZ23" s="204"/>
      <c r="WFA23" s="204"/>
      <c r="WFB23" s="204"/>
      <c r="WFC23" s="204"/>
      <c r="WFD23" s="204"/>
      <c r="WFE23" s="204"/>
      <c r="WFF23" s="204"/>
      <c r="WFG23" s="204"/>
      <c r="WFH23" s="204"/>
      <c r="WFI23" s="204"/>
      <c r="WFJ23" s="204"/>
      <c r="WFK23" s="204"/>
      <c r="WFL23" s="204"/>
      <c r="WFM23" s="204"/>
      <c r="WFN23" s="204"/>
      <c r="WFO23" s="204"/>
      <c r="WFP23" s="204"/>
      <c r="WFQ23" s="204"/>
      <c r="WFR23" s="204"/>
      <c r="WFS23" s="204"/>
      <c r="WFT23" s="204"/>
      <c r="WFU23" s="204"/>
      <c r="WFV23" s="204"/>
      <c r="WFW23" s="204"/>
      <c r="WFX23" s="204"/>
      <c r="WFY23" s="204"/>
      <c r="WFZ23" s="204"/>
      <c r="WGA23" s="204"/>
      <c r="WGB23" s="204"/>
      <c r="WGC23" s="204"/>
      <c r="WGD23" s="204"/>
      <c r="WGE23" s="204"/>
      <c r="WGF23" s="204"/>
      <c r="WGG23" s="204"/>
      <c r="WGH23" s="204"/>
      <c r="WGI23" s="204"/>
      <c r="WGJ23" s="204"/>
      <c r="WGK23" s="204"/>
      <c r="WGL23" s="204"/>
      <c r="WGM23" s="204"/>
      <c r="WGN23" s="204"/>
      <c r="WGO23" s="204"/>
      <c r="WGP23" s="204"/>
      <c r="WGQ23" s="204"/>
      <c r="WGR23" s="204"/>
      <c r="WGS23" s="204"/>
      <c r="WGT23" s="204"/>
      <c r="WGU23" s="204"/>
      <c r="WGV23" s="204"/>
      <c r="WGW23" s="204"/>
      <c r="WGX23" s="204"/>
      <c r="WGY23" s="204"/>
      <c r="WGZ23" s="204"/>
      <c r="WHA23" s="204"/>
      <c r="WHB23" s="204"/>
      <c r="WHC23" s="204"/>
      <c r="WHD23" s="204"/>
      <c r="WHE23" s="204"/>
      <c r="WHF23" s="204"/>
      <c r="WHG23" s="204"/>
      <c r="WHH23" s="204"/>
      <c r="WHI23" s="204"/>
      <c r="WHJ23" s="204"/>
      <c r="WHK23" s="204"/>
      <c r="WHL23" s="204"/>
      <c r="WHM23" s="204"/>
      <c r="WHN23" s="204"/>
      <c r="WHO23" s="204"/>
      <c r="WHP23" s="204"/>
      <c r="WHQ23" s="204"/>
      <c r="WHR23" s="204"/>
      <c r="WHS23" s="204"/>
      <c r="WHT23" s="204"/>
      <c r="WHU23" s="204"/>
      <c r="WHV23" s="204"/>
      <c r="WHW23" s="204"/>
      <c r="WHX23" s="204"/>
      <c r="WHY23" s="204"/>
      <c r="WHZ23" s="204"/>
      <c r="WIA23" s="204"/>
      <c r="WIB23" s="204"/>
      <c r="WIC23" s="204"/>
      <c r="WID23" s="204"/>
      <c r="WIE23" s="204"/>
      <c r="WIF23" s="204"/>
      <c r="WIG23" s="204"/>
      <c r="WIH23" s="204"/>
      <c r="WII23" s="204"/>
      <c r="WIJ23" s="204"/>
      <c r="WIK23" s="204"/>
      <c r="WIL23" s="204"/>
      <c r="WIM23" s="204"/>
      <c r="WIN23" s="204"/>
      <c r="WIO23" s="204"/>
      <c r="WIP23" s="204"/>
      <c r="WIQ23" s="204"/>
      <c r="WIR23" s="204"/>
      <c r="WIS23" s="204"/>
      <c r="WIT23" s="204"/>
      <c r="WIU23" s="204"/>
      <c r="WIV23" s="204"/>
      <c r="WIW23" s="204"/>
      <c r="WIX23" s="204"/>
      <c r="WIY23" s="204"/>
      <c r="WIZ23" s="204"/>
      <c r="WJA23" s="204"/>
      <c r="WJB23" s="204"/>
      <c r="WJC23" s="204"/>
      <c r="WJD23" s="204"/>
      <c r="WJE23" s="204"/>
      <c r="WJF23" s="204"/>
      <c r="WJG23" s="204"/>
      <c r="WJH23" s="204"/>
      <c r="WJI23" s="204"/>
      <c r="WJJ23" s="204"/>
      <c r="WJK23" s="204"/>
      <c r="WJL23" s="204"/>
      <c r="WJM23" s="204"/>
      <c r="WJN23" s="204"/>
      <c r="WJO23" s="204"/>
      <c r="WJP23" s="204"/>
      <c r="WJQ23" s="204"/>
      <c r="WJR23" s="204"/>
      <c r="WJS23" s="204"/>
      <c r="WJT23" s="204"/>
      <c r="WJU23" s="204"/>
      <c r="WJV23" s="204"/>
      <c r="WJW23" s="204"/>
      <c r="WJX23" s="204"/>
      <c r="WJY23" s="204"/>
      <c r="WJZ23" s="204"/>
      <c r="WKA23" s="204"/>
      <c r="WKB23" s="204"/>
      <c r="WKC23" s="204"/>
      <c r="WKD23" s="204"/>
      <c r="WKE23" s="204"/>
      <c r="WKF23" s="204"/>
      <c r="WKG23" s="204"/>
      <c r="WKH23" s="204"/>
      <c r="WKI23" s="204"/>
      <c r="WKJ23" s="204"/>
      <c r="WKK23" s="204"/>
      <c r="WKL23" s="204"/>
      <c r="WKM23" s="204"/>
      <c r="WKN23" s="204"/>
      <c r="WKO23" s="204"/>
      <c r="WKP23" s="204"/>
      <c r="WKQ23" s="204"/>
      <c r="WKR23" s="204"/>
      <c r="WKS23" s="204"/>
      <c r="WKT23" s="204"/>
      <c r="WKU23" s="204"/>
      <c r="WKV23" s="204"/>
      <c r="WKW23" s="204"/>
      <c r="WKX23" s="204"/>
      <c r="WKY23" s="204"/>
      <c r="WKZ23" s="204"/>
      <c r="WLA23" s="204"/>
      <c r="WLB23" s="204"/>
      <c r="WLC23" s="204"/>
      <c r="WLD23" s="204"/>
      <c r="WLE23" s="204"/>
      <c r="WLF23" s="204"/>
      <c r="WLG23" s="204"/>
      <c r="WLH23" s="204"/>
      <c r="WLI23" s="204"/>
      <c r="WLJ23" s="204"/>
      <c r="WLK23" s="204"/>
      <c r="WLL23" s="204"/>
      <c r="WLM23" s="204"/>
      <c r="WLN23" s="204"/>
      <c r="WLO23" s="204"/>
      <c r="WLP23" s="204"/>
      <c r="WLQ23" s="204"/>
      <c r="WLR23" s="204"/>
      <c r="WLS23" s="204"/>
      <c r="WLT23" s="204"/>
      <c r="WLU23" s="204"/>
      <c r="WLV23" s="204"/>
      <c r="WLW23" s="204"/>
      <c r="WLX23" s="204"/>
      <c r="WLY23" s="204"/>
      <c r="WLZ23" s="204"/>
      <c r="WMA23" s="204"/>
      <c r="WMB23" s="204"/>
      <c r="WMC23" s="204"/>
      <c r="WMD23" s="204"/>
      <c r="WME23" s="204"/>
      <c r="WMF23" s="204"/>
      <c r="WMG23" s="204"/>
      <c r="WMH23" s="204"/>
      <c r="WMI23" s="204"/>
      <c r="WMJ23" s="204"/>
      <c r="WMK23" s="204"/>
      <c r="WML23" s="204"/>
      <c r="WMM23" s="204"/>
      <c r="WMN23" s="204"/>
      <c r="WMO23" s="204"/>
      <c r="WMP23" s="204"/>
      <c r="WMQ23" s="204"/>
      <c r="WMR23" s="204"/>
      <c r="WMS23" s="204"/>
      <c r="WMT23" s="204"/>
      <c r="WMU23" s="204"/>
      <c r="WMV23" s="204"/>
      <c r="WMW23" s="204"/>
      <c r="WMX23" s="204"/>
      <c r="WMY23" s="204"/>
      <c r="WMZ23" s="204"/>
      <c r="WNA23" s="204"/>
      <c r="WNB23" s="204"/>
      <c r="WNC23" s="204"/>
      <c r="WND23" s="204"/>
      <c r="WNE23" s="204"/>
      <c r="WNF23" s="204"/>
      <c r="WNG23" s="204"/>
      <c r="WNH23" s="204"/>
      <c r="WNI23" s="204"/>
      <c r="WNJ23" s="204"/>
      <c r="WNK23" s="204"/>
      <c r="WNL23" s="204"/>
      <c r="WNM23" s="204"/>
      <c r="WNN23" s="204"/>
      <c r="WNO23" s="204"/>
      <c r="WNP23" s="204"/>
      <c r="WNQ23" s="204"/>
      <c r="WNR23" s="204"/>
      <c r="WNS23" s="204"/>
      <c r="WNT23" s="204"/>
      <c r="WNU23" s="204"/>
      <c r="WNV23" s="204"/>
      <c r="WNW23" s="204"/>
      <c r="WNX23" s="204"/>
      <c r="WNY23" s="204"/>
      <c r="WNZ23" s="204"/>
      <c r="WOA23" s="204"/>
      <c r="WOB23" s="204"/>
      <c r="WOC23" s="204"/>
      <c r="WOD23" s="204"/>
      <c r="WOE23" s="204"/>
      <c r="WOF23" s="204"/>
      <c r="WOG23" s="204"/>
      <c r="WOH23" s="204"/>
      <c r="WOI23" s="204"/>
      <c r="WOJ23" s="204"/>
      <c r="WOK23" s="204"/>
      <c r="WOL23" s="204"/>
      <c r="WOM23" s="204"/>
      <c r="WON23" s="204"/>
      <c r="WOO23" s="204"/>
      <c r="WOP23" s="204"/>
      <c r="WOQ23" s="204"/>
      <c r="WOR23" s="204"/>
      <c r="WOS23" s="204"/>
      <c r="WOT23" s="204"/>
      <c r="WOU23" s="204"/>
      <c r="WOV23" s="204"/>
      <c r="WOW23" s="204"/>
      <c r="WOX23" s="204"/>
      <c r="WOY23" s="204"/>
      <c r="WOZ23" s="204"/>
      <c r="WPA23" s="204"/>
      <c r="WPB23" s="204"/>
      <c r="WPC23" s="204"/>
      <c r="WPD23" s="204"/>
      <c r="WPE23" s="204"/>
      <c r="WPF23" s="204"/>
      <c r="WPG23" s="204"/>
      <c r="WPH23" s="204"/>
      <c r="WPI23" s="204"/>
      <c r="WPJ23" s="204"/>
      <c r="WPK23" s="204"/>
      <c r="WPL23" s="204"/>
      <c r="WPM23" s="204"/>
      <c r="WPN23" s="204"/>
      <c r="WPO23" s="204"/>
      <c r="WPP23" s="204"/>
      <c r="WPQ23" s="204"/>
      <c r="WPR23" s="204"/>
      <c r="WPS23" s="204"/>
      <c r="WPT23" s="204"/>
      <c r="WPU23" s="204"/>
      <c r="WPV23" s="204"/>
      <c r="WPW23" s="204"/>
      <c r="WPX23" s="204"/>
      <c r="WPY23" s="204"/>
      <c r="WPZ23" s="204"/>
      <c r="WQA23" s="204"/>
      <c r="WQB23" s="204"/>
      <c r="WQC23" s="204"/>
      <c r="WQD23" s="204"/>
      <c r="WQE23" s="204"/>
      <c r="WQF23" s="204"/>
      <c r="WQG23" s="204"/>
      <c r="WQH23" s="204"/>
      <c r="WQI23" s="204"/>
      <c r="WQJ23" s="204"/>
      <c r="WQK23" s="204"/>
      <c r="WQL23" s="204"/>
      <c r="WQM23" s="204"/>
      <c r="WQN23" s="204"/>
      <c r="WQO23" s="204"/>
      <c r="WQP23" s="204"/>
      <c r="WQQ23" s="204"/>
      <c r="WQR23" s="204"/>
      <c r="WQS23" s="204"/>
      <c r="WQT23" s="204"/>
      <c r="WQU23" s="204"/>
      <c r="WQV23" s="204"/>
      <c r="WQW23" s="204"/>
      <c r="WQX23" s="204"/>
      <c r="WQY23" s="204"/>
      <c r="WQZ23" s="204"/>
      <c r="WRA23" s="204"/>
      <c r="WRB23" s="204"/>
      <c r="WRC23" s="204"/>
      <c r="WRD23" s="204"/>
      <c r="WRE23" s="204"/>
      <c r="WRF23" s="204"/>
      <c r="WRG23" s="204"/>
      <c r="WRH23" s="204"/>
      <c r="WRI23" s="204"/>
      <c r="WRJ23" s="204"/>
      <c r="WRK23" s="204"/>
      <c r="WRL23" s="204"/>
      <c r="WRM23" s="204"/>
      <c r="WRN23" s="204"/>
      <c r="WRO23" s="204"/>
      <c r="WRP23" s="204"/>
      <c r="WRQ23" s="204"/>
      <c r="WRR23" s="204"/>
      <c r="WRS23" s="204"/>
      <c r="WRT23" s="204"/>
      <c r="WRU23" s="204"/>
      <c r="WRV23" s="204"/>
      <c r="WRW23" s="204"/>
      <c r="WRX23" s="204"/>
      <c r="WRY23" s="204"/>
      <c r="WRZ23" s="204"/>
      <c r="WSA23" s="204"/>
      <c r="WSB23" s="204"/>
      <c r="WSC23" s="204"/>
      <c r="WSD23" s="204"/>
      <c r="WSE23" s="204"/>
      <c r="WSF23" s="204"/>
      <c r="WSG23" s="204"/>
      <c r="WSH23" s="204"/>
      <c r="WSI23" s="204"/>
      <c r="WSJ23" s="204"/>
      <c r="WSK23" s="204"/>
      <c r="WSL23" s="204"/>
      <c r="WSM23" s="204"/>
      <c r="WSN23" s="204"/>
      <c r="WSO23" s="204"/>
      <c r="WSP23" s="204"/>
      <c r="WSQ23" s="204"/>
      <c r="WSR23" s="204"/>
      <c r="WSS23" s="204"/>
      <c r="WST23" s="204"/>
      <c r="WSU23" s="204"/>
      <c r="WSV23" s="204"/>
      <c r="WSW23" s="204"/>
      <c r="WSX23" s="204"/>
      <c r="WSY23" s="204"/>
      <c r="WSZ23" s="204"/>
      <c r="WTA23" s="204"/>
      <c r="WTB23" s="204"/>
      <c r="WTC23" s="204"/>
      <c r="WTD23" s="204"/>
      <c r="WTE23" s="204"/>
      <c r="WTF23" s="204"/>
      <c r="WTG23" s="204"/>
      <c r="WTH23" s="204"/>
      <c r="WTI23" s="204"/>
      <c r="WTJ23" s="204"/>
      <c r="WTK23" s="204"/>
      <c r="WTL23" s="204"/>
      <c r="WTM23" s="204"/>
      <c r="WTN23" s="204"/>
      <c r="WTO23" s="204"/>
      <c r="WTP23" s="204"/>
      <c r="WTQ23" s="204"/>
      <c r="WTR23" s="204"/>
      <c r="WTS23" s="204"/>
      <c r="WTT23" s="204"/>
      <c r="WTU23" s="204"/>
      <c r="WTV23" s="204"/>
      <c r="WTW23" s="204"/>
      <c r="WTX23" s="204"/>
      <c r="WTY23" s="204"/>
      <c r="WTZ23" s="204"/>
      <c r="WUA23" s="204"/>
      <c r="WUB23" s="204"/>
      <c r="WUC23" s="204"/>
      <c r="WUD23" s="204"/>
      <c r="WUE23" s="204"/>
      <c r="WUF23" s="204"/>
      <c r="WUG23" s="204"/>
      <c r="WUH23" s="204"/>
      <c r="WUI23" s="204"/>
      <c r="WUJ23" s="204"/>
      <c r="WUK23" s="204"/>
      <c r="WUL23" s="204"/>
      <c r="WUM23" s="204"/>
      <c r="WUN23" s="204"/>
      <c r="WUO23" s="204"/>
      <c r="WUP23" s="204"/>
      <c r="WUQ23" s="204"/>
      <c r="WUR23" s="204"/>
      <c r="WUS23" s="204"/>
      <c r="WUT23" s="204"/>
      <c r="WUU23" s="204"/>
      <c r="WUV23" s="204"/>
      <c r="WUW23" s="204"/>
      <c r="WUX23" s="204"/>
      <c r="WUY23" s="204"/>
      <c r="WUZ23" s="204"/>
      <c r="WVA23" s="204"/>
      <c r="WVB23" s="204"/>
      <c r="WVC23" s="204"/>
      <c r="WVD23" s="204"/>
      <c r="WVE23" s="204"/>
      <c r="WVF23" s="204"/>
      <c r="WVG23" s="204"/>
      <c r="WVH23" s="204"/>
      <c r="WVI23" s="204"/>
      <c r="WVJ23" s="204"/>
      <c r="WVK23" s="204"/>
      <c r="WVL23" s="204"/>
      <c r="WVM23" s="204"/>
      <c r="WVN23" s="204"/>
      <c r="WVO23" s="204"/>
      <c r="WVP23" s="204"/>
      <c r="WVQ23" s="204"/>
      <c r="WVR23" s="204"/>
      <c r="WVS23" s="204"/>
      <c r="WVT23" s="204"/>
      <c r="WVU23" s="204"/>
      <c r="WVV23" s="204"/>
      <c r="WVW23" s="204"/>
      <c r="WVX23" s="204"/>
      <c r="WVY23" s="204"/>
      <c r="WVZ23" s="204"/>
      <c r="WWA23" s="204"/>
      <c r="WWB23" s="204"/>
      <c r="WWC23" s="204"/>
      <c r="WWD23" s="204"/>
      <c r="WWE23" s="204"/>
      <c r="WWF23" s="204"/>
      <c r="WWG23" s="204"/>
      <c r="WWH23" s="204"/>
      <c r="WWI23" s="204"/>
      <c r="WWJ23" s="204"/>
      <c r="WWK23" s="204"/>
      <c r="WWL23" s="204"/>
      <c r="WWM23" s="204"/>
      <c r="WWN23" s="204"/>
      <c r="WWO23" s="204"/>
      <c r="WWP23" s="204"/>
      <c r="WWQ23" s="204"/>
      <c r="WWR23" s="204"/>
      <c r="WWS23" s="204"/>
      <c r="WWT23" s="204"/>
      <c r="WWU23" s="204"/>
      <c r="WWV23" s="204"/>
      <c r="WWW23" s="204"/>
      <c r="WWX23" s="204"/>
      <c r="WWY23" s="204"/>
      <c r="WWZ23" s="204"/>
      <c r="WXA23" s="204"/>
      <c r="WXB23" s="204"/>
      <c r="WXC23" s="204"/>
      <c r="WXD23" s="204"/>
      <c r="WXE23" s="204"/>
      <c r="WXF23" s="204"/>
      <c r="WXG23" s="204"/>
      <c r="WXH23" s="204"/>
      <c r="WXI23" s="204"/>
      <c r="WXJ23" s="204"/>
      <c r="WXK23" s="204"/>
      <c r="WXL23" s="204"/>
      <c r="WXM23" s="204"/>
      <c r="WXN23" s="204"/>
      <c r="WXO23" s="204"/>
      <c r="WXP23" s="204"/>
      <c r="WXQ23" s="204"/>
      <c r="WXR23" s="204"/>
      <c r="WXS23" s="204"/>
      <c r="WXT23" s="204"/>
      <c r="WXU23" s="204"/>
      <c r="WXV23" s="204"/>
      <c r="WXW23" s="204"/>
      <c r="WXX23" s="204"/>
      <c r="WXY23" s="204"/>
      <c r="WXZ23" s="204"/>
      <c r="WYA23" s="204"/>
      <c r="WYB23" s="204"/>
      <c r="WYC23" s="204"/>
      <c r="WYD23" s="204"/>
      <c r="WYE23" s="204"/>
      <c r="WYF23" s="204"/>
      <c r="WYG23" s="204"/>
      <c r="WYH23" s="204"/>
      <c r="WYI23" s="204"/>
      <c r="WYJ23" s="204"/>
      <c r="WYK23" s="204"/>
      <c r="WYL23" s="204"/>
      <c r="WYM23" s="204"/>
      <c r="WYN23" s="204"/>
      <c r="WYO23" s="204"/>
      <c r="WYP23" s="204"/>
      <c r="WYQ23" s="204"/>
      <c r="WYR23" s="204"/>
      <c r="WYS23" s="204"/>
      <c r="WYT23" s="204"/>
      <c r="WYU23" s="204"/>
      <c r="WYV23" s="204"/>
      <c r="WYW23" s="204"/>
      <c r="WYX23" s="204"/>
      <c r="WYY23" s="204"/>
      <c r="WYZ23" s="204"/>
      <c r="WZA23" s="204"/>
      <c r="WZB23" s="204"/>
      <c r="WZC23" s="204"/>
      <c r="WZD23" s="204"/>
      <c r="WZE23" s="204"/>
      <c r="WZF23" s="204"/>
      <c r="WZG23" s="204"/>
      <c r="WZH23" s="204"/>
      <c r="WZI23" s="204"/>
      <c r="WZJ23" s="204"/>
      <c r="WZK23" s="204"/>
      <c r="WZL23" s="204"/>
      <c r="WZM23" s="204"/>
      <c r="WZN23" s="204"/>
      <c r="WZO23" s="204"/>
      <c r="WZP23" s="204"/>
      <c r="WZQ23" s="204"/>
      <c r="WZR23" s="204"/>
      <c r="WZS23" s="204"/>
      <c r="WZT23" s="204"/>
      <c r="WZU23" s="204"/>
      <c r="WZV23" s="204"/>
      <c r="WZW23" s="204"/>
      <c r="WZX23" s="204"/>
      <c r="WZY23" s="204"/>
      <c r="WZZ23" s="204"/>
      <c r="XAA23" s="204"/>
      <c r="XAB23" s="204"/>
      <c r="XAC23" s="204"/>
      <c r="XAD23" s="204"/>
      <c r="XAE23" s="204"/>
      <c r="XAF23" s="204"/>
      <c r="XAG23" s="204"/>
      <c r="XAH23" s="204"/>
      <c r="XAI23" s="204"/>
      <c r="XAJ23" s="204"/>
      <c r="XAK23" s="204"/>
      <c r="XAL23" s="204"/>
      <c r="XAM23" s="204"/>
      <c r="XAN23" s="204"/>
      <c r="XAO23" s="204"/>
      <c r="XAP23" s="204"/>
      <c r="XAQ23" s="204"/>
      <c r="XAR23" s="204"/>
      <c r="XAS23" s="204"/>
      <c r="XAT23" s="204"/>
      <c r="XAU23" s="204"/>
      <c r="XAV23" s="204"/>
      <c r="XAW23" s="204"/>
      <c r="XAX23" s="204"/>
      <c r="XAY23" s="204"/>
      <c r="XAZ23" s="204"/>
      <c r="XBA23" s="204"/>
      <c r="XBB23" s="204"/>
      <c r="XBC23" s="204"/>
      <c r="XBD23" s="204"/>
      <c r="XBE23" s="204"/>
      <c r="XBF23" s="204"/>
      <c r="XBG23" s="204"/>
      <c r="XBH23" s="204"/>
      <c r="XBI23" s="204"/>
      <c r="XBJ23" s="204"/>
      <c r="XBK23" s="204"/>
      <c r="XBL23" s="204"/>
      <c r="XBM23" s="204"/>
      <c r="XBN23" s="204"/>
      <c r="XBO23" s="204"/>
      <c r="XBP23" s="204"/>
      <c r="XBQ23" s="204"/>
      <c r="XBR23" s="204"/>
      <c r="XBS23" s="204"/>
      <c r="XBT23" s="204"/>
      <c r="XBU23" s="204"/>
      <c r="XBV23" s="204"/>
      <c r="XBW23" s="204"/>
      <c r="XBX23" s="204"/>
      <c r="XBY23" s="204"/>
      <c r="XBZ23" s="204"/>
      <c r="XCA23" s="204"/>
      <c r="XCB23" s="204"/>
      <c r="XCC23" s="204"/>
      <c r="XCD23" s="204"/>
      <c r="XCE23" s="204"/>
      <c r="XCF23" s="204"/>
      <c r="XCG23" s="204"/>
      <c r="XCH23" s="204"/>
      <c r="XCI23" s="204"/>
      <c r="XCJ23" s="204"/>
      <c r="XCK23" s="204"/>
      <c r="XCL23" s="204"/>
      <c r="XCM23" s="204"/>
      <c r="XCN23" s="204"/>
      <c r="XCO23" s="204"/>
      <c r="XCP23" s="204"/>
      <c r="XCQ23" s="204"/>
      <c r="XCR23" s="204"/>
      <c r="XCS23" s="204"/>
      <c r="XCT23" s="204"/>
      <c r="XCU23" s="204"/>
      <c r="XCV23" s="204"/>
      <c r="XCW23" s="204"/>
      <c r="XCX23" s="204"/>
      <c r="XCY23" s="204"/>
      <c r="XCZ23" s="204"/>
      <c r="XDA23" s="204"/>
      <c r="XDB23" s="204"/>
      <c r="XDC23" s="204"/>
      <c r="XDD23" s="204"/>
      <c r="XDE23" s="204"/>
      <c r="XDF23" s="204"/>
      <c r="XDG23" s="204"/>
      <c r="XDH23" s="204"/>
      <c r="XDI23" s="204"/>
      <c r="XDJ23" s="204"/>
      <c r="XDK23" s="204"/>
      <c r="XDL23" s="204"/>
      <c r="XDM23" s="204"/>
      <c r="XDN23" s="204"/>
      <c r="XDO23" s="204"/>
      <c r="XDP23" s="204"/>
      <c r="XDQ23" s="204"/>
      <c r="XDR23" s="204"/>
      <c r="XDS23" s="204"/>
      <c r="XDT23" s="204"/>
      <c r="XDU23" s="204"/>
      <c r="XDV23" s="204"/>
      <c r="XDW23" s="204"/>
      <c r="XDX23" s="204"/>
      <c r="XDY23" s="204"/>
      <c r="XDZ23" s="204"/>
      <c r="XEA23" s="204"/>
      <c r="XEB23" s="204"/>
      <c r="XEC23" s="204"/>
      <c r="XED23" s="204"/>
      <c r="XEE23" s="204"/>
      <c r="XEF23" s="204"/>
      <c r="XEG23" s="204"/>
      <c r="XEH23" s="204"/>
      <c r="XEI23" s="204"/>
      <c r="XEJ23" s="204"/>
      <c r="XEK23" s="204"/>
      <c r="XEL23" s="204"/>
      <c r="XEM23" s="204"/>
      <c r="XEN23" s="204"/>
      <c r="XEO23" s="204"/>
      <c r="XEP23" s="204"/>
      <c r="XEQ23" s="204"/>
      <c r="XER23" s="204"/>
      <c r="XES23" s="204"/>
      <c r="XET23" s="204"/>
      <c r="XEU23" s="204"/>
      <c r="XEV23" s="204"/>
      <c r="XEW23" s="204"/>
      <c r="XEX23" s="204"/>
      <c r="XEY23" s="204"/>
      <c r="XEZ23" s="204"/>
      <c r="XFA23" s="204"/>
      <c r="XFB23" s="204"/>
      <c r="XFC23" s="204"/>
      <c r="XFD23" s="204"/>
    </row>
    <row r="24" spans="1:16384" ht="34.5" customHeight="1" x14ac:dyDescent="0.2">
      <c r="A24" s="203"/>
      <c r="B24" s="371"/>
      <c r="C24" s="372"/>
      <c r="D24" s="357"/>
      <c r="E24" s="183" t="s">
        <v>177</v>
      </c>
      <c r="F24" s="183" t="s">
        <v>178</v>
      </c>
      <c r="G24" s="183" t="s">
        <v>179</v>
      </c>
      <c r="H24" s="183" t="s">
        <v>180</v>
      </c>
      <c r="I24" s="50" t="s">
        <v>177</v>
      </c>
      <c r="J24" s="180" t="s">
        <v>178</v>
      </c>
      <c r="K24" s="180" t="s">
        <v>179</v>
      </c>
      <c r="L24" s="51" t="s">
        <v>180</v>
      </c>
      <c r="M24" s="181" t="s">
        <v>190</v>
      </c>
      <c r="N24" s="182" t="s">
        <v>191</v>
      </c>
      <c r="O24" s="180" t="s">
        <v>190</v>
      </c>
      <c r="P24" s="180" t="s">
        <v>191</v>
      </c>
      <c r="Q24" s="286" t="s">
        <v>169</v>
      </c>
      <c r="R24" s="288" t="s">
        <v>170</v>
      </c>
      <c r="S24" s="287" t="s">
        <v>169</v>
      </c>
      <c r="T24" s="288" t="s">
        <v>170</v>
      </c>
      <c r="U24" s="203"/>
      <c r="V24" s="203"/>
      <c r="W24" s="203"/>
      <c r="X24" s="203"/>
      <c r="Y24" s="203"/>
      <c r="Z24" s="203"/>
      <c r="AA24" s="203"/>
      <c r="AB24" s="203"/>
      <c r="AC24" s="203"/>
      <c r="AD24" s="203"/>
      <c r="AE24" s="203"/>
      <c r="AF24" s="203"/>
      <c r="AG24" s="203"/>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c r="EU24" s="204"/>
      <c r="EV24" s="204"/>
      <c r="EW24" s="204"/>
      <c r="EX24" s="204"/>
      <c r="EY24" s="204"/>
      <c r="EZ24" s="204"/>
      <c r="FA24" s="204"/>
      <c r="FB24" s="204"/>
      <c r="FC24" s="204"/>
      <c r="FD24" s="204"/>
      <c r="FE24" s="204"/>
      <c r="FF24" s="204"/>
      <c r="FG24" s="204"/>
      <c r="FH24" s="204"/>
      <c r="FI24" s="204"/>
      <c r="FJ24" s="204"/>
      <c r="FK24" s="204"/>
      <c r="FL24" s="204"/>
      <c r="FM24" s="204"/>
      <c r="FN24" s="204"/>
      <c r="FO24" s="204"/>
      <c r="FP24" s="204"/>
      <c r="FQ24" s="204"/>
      <c r="FR24" s="204"/>
      <c r="FS24" s="204"/>
      <c r="FT24" s="204"/>
      <c r="FU24" s="204"/>
      <c r="FV24" s="204"/>
      <c r="FW24" s="204"/>
      <c r="FX24" s="204"/>
      <c r="FY24" s="204"/>
      <c r="FZ24" s="204"/>
      <c r="GA24" s="204"/>
      <c r="GB24" s="204"/>
      <c r="GC24" s="204"/>
      <c r="GD24" s="204"/>
      <c r="GE24" s="204"/>
      <c r="GF24" s="204"/>
      <c r="GG24" s="204"/>
      <c r="GH24" s="204"/>
      <c r="GI24" s="204"/>
      <c r="GJ24" s="204"/>
      <c r="GK24" s="204"/>
      <c r="GL24" s="204"/>
      <c r="GM24" s="204"/>
      <c r="GN24" s="204"/>
      <c r="GO24" s="204"/>
      <c r="GP24" s="204"/>
      <c r="GQ24" s="204"/>
      <c r="GR24" s="204"/>
      <c r="GS24" s="204"/>
      <c r="GT24" s="204"/>
      <c r="GU24" s="204"/>
      <c r="GV24" s="204"/>
      <c r="GW24" s="204"/>
      <c r="GX24" s="204"/>
      <c r="GY24" s="204"/>
      <c r="GZ24" s="204"/>
      <c r="HA24" s="204"/>
      <c r="HB24" s="204"/>
      <c r="HC24" s="204"/>
      <c r="HD24" s="204"/>
      <c r="HE24" s="204"/>
      <c r="HF24" s="204"/>
      <c r="HG24" s="204"/>
      <c r="HH24" s="204"/>
      <c r="HI24" s="204"/>
      <c r="HJ24" s="204"/>
      <c r="HK24" s="204"/>
      <c r="HL24" s="204"/>
      <c r="HM24" s="204"/>
      <c r="HN24" s="204"/>
      <c r="HO24" s="204"/>
      <c r="HP24" s="204"/>
      <c r="HQ24" s="204"/>
      <c r="HR24" s="204"/>
      <c r="HS24" s="204"/>
      <c r="HT24" s="204"/>
      <c r="HU24" s="204"/>
      <c r="HV24" s="204"/>
      <c r="HW24" s="204"/>
      <c r="HX24" s="204"/>
      <c r="HY24" s="204"/>
      <c r="HZ24" s="204"/>
      <c r="IA24" s="204"/>
      <c r="IB24" s="204"/>
      <c r="IC24" s="204"/>
      <c r="ID24" s="204"/>
      <c r="IE24" s="204"/>
      <c r="IF24" s="204"/>
      <c r="IG24" s="204"/>
      <c r="IH24" s="204"/>
      <c r="II24" s="204"/>
      <c r="IJ24" s="204"/>
      <c r="IK24" s="204"/>
      <c r="IL24" s="204"/>
      <c r="IM24" s="204"/>
      <c r="IN24" s="204"/>
      <c r="IO24" s="204"/>
      <c r="IP24" s="204"/>
      <c r="IQ24" s="204"/>
      <c r="IR24" s="204"/>
      <c r="IS24" s="204"/>
      <c r="IT24" s="204"/>
      <c r="IU24" s="204"/>
      <c r="IV24" s="204"/>
      <c r="IW24" s="204"/>
      <c r="IX24" s="204"/>
      <c r="IY24" s="204"/>
      <c r="IZ24" s="204"/>
      <c r="JA24" s="204"/>
      <c r="JB24" s="204"/>
      <c r="JC24" s="204"/>
      <c r="JD24" s="204"/>
      <c r="JE24" s="204"/>
      <c r="JF24" s="204"/>
      <c r="JG24" s="204"/>
      <c r="JH24" s="204"/>
      <c r="JI24" s="204"/>
      <c r="JJ24" s="204"/>
      <c r="JK24" s="204"/>
      <c r="JL24" s="204"/>
      <c r="JM24" s="204"/>
      <c r="JN24" s="204"/>
      <c r="JO24" s="204"/>
      <c r="JP24" s="204"/>
      <c r="JQ24" s="204"/>
      <c r="JR24" s="204"/>
      <c r="JS24" s="204"/>
      <c r="JT24" s="204"/>
      <c r="JU24" s="204"/>
      <c r="JV24" s="204"/>
      <c r="JW24" s="204"/>
      <c r="JX24" s="204"/>
      <c r="JY24" s="204"/>
      <c r="JZ24" s="204"/>
      <c r="KA24" s="204"/>
      <c r="KB24" s="204"/>
      <c r="KC24" s="204"/>
      <c r="KD24" s="204"/>
      <c r="KE24" s="204"/>
      <c r="KF24" s="204"/>
      <c r="KG24" s="204"/>
      <c r="KH24" s="204"/>
      <c r="KI24" s="204"/>
      <c r="KJ24" s="204"/>
      <c r="KK24" s="204"/>
      <c r="KL24" s="204"/>
      <c r="KM24" s="204"/>
      <c r="KN24" s="204"/>
      <c r="KO24" s="204"/>
      <c r="KP24" s="204"/>
      <c r="KQ24" s="204"/>
      <c r="KR24" s="204"/>
      <c r="KS24" s="204"/>
      <c r="KT24" s="204"/>
      <c r="KU24" s="204"/>
      <c r="KV24" s="204"/>
      <c r="KW24" s="204"/>
      <c r="KX24" s="204"/>
      <c r="KY24" s="204"/>
      <c r="KZ24" s="204"/>
      <c r="LA24" s="204"/>
      <c r="LB24" s="204"/>
      <c r="LC24" s="204"/>
      <c r="LD24" s="204"/>
      <c r="LE24" s="204"/>
      <c r="LF24" s="204"/>
      <c r="LG24" s="204"/>
      <c r="LH24" s="204"/>
      <c r="LI24" s="204"/>
      <c r="LJ24" s="204"/>
      <c r="LK24" s="204"/>
      <c r="LL24" s="204"/>
      <c r="LM24" s="204"/>
      <c r="LN24" s="204"/>
      <c r="LO24" s="204"/>
      <c r="LP24" s="204"/>
      <c r="LQ24" s="204"/>
      <c r="LR24" s="204"/>
      <c r="LS24" s="204"/>
      <c r="LT24" s="204"/>
      <c r="LU24" s="204"/>
      <c r="LV24" s="204"/>
      <c r="LW24" s="204"/>
      <c r="LX24" s="204"/>
      <c r="LY24" s="204"/>
      <c r="LZ24" s="204"/>
      <c r="MA24" s="204"/>
      <c r="MB24" s="204"/>
      <c r="MC24" s="204"/>
      <c r="MD24" s="204"/>
      <c r="ME24" s="204"/>
      <c r="MF24" s="204"/>
      <c r="MG24" s="204"/>
      <c r="MH24" s="204"/>
      <c r="MI24" s="204"/>
      <c r="MJ24" s="204"/>
      <c r="MK24" s="204"/>
      <c r="ML24" s="204"/>
      <c r="MM24" s="204"/>
      <c r="MN24" s="204"/>
      <c r="MO24" s="204"/>
      <c r="MP24" s="204"/>
      <c r="MQ24" s="204"/>
      <c r="MR24" s="204"/>
      <c r="MS24" s="204"/>
      <c r="MT24" s="204"/>
      <c r="MU24" s="204"/>
      <c r="MV24" s="204"/>
      <c r="MW24" s="204"/>
      <c r="MX24" s="204"/>
      <c r="MY24" s="204"/>
      <c r="MZ24" s="204"/>
      <c r="NA24" s="204"/>
      <c r="NB24" s="204"/>
      <c r="NC24" s="204"/>
      <c r="ND24" s="204"/>
      <c r="NE24" s="204"/>
      <c r="NF24" s="204"/>
      <c r="NG24" s="204"/>
      <c r="NH24" s="204"/>
      <c r="NI24" s="204"/>
      <c r="NJ24" s="204"/>
      <c r="NK24" s="204"/>
      <c r="NL24" s="204"/>
      <c r="NM24" s="204"/>
      <c r="NN24" s="204"/>
      <c r="NO24" s="204"/>
      <c r="NP24" s="204"/>
      <c r="NQ24" s="204"/>
      <c r="NR24" s="204"/>
      <c r="NS24" s="204"/>
      <c r="NT24" s="204"/>
      <c r="NU24" s="204"/>
      <c r="NV24" s="204"/>
      <c r="NW24" s="204"/>
      <c r="NX24" s="204"/>
      <c r="NY24" s="204"/>
      <c r="NZ24" s="204"/>
      <c r="OA24" s="204"/>
      <c r="OB24" s="204"/>
      <c r="OC24" s="204"/>
      <c r="OD24" s="204"/>
      <c r="OE24" s="204"/>
      <c r="OF24" s="204"/>
      <c r="OG24" s="204"/>
      <c r="OH24" s="204"/>
      <c r="OI24" s="204"/>
      <c r="OJ24" s="204"/>
      <c r="OK24" s="204"/>
      <c r="OL24" s="204"/>
      <c r="OM24" s="204"/>
      <c r="ON24" s="204"/>
      <c r="OO24" s="204"/>
      <c r="OP24" s="204"/>
      <c r="OQ24" s="204"/>
      <c r="OR24" s="204"/>
      <c r="OS24" s="204"/>
      <c r="OT24" s="204"/>
      <c r="OU24" s="204"/>
      <c r="OV24" s="204"/>
      <c r="OW24" s="204"/>
      <c r="OX24" s="204"/>
      <c r="OY24" s="204"/>
      <c r="OZ24" s="204"/>
      <c r="PA24" s="204"/>
      <c r="PB24" s="204"/>
      <c r="PC24" s="204"/>
      <c r="PD24" s="204"/>
      <c r="PE24" s="204"/>
      <c r="PF24" s="204"/>
      <c r="PG24" s="204"/>
      <c r="PH24" s="204"/>
      <c r="PI24" s="204"/>
      <c r="PJ24" s="204"/>
      <c r="PK24" s="204"/>
      <c r="PL24" s="204"/>
      <c r="PM24" s="204"/>
      <c r="PN24" s="204"/>
      <c r="PO24" s="204"/>
      <c r="PP24" s="204"/>
      <c r="PQ24" s="204"/>
      <c r="PR24" s="204"/>
      <c r="PS24" s="204"/>
      <c r="PT24" s="204"/>
      <c r="PU24" s="204"/>
      <c r="PV24" s="204"/>
      <c r="PW24" s="204"/>
      <c r="PX24" s="204"/>
      <c r="PY24" s="204"/>
      <c r="PZ24" s="204"/>
      <c r="QA24" s="204"/>
      <c r="QB24" s="204"/>
      <c r="QC24" s="204"/>
      <c r="QD24" s="204"/>
      <c r="QE24" s="204"/>
      <c r="QF24" s="204"/>
      <c r="QG24" s="204"/>
      <c r="QH24" s="204"/>
      <c r="QI24" s="204"/>
      <c r="QJ24" s="204"/>
      <c r="QK24" s="204"/>
      <c r="QL24" s="204"/>
      <c r="QM24" s="204"/>
      <c r="QN24" s="204"/>
      <c r="QO24" s="204"/>
      <c r="QP24" s="204"/>
      <c r="QQ24" s="204"/>
      <c r="QR24" s="204"/>
      <c r="QS24" s="204"/>
      <c r="QT24" s="204"/>
      <c r="QU24" s="204"/>
      <c r="QV24" s="204"/>
      <c r="QW24" s="204"/>
      <c r="QX24" s="204"/>
      <c r="QY24" s="204"/>
      <c r="QZ24" s="204"/>
      <c r="RA24" s="204"/>
      <c r="RB24" s="204"/>
      <c r="RC24" s="204"/>
      <c r="RD24" s="204"/>
      <c r="RE24" s="204"/>
      <c r="RF24" s="204"/>
      <c r="RG24" s="204"/>
      <c r="RH24" s="204"/>
      <c r="RI24" s="204"/>
      <c r="RJ24" s="204"/>
      <c r="RK24" s="204"/>
      <c r="RL24" s="204"/>
      <c r="RM24" s="204"/>
      <c r="RN24" s="204"/>
      <c r="RO24" s="204"/>
      <c r="RP24" s="204"/>
      <c r="RQ24" s="204"/>
      <c r="RR24" s="204"/>
      <c r="RS24" s="204"/>
      <c r="RT24" s="204"/>
      <c r="RU24" s="204"/>
      <c r="RV24" s="204"/>
      <c r="RW24" s="204"/>
      <c r="RX24" s="204"/>
      <c r="RY24" s="204"/>
      <c r="RZ24" s="204"/>
      <c r="SA24" s="204"/>
      <c r="SB24" s="204"/>
      <c r="SC24" s="204"/>
      <c r="SD24" s="204"/>
      <c r="SE24" s="204"/>
      <c r="SF24" s="204"/>
      <c r="SG24" s="204"/>
      <c r="SH24" s="204"/>
      <c r="SI24" s="204"/>
      <c r="SJ24" s="204"/>
      <c r="SK24" s="204"/>
      <c r="SL24" s="204"/>
      <c r="SM24" s="204"/>
      <c r="SN24" s="204"/>
      <c r="SO24" s="204"/>
      <c r="SP24" s="204"/>
      <c r="SQ24" s="204"/>
      <c r="SR24" s="204"/>
      <c r="SS24" s="204"/>
      <c r="ST24" s="204"/>
      <c r="SU24" s="204"/>
      <c r="SV24" s="204"/>
      <c r="SW24" s="204"/>
      <c r="SX24" s="204"/>
      <c r="SY24" s="204"/>
      <c r="SZ24" s="204"/>
      <c r="TA24" s="204"/>
      <c r="TB24" s="204"/>
      <c r="TC24" s="204"/>
      <c r="TD24" s="204"/>
      <c r="TE24" s="204"/>
      <c r="TF24" s="204"/>
      <c r="TG24" s="204"/>
      <c r="TH24" s="204"/>
      <c r="TI24" s="204"/>
      <c r="TJ24" s="204"/>
      <c r="TK24" s="204"/>
      <c r="TL24" s="204"/>
      <c r="TM24" s="204"/>
      <c r="TN24" s="204"/>
      <c r="TO24" s="204"/>
      <c r="TP24" s="204"/>
      <c r="TQ24" s="204"/>
      <c r="TR24" s="204"/>
      <c r="TS24" s="204"/>
      <c r="TT24" s="204"/>
      <c r="TU24" s="204"/>
      <c r="TV24" s="204"/>
      <c r="TW24" s="204"/>
      <c r="TX24" s="204"/>
      <c r="TY24" s="204"/>
      <c r="TZ24" s="204"/>
      <c r="UA24" s="204"/>
      <c r="UB24" s="204"/>
      <c r="UC24" s="204"/>
      <c r="UD24" s="204"/>
      <c r="UE24" s="204"/>
      <c r="UF24" s="204"/>
      <c r="UG24" s="204"/>
      <c r="UH24" s="204"/>
      <c r="UI24" s="204"/>
      <c r="UJ24" s="204"/>
      <c r="UK24" s="204"/>
      <c r="UL24" s="204"/>
      <c r="UM24" s="204"/>
      <c r="UN24" s="204"/>
      <c r="UO24" s="204"/>
      <c r="UP24" s="204"/>
      <c r="UQ24" s="204"/>
      <c r="UR24" s="204"/>
      <c r="US24" s="204"/>
      <c r="UT24" s="204"/>
      <c r="UU24" s="204"/>
      <c r="UV24" s="204"/>
      <c r="UW24" s="204"/>
      <c r="UX24" s="204"/>
      <c r="UY24" s="204"/>
      <c r="UZ24" s="204"/>
      <c r="VA24" s="204"/>
      <c r="VB24" s="204"/>
      <c r="VC24" s="204"/>
      <c r="VD24" s="204"/>
      <c r="VE24" s="204"/>
      <c r="VF24" s="204"/>
      <c r="VG24" s="204"/>
      <c r="VH24" s="204"/>
      <c r="VI24" s="204"/>
      <c r="VJ24" s="204"/>
      <c r="VK24" s="204"/>
      <c r="VL24" s="204"/>
      <c r="VM24" s="204"/>
      <c r="VN24" s="204"/>
      <c r="VO24" s="204"/>
      <c r="VP24" s="204"/>
      <c r="VQ24" s="204"/>
      <c r="VR24" s="204"/>
      <c r="VS24" s="204"/>
      <c r="VT24" s="204"/>
      <c r="VU24" s="204"/>
      <c r="VV24" s="204"/>
      <c r="VW24" s="204"/>
      <c r="VX24" s="204"/>
      <c r="VY24" s="204"/>
      <c r="VZ24" s="204"/>
      <c r="WA24" s="204"/>
      <c r="WB24" s="204"/>
      <c r="WC24" s="204"/>
      <c r="WD24" s="204"/>
      <c r="WE24" s="204"/>
      <c r="WF24" s="204"/>
      <c r="WG24" s="204"/>
      <c r="WH24" s="204"/>
      <c r="WI24" s="204"/>
      <c r="WJ24" s="204"/>
      <c r="WK24" s="204"/>
      <c r="WL24" s="204"/>
      <c r="WM24" s="204"/>
      <c r="WN24" s="204"/>
      <c r="WO24" s="204"/>
      <c r="WP24" s="204"/>
      <c r="WQ24" s="204"/>
      <c r="WR24" s="204"/>
      <c r="WS24" s="204"/>
      <c r="WT24" s="204"/>
      <c r="WU24" s="204"/>
      <c r="WV24" s="204"/>
      <c r="WW24" s="204"/>
      <c r="WX24" s="204"/>
      <c r="WY24" s="204"/>
      <c r="WZ24" s="204"/>
      <c r="XA24" s="204"/>
      <c r="XB24" s="204"/>
      <c r="XC24" s="204"/>
      <c r="XD24" s="204"/>
      <c r="XE24" s="204"/>
      <c r="XF24" s="204"/>
      <c r="XG24" s="204"/>
      <c r="XH24" s="204"/>
      <c r="XI24" s="204"/>
      <c r="XJ24" s="204"/>
      <c r="XK24" s="204"/>
      <c r="XL24" s="204"/>
      <c r="XM24" s="204"/>
      <c r="XN24" s="204"/>
      <c r="XO24" s="204"/>
      <c r="XP24" s="204"/>
      <c r="XQ24" s="204"/>
      <c r="XR24" s="204"/>
      <c r="XS24" s="204"/>
      <c r="XT24" s="204"/>
      <c r="XU24" s="204"/>
      <c r="XV24" s="204"/>
      <c r="XW24" s="204"/>
      <c r="XX24" s="204"/>
      <c r="XY24" s="204"/>
      <c r="XZ24" s="204"/>
      <c r="YA24" s="204"/>
      <c r="YB24" s="204"/>
      <c r="YC24" s="204"/>
      <c r="YD24" s="204"/>
      <c r="YE24" s="204"/>
      <c r="YF24" s="204"/>
      <c r="YG24" s="204"/>
      <c r="YH24" s="204"/>
      <c r="YI24" s="204"/>
      <c r="YJ24" s="204"/>
      <c r="YK24" s="204"/>
      <c r="YL24" s="204"/>
      <c r="YM24" s="204"/>
      <c r="YN24" s="204"/>
      <c r="YO24" s="204"/>
      <c r="YP24" s="204"/>
      <c r="YQ24" s="204"/>
      <c r="YR24" s="204"/>
      <c r="YS24" s="204"/>
      <c r="YT24" s="204"/>
      <c r="YU24" s="204"/>
      <c r="YV24" s="204"/>
      <c r="YW24" s="204"/>
      <c r="YX24" s="204"/>
      <c r="YY24" s="204"/>
      <c r="YZ24" s="204"/>
      <c r="ZA24" s="204"/>
      <c r="ZB24" s="204"/>
      <c r="ZC24" s="204"/>
      <c r="ZD24" s="204"/>
      <c r="ZE24" s="204"/>
      <c r="ZF24" s="204"/>
      <c r="ZG24" s="204"/>
      <c r="ZH24" s="204"/>
      <c r="ZI24" s="204"/>
      <c r="ZJ24" s="204"/>
      <c r="ZK24" s="204"/>
      <c r="ZL24" s="204"/>
      <c r="ZM24" s="204"/>
      <c r="ZN24" s="204"/>
      <c r="ZO24" s="204"/>
      <c r="ZP24" s="204"/>
      <c r="ZQ24" s="204"/>
      <c r="ZR24" s="204"/>
      <c r="ZS24" s="204"/>
      <c r="ZT24" s="204"/>
      <c r="ZU24" s="204"/>
      <c r="ZV24" s="204"/>
      <c r="ZW24" s="204"/>
      <c r="ZX24" s="204"/>
      <c r="ZY24" s="204"/>
      <c r="ZZ24" s="204"/>
      <c r="AAA24" s="204"/>
      <c r="AAB24" s="204"/>
      <c r="AAC24" s="204"/>
      <c r="AAD24" s="204"/>
      <c r="AAE24" s="204"/>
      <c r="AAF24" s="204"/>
      <c r="AAG24" s="204"/>
      <c r="AAH24" s="204"/>
      <c r="AAI24" s="204"/>
      <c r="AAJ24" s="204"/>
      <c r="AAK24" s="204"/>
      <c r="AAL24" s="204"/>
      <c r="AAM24" s="204"/>
      <c r="AAN24" s="204"/>
      <c r="AAO24" s="204"/>
      <c r="AAP24" s="204"/>
      <c r="AAQ24" s="204"/>
      <c r="AAR24" s="204"/>
      <c r="AAS24" s="204"/>
      <c r="AAT24" s="204"/>
      <c r="AAU24" s="204"/>
      <c r="AAV24" s="204"/>
      <c r="AAW24" s="204"/>
      <c r="AAX24" s="204"/>
      <c r="AAY24" s="204"/>
      <c r="AAZ24" s="204"/>
      <c r="ABA24" s="204"/>
      <c r="ABB24" s="204"/>
      <c r="ABC24" s="204"/>
      <c r="ABD24" s="204"/>
      <c r="ABE24" s="204"/>
      <c r="ABF24" s="204"/>
      <c r="ABG24" s="204"/>
      <c r="ABH24" s="204"/>
      <c r="ABI24" s="204"/>
      <c r="ABJ24" s="204"/>
      <c r="ABK24" s="204"/>
      <c r="ABL24" s="204"/>
      <c r="ABM24" s="204"/>
      <c r="ABN24" s="204"/>
      <c r="ABO24" s="204"/>
      <c r="ABP24" s="204"/>
      <c r="ABQ24" s="204"/>
      <c r="ABR24" s="204"/>
      <c r="ABS24" s="204"/>
      <c r="ABT24" s="204"/>
      <c r="ABU24" s="204"/>
      <c r="ABV24" s="204"/>
      <c r="ABW24" s="204"/>
      <c r="ABX24" s="204"/>
      <c r="ABY24" s="204"/>
      <c r="ABZ24" s="204"/>
      <c r="ACA24" s="204"/>
      <c r="ACB24" s="204"/>
      <c r="ACC24" s="204"/>
      <c r="ACD24" s="204"/>
      <c r="ACE24" s="204"/>
      <c r="ACF24" s="204"/>
      <c r="ACG24" s="204"/>
      <c r="ACH24" s="204"/>
      <c r="ACI24" s="204"/>
      <c r="ACJ24" s="204"/>
      <c r="ACK24" s="204"/>
      <c r="ACL24" s="204"/>
      <c r="ACM24" s="204"/>
      <c r="ACN24" s="204"/>
      <c r="ACO24" s="204"/>
      <c r="ACP24" s="204"/>
      <c r="ACQ24" s="204"/>
      <c r="ACR24" s="204"/>
      <c r="ACS24" s="204"/>
      <c r="ACT24" s="204"/>
      <c r="ACU24" s="204"/>
      <c r="ACV24" s="204"/>
      <c r="ACW24" s="204"/>
      <c r="ACX24" s="204"/>
      <c r="ACY24" s="204"/>
      <c r="ACZ24" s="204"/>
      <c r="ADA24" s="204"/>
      <c r="ADB24" s="204"/>
      <c r="ADC24" s="204"/>
      <c r="ADD24" s="204"/>
      <c r="ADE24" s="204"/>
      <c r="ADF24" s="204"/>
      <c r="ADG24" s="204"/>
      <c r="ADH24" s="204"/>
      <c r="ADI24" s="204"/>
      <c r="ADJ24" s="204"/>
      <c r="ADK24" s="204"/>
      <c r="ADL24" s="204"/>
      <c r="ADM24" s="204"/>
      <c r="ADN24" s="204"/>
      <c r="ADO24" s="204"/>
      <c r="ADP24" s="204"/>
      <c r="ADQ24" s="204"/>
      <c r="ADR24" s="204"/>
      <c r="ADS24" s="204"/>
      <c r="ADT24" s="204"/>
      <c r="ADU24" s="204"/>
      <c r="ADV24" s="204"/>
      <c r="ADW24" s="204"/>
      <c r="ADX24" s="204"/>
      <c r="ADY24" s="204"/>
      <c r="ADZ24" s="204"/>
      <c r="AEA24" s="204"/>
      <c r="AEB24" s="204"/>
      <c r="AEC24" s="204"/>
      <c r="AED24" s="204"/>
      <c r="AEE24" s="204"/>
      <c r="AEF24" s="204"/>
      <c r="AEG24" s="204"/>
      <c r="AEH24" s="204"/>
      <c r="AEI24" s="204"/>
      <c r="AEJ24" s="204"/>
      <c r="AEK24" s="204"/>
      <c r="AEL24" s="204"/>
      <c r="AEM24" s="204"/>
      <c r="AEN24" s="204"/>
      <c r="AEO24" s="204"/>
      <c r="AEP24" s="204"/>
      <c r="AEQ24" s="204"/>
      <c r="AER24" s="204"/>
      <c r="AES24" s="204"/>
      <c r="AET24" s="204"/>
      <c r="AEU24" s="204"/>
      <c r="AEV24" s="204"/>
      <c r="AEW24" s="204"/>
      <c r="AEX24" s="204"/>
      <c r="AEY24" s="204"/>
      <c r="AEZ24" s="204"/>
      <c r="AFA24" s="204"/>
      <c r="AFB24" s="204"/>
      <c r="AFC24" s="204"/>
      <c r="AFD24" s="204"/>
      <c r="AFE24" s="204"/>
      <c r="AFF24" s="204"/>
      <c r="AFG24" s="204"/>
      <c r="AFH24" s="204"/>
      <c r="AFI24" s="204"/>
      <c r="AFJ24" s="204"/>
      <c r="AFK24" s="204"/>
      <c r="AFL24" s="204"/>
      <c r="AFM24" s="204"/>
      <c r="AFN24" s="204"/>
      <c r="AFO24" s="204"/>
      <c r="AFP24" s="204"/>
      <c r="AFQ24" s="204"/>
      <c r="AFR24" s="204"/>
      <c r="AFS24" s="204"/>
      <c r="AFT24" s="204"/>
      <c r="AFU24" s="204"/>
      <c r="AFV24" s="204"/>
      <c r="AFW24" s="204"/>
      <c r="AFX24" s="204"/>
      <c r="AFY24" s="204"/>
      <c r="AFZ24" s="204"/>
      <c r="AGA24" s="204"/>
      <c r="AGB24" s="204"/>
      <c r="AGC24" s="204"/>
      <c r="AGD24" s="204"/>
      <c r="AGE24" s="204"/>
      <c r="AGF24" s="204"/>
      <c r="AGG24" s="204"/>
      <c r="AGH24" s="204"/>
      <c r="AGI24" s="204"/>
      <c r="AGJ24" s="204"/>
      <c r="AGK24" s="204"/>
      <c r="AGL24" s="204"/>
      <c r="AGM24" s="204"/>
      <c r="AGN24" s="204"/>
      <c r="AGO24" s="204"/>
      <c r="AGP24" s="204"/>
      <c r="AGQ24" s="204"/>
      <c r="AGR24" s="204"/>
      <c r="AGS24" s="204"/>
      <c r="AGT24" s="204"/>
      <c r="AGU24" s="204"/>
      <c r="AGV24" s="204"/>
      <c r="AGW24" s="204"/>
      <c r="AGX24" s="204"/>
      <c r="AGY24" s="204"/>
      <c r="AGZ24" s="204"/>
      <c r="AHA24" s="204"/>
      <c r="AHB24" s="204"/>
      <c r="AHC24" s="204"/>
      <c r="AHD24" s="204"/>
      <c r="AHE24" s="204"/>
      <c r="AHF24" s="204"/>
      <c r="AHG24" s="204"/>
      <c r="AHH24" s="204"/>
      <c r="AHI24" s="204"/>
      <c r="AHJ24" s="204"/>
      <c r="AHK24" s="204"/>
      <c r="AHL24" s="204"/>
      <c r="AHM24" s="204"/>
      <c r="AHN24" s="204"/>
      <c r="AHO24" s="204"/>
      <c r="AHP24" s="204"/>
      <c r="AHQ24" s="204"/>
      <c r="AHR24" s="204"/>
      <c r="AHS24" s="204"/>
      <c r="AHT24" s="204"/>
      <c r="AHU24" s="204"/>
      <c r="AHV24" s="204"/>
      <c r="AHW24" s="204"/>
      <c r="AHX24" s="204"/>
      <c r="AHY24" s="204"/>
      <c r="AHZ24" s="204"/>
      <c r="AIA24" s="204"/>
      <c r="AIB24" s="204"/>
      <c r="AIC24" s="204"/>
      <c r="AID24" s="204"/>
      <c r="AIE24" s="204"/>
      <c r="AIF24" s="204"/>
      <c r="AIG24" s="204"/>
      <c r="AIH24" s="204"/>
      <c r="AII24" s="204"/>
      <c r="AIJ24" s="204"/>
      <c r="AIK24" s="204"/>
      <c r="AIL24" s="204"/>
      <c r="AIM24" s="204"/>
      <c r="AIN24" s="204"/>
      <c r="AIO24" s="204"/>
      <c r="AIP24" s="204"/>
      <c r="AIQ24" s="204"/>
      <c r="AIR24" s="204"/>
      <c r="AIS24" s="204"/>
      <c r="AIT24" s="204"/>
      <c r="AIU24" s="204"/>
      <c r="AIV24" s="204"/>
      <c r="AIW24" s="204"/>
      <c r="AIX24" s="204"/>
      <c r="AIY24" s="204"/>
      <c r="AIZ24" s="204"/>
      <c r="AJA24" s="204"/>
      <c r="AJB24" s="204"/>
      <c r="AJC24" s="204"/>
      <c r="AJD24" s="204"/>
      <c r="AJE24" s="204"/>
      <c r="AJF24" s="204"/>
      <c r="AJG24" s="204"/>
      <c r="AJH24" s="204"/>
      <c r="AJI24" s="204"/>
      <c r="AJJ24" s="204"/>
      <c r="AJK24" s="204"/>
      <c r="AJL24" s="204"/>
      <c r="AJM24" s="204"/>
      <c r="AJN24" s="204"/>
      <c r="AJO24" s="204"/>
      <c r="AJP24" s="204"/>
      <c r="AJQ24" s="204"/>
      <c r="AJR24" s="204"/>
      <c r="AJS24" s="204"/>
      <c r="AJT24" s="204"/>
      <c r="AJU24" s="204"/>
      <c r="AJV24" s="204"/>
      <c r="AJW24" s="204"/>
      <c r="AJX24" s="204"/>
      <c r="AJY24" s="204"/>
      <c r="AJZ24" s="204"/>
      <c r="AKA24" s="204"/>
      <c r="AKB24" s="204"/>
      <c r="AKC24" s="204"/>
      <c r="AKD24" s="204"/>
      <c r="AKE24" s="204"/>
      <c r="AKF24" s="204"/>
      <c r="AKG24" s="204"/>
      <c r="AKH24" s="204"/>
      <c r="AKI24" s="204"/>
      <c r="AKJ24" s="204"/>
      <c r="AKK24" s="204"/>
      <c r="AKL24" s="204"/>
      <c r="AKM24" s="204"/>
      <c r="AKN24" s="204"/>
      <c r="AKO24" s="204"/>
      <c r="AKP24" s="204"/>
      <c r="AKQ24" s="204"/>
      <c r="AKR24" s="204"/>
      <c r="AKS24" s="204"/>
      <c r="AKT24" s="204"/>
      <c r="AKU24" s="204"/>
      <c r="AKV24" s="204"/>
      <c r="AKW24" s="204"/>
      <c r="AKX24" s="204"/>
      <c r="AKY24" s="204"/>
      <c r="AKZ24" s="204"/>
      <c r="ALA24" s="204"/>
      <c r="ALB24" s="204"/>
      <c r="ALC24" s="204"/>
      <c r="ALD24" s="204"/>
      <c r="ALE24" s="204"/>
      <c r="ALF24" s="204"/>
      <c r="ALG24" s="204"/>
      <c r="ALH24" s="204"/>
      <c r="ALI24" s="204"/>
      <c r="ALJ24" s="204"/>
      <c r="ALK24" s="204"/>
      <c r="ALL24" s="204"/>
      <c r="ALM24" s="204"/>
      <c r="ALN24" s="204"/>
      <c r="ALO24" s="204"/>
      <c r="ALP24" s="204"/>
      <c r="ALQ24" s="204"/>
      <c r="ALR24" s="204"/>
      <c r="ALS24" s="204"/>
      <c r="ALT24" s="204"/>
      <c r="ALU24" s="204"/>
      <c r="ALV24" s="204"/>
      <c r="ALW24" s="204"/>
      <c r="ALX24" s="204"/>
      <c r="ALY24" s="204"/>
      <c r="ALZ24" s="204"/>
      <c r="AMA24" s="204"/>
      <c r="AMB24" s="204"/>
      <c r="AMC24" s="204"/>
      <c r="AMD24" s="204"/>
      <c r="AME24" s="204"/>
      <c r="AMF24" s="204"/>
      <c r="AMG24" s="204"/>
      <c r="AMH24" s="204"/>
      <c r="AMI24" s="204"/>
      <c r="AMJ24" s="204"/>
      <c r="AMK24" s="204"/>
      <c r="AML24" s="204"/>
      <c r="AMM24" s="204"/>
      <c r="AMN24" s="204"/>
      <c r="AMO24" s="204"/>
      <c r="AMP24" s="204"/>
      <c r="AMQ24" s="204"/>
      <c r="AMR24" s="204"/>
      <c r="AMS24" s="204"/>
      <c r="AMT24" s="204"/>
      <c r="AMU24" s="204"/>
      <c r="AMV24" s="204"/>
      <c r="AMW24" s="204"/>
      <c r="AMX24" s="204"/>
      <c r="AMY24" s="204"/>
      <c r="AMZ24" s="204"/>
      <c r="ANA24" s="204"/>
      <c r="ANB24" s="204"/>
      <c r="ANC24" s="204"/>
      <c r="AND24" s="204"/>
      <c r="ANE24" s="204"/>
      <c r="ANF24" s="204"/>
      <c r="ANG24" s="204"/>
      <c r="ANH24" s="204"/>
      <c r="ANI24" s="204"/>
      <c r="ANJ24" s="204"/>
      <c r="ANK24" s="204"/>
      <c r="ANL24" s="204"/>
      <c r="ANM24" s="204"/>
      <c r="ANN24" s="204"/>
      <c r="ANO24" s="204"/>
      <c r="ANP24" s="204"/>
      <c r="ANQ24" s="204"/>
      <c r="ANR24" s="204"/>
      <c r="ANS24" s="204"/>
      <c r="ANT24" s="204"/>
      <c r="ANU24" s="204"/>
      <c r="ANV24" s="204"/>
      <c r="ANW24" s="204"/>
      <c r="ANX24" s="204"/>
      <c r="ANY24" s="204"/>
      <c r="ANZ24" s="204"/>
      <c r="AOA24" s="204"/>
      <c r="AOB24" s="204"/>
      <c r="AOC24" s="204"/>
      <c r="AOD24" s="204"/>
      <c r="AOE24" s="204"/>
      <c r="AOF24" s="204"/>
      <c r="AOG24" s="204"/>
      <c r="AOH24" s="204"/>
      <c r="AOI24" s="204"/>
      <c r="AOJ24" s="204"/>
      <c r="AOK24" s="204"/>
      <c r="AOL24" s="204"/>
      <c r="AOM24" s="204"/>
      <c r="AON24" s="204"/>
      <c r="AOO24" s="204"/>
      <c r="AOP24" s="204"/>
      <c r="AOQ24" s="204"/>
      <c r="AOR24" s="204"/>
      <c r="AOS24" s="204"/>
      <c r="AOT24" s="204"/>
      <c r="AOU24" s="204"/>
      <c r="AOV24" s="204"/>
      <c r="AOW24" s="204"/>
      <c r="AOX24" s="204"/>
      <c r="AOY24" s="204"/>
      <c r="AOZ24" s="204"/>
      <c r="APA24" s="204"/>
      <c r="APB24" s="204"/>
      <c r="APC24" s="204"/>
      <c r="APD24" s="204"/>
      <c r="APE24" s="204"/>
      <c r="APF24" s="204"/>
      <c r="APG24" s="204"/>
      <c r="APH24" s="204"/>
      <c r="API24" s="204"/>
      <c r="APJ24" s="204"/>
      <c r="APK24" s="204"/>
      <c r="APL24" s="204"/>
      <c r="APM24" s="204"/>
      <c r="APN24" s="204"/>
      <c r="APO24" s="204"/>
      <c r="APP24" s="204"/>
      <c r="APQ24" s="204"/>
      <c r="APR24" s="204"/>
      <c r="APS24" s="204"/>
      <c r="APT24" s="204"/>
      <c r="APU24" s="204"/>
      <c r="APV24" s="204"/>
      <c r="APW24" s="204"/>
      <c r="APX24" s="204"/>
      <c r="APY24" s="204"/>
      <c r="APZ24" s="204"/>
      <c r="AQA24" s="204"/>
      <c r="AQB24" s="204"/>
      <c r="AQC24" s="204"/>
      <c r="AQD24" s="204"/>
      <c r="AQE24" s="204"/>
      <c r="AQF24" s="204"/>
      <c r="AQG24" s="204"/>
      <c r="AQH24" s="204"/>
      <c r="AQI24" s="204"/>
      <c r="AQJ24" s="204"/>
      <c r="AQK24" s="204"/>
      <c r="AQL24" s="204"/>
      <c r="AQM24" s="204"/>
      <c r="AQN24" s="204"/>
      <c r="AQO24" s="204"/>
      <c r="AQP24" s="204"/>
      <c r="AQQ24" s="204"/>
      <c r="AQR24" s="204"/>
      <c r="AQS24" s="204"/>
      <c r="AQT24" s="204"/>
      <c r="AQU24" s="204"/>
      <c r="AQV24" s="204"/>
      <c r="AQW24" s="204"/>
      <c r="AQX24" s="204"/>
      <c r="AQY24" s="204"/>
      <c r="AQZ24" s="204"/>
      <c r="ARA24" s="204"/>
      <c r="ARB24" s="204"/>
      <c r="ARC24" s="204"/>
      <c r="ARD24" s="204"/>
      <c r="ARE24" s="204"/>
      <c r="ARF24" s="204"/>
      <c r="ARG24" s="204"/>
      <c r="ARH24" s="204"/>
      <c r="ARI24" s="204"/>
      <c r="ARJ24" s="204"/>
      <c r="ARK24" s="204"/>
      <c r="ARL24" s="204"/>
      <c r="ARM24" s="204"/>
      <c r="ARN24" s="204"/>
      <c r="ARO24" s="204"/>
      <c r="ARP24" s="204"/>
      <c r="ARQ24" s="204"/>
      <c r="ARR24" s="204"/>
      <c r="ARS24" s="204"/>
      <c r="ART24" s="204"/>
      <c r="ARU24" s="204"/>
      <c r="ARV24" s="204"/>
      <c r="ARW24" s="204"/>
      <c r="ARX24" s="204"/>
      <c r="ARY24" s="204"/>
      <c r="ARZ24" s="204"/>
      <c r="ASA24" s="204"/>
      <c r="ASB24" s="204"/>
      <c r="ASC24" s="204"/>
      <c r="ASD24" s="204"/>
      <c r="ASE24" s="204"/>
      <c r="ASF24" s="204"/>
      <c r="ASG24" s="204"/>
      <c r="ASH24" s="204"/>
      <c r="ASI24" s="204"/>
      <c r="ASJ24" s="204"/>
      <c r="ASK24" s="204"/>
      <c r="ASL24" s="204"/>
      <c r="ASM24" s="204"/>
      <c r="ASN24" s="204"/>
      <c r="ASO24" s="204"/>
      <c r="ASP24" s="204"/>
      <c r="ASQ24" s="204"/>
      <c r="ASR24" s="204"/>
      <c r="ASS24" s="204"/>
      <c r="AST24" s="204"/>
      <c r="ASU24" s="204"/>
      <c r="ASV24" s="204"/>
      <c r="ASW24" s="204"/>
      <c r="ASX24" s="204"/>
      <c r="ASY24" s="204"/>
      <c r="ASZ24" s="204"/>
      <c r="ATA24" s="204"/>
      <c r="ATB24" s="204"/>
      <c r="ATC24" s="204"/>
      <c r="ATD24" s="204"/>
      <c r="ATE24" s="204"/>
      <c r="ATF24" s="204"/>
      <c r="ATG24" s="204"/>
      <c r="ATH24" s="204"/>
      <c r="ATI24" s="204"/>
      <c r="ATJ24" s="204"/>
      <c r="ATK24" s="204"/>
      <c r="ATL24" s="204"/>
      <c r="ATM24" s="204"/>
      <c r="ATN24" s="204"/>
      <c r="ATO24" s="204"/>
      <c r="ATP24" s="204"/>
      <c r="ATQ24" s="204"/>
      <c r="ATR24" s="204"/>
      <c r="ATS24" s="204"/>
      <c r="ATT24" s="204"/>
      <c r="ATU24" s="204"/>
      <c r="ATV24" s="204"/>
      <c r="ATW24" s="204"/>
      <c r="ATX24" s="204"/>
      <c r="ATY24" s="204"/>
      <c r="ATZ24" s="204"/>
      <c r="AUA24" s="204"/>
      <c r="AUB24" s="204"/>
      <c r="AUC24" s="204"/>
      <c r="AUD24" s="204"/>
      <c r="AUE24" s="204"/>
      <c r="AUF24" s="204"/>
      <c r="AUG24" s="204"/>
      <c r="AUH24" s="204"/>
      <c r="AUI24" s="204"/>
      <c r="AUJ24" s="204"/>
      <c r="AUK24" s="204"/>
      <c r="AUL24" s="204"/>
      <c r="AUM24" s="204"/>
      <c r="AUN24" s="204"/>
      <c r="AUO24" s="204"/>
      <c r="AUP24" s="204"/>
      <c r="AUQ24" s="204"/>
      <c r="AUR24" s="204"/>
      <c r="AUS24" s="204"/>
      <c r="AUT24" s="204"/>
      <c r="AUU24" s="204"/>
      <c r="AUV24" s="204"/>
      <c r="AUW24" s="204"/>
      <c r="AUX24" s="204"/>
      <c r="AUY24" s="204"/>
      <c r="AUZ24" s="204"/>
      <c r="AVA24" s="204"/>
      <c r="AVB24" s="204"/>
      <c r="AVC24" s="204"/>
      <c r="AVD24" s="204"/>
      <c r="AVE24" s="204"/>
      <c r="AVF24" s="204"/>
      <c r="AVG24" s="204"/>
      <c r="AVH24" s="204"/>
      <c r="AVI24" s="204"/>
      <c r="AVJ24" s="204"/>
      <c r="AVK24" s="204"/>
      <c r="AVL24" s="204"/>
      <c r="AVM24" s="204"/>
      <c r="AVN24" s="204"/>
      <c r="AVO24" s="204"/>
      <c r="AVP24" s="204"/>
      <c r="AVQ24" s="204"/>
      <c r="AVR24" s="204"/>
      <c r="AVS24" s="204"/>
      <c r="AVT24" s="204"/>
      <c r="AVU24" s="204"/>
      <c r="AVV24" s="204"/>
      <c r="AVW24" s="204"/>
      <c r="AVX24" s="204"/>
      <c r="AVY24" s="204"/>
      <c r="AVZ24" s="204"/>
      <c r="AWA24" s="204"/>
      <c r="AWB24" s="204"/>
      <c r="AWC24" s="204"/>
      <c r="AWD24" s="204"/>
      <c r="AWE24" s="204"/>
      <c r="AWF24" s="204"/>
      <c r="AWG24" s="204"/>
      <c r="AWH24" s="204"/>
      <c r="AWI24" s="204"/>
      <c r="AWJ24" s="204"/>
      <c r="AWK24" s="204"/>
      <c r="AWL24" s="204"/>
      <c r="AWM24" s="204"/>
      <c r="AWN24" s="204"/>
      <c r="AWO24" s="204"/>
      <c r="AWP24" s="204"/>
      <c r="AWQ24" s="204"/>
      <c r="AWR24" s="204"/>
      <c r="AWS24" s="204"/>
      <c r="AWT24" s="204"/>
      <c r="AWU24" s="204"/>
      <c r="AWV24" s="204"/>
      <c r="AWW24" s="204"/>
      <c r="AWX24" s="204"/>
      <c r="AWY24" s="204"/>
      <c r="AWZ24" s="204"/>
      <c r="AXA24" s="204"/>
      <c r="AXB24" s="204"/>
      <c r="AXC24" s="204"/>
      <c r="AXD24" s="204"/>
      <c r="AXE24" s="204"/>
      <c r="AXF24" s="204"/>
      <c r="AXG24" s="204"/>
      <c r="AXH24" s="204"/>
      <c r="AXI24" s="204"/>
      <c r="AXJ24" s="204"/>
      <c r="AXK24" s="204"/>
      <c r="AXL24" s="204"/>
      <c r="AXM24" s="204"/>
      <c r="AXN24" s="204"/>
      <c r="AXO24" s="204"/>
      <c r="AXP24" s="204"/>
      <c r="AXQ24" s="204"/>
      <c r="AXR24" s="204"/>
      <c r="AXS24" s="204"/>
      <c r="AXT24" s="204"/>
      <c r="AXU24" s="204"/>
      <c r="AXV24" s="204"/>
      <c r="AXW24" s="204"/>
      <c r="AXX24" s="204"/>
      <c r="AXY24" s="204"/>
      <c r="AXZ24" s="204"/>
      <c r="AYA24" s="204"/>
      <c r="AYB24" s="204"/>
      <c r="AYC24" s="204"/>
      <c r="AYD24" s="204"/>
      <c r="AYE24" s="204"/>
      <c r="AYF24" s="204"/>
      <c r="AYG24" s="204"/>
      <c r="AYH24" s="204"/>
      <c r="AYI24" s="204"/>
      <c r="AYJ24" s="204"/>
      <c r="AYK24" s="204"/>
      <c r="AYL24" s="204"/>
      <c r="AYM24" s="204"/>
      <c r="AYN24" s="204"/>
      <c r="AYO24" s="204"/>
      <c r="AYP24" s="204"/>
      <c r="AYQ24" s="204"/>
      <c r="AYR24" s="204"/>
      <c r="AYS24" s="204"/>
      <c r="AYT24" s="204"/>
      <c r="AYU24" s="204"/>
      <c r="AYV24" s="204"/>
      <c r="AYW24" s="204"/>
      <c r="AYX24" s="204"/>
      <c r="AYY24" s="204"/>
      <c r="AYZ24" s="204"/>
      <c r="AZA24" s="204"/>
      <c r="AZB24" s="204"/>
      <c r="AZC24" s="204"/>
      <c r="AZD24" s="204"/>
      <c r="AZE24" s="204"/>
      <c r="AZF24" s="204"/>
      <c r="AZG24" s="204"/>
      <c r="AZH24" s="204"/>
      <c r="AZI24" s="204"/>
      <c r="AZJ24" s="204"/>
      <c r="AZK24" s="204"/>
      <c r="AZL24" s="204"/>
      <c r="AZM24" s="204"/>
      <c r="AZN24" s="204"/>
      <c r="AZO24" s="204"/>
      <c r="AZP24" s="204"/>
      <c r="AZQ24" s="204"/>
      <c r="AZR24" s="204"/>
      <c r="AZS24" s="204"/>
      <c r="AZT24" s="204"/>
      <c r="AZU24" s="204"/>
      <c r="AZV24" s="204"/>
      <c r="AZW24" s="204"/>
      <c r="AZX24" s="204"/>
      <c r="AZY24" s="204"/>
      <c r="AZZ24" s="204"/>
      <c r="BAA24" s="204"/>
      <c r="BAB24" s="204"/>
      <c r="BAC24" s="204"/>
      <c r="BAD24" s="204"/>
      <c r="BAE24" s="204"/>
      <c r="BAF24" s="204"/>
      <c r="BAG24" s="204"/>
      <c r="BAH24" s="204"/>
      <c r="BAI24" s="204"/>
      <c r="BAJ24" s="204"/>
      <c r="BAK24" s="204"/>
      <c r="BAL24" s="204"/>
      <c r="BAM24" s="204"/>
      <c r="BAN24" s="204"/>
      <c r="BAO24" s="204"/>
      <c r="BAP24" s="204"/>
      <c r="BAQ24" s="204"/>
      <c r="BAR24" s="204"/>
      <c r="BAS24" s="204"/>
      <c r="BAT24" s="204"/>
      <c r="BAU24" s="204"/>
      <c r="BAV24" s="204"/>
      <c r="BAW24" s="204"/>
      <c r="BAX24" s="204"/>
      <c r="BAY24" s="204"/>
      <c r="BAZ24" s="204"/>
      <c r="BBA24" s="204"/>
      <c r="BBB24" s="204"/>
      <c r="BBC24" s="204"/>
      <c r="BBD24" s="204"/>
      <c r="BBE24" s="204"/>
      <c r="BBF24" s="204"/>
      <c r="BBG24" s="204"/>
      <c r="BBH24" s="204"/>
      <c r="BBI24" s="204"/>
      <c r="BBJ24" s="204"/>
      <c r="BBK24" s="204"/>
      <c r="BBL24" s="204"/>
      <c r="BBM24" s="204"/>
      <c r="BBN24" s="204"/>
      <c r="BBO24" s="204"/>
      <c r="BBP24" s="204"/>
      <c r="BBQ24" s="204"/>
      <c r="BBR24" s="204"/>
      <c r="BBS24" s="204"/>
      <c r="BBT24" s="204"/>
      <c r="BBU24" s="204"/>
      <c r="BBV24" s="204"/>
      <c r="BBW24" s="204"/>
      <c r="BBX24" s="204"/>
      <c r="BBY24" s="204"/>
      <c r="BBZ24" s="204"/>
      <c r="BCA24" s="204"/>
      <c r="BCB24" s="204"/>
      <c r="BCC24" s="204"/>
      <c r="BCD24" s="204"/>
      <c r="BCE24" s="204"/>
      <c r="BCF24" s="204"/>
      <c r="BCG24" s="204"/>
      <c r="BCH24" s="204"/>
      <c r="BCI24" s="204"/>
      <c r="BCJ24" s="204"/>
      <c r="BCK24" s="204"/>
      <c r="BCL24" s="204"/>
      <c r="BCM24" s="204"/>
      <c r="BCN24" s="204"/>
      <c r="BCO24" s="204"/>
      <c r="BCP24" s="204"/>
      <c r="BCQ24" s="204"/>
      <c r="BCR24" s="204"/>
      <c r="BCS24" s="204"/>
      <c r="BCT24" s="204"/>
      <c r="BCU24" s="204"/>
      <c r="BCV24" s="204"/>
      <c r="BCW24" s="204"/>
      <c r="BCX24" s="204"/>
      <c r="BCY24" s="204"/>
      <c r="BCZ24" s="204"/>
      <c r="BDA24" s="204"/>
      <c r="BDB24" s="204"/>
      <c r="BDC24" s="204"/>
      <c r="BDD24" s="204"/>
      <c r="BDE24" s="204"/>
      <c r="BDF24" s="204"/>
      <c r="BDG24" s="204"/>
      <c r="BDH24" s="204"/>
      <c r="BDI24" s="204"/>
      <c r="BDJ24" s="204"/>
      <c r="BDK24" s="204"/>
      <c r="BDL24" s="204"/>
      <c r="BDM24" s="204"/>
      <c r="BDN24" s="204"/>
      <c r="BDO24" s="204"/>
      <c r="BDP24" s="204"/>
      <c r="BDQ24" s="204"/>
      <c r="BDR24" s="204"/>
      <c r="BDS24" s="204"/>
      <c r="BDT24" s="204"/>
      <c r="BDU24" s="204"/>
      <c r="BDV24" s="204"/>
      <c r="BDW24" s="204"/>
      <c r="BDX24" s="204"/>
      <c r="BDY24" s="204"/>
      <c r="BDZ24" s="204"/>
      <c r="BEA24" s="204"/>
      <c r="BEB24" s="204"/>
      <c r="BEC24" s="204"/>
      <c r="BED24" s="204"/>
      <c r="BEE24" s="204"/>
      <c r="BEF24" s="204"/>
      <c r="BEG24" s="204"/>
      <c r="BEH24" s="204"/>
      <c r="BEI24" s="204"/>
      <c r="BEJ24" s="204"/>
      <c r="BEK24" s="204"/>
      <c r="BEL24" s="204"/>
      <c r="BEM24" s="204"/>
      <c r="BEN24" s="204"/>
      <c r="BEO24" s="204"/>
      <c r="BEP24" s="204"/>
      <c r="BEQ24" s="204"/>
      <c r="BER24" s="204"/>
      <c r="BES24" s="204"/>
      <c r="BET24" s="204"/>
      <c r="BEU24" s="204"/>
      <c r="BEV24" s="204"/>
      <c r="BEW24" s="204"/>
      <c r="BEX24" s="204"/>
      <c r="BEY24" s="204"/>
      <c r="BEZ24" s="204"/>
      <c r="BFA24" s="204"/>
      <c r="BFB24" s="204"/>
      <c r="BFC24" s="204"/>
      <c r="BFD24" s="204"/>
      <c r="BFE24" s="204"/>
      <c r="BFF24" s="204"/>
      <c r="BFG24" s="204"/>
      <c r="BFH24" s="204"/>
      <c r="BFI24" s="204"/>
      <c r="BFJ24" s="204"/>
      <c r="BFK24" s="204"/>
      <c r="BFL24" s="204"/>
      <c r="BFM24" s="204"/>
      <c r="BFN24" s="204"/>
      <c r="BFO24" s="204"/>
      <c r="BFP24" s="204"/>
      <c r="BFQ24" s="204"/>
      <c r="BFR24" s="204"/>
      <c r="BFS24" s="204"/>
      <c r="BFT24" s="204"/>
      <c r="BFU24" s="204"/>
      <c r="BFV24" s="204"/>
      <c r="BFW24" s="204"/>
      <c r="BFX24" s="204"/>
      <c r="BFY24" s="204"/>
      <c r="BFZ24" s="204"/>
      <c r="BGA24" s="204"/>
      <c r="BGB24" s="204"/>
      <c r="BGC24" s="204"/>
      <c r="BGD24" s="204"/>
      <c r="BGE24" s="204"/>
      <c r="BGF24" s="204"/>
      <c r="BGG24" s="204"/>
      <c r="BGH24" s="204"/>
      <c r="BGI24" s="204"/>
      <c r="BGJ24" s="204"/>
      <c r="BGK24" s="204"/>
      <c r="BGL24" s="204"/>
      <c r="BGM24" s="204"/>
      <c r="BGN24" s="204"/>
      <c r="BGO24" s="204"/>
      <c r="BGP24" s="204"/>
      <c r="BGQ24" s="204"/>
      <c r="BGR24" s="204"/>
      <c r="BGS24" s="204"/>
      <c r="BGT24" s="204"/>
      <c r="BGU24" s="204"/>
      <c r="BGV24" s="204"/>
      <c r="BGW24" s="204"/>
      <c r="BGX24" s="204"/>
      <c r="BGY24" s="204"/>
      <c r="BGZ24" s="204"/>
      <c r="BHA24" s="204"/>
      <c r="BHB24" s="204"/>
      <c r="BHC24" s="204"/>
      <c r="BHD24" s="204"/>
      <c r="BHE24" s="204"/>
      <c r="BHF24" s="204"/>
      <c r="BHG24" s="204"/>
      <c r="BHH24" s="204"/>
      <c r="BHI24" s="204"/>
      <c r="BHJ24" s="204"/>
      <c r="BHK24" s="204"/>
      <c r="BHL24" s="204"/>
      <c r="BHM24" s="204"/>
      <c r="BHN24" s="204"/>
      <c r="BHO24" s="204"/>
      <c r="BHP24" s="204"/>
      <c r="BHQ24" s="204"/>
      <c r="BHR24" s="204"/>
      <c r="BHS24" s="204"/>
      <c r="BHT24" s="204"/>
      <c r="BHU24" s="204"/>
      <c r="BHV24" s="204"/>
      <c r="BHW24" s="204"/>
      <c r="BHX24" s="204"/>
      <c r="BHY24" s="204"/>
      <c r="BHZ24" s="204"/>
      <c r="BIA24" s="204"/>
      <c r="BIB24" s="204"/>
      <c r="BIC24" s="204"/>
      <c r="BID24" s="204"/>
      <c r="BIE24" s="204"/>
      <c r="BIF24" s="204"/>
      <c r="BIG24" s="204"/>
      <c r="BIH24" s="204"/>
      <c r="BII24" s="204"/>
      <c r="BIJ24" s="204"/>
      <c r="BIK24" s="204"/>
      <c r="BIL24" s="204"/>
      <c r="BIM24" s="204"/>
      <c r="BIN24" s="204"/>
      <c r="BIO24" s="204"/>
      <c r="BIP24" s="204"/>
      <c r="BIQ24" s="204"/>
      <c r="BIR24" s="204"/>
      <c r="BIS24" s="204"/>
      <c r="BIT24" s="204"/>
      <c r="BIU24" s="204"/>
      <c r="BIV24" s="204"/>
      <c r="BIW24" s="204"/>
      <c r="BIX24" s="204"/>
      <c r="BIY24" s="204"/>
      <c r="BIZ24" s="204"/>
      <c r="BJA24" s="204"/>
      <c r="BJB24" s="204"/>
      <c r="BJC24" s="204"/>
      <c r="BJD24" s="204"/>
      <c r="BJE24" s="204"/>
      <c r="BJF24" s="204"/>
      <c r="BJG24" s="204"/>
      <c r="BJH24" s="204"/>
      <c r="BJI24" s="204"/>
      <c r="BJJ24" s="204"/>
      <c r="BJK24" s="204"/>
      <c r="BJL24" s="204"/>
      <c r="BJM24" s="204"/>
      <c r="BJN24" s="204"/>
      <c r="BJO24" s="204"/>
      <c r="BJP24" s="204"/>
      <c r="BJQ24" s="204"/>
      <c r="BJR24" s="204"/>
      <c r="BJS24" s="204"/>
      <c r="BJT24" s="204"/>
      <c r="BJU24" s="204"/>
      <c r="BJV24" s="204"/>
      <c r="BJW24" s="204"/>
      <c r="BJX24" s="204"/>
      <c r="BJY24" s="204"/>
      <c r="BJZ24" s="204"/>
      <c r="BKA24" s="204"/>
      <c r="BKB24" s="204"/>
      <c r="BKC24" s="204"/>
      <c r="BKD24" s="204"/>
      <c r="BKE24" s="204"/>
      <c r="BKF24" s="204"/>
      <c r="BKG24" s="204"/>
      <c r="BKH24" s="204"/>
      <c r="BKI24" s="204"/>
      <c r="BKJ24" s="204"/>
      <c r="BKK24" s="204"/>
      <c r="BKL24" s="204"/>
      <c r="BKM24" s="204"/>
      <c r="BKN24" s="204"/>
      <c r="BKO24" s="204"/>
      <c r="BKP24" s="204"/>
      <c r="BKQ24" s="204"/>
      <c r="BKR24" s="204"/>
      <c r="BKS24" s="204"/>
      <c r="BKT24" s="204"/>
      <c r="BKU24" s="204"/>
      <c r="BKV24" s="204"/>
      <c r="BKW24" s="204"/>
      <c r="BKX24" s="204"/>
      <c r="BKY24" s="204"/>
      <c r="BKZ24" s="204"/>
      <c r="BLA24" s="204"/>
      <c r="BLB24" s="204"/>
      <c r="BLC24" s="204"/>
      <c r="BLD24" s="204"/>
      <c r="BLE24" s="204"/>
      <c r="BLF24" s="204"/>
      <c r="BLG24" s="204"/>
      <c r="BLH24" s="204"/>
      <c r="BLI24" s="204"/>
      <c r="BLJ24" s="204"/>
      <c r="BLK24" s="204"/>
      <c r="BLL24" s="204"/>
      <c r="BLM24" s="204"/>
      <c r="BLN24" s="204"/>
      <c r="BLO24" s="204"/>
      <c r="BLP24" s="204"/>
      <c r="BLQ24" s="204"/>
      <c r="BLR24" s="204"/>
      <c r="BLS24" s="204"/>
      <c r="BLT24" s="204"/>
      <c r="BLU24" s="204"/>
      <c r="BLV24" s="204"/>
      <c r="BLW24" s="204"/>
      <c r="BLX24" s="204"/>
      <c r="BLY24" s="204"/>
      <c r="BLZ24" s="204"/>
      <c r="BMA24" s="204"/>
      <c r="BMB24" s="204"/>
      <c r="BMC24" s="204"/>
      <c r="BMD24" s="204"/>
      <c r="BME24" s="204"/>
      <c r="BMF24" s="204"/>
      <c r="BMG24" s="204"/>
      <c r="BMH24" s="204"/>
      <c r="BMI24" s="204"/>
      <c r="BMJ24" s="204"/>
      <c r="BMK24" s="204"/>
      <c r="BML24" s="204"/>
      <c r="BMM24" s="204"/>
      <c r="BMN24" s="204"/>
      <c r="BMO24" s="204"/>
      <c r="BMP24" s="204"/>
      <c r="BMQ24" s="204"/>
      <c r="BMR24" s="204"/>
      <c r="BMS24" s="204"/>
      <c r="BMT24" s="204"/>
      <c r="BMU24" s="204"/>
      <c r="BMV24" s="204"/>
      <c r="BMW24" s="204"/>
      <c r="BMX24" s="204"/>
      <c r="BMY24" s="204"/>
      <c r="BMZ24" s="204"/>
      <c r="BNA24" s="204"/>
      <c r="BNB24" s="204"/>
      <c r="BNC24" s="204"/>
      <c r="BND24" s="204"/>
      <c r="BNE24" s="204"/>
      <c r="BNF24" s="204"/>
      <c r="BNG24" s="204"/>
      <c r="BNH24" s="204"/>
      <c r="BNI24" s="204"/>
      <c r="BNJ24" s="204"/>
      <c r="BNK24" s="204"/>
      <c r="BNL24" s="204"/>
      <c r="BNM24" s="204"/>
      <c r="BNN24" s="204"/>
      <c r="BNO24" s="204"/>
      <c r="BNP24" s="204"/>
      <c r="BNQ24" s="204"/>
      <c r="BNR24" s="204"/>
      <c r="BNS24" s="204"/>
      <c r="BNT24" s="204"/>
      <c r="BNU24" s="204"/>
      <c r="BNV24" s="204"/>
      <c r="BNW24" s="204"/>
      <c r="BNX24" s="204"/>
      <c r="BNY24" s="204"/>
      <c r="BNZ24" s="204"/>
      <c r="BOA24" s="204"/>
      <c r="BOB24" s="204"/>
      <c r="BOC24" s="204"/>
      <c r="BOD24" s="204"/>
      <c r="BOE24" s="204"/>
      <c r="BOF24" s="204"/>
      <c r="BOG24" s="204"/>
      <c r="BOH24" s="204"/>
      <c r="BOI24" s="204"/>
      <c r="BOJ24" s="204"/>
      <c r="BOK24" s="204"/>
      <c r="BOL24" s="204"/>
      <c r="BOM24" s="204"/>
      <c r="BON24" s="204"/>
      <c r="BOO24" s="204"/>
      <c r="BOP24" s="204"/>
      <c r="BOQ24" s="204"/>
      <c r="BOR24" s="204"/>
      <c r="BOS24" s="204"/>
      <c r="BOT24" s="204"/>
      <c r="BOU24" s="204"/>
      <c r="BOV24" s="204"/>
      <c r="BOW24" s="204"/>
      <c r="BOX24" s="204"/>
      <c r="BOY24" s="204"/>
      <c r="BOZ24" s="204"/>
      <c r="BPA24" s="204"/>
      <c r="BPB24" s="204"/>
      <c r="BPC24" s="204"/>
      <c r="BPD24" s="204"/>
      <c r="BPE24" s="204"/>
      <c r="BPF24" s="204"/>
      <c r="BPG24" s="204"/>
      <c r="BPH24" s="204"/>
      <c r="BPI24" s="204"/>
      <c r="BPJ24" s="204"/>
      <c r="BPK24" s="204"/>
      <c r="BPL24" s="204"/>
      <c r="BPM24" s="204"/>
      <c r="BPN24" s="204"/>
      <c r="BPO24" s="204"/>
      <c r="BPP24" s="204"/>
      <c r="BPQ24" s="204"/>
      <c r="BPR24" s="204"/>
      <c r="BPS24" s="204"/>
      <c r="BPT24" s="204"/>
      <c r="BPU24" s="204"/>
      <c r="BPV24" s="204"/>
      <c r="BPW24" s="204"/>
      <c r="BPX24" s="204"/>
      <c r="BPY24" s="204"/>
      <c r="BPZ24" s="204"/>
      <c r="BQA24" s="204"/>
      <c r="BQB24" s="204"/>
      <c r="BQC24" s="204"/>
      <c r="BQD24" s="204"/>
      <c r="BQE24" s="204"/>
      <c r="BQF24" s="204"/>
      <c r="BQG24" s="204"/>
      <c r="BQH24" s="204"/>
      <c r="BQI24" s="204"/>
      <c r="BQJ24" s="204"/>
      <c r="BQK24" s="204"/>
      <c r="BQL24" s="204"/>
      <c r="BQM24" s="204"/>
      <c r="BQN24" s="204"/>
      <c r="BQO24" s="204"/>
      <c r="BQP24" s="204"/>
      <c r="BQQ24" s="204"/>
      <c r="BQR24" s="204"/>
      <c r="BQS24" s="204"/>
      <c r="BQT24" s="204"/>
      <c r="BQU24" s="204"/>
      <c r="BQV24" s="204"/>
      <c r="BQW24" s="204"/>
      <c r="BQX24" s="204"/>
      <c r="BQY24" s="204"/>
      <c r="BQZ24" s="204"/>
      <c r="BRA24" s="204"/>
      <c r="BRB24" s="204"/>
      <c r="BRC24" s="204"/>
      <c r="BRD24" s="204"/>
      <c r="BRE24" s="204"/>
      <c r="BRF24" s="204"/>
      <c r="BRG24" s="204"/>
      <c r="BRH24" s="204"/>
      <c r="BRI24" s="204"/>
      <c r="BRJ24" s="204"/>
      <c r="BRK24" s="204"/>
      <c r="BRL24" s="204"/>
      <c r="BRM24" s="204"/>
      <c r="BRN24" s="204"/>
      <c r="BRO24" s="204"/>
      <c r="BRP24" s="204"/>
      <c r="BRQ24" s="204"/>
      <c r="BRR24" s="204"/>
      <c r="BRS24" s="204"/>
      <c r="BRT24" s="204"/>
      <c r="BRU24" s="204"/>
      <c r="BRV24" s="204"/>
      <c r="BRW24" s="204"/>
      <c r="BRX24" s="204"/>
      <c r="BRY24" s="204"/>
      <c r="BRZ24" s="204"/>
      <c r="BSA24" s="204"/>
      <c r="BSB24" s="204"/>
      <c r="BSC24" s="204"/>
      <c r="BSD24" s="204"/>
      <c r="BSE24" s="204"/>
      <c r="BSF24" s="204"/>
      <c r="BSG24" s="204"/>
      <c r="BSH24" s="204"/>
      <c r="BSI24" s="204"/>
      <c r="BSJ24" s="204"/>
      <c r="BSK24" s="204"/>
      <c r="BSL24" s="204"/>
      <c r="BSM24" s="204"/>
      <c r="BSN24" s="204"/>
      <c r="BSO24" s="204"/>
      <c r="BSP24" s="204"/>
      <c r="BSQ24" s="204"/>
      <c r="BSR24" s="204"/>
      <c r="BSS24" s="204"/>
      <c r="BST24" s="204"/>
      <c r="BSU24" s="204"/>
      <c r="BSV24" s="204"/>
      <c r="BSW24" s="204"/>
      <c r="BSX24" s="204"/>
      <c r="BSY24" s="204"/>
      <c r="BSZ24" s="204"/>
      <c r="BTA24" s="204"/>
      <c r="BTB24" s="204"/>
      <c r="BTC24" s="204"/>
      <c r="BTD24" s="204"/>
      <c r="BTE24" s="204"/>
      <c r="BTF24" s="204"/>
      <c r="BTG24" s="204"/>
      <c r="BTH24" s="204"/>
      <c r="BTI24" s="204"/>
      <c r="BTJ24" s="204"/>
      <c r="BTK24" s="204"/>
      <c r="BTL24" s="204"/>
      <c r="BTM24" s="204"/>
      <c r="BTN24" s="204"/>
      <c r="BTO24" s="204"/>
      <c r="BTP24" s="204"/>
      <c r="BTQ24" s="204"/>
      <c r="BTR24" s="204"/>
      <c r="BTS24" s="204"/>
      <c r="BTT24" s="204"/>
      <c r="BTU24" s="204"/>
      <c r="BTV24" s="204"/>
      <c r="BTW24" s="204"/>
      <c r="BTX24" s="204"/>
      <c r="BTY24" s="204"/>
      <c r="BTZ24" s="204"/>
      <c r="BUA24" s="204"/>
      <c r="BUB24" s="204"/>
      <c r="BUC24" s="204"/>
      <c r="BUD24" s="204"/>
      <c r="BUE24" s="204"/>
      <c r="BUF24" s="204"/>
      <c r="BUG24" s="204"/>
      <c r="BUH24" s="204"/>
      <c r="BUI24" s="204"/>
      <c r="BUJ24" s="204"/>
      <c r="BUK24" s="204"/>
      <c r="BUL24" s="204"/>
      <c r="BUM24" s="204"/>
      <c r="BUN24" s="204"/>
      <c r="BUO24" s="204"/>
      <c r="BUP24" s="204"/>
      <c r="BUQ24" s="204"/>
      <c r="BUR24" s="204"/>
      <c r="BUS24" s="204"/>
      <c r="BUT24" s="204"/>
      <c r="BUU24" s="204"/>
      <c r="BUV24" s="204"/>
      <c r="BUW24" s="204"/>
      <c r="BUX24" s="204"/>
      <c r="BUY24" s="204"/>
      <c r="BUZ24" s="204"/>
      <c r="BVA24" s="204"/>
      <c r="BVB24" s="204"/>
      <c r="BVC24" s="204"/>
      <c r="BVD24" s="204"/>
      <c r="BVE24" s="204"/>
      <c r="BVF24" s="204"/>
      <c r="BVG24" s="204"/>
      <c r="BVH24" s="204"/>
      <c r="BVI24" s="204"/>
      <c r="BVJ24" s="204"/>
      <c r="BVK24" s="204"/>
      <c r="BVL24" s="204"/>
      <c r="BVM24" s="204"/>
      <c r="BVN24" s="204"/>
      <c r="BVO24" s="204"/>
      <c r="BVP24" s="204"/>
      <c r="BVQ24" s="204"/>
      <c r="BVR24" s="204"/>
      <c r="BVS24" s="204"/>
      <c r="BVT24" s="204"/>
      <c r="BVU24" s="204"/>
      <c r="BVV24" s="204"/>
      <c r="BVW24" s="204"/>
      <c r="BVX24" s="204"/>
      <c r="BVY24" s="204"/>
      <c r="BVZ24" s="204"/>
      <c r="BWA24" s="204"/>
      <c r="BWB24" s="204"/>
      <c r="BWC24" s="204"/>
      <c r="BWD24" s="204"/>
      <c r="BWE24" s="204"/>
      <c r="BWF24" s="204"/>
      <c r="BWG24" s="204"/>
      <c r="BWH24" s="204"/>
      <c r="BWI24" s="204"/>
      <c r="BWJ24" s="204"/>
      <c r="BWK24" s="204"/>
      <c r="BWL24" s="204"/>
      <c r="BWM24" s="204"/>
      <c r="BWN24" s="204"/>
      <c r="BWO24" s="204"/>
      <c r="BWP24" s="204"/>
      <c r="BWQ24" s="204"/>
      <c r="BWR24" s="204"/>
      <c r="BWS24" s="204"/>
      <c r="BWT24" s="204"/>
      <c r="BWU24" s="204"/>
      <c r="BWV24" s="204"/>
      <c r="BWW24" s="204"/>
      <c r="BWX24" s="204"/>
      <c r="BWY24" s="204"/>
      <c r="BWZ24" s="204"/>
      <c r="BXA24" s="204"/>
      <c r="BXB24" s="204"/>
      <c r="BXC24" s="204"/>
      <c r="BXD24" s="204"/>
      <c r="BXE24" s="204"/>
      <c r="BXF24" s="204"/>
      <c r="BXG24" s="204"/>
      <c r="BXH24" s="204"/>
      <c r="BXI24" s="204"/>
      <c r="BXJ24" s="204"/>
      <c r="BXK24" s="204"/>
      <c r="BXL24" s="204"/>
      <c r="BXM24" s="204"/>
      <c r="BXN24" s="204"/>
      <c r="BXO24" s="204"/>
      <c r="BXP24" s="204"/>
      <c r="BXQ24" s="204"/>
      <c r="BXR24" s="204"/>
      <c r="BXS24" s="204"/>
      <c r="BXT24" s="204"/>
      <c r="BXU24" s="204"/>
      <c r="BXV24" s="204"/>
      <c r="BXW24" s="204"/>
      <c r="BXX24" s="204"/>
      <c r="BXY24" s="204"/>
      <c r="BXZ24" s="204"/>
      <c r="BYA24" s="204"/>
      <c r="BYB24" s="204"/>
      <c r="BYC24" s="204"/>
      <c r="BYD24" s="204"/>
      <c r="BYE24" s="204"/>
      <c r="BYF24" s="204"/>
      <c r="BYG24" s="204"/>
      <c r="BYH24" s="204"/>
      <c r="BYI24" s="204"/>
      <c r="BYJ24" s="204"/>
      <c r="BYK24" s="204"/>
      <c r="BYL24" s="204"/>
      <c r="BYM24" s="204"/>
      <c r="BYN24" s="204"/>
      <c r="BYO24" s="204"/>
      <c r="BYP24" s="204"/>
      <c r="BYQ24" s="204"/>
      <c r="BYR24" s="204"/>
      <c r="BYS24" s="204"/>
      <c r="BYT24" s="204"/>
      <c r="BYU24" s="204"/>
      <c r="BYV24" s="204"/>
      <c r="BYW24" s="204"/>
      <c r="BYX24" s="204"/>
      <c r="BYY24" s="204"/>
      <c r="BYZ24" s="204"/>
      <c r="BZA24" s="204"/>
      <c r="BZB24" s="204"/>
      <c r="BZC24" s="204"/>
      <c r="BZD24" s="204"/>
      <c r="BZE24" s="204"/>
      <c r="BZF24" s="204"/>
      <c r="BZG24" s="204"/>
      <c r="BZH24" s="204"/>
      <c r="BZI24" s="204"/>
      <c r="BZJ24" s="204"/>
      <c r="BZK24" s="204"/>
      <c r="BZL24" s="204"/>
      <c r="BZM24" s="204"/>
      <c r="BZN24" s="204"/>
      <c r="BZO24" s="204"/>
      <c r="BZP24" s="204"/>
      <c r="BZQ24" s="204"/>
      <c r="BZR24" s="204"/>
      <c r="BZS24" s="204"/>
      <c r="BZT24" s="204"/>
      <c r="BZU24" s="204"/>
      <c r="BZV24" s="204"/>
      <c r="BZW24" s="204"/>
      <c r="BZX24" s="204"/>
      <c r="BZY24" s="204"/>
      <c r="BZZ24" s="204"/>
      <c r="CAA24" s="204"/>
      <c r="CAB24" s="204"/>
      <c r="CAC24" s="204"/>
      <c r="CAD24" s="204"/>
      <c r="CAE24" s="204"/>
      <c r="CAF24" s="204"/>
      <c r="CAG24" s="204"/>
      <c r="CAH24" s="204"/>
      <c r="CAI24" s="204"/>
      <c r="CAJ24" s="204"/>
      <c r="CAK24" s="204"/>
      <c r="CAL24" s="204"/>
      <c r="CAM24" s="204"/>
      <c r="CAN24" s="204"/>
      <c r="CAO24" s="204"/>
      <c r="CAP24" s="204"/>
      <c r="CAQ24" s="204"/>
      <c r="CAR24" s="204"/>
      <c r="CAS24" s="204"/>
      <c r="CAT24" s="204"/>
      <c r="CAU24" s="204"/>
      <c r="CAV24" s="204"/>
      <c r="CAW24" s="204"/>
      <c r="CAX24" s="204"/>
      <c r="CAY24" s="204"/>
      <c r="CAZ24" s="204"/>
      <c r="CBA24" s="204"/>
      <c r="CBB24" s="204"/>
      <c r="CBC24" s="204"/>
      <c r="CBD24" s="204"/>
      <c r="CBE24" s="204"/>
      <c r="CBF24" s="204"/>
      <c r="CBG24" s="204"/>
      <c r="CBH24" s="204"/>
      <c r="CBI24" s="204"/>
      <c r="CBJ24" s="204"/>
      <c r="CBK24" s="204"/>
      <c r="CBL24" s="204"/>
      <c r="CBM24" s="204"/>
      <c r="CBN24" s="204"/>
      <c r="CBO24" s="204"/>
      <c r="CBP24" s="204"/>
      <c r="CBQ24" s="204"/>
      <c r="CBR24" s="204"/>
      <c r="CBS24" s="204"/>
      <c r="CBT24" s="204"/>
      <c r="CBU24" s="204"/>
      <c r="CBV24" s="204"/>
      <c r="CBW24" s="204"/>
      <c r="CBX24" s="204"/>
      <c r="CBY24" s="204"/>
      <c r="CBZ24" s="204"/>
      <c r="CCA24" s="204"/>
      <c r="CCB24" s="204"/>
      <c r="CCC24" s="204"/>
      <c r="CCD24" s="204"/>
      <c r="CCE24" s="204"/>
      <c r="CCF24" s="204"/>
      <c r="CCG24" s="204"/>
      <c r="CCH24" s="204"/>
      <c r="CCI24" s="204"/>
      <c r="CCJ24" s="204"/>
      <c r="CCK24" s="204"/>
      <c r="CCL24" s="204"/>
      <c r="CCM24" s="204"/>
      <c r="CCN24" s="204"/>
      <c r="CCO24" s="204"/>
      <c r="CCP24" s="204"/>
      <c r="CCQ24" s="204"/>
      <c r="CCR24" s="204"/>
      <c r="CCS24" s="204"/>
      <c r="CCT24" s="204"/>
      <c r="CCU24" s="204"/>
      <c r="CCV24" s="204"/>
      <c r="CCW24" s="204"/>
      <c r="CCX24" s="204"/>
      <c r="CCY24" s="204"/>
      <c r="CCZ24" s="204"/>
      <c r="CDA24" s="204"/>
      <c r="CDB24" s="204"/>
      <c r="CDC24" s="204"/>
      <c r="CDD24" s="204"/>
      <c r="CDE24" s="204"/>
      <c r="CDF24" s="204"/>
      <c r="CDG24" s="204"/>
      <c r="CDH24" s="204"/>
      <c r="CDI24" s="204"/>
      <c r="CDJ24" s="204"/>
      <c r="CDK24" s="204"/>
      <c r="CDL24" s="204"/>
      <c r="CDM24" s="204"/>
      <c r="CDN24" s="204"/>
      <c r="CDO24" s="204"/>
      <c r="CDP24" s="204"/>
      <c r="CDQ24" s="204"/>
      <c r="CDR24" s="204"/>
      <c r="CDS24" s="204"/>
      <c r="CDT24" s="204"/>
      <c r="CDU24" s="204"/>
      <c r="CDV24" s="204"/>
      <c r="CDW24" s="204"/>
      <c r="CDX24" s="204"/>
      <c r="CDY24" s="204"/>
      <c r="CDZ24" s="204"/>
      <c r="CEA24" s="204"/>
      <c r="CEB24" s="204"/>
      <c r="CEC24" s="204"/>
      <c r="CED24" s="204"/>
      <c r="CEE24" s="204"/>
      <c r="CEF24" s="204"/>
      <c r="CEG24" s="204"/>
      <c r="CEH24" s="204"/>
      <c r="CEI24" s="204"/>
      <c r="CEJ24" s="204"/>
      <c r="CEK24" s="204"/>
      <c r="CEL24" s="204"/>
      <c r="CEM24" s="204"/>
      <c r="CEN24" s="204"/>
      <c r="CEO24" s="204"/>
      <c r="CEP24" s="204"/>
      <c r="CEQ24" s="204"/>
      <c r="CER24" s="204"/>
      <c r="CES24" s="204"/>
      <c r="CET24" s="204"/>
      <c r="CEU24" s="204"/>
      <c r="CEV24" s="204"/>
      <c r="CEW24" s="204"/>
      <c r="CEX24" s="204"/>
      <c r="CEY24" s="204"/>
      <c r="CEZ24" s="204"/>
      <c r="CFA24" s="204"/>
      <c r="CFB24" s="204"/>
      <c r="CFC24" s="204"/>
      <c r="CFD24" s="204"/>
      <c r="CFE24" s="204"/>
      <c r="CFF24" s="204"/>
      <c r="CFG24" s="204"/>
      <c r="CFH24" s="204"/>
      <c r="CFI24" s="204"/>
      <c r="CFJ24" s="204"/>
      <c r="CFK24" s="204"/>
      <c r="CFL24" s="204"/>
      <c r="CFM24" s="204"/>
      <c r="CFN24" s="204"/>
      <c r="CFO24" s="204"/>
      <c r="CFP24" s="204"/>
      <c r="CFQ24" s="204"/>
      <c r="CFR24" s="204"/>
      <c r="CFS24" s="204"/>
      <c r="CFT24" s="204"/>
      <c r="CFU24" s="204"/>
      <c r="CFV24" s="204"/>
      <c r="CFW24" s="204"/>
      <c r="CFX24" s="204"/>
      <c r="CFY24" s="204"/>
      <c r="CFZ24" s="204"/>
      <c r="CGA24" s="204"/>
      <c r="CGB24" s="204"/>
      <c r="CGC24" s="204"/>
      <c r="CGD24" s="204"/>
      <c r="CGE24" s="204"/>
      <c r="CGF24" s="204"/>
      <c r="CGG24" s="204"/>
      <c r="CGH24" s="204"/>
      <c r="CGI24" s="204"/>
      <c r="CGJ24" s="204"/>
      <c r="CGK24" s="204"/>
      <c r="CGL24" s="204"/>
      <c r="CGM24" s="204"/>
      <c r="CGN24" s="204"/>
      <c r="CGO24" s="204"/>
      <c r="CGP24" s="204"/>
      <c r="CGQ24" s="204"/>
      <c r="CGR24" s="204"/>
      <c r="CGS24" s="204"/>
      <c r="CGT24" s="204"/>
      <c r="CGU24" s="204"/>
      <c r="CGV24" s="204"/>
      <c r="CGW24" s="204"/>
      <c r="CGX24" s="204"/>
      <c r="CGY24" s="204"/>
      <c r="CGZ24" s="204"/>
      <c r="CHA24" s="204"/>
      <c r="CHB24" s="204"/>
      <c r="CHC24" s="204"/>
      <c r="CHD24" s="204"/>
      <c r="CHE24" s="204"/>
      <c r="CHF24" s="204"/>
      <c r="CHG24" s="204"/>
      <c r="CHH24" s="204"/>
      <c r="CHI24" s="204"/>
      <c r="CHJ24" s="204"/>
      <c r="CHK24" s="204"/>
      <c r="CHL24" s="204"/>
      <c r="CHM24" s="204"/>
      <c r="CHN24" s="204"/>
      <c r="CHO24" s="204"/>
      <c r="CHP24" s="204"/>
      <c r="CHQ24" s="204"/>
      <c r="CHR24" s="204"/>
      <c r="CHS24" s="204"/>
      <c r="CHT24" s="204"/>
      <c r="CHU24" s="204"/>
      <c r="CHV24" s="204"/>
      <c r="CHW24" s="204"/>
      <c r="CHX24" s="204"/>
      <c r="CHY24" s="204"/>
      <c r="CHZ24" s="204"/>
      <c r="CIA24" s="204"/>
      <c r="CIB24" s="204"/>
      <c r="CIC24" s="204"/>
      <c r="CID24" s="204"/>
      <c r="CIE24" s="204"/>
      <c r="CIF24" s="204"/>
      <c r="CIG24" s="204"/>
      <c r="CIH24" s="204"/>
      <c r="CII24" s="204"/>
      <c r="CIJ24" s="204"/>
      <c r="CIK24" s="204"/>
      <c r="CIL24" s="204"/>
      <c r="CIM24" s="204"/>
      <c r="CIN24" s="204"/>
      <c r="CIO24" s="204"/>
      <c r="CIP24" s="204"/>
      <c r="CIQ24" s="204"/>
      <c r="CIR24" s="204"/>
      <c r="CIS24" s="204"/>
      <c r="CIT24" s="204"/>
      <c r="CIU24" s="204"/>
      <c r="CIV24" s="204"/>
      <c r="CIW24" s="204"/>
      <c r="CIX24" s="204"/>
      <c r="CIY24" s="204"/>
      <c r="CIZ24" s="204"/>
      <c r="CJA24" s="204"/>
      <c r="CJB24" s="204"/>
      <c r="CJC24" s="204"/>
      <c r="CJD24" s="204"/>
      <c r="CJE24" s="204"/>
      <c r="CJF24" s="204"/>
      <c r="CJG24" s="204"/>
      <c r="CJH24" s="204"/>
      <c r="CJI24" s="204"/>
      <c r="CJJ24" s="204"/>
      <c r="CJK24" s="204"/>
      <c r="CJL24" s="204"/>
      <c r="CJM24" s="204"/>
      <c r="CJN24" s="204"/>
      <c r="CJO24" s="204"/>
      <c r="CJP24" s="204"/>
      <c r="CJQ24" s="204"/>
      <c r="CJR24" s="204"/>
      <c r="CJS24" s="204"/>
      <c r="CJT24" s="204"/>
      <c r="CJU24" s="204"/>
      <c r="CJV24" s="204"/>
      <c r="CJW24" s="204"/>
      <c r="CJX24" s="204"/>
      <c r="CJY24" s="204"/>
      <c r="CJZ24" s="204"/>
      <c r="CKA24" s="204"/>
      <c r="CKB24" s="204"/>
      <c r="CKC24" s="204"/>
      <c r="CKD24" s="204"/>
      <c r="CKE24" s="204"/>
      <c r="CKF24" s="204"/>
      <c r="CKG24" s="204"/>
      <c r="CKH24" s="204"/>
      <c r="CKI24" s="204"/>
      <c r="CKJ24" s="204"/>
      <c r="CKK24" s="204"/>
      <c r="CKL24" s="204"/>
      <c r="CKM24" s="204"/>
      <c r="CKN24" s="204"/>
      <c r="CKO24" s="204"/>
      <c r="CKP24" s="204"/>
      <c r="CKQ24" s="204"/>
      <c r="CKR24" s="204"/>
      <c r="CKS24" s="204"/>
      <c r="CKT24" s="204"/>
      <c r="CKU24" s="204"/>
      <c r="CKV24" s="204"/>
      <c r="CKW24" s="204"/>
      <c r="CKX24" s="204"/>
      <c r="CKY24" s="204"/>
      <c r="CKZ24" s="204"/>
      <c r="CLA24" s="204"/>
      <c r="CLB24" s="204"/>
      <c r="CLC24" s="204"/>
      <c r="CLD24" s="204"/>
      <c r="CLE24" s="204"/>
      <c r="CLF24" s="204"/>
      <c r="CLG24" s="204"/>
      <c r="CLH24" s="204"/>
      <c r="CLI24" s="204"/>
      <c r="CLJ24" s="204"/>
      <c r="CLK24" s="204"/>
      <c r="CLL24" s="204"/>
      <c r="CLM24" s="204"/>
      <c r="CLN24" s="204"/>
      <c r="CLO24" s="204"/>
      <c r="CLP24" s="204"/>
      <c r="CLQ24" s="204"/>
      <c r="CLR24" s="204"/>
      <c r="CLS24" s="204"/>
      <c r="CLT24" s="204"/>
      <c r="CLU24" s="204"/>
      <c r="CLV24" s="204"/>
      <c r="CLW24" s="204"/>
      <c r="CLX24" s="204"/>
      <c r="CLY24" s="204"/>
      <c r="CLZ24" s="204"/>
      <c r="CMA24" s="204"/>
      <c r="CMB24" s="204"/>
      <c r="CMC24" s="204"/>
      <c r="CMD24" s="204"/>
      <c r="CME24" s="204"/>
      <c r="CMF24" s="204"/>
      <c r="CMG24" s="204"/>
      <c r="CMH24" s="204"/>
      <c r="CMI24" s="204"/>
      <c r="CMJ24" s="204"/>
      <c r="CMK24" s="204"/>
      <c r="CML24" s="204"/>
      <c r="CMM24" s="204"/>
      <c r="CMN24" s="204"/>
      <c r="CMO24" s="204"/>
      <c r="CMP24" s="204"/>
      <c r="CMQ24" s="204"/>
      <c r="CMR24" s="204"/>
      <c r="CMS24" s="204"/>
      <c r="CMT24" s="204"/>
      <c r="CMU24" s="204"/>
      <c r="CMV24" s="204"/>
      <c r="CMW24" s="204"/>
      <c r="CMX24" s="204"/>
      <c r="CMY24" s="204"/>
      <c r="CMZ24" s="204"/>
      <c r="CNA24" s="204"/>
      <c r="CNB24" s="204"/>
      <c r="CNC24" s="204"/>
      <c r="CND24" s="204"/>
      <c r="CNE24" s="204"/>
      <c r="CNF24" s="204"/>
      <c r="CNG24" s="204"/>
      <c r="CNH24" s="204"/>
      <c r="CNI24" s="204"/>
      <c r="CNJ24" s="204"/>
      <c r="CNK24" s="204"/>
      <c r="CNL24" s="204"/>
      <c r="CNM24" s="204"/>
      <c r="CNN24" s="204"/>
      <c r="CNO24" s="204"/>
      <c r="CNP24" s="204"/>
      <c r="CNQ24" s="204"/>
      <c r="CNR24" s="204"/>
      <c r="CNS24" s="204"/>
      <c r="CNT24" s="204"/>
      <c r="CNU24" s="204"/>
      <c r="CNV24" s="204"/>
      <c r="CNW24" s="204"/>
      <c r="CNX24" s="204"/>
      <c r="CNY24" s="204"/>
      <c r="CNZ24" s="204"/>
      <c r="COA24" s="204"/>
      <c r="COB24" s="204"/>
      <c r="COC24" s="204"/>
      <c r="COD24" s="204"/>
      <c r="COE24" s="204"/>
      <c r="COF24" s="204"/>
      <c r="COG24" s="204"/>
      <c r="COH24" s="204"/>
      <c r="COI24" s="204"/>
      <c r="COJ24" s="204"/>
      <c r="COK24" s="204"/>
      <c r="COL24" s="204"/>
      <c r="COM24" s="204"/>
      <c r="CON24" s="204"/>
      <c r="COO24" s="204"/>
      <c r="COP24" s="204"/>
      <c r="COQ24" s="204"/>
      <c r="COR24" s="204"/>
      <c r="COS24" s="204"/>
      <c r="COT24" s="204"/>
      <c r="COU24" s="204"/>
      <c r="COV24" s="204"/>
      <c r="COW24" s="204"/>
      <c r="COX24" s="204"/>
      <c r="COY24" s="204"/>
      <c r="COZ24" s="204"/>
      <c r="CPA24" s="204"/>
      <c r="CPB24" s="204"/>
      <c r="CPC24" s="204"/>
      <c r="CPD24" s="204"/>
      <c r="CPE24" s="204"/>
      <c r="CPF24" s="204"/>
      <c r="CPG24" s="204"/>
      <c r="CPH24" s="204"/>
      <c r="CPI24" s="204"/>
      <c r="CPJ24" s="204"/>
      <c r="CPK24" s="204"/>
      <c r="CPL24" s="204"/>
      <c r="CPM24" s="204"/>
      <c r="CPN24" s="204"/>
      <c r="CPO24" s="204"/>
      <c r="CPP24" s="204"/>
      <c r="CPQ24" s="204"/>
      <c r="CPR24" s="204"/>
      <c r="CPS24" s="204"/>
      <c r="CPT24" s="204"/>
      <c r="CPU24" s="204"/>
      <c r="CPV24" s="204"/>
      <c r="CPW24" s="204"/>
      <c r="CPX24" s="204"/>
      <c r="CPY24" s="204"/>
      <c r="CPZ24" s="204"/>
      <c r="CQA24" s="204"/>
      <c r="CQB24" s="204"/>
      <c r="CQC24" s="204"/>
      <c r="CQD24" s="204"/>
      <c r="CQE24" s="204"/>
      <c r="CQF24" s="204"/>
      <c r="CQG24" s="204"/>
      <c r="CQH24" s="204"/>
      <c r="CQI24" s="204"/>
      <c r="CQJ24" s="204"/>
      <c r="CQK24" s="204"/>
      <c r="CQL24" s="204"/>
      <c r="CQM24" s="204"/>
      <c r="CQN24" s="204"/>
      <c r="CQO24" s="204"/>
      <c r="CQP24" s="204"/>
      <c r="CQQ24" s="204"/>
      <c r="CQR24" s="204"/>
      <c r="CQS24" s="204"/>
      <c r="CQT24" s="204"/>
      <c r="CQU24" s="204"/>
      <c r="CQV24" s="204"/>
      <c r="CQW24" s="204"/>
      <c r="CQX24" s="204"/>
      <c r="CQY24" s="204"/>
      <c r="CQZ24" s="204"/>
      <c r="CRA24" s="204"/>
      <c r="CRB24" s="204"/>
      <c r="CRC24" s="204"/>
      <c r="CRD24" s="204"/>
      <c r="CRE24" s="204"/>
      <c r="CRF24" s="204"/>
      <c r="CRG24" s="204"/>
      <c r="CRH24" s="204"/>
      <c r="CRI24" s="204"/>
      <c r="CRJ24" s="204"/>
      <c r="CRK24" s="204"/>
      <c r="CRL24" s="204"/>
      <c r="CRM24" s="204"/>
      <c r="CRN24" s="204"/>
      <c r="CRO24" s="204"/>
      <c r="CRP24" s="204"/>
      <c r="CRQ24" s="204"/>
      <c r="CRR24" s="204"/>
      <c r="CRS24" s="204"/>
      <c r="CRT24" s="204"/>
      <c r="CRU24" s="204"/>
      <c r="CRV24" s="204"/>
      <c r="CRW24" s="204"/>
      <c r="CRX24" s="204"/>
      <c r="CRY24" s="204"/>
      <c r="CRZ24" s="204"/>
      <c r="CSA24" s="204"/>
      <c r="CSB24" s="204"/>
      <c r="CSC24" s="204"/>
      <c r="CSD24" s="204"/>
      <c r="CSE24" s="204"/>
      <c r="CSF24" s="204"/>
      <c r="CSG24" s="204"/>
      <c r="CSH24" s="204"/>
      <c r="CSI24" s="204"/>
      <c r="CSJ24" s="204"/>
      <c r="CSK24" s="204"/>
      <c r="CSL24" s="204"/>
      <c r="CSM24" s="204"/>
      <c r="CSN24" s="204"/>
      <c r="CSO24" s="204"/>
      <c r="CSP24" s="204"/>
      <c r="CSQ24" s="204"/>
      <c r="CSR24" s="204"/>
      <c r="CSS24" s="204"/>
      <c r="CST24" s="204"/>
      <c r="CSU24" s="204"/>
      <c r="CSV24" s="204"/>
      <c r="CSW24" s="204"/>
      <c r="CSX24" s="204"/>
      <c r="CSY24" s="204"/>
      <c r="CSZ24" s="204"/>
      <c r="CTA24" s="204"/>
      <c r="CTB24" s="204"/>
      <c r="CTC24" s="204"/>
      <c r="CTD24" s="204"/>
      <c r="CTE24" s="204"/>
      <c r="CTF24" s="204"/>
      <c r="CTG24" s="204"/>
      <c r="CTH24" s="204"/>
      <c r="CTI24" s="204"/>
      <c r="CTJ24" s="204"/>
      <c r="CTK24" s="204"/>
      <c r="CTL24" s="204"/>
      <c r="CTM24" s="204"/>
      <c r="CTN24" s="204"/>
      <c r="CTO24" s="204"/>
      <c r="CTP24" s="204"/>
      <c r="CTQ24" s="204"/>
      <c r="CTR24" s="204"/>
      <c r="CTS24" s="204"/>
      <c r="CTT24" s="204"/>
      <c r="CTU24" s="204"/>
      <c r="CTV24" s="204"/>
      <c r="CTW24" s="204"/>
      <c r="CTX24" s="204"/>
      <c r="CTY24" s="204"/>
      <c r="CTZ24" s="204"/>
      <c r="CUA24" s="204"/>
      <c r="CUB24" s="204"/>
      <c r="CUC24" s="204"/>
      <c r="CUD24" s="204"/>
      <c r="CUE24" s="204"/>
      <c r="CUF24" s="204"/>
      <c r="CUG24" s="204"/>
      <c r="CUH24" s="204"/>
      <c r="CUI24" s="204"/>
      <c r="CUJ24" s="204"/>
      <c r="CUK24" s="204"/>
      <c r="CUL24" s="204"/>
      <c r="CUM24" s="204"/>
      <c r="CUN24" s="204"/>
      <c r="CUO24" s="204"/>
      <c r="CUP24" s="204"/>
      <c r="CUQ24" s="204"/>
      <c r="CUR24" s="204"/>
      <c r="CUS24" s="204"/>
      <c r="CUT24" s="204"/>
      <c r="CUU24" s="204"/>
      <c r="CUV24" s="204"/>
      <c r="CUW24" s="204"/>
      <c r="CUX24" s="204"/>
      <c r="CUY24" s="204"/>
      <c r="CUZ24" s="204"/>
      <c r="CVA24" s="204"/>
      <c r="CVB24" s="204"/>
      <c r="CVC24" s="204"/>
      <c r="CVD24" s="204"/>
      <c r="CVE24" s="204"/>
      <c r="CVF24" s="204"/>
      <c r="CVG24" s="204"/>
      <c r="CVH24" s="204"/>
      <c r="CVI24" s="204"/>
      <c r="CVJ24" s="204"/>
      <c r="CVK24" s="204"/>
      <c r="CVL24" s="204"/>
      <c r="CVM24" s="204"/>
      <c r="CVN24" s="204"/>
      <c r="CVO24" s="204"/>
      <c r="CVP24" s="204"/>
      <c r="CVQ24" s="204"/>
      <c r="CVR24" s="204"/>
      <c r="CVS24" s="204"/>
      <c r="CVT24" s="204"/>
      <c r="CVU24" s="204"/>
      <c r="CVV24" s="204"/>
      <c r="CVW24" s="204"/>
      <c r="CVX24" s="204"/>
      <c r="CVY24" s="204"/>
      <c r="CVZ24" s="204"/>
      <c r="CWA24" s="204"/>
      <c r="CWB24" s="204"/>
      <c r="CWC24" s="204"/>
      <c r="CWD24" s="204"/>
      <c r="CWE24" s="204"/>
      <c r="CWF24" s="204"/>
      <c r="CWG24" s="204"/>
      <c r="CWH24" s="204"/>
      <c r="CWI24" s="204"/>
      <c r="CWJ24" s="204"/>
      <c r="CWK24" s="204"/>
      <c r="CWL24" s="204"/>
      <c r="CWM24" s="204"/>
      <c r="CWN24" s="204"/>
      <c r="CWO24" s="204"/>
      <c r="CWP24" s="204"/>
      <c r="CWQ24" s="204"/>
      <c r="CWR24" s="204"/>
      <c r="CWS24" s="204"/>
      <c r="CWT24" s="204"/>
      <c r="CWU24" s="204"/>
      <c r="CWV24" s="204"/>
      <c r="CWW24" s="204"/>
      <c r="CWX24" s="204"/>
      <c r="CWY24" s="204"/>
      <c r="CWZ24" s="204"/>
      <c r="CXA24" s="204"/>
      <c r="CXB24" s="204"/>
      <c r="CXC24" s="204"/>
      <c r="CXD24" s="204"/>
      <c r="CXE24" s="204"/>
      <c r="CXF24" s="204"/>
      <c r="CXG24" s="204"/>
      <c r="CXH24" s="204"/>
      <c r="CXI24" s="204"/>
      <c r="CXJ24" s="204"/>
      <c r="CXK24" s="204"/>
      <c r="CXL24" s="204"/>
      <c r="CXM24" s="204"/>
      <c r="CXN24" s="204"/>
      <c r="CXO24" s="204"/>
      <c r="CXP24" s="204"/>
      <c r="CXQ24" s="204"/>
      <c r="CXR24" s="204"/>
      <c r="CXS24" s="204"/>
      <c r="CXT24" s="204"/>
      <c r="CXU24" s="204"/>
      <c r="CXV24" s="204"/>
      <c r="CXW24" s="204"/>
      <c r="CXX24" s="204"/>
      <c r="CXY24" s="204"/>
      <c r="CXZ24" s="204"/>
      <c r="CYA24" s="204"/>
      <c r="CYB24" s="204"/>
      <c r="CYC24" s="204"/>
      <c r="CYD24" s="204"/>
      <c r="CYE24" s="204"/>
      <c r="CYF24" s="204"/>
      <c r="CYG24" s="204"/>
      <c r="CYH24" s="204"/>
      <c r="CYI24" s="204"/>
      <c r="CYJ24" s="204"/>
      <c r="CYK24" s="204"/>
      <c r="CYL24" s="204"/>
      <c r="CYM24" s="204"/>
      <c r="CYN24" s="204"/>
      <c r="CYO24" s="204"/>
      <c r="CYP24" s="204"/>
      <c r="CYQ24" s="204"/>
      <c r="CYR24" s="204"/>
      <c r="CYS24" s="204"/>
      <c r="CYT24" s="204"/>
      <c r="CYU24" s="204"/>
      <c r="CYV24" s="204"/>
      <c r="CYW24" s="204"/>
      <c r="CYX24" s="204"/>
      <c r="CYY24" s="204"/>
      <c r="CYZ24" s="204"/>
      <c r="CZA24" s="204"/>
      <c r="CZB24" s="204"/>
      <c r="CZC24" s="204"/>
      <c r="CZD24" s="204"/>
      <c r="CZE24" s="204"/>
      <c r="CZF24" s="204"/>
      <c r="CZG24" s="204"/>
      <c r="CZH24" s="204"/>
      <c r="CZI24" s="204"/>
      <c r="CZJ24" s="204"/>
      <c r="CZK24" s="204"/>
      <c r="CZL24" s="204"/>
      <c r="CZM24" s="204"/>
      <c r="CZN24" s="204"/>
      <c r="CZO24" s="204"/>
      <c r="CZP24" s="204"/>
      <c r="CZQ24" s="204"/>
      <c r="CZR24" s="204"/>
      <c r="CZS24" s="204"/>
      <c r="CZT24" s="204"/>
      <c r="CZU24" s="204"/>
      <c r="CZV24" s="204"/>
      <c r="CZW24" s="204"/>
      <c r="CZX24" s="204"/>
      <c r="CZY24" s="204"/>
      <c r="CZZ24" s="204"/>
      <c r="DAA24" s="204"/>
      <c r="DAB24" s="204"/>
      <c r="DAC24" s="204"/>
      <c r="DAD24" s="204"/>
      <c r="DAE24" s="204"/>
      <c r="DAF24" s="204"/>
      <c r="DAG24" s="204"/>
      <c r="DAH24" s="204"/>
      <c r="DAI24" s="204"/>
      <c r="DAJ24" s="204"/>
      <c r="DAK24" s="204"/>
      <c r="DAL24" s="204"/>
      <c r="DAM24" s="204"/>
      <c r="DAN24" s="204"/>
      <c r="DAO24" s="204"/>
      <c r="DAP24" s="204"/>
      <c r="DAQ24" s="204"/>
      <c r="DAR24" s="204"/>
      <c r="DAS24" s="204"/>
      <c r="DAT24" s="204"/>
      <c r="DAU24" s="204"/>
      <c r="DAV24" s="204"/>
      <c r="DAW24" s="204"/>
      <c r="DAX24" s="204"/>
      <c r="DAY24" s="204"/>
      <c r="DAZ24" s="204"/>
      <c r="DBA24" s="204"/>
      <c r="DBB24" s="204"/>
      <c r="DBC24" s="204"/>
      <c r="DBD24" s="204"/>
      <c r="DBE24" s="204"/>
      <c r="DBF24" s="204"/>
      <c r="DBG24" s="204"/>
      <c r="DBH24" s="204"/>
      <c r="DBI24" s="204"/>
      <c r="DBJ24" s="204"/>
      <c r="DBK24" s="204"/>
      <c r="DBL24" s="204"/>
      <c r="DBM24" s="204"/>
      <c r="DBN24" s="204"/>
      <c r="DBO24" s="204"/>
      <c r="DBP24" s="204"/>
      <c r="DBQ24" s="204"/>
      <c r="DBR24" s="204"/>
      <c r="DBS24" s="204"/>
      <c r="DBT24" s="204"/>
      <c r="DBU24" s="204"/>
      <c r="DBV24" s="204"/>
      <c r="DBW24" s="204"/>
      <c r="DBX24" s="204"/>
      <c r="DBY24" s="204"/>
      <c r="DBZ24" s="204"/>
      <c r="DCA24" s="204"/>
      <c r="DCB24" s="204"/>
      <c r="DCC24" s="204"/>
      <c r="DCD24" s="204"/>
      <c r="DCE24" s="204"/>
      <c r="DCF24" s="204"/>
      <c r="DCG24" s="204"/>
      <c r="DCH24" s="204"/>
      <c r="DCI24" s="204"/>
      <c r="DCJ24" s="204"/>
      <c r="DCK24" s="204"/>
      <c r="DCL24" s="204"/>
      <c r="DCM24" s="204"/>
      <c r="DCN24" s="204"/>
      <c r="DCO24" s="204"/>
      <c r="DCP24" s="204"/>
      <c r="DCQ24" s="204"/>
      <c r="DCR24" s="204"/>
      <c r="DCS24" s="204"/>
      <c r="DCT24" s="204"/>
      <c r="DCU24" s="204"/>
      <c r="DCV24" s="204"/>
      <c r="DCW24" s="204"/>
      <c r="DCX24" s="204"/>
      <c r="DCY24" s="204"/>
      <c r="DCZ24" s="204"/>
      <c r="DDA24" s="204"/>
      <c r="DDB24" s="204"/>
      <c r="DDC24" s="204"/>
      <c r="DDD24" s="204"/>
      <c r="DDE24" s="204"/>
      <c r="DDF24" s="204"/>
      <c r="DDG24" s="204"/>
      <c r="DDH24" s="204"/>
      <c r="DDI24" s="204"/>
      <c r="DDJ24" s="204"/>
      <c r="DDK24" s="204"/>
      <c r="DDL24" s="204"/>
      <c r="DDM24" s="204"/>
      <c r="DDN24" s="204"/>
      <c r="DDO24" s="204"/>
      <c r="DDP24" s="204"/>
      <c r="DDQ24" s="204"/>
      <c r="DDR24" s="204"/>
      <c r="DDS24" s="204"/>
      <c r="DDT24" s="204"/>
      <c r="DDU24" s="204"/>
      <c r="DDV24" s="204"/>
      <c r="DDW24" s="204"/>
      <c r="DDX24" s="204"/>
      <c r="DDY24" s="204"/>
      <c r="DDZ24" s="204"/>
      <c r="DEA24" s="204"/>
      <c r="DEB24" s="204"/>
      <c r="DEC24" s="204"/>
      <c r="DED24" s="204"/>
      <c r="DEE24" s="204"/>
      <c r="DEF24" s="204"/>
      <c r="DEG24" s="204"/>
      <c r="DEH24" s="204"/>
      <c r="DEI24" s="204"/>
      <c r="DEJ24" s="204"/>
      <c r="DEK24" s="204"/>
      <c r="DEL24" s="204"/>
      <c r="DEM24" s="204"/>
      <c r="DEN24" s="204"/>
      <c r="DEO24" s="204"/>
      <c r="DEP24" s="204"/>
      <c r="DEQ24" s="204"/>
      <c r="DER24" s="204"/>
      <c r="DES24" s="204"/>
      <c r="DET24" s="204"/>
      <c r="DEU24" s="204"/>
      <c r="DEV24" s="204"/>
      <c r="DEW24" s="204"/>
      <c r="DEX24" s="204"/>
      <c r="DEY24" s="204"/>
      <c r="DEZ24" s="204"/>
      <c r="DFA24" s="204"/>
      <c r="DFB24" s="204"/>
      <c r="DFC24" s="204"/>
      <c r="DFD24" s="204"/>
      <c r="DFE24" s="204"/>
      <c r="DFF24" s="204"/>
      <c r="DFG24" s="204"/>
      <c r="DFH24" s="204"/>
      <c r="DFI24" s="204"/>
      <c r="DFJ24" s="204"/>
      <c r="DFK24" s="204"/>
      <c r="DFL24" s="204"/>
      <c r="DFM24" s="204"/>
      <c r="DFN24" s="204"/>
      <c r="DFO24" s="204"/>
      <c r="DFP24" s="204"/>
      <c r="DFQ24" s="204"/>
      <c r="DFR24" s="204"/>
      <c r="DFS24" s="204"/>
      <c r="DFT24" s="204"/>
      <c r="DFU24" s="204"/>
      <c r="DFV24" s="204"/>
      <c r="DFW24" s="204"/>
      <c r="DFX24" s="204"/>
      <c r="DFY24" s="204"/>
      <c r="DFZ24" s="204"/>
      <c r="DGA24" s="204"/>
      <c r="DGB24" s="204"/>
      <c r="DGC24" s="204"/>
      <c r="DGD24" s="204"/>
      <c r="DGE24" s="204"/>
      <c r="DGF24" s="204"/>
      <c r="DGG24" s="204"/>
      <c r="DGH24" s="204"/>
      <c r="DGI24" s="204"/>
      <c r="DGJ24" s="204"/>
      <c r="DGK24" s="204"/>
      <c r="DGL24" s="204"/>
      <c r="DGM24" s="204"/>
      <c r="DGN24" s="204"/>
      <c r="DGO24" s="204"/>
      <c r="DGP24" s="204"/>
      <c r="DGQ24" s="204"/>
      <c r="DGR24" s="204"/>
      <c r="DGS24" s="204"/>
      <c r="DGT24" s="204"/>
      <c r="DGU24" s="204"/>
      <c r="DGV24" s="204"/>
      <c r="DGW24" s="204"/>
      <c r="DGX24" s="204"/>
      <c r="DGY24" s="204"/>
      <c r="DGZ24" s="204"/>
      <c r="DHA24" s="204"/>
      <c r="DHB24" s="204"/>
      <c r="DHC24" s="204"/>
      <c r="DHD24" s="204"/>
      <c r="DHE24" s="204"/>
      <c r="DHF24" s="204"/>
      <c r="DHG24" s="204"/>
      <c r="DHH24" s="204"/>
      <c r="DHI24" s="204"/>
      <c r="DHJ24" s="204"/>
      <c r="DHK24" s="204"/>
      <c r="DHL24" s="204"/>
      <c r="DHM24" s="204"/>
      <c r="DHN24" s="204"/>
      <c r="DHO24" s="204"/>
      <c r="DHP24" s="204"/>
      <c r="DHQ24" s="204"/>
      <c r="DHR24" s="204"/>
      <c r="DHS24" s="204"/>
      <c r="DHT24" s="204"/>
      <c r="DHU24" s="204"/>
      <c r="DHV24" s="204"/>
      <c r="DHW24" s="204"/>
      <c r="DHX24" s="204"/>
      <c r="DHY24" s="204"/>
      <c r="DHZ24" s="204"/>
      <c r="DIA24" s="204"/>
      <c r="DIB24" s="204"/>
      <c r="DIC24" s="204"/>
      <c r="DID24" s="204"/>
      <c r="DIE24" s="204"/>
      <c r="DIF24" s="204"/>
      <c r="DIG24" s="204"/>
      <c r="DIH24" s="204"/>
      <c r="DII24" s="204"/>
      <c r="DIJ24" s="204"/>
      <c r="DIK24" s="204"/>
      <c r="DIL24" s="204"/>
      <c r="DIM24" s="204"/>
      <c r="DIN24" s="204"/>
      <c r="DIO24" s="204"/>
      <c r="DIP24" s="204"/>
      <c r="DIQ24" s="204"/>
      <c r="DIR24" s="204"/>
      <c r="DIS24" s="204"/>
      <c r="DIT24" s="204"/>
      <c r="DIU24" s="204"/>
      <c r="DIV24" s="204"/>
      <c r="DIW24" s="204"/>
      <c r="DIX24" s="204"/>
      <c r="DIY24" s="204"/>
      <c r="DIZ24" s="204"/>
      <c r="DJA24" s="204"/>
      <c r="DJB24" s="204"/>
      <c r="DJC24" s="204"/>
      <c r="DJD24" s="204"/>
      <c r="DJE24" s="204"/>
      <c r="DJF24" s="204"/>
      <c r="DJG24" s="204"/>
      <c r="DJH24" s="204"/>
      <c r="DJI24" s="204"/>
      <c r="DJJ24" s="204"/>
      <c r="DJK24" s="204"/>
      <c r="DJL24" s="204"/>
      <c r="DJM24" s="204"/>
      <c r="DJN24" s="204"/>
      <c r="DJO24" s="204"/>
      <c r="DJP24" s="204"/>
      <c r="DJQ24" s="204"/>
      <c r="DJR24" s="204"/>
      <c r="DJS24" s="204"/>
      <c r="DJT24" s="204"/>
      <c r="DJU24" s="204"/>
      <c r="DJV24" s="204"/>
      <c r="DJW24" s="204"/>
      <c r="DJX24" s="204"/>
      <c r="DJY24" s="204"/>
      <c r="DJZ24" s="204"/>
      <c r="DKA24" s="204"/>
      <c r="DKB24" s="204"/>
      <c r="DKC24" s="204"/>
      <c r="DKD24" s="204"/>
      <c r="DKE24" s="204"/>
      <c r="DKF24" s="204"/>
      <c r="DKG24" s="204"/>
      <c r="DKH24" s="204"/>
      <c r="DKI24" s="204"/>
      <c r="DKJ24" s="204"/>
      <c r="DKK24" s="204"/>
      <c r="DKL24" s="204"/>
      <c r="DKM24" s="204"/>
      <c r="DKN24" s="204"/>
      <c r="DKO24" s="204"/>
      <c r="DKP24" s="204"/>
      <c r="DKQ24" s="204"/>
      <c r="DKR24" s="204"/>
      <c r="DKS24" s="204"/>
      <c r="DKT24" s="204"/>
      <c r="DKU24" s="204"/>
      <c r="DKV24" s="204"/>
      <c r="DKW24" s="204"/>
      <c r="DKX24" s="204"/>
      <c r="DKY24" s="204"/>
      <c r="DKZ24" s="204"/>
      <c r="DLA24" s="204"/>
      <c r="DLB24" s="204"/>
      <c r="DLC24" s="204"/>
      <c r="DLD24" s="204"/>
      <c r="DLE24" s="204"/>
      <c r="DLF24" s="204"/>
      <c r="DLG24" s="204"/>
      <c r="DLH24" s="204"/>
      <c r="DLI24" s="204"/>
      <c r="DLJ24" s="204"/>
      <c r="DLK24" s="204"/>
      <c r="DLL24" s="204"/>
      <c r="DLM24" s="204"/>
      <c r="DLN24" s="204"/>
      <c r="DLO24" s="204"/>
      <c r="DLP24" s="204"/>
      <c r="DLQ24" s="204"/>
      <c r="DLR24" s="204"/>
      <c r="DLS24" s="204"/>
      <c r="DLT24" s="204"/>
      <c r="DLU24" s="204"/>
      <c r="DLV24" s="204"/>
      <c r="DLW24" s="204"/>
      <c r="DLX24" s="204"/>
      <c r="DLY24" s="204"/>
      <c r="DLZ24" s="204"/>
      <c r="DMA24" s="204"/>
      <c r="DMB24" s="204"/>
      <c r="DMC24" s="204"/>
      <c r="DMD24" s="204"/>
      <c r="DME24" s="204"/>
      <c r="DMF24" s="204"/>
      <c r="DMG24" s="204"/>
      <c r="DMH24" s="204"/>
      <c r="DMI24" s="204"/>
      <c r="DMJ24" s="204"/>
      <c r="DMK24" s="204"/>
      <c r="DML24" s="204"/>
      <c r="DMM24" s="204"/>
      <c r="DMN24" s="204"/>
      <c r="DMO24" s="204"/>
      <c r="DMP24" s="204"/>
      <c r="DMQ24" s="204"/>
      <c r="DMR24" s="204"/>
      <c r="DMS24" s="204"/>
      <c r="DMT24" s="204"/>
      <c r="DMU24" s="204"/>
      <c r="DMV24" s="204"/>
      <c r="DMW24" s="204"/>
      <c r="DMX24" s="204"/>
      <c r="DMY24" s="204"/>
      <c r="DMZ24" s="204"/>
      <c r="DNA24" s="204"/>
      <c r="DNB24" s="204"/>
      <c r="DNC24" s="204"/>
      <c r="DND24" s="204"/>
      <c r="DNE24" s="204"/>
      <c r="DNF24" s="204"/>
      <c r="DNG24" s="204"/>
      <c r="DNH24" s="204"/>
      <c r="DNI24" s="204"/>
      <c r="DNJ24" s="204"/>
      <c r="DNK24" s="204"/>
      <c r="DNL24" s="204"/>
      <c r="DNM24" s="204"/>
      <c r="DNN24" s="204"/>
      <c r="DNO24" s="204"/>
      <c r="DNP24" s="204"/>
      <c r="DNQ24" s="204"/>
      <c r="DNR24" s="204"/>
      <c r="DNS24" s="204"/>
      <c r="DNT24" s="204"/>
      <c r="DNU24" s="204"/>
      <c r="DNV24" s="204"/>
      <c r="DNW24" s="204"/>
      <c r="DNX24" s="204"/>
      <c r="DNY24" s="204"/>
      <c r="DNZ24" s="204"/>
      <c r="DOA24" s="204"/>
      <c r="DOB24" s="204"/>
      <c r="DOC24" s="204"/>
      <c r="DOD24" s="204"/>
      <c r="DOE24" s="204"/>
      <c r="DOF24" s="204"/>
      <c r="DOG24" s="204"/>
      <c r="DOH24" s="204"/>
      <c r="DOI24" s="204"/>
      <c r="DOJ24" s="204"/>
      <c r="DOK24" s="204"/>
      <c r="DOL24" s="204"/>
      <c r="DOM24" s="204"/>
      <c r="DON24" s="204"/>
      <c r="DOO24" s="204"/>
      <c r="DOP24" s="204"/>
      <c r="DOQ24" s="204"/>
      <c r="DOR24" s="204"/>
      <c r="DOS24" s="204"/>
      <c r="DOT24" s="204"/>
      <c r="DOU24" s="204"/>
      <c r="DOV24" s="204"/>
      <c r="DOW24" s="204"/>
      <c r="DOX24" s="204"/>
      <c r="DOY24" s="204"/>
      <c r="DOZ24" s="204"/>
      <c r="DPA24" s="204"/>
      <c r="DPB24" s="204"/>
      <c r="DPC24" s="204"/>
      <c r="DPD24" s="204"/>
      <c r="DPE24" s="204"/>
      <c r="DPF24" s="204"/>
      <c r="DPG24" s="204"/>
      <c r="DPH24" s="204"/>
      <c r="DPI24" s="204"/>
      <c r="DPJ24" s="204"/>
      <c r="DPK24" s="204"/>
      <c r="DPL24" s="204"/>
      <c r="DPM24" s="204"/>
      <c r="DPN24" s="204"/>
      <c r="DPO24" s="204"/>
      <c r="DPP24" s="204"/>
      <c r="DPQ24" s="204"/>
      <c r="DPR24" s="204"/>
      <c r="DPS24" s="204"/>
      <c r="DPT24" s="204"/>
      <c r="DPU24" s="204"/>
      <c r="DPV24" s="204"/>
      <c r="DPW24" s="204"/>
      <c r="DPX24" s="204"/>
      <c r="DPY24" s="204"/>
      <c r="DPZ24" s="204"/>
      <c r="DQA24" s="204"/>
      <c r="DQB24" s="204"/>
      <c r="DQC24" s="204"/>
      <c r="DQD24" s="204"/>
      <c r="DQE24" s="204"/>
      <c r="DQF24" s="204"/>
      <c r="DQG24" s="204"/>
      <c r="DQH24" s="204"/>
      <c r="DQI24" s="204"/>
      <c r="DQJ24" s="204"/>
      <c r="DQK24" s="204"/>
      <c r="DQL24" s="204"/>
      <c r="DQM24" s="204"/>
      <c r="DQN24" s="204"/>
      <c r="DQO24" s="204"/>
      <c r="DQP24" s="204"/>
      <c r="DQQ24" s="204"/>
      <c r="DQR24" s="204"/>
      <c r="DQS24" s="204"/>
      <c r="DQT24" s="204"/>
      <c r="DQU24" s="204"/>
      <c r="DQV24" s="204"/>
      <c r="DQW24" s="204"/>
      <c r="DQX24" s="204"/>
      <c r="DQY24" s="204"/>
      <c r="DQZ24" s="204"/>
      <c r="DRA24" s="204"/>
      <c r="DRB24" s="204"/>
      <c r="DRC24" s="204"/>
      <c r="DRD24" s="204"/>
      <c r="DRE24" s="204"/>
      <c r="DRF24" s="204"/>
      <c r="DRG24" s="204"/>
      <c r="DRH24" s="204"/>
      <c r="DRI24" s="204"/>
      <c r="DRJ24" s="204"/>
      <c r="DRK24" s="204"/>
      <c r="DRL24" s="204"/>
      <c r="DRM24" s="204"/>
      <c r="DRN24" s="204"/>
      <c r="DRO24" s="204"/>
      <c r="DRP24" s="204"/>
      <c r="DRQ24" s="204"/>
      <c r="DRR24" s="204"/>
      <c r="DRS24" s="204"/>
      <c r="DRT24" s="204"/>
      <c r="DRU24" s="204"/>
      <c r="DRV24" s="204"/>
      <c r="DRW24" s="204"/>
      <c r="DRX24" s="204"/>
      <c r="DRY24" s="204"/>
      <c r="DRZ24" s="204"/>
      <c r="DSA24" s="204"/>
      <c r="DSB24" s="204"/>
      <c r="DSC24" s="204"/>
      <c r="DSD24" s="204"/>
      <c r="DSE24" s="204"/>
      <c r="DSF24" s="204"/>
      <c r="DSG24" s="204"/>
      <c r="DSH24" s="204"/>
      <c r="DSI24" s="204"/>
      <c r="DSJ24" s="204"/>
      <c r="DSK24" s="204"/>
      <c r="DSL24" s="204"/>
      <c r="DSM24" s="204"/>
      <c r="DSN24" s="204"/>
      <c r="DSO24" s="204"/>
      <c r="DSP24" s="204"/>
      <c r="DSQ24" s="204"/>
      <c r="DSR24" s="204"/>
      <c r="DSS24" s="204"/>
      <c r="DST24" s="204"/>
      <c r="DSU24" s="204"/>
      <c r="DSV24" s="204"/>
      <c r="DSW24" s="204"/>
      <c r="DSX24" s="204"/>
      <c r="DSY24" s="204"/>
      <c r="DSZ24" s="204"/>
      <c r="DTA24" s="204"/>
      <c r="DTB24" s="204"/>
      <c r="DTC24" s="204"/>
      <c r="DTD24" s="204"/>
      <c r="DTE24" s="204"/>
      <c r="DTF24" s="204"/>
      <c r="DTG24" s="204"/>
      <c r="DTH24" s="204"/>
      <c r="DTI24" s="204"/>
      <c r="DTJ24" s="204"/>
      <c r="DTK24" s="204"/>
      <c r="DTL24" s="204"/>
      <c r="DTM24" s="204"/>
      <c r="DTN24" s="204"/>
      <c r="DTO24" s="204"/>
      <c r="DTP24" s="204"/>
      <c r="DTQ24" s="204"/>
      <c r="DTR24" s="204"/>
      <c r="DTS24" s="204"/>
      <c r="DTT24" s="204"/>
      <c r="DTU24" s="204"/>
      <c r="DTV24" s="204"/>
      <c r="DTW24" s="204"/>
      <c r="DTX24" s="204"/>
      <c r="DTY24" s="204"/>
      <c r="DTZ24" s="204"/>
      <c r="DUA24" s="204"/>
      <c r="DUB24" s="204"/>
      <c r="DUC24" s="204"/>
      <c r="DUD24" s="204"/>
      <c r="DUE24" s="204"/>
      <c r="DUF24" s="204"/>
      <c r="DUG24" s="204"/>
      <c r="DUH24" s="204"/>
      <c r="DUI24" s="204"/>
      <c r="DUJ24" s="204"/>
      <c r="DUK24" s="204"/>
      <c r="DUL24" s="204"/>
      <c r="DUM24" s="204"/>
      <c r="DUN24" s="204"/>
      <c r="DUO24" s="204"/>
      <c r="DUP24" s="204"/>
      <c r="DUQ24" s="204"/>
      <c r="DUR24" s="204"/>
      <c r="DUS24" s="204"/>
      <c r="DUT24" s="204"/>
      <c r="DUU24" s="204"/>
      <c r="DUV24" s="204"/>
      <c r="DUW24" s="204"/>
      <c r="DUX24" s="204"/>
      <c r="DUY24" s="204"/>
      <c r="DUZ24" s="204"/>
      <c r="DVA24" s="204"/>
      <c r="DVB24" s="204"/>
      <c r="DVC24" s="204"/>
      <c r="DVD24" s="204"/>
      <c r="DVE24" s="204"/>
      <c r="DVF24" s="204"/>
      <c r="DVG24" s="204"/>
      <c r="DVH24" s="204"/>
      <c r="DVI24" s="204"/>
      <c r="DVJ24" s="204"/>
      <c r="DVK24" s="204"/>
      <c r="DVL24" s="204"/>
      <c r="DVM24" s="204"/>
      <c r="DVN24" s="204"/>
      <c r="DVO24" s="204"/>
      <c r="DVP24" s="204"/>
      <c r="DVQ24" s="204"/>
      <c r="DVR24" s="204"/>
      <c r="DVS24" s="204"/>
      <c r="DVT24" s="204"/>
      <c r="DVU24" s="204"/>
      <c r="DVV24" s="204"/>
      <c r="DVW24" s="204"/>
      <c r="DVX24" s="204"/>
      <c r="DVY24" s="204"/>
      <c r="DVZ24" s="204"/>
      <c r="DWA24" s="204"/>
      <c r="DWB24" s="204"/>
      <c r="DWC24" s="204"/>
      <c r="DWD24" s="204"/>
      <c r="DWE24" s="204"/>
      <c r="DWF24" s="204"/>
      <c r="DWG24" s="204"/>
      <c r="DWH24" s="204"/>
      <c r="DWI24" s="204"/>
      <c r="DWJ24" s="204"/>
      <c r="DWK24" s="204"/>
      <c r="DWL24" s="204"/>
      <c r="DWM24" s="204"/>
      <c r="DWN24" s="204"/>
      <c r="DWO24" s="204"/>
      <c r="DWP24" s="204"/>
      <c r="DWQ24" s="204"/>
      <c r="DWR24" s="204"/>
      <c r="DWS24" s="204"/>
      <c r="DWT24" s="204"/>
      <c r="DWU24" s="204"/>
      <c r="DWV24" s="204"/>
      <c r="DWW24" s="204"/>
      <c r="DWX24" s="204"/>
      <c r="DWY24" s="204"/>
      <c r="DWZ24" s="204"/>
      <c r="DXA24" s="204"/>
      <c r="DXB24" s="204"/>
      <c r="DXC24" s="204"/>
      <c r="DXD24" s="204"/>
      <c r="DXE24" s="204"/>
      <c r="DXF24" s="204"/>
      <c r="DXG24" s="204"/>
      <c r="DXH24" s="204"/>
      <c r="DXI24" s="204"/>
      <c r="DXJ24" s="204"/>
      <c r="DXK24" s="204"/>
      <c r="DXL24" s="204"/>
      <c r="DXM24" s="204"/>
      <c r="DXN24" s="204"/>
      <c r="DXO24" s="204"/>
      <c r="DXP24" s="204"/>
      <c r="DXQ24" s="204"/>
      <c r="DXR24" s="204"/>
      <c r="DXS24" s="204"/>
      <c r="DXT24" s="204"/>
      <c r="DXU24" s="204"/>
      <c r="DXV24" s="204"/>
      <c r="DXW24" s="204"/>
      <c r="DXX24" s="204"/>
      <c r="DXY24" s="204"/>
      <c r="DXZ24" s="204"/>
      <c r="DYA24" s="204"/>
      <c r="DYB24" s="204"/>
      <c r="DYC24" s="204"/>
      <c r="DYD24" s="204"/>
      <c r="DYE24" s="204"/>
      <c r="DYF24" s="204"/>
      <c r="DYG24" s="204"/>
      <c r="DYH24" s="204"/>
      <c r="DYI24" s="204"/>
      <c r="DYJ24" s="204"/>
      <c r="DYK24" s="204"/>
      <c r="DYL24" s="204"/>
      <c r="DYM24" s="204"/>
      <c r="DYN24" s="204"/>
      <c r="DYO24" s="204"/>
      <c r="DYP24" s="204"/>
      <c r="DYQ24" s="204"/>
      <c r="DYR24" s="204"/>
      <c r="DYS24" s="204"/>
      <c r="DYT24" s="204"/>
      <c r="DYU24" s="204"/>
      <c r="DYV24" s="204"/>
      <c r="DYW24" s="204"/>
      <c r="DYX24" s="204"/>
      <c r="DYY24" s="204"/>
      <c r="DYZ24" s="204"/>
      <c r="DZA24" s="204"/>
      <c r="DZB24" s="204"/>
      <c r="DZC24" s="204"/>
      <c r="DZD24" s="204"/>
      <c r="DZE24" s="204"/>
      <c r="DZF24" s="204"/>
      <c r="DZG24" s="204"/>
      <c r="DZH24" s="204"/>
      <c r="DZI24" s="204"/>
      <c r="DZJ24" s="204"/>
      <c r="DZK24" s="204"/>
      <c r="DZL24" s="204"/>
      <c r="DZM24" s="204"/>
      <c r="DZN24" s="204"/>
      <c r="DZO24" s="204"/>
      <c r="DZP24" s="204"/>
      <c r="DZQ24" s="204"/>
      <c r="DZR24" s="204"/>
      <c r="DZS24" s="204"/>
      <c r="DZT24" s="204"/>
      <c r="DZU24" s="204"/>
      <c r="DZV24" s="204"/>
      <c r="DZW24" s="204"/>
      <c r="DZX24" s="204"/>
      <c r="DZY24" s="204"/>
      <c r="DZZ24" s="204"/>
      <c r="EAA24" s="204"/>
      <c r="EAB24" s="204"/>
      <c r="EAC24" s="204"/>
      <c r="EAD24" s="204"/>
      <c r="EAE24" s="204"/>
      <c r="EAF24" s="204"/>
      <c r="EAG24" s="204"/>
      <c r="EAH24" s="204"/>
      <c r="EAI24" s="204"/>
      <c r="EAJ24" s="204"/>
      <c r="EAK24" s="204"/>
      <c r="EAL24" s="204"/>
      <c r="EAM24" s="204"/>
      <c r="EAN24" s="204"/>
      <c r="EAO24" s="204"/>
      <c r="EAP24" s="204"/>
      <c r="EAQ24" s="204"/>
      <c r="EAR24" s="204"/>
      <c r="EAS24" s="204"/>
      <c r="EAT24" s="204"/>
      <c r="EAU24" s="204"/>
      <c r="EAV24" s="204"/>
      <c r="EAW24" s="204"/>
      <c r="EAX24" s="204"/>
      <c r="EAY24" s="204"/>
      <c r="EAZ24" s="204"/>
      <c r="EBA24" s="204"/>
      <c r="EBB24" s="204"/>
      <c r="EBC24" s="204"/>
      <c r="EBD24" s="204"/>
      <c r="EBE24" s="204"/>
      <c r="EBF24" s="204"/>
      <c r="EBG24" s="204"/>
      <c r="EBH24" s="204"/>
      <c r="EBI24" s="204"/>
      <c r="EBJ24" s="204"/>
      <c r="EBK24" s="204"/>
      <c r="EBL24" s="204"/>
      <c r="EBM24" s="204"/>
      <c r="EBN24" s="204"/>
      <c r="EBO24" s="204"/>
      <c r="EBP24" s="204"/>
      <c r="EBQ24" s="204"/>
      <c r="EBR24" s="204"/>
      <c r="EBS24" s="204"/>
      <c r="EBT24" s="204"/>
      <c r="EBU24" s="204"/>
      <c r="EBV24" s="204"/>
      <c r="EBW24" s="204"/>
      <c r="EBX24" s="204"/>
      <c r="EBY24" s="204"/>
      <c r="EBZ24" s="204"/>
      <c r="ECA24" s="204"/>
      <c r="ECB24" s="204"/>
      <c r="ECC24" s="204"/>
      <c r="ECD24" s="204"/>
      <c r="ECE24" s="204"/>
      <c r="ECF24" s="204"/>
      <c r="ECG24" s="204"/>
      <c r="ECH24" s="204"/>
      <c r="ECI24" s="204"/>
      <c r="ECJ24" s="204"/>
      <c r="ECK24" s="204"/>
      <c r="ECL24" s="204"/>
      <c r="ECM24" s="204"/>
      <c r="ECN24" s="204"/>
      <c r="ECO24" s="204"/>
      <c r="ECP24" s="204"/>
      <c r="ECQ24" s="204"/>
      <c r="ECR24" s="204"/>
      <c r="ECS24" s="204"/>
      <c r="ECT24" s="204"/>
      <c r="ECU24" s="204"/>
      <c r="ECV24" s="204"/>
      <c r="ECW24" s="204"/>
      <c r="ECX24" s="204"/>
      <c r="ECY24" s="204"/>
      <c r="ECZ24" s="204"/>
      <c r="EDA24" s="204"/>
      <c r="EDB24" s="204"/>
      <c r="EDC24" s="204"/>
      <c r="EDD24" s="204"/>
      <c r="EDE24" s="204"/>
      <c r="EDF24" s="204"/>
      <c r="EDG24" s="204"/>
      <c r="EDH24" s="204"/>
      <c r="EDI24" s="204"/>
      <c r="EDJ24" s="204"/>
      <c r="EDK24" s="204"/>
      <c r="EDL24" s="204"/>
      <c r="EDM24" s="204"/>
      <c r="EDN24" s="204"/>
      <c r="EDO24" s="204"/>
      <c r="EDP24" s="204"/>
      <c r="EDQ24" s="204"/>
      <c r="EDR24" s="204"/>
      <c r="EDS24" s="204"/>
      <c r="EDT24" s="204"/>
      <c r="EDU24" s="204"/>
      <c r="EDV24" s="204"/>
      <c r="EDW24" s="204"/>
      <c r="EDX24" s="204"/>
      <c r="EDY24" s="204"/>
      <c r="EDZ24" s="204"/>
      <c r="EEA24" s="204"/>
      <c r="EEB24" s="204"/>
      <c r="EEC24" s="204"/>
      <c r="EED24" s="204"/>
      <c r="EEE24" s="204"/>
      <c r="EEF24" s="204"/>
      <c r="EEG24" s="204"/>
      <c r="EEH24" s="204"/>
      <c r="EEI24" s="204"/>
      <c r="EEJ24" s="204"/>
      <c r="EEK24" s="204"/>
      <c r="EEL24" s="204"/>
      <c r="EEM24" s="204"/>
      <c r="EEN24" s="204"/>
      <c r="EEO24" s="204"/>
      <c r="EEP24" s="204"/>
      <c r="EEQ24" s="204"/>
      <c r="EER24" s="204"/>
      <c r="EES24" s="204"/>
      <c r="EET24" s="204"/>
      <c r="EEU24" s="204"/>
      <c r="EEV24" s="204"/>
      <c r="EEW24" s="204"/>
      <c r="EEX24" s="204"/>
      <c r="EEY24" s="204"/>
      <c r="EEZ24" s="204"/>
      <c r="EFA24" s="204"/>
      <c r="EFB24" s="204"/>
      <c r="EFC24" s="204"/>
      <c r="EFD24" s="204"/>
      <c r="EFE24" s="204"/>
      <c r="EFF24" s="204"/>
      <c r="EFG24" s="204"/>
      <c r="EFH24" s="204"/>
      <c r="EFI24" s="204"/>
      <c r="EFJ24" s="204"/>
      <c r="EFK24" s="204"/>
      <c r="EFL24" s="204"/>
      <c r="EFM24" s="204"/>
      <c r="EFN24" s="204"/>
      <c r="EFO24" s="204"/>
      <c r="EFP24" s="204"/>
      <c r="EFQ24" s="204"/>
      <c r="EFR24" s="204"/>
      <c r="EFS24" s="204"/>
      <c r="EFT24" s="204"/>
      <c r="EFU24" s="204"/>
      <c r="EFV24" s="204"/>
      <c r="EFW24" s="204"/>
      <c r="EFX24" s="204"/>
      <c r="EFY24" s="204"/>
      <c r="EFZ24" s="204"/>
      <c r="EGA24" s="204"/>
      <c r="EGB24" s="204"/>
      <c r="EGC24" s="204"/>
      <c r="EGD24" s="204"/>
      <c r="EGE24" s="204"/>
      <c r="EGF24" s="204"/>
      <c r="EGG24" s="204"/>
      <c r="EGH24" s="204"/>
      <c r="EGI24" s="204"/>
      <c r="EGJ24" s="204"/>
      <c r="EGK24" s="204"/>
      <c r="EGL24" s="204"/>
      <c r="EGM24" s="204"/>
      <c r="EGN24" s="204"/>
      <c r="EGO24" s="204"/>
      <c r="EGP24" s="204"/>
      <c r="EGQ24" s="204"/>
      <c r="EGR24" s="204"/>
      <c r="EGS24" s="204"/>
      <c r="EGT24" s="204"/>
      <c r="EGU24" s="204"/>
      <c r="EGV24" s="204"/>
      <c r="EGW24" s="204"/>
      <c r="EGX24" s="204"/>
      <c r="EGY24" s="204"/>
      <c r="EGZ24" s="204"/>
      <c r="EHA24" s="204"/>
      <c r="EHB24" s="204"/>
      <c r="EHC24" s="204"/>
      <c r="EHD24" s="204"/>
      <c r="EHE24" s="204"/>
      <c r="EHF24" s="204"/>
      <c r="EHG24" s="204"/>
      <c r="EHH24" s="204"/>
      <c r="EHI24" s="204"/>
      <c r="EHJ24" s="204"/>
      <c r="EHK24" s="204"/>
      <c r="EHL24" s="204"/>
      <c r="EHM24" s="204"/>
      <c r="EHN24" s="204"/>
      <c r="EHO24" s="204"/>
      <c r="EHP24" s="204"/>
      <c r="EHQ24" s="204"/>
      <c r="EHR24" s="204"/>
      <c r="EHS24" s="204"/>
      <c r="EHT24" s="204"/>
      <c r="EHU24" s="204"/>
      <c r="EHV24" s="204"/>
      <c r="EHW24" s="204"/>
      <c r="EHX24" s="204"/>
      <c r="EHY24" s="204"/>
      <c r="EHZ24" s="204"/>
      <c r="EIA24" s="204"/>
      <c r="EIB24" s="204"/>
      <c r="EIC24" s="204"/>
      <c r="EID24" s="204"/>
      <c r="EIE24" s="204"/>
      <c r="EIF24" s="204"/>
      <c r="EIG24" s="204"/>
      <c r="EIH24" s="204"/>
      <c r="EII24" s="204"/>
      <c r="EIJ24" s="204"/>
      <c r="EIK24" s="204"/>
      <c r="EIL24" s="204"/>
      <c r="EIM24" s="204"/>
      <c r="EIN24" s="204"/>
      <c r="EIO24" s="204"/>
      <c r="EIP24" s="204"/>
      <c r="EIQ24" s="204"/>
      <c r="EIR24" s="204"/>
      <c r="EIS24" s="204"/>
      <c r="EIT24" s="204"/>
      <c r="EIU24" s="204"/>
      <c r="EIV24" s="204"/>
      <c r="EIW24" s="204"/>
      <c r="EIX24" s="204"/>
      <c r="EIY24" s="204"/>
      <c r="EIZ24" s="204"/>
      <c r="EJA24" s="204"/>
      <c r="EJB24" s="204"/>
      <c r="EJC24" s="204"/>
      <c r="EJD24" s="204"/>
      <c r="EJE24" s="204"/>
      <c r="EJF24" s="204"/>
      <c r="EJG24" s="204"/>
      <c r="EJH24" s="204"/>
      <c r="EJI24" s="204"/>
      <c r="EJJ24" s="204"/>
      <c r="EJK24" s="204"/>
      <c r="EJL24" s="204"/>
      <c r="EJM24" s="204"/>
      <c r="EJN24" s="204"/>
      <c r="EJO24" s="204"/>
      <c r="EJP24" s="204"/>
      <c r="EJQ24" s="204"/>
      <c r="EJR24" s="204"/>
      <c r="EJS24" s="204"/>
      <c r="EJT24" s="204"/>
      <c r="EJU24" s="204"/>
      <c r="EJV24" s="204"/>
      <c r="EJW24" s="204"/>
      <c r="EJX24" s="204"/>
      <c r="EJY24" s="204"/>
      <c r="EJZ24" s="204"/>
      <c r="EKA24" s="204"/>
      <c r="EKB24" s="204"/>
      <c r="EKC24" s="204"/>
      <c r="EKD24" s="204"/>
      <c r="EKE24" s="204"/>
      <c r="EKF24" s="204"/>
      <c r="EKG24" s="204"/>
      <c r="EKH24" s="204"/>
      <c r="EKI24" s="204"/>
      <c r="EKJ24" s="204"/>
      <c r="EKK24" s="204"/>
      <c r="EKL24" s="204"/>
      <c r="EKM24" s="204"/>
      <c r="EKN24" s="204"/>
      <c r="EKO24" s="204"/>
      <c r="EKP24" s="204"/>
      <c r="EKQ24" s="204"/>
      <c r="EKR24" s="204"/>
      <c r="EKS24" s="204"/>
      <c r="EKT24" s="204"/>
      <c r="EKU24" s="204"/>
      <c r="EKV24" s="204"/>
      <c r="EKW24" s="204"/>
      <c r="EKX24" s="204"/>
      <c r="EKY24" s="204"/>
      <c r="EKZ24" s="204"/>
      <c r="ELA24" s="204"/>
      <c r="ELB24" s="204"/>
      <c r="ELC24" s="204"/>
      <c r="ELD24" s="204"/>
      <c r="ELE24" s="204"/>
      <c r="ELF24" s="204"/>
      <c r="ELG24" s="204"/>
      <c r="ELH24" s="204"/>
      <c r="ELI24" s="204"/>
      <c r="ELJ24" s="204"/>
      <c r="ELK24" s="204"/>
      <c r="ELL24" s="204"/>
      <c r="ELM24" s="204"/>
      <c r="ELN24" s="204"/>
      <c r="ELO24" s="204"/>
      <c r="ELP24" s="204"/>
      <c r="ELQ24" s="204"/>
      <c r="ELR24" s="204"/>
      <c r="ELS24" s="204"/>
      <c r="ELT24" s="204"/>
      <c r="ELU24" s="204"/>
      <c r="ELV24" s="204"/>
      <c r="ELW24" s="204"/>
      <c r="ELX24" s="204"/>
      <c r="ELY24" s="204"/>
      <c r="ELZ24" s="204"/>
      <c r="EMA24" s="204"/>
      <c r="EMB24" s="204"/>
      <c r="EMC24" s="204"/>
      <c r="EMD24" s="204"/>
      <c r="EME24" s="204"/>
      <c r="EMF24" s="204"/>
      <c r="EMG24" s="204"/>
      <c r="EMH24" s="204"/>
      <c r="EMI24" s="204"/>
      <c r="EMJ24" s="204"/>
      <c r="EMK24" s="204"/>
      <c r="EML24" s="204"/>
      <c r="EMM24" s="204"/>
      <c r="EMN24" s="204"/>
      <c r="EMO24" s="204"/>
      <c r="EMP24" s="204"/>
      <c r="EMQ24" s="204"/>
      <c r="EMR24" s="204"/>
      <c r="EMS24" s="204"/>
      <c r="EMT24" s="204"/>
      <c r="EMU24" s="204"/>
      <c r="EMV24" s="204"/>
      <c r="EMW24" s="204"/>
      <c r="EMX24" s="204"/>
      <c r="EMY24" s="204"/>
      <c r="EMZ24" s="204"/>
      <c r="ENA24" s="204"/>
      <c r="ENB24" s="204"/>
      <c r="ENC24" s="204"/>
      <c r="END24" s="204"/>
      <c r="ENE24" s="204"/>
      <c r="ENF24" s="204"/>
      <c r="ENG24" s="204"/>
      <c r="ENH24" s="204"/>
      <c r="ENI24" s="204"/>
      <c r="ENJ24" s="204"/>
      <c r="ENK24" s="204"/>
      <c r="ENL24" s="204"/>
      <c r="ENM24" s="204"/>
      <c r="ENN24" s="204"/>
      <c r="ENO24" s="204"/>
      <c r="ENP24" s="204"/>
      <c r="ENQ24" s="204"/>
      <c r="ENR24" s="204"/>
      <c r="ENS24" s="204"/>
      <c r="ENT24" s="204"/>
      <c r="ENU24" s="204"/>
      <c r="ENV24" s="204"/>
      <c r="ENW24" s="204"/>
      <c r="ENX24" s="204"/>
      <c r="ENY24" s="204"/>
      <c r="ENZ24" s="204"/>
      <c r="EOA24" s="204"/>
      <c r="EOB24" s="204"/>
      <c r="EOC24" s="204"/>
      <c r="EOD24" s="204"/>
      <c r="EOE24" s="204"/>
      <c r="EOF24" s="204"/>
      <c r="EOG24" s="204"/>
      <c r="EOH24" s="204"/>
      <c r="EOI24" s="204"/>
      <c r="EOJ24" s="204"/>
      <c r="EOK24" s="204"/>
      <c r="EOL24" s="204"/>
      <c r="EOM24" s="204"/>
      <c r="EON24" s="204"/>
      <c r="EOO24" s="204"/>
      <c r="EOP24" s="204"/>
      <c r="EOQ24" s="204"/>
      <c r="EOR24" s="204"/>
      <c r="EOS24" s="204"/>
      <c r="EOT24" s="204"/>
      <c r="EOU24" s="204"/>
      <c r="EOV24" s="204"/>
      <c r="EOW24" s="204"/>
      <c r="EOX24" s="204"/>
      <c r="EOY24" s="204"/>
      <c r="EOZ24" s="204"/>
      <c r="EPA24" s="204"/>
      <c r="EPB24" s="204"/>
      <c r="EPC24" s="204"/>
      <c r="EPD24" s="204"/>
      <c r="EPE24" s="204"/>
      <c r="EPF24" s="204"/>
      <c r="EPG24" s="204"/>
      <c r="EPH24" s="204"/>
      <c r="EPI24" s="204"/>
      <c r="EPJ24" s="204"/>
      <c r="EPK24" s="204"/>
      <c r="EPL24" s="204"/>
      <c r="EPM24" s="204"/>
      <c r="EPN24" s="204"/>
      <c r="EPO24" s="204"/>
      <c r="EPP24" s="204"/>
      <c r="EPQ24" s="204"/>
      <c r="EPR24" s="204"/>
      <c r="EPS24" s="204"/>
      <c r="EPT24" s="204"/>
      <c r="EPU24" s="204"/>
      <c r="EPV24" s="204"/>
      <c r="EPW24" s="204"/>
      <c r="EPX24" s="204"/>
      <c r="EPY24" s="204"/>
      <c r="EPZ24" s="204"/>
      <c r="EQA24" s="204"/>
      <c r="EQB24" s="204"/>
      <c r="EQC24" s="204"/>
      <c r="EQD24" s="204"/>
      <c r="EQE24" s="204"/>
      <c r="EQF24" s="204"/>
      <c r="EQG24" s="204"/>
      <c r="EQH24" s="204"/>
      <c r="EQI24" s="204"/>
      <c r="EQJ24" s="204"/>
      <c r="EQK24" s="204"/>
      <c r="EQL24" s="204"/>
      <c r="EQM24" s="204"/>
      <c r="EQN24" s="204"/>
      <c r="EQO24" s="204"/>
      <c r="EQP24" s="204"/>
      <c r="EQQ24" s="204"/>
      <c r="EQR24" s="204"/>
      <c r="EQS24" s="204"/>
      <c r="EQT24" s="204"/>
      <c r="EQU24" s="204"/>
      <c r="EQV24" s="204"/>
      <c r="EQW24" s="204"/>
      <c r="EQX24" s="204"/>
      <c r="EQY24" s="204"/>
      <c r="EQZ24" s="204"/>
      <c r="ERA24" s="204"/>
      <c r="ERB24" s="204"/>
      <c r="ERC24" s="204"/>
      <c r="ERD24" s="204"/>
      <c r="ERE24" s="204"/>
      <c r="ERF24" s="204"/>
      <c r="ERG24" s="204"/>
      <c r="ERH24" s="204"/>
      <c r="ERI24" s="204"/>
      <c r="ERJ24" s="204"/>
      <c r="ERK24" s="204"/>
      <c r="ERL24" s="204"/>
      <c r="ERM24" s="204"/>
      <c r="ERN24" s="204"/>
      <c r="ERO24" s="204"/>
      <c r="ERP24" s="204"/>
      <c r="ERQ24" s="204"/>
      <c r="ERR24" s="204"/>
      <c r="ERS24" s="204"/>
      <c r="ERT24" s="204"/>
      <c r="ERU24" s="204"/>
      <c r="ERV24" s="204"/>
      <c r="ERW24" s="204"/>
      <c r="ERX24" s="204"/>
      <c r="ERY24" s="204"/>
      <c r="ERZ24" s="204"/>
      <c r="ESA24" s="204"/>
      <c r="ESB24" s="204"/>
      <c r="ESC24" s="204"/>
      <c r="ESD24" s="204"/>
      <c r="ESE24" s="204"/>
      <c r="ESF24" s="204"/>
      <c r="ESG24" s="204"/>
      <c r="ESH24" s="204"/>
      <c r="ESI24" s="204"/>
      <c r="ESJ24" s="204"/>
      <c r="ESK24" s="204"/>
      <c r="ESL24" s="204"/>
      <c r="ESM24" s="204"/>
      <c r="ESN24" s="204"/>
      <c r="ESO24" s="204"/>
      <c r="ESP24" s="204"/>
      <c r="ESQ24" s="204"/>
      <c r="ESR24" s="204"/>
      <c r="ESS24" s="204"/>
      <c r="EST24" s="204"/>
      <c r="ESU24" s="204"/>
      <c r="ESV24" s="204"/>
      <c r="ESW24" s="204"/>
      <c r="ESX24" s="204"/>
      <c r="ESY24" s="204"/>
      <c r="ESZ24" s="204"/>
      <c r="ETA24" s="204"/>
      <c r="ETB24" s="204"/>
      <c r="ETC24" s="204"/>
      <c r="ETD24" s="204"/>
      <c r="ETE24" s="204"/>
      <c r="ETF24" s="204"/>
      <c r="ETG24" s="204"/>
      <c r="ETH24" s="204"/>
      <c r="ETI24" s="204"/>
      <c r="ETJ24" s="204"/>
      <c r="ETK24" s="204"/>
      <c r="ETL24" s="204"/>
      <c r="ETM24" s="204"/>
      <c r="ETN24" s="204"/>
      <c r="ETO24" s="204"/>
      <c r="ETP24" s="204"/>
      <c r="ETQ24" s="204"/>
      <c r="ETR24" s="204"/>
      <c r="ETS24" s="204"/>
      <c r="ETT24" s="204"/>
      <c r="ETU24" s="204"/>
      <c r="ETV24" s="204"/>
      <c r="ETW24" s="204"/>
      <c r="ETX24" s="204"/>
      <c r="ETY24" s="204"/>
      <c r="ETZ24" s="204"/>
      <c r="EUA24" s="204"/>
      <c r="EUB24" s="204"/>
      <c r="EUC24" s="204"/>
      <c r="EUD24" s="204"/>
      <c r="EUE24" s="204"/>
      <c r="EUF24" s="204"/>
      <c r="EUG24" s="204"/>
      <c r="EUH24" s="204"/>
      <c r="EUI24" s="204"/>
      <c r="EUJ24" s="204"/>
      <c r="EUK24" s="204"/>
      <c r="EUL24" s="204"/>
      <c r="EUM24" s="204"/>
      <c r="EUN24" s="204"/>
      <c r="EUO24" s="204"/>
      <c r="EUP24" s="204"/>
      <c r="EUQ24" s="204"/>
      <c r="EUR24" s="204"/>
      <c r="EUS24" s="204"/>
      <c r="EUT24" s="204"/>
      <c r="EUU24" s="204"/>
      <c r="EUV24" s="204"/>
      <c r="EUW24" s="204"/>
      <c r="EUX24" s="204"/>
      <c r="EUY24" s="204"/>
      <c r="EUZ24" s="204"/>
      <c r="EVA24" s="204"/>
      <c r="EVB24" s="204"/>
      <c r="EVC24" s="204"/>
      <c r="EVD24" s="204"/>
      <c r="EVE24" s="204"/>
      <c r="EVF24" s="204"/>
      <c r="EVG24" s="204"/>
      <c r="EVH24" s="204"/>
      <c r="EVI24" s="204"/>
      <c r="EVJ24" s="204"/>
      <c r="EVK24" s="204"/>
      <c r="EVL24" s="204"/>
      <c r="EVM24" s="204"/>
      <c r="EVN24" s="204"/>
      <c r="EVO24" s="204"/>
      <c r="EVP24" s="204"/>
      <c r="EVQ24" s="204"/>
      <c r="EVR24" s="204"/>
      <c r="EVS24" s="204"/>
      <c r="EVT24" s="204"/>
      <c r="EVU24" s="204"/>
      <c r="EVV24" s="204"/>
      <c r="EVW24" s="204"/>
      <c r="EVX24" s="204"/>
      <c r="EVY24" s="204"/>
      <c r="EVZ24" s="204"/>
      <c r="EWA24" s="204"/>
      <c r="EWB24" s="204"/>
      <c r="EWC24" s="204"/>
      <c r="EWD24" s="204"/>
      <c r="EWE24" s="204"/>
      <c r="EWF24" s="204"/>
      <c r="EWG24" s="204"/>
      <c r="EWH24" s="204"/>
      <c r="EWI24" s="204"/>
      <c r="EWJ24" s="204"/>
      <c r="EWK24" s="204"/>
      <c r="EWL24" s="204"/>
      <c r="EWM24" s="204"/>
      <c r="EWN24" s="204"/>
      <c r="EWO24" s="204"/>
      <c r="EWP24" s="204"/>
      <c r="EWQ24" s="204"/>
      <c r="EWR24" s="204"/>
      <c r="EWS24" s="204"/>
      <c r="EWT24" s="204"/>
      <c r="EWU24" s="204"/>
      <c r="EWV24" s="204"/>
      <c r="EWW24" s="204"/>
      <c r="EWX24" s="204"/>
      <c r="EWY24" s="204"/>
      <c r="EWZ24" s="204"/>
      <c r="EXA24" s="204"/>
      <c r="EXB24" s="204"/>
      <c r="EXC24" s="204"/>
      <c r="EXD24" s="204"/>
      <c r="EXE24" s="204"/>
      <c r="EXF24" s="204"/>
      <c r="EXG24" s="204"/>
      <c r="EXH24" s="204"/>
      <c r="EXI24" s="204"/>
      <c r="EXJ24" s="204"/>
      <c r="EXK24" s="204"/>
      <c r="EXL24" s="204"/>
      <c r="EXM24" s="204"/>
      <c r="EXN24" s="204"/>
      <c r="EXO24" s="204"/>
      <c r="EXP24" s="204"/>
      <c r="EXQ24" s="204"/>
      <c r="EXR24" s="204"/>
      <c r="EXS24" s="204"/>
      <c r="EXT24" s="204"/>
      <c r="EXU24" s="204"/>
      <c r="EXV24" s="204"/>
      <c r="EXW24" s="204"/>
      <c r="EXX24" s="204"/>
      <c r="EXY24" s="204"/>
      <c r="EXZ24" s="204"/>
      <c r="EYA24" s="204"/>
      <c r="EYB24" s="204"/>
      <c r="EYC24" s="204"/>
      <c r="EYD24" s="204"/>
      <c r="EYE24" s="204"/>
      <c r="EYF24" s="204"/>
      <c r="EYG24" s="204"/>
      <c r="EYH24" s="204"/>
      <c r="EYI24" s="204"/>
      <c r="EYJ24" s="204"/>
      <c r="EYK24" s="204"/>
      <c r="EYL24" s="204"/>
      <c r="EYM24" s="204"/>
      <c r="EYN24" s="204"/>
      <c r="EYO24" s="204"/>
      <c r="EYP24" s="204"/>
      <c r="EYQ24" s="204"/>
      <c r="EYR24" s="204"/>
      <c r="EYS24" s="204"/>
      <c r="EYT24" s="204"/>
      <c r="EYU24" s="204"/>
      <c r="EYV24" s="204"/>
      <c r="EYW24" s="204"/>
      <c r="EYX24" s="204"/>
      <c r="EYY24" s="204"/>
      <c r="EYZ24" s="204"/>
      <c r="EZA24" s="204"/>
      <c r="EZB24" s="204"/>
      <c r="EZC24" s="204"/>
      <c r="EZD24" s="204"/>
      <c r="EZE24" s="204"/>
      <c r="EZF24" s="204"/>
      <c r="EZG24" s="204"/>
      <c r="EZH24" s="204"/>
      <c r="EZI24" s="204"/>
      <c r="EZJ24" s="204"/>
      <c r="EZK24" s="204"/>
      <c r="EZL24" s="204"/>
      <c r="EZM24" s="204"/>
      <c r="EZN24" s="204"/>
      <c r="EZO24" s="204"/>
      <c r="EZP24" s="204"/>
      <c r="EZQ24" s="204"/>
      <c r="EZR24" s="204"/>
      <c r="EZS24" s="204"/>
      <c r="EZT24" s="204"/>
      <c r="EZU24" s="204"/>
      <c r="EZV24" s="204"/>
      <c r="EZW24" s="204"/>
      <c r="EZX24" s="204"/>
      <c r="EZY24" s="204"/>
      <c r="EZZ24" s="204"/>
      <c r="FAA24" s="204"/>
      <c r="FAB24" s="204"/>
      <c r="FAC24" s="204"/>
      <c r="FAD24" s="204"/>
      <c r="FAE24" s="204"/>
      <c r="FAF24" s="204"/>
      <c r="FAG24" s="204"/>
      <c r="FAH24" s="204"/>
      <c r="FAI24" s="204"/>
      <c r="FAJ24" s="204"/>
      <c r="FAK24" s="204"/>
      <c r="FAL24" s="204"/>
      <c r="FAM24" s="204"/>
      <c r="FAN24" s="204"/>
      <c r="FAO24" s="204"/>
      <c r="FAP24" s="204"/>
      <c r="FAQ24" s="204"/>
      <c r="FAR24" s="204"/>
      <c r="FAS24" s="204"/>
      <c r="FAT24" s="204"/>
      <c r="FAU24" s="204"/>
      <c r="FAV24" s="204"/>
      <c r="FAW24" s="204"/>
      <c r="FAX24" s="204"/>
      <c r="FAY24" s="204"/>
      <c r="FAZ24" s="204"/>
      <c r="FBA24" s="204"/>
      <c r="FBB24" s="204"/>
      <c r="FBC24" s="204"/>
      <c r="FBD24" s="204"/>
      <c r="FBE24" s="204"/>
      <c r="FBF24" s="204"/>
      <c r="FBG24" s="204"/>
      <c r="FBH24" s="204"/>
      <c r="FBI24" s="204"/>
      <c r="FBJ24" s="204"/>
      <c r="FBK24" s="204"/>
      <c r="FBL24" s="204"/>
      <c r="FBM24" s="204"/>
      <c r="FBN24" s="204"/>
      <c r="FBO24" s="204"/>
      <c r="FBP24" s="204"/>
      <c r="FBQ24" s="204"/>
      <c r="FBR24" s="204"/>
      <c r="FBS24" s="204"/>
      <c r="FBT24" s="204"/>
      <c r="FBU24" s="204"/>
      <c r="FBV24" s="204"/>
      <c r="FBW24" s="204"/>
      <c r="FBX24" s="204"/>
      <c r="FBY24" s="204"/>
      <c r="FBZ24" s="204"/>
      <c r="FCA24" s="204"/>
      <c r="FCB24" s="204"/>
      <c r="FCC24" s="204"/>
      <c r="FCD24" s="204"/>
      <c r="FCE24" s="204"/>
      <c r="FCF24" s="204"/>
      <c r="FCG24" s="204"/>
      <c r="FCH24" s="204"/>
      <c r="FCI24" s="204"/>
      <c r="FCJ24" s="204"/>
      <c r="FCK24" s="204"/>
      <c r="FCL24" s="204"/>
      <c r="FCM24" s="204"/>
      <c r="FCN24" s="204"/>
      <c r="FCO24" s="204"/>
      <c r="FCP24" s="204"/>
      <c r="FCQ24" s="204"/>
      <c r="FCR24" s="204"/>
      <c r="FCS24" s="204"/>
      <c r="FCT24" s="204"/>
      <c r="FCU24" s="204"/>
      <c r="FCV24" s="204"/>
      <c r="FCW24" s="204"/>
      <c r="FCX24" s="204"/>
      <c r="FCY24" s="204"/>
      <c r="FCZ24" s="204"/>
      <c r="FDA24" s="204"/>
      <c r="FDB24" s="204"/>
      <c r="FDC24" s="204"/>
      <c r="FDD24" s="204"/>
      <c r="FDE24" s="204"/>
      <c r="FDF24" s="204"/>
      <c r="FDG24" s="204"/>
      <c r="FDH24" s="204"/>
      <c r="FDI24" s="204"/>
      <c r="FDJ24" s="204"/>
      <c r="FDK24" s="204"/>
      <c r="FDL24" s="204"/>
      <c r="FDM24" s="204"/>
      <c r="FDN24" s="204"/>
      <c r="FDO24" s="204"/>
      <c r="FDP24" s="204"/>
      <c r="FDQ24" s="204"/>
      <c r="FDR24" s="204"/>
      <c r="FDS24" s="204"/>
      <c r="FDT24" s="204"/>
      <c r="FDU24" s="204"/>
      <c r="FDV24" s="204"/>
      <c r="FDW24" s="204"/>
      <c r="FDX24" s="204"/>
      <c r="FDY24" s="204"/>
      <c r="FDZ24" s="204"/>
      <c r="FEA24" s="204"/>
      <c r="FEB24" s="204"/>
      <c r="FEC24" s="204"/>
      <c r="FED24" s="204"/>
      <c r="FEE24" s="204"/>
      <c r="FEF24" s="204"/>
      <c r="FEG24" s="204"/>
      <c r="FEH24" s="204"/>
      <c r="FEI24" s="204"/>
      <c r="FEJ24" s="204"/>
      <c r="FEK24" s="204"/>
      <c r="FEL24" s="204"/>
      <c r="FEM24" s="204"/>
      <c r="FEN24" s="204"/>
      <c r="FEO24" s="204"/>
      <c r="FEP24" s="204"/>
      <c r="FEQ24" s="204"/>
      <c r="FER24" s="204"/>
      <c r="FES24" s="204"/>
      <c r="FET24" s="204"/>
      <c r="FEU24" s="204"/>
      <c r="FEV24" s="204"/>
      <c r="FEW24" s="204"/>
      <c r="FEX24" s="204"/>
      <c r="FEY24" s="204"/>
      <c r="FEZ24" s="204"/>
      <c r="FFA24" s="204"/>
      <c r="FFB24" s="204"/>
      <c r="FFC24" s="204"/>
      <c r="FFD24" s="204"/>
      <c r="FFE24" s="204"/>
      <c r="FFF24" s="204"/>
      <c r="FFG24" s="204"/>
      <c r="FFH24" s="204"/>
      <c r="FFI24" s="204"/>
      <c r="FFJ24" s="204"/>
      <c r="FFK24" s="204"/>
      <c r="FFL24" s="204"/>
      <c r="FFM24" s="204"/>
      <c r="FFN24" s="204"/>
      <c r="FFO24" s="204"/>
      <c r="FFP24" s="204"/>
      <c r="FFQ24" s="204"/>
      <c r="FFR24" s="204"/>
      <c r="FFS24" s="204"/>
      <c r="FFT24" s="204"/>
      <c r="FFU24" s="204"/>
      <c r="FFV24" s="204"/>
      <c r="FFW24" s="204"/>
      <c r="FFX24" s="204"/>
      <c r="FFY24" s="204"/>
      <c r="FFZ24" s="204"/>
      <c r="FGA24" s="204"/>
      <c r="FGB24" s="204"/>
      <c r="FGC24" s="204"/>
      <c r="FGD24" s="204"/>
      <c r="FGE24" s="204"/>
      <c r="FGF24" s="204"/>
      <c r="FGG24" s="204"/>
      <c r="FGH24" s="204"/>
      <c r="FGI24" s="204"/>
      <c r="FGJ24" s="204"/>
      <c r="FGK24" s="204"/>
      <c r="FGL24" s="204"/>
      <c r="FGM24" s="204"/>
      <c r="FGN24" s="204"/>
      <c r="FGO24" s="204"/>
      <c r="FGP24" s="204"/>
      <c r="FGQ24" s="204"/>
      <c r="FGR24" s="204"/>
      <c r="FGS24" s="204"/>
      <c r="FGT24" s="204"/>
      <c r="FGU24" s="204"/>
      <c r="FGV24" s="204"/>
      <c r="FGW24" s="204"/>
      <c r="FGX24" s="204"/>
      <c r="FGY24" s="204"/>
      <c r="FGZ24" s="204"/>
      <c r="FHA24" s="204"/>
      <c r="FHB24" s="204"/>
      <c r="FHC24" s="204"/>
      <c r="FHD24" s="204"/>
      <c r="FHE24" s="204"/>
      <c r="FHF24" s="204"/>
      <c r="FHG24" s="204"/>
      <c r="FHH24" s="204"/>
      <c r="FHI24" s="204"/>
      <c r="FHJ24" s="204"/>
      <c r="FHK24" s="204"/>
      <c r="FHL24" s="204"/>
      <c r="FHM24" s="204"/>
      <c r="FHN24" s="204"/>
      <c r="FHO24" s="204"/>
      <c r="FHP24" s="204"/>
      <c r="FHQ24" s="204"/>
      <c r="FHR24" s="204"/>
      <c r="FHS24" s="204"/>
      <c r="FHT24" s="204"/>
      <c r="FHU24" s="204"/>
      <c r="FHV24" s="204"/>
      <c r="FHW24" s="204"/>
      <c r="FHX24" s="204"/>
      <c r="FHY24" s="204"/>
      <c r="FHZ24" s="204"/>
      <c r="FIA24" s="204"/>
      <c r="FIB24" s="204"/>
      <c r="FIC24" s="204"/>
      <c r="FID24" s="204"/>
      <c r="FIE24" s="204"/>
      <c r="FIF24" s="204"/>
      <c r="FIG24" s="204"/>
      <c r="FIH24" s="204"/>
      <c r="FII24" s="204"/>
      <c r="FIJ24" s="204"/>
      <c r="FIK24" s="204"/>
      <c r="FIL24" s="204"/>
      <c r="FIM24" s="204"/>
      <c r="FIN24" s="204"/>
      <c r="FIO24" s="204"/>
      <c r="FIP24" s="204"/>
      <c r="FIQ24" s="204"/>
      <c r="FIR24" s="204"/>
      <c r="FIS24" s="204"/>
      <c r="FIT24" s="204"/>
      <c r="FIU24" s="204"/>
      <c r="FIV24" s="204"/>
      <c r="FIW24" s="204"/>
      <c r="FIX24" s="204"/>
      <c r="FIY24" s="204"/>
      <c r="FIZ24" s="204"/>
      <c r="FJA24" s="204"/>
      <c r="FJB24" s="204"/>
      <c r="FJC24" s="204"/>
      <c r="FJD24" s="204"/>
      <c r="FJE24" s="204"/>
      <c r="FJF24" s="204"/>
      <c r="FJG24" s="204"/>
      <c r="FJH24" s="204"/>
      <c r="FJI24" s="204"/>
      <c r="FJJ24" s="204"/>
      <c r="FJK24" s="204"/>
      <c r="FJL24" s="204"/>
      <c r="FJM24" s="204"/>
      <c r="FJN24" s="204"/>
      <c r="FJO24" s="204"/>
      <c r="FJP24" s="204"/>
      <c r="FJQ24" s="204"/>
      <c r="FJR24" s="204"/>
      <c r="FJS24" s="204"/>
      <c r="FJT24" s="204"/>
      <c r="FJU24" s="204"/>
      <c r="FJV24" s="204"/>
      <c r="FJW24" s="204"/>
      <c r="FJX24" s="204"/>
      <c r="FJY24" s="204"/>
      <c r="FJZ24" s="204"/>
      <c r="FKA24" s="204"/>
      <c r="FKB24" s="204"/>
      <c r="FKC24" s="204"/>
      <c r="FKD24" s="204"/>
      <c r="FKE24" s="204"/>
      <c r="FKF24" s="204"/>
      <c r="FKG24" s="204"/>
      <c r="FKH24" s="204"/>
      <c r="FKI24" s="204"/>
      <c r="FKJ24" s="204"/>
      <c r="FKK24" s="204"/>
      <c r="FKL24" s="204"/>
      <c r="FKM24" s="204"/>
      <c r="FKN24" s="204"/>
      <c r="FKO24" s="204"/>
      <c r="FKP24" s="204"/>
      <c r="FKQ24" s="204"/>
      <c r="FKR24" s="204"/>
      <c r="FKS24" s="204"/>
      <c r="FKT24" s="204"/>
      <c r="FKU24" s="204"/>
      <c r="FKV24" s="204"/>
      <c r="FKW24" s="204"/>
      <c r="FKX24" s="204"/>
      <c r="FKY24" s="204"/>
      <c r="FKZ24" s="204"/>
      <c r="FLA24" s="204"/>
      <c r="FLB24" s="204"/>
      <c r="FLC24" s="204"/>
      <c r="FLD24" s="204"/>
      <c r="FLE24" s="204"/>
      <c r="FLF24" s="204"/>
      <c r="FLG24" s="204"/>
      <c r="FLH24" s="204"/>
      <c r="FLI24" s="204"/>
      <c r="FLJ24" s="204"/>
      <c r="FLK24" s="204"/>
      <c r="FLL24" s="204"/>
      <c r="FLM24" s="204"/>
      <c r="FLN24" s="204"/>
      <c r="FLO24" s="204"/>
      <c r="FLP24" s="204"/>
      <c r="FLQ24" s="204"/>
      <c r="FLR24" s="204"/>
      <c r="FLS24" s="204"/>
      <c r="FLT24" s="204"/>
      <c r="FLU24" s="204"/>
      <c r="FLV24" s="204"/>
      <c r="FLW24" s="204"/>
      <c r="FLX24" s="204"/>
      <c r="FLY24" s="204"/>
      <c r="FLZ24" s="204"/>
      <c r="FMA24" s="204"/>
      <c r="FMB24" s="204"/>
      <c r="FMC24" s="204"/>
      <c r="FMD24" s="204"/>
      <c r="FME24" s="204"/>
      <c r="FMF24" s="204"/>
      <c r="FMG24" s="204"/>
      <c r="FMH24" s="204"/>
      <c r="FMI24" s="204"/>
      <c r="FMJ24" s="204"/>
      <c r="FMK24" s="204"/>
      <c r="FML24" s="204"/>
      <c r="FMM24" s="204"/>
      <c r="FMN24" s="204"/>
      <c r="FMO24" s="204"/>
      <c r="FMP24" s="204"/>
      <c r="FMQ24" s="204"/>
      <c r="FMR24" s="204"/>
      <c r="FMS24" s="204"/>
      <c r="FMT24" s="204"/>
      <c r="FMU24" s="204"/>
      <c r="FMV24" s="204"/>
      <c r="FMW24" s="204"/>
      <c r="FMX24" s="204"/>
      <c r="FMY24" s="204"/>
      <c r="FMZ24" s="204"/>
      <c r="FNA24" s="204"/>
      <c r="FNB24" s="204"/>
      <c r="FNC24" s="204"/>
      <c r="FND24" s="204"/>
      <c r="FNE24" s="204"/>
      <c r="FNF24" s="204"/>
      <c r="FNG24" s="204"/>
      <c r="FNH24" s="204"/>
      <c r="FNI24" s="204"/>
      <c r="FNJ24" s="204"/>
      <c r="FNK24" s="204"/>
      <c r="FNL24" s="204"/>
      <c r="FNM24" s="204"/>
      <c r="FNN24" s="204"/>
      <c r="FNO24" s="204"/>
      <c r="FNP24" s="204"/>
      <c r="FNQ24" s="204"/>
      <c r="FNR24" s="204"/>
      <c r="FNS24" s="204"/>
      <c r="FNT24" s="204"/>
      <c r="FNU24" s="204"/>
      <c r="FNV24" s="204"/>
      <c r="FNW24" s="204"/>
      <c r="FNX24" s="204"/>
      <c r="FNY24" s="204"/>
      <c r="FNZ24" s="204"/>
      <c r="FOA24" s="204"/>
      <c r="FOB24" s="204"/>
      <c r="FOC24" s="204"/>
      <c r="FOD24" s="204"/>
      <c r="FOE24" s="204"/>
      <c r="FOF24" s="204"/>
      <c r="FOG24" s="204"/>
      <c r="FOH24" s="204"/>
      <c r="FOI24" s="204"/>
      <c r="FOJ24" s="204"/>
      <c r="FOK24" s="204"/>
      <c r="FOL24" s="204"/>
      <c r="FOM24" s="204"/>
      <c r="FON24" s="204"/>
      <c r="FOO24" s="204"/>
      <c r="FOP24" s="204"/>
      <c r="FOQ24" s="204"/>
      <c r="FOR24" s="204"/>
      <c r="FOS24" s="204"/>
      <c r="FOT24" s="204"/>
      <c r="FOU24" s="204"/>
      <c r="FOV24" s="204"/>
      <c r="FOW24" s="204"/>
      <c r="FOX24" s="204"/>
      <c r="FOY24" s="204"/>
      <c r="FOZ24" s="204"/>
      <c r="FPA24" s="204"/>
      <c r="FPB24" s="204"/>
      <c r="FPC24" s="204"/>
      <c r="FPD24" s="204"/>
      <c r="FPE24" s="204"/>
      <c r="FPF24" s="204"/>
      <c r="FPG24" s="204"/>
      <c r="FPH24" s="204"/>
      <c r="FPI24" s="204"/>
      <c r="FPJ24" s="204"/>
      <c r="FPK24" s="204"/>
      <c r="FPL24" s="204"/>
      <c r="FPM24" s="204"/>
      <c r="FPN24" s="204"/>
      <c r="FPO24" s="204"/>
      <c r="FPP24" s="204"/>
      <c r="FPQ24" s="204"/>
      <c r="FPR24" s="204"/>
      <c r="FPS24" s="204"/>
      <c r="FPT24" s="204"/>
      <c r="FPU24" s="204"/>
      <c r="FPV24" s="204"/>
      <c r="FPW24" s="204"/>
      <c r="FPX24" s="204"/>
      <c r="FPY24" s="204"/>
      <c r="FPZ24" s="204"/>
      <c r="FQA24" s="204"/>
      <c r="FQB24" s="204"/>
      <c r="FQC24" s="204"/>
      <c r="FQD24" s="204"/>
      <c r="FQE24" s="204"/>
      <c r="FQF24" s="204"/>
      <c r="FQG24" s="204"/>
      <c r="FQH24" s="204"/>
      <c r="FQI24" s="204"/>
      <c r="FQJ24" s="204"/>
      <c r="FQK24" s="204"/>
      <c r="FQL24" s="204"/>
      <c r="FQM24" s="204"/>
      <c r="FQN24" s="204"/>
      <c r="FQO24" s="204"/>
      <c r="FQP24" s="204"/>
      <c r="FQQ24" s="204"/>
      <c r="FQR24" s="204"/>
      <c r="FQS24" s="204"/>
      <c r="FQT24" s="204"/>
      <c r="FQU24" s="204"/>
      <c r="FQV24" s="204"/>
      <c r="FQW24" s="204"/>
      <c r="FQX24" s="204"/>
      <c r="FQY24" s="204"/>
      <c r="FQZ24" s="204"/>
      <c r="FRA24" s="204"/>
      <c r="FRB24" s="204"/>
      <c r="FRC24" s="204"/>
      <c r="FRD24" s="204"/>
      <c r="FRE24" s="204"/>
      <c r="FRF24" s="204"/>
      <c r="FRG24" s="204"/>
      <c r="FRH24" s="204"/>
      <c r="FRI24" s="204"/>
      <c r="FRJ24" s="204"/>
      <c r="FRK24" s="204"/>
      <c r="FRL24" s="204"/>
      <c r="FRM24" s="204"/>
      <c r="FRN24" s="204"/>
      <c r="FRO24" s="204"/>
      <c r="FRP24" s="204"/>
      <c r="FRQ24" s="204"/>
      <c r="FRR24" s="204"/>
      <c r="FRS24" s="204"/>
      <c r="FRT24" s="204"/>
      <c r="FRU24" s="204"/>
      <c r="FRV24" s="204"/>
      <c r="FRW24" s="204"/>
      <c r="FRX24" s="204"/>
      <c r="FRY24" s="204"/>
      <c r="FRZ24" s="204"/>
      <c r="FSA24" s="204"/>
      <c r="FSB24" s="204"/>
      <c r="FSC24" s="204"/>
      <c r="FSD24" s="204"/>
      <c r="FSE24" s="204"/>
      <c r="FSF24" s="204"/>
      <c r="FSG24" s="204"/>
      <c r="FSH24" s="204"/>
      <c r="FSI24" s="204"/>
      <c r="FSJ24" s="204"/>
      <c r="FSK24" s="204"/>
      <c r="FSL24" s="204"/>
      <c r="FSM24" s="204"/>
      <c r="FSN24" s="204"/>
      <c r="FSO24" s="204"/>
      <c r="FSP24" s="204"/>
      <c r="FSQ24" s="204"/>
      <c r="FSR24" s="204"/>
      <c r="FSS24" s="204"/>
      <c r="FST24" s="204"/>
      <c r="FSU24" s="204"/>
      <c r="FSV24" s="204"/>
      <c r="FSW24" s="204"/>
      <c r="FSX24" s="204"/>
      <c r="FSY24" s="204"/>
      <c r="FSZ24" s="204"/>
      <c r="FTA24" s="204"/>
      <c r="FTB24" s="204"/>
      <c r="FTC24" s="204"/>
      <c r="FTD24" s="204"/>
      <c r="FTE24" s="204"/>
      <c r="FTF24" s="204"/>
      <c r="FTG24" s="204"/>
      <c r="FTH24" s="204"/>
      <c r="FTI24" s="204"/>
      <c r="FTJ24" s="204"/>
      <c r="FTK24" s="204"/>
      <c r="FTL24" s="204"/>
      <c r="FTM24" s="204"/>
      <c r="FTN24" s="204"/>
      <c r="FTO24" s="204"/>
      <c r="FTP24" s="204"/>
      <c r="FTQ24" s="204"/>
      <c r="FTR24" s="204"/>
      <c r="FTS24" s="204"/>
      <c r="FTT24" s="204"/>
      <c r="FTU24" s="204"/>
      <c r="FTV24" s="204"/>
      <c r="FTW24" s="204"/>
      <c r="FTX24" s="204"/>
      <c r="FTY24" s="204"/>
      <c r="FTZ24" s="204"/>
      <c r="FUA24" s="204"/>
      <c r="FUB24" s="204"/>
      <c r="FUC24" s="204"/>
      <c r="FUD24" s="204"/>
      <c r="FUE24" s="204"/>
      <c r="FUF24" s="204"/>
      <c r="FUG24" s="204"/>
      <c r="FUH24" s="204"/>
      <c r="FUI24" s="204"/>
      <c r="FUJ24" s="204"/>
      <c r="FUK24" s="204"/>
      <c r="FUL24" s="204"/>
      <c r="FUM24" s="204"/>
      <c r="FUN24" s="204"/>
      <c r="FUO24" s="204"/>
      <c r="FUP24" s="204"/>
      <c r="FUQ24" s="204"/>
      <c r="FUR24" s="204"/>
      <c r="FUS24" s="204"/>
      <c r="FUT24" s="204"/>
      <c r="FUU24" s="204"/>
      <c r="FUV24" s="204"/>
      <c r="FUW24" s="204"/>
      <c r="FUX24" s="204"/>
      <c r="FUY24" s="204"/>
      <c r="FUZ24" s="204"/>
      <c r="FVA24" s="204"/>
      <c r="FVB24" s="204"/>
      <c r="FVC24" s="204"/>
      <c r="FVD24" s="204"/>
      <c r="FVE24" s="204"/>
      <c r="FVF24" s="204"/>
      <c r="FVG24" s="204"/>
      <c r="FVH24" s="204"/>
      <c r="FVI24" s="204"/>
      <c r="FVJ24" s="204"/>
      <c r="FVK24" s="204"/>
      <c r="FVL24" s="204"/>
      <c r="FVM24" s="204"/>
      <c r="FVN24" s="204"/>
      <c r="FVO24" s="204"/>
      <c r="FVP24" s="204"/>
      <c r="FVQ24" s="204"/>
      <c r="FVR24" s="204"/>
      <c r="FVS24" s="204"/>
      <c r="FVT24" s="204"/>
      <c r="FVU24" s="204"/>
      <c r="FVV24" s="204"/>
      <c r="FVW24" s="204"/>
      <c r="FVX24" s="204"/>
      <c r="FVY24" s="204"/>
      <c r="FVZ24" s="204"/>
      <c r="FWA24" s="204"/>
      <c r="FWB24" s="204"/>
      <c r="FWC24" s="204"/>
      <c r="FWD24" s="204"/>
      <c r="FWE24" s="204"/>
      <c r="FWF24" s="204"/>
      <c r="FWG24" s="204"/>
      <c r="FWH24" s="204"/>
      <c r="FWI24" s="204"/>
      <c r="FWJ24" s="204"/>
      <c r="FWK24" s="204"/>
      <c r="FWL24" s="204"/>
      <c r="FWM24" s="204"/>
      <c r="FWN24" s="204"/>
      <c r="FWO24" s="204"/>
      <c r="FWP24" s="204"/>
      <c r="FWQ24" s="204"/>
      <c r="FWR24" s="204"/>
      <c r="FWS24" s="204"/>
      <c r="FWT24" s="204"/>
      <c r="FWU24" s="204"/>
      <c r="FWV24" s="204"/>
      <c r="FWW24" s="204"/>
      <c r="FWX24" s="204"/>
      <c r="FWY24" s="204"/>
      <c r="FWZ24" s="204"/>
      <c r="FXA24" s="204"/>
      <c r="FXB24" s="204"/>
      <c r="FXC24" s="204"/>
      <c r="FXD24" s="204"/>
      <c r="FXE24" s="204"/>
      <c r="FXF24" s="204"/>
      <c r="FXG24" s="204"/>
      <c r="FXH24" s="204"/>
      <c r="FXI24" s="204"/>
      <c r="FXJ24" s="204"/>
      <c r="FXK24" s="204"/>
      <c r="FXL24" s="204"/>
      <c r="FXM24" s="204"/>
      <c r="FXN24" s="204"/>
      <c r="FXO24" s="204"/>
      <c r="FXP24" s="204"/>
      <c r="FXQ24" s="204"/>
      <c r="FXR24" s="204"/>
      <c r="FXS24" s="204"/>
      <c r="FXT24" s="204"/>
      <c r="FXU24" s="204"/>
      <c r="FXV24" s="204"/>
      <c r="FXW24" s="204"/>
      <c r="FXX24" s="204"/>
      <c r="FXY24" s="204"/>
      <c r="FXZ24" s="204"/>
      <c r="FYA24" s="204"/>
      <c r="FYB24" s="204"/>
      <c r="FYC24" s="204"/>
      <c r="FYD24" s="204"/>
      <c r="FYE24" s="204"/>
      <c r="FYF24" s="204"/>
      <c r="FYG24" s="204"/>
      <c r="FYH24" s="204"/>
      <c r="FYI24" s="204"/>
      <c r="FYJ24" s="204"/>
      <c r="FYK24" s="204"/>
      <c r="FYL24" s="204"/>
      <c r="FYM24" s="204"/>
      <c r="FYN24" s="204"/>
      <c r="FYO24" s="204"/>
      <c r="FYP24" s="204"/>
      <c r="FYQ24" s="204"/>
      <c r="FYR24" s="204"/>
      <c r="FYS24" s="204"/>
      <c r="FYT24" s="204"/>
      <c r="FYU24" s="204"/>
      <c r="FYV24" s="204"/>
      <c r="FYW24" s="204"/>
      <c r="FYX24" s="204"/>
      <c r="FYY24" s="204"/>
      <c r="FYZ24" s="204"/>
      <c r="FZA24" s="204"/>
      <c r="FZB24" s="204"/>
      <c r="FZC24" s="204"/>
      <c r="FZD24" s="204"/>
      <c r="FZE24" s="204"/>
      <c r="FZF24" s="204"/>
      <c r="FZG24" s="204"/>
      <c r="FZH24" s="204"/>
      <c r="FZI24" s="204"/>
      <c r="FZJ24" s="204"/>
      <c r="FZK24" s="204"/>
      <c r="FZL24" s="204"/>
      <c r="FZM24" s="204"/>
      <c r="FZN24" s="204"/>
      <c r="FZO24" s="204"/>
      <c r="FZP24" s="204"/>
      <c r="FZQ24" s="204"/>
      <c r="FZR24" s="204"/>
      <c r="FZS24" s="204"/>
      <c r="FZT24" s="204"/>
      <c r="FZU24" s="204"/>
      <c r="FZV24" s="204"/>
      <c r="FZW24" s="204"/>
      <c r="FZX24" s="204"/>
      <c r="FZY24" s="204"/>
      <c r="FZZ24" s="204"/>
      <c r="GAA24" s="204"/>
      <c r="GAB24" s="204"/>
      <c r="GAC24" s="204"/>
      <c r="GAD24" s="204"/>
      <c r="GAE24" s="204"/>
      <c r="GAF24" s="204"/>
      <c r="GAG24" s="204"/>
      <c r="GAH24" s="204"/>
      <c r="GAI24" s="204"/>
      <c r="GAJ24" s="204"/>
      <c r="GAK24" s="204"/>
      <c r="GAL24" s="204"/>
      <c r="GAM24" s="204"/>
      <c r="GAN24" s="204"/>
      <c r="GAO24" s="204"/>
      <c r="GAP24" s="204"/>
      <c r="GAQ24" s="204"/>
      <c r="GAR24" s="204"/>
      <c r="GAS24" s="204"/>
      <c r="GAT24" s="204"/>
      <c r="GAU24" s="204"/>
      <c r="GAV24" s="204"/>
      <c r="GAW24" s="204"/>
      <c r="GAX24" s="204"/>
      <c r="GAY24" s="204"/>
      <c r="GAZ24" s="204"/>
      <c r="GBA24" s="204"/>
      <c r="GBB24" s="204"/>
      <c r="GBC24" s="204"/>
      <c r="GBD24" s="204"/>
      <c r="GBE24" s="204"/>
      <c r="GBF24" s="204"/>
      <c r="GBG24" s="204"/>
      <c r="GBH24" s="204"/>
      <c r="GBI24" s="204"/>
      <c r="GBJ24" s="204"/>
      <c r="GBK24" s="204"/>
      <c r="GBL24" s="204"/>
      <c r="GBM24" s="204"/>
      <c r="GBN24" s="204"/>
      <c r="GBO24" s="204"/>
      <c r="GBP24" s="204"/>
      <c r="GBQ24" s="204"/>
      <c r="GBR24" s="204"/>
      <c r="GBS24" s="204"/>
      <c r="GBT24" s="204"/>
      <c r="GBU24" s="204"/>
      <c r="GBV24" s="204"/>
      <c r="GBW24" s="204"/>
      <c r="GBX24" s="204"/>
      <c r="GBY24" s="204"/>
      <c r="GBZ24" s="204"/>
      <c r="GCA24" s="204"/>
      <c r="GCB24" s="204"/>
      <c r="GCC24" s="204"/>
      <c r="GCD24" s="204"/>
      <c r="GCE24" s="204"/>
      <c r="GCF24" s="204"/>
      <c r="GCG24" s="204"/>
      <c r="GCH24" s="204"/>
      <c r="GCI24" s="204"/>
      <c r="GCJ24" s="204"/>
      <c r="GCK24" s="204"/>
      <c r="GCL24" s="204"/>
      <c r="GCM24" s="204"/>
      <c r="GCN24" s="204"/>
      <c r="GCO24" s="204"/>
      <c r="GCP24" s="204"/>
      <c r="GCQ24" s="204"/>
      <c r="GCR24" s="204"/>
      <c r="GCS24" s="204"/>
      <c r="GCT24" s="204"/>
      <c r="GCU24" s="204"/>
      <c r="GCV24" s="204"/>
      <c r="GCW24" s="204"/>
      <c r="GCX24" s="204"/>
      <c r="GCY24" s="204"/>
      <c r="GCZ24" s="204"/>
      <c r="GDA24" s="204"/>
      <c r="GDB24" s="204"/>
      <c r="GDC24" s="204"/>
      <c r="GDD24" s="204"/>
      <c r="GDE24" s="204"/>
      <c r="GDF24" s="204"/>
      <c r="GDG24" s="204"/>
      <c r="GDH24" s="204"/>
      <c r="GDI24" s="204"/>
      <c r="GDJ24" s="204"/>
      <c r="GDK24" s="204"/>
      <c r="GDL24" s="204"/>
      <c r="GDM24" s="204"/>
      <c r="GDN24" s="204"/>
      <c r="GDO24" s="204"/>
      <c r="GDP24" s="204"/>
      <c r="GDQ24" s="204"/>
      <c r="GDR24" s="204"/>
      <c r="GDS24" s="204"/>
      <c r="GDT24" s="204"/>
      <c r="GDU24" s="204"/>
      <c r="GDV24" s="204"/>
      <c r="GDW24" s="204"/>
      <c r="GDX24" s="204"/>
      <c r="GDY24" s="204"/>
      <c r="GDZ24" s="204"/>
      <c r="GEA24" s="204"/>
      <c r="GEB24" s="204"/>
      <c r="GEC24" s="204"/>
      <c r="GED24" s="204"/>
      <c r="GEE24" s="204"/>
      <c r="GEF24" s="204"/>
      <c r="GEG24" s="204"/>
      <c r="GEH24" s="204"/>
      <c r="GEI24" s="204"/>
      <c r="GEJ24" s="204"/>
      <c r="GEK24" s="204"/>
      <c r="GEL24" s="204"/>
      <c r="GEM24" s="204"/>
      <c r="GEN24" s="204"/>
      <c r="GEO24" s="204"/>
      <c r="GEP24" s="204"/>
      <c r="GEQ24" s="204"/>
      <c r="GER24" s="204"/>
      <c r="GES24" s="204"/>
      <c r="GET24" s="204"/>
      <c r="GEU24" s="204"/>
      <c r="GEV24" s="204"/>
      <c r="GEW24" s="204"/>
      <c r="GEX24" s="204"/>
      <c r="GEY24" s="204"/>
      <c r="GEZ24" s="204"/>
      <c r="GFA24" s="204"/>
      <c r="GFB24" s="204"/>
      <c r="GFC24" s="204"/>
      <c r="GFD24" s="204"/>
      <c r="GFE24" s="204"/>
      <c r="GFF24" s="204"/>
      <c r="GFG24" s="204"/>
      <c r="GFH24" s="204"/>
      <c r="GFI24" s="204"/>
      <c r="GFJ24" s="204"/>
      <c r="GFK24" s="204"/>
      <c r="GFL24" s="204"/>
      <c r="GFM24" s="204"/>
      <c r="GFN24" s="204"/>
      <c r="GFO24" s="204"/>
      <c r="GFP24" s="204"/>
      <c r="GFQ24" s="204"/>
      <c r="GFR24" s="204"/>
      <c r="GFS24" s="204"/>
      <c r="GFT24" s="204"/>
      <c r="GFU24" s="204"/>
      <c r="GFV24" s="204"/>
      <c r="GFW24" s="204"/>
      <c r="GFX24" s="204"/>
      <c r="GFY24" s="204"/>
      <c r="GFZ24" s="204"/>
      <c r="GGA24" s="204"/>
      <c r="GGB24" s="204"/>
      <c r="GGC24" s="204"/>
      <c r="GGD24" s="204"/>
      <c r="GGE24" s="204"/>
      <c r="GGF24" s="204"/>
      <c r="GGG24" s="204"/>
      <c r="GGH24" s="204"/>
      <c r="GGI24" s="204"/>
      <c r="GGJ24" s="204"/>
      <c r="GGK24" s="204"/>
      <c r="GGL24" s="204"/>
      <c r="GGM24" s="204"/>
      <c r="GGN24" s="204"/>
      <c r="GGO24" s="204"/>
      <c r="GGP24" s="204"/>
      <c r="GGQ24" s="204"/>
      <c r="GGR24" s="204"/>
      <c r="GGS24" s="204"/>
      <c r="GGT24" s="204"/>
      <c r="GGU24" s="204"/>
      <c r="GGV24" s="204"/>
      <c r="GGW24" s="204"/>
      <c r="GGX24" s="204"/>
      <c r="GGY24" s="204"/>
      <c r="GGZ24" s="204"/>
      <c r="GHA24" s="204"/>
      <c r="GHB24" s="204"/>
      <c r="GHC24" s="204"/>
      <c r="GHD24" s="204"/>
      <c r="GHE24" s="204"/>
      <c r="GHF24" s="204"/>
      <c r="GHG24" s="204"/>
      <c r="GHH24" s="204"/>
      <c r="GHI24" s="204"/>
      <c r="GHJ24" s="204"/>
      <c r="GHK24" s="204"/>
      <c r="GHL24" s="204"/>
      <c r="GHM24" s="204"/>
      <c r="GHN24" s="204"/>
      <c r="GHO24" s="204"/>
      <c r="GHP24" s="204"/>
      <c r="GHQ24" s="204"/>
      <c r="GHR24" s="204"/>
      <c r="GHS24" s="204"/>
      <c r="GHT24" s="204"/>
      <c r="GHU24" s="204"/>
      <c r="GHV24" s="204"/>
      <c r="GHW24" s="204"/>
      <c r="GHX24" s="204"/>
      <c r="GHY24" s="204"/>
      <c r="GHZ24" s="204"/>
      <c r="GIA24" s="204"/>
      <c r="GIB24" s="204"/>
      <c r="GIC24" s="204"/>
      <c r="GID24" s="204"/>
      <c r="GIE24" s="204"/>
      <c r="GIF24" s="204"/>
      <c r="GIG24" s="204"/>
      <c r="GIH24" s="204"/>
      <c r="GII24" s="204"/>
      <c r="GIJ24" s="204"/>
      <c r="GIK24" s="204"/>
      <c r="GIL24" s="204"/>
      <c r="GIM24" s="204"/>
      <c r="GIN24" s="204"/>
      <c r="GIO24" s="204"/>
      <c r="GIP24" s="204"/>
      <c r="GIQ24" s="204"/>
      <c r="GIR24" s="204"/>
      <c r="GIS24" s="204"/>
      <c r="GIT24" s="204"/>
      <c r="GIU24" s="204"/>
      <c r="GIV24" s="204"/>
      <c r="GIW24" s="204"/>
      <c r="GIX24" s="204"/>
      <c r="GIY24" s="204"/>
      <c r="GIZ24" s="204"/>
      <c r="GJA24" s="204"/>
      <c r="GJB24" s="204"/>
      <c r="GJC24" s="204"/>
      <c r="GJD24" s="204"/>
      <c r="GJE24" s="204"/>
      <c r="GJF24" s="204"/>
      <c r="GJG24" s="204"/>
      <c r="GJH24" s="204"/>
      <c r="GJI24" s="204"/>
      <c r="GJJ24" s="204"/>
      <c r="GJK24" s="204"/>
      <c r="GJL24" s="204"/>
      <c r="GJM24" s="204"/>
      <c r="GJN24" s="204"/>
      <c r="GJO24" s="204"/>
      <c r="GJP24" s="204"/>
      <c r="GJQ24" s="204"/>
      <c r="GJR24" s="204"/>
      <c r="GJS24" s="204"/>
      <c r="GJT24" s="204"/>
      <c r="GJU24" s="204"/>
      <c r="GJV24" s="204"/>
      <c r="GJW24" s="204"/>
      <c r="GJX24" s="204"/>
      <c r="GJY24" s="204"/>
      <c r="GJZ24" s="204"/>
      <c r="GKA24" s="204"/>
      <c r="GKB24" s="204"/>
      <c r="GKC24" s="204"/>
      <c r="GKD24" s="204"/>
      <c r="GKE24" s="204"/>
      <c r="GKF24" s="204"/>
      <c r="GKG24" s="204"/>
      <c r="GKH24" s="204"/>
      <c r="GKI24" s="204"/>
      <c r="GKJ24" s="204"/>
      <c r="GKK24" s="204"/>
      <c r="GKL24" s="204"/>
      <c r="GKM24" s="204"/>
      <c r="GKN24" s="204"/>
      <c r="GKO24" s="204"/>
      <c r="GKP24" s="204"/>
      <c r="GKQ24" s="204"/>
      <c r="GKR24" s="204"/>
      <c r="GKS24" s="204"/>
      <c r="GKT24" s="204"/>
      <c r="GKU24" s="204"/>
      <c r="GKV24" s="204"/>
      <c r="GKW24" s="204"/>
      <c r="GKX24" s="204"/>
      <c r="GKY24" s="204"/>
      <c r="GKZ24" s="204"/>
      <c r="GLA24" s="204"/>
      <c r="GLB24" s="204"/>
      <c r="GLC24" s="204"/>
      <c r="GLD24" s="204"/>
      <c r="GLE24" s="204"/>
      <c r="GLF24" s="204"/>
      <c r="GLG24" s="204"/>
      <c r="GLH24" s="204"/>
      <c r="GLI24" s="204"/>
      <c r="GLJ24" s="204"/>
      <c r="GLK24" s="204"/>
      <c r="GLL24" s="204"/>
      <c r="GLM24" s="204"/>
      <c r="GLN24" s="204"/>
      <c r="GLO24" s="204"/>
      <c r="GLP24" s="204"/>
      <c r="GLQ24" s="204"/>
      <c r="GLR24" s="204"/>
      <c r="GLS24" s="204"/>
      <c r="GLT24" s="204"/>
      <c r="GLU24" s="204"/>
      <c r="GLV24" s="204"/>
      <c r="GLW24" s="204"/>
      <c r="GLX24" s="204"/>
      <c r="GLY24" s="204"/>
      <c r="GLZ24" s="204"/>
      <c r="GMA24" s="204"/>
      <c r="GMB24" s="204"/>
      <c r="GMC24" s="204"/>
      <c r="GMD24" s="204"/>
      <c r="GME24" s="204"/>
      <c r="GMF24" s="204"/>
      <c r="GMG24" s="204"/>
      <c r="GMH24" s="204"/>
      <c r="GMI24" s="204"/>
      <c r="GMJ24" s="204"/>
      <c r="GMK24" s="204"/>
      <c r="GML24" s="204"/>
      <c r="GMM24" s="204"/>
      <c r="GMN24" s="204"/>
      <c r="GMO24" s="204"/>
      <c r="GMP24" s="204"/>
      <c r="GMQ24" s="204"/>
      <c r="GMR24" s="204"/>
      <c r="GMS24" s="204"/>
      <c r="GMT24" s="204"/>
      <c r="GMU24" s="204"/>
      <c r="GMV24" s="204"/>
      <c r="GMW24" s="204"/>
      <c r="GMX24" s="204"/>
      <c r="GMY24" s="204"/>
      <c r="GMZ24" s="204"/>
      <c r="GNA24" s="204"/>
      <c r="GNB24" s="204"/>
      <c r="GNC24" s="204"/>
      <c r="GND24" s="204"/>
      <c r="GNE24" s="204"/>
      <c r="GNF24" s="204"/>
      <c r="GNG24" s="204"/>
      <c r="GNH24" s="204"/>
      <c r="GNI24" s="204"/>
      <c r="GNJ24" s="204"/>
      <c r="GNK24" s="204"/>
      <c r="GNL24" s="204"/>
      <c r="GNM24" s="204"/>
      <c r="GNN24" s="204"/>
      <c r="GNO24" s="204"/>
      <c r="GNP24" s="204"/>
      <c r="GNQ24" s="204"/>
      <c r="GNR24" s="204"/>
      <c r="GNS24" s="204"/>
      <c r="GNT24" s="204"/>
      <c r="GNU24" s="204"/>
      <c r="GNV24" s="204"/>
      <c r="GNW24" s="204"/>
      <c r="GNX24" s="204"/>
      <c r="GNY24" s="204"/>
      <c r="GNZ24" s="204"/>
      <c r="GOA24" s="204"/>
      <c r="GOB24" s="204"/>
      <c r="GOC24" s="204"/>
      <c r="GOD24" s="204"/>
      <c r="GOE24" s="204"/>
      <c r="GOF24" s="204"/>
      <c r="GOG24" s="204"/>
      <c r="GOH24" s="204"/>
      <c r="GOI24" s="204"/>
      <c r="GOJ24" s="204"/>
      <c r="GOK24" s="204"/>
      <c r="GOL24" s="204"/>
      <c r="GOM24" s="204"/>
      <c r="GON24" s="204"/>
      <c r="GOO24" s="204"/>
      <c r="GOP24" s="204"/>
      <c r="GOQ24" s="204"/>
      <c r="GOR24" s="204"/>
      <c r="GOS24" s="204"/>
      <c r="GOT24" s="204"/>
      <c r="GOU24" s="204"/>
      <c r="GOV24" s="204"/>
      <c r="GOW24" s="204"/>
      <c r="GOX24" s="204"/>
      <c r="GOY24" s="204"/>
      <c r="GOZ24" s="204"/>
      <c r="GPA24" s="204"/>
      <c r="GPB24" s="204"/>
      <c r="GPC24" s="204"/>
      <c r="GPD24" s="204"/>
      <c r="GPE24" s="204"/>
      <c r="GPF24" s="204"/>
      <c r="GPG24" s="204"/>
      <c r="GPH24" s="204"/>
      <c r="GPI24" s="204"/>
      <c r="GPJ24" s="204"/>
      <c r="GPK24" s="204"/>
      <c r="GPL24" s="204"/>
      <c r="GPM24" s="204"/>
      <c r="GPN24" s="204"/>
      <c r="GPO24" s="204"/>
      <c r="GPP24" s="204"/>
      <c r="GPQ24" s="204"/>
      <c r="GPR24" s="204"/>
      <c r="GPS24" s="204"/>
      <c r="GPT24" s="204"/>
      <c r="GPU24" s="204"/>
      <c r="GPV24" s="204"/>
      <c r="GPW24" s="204"/>
      <c r="GPX24" s="204"/>
      <c r="GPY24" s="204"/>
      <c r="GPZ24" s="204"/>
      <c r="GQA24" s="204"/>
      <c r="GQB24" s="204"/>
      <c r="GQC24" s="204"/>
      <c r="GQD24" s="204"/>
      <c r="GQE24" s="204"/>
      <c r="GQF24" s="204"/>
      <c r="GQG24" s="204"/>
      <c r="GQH24" s="204"/>
      <c r="GQI24" s="204"/>
      <c r="GQJ24" s="204"/>
      <c r="GQK24" s="204"/>
      <c r="GQL24" s="204"/>
      <c r="GQM24" s="204"/>
      <c r="GQN24" s="204"/>
      <c r="GQO24" s="204"/>
      <c r="GQP24" s="204"/>
      <c r="GQQ24" s="204"/>
      <c r="GQR24" s="204"/>
      <c r="GQS24" s="204"/>
      <c r="GQT24" s="204"/>
      <c r="GQU24" s="204"/>
      <c r="GQV24" s="204"/>
      <c r="GQW24" s="204"/>
      <c r="GQX24" s="204"/>
      <c r="GQY24" s="204"/>
      <c r="GQZ24" s="204"/>
      <c r="GRA24" s="204"/>
      <c r="GRB24" s="204"/>
      <c r="GRC24" s="204"/>
      <c r="GRD24" s="204"/>
      <c r="GRE24" s="204"/>
      <c r="GRF24" s="204"/>
      <c r="GRG24" s="204"/>
      <c r="GRH24" s="204"/>
      <c r="GRI24" s="204"/>
      <c r="GRJ24" s="204"/>
      <c r="GRK24" s="204"/>
      <c r="GRL24" s="204"/>
      <c r="GRM24" s="204"/>
      <c r="GRN24" s="204"/>
      <c r="GRO24" s="204"/>
      <c r="GRP24" s="204"/>
      <c r="GRQ24" s="204"/>
      <c r="GRR24" s="204"/>
      <c r="GRS24" s="204"/>
      <c r="GRT24" s="204"/>
      <c r="GRU24" s="204"/>
      <c r="GRV24" s="204"/>
      <c r="GRW24" s="204"/>
      <c r="GRX24" s="204"/>
      <c r="GRY24" s="204"/>
      <c r="GRZ24" s="204"/>
      <c r="GSA24" s="204"/>
      <c r="GSB24" s="204"/>
      <c r="GSC24" s="204"/>
      <c r="GSD24" s="204"/>
      <c r="GSE24" s="204"/>
      <c r="GSF24" s="204"/>
      <c r="GSG24" s="204"/>
      <c r="GSH24" s="204"/>
      <c r="GSI24" s="204"/>
      <c r="GSJ24" s="204"/>
      <c r="GSK24" s="204"/>
      <c r="GSL24" s="204"/>
      <c r="GSM24" s="204"/>
      <c r="GSN24" s="204"/>
      <c r="GSO24" s="204"/>
      <c r="GSP24" s="204"/>
      <c r="GSQ24" s="204"/>
      <c r="GSR24" s="204"/>
      <c r="GSS24" s="204"/>
      <c r="GST24" s="204"/>
      <c r="GSU24" s="204"/>
      <c r="GSV24" s="204"/>
      <c r="GSW24" s="204"/>
      <c r="GSX24" s="204"/>
      <c r="GSY24" s="204"/>
      <c r="GSZ24" s="204"/>
      <c r="GTA24" s="204"/>
      <c r="GTB24" s="204"/>
      <c r="GTC24" s="204"/>
      <c r="GTD24" s="204"/>
      <c r="GTE24" s="204"/>
      <c r="GTF24" s="204"/>
      <c r="GTG24" s="204"/>
      <c r="GTH24" s="204"/>
      <c r="GTI24" s="204"/>
      <c r="GTJ24" s="204"/>
      <c r="GTK24" s="204"/>
      <c r="GTL24" s="204"/>
      <c r="GTM24" s="204"/>
      <c r="GTN24" s="204"/>
      <c r="GTO24" s="204"/>
      <c r="GTP24" s="204"/>
      <c r="GTQ24" s="204"/>
      <c r="GTR24" s="204"/>
      <c r="GTS24" s="204"/>
      <c r="GTT24" s="204"/>
      <c r="GTU24" s="204"/>
      <c r="GTV24" s="204"/>
      <c r="GTW24" s="204"/>
      <c r="GTX24" s="204"/>
      <c r="GTY24" s="204"/>
      <c r="GTZ24" s="204"/>
      <c r="GUA24" s="204"/>
      <c r="GUB24" s="204"/>
      <c r="GUC24" s="204"/>
      <c r="GUD24" s="204"/>
      <c r="GUE24" s="204"/>
      <c r="GUF24" s="204"/>
      <c r="GUG24" s="204"/>
      <c r="GUH24" s="204"/>
      <c r="GUI24" s="204"/>
      <c r="GUJ24" s="204"/>
      <c r="GUK24" s="204"/>
      <c r="GUL24" s="204"/>
      <c r="GUM24" s="204"/>
      <c r="GUN24" s="204"/>
      <c r="GUO24" s="204"/>
      <c r="GUP24" s="204"/>
      <c r="GUQ24" s="204"/>
      <c r="GUR24" s="204"/>
      <c r="GUS24" s="204"/>
      <c r="GUT24" s="204"/>
      <c r="GUU24" s="204"/>
      <c r="GUV24" s="204"/>
      <c r="GUW24" s="204"/>
      <c r="GUX24" s="204"/>
      <c r="GUY24" s="204"/>
      <c r="GUZ24" s="204"/>
      <c r="GVA24" s="204"/>
      <c r="GVB24" s="204"/>
      <c r="GVC24" s="204"/>
      <c r="GVD24" s="204"/>
      <c r="GVE24" s="204"/>
      <c r="GVF24" s="204"/>
      <c r="GVG24" s="204"/>
      <c r="GVH24" s="204"/>
      <c r="GVI24" s="204"/>
      <c r="GVJ24" s="204"/>
      <c r="GVK24" s="204"/>
      <c r="GVL24" s="204"/>
      <c r="GVM24" s="204"/>
      <c r="GVN24" s="204"/>
      <c r="GVO24" s="204"/>
      <c r="GVP24" s="204"/>
      <c r="GVQ24" s="204"/>
      <c r="GVR24" s="204"/>
      <c r="GVS24" s="204"/>
      <c r="GVT24" s="204"/>
      <c r="GVU24" s="204"/>
      <c r="GVV24" s="204"/>
      <c r="GVW24" s="204"/>
      <c r="GVX24" s="204"/>
      <c r="GVY24" s="204"/>
      <c r="GVZ24" s="204"/>
      <c r="GWA24" s="204"/>
      <c r="GWB24" s="204"/>
      <c r="GWC24" s="204"/>
      <c r="GWD24" s="204"/>
      <c r="GWE24" s="204"/>
      <c r="GWF24" s="204"/>
      <c r="GWG24" s="204"/>
      <c r="GWH24" s="204"/>
      <c r="GWI24" s="204"/>
      <c r="GWJ24" s="204"/>
      <c r="GWK24" s="204"/>
      <c r="GWL24" s="204"/>
      <c r="GWM24" s="204"/>
      <c r="GWN24" s="204"/>
      <c r="GWO24" s="204"/>
      <c r="GWP24" s="204"/>
      <c r="GWQ24" s="204"/>
      <c r="GWR24" s="204"/>
      <c r="GWS24" s="204"/>
      <c r="GWT24" s="204"/>
      <c r="GWU24" s="204"/>
      <c r="GWV24" s="204"/>
      <c r="GWW24" s="204"/>
      <c r="GWX24" s="204"/>
      <c r="GWY24" s="204"/>
      <c r="GWZ24" s="204"/>
      <c r="GXA24" s="204"/>
      <c r="GXB24" s="204"/>
      <c r="GXC24" s="204"/>
      <c r="GXD24" s="204"/>
      <c r="GXE24" s="204"/>
      <c r="GXF24" s="204"/>
      <c r="GXG24" s="204"/>
      <c r="GXH24" s="204"/>
      <c r="GXI24" s="204"/>
      <c r="GXJ24" s="204"/>
      <c r="GXK24" s="204"/>
      <c r="GXL24" s="204"/>
      <c r="GXM24" s="204"/>
      <c r="GXN24" s="204"/>
      <c r="GXO24" s="204"/>
      <c r="GXP24" s="204"/>
      <c r="GXQ24" s="204"/>
      <c r="GXR24" s="204"/>
      <c r="GXS24" s="204"/>
      <c r="GXT24" s="204"/>
      <c r="GXU24" s="204"/>
      <c r="GXV24" s="204"/>
      <c r="GXW24" s="204"/>
      <c r="GXX24" s="204"/>
      <c r="GXY24" s="204"/>
      <c r="GXZ24" s="204"/>
      <c r="GYA24" s="204"/>
      <c r="GYB24" s="204"/>
      <c r="GYC24" s="204"/>
      <c r="GYD24" s="204"/>
      <c r="GYE24" s="204"/>
      <c r="GYF24" s="204"/>
      <c r="GYG24" s="204"/>
      <c r="GYH24" s="204"/>
      <c r="GYI24" s="204"/>
      <c r="GYJ24" s="204"/>
      <c r="GYK24" s="204"/>
      <c r="GYL24" s="204"/>
      <c r="GYM24" s="204"/>
      <c r="GYN24" s="204"/>
      <c r="GYO24" s="204"/>
      <c r="GYP24" s="204"/>
      <c r="GYQ24" s="204"/>
      <c r="GYR24" s="204"/>
      <c r="GYS24" s="204"/>
      <c r="GYT24" s="204"/>
      <c r="GYU24" s="204"/>
      <c r="GYV24" s="204"/>
      <c r="GYW24" s="204"/>
      <c r="GYX24" s="204"/>
      <c r="GYY24" s="204"/>
      <c r="GYZ24" s="204"/>
      <c r="GZA24" s="204"/>
      <c r="GZB24" s="204"/>
      <c r="GZC24" s="204"/>
      <c r="GZD24" s="204"/>
      <c r="GZE24" s="204"/>
      <c r="GZF24" s="204"/>
      <c r="GZG24" s="204"/>
      <c r="GZH24" s="204"/>
      <c r="GZI24" s="204"/>
      <c r="GZJ24" s="204"/>
      <c r="GZK24" s="204"/>
      <c r="GZL24" s="204"/>
      <c r="GZM24" s="204"/>
      <c r="GZN24" s="204"/>
      <c r="GZO24" s="204"/>
      <c r="GZP24" s="204"/>
      <c r="GZQ24" s="204"/>
      <c r="GZR24" s="204"/>
      <c r="GZS24" s="204"/>
      <c r="GZT24" s="204"/>
      <c r="GZU24" s="204"/>
      <c r="GZV24" s="204"/>
      <c r="GZW24" s="204"/>
      <c r="GZX24" s="204"/>
      <c r="GZY24" s="204"/>
      <c r="GZZ24" s="204"/>
      <c r="HAA24" s="204"/>
      <c r="HAB24" s="204"/>
      <c r="HAC24" s="204"/>
      <c r="HAD24" s="204"/>
      <c r="HAE24" s="204"/>
      <c r="HAF24" s="204"/>
      <c r="HAG24" s="204"/>
      <c r="HAH24" s="204"/>
      <c r="HAI24" s="204"/>
      <c r="HAJ24" s="204"/>
      <c r="HAK24" s="204"/>
      <c r="HAL24" s="204"/>
      <c r="HAM24" s="204"/>
      <c r="HAN24" s="204"/>
      <c r="HAO24" s="204"/>
      <c r="HAP24" s="204"/>
      <c r="HAQ24" s="204"/>
      <c r="HAR24" s="204"/>
      <c r="HAS24" s="204"/>
      <c r="HAT24" s="204"/>
      <c r="HAU24" s="204"/>
      <c r="HAV24" s="204"/>
      <c r="HAW24" s="204"/>
      <c r="HAX24" s="204"/>
      <c r="HAY24" s="204"/>
      <c r="HAZ24" s="204"/>
      <c r="HBA24" s="204"/>
      <c r="HBB24" s="204"/>
      <c r="HBC24" s="204"/>
      <c r="HBD24" s="204"/>
      <c r="HBE24" s="204"/>
      <c r="HBF24" s="204"/>
      <c r="HBG24" s="204"/>
      <c r="HBH24" s="204"/>
      <c r="HBI24" s="204"/>
      <c r="HBJ24" s="204"/>
      <c r="HBK24" s="204"/>
      <c r="HBL24" s="204"/>
      <c r="HBM24" s="204"/>
      <c r="HBN24" s="204"/>
      <c r="HBO24" s="204"/>
      <c r="HBP24" s="204"/>
      <c r="HBQ24" s="204"/>
      <c r="HBR24" s="204"/>
      <c r="HBS24" s="204"/>
      <c r="HBT24" s="204"/>
      <c r="HBU24" s="204"/>
      <c r="HBV24" s="204"/>
      <c r="HBW24" s="204"/>
      <c r="HBX24" s="204"/>
      <c r="HBY24" s="204"/>
      <c r="HBZ24" s="204"/>
      <c r="HCA24" s="204"/>
      <c r="HCB24" s="204"/>
      <c r="HCC24" s="204"/>
      <c r="HCD24" s="204"/>
      <c r="HCE24" s="204"/>
      <c r="HCF24" s="204"/>
      <c r="HCG24" s="204"/>
      <c r="HCH24" s="204"/>
      <c r="HCI24" s="204"/>
      <c r="HCJ24" s="204"/>
      <c r="HCK24" s="204"/>
      <c r="HCL24" s="204"/>
      <c r="HCM24" s="204"/>
      <c r="HCN24" s="204"/>
      <c r="HCO24" s="204"/>
      <c r="HCP24" s="204"/>
      <c r="HCQ24" s="204"/>
      <c r="HCR24" s="204"/>
      <c r="HCS24" s="204"/>
      <c r="HCT24" s="204"/>
      <c r="HCU24" s="204"/>
      <c r="HCV24" s="204"/>
      <c r="HCW24" s="204"/>
      <c r="HCX24" s="204"/>
      <c r="HCY24" s="204"/>
      <c r="HCZ24" s="204"/>
      <c r="HDA24" s="204"/>
      <c r="HDB24" s="204"/>
      <c r="HDC24" s="204"/>
      <c r="HDD24" s="204"/>
      <c r="HDE24" s="204"/>
      <c r="HDF24" s="204"/>
      <c r="HDG24" s="204"/>
      <c r="HDH24" s="204"/>
      <c r="HDI24" s="204"/>
      <c r="HDJ24" s="204"/>
      <c r="HDK24" s="204"/>
      <c r="HDL24" s="204"/>
      <c r="HDM24" s="204"/>
      <c r="HDN24" s="204"/>
      <c r="HDO24" s="204"/>
      <c r="HDP24" s="204"/>
      <c r="HDQ24" s="204"/>
      <c r="HDR24" s="204"/>
      <c r="HDS24" s="204"/>
      <c r="HDT24" s="204"/>
      <c r="HDU24" s="204"/>
      <c r="HDV24" s="204"/>
      <c r="HDW24" s="204"/>
      <c r="HDX24" s="204"/>
      <c r="HDY24" s="204"/>
      <c r="HDZ24" s="204"/>
      <c r="HEA24" s="204"/>
      <c r="HEB24" s="204"/>
      <c r="HEC24" s="204"/>
      <c r="HED24" s="204"/>
      <c r="HEE24" s="204"/>
      <c r="HEF24" s="204"/>
      <c r="HEG24" s="204"/>
      <c r="HEH24" s="204"/>
      <c r="HEI24" s="204"/>
      <c r="HEJ24" s="204"/>
      <c r="HEK24" s="204"/>
      <c r="HEL24" s="204"/>
      <c r="HEM24" s="204"/>
      <c r="HEN24" s="204"/>
      <c r="HEO24" s="204"/>
      <c r="HEP24" s="204"/>
      <c r="HEQ24" s="204"/>
      <c r="HER24" s="204"/>
      <c r="HES24" s="204"/>
      <c r="HET24" s="204"/>
      <c r="HEU24" s="204"/>
      <c r="HEV24" s="204"/>
      <c r="HEW24" s="204"/>
      <c r="HEX24" s="204"/>
      <c r="HEY24" s="204"/>
      <c r="HEZ24" s="204"/>
      <c r="HFA24" s="204"/>
      <c r="HFB24" s="204"/>
      <c r="HFC24" s="204"/>
      <c r="HFD24" s="204"/>
      <c r="HFE24" s="204"/>
      <c r="HFF24" s="204"/>
      <c r="HFG24" s="204"/>
      <c r="HFH24" s="204"/>
      <c r="HFI24" s="204"/>
      <c r="HFJ24" s="204"/>
      <c r="HFK24" s="204"/>
      <c r="HFL24" s="204"/>
      <c r="HFM24" s="204"/>
      <c r="HFN24" s="204"/>
      <c r="HFO24" s="204"/>
      <c r="HFP24" s="204"/>
      <c r="HFQ24" s="204"/>
      <c r="HFR24" s="204"/>
      <c r="HFS24" s="204"/>
      <c r="HFT24" s="204"/>
      <c r="HFU24" s="204"/>
      <c r="HFV24" s="204"/>
      <c r="HFW24" s="204"/>
      <c r="HFX24" s="204"/>
      <c r="HFY24" s="204"/>
      <c r="HFZ24" s="204"/>
      <c r="HGA24" s="204"/>
      <c r="HGB24" s="204"/>
      <c r="HGC24" s="204"/>
      <c r="HGD24" s="204"/>
      <c r="HGE24" s="204"/>
      <c r="HGF24" s="204"/>
      <c r="HGG24" s="204"/>
      <c r="HGH24" s="204"/>
      <c r="HGI24" s="204"/>
      <c r="HGJ24" s="204"/>
      <c r="HGK24" s="204"/>
      <c r="HGL24" s="204"/>
      <c r="HGM24" s="204"/>
      <c r="HGN24" s="204"/>
      <c r="HGO24" s="204"/>
      <c r="HGP24" s="204"/>
      <c r="HGQ24" s="204"/>
      <c r="HGR24" s="204"/>
      <c r="HGS24" s="204"/>
      <c r="HGT24" s="204"/>
      <c r="HGU24" s="204"/>
      <c r="HGV24" s="204"/>
      <c r="HGW24" s="204"/>
      <c r="HGX24" s="204"/>
      <c r="HGY24" s="204"/>
      <c r="HGZ24" s="204"/>
      <c r="HHA24" s="204"/>
      <c r="HHB24" s="204"/>
      <c r="HHC24" s="204"/>
      <c r="HHD24" s="204"/>
      <c r="HHE24" s="204"/>
      <c r="HHF24" s="204"/>
      <c r="HHG24" s="204"/>
      <c r="HHH24" s="204"/>
      <c r="HHI24" s="204"/>
      <c r="HHJ24" s="204"/>
      <c r="HHK24" s="204"/>
      <c r="HHL24" s="204"/>
      <c r="HHM24" s="204"/>
      <c r="HHN24" s="204"/>
      <c r="HHO24" s="204"/>
      <c r="HHP24" s="204"/>
      <c r="HHQ24" s="204"/>
      <c r="HHR24" s="204"/>
      <c r="HHS24" s="204"/>
      <c r="HHT24" s="204"/>
      <c r="HHU24" s="204"/>
      <c r="HHV24" s="204"/>
      <c r="HHW24" s="204"/>
      <c r="HHX24" s="204"/>
      <c r="HHY24" s="204"/>
      <c r="HHZ24" s="204"/>
      <c r="HIA24" s="204"/>
      <c r="HIB24" s="204"/>
      <c r="HIC24" s="204"/>
      <c r="HID24" s="204"/>
      <c r="HIE24" s="204"/>
      <c r="HIF24" s="204"/>
      <c r="HIG24" s="204"/>
      <c r="HIH24" s="204"/>
      <c r="HII24" s="204"/>
      <c r="HIJ24" s="204"/>
      <c r="HIK24" s="204"/>
      <c r="HIL24" s="204"/>
      <c r="HIM24" s="204"/>
      <c r="HIN24" s="204"/>
      <c r="HIO24" s="204"/>
      <c r="HIP24" s="204"/>
      <c r="HIQ24" s="204"/>
      <c r="HIR24" s="204"/>
      <c r="HIS24" s="204"/>
      <c r="HIT24" s="204"/>
      <c r="HIU24" s="204"/>
      <c r="HIV24" s="204"/>
      <c r="HIW24" s="204"/>
      <c r="HIX24" s="204"/>
      <c r="HIY24" s="204"/>
      <c r="HIZ24" s="204"/>
      <c r="HJA24" s="204"/>
      <c r="HJB24" s="204"/>
      <c r="HJC24" s="204"/>
      <c r="HJD24" s="204"/>
      <c r="HJE24" s="204"/>
      <c r="HJF24" s="204"/>
      <c r="HJG24" s="204"/>
      <c r="HJH24" s="204"/>
      <c r="HJI24" s="204"/>
      <c r="HJJ24" s="204"/>
      <c r="HJK24" s="204"/>
      <c r="HJL24" s="204"/>
      <c r="HJM24" s="204"/>
      <c r="HJN24" s="204"/>
      <c r="HJO24" s="204"/>
      <c r="HJP24" s="204"/>
      <c r="HJQ24" s="204"/>
      <c r="HJR24" s="204"/>
      <c r="HJS24" s="204"/>
      <c r="HJT24" s="204"/>
      <c r="HJU24" s="204"/>
      <c r="HJV24" s="204"/>
      <c r="HJW24" s="204"/>
      <c r="HJX24" s="204"/>
      <c r="HJY24" s="204"/>
      <c r="HJZ24" s="204"/>
      <c r="HKA24" s="204"/>
      <c r="HKB24" s="204"/>
      <c r="HKC24" s="204"/>
      <c r="HKD24" s="204"/>
      <c r="HKE24" s="204"/>
      <c r="HKF24" s="204"/>
      <c r="HKG24" s="204"/>
      <c r="HKH24" s="204"/>
      <c r="HKI24" s="204"/>
      <c r="HKJ24" s="204"/>
      <c r="HKK24" s="204"/>
      <c r="HKL24" s="204"/>
      <c r="HKM24" s="204"/>
      <c r="HKN24" s="204"/>
      <c r="HKO24" s="204"/>
      <c r="HKP24" s="204"/>
      <c r="HKQ24" s="204"/>
      <c r="HKR24" s="204"/>
      <c r="HKS24" s="204"/>
      <c r="HKT24" s="204"/>
      <c r="HKU24" s="204"/>
      <c r="HKV24" s="204"/>
      <c r="HKW24" s="204"/>
      <c r="HKX24" s="204"/>
      <c r="HKY24" s="204"/>
      <c r="HKZ24" s="204"/>
      <c r="HLA24" s="204"/>
      <c r="HLB24" s="204"/>
      <c r="HLC24" s="204"/>
      <c r="HLD24" s="204"/>
      <c r="HLE24" s="204"/>
      <c r="HLF24" s="204"/>
      <c r="HLG24" s="204"/>
      <c r="HLH24" s="204"/>
      <c r="HLI24" s="204"/>
      <c r="HLJ24" s="204"/>
      <c r="HLK24" s="204"/>
      <c r="HLL24" s="204"/>
      <c r="HLM24" s="204"/>
      <c r="HLN24" s="204"/>
      <c r="HLO24" s="204"/>
      <c r="HLP24" s="204"/>
      <c r="HLQ24" s="204"/>
      <c r="HLR24" s="204"/>
      <c r="HLS24" s="204"/>
      <c r="HLT24" s="204"/>
      <c r="HLU24" s="204"/>
      <c r="HLV24" s="204"/>
      <c r="HLW24" s="204"/>
      <c r="HLX24" s="204"/>
      <c r="HLY24" s="204"/>
      <c r="HLZ24" s="204"/>
      <c r="HMA24" s="204"/>
      <c r="HMB24" s="204"/>
      <c r="HMC24" s="204"/>
      <c r="HMD24" s="204"/>
      <c r="HME24" s="204"/>
      <c r="HMF24" s="204"/>
      <c r="HMG24" s="204"/>
      <c r="HMH24" s="204"/>
      <c r="HMI24" s="204"/>
      <c r="HMJ24" s="204"/>
      <c r="HMK24" s="204"/>
      <c r="HML24" s="204"/>
      <c r="HMM24" s="204"/>
      <c r="HMN24" s="204"/>
      <c r="HMO24" s="204"/>
      <c r="HMP24" s="204"/>
      <c r="HMQ24" s="204"/>
      <c r="HMR24" s="204"/>
      <c r="HMS24" s="204"/>
      <c r="HMT24" s="204"/>
      <c r="HMU24" s="204"/>
      <c r="HMV24" s="204"/>
      <c r="HMW24" s="204"/>
      <c r="HMX24" s="204"/>
      <c r="HMY24" s="204"/>
      <c r="HMZ24" s="204"/>
      <c r="HNA24" s="204"/>
      <c r="HNB24" s="204"/>
      <c r="HNC24" s="204"/>
      <c r="HND24" s="204"/>
      <c r="HNE24" s="204"/>
      <c r="HNF24" s="204"/>
      <c r="HNG24" s="204"/>
      <c r="HNH24" s="204"/>
      <c r="HNI24" s="204"/>
      <c r="HNJ24" s="204"/>
      <c r="HNK24" s="204"/>
      <c r="HNL24" s="204"/>
      <c r="HNM24" s="204"/>
      <c r="HNN24" s="204"/>
      <c r="HNO24" s="204"/>
      <c r="HNP24" s="204"/>
      <c r="HNQ24" s="204"/>
      <c r="HNR24" s="204"/>
      <c r="HNS24" s="204"/>
      <c r="HNT24" s="204"/>
      <c r="HNU24" s="204"/>
      <c r="HNV24" s="204"/>
      <c r="HNW24" s="204"/>
      <c r="HNX24" s="204"/>
      <c r="HNY24" s="204"/>
      <c r="HNZ24" s="204"/>
      <c r="HOA24" s="204"/>
      <c r="HOB24" s="204"/>
      <c r="HOC24" s="204"/>
      <c r="HOD24" s="204"/>
      <c r="HOE24" s="204"/>
      <c r="HOF24" s="204"/>
      <c r="HOG24" s="204"/>
      <c r="HOH24" s="204"/>
      <c r="HOI24" s="204"/>
      <c r="HOJ24" s="204"/>
      <c r="HOK24" s="204"/>
      <c r="HOL24" s="204"/>
      <c r="HOM24" s="204"/>
      <c r="HON24" s="204"/>
      <c r="HOO24" s="204"/>
      <c r="HOP24" s="204"/>
      <c r="HOQ24" s="204"/>
      <c r="HOR24" s="204"/>
      <c r="HOS24" s="204"/>
      <c r="HOT24" s="204"/>
      <c r="HOU24" s="204"/>
      <c r="HOV24" s="204"/>
      <c r="HOW24" s="204"/>
      <c r="HOX24" s="204"/>
      <c r="HOY24" s="204"/>
      <c r="HOZ24" s="204"/>
      <c r="HPA24" s="204"/>
      <c r="HPB24" s="204"/>
      <c r="HPC24" s="204"/>
      <c r="HPD24" s="204"/>
      <c r="HPE24" s="204"/>
      <c r="HPF24" s="204"/>
      <c r="HPG24" s="204"/>
      <c r="HPH24" s="204"/>
      <c r="HPI24" s="204"/>
      <c r="HPJ24" s="204"/>
      <c r="HPK24" s="204"/>
      <c r="HPL24" s="204"/>
      <c r="HPM24" s="204"/>
      <c r="HPN24" s="204"/>
      <c r="HPO24" s="204"/>
      <c r="HPP24" s="204"/>
      <c r="HPQ24" s="204"/>
      <c r="HPR24" s="204"/>
      <c r="HPS24" s="204"/>
      <c r="HPT24" s="204"/>
      <c r="HPU24" s="204"/>
      <c r="HPV24" s="204"/>
      <c r="HPW24" s="204"/>
      <c r="HPX24" s="204"/>
      <c r="HPY24" s="204"/>
      <c r="HPZ24" s="204"/>
      <c r="HQA24" s="204"/>
      <c r="HQB24" s="204"/>
      <c r="HQC24" s="204"/>
      <c r="HQD24" s="204"/>
      <c r="HQE24" s="204"/>
      <c r="HQF24" s="204"/>
      <c r="HQG24" s="204"/>
      <c r="HQH24" s="204"/>
      <c r="HQI24" s="204"/>
      <c r="HQJ24" s="204"/>
      <c r="HQK24" s="204"/>
      <c r="HQL24" s="204"/>
      <c r="HQM24" s="204"/>
      <c r="HQN24" s="204"/>
      <c r="HQO24" s="204"/>
      <c r="HQP24" s="204"/>
      <c r="HQQ24" s="204"/>
      <c r="HQR24" s="204"/>
      <c r="HQS24" s="204"/>
      <c r="HQT24" s="204"/>
      <c r="HQU24" s="204"/>
      <c r="HQV24" s="204"/>
      <c r="HQW24" s="204"/>
      <c r="HQX24" s="204"/>
      <c r="HQY24" s="204"/>
      <c r="HQZ24" s="204"/>
      <c r="HRA24" s="204"/>
      <c r="HRB24" s="204"/>
      <c r="HRC24" s="204"/>
      <c r="HRD24" s="204"/>
      <c r="HRE24" s="204"/>
      <c r="HRF24" s="204"/>
      <c r="HRG24" s="204"/>
      <c r="HRH24" s="204"/>
      <c r="HRI24" s="204"/>
      <c r="HRJ24" s="204"/>
      <c r="HRK24" s="204"/>
      <c r="HRL24" s="204"/>
      <c r="HRM24" s="204"/>
      <c r="HRN24" s="204"/>
      <c r="HRO24" s="204"/>
      <c r="HRP24" s="204"/>
      <c r="HRQ24" s="204"/>
      <c r="HRR24" s="204"/>
      <c r="HRS24" s="204"/>
      <c r="HRT24" s="204"/>
      <c r="HRU24" s="204"/>
      <c r="HRV24" s="204"/>
      <c r="HRW24" s="204"/>
      <c r="HRX24" s="204"/>
      <c r="HRY24" s="204"/>
      <c r="HRZ24" s="204"/>
      <c r="HSA24" s="204"/>
      <c r="HSB24" s="204"/>
      <c r="HSC24" s="204"/>
      <c r="HSD24" s="204"/>
      <c r="HSE24" s="204"/>
      <c r="HSF24" s="204"/>
      <c r="HSG24" s="204"/>
      <c r="HSH24" s="204"/>
      <c r="HSI24" s="204"/>
      <c r="HSJ24" s="204"/>
      <c r="HSK24" s="204"/>
      <c r="HSL24" s="204"/>
      <c r="HSM24" s="204"/>
      <c r="HSN24" s="204"/>
      <c r="HSO24" s="204"/>
      <c r="HSP24" s="204"/>
      <c r="HSQ24" s="204"/>
      <c r="HSR24" s="204"/>
      <c r="HSS24" s="204"/>
      <c r="HST24" s="204"/>
      <c r="HSU24" s="204"/>
      <c r="HSV24" s="204"/>
      <c r="HSW24" s="204"/>
      <c r="HSX24" s="204"/>
      <c r="HSY24" s="204"/>
      <c r="HSZ24" s="204"/>
      <c r="HTA24" s="204"/>
      <c r="HTB24" s="204"/>
      <c r="HTC24" s="204"/>
      <c r="HTD24" s="204"/>
      <c r="HTE24" s="204"/>
      <c r="HTF24" s="204"/>
      <c r="HTG24" s="204"/>
      <c r="HTH24" s="204"/>
      <c r="HTI24" s="204"/>
      <c r="HTJ24" s="204"/>
      <c r="HTK24" s="204"/>
      <c r="HTL24" s="204"/>
      <c r="HTM24" s="204"/>
      <c r="HTN24" s="204"/>
      <c r="HTO24" s="204"/>
      <c r="HTP24" s="204"/>
      <c r="HTQ24" s="204"/>
      <c r="HTR24" s="204"/>
      <c r="HTS24" s="204"/>
      <c r="HTT24" s="204"/>
      <c r="HTU24" s="204"/>
      <c r="HTV24" s="204"/>
      <c r="HTW24" s="204"/>
      <c r="HTX24" s="204"/>
      <c r="HTY24" s="204"/>
      <c r="HTZ24" s="204"/>
      <c r="HUA24" s="204"/>
      <c r="HUB24" s="204"/>
      <c r="HUC24" s="204"/>
      <c r="HUD24" s="204"/>
      <c r="HUE24" s="204"/>
      <c r="HUF24" s="204"/>
      <c r="HUG24" s="204"/>
      <c r="HUH24" s="204"/>
      <c r="HUI24" s="204"/>
      <c r="HUJ24" s="204"/>
      <c r="HUK24" s="204"/>
      <c r="HUL24" s="204"/>
      <c r="HUM24" s="204"/>
      <c r="HUN24" s="204"/>
      <c r="HUO24" s="204"/>
      <c r="HUP24" s="204"/>
      <c r="HUQ24" s="204"/>
      <c r="HUR24" s="204"/>
      <c r="HUS24" s="204"/>
      <c r="HUT24" s="204"/>
      <c r="HUU24" s="204"/>
      <c r="HUV24" s="204"/>
      <c r="HUW24" s="204"/>
      <c r="HUX24" s="204"/>
      <c r="HUY24" s="204"/>
      <c r="HUZ24" s="204"/>
      <c r="HVA24" s="204"/>
      <c r="HVB24" s="204"/>
      <c r="HVC24" s="204"/>
      <c r="HVD24" s="204"/>
      <c r="HVE24" s="204"/>
      <c r="HVF24" s="204"/>
      <c r="HVG24" s="204"/>
      <c r="HVH24" s="204"/>
      <c r="HVI24" s="204"/>
      <c r="HVJ24" s="204"/>
      <c r="HVK24" s="204"/>
      <c r="HVL24" s="204"/>
      <c r="HVM24" s="204"/>
      <c r="HVN24" s="204"/>
      <c r="HVO24" s="204"/>
      <c r="HVP24" s="204"/>
      <c r="HVQ24" s="204"/>
      <c r="HVR24" s="204"/>
      <c r="HVS24" s="204"/>
      <c r="HVT24" s="204"/>
      <c r="HVU24" s="204"/>
      <c r="HVV24" s="204"/>
      <c r="HVW24" s="204"/>
      <c r="HVX24" s="204"/>
      <c r="HVY24" s="204"/>
      <c r="HVZ24" s="204"/>
      <c r="HWA24" s="204"/>
      <c r="HWB24" s="204"/>
      <c r="HWC24" s="204"/>
      <c r="HWD24" s="204"/>
      <c r="HWE24" s="204"/>
      <c r="HWF24" s="204"/>
      <c r="HWG24" s="204"/>
      <c r="HWH24" s="204"/>
      <c r="HWI24" s="204"/>
      <c r="HWJ24" s="204"/>
      <c r="HWK24" s="204"/>
      <c r="HWL24" s="204"/>
      <c r="HWM24" s="204"/>
      <c r="HWN24" s="204"/>
      <c r="HWO24" s="204"/>
      <c r="HWP24" s="204"/>
      <c r="HWQ24" s="204"/>
      <c r="HWR24" s="204"/>
      <c r="HWS24" s="204"/>
      <c r="HWT24" s="204"/>
      <c r="HWU24" s="204"/>
      <c r="HWV24" s="204"/>
      <c r="HWW24" s="204"/>
      <c r="HWX24" s="204"/>
      <c r="HWY24" s="204"/>
      <c r="HWZ24" s="204"/>
      <c r="HXA24" s="204"/>
      <c r="HXB24" s="204"/>
      <c r="HXC24" s="204"/>
      <c r="HXD24" s="204"/>
      <c r="HXE24" s="204"/>
      <c r="HXF24" s="204"/>
      <c r="HXG24" s="204"/>
      <c r="HXH24" s="204"/>
      <c r="HXI24" s="204"/>
      <c r="HXJ24" s="204"/>
      <c r="HXK24" s="204"/>
      <c r="HXL24" s="204"/>
      <c r="HXM24" s="204"/>
      <c r="HXN24" s="204"/>
      <c r="HXO24" s="204"/>
      <c r="HXP24" s="204"/>
      <c r="HXQ24" s="204"/>
      <c r="HXR24" s="204"/>
      <c r="HXS24" s="204"/>
      <c r="HXT24" s="204"/>
      <c r="HXU24" s="204"/>
      <c r="HXV24" s="204"/>
      <c r="HXW24" s="204"/>
      <c r="HXX24" s="204"/>
      <c r="HXY24" s="204"/>
      <c r="HXZ24" s="204"/>
      <c r="HYA24" s="204"/>
      <c r="HYB24" s="204"/>
      <c r="HYC24" s="204"/>
      <c r="HYD24" s="204"/>
      <c r="HYE24" s="204"/>
      <c r="HYF24" s="204"/>
      <c r="HYG24" s="204"/>
      <c r="HYH24" s="204"/>
      <c r="HYI24" s="204"/>
      <c r="HYJ24" s="204"/>
      <c r="HYK24" s="204"/>
      <c r="HYL24" s="204"/>
      <c r="HYM24" s="204"/>
      <c r="HYN24" s="204"/>
      <c r="HYO24" s="204"/>
      <c r="HYP24" s="204"/>
      <c r="HYQ24" s="204"/>
      <c r="HYR24" s="204"/>
      <c r="HYS24" s="204"/>
      <c r="HYT24" s="204"/>
      <c r="HYU24" s="204"/>
      <c r="HYV24" s="204"/>
      <c r="HYW24" s="204"/>
      <c r="HYX24" s="204"/>
      <c r="HYY24" s="204"/>
      <c r="HYZ24" s="204"/>
      <c r="HZA24" s="204"/>
      <c r="HZB24" s="204"/>
      <c r="HZC24" s="204"/>
      <c r="HZD24" s="204"/>
      <c r="HZE24" s="204"/>
      <c r="HZF24" s="204"/>
      <c r="HZG24" s="204"/>
      <c r="HZH24" s="204"/>
      <c r="HZI24" s="204"/>
      <c r="HZJ24" s="204"/>
      <c r="HZK24" s="204"/>
      <c r="HZL24" s="204"/>
      <c r="HZM24" s="204"/>
      <c r="HZN24" s="204"/>
      <c r="HZO24" s="204"/>
      <c r="HZP24" s="204"/>
      <c r="HZQ24" s="204"/>
      <c r="HZR24" s="204"/>
      <c r="HZS24" s="204"/>
      <c r="HZT24" s="204"/>
      <c r="HZU24" s="204"/>
      <c r="HZV24" s="204"/>
      <c r="HZW24" s="204"/>
      <c r="HZX24" s="204"/>
      <c r="HZY24" s="204"/>
      <c r="HZZ24" s="204"/>
      <c r="IAA24" s="204"/>
      <c r="IAB24" s="204"/>
      <c r="IAC24" s="204"/>
      <c r="IAD24" s="204"/>
      <c r="IAE24" s="204"/>
      <c r="IAF24" s="204"/>
      <c r="IAG24" s="204"/>
      <c r="IAH24" s="204"/>
      <c r="IAI24" s="204"/>
      <c r="IAJ24" s="204"/>
      <c r="IAK24" s="204"/>
      <c r="IAL24" s="204"/>
      <c r="IAM24" s="204"/>
      <c r="IAN24" s="204"/>
      <c r="IAO24" s="204"/>
      <c r="IAP24" s="204"/>
      <c r="IAQ24" s="204"/>
      <c r="IAR24" s="204"/>
      <c r="IAS24" s="204"/>
      <c r="IAT24" s="204"/>
      <c r="IAU24" s="204"/>
      <c r="IAV24" s="204"/>
      <c r="IAW24" s="204"/>
      <c r="IAX24" s="204"/>
      <c r="IAY24" s="204"/>
      <c r="IAZ24" s="204"/>
      <c r="IBA24" s="204"/>
      <c r="IBB24" s="204"/>
      <c r="IBC24" s="204"/>
      <c r="IBD24" s="204"/>
      <c r="IBE24" s="204"/>
      <c r="IBF24" s="204"/>
      <c r="IBG24" s="204"/>
      <c r="IBH24" s="204"/>
      <c r="IBI24" s="204"/>
      <c r="IBJ24" s="204"/>
      <c r="IBK24" s="204"/>
      <c r="IBL24" s="204"/>
      <c r="IBM24" s="204"/>
      <c r="IBN24" s="204"/>
      <c r="IBO24" s="204"/>
      <c r="IBP24" s="204"/>
      <c r="IBQ24" s="204"/>
      <c r="IBR24" s="204"/>
      <c r="IBS24" s="204"/>
      <c r="IBT24" s="204"/>
      <c r="IBU24" s="204"/>
      <c r="IBV24" s="204"/>
      <c r="IBW24" s="204"/>
      <c r="IBX24" s="204"/>
      <c r="IBY24" s="204"/>
      <c r="IBZ24" s="204"/>
      <c r="ICA24" s="204"/>
      <c r="ICB24" s="204"/>
      <c r="ICC24" s="204"/>
      <c r="ICD24" s="204"/>
      <c r="ICE24" s="204"/>
      <c r="ICF24" s="204"/>
      <c r="ICG24" s="204"/>
      <c r="ICH24" s="204"/>
      <c r="ICI24" s="204"/>
      <c r="ICJ24" s="204"/>
      <c r="ICK24" s="204"/>
      <c r="ICL24" s="204"/>
      <c r="ICM24" s="204"/>
      <c r="ICN24" s="204"/>
      <c r="ICO24" s="204"/>
      <c r="ICP24" s="204"/>
      <c r="ICQ24" s="204"/>
      <c r="ICR24" s="204"/>
      <c r="ICS24" s="204"/>
      <c r="ICT24" s="204"/>
      <c r="ICU24" s="204"/>
      <c r="ICV24" s="204"/>
      <c r="ICW24" s="204"/>
      <c r="ICX24" s="204"/>
      <c r="ICY24" s="204"/>
      <c r="ICZ24" s="204"/>
      <c r="IDA24" s="204"/>
      <c r="IDB24" s="204"/>
      <c r="IDC24" s="204"/>
      <c r="IDD24" s="204"/>
      <c r="IDE24" s="204"/>
      <c r="IDF24" s="204"/>
      <c r="IDG24" s="204"/>
      <c r="IDH24" s="204"/>
      <c r="IDI24" s="204"/>
      <c r="IDJ24" s="204"/>
      <c r="IDK24" s="204"/>
      <c r="IDL24" s="204"/>
      <c r="IDM24" s="204"/>
      <c r="IDN24" s="204"/>
      <c r="IDO24" s="204"/>
      <c r="IDP24" s="204"/>
      <c r="IDQ24" s="204"/>
      <c r="IDR24" s="204"/>
      <c r="IDS24" s="204"/>
      <c r="IDT24" s="204"/>
      <c r="IDU24" s="204"/>
      <c r="IDV24" s="204"/>
      <c r="IDW24" s="204"/>
      <c r="IDX24" s="204"/>
      <c r="IDY24" s="204"/>
      <c r="IDZ24" s="204"/>
      <c r="IEA24" s="204"/>
      <c r="IEB24" s="204"/>
      <c r="IEC24" s="204"/>
      <c r="IED24" s="204"/>
      <c r="IEE24" s="204"/>
      <c r="IEF24" s="204"/>
      <c r="IEG24" s="204"/>
      <c r="IEH24" s="204"/>
      <c r="IEI24" s="204"/>
      <c r="IEJ24" s="204"/>
      <c r="IEK24" s="204"/>
      <c r="IEL24" s="204"/>
      <c r="IEM24" s="204"/>
      <c r="IEN24" s="204"/>
      <c r="IEO24" s="204"/>
      <c r="IEP24" s="204"/>
      <c r="IEQ24" s="204"/>
      <c r="IER24" s="204"/>
      <c r="IES24" s="204"/>
      <c r="IET24" s="204"/>
      <c r="IEU24" s="204"/>
      <c r="IEV24" s="204"/>
      <c r="IEW24" s="204"/>
      <c r="IEX24" s="204"/>
      <c r="IEY24" s="204"/>
      <c r="IEZ24" s="204"/>
      <c r="IFA24" s="204"/>
      <c r="IFB24" s="204"/>
      <c r="IFC24" s="204"/>
      <c r="IFD24" s="204"/>
      <c r="IFE24" s="204"/>
      <c r="IFF24" s="204"/>
      <c r="IFG24" s="204"/>
      <c r="IFH24" s="204"/>
      <c r="IFI24" s="204"/>
      <c r="IFJ24" s="204"/>
      <c r="IFK24" s="204"/>
      <c r="IFL24" s="204"/>
      <c r="IFM24" s="204"/>
      <c r="IFN24" s="204"/>
      <c r="IFO24" s="204"/>
      <c r="IFP24" s="204"/>
      <c r="IFQ24" s="204"/>
      <c r="IFR24" s="204"/>
      <c r="IFS24" s="204"/>
      <c r="IFT24" s="204"/>
      <c r="IFU24" s="204"/>
      <c r="IFV24" s="204"/>
      <c r="IFW24" s="204"/>
      <c r="IFX24" s="204"/>
      <c r="IFY24" s="204"/>
      <c r="IFZ24" s="204"/>
      <c r="IGA24" s="204"/>
      <c r="IGB24" s="204"/>
      <c r="IGC24" s="204"/>
      <c r="IGD24" s="204"/>
      <c r="IGE24" s="204"/>
      <c r="IGF24" s="204"/>
      <c r="IGG24" s="204"/>
      <c r="IGH24" s="204"/>
      <c r="IGI24" s="204"/>
      <c r="IGJ24" s="204"/>
      <c r="IGK24" s="204"/>
      <c r="IGL24" s="204"/>
      <c r="IGM24" s="204"/>
      <c r="IGN24" s="204"/>
      <c r="IGO24" s="204"/>
      <c r="IGP24" s="204"/>
      <c r="IGQ24" s="204"/>
      <c r="IGR24" s="204"/>
      <c r="IGS24" s="204"/>
      <c r="IGT24" s="204"/>
      <c r="IGU24" s="204"/>
      <c r="IGV24" s="204"/>
      <c r="IGW24" s="204"/>
      <c r="IGX24" s="204"/>
      <c r="IGY24" s="204"/>
      <c r="IGZ24" s="204"/>
      <c r="IHA24" s="204"/>
      <c r="IHB24" s="204"/>
      <c r="IHC24" s="204"/>
      <c r="IHD24" s="204"/>
      <c r="IHE24" s="204"/>
      <c r="IHF24" s="204"/>
      <c r="IHG24" s="204"/>
      <c r="IHH24" s="204"/>
      <c r="IHI24" s="204"/>
      <c r="IHJ24" s="204"/>
      <c r="IHK24" s="204"/>
      <c r="IHL24" s="204"/>
      <c r="IHM24" s="204"/>
      <c r="IHN24" s="204"/>
      <c r="IHO24" s="204"/>
      <c r="IHP24" s="204"/>
      <c r="IHQ24" s="204"/>
      <c r="IHR24" s="204"/>
      <c r="IHS24" s="204"/>
      <c r="IHT24" s="204"/>
      <c r="IHU24" s="204"/>
      <c r="IHV24" s="204"/>
      <c r="IHW24" s="204"/>
      <c r="IHX24" s="204"/>
      <c r="IHY24" s="204"/>
      <c r="IHZ24" s="204"/>
      <c r="IIA24" s="204"/>
      <c r="IIB24" s="204"/>
      <c r="IIC24" s="204"/>
      <c r="IID24" s="204"/>
      <c r="IIE24" s="204"/>
      <c r="IIF24" s="204"/>
      <c r="IIG24" s="204"/>
      <c r="IIH24" s="204"/>
      <c r="III24" s="204"/>
      <c r="IIJ24" s="204"/>
      <c r="IIK24" s="204"/>
      <c r="IIL24" s="204"/>
      <c r="IIM24" s="204"/>
      <c r="IIN24" s="204"/>
      <c r="IIO24" s="204"/>
      <c r="IIP24" s="204"/>
      <c r="IIQ24" s="204"/>
      <c r="IIR24" s="204"/>
      <c r="IIS24" s="204"/>
      <c r="IIT24" s="204"/>
      <c r="IIU24" s="204"/>
      <c r="IIV24" s="204"/>
      <c r="IIW24" s="204"/>
      <c r="IIX24" s="204"/>
      <c r="IIY24" s="204"/>
      <c r="IIZ24" s="204"/>
      <c r="IJA24" s="204"/>
      <c r="IJB24" s="204"/>
      <c r="IJC24" s="204"/>
      <c r="IJD24" s="204"/>
      <c r="IJE24" s="204"/>
      <c r="IJF24" s="204"/>
      <c r="IJG24" s="204"/>
      <c r="IJH24" s="204"/>
      <c r="IJI24" s="204"/>
      <c r="IJJ24" s="204"/>
      <c r="IJK24" s="204"/>
      <c r="IJL24" s="204"/>
      <c r="IJM24" s="204"/>
      <c r="IJN24" s="204"/>
      <c r="IJO24" s="204"/>
      <c r="IJP24" s="204"/>
      <c r="IJQ24" s="204"/>
      <c r="IJR24" s="204"/>
      <c r="IJS24" s="204"/>
      <c r="IJT24" s="204"/>
      <c r="IJU24" s="204"/>
      <c r="IJV24" s="204"/>
      <c r="IJW24" s="204"/>
      <c r="IJX24" s="204"/>
      <c r="IJY24" s="204"/>
      <c r="IJZ24" s="204"/>
      <c r="IKA24" s="204"/>
      <c r="IKB24" s="204"/>
      <c r="IKC24" s="204"/>
      <c r="IKD24" s="204"/>
      <c r="IKE24" s="204"/>
      <c r="IKF24" s="204"/>
      <c r="IKG24" s="204"/>
      <c r="IKH24" s="204"/>
      <c r="IKI24" s="204"/>
      <c r="IKJ24" s="204"/>
      <c r="IKK24" s="204"/>
      <c r="IKL24" s="204"/>
      <c r="IKM24" s="204"/>
      <c r="IKN24" s="204"/>
      <c r="IKO24" s="204"/>
      <c r="IKP24" s="204"/>
      <c r="IKQ24" s="204"/>
      <c r="IKR24" s="204"/>
      <c r="IKS24" s="204"/>
      <c r="IKT24" s="204"/>
      <c r="IKU24" s="204"/>
      <c r="IKV24" s="204"/>
      <c r="IKW24" s="204"/>
      <c r="IKX24" s="204"/>
      <c r="IKY24" s="204"/>
      <c r="IKZ24" s="204"/>
      <c r="ILA24" s="204"/>
      <c r="ILB24" s="204"/>
      <c r="ILC24" s="204"/>
      <c r="ILD24" s="204"/>
      <c r="ILE24" s="204"/>
      <c r="ILF24" s="204"/>
      <c r="ILG24" s="204"/>
      <c r="ILH24" s="204"/>
      <c r="ILI24" s="204"/>
      <c r="ILJ24" s="204"/>
      <c r="ILK24" s="204"/>
      <c r="ILL24" s="204"/>
      <c r="ILM24" s="204"/>
      <c r="ILN24" s="204"/>
      <c r="ILO24" s="204"/>
      <c r="ILP24" s="204"/>
      <c r="ILQ24" s="204"/>
      <c r="ILR24" s="204"/>
      <c r="ILS24" s="204"/>
      <c r="ILT24" s="204"/>
      <c r="ILU24" s="204"/>
      <c r="ILV24" s="204"/>
      <c r="ILW24" s="204"/>
      <c r="ILX24" s="204"/>
      <c r="ILY24" s="204"/>
      <c r="ILZ24" s="204"/>
      <c r="IMA24" s="204"/>
      <c r="IMB24" s="204"/>
      <c r="IMC24" s="204"/>
      <c r="IMD24" s="204"/>
      <c r="IME24" s="204"/>
      <c r="IMF24" s="204"/>
      <c r="IMG24" s="204"/>
      <c r="IMH24" s="204"/>
      <c r="IMI24" s="204"/>
      <c r="IMJ24" s="204"/>
      <c r="IMK24" s="204"/>
      <c r="IML24" s="204"/>
      <c r="IMM24" s="204"/>
      <c r="IMN24" s="204"/>
      <c r="IMO24" s="204"/>
      <c r="IMP24" s="204"/>
      <c r="IMQ24" s="204"/>
      <c r="IMR24" s="204"/>
      <c r="IMS24" s="204"/>
      <c r="IMT24" s="204"/>
      <c r="IMU24" s="204"/>
      <c r="IMV24" s="204"/>
      <c r="IMW24" s="204"/>
      <c r="IMX24" s="204"/>
      <c r="IMY24" s="204"/>
      <c r="IMZ24" s="204"/>
      <c r="INA24" s="204"/>
      <c r="INB24" s="204"/>
      <c r="INC24" s="204"/>
      <c r="IND24" s="204"/>
      <c r="INE24" s="204"/>
      <c r="INF24" s="204"/>
      <c r="ING24" s="204"/>
      <c r="INH24" s="204"/>
      <c r="INI24" s="204"/>
      <c r="INJ24" s="204"/>
      <c r="INK24" s="204"/>
      <c r="INL24" s="204"/>
      <c r="INM24" s="204"/>
      <c r="INN24" s="204"/>
      <c r="INO24" s="204"/>
      <c r="INP24" s="204"/>
      <c r="INQ24" s="204"/>
      <c r="INR24" s="204"/>
      <c r="INS24" s="204"/>
      <c r="INT24" s="204"/>
      <c r="INU24" s="204"/>
      <c r="INV24" s="204"/>
      <c r="INW24" s="204"/>
      <c r="INX24" s="204"/>
      <c r="INY24" s="204"/>
      <c r="INZ24" s="204"/>
      <c r="IOA24" s="204"/>
      <c r="IOB24" s="204"/>
      <c r="IOC24" s="204"/>
      <c r="IOD24" s="204"/>
      <c r="IOE24" s="204"/>
      <c r="IOF24" s="204"/>
      <c r="IOG24" s="204"/>
      <c r="IOH24" s="204"/>
      <c r="IOI24" s="204"/>
      <c r="IOJ24" s="204"/>
      <c r="IOK24" s="204"/>
      <c r="IOL24" s="204"/>
      <c r="IOM24" s="204"/>
      <c r="ION24" s="204"/>
      <c r="IOO24" s="204"/>
      <c r="IOP24" s="204"/>
      <c r="IOQ24" s="204"/>
      <c r="IOR24" s="204"/>
      <c r="IOS24" s="204"/>
      <c r="IOT24" s="204"/>
      <c r="IOU24" s="204"/>
      <c r="IOV24" s="204"/>
      <c r="IOW24" s="204"/>
      <c r="IOX24" s="204"/>
      <c r="IOY24" s="204"/>
      <c r="IOZ24" s="204"/>
      <c r="IPA24" s="204"/>
      <c r="IPB24" s="204"/>
      <c r="IPC24" s="204"/>
      <c r="IPD24" s="204"/>
      <c r="IPE24" s="204"/>
      <c r="IPF24" s="204"/>
      <c r="IPG24" s="204"/>
      <c r="IPH24" s="204"/>
      <c r="IPI24" s="204"/>
      <c r="IPJ24" s="204"/>
      <c r="IPK24" s="204"/>
      <c r="IPL24" s="204"/>
      <c r="IPM24" s="204"/>
      <c r="IPN24" s="204"/>
      <c r="IPO24" s="204"/>
      <c r="IPP24" s="204"/>
      <c r="IPQ24" s="204"/>
      <c r="IPR24" s="204"/>
      <c r="IPS24" s="204"/>
      <c r="IPT24" s="204"/>
      <c r="IPU24" s="204"/>
      <c r="IPV24" s="204"/>
      <c r="IPW24" s="204"/>
      <c r="IPX24" s="204"/>
      <c r="IPY24" s="204"/>
      <c r="IPZ24" s="204"/>
      <c r="IQA24" s="204"/>
      <c r="IQB24" s="204"/>
      <c r="IQC24" s="204"/>
      <c r="IQD24" s="204"/>
      <c r="IQE24" s="204"/>
      <c r="IQF24" s="204"/>
      <c r="IQG24" s="204"/>
      <c r="IQH24" s="204"/>
      <c r="IQI24" s="204"/>
      <c r="IQJ24" s="204"/>
      <c r="IQK24" s="204"/>
      <c r="IQL24" s="204"/>
      <c r="IQM24" s="204"/>
      <c r="IQN24" s="204"/>
      <c r="IQO24" s="204"/>
      <c r="IQP24" s="204"/>
      <c r="IQQ24" s="204"/>
      <c r="IQR24" s="204"/>
      <c r="IQS24" s="204"/>
      <c r="IQT24" s="204"/>
      <c r="IQU24" s="204"/>
      <c r="IQV24" s="204"/>
      <c r="IQW24" s="204"/>
      <c r="IQX24" s="204"/>
      <c r="IQY24" s="204"/>
      <c r="IQZ24" s="204"/>
      <c r="IRA24" s="204"/>
      <c r="IRB24" s="204"/>
      <c r="IRC24" s="204"/>
      <c r="IRD24" s="204"/>
      <c r="IRE24" s="204"/>
      <c r="IRF24" s="204"/>
      <c r="IRG24" s="204"/>
      <c r="IRH24" s="204"/>
      <c r="IRI24" s="204"/>
      <c r="IRJ24" s="204"/>
      <c r="IRK24" s="204"/>
      <c r="IRL24" s="204"/>
      <c r="IRM24" s="204"/>
      <c r="IRN24" s="204"/>
      <c r="IRO24" s="204"/>
      <c r="IRP24" s="204"/>
      <c r="IRQ24" s="204"/>
      <c r="IRR24" s="204"/>
      <c r="IRS24" s="204"/>
      <c r="IRT24" s="204"/>
      <c r="IRU24" s="204"/>
      <c r="IRV24" s="204"/>
      <c r="IRW24" s="204"/>
      <c r="IRX24" s="204"/>
      <c r="IRY24" s="204"/>
      <c r="IRZ24" s="204"/>
      <c r="ISA24" s="204"/>
      <c r="ISB24" s="204"/>
      <c r="ISC24" s="204"/>
      <c r="ISD24" s="204"/>
      <c r="ISE24" s="204"/>
      <c r="ISF24" s="204"/>
      <c r="ISG24" s="204"/>
      <c r="ISH24" s="204"/>
      <c r="ISI24" s="204"/>
      <c r="ISJ24" s="204"/>
      <c r="ISK24" s="204"/>
      <c r="ISL24" s="204"/>
      <c r="ISM24" s="204"/>
      <c r="ISN24" s="204"/>
      <c r="ISO24" s="204"/>
      <c r="ISP24" s="204"/>
      <c r="ISQ24" s="204"/>
      <c r="ISR24" s="204"/>
      <c r="ISS24" s="204"/>
      <c r="IST24" s="204"/>
      <c r="ISU24" s="204"/>
      <c r="ISV24" s="204"/>
      <c r="ISW24" s="204"/>
      <c r="ISX24" s="204"/>
      <c r="ISY24" s="204"/>
      <c r="ISZ24" s="204"/>
      <c r="ITA24" s="204"/>
      <c r="ITB24" s="204"/>
      <c r="ITC24" s="204"/>
      <c r="ITD24" s="204"/>
      <c r="ITE24" s="204"/>
      <c r="ITF24" s="204"/>
      <c r="ITG24" s="204"/>
      <c r="ITH24" s="204"/>
      <c r="ITI24" s="204"/>
      <c r="ITJ24" s="204"/>
      <c r="ITK24" s="204"/>
      <c r="ITL24" s="204"/>
      <c r="ITM24" s="204"/>
      <c r="ITN24" s="204"/>
      <c r="ITO24" s="204"/>
      <c r="ITP24" s="204"/>
      <c r="ITQ24" s="204"/>
      <c r="ITR24" s="204"/>
      <c r="ITS24" s="204"/>
      <c r="ITT24" s="204"/>
      <c r="ITU24" s="204"/>
      <c r="ITV24" s="204"/>
      <c r="ITW24" s="204"/>
      <c r="ITX24" s="204"/>
      <c r="ITY24" s="204"/>
      <c r="ITZ24" s="204"/>
      <c r="IUA24" s="204"/>
      <c r="IUB24" s="204"/>
      <c r="IUC24" s="204"/>
      <c r="IUD24" s="204"/>
      <c r="IUE24" s="204"/>
      <c r="IUF24" s="204"/>
      <c r="IUG24" s="204"/>
      <c r="IUH24" s="204"/>
      <c r="IUI24" s="204"/>
      <c r="IUJ24" s="204"/>
      <c r="IUK24" s="204"/>
      <c r="IUL24" s="204"/>
      <c r="IUM24" s="204"/>
      <c r="IUN24" s="204"/>
      <c r="IUO24" s="204"/>
      <c r="IUP24" s="204"/>
      <c r="IUQ24" s="204"/>
      <c r="IUR24" s="204"/>
      <c r="IUS24" s="204"/>
      <c r="IUT24" s="204"/>
      <c r="IUU24" s="204"/>
      <c r="IUV24" s="204"/>
      <c r="IUW24" s="204"/>
      <c r="IUX24" s="204"/>
      <c r="IUY24" s="204"/>
      <c r="IUZ24" s="204"/>
      <c r="IVA24" s="204"/>
      <c r="IVB24" s="204"/>
      <c r="IVC24" s="204"/>
      <c r="IVD24" s="204"/>
      <c r="IVE24" s="204"/>
      <c r="IVF24" s="204"/>
      <c r="IVG24" s="204"/>
      <c r="IVH24" s="204"/>
      <c r="IVI24" s="204"/>
      <c r="IVJ24" s="204"/>
      <c r="IVK24" s="204"/>
      <c r="IVL24" s="204"/>
      <c r="IVM24" s="204"/>
      <c r="IVN24" s="204"/>
      <c r="IVO24" s="204"/>
      <c r="IVP24" s="204"/>
      <c r="IVQ24" s="204"/>
      <c r="IVR24" s="204"/>
      <c r="IVS24" s="204"/>
      <c r="IVT24" s="204"/>
      <c r="IVU24" s="204"/>
      <c r="IVV24" s="204"/>
      <c r="IVW24" s="204"/>
      <c r="IVX24" s="204"/>
      <c r="IVY24" s="204"/>
      <c r="IVZ24" s="204"/>
      <c r="IWA24" s="204"/>
      <c r="IWB24" s="204"/>
      <c r="IWC24" s="204"/>
      <c r="IWD24" s="204"/>
      <c r="IWE24" s="204"/>
      <c r="IWF24" s="204"/>
      <c r="IWG24" s="204"/>
      <c r="IWH24" s="204"/>
      <c r="IWI24" s="204"/>
      <c r="IWJ24" s="204"/>
      <c r="IWK24" s="204"/>
      <c r="IWL24" s="204"/>
      <c r="IWM24" s="204"/>
      <c r="IWN24" s="204"/>
      <c r="IWO24" s="204"/>
      <c r="IWP24" s="204"/>
      <c r="IWQ24" s="204"/>
      <c r="IWR24" s="204"/>
      <c r="IWS24" s="204"/>
      <c r="IWT24" s="204"/>
      <c r="IWU24" s="204"/>
      <c r="IWV24" s="204"/>
      <c r="IWW24" s="204"/>
      <c r="IWX24" s="204"/>
      <c r="IWY24" s="204"/>
      <c r="IWZ24" s="204"/>
      <c r="IXA24" s="204"/>
      <c r="IXB24" s="204"/>
      <c r="IXC24" s="204"/>
      <c r="IXD24" s="204"/>
      <c r="IXE24" s="204"/>
      <c r="IXF24" s="204"/>
      <c r="IXG24" s="204"/>
      <c r="IXH24" s="204"/>
      <c r="IXI24" s="204"/>
      <c r="IXJ24" s="204"/>
      <c r="IXK24" s="204"/>
      <c r="IXL24" s="204"/>
      <c r="IXM24" s="204"/>
      <c r="IXN24" s="204"/>
      <c r="IXO24" s="204"/>
      <c r="IXP24" s="204"/>
      <c r="IXQ24" s="204"/>
      <c r="IXR24" s="204"/>
      <c r="IXS24" s="204"/>
      <c r="IXT24" s="204"/>
      <c r="IXU24" s="204"/>
      <c r="IXV24" s="204"/>
      <c r="IXW24" s="204"/>
      <c r="IXX24" s="204"/>
      <c r="IXY24" s="204"/>
      <c r="IXZ24" s="204"/>
      <c r="IYA24" s="204"/>
      <c r="IYB24" s="204"/>
      <c r="IYC24" s="204"/>
      <c r="IYD24" s="204"/>
      <c r="IYE24" s="204"/>
      <c r="IYF24" s="204"/>
      <c r="IYG24" s="204"/>
      <c r="IYH24" s="204"/>
      <c r="IYI24" s="204"/>
      <c r="IYJ24" s="204"/>
      <c r="IYK24" s="204"/>
      <c r="IYL24" s="204"/>
      <c r="IYM24" s="204"/>
      <c r="IYN24" s="204"/>
      <c r="IYO24" s="204"/>
      <c r="IYP24" s="204"/>
      <c r="IYQ24" s="204"/>
      <c r="IYR24" s="204"/>
      <c r="IYS24" s="204"/>
      <c r="IYT24" s="204"/>
      <c r="IYU24" s="204"/>
      <c r="IYV24" s="204"/>
      <c r="IYW24" s="204"/>
      <c r="IYX24" s="204"/>
      <c r="IYY24" s="204"/>
      <c r="IYZ24" s="204"/>
      <c r="IZA24" s="204"/>
      <c r="IZB24" s="204"/>
      <c r="IZC24" s="204"/>
      <c r="IZD24" s="204"/>
      <c r="IZE24" s="204"/>
      <c r="IZF24" s="204"/>
      <c r="IZG24" s="204"/>
      <c r="IZH24" s="204"/>
      <c r="IZI24" s="204"/>
      <c r="IZJ24" s="204"/>
      <c r="IZK24" s="204"/>
      <c r="IZL24" s="204"/>
      <c r="IZM24" s="204"/>
      <c r="IZN24" s="204"/>
      <c r="IZO24" s="204"/>
      <c r="IZP24" s="204"/>
      <c r="IZQ24" s="204"/>
      <c r="IZR24" s="204"/>
      <c r="IZS24" s="204"/>
      <c r="IZT24" s="204"/>
      <c r="IZU24" s="204"/>
      <c r="IZV24" s="204"/>
      <c r="IZW24" s="204"/>
      <c r="IZX24" s="204"/>
      <c r="IZY24" s="204"/>
      <c r="IZZ24" s="204"/>
      <c r="JAA24" s="204"/>
      <c r="JAB24" s="204"/>
      <c r="JAC24" s="204"/>
      <c r="JAD24" s="204"/>
      <c r="JAE24" s="204"/>
      <c r="JAF24" s="204"/>
      <c r="JAG24" s="204"/>
      <c r="JAH24" s="204"/>
      <c r="JAI24" s="204"/>
      <c r="JAJ24" s="204"/>
      <c r="JAK24" s="204"/>
      <c r="JAL24" s="204"/>
      <c r="JAM24" s="204"/>
      <c r="JAN24" s="204"/>
      <c r="JAO24" s="204"/>
      <c r="JAP24" s="204"/>
      <c r="JAQ24" s="204"/>
      <c r="JAR24" s="204"/>
      <c r="JAS24" s="204"/>
      <c r="JAT24" s="204"/>
      <c r="JAU24" s="204"/>
      <c r="JAV24" s="204"/>
      <c r="JAW24" s="204"/>
      <c r="JAX24" s="204"/>
      <c r="JAY24" s="204"/>
      <c r="JAZ24" s="204"/>
      <c r="JBA24" s="204"/>
      <c r="JBB24" s="204"/>
      <c r="JBC24" s="204"/>
      <c r="JBD24" s="204"/>
      <c r="JBE24" s="204"/>
      <c r="JBF24" s="204"/>
      <c r="JBG24" s="204"/>
      <c r="JBH24" s="204"/>
      <c r="JBI24" s="204"/>
      <c r="JBJ24" s="204"/>
      <c r="JBK24" s="204"/>
      <c r="JBL24" s="204"/>
      <c r="JBM24" s="204"/>
      <c r="JBN24" s="204"/>
      <c r="JBO24" s="204"/>
      <c r="JBP24" s="204"/>
      <c r="JBQ24" s="204"/>
      <c r="JBR24" s="204"/>
      <c r="JBS24" s="204"/>
      <c r="JBT24" s="204"/>
      <c r="JBU24" s="204"/>
      <c r="JBV24" s="204"/>
      <c r="JBW24" s="204"/>
      <c r="JBX24" s="204"/>
      <c r="JBY24" s="204"/>
      <c r="JBZ24" s="204"/>
      <c r="JCA24" s="204"/>
      <c r="JCB24" s="204"/>
      <c r="JCC24" s="204"/>
      <c r="JCD24" s="204"/>
      <c r="JCE24" s="204"/>
      <c r="JCF24" s="204"/>
      <c r="JCG24" s="204"/>
      <c r="JCH24" s="204"/>
      <c r="JCI24" s="204"/>
      <c r="JCJ24" s="204"/>
      <c r="JCK24" s="204"/>
      <c r="JCL24" s="204"/>
      <c r="JCM24" s="204"/>
      <c r="JCN24" s="204"/>
      <c r="JCO24" s="204"/>
      <c r="JCP24" s="204"/>
      <c r="JCQ24" s="204"/>
      <c r="JCR24" s="204"/>
      <c r="JCS24" s="204"/>
      <c r="JCT24" s="204"/>
      <c r="JCU24" s="204"/>
      <c r="JCV24" s="204"/>
      <c r="JCW24" s="204"/>
      <c r="JCX24" s="204"/>
      <c r="JCY24" s="204"/>
      <c r="JCZ24" s="204"/>
      <c r="JDA24" s="204"/>
      <c r="JDB24" s="204"/>
      <c r="JDC24" s="204"/>
      <c r="JDD24" s="204"/>
      <c r="JDE24" s="204"/>
      <c r="JDF24" s="204"/>
      <c r="JDG24" s="204"/>
      <c r="JDH24" s="204"/>
      <c r="JDI24" s="204"/>
      <c r="JDJ24" s="204"/>
      <c r="JDK24" s="204"/>
      <c r="JDL24" s="204"/>
      <c r="JDM24" s="204"/>
      <c r="JDN24" s="204"/>
      <c r="JDO24" s="204"/>
      <c r="JDP24" s="204"/>
      <c r="JDQ24" s="204"/>
      <c r="JDR24" s="204"/>
      <c r="JDS24" s="204"/>
      <c r="JDT24" s="204"/>
      <c r="JDU24" s="204"/>
      <c r="JDV24" s="204"/>
      <c r="JDW24" s="204"/>
      <c r="JDX24" s="204"/>
      <c r="JDY24" s="204"/>
      <c r="JDZ24" s="204"/>
      <c r="JEA24" s="204"/>
      <c r="JEB24" s="204"/>
      <c r="JEC24" s="204"/>
      <c r="JED24" s="204"/>
      <c r="JEE24" s="204"/>
      <c r="JEF24" s="204"/>
      <c r="JEG24" s="204"/>
      <c r="JEH24" s="204"/>
      <c r="JEI24" s="204"/>
      <c r="JEJ24" s="204"/>
      <c r="JEK24" s="204"/>
      <c r="JEL24" s="204"/>
      <c r="JEM24" s="204"/>
      <c r="JEN24" s="204"/>
      <c r="JEO24" s="204"/>
      <c r="JEP24" s="204"/>
      <c r="JEQ24" s="204"/>
      <c r="JER24" s="204"/>
      <c r="JES24" s="204"/>
      <c r="JET24" s="204"/>
      <c r="JEU24" s="204"/>
      <c r="JEV24" s="204"/>
      <c r="JEW24" s="204"/>
      <c r="JEX24" s="204"/>
      <c r="JEY24" s="204"/>
      <c r="JEZ24" s="204"/>
      <c r="JFA24" s="204"/>
      <c r="JFB24" s="204"/>
      <c r="JFC24" s="204"/>
      <c r="JFD24" s="204"/>
      <c r="JFE24" s="204"/>
      <c r="JFF24" s="204"/>
      <c r="JFG24" s="204"/>
      <c r="JFH24" s="204"/>
      <c r="JFI24" s="204"/>
      <c r="JFJ24" s="204"/>
      <c r="JFK24" s="204"/>
      <c r="JFL24" s="204"/>
      <c r="JFM24" s="204"/>
      <c r="JFN24" s="204"/>
      <c r="JFO24" s="204"/>
      <c r="JFP24" s="204"/>
      <c r="JFQ24" s="204"/>
      <c r="JFR24" s="204"/>
      <c r="JFS24" s="204"/>
      <c r="JFT24" s="204"/>
      <c r="JFU24" s="204"/>
      <c r="JFV24" s="204"/>
      <c r="JFW24" s="204"/>
      <c r="JFX24" s="204"/>
      <c r="JFY24" s="204"/>
      <c r="JFZ24" s="204"/>
      <c r="JGA24" s="204"/>
      <c r="JGB24" s="204"/>
      <c r="JGC24" s="204"/>
      <c r="JGD24" s="204"/>
      <c r="JGE24" s="204"/>
      <c r="JGF24" s="204"/>
      <c r="JGG24" s="204"/>
      <c r="JGH24" s="204"/>
      <c r="JGI24" s="204"/>
      <c r="JGJ24" s="204"/>
      <c r="JGK24" s="204"/>
      <c r="JGL24" s="204"/>
      <c r="JGM24" s="204"/>
      <c r="JGN24" s="204"/>
      <c r="JGO24" s="204"/>
      <c r="JGP24" s="204"/>
      <c r="JGQ24" s="204"/>
      <c r="JGR24" s="204"/>
      <c r="JGS24" s="204"/>
      <c r="JGT24" s="204"/>
      <c r="JGU24" s="204"/>
      <c r="JGV24" s="204"/>
      <c r="JGW24" s="204"/>
      <c r="JGX24" s="204"/>
      <c r="JGY24" s="204"/>
      <c r="JGZ24" s="204"/>
      <c r="JHA24" s="204"/>
      <c r="JHB24" s="204"/>
      <c r="JHC24" s="204"/>
      <c r="JHD24" s="204"/>
      <c r="JHE24" s="204"/>
      <c r="JHF24" s="204"/>
      <c r="JHG24" s="204"/>
      <c r="JHH24" s="204"/>
      <c r="JHI24" s="204"/>
      <c r="JHJ24" s="204"/>
      <c r="JHK24" s="204"/>
      <c r="JHL24" s="204"/>
      <c r="JHM24" s="204"/>
      <c r="JHN24" s="204"/>
      <c r="JHO24" s="204"/>
      <c r="JHP24" s="204"/>
      <c r="JHQ24" s="204"/>
      <c r="JHR24" s="204"/>
      <c r="JHS24" s="204"/>
      <c r="JHT24" s="204"/>
      <c r="JHU24" s="204"/>
      <c r="JHV24" s="204"/>
      <c r="JHW24" s="204"/>
      <c r="JHX24" s="204"/>
      <c r="JHY24" s="204"/>
      <c r="JHZ24" s="204"/>
      <c r="JIA24" s="204"/>
      <c r="JIB24" s="204"/>
      <c r="JIC24" s="204"/>
      <c r="JID24" s="204"/>
      <c r="JIE24" s="204"/>
      <c r="JIF24" s="204"/>
      <c r="JIG24" s="204"/>
      <c r="JIH24" s="204"/>
      <c r="JII24" s="204"/>
      <c r="JIJ24" s="204"/>
      <c r="JIK24" s="204"/>
      <c r="JIL24" s="204"/>
      <c r="JIM24" s="204"/>
      <c r="JIN24" s="204"/>
      <c r="JIO24" s="204"/>
      <c r="JIP24" s="204"/>
      <c r="JIQ24" s="204"/>
      <c r="JIR24" s="204"/>
      <c r="JIS24" s="204"/>
      <c r="JIT24" s="204"/>
      <c r="JIU24" s="204"/>
      <c r="JIV24" s="204"/>
      <c r="JIW24" s="204"/>
      <c r="JIX24" s="204"/>
      <c r="JIY24" s="204"/>
      <c r="JIZ24" s="204"/>
      <c r="JJA24" s="204"/>
      <c r="JJB24" s="204"/>
      <c r="JJC24" s="204"/>
      <c r="JJD24" s="204"/>
      <c r="JJE24" s="204"/>
      <c r="JJF24" s="204"/>
      <c r="JJG24" s="204"/>
      <c r="JJH24" s="204"/>
      <c r="JJI24" s="204"/>
      <c r="JJJ24" s="204"/>
      <c r="JJK24" s="204"/>
      <c r="JJL24" s="204"/>
      <c r="JJM24" s="204"/>
      <c r="JJN24" s="204"/>
      <c r="JJO24" s="204"/>
      <c r="JJP24" s="204"/>
      <c r="JJQ24" s="204"/>
      <c r="JJR24" s="204"/>
      <c r="JJS24" s="204"/>
      <c r="JJT24" s="204"/>
      <c r="JJU24" s="204"/>
      <c r="JJV24" s="204"/>
      <c r="JJW24" s="204"/>
      <c r="JJX24" s="204"/>
      <c r="JJY24" s="204"/>
      <c r="JJZ24" s="204"/>
      <c r="JKA24" s="204"/>
      <c r="JKB24" s="204"/>
      <c r="JKC24" s="204"/>
      <c r="JKD24" s="204"/>
      <c r="JKE24" s="204"/>
      <c r="JKF24" s="204"/>
      <c r="JKG24" s="204"/>
      <c r="JKH24" s="204"/>
      <c r="JKI24" s="204"/>
      <c r="JKJ24" s="204"/>
      <c r="JKK24" s="204"/>
      <c r="JKL24" s="204"/>
      <c r="JKM24" s="204"/>
      <c r="JKN24" s="204"/>
      <c r="JKO24" s="204"/>
      <c r="JKP24" s="204"/>
      <c r="JKQ24" s="204"/>
      <c r="JKR24" s="204"/>
      <c r="JKS24" s="204"/>
      <c r="JKT24" s="204"/>
      <c r="JKU24" s="204"/>
      <c r="JKV24" s="204"/>
      <c r="JKW24" s="204"/>
      <c r="JKX24" s="204"/>
      <c r="JKY24" s="204"/>
      <c r="JKZ24" s="204"/>
      <c r="JLA24" s="204"/>
      <c r="JLB24" s="204"/>
      <c r="JLC24" s="204"/>
      <c r="JLD24" s="204"/>
      <c r="JLE24" s="204"/>
      <c r="JLF24" s="204"/>
      <c r="JLG24" s="204"/>
      <c r="JLH24" s="204"/>
      <c r="JLI24" s="204"/>
      <c r="JLJ24" s="204"/>
      <c r="JLK24" s="204"/>
      <c r="JLL24" s="204"/>
      <c r="JLM24" s="204"/>
      <c r="JLN24" s="204"/>
      <c r="JLO24" s="204"/>
      <c r="JLP24" s="204"/>
      <c r="JLQ24" s="204"/>
      <c r="JLR24" s="204"/>
      <c r="JLS24" s="204"/>
      <c r="JLT24" s="204"/>
      <c r="JLU24" s="204"/>
      <c r="JLV24" s="204"/>
      <c r="JLW24" s="204"/>
      <c r="JLX24" s="204"/>
      <c r="JLY24" s="204"/>
      <c r="JLZ24" s="204"/>
      <c r="JMA24" s="204"/>
      <c r="JMB24" s="204"/>
      <c r="JMC24" s="204"/>
      <c r="JMD24" s="204"/>
      <c r="JME24" s="204"/>
      <c r="JMF24" s="204"/>
      <c r="JMG24" s="204"/>
      <c r="JMH24" s="204"/>
      <c r="JMI24" s="204"/>
      <c r="JMJ24" s="204"/>
      <c r="JMK24" s="204"/>
      <c r="JML24" s="204"/>
      <c r="JMM24" s="204"/>
      <c r="JMN24" s="204"/>
      <c r="JMO24" s="204"/>
      <c r="JMP24" s="204"/>
      <c r="JMQ24" s="204"/>
      <c r="JMR24" s="204"/>
      <c r="JMS24" s="204"/>
      <c r="JMT24" s="204"/>
      <c r="JMU24" s="204"/>
      <c r="JMV24" s="204"/>
      <c r="JMW24" s="204"/>
      <c r="JMX24" s="204"/>
      <c r="JMY24" s="204"/>
      <c r="JMZ24" s="204"/>
      <c r="JNA24" s="204"/>
      <c r="JNB24" s="204"/>
      <c r="JNC24" s="204"/>
      <c r="JND24" s="204"/>
      <c r="JNE24" s="204"/>
      <c r="JNF24" s="204"/>
      <c r="JNG24" s="204"/>
      <c r="JNH24" s="204"/>
      <c r="JNI24" s="204"/>
      <c r="JNJ24" s="204"/>
      <c r="JNK24" s="204"/>
      <c r="JNL24" s="204"/>
      <c r="JNM24" s="204"/>
      <c r="JNN24" s="204"/>
      <c r="JNO24" s="204"/>
      <c r="JNP24" s="204"/>
      <c r="JNQ24" s="204"/>
      <c r="JNR24" s="204"/>
      <c r="JNS24" s="204"/>
      <c r="JNT24" s="204"/>
      <c r="JNU24" s="204"/>
      <c r="JNV24" s="204"/>
      <c r="JNW24" s="204"/>
      <c r="JNX24" s="204"/>
      <c r="JNY24" s="204"/>
      <c r="JNZ24" s="204"/>
      <c r="JOA24" s="204"/>
      <c r="JOB24" s="204"/>
      <c r="JOC24" s="204"/>
      <c r="JOD24" s="204"/>
      <c r="JOE24" s="204"/>
      <c r="JOF24" s="204"/>
      <c r="JOG24" s="204"/>
      <c r="JOH24" s="204"/>
      <c r="JOI24" s="204"/>
      <c r="JOJ24" s="204"/>
      <c r="JOK24" s="204"/>
      <c r="JOL24" s="204"/>
      <c r="JOM24" s="204"/>
      <c r="JON24" s="204"/>
      <c r="JOO24" s="204"/>
      <c r="JOP24" s="204"/>
      <c r="JOQ24" s="204"/>
      <c r="JOR24" s="204"/>
      <c r="JOS24" s="204"/>
      <c r="JOT24" s="204"/>
      <c r="JOU24" s="204"/>
      <c r="JOV24" s="204"/>
      <c r="JOW24" s="204"/>
      <c r="JOX24" s="204"/>
      <c r="JOY24" s="204"/>
      <c r="JOZ24" s="204"/>
      <c r="JPA24" s="204"/>
      <c r="JPB24" s="204"/>
      <c r="JPC24" s="204"/>
      <c r="JPD24" s="204"/>
      <c r="JPE24" s="204"/>
      <c r="JPF24" s="204"/>
      <c r="JPG24" s="204"/>
      <c r="JPH24" s="204"/>
      <c r="JPI24" s="204"/>
      <c r="JPJ24" s="204"/>
      <c r="JPK24" s="204"/>
      <c r="JPL24" s="204"/>
      <c r="JPM24" s="204"/>
      <c r="JPN24" s="204"/>
      <c r="JPO24" s="204"/>
      <c r="JPP24" s="204"/>
      <c r="JPQ24" s="204"/>
      <c r="JPR24" s="204"/>
      <c r="JPS24" s="204"/>
      <c r="JPT24" s="204"/>
      <c r="JPU24" s="204"/>
      <c r="JPV24" s="204"/>
      <c r="JPW24" s="204"/>
      <c r="JPX24" s="204"/>
      <c r="JPY24" s="204"/>
      <c r="JPZ24" s="204"/>
      <c r="JQA24" s="204"/>
      <c r="JQB24" s="204"/>
      <c r="JQC24" s="204"/>
      <c r="JQD24" s="204"/>
      <c r="JQE24" s="204"/>
      <c r="JQF24" s="204"/>
      <c r="JQG24" s="204"/>
      <c r="JQH24" s="204"/>
      <c r="JQI24" s="204"/>
      <c r="JQJ24" s="204"/>
      <c r="JQK24" s="204"/>
      <c r="JQL24" s="204"/>
      <c r="JQM24" s="204"/>
      <c r="JQN24" s="204"/>
      <c r="JQO24" s="204"/>
      <c r="JQP24" s="204"/>
      <c r="JQQ24" s="204"/>
      <c r="JQR24" s="204"/>
      <c r="JQS24" s="204"/>
      <c r="JQT24" s="204"/>
      <c r="JQU24" s="204"/>
      <c r="JQV24" s="204"/>
      <c r="JQW24" s="204"/>
      <c r="JQX24" s="204"/>
      <c r="JQY24" s="204"/>
      <c r="JQZ24" s="204"/>
      <c r="JRA24" s="204"/>
      <c r="JRB24" s="204"/>
      <c r="JRC24" s="204"/>
      <c r="JRD24" s="204"/>
      <c r="JRE24" s="204"/>
      <c r="JRF24" s="204"/>
      <c r="JRG24" s="204"/>
      <c r="JRH24" s="204"/>
      <c r="JRI24" s="204"/>
      <c r="JRJ24" s="204"/>
      <c r="JRK24" s="204"/>
      <c r="JRL24" s="204"/>
      <c r="JRM24" s="204"/>
      <c r="JRN24" s="204"/>
      <c r="JRO24" s="204"/>
      <c r="JRP24" s="204"/>
      <c r="JRQ24" s="204"/>
      <c r="JRR24" s="204"/>
      <c r="JRS24" s="204"/>
      <c r="JRT24" s="204"/>
      <c r="JRU24" s="204"/>
      <c r="JRV24" s="204"/>
      <c r="JRW24" s="204"/>
      <c r="JRX24" s="204"/>
      <c r="JRY24" s="204"/>
      <c r="JRZ24" s="204"/>
      <c r="JSA24" s="204"/>
      <c r="JSB24" s="204"/>
      <c r="JSC24" s="204"/>
      <c r="JSD24" s="204"/>
      <c r="JSE24" s="204"/>
      <c r="JSF24" s="204"/>
      <c r="JSG24" s="204"/>
      <c r="JSH24" s="204"/>
      <c r="JSI24" s="204"/>
      <c r="JSJ24" s="204"/>
      <c r="JSK24" s="204"/>
      <c r="JSL24" s="204"/>
      <c r="JSM24" s="204"/>
      <c r="JSN24" s="204"/>
      <c r="JSO24" s="204"/>
      <c r="JSP24" s="204"/>
      <c r="JSQ24" s="204"/>
      <c r="JSR24" s="204"/>
      <c r="JSS24" s="204"/>
      <c r="JST24" s="204"/>
      <c r="JSU24" s="204"/>
      <c r="JSV24" s="204"/>
      <c r="JSW24" s="204"/>
      <c r="JSX24" s="204"/>
      <c r="JSY24" s="204"/>
      <c r="JSZ24" s="204"/>
      <c r="JTA24" s="204"/>
      <c r="JTB24" s="204"/>
      <c r="JTC24" s="204"/>
      <c r="JTD24" s="204"/>
      <c r="JTE24" s="204"/>
      <c r="JTF24" s="204"/>
      <c r="JTG24" s="204"/>
      <c r="JTH24" s="204"/>
      <c r="JTI24" s="204"/>
      <c r="JTJ24" s="204"/>
      <c r="JTK24" s="204"/>
      <c r="JTL24" s="204"/>
      <c r="JTM24" s="204"/>
      <c r="JTN24" s="204"/>
      <c r="JTO24" s="204"/>
      <c r="JTP24" s="204"/>
      <c r="JTQ24" s="204"/>
      <c r="JTR24" s="204"/>
      <c r="JTS24" s="204"/>
      <c r="JTT24" s="204"/>
      <c r="JTU24" s="204"/>
      <c r="JTV24" s="204"/>
      <c r="JTW24" s="204"/>
      <c r="JTX24" s="204"/>
      <c r="JTY24" s="204"/>
      <c r="JTZ24" s="204"/>
      <c r="JUA24" s="204"/>
      <c r="JUB24" s="204"/>
      <c r="JUC24" s="204"/>
      <c r="JUD24" s="204"/>
      <c r="JUE24" s="204"/>
      <c r="JUF24" s="204"/>
      <c r="JUG24" s="204"/>
      <c r="JUH24" s="204"/>
      <c r="JUI24" s="204"/>
      <c r="JUJ24" s="204"/>
      <c r="JUK24" s="204"/>
      <c r="JUL24" s="204"/>
      <c r="JUM24" s="204"/>
      <c r="JUN24" s="204"/>
      <c r="JUO24" s="204"/>
      <c r="JUP24" s="204"/>
      <c r="JUQ24" s="204"/>
      <c r="JUR24" s="204"/>
      <c r="JUS24" s="204"/>
      <c r="JUT24" s="204"/>
      <c r="JUU24" s="204"/>
      <c r="JUV24" s="204"/>
      <c r="JUW24" s="204"/>
      <c r="JUX24" s="204"/>
      <c r="JUY24" s="204"/>
      <c r="JUZ24" s="204"/>
      <c r="JVA24" s="204"/>
      <c r="JVB24" s="204"/>
      <c r="JVC24" s="204"/>
      <c r="JVD24" s="204"/>
      <c r="JVE24" s="204"/>
      <c r="JVF24" s="204"/>
      <c r="JVG24" s="204"/>
      <c r="JVH24" s="204"/>
      <c r="JVI24" s="204"/>
      <c r="JVJ24" s="204"/>
      <c r="JVK24" s="204"/>
      <c r="JVL24" s="204"/>
      <c r="JVM24" s="204"/>
      <c r="JVN24" s="204"/>
      <c r="JVO24" s="204"/>
      <c r="JVP24" s="204"/>
      <c r="JVQ24" s="204"/>
      <c r="JVR24" s="204"/>
      <c r="JVS24" s="204"/>
      <c r="JVT24" s="204"/>
      <c r="JVU24" s="204"/>
      <c r="JVV24" s="204"/>
      <c r="JVW24" s="204"/>
      <c r="JVX24" s="204"/>
      <c r="JVY24" s="204"/>
      <c r="JVZ24" s="204"/>
      <c r="JWA24" s="204"/>
      <c r="JWB24" s="204"/>
      <c r="JWC24" s="204"/>
      <c r="JWD24" s="204"/>
      <c r="JWE24" s="204"/>
      <c r="JWF24" s="204"/>
      <c r="JWG24" s="204"/>
      <c r="JWH24" s="204"/>
      <c r="JWI24" s="204"/>
      <c r="JWJ24" s="204"/>
      <c r="JWK24" s="204"/>
      <c r="JWL24" s="204"/>
      <c r="JWM24" s="204"/>
      <c r="JWN24" s="204"/>
      <c r="JWO24" s="204"/>
      <c r="JWP24" s="204"/>
      <c r="JWQ24" s="204"/>
      <c r="JWR24" s="204"/>
      <c r="JWS24" s="204"/>
      <c r="JWT24" s="204"/>
      <c r="JWU24" s="204"/>
      <c r="JWV24" s="204"/>
      <c r="JWW24" s="204"/>
      <c r="JWX24" s="204"/>
      <c r="JWY24" s="204"/>
      <c r="JWZ24" s="204"/>
      <c r="JXA24" s="204"/>
      <c r="JXB24" s="204"/>
      <c r="JXC24" s="204"/>
      <c r="JXD24" s="204"/>
      <c r="JXE24" s="204"/>
      <c r="JXF24" s="204"/>
      <c r="JXG24" s="204"/>
      <c r="JXH24" s="204"/>
      <c r="JXI24" s="204"/>
      <c r="JXJ24" s="204"/>
      <c r="JXK24" s="204"/>
      <c r="JXL24" s="204"/>
      <c r="JXM24" s="204"/>
      <c r="JXN24" s="204"/>
      <c r="JXO24" s="204"/>
      <c r="JXP24" s="204"/>
      <c r="JXQ24" s="204"/>
      <c r="JXR24" s="204"/>
      <c r="JXS24" s="204"/>
      <c r="JXT24" s="204"/>
      <c r="JXU24" s="204"/>
      <c r="JXV24" s="204"/>
      <c r="JXW24" s="204"/>
      <c r="JXX24" s="204"/>
      <c r="JXY24" s="204"/>
      <c r="JXZ24" s="204"/>
      <c r="JYA24" s="204"/>
      <c r="JYB24" s="204"/>
      <c r="JYC24" s="204"/>
      <c r="JYD24" s="204"/>
      <c r="JYE24" s="204"/>
      <c r="JYF24" s="204"/>
      <c r="JYG24" s="204"/>
      <c r="JYH24" s="204"/>
      <c r="JYI24" s="204"/>
      <c r="JYJ24" s="204"/>
      <c r="JYK24" s="204"/>
      <c r="JYL24" s="204"/>
      <c r="JYM24" s="204"/>
      <c r="JYN24" s="204"/>
      <c r="JYO24" s="204"/>
      <c r="JYP24" s="204"/>
      <c r="JYQ24" s="204"/>
      <c r="JYR24" s="204"/>
      <c r="JYS24" s="204"/>
      <c r="JYT24" s="204"/>
      <c r="JYU24" s="204"/>
      <c r="JYV24" s="204"/>
      <c r="JYW24" s="204"/>
      <c r="JYX24" s="204"/>
      <c r="JYY24" s="204"/>
      <c r="JYZ24" s="204"/>
      <c r="JZA24" s="204"/>
      <c r="JZB24" s="204"/>
      <c r="JZC24" s="204"/>
      <c r="JZD24" s="204"/>
      <c r="JZE24" s="204"/>
      <c r="JZF24" s="204"/>
      <c r="JZG24" s="204"/>
      <c r="JZH24" s="204"/>
      <c r="JZI24" s="204"/>
      <c r="JZJ24" s="204"/>
      <c r="JZK24" s="204"/>
      <c r="JZL24" s="204"/>
      <c r="JZM24" s="204"/>
      <c r="JZN24" s="204"/>
      <c r="JZO24" s="204"/>
      <c r="JZP24" s="204"/>
      <c r="JZQ24" s="204"/>
      <c r="JZR24" s="204"/>
      <c r="JZS24" s="204"/>
      <c r="JZT24" s="204"/>
      <c r="JZU24" s="204"/>
      <c r="JZV24" s="204"/>
      <c r="JZW24" s="204"/>
      <c r="JZX24" s="204"/>
      <c r="JZY24" s="204"/>
      <c r="JZZ24" s="204"/>
      <c r="KAA24" s="204"/>
      <c r="KAB24" s="204"/>
      <c r="KAC24" s="204"/>
      <c r="KAD24" s="204"/>
      <c r="KAE24" s="204"/>
      <c r="KAF24" s="204"/>
      <c r="KAG24" s="204"/>
      <c r="KAH24" s="204"/>
      <c r="KAI24" s="204"/>
      <c r="KAJ24" s="204"/>
      <c r="KAK24" s="204"/>
      <c r="KAL24" s="204"/>
      <c r="KAM24" s="204"/>
      <c r="KAN24" s="204"/>
      <c r="KAO24" s="204"/>
      <c r="KAP24" s="204"/>
      <c r="KAQ24" s="204"/>
      <c r="KAR24" s="204"/>
      <c r="KAS24" s="204"/>
      <c r="KAT24" s="204"/>
      <c r="KAU24" s="204"/>
      <c r="KAV24" s="204"/>
      <c r="KAW24" s="204"/>
      <c r="KAX24" s="204"/>
      <c r="KAY24" s="204"/>
      <c r="KAZ24" s="204"/>
      <c r="KBA24" s="204"/>
      <c r="KBB24" s="204"/>
      <c r="KBC24" s="204"/>
      <c r="KBD24" s="204"/>
      <c r="KBE24" s="204"/>
      <c r="KBF24" s="204"/>
      <c r="KBG24" s="204"/>
      <c r="KBH24" s="204"/>
      <c r="KBI24" s="204"/>
      <c r="KBJ24" s="204"/>
      <c r="KBK24" s="204"/>
      <c r="KBL24" s="204"/>
      <c r="KBM24" s="204"/>
      <c r="KBN24" s="204"/>
      <c r="KBO24" s="204"/>
      <c r="KBP24" s="204"/>
      <c r="KBQ24" s="204"/>
      <c r="KBR24" s="204"/>
      <c r="KBS24" s="204"/>
      <c r="KBT24" s="204"/>
      <c r="KBU24" s="204"/>
      <c r="KBV24" s="204"/>
      <c r="KBW24" s="204"/>
      <c r="KBX24" s="204"/>
      <c r="KBY24" s="204"/>
      <c r="KBZ24" s="204"/>
      <c r="KCA24" s="204"/>
      <c r="KCB24" s="204"/>
      <c r="KCC24" s="204"/>
      <c r="KCD24" s="204"/>
      <c r="KCE24" s="204"/>
      <c r="KCF24" s="204"/>
      <c r="KCG24" s="204"/>
      <c r="KCH24" s="204"/>
      <c r="KCI24" s="204"/>
      <c r="KCJ24" s="204"/>
      <c r="KCK24" s="204"/>
      <c r="KCL24" s="204"/>
      <c r="KCM24" s="204"/>
      <c r="KCN24" s="204"/>
      <c r="KCO24" s="204"/>
      <c r="KCP24" s="204"/>
      <c r="KCQ24" s="204"/>
      <c r="KCR24" s="204"/>
      <c r="KCS24" s="204"/>
      <c r="KCT24" s="204"/>
      <c r="KCU24" s="204"/>
      <c r="KCV24" s="204"/>
      <c r="KCW24" s="204"/>
      <c r="KCX24" s="204"/>
      <c r="KCY24" s="204"/>
      <c r="KCZ24" s="204"/>
      <c r="KDA24" s="204"/>
      <c r="KDB24" s="204"/>
      <c r="KDC24" s="204"/>
      <c r="KDD24" s="204"/>
      <c r="KDE24" s="204"/>
      <c r="KDF24" s="204"/>
      <c r="KDG24" s="204"/>
      <c r="KDH24" s="204"/>
      <c r="KDI24" s="204"/>
      <c r="KDJ24" s="204"/>
      <c r="KDK24" s="204"/>
      <c r="KDL24" s="204"/>
      <c r="KDM24" s="204"/>
      <c r="KDN24" s="204"/>
      <c r="KDO24" s="204"/>
      <c r="KDP24" s="204"/>
      <c r="KDQ24" s="204"/>
      <c r="KDR24" s="204"/>
      <c r="KDS24" s="204"/>
      <c r="KDT24" s="204"/>
      <c r="KDU24" s="204"/>
      <c r="KDV24" s="204"/>
      <c r="KDW24" s="204"/>
      <c r="KDX24" s="204"/>
      <c r="KDY24" s="204"/>
      <c r="KDZ24" s="204"/>
      <c r="KEA24" s="204"/>
      <c r="KEB24" s="204"/>
      <c r="KEC24" s="204"/>
      <c r="KED24" s="204"/>
      <c r="KEE24" s="204"/>
      <c r="KEF24" s="204"/>
      <c r="KEG24" s="204"/>
      <c r="KEH24" s="204"/>
      <c r="KEI24" s="204"/>
      <c r="KEJ24" s="204"/>
      <c r="KEK24" s="204"/>
      <c r="KEL24" s="204"/>
      <c r="KEM24" s="204"/>
      <c r="KEN24" s="204"/>
      <c r="KEO24" s="204"/>
      <c r="KEP24" s="204"/>
      <c r="KEQ24" s="204"/>
      <c r="KER24" s="204"/>
      <c r="KES24" s="204"/>
      <c r="KET24" s="204"/>
      <c r="KEU24" s="204"/>
      <c r="KEV24" s="204"/>
      <c r="KEW24" s="204"/>
      <c r="KEX24" s="204"/>
      <c r="KEY24" s="204"/>
      <c r="KEZ24" s="204"/>
      <c r="KFA24" s="204"/>
      <c r="KFB24" s="204"/>
      <c r="KFC24" s="204"/>
      <c r="KFD24" s="204"/>
      <c r="KFE24" s="204"/>
      <c r="KFF24" s="204"/>
      <c r="KFG24" s="204"/>
      <c r="KFH24" s="204"/>
      <c r="KFI24" s="204"/>
      <c r="KFJ24" s="204"/>
      <c r="KFK24" s="204"/>
      <c r="KFL24" s="204"/>
      <c r="KFM24" s="204"/>
      <c r="KFN24" s="204"/>
      <c r="KFO24" s="204"/>
      <c r="KFP24" s="204"/>
      <c r="KFQ24" s="204"/>
      <c r="KFR24" s="204"/>
      <c r="KFS24" s="204"/>
      <c r="KFT24" s="204"/>
      <c r="KFU24" s="204"/>
      <c r="KFV24" s="204"/>
      <c r="KFW24" s="204"/>
      <c r="KFX24" s="204"/>
      <c r="KFY24" s="204"/>
      <c r="KFZ24" s="204"/>
      <c r="KGA24" s="204"/>
      <c r="KGB24" s="204"/>
      <c r="KGC24" s="204"/>
      <c r="KGD24" s="204"/>
      <c r="KGE24" s="204"/>
      <c r="KGF24" s="204"/>
      <c r="KGG24" s="204"/>
      <c r="KGH24" s="204"/>
      <c r="KGI24" s="204"/>
      <c r="KGJ24" s="204"/>
      <c r="KGK24" s="204"/>
      <c r="KGL24" s="204"/>
      <c r="KGM24" s="204"/>
      <c r="KGN24" s="204"/>
      <c r="KGO24" s="204"/>
      <c r="KGP24" s="204"/>
      <c r="KGQ24" s="204"/>
      <c r="KGR24" s="204"/>
      <c r="KGS24" s="204"/>
      <c r="KGT24" s="204"/>
      <c r="KGU24" s="204"/>
      <c r="KGV24" s="204"/>
      <c r="KGW24" s="204"/>
      <c r="KGX24" s="204"/>
      <c r="KGY24" s="204"/>
      <c r="KGZ24" s="204"/>
      <c r="KHA24" s="204"/>
      <c r="KHB24" s="204"/>
      <c r="KHC24" s="204"/>
      <c r="KHD24" s="204"/>
      <c r="KHE24" s="204"/>
      <c r="KHF24" s="204"/>
      <c r="KHG24" s="204"/>
      <c r="KHH24" s="204"/>
      <c r="KHI24" s="204"/>
      <c r="KHJ24" s="204"/>
      <c r="KHK24" s="204"/>
      <c r="KHL24" s="204"/>
      <c r="KHM24" s="204"/>
      <c r="KHN24" s="204"/>
      <c r="KHO24" s="204"/>
      <c r="KHP24" s="204"/>
      <c r="KHQ24" s="204"/>
      <c r="KHR24" s="204"/>
      <c r="KHS24" s="204"/>
      <c r="KHT24" s="204"/>
      <c r="KHU24" s="204"/>
      <c r="KHV24" s="204"/>
      <c r="KHW24" s="204"/>
      <c r="KHX24" s="204"/>
      <c r="KHY24" s="204"/>
      <c r="KHZ24" s="204"/>
      <c r="KIA24" s="204"/>
      <c r="KIB24" s="204"/>
      <c r="KIC24" s="204"/>
      <c r="KID24" s="204"/>
      <c r="KIE24" s="204"/>
      <c r="KIF24" s="204"/>
      <c r="KIG24" s="204"/>
      <c r="KIH24" s="204"/>
      <c r="KII24" s="204"/>
      <c r="KIJ24" s="204"/>
      <c r="KIK24" s="204"/>
      <c r="KIL24" s="204"/>
      <c r="KIM24" s="204"/>
      <c r="KIN24" s="204"/>
      <c r="KIO24" s="204"/>
      <c r="KIP24" s="204"/>
      <c r="KIQ24" s="204"/>
      <c r="KIR24" s="204"/>
      <c r="KIS24" s="204"/>
      <c r="KIT24" s="204"/>
      <c r="KIU24" s="204"/>
      <c r="KIV24" s="204"/>
      <c r="KIW24" s="204"/>
      <c r="KIX24" s="204"/>
      <c r="KIY24" s="204"/>
      <c r="KIZ24" s="204"/>
      <c r="KJA24" s="204"/>
      <c r="KJB24" s="204"/>
      <c r="KJC24" s="204"/>
      <c r="KJD24" s="204"/>
      <c r="KJE24" s="204"/>
      <c r="KJF24" s="204"/>
      <c r="KJG24" s="204"/>
      <c r="KJH24" s="204"/>
      <c r="KJI24" s="204"/>
      <c r="KJJ24" s="204"/>
      <c r="KJK24" s="204"/>
      <c r="KJL24" s="204"/>
      <c r="KJM24" s="204"/>
      <c r="KJN24" s="204"/>
      <c r="KJO24" s="204"/>
      <c r="KJP24" s="204"/>
      <c r="KJQ24" s="204"/>
      <c r="KJR24" s="204"/>
      <c r="KJS24" s="204"/>
      <c r="KJT24" s="204"/>
      <c r="KJU24" s="204"/>
      <c r="KJV24" s="204"/>
      <c r="KJW24" s="204"/>
      <c r="KJX24" s="204"/>
      <c r="KJY24" s="204"/>
      <c r="KJZ24" s="204"/>
      <c r="KKA24" s="204"/>
      <c r="KKB24" s="204"/>
      <c r="KKC24" s="204"/>
      <c r="KKD24" s="204"/>
      <c r="KKE24" s="204"/>
      <c r="KKF24" s="204"/>
      <c r="KKG24" s="204"/>
      <c r="KKH24" s="204"/>
      <c r="KKI24" s="204"/>
      <c r="KKJ24" s="204"/>
      <c r="KKK24" s="204"/>
      <c r="KKL24" s="204"/>
      <c r="KKM24" s="204"/>
      <c r="KKN24" s="204"/>
      <c r="KKO24" s="204"/>
      <c r="KKP24" s="204"/>
      <c r="KKQ24" s="204"/>
      <c r="KKR24" s="204"/>
      <c r="KKS24" s="204"/>
      <c r="KKT24" s="204"/>
      <c r="KKU24" s="204"/>
      <c r="KKV24" s="204"/>
      <c r="KKW24" s="204"/>
      <c r="KKX24" s="204"/>
      <c r="KKY24" s="204"/>
      <c r="KKZ24" s="204"/>
      <c r="KLA24" s="204"/>
      <c r="KLB24" s="204"/>
      <c r="KLC24" s="204"/>
      <c r="KLD24" s="204"/>
      <c r="KLE24" s="204"/>
      <c r="KLF24" s="204"/>
      <c r="KLG24" s="204"/>
      <c r="KLH24" s="204"/>
      <c r="KLI24" s="204"/>
      <c r="KLJ24" s="204"/>
      <c r="KLK24" s="204"/>
      <c r="KLL24" s="204"/>
      <c r="KLM24" s="204"/>
      <c r="KLN24" s="204"/>
      <c r="KLO24" s="204"/>
      <c r="KLP24" s="204"/>
      <c r="KLQ24" s="204"/>
      <c r="KLR24" s="204"/>
      <c r="KLS24" s="204"/>
      <c r="KLT24" s="204"/>
      <c r="KLU24" s="204"/>
      <c r="KLV24" s="204"/>
      <c r="KLW24" s="204"/>
      <c r="KLX24" s="204"/>
      <c r="KLY24" s="204"/>
      <c r="KLZ24" s="204"/>
      <c r="KMA24" s="204"/>
      <c r="KMB24" s="204"/>
      <c r="KMC24" s="204"/>
      <c r="KMD24" s="204"/>
      <c r="KME24" s="204"/>
      <c r="KMF24" s="204"/>
      <c r="KMG24" s="204"/>
      <c r="KMH24" s="204"/>
      <c r="KMI24" s="204"/>
      <c r="KMJ24" s="204"/>
      <c r="KMK24" s="204"/>
      <c r="KML24" s="204"/>
      <c r="KMM24" s="204"/>
      <c r="KMN24" s="204"/>
      <c r="KMO24" s="204"/>
      <c r="KMP24" s="204"/>
      <c r="KMQ24" s="204"/>
      <c r="KMR24" s="204"/>
      <c r="KMS24" s="204"/>
      <c r="KMT24" s="204"/>
      <c r="KMU24" s="204"/>
      <c r="KMV24" s="204"/>
      <c r="KMW24" s="204"/>
      <c r="KMX24" s="204"/>
      <c r="KMY24" s="204"/>
      <c r="KMZ24" s="204"/>
      <c r="KNA24" s="204"/>
      <c r="KNB24" s="204"/>
      <c r="KNC24" s="204"/>
      <c r="KND24" s="204"/>
      <c r="KNE24" s="204"/>
      <c r="KNF24" s="204"/>
      <c r="KNG24" s="204"/>
      <c r="KNH24" s="204"/>
      <c r="KNI24" s="204"/>
      <c r="KNJ24" s="204"/>
      <c r="KNK24" s="204"/>
      <c r="KNL24" s="204"/>
      <c r="KNM24" s="204"/>
      <c r="KNN24" s="204"/>
      <c r="KNO24" s="204"/>
      <c r="KNP24" s="204"/>
      <c r="KNQ24" s="204"/>
      <c r="KNR24" s="204"/>
      <c r="KNS24" s="204"/>
      <c r="KNT24" s="204"/>
      <c r="KNU24" s="204"/>
      <c r="KNV24" s="204"/>
      <c r="KNW24" s="204"/>
      <c r="KNX24" s="204"/>
      <c r="KNY24" s="204"/>
      <c r="KNZ24" s="204"/>
      <c r="KOA24" s="204"/>
      <c r="KOB24" s="204"/>
      <c r="KOC24" s="204"/>
      <c r="KOD24" s="204"/>
      <c r="KOE24" s="204"/>
      <c r="KOF24" s="204"/>
      <c r="KOG24" s="204"/>
      <c r="KOH24" s="204"/>
      <c r="KOI24" s="204"/>
      <c r="KOJ24" s="204"/>
      <c r="KOK24" s="204"/>
      <c r="KOL24" s="204"/>
      <c r="KOM24" s="204"/>
      <c r="KON24" s="204"/>
      <c r="KOO24" s="204"/>
      <c r="KOP24" s="204"/>
      <c r="KOQ24" s="204"/>
      <c r="KOR24" s="204"/>
      <c r="KOS24" s="204"/>
      <c r="KOT24" s="204"/>
      <c r="KOU24" s="204"/>
      <c r="KOV24" s="204"/>
      <c r="KOW24" s="204"/>
      <c r="KOX24" s="204"/>
      <c r="KOY24" s="204"/>
      <c r="KOZ24" s="204"/>
      <c r="KPA24" s="204"/>
      <c r="KPB24" s="204"/>
      <c r="KPC24" s="204"/>
      <c r="KPD24" s="204"/>
      <c r="KPE24" s="204"/>
      <c r="KPF24" s="204"/>
      <c r="KPG24" s="204"/>
      <c r="KPH24" s="204"/>
      <c r="KPI24" s="204"/>
      <c r="KPJ24" s="204"/>
      <c r="KPK24" s="204"/>
      <c r="KPL24" s="204"/>
      <c r="KPM24" s="204"/>
      <c r="KPN24" s="204"/>
      <c r="KPO24" s="204"/>
      <c r="KPP24" s="204"/>
      <c r="KPQ24" s="204"/>
      <c r="KPR24" s="204"/>
      <c r="KPS24" s="204"/>
      <c r="KPT24" s="204"/>
      <c r="KPU24" s="204"/>
      <c r="KPV24" s="204"/>
      <c r="KPW24" s="204"/>
      <c r="KPX24" s="204"/>
      <c r="KPY24" s="204"/>
      <c r="KPZ24" s="204"/>
      <c r="KQA24" s="204"/>
      <c r="KQB24" s="204"/>
      <c r="KQC24" s="204"/>
      <c r="KQD24" s="204"/>
      <c r="KQE24" s="204"/>
      <c r="KQF24" s="204"/>
      <c r="KQG24" s="204"/>
      <c r="KQH24" s="204"/>
      <c r="KQI24" s="204"/>
      <c r="KQJ24" s="204"/>
      <c r="KQK24" s="204"/>
      <c r="KQL24" s="204"/>
      <c r="KQM24" s="204"/>
      <c r="KQN24" s="204"/>
      <c r="KQO24" s="204"/>
      <c r="KQP24" s="204"/>
      <c r="KQQ24" s="204"/>
      <c r="KQR24" s="204"/>
      <c r="KQS24" s="204"/>
      <c r="KQT24" s="204"/>
      <c r="KQU24" s="204"/>
      <c r="KQV24" s="204"/>
      <c r="KQW24" s="204"/>
      <c r="KQX24" s="204"/>
      <c r="KQY24" s="204"/>
      <c r="KQZ24" s="204"/>
      <c r="KRA24" s="204"/>
      <c r="KRB24" s="204"/>
      <c r="KRC24" s="204"/>
      <c r="KRD24" s="204"/>
      <c r="KRE24" s="204"/>
      <c r="KRF24" s="204"/>
      <c r="KRG24" s="204"/>
      <c r="KRH24" s="204"/>
      <c r="KRI24" s="204"/>
      <c r="KRJ24" s="204"/>
      <c r="KRK24" s="204"/>
      <c r="KRL24" s="204"/>
      <c r="KRM24" s="204"/>
      <c r="KRN24" s="204"/>
      <c r="KRO24" s="204"/>
      <c r="KRP24" s="204"/>
      <c r="KRQ24" s="204"/>
      <c r="KRR24" s="204"/>
      <c r="KRS24" s="204"/>
      <c r="KRT24" s="204"/>
      <c r="KRU24" s="204"/>
      <c r="KRV24" s="204"/>
      <c r="KRW24" s="204"/>
      <c r="KRX24" s="204"/>
      <c r="KRY24" s="204"/>
      <c r="KRZ24" s="204"/>
      <c r="KSA24" s="204"/>
      <c r="KSB24" s="204"/>
      <c r="KSC24" s="204"/>
      <c r="KSD24" s="204"/>
      <c r="KSE24" s="204"/>
      <c r="KSF24" s="204"/>
      <c r="KSG24" s="204"/>
      <c r="KSH24" s="204"/>
      <c r="KSI24" s="204"/>
      <c r="KSJ24" s="204"/>
      <c r="KSK24" s="204"/>
      <c r="KSL24" s="204"/>
      <c r="KSM24" s="204"/>
      <c r="KSN24" s="204"/>
      <c r="KSO24" s="204"/>
      <c r="KSP24" s="204"/>
      <c r="KSQ24" s="204"/>
      <c r="KSR24" s="204"/>
      <c r="KSS24" s="204"/>
      <c r="KST24" s="204"/>
      <c r="KSU24" s="204"/>
      <c r="KSV24" s="204"/>
      <c r="KSW24" s="204"/>
      <c r="KSX24" s="204"/>
      <c r="KSY24" s="204"/>
      <c r="KSZ24" s="204"/>
      <c r="KTA24" s="204"/>
      <c r="KTB24" s="204"/>
      <c r="KTC24" s="204"/>
      <c r="KTD24" s="204"/>
      <c r="KTE24" s="204"/>
      <c r="KTF24" s="204"/>
      <c r="KTG24" s="204"/>
      <c r="KTH24" s="204"/>
      <c r="KTI24" s="204"/>
      <c r="KTJ24" s="204"/>
      <c r="KTK24" s="204"/>
      <c r="KTL24" s="204"/>
      <c r="KTM24" s="204"/>
      <c r="KTN24" s="204"/>
      <c r="KTO24" s="204"/>
      <c r="KTP24" s="204"/>
      <c r="KTQ24" s="204"/>
      <c r="KTR24" s="204"/>
      <c r="KTS24" s="204"/>
      <c r="KTT24" s="204"/>
      <c r="KTU24" s="204"/>
      <c r="KTV24" s="204"/>
      <c r="KTW24" s="204"/>
      <c r="KTX24" s="204"/>
      <c r="KTY24" s="204"/>
      <c r="KTZ24" s="204"/>
      <c r="KUA24" s="204"/>
      <c r="KUB24" s="204"/>
      <c r="KUC24" s="204"/>
      <c r="KUD24" s="204"/>
      <c r="KUE24" s="204"/>
      <c r="KUF24" s="204"/>
      <c r="KUG24" s="204"/>
      <c r="KUH24" s="204"/>
      <c r="KUI24" s="204"/>
      <c r="KUJ24" s="204"/>
      <c r="KUK24" s="204"/>
      <c r="KUL24" s="204"/>
      <c r="KUM24" s="204"/>
      <c r="KUN24" s="204"/>
      <c r="KUO24" s="204"/>
      <c r="KUP24" s="204"/>
      <c r="KUQ24" s="204"/>
      <c r="KUR24" s="204"/>
      <c r="KUS24" s="204"/>
      <c r="KUT24" s="204"/>
      <c r="KUU24" s="204"/>
      <c r="KUV24" s="204"/>
      <c r="KUW24" s="204"/>
      <c r="KUX24" s="204"/>
      <c r="KUY24" s="204"/>
      <c r="KUZ24" s="204"/>
      <c r="KVA24" s="204"/>
      <c r="KVB24" s="204"/>
      <c r="KVC24" s="204"/>
      <c r="KVD24" s="204"/>
      <c r="KVE24" s="204"/>
      <c r="KVF24" s="204"/>
      <c r="KVG24" s="204"/>
      <c r="KVH24" s="204"/>
      <c r="KVI24" s="204"/>
      <c r="KVJ24" s="204"/>
      <c r="KVK24" s="204"/>
      <c r="KVL24" s="204"/>
      <c r="KVM24" s="204"/>
      <c r="KVN24" s="204"/>
      <c r="KVO24" s="204"/>
      <c r="KVP24" s="204"/>
      <c r="KVQ24" s="204"/>
      <c r="KVR24" s="204"/>
      <c r="KVS24" s="204"/>
      <c r="KVT24" s="204"/>
      <c r="KVU24" s="204"/>
      <c r="KVV24" s="204"/>
      <c r="KVW24" s="204"/>
      <c r="KVX24" s="204"/>
      <c r="KVY24" s="204"/>
      <c r="KVZ24" s="204"/>
      <c r="KWA24" s="204"/>
      <c r="KWB24" s="204"/>
      <c r="KWC24" s="204"/>
      <c r="KWD24" s="204"/>
      <c r="KWE24" s="204"/>
      <c r="KWF24" s="204"/>
      <c r="KWG24" s="204"/>
      <c r="KWH24" s="204"/>
      <c r="KWI24" s="204"/>
      <c r="KWJ24" s="204"/>
      <c r="KWK24" s="204"/>
      <c r="KWL24" s="204"/>
      <c r="KWM24" s="204"/>
      <c r="KWN24" s="204"/>
      <c r="KWO24" s="204"/>
      <c r="KWP24" s="204"/>
      <c r="KWQ24" s="204"/>
      <c r="KWR24" s="204"/>
      <c r="KWS24" s="204"/>
      <c r="KWT24" s="204"/>
      <c r="KWU24" s="204"/>
      <c r="KWV24" s="204"/>
      <c r="KWW24" s="204"/>
      <c r="KWX24" s="204"/>
      <c r="KWY24" s="204"/>
      <c r="KWZ24" s="204"/>
      <c r="KXA24" s="204"/>
      <c r="KXB24" s="204"/>
      <c r="KXC24" s="204"/>
      <c r="KXD24" s="204"/>
      <c r="KXE24" s="204"/>
      <c r="KXF24" s="204"/>
      <c r="KXG24" s="204"/>
      <c r="KXH24" s="204"/>
      <c r="KXI24" s="204"/>
      <c r="KXJ24" s="204"/>
      <c r="KXK24" s="204"/>
      <c r="KXL24" s="204"/>
      <c r="KXM24" s="204"/>
      <c r="KXN24" s="204"/>
      <c r="KXO24" s="204"/>
      <c r="KXP24" s="204"/>
      <c r="KXQ24" s="204"/>
      <c r="KXR24" s="204"/>
      <c r="KXS24" s="204"/>
      <c r="KXT24" s="204"/>
      <c r="KXU24" s="204"/>
      <c r="KXV24" s="204"/>
      <c r="KXW24" s="204"/>
      <c r="KXX24" s="204"/>
      <c r="KXY24" s="204"/>
      <c r="KXZ24" s="204"/>
      <c r="KYA24" s="204"/>
      <c r="KYB24" s="204"/>
      <c r="KYC24" s="204"/>
      <c r="KYD24" s="204"/>
      <c r="KYE24" s="204"/>
      <c r="KYF24" s="204"/>
      <c r="KYG24" s="204"/>
      <c r="KYH24" s="204"/>
      <c r="KYI24" s="204"/>
      <c r="KYJ24" s="204"/>
      <c r="KYK24" s="204"/>
      <c r="KYL24" s="204"/>
      <c r="KYM24" s="204"/>
      <c r="KYN24" s="204"/>
      <c r="KYO24" s="204"/>
      <c r="KYP24" s="204"/>
      <c r="KYQ24" s="204"/>
      <c r="KYR24" s="204"/>
      <c r="KYS24" s="204"/>
      <c r="KYT24" s="204"/>
      <c r="KYU24" s="204"/>
      <c r="KYV24" s="204"/>
      <c r="KYW24" s="204"/>
      <c r="KYX24" s="204"/>
      <c r="KYY24" s="204"/>
      <c r="KYZ24" s="204"/>
      <c r="KZA24" s="204"/>
      <c r="KZB24" s="204"/>
      <c r="KZC24" s="204"/>
      <c r="KZD24" s="204"/>
      <c r="KZE24" s="204"/>
      <c r="KZF24" s="204"/>
      <c r="KZG24" s="204"/>
      <c r="KZH24" s="204"/>
      <c r="KZI24" s="204"/>
      <c r="KZJ24" s="204"/>
      <c r="KZK24" s="204"/>
      <c r="KZL24" s="204"/>
      <c r="KZM24" s="204"/>
      <c r="KZN24" s="204"/>
      <c r="KZO24" s="204"/>
      <c r="KZP24" s="204"/>
      <c r="KZQ24" s="204"/>
      <c r="KZR24" s="204"/>
      <c r="KZS24" s="204"/>
      <c r="KZT24" s="204"/>
      <c r="KZU24" s="204"/>
      <c r="KZV24" s="204"/>
      <c r="KZW24" s="204"/>
      <c r="KZX24" s="204"/>
      <c r="KZY24" s="204"/>
      <c r="KZZ24" s="204"/>
      <c r="LAA24" s="204"/>
      <c r="LAB24" s="204"/>
      <c r="LAC24" s="204"/>
      <c r="LAD24" s="204"/>
      <c r="LAE24" s="204"/>
      <c r="LAF24" s="204"/>
      <c r="LAG24" s="204"/>
      <c r="LAH24" s="204"/>
      <c r="LAI24" s="204"/>
      <c r="LAJ24" s="204"/>
      <c r="LAK24" s="204"/>
      <c r="LAL24" s="204"/>
      <c r="LAM24" s="204"/>
      <c r="LAN24" s="204"/>
      <c r="LAO24" s="204"/>
      <c r="LAP24" s="204"/>
      <c r="LAQ24" s="204"/>
      <c r="LAR24" s="204"/>
      <c r="LAS24" s="204"/>
      <c r="LAT24" s="204"/>
      <c r="LAU24" s="204"/>
      <c r="LAV24" s="204"/>
      <c r="LAW24" s="204"/>
      <c r="LAX24" s="204"/>
      <c r="LAY24" s="204"/>
      <c r="LAZ24" s="204"/>
      <c r="LBA24" s="204"/>
      <c r="LBB24" s="204"/>
      <c r="LBC24" s="204"/>
      <c r="LBD24" s="204"/>
      <c r="LBE24" s="204"/>
      <c r="LBF24" s="204"/>
      <c r="LBG24" s="204"/>
      <c r="LBH24" s="204"/>
      <c r="LBI24" s="204"/>
      <c r="LBJ24" s="204"/>
      <c r="LBK24" s="204"/>
      <c r="LBL24" s="204"/>
      <c r="LBM24" s="204"/>
      <c r="LBN24" s="204"/>
      <c r="LBO24" s="204"/>
      <c r="LBP24" s="204"/>
      <c r="LBQ24" s="204"/>
      <c r="LBR24" s="204"/>
      <c r="LBS24" s="204"/>
      <c r="LBT24" s="204"/>
      <c r="LBU24" s="204"/>
      <c r="LBV24" s="204"/>
      <c r="LBW24" s="204"/>
      <c r="LBX24" s="204"/>
      <c r="LBY24" s="204"/>
      <c r="LBZ24" s="204"/>
      <c r="LCA24" s="204"/>
      <c r="LCB24" s="204"/>
      <c r="LCC24" s="204"/>
      <c r="LCD24" s="204"/>
      <c r="LCE24" s="204"/>
      <c r="LCF24" s="204"/>
      <c r="LCG24" s="204"/>
      <c r="LCH24" s="204"/>
      <c r="LCI24" s="204"/>
      <c r="LCJ24" s="204"/>
      <c r="LCK24" s="204"/>
      <c r="LCL24" s="204"/>
      <c r="LCM24" s="204"/>
      <c r="LCN24" s="204"/>
      <c r="LCO24" s="204"/>
      <c r="LCP24" s="204"/>
      <c r="LCQ24" s="204"/>
      <c r="LCR24" s="204"/>
      <c r="LCS24" s="204"/>
      <c r="LCT24" s="204"/>
      <c r="LCU24" s="204"/>
      <c r="LCV24" s="204"/>
      <c r="LCW24" s="204"/>
      <c r="LCX24" s="204"/>
      <c r="LCY24" s="204"/>
      <c r="LCZ24" s="204"/>
      <c r="LDA24" s="204"/>
      <c r="LDB24" s="204"/>
      <c r="LDC24" s="204"/>
      <c r="LDD24" s="204"/>
      <c r="LDE24" s="204"/>
      <c r="LDF24" s="204"/>
      <c r="LDG24" s="204"/>
      <c r="LDH24" s="204"/>
      <c r="LDI24" s="204"/>
      <c r="LDJ24" s="204"/>
      <c r="LDK24" s="204"/>
      <c r="LDL24" s="204"/>
      <c r="LDM24" s="204"/>
      <c r="LDN24" s="204"/>
      <c r="LDO24" s="204"/>
      <c r="LDP24" s="204"/>
      <c r="LDQ24" s="204"/>
      <c r="LDR24" s="204"/>
      <c r="LDS24" s="204"/>
      <c r="LDT24" s="204"/>
      <c r="LDU24" s="204"/>
      <c r="LDV24" s="204"/>
      <c r="LDW24" s="204"/>
      <c r="LDX24" s="204"/>
      <c r="LDY24" s="204"/>
      <c r="LDZ24" s="204"/>
      <c r="LEA24" s="204"/>
      <c r="LEB24" s="204"/>
      <c r="LEC24" s="204"/>
      <c r="LED24" s="204"/>
      <c r="LEE24" s="204"/>
      <c r="LEF24" s="204"/>
      <c r="LEG24" s="204"/>
      <c r="LEH24" s="204"/>
      <c r="LEI24" s="204"/>
      <c r="LEJ24" s="204"/>
      <c r="LEK24" s="204"/>
      <c r="LEL24" s="204"/>
      <c r="LEM24" s="204"/>
      <c r="LEN24" s="204"/>
      <c r="LEO24" s="204"/>
      <c r="LEP24" s="204"/>
      <c r="LEQ24" s="204"/>
      <c r="LER24" s="204"/>
      <c r="LES24" s="204"/>
      <c r="LET24" s="204"/>
      <c r="LEU24" s="204"/>
      <c r="LEV24" s="204"/>
      <c r="LEW24" s="204"/>
      <c r="LEX24" s="204"/>
      <c r="LEY24" s="204"/>
      <c r="LEZ24" s="204"/>
      <c r="LFA24" s="204"/>
      <c r="LFB24" s="204"/>
      <c r="LFC24" s="204"/>
      <c r="LFD24" s="204"/>
      <c r="LFE24" s="204"/>
      <c r="LFF24" s="204"/>
      <c r="LFG24" s="204"/>
      <c r="LFH24" s="204"/>
      <c r="LFI24" s="204"/>
      <c r="LFJ24" s="204"/>
      <c r="LFK24" s="204"/>
      <c r="LFL24" s="204"/>
      <c r="LFM24" s="204"/>
      <c r="LFN24" s="204"/>
      <c r="LFO24" s="204"/>
      <c r="LFP24" s="204"/>
      <c r="LFQ24" s="204"/>
      <c r="LFR24" s="204"/>
      <c r="LFS24" s="204"/>
      <c r="LFT24" s="204"/>
      <c r="LFU24" s="204"/>
      <c r="LFV24" s="204"/>
      <c r="LFW24" s="204"/>
      <c r="LFX24" s="204"/>
      <c r="LFY24" s="204"/>
      <c r="LFZ24" s="204"/>
      <c r="LGA24" s="204"/>
      <c r="LGB24" s="204"/>
      <c r="LGC24" s="204"/>
      <c r="LGD24" s="204"/>
      <c r="LGE24" s="204"/>
      <c r="LGF24" s="204"/>
      <c r="LGG24" s="204"/>
      <c r="LGH24" s="204"/>
      <c r="LGI24" s="204"/>
      <c r="LGJ24" s="204"/>
      <c r="LGK24" s="204"/>
      <c r="LGL24" s="204"/>
      <c r="LGM24" s="204"/>
      <c r="LGN24" s="204"/>
      <c r="LGO24" s="204"/>
      <c r="LGP24" s="204"/>
      <c r="LGQ24" s="204"/>
      <c r="LGR24" s="204"/>
      <c r="LGS24" s="204"/>
      <c r="LGT24" s="204"/>
      <c r="LGU24" s="204"/>
      <c r="LGV24" s="204"/>
      <c r="LGW24" s="204"/>
      <c r="LGX24" s="204"/>
      <c r="LGY24" s="204"/>
      <c r="LGZ24" s="204"/>
      <c r="LHA24" s="204"/>
      <c r="LHB24" s="204"/>
      <c r="LHC24" s="204"/>
      <c r="LHD24" s="204"/>
      <c r="LHE24" s="204"/>
      <c r="LHF24" s="204"/>
      <c r="LHG24" s="204"/>
      <c r="LHH24" s="204"/>
      <c r="LHI24" s="204"/>
      <c r="LHJ24" s="204"/>
      <c r="LHK24" s="204"/>
      <c r="LHL24" s="204"/>
      <c r="LHM24" s="204"/>
      <c r="LHN24" s="204"/>
      <c r="LHO24" s="204"/>
      <c r="LHP24" s="204"/>
      <c r="LHQ24" s="204"/>
      <c r="LHR24" s="204"/>
      <c r="LHS24" s="204"/>
      <c r="LHT24" s="204"/>
      <c r="LHU24" s="204"/>
      <c r="LHV24" s="204"/>
      <c r="LHW24" s="204"/>
      <c r="LHX24" s="204"/>
      <c r="LHY24" s="204"/>
      <c r="LHZ24" s="204"/>
      <c r="LIA24" s="204"/>
      <c r="LIB24" s="204"/>
      <c r="LIC24" s="204"/>
      <c r="LID24" s="204"/>
      <c r="LIE24" s="204"/>
      <c r="LIF24" s="204"/>
      <c r="LIG24" s="204"/>
      <c r="LIH24" s="204"/>
      <c r="LII24" s="204"/>
      <c r="LIJ24" s="204"/>
      <c r="LIK24" s="204"/>
      <c r="LIL24" s="204"/>
      <c r="LIM24" s="204"/>
      <c r="LIN24" s="204"/>
      <c r="LIO24" s="204"/>
      <c r="LIP24" s="204"/>
      <c r="LIQ24" s="204"/>
      <c r="LIR24" s="204"/>
      <c r="LIS24" s="204"/>
      <c r="LIT24" s="204"/>
      <c r="LIU24" s="204"/>
      <c r="LIV24" s="204"/>
      <c r="LIW24" s="204"/>
      <c r="LIX24" s="204"/>
      <c r="LIY24" s="204"/>
      <c r="LIZ24" s="204"/>
      <c r="LJA24" s="204"/>
      <c r="LJB24" s="204"/>
      <c r="LJC24" s="204"/>
      <c r="LJD24" s="204"/>
      <c r="LJE24" s="204"/>
      <c r="LJF24" s="204"/>
      <c r="LJG24" s="204"/>
      <c r="LJH24" s="204"/>
      <c r="LJI24" s="204"/>
      <c r="LJJ24" s="204"/>
      <c r="LJK24" s="204"/>
      <c r="LJL24" s="204"/>
      <c r="LJM24" s="204"/>
      <c r="LJN24" s="204"/>
      <c r="LJO24" s="204"/>
      <c r="LJP24" s="204"/>
      <c r="LJQ24" s="204"/>
      <c r="LJR24" s="204"/>
      <c r="LJS24" s="204"/>
      <c r="LJT24" s="204"/>
      <c r="LJU24" s="204"/>
      <c r="LJV24" s="204"/>
      <c r="LJW24" s="204"/>
      <c r="LJX24" s="204"/>
      <c r="LJY24" s="204"/>
      <c r="LJZ24" s="204"/>
      <c r="LKA24" s="204"/>
      <c r="LKB24" s="204"/>
      <c r="LKC24" s="204"/>
      <c r="LKD24" s="204"/>
      <c r="LKE24" s="204"/>
      <c r="LKF24" s="204"/>
      <c r="LKG24" s="204"/>
      <c r="LKH24" s="204"/>
      <c r="LKI24" s="204"/>
      <c r="LKJ24" s="204"/>
      <c r="LKK24" s="204"/>
      <c r="LKL24" s="204"/>
      <c r="LKM24" s="204"/>
      <c r="LKN24" s="204"/>
      <c r="LKO24" s="204"/>
      <c r="LKP24" s="204"/>
      <c r="LKQ24" s="204"/>
      <c r="LKR24" s="204"/>
      <c r="LKS24" s="204"/>
      <c r="LKT24" s="204"/>
      <c r="LKU24" s="204"/>
      <c r="LKV24" s="204"/>
      <c r="LKW24" s="204"/>
      <c r="LKX24" s="204"/>
      <c r="LKY24" s="204"/>
      <c r="LKZ24" s="204"/>
      <c r="LLA24" s="204"/>
      <c r="LLB24" s="204"/>
      <c r="LLC24" s="204"/>
      <c r="LLD24" s="204"/>
      <c r="LLE24" s="204"/>
      <c r="LLF24" s="204"/>
      <c r="LLG24" s="204"/>
      <c r="LLH24" s="204"/>
      <c r="LLI24" s="204"/>
      <c r="LLJ24" s="204"/>
      <c r="LLK24" s="204"/>
      <c r="LLL24" s="204"/>
      <c r="LLM24" s="204"/>
      <c r="LLN24" s="204"/>
      <c r="LLO24" s="204"/>
      <c r="LLP24" s="204"/>
      <c r="LLQ24" s="204"/>
      <c r="LLR24" s="204"/>
      <c r="LLS24" s="204"/>
      <c r="LLT24" s="204"/>
      <c r="LLU24" s="204"/>
      <c r="LLV24" s="204"/>
      <c r="LLW24" s="204"/>
      <c r="LLX24" s="204"/>
      <c r="LLY24" s="204"/>
      <c r="LLZ24" s="204"/>
      <c r="LMA24" s="204"/>
      <c r="LMB24" s="204"/>
      <c r="LMC24" s="204"/>
      <c r="LMD24" s="204"/>
      <c r="LME24" s="204"/>
      <c r="LMF24" s="204"/>
      <c r="LMG24" s="204"/>
      <c r="LMH24" s="204"/>
      <c r="LMI24" s="204"/>
      <c r="LMJ24" s="204"/>
      <c r="LMK24" s="204"/>
      <c r="LML24" s="204"/>
      <c r="LMM24" s="204"/>
      <c r="LMN24" s="204"/>
      <c r="LMO24" s="204"/>
      <c r="LMP24" s="204"/>
      <c r="LMQ24" s="204"/>
      <c r="LMR24" s="204"/>
      <c r="LMS24" s="204"/>
      <c r="LMT24" s="204"/>
      <c r="LMU24" s="204"/>
      <c r="LMV24" s="204"/>
      <c r="LMW24" s="204"/>
      <c r="LMX24" s="204"/>
      <c r="LMY24" s="204"/>
      <c r="LMZ24" s="204"/>
      <c r="LNA24" s="204"/>
      <c r="LNB24" s="204"/>
      <c r="LNC24" s="204"/>
      <c r="LND24" s="204"/>
      <c r="LNE24" s="204"/>
      <c r="LNF24" s="204"/>
      <c r="LNG24" s="204"/>
      <c r="LNH24" s="204"/>
      <c r="LNI24" s="204"/>
      <c r="LNJ24" s="204"/>
      <c r="LNK24" s="204"/>
      <c r="LNL24" s="204"/>
      <c r="LNM24" s="204"/>
      <c r="LNN24" s="204"/>
      <c r="LNO24" s="204"/>
      <c r="LNP24" s="204"/>
      <c r="LNQ24" s="204"/>
      <c r="LNR24" s="204"/>
      <c r="LNS24" s="204"/>
      <c r="LNT24" s="204"/>
      <c r="LNU24" s="204"/>
      <c r="LNV24" s="204"/>
      <c r="LNW24" s="204"/>
      <c r="LNX24" s="204"/>
      <c r="LNY24" s="204"/>
      <c r="LNZ24" s="204"/>
      <c r="LOA24" s="204"/>
      <c r="LOB24" s="204"/>
      <c r="LOC24" s="204"/>
      <c r="LOD24" s="204"/>
      <c r="LOE24" s="204"/>
      <c r="LOF24" s="204"/>
      <c r="LOG24" s="204"/>
      <c r="LOH24" s="204"/>
      <c r="LOI24" s="204"/>
      <c r="LOJ24" s="204"/>
      <c r="LOK24" s="204"/>
      <c r="LOL24" s="204"/>
      <c r="LOM24" s="204"/>
      <c r="LON24" s="204"/>
      <c r="LOO24" s="204"/>
      <c r="LOP24" s="204"/>
      <c r="LOQ24" s="204"/>
      <c r="LOR24" s="204"/>
      <c r="LOS24" s="204"/>
      <c r="LOT24" s="204"/>
      <c r="LOU24" s="204"/>
      <c r="LOV24" s="204"/>
      <c r="LOW24" s="204"/>
      <c r="LOX24" s="204"/>
      <c r="LOY24" s="204"/>
      <c r="LOZ24" s="204"/>
      <c r="LPA24" s="204"/>
      <c r="LPB24" s="204"/>
      <c r="LPC24" s="204"/>
      <c r="LPD24" s="204"/>
      <c r="LPE24" s="204"/>
      <c r="LPF24" s="204"/>
      <c r="LPG24" s="204"/>
      <c r="LPH24" s="204"/>
      <c r="LPI24" s="204"/>
      <c r="LPJ24" s="204"/>
      <c r="LPK24" s="204"/>
      <c r="LPL24" s="204"/>
      <c r="LPM24" s="204"/>
      <c r="LPN24" s="204"/>
      <c r="LPO24" s="204"/>
      <c r="LPP24" s="204"/>
      <c r="LPQ24" s="204"/>
      <c r="LPR24" s="204"/>
      <c r="LPS24" s="204"/>
      <c r="LPT24" s="204"/>
      <c r="LPU24" s="204"/>
      <c r="LPV24" s="204"/>
      <c r="LPW24" s="204"/>
      <c r="LPX24" s="204"/>
      <c r="LPY24" s="204"/>
      <c r="LPZ24" s="204"/>
      <c r="LQA24" s="204"/>
      <c r="LQB24" s="204"/>
      <c r="LQC24" s="204"/>
      <c r="LQD24" s="204"/>
      <c r="LQE24" s="204"/>
      <c r="LQF24" s="204"/>
      <c r="LQG24" s="204"/>
      <c r="LQH24" s="204"/>
      <c r="LQI24" s="204"/>
      <c r="LQJ24" s="204"/>
      <c r="LQK24" s="204"/>
      <c r="LQL24" s="204"/>
      <c r="LQM24" s="204"/>
      <c r="LQN24" s="204"/>
      <c r="LQO24" s="204"/>
      <c r="LQP24" s="204"/>
      <c r="LQQ24" s="204"/>
      <c r="LQR24" s="204"/>
      <c r="LQS24" s="204"/>
      <c r="LQT24" s="204"/>
      <c r="LQU24" s="204"/>
      <c r="LQV24" s="204"/>
      <c r="LQW24" s="204"/>
      <c r="LQX24" s="204"/>
      <c r="LQY24" s="204"/>
      <c r="LQZ24" s="204"/>
      <c r="LRA24" s="204"/>
      <c r="LRB24" s="204"/>
      <c r="LRC24" s="204"/>
      <c r="LRD24" s="204"/>
      <c r="LRE24" s="204"/>
      <c r="LRF24" s="204"/>
      <c r="LRG24" s="204"/>
      <c r="LRH24" s="204"/>
      <c r="LRI24" s="204"/>
      <c r="LRJ24" s="204"/>
      <c r="LRK24" s="204"/>
      <c r="LRL24" s="204"/>
      <c r="LRM24" s="204"/>
      <c r="LRN24" s="204"/>
      <c r="LRO24" s="204"/>
      <c r="LRP24" s="204"/>
      <c r="LRQ24" s="204"/>
      <c r="LRR24" s="204"/>
      <c r="LRS24" s="204"/>
      <c r="LRT24" s="204"/>
      <c r="LRU24" s="204"/>
      <c r="LRV24" s="204"/>
      <c r="LRW24" s="204"/>
      <c r="LRX24" s="204"/>
      <c r="LRY24" s="204"/>
      <c r="LRZ24" s="204"/>
      <c r="LSA24" s="204"/>
      <c r="LSB24" s="204"/>
      <c r="LSC24" s="204"/>
      <c r="LSD24" s="204"/>
      <c r="LSE24" s="204"/>
      <c r="LSF24" s="204"/>
      <c r="LSG24" s="204"/>
      <c r="LSH24" s="204"/>
      <c r="LSI24" s="204"/>
      <c r="LSJ24" s="204"/>
      <c r="LSK24" s="204"/>
      <c r="LSL24" s="204"/>
      <c r="LSM24" s="204"/>
      <c r="LSN24" s="204"/>
      <c r="LSO24" s="204"/>
      <c r="LSP24" s="204"/>
      <c r="LSQ24" s="204"/>
      <c r="LSR24" s="204"/>
      <c r="LSS24" s="204"/>
      <c r="LST24" s="204"/>
      <c r="LSU24" s="204"/>
      <c r="LSV24" s="204"/>
      <c r="LSW24" s="204"/>
      <c r="LSX24" s="204"/>
      <c r="LSY24" s="204"/>
      <c r="LSZ24" s="204"/>
      <c r="LTA24" s="204"/>
      <c r="LTB24" s="204"/>
      <c r="LTC24" s="204"/>
      <c r="LTD24" s="204"/>
      <c r="LTE24" s="204"/>
      <c r="LTF24" s="204"/>
      <c r="LTG24" s="204"/>
      <c r="LTH24" s="204"/>
      <c r="LTI24" s="204"/>
      <c r="LTJ24" s="204"/>
      <c r="LTK24" s="204"/>
      <c r="LTL24" s="204"/>
      <c r="LTM24" s="204"/>
      <c r="LTN24" s="204"/>
      <c r="LTO24" s="204"/>
      <c r="LTP24" s="204"/>
      <c r="LTQ24" s="204"/>
      <c r="LTR24" s="204"/>
      <c r="LTS24" s="204"/>
      <c r="LTT24" s="204"/>
      <c r="LTU24" s="204"/>
      <c r="LTV24" s="204"/>
      <c r="LTW24" s="204"/>
      <c r="LTX24" s="204"/>
      <c r="LTY24" s="204"/>
      <c r="LTZ24" s="204"/>
      <c r="LUA24" s="204"/>
      <c r="LUB24" s="204"/>
      <c r="LUC24" s="204"/>
      <c r="LUD24" s="204"/>
      <c r="LUE24" s="204"/>
      <c r="LUF24" s="204"/>
      <c r="LUG24" s="204"/>
      <c r="LUH24" s="204"/>
      <c r="LUI24" s="204"/>
      <c r="LUJ24" s="204"/>
      <c r="LUK24" s="204"/>
      <c r="LUL24" s="204"/>
      <c r="LUM24" s="204"/>
      <c r="LUN24" s="204"/>
      <c r="LUO24" s="204"/>
      <c r="LUP24" s="204"/>
      <c r="LUQ24" s="204"/>
      <c r="LUR24" s="204"/>
      <c r="LUS24" s="204"/>
      <c r="LUT24" s="204"/>
      <c r="LUU24" s="204"/>
      <c r="LUV24" s="204"/>
      <c r="LUW24" s="204"/>
      <c r="LUX24" s="204"/>
      <c r="LUY24" s="204"/>
      <c r="LUZ24" s="204"/>
      <c r="LVA24" s="204"/>
      <c r="LVB24" s="204"/>
      <c r="LVC24" s="204"/>
      <c r="LVD24" s="204"/>
      <c r="LVE24" s="204"/>
      <c r="LVF24" s="204"/>
      <c r="LVG24" s="204"/>
      <c r="LVH24" s="204"/>
      <c r="LVI24" s="204"/>
      <c r="LVJ24" s="204"/>
      <c r="LVK24" s="204"/>
      <c r="LVL24" s="204"/>
      <c r="LVM24" s="204"/>
      <c r="LVN24" s="204"/>
      <c r="LVO24" s="204"/>
      <c r="LVP24" s="204"/>
      <c r="LVQ24" s="204"/>
      <c r="LVR24" s="204"/>
      <c r="LVS24" s="204"/>
      <c r="LVT24" s="204"/>
      <c r="LVU24" s="204"/>
      <c r="LVV24" s="204"/>
      <c r="LVW24" s="204"/>
      <c r="LVX24" s="204"/>
      <c r="LVY24" s="204"/>
      <c r="LVZ24" s="204"/>
      <c r="LWA24" s="204"/>
      <c r="LWB24" s="204"/>
      <c r="LWC24" s="204"/>
      <c r="LWD24" s="204"/>
      <c r="LWE24" s="204"/>
      <c r="LWF24" s="204"/>
      <c r="LWG24" s="204"/>
      <c r="LWH24" s="204"/>
      <c r="LWI24" s="204"/>
      <c r="LWJ24" s="204"/>
      <c r="LWK24" s="204"/>
      <c r="LWL24" s="204"/>
      <c r="LWM24" s="204"/>
      <c r="LWN24" s="204"/>
      <c r="LWO24" s="204"/>
      <c r="LWP24" s="204"/>
      <c r="LWQ24" s="204"/>
      <c r="LWR24" s="204"/>
      <c r="LWS24" s="204"/>
      <c r="LWT24" s="204"/>
      <c r="LWU24" s="204"/>
      <c r="LWV24" s="204"/>
      <c r="LWW24" s="204"/>
      <c r="LWX24" s="204"/>
      <c r="LWY24" s="204"/>
      <c r="LWZ24" s="204"/>
      <c r="LXA24" s="204"/>
      <c r="LXB24" s="204"/>
      <c r="LXC24" s="204"/>
      <c r="LXD24" s="204"/>
      <c r="LXE24" s="204"/>
      <c r="LXF24" s="204"/>
      <c r="LXG24" s="204"/>
      <c r="LXH24" s="204"/>
      <c r="LXI24" s="204"/>
      <c r="LXJ24" s="204"/>
      <c r="LXK24" s="204"/>
      <c r="LXL24" s="204"/>
      <c r="LXM24" s="204"/>
      <c r="LXN24" s="204"/>
      <c r="LXO24" s="204"/>
      <c r="LXP24" s="204"/>
      <c r="LXQ24" s="204"/>
      <c r="LXR24" s="204"/>
      <c r="LXS24" s="204"/>
      <c r="LXT24" s="204"/>
      <c r="LXU24" s="204"/>
      <c r="LXV24" s="204"/>
      <c r="LXW24" s="204"/>
      <c r="LXX24" s="204"/>
      <c r="LXY24" s="204"/>
      <c r="LXZ24" s="204"/>
      <c r="LYA24" s="204"/>
      <c r="LYB24" s="204"/>
      <c r="LYC24" s="204"/>
      <c r="LYD24" s="204"/>
      <c r="LYE24" s="204"/>
      <c r="LYF24" s="204"/>
      <c r="LYG24" s="204"/>
      <c r="LYH24" s="204"/>
      <c r="LYI24" s="204"/>
      <c r="LYJ24" s="204"/>
      <c r="LYK24" s="204"/>
      <c r="LYL24" s="204"/>
      <c r="LYM24" s="204"/>
      <c r="LYN24" s="204"/>
      <c r="LYO24" s="204"/>
      <c r="LYP24" s="204"/>
      <c r="LYQ24" s="204"/>
      <c r="LYR24" s="204"/>
      <c r="LYS24" s="204"/>
      <c r="LYT24" s="204"/>
      <c r="LYU24" s="204"/>
      <c r="LYV24" s="204"/>
      <c r="LYW24" s="204"/>
      <c r="LYX24" s="204"/>
      <c r="LYY24" s="204"/>
      <c r="LYZ24" s="204"/>
      <c r="LZA24" s="204"/>
      <c r="LZB24" s="204"/>
      <c r="LZC24" s="204"/>
      <c r="LZD24" s="204"/>
      <c r="LZE24" s="204"/>
      <c r="LZF24" s="204"/>
      <c r="LZG24" s="204"/>
      <c r="LZH24" s="204"/>
      <c r="LZI24" s="204"/>
      <c r="LZJ24" s="204"/>
      <c r="LZK24" s="204"/>
      <c r="LZL24" s="204"/>
      <c r="LZM24" s="204"/>
      <c r="LZN24" s="204"/>
      <c r="LZO24" s="204"/>
      <c r="LZP24" s="204"/>
      <c r="LZQ24" s="204"/>
      <c r="LZR24" s="204"/>
      <c r="LZS24" s="204"/>
      <c r="LZT24" s="204"/>
      <c r="LZU24" s="204"/>
      <c r="LZV24" s="204"/>
      <c r="LZW24" s="204"/>
      <c r="LZX24" s="204"/>
      <c r="LZY24" s="204"/>
      <c r="LZZ24" s="204"/>
      <c r="MAA24" s="204"/>
      <c r="MAB24" s="204"/>
      <c r="MAC24" s="204"/>
      <c r="MAD24" s="204"/>
      <c r="MAE24" s="204"/>
      <c r="MAF24" s="204"/>
      <c r="MAG24" s="204"/>
      <c r="MAH24" s="204"/>
      <c r="MAI24" s="204"/>
      <c r="MAJ24" s="204"/>
      <c r="MAK24" s="204"/>
      <c r="MAL24" s="204"/>
      <c r="MAM24" s="204"/>
      <c r="MAN24" s="204"/>
      <c r="MAO24" s="204"/>
      <c r="MAP24" s="204"/>
      <c r="MAQ24" s="204"/>
      <c r="MAR24" s="204"/>
      <c r="MAS24" s="204"/>
      <c r="MAT24" s="204"/>
      <c r="MAU24" s="204"/>
      <c r="MAV24" s="204"/>
      <c r="MAW24" s="204"/>
      <c r="MAX24" s="204"/>
      <c r="MAY24" s="204"/>
      <c r="MAZ24" s="204"/>
      <c r="MBA24" s="204"/>
      <c r="MBB24" s="204"/>
      <c r="MBC24" s="204"/>
      <c r="MBD24" s="204"/>
      <c r="MBE24" s="204"/>
      <c r="MBF24" s="204"/>
      <c r="MBG24" s="204"/>
      <c r="MBH24" s="204"/>
      <c r="MBI24" s="204"/>
      <c r="MBJ24" s="204"/>
      <c r="MBK24" s="204"/>
      <c r="MBL24" s="204"/>
      <c r="MBM24" s="204"/>
      <c r="MBN24" s="204"/>
      <c r="MBO24" s="204"/>
      <c r="MBP24" s="204"/>
      <c r="MBQ24" s="204"/>
      <c r="MBR24" s="204"/>
      <c r="MBS24" s="204"/>
      <c r="MBT24" s="204"/>
      <c r="MBU24" s="204"/>
      <c r="MBV24" s="204"/>
      <c r="MBW24" s="204"/>
      <c r="MBX24" s="204"/>
      <c r="MBY24" s="204"/>
      <c r="MBZ24" s="204"/>
      <c r="MCA24" s="204"/>
      <c r="MCB24" s="204"/>
      <c r="MCC24" s="204"/>
      <c r="MCD24" s="204"/>
      <c r="MCE24" s="204"/>
      <c r="MCF24" s="204"/>
      <c r="MCG24" s="204"/>
      <c r="MCH24" s="204"/>
      <c r="MCI24" s="204"/>
      <c r="MCJ24" s="204"/>
      <c r="MCK24" s="204"/>
      <c r="MCL24" s="204"/>
      <c r="MCM24" s="204"/>
      <c r="MCN24" s="204"/>
      <c r="MCO24" s="204"/>
      <c r="MCP24" s="204"/>
      <c r="MCQ24" s="204"/>
      <c r="MCR24" s="204"/>
      <c r="MCS24" s="204"/>
      <c r="MCT24" s="204"/>
      <c r="MCU24" s="204"/>
      <c r="MCV24" s="204"/>
      <c r="MCW24" s="204"/>
      <c r="MCX24" s="204"/>
      <c r="MCY24" s="204"/>
      <c r="MCZ24" s="204"/>
      <c r="MDA24" s="204"/>
      <c r="MDB24" s="204"/>
      <c r="MDC24" s="204"/>
      <c r="MDD24" s="204"/>
      <c r="MDE24" s="204"/>
      <c r="MDF24" s="204"/>
      <c r="MDG24" s="204"/>
      <c r="MDH24" s="204"/>
      <c r="MDI24" s="204"/>
      <c r="MDJ24" s="204"/>
      <c r="MDK24" s="204"/>
      <c r="MDL24" s="204"/>
      <c r="MDM24" s="204"/>
      <c r="MDN24" s="204"/>
      <c r="MDO24" s="204"/>
      <c r="MDP24" s="204"/>
      <c r="MDQ24" s="204"/>
      <c r="MDR24" s="204"/>
      <c r="MDS24" s="204"/>
      <c r="MDT24" s="204"/>
      <c r="MDU24" s="204"/>
      <c r="MDV24" s="204"/>
      <c r="MDW24" s="204"/>
      <c r="MDX24" s="204"/>
      <c r="MDY24" s="204"/>
      <c r="MDZ24" s="204"/>
      <c r="MEA24" s="204"/>
      <c r="MEB24" s="204"/>
      <c r="MEC24" s="204"/>
      <c r="MED24" s="204"/>
      <c r="MEE24" s="204"/>
      <c r="MEF24" s="204"/>
      <c r="MEG24" s="204"/>
      <c r="MEH24" s="204"/>
      <c r="MEI24" s="204"/>
      <c r="MEJ24" s="204"/>
      <c r="MEK24" s="204"/>
      <c r="MEL24" s="204"/>
      <c r="MEM24" s="204"/>
      <c r="MEN24" s="204"/>
      <c r="MEO24" s="204"/>
      <c r="MEP24" s="204"/>
      <c r="MEQ24" s="204"/>
      <c r="MER24" s="204"/>
      <c r="MES24" s="204"/>
      <c r="MET24" s="204"/>
      <c r="MEU24" s="204"/>
      <c r="MEV24" s="204"/>
      <c r="MEW24" s="204"/>
      <c r="MEX24" s="204"/>
      <c r="MEY24" s="204"/>
      <c r="MEZ24" s="204"/>
      <c r="MFA24" s="204"/>
      <c r="MFB24" s="204"/>
      <c r="MFC24" s="204"/>
      <c r="MFD24" s="204"/>
      <c r="MFE24" s="204"/>
      <c r="MFF24" s="204"/>
      <c r="MFG24" s="204"/>
      <c r="MFH24" s="204"/>
      <c r="MFI24" s="204"/>
      <c r="MFJ24" s="204"/>
      <c r="MFK24" s="204"/>
      <c r="MFL24" s="204"/>
      <c r="MFM24" s="204"/>
      <c r="MFN24" s="204"/>
      <c r="MFO24" s="204"/>
      <c r="MFP24" s="204"/>
      <c r="MFQ24" s="204"/>
      <c r="MFR24" s="204"/>
      <c r="MFS24" s="204"/>
      <c r="MFT24" s="204"/>
      <c r="MFU24" s="204"/>
      <c r="MFV24" s="204"/>
      <c r="MFW24" s="204"/>
      <c r="MFX24" s="204"/>
      <c r="MFY24" s="204"/>
      <c r="MFZ24" s="204"/>
      <c r="MGA24" s="204"/>
      <c r="MGB24" s="204"/>
      <c r="MGC24" s="204"/>
      <c r="MGD24" s="204"/>
      <c r="MGE24" s="204"/>
      <c r="MGF24" s="204"/>
      <c r="MGG24" s="204"/>
      <c r="MGH24" s="204"/>
      <c r="MGI24" s="204"/>
      <c r="MGJ24" s="204"/>
      <c r="MGK24" s="204"/>
      <c r="MGL24" s="204"/>
      <c r="MGM24" s="204"/>
      <c r="MGN24" s="204"/>
      <c r="MGO24" s="204"/>
      <c r="MGP24" s="204"/>
      <c r="MGQ24" s="204"/>
      <c r="MGR24" s="204"/>
      <c r="MGS24" s="204"/>
      <c r="MGT24" s="204"/>
      <c r="MGU24" s="204"/>
      <c r="MGV24" s="204"/>
      <c r="MGW24" s="204"/>
      <c r="MGX24" s="204"/>
      <c r="MGY24" s="204"/>
      <c r="MGZ24" s="204"/>
      <c r="MHA24" s="204"/>
      <c r="MHB24" s="204"/>
      <c r="MHC24" s="204"/>
      <c r="MHD24" s="204"/>
      <c r="MHE24" s="204"/>
      <c r="MHF24" s="204"/>
      <c r="MHG24" s="204"/>
      <c r="MHH24" s="204"/>
      <c r="MHI24" s="204"/>
      <c r="MHJ24" s="204"/>
      <c r="MHK24" s="204"/>
      <c r="MHL24" s="204"/>
      <c r="MHM24" s="204"/>
      <c r="MHN24" s="204"/>
      <c r="MHO24" s="204"/>
      <c r="MHP24" s="204"/>
      <c r="MHQ24" s="204"/>
      <c r="MHR24" s="204"/>
      <c r="MHS24" s="204"/>
      <c r="MHT24" s="204"/>
      <c r="MHU24" s="204"/>
      <c r="MHV24" s="204"/>
      <c r="MHW24" s="204"/>
      <c r="MHX24" s="204"/>
      <c r="MHY24" s="204"/>
      <c r="MHZ24" s="204"/>
      <c r="MIA24" s="204"/>
      <c r="MIB24" s="204"/>
      <c r="MIC24" s="204"/>
      <c r="MID24" s="204"/>
      <c r="MIE24" s="204"/>
      <c r="MIF24" s="204"/>
      <c r="MIG24" s="204"/>
      <c r="MIH24" s="204"/>
      <c r="MII24" s="204"/>
      <c r="MIJ24" s="204"/>
      <c r="MIK24" s="204"/>
      <c r="MIL24" s="204"/>
      <c r="MIM24" s="204"/>
      <c r="MIN24" s="204"/>
      <c r="MIO24" s="204"/>
      <c r="MIP24" s="204"/>
      <c r="MIQ24" s="204"/>
      <c r="MIR24" s="204"/>
      <c r="MIS24" s="204"/>
      <c r="MIT24" s="204"/>
      <c r="MIU24" s="204"/>
      <c r="MIV24" s="204"/>
      <c r="MIW24" s="204"/>
      <c r="MIX24" s="204"/>
      <c r="MIY24" s="204"/>
      <c r="MIZ24" s="204"/>
      <c r="MJA24" s="204"/>
      <c r="MJB24" s="204"/>
      <c r="MJC24" s="204"/>
      <c r="MJD24" s="204"/>
      <c r="MJE24" s="204"/>
      <c r="MJF24" s="204"/>
      <c r="MJG24" s="204"/>
      <c r="MJH24" s="204"/>
      <c r="MJI24" s="204"/>
      <c r="MJJ24" s="204"/>
      <c r="MJK24" s="204"/>
      <c r="MJL24" s="204"/>
      <c r="MJM24" s="204"/>
      <c r="MJN24" s="204"/>
      <c r="MJO24" s="204"/>
      <c r="MJP24" s="204"/>
      <c r="MJQ24" s="204"/>
      <c r="MJR24" s="204"/>
      <c r="MJS24" s="204"/>
      <c r="MJT24" s="204"/>
      <c r="MJU24" s="204"/>
      <c r="MJV24" s="204"/>
      <c r="MJW24" s="204"/>
      <c r="MJX24" s="204"/>
      <c r="MJY24" s="204"/>
      <c r="MJZ24" s="204"/>
      <c r="MKA24" s="204"/>
      <c r="MKB24" s="204"/>
      <c r="MKC24" s="204"/>
      <c r="MKD24" s="204"/>
      <c r="MKE24" s="204"/>
      <c r="MKF24" s="204"/>
      <c r="MKG24" s="204"/>
      <c r="MKH24" s="204"/>
      <c r="MKI24" s="204"/>
      <c r="MKJ24" s="204"/>
      <c r="MKK24" s="204"/>
      <c r="MKL24" s="204"/>
      <c r="MKM24" s="204"/>
      <c r="MKN24" s="204"/>
      <c r="MKO24" s="204"/>
      <c r="MKP24" s="204"/>
      <c r="MKQ24" s="204"/>
      <c r="MKR24" s="204"/>
      <c r="MKS24" s="204"/>
      <c r="MKT24" s="204"/>
      <c r="MKU24" s="204"/>
      <c r="MKV24" s="204"/>
      <c r="MKW24" s="204"/>
      <c r="MKX24" s="204"/>
      <c r="MKY24" s="204"/>
      <c r="MKZ24" s="204"/>
      <c r="MLA24" s="204"/>
      <c r="MLB24" s="204"/>
      <c r="MLC24" s="204"/>
      <c r="MLD24" s="204"/>
      <c r="MLE24" s="204"/>
      <c r="MLF24" s="204"/>
      <c r="MLG24" s="204"/>
      <c r="MLH24" s="204"/>
      <c r="MLI24" s="204"/>
      <c r="MLJ24" s="204"/>
      <c r="MLK24" s="204"/>
      <c r="MLL24" s="204"/>
      <c r="MLM24" s="204"/>
      <c r="MLN24" s="204"/>
      <c r="MLO24" s="204"/>
      <c r="MLP24" s="204"/>
      <c r="MLQ24" s="204"/>
      <c r="MLR24" s="204"/>
      <c r="MLS24" s="204"/>
      <c r="MLT24" s="204"/>
      <c r="MLU24" s="204"/>
      <c r="MLV24" s="204"/>
      <c r="MLW24" s="204"/>
      <c r="MLX24" s="204"/>
      <c r="MLY24" s="204"/>
      <c r="MLZ24" s="204"/>
      <c r="MMA24" s="204"/>
      <c r="MMB24" s="204"/>
      <c r="MMC24" s="204"/>
      <c r="MMD24" s="204"/>
      <c r="MME24" s="204"/>
      <c r="MMF24" s="204"/>
      <c r="MMG24" s="204"/>
      <c r="MMH24" s="204"/>
      <c r="MMI24" s="204"/>
      <c r="MMJ24" s="204"/>
      <c r="MMK24" s="204"/>
      <c r="MML24" s="204"/>
      <c r="MMM24" s="204"/>
      <c r="MMN24" s="204"/>
      <c r="MMO24" s="204"/>
      <c r="MMP24" s="204"/>
      <c r="MMQ24" s="204"/>
      <c r="MMR24" s="204"/>
      <c r="MMS24" s="204"/>
      <c r="MMT24" s="204"/>
      <c r="MMU24" s="204"/>
      <c r="MMV24" s="204"/>
      <c r="MMW24" s="204"/>
      <c r="MMX24" s="204"/>
      <c r="MMY24" s="204"/>
      <c r="MMZ24" s="204"/>
      <c r="MNA24" s="204"/>
      <c r="MNB24" s="204"/>
      <c r="MNC24" s="204"/>
      <c r="MND24" s="204"/>
      <c r="MNE24" s="204"/>
      <c r="MNF24" s="204"/>
      <c r="MNG24" s="204"/>
      <c r="MNH24" s="204"/>
      <c r="MNI24" s="204"/>
      <c r="MNJ24" s="204"/>
      <c r="MNK24" s="204"/>
      <c r="MNL24" s="204"/>
      <c r="MNM24" s="204"/>
      <c r="MNN24" s="204"/>
      <c r="MNO24" s="204"/>
      <c r="MNP24" s="204"/>
      <c r="MNQ24" s="204"/>
      <c r="MNR24" s="204"/>
      <c r="MNS24" s="204"/>
      <c r="MNT24" s="204"/>
      <c r="MNU24" s="204"/>
      <c r="MNV24" s="204"/>
      <c r="MNW24" s="204"/>
      <c r="MNX24" s="204"/>
      <c r="MNY24" s="204"/>
      <c r="MNZ24" s="204"/>
      <c r="MOA24" s="204"/>
      <c r="MOB24" s="204"/>
      <c r="MOC24" s="204"/>
      <c r="MOD24" s="204"/>
      <c r="MOE24" s="204"/>
      <c r="MOF24" s="204"/>
      <c r="MOG24" s="204"/>
      <c r="MOH24" s="204"/>
      <c r="MOI24" s="204"/>
      <c r="MOJ24" s="204"/>
      <c r="MOK24" s="204"/>
      <c r="MOL24" s="204"/>
      <c r="MOM24" s="204"/>
      <c r="MON24" s="204"/>
      <c r="MOO24" s="204"/>
      <c r="MOP24" s="204"/>
      <c r="MOQ24" s="204"/>
      <c r="MOR24" s="204"/>
      <c r="MOS24" s="204"/>
      <c r="MOT24" s="204"/>
      <c r="MOU24" s="204"/>
      <c r="MOV24" s="204"/>
      <c r="MOW24" s="204"/>
      <c r="MOX24" s="204"/>
      <c r="MOY24" s="204"/>
      <c r="MOZ24" s="204"/>
      <c r="MPA24" s="204"/>
      <c r="MPB24" s="204"/>
      <c r="MPC24" s="204"/>
      <c r="MPD24" s="204"/>
      <c r="MPE24" s="204"/>
      <c r="MPF24" s="204"/>
      <c r="MPG24" s="204"/>
      <c r="MPH24" s="204"/>
      <c r="MPI24" s="204"/>
      <c r="MPJ24" s="204"/>
      <c r="MPK24" s="204"/>
      <c r="MPL24" s="204"/>
      <c r="MPM24" s="204"/>
      <c r="MPN24" s="204"/>
      <c r="MPO24" s="204"/>
      <c r="MPP24" s="204"/>
      <c r="MPQ24" s="204"/>
      <c r="MPR24" s="204"/>
      <c r="MPS24" s="204"/>
      <c r="MPT24" s="204"/>
      <c r="MPU24" s="204"/>
      <c r="MPV24" s="204"/>
      <c r="MPW24" s="204"/>
      <c r="MPX24" s="204"/>
      <c r="MPY24" s="204"/>
      <c r="MPZ24" s="204"/>
      <c r="MQA24" s="204"/>
      <c r="MQB24" s="204"/>
      <c r="MQC24" s="204"/>
      <c r="MQD24" s="204"/>
      <c r="MQE24" s="204"/>
      <c r="MQF24" s="204"/>
      <c r="MQG24" s="204"/>
      <c r="MQH24" s="204"/>
      <c r="MQI24" s="204"/>
      <c r="MQJ24" s="204"/>
      <c r="MQK24" s="204"/>
      <c r="MQL24" s="204"/>
      <c r="MQM24" s="204"/>
      <c r="MQN24" s="204"/>
      <c r="MQO24" s="204"/>
      <c r="MQP24" s="204"/>
      <c r="MQQ24" s="204"/>
      <c r="MQR24" s="204"/>
      <c r="MQS24" s="204"/>
      <c r="MQT24" s="204"/>
      <c r="MQU24" s="204"/>
      <c r="MQV24" s="204"/>
      <c r="MQW24" s="204"/>
      <c r="MQX24" s="204"/>
      <c r="MQY24" s="204"/>
      <c r="MQZ24" s="204"/>
      <c r="MRA24" s="204"/>
      <c r="MRB24" s="204"/>
      <c r="MRC24" s="204"/>
      <c r="MRD24" s="204"/>
      <c r="MRE24" s="204"/>
      <c r="MRF24" s="204"/>
      <c r="MRG24" s="204"/>
      <c r="MRH24" s="204"/>
      <c r="MRI24" s="204"/>
      <c r="MRJ24" s="204"/>
      <c r="MRK24" s="204"/>
      <c r="MRL24" s="204"/>
      <c r="MRM24" s="204"/>
      <c r="MRN24" s="204"/>
      <c r="MRO24" s="204"/>
      <c r="MRP24" s="204"/>
      <c r="MRQ24" s="204"/>
      <c r="MRR24" s="204"/>
      <c r="MRS24" s="204"/>
      <c r="MRT24" s="204"/>
      <c r="MRU24" s="204"/>
      <c r="MRV24" s="204"/>
      <c r="MRW24" s="204"/>
      <c r="MRX24" s="204"/>
      <c r="MRY24" s="204"/>
      <c r="MRZ24" s="204"/>
      <c r="MSA24" s="204"/>
      <c r="MSB24" s="204"/>
      <c r="MSC24" s="204"/>
      <c r="MSD24" s="204"/>
      <c r="MSE24" s="204"/>
      <c r="MSF24" s="204"/>
      <c r="MSG24" s="204"/>
      <c r="MSH24" s="204"/>
      <c r="MSI24" s="204"/>
      <c r="MSJ24" s="204"/>
      <c r="MSK24" s="204"/>
      <c r="MSL24" s="204"/>
      <c r="MSM24" s="204"/>
      <c r="MSN24" s="204"/>
      <c r="MSO24" s="204"/>
      <c r="MSP24" s="204"/>
      <c r="MSQ24" s="204"/>
      <c r="MSR24" s="204"/>
      <c r="MSS24" s="204"/>
      <c r="MST24" s="204"/>
      <c r="MSU24" s="204"/>
      <c r="MSV24" s="204"/>
      <c r="MSW24" s="204"/>
      <c r="MSX24" s="204"/>
      <c r="MSY24" s="204"/>
      <c r="MSZ24" s="204"/>
      <c r="MTA24" s="204"/>
      <c r="MTB24" s="204"/>
      <c r="MTC24" s="204"/>
      <c r="MTD24" s="204"/>
      <c r="MTE24" s="204"/>
      <c r="MTF24" s="204"/>
      <c r="MTG24" s="204"/>
      <c r="MTH24" s="204"/>
      <c r="MTI24" s="204"/>
      <c r="MTJ24" s="204"/>
      <c r="MTK24" s="204"/>
      <c r="MTL24" s="204"/>
      <c r="MTM24" s="204"/>
      <c r="MTN24" s="204"/>
      <c r="MTO24" s="204"/>
      <c r="MTP24" s="204"/>
      <c r="MTQ24" s="204"/>
      <c r="MTR24" s="204"/>
      <c r="MTS24" s="204"/>
      <c r="MTT24" s="204"/>
      <c r="MTU24" s="204"/>
      <c r="MTV24" s="204"/>
      <c r="MTW24" s="204"/>
      <c r="MTX24" s="204"/>
      <c r="MTY24" s="204"/>
      <c r="MTZ24" s="204"/>
      <c r="MUA24" s="204"/>
      <c r="MUB24" s="204"/>
      <c r="MUC24" s="204"/>
      <c r="MUD24" s="204"/>
      <c r="MUE24" s="204"/>
      <c r="MUF24" s="204"/>
      <c r="MUG24" s="204"/>
      <c r="MUH24" s="204"/>
      <c r="MUI24" s="204"/>
      <c r="MUJ24" s="204"/>
      <c r="MUK24" s="204"/>
      <c r="MUL24" s="204"/>
      <c r="MUM24" s="204"/>
      <c r="MUN24" s="204"/>
      <c r="MUO24" s="204"/>
      <c r="MUP24" s="204"/>
      <c r="MUQ24" s="204"/>
      <c r="MUR24" s="204"/>
      <c r="MUS24" s="204"/>
      <c r="MUT24" s="204"/>
      <c r="MUU24" s="204"/>
      <c r="MUV24" s="204"/>
      <c r="MUW24" s="204"/>
      <c r="MUX24" s="204"/>
      <c r="MUY24" s="204"/>
      <c r="MUZ24" s="204"/>
      <c r="MVA24" s="204"/>
      <c r="MVB24" s="204"/>
      <c r="MVC24" s="204"/>
      <c r="MVD24" s="204"/>
      <c r="MVE24" s="204"/>
      <c r="MVF24" s="204"/>
      <c r="MVG24" s="204"/>
      <c r="MVH24" s="204"/>
      <c r="MVI24" s="204"/>
      <c r="MVJ24" s="204"/>
      <c r="MVK24" s="204"/>
      <c r="MVL24" s="204"/>
      <c r="MVM24" s="204"/>
      <c r="MVN24" s="204"/>
      <c r="MVO24" s="204"/>
      <c r="MVP24" s="204"/>
      <c r="MVQ24" s="204"/>
      <c r="MVR24" s="204"/>
      <c r="MVS24" s="204"/>
      <c r="MVT24" s="204"/>
      <c r="MVU24" s="204"/>
      <c r="MVV24" s="204"/>
      <c r="MVW24" s="204"/>
      <c r="MVX24" s="204"/>
      <c r="MVY24" s="204"/>
      <c r="MVZ24" s="204"/>
      <c r="MWA24" s="204"/>
      <c r="MWB24" s="204"/>
      <c r="MWC24" s="204"/>
      <c r="MWD24" s="204"/>
      <c r="MWE24" s="204"/>
      <c r="MWF24" s="204"/>
      <c r="MWG24" s="204"/>
      <c r="MWH24" s="204"/>
      <c r="MWI24" s="204"/>
      <c r="MWJ24" s="204"/>
      <c r="MWK24" s="204"/>
      <c r="MWL24" s="204"/>
      <c r="MWM24" s="204"/>
      <c r="MWN24" s="204"/>
      <c r="MWO24" s="204"/>
      <c r="MWP24" s="204"/>
      <c r="MWQ24" s="204"/>
      <c r="MWR24" s="204"/>
      <c r="MWS24" s="204"/>
      <c r="MWT24" s="204"/>
      <c r="MWU24" s="204"/>
      <c r="MWV24" s="204"/>
      <c r="MWW24" s="204"/>
      <c r="MWX24" s="204"/>
      <c r="MWY24" s="204"/>
      <c r="MWZ24" s="204"/>
      <c r="MXA24" s="204"/>
      <c r="MXB24" s="204"/>
      <c r="MXC24" s="204"/>
      <c r="MXD24" s="204"/>
      <c r="MXE24" s="204"/>
      <c r="MXF24" s="204"/>
      <c r="MXG24" s="204"/>
      <c r="MXH24" s="204"/>
      <c r="MXI24" s="204"/>
      <c r="MXJ24" s="204"/>
      <c r="MXK24" s="204"/>
      <c r="MXL24" s="204"/>
      <c r="MXM24" s="204"/>
      <c r="MXN24" s="204"/>
      <c r="MXO24" s="204"/>
      <c r="MXP24" s="204"/>
      <c r="MXQ24" s="204"/>
      <c r="MXR24" s="204"/>
      <c r="MXS24" s="204"/>
      <c r="MXT24" s="204"/>
      <c r="MXU24" s="204"/>
      <c r="MXV24" s="204"/>
      <c r="MXW24" s="204"/>
      <c r="MXX24" s="204"/>
      <c r="MXY24" s="204"/>
      <c r="MXZ24" s="204"/>
      <c r="MYA24" s="204"/>
      <c r="MYB24" s="204"/>
      <c r="MYC24" s="204"/>
      <c r="MYD24" s="204"/>
      <c r="MYE24" s="204"/>
      <c r="MYF24" s="204"/>
      <c r="MYG24" s="204"/>
      <c r="MYH24" s="204"/>
      <c r="MYI24" s="204"/>
      <c r="MYJ24" s="204"/>
      <c r="MYK24" s="204"/>
      <c r="MYL24" s="204"/>
      <c r="MYM24" s="204"/>
      <c r="MYN24" s="204"/>
      <c r="MYO24" s="204"/>
      <c r="MYP24" s="204"/>
      <c r="MYQ24" s="204"/>
      <c r="MYR24" s="204"/>
      <c r="MYS24" s="204"/>
      <c r="MYT24" s="204"/>
      <c r="MYU24" s="204"/>
      <c r="MYV24" s="204"/>
      <c r="MYW24" s="204"/>
      <c r="MYX24" s="204"/>
      <c r="MYY24" s="204"/>
      <c r="MYZ24" s="204"/>
      <c r="MZA24" s="204"/>
      <c r="MZB24" s="204"/>
      <c r="MZC24" s="204"/>
      <c r="MZD24" s="204"/>
      <c r="MZE24" s="204"/>
      <c r="MZF24" s="204"/>
      <c r="MZG24" s="204"/>
      <c r="MZH24" s="204"/>
      <c r="MZI24" s="204"/>
      <c r="MZJ24" s="204"/>
      <c r="MZK24" s="204"/>
      <c r="MZL24" s="204"/>
      <c r="MZM24" s="204"/>
      <c r="MZN24" s="204"/>
      <c r="MZO24" s="204"/>
      <c r="MZP24" s="204"/>
      <c r="MZQ24" s="204"/>
      <c r="MZR24" s="204"/>
      <c r="MZS24" s="204"/>
      <c r="MZT24" s="204"/>
      <c r="MZU24" s="204"/>
      <c r="MZV24" s="204"/>
      <c r="MZW24" s="204"/>
      <c r="MZX24" s="204"/>
      <c r="MZY24" s="204"/>
      <c r="MZZ24" s="204"/>
      <c r="NAA24" s="204"/>
      <c r="NAB24" s="204"/>
      <c r="NAC24" s="204"/>
      <c r="NAD24" s="204"/>
      <c r="NAE24" s="204"/>
      <c r="NAF24" s="204"/>
      <c r="NAG24" s="204"/>
      <c r="NAH24" s="204"/>
      <c r="NAI24" s="204"/>
      <c r="NAJ24" s="204"/>
      <c r="NAK24" s="204"/>
      <c r="NAL24" s="204"/>
      <c r="NAM24" s="204"/>
      <c r="NAN24" s="204"/>
      <c r="NAO24" s="204"/>
      <c r="NAP24" s="204"/>
      <c r="NAQ24" s="204"/>
      <c r="NAR24" s="204"/>
      <c r="NAS24" s="204"/>
      <c r="NAT24" s="204"/>
      <c r="NAU24" s="204"/>
      <c r="NAV24" s="204"/>
      <c r="NAW24" s="204"/>
      <c r="NAX24" s="204"/>
      <c r="NAY24" s="204"/>
      <c r="NAZ24" s="204"/>
      <c r="NBA24" s="204"/>
      <c r="NBB24" s="204"/>
      <c r="NBC24" s="204"/>
      <c r="NBD24" s="204"/>
      <c r="NBE24" s="204"/>
      <c r="NBF24" s="204"/>
      <c r="NBG24" s="204"/>
      <c r="NBH24" s="204"/>
      <c r="NBI24" s="204"/>
      <c r="NBJ24" s="204"/>
      <c r="NBK24" s="204"/>
      <c r="NBL24" s="204"/>
      <c r="NBM24" s="204"/>
      <c r="NBN24" s="204"/>
      <c r="NBO24" s="204"/>
      <c r="NBP24" s="204"/>
      <c r="NBQ24" s="204"/>
      <c r="NBR24" s="204"/>
      <c r="NBS24" s="204"/>
      <c r="NBT24" s="204"/>
      <c r="NBU24" s="204"/>
      <c r="NBV24" s="204"/>
      <c r="NBW24" s="204"/>
      <c r="NBX24" s="204"/>
      <c r="NBY24" s="204"/>
      <c r="NBZ24" s="204"/>
      <c r="NCA24" s="204"/>
      <c r="NCB24" s="204"/>
      <c r="NCC24" s="204"/>
      <c r="NCD24" s="204"/>
      <c r="NCE24" s="204"/>
      <c r="NCF24" s="204"/>
      <c r="NCG24" s="204"/>
      <c r="NCH24" s="204"/>
      <c r="NCI24" s="204"/>
      <c r="NCJ24" s="204"/>
      <c r="NCK24" s="204"/>
      <c r="NCL24" s="204"/>
      <c r="NCM24" s="204"/>
      <c r="NCN24" s="204"/>
      <c r="NCO24" s="204"/>
      <c r="NCP24" s="204"/>
      <c r="NCQ24" s="204"/>
      <c r="NCR24" s="204"/>
      <c r="NCS24" s="204"/>
      <c r="NCT24" s="204"/>
      <c r="NCU24" s="204"/>
      <c r="NCV24" s="204"/>
      <c r="NCW24" s="204"/>
      <c r="NCX24" s="204"/>
      <c r="NCY24" s="204"/>
      <c r="NCZ24" s="204"/>
      <c r="NDA24" s="204"/>
      <c r="NDB24" s="204"/>
      <c r="NDC24" s="204"/>
      <c r="NDD24" s="204"/>
      <c r="NDE24" s="204"/>
      <c r="NDF24" s="204"/>
      <c r="NDG24" s="204"/>
      <c r="NDH24" s="204"/>
      <c r="NDI24" s="204"/>
      <c r="NDJ24" s="204"/>
      <c r="NDK24" s="204"/>
      <c r="NDL24" s="204"/>
      <c r="NDM24" s="204"/>
      <c r="NDN24" s="204"/>
      <c r="NDO24" s="204"/>
      <c r="NDP24" s="204"/>
      <c r="NDQ24" s="204"/>
      <c r="NDR24" s="204"/>
      <c r="NDS24" s="204"/>
      <c r="NDT24" s="204"/>
      <c r="NDU24" s="204"/>
      <c r="NDV24" s="204"/>
      <c r="NDW24" s="204"/>
      <c r="NDX24" s="204"/>
      <c r="NDY24" s="204"/>
      <c r="NDZ24" s="204"/>
      <c r="NEA24" s="204"/>
      <c r="NEB24" s="204"/>
      <c r="NEC24" s="204"/>
      <c r="NED24" s="204"/>
      <c r="NEE24" s="204"/>
      <c r="NEF24" s="204"/>
      <c r="NEG24" s="204"/>
      <c r="NEH24" s="204"/>
      <c r="NEI24" s="204"/>
      <c r="NEJ24" s="204"/>
      <c r="NEK24" s="204"/>
      <c r="NEL24" s="204"/>
      <c r="NEM24" s="204"/>
      <c r="NEN24" s="204"/>
      <c r="NEO24" s="204"/>
      <c r="NEP24" s="204"/>
      <c r="NEQ24" s="204"/>
      <c r="NER24" s="204"/>
      <c r="NES24" s="204"/>
      <c r="NET24" s="204"/>
      <c r="NEU24" s="204"/>
      <c r="NEV24" s="204"/>
      <c r="NEW24" s="204"/>
      <c r="NEX24" s="204"/>
      <c r="NEY24" s="204"/>
      <c r="NEZ24" s="204"/>
      <c r="NFA24" s="204"/>
      <c r="NFB24" s="204"/>
      <c r="NFC24" s="204"/>
      <c r="NFD24" s="204"/>
      <c r="NFE24" s="204"/>
      <c r="NFF24" s="204"/>
      <c r="NFG24" s="204"/>
      <c r="NFH24" s="204"/>
      <c r="NFI24" s="204"/>
      <c r="NFJ24" s="204"/>
      <c r="NFK24" s="204"/>
      <c r="NFL24" s="204"/>
      <c r="NFM24" s="204"/>
      <c r="NFN24" s="204"/>
      <c r="NFO24" s="204"/>
      <c r="NFP24" s="204"/>
      <c r="NFQ24" s="204"/>
      <c r="NFR24" s="204"/>
      <c r="NFS24" s="204"/>
      <c r="NFT24" s="204"/>
      <c r="NFU24" s="204"/>
      <c r="NFV24" s="204"/>
      <c r="NFW24" s="204"/>
      <c r="NFX24" s="204"/>
      <c r="NFY24" s="204"/>
      <c r="NFZ24" s="204"/>
      <c r="NGA24" s="204"/>
      <c r="NGB24" s="204"/>
      <c r="NGC24" s="204"/>
      <c r="NGD24" s="204"/>
      <c r="NGE24" s="204"/>
      <c r="NGF24" s="204"/>
      <c r="NGG24" s="204"/>
      <c r="NGH24" s="204"/>
      <c r="NGI24" s="204"/>
      <c r="NGJ24" s="204"/>
      <c r="NGK24" s="204"/>
      <c r="NGL24" s="204"/>
      <c r="NGM24" s="204"/>
      <c r="NGN24" s="204"/>
      <c r="NGO24" s="204"/>
      <c r="NGP24" s="204"/>
      <c r="NGQ24" s="204"/>
      <c r="NGR24" s="204"/>
      <c r="NGS24" s="204"/>
      <c r="NGT24" s="204"/>
      <c r="NGU24" s="204"/>
      <c r="NGV24" s="204"/>
      <c r="NGW24" s="204"/>
      <c r="NGX24" s="204"/>
      <c r="NGY24" s="204"/>
      <c r="NGZ24" s="204"/>
      <c r="NHA24" s="204"/>
      <c r="NHB24" s="204"/>
      <c r="NHC24" s="204"/>
      <c r="NHD24" s="204"/>
      <c r="NHE24" s="204"/>
      <c r="NHF24" s="204"/>
      <c r="NHG24" s="204"/>
      <c r="NHH24" s="204"/>
      <c r="NHI24" s="204"/>
      <c r="NHJ24" s="204"/>
      <c r="NHK24" s="204"/>
      <c r="NHL24" s="204"/>
      <c r="NHM24" s="204"/>
      <c r="NHN24" s="204"/>
      <c r="NHO24" s="204"/>
      <c r="NHP24" s="204"/>
      <c r="NHQ24" s="204"/>
      <c r="NHR24" s="204"/>
      <c r="NHS24" s="204"/>
      <c r="NHT24" s="204"/>
      <c r="NHU24" s="204"/>
      <c r="NHV24" s="204"/>
      <c r="NHW24" s="204"/>
      <c r="NHX24" s="204"/>
      <c r="NHY24" s="204"/>
      <c r="NHZ24" s="204"/>
      <c r="NIA24" s="204"/>
      <c r="NIB24" s="204"/>
      <c r="NIC24" s="204"/>
      <c r="NID24" s="204"/>
      <c r="NIE24" s="204"/>
      <c r="NIF24" s="204"/>
      <c r="NIG24" s="204"/>
      <c r="NIH24" s="204"/>
      <c r="NII24" s="204"/>
      <c r="NIJ24" s="204"/>
      <c r="NIK24" s="204"/>
      <c r="NIL24" s="204"/>
      <c r="NIM24" s="204"/>
      <c r="NIN24" s="204"/>
      <c r="NIO24" s="204"/>
      <c r="NIP24" s="204"/>
      <c r="NIQ24" s="204"/>
      <c r="NIR24" s="204"/>
      <c r="NIS24" s="204"/>
      <c r="NIT24" s="204"/>
      <c r="NIU24" s="204"/>
      <c r="NIV24" s="204"/>
      <c r="NIW24" s="204"/>
      <c r="NIX24" s="204"/>
      <c r="NIY24" s="204"/>
      <c r="NIZ24" s="204"/>
      <c r="NJA24" s="204"/>
      <c r="NJB24" s="204"/>
      <c r="NJC24" s="204"/>
      <c r="NJD24" s="204"/>
      <c r="NJE24" s="204"/>
      <c r="NJF24" s="204"/>
      <c r="NJG24" s="204"/>
      <c r="NJH24" s="204"/>
      <c r="NJI24" s="204"/>
      <c r="NJJ24" s="204"/>
      <c r="NJK24" s="204"/>
      <c r="NJL24" s="204"/>
      <c r="NJM24" s="204"/>
      <c r="NJN24" s="204"/>
      <c r="NJO24" s="204"/>
      <c r="NJP24" s="204"/>
      <c r="NJQ24" s="204"/>
      <c r="NJR24" s="204"/>
      <c r="NJS24" s="204"/>
      <c r="NJT24" s="204"/>
      <c r="NJU24" s="204"/>
      <c r="NJV24" s="204"/>
      <c r="NJW24" s="204"/>
      <c r="NJX24" s="204"/>
      <c r="NJY24" s="204"/>
      <c r="NJZ24" s="204"/>
      <c r="NKA24" s="204"/>
      <c r="NKB24" s="204"/>
      <c r="NKC24" s="204"/>
      <c r="NKD24" s="204"/>
      <c r="NKE24" s="204"/>
      <c r="NKF24" s="204"/>
      <c r="NKG24" s="204"/>
      <c r="NKH24" s="204"/>
      <c r="NKI24" s="204"/>
      <c r="NKJ24" s="204"/>
      <c r="NKK24" s="204"/>
      <c r="NKL24" s="204"/>
      <c r="NKM24" s="204"/>
      <c r="NKN24" s="204"/>
      <c r="NKO24" s="204"/>
      <c r="NKP24" s="204"/>
      <c r="NKQ24" s="204"/>
      <c r="NKR24" s="204"/>
      <c r="NKS24" s="204"/>
      <c r="NKT24" s="204"/>
      <c r="NKU24" s="204"/>
      <c r="NKV24" s="204"/>
      <c r="NKW24" s="204"/>
      <c r="NKX24" s="204"/>
      <c r="NKY24" s="204"/>
      <c r="NKZ24" s="204"/>
      <c r="NLA24" s="204"/>
      <c r="NLB24" s="204"/>
      <c r="NLC24" s="204"/>
      <c r="NLD24" s="204"/>
      <c r="NLE24" s="204"/>
      <c r="NLF24" s="204"/>
      <c r="NLG24" s="204"/>
      <c r="NLH24" s="204"/>
      <c r="NLI24" s="204"/>
      <c r="NLJ24" s="204"/>
      <c r="NLK24" s="204"/>
      <c r="NLL24" s="204"/>
      <c r="NLM24" s="204"/>
      <c r="NLN24" s="204"/>
      <c r="NLO24" s="204"/>
      <c r="NLP24" s="204"/>
      <c r="NLQ24" s="204"/>
      <c r="NLR24" s="204"/>
      <c r="NLS24" s="204"/>
      <c r="NLT24" s="204"/>
      <c r="NLU24" s="204"/>
      <c r="NLV24" s="204"/>
      <c r="NLW24" s="204"/>
      <c r="NLX24" s="204"/>
      <c r="NLY24" s="204"/>
      <c r="NLZ24" s="204"/>
      <c r="NMA24" s="204"/>
      <c r="NMB24" s="204"/>
      <c r="NMC24" s="204"/>
      <c r="NMD24" s="204"/>
      <c r="NME24" s="204"/>
      <c r="NMF24" s="204"/>
      <c r="NMG24" s="204"/>
      <c r="NMH24" s="204"/>
      <c r="NMI24" s="204"/>
      <c r="NMJ24" s="204"/>
      <c r="NMK24" s="204"/>
      <c r="NML24" s="204"/>
      <c r="NMM24" s="204"/>
      <c r="NMN24" s="204"/>
      <c r="NMO24" s="204"/>
      <c r="NMP24" s="204"/>
      <c r="NMQ24" s="204"/>
      <c r="NMR24" s="204"/>
      <c r="NMS24" s="204"/>
      <c r="NMT24" s="204"/>
      <c r="NMU24" s="204"/>
      <c r="NMV24" s="204"/>
      <c r="NMW24" s="204"/>
      <c r="NMX24" s="204"/>
      <c r="NMY24" s="204"/>
      <c r="NMZ24" s="204"/>
      <c r="NNA24" s="204"/>
      <c r="NNB24" s="204"/>
      <c r="NNC24" s="204"/>
      <c r="NND24" s="204"/>
      <c r="NNE24" s="204"/>
      <c r="NNF24" s="204"/>
      <c r="NNG24" s="204"/>
      <c r="NNH24" s="204"/>
      <c r="NNI24" s="204"/>
      <c r="NNJ24" s="204"/>
      <c r="NNK24" s="204"/>
      <c r="NNL24" s="204"/>
      <c r="NNM24" s="204"/>
      <c r="NNN24" s="204"/>
      <c r="NNO24" s="204"/>
      <c r="NNP24" s="204"/>
      <c r="NNQ24" s="204"/>
      <c r="NNR24" s="204"/>
      <c r="NNS24" s="204"/>
      <c r="NNT24" s="204"/>
      <c r="NNU24" s="204"/>
      <c r="NNV24" s="204"/>
      <c r="NNW24" s="204"/>
      <c r="NNX24" s="204"/>
      <c r="NNY24" s="204"/>
      <c r="NNZ24" s="204"/>
      <c r="NOA24" s="204"/>
      <c r="NOB24" s="204"/>
      <c r="NOC24" s="204"/>
      <c r="NOD24" s="204"/>
      <c r="NOE24" s="204"/>
      <c r="NOF24" s="204"/>
      <c r="NOG24" s="204"/>
      <c r="NOH24" s="204"/>
      <c r="NOI24" s="204"/>
      <c r="NOJ24" s="204"/>
      <c r="NOK24" s="204"/>
      <c r="NOL24" s="204"/>
      <c r="NOM24" s="204"/>
      <c r="NON24" s="204"/>
      <c r="NOO24" s="204"/>
      <c r="NOP24" s="204"/>
      <c r="NOQ24" s="204"/>
      <c r="NOR24" s="204"/>
      <c r="NOS24" s="204"/>
      <c r="NOT24" s="204"/>
      <c r="NOU24" s="204"/>
      <c r="NOV24" s="204"/>
      <c r="NOW24" s="204"/>
      <c r="NOX24" s="204"/>
      <c r="NOY24" s="204"/>
      <c r="NOZ24" s="204"/>
      <c r="NPA24" s="204"/>
      <c r="NPB24" s="204"/>
      <c r="NPC24" s="204"/>
      <c r="NPD24" s="204"/>
      <c r="NPE24" s="204"/>
      <c r="NPF24" s="204"/>
      <c r="NPG24" s="204"/>
      <c r="NPH24" s="204"/>
      <c r="NPI24" s="204"/>
      <c r="NPJ24" s="204"/>
      <c r="NPK24" s="204"/>
      <c r="NPL24" s="204"/>
      <c r="NPM24" s="204"/>
      <c r="NPN24" s="204"/>
      <c r="NPO24" s="204"/>
      <c r="NPP24" s="204"/>
      <c r="NPQ24" s="204"/>
      <c r="NPR24" s="204"/>
      <c r="NPS24" s="204"/>
      <c r="NPT24" s="204"/>
      <c r="NPU24" s="204"/>
      <c r="NPV24" s="204"/>
      <c r="NPW24" s="204"/>
      <c r="NPX24" s="204"/>
      <c r="NPY24" s="204"/>
      <c r="NPZ24" s="204"/>
      <c r="NQA24" s="204"/>
      <c r="NQB24" s="204"/>
      <c r="NQC24" s="204"/>
      <c r="NQD24" s="204"/>
      <c r="NQE24" s="204"/>
      <c r="NQF24" s="204"/>
      <c r="NQG24" s="204"/>
      <c r="NQH24" s="204"/>
      <c r="NQI24" s="204"/>
      <c r="NQJ24" s="204"/>
      <c r="NQK24" s="204"/>
      <c r="NQL24" s="204"/>
      <c r="NQM24" s="204"/>
      <c r="NQN24" s="204"/>
      <c r="NQO24" s="204"/>
      <c r="NQP24" s="204"/>
      <c r="NQQ24" s="204"/>
      <c r="NQR24" s="204"/>
      <c r="NQS24" s="204"/>
      <c r="NQT24" s="204"/>
      <c r="NQU24" s="204"/>
      <c r="NQV24" s="204"/>
      <c r="NQW24" s="204"/>
      <c r="NQX24" s="204"/>
      <c r="NQY24" s="204"/>
      <c r="NQZ24" s="204"/>
      <c r="NRA24" s="204"/>
      <c r="NRB24" s="204"/>
      <c r="NRC24" s="204"/>
      <c r="NRD24" s="204"/>
      <c r="NRE24" s="204"/>
      <c r="NRF24" s="204"/>
      <c r="NRG24" s="204"/>
      <c r="NRH24" s="204"/>
      <c r="NRI24" s="204"/>
      <c r="NRJ24" s="204"/>
      <c r="NRK24" s="204"/>
      <c r="NRL24" s="204"/>
      <c r="NRM24" s="204"/>
      <c r="NRN24" s="204"/>
      <c r="NRO24" s="204"/>
      <c r="NRP24" s="204"/>
      <c r="NRQ24" s="204"/>
      <c r="NRR24" s="204"/>
      <c r="NRS24" s="204"/>
      <c r="NRT24" s="204"/>
      <c r="NRU24" s="204"/>
      <c r="NRV24" s="204"/>
      <c r="NRW24" s="204"/>
      <c r="NRX24" s="204"/>
      <c r="NRY24" s="204"/>
      <c r="NRZ24" s="204"/>
      <c r="NSA24" s="204"/>
      <c r="NSB24" s="204"/>
      <c r="NSC24" s="204"/>
      <c r="NSD24" s="204"/>
      <c r="NSE24" s="204"/>
      <c r="NSF24" s="204"/>
      <c r="NSG24" s="204"/>
      <c r="NSH24" s="204"/>
      <c r="NSI24" s="204"/>
      <c r="NSJ24" s="204"/>
      <c r="NSK24" s="204"/>
      <c r="NSL24" s="204"/>
      <c r="NSM24" s="204"/>
      <c r="NSN24" s="204"/>
      <c r="NSO24" s="204"/>
      <c r="NSP24" s="204"/>
      <c r="NSQ24" s="204"/>
      <c r="NSR24" s="204"/>
      <c r="NSS24" s="204"/>
      <c r="NST24" s="204"/>
      <c r="NSU24" s="204"/>
      <c r="NSV24" s="204"/>
      <c r="NSW24" s="204"/>
      <c r="NSX24" s="204"/>
      <c r="NSY24" s="204"/>
      <c r="NSZ24" s="204"/>
      <c r="NTA24" s="204"/>
      <c r="NTB24" s="204"/>
      <c r="NTC24" s="204"/>
      <c r="NTD24" s="204"/>
      <c r="NTE24" s="204"/>
      <c r="NTF24" s="204"/>
      <c r="NTG24" s="204"/>
      <c r="NTH24" s="204"/>
      <c r="NTI24" s="204"/>
      <c r="NTJ24" s="204"/>
      <c r="NTK24" s="204"/>
      <c r="NTL24" s="204"/>
      <c r="NTM24" s="204"/>
      <c r="NTN24" s="204"/>
      <c r="NTO24" s="204"/>
      <c r="NTP24" s="204"/>
      <c r="NTQ24" s="204"/>
      <c r="NTR24" s="204"/>
      <c r="NTS24" s="204"/>
      <c r="NTT24" s="204"/>
      <c r="NTU24" s="204"/>
      <c r="NTV24" s="204"/>
      <c r="NTW24" s="204"/>
      <c r="NTX24" s="204"/>
      <c r="NTY24" s="204"/>
      <c r="NTZ24" s="204"/>
      <c r="NUA24" s="204"/>
      <c r="NUB24" s="204"/>
      <c r="NUC24" s="204"/>
      <c r="NUD24" s="204"/>
      <c r="NUE24" s="204"/>
      <c r="NUF24" s="204"/>
      <c r="NUG24" s="204"/>
      <c r="NUH24" s="204"/>
      <c r="NUI24" s="204"/>
      <c r="NUJ24" s="204"/>
      <c r="NUK24" s="204"/>
      <c r="NUL24" s="204"/>
      <c r="NUM24" s="204"/>
      <c r="NUN24" s="204"/>
      <c r="NUO24" s="204"/>
      <c r="NUP24" s="204"/>
      <c r="NUQ24" s="204"/>
      <c r="NUR24" s="204"/>
      <c r="NUS24" s="204"/>
      <c r="NUT24" s="204"/>
      <c r="NUU24" s="204"/>
      <c r="NUV24" s="204"/>
      <c r="NUW24" s="204"/>
      <c r="NUX24" s="204"/>
      <c r="NUY24" s="204"/>
      <c r="NUZ24" s="204"/>
      <c r="NVA24" s="204"/>
      <c r="NVB24" s="204"/>
      <c r="NVC24" s="204"/>
      <c r="NVD24" s="204"/>
      <c r="NVE24" s="204"/>
      <c r="NVF24" s="204"/>
      <c r="NVG24" s="204"/>
      <c r="NVH24" s="204"/>
      <c r="NVI24" s="204"/>
      <c r="NVJ24" s="204"/>
      <c r="NVK24" s="204"/>
      <c r="NVL24" s="204"/>
      <c r="NVM24" s="204"/>
      <c r="NVN24" s="204"/>
      <c r="NVO24" s="204"/>
      <c r="NVP24" s="204"/>
      <c r="NVQ24" s="204"/>
      <c r="NVR24" s="204"/>
      <c r="NVS24" s="204"/>
      <c r="NVT24" s="204"/>
      <c r="NVU24" s="204"/>
      <c r="NVV24" s="204"/>
      <c r="NVW24" s="204"/>
      <c r="NVX24" s="204"/>
      <c r="NVY24" s="204"/>
      <c r="NVZ24" s="204"/>
      <c r="NWA24" s="204"/>
      <c r="NWB24" s="204"/>
      <c r="NWC24" s="204"/>
      <c r="NWD24" s="204"/>
      <c r="NWE24" s="204"/>
      <c r="NWF24" s="204"/>
      <c r="NWG24" s="204"/>
      <c r="NWH24" s="204"/>
      <c r="NWI24" s="204"/>
      <c r="NWJ24" s="204"/>
      <c r="NWK24" s="204"/>
      <c r="NWL24" s="204"/>
      <c r="NWM24" s="204"/>
      <c r="NWN24" s="204"/>
      <c r="NWO24" s="204"/>
      <c r="NWP24" s="204"/>
      <c r="NWQ24" s="204"/>
      <c r="NWR24" s="204"/>
      <c r="NWS24" s="204"/>
      <c r="NWT24" s="204"/>
      <c r="NWU24" s="204"/>
      <c r="NWV24" s="204"/>
      <c r="NWW24" s="204"/>
      <c r="NWX24" s="204"/>
      <c r="NWY24" s="204"/>
      <c r="NWZ24" s="204"/>
      <c r="NXA24" s="204"/>
      <c r="NXB24" s="204"/>
      <c r="NXC24" s="204"/>
      <c r="NXD24" s="204"/>
      <c r="NXE24" s="204"/>
      <c r="NXF24" s="204"/>
      <c r="NXG24" s="204"/>
      <c r="NXH24" s="204"/>
      <c r="NXI24" s="204"/>
      <c r="NXJ24" s="204"/>
      <c r="NXK24" s="204"/>
      <c r="NXL24" s="204"/>
      <c r="NXM24" s="204"/>
      <c r="NXN24" s="204"/>
      <c r="NXO24" s="204"/>
      <c r="NXP24" s="204"/>
      <c r="NXQ24" s="204"/>
      <c r="NXR24" s="204"/>
      <c r="NXS24" s="204"/>
      <c r="NXT24" s="204"/>
      <c r="NXU24" s="204"/>
      <c r="NXV24" s="204"/>
      <c r="NXW24" s="204"/>
      <c r="NXX24" s="204"/>
      <c r="NXY24" s="204"/>
      <c r="NXZ24" s="204"/>
      <c r="NYA24" s="204"/>
      <c r="NYB24" s="204"/>
      <c r="NYC24" s="204"/>
      <c r="NYD24" s="204"/>
      <c r="NYE24" s="204"/>
      <c r="NYF24" s="204"/>
      <c r="NYG24" s="204"/>
      <c r="NYH24" s="204"/>
      <c r="NYI24" s="204"/>
      <c r="NYJ24" s="204"/>
      <c r="NYK24" s="204"/>
      <c r="NYL24" s="204"/>
      <c r="NYM24" s="204"/>
      <c r="NYN24" s="204"/>
      <c r="NYO24" s="204"/>
      <c r="NYP24" s="204"/>
      <c r="NYQ24" s="204"/>
      <c r="NYR24" s="204"/>
      <c r="NYS24" s="204"/>
      <c r="NYT24" s="204"/>
      <c r="NYU24" s="204"/>
      <c r="NYV24" s="204"/>
      <c r="NYW24" s="204"/>
      <c r="NYX24" s="204"/>
      <c r="NYY24" s="204"/>
      <c r="NYZ24" s="204"/>
      <c r="NZA24" s="204"/>
      <c r="NZB24" s="204"/>
      <c r="NZC24" s="204"/>
      <c r="NZD24" s="204"/>
      <c r="NZE24" s="204"/>
      <c r="NZF24" s="204"/>
      <c r="NZG24" s="204"/>
      <c r="NZH24" s="204"/>
      <c r="NZI24" s="204"/>
      <c r="NZJ24" s="204"/>
      <c r="NZK24" s="204"/>
      <c r="NZL24" s="204"/>
      <c r="NZM24" s="204"/>
      <c r="NZN24" s="204"/>
      <c r="NZO24" s="204"/>
      <c r="NZP24" s="204"/>
      <c r="NZQ24" s="204"/>
      <c r="NZR24" s="204"/>
      <c r="NZS24" s="204"/>
      <c r="NZT24" s="204"/>
      <c r="NZU24" s="204"/>
      <c r="NZV24" s="204"/>
      <c r="NZW24" s="204"/>
      <c r="NZX24" s="204"/>
      <c r="NZY24" s="204"/>
      <c r="NZZ24" s="204"/>
      <c r="OAA24" s="204"/>
      <c r="OAB24" s="204"/>
      <c r="OAC24" s="204"/>
      <c r="OAD24" s="204"/>
      <c r="OAE24" s="204"/>
      <c r="OAF24" s="204"/>
      <c r="OAG24" s="204"/>
      <c r="OAH24" s="204"/>
      <c r="OAI24" s="204"/>
      <c r="OAJ24" s="204"/>
      <c r="OAK24" s="204"/>
      <c r="OAL24" s="204"/>
      <c r="OAM24" s="204"/>
      <c r="OAN24" s="204"/>
      <c r="OAO24" s="204"/>
      <c r="OAP24" s="204"/>
      <c r="OAQ24" s="204"/>
      <c r="OAR24" s="204"/>
      <c r="OAS24" s="204"/>
      <c r="OAT24" s="204"/>
      <c r="OAU24" s="204"/>
      <c r="OAV24" s="204"/>
      <c r="OAW24" s="204"/>
      <c r="OAX24" s="204"/>
      <c r="OAY24" s="204"/>
      <c r="OAZ24" s="204"/>
      <c r="OBA24" s="204"/>
      <c r="OBB24" s="204"/>
      <c r="OBC24" s="204"/>
      <c r="OBD24" s="204"/>
      <c r="OBE24" s="204"/>
      <c r="OBF24" s="204"/>
      <c r="OBG24" s="204"/>
      <c r="OBH24" s="204"/>
      <c r="OBI24" s="204"/>
      <c r="OBJ24" s="204"/>
      <c r="OBK24" s="204"/>
      <c r="OBL24" s="204"/>
      <c r="OBM24" s="204"/>
      <c r="OBN24" s="204"/>
      <c r="OBO24" s="204"/>
      <c r="OBP24" s="204"/>
      <c r="OBQ24" s="204"/>
      <c r="OBR24" s="204"/>
      <c r="OBS24" s="204"/>
      <c r="OBT24" s="204"/>
      <c r="OBU24" s="204"/>
      <c r="OBV24" s="204"/>
      <c r="OBW24" s="204"/>
      <c r="OBX24" s="204"/>
      <c r="OBY24" s="204"/>
      <c r="OBZ24" s="204"/>
      <c r="OCA24" s="204"/>
      <c r="OCB24" s="204"/>
      <c r="OCC24" s="204"/>
      <c r="OCD24" s="204"/>
      <c r="OCE24" s="204"/>
      <c r="OCF24" s="204"/>
      <c r="OCG24" s="204"/>
      <c r="OCH24" s="204"/>
      <c r="OCI24" s="204"/>
      <c r="OCJ24" s="204"/>
      <c r="OCK24" s="204"/>
      <c r="OCL24" s="204"/>
      <c r="OCM24" s="204"/>
      <c r="OCN24" s="204"/>
      <c r="OCO24" s="204"/>
      <c r="OCP24" s="204"/>
      <c r="OCQ24" s="204"/>
      <c r="OCR24" s="204"/>
      <c r="OCS24" s="204"/>
      <c r="OCT24" s="204"/>
      <c r="OCU24" s="204"/>
      <c r="OCV24" s="204"/>
      <c r="OCW24" s="204"/>
      <c r="OCX24" s="204"/>
      <c r="OCY24" s="204"/>
      <c r="OCZ24" s="204"/>
      <c r="ODA24" s="204"/>
      <c r="ODB24" s="204"/>
      <c r="ODC24" s="204"/>
      <c r="ODD24" s="204"/>
      <c r="ODE24" s="204"/>
      <c r="ODF24" s="204"/>
      <c r="ODG24" s="204"/>
      <c r="ODH24" s="204"/>
      <c r="ODI24" s="204"/>
      <c r="ODJ24" s="204"/>
      <c r="ODK24" s="204"/>
      <c r="ODL24" s="204"/>
      <c r="ODM24" s="204"/>
      <c r="ODN24" s="204"/>
      <c r="ODO24" s="204"/>
      <c r="ODP24" s="204"/>
      <c r="ODQ24" s="204"/>
      <c r="ODR24" s="204"/>
      <c r="ODS24" s="204"/>
      <c r="ODT24" s="204"/>
      <c r="ODU24" s="204"/>
      <c r="ODV24" s="204"/>
      <c r="ODW24" s="204"/>
      <c r="ODX24" s="204"/>
      <c r="ODY24" s="204"/>
      <c r="ODZ24" s="204"/>
      <c r="OEA24" s="204"/>
      <c r="OEB24" s="204"/>
      <c r="OEC24" s="204"/>
      <c r="OED24" s="204"/>
      <c r="OEE24" s="204"/>
      <c r="OEF24" s="204"/>
      <c r="OEG24" s="204"/>
      <c r="OEH24" s="204"/>
      <c r="OEI24" s="204"/>
      <c r="OEJ24" s="204"/>
      <c r="OEK24" s="204"/>
      <c r="OEL24" s="204"/>
      <c r="OEM24" s="204"/>
      <c r="OEN24" s="204"/>
      <c r="OEO24" s="204"/>
      <c r="OEP24" s="204"/>
      <c r="OEQ24" s="204"/>
      <c r="OER24" s="204"/>
      <c r="OES24" s="204"/>
      <c r="OET24" s="204"/>
      <c r="OEU24" s="204"/>
      <c r="OEV24" s="204"/>
      <c r="OEW24" s="204"/>
      <c r="OEX24" s="204"/>
      <c r="OEY24" s="204"/>
      <c r="OEZ24" s="204"/>
      <c r="OFA24" s="204"/>
      <c r="OFB24" s="204"/>
      <c r="OFC24" s="204"/>
      <c r="OFD24" s="204"/>
      <c r="OFE24" s="204"/>
      <c r="OFF24" s="204"/>
      <c r="OFG24" s="204"/>
      <c r="OFH24" s="204"/>
      <c r="OFI24" s="204"/>
      <c r="OFJ24" s="204"/>
      <c r="OFK24" s="204"/>
      <c r="OFL24" s="204"/>
      <c r="OFM24" s="204"/>
      <c r="OFN24" s="204"/>
      <c r="OFO24" s="204"/>
      <c r="OFP24" s="204"/>
      <c r="OFQ24" s="204"/>
      <c r="OFR24" s="204"/>
      <c r="OFS24" s="204"/>
      <c r="OFT24" s="204"/>
      <c r="OFU24" s="204"/>
      <c r="OFV24" s="204"/>
      <c r="OFW24" s="204"/>
      <c r="OFX24" s="204"/>
      <c r="OFY24" s="204"/>
      <c r="OFZ24" s="204"/>
      <c r="OGA24" s="204"/>
      <c r="OGB24" s="204"/>
      <c r="OGC24" s="204"/>
      <c r="OGD24" s="204"/>
      <c r="OGE24" s="204"/>
      <c r="OGF24" s="204"/>
      <c r="OGG24" s="204"/>
      <c r="OGH24" s="204"/>
      <c r="OGI24" s="204"/>
      <c r="OGJ24" s="204"/>
      <c r="OGK24" s="204"/>
      <c r="OGL24" s="204"/>
      <c r="OGM24" s="204"/>
      <c r="OGN24" s="204"/>
      <c r="OGO24" s="204"/>
      <c r="OGP24" s="204"/>
      <c r="OGQ24" s="204"/>
      <c r="OGR24" s="204"/>
      <c r="OGS24" s="204"/>
      <c r="OGT24" s="204"/>
      <c r="OGU24" s="204"/>
      <c r="OGV24" s="204"/>
      <c r="OGW24" s="204"/>
      <c r="OGX24" s="204"/>
      <c r="OGY24" s="204"/>
      <c r="OGZ24" s="204"/>
      <c r="OHA24" s="204"/>
      <c r="OHB24" s="204"/>
      <c r="OHC24" s="204"/>
      <c r="OHD24" s="204"/>
      <c r="OHE24" s="204"/>
      <c r="OHF24" s="204"/>
      <c r="OHG24" s="204"/>
      <c r="OHH24" s="204"/>
      <c r="OHI24" s="204"/>
      <c r="OHJ24" s="204"/>
      <c r="OHK24" s="204"/>
      <c r="OHL24" s="204"/>
      <c r="OHM24" s="204"/>
      <c r="OHN24" s="204"/>
      <c r="OHO24" s="204"/>
      <c r="OHP24" s="204"/>
      <c r="OHQ24" s="204"/>
      <c r="OHR24" s="204"/>
      <c r="OHS24" s="204"/>
      <c r="OHT24" s="204"/>
      <c r="OHU24" s="204"/>
      <c r="OHV24" s="204"/>
      <c r="OHW24" s="204"/>
      <c r="OHX24" s="204"/>
      <c r="OHY24" s="204"/>
      <c r="OHZ24" s="204"/>
      <c r="OIA24" s="204"/>
      <c r="OIB24" s="204"/>
      <c r="OIC24" s="204"/>
      <c r="OID24" s="204"/>
      <c r="OIE24" s="204"/>
      <c r="OIF24" s="204"/>
      <c r="OIG24" s="204"/>
      <c r="OIH24" s="204"/>
      <c r="OII24" s="204"/>
      <c r="OIJ24" s="204"/>
      <c r="OIK24" s="204"/>
      <c r="OIL24" s="204"/>
      <c r="OIM24" s="204"/>
      <c r="OIN24" s="204"/>
      <c r="OIO24" s="204"/>
      <c r="OIP24" s="204"/>
      <c r="OIQ24" s="204"/>
      <c r="OIR24" s="204"/>
      <c r="OIS24" s="204"/>
      <c r="OIT24" s="204"/>
      <c r="OIU24" s="204"/>
      <c r="OIV24" s="204"/>
      <c r="OIW24" s="204"/>
      <c r="OIX24" s="204"/>
      <c r="OIY24" s="204"/>
      <c r="OIZ24" s="204"/>
      <c r="OJA24" s="204"/>
      <c r="OJB24" s="204"/>
      <c r="OJC24" s="204"/>
      <c r="OJD24" s="204"/>
      <c r="OJE24" s="204"/>
      <c r="OJF24" s="204"/>
      <c r="OJG24" s="204"/>
      <c r="OJH24" s="204"/>
      <c r="OJI24" s="204"/>
      <c r="OJJ24" s="204"/>
      <c r="OJK24" s="204"/>
      <c r="OJL24" s="204"/>
      <c r="OJM24" s="204"/>
      <c r="OJN24" s="204"/>
      <c r="OJO24" s="204"/>
      <c r="OJP24" s="204"/>
      <c r="OJQ24" s="204"/>
      <c r="OJR24" s="204"/>
      <c r="OJS24" s="204"/>
      <c r="OJT24" s="204"/>
      <c r="OJU24" s="204"/>
      <c r="OJV24" s="204"/>
      <c r="OJW24" s="204"/>
      <c r="OJX24" s="204"/>
      <c r="OJY24" s="204"/>
      <c r="OJZ24" s="204"/>
      <c r="OKA24" s="204"/>
      <c r="OKB24" s="204"/>
      <c r="OKC24" s="204"/>
      <c r="OKD24" s="204"/>
      <c r="OKE24" s="204"/>
      <c r="OKF24" s="204"/>
      <c r="OKG24" s="204"/>
      <c r="OKH24" s="204"/>
      <c r="OKI24" s="204"/>
      <c r="OKJ24" s="204"/>
      <c r="OKK24" s="204"/>
      <c r="OKL24" s="204"/>
      <c r="OKM24" s="204"/>
      <c r="OKN24" s="204"/>
      <c r="OKO24" s="204"/>
      <c r="OKP24" s="204"/>
      <c r="OKQ24" s="204"/>
      <c r="OKR24" s="204"/>
      <c r="OKS24" s="204"/>
      <c r="OKT24" s="204"/>
      <c r="OKU24" s="204"/>
      <c r="OKV24" s="204"/>
      <c r="OKW24" s="204"/>
      <c r="OKX24" s="204"/>
      <c r="OKY24" s="204"/>
      <c r="OKZ24" s="204"/>
      <c r="OLA24" s="204"/>
      <c r="OLB24" s="204"/>
      <c r="OLC24" s="204"/>
      <c r="OLD24" s="204"/>
      <c r="OLE24" s="204"/>
      <c r="OLF24" s="204"/>
      <c r="OLG24" s="204"/>
      <c r="OLH24" s="204"/>
      <c r="OLI24" s="204"/>
      <c r="OLJ24" s="204"/>
      <c r="OLK24" s="204"/>
      <c r="OLL24" s="204"/>
      <c r="OLM24" s="204"/>
      <c r="OLN24" s="204"/>
      <c r="OLO24" s="204"/>
      <c r="OLP24" s="204"/>
      <c r="OLQ24" s="204"/>
      <c r="OLR24" s="204"/>
      <c r="OLS24" s="204"/>
      <c r="OLT24" s="204"/>
      <c r="OLU24" s="204"/>
      <c r="OLV24" s="204"/>
      <c r="OLW24" s="204"/>
      <c r="OLX24" s="204"/>
      <c r="OLY24" s="204"/>
      <c r="OLZ24" s="204"/>
      <c r="OMA24" s="204"/>
      <c r="OMB24" s="204"/>
      <c r="OMC24" s="204"/>
      <c r="OMD24" s="204"/>
      <c r="OME24" s="204"/>
      <c r="OMF24" s="204"/>
      <c r="OMG24" s="204"/>
      <c r="OMH24" s="204"/>
      <c r="OMI24" s="204"/>
      <c r="OMJ24" s="204"/>
      <c r="OMK24" s="204"/>
      <c r="OML24" s="204"/>
      <c r="OMM24" s="204"/>
      <c r="OMN24" s="204"/>
      <c r="OMO24" s="204"/>
      <c r="OMP24" s="204"/>
      <c r="OMQ24" s="204"/>
      <c r="OMR24" s="204"/>
      <c r="OMS24" s="204"/>
      <c r="OMT24" s="204"/>
      <c r="OMU24" s="204"/>
      <c r="OMV24" s="204"/>
      <c r="OMW24" s="204"/>
      <c r="OMX24" s="204"/>
      <c r="OMY24" s="204"/>
      <c r="OMZ24" s="204"/>
      <c r="ONA24" s="204"/>
      <c r="ONB24" s="204"/>
      <c r="ONC24" s="204"/>
      <c r="OND24" s="204"/>
      <c r="ONE24" s="204"/>
      <c r="ONF24" s="204"/>
      <c r="ONG24" s="204"/>
      <c r="ONH24" s="204"/>
      <c r="ONI24" s="204"/>
      <c r="ONJ24" s="204"/>
      <c r="ONK24" s="204"/>
      <c r="ONL24" s="204"/>
      <c r="ONM24" s="204"/>
      <c r="ONN24" s="204"/>
      <c r="ONO24" s="204"/>
      <c r="ONP24" s="204"/>
      <c r="ONQ24" s="204"/>
      <c r="ONR24" s="204"/>
      <c r="ONS24" s="204"/>
      <c r="ONT24" s="204"/>
      <c r="ONU24" s="204"/>
      <c r="ONV24" s="204"/>
      <c r="ONW24" s="204"/>
      <c r="ONX24" s="204"/>
      <c r="ONY24" s="204"/>
      <c r="ONZ24" s="204"/>
      <c r="OOA24" s="204"/>
      <c r="OOB24" s="204"/>
      <c r="OOC24" s="204"/>
      <c r="OOD24" s="204"/>
      <c r="OOE24" s="204"/>
      <c r="OOF24" s="204"/>
      <c r="OOG24" s="204"/>
      <c r="OOH24" s="204"/>
      <c r="OOI24" s="204"/>
      <c r="OOJ24" s="204"/>
      <c r="OOK24" s="204"/>
      <c r="OOL24" s="204"/>
      <c r="OOM24" s="204"/>
      <c r="OON24" s="204"/>
      <c r="OOO24" s="204"/>
      <c r="OOP24" s="204"/>
      <c r="OOQ24" s="204"/>
      <c r="OOR24" s="204"/>
      <c r="OOS24" s="204"/>
      <c r="OOT24" s="204"/>
      <c r="OOU24" s="204"/>
      <c r="OOV24" s="204"/>
      <c r="OOW24" s="204"/>
      <c r="OOX24" s="204"/>
      <c r="OOY24" s="204"/>
      <c r="OOZ24" s="204"/>
      <c r="OPA24" s="204"/>
      <c r="OPB24" s="204"/>
      <c r="OPC24" s="204"/>
      <c r="OPD24" s="204"/>
      <c r="OPE24" s="204"/>
      <c r="OPF24" s="204"/>
      <c r="OPG24" s="204"/>
      <c r="OPH24" s="204"/>
      <c r="OPI24" s="204"/>
      <c r="OPJ24" s="204"/>
      <c r="OPK24" s="204"/>
      <c r="OPL24" s="204"/>
      <c r="OPM24" s="204"/>
      <c r="OPN24" s="204"/>
      <c r="OPO24" s="204"/>
      <c r="OPP24" s="204"/>
      <c r="OPQ24" s="204"/>
      <c r="OPR24" s="204"/>
      <c r="OPS24" s="204"/>
      <c r="OPT24" s="204"/>
      <c r="OPU24" s="204"/>
      <c r="OPV24" s="204"/>
      <c r="OPW24" s="204"/>
      <c r="OPX24" s="204"/>
      <c r="OPY24" s="204"/>
      <c r="OPZ24" s="204"/>
      <c r="OQA24" s="204"/>
      <c r="OQB24" s="204"/>
      <c r="OQC24" s="204"/>
      <c r="OQD24" s="204"/>
      <c r="OQE24" s="204"/>
      <c r="OQF24" s="204"/>
      <c r="OQG24" s="204"/>
      <c r="OQH24" s="204"/>
      <c r="OQI24" s="204"/>
      <c r="OQJ24" s="204"/>
      <c r="OQK24" s="204"/>
      <c r="OQL24" s="204"/>
      <c r="OQM24" s="204"/>
      <c r="OQN24" s="204"/>
      <c r="OQO24" s="204"/>
      <c r="OQP24" s="204"/>
      <c r="OQQ24" s="204"/>
      <c r="OQR24" s="204"/>
      <c r="OQS24" s="204"/>
      <c r="OQT24" s="204"/>
      <c r="OQU24" s="204"/>
      <c r="OQV24" s="204"/>
      <c r="OQW24" s="204"/>
      <c r="OQX24" s="204"/>
      <c r="OQY24" s="204"/>
      <c r="OQZ24" s="204"/>
      <c r="ORA24" s="204"/>
      <c r="ORB24" s="204"/>
      <c r="ORC24" s="204"/>
      <c r="ORD24" s="204"/>
      <c r="ORE24" s="204"/>
      <c r="ORF24" s="204"/>
      <c r="ORG24" s="204"/>
      <c r="ORH24" s="204"/>
      <c r="ORI24" s="204"/>
      <c r="ORJ24" s="204"/>
      <c r="ORK24" s="204"/>
      <c r="ORL24" s="204"/>
      <c r="ORM24" s="204"/>
      <c r="ORN24" s="204"/>
      <c r="ORO24" s="204"/>
      <c r="ORP24" s="204"/>
      <c r="ORQ24" s="204"/>
      <c r="ORR24" s="204"/>
      <c r="ORS24" s="204"/>
      <c r="ORT24" s="204"/>
      <c r="ORU24" s="204"/>
      <c r="ORV24" s="204"/>
      <c r="ORW24" s="204"/>
      <c r="ORX24" s="204"/>
      <c r="ORY24" s="204"/>
      <c r="ORZ24" s="204"/>
      <c r="OSA24" s="204"/>
      <c r="OSB24" s="204"/>
      <c r="OSC24" s="204"/>
      <c r="OSD24" s="204"/>
      <c r="OSE24" s="204"/>
      <c r="OSF24" s="204"/>
      <c r="OSG24" s="204"/>
      <c r="OSH24" s="204"/>
      <c r="OSI24" s="204"/>
      <c r="OSJ24" s="204"/>
      <c r="OSK24" s="204"/>
      <c r="OSL24" s="204"/>
      <c r="OSM24" s="204"/>
      <c r="OSN24" s="204"/>
      <c r="OSO24" s="204"/>
      <c r="OSP24" s="204"/>
      <c r="OSQ24" s="204"/>
      <c r="OSR24" s="204"/>
      <c r="OSS24" s="204"/>
      <c r="OST24" s="204"/>
      <c r="OSU24" s="204"/>
      <c r="OSV24" s="204"/>
      <c r="OSW24" s="204"/>
      <c r="OSX24" s="204"/>
      <c r="OSY24" s="204"/>
      <c r="OSZ24" s="204"/>
      <c r="OTA24" s="204"/>
      <c r="OTB24" s="204"/>
      <c r="OTC24" s="204"/>
      <c r="OTD24" s="204"/>
      <c r="OTE24" s="204"/>
      <c r="OTF24" s="204"/>
      <c r="OTG24" s="204"/>
      <c r="OTH24" s="204"/>
      <c r="OTI24" s="204"/>
      <c r="OTJ24" s="204"/>
      <c r="OTK24" s="204"/>
      <c r="OTL24" s="204"/>
      <c r="OTM24" s="204"/>
      <c r="OTN24" s="204"/>
      <c r="OTO24" s="204"/>
      <c r="OTP24" s="204"/>
      <c r="OTQ24" s="204"/>
      <c r="OTR24" s="204"/>
      <c r="OTS24" s="204"/>
      <c r="OTT24" s="204"/>
      <c r="OTU24" s="204"/>
      <c r="OTV24" s="204"/>
      <c r="OTW24" s="204"/>
      <c r="OTX24" s="204"/>
      <c r="OTY24" s="204"/>
      <c r="OTZ24" s="204"/>
      <c r="OUA24" s="204"/>
      <c r="OUB24" s="204"/>
      <c r="OUC24" s="204"/>
      <c r="OUD24" s="204"/>
      <c r="OUE24" s="204"/>
      <c r="OUF24" s="204"/>
      <c r="OUG24" s="204"/>
      <c r="OUH24" s="204"/>
      <c r="OUI24" s="204"/>
      <c r="OUJ24" s="204"/>
      <c r="OUK24" s="204"/>
      <c r="OUL24" s="204"/>
      <c r="OUM24" s="204"/>
      <c r="OUN24" s="204"/>
      <c r="OUO24" s="204"/>
      <c r="OUP24" s="204"/>
      <c r="OUQ24" s="204"/>
      <c r="OUR24" s="204"/>
      <c r="OUS24" s="204"/>
      <c r="OUT24" s="204"/>
      <c r="OUU24" s="204"/>
      <c r="OUV24" s="204"/>
      <c r="OUW24" s="204"/>
      <c r="OUX24" s="204"/>
      <c r="OUY24" s="204"/>
      <c r="OUZ24" s="204"/>
      <c r="OVA24" s="204"/>
      <c r="OVB24" s="204"/>
      <c r="OVC24" s="204"/>
      <c r="OVD24" s="204"/>
      <c r="OVE24" s="204"/>
      <c r="OVF24" s="204"/>
      <c r="OVG24" s="204"/>
      <c r="OVH24" s="204"/>
      <c r="OVI24" s="204"/>
      <c r="OVJ24" s="204"/>
      <c r="OVK24" s="204"/>
      <c r="OVL24" s="204"/>
      <c r="OVM24" s="204"/>
      <c r="OVN24" s="204"/>
      <c r="OVO24" s="204"/>
      <c r="OVP24" s="204"/>
      <c r="OVQ24" s="204"/>
      <c r="OVR24" s="204"/>
      <c r="OVS24" s="204"/>
      <c r="OVT24" s="204"/>
      <c r="OVU24" s="204"/>
      <c r="OVV24" s="204"/>
      <c r="OVW24" s="204"/>
      <c r="OVX24" s="204"/>
      <c r="OVY24" s="204"/>
      <c r="OVZ24" s="204"/>
      <c r="OWA24" s="204"/>
      <c r="OWB24" s="204"/>
      <c r="OWC24" s="204"/>
      <c r="OWD24" s="204"/>
      <c r="OWE24" s="204"/>
      <c r="OWF24" s="204"/>
      <c r="OWG24" s="204"/>
      <c r="OWH24" s="204"/>
      <c r="OWI24" s="204"/>
      <c r="OWJ24" s="204"/>
      <c r="OWK24" s="204"/>
      <c r="OWL24" s="204"/>
      <c r="OWM24" s="204"/>
      <c r="OWN24" s="204"/>
      <c r="OWO24" s="204"/>
      <c r="OWP24" s="204"/>
      <c r="OWQ24" s="204"/>
      <c r="OWR24" s="204"/>
      <c r="OWS24" s="204"/>
      <c r="OWT24" s="204"/>
      <c r="OWU24" s="204"/>
      <c r="OWV24" s="204"/>
      <c r="OWW24" s="204"/>
      <c r="OWX24" s="204"/>
      <c r="OWY24" s="204"/>
      <c r="OWZ24" s="204"/>
      <c r="OXA24" s="204"/>
      <c r="OXB24" s="204"/>
      <c r="OXC24" s="204"/>
      <c r="OXD24" s="204"/>
      <c r="OXE24" s="204"/>
      <c r="OXF24" s="204"/>
      <c r="OXG24" s="204"/>
      <c r="OXH24" s="204"/>
      <c r="OXI24" s="204"/>
      <c r="OXJ24" s="204"/>
      <c r="OXK24" s="204"/>
      <c r="OXL24" s="204"/>
      <c r="OXM24" s="204"/>
      <c r="OXN24" s="204"/>
      <c r="OXO24" s="204"/>
      <c r="OXP24" s="204"/>
      <c r="OXQ24" s="204"/>
      <c r="OXR24" s="204"/>
      <c r="OXS24" s="204"/>
      <c r="OXT24" s="204"/>
      <c r="OXU24" s="204"/>
      <c r="OXV24" s="204"/>
      <c r="OXW24" s="204"/>
      <c r="OXX24" s="204"/>
      <c r="OXY24" s="204"/>
      <c r="OXZ24" s="204"/>
      <c r="OYA24" s="204"/>
      <c r="OYB24" s="204"/>
      <c r="OYC24" s="204"/>
      <c r="OYD24" s="204"/>
      <c r="OYE24" s="204"/>
      <c r="OYF24" s="204"/>
      <c r="OYG24" s="204"/>
      <c r="OYH24" s="204"/>
      <c r="OYI24" s="204"/>
      <c r="OYJ24" s="204"/>
      <c r="OYK24" s="204"/>
      <c r="OYL24" s="204"/>
      <c r="OYM24" s="204"/>
      <c r="OYN24" s="204"/>
      <c r="OYO24" s="204"/>
      <c r="OYP24" s="204"/>
      <c r="OYQ24" s="204"/>
      <c r="OYR24" s="204"/>
      <c r="OYS24" s="204"/>
      <c r="OYT24" s="204"/>
      <c r="OYU24" s="204"/>
      <c r="OYV24" s="204"/>
      <c r="OYW24" s="204"/>
      <c r="OYX24" s="204"/>
      <c r="OYY24" s="204"/>
      <c r="OYZ24" s="204"/>
      <c r="OZA24" s="204"/>
      <c r="OZB24" s="204"/>
      <c r="OZC24" s="204"/>
      <c r="OZD24" s="204"/>
      <c r="OZE24" s="204"/>
      <c r="OZF24" s="204"/>
      <c r="OZG24" s="204"/>
      <c r="OZH24" s="204"/>
      <c r="OZI24" s="204"/>
      <c r="OZJ24" s="204"/>
      <c r="OZK24" s="204"/>
      <c r="OZL24" s="204"/>
      <c r="OZM24" s="204"/>
      <c r="OZN24" s="204"/>
      <c r="OZO24" s="204"/>
      <c r="OZP24" s="204"/>
      <c r="OZQ24" s="204"/>
      <c r="OZR24" s="204"/>
      <c r="OZS24" s="204"/>
      <c r="OZT24" s="204"/>
      <c r="OZU24" s="204"/>
      <c r="OZV24" s="204"/>
      <c r="OZW24" s="204"/>
      <c r="OZX24" s="204"/>
      <c r="OZY24" s="204"/>
      <c r="OZZ24" s="204"/>
      <c r="PAA24" s="204"/>
      <c r="PAB24" s="204"/>
      <c r="PAC24" s="204"/>
      <c r="PAD24" s="204"/>
      <c r="PAE24" s="204"/>
      <c r="PAF24" s="204"/>
      <c r="PAG24" s="204"/>
      <c r="PAH24" s="204"/>
      <c r="PAI24" s="204"/>
      <c r="PAJ24" s="204"/>
      <c r="PAK24" s="204"/>
      <c r="PAL24" s="204"/>
      <c r="PAM24" s="204"/>
      <c r="PAN24" s="204"/>
      <c r="PAO24" s="204"/>
      <c r="PAP24" s="204"/>
      <c r="PAQ24" s="204"/>
      <c r="PAR24" s="204"/>
      <c r="PAS24" s="204"/>
      <c r="PAT24" s="204"/>
      <c r="PAU24" s="204"/>
      <c r="PAV24" s="204"/>
      <c r="PAW24" s="204"/>
      <c r="PAX24" s="204"/>
      <c r="PAY24" s="204"/>
      <c r="PAZ24" s="204"/>
      <c r="PBA24" s="204"/>
      <c r="PBB24" s="204"/>
      <c r="PBC24" s="204"/>
      <c r="PBD24" s="204"/>
      <c r="PBE24" s="204"/>
      <c r="PBF24" s="204"/>
      <c r="PBG24" s="204"/>
      <c r="PBH24" s="204"/>
      <c r="PBI24" s="204"/>
      <c r="PBJ24" s="204"/>
      <c r="PBK24" s="204"/>
      <c r="PBL24" s="204"/>
      <c r="PBM24" s="204"/>
      <c r="PBN24" s="204"/>
      <c r="PBO24" s="204"/>
      <c r="PBP24" s="204"/>
      <c r="PBQ24" s="204"/>
      <c r="PBR24" s="204"/>
      <c r="PBS24" s="204"/>
      <c r="PBT24" s="204"/>
      <c r="PBU24" s="204"/>
      <c r="PBV24" s="204"/>
      <c r="PBW24" s="204"/>
      <c r="PBX24" s="204"/>
      <c r="PBY24" s="204"/>
      <c r="PBZ24" s="204"/>
      <c r="PCA24" s="204"/>
      <c r="PCB24" s="204"/>
      <c r="PCC24" s="204"/>
      <c r="PCD24" s="204"/>
      <c r="PCE24" s="204"/>
      <c r="PCF24" s="204"/>
      <c r="PCG24" s="204"/>
      <c r="PCH24" s="204"/>
      <c r="PCI24" s="204"/>
      <c r="PCJ24" s="204"/>
      <c r="PCK24" s="204"/>
      <c r="PCL24" s="204"/>
      <c r="PCM24" s="204"/>
      <c r="PCN24" s="204"/>
      <c r="PCO24" s="204"/>
      <c r="PCP24" s="204"/>
      <c r="PCQ24" s="204"/>
      <c r="PCR24" s="204"/>
      <c r="PCS24" s="204"/>
      <c r="PCT24" s="204"/>
      <c r="PCU24" s="204"/>
      <c r="PCV24" s="204"/>
      <c r="PCW24" s="204"/>
      <c r="PCX24" s="204"/>
      <c r="PCY24" s="204"/>
      <c r="PCZ24" s="204"/>
      <c r="PDA24" s="204"/>
      <c r="PDB24" s="204"/>
      <c r="PDC24" s="204"/>
      <c r="PDD24" s="204"/>
      <c r="PDE24" s="204"/>
      <c r="PDF24" s="204"/>
      <c r="PDG24" s="204"/>
      <c r="PDH24" s="204"/>
      <c r="PDI24" s="204"/>
      <c r="PDJ24" s="204"/>
      <c r="PDK24" s="204"/>
      <c r="PDL24" s="204"/>
      <c r="PDM24" s="204"/>
      <c r="PDN24" s="204"/>
      <c r="PDO24" s="204"/>
      <c r="PDP24" s="204"/>
      <c r="PDQ24" s="204"/>
      <c r="PDR24" s="204"/>
      <c r="PDS24" s="204"/>
      <c r="PDT24" s="204"/>
      <c r="PDU24" s="204"/>
      <c r="PDV24" s="204"/>
      <c r="PDW24" s="204"/>
      <c r="PDX24" s="204"/>
      <c r="PDY24" s="204"/>
      <c r="PDZ24" s="204"/>
      <c r="PEA24" s="204"/>
      <c r="PEB24" s="204"/>
      <c r="PEC24" s="204"/>
      <c r="PED24" s="204"/>
      <c r="PEE24" s="204"/>
      <c r="PEF24" s="204"/>
      <c r="PEG24" s="204"/>
      <c r="PEH24" s="204"/>
      <c r="PEI24" s="204"/>
      <c r="PEJ24" s="204"/>
      <c r="PEK24" s="204"/>
      <c r="PEL24" s="204"/>
      <c r="PEM24" s="204"/>
      <c r="PEN24" s="204"/>
      <c r="PEO24" s="204"/>
      <c r="PEP24" s="204"/>
      <c r="PEQ24" s="204"/>
      <c r="PER24" s="204"/>
      <c r="PES24" s="204"/>
      <c r="PET24" s="204"/>
      <c r="PEU24" s="204"/>
      <c r="PEV24" s="204"/>
      <c r="PEW24" s="204"/>
      <c r="PEX24" s="204"/>
      <c r="PEY24" s="204"/>
      <c r="PEZ24" s="204"/>
      <c r="PFA24" s="204"/>
      <c r="PFB24" s="204"/>
      <c r="PFC24" s="204"/>
      <c r="PFD24" s="204"/>
      <c r="PFE24" s="204"/>
      <c r="PFF24" s="204"/>
      <c r="PFG24" s="204"/>
      <c r="PFH24" s="204"/>
      <c r="PFI24" s="204"/>
      <c r="PFJ24" s="204"/>
      <c r="PFK24" s="204"/>
      <c r="PFL24" s="204"/>
      <c r="PFM24" s="204"/>
      <c r="PFN24" s="204"/>
      <c r="PFO24" s="204"/>
      <c r="PFP24" s="204"/>
      <c r="PFQ24" s="204"/>
      <c r="PFR24" s="204"/>
      <c r="PFS24" s="204"/>
      <c r="PFT24" s="204"/>
      <c r="PFU24" s="204"/>
      <c r="PFV24" s="204"/>
      <c r="PFW24" s="204"/>
      <c r="PFX24" s="204"/>
      <c r="PFY24" s="204"/>
      <c r="PFZ24" s="204"/>
      <c r="PGA24" s="204"/>
      <c r="PGB24" s="204"/>
      <c r="PGC24" s="204"/>
      <c r="PGD24" s="204"/>
      <c r="PGE24" s="204"/>
      <c r="PGF24" s="204"/>
      <c r="PGG24" s="204"/>
      <c r="PGH24" s="204"/>
      <c r="PGI24" s="204"/>
      <c r="PGJ24" s="204"/>
      <c r="PGK24" s="204"/>
      <c r="PGL24" s="204"/>
      <c r="PGM24" s="204"/>
      <c r="PGN24" s="204"/>
      <c r="PGO24" s="204"/>
      <c r="PGP24" s="204"/>
      <c r="PGQ24" s="204"/>
      <c r="PGR24" s="204"/>
      <c r="PGS24" s="204"/>
      <c r="PGT24" s="204"/>
      <c r="PGU24" s="204"/>
      <c r="PGV24" s="204"/>
      <c r="PGW24" s="204"/>
      <c r="PGX24" s="204"/>
      <c r="PGY24" s="204"/>
      <c r="PGZ24" s="204"/>
      <c r="PHA24" s="204"/>
      <c r="PHB24" s="204"/>
      <c r="PHC24" s="204"/>
      <c r="PHD24" s="204"/>
      <c r="PHE24" s="204"/>
      <c r="PHF24" s="204"/>
      <c r="PHG24" s="204"/>
      <c r="PHH24" s="204"/>
      <c r="PHI24" s="204"/>
      <c r="PHJ24" s="204"/>
      <c r="PHK24" s="204"/>
      <c r="PHL24" s="204"/>
      <c r="PHM24" s="204"/>
      <c r="PHN24" s="204"/>
      <c r="PHO24" s="204"/>
      <c r="PHP24" s="204"/>
      <c r="PHQ24" s="204"/>
      <c r="PHR24" s="204"/>
      <c r="PHS24" s="204"/>
      <c r="PHT24" s="204"/>
      <c r="PHU24" s="204"/>
      <c r="PHV24" s="204"/>
      <c r="PHW24" s="204"/>
      <c r="PHX24" s="204"/>
      <c r="PHY24" s="204"/>
      <c r="PHZ24" s="204"/>
      <c r="PIA24" s="204"/>
      <c r="PIB24" s="204"/>
      <c r="PIC24" s="204"/>
      <c r="PID24" s="204"/>
      <c r="PIE24" s="204"/>
      <c r="PIF24" s="204"/>
      <c r="PIG24" s="204"/>
      <c r="PIH24" s="204"/>
      <c r="PII24" s="204"/>
      <c r="PIJ24" s="204"/>
      <c r="PIK24" s="204"/>
      <c r="PIL24" s="204"/>
      <c r="PIM24" s="204"/>
      <c r="PIN24" s="204"/>
      <c r="PIO24" s="204"/>
      <c r="PIP24" s="204"/>
      <c r="PIQ24" s="204"/>
      <c r="PIR24" s="204"/>
      <c r="PIS24" s="204"/>
      <c r="PIT24" s="204"/>
      <c r="PIU24" s="204"/>
      <c r="PIV24" s="204"/>
      <c r="PIW24" s="204"/>
      <c r="PIX24" s="204"/>
      <c r="PIY24" s="204"/>
      <c r="PIZ24" s="204"/>
      <c r="PJA24" s="204"/>
      <c r="PJB24" s="204"/>
      <c r="PJC24" s="204"/>
      <c r="PJD24" s="204"/>
      <c r="PJE24" s="204"/>
      <c r="PJF24" s="204"/>
      <c r="PJG24" s="204"/>
      <c r="PJH24" s="204"/>
      <c r="PJI24" s="204"/>
      <c r="PJJ24" s="204"/>
      <c r="PJK24" s="204"/>
      <c r="PJL24" s="204"/>
      <c r="PJM24" s="204"/>
      <c r="PJN24" s="204"/>
      <c r="PJO24" s="204"/>
      <c r="PJP24" s="204"/>
      <c r="PJQ24" s="204"/>
      <c r="PJR24" s="204"/>
      <c r="PJS24" s="204"/>
      <c r="PJT24" s="204"/>
      <c r="PJU24" s="204"/>
      <c r="PJV24" s="204"/>
      <c r="PJW24" s="204"/>
      <c r="PJX24" s="204"/>
      <c r="PJY24" s="204"/>
      <c r="PJZ24" s="204"/>
      <c r="PKA24" s="204"/>
      <c r="PKB24" s="204"/>
      <c r="PKC24" s="204"/>
      <c r="PKD24" s="204"/>
      <c r="PKE24" s="204"/>
      <c r="PKF24" s="204"/>
      <c r="PKG24" s="204"/>
      <c r="PKH24" s="204"/>
      <c r="PKI24" s="204"/>
      <c r="PKJ24" s="204"/>
      <c r="PKK24" s="204"/>
      <c r="PKL24" s="204"/>
      <c r="PKM24" s="204"/>
      <c r="PKN24" s="204"/>
      <c r="PKO24" s="204"/>
      <c r="PKP24" s="204"/>
      <c r="PKQ24" s="204"/>
      <c r="PKR24" s="204"/>
      <c r="PKS24" s="204"/>
      <c r="PKT24" s="204"/>
      <c r="PKU24" s="204"/>
      <c r="PKV24" s="204"/>
      <c r="PKW24" s="204"/>
      <c r="PKX24" s="204"/>
      <c r="PKY24" s="204"/>
      <c r="PKZ24" s="204"/>
      <c r="PLA24" s="204"/>
      <c r="PLB24" s="204"/>
      <c r="PLC24" s="204"/>
      <c r="PLD24" s="204"/>
      <c r="PLE24" s="204"/>
      <c r="PLF24" s="204"/>
      <c r="PLG24" s="204"/>
      <c r="PLH24" s="204"/>
      <c r="PLI24" s="204"/>
      <c r="PLJ24" s="204"/>
      <c r="PLK24" s="204"/>
      <c r="PLL24" s="204"/>
      <c r="PLM24" s="204"/>
      <c r="PLN24" s="204"/>
      <c r="PLO24" s="204"/>
      <c r="PLP24" s="204"/>
      <c r="PLQ24" s="204"/>
      <c r="PLR24" s="204"/>
      <c r="PLS24" s="204"/>
      <c r="PLT24" s="204"/>
      <c r="PLU24" s="204"/>
      <c r="PLV24" s="204"/>
      <c r="PLW24" s="204"/>
      <c r="PLX24" s="204"/>
      <c r="PLY24" s="204"/>
      <c r="PLZ24" s="204"/>
      <c r="PMA24" s="204"/>
      <c r="PMB24" s="204"/>
      <c r="PMC24" s="204"/>
      <c r="PMD24" s="204"/>
      <c r="PME24" s="204"/>
      <c r="PMF24" s="204"/>
      <c r="PMG24" s="204"/>
      <c r="PMH24" s="204"/>
      <c r="PMI24" s="204"/>
      <c r="PMJ24" s="204"/>
      <c r="PMK24" s="204"/>
      <c r="PML24" s="204"/>
      <c r="PMM24" s="204"/>
      <c r="PMN24" s="204"/>
      <c r="PMO24" s="204"/>
      <c r="PMP24" s="204"/>
      <c r="PMQ24" s="204"/>
      <c r="PMR24" s="204"/>
      <c r="PMS24" s="204"/>
      <c r="PMT24" s="204"/>
      <c r="PMU24" s="204"/>
      <c r="PMV24" s="204"/>
      <c r="PMW24" s="204"/>
      <c r="PMX24" s="204"/>
      <c r="PMY24" s="204"/>
      <c r="PMZ24" s="204"/>
      <c r="PNA24" s="204"/>
      <c r="PNB24" s="204"/>
      <c r="PNC24" s="204"/>
      <c r="PND24" s="204"/>
      <c r="PNE24" s="204"/>
      <c r="PNF24" s="204"/>
      <c r="PNG24" s="204"/>
      <c r="PNH24" s="204"/>
      <c r="PNI24" s="204"/>
      <c r="PNJ24" s="204"/>
      <c r="PNK24" s="204"/>
      <c r="PNL24" s="204"/>
      <c r="PNM24" s="204"/>
      <c r="PNN24" s="204"/>
      <c r="PNO24" s="204"/>
      <c r="PNP24" s="204"/>
      <c r="PNQ24" s="204"/>
      <c r="PNR24" s="204"/>
      <c r="PNS24" s="204"/>
      <c r="PNT24" s="204"/>
      <c r="PNU24" s="204"/>
      <c r="PNV24" s="204"/>
      <c r="PNW24" s="204"/>
      <c r="PNX24" s="204"/>
      <c r="PNY24" s="204"/>
      <c r="PNZ24" s="204"/>
      <c r="POA24" s="204"/>
      <c r="POB24" s="204"/>
      <c r="POC24" s="204"/>
      <c r="POD24" s="204"/>
      <c r="POE24" s="204"/>
      <c r="POF24" s="204"/>
      <c r="POG24" s="204"/>
      <c r="POH24" s="204"/>
      <c r="POI24" s="204"/>
      <c r="POJ24" s="204"/>
      <c r="POK24" s="204"/>
      <c r="POL24" s="204"/>
      <c r="POM24" s="204"/>
      <c r="PON24" s="204"/>
      <c r="POO24" s="204"/>
      <c r="POP24" s="204"/>
      <c r="POQ24" s="204"/>
      <c r="POR24" s="204"/>
      <c r="POS24" s="204"/>
      <c r="POT24" s="204"/>
      <c r="POU24" s="204"/>
      <c r="POV24" s="204"/>
      <c r="POW24" s="204"/>
      <c r="POX24" s="204"/>
      <c r="POY24" s="204"/>
      <c r="POZ24" s="204"/>
      <c r="PPA24" s="204"/>
      <c r="PPB24" s="204"/>
      <c r="PPC24" s="204"/>
      <c r="PPD24" s="204"/>
      <c r="PPE24" s="204"/>
      <c r="PPF24" s="204"/>
      <c r="PPG24" s="204"/>
      <c r="PPH24" s="204"/>
      <c r="PPI24" s="204"/>
      <c r="PPJ24" s="204"/>
      <c r="PPK24" s="204"/>
      <c r="PPL24" s="204"/>
      <c r="PPM24" s="204"/>
      <c r="PPN24" s="204"/>
      <c r="PPO24" s="204"/>
      <c r="PPP24" s="204"/>
      <c r="PPQ24" s="204"/>
      <c r="PPR24" s="204"/>
      <c r="PPS24" s="204"/>
      <c r="PPT24" s="204"/>
      <c r="PPU24" s="204"/>
      <c r="PPV24" s="204"/>
      <c r="PPW24" s="204"/>
      <c r="PPX24" s="204"/>
      <c r="PPY24" s="204"/>
      <c r="PPZ24" s="204"/>
      <c r="PQA24" s="204"/>
      <c r="PQB24" s="204"/>
      <c r="PQC24" s="204"/>
      <c r="PQD24" s="204"/>
      <c r="PQE24" s="204"/>
      <c r="PQF24" s="204"/>
      <c r="PQG24" s="204"/>
      <c r="PQH24" s="204"/>
      <c r="PQI24" s="204"/>
      <c r="PQJ24" s="204"/>
      <c r="PQK24" s="204"/>
      <c r="PQL24" s="204"/>
      <c r="PQM24" s="204"/>
      <c r="PQN24" s="204"/>
      <c r="PQO24" s="204"/>
      <c r="PQP24" s="204"/>
      <c r="PQQ24" s="204"/>
      <c r="PQR24" s="204"/>
      <c r="PQS24" s="204"/>
      <c r="PQT24" s="204"/>
      <c r="PQU24" s="204"/>
      <c r="PQV24" s="204"/>
      <c r="PQW24" s="204"/>
      <c r="PQX24" s="204"/>
      <c r="PQY24" s="204"/>
      <c r="PQZ24" s="204"/>
      <c r="PRA24" s="204"/>
      <c r="PRB24" s="204"/>
      <c r="PRC24" s="204"/>
      <c r="PRD24" s="204"/>
      <c r="PRE24" s="204"/>
      <c r="PRF24" s="204"/>
      <c r="PRG24" s="204"/>
      <c r="PRH24" s="204"/>
      <c r="PRI24" s="204"/>
      <c r="PRJ24" s="204"/>
      <c r="PRK24" s="204"/>
      <c r="PRL24" s="204"/>
      <c r="PRM24" s="204"/>
      <c r="PRN24" s="204"/>
      <c r="PRO24" s="204"/>
      <c r="PRP24" s="204"/>
      <c r="PRQ24" s="204"/>
      <c r="PRR24" s="204"/>
      <c r="PRS24" s="204"/>
      <c r="PRT24" s="204"/>
      <c r="PRU24" s="204"/>
      <c r="PRV24" s="204"/>
      <c r="PRW24" s="204"/>
      <c r="PRX24" s="204"/>
      <c r="PRY24" s="204"/>
      <c r="PRZ24" s="204"/>
      <c r="PSA24" s="204"/>
      <c r="PSB24" s="204"/>
      <c r="PSC24" s="204"/>
      <c r="PSD24" s="204"/>
      <c r="PSE24" s="204"/>
      <c r="PSF24" s="204"/>
      <c r="PSG24" s="204"/>
      <c r="PSH24" s="204"/>
      <c r="PSI24" s="204"/>
      <c r="PSJ24" s="204"/>
      <c r="PSK24" s="204"/>
      <c r="PSL24" s="204"/>
      <c r="PSM24" s="204"/>
      <c r="PSN24" s="204"/>
      <c r="PSO24" s="204"/>
      <c r="PSP24" s="204"/>
      <c r="PSQ24" s="204"/>
      <c r="PSR24" s="204"/>
      <c r="PSS24" s="204"/>
      <c r="PST24" s="204"/>
      <c r="PSU24" s="204"/>
      <c r="PSV24" s="204"/>
      <c r="PSW24" s="204"/>
      <c r="PSX24" s="204"/>
      <c r="PSY24" s="204"/>
      <c r="PSZ24" s="204"/>
      <c r="PTA24" s="204"/>
      <c r="PTB24" s="204"/>
      <c r="PTC24" s="204"/>
      <c r="PTD24" s="204"/>
      <c r="PTE24" s="204"/>
      <c r="PTF24" s="204"/>
      <c r="PTG24" s="204"/>
      <c r="PTH24" s="204"/>
      <c r="PTI24" s="204"/>
      <c r="PTJ24" s="204"/>
      <c r="PTK24" s="204"/>
      <c r="PTL24" s="204"/>
      <c r="PTM24" s="204"/>
      <c r="PTN24" s="204"/>
      <c r="PTO24" s="204"/>
      <c r="PTP24" s="204"/>
      <c r="PTQ24" s="204"/>
      <c r="PTR24" s="204"/>
      <c r="PTS24" s="204"/>
      <c r="PTT24" s="204"/>
      <c r="PTU24" s="204"/>
      <c r="PTV24" s="204"/>
      <c r="PTW24" s="204"/>
      <c r="PTX24" s="204"/>
      <c r="PTY24" s="204"/>
      <c r="PTZ24" s="204"/>
      <c r="PUA24" s="204"/>
      <c r="PUB24" s="204"/>
      <c r="PUC24" s="204"/>
      <c r="PUD24" s="204"/>
      <c r="PUE24" s="204"/>
      <c r="PUF24" s="204"/>
      <c r="PUG24" s="204"/>
      <c r="PUH24" s="204"/>
      <c r="PUI24" s="204"/>
      <c r="PUJ24" s="204"/>
      <c r="PUK24" s="204"/>
      <c r="PUL24" s="204"/>
      <c r="PUM24" s="204"/>
      <c r="PUN24" s="204"/>
      <c r="PUO24" s="204"/>
      <c r="PUP24" s="204"/>
      <c r="PUQ24" s="204"/>
      <c r="PUR24" s="204"/>
      <c r="PUS24" s="204"/>
      <c r="PUT24" s="204"/>
      <c r="PUU24" s="204"/>
      <c r="PUV24" s="204"/>
      <c r="PUW24" s="204"/>
      <c r="PUX24" s="204"/>
      <c r="PUY24" s="204"/>
      <c r="PUZ24" s="204"/>
      <c r="PVA24" s="204"/>
      <c r="PVB24" s="204"/>
      <c r="PVC24" s="204"/>
      <c r="PVD24" s="204"/>
      <c r="PVE24" s="204"/>
      <c r="PVF24" s="204"/>
      <c r="PVG24" s="204"/>
      <c r="PVH24" s="204"/>
      <c r="PVI24" s="204"/>
      <c r="PVJ24" s="204"/>
      <c r="PVK24" s="204"/>
      <c r="PVL24" s="204"/>
      <c r="PVM24" s="204"/>
      <c r="PVN24" s="204"/>
      <c r="PVO24" s="204"/>
      <c r="PVP24" s="204"/>
      <c r="PVQ24" s="204"/>
      <c r="PVR24" s="204"/>
      <c r="PVS24" s="204"/>
      <c r="PVT24" s="204"/>
      <c r="PVU24" s="204"/>
      <c r="PVV24" s="204"/>
      <c r="PVW24" s="204"/>
      <c r="PVX24" s="204"/>
      <c r="PVY24" s="204"/>
      <c r="PVZ24" s="204"/>
      <c r="PWA24" s="204"/>
      <c r="PWB24" s="204"/>
      <c r="PWC24" s="204"/>
      <c r="PWD24" s="204"/>
      <c r="PWE24" s="204"/>
      <c r="PWF24" s="204"/>
      <c r="PWG24" s="204"/>
      <c r="PWH24" s="204"/>
      <c r="PWI24" s="204"/>
      <c r="PWJ24" s="204"/>
      <c r="PWK24" s="204"/>
      <c r="PWL24" s="204"/>
      <c r="PWM24" s="204"/>
      <c r="PWN24" s="204"/>
      <c r="PWO24" s="204"/>
      <c r="PWP24" s="204"/>
      <c r="PWQ24" s="204"/>
      <c r="PWR24" s="204"/>
      <c r="PWS24" s="204"/>
      <c r="PWT24" s="204"/>
      <c r="PWU24" s="204"/>
      <c r="PWV24" s="204"/>
      <c r="PWW24" s="204"/>
      <c r="PWX24" s="204"/>
      <c r="PWY24" s="204"/>
      <c r="PWZ24" s="204"/>
      <c r="PXA24" s="204"/>
      <c r="PXB24" s="204"/>
      <c r="PXC24" s="204"/>
      <c r="PXD24" s="204"/>
      <c r="PXE24" s="204"/>
      <c r="PXF24" s="204"/>
      <c r="PXG24" s="204"/>
      <c r="PXH24" s="204"/>
      <c r="PXI24" s="204"/>
      <c r="PXJ24" s="204"/>
      <c r="PXK24" s="204"/>
      <c r="PXL24" s="204"/>
      <c r="PXM24" s="204"/>
      <c r="PXN24" s="204"/>
      <c r="PXO24" s="204"/>
      <c r="PXP24" s="204"/>
      <c r="PXQ24" s="204"/>
      <c r="PXR24" s="204"/>
      <c r="PXS24" s="204"/>
      <c r="PXT24" s="204"/>
      <c r="PXU24" s="204"/>
      <c r="PXV24" s="204"/>
      <c r="PXW24" s="204"/>
      <c r="PXX24" s="204"/>
      <c r="PXY24" s="204"/>
      <c r="PXZ24" s="204"/>
      <c r="PYA24" s="204"/>
      <c r="PYB24" s="204"/>
      <c r="PYC24" s="204"/>
      <c r="PYD24" s="204"/>
      <c r="PYE24" s="204"/>
      <c r="PYF24" s="204"/>
      <c r="PYG24" s="204"/>
      <c r="PYH24" s="204"/>
      <c r="PYI24" s="204"/>
      <c r="PYJ24" s="204"/>
      <c r="PYK24" s="204"/>
      <c r="PYL24" s="204"/>
      <c r="PYM24" s="204"/>
      <c r="PYN24" s="204"/>
      <c r="PYO24" s="204"/>
      <c r="PYP24" s="204"/>
      <c r="PYQ24" s="204"/>
      <c r="PYR24" s="204"/>
      <c r="PYS24" s="204"/>
      <c r="PYT24" s="204"/>
      <c r="PYU24" s="204"/>
      <c r="PYV24" s="204"/>
      <c r="PYW24" s="204"/>
      <c r="PYX24" s="204"/>
      <c r="PYY24" s="204"/>
      <c r="PYZ24" s="204"/>
      <c r="PZA24" s="204"/>
      <c r="PZB24" s="204"/>
      <c r="PZC24" s="204"/>
      <c r="PZD24" s="204"/>
      <c r="PZE24" s="204"/>
      <c r="PZF24" s="204"/>
      <c r="PZG24" s="204"/>
      <c r="PZH24" s="204"/>
      <c r="PZI24" s="204"/>
      <c r="PZJ24" s="204"/>
      <c r="PZK24" s="204"/>
      <c r="PZL24" s="204"/>
      <c r="PZM24" s="204"/>
      <c r="PZN24" s="204"/>
      <c r="PZO24" s="204"/>
      <c r="PZP24" s="204"/>
      <c r="PZQ24" s="204"/>
      <c r="PZR24" s="204"/>
      <c r="PZS24" s="204"/>
      <c r="PZT24" s="204"/>
      <c r="PZU24" s="204"/>
      <c r="PZV24" s="204"/>
      <c r="PZW24" s="204"/>
      <c r="PZX24" s="204"/>
      <c r="PZY24" s="204"/>
      <c r="PZZ24" s="204"/>
      <c r="QAA24" s="204"/>
      <c r="QAB24" s="204"/>
      <c r="QAC24" s="204"/>
      <c r="QAD24" s="204"/>
      <c r="QAE24" s="204"/>
      <c r="QAF24" s="204"/>
      <c r="QAG24" s="204"/>
      <c r="QAH24" s="204"/>
      <c r="QAI24" s="204"/>
      <c r="QAJ24" s="204"/>
      <c r="QAK24" s="204"/>
      <c r="QAL24" s="204"/>
      <c r="QAM24" s="204"/>
      <c r="QAN24" s="204"/>
      <c r="QAO24" s="204"/>
      <c r="QAP24" s="204"/>
      <c r="QAQ24" s="204"/>
      <c r="QAR24" s="204"/>
      <c r="QAS24" s="204"/>
      <c r="QAT24" s="204"/>
      <c r="QAU24" s="204"/>
      <c r="QAV24" s="204"/>
      <c r="QAW24" s="204"/>
      <c r="QAX24" s="204"/>
      <c r="QAY24" s="204"/>
      <c r="QAZ24" s="204"/>
      <c r="QBA24" s="204"/>
      <c r="QBB24" s="204"/>
      <c r="QBC24" s="204"/>
      <c r="QBD24" s="204"/>
      <c r="QBE24" s="204"/>
      <c r="QBF24" s="204"/>
      <c r="QBG24" s="204"/>
      <c r="QBH24" s="204"/>
      <c r="QBI24" s="204"/>
      <c r="QBJ24" s="204"/>
      <c r="QBK24" s="204"/>
      <c r="QBL24" s="204"/>
      <c r="QBM24" s="204"/>
      <c r="QBN24" s="204"/>
      <c r="QBO24" s="204"/>
      <c r="QBP24" s="204"/>
      <c r="QBQ24" s="204"/>
      <c r="QBR24" s="204"/>
      <c r="QBS24" s="204"/>
      <c r="QBT24" s="204"/>
      <c r="QBU24" s="204"/>
      <c r="QBV24" s="204"/>
      <c r="QBW24" s="204"/>
      <c r="QBX24" s="204"/>
      <c r="QBY24" s="204"/>
      <c r="QBZ24" s="204"/>
      <c r="QCA24" s="204"/>
      <c r="QCB24" s="204"/>
      <c r="QCC24" s="204"/>
      <c r="QCD24" s="204"/>
      <c r="QCE24" s="204"/>
      <c r="QCF24" s="204"/>
      <c r="QCG24" s="204"/>
      <c r="QCH24" s="204"/>
      <c r="QCI24" s="204"/>
      <c r="QCJ24" s="204"/>
      <c r="QCK24" s="204"/>
      <c r="QCL24" s="204"/>
      <c r="QCM24" s="204"/>
      <c r="QCN24" s="204"/>
      <c r="QCO24" s="204"/>
      <c r="QCP24" s="204"/>
      <c r="QCQ24" s="204"/>
      <c r="QCR24" s="204"/>
      <c r="QCS24" s="204"/>
      <c r="QCT24" s="204"/>
      <c r="QCU24" s="204"/>
      <c r="QCV24" s="204"/>
      <c r="QCW24" s="204"/>
      <c r="QCX24" s="204"/>
      <c r="QCY24" s="204"/>
      <c r="QCZ24" s="204"/>
      <c r="QDA24" s="204"/>
      <c r="QDB24" s="204"/>
      <c r="QDC24" s="204"/>
      <c r="QDD24" s="204"/>
      <c r="QDE24" s="204"/>
      <c r="QDF24" s="204"/>
      <c r="QDG24" s="204"/>
      <c r="QDH24" s="204"/>
      <c r="QDI24" s="204"/>
      <c r="QDJ24" s="204"/>
      <c r="QDK24" s="204"/>
      <c r="QDL24" s="204"/>
      <c r="QDM24" s="204"/>
      <c r="QDN24" s="204"/>
      <c r="QDO24" s="204"/>
      <c r="QDP24" s="204"/>
      <c r="QDQ24" s="204"/>
      <c r="QDR24" s="204"/>
      <c r="QDS24" s="204"/>
      <c r="QDT24" s="204"/>
      <c r="QDU24" s="204"/>
      <c r="QDV24" s="204"/>
      <c r="QDW24" s="204"/>
      <c r="QDX24" s="204"/>
      <c r="QDY24" s="204"/>
      <c r="QDZ24" s="204"/>
      <c r="QEA24" s="204"/>
      <c r="QEB24" s="204"/>
      <c r="QEC24" s="204"/>
      <c r="QED24" s="204"/>
      <c r="QEE24" s="204"/>
      <c r="QEF24" s="204"/>
      <c r="QEG24" s="204"/>
      <c r="QEH24" s="204"/>
      <c r="QEI24" s="204"/>
      <c r="QEJ24" s="204"/>
      <c r="QEK24" s="204"/>
      <c r="QEL24" s="204"/>
      <c r="QEM24" s="204"/>
      <c r="QEN24" s="204"/>
      <c r="QEO24" s="204"/>
      <c r="QEP24" s="204"/>
      <c r="QEQ24" s="204"/>
      <c r="QER24" s="204"/>
      <c r="QES24" s="204"/>
      <c r="QET24" s="204"/>
      <c r="QEU24" s="204"/>
      <c r="QEV24" s="204"/>
      <c r="QEW24" s="204"/>
      <c r="QEX24" s="204"/>
      <c r="QEY24" s="204"/>
      <c r="QEZ24" s="204"/>
      <c r="QFA24" s="204"/>
      <c r="QFB24" s="204"/>
      <c r="QFC24" s="204"/>
      <c r="QFD24" s="204"/>
      <c r="QFE24" s="204"/>
      <c r="QFF24" s="204"/>
      <c r="QFG24" s="204"/>
      <c r="QFH24" s="204"/>
      <c r="QFI24" s="204"/>
      <c r="QFJ24" s="204"/>
      <c r="QFK24" s="204"/>
      <c r="QFL24" s="204"/>
      <c r="QFM24" s="204"/>
      <c r="QFN24" s="204"/>
      <c r="QFO24" s="204"/>
      <c r="QFP24" s="204"/>
      <c r="QFQ24" s="204"/>
      <c r="QFR24" s="204"/>
      <c r="QFS24" s="204"/>
      <c r="QFT24" s="204"/>
      <c r="QFU24" s="204"/>
      <c r="QFV24" s="204"/>
      <c r="QFW24" s="204"/>
      <c r="QFX24" s="204"/>
      <c r="QFY24" s="204"/>
      <c r="QFZ24" s="204"/>
      <c r="QGA24" s="204"/>
      <c r="QGB24" s="204"/>
      <c r="QGC24" s="204"/>
      <c r="QGD24" s="204"/>
      <c r="QGE24" s="204"/>
      <c r="QGF24" s="204"/>
      <c r="QGG24" s="204"/>
      <c r="QGH24" s="204"/>
      <c r="QGI24" s="204"/>
      <c r="QGJ24" s="204"/>
      <c r="QGK24" s="204"/>
      <c r="QGL24" s="204"/>
      <c r="QGM24" s="204"/>
      <c r="QGN24" s="204"/>
      <c r="QGO24" s="204"/>
      <c r="QGP24" s="204"/>
      <c r="QGQ24" s="204"/>
      <c r="QGR24" s="204"/>
      <c r="QGS24" s="204"/>
      <c r="QGT24" s="204"/>
      <c r="QGU24" s="204"/>
      <c r="QGV24" s="204"/>
      <c r="QGW24" s="204"/>
      <c r="QGX24" s="204"/>
      <c r="QGY24" s="204"/>
      <c r="QGZ24" s="204"/>
      <c r="QHA24" s="204"/>
      <c r="QHB24" s="204"/>
      <c r="QHC24" s="204"/>
      <c r="QHD24" s="204"/>
      <c r="QHE24" s="204"/>
      <c r="QHF24" s="204"/>
      <c r="QHG24" s="204"/>
      <c r="QHH24" s="204"/>
      <c r="QHI24" s="204"/>
      <c r="QHJ24" s="204"/>
      <c r="QHK24" s="204"/>
      <c r="QHL24" s="204"/>
      <c r="QHM24" s="204"/>
      <c r="QHN24" s="204"/>
      <c r="QHO24" s="204"/>
      <c r="QHP24" s="204"/>
      <c r="QHQ24" s="204"/>
      <c r="QHR24" s="204"/>
      <c r="QHS24" s="204"/>
      <c r="QHT24" s="204"/>
      <c r="QHU24" s="204"/>
      <c r="QHV24" s="204"/>
      <c r="QHW24" s="204"/>
      <c r="QHX24" s="204"/>
      <c r="QHY24" s="204"/>
      <c r="QHZ24" s="204"/>
      <c r="QIA24" s="204"/>
      <c r="QIB24" s="204"/>
      <c r="QIC24" s="204"/>
      <c r="QID24" s="204"/>
      <c r="QIE24" s="204"/>
      <c r="QIF24" s="204"/>
      <c r="QIG24" s="204"/>
      <c r="QIH24" s="204"/>
      <c r="QII24" s="204"/>
      <c r="QIJ24" s="204"/>
      <c r="QIK24" s="204"/>
      <c r="QIL24" s="204"/>
      <c r="QIM24" s="204"/>
      <c r="QIN24" s="204"/>
      <c r="QIO24" s="204"/>
      <c r="QIP24" s="204"/>
      <c r="QIQ24" s="204"/>
      <c r="QIR24" s="204"/>
      <c r="QIS24" s="204"/>
      <c r="QIT24" s="204"/>
      <c r="QIU24" s="204"/>
      <c r="QIV24" s="204"/>
      <c r="QIW24" s="204"/>
      <c r="QIX24" s="204"/>
      <c r="QIY24" s="204"/>
      <c r="QIZ24" s="204"/>
      <c r="QJA24" s="204"/>
      <c r="QJB24" s="204"/>
      <c r="QJC24" s="204"/>
      <c r="QJD24" s="204"/>
      <c r="QJE24" s="204"/>
      <c r="QJF24" s="204"/>
      <c r="QJG24" s="204"/>
      <c r="QJH24" s="204"/>
      <c r="QJI24" s="204"/>
      <c r="QJJ24" s="204"/>
      <c r="QJK24" s="204"/>
      <c r="QJL24" s="204"/>
      <c r="QJM24" s="204"/>
      <c r="QJN24" s="204"/>
      <c r="QJO24" s="204"/>
      <c r="QJP24" s="204"/>
      <c r="QJQ24" s="204"/>
      <c r="QJR24" s="204"/>
      <c r="QJS24" s="204"/>
      <c r="QJT24" s="204"/>
      <c r="QJU24" s="204"/>
      <c r="QJV24" s="204"/>
      <c r="QJW24" s="204"/>
      <c r="QJX24" s="204"/>
      <c r="QJY24" s="204"/>
      <c r="QJZ24" s="204"/>
      <c r="QKA24" s="204"/>
      <c r="QKB24" s="204"/>
      <c r="QKC24" s="204"/>
      <c r="QKD24" s="204"/>
      <c r="QKE24" s="204"/>
      <c r="QKF24" s="204"/>
      <c r="QKG24" s="204"/>
      <c r="QKH24" s="204"/>
      <c r="QKI24" s="204"/>
      <c r="QKJ24" s="204"/>
      <c r="QKK24" s="204"/>
      <c r="QKL24" s="204"/>
      <c r="QKM24" s="204"/>
      <c r="QKN24" s="204"/>
      <c r="QKO24" s="204"/>
      <c r="QKP24" s="204"/>
      <c r="QKQ24" s="204"/>
      <c r="QKR24" s="204"/>
      <c r="QKS24" s="204"/>
      <c r="QKT24" s="204"/>
      <c r="QKU24" s="204"/>
      <c r="QKV24" s="204"/>
      <c r="QKW24" s="204"/>
      <c r="QKX24" s="204"/>
      <c r="QKY24" s="204"/>
      <c r="QKZ24" s="204"/>
      <c r="QLA24" s="204"/>
      <c r="QLB24" s="204"/>
      <c r="QLC24" s="204"/>
      <c r="QLD24" s="204"/>
      <c r="QLE24" s="204"/>
      <c r="QLF24" s="204"/>
      <c r="QLG24" s="204"/>
      <c r="QLH24" s="204"/>
      <c r="QLI24" s="204"/>
      <c r="QLJ24" s="204"/>
      <c r="QLK24" s="204"/>
      <c r="QLL24" s="204"/>
      <c r="QLM24" s="204"/>
      <c r="QLN24" s="204"/>
      <c r="QLO24" s="204"/>
      <c r="QLP24" s="204"/>
      <c r="QLQ24" s="204"/>
      <c r="QLR24" s="204"/>
      <c r="QLS24" s="204"/>
      <c r="QLT24" s="204"/>
      <c r="QLU24" s="204"/>
      <c r="QLV24" s="204"/>
      <c r="QLW24" s="204"/>
      <c r="QLX24" s="204"/>
      <c r="QLY24" s="204"/>
      <c r="QLZ24" s="204"/>
      <c r="QMA24" s="204"/>
      <c r="QMB24" s="204"/>
      <c r="QMC24" s="204"/>
      <c r="QMD24" s="204"/>
      <c r="QME24" s="204"/>
      <c r="QMF24" s="204"/>
      <c r="QMG24" s="204"/>
      <c r="QMH24" s="204"/>
      <c r="QMI24" s="204"/>
      <c r="QMJ24" s="204"/>
      <c r="QMK24" s="204"/>
      <c r="QML24" s="204"/>
      <c r="QMM24" s="204"/>
      <c r="QMN24" s="204"/>
      <c r="QMO24" s="204"/>
      <c r="QMP24" s="204"/>
      <c r="QMQ24" s="204"/>
      <c r="QMR24" s="204"/>
      <c r="QMS24" s="204"/>
      <c r="QMT24" s="204"/>
      <c r="QMU24" s="204"/>
      <c r="QMV24" s="204"/>
      <c r="QMW24" s="204"/>
      <c r="QMX24" s="204"/>
      <c r="QMY24" s="204"/>
      <c r="QMZ24" s="204"/>
      <c r="QNA24" s="204"/>
      <c r="QNB24" s="204"/>
      <c r="QNC24" s="204"/>
      <c r="QND24" s="204"/>
      <c r="QNE24" s="204"/>
      <c r="QNF24" s="204"/>
      <c r="QNG24" s="204"/>
      <c r="QNH24" s="204"/>
      <c r="QNI24" s="204"/>
      <c r="QNJ24" s="204"/>
      <c r="QNK24" s="204"/>
      <c r="QNL24" s="204"/>
      <c r="QNM24" s="204"/>
      <c r="QNN24" s="204"/>
      <c r="QNO24" s="204"/>
      <c r="QNP24" s="204"/>
      <c r="QNQ24" s="204"/>
      <c r="QNR24" s="204"/>
      <c r="QNS24" s="204"/>
      <c r="QNT24" s="204"/>
      <c r="QNU24" s="204"/>
      <c r="QNV24" s="204"/>
      <c r="QNW24" s="204"/>
      <c r="QNX24" s="204"/>
      <c r="QNY24" s="204"/>
      <c r="QNZ24" s="204"/>
      <c r="QOA24" s="204"/>
      <c r="QOB24" s="204"/>
      <c r="QOC24" s="204"/>
      <c r="QOD24" s="204"/>
      <c r="QOE24" s="204"/>
      <c r="QOF24" s="204"/>
      <c r="QOG24" s="204"/>
      <c r="QOH24" s="204"/>
      <c r="QOI24" s="204"/>
      <c r="QOJ24" s="204"/>
      <c r="QOK24" s="204"/>
      <c r="QOL24" s="204"/>
      <c r="QOM24" s="204"/>
      <c r="QON24" s="204"/>
      <c r="QOO24" s="204"/>
      <c r="QOP24" s="204"/>
      <c r="QOQ24" s="204"/>
      <c r="QOR24" s="204"/>
      <c r="QOS24" s="204"/>
      <c r="QOT24" s="204"/>
      <c r="QOU24" s="204"/>
      <c r="QOV24" s="204"/>
      <c r="QOW24" s="204"/>
      <c r="QOX24" s="204"/>
      <c r="QOY24" s="204"/>
      <c r="QOZ24" s="204"/>
      <c r="QPA24" s="204"/>
      <c r="QPB24" s="204"/>
      <c r="QPC24" s="204"/>
      <c r="QPD24" s="204"/>
      <c r="QPE24" s="204"/>
      <c r="QPF24" s="204"/>
      <c r="QPG24" s="204"/>
      <c r="QPH24" s="204"/>
      <c r="QPI24" s="204"/>
      <c r="QPJ24" s="204"/>
      <c r="QPK24" s="204"/>
      <c r="QPL24" s="204"/>
      <c r="QPM24" s="204"/>
      <c r="QPN24" s="204"/>
      <c r="QPO24" s="204"/>
      <c r="QPP24" s="204"/>
      <c r="QPQ24" s="204"/>
      <c r="QPR24" s="204"/>
      <c r="QPS24" s="204"/>
      <c r="QPT24" s="204"/>
      <c r="QPU24" s="204"/>
      <c r="QPV24" s="204"/>
      <c r="QPW24" s="204"/>
      <c r="QPX24" s="204"/>
      <c r="QPY24" s="204"/>
      <c r="QPZ24" s="204"/>
      <c r="QQA24" s="204"/>
      <c r="QQB24" s="204"/>
      <c r="QQC24" s="204"/>
      <c r="QQD24" s="204"/>
      <c r="QQE24" s="204"/>
      <c r="QQF24" s="204"/>
      <c r="QQG24" s="204"/>
      <c r="QQH24" s="204"/>
      <c r="QQI24" s="204"/>
      <c r="QQJ24" s="204"/>
      <c r="QQK24" s="204"/>
      <c r="QQL24" s="204"/>
      <c r="QQM24" s="204"/>
      <c r="QQN24" s="204"/>
      <c r="QQO24" s="204"/>
      <c r="QQP24" s="204"/>
      <c r="QQQ24" s="204"/>
      <c r="QQR24" s="204"/>
      <c r="QQS24" s="204"/>
      <c r="QQT24" s="204"/>
      <c r="QQU24" s="204"/>
      <c r="QQV24" s="204"/>
      <c r="QQW24" s="204"/>
      <c r="QQX24" s="204"/>
      <c r="QQY24" s="204"/>
      <c r="QQZ24" s="204"/>
      <c r="QRA24" s="204"/>
      <c r="QRB24" s="204"/>
      <c r="QRC24" s="204"/>
      <c r="QRD24" s="204"/>
      <c r="QRE24" s="204"/>
      <c r="QRF24" s="204"/>
      <c r="QRG24" s="204"/>
      <c r="QRH24" s="204"/>
      <c r="QRI24" s="204"/>
      <c r="QRJ24" s="204"/>
      <c r="QRK24" s="204"/>
      <c r="QRL24" s="204"/>
      <c r="QRM24" s="204"/>
      <c r="QRN24" s="204"/>
      <c r="QRO24" s="204"/>
      <c r="QRP24" s="204"/>
      <c r="QRQ24" s="204"/>
      <c r="QRR24" s="204"/>
      <c r="QRS24" s="204"/>
      <c r="QRT24" s="204"/>
      <c r="QRU24" s="204"/>
      <c r="QRV24" s="204"/>
      <c r="QRW24" s="204"/>
      <c r="QRX24" s="204"/>
      <c r="QRY24" s="204"/>
      <c r="QRZ24" s="204"/>
      <c r="QSA24" s="204"/>
      <c r="QSB24" s="204"/>
      <c r="QSC24" s="204"/>
      <c r="QSD24" s="204"/>
      <c r="QSE24" s="204"/>
      <c r="QSF24" s="204"/>
      <c r="QSG24" s="204"/>
      <c r="QSH24" s="204"/>
      <c r="QSI24" s="204"/>
      <c r="QSJ24" s="204"/>
      <c r="QSK24" s="204"/>
      <c r="QSL24" s="204"/>
      <c r="QSM24" s="204"/>
      <c r="QSN24" s="204"/>
      <c r="QSO24" s="204"/>
      <c r="QSP24" s="204"/>
      <c r="QSQ24" s="204"/>
      <c r="QSR24" s="204"/>
      <c r="QSS24" s="204"/>
      <c r="QST24" s="204"/>
      <c r="QSU24" s="204"/>
      <c r="QSV24" s="204"/>
      <c r="QSW24" s="204"/>
      <c r="QSX24" s="204"/>
      <c r="QSY24" s="204"/>
      <c r="QSZ24" s="204"/>
      <c r="QTA24" s="204"/>
      <c r="QTB24" s="204"/>
      <c r="QTC24" s="204"/>
      <c r="QTD24" s="204"/>
      <c r="QTE24" s="204"/>
      <c r="QTF24" s="204"/>
      <c r="QTG24" s="204"/>
      <c r="QTH24" s="204"/>
      <c r="QTI24" s="204"/>
      <c r="QTJ24" s="204"/>
      <c r="QTK24" s="204"/>
      <c r="QTL24" s="204"/>
      <c r="QTM24" s="204"/>
      <c r="QTN24" s="204"/>
      <c r="QTO24" s="204"/>
      <c r="QTP24" s="204"/>
      <c r="QTQ24" s="204"/>
      <c r="QTR24" s="204"/>
      <c r="QTS24" s="204"/>
      <c r="QTT24" s="204"/>
      <c r="QTU24" s="204"/>
      <c r="QTV24" s="204"/>
      <c r="QTW24" s="204"/>
      <c r="QTX24" s="204"/>
      <c r="QTY24" s="204"/>
      <c r="QTZ24" s="204"/>
      <c r="QUA24" s="204"/>
      <c r="QUB24" s="204"/>
      <c r="QUC24" s="204"/>
      <c r="QUD24" s="204"/>
      <c r="QUE24" s="204"/>
      <c r="QUF24" s="204"/>
      <c r="QUG24" s="204"/>
      <c r="QUH24" s="204"/>
      <c r="QUI24" s="204"/>
      <c r="QUJ24" s="204"/>
      <c r="QUK24" s="204"/>
      <c r="QUL24" s="204"/>
      <c r="QUM24" s="204"/>
      <c r="QUN24" s="204"/>
      <c r="QUO24" s="204"/>
      <c r="QUP24" s="204"/>
      <c r="QUQ24" s="204"/>
      <c r="QUR24" s="204"/>
      <c r="QUS24" s="204"/>
      <c r="QUT24" s="204"/>
      <c r="QUU24" s="204"/>
      <c r="QUV24" s="204"/>
      <c r="QUW24" s="204"/>
      <c r="QUX24" s="204"/>
      <c r="QUY24" s="204"/>
      <c r="QUZ24" s="204"/>
      <c r="QVA24" s="204"/>
      <c r="QVB24" s="204"/>
      <c r="QVC24" s="204"/>
      <c r="QVD24" s="204"/>
      <c r="QVE24" s="204"/>
      <c r="QVF24" s="204"/>
      <c r="QVG24" s="204"/>
      <c r="QVH24" s="204"/>
      <c r="QVI24" s="204"/>
      <c r="QVJ24" s="204"/>
      <c r="QVK24" s="204"/>
      <c r="QVL24" s="204"/>
      <c r="QVM24" s="204"/>
      <c r="QVN24" s="204"/>
      <c r="QVO24" s="204"/>
      <c r="QVP24" s="204"/>
      <c r="QVQ24" s="204"/>
      <c r="QVR24" s="204"/>
      <c r="QVS24" s="204"/>
      <c r="QVT24" s="204"/>
      <c r="QVU24" s="204"/>
      <c r="QVV24" s="204"/>
      <c r="QVW24" s="204"/>
      <c r="QVX24" s="204"/>
      <c r="QVY24" s="204"/>
      <c r="QVZ24" s="204"/>
      <c r="QWA24" s="204"/>
      <c r="QWB24" s="204"/>
      <c r="QWC24" s="204"/>
      <c r="QWD24" s="204"/>
      <c r="QWE24" s="204"/>
      <c r="QWF24" s="204"/>
      <c r="QWG24" s="204"/>
      <c r="QWH24" s="204"/>
      <c r="QWI24" s="204"/>
      <c r="QWJ24" s="204"/>
      <c r="QWK24" s="204"/>
      <c r="QWL24" s="204"/>
      <c r="QWM24" s="204"/>
      <c r="QWN24" s="204"/>
      <c r="QWO24" s="204"/>
      <c r="QWP24" s="204"/>
      <c r="QWQ24" s="204"/>
      <c r="QWR24" s="204"/>
      <c r="QWS24" s="204"/>
      <c r="QWT24" s="204"/>
      <c r="QWU24" s="204"/>
      <c r="QWV24" s="204"/>
      <c r="QWW24" s="204"/>
      <c r="QWX24" s="204"/>
      <c r="QWY24" s="204"/>
      <c r="QWZ24" s="204"/>
      <c r="QXA24" s="204"/>
      <c r="QXB24" s="204"/>
      <c r="QXC24" s="204"/>
      <c r="QXD24" s="204"/>
      <c r="QXE24" s="204"/>
      <c r="QXF24" s="204"/>
      <c r="QXG24" s="204"/>
      <c r="QXH24" s="204"/>
      <c r="QXI24" s="204"/>
      <c r="QXJ24" s="204"/>
      <c r="QXK24" s="204"/>
      <c r="QXL24" s="204"/>
      <c r="QXM24" s="204"/>
      <c r="QXN24" s="204"/>
      <c r="QXO24" s="204"/>
      <c r="QXP24" s="204"/>
      <c r="QXQ24" s="204"/>
      <c r="QXR24" s="204"/>
      <c r="QXS24" s="204"/>
      <c r="QXT24" s="204"/>
      <c r="QXU24" s="204"/>
      <c r="QXV24" s="204"/>
      <c r="QXW24" s="204"/>
      <c r="QXX24" s="204"/>
      <c r="QXY24" s="204"/>
      <c r="QXZ24" s="204"/>
      <c r="QYA24" s="204"/>
      <c r="QYB24" s="204"/>
      <c r="QYC24" s="204"/>
      <c r="QYD24" s="204"/>
      <c r="QYE24" s="204"/>
      <c r="QYF24" s="204"/>
      <c r="QYG24" s="204"/>
      <c r="QYH24" s="204"/>
      <c r="QYI24" s="204"/>
      <c r="QYJ24" s="204"/>
      <c r="QYK24" s="204"/>
      <c r="QYL24" s="204"/>
      <c r="QYM24" s="204"/>
      <c r="QYN24" s="204"/>
      <c r="QYO24" s="204"/>
      <c r="QYP24" s="204"/>
      <c r="QYQ24" s="204"/>
      <c r="QYR24" s="204"/>
      <c r="QYS24" s="204"/>
      <c r="QYT24" s="204"/>
      <c r="QYU24" s="204"/>
      <c r="QYV24" s="204"/>
      <c r="QYW24" s="204"/>
      <c r="QYX24" s="204"/>
      <c r="QYY24" s="204"/>
      <c r="QYZ24" s="204"/>
      <c r="QZA24" s="204"/>
      <c r="QZB24" s="204"/>
      <c r="QZC24" s="204"/>
      <c r="QZD24" s="204"/>
      <c r="QZE24" s="204"/>
      <c r="QZF24" s="204"/>
      <c r="QZG24" s="204"/>
      <c r="QZH24" s="204"/>
      <c r="QZI24" s="204"/>
      <c r="QZJ24" s="204"/>
      <c r="QZK24" s="204"/>
      <c r="QZL24" s="204"/>
      <c r="QZM24" s="204"/>
      <c r="QZN24" s="204"/>
      <c r="QZO24" s="204"/>
      <c r="QZP24" s="204"/>
      <c r="QZQ24" s="204"/>
      <c r="QZR24" s="204"/>
      <c r="QZS24" s="204"/>
      <c r="QZT24" s="204"/>
      <c r="QZU24" s="204"/>
      <c r="QZV24" s="204"/>
      <c r="QZW24" s="204"/>
      <c r="QZX24" s="204"/>
      <c r="QZY24" s="204"/>
      <c r="QZZ24" s="204"/>
      <c r="RAA24" s="204"/>
      <c r="RAB24" s="204"/>
      <c r="RAC24" s="204"/>
      <c r="RAD24" s="204"/>
      <c r="RAE24" s="204"/>
      <c r="RAF24" s="204"/>
      <c r="RAG24" s="204"/>
      <c r="RAH24" s="204"/>
      <c r="RAI24" s="204"/>
      <c r="RAJ24" s="204"/>
      <c r="RAK24" s="204"/>
      <c r="RAL24" s="204"/>
      <c r="RAM24" s="204"/>
      <c r="RAN24" s="204"/>
      <c r="RAO24" s="204"/>
      <c r="RAP24" s="204"/>
      <c r="RAQ24" s="204"/>
      <c r="RAR24" s="204"/>
      <c r="RAS24" s="204"/>
      <c r="RAT24" s="204"/>
      <c r="RAU24" s="204"/>
      <c r="RAV24" s="204"/>
      <c r="RAW24" s="204"/>
      <c r="RAX24" s="204"/>
      <c r="RAY24" s="204"/>
      <c r="RAZ24" s="204"/>
      <c r="RBA24" s="204"/>
      <c r="RBB24" s="204"/>
      <c r="RBC24" s="204"/>
      <c r="RBD24" s="204"/>
      <c r="RBE24" s="204"/>
      <c r="RBF24" s="204"/>
      <c r="RBG24" s="204"/>
      <c r="RBH24" s="204"/>
      <c r="RBI24" s="204"/>
      <c r="RBJ24" s="204"/>
      <c r="RBK24" s="204"/>
      <c r="RBL24" s="204"/>
      <c r="RBM24" s="204"/>
      <c r="RBN24" s="204"/>
      <c r="RBO24" s="204"/>
      <c r="RBP24" s="204"/>
      <c r="RBQ24" s="204"/>
      <c r="RBR24" s="204"/>
      <c r="RBS24" s="204"/>
      <c r="RBT24" s="204"/>
      <c r="RBU24" s="204"/>
      <c r="RBV24" s="204"/>
      <c r="RBW24" s="204"/>
      <c r="RBX24" s="204"/>
      <c r="RBY24" s="204"/>
      <c r="RBZ24" s="204"/>
      <c r="RCA24" s="204"/>
      <c r="RCB24" s="204"/>
      <c r="RCC24" s="204"/>
      <c r="RCD24" s="204"/>
      <c r="RCE24" s="204"/>
      <c r="RCF24" s="204"/>
      <c r="RCG24" s="204"/>
      <c r="RCH24" s="204"/>
      <c r="RCI24" s="204"/>
      <c r="RCJ24" s="204"/>
      <c r="RCK24" s="204"/>
      <c r="RCL24" s="204"/>
      <c r="RCM24" s="204"/>
      <c r="RCN24" s="204"/>
      <c r="RCO24" s="204"/>
      <c r="RCP24" s="204"/>
      <c r="RCQ24" s="204"/>
      <c r="RCR24" s="204"/>
      <c r="RCS24" s="204"/>
      <c r="RCT24" s="204"/>
      <c r="RCU24" s="204"/>
      <c r="RCV24" s="204"/>
      <c r="RCW24" s="204"/>
      <c r="RCX24" s="204"/>
      <c r="RCY24" s="204"/>
      <c r="RCZ24" s="204"/>
      <c r="RDA24" s="204"/>
      <c r="RDB24" s="204"/>
      <c r="RDC24" s="204"/>
      <c r="RDD24" s="204"/>
      <c r="RDE24" s="204"/>
      <c r="RDF24" s="204"/>
      <c r="RDG24" s="204"/>
      <c r="RDH24" s="204"/>
      <c r="RDI24" s="204"/>
      <c r="RDJ24" s="204"/>
      <c r="RDK24" s="204"/>
      <c r="RDL24" s="204"/>
      <c r="RDM24" s="204"/>
      <c r="RDN24" s="204"/>
      <c r="RDO24" s="204"/>
      <c r="RDP24" s="204"/>
      <c r="RDQ24" s="204"/>
      <c r="RDR24" s="204"/>
      <c r="RDS24" s="204"/>
      <c r="RDT24" s="204"/>
      <c r="RDU24" s="204"/>
      <c r="RDV24" s="204"/>
      <c r="RDW24" s="204"/>
      <c r="RDX24" s="204"/>
      <c r="RDY24" s="204"/>
      <c r="RDZ24" s="204"/>
      <c r="REA24" s="204"/>
      <c r="REB24" s="204"/>
      <c r="REC24" s="204"/>
      <c r="RED24" s="204"/>
      <c r="REE24" s="204"/>
      <c r="REF24" s="204"/>
      <c r="REG24" s="204"/>
      <c r="REH24" s="204"/>
      <c r="REI24" s="204"/>
      <c r="REJ24" s="204"/>
      <c r="REK24" s="204"/>
      <c r="REL24" s="204"/>
      <c r="REM24" s="204"/>
      <c r="REN24" s="204"/>
      <c r="REO24" s="204"/>
      <c r="REP24" s="204"/>
      <c r="REQ24" s="204"/>
      <c r="RER24" s="204"/>
      <c r="RES24" s="204"/>
      <c r="RET24" s="204"/>
      <c r="REU24" s="204"/>
      <c r="REV24" s="204"/>
      <c r="REW24" s="204"/>
      <c r="REX24" s="204"/>
      <c r="REY24" s="204"/>
      <c r="REZ24" s="204"/>
      <c r="RFA24" s="204"/>
      <c r="RFB24" s="204"/>
      <c r="RFC24" s="204"/>
      <c r="RFD24" s="204"/>
      <c r="RFE24" s="204"/>
      <c r="RFF24" s="204"/>
      <c r="RFG24" s="204"/>
      <c r="RFH24" s="204"/>
      <c r="RFI24" s="204"/>
      <c r="RFJ24" s="204"/>
      <c r="RFK24" s="204"/>
      <c r="RFL24" s="204"/>
      <c r="RFM24" s="204"/>
      <c r="RFN24" s="204"/>
      <c r="RFO24" s="204"/>
      <c r="RFP24" s="204"/>
      <c r="RFQ24" s="204"/>
      <c r="RFR24" s="204"/>
      <c r="RFS24" s="204"/>
      <c r="RFT24" s="204"/>
      <c r="RFU24" s="204"/>
      <c r="RFV24" s="204"/>
      <c r="RFW24" s="204"/>
      <c r="RFX24" s="204"/>
      <c r="RFY24" s="204"/>
      <c r="RFZ24" s="204"/>
      <c r="RGA24" s="204"/>
      <c r="RGB24" s="204"/>
      <c r="RGC24" s="204"/>
      <c r="RGD24" s="204"/>
      <c r="RGE24" s="204"/>
      <c r="RGF24" s="204"/>
      <c r="RGG24" s="204"/>
      <c r="RGH24" s="204"/>
      <c r="RGI24" s="204"/>
      <c r="RGJ24" s="204"/>
      <c r="RGK24" s="204"/>
      <c r="RGL24" s="204"/>
      <c r="RGM24" s="204"/>
      <c r="RGN24" s="204"/>
      <c r="RGO24" s="204"/>
      <c r="RGP24" s="204"/>
      <c r="RGQ24" s="204"/>
      <c r="RGR24" s="204"/>
      <c r="RGS24" s="204"/>
      <c r="RGT24" s="204"/>
      <c r="RGU24" s="204"/>
      <c r="RGV24" s="204"/>
      <c r="RGW24" s="204"/>
      <c r="RGX24" s="204"/>
      <c r="RGY24" s="204"/>
      <c r="RGZ24" s="204"/>
      <c r="RHA24" s="204"/>
      <c r="RHB24" s="204"/>
      <c r="RHC24" s="204"/>
      <c r="RHD24" s="204"/>
      <c r="RHE24" s="204"/>
      <c r="RHF24" s="204"/>
      <c r="RHG24" s="204"/>
      <c r="RHH24" s="204"/>
      <c r="RHI24" s="204"/>
      <c r="RHJ24" s="204"/>
      <c r="RHK24" s="204"/>
      <c r="RHL24" s="204"/>
      <c r="RHM24" s="204"/>
      <c r="RHN24" s="204"/>
      <c r="RHO24" s="204"/>
      <c r="RHP24" s="204"/>
      <c r="RHQ24" s="204"/>
      <c r="RHR24" s="204"/>
      <c r="RHS24" s="204"/>
      <c r="RHT24" s="204"/>
      <c r="RHU24" s="204"/>
      <c r="RHV24" s="204"/>
      <c r="RHW24" s="204"/>
      <c r="RHX24" s="204"/>
      <c r="RHY24" s="204"/>
      <c r="RHZ24" s="204"/>
      <c r="RIA24" s="204"/>
      <c r="RIB24" s="204"/>
      <c r="RIC24" s="204"/>
      <c r="RID24" s="204"/>
      <c r="RIE24" s="204"/>
      <c r="RIF24" s="204"/>
      <c r="RIG24" s="204"/>
      <c r="RIH24" s="204"/>
      <c r="RII24" s="204"/>
      <c r="RIJ24" s="204"/>
      <c r="RIK24" s="204"/>
      <c r="RIL24" s="204"/>
      <c r="RIM24" s="204"/>
      <c r="RIN24" s="204"/>
      <c r="RIO24" s="204"/>
      <c r="RIP24" s="204"/>
      <c r="RIQ24" s="204"/>
      <c r="RIR24" s="204"/>
      <c r="RIS24" s="204"/>
      <c r="RIT24" s="204"/>
      <c r="RIU24" s="204"/>
      <c r="RIV24" s="204"/>
      <c r="RIW24" s="204"/>
      <c r="RIX24" s="204"/>
      <c r="RIY24" s="204"/>
      <c r="RIZ24" s="204"/>
      <c r="RJA24" s="204"/>
      <c r="RJB24" s="204"/>
      <c r="RJC24" s="204"/>
      <c r="RJD24" s="204"/>
      <c r="RJE24" s="204"/>
      <c r="RJF24" s="204"/>
      <c r="RJG24" s="204"/>
      <c r="RJH24" s="204"/>
      <c r="RJI24" s="204"/>
      <c r="RJJ24" s="204"/>
      <c r="RJK24" s="204"/>
      <c r="RJL24" s="204"/>
      <c r="RJM24" s="204"/>
      <c r="RJN24" s="204"/>
      <c r="RJO24" s="204"/>
      <c r="RJP24" s="204"/>
      <c r="RJQ24" s="204"/>
      <c r="RJR24" s="204"/>
      <c r="RJS24" s="204"/>
      <c r="RJT24" s="204"/>
      <c r="RJU24" s="204"/>
      <c r="RJV24" s="204"/>
      <c r="RJW24" s="204"/>
      <c r="RJX24" s="204"/>
      <c r="RJY24" s="204"/>
      <c r="RJZ24" s="204"/>
      <c r="RKA24" s="204"/>
      <c r="RKB24" s="204"/>
      <c r="RKC24" s="204"/>
      <c r="RKD24" s="204"/>
      <c r="RKE24" s="204"/>
      <c r="RKF24" s="204"/>
      <c r="RKG24" s="204"/>
      <c r="RKH24" s="204"/>
      <c r="RKI24" s="204"/>
      <c r="RKJ24" s="204"/>
      <c r="RKK24" s="204"/>
      <c r="RKL24" s="204"/>
      <c r="RKM24" s="204"/>
      <c r="RKN24" s="204"/>
      <c r="RKO24" s="204"/>
      <c r="RKP24" s="204"/>
      <c r="RKQ24" s="204"/>
      <c r="RKR24" s="204"/>
      <c r="RKS24" s="204"/>
      <c r="RKT24" s="204"/>
      <c r="RKU24" s="204"/>
      <c r="RKV24" s="204"/>
      <c r="RKW24" s="204"/>
      <c r="RKX24" s="204"/>
      <c r="RKY24" s="204"/>
      <c r="RKZ24" s="204"/>
      <c r="RLA24" s="204"/>
      <c r="RLB24" s="204"/>
      <c r="RLC24" s="204"/>
      <c r="RLD24" s="204"/>
      <c r="RLE24" s="204"/>
      <c r="RLF24" s="204"/>
      <c r="RLG24" s="204"/>
      <c r="RLH24" s="204"/>
      <c r="RLI24" s="204"/>
      <c r="RLJ24" s="204"/>
      <c r="RLK24" s="204"/>
      <c r="RLL24" s="204"/>
      <c r="RLM24" s="204"/>
      <c r="RLN24" s="204"/>
      <c r="RLO24" s="204"/>
      <c r="RLP24" s="204"/>
      <c r="RLQ24" s="204"/>
      <c r="RLR24" s="204"/>
      <c r="RLS24" s="204"/>
      <c r="RLT24" s="204"/>
      <c r="RLU24" s="204"/>
      <c r="RLV24" s="204"/>
      <c r="RLW24" s="204"/>
      <c r="RLX24" s="204"/>
      <c r="RLY24" s="204"/>
      <c r="RLZ24" s="204"/>
      <c r="RMA24" s="204"/>
      <c r="RMB24" s="204"/>
      <c r="RMC24" s="204"/>
      <c r="RMD24" s="204"/>
      <c r="RME24" s="204"/>
      <c r="RMF24" s="204"/>
      <c r="RMG24" s="204"/>
      <c r="RMH24" s="204"/>
      <c r="RMI24" s="204"/>
      <c r="RMJ24" s="204"/>
      <c r="RMK24" s="204"/>
      <c r="RML24" s="204"/>
      <c r="RMM24" s="204"/>
      <c r="RMN24" s="204"/>
      <c r="RMO24" s="204"/>
      <c r="RMP24" s="204"/>
      <c r="RMQ24" s="204"/>
      <c r="RMR24" s="204"/>
      <c r="RMS24" s="204"/>
      <c r="RMT24" s="204"/>
      <c r="RMU24" s="204"/>
      <c r="RMV24" s="204"/>
      <c r="RMW24" s="204"/>
      <c r="RMX24" s="204"/>
      <c r="RMY24" s="204"/>
      <c r="RMZ24" s="204"/>
      <c r="RNA24" s="204"/>
      <c r="RNB24" s="204"/>
      <c r="RNC24" s="204"/>
      <c r="RND24" s="204"/>
      <c r="RNE24" s="204"/>
      <c r="RNF24" s="204"/>
      <c r="RNG24" s="204"/>
      <c r="RNH24" s="204"/>
      <c r="RNI24" s="204"/>
      <c r="RNJ24" s="204"/>
      <c r="RNK24" s="204"/>
      <c r="RNL24" s="204"/>
      <c r="RNM24" s="204"/>
      <c r="RNN24" s="204"/>
      <c r="RNO24" s="204"/>
      <c r="RNP24" s="204"/>
      <c r="RNQ24" s="204"/>
      <c r="RNR24" s="204"/>
      <c r="RNS24" s="204"/>
      <c r="RNT24" s="204"/>
      <c r="RNU24" s="204"/>
      <c r="RNV24" s="204"/>
      <c r="RNW24" s="204"/>
      <c r="RNX24" s="204"/>
      <c r="RNY24" s="204"/>
      <c r="RNZ24" s="204"/>
      <c r="ROA24" s="204"/>
      <c r="ROB24" s="204"/>
      <c r="ROC24" s="204"/>
      <c r="ROD24" s="204"/>
      <c r="ROE24" s="204"/>
      <c r="ROF24" s="204"/>
      <c r="ROG24" s="204"/>
      <c r="ROH24" s="204"/>
      <c r="ROI24" s="204"/>
      <c r="ROJ24" s="204"/>
      <c r="ROK24" s="204"/>
      <c r="ROL24" s="204"/>
      <c r="ROM24" s="204"/>
      <c r="RON24" s="204"/>
      <c r="ROO24" s="204"/>
      <c r="ROP24" s="204"/>
      <c r="ROQ24" s="204"/>
      <c r="ROR24" s="204"/>
      <c r="ROS24" s="204"/>
      <c r="ROT24" s="204"/>
      <c r="ROU24" s="204"/>
      <c r="ROV24" s="204"/>
      <c r="ROW24" s="204"/>
      <c r="ROX24" s="204"/>
      <c r="ROY24" s="204"/>
      <c r="ROZ24" s="204"/>
      <c r="RPA24" s="204"/>
      <c r="RPB24" s="204"/>
      <c r="RPC24" s="204"/>
      <c r="RPD24" s="204"/>
      <c r="RPE24" s="204"/>
      <c r="RPF24" s="204"/>
      <c r="RPG24" s="204"/>
      <c r="RPH24" s="204"/>
      <c r="RPI24" s="204"/>
      <c r="RPJ24" s="204"/>
      <c r="RPK24" s="204"/>
      <c r="RPL24" s="204"/>
      <c r="RPM24" s="204"/>
      <c r="RPN24" s="204"/>
      <c r="RPO24" s="204"/>
      <c r="RPP24" s="204"/>
      <c r="RPQ24" s="204"/>
      <c r="RPR24" s="204"/>
      <c r="RPS24" s="204"/>
      <c r="RPT24" s="204"/>
      <c r="RPU24" s="204"/>
      <c r="RPV24" s="204"/>
      <c r="RPW24" s="204"/>
      <c r="RPX24" s="204"/>
      <c r="RPY24" s="204"/>
      <c r="RPZ24" s="204"/>
      <c r="RQA24" s="204"/>
      <c r="RQB24" s="204"/>
      <c r="RQC24" s="204"/>
      <c r="RQD24" s="204"/>
      <c r="RQE24" s="204"/>
      <c r="RQF24" s="204"/>
      <c r="RQG24" s="204"/>
      <c r="RQH24" s="204"/>
      <c r="RQI24" s="204"/>
      <c r="RQJ24" s="204"/>
      <c r="RQK24" s="204"/>
      <c r="RQL24" s="204"/>
      <c r="RQM24" s="204"/>
      <c r="RQN24" s="204"/>
      <c r="RQO24" s="204"/>
      <c r="RQP24" s="204"/>
      <c r="RQQ24" s="204"/>
      <c r="RQR24" s="204"/>
      <c r="RQS24" s="204"/>
      <c r="RQT24" s="204"/>
      <c r="RQU24" s="204"/>
      <c r="RQV24" s="204"/>
      <c r="RQW24" s="204"/>
      <c r="RQX24" s="204"/>
      <c r="RQY24" s="204"/>
      <c r="RQZ24" s="204"/>
      <c r="RRA24" s="204"/>
      <c r="RRB24" s="204"/>
      <c r="RRC24" s="204"/>
      <c r="RRD24" s="204"/>
      <c r="RRE24" s="204"/>
      <c r="RRF24" s="204"/>
      <c r="RRG24" s="204"/>
      <c r="RRH24" s="204"/>
      <c r="RRI24" s="204"/>
      <c r="RRJ24" s="204"/>
      <c r="RRK24" s="204"/>
      <c r="RRL24" s="204"/>
      <c r="RRM24" s="204"/>
      <c r="RRN24" s="204"/>
      <c r="RRO24" s="204"/>
      <c r="RRP24" s="204"/>
      <c r="RRQ24" s="204"/>
      <c r="RRR24" s="204"/>
      <c r="RRS24" s="204"/>
      <c r="RRT24" s="204"/>
      <c r="RRU24" s="204"/>
      <c r="RRV24" s="204"/>
      <c r="RRW24" s="204"/>
      <c r="RRX24" s="204"/>
      <c r="RRY24" s="204"/>
      <c r="RRZ24" s="204"/>
      <c r="RSA24" s="204"/>
      <c r="RSB24" s="204"/>
      <c r="RSC24" s="204"/>
      <c r="RSD24" s="204"/>
      <c r="RSE24" s="204"/>
      <c r="RSF24" s="204"/>
      <c r="RSG24" s="204"/>
      <c r="RSH24" s="204"/>
      <c r="RSI24" s="204"/>
      <c r="RSJ24" s="204"/>
      <c r="RSK24" s="204"/>
      <c r="RSL24" s="204"/>
      <c r="RSM24" s="204"/>
      <c r="RSN24" s="204"/>
      <c r="RSO24" s="204"/>
      <c r="RSP24" s="204"/>
      <c r="RSQ24" s="204"/>
      <c r="RSR24" s="204"/>
      <c r="RSS24" s="204"/>
      <c r="RST24" s="204"/>
      <c r="RSU24" s="204"/>
      <c r="RSV24" s="204"/>
      <c r="RSW24" s="204"/>
      <c r="RSX24" s="204"/>
      <c r="RSY24" s="204"/>
      <c r="RSZ24" s="204"/>
      <c r="RTA24" s="204"/>
      <c r="RTB24" s="204"/>
      <c r="RTC24" s="204"/>
      <c r="RTD24" s="204"/>
      <c r="RTE24" s="204"/>
      <c r="RTF24" s="204"/>
      <c r="RTG24" s="204"/>
      <c r="RTH24" s="204"/>
      <c r="RTI24" s="204"/>
      <c r="RTJ24" s="204"/>
      <c r="RTK24" s="204"/>
      <c r="RTL24" s="204"/>
      <c r="RTM24" s="204"/>
      <c r="RTN24" s="204"/>
      <c r="RTO24" s="204"/>
      <c r="RTP24" s="204"/>
      <c r="RTQ24" s="204"/>
      <c r="RTR24" s="204"/>
      <c r="RTS24" s="204"/>
      <c r="RTT24" s="204"/>
      <c r="RTU24" s="204"/>
      <c r="RTV24" s="204"/>
      <c r="RTW24" s="204"/>
      <c r="RTX24" s="204"/>
      <c r="RTY24" s="204"/>
      <c r="RTZ24" s="204"/>
      <c r="RUA24" s="204"/>
      <c r="RUB24" s="204"/>
      <c r="RUC24" s="204"/>
      <c r="RUD24" s="204"/>
      <c r="RUE24" s="204"/>
      <c r="RUF24" s="204"/>
      <c r="RUG24" s="204"/>
      <c r="RUH24" s="204"/>
      <c r="RUI24" s="204"/>
      <c r="RUJ24" s="204"/>
      <c r="RUK24" s="204"/>
      <c r="RUL24" s="204"/>
      <c r="RUM24" s="204"/>
      <c r="RUN24" s="204"/>
      <c r="RUO24" s="204"/>
      <c r="RUP24" s="204"/>
      <c r="RUQ24" s="204"/>
      <c r="RUR24" s="204"/>
      <c r="RUS24" s="204"/>
      <c r="RUT24" s="204"/>
      <c r="RUU24" s="204"/>
      <c r="RUV24" s="204"/>
      <c r="RUW24" s="204"/>
      <c r="RUX24" s="204"/>
      <c r="RUY24" s="204"/>
      <c r="RUZ24" s="204"/>
      <c r="RVA24" s="204"/>
      <c r="RVB24" s="204"/>
      <c r="RVC24" s="204"/>
      <c r="RVD24" s="204"/>
      <c r="RVE24" s="204"/>
      <c r="RVF24" s="204"/>
      <c r="RVG24" s="204"/>
      <c r="RVH24" s="204"/>
      <c r="RVI24" s="204"/>
      <c r="RVJ24" s="204"/>
      <c r="RVK24" s="204"/>
      <c r="RVL24" s="204"/>
      <c r="RVM24" s="204"/>
      <c r="RVN24" s="204"/>
      <c r="RVO24" s="204"/>
      <c r="RVP24" s="204"/>
      <c r="RVQ24" s="204"/>
      <c r="RVR24" s="204"/>
      <c r="RVS24" s="204"/>
      <c r="RVT24" s="204"/>
      <c r="RVU24" s="204"/>
      <c r="RVV24" s="204"/>
      <c r="RVW24" s="204"/>
      <c r="RVX24" s="204"/>
      <c r="RVY24" s="204"/>
      <c r="RVZ24" s="204"/>
      <c r="RWA24" s="204"/>
      <c r="RWB24" s="204"/>
      <c r="RWC24" s="204"/>
      <c r="RWD24" s="204"/>
      <c r="RWE24" s="204"/>
      <c r="RWF24" s="204"/>
      <c r="RWG24" s="204"/>
      <c r="RWH24" s="204"/>
      <c r="RWI24" s="204"/>
      <c r="RWJ24" s="204"/>
      <c r="RWK24" s="204"/>
      <c r="RWL24" s="204"/>
      <c r="RWM24" s="204"/>
      <c r="RWN24" s="204"/>
      <c r="RWO24" s="204"/>
      <c r="RWP24" s="204"/>
      <c r="RWQ24" s="204"/>
      <c r="RWR24" s="204"/>
      <c r="RWS24" s="204"/>
      <c r="RWT24" s="204"/>
      <c r="RWU24" s="204"/>
      <c r="RWV24" s="204"/>
      <c r="RWW24" s="204"/>
      <c r="RWX24" s="204"/>
      <c r="RWY24" s="204"/>
      <c r="RWZ24" s="204"/>
      <c r="RXA24" s="204"/>
      <c r="RXB24" s="204"/>
      <c r="RXC24" s="204"/>
      <c r="RXD24" s="204"/>
      <c r="RXE24" s="204"/>
      <c r="RXF24" s="204"/>
      <c r="RXG24" s="204"/>
      <c r="RXH24" s="204"/>
      <c r="RXI24" s="204"/>
      <c r="RXJ24" s="204"/>
      <c r="RXK24" s="204"/>
      <c r="RXL24" s="204"/>
      <c r="RXM24" s="204"/>
      <c r="RXN24" s="204"/>
      <c r="RXO24" s="204"/>
      <c r="RXP24" s="204"/>
      <c r="RXQ24" s="204"/>
      <c r="RXR24" s="204"/>
      <c r="RXS24" s="204"/>
      <c r="RXT24" s="204"/>
      <c r="RXU24" s="204"/>
      <c r="RXV24" s="204"/>
      <c r="RXW24" s="204"/>
      <c r="RXX24" s="204"/>
      <c r="RXY24" s="204"/>
      <c r="RXZ24" s="204"/>
      <c r="RYA24" s="204"/>
      <c r="RYB24" s="204"/>
      <c r="RYC24" s="204"/>
      <c r="RYD24" s="204"/>
      <c r="RYE24" s="204"/>
      <c r="RYF24" s="204"/>
      <c r="RYG24" s="204"/>
      <c r="RYH24" s="204"/>
      <c r="RYI24" s="204"/>
      <c r="RYJ24" s="204"/>
      <c r="RYK24" s="204"/>
      <c r="RYL24" s="204"/>
      <c r="RYM24" s="204"/>
      <c r="RYN24" s="204"/>
      <c r="RYO24" s="204"/>
      <c r="RYP24" s="204"/>
      <c r="RYQ24" s="204"/>
      <c r="RYR24" s="204"/>
      <c r="RYS24" s="204"/>
      <c r="RYT24" s="204"/>
      <c r="RYU24" s="204"/>
      <c r="RYV24" s="204"/>
      <c r="RYW24" s="204"/>
      <c r="RYX24" s="204"/>
      <c r="RYY24" s="204"/>
      <c r="RYZ24" s="204"/>
      <c r="RZA24" s="204"/>
      <c r="RZB24" s="204"/>
      <c r="RZC24" s="204"/>
      <c r="RZD24" s="204"/>
      <c r="RZE24" s="204"/>
      <c r="RZF24" s="204"/>
      <c r="RZG24" s="204"/>
      <c r="RZH24" s="204"/>
      <c r="RZI24" s="204"/>
      <c r="RZJ24" s="204"/>
      <c r="RZK24" s="204"/>
      <c r="RZL24" s="204"/>
      <c r="RZM24" s="204"/>
      <c r="RZN24" s="204"/>
      <c r="RZO24" s="204"/>
      <c r="RZP24" s="204"/>
      <c r="RZQ24" s="204"/>
      <c r="RZR24" s="204"/>
      <c r="RZS24" s="204"/>
      <c r="RZT24" s="204"/>
      <c r="RZU24" s="204"/>
      <c r="RZV24" s="204"/>
      <c r="RZW24" s="204"/>
      <c r="RZX24" s="204"/>
      <c r="RZY24" s="204"/>
      <c r="RZZ24" s="204"/>
      <c r="SAA24" s="204"/>
      <c r="SAB24" s="204"/>
      <c r="SAC24" s="204"/>
      <c r="SAD24" s="204"/>
      <c r="SAE24" s="204"/>
      <c r="SAF24" s="204"/>
      <c r="SAG24" s="204"/>
      <c r="SAH24" s="204"/>
      <c r="SAI24" s="204"/>
      <c r="SAJ24" s="204"/>
      <c r="SAK24" s="204"/>
      <c r="SAL24" s="204"/>
      <c r="SAM24" s="204"/>
      <c r="SAN24" s="204"/>
      <c r="SAO24" s="204"/>
      <c r="SAP24" s="204"/>
      <c r="SAQ24" s="204"/>
      <c r="SAR24" s="204"/>
      <c r="SAS24" s="204"/>
      <c r="SAT24" s="204"/>
      <c r="SAU24" s="204"/>
      <c r="SAV24" s="204"/>
      <c r="SAW24" s="204"/>
      <c r="SAX24" s="204"/>
      <c r="SAY24" s="204"/>
      <c r="SAZ24" s="204"/>
      <c r="SBA24" s="204"/>
      <c r="SBB24" s="204"/>
      <c r="SBC24" s="204"/>
      <c r="SBD24" s="204"/>
      <c r="SBE24" s="204"/>
      <c r="SBF24" s="204"/>
      <c r="SBG24" s="204"/>
      <c r="SBH24" s="204"/>
      <c r="SBI24" s="204"/>
      <c r="SBJ24" s="204"/>
      <c r="SBK24" s="204"/>
      <c r="SBL24" s="204"/>
      <c r="SBM24" s="204"/>
      <c r="SBN24" s="204"/>
      <c r="SBO24" s="204"/>
      <c r="SBP24" s="204"/>
      <c r="SBQ24" s="204"/>
      <c r="SBR24" s="204"/>
      <c r="SBS24" s="204"/>
      <c r="SBT24" s="204"/>
      <c r="SBU24" s="204"/>
      <c r="SBV24" s="204"/>
      <c r="SBW24" s="204"/>
      <c r="SBX24" s="204"/>
      <c r="SBY24" s="204"/>
      <c r="SBZ24" s="204"/>
      <c r="SCA24" s="204"/>
      <c r="SCB24" s="204"/>
      <c r="SCC24" s="204"/>
      <c r="SCD24" s="204"/>
      <c r="SCE24" s="204"/>
      <c r="SCF24" s="204"/>
      <c r="SCG24" s="204"/>
      <c r="SCH24" s="204"/>
      <c r="SCI24" s="204"/>
      <c r="SCJ24" s="204"/>
      <c r="SCK24" s="204"/>
      <c r="SCL24" s="204"/>
      <c r="SCM24" s="204"/>
      <c r="SCN24" s="204"/>
      <c r="SCO24" s="204"/>
      <c r="SCP24" s="204"/>
      <c r="SCQ24" s="204"/>
      <c r="SCR24" s="204"/>
      <c r="SCS24" s="204"/>
      <c r="SCT24" s="204"/>
      <c r="SCU24" s="204"/>
      <c r="SCV24" s="204"/>
      <c r="SCW24" s="204"/>
      <c r="SCX24" s="204"/>
      <c r="SCY24" s="204"/>
      <c r="SCZ24" s="204"/>
      <c r="SDA24" s="204"/>
      <c r="SDB24" s="204"/>
      <c r="SDC24" s="204"/>
      <c r="SDD24" s="204"/>
      <c r="SDE24" s="204"/>
      <c r="SDF24" s="204"/>
      <c r="SDG24" s="204"/>
      <c r="SDH24" s="204"/>
      <c r="SDI24" s="204"/>
      <c r="SDJ24" s="204"/>
      <c r="SDK24" s="204"/>
      <c r="SDL24" s="204"/>
      <c r="SDM24" s="204"/>
      <c r="SDN24" s="204"/>
      <c r="SDO24" s="204"/>
      <c r="SDP24" s="204"/>
      <c r="SDQ24" s="204"/>
      <c r="SDR24" s="204"/>
      <c r="SDS24" s="204"/>
      <c r="SDT24" s="204"/>
      <c r="SDU24" s="204"/>
      <c r="SDV24" s="204"/>
      <c r="SDW24" s="204"/>
      <c r="SDX24" s="204"/>
      <c r="SDY24" s="204"/>
      <c r="SDZ24" s="204"/>
      <c r="SEA24" s="204"/>
      <c r="SEB24" s="204"/>
      <c r="SEC24" s="204"/>
      <c r="SED24" s="204"/>
      <c r="SEE24" s="204"/>
      <c r="SEF24" s="204"/>
      <c r="SEG24" s="204"/>
      <c r="SEH24" s="204"/>
      <c r="SEI24" s="204"/>
      <c r="SEJ24" s="204"/>
      <c r="SEK24" s="204"/>
      <c r="SEL24" s="204"/>
      <c r="SEM24" s="204"/>
      <c r="SEN24" s="204"/>
      <c r="SEO24" s="204"/>
      <c r="SEP24" s="204"/>
      <c r="SEQ24" s="204"/>
      <c r="SER24" s="204"/>
      <c r="SES24" s="204"/>
      <c r="SET24" s="204"/>
      <c r="SEU24" s="204"/>
      <c r="SEV24" s="204"/>
      <c r="SEW24" s="204"/>
      <c r="SEX24" s="204"/>
      <c r="SEY24" s="204"/>
      <c r="SEZ24" s="204"/>
      <c r="SFA24" s="204"/>
      <c r="SFB24" s="204"/>
      <c r="SFC24" s="204"/>
      <c r="SFD24" s="204"/>
      <c r="SFE24" s="204"/>
      <c r="SFF24" s="204"/>
      <c r="SFG24" s="204"/>
      <c r="SFH24" s="204"/>
      <c r="SFI24" s="204"/>
      <c r="SFJ24" s="204"/>
      <c r="SFK24" s="204"/>
      <c r="SFL24" s="204"/>
      <c r="SFM24" s="204"/>
      <c r="SFN24" s="204"/>
      <c r="SFO24" s="204"/>
      <c r="SFP24" s="204"/>
      <c r="SFQ24" s="204"/>
      <c r="SFR24" s="204"/>
      <c r="SFS24" s="204"/>
      <c r="SFT24" s="204"/>
      <c r="SFU24" s="204"/>
      <c r="SFV24" s="204"/>
      <c r="SFW24" s="204"/>
      <c r="SFX24" s="204"/>
      <c r="SFY24" s="204"/>
      <c r="SFZ24" s="204"/>
      <c r="SGA24" s="204"/>
      <c r="SGB24" s="204"/>
      <c r="SGC24" s="204"/>
      <c r="SGD24" s="204"/>
      <c r="SGE24" s="204"/>
      <c r="SGF24" s="204"/>
      <c r="SGG24" s="204"/>
      <c r="SGH24" s="204"/>
      <c r="SGI24" s="204"/>
      <c r="SGJ24" s="204"/>
      <c r="SGK24" s="204"/>
      <c r="SGL24" s="204"/>
      <c r="SGM24" s="204"/>
      <c r="SGN24" s="204"/>
      <c r="SGO24" s="204"/>
      <c r="SGP24" s="204"/>
      <c r="SGQ24" s="204"/>
      <c r="SGR24" s="204"/>
      <c r="SGS24" s="204"/>
      <c r="SGT24" s="204"/>
      <c r="SGU24" s="204"/>
      <c r="SGV24" s="204"/>
      <c r="SGW24" s="204"/>
      <c r="SGX24" s="204"/>
      <c r="SGY24" s="204"/>
      <c r="SGZ24" s="204"/>
      <c r="SHA24" s="204"/>
      <c r="SHB24" s="204"/>
      <c r="SHC24" s="204"/>
      <c r="SHD24" s="204"/>
      <c r="SHE24" s="204"/>
      <c r="SHF24" s="204"/>
      <c r="SHG24" s="204"/>
      <c r="SHH24" s="204"/>
      <c r="SHI24" s="204"/>
      <c r="SHJ24" s="204"/>
      <c r="SHK24" s="204"/>
      <c r="SHL24" s="204"/>
      <c r="SHM24" s="204"/>
      <c r="SHN24" s="204"/>
      <c r="SHO24" s="204"/>
      <c r="SHP24" s="204"/>
      <c r="SHQ24" s="204"/>
      <c r="SHR24" s="204"/>
      <c r="SHS24" s="204"/>
      <c r="SHT24" s="204"/>
      <c r="SHU24" s="204"/>
      <c r="SHV24" s="204"/>
      <c r="SHW24" s="204"/>
      <c r="SHX24" s="204"/>
      <c r="SHY24" s="204"/>
      <c r="SHZ24" s="204"/>
      <c r="SIA24" s="204"/>
      <c r="SIB24" s="204"/>
      <c r="SIC24" s="204"/>
      <c r="SID24" s="204"/>
      <c r="SIE24" s="204"/>
      <c r="SIF24" s="204"/>
      <c r="SIG24" s="204"/>
      <c r="SIH24" s="204"/>
      <c r="SII24" s="204"/>
      <c r="SIJ24" s="204"/>
      <c r="SIK24" s="204"/>
      <c r="SIL24" s="204"/>
      <c r="SIM24" s="204"/>
      <c r="SIN24" s="204"/>
      <c r="SIO24" s="204"/>
      <c r="SIP24" s="204"/>
      <c r="SIQ24" s="204"/>
      <c r="SIR24" s="204"/>
      <c r="SIS24" s="204"/>
      <c r="SIT24" s="204"/>
      <c r="SIU24" s="204"/>
      <c r="SIV24" s="204"/>
      <c r="SIW24" s="204"/>
      <c r="SIX24" s="204"/>
      <c r="SIY24" s="204"/>
      <c r="SIZ24" s="204"/>
      <c r="SJA24" s="204"/>
      <c r="SJB24" s="204"/>
      <c r="SJC24" s="204"/>
      <c r="SJD24" s="204"/>
      <c r="SJE24" s="204"/>
      <c r="SJF24" s="204"/>
      <c r="SJG24" s="204"/>
      <c r="SJH24" s="204"/>
      <c r="SJI24" s="204"/>
      <c r="SJJ24" s="204"/>
      <c r="SJK24" s="204"/>
      <c r="SJL24" s="204"/>
      <c r="SJM24" s="204"/>
      <c r="SJN24" s="204"/>
      <c r="SJO24" s="204"/>
      <c r="SJP24" s="204"/>
      <c r="SJQ24" s="204"/>
      <c r="SJR24" s="204"/>
      <c r="SJS24" s="204"/>
      <c r="SJT24" s="204"/>
      <c r="SJU24" s="204"/>
      <c r="SJV24" s="204"/>
      <c r="SJW24" s="204"/>
      <c r="SJX24" s="204"/>
      <c r="SJY24" s="204"/>
      <c r="SJZ24" s="204"/>
      <c r="SKA24" s="204"/>
      <c r="SKB24" s="204"/>
      <c r="SKC24" s="204"/>
      <c r="SKD24" s="204"/>
      <c r="SKE24" s="204"/>
      <c r="SKF24" s="204"/>
      <c r="SKG24" s="204"/>
      <c r="SKH24" s="204"/>
      <c r="SKI24" s="204"/>
      <c r="SKJ24" s="204"/>
      <c r="SKK24" s="204"/>
      <c r="SKL24" s="204"/>
      <c r="SKM24" s="204"/>
      <c r="SKN24" s="204"/>
      <c r="SKO24" s="204"/>
      <c r="SKP24" s="204"/>
      <c r="SKQ24" s="204"/>
      <c r="SKR24" s="204"/>
      <c r="SKS24" s="204"/>
      <c r="SKT24" s="204"/>
      <c r="SKU24" s="204"/>
      <c r="SKV24" s="204"/>
      <c r="SKW24" s="204"/>
      <c r="SKX24" s="204"/>
      <c r="SKY24" s="204"/>
      <c r="SKZ24" s="204"/>
      <c r="SLA24" s="204"/>
      <c r="SLB24" s="204"/>
      <c r="SLC24" s="204"/>
      <c r="SLD24" s="204"/>
      <c r="SLE24" s="204"/>
      <c r="SLF24" s="204"/>
      <c r="SLG24" s="204"/>
      <c r="SLH24" s="204"/>
      <c r="SLI24" s="204"/>
      <c r="SLJ24" s="204"/>
      <c r="SLK24" s="204"/>
      <c r="SLL24" s="204"/>
      <c r="SLM24" s="204"/>
      <c r="SLN24" s="204"/>
      <c r="SLO24" s="204"/>
      <c r="SLP24" s="204"/>
      <c r="SLQ24" s="204"/>
      <c r="SLR24" s="204"/>
      <c r="SLS24" s="204"/>
      <c r="SLT24" s="204"/>
      <c r="SLU24" s="204"/>
      <c r="SLV24" s="204"/>
      <c r="SLW24" s="204"/>
      <c r="SLX24" s="204"/>
      <c r="SLY24" s="204"/>
      <c r="SLZ24" s="204"/>
      <c r="SMA24" s="204"/>
      <c r="SMB24" s="204"/>
      <c r="SMC24" s="204"/>
      <c r="SMD24" s="204"/>
      <c r="SME24" s="204"/>
      <c r="SMF24" s="204"/>
      <c r="SMG24" s="204"/>
      <c r="SMH24" s="204"/>
      <c r="SMI24" s="204"/>
      <c r="SMJ24" s="204"/>
      <c r="SMK24" s="204"/>
      <c r="SML24" s="204"/>
      <c r="SMM24" s="204"/>
      <c r="SMN24" s="204"/>
      <c r="SMO24" s="204"/>
      <c r="SMP24" s="204"/>
      <c r="SMQ24" s="204"/>
      <c r="SMR24" s="204"/>
      <c r="SMS24" s="204"/>
      <c r="SMT24" s="204"/>
      <c r="SMU24" s="204"/>
      <c r="SMV24" s="204"/>
      <c r="SMW24" s="204"/>
      <c r="SMX24" s="204"/>
      <c r="SMY24" s="204"/>
      <c r="SMZ24" s="204"/>
      <c r="SNA24" s="204"/>
      <c r="SNB24" s="204"/>
      <c r="SNC24" s="204"/>
      <c r="SND24" s="204"/>
      <c r="SNE24" s="204"/>
      <c r="SNF24" s="204"/>
      <c r="SNG24" s="204"/>
      <c r="SNH24" s="204"/>
      <c r="SNI24" s="204"/>
      <c r="SNJ24" s="204"/>
      <c r="SNK24" s="204"/>
      <c r="SNL24" s="204"/>
      <c r="SNM24" s="204"/>
      <c r="SNN24" s="204"/>
      <c r="SNO24" s="204"/>
      <c r="SNP24" s="204"/>
      <c r="SNQ24" s="204"/>
      <c r="SNR24" s="204"/>
      <c r="SNS24" s="204"/>
      <c r="SNT24" s="204"/>
      <c r="SNU24" s="204"/>
      <c r="SNV24" s="204"/>
      <c r="SNW24" s="204"/>
      <c r="SNX24" s="204"/>
      <c r="SNY24" s="204"/>
      <c r="SNZ24" s="204"/>
      <c r="SOA24" s="204"/>
      <c r="SOB24" s="204"/>
      <c r="SOC24" s="204"/>
      <c r="SOD24" s="204"/>
      <c r="SOE24" s="204"/>
      <c r="SOF24" s="204"/>
      <c r="SOG24" s="204"/>
      <c r="SOH24" s="204"/>
      <c r="SOI24" s="204"/>
      <c r="SOJ24" s="204"/>
      <c r="SOK24" s="204"/>
      <c r="SOL24" s="204"/>
      <c r="SOM24" s="204"/>
      <c r="SON24" s="204"/>
      <c r="SOO24" s="204"/>
      <c r="SOP24" s="204"/>
      <c r="SOQ24" s="204"/>
      <c r="SOR24" s="204"/>
      <c r="SOS24" s="204"/>
      <c r="SOT24" s="204"/>
      <c r="SOU24" s="204"/>
      <c r="SOV24" s="204"/>
      <c r="SOW24" s="204"/>
      <c r="SOX24" s="204"/>
      <c r="SOY24" s="204"/>
      <c r="SOZ24" s="204"/>
      <c r="SPA24" s="204"/>
      <c r="SPB24" s="204"/>
      <c r="SPC24" s="204"/>
      <c r="SPD24" s="204"/>
      <c r="SPE24" s="204"/>
      <c r="SPF24" s="204"/>
      <c r="SPG24" s="204"/>
      <c r="SPH24" s="204"/>
      <c r="SPI24" s="204"/>
      <c r="SPJ24" s="204"/>
      <c r="SPK24" s="204"/>
      <c r="SPL24" s="204"/>
      <c r="SPM24" s="204"/>
      <c r="SPN24" s="204"/>
      <c r="SPO24" s="204"/>
      <c r="SPP24" s="204"/>
      <c r="SPQ24" s="204"/>
      <c r="SPR24" s="204"/>
      <c r="SPS24" s="204"/>
      <c r="SPT24" s="204"/>
      <c r="SPU24" s="204"/>
      <c r="SPV24" s="204"/>
      <c r="SPW24" s="204"/>
      <c r="SPX24" s="204"/>
      <c r="SPY24" s="204"/>
      <c r="SPZ24" s="204"/>
      <c r="SQA24" s="204"/>
      <c r="SQB24" s="204"/>
      <c r="SQC24" s="204"/>
      <c r="SQD24" s="204"/>
      <c r="SQE24" s="204"/>
      <c r="SQF24" s="204"/>
      <c r="SQG24" s="204"/>
      <c r="SQH24" s="204"/>
      <c r="SQI24" s="204"/>
      <c r="SQJ24" s="204"/>
      <c r="SQK24" s="204"/>
      <c r="SQL24" s="204"/>
      <c r="SQM24" s="204"/>
      <c r="SQN24" s="204"/>
      <c r="SQO24" s="204"/>
      <c r="SQP24" s="204"/>
      <c r="SQQ24" s="204"/>
      <c r="SQR24" s="204"/>
      <c r="SQS24" s="204"/>
      <c r="SQT24" s="204"/>
      <c r="SQU24" s="204"/>
      <c r="SQV24" s="204"/>
      <c r="SQW24" s="204"/>
      <c r="SQX24" s="204"/>
      <c r="SQY24" s="204"/>
      <c r="SQZ24" s="204"/>
      <c r="SRA24" s="204"/>
      <c r="SRB24" s="204"/>
      <c r="SRC24" s="204"/>
      <c r="SRD24" s="204"/>
      <c r="SRE24" s="204"/>
      <c r="SRF24" s="204"/>
      <c r="SRG24" s="204"/>
      <c r="SRH24" s="204"/>
      <c r="SRI24" s="204"/>
      <c r="SRJ24" s="204"/>
      <c r="SRK24" s="204"/>
      <c r="SRL24" s="204"/>
      <c r="SRM24" s="204"/>
      <c r="SRN24" s="204"/>
      <c r="SRO24" s="204"/>
      <c r="SRP24" s="204"/>
      <c r="SRQ24" s="204"/>
      <c r="SRR24" s="204"/>
      <c r="SRS24" s="204"/>
      <c r="SRT24" s="204"/>
      <c r="SRU24" s="204"/>
      <c r="SRV24" s="204"/>
      <c r="SRW24" s="204"/>
      <c r="SRX24" s="204"/>
      <c r="SRY24" s="204"/>
      <c r="SRZ24" s="204"/>
      <c r="SSA24" s="204"/>
      <c r="SSB24" s="204"/>
      <c r="SSC24" s="204"/>
      <c r="SSD24" s="204"/>
      <c r="SSE24" s="204"/>
      <c r="SSF24" s="204"/>
      <c r="SSG24" s="204"/>
      <c r="SSH24" s="204"/>
      <c r="SSI24" s="204"/>
      <c r="SSJ24" s="204"/>
      <c r="SSK24" s="204"/>
      <c r="SSL24" s="204"/>
      <c r="SSM24" s="204"/>
      <c r="SSN24" s="204"/>
      <c r="SSO24" s="204"/>
      <c r="SSP24" s="204"/>
      <c r="SSQ24" s="204"/>
      <c r="SSR24" s="204"/>
      <c r="SSS24" s="204"/>
      <c r="SST24" s="204"/>
      <c r="SSU24" s="204"/>
      <c r="SSV24" s="204"/>
      <c r="SSW24" s="204"/>
      <c r="SSX24" s="204"/>
      <c r="SSY24" s="204"/>
      <c r="SSZ24" s="204"/>
      <c r="STA24" s="204"/>
      <c r="STB24" s="204"/>
      <c r="STC24" s="204"/>
      <c r="STD24" s="204"/>
      <c r="STE24" s="204"/>
      <c r="STF24" s="204"/>
      <c r="STG24" s="204"/>
      <c r="STH24" s="204"/>
      <c r="STI24" s="204"/>
      <c r="STJ24" s="204"/>
      <c r="STK24" s="204"/>
      <c r="STL24" s="204"/>
      <c r="STM24" s="204"/>
      <c r="STN24" s="204"/>
      <c r="STO24" s="204"/>
      <c r="STP24" s="204"/>
      <c r="STQ24" s="204"/>
      <c r="STR24" s="204"/>
      <c r="STS24" s="204"/>
      <c r="STT24" s="204"/>
      <c r="STU24" s="204"/>
      <c r="STV24" s="204"/>
      <c r="STW24" s="204"/>
      <c r="STX24" s="204"/>
      <c r="STY24" s="204"/>
      <c r="STZ24" s="204"/>
      <c r="SUA24" s="204"/>
      <c r="SUB24" s="204"/>
      <c r="SUC24" s="204"/>
      <c r="SUD24" s="204"/>
      <c r="SUE24" s="204"/>
      <c r="SUF24" s="204"/>
      <c r="SUG24" s="204"/>
      <c r="SUH24" s="204"/>
      <c r="SUI24" s="204"/>
      <c r="SUJ24" s="204"/>
      <c r="SUK24" s="204"/>
      <c r="SUL24" s="204"/>
      <c r="SUM24" s="204"/>
      <c r="SUN24" s="204"/>
      <c r="SUO24" s="204"/>
      <c r="SUP24" s="204"/>
      <c r="SUQ24" s="204"/>
      <c r="SUR24" s="204"/>
      <c r="SUS24" s="204"/>
      <c r="SUT24" s="204"/>
      <c r="SUU24" s="204"/>
      <c r="SUV24" s="204"/>
      <c r="SUW24" s="204"/>
      <c r="SUX24" s="204"/>
      <c r="SUY24" s="204"/>
      <c r="SUZ24" s="204"/>
      <c r="SVA24" s="204"/>
      <c r="SVB24" s="204"/>
      <c r="SVC24" s="204"/>
      <c r="SVD24" s="204"/>
      <c r="SVE24" s="204"/>
      <c r="SVF24" s="204"/>
      <c r="SVG24" s="204"/>
      <c r="SVH24" s="204"/>
      <c r="SVI24" s="204"/>
      <c r="SVJ24" s="204"/>
      <c r="SVK24" s="204"/>
      <c r="SVL24" s="204"/>
      <c r="SVM24" s="204"/>
      <c r="SVN24" s="204"/>
      <c r="SVO24" s="204"/>
      <c r="SVP24" s="204"/>
      <c r="SVQ24" s="204"/>
      <c r="SVR24" s="204"/>
      <c r="SVS24" s="204"/>
      <c r="SVT24" s="204"/>
      <c r="SVU24" s="204"/>
      <c r="SVV24" s="204"/>
      <c r="SVW24" s="204"/>
      <c r="SVX24" s="204"/>
      <c r="SVY24" s="204"/>
      <c r="SVZ24" s="204"/>
      <c r="SWA24" s="204"/>
      <c r="SWB24" s="204"/>
      <c r="SWC24" s="204"/>
      <c r="SWD24" s="204"/>
      <c r="SWE24" s="204"/>
      <c r="SWF24" s="204"/>
      <c r="SWG24" s="204"/>
      <c r="SWH24" s="204"/>
      <c r="SWI24" s="204"/>
      <c r="SWJ24" s="204"/>
      <c r="SWK24" s="204"/>
      <c r="SWL24" s="204"/>
      <c r="SWM24" s="204"/>
      <c r="SWN24" s="204"/>
      <c r="SWO24" s="204"/>
      <c r="SWP24" s="204"/>
      <c r="SWQ24" s="204"/>
      <c r="SWR24" s="204"/>
      <c r="SWS24" s="204"/>
      <c r="SWT24" s="204"/>
      <c r="SWU24" s="204"/>
      <c r="SWV24" s="204"/>
      <c r="SWW24" s="204"/>
      <c r="SWX24" s="204"/>
      <c r="SWY24" s="204"/>
      <c r="SWZ24" s="204"/>
      <c r="SXA24" s="204"/>
      <c r="SXB24" s="204"/>
      <c r="SXC24" s="204"/>
      <c r="SXD24" s="204"/>
      <c r="SXE24" s="204"/>
      <c r="SXF24" s="204"/>
      <c r="SXG24" s="204"/>
      <c r="SXH24" s="204"/>
      <c r="SXI24" s="204"/>
      <c r="SXJ24" s="204"/>
      <c r="SXK24" s="204"/>
      <c r="SXL24" s="204"/>
      <c r="SXM24" s="204"/>
      <c r="SXN24" s="204"/>
      <c r="SXO24" s="204"/>
      <c r="SXP24" s="204"/>
      <c r="SXQ24" s="204"/>
      <c r="SXR24" s="204"/>
      <c r="SXS24" s="204"/>
      <c r="SXT24" s="204"/>
      <c r="SXU24" s="204"/>
      <c r="SXV24" s="204"/>
      <c r="SXW24" s="204"/>
      <c r="SXX24" s="204"/>
      <c r="SXY24" s="204"/>
      <c r="SXZ24" s="204"/>
      <c r="SYA24" s="204"/>
      <c r="SYB24" s="204"/>
      <c r="SYC24" s="204"/>
      <c r="SYD24" s="204"/>
      <c r="SYE24" s="204"/>
      <c r="SYF24" s="204"/>
      <c r="SYG24" s="204"/>
      <c r="SYH24" s="204"/>
      <c r="SYI24" s="204"/>
      <c r="SYJ24" s="204"/>
      <c r="SYK24" s="204"/>
      <c r="SYL24" s="204"/>
      <c r="SYM24" s="204"/>
      <c r="SYN24" s="204"/>
      <c r="SYO24" s="204"/>
      <c r="SYP24" s="204"/>
      <c r="SYQ24" s="204"/>
      <c r="SYR24" s="204"/>
      <c r="SYS24" s="204"/>
      <c r="SYT24" s="204"/>
      <c r="SYU24" s="204"/>
      <c r="SYV24" s="204"/>
      <c r="SYW24" s="204"/>
      <c r="SYX24" s="204"/>
      <c r="SYY24" s="204"/>
      <c r="SYZ24" s="204"/>
      <c r="SZA24" s="204"/>
      <c r="SZB24" s="204"/>
      <c r="SZC24" s="204"/>
      <c r="SZD24" s="204"/>
      <c r="SZE24" s="204"/>
      <c r="SZF24" s="204"/>
      <c r="SZG24" s="204"/>
      <c r="SZH24" s="204"/>
      <c r="SZI24" s="204"/>
      <c r="SZJ24" s="204"/>
      <c r="SZK24" s="204"/>
      <c r="SZL24" s="204"/>
      <c r="SZM24" s="204"/>
      <c r="SZN24" s="204"/>
      <c r="SZO24" s="204"/>
      <c r="SZP24" s="204"/>
      <c r="SZQ24" s="204"/>
      <c r="SZR24" s="204"/>
      <c r="SZS24" s="204"/>
      <c r="SZT24" s="204"/>
      <c r="SZU24" s="204"/>
      <c r="SZV24" s="204"/>
      <c r="SZW24" s="204"/>
      <c r="SZX24" s="204"/>
      <c r="SZY24" s="204"/>
      <c r="SZZ24" s="204"/>
      <c r="TAA24" s="204"/>
      <c r="TAB24" s="204"/>
      <c r="TAC24" s="204"/>
      <c r="TAD24" s="204"/>
      <c r="TAE24" s="204"/>
      <c r="TAF24" s="204"/>
      <c r="TAG24" s="204"/>
      <c r="TAH24" s="204"/>
      <c r="TAI24" s="204"/>
      <c r="TAJ24" s="204"/>
      <c r="TAK24" s="204"/>
      <c r="TAL24" s="204"/>
      <c r="TAM24" s="204"/>
      <c r="TAN24" s="204"/>
      <c r="TAO24" s="204"/>
      <c r="TAP24" s="204"/>
      <c r="TAQ24" s="204"/>
      <c r="TAR24" s="204"/>
      <c r="TAS24" s="204"/>
      <c r="TAT24" s="204"/>
      <c r="TAU24" s="204"/>
      <c r="TAV24" s="204"/>
      <c r="TAW24" s="204"/>
      <c r="TAX24" s="204"/>
      <c r="TAY24" s="204"/>
      <c r="TAZ24" s="204"/>
      <c r="TBA24" s="204"/>
      <c r="TBB24" s="204"/>
      <c r="TBC24" s="204"/>
      <c r="TBD24" s="204"/>
      <c r="TBE24" s="204"/>
      <c r="TBF24" s="204"/>
      <c r="TBG24" s="204"/>
      <c r="TBH24" s="204"/>
      <c r="TBI24" s="204"/>
      <c r="TBJ24" s="204"/>
      <c r="TBK24" s="204"/>
      <c r="TBL24" s="204"/>
      <c r="TBM24" s="204"/>
      <c r="TBN24" s="204"/>
      <c r="TBO24" s="204"/>
      <c r="TBP24" s="204"/>
      <c r="TBQ24" s="204"/>
      <c r="TBR24" s="204"/>
      <c r="TBS24" s="204"/>
      <c r="TBT24" s="204"/>
      <c r="TBU24" s="204"/>
      <c r="TBV24" s="204"/>
      <c r="TBW24" s="204"/>
      <c r="TBX24" s="204"/>
      <c r="TBY24" s="204"/>
      <c r="TBZ24" s="204"/>
      <c r="TCA24" s="204"/>
      <c r="TCB24" s="204"/>
      <c r="TCC24" s="204"/>
      <c r="TCD24" s="204"/>
      <c r="TCE24" s="204"/>
      <c r="TCF24" s="204"/>
      <c r="TCG24" s="204"/>
      <c r="TCH24" s="204"/>
      <c r="TCI24" s="204"/>
      <c r="TCJ24" s="204"/>
      <c r="TCK24" s="204"/>
      <c r="TCL24" s="204"/>
      <c r="TCM24" s="204"/>
      <c r="TCN24" s="204"/>
      <c r="TCO24" s="204"/>
      <c r="TCP24" s="204"/>
      <c r="TCQ24" s="204"/>
      <c r="TCR24" s="204"/>
      <c r="TCS24" s="204"/>
      <c r="TCT24" s="204"/>
      <c r="TCU24" s="204"/>
      <c r="TCV24" s="204"/>
      <c r="TCW24" s="204"/>
      <c r="TCX24" s="204"/>
      <c r="TCY24" s="204"/>
      <c r="TCZ24" s="204"/>
      <c r="TDA24" s="204"/>
      <c r="TDB24" s="204"/>
      <c r="TDC24" s="204"/>
      <c r="TDD24" s="204"/>
      <c r="TDE24" s="204"/>
      <c r="TDF24" s="204"/>
      <c r="TDG24" s="204"/>
      <c r="TDH24" s="204"/>
      <c r="TDI24" s="204"/>
      <c r="TDJ24" s="204"/>
      <c r="TDK24" s="204"/>
      <c r="TDL24" s="204"/>
      <c r="TDM24" s="204"/>
      <c r="TDN24" s="204"/>
      <c r="TDO24" s="204"/>
      <c r="TDP24" s="204"/>
      <c r="TDQ24" s="204"/>
      <c r="TDR24" s="204"/>
      <c r="TDS24" s="204"/>
      <c r="TDT24" s="204"/>
      <c r="TDU24" s="204"/>
      <c r="TDV24" s="204"/>
      <c r="TDW24" s="204"/>
      <c r="TDX24" s="204"/>
      <c r="TDY24" s="204"/>
      <c r="TDZ24" s="204"/>
      <c r="TEA24" s="204"/>
      <c r="TEB24" s="204"/>
      <c r="TEC24" s="204"/>
      <c r="TED24" s="204"/>
      <c r="TEE24" s="204"/>
      <c r="TEF24" s="204"/>
      <c r="TEG24" s="204"/>
      <c r="TEH24" s="204"/>
      <c r="TEI24" s="204"/>
      <c r="TEJ24" s="204"/>
      <c r="TEK24" s="204"/>
      <c r="TEL24" s="204"/>
      <c r="TEM24" s="204"/>
      <c r="TEN24" s="204"/>
      <c r="TEO24" s="204"/>
      <c r="TEP24" s="204"/>
      <c r="TEQ24" s="204"/>
      <c r="TER24" s="204"/>
      <c r="TES24" s="204"/>
      <c r="TET24" s="204"/>
      <c r="TEU24" s="204"/>
      <c r="TEV24" s="204"/>
      <c r="TEW24" s="204"/>
      <c r="TEX24" s="204"/>
      <c r="TEY24" s="204"/>
      <c r="TEZ24" s="204"/>
      <c r="TFA24" s="204"/>
      <c r="TFB24" s="204"/>
      <c r="TFC24" s="204"/>
      <c r="TFD24" s="204"/>
      <c r="TFE24" s="204"/>
      <c r="TFF24" s="204"/>
      <c r="TFG24" s="204"/>
      <c r="TFH24" s="204"/>
      <c r="TFI24" s="204"/>
      <c r="TFJ24" s="204"/>
      <c r="TFK24" s="204"/>
      <c r="TFL24" s="204"/>
      <c r="TFM24" s="204"/>
      <c r="TFN24" s="204"/>
      <c r="TFO24" s="204"/>
      <c r="TFP24" s="204"/>
      <c r="TFQ24" s="204"/>
      <c r="TFR24" s="204"/>
      <c r="TFS24" s="204"/>
      <c r="TFT24" s="204"/>
      <c r="TFU24" s="204"/>
      <c r="TFV24" s="204"/>
      <c r="TFW24" s="204"/>
      <c r="TFX24" s="204"/>
      <c r="TFY24" s="204"/>
      <c r="TFZ24" s="204"/>
      <c r="TGA24" s="204"/>
      <c r="TGB24" s="204"/>
      <c r="TGC24" s="204"/>
      <c r="TGD24" s="204"/>
      <c r="TGE24" s="204"/>
      <c r="TGF24" s="204"/>
      <c r="TGG24" s="204"/>
      <c r="TGH24" s="204"/>
      <c r="TGI24" s="204"/>
      <c r="TGJ24" s="204"/>
      <c r="TGK24" s="204"/>
      <c r="TGL24" s="204"/>
      <c r="TGM24" s="204"/>
      <c r="TGN24" s="204"/>
      <c r="TGO24" s="204"/>
      <c r="TGP24" s="204"/>
      <c r="TGQ24" s="204"/>
      <c r="TGR24" s="204"/>
      <c r="TGS24" s="204"/>
      <c r="TGT24" s="204"/>
      <c r="TGU24" s="204"/>
      <c r="TGV24" s="204"/>
      <c r="TGW24" s="204"/>
      <c r="TGX24" s="204"/>
      <c r="TGY24" s="204"/>
      <c r="TGZ24" s="204"/>
      <c r="THA24" s="204"/>
      <c r="THB24" s="204"/>
      <c r="THC24" s="204"/>
      <c r="THD24" s="204"/>
      <c r="THE24" s="204"/>
      <c r="THF24" s="204"/>
      <c r="THG24" s="204"/>
      <c r="THH24" s="204"/>
      <c r="THI24" s="204"/>
      <c r="THJ24" s="204"/>
      <c r="THK24" s="204"/>
      <c r="THL24" s="204"/>
      <c r="THM24" s="204"/>
      <c r="THN24" s="204"/>
      <c r="THO24" s="204"/>
      <c r="THP24" s="204"/>
      <c r="THQ24" s="204"/>
      <c r="THR24" s="204"/>
      <c r="THS24" s="204"/>
      <c r="THT24" s="204"/>
      <c r="THU24" s="204"/>
      <c r="THV24" s="204"/>
      <c r="THW24" s="204"/>
      <c r="THX24" s="204"/>
      <c r="THY24" s="204"/>
      <c r="THZ24" s="204"/>
      <c r="TIA24" s="204"/>
      <c r="TIB24" s="204"/>
      <c r="TIC24" s="204"/>
      <c r="TID24" s="204"/>
      <c r="TIE24" s="204"/>
      <c r="TIF24" s="204"/>
      <c r="TIG24" s="204"/>
      <c r="TIH24" s="204"/>
      <c r="TII24" s="204"/>
      <c r="TIJ24" s="204"/>
      <c r="TIK24" s="204"/>
      <c r="TIL24" s="204"/>
      <c r="TIM24" s="204"/>
      <c r="TIN24" s="204"/>
      <c r="TIO24" s="204"/>
      <c r="TIP24" s="204"/>
      <c r="TIQ24" s="204"/>
      <c r="TIR24" s="204"/>
      <c r="TIS24" s="204"/>
      <c r="TIT24" s="204"/>
      <c r="TIU24" s="204"/>
      <c r="TIV24" s="204"/>
      <c r="TIW24" s="204"/>
      <c r="TIX24" s="204"/>
      <c r="TIY24" s="204"/>
      <c r="TIZ24" s="204"/>
      <c r="TJA24" s="204"/>
      <c r="TJB24" s="204"/>
      <c r="TJC24" s="204"/>
      <c r="TJD24" s="204"/>
      <c r="TJE24" s="204"/>
      <c r="TJF24" s="204"/>
      <c r="TJG24" s="204"/>
      <c r="TJH24" s="204"/>
      <c r="TJI24" s="204"/>
      <c r="TJJ24" s="204"/>
      <c r="TJK24" s="204"/>
      <c r="TJL24" s="204"/>
      <c r="TJM24" s="204"/>
      <c r="TJN24" s="204"/>
      <c r="TJO24" s="204"/>
      <c r="TJP24" s="204"/>
      <c r="TJQ24" s="204"/>
      <c r="TJR24" s="204"/>
      <c r="TJS24" s="204"/>
      <c r="TJT24" s="204"/>
      <c r="TJU24" s="204"/>
      <c r="TJV24" s="204"/>
      <c r="TJW24" s="204"/>
      <c r="TJX24" s="204"/>
      <c r="TJY24" s="204"/>
      <c r="TJZ24" s="204"/>
      <c r="TKA24" s="204"/>
      <c r="TKB24" s="204"/>
      <c r="TKC24" s="204"/>
      <c r="TKD24" s="204"/>
      <c r="TKE24" s="204"/>
      <c r="TKF24" s="204"/>
      <c r="TKG24" s="204"/>
      <c r="TKH24" s="204"/>
      <c r="TKI24" s="204"/>
      <c r="TKJ24" s="204"/>
      <c r="TKK24" s="204"/>
      <c r="TKL24" s="204"/>
      <c r="TKM24" s="204"/>
      <c r="TKN24" s="204"/>
      <c r="TKO24" s="204"/>
      <c r="TKP24" s="204"/>
      <c r="TKQ24" s="204"/>
      <c r="TKR24" s="204"/>
      <c r="TKS24" s="204"/>
      <c r="TKT24" s="204"/>
      <c r="TKU24" s="204"/>
      <c r="TKV24" s="204"/>
      <c r="TKW24" s="204"/>
      <c r="TKX24" s="204"/>
      <c r="TKY24" s="204"/>
      <c r="TKZ24" s="204"/>
      <c r="TLA24" s="204"/>
      <c r="TLB24" s="204"/>
      <c r="TLC24" s="204"/>
      <c r="TLD24" s="204"/>
      <c r="TLE24" s="204"/>
      <c r="TLF24" s="204"/>
      <c r="TLG24" s="204"/>
      <c r="TLH24" s="204"/>
      <c r="TLI24" s="204"/>
      <c r="TLJ24" s="204"/>
      <c r="TLK24" s="204"/>
      <c r="TLL24" s="204"/>
      <c r="TLM24" s="204"/>
      <c r="TLN24" s="204"/>
      <c r="TLO24" s="204"/>
      <c r="TLP24" s="204"/>
      <c r="TLQ24" s="204"/>
      <c r="TLR24" s="204"/>
      <c r="TLS24" s="204"/>
      <c r="TLT24" s="204"/>
      <c r="TLU24" s="204"/>
      <c r="TLV24" s="204"/>
      <c r="TLW24" s="204"/>
      <c r="TLX24" s="204"/>
      <c r="TLY24" s="204"/>
      <c r="TLZ24" s="204"/>
      <c r="TMA24" s="204"/>
      <c r="TMB24" s="204"/>
      <c r="TMC24" s="204"/>
      <c r="TMD24" s="204"/>
      <c r="TME24" s="204"/>
      <c r="TMF24" s="204"/>
      <c r="TMG24" s="204"/>
      <c r="TMH24" s="204"/>
      <c r="TMI24" s="204"/>
      <c r="TMJ24" s="204"/>
      <c r="TMK24" s="204"/>
      <c r="TML24" s="204"/>
      <c r="TMM24" s="204"/>
      <c r="TMN24" s="204"/>
      <c r="TMO24" s="204"/>
      <c r="TMP24" s="204"/>
      <c r="TMQ24" s="204"/>
      <c r="TMR24" s="204"/>
      <c r="TMS24" s="204"/>
      <c r="TMT24" s="204"/>
      <c r="TMU24" s="204"/>
      <c r="TMV24" s="204"/>
      <c r="TMW24" s="204"/>
      <c r="TMX24" s="204"/>
      <c r="TMY24" s="204"/>
      <c r="TMZ24" s="204"/>
      <c r="TNA24" s="204"/>
      <c r="TNB24" s="204"/>
      <c r="TNC24" s="204"/>
      <c r="TND24" s="204"/>
      <c r="TNE24" s="204"/>
      <c r="TNF24" s="204"/>
      <c r="TNG24" s="204"/>
      <c r="TNH24" s="204"/>
      <c r="TNI24" s="204"/>
      <c r="TNJ24" s="204"/>
      <c r="TNK24" s="204"/>
      <c r="TNL24" s="204"/>
      <c r="TNM24" s="204"/>
      <c r="TNN24" s="204"/>
      <c r="TNO24" s="204"/>
      <c r="TNP24" s="204"/>
      <c r="TNQ24" s="204"/>
      <c r="TNR24" s="204"/>
      <c r="TNS24" s="204"/>
      <c r="TNT24" s="204"/>
      <c r="TNU24" s="204"/>
      <c r="TNV24" s="204"/>
      <c r="TNW24" s="204"/>
      <c r="TNX24" s="204"/>
      <c r="TNY24" s="204"/>
      <c r="TNZ24" s="204"/>
      <c r="TOA24" s="204"/>
      <c r="TOB24" s="204"/>
      <c r="TOC24" s="204"/>
      <c r="TOD24" s="204"/>
      <c r="TOE24" s="204"/>
      <c r="TOF24" s="204"/>
      <c r="TOG24" s="204"/>
      <c r="TOH24" s="204"/>
      <c r="TOI24" s="204"/>
      <c r="TOJ24" s="204"/>
      <c r="TOK24" s="204"/>
      <c r="TOL24" s="204"/>
      <c r="TOM24" s="204"/>
      <c r="TON24" s="204"/>
      <c r="TOO24" s="204"/>
      <c r="TOP24" s="204"/>
      <c r="TOQ24" s="204"/>
      <c r="TOR24" s="204"/>
      <c r="TOS24" s="204"/>
      <c r="TOT24" s="204"/>
      <c r="TOU24" s="204"/>
      <c r="TOV24" s="204"/>
      <c r="TOW24" s="204"/>
      <c r="TOX24" s="204"/>
      <c r="TOY24" s="204"/>
      <c r="TOZ24" s="204"/>
      <c r="TPA24" s="204"/>
      <c r="TPB24" s="204"/>
      <c r="TPC24" s="204"/>
      <c r="TPD24" s="204"/>
      <c r="TPE24" s="204"/>
      <c r="TPF24" s="204"/>
      <c r="TPG24" s="204"/>
      <c r="TPH24" s="204"/>
      <c r="TPI24" s="204"/>
      <c r="TPJ24" s="204"/>
      <c r="TPK24" s="204"/>
      <c r="TPL24" s="204"/>
      <c r="TPM24" s="204"/>
      <c r="TPN24" s="204"/>
      <c r="TPO24" s="204"/>
      <c r="TPP24" s="204"/>
      <c r="TPQ24" s="204"/>
      <c r="TPR24" s="204"/>
      <c r="TPS24" s="204"/>
      <c r="TPT24" s="204"/>
      <c r="TPU24" s="204"/>
      <c r="TPV24" s="204"/>
      <c r="TPW24" s="204"/>
      <c r="TPX24" s="204"/>
      <c r="TPY24" s="204"/>
      <c r="TPZ24" s="204"/>
      <c r="TQA24" s="204"/>
      <c r="TQB24" s="204"/>
      <c r="TQC24" s="204"/>
      <c r="TQD24" s="204"/>
      <c r="TQE24" s="204"/>
      <c r="TQF24" s="204"/>
      <c r="TQG24" s="204"/>
      <c r="TQH24" s="204"/>
      <c r="TQI24" s="204"/>
      <c r="TQJ24" s="204"/>
      <c r="TQK24" s="204"/>
      <c r="TQL24" s="204"/>
      <c r="TQM24" s="204"/>
      <c r="TQN24" s="204"/>
      <c r="TQO24" s="204"/>
      <c r="TQP24" s="204"/>
      <c r="TQQ24" s="204"/>
      <c r="TQR24" s="204"/>
      <c r="TQS24" s="204"/>
      <c r="TQT24" s="204"/>
      <c r="TQU24" s="204"/>
      <c r="TQV24" s="204"/>
      <c r="TQW24" s="204"/>
      <c r="TQX24" s="204"/>
      <c r="TQY24" s="204"/>
      <c r="TQZ24" s="204"/>
      <c r="TRA24" s="204"/>
      <c r="TRB24" s="204"/>
      <c r="TRC24" s="204"/>
      <c r="TRD24" s="204"/>
      <c r="TRE24" s="204"/>
      <c r="TRF24" s="204"/>
      <c r="TRG24" s="204"/>
      <c r="TRH24" s="204"/>
      <c r="TRI24" s="204"/>
      <c r="TRJ24" s="204"/>
      <c r="TRK24" s="204"/>
      <c r="TRL24" s="204"/>
      <c r="TRM24" s="204"/>
      <c r="TRN24" s="204"/>
      <c r="TRO24" s="204"/>
      <c r="TRP24" s="204"/>
      <c r="TRQ24" s="204"/>
      <c r="TRR24" s="204"/>
      <c r="TRS24" s="204"/>
      <c r="TRT24" s="204"/>
      <c r="TRU24" s="204"/>
      <c r="TRV24" s="204"/>
      <c r="TRW24" s="204"/>
      <c r="TRX24" s="204"/>
      <c r="TRY24" s="204"/>
      <c r="TRZ24" s="204"/>
      <c r="TSA24" s="204"/>
      <c r="TSB24" s="204"/>
      <c r="TSC24" s="204"/>
      <c r="TSD24" s="204"/>
      <c r="TSE24" s="204"/>
      <c r="TSF24" s="204"/>
      <c r="TSG24" s="204"/>
      <c r="TSH24" s="204"/>
      <c r="TSI24" s="204"/>
      <c r="TSJ24" s="204"/>
      <c r="TSK24" s="204"/>
      <c r="TSL24" s="204"/>
      <c r="TSM24" s="204"/>
      <c r="TSN24" s="204"/>
      <c r="TSO24" s="204"/>
      <c r="TSP24" s="204"/>
      <c r="TSQ24" s="204"/>
      <c r="TSR24" s="204"/>
      <c r="TSS24" s="204"/>
      <c r="TST24" s="204"/>
      <c r="TSU24" s="204"/>
      <c r="TSV24" s="204"/>
      <c r="TSW24" s="204"/>
      <c r="TSX24" s="204"/>
      <c r="TSY24" s="204"/>
      <c r="TSZ24" s="204"/>
      <c r="TTA24" s="204"/>
      <c r="TTB24" s="204"/>
      <c r="TTC24" s="204"/>
      <c r="TTD24" s="204"/>
      <c r="TTE24" s="204"/>
      <c r="TTF24" s="204"/>
      <c r="TTG24" s="204"/>
      <c r="TTH24" s="204"/>
      <c r="TTI24" s="204"/>
      <c r="TTJ24" s="204"/>
      <c r="TTK24" s="204"/>
      <c r="TTL24" s="204"/>
      <c r="TTM24" s="204"/>
      <c r="TTN24" s="204"/>
      <c r="TTO24" s="204"/>
      <c r="TTP24" s="204"/>
      <c r="TTQ24" s="204"/>
      <c r="TTR24" s="204"/>
      <c r="TTS24" s="204"/>
      <c r="TTT24" s="204"/>
      <c r="TTU24" s="204"/>
      <c r="TTV24" s="204"/>
      <c r="TTW24" s="204"/>
      <c r="TTX24" s="204"/>
      <c r="TTY24" s="204"/>
      <c r="TTZ24" s="204"/>
      <c r="TUA24" s="204"/>
      <c r="TUB24" s="204"/>
      <c r="TUC24" s="204"/>
      <c r="TUD24" s="204"/>
      <c r="TUE24" s="204"/>
      <c r="TUF24" s="204"/>
      <c r="TUG24" s="204"/>
      <c r="TUH24" s="204"/>
      <c r="TUI24" s="204"/>
      <c r="TUJ24" s="204"/>
      <c r="TUK24" s="204"/>
      <c r="TUL24" s="204"/>
      <c r="TUM24" s="204"/>
      <c r="TUN24" s="204"/>
      <c r="TUO24" s="204"/>
      <c r="TUP24" s="204"/>
      <c r="TUQ24" s="204"/>
      <c r="TUR24" s="204"/>
      <c r="TUS24" s="204"/>
      <c r="TUT24" s="204"/>
      <c r="TUU24" s="204"/>
      <c r="TUV24" s="204"/>
      <c r="TUW24" s="204"/>
      <c r="TUX24" s="204"/>
      <c r="TUY24" s="204"/>
      <c r="TUZ24" s="204"/>
      <c r="TVA24" s="204"/>
      <c r="TVB24" s="204"/>
      <c r="TVC24" s="204"/>
      <c r="TVD24" s="204"/>
      <c r="TVE24" s="204"/>
      <c r="TVF24" s="204"/>
      <c r="TVG24" s="204"/>
      <c r="TVH24" s="204"/>
      <c r="TVI24" s="204"/>
      <c r="TVJ24" s="204"/>
      <c r="TVK24" s="204"/>
      <c r="TVL24" s="204"/>
      <c r="TVM24" s="204"/>
      <c r="TVN24" s="204"/>
      <c r="TVO24" s="204"/>
      <c r="TVP24" s="204"/>
      <c r="TVQ24" s="204"/>
      <c r="TVR24" s="204"/>
      <c r="TVS24" s="204"/>
      <c r="TVT24" s="204"/>
      <c r="TVU24" s="204"/>
      <c r="TVV24" s="204"/>
      <c r="TVW24" s="204"/>
      <c r="TVX24" s="204"/>
      <c r="TVY24" s="204"/>
      <c r="TVZ24" s="204"/>
      <c r="TWA24" s="204"/>
      <c r="TWB24" s="204"/>
      <c r="TWC24" s="204"/>
      <c r="TWD24" s="204"/>
      <c r="TWE24" s="204"/>
      <c r="TWF24" s="204"/>
      <c r="TWG24" s="204"/>
      <c r="TWH24" s="204"/>
      <c r="TWI24" s="204"/>
      <c r="TWJ24" s="204"/>
      <c r="TWK24" s="204"/>
      <c r="TWL24" s="204"/>
      <c r="TWM24" s="204"/>
      <c r="TWN24" s="204"/>
      <c r="TWO24" s="204"/>
      <c r="TWP24" s="204"/>
      <c r="TWQ24" s="204"/>
      <c r="TWR24" s="204"/>
      <c r="TWS24" s="204"/>
      <c r="TWT24" s="204"/>
      <c r="TWU24" s="204"/>
      <c r="TWV24" s="204"/>
      <c r="TWW24" s="204"/>
      <c r="TWX24" s="204"/>
      <c r="TWY24" s="204"/>
      <c r="TWZ24" s="204"/>
      <c r="TXA24" s="204"/>
      <c r="TXB24" s="204"/>
      <c r="TXC24" s="204"/>
      <c r="TXD24" s="204"/>
      <c r="TXE24" s="204"/>
      <c r="TXF24" s="204"/>
      <c r="TXG24" s="204"/>
      <c r="TXH24" s="204"/>
      <c r="TXI24" s="204"/>
      <c r="TXJ24" s="204"/>
      <c r="TXK24" s="204"/>
      <c r="TXL24" s="204"/>
      <c r="TXM24" s="204"/>
      <c r="TXN24" s="204"/>
      <c r="TXO24" s="204"/>
      <c r="TXP24" s="204"/>
      <c r="TXQ24" s="204"/>
      <c r="TXR24" s="204"/>
      <c r="TXS24" s="204"/>
      <c r="TXT24" s="204"/>
      <c r="TXU24" s="204"/>
      <c r="TXV24" s="204"/>
      <c r="TXW24" s="204"/>
      <c r="TXX24" s="204"/>
      <c r="TXY24" s="204"/>
      <c r="TXZ24" s="204"/>
      <c r="TYA24" s="204"/>
      <c r="TYB24" s="204"/>
      <c r="TYC24" s="204"/>
      <c r="TYD24" s="204"/>
      <c r="TYE24" s="204"/>
      <c r="TYF24" s="204"/>
      <c r="TYG24" s="204"/>
      <c r="TYH24" s="204"/>
      <c r="TYI24" s="204"/>
      <c r="TYJ24" s="204"/>
      <c r="TYK24" s="204"/>
      <c r="TYL24" s="204"/>
      <c r="TYM24" s="204"/>
      <c r="TYN24" s="204"/>
      <c r="TYO24" s="204"/>
      <c r="TYP24" s="204"/>
      <c r="TYQ24" s="204"/>
      <c r="TYR24" s="204"/>
      <c r="TYS24" s="204"/>
      <c r="TYT24" s="204"/>
      <c r="TYU24" s="204"/>
      <c r="TYV24" s="204"/>
      <c r="TYW24" s="204"/>
      <c r="TYX24" s="204"/>
      <c r="TYY24" s="204"/>
      <c r="TYZ24" s="204"/>
      <c r="TZA24" s="204"/>
      <c r="TZB24" s="204"/>
      <c r="TZC24" s="204"/>
      <c r="TZD24" s="204"/>
      <c r="TZE24" s="204"/>
      <c r="TZF24" s="204"/>
      <c r="TZG24" s="204"/>
      <c r="TZH24" s="204"/>
      <c r="TZI24" s="204"/>
      <c r="TZJ24" s="204"/>
      <c r="TZK24" s="204"/>
      <c r="TZL24" s="204"/>
      <c r="TZM24" s="204"/>
      <c r="TZN24" s="204"/>
      <c r="TZO24" s="204"/>
      <c r="TZP24" s="204"/>
      <c r="TZQ24" s="204"/>
      <c r="TZR24" s="204"/>
      <c r="TZS24" s="204"/>
      <c r="TZT24" s="204"/>
      <c r="TZU24" s="204"/>
      <c r="TZV24" s="204"/>
      <c r="TZW24" s="204"/>
      <c r="TZX24" s="204"/>
      <c r="TZY24" s="204"/>
      <c r="TZZ24" s="204"/>
      <c r="UAA24" s="204"/>
      <c r="UAB24" s="204"/>
      <c r="UAC24" s="204"/>
      <c r="UAD24" s="204"/>
      <c r="UAE24" s="204"/>
      <c r="UAF24" s="204"/>
      <c r="UAG24" s="204"/>
      <c r="UAH24" s="204"/>
      <c r="UAI24" s="204"/>
      <c r="UAJ24" s="204"/>
      <c r="UAK24" s="204"/>
      <c r="UAL24" s="204"/>
      <c r="UAM24" s="204"/>
      <c r="UAN24" s="204"/>
      <c r="UAO24" s="204"/>
      <c r="UAP24" s="204"/>
      <c r="UAQ24" s="204"/>
      <c r="UAR24" s="204"/>
      <c r="UAS24" s="204"/>
      <c r="UAT24" s="204"/>
      <c r="UAU24" s="204"/>
      <c r="UAV24" s="204"/>
      <c r="UAW24" s="204"/>
      <c r="UAX24" s="204"/>
      <c r="UAY24" s="204"/>
      <c r="UAZ24" s="204"/>
      <c r="UBA24" s="204"/>
      <c r="UBB24" s="204"/>
      <c r="UBC24" s="204"/>
      <c r="UBD24" s="204"/>
      <c r="UBE24" s="204"/>
      <c r="UBF24" s="204"/>
      <c r="UBG24" s="204"/>
      <c r="UBH24" s="204"/>
      <c r="UBI24" s="204"/>
      <c r="UBJ24" s="204"/>
      <c r="UBK24" s="204"/>
      <c r="UBL24" s="204"/>
      <c r="UBM24" s="204"/>
      <c r="UBN24" s="204"/>
      <c r="UBO24" s="204"/>
      <c r="UBP24" s="204"/>
      <c r="UBQ24" s="204"/>
      <c r="UBR24" s="204"/>
      <c r="UBS24" s="204"/>
      <c r="UBT24" s="204"/>
      <c r="UBU24" s="204"/>
      <c r="UBV24" s="204"/>
      <c r="UBW24" s="204"/>
      <c r="UBX24" s="204"/>
      <c r="UBY24" s="204"/>
      <c r="UBZ24" s="204"/>
      <c r="UCA24" s="204"/>
      <c r="UCB24" s="204"/>
      <c r="UCC24" s="204"/>
      <c r="UCD24" s="204"/>
      <c r="UCE24" s="204"/>
      <c r="UCF24" s="204"/>
      <c r="UCG24" s="204"/>
      <c r="UCH24" s="204"/>
      <c r="UCI24" s="204"/>
      <c r="UCJ24" s="204"/>
      <c r="UCK24" s="204"/>
      <c r="UCL24" s="204"/>
      <c r="UCM24" s="204"/>
      <c r="UCN24" s="204"/>
      <c r="UCO24" s="204"/>
      <c r="UCP24" s="204"/>
      <c r="UCQ24" s="204"/>
      <c r="UCR24" s="204"/>
      <c r="UCS24" s="204"/>
      <c r="UCT24" s="204"/>
      <c r="UCU24" s="204"/>
      <c r="UCV24" s="204"/>
      <c r="UCW24" s="204"/>
      <c r="UCX24" s="204"/>
      <c r="UCY24" s="204"/>
      <c r="UCZ24" s="204"/>
      <c r="UDA24" s="204"/>
      <c r="UDB24" s="204"/>
      <c r="UDC24" s="204"/>
      <c r="UDD24" s="204"/>
      <c r="UDE24" s="204"/>
      <c r="UDF24" s="204"/>
      <c r="UDG24" s="204"/>
      <c r="UDH24" s="204"/>
      <c r="UDI24" s="204"/>
      <c r="UDJ24" s="204"/>
      <c r="UDK24" s="204"/>
      <c r="UDL24" s="204"/>
      <c r="UDM24" s="204"/>
      <c r="UDN24" s="204"/>
      <c r="UDO24" s="204"/>
      <c r="UDP24" s="204"/>
      <c r="UDQ24" s="204"/>
      <c r="UDR24" s="204"/>
      <c r="UDS24" s="204"/>
      <c r="UDT24" s="204"/>
      <c r="UDU24" s="204"/>
      <c r="UDV24" s="204"/>
      <c r="UDW24" s="204"/>
      <c r="UDX24" s="204"/>
      <c r="UDY24" s="204"/>
      <c r="UDZ24" s="204"/>
      <c r="UEA24" s="204"/>
      <c r="UEB24" s="204"/>
      <c r="UEC24" s="204"/>
      <c r="UED24" s="204"/>
      <c r="UEE24" s="204"/>
      <c r="UEF24" s="204"/>
      <c r="UEG24" s="204"/>
      <c r="UEH24" s="204"/>
      <c r="UEI24" s="204"/>
      <c r="UEJ24" s="204"/>
      <c r="UEK24" s="204"/>
      <c r="UEL24" s="204"/>
      <c r="UEM24" s="204"/>
      <c r="UEN24" s="204"/>
      <c r="UEO24" s="204"/>
      <c r="UEP24" s="204"/>
      <c r="UEQ24" s="204"/>
      <c r="UER24" s="204"/>
      <c r="UES24" s="204"/>
      <c r="UET24" s="204"/>
      <c r="UEU24" s="204"/>
      <c r="UEV24" s="204"/>
      <c r="UEW24" s="204"/>
      <c r="UEX24" s="204"/>
      <c r="UEY24" s="204"/>
      <c r="UEZ24" s="204"/>
      <c r="UFA24" s="204"/>
      <c r="UFB24" s="204"/>
      <c r="UFC24" s="204"/>
      <c r="UFD24" s="204"/>
      <c r="UFE24" s="204"/>
      <c r="UFF24" s="204"/>
      <c r="UFG24" s="204"/>
      <c r="UFH24" s="204"/>
      <c r="UFI24" s="204"/>
      <c r="UFJ24" s="204"/>
      <c r="UFK24" s="204"/>
      <c r="UFL24" s="204"/>
      <c r="UFM24" s="204"/>
      <c r="UFN24" s="204"/>
      <c r="UFO24" s="204"/>
      <c r="UFP24" s="204"/>
      <c r="UFQ24" s="204"/>
      <c r="UFR24" s="204"/>
      <c r="UFS24" s="204"/>
      <c r="UFT24" s="204"/>
      <c r="UFU24" s="204"/>
      <c r="UFV24" s="204"/>
      <c r="UFW24" s="204"/>
      <c r="UFX24" s="204"/>
      <c r="UFY24" s="204"/>
      <c r="UFZ24" s="204"/>
      <c r="UGA24" s="204"/>
      <c r="UGB24" s="204"/>
      <c r="UGC24" s="204"/>
      <c r="UGD24" s="204"/>
      <c r="UGE24" s="204"/>
      <c r="UGF24" s="204"/>
      <c r="UGG24" s="204"/>
      <c r="UGH24" s="204"/>
      <c r="UGI24" s="204"/>
      <c r="UGJ24" s="204"/>
      <c r="UGK24" s="204"/>
      <c r="UGL24" s="204"/>
      <c r="UGM24" s="204"/>
      <c r="UGN24" s="204"/>
      <c r="UGO24" s="204"/>
      <c r="UGP24" s="204"/>
      <c r="UGQ24" s="204"/>
      <c r="UGR24" s="204"/>
      <c r="UGS24" s="204"/>
      <c r="UGT24" s="204"/>
      <c r="UGU24" s="204"/>
      <c r="UGV24" s="204"/>
      <c r="UGW24" s="204"/>
      <c r="UGX24" s="204"/>
      <c r="UGY24" s="204"/>
      <c r="UGZ24" s="204"/>
      <c r="UHA24" s="204"/>
      <c r="UHB24" s="204"/>
      <c r="UHC24" s="204"/>
      <c r="UHD24" s="204"/>
      <c r="UHE24" s="204"/>
      <c r="UHF24" s="204"/>
      <c r="UHG24" s="204"/>
      <c r="UHH24" s="204"/>
      <c r="UHI24" s="204"/>
      <c r="UHJ24" s="204"/>
      <c r="UHK24" s="204"/>
      <c r="UHL24" s="204"/>
      <c r="UHM24" s="204"/>
      <c r="UHN24" s="204"/>
      <c r="UHO24" s="204"/>
      <c r="UHP24" s="204"/>
      <c r="UHQ24" s="204"/>
      <c r="UHR24" s="204"/>
      <c r="UHS24" s="204"/>
      <c r="UHT24" s="204"/>
      <c r="UHU24" s="204"/>
      <c r="UHV24" s="204"/>
      <c r="UHW24" s="204"/>
      <c r="UHX24" s="204"/>
      <c r="UHY24" s="204"/>
      <c r="UHZ24" s="204"/>
      <c r="UIA24" s="204"/>
      <c r="UIB24" s="204"/>
      <c r="UIC24" s="204"/>
      <c r="UID24" s="204"/>
      <c r="UIE24" s="204"/>
      <c r="UIF24" s="204"/>
      <c r="UIG24" s="204"/>
      <c r="UIH24" s="204"/>
      <c r="UII24" s="204"/>
      <c r="UIJ24" s="204"/>
      <c r="UIK24" s="204"/>
      <c r="UIL24" s="204"/>
      <c r="UIM24" s="204"/>
      <c r="UIN24" s="204"/>
      <c r="UIO24" s="204"/>
      <c r="UIP24" s="204"/>
      <c r="UIQ24" s="204"/>
      <c r="UIR24" s="204"/>
      <c r="UIS24" s="204"/>
      <c r="UIT24" s="204"/>
      <c r="UIU24" s="204"/>
      <c r="UIV24" s="204"/>
      <c r="UIW24" s="204"/>
      <c r="UIX24" s="204"/>
      <c r="UIY24" s="204"/>
      <c r="UIZ24" s="204"/>
      <c r="UJA24" s="204"/>
      <c r="UJB24" s="204"/>
      <c r="UJC24" s="204"/>
      <c r="UJD24" s="204"/>
      <c r="UJE24" s="204"/>
      <c r="UJF24" s="204"/>
      <c r="UJG24" s="204"/>
      <c r="UJH24" s="204"/>
      <c r="UJI24" s="204"/>
      <c r="UJJ24" s="204"/>
      <c r="UJK24" s="204"/>
      <c r="UJL24" s="204"/>
      <c r="UJM24" s="204"/>
      <c r="UJN24" s="204"/>
      <c r="UJO24" s="204"/>
      <c r="UJP24" s="204"/>
      <c r="UJQ24" s="204"/>
      <c r="UJR24" s="204"/>
      <c r="UJS24" s="204"/>
      <c r="UJT24" s="204"/>
      <c r="UJU24" s="204"/>
      <c r="UJV24" s="204"/>
      <c r="UJW24" s="204"/>
      <c r="UJX24" s="204"/>
      <c r="UJY24" s="204"/>
      <c r="UJZ24" s="204"/>
      <c r="UKA24" s="204"/>
      <c r="UKB24" s="204"/>
      <c r="UKC24" s="204"/>
      <c r="UKD24" s="204"/>
      <c r="UKE24" s="204"/>
      <c r="UKF24" s="204"/>
      <c r="UKG24" s="204"/>
      <c r="UKH24" s="204"/>
      <c r="UKI24" s="204"/>
      <c r="UKJ24" s="204"/>
      <c r="UKK24" s="204"/>
      <c r="UKL24" s="204"/>
      <c r="UKM24" s="204"/>
      <c r="UKN24" s="204"/>
      <c r="UKO24" s="204"/>
      <c r="UKP24" s="204"/>
      <c r="UKQ24" s="204"/>
      <c r="UKR24" s="204"/>
      <c r="UKS24" s="204"/>
      <c r="UKT24" s="204"/>
      <c r="UKU24" s="204"/>
      <c r="UKV24" s="204"/>
      <c r="UKW24" s="204"/>
      <c r="UKX24" s="204"/>
      <c r="UKY24" s="204"/>
      <c r="UKZ24" s="204"/>
      <c r="ULA24" s="204"/>
      <c r="ULB24" s="204"/>
      <c r="ULC24" s="204"/>
      <c r="ULD24" s="204"/>
      <c r="ULE24" s="204"/>
      <c r="ULF24" s="204"/>
      <c r="ULG24" s="204"/>
      <c r="ULH24" s="204"/>
      <c r="ULI24" s="204"/>
      <c r="ULJ24" s="204"/>
      <c r="ULK24" s="204"/>
      <c r="ULL24" s="204"/>
      <c r="ULM24" s="204"/>
      <c r="ULN24" s="204"/>
      <c r="ULO24" s="204"/>
      <c r="ULP24" s="204"/>
      <c r="ULQ24" s="204"/>
      <c r="ULR24" s="204"/>
      <c r="ULS24" s="204"/>
      <c r="ULT24" s="204"/>
      <c r="ULU24" s="204"/>
      <c r="ULV24" s="204"/>
      <c r="ULW24" s="204"/>
      <c r="ULX24" s="204"/>
      <c r="ULY24" s="204"/>
      <c r="ULZ24" s="204"/>
      <c r="UMA24" s="204"/>
      <c r="UMB24" s="204"/>
      <c r="UMC24" s="204"/>
      <c r="UMD24" s="204"/>
      <c r="UME24" s="204"/>
      <c r="UMF24" s="204"/>
      <c r="UMG24" s="204"/>
      <c r="UMH24" s="204"/>
      <c r="UMI24" s="204"/>
      <c r="UMJ24" s="204"/>
      <c r="UMK24" s="204"/>
      <c r="UML24" s="204"/>
      <c r="UMM24" s="204"/>
      <c r="UMN24" s="204"/>
      <c r="UMO24" s="204"/>
      <c r="UMP24" s="204"/>
      <c r="UMQ24" s="204"/>
      <c r="UMR24" s="204"/>
      <c r="UMS24" s="204"/>
      <c r="UMT24" s="204"/>
      <c r="UMU24" s="204"/>
      <c r="UMV24" s="204"/>
      <c r="UMW24" s="204"/>
      <c r="UMX24" s="204"/>
      <c r="UMY24" s="204"/>
      <c r="UMZ24" s="204"/>
      <c r="UNA24" s="204"/>
      <c r="UNB24" s="204"/>
      <c r="UNC24" s="204"/>
      <c r="UND24" s="204"/>
      <c r="UNE24" s="204"/>
      <c r="UNF24" s="204"/>
      <c r="UNG24" s="204"/>
      <c r="UNH24" s="204"/>
      <c r="UNI24" s="204"/>
      <c r="UNJ24" s="204"/>
      <c r="UNK24" s="204"/>
      <c r="UNL24" s="204"/>
      <c r="UNM24" s="204"/>
      <c r="UNN24" s="204"/>
      <c r="UNO24" s="204"/>
      <c r="UNP24" s="204"/>
      <c r="UNQ24" s="204"/>
      <c r="UNR24" s="204"/>
      <c r="UNS24" s="204"/>
      <c r="UNT24" s="204"/>
      <c r="UNU24" s="204"/>
      <c r="UNV24" s="204"/>
      <c r="UNW24" s="204"/>
      <c r="UNX24" s="204"/>
      <c r="UNY24" s="204"/>
      <c r="UNZ24" s="204"/>
      <c r="UOA24" s="204"/>
      <c r="UOB24" s="204"/>
      <c r="UOC24" s="204"/>
      <c r="UOD24" s="204"/>
      <c r="UOE24" s="204"/>
      <c r="UOF24" s="204"/>
      <c r="UOG24" s="204"/>
      <c r="UOH24" s="204"/>
      <c r="UOI24" s="204"/>
      <c r="UOJ24" s="204"/>
      <c r="UOK24" s="204"/>
      <c r="UOL24" s="204"/>
      <c r="UOM24" s="204"/>
      <c r="UON24" s="204"/>
      <c r="UOO24" s="204"/>
      <c r="UOP24" s="204"/>
      <c r="UOQ24" s="204"/>
      <c r="UOR24" s="204"/>
      <c r="UOS24" s="204"/>
      <c r="UOT24" s="204"/>
      <c r="UOU24" s="204"/>
      <c r="UOV24" s="204"/>
      <c r="UOW24" s="204"/>
      <c r="UOX24" s="204"/>
      <c r="UOY24" s="204"/>
      <c r="UOZ24" s="204"/>
      <c r="UPA24" s="204"/>
      <c r="UPB24" s="204"/>
      <c r="UPC24" s="204"/>
      <c r="UPD24" s="204"/>
      <c r="UPE24" s="204"/>
      <c r="UPF24" s="204"/>
      <c r="UPG24" s="204"/>
      <c r="UPH24" s="204"/>
      <c r="UPI24" s="204"/>
      <c r="UPJ24" s="204"/>
      <c r="UPK24" s="204"/>
      <c r="UPL24" s="204"/>
      <c r="UPM24" s="204"/>
      <c r="UPN24" s="204"/>
      <c r="UPO24" s="204"/>
      <c r="UPP24" s="204"/>
      <c r="UPQ24" s="204"/>
      <c r="UPR24" s="204"/>
      <c r="UPS24" s="204"/>
      <c r="UPT24" s="204"/>
      <c r="UPU24" s="204"/>
      <c r="UPV24" s="204"/>
      <c r="UPW24" s="204"/>
      <c r="UPX24" s="204"/>
      <c r="UPY24" s="204"/>
      <c r="UPZ24" s="204"/>
      <c r="UQA24" s="204"/>
      <c r="UQB24" s="204"/>
      <c r="UQC24" s="204"/>
      <c r="UQD24" s="204"/>
      <c r="UQE24" s="204"/>
      <c r="UQF24" s="204"/>
      <c r="UQG24" s="204"/>
      <c r="UQH24" s="204"/>
      <c r="UQI24" s="204"/>
      <c r="UQJ24" s="204"/>
      <c r="UQK24" s="204"/>
      <c r="UQL24" s="204"/>
      <c r="UQM24" s="204"/>
      <c r="UQN24" s="204"/>
      <c r="UQO24" s="204"/>
      <c r="UQP24" s="204"/>
      <c r="UQQ24" s="204"/>
      <c r="UQR24" s="204"/>
      <c r="UQS24" s="204"/>
      <c r="UQT24" s="204"/>
      <c r="UQU24" s="204"/>
      <c r="UQV24" s="204"/>
      <c r="UQW24" s="204"/>
      <c r="UQX24" s="204"/>
      <c r="UQY24" s="204"/>
      <c r="UQZ24" s="204"/>
      <c r="URA24" s="204"/>
      <c r="URB24" s="204"/>
      <c r="URC24" s="204"/>
      <c r="URD24" s="204"/>
      <c r="URE24" s="204"/>
      <c r="URF24" s="204"/>
      <c r="URG24" s="204"/>
      <c r="URH24" s="204"/>
      <c r="URI24" s="204"/>
      <c r="URJ24" s="204"/>
      <c r="URK24" s="204"/>
      <c r="URL24" s="204"/>
      <c r="URM24" s="204"/>
      <c r="URN24" s="204"/>
      <c r="URO24" s="204"/>
      <c r="URP24" s="204"/>
      <c r="URQ24" s="204"/>
      <c r="URR24" s="204"/>
      <c r="URS24" s="204"/>
      <c r="URT24" s="204"/>
      <c r="URU24" s="204"/>
      <c r="URV24" s="204"/>
      <c r="URW24" s="204"/>
      <c r="URX24" s="204"/>
      <c r="URY24" s="204"/>
      <c r="URZ24" s="204"/>
      <c r="USA24" s="204"/>
      <c r="USB24" s="204"/>
      <c r="USC24" s="204"/>
      <c r="USD24" s="204"/>
      <c r="USE24" s="204"/>
      <c r="USF24" s="204"/>
      <c r="USG24" s="204"/>
      <c r="USH24" s="204"/>
      <c r="USI24" s="204"/>
      <c r="USJ24" s="204"/>
      <c r="USK24" s="204"/>
      <c r="USL24" s="204"/>
      <c r="USM24" s="204"/>
      <c r="USN24" s="204"/>
      <c r="USO24" s="204"/>
      <c r="USP24" s="204"/>
      <c r="USQ24" s="204"/>
      <c r="USR24" s="204"/>
      <c r="USS24" s="204"/>
      <c r="UST24" s="204"/>
      <c r="USU24" s="204"/>
      <c r="USV24" s="204"/>
      <c r="USW24" s="204"/>
      <c r="USX24" s="204"/>
      <c r="USY24" s="204"/>
      <c r="USZ24" s="204"/>
      <c r="UTA24" s="204"/>
      <c r="UTB24" s="204"/>
      <c r="UTC24" s="204"/>
      <c r="UTD24" s="204"/>
      <c r="UTE24" s="204"/>
      <c r="UTF24" s="204"/>
      <c r="UTG24" s="204"/>
      <c r="UTH24" s="204"/>
      <c r="UTI24" s="204"/>
      <c r="UTJ24" s="204"/>
      <c r="UTK24" s="204"/>
      <c r="UTL24" s="204"/>
      <c r="UTM24" s="204"/>
      <c r="UTN24" s="204"/>
      <c r="UTO24" s="204"/>
      <c r="UTP24" s="204"/>
      <c r="UTQ24" s="204"/>
      <c r="UTR24" s="204"/>
      <c r="UTS24" s="204"/>
      <c r="UTT24" s="204"/>
      <c r="UTU24" s="204"/>
      <c r="UTV24" s="204"/>
      <c r="UTW24" s="204"/>
      <c r="UTX24" s="204"/>
      <c r="UTY24" s="204"/>
      <c r="UTZ24" s="204"/>
      <c r="UUA24" s="204"/>
      <c r="UUB24" s="204"/>
      <c r="UUC24" s="204"/>
      <c r="UUD24" s="204"/>
      <c r="UUE24" s="204"/>
      <c r="UUF24" s="204"/>
      <c r="UUG24" s="204"/>
      <c r="UUH24" s="204"/>
      <c r="UUI24" s="204"/>
      <c r="UUJ24" s="204"/>
      <c r="UUK24" s="204"/>
      <c r="UUL24" s="204"/>
      <c r="UUM24" s="204"/>
      <c r="UUN24" s="204"/>
      <c r="UUO24" s="204"/>
      <c r="UUP24" s="204"/>
      <c r="UUQ24" s="204"/>
      <c r="UUR24" s="204"/>
      <c r="UUS24" s="204"/>
      <c r="UUT24" s="204"/>
      <c r="UUU24" s="204"/>
      <c r="UUV24" s="204"/>
      <c r="UUW24" s="204"/>
      <c r="UUX24" s="204"/>
      <c r="UUY24" s="204"/>
      <c r="UUZ24" s="204"/>
      <c r="UVA24" s="204"/>
      <c r="UVB24" s="204"/>
      <c r="UVC24" s="204"/>
      <c r="UVD24" s="204"/>
      <c r="UVE24" s="204"/>
      <c r="UVF24" s="204"/>
      <c r="UVG24" s="204"/>
      <c r="UVH24" s="204"/>
      <c r="UVI24" s="204"/>
      <c r="UVJ24" s="204"/>
      <c r="UVK24" s="204"/>
      <c r="UVL24" s="204"/>
      <c r="UVM24" s="204"/>
      <c r="UVN24" s="204"/>
      <c r="UVO24" s="204"/>
      <c r="UVP24" s="204"/>
      <c r="UVQ24" s="204"/>
      <c r="UVR24" s="204"/>
      <c r="UVS24" s="204"/>
      <c r="UVT24" s="204"/>
      <c r="UVU24" s="204"/>
      <c r="UVV24" s="204"/>
      <c r="UVW24" s="204"/>
      <c r="UVX24" s="204"/>
      <c r="UVY24" s="204"/>
      <c r="UVZ24" s="204"/>
      <c r="UWA24" s="204"/>
      <c r="UWB24" s="204"/>
      <c r="UWC24" s="204"/>
      <c r="UWD24" s="204"/>
      <c r="UWE24" s="204"/>
      <c r="UWF24" s="204"/>
      <c r="UWG24" s="204"/>
      <c r="UWH24" s="204"/>
      <c r="UWI24" s="204"/>
      <c r="UWJ24" s="204"/>
      <c r="UWK24" s="204"/>
      <c r="UWL24" s="204"/>
      <c r="UWM24" s="204"/>
      <c r="UWN24" s="204"/>
      <c r="UWO24" s="204"/>
      <c r="UWP24" s="204"/>
      <c r="UWQ24" s="204"/>
      <c r="UWR24" s="204"/>
      <c r="UWS24" s="204"/>
      <c r="UWT24" s="204"/>
      <c r="UWU24" s="204"/>
      <c r="UWV24" s="204"/>
      <c r="UWW24" s="204"/>
      <c r="UWX24" s="204"/>
      <c r="UWY24" s="204"/>
      <c r="UWZ24" s="204"/>
      <c r="UXA24" s="204"/>
      <c r="UXB24" s="204"/>
      <c r="UXC24" s="204"/>
      <c r="UXD24" s="204"/>
      <c r="UXE24" s="204"/>
      <c r="UXF24" s="204"/>
      <c r="UXG24" s="204"/>
      <c r="UXH24" s="204"/>
      <c r="UXI24" s="204"/>
      <c r="UXJ24" s="204"/>
      <c r="UXK24" s="204"/>
      <c r="UXL24" s="204"/>
      <c r="UXM24" s="204"/>
      <c r="UXN24" s="204"/>
      <c r="UXO24" s="204"/>
      <c r="UXP24" s="204"/>
      <c r="UXQ24" s="204"/>
      <c r="UXR24" s="204"/>
      <c r="UXS24" s="204"/>
      <c r="UXT24" s="204"/>
      <c r="UXU24" s="204"/>
      <c r="UXV24" s="204"/>
      <c r="UXW24" s="204"/>
      <c r="UXX24" s="204"/>
      <c r="UXY24" s="204"/>
      <c r="UXZ24" s="204"/>
      <c r="UYA24" s="204"/>
      <c r="UYB24" s="204"/>
      <c r="UYC24" s="204"/>
      <c r="UYD24" s="204"/>
      <c r="UYE24" s="204"/>
      <c r="UYF24" s="204"/>
      <c r="UYG24" s="204"/>
      <c r="UYH24" s="204"/>
      <c r="UYI24" s="204"/>
      <c r="UYJ24" s="204"/>
      <c r="UYK24" s="204"/>
      <c r="UYL24" s="204"/>
      <c r="UYM24" s="204"/>
      <c r="UYN24" s="204"/>
      <c r="UYO24" s="204"/>
      <c r="UYP24" s="204"/>
      <c r="UYQ24" s="204"/>
      <c r="UYR24" s="204"/>
      <c r="UYS24" s="204"/>
      <c r="UYT24" s="204"/>
      <c r="UYU24" s="204"/>
      <c r="UYV24" s="204"/>
      <c r="UYW24" s="204"/>
      <c r="UYX24" s="204"/>
      <c r="UYY24" s="204"/>
      <c r="UYZ24" s="204"/>
      <c r="UZA24" s="204"/>
      <c r="UZB24" s="204"/>
      <c r="UZC24" s="204"/>
      <c r="UZD24" s="204"/>
      <c r="UZE24" s="204"/>
      <c r="UZF24" s="204"/>
      <c r="UZG24" s="204"/>
      <c r="UZH24" s="204"/>
      <c r="UZI24" s="204"/>
      <c r="UZJ24" s="204"/>
      <c r="UZK24" s="204"/>
      <c r="UZL24" s="204"/>
      <c r="UZM24" s="204"/>
      <c r="UZN24" s="204"/>
      <c r="UZO24" s="204"/>
      <c r="UZP24" s="204"/>
      <c r="UZQ24" s="204"/>
      <c r="UZR24" s="204"/>
      <c r="UZS24" s="204"/>
      <c r="UZT24" s="204"/>
      <c r="UZU24" s="204"/>
      <c r="UZV24" s="204"/>
      <c r="UZW24" s="204"/>
      <c r="UZX24" s="204"/>
      <c r="UZY24" s="204"/>
      <c r="UZZ24" s="204"/>
      <c r="VAA24" s="204"/>
      <c r="VAB24" s="204"/>
      <c r="VAC24" s="204"/>
      <c r="VAD24" s="204"/>
      <c r="VAE24" s="204"/>
      <c r="VAF24" s="204"/>
      <c r="VAG24" s="204"/>
      <c r="VAH24" s="204"/>
      <c r="VAI24" s="204"/>
      <c r="VAJ24" s="204"/>
      <c r="VAK24" s="204"/>
      <c r="VAL24" s="204"/>
      <c r="VAM24" s="204"/>
      <c r="VAN24" s="204"/>
      <c r="VAO24" s="204"/>
      <c r="VAP24" s="204"/>
      <c r="VAQ24" s="204"/>
      <c r="VAR24" s="204"/>
      <c r="VAS24" s="204"/>
      <c r="VAT24" s="204"/>
      <c r="VAU24" s="204"/>
      <c r="VAV24" s="204"/>
      <c r="VAW24" s="204"/>
      <c r="VAX24" s="204"/>
      <c r="VAY24" s="204"/>
      <c r="VAZ24" s="204"/>
      <c r="VBA24" s="204"/>
      <c r="VBB24" s="204"/>
      <c r="VBC24" s="204"/>
      <c r="VBD24" s="204"/>
      <c r="VBE24" s="204"/>
      <c r="VBF24" s="204"/>
      <c r="VBG24" s="204"/>
      <c r="VBH24" s="204"/>
      <c r="VBI24" s="204"/>
      <c r="VBJ24" s="204"/>
      <c r="VBK24" s="204"/>
      <c r="VBL24" s="204"/>
      <c r="VBM24" s="204"/>
      <c r="VBN24" s="204"/>
      <c r="VBO24" s="204"/>
      <c r="VBP24" s="204"/>
      <c r="VBQ24" s="204"/>
      <c r="VBR24" s="204"/>
      <c r="VBS24" s="204"/>
      <c r="VBT24" s="204"/>
      <c r="VBU24" s="204"/>
      <c r="VBV24" s="204"/>
      <c r="VBW24" s="204"/>
      <c r="VBX24" s="204"/>
      <c r="VBY24" s="204"/>
      <c r="VBZ24" s="204"/>
      <c r="VCA24" s="204"/>
      <c r="VCB24" s="204"/>
      <c r="VCC24" s="204"/>
      <c r="VCD24" s="204"/>
      <c r="VCE24" s="204"/>
      <c r="VCF24" s="204"/>
      <c r="VCG24" s="204"/>
      <c r="VCH24" s="204"/>
      <c r="VCI24" s="204"/>
      <c r="VCJ24" s="204"/>
      <c r="VCK24" s="204"/>
      <c r="VCL24" s="204"/>
      <c r="VCM24" s="204"/>
      <c r="VCN24" s="204"/>
      <c r="VCO24" s="204"/>
      <c r="VCP24" s="204"/>
      <c r="VCQ24" s="204"/>
      <c r="VCR24" s="204"/>
      <c r="VCS24" s="204"/>
      <c r="VCT24" s="204"/>
      <c r="VCU24" s="204"/>
      <c r="VCV24" s="204"/>
      <c r="VCW24" s="204"/>
      <c r="VCX24" s="204"/>
      <c r="VCY24" s="204"/>
      <c r="VCZ24" s="204"/>
      <c r="VDA24" s="204"/>
      <c r="VDB24" s="204"/>
      <c r="VDC24" s="204"/>
      <c r="VDD24" s="204"/>
      <c r="VDE24" s="204"/>
      <c r="VDF24" s="204"/>
      <c r="VDG24" s="204"/>
      <c r="VDH24" s="204"/>
      <c r="VDI24" s="204"/>
      <c r="VDJ24" s="204"/>
      <c r="VDK24" s="204"/>
      <c r="VDL24" s="204"/>
      <c r="VDM24" s="204"/>
      <c r="VDN24" s="204"/>
      <c r="VDO24" s="204"/>
      <c r="VDP24" s="204"/>
      <c r="VDQ24" s="204"/>
      <c r="VDR24" s="204"/>
      <c r="VDS24" s="204"/>
      <c r="VDT24" s="204"/>
      <c r="VDU24" s="204"/>
      <c r="VDV24" s="204"/>
      <c r="VDW24" s="204"/>
      <c r="VDX24" s="204"/>
      <c r="VDY24" s="204"/>
      <c r="VDZ24" s="204"/>
      <c r="VEA24" s="204"/>
      <c r="VEB24" s="204"/>
      <c r="VEC24" s="204"/>
      <c r="VED24" s="204"/>
      <c r="VEE24" s="204"/>
      <c r="VEF24" s="204"/>
      <c r="VEG24" s="204"/>
      <c r="VEH24" s="204"/>
      <c r="VEI24" s="204"/>
      <c r="VEJ24" s="204"/>
      <c r="VEK24" s="204"/>
      <c r="VEL24" s="204"/>
      <c r="VEM24" s="204"/>
      <c r="VEN24" s="204"/>
      <c r="VEO24" s="204"/>
      <c r="VEP24" s="204"/>
      <c r="VEQ24" s="204"/>
      <c r="VER24" s="204"/>
      <c r="VES24" s="204"/>
      <c r="VET24" s="204"/>
      <c r="VEU24" s="204"/>
      <c r="VEV24" s="204"/>
      <c r="VEW24" s="204"/>
      <c r="VEX24" s="204"/>
      <c r="VEY24" s="204"/>
      <c r="VEZ24" s="204"/>
      <c r="VFA24" s="204"/>
      <c r="VFB24" s="204"/>
      <c r="VFC24" s="204"/>
      <c r="VFD24" s="204"/>
      <c r="VFE24" s="204"/>
      <c r="VFF24" s="204"/>
      <c r="VFG24" s="204"/>
      <c r="VFH24" s="204"/>
      <c r="VFI24" s="204"/>
      <c r="VFJ24" s="204"/>
      <c r="VFK24" s="204"/>
      <c r="VFL24" s="204"/>
      <c r="VFM24" s="204"/>
      <c r="VFN24" s="204"/>
      <c r="VFO24" s="204"/>
      <c r="VFP24" s="204"/>
      <c r="VFQ24" s="204"/>
      <c r="VFR24" s="204"/>
      <c r="VFS24" s="204"/>
      <c r="VFT24" s="204"/>
      <c r="VFU24" s="204"/>
      <c r="VFV24" s="204"/>
      <c r="VFW24" s="204"/>
      <c r="VFX24" s="204"/>
      <c r="VFY24" s="204"/>
      <c r="VFZ24" s="204"/>
      <c r="VGA24" s="204"/>
      <c r="VGB24" s="204"/>
      <c r="VGC24" s="204"/>
      <c r="VGD24" s="204"/>
      <c r="VGE24" s="204"/>
      <c r="VGF24" s="204"/>
      <c r="VGG24" s="204"/>
      <c r="VGH24" s="204"/>
      <c r="VGI24" s="204"/>
      <c r="VGJ24" s="204"/>
      <c r="VGK24" s="204"/>
      <c r="VGL24" s="204"/>
      <c r="VGM24" s="204"/>
      <c r="VGN24" s="204"/>
      <c r="VGO24" s="204"/>
      <c r="VGP24" s="204"/>
      <c r="VGQ24" s="204"/>
      <c r="VGR24" s="204"/>
      <c r="VGS24" s="204"/>
      <c r="VGT24" s="204"/>
      <c r="VGU24" s="204"/>
      <c r="VGV24" s="204"/>
      <c r="VGW24" s="204"/>
      <c r="VGX24" s="204"/>
      <c r="VGY24" s="204"/>
      <c r="VGZ24" s="204"/>
      <c r="VHA24" s="204"/>
      <c r="VHB24" s="204"/>
      <c r="VHC24" s="204"/>
      <c r="VHD24" s="204"/>
      <c r="VHE24" s="204"/>
      <c r="VHF24" s="204"/>
      <c r="VHG24" s="204"/>
      <c r="VHH24" s="204"/>
      <c r="VHI24" s="204"/>
      <c r="VHJ24" s="204"/>
      <c r="VHK24" s="204"/>
      <c r="VHL24" s="204"/>
      <c r="VHM24" s="204"/>
      <c r="VHN24" s="204"/>
      <c r="VHO24" s="204"/>
      <c r="VHP24" s="204"/>
      <c r="VHQ24" s="204"/>
      <c r="VHR24" s="204"/>
      <c r="VHS24" s="204"/>
      <c r="VHT24" s="204"/>
      <c r="VHU24" s="204"/>
      <c r="VHV24" s="204"/>
      <c r="VHW24" s="204"/>
      <c r="VHX24" s="204"/>
      <c r="VHY24" s="204"/>
      <c r="VHZ24" s="204"/>
      <c r="VIA24" s="204"/>
      <c r="VIB24" s="204"/>
      <c r="VIC24" s="204"/>
      <c r="VID24" s="204"/>
      <c r="VIE24" s="204"/>
      <c r="VIF24" s="204"/>
      <c r="VIG24" s="204"/>
      <c r="VIH24" s="204"/>
      <c r="VII24" s="204"/>
      <c r="VIJ24" s="204"/>
      <c r="VIK24" s="204"/>
      <c r="VIL24" s="204"/>
      <c r="VIM24" s="204"/>
      <c r="VIN24" s="204"/>
      <c r="VIO24" s="204"/>
      <c r="VIP24" s="204"/>
      <c r="VIQ24" s="204"/>
      <c r="VIR24" s="204"/>
      <c r="VIS24" s="204"/>
      <c r="VIT24" s="204"/>
      <c r="VIU24" s="204"/>
      <c r="VIV24" s="204"/>
      <c r="VIW24" s="204"/>
      <c r="VIX24" s="204"/>
      <c r="VIY24" s="204"/>
      <c r="VIZ24" s="204"/>
      <c r="VJA24" s="204"/>
      <c r="VJB24" s="204"/>
      <c r="VJC24" s="204"/>
      <c r="VJD24" s="204"/>
      <c r="VJE24" s="204"/>
      <c r="VJF24" s="204"/>
      <c r="VJG24" s="204"/>
      <c r="VJH24" s="204"/>
      <c r="VJI24" s="204"/>
      <c r="VJJ24" s="204"/>
      <c r="VJK24" s="204"/>
      <c r="VJL24" s="204"/>
      <c r="VJM24" s="204"/>
      <c r="VJN24" s="204"/>
      <c r="VJO24" s="204"/>
      <c r="VJP24" s="204"/>
      <c r="VJQ24" s="204"/>
      <c r="VJR24" s="204"/>
      <c r="VJS24" s="204"/>
      <c r="VJT24" s="204"/>
      <c r="VJU24" s="204"/>
      <c r="VJV24" s="204"/>
      <c r="VJW24" s="204"/>
      <c r="VJX24" s="204"/>
      <c r="VJY24" s="204"/>
      <c r="VJZ24" s="204"/>
      <c r="VKA24" s="204"/>
      <c r="VKB24" s="204"/>
      <c r="VKC24" s="204"/>
      <c r="VKD24" s="204"/>
      <c r="VKE24" s="204"/>
      <c r="VKF24" s="204"/>
      <c r="VKG24" s="204"/>
      <c r="VKH24" s="204"/>
      <c r="VKI24" s="204"/>
      <c r="VKJ24" s="204"/>
      <c r="VKK24" s="204"/>
      <c r="VKL24" s="204"/>
      <c r="VKM24" s="204"/>
      <c r="VKN24" s="204"/>
      <c r="VKO24" s="204"/>
      <c r="VKP24" s="204"/>
      <c r="VKQ24" s="204"/>
      <c r="VKR24" s="204"/>
      <c r="VKS24" s="204"/>
      <c r="VKT24" s="204"/>
      <c r="VKU24" s="204"/>
      <c r="VKV24" s="204"/>
      <c r="VKW24" s="204"/>
      <c r="VKX24" s="204"/>
      <c r="VKY24" s="204"/>
      <c r="VKZ24" s="204"/>
      <c r="VLA24" s="204"/>
      <c r="VLB24" s="204"/>
      <c r="VLC24" s="204"/>
      <c r="VLD24" s="204"/>
      <c r="VLE24" s="204"/>
      <c r="VLF24" s="204"/>
      <c r="VLG24" s="204"/>
      <c r="VLH24" s="204"/>
      <c r="VLI24" s="204"/>
      <c r="VLJ24" s="204"/>
      <c r="VLK24" s="204"/>
      <c r="VLL24" s="204"/>
      <c r="VLM24" s="204"/>
      <c r="VLN24" s="204"/>
      <c r="VLO24" s="204"/>
      <c r="VLP24" s="204"/>
      <c r="VLQ24" s="204"/>
      <c r="VLR24" s="204"/>
      <c r="VLS24" s="204"/>
      <c r="VLT24" s="204"/>
      <c r="VLU24" s="204"/>
      <c r="VLV24" s="204"/>
      <c r="VLW24" s="204"/>
      <c r="VLX24" s="204"/>
      <c r="VLY24" s="204"/>
      <c r="VLZ24" s="204"/>
      <c r="VMA24" s="204"/>
      <c r="VMB24" s="204"/>
      <c r="VMC24" s="204"/>
      <c r="VMD24" s="204"/>
      <c r="VME24" s="204"/>
      <c r="VMF24" s="204"/>
      <c r="VMG24" s="204"/>
      <c r="VMH24" s="204"/>
      <c r="VMI24" s="204"/>
      <c r="VMJ24" s="204"/>
      <c r="VMK24" s="204"/>
      <c r="VML24" s="204"/>
      <c r="VMM24" s="204"/>
      <c r="VMN24" s="204"/>
      <c r="VMO24" s="204"/>
      <c r="VMP24" s="204"/>
      <c r="VMQ24" s="204"/>
      <c r="VMR24" s="204"/>
      <c r="VMS24" s="204"/>
      <c r="VMT24" s="204"/>
      <c r="VMU24" s="204"/>
      <c r="VMV24" s="204"/>
      <c r="VMW24" s="204"/>
      <c r="VMX24" s="204"/>
      <c r="VMY24" s="204"/>
      <c r="VMZ24" s="204"/>
      <c r="VNA24" s="204"/>
      <c r="VNB24" s="204"/>
      <c r="VNC24" s="204"/>
      <c r="VND24" s="204"/>
      <c r="VNE24" s="204"/>
      <c r="VNF24" s="204"/>
      <c r="VNG24" s="204"/>
      <c r="VNH24" s="204"/>
      <c r="VNI24" s="204"/>
      <c r="VNJ24" s="204"/>
      <c r="VNK24" s="204"/>
      <c r="VNL24" s="204"/>
      <c r="VNM24" s="204"/>
      <c r="VNN24" s="204"/>
      <c r="VNO24" s="204"/>
      <c r="VNP24" s="204"/>
      <c r="VNQ24" s="204"/>
      <c r="VNR24" s="204"/>
      <c r="VNS24" s="204"/>
      <c r="VNT24" s="204"/>
      <c r="VNU24" s="204"/>
      <c r="VNV24" s="204"/>
      <c r="VNW24" s="204"/>
      <c r="VNX24" s="204"/>
      <c r="VNY24" s="204"/>
      <c r="VNZ24" s="204"/>
      <c r="VOA24" s="204"/>
      <c r="VOB24" s="204"/>
      <c r="VOC24" s="204"/>
      <c r="VOD24" s="204"/>
      <c r="VOE24" s="204"/>
      <c r="VOF24" s="204"/>
      <c r="VOG24" s="204"/>
      <c r="VOH24" s="204"/>
      <c r="VOI24" s="204"/>
      <c r="VOJ24" s="204"/>
      <c r="VOK24" s="204"/>
      <c r="VOL24" s="204"/>
      <c r="VOM24" s="204"/>
      <c r="VON24" s="204"/>
      <c r="VOO24" s="204"/>
      <c r="VOP24" s="204"/>
      <c r="VOQ24" s="204"/>
      <c r="VOR24" s="204"/>
      <c r="VOS24" s="204"/>
      <c r="VOT24" s="204"/>
      <c r="VOU24" s="204"/>
      <c r="VOV24" s="204"/>
      <c r="VOW24" s="204"/>
      <c r="VOX24" s="204"/>
      <c r="VOY24" s="204"/>
      <c r="VOZ24" s="204"/>
      <c r="VPA24" s="204"/>
      <c r="VPB24" s="204"/>
      <c r="VPC24" s="204"/>
      <c r="VPD24" s="204"/>
      <c r="VPE24" s="204"/>
      <c r="VPF24" s="204"/>
      <c r="VPG24" s="204"/>
      <c r="VPH24" s="204"/>
      <c r="VPI24" s="204"/>
      <c r="VPJ24" s="204"/>
      <c r="VPK24" s="204"/>
      <c r="VPL24" s="204"/>
      <c r="VPM24" s="204"/>
      <c r="VPN24" s="204"/>
      <c r="VPO24" s="204"/>
      <c r="VPP24" s="204"/>
      <c r="VPQ24" s="204"/>
      <c r="VPR24" s="204"/>
      <c r="VPS24" s="204"/>
      <c r="VPT24" s="204"/>
      <c r="VPU24" s="204"/>
      <c r="VPV24" s="204"/>
      <c r="VPW24" s="204"/>
      <c r="VPX24" s="204"/>
      <c r="VPY24" s="204"/>
      <c r="VPZ24" s="204"/>
      <c r="VQA24" s="204"/>
      <c r="VQB24" s="204"/>
      <c r="VQC24" s="204"/>
      <c r="VQD24" s="204"/>
      <c r="VQE24" s="204"/>
      <c r="VQF24" s="204"/>
      <c r="VQG24" s="204"/>
      <c r="VQH24" s="204"/>
      <c r="VQI24" s="204"/>
      <c r="VQJ24" s="204"/>
      <c r="VQK24" s="204"/>
      <c r="VQL24" s="204"/>
      <c r="VQM24" s="204"/>
      <c r="VQN24" s="204"/>
      <c r="VQO24" s="204"/>
      <c r="VQP24" s="204"/>
      <c r="VQQ24" s="204"/>
      <c r="VQR24" s="204"/>
      <c r="VQS24" s="204"/>
      <c r="VQT24" s="204"/>
      <c r="VQU24" s="204"/>
      <c r="VQV24" s="204"/>
      <c r="VQW24" s="204"/>
      <c r="VQX24" s="204"/>
      <c r="VQY24" s="204"/>
      <c r="VQZ24" s="204"/>
      <c r="VRA24" s="204"/>
      <c r="VRB24" s="204"/>
      <c r="VRC24" s="204"/>
      <c r="VRD24" s="204"/>
      <c r="VRE24" s="204"/>
      <c r="VRF24" s="204"/>
      <c r="VRG24" s="204"/>
      <c r="VRH24" s="204"/>
      <c r="VRI24" s="204"/>
      <c r="VRJ24" s="204"/>
      <c r="VRK24" s="204"/>
      <c r="VRL24" s="204"/>
      <c r="VRM24" s="204"/>
      <c r="VRN24" s="204"/>
      <c r="VRO24" s="204"/>
      <c r="VRP24" s="204"/>
      <c r="VRQ24" s="204"/>
      <c r="VRR24" s="204"/>
      <c r="VRS24" s="204"/>
      <c r="VRT24" s="204"/>
      <c r="VRU24" s="204"/>
      <c r="VRV24" s="204"/>
      <c r="VRW24" s="204"/>
      <c r="VRX24" s="204"/>
      <c r="VRY24" s="204"/>
      <c r="VRZ24" s="204"/>
      <c r="VSA24" s="204"/>
      <c r="VSB24" s="204"/>
      <c r="VSC24" s="204"/>
      <c r="VSD24" s="204"/>
      <c r="VSE24" s="204"/>
      <c r="VSF24" s="204"/>
      <c r="VSG24" s="204"/>
      <c r="VSH24" s="204"/>
      <c r="VSI24" s="204"/>
      <c r="VSJ24" s="204"/>
      <c r="VSK24" s="204"/>
      <c r="VSL24" s="204"/>
      <c r="VSM24" s="204"/>
      <c r="VSN24" s="204"/>
      <c r="VSO24" s="204"/>
      <c r="VSP24" s="204"/>
      <c r="VSQ24" s="204"/>
      <c r="VSR24" s="204"/>
      <c r="VSS24" s="204"/>
      <c r="VST24" s="204"/>
      <c r="VSU24" s="204"/>
      <c r="VSV24" s="204"/>
      <c r="VSW24" s="204"/>
      <c r="VSX24" s="204"/>
      <c r="VSY24" s="204"/>
      <c r="VSZ24" s="204"/>
      <c r="VTA24" s="204"/>
      <c r="VTB24" s="204"/>
      <c r="VTC24" s="204"/>
      <c r="VTD24" s="204"/>
      <c r="VTE24" s="204"/>
      <c r="VTF24" s="204"/>
      <c r="VTG24" s="204"/>
      <c r="VTH24" s="204"/>
      <c r="VTI24" s="204"/>
      <c r="VTJ24" s="204"/>
      <c r="VTK24" s="204"/>
      <c r="VTL24" s="204"/>
      <c r="VTM24" s="204"/>
      <c r="VTN24" s="204"/>
      <c r="VTO24" s="204"/>
      <c r="VTP24" s="204"/>
      <c r="VTQ24" s="204"/>
      <c r="VTR24" s="204"/>
      <c r="VTS24" s="204"/>
      <c r="VTT24" s="204"/>
      <c r="VTU24" s="204"/>
      <c r="VTV24" s="204"/>
      <c r="VTW24" s="204"/>
      <c r="VTX24" s="204"/>
      <c r="VTY24" s="204"/>
      <c r="VTZ24" s="204"/>
      <c r="VUA24" s="204"/>
      <c r="VUB24" s="204"/>
      <c r="VUC24" s="204"/>
      <c r="VUD24" s="204"/>
      <c r="VUE24" s="204"/>
      <c r="VUF24" s="204"/>
      <c r="VUG24" s="204"/>
      <c r="VUH24" s="204"/>
      <c r="VUI24" s="204"/>
      <c r="VUJ24" s="204"/>
      <c r="VUK24" s="204"/>
      <c r="VUL24" s="204"/>
      <c r="VUM24" s="204"/>
      <c r="VUN24" s="204"/>
      <c r="VUO24" s="204"/>
      <c r="VUP24" s="204"/>
      <c r="VUQ24" s="204"/>
      <c r="VUR24" s="204"/>
      <c r="VUS24" s="204"/>
      <c r="VUT24" s="204"/>
      <c r="VUU24" s="204"/>
      <c r="VUV24" s="204"/>
      <c r="VUW24" s="204"/>
      <c r="VUX24" s="204"/>
      <c r="VUY24" s="204"/>
      <c r="VUZ24" s="204"/>
      <c r="VVA24" s="204"/>
      <c r="VVB24" s="204"/>
      <c r="VVC24" s="204"/>
      <c r="VVD24" s="204"/>
      <c r="VVE24" s="204"/>
      <c r="VVF24" s="204"/>
      <c r="VVG24" s="204"/>
      <c r="VVH24" s="204"/>
      <c r="VVI24" s="204"/>
      <c r="VVJ24" s="204"/>
      <c r="VVK24" s="204"/>
      <c r="VVL24" s="204"/>
      <c r="VVM24" s="204"/>
      <c r="VVN24" s="204"/>
      <c r="VVO24" s="204"/>
      <c r="VVP24" s="204"/>
      <c r="VVQ24" s="204"/>
      <c r="VVR24" s="204"/>
      <c r="VVS24" s="204"/>
      <c r="VVT24" s="204"/>
      <c r="VVU24" s="204"/>
      <c r="VVV24" s="204"/>
      <c r="VVW24" s="204"/>
      <c r="VVX24" s="204"/>
      <c r="VVY24" s="204"/>
      <c r="VVZ24" s="204"/>
      <c r="VWA24" s="204"/>
      <c r="VWB24" s="204"/>
      <c r="VWC24" s="204"/>
      <c r="VWD24" s="204"/>
      <c r="VWE24" s="204"/>
      <c r="VWF24" s="204"/>
      <c r="VWG24" s="204"/>
      <c r="VWH24" s="204"/>
      <c r="VWI24" s="204"/>
      <c r="VWJ24" s="204"/>
      <c r="VWK24" s="204"/>
      <c r="VWL24" s="204"/>
      <c r="VWM24" s="204"/>
      <c r="VWN24" s="204"/>
      <c r="VWO24" s="204"/>
      <c r="VWP24" s="204"/>
      <c r="VWQ24" s="204"/>
      <c r="VWR24" s="204"/>
      <c r="VWS24" s="204"/>
      <c r="VWT24" s="204"/>
      <c r="VWU24" s="204"/>
      <c r="VWV24" s="204"/>
      <c r="VWW24" s="204"/>
      <c r="VWX24" s="204"/>
      <c r="VWY24" s="204"/>
      <c r="VWZ24" s="204"/>
      <c r="VXA24" s="204"/>
      <c r="VXB24" s="204"/>
      <c r="VXC24" s="204"/>
      <c r="VXD24" s="204"/>
      <c r="VXE24" s="204"/>
      <c r="VXF24" s="204"/>
      <c r="VXG24" s="204"/>
      <c r="VXH24" s="204"/>
      <c r="VXI24" s="204"/>
      <c r="VXJ24" s="204"/>
      <c r="VXK24" s="204"/>
      <c r="VXL24" s="204"/>
      <c r="VXM24" s="204"/>
      <c r="VXN24" s="204"/>
      <c r="VXO24" s="204"/>
      <c r="VXP24" s="204"/>
      <c r="VXQ24" s="204"/>
      <c r="VXR24" s="204"/>
      <c r="VXS24" s="204"/>
      <c r="VXT24" s="204"/>
      <c r="VXU24" s="204"/>
      <c r="VXV24" s="204"/>
      <c r="VXW24" s="204"/>
      <c r="VXX24" s="204"/>
      <c r="VXY24" s="204"/>
      <c r="VXZ24" s="204"/>
      <c r="VYA24" s="204"/>
      <c r="VYB24" s="204"/>
      <c r="VYC24" s="204"/>
      <c r="VYD24" s="204"/>
      <c r="VYE24" s="204"/>
      <c r="VYF24" s="204"/>
      <c r="VYG24" s="204"/>
      <c r="VYH24" s="204"/>
      <c r="VYI24" s="204"/>
      <c r="VYJ24" s="204"/>
      <c r="VYK24" s="204"/>
      <c r="VYL24" s="204"/>
      <c r="VYM24" s="204"/>
      <c r="VYN24" s="204"/>
      <c r="VYO24" s="204"/>
      <c r="VYP24" s="204"/>
      <c r="VYQ24" s="204"/>
      <c r="VYR24" s="204"/>
      <c r="VYS24" s="204"/>
      <c r="VYT24" s="204"/>
      <c r="VYU24" s="204"/>
      <c r="VYV24" s="204"/>
      <c r="VYW24" s="204"/>
      <c r="VYX24" s="204"/>
      <c r="VYY24" s="204"/>
      <c r="VYZ24" s="204"/>
      <c r="VZA24" s="204"/>
      <c r="VZB24" s="204"/>
      <c r="VZC24" s="204"/>
      <c r="VZD24" s="204"/>
      <c r="VZE24" s="204"/>
      <c r="VZF24" s="204"/>
      <c r="VZG24" s="204"/>
      <c r="VZH24" s="204"/>
      <c r="VZI24" s="204"/>
      <c r="VZJ24" s="204"/>
      <c r="VZK24" s="204"/>
      <c r="VZL24" s="204"/>
      <c r="VZM24" s="204"/>
      <c r="VZN24" s="204"/>
      <c r="VZO24" s="204"/>
      <c r="VZP24" s="204"/>
      <c r="VZQ24" s="204"/>
      <c r="VZR24" s="204"/>
      <c r="VZS24" s="204"/>
      <c r="VZT24" s="204"/>
      <c r="VZU24" s="204"/>
      <c r="VZV24" s="204"/>
      <c r="VZW24" s="204"/>
      <c r="VZX24" s="204"/>
      <c r="VZY24" s="204"/>
      <c r="VZZ24" s="204"/>
      <c r="WAA24" s="204"/>
      <c r="WAB24" s="204"/>
      <c r="WAC24" s="204"/>
      <c r="WAD24" s="204"/>
      <c r="WAE24" s="204"/>
      <c r="WAF24" s="204"/>
      <c r="WAG24" s="204"/>
      <c r="WAH24" s="204"/>
      <c r="WAI24" s="204"/>
      <c r="WAJ24" s="204"/>
      <c r="WAK24" s="204"/>
      <c r="WAL24" s="204"/>
      <c r="WAM24" s="204"/>
      <c r="WAN24" s="204"/>
      <c r="WAO24" s="204"/>
      <c r="WAP24" s="204"/>
      <c r="WAQ24" s="204"/>
      <c r="WAR24" s="204"/>
      <c r="WAS24" s="204"/>
      <c r="WAT24" s="204"/>
      <c r="WAU24" s="204"/>
      <c r="WAV24" s="204"/>
      <c r="WAW24" s="204"/>
      <c r="WAX24" s="204"/>
      <c r="WAY24" s="204"/>
      <c r="WAZ24" s="204"/>
      <c r="WBA24" s="204"/>
      <c r="WBB24" s="204"/>
      <c r="WBC24" s="204"/>
      <c r="WBD24" s="204"/>
      <c r="WBE24" s="204"/>
      <c r="WBF24" s="204"/>
      <c r="WBG24" s="204"/>
      <c r="WBH24" s="204"/>
      <c r="WBI24" s="204"/>
      <c r="WBJ24" s="204"/>
      <c r="WBK24" s="204"/>
      <c r="WBL24" s="204"/>
      <c r="WBM24" s="204"/>
      <c r="WBN24" s="204"/>
      <c r="WBO24" s="204"/>
      <c r="WBP24" s="204"/>
      <c r="WBQ24" s="204"/>
      <c r="WBR24" s="204"/>
      <c r="WBS24" s="204"/>
      <c r="WBT24" s="204"/>
      <c r="WBU24" s="204"/>
      <c r="WBV24" s="204"/>
      <c r="WBW24" s="204"/>
      <c r="WBX24" s="204"/>
      <c r="WBY24" s="204"/>
      <c r="WBZ24" s="204"/>
      <c r="WCA24" s="204"/>
      <c r="WCB24" s="204"/>
      <c r="WCC24" s="204"/>
      <c r="WCD24" s="204"/>
      <c r="WCE24" s="204"/>
      <c r="WCF24" s="204"/>
      <c r="WCG24" s="204"/>
      <c r="WCH24" s="204"/>
      <c r="WCI24" s="204"/>
      <c r="WCJ24" s="204"/>
      <c r="WCK24" s="204"/>
      <c r="WCL24" s="204"/>
      <c r="WCM24" s="204"/>
      <c r="WCN24" s="204"/>
      <c r="WCO24" s="204"/>
      <c r="WCP24" s="204"/>
      <c r="WCQ24" s="204"/>
      <c r="WCR24" s="204"/>
      <c r="WCS24" s="204"/>
      <c r="WCT24" s="204"/>
      <c r="WCU24" s="204"/>
      <c r="WCV24" s="204"/>
      <c r="WCW24" s="204"/>
      <c r="WCX24" s="204"/>
      <c r="WCY24" s="204"/>
      <c r="WCZ24" s="204"/>
      <c r="WDA24" s="204"/>
      <c r="WDB24" s="204"/>
      <c r="WDC24" s="204"/>
      <c r="WDD24" s="204"/>
      <c r="WDE24" s="204"/>
      <c r="WDF24" s="204"/>
      <c r="WDG24" s="204"/>
      <c r="WDH24" s="204"/>
      <c r="WDI24" s="204"/>
      <c r="WDJ24" s="204"/>
      <c r="WDK24" s="204"/>
      <c r="WDL24" s="204"/>
      <c r="WDM24" s="204"/>
      <c r="WDN24" s="204"/>
      <c r="WDO24" s="204"/>
      <c r="WDP24" s="204"/>
      <c r="WDQ24" s="204"/>
      <c r="WDR24" s="204"/>
      <c r="WDS24" s="204"/>
      <c r="WDT24" s="204"/>
      <c r="WDU24" s="204"/>
      <c r="WDV24" s="204"/>
      <c r="WDW24" s="204"/>
      <c r="WDX24" s="204"/>
      <c r="WDY24" s="204"/>
      <c r="WDZ24" s="204"/>
      <c r="WEA24" s="204"/>
      <c r="WEB24" s="204"/>
      <c r="WEC24" s="204"/>
      <c r="WED24" s="204"/>
      <c r="WEE24" s="204"/>
      <c r="WEF24" s="204"/>
      <c r="WEG24" s="204"/>
      <c r="WEH24" s="204"/>
      <c r="WEI24" s="204"/>
      <c r="WEJ24" s="204"/>
      <c r="WEK24" s="204"/>
      <c r="WEL24" s="204"/>
      <c r="WEM24" s="204"/>
      <c r="WEN24" s="204"/>
      <c r="WEO24" s="204"/>
      <c r="WEP24" s="204"/>
      <c r="WEQ24" s="204"/>
      <c r="WER24" s="204"/>
      <c r="WES24" s="204"/>
      <c r="WET24" s="204"/>
      <c r="WEU24" s="204"/>
      <c r="WEV24" s="204"/>
      <c r="WEW24" s="204"/>
      <c r="WEX24" s="204"/>
      <c r="WEY24" s="204"/>
      <c r="WEZ24" s="204"/>
      <c r="WFA24" s="204"/>
      <c r="WFB24" s="204"/>
      <c r="WFC24" s="204"/>
      <c r="WFD24" s="204"/>
      <c r="WFE24" s="204"/>
      <c r="WFF24" s="204"/>
      <c r="WFG24" s="204"/>
      <c r="WFH24" s="204"/>
      <c r="WFI24" s="204"/>
      <c r="WFJ24" s="204"/>
      <c r="WFK24" s="204"/>
      <c r="WFL24" s="204"/>
      <c r="WFM24" s="204"/>
      <c r="WFN24" s="204"/>
      <c r="WFO24" s="204"/>
      <c r="WFP24" s="204"/>
      <c r="WFQ24" s="204"/>
      <c r="WFR24" s="204"/>
      <c r="WFS24" s="204"/>
      <c r="WFT24" s="204"/>
      <c r="WFU24" s="204"/>
      <c r="WFV24" s="204"/>
      <c r="WFW24" s="204"/>
      <c r="WFX24" s="204"/>
      <c r="WFY24" s="204"/>
      <c r="WFZ24" s="204"/>
      <c r="WGA24" s="204"/>
      <c r="WGB24" s="204"/>
      <c r="WGC24" s="204"/>
      <c r="WGD24" s="204"/>
      <c r="WGE24" s="204"/>
      <c r="WGF24" s="204"/>
      <c r="WGG24" s="204"/>
      <c r="WGH24" s="204"/>
      <c r="WGI24" s="204"/>
      <c r="WGJ24" s="204"/>
      <c r="WGK24" s="204"/>
      <c r="WGL24" s="204"/>
      <c r="WGM24" s="204"/>
      <c r="WGN24" s="204"/>
      <c r="WGO24" s="204"/>
      <c r="WGP24" s="204"/>
      <c r="WGQ24" s="204"/>
      <c r="WGR24" s="204"/>
      <c r="WGS24" s="204"/>
      <c r="WGT24" s="204"/>
      <c r="WGU24" s="204"/>
      <c r="WGV24" s="204"/>
      <c r="WGW24" s="204"/>
      <c r="WGX24" s="204"/>
      <c r="WGY24" s="204"/>
      <c r="WGZ24" s="204"/>
      <c r="WHA24" s="204"/>
      <c r="WHB24" s="204"/>
      <c r="WHC24" s="204"/>
      <c r="WHD24" s="204"/>
      <c r="WHE24" s="204"/>
      <c r="WHF24" s="204"/>
      <c r="WHG24" s="204"/>
      <c r="WHH24" s="204"/>
      <c r="WHI24" s="204"/>
      <c r="WHJ24" s="204"/>
      <c r="WHK24" s="204"/>
      <c r="WHL24" s="204"/>
      <c r="WHM24" s="204"/>
      <c r="WHN24" s="204"/>
      <c r="WHO24" s="204"/>
      <c r="WHP24" s="204"/>
      <c r="WHQ24" s="204"/>
      <c r="WHR24" s="204"/>
      <c r="WHS24" s="204"/>
      <c r="WHT24" s="204"/>
      <c r="WHU24" s="204"/>
      <c r="WHV24" s="204"/>
      <c r="WHW24" s="204"/>
      <c r="WHX24" s="204"/>
      <c r="WHY24" s="204"/>
      <c r="WHZ24" s="204"/>
      <c r="WIA24" s="204"/>
      <c r="WIB24" s="204"/>
      <c r="WIC24" s="204"/>
      <c r="WID24" s="204"/>
      <c r="WIE24" s="204"/>
      <c r="WIF24" s="204"/>
      <c r="WIG24" s="204"/>
      <c r="WIH24" s="204"/>
      <c r="WII24" s="204"/>
      <c r="WIJ24" s="204"/>
      <c r="WIK24" s="204"/>
      <c r="WIL24" s="204"/>
      <c r="WIM24" s="204"/>
      <c r="WIN24" s="204"/>
      <c r="WIO24" s="204"/>
      <c r="WIP24" s="204"/>
      <c r="WIQ24" s="204"/>
      <c r="WIR24" s="204"/>
      <c r="WIS24" s="204"/>
      <c r="WIT24" s="204"/>
      <c r="WIU24" s="204"/>
      <c r="WIV24" s="204"/>
      <c r="WIW24" s="204"/>
      <c r="WIX24" s="204"/>
      <c r="WIY24" s="204"/>
      <c r="WIZ24" s="204"/>
      <c r="WJA24" s="204"/>
      <c r="WJB24" s="204"/>
      <c r="WJC24" s="204"/>
      <c r="WJD24" s="204"/>
      <c r="WJE24" s="204"/>
      <c r="WJF24" s="204"/>
      <c r="WJG24" s="204"/>
      <c r="WJH24" s="204"/>
      <c r="WJI24" s="204"/>
      <c r="WJJ24" s="204"/>
      <c r="WJK24" s="204"/>
      <c r="WJL24" s="204"/>
      <c r="WJM24" s="204"/>
      <c r="WJN24" s="204"/>
      <c r="WJO24" s="204"/>
      <c r="WJP24" s="204"/>
      <c r="WJQ24" s="204"/>
      <c r="WJR24" s="204"/>
      <c r="WJS24" s="204"/>
      <c r="WJT24" s="204"/>
      <c r="WJU24" s="204"/>
      <c r="WJV24" s="204"/>
      <c r="WJW24" s="204"/>
      <c r="WJX24" s="204"/>
      <c r="WJY24" s="204"/>
      <c r="WJZ24" s="204"/>
      <c r="WKA24" s="204"/>
      <c r="WKB24" s="204"/>
      <c r="WKC24" s="204"/>
      <c r="WKD24" s="204"/>
      <c r="WKE24" s="204"/>
      <c r="WKF24" s="204"/>
      <c r="WKG24" s="204"/>
      <c r="WKH24" s="204"/>
      <c r="WKI24" s="204"/>
      <c r="WKJ24" s="204"/>
      <c r="WKK24" s="204"/>
      <c r="WKL24" s="204"/>
      <c r="WKM24" s="204"/>
      <c r="WKN24" s="204"/>
      <c r="WKO24" s="204"/>
      <c r="WKP24" s="204"/>
      <c r="WKQ24" s="204"/>
      <c r="WKR24" s="204"/>
      <c r="WKS24" s="204"/>
      <c r="WKT24" s="204"/>
      <c r="WKU24" s="204"/>
      <c r="WKV24" s="204"/>
      <c r="WKW24" s="204"/>
      <c r="WKX24" s="204"/>
      <c r="WKY24" s="204"/>
      <c r="WKZ24" s="204"/>
      <c r="WLA24" s="204"/>
      <c r="WLB24" s="204"/>
      <c r="WLC24" s="204"/>
      <c r="WLD24" s="204"/>
      <c r="WLE24" s="204"/>
      <c r="WLF24" s="204"/>
      <c r="WLG24" s="204"/>
      <c r="WLH24" s="204"/>
      <c r="WLI24" s="204"/>
      <c r="WLJ24" s="204"/>
      <c r="WLK24" s="204"/>
      <c r="WLL24" s="204"/>
      <c r="WLM24" s="204"/>
      <c r="WLN24" s="204"/>
      <c r="WLO24" s="204"/>
      <c r="WLP24" s="204"/>
      <c r="WLQ24" s="204"/>
      <c r="WLR24" s="204"/>
      <c r="WLS24" s="204"/>
      <c r="WLT24" s="204"/>
      <c r="WLU24" s="204"/>
      <c r="WLV24" s="204"/>
      <c r="WLW24" s="204"/>
      <c r="WLX24" s="204"/>
      <c r="WLY24" s="204"/>
      <c r="WLZ24" s="204"/>
      <c r="WMA24" s="204"/>
      <c r="WMB24" s="204"/>
      <c r="WMC24" s="204"/>
      <c r="WMD24" s="204"/>
      <c r="WME24" s="204"/>
      <c r="WMF24" s="204"/>
      <c r="WMG24" s="204"/>
      <c r="WMH24" s="204"/>
      <c r="WMI24" s="204"/>
      <c r="WMJ24" s="204"/>
      <c r="WMK24" s="204"/>
      <c r="WML24" s="204"/>
      <c r="WMM24" s="204"/>
      <c r="WMN24" s="204"/>
      <c r="WMO24" s="204"/>
      <c r="WMP24" s="204"/>
      <c r="WMQ24" s="204"/>
      <c r="WMR24" s="204"/>
      <c r="WMS24" s="204"/>
      <c r="WMT24" s="204"/>
      <c r="WMU24" s="204"/>
      <c r="WMV24" s="204"/>
      <c r="WMW24" s="204"/>
      <c r="WMX24" s="204"/>
      <c r="WMY24" s="204"/>
      <c r="WMZ24" s="204"/>
      <c r="WNA24" s="204"/>
      <c r="WNB24" s="204"/>
      <c r="WNC24" s="204"/>
      <c r="WND24" s="204"/>
      <c r="WNE24" s="204"/>
      <c r="WNF24" s="204"/>
      <c r="WNG24" s="204"/>
      <c r="WNH24" s="204"/>
      <c r="WNI24" s="204"/>
      <c r="WNJ24" s="204"/>
      <c r="WNK24" s="204"/>
      <c r="WNL24" s="204"/>
      <c r="WNM24" s="204"/>
      <c r="WNN24" s="204"/>
      <c r="WNO24" s="204"/>
      <c r="WNP24" s="204"/>
      <c r="WNQ24" s="204"/>
      <c r="WNR24" s="204"/>
      <c r="WNS24" s="204"/>
      <c r="WNT24" s="204"/>
      <c r="WNU24" s="204"/>
      <c r="WNV24" s="204"/>
      <c r="WNW24" s="204"/>
      <c r="WNX24" s="204"/>
      <c r="WNY24" s="204"/>
      <c r="WNZ24" s="204"/>
      <c r="WOA24" s="204"/>
      <c r="WOB24" s="204"/>
      <c r="WOC24" s="204"/>
      <c r="WOD24" s="204"/>
      <c r="WOE24" s="204"/>
      <c r="WOF24" s="204"/>
      <c r="WOG24" s="204"/>
      <c r="WOH24" s="204"/>
      <c r="WOI24" s="204"/>
      <c r="WOJ24" s="204"/>
      <c r="WOK24" s="204"/>
      <c r="WOL24" s="204"/>
      <c r="WOM24" s="204"/>
      <c r="WON24" s="204"/>
      <c r="WOO24" s="204"/>
      <c r="WOP24" s="204"/>
      <c r="WOQ24" s="204"/>
      <c r="WOR24" s="204"/>
      <c r="WOS24" s="204"/>
      <c r="WOT24" s="204"/>
      <c r="WOU24" s="204"/>
      <c r="WOV24" s="204"/>
      <c r="WOW24" s="204"/>
      <c r="WOX24" s="204"/>
      <c r="WOY24" s="204"/>
      <c r="WOZ24" s="204"/>
      <c r="WPA24" s="204"/>
      <c r="WPB24" s="204"/>
      <c r="WPC24" s="204"/>
      <c r="WPD24" s="204"/>
      <c r="WPE24" s="204"/>
      <c r="WPF24" s="204"/>
      <c r="WPG24" s="204"/>
      <c r="WPH24" s="204"/>
      <c r="WPI24" s="204"/>
      <c r="WPJ24" s="204"/>
      <c r="WPK24" s="204"/>
      <c r="WPL24" s="204"/>
      <c r="WPM24" s="204"/>
      <c r="WPN24" s="204"/>
      <c r="WPO24" s="204"/>
      <c r="WPP24" s="204"/>
      <c r="WPQ24" s="204"/>
      <c r="WPR24" s="204"/>
      <c r="WPS24" s="204"/>
      <c r="WPT24" s="204"/>
      <c r="WPU24" s="204"/>
      <c r="WPV24" s="204"/>
      <c r="WPW24" s="204"/>
      <c r="WPX24" s="204"/>
      <c r="WPY24" s="204"/>
      <c r="WPZ24" s="204"/>
      <c r="WQA24" s="204"/>
      <c r="WQB24" s="204"/>
      <c r="WQC24" s="204"/>
      <c r="WQD24" s="204"/>
      <c r="WQE24" s="204"/>
      <c r="WQF24" s="204"/>
      <c r="WQG24" s="204"/>
      <c r="WQH24" s="204"/>
      <c r="WQI24" s="204"/>
      <c r="WQJ24" s="204"/>
      <c r="WQK24" s="204"/>
      <c r="WQL24" s="204"/>
      <c r="WQM24" s="204"/>
      <c r="WQN24" s="204"/>
      <c r="WQO24" s="204"/>
      <c r="WQP24" s="204"/>
      <c r="WQQ24" s="204"/>
      <c r="WQR24" s="204"/>
      <c r="WQS24" s="204"/>
      <c r="WQT24" s="204"/>
      <c r="WQU24" s="204"/>
      <c r="WQV24" s="204"/>
      <c r="WQW24" s="204"/>
      <c r="WQX24" s="204"/>
      <c r="WQY24" s="204"/>
      <c r="WQZ24" s="204"/>
      <c r="WRA24" s="204"/>
      <c r="WRB24" s="204"/>
      <c r="WRC24" s="204"/>
      <c r="WRD24" s="204"/>
      <c r="WRE24" s="204"/>
      <c r="WRF24" s="204"/>
      <c r="WRG24" s="204"/>
      <c r="WRH24" s="204"/>
      <c r="WRI24" s="204"/>
      <c r="WRJ24" s="204"/>
      <c r="WRK24" s="204"/>
      <c r="WRL24" s="204"/>
      <c r="WRM24" s="204"/>
      <c r="WRN24" s="204"/>
      <c r="WRO24" s="204"/>
      <c r="WRP24" s="204"/>
      <c r="WRQ24" s="204"/>
      <c r="WRR24" s="204"/>
      <c r="WRS24" s="204"/>
      <c r="WRT24" s="204"/>
      <c r="WRU24" s="204"/>
      <c r="WRV24" s="204"/>
      <c r="WRW24" s="204"/>
      <c r="WRX24" s="204"/>
      <c r="WRY24" s="204"/>
      <c r="WRZ24" s="204"/>
      <c r="WSA24" s="204"/>
      <c r="WSB24" s="204"/>
      <c r="WSC24" s="204"/>
      <c r="WSD24" s="204"/>
      <c r="WSE24" s="204"/>
      <c r="WSF24" s="204"/>
      <c r="WSG24" s="204"/>
      <c r="WSH24" s="204"/>
      <c r="WSI24" s="204"/>
      <c r="WSJ24" s="204"/>
      <c r="WSK24" s="204"/>
      <c r="WSL24" s="204"/>
      <c r="WSM24" s="204"/>
      <c r="WSN24" s="204"/>
      <c r="WSO24" s="204"/>
      <c r="WSP24" s="204"/>
      <c r="WSQ24" s="204"/>
      <c r="WSR24" s="204"/>
      <c r="WSS24" s="204"/>
      <c r="WST24" s="204"/>
      <c r="WSU24" s="204"/>
      <c r="WSV24" s="204"/>
      <c r="WSW24" s="204"/>
      <c r="WSX24" s="204"/>
      <c r="WSY24" s="204"/>
      <c r="WSZ24" s="204"/>
      <c r="WTA24" s="204"/>
      <c r="WTB24" s="204"/>
      <c r="WTC24" s="204"/>
      <c r="WTD24" s="204"/>
      <c r="WTE24" s="204"/>
      <c r="WTF24" s="204"/>
      <c r="WTG24" s="204"/>
      <c r="WTH24" s="204"/>
      <c r="WTI24" s="204"/>
      <c r="WTJ24" s="204"/>
      <c r="WTK24" s="204"/>
      <c r="WTL24" s="204"/>
      <c r="WTM24" s="204"/>
      <c r="WTN24" s="204"/>
      <c r="WTO24" s="204"/>
      <c r="WTP24" s="204"/>
      <c r="WTQ24" s="204"/>
      <c r="WTR24" s="204"/>
      <c r="WTS24" s="204"/>
      <c r="WTT24" s="204"/>
      <c r="WTU24" s="204"/>
      <c r="WTV24" s="204"/>
      <c r="WTW24" s="204"/>
      <c r="WTX24" s="204"/>
      <c r="WTY24" s="204"/>
      <c r="WTZ24" s="204"/>
      <c r="WUA24" s="204"/>
      <c r="WUB24" s="204"/>
      <c r="WUC24" s="204"/>
      <c r="WUD24" s="204"/>
      <c r="WUE24" s="204"/>
      <c r="WUF24" s="204"/>
      <c r="WUG24" s="204"/>
      <c r="WUH24" s="204"/>
      <c r="WUI24" s="204"/>
      <c r="WUJ24" s="204"/>
      <c r="WUK24" s="204"/>
      <c r="WUL24" s="204"/>
      <c r="WUM24" s="204"/>
      <c r="WUN24" s="204"/>
      <c r="WUO24" s="204"/>
      <c r="WUP24" s="204"/>
      <c r="WUQ24" s="204"/>
      <c r="WUR24" s="204"/>
      <c r="WUS24" s="204"/>
      <c r="WUT24" s="204"/>
      <c r="WUU24" s="204"/>
      <c r="WUV24" s="204"/>
      <c r="WUW24" s="204"/>
      <c r="WUX24" s="204"/>
      <c r="WUY24" s="204"/>
      <c r="WUZ24" s="204"/>
      <c r="WVA24" s="204"/>
      <c r="WVB24" s="204"/>
      <c r="WVC24" s="204"/>
      <c r="WVD24" s="204"/>
      <c r="WVE24" s="204"/>
      <c r="WVF24" s="204"/>
      <c r="WVG24" s="204"/>
      <c r="WVH24" s="204"/>
      <c r="WVI24" s="204"/>
      <c r="WVJ24" s="204"/>
      <c r="WVK24" s="204"/>
      <c r="WVL24" s="204"/>
      <c r="WVM24" s="204"/>
      <c r="WVN24" s="204"/>
      <c r="WVO24" s="204"/>
      <c r="WVP24" s="204"/>
      <c r="WVQ24" s="204"/>
      <c r="WVR24" s="204"/>
      <c r="WVS24" s="204"/>
      <c r="WVT24" s="204"/>
      <c r="WVU24" s="204"/>
      <c r="WVV24" s="204"/>
      <c r="WVW24" s="204"/>
      <c r="WVX24" s="204"/>
      <c r="WVY24" s="204"/>
      <c r="WVZ24" s="204"/>
      <c r="WWA24" s="204"/>
      <c r="WWB24" s="204"/>
      <c r="WWC24" s="204"/>
      <c r="WWD24" s="204"/>
      <c r="WWE24" s="204"/>
      <c r="WWF24" s="204"/>
      <c r="WWG24" s="204"/>
      <c r="WWH24" s="204"/>
      <c r="WWI24" s="204"/>
      <c r="WWJ24" s="204"/>
      <c r="WWK24" s="204"/>
      <c r="WWL24" s="204"/>
      <c r="WWM24" s="204"/>
      <c r="WWN24" s="204"/>
      <c r="WWO24" s="204"/>
      <c r="WWP24" s="204"/>
      <c r="WWQ24" s="204"/>
      <c r="WWR24" s="204"/>
      <c r="WWS24" s="204"/>
      <c r="WWT24" s="204"/>
      <c r="WWU24" s="204"/>
      <c r="WWV24" s="204"/>
      <c r="WWW24" s="204"/>
      <c r="WWX24" s="204"/>
      <c r="WWY24" s="204"/>
      <c r="WWZ24" s="204"/>
      <c r="WXA24" s="204"/>
      <c r="WXB24" s="204"/>
      <c r="WXC24" s="204"/>
      <c r="WXD24" s="204"/>
      <c r="WXE24" s="204"/>
      <c r="WXF24" s="204"/>
      <c r="WXG24" s="204"/>
      <c r="WXH24" s="204"/>
      <c r="WXI24" s="204"/>
      <c r="WXJ24" s="204"/>
      <c r="WXK24" s="204"/>
      <c r="WXL24" s="204"/>
      <c r="WXM24" s="204"/>
      <c r="WXN24" s="204"/>
      <c r="WXO24" s="204"/>
      <c r="WXP24" s="204"/>
      <c r="WXQ24" s="204"/>
      <c r="WXR24" s="204"/>
      <c r="WXS24" s="204"/>
      <c r="WXT24" s="204"/>
      <c r="WXU24" s="204"/>
      <c r="WXV24" s="204"/>
      <c r="WXW24" s="204"/>
      <c r="WXX24" s="204"/>
      <c r="WXY24" s="204"/>
      <c r="WXZ24" s="204"/>
      <c r="WYA24" s="204"/>
      <c r="WYB24" s="204"/>
      <c r="WYC24" s="204"/>
      <c r="WYD24" s="204"/>
      <c r="WYE24" s="204"/>
      <c r="WYF24" s="204"/>
      <c r="WYG24" s="204"/>
      <c r="WYH24" s="204"/>
      <c r="WYI24" s="204"/>
      <c r="WYJ24" s="204"/>
      <c r="WYK24" s="204"/>
      <c r="WYL24" s="204"/>
      <c r="WYM24" s="204"/>
      <c r="WYN24" s="204"/>
      <c r="WYO24" s="204"/>
      <c r="WYP24" s="204"/>
      <c r="WYQ24" s="204"/>
      <c r="WYR24" s="204"/>
      <c r="WYS24" s="204"/>
      <c r="WYT24" s="204"/>
      <c r="WYU24" s="204"/>
      <c r="WYV24" s="204"/>
      <c r="WYW24" s="204"/>
      <c r="WYX24" s="204"/>
      <c r="WYY24" s="204"/>
      <c r="WYZ24" s="204"/>
      <c r="WZA24" s="204"/>
      <c r="WZB24" s="204"/>
      <c r="WZC24" s="204"/>
      <c r="WZD24" s="204"/>
      <c r="WZE24" s="204"/>
      <c r="WZF24" s="204"/>
      <c r="WZG24" s="204"/>
      <c r="WZH24" s="204"/>
      <c r="WZI24" s="204"/>
      <c r="WZJ24" s="204"/>
      <c r="WZK24" s="204"/>
      <c r="WZL24" s="204"/>
      <c r="WZM24" s="204"/>
      <c r="WZN24" s="204"/>
      <c r="WZO24" s="204"/>
      <c r="WZP24" s="204"/>
      <c r="WZQ24" s="204"/>
      <c r="WZR24" s="204"/>
      <c r="WZS24" s="204"/>
      <c r="WZT24" s="204"/>
      <c r="WZU24" s="204"/>
      <c r="WZV24" s="204"/>
      <c r="WZW24" s="204"/>
      <c r="WZX24" s="204"/>
      <c r="WZY24" s="204"/>
      <c r="WZZ24" s="204"/>
      <c r="XAA24" s="204"/>
      <c r="XAB24" s="204"/>
      <c r="XAC24" s="204"/>
      <c r="XAD24" s="204"/>
      <c r="XAE24" s="204"/>
      <c r="XAF24" s="204"/>
      <c r="XAG24" s="204"/>
      <c r="XAH24" s="204"/>
      <c r="XAI24" s="204"/>
      <c r="XAJ24" s="204"/>
      <c r="XAK24" s="204"/>
      <c r="XAL24" s="204"/>
      <c r="XAM24" s="204"/>
      <c r="XAN24" s="204"/>
      <c r="XAO24" s="204"/>
      <c r="XAP24" s="204"/>
      <c r="XAQ24" s="204"/>
      <c r="XAR24" s="204"/>
      <c r="XAS24" s="204"/>
      <c r="XAT24" s="204"/>
      <c r="XAU24" s="204"/>
      <c r="XAV24" s="204"/>
      <c r="XAW24" s="204"/>
      <c r="XAX24" s="204"/>
      <c r="XAY24" s="204"/>
      <c r="XAZ24" s="204"/>
      <c r="XBA24" s="204"/>
      <c r="XBB24" s="204"/>
      <c r="XBC24" s="204"/>
      <c r="XBD24" s="204"/>
      <c r="XBE24" s="204"/>
      <c r="XBF24" s="204"/>
      <c r="XBG24" s="204"/>
      <c r="XBH24" s="204"/>
      <c r="XBI24" s="204"/>
      <c r="XBJ24" s="204"/>
      <c r="XBK24" s="204"/>
      <c r="XBL24" s="204"/>
      <c r="XBM24" s="204"/>
      <c r="XBN24" s="204"/>
      <c r="XBO24" s="204"/>
      <c r="XBP24" s="204"/>
      <c r="XBQ24" s="204"/>
      <c r="XBR24" s="204"/>
      <c r="XBS24" s="204"/>
      <c r="XBT24" s="204"/>
      <c r="XBU24" s="204"/>
      <c r="XBV24" s="204"/>
      <c r="XBW24" s="204"/>
      <c r="XBX24" s="204"/>
      <c r="XBY24" s="204"/>
      <c r="XBZ24" s="204"/>
      <c r="XCA24" s="204"/>
      <c r="XCB24" s="204"/>
      <c r="XCC24" s="204"/>
      <c r="XCD24" s="204"/>
      <c r="XCE24" s="204"/>
      <c r="XCF24" s="204"/>
      <c r="XCG24" s="204"/>
      <c r="XCH24" s="204"/>
      <c r="XCI24" s="204"/>
      <c r="XCJ24" s="204"/>
      <c r="XCK24" s="204"/>
      <c r="XCL24" s="204"/>
      <c r="XCM24" s="204"/>
      <c r="XCN24" s="204"/>
      <c r="XCO24" s="204"/>
      <c r="XCP24" s="204"/>
      <c r="XCQ24" s="204"/>
      <c r="XCR24" s="204"/>
      <c r="XCS24" s="204"/>
      <c r="XCT24" s="204"/>
      <c r="XCU24" s="204"/>
      <c r="XCV24" s="204"/>
      <c r="XCW24" s="204"/>
      <c r="XCX24" s="204"/>
      <c r="XCY24" s="204"/>
      <c r="XCZ24" s="204"/>
      <c r="XDA24" s="204"/>
      <c r="XDB24" s="204"/>
      <c r="XDC24" s="204"/>
      <c r="XDD24" s="204"/>
      <c r="XDE24" s="204"/>
      <c r="XDF24" s="204"/>
      <c r="XDG24" s="204"/>
      <c r="XDH24" s="204"/>
      <c r="XDI24" s="204"/>
      <c r="XDJ24" s="204"/>
      <c r="XDK24" s="204"/>
      <c r="XDL24" s="204"/>
      <c r="XDM24" s="204"/>
      <c r="XDN24" s="204"/>
      <c r="XDO24" s="204"/>
      <c r="XDP24" s="204"/>
      <c r="XDQ24" s="204"/>
      <c r="XDR24" s="204"/>
      <c r="XDS24" s="204"/>
      <c r="XDT24" s="204"/>
      <c r="XDU24" s="204"/>
      <c r="XDV24" s="204"/>
      <c r="XDW24" s="204"/>
      <c r="XDX24" s="204"/>
      <c r="XDY24" s="204"/>
      <c r="XDZ24" s="204"/>
      <c r="XEA24" s="204"/>
      <c r="XEB24" s="204"/>
      <c r="XEC24" s="204"/>
      <c r="XED24" s="204"/>
      <c r="XEE24" s="204"/>
      <c r="XEF24" s="204"/>
      <c r="XEG24" s="204"/>
      <c r="XEH24" s="204"/>
      <c r="XEI24" s="204"/>
      <c r="XEJ24" s="204"/>
      <c r="XEK24" s="204"/>
      <c r="XEL24" s="204"/>
      <c r="XEM24" s="204"/>
      <c r="XEN24" s="204"/>
      <c r="XEO24" s="204"/>
      <c r="XEP24" s="204"/>
      <c r="XEQ24" s="204"/>
      <c r="XER24" s="204"/>
      <c r="XES24" s="204"/>
      <c r="XET24" s="204"/>
      <c r="XEU24" s="204"/>
      <c r="XEV24" s="204"/>
      <c r="XEW24" s="204"/>
      <c r="XEX24" s="204"/>
      <c r="XEY24" s="204"/>
      <c r="XEZ24" s="204"/>
      <c r="XFA24" s="204"/>
      <c r="XFB24" s="204"/>
      <c r="XFC24" s="204"/>
      <c r="XFD24" s="204"/>
    </row>
    <row r="25" spans="1:16384" x14ac:dyDescent="0.2">
      <c r="A25" s="203"/>
      <c r="B25" s="33" t="s">
        <v>181</v>
      </c>
      <c r="C25" s="123">
        <v>1098</v>
      </c>
      <c r="D25" s="123">
        <v>1018</v>
      </c>
      <c r="E25" s="124">
        <v>142</v>
      </c>
      <c r="F25" s="125">
        <v>629</v>
      </c>
      <c r="G25" s="125">
        <v>147</v>
      </c>
      <c r="H25" s="125">
        <v>99</v>
      </c>
      <c r="I25" s="126">
        <v>13.962635201573253</v>
      </c>
      <c r="J25" s="127">
        <v>61.848574237954764</v>
      </c>
      <c r="K25" s="127">
        <v>14.454277286135694</v>
      </c>
      <c r="L25" s="128">
        <v>9.7345132743362832</v>
      </c>
      <c r="M25" s="72">
        <v>835</v>
      </c>
      <c r="N25" s="74">
        <v>178</v>
      </c>
      <c r="O25" s="129">
        <v>82.428430404738393</v>
      </c>
      <c r="P25" s="130">
        <v>17.5715695952616</v>
      </c>
      <c r="Q25" s="129">
        <v>939</v>
      </c>
      <c r="R25" s="78">
        <v>72</v>
      </c>
      <c r="S25" s="131">
        <v>92.87833827893175</v>
      </c>
      <c r="T25" s="130">
        <v>7.1216617210682491</v>
      </c>
      <c r="U25" s="229"/>
      <c r="V25" s="203"/>
      <c r="W25" s="203"/>
      <c r="X25" s="203"/>
      <c r="Y25" s="203"/>
      <c r="Z25" s="203"/>
      <c r="AA25" s="203"/>
      <c r="AB25" s="203"/>
      <c r="AC25" s="203"/>
      <c r="AD25" s="203"/>
      <c r="AE25" s="203"/>
      <c r="AF25" s="203"/>
      <c r="AG25" s="229"/>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c r="EU25" s="204"/>
      <c r="EV25" s="204"/>
      <c r="EW25" s="204"/>
      <c r="EX25" s="204"/>
      <c r="EY25" s="204"/>
      <c r="EZ25" s="204"/>
      <c r="FA25" s="204"/>
      <c r="FB25" s="204"/>
      <c r="FC25" s="204"/>
      <c r="FD25" s="204"/>
      <c r="FE25" s="204"/>
      <c r="FF25" s="204"/>
      <c r="FG25" s="204"/>
      <c r="FH25" s="204"/>
      <c r="FI25" s="204"/>
      <c r="FJ25" s="204"/>
      <c r="FK25" s="204"/>
      <c r="FL25" s="204"/>
      <c r="FM25" s="204"/>
      <c r="FN25" s="204"/>
      <c r="FO25" s="204"/>
      <c r="FP25" s="204"/>
      <c r="FQ25" s="204"/>
      <c r="FR25" s="204"/>
      <c r="FS25" s="204"/>
      <c r="FT25" s="204"/>
      <c r="FU25" s="204"/>
      <c r="FV25" s="204"/>
      <c r="FW25" s="204"/>
      <c r="FX25" s="204"/>
      <c r="FY25" s="204"/>
      <c r="FZ25" s="204"/>
      <c r="GA25" s="204"/>
      <c r="GB25" s="204"/>
      <c r="GC25" s="204"/>
      <c r="GD25" s="204"/>
      <c r="GE25" s="204"/>
      <c r="GF25" s="204"/>
      <c r="GG25" s="204"/>
      <c r="GH25" s="204"/>
      <c r="GI25" s="204"/>
      <c r="GJ25" s="204"/>
      <c r="GK25" s="204"/>
      <c r="GL25" s="204"/>
      <c r="GM25" s="204"/>
      <c r="GN25" s="204"/>
      <c r="GO25" s="204"/>
      <c r="GP25" s="204"/>
      <c r="GQ25" s="204"/>
      <c r="GR25" s="204"/>
      <c r="GS25" s="204"/>
      <c r="GT25" s="204"/>
      <c r="GU25" s="204"/>
      <c r="GV25" s="204"/>
      <c r="GW25" s="204"/>
      <c r="GX25" s="204"/>
      <c r="GY25" s="204"/>
      <c r="GZ25" s="204"/>
      <c r="HA25" s="204"/>
      <c r="HB25" s="204"/>
      <c r="HC25" s="204"/>
      <c r="HD25" s="204"/>
      <c r="HE25" s="204"/>
      <c r="HF25" s="204"/>
      <c r="HG25" s="204"/>
      <c r="HH25" s="204"/>
      <c r="HI25" s="204"/>
      <c r="HJ25" s="204"/>
      <c r="HK25" s="204"/>
      <c r="HL25" s="204"/>
      <c r="HM25" s="204"/>
      <c r="HN25" s="204"/>
      <c r="HO25" s="204"/>
      <c r="HP25" s="204"/>
      <c r="HQ25" s="204"/>
      <c r="HR25" s="204"/>
      <c r="HS25" s="204"/>
      <c r="HT25" s="204"/>
      <c r="HU25" s="204"/>
      <c r="HV25" s="204"/>
      <c r="HW25" s="204"/>
      <c r="HX25" s="204"/>
      <c r="HY25" s="204"/>
      <c r="HZ25" s="204"/>
      <c r="IA25" s="204"/>
      <c r="IB25" s="204"/>
      <c r="IC25" s="204"/>
      <c r="ID25" s="204"/>
      <c r="IE25" s="204"/>
      <c r="IF25" s="204"/>
      <c r="IG25" s="204"/>
      <c r="IH25" s="204"/>
      <c r="II25" s="204"/>
      <c r="IJ25" s="204"/>
      <c r="IK25" s="204"/>
      <c r="IL25" s="204"/>
      <c r="IM25" s="204"/>
      <c r="IN25" s="204"/>
      <c r="IO25" s="204"/>
      <c r="IP25" s="204"/>
      <c r="IQ25" s="204"/>
      <c r="IR25" s="204"/>
      <c r="IS25" s="204"/>
      <c r="IT25" s="204"/>
      <c r="IU25" s="204"/>
      <c r="IV25" s="204"/>
      <c r="IW25" s="204"/>
      <c r="IX25" s="204"/>
      <c r="IY25" s="204"/>
      <c r="IZ25" s="204"/>
      <c r="JA25" s="204"/>
      <c r="JB25" s="204"/>
      <c r="JC25" s="204"/>
      <c r="JD25" s="204"/>
      <c r="JE25" s="204"/>
      <c r="JF25" s="204"/>
      <c r="JG25" s="204"/>
      <c r="JH25" s="204"/>
      <c r="JI25" s="204"/>
      <c r="JJ25" s="204"/>
      <c r="JK25" s="204"/>
      <c r="JL25" s="204"/>
      <c r="JM25" s="204"/>
      <c r="JN25" s="204"/>
      <c r="JO25" s="204"/>
      <c r="JP25" s="204"/>
      <c r="JQ25" s="204"/>
      <c r="JR25" s="204"/>
      <c r="JS25" s="204"/>
      <c r="JT25" s="204"/>
      <c r="JU25" s="204"/>
      <c r="JV25" s="204"/>
      <c r="JW25" s="204"/>
      <c r="JX25" s="204"/>
      <c r="JY25" s="204"/>
      <c r="JZ25" s="204"/>
      <c r="KA25" s="204"/>
      <c r="KB25" s="204"/>
      <c r="KC25" s="204"/>
      <c r="KD25" s="204"/>
      <c r="KE25" s="204"/>
      <c r="KF25" s="204"/>
      <c r="KG25" s="204"/>
      <c r="KH25" s="204"/>
      <c r="KI25" s="204"/>
      <c r="KJ25" s="204"/>
      <c r="KK25" s="204"/>
      <c r="KL25" s="204"/>
      <c r="KM25" s="204"/>
      <c r="KN25" s="204"/>
      <c r="KO25" s="204"/>
      <c r="KP25" s="204"/>
      <c r="KQ25" s="204"/>
      <c r="KR25" s="204"/>
      <c r="KS25" s="204"/>
      <c r="KT25" s="204"/>
      <c r="KU25" s="204"/>
      <c r="KV25" s="204"/>
      <c r="KW25" s="204"/>
      <c r="KX25" s="204"/>
      <c r="KY25" s="204"/>
      <c r="KZ25" s="204"/>
      <c r="LA25" s="204"/>
      <c r="LB25" s="204"/>
      <c r="LC25" s="204"/>
      <c r="LD25" s="204"/>
      <c r="LE25" s="204"/>
      <c r="LF25" s="204"/>
      <c r="LG25" s="204"/>
      <c r="LH25" s="204"/>
      <c r="LI25" s="204"/>
      <c r="LJ25" s="204"/>
      <c r="LK25" s="204"/>
      <c r="LL25" s="204"/>
      <c r="LM25" s="204"/>
      <c r="LN25" s="204"/>
      <c r="LO25" s="204"/>
      <c r="LP25" s="204"/>
      <c r="LQ25" s="204"/>
      <c r="LR25" s="204"/>
      <c r="LS25" s="204"/>
      <c r="LT25" s="204"/>
      <c r="LU25" s="204"/>
      <c r="LV25" s="204"/>
      <c r="LW25" s="204"/>
      <c r="LX25" s="204"/>
      <c r="LY25" s="204"/>
      <c r="LZ25" s="204"/>
      <c r="MA25" s="204"/>
      <c r="MB25" s="204"/>
      <c r="MC25" s="204"/>
      <c r="MD25" s="204"/>
      <c r="ME25" s="204"/>
      <c r="MF25" s="204"/>
      <c r="MG25" s="204"/>
      <c r="MH25" s="204"/>
      <c r="MI25" s="204"/>
      <c r="MJ25" s="204"/>
      <c r="MK25" s="204"/>
      <c r="ML25" s="204"/>
      <c r="MM25" s="204"/>
      <c r="MN25" s="204"/>
      <c r="MO25" s="204"/>
      <c r="MP25" s="204"/>
      <c r="MQ25" s="204"/>
      <c r="MR25" s="204"/>
      <c r="MS25" s="204"/>
      <c r="MT25" s="204"/>
      <c r="MU25" s="204"/>
      <c r="MV25" s="204"/>
      <c r="MW25" s="204"/>
      <c r="MX25" s="204"/>
      <c r="MY25" s="204"/>
      <c r="MZ25" s="204"/>
      <c r="NA25" s="204"/>
      <c r="NB25" s="204"/>
      <c r="NC25" s="204"/>
      <c r="ND25" s="204"/>
      <c r="NE25" s="204"/>
      <c r="NF25" s="204"/>
      <c r="NG25" s="204"/>
      <c r="NH25" s="204"/>
      <c r="NI25" s="204"/>
      <c r="NJ25" s="204"/>
      <c r="NK25" s="204"/>
      <c r="NL25" s="204"/>
      <c r="NM25" s="204"/>
      <c r="NN25" s="204"/>
      <c r="NO25" s="204"/>
      <c r="NP25" s="204"/>
      <c r="NQ25" s="204"/>
      <c r="NR25" s="204"/>
      <c r="NS25" s="204"/>
      <c r="NT25" s="204"/>
      <c r="NU25" s="204"/>
      <c r="NV25" s="204"/>
      <c r="NW25" s="204"/>
      <c r="NX25" s="204"/>
      <c r="NY25" s="204"/>
      <c r="NZ25" s="204"/>
      <c r="OA25" s="204"/>
      <c r="OB25" s="204"/>
      <c r="OC25" s="204"/>
      <c r="OD25" s="204"/>
      <c r="OE25" s="204"/>
      <c r="OF25" s="204"/>
      <c r="OG25" s="204"/>
      <c r="OH25" s="204"/>
      <c r="OI25" s="204"/>
      <c r="OJ25" s="204"/>
      <c r="OK25" s="204"/>
      <c r="OL25" s="204"/>
      <c r="OM25" s="204"/>
      <c r="ON25" s="204"/>
      <c r="OO25" s="204"/>
      <c r="OP25" s="204"/>
      <c r="OQ25" s="204"/>
      <c r="OR25" s="204"/>
      <c r="OS25" s="204"/>
      <c r="OT25" s="204"/>
      <c r="OU25" s="204"/>
      <c r="OV25" s="204"/>
      <c r="OW25" s="204"/>
      <c r="OX25" s="204"/>
      <c r="OY25" s="204"/>
      <c r="OZ25" s="204"/>
      <c r="PA25" s="204"/>
      <c r="PB25" s="204"/>
      <c r="PC25" s="204"/>
      <c r="PD25" s="204"/>
      <c r="PE25" s="204"/>
      <c r="PF25" s="204"/>
      <c r="PG25" s="204"/>
      <c r="PH25" s="204"/>
      <c r="PI25" s="204"/>
      <c r="PJ25" s="204"/>
      <c r="PK25" s="204"/>
      <c r="PL25" s="204"/>
      <c r="PM25" s="204"/>
      <c r="PN25" s="204"/>
      <c r="PO25" s="204"/>
      <c r="PP25" s="204"/>
      <c r="PQ25" s="204"/>
      <c r="PR25" s="204"/>
      <c r="PS25" s="204"/>
      <c r="PT25" s="204"/>
      <c r="PU25" s="204"/>
      <c r="PV25" s="204"/>
      <c r="PW25" s="204"/>
      <c r="PX25" s="204"/>
      <c r="PY25" s="204"/>
      <c r="PZ25" s="204"/>
      <c r="QA25" s="204"/>
      <c r="QB25" s="204"/>
      <c r="QC25" s="204"/>
      <c r="QD25" s="204"/>
      <c r="QE25" s="204"/>
      <c r="QF25" s="204"/>
      <c r="QG25" s="204"/>
      <c r="QH25" s="204"/>
      <c r="QI25" s="204"/>
      <c r="QJ25" s="204"/>
      <c r="QK25" s="204"/>
      <c r="QL25" s="204"/>
      <c r="QM25" s="204"/>
      <c r="QN25" s="204"/>
      <c r="QO25" s="204"/>
      <c r="QP25" s="204"/>
      <c r="QQ25" s="204"/>
      <c r="QR25" s="204"/>
      <c r="QS25" s="204"/>
      <c r="QT25" s="204"/>
      <c r="QU25" s="204"/>
      <c r="QV25" s="204"/>
      <c r="QW25" s="204"/>
      <c r="QX25" s="204"/>
      <c r="QY25" s="204"/>
      <c r="QZ25" s="204"/>
      <c r="RA25" s="204"/>
      <c r="RB25" s="204"/>
      <c r="RC25" s="204"/>
      <c r="RD25" s="204"/>
      <c r="RE25" s="204"/>
      <c r="RF25" s="204"/>
      <c r="RG25" s="204"/>
      <c r="RH25" s="204"/>
      <c r="RI25" s="204"/>
      <c r="RJ25" s="204"/>
      <c r="RK25" s="204"/>
      <c r="RL25" s="204"/>
      <c r="RM25" s="204"/>
      <c r="RN25" s="204"/>
      <c r="RO25" s="204"/>
      <c r="RP25" s="204"/>
      <c r="RQ25" s="204"/>
      <c r="RR25" s="204"/>
      <c r="RS25" s="204"/>
      <c r="RT25" s="204"/>
      <c r="RU25" s="204"/>
      <c r="RV25" s="204"/>
      <c r="RW25" s="204"/>
      <c r="RX25" s="204"/>
      <c r="RY25" s="204"/>
      <c r="RZ25" s="204"/>
      <c r="SA25" s="204"/>
      <c r="SB25" s="204"/>
      <c r="SC25" s="204"/>
      <c r="SD25" s="204"/>
      <c r="SE25" s="204"/>
      <c r="SF25" s="204"/>
      <c r="SG25" s="204"/>
      <c r="SH25" s="204"/>
      <c r="SI25" s="204"/>
      <c r="SJ25" s="204"/>
      <c r="SK25" s="204"/>
      <c r="SL25" s="204"/>
      <c r="SM25" s="204"/>
      <c r="SN25" s="204"/>
      <c r="SO25" s="204"/>
      <c r="SP25" s="204"/>
      <c r="SQ25" s="204"/>
      <c r="SR25" s="204"/>
      <c r="SS25" s="204"/>
      <c r="ST25" s="204"/>
      <c r="SU25" s="204"/>
      <c r="SV25" s="204"/>
      <c r="SW25" s="204"/>
      <c r="SX25" s="204"/>
      <c r="SY25" s="204"/>
      <c r="SZ25" s="204"/>
      <c r="TA25" s="204"/>
      <c r="TB25" s="204"/>
      <c r="TC25" s="204"/>
      <c r="TD25" s="204"/>
      <c r="TE25" s="204"/>
      <c r="TF25" s="204"/>
      <c r="TG25" s="204"/>
      <c r="TH25" s="204"/>
      <c r="TI25" s="204"/>
      <c r="TJ25" s="204"/>
      <c r="TK25" s="204"/>
      <c r="TL25" s="204"/>
      <c r="TM25" s="204"/>
      <c r="TN25" s="204"/>
      <c r="TO25" s="204"/>
      <c r="TP25" s="204"/>
      <c r="TQ25" s="204"/>
      <c r="TR25" s="204"/>
      <c r="TS25" s="204"/>
      <c r="TT25" s="204"/>
      <c r="TU25" s="204"/>
      <c r="TV25" s="204"/>
      <c r="TW25" s="204"/>
      <c r="TX25" s="204"/>
      <c r="TY25" s="204"/>
      <c r="TZ25" s="204"/>
      <c r="UA25" s="204"/>
      <c r="UB25" s="204"/>
      <c r="UC25" s="204"/>
      <c r="UD25" s="204"/>
      <c r="UE25" s="204"/>
      <c r="UF25" s="204"/>
      <c r="UG25" s="204"/>
      <c r="UH25" s="204"/>
      <c r="UI25" s="204"/>
      <c r="UJ25" s="204"/>
      <c r="UK25" s="204"/>
      <c r="UL25" s="204"/>
      <c r="UM25" s="204"/>
      <c r="UN25" s="204"/>
      <c r="UO25" s="204"/>
      <c r="UP25" s="204"/>
      <c r="UQ25" s="204"/>
      <c r="UR25" s="204"/>
      <c r="US25" s="204"/>
      <c r="UT25" s="204"/>
      <c r="UU25" s="204"/>
      <c r="UV25" s="204"/>
      <c r="UW25" s="204"/>
      <c r="UX25" s="204"/>
      <c r="UY25" s="204"/>
      <c r="UZ25" s="204"/>
      <c r="VA25" s="204"/>
      <c r="VB25" s="204"/>
      <c r="VC25" s="204"/>
      <c r="VD25" s="204"/>
      <c r="VE25" s="204"/>
      <c r="VF25" s="204"/>
      <c r="VG25" s="204"/>
      <c r="VH25" s="204"/>
      <c r="VI25" s="204"/>
      <c r="VJ25" s="204"/>
      <c r="VK25" s="204"/>
      <c r="VL25" s="204"/>
      <c r="VM25" s="204"/>
      <c r="VN25" s="204"/>
      <c r="VO25" s="204"/>
      <c r="VP25" s="204"/>
      <c r="VQ25" s="204"/>
      <c r="VR25" s="204"/>
      <c r="VS25" s="204"/>
      <c r="VT25" s="204"/>
      <c r="VU25" s="204"/>
      <c r="VV25" s="204"/>
      <c r="VW25" s="204"/>
      <c r="VX25" s="204"/>
      <c r="VY25" s="204"/>
      <c r="VZ25" s="204"/>
      <c r="WA25" s="204"/>
      <c r="WB25" s="204"/>
      <c r="WC25" s="204"/>
      <c r="WD25" s="204"/>
      <c r="WE25" s="204"/>
      <c r="WF25" s="204"/>
      <c r="WG25" s="204"/>
      <c r="WH25" s="204"/>
      <c r="WI25" s="204"/>
      <c r="WJ25" s="204"/>
      <c r="WK25" s="204"/>
      <c r="WL25" s="204"/>
      <c r="WM25" s="204"/>
      <c r="WN25" s="204"/>
      <c r="WO25" s="204"/>
      <c r="WP25" s="204"/>
      <c r="WQ25" s="204"/>
      <c r="WR25" s="204"/>
      <c r="WS25" s="204"/>
      <c r="WT25" s="204"/>
      <c r="WU25" s="204"/>
      <c r="WV25" s="204"/>
      <c r="WW25" s="204"/>
      <c r="WX25" s="204"/>
      <c r="WY25" s="204"/>
      <c r="WZ25" s="204"/>
      <c r="XA25" s="204"/>
      <c r="XB25" s="204"/>
      <c r="XC25" s="204"/>
      <c r="XD25" s="204"/>
      <c r="XE25" s="204"/>
      <c r="XF25" s="204"/>
      <c r="XG25" s="204"/>
      <c r="XH25" s="204"/>
      <c r="XI25" s="204"/>
      <c r="XJ25" s="204"/>
      <c r="XK25" s="204"/>
      <c r="XL25" s="204"/>
      <c r="XM25" s="204"/>
      <c r="XN25" s="204"/>
      <c r="XO25" s="204"/>
      <c r="XP25" s="204"/>
      <c r="XQ25" s="204"/>
      <c r="XR25" s="204"/>
      <c r="XS25" s="204"/>
      <c r="XT25" s="204"/>
      <c r="XU25" s="204"/>
      <c r="XV25" s="204"/>
      <c r="XW25" s="204"/>
      <c r="XX25" s="204"/>
      <c r="XY25" s="204"/>
      <c r="XZ25" s="204"/>
      <c r="YA25" s="204"/>
      <c r="YB25" s="204"/>
      <c r="YC25" s="204"/>
      <c r="YD25" s="204"/>
      <c r="YE25" s="204"/>
      <c r="YF25" s="204"/>
      <c r="YG25" s="204"/>
      <c r="YH25" s="204"/>
      <c r="YI25" s="204"/>
      <c r="YJ25" s="204"/>
      <c r="YK25" s="204"/>
      <c r="YL25" s="204"/>
      <c r="YM25" s="204"/>
      <c r="YN25" s="204"/>
      <c r="YO25" s="204"/>
      <c r="YP25" s="204"/>
      <c r="YQ25" s="204"/>
      <c r="YR25" s="204"/>
      <c r="YS25" s="204"/>
      <c r="YT25" s="204"/>
      <c r="YU25" s="204"/>
      <c r="YV25" s="204"/>
      <c r="YW25" s="204"/>
      <c r="YX25" s="204"/>
      <c r="YY25" s="204"/>
      <c r="YZ25" s="204"/>
      <c r="ZA25" s="204"/>
      <c r="ZB25" s="204"/>
      <c r="ZC25" s="204"/>
      <c r="ZD25" s="204"/>
      <c r="ZE25" s="204"/>
      <c r="ZF25" s="204"/>
      <c r="ZG25" s="204"/>
      <c r="ZH25" s="204"/>
      <c r="ZI25" s="204"/>
      <c r="ZJ25" s="204"/>
      <c r="ZK25" s="204"/>
      <c r="ZL25" s="204"/>
      <c r="ZM25" s="204"/>
      <c r="ZN25" s="204"/>
      <c r="ZO25" s="204"/>
      <c r="ZP25" s="204"/>
      <c r="ZQ25" s="204"/>
      <c r="ZR25" s="204"/>
      <c r="ZS25" s="204"/>
      <c r="ZT25" s="204"/>
      <c r="ZU25" s="204"/>
      <c r="ZV25" s="204"/>
      <c r="ZW25" s="204"/>
      <c r="ZX25" s="204"/>
      <c r="ZY25" s="204"/>
      <c r="ZZ25" s="204"/>
      <c r="AAA25" s="204"/>
      <c r="AAB25" s="204"/>
      <c r="AAC25" s="204"/>
      <c r="AAD25" s="204"/>
      <c r="AAE25" s="204"/>
      <c r="AAF25" s="204"/>
      <c r="AAG25" s="204"/>
      <c r="AAH25" s="204"/>
      <c r="AAI25" s="204"/>
      <c r="AAJ25" s="204"/>
      <c r="AAK25" s="204"/>
      <c r="AAL25" s="204"/>
      <c r="AAM25" s="204"/>
      <c r="AAN25" s="204"/>
      <c r="AAO25" s="204"/>
      <c r="AAP25" s="204"/>
      <c r="AAQ25" s="204"/>
      <c r="AAR25" s="204"/>
      <c r="AAS25" s="204"/>
      <c r="AAT25" s="204"/>
      <c r="AAU25" s="204"/>
      <c r="AAV25" s="204"/>
      <c r="AAW25" s="204"/>
      <c r="AAX25" s="204"/>
      <c r="AAY25" s="204"/>
      <c r="AAZ25" s="204"/>
      <c r="ABA25" s="204"/>
      <c r="ABB25" s="204"/>
      <c r="ABC25" s="204"/>
      <c r="ABD25" s="204"/>
      <c r="ABE25" s="204"/>
      <c r="ABF25" s="204"/>
      <c r="ABG25" s="204"/>
      <c r="ABH25" s="204"/>
      <c r="ABI25" s="204"/>
      <c r="ABJ25" s="204"/>
      <c r="ABK25" s="204"/>
      <c r="ABL25" s="204"/>
      <c r="ABM25" s="204"/>
      <c r="ABN25" s="204"/>
      <c r="ABO25" s="204"/>
      <c r="ABP25" s="204"/>
      <c r="ABQ25" s="204"/>
      <c r="ABR25" s="204"/>
      <c r="ABS25" s="204"/>
      <c r="ABT25" s="204"/>
      <c r="ABU25" s="204"/>
      <c r="ABV25" s="204"/>
      <c r="ABW25" s="204"/>
      <c r="ABX25" s="204"/>
      <c r="ABY25" s="204"/>
      <c r="ABZ25" s="204"/>
      <c r="ACA25" s="204"/>
      <c r="ACB25" s="204"/>
      <c r="ACC25" s="204"/>
      <c r="ACD25" s="204"/>
      <c r="ACE25" s="204"/>
      <c r="ACF25" s="204"/>
      <c r="ACG25" s="204"/>
      <c r="ACH25" s="204"/>
      <c r="ACI25" s="204"/>
      <c r="ACJ25" s="204"/>
      <c r="ACK25" s="204"/>
      <c r="ACL25" s="204"/>
      <c r="ACM25" s="204"/>
      <c r="ACN25" s="204"/>
      <c r="ACO25" s="204"/>
      <c r="ACP25" s="204"/>
      <c r="ACQ25" s="204"/>
      <c r="ACR25" s="204"/>
      <c r="ACS25" s="204"/>
      <c r="ACT25" s="204"/>
      <c r="ACU25" s="204"/>
      <c r="ACV25" s="204"/>
      <c r="ACW25" s="204"/>
      <c r="ACX25" s="204"/>
      <c r="ACY25" s="204"/>
      <c r="ACZ25" s="204"/>
      <c r="ADA25" s="204"/>
      <c r="ADB25" s="204"/>
      <c r="ADC25" s="204"/>
      <c r="ADD25" s="204"/>
      <c r="ADE25" s="204"/>
      <c r="ADF25" s="204"/>
      <c r="ADG25" s="204"/>
      <c r="ADH25" s="204"/>
      <c r="ADI25" s="204"/>
      <c r="ADJ25" s="204"/>
      <c r="ADK25" s="204"/>
      <c r="ADL25" s="204"/>
      <c r="ADM25" s="204"/>
      <c r="ADN25" s="204"/>
      <c r="ADO25" s="204"/>
      <c r="ADP25" s="204"/>
      <c r="ADQ25" s="204"/>
      <c r="ADR25" s="204"/>
      <c r="ADS25" s="204"/>
      <c r="ADT25" s="204"/>
      <c r="ADU25" s="204"/>
      <c r="ADV25" s="204"/>
      <c r="ADW25" s="204"/>
      <c r="ADX25" s="204"/>
      <c r="ADY25" s="204"/>
      <c r="ADZ25" s="204"/>
      <c r="AEA25" s="204"/>
      <c r="AEB25" s="204"/>
      <c r="AEC25" s="204"/>
      <c r="AED25" s="204"/>
      <c r="AEE25" s="204"/>
      <c r="AEF25" s="204"/>
      <c r="AEG25" s="204"/>
      <c r="AEH25" s="204"/>
      <c r="AEI25" s="204"/>
      <c r="AEJ25" s="204"/>
      <c r="AEK25" s="204"/>
      <c r="AEL25" s="204"/>
      <c r="AEM25" s="204"/>
      <c r="AEN25" s="204"/>
      <c r="AEO25" s="204"/>
      <c r="AEP25" s="204"/>
      <c r="AEQ25" s="204"/>
      <c r="AER25" s="204"/>
      <c r="AES25" s="204"/>
      <c r="AET25" s="204"/>
      <c r="AEU25" s="204"/>
      <c r="AEV25" s="204"/>
      <c r="AEW25" s="204"/>
      <c r="AEX25" s="204"/>
      <c r="AEY25" s="204"/>
      <c r="AEZ25" s="204"/>
      <c r="AFA25" s="204"/>
      <c r="AFB25" s="204"/>
      <c r="AFC25" s="204"/>
      <c r="AFD25" s="204"/>
      <c r="AFE25" s="204"/>
      <c r="AFF25" s="204"/>
      <c r="AFG25" s="204"/>
      <c r="AFH25" s="204"/>
      <c r="AFI25" s="204"/>
      <c r="AFJ25" s="204"/>
      <c r="AFK25" s="204"/>
      <c r="AFL25" s="204"/>
      <c r="AFM25" s="204"/>
      <c r="AFN25" s="204"/>
      <c r="AFO25" s="204"/>
      <c r="AFP25" s="204"/>
      <c r="AFQ25" s="204"/>
      <c r="AFR25" s="204"/>
      <c r="AFS25" s="204"/>
      <c r="AFT25" s="204"/>
      <c r="AFU25" s="204"/>
      <c r="AFV25" s="204"/>
      <c r="AFW25" s="204"/>
      <c r="AFX25" s="204"/>
      <c r="AFY25" s="204"/>
      <c r="AFZ25" s="204"/>
      <c r="AGA25" s="204"/>
      <c r="AGB25" s="204"/>
      <c r="AGC25" s="204"/>
      <c r="AGD25" s="204"/>
      <c r="AGE25" s="204"/>
      <c r="AGF25" s="204"/>
      <c r="AGG25" s="204"/>
      <c r="AGH25" s="204"/>
      <c r="AGI25" s="204"/>
      <c r="AGJ25" s="204"/>
      <c r="AGK25" s="204"/>
      <c r="AGL25" s="204"/>
      <c r="AGM25" s="204"/>
      <c r="AGN25" s="204"/>
      <c r="AGO25" s="204"/>
      <c r="AGP25" s="204"/>
      <c r="AGQ25" s="204"/>
      <c r="AGR25" s="204"/>
      <c r="AGS25" s="204"/>
      <c r="AGT25" s="204"/>
      <c r="AGU25" s="204"/>
      <c r="AGV25" s="204"/>
      <c r="AGW25" s="204"/>
      <c r="AGX25" s="204"/>
      <c r="AGY25" s="204"/>
      <c r="AGZ25" s="204"/>
      <c r="AHA25" s="204"/>
      <c r="AHB25" s="204"/>
      <c r="AHC25" s="204"/>
      <c r="AHD25" s="204"/>
      <c r="AHE25" s="204"/>
      <c r="AHF25" s="204"/>
      <c r="AHG25" s="204"/>
      <c r="AHH25" s="204"/>
      <c r="AHI25" s="204"/>
      <c r="AHJ25" s="204"/>
      <c r="AHK25" s="204"/>
      <c r="AHL25" s="204"/>
      <c r="AHM25" s="204"/>
      <c r="AHN25" s="204"/>
      <c r="AHO25" s="204"/>
      <c r="AHP25" s="204"/>
      <c r="AHQ25" s="204"/>
      <c r="AHR25" s="204"/>
      <c r="AHS25" s="204"/>
      <c r="AHT25" s="204"/>
      <c r="AHU25" s="204"/>
      <c r="AHV25" s="204"/>
      <c r="AHW25" s="204"/>
      <c r="AHX25" s="204"/>
      <c r="AHY25" s="204"/>
      <c r="AHZ25" s="204"/>
      <c r="AIA25" s="204"/>
      <c r="AIB25" s="204"/>
      <c r="AIC25" s="204"/>
      <c r="AID25" s="204"/>
      <c r="AIE25" s="204"/>
      <c r="AIF25" s="204"/>
      <c r="AIG25" s="204"/>
      <c r="AIH25" s="204"/>
      <c r="AII25" s="204"/>
      <c r="AIJ25" s="204"/>
      <c r="AIK25" s="204"/>
      <c r="AIL25" s="204"/>
      <c r="AIM25" s="204"/>
      <c r="AIN25" s="204"/>
      <c r="AIO25" s="204"/>
      <c r="AIP25" s="204"/>
      <c r="AIQ25" s="204"/>
      <c r="AIR25" s="204"/>
      <c r="AIS25" s="204"/>
      <c r="AIT25" s="204"/>
      <c r="AIU25" s="204"/>
      <c r="AIV25" s="204"/>
      <c r="AIW25" s="204"/>
      <c r="AIX25" s="204"/>
      <c r="AIY25" s="204"/>
      <c r="AIZ25" s="204"/>
      <c r="AJA25" s="204"/>
      <c r="AJB25" s="204"/>
      <c r="AJC25" s="204"/>
      <c r="AJD25" s="204"/>
      <c r="AJE25" s="204"/>
      <c r="AJF25" s="204"/>
      <c r="AJG25" s="204"/>
      <c r="AJH25" s="204"/>
      <c r="AJI25" s="204"/>
      <c r="AJJ25" s="204"/>
      <c r="AJK25" s="204"/>
      <c r="AJL25" s="204"/>
      <c r="AJM25" s="204"/>
      <c r="AJN25" s="204"/>
      <c r="AJO25" s="204"/>
      <c r="AJP25" s="204"/>
      <c r="AJQ25" s="204"/>
      <c r="AJR25" s="204"/>
      <c r="AJS25" s="204"/>
      <c r="AJT25" s="204"/>
      <c r="AJU25" s="204"/>
      <c r="AJV25" s="204"/>
      <c r="AJW25" s="204"/>
      <c r="AJX25" s="204"/>
      <c r="AJY25" s="204"/>
      <c r="AJZ25" s="204"/>
      <c r="AKA25" s="204"/>
      <c r="AKB25" s="204"/>
      <c r="AKC25" s="204"/>
      <c r="AKD25" s="204"/>
      <c r="AKE25" s="204"/>
      <c r="AKF25" s="204"/>
      <c r="AKG25" s="204"/>
      <c r="AKH25" s="204"/>
      <c r="AKI25" s="204"/>
      <c r="AKJ25" s="204"/>
      <c r="AKK25" s="204"/>
      <c r="AKL25" s="204"/>
      <c r="AKM25" s="204"/>
      <c r="AKN25" s="204"/>
      <c r="AKO25" s="204"/>
      <c r="AKP25" s="204"/>
      <c r="AKQ25" s="204"/>
      <c r="AKR25" s="204"/>
      <c r="AKS25" s="204"/>
      <c r="AKT25" s="204"/>
      <c r="AKU25" s="204"/>
      <c r="AKV25" s="204"/>
      <c r="AKW25" s="204"/>
      <c r="AKX25" s="204"/>
      <c r="AKY25" s="204"/>
      <c r="AKZ25" s="204"/>
      <c r="ALA25" s="204"/>
      <c r="ALB25" s="204"/>
      <c r="ALC25" s="204"/>
      <c r="ALD25" s="204"/>
      <c r="ALE25" s="204"/>
      <c r="ALF25" s="204"/>
      <c r="ALG25" s="204"/>
      <c r="ALH25" s="204"/>
      <c r="ALI25" s="204"/>
      <c r="ALJ25" s="204"/>
      <c r="ALK25" s="204"/>
      <c r="ALL25" s="204"/>
      <c r="ALM25" s="204"/>
      <c r="ALN25" s="204"/>
      <c r="ALO25" s="204"/>
      <c r="ALP25" s="204"/>
      <c r="ALQ25" s="204"/>
      <c r="ALR25" s="204"/>
      <c r="ALS25" s="204"/>
      <c r="ALT25" s="204"/>
      <c r="ALU25" s="204"/>
      <c r="ALV25" s="204"/>
      <c r="ALW25" s="204"/>
      <c r="ALX25" s="204"/>
      <c r="ALY25" s="204"/>
      <c r="ALZ25" s="204"/>
      <c r="AMA25" s="204"/>
      <c r="AMB25" s="204"/>
      <c r="AMC25" s="204"/>
      <c r="AMD25" s="204"/>
      <c r="AME25" s="204"/>
      <c r="AMF25" s="204"/>
      <c r="AMG25" s="204"/>
      <c r="AMH25" s="204"/>
      <c r="AMI25" s="204"/>
      <c r="AMJ25" s="204"/>
      <c r="AMK25" s="204"/>
      <c r="AML25" s="204"/>
      <c r="AMM25" s="204"/>
      <c r="AMN25" s="204"/>
      <c r="AMO25" s="204"/>
      <c r="AMP25" s="204"/>
      <c r="AMQ25" s="204"/>
      <c r="AMR25" s="204"/>
      <c r="AMS25" s="204"/>
      <c r="AMT25" s="204"/>
      <c r="AMU25" s="204"/>
      <c r="AMV25" s="204"/>
      <c r="AMW25" s="204"/>
      <c r="AMX25" s="204"/>
      <c r="AMY25" s="204"/>
      <c r="AMZ25" s="204"/>
      <c r="ANA25" s="204"/>
      <c r="ANB25" s="204"/>
      <c r="ANC25" s="204"/>
      <c r="AND25" s="204"/>
      <c r="ANE25" s="204"/>
      <c r="ANF25" s="204"/>
      <c r="ANG25" s="204"/>
      <c r="ANH25" s="204"/>
      <c r="ANI25" s="204"/>
      <c r="ANJ25" s="204"/>
      <c r="ANK25" s="204"/>
      <c r="ANL25" s="204"/>
      <c r="ANM25" s="204"/>
      <c r="ANN25" s="204"/>
      <c r="ANO25" s="204"/>
      <c r="ANP25" s="204"/>
      <c r="ANQ25" s="204"/>
      <c r="ANR25" s="204"/>
      <c r="ANS25" s="204"/>
      <c r="ANT25" s="204"/>
      <c r="ANU25" s="204"/>
      <c r="ANV25" s="204"/>
      <c r="ANW25" s="204"/>
      <c r="ANX25" s="204"/>
      <c r="ANY25" s="204"/>
      <c r="ANZ25" s="204"/>
      <c r="AOA25" s="204"/>
      <c r="AOB25" s="204"/>
      <c r="AOC25" s="204"/>
      <c r="AOD25" s="204"/>
      <c r="AOE25" s="204"/>
      <c r="AOF25" s="204"/>
      <c r="AOG25" s="204"/>
      <c r="AOH25" s="204"/>
      <c r="AOI25" s="204"/>
      <c r="AOJ25" s="204"/>
      <c r="AOK25" s="204"/>
      <c r="AOL25" s="204"/>
      <c r="AOM25" s="204"/>
      <c r="AON25" s="204"/>
      <c r="AOO25" s="204"/>
      <c r="AOP25" s="204"/>
      <c r="AOQ25" s="204"/>
      <c r="AOR25" s="204"/>
      <c r="AOS25" s="204"/>
      <c r="AOT25" s="204"/>
      <c r="AOU25" s="204"/>
      <c r="AOV25" s="204"/>
      <c r="AOW25" s="204"/>
      <c r="AOX25" s="204"/>
      <c r="AOY25" s="204"/>
      <c r="AOZ25" s="204"/>
      <c r="APA25" s="204"/>
      <c r="APB25" s="204"/>
      <c r="APC25" s="204"/>
      <c r="APD25" s="204"/>
      <c r="APE25" s="204"/>
      <c r="APF25" s="204"/>
      <c r="APG25" s="204"/>
      <c r="APH25" s="204"/>
      <c r="API25" s="204"/>
      <c r="APJ25" s="204"/>
      <c r="APK25" s="204"/>
      <c r="APL25" s="204"/>
      <c r="APM25" s="204"/>
      <c r="APN25" s="204"/>
      <c r="APO25" s="204"/>
      <c r="APP25" s="204"/>
      <c r="APQ25" s="204"/>
      <c r="APR25" s="204"/>
      <c r="APS25" s="204"/>
      <c r="APT25" s="204"/>
      <c r="APU25" s="204"/>
      <c r="APV25" s="204"/>
      <c r="APW25" s="204"/>
      <c r="APX25" s="204"/>
      <c r="APY25" s="204"/>
      <c r="APZ25" s="204"/>
      <c r="AQA25" s="204"/>
      <c r="AQB25" s="204"/>
      <c r="AQC25" s="204"/>
      <c r="AQD25" s="204"/>
      <c r="AQE25" s="204"/>
      <c r="AQF25" s="204"/>
      <c r="AQG25" s="204"/>
      <c r="AQH25" s="204"/>
      <c r="AQI25" s="204"/>
      <c r="AQJ25" s="204"/>
      <c r="AQK25" s="204"/>
      <c r="AQL25" s="204"/>
      <c r="AQM25" s="204"/>
      <c r="AQN25" s="204"/>
      <c r="AQO25" s="204"/>
      <c r="AQP25" s="204"/>
      <c r="AQQ25" s="204"/>
      <c r="AQR25" s="204"/>
      <c r="AQS25" s="204"/>
      <c r="AQT25" s="204"/>
      <c r="AQU25" s="204"/>
      <c r="AQV25" s="204"/>
      <c r="AQW25" s="204"/>
      <c r="AQX25" s="204"/>
      <c r="AQY25" s="204"/>
      <c r="AQZ25" s="204"/>
      <c r="ARA25" s="204"/>
      <c r="ARB25" s="204"/>
      <c r="ARC25" s="204"/>
      <c r="ARD25" s="204"/>
      <c r="ARE25" s="204"/>
      <c r="ARF25" s="204"/>
      <c r="ARG25" s="204"/>
      <c r="ARH25" s="204"/>
      <c r="ARI25" s="204"/>
      <c r="ARJ25" s="204"/>
      <c r="ARK25" s="204"/>
      <c r="ARL25" s="204"/>
      <c r="ARM25" s="204"/>
      <c r="ARN25" s="204"/>
      <c r="ARO25" s="204"/>
      <c r="ARP25" s="204"/>
      <c r="ARQ25" s="204"/>
      <c r="ARR25" s="204"/>
      <c r="ARS25" s="204"/>
      <c r="ART25" s="204"/>
      <c r="ARU25" s="204"/>
      <c r="ARV25" s="204"/>
      <c r="ARW25" s="204"/>
      <c r="ARX25" s="204"/>
      <c r="ARY25" s="204"/>
      <c r="ARZ25" s="204"/>
      <c r="ASA25" s="204"/>
      <c r="ASB25" s="204"/>
      <c r="ASC25" s="204"/>
      <c r="ASD25" s="204"/>
      <c r="ASE25" s="204"/>
      <c r="ASF25" s="204"/>
      <c r="ASG25" s="204"/>
      <c r="ASH25" s="204"/>
      <c r="ASI25" s="204"/>
      <c r="ASJ25" s="204"/>
      <c r="ASK25" s="204"/>
      <c r="ASL25" s="204"/>
      <c r="ASM25" s="204"/>
      <c r="ASN25" s="204"/>
      <c r="ASO25" s="204"/>
      <c r="ASP25" s="204"/>
      <c r="ASQ25" s="204"/>
      <c r="ASR25" s="204"/>
      <c r="ASS25" s="204"/>
      <c r="AST25" s="204"/>
      <c r="ASU25" s="204"/>
      <c r="ASV25" s="204"/>
      <c r="ASW25" s="204"/>
      <c r="ASX25" s="204"/>
      <c r="ASY25" s="204"/>
      <c r="ASZ25" s="204"/>
      <c r="ATA25" s="204"/>
      <c r="ATB25" s="204"/>
      <c r="ATC25" s="204"/>
      <c r="ATD25" s="204"/>
      <c r="ATE25" s="204"/>
      <c r="ATF25" s="204"/>
      <c r="ATG25" s="204"/>
      <c r="ATH25" s="204"/>
      <c r="ATI25" s="204"/>
      <c r="ATJ25" s="204"/>
      <c r="ATK25" s="204"/>
      <c r="ATL25" s="204"/>
      <c r="ATM25" s="204"/>
      <c r="ATN25" s="204"/>
      <c r="ATO25" s="204"/>
      <c r="ATP25" s="204"/>
      <c r="ATQ25" s="204"/>
      <c r="ATR25" s="204"/>
      <c r="ATS25" s="204"/>
      <c r="ATT25" s="204"/>
      <c r="ATU25" s="204"/>
      <c r="ATV25" s="204"/>
      <c r="ATW25" s="204"/>
      <c r="ATX25" s="204"/>
      <c r="ATY25" s="204"/>
      <c r="ATZ25" s="204"/>
      <c r="AUA25" s="204"/>
      <c r="AUB25" s="204"/>
      <c r="AUC25" s="204"/>
      <c r="AUD25" s="204"/>
      <c r="AUE25" s="204"/>
      <c r="AUF25" s="204"/>
      <c r="AUG25" s="204"/>
      <c r="AUH25" s="204"/>
      <c r="AUI25" s="204"/>
      <c r="AUJ25" s="204"/>
      <c r="AUK25" s="204"/>
      <c r="AUL25" s="204"/>
      <c r="AUM25" s="204"/>
      <c r="AUN25" s="204"/>
      <c r="AUO25" s="204"/>
      <c r="AUP25" s="204"/>
      <c r="AUQ25" s="204"/>
      <c r="AUR25" s="204"/>
      <c r="AUS25" s="204"/>
      <c r="AUT25" s="204"/>
      <c r="AUU25" s="204"/>
      <c r="AUV25" s="204"/>
      <c r="AUW25" s="204"/>
      <c r="AUX25" s="204"/>
      <c r="AUY25" s="204"/>
      <c r="AUZ25" s="204"/>
      <c r="AVA25" s="204"/>
      <c r="AVB25" s="204"/>
      <c r="AVC25" s="204"/>
      <c r="AVD25" s="204"/>
      <c r="AVE25" s="204"/>
      <c r="AVF25" s="204"/>
      <c r="AVG25" s="204"/>
      <c r="AVH25" s="204"/>
      <c r="AVI25" s="204"/>
      <c r="AVJ25" s="204"/>
      <c r="AVK25" s="204"/>
      <c r="AVL25" s="204"/>
      <c r="AVM25" s="204"/>
      <c r="AVN25" s="204"/>
      <c r="AVO25" s="204"/>
      <c r="AVP25" s="204"/>
      <c r="AVQ25" s="204"/>
      <c r="AVR25" s="204"/>
      <c r="AVS25" s="204"/>
      <c r="AVT25" s="204"/>
      <c r="AVU25" s="204"/>
      <c r="AVV25" s="204"/>
      <c r="AVW25" s="204"/>
      <c r="AVX25" s="204"/>
      <c r="AVY25" s="204"/>
      <c r="AVZ25" s="204"/>
      <c r="AWA25" s="204"/>
      <c r="AWB25" s="204"/>
      <c r="AWC25" s="204"/>
      <c r="AWD25" s="204"/>
      <c r="AWE25" s="204"/>
      <c r="AWF25" s="204"/>
      <c r="AWG25" s="204"/>
      <c r="AWH25" s="204"/>
      <c r="AWI25" s="204"/>
      <c r="AWJ25" s="204"/>
      <c r="AWK25" s="204"/>
      <c r="AWL25" s="204"/>
      <c r="AWM25" s="204"/>
      <c r="AWN25" s="204"/>
      <c r="AWO25" s="204"/>
      <c r="AWP25" s="204"/>
      <c r="AWQ25" s="204"/>
      <c r="AWR25" s="204"/>
      <c r="AWS25" s="204"/>
      <c r="AWT25" s="204"/>
      <c r="AWU25" s="204"/>
      <c r="AWV25" s="204"/>
      <c r="AWW25" s="204"/>
      <c r="AWX25" s="204"/>
      <c r="AWY25" s="204"/>
      <c r="AWZ25" s="204"/>
      <c r="AXA25" s="204"/>
      <c r="AXB25" s="204"/>
      <c r="AXC25" s="204"/>
      <c r="AXD25" s="204"/>
      <c r="AXE25" s="204"/>
      <c r="AXF25" s="204"/>
      <c r="AXG25" s="204"/>
      <c r="AXH25" s="204"/>
      <c r="AXI25" s="204"/>
      <c r="AXJ25" s="204"/>
      <c r="AXK25" s="204"/>
      <c r="AXL25" s="204"/>
      <c r="AXM25" s="204"/>
      <c r="AXN25" s="204"/>
      <c r="AXO25" s="204"/>
      <c r="AXP25" s="204"/>
      <c r="AXQ25" s="204"/>
      <c r="AXR25" s="204"/>
      <c r="AXS25" s="204"/>
      <c r="AXT25" s="204"/>
      <c r="AXU25" s="204"/>
      <c r="AXV25" s="204"/>
      <c r="AXW25" s="204"/>
      <c r="AXX25" s="204"/>
      <c r="AXY25" s="204"/>
      <c r="AXZ25" s="204"/>
      <c r="AYA25" s="204"/>
      <c r="AYB25" s="204"/>
      <c r="AYC25" s="204"/>
      <c r="AYD25" s="204"/>
      <c r="AYE25" s="204"/>
      <c r="AYF25" s="204"/>
      <c r="AYG25" s="204"/>
      <c r="AYH25" s="204"/>
      <c r="AYI25" s="204"/>
      <c r="AYJ25" s="204"/>
      <c r="AYK25" s="204"/>
      <c r="AYL25" s="204"/>
      <c r="AYM25" s="204"/>
      <c r="AYN25" s="204"/>
      <c r="AYO25" s="204"/>
      <c r="AYP25" s="204"/>
      <c r="AYQ25" s="204"/>
      <c r="AYR25" s="204"/>
      <c r="AYS25" s="204"/>
      <c r="AYT25" s="204"/>
      <c r="AYU25" s="204"/>
      <c r="AYV25" s="204"/>
      <c r="AYW25" s="204"/>
      <c r="AYX25" s="204"/>
      <c r="AYY25" s="204"/>
      <c r="AYZ25" s="204"/>
      <c r="AZA25" s="204"/>
      <c r="AZB25" s="204"/>
      <c r="AZC25" s="204"/>
      <c r="AZD25" s="204"/>
      <c r="AZE25" s="204"/>
      <c r="AZF25" s="204"/>
      <c r="AZG25" s="204"/>
      <c r="AZH25" s="204"/>
      <c r="AZI25" s="204"/>
      <c r="AZJ25" s="204"/>
      <c r="AZK25" s="204"/>
      <c r="AZL25" s="204"/>
      <c r="AZM25" s="204"/>
      <c r="AZN25" s="204"/>
      <c r="AZO25" s="204"/>
      <c r="AZP25" s="204"/>
      <c r="AZQ25" s="204"/>
      <c r="AZR25" s="204"/>
      <c r="AZS25" s="204"/>
      <c r="AZT25" s="204"/>
      <c r="AZU25" s="204"/>
      <c r="AZV25" s="204"/>
      <c r="AZW25" s="204"/>
      <c r="AZX25" s="204"/>
      <c r="AZY25" s="204"/>
      <c r="AZZ25" s="204"/>
      <c r="BAA25" s="204"/>
      <c r="BAB25" s="204"/>
      <c r="BAC25" s="204"/>
      <c r="BAD25" s="204"/>
      <c r="BAE25" s="204"/>
      <c r="BAF25" s="204"/>
      <c r="BAG25" s="204"/>
      <c r="BAH25" s="204"/>
      <c r="BAI25" s="204"/>
      <c r="BAJ25" s="204"/>
      <c r="BAK25" s="204"/>
      <c r="BAL25" s="204"/>
      <c r="BAM25" s="204"/>
      <c r="BAN25" s="204"/>
      <c r="BAO25" s="204"/>
      <c r="BAP25" s="204"/>
      <c r="BAQ25" s="204"/>
      <c r="BAR25" s="204"/>
      <c r="BAS25" s="204"/>
      <c r="BAT25" s="204"/>
      <c r="BAU25" s="204"/>
      <c r="BAV25" s="204"/>
      <c r="BAW25" s="204"/>
      <c r="BAX25" s="204"/>
      <c r="BAY25" s="204"/>
      <c r="BAZ25" s="204"/>
      <c r="BBA25" s="204"/>
      <c r="BBB25" s="204"/>
      <c r="BBC25" s="204"/>
      <c r="BBD25" s="204"/>
      <c r="BBE25" s="204"/>
      <c r="BBF25" s="204"/>
      <c r="BBG25" s="204"/>
      <c r="BBH25" s="204"/>
      <c r="BBI25" s="204"/>
      <c r="BBJ25" s="204"/>
      <c r="BBK25" s="204"/>
      <c r="BBL25" s="204"/>
      <c r="BBM25" s="204"/>
      <c r="BBN25" s="204"/>
      <c r="BBO25" s="204"/>
      <c r="BBP25" s="204"/>
      <c r="BBQ25" s="204"/>
      <c r="BBR25" s="204"/>
      <c r="BBS25" s="204"/>
      <c r="BBT25" s="204"/>
      <c r="BBU25" s="204"/>
      <c r="BBV25" s="204"/>
      <c r="BBW25" s="204"/>
      <c r="BBX25" s="204"/>
      <c r="BBY25" s="204"/>
      <c r="BBZ25" s="204"/>
      <c r="BCA25" s="204"/>
      <c r="BCB25" s="204"/>
      <c r="BCC25" s="204"/>
      <c r="BCD25" s="204"/>
      <c r="BCE25" s="204"/>
      <c r="BCF25" s="204"/>
      <c r="BCG25" s="204"/>
      <c r="BCH25" s="204"/>
      <c r="BCI25" s="204"/>
      <c r="BCJ25" s="204"/>
      <c r="BCK25" s="204"/>
      <c r="BCL25" s="204"/>
      <c r="BCM25" s="204"/>
      <c r="BCN25" s="204"/>
      <c r="BCO25" s="204"/>
      <c r="BCP25" s="204"/>
      <c r="BCQ25" s="204"/>
      <c r="BCR25" s="204"/>
      <c r="BCS25" s="204"/>
      <c r="BCT25" s="204"/>
      <c r="BCU25" s="204"/>
      <c r="BCV25" s="204"/>
      <c r="BCW25" s="204"/>
      <c r="BCX25" s="204"/>
      <c r="BCY25" s="204"/>
      <c r="BCZ25" s="204"/>
      <c r="BDA25" s="204"/>
      <c r="BDB25" s="204"/>
      <c r="BDC25" s="204"/>
      <c r="BDD25" s="204"/>
      <c r="BDE25" s="204"/>
      <c r="BDF25" s="204"/>
      <c r="BDG25" s="204"/>
      <c r="BDH25" s="204"/>
      <c r="BDI25" s="204"/>
      <c r="BDJ25" s="204"/>
      <c r="BDK25" s="204"/>
      <c r="BDL25" s="204"/>
      <c r="BDM25" s="204"/>
      <c r="BDN25" s="204"/>
      <c r="BDO25" s="204"/>
      <c r="BDP25" s="204"/>
      <c r="BDQ25" s="204"/>
      <c r="BDR25" s="204"/>
      <c r="BDS25" s="204"/>
      <c r="BDT25" s="204"/>
      <c r="BDU25" s="204"/>
      <c r="BDV25" s="204"/>
      <c r="BDW25" s="204"/>
      <c r="BDX25" s="204"/>
      <c r="BDY25" s="204"/>
      <c r="BDZ25" s="204"/>
      <c r="BEA25" s="204"/>
      <c r="BEB25" s="204"/>
      <c r="BEC25" s="204"/>
      <c r="BED25" s="204"/>
      <c r="BEE25" s="204"/>
      <c r="BEF25" s="204"/>
      <c r="BEG25" s="204"/>
      <c r="BEH25" s="204"/>
      <c r="BEI25" s="204"/>
      <c r="BEJ25" s="204"/>
      <c r="BEK25" s="204"/>
      <c r="BEL25" s="204"/>
      <c r="BEM25" s="204"/>
      <c r="BEN25" s="204"/>
      <c r="BEO25" s="204"/>
      <c r="BEP25" s="204"/>
      <c r="BEQ25" s="204"/>
      <c r="BER25" s="204"/>
      <c r="BES25" s="204"/>
      <c r="BET25" s="204"/>
      <c r="BEU25" s="204"/>
      <c r="BEV25" s="204"/>
      <c r="BEW25" s="204"/>
      <c r="BEX25" s="204"/>
      <c r="BEY25" s="204"/>
      <c r="BEZ25" s="204"/>
      <c r="BFA25" s="204"/>
      <c r="BFB25" s="204"/>
      <c r="BFC25" s="204"/>
      <c r="BFD25" s="204"/>
      <c r="BFE25" s="204"/>
      <c r="BFF25" s="204"/>
      <c r="BFG25" s="204"/>
      <c r="BFH25" s="204"/>
      <c r="BFI25" s="204"/>
      <c r="BFJ25" s="204"/>
      <c r="BFK25" s="204"/>
      <c r="BFL25" s="204"/>
      <c r="BFM25" s="204"/>
      <c r="BFN25" s="204"/>
      <c r="BFO25" s="204"/>
      <c r="BFP25" s="204"/>
      <c r="BFQ25" s="204"/>
      <c r="BFR25" s="204"/>
      <c r="BFS25" s="204"/>
      <c r="BFT25" s="204"/>
      <c r="BFU25" s="204"/>
      <c r="BFV25" s="204"/>
      <c r="BFW25" s="204"/>
      <c r="BFX25" s="204"/>
      <c r="BFY25" s="204"/>
      <c r="BFZ25" s="204"/>
      <c r="BGA25" s="204"/>
      <c r="BGB25" s="204"/>
      <c r="BGC25" s="204"/>
      <c r="BGD25" s="204"/>
      <c r="BGE25" s="204"/>
      <c r="BGF25" s="204"/>
      <c r="BGG25" s="204"/>
      <c r="BGH25" s="204"/>
      <c r="BGI25" s="204"/>
      <c r="BGJ25" s="204"/>
      <c r="BGK25" s="204"/>
      <c r="BGL25" s="204"/>
      <c r="BGM25" s="204"/>
      <c r="BGN25" s="204"/>
      <c r="BGO25" s="204"/>
      <c r="BGP25" s="204"/>
      <c r="BGQ25" s="204"/>
      <c r="BGR25" s="204"/>
      <c r="BGS25" s="204"/>
      <c r="BGT25" s="204"/>
      <c r="BGU25" s="204"/>
      <c r="BGV25" s="204"/>
      <c r="BGW25" s="204"/>
      <c r="BGX25" s="204"/>
      <c r="BGY25" s="204"/>
      <c r="BGZ25" s="204"/>
      <c r="BHA25" s="204"/>
      <c r="BHB25" s="204"/>
      <c r="BHC25" s="204"/>
      <c r="BHD25" s="204"/>
      <c r="BHE25" s="204"/>
      <c r="BHF25" s="204"/>
      <c r="BHG25" s="204"/>
      <c r="BHH25" s="204"/>
      <c r="BHI25" s="204"/>
      <c r="BHJ25" s="204"/>
      <c r="BHK25" s="204"/>
      <c r="BHL25" s="204"/>
      <c r="BHM25" s="204"/>
      <c r="BHN25" s="204"/>
      <c r="BHO25" s="204"/>
      <c r="BHP25" s="204"/>
      <c r="BHQ25" s="204"/>
      <c r="BHR25" s="204"/>
      <c r="BHS25" s="204"/>
      <c r="BHT25" s="204"/>
      <c r="BHU25" s="204"/>
      <c r="BHV25" s="204"/>
      <c r="BHW25" s="204"/>
      <c r="BHX25" s="204"/>
      <c r="BHY25" s="204"/>
      <c r="BHZ25" s="204"/>
      <c r="BIA25" s="204"/>
      <c r="BIB25" s="204"/>
      <c r="BIC25" s="204"/>
      <c r="BID25" s="204"/>
      <c r="BIE25" s="204"/>
      <c r="BIF25" s="204"/>
      <c r="BIG25" s="204"/>
      <c r="BIH25" s="204"/>
      <c r="BII25" s="204"/>
      <c r="BIJ25" s="204"/>
      <c r="BIK25" s="204"/>
      <c r="BIL25" s="204"/>
      <c r="BIM25" s="204"/>
      <c r="BIN25" s="204"/>
      <c r="BIO25" s="204"/>
      <c r="BIP25" s="204"/>
      <c r="BIQ25" s="204"/>
      <c r="BIR25" s="204"/>
      <c r="BIS25" s="204"/>
      <c r="BIT25" s="204"/>
      <c r="BIU25" s="204"/>
      <c r="BIV25" s="204"/>
      <c r="BIW25" s="204"/>
      <c r="BIX25" s="204"/>
      <c r="BIY25" s="204"/>
      <c r="BIZ25" s="204"/>
      <c r="BJA25" s="204"/>
      <c r="BJB25" s="204"/>
      <c r="BJC25" s="204"/>
      <c r="BJD25" s="204"/>
      <c r="BJE25" s="204"/>
      <c r="BJF25" s="204"/>
      <c r="BJG25" s="204"/>
      <c r="BJH25" s="204"/>
      <c r="BJI25" s="204"/>
      <c r="BJJ25" s="204"/>
      <c r="BJK25" s="204"/>
      <c r="BJL25" s="204"/>
      <c r="BJM25" s="204"/>
      <c r="BJN25" s="204"/>
      <c r="BJO25" s="204"/>
      <c r="BJP25" s="204"/>
      <c r="BJQ25" s="204"/>
      <c r="BJR25" s="204"/>
      <c r="BJS25" s="204"/>
      <c r="BJT25" s="204"/>
      <c r="BJU25" s="204"/>
      <c r="BJV25" s="204"/>
      <c r="BJW25" s="204"/>
      <c r="BJX25" s="204"/>
      <c r="BJY25" s="204"/>
      <c r="BJZ25" s="204"/>
      <c r="BKA25" s="204"/>
      <c r="BKB25" s="204"/>
      <c r="BKC25" s="204"/>
      <c r="BKD25" s="204"/>
      <c r="BKE25" s="204"/>
      <c r="BKF25" s="204"/>
      <c r="BKG25" s="204"/>
      <c r="BKH25" s="204"/>
      <c r="BKI25" s="204"/>
      <c r="BKJ25" s="204"/>
      <c r="BKK25" s="204"/>
      <c r="BKL25" s="204"/>
      <c r="BKM25" s="204"/>
      <c r="BKN25" s="204"/>
      <c r="BKO25" s="204"/>
      <c r="BKP25" s="204"/>
      <c r="BKQ25" s="204"/>
      <c r="BKR25" s="204"/>
      <c r="BKS25" s="204"/>
      <c r="BKT25" s="204"/>
      <c r="BKU25" s="204"/>
      <c r="BKV25" s="204"/>
      <c r="BKW25" s="204"/>
      <c r="BKX25" s="204"/>
      <c r="BKY25" s="204"/>
      <c r="BKZ25" s="204"/>
      <c r="BLA25" s="204"/>
      <c r="BLB25" s="204"/>
      <c r="BLC25" s="204"/>
      <c r="BLD25" s="204"/>
      <c r="BLE25" s="204"/>
      <c r="BLF25" s="204"/>
      <c r="BLG25" s="204"/>
      <c r="BLH25" s="204"/>
      <c r="BLI25" s="204"/>
      <c r="BLJ25" s="204"/>
      <c r="BLK25" s="204"/>
      <c r="BLL25" s="204"/>
      <c r="BLM25" s="204"/>
      <c r="BLN25" s="204"/>
      <c r="BLO25" s="204"/>
      <c r="BLP25" s="204"/>
      <c r="BLQ25" s="204"/>
      <c r="BLR25" s="204"/>
      <c r="BLS25" s="204"/>
      <c r="BLT25" s="204"/>
      <c r="BLU25" s="204"/>
      <c r="BLV25" s="204"/>
      <c r="BLW25" s="204"/>
      <c r="BLX25" s="204"/>
      <c r="BLY25" s="204"/>
      <c r="BLZ25" s="204"/>
      <c r="BMA25" s="204"/>
      <c r="BMB25" s="204"/>
      <c r="BMC25" s="204"/>
      <c r="BMD25" s="204"/>
      <c r="BME25" s="204"/>
      <c r="BMF25" s="204"/>
      <c r="BMG25" s="204"/>
      <c r="BMH25" s="204"/>
      <c r="BMI25" s="204"/>
      <c r="BMJ25" s="204"/>
      <c r="BMK25" s="204"/>
      <c r="BML25" s="204"/>
      <c r="BMM25" s="204"/>
      <c r="BMN25" s="204"/>
      <c r="BMO25" s="204"/>
      <c r="BMP25" s="204"/>
      <c r="BMQ25" s="204"/>
      <c r="BMR25" s="204"/>
      <c r="BMS25" s="204"/>
      <c r="BMT25" s="204"/>
      <c r="BMU25" s="204"/>
      <c r="BMV25" s="204"/>
      <c r="BMW25" s="204"/>
      <c r="BMX25" s="204"/>
      <c r="BMY25" s="204"/>
      <c r="BMZ25" s="204"/>
      <c r="BNA25" s="204"/>
      <c r="BNB25" s="204"/>
      <c r="BNC25" s="204"/>
      <c r="BND25" s="204"/>
      <c r="BNE25" s="204"/>
      <c r="BNF25" s="204"/>
      <c r="BNG25" s="204"/>
      <c r="BNH25" s="204"/>
      <c r="BNI25" s="204"/>
      <c r="BNJ25" s="204"/>
      <c r="BNK25" s="204"/>
      <c r="BNL25" s="204"/>
      <c r="BNM25" s="204"/>
      <c r="BNN25" s="204"/>
      <c r="BNO25" s="204"/>
      <c r="BNP25" s="204"/>
      <c r="BNQ25" s="204"/>
      <c r="BNR25" s="204"/>
      <c r="BNS25" s="204"/>
      <c r="BNT25" s="204"/>
      <c r="BNU25" s="204"/>
      <c r="BNV25" s="204"/>
      <c r="BNW25" s="204"/>
      <c r="BNX25" s="204"/>
      <c r="BNY25" s="204"/>
      <c r="BNZ25" s="204"/>
      <c r="BOA25" s="204"/>
      <c r="BOB25" s="204"/>
      <c r="BOC25" s="204"/>
      <c r="BOD25" s="204"/>
      <c r="BOE25" s="204"/>
      <c r="BOF25" s="204"/>
      <c r="BOG25" s="204"/>
      <c r="BOH25" s="204"/>
      <c r="BOI25" s="204"/>
      <c r="BOJ25" s="204"/>
      <c r="BOK25" s="204"/>
      <c r="BOL25" s="204"/>
      <c r="BOM25" s="204"/>
      <c r="BON25" s="204"/>
      <c r="BOO25" s="204"/>
      <c r="BOP25" s="204"/>
      <c r="BOQ25" s="204"/>
      <c r="BOR25" s="204"/>
      <c r="BOS25" s="204"/>
      <c r="BOT25" s="204"/>
      <c r="BOU25" s="204"/>
      <c r="BOV25" s="204"/>
      <c r="BOW25" s="204"/>
      <c r="BOX25" s="204"/>
      <c r="BOY25" s="204"/>
      <c r="BOZ25" s="204"/>
      <c r="BPA25" s="204"/>
      <c r="BPB25" s="204"/>
      <c r="BPC25" s="204"/>
      <c r="BPD25" s="204"/>
      <c r="BPE25" s="204"/>
      <c r="BPF25" s="204"/>
      <c r="BPG25" s="204"/>
      <c r="BPH25" s="204"/>
      <c r="BPI25" s="204"/>
      <c r="BPJ25" s="204"/>
      <c r="BPK25" s="204"/>
      <c r="BPL25" s="204"/>
      <c r="BPM25" s="204"/>
      <c r="BPN25" s="204"/>
      <c r="BPO25" s="204"/>
      <c r="BPP25" s="204"/>
      <c r="BPQ25" s="204"/>
      <c r="BPR25" s="204"/>
      <c r="BPS25" s="204"/>
      <c r="BPT25" s="204"/>
      <c r="BPU25" s="204"/>
      <c r="BPV25" s="204"/>
      <c r="BPW25" s="204"/>
      <c r="BPX25" s="204"/>
      <c r="BPY25" s="204"/>
      <c r="BPZ25" s="204"/>
      <c r="BQA25" s="204"/>
      <c r="BQB25" s="204"/>
      <c r="BQC25" s="204"/>
      <c r="BQD25" s="204"/>
      <c r="BQE25" s="204"/>
      <c r="BQF25" s="204"/>
      <c r="BQG25" s="204"/>
      <c r="BQH25" s="204"/>
      <c r="BQI25" s="204"/>
      <c r="BQJ25" s="204"/>
      <c r="BQK25" s="204"/>
      <c r="BQL25" s="204"/>
      <c r="BQM25" s="204"/>
      <c r="BQN25" s="204"/>
      <c r="BQO25" s="204"/>
      <c r="BQP25" s="204"/>
      <c r="BQQ25" s="204"/>
      <c r="BQR25" s="204"/>
      <c r="BQS25" s="204"/>
      <c r="BQT25" s="204"/>
      <c r="BQU25" s="204"/>
      <c r="BQV25" s="204"/>
      <c r="BQW25" s="204"/>
      <c r="BQX25" s="204"/>
      <c r="BQY25" s="204"/>
      <c r="BQZ25" s="204"/>
      <c r="BRA25" s="204"/>
      <c r="BRB25" s="204"/>
      <c r="BRC25" s="204"/>
      <c r="BRD25" s="204"/>
      <c r="BRE25" s="204"/>
      <c r="BRF25" s="204"/>
      <c r="BRG25" s="204"/>
      <c r="BRH25" s="204"/>
      <c r="BRI25" s="204"/>
      <c r="BRJ25" s="204"/>
      <c r="BRK25" s="204"/>
      <c r="BRL25" s="204"/>
      <c r="BRM25" s="204"/>
      <c r="BRN25" s="204"/>
      <c r="BRO25" s="204"/>
      <c r="BRP25" s="204"/>
      <c r="BRQ25" s="204"/>
      <c r="BRR25" s="204"/>
      <c r="BRS25" s="204"/>
      <c r="BRT25" s="204"/>
      <c r="BRU25" s="204"/>
      <c r="BRV25" s="204"/>
      <c r="BRW25" s="204"/>
      <c r="BRX25" s="204"/>
      <c r="BRY25" s="204"/>
      <c r="BRZ25" s="204"/>
      <c r="BSA25" s="204"/>
      <c r="BSB25" s="204"/>
      <c r="BSC25" s="204"/>
      <c r="BSD25" s="204"/>
      <c r="BSE25" s="204"/>
      <c r="BSF25" s="204"/>
      <c r="BSG25" s="204"/>
      <c r="BSH25" s="204"/>
      <c r="BSI25" s="204"/>
      <c r="BSJ25" s="204"/>
      <c r="BSK25" s="204"/>
      <c r="BSL25" s="204"/>
      <c r="BSM25" s="204"/>
      <c r="BSN25" s="204"/>
      <c r="BSO25" s="204"/>
      <c r="BSP25" s="204"/>
      <c r="BSQ25" s="204"/>
      <c r="BSR25" s="204"/>
      <c r="BSS25" s="204"/>
      <c r="BST25" s="204"/>
      <c r="BSU25" s="204"/>
      <c r="BSV25" s="204"/>
      <c r="BSW25" s="204"/>
      <c r="BSX25" s="204"/>
      <c r="BSY25" s="204"/>
      <c r="BSZ25" s="204"/>
      <c r="BTA25" s="204"/>
      <c r="BTB25" s="204"/>
      <c r="BTC25" s="204"/>
      <c r="BTD25" s="204"/>
      <c r="BTE25" s="204"/>
      <c r="BTF25" s="204"/>
      <c r="BTG25" s="204"/>
      <c r="BTH25" s="204"/>
      <c r="BTI25" s="204"/>
      <c r="BTJ25" s="204"/>
      <c r="BTK25" s="204"/>
      <c r="BTL25" s="204"/>
      <c r="BTM25" s="204"/>
      <c r="BTN25" s="204"/>
      <c r="BTO25" s="204"/>
      <c r="BTP25" s="204"/>
      <c r="BTQ25" s="204"/>
      <c r="BTR25" s="204"/>
      <c r="BTS25" s="204"/>
      <c r="BTT25" s="204"/>
      <c r="BTU25" s="204"/>
      <c r="BTV25" s="204"/>
      <c r="BTW25" s="204"/>
      <c r="BTX25" s="204"/>
      <c r="BTY25" s="204"/>
      <c r="BTZ25" s="204"/>
      <c r="BUA25" s="204"/>
      <c r="BUB25" s="204"/>
      <c r="BUC25" s="204"/>
      <c r="BUD25" s="204"/>
      <c r="BUE25" s="204"/>
      <c r="BUF25" s="204"/>
      <c r="BUG25" s="204"/>
      <c r="BUH25" s="204"/>
      <c r="BUI25" s="204"/>
      <c r="BUJ25" s="204"/>
      <c r="BUK25" s="204"/>
      <c r="BUL25" s="204"/>
      <c r="BUM25" s="204"/>
      <c r="BUN25" s="204"/>
      <c r="BUO25" s="204"/>
      <c r="BUP25" s="204"/>
      <c r="BUQ25" s="204"/>
      <c r="BUR25" s="204"/>
      <c r="BUS25" s="204"/>
      <c r="BUT25" s="204"/>
      <c r="BUU25" s="204"/>
      <c r="BUV25" s="204"/>
      <c r="BUW25" s="204"/>
      <c r="BUX25" s="204"/>
      <c r="BUY25" s="204"/>
      <c r="BUZ25" s="204"/>
      <c r="BVA25" s="204"/>
      <c r="BVB25" s="204"/>
      <c r="BVC25" s="204"/>
      <c r="BVD25" s="204"/>
      <c r="BVE25" s="204"/>
      <c r="BVF25" s="204"/>
      <c r="BVG25" s="204"/>
      <c r="BVH25" s="204"/>
      <c r="BVI25" s="204"/>
      <c r="BVJ25" s="204"/>
      <c r="BVK25" s="204"/>
      <c r="BVL25" s="204"/>
      <c r="BVM25" s="204"/>
      <c r="BVN25" s="204"/>
      <c r="BVO25" s="204"/>
      <c r="BVP25" s="204"/>
      <c r="BVQ25" s="204"/>
      <c r="BVR25" s="204"/>
      <c r="BVS25" s="204"/>
      <c r="BVT25" s="204"/>
      <c r="BVU25" s="204"/>
      <c r="BVV25" s="204"/>
      <c r="BVW25" s="204"/>
      <c r="BVX25" s="204"/>
      <c r="BVY25" s="204"/>
      <c r="BVZ25" s="204"/>
      <c r="BWA25" s="204"/>
      <c r="BWB25" s="204"/>
      <c r="BWC25" s="204"/>
      <c r="BWD25" s="204"/>
      <c r="BWE25" s="204"/>
      <c r="BWF25" s="204"/>
      <c r="BWG25" s="204"/>
      <c r="BWH25" s="204"/>
      <c r="BWI25" s="204"/>
      <c r="BWJ25" s="204"/>
      <c r="BWK25" s="204"/>
      <c r="BWL25" s="204"/>
      <c r="BWM25" s="204"/>
      <c r="BWN25" s="204"/>
      <c r="BWO25" s="204"/>
      <c r="BWP25" s="204"/>
      <c r="BWQ25" s="204"/>
      <c r="BWR25" s="204"/>
      <c r="BWS25" s="204"/>
      <c r="BWT25" s="204"/>
      <c r="BWU25" s="204"/>
      <c r="BWV25" s="204"/>
      <c r="BWW25" s="204"/>
      <c r="BWX25" s="204"/>
      <c r="BWY25" s="204"/>
      <c r="BWZ25" s="204"/>
      <c r="BXA25" s="204"/>
      <c r="BXB25" s="204"/>
      <c r="BXC25" s="204"/>
      <c r="BXD25" s="204"/>
      <c r="BXE25" s="204"/>
      <c r="BXF25" s="204"/>
      <c r="BXG25" s="204"/>
      <c r="BXH25" s="204"/>
      <c r="BXI25" s="204"/>
      <c r="BXJ25" s="204"/>
      <c r="BXK25" s="204"/>
      <c r="BXL25" s="204"/>
      <c r="BXM25" s="204"/>
      <c r="BXN25" s="204"/>
      <c r="BXO25" s="204"/>
      <c r="BXP25" s="204"/>
      <c r="BXQ25" s="204"/>
      <c r="BXR25" s="204"/>
      <c r="BXS25" s="204"/>
      <c r="BXT25" s="204"/>
      <c r="BXU25" s="204"/>
      <c r="BXV25" s="204"/>
      <c r="BXW25" s="204"/>
      <c r="BXX25" s="204"/>
      <c r="BXY25" s="204"/>
      <c r="BXZ25" s="204"/>
      <c r="BYA25" s="204"/>
      <c r="BYB25" s="204"/>
      <c r="BYC25" s="204"/>
      <c r="BYD25" s="204"/>
      <c r="BYE25" s="204"/>
      <c r="BYF25" s="204"/>
      <c r="BYG25" s="204"/>
      <c r="BYH25" s="204"/>
      <c r="BYI25" s="204"/>
      <c r="BYJ25" s="204"/>
      <c r="BYK25" s="204"/>
      <c r="BYL25" s="204"/>
      <c r="BYM25" s="204"/>
      <c r="BYN25" s="204"/>
      <c r="BYO25" s="204"/>
      <c r="BYP25" s="204"/>
      <c r="BYQ25" s="204"/>
      <c r="BYR25" s="204"/>
      <c r="BYS25" s="204"/>
      <c r="BYT25" s="204"/>
      <c r="BYU25" s="204"/>
      <c r="BYV25" s="204"/>
      <c r="BYW25" s="204"/>
      <c r="BYX25" s="204"/>
      <c r="BYY25" s="204"/>
      <c r="BYZ25" s="204"/>
      <c r="BZA25" s="204"/>
      <c r="BZB25" s="204"/>
      <c r="BZC25" s="204"/>
      <c r="BZD25" s="204"/>
      <c r="BZE25" s="204"/>
      <c r="BZF25" s="204"/>
      <c r="BZG25" s="204"/>
      <c r="BZH25" s="204"/>
      <c r="BZI25" s="204"/>
      <c r="BZJ25" s="204"/>
      <c r="BZK25" s="204"/>
      <c r="BZL25" s="204"/>
      <c r="BZM25" s="204"/>
      <c r="BZN25" s="204"/>
      <c r="BZO25" s="204"/>
      <c r="BZP25" s="204"/>
      <c r="BZQ25" s="204"/>
      <c r="BZR25" s="204"/>
      <c r="BZS25" s="204"/>
      <c r="BZT25" s="204"/>
      <c r="BZU25" s="204"/>
      <c r="BZV25" s="204"/>
      <c r="BZW25" s="204"/>
      <c r="BZX25" s="204"/>
      <c r="BZY25" s="204"/>
      <c r="BZZ25" s="204"/>
      <c r="CAA25" s="204"/>
      <c r="CAB25" s="204"/>
      <c r="CAC25" s="204"/>
      <c r="CAD25" s="204"/>
      <c r="CAE25" s="204"/>
      <c r="CAF25" s="204"/>
      <c r="CAG25" s="204"/>
      <c r="CAH25" s="204"/>
      <c r="CAI25" s="204"/>
      <c r="CAJ25" s="204"/>
      <c r="CAK25" s="204"/>
      <c r="CAL25" s="204"/>
      <c r="CAM25" s="204"/>
      <c r="CAN25" s="204"/>
      <c r="CAO25" s="204"/>
      <c r="CAP25" s="204"/>
      <c r="CAQ25" s="204"/>
      <c r="CAR25" s="204"/>
      <c r="CAS25" s="204"/>
      <c r="CAT25" s="204"/>
      <c r="CAU25" s="204"/>
      <c r="CAV25" s="204"/>
      <c r="CAW25" s="204"/>
      <c r="CAX25" s="204"/>
      <c r="CAY25" s="204"/>
      <c r="CAZ25" s="204"/>
      <c r="CBA25" s="204"/>
      <c r="CBB25" s="204"/>
      <c r="CBC25" s="204"/>
      <c r="CBD25" s="204"/>
      <c r="CBE25" s="204"/>
      <c r="CBF25" s="204"/>
      <c r="CBG25" s="204"/>
      <c r="CBH25" s="204"/>
      <c r="CBI25" s="204"/>
      <c r="CBJ25" s="204"/>
      <c r="CBK25" s="204"/>
      <c r="CBL25" s="204"/>
      <c r="CBM25" s="204"/>
      <c r="CBN25" s="204"/>
      <c r="CBO25" s="204"/>
      <c r="CBP25" s="204"/>
      <c r="CBQ25" s="204"/>
      <c r="CBR25" s="204"/>
      <c r="CBS25" s="204"/>
      <c r="CBT25" s="204"/>
      <c r="CBU25" s="204"/>
      <c r="CBV25" s="204"/>
      <c r="CBW25" s="204"/>
      <c r="CBX25" s="204"/>
      <c r="CBY25" s="204"/>
      <c r="CBZ25" s="204"/>
      <c r="CCA25" s="204"/>
      <c r="CCB25" s="204"/>
      <c r="CCC25" s="204"/>
      <c r="CCD25" s="204"/>
      <c r="CCE25" s="204"/>
      <c r="CCF25" s="204"/>
      <c r="CCG25" s="204"/>
      <c r="CCH25" s="204"/>
      <c r="CCI25" s="204"/>
      <c r="CCJ25" s="204"/>
      <c r="CCK25" s="204"/>
      <c r="CCL25" s="204"/>
      <c r="CCM25" s="204"/>
      <c r="CCN25" s="204"/>
      <c r="CCO25" s="204"/>
      <c r="CCP25" s="204"/>
      <c r="CCQ25" s="204"/>
      <c r="CCR25" s="204"/>
      <c r="CCS25" s="204"/>
      <c r="CCT25" s="204"/>
      <c r="CCU25" s="204"/>
      <c r="CCV25" s="204"/>
      <c r="CCW25" s="204"/>
      <c r="CCX25" s="204"/>
      <c r="CCY25" s="204"/>
      <c r="CCZ25" s="204"/>
      <c r="CDA25" s="204"/>
      <c r="CDB25" s="204"/>
      <c r="CDC25" s="204"/>
      <c r="CDD25" s="204"/>
      <c r="CDE25" s="204"/>
      <c r="CDF25" s="204"/>
      <c r="CDG25" s="204"/>
      <c r="CDH25" s="204"/>
      <c r="CDI25" s="204"/>
      <c r="CDJ25" s="204"/>
      <c r="CDK25" s="204"/>
      <c r="CDL25" s="204"/>
      <c r="CDM25" s="204"/>
      <c r="CDN25" s="204"/>
      <c r="CDO25" s="204"/>
      <c r="CDP25" s="204"/>
      <c r="CDQ25" s="204"/>
      <c r="CDR25" s="204"/>
      <c r="CDS25" s="204"/>
      <c r="CDT25" s="204"/>
      <c r="CDU25" s="204"/>
      <c r="CDV25" s="204"/>
      <c r="CDW25" s="204"/>
      <c r="CDX25" s="204"/>
      <c r="CDY25" s="204"/>
      <c r="CDZ25" s="204"/>
      <c r="CEA25" s="204"/>
      <c r="CEB25" s="204"/>
      <c r="CEC25" s="204"/>
      <c r="CED25" s="204"/>
      <c r="CEE25" s="204"/>
      <c r="CEF25" s="204"/>
      <c r="CEG25" s="204"/>
      <c r="CEH25" s="204"/>
      <c r="CEI25" s="204"/>
      <c r="CEJ25" s="204"/>
      <c r="CEK25" s="204"/>
      <c r="CEL25" s="204"/>
      <c r="CEM25" s="204"/>
      <c r="CEN25" s="204"/>
      <c r="CEO25" s="204"/>
      <c r="CEP25" s="204"/>
      <c r="CEQ25" s="204"/>
      <c r="CER25" s="204"/>
      <c r="CES25" s="204"/>
      <c r="CET25" s="204"/>
      <c r="CEU25" s="204"/>
      <c r="CEV25" s="204"/>
      <c r="CEW25" s="204"/>
      <c r="CEX25" s="204"/>
      <c r="CEY25" s="204"/>
      <c r="CEZ25" s="204"/>
      <c r="CFA25" s="204"/>
      <c r="CFB25" s="204"/>
      <c r="CFC25" s="204"/>
      <c r="CFD25" s="204"/>
      <c r="CFE25" s="204"/>
      <c r="CFF25" s="204"/>
      <c r="CFG25" s="204"/>
      <c r="CFH25" s="204"/>
      <c r="CFI25" s="204"/>
      <c r="CFJ25" s="204"/>
      <c r="CFK25" s="204"/>
      <c r="CFL25" s="204"/>
      <c r="CFM25" s="204"/>
      <c r="CFN25" s="204"/>
      <c r="CFO25" s="204"/>
      <c r="CFP25" s="204"/>
      <c r="CFQ25" s="204"/>
      <c r="CFR25" s="204"/>
      <c r="CFS25" s="204"/>
      <c r="CFT25" s="204"/>
      <c r="CFU25" s="204"/>
      <c r="CFV25" s="204"/>
      <c r="CFW25" s="204"/>
      <c r="CFX25" s="204"/>
      <c r="CFY25" s="204"/>
      <c r="CFZ25" s="204"/>
      <c r="CGA25" s="204"/>
      <c r="CGB25" s="204"/>
      <c r="CGC25" s="204"/>
      <c r="CGD25" s="204"/>
      <c r="CGE25" s="204"/>
      <c r="CGF25" s="204"/>
      <c r="CGG25" s="204"/>
      <c r="CGH25" s="204"/>
      <c r="CGI25" s="204"/>
      <c r="CGJ25" s="204"/>
      <c r="CGK25" s="204"/>
      <c r="CGL25" s="204"/>
      <c r="CGM25" s="204"/>
      <c r="CGN25" s="204"/>
      <c r="CGO25" s="204"/>
      <c r="CGP25" s="204"/>
      <c r="CGQ25" s="204"/>
      <c r="CGR25" s="204"/>
      <c r="CGS25" s="204"/>
      <c r="CGT25" s="204"/>
      <c r="CGU25" s="204"/>
      <c r="CGV25" s="204"/>
      <c r="CGW25" s="204"/>
      <c r="CGX25" s="204"/>
      <c r="CGY25" s="204"/>
      <c r="CGZ25" s="204"/>
      <c r="CHA25" s="204"/>
      <c r="CHB25" s="204"/>
      <c r="CHC25" s="204"/>
      <c r="CHD25" s="204"/>
      <c r="CHE25" s="204"/>
      <c r="CHF25" s="204"/>
      <c r="CHG25" s="204"/>
      <c r="CHH25" s="204"/>
      <c r="CHI25" s="204"/>
      <c r="CHJ25" s="204"/>
      <c r="CHK25" s="204"/>
      <c r="CHL25" s="204"/>
      <c r="CHM25" s="204"/>
      <c r="CHN25" s="204"/>
      <c r="CHO25" s="204"/>
      <c r="CHP25" s="204"/>
      <c r="CHQ25" s="204"/>
      <c r="CHR25" s="204"/>
      <c r="CHS25" s="204"/>
      <c r="CHT25" s="204"/>
      <c r="CHU25" s="204"/>
      <c r="CHV25" s="204"/>
      <c r="CHW25" s="204"/>
      <c r="CHX25" s="204"/>
      <c r="CHY25" s="204"/>
      <c r="CHZ25" s="204"/>
      <c r="CIA25" s="204"/>
      <c r="CIB25" s="204"/>
      <c r="CIC25" s="204"/>
      <c r="CID25" s="204"/>
      <c r="CIE25" s="204"/>
      <c r="CIF25" s="204"/>
      <c r="CIG25" s="204"/>
      <c r="CIH25" s="204"/>
      <c r="CII25" s="204"/>
      <c r="CIJ25" s="204"/>
      <c r="CIK25" s="204"/>
      <c r="CIL25" s="204"/>
      <c r="CIM25" s="204"/>
      <c r="CIN25" s="204"/>
      <c r="CIO25" s="204"/>
      <c r="CIP25" s="204"/>
      <c r="CIQ25" s="204"/>
      <c r="CIR25" s="204"/>
      <c r="CIS25" s="204"/>
      <c r="CIT25" s="204"/>
      <c r="CIU25" s="204"/>
      <c r="CIV25" s="204"/>
      <c r="CIW25" s="204"/>
      <c r="CIX25" s="204"/>
      <c r="CIY25" s="204"/>
      <c r="CIZ25" s="204"/>
      <c r="CJA25" s="204"/>
      <c r="CJB25" s="204"/>
      <c r="CJC25" s="204"/>
      <c r="CJD25" s="204"/>
      <c r="CJE25" s="204"/>
      <c r="CJF25" s="204"/>
      <c r="CJG25" s="204"/>
      <c r="CJH25" s="204"/>
      <c r="CJI25" s="204"/>
      <c r="CJJ25" s="204"/>
      <c r="CJK25" s="204"/>
      <c r="CJL25" s="204"/>
      <c r="CJM25" s="204"/>
      <c r="CJN25" s="204"/>
      <c r="CJO25" s="204"/>
      <c r="CJP25" s="204"/>
      <c r="CJQ25" s="204"/>
      <c r="CJR25" s="204"/>
      <c r="CJS25" s="204"/>
      <c r="CJT25" s="204"/>
      <c r="CJU25" s="204"/>
      <c r="CJV25" s="204"/>
      <c r="CJW25" s="204"/>
      <c r="CJX25" s="204"/>
      <c r="CJY25" s="204"/>
      <c r="CJZ25" s="204"/>
      <c r="CKA25" s="204"/>
      <c r="CKB25" s="204"/>
      <c r="CKC25" s="204"/>
      <c r="CKD25" s="204"/>
      <c r="CKE25" s="204"/>
      <c r="CKF25" s="204"/>
      <c r="CKG25" s="204"/>
      <c r="CKH25" s="204"/>
      <c r="CKI25" s="204"/>
      <c r="CKJ25" s="204"/>
      <c r="CKK25" s="204"/>
      <c r="CKL25" s="204"/>
      <c r="CKM25" s="204"/>
      <c r="CKN25" s="204"/>
      <c r="CKO25" s="204"/>
      <c r="CKP25" s="204"/>
      <c r="CKQ25" s="204"/>
      <c r="CKR25" s="204"/>
      <c r="CKS25" s="204"/>
      <c r="CKT25" s="204"/>
      <c r="CKU25" s="204"/>
      <c r="CKV25" s="204"/>
      <c r="CKW25" s="204"/>
      <c r="CKX25" s="204"/>
      <c r="CKY25" s="204"/>
      <c r="CKZ25" s="204"/>
      <c r="CLA25" s="204"/>
      <c r="CLB25" s="204"/>
      <c r="CLC25" s="204"/>
      <c r="CLD25" s="204"/>
      <c r="CLE25" s="204"/>
      <c r="CLF25" s="204"/>
      <c r="CLG25" s="204"/>
      <c r="CLH25" s="204"/>
      <c r="CLI25" s="204"/>
      <c r="CLJ25" s="204"/>
      <c r="CLK25" s="204"/>
      <c r="CLL25" s="204"/>
      <c r="CLM25" s="204"/>
      <c r="CLN25" s="204"/>
      <c r="CLO25" s="204"/>
      <c r="CLP25" s="204"/>
      <c r="CLQ25" s="204"/>
      <c r="CLR25" s="204"/>
      <c r="CLS25" s="204"/>
      <c r="CLT25" s="204"/>
      <c r="CLU25" s="204"/>
      <c r="CLV25" s="204"/>
      <c r="CLW25" s="204"/>
      <c r="CLX25" s="204"/>
      <c r="CLY25" s="204"/>
      <c r="CLZ25" s="204"/>
      <c r="CMA25" s="204"/>
      <c r="CMB25" s="204"/>
      <c r="CMC25" s="204"/>
      <c r="CMD25" s="204"/>
      <c r="CME25" s="204"/>
      <c r="CMF25" s="204"/>
      <c r="CMG25" s="204"/>
      <c r="CMH25" s="204"/>
      <c r="CMI25" s="204"/>
      <c r="CMJ25" s="204"/>
      <c r="CMK25" s="204"/>
      <c r="CML25" s="204"/>
      <c r="CMM25" s="204"/>
      <c r="CMN25" s="204"/>
      <c r="CMO25" s="204"/>
      <c r="CMP25" s="204"/>
      <c r="CMQ25" s="204"/>
      <c r="CMR25" s="204"/>
      <c r="CMS25" s="204"/>
      <c r="CMT25" s="204"/>
      <c r="CMU25" s="204"/>
      <c r="CMV25" s="204"/>
      <c r="CMW25" s="204"/>
      <c r="CMX25" s="204"/>
      <c r="CMY25" s="204"/>
      <c r="CMZ25" s="204"/>
      <c r="CNA25" s="204"/>
      <c r="CNB25" s="204"/>
      <c r="CNC25" s="204"/>
      <c r="CND25" s="204"/>
      <c r="CNE25" s="204"/>
      <c r="CNF25" s="204"/>
      <c r="CNG25" s="204"/>
      <c r="CNH25" s="204"/>
      <c r="CNI25" s="204"/>
      <c r="CNJ25" s="204"/>
      <c r="CNK25" s="204"/>
      <c r="CNL25" s="204"/>
      <c r="CNM25" s="204"/>
      <c r="CNN25" s="204"/>
      <c r="CNO25" s="204"/>
      <c r="CNP25" s="204"/>
      <c r="CNQ25" s="204"/>
      <c r="CNR25" s="204"/>
      <c r="CNS25" s="204"/>
      <c r="CNT25" s="204"/>
      <c r="CNU25" s="204"/>
      <c r="CNV25" s="204"/>
      <c r="CNW25" s="204"/>
      <c r="CNX25" s="204"/>
      <c r="CNY25" s="204"/>
      <c r="CNZ25" s="204"/>
      <c r="COA25" s="204"/>
      <c r="COB25" s="204"/>
      <c r="COC25" s="204"/>
      <c r="COD25" s="204"/>
      <c r="COE25" s="204"/>
      <c r="COF25" s="204"/>
      <c r="COG25" s="204"/>
      <c r="COH25" s="204"/>
      <c r="COI25" s="204"/>
      <c r="COJ25" s="204"/>
      <c r="COK25" s="204"/>
      <c r="COL25" s="204"/>
      <c r="COM25" s="204"/>
      <c r="CON25" s="204"/>
      <c r="COO25" s="204"/>
      <c r="COP25" s="204"/>
      <c r="COQ25" s="204"/>
      <c r="COR25" s="204"/>
      <c r="COS25" s="204"/>
      <c r="COT25" s="204"/>
      <c r="COU25" s="204"/>
      <c r="COV25" s="204"/>
      <c r="COW25" s="204"/>
      <c r="COX25" s="204"/>
      <c r="COY25" s="204"/>
      <c r="COZ25" s="204"/>
      <c r="CPA25" s="204"/>
      <c r="CPB25" s="204"/>
      <c r="CPC25" s="204"/>
      <c r="CPD25" s="204"/>
      <c r="CPE25" s="204"/>
      <c r="CPF25" s="204"/>
      <c r="CPG25" s="204"/>
      <c r="CPH25" s="204"/>
      <c r="CPI25" s="204"/>
      <c r="CPJ25" s="204"/>
      <c r="CPK25" s="204"/>
      <c r="CPL25" s="204"/>
      <c r="CPM25" s="204"/>
      <c r="CPN25" s="204"/>
      <c r="CPO25" s="204"/>
      <c r="CPP25" s="204"/>
      <c r="CPQ25" s="204"/>
      <c r="CPR25" s="204"/>
      <c r="CPS25" s="204"/>
      <c r="CPT25" s="204"/>
      <c r="CPU25" s="204"/>
      <c r="CPV25" s="204"/>
      <c r="CPW25" s="204"/>
      <c r="CPX25" s="204"/>
      <c r="CPY25" s="204"/>
      <c r="CPZ25" s="204"/>
      <c r="CQA25" s="204"/>
      <c r="CQB25" s="204"/>
      <c r="CQC25" s="204"/>
      <c r="CQD25" s="204"/>
      <c r="CQE25" s="204"/>
      <c r="CQF25" s="204"/>
      <c r="CQG25" s="204"/>
      <c r="CQH25" s="204"/>
      <c r="CQI25" s="204"/>
      <c r="CQJ25" s="204"/>
      <c r="CQK25" s="204"/>
      <c r="CQL25" s="204"/>
      <c r="CQM25" s="204"/>
      <c r="CQN25" s="204"/>
      <c r="CQO25" s="204"/>
      <c r="CQP25" s="204"/>
      <c r="CQQ25" s="204"/>
      <c r="CQR25" s="204"/>
      <c r="CQS25" s="204"/>
      <c r="CQT25" s="204"/>
      <c r="CQU25" s="204"/>
      <c r="CQV25" s="204"/>
      <c r="CQW25" s="204"/>
      <c r="CQX25" s="204"/>
      <c r="CQY25" s="204"/>
      <c r="CQZ25" s="204"/>
      <c r="CRA25" s="204"/>
      <c r="CRB25" s="204"/>
      <c r="CRC25" s="204"/>
      <c r="CRD25" s="204"/>
      <c r="CRE25" s="204"/>
      <c r="CRF25" s="204"/>
      <c r="CRG25" s="204"/>
      <c r="CRH25" s="204"/>
      <c r="CRI25" s="204"/>
      <c r="CRJ25" s="204"/>
      <c r="CRK25" s="204"/>
      <c r="CRL25" s="204"/>
      <c r="CRM25" s="204"/>
      <c r="CRN25" s="204"/>
      <c r="CRO25" s="204"/>
      <c r="CRP25" s="204"/>
      <c r="CRQ25" s="204"/>
      <c r="CRR25" s="204"/>
      <c r="CRS25" s="204"/>
      <c r="CRT25" s="204"/>
      <c r="CRU25" s="204"/>
      <c r="CRV25" s="204"/>
      <c r="CRW25" s="204"/>
      <c r="CRX25" s="204"/>
      <c r="CRY25" s="204"/>
      <c r="CRZ25" s="204"/>
      <c r="CSA25" s="204"/>
      <c r="CSB25" s="204"/>
      <c r="CSC25" s="204"/>
      <c r="CSD25" s="204"/>
      <c r="CSE25" s="204"/>
      <c r="CSF25" s="204"/>
      <c r="CSG25" s="204"/>
      <c r="CSH25" s="204"/>
      <c r="CSI25" s="204"/>
      <c r="CSJ25" s="204"/>
      <c r="CSK25" s="204"/>
      <c r="CSL25" s="204"/>
      <c r="CSM25" s="204"/>
      <c r="CSN25" s="204"/>
      <c r="CSO25" s="204"/>
      <c r="CSP25" s="204"/>
      <c r="CSQ25" s="204"/>
      <c r="CSR25" s="204"/>
      <c r="CSS25" s="204"/>
      <c r="CST25" s="204"/>
      <c r="CSU25" s="204"/>
      <c r="CSV25" s="204"/>
      <c r="CSW25" s="204"/>
      <c r="CSX25" s="204"/>
      <c r="CSY25" s="204"/>
      <c r="CSZ25" s="204"/>
      <c r="CTA25" s="204"/>
      <c r="CTB25" s="204"/>
      <c r="CTC25" s="204"/>
      <c r="CTD25" s="204"/>
      <c r="CTE25" s="204"/>
      <c r="CTF25" s="204"/>
      <c r="CTG25" s="204"/>
      <c r="CTH25" s="204"/>
      <c r="CTI25" s="204"/>
      <c r="CTJ25" s="204"/>
      <c r="CTK25" s="204"/>
      <c r="CTL25" s="204"/>
      <c r="CTM25" s="204"/>
      <c r="CTN25" s="204"/>
      <c r="CTO25" s="204"/>
      <c r="CTP25" s="204"/>
      <c r="CTQ25" s="204"/>
      <c r="CTR25" s="204"/>
      <c r="CTS25" s="204"/>
      <c r="CTT25" s="204"/>
      <c r="CTU25" s="204"/>
      <c r="CTV25" s="204"/>
      <c r="CTW25" s="204"/>
      <c r="CTX25" s="204"/>
      <c r="CTY25" s="204"/>
      <c r="CTZ25" s="204"/>
      <c r="CUA25" s="204"/>
      <c r="CUB25" s="204"/>
      <c r="CUC25" s="204"/>
      <c r="CUD25" s="204"/>
      <c r="CUE25" s="204"/>
      <c r="CUF25" s="204"/>
      <c r="CUG25" s="204"/>
      <c r="CUH25" s="204"/>
      <c r="CUI25" s="204"/>
      <c r="CUJ25" s="204"/>
      <c r="CUK25" s="204"/>
      <c r="CUL25" s="204"/>
      <c r="CUM25" s="204"/>
      <c r="CUN25" s="204"/>
      <c r="CUO25" s="204"/>
      <c r="CUP25" s="204"/>
      <c r="CUQ25" s="204"/>
      <c r="CUR25" s="204"/>
      <c r="CUS25" s="204"/>
      <c r="CUT25" s="204"/>
      <c r="CUU25" s="204"/>
      <c r="CUV25" s="204"/>
      <c r="CUW25" s="204"/>
      <c r="CUX25" s="204"/>
      <c r="CUY25" s="204"/>
      <c r="CUZ25" s="204"/>
      <c r="CVA25" s="204"/>
      <c r="CVB25" s="204"/>
      <c r="CVC25" s="204"/>
      <c r="CVD25" s="204"/>
      <c r="CVE25" s="204"/>
      <c r="CVF25" s="204"/>
      <c r="CVG25" s="204"/>
      <c r="CVH25" s="204"/>
      <c r="CVI25" s="204"/>
      <c r="CVJ25" s="204"/>
      <c r="CVK25" s="204"/>
      <c r="CVL25" s="204"/>
      <c r="CVM25" s="204"/>
      <c r="CVN25" s="204"/>
      <c r="CVO25" s="204"/>
      <c r="CVP25" s="204"/>
      <c r="CVQ25" s="204"/>
      <c r="CVR25" s="204"/>
      <c r="CVS25" s="204"/>
      <c r="CVT25" s="204"/>
      <c r="CVU25" s="204"/>
      <c r="CVV25" s="204"/>
      <c r="CVW25" s="204"/>
      <c r="CVX25" s="204"/>
      <c r="CVY25" s="204"/>
      <c r="CVZ25" s="204"/>
      <c r="CWA25" s="204"/>
      <c r="CWB25" s="204"/>
      <c r="CWC25" s="204"/>
      <c r="CWD25" s="204"/>
      <c r="CWE25" s="204"/>
      <c r="CWF25" s="204"/>
      <c r="CWG25" s="204"/>
      <c r="CWH25" s="204"/>
      <c r="CWI25" s="204"/>
      <c r="CWJ25" s="204"/>
      <c r="CWK25" s="204"/>
      <c r="CWL25" s="204"/>
      <c r="CWM25" s="204"/>
      <c r="CWN25" s="204"/>
      <c r="CWO25" s="204"/>
      <c r="CWP25" s="204"/>
      <c r="CWQ25" s="204"/>
      <c r="CWR25" s="204"/>
      <c r="CWS25" s="204"/>
      <c r="CWT25" s="204"/>
      <c r="CWU25" s="204"/>
      <c r="CWV25" s="204"/>
      <c r="CWW25" s="204"/>
      <c r="CWX25" s="204"/>
      <c r="CWY25" s="204"/>
      <c r="CWZ25" s="204"/>
      <c r="CXA25" s="204"/>
      <c r="CXB25" s="204"/>
      <c r="CXC25" s="204"/>
      <c r="CXD25" s="204"/>
      <c r="CXE25" s="204"/>
      <c r="CXF25" s="204"/>
      <c r="CXG25" s="204"/>
      <c r="CXH25" s="204"/>
      <c r="CXI25" s="204"/>
      <c r="CXJ25" s="204"/>
      <c r="CXK25" s="204"/>
      <c r="CXL25" s="204"/>
      <c r="CXM25" s="204"/>
      <c r="CXN25" s="204"/>
      <c r="CXO25" s="204"/>
      <c r="CXP25" s="204"/>
      <c r="CXQ25" s="204"/>
      <c r="CXR25" s="204"/>
      <c r="CXS25" s="204"/>
      <c r="CXT25" s="204"/>
      <c r="CXU25" s="204"/>
      <c r="CXV25" s="204"/>
      <c r="CXW25" s="204"/>
      <c r="CXX25" s="204"/>
      <c r="CXY25" s="204"/>
      <c r="CXZ25" s="204"/>
      <c r="CYA25" s="204"/>
      <c r="CYB25" s="204"/>
      <c r="CYC25" s="204"/>
      <c r="CYD25" s="204"/>
      <c r="CYE25" s="204"/>
      <c r="CYF25" s="204"/>
      <c r="CYG25" s="204"/>
      <c r="CYH25" s="204"/>
      <c r="CYI25" s="204"/>
      <c r="CYJ25" s="204"/>
      <c r="CYK25" s="204"/>
      <c r="CYL25" s="204"/>
      <c r="CYM25" s="204"/>
      <c r="CYN25" s="204"/>
      <c r="CYO25" s="204"/>
      <c r="CYP25" s="204"/>
      <c r="CYQ25" s="204"/>
      <c r="CYR25" s="204"/>
      <c r="CYS25" s="204"/>
      <c r="CYT25" s="204"/>
      <c r="CYU25" s="204"/>
      <c r="CYV25" s="204"/>
      <c r="CYW25" s="204"/>
      <c r="CYX25" s="204"/>
      <c r="CYY25" s="204"/>
      <c r="CYZ25" s="204"/>
      <c r="CZA25" s="204"/>
      <c r="CZB25" s="204"/>
      <c r="CZC25" s="204"/>
      <c r="CZD25" s="204"/>
      <c r="CZE25" s="204"/>
      <c r="CZF25" s="204"/>
      <c r="CZG25" s="204"/>
      <c r="CZH25" s="204"/>
      <c r="CZI25" s="204"/>
      <c r="CZJ25" s="204"/>
      <c r="CZK25" s="204"/>
      <c r="CZL25" s="204"/>
      <c r="CZM25" s="204"/>
      <c r="CZN25" s="204"/>
      <c r="CZO25" s="204"/>
      <c r="CZP25" s="204"/>
      <c r="CZQ25" s="204"/>
      <c r="CZR25" s="204"/>
      <c r="CZS25" s="204"/>
      <c r="CZT25" s="204"/>
      <c r="CZU25" s="204"/>
      <c r="CZV25" s="204"/>
      <c r="CZW25" s="204"/>
      <c r="CZX25" s="204"/>
      <c r="CZY25" s="204"/>
      <c r="CZZ25" s="204"/>
      <c r="DAA25" s="204"/>
      <c r="DAB25" s="204"/>
      <c r="DAC25" s="204"/>
      <c r="DAD25" s="204"/>
      <c r="DAE25" s="204"/>
      <c r="DAF25" s="204"/>
      <c r="DAG25" s="204"/>
      <c r="DAH25" s="204"/>
      <c r="DAI25" s="204"/>
      <c r="DAJ25" s="204"/>
      <c r="DAK25" s="204"/>
      <c r="DAL25" s="204"/>
      <c r="DAM25" s="204"/>
      <c r="DAN25" s="204"/>
      <c r="DAO25" s="204"/>
      <c r="DAP25" s="204"/>
      <c r="DAQ25" s="204"/>
      <c r="DAR25" s="204"/>
      <c r="DAS25" s="204"/>
      <c r="DAT25" s="204"/>
      <c r="DAU25" s="204"/>
      <c r="DAV25" s="204"/>
      <c r="DAW25" s="204"/>
      <c r="DAX25" s="204"/>
      <c r="DAY25" s="204"/>
      <c r="DAZ25" s="204"/>
      <c r="DBA25" s="204"/>
      <c r="DBB25" s="204"/>
      <c r="DBC25" s="204"/>
      <c r="DBD25" s="204"/>
      <c r="DBE25" s="204"/>
      <c r="DBF25" s="204"/>
      <c r="DBG25" s="204"/>
      <c r="DBH25" s="204"/>
      <c r="DBI25" s="204"/>
      <c r="DBJ25" s="204"/>
      <c r="DBK25" s="204"/>
      <c r="DBL25" s="204"/>
      <c r="DBM25" s="204"/>
      <c r="DBN25" s="204"/>
      <c r="DBO25" s="204"/>
      <c r="DBP25" s="204"/>
      <c r="DBQ25" s="204"/>
      <c r="DBR25" s="204"/>
      <c r="DBS25" s="204"/>
      <c r="DBT25" s="204"/>
      <c r="DBU25" s="204"/>
      <c r="DBV25" s="204"/>
      <c r="DBW25" s="204"/>
      <c r="DBX25" s="204"/>
      <c r="DBY25" s="204"/>
      <c r="DBZ25" s="204"/>
      <c r="DCA25" s="204"/>
      <c r="DCB25" s="204"/>
      <c r="DCC25" s="204"/>
      <c r="DCD25" s="204"/>
      <c r="DCE25" s="204"/>
      <c r="DCF25" s="204"/>
      <c r="DCG25" s="204"/>
      <c r="DCH25" s="204"/>
      <c r="DCI25" s="204"/>
      <c r="DCJ25" s="204"/>
      <c r="DCK25" s="204"/>
      <c r="DCL25" s="204"/>
      <c r="DCM25" s="204"/>
      <c r="DCN25" s="204"/>
      <c r="DCO25" s="204"/>
      <c r="DCP25" s="204"/>
      <c r="DCQ25" s="204"/>
      <c r="DCR25" s="204"/>
      <c r="DCS25" s="204"/>
      <c r="DCT25" s="204"/>
      <c r="DCU25" s="204"/>
      <c r="DCV25" s="204"/>
      <c r="DCW25" s="204"/>
      <c r="DCX25" s="204"/>
      <c r="DCY25" s="204"/>
      <c r="DCZ25" s="204"/>
      <c r="DDA25" s="204"/>
      <c r="DDB25" s="204"/>
      <c r="DDC25" s="204"/>
      <c r="DDD25" s="204"/>
      <c r="DDE25" s="204"/>
      <c r="DDF25" s="204"/>
      <c r="DDG25" s="204"/>
      <c r="DDH25" s="204"/>
      <c r="DDI25" s="204"/>
      <c r="DDJ25" s="204"/>
      <c r="DDK25" s="204"/>
      <c r="DDL25" s="204"/>
      <c r="DDM25" s="204"/>
      <c r="DDN25" s="204"/>
      <c r="DDO25" s="204"/>
      <c r="DDP25" s="204"/>
      <c r="DDQ25" s="204"/>
      <c r="DDR25" s="204"/>
      <c r="DDS25" s="204"/>
      <c r="DDT25" s="204"/>
      <c r="DDU25" s="204"/>
      <c r="DDV25" s="204"/>
      <c r="DDW25" s="204"/>
      <c r="DDX25" s="204"/>
      <c r="DDY25" s="204"/>
      <c r="DDZ25" s="204"/>
      <c r="DEA25" s="204"/>
      <c r="DEB25" s="204"/>
      <c r="DEC25" s="204"/>
      <c r="DED25" s="204"/>
      <c r="DEE25" s="204"/>
      <c r="DEF25" s="204"/>
      <c r="DEG25" s="204"/>
      <c r="DEH25" s="204"/>
      <c r="DEI25" s="204"/>
      <c r="DEJ25" s="204"/>
      <c r="DEK25" s="204"/>
      <c r="DEL25" s="204"/>
      <c r="DEM25" s="204"/>
      <c r="DEN25" s="204"/>
      <c r="DEO25" s="204"/>
      <c r="DEP25" s="204"/>
      <c r="DEQ25" s="204"/>
      <c r="DER25" s="204"/>
      <c r="DES25" s="204"/>
      <c r="DET25" s="204"/>
      <c r="DEU25" s="204"/>
      <c r="DEV25" s="204"/>
      <c r="DEW25" s="204"/>
      <c r="DEX25" s="204"/>
      <c r="DEY25" s="204"/>
      <c r="DEZ25" s="204"/>
      <c r="DFA25" s="204"/>
      <c r="DFB25" s="204"/>
      <c r="DFC25" s="204"/>
      <c r="DFD25" s="204"/>
      <c r="DFE25" s="204"/>
      <c r="DFF25" s="204"/>
      <c r="DFG25" s="204"/>
      <c r="DFH25" s="204"/>
      <c r="DFI25" s="204"/>
      <c r="DFJ25" s="204"/>
      <c r="DFK25" s="204"/>
      <c r="DFL25" s="204"/>
      <c r="DFM25" s="204"/>
      <c r="DFN25" s="204"/>
      <c r="DFO25" s="204"/>
      <c r="DFP25" s="204"/>
      <c r="DFQ25" s="204"/>
      <c r="DFR25" s="204"/>
      <c r="DFS25" s="204"/>
      <c r="DFT25" s="204"/>
      <c r="DFU25" s="204"/>
      <c r="DFV25" s="204"/>
      <c r="DFW25" s="204"/>
      <c r="DFX25" s="204"/>
      <c r="DFY25" s="204"/>
      <c r="DFZ25" s="204"/>
      <c r="DGA25" s="204"/>
      <c r="DGB25" s="204"/>
      <c r="DGC25" s="204"/>
      <c r="DGD25" s="204"/>
      <c r="DGE25" s="204"/>
      <c r="DGF25" s="204"/>
      <c r="DGG25" s="204"/>
      <c r="DGH25" s="204"/>
      <c r="DGI25" s="204"/>
      <c r="DGJ25" s="204"/>
      <c r="DGK25" s="204"/>
      <c r="DGL25" s="204"/>
      <c r="DGM25" s="204"/>
      <c r="DGN25" s="204"/>
      <c r="DGO25" s="204"/>
      <c r="DGP25" s="204"/>
      <c r="DGQ25" s="204"/>
      <c r="DGR25" s="204"/>
      <c r="DGS25" s="204"/>
      <c r="DGT25" s="204"/>
      <c r="DGU25" s="204"/>
      <c r="DGV25" s="204"/>
      <c r="DGW25" s="204"/>
      <c r="DGX25" s="204"/>
      <c r="DGY25" s="204"/>
      <c r="DGZ25" s="204"/>
      <c r="DHA25" s="204"/>
      <c r="DHB25" s="204"/>
      <c r="DHC25" s="204"/>
      <c r="DHD25" s="204"/>
      <c r="DHE25" s="204"/>
      <c r="DHF25" s="204"/>
      <c r="DHG25" s="204"/>
      <c r="DHH25" s="204"/>
      <c r="DHI25" s="204"/>
      <c r="DHJ25" s="204"/>
      <c r="DHK25" s="204"/>
      <c r="DHL25" s="204"/>
      <c r="DHM25" s="204"/>
      <c r="DHN25" s="204"/>
      <c r="DHO25" s="204"/>
      <c r="DHP25" s="204"/>
      <c r="DHQ25" s="204"/>
      <c r="DHR25" s="204"/>
      <c r="DHS25" s="204"/>
      <c r="DHT25" s="204"/>
      <c r="DHU25" s="204"/>
      <c r="DHV25" s="204"/>
      <c r="DHW25" s="204"/>
      <c r="DHX25" s="204"/>
      <c r="DHY25" s="204"/>
      <c r="DHZ25" s="204"/>
      <c r="DIA25" s="204"/>
      <c r="DIB25" s="204"/>
      <c r="DIC25" s="204"/>
      <c r="DID25" s="204"/>
      <c r="DIE25" s="204"/>
      <c r="DIF25" s="204"/>
      <c r="DIG25" s="204"/>
      <c r="DIH25" s="204"/>
      <c r="DII25" s="204"/>
      <c r="DIJ25" s="204"/>
      <c r="DIK25" s="204"/>
      <c r="DIL25" s="204"/>
      <c r="DIM25" s="204"/>
      <c r="DIN25" s="204"/>
      <c r="DIO25" s="204"/>
      <c r="DIP25" s="204"/>
      <c r="DIQ25" s="204"/>
      <c r="DIR25" s="204"/>
      <c r="DIS25" s="204"/>
      <c r="DIT25" s="204"/>
      <c r="DIU25" s="204"/>
      <c r="DIV25" s="204"/>
      <c r="DIW25" s="204"/>
      <c r="DIX25" s="204"/>
      <c r="DIY25" s="204"/>
      <c r="DIZ25" s="204"/>
      <c r="DJA25" s="204"/>
      <c r="DJB25" s="204"/>
      <c r="DJC25" s="204"/>
      <c r="DJD25" s="204"/>
      <c r="DJE25" s="204"/>
      <c r="DJF25" s="204"/>
      <c r="DJG25" s="204"/>
      <c r="DJH25" s="204"/>
      <c r="DJI25" s="204"/>
      <c r="DJJ25" s="204"/>
      <c r="DJK25" s="204"/>
      <c r="DJL25" s="204"/>
      <c r="DJM25" s="204"/>
      <c r="DJN25" s="204"/>
      <c r="DJO25" s="204"/>
      <c r="DJP25" s="204"/>
      <c r="DJQ25" s="204"/>
      <c r="DJR25" s="204"/>
      <c r="DJS25" s="204"/>
      <c r="DJT25" s="204"/>
      <c r="DJU25" s="204"/>
      <c r="DJV25" s="204"/>
      <c r="DJW25" s="204"/>
      <c r="DJX25" s="204"/>
      <c r="DJY25" s="204"/>
      <c r="DJZ25" s="204"/>
      <c r="DKA25" s="204"/>
      <c r="DKB25" s="204"/>
      <c r="DKC25" s="204"/>
      <c r="DKD25" s="204"/>
      <c r="DKE25" s="204"/>
      <c r="DKF25" s="204"/>
      <c r="DKG25" s="204"/>
      <c r="DKH25" s="204"/>
      <c r="DKI25" s="204"/>
      <c r="DKJ25" s="204"/>
      <c r="DKK25" s="204"/>
      <c r="DKL25" s="204"/>
      <c r="DKM25" s="204"/>
      <c r="DKN25" s="204"/>
      <c r="DKO25" s="204"/>
      <c r="DKP25" s="204"/>
      <c r="DKQ25" s="204"/>
      <c r="DKR25" s="204"/>
      <c r="DKS25" s="204"/>
      <c r="DKT25" s="204"/>
      <c r="DKU25" s="204"/>
      <c r="DKV25" s="204"/>
      <c r="DKW25" s="204"/>
      <c r="DKX25" s="204"/>
      <c r="DKY25" s="204"/>
      <c r="DKZ25" s="204"/>
      <c r="DLA25" s="204"/>
      <c r="DLB25" s="204"/>
      <c r="DLC25" s="204"/>
      <c r="DLD25" s="204"/>
      <c r="DLE25" s="204"/>
      <c r="DLF25" s="204"/>
      <c r="DLG25" s="204"/>
      <c r="DLH25" s="204"/>
      <c r="DLI25" s="204"/>
      <c r="DLJ25" s="204"/>
      <c r="DLK25" s="204"/>
      <c r="DLL25" s="204"/>
      <c r="DLM25" s="204"/>
      <c r="DLN25" s="204"/>
      <c r="DLO25" s="204"/>
      <c r="DLP25" s="204"/>
      <c r="DLQ25" s="204"/>
      <c r="DLR25" s="204"/>
      <c r="DLS25" s="204"/>
      <c r="DLT25" s="204"/>
      <c r="DLU25" s="204"/>
      <c r="DLV25" s="204"/>
      <c r="DLW25" s="204"/>
      <c r="DLX25" s="204"/>
      <c r="DLY25" s="204"/>
      <c r="DLZ25" s="204"/>
      <c r="DMA25" s="204"/>
      <c r="DMB25" s="204"/>
      <c r="DMC25" s="204"/>
      <c r="DMD25" s="204"/>
      <c r="DME25" s="204"/>
      <c r="DMF25" s="204"/>
      <c r="DMG25" s="204"/>
      <c r="DMH25" s="204"/>
      <c r="DMI25" s="204"/>
      <c r="DMJ25" s="204"/>
      <c r="DMK25" s="204"/>
      <c r="DML25" s="204"/>
      <c r="DMM25" s="204"/>
      <c r="DMN25" s="204"/>
      <c r="DMO25" s="204"/>
      <c r="DMP25" s="204"/>
      <c r="DMQ25" s="204"/>
      <c r="DMR25" s="204"/>
      <c r="DMS25" s="204"/>
      <c r="DMT25" s="204"/>
      <c r="DMU25" s="204"/>
      <c r="DMV25" s="204"/>
      <c r="DMW25" s="204"/>
      <c r="DMX25" s="204"/>
      <c r="DMY25" s="204"/>
      <c r="DMZ25" s="204"/>
      <c r="DNA25" s="204"/>
      <c r="DNB25" s="204"/>
      <c r="DNC25" s="204"/>
      <c r="DND25" s="204"/>
      <c r="DNE25" s="204"/>
      <c r="DNF25" s="204"/>
      <c r="DNG25" s="204"/>
      <c r="DNH25" s="204"/>
      <c r="DNI25" s="204"/>
      <c r="DNJ25" s="204"/>
      <c r="DNK25" s="204"/>
      <c r="DNL25" s="204"/>
      <c r="DNM25" s="204"/>
      <c r="DNN25" s="204"/>
      <c r="DNO25" s="204"/>
      <c r="DNP25" s="204"/>
      <c r="DNQ25" s="204"/>
      <c r="DNR25" s="204"/>
      <c r="DNS25" s="204"/>
      <c r="DNT25" s="204"/>
      <c r="DNU25" s="204"/>
      <c r="DNV25" s="204"/>
      <c r="DNW25" s="204"/>
      <c r="DNX25" s="204"/>
      <c r="DNY25" s="204"/>
      <c r="DNZ25" s="204"/>
      <c r="DOA25" s="204"/>
      <c r="DOB25" s="204"/>
      <c r="DOC25" s="204"/>
      <c r="DOD25" s="204"/>
      <c r="DOE25" s="204"/>
      <c r="DOF25" s="204"/>
      <c r="DOG25" s="204"/>
      <c r="DOH25" s="204"/>
      <c r="DOI25" s="204"/>
      <c r="DOJ25" s="204"/>
      <c r="DOK25" s="204"/>
      <c r="DOL25" s="204"/>
      <c r="DOM25" s="204"/>
      <c r="DON25" s="204"/>
      <c r="DOO25" s="204"/>
      <c r="DOP25" s="204"/>
      <c r="DOQ25" s="204"/>
      <c r="DOR25" s="204"/>
      <c r="DOS25" s="204"/>
      <c r="DOT25" s="204"/>
      <c r="DOU25" s="204"/>
      <c r="DOV25" s="204"/>
      <c r="DOW25" s="204"/>
      <c r="DOX25" s="204"/>
      <c r="DOY25" s="204"/>
      <c r="DOZ25" s="204"/>
      <c r="DPA25" s="204"/>
      <c r="DPB25" s="204"/>
      <c r="DPC25" s="204"/>
      <c r="DPD25" s="204"/>
      <c r="DPE25" s="204"/>
      <c r="DPF25" s="204"/>
      <c r="DPG25" s="204"/>
      <c r="DPH25" s="204"/>
      <c r="DPI25" s="204"/>
      <c r="DPJ25" s="204"/>
      <c r="DPK25" s="204"/>
      <c r="DPL25" s="204"/>
      <c r="DPM25" s="204"/>
      <c r="DPN25" s="204"/>
      <c r="DPO25" s="204"/>
      <c r="DPP25" s="204"/>
      <c r="DPQ25" s="204"/>
      <c r="DPR25" s="204"/>
      <c r="DPS25" s="204"/>
      <c r="DPT25" s="204"/>
      <c r="DPU25" s="204"/>
      <c r="DPV25" s="204"/>
      <c r="DPW25" s="204"/>
      <c r="DPX25" s="204"/>
      <c r="DPY25" s="204"/>
      <c r="DPZ25" s="204"/>
      <c r="DQA25" s="204"/>
      <c r="DQB25" s="204"/>
      <c r="DQC25" s="204"/>
      <c r="DQD25" s="204"/>
      <c r="DQE25" s="204"/>
      <c r="DQF25" s="204"/>
      <c r="DQG25" s="204"/>
      <c r="DQH25" s="204"/>
      <c r="DQI25" s="204"/>
      <c r="DQJ25" s="204"/>
      <c r="DQK25" s="204"/>
      <c r="DQL25" s="204"/>
      <c r="DQM25" s="204"/>
      <c r="DQN25" s="204"/>
      <c r="DQO25" s="204"/>
      <c r="DQP25" s="204"/>
      <c r="DQQ25" s="204"/>
      <c r="DQR25" s="204"/>
      <c r="DQS25" s="204"/>
      <c r="DQT25" s="204"/>
      <c r="DQU25" s="204"/>
      <c r="DQV25" s="204"/>
      <c r="DQW25" s="204"/>
      <c r="DQX25" s="204"/>
      <c r="DQY25" s="204"/>
      <c r="DQZ25" s="204"/>
      <c r="DRA25" s="204"/>
      <c r="DRB25" s="204"/>
      <c r="DRC25" s="204"/>
      <c r="DRD25" s="204"/>
      <c r="DRE25" s="204"/>
      <c r="DRF25" s="204"/>
      <c r="DRG25" s="204"/>
      <c r="DRH25" s="204"/>
      <c r="DRI25" s="204"/>
      <c r="DRJ25" s="204"/>
      <c r="DRK25" s="204"/>
      <c r="DRL25" s="204"/>
      <c r="DRM25" s="204"/>
      <c r="DRN25" s="204"/>
      <c r="DRO25" s="204"/>
      <c r="DRP25" s="204"/>
      <c r="DRQ25" s="204"/>
      <c r="DRR25" s="204"/>
      <c r="DRS25" s="204"/>
      <c r="DRT25" s="204"/>
      <c r="DRU25" s="204"/>
      <c r="DRV25" s="204"/>
      <c r="DRW25" s="204"/>
      <c r="DRX25" s="204"/>
      <c r="DRY25" s="204"/>
      <c r="DRZ25" s="204"/>
      <c r="DSA25" s="204"/>
      <c r="DSB25" s="204"/>
      <c r="DSC25" s="204"/>
      <c r="DSD25" s="204"/>
      <c r="DSE25" s="204"/>
      <c r="DSF25" s="204"/>
      <c r="DSG25" s="204"/>
      <c r="DSH25" s="204"/>
      <c r="DSI25" s="204"/>
      <c r="DSJ25" s="204"/>
      <c r="DSK25" s="204"/>
      <c r="DSL25" s="204"/>
      <c r="DSM25" s="204"/>
      <c r="DSN25" s="204"/>
      <c r="DSO25" s="204"/>
      <c r="DSP25" s="204"/>
      <c r="DSQ25" s="204"/>
      <c r="DSR25" s="204"/>
      <c r="DSS25" s="204"/>
      <c r="DST25" s="204"/>
      <c r="DSU25" s="204"/>
      <c r="DSV25" s="204"/>
      <c r="DSW25" s="204"/>
      <c r="DSX25" s="204"/>
      <c r="DSY25" s="204"/>
      <c r="DSZ25" s="204"/>
      <c r="DTA25" s="204"/>
      <c r="DTB25" s="204"/>
      <c r="DTC25" s="204"/>
      <c r="DTD25" s="204"/>
      <c r="DTE25" s="204"/>
      <c r="DTF25" s="204"/>
      <c r="DTG25" s="204"/>
      <c r="DTH25" s="204"/>
      <c r="DTI25" s="204"/>
      <c r="DTJ25" s="204"/>
      <c r="DTK25" s="204"/>
      <c r="DTL25" s="204"/>
      <c r="DTM25" s="204"/>
      <c r="DTN25" s="204"/>
      <c r="DTO25" s="204"/>
      <c r="DTP25" s="204"/>
      <c r="DTQ25" s="204"/>
      <c r="DTR25" s="204"/>
      <c r="DTS25" s="204"/>
      <c r="DTT25" s="204"/>
      <c r="DTU25" s="204"/>
      <c r="DTV25" s="204"/>
      <c r="DTW25" s="204"/>
      <c r="DTX25" s="204"/>
      <c r="DTY25" s="204"/>
      <c r="DTZ25" s="204"/>
      <c r="DUA25" s="204"/>
      <c r="DUB25" s="204"/>
      <c r="DUC25" s="204"/>
      <c r="DUD25" s="204"/>
      <c r="DUE25" s="204"/>
      <c r="DUF25" s="204"/>
      <c r="DUG25" s="204"/>
      <c r="DUH25" s="204"/>
      <c r="DUI25" s="204"/>
      <c r="DUJ25" s="204"/>
      <c r="DUK25" s="204"/>
      <c r="DUL25" s="204"/>
      <c r="DUM25" s="204"/>
      <c r="DUN25" s="204"/>
      <c r="DUO25" s="204"/>
      <c r="DUP25" s="204"/>
      <c r="DUQ25" s="204"/>
      <c r="DUR25" s="204"/>
      <c r="DUS25" s="204"/>
      <c r="DUT25" s="204"/>
      <c r="DUU25" s="204"/>
      <c r="DUV25" s="204"/>
      <c r="DUW25" s="204"/>
      <c r="DUX25" s="204"/>
      <c r="DUY25" s="204"/>
      <c r="DUZ25" s="204"/>
      <c r="DVA25" s="204"/>
      <c r="DVB25" s="204"/>
      <c r="DVC25" s="204"/>
      <c r="DVD25" s="204"/>
      <c r="DVE25" s="204"/>
      <c r="DVF25" s="204"/>
      <c r="DVG25" s="204"/>
      <c r="DVH25" s="204"/>
      <c r="DVI25" s="204"/>
      <c r="DVJ25" s="204"/>
      <c r="DVK25" s="204"/>
      <c r="DVL25" s="204"/>
      <c r="DVM25" s="204"/>
      <c r="DVN25" s="204"/>
      <c r="DVO25" s="204"/>
      <c r="DVP25" s="204"/>
      <c r="DVQ25" s="204"/>
      <c r="DVR25" s="204"/>
      <c r="DVS25" s="204"/>
      <c r="DVT25" s="204"/>
      <c r="DVU25" s="204"/>
      <c r="DVV25" s="204"/>
      <c r="DVW25" s="204"/>
      <c r="DVX25" s="204"/>
      <c r="DVY25" s="204"/>
      <c r="DVZ25" s="204"/>
      <c r="DWA25" s="204"/>
      <c r="DWB25" s="204"/>
      <c r="DWC25" s="204"/>
      <c r="DWD25" s="204"/>
      <c r="DWE25" s="204"/>
      <c r="DWF25" s="204"/>
      <c r="DWG25" s="204"/>
      <c r="DWH25" s="204"/>
      <c r="DWI25" s="204"/>
      <c r="DWJ25" s="204"/>
      <c r="DWK25" s="204"/>
      <c r="DWL25" s="204"/>
      <c r="DWM25" s="204"/>
      <c r="DWN25" s="204"/>
      <c r="DWO25" s="204"/>
      <c r="DWP25" s="204"/>
      <c r="DWQ25" s="204"/>
      <c r="DWR25" s="204"/>
      <c r="DWS25" s="204"/>
      <c r="DWT25" s="204"/>
      <c r="DWU25" s="204"/>
      <c r="DWV25" s="204"/>
      <c r="DWW25" s="204"/>
      <c r="DWX25" s="204"/>
      <c r="DWY25" s="204"/>
      <c r="DWZ25" s="204"/>
      <c r="DXA25" s="204"/>
      <c r="DXB25" s="204"/>
      <c r="DXC25" s="204"/>
      <c r="DXD25" s="204"/>
      <c r="DXE25" s="204"/>
      <c r="DXF25" s="204"/>
      <c r="DXG25" s="204"/>
      <c r="DXH25" s="204"/>
      <c r="DXI25" s="204"/>
      <c r="DXJ25" s="204"/>
      <c r="DXK25" s="204"/>
      <c r="DXL25" s="204"/>
      <c r="DXM25" s="204"/>
      <c r="DXN25" s="204"/>
      <c r="DXO25" s="204"/>
      <c r="DXP25" s="204"/>
      <c r="DXQ25" s="204"/>
      <c r="DXR25" s="204"/>
      <c r="DXS25" s="204"/>
      <c r="DXT25" s="204"/>
      <c r="DXU25" s="204"/>
      <c r="DXV25" s="204"/>
      <c r="DXW25" s="204"/>
      <c r="DXX25" s="204"/>
      <c r="DXY25" s="204"/>
      <c r="DXZ25" s="204"/>
      <c r="DYA25" s="204"/>
      <c r="DYB25" s="204"/>
      <c r="DYC25" s="204"/>
      <c r="DYD25" s="204"/>
      <c r="DYE25" s="204"/>
      <c r="DYF25" s="204"/>
      <c r="DYG25" s="204"/>
      <c r="DYH25" s="204"/>
      <c r="DYI25" s="204"/>
      <c r="DYJ25" s="204"/>
      <c r="DYK25" s="204"/>
      <c r="DYL25" s="204"/>
      <c r="DYM25" s="204"/>
      <c r="DYN25" s="204"/>
      <c r="DYO25" s="204"/>
      <c r="DYP25" s="204"/>
      <c r="DYQ25" s="204"/>
      <c r="DYR25" s="204"/>
      <c r="DYS25" s="204"/>
      <c r="DYT25" s="204"/>
      <c r="DYU25" s="204"/>
      <c r="DYV25" s="204"/>
      <c r="DYW25" s="204"/>
      <c r="DYX25" s="204"/>
      <c r="DYY25" s="204"/>
      <c r="DYZ25" s="204"/>
      <c r="DZA25" s="204"/>
      <c r="DZB25" s="204"/>
      <c r="DZC25" s="204"/>
      <c r="DZD25" s="204"/>
      <c r="DZE25" s="204"/>
      <c r="DZF25" s="204"/>
      <c r="DZG25" s="204"/>
      <c r="DZH25" s="204"/>
      <c r="DZI25" s="204"/>
      <c r="DZJ25" s="204"/>
      <c r="DZK25" s="204"/>
      <c r="DZL25" s="204"/>
      <c r="DZM25" s="204"/>
      <c r="DZN25" s="204"/>
      <c r="DZO25" s="204"/>
      <c r="DZP25" s="204"/>
      <c r="DZQ25" s="204"/>
      <c r="DZR25" s="204"/>
      <c r="DZS25" s="204"/>
      <c r="DZT25" s="204"/>
      <c r="DZU25" s="204"/>
      <c r="DZV25" s="204"/>
      <c r="DZW25" s="204"/>
      <c r="DZX25" s="204"/>
      <c r="DZY25" s="204"/>
      <c r="DZZ25" s="204"/>
      <c r="EAA25" s="204"/>
      <c r="EAB25" s="204"/>
      <c r="EAC25" s="204"/>
      <c r="EAD25" s="204"/>
      <c r="EAE25" s="204"/>
      <c r="EAF25" s="204"/>
      <c r="EAG25" s="204"/>
      <c r="EAH25" s="204"/>
      <c r="EAI25" s="204"/>
      <c r="EAJ25" s="204"/>
      <c r="EAK25" s="204"/>
      <c r="EAL25" s="204"/>
      <c r="EAM25" s="204"/>
      <c r="EAN25" s="204"/>
      <c r="EAO25" s="204"/>
      <c r="EAP25" s="204"/>
      <c r="EAQ25" s="204"/>
      <c r="EAR25" s="204"/>
      <c r="EAS25" s="204"/>
      <c r="EAT25" s="204"/>
      <c r="EAU25" s="204"/>
      <c r="EAV25" s="204"/>
      <c r="EAW25" s="204"/>
      <c r="EAX25" s="204"/>
      <c r="EAY25" s="204"/>
      <c r="EAZ25" s="204"/>
      <c r="EBA25" s="204"/>
      <c r="EBB25" s="204"/>
      <c r="EBC25" s="204"/>
      <c r="EBD25" s="204"/>
      <c r="EBE25" s="204"/>
      <c r="EBF25" s="204"/>
      <c r="EBG25" s="204"/>
      <c r="EBH25" s="204"/>
      <c r="EBI25" s="204"/>
      <c r="EBJ25" s="204"/>
      <c r="EBK25" s="204"/>
      <c r="EBL25" s="204"/>
      <c r="EBM25" s="204"/>
      <c r="EBN25" s="204"/>
      <c r="EBO25" s="204"/>
      <c r="EBP25" s="204"/>
      <c r="EBQ25" s="204"/>
      <c r="EBR25" s="204"/>
      <c r="EBS25" s="204"/>
      <c r="EBT25" s="204"/>
      <c r="EBU25" s="204"/>
      <c r="EBV25" s="204"/>
      <c r="EBW25" s="204"/>
      <c r="EBX25" s="204"/>
      <c r="EBY25" s="204"/>
      <c r="EBZ25" s="204"/>
      <c r="ECA25" s="204"/>
      <c r="ECB25" s="204"/>
      <c r="ECC25" s="204"/>
      <c r="ECD25" s="204"/>
      <c r="ECE25" s="204"/>
      <c r="ECF25" s="204"/>
      <c r="ECG25" s="204"/>
      <c r="ECH25" s="204"/>
      <c r="ECI25" s="204"/>
      <c r="ECJ25" s="204"/>
      <c r="ECK25" s="204"/>
      <c r="ECL25" s="204"/>
      <c r="ECM25" s="204"/>
      <c r="ECN25" s="204"/>
      <c r="ECO25" s="204"/>
      <c r="ECP25" s="204"/>
      <c r="ECQ25" s="204"/>
      <c r="ECR25" s="204"/>
      <c r="ECS25" s="204"/>
      <c r="ECT25" s="204"/>
      <c r="ECU25" s="204"/>
      <c r="ECV25" s="204"/>
      <c r="ECW25" s="204"/>
      <c r="ECX25" s="204"/>
      <c r="ECY25" s="204"/>
      <c r="ECZ25" s="204"/>
      <c r="EDA25" s="204"/>
      <c r="EDB25" s="204"/>
      <c r="EDC25" s="204"/>
      <c r="EDD25" s="204"/>
      <c r="EDE25" s="204"/>
      <c r="EDF25" s="204"/>
      <c r="EDG25" s="204"/>
      <c r="EDH25" s="204"/>
      <c r="EDI25" s="204"/>
      <c r="EDJ25" s="204"/>
      <c r="EDK25" s="204"/>
      <c r="EDL25" s="204"/>
      <c r="EDM25" s="204"/>
      <c r="EDN25" s="204"/>
      <c r="EDO25" s="204"/>
      <c r="EDP25" s="204"/>
      <c r="EDQ25" s="204"/>
      <c r="EDR25" s="204"/>
      <c r="EDS25" s="204"/>
      <c r="EDT25" s="204"/>
      <c r="EDU25" s="204"/>
      <c r="EDV25" s="204"/>
      <c r="EDW25" s="204"/>
      <c r="EDX25" s="204"/>
      <c r="EDY25" s="204"/>
      <c r="EDZ25" s="204"/>
      <c r="EEA25" s="204"/>
      <c r="EEB25" s="204"/>
      <c r="EEC25" s="204"/>
      <c r="EED25" s="204"/>
      <c r="EEE25" s="204"/>
      <c r="EEF25" s="204"/>
      <c r="EEG25" s="204"/>
      <c r="EEH25" s="204"/>
      <c r="EEI25" s="204"/>
      <c r="EEJ25" s="204"/>
      <c r="EEK25" s="204"/>
      <c r="EEL25" s="204"/>
      <c r="EEM25" s="204"/>
      <c r="EEN25" s="204"/>
      <c r="EEO25" s="204"/>
      <c r="EEP25" s="204"/>
      <c r="EEQ25" s="204"/>
      <c r="EER25" s="204"/>
      <c r="EES25" s="204"/>
      <c r="EET25" s="204"/>
      <c r="EEU25" s="204"/>
      <c r="EEV25" s="204"/>
      <c r="EEW25" s="204"/>
      <c r="EEX25" s="204"/>
      <c r="EEY25" s="204"/>
      <c r="EEZ25" s="204"/>
      <c r="EFA25" s="204"/>
      <c r="EFB25" s="204"/>
      <c r="EFC25" s="204"/>
      <c r="EFD25" s="204"/>
      <c r="EFE25" s="204"/>
      <c r="EFF25" s="204"/>
      <c r="EFG25" s="204"/>
      <c r="EFH25" s="204"/>
      <c r="EFI25" s="204"/>
      <c r="EFJ25" s="204"/>
      <c r="EFK25" s="204"/>
      <c r="EFL25" s="204"/>
      <c r="EFM25" s="204"/>
      <c r="EFN25" s="204"/>
      <c r="EFO25" s="204"/>
      <c r="EFP25" s="204"/>
      <c r="EFQ25" s="204"/>
      <c r="EFR25" s="204"/>
      <c r="EFS25" s="204"/>
      <c r="EFT25" s="204"/>
      <c r="EFU25" s="204"/>
      <c r="EFV25" s="204"/>
      <c r="EFW25" s="204"/>
      <c r="EFX25" s="204"/>
      <c r="EFY25" s="204"/>
      <c r="EFZ25" s="204"/>
      <c r="EGA25" s="204"/>
      <c r="EGB25" s="204"/>
      <c r="EGC25" s="204"/>
      <c r="EGD25" s="204"/>
      <c r="EGE25" s="204"/>
      <c r="EGF25" s="204"/>
      <c r="EGG25" s="204"/>
      <c r="EGH25" s="204"/>
      <c r="EGI25" s="204"/>
      <c r="EGJ25" s="204"/>
      <c r="EGK25" s="204"/>
      <c r="EGL25" s="204"/>
      <c r="EGM25" s="204"/>
      <c r="EGN25" s="204"/>
      <c r="EGO25" s="204"/>
      <c r="EGP25" s="204"/>
      <c r="EGQ25" s="204"/>
      <c r="EGR25" s="204"/>
      <c r="EGS25" s="204"/>
      <c r="EGT25" s="204"/>
      <c r="EGU25" s="204"/>
      <c r="EGV25" s="204"/>
      <c r="EGW25" s="204"/>
      <c r="EGX25" s="204"/>
      <c r="EGY25" s="204"/>
      <c r="EGZ25" s="204"/>
      <c r="EHA25" s="204"/>
      <c r="EHB25" s="204"/>
      <c r="EHC25" s="204"/>
      <c r="EHD25" s="204"/>
      <c r="EHE25" s="204"/>
      <c r="EHF25" s="204"/>
      <c r="EHG25" s="204"/>
      <c r="EHH25" s="204"/>
      <c r="EHI25" s="204"/>
      <c r="EHJ25" s="204"/>
      <c r="EHK25" s="204"/>
      <c r="EHL25" s="204"/>
      <c r="EHM25" s="204"/>
      <c r="EHN25" s="204"/>
      <c r="EHO25" s="204"/>
      <c r="EHP25" s="204"/>
      <c r="EHQ25" s="204"/>
      <c r="EHR25" s="204"/>
      <c r="EHS25" s="204"/>
      <c r="EHT25" s="204"/>
      <c r="EHU25" s="204"/>
      <c r="EHV25" s="204"/>
      <c r="EHW25" s="204"/>
      <c r="EHX25" s="204"/>
      <c r="EHY25" s="204"/>
      <c r="EHZ25" s="204"/>
      <c r="EIA25" s="204"/>
      <c r="EIB25" s="204"/>
      <c r="EIC25" s="204"/>
      <c r="EID25" s="204"/>
      <c r="EIE25" s="204"/>
      <c r="EIF25" s="204"/>
      <c r="EIG25" s="204"/>
      <c r="EIH25" s="204"/>
      <c r="EII25" s="204"/>
      <c r="EIJ25" s="204"/>
      <c r="EIK25" s="204"/>
      <c r="EIL25" s="204"/>
      <c r="EIM25" s="204"/>
      <c r="EIN25" s="204"/>
      <c r="EIO25" s="204"/>
      <c r="EIP25" s="204"/>
      <c r="EIQ25" s="204"/>
      <c r="EIR25" s="204"/>
      <c r="EIS25" s="204"/>
      <c r="EIT25" s="204"/>
      <c r="EIU25" s="204"/>
      <c r="EIV25" s="204"/>
      <c r="EIW25" s="204"/>
      <c r="EIX25" s="204"/>
      <c r="EIY25" s="204"/>
      <c r="EIZ25" s="204"/>
      <c r="EJA25" s="204"/>
      <c r="EJB25" s="204"/>
      <c r="EJC25" s="204"/>
      <c r="EJD25" s="204"/>
      <c r="EJE25" s="204"/>
      <c r="EJF25" s="204"/>
      <c r="EJG25" s="204"/>
      <c r="EJH25" s="204"/>
      <c r="EJI25" s="204"/>
      <c r="EJJ25" s="204"/>
      <c r="EJK25" s="204"/>
      <c r="EJL25" s="204"/>
      <c r="EJM25" s="204"/>
      <c r="EJN25" s="204"/>
      <c r="EJO25" s="204"/>
      <c r="EJP25" s="204"/>
      <c r="EJQ25" s="204"/>
      <c r="EJR25" s="204"/>
      <c r="EJS25" s="204"/>
      <c r="EJT25" s="204"/>
      <c r="EJU25" s="204"/>
      <c r="EJV25" s="204"/>
      <c r="EJW25" s="204"/>
      <c r="EJX25" s="204"/>
      <c r="EJY25" s="204"/>
      <c r="EJZ25" s="204"/>
      <c r="EKA25" s="204"/>
      <c r="EKB25" s="204"/>
      <c r="EKC25" s="204"/>
      <c r="EKD25" s="204"/>
      <c r="EKE25" s="204"/>
      <c r="EKF25" s="204"/>
      <c r="EKG25" s="204"/>
      <c r="EKH25" s="204"/>
      <c r="EKI25" s="204"/>
      <c r="EKJ25" s="204"/>
      <c r="EKK25" s="204"/>
      <c r="EKL25" s="204"/>
      <c r="EKM25" s="204"/>
      <c r="EKN25" s="204"/>
      <c r="EKO25" s="204"/>
      <c r="EKP25" s="204"/>
      <c r="EKQ25" s="204"/>
      <c r="EKR25" s="204"/>
      <c r="EKS25" s="204"/>
      <c r="EKT25" s="204"/>
      <c r="EKU25" s="204"/>
      <c r="EKV25" s="204"/>
      <c r="EKW25" s="204"/>
      <c r="EKX25" s="204"/>
      <c r="EKY25" s="204"/>
      <c r="EKZ25" s="204"/>
      <c r="ELA25" s="204"/>
      <c r="ELB25" s="204"/>
      <c r="ELC25" s="204"/>
      <c r="ELD25" s="204"/>
      <c r="ELE25" s="204"/>
      <c r="ELF25" s="204"/>
      <c r="ELG25" s="204"/>
      <c r="ELH25" s="204"/>
      <c r="ELI25" s="204"/>
      <c r="ELJ25" s="204"/>
      <c r="ELK25" s="204"/>
      <c r="ELL25" s="204"/>
      <c r="ELM25" s="204"/>
      <c r="ELN25" s="204"/>
      <c r="ELO25" s="204"/>
      <c r="ELP25" s="204"/>
      <c r="ELQ25" s="204"/>
      <c r="ELR25" s="204"/>
      <c r="ELS25" s="204"/>
      <c r="ELT25" s="204"/>
      <c r="ELU25" s="204"/>
      <c r="ELV25" s="204"/>
      <c r="ELW25" s="204"/>
      <c r="ELX25" s="204"/>
      <c r="ELY25" s="204"/>
      <c r="ELZ25" s="204"/>
      <c r="EMA25" s="204"/>
      <c r="EMB25" s="204"/>
      <c r="EMC25" s="204"/>
      <c r="EMD25" s="204"/>
      <c r="EME25" s="204"/>
      <c r="EMF25" s="204"/>
      <c r="EMG25" s="204"/>
      <c r="EMH25" s="204"/>
      <c r="EMI25" s="204"/>
      <c r="EMJ25" s="204"/>
      <c r="EMK25" s="204"/>
      <c r="EML25" s="204"/>
      <c r="EMM25" s="204"/>
      <c r="EMN25" s="204"/>
      <c r="EMO25" s="204"/>
      <c r="EMP25" s="204"/>
      <c r="EMQ25" s="204"/>
      <c r="EMR25" s="204"/>
      <c r="EMS25" s="204"/>
      <c r="EMT25" s="204"/>
      <c r="EMU25" s="204"/>
      <c r="EMV25" s="204"/>
      <c r="EMW25" s="204"/>
      <c r="EMX25" s="204"/>
      <c r="EMY25" s="204"/>
      <c r="EMZ25" s="204"/>
      <c r="ENA25" s="204"/>
      <c r="ENB25" s="204"/>
      <c r="ENC25" s="204"/>
      <c r="END25" s="204"/>
      <c r="ENE25" s="204"/>
      <c r="ENF25" s="204"/>
      <c r="ENG25" s="204"/>
      <c r="ENH25" s="204"/>
      <c r="ENI25" s="204"/>
      <c r="ENJ25" s="204"/>
      <c r="ENK25" s="204"/>
      <c r="ENL25" s="204"/>
      <c r="ENM25" s="204"/>
      <c r="ENN25" s="204"/>
      <c r="ENO25" s="204"/>
      <c r="ENP25" s="204"/>
      <c r="ENQ25" s="204"/>
      <c r="ENR25" s="204"/>
      <c r="ENS25" s="204"/>
      <c r="ENT25" s="204"/>
      <c r="ENU25" s="204"/>
      <c r="ENV25" s="204"/>
      <c r="ENW25" s="204"/>
      <c r="ENX25" s="204"/>
      <c r="ENY25" s="204"/>
      <c r="ENZ25" s="204"/>
      <c r="EOA25" s="204"/>
      <c r="EOB25" s="204"/>
      <c r="EOC25" s="204"/>
      <c r="EOD25" s="204"/>
      <c r="EOE25" s="204"/>
      <c r="EOF25" s="204"/>
      <c r="EOG25" s="204"/>
      <c r="EOH25" s="204"/>
      <c r="EOI25" s="204"/>
      <c r="EOJ25" s="204"/>
      <c r="EOK25" s="204"/>
      <c r="EOL25" s="204"/>
      <c r="EOM25" s="204"/>
      <c r="EON25" s="204"/>
      <c r="EOO25" s="204"/>
      <c r="EOP25" s="204"/>
      <c r="EOQ25" s="204"/>
      <c r="EOR25" s="204"/>
      <c r="EOS25" s="204"/>
      <c r="EOT25" s="204"/>
      <c r="EOU25" s="204"/>
      <c r="EOV25" s="204"/>
      <c r="EOW25" s="204"/>
      <c r="EOX25" s="204"/>
      <c r="EOY25" s="204"/>
      <c r="EOZ25" s="204"/>
      <c r="EPA25" s="204"/>
      <c r="EPB25" s="204"/>
      <c r="EPC25" s="204"/>
      <c r="EPD25" s="204"/>
      <c r="EPE25" s="204"/>
      <c r="EPF25" s="204"/>
      <c r="EPG25" s="204"/>
      <c r="EPH25" s="204"/>
      <c r="EPI25" s="204"/>
      <c r="EPJ25" s="204"/>
      <c r="EPK25" s="204"/>
      <c r="EPL25" s="204"/>
      <c r="EPM25" s="204"/>
      <c r="EPN25" s="204"/>
      <c r="EPO25" s="204"/>
      <c r="EPP25" s="204"/>
      <c r="EPQ25" s="204"/>
      <c r="EPR25" s="204"/>
      <c r="EPS25" s="204"/>
      <c r="EPT25" s="204"/>
      <c r="EPU25" s="204"/>
      <c r="EPV25" s="204"/>
      <c r="EPW25" s="204"/>
      <c r="EPX25" s="204"/>
      <c r="EPY25" s="204"/>
      <c r="EPZ25" s="204"/>
      <c r="EQA25" s="204"/>
      <c r="EQB25" s="204"/>
      <c r="EQC25" s="204"/>
      <c r="EQD25" s="204"/>
      <c r="EQE25" s="204"/>
      <c r="EQF25" s="204"/>
      <c r="EQG25" s="204"/>
      <c r="EQH25" s="204"/>
      <c r="EQI25" s="204"/>
      <c r="EQJ25" s="204"/>
      <c r="EQK25" s="204"/>
      <c r="EQL25" s="204"/>
      <c r="EQM25" s="204"/>
      <c r="EQN25" s="204"/>
      <c r="EQO25" s="204"/>
      <c r="EQP25" s="204"/>
      <c r="EQQ25" s="204"/>
      <c r="EQR25" s="204"/>
      <c r="EQS25" s="204"/>
      <c r="EQT25" s="204"/>
      <c r="EQU25" s="204"/>
      <c r="EQV25" s="204"/>
      <c r="EQW25" s="204"/>
      <c r="EQX25" s="204"/>
      <c r="EQY25" s="204"/>
      <c r="EQZ25" s="204"/>
      <c r="ERA25" s="204"/>
      <c r="ERB25" s="204"/>
      <c r="ERC25" s="204"/>
      <c r="ERD25" s="204"/>
      <c r="ERE25" s="204"/>
      <c r="ERF25" s="204"/>
      <c r="ERG25" s="204"/>
      <c r="ERH25" s="204"/>
      <c r="ERI25" s="204"/>
      <c r="ERJ25" s="204"/>
      <c r="ERK25" s="204"/>
      <c r="ERL25" s="204"/>
      <c r="ERM25" s="204"/>
      <c r="ERN25" s="204"/>
      <c r="ERO25" s="204"/>
      <c r="ERP25" s="204"/>
      <c r="ERQ25" s="204"/>
      <c r="ERR25" s="204"/>
      <c r="ERS25" s="204"/>
      <c r="ERT25" s="204"/>
      <c r="ERU25" s="204"/>
      <c r="ERV25" s="204"/>
      <c r="ERW25" s="204"/>
      <c r="ERX25" s="204"/>
      <c r="ERY25" s="204"/>
      <c r="ERZ25" s="204"/>
      <c r="ESA25" s="204"/>
      <c r="ESB25" s="204"/>
      <c r="ESC25" s="204"/>
      <c r="ESD25" s="204"/>
      <c r="ESE25" s="204"/>
      <c r="ESF25" s="204"/>
      <c r="ESG25" s="204"/>
      <c r="ESH25" s="204"/>
      <c r="ESI25" s="204"/>
      <c r="ESJ25" s="204"/>
      <c r="ESK25" s="204"/>
      <c r="ESL25" s="204"/>
      <c r="ESM25" s="204"/>
      <c r="ESN25" s="204"/>
      <c r="ESO25" s="204"/>
      <c r="ESP25" s="204"/>
      <c r="ESQ25" s="204"/>
      <c r="ESR25" s="204"/>
      <c r="ESS25" s="204"/>
      <c r="EST25" s="204"/>
      <c r="ESU25" s="204"/>
      <c r="ESV25" s="204"/>
      <c r="ESW25" s="204"/>
      <c r="ESX25" s="204"/>
      <c r="ESY25" s="204"/>
      <c r="ESZ25" s="204"/>
      <c r="ETA25" s="204"/>
      <c r="ETB25" s="204"/>
      <c r="ETC25" s="204"/>
      <c r="ETD25" s="204"/>
      <c r="ETE25" s="204"/>
      <c r="ETF25" s="204"/>
      <c r="ETG25" s="204"/>
      <c r="ETH25" s="204"/>
      <c r="ETI25" s="204"/>
      <c r="ETJ25" s="204"/>
      <c r="ETK25" s="204"/>
      <c r="ETL25" s="204"/>
      <c r="ETM25" s="204"/>
      <c r="ETN25" s="204"/>
      <c r="ETO25" s="204"/>
      <c r="ETP25" s="204"/>
      <c r="ETQ25" s="204"/>
      <c r="ETR25" s="204"/>
      <c r="ETS25" s="204"/>
      <c r="ETT25" s="204"/>
      <c r="ETU25" s="204"/>
      <c r="ETV25" s="204"/>
      <c r="ETW25" s="204"/>
      <c r="ETX25" s="204"/>
      <c r="ETY25" s="204"/>
      <c r="ETZ25" s="204"/>
      <c r="EUA25" s="204"/>
      <c r="EUB25" s="204"/>
      <c r="EUC25" s="204"/>
      <c r="EUD25" s="204"/>
      <c r="EUE25" s="204"/>
      <c r="EUF25" s="204"/>
      <c r="EUG25" s="204"/>
      <c r="EUH25" s="204"/>
      <c r="EUI25" s="204"/>
      <c r="EUJ25" s="204"/>
      <c r="EUK25" s="204"/>
      <c r="EUL25" s="204"/>
      <c r="EUM25" s="204"/>
      <c r="EUN25" s="204"/>
      <c r="EUO25" s="204"/>
      <c r="EUP25" s="204"/>
      <c r="EUQ25" s="204"/>
      <c r="EUR25" s="204"/>
      <c r="EUS25" s="204"/>
      <c r="EUT25" s="204"/>
      <c r="EUU25" s="204"/>
      <c r="EUV25" s="204"/>
      <c r="EUW25" s="204"/>
      <c r="EUX25" s="204"/>
      <c r="EUY25" s="204"/>
      <c r="EUZ25" s="204"/>
      <c r="EVA25" s="204"/>
      <c r="EVB25" s="204"/>
      <c r="EVC25" s="204"/>
      <c r="EVD25" s="204"/>
      <c r="EVE25" s="204"/>
      <c r="EVF25" s="204"/>
      <c r="EVG25" s="204"/>
      <c r="EVH25" s="204"/>
      <c r="EVI25" s="204"/>
      <c r="EVJ25" s="204"/>
      <c r="EVK25" s="204"/>
      <c r="EVL25" s="204"/>
      <c r="EVM25" s="204"/>
      <c r="EVN25" s="204"/>
      <c r="EVO25" s="204"/>
      <c r="EVP25" s="204"/>
      <c r="EVQ25" s="204"/>
      <c r="EVR25" s="204"/>
      <c r="EVS25" s="204"/>
      <c r="EVT25" s="204"/>
      <c r="EVU25" s="204"/>
      <c r="EVV25" s="204"/>
      <c r="EVW25" s="204"/>
      <c r="EVX25" s="204"/>
      <c r="EVY25" s="204"/>
      <c r="EVZ25" s="204"/>
      <c r="EWA25" s="204"/>
      <c r="EWB25" s="204"/>
      <c r="EWC25" s="204"/>
      <c r="EWD25" s="204"/>
      <c r="EWE25" s="204"/>
      <c r="EWF25" s="204"/>
      <c r="EWG25" s="204"/>
      <c r="EWH25" s="204"/>
      <c r="EWI25" s="204"/>
      <c r="EWJ25" s="204"/>
      <c r="EWK25" s="204"/>
      <c r="EWL25" s="204"/>
      <c r="EWM25" s="204"/>
      <c r="EWN25" s="204"/>
      <c r="EWO25" s="204"/>
      <c r="EWP25" s="204"/>
      <c r="EWQ25" s="204"/>
      <c r="EWR25" s="204"/>
      <c r="EWS25" s="204"/>
      <c r="EWT25" s="204"/>
      <c r="EWU25" s="204"/>
      <c r="EWV25" s="204"/>
      <c r="EWW25" s="204"/>
      <c r="EWX25" s="204"/>
      <c r="EWY25" s="204"/>
      <c r="EWZ25" s="204"/>
      <c r="EXA25" s="204"/>
      <c r="EXB25" s="204"/>
      <c r="EXC25" s="204"/>
      <c r="EXD25" s="204"/>
      <c r="EXE25" s="204"/>
      <c r="EXF25" s="204"/>
      <c r="EXG25" s="204"/>
      <c r="EXH25" s="204"/>
      <c r="EXI25" s="204"/>
      <c r="EXJ25" s="204"/>
      <c r="EXK25" s="204"/>
      <c r="EXL25" s="204"/>
      <c r="EXM25" s="204"/>
      <c r="EXN25" s="204"/>
      <c r="EXO25" s="204"/>
      <c r="EXP25" s="204"/>
      <c r="EXQ25" s="204"/>
      <c r="EXR25" s="204"/>
      <c r="EXS25" s="204"/>
      <c r="EXT25" s="204"/>
      <c r="EXU25" s="204"/>
      <c r="EXV25" s="204"/>
      <c r="EXW25" s="204"/>
      <c r="EXX25" s="204"/>
      <c r="EXY25" s="204"/>
      <c r="EXZ25" s="204"/>
      <c r="EYA25" s="204"/>
      <c r="EYB25" s="204"/>
      <c r="EYC25" s="204"/>
      <c r="EYD25" s="204"/>
      <c r="EYE25" s="204"/>
      <c r="EYF25" s="204"/>
      <c r="EYG25" s="204"/>
      <c r="EYH25" s="204"/>
      <c r="EYI25" s="204"/>
      <c r="EYJ25" s="204"/>
      <c r="EYK25" s="204"/>
      <c r="EYL25" s="204"/>
      <c r="EYM25" s="204"/>
      <c r="EYN25" s="204"/>
      <c r="EYO25" s="204"/>
      <c r="EYP25" s="204"/>
      <c r="EYQ25" s="204"/>
      <c r="EYR25" s="204"/>
      <c r="EYS25" s="204"/>
      <c r="EYT25" s="204"/>
      <c r="EYU25" s="204"/>
      <c r="EYV25" s="204"/>
      <c r="EYW25" s="204"/>
      <c r="EYX25" s="204"/>
      <c r="EYY25" s="204"/>
      <c r="EYZ25" s="204"/>
      <c r="EZA25" s="204"/>
      <c r="EZB25" s="204"/>
      <c r="EZC25" s="204"/>
      <c r="EZD25" s="204"/>
      <c r="EZE25" s="204"/>
      <c r="EZF25" s="204"/>
      <c r="EZG25" s="204"/>
      <c r="EZH25" s="204"/>
      <c r="EZI25" s="204"/>
      <c r="EZJ25" s="204"/>
      <c r="EZK25" s="204"/>
      <c r="EZL25" s="204"/>
      <c r="EZM25" s="204"/>
      <c r="EZN25" s="204"/>
      <c r="EZO25" s="204"/>
      <c r="EZP25" s="204"/>
      <c r="EZQ25" s="204"/>
      <c r="EZR25" s="204"/>
      <c r="EZS25" s="204"/>
      <c r="EZT25" s="204"/>
      <c r="EZU25" s="204"/>
      <c r="EZV25" s="204"/>
      <c r="EZW25" s="204"/>
      <c r="EZX25" s="204"/>
      <c r="EZY25" s="204"/>
      <c r="EZZ25" s="204"/>
      <c r="FAA25" s="204"/>
      <c r="FAB25" s="204"/>
      <c r="FAC25" s="204"/>
      <c r="FAD25" s="204"/>
      <c r="FAE25" s="204"/>
      <c r="FAF25" s="204"/>
      <c r="FAG25" s="204"/>
      <c r="FAH25" s="204"/>
      <c r="FAI25" s="204"/>
      <c r="FAJ25" s="204"/>
      <c r="FAK25" s="204"/>
      <c r="FAL25" s="204"/>
      <c r="FAM25" s="204"/>
      <c r="FAN25" s="204"/>
      <c r="FAO25" s="204"/>
      <c r="FAP25" s="204"/>
      <c r="FAQ25" s="204"/>
      <c r="FAR25" s="204"/>
      <c r="FAS25" s="204"/>
      <c r="FAT25" s="204"/>
      <c r="FAU25" s="204"/>
      <c r="FAV25" s="204"/>
      <c r="FAW25" s="204"/>
      <c r="FAX25" s="204"/>
      <c r="FAY25" s="204"/>
      <c r="FAZ25" s="204"/>
      <c r="FBA25" s="204"/>
      <c r="FBB25" s="204"/>
      <c r="FBC25" s="204"/>
      <c r="FBD25" s="204"/>
      <c r="FBE25" s="204"/>
      <c r="FBF25" s="204"/>
      <c r="FBG25" s="204"/>
      <c r="FBH25" s="204"/>
      <c r="FBI25" s="204"/>
      <c r="FBJ25" s="204"/>
      <c r="FBK25" s="204"/>
      <c r="FBL25" s="204"/>
      <c r="FBM25" s="204"/>
      <c r="FBN25" s="204"/>
      <c r="FBO25" s="204"/>
      <c r="FBP25" s="204"/>
      <c r="FBQ25" s="204"/>
      <c r="FBR25" s="204"/>
      <c r="FBS25" s="204"/>
      <c r="FBT25" s="204"/>
      <c r="FBU25" s="204"/>
      <c r="FBV25" s="204"/>
      <c r="FBW25" s="204"/>
      <c r="FBX25" s="204"/>
      <c r="FBY25" s="204"/>
      <c r="FBZ25" s="204"/>
      <c r="FCA25" s="204"/>
      <c r="FCB25" s="204"/>
      <c r="FCC25" s="204"/>
      <c r="FCD25" s="204"/>
      <c r="FCE25" s="204"/>
      <c r="FCF25" s="204"/>
      <c r="FCG25" s="204"/>
      <c r="FCH25" s="204"/>
      <c r="FCI25" s="204"/>
      <c r="FCJ25" s="204"/>
      <c r="FCK25" s="204"/>
      <c r="FCL25" s="204"/>
      <c r="FCM25" s="204"/>
      <c r="FCN25" s="204"/>
      <c r="FCO25" s="204"/>
      <c r="FCP25" s="204"/>
      <c r="FCQ25" s="204"/>
      <c r="FCR25" s="204"/>
      <c r="FCS25" s="204"/>
      <c r="FCT25" s="204"/>
      <c r="FCU25" s="204"/>
      <c r="FCV25" s="204"/>
      <c r="FCW25" s="204"/>
      <c r="FCX25" s="204"/>
      <c r="FCY25" s="204"/>
      <c r="FCZ25" s="204"/>
      <c r="FDA25" s="204"/>
      <c r="FDB25" s="204"/>
      <c r="FDC25" s="204"/>
      <c r="FDD25" s="204"/>
      <c r="FDE25" s="204"/>
      <c r="FDF25" s="204"/>
      <c r="FDG25" s="204"/>
      <c r="FDH25" s="204"/>
      <c r="FDI25" s="204"/>
      <c r="FDJ25" s="204"/>
      <c r="FDK25" s="204"/>
      <c r="FDL25" s="204"/>
      <c r="FDM25" s="204"/>
      <c r="FDN25" s="204"/>
      <c r="FDO25" s="204"/>
      <c r="FDP25" s="204"/>
      <c r="FDQ25" s="204"/>
      <c r="FDR25" s="204"/>
      <c r="FDS25" s="204"/>
      <c r="FDT25" s="204"/>
      <c r="FDU25" s="204"/>
      <c r="FDV25" s="204"/>
      <c r="FDW25" s="204"/>
      <c r="FDX25" s="204"/>
      <c r="FDY25" s="204"/>
      <c r="FDZ25" s="204"/>
      <c r="FEA25" s="204"/>
      <c r="FEB25" s="204"/>
      <c r="FEC25" s="204"/>
      <c r="FED25" s="204"/>
      <c r="FEE25" s="204"/>
      <c r="FEF25" s="204"/>
      <c r="FEG25" s="204"/>
      <c r="FEH25" s="204"/>
      <c r="FEI25" s="204"/>
      <c r="FEJ25" s="204"/>
      <c r="FEK25" s="204"/>
      <c r="FEL25" s="204"/>
      <c r="FEM25" s="204"/>
      <c r="FEN25" s="204"/>
      <c r="FEO25" s="204"/>
      <c r="FEP25" s="204"/>
      <c r="FEQ25" s="204"/>
      <c r="FER25" s="204"/>
      <c r="FES25" s="204"/>
      <c r="FET25" s="204"/>
      <c r="FEU25" s="204"/>
      <c r="FEV25" s="204"/>
      <c r="FEW25" s="204"/>
      <c r="FEX25" s="204"/>
      <c r="FEY25" s="204"/>
      <c r="FEZ25" s="204"/>
      <c r="FFA25" s="204"/>
      <c r="FFB25" s="204"/>
      <c r="FFC25" s="204"/>
      <c r="FFD25" s="204"/>
      <c r="FFE25" s="204"/>
      <c r="FFF25" s="204"/>
      <c r="FFG25" s="204"/>
      <c r="FFH25" s="204"/>
      <c r="FFI25" s="204"/>
      <c r="FFJ25" s="204"/>
      <c r="FFK25" s="204"/>
      <c r="FFL25" s="204"/>
      <c r="FFM25" s="204"/>
      <c r="FFN25" s="204"/>
      <c r="FFO25" s="204"/>
      <c r="FFP25" s="204"/>
      <c r="FFQ25" s="204"/>
      <c r="FFR25" s="204"/>
      <c r="FFS25" s="204"/>
      <c r="FFT25" s="204"/>
      <c r="FFU25" s="204"/>
      <c r="FFV25" s="204"/>
      <c r="FFW25" s="204"/>
      <c r="FFX25" s="204"/>
      <c r="FFY25" s="204"/>
      <c r="FFZ25" s="204"/>
      <c r="FGA25" s="204"/>
      <c r="FGB25" s="204"/>
      <c r="FGC25" s="204"/>
      <c r="FGD25" s="204"/>
      <c r="FGE25" s="204"/>
      <c r="FGF25" s="204"/>
      <c r="FGG25" s="204"/>
      <c r="FGH25" s="204"/>
      <c r="FGI25" s="204"/>
      <c r="FGJ25" s="204"/>
      <c r="FGK25" s="204"/>
      <c r="FGL25" s="204"/>
      <c r="FGM25" s="204"/>
      <c r="FGN25" s="204"/>
      <c r="FGO25" s="204"/>
      <c r="FGP25" s="204"/>
      <c r="FGQ25" s="204"/>
      <c r="FGR25" s="204"/>
      <c r="FGS25" s="204"/>
      <c r="FGT25" s="204"/>
      <c r="FGU25" s="204"/>
      <c r="FGV25" s="204"/>
      <c r="FGW25" s="204"/>
      <c r="FGX25" s="204"/>
      <c r="FGY25" s="204"/>
      <c r="FGZ25" s="204"/>
      <c r="FHA25" s="204"/>
      <c r="FHB25" s="204"/>
      <c r="FHC25" s="204"/>
      <c r="FHD25" s="204"/>
      <c r="FHE25" s="204"/>
      <c r="FHF25" s="204"/>
      <c r="FHG25" s="204"/>
      <c r="FHH25" s="204"/>
      <c r="FHI25" s="204"/>
      <c r="FHJ25" s="204"/>
      <c r="FHK25" s="204"/>
      <c r="FHL25" s="204"/>
      <c r="FHM25" s="204"/>
      <c r="FHN25" s="204"/>
      <c r="FHO25" s="204"/>
      <c r="FHP25" s="204"/>
      <c r="FHQ25" s="204"/>
      <c r="FHR25" s="204"/>
      <c r="FHS25" s="204"/>
      <c r="FHT25" s="204"/>
      <c r="FHU25" s="204"/>
      <c r="FHV25" s="204"/>
      <c r="FHW25" s="204"/>
      <c r="FHX25" s="204"/>
      <c r="FHY25" s="204"/>
      <c r="FHZ25" s="204"/>
      <c r="FIA25" s="204"/>
      <c r="FIB25" s="204"/>
      <c r="FIC25" s="204"/>
      <c r="FID25" s="204"/>
      <c r="FIE25" s="204"/>
      <c r="FIF25" s="204"/>
      <c r="FIG25" s="204"/>
      <c r="FIH25" s="204"/>
      <c r="FII25" s="204"/>
      <c r="FIJ25" s="204"/>
      <c r="FIK25" s="204"/>
      <c r="FIL25" s="204"/>
      <c r="FIM25" s="204"/>
      <c r="FIN25" s="204"/>
      <c r="FIO25" s="204"/>
      <c r="FIP25" s="204"/>
      <c r="FIQ25" s="204"/>
      <c r="FIR25" s="204"/>
      <c r="FIS25" s="204"/>
      <c r="FIT25" s="204"/>
      <c r="FIU25" s="204"/>
      <c r="FIV25" s="204"/>
      <c r="FIW25" s="204"/>
      <c r="FIX25" s="204"/>
      <c r="FIY25" s="204"/>
      <c r="FIZ25" s="204"/>
      <c r="FJA25" s="204"/>
      <c r="FJB25" s="204"/>
      <c r="FJC25" s="204"/>
      <c r="FJD25" s="204"/>
      <c r="FJE25" s="204"/>
      <c r="FJF25" s="204"/>
      <c r="FJG25" s="204"/>
      <c r="FJH25" s="204"/>
      <c r="FJI25" s="204"/>
      <c r="FJJ25" s="204"/>
      <c r="FJK25" s="204"/>
      <c r="FJL25" s="204"/>
      <c r="FJM25" s="204"/>
      <c r="FJN25" s="204"/>
      <c r="FJO25" s="204"/>
      <c r="FJP25" s="204"/>
      <c r="FJQ25" s="204"/>
      <c r="FJR25" s="204"/>
      <c r="FJS25" s="204"/>
      <c r="FJT25" s="204"/>
      <c r="FJU25" s="204"/>
      <c r="FJV25" s="204"/>
      <c r="FJW25" s="204"/>
      <c r="FJX25" s="204"/>
      <c r="FJY25" s="204"/>
      <c r="FJZ25" s="204"/>
      <c r="FKA25" s="204"/>
      <c r="FKB25" s="204"/>
      <c r="FKC25" s="204"/>
      <c r="FKD25" s="204"/>
      <c r="FKE25" s="204"/>
      <c r="FKF25" s="204"/>
      <c r="FKG25" s="204"/>
      <c r="FKH25" s="204"/>
      <c r="FKI25" s="204"/>
      <c r="FKJ25" s="204"/>
      <c r="FKK25" s="204"/>
      <c r="FKL25" s="204"/>
      <c r="FKM25" s="204"/>
      <c r="FKN25" s="204"/>
      <c r="FKO25" s="204"/>
      <c r="FKP25" s="204"/>
      <c r="FKQ25" s="204"/>
      <c r="FKR25" s="204"/>
      <c r="FKS25" s="204"/>
      <c r="FKT25" s="204"/>
      <c r="FKU25" s="204"/>
      <c r="FKV25" s="204"/>
      <c r="FKW25" s="204"/>
      <c r="FKX25" s="204"/>
      <c r="FKY25" s="204"/>
      <c r="FKZ25" s="204"/>
      <c r="FLA25" s="204"/>
      <c r="FLB25" s="204"/>
      <c r="FLC25" s="204"/>
      <c r="FLD25" s="204"/>
      <c r="FLE25" s="204"/>
      <c r="FLF25" s="204"/>
      <c r="FLG25" s="204"/>
      <c r="FLH25" s="204"/>
      <c r="FLI25" s="204"/>
      <c r="FLJ25" s="204"/>
      <c r="FLK25" s="204"/>
      <c r="FLL25" s="204"/>
      <c r="FLM25" s="204"/>
      <c r="FLN25" s="204"/>
      <c r="FLO25" s="204"/>
      <c r="FLP25" s="204"/>
      <c r="FLQ25" s="204"/>
      <c r="FLR25" s="204"/>
      <c r="FLS25" s="204"/>
      <c r="FLT25" s="204"/>
      <c r="FLU25" s="204"/>
      <c r="FLV25" s="204"/>
      <c r="FLW25" s="204"/>
      <c r="FLX25" s="204"/>
      <c r="FLY25" s="204"/>
      <c r="FLZ25" s="204"/>
      <c r="FMA25" s="204"/>
      <c r="FMB25" s="204"/>
      <c r="FMC25" s="204"/>
      <c r="FMD25" s="204"/>
      <c r="FME25" s="204"/>
      <c r="FMF25" s="204"/>
      <c r="FMG25" s="204"/>
      <c r="FMH25" s="204"/>
      <c r="FMI25" s="204"/>
      <c r="FMJ25" s="204"/>
      <c r="FMK25" s="204"/>
      <c r="FML25" s="204"/>
      <c r="FMM25" s="204"/>
      <c r="FMN25" s="204"/>
      <c r="FMO25" s="204"/>
      <c r="FMP25" s="204"/>
      <c r="FMQ25" s="204"/>
      <c r="FMR25" s="204"/>
      <c r="FMS25" s="204"/>
      <c r="FMT25" s="204"/>
      <c r="FMU25" s="204"/>
      <c r="FMV25" s="204"/>
      <c r="FMW25" s="204"/>
      <c r="FMX25" s="204"/>
      <c r="FMY25" s="204"/>
      <c r="FMZ25" s="204"/>
      <c r="FNA25" s="204"/>
      <c r="FNB25" s="204"/>
      <c r="FNC25" s="204"/>
      <c r="FND25" s="204"/>
      <c r="FNE25" s="204"/>
      <c r="FNF25" s="204"/>
      <c r="FNG25" s="204"/>
      <c r="FNH25" s="204"/>
      <c r="FNI25" s="204"/>
      <c r="FNJ25" s="204"/>
      <c r="FNK25" s="204"/>
      <c r="FNL25" s="204"/>
      <c r="FNM25" s="204"/>
      <c r="FNN25" s="204"/>
      <c r="FNO25" s="204"/>
      <c r="FNP25" s="204"/>
      <c r="FNQ25" s="204"/>
      <c r="FNR25" s="204"/>
      <c r="FNS25" s="204"/>
      <c r="FNT25" s="204"/>
      <c r="FNU25" s="204"/>
      <c r="FNV25" s="204"/>
      <c r="FNW25" s="204"/>
      <c r="FNX25" s="204"/>
      <c r="FNY25" s="204"/>
      <c r="FNZ25" s="204"/>
      <c r="FOA25" s="204"/>
      <c r="FOB25" s="204"/>
      <c r="FOC25" s="204"/>
      <c r="FOD25" s="204"/>
      <c r="FOE25" s="204"/>
      <c r="FOF25" s="204"/>
      <c r="FOG25" s="204"/>
      <c r="FOH25" s="204"/>
      <c r="FOI25" s="204"/>
      <c r="FOJ25" s="204"/>
      <c r="FOK25" s="204"/>
      <c r="FOL25" s="204"/>
      <c r="FOM25" s="204"/>
      <c r="FON25" s="204"/>
      <c r="FOO25" s="204"/>
      <c r="FOP25" s="204"/>
      <c r="FOQ25" s="204"/>
      <c r="FOR25" s="204"/>
      <c r="FOS25" s="204"/>
      <c r="FOT25" s="204"/>
      <c r="FOU25" s="204"/>
      <c r="FOV25" s="204"/>
      <c r="FOW25" s="204"/>
      <c r="FOX25" s="204"/>
      <c r="FOY25" s="204"/>
      <c r="FOZ25" s="204"/>
      <c r="FPA25" s="204"/>
      <c r="FPB25" s="204"/>
      <c r="FPC25" s="204"/>
      <c r="FPD25" s="204"/>
      <c r="FPE25" s="204"/>
      <c r="FPF25" s="204"/>
      <c r="FPG25" s="204"/>
      <c r="FPH25" s="204"/>
      <c r="FPI25" s="204"/>
      <c r="FPJ25" s="204"/>
      <c r="FPK25" s="204"/>
      <c r="FPL25" s="204"/>
      <c r="FPM25" s="204"/>
      <c r="FPN25" s="204"/>
      <c r="FPO25" s="204"/>
      <c r="FPP25" s="204"/>
      <c r="FPQ25" s="204"/>
      <c r="FPR25" s="204"/>
      <c r="FPS25" s="204"/>
      <c r="FPT25" s="204"/>
      <c r="FPU25" s="204"/>
      <c r="FPV25" s="204"/>
      <c r="FPW25" s="204"/>
      <c r="FPX25" s="204"/>
      <c r="FPY25" s="204"/>
      <c r="FPZ25" s="204"/>
      <c r="FQA25" s="204"/>
      <c r="FQB25" s="204"/>
      <c r="FQC25" s="204"/>
      <c r="FQD25" s="204"/>
      <c r="FQE25" s="204"/>
      <c r="FQF25" s="204"/>
      <c r="FQG25" s="204"/>
      <c r="FQH25" s="204"/>
      <c r="FQI25" s="204"/>
      <c r="FQJ25" s="204"/>
      <c r="FQK25" s="204"/>
      <c r="FQL25" s="204"/>
      <c r="FQM25" s="204"/>
      <c r="FQN25" s="204"/>
      <c r="FQO25" s="204"/>
      <c r="FQP25" s="204"/>
      <c r="FQQ25" s="204"/>
      <c r="FQR25" s="204"/>
      <c r="FQS25" s="204"/>
      <c r="FQT25" s="204"/>
      <c r="FQU25" s="204"/>
      <c r="FQV25" s="204"/>
      <c r="FQW25" s="204"/>
      <c r="FQX25" s="204"/>
      <c r="FQY25" s="204"/>
      <c r="FQZ25" s="204"/>
      <c r="FRA25" s="204"/>
      <c r="FRB25" s="204"/>
      <c r="FRC25" s="204"/>
      <c r="FRD25" s="204"/>
      <c r="FRE25" s="204"/>
      <c r="FRF25" s="204"/>
      <c r="FRG25" s="204"/>
      <c r="FRH25" s="204"/>
      <c r="FRI25" s="204"/>
      <c r="FRJ25" s="204"/>
      <c r="FRK25" s="204"/>
      <c r="FRL25" s="204"/>
      <c r="FRM25" s="204"/>
      <c r="FRN25" s="204"/>
      <c r="FRO25" s="204"/>
      <c r="FRP25" s="204"/>
      <c r="FRQ25" s="204"/>
      <c r="FRR25" s="204"/>
      <c r="FRS25" s="204"/>
      <c r="FRT25" s="204"/>
      <c r="FRU25" s="204"/>
      <c r="FRV25" s="204"/>
      <c r="FRW25" s="204"/>
      <c r="FRX25" s="204"/>
      <c r="FRY25" s="204"/>
      <c r="FRZ25" s="204"/>
      <c r="FSA25" s="204"/>
      <c r="FSB25" s="204"/>
      <c r="FSC25" s="204"/>
      <c r="FSD25" s="204"/>
      <c r="FSE25" s="204"/>
      <c r="FSF25" s="204"/>
      <c r="FSG25" s="204"/>
      <c r="FSH25" s="204"/>
      <c r="FSI25" s="204"/>
      <c r="FSJ25" s="204"/>
      <c r="FSK25" s="204"/>
      <c r="FSL25" s="204"/>
      <c r="FSM25" s="204"/>
      <c r="FSN25" s="204"/>
      <c r="FSO25" s="204"/>
      <c r="FSP25" s="204"/>
      <c r="FSQ25" s="204"/>
      <c r="FSR25" s="204"/>
      <c r="FSS25" s="204"/>
      <c r="FST25" s="204"/>
      <c r="FSU25" s="204"/>
      <c r="FSV25" s="204"/>
      <c r="FSW25" s="204"/>
      <c r="FSX25" s="204"/>
      <c r="FSY25" s="204"/>
      <c r="FSZ25" s="204"/>
      <c r="FTA25" s="204"/>
      <c r="FTB25" s="204"/>
      <c r="FTC25" s="204"/>
      <c r="FTD25" s="204"/>
      <c r="FTE25" s="204"/>
      <c r="FTF25" s="204"/>
      <c r="FTG25" s="204"/>
      <c r="FTH25" s="204"/>
      <c r="FTI25" s="204"/>
      <c r="FTJ25" s="204"/>
      <c r="FTK25" s="204"/>
      <c r="FTL25" s="204"/>
      <c r="FTM25" s="204"/>
      <c r="FTN25" s="204"/>
      <c r="FTO25" s="204"/>
      <c r="FTP25" s="204"/>
      <c r="FTQ25" s="204"/>
      <c r="FTR25" s="204"/>
      <c r="FTS25" s="204"/>
      <c r="FTT25" s="204"/>
      <c r="FTU25" s="204"/>
      <c r="FTV25" s="204"/>
      <c r="FTW25" s="204"/>
      <c r="FTX25" s="204"/>
      <c r="FTY25" s="204"/>
      <c r="FTZ25" s="204"/>
      <c r="FUA25" s="204"/>
      <c r="FUB25" s="204"/>
      <c r="FUC25" s="204"/>
      <c r="FUD25" s="204"/>
      <c r="FUE25" s="204"/>
      <c r="FUF25" s="204"/>
      <c r="FUG25" s="204"/>
      <c r="FUH25" s="204"/>
      <c r="FUI25" s="204"/>
      <c r="FUJ25" s="204"/>
      <c r="FUK25" s="204"/>
      <c r="FUL25" s="204"/>
      <c r="FUM25" s="204"/>
      <c r="FUN25" s="204"/>
      <c r="FUO25" s="204"/>
      <c r="FUP25" s="204"/>
      <c r="FUQ25" s="204"/>
      <c r="FUR25" s="204"/>
      <c r="FUS25" s="204"/>
      <c r="FUT25" s="204"/>
      <c r="FUU25" s="204"/>
      <c r="FUV25" s="204"/>
      <c r="FUW25" s="204"/>
      <c r="FUX25" s="204"/>
      <c r="FUY25" s="204"/>
      <c r="FUZ25" s="204"/>
      <c r="FVA25" s="204"/>
      <c r="FVB25" s="204"/>
      <c r="FVC25" s="204"/>
      <c r="FVD25" s="204"/>
      <c r="FVE25" s="204"/>
      <c r="FVF25" s="204"/>
      <c r="FVG25" s="204"/>
      <c r="FVH25" s="204"/>
      <c r="FVI25" s="204"/>
      <c r="FVJ25" s="204"/>
      <c r="FVK25" s="204"/>
      <c r="FVL25" s="204"/>
      <c r="FVM25" s="204"/>
      <c r="FVN25" s="204"/>
      <c r="FVO25" s="204"/>
      <c r="FVP25" s="204"/>
      <c r="FVQ25" s="204"/>
      <c r="FVR25" s="204"/>
      <c r="FVS25" s="204"/>
      <c r="FVT25" s="204"/>
      <c r="FVU25" s="204"/>
      <c r="FVV25" s="204"/>
      <c r="FVW25" s="204"/>
      <c r="FVX25" s="204"/>
      <c r="FVY25" s="204"/>
      <c r="FVZ25" s="204"/>
      <c r="FWA25" s="204"/>
      <c r="FWB25" s="204"/>
      <c r="FWC25" s="204"/>
      <c r="FWD25" s="204"/>
      <c r="FWE25" s="204"/>
      <c r="FWF25" s="204"/>
      <c r="FWG25" s="204"/>
      <c r="FWH25" s="204"/>
      <c r="FWI25" s="204"/>
      <c r="FWJ25" s="204"/>
      <c r="FWK25" s="204"/>
      <c r="FWL25" s="204"/>
      <c r="FWM25" s="204"/>
      <c r="FWN25" s="204"/>
      <c r="FWO25" s="204"/>
      <c r="FWP25" s="204"/>
      <c r="FWQ25" s="204"/>
      <c r="FWR25" s="204"/>
      <c r="FWS25" s="204"/>
      <c r="FWT25" s="204"/>
      <c r="FWU25" s="204"/>
      <c r="FWV25" s="204"/>
      <c r="FWW25" s="204"/>
      <c r="FWX25" s="204"/>
      <c r="FWY25" s="204"/>
      <c r="FWZ25" s="204"/>
      <c r="FXA25" s="204"/>
      <c r="FXB25" s="204"/>
      <c r="FXC25" s="204"/>
      <c r="FXD25" s="204"/>
      <c r="FXE25" s="204"/>
      <c r="FXF25" s="204"/>
      <c r="FXG25" s="204"/>
      <c r="FXH25" s="204"/>
      <c r="FXI25" s="204"/>
      <c r="FXJ25" s="204"/>
      <c r="FXK25" s="204"/>
      <c r="FXL25" s="204"/>
      <c r="FXM25" s="204"/>
      <c r="FXN25" s="204"/>
      <c r="FXO25" s="204"/>
      <c r="FXP25" s="204"/>
      <c r="FXQ25" s="204"/>
      <c r="FXR25" s="204"/>
      <c r="FXS25" s="204"/>
      <c r="FXT25" s="204"/>
      <c r="FXU25" s="204"/>
      <c r="FXV25" s="204"/>
      <c r="FXW25" s="204"/>
      <c r="FXX25" s="204"/>
      <c r="FXY25" s="204"/>
      <c r="FXZ25" s="204"/>
      <c r="FYA25" s="204"/>
      <c r="FYB25" s="204"/>
      <c r="FYC25" s="204"/>
      <c r="FYD25" s="204"/>
      <c r="FYE25" s="204"/>
      <c r="FYF25" s="204"/>
      <c r="FYG25" s="204"/>
      <c r="FYH25" s="204"/>
      <c r="FYI25" s="204"/>
      <c r="FYJ25" s="204"/>
      <c r="FYK25" s="204"/>
      <c r="FYL25" s="204"/>
      <c r="FYM25" s="204"/>
      <c r="FYN25" s="204"/>
      <c r="FYO25" s="204"/>
      <c r="FYP25" s="204"/>
      <c r="FYQ25" s="204"/>
      <c r="FYR25" s="204"/>
      <c r="FYS25" s="204"/>
      <c r="FYT25" s="204"/>
      <c r="FYU25" s="204"/>
      <c r="FYV25" s="204"/>
      <c r="FYW25" s="204"/>
      <c r="FYX25" s="204"/>
      <c r="FYY25" s="204"/>
      <c r="FYZ25" s="204"/>
      <c r="FZA25" s="204"/>
      <c r="FZB25" s="204"/>
      <c r="FZC25" s="204"/>
      <c r="FZD25" s="204"/>
      <c r="FZE25" s="204"/>
      <c r="FZF25" s="204"/>
      <c r="FZG25" s="204"/>
      <c r="FZH25" s="204"/>
      <c r="FZI25" s="204"/>
      <c r="FZJ25" s="204"/>
      <c r="FZK25" s="204"/>
      <c r="FZL25" s="204"/>
      <c r="FZM25" s="204"/>
      <c r="FZN25" s="204"/>
      <c r="FZO25" s="204"/>
      <c r="FZP25" s="204"/>
      <c r="FZQ25" s="204"/>
      <c r="FZR25" s="204"/>
      <c r="FZS25" s="204"/>
      <c r="FZT25" s="204"/>
      <c r="FZU25" s="204"/>
      <c r="FZV25" s="204"/>
      <c r="FZW25" s="204"/>
      <c r="FZX25" s="204"/>
      <c r="FZY25" s="204"/>
      <c r="FZZ25" s="204"/>
      <c r="GAA25" s="204"/>
      <c r="GAB25" s="204"/>
      <c r="GAC25" s="204"/>
      <c r="GAD25" s="204"/>
      <c r="GAE25" s="204"/>
      <c r="GAF25" s="204"/>
      <c r="GAG25" s="204"/>
      <c r="GAH25" s="204"/>
      <c r="GAI25" s="204"/>
      <c r="GAJ25" s="204"/>
      <c r="GAK25" s="204"/>
      <c r="GAL25" s="204"/>
      <c r="GAM25" s="204"/>
      <c r="GAN25" s="204"/>
      <c r="GAO25" s="204"/>
      <c r="GAP25" s="204"/>
      <c r="GAQ25" s="204"/>
      <c r="GAR25" s="204"/>
      <c r="GAS25" s="204"/>
      <c r="GAT25" s="204"/>
      <c r="GAU25" s="204"/>
      <c r="GAV25" s="204"/>
      <c r="GAW25" s="204"/>
      <c r="GAX25" s="204"/>
      <c r="GAY25" s="204"/>
      <c r="GAZ25" s="204"/>
      <c r="GBA25" s="204"/>
      <c r="GBB25" s="204"/>
      <c r="GBC25" s="204"/>
      <c r="GBD25" s="204"/>
      <c r="GBE25" s="204"/>
      <c r="GBF25" s="204"/>
      <c r="GBG25" s="204"/>
      <c r="GBH25" s="204"/>
      <c r="GBI25" s="204"/>
      <c r="GBJ25" s="204"/>
      <c r="GBK25" s="204"/>
      <c r="GBL25" s="204"/>
      <c r="GBM25" s="204"/>
      <c r="GBN25" s="204"/>
      <c r="GBO25" s="204"/>
      <c r="GBP25" s="204"/>
      <c r="GBQ25" s="204"/>
      <c r="GBR25" s="204"/>
      <c r="GBS25" s="204"/>
      <c r="GBT25" s="204"/>
      <c r="GBU25" s="204"/>
      <c r="GBV25" s="204"/>
      <c r="GBW25" s="204"/>
      <c r="GBX25" s="204"/>
      <c r="GBY25" s="204"/>
      <c r="GBZ25" s="204"/>
      <c r="GCA25" s="204"/>
      <c r="GCB25" s="204"/>
      <c r="GCC25" s="204"/>
      <c r="GCD25" s="204"/>
      <c r="GCE25" s="204"/>
      <c r="GCF25" s="204"/>
      <c r="GCG25" s="204"/>
      <c r="GCH25" s="204"/>
      <c r="GCI25" s="204"/>
      <c r="GCJ25" s="204"/>
      <c r="GCK25" s="204"/>
      <c r="GCL25" s="204"/>
      <c r="GCM25" s="204"/>
      <c r="GCN25" s="204"/>
      <c r="GCO25" s="204"/>
      <c r="GCP25" s="204"/>
      <c r="GCQ25" s="204"/>
      <c r="GCR25" s="204"/>
      <c r="GCS25" s="204"/>
      <c r="GCT25" s="204"/>
      <c r="GCU25" s="204"/>
      <c r="GCV25" s="204"/>
      <c r="GCW25" s="204"/>
      <c r="GCX25" s="204"/>
      <c r="GCY25" s="204"/>
      <c r="GCZ25" s="204"/>
      <c r="GDA25" s="204"/>
      <c r="GDB25" s="204"/>
      <c r="GDC25" s="204"/>
      <c r="GDD25" s="204"/>
      <c r="GDE25" s="204"/>
      <c r="GDF25" s="204"/>
      <c r="GDG25" s="204"/>
      <c r="GDH25" s="204"/>
      <c r="GDI25" s="204"/>
      <c r="GDJ25" s="204"/>
      <c r="GDK25" s="204"/>
      <c r="GDL25" s="204"/>
      <c r="GDM25" s="204"/>
      <c r="GDN25" s="204"/>
      <c r="GDO25" s="204"/>
      <c r="GDP25" s="204"/>
      <c r="GDQ25" s="204"/>
      <c r="GDR25" s="204"/>
      <c r="GDS25" s="204"/>
      <c r="GDT25" s="204"/>
      <c r="GDU25" s="204"/>
      <c r="GDV25" s="204"/>
      <c r="GDW25" s="204"/>
      <c r="GDX25" s="204"/>
      <c r="GDY25" s="204"/>
      <c r="GDZ25" s="204"/>
      <c r="GEA25" s="204"/>
      <c r="GEB25" s="204"/>
      <c r="GEC25" s="204"/>
      <c r="GED25" s="204"/>
      <c r="GEE25" s="204"/>
      <c r="GEF25" s="204"/>
      <c r="GEG25" s="204"/>
      <c r="GEH25" s="204"/>
      <c r="GEI25" s="204"/>
      <c r="GEJ25" s="204"/>
      <c r="GEK25" s="204"/>
      <c r="GEL25" s="204"/>
      <c r="GEM25" s="204"/>
      <c r="GEN25" s="204"/>
      <c r="GEO25" s="204"/>
      <c r="GEP25" s="204"/>
      <c r="GEQ25" s="204"/>
      <c r="GER25" s="204"/>
      <c r="GES25" s="204"/>
      <c r="GET25" s="204"/>
      <c r="GEU25" s="204"/>
      <c r="GEV25" s="204"/>
      <c r="GEW25" s="204"/>
      <c r="GEX25" s="204"/>
      <c r="GEY25" s="204"/>
      <c r="GEZ25" s="204"/>
      <c r="GFA25" s="204"/>
      <c r="GFB25" s="204"/>
      <c r="GFC25" s="204"/>
      <c r="GFD25" s="204"/>
      <c r="GFE25" s="204"/>
      <c r="GFF25" s="204"/>
      <c r="GFG25" s="204"/>
      <c r="GFH25" s="204"/>
      <c r="GFI25" s="204"/>
      <c r="GFJ25" s="204"/>
      <c r="GFK25" s="204"/>
      <c r="GFL25" s="204"/>
      <c r="GFM25" s="204"/>
      <c r="GFN25" s="204"/>
      <c r="GFO25" s="204"/>
      <c r="GFP25" s="204"/>
      <c r="GFQ25" s="204"/>
      <c r="GFR25" s="204"/>
      <c r="GFS25" s="204"/>
      <c r="GFT25" s="204"/>
      <c r="GFU25" s="204"/>
      <c r="GFV25" s="204"/>
      <c r="GFW25" s="204"/>
      <c r="GFX25" s="204"/>
      <c r="GFY25" s="204"/>
      <c r="GFZ25" s="204"/>
      <c r="GGA25" s="204"/>
      <c r="GGB25" s="204"/>
      <c r="GGC25" s="204"/>
      <c r="GGD25" s="204"/>
      <c r="GGE25" s="204"/>
      <c r="GGF25" s="204"/>
      <c r="GGG25" s="204"/>
      <c r="GGH25" s="204"/>
      <c r="GGI25" s="204"/>
      <c r="GGJ25" s="204"/>
      <c r="GGK25" s="204"/>
      <c r="GGL25" s="204"/>
      <c r="GGM25" s="204"/>
      <c r="GGN25" s="204"/>
      <c r="GGO25" s="204"/>
      <c r="GGP25" s="204"/>
      <c r="GGQ25" s="204"/>
      <c r="GGR25" s="204"/>
      <c r="GGS25" s="204"/>
      <c r="GGT25" s="204"/>
      <c r="GGU25" s="204"/>
      <c r="GGV25" s="204"/>
      <c r="GGW25" s="204"/>
      <c r="GGX25" s="204"/>
      <c r="GGY25" s="204"/>
      <c r="GGZ25" s="204"/>
      <c r="GHA25" s="204"/>
      <c r="GHB25" s="204"/>
      <c r="GHC25" s="204"/>
      <c r="GHD25" s="204"/>
      <c r="GHE25" s="204"/>
      <c r="GHF25" s="204"/>
      <c r="GHG25" s="204"/>
      <c r="GHH25" s="204"/>
      <c r="GHI25" s="204"/>
      <c r="GHJ25" s="204"/>
      <c r="GHK25" s="204"/>
      <c r="GHL25" s="204"/>
      <c r="GHM25" s="204"/>
      <c r="GHN25" s="204"/>
      <c r="GHO25" s="204"/>
      <c r="GHP25" s="204"/>
      <c r="GHQ25" s="204"/>
      <c r="GHR25" s="204"/>
      <c r="GHS25" s="204"/>
      <c r="GHT25" s="204"/>
      <c r="GHU25" s="204"/>
      <c r="GHV25" s="204"/>
      <c r="GHW25" s="204"/>
      <c r="GHX25" s="204"/>
      <c r="GHY25" s="204"/>
      <c r="GHZ25" s="204"/>
      <c r="GIA25" s="204"/>
      <c r="GIB25" s="204"/>
      <c r="GIC25" s="204"/>
      <c r="GID25" s="204"/>
      <c r="GIE25" s="204"/>
      <c r="GIF25" s="204"/>
      <c r="GIG25" s="204"/>
      <c r="GIH25" s="204"/>
      <c r="GII25" s="204"/>
      <c r="GIJ25" s="204"/>
      <c r="GIK25" s="204"/>
      <c r="GIL25" s="204"/>
      <c r="GIM25" s="204"/>
      <c r="GIN25" s="204"/>
      <c r="GIO25" s="204"/>
      <c r="GIP25" s="204"/>
      <c r="GIQ25" s="204"/>
      <c r="GIR25" s="204"/>
      <c r="GIS25" s="204"/>
      <c r="GIT25" s="204"/>
      <c r="GIU25" s="204"/>
      <c r="GIV25" s="204"/>
      <c r="GIW25" s="204"/>
      <c r="GIX25" s="204"/>
      <c r="GIY25" s="204"/>
      <c r="GIZ25" s="204"/>
      <c r="GJA25" s="204"/>
      <c r="GJB25" s="204"/>
      <c r="GJC25" s="204"/>
      <c r="GJD25" s="204"/>
      <c r="GJE25" s="204"/>
      <c r="GJF25" s="204"/>
      <c r="GJG25" s="204"/>
      <c r="GJH25" s="204"/>
      <c r="GJI25" s="204"/>
      <c r="GJJ25" s="204"/>
      <c r="GJK25" s="204"/>
      <c r="GJL25" s="204"/>
      <c r="GJM25" s="204"/>
      <c r="GJN25" s="204"/>
      <c r="GJO25" s="204"/>
      <c r="GJP25" s="204"/>
      <c r="GJQ25" s="204"/>
      <c r="GJR25" s="204"/>
      <c r="GJS25" s="204"/>
      <c r="GJT25" s="204"/>
      <c r="GJU25" s="204"/>
      <c r="GJV25" s="204"/>
      <c r="GJW25" s="204"/>
      <c r="GJX25" s="204"/>
      <c r="GJY25" s="204"/>
      <c r="GJZ25" s="204"/>
      <c r="GKA25" s="204"/>
      <c r="GKB25" s="204"/>
      <c r="GKC25" s="204"/>
      <c r="GKD25" s="204"/>
      <c r="GKE25" s="204"/>
      <c r="GKF25" s="204"/>
      <c r="GKG25" s="204"/>
      <c r="GKH25" s="204"/>
      <c r="GKI25" s="204"/>
      <c r="GKJ25" s="204"/>
      <c r="GKK25" s="204"/>
      <c r="GKL25" s="204"/>
      <c r="GKM25" s="204"/>
      <c r="GKN25" s="204"/>
      <c r="GKO25" s="204"/>
      <c r="GKP25" s="204"/>
      <c r="GKQ25" s="204"/>
      <c r="GKR25" s="204"/>
      <c r="GKS25" s="204"/>
      <c r="GKT25" s="204"/>
      <c r="GKU25" s="204"/>
      <c r="GKV25" s="204"/>
      <c r="GKW25" s="204"/>
      <c r="GKX25" s="204"/>
      <c r="GKY25" s="204"/>
      <c r="GKZ25" s="204"/>
      <c r="GLA25" s="204"/>
      <c r="GLB25" s="204"/>
      <c r="GLC25" s="204"/>
      <c r="GLD25" s="204"/>
      <c r="GLE25" s="204"/>
      <c r="GLF25" s="204"/>
      <c r="GLG25" s="204"/>
      <c r="GLH25" s="204"/>
      <c r="GLI25" s="204"/>
      <c r="GLJ25" s="204"/>
      <c r="GLK25" s="204"/>
      <c r="GLL25" s="204"/>
      <c r="GLM25" s="204"/>
      <c r="GLN25" s="204"/>
      <c r="GLO25" s="204"/>
      <c r="GLP25" s="204"/>
      <c r="GLQ25" s="204"/>
      <c r="GLR25" s="204"/>
      <c r="GLS25" s="204"/>
      <c r="GLT25" s="204"/>
      <c r="GLU25" s="204"/>
      <c r="GLV25" s="204"/>
      <c r="GLW25" s="204"/>
      <c r="GLX25" s="204"/>
      <c r="GLY25" s="204"/>
      <c r="GLZ25" s="204"/>
      <c r="GMA25" s="204"/>
      <c r="GMB25" s="204"/>
      <c r="GMC25" s="204"/>
      <c r="GMD25" s="204"/>
      <c r="GME25" s="204"/>
      <c r="GMF25" s="204"/>
      <c r="GMG25" s="204"/>
      <c r="GMH25" s="204"/>
      <c r="GMI25" s="204"/>
      <c r="GMJ25" s="204"/>
      <c r="GMK25" s="204"/>
      <c r="GML25" s="204"/>
      <c r="GMM25" s="204"/>
      <c r="GMN25" s="204"/>
      <c r="GMO25" s="204"/>
      <c r="GMP25" s="204"/>
      <c r="GMQ25" s="204"/>
      <c r="GMR25" s="204"/>
      <c r="GMS25" s="204"/>
      <c r="GMT25" s="204"/>
      <c r="GMU25" s="204"/>
      <c r="GMV25" s="204"/>
      <c r="GMW25" s="204"/>
      <c r="GMX25" s="204"/>
      <c r="GMY25" s="204"/>
      <c r="GMZ25" s="204"/>
      <c r="GNA25" s="204"/>
      <c r="GNB25" s="204"/>
      <c r="GNC25" s="204"/>
      <c r="GND25" s="204"/>
      <c r="GNE25" s="204"/>
      <c r="GNF25" s="204"/>
      <c r="GNG25" s="204"/>
      <c r="GNH25" s="204"/>
      <c r="GNI25" s="204"/>
      <c r="GNJ25" s="204"/>
      <c r="GNK25" s="204"/>
      <c r="GNL25" s="204"/>
      <c r="GNM25" s="204"/>
      <c r="GNN25" s="204"/>
      <c r="GNO25" s="204"/>
      <c r="GNP25" s="204"/>
      <c r="GNQ25" s="204"/>
      <c r="GNR25" s="204"/>
      <c r="GNS25" s="204"/>
      <c r="GNT25" s="204"/>
      <c r="GNU25" s="204"/>
      <c r="GNV25" s="204"/>
      <c r="GNW25" s="204"/>
      <c r="GNX25" s="204"/>
      <c r="GNY25" s="204"/>
      <c r="GNZ25" s="204"/>
      <c r="GOA25" s="204"/>
      <c r="GOB25" s="204"/>
      <c r="GOC25" s="204"/>
      <c r="GOD25" s="204"/>
      <c r="GOE25" s="204"/>
      <c r="GOF25" s="204"/>
      <c r="GOG25" s="204"/>
      <c r="GOH25" s="204"/>
      <c r="GOI25" s="204"/>
      <c r="GOJ25" s="204"/>
      <c r="GOK25" s="204"/>
      <c r="GOL25" s="204"/>
      <c r="GOM25" s="204"/>
      <c r="GON25" s="204"/>
      <c r="GOO25" s="204"/>
      <c r="GOP25" s="204"/>
      <c r="GOQ25" s="204"/>
      <c r="GOR25" s="204"/>
      <c r="GOS25" s="204"/>
      <c r="GOT25" s="204"/>
      <c r="GOU25" s="204"/>
      <c r="GOV25" s="204"/>
      <c r="GOW25" s="204"/>
      <c r="GOX25" s="204"/>
      <c r="GOY25" s="204"/>
      <c r="GOZ25" s="204"/>
      <c r="GPA25" s="204"/>
      <c r="GPB25" s="204"/>
      <c r="GPC25" s="204"/>
      <c r="GPD25" s="204"/>
      <c r="GPE25" s="204"/>
      <c r="GPF25" s="204"/>
      <c r="GPG25" s="204"/>
      <c r="GPH25" s="204"/>
      <c r="GPI25" s="204"/>
      <c r="GPJ25" s="204"/>
      <c r="GPK25" s="204"/>
      <c r="GPL25" s="204"/>
      <c r="GPM25" s="204"/>
      <c r="GPN25" s="204"/>
      <c r="GPO25" s="204"/>
      <c r="GPP25" s="204"/>
      <c r="GPQ25" s="204"/>
      <c r="GPR25" s="204"/>
      <c r="GPS25" s="204"/>
      <c r="GPT25" s="204"/>
      <c r="GPU25" s="204"/>
      <c r="GPV25" s="204"/>
      <c r="GPW25" s="204"/>
      <c r="GPX25" s="204"/>
      <c r="GPY25" s="204"/>
      <c r="GPZ25" s="204"/>
      <c r="GQA25" s="204"/>
      <c r="GQB25" s="204"/>
      <c r="GQC25" s="204"/>
      <c r="GQD25" s="204"/>
      <c r="GQE25" s="204"/>
      <c r="GQF25" s="204"/>
      <c r="GQG25" s="204"/>
      <c r="GQH25" s="204"/>
      <c r="GQI25" s="204"/>
      <c r="GQJ25" s="204"/>
      <c r="GQK25" s="204"/>
      <c r="GQL25" s="204"/>
      <c r="GQM25" s="204"/>
      <c r="GQN25" s="204"/>
      <c r="GQO25" s="204"/>
      <c r="GQP25" s="204"/>
      <c r="GQQ25" s="204"/>
      <c r="GQR25" s="204"/>
      <c r="GQS25" s="204"/>
      <c r="GQT25" s="204"/>
      <c r="GQU25" s="204"/>
      <c r="GQV25" s="204"/>
      <c r="GQW25" s="204"/>
      <c r="GQX25" s="204"/>
      <c r="GQY25" s="204"/>
      <c r="GQZ25" s="204"/>
      <c r="GRA25" s="204"/>
      <c r="GRB25" s="204"/>
      <c r="GRC25" s="204"/>
      <c r="GRD25" s="204"/>
      <c r="GRE25" s="204"/>
      <c r="GRF25" s="204"/>
      <c r="GRG25" s="204"/>
      <c r="GRH25" s="204"/>
      <c r="GRI25" s="204"/>
      <c r="GRJ25" s="204"/>
      <c r="GRK25" s="204"/>
      <c r="GRL25" s="204"/>
      <c r="GRM25" s="204"/>
      <c r="GRN25" s="204"/>
      <c r="GRO25" s="204"/>
      <c r="GRP25" s="204"/>
      <c r="GRQ25" s="204"/>
      <c r="GRR25" s="204"/>
      <c r="GRS25" s="204"/>
      <c r="GRT25" s="204"/>
      <c r="GRU25" s="204"/>
      <c r="GRV25" s="204"/>
      <c r="GRW25" s="204"/>
      <c r="GRX25" s="204"/>
      <c r="GRY25" s="204"/>
      <c r="GRZ25" s="204"/>
      <c r="GSA25" s="204"/>
      <c r="GSB25" s="204"/>
      <c r="GSC25" s="204"/>
      <c r="GSD25" s="204"/>
      <c r="GSE25" s="204"/>
      <c r="GSF25" s="204"/>
      <c r="GSG25" s="204"/>
      <c r="GSH25" s="204"/>
      <c r="GSI25" s="204"/>
      <c r="GSJ25" s="204"/>
      <c r="GSK25" s="204"/>
      <c r="GSL25" s="204"/>
      <c r="GSM25" s="204"/>
      <c r="GSN25" s="204"/>
      <c r="GSO25" s="204"/>
      <c r="GSP25" s="204"/>
      <c r="GSQ25" s="204"/>
      <c r="GSR25" s="204"/>
      <c r="GSS25" s="204"/>
      <c r="GST25" s="204"/>
      <c r="GSU25" s="204"/>
      <c r="GSV25" s="204"/>
      <c r="GSW25" s="204"/>
      <c r="GSX25" s="204"/>
      <c r="GSY25" s="204"/>
      <c r="GSZ25" s="204"/>
      <c r="GTA25" s="204"/>
      <c r="GTB25" s="204"/>
      <c r="GTC25" s="204"/>
      <c r="GTD25" s="204"/>
      <c r="GTE25" s="204"/>
      <c r="GTF25" s="204"/>
      <c r="GTG25" s="204"/>
      <c r="GTH25" s="204"/>
      <c r="GTI25" s="204"/>
      <c r="GTJ25" s="204"/>
      <c r="GTK25" s="204"/>
      <c r="GTL25" s="204"/>
      <c r="GTM25" s="204"/>
      <c r="GTN25" s="204"/>
      <c r="GTO25" s="204"/>
      <c r="GTP25" s="204"/>
      <c r="GTQ25" s="204"/>
      <c r="GTR25" s="204"/>
      <c r="GTS25" s="204"/>
      <c r="GTT25" s="204"/>
      <c r="GTU25" s="204"/>
      <c r="GTV25" s="204"/>
      <c r="GTW25" s="204"/>
      <c r="GTX25" s="204"/>
      <c r="GTY25" s="204"/>
      <c r="GTZ25" s="204"/>
      <c r="GUA25" s="204"/>
      <c r="GUB25" s="204"/>
      <c r="GUC25" s="204"/>
      <c r="GUD25" s="204"/>
      <c r="GUE25" s="204"/>
      <c r="GUF25" s="204"/>
      <c r="GUG25" s="204"/>
      <c r="GUH25" s="204"/>
      <c r="GUI25" s="204"/>
      <c r="GUJ25" s="204"/>
      <c r="GUK25" s="204"/>
      <c r="GUL25" s="204"/>
      <c r="GUM25" s="204"/>
      <c r="GUN25" s="204"/>
      <c r="GUO25" s="204"/>
      <c r="GUP25" s="204"/>
      <c r="GUQ25" s="204"/>
      <c r="GUR25" s="204"/>
      <c r="GUS25" s="204"/>
      <c r="GUT25" s="204"/>
      <c r="GUU25" s="204"/>
      <c r="GUV25" s="204"/>
      <c r="GUW25" s="204"/>
      <c r="GUX25" s="204"/>
      <c r="GUY25" s="204"/>
      <c r="GUZ25" s="204"/>
      <c r="GVA25" s="204"/>
      <c r="GVB25" s="204"/>
      <c r="GVC25" s="204"/>
      <c r="GVD25" s="204"/>
      <c r="GVE25" s="204"/>
      <c r="GVF25" s="204"/>
      <c r="GVG25" s="204"/>
      <c r="GVH25" s="204"/>
      <c r="GVI25" s="204"/>
      <c r="GVJ25" s="204"/>
      <c r="GVK25" s="204"/>
      <c r="GVL25" s="204"/>
      <c r="GVM25" s="204"/>
      <c r="GVN25" s="204"/>
      <c r="GVO25" s="204"/>
      <c r="GVP25" s="204"/>
      <c r="GVQ25" s="204"/>
      <c r="GVR25" s="204"/>
      <c r="GVS25" s="204"/>
      <c r="GVT25" s="204"/>
      <c r="GVU25" s="204"/>
      <c r="GVV25" s="204"/>
      <c r="GVW25" s="204"/>
      <c r="GVX25" s="204"/>
      <c r="GVY25" s="204"/>
      <c r="GVZ25" s="204"/>
      <c r="GWA25" s="204"/>
      <c r="GWB25" s="204"/>
      <c r="GWC25" s="204"/>
      <c r="GWD25" s="204"/>
      <c r="GWE25" s="204"/>
      <c r="GWF25" s="204"/>
      <c r="GWG25" s="204"/>
      <c r="GWH25" s="204"/>
      <c r="GWI25" s="204"/>
      <c r="GWJ25" s="204"/>
      <c r="GWK25" s="204"/>
      <c r="GWL25" s="204"/>
      <c r="GWM25" s="204"/>
      <c r="GWN25" s="204"/>
      <c r="GWO25" s="204"/>
      <c r="GWP25" s="204"/>
      <c r="GWQ25" s="204"/>
      <c r="GWR25" s="204"/>
      <c r="GWS25" s="204"/>
      <c r="GWT25" s="204"/>
      <c r="GWU25" s="204"/>
      <c r="GWV25" s="204"/>
      <c r="GWW25" s="204"/>
      <c r="GWX25" s="204"/>
      <c r="GWY25" s="204"/>
      <c r="GWZ25" s="204"/>
      <c r="GXA25" s="204"/>
      <c r="GXB25" s="204"/>
      <c r="GXC25" s="204"/>
      <c r="GXD25" s="204"/>
      <c r="GXE25" s="204"/>
      <c r="GXF25" s="204"/>
      <c r="GXG25" s="204"/>
      <c r="GXH25" s="204"/>
      <c r="GXI25" s="204"/>
      <c r="GXJ25" s="204"/>
      <c r="GXK25" s="204"/>
      <c r="GXL25" s="204"/>
      <c r="GXM25" s="204"/>
      <c r="GXN25" s="204"/>
      <c r="GXO25" s="204"/>
      <c r="GXP25" s="204"/>
      <c r="GXQ25" s="204"/>
      <c r="GXR25" s="204"/>
      <c r="GXS25" s="204"/>
      <c r="GXT25" s="204"/>
      <c r="GXU25" s="204"/>
      <c r="GXV25" s="204"/>
      <c r="GXW25" s="204"/>
      <c r="GXX25" s="204"/>
      <c r="GXY25" s="204"/>
      <c r="GXZ25" s="204"/>
      <c r="GYA25" s="204"/>
      <c r="GYB25" s="204"/>
      <c r="GYC25" s="204"/>
      <c r="GYD25" s="204"/>
      <c r="GYE25" s="204"/>
      <c r="GYF25" s="204"/>
      <c r="GYG25" s="204"/>
      <c r="GYH25" s="204"/>
      <c r="GYI25" s="204"/>
      <c r="GYJ25" s="204"/>
      <c r="GYK25" s="204"/>
      <c r="GYL25" s="204"/>
      <c r="GYM25" s="204"/>
      <c r="GYN25" s="204"/>
      <c r="GYO25" s="204"/>
      <c r="GYP25" s="204"/>
      <c r="GYQ25" s="204"/>
      <c r="GYR25" s="204"/>
      <c r="GYS25" s="204"/>
      <c r="GYT25" s="204"/>
      <c r="GYU25" s="204"/>
      <c r="GYV25" s="204"/>
      <c r="GYW25" s="204"/>
      <c r="GYX25" s="204"/>
      <c r="GYY25" s="204"/>
      <c r="GYZ25" s="204"/>
      <c r="GZA25" s="204"/>
      <c r="GZB25" s="204"/>
      <c r="GZC25" s="204"/>
      <c r="GZD25" s="204"/>
      <c r="GZE25" s="204"/>
      <c r="GZF25" s="204"/>
      <c r="GZG25" s="204"/>
      <c r="GZH25" s="204"/>
      <c r="GZI25" s="204"/>
      <c r="GZJ25" s="204"/>
      <c r="GZK25" s="204"/>
      <c r="GZL25" s="204"/>
      <c r="GZM25" s="204"/>
      <c r="GZN25" s="204"/>
      <c r="GZO25" s="204"/>
      <c r="GZP25" s="204"/>
      <c r="GZQ25" s="204"/>
      <c r="GZR25" s="204"/>
      <c r="GZS25" s="204"/>
      <c r="GZT25" s="204"/>
      <c r="GZU25" s="204"/>
      <c r="GZV25" s="204"/>
      <c r="GZW25" s="204"/>
      <c r="GZX25" s="204"/>
      <c r="GZY25" s="204"/>
      <c r="GZZ25" s="204"/>
      <c r="HAA25" s="204"/>
      <c r="HAB25" s="204"/>
      <c r="HAC25" s="204"/>
      <c r="HAD25" s="204"/>
      <c r="HAE25" s="204"/>
      <c r="HAF25" s="204"/>
      <c r="HAG25" s="204"/>
      <c r="HAH25" s="204"/>
      <c r="HAI25" s="204"/>
      <c r="HAJ25" s="204"/>
      <c r="HAK25" s="204"/>
      <c r="HAL25" s="204"/>
      <c r="HAM25" s="204"/>
      <c r="HAN25" s="204"/>
      <c r="HAO25" s="204"/>
      <c r="HAP25" s="204"/>
      <c r="HAQ25" s="204"/>
      <c r="HAR25" s="204"/>
      <c r="HAS25" s="204"/>
      <c r="HAT25" s="204"/>
      <c r="HAU25" s="204"/>
      <c r="HAV25" s="204"/>
      <c r="HAW25" s="204"/>
      <c r="HAX25" s="204"/>
      <c r="HAY25" s="204"/>
      <c r="HAZ25" s="204"/>
      <c r="HBA25" s="204"/>
      <c r="HBB25" s="204"/>
      <c r="HBC25" s="204"/>
      <c r="HBD25" s="204"/>
      <c r="HBE25" s="204"/>
      <c r="HBF25" s="204"/>
      <c r="HBG25" s="204"/>
      <c r="HBH25" s="204"/>
      <c r="HBI25" s="204"/>
      <c r="HBJ25" s="204"/>
      <c r="HBK25" s="204"/>
      <c r="HBL25" s="204"/>
      <c r="HBM25" s="204"/>
      <c r="HBN25" s="204"/>
      <c r="HBO25" s="204"/>
      <c r="HBP25" s="204"/>
      <c r="HBQ25" s="204"/>
      <c r="HBR25" s="204"/>
      <c r="HBS25" s="204"/>
      <c r="HBT25" s="204"/>
      <c r="HBU25" s="204"/>
      <c r="HBV25" s="204"/>
      <c r="HBW25" s="204"/>
      <c r="HBX25" s="204"/>
      <c r="HBY25" s="204"/>
      <c r="HBZ25" s="204"/>
      <c r="HCA25" s="204"/>
      <c r="HCB25" s="204"/>
      <c r="HCC25" s="204"/>
      <c r="HCD25" s="204"/>
      <c r="HCE25" s="204"/>
      <c r="HCF25" s="204"/>
      <c r="HCG25" s="204"/>
      <c r="HCH25" s="204"/>
      <c r="HCI25" s="204"/>
      <c r="HCJ25" s="204"/>
      <c r="HCK25" s="204"/>
      <c r="HCL25" s="204"/>
      <c r="HCM25" s="204"/>
      <c r="HCN25" s="204"/>
      <c r="HCO25" s="204"/>
      <c r="HCP25" s="204"/>
      <c r="HCQ25" s="204"/>
      <c r="HCR25" s="204"/>
      <c r="HCS25" s="204"/>
      <c r="HCT25" s="204"/>
      <c r="HCU25" s="204"/>
      <c r="HCV25" s="204"/>
      <c r="HCW25" s="204"/>
      <c r="HCX25" s="204"/>
      <c r="HCY25" s="204"/>
      <c r="HCZ25" s="204"/>
      <c r="HDA25" s="204"/>
      <c r="HDB25" s="204"/>
      <c r="HDC25" s="204"/>
      <c r="HDD25" s="204"/>
      <c r="HDE25" s="204"/>
      <c r="HDF25" s="204"/>
      <c r="HDG25" s="204"/>
      <c r="HDH25" s="204"/>
      <c r="HDI25" s="204"/>
      <c r="HDJ25" s="204"/>
      <c r="HDK25" s="204"/>
      <c r="HDL25" s="204"/>
      <c r="HDM25" s="204"/>
      <c r="HDN25" s="204"/>
      <c r="HDO25" s="204"/>
      <c r="HDP25" s="204"/>
      <c r="HDQ25" s="204"/>
      <c r="HDR25" s="204"/>
      <c r="HDS25" s="204"/>
      <c r="HDT25" s="204"/>
      <c r="HDU25" s="204"/>
      <c r="HDV25" s="204"/>
      <c r="HDW25" s="204"/>
      <c r="HDX25" s="204"/>
      <c r="HDY25" s="204"/>
      <c r="HDZ25" s="204"/>
      <c r="HEA25" s="204"/>
      <c r="HEB25" s="204"/>
      <c r="HEC25" s="204"/>
      <c r="HED25" s="204"/>
      <c r="HEE25" s="204"/>
      <c r="HEF25" s="204"/>
      <c r="HEG25" s="204"/>
      <c r="HEH25" s="204"/>
      <c r="HEI25" s="204"/>
      <c r="HEJ25" s="204"/>
      <c r="HEK25" s="204"/>
      <c r="HEL25" s="204"/>
      <c r="HEM25" s="204"/>
      <c r="HEN25" s="204"/>
      <c r="HEO25" s="204"/>
      <c r="HEP25" s="204"/>
      <c r="HEQ25" s="204"/>
      <c r="HER25" s="204"/>
      <c r="HES25" s="204"/>
      <c r="HET25" s="204"/>
      <c r="HEU25" s="204"/>
      <c r="HEV25" s="204"/>
      <c r="HEW25" s="204"/>
      <c r="HEX25" s="204"/>
      <c r="HEY25" s="204"/>
      <c r="HEZ25" s="204"/>
      <c r="HFA25" s="204"/>
      <c r="HFB25" s="204"/>
      <c r="HFC25" s="204"/>
      <c r="HFD25" s="204"/>
      <c r="HFE25" s="204"/>
      <c r="HFF25" s="204"/>
      <c r="HFG25" s="204"/>
      <c r="HFH25" s="204"/>
      <c r="HFI25" s="204"/>
      <c r="HFJ25" s="204"/>
      <c r="HFK25" s="204"/>
      <c r="HFL25" s="204"/>
      <c r="HFM25" s="204"/>
      <c r="HFN25" s="204"/>
      <c r="HFO25" s="204"/>
      <c r="HFP25" s="204"/>
      <c r="HFQ25" s="204"/>
      <c r="HFR25" s="204"/>
      <c r="HFS25" s="204"/>
      <c r="HFT25" s="204"/>
      <c r="HFU25" s="204"/>
      <c r="HFV25" s="204"/>
      <c r="HFW25" s="204"/>
      <c r="HFX25" s="204"/>
      <c r="HFY25" s="204"/>
      <c r="HFZ25" s="204"/>
      <c r="HGA25" s="204"/>
      <c r="HGB25" s="204"/>
      <c r="HGC25" s="204"/>
      <c r="HGD25" s="204"/>
      <c r="HGE25" s="204"/>
      <c r="HGF25" s="204"/>
      <c r="HGG25" s="204"/>
      <c r="HGH25" s="204"/>
      <c r="HGI25" s="204"/>
      <c r="HGJ25" s="204"/>
      <c r="HGK25" s="204"/>
      <c r="HGL25" s="204"/>
      <c r="HGM25" s="204"/>
      <c r="HGN25" s="204"/>
      <c r="HGO25" s="204"/>
      <c r="HGP25" s="204"/>
      <c r="HGQ25" s="204"/>
      <c r="HGR25" s="204"/>
      <c r="HGS25" s="204"/>
      <c r="HGT25" s="204"/>
      <c r="HGU25" s="204"/>
      <c r="HGV25" s="204"/>
      <c r="HGW25" s="204"/>
      <c r="HGX25" s="204"/>
      <c r="HGY25" s="204"/>
      <c r="HGZ25" s="204"/>
      <c r="HHA25" s="204"/>
      <c r="HHB25" s="204"/>
      <c r="HHC25" s="204"/>
      <c r="HHD25" s="204"/>
      <c r="HHE25" s="204"/>
      <c r="HHF25" s="204"/>
      <c r="HHG25" s="204"/>
      <c r="HHH25" s="204"/>
      <c r="HHI25" s="204"/>
      <c r="HHJ25" s="204"/>
      <c r="HHK25" s="204"/>
      <c r="HHL25" s="204"/>
      <c r="HHM25" s="204"/>
      <c r="HHN25" s="204"/>
      <c r="HHO25" s="204"/>
      <c r="HHP25" s="204"/>
      <c r="HHQ25" s="204"/>
      <c r="HHR25" s="204"/>
      <c r="HHS25" s="204"/>
      <c r="HHT25" s="204"/>
      <c r="HHU25" s="204"/>
      <c r="HHV25" s="204"/>
      <c r="HHW25" s="204"/>
      <c r="HHX25" s="204"/>
      <c r="HHY25" s="204"/>
      <c r="HHZ25" s="204"/>
      <c r="HIA25" s="204"/>
      <c r="HIB25" s="204"/>
      <c r="HIC25" s="204"/>
      <c r="HID25" s="204"/>
      <c r="HIE25" s="204"/>
      <c r="HIF25" s="204"/>
      <c r="HIG25" s="204"/>
      <c r="HIH25" s="204"/>
      <c r="HII25" s="204"/>
      <c r="HIJ25" s="204"/>
      <c r="HIK25" s="204"/>
      <c r="HIL25" s="204"/>
      <c r="HIM25" s="204"/>
      <c r="HIN25" s="204"/>
      <c r="HIO25" s="204"/>
      <c r="HIP25" s="204"/>
      <c r="HIQ25" s="204"/>
      <c r="HIR25" s="204"/>
      <c r="HIS25" s="204"/>
      <c r="HIT25" s="204"/>
      <c r="HIU25" s="204"/>
      <c r="HIV25" s="204"/>
      <c r="HIW25" s="204"/>
      <c r="HIX25" s="204"/>
      <c r="HIY25" s="204"/>
      <c r="HIZ25" s="204"/>
      <c r="HJA25" s="204"/>
      <c r="HJB25" s="204"/>
      <c r="HJC25" s="204"/>
      <c r="HJD25" s="204"/>
      <c r="HJE25" s="204"/>
      <c r="HJF25" s="204"/>
      <c r="HJG25" s="204"/>
      <c r="HJH25" s="204"/>
      <c r="HJI25" s="204"/>
      <c r="HJJ25" s="204"/>
      <c r="HJK25" s="204"/>
      <c r="HJL25" s="204"/>
      <c r="HJM25" s="204"/>
      <c r="HJN25" s="204"/>
      <c r="HJO25" s="204"/>
      <c r="HJP25" s="204"/>
      <c r="HJQ25" s="204"/>
      <c r="HJR25" s="204"/>
      <c r="HJS25" s="204"/>
      <c r="HJT25" s="204"/>
      <c r="HJU25" s="204"/>
      <c r="HJV25" s="204"/>
      <c r="HJW25" s="204"/>
      <c r="HJX25" s="204"/>
      <c r="HJY25" s="204"/>
      <c r="HJZ25" s="204"/>
      <c r="HKA25" s="204"/>
      <c r="HKB25" s="204"/>
      <c r="HKC25" s="204"/>
      <c r="HKD25" s="204"/>
      <c r="HKE25" s="204"/>
      <c r="HKF25" s="204"/>
      <c r="HKG25" s="204"/>
      <c r="HKH25" s="204"/>
      <c r="HKI25" s="204"/>
      <c r="HKJ25" s="204"/>
      <c r="HKK25" s="204"/>
      <c r="HKL25" s="204"/>
      <c r="HKM25" s="204"/>
      <c r="HKN25" s="204"/>
      <c r="HKO25" s="204"/>
      <c r="HKP25" s="204"/>
      <c r="HKQ25" s="204"/>
      <c r="HKR25" s="204"/>
      <c r="HKS25" s="204"/>
      <c r="HKT25" s="204"/>
      <c r="HKU25" s="204"/>
      <c r="HKV25" s="204"/>
      <c r="HKW25" s="204"/>
      <c r="HKX25" s="204"/>
      <c r="HKY25" s="204"/>
      <c r="HKZ25" s="204"/>
      <c r="HLA25" s="204"/>
      <c r="HLB25" s="204"/>
      <c r="HLC25" s="204"/>
      <c r="HLD25" s="204"/>
      <c r="HLE25" s="204"/>
      <c r="HLF25" s="204"/>
      <c r="HLG25" s="204"/>
      <c r="HLH25" s="204"/>
      <c r="HLI25" s="204"/>
      <c r="HLJ25" s="204"/>
      <c r="HLK25" s="204"/>
      <c r="HLL25" s="204"/>
      <c r="HLM25" s="204"/>
      <c r="HLN25" s="204"/>
      <c r="HLO25" s="204"/>
      <c r="HLP25" s="204"/>
      <c r="HLQ25" s="204"/>
      <c r="HLR25" s="204"/>
      <c r="HLS25" s="204"/>
      <c r="HLT25" s="204"/>
      <c r="HLU25" s="204"/>
      <c r="HLV25" s="204"/>
      <c r="HLW25" s="204"/>
      <c r="HLX25" s="204"/>
      <c r="HLY25" s="204"/>
      <c r="HLZ25" s="204"/>
      <c r="HMA25" s="204"/>
      <c r="HMB25" s="204"/>
      <c r="HMC25" s="204"/>
      <c r="HMD25" s="204"/>
      <c r="HME25" s="204"/>
      <c r="HMF25" s="204"/>
      <c r="HMG25" s="204"/>
      <c r="HMH25" s="204"/>
      <c r="HMI25" s="204"/>
      <c r="HMJ25" s="204"/>
      <c r="HMK25" s="204"/>
      <c r="HML25" s="204"/>
      <c r="HMM25" s="204"/>
      <c r="HMN25" s="204"/>
      <c r="HMO25" s="204"/>
      <c r="HMP25" s="204"/>
      <c r="HMQ25" s="204"/>
      <c r="HMR25" s="204"/>
      <c r="HMS25" s="204"/>
      <c r="HMT25" s="204"/>
      <c r="HMU25" s="204"/>
      <c r="HMV25" s="204"/>
      <c r="HMW25" s="204"/>
      <c r="HMX25" s="204"/>
      <c r="HMY25" s="204"/>
      <c r="HMZ25" s="204"/>
      <c r="HNA25" s="204"/>
      <c r="HNB25" s="204"/>
      <c r="HNC25" s="204"/>
      <c r="HND25" s="204"/>
      <c r="HNE25" s="204"/>
      <c r="HNF25" s="204"/>
      <c r="HNG25" s="204"/>
      <c r="HNH25" s="204"/>
      <c r="HNI25" s="204"/>
      <c r="HNJ25" s="204"/>
      <c r="HNK25" s="204"/>
      <c r="HNL25" s="204"/>
      <c r="HNM25" s="204"/>
      <c r="HNN25" s="204"/>
      <c r="HNO25" s="204"/>
      <c r="HNP25" s="204"/>
      <c r="HNQ25" s="204"/>
      <c r="HNR25" s="204"/>
      <c r="HNS25" s="204"/>
      <c r="HNT25" s="204"/>
      <c r="HNU25" s="204"/>
      <c r="HNV25" s="204"/>
      <c r="HNW25" s="204"/>
      <c r="HNX25" s="204"/>
      <c r="HNY25" s="204"/>
      <c r="HNZ25" s="204"/>
      <c r="HOA25" s="204"/>
      <c r="HOB25" s="204"/>
      <c r="HOC25" s="204"/>
      <c r="HOD25" s="204"/>
      <c r="HOE25" s="204"/>
      <c r="HOF25" s="204"/>
      <c r="HOG25" s="204"/>
      <c r="HOH25" s="204"/>
      <c r="HOI25" s="204"/>
      <c r="HOJ25" s="204"/>
      <c r="HOK25" s="204"/>
      <c r="HOL25" s="204"/>
      <c r="HOM25" s="204"/>
      <c r="HON25" s="204"/>
      <c r="HOO25" s="204"/>
      <c r="HOP25" s="204"/>
      <c r="HOQ25" s="204"/>
      <c r="HOR25" s="204"/>
      <c r="HOS25" s="204"/>
      <c r="HOT25" s="204"/>
      <c r="HOU25" s="204"/>
      <c r="HOV25" s="204"/>
      <c r="HOW25" s="204"/>
      <c r="HOX25" s="204"/>
      <c r="HOY25" s="204"/>
      <c r="HOZ25" s="204"/>
      <c r="HPA25" s="204"/>
      <c r="HPB25" s="204"/>
      <c r="HPC25" s="204"/>
      <c r="HPD25" s="204"/>
      <c r="HPE25" s="204"/>
      <c r="HPF25" s="204"/>
      <c r="HPG25" s="204"/>
      <c r="HPH25" s="204"/>
      <c r="HPI25" s="204"/>
      <c r="HPJ25" s="204"/>
      <c r="HPK25" s="204"/>
      <c r="HPL25" s="204"/>
      <c r="HPM25" s="204"/>
      <c r="HPN25" s="204"/>
      <c r="HPO25" s="204"/>
      <c r="HPP25" s="204"/>
      <c r="HPQ25" s="204"/>
      <c r="HPR25" s="204"/>
      <c r="HPS25" s="204"/>
      <c r="HPT25" s="204"/>
      <c r="HPU25" s="204"/>
      <c r="HPV25" s="204"/>
      <c r="HPW25" s="204"/>
      <c r="HPX25" s="204"/>
      <c r="HPY25" s="204"/>
      <c r="HPZ25" s="204"/>
      <c r="HQA25" s="204"/>
      <c r="HQB25" s="204"/>
      <c r="HQC25" s="204"/>
      <c r="HQD25" s="204"/>
      <c r="HQE25" s="204"/>
      <c r="HQF25" s="204"/>
      <c r="HQG25" s="204"/>
      <c r="HQH25" s="204"/>
      <c r="HQI25" s="204"/>
      <c r="HQJ25" s="204"/>
      <c r="HQK25" s="204"/>
      <c r="HQL25" s="204"/>
      <c r="HQM25" s="204"/>
      <c r="HQN25" s="204"/>
      <c r="HQO25" s="204"/>
      <c r="HQP25" s="204"/>
      <c r="HQQ25" s="204"/>
      <c r="HQR25" s="204"/>
      <c r="HQS25" s="204"/>
      <c r="HQT25" s="204"/>
      <c r="HQU25" s="204"/>
      <c r="HQV25" s="204"/>
      <c r="HQW25" s="204"/>
      <c r="HQX25" s="204"/>
      <c r="HQY25" s="204"/>
      <c r="HQZ25" s="204"/>
      <c r="HRA25" s="204"/>
      <c r="HRB25" s="204"/>
      <c r="HRC25" s="204"/>
      <c r="HRD25" s="204"/>
      <c r="HRE25" s="204"/>
      <c r="HRF25" s="204"/>
      <c r="HRG25" s="204"/>
      <c r="HRH25" s="204"/>
      <c r="HRI25" s="204"/>
      <c r="HRJ25" s="204"/>
      <c r="HRK25" s="204"/>
      <c r="HRL25" s="204"/>
      <c r="HRM25" s="204"/>
      <c r="HRN25" s="204"/>
      <c r="HRO25" s="204"/>
      <c r="HRP25" s="204"/>
      <c r="HRQ25" s="204"/>
      <c r="HRR25" s="204"/>
      <c r="HRS25" s="204"/>
      <c r="HRT25" s="204"/>
      <c r="HRU25" s="204"/>
      <c r="HRV25" s="204"/>
      <c r="HRW25" s="204"/>
      <c r="HRX25" s="204"/>
      <c r="HRY25" s="204"/>
      <c r="HRZ25" s="204"/>
      <c r="HSA25" s="204"/>
      <c r="HSB25" s="204"/>
      <c r="HSC25" s="204"/>
      <c r="HSD25" s="204"/>
      <c r="HSE25" s="204"/>
      <c r="HSF25" s="204"/>
      <c r="HSG25" s="204"/>
      <c r="HSH25" s="204"/>
      <c r="HSI25" s="204"/>
      <c r="HSJ25" s="204"/>
      <c r="HSK25" s="204"/>
      <c r="HSL25" s="204"/>
      <c r="HSM25" s="204"/>
      <c r="HSN25" s="204"/>
      <c r="HSO25" s="204"/>
      <c r="HSP25" s="204"/>
      <c r="HSQ25" s="204"/>
      <c r="HSR25" s="204"/>
      <c r="HSS25" s="204"/>
      <c r="HST25" s="204"/>
      <c r="HSU25" s="204"/>
      <c r="HSV25" s="204"/>
      <c r="HSW25" s="204"/>
      <c r="HSX25" s="204"/>
      <c r="HSY25" s="204"/>
      <c r="HSZ25" s="204"/>
      <c r="HTA25" s="204"/>
      <c r="HTB25" s="204"/>
      <c r="HTC25" s="204"/>
      <c r="HTD25" s="204"/>
      <c r="HTE25" s="204"/>
      <c r="HTF25" s="204"/>
      <c r="HTG25" s="204"/>
      <c r="HTH25" s="204"/>
      <c r="HTI25" s="204"/>
      <c r="HTJ25" s="204"/>
      <c r="HTK25" s="204"/>
      <c r="HTL25" s="204"/>
      <c r="HTM25" s="204"/>
      <c r="HTN25" s="204"/>
      <c r="HTO25" s="204"/>
      <c r="HTP25" s="204"/>
      <c r="HTQ25" s="204"/>
      <c r="HTR25" s="204"/>
      <c r="HTS25" s="204"/>
      <c r="HTT25" s="204"/>
      <c r="HTU25" s="204"/>
      <c r="HTV25" s="204"/>
      <c r="HTW25" s="204"/>
      <c r="HTX25" s="204"/>
      <c r="HTY25" s="204"/>
      <c r="HTZ25" s="204"/>
      <c r="HUA25" s="204"/>
      <c r="HUB25" s="204"/>
      <c r="HUC25" s="204"/>
      <c r="HUD25" s="204"/>
      <c r="HUE25" s="204"/>
      <c r="HUF25" s="204"/>
      <c r="HUG25" s="204"/>
      <c r="HUH25" s="204"/>
      <c r="HUI25" s="204"/>
      <c r="HUJ25" s="204"/>
      <c r="HUK25" s="204"/>
      <c r="HUL25" s="204"/>
      <c r="HUM25" s="204"/>
      <c r="HUN25" s="204"/>
      <c r="HUO25" s="204"/>
      <c r="HUP25" s="204"/>
      <c r="HUQ25" s="204"/>
      <c r="HUR25" s="204"/>
      <c r="HUS25" s="204"/>
      <c r="HUT25" s="204"/>
      <c r="HUU25" s="204"/>
      <c r="HUV25" s="204"/>
      <c r="HUW25" s="204"/>
      <c r="HUX25" s="204"/>
      <c r="HUY25" s="204"/>
      <c r="HUZ25" s="204"/>
      <c r="HVA25" s="204"/>
      <c r="HVB25" s="204"/>
      <c r="HVC25" s="204"/>
      <c r="HVD25" s="204"/>
      <c r="HVE25" s="204"/>
      <c r="HVF25" s="204"/>
      <c r="HVG25" s="204"/>
      <c r="HVH25" s="204"/>
      <c r="HVI25" s="204"/>
      <c r="HVJ25" s="204"/>
      <c r="HVK25" s="204"/>
      <c r="HVL25" s="204"/>
      <c r="HVM25" s="204"/>
      <c r="HVN25" s="204"/>
      <c r="HVO25" s="204"/>
      <c r="HVP25" s="204"/>
      <c r="HVQ25" s="204"/>
      <c r="HVR25" s="204"/>
      <c r="HVS25" s="204"/>
      <c r="HVT25" s="204"/>
      <c r="HVU25" s="204"/>
      <c r="HVV25" s="204"/>
      <c r="HVW25" s="204"/>
      <c r="HVX25" s="204"/>
      <c r="HVY25" s="204"/>
      <c r="HVZ25" s="204"/>
      <c r="HWA25" s="204"/>
      <c r="HWB25" s="204"/>
      <c r="HWC25" s="204"/>
      <c r="HWD25" s="204"/>
      <c r="HWE25" s="204"/>
      <c r="HWF25" s="204"/>
      <c r="HWG25" s="204"/>
      <c r="HWH25" s="204"/>
      <c r="HWI25" s="204"/>
      <c r="HWJ25" s="204"/>
      <c r="HWK25" s="204"/>
      <c r="HWL25" s="204"/>
      <c r="HWM25" s="204"/>
      <c r="HWN25" s="204"/>
      <c r="HWO25" s="204"/>
      <c r="HWP25" s="204"/>
      <c r="HWQ25" s="204"/>
      <c r="HWR25" s="204"/>
      <c r="HWS25" s="204"/>
      <c r="HWT25" s="204"/>
      <c r="HWU25" s="204"/>
      <c r="HWV25" s="204"/>
      <c r="HWW25" s="204"/>
      <c r="HWX25" s="204"/>
      <c r="HWY25" s="204"/>
      <c r="HWZ25" s="204"/>
      <c r="HXA25" s="204"/>
      <c r="HXB25" s="204"/>
      <c r="HXC25" s="204"/>
      <c r="HXD25" s="204"/>
      <c r="HXE25" s="204"/>
      <c r="HXF25" s="204"/>
      <c r="HXG25" s="204"/>
      <c r="HXH25" s="204"/>
      <c r="HXI25" s="204"/>
      <c r="HXJ25" s="204"/>
      <c r="HXK25" s="204"/>
      <c r="HXL25" s="204"/>
      <c r="HXM25" s="204"/>
      <c r="HXN25" s="204"/>
      <c r="HXO25" s="204"/>
      <c r="HXP25" s="204"/>
      <c r="HXQ25" s="204"/>
      <c r="HXR25" s="204"/>
      <c r="HXS25" s="204"/>
      <c r="HXT25" s="204"/>
      <c r="HXU25" s="204"/>
      <c r="HXV25" s="204"/>
      <c r="HXW25" s="204"/>
      <c r="HXX25" s="204"/>
      <c r="HXY25" s="204"/>
      <c r="HXZ25" s="204"/>
      <c r="HYA25" s="204"/>
      <c r="HYB25" s="204"/>
      <c r="HYC25" s="204"/>
      <c r="HYD25" s="204"/>
      <c r="HYE25" s="204"/>
      <c r="HYF25" s="204"/>
      <c r="HYG25" s="204"/>
      <c r="HYH25" s="204"/>
      <c r="HYI25" s="204"/>
      <c r="HYJ25" s="204"/>
      <c r="HYK25" s="204"/>
      <c r="HYL25" s="204"/>
      <c r="HYM25" s="204"/>
      <c r="HYN25" s="204"/>
      <c r="HYO25" s="204"/>
      <c r="HYP25" s="204"/>
      <c r="HYQ25" s="204"/>
      <c r="HYR25" s="204"/>
      <c r="HYS25" s="204"/>
      <c r="HYT25" s="204"/>
      <c r="HYU25" s="204"/>
      <c r="HYV25" s="204"/>
      <c r="HYW25" s="204"/>
      <c r="HYX25" s="204"/>
      <c r="HYY25" s="204"/>
      <c r="HYZ25" s="204"/>
      <c r="HZA25" s="204"/>
      <c r="HZB25" s="204"/>
      <c r="HZC25" s="204"/>
      <c r="HZD25" s="204"/>
      <c r="HZE25" s="204"/>
      <c r="HZF25" s="204"/>
      <c r="HZG25" s="204"/>
      <c r="HZH25" s="204"/>
      <c r="HZI25" s="204"/>
      <c r="HZJ25" s="204"/>
      <c r="HZK25" s="204"/>
      <c r="HZL25" s="204"/>
      <c r="HZM25" s="204"/>
      <c r="HZN25" s="204"/>
      <c r="HZO25" s="204"/>
      <c r="HZP25" s="204"/>
      <c r="HZQ25" s="204"/>
      <c r="HZR25" s="204"/>
      <c r="HZS25" s="204"/>
      <c r="HZT25" s="204"/>
      <c r="HZU25" s="204"/>
      <c r="HZV25" s="204"/>
      <c r="HZW25" s="204"/>
      <c r="HZX25" s="204"/>
      <c r="HZY25" s="204"/>
      <c r="HZZ25" s="204"/>
      <c r="IAA25" s="204"/>
      <c r="IAB25" s="204"/>
      <c r="IAC25" s="204"/>
      <c r="IAD25" s="204"/>
      <c r="IAE25" s="204"/>
      <c r="IAF25" s="204"/>
      <c r="IAG25" s="204"/>
      <c r="IAH25" s="204"/>
      <c r="IAI25" s="204"/>
      <c r="IAJ25" s="204"/>
      <c r="IAK25" s="204"/>
      <c r="IAL25" s="204"/>
      <c r="IAM25" s="204"/>
      <c r="IAN25" s="204"/>
      <c r="IAO25" s="204"/>
      <c r="IAP25" s="204"/>
      <c r="IAQ25" s="204"/>
      <c r="IAR25" s="204"/>
      <c r="IAS25" s="204"/>
      <c r="IAT25" s="204"/>
      <c r="IAU25" s="204"/>
      <c r="IAV25" s="204"/>
      <c r="IAW25" s="204"/>
      <c r="IAX25" s="204"/>
      <c r="IAY25" s="204"/>
      <c r="IAZ25" s="204"/>
      <c r="IBA25" s="204"/>
      <c r="IBB25" s="204"/>
      <c r="IBC25" s="204"/>
      <c r="IBD25" s="204"/>
      <c r="IBE25" s="204"/>
      <c r="IBF25" s="204"/>
      <c r="IBG25" s="204"/>
      <c r="IBH25" s="204"/>
      <c r="IBI25" s="204"/>
      <c r="IBJ25" s="204"/>
      <c r="IBK25" s="204"/>
      <c r="IBL25" s="204"/>
      <c r="IBM25" s="204"/>
      <c r="IBN25" s="204"/>
      <c r="IBO25" s="204"/>
      <c r="IBP25" s="204"/>
      <c r="IBQ25" s="204"/>
      <c r="IBR25" s="204"/>
      <c r="IBS25" s="204"/>
      <c r="IBT25" s="204"/>
      <c r="IBU25" s="204"/>
      <c r="IBV25" s="204"/>
      <c r="IBW25" s="204"/>
      <c r="IBX25" s="204"/>
      <c r="IBY25" s="204"/>
      <c r="IBZ25" s="204"/>
      <c r="ICA25" s="204"/>
      <c r="ICB25" s="204"/>
      <c r="ICC25" s="204"/>
      <c r="ICD25" s="204"/>
      <c r="ICE25" s="204"/>
      <c r="ICF25" s="204"/>
      <c r="ICG25" s="204"/>
      <c r="ICH25" s="204"/>
      <c r="ICI25" s="204"/>
      <c r="ICJ25" s="204"/>
      <c r="ICK25" s="204"/>
      <c r="ICL25" s="204"/>
      <c r="ICM25" s="204"/>
      <c r="ICN25" s="204"/>
      <c r="ICO25" s="204"/>
      <c r="ICP25" s="204"/>
      <c r="ICQ25" s="204"/>
      <c r="ICR25" s="204"/>
      <c r="ICS25" s="204"/>
      <c r="ICT25" s="204"/>
      <c r="ICU25" s="204"/>
      <c r="ICV25" s="204"/>
      <c r="ICW25" s="204"/>
      <c r="ICX25" s="204"/>
      <c r="ICY25" s="204"/>
      <c r="ICZ25" s="204"/>
      <c r="IDA25" s="204"/>
      <c r="IDB25" s="204"/>
      <c r="IDC25" s="204"/>
      <c r="IDD25" s="204"/>
      <c r="IDE25" s="204"/>
      <c r="IDF25" s="204"/>
      <c r="IDG25" s="204"/>
      <c r="IDH25" s="204"/>
      <c r="IDI25" s="204"/>
      <c r="IDJ25" s="204"/>
      <c r="IDK25" s="204"/>
      <c r="IDL25" s="204"/>
      <c r="IDM25" s="204"/>
      <c r="IDN25" s="204"/>
      <c r="IDO25" s="204"/>
      <c r="IDP25" s="204"/>
      <c r="IDQ25" s="204"/>
      <c r="IDR25" s="204"/>
      <c r="IDS25" s="204"/>
      <c r="IDT25" s="204"/>
      <c r="IDU25" s="204"/>
      <c r="IDV25" s="204"/>
      <c r="IDW25" s="204"/>
      <c r="IDX25" s="204"/>
      <c r="IDY25" s="204"/>
      <c r="IDZ25" s="204"/>
      <c r="IEA25" s="204"/>
      <c r="IEB25" s="204"/>
      <c r="IEC25" s="204"/>
      <c r="IED25" s="204"/>
      <c r="IEE25" s="204"/>
      <c r="IEF25" s="204"/>
      <c r="IEG25" s="204"/>
      <c r="IEH25" s="204"/>
      <c r="IEI25" s="204"/>
      <c r="IEJ25" s="204"/>
      <c r="IEK25" s="204"/>
      <c r="IEL25" s="204"/>
      <c r="IEM25" s="204"/>
      <c r="IEN25" s="204"/>
      <c r="IEO25" s="204"/>
      <c r="IEP25" s="204"/>
      <c r="IEQ25" s="204"/>
      <c r="IER25" s="204"/>
      <c r="IES25" s="204"/>
      <c r="IET25" s="204"/>
      <c r="IEU25" s="204"/>
      <c r="IEV25" s="204"/>
      <c r="IEW25" s="204"/>
      <c r="IEX25" s="204"/>
      <c r="IEY25" s="204"/>
      <c r="IEZ25" s="204"/>
      <c r="IFA25" s="204"/>
      <c r="IFB25" s="204"/>
      <c r="IFC25" s="204"/>
      <c r="IFD25" s="204"/>
      <c r="IFE25" s="204"/>
      <c r="IFF25" s="204"/>
      <c r="IFG25" s="204"/>
      <c r="IFH25" s="204"/>
      <c r="IFI25" s="204"/>
      <c r="IFJ25" s="204"/>
      <c r="IFK25" s="204"/>
      <c r="IFL25" s="204"/>
      <c r="IFM25" s="204"/>
      <c r="IFN25" s="204"/>
      <c r="IFO25" s="204"/>
      <c r="IFP25" s="204"/>
      <c r="IFQ25" s="204"/>
      <c r="IFR25" s="204"/>
      <c r="IFS25" s="204"/>
      <c r="IFT25" s="204"/>
      <c r="IFU25" s="204"/>
      <c r="IFV25" s="204"/>
      <c r="IFW25" s="204"/>
      <c r="IFX25" s="204"/>
      <c r="IFY25" s="204"/>
      <c r="IFZ25" s="204"/>
      <c r="IGA25" s="204"/>
      <c r="IGB25" s="204"/>
      <c r="IGC25" s="204"/>
      <c r="IGD25" s="204"/>
      <c r="IGE25" s="204"/>
      <c r="IGF25" s="204"/>
      <c r="IGG25" s="204"/>
      <c r="IGH25" s="204"/>
      <c r="IGI25" s="204"/>
      <c r="IGJ25" s="204"/>
      <c r="IGK25" s="204"/>
      <c r="IGL25" s="204"/>
      <c r="IGM25" s="204"/>
      <c r="IGN25" s="204"/>
      <c r="IGO25" s="204"/>
      <c r="IGP25" s="204"/>
      <c r="IGQ25" s="204"/>
      <c r="IGR25" s="204"/>
      <c r="IGS25" s="204"/>
      <c r="IGT25" s="204"/>
      <c r="IGU25" s="204"/>
      <c r="IGV25" s="204"/>
      <c r="IGW25" s="204"/>
      <c r="IGX25" s="204"/>
      <c r="IGY25" s="204"/>
      <c r="IGZ25" s="204"/>
      <c r="IHA25" s="204"/>
      <c r="IHB25" s="204"/>
      <c r="IHC25" s="204"/>
      <c r="IHD25" s="204"/>
      <c r="IHE25" s="204"/>
      <c r="IHF25" s="204"/>
      <c r="IHG25" s="204"/>
      <c r="IHH25" s="204"/>
      <c r="IHI25" s="204"/>
      <c r="IHJ25" s="204"/>
      <c r="IHK25" s="204"/>
      <c r="IHL25" s="204"/>
      <c r="IHM25" s="204"/>
      <c r="IHN25" s="204"/>
      <c r="IHO25" s="204"/>
      <c r="IHP25" s="204"/>
      <c r="IHQ25" s="204"/>
      <c r="IHR25" s="204"/>
      <c r="IHS25" s="204"/>
      <c r="IHT25" s="204"/>
      <c r="IHU25" s="204"/>
      <c r="IHV25" s="204"/>
      <c r="IHW25" s="204"/>
      <c r="IHX25" s="204"/>
      <c r="IHY25" s="204"/>
      <c r="IHZ25" s="204"/>
      <c r="IIA25" s="204"/>
      <c r="IIB25" s="204"/>
      <c r="IIC25" s="204"/>
      <c r="IID25" s="204"/>
      <c r="IIE25" s="204"/>
      <c r="IIF25" s="204"/>
      <c r="IIG25" s="204"/>
      <c r="IIH25" s="204"/>
      <c r="III25" s="204"/>
      <c r="IIJ25" s="204"/>
      <c r="IIK25" s="204"/>
      <c r="IIL25" s="204"/>
      <c r="IIM25" s="204"/>
      <c r="IIN25" s="204"/>
      <c r="IIO25" s="204"/>
      <c r="IIP25" s="204"/>
      <c r="IIQ25" s="204"/>
      <c r="IIR25" s="204"/>
      <c r="IIS25" s="204"/>
      <c r="IIT25" s="204"/>
      <c r="IIU25" s="204"/>
      <c r="IIV25" s="204"/>
      <c r="IIW25" s="204"/>
      <c r="IIX25" s="204"/>
      <c r="IIY25" s="204"/>
      <c r="IIZ25" s="204"/>
      <c r="IJA25" s="204"/>
      <c r="IJB25" s="204"/>
      <c r="IJC25" s="204"/>
      <c r="IJD25" s="204"/>
      <c r="IJE25" s="204"/>
      <c r="IJF25" s="204"/>
      <c r="IJG25" s="204"/>
      <c r="IJH25" s="204"/>
      <c r="IJI25" s="204"/>
      <c r="IJJ25" s="204"/>
      <c r="IJK25" s="204"/>
      <c r="IJL25" s="204"/>
      <c r="IJM25" s="204"/>
      <c r="IJN25" s="204"/>
      <c r="IJO25" s="204"/>
      <c r="IJP25" s="204"/>
      <c r="IJQ25" s="204"/>
      <c r="IJR25" s="204"/>
      <c r="IJS25" s="204"/>
      <c r="IJT25" s="204"/>
      <c r="IJU25" s="204"/>
      <c r="IJV25" s="204"/>
      <c r="IJW25" s="204"/>
      <c r="IJX25" s="204"/>
      <c r="IJY25" s="204"/>
      <c r="IJZ25" s="204"/>
      <c r="IKA25" s="204"/>
      <c r="IKB25" s="204"/>
      <c r="IKC25" s="204"/>
      <c r="IKD25" s="204"/>
      <c r="IKE25" s="204"/>
      <c r="IKF25" s="204"/>
      <c r="IKG25" s="204"/>
      <c r="IKH25" s="204"/>
      <c r="IKI25" s="204"/>
      <c r="IKJ25" s="204"/>
      <c r="IKK25" s="204"/>
      <c r="IKL25" s="204"/>
      <c r="IKM25" s="204"/>
      <c r="IKN25" s="204"/>
      <c r="IKO25" s="204"/>
      <c r="IKP25" s="204"/>
      <c r="IKQ25" s="204"/>
      <c r="IKR25" s="204"/>
      <c r="IKS25" s="204"/>
      <c r="IKT25" s="204"/>
      <c r="IKU25" s="204"/>
      <c r="IKV25" s="204"/>
      <c r="IKW25" s="204"/>
      <c r="IKX25" s="204"/>
      <c r="IKY25" s="204"/>
      <c r="IKZ25" s="204"/>
      <c r="ILA25" s="204"/>
      <c r="ILB25" s="204"/>
      <c r="ILC25" s="204"/>
      <c r="ILD25" s="204"/>
      <c r="ILE25" s="204"/>
      <c r="ILF25" s="204"/>
      <c r="ILG25" s="204"/>
      <c r="ILH25" s="204"/>
      <c r="ILI25" s="204"/>
      <c r="ILJ25" s="204"/>
      <c r="ILK25" s="204"/>
      <c r="ILL25" s="204"/>
      <c r="ILM25" s="204"/>
      <c r="ILN25" s="204"/>
      <c r="ILO25" s="204"/>
      <c r="ILP25" s="204"/>
      <c r="ILQ25" s="204"/>
      <c r="ILR25" s="204"/>
      <c r="ILS25" s="204"/>
      <c r="ILT25" s="204"/>
      <c r="ILU25" s="204"/>
      <c r="ILV25" s="204"/>
      <c r="ILW25" s="204"/>
      <c r="ILX25" s="204"/>
      <c r="ILY25" s="204"/>
      <c r="ILZ25" s="204"/>
      <c r="IMA25" s="204"/>
      <c r="IMB25" s="204"/>
      <c r="IMC25" s="204"/>
      <c r="IMD25" s="204"/>
      <c r="IME25" s="204"/>
      <c r="IMF25" s="204"/>
      <c r="IMG25" s="204"/>
      <c r="IMH25" s="204"/>
      <c r="IMI25" s="204"/>
      <c r="IMJ25" s="204"/>
      <c r="IMK25" s="204"/>
      <c r="IML25" s="204"/>
      <c r="IMM25" s="204"/>
      <c r="IMN25" s="204"/>
      <c r="IMO25" s="204"/>
      <c r="IMP25" s="204"/>
      <c r="IMQ25" s="204"/>
      <c r="IMR25" s="204"/>
      <c r="IMS25" s="204"/>
      <c r="IMT25" s="204"/>
      <c r="IMU25" s="204"/>
      <c r="IMV25" s="204"/>
      <c r="IMW25" s="204"/>
      <c r="IMX25" s="204"/>
      <c r="IMY25" s="204"/>
      <c r="IMZ25" s="204"/>
      <c r="INA25" s="204"/>
      <c r="INB25" s="204"/>
      <c r="INC25" s="204"/>
      <c r="IND25" s="204"/>
      <c r="INE25" s="204"/>
      <c r="INF25" s="204"/>
      <c r="ING25" s="204"/>
      <c r="INH25" s="204"/>
      <c r="INI25" s="204"/>
      <c r="INJ25" s="204"/>
      <c r="INK25" s="204"/>
      <c r="INL25" s="204"/>
      <c r="INM25" s="204"/>
      <c r="INN25" s="204"/>
      <c r="INO25" s="204"/>
      <c r="INP25" s="204"/>
      <c r="INQ25" s="204"/>
      <c r="INR25" s="204"/>
      <c r="INS25" s="204"/>
      <c r="INT25" s="204"/>
      <c r="INU25" s="204"/>
      <c r="INV25" s="204"/>
      <c r="INW25" s="204"/>
      <c r="INX25" s="204"/>
      <c r="INY25" s="204"/>
      <c r="INZ25" s="204"/>
      <c r="IOA25" s="204"/>
      <c r="IOB25" s="204"/>
      <c r="IOC25" s="204"/>
      <c r="IOD25" s="204"/>
      <c r="IOE25" s="204"/>
      <c r="IOF25" s="204"/>
      <c r="IOG25" s="204"/>
      <c r="IOH25" s="204"/>
      <c r="IOI25" s="204"/>
      <c r="IOJ25" s="204"/>
      <c r="IOK25" s="204"/>
      <c r="IOL25" s="204"/>
      <c r="IOM25" s="204"/>
      <c r="ION25" s="204"/>
      <c r="IOO25" s="204"/>
      <c r="IOP25" s="204"/>
      <c r="IOQ25" s="204"/>
      <c r="IOR25" s="204"/>
      <c r="IOS25" s="204"/>
      <c r="IOT25" s="204"/>
      <c r="IOU25" s="204"/>
      <c r="IOV25" s="204"/>
      <c r="IOW25" s="204"/>
      <c r="IOX25" s="204"/>
      <c r="IOY25" s="204"/>
      <c r="IOZ25" s="204"/>
      <c r="IPA25" s="204"/>
      <c r="IPB25" s="204"/>
      <c r="IPC25" s="204"/>
      <c r="IPD25" s="204"/>
      <c r="IPE25" s="204"/>
      <c r="IPF25" s="204"/>
      <c r="IPG25" s="204"/>
      <c r="IPH25" s="204"/>
      <c r="IPI25" s="204"/>
      <c r="IPJ25" s="204"/>
      <c r="IPK25" s="204"/>
      <c r="IPL25" s="204"/>
      <c r="IPM25" s="204"/>
      <c r="IPN25" s="204"/>
      <c r="IPO25" s="204"/>
      <c r="IPP25" s="204"/>
      <c r="IPQ25" s="204"/>
      <c r="IPR25" s="204"/>
      <c r="IPS25" s="204"/>
      <c r="IPT25" s="204"/>
      <c r="IPU25" s="204"/>
      <c r="IPV25" s="204"/>
      <c r="IPW25" s="204"/>
      <c r="IPX25" s="204"/>
      <c r="IPY25" s="204"/>
      <c r="IPZ25" s="204"/>
      <c r="IQA25" s="204"/>
      <c r="IQB25" s="204"/>
      <c r="IQC25" s="204"/>
      <c r="IQD25" s="204"/>
      <c r="IQE25" s="204"/>
      <c r="IQF25" s="204"/>
      <c r="IQG25" s="204"/>
      <c r="IQH25" s="204"/>
      <c r="IQI25" s="204"/>
      <c r="IQJ25" s="204"/>
      <c r="IQK25" s="204"/>
      <c r="IQL25" s="204"/>
      <c r="IQM25" s="204"/>
      <c r="IQN25" s="204"/>
      <c r="IQO25" s="204"/>
      <c r="IQP25" s="204"/>
      <c r="IQQ25" s="204"/>
      <c r="IQR25" s="204"/>
      <c r="IQS25" s="204"/>
      <c r="IQT25" s="204"/>
      <c r="IQU25" s="204"/>
      <c r="IQV25" s="204"/>
      <c r="IQW25" s="204"/>
      <c r="IQX25" s="204"/>
      <c r="IQY25" s="204"/>
      <c r="IQZ25" s="204"/>
      <c r="IRA25" s="204"/>
      <c r="IRB25" s="204"/>
      <c r="IRC25" s="204"/>
      <c r="IRD25" s="204"/>
      <c r="IRE25" s="204"/>
      <c r="IRF25" s="204"/>
      <c r="IRG25" s="204"/>
      <c r="IRH25" s="204"/>
      <c r="IRI25" s="204"/>
      <c r="IRJ25" s="204"/>
      <c r="IRK25" s="204"/>
      <c r="IRL25" s="204"/>
      <c r="IRM25" s="204"/>
      <c r="IRN25" s="204"/>
      <c r="IRO25" s="204"/>
      <c r="IRP25" s="204"/>
      <c r="IRQ25" s="204"/>
      <c r="IRR25" s="204"/>
      <c r="IRS25" s="204"/>
      <c r="IRT25" s="204"/>
      <c r="IRU25" s="204"/>
      <c r="IRV25" s="204"/>
      <c r="IRW25" s="204"/>
      <c r="IRX25" s="204"/>
      <c r="IRY25" s="204"/>
      <c r="IRZ25" s="204"/>
      <c r="ISA25" s="204"/>
      <c r="ISB25" s="204"/>
      <c r="ISC25" s="204"/>
      <c r="ISD25" s="204"/>
      <c r="ISE25" s="204"/>
      <c r="ISF25" s="204"/>
      <c r="ISG25" s="204"/>
      <c r="ISH25" s="204"/>
      <c r="ISI25" s="204"/>
      <c r="ISJ25" s="204"/>
      <c r="ISK25" s="204"/>
      <c r="ISL25" s="204"/>
      <c r="ISM25" s="204"/>
      <c r="ISN25" s="204"/>
      <c r="ISO25" s="204"/>
      <c r="ISP25" s="204"/>
      <c r="ISQ25" s="204"/>
      <c r="ISR25" s="204"/>
      <c r="ISS25" s="204"/>
      <c r="IST25" s="204"/>
      <c r="ISU25" s="204"/>
      <c r="ISV25" s="204"/>
      <c r="ISW25" s="204"/>
      <c r="ISX25" s="204"/>
      <c r="ISY25" s="204"/>
      <c r="ISZ25" s="204"/>
      <c r="ITA25" s="204"/>
      <c r="ITB25" s="204"/>
      <c r="ITC25" s="204"/>
      <c r="ITD25" s="204"/>
      <c r="ITE25" s="204"/>
      <c r="ITF25" s="204"/>
      <c r="ITG25" s="204"/>
      <c r="ITH25" s="204"/>
      <c r="ITI25" s="204"/>
      <c r="ITJ25" s="204"/>
      <c r="ITK25" s="204"/>
      <c r="ITL25" s="204"/>
      <c r="ITM25" s="204"/>
      <c r="ITN25" s="204"/>
      <c r="ITO25" s="204"/>
      <c r="ITP25" s="204"/>
      <c r="ITQ25" s="204"/>
      <c r="ITR25" s="204"/>
      <c r="ITS25" s="204"/>
      <c r="ITT25" s="204"/>
      <c r="ITU25" s="204"/>
      <c r="ITV25" s="204"/>
      <c r="ITW25" s="204"/>
      <c r="ITX25" s="204"/>
      <c r="ITY25" s="204"/>
      <c r="ITZ25" s="204"/>
      <c r="IUA25" s="204"/>
      <c r="IUB25" s="204"/>
      <c r="IUC25" s="204"/>
      <c r="IUD25" s="204"/>
      <c r="IUE25" s="204"/>
      <c r="IUF25" s="204"/>
      <c r="IUG25" s="204"/>
      <c r="IUH25" s="204"/>
      <c r="IUI25" s="204"/>
      <c r="IUJ25" s="204"/>
      <c r="IUK25" s="204"/>
      <c r="IUL25" s="204"/>
      <c r="IUM25" s="204"/>
      <c r="IUN25" s="204"/>
      <c r="IUO25" s="204"/>
      <c r="IUP25" s="204"/>
      <c r="IUQ25" s="204"/>
      <c r="IUR25" s="204"/>
      <c r="IUS25" s="204"/>
      <c r="IUT25" s="204"/>
      <c r="IUU25" s="204"/>
      <c r="IUV25" s="204"/>
      <c r="IUW25" s="204"/>
      <c r="IUX25" s="204"/>
      <c r="IUY25" s="204"/>
      <c r="IUZ25" s="204"/>
      <c r="IVA25" s="204"/>
      <c r="IVB25" s="204"/>
      <c r="IVC25" s="204"/>
      <c r="IVD25" s="204"/>
      <c r="IVE25" s="204"/>
      <c r="IVF25" s="204"/>
      <c r="IVG25" s="204"/>
      <c r="IVH25" s="204"/>
      <c r="IVI25" s="204"/>
      <c r="IVJ25" s="204"/>
      <c r="IVK25" s="204"/>
      <c r="IVL25" s="204"/>
      <c r="IVM25" s="204"/>
      <c r="IVN25" s="204"/>
      <c r="IVO25" s="204"/>
      <c r="IVP25" s="204"/>
      <c r="IVQ25" s="204"/>
      <c r="IVR25" s="204"/>
      <c r="IVS25" s="204"/>
      <c r="IVT25" s="204"/>
      <c r="IVU25" s="204"/>
      <c r="IVV25" s="204"/>
      <c r="IVW25" s="204"/>
      <c r="IVX25" s="204"/>
      <c r="IVY25" s="204"/>
      <c r="IVZ25" s="204"/>
      <c r="IWA25" s="204"/>
      <c r="IWB25" s="204"/>
      <c r="IWC25" s="204"/>
      <c r="IWD25" s="204"/>
      <c r="IWE25" s="204"/>
      <c r="IWF25" s="204"/>
      <c r="IWG25" s="204"/>
      <c r="IWH25" s="204"/>
      <c r="IWI25" s="204"/>
      <c r="IWJ25" s="204"/>
      <c r="IWK25" s="204"/>
      <c r="IWL25" s="204"/>
      <c r="IWM25" s="204"/>
      <c r="IWN25" s="204"/>
      <c r="IWO25" s="204"/>
      <c r="IWP25" s="204"/>
      <c r="IWQ25" s="204"/>
      <c r="IWR25" s="204"/>
      <c r="IWS25" s="204"/>
      <c r="IWT25" s="204"/>
      <c r="IWU25" s="204"/>
      <c r="IWV25" s="204"/>
      <c r="IWW25" s="204"/>
      <c r="IWX25" s="204"/>
      <c r="IWY25" s="204"/>
      <c r="IWZ25" s="204"/>
      <c r="IXA25" s="204"/>
      <c r="IXB25" s="204"/>
      <c r="IXC25" s="204"/>
      <c r="IXD25" s="204"/>
      <c r="IXE25" s="204"/>
      <c r="IXF25" s="204"/>
      <c r="IXG25" s="204"/>
      <c r="IXH25" s="204"/>
      <c r="IXI25" s="204"/>
      <c r="IXJ25" s="204"/>
      <c r="IXK25" s="204"/>
      <c r="IXL25" s="204"/>
      <c r="IXM25" s="204"/>
      <c r="IXN25" s="204"/>
      <c r="IXO25" s="204"/>
      <c r="IXP25" s="204"/>
      <c r="IXQ25" s="204"/>
      <c r="IXR25" s="204"/>
      <c r="IXS25" s="204"/>
      <c r="IXT25" s="204"/>
      <c r="IXU25" s="204"/>
      <c r="IXV25" s="204"/>
      <c r="IXW25" s="204"/>
      <c r="IXX25" s="204"/>
      <c r="IXY25" s="204"/>
      <c r="IXZ25" s="204"/>
      <c r="IYA25" s="204"/>
      <c r="IYB25" s="204"/>
      <c r="IYC25" s="204"/>
      <c r="IYD25" s="204"/>
      <c r="IYE25" s="204"/>
      <c r="IYF25" s="204"/>
      <c r="IYG25" s="204"/>
      <c r="IYH25" s="204"/>
      <c r="IYI25" s="204"/>
      <c r="IYJ25" s="204"/>
      <c r="IYK25" s="204"/>
      <c r="IYL25" s="204"/>
      <c r="IYM25" s="204"/>
      <c r="IYN25" s="204"/>
      <c r="IYO25" s="204"/>
      <c r="IYP25" s="204"/>
      <c r="IYQ25" s="204"/>
      <c r="IYR25" s="204"/>
      <c r="IYS25" s="204"/>
      <c r="IYT25" s="204"/>
      <c r="IYU25" s="204"/>
      <c r="IYV25" s="204"/>
      <c r="IYW25" s="204"/>
      <c r="IYX25" s="204"/>
      <c r="IYY25" s="204"/>
      <c r="IYZ25" s="204"/>
      <c r="IZA25" s="204"/>
      <c r="IZB25" s="204"/>
      <c r="IZC25" s="204"/>
      <c r="IZD25" s="204"/>
      <c r="IZE25" s="204"/>
      <c r="IZF25" s="204"/>
      <c r="IZG25" s="204"/>
      <c r="IZH25" s="204"/>
      <c r="IZI25" s="204"/>
      <c r="IZJ25" s="204"/>
      <c r="IZK25" s="204"/>
      <c r="IZL25" s="204"/>
      <c r="IZM25" s="204"/>
      <c r="IZN25" s="204"/>
      <c r="IZO25" s="204"/>
      <c r="IZP25" s="204"/>
      <c r="IZQ25" s="204"/>
      <c r="IZR25" s="204"/>
      <c r="IZS25" s="204"/>
      <c r="IZT25" s="204"/>
      <c r="IZU25" s="204"/>
      <c r="IZV25" s="204"/>
      <c r="IZW25" s="204"/>
      <c r="IZX25" s="204"/>
      <c r="IZY25" s="204"/>
      <c r="IZZ25" s="204"/>
      <c r="JAA25" s="204"/>
      <c r="JAB25" s="204"/>
      <c r="JAC25" s="204"/>
      <c r="JAD25" s="204"/>
      <c r="JAE25" s="204"/>
      <c r="JAF25" s="204"/>
      <c r="JAG25" s="204"/>
      <c r="JAH25" s="204"/>
      <c r="JAI25" s="204"/>
      <c r="JAJ25" s="204"/>
      <c r="JAK25" s="204"/>
      <c r="JAL25" s="204"/>
      <c r="JAM25" s="204"/>
      <c r="JAN25" s="204"/>
      <c r="JAO25" s="204"/>
      <c r="JAP25" s="204"/>
      <c r="JAQ25" s="204"/>
      <c r="JAR25" s="204"/>
      <c r="JAS25" s="204"/>
      <c r="JAT25" s="204"/>
      <c r="JAU25" s="204"/>
      <c r="JAV25" s="204"/>
      <c r="JAW25" s="204"/>
      <c r="JAX25" s="204"/>
      <c r="JAY25" s="204"/>
      <c r="JAZ25" s="204"/>
      <c r="JBA25" s="204"/>
      <c r="JBB25" s="204"/>
      <c r="JBC25" s="204"/>
      <c r="JBD25" s="204"/>
      <c r="JBE25" s="204"/>
      <c r="JBF25" s="204"/>
      <c r="JBG25" s="204"/>
      <c r="JBH25" s="204"/>
      <c r="JBI25" s="204"/>
      <c r="JBJ25" s="204"/>
      <c r="JBK25" s="204"/>
      <c r="JBL25" s="204"/>
      <c r="JBM25" s="204"/>
      <c r="JBN25" s="204"/>
      <c r="JBO25" s="204"/>
      <c r="JBP25" s="204"/>
      <c r="JBQ25" s="204"/>
      <c r="JBR25" s="204"/>
      <c r="JBS25" s="204"/>
      <c r="JBT25" s="204"/>
      <c r="JBU25" s="204"/>
      <c r="JBV25" s="204"/>
      <c r="JBW25" s="204"/>
      <c r="JBX25" s="204"/>
      <c r="JBY25" s="204"/>
      <c r="JBZ25" s="204"/>
      <c r="JCA25" s="204"/>
      <c r="JCB25" s="204"/>
      <c r="JCC25" s="204"/>
      <c r="JCD25" s="204"/>
      <c r="JCE25" s="204"/>
      <c r="JCF25" s="204"/>
      <c r="JCG25" s="204"/>
      <c r="JCH25" s="204"/>
      <c r="JCI25" s="204"/>
      <c r="JCJ25" s="204"/>
      <c r="JCK25" s="204"/>
      <c r="JCL25" s="204"/>
      <c r="JCM25" s="204"/>
      <c r="JCN25" s="204"/>
      <c r="JCO25" s="204"/>
      <c r="JCP25" s="204"/>
      <c r="JCQ25" s="204"/>
      <c r="JCR25" s="204"/>
      <c r="JCS25" s="204"/>
      <c r="JCT25" s="204"/>
      <c r="JCU25" s="204"/>
      <c r="JCV25" s="204"/>
      <c r="JCW25" s="204"/>
      <c r="JCX25" s="204"/>
      <c r="JCY25" s="204"/>
      <c r="JCZ25" s="204"/>
      <c r="JDA25" s="204"/>
      <c r="JDB25" s="204"/>
      <c r="JDC25" s="204"/>
      <c r="JDD25" s="204"/>
      <c r="JDE25" s="204"/>
      <c r="JDF25" s="204"/>
      <c r="JDG25" s="204"/>
      <c r="JDH25" s="204"/>
      <c r="JDI25" s="204"/>
      <c r="JDJ25" s="204"/>
      <c r="JDK25" s="204"/>
      <c r="JDL25" s="204"/>
      <c r="JDM25" s="204"/>
      <c r="JDN25" s="204"/>
      <c r="JDO25" s="204"/>
      <c r="JDP25" s="204"/>
      <c r="JDQ25" s="204"/>
      <c r="JDR25" s="204"/>
      <c r="JDS25" s="204"/>
      <c r="JDT25" s="204"/>
      <c r="JDU25" s="204"/>
      <c r="JDV25" s="204"/>
      <c r="JDW25" s="204"/>
      <c r="JDX25" s="204"/>
      <c r="JDY25" s="204"/>
      <c r="JDZ25" s="204"/>
      <c r="JEA25" s="204"/>
      <c r="JEB25" s="204"/>
      <c r="JEC25" s="204"/>
      <c r="JED25" s="204"/>
      <c r="JEE25" s="204"/>
      <c r="JEF25" s="204"/>
      <c r="JEG25" s="204"/>
      <c r="JEH25" s="204"/>
      <c r="JEI25" s="204"/>
      <c r="JEJ25" s="204"/>
      <c r="JEK25" s="204"/>
      <c r="JEL25" s="204"/>
      <c r="JEM25" s="204"/>
      <c r="JEN25" s="204"/>
      <c r="JEO25" s="204"/>
      <c r="JEP25" s="204"/>
      <c r="JEQ25" s="204"/>
      <c r="JER25" s="204"/>
      <c r="JES25" s="204"/>
      <c r="JET25" s="204"/>
      <c r="JEU25" s="204"/>
      <c r="JEV25" s="204"/>
      <c r="JEW25" s="204"/>
      <c r="JEX25" s="204"/>
      <c r="JEY25" s="204"/>
      <c r="JEZ25" s="204"/>
      <c r="JFA25" s="204"/>
      <c r="JFB25" s="204"/>
      <c r="JFC25" s="204"/>
      <c r="JFD25" s="204"/>
      <c r="JFE25" s="204"/>
      <c r="JFF25" s="204"/>
      <c r="JFG25" s="204"/>
      <c r="JFH25" s="204"/>
      <c r="JFI25" s="204"/>
      <c r="JFJ25" s="204"/>
      <c r="JFK25" s="204"/>
      <c r="JFL25" s="204"/>
      <c r="JFM25" s="204"/>
      <c r="JFN25" s="204"/>
      <c r="JFO25" s="204"/>
      <c r="JFP25" s="204"/>
      <c r="JFQ25" s="204"/>
      <c r="JFR25" s="204"/>
      <c r="JFS25" s="204"/>
      <c r="JFT25" s="204"/>
      <c r="JFU25" s="204"/>
      <c r="JFV25" s="204"/>
      <c r="JFW25" s="204"/>
      <c r="JFX25" s="204"/>
      <c r="JFY25" s="204"/>
      <c r="JFZ25" s="204"/>
      <c r="JGA25" s="204"/>
      <c r="JGB25" s="204"/>
      <c r="JGC25" s="204"/>
      <c r="JGD25" s="204"/>
      <c r="JGE25" s="204"/>
      <c r="JGF25" s="204"/>
      <c r="JGG25" s="204"/>
      <c r="JGH25" s="204"/>
      <c r="JGI25" s="204"/>
      <c r="JGJ25" s="204"/>
      <c r="JGK25" s="204"/>
      <c r="JGL25" s="204"/>
      <c r="JGM25" s="204"/>
      <c r="JGN25" s="204"/>
      <c r="JGO25" s="204"/>
      <c r="JGP25" s="204"/>
      <c r="JGQ25" s="204"/>
      <c r="JGR25" s="204"/>
      <c r="JGS25" s="204"/>
      <c r="JGT25" s="204"/>
      <c r="JGU25" s="204"/>
      <c r="JGV25" s="204"/>
      <c r="JGW25" s="204"/>
      <c r="JGX25" s="204"/>
      <c r="JGY25" s="204"/>
      <c r="JGZ25" s="204"/>
      <c r="JHA25" s="204"/>
      <c r="JHB25" s="204"/>
      <c r="JHC25" s="204"/>
      <c r="JHD25" s="204"/>
      <c r="JHE25" s="204"/>
      <c r="JHF25" s="204"/>
      <c r="JHG25" s="204"/>
      <c r="JHH25" s="204"/>
      <c r="JHI25" s="204"/>
      <c r="JHJ25" s="204"/>
      <c r="JHK25" s="204"/>
      <c r="JHL25" s="204"/>
      <c r="JHM25" s="204"/>
      <c r="JHN25" s="204"/>
      <c r="JHO25" s="204"/>
      <c r="JHP25" s="204"/>
      <c r="JHQ25" s="204"/>
      <c r="JHR25" s="204"/>
      <c r="JHS25" s="204"/>
      <c r="JHT25" s="204"/>
      <c r="JHU25" s="204"/>
      <c r="JHV25" s="204"/>
      <c r="JHW25" s="204"/>
      <c r="JHX25" s="204"/>
      <c r="JHY25" s="204"/>
      <c r="JHZ25" s="204"/>
      <c r="JIA25" s="204"/>
      <c r="JIB25" s="204"/>
      <c r="JIC25" s="204"/>
      <c r="JID25" s="204"/>
      <c r="JIE25" s="204"/>
      <c r="JIF25" s="204"/>
      <c r="JIG25" s="204"/>
      <c r="JIH25" s="204"/>
      <c r="JII25" s="204"/>
      <c r="JIJ25" s="204"/>
      <c r="JIK25" s="204"/>
      <c r="JIL25" s="204"/>
      <c r="JIM25" s="204"/>
      <c r="JIN25" s="204"/>
      <c r="JIO25" s="204"/>
      <c r="JIP25" s="204"/>
      <c r="JIQ25" s="204"/>
      <c r="JIR25" s="204"/>
      <c r="JIS25" s="204"/>
      <c r="JIT25" s="204"/>
      <c r="JIU25" s="204"/>
      <c r="JIV25" s="204"/>
      <c r="JIW25" s="204"/>
      <c r="JIX25" s="204"/>
      <c r="JIY25" s="204"/>
      <c r="JIZ25" s="204"/>
      <c r="JJA25" s="204"/>
      <c r="JJB25" s="204"/>
      <c r="JJC25" s="204"/>
      <c r="JJD25" s="204"/>
      <c r="JJE25" s="204"/>
      <c r="JJF25" s="204"/>
      <c r="JJG25" s="204"/>
      <c r="JJH25" s="204"/>
      <c r="JJI25" s="204"/>
      <c r="JJJ25" s="204"/>
      <c r="JJK25" s="204"/>
      <c r="JJL25" s="204"/>
      <c r="JJM25" s="204"/>
      <c r="JJN25" s="204"/>
      <c r="JJO25" s="204"/>
      <c r="JJP25" s="204"/>
      <c r="JJQ25" s="204"/>
      <c r="JJR25" s="204"/>
      <c r="JJS25" s="204"/>
      <c r="JJT25" s="204"/>
      <c r="JJU25" s="204"/>
      <c r="JJV25" s="204"/>
      <c r="JJW25" s="204"/>
      <c r="JJX25" s="204"/>
      <c r="JJY25" s="204"/>
      <c r="JJZ25" s="204"/>
      <c r="JKA25" s="204"/>
      <c r="JKB25" s="204"/>
      <c r="JKC25" s="204"/>
      <c r="JKD25" s="204"/>
      <c r="JKE25" s="204"/>
      <c r="JKF25" s="204"/>
      <c r="JKG25" s="204"/>
      <c r="JKH25" s="204"/>
      <c r="JKI25" s="204"/>
      <c r="JKJ25" s="204"/>
      <c r="JKK25" s="204"/>
      <c r="JKL25" s="204"/>
      <c r="JKM25" s="204"/>
      <c r="JKN25" s="204"/>
      <c r="JKO25" s="204"/>
      <c r="JKP25" s="204"/>
      <c r="JKQ25" s="204"/>
      <c r="JKR25" s="204"/>
      <c r="JKS25" s="204"/>
      <c r="JKT25" s="204"/>
      <c r="JKU25" s="204"/>
      <c r="JKV25" s="204"/>
      <c r="JKW25" s="204"/>
      <c r="JKX25" s="204"/>
      <c r="JKY25" s="204"/>
      <c r="JKZ25" s="204"/>
      <c r="JLA25" s="204"/>
      <c r="JLB25" s="204"/>
      <c r="JLC25" s="204"/>
      <c r="JLD25" s="204"/>
      <c r="JLE25" s="204"/>
      <c r="JLF25" s="204"/>
      <c r="JLG25" s="204"/>
      <c r="JLH25" s="204"/>
      <c r="JLI25" s="204"/>
      <c r="JLJ25" s="204"/>
      <c r="JLK25" s="204"/>
      <c r="JLL25" s="204"/>
      <c r="JLM25" s="204"/>
      <c r="JLN25" s="204"/>
      <c r="JLO25" s="204"/>
      <c r="JLP25" s="204"/>
      <c r="JLQ25" s="204"/>
      <c r="JLR25" s="204"/>
      <c r="JLS25" s="204"/>
      <c r="JLT25" s="204"/>
      <c r="JLU25" s="204"/>
      <c r="JLV25" s="204"/>
      <c r="JLW25" s="204"/>
      <c r="JLX25" s="204"/>
      <c r="JLY25" s="204"/>
      <c r="JLZ25" s="204"/>
      <c r="JMA25" s="204"/>
      <c r="JMB25" s="204"/>
      <c r="JMC25" s="204"/>
      <c r="JMD25" s="204"/>
      <c r="JME25" s="204"/>
      <c r="JMF25" s="204"/>
      <c r="JMG25" s="204"/>
      <c r="JMH25" s="204"/>
      <c r="JMI25" s="204"/>
      <c r="JMJ25" s="204"/>
      <c r="JMK25" s="204"/>
      <c r="JML25" s="204"/>
      <c r="JMM25" s="204"/>
      <c r="JMN25" s="204"/>
      <c r="JMO25" s="204"/>
      <c r="JMP25" s="204"/>
      <c r="JMQ25" s="204"/>
      <c r="JMR25" s="204"/>
      <c r="JMS25" s="204"/>
      <c r="JMT25" s="204"/>
      <c r="JMU25" s="204"/>
      <c r="JMV25" s="204"/>
      <c r="JMW25" s="204"/>
      <c r="JMX25" s="204"/>
      <c r="JMY25" s="204"/>
      <c r="JMZ25" s="204"/>
      <c r="JNA25" s="204"/>
      <c r="JNB25" s="204"/>
      <c r="JNC25" s="204"/>
      <c r="JND25" s="204"/>
      <c r="JNE25" s="204"/>
      <c r="JNF25" s="204"/>
      <c r="JNG25" s="204"/>
      <c r="JNH25" s="204"/>
      <c r="JNI25" s="204"/>
      <c r="JNJ25" s="204"/>
      <c r="JNK25" s="204"/>
      <c r="JNL25" s="204"/>
      <c r="JNM25" s="204"/>
      <c r="JNN25" s="204"/>
      <c r="JNO25" s="204"/>
      <c r="JNP25" s="204"/>
      <c r="JNQ25" s="204"/>
      <c r="JNR25" s="204"/>
      <c r="JNS25" s="204"/>
      <c r="JNT25" s="204"/>
      <c r="JNU25" s="204"/>
      <c r="JNV25" s="204"/>
      <c r="JNW25" s="204"/>
      <c r="JNX25" s="204"/>
      <c r="JNY25" s="204"/>
      <c r="JNZ25" s="204"/>
      <c r="JOA25" s="204"/>
      <c r="JOB25" s="204"/>
      <c r="JOC25" s="204"/>
      <c r="JOD25" s="204"/>
      <c r="JOE25" s="204"/>
      <c r="JOF25" s="204"/>
      <c r="JOG25" s="204"/>
      <c r="JOH25" s="204"/>
      <c r="JOI25" s="204"/>
      <c r="JOJ25" s="204"/>
      <c r="JOK25" s="204"/>
      <c r="JOL25" s="204"/>
      <c r="JOM25" s="204"/>
      <c r="JON25" s="204"/>
      <c r="JOO25" s="204"/>
      <c r="JOP25" s="204"/>
      <c r="JOQ25" s="204"/>
      <c r="JOR25" s="204"/>
      <c r="JOS25" s="204"/>
      <c r="JOT25" s="204"/>
      <c r="JOU25" s="204"/>
      <c r="JOV25" s="204"/>
      <c r="JOW25" s="204"/>
      <c r="JOX25" s="204"/>
      <c r="JOY25" s="204"/>
      <c r="JOZ25" s="204"/>
      <c r="JPA25" s="204"/>
      <c r="JPB25" s="204"/>
      <c r="JPC25" s="204"/>
      <c r="JPD25" s="204"/>
      <c r="JPE25" s="204"/>
      <c r="JPF25" s="204"/>
      <c r="JPG25" s="204"/>
      <c r="JPH25" s="204"/>
      <c r="JPI25" s="204"/>
      <c r="JPJ25" s="204"/>
      <c r="JPK25" s="204"/>
      <c r="JPL25" s="204"/>
      <c r="JPM25" s="204"/>
      <c r="JPN25" s="204"/>
      <c r="JPO25" s="204"/>
      <c r="JPP25" s="204"/>
      <c r="JPQ25" s="204"/>
      <c r="JPR25" s="204"/>
      <c r="JPS25" s="204"/>
      <c r="JPT25" s="204"/>
      <c r="JPU25" s="204"/>
      <c r="JPV25" s="204"/>
      <c r="JPW25" s="204"/>
      <c r="JPX25" s="204"/>
      <c r="JPY25" s="204"/>
      <c r="JPZ25" s="204"/>
      <c r="JQA25" s="204"/>
      <c r="JQB25" s="204"/>
      <c r="JQC25" s="204"/>
      <c r="JQD25" s="204"/>
      <c r="JQE25" s="204"/>
      <c r="JQF25" s="204"/>
      <c r="JQG25" s="204"/>
      <c r="JQH25" s="204"/>
      <c r="JQI25" s="204"/>
      <c r="JQJ25" s="204"/>
      <c r="JQK25" s="204"/>
      <c r="JQL25" s="204"/>
      <c r="JQM25" s="204"/>
      <c r="JQN25" s="204"/>
      <c r="JQO25" s="204"/>
      <c r="JQP25" s="204"/>
      <c r="JQQ25" s="204"/>
      <c r="JQR25" s="204"/>
      <c r="JQS25" s="204"/>
      <c r="JQT25" s="204"/>
      <c r="JQU25" s="204"/>
      <c r="JQV25" s="204"/>
      <c r="JQW25" s="204"/>
      <c r="JQX25" s="204"/>
      <c r="JQY25" s="204"/>
      <c r="JQZ25" s="204"/>
      <c r="JRA25" s="204"/>
      <c r="JRB25" s="204"/>
      <c r="JRC25" s="204"/>
      <c r="JRD25" s="204"/>
      <c r="JRE25" s="204"/>
      <c r="JRF25" s="204"/>
      <c r="JRG25" s="204"/>
      <c r="JRH25" s="204"/>
      <c r="JRI25" s="204"/>
      <c r="JRJ25" s="204"/>
      <c r="JRK25" s="204"/>
      <c r="JRL25" s="204"/>
      <c r="JRM25" s="204"/>
      <c r="JRN25" s="204"/>
      <c r="JRO25" s="204"/>
      <c r="JRP25" s="204"/>
      <c r="JRQ25" s="204"/>
      <c r="JRR25" s="204"/>
      <c r="JRS25" s="204"/>
      <c r="JRT25" s="204"/>
      <c r="JRU25" s="204"/>
      <c r="JRV25" s="204"/>
      <c r="JRW25" s="204"/>
      <c r="JRX25" s="204"/>
      <c r="JRY25" s="204"/>
      <c r="JRZ25" s="204"/>
      <c r="JSA25" s="204"/>
      <c r="JSB25" s="204"/>
      <c r="JSC25" s="204"/>
      <c r="JSD25" s="204"/>
      <c r="JSE25" s="204"/>
      <c r="JSF25" s="204"/>
      <c r="JSG25" s="204"/>
      <c r="JSH25" s="204"/>
      <c r="JSI25" s="204"/>
      <c r="JSJ25" s="204"/>
      <c r="JSK25" s="204"/>
      <c r="JSL25" s="204"/>
      <c r="JSM25" s="204"/>
      <c r="JSN25" s="204"/>
      <c r="JSO25" s="204"/>
      <c r="JSP25" s="204"/>
      <c r="JSQ25" s="204"/>
      <c r="JSR25" s="204"/>
      <c r="JSS25" s="204"/>
      <c r="JST25" s="204"/>
      <c r="JSU25" s="204"/>
      <c r="JSV25" s="204"/>
      <c r="JSW25" s="204"/>
      <c r="JSX25" s="204"/>
      <c r="JSY25" s="204"/>
      <c r="JSZ25" s="204"/>
      <c r="JTA25" s="204"/>
      <c r="JTB25" s="204"/>
      <c r="JTC25" s="204"/>
      <c r="JTD25" s="204"/>
      <c r="JTE25" s="204"/>
      <c r="JTF25" s="204"/>
      <c r="JTG25" s="204"/>
      <c r="JTH25" s="204"/>
      <c r="JTI25" s="204"/>
      <c r="JTJ25" s="204"/>
      <c r="JTK25" s="204"/>
      <c r="JTL25" s="204"/>
      <c r="JTM25" s="204"/>
      <c r="JTN25" s="204"/>
      <c r="JTO25" s="204"/>
      <c r="JTP25" s="204"/>
      <c r="JTQ25" s="204"/>
      <c r="JTR25" s="204"/>
      <c r="JTS25" s="204"/>
      <c r="JTT25" s="204"/>
      <c r="JTU25" s="204"/>
      <c r="JTV25" s="204"/>
      <c r="JTW25" s="204"/>
      <c r="JTX25" s="204"/>
      <c r="JTY25" s="204"/>
      <c r="JTZ25" s="204"/>
      <c r="JUA25" s="204"/>
      <c r="JUB25" s="204"/>
      <c r="JUC25" s="204"/>
      <c r="JUD25" s="204"/>
      <c r="JUE25" s="204"/>
      <c r="JUF25" s="204"/>
      <c r="JUG25" s="204"/>
      <c r="JUH25" s="204"/>
      <c r="JUI25" s="204"/>
      <c r="JUJ25" s="204"/>
      <c r="JUK25" s="204"/>
      <c r="JUL25" s="204"/>
      <c r="JUM25" s="204"/>
      <c r="JUN25" s="204"/>
      <c r="JUO25" s="204"/>
      <c r="JUP25" s="204"/>
      <c r="JUQ25" s="204"/>
      <c r="JUR25" s="204"/>
      <c r="JUS25" s="204"/>
      <c r="JUT25" s="204"/>
      <c r="JUU25" s="204"/>
      <c r="JUV25" s="204"/>
      <c r="JUW25" s="204"/>
      <c r="JUX25" s="204"/>
      <c r="JUY25" s="204"/>
      <c r="JUZ25" s="204"/>
      <c r="JVA25" s="204"/>
      <c r="JVB25" s="204"/>
      <c r="JVC25" s="204"/>
      <c r="JVD25" s="204"/>
      <c r="JVE25" s="204"/>
      <c r="JVF25" s="204"/>
      <c r="JVG25" s="204"/>
      <c r="JVH25" s="204"/>
      <c r="JVI25" s="204"/>
      <c r="JVJ25" s="204"/>
      <c r="JVK25" s="204"/>
      <c r="JVL25" s="204"/>
      <c r="JVM25" s="204"/>
      <c r="JVN25" s="204"/>
      <c r="JVO25" s="204"/>
      <c r="JVP25" s="204"/>
      <c r="JVQ25" s="204"/>
      <c r="JVR25" s="204"/>
      <c r="JVS25" s="204"/>
      <c r="JVT25" s="204"/>
      <c r="JVU25" s="204"/>
      <c r="JVV25" s="204"/>
      <c r="JVW25" s="204"/>
      <c r="JVX25" s="204"/>
      <c r="JVY25" s="204"/>
      <c r="JVZ25" s="204"/>
      <c r="JWA25" s="204"/>
      <c r="JWB25" s="204"/>
      <c r="JWC25" s="204"/>
      <c r="JWD25" s="204"/>
      <c r="JWE25" s="204"/>
      <c r="JWF25" s="204"/>
      <c r="JWG25" s="204"/>
      <c r="JWH25" s="204"/>
      <c r="JWI25" s="204"/>
      <c r="JWJ25" s="204"/>
      <c r="JWK25" s="204"/>
      <c r="JWL25" s="204"/>
      <c r="JWM25" s="204"/>
      <c r="JWN25" s="204"/>
      <c r="JWO25" s="204"/>
      <c r="JWP25" s="204"/>
      <c r="JWQ25" s="204"/>
      <c r="JWR25" s="204"/>
      <c r="JWS25" s="204"/>
      <c r="JWT25" s="204"/>
      <c r="JWU25" s="204"/>
      <c r="JWV25" s="204"/>
      <c r="JWW25" s="204"/>
      <c r="JWX25" s="204"/>
      <c r="JWY25" s="204"/>
      <c r="JWZ25" s="204"/>
      <c r="JXA25" s="204"/>
      <c r="JXB25" s="204"/>
      <c r="JXC25" s="204"/>
      <c r="JXD25" s="204"/>
      <c r="JXE25" s="204"/>
      <c r="JXF25" s="204"/>
      <c r="JXG25" s="204"/>
      <c r="JXH25" s="204"/>
      <c r="JXI25" s="204"/>
      <c r="JXJ25" s="204"/>
      <c r="JXK25" s="204"/>
      <c r="JXL25" s="204"/>
      <c r="JXM25" s="204"/>
      <c r="JXN25" s="204"/>
      <c r="JXO25" s="204"/>
      <c r="JXP25" s="204"/>
      <c r="JXQ25" s="204"/>
      <c r="JXR25" s="204"/>
      <c r="JXS25" s="204"/>
      <c r="JXT25" s="204"/>
      <c r="JXU25" s="204"/>
      <c r="JXV25" s="204"/>
      <c r="JXW25" s="204"/>
      <c r="JXX25" s="204"/>
      <c r="JXY25" s="204"/>
      <c r="JXZ25" s="204"/>
      <c r="JYA25" s="204"/>
      <c r="JYB25" s="204"/>
      <c r="JYC25" s="204"/>
      <c r="JYD25" s="204"/>
      <c r="JYE25" s="204"/>
      <c r="JYF25" s="204"/>
      <c r="JYG25" s="204"/>
      <c r="JYH25" s="204"/>
      <c r="JYI25" s="204"/>
      <c r="JYJ25" s="204"/>
      <c r="JYK25" s="204"/>
      <c r="JYL25" s="204"/>
      <c r="JYM25" s="204"/>
      <c r="JYN25" s="204"/>
      <c r="JYO25" s="204"/>
      <c r="JYP25" s="204"/>
      <c r="JYQ25" s="204"/>
      <c r="JYR25" s="204"/>
      <c r="JYS25" s="204"/>
      <c r="JYT25" s="204"/>
      <c r="JYU25" s="204"/>
      <c r="JYV25" s="204"/>
      <c r="JYW25" s="204"/>
      <c r="JYX25" s="204"/>
      <c r="JYY25" s="204"/>
      <c r="JYZ25" s="204"/>
      <c r="JZA25" s="204"/>
      <c r="JZB25" s="204"/>
      <c r="JZC25" s="204"/>
      <c r="JZD25" s="204"/>
      <c r="JZE25" s="204"/>
      <c r="JZF25" s="204"/>
      <c r="JZG25" s="204"/>
      <c r="JZH25" s="204"/>
      <c r="JZI25" s="204"/>
      <c r="JZJ25" s="204"/>
      <c r="JZK25" s="204"/>
      <c r="JZL25" s="204"/>
      <c r="JZM25" s="204"/>
      <c r="JZN25" s="204"/>
      <c r="JZO25" s="204"/>
      <c r="JZP25" s="204"/>
      <c r="JZQ25" s="204"/>
      <c r="JZR25" s="204"/>
      <c r="JZS25" s="204"/>
      <c r="JZT25" s="204"/>
      <c r="JZU25" s="204"/>
      <c r="JZV25" s="204"/>
      <c r="JZW25" s="204"/>
      <c r="JZX25" s="204"/>
      <c r="JZY25" s="204"/>
      <c r="JZZ25" s="204"/>
      <c r="KAA25" s="204"/>
      <c r="KAB25" s="204"/>
      <c r="KAC25" s="204"/>
      <c r="KAD25" s="204"/>
      <c r="KAE25" s="204"/>
      <c r="KAF25" s="204"/>
      <c r="KAG25" s="204"/>
      <c r="KAH25" s="204"/>
      <c r="KAI25" s="204"/>
      <c r="KAJ25" s="204"/>
      <c r="KAK25" s="204"/>
      <c r="KAL25" s="204"/>
      <c r="KAM25" s="204"/>
      <c r="KAN25" s="204"/>
      <c r="KAO25" s="204"/>
      <c r="KAP25" s="204"/>
      <c r="KAQ25" s="204"/>
      <c r="KAR25" s="204"/>
      <c r="KAS25" s="204"/>
      <c r="KAT25" s="204"/>
      <c r="KAU25" s="204"/>
      <c r="KAV25" s="204"/>
      <c r="KAW25" s="204"/>
      <c r="KAX25" s="204"/>
      <c r="KAY25" s="204"/>
      <c r="KAZ25" s="204"/>
      <c r="KBA25" s="204"/>
      <c r="KBB25" s="204"/>
      <c r="KBC25" s="204"/>
      <c r="KBD25" s="204"/>
      <c r="KBE25" s="204"/>
      <c r="KBF25" s="204"/>
      <c r="KBG25" s="204"/>
      <c r="KBH25" s="204"/>
      <c r="KBI25" s="204"/>
      <c r="KBJ25" s="204"/>
      <c r="KBK25" s="204"/>
      <c r="KBL25" s="204"/>
      <c r="KBM25" s="204"/>
      <c r="KBN25" s="204"/>
      <c r="KBO25" s="204"/>
      <c r="KBP25" s="204"/>
      <c r="KBQ25" s="204"/>
      <c r="KBR25" s="204"/>
      <c r="KBS25" s="204"/>
      <c r="KBT25" s="204"/>
      <c r="KBU25" s="204"/>
      <c r="KBV25" s="204"/>
      <c r="KBW25" s="204"/>
      <c r="KBX25" s="204"/>
      <c r="KBY25" s="204"/>
      <c r="KBZ25" s="204"/>
      <c r="KCA25" s="204"/>
      <c r="KCB25" s="204"/>
      <c r="KCC25" s="204"/>
      <c r="KCD25" s="204"/>
      <c r="KCE25" s="204"/>
      <c r="KCF25" s="204"/>
      <c r="KCG25" s="204"/>
      <c r="KCH25" s="204"/>
      <c r="KCI25" s="204"/>
      <c r="KCJ25" s="204"/>
      <c r="KCK25" s="204"/>
      <c r="KCL25" s="204"/>
      <c r="KCM25" s="204"/>
      <c r="KCN25" s="204"/>
      <c r="KCO25" s="204"/>
      <c r="KCP25" s="204"/>
      <c r="KCQ25" s="204"/>
      <c r="KCR25" s="204"/>
      <c r="KCS25" s="204"/>
      <c r="KCT25" s="204"/>
      <c r="KCU25" s="204"/>
      <c r="KCV25" s="204"/>
      <c r="KCW25" s="204"/>
      <c r="KCX25" s="204"/>
      <c r="KCY25" s="204"/>
      <c r="KCZ25" s="204"/>
      <c r="KDA25" s="204"/>
      <c r="KDB25" s="204"/>
      <c r="KDC25" s="204"/>
      <c r="KDD25" s="204"/>
      <c r="KDE25" s="204"/>
      <c r="KDF25" s="204"/>
      <c r="KDG25" s="204"/>
      <c r="KDH25" s="204"/>
      <c r="KDI25" s="204"/>
      <c r="KDJ25" s="204"/>
      <c r="KDK25" s="204"/>
      <c r="KDL25" s="204"/>
      <c r="KDM25" s="204"/>
      <c r="KDN25" s="204"/>
      <c r="KDO25" s="204"/>
      <c r="KDP25" s="204"/>
      <c r="KDQ25" s="204"/>
      <c r="KDR25" s="204"/>
      <c r="KDS25" s="204"/>
      <c r="KDT25" s="204"/>
      <c r="KDU25" s="204"/>
      <c r="KDV25" s="204"/>
      <c r="KDW25" s="204"/>
      <c r="KDX25" s="204"/>
      <c r="KDY25" s="204"/>
      <c r="KDZ25" s="204"/>
      <c r="KEA25" s="204"/>
      <c r="KEB25" s="204"/>
      <c r="KEC25" s="204"/>
      <c r="KED25" s="204"/>
      <c r="KEE25" s="204"/>
      <c r="KEF25" s="204"/>
      <c r="KEG25" s="204"/>
      <c r="KEH25" s="204"/>
      <c r="KEI25" s="204"/>
      <c r="KEJ25" s="204"/>
      <c r="KEK25" s="204"/>
      <c r="KEL25" s="204"/>
      <c r="KEM25" s="204"/>
      <c r="KEN25" s="204"/>
      <c r="KEO25" s="204"/>
      <c r="KEP25" s="204"/>
      <c r="KEQ25" s="204"/>
      <c r="KER25" s="204"/>
      <c r="KES25" s="204"/>
      <c r="KET25" s="204"/>
      <c r="KEU25" s="204"/>
      <c r="KEV25" s="204"/>
      <c r="KEW25" s="204"/>
      <c r="KEX25" s="204"/>
      <c r="KEY25" s="204"/>
      <c r="KEZ25" s="204"/>
      <c r="KFA25" s="204"/>
      <c r="KFB25" s="204"/>
      <c r="KFC25" s="204"/>
      <c r="KFD25" s="204"/>
      <c r="KFE25" s="204"/>
      <c r="KFF25" s="204"/>
      <c r="KFG25" s="204"/>
      <c r="KFH25" s="204"/>
      <c r="KFI25" s="204"/>
      <c r="KFJ25" s="204"/>
      <c r="KFK25" s="204"/>
      <c r="KFL25" s="204"/>
      <c r="KFM25" s="204"/>
      <c r="KFN25" s="204"/>
      <c r="KFO25" s="204"/>
      <c r="KFP25" s="204"/>
      <c r="KFQ25" s="204"/>
      <c r="KFR25" s="204"/>
      <c r="KFS25" s="204"/>
      <c r="KFT25" s="204"/>
      <c r="KFU25" s="204"/>
      <c r="KFV25" s="204"/>
      <c r="KFW25" s="204"/>
      <c r="KFX25" s="204"/>
      <c r="KFY25" s="204"/>
      <c r="KFZ25" s="204"/>
      <c r="KGA25" s="204"/>
      <c r="KGB25" s="204"/>
      <c r="KGC25" s="204"/>
      <c r="KGD25" s="204"/>
      <c r="KGE25" s="204"/>
      <c r="KGF25" s="204"/>
      <c r="KGG25" s="204"/>
      <c r="KGH25" s="204"/>
      <c r="KGI25" s="204"/>
      <c r="KGJ25" s="204"/>
      <c r="KGK25" s="204"/>
      <c r="KGL25" s="204"/>
      <c r="KGM25" s="204"/>
      <c r="KGN25" s="204"/>
      <c r="KGO25" s="204"/>
      <c r="KGP25" s="204"/>
      <c r="KGQ25" s="204"/>
      <c r="KGR25" s="204"/>
      <c r="KGS25" s="204"/>
      <c r="KGT25" s="204"/>
      <c r="KGU25" s="204"/>
      <c r="KGV25" s="204"/>
      <c r="KGW25" s="204"/>
      <c r="KGX25" s="204"/>
      <c r="KGY25" s="204"/>
      <c r="KGZ25" s="204"/>
      <c r="KHA25" s="204"/>
      <c r="KHB25" s="204"/>
      <c r="KHC25" s="204"/>
      <c r="KHD25" s="204"/>
      <c r="KHE25" s="204"/>
      <c r="KHF25" s="204"/>
      <c r="KHG25" s="204"/>
      <c r="KHH25" s="204"/>
      <c r="KHI25" s="204"/>
      <c r="KHJ25" s="204"/>
      <c r="KHK25" s="204"/>
      <c r="KHL25" s="204"/>
      <c r="KHM25" s="204"/>
      <c r="KHN25" s="204"/>
      <c r="KHO25" s="204"/>
      <c r="KHP25" s="204"/>
      <c r="KHQ25" s="204"/>
      <c r="KHR25" s="204"/>
      <c r="KHS25" s="204"/>
      <c r="KHT25" s="204"/>
      <c r="KHU25" s="204"/>
      <c r="KHV25" s="204"/>
      <c r="KHW25" s="204"/>
      <c r="KHX25" s="204"/>
      <c r="KHY25" s="204"/>
      <c r="KHZ25" s="204"/>
      <c r="KIA25" s="204"/>
      <c r="KIB25" s="204"/>
      <c r="KIC25" s="204"/>
      <c r="KID25" s="204"/>
      <c r="KIE25" s="204"/>
      <c r="KIF25" s="204"/>
      <c r="KIG25" s="204"/>
      <c r="KIH25" s="204"/>
      <c r="KII25" s="204"/>
      <c r="KIJ25" s="204"/>
      <c r="KIK25" s="204"/>
      <c r="KIL25" s="204"/>
      <c r="KIM25" s="204"/>
      <c r="KIN25" s="204"/>
      <c r="KIO25" s="204"/>
      <c r="KIP25" s="204"/>
      <c r="KIQ25" s="204"/>
      <c r="KIR25" s="204"/>
      <c r="KIS25" s="204"/>
      <c r="KIT25" s="204"/>
      <c r="KIU25" s="204"/>
      <c r="KIV25" s="204"/>
      <c r="KIW25" s="204"/>
      <c r="KIX25" s="204"/>
      <c r="KIY25" s="204"/>
      <c r="KIZ25" s="204"/>
      <c r="KJA25" s="204"/>
      <c r="KJB25" s="204"/>
      <c r="KJC25" s="204"/>
      <c r="KJD25" s="204"/>
      <c r="KJE25" s="204"/>
      <c r="KJF25" s="204"/>
      <c r="KJG25" s="204"/>
      <c r="KJH25" s="204"/>
      <c r="KJI25" s="204"/>
      <c r="KJJ25" s="204"/>
      <c r="KJK25" s="204"/>
      <c r="KJL25" s="204"/>
      <c r="KJM25" s="204"/>
      <c r="KJN25" s="204"/>
      <c r="KJO25" s="204"/>
      <c r="KJP25" s="204"/>
      <c r="KJQ25" s="204"/>
      <c r="KJR25" s="204"/>
      <c r="KJS25" s="204"/>
      <c r="KJT25" s="204"/>
      <c r="KJU25" s="204"/>
      <c r="KJV25" s="204"/>
      <c r="KJW25" s="204"/>
      <c r="KJX25" s="204"/>
      <c r="KJY25" s="204"/>
      <c r="KJZ25" s="204"/>
      <c r="KKA25" s="204"/>
      <c r="KKB25" s="204"/>
      <c r="KKC25" s="204"/>
      <c r="KKD25" s="204"/>
      <c r="KKE25" s="204"/>
      <c r="KKF25" s="204"/>
      <c r="KKG25" s="204"/>
      <c r="KKH25" s="204"/>
      <c r="KKI25" s="204"/>
      <c r="KKJ25" s="204"/>
      <c r="KKK25" s="204"/>
      <c r="KKL25" s="204"/>
      <c r="KKM25" s="204"/>
      <c r="KKN25" s="204"/>
      <c r="KKO25" s="204"/>
      <c r="KKP25" s="204"/>
      <c r="KKQ25" s="204"/>
      <c r="KKR25" s="204"/>
      <c r="KKS25" s="204"/>
      <c r="KKT25" s="204"/>
      <c r="KKU25" s="204"/>
      <c r="KKV25" s="204"/>
      <c r="KKW25" s="204"/>
      <c r="KKX25" s="204"/>
      <c r="KKY25" s="204"/>
      <c r="KKZ25" s="204"/>
      <c r="KLA25" s="204"/>
      <c r="KLB25" s="204"/>
      <c r="KLC25" s="204"/>
      <c r="KLD25" s="204"/>
      <c r="KLE25" s="204"/>
      <c r="KLF25" s="204"/>
      <c r="KLG25" s="204"/>
      <c r="KLH25" s="204"/>
      <c r="KLI25" s="204"/>
      <c r="KLJ25" s="204"/>
      <c r="KLK25" s="204"/>
      <c r="KLL25" s="204"/>
      <c r="KLM25" s="204"/>
      <c r="KLN25" s="204"/>
      <c r="KLO25" s="204"/>
      <c r="KLP25" s="204"/>
      <c r="KLQ25" s="204"/>
      <c r="KLR25" s="204"/>
      <c r="KLS25" s="204"/>
      <c r="KLT25" s="204"/>
      <c r="KLU25" s="204"/>
      <c r="KLV25" s="204"/>
      <c r="KLW25" s="204"/>
      <c r="KLX25" s="204"/>
      <c r="KLY25" s="204"/>
      <c r="KLZ25" s="204"/>
      <c r="KMA25" s="204"/>
      <c r="KMB25" s="204"/>
      <c r="KMC25" s="204"/>
      <c r="KMD25" s="204"/>
      <c r="KME25" s="204"/>
      <c r="KMF25" s="204"/>
      <c r="KMG25" s="204"/>
      <c r="KMH25" s="204"/>
      <c r="KMI25" s="204"/>
      <c r="KMJ25" s="204"/>
      <c r="KMK25" s="204"/>
      <c r="KML25" s="204"/>
      <c r="KMM25" s="204"/>
      <c r="KMN25" s="204"/>
      <c r="KMO25" s="204"/>
      <c r="KMP25" s="204"/>
      <c r="KMQ25" s="204"/>
      <c r="KMR25" s="204"/>
      <c r="KMS25" s="204"/>
      <c r="KMT25" s="204"/>
      <c r="KMU25" s="204"/>
      <c r="KMV25" s="204"/>
      <c r="KMW25" s="204"/>
      <c r="KMX25" s="204"/>
      <c r="KMY25" s="204"/>
      <c r="KMZ25" s="204"/>
      <c r="KNA25" s="204"/>
      <c r="KNB25" s="204"/>
      <c r="KNC25" s="204"/>
      <c r="KND25" s="204"/>
      <c r="KNE25" s="204"/>
      <c r="KNF25" s="204"/>
      <c r="KNG25" s="204"/>
      <c r="KNH25" s="204"/>
      <c r="KNI25" s="204"/>
      <c r="KNJ25" s="204"/>
      <c r="KNK25" s="204"/>
      <c r="KNL25" s="204"/>
      <c r="KNM25" s="204"/>
      <c r="KNN25" s="204"/>
      <c r="KNO25" s="204"/>
      <c r="KNP25" s="204"/>
      <c r="KNQ25" s="204"/>
      <c r="KNR25" s="204"/>
      <c r="KNS25" s="204"/>
      <c r="KNT25" s="204"/>
      <c r="KNU25" s="204"/>
      <c r="KNV25" s="204"/>
      <c r="KNW25" s="204"/>
      <c r="KNX25" s="204"/>
      <c r="KNY25" s="204"/>
      <c r="KNZ25" s="204"/>
      <c r="KOA25" s="204"/>
      <c r="KOB25" s="204"/>
      <c r="KOC25" s="204"/>
      <c r="KOD25" s="204"/>
      <c r="KOE25" s="204"/>
      <c r="KOF25" s="204"/>
      <c r="KOG25" s="204"/>
      <c r="KOH25" s="204"/>
      <c r="KOI25" s="204"/>
      <c r="KOJ25" s="204"/>
      <c r="KOK25" s="204"/>
      <c r="KOL25" s="204"/>
      <c r="KOM25" s="204"/>
      <c r="KON25" s="204"/>
      <c r="KOO25" s="204"/>
      <c r="KOP25" s="204"/>
      <c r="KOQ25" s="204"/>
      <c r="KOR25" s="204"/>
      <c r="KOS25" s="204"/>
      <c r="KOT25" s="204"/>
      <c r="KOU25" s="204"/>
      <c r="KOV25" s="204"/>
      <c r="KOW25" s="204"/>
      <c r="KOX25" s="204"/>
      <c r="KOY25" s="204"/>
      <c r="KOZ25" s="204"/>
      <c r="KPA25" s="204"/>
      <c r="KPB25" s="204"/>
      <c r="KPC25" s="204"/>
      <c r="KPD25" s="204"/>
      <c r="KPE25" s="204"/>
      <c r="KPF25" s="204"/>
      <c r="KPG25" s="204"/>
      <c r="KPH25" s="204"/>
      <c r="KPI25" s="204"/>
      <c r="KPJ25" s="204"/>
      <c r="KPK25" s="204"/>
      <c r="KPL25" s="204"/>
      <c r="KPM25" s="204"/>
      <c r="KPN25" s="204"/>
      <c r="KPO25" s="204"/>
      <c r="KPP25" s="204"/>
      <c r="KPQ25" s="204"/>
      <c r="KPR25" s="204"/>
      <c r="KPS25" s="204"/>
      <c r="KPT25" s="204"/>
      <c r="KPU25" s="204"/>
      <c r="KPV25" s="204"/>
      <c r="KPW25" s="204"/>
      <c r="KPX25" s="204"/>
      <c r="KPY25" s="204"/>
      <c r="KPZ25" s="204"/>
      <c r="KQA25" s="204"/>
      <c r="KQB25" s="204"/>
      <c r="KQC25" s="204"/>
      <c r="KQD25" s="204"/>
      <c r="KQE25" s="204"/>
      <c r="KQF25" s="204"/>
      <c r="KQG25" s="204"/>
      <c r="KQH25" s="204"/>
      <c r="KQI25" s="204"/>
      <c r="KQJ25" s="204"/>
      <c r="KQK25" s="204"/>
      <c r="KQL25" s="204"/>
      <c r="KQM25" s="204"/>
      <c r="KQN25" s="204"/>
      <c r="KQO25" s="204"/>
      <c r="KQP25" s="204"/>
      <c r="KQQ25" s="204"/>
      <c r="KQR25" s="204"/>
      <c r="KQS25" s="204"/>
      <c r="KQT25" s="204"/>
      <c r="KQU25" s="204"/>
      <c r="KQV25" s="204"/>
      <c r="KQW25" s="204"/>
      <c r="KQX25" s="204"/>
      <c r="KQY25" s="204"/>
      <c r="KQZ25" s="204"/>
      <c r="KRA25" s="204"/>
      <c r="KRB25" s="204"/>
      <c r="KRC25" s="204"/>
      <c r="KRD25" s="204"/>
      <c r="KRE25" s="204"/>
      <c r="KRF25" s="204"/>
      <c r="KRG25" s="204"/>
      <c r="KRH25" s="204"/>
      <c r="KRI25" s="204"/>
      <c r="KRJ25" s="204"/>
      <c r="KRK25" s="204"/>
      <c r="KRL25" s="204"/>
      <c r="KRM25" s="204"/>
      <c r="KRN25" s="204"/>
      <c r="KRO25" s="204"/>
      <c r="KRP25" s="204"/>
      <c r="KRQ25" s="204"/>
      <c r="KRR25" s="204"/>
      <c r="KRS25" s="204"/>
      <c r="KRT25" s="204"/>
      <c r="KRU25" s="204"/>
      <c r="KRV25" s="204"/>
      <c r="KRW25" s="204"/>
      <c r="KRX25" s="204"/>
      <c r="KRY25" s="204"/>
      <c r="KRZ25" s="204"/>
      <c r="KSA25" s="204"/>
      <c r="KSB25" s="204"/>
      <c r="KSC25" s="204"/>
      <c r="KSD25" s="204"/>
      <c r="KSE25" s="204"/>
      <c r="KSF25" s="204"/>
      <c r="KSG25" s="204"/>
      <c r="KSH25" s="204"/>
      <c r="KSI25" s="204"/>
      <c r="KSJ25" s="204"/>
      <c r="KSK25" s="204"/>
      <c r="KSL25" s="204"/>
      <c r="KSM25" s="204"/>
      <c r="KSN25" s="204"/>
      <c r="KSO25" s="204"/>
      <c r="KSP25" s="204"/>
      <c r="KSQ25" s="204"/>
      <c r="KSR25" s="204"/>
      <c r="KSS25" s="204"/>
      <c r="KST25" s="204"/>
      <c r="KSU25" s="204"/>
      <c r="KSV25" s="204"/>
      <c r="KSW25" s="204"/>
      <c r="KSX25" s="204"/>
      <c r="KSY25" s="204"/>
      <c r="KSZ25" s="204"/>
      <c r="KTA25" s="204"/>
      <c r="KTB25" s="204"/>
      <c r="KTC25" s="204"/>
      <c r="KTD25" s="204"/>
      <c r="KTE25" s="204"/>
      <c r="KTF25" s="204"/>
      <c r="KTG25" s="204"/>
      <c r="KTH25" s="204"/>
      <c r="KTI25" s="204"/>
      <c r="KTJ25" s="204"/>
      <c r="KTK25" s="204"/>
      <c r="KTL25" s="204"/>
      <c r="KTM25" s="204"/>
      <c r="KTN25" s="204"/>
      <c r="KTO25" s="204"/>
      <c r="KTP25" s="204"/>
      <c r="KTQ25" s="204"/>
      <c r="KTR25" s="204"/>
      <c r="KTS25" s="204"/>
      <c r="KTT25" s="204"/>
      <c r="KTU25" s="204"/>
      <c r="KTV25" s="204"/>
      <c r="KTW25" s="204"/>
      <c r="KTX25" s="204"/>
      <c r="KTY25" s="204"/>
      <c r="KTZ25" s="204"/>
      <c r="KUA25" s="204"/>
      <c r="KUB25" s="204"/>
      <c r="KUC25" s="204"/>
      <c r="KUD25" s="204"/>
      <c r="KUE25" s="204"/>
      <c r="KUF25" s="204"/>
      <c r="KUG25" s="204"/>
      <c r="KUH25" s="204"/>
      <c r="KUI25" s="204"/>
      <c r="KUJ25" s="204"/>
      <c r="KUK25" s="204"/>
      <c r="KUL25" s="204"/>
      <c r="KUM25" s="204"/>
      <c r="KUN25" s="204"/>
      <c r="KUO25" s="204"/>
      <c r="KUP25" s="204"/>
      <c r="KUQ25" s="204"/>
      <c r="KUR25" s="204"/>
      <c r="KUS25" s="204"/>
      <c r="KUT25" s="204"/>
      <c r="KUU25" s="204"/>
      <c r="KUV25" s="204"/>
      <c r="KUW25" s="204"/>
      <c r="KUX25" s="204"/>
      <c r="KUY25" s="204"/>
      <c r="KUZ25" s="204"/>
      <c r="KVA25" s="204"/>
      <c r="KVB25" s="204"/>
      <c r="KVC25" s="204"/>
      <c r="KVD25" s="204"/>
      <c r="KVE25" s="204"/>
      <c r="KVF25" s="204"/>
      <c r="KVG25" s="204"/>
      <c r="KVH25" s="204"/>
      <c r="KVI25" s="204"/>
      <c r="KVJ25" s="204"/>
      <c r="KVK25" s="204"/>
      <c r="KVL25" s="204"/>
      <c r="KVM25" s="204"/>
      <c r="KVN25" s="204"/>
      <c r="KVO25" s="204"/>
      <c r="KVP25" s="204"/>
      <c r="KVQ25" s="204"/>
      <c r="KVR25" s="204"/>
      <c r="KVS25" s="204"/>
      <c r="KVT25" s="204"/>
      <c r="KVU25" s="204"/>
      <c r="KVV25" s="204"/>
      <c r="KVW25" s="204"/>
      <c r="KVX25" s="204"/>
      <c r="KVY25" s="204"/>
      <c r="KVZ25" s="204"/>
      <c r="KWA25" s="204"/>
      <c r="KWB25" s="204"/>
      <c r="KWC25" s="204"/>
      <c r="KWD25" s="204"/>
      <c r="KWE25" s="204"/>
      <c r="KWF25" s="204"/>
      <c r="KWG25" s="204"/>
      <c r="KWH25" s="204"/>
      <c r="KWI25" s="204"/>
      <c r="KWJ25" s="204"/>
      <c r="KWK25" s="204"/>
      <c r="KWL25" s="204"/>
      <c r="KWM25" s="204"/>
      <c r="KWN25" s="204"/>
      <c r="KWO25" s="204"/>
      <c r="KWP25" s="204"/>
      <c r="KWQ25" s="204"/>
      <c r="KWR25" s="204"/>
      <c r="KWS25" s="204"/>
      <c r="KWT25" s="204"/>
      <c r="KWU25" s="204"/>
      <c r="KWV25" s="204"/>
      <c r="KWW25" s="204"/>
      <c r="KWX25" s="204"/>
      <c r="KWY25" s="204"/>
      <c r="KWZ25" s="204"/>
      <c r="KXA25" s="204"/>
      <c r="KXB25" s="204"/>
      <c r="KXC25" s="204"/>
      <c r="KXD25" s="204"/>
      <c r="KXE25" s="204"/>
      <c r="KXF25" s="204"/>
      <c r="KXG25" s="204"/>
      <c r="KXH25" s="204"/>
      <c r="KXI25" s="204"/>
      <c r="KXJ25" s="204"/>
      <c r="KXK25" s="204"/>
      <c r="KXL25" s="204"/>
      <c r="KXM25" s="204"/>
      <c r="KXN25" s="204"/>
      <c r="KXO25" s="204"/>
      <c r="KXP25" s="204"/>
      <c r="KXQ25" s="204"/>
      <c r="KXR25" s="204"/>
      <c r="KXS25" s="204"/>
      <c r="KXT25" s="204"/>
      <c r="KXU25" s="204"/>
      <c r="KXV25" s="204"/>
      <c r="KXW25" s="204"/>
      <c r="KXX25" s="204"/>
      <c r="KXY25" s="204"/>
      <c r="KXZ25" s="204"/>
      <c r="KYA25" s="204"/>
      <c r="KYB25" s="204"/>
      <c r="KYC25" s="204"/>
      <c r="KYD25" s="204"/>
      <c r="KYE25" s="204"/>
      <c r="KYF25" s="204"/>
      <c r="KYG25" s="204"/>
      <c r="KYH25" s="204"/>
      <c r="KYI25" s="204"/>
      <c r="KYJ25" s="204"/>
      <c r="KYK25" s="204"/>
      <c r="KYL25" s="204"/>
      <c r="KYM25" s="204"/>
      <c r="KYN25" s="204"/>
      <c r="KYO25" s="204"/>
      <c r="KYP25" s="204"/>
      <c r="KYQ25" s="204"/>
      <c r="KYR25" s="204"/>
      <c r="KYS25" s="204"/>
      <c r="KYT25" s="204"/>
      <c r="KYU25" s="204"/>
      <c r="KYV25" s="204"/>
      <c r="KYW25" s="204"/>
      <c r="KYX25" s="204"/>
      <c r="KYY25" s="204"/>
      <c r="KYZ25" s="204"/>
      <c r="KZA25" s="204"/>
      <c r="KZB25" s="204"/>
      <c r="KZC25" s="204"/>
      <c r="KZD25" s="204"/>
      <c r="KZE25" s="204"/>
      <c r="KZF25" s="204"/>
      <c r="KZG25" s="204"/>
      <c r="KZH25" s="204"/>
      <c r="KZI25" s="204"/>
      <c r="KZJ25" s="204"/>
      <c r="KZK25" s="204"/>
      <c r="KZL25" s="204"/>
      <c r="KZM25" s="204"/>
      <c r="KZN25" s="204"/>
      <c r="KZO25" s="204"/>
      <c r="KZP25" s="204"/>
      <c r="KZQ25" s="204"/>
      <c r="KZR25" s="204"/>
      <c r="KZS25" s="204"/>
      <c r="KZT25" s="204"/>
      <c r="KZU25" s="204"/>
      <c r="KZV25" s="204"/>
      <c r="KZW25" s="204"/>
      <c r="KZX25" s="204"/>
      <c r="KZY25" s="204"/>
      <c r="KZZ25" s="204"/>
      <c r="LAA25" s="204"/>
      <c r="LAB25" s="204"/>
      <c r="LAC25" s="204"/>
      <c r="LAD25" s="204"/>
      <c r="LAE25" s="204"/>
      <c r="LAF25" s="204"/>
      <c r="LAG25" s="204"/>
      <c r="LAH25" s="204"/>
      <c r="LAI25" s="204"/>
      <c r="LAJ25" s="204"/>
      <c r="LAK25" s="204"/>
      <c r="LAL25" s="204"/>
      <c r="LAM25" s="204"/>
      <c r="LAN25" s="204"/>
      <c r="LAO25" s="204"/>
      <c r="LAP25" s="204"/>
      <c r="LAQ25" s="204"/>
      <c r="LAR25" s="204"/>
      <c r="LAS25" s="204"/>
      <c r="LAT25" s="204"/>
      <c r="LAU25" s="204"/>
      <c r="LAV25" s="204"/>
      <c r="LAW25" s="204"/>
      <c r="LAX25" s="204"/>
      <c r="LAY25" s="204"/>
      <c r="LAZ25" s="204"/>
      <c r="LBA25" s="204"/>
      <c r="LBB25" s="204"/>
      <c r="LBC25" s="204"/>
      <c r="LBD25" s="204"/>
      <c r="LBE25" s="204"/>
      <c r="LBF25" s="204"/>
      <c r="LBG25" s="204"/>
      <c r="LBH25" s="204"/>
      <c r="LBI25" s="204"/>
      <c r="LBJ25" s="204"/>
      <c r="LBK25" s="204"/>
      <c r="LBL25" s="204"/>
      <c r="LBM25" s="204"/>
      <c r="LBN25" s="204"/>
      <c r="LBO25" s="204"/>
      <c r="LBP25" s="204"/>
      <c r="LBQ25" s="204"/>
      <c r="LBR25" s="204"/>
      <c r="LBS25" s="204"/>
      <c r="LBT25" s="204"/>
      <c r="LBU25" s="204"/>
      <c r="LBV25" s="204"/>
      <c r="LBW25" s="204"/>
      <c r="LBX25" s="204"/>
      <c r="LBY25" s="204"/>
      <c r="LBZ25" s="204"/>
      <c r="LCA25" s="204"/>
      <c r="LCB25" s="204"/>
      <c r="LCC25" s="204"/>
      <c r="LCD25" s="204"/>
      <c r="LCE25" s="204"/>
      <c r="LCF25" s="204"/>
      <c r="LCG25" s="204"/>
      <c r="LCH25" s="204"/>
      <c r="LCI25" s="204"/>
      <c r="LCJ25" s="204"/>
      <c r="LCK25" s="204"/>
      <c r="LCL25" s="204"/>
      <c r="LCM25" s="204"/>
      <c r="LCN25" s="204"/>
      <c r="LCO25" s="204"/>
      <c r="LCP25" s="204"/>
      <c r="LCQ25" s="204"/>
      <c r="LCR25" s="204"/>
      <c r="LCS25" s="204"/>
      <c r="LCT25" s="204"/>
      <c r="LCU25" s="204"/>
      <c r="LCV25" s="204"/>
      <c r="LCW25" s="204"/>
      <c r="LCX25" s="204"/>
      <c r="LCY25" s="204"/>
      <c r="LCZ25" s="204"/>
      <c r="LDA25" s="204"/>
      <c r="LDB25" s="204"/>
      <c r="LDC25" s="204"/>
      <c r="LDD25" s="204"/>
      <c r="LDE25" s="204"/>
      <c r="LDF25" s="204"/>
      <c r="LDG25" s="204"/>
      <c r="LDH25" s="204"/>
      <c r="LDI25" s="204"/>
      <c r="LDJ25" s="204"/>
      <c r="LDK25" s="204"/>
      <c r="LDL25" s="204"/>
      <c r="LDM25" s="204"/>
      <c r="LDN25" s="204"/>
      <c r="LDO25" s="204"/>
      <c r="LDP25" s="204"/>
      <c r="LDQ25" s="204"/>
      <c r="LDR25" s="204"/>
      <c r="LDS25" s="204"/>
      <c r="LDT25" s="204"/>
      <c r="LDU25" s="204"/>
      <c r="LDV25" s="204"/>
      <c r="LDW25" s="204"/>
      <c r="LDX25" s="204"/>
      <c r="LDY25" s="204"/>
      <c r="LDZ25" s="204"/>
      <c r="LEA25" s="204"/>
      <c r="LEB25" s="204"/>
      <c r="LEC25" s="204"/>
      <c r="LED25" s="204"/>
      <c r="LEE25" s="204"/>
      <c r="LEF25" s="204"/>
      <c r="LEG25" s="204"/>
      <c r="LEH25" s="204"/>
      <c r="LEI25" s="204"/>
      <c r="LEJ25" s="204"/>
      <c r="LEK25" s="204"/>
      <c r="LEL25" s="204"/>
      <c r="LEM25" s="204"/>
      <c r="LEN25" s="204"/>
      <c r="LEO25" s="204"/>
      <c r="LEP25" s="204"/>
      <c r="LEQ25" s="204"/>
      <c r="LER25" s="204"/>
      <c r="LES25" s="204"/>
      <c r="LET25" s="204"/>
      <c r="LEU25" s="204"/>
      <c r="LEV25" s="204"/>
      <c r="LEW25" s="204"/>
      <c r="LEX25" s="204"/>
      <c r="LEY25" s="204"/>
      <c r="LEZ25" s="204"/>
      <c r="LFA25" s="204"/>
      <c r="LFB25" s="204"/>
      <c r="LFC25" s="204"/>
      <c r="LFD25" s="204"/>
      <c r="LFE25" s="204"/>
      <c r="LFF25" s="204"/>
      <c r="LFG25" s="204"/>
      <c r="LFH25" s="204"/>
      <c r="LFI25" s="204"/>
      <c r="LFJ25" s="204"/>
      <c r="LFK25" s="204"/>
      <c r="LFL25" s="204"/>
      <c r="LFM25" s="204"/>
      <c r="LFN25" s="204"/>
      <c r="LFO25" s="204"/>
      <c r="LFP25" s="204"/>
      <c r="LFQ25" s="204"/>
      <c r="LFR25" s="204"/>
      <c r="LFS25" s="204"/>
      <c r="LFT25" s="204"/>
      <c r="LFU25" s="204"/>
      <c r="LFV25" s="204"/>
      <c r="LFW25" s="204"/>
      <c r="LFX25" s="204"/>
      <c r="LFY25" s="204"/>
      <c r="LFZ25" s="204"/>
      <c r="LGA25" s="204"/>
      <c r="LGB25" s="204"/>
      <c r="LGC25" s="204"/>
      <c r="LGD25" s="204"/>
      <c r="LGE25" s="204"/>
      <c r="LGF25" s="204"/>
      <c r="LGG25" s="204"/>
      <c r="LGH25" s="204"/>
      <c r="LGI25" s="204"/>
      <c r="LGJ25" s="204"/>
      <c r="LGK25" s="204"/>
      <c r="LGL25" s="204"/>
      <c r="LGM25" s="204"/>
      <c r="LGN25" s="204"/>
      <c r="LGO25" s="204"/>
      <c r="LGP25" s="204"/>
      <c r="LGQ25" s="204"/>
      <c r="LGR25" s="204"/>
      <c r="LGS25" s="204"/>
      <c r="LGT25" s="204"/>
      <c r="LGU25" s="204"/>
      <c r="LGV25" s="204"/>
      <c r="LGW25" s="204"/>
      <c r="LGX25" s="204"/>
      <c r="LGY25" s="204"/>
      <c r="LGZ25" s="204"/>
      <c r="LHA25" s="204"/>
      <c r="LHB25" s="204"/>
      <c r="LHC25" s="204"/>
      <c r="LHD25" s="204"/>
      <c r="LHE25" s="204"/>
      <c r="LHF25" s="204"/>
      <c r="LHG25" s="204"/>
      <c r="LHH25" s="204"/>
      <c r="LHI25" s="204"/>
      <c r="LHJ25" s="204"/>
      <c r="LHK25" s="204"/>
      <c r="LHL25" s="204"/>
      <c r="LHM25" s="204"/>
      <c r="LHN25" s="204"/>
      <c r="LHO25" s="204"/>
      <c r="LHP25" s="204"/>
      <c r="LHQ25" s="204"/>
      <c r="LHR25" s="204"/>
      <c r="LHS25" s="204"/>
      <c r="LHT25" s="204"/>
      <c r="LHU25" s="204"/>
      <c r="LHV25" s="204"/>
      <c r="LHW25" s="204"/>
      <c r="LHX25" s="204"/>
      <c r="LHY25" s="204"/>
      <c r="LHZ25" s="204"/>
      <c r="LIA25" s="204"/>
      <c r="LIB25" s="204"/>
      <c r="LIC25" s="204"/>
      <c r="LID25" s="204"/>
      <c r="LIE25" s="204"/>
      <c r="LIF25" s="204"/>
      <c r="LIG25" s="204"/>
      <c r="LIH25" s="204"/>
      <c r="LII25" s="204"/>
      <c r="LIJ25" s="204"/>
      <c r="LIK25" s="204"/>
      <c r="LIL25" s="204"/>
      <c r="LIM25" s="204"/>
      <c r="LIN25" s="204"/>
      <c r="LIO25" s="204"/>
      <c r="LIP25" s="204"/>
      <c r="LIQ25" s="204"/>
      <c r="LIR25" s="204"/>
      <c r="LIS25" s="204"/>
      <c r="LIT25" s="204"/>
      <c r="LIU25" s="204"/>
      <c r="LIV25" s="204"/>
      <c r="LIW25" s="204"/>
      <c r="LIX25" s="204"/>
      <c r="LIY25" s="204"/>
      <c r="LIZ25" s="204"/>
      <c r="LJA25" s="204"/>
      <c r="LJB25" s="204"/>
      <c r="LJC25" s="204"/>
      <c r="LJD25" s="204"/>
      <c r="LJE25" s="204"/>
      <c r="LJF25" s="204"/>
      <c r="LJG25" s="204"/>
      <c r="LJH25" s="204"/>
      <c r="LJI25" s="204"/>
      <c r="LJJ25" s="204"/>
      <c r="LJK25" s="204"/>
      <c r="LJL25" s="204"/>
      <c r="LJM25" s="204"/>
      <c r="LJN25" s="204"/>
      <c r="LJO25" s="204"/>
      <c r="LJP25" s="204"/>
      <c r="LJQ25" s="204"/>
      <c r="LJR25" s="204"/>
      <c r="LJS25" s="204"/>
      <c r="LJT25" s="204"/>
      <c r="LJU25" s="204"/>
      <c r="LJV25" s="204"/>
      <c r="LJW25" s="204"/>
      <c r="LJX25" s="204"/>
      <c r="LJY25" s="204"/>
      <c r="LJZ25" s="204"/>
      <c r="LKA25" s="204"/>
      <c r="LKB25" s="204"/>
      <c r="LKC25" s="204"/>
      <c r="LKD25" s="204"/>
      <c r="LKE25" s="204"/>
      <c r="LKF25" s="204"/>
      <c r="LKG25" s="204"/>
      <c r="LKH25" s="204"/>
      <c r="LKI25" s="204"/>
      <c r="LKJ25" s="204"/>
      <c r="LKK25" s="204"/>
      <c r="LKL25" s="204"/>
      <c r="LKM25" s="204"/>
      <c r="LKN25" s="204"/>
      <c r="LKO25" s="204"/>
      <c r="LKP25" s="204"/>
      <c r="LKQ25" s="204"/>
      <c r="LKR25" s="204"/>
      <c r="LKS25" s="204"/>
      <c r="LKT25" s="204"/>
      <c r="LKU25" s="204"/>
      <c r="LKV25" s="204"/>
      <c r="LKW25" s="204"/>
      <c r="LKX25" s="204"/>
      <c r="LKY25" s="204"/>
      <c r="LKZ25" s="204"/>
      <c r="LLA25" s="204"/>
      <c r="LLB25" s="204"/>
      <c r="LLC25" s="204"/>
      <c r="LLD25" s="204"/>
      <c r="LLE25" s="204"/>
      <c r="LLF25" s="204"/>
      <c r="LLG25" s="204"/>
      <c r="LLH25" s="204"/>
      <c r="LLI25" s="204"/>
      <c r="LLJ25" s="204"/>
      <c r="LLK25" s="204"/>
      <c r="LLL25" s="204"/>
      <c r="LLM25" s="204"/>
      <c r="LLN25" s="204"/>
      <c r="LLO25" s="204"/>
      <c r="LLP25" s="204"/>
      <c r="LLQ25" s="204"/>
      <c r="LLR25" s="204"/>
      <c r="LLS25" s="204"/>
      <c r="LLT25" s="204"/>
      <c r="LLU25" s="204"/>
      <c r="LLV25" s="204"/>
      <c r="LLW25" s="204"/>
      <c r="LLX25" s="204"/>
      <c r="LLY25" s="204"/>
      <c r="LLZ25" s="204"/>
      <c r="LMA25" s="204"/>
      <c r="LMB25" s="204"/>
      <c r="LMC25" s="204"/>
      <c r="LMD25" s="204"/>
      <c r="LME25" s="204"/>
      <c r="LMF25" s="204"/>
      <c r="LMG25" s="204"/>
      <c r="LMH25" s="204"/>
      <c r="LMI25" s="204"/>
      <c r="LMJ25" s="204"/>
      <c r="LMK25" s="204"/>
      <c r="LML25" s="204"/>
      <c r="LMM25" s="204"/>
      <c r="LMN25" s="204"/>
      <c r="LMO25" s="204"/>
      <c r="LMP25" s="204"/>
      <c r="LMQ25" s="204"/>
      <c r="LMR25" s="204"/>
      <c r="LMS25" s="204"/>
      <c r="LMT25" s="204"/>
      <c r="LMU25" s="204"/>
      <c r="LMV25" s="204"/>
      <c r="LMW25" s="204"/>
      <c r="LMX25" s="204"/>
      <c r="LMY25" s="204"/>
      <c r="LMZ25" s="204"/>
      <c r="LNA25" s="204"/>
      <c r="LNB25" s="204"/>
      <c r="LNC25" s="204"/>
      <c r="LND25" s="204"/>
      <c r="LNE25" s="204"/>
      <c r="LNF25" s="204"/>
      <c r="LNG25" s="204"/>
      <c r="LNH25" s="204"/>
      <c r="LNI25" s="204"/>
      <c r="LNJ25" s="204"/>
      <c r="LNK25" s="204"/>
      <c r="LNL25" s="204"/>
      <c r="LNM25" s="204"/>
      <c r="LNN25" s="204"/>
      <c r="LNO25" s="204"/>
      <c r="LNP25" s="204"/>
      <c r="LNQ25" s="204"/>
      <c r="LNR25" s="204"/>
      <c r="LNS25" s="204"/>
      <c r="LNT25" s="204"/>
      <c r="LNU25" s="204"/>
      <c r="LNV25" s="204"/>
      <c r="LNW25" s="204"/>
      <c r="LNX25" s="204"/>
      <c r="LNY25" s="204"/>
      <c r="LNZ25" s="204"/>
      <c r="LOA25" s="204"/>
      <c r="LOB25" s="204"/>
      <c r="LOC25" s="204"/>
      <c r="LOD25" s="204"/>
      <c r="LOE25" s="204"/>
      <c r="LOF25" s="204"/>
      <c r="LOG25" s="204"/>
      <c r="LOH25" s="204"/>
      <c r="LOI25" s="204"/>
      <c r="LOJ25" s="204"/>
      <c r="LOK25" s="204"/>
      <c r="LOL25" s="204"/>
      <c r="LOM25" s="204"/>
      <c r="LON25" s="204"/>
      <c r="LOO25" s="204"/>
      <c r="LOP25" s="204"/>
      <c r="LOQ25" s="204"/>
      <c r="LOR25" s="204"/>
      <c r="LOS25" s="204"/>
      <c r="LOT25" s="204"/>
      <c r="LOU25" s="204"/>
      <c r="LOV25" s="204"/>
      <c r="LOW25" s="204"/>
      <c r="LOX25" s="204"/>
      <c r="LOY25" s="204"/>
      <c r="LOZ25" s="204"/>
      <c r="LPA25" s="204"/>
      <c r="LPB25" s="204"/>
      <c r="LPC25" s="204"/>
      <c r="LPD25" s="204"/>
      <c r="LPE25" s="204"/>
      <c r="LPF25" s="204"/>
      <c r="LPG25" s="204"/>
      <c r="LPH25" s="204"/>
      <c r="LPI25" s="204"/>
      <c r="LPJ25" s="204"/>
      <c r="LPK25" s="204"/>
      <c r="LPL25" s="204"/>
      <c r="LPM25" s="204"/>
      <c r="LPN25" s="204"/>
      <c r="LPO25" s="204"/>
      <c r="LPP25" s="204"/>
      <c r="LPQ25" s="204"/>
      <c r="LPR25" s="204"/>
      <c r="LPS25" s="204"/>
      <c r="LPT25" s="204"/>
      <c r="LPU25" s="204"/>
      <c r="LPV25" s="204"/>
      <c r="LPW25" s="204"/>
      <c r="LPX25" s="204"/>
      <c r="LPY25" s="204"/>
      <c r="LPZ25" s="204"/>
      <c r="LQA25" s="204"/>
      <c r="LQB25" s="204"/>
      <c r="LQC25" s="204"/>
      <c r="LQD25" s="204"/>
      <c r="LQE25" s="204"/>
      <c r="LQF25" s="204"/>
      <c r="LQG25" s="204"/>
      <c r="LQH25" s="204"/>
      <c r="LQI25" s="204"/>
      <c r="LQJ25" s="204"/>
      <c r="LQK25" s="204"/>
      <c r="LQL25" s="204"/>
      <c r="LQM25" s="204"/>
      <c r="LQN25" s="204"/>
      <c r="LQO25" s="204"/>
      <c r="LQP25" s="204"/>
      <c r="LQQ25" s="204"/>
      <c r="LQR25" s="204"/>
      <c r="LQS25" s="204"/>
      <c r="LQT25" s="204"/>
      <c r="LQU25" s="204"/>
      <c r="LQV25" s="204"/>
      <c r="LQW25" s="204"/>
      <c r="LQX25" s="204"/>
      <c r="LQY25" s="204"/>
      <c r="LQZ25" s="204"/>
      <c r="LRA25" s="204"/>
      <c r="LRB25" s="204"/>
      <c r="LRC25" s="204"/>
      <c r="LRD25" s="204"/>
      <c r="LRE25" s="204"/>
      <c r="LRF25" s="204"/>
      <c r="LRG25" s="204"/>
      <c r="LRH25" s="204"/>
      <c r="LRI25" s="204"/>
      <c r="LRJ25" s="204"/>
      <c r="LRK25" s="204"/>
      <c r="LRL25" s="204"/>
      <c r="LRM25" s="204"/>
      <c r="LRN25" s="204"/>
      <c r="LRO25" s="204"/>
      <c r="LRP25" s="204"/>
      <c r="LRQ25" s="204"/>
      <c r="LRR25" s="204"/>
      <c r="LRS25" s="204"/>
      <c r="LRT25" s="204"/>
      <c r="LRU25" s="204"/>
      <c r="LRV25" s="204"/>
      <c r="LRW25" s="204"/>
      <c r="LRX25" s="204"/>
      <c r="LRY25" s="204"/>
      <c r="LRZ25" s="204"/>
      <c r="LSA25" s="204"/>
      <c r="LSB25" s="204"/>
      <c r="LSC25" s="204"/>
      <c r="LSD25" s="204"/>
      <c r="LSE25" s="204"/>
      <c r="LSF25" s="204"/>
      <c r="LSG25" s="204"/>
      <c r="LSH25" s="204"/>
      <c r="LSI25" s="204"/>
      <c r="LSJ25" s="204"/>
      <c r="LSK25" s="204"/>
      <c r="LSL25" s="204"/>
      <c r="LSM25" s="204"/>
      <c r="LSN25" s="204"/>
      <c r="LSO25" s="204"/>
      <c r="LSP25" s="204"/>
      <c r="LSQ25" s="204"/>
      <c r="LSR25" s="204"/>
      <c r="LSS25" s="204"/>
      <c r="LST25" s="204"/>
      <c r="LSU25" s="204"/>
      <c r="LSV25" s="204"/>
      <c r="LSW25" s="204"/>
      <c r="LSX25" s="204"/>
      <c r="LSY25" s="204"/>
      <c r="LSZ25" s="204"/>
      <c r="LTA25" s="204"/>
      <c r="LTB25" s="204"/>
      <c r="LTC25" s="204"/>
      <c r="LTD25" s="204"/>
      <c r="LTE25" s="204"/>
      <c r="LTF25" s="204"/>
      <c r="LTG25" s="204"/>
      <c r="LTH25" s="204"/>
      <c r="LTI25" s="204"/>
      <c r="LTJ25" s="204"/>
      <c r="LTK25" s="204"/>
      <c r="LTL25" s="204"/>
      <c r="LTM25" s="204"/>
      <c r="LTN25" s="204"/>
      <c r="LTO25" s="204"/>
      <c r="LTP25" s="204"/>
      <c r="LTQ25" s="204"/>
      <c r="LTR25" s="204"/>
      <c r="LTS25" s="204"/>
      <c r="LTT25" s="204"/>
      <c r="LTU25" s="204"/>
      <c r="LTV25" s="204"/>
      <c r="LTW25" s="204"/>
      <c r="LTX25" s="204"/>
      <c r="LTY25" s="204"/>
      <c r="LTZ25" s="204"/>
      <c r="LUA25" s="204"/>
      <c r="LUB25" s="204"/>
      <c r="LUC25" s="204"/>
      <c r="LUD25" s="204"/>
      <c r="LUE25" s="204"/>
      <c r="LUF25" s="204"/>
      <c r="LUG25" s="204"/>
      <c r="LUH25" s="204"/>
      <c r="LUI25" s="204"/>
      <c r="LUJ25" s="204"/>
      <c r="LUK25" s="204"/>
      <c r="LUL25" s="204"/>
      <c r="LUM25" s="204"/>
      <c r="LUN25" s="204"/>
      <c r="LUO25" s="204"/>
      <c r="LUP25" s="204"/>
      <c r="LUQ25" s="204"/>
      <c r="LUR25" s="204"/>
      <c r="LUS25" s="204"/>
      <c r="LUT25" s="204"/>
      <c r="LUU25" s="204"/>
      <c r="LUV25" s="204"/>
      <c r="LUW25" s="204"/>
      <c r="LUX25" s="204"/>
      <c r="LUY25" s="204"/>
      <c r="LUZ25" s="204"/>
      <c r="LVA25" s="204"/>
      <c r="LVB25" s="204"/>
      <c r="LVC25" s="204"/>
      <c r="LVD25" s="204"/>
      <c r="LVE25" s="204"/>
      <c r="LVF25" s="204"/>
      <c r="LVG25" s="204"/>
      <c r="LVH25" s="204"/>
      <c r="LVI25" s="204"/>
      <c r="LVJ25" s="204"/>
      <c r="LVK25" s="204"/>
      <c r="LVL25" s="204"/>
      <c r="LVM25" s="204"/>
      <c r="LVN25" s="204"/>
      <c r="LVO25" s="204"/>
      <c r="LVP25" s="204"/>
      <c r="LVQ25" s="204"/>
      <c r="LVR25" s="204"/>
      <c r="LVS25" s="204"/>
      <c r="LVT25" s="204"/>
      <c r="LVU25" s="204"/>
      <c r="LVV25" s="204"/>
      <c r="LVW25" s="204"/>
      <c r="LVX25" s="204"/>
      <c r="LVY25" s="204"/>
      <c r="LVZ25" s="204"/>
      <c r="LWA25" s="204"/>
      <c r="LWB25" s="204"/>
      <c r="LWC25" s="204"/>
      <c r="LWD25" s="204"/>
      <c r="LWE25" s="204"/>
      <c r="LWF25" s="204"/>
      <c r="LWG25" s="204"/>
      <c r="LWH25" s="204"/>
      <c r="LWI25" s="204"/>
      <c r="LWJ25" s="204"/>
      <c r="LWK25" s="204"/>
      <c r="LWL25" s="204"/>
      <c r="LWM25" s="204"/>
      <c r="LWN25" s="204"/>
      <c r="LWO25" s="204"/>
      <c r="LWP25" s="204"/>
      <c r="LWQ25" s="204"/>
      <c r="LWR25" s="204"/>
      <c r="LWS25" s="204"/>
      <c r="LWT25" s="204"/>
      <c r="LWU25" s="204"/>
      <c r="LWV25" s="204"/>
      <c r="LWW25" s="204"/>
      <c r="LWX25" s="204"/>
      <c r="LWY25" s="204"/>
      <c r="LWZ25" s="204"/>
      <c r="LXA25" s="204"/>
      <c r="LXB25" s="204"/>
      <c r="LXC25" s="204"/>
      <c r="LXD25" s="204"/>
      <c r="LXE25" s="204"/>
      <c r="LXF25" s="204"/>
      <c r="LXG25" s="204"/>
      <c r="LXH25" s="204"/>
      <c r="LXI25" s="204"/>
      <c r="LXJ25" s="204"/>
      <c r="LXK25" s="204"/>
      <c r="LXL25" s="204"/>
      <c r="LXM25" s="204"/>
      <c r="LXN25" s="204"/>
      <c r="LXO25" s="204"/>
      <c r="LXP25" s="204"/>
      <c r="LXQ25" s="204"/>
      <c r="LXR25" s="204"/>
      <c r="LXS25" s="204"/>
      <c r="LXT25" s="204"/>
      <c r="LXU25" s="204"/>
      <c r="LXV25" s="204"/>
      <c r="LXW25" s="204"/>
      <c r="LXX25" s="204"/>
      <c r="LXY25" s="204"/>
      <c r="LXZ25" s="204"/>
      <c r="LYA25" s="204"/>
      <c r="LYB25" s="204"/>
      <c r="LYC25" s="204"/>
      <c r="LYD25" s="204"/>
      <c r="LYE25" s="204"/>
      <c r="LYF25" s="204"/>
      <c r="LYG25" s="204"/>
      <c r="LYH25" s="204"/>
      <c r="LYI25" s="204"/>
      <c r="LYJ25" s="204"/>
      <c r="LYK25" s="204"/>
      <c r="LYL25" s="204"/>
      <c r="LYM25" s="204"/>
      <c r="LYN25" s="204"/>
      <c r="LYO25" s="204"/>
      <c r="LYP25" s="204"/>
      <c r="LYQ25" s="204"/>
      <c r="LYR25" s="204"/>
      <c r="LYS25" s="204"/>
      <c r="LYT25" s="204"/>
      <c r="LYU25" s="204"/>
      <c r="LYV25" s="204"/>
      <c r="LYW25" s="204"/>
      <c r="LYX25" s="204"/>
      <c r="LYY25" s="204"/>
      <c r="LYZ25" s="204"/>
      <c r="LZA25" s="204"/>
      <c r="LZB25" s="204"/>
      <c r="LZC25" s="204"/>
      <c r="LZD25" s="204"/>
      <c r="LZE25" s="204"/>
      <c r="LZF25" s="204"/>
      <c r="LZG25" s="204"/>
      <c r="LZH25" s="204"/>
      <c r="LZI25" s="204"/>
      <c r="LZJ25" s="204"/>
      <c r="LZK25" s="204"/>
      <c r="LZL25" s="204"/>
      <c r="LZM25" s="204"/>
      <c r="LZN25" s="204"/>
      <c r="LZO25" s="204"/>
      <c r="LZP25" s="204"/>
      <c r="LZQ25" s="204"/>
      <c r="LZR25" s="204"/>
      <c r="LZS25" s="204"/>
      <c r="LZT25" s="204"/>
      <c r="LZU25" s="204"/>
      <c r="LZV25" s="204"/>
      <c r="LZW25" s="204"/>
      <c r="LZX25" s="204"/>
      <c r="LZY25" s="204"/>
      <c r="LZZ25" s="204"/>
      <c r="MAA25" s="204"/>
      <c r="MAB25" s="204"/>
      <c r="MAC25" s="204"/>
      <c r="MAD25" s="204"/>
      <c r="MAE25" s="204"/>
      <c r="MAF25" s="204"/>
      <c r="MAG25" s="204"/>
      <c r="MAH25" s="204"/>
      <c r="MAI25" s="204"/>
      <c r="MAJ25" s="204"/>
      <c r="MAK25" s="204"/>
      <c r="MAL25" s="204"/>
      <c r="MAM25" s="204"/>
      <c r="MAN25" s="204"/>
      <c r="MAO25" s="204"/>
      <c r="MAP25" s="204"/>
      <c r="MAQ25" s="204"/>
      <c r="MAR25" s="204"/>
      <c r="MAS25" s="204"/>
      <c r="MAT25" s="204"/>
      <c r="MAU25" s="204"/>
      <c r="MAV25" s="204"/>
      <c r="MAW25" s="204"/>
      <c r="MAX25" s="204"/>
      <c r="MAY25" s="204"/>
      <c r="MAZ25" s="204"/>
      <c r="MBA25" s="204"/>
      <c r="MBB25" s="204"/>
      <c r="MBC25" s="204"/>
      <c r="MBD25" s="204"/>
      <c r="MBE25" s="204"/>
      <c r="MBF25" s="204"/>
      <c r="MBG25" s="204"/>
      <c r="MBH25" s="204"/>
      <c r="MBI25" s="204"/>
      <c r="MBJ25" s="204"/>
      <c r="MBK25" s="204"/>
      <c r="MBL25" s="204"/>
      <c r="MBM25" s="204"/>
      <c r="MBN25" s="204"/>
      <c r="MBO25" s="204"/>
      <c r="MBP25" s="204"/>
      <c r="MBQ25" s="204"/>
      <c r="MBR25" s="204"/>
      <c r="MBS25" s="204"/>
      <c r="MBT25" s="204"/>
      <c r="MBU25" s="204"/>
      <c r="MBV25" s="204"/>
      <c r="MBW25" s="204"/>
      <c r="MBX25" s="204"/>
      <c r="MBY25" s="204"/>
      <c r="MBZ25" s="204"/>
      <c r="MCA25" s="204"/>
      <c r="MCB25" s="204"/>
      <c r="MCC25" s="204"/>
      <c r="MCD25" s="204"/>
      <c r="MCE25" s="204"/>
      <c r="MCF25" s="204"/>
      <c r="MCG25" s="204"/>
      <c r="MCH25" s="204"/>
      <c r="MCI25" s="204"/>
      <c r="MCJ25" s="204"/>
      <c r="MCK25" s="204"/>
      <c r="MCL25" s="204"/>
      <c r="MCM25" s="204"/>
      <c r="MCN25" s="204"/>
      <c r="MCO25" s="204"/>
      <c r="MCP25" s="204"/>
      <c r="MCQ25" s="204"/>
      <c r="MCR25" s="204"/>
      <c r="MCS25" s="204"/>
      <c r="MCT25" s="204"/>
      <c r="MCU25" s="204"/>
      <c r="MCV25" s="204"/>
      <c r="MCW25" s="204"/>
      <c r="MCX25" s="204"/>
      <c r="MCY25" s="204"/>
      <c r="MCZ25" s="204"/>
      <c r="MDA25" s="204"/>
      <c r="MDB25" s="204"/>
      <c r="MDC25" s="204"/>
      <c r="MDD25" s="204"/>
      <c r="MDE25" s="204"/>
      <c r="MDF25" s="204"/>
      <c r="MDG25" s="204"/>
      <c r="MDH25" s="204"/>
      <c r="MDI25" s="204"/>
      <c r="MDJ25" s="204"/>
      <c r="MDK25" s="204"/>
      <c r="MDL25" s="204"/>
      <c r="MDM25" s="204"/>
      <c r="MDN25" s="204"/>
      <c r="MDO25" s="204"/>
      <c r="MDP25" s="204"/>
      <c r="MDQ25" s="204"/>
      <c r="MDR25" s="204"/>
      <c r="MDS25" s="204"/>
      <c r="MDT25" s="204"/>
      <c r="MDU25" s="204"/>
      <c r="MDV25" s="204"/>
      <c r="MDW25" s="204"/>
      <c r="MDX25" s="204"/>
      <c r="MDY25" s="204"/>
      <c r="MDZ25" s="204"/>
      <c r="MEA25" s="204"/>
      <c r="MEB25" s="204"/>
      <c r="MEC25" s="204"/>
      <c r="MED25" s="204"/>
      <c r="MEE25" s="204"/>
      <c r="MEF25" s="204"/>
      <c r="MEG25" s="204"/>
      <c r="MEH25" s="204"/>
      <c r="MEI25" s="204"/>
      <c r="MEJ25" s="204"/>
      <c r="MEK25" s="204"/>
      <c r="MEL25" s="204"/>
      <c r="MEM25" s="204"/>
      <c r="MEN25" s="204"/>
      <c r="MEO25" s="204"/>
      <c r="MEP25" s="204"/>
      <c r="MEQ25" s="204"/>
      <c r="MER25" s="204"/>
      <c r="MES25" s="204"/>
      <c r="MET25" s="204"/>
      <c r="MEU25" s="204"/>
      <c r="MEV25" s="204"/>
      <c r="MEW25" s="204"/>
      <c r="MEX25" s="204"/>
      <c r="MEY25" s="204"/>
      <c r="MEZ25" s="204"/>
      <c r="MFA25" s="204"/>
      <c r="MFB25" s="204"/>
      <c r="MFC25" s="204"/>
      <c r="MFD25" s="204"/>
      <c r="MFE25" s="204"/>
      <c r="MFF25" s="204"/>
      <c r="MFG25" s="204"/>
      <c r="MFH25" s="204"/>
      <c r="MFI25" s="204"/>
      <c r="MFJ25" s="204"/>
      <c r="MFK25" s="204"/>
      <c r="MFL25" s="204"/>
      <c r="MFM25" s="204"/>
      <c r="MFN25" s="204"/>
      <c r="MFO25" s="204"/>
      <c r="MFP25" s="204"/>
      <c r="MFQ25" s="204"/>
      <c r="MFR25" s="204"/>
      <c r="MFS25" s="204"/>
      <c r="MFT25" s="204"/>
      <c r="MFU25" s="204"/>
      <c r="MFV25" s="204"/>
      <c r="MFW25" s="204"/>
      <c r="MFX25" s="204"/>
      <c r="MFY25" s="204"/>
      <c r="MFZ25" s="204"/>
      <c r="MGA25" s="204"/>
      <c r="MGB25" s="204"/>
      <c r="MGC25" s="204"/>
      <c r="MGD25" s="204"/>
      <c r="MGE25" s="204"/>
      <c r="MGF25" s="204"/>
      <c r="MGG25" s="204"/>
      <c r="MGH25" s="204"/>
      <c r="MGI25" s="204"/>
      <c r="MGJ25" s="204"/>
      <c r="MGK25" s="204"/>
      <c r="MGL25" s="204"/>
      <c r="MGM25" s="204"/>
      <c r="MGN25" s="204"/>
      <c r="MGO25" s="204"/>
      <c r="MGP25" s="204"/>
      <c r="MGQ25" s="204"/>
      <c r="MGR25" s="204"/>
      <c r="MGS25" s="204"/>
      <c r="MGT25" s="204"/>
      <c r="MGU25" s="204"/>
      <c r="MGV25" s="204"/>
      <c r="MGW25" s="204"/>
      <c r="MGX25" s="204"/>
      <c r="MGY25" s="204"/>
      <c r="MGZ25" s="204"/>
      <c r="MHA25" s="204"/>
      <c r="MHB25" s="204"/>
      <c r="MHC25" s="204"/>
      <c r="MHD25" s="204"/>
      <c r="MHE25" s="204"/>
      <c r="MHF25" s="204"/>
      <c r="MHG25" s="204"/>
      <c r="MHH25" s="204"/>
      <c r="MHI25" s="204"/>
      <c r="MHJ25" s="204"/>
      <c r="MHK25" s="204"/>
      <c r="MHL25" s="204"/>
      <c r="MHM25" s="204"/>
      <c r="MHN25" s="204"/>
      <c r="MHO25" s="204"/>
      <c r="MHP25" s="204"/>
      <c r="MHQ25" s="204"/>
      <c r="MHR25" s="204"/>
      <c r="MHS25" s="204"/>
      <c r="MHT25" s="204"/>
      <c r="MHU25" s="204"/>
      <c r="MHV25" s="204"/>
      <c r="MHW25" s="204"/>
      <c r="MHX25" s="204"/>
      <c r="MHY25" s="204"/>
      <c r="MHZ25" s="204"/>
      <c r="MIA25" s="204"/>
      <c r="MIB25" s="204"/>
      <c r="MIC25" s="204"/>
      <c r="MID25" s="204"/>
      <c r="MIE25" s="204"/>
      <c r="MIF25" s="204"/>
      <c r="MIG25" s="204"/>
      <c r="MIH25" s="204"/>
      <c r="MII25" s="204"/>
      <c r="MIJ25" s="204"/>
      <c r="MIK25" s="204"/>
      <c r="MIL25" s="204"/>
      <c r="MIM25" s="204"/>
      <c r="MIN25" s="204"/>
      <c r="MIO25" s="204"/>
      <c r="MIP25" s="204"/>
      <c r="MIQ25" s="204"/>
      <c r="MIR25" s="204"/>
      <c r="MIS25" s="204"/>
      <c r="MIT25" s="204"/>
      <c r="MIU25" s="204"/>
      <c r="MIV25" s="204"/>
      <c r="MIW25" s="204"/>
      <c r="MIX25" s="204"/>
      <c r="MIY25" s="204"/>
      <c r="MIZ25" s="204"/>
      <c r="MJA25" s="204"/>
      <c r="MJB25" s="204"/>
      <c r="MJC25" s="204"/>
      <c r="MJD25" s="204"/>
      <c r="MJE25" s="204"/>
      <c r="MJF25" s="204"/>
      <c r="MJG25" s="204"/>
      <c r="MJH25" s="204"/>
      <c r="MJI25" s="204"/>
      <c r="MJJ25" s="204"/>
      <c r="MJK25" s="204"/>
      <c r="MJL25" s="204"/>
      <c r="MJM25" s="204"/>
      <c r="MJN25" s="204"/>
      <c r="MJO25" s="204"/>
      <c r="MJP25" s="204"/>
      <c r="MJQ25" s="204"/>
      <c r="MJR25" s="204"/>
      <c r="MJS25" s="204"/>
      <c r="MJT25" s="204"/>
      <c r="MJU25" s="204"/>
      <c r="MJV25" s="204"/>
      <c r="MJW25" s="204"/>
      <c r="MJX25" s="204"/>
      <c r="MJY25" s="204"/>
      <c r="MJZ25" s="204"/>
      <c r="MKA25" s="204"/>
      <c r="MKB25" s="204"/>
      <c r="MKC25" s="204"/>
      <c r="MKD25" s="204"/>
      <c r="MKE25" s="204"/>
      <c r="MKF25" s="204"/>
      <c r="MKG25" s="204"/>
      <c r="MKH25" s="204"/>
      <c r="MKI25" s="204"/>
      <c r="MKJ25" s="204"/>
      <c r="MKK25" s="204"/>
      <c r="MKL25" s="204"/>
      <c r="MKM25" s="204"/>
      <c r="MKN25" s="204"/>
      <c r="MKO25" s="204"/>
      <c r="MKP25" s="204"/>
      <c r="MKQ25" s="204"/>
      <c r="MKR25" s="204"/>
      <c r="MKS25" s="204"/>
      <c r="MKT25" s="204"/>
      <c r="MKU25" s="204"/>
      <c r="MKV25" s="204"/>
      <c r="MKW25" s="204"/>
      <c r="MKX25" s="204"/>
      <c r="MKY25" s="204"/>
      <c r="MKZ25" s="204"/>
      <c r="MLA25" s="204"/>
      <c r="MLB25" s="204"/>
      <c r="MLC25" s="204"/>
      <c r="MLD25" s="204"/>
      <c r="MLE25" s="204"/>
      <c r="MLF25" s="204"/>
      <c r="MLG25" s="204"/>
      <c r="MLH25" s="204"/>
      <c r="MLI25" s="204"/>
      <c r="MLJ25" s="204"/>
      <c r="MLK25" s="204"/>
      <c r="MLL25" s="204"/>
      <c r="MLM25" s="204"/>
      <c r="MLN25" s="204"/>
      <c r="MLO25" s="204"/>
      <c r="MLP25" s="204"/>
      <c r="MLQ25" s="204"/>
      <c r="MLR25" s="204"/>
      <c r="MLS25" s="204"/>
      <c r="MLT25" s="204"/>
      <c r="MLU25" s="204"/>
      <c r="MLV25" s="204"/>
      <c r="MLW25" s="204"/>
      <c r="MLX25" s="204"/>
      <c r="MLY25" s="204"/>
      <c r="MLZ25" s="204"/>
      <c r="MMA25" s="204"/>
      <c r="MMB25" s="204"/>
      <c r="MMC25" s="204"/>
      <c r="MMD25" s="204"/>
      <c r="MME25" s="204"/>
      <c r="MMF25" s="204"/>
      <c r="MMG25" s="204"/>
      <c r="MMH25" s="204"/>
      <c r="MMI25" s="204"/>
      <c r="MMJ25" s="204"/>
      <c r="MMK25" s="204"/>
      <c r="MML25" s="204"/>
      <c r="MMM25" s="204"/>
      <c r="MMN25" s="204"/>
      <c r="MMO25" s="204"/>
      <c r="MMP25" s="204"/>
      <c r="MMQ25" s="204"/>
      <c r="MMR25" s="204"/>
      <c r="MMS25" s="204"/>
      <c r="MMT25" s="204"/>
      <c r="MMU25" s="204"/>
      <c r="MMV25" s="204"/>
      <c r="MMW25" s="204"/>
      <c r="MMX25" s="204"/>
      <c r="MMY25" s="204"/>
      <c r="MMZ25" s="204"/>
      <c r="MNA25" s="204"/>
      <c r="MNB25" s="204"/>
      <c r="MNC25" s="204"/>
      <c r="MND25" s="204"/>
      <c r="MNE25" s="204"/>
      <c r="MNF25" s="204"/>
      <c r="MNG25" s="204"/>
      <c r="MNH25" s="204"/>
      <c r="MNI25" s="204"/>
      <c r="MNJ25" s="204"/>
      <c r="MNK25" s="204"/>
      <c r="MNL25" s="204"/>
      <c r="MNM25" s="204"/>
      <c r="MNN25" s="204"/>
      <c r="MNO25" s="204"/>
      <c r="MNP25" s="204"/>
      <c r="MNQ25" s="204"/>
      <c r="MNR25" s="204"/>
      <c r="MNS25" s="204"/>
      <c r="MNT25" s="204"/>
      <c r="MNU25" s="204"/>
      <c r="MNV25" s="204"/>
      <c r="MNW25" s="204"/>
      <c r="MNX25" s="204"/>
      <c r="MNY25" s="204"/>
      <c r="MNZ25" s="204"/>
      <c r="MOA25" s="204"/>
      <c r="MOB25" s="204"/>
      <c r="MOC25" s="204"/>
      <c r="MOD25" s="204"/>
      <c r="MOE25" s="204"/>
      <c r="MOF25" s="204"/>
      <c r="MOG25" s="204"/>
      <c r="MOH25" s="204"/>
      <c r="MOI25" s="204"/>
      <c r="MOJ25" s="204"/>
      <c r="MOK25" s="204"/>
      <c r="MOL25" s="204"/>
      <c r="MOM25" s="204"/>
      <c r="MON25" s="204"/>
      <c r="MOO25" s="204"/>
      <c r="MOP25" s="204"/>
      <c r="MOQ25" s="204"/>
      <c r="MOR25" s="204"/>
      <c r="MOS25" s="204"/>
      <c r="MOT25" s="204"/>
      <c r="MOU25" s="204"/>
      <c r="MOV25" s="204"/>
      <c r="MOW25" s="204"/>
      <c r="MOX25" s="204"/>
      <c r="MOY25" s="204"/>
      <c r="MOZ25" s="204"/>
      <c r="MPA25" s="204"/>
      <c r="MPB25" s="204"/>
      <c r="MPC25" s="204"/>
      <c r="MPD25" s="204"/>
      <c r="MPE25" s="204"/>
      <c r="MPF25" s="204"/>
      <c r="MPG25" s="204"/>
      <c r="MPH25" s="204"/>
      <c r="MPI25" s="204"/>
      <c r="MPJ25" s="204"/>
      <c r="MPK25" s="204"/>
      <c r="MPL25" s="204"/>
      <c r="MPM25" s="204"/>
      <c r="MPN25" s="204"/>
      <c r="MPO25" s="204"/>
      <c r="MPP25" s="204"/>
      <c r="MPQ25" s="204"/>
      <c r="MPR25" s="204"/>
      <c r="MPS25" s="204"/>
      <c r="MPT25" s="204"/>
      <c r="MPU25" s="204"/>
      <c r="MPV25" s="204"/>
      <c r="MPW25" s="204"/>
      <c r="MPX25" s="204"/>
      <c r="MPY25" s="204"/>
      <c r="MPZ25" s="204"/>
      <c r="MQA25" s="204"/>
      <c r="MQB25" s="204"/>
      <c r="MQC25" s="204"/>
      <c r="MQD25" s="204"/>
      <c r="MQE25" s="204"/>
      <c r="MQF25" s="204"/>
      <c r="MQG25" s="204"/>
      <c r="MQH25" s="204"/>
      <c r="MQI25" s="204"/>
      <c r="MQJ25" s="204"/>
      <c r="MQK25" s="204"/>
      <c r="MQL25" s="204"/>
      <c r="MQM25" s="204"/>
      <c r="MQN25" s="204"/>
      <c r="MQO25" s="204"/>
      <c r="MQP25" s="204"/>
      <c r="MQQ25" s="204"/>
      <c r="MQR25" s="204"/>
      <c r="MQS25" s="204"/>
      <c r="MQT25" s="204"/>
      <c r="MQU25" s="204"/>
      <c r="MQV25" s="204"/>
      <c r="MQW25" s="204"/>
      <c r="MQX25" s="204"/>
      <c r="MQY25" s="204"/>
      <c r="MQZ25" s="204"/>
      <c r="MRA25" s="204"/>
      <c r="MRB25" s="204"/>
      <c r="MRC25" s="204"/>
      <c r="MRD25" s="204"/>
      <c r="MRE25" s="204"/>
      <c r="MRF25" s="204"/>
      <c r="MRG25" s="204"/>
      <c r="MRH25" s="204"/>
      <c r="MRI25" s="204"/>
      <c r="MRJ25" s="204"/>
      <c r="MRK25" s="204"/>
      <c r="MRL25" s="204"/>
      <c r="MRM25" s="204"/>
      <c r="MRN25" s="204"/>
      <c r="MRO25" s="204"/>
      <c r="MRP25" s="204"/>
      <c r="MRQ25" s="204"/>
      <c r="MRR25" s="204"/>
      <c r="MRS25" s="204"/>
      <c r="MRT25" s="204"/>
      <c r="MRU25" s="204"/>
      <c r="MRV25" s="204"/>
      <c r="MRW25" s="204"/>
      <c r="MRX25" s="204"/>
      <c r="MRY25" s="204"/>
      <c r="MRZ25" s="204"/>
      <c r="MSA25" s="204"/>
      <c r="MSB25" s="204"/>
      <c r="MSC25" s="204"/>
      <c r="MSD25" s="204"/>
      <c r="MSE25" s="204"/>
      <c r="MSF25" s="204"/>
      <c r="MSG25" s="204"/>
      <c r="MSH25" s="204"/>
      <c r="MSI25" s="204"/>
      <c r="MSJ25" s="204"/>
      <c r="MSK25" s="204"/>
      <c r="MSL25" s="204"/>
      <c r="MSM25" s="204"/>
      <c r="MSN25" s="204"/>
      <c r="MSO25" s="204"/>
      <c r="MSP25" s="204"/>
      <c r="MSQ25" s="204"/>
      <c r="MSR25" s="204"/>
      <c r="MSS25" s="204"/>
      <c r="MST25" s="204"/>
      <c r="MSU25" s="204"/>
      <c r="MSV25" s="204"/>
      <c r="MSW25" s="204"/>
      <c r="MSX25" s="204"/>
      <c r="MSY25" s="204"/>
      <c r="MSZ25" s="204"/>
      <c r="MTA25" s="204"/>
      <c r="MTB25" s="204"/>
      <c r="MTC25" s="204"/>
      <c r="MTD25" s="204"/>
      <c r="MTE25" s="204"/>
      <c r="MTF25" s="204"/>
      <c r="MTG25" s="204"/>
      <c r="MTH25" s="204"/>
      <c r="MTI25" s="204"/>
      <c r="MTJ25" s="204"/>
      <c r="MTK25" s="204"/>
      <c r="MTL25" s="204"/>
      <c r="MTM25" s="204"/>
      <c r="MTN25" s="204"/>
      <c r="MTO25" s="204"/>
      <c r="MTP25" s="204"/>
      <c r="MTQ25" s="204"/>
      <c r="MTR25" s="204"/>
      <c r="MTS25" s="204"/>
      <c r="MTT25" s="204"/>
      <c r="MTU25" s="204"/>
      <c r="MTV25" s="204"/>
      <c r="MTW25" s="204"/>
      <c r="MTX25" s="204"/>
      <c r="MTY25" s="204"/>
      <c r="MTZ25" s="204"/>
      <c r="MUA25" s="204"/>
      <c r="MUB25" s="204"/>
      <c r="MUC25" s="204"/>
      <c r="MUD25" s="204"/>
      <c r="MUE25" s="204"/>
      <c r="MUF25" s="204"/>
      <c r="MUG25" s="204"/>
      <c r="MUH25" s="204"/>
      <c r="MUI25" s="204"/>
      <c r="MUJ25" s="204"/>
      <c r="MUK25" s="204"/>
      <c r="MUL25" s="204"/>
      <c r="MUM25" s="204"/>
      <c r="MUN25" s="204"/>
      <c r="MUO25" s="204"/>
      <c r="MUP25" s="204"/>
      <c r="MUQ25" s="204"/>
      <c r="MUR25" s="204"/>
      <c r="MUS25" s="204"/>
      <c r="MUT25" s="204"/>
      <c r="MUU25" s="204"/>
      <c r="MUV25" s="204"/>
      <c r="MUW25" s="204"/>
      <c r="MUX25" s="204"/>
      <c r="MUY25" s="204"/>
      <c r="MUZ25" s="204"/>
      <c r="MVA25" s="204"/>
      <c r="MVB25" s="204"/>
      <c r="MVC25" s="204"/>
      <c r="MVD25" s="204"/>
      <c r="MVE25" s="204"/>
      <c r="MVF25" s="204"/>
      <c r="MVG25" s="204"/>
      <c r="MVH25" s="204"/>
      <c r="MVI25" s="204"/>
      <c r="MVJ25" s="204"/>
      <c r="MVK25" s="204"/>
      <c r="MVL25" s="204"/>
      <c r="MVM25" s="204"/>
      <c r="MVN25" s="204"/>
      <c r="MVO25" s="204"/>
      <c r="MVP25" s="204"/>
      <c r="MVQ25" s="204"/>
      <c r="MVR25" s="204"/>
      <c r="MVS25" s="204"/>
      <c r="MVT25" s="204"/>
      <c r="MVU25" s="204"/>
      <c r="MVV25" s="204"/>
      <c r="MVW25" s="204"/>
      <c r="MVX25" s="204"/>
      <c r="MVY25" s="204"/>
      <c r="MVZ25" s="204"/>
      <c r="MWA25" s="204"/>
      <c r="MWB25" s="204"/>
      <c r="MWC25" s="204"/>
      <c r="MWD25" s="204"/>
      <c r="MWE25" s="204"/>
      <c r="MWF25" s="204"/>
      <c r="MWG25" s="204"/>
      <c r="MWH25" s="204"/>
      <c r="MWI25" s="204"/>
      <c r="MWJ25" s="204"/>
      <c r="MWK25" s="204"/>
      <c r="MWL25" s="204"/>
      <c r="MWM25" s="204"/>
      <c r="MWN25" s="204"/>
      <c r="MWO25" s="204"/>
      <c r="MWP25" s="204"/>
      <c r="MWQ25" s="204"/>
      <c r="MWR25" s="204"/>
      <c r="MWS25" s="204"/>
      <c r="MWT25" s="204"/>
      <c r="MWU25" s="204"/>
      <c r="MWV25" s="204"/>
      <c r="MWW25" s="204"/>
      <c r="MWX25" s="204"/>
      <c r="MWY25" s="204"/>
      <c r="MWZ25" s="204"/>
      <c r="MXA25" s="204"/>
      <c r="MXB25" s="204"/>
      <c r="MXC25" s="204"/>
      <c r="MXD25" s="204"/>
      <c r="MXE25" s="204"/>
      <c r="MXF25" s="204"/>
      <c r="MXG25" s="204"/>
      <c r="MXH25" s="204"/>
      <c r="MXI25" s="204"/>
      <c r="MXJ25" s="204"/>
      <c r="MXK25" s="204"/>
      <c r="MXL25" s="204"/>
      <c r="MXM25" s="204"/>
      <c r="MXN25" s="204"/>
      <c r="MXO25" s="204"/>
      <c r="MXP25" s="204"/>
      <c r="MXQ25" s="204"/>
      <c r="MXR25" s="204"/>
      <c r="MXS25" s="204"/>
      <c r="MXT25" s="204"/>
      <c r="MXU25" s="204"/>
      <c r="MXV25" s="204"/>
      <c r="MXW25" s="204"/>
      <c r="MXX25" s="204"/>
      <c r="MXY25" s="204"/>
      <c r="MXZ25" s="204"/>
      <c r="MYA25" s="204"/>
      <c r="MYB25" s="204"/>
      <c r="MYC25" s="204"/>
      <c r="MYD25" s="204"/>
      <c r="MYE25" s="204"/>
      <c r="MYF25" s="204"/>
      <c r="MYG25" s="204"/>
      <c r="MYH25" s="204"/>
      <c r="MYI25" s="204"/>
      <c r="MYJ25" s="204"/>
      <c r="MYK25" s="204"/>
      <c r="MYL25" s="204"/>
      <c r="MYM25" s="204"/>
      <c r="MYN25" s="204"/>
      <c r="MYO25" s="204"/>
      <c r="MYP25" s="204"/>
      <c r="MYQ25" s="204"/>
      <c r="MYR25" s="204"/>
      <c r="MYS25" s="204"/>
      <c r="MYT25" s="204"/>
      <c r="MYU25" s="204"/>
      <c r="MYV25" s="204"/>
      <c r="MYW25" s="204"/>
      <c r="MYX25" s="204"/>
      <c r="MYY25" s="204"/>
      <c r="MYZ25" s="204"/>
      <c r="MZA25" s="204"/>
      <c r="MZB25" s="204"/>
      <c r="MZC25" s="204"/>
      <c r="MZD25" s="204"/>
      <c r="MZE25" s="204"/>
      <c r="MZF25" s="204"/>
      <c r="MZG25" s="204"/>
      <c r="MZH25" s="204"/>
      <c r="MZI25" s="204"/>
      <c r="MZJ25" s="204"/>
      <c r="MZK25" s="204"/>
      <c r="MZL25" s="204"/>
      <c r="MZM25" s="204"/>
      <c r="MZN25" s="204"/>
      <c r="MZO25" s="204"/>
      <c r="MZP25" s="204"/>
      <c r="MZQ25" s="204"/>
      <c r="MZR25" s="204"/>
      <c r="MZS25" s="204"/>
      <c r="MZT25" s="204"/>
      <c r="MZU25" s="204"/>
      <c r="MZV25" s="204"/>
      <c r="MZW25" s="204"/>
      <c r="MZX25" s="204"/>
      <c r="MZY25" s="204"/>
      <c r="MZZ25" s="204"/>
      <c r="NAA25" s="204"/>
      <c r="NAB25" s="204"/>
      <c r="NAC25" s="204"/>
      <c r="NAD25" s="204"/>
      <c r="NAE25" s="204"/>
      <c r="NAF25" s="204"/>
      <c r="NAG25" s="204"/>
      <c r="NAH25" s="204"/>
      <c r="NAI25" s="204"/>
      <c r="NAJ25" s="204"/>
      <c r="NAK25" s="204"/>
      <c r="NAL25" s="204"/>
      <c r="NAM25" s="204"/>
      <c r="NAN25" s="204"/>
      <c r="NAO25" s="204"/>
      <c r="NAP25" s="204"/>
      <c r="NAQ25" s="204"/>
      <c r="NAR25" s="204"/>
      <c r="NAS25" s="204"/>
      <c r="NAT25" s="204"/>
      <c r="NAU25" s="204"/>
      <c r="NAV25" s="204"/>
      <c r="NAW25" s="204"/>
      <c r="NAX25" s="204"/>
      <c r="NAY25" s="204"/>
      <c r="NAZ25" s="204"/>
      <c r="NBA25" s="204"/>
      <c r="NBB25" s="204"/>
      <c r="NBC25" s="204"/>
      <c r="NBD25" s="204"/>
      <c r="NBE25" s="204"/>
      <c r="NBF25" s="204"/>
      <c r="NBG25" s="204"/>
      <c r="NBH25" s="204"/>
      <c r="NBI25" s="204"/>
      <c r="NBJ25" s="204"/>
      <c r="NBK25" s="204"/>
      <c r="NBL25" s="204"/>
      <c r="NBM25" s="204"/>
      <c r="NBN25" s="204"/>
      <c r="NBO25" s="204"/>
      <c r="NBP25" s="204"/>
      <c r="NBQ25" s="204"/>
      <c r="NBR25" s="204"/>
      <c r="NBS25" s="204"/>
      <c r="NBT25" s="204"/>
      <c r="NBU25" s="204"/>
      <c r="NBV25" s="204"/>
      <c r="NBW25" s="204"/>
      <c r="NBX25" s="204"/>
      <c r="NBY25" s="204"/>
      <c r="NBZ25" s="204"/>
      <c r="NCA25" s="204"/>
      <c r="NCB25" s="204"/>
      <c r="NCC25" s="204"/>
      <c r="NCD25" s="204"/>
      <c r="NCE25" s="204"/>
      <c r="NCF25" s="204"/>
      <c r="NCG25" s="204"/>
      <c r="NCH25" s="204"/>
      <c r="NCI25" s="204"/>
      <c r="NCJ25" s="204"/>
      <c r="NCK25" s="204"/>
      <c r="NCL25" s="204"/>
      <c r="NCM25" s="204"/>
      <c r="NCN25" s="204"/>
      <c r="NCO25" s="204"/>
      <c r="NCP25" s="204"/>
      <c r="NCQ25" s="204"/>
      <c r="NCR25" s="204"/>
      <c r="NCS25" s="204"/>
      <c r="NCT25" s="204"/>
      <c r="NCU25" s="204"/>
      <c r="NCV25" s="204"/>
      <c r="NCW25" s="204"/>
      <c r="NCX25" s="204"/>
      <c r="NCY25" s="204"/>
      <c r="NCZ25" s="204"/>
      <c r="NDA25" s="204"/>
      <c r="NDB25" s="204"/>
      <c r="NDC25" s="204"/>
      <c r="NDD25" s="204"/>
      <c r="NDE25" s="204"/>
      <c r="NDF25" s="204"/>
      <c r="NDG25" s="204"/>
      <c r="NDH25" s="204"/>
      <c r="NDI25" s="204"/>
      <c r="NDJ25" s="204"/>
      <c r="NDK25" s="204"/>
      <c r="NDL25" s="204"/>
      <c r="NDM25" s="204"/>
      <c r="NDN25" s="204"/>
      <c r="NDO25" s="204"/>
      <c r="NDP25" s="204"/>
      <c r="NDQ25" s="204"/>
      <c r="NDR25" s="204"/>
      <c r="NDS25" s="204"/>
      <c r="NDT25" s="204"/>
      <c r="NDU25" s="204"/>
      <c r="NDV25" s="204"/>
      <c r="NDW25" s="204"/>
      <c r="NDX25" s="204"/>
      <c r="NDY25" s="204"/>
      <c r="NDZ25" s="204"/>
      <c r="NEA25" s="204"/>
      <c r="NEB25" s="204"/>
      <c r="NEC25" s="204"/>
      <c r="NED25" s="204"/>
      <c r="NEE25" s="204"/>
      <c r="NEF25" s="204"/>
      <c r="NEG25" s="204"/>
      <c r="NEH25" s="204"/>
      <c r="NEI25" s="204"/>
      <c r="NEJ25" s="204"/>
      <c r="NEK25" s="204"/>
      <c r="NEL25" s="204"/>
      <c r="NEM25" s="204"/>
      <c r="NEN25" s="204"/>
      <c r="NEO25" s="204"/>
      <c r="NEP25" s="204"/>
      <c r="NEQ25" s="204"/>
      <c r="NER25" s="204"/>
      <c r="NES25" s="204"/>
      <c r="NET25" s="204"/>
      <c r="NEU25" s="204"/>
      <c r="NEV25" s="204"/>
      <c r="NEW25" s="204"/>
      <c r="NEX25" s="204"/>
      <c r="NEY25" s="204"/>
      <c r="NEZ25" s="204"/>
      <c r="NFA25" s="204"/>
      <c r="NFB25" s="204"/>
      <c r="NFC25" s="204"/>
      <c r="NFD25" s="204"/>
      <c r="NFE25" s="204"/>
      <c r="NFF25" s="204"/>
      <c r="NFG25" s="204"/>
      <c r="NFH25" s="204"/>
      <c r="NFI25" s="204"/>
      <c r="NFJ25" s="204"/>
      <c r="NFK25" s="204"/>
      <c r="NFL25" s="204"/>
      <c r="NFM25" s="204"/>
      <c r="NFN25" s="204"/>
      <c r="NFO25" s="204"/>
      <c r="NFP25" s="204"/>
      <c r="NFQ25" s="204"/>
      <c r="NFR25" s="204"/>
      <c r="NFS25" s="204"/>
      <c r="NFT25" s="204"/>
      <c r="NFU25" s="204"/>
      <c r="NFV25" s="204"/>
      <c r="NFW25" s="204"/>
      <c r="NFX25" s="204"/>
      <c r="NFY25" s="204"/>
      <c r="NFZ25" s="204"/>
      <c r="NGA25" s="204"/>
      <c r="NGB25" s="204"/>
      <c r="NGC25" s="204"/>
      <c r="NGD25" s="204"/>
      <c r="NGE25" s="204"/>
      <c r="NGF25" s="204"/>
      <c r="NGG25" s="204"/>
      <c r="NGH25" s="204"/>
      <c r="NGI25" s="204"/>
      <c r="NGJ25" s="204"/>
      <c r="NGK25" s="204"/>
      <c r="NGL25" s="204"/>
      <c r="NGM25" s="204"/>
      <c r="NGN25" s="204"/>
      <c r="NGO25" s="204"/>
      <c r="NGP25" s="204"/>
      <c r="NGQ25" s="204"/>
      <c r="NGR25" s="204"/>
      <c r="NGS25" s="204"/>
      <c r="NGT25" s="204"/>
      <c r="NGU25" s="204"/>
      <c r="NGV25" s="204"/>
      <c r="NGW25" s="204"/>
      <c r="NGX25" s="204"/>
      <c r="NGY25" s="204"/>
      <c r="NGZ25" s="204"/>
      <c r="NHA25" s="204"/>
      <c r="NHB25" s="204"/>
      <c r="NHC25" s="204"/>
      <c r="NHD25" s="204"/>
      <c r="NHE25" s="204"/>
      <c r="NHF25" s="204"/>
      <c r="NHG25" s="204"/>
      <c r="NHH25" s="204"/>
      <c r="NHI25" s="204"/>
      <c r="NHJ25" s="204"/>
      <c r="NHK25" s="204"/>
      <c r="NHL25" s="204"/>
      <c r="NHM25" s="204"/>
      <c r="NHN25" s="204"/>
      <c r="NHO25" s="204"/>
      <c r="NHP25" s="204"/>
      <c r="NHQ25" s="204"/>
      <c r="NHR25" s="204"/>
      <c r="NHS25" s="204"/>
      <c r="NHT25" s="204"/>
      <c r="NHU25" s="204"/>
      <c r="NHV25" s="204"/>
      <c r="NHW25" s="204"/>
      <c r="NHX25" s="204"/>
      <c r="NHY25" s="204"/>
      <c r="NHZ25" s="204"/>
      <c r="NIA25" s="204"/>
      <c r="NIB25" s="204"/>
      <c r="NIC25" s="204"/>
      <c r="NID25" s="204"/>
      <c r="NIE25" s="204"/>
      <c r="NIF25" s="204"/>
      <c r="NIG25" s="204"/>
      <c r="NIH25" s="204"/>
      <c r="NII25" s="204"/>
      <c r="NIJ25" s="204"/>
      <c r="NIK25" s="204"/>
      <c r="NIL25" s="204"/>
      <c r="NIM25" s="204"/>
      <c r="NIN25" s="204"/>
      <c r="NIO25" s="204"/>
      <c r="NIP25" s="204"/>
      <c r="NIQ25" s="204"/>
      <c r="NIR25" s="204"/>
      <c r="NIS25" s="204"/>
      <c r="NIT25" s="204"/>
      <c r="NIU25" s="204"/>
      <c r="NIV25" s="204"/>
      <c r="NIW25" s="204"/>
      <c r="NIX25" s="204"/>
      <c r="NIY25" s="204"/>
      <c r="NIZ25" s="204"/>
      <c r="NJA25" s="204"/>
      <c r="NJB25" s="204"/>
      <c r="NJC25" s="204"/>
      <c r="NJD25" s="204"/>
      <c r="NJE25" s="204"/>
      <c r="NJF25" s="204"/>
      <c r="NJG25" s="204"/>
      <c r="NJH25" s="204"/>
      <c r="NJI25" s="204"/>
      <c r="NJJ25" s="204"/>
      <c r="NJK25" s="204"/>
      <c r="NJL25" s="204"/>
      <c r="NJM25" s="204"/>
      <c r="NJN25" s="204"/>
      <c r="NJO25" s="204"/>
      <c r="NJP25" s="204"/>
      <c r="NJQ25" s="204"/>
      <c r="NJR25" s="204"/>
      <c r="NJS25" s="204"/>
      <c r="NJT25" s="204"/>
      <c r="NJU25" s="204"/>
      <c r="NJV25" s="204"/>
      <c r="NJW25" s="204"/>
      <c r="NJX25" s="204"/>
      <c r="NJY25" s="204"/>
      <c r="NJZ25" s="204"/>
      <c r="NKA25" s="204"/>
      <c r="NKB25" s="204"/>
      <c r="NKC25" s="204"/>
      <c r="NKD25" s="204"/>
      <c r="NKE25" s="204"/>
      <c r="NKF25" s="204"/>
      <c r="NKG25" s="204"/>
      <c r="NKH25" s="204"/>
      <c r="NKI25" s="204"/>
      <c r="NKJ25" s="204"/>
      <c r="NKK25" s="204"/>
      <c r="NKL25" s="204"/>
      <c r="NKM25" s="204"/>
      <c r="NKN25" s="204"/>
      <c r="NKO25" s="204"/>
      <c r="NKP25" s="204"/>
      <c r="NKQ25" s="204"/>
      <c r="NKR25" s="204"/>
      <c r="NKS25" s="204"/>
      <c r="NKT25" s="204"/>
      <c r="NKU25" s="204"/>
      <c r="NKV25" s="204"/>
      <c r="NKW25" s="204"/>
      <c r="NKX25" s="204"/>
      <c r="NKY25" s="204"/>
      <c r="NKZ25" s="204"/>
      <c r="NLA25" s="204"/>
      <c r="NLB25" s="204"/>
      <c r="NLC25" s="204"/>
      <c r="NLD25" s="204"/>
      <c r="NLE25" s="204"/>
      <c r="NLF25" s="204"/>
      <c r="NLG25" s="204"/>
      <c r="NLH25" s="204"/>
      <c r="NLI25" s="204"/>
      <c r="NLJ25" s="204"/>
      <c r="NLK25" s="204"/>
      <c r="NLL25" s="204"/>
      <c r="NLM25" s="204"/>
      <c r="NLN25" s="204"/>
      <c r="NLO25" s="204"/>
      <c r="NLP25" s="204"/>
      <c r="NLQ25" s="204"/>
      <c r="NLR25" s="204"/>
      <c r="NLS25" s="204"/>
      <c r="NLT25" s="204"/>
      <c r="NLU25" s="204"/>
      <c r="NLV25" s="204"/>
      <c r="NLW25" s="204"/>
      <c r="NLX25" s="204"/>
      <c r="NLY25" s="204"/>
      <c r="NLZ25" s="204"/>
      <c r="NMA25" s="204"/>
      <c r="NMB25" s="204"/>
      <c r="NMC25" s="204"/>
      <c r="NMD25" s="204"/>
      <c r="NME25" s="204"/>
      <c r="NMF25" s="204"/>
      <c r="NMG25" s="204"/>
      <c r="NMH25" s="204"/>
      <c r="NMI25" s="204"/>
      <c r="NMJ25" s="204"/>
      <c r="NMK25" s="204"/>
      <c r="NML25" s="204"/>
      <c r="NMM25" s="204"/>
      <c r="NMN25" s="204"/>
      <c r="NMO25" s="204"/>
      <c r="NMP25" s="204"/>
      <c r="NMQ25" s="204"/>
      <c r="NMR25" s="204"/>
      <c r="NMS25" s="204"/>
      <c r="NMT25" s="204"/>
      <c r="NMU25" s="204"/>
      <c r="NMV25" s="204"/>
      <c r="NMW25" s="204"/>
      <c r="NMX25" s="204"/>
      <c r="NMY25" s="204"/>
      <c r="NMZ25" s="204"/>
      <c r="NNA25" s="204"/>
      <c r="NNB25" s="204"/>
      <c r="NNC25" s="204"/>
      <c r="NND25" s="204"/>
      <c r="NNE25" s="204"/>
      <c r="NNF25" s="204"/>
      <c r="NNG25" s="204"/>
      <c r="NNH25" s="204"/>
      <c r="NNI25" s="204"/>
      <c r="NNJ25" s="204"/>
      <c r="NNK25" s="204"/>
      <c r="NNL25" s="204"/>
      <c r="NNM25" s="204"/>
      <c r="NNN25" s="204"/>
      <c r="NNO25" s="204"/>
      <c r="NNP25" s="204"/>
      <c r="NNQ25" s="204"/>
      <c r="NNR25" s="204"/>
      <c r="NNS25" s="204"/>
      <c r="NNT25" s="204"/>
      <c r="NNU25" s="204"/>
      <c r="NNV25" s="204"/>
      <c r="NNW25" s="204"/>
      <c r="NNX25" s="204"/>
      <c r="NNY25" s="204"/>
      <c r="NNZ25" s="204"/>
      <c r="NOA25" s="204"/>
      <c r="NOB25" s="204"/>
      <c r="NOC25" s="204"/>
      <c r="NOD25" s="204"/>
      <c r="NOE25" s="204"/>
      <c r="NOF25" s="204"/>
      <c r="NOG25" s="204"/>
      <c r="NOH25" s="204"/>
      <c r="NOI25" s="204"/>
      <c r="NOJ25" s="204"/>
      <c r="NOK25" s="204"/>
      <c r="NOL25" s="204"/>
      <c r="NOM25" s="204"/>
      <c r="NON25" s="204"/>
      <c r="NOO25" s="204"/>
      <c r="NOP25" s="204"/>
      <c r="NOQ25" s="204"/>
      <c r="NOR25" s="204"/>
      <c r="NOS25" s="204"/>
      <c r="NOT25" s="204"/>
      <c r="NOU25" s="204"/>
      <c r="NOV25" s="204"/>
      <c r="NOW25" s="204"/>
      <c r="NOX25" s="204"/>
      <c r="NOY25" s="204"/>
      <c r="NOZ25" s="204"/>
      <c r="NPA25" s="204"/>
      <c r="NPB25" s="204"/>
      <c r="NPC25" s="204"/>
      <c r="NPD25" s="204"/>
      <c r="NPE25" s="204"/>
      <c r="NPF25" s="204"/>
      <c r="NPG25" s="204"/>
      <c r="NPH25" s="204"/>
      <c r="NPI25" s="204"/>
      <c r="NPJ25" s="204"/>
      <c r="NPK25" s="204"/>
      <c r="NPL25" s="204"/>
      <c r="NPM25" s="204"/>
      <c r="NPN25" s="204"/>
      <c r="NPO25" s="204"/>
      <c r="NPP25" s="204"/>
      <c r="NPQ25" s="204"/>
      <c r="NPR25" s="204"/>
      <c r="NPS25" s="204"/>
      <c r="NPT25" s="204"/>
      <c r="NPU25" s="204"/>
      <c r="NPV25" s="204"/>
      <c r="NPW25" s="204"/>
      <c r="NPX25" s="204"/>
      <c r="NPY25" s="204"/>
      <c r="NPZ25" s="204"/>
      <c r="NQA25" s="204"/>
      <c r="NQB25" s="204"/>
      <c r="NQC25" s="204"/>
      <c r="NQD25" s="204"/>
      <c r="NQE25" s="204"/>
      <c r="NQF25" s="204"/>
      <c r="NQG25" s="204"/>
      <c r="NQH25" s="204"/>
      <c r="NQI25" s="204"/>
      <c r="NQJ25" s="204"/>
      <c r="NQK25" s="204"/>
      <c r="NQL25" s="204"/>
      <c r="NQM25" s="204"/>
      <c r="NQN25" s="204"/>
      <c r="NQO25" s="204"/>
      <c r="NQP25" s="204"/>
      <c r="NQQ25" s="204"/>
      <c r="NQR25" s="204"/>
      <c r="NQS25" s="204"/>
      <c r="NQT25" s="204"/>
      <c r="NQU25" s="204"/>
      <c r="NQV25" s="204"/>
      <c r="NQW25" s="204"/>
      <c r="NQX25" s="204"/>
      <c r="NQY25" s="204"/>
      <c r="NQZ25" s="204"/>
      <c r="NRA25" s="204"/>
      <c r="NRB25" s="204"/>
      <c r="NRC25" s="204"/>
      <c r="NRD25" s="204"/>
      <c r="NRE25" s="204"/>
      <c r="NRF25" s="204"/>
      <c r="NRG25" s="204"/>
      <c r="NRH25" s="204"/>
      <c r="NRI25" s="204"/>
      <c r="NRJ25" s="204"/>
      <c r="NRK25" s="204"/>
      <c r="NRL25" s="204"/>
      <c r="NRM25" s="204"/>
      <c r="NRN25" s="204"/>
      <c r="NRO25" s="204"/>
      <c r="NRP25" s="204"/>
      <c r="NRQ25" s="204"/>
      <c r="NRR25" s="204"/>
      <c r="NRS25" s="204"/>
      <c r="NRT25" s="204"/>
      <c r="NRU25" s="204"/>
      <c r="NRV25" s="204"/>
      <c r="NRW25" s="204"/>
      <c r="NRX25" s="204"/>
      <c r="NRY25" s="204"/>
      <c r="NRZ25" s="204"/>
      <c r="NSA25" s="204"/>
      <c r="NSB25" s="204"/>
      <c r="NSC25" s="204"/>
      <c r="NSD25" s="204"/>
      <c r="NSE25" s="204"/>
      <c r="NSF25" s="204"/>
      <c r="NSG25" s="204"/>
      <c r="NSH25" s="204"/>
      <c r="NSI25" s="204"/>
      <c r="NSJ25" s="204"/>
      <c r="NSK25" s="204"/>
      <c r="NSL25" s="204"/>
      <c r="NSM25" s="204"/>
      <c r="NSN25" s="204"/>
      <c r="NSO25" s="204"/>
      <c r="NSP25" s="204"/>
      <c r="NSQ25" s="204"/>
      <c r="NSR25" s="204"/>
      <c r="NSS25" s="204"/>
      <c r="NST25" s="204"/>
      <c r="NSU25" s="204"/>
      <c r="NSV25" s="204"/>
      <c r="NSW25" s="204"/>
      <c r="NSX25" s="204"/>
      <c r="NSY25" s="204"/>
      <c r="NSZ25" s="204"/>
      <c r="NTA25" s="204"/>
      <c r="NTB25" s="204"/>
      <c r="NTC25" s="204"/>
      <c r="NTD25" s="204"/>
      <c r="NTE25" s="204"/>
      <c r="NTF25" s="204"/>
      <c r="NTG25" s="204"/>
      <c r="NTH25" s="204"/>
      <c r="NTI25" s="204"/>
      <c r="NTJ25" s="204"/>
      <c r="NTK25" s="204"/>
      <c r="NTL25" s="204"/>
      <c r="NTM25" s="204"/>
      <c r="NTN25" s="204"/>
      <c r="NTO25" s="204"/>
      <c r="NTP25" s="204"/>
      <c r="NTQ25" s="204"/>
      <c r="NTR25" s="204"/>
      <c r="NTS25" s="204"/>
      <c r="NTT25" s="204"/>
      <c r="NTU25" s="204"/>
      <c r="NTV25" s="204"/>
      <c r="NTW25" s="204"/>
      <c r="NTX25" s="204"/>
      <c r="NTY25" s="204"/>
      <c r="NTZ25" s="204"/>
      <c r="NUA25" s="204"/>
      <c r="NUB25" s="204"/>
      <c r="NUC25" s="204"/>
      <c r="NUD25" s="204"/>
      <c r="NUE25" s="204"/>
      <c r="NUF25" s="204"/>
      <c r="NUG25" s="204"/>
      <c r="NUH25" s="204"/>
      <c r="NUI25" s="204"/>
      <c r="NUJ25" s="204"/>
      <c r="NUK25" s="204"/>
      <c r="NUL25" s="204"/>
      <c r="NUM25" s="204"/>
      <c r="NUN25" s="204"/>
      <c r="NUO25" s="204"/>
      <c r="NUP25" s="204"/>
      <c r="NUQ25" s="204"/>
      <c r="NUR25" s="204"/>
      <c r="NUS25" s="204"/>
      <c r="NUT25" s="204"/>
      <c r="NUU25" s="204"/>
      <c r="NUV25" s="204"/>
      <c r="NUW25" s="204"/>
      <c r="NUX25" s="204"/>
      <c r="NUY25" s="204"/>
      <c r="NUZ25" s="204"/>
      <c r="NVA25" s="204"/>
      <c r="NVB25" s="204"/>
      <c r="NVC25" s="204"/>
      <c r="NVD25" s="204"/>
      <c r="NVE25" s="204"/>
      <c r="NVF25" s="204"/>
      <c r="NVG25" s="204"/>
      <c r="NVH25" s="204"/>
      <c r="NVI25" s="204"/>
      <c r="NVJ25" s="204"/>
      <c r="NVK25" s="204"/>
      <c r="NVL25" s="204"/>
      <c r="NVM25" s="204"/>
      <c r="NVN25" s="204"/>
      <c r="NVO25" s="204"/>
      <c r="NVP25" s="204"/>
      <c r="NVQ25" s="204"/>
      <c r="NVR25" s="204"/>
      <c r="NVS25" s="204"/>
      <c r="NVT25" s="204"/>
      <c r="NVU25" s="204"/>
      <c r="NVV25" s="204"/>
      <c r="NVW25" s="204"/>
      <c r="NVX25" s="204"/>
      <c r="NVY25" s="204"/>
      <c r="NVZ25" s="204"/>
      <c r="NWA25" s="204"/>
      <c r="NWB25" s="204"/>
      <c r="NWC25" s="204"/>
      <c r="NWD25" s="204"/>
      <c r="NWE25" s="204"/>
      <c r="NWF25" s="204"/>
      <c r="NWG25" s="204"/>
      <c r="NWH25" s="204"/>
      <c r="NWI25" s="204"/>
      <c r="NWJ25" s="204"/>
      <c r="NWK25" s="204"/>
      <c r="NWL25" s="204"/>
      <c r="NWM25" s="204"/>
      <c r="NWN25" s="204"/>
      <c r="NWO25" s="204"/>
      <c r="NWP25" s="204"/>
      <c r="NWQ25" s="204"/>
      <c r="NWR25" s="204"/>
      <c r="NWS25" s="204"/>
      <c r="NWT25" s="204"/>
      <c r="NWU25" s="204"/>
      <c r="NWV25" s="204"/>
      <c r="NWW25" s="204"/>
      <c r="NWX25" s="204"/>
      <c r="NWY25" s="204"/>
      <c r="NWZ25" s="204"/>
      <c r="NXA25" s="204"/>
      <c r="NXB25" s="204"/>
      <c r="NXC25" s="204"/>
      <c r="NXD25" s="204"/>
      <c r="NXE25" s="204"/>
      <c r="NXF25" s="204"/>
      <c r="NXG25" s="204"/>
      <c r="NXH25" s="204"/>
      <c r="NXI25" s="204"/>
      <c r="NXJ25" s="204"/>
      <c r="NXK25" s="204"/>
      <c r="NXL25" s="204"/>
      <c r="NXM25" s="204"/>
      <c r="NXN25" s="204"/>
      <c r="NXO25" s="204"/>
      <c r="NXP25" s="204"/>
      <c r="NXQ25" s="204"/>
      <c r="NXR25" s="204"/>
      <c r="NXS25" s="204"/>
      <c r="NXT25" s="204"/>
      <c r="NXU25" s="204"/>
      <c r="NXV25" s="204"/>
      <c r="NXW25" s="204"/>
      <c r="NXX25" s="204"/>
      <c r="NXY25" s="204"/>
      <c r="NXZ25" s="204"/>
      <c r="NYA25" s="204"/>
      <c r="NYB25" s="204"/>
      <c r="NYC25" s="204"/>
      <c r="NYD25" s="204"/>
      <c r="NYE25" s="204"/>
      <c r="NYF25" s="204"/>
      <c r="NYG25" s="204"/>
      <c r="NYH25" s="204"/>
      <c r="NYI25" s="204"/>
      <c r="NYJ25" s="204"/>
      <c r="NYK25" s="204"/>
      <c r="NYL25" s="204"/>
      <c r="NYM25" s="204"/>
      <c r="NYN25" s="204"/>
      <c r="NYO25" s="204"/>
      <c r="NYP25" s="204"/>
      <c r="NYQ25" s="204"/>
      <c r="NYR25" s="204"/>
      <c r="NYS25" s="204"/>
      <c r="NYT25" s="204"/>
      <c r="NYU25" s="204"/>
      <c r="NYV25" s="204"/>
      <c r="NYW25" s="204"/>
      <c r="NYX25" s="204"/>
      <c r="NYY25" s="204"/>
      <c r="NYZ25" s="204"/>
      <c r="NZA25" s="204"/>
      <c r="NZB25" s="204"/>
      <c r="NZC25" s="204"/>
      <c r="NZD25" s="204"/>
      <c r="NZE25" s="204"/>
      <c r="NZF25" s="204"/>
      <c r="NZG25" s="204"/>
      <c r="NZH25" s="204"/>
      <c r="NZI25" s="204"/>
      <c r="NZJ25" s="204"/>
      <c r="NZK25" s="204"/>
      <c r="NZL25" s="204"/>
      <c r="NZM25" s="204"/>
      <c r="NZN25" s="204"/>
      <c r="NZO25" s="204"/>
      <c r="NZP25" s="204"/>
      <c r="NZQ25" s="204"/>
      <c r="NZR25" s="204"/>
      <c r="NZS25" s="204"/>
      <c r="NZT25" s="204"/>
      <c r="NZU25" s="204"/>
      <c r="NZV25" s="204"/>
      <c r="NZW25" s="204"/>
      <c r="NZX25" s="204"/>
      <c r="NZY25" s="204"/>
      <c r="NZZ25" s="204"/>
      <c r="OAA25" s="204"/>
      <c r="OAB25" s="204"/>
      <c r="OAC25" s="204"/>
      <c r="OAD25" s="204"/>
      <c r="OAE25" s="204"/>
      <c r="OAF25" s="204"/>
      <c r="OAG25" s="204"/>
      <c r="OAH25" s="204"/>
      <c r="OAI25" s="204"/>
      <c r="OAJ25" s="204"/>
      <c r="OAK25" s="204"/>
      <c r="OAL25" s="204"/>
      <c r="OAM25" s="204"/>
      <c r="OAN25" s="204"/>
      <c r="OAO25" s="204"/>
      <c r="OAP25" s="204"/>
      <c r="OAQ25" s="204"/>
      <c r="OAR25" s="204"/>
      <c r="OAS25" s="204"/>
      <c r="OAT25" s="204"/>
      <c r="OAU25" s="204"/>
      <c r="OAV25" s="204"/>
      <c r="OAW25" s="204"/>
      <c r="OAX25" s="204"/>
      <c r="OAY25" s="204"/>
      <c r="OAZ25" s="204"/>
      <c r="OBA25" s="204"/>
      <c r="OBB25" s="204"/>
      <c r="OBC25" s="204"/>
      <c r="OBD25" s="204"/>
      <c r="OBE25" s="204"/>
      <c r="OBF25" s="204"/>
      <c r="OBG25" s="204"/>
      <c r="OBH25" s="204"/>
      <c r="OBI25" s="204"/>
      <c r="OBJ25" s="204"/>
      <c r="OBK25" s="204"/>
      <c r="OBL25" s="204"/>
      <c r="OBM25" s="204"/>
      <c r="OBN25" s="204"/>
      <c r="OBO25" s="204"/>
      <c r="OBP25" s="204"/>
      <c r="OBQ25" s="204"/>
      <c r="OBR25" s="204"/>
      <c r="OBS25" s="204"/>
      <c r="OBT25" s="204"/>
      <c r="OBU25" s="204"/>
      <c r="OBV25" s="204"/>
      <c r="OBW25" s="204"/>
      <c r="OBX25" s="204"/>
      <c r="OBY25" s="204"/>
      <c r="OBZ25" s="204"/>
      <c r="OCA25" s="204"/>
      <c r="OCB25" s="204"/>
      <c r="OCC25" s="204"/>
      <c r="OCD25" s="204"/>
      <c r="OCE25" s="204"/>
      <c r="OCF25" s="204"/>
      <c r="OCG25" s="204"/>
      <c r="OCH25" s="204"/>
      <c r="OCI25" s="204"/>
      <c r="OCJ25" s="204"/>
      <c r="OCK25" s="204"/>
      <c r="OCL25" s="204"/>
      <c r="OCM25" s="204"/>
      <c r="OCN25" s="204"/>
      <c r="OCO25" s="204"/>
      <c r="OCP25" s="204"/>
      <c r="OCQ25" s="204"/>
      <c r="OCR25" s="204"/>
      <c r="OCS25" s="204"/>
      <c r="OCT25" s="204"/>
      <c r="OCU25" s="204"/>
      <c r="OCV25" s="204"/>
      <c r="OCW25" s="204"/>
      <c r="OCX25" s="204"/>
      <c r="OCY25" s="204"/>
      <c r="OCZ25" s="204"/>
      <c r="ODA25" s="204"/>
      <c r="ODB25" s="204"/>
      <c r="ODC25" s="204"/>
      <c r="ODD25" s="204"/>
      <c r="ODE25" s="204"/>
      <c r="ODF25" s="204"/>
      <c r="ODG25" s="204"/>
      <c r="ODH25" s="204"/>
      <c r="ODI25" s="204"/>
      <c r="ODJ25" s="204"/>
      <c r="ODK25" s="204"/>
      <c r="ODL25" s="204"/>
      <c r="ODM25" s="204"/>
      <c r="ODN25" s="204"/>
      <c r="ODO25" s="204"/>
      <c r="ODP25" s="204"/>
      <c r="ODQ25" s="204"/>
      <c r="ODR25" s="204"/>
      <c r="ODS25" s="204"/>
      <c r="ODT25" s="204"/>
      <c r="ODU25" s="204"/>
      <c r="ODV25" s="204"/>
      <c r="ODW25" s="204"/>
      <c r="ODX25" s="204"/>
      <c r="ODY25" s="204"/>
      <c r="ODZ25" s="204"/>
      <c r="OEA25" s="204"/>
      <c r="OEB25" s="204"/>
      <c r="OEC25" s="204"/>
      <c r="OED25" s="204"/>
      <c r="OEE25" s="204"/>
      <c r="OEF25" s="204"/>
      <c r="OEG25" s="204"/>
      <c r="OEH25" s="204"/>
      <c r="OEI25" s="204"/>
      <c r="OEJ25" s="204"/>
      <c r="OEK25" s="204"/>
      <c r="OEL25" s="204"/>
      <c r="OEM25" s="204"/>
      <c r="OEN25" s="204"/>
      <c r="OEO25" s="204"/>
      <c r="OEP25" s="204"/>
      <c r="OEQ25" s="204"/>
      <c r="OER25" s="204"/>
      <c r="OES25" s="204"/>
      <c r="OET25" s="204"/>
      <c r="OEU25" s="204"/>
      <c r="OEV25" s="204"/>
      <c r="OEW25" s="204"/>
      <c r="OEX25" s="204"/>
      <c r="OEY25" s="204"/>
      <c r="OEZ25" s="204"/>
      <c r="OFA25" s="204"/>
      <c r="OFB25" s="204"/>
      <c r="OFC25" s="204"/>
      <c r="OFD25" s="204"/>
      <c r="OFE25" s="204"/>
      <c r="OFF25" s="204"/>
      <c r="OFG25" s="204"/>
      <c r="OFH25" s="204"/>
      <c r="OFI25" s="204"/>
      <c r="OFJ25" s="204"/>
      <c r="OFK25" s="204"/>
      <c r="OFL25" s="204"/>
      <c r="OFM25" s="204"/>
      <c r="OFN25" s="204"/>
      <c r="OFO25" s="204"/>
      <c r="OFP25" s="204"/>
      <c r="OFQ25" s="204"/>
      <c r="OFR25" s="204"/>
      <c r="OFS25" s="204"/>
      <c r="OFT25" s="204"/>
      <c r="OFU25" s="204"/>
      <c r="OFV25" s="204"/>
      <c r="OFW25" s="204"/>
      <c r="OFX25" s="204"/>
      <c r="OFY25" s="204"/>
      <c r="OFZ25" s="204"/>
      <c r="OGA25" s="204"/>
      <c r="OGB25" s="204"/>
      <c r="OGC25" s="204"/>
      <c r="OGD25" s="204"/>
      <c r="OGE25" s="204"/>
      <c r="OGF25" s="204"/>
      <c r="OGG25" s="204"/>
      <c r="OGH25" s="204"/>
      <c r="OGI25" s="204"/>
      <c r="OGJ25" s="204"/>
      <c r="OGK25" s="204"/>
      <c r="OGL25" s="204"/>
      <c r="OGM25" s="204"/>
      <c r="OGN25" s="204"/>
      <c r="OGO25" s="204"/>
      <c r="OGP25" s="204"/>
      <c r="OGQ25" s="204"/>
      <c r="OGR25" s="204"/>
      <c r="OGS25" s="204"/>
      <c r="OGT25" s="204"/>
      <c r="OGU25" s="204"/>
      <c r="OGV25" s="204"/>
      <c r="OGW25" s="204"/>
      <c r="OGX25" s="204"/>
      <c r="OGY25" s="204"/>
      <c r="OGZ25" s="204"/>
      <c r="OHA25" s="204"/>
      <c r="OHB25" s="204"/>
      <c r="OHC25" s="204"/>
      <c r="OHD25" s="204"/>
      <c r="OHE25" s="204"/>
      <c r="OHF25" s="204"/>
      <c r="OHG25" s="204"/>
      <c r="OHH25" s="204"/>
      <c r="OHI25" s="204"/>
      <c r="OHJ25" s="204"/>
      <c r="OHK25" s="204"/>
      <c r="OHL25" s="204"/>
      <c r="OHM25" s="204"/>
      <c r="OHN25" s="204"/>
      <c r="OHO25" s="204"/>
      <c r="OHP25" s="204"/>
      <c r="OHQ25" s="204"/>
      <c r="OHR25" s="204"/>
      <c r="OHS25" s="204"/>
      <c r="OHT25" s="204"/>
      <c r="OHU25" s="204"/>
      <c r="OHV25" s="204"/>
      <c r="OHW25" s="204"/>
      <c r="OHX25" s="204"/>
      <c r="OHY25" s="204"/>
      <c r="OHZ25" s="204"/>
      <c r="OIA25" s="204"/>
      <c r="OIB25" s="204"/>
      <c r="OIC25" s="204"/>
      <c r="OID25" s="204"/>
      <c r="OIE25" s="204"/>
      <c r="OIF25" s="204"/>
      <c r="OIG25" s="204"/>
      <c r="OIH25" s="204"/>
      <c r="OII25" s="204"/>
      <c r="OIJ25" s="204"/>
      <c r="OIK25" s="204"/>
      <c r="OIL25" s="204"/>
      <c r="OIM25" s="204"/>
      <c r="OIN25" s="204"/>
      <c r="OIO25" s="204"/>
      <c r="OIP25" s="204"/>
      <c r="OIQ25" s="204"/>
      <c r="OIR25" s="204"/>
      <c r="OIS25" s="204"/>
      <c r="OIT25" s="204"/>
      <c r="OIU25" s="204"/>
      <c r="OIV25" s="204"/>
      <c r="OIW25" s="204"/>
      <c r="OIX25" s="204"/>
      <c r="OIY25" s="204"/>
      <c r="OIZ25" s="204"/>
      <c r="OJA25" s="204"/>
      <c r="OJB25" s="204"/>
      <c r="OJC25" s="204"/>
      <c r="OJD25" s="204"/>
      <c r="OJE25" s="204"/>
      <c r="OJF25" s="204"/>
      <c r="OJG25" s="204"/>
      <c r="OJH25" s="204"/>
      <c r="OJI25" s="204"/>
      <c r="OJJ25" s="204"/>
      <c r="OJK25" s="204"/>
      <c r="OJL25" s="204"/>
      <c r="OJM25" s="204"/>
      <c r="OJN25" s="204"/>
      <c r="OJO25" s="204"/>
      <c r="OJP25" s="204"/>
      <c r="OJQ25" s="204"/>
      <c r="OJR25" s="204"/>
      <c r="OJS25" s="204"/>
      <c r="OJT25" s="204"/>
      <c r="OJU25" s="204"/>
      <c r="OJV25" s="204"/>
      <c r="OJW25" s="204"/>
      <c r="OJX25" s="204"/>
      <c r="OJY25" s="204"/>
      <c r="OJZ25" s="204"/>
      <c r="OKA25" s="204"/>
      <c r="OKB25" s="204"/>
      <c r="OKC25" s="204"/>
      <c r="OKD25" s="204"/>
      <c r="OKE25" s="204"/>
      <c r="OKF25" s="204"/>
      <c r="OKG25" s="204"/>
      <c r="OKH25" s="204"/>
      <c r="OKI25" s="204"/>
      <c r="OKJ25" s="204"/>
      <c r="OKK25" s="204"/>
      <c r="OKL25" s="204"/>
      <c r="OKM25" s="204"/>
      <c r="OKN25" s="204"/>
      <c r="OKO25" s="204"/>
      <c r="OKP25" s="204"/>
      <c r="OKQ25" s="204"/>
      <c r="OKR25" s="204"/>
      <c r="OKS25" s="204"/>
      <c r="OKT25" s="204"/>
      <c r="OKU25" s="204"/>
      <c r="OKV25" s="204"/>
      <c r="OKW25" s="204"/>
      <c r="OKX25" s="204"/>
      <c r="OKY25" s="204"/>
      <c r="OKZ25" s="204"/>
      <c r="OLA25" s="204"/>
      <c r="OLB25" s="204"/>
      <c r="OLC25" s="204"/>
      <c r="OLD25" s="204"/>
      <c r="OLE25" s="204"/>
      <c r="OLF25" s="204"/>
      <c r="OLG25" s="204"/>
      <c r="OLH25" s="204"/>
      <c r="OLI25" s="204"/>
      <c r="OLJ25" s="204"/>
      <c r="OLK25" s="204"/>
      <c r="OLL25" s="204"/>
      <c r="OLM25" s="204"/>
      <c r="OLN25" s="204"/>
      <c r="OLO25" s="204"/>
      <c r="OLP25" s="204"/>
      <c r="OLQ25" s="204"/>
      <c r="OLR25" s="204"/>
      <c r="OLS25" s="204"/>
      <c r="OLT25" s="204"/>
      <c r="OLU25" s="204"/>
      <c r="OLV25" s="204"/>
      <c r="OLW25" s="204"/>
      <c r="OLX25" s="204"/>
      <c r="OLY25" s="204"/>
      <c r="OLZ25" s="204"/>
      <c r="OMA25" s="204"/>
      <c r="OMB25" s="204"/>
      <c r="OMC25" s="204"/>
      <c r="OMD25" s="204"/>
      <c r="OME25" s="204"/>
      <c r="OMF25" s="204"/>
      <c r="OMG25" s="204"/>
      <c r="OMH25" s="204"/>
      <c r="OMI25" s="204"/>
      <c r="OMJ25" s="204"/>
      <c r="OMK25" s="204"/>
      <c r="OML25" s="204"/>
      <c r="OMM25" s="204"/>
      <c r="OMN25" s="204"/>
      <c r="OMO25" s="204"/>
      <c r="OMP25" s="204"/>
      <c r="OMQ25" s="204"/>
      <c r="OMR25" s="204"/>
      <c r="OMS25" s="204"/>
      <c r="OMT25" s="204"/>
      <c r="OMU25" s="204"/>
      <c r="OMV25" s="204"/>
      <c r="OMW25" s="204"/>
      <c r="OMX25" s="204"/>
      <c r="OMY25" s="204"/>
      <c r="OMZ25" s="204"/>
      <c r="ONA25" s="204"/>
      <c r="ONB25" s="204"/>
      <c r="ONC25" s="204"/>
      <c r="OND25" s="204"/>
      <c r="ONE25" s="204"/>
      <c r="ONF25" s="204"/>
      <c r="ONG25" s="204"/>
      <c r="ONH25" s="204"/>
      <c r="ONI25" s="204"/>
      <c r="ONJ25" s="204"/>
      <c r="ONK25" s="204"/>
      <c r="ONL25" s="204"/>
      <c r="ONM25" s="204"/>
      <c r="ONN25" s="204"/>
      <c r="ONO25" s="204"/>
      <c r="ONP25" s="204"/>
      <c r="ONQ25" s="204"/>
      <c r="ONR25" s="204"/>
      <c r="ONS25" s="204"/>
      <c r="ONT25" s="204"/>
      <c r="ONU25" s="204"/>
      <c r="ONV25" s="204"/>
      <c r="ONW25" s="204"/>
      <c r="ONX25" s="204"/>
      <c r="ONY25" s="204"/>
      <c r="ONZ25" s="204"/>
      <c r="OOA25" s="204"/>
      <c r="OOB25" s="204"/>
      <c r="OOC25" s="204"/>
      <c r="OOD25" s="204"/>
      <c r="OOE25" s="204"/>
      <c r="OOF25" s="204"/>
      <c r="OOG25" s="204"/>
      <c r="OOH25" s="204"/>
      <c r="OOI25" s="204"/>
      <c r="OOJ25" s="204"/>
      <c r="OOK25" s="204"/>
      <c r="OOL25" s="204"/>
      <c r="OOM25" s="204"/>
      <c r="OON25" s="204"/>
      <c r="OOO25" s="204"/>
      <c r="OOP25" s="204"/>
      <c r="OOQ25" s="204"/>
      <c r="OOR25" s="204"/>
      <c r="OOS25" s="204"/>
      <c r="OOT25" s="204"/>
      <c r="OOU25" s="204"/>
      <c r="OOV25" s="204"/>
      <c r="OOW25" s="204"/>
      <c r="OOX25" s="204"/>
      <c r="OOY25" s="204"/>
      <c r="OOZ25" s="204"/>
      <c r="OPA25" s="204"/>
      <c r="OPB25" s="204"/>
      <c r="OPC25" s="204"/>
      <c r="OPD25" s="204"/>
      <c r="OPE25" s="204"/>
      <c r="OPF25" s="204"/>
      <c r="OPG25" s="204"/>
      <c r="OPH25" s="204"/>
      <c r="OPI25" s="204"/>
      <c r="OPJ25" s="204"/>
      <c r="OPK25" s="204"/>
      <c r="OPL25" s="204"/>
      <c r="OPM25" s="204"/>
      <c r="OPN25" s="204"/>
      <c r="OPO25" s="204"/>
      <c r="OPP25" s="204"/>
      <c r="OPQ25" s="204"/>
      <c r="OPR25" s="204"/>
      <c r="OPS25" s="204"/>
      <c r="OPT25" s="204"/>
      <c r="OPU25" s="204"/>
      <c r="OPV25" s="204"/>
      <c r="OPW25" s="204"/>
      <c r="OPX25" s="204"/>
      <c r="OPY25" s="204"/>
      <c r="OPZ25" s="204"/>
      <c r="OQA25" s="204"/>
      <c r="OQB25" s="204"/>
      <c r="OQC25" s="204"/>
      <c r="OQD25" s="204"/>
      <c r="OQE25" s="204"/>
      <c r="OQF25" s="204"/>
      <c r="OQG25" s="204"/>
      <c r="OQH25" s="204"/>
      <c r="OQI25" s="204"/>
      <c r="OQJ25" s="204"/>
      <c r="OQK25" s="204"/>
      <c r="OQL25" s="204"/>
      <c r="OQM25" s="204"/>
      <c r="OQN25" s="204"/>
      <c r="OQO25" s="204"/>
      <c r="OQP25" s="204"/>
      <c r="OQQ25" s="204"/>
      <c r="OQR25" s="204"/>
      <c r="OQS25" s="204"/>
      <c r="OQT25" s="204"/>
      <c r="OQU25" s="204"/>
      <c r="OQV25" s="204"/>
      <c r="OQW25" s="204"/>
      <c r="OQX25" s="204"/>
      <c r="OQY25" s="204"/>
      <c r="OQZ25" s="204"/>
      <c r="ORA25" s="204"/>
      <c r="ORB25" s="204"/>
      <c r="ORC25" s="204"/>
      <c r="ORD25" s="204"/>
      <c r="ORE25" s="204"/>
      <c r="ORF25" s="204"/>
      <c r="ORG25" s="204"/>
      <c r="ORH25" s="204"/>
      <c r="ORI25" s="204"/>
      <c r="ORJ25" s="204"/>
      <c r="ORK25" s="204"/>
      <c r="ORL25" s="204"/>
      <c r="ORM25" s="204"/>
      <c r="ORN25" s="204"/>
      <c r="ORO25" s="204"/>
      <c r="ORP25" s="204"/>
      <c r="ORQ25" s="204"/>
      <c r="ORR25" s="204"/>
      <c r="ORS25" s="204"/>
      <c r="ORT25" s="204"/>
      <c r="ORU25" s="204"/>
      <c r="ORV25" s="204"/>
      <c r="ORW25" s="204"/>
      <c r="ORX25" s="204"/>
      <c r="ORY25" s="204"/>
      <c r="ORZ25" s="204"/>
      <c r="OSA25" s="204"/>
      <c r="OSB25" s="204"/>
      <c r="OSC25" s="204"/>
      <c r="OSD25" s="204"/>
      <c r="OSE25" s="204"/>
      <c r="OSF25" s="204"/>
      <c r="OSG25" s="204"/>
      <c r="OSH25" s="204"/>
      <c r="OSI25" s="204"/>
      <c r="OSJ25" s="204"/>
      <c r="OSK25" s="204"/>
      <c r="OSL25" s="204"/>
      <c r="OSM25" s="204"/>
      <c r="OSN25" s="204"/>
      <c r="OSO25" s="204"/>
      <c r="OSP25" s="204"/>
      <c r="OSQ25" s="204"/>
      <c r="OSR25" s="204"/>
      <c r="OSS25" s="204"/>
      <c r="OST25" s="204"/>
      <c r="OSU25" s="204"/>
      <c r="OSV25" s="204"/>
      <c r="OSW25" s="204"/>
      <c r="OSX25" s="204"/>
      <c r="OSY25" s="204"/>
      <c r="OSZ25" s="204"/>
      <c r="OTA25" s="204"/>
      <c r="OTB25" s="204"/>
      <c r="OTC25" s="204"/>
      <c r="OTD25" s="204"/>
      <c r="OTE25" s="204"/>
      <c r="OTF25" s="204"/>
      <c r="OTG25" s="204"/>
      <c r="OTH25" s="204"/>
      <c r="OTI25" s="204"/>
      <c r="OTJ25" s="204"/>
      <c r="OTK25" s="204"/>
      <c r="OTL25" s="204"/>
      <c r="OTM25" s="204"/>
      <c r="OTN25" s="204"/>
      <c r="OTO25" s="204"/>
      <c r="OTP25" s="204"/>
      <c r="OTQ25" s="204"/>
      <c r="OTR25" s="204"/>
      <c r="OTS25" s="204"/>
      <c r="OTT25" s="204"/>
      <c r="OTU25" s="204"/>
      <c r="OTV25" s="204"/>
      <c r="OTW25" s="204"/>
      <c r="OTX25" s="204"/>
      <c r="OTY25" s="204"/>
      <c r="OTZ25" s="204"/>
      <c r="OUA25" s="204"/>
      <c r="OUB25" s="204"/>
      <c r="OUC25" s="204"/>
      <c r="OUD25" s="204"/>
      <c r="OUE25" s="204"/>
      <c r="OUF25" s="204"/>
      <c r="OUG25" s="204"/>
      <c r="OUH25" s="204"/>
      <c r="OUI25" s="204"/>
      <c r="OUJ25" s="204"/>
      <c r="OUK25" s="204"/>
      <c r="OUL25" s="204"/>
      <c r="OUM25" s="204"/>
      <c r="OUN25" s="204"/>
      <c r="OUO25" s="204"/>
      <c r="OUP25" s="204"/>
      <c r="OUQ25" s="204"/>
      <c r="OUR25" s="204"/>
      <c r="OUS25" s="204"/>
      <c r="OUT25" s="204"/>
      <c r="OUU25" s="204"/>
      <c r="OUV25" s="204"/>
      <c r="OUW25" s="204"/>
      <c r="OUX25" s="204"/>
      <c r="OUY25" s="204"/>
      <c r="OUZ25" s="204"/>
      <c r="OVA25" s="204"/>
      <c r="OVB25" s="204"/>
      <c r="OVC25" s="204"/>
      <c r="OVD25" s="204"/>
      <c r="OVE25" s="204"/>
      <c r="OVF25" s="204"/>
      <c r="OVG25" s="204"/>
      <c r="OVH25" s="204"/>
      <c r="OVI25" s="204"/>
      <c r="OVJ25" s="204"/>
      <c r="OVK25" s="204"/>
      <c r="OVL25" s="204"/>
      <c r="OVM25" s="204"/>
      <c r="OVN25" s="204"/>
      <c r="OVO25" s="204"/>
      <c r="OVP25" s="204"/>
      <c r="OVQ25" s="204"/>
      <c r="OVR25" s="204"/>
      <c r="OVS25" s="204"/>
      <c r="OVT25" s="204"/>
      <c r="OVU25" s="204"/>
      <c r="OVV25" s="204"/>
      <c r="OVW25" s="204"/>
      <c r="OVX25" s="204"/>
      <c r="OVY25" s="204"/>
      <c r="OVZ25" s="204"/>
      <c r="OWA25" s="204"/>
      <c r="OWB25" s="204"/>
      <c r="OWC25" s="204"/>
      <c r="OWD25" s="204"/>
      <c r="OWE25" s="204"/>
      <c r="OWF25" s="204"/>
      <c r="OWG25" s="204"/>
      <c r="OWH25" s="204"/>
      <c r="OWI25" s="204"/>
      <c r="OWJ25" s="204"/>
      <c r="OWK25" s="204"/>
      <c r="OWL25" s="204"/>
      <c r="OWM25" s="204"/>
      <c r="OWN25" s="204"/>
      <c r="OWO25" s="204"/>
      <c r="OWP25" s="204"/>
      <c r="OWQ25" s="204"/>
      <c r="OWR25" s="204"/>
      <c r="OWS25" s="204"/>
      <c r="OWT25" s="204"/>
      <c r="OWU25" s="204"/>
      <c r="OWV25" s="204"/>
      <c r="OWW25" s="204"/>
      <c r="OWX25" s="204"/>
      <c r="OWY25" s="204"/>
      <c r="OWZ25" s="204"/>
      <c r="OXA25" s="204"/>
      <c r="OXB25" s="204"/>
      <c r="OXC25" s="204"/>
      <c r="OXD25" s="204"/>
      <c r="OXE25" s="204"/>
      <c r="OXF25" s="204"/>
      <c r="OXG25" s="204"/>
      <c r="OXH25" s="204"/>
      <c r="OXI25" s="204"/>
      <c r="OXJ25" s="204"/>
      <c r="OXK25" s="204"/>
      <c r="OXL25" s="204"/>
      <c r="OXM25" s="204"/>
      <c r="OXN25" s="204"/>
      <c r="OXO25" s="204"/>
      <c r="OXP25" s="204"/>
      <c r="OXQ25" s="204"/>
      <c r="OXR25" s="204"/>
      <c r="OXS25" s="204"/>
      <c r="OXT25" s="204"/>
      <c r="OXU25" s="204"/>
      <c r="OXV25" s="204"/>
      <c r="OXW25" s="204"/>
      <c r="OXX25" s="204"/>
      <c r="OXY25" s="204"/>
      <c r="OXZ25" s="204"/>
      <c r="OYA25" s="204"/>
      <c r="OYB25" s="204"/>
      <c r="OYC25" s="204"/>
      <c r="OYD25" s="204"/>
      <c r="OYE25" s="204"/>
      <c r="OYF25" s="204"/>
      <c r="OYG25" s="204"/>
      <c r="OYH25" s="204"/>
      <c r="OYI25" s="204"/>
      <c r="OYJ25" s="204"/>
      <c r="OYK25" s="204"/>
      <c r="OYL25" s="204"/>
      <c r="OYM25" s="204"/>
      <c r="OYN25" s="204"/>
      <c r="OYO25" s="204"/>
      <c r="OYP25" s="204"/>
      <c r="OYQ25" s="204"/>
      <c r="OYR25" s="204"/>
      <c r="OYS25" s="204"/>
      <c r="OYT25" s="204"/>
      <c r="OYU25" s="204"/>
      <c r="OYV25" s="204"/>
      <c r="OYW25" s="204"/>
      <c r="OYX25" s="204"/>
      <c r="OYY25" s="204"/>
      <c r="OYZ25" s="204"/>
      <c r="OZA25" s="204"/>
      <c r="OZB25" s="204"/>
      <c r="OZC25" s="204"/>
      <c r="OZD25" s="204"/>
      <c r="OZE25" s="204"/>
      <c r="OZF25" s="204"/>
      <c r="OZG25" s="204"/>
      <c r="OZH25" s="204"/>
      <c r="OZI25" s="204"/>
      <c r="OZJ25" s="204"/>
      <c r="OZK25" s="204"/>
      <c r="OZL25" s="204"/>
      <c r="OZM25" s="204"/>
      <c r="OZN25" s="204"/>
      <c r="OZO25" s="204"/>
      <c r="OZP25" s="204"/>
      <c r="OZQ25" s="204"/>
      <c r="OZR25" s="204"/>
      <c r="OZS25" s="204"/>
      <c r="OZT25" s="204"/>
      <c r="OZU25" s="204"/>
      <c r="OZV25" s="204"/>
      <c r="OZW25" s="204"/>
      <c r="OZX25" s="204"/>
      <c r="OZY25" s="204"/>
      <c r="OZZ25" s="204"/>
      <c r="PAA25" s="204"/>
      <c r="PAB25" s="204"/>
      <c r="PAC25" s="204"/>
      <c r="PAD25" s="204"/>
      <c r="PAE25" s="204"/>
      <c r="PAF25" s="204"/>
      <c r="PAG25" s="204"/>
      <c r="PAH25" s="204"/>
      <c r="PAI25" s="204"/>
      <c r="PAJ25" s="204"/>
      <c r="PAK25" s="204"/>
      <c r="PAL25" s="204"/>
      <c r="PAM25" s="204"/>
      <c r="PAN25" s="204"/>
      <c r="PAO25" s="204"/>
      <c r="PAP25" s="204"/>
      <c r="PAQ25" s="204"/>
      <c r="PAR25" s="204"/>
      <c r="PAS25" s="204"/>
      <c r="PAT25" s="204"/>
      <c r="PAU25" s="204"/>
      <c r="PAV25" s="204"/>
      <c r="PAW25" s="204"/>
      <c r="PAX25" s="204"/>
      <c r="PAY25" s="204"/>
      <c r="PAZ25" s="204"/>
      <c r="PBA25" s="204"/>
      <c r="PBB25" s="204"/>
      <c r="PBC25" s="204"/>
      <c r="PBD25" s="204"/>
      <c r="PBE25" s="204"/>
      <c r="PBF25" s="204"/>
      <c r="PBG25" s="204"/>
      <c r="PBH25" s="204"/>
      <c r="PBI25" s="204"/>
      <c r="PBJ25" s="204"/>
      <c r="PBK25" s="204"/>
      <c r="PBL25" s="204"/>
      <c r="PBM25" s="204"/>
      <c r="PBN25" s="204"/>
      <c r="PBO25" s="204"/>
      <c r="PBP25" s="204"/>
      <c r="PBQ25" s="204"/>
      <c r="PBR25" s="204"/>
      <c r="PBS25" s="204"/>
      <c r="PBT25" s="204"/>
      <c r="PBU25" s="204"/>
      <c r="PBV25" s="204"/>
      <c r="PBW25" s="204"/>
      <c r="PBX25" s="204"/>
      <c r="PBY25" s="204"/>
      <c r="PBZ25" s="204"/>
      <c r="PCA25" s="204"/>
      <c r="PCB25" s="204"/>
      <c r="PCC25" s="204"/>
      <c r="PCD25" s="204"/>
      <c r="PCE25" s="204"/>
      <c r="PCF25" s="204"/>
      <c r="PCG25" s="204"/>
      <c r="PCH25" s="204"/>
      <c r="PCI25" s="204"/>
      <c r="PCJ25" s="204"/>
      <c r="PCK25" s="204"/>
      <c r="PCL25" s="204"/>
      <c r="PCM25" s="204"/>
      <c r="PCN25" s="204"/>
      <c r="PCO25" s="204"/>
      <c r="PCP25" s="204"/>
      <c r="PCQ25" s="204"/>
      <c r="PCR25" s="204"/>
      <c r="PCS25" s="204"/>
      <c r="PCT25" s="204"/>
      <c r="PCU25" s="204"/>
      <c r="PCV25" s="204"/>
      <c r="PCW25" s="204"/>
      <c r="PCX25" s="204"/>
      <c r="PCY25" s="204"/>
      <c r="PCZ25" s="204"/>
      <c r="PDA25" s="204"/>
      <c r="PDB25" s="204"/>
      <c r="PDC25" s="204"/>
      <c r="PDD25" s="204"/>
      <c r="PDE25" s="204"/>
      <c r="PDF25" s="204"/>
      <c r="PDG25" s="204"/>
      <c r="PDH25" s="204"/>
      <c r="PDI25" s="204"/>
      <c r="PDJ25" s="204"/>
      <c r="PDK25" s="204"/>
      <c r="PDL25" s="204"/>
      <c r="PDM25" s="204"/>
      <c r="PDN25" s="204"/>
      <c r="PDO25" s="204"/>
      <c r="PDP25" s="204"/>
      <c r="PDQ25" s="204"/>
      <c r="PDR25" s="204"/>
      <c r="PDS25" s="204"/>
      <c r="PDT25" s="204"/>
      <c r="PDU25" s="204"/>
      <c r="PDV25" s="204"/>
      <c r="PDW25" s="204"/>
      <c r="PDX25" s="204"/>
      <c r="PDY25" s="204"/>
      <c r="PDZ25" s="204"/>
      <c r="PEA25" s="204"/>
      <c r="PEB25" s="204"/>
      <c r="PEC25" s="204"/>
      <c r="PED25" s="204"/>
      <c r="PEE25" s="204"/>
      <c r="PEF25" s="204"/>
      <c r="PEG25" s="204"/>
      <c r="PEH25" s="204"/>
      <c r="PEI25" s="204"/>
      <c r="PEJ25" s="204"/>
      <c r="PEK25" s="204"/>
      <c r="PEL25" s="204"/>
      <c r="PEM25" s="204"/>
      <c r="PEN25" s="204"/>
      <c r="PEO25" s="204"/>
      <c r="PEP25" s="204"/>
      <c r="PEQ25" s="204"/>
      <c r="PER25" s="204"/>
      <c r="PES25" s="204"/>
      <c r="PET25" s="204"/>
      <c r="PEU25" s="204"/>
      <c r="PEV25" s="204"/>
      <c r="PEW25" s="204"/>
      <c r="PEX25" s="204"/>
      <c r="PEY25" s="204"/>
      <c r="PEZ25" s="204"/>
      <c r="PFA25" s="204"/>
      <c r="PFB25" s="204"/>
      <c r="PFC25" s="204"/>
      <c r="PFD25" s="204"/>
      <c r="PFE25" s="204"/>
      <c r="PFF25" s="204"/>
      <c r="PFG25" s="204"/>
      <c r="PFH25" s="204"/>
      <c r="PFI25" s="204"/>
      <c r="PFJ25" s="204"/>
      <c r="PFK25" s="204"/>
      <c r="PFL25" s="204"/>
      <c r="PFM25" s="204"/>
      <c r="PFN25" s="204"/>
      <c r="PFO25" s="204"/>
      <c r="PFP25" s="204"/>
      <c r="PFQ25" s="204"/>
      <c r="PFR25" s="204"/>
      <c r="PFS25" s="204"/>
      <c r="PFT25" s="204"/>
      <c r="PFU25" s="204"/>
      <c r="PFV25" s="204"/>
      <c r="PFW25" s="204"/>
      <c r="PFX25" s="204"/>
      <c r="PFY25" s="204"/>
      <c r="PFZ25" s="204"/>
      <c r="PGA25" s="204"/>
      <c r="PGB25" s="204"/>
      <c r="PGC25" s="204"/>
      <c r="PGD25" s="204"/>
      <c r="PGE25" s="204"/>
      <c r="PGF25" s="204"/>
      <c r="PGG25" s="204"/>
      <c r="PGH25" s="204"/>
      <c r="PGI25" s="204"/>
      <c r="PGJ25" s="204"/>
      <c r="PGK25" s="204"/>
      <c r="PGL25" s="204"/>
      <c r="PGM25" s="204"/>
      <c r="PGN25" s="204"/>
      <c r="PGO25" s="204"/>
      <c r="PGP25" s="204"/>
      <c r="PGQ25" s="204"/>
      <c r="PGR25" s="204"/>
      <c r="PGS25" s="204"/>
      <c r="PGT25" s="204"/>
      <c r="PGU25" s="204"/>
      <c r="PGV25" s="204"/>
      <c r="PGW25" s="204"/>
      <c r="PGX25" s="204"/>
      <c r="PGY25" s="204"/>
      <c r="PGZ25" s="204"/>
      <c r="PHA25" s="204"/>
      <c r="PHB25" s="204"/>
      <c r="PHC25" s="204"/>
      <c r="PHD25" s="204"/>
      <c r="PHE25" s="204"/>
      <c r="PHF25" s="204"/>
      <c r="PHG25" s="204"/>
      <c r="PHH25" s="204"/>
      <c r="PHI25" s="204"/>
      <c r="PHJ25" s="204"/>
      <c r="PHK25" s="204"/>
      <c r="PHL25" s="204"/>
      <c r="PHM25" s="204"/>
      <c r="PHN25" s="204"/>
      <c r="PHO25" s="204"/>
      <c r="PHP25" s="204"/>
      <c r="PHQ25" s="204"/>
      <c r="PHR25" s="204"/>
      <c r="PHS25" s="204"/>
      <c r="PHT25" s="204"/>
      <c r="PHU25" s="204"/>
      <c r="PHV25" s="204"/>
      <c r="PHW25" s="204"/>
      <c r="PHX25" s="204"/>
      <c r="PHY25" s="204"/>
      <c r="PHZ25" s="204"/>
      <c r="PIA25" s="204"/>
      <c r="PIB25" s="204"/>
      <c r="PIC25" s="204"/>
      <c r="PID25" s="204"/>
      <c r="PIE25" s="204"/>
      <c r="PIF25" s="204"/>
      <c r="PIG25" s="204"/>
      <c r="PIH25" s="204"/>
      <c r="PII25" s="204"/>
      <c r="PIJ25" s="204"/>
      <c r="PIK25" s="204"/>
      <c r="PIL25" s="204"/>
      <c r="PIM25" s="204"/>
      <c r="PIN25" s="204"/>
      <c r="PIO25" s="204"/>
      <c r="PIP25" s="204"/>
      <c r="PIQ25" s="204"/>
      <c r="PIR25" s="204"/>
      <c r="PIS25" s="204"/>
      <c r="PIT25" s="204"/>
      <c r="PIU25" s="204"/>
      <c r="PIV25" s="204"/>
      <c r="PIW25" s="204"/>
      <c r="PIX25" s="204"/>
      <c r="PIY25" s="204"/>
      <c r="PIZ25" s="204"/>
      <c r="PJA25" s="204"/>
      <c r="PJB25" s="204"/>
      <c r="PJC25" s="204"/>
      <c r="PJD25" s="204"/>
      <c r="PJE25" s="204"/>
      <c r="PJF25" s="204"/>
      <c r="PJG25" s="204"/>
      <c r="PJH25" s="204"/>
      <c r="PJI25" s="204"/>
      <c r="PJJ25" s="204"/>
      <c r="PJK25" s="204"/>
      <c r="PJL25" s="204"/>
      <c r="PJM25" s="204"/>
      <c r="PJN25" s="204"/>
      <c r="PJO25" s="204"/>
      <c r="PJP25" s="204"/>
      <c r="PJQ25" s="204"/>
      <c r="PJR25" s="204"/>
      <c r="PJS25" s="204"/>
      <c r="PJT25" s="204"/>
      <c r="PJU25" s="204"/>
      <c r="PJV25" s="204"/>
      <c r="PJW25" s="204"/>
      <c r="PJX25" s="204"/>
      <c r="PJY25" s="204"/>
      <c r="PJZ25" s="204"/>
      <c r="PKA25" s="204"/>
      <c r="PKB25" s="204"/>
      <c r="PKC25" s="204"/>
      <c r="PKD25" s="204"/>
      <c r="PKE25" s="204"/>
      <c r="PKF25" s="204"/>
      <c r="PKG25" s="204"/>
      <c r="PKH25" s="204"/>
      <c r="PKI25" s="204"/>
      <c r="PKJ25" s="204"/>
      <c r="PKK25" s="204"/>
      <c r="PKL25" s="204"/>
      <c r="PKM25" s="204"/>
      <c r="PKN25" s="204"/>
      <c r="PKO25" s="204"/>
      <c r="PKP25" s="204"/>
      <c r="PKQ25" s="204"/>
      <c r="PKR25" s="204"/>
      <c r="PKS25" s="204"/>
      <c r="PKT25" s="204"/>
      <c r="PKU25" s="204"/>
      <c r="PKV25" s="204"/>
      <c r="PKW25" s="204"/>
      <c r="PKX25" s="204"/>
      <c r="PKY25" s="204"/>
      <c r="PKZ25" s="204"/>
      <c r="PLA25" s="204"/>
      <c r="PLB25" s="204"/>
      <c r="PLC25" s="204"/>
      <c r="PLD25" s="204"/>
      <c r="PLE25" s="204"/>
      <c r="PLF25" s="204"/>
      <c r="PLG25" s="204"/>
      <c r="PLH25" s="204"/>
      <c r="PLI25" s="204"/>
      <c r="PLJ25" s="204"/>
      <c r="PLK25" s="204"/>
      <c r="PLL25" s="204"/>
      <c r="PLM25" s="204"/>
      <c r="PLN25" s="204"/>
      <c r="PLO25" s="204"/>
      <c r="PLP25" s="204"/>
      <c r="PLQ25" s="204"/>
      <c r="PLR25" s="204"/>
      <c r="PLS25" s="204"/>
      <c r="PLT25" s="204"/>
      <c r="PLU25" s="204"/>
      <c r="PLV25" s="204"/>
      <c r="PLW25" s="204"/>
      <c r="PLX25" s="204"/>
      <c r="PLY25" s="204"/>
      <c r="PLZ25" s="204"/>
      <c r="PMA25" s="204"/>
      <c r="PMB25" s="204"/>
      <c r="PMC25" s="204"/>
      <c r="PMD25" s="204"/>
      <c r="PME25" s="204"/>
      <c r="PMF25" s="204"/>
      <c r="PMG25" s="204"/>
      <c r="PMH25" s="204"/>
      <c r="PMI25" s="204"/>
      <c r="PMJ25" s="204"/>
      <c r="PMK25" s="204"/>
      <c r="PML25" s="204"/>
      <c r="PMM25" s="204"/>
      <c r="PMN25" s="204"/>
      <c r="PMO25" s="204"/>
      <c r="PMP25" s="204"/>
      <c r="PMQ25" s="204"/>
      <c r="PMR25" s="204"/>
      <c r="PMS25" s="204"/>
      <c r="PMT25" s="204"/>
      <c r="PMU25" s="204"/>
      <c r="PMV25" s="204"/>
      <c r="PMW25" s="204"/>
      <c r="PMX25" s="204"/>
      <c r="PMY25" s="204"/>
      <c r="PMZ25" s="204"/>
      <c r="PNA25" s="204"/>
      <c r="PNB25" s="204"/>
      <c r="PNC25" s="204"/>
      <c r="PND25" s="204"/>
      <c r="PNE25" s="204"/>
      <c r="PNF25" s="204"/>
      <c r="PNG25" s="204"/>
      <c r="PNH25" s="204"/>
      <c r="PNI25" s="204"/>
      <c r="PNJ25" s="204"/>
      <c r="PNK25" s="204"/>
      <c r="PNL25" s="204"/>
      <c r="PNM25" s="204"/>
      <c r="PNN25" s="204"/>
      <c r="PNO25" s="204"/>
      <c r="PNP25" s="204"/>
      <c r="PNQ25" s="204"/>
      <c r="PNR25" s="204"/>
      <c r="PNS25" s="204"/>
      <c r="PNT25" s="204"/>
      <c r="PNU25" s="204"/>
      <c r="PNV25" s="204"/>
      <c r="PNW25" s="204"/>
      <c r="PNX25" s="204"/>
      <c r="PNY25" s="204"/>
      <c r="PNZ25" s="204"/>
      <c r="POA25" s="204"/>
      <c r="POB25" s="204"/>
      <c r="POC25" s="204"/>
      <c r="POD25" s="204"/>
      <c r="POE25" s="204"/>
      <c r="POF25" s="204"/>
      <c r="POG25" s="204"/>
      <c r="POH25" s="204"/>
      <c r="POI25" s="204"/>
      <c r="POJ25" s="204"/>
      <c r="POK25" s="204"/>
      <c r="POL25" s="204"/>
      <c r="POM25" s="204"/>
      <c r="PON25" s="204"/>
      <c r="POO25" s="204"/>
      <c r="POP25" s="204"/>
      <c r="POQ25" s="204"/>
      <c r="POR25" s="204"/>
      <c r="POS25" s="204"/>
      <c r="POT25" s="204"/>
      <c r="POU25" s="204"/>
      <c r="POV25" s="204"/>
      <c r="POW25" s="204"/>
      <c r="POX25" s="204"/>
      <c r="POY25" s="204"/>
      <c r="POZ25" s="204"/>
      <c r="PPA25" s="204"/>
      <c r="PPB25" s="204"/>
      <c r="PPC25" s="204"/>
      <c r="PPD25" s="204"/>
      <c r="PPE25" s="204"/>
      <c r="PPF25" s="204"/>
      <c r="PPG25" s="204"/>
      <c r="PPH25" s="204"/>
      <c r="PPI25" s="204"/>
      <c r="PPJ25" s="204"/>
      <c r="PPK25" s="204"/>
      <c r="PPL25" s="204"/>
      <c r="PPM25" s="204"/>
      <c r="PPN25" s="204"/>
      <c r="PPO25" s="204"/>
      <c r="PPP25" s="204"/>
      <c r="PPQ25" s="204"/>
      <c r="PPR25" s="204"/>
      <c r="PPS25" s="204"/>
      <c r="PPT25" s="204"/>
      <c r="PPU25" s="204"/>
      <c r="PPV25" s="204"/>
      <c r="PPW25" s="204"/>
      <c r="PPX25" s="204"/>
      <c r="PPY25" s="204"/>
      <c r="PPZ25" s="204"/>
      <c r="PQA25" s="204"/>
      <c r="PQB25" s="204"/>
      <c r="PQC25" s="204"/>
      <c r="PQD25" s="204"/>
      <c r="PQE25" s="204"/>
      <c r="PQF25" s="204"/>
      <c r="PQG25" s="204"/>
      <c r="PQH25" s="204"/>
      <c r="PQI25" s="204"/>
      <c r="PQJ25" s="204"/>
      <c r="PQK25" s="204"/>
      <c r="PQL25" s="204"/>
      <c r="PQM25" s="204"/>
      <c r="PQN25" s="204"/>
      <c r="PQO25" s="204"/>
      <c r="PQP25" s="204"/>
      <c r="PQQ25" s="204"/>
      <c r="PQR25" s="204"/>
      <c r="PQS25" s="204"/>
      <c r="PQT25" s="204"/>
      <c r="PQU25" s="204"/>
      <c r="PQV25" s="204"/>
      <c r="PQW25" s="204"/>
      <c r="PQX25" s="204"/>
      <c r="PQY25" s="204"/>
      <c r="PQZ25" s="204"/>
      <c r="PRA25" s="204"/>
      <c r="PRB25" s="204"/>
      <c r="PRC25" s="204"/>
      <c r="PRD25" s="204"/>
      <c r="PRE25" s="204"/>
      <c r="PRF25" s="204"/>
      <c r="PRG25" s="204"/>
      <c r="PRH25" s="204"/>
      <c r="PRI25" s="204"/>
      <c r="PRJ25" s="204"/>
      <c r="PRK25" s="204"/>
      <c r="PRL25" s="204"/>
      <c r="PRM25" s="204"/>
      <c r="PRN25" s="204"/>
      <c r="PRO25" s="204"/>
      <c r="PRP25" s="204"/>
      <c r="PRQ25" s="204"/>
      <c r="PRR25" s="204"/>
      <c r="PRS25" s="204"/>
      <c r="PRT25" s="204"/>
      <c r="PRU25" s="204"/>
      <c r="PRV25" s="204"/>
      <c r="PRW25" s="204"/>
      <c r="PRX25" s="204"/>
      <c r="PRY25" s="204"/>
      <c r="PRZ25" s="204"/>
      <c r="PSA25" s="204"/>
      <c r="PSB25" s="204"/>
      <c r="PSC25" s="204"/>
      <c r="PSD25" s="204"/>
      <c r="PSE25" s="204"/>
      <c r="PSF25" s="204"/>
      <c r="PSG25" s="204"/>
      <c r="PSH25" s="204"/>
      <c r="PSI25" s="204"/>
      <c r="PSJ25" s="204"/>
      <c r="PSK25" s="204"/>
      <c r="PSL25" s="204"/>
      <c r="PSM25" s="204"/>
      <c r="PSN25" s="204"/>
      <c r="PSO25" s="204"/>
      <c r="PSP25" s="204"/>
      <c r="PSQ25" s="204"/>
      <c r="PSR25" s="204"/>
      <c r="PSS25" s="204"/>
      <c r="PST25" s="204"/>
      <c r="PSU25" s="204"/>
      <c r="PSV25" s="204"/>
      <c r="PSW25" s="204"/>
      <c r="PSX25" s="204"/>
      <c r="PSY25" s="204"/>
      <c r="PSZ25" s="204"/>
      <c r="PTA25" s="204"/>
      <c r="PTB25" s="204"/>
      <c r="PTC25" s="204"/>
      <c r="PTD25" s="204"/>
      <c r="PTE25" s="204"/>
      <c r="PTF25" s="204"/>
      <c r="PTG25" s="204"/>
      <c r="PTH25" s="204"/>
      <c r="PTI25" s="204"/>
      <c r="PTJ25" s="204"/>
      <c r="PTK25" s="204"/>
      <c r="PTL25" s="204"/>
      <c r="PTM25" s="204"/>
      <c r="PTN25" s="204"/>
      <c r="PTO25" s="204"/>
      <c r="PTP25" s="204"/>
      <c r="PTQ25" s="204"/>
      <c r="PTR25" s="204"/>
      <c r="PTS25" s="204"/>
      <c r="PTT25" s="204"/>
      <c r="PTU25" s="204"/>
      <c r="PTV25" s="204"/>
      <c r="PTW25" s="204"/>
      <c r="PTX25" s="204"/>
      <c r="PTY25" s="204"/>
      <c r="PTZ25" s="204"/>
      <c r="PUA25" s="204"/>
      <c r="PUB25" s="204"/>
      <c r="PUC25" s="204"/>
      <c r="PUD25" s="204"/>
      <c r="PUE25" s="204"/>
      <c r="PUF25" s="204"/>
      <c r="PUG25" s="204"/>
      <c r="PUH25" s="204"/>
      <c r="PUI25" s="204"/>
      <c r="PUJ25" s="204"/>
      <c r="PUK25" s="204"/>
      <c r="PUL25" s="204"/>
      <c r="PUM25" s="204"/>
      <c r="PUN25" s="204"/>
      <c r="PUO25" s="204"/>
      <c r="PUP25" s="204"/>
      <c r="PUQ25" s="204"/>
      <c r="PUR25" s="204"/>
      <c r="PUS25" s="204"/>
      <c r="PUT25" s="204"/>
      <c r="PUU25" s="204"/>
      <c r="PUV25" s="204"/>
      <c r="PUW25" s="204"/>
      <c r="PUX25" s="204"/>
      <c r="PUY25" s="204"/>
      <c r="PUZ25" s="204"/>
      <c r="PVA25" s="204"/>
      <c r="PVB25" s="204"/>
      <c r="PVC25" s="204"/>
      <c r="PVD25" s="204"/>
      <c r="PVE25" s="204"/>
      <c r="PVF25" s="204"/>
      <c r="PVG25" s="204"/>
      <c r="PVH25" s="204"/>
      <c r="PVI25" s="204"/>
      <c r="PVJ25" s="204"/>
      <c r="PVK25" s="204"/>
      <c r="PVL25" s="204"/>
      <c r="PVM25" s="204"/>
      <c r="PVN25" s="204"/>
      <c r="PVO25" s="204"/>
      <c r="PVP25" s="204"/>
      <c r="PVQ25" s="204"/>
      <c r="PVR25" s="204"/>
      <c r="PVS25" s="204"/>
      <c r="PVT25" s="204"/>
      <c r="PVU25" s="204"/>
      <c r="PVV25" s="204"/>
      <c r="PVW25" s="204"/>
      <c r="PVX25" s="204"/>
      <c r="PVY25" s="204"/>
      <c r="PVZ25" s="204"/>
      <c r="PWA25" s="204"/>
      <c r="PWB25" s="204"/>
      <c r="PWC25" s="204"/>
      <c r="PWD25" s="204"/>
      <c r="PWE25" s="204"/>
      <c r="PWF25" s="204"/>
      <c r="PWG25" s="204"/>
      <c r="PWH25" s="204"/>
      <c r="PWI25" s="204"/>
      <c r="PWJ25" s="204"/>
      <c r="PWK25" s="204"/>
      <c r="PWL25" s="204"/>
      <c r="PWM25" s="204"/>
      <c r="PWN25" s="204"/>
      <c r="PWO25" s="204"/>
      <c r="PWP25" s="204"/>
      <c r="PWQ25" s="204"/>
      <c r="PWR25" s="204"/>
      <c r="PWS25" s="204"/>
      <c r="PWT25" s="204"/>
      <c r="PWU25" s="204"/>
      <c r="PWV25" s="204"/>
      <c r="PWW25" s="204"/>
      <c r="PWX25" s="204"/>
      <c r="PWY25" s="204"/>
      <c r="PWZ25" s="204"/>
      <c r="PXA25" s="204"/>
      <c r="PXB25" s="204"/>
      <c r="PXC25" s="204"/>
      <c r="PXD25" s="204"/>
      <c r="PXE25" s="204"/>
      <c r="PXF25" s="204"/>
      <c r="PXG25" s="204"/>
      <c r="PXH25" s="204"/>
      <c r="PXI25" s="204"/>
      <c r="PXJ25" s="204"/>
      <c r="PXK25" s="204"/>
      <c r="PXL25" s="204"/>
      <c r="PXM25" s="204"/>
      <c r="PXN25" s="204"/>
      <c r="PXO25" s="204"/>
      <c r="PXP25" s="204"/>
      <c r="PXQ25" s="204"/>
      <c r="PXR25" s="204"/>
      <c r="PXS25" s="204"/>
      <c r="PXT25" s="204"/>
      <c r="PXU25" s="204"/>
      <c r="PXV25" s="204"/>
      <c r="PXW25" s="204"/>
      <c r="PXX25" s="204"/>
      <c r="PXY25" s="204"/>
      <c r="PXZ25" s="204"/>
      <c r="PYA25" s="204"/>
      <c r="PYB25" s="204"/>
      <c r="PYC25" s="204"/>
      <c r="PYD25" s="204"/>
      <c r="PYE25" s="204"/>
      <c r="PYF25" s="204"/>
      <c r="PYG25" s="204"/>
      <c r="PYH25" s="204"/>
      <c r="PYI25" s="204"/>
      <c r="PYJ25" s="204"/>
      <c r="PYK25" s="204"/>
      <c r="PYL25" s="204"/>
      <c r="PYM25" s="204"/>
      <c r="PYN25" s="204"/>
      <c r="PYO25" s="204"/>
      <c r="PYP25" s="204"/>
      <c r="PYQ25" s="204"/>
      <c r="PYR25" s="204"/>
      <c r="PYS25" s="204"/>
      <c r="PYT25" s="204"/>
      <c r="PYU25" s="204"/>
      <c r="PYV25" s="204"/>
      <c r="PYW25" s="204"/>
      <c r="PYX25" s="204"/>
      <c r="PYY25" s="204"/>
      <c r="PYZ25" s="204"/>
      <c r="PZA25" s="204"/>
      <c r="PZB25" s="204"/>
      <c r="PZC25" s="204"/>
      <c r="PZD25" s="204"/>
      <c r="PZE25" s="204"/>
      <c r="PZF25" s="204"/>
      <c r="PZG25" s="204"/>
      <c r="PZH25" s="204"/>
      <c r="PZI25" s="204"/>
      <c r="PZJ25" s="204"/>
      <c r="PZK25" s="204"/>
      <c r="PZL25" s="204"/>
      <c r="PZM25" s="204"/>
      <c r="PZN25" s="204"/>
      <c r="PZO25" s="204"/>
      <c r="PZP25" s="204"/>
      <c r="PZQ25" s="204"/>
      <c r="PZR25" s="204"/>
      <c r="PZS25" s="204"/>
      <c r="PZT25" s="204"/>
      <c r="PZU25" s="204"/>
      <c r="PZV25" s="204"/>
      <c r="PZW25" s="204"/>
      <c r="PZX25" s="204"/>
      <c r="PZY25" s="204"/>
      <c r="PZZ25" s="204"/>
      <c r="QAA25" s="204"/>
      <c r="QAB25" s="204"/>
      <c r="QAC25" s="204"/>
      <c r="QAD25" s="204"/>
      <c r="QAE25" s="204"/>
      <c r="QAF25" s="204"/>
      <c r="QAG25" s="204"/>
      <c r="QAH25" s="204"/>
      <c r="QAI25" s="204"/>
      <c r="QAJ25" s="204"/>
      <c r="QAK25" s="204"/>
      <c r="QAL25" s="204"/>
      <c r="QAM25" s="204"/>
      <c r="QAN25" s="204"/>
      <c r="QAO25" s="204"/>
      <c r="QAP25" s="204"/>
      <c r="QAQ25" s="204"/>
      <c r="QAR25" s="204"/>
      <c r="QAS25" s="204"/>
      <c r="QAT25" s="204"/>
      <c r="QAU25" s="204"/>
      <c r="QAV25" s="204"/>
      <c r="QAW25" s="204"/>
      <c r="QAX25" s="204"/>
      <c r="QAY25" s="204"/>
      <c r="QAZ25" s="204"/>
      <c r="QBA25" s="204"/>
      <c r="QBB25" s="204"/>
      <c r="QBC25" s="204"/>
      <c r="QBD25" s="204"/>
      <c r="QBE25" s="204"/>
      <c r="QBF25" s="204"/>
      <c r="QBG25" s="204"/>
      <c r="QBH25" s="204"/>
      <c r="QBI25" s="204"/>
      <c r="QBJ25" s="204"/>
      <c r="QBK25" s="204"/>
      <c r="QBL25" s="204"/>
      <c r="QBM25" s="204"/>
      <c r="QBN25" s="204"/>
      <c r="QBO25" s="204"/>
      <c r="QBP25" s="204"/>
      <c r="QBQ25" s="204"/>
      <c r="QBR25" s="204"/>
      <c r="QBS25" s="204"/>
      <c r="QBT25" s="204"/>
      <c r="QBU25" s="204"/>
      <c r="QBV25" s="204"/>
      <c r="QBW25" s="204"/>
      <c r="QBX25" s="204"/>
      <c r="QBY25" s="204"/>
      <c r="QBZ25" s="204"/>
      <c r="QCA25" s="204"/>
      <c r="QCB25" s="204"/>
      <c r="QCC25" s="204"/>
      <c r="QCD25" s="204"/>
      <c r="QCE25" s="204"/>
      <c r="QCF25" s="204"/>
      <c r="QCG25" s="204"/>
      <c r="QCH25" s="204"/>
      <c r="QCI25" s="204"/>
      <c r="QCJ25" s="204"/>
      <c r="QCK25" s="204"/>
      <c r="QCL25" s="204"/>
      <c r="QCM25" s="204"/>
      <c r="QCN25" s="204"/>
      <c r="QCO25" s="204"/>
      <c r="QCP25" s="204"/>
      <c r="QCQ25" s="204"/>
      <c r="QCR25" s="204"/>
      <c r="QCS25" s="204"/>
      <c r="QCT25" s="204"/>
      <c r="QCU25" s="204"/>
      <c r="QCV25" s="204"/>
      <c r="QCW25" s="204"/>
      <c r="QCX25" s="204"/>
      <c r="QCY25" s="204"/>
      <c r="QCZ25" s="204"/>
      <c r="QDA25" s="204"/>
      <c r="QDB25" s="204"/>
      <c r="QDC25" s="204"/>
      <c r="QDD25" s="204"/>
      <c r="QDE25" s="204"/>
      <c r="QDF25" s="204"/>
      <c r="QDG25" s="204"/>
      <c r="QDH25" s="204"/>
      <c r="QDI25" s="204"/>
      <c r="QDJ25" s="204"/>
      <c r="QDK25" s="204"/>
      <c r="QDL25" s="204"/>
      <c r="QDM25" s="204"/>
      <c r="QDN25" s="204"/>
      <c r="QDO25" s="204"/>
      <c r="QDP25" s="204"/>
      <c r="QDQ25" s="204"/>
      <c r="QDR25" s="204"/>
      <c r="QDS25" s="204"/>
      <c r="QDT25" s="204"/>
      <c r="QDU25" s="204"/>
      <c r="QDV25" s="204"/>
      <c r="QDW25" s="204"/>
      <c r="QDX25" s="204"/>
      <c r="QDY25" s="204"/>
      <c r="QDZ25" s="204"/>
      <c r="QEA25" s="204"/>
      <c r="QEB25" s="204"/>
      <c r="QEC25" s="204"/>
      <c r="QED25" s="204"/>
      <c r="QEE25" s="204"/>
      <c r="QEF25" s="204"/>
      <c r="QEG25" s="204"/>
      <c r="QEH25" s="204"/>
      <c r="QEI25" s="204"/>
      <c r="QEJ25" s="204"/>
      <c r="QEK25" s="204"/>
      <c r="QEL25" s="204"/>
      <c r="QEM25" s="204"/>
      <c r="QEN25" s="204"/>
      <c r="QEO25" s="204"/>
      <c r="QEP25" s="204"/>
      <c r="QEQ25" s="204"/>
      <c r="QER25" s="204"/>
      <c r="QES25" s="204"/>
      <c r="QET25" s="204"/>
      <c r="QEU25" s="204"/>
      <c r="QEV25" s="204"/>
      <c r="QEW25" s="204"/>
      <c r="QEX25" s="204"/>
      <c r="QEY25" s="204"/>
      <c r="QEZ25" s="204"/>
      <c r="QFA25" s="204"/>
      <c r="QFB25" s="204"/>
      <c r="QFC25" s="204"/>
      <c r="QFD25" s="204"/>
      <c r="QFE25" s="204"/>
      <c r="QFF25" s="204"/>
      <c r="QFG25" s="204"/>
      <c r="QFH25" s="204"/>
      <c r="QFI25" s="204"/>
      <c r="QFJ25" s="204"/>
      <c r="QFK25" s="204"/>
      <c r="QFL25" s="204"/>
      <c r="QFM25" s="204"/>
      <c r="QFN25" s="204"/>
      <c r="QFO25" s="204"/>
      <c r="QFP25" s="204"/>
      <c r="QFQ25" s="204"/>
      <c r="QFR25" s="204"/>
      <c r="QFS25" s="204"/>
      <c r="QFT25" s="204"/>
      <c r="QFU25" s="204"/>
      <c r="QFV25" s="204"/>
      <c r="QFW25" s="204"/>
      <c r="QFX25" s="204"/>
      <c r="QFY25" s="204"/>
      <c r="QFZ25" s="204"/>
      <c r="QGA25" s="204"/>
      <c r="QGB25" s="204"/>
      <c r="QGC25" s="204"/>
      <c r="QGD25" s="204"/>
      <c r="QGE25" s="204"/>
      <c r="QGF25" s="204"/>
      <c r="QGG25" s="204"/>
      <c r="QGH25" s="204"/>
      <c r="QGI25" s="204"/>
      <c r="QGJ25" s="204"/>
      <c r="QGK25" s="204"/>
      <c r="QGL25" s="204"/>
      <c r="QGM25" s="204"/>
      <c r="QGN25" s="204"/>
      <c r="QGO25" s="204"/>
      <c r="QGP25" s="204"/>
      <c r="QGQ25" s="204"/>
      <c r="QGR25" s="204"/>
      <c r="QGS25" s="204"/>
      <c r="QGT25" s="204"/>
      <c r="QGU25" s="204"/>
      <c r="QGV25" s="204"/>
      <c r="QGW25" s="204"/>
      <c r="QGX25" s="204"/>
      <c r="QGY25" s="204"/>
      <c r="QGZ25" s="204"/>
      <c r="QHA25" s="204"/>
      <c r="QHB25" s="204"/>
      <c r="QHC25" s="204"/>
      <c r="QHD25" s="204"/>
      <c r="QHE25" s="204"/>
      <c r="QHF25" s="204"/>
      <c r="QHG25" s="204"/>
      <c r="QHH25" s="204"/>
      <c r="QHI25" s="204"/>
      <c r="QHJ25" s="204"/>
      <c r="QHK25" s="204"/>
      <c r="QHL25" s="204"/>
      <c r="QHM25" s="204"/>
      <c r="QHN25" s="204"/>
      <c r="QHO25" s="204"/>
      <c r="QHP25" s="204"/>
      <c r="QHQ25" s="204"/>
      <c r="QHR25" s="204"/>
      <c r="QHS25" s="204"/>
      <c r="QHT25" s="204"/>
      <c r="QHU25" s="204"/>
      <c r="QHV25" s="204"/>
      <c r="QHW25" s="204"/>
      <c r="QHX25" s="204"/>
      <c r="QHY25" s="204"/>
      <c r="QHZ25" s="204"/>
      <c r="QIA25" s="204"/>
      <c r="QIB25" s="204"/>
      <c r="QIC25" s="204"/>
      <c r="QID25" s="204"/>
      <c r="QIE25" s="204"/>
      <c r="QIF25" s="204"/>
      <c r="QIG25" s="204"/>
      <c r="QIH25" s="204"/>
      <c r="QII25" s="204"/>
      <c r="QIJ25" s="204"/>
      <c r="QIK25" s="204"/>
      <c r="QIL25" s="204"/>
      <c r="QIM25" s="204"/>
      <c r="QIN25" s="204"/>
      <c r="QIO25" s="204"/>
      <c r="QIP25" s="204"/>
      <c r="QIQ25" s="204"/>
      <c r="QIR25" s="204"/>
      <c r="QIS25" s="204"/>
      <c r="QIT25" s="204"/>
      <c r="QIU25" s="204"/>
      <c r="QIV25" s="204"/>
      <c r="QIW25" s="204"/>
      <c r="QIX25" s="204"/>
      <c r="QIY25" s="204"/>
      <c r="QIZ25" s="204"/>
      <c r="QJA25" s="204"/>
      <c r="QJB25" s="204"/>
      <c r="QJC25" s="204"/>
      <c r="QJD25" s="204"/>
      <c r="QJE25" s="204"/>
      <c r="QJF25" s="204"/>
      <c r="QJG25" s="204"/>
      <c r="QJH25" s="204"/>
      <c r="QJI25" s="204"/>
      <c r="QJJ25" s="204"/>
      <c r="QJK25" s="204"/>
      <c r="QJL25" s="204"/>
      <c r="QJM25" s="204"/>
      <c r="QJN25" s="204"/>
      <c r="QJO25" s="204"/>
      <c r="QJP25" s="204"/>
      <c r="QJQ25" s="204"/>
      <c r="QJR25" s="204"/>
      <c r="QJS25" s="204"/>
      <c r="QJT25" s="204"/>
      <c r="QJU25" s="204"/>
      <c r="QJV25" s="204"/>
      <c r="QJW25" s="204"/>
      <c r="QJX25" s="204"/>
      <c r="QJY25" s="204"/>
      <c r="QJZ25" s="204"/>
      <c r="QKA25" s="204"/>
      <c r="QKB25" s="204"/>
      <c r="QKC25" s="204"/>
      <c r="QKD25" s="204"/>
      <c r="QKE25" s="204"/>
      <c r="QKF25" s="204"/>
      <c r="QKG25" s="204"/>
      <c r="QKH25" s="204"/>
      <c r="QKI25" s="204"/>
      <c r="QKJ25" s="204"/>
      <c r="QKK25" s="204"/>
      <c r="QKL25" s="204"/>
      <c r="QKM25" s="204"/>
      <c r="QKN25" s="204"/>
      <c r="QKO25" s="204"/>
      <c r="QKP25" s="204"/>
      <c r="QKQ25" s="204"/>
      <c r="QKR25" s="204"/>
      <c r="QKS25" s="204"/>
      <c r="QKT25" s="204"/>
      <c r="QKU25" s="204"/>
      <c r="QKV25" s="204"/>
      <c r="QKW25" s="204"/>
      <c r="QKX25" s="204"/>
      <c r="QKY25" s="204"/>
      <c r="QKZ25" s="204"/>
      <c r="QLA25" s="204"/>
      <c r="QLB25" s="204"/>
      <c r="QLC25" s="204"/>
      <c r="QLD25" s="204"/>
      <c r="QLE25" s="204"/>
      <c r="QLF25" s="204"/>
      <c r="QLG25" s="204"/>
      <c r="QLH25" s="204"/>
      <c r="QLI25" s="204"/>
      <c r="QLJ25" s="204"/>
      <c r="QLK25" s="204"/>
      <c r="QLL25" s="204"/>
      <c r="QLM25" s="204"/>
      <c r="QLN25" s="204"/>
      <c r="QLO25" s="204"/>
      <c r="QLP25" s="204"/>
      <c r="QLQ25" s="204"/>
      <c r="QLR25" s="204"/>
      <c r="QLS25" s="204"/>
      <c r="QLT25" s="204"/>
      <c r="QLU25" s="204"/>
      <c r="QLV25" s="204"/>
      <c r="QLW25" s="204"/>
      <c r="QLX25" s="204"/>
      <c r="QLY25" s="204"/>
      <c r="QLZ25" s="204"/>
      <c r="QMA25" s="204"/>
      <c r="QMB25" s="204"/>
      <c r="QMC25" s="204"/>
      <c r="QMD25" s="204"/>
      <c r="QME25" s="204"/>
      <c r="QMF25" s="204"/>
      <c r="QMG25" s="204"/>
      <c r="QMH25" s="204"/>
      <c r="QMI25" s="204"/>
      <c r="QMJ25" s="204"/>
      <c r="QMK25" s="204"/>
      <c r="QML25" s="204"/>
      <c r="QMM25" s="204"/>
      <c r="QMN25" s="204"/>
      <c r="QMO25" s="204"/>
      <c r="QMP25" s="204"/>
      <c r="QMQ25" s="204"/>
      <c r="QMR25" s="204"/>
      <c r="QMS25" s="204"/>
      <c r="QMT25" s="204"/>
      <c r="QMU25" s="204"/>
      <c r="QMV25" s="204"/>
      <c r="QMW25" s="204"/>
      <c r="QMX25" s="204"/>
      <c r="QMY25" s="204"/>
      <c r="QMZ25" s="204"/>
      <c r="QNA25" s="204"/>
      <c r="QNB25" s="204"/>
      <c r="QNC25" s="204"/>
      <c r="QND25" s="204"/>
      <c r="QNE25" s="204"/>
      <c r="QNF25" s="204"/>
      <c r="QNG25" s="204"/>
      <c r="QNH25" s="204"/>
      <c r="QNI25" s="204"/>
      <c r="QNJ25" s="204"/>
      <c r="QNK25" s="204"/>
      <c r="QNL25" s="204"/>
      <c r="QNM25" s="204"/>
      <c r="QNN25" s="204"/>
      <c r="QNO25" s="204"/>
      <c r="QNP25" s="204"/>
      <c r="QNQ25" s="204"/>
      <c r="QNR25" s="204"/>
      <c r="QNS25" s="204"/>
      <c r="QNT25" s="204"/>
      <c r="QNU25" s="204"/>
      <c r="QNV25" s="204"/>
      <c r="QNW25" s="204"/>
      <c r="QNX25" s="204"/>
      <c r="QNY25" s="204"/>
      <c r="QNZ25" s="204"/>
      <c r="QOA25" s="204"/>
      <c r="QOB25" s="204"/>
      <c r="QOC25" s="204"/>
      <c r="QOD25" s="204"/>
      <c r="QOE25" s="204"/>
      <c r="QOF25" s="204"/>
      <c r="QOG25" s="204"/>
      <c r="QOH25" s="204"/>
      <c r="QOI25" s="204"/>
      <c r="QOJ25" s="204"/>
      <c r="QOK25" s="204"/>
      <c r="QOL25" s="204"/>
      <c r="QOM25" s="204"/>
      <c r="QON25" s="204"/>
      <c r="QOO25" s="204"/>
      <c r="QOP25" s="204"/>
      <c r="QOQ25" s="204"/>
      <c r="QOR25" s="204"/>
      <c r="QOS25" s="204"/>
      <c r="QOT25" s="204"/>
      <c r="QOU25" s="204"/>
      <c r="QOV25" s="204"/>
      <c r="QOW25" s="204"/>
      <c r="QOX25" s="204"/>
      <c r="QOY25" s="204"/>
      <c r="QOZ25" s="204"/>
      <c r="QPA25" s="204"/>
      <c r="QPB25" s="204"/>
      <c r="QPC25" s="204"/>
      <c r="QPD25" s="204"/>
      <c r="QPE25" s="204"/>
      <c r="QPF25" s="204"/>
      <c r="QPG25" s="204"/>
      <c r="QPH25" s="204"/>
      <c r="QPI25" s="204"/>
      <c r="QPJ25" s="204"/>
      <c r="QPK25" s="204"/>
      <c r="QPL25" s="204"/>
      <c r="QPM25" s="204"/>
      <c r="QPN25" s="204"/>
      <c r="QPO25" s="204"/>
      <c r="QPP25" s="204"/>
      <c r="QPQ25" s="204"/>
      <c r="QPR25" s="204"/>
      <c r="QPS25" s="204"/>
      <c r="QPT25" s="204"/>
      <c r="QPU25" s="204"/>
      <c r="QPV25" s="204"/>
      <c r="QPW25" s="204"/>
      <c r="QPX25" s="204"/>
      <c r="QPY25" s="204"/>
      <c r="QPZ25" s="204"/>
      <c r="QQA25" s="204"/>
      <c r="QQB25" s="204"/>
      <c r="QQC25" s="204"/>
      <c r="QQD25" s="204"/>
      <c r="QQE25" s="204"/>
      <c r="QQF25" s="204"/>
      <c r="QQG25" s="204"/>
      <c r="QQH25" s="204"/>
      <c r="QQI25" s="204"/>
      <c r="QQJ25" s="204"/>
      <c r="QQK25" s="204"/>
      <c r="QQL25" s="204"/>
      <c r="QQM25" s="204"/>
      <c r="QQN25" s="204"/>
      <c r="QQO25" s="204"/>
      <c r="QQP25" s="204"/>
      <c r="QQQ25" s="204"/>
      <c r="QQR25" s="204"/>
      <c r="QQS25" s="204"/>
      <c r="QQT25" s="204"/>
      <c r="QQU25" s="204"/>
      <c r="QQV25" s="204"/>
      <c r="QQW25" s="204"/>
      <c r="QQX25" s="204"/>
      <c r="QQY25" s="204"/>
      <c r="QQZ25" s="204"/>
      <c r="QRA25" s="204"/>
      <c r="QRB25" s="204"/>
      <c r="QRC25" s="204"/>
      <c r="QRD25" s="204"/>
      <c r="QRE25" s="204"/>
      <c r="QRF25" s="204"/>
      <c r="QRG25" s="204"/>
      <c r="QRH25" s="204"/>
      <c r="QRI25" s="204"/>
      <c r="QRJ25" s="204"/>
      <c r="QRK25" s="204"/>
      <c r="QRL25" s="204"/>
      <c r="QRM25" s="204"/>
      <c r="QRN25" s="204"/>
      <c r="QRO25" s="204"/>
      <c r="QRP25" s="204"/>
      <c r="QRQ25" s="204"/>
      <c r="QRR25" s="204"/>
      <c r="QRS25" s="204"/>
      <c r="QRT25" s="204"/>
      <c r="QRU25" s="204"/>
      <c r="QRV25" s="204"/>
      <c r="QRW25" s="204"/>
      <c r="QRX25" s="204"/>
      <c r="QRY25" s="204"/>
      <c r="QRZ25" s="204"/>
      <c r="QSA25" s="204"/>
      <c r="QSB25" s="204"/>
      <c r="QSC25" s="204"/>
      <c r="QSD25" s="204"/>
      <c r="QSE25" s="204"/>
      <c r="QSF25" s="204"/>
      <c r="QSG25" s="204"/>
      <c r="QSH25" s="204"/>
      <c r="QSI25" s="204"/>
      <c r="QSJ25" s="204"/>
      <c r="QSK25" s="204"/>
      <c r="QSL25" s="204"/>
      <c r="QSM25" s="204"/>
      <c r="QSN25" s="204"/>
      <c r="QSO25" s="204"/>
      <c r="QSP25" s="204"/>
      <c r="QSQ25" s="204"/>
      <c r="QSR25" s="204"/>
      <c r="QSS25" s="204"/>
      <c r="QST25" s="204"/>
      <c r="QSU25" s="204"/>
      <c r="QSV25" s="204"/>
      <c r="QSW25" s="204"/>
      <c r="QSX25" s="204"/>
      <c r="QSY25" s="204"/>
      <c r="QSZ25" s="204"/>
      <c r="QTA25" s="204"/>
      <c r="QTB25" s="204"/>
      <c r="QTC25" s="204"/>
      <c r="QTD25" s="204"/>
      <c r="QTE25" s="204"/>
      <c r="QTF25" s="204"/>
      <c r="QTG25" s="204"/>
      <c r="QTH25" s="204"/>
      <c r="QTI25" s="204"/>
      <c r="QTJ25" s="204"/>
      <c r="QTK25" s="204"/>
      <c r="QTL25" s="204"/>
      <c r="QTM25" s="204"/>
      <c r="QTN25" s="204"/>
      <c r="QTO25" s="204"/>
      <c r="QTP25" s="204"/>
      <c r="QTQ25" s="204"/>
      <c r="QTR25" s="204"/>
      <c r="QTS25" s="204"/>
      <c r="QTT25" s="204"/>
      <c r="QTU25" s="204"/>
      <c r="QTV25" s="204"/>
      <c r="QTW25" s="204"/>
      <c r="QTX25" s="204"/>
      <c r="QTY25" s="204"/>
      <c r="QTZ25" s="204"/>
      <c r="QUA25" s="204"/>
      <c r="QUB25" s="204"/>
      <c r="QUC25" s="204"/>
      <c r="QUD25" s="204"/>
      <c r="QUE25" s="204"/>
      <c r="QUF25" s="204"/>
      <c r="QUG25" s="204"/>
      <c r="QUH25" s="204"/>
      <c r="QUI25" s="204"/>
      <c r="QUJ25" s="204"/>
      <c r="QUK25" s="204"/>
      <c r="QUL25" s="204"/>
      <c r="QUM25" s="204"/>
      <c r="QUN25" s="204"/>
      <c r="QUO25" s="204"/>
      <c r="QUP25" s="204"/>
      <c r="QUQ25" s="204"/>
      <c r="QUR25" s="204"/>
      <c r="QUS25" s="204"/>
      <c r="QUT25" s="204"/>
      <c r="QUU25" s="204"/>
      <c r="QUV25" s="204"/>
      <c r="QUW25" s="204"/>
      <c r="QUX25" s="204"/>
      <c r="QUY25" s="204"/>
      <c r="QUZ25" s="204"/>
      <c r="QVA25" s="204"/>
      <c r="QVB25" s="204"/>
      <c r="QVC25" s="204"/>
      <c r="QVD25" s="204"/>
      <c r="QVE25" s="204"/>
      <c r="QVF25" s="204"/>
      <c r="QVG25" s="204"/>
      <c r="QVH25" s="204"/>
      <c r="QVI25" s="204"/>
      <c r="QVJ25" s="204"/>
      <c r="QVK25" s="204"/>
      <c r="QVL25" s="204"/>
      <c r="QVM25" s="204"/>
      <c r="QVN25" s="204"/>
      <c r="QVO25" s="204"/>
      <c r="QVP25" s="204"/>
      <c r="QVQ25" s="204"/>
      <c r="QVR25" s="204"/>
      <c r="QVS25" s="204"/>
      <c r="QVT25" s="204"/>
      <c r="QVU25" s="204"/>
      <c r="QVV25" s="204"/>
      <c r="QVW25" s="204"/>
      <c r="QVX25" s="204"/>
      <c r="QVY25" s="204"/>
      <c r="QVZ25" s="204"/>
      <c r="QWA25" s="204"/>
      <c r="QWB25" s="204"/>
      <c r="QWC25" s="204"/>
      <c r="QWD25" s="204"/>
      <c r="QWE25" s="204"/>
      <c r="QWF25" s="204"/>
      <c r="QWG25" s="204"/>
      <c r="QWH25" s="204"/>
      <c r="QWI25" s="204"/>
      <c r="QWJ25" s="204"/>
      <c r="QWK25" s="204"/>
      <c r="QWL25" s="204"/>
      <c r="QWM25" s="204"/>
      <c r="QWN25" s="204"/>
      <c r="QWO25" s="204"/>
      <c r="QWP25" s="204"/>
      <c r="QWQ25" s="204"/>
      <c r="QWR25" s="204"/>
      <c r="QWS25" s="204"/>
      <c r="QWT25" s="204"/>
      <c r="QWU25" s="204"/>
      <c r="QWV25" s="204"/>
      <c r="QWW25" s="204"/>
      <c r="QWX25" s="204"/>
      <c r="QWY25" s="204"/>
      <c r="QWZ25" s="204"/>
      <c r="QXA25" s="204"/>
      <c r="QXB25" s="204"/>
      <c r="QXC25" s="204"/>
      <c r="QXD25" s="204"/>
      <c r="QXE25" s="204"/>
      <c r="QXF25" s="204"/>
      <c r="QXG25" s="204"/>
      <c r="QXH25" s="204"/>
      <c r="QXI25" s="204"/>
      <c r="QXJ25" s="204"/>
      <c r="QXK25" s="204"/>
      <c r="QXL25" s="204"/>
      <c r="QXM25" s="204"/>
      <c r="QXN25" s="204"/>
      <c r="QXO25" s="204"/>
      <c r="QXP25" s="204"/>
      <c r="QXQ25" s="204"/>
      <c r="QXR25" s="204"/>
      <c r="QXS25" s="204"/>
      <c r="QXT25" s="204"/>
      <c r="QXU25" s="204"/>
      <c r="QXV25" s="204"/>
      <c r="QXW25" s="204"/>
      <c r="QXX25" s="204"/>
      <c r="QXY25" s="204"/>
      <c r="QXZ25" s="204"/>
      <c r="QYA25" s="204"/>
      <c r="QYB25" s="204"/>
      <c r="QYC25" s="204"/>
      <c r="QYD25" s="204"/>
      <c r="QYE25" s="204"/>
      <c r="QYF25" s="204"/>
      <c r="QYG25" s="204"/>
      <c r="QYH25" s="204"/>
      <c r="QYI25" s="204"/>
      <c r="QYJ25" s="204"/>
      <c r="QYK25" s="204"/>
      <c r="QYL25" s="204"/>
      <c r="QYM25" s="204"/>
      <c r="QYN25" s="204"/>
      <c r="QYO25" s="204"/>
      <c r="QYP25" s="204"/>
      <c r="QYQ25" s="204"/>
      <c r="QYR25" s="204"/>
      <c r="QYS25" s="204"/>
      <c r="QYT25" s="204"/>
      <c r="QYU25" s="204"/>
      <c r="QYV25" s="204"/>
      <c r="QYW25" s="204"/>
      <c r="QYX25" s="204"/>
      <c r="QYY25" s="204"/>
      <c r="QYZ25" s="204"/>
      <c r="QZA25" s="204"/>
      <c r="QZB25" s="204"/>
      <c r="QZC25" s="204"/>
      <c r="QZD25" s="204"/>
      <c r="QZE25" s="204"/>
      <c r="QZF25" s="204"/>
      <c r="QZG25" s="204"/>
      <c r="QZH25" s="204"/>
      <c r="QZI25" s="204"/>
      <c r="QZJ25" s="204"/>
      <c r="QZK25" s="204"/>
      <c r="QZL25" s="204"/>
      <c r="QZM25" s="204"/>
      <c r="QZN25" s="204"/>
      <c r="QZO25" s="204"/>
      <c r="QZP25" s="204"/>
      <c r="QZQ25" s="204"/>
      <c r="QZR25" s="204"/>
      <c r="QZS25" s="204"/>
      <c r="QZT25" s="204"/>
      <c r="QZU25" s="204"/>
      <c r="QZV25" s="204"/>
      <c r="QZW25" s="204"/>
      <c r="QZX25" s="204"/>
      <c r="QZY25" s="204"/>
      <c r="QZZ25" s="204"/>
      <c r="RAA25" s="204"/>
      <c r="RAB25" s="204"/>
      <c r="RAC25" s="204"/>
      <c r="RAD25" s="204"/>
      <c r="RAE25" s="204"/>
      <c r="RAF25" s="204"/>
      <c r="RAG25" s="204"/>
      <c r="RAH25" s="204"/>
      <c r="RAI25" s="204"/>
      <c r="RAJ25" s="204"/>
      <c r="RAK25" s="204"/>
      <c r="RAL25" s="204"/>
      <c r="RAM25" s="204"/>
      <c r="RAN25" s="204"/>
      <c r="RAO25" s="204"/>
      <c r="RAP25" s="204"/>
      <c r="RAQ25" s="204"/>
      <c r="RAR25" s="204"/>
      <c r="RAS25" s="204"/>
      <c r="RAT25" s="204"/>
      <c r="RAU25" s="204"/>
      <c r="RAV25" s="204"/>
      <c r="RAW25" s="204"/>
      <c r="RAX25" s="204"/>
      <c r="RAY25" s="204"/>
      <c r="RAZ25" s="204"/>
      <c r="RBA25" s="204"/>
      <c r="RBB25" s="204"/>
      <c r="RBC25" s="204"/>
      <c r="RBD25" s="204"/>
      <c r="RBE25" s="204"/>
      <c r="RBF25" s="204"/>
      <c r="RBG25" s="204"/>
      <c r="RBH25" s="204"/>
      <c r="RBI25" s="204"/>
      <c r="RBJ25" s="204"/>
      <c r="RBK25" s="204"/>
      <c r="RBL25" s="204"/>
      <c r="RBM25" s="204"/>
      <c r="RBN25" s="204"/>
      <c r="RBO25" s="204"/>
      <c r="RBP25" s="204"/>
      <c r="RBQ25" s="204"/>
      <c r="RBR25" s="204"/>
      <c r="RBS25" s="204"/>
      <c r="RBT25" s="204"/>
      <c r="RBU25" s="204"/>
      <c r="RBV25" s="204"/>
      <c r="RBW25" s="204"/>
      <c r="RBX25" s="204"/>
      <c r="RBY25" s="204"/>
      <c r="RBZ25" s="204"/>
      <c r="RCA25" s="204"/>
      <c r="RCB25" s="204"/>
      <c r="RCC25" s="204"/>
      <c r="RCD25" s="204"/>
      <c r="RCE25" s="204"/>
      <c r="RCF25" s="204"/>
      <c r="RCG25" s="204"/>
      <c r="RCH25" s="204"/>
      <c r="RCI25" s="204"/>
      <c r="RCJ25" s="204"/>
      <c r="RCK25" s="204"/>
      <c r="RCL25" s="204"/>
      <c r="RCM25" s="204"/>
      <c r="RCN25" s="204"/>
      <c r="RCO25" s="204"/>
      <c r="RCP25" s="204"/>
      <c r="RCQ25" s="204"/>
      <c r="RCR25" s="204"/>
      <c r="RCS25" s="204"/>
      <c r="RCT25" s="204"/>
      <c r="RCU25" s="204"/>
      <c r="RCV25" s="204"/>
      <c r="RCW25" s="204"/>
      <c r="RCX25" s="204"/>
      <c r="RCY25" s="204"/>
      <c r="RCZ25" s="204"/>
      <c r="RDA25" s="204"/>
      <c r="RDB25" s="204"/>
      <c r="RDC25" s="204"/>
      <c r="RDD25" s="204"/>
      <c r="RDE25" s="204"/>
      <c r="RDF25" s="204"/>
      <c r="RDG25" s="204"/>
      <c r="RDH25" s="204"/>
      <c r="RDI25" s="204"/>
      <c r="RDJ25" s="204"/>
      <c r="RDK25" s="204"/>
      <c r="RDL25" s="204"/>
      <c r="RDM25" s="204"/>
      <c r="RDN25" s="204"/>
      <c r="RDO25" s="204"/>
      <c r="RDP25" s="204"/>
      <c r="RDQ25" s="204"/>
      <c r="RDR25" s="204"/>
      <c r="RDS25" s="204"/>
      <c r="RDT25" s="204"/>
      <c r="RDU25" s="204"/>
      <c r="RDV25" s="204"/>
      <c r="RDW25" s="204"/>
      <c r="RDX25" s="204"/>
      <c r="RDY25" s="204"/>
      <c r="RDZ25" s="204"/>
      <c r="REA25" s="204"/>
      <c r="REB25" s="204"/>
      <c r="REC25" s="204"/>
      <c r="RED25" s="204"/>
      <c r="REE25" s="204"/>
      <c r="REF25" s="204"/>
      <c r="REG25" s="204"/>
      <c r="REH25" s="204"/>
      <c r="REI25" s="204"/>
      <c r="REJ25" s="204"/>
      <c r="REK25" s="204"/>
      <c r="REL25" s="204"/>
      <c r="REM25" s="204"/>
      <c r="REN25" s="204"/>
      <c r="REO25" s="204"/>
      <c r="REP25" s="204"/>
      <c r="REQ25" s="204"/>
      <c r="RER25" s="204"/>
      <c r="RES25" s="204"/>
      <c r="RET25" s="204"/>
      <c r="REU25" s="204"/>
      <c r="REV25" s="204"/>
      <c r="REW25" s="204"/>
      <c r="REX25" s="204"/>
      <c r="REY25" s="204"/>
      <c r="REZ25" s="204"/>
      <c r="RFA25" s="204"/>
      <c r="RFB25" s="204"/>
      <c r="RFC25" s="204"/>
      <c r="RFD25" s="204"/>
      <c r="RFE25" s="204"/>
      <c r="RFF25" s="204"/>
      <c r="RFG25" s="204"/>
      <c r="RFH25" s="204"/>
      <c r="RFI25" s="204"/>
      <c r="RFJ25" s="204"/>
      <c r="RFK25" s="204"/>
      <c r="RFL25" s="204"/>
      <c r="RFM25" s="204"/>
      <c r="RFN25" s="204"/>
      <c r="RFO25" s="204"/>
      <c r="RFP25" s="204"/>
      <c r="RFQ25" s="204"/>
      <c r="RFR25" s="204"/>
      <c r="RFS25" s="204"/>
      <c r="RFT25" s="204"/>
      <c r="RFU25" s="204"/>
      <c r="RFV25" s="204"/>
      <c r="RFW25" s="204"/>
      <c r="RFX25" s="204"/>
      <c r="RFY25" s="204"/>
      <c r="RFZ25" s="204"/>
      <c r="RGA25" s="204"/>
      <c r="RGB25" s="204"/>
      <c r="RGC25" s="204"/>
      <c r="RGD25" s="204"/>
      <c r="RGE25" s="204"/>
      <c r="RGF25" s="204"/>
      <c r="RGG25" s="204"/>
      <c r="RGH25" s="204"/>
      <c r="RGI25" s="204"/>
      <c r="RGJ25" s="204"/>
      <c r="RGK25" s="204"/>
      <c r="RGL25" s="204"/>
      <c r="RGM25" s="204"/>
      <c r="RGN25" s="204"/>
      <c r="RGO25" s="204"/>
      <c r="RGP25" s="204"/>
      <c r="RGQ25" s="204"/>
      <c r="RGR25" s="204"/>
      <c r="RGS25" s="204"/>
      <c r="RGT25" s="204"/>
      <c r="RGU25" s="204"/>
      <c r="RGV25" s="204"/>
      <c r="RGW25" s="204"/>
      <c r="RGX25" s="204"/>
      <c r="RGY25" s="204"/>
      <c r="RGZ25" s="204"/>
      <c r="RHA25" s="204"/>
      <c r="RHB25" s="204"/>
      <c r="RHC25" s="204"/>
      <c r="RHD25" s="204"/>
      <c r="RHE25" s="204"/>
      <c r="RHF25" s="204"/>
      <c r="RHG25" s="204"/>
      <c r="RHH25" s="204"/>
      <c r="RHI25" s="204"/>
      <c r="RHJ25" s="204"/>
      <c r="RHK25" s="204"/>
      <c r="RHL25" s="204"/>
      <c r="RHM25" s="204"/>
      <c r="RHN25" s="204"/>
      <c r="RHO25" s="204"/>
      <c r="RHP25" s="204"/>
      <c r="RHQ25" s="204"/>
      <c r="RHR25" s="204"/>
      <c r="RHS25" s="204"/>
      <c r="RHT25" s="204"/>
      <c r="RHU25" s="204"/>
      <c r="RHV25" s="204"/>
      <c r="RHW25" s="204"/>
      <c r="RHX25" s="204"/>
      <c r="RHY25" s="204"/>
      <c r="RHZ25" s="204"/>
      <c r="RIA25" s="204"/>
      <c r="RIB25" s="204"/>
      <c r="RIC25" s="204"/>
      <c r="RID25" s="204"/>
      <c r="RIE25" s="204"/>
      <c r="RIF25" s="204"/>
      <c r="RIG25" s="204"/>
      <c r="RIH25" s="204"/>
      <c r="RII25" s="204"/>
      <c r="RIJ25" s="204"/>
      <c r="RIK25" s="204"/>
      <c r="RIL25" s="204"/>
      <c r="RIM25" s="204"/>
      <c r="RIN25" s="204"/>
      <c r="RIO25" s="204"/>
      <c r="RIP25" s="204"/>
      <c r="RIQ25" s="204"/>
      <c r="RIR25" s="204"/>
      <c r="RIS25" s="204"/>
      <c r="RIT25" s="204"/>
      <c r="RIU25" s="204"/>
      <c r="RIV25" s="204"/>
      <c r="RIW25" s="204"/>
      <c r="RIX25" s="204"/>
      <c r="RIY25" s="204"/>
      <c r="RIZ25" s="204"/>
      <c r="RJA25" s="204"/>
      <c r="RJB25" s="204"/>
      <c r="RJC25" s="204"/>
      <c r="RJD25" s="204"/>
      <c r="RJE25" s="204"/>
      <c r="RJF25" s="204"/>
      <c r="RJG25" s="204"/>
      <c r="RJH25" s="204"/>
      <c r="RJI25" s="204"/>
      <c r="RJJ25" s="204"/>
      <c r="RJK25" s="204"/>
      <c r="RJL25" s="204"/>
      <c r="RJM25" s="204"/>
      <c r="RJN25" s="204"/>
      <c r="RJO25" s="204"/>
      <c r="RJP25" s="204"/>
      <c r="RJQ25" s="204"/>
      <c r="RJR25" s="204"/>
      <c r="RJS25" s="204"/>
      <c r="RJT25" s="204"/>
      <c r="RJU25" s="204"/>
      <c r="RJV25" s="204"/>
      <c r="RJW25" s="204"/>
      <c r="RJX25" s="204"/>
      <c r="RJY25" s="204"/>
      <c r="RJZ25" s="204"/>
      <c r="RKA25" s="204"/>
      <c r="RKB25" s="204"/>
      <c r="RKC25" s="204"/>
      <c r="RKD25" s="204"/>
      <c r="RKE25" s="204"/>
      <c r="RKF25" s="204"/>
      <c r="RKG25" s="204"/>
      <c r="RKH25" s="204"/>
      <c r="RKI25" s="204"/>
      <c r="RKJ25" s="204"/>
      <c r="RKK25" s="204"/>
      <c r="RKL25" s="204"/>
      <c r="RKM25" s="204"/>
      <c r="RKN25" s="204"/>
      <c r="RKO25" s="204"/>
      <c r="RKP25" s="204"/>
      <c r="RKQ25" s="204"/>
      <c r="RKR25" s="204"/>
      <c r="RKS25" s="204"/>
      <c r="RKT25" s="204"/>
      <c r="RKU25" s="204"/>
      <c r="RKV25" s="204"/>
      <c r="RKW25" s="204"/>
      <c r="RKX25" s="204"/>
      <c r="RKY25" s="204"/>
      <c r="RKZ25" s="204"/>
      <c r="RLA25" s="204"/>
      <c r="RLB25" s="204"/>
      <c r="RLC25" s="204"/>
      <c r="RLD25" s="204"/>
      <c r="RLE25" s="204"/>
      <c r="RLF25" s="204"/>
      <c r="RLG25" s="204"/>
      <c r="RLH25" s="204"/>
      <c r="RLI25" s="204"/>
      <c r="RLJ25" s="204"/>
      <c r="RLK25" s="204"/>
      <c r="RLL25" s="204"/>
      <c r="RLM25" s="204"/>
      <c r="RLN25" s="204"/>
      <c r="RLO25" s="204"/>
      <c r="RLP25" s="204"/>
      <c r="RLQ25" s="204"/>
      <c r="RLR25" s="204"/>
      <c r="RLS25" s="204"/>
      <c r="RLT25" s="204"/>
      <c r="RLU25" s="204"/>
      <c r="RLV25" s="204"/>
      <c r="RLW25" s="204"/>
      <c r="RLX25" s="204"/>
      <c r="RLY25" s="204"/>
      <c r="RLZ25" s="204"/>
      <c r="RMA25" s="204"/>
      <c r="RMB25" s="204"/>
      <c r="RMC25" s="204"/>
      <c r="RMD25" s="204"/>
      <c r="RME25" s="204"/>
      <c r="RMF25" s="204"/>
      <c r="RMG25" s="204"/>
      <c r="RMH25" s="204"/>
      <c r="RMI25" s="204"/>
      <c r="RMJ25" s="204"/>
      <c r="RMK25" s="204"/>
      <c r="RML25" s="204"/>
      <c r="RMM25" s="204"/>
      <c r="RMN25" s="204"/>
      <c r="RMO25" s="204"/>
      <c r="RMP25" s="204"/>
      <c r="RMQ25" s="204"/>
      <c r="RMR25" s="204"/>
      <c r="RMS25" s="204"/>
      <c r="RMT25" s="204"/>
      <c r="RMU25" s="204"/>
      <c r="RMV25" s="204"/>
      <c r="RMW25" s="204"/>
      <c r="RMX25" s="204"/>
      <c r="RMY25" s="204"/>
      <c r="RMZ25" s="204"/>
      <c r="RNA25" s="204"/>
      <c r="RNB25" s="204"/>
      <c r="RNC25" s="204"/>
      <c r="RND25" s="204"/>
      <c r="RNE25" s="204"/>
      <c r="RNF25" s="204"/>
      <c r="RNG25" s="204"/>
      <c r="RNH25" s="204"/>
      <c r="RNI25" s="204"/>
      <c r="RNJ25" s="204"/>
      <c r="RNK25" s="204"/>
      <c r="RNL25" s="204"/>
      <c r="RNM25" s="204"/>
      <c r="RNN25" s="204"/>
      <c r="RNO25" s="204"/>
      <c r="RNP25" s="204"/>
      <c r="RNQ25" s="204"/>
      <c r="RNR25" s="204"/>
      <c r="RNS25" s="204"/>
      <c r="RNT25" s="204"/>
      <c r="RNU25" s="204"/>
      <c r="RNV25" s="204"/>
      <c r="RNW25" s="204"/>
      <c r="RNX25" s="204"/>
      <c r="RNY25" s="204"/>
      <c r="RNZ25" s="204"/>
      <c r="ROA25" s="204"/>
      <c r="ROB25" s="204"/>
      <c r="ROC25" s="204"/>
      <c r="ROD25" s="204"/>
      <c r="ROE25" s="204"/>
      <c r="ROF25" s="204"/>
      <c r="ROG25" s="204"/>
      <c r="ROH25" s="204"/>
      <c r="ROI25" s="204"/>
      <c r="ROJ25" s="204"/>
      <c r="ROK25" s="204"/>
      <c r="ROL25" s="204"/>
      <c r="ROM25" s="204"/>
      <c r="RON25" s="204"/>
      <c r="ROO25" s="204"/>
      <c r="ROP25" s="204"/>
      <c r="ROQ25" s="204"/>
      <c r="ROR25" s="204"/>
      <c r="ROS25" s="204"/>
      <c r="ROT25" s="204"/>
      <c r="ROU25" s="204"/>
      <c r="ROV25" s="204"/>
      <c r="ROW25" s="204"/>
      <c r="ROX25" s="204"/>
      <c r="ROY25" s="204"/>
      <c r="ROZ25" s="204"/>
      <c r="RPA25" s="204"/>
      <c r="RPB25" s="204"/>
      <c r="RPC25" s="204"/>
      <c r="RPD25" s="204"/>
      <c r="RPE25" s="204"/>
      <c r="RPF25" s="204"/>
      <c r="RPG25" s="204"/>
      <c r="RPH25" s="204"/>
      <c r="RPI25" s="204"/>
      <c r="RPJ25" s="204"/>
      <c r="RPK25" s="204"/>
      <c r="RPL25" s="204"/>
      <c r="RPM25" s="204"/>
      <c r="RPN25" s="204"/>
      <c r="RPO25" s="204"/>
      <c r="RPP25" s="204"/>
      <c r="RPQ25" s="204"/>
      <c r="RPR25" s="204"/>
      <c r="RPS25" s="204"/>
      <c r="RPT25" s="204"/>
      <c r="RPU25" s="204"/>
      <c r="RPV25" s="204"/>
      <c r="RPW25" s="204"/>
      <c r="RPX25" s="204"/>
      <c r="RPY25" s="204"/>
      <c r="RPZ25" s="204"/>
      <c r="RQA25" s="204"/>
      <c r="RQB25" s="204"/>
      <c r="RQC25" s="204"/>
      <c r="RQD25" s="204"/>
      <c r="RQE25" s="204"/>
      <c r="RQF25" s="204"/>
      <c r="RQG25" s="204"/>
      <c r="RQH25" s="204"/>
      <c r="RQI25" s="204"/>
      <c r="RQJ25" s="204"/>
      <c r="RQK25" s="204"/>
      <c r="RQL25" s="204"/>
      <c r="RQM25" s="204"/>
      <c r="RQN25" s="204"/>
      <c r="RQO25" s="204"/>
      <c r="RQP25" s="204"/>
      <c r="RQQ25" s="204"/>
      <c r="RQR25" s="204"/>
      <c r="RQS25" s="204"/>
      <c r="RQT25" s="204"/>
      <c r="RQU25" s="204"/>
      <c r="RQV25" s="204"/>
      <c r="RQW25" s="204"/>
      <c r="RQX25" s="204"/>
      <c r="RQY25" s="204"/>
      <c r="RQZ25" s="204"/>
      <c r="RRA25" s="204"/>
      <c r="RRB25" s="204"/>
      <c r="RRC25" s="204"/>
      <c r="RRD25" s="204"/>
      <c r="RRE25" s="204"/>
      <c r="RRF25" s="204"/>
      <c r="RRG25" s="204"/>
      <c r="RRH25" s="204"/>
      <c r="RRI25" s="204"/>
      <c r="RRJ25" s="204"/>
      <c r="RRK25" s="204"/>
      <c r="RRL25" s="204"/>
      <c r="RRM25" s="204"/>
      <c r="RRN25" s="204"/>
      <c r="RRO25" s="204"/>
      <c r="RRP25" s="204"/>
      <c r="RRQ25" s="204"/>
      <c r="RRR25" s="204"/>
      <c r="RRS25" s="204"/>
      <c r="RRT25" s="204"/>
      <c r="RRU25" s="204"/>
      <c r="RRV25" s="204"/>
      <c r="RRW25" s="204"/>
      <c r="RRX25" s="204"/>
      <c r="RRY25" s="204"/>
      <c r="RRZ25" s="204"/>
      <c r="RSA25" s="204"/>
      <c r="RSB25" s="204"/>
      <c r="RSC25" s="204"/>
      <c r="RSD25" s="204"/>
      <c r="RSE25" s="204"/>
      <c r="RSF25" s="204"/>
      <c r="RSG25" s="204"/>
      <c r="RSH25" s="204"/>
      <c r="RSI25" s="204"/>
      <c r="RSJ25" s="204"/>
      <c r="RSK25" s="204"/>
      <c r="RSL25" s="204"/>
      <c r="RSM25" s="204"/>
      <c r="RSN25" s="204"/>
      <c r="RSO25" s="204"/>
      <c r="RSP25" s="204"/>
      <c r="RSQ25" s="204"/>
      <c r="RSR25" s="204"/>
      <c r="RSS25" s="204"/>
      <c r="RST25" s="204"/>
      <c r="RSU25" s="204"/>
      <c r="RSV25" s="204"/>
      <c r="RSW25" s="204"/>
      <c r="RSX25" s="204"/>
      <c r="RSY25" s="204"/>
      <c r="RSZ25" s="204"/>
      <c r="RTA25" s="204"/>
      <c r="RTB25" s="204"/>
      <c r="RTC25" s="204"/>
      <c r="RTD25" s="204"/>
      <c r="RTE25" s="204"/>
      <c r="RTF25" s="204"/>
      <c r="RTG25" s="204"/>
      <c r="RTH25" s="204"/>
      <c r="RTI25" s="204"/>
      <c r="RTJ25" s="204"/>
      <c r="RTK25" s="204"/>
      <c r="RTL25" s="204"/>
      <c r="RTM25" s="204"/>
      <c r="RTN25" s="204"/>
      <c r="RTO25" s="204"/>
      <c r="RTP25" s="204"/>
      <c r="RTQ25" s="204"/>
      <c r="RTR25" s="204"/>
      <c r="RTS25" s="204"/>
      <c r="RTT25" s="204"/>
      <c r="RTU25" s="204"/>
      <c r="RTV25" s="204"/>
      <c r="RTW25" s="204"/>
      <c r="RTX25" s="204"/>
      <c r="RTY25" s="204"/>
      <c r="RTZ25" s="204"/>
      <c r="RUA25" s="204"/>
      <c r="RUB25" s="204"/>
      <c r="RUC25" s="204"/>
      <c r="RUD25" s="204"/>
      <c r="RUE25" s="204"/>
      <c r="RUF25" s="204"/>
      <c r="RUG25" s="204"/>
      <c r="RUH25" s="204"/>
      <c r="RUI25" s="204"/>
      <c r="RUJ25" s="204"/>
      <c r="RUK25" s="204"/>
      <c r="RUL25" s="204"/>
      <c r="RUM25" s="204"/>
      <c r="RUN25" s="204"/>
      <c r="RUO25" s="204"/>
      <c r="RUP25" s="204"/>
      <c r="RUQ25" s="204"/>
      <c r="RUR25" s="204"/>
      <c r="RUS25" s="204"/>
      <c r="RUT25" s="204"/>
      <c r="RUU25" s="204"/>
      <c r="RUV25" s="204"/>
      <c r="RUW25" s="204"/>
      <c r="RUX25" s="204"/>
      <c r="RUY25" s="204"/>
      <c r="RUZ25" s="204"/>
      <c r="RVA25" s="204"/>
      <c r="RVB25" s="204"/>
      <c r="RVC25" s="204"/>
      <c r="RVD25" s="204"/>
      <c r="RVE25" s="204"/>
      <c r="RVF25" s="204"/>
      <c r="RVG25" s="204"/>
      <c r="RVH25" s="204"/>
      <c r="RVI25" s="204"/>
      <c r="RVJ25" s="204"/>
      <c r="RVK25" s="204"/>
      <c r="RVL25" s="204"/>
      <c r="RVM25" s="204"/>
      <c r="RVN25" s="204"/>
      <c r="RVO25" s="204"/>
      <c r="RVP25" s="204"/>
      <c r="RVQ25" s="204"/>
      <c r="RVR25" s="204"/>
      <c r="RVS25" s="204"/>
      <c r="RVT25" s="204"/>
      <c r="RVU25" s="204"/>
      <c r="RVV25" s="204"/>
      <c r="RVW25" s="204"/>
      <c r="RVX25" s="204"/>
      <c r="RVY25" s="204"/>
      <c r="RVZ25" s="204"/>
      <c r="RWA25" s="204"/>
      <c r="RWB25" s="204"/>
      <c r="RWC25" s="204"/>
      <c r="RWD25" s="204"/>
      <c r="RWE25" s="204"/>
      <c r="RWF25" s="204"/>
      <c r="RWG25" s="204"/>
      <c r="RWH25" s="204"/>
      <c r="RWI25" s="204"/>
      <c r="RWJ25" s="204"/>
      <c r="RWK25" s="204"/>
      <c r="RWL25" s="204"/>
      <c r="RWM25" s="204"/>
      <c r="RWN25" s="204"/>
      <c r="RWO25" s="204"/>
      <c r="RWP25" s="204"/>
      <c r="RWQ25" s="204"/>
      <c r="RWR25" s="204"/>
      <c r="RWS25" s="204"/>
      <c r="RWT25" s="204"/>
      <c r="RWU25" s="204"/>
      <c r="RWV25" s="204"/>
      <c r="RWW25" s="204"/>
      <c r="RWX25" s="204"/>
      <c r="RWY25" s="204"/>
      <c r="RWZ25" s="204"/>
      <c r="RXA25" s="204"/>
      <c r="RXB25" s="204"/>
      <c r="RXC25" s="204"/>
      <c r="RXD25" s="204"/>
      <c r="RXE25" s="204"/>
      <c r="RXF25" s="204"/>
      <c r="RXG25" s="204"/>
      <c r="RXH25" s="204"/>
      <c r="RXI25" s="204"/>
      <c r="RXJ25" s="204"/>
      <c r="RXK25" s="204"/>
      <c r="RXL25" s="204"/>
      <c r="RXM25" s="204"/>
      <c r="RXN25" s="204"/>
      <c r="RXO25" s="204"/>
      <c r="RXP25" s="204"/>
      <c r="RXQ25" s="204"/>
      <c r="RXR25" s="204"/>
      <c r="RXS25" s="204"/>
      <c r="RXT25" s="204"/>
      <c r="RXU25" s="204"/>
      <c r="RXV25" s="204"/>
      <c r="RXW25" s="204"/>
      <c r="RXX25" s="204"/>
      <c r="RXY25" s="204"/>
      <c r="RXZ25" s="204"/>
      <c r="RYA25" s="204"/>
      <c r="RYB25" s="204"/>
      <c r="RYC25" s="204"/>
      <c r="RYD25" s="204"/>
      <c r="RYE25" s="204"/>
      <c r="RYF25" s="204"/>
      <c r="RYG25" s="204"/>
      <c r="RYH25" s="204"/>
      <c r="RYI25" s="204"/>
      <c r="RYJ25" s="204"/>
      <c r="RYK25" s="204"/>
      <c r="RYL25" s="204"/>
      <c r="RYM25" s="204"/>
      <c r="RYN25" s="204"/>
      <c r="RYO25" s="204"/>
      <c r="RYP25" s="204"/>
      <c r="RYQ25" s="204"/>
      <c r="RYR25" s="204"/>
      <c r="RYS25" s="204"/>
      <c r="RYT25" s="204"/>
      <c r="RYU25" s="204"/>
      <c r="RYV25" s="204"/>
      <c r="RYW25" s="204"/>
      <c r="RYX25" s="204"/>
      <c r="RYY25" s="204"/>
      <c r="RYZ25" s="204"/>
      <c r="RZA25" s="204"/>
      <c r="RZB25" s="204"/>
      <c r="RZC25" s="204"/>
      <c r="RZD25" s="204"/>
      <c r="RZE25" s="204"/>
      <c r="RZF25" s="204"/>
      <c r="RZG25" s="204"/>
      <c r="RZH25" s="204"/>
      <c r="RZI25" s="204"/>
      <c r="RZJ25" s="204"/>
      <c r="RZK25" s="204"/>
      <c r="RZL25" s="204"/>
      <c r="RZM25" s="204"/>
      <c r="RZN25" s="204"/>
      <c r="RZO25" s="204"/>
      <c r="RZP25" s="204"/>
      <c r="RZQ25" s="204"/>
      <c r="RZR25" s="204"/>
      <c r="RZS25" s="204"/>
      <c r="RZT25" s="204"/>
      <c r="RZU25" s="204"/>
      <c r="RZV25" s="204"/>
      <c r="RZW25" s="204"/>
      <c r="RZX25" s="204"/>
      <c r="RZY25" s="204"/>
      <c r="RZZ25" s="204"/>
      <c r="SAA25" s="204"/>
      <c r="SAB25" s="204"/>
      <c r="SAC25" s="204"/>
      <c r="SAD25" s="204"/>
      <c r="SAE25" s="204"/>
      <c r="SAF25" s="204"/>
      <c r="SAG25" s="204"/>
      <c r="SAH25" s="204"/>
      <c r="SAI25" s="204"/>
      <c r="SAJ25" s="204"/>
      <c r="SAK25" s="204"/>
      <c r="SAL25" s="204"/>
      <c r="SAM25" s="204"/>
      <c r="SAN25" s="204"/>
      <c r="SAO25" s="204"/>
      <c r="SAP25" s="204"/>
      <c r="SAQ25" s="204"/>
      <c r="SAR25" s="204"/>
      <c r="SAS25" s="204"/>
      <c r="SAT25" s="204"/>
      <c r="SAU25" s="204"/>
      <c r="SAV25" s="204"/>
      <c r="SAW25" s="204"/>
      <c r="SAX25" s="204"/>
      <c r="SAY25" s="204"/>
      <c r="SAZ25" s="204"/>
      <c r="SBA25" s="204"/>
      <c r="SBB25" s="204"/>
      <c r="SBC25" s="204"/>
      <c r="SBD25" s="204"/>
      <c r="SBE25" s="204"/>
      <c r="SBF25" s="204"/>
      <c r="SBG25" s="204"/>
      <c r="SBH25" s="204"/>
      <c r="SBI25" s="204"/>
      <c r="SBJ25" s="204"/>
      <c r="SBK25" s="204"/>
      <c r="SBL25" s="204"/>
      <c r="SBM25" s="204"/>
      <c r="SBN25" s="204"/>
      <c r="SBO25" s="204"/>
      <c r="SBP25" s="204"/>
      <c r="SBQ25" s="204"/>
      <c r="SBR25" s="204"/>
      <c r="SBS25" s="204"/>
      <c r="SBT25" s="204"/>
      <c r="SBU25" s="204"/>
      <c r="SBV25" s="204"/>
      <c r="SBW25" s="204"/>
      <c r="SBX25" s="204"/>
      <c r="SBY25" s="204"/>
      <c r="SBZ25" s="204"/>
      <c r="SCA25" s="204"/>
      <c r="SCB25" s="204"/>
      <c r="SCC25" s="204"/>
      <c r="SCD25" s="204"/>
      <c r="SCE25" s="204"/>
      <c r="SCF25" s="204"/>
      <c r="SCG25" s="204"/>
      <c r="SCH25" s="204"/>
      <c r="SCI25" s="204"/>
      <c r="SCJ25" s="204"/>
      <c r="SCK25" s="204"/>
      <c r="SCL25" s="204"/>
      <c r="SCM25" s="204"/>
      <c r="SCN25" s="204"/>
      <c r="SCO25" s="204"/>
      <c r="SCP25" s="204"/>
      <c r="SCQ25" s="204"/>
      <c r="SCR25" s="204"/>
      <c r="SCS25" s="204"/>
      <c r="SCT25" s="204"/>
      <c r="SCU25" s="204"/>
      <c r="SCV25" s="204"/>
      <c r="SCW25" s="204"/>
      <c r="SCX25" s="204"/>
      <c r="SCY25" s="204"/>
      <c r="SCZ25" s="204"/>
      <c r="SDA25" s="204"/>
      <c r="SDB25" s="204"/>
      <c r="SDC25" s="204"/>
      <c r="SDD25" s="204"/>
      <c r="SDE25" s="204"/>
      <c r="SDF25" s="204"/>
      <c r="SDG25" s="204"/>
      <c r="SDH25" s="204"/>
      <c r="SDI25" s="204"/>
      <c r="SDJ25" s="204"/>
      <c r="SDK25" s="204"/>
      <c r="SDL25" s="204"/>
      <c r="SDM25" s="204"/>
      <c r="SDN25" s="204"/>
      <c r="SDO25" s="204"/>
      <c r="SDP25" s="204"/>
      <c r="SDQ25" s="204"/>
      <c r="SDR25" s="204"/>
      <c r="SDS25" s="204"/>
      <c r="SDT25" s="204"/>
      <c r="SDU25" s="204"/>
      <c r="SDV25" s="204"/>
      <c r="SDW25" s="204"/>
      <c r="SDX25" s="204"/>
      <c r="SDY25" s="204"/>
      <c r="SDZ25" s="204"/>
      <c r="SEA25" s="204"/>
      <c r="SEB25" s="204"/>
      <c r="SEC25" s="204"/>
      <c r="SED25" s="204"/>
      <c r="SEE25" s="204"/>
      <c r="SEF25" s="204"/>
      <c r="SEG25" s="204"/>
      <c r="SEH25" s="204"/>
      <c r="SEI25" s="204"/>
      <c r="SEJ25" s="204"/>
      <c r="SEK25" s="204"/>
      <c r="SEL25" s="204"/>
      <c r="SEM25" s="204"/>
      <c r="SEN25" s="204"/>
      <c r="SEO25" s="204"/>
      <c r="SEP25" s="204"/>
      <c r="SEQ25" s="204"/>
      <c r="SER25" s="204"/>
      <c r="SES25" s="204"/>
      <c r="SET25" s="204"/>
      <c r="SEU25" s="204"/>
      <c r="SEV25" s="204"/>
      <c r="SEW25" s="204"/>
      <c r="SEX25" s="204"/>
      <c r="SEY25" s="204"/>
      <c r="SEZ25" s="204"/>
      <c r="SFA25" s="204"/>
      <c r="SFB25" s="204"/>
      <c r="SFC25" s="204"/>
      <c r="SFD25" s="204"/>
      <c r="SFE25" s="204"/>
      <c r="SFF25" s="204"/>
      <c r="SFG25" s="204"/>
      <c r="SFH25" s="204"/>
      <c r="SFI25" s="204"/>
      <c r="SFJ25" s="204"/>
      <c r="SFK25" s="204"/>
      <c r="SFL25" s="204"/>
      <c r="SFM25" s="204"/>
      <c r="SFN25" s="204"/>
      <c r="SFO25" s="204"/>
      <c r="SFP25" s="204"/>
      <c r="SFQ25" s="204"/>
      <c r="SFR25" s="204"/>
      <c r="SFS25" s="204"/>
      <c r="SFT25" s="204"/>
      <c r="SFU25" s="204"/>
      <c r="SFV25" s="204"/>
      <c r="SFW25" s="204"/>
      <c r="SFX25" s="204"/>
      <c r="SFY25" s="204"/>
      <c r="SFZ25" s="204"/>
      <c r="SGA25" s="204"/>
      <c r="SGB25" s="204"/>
      <c r="SGC25" s="204"/>
      <c r="SGD25" s="204"/>
      <c r="SGE25" s="204"/>
      <c r="SGF25" s="204"/>
      <c r="SGG25" s="204"/>
      <c r="SGH25" s="204"/>
      <c r="SGI25" s="204"/>
      <c r="SGJ25" s="204"/>
      <c r="SGK25" s="204"/>
      <c r="SGL25" s="204"/>
      <c r="SGM25" s="204"/>
      <c r="SGN25" s="204"/>
      <c r="SGO25" s="204"/>
      <c r="SGP25" s="204"/>
      <c r="SGQ25" s="204"/>
      <c r="SGR25" s="204"/>
      <c r="SGS25" s="204"/>
      <c r="SGT25" s="204"/>
      <c r="SGU25" s="204"/>
      <c r="SGV25" s="204"/>
      <c r="SGW25" s="204"/>
      <c r="SGX25" s="204"/>
      <c r="SGY25" s="204"/>
      <c r="SGZ25" s="204"/>
      <c r="SHA25" s="204"/>
      <c r="SHB25" s="204"/>
      <c r="SHC25" s="204"/>
      <c r="SHD25" s="204"/>
      <c r="SHE25" s="204"/>
      <c r="SHF25" s="204"/>
      <c r="SHG25" s="204"/>
      <c r="SHH25" s="204"/>
      <c r="SHI25" s="204"/>
      <c r="SHJ25" s="204"/>
      <c r="SHK25" s="204"/>
      <c r="SHL25" s="204"/>
      <c r="SHM25" s="204"/>
      <c r="SHN25" s="204"/>
      <c r="SHO25" s="204"/>
      <c r="SHP25" s="204"/>
      <c r="SHQ25" s="204"/>
      <c r="SHR25" s="204"/>
      <c r="SHS25" s="204"/>
      <c r="SHT25" s="204"/>
      <c r="SHU25" s="204"/>
      <c r="SHV25" s="204"/>
      <c r="SHW25" s="204"/>
      <c r="SHX25" s="204"/>
      <c r="SHY25" s="204"/>
      <c r="SHZ25" s="204"/>
      <c r="SIA25" s="204"/>
      <c r="SIB25" s="204"/>
      <c r="SIC25" s="204"/>
      <c r="SID25" s="204"/>
      <c r="SIE25" s="204"/>
      <c r="SIF25" s="204"/>
      <c r="SIG25" s="204"/>
      <c r="SIH25" s="204"/>
      <c r="SII25" s="204"/>
      <c r="SIJ25" s="204"/>
      <c r="SIK25" s="204"/>
      <c r="SIL25" s="204"/>
      <c r="SIM25" s="204"/>
      <c r="SIN25" s="204"/>
      <c r="SIO25" s="204"/>
      <c r="SIP25" s="204"/>
      <c r="SIQ25" s="204"/>
      <c r="SIR25" s="204"/>
      <c r="SIS25" s="204"/>
      <c r="SIT25" s="204"/>
      <c r="SIU25" s="204"/>
      <c r="SIV25" s="204"/>
      <c r="SIW25" s="204"/>
      <c r="SIX25" s="204"/>
      <c r="SIY25" s="204"/>
      <c r="SIZ25" s="204"/>
      <c r="SJA25" s="204"/>
      <c r="SJB25" s="204"/>
      <c r="SJC25" s="204"/>
      <c r="SJD25" s="204"/>
      <c r="SJE25" s="204"/>
      <c r="SJF25" s="204"/>
      <c r="SJG25" s="204"/>
      <c r="SJH25" s="204"/>
      <c r="SJI25" s="204"/>
      <c r="SJJ25" s="204"/>
      <c r="SJK25" s="204"/>
      <c r="SJL25" s="204"/>
      <c r="SJM25" s="204"/>
      <c r="SJN25" s="204"/>
      <c r="SJO25" s="204"/>
      <c r="SJP25" s="204"/>
      <c r="SJQ25" s="204"/>
      <c r="SJR25" s="204"/>
      <c r="SJS25" s="204"/>
      <c r="SJT25" s="204"/>
      <c r="SJU25" s="204"/>
      <c r="SJV25" s="204"/>
      <c r="SJW25" s="204"/>
      <c r="SJX25" s="204"/>
      <c r="SJY25" s="204"/>
      <c r="SJZ25" s="204"/>
      <c r="SKA25" s="204"/>
      <c r="SKB25" s="204"/>
      <c r="SKC25" s="204"/>
      <c r="SKD25" s="204"/>
      <c r="SKE25" s="204"/>
      <c r="SKF25" s="204"/>
      <c r="SKG25" s="204"/>
      <c r="SKH25" s="204"/>
      <c r="SKI25" s="204"/>
      <c r="SKJ25" s="204"/>
      <c r="SKK25" s="204"/>
      <c r="SKL25" s="204"/>
      <c r="SKM25" s="204"/>
      <c r="SKN25" s="204"/>
      <c r="SKO25" s="204"/>
      <c r="SKP25" s="204"/>
      <c r="SKQ25" s="204"/>
      <c r="SKR25" s="204"/>
      <c r="SKS25" s="204"/>
      <c r="SKT25" s="204"/>
      <c r="SKU25" s="204"/>
      <c r="SKV25" s="204"/>
      <c r="SKW25" s="204"/>
      <c r="SKX25" s="204"/>
      <c r="SKY25" s="204"/>
      <c r="SKZ25" s="204"/>
      <c r="SLA25" s="204"/>
      <c r="SLB25" s="204"/>
      <c r="SLC25" s="204"/>
      <c r="SLD25" s="204"/>
      <c r="SLE25" s="204"/>
      <c r="SLF25" s="204"/>
      <c r="SLG25" s="204"/>
      <c r="SLH25" s="204"/>
      <c r="SLI25" s="204"/>
      <c r="SLJ25" s="204"/>
      <c r="SLK25" s="204"/>
      <c r="SLL25" s="204"/>
      <c r="SLM25" s="204"/>
      <c r="SLN25" s="204"/>
      <c r="SLO25" s="204"/>
      <c r="SLP25" s="204"/>
      <c r="SLQ25" s="204"/>
      <c r="SLR25" s="204"/>
      <c r="SLS25" s="204"/>
      <c r="SLT25" s="204"/>
      <c r="SLU25" s="204"/>
      <c r="SLV25" s="204"/>
      <c r="SLW25" s="204"/>
      <c r="SLX25" s="204"/>
      <c r="SLY25" s="204"/>
      <c r="SLZ25" s="204"/>
      <c r="SMA25" s="204"/>
      <c r="SMB25" s="204"/>
      <c r="SMC25" s="204"/>
      <c r="SMD25" s="204"/>
      <c r="SME25" s="204"/>
      <c r="SMF25" s="204"/>
      <c r="SMG25" s="204"/>
      <c r="SMH25" s="204"/>
      <c r="SMI25" s="204"/>
      <c r="SMJ25" s="204"/>
      <c r="SMK25" s="204"/>
      <c r="SML25" s="204"/>
      <c r="SMM25" s="204"/>
      <c r="SMN25" s="204"/>
      <c r="SMO25" s="204"/>
      <c r="SMP25" s="204"/>
      <c r="SMQ25" s="204"/>
      <c r="SMR25" s="204"/>
      <c r="SMS25" s="204"/>
      <c r="SMT25" s="204"/>
      <c r="SMU25" s="204"/>
      <c r="SMV25" s="204"/>
      <c r="SMW25" s="204"/>
      <c r="SMX25" s="204"/>
      <c r="SMY25" s="204"/>
      <c r="SMZ25" s="204"/>
      <c r="SNA25" s="204"/>
      <c r="SNB25" s="204"/>
      <c r="SNC25" s="204"/>
      <c r="SND25" s="204"/>
      <c r="SNE25" s="204"/>
      <c r="SNF25" s="204"/>
      <c r="SNG25" s="204"/>
      <c r="SNH25" s="204"/>
      <c r="SNI25" s="204"/>
      <c r="SNJ25" s="204"/>
      <c r="SNK25" s="204"/>
      <c r="SNL25" s="204"/>
      <c r="SNM25" s="204"/>
      <c r="SNN25" s="204"/>
      <c r="SNO25" s="204"/>
      <c r="SNP25" s="204"/>
      <c r="SNQ25" s="204"/>
      <c r="SNR25" s="204"/>
      <c r="SNS25" s="204"/>
      <c r="SNT25" s="204"/>
      <c r="SNU25" s="204"/>
      <c r="SNV25" s="204"/>
      <c r="SNW25" s="204"/>
      <c r="SNX25" s="204"/>
      <c r="SNY25" s="204"/>
      <c r="SNZ25" s="204"/>
      <c r="SOA25" s="204"/>
      <c r="SOB25" s="204"/>
      <c r="SOC25" s="204"/>
      <c r="SOD25" s="204"/>
      <c r="SOE25" s="204"/>
      <c r="SOF25" s="204"/>
      <c r="SOG25" s="204"/>
      <c r="SOH25" s="204"/>
      <c r="SOI25" s="204"/>
      <c r="SOJ25" s="204"/>
      <c r="SOK25" s="204"/>
      <c r="SOL25" s="204"/>
      <c r="SOM25" s="204"/>
      <c r="SON25" s="204"/>
      <c r="SOO25" s="204"/>
      <c r="SOP25" s="204"/>
      <c r="SOQ25" s="204"/>
      <c r="SOR25" s="204"/>
      <c r="SOS25" s="204"/>
      <c r="SOT25" s="204"/>
      <c r="SOU25" s="204"/>
      <c r="SOV25" s="204"/>
      <c r="SOW25" s="204"/>
      <c r="SOX25" s="204"/>
      <c r="SOY25" s="204"/>
      <c r="SOZ25" s="204"/>
      <c r="SPA25" s="204"/>
      <c r="SPB25" s="204"/>
      <c r="SPC25" s="204"/>
      <c r="SPD25" s="204"/>
      <c r="SPE25" s="204"/>
      <c r="SPF25" s="204"/>
      <c r="SPG25" s="204"/>
      <c r="SPH25" s="204"/>
      <c r="SPI25" s="204"/>
      <c r="SPJ25" s="204"/>
      <c r="SPK25" s="204"/>
      <c r="SPL25" s="204"/>
      <c r="SPM25" s="204"/>
      <c r="SPN25" s="204"/>
      <c r="SPO25" s="204"/>
      <c r="SPP25" s="204"/>
      <c r="SPQ25" s="204"/>
      <c r="SPR25" s="204"/>
      <c r="SPS25" s="204"/>
      <c r="SPT25" s="204"/>
      <c r="SPU25" s="204"/>
      <c r="SPV25" s="204"/>
      <c r="SPW25" s="204"/>
      <c r="SPX25" s="204"/>
      <c r="SPY25" s="204"/>
      <c r="SPZ25" s="204"/>
      <c r="SQA25" s="204"/>
      <c r="SQB25" s="204"/>
      <c r="SQC25" s="204"/>
      <c r="SQD25" s="204"/>
      <c r="SQE25" s="204"/>
      <c r="SQF25" s="204"/>
      <c r="SQG25" s="204"/>
      <c r="SQH25" s="204"/>
      <c r="SQI25" s="204"/>
      <c r="SQJ25" s="204"/>
      <c r="SQK25" s="204"/>
      <c r="SQL25" s="204"/>
      <c r="SQM25" s="204"/>
      <c r="SQN25" s="204"/>
      <c r="SQO25" s="204"/>
      <c r="SQP25" s="204"/>
      <c r="SQQ25" s="204"/>
      <c r="SQR25" s="204"/>
      <c r="SQS25" s="204"/>
      <c r="SQT25" s="204"/>
      <c r="SQU25" s="204"/>
      <c r="SQV25" s="204"/>
      <c r="SQW25" s="204"/>
      <c r="SQX25" s="204"/>
      <c r="SQY25" s="204"/>
      <c r="SQZ25" s="204"/>
      <c r="SRA25" s="204"/>
      <c r="SRB25" s="204"/>
      <c r="SRC25" s="204"/>
      <c r="SRD25" s="204"/>
      <c r="SRE25" s="204"/>
      <c r="SRF25" s="204"/>
      <c r="SRG25" s="204"/>
      <c r="SRH25" s="204"/>
      <c r="SRI25" s="204"/>
      <c r="SRJ25" s="204"/>
      <c r="SRK25" s="204"/>
      <c r="SRL25" s="204"/>
      <c r="SRM25" s="204"/>
      <c r="SRN25" s="204"/>
      <c r="SRO25" s="204"/>
      <c r="SRP25" s="204"/>
      <c r="SRQ25" s="204"/>
      <c r="SRR25" s="204"/>
      <c r="SRS25" s="204"/>
      <c r="SRT25" s="204"/>
      <c r="SRU25" s="204"/>
      <c r="SRV25" s="204"/>
      <c r="SRW25" s="204"/>
      <c r="SRX25" s="204"/>
      <c r="SRY25" s="204"/>
      <c r="SRZ25" s="204"/>
      <c r="SSA25" s="204"/>
      <c r="SSB25" s="204"/>
      <c r="SSC25" s="204"/>
      <c r="SSD25" s="204"/>
      <c r="SSE25" s="204"/>
      <c r="SSF25" s="204"/>
      <c r="SSG25" s="204"/>
      <c r="SSH25" s="204"/>
      <c r="SSI25" s="204"/>
      <c r="SSJ25" s="204"/>
      <c r="SSK25" s="204"/>
      <c r="SSL25" s="204"/>
      <c r="SSM25" s="204"/>
      <c r="SSN25" s="204"/>
      <c r="SSO25" s="204"/>
      <c r="SSP25" s="204"/>
      <c r="SSQ25" s="204"/>
      <c r="SSR25" s="204"/>
      <c r="SSS25" s="204"/>
      <c r="SST25" s="204"/>
      <c r="SSU25" s="204"/>
      <c r="SSV25" s="204"/>
      <c r="SSW25" s="204"/>
      <c r="SSX25" s="204"/>
      <c r="SSY25" s="204"/>
      <c r="SSZ25" s="204"/>
      <c r="STA25" s="204"/>
      <c r="STB25" s="204"/>
      <c r="STC25" s="204"/>
      <c r="STD25" s="204"/>
      <c r="STE25" s="204"/>
      <c r="STF25" s="204"/>
      <c r="STG25" s="204"/>
      <c r="STH25" s="204"/>
      <c r="STI25" s="204"/>
      <c r="STJ25" s="204"/>
      <c r="STK25" s="204"/>
      <c r="STL25" s="204"/>
      <c r="STM25" s="204"/>
      <c r="STN25" s="204"/>
      <c r="STO25" s="204"/>
      <c r="STP25" s="204"/>
      <c r="STQ25" s="204"/>
      <c r="STR25" s="204"/>
      <c r="STS25" s="204"/>
      <c r="STT25" s="204"/>
      <c r="STU25" s="204"/>
      <c r="STV25" s="204"/>
      <c r="STW25" s="204"/>
      <c r="STX25" s="204"/>
      <c r="STY25" s="204"/>
      <c r="STZ25" s="204"/>
      <c r="SUA25" s="204"/>
      <c r="SUB25" s="204"/>
      <c r="SUC25" s="204"/>
      <c r="SUD25" s="204"/>
      <c r="SUE25" s="204"/>
      <c r="SUF25" s="204"/>
      <c r="SUG25" s="204"/>
      <c r="SUH25" s="204"/>
      <c r="SUI25" s="204"/>
      <c r="SUJ25" s="204"/>
      <c r="SUK25" s="204"/>
      <c r="SUL25" s="204"/>
      <c r="SUM25" s="204"/>
      <c r="SUN25" s="204"/>
      <c r="SUO25" s="204"/>
      <c r="SUP25" s="204"/>
      <c r="SUQ25" s="204"/>
      <c r="SUR25" s="204"/>
      <c r="SUS25" s="204"/>
      <c r="SUT25" s="204"/>
      <c r="SUU25" s="204"/>
      <c r="SUV25" s="204"/>
      <c r="SUW25" s="204"/>
      <c r="SUX25" s="204"/>
      <c r="SUY25" s="204"/>
      <c r="SUZ25" s="204"/>
      <c r="SVA25" s="204"/>
      <c r="SVB25" s="204"/>
      <c r="SVC25" s="204"/>
      <c r="SVD25" s="204"/>
      <c r="SVE25" s="204"/>
      <c r="SVF25" s="204"/>
      <c r="SVG25" s="204"/>
      <c r="SVH25" s="204"/>
      <c r="SVI25" s="204"/>
      <c r="SVJ25" s="204"/>
      <c r="SVK25" s="204"/>
      <c r="SVL25" s="204"/>
      <c r="SVM25" s="204"/>
      <c r="SVN25" s="204"/>
      <c r="SVO25" s="204"/>
      <c r="SVP25" s="204"/>
      <c r="SVQ25" s="204"/>
      <c r="SVR25" s="204"/>
      <c r="SVS25" s="204"/>
      <c r="SVT25" s="204"/>
      <c r="SVU25" s="204"/>
      <c r="SVV25" s="204"/>
      <c r="SVW25" s="204"/>
      <c r="SVX25" s="204"/>
      <c r="SVY25" s="204"/>
      <c r="SVZ25" s="204"/>
      <c r="SWA25" s="204"/>
      <c r="SWB25" s="204"/>
      <c r="SWC25" s="204"/>
      <c r="SWD25" s="204"/>
      <c r="SWE25" s="204"/>
      <c r="SWF25" s="204"/>
      <c r="SWG25" s="204"/>
      <c r="SWH25" s="204"/>
      <c r="SWI25" s="204"/>
      <c r="SWJ25" s="204"/>
      <c r="SWK25" s="204"/>
      <c r="SWL25" s="204"/>
      <c r="SWM25" s="204"/>
      <c r="SWN25" s="204"/>
      <c r="SWO25" s="204"/>
      <c r="SWP25" s="204"/>
      <c r="SWQ25" s="204"/>
      <c r="SWR25" s="204"/>
      <c r="SWS25" s="204"/>
      <c r="SWT25" s="204"/>
      <c r="SWU25" s="204"/>
      <c r="SWV25" s="204"/>
      <c r="SWW25" s="204"/>
      <c r="SWX25" s="204"/>
      <c r="SWY25" s="204"/>
      <c r="SWZ25" s="204"/>
      <c r="SXA25" s="204"/>
      <c r="SXB25" s="204"/>
      <c r="SXC25" s="204"/>
      <c r="SXD25" s="204"/>
      <c r="SXE25" s="204"/>
      <c r="SXF25" s="204"/>
      <c r="SXG25" s="204"/>
      <c r="SXH25" s="204"/>
      <c r="SXI25" s="204"/>
      <c r="SXJ25" s="204"/>
      <c r="SXK25" s="204"/>
      <c r="SXL25" s="204"/>
      <c r="SXM25" s="204"/>
      <c r="SXN25" s="204"/>
      <c r="SXO25" s="204"/>
      <c r="SXP25" s="204"/>
      <c r="SXQ25" s="204"/>
      <c r="SXR25" s="204"/>
      <c r="SXS25" s="204"/>
      <c r="SXT25" s="204"/>
      <c r="SXU25" s="204"/>
      <c r="SXV25" s="204"/>
      <c r="SXW25" s="204"/>
      <c r="SXX25" s="204"/>
      <c r="SXY25" s="204"/>
      <c r="SXZ25" s="204"/>
      <c r="SYA25" s="204"/>
      <c r="SYB25" s="204"/>
      <c r="SYC25" s="204"/>
      <c r="SYD25" s="204"/>
      <c r="SYE25" s="204"/>
      <c r="SYF25" s="204"/>
      <c r="SYG25" s="204"/>
      <c r="SYH25" s="204"/>
      <c r="SYI25" s="204"/>
      <c r="SYJ25" s="204"/>
      <c r="SYK25" s="204"/>
      <c r="SYL25" s="204"/>
      <c r="SYM25" s="204"/>
      <c r="SYN25" s="204"/>
      <c r="SYO25" s="204"/>
      <c r="SYP25" s="204"/>
      <c r="SYQ25" s="204"/>
      <c r="SYR25" s="204"/>
      <c r="SYS25" s="204"/>
      <c r="SYT25" s="204"/>
      <c r="SYU25" s="204"/>
      <c r="SYV25" s="204"/>
      <c r="SYW25" s="204"/>
      <c r="SYX25" s="204"/>
      <c r="SYY25" s="204"/>
      <c r="SYZ25" s="204"/>
      <c r="SZA25" s="204"/>
      <c r="SZB25" s="204"/>
      <c r="SZC25" s="204"/>
      <c r="SZD25" s="204"/>
      <c r="SZE25" s="204"/>
      <c r="SZF25" s="204"/>
      <c r="SZG25" s="204"/>
      <c r="SZH25" s="204"/>
      <c r="SZI25" s="204"/>
      <c r="SZJ25" s="204"/>
      <c r="SZK25" s="204"/>
      <c r="SZL25" s="204"/>
      <c r="SZM25" s="204"/>
      <c r="SZN25" s="204"/>
      <c r="SZO25" s="204"/>
      <c r="SZP25" s="204"/>
      <c r="SZQ25" s="204"/>
      <c r="SZR25" s="204"/>
      <c r="SZS25" s="204"/>
      <c r="SZT25" s="204"/>
      <c r="SZU25" s="204"/>
      <c r="SZV25" s="204"/>
      <c r="SZW25" s="204"/>
      <c r="SZX25" s="204"/>
      <c r="SZY25" s="204"/>
      <c r="SZZ25" s="204"/>
      <c r="TAA25" s="204"/>
      <c r="TAB25" s="204"/>
      <c r="TAC25" s="204"/>
      <c r="TAD25" s="204"/>
      <c r="TAE25" s="204"/>
      <c r="TAF25" s="204"/>
      <c r="TAG25" s="204"/>
      <c r="TAH25" s="204"/>
      <c r="TAI25" s="204"/>
      <c r="TAJ25" s="204"/>
      <c r="TAK25" s="204"/>
      <c r="TAL25" s="204"/>
      <c r="TAM25" s="204"/>
      <c r="TAN25" s="204"/>
      <c r="TAO25" s="204"/>
      <c r="TAP25" s="204"/>
      <c r="TAQ25" s="204"/>
      <c r="TAR25" s="204"/>
      <c r="TAS25" s="204"/>
      <c r="TAT25" s="204"/>
      <c r="TAU25" s="204"/>
      <c r="TAV25" s="204"/>
      <c r="TAW25" s="204"/>
      <c r="TAX25" s="204"/>
      <c r="TAY25" s="204"/>
      <c r="TAZ25" s="204"/>
      <c r="TBA25" s="204"/>
      <c r="TBB25" s="204"/>
      <c r="TBC25" s="204"/>
      <c r="TBD25" s="204"/>
      <c r="TBE25" s="204"/>
      <c r="TBF25" s="204"/>
      <c r="TBG25" s="204"/>
      <c r="TBH25" s="204"/>
      <c r="TBI25" s="204"/>
      <c r="TBJ25" s="204"/>
      <c r="TBK25" s="204"/>
      <c r="TBL25" s="204"/>
      <c r="TBM25" s="204"/>
      <c r="TBN25" s="204"/>
      <c r="TBO25" s="204"/>
      <c r="TBP25" s="204"/>
      <c r="TBQ25" s="204"/>
      <c r="TBR25" s="204"/>
      <c r="TBS25" s="204"/>
      <c r="TBT25" s="204"/>
      <c r="TBU25" s="204"/>
      <c r="TBV25" s="204"/>
      <c r="TBW25" s="204"/>
      <c r="TBX25" s="204"/>
      <c r="TBY25" s="204"/>
      <c r="TBZ25" s="204"/>
      <c r="TCA25" s="204"/>
      <c r="TCB25" s="204"/>
      <c r="TCC25" s="204"/>
      <c r="TCD25" s="204"/>
      <c r="TCE25" s="204"/>
      <c r="TCF25" s="204"/>
      <c r="TCG25" s="204"/>
      <c r="TCH25" s="204"/>
      <c r="TCI25" s="204"/>
      <c r="TCJ25" s="204"/>
      <c r="TCK25" s="204"/>
      <c r="TCL25" s="204"/>
      <c r="TCM25" s="204"/>
      <c r="TCN25" s="204"/>
      <c r="TCO25" s="204"/>
      <c r="TCP25" s="204"/>
      <c r="TCQ25" s="204"/>
      <c r="TCR25" s="204"/>
      <c r="TCS25" s="204"/>
      <c r="TCT25" s="204"/>
      <c r="TCU25" s="204"/>
      <c r="TCV25" s="204"/>
      <c r="TCW25" s="204"/>
      <c r="TCX25" s="204"/>
      <c r="TCY25" s="204"/>
      <c r="TCZ25" s="204"/>
      <c r="TDA25" s="204"/>
      <c r="TDB25" s="204"/>
      <c r="TDC25" s="204"/>
      <c r="TDD25" s="204"/>
      <c r="TDE25" s="204"/>
      <c r="TDF25" s="204"/>
      <c r="TDG25" s="204"/>
      <c r="TDH25" s="204"/>
      <c r="TDI25" s="204"/>
      <c r="TDJ25" s="204"/>
      <c r="TDK25" s="204"/>
      <c r="TDL25" s="204"/>
      <c r="TDM25" s="204"/>
      <c r="TDN25" s="204"/>
      <c r="TDO25" s="204"/>
      <c r="TDP25" s="204"/>
      <c r="TDQ25" s="204"/>
      <c r="TDR25" s="204"/>
      <c r="TDS25" s="204"/>
      <c r="TDT25" s="204"/>
      <c r="TDU25" s="204"/>
      <c r="TDV25" s="204"/>
      <c r="TDW25" s="204"/>
      <c r="TDX25" s="204"/>
      <c r="TDY25" s="204"/>
      <c r="TDZ25" s="204"/>
      <c r="TEA25" s="204"/>
      <c r="TEB25" s="204"/>
      <c r="TEC25" s="204"/>
      <c r="TED25" s="204"/>
      <c r="TEE25" s="204"/>
      <c r="TEF25" s="204"/>
      <c r="TEG25" s="204"/>
      <c r="TEH25" s="204"/>
      <c r="TEI25" s="204"/>
      <c r="TEJ25" s="204"/>
      <c r="TEK25" s="204"/>
      <c r="TEL25" s="204"/>
      <c r="TEM25" s="204"/>
      <c r="TEN25" s="204"/>
      <c r="TEO25" s="204"/>
      <c r="TEP25" s="204"/>
      <c r="TEQ25" s="204"/>
      <c r="TER25" s="204"/>
      <c r="TES25" s="204"/>
      <c r="TET25" s="204"/>
      <c r="TEU25" s="204"/>
      <c r="TEV25" s="204"/>
      <c r="TEW25" s="204"/>
      <c r="TEX25" s="204"/>
      <c r="TEY25" s="204"/>
      <c r="TEZ25" s="204"/>
      <c r="TFA25" s="204"/>
      <c r="TFB25" s="204"/>
      <c r="TFC25" s="204"/>
      <c r="TFD25" s="204"/>
      <c r="TFE25" s="204"/>
      <c r="TFF25" s="204"/>
      <c r="TFG25" s="204"/>
      <c r="TFH25" s="204"/>
      <c r="TFI25" s="204"/>
      <c r="TFJ25" s="204"/>
      <c r="TFK25" s="204"/>
      <c r="TFL25" s="204"/>
      <c r="TFM25" s="204"/>
      <c r="TFN25" s="204"/>
      <c r="TFO25" s="204"/>
      <c r="TFP25" s="204"/>
      <c r="TFQ25" s="204"/>
      <c r="TFR25" s="204"/>
      <c r="TFS25" s="204"/>
      <c r="TFT25" s="204"/>
      <c r="TFU25" s="204"/>
      <c r="TFV25" s="204"/>
      <c r="TFW25" s="204"/>
      <c r="TFX25" s="204"/>
      <c r="TFY25" s="204"/>
      <c r="TFZ25" s="204"/>
      <c r="TGA25" s="204"/>
      <c r="TGB25" s="204"/>
      <c r="TGC25" s="204"/>
      <c r="TGD25" s="204"/>
      <c r="TGE25" s="204"/>
      <c r="TGF25" s="204"/>
      <c r="TGG25" s="204"/>
      <c r="TGH25" s="204"/>
      <c r="TGI25" s="204"/>
      <c r="TGJ25" s="204"/>
      <c r="TGK25" s="204"/>
      <c r="TGL25" s="204"/>
      <c r="TGM25" s="204"/>
      <c r="TGN25" s="204"/>
      <c r="TGO25" s="204"/>
      <c r="TGP25" s="204"/>
      <c r="TGQ25" s="204"/>
      <c r="TGR25" s="204"/>
      <c r="TGS25" s="204"/>
      <c r="TGT25" s="204"/>
      <c r="TGU25" s="204"/>
      <c r="TGV25" s="204"/>
      <c r="TGW25" s="204"/>
      <c r="TGX25" s="204"/>
      <c r="TGY25" s="204"/>
      <c r="TGZ25" s="204"/>
      <c r="THA25" s="204"/>
      <c r="THB25" s="204"/>
      <c r="THC25" s="204"/>
      <c r="THD25" s="204"/>
      <c r="THE25" s="204"/>
      <c r="THF25" s="204"/>
      <c r="THG25" s="204"/>
      <c r="THH25" s="204"/>
      <c r="THI25" s="204"/>
      <c r="THJ25" s="204"/>
      <c r="THK25" s="204"/>
      <c r="THL25" s="204"/>
      <c r="THM25" s="204"/>
      <c r="THN25" s="204"/>
      <c r="THO25" s="204"/>
      <c r="THP25" s="204"/>
      <c r="THQ25" s="204"/>
      <c r="THR25" s="204"/>
      <c r="THS25" s="204"/>
      <c r="THT25" s="204"/>
      <c r="THU25" s="204"/>
      <c r="THV25" s="204"/>
      <c r="THW25" s="204"/>
      <c r="THX25" s="204"/>
      <c r="THY25" s="204"/>
      <c r="THZ25" s="204"/>
      <c r="TIA25" s="204"/>
      <c r="TIB25" s="204"/>
      <c r="TIC25" s="204"/>
      <c r="TID25" s="204"/>
      <c r="TIE25" s="204"/>
      <c r="TIF25" s="204"/>
      <c r="TIG25" s="204"/>
      <c r="TIH25" s="204"/>
      <c r="TII25" s="204"/>
      <c r="TIJ25" s="204"/>
      <c r="TIK25" s="204"/>
      <c r="TIL25" s="204"/>
      <c r="TIM25" s="204"/>
      <c r="TIN25" s="204"/>
      <c r="TIO25" s="204"/>
      <c r="TIP25" s="204"/>
      <c r="TIQ25" s="204"/>
      <c r="TIR25" s="204"/>
      <c r="TIS25" s="204"/>
      <c r="TIT25" s="204"/>
      <c r="TIU25" s="204"/>
      <c r="TIV25" s="204"/>
      <c r="TIW25" s="204"/>
      <c r="TIX25" s="204"/>
      <c r="TIY25" s="204"/>
      <c r="TIZ25" s="204"/>
      <c r="TJA25" s="204"/>
      <c r="TJB25" s="204"/>
      <c r="TJC25" s="204"/>
      <c r="TJD25" s="204"/>
      <c r="TJE25" s="204"/>
      <c r="TJF25" s="204"/>
      <c r="TJG25" s="204"/>
      <c r="TJH25" s="204"/>
      <c r="TJI25" s="204"/>
      <c r="TJJ25" s="204"/>
      <c r="TJK25" s="204"/>
      <c r="TJL25" s="204"/>
      <c r="TJM25" s="204"/>
      <c r="TJN25" s="204"/>
      <c r="TJO25" s="204"/>
      <c r="TJP25" s="204"/>
      <c r="TJQ25" s="204"/>
      <c r="TJR25" s="204"/>
      <c r="TJS25" s="204"/>
      <c r="TJT25" s="204"/>
      <c r="TJU25" s="204"/>
      <c r="TJV25" s="204"/>
      <c r="TJW25" s="204"/>
      <c r="TJX25" s="204"/>
      <c r="TJY25" s="204"/>
      <c r="TJZ25" s="204"/>
      <c r="TKA25" s="204"/>
      <c r="TKB25" s="204"/>
      <c r="TKC25" s="204"/>
      <c r="TKD25" s="204"/>
      <c r="TKE25" s="204"/>
      <c r="TKF25" s="204"/>
      <c r="TKG25" s="204"/>
      <c r="TKH25" s="204"/>
      <c r="TKI25" s="204"/>
      <c r="TKJ25" s="204"/>
      <c r="TKK25" s="204"/>
      <c r="TKL25" s="204"/>
      <c r="TKM25" s="204"/>
      <c r="TKN25" s="204"/>
      <c r="TKO25" s="204"/>
      <c r="TKP25" s="204"/>
      <c r="TKQ25" s="204"/>
      <c r="TKR25" s="204"/>
      <c r="TKS25" s="204"/>
      <c r="TKT25" s="204"/>
      <c r="TKU25" s="204"/>
      <c r="TKV25" s="204"/>
      <c r="TKW25" s="204"/>
      <c r="TKX25" s="204"/>
      <c r="TKY25" s="204"/>
      <c r="TKZ25" s="204"/>
      <c r="TLA25" s="204"/>
      <c r="TLB25" s="204"/>
      <c r="TLC25" s="204"/>
      <c r="TLD25" s="204"/>
      <c r="TLE25" s="204"/>
      <c r="TLF25" s="204"/>
      <c r="TLG25" s="204"/>
      <c r="TLH25" s="204"/>
      <c r="TLI25" s="204"/>
      <c r="TLJ25" s="204"/>
      <c r="TLK25" s="204"/>
      <c r="TLL25" s="204"/>
      <c r="TLM25" s="204"/>
      <c r="TLN25" s="204"/>
      <c r="TLO25" s="204"/>
      <c r="TLP25" s="204"/>
      <c r="TLQ25" s="204"/>
      <c r="TLR25" s="204"/>
      <c r="TLS25" s="204"/>
      <c r="TLT25" s="204"/>
      <c r="TLU25" s="204"/>
      <c r="TLV25" s="204"/>
      <c r="TLW25" s="204"/>
      <c r="TLX25" s="204"/>
      <c r="TLY25" s="204"/>
      <c r="TLZ25" s="204"/>
      <c r="TMA25" s="204"/>
      <c r="TMB25" s="204"/>
      <c r="TMC25" s="204"/>
      <c r="TMD25" s="204"/>
      <c r="TME25" s="204"/>
      <c r="TMF25" s="204"/>
      <c r="TMG25" s="204"/>
      <c r="TMH25" s="204"/>
      <c r="TMI25" s="204"/>
      <c r="TMJ25" s="204"/>
      <c r="TMK25" s="204"/>
      <c r="TML25" s="204"/>
      <c r="TMM25" s="204"/>
      <c r="TMN25" s="204"/>
      <c r="TMO25" s="204"/>
      <c r="TMP25" s="204"/>
      <c r="TMQ25" s="204"/>
      <c r="TMR25" s="204"/>
      <c r="TMS25" s="204"/>
      <c r="TMT25" s="204"/>
      <c r="TMU25" s="204"/>
      <c r="TMV25" s="204"/>
      <c r="TMW25" s="204"/>
      <c r="TMX25" s="204"/>
      <c r="TMY25" s="204"/>
      <c r="TMZ25" s="204"/>
      <c r="TNA25" s="204"/>
      <c r="TNB25" s="204"/>
      <c r="TNC25" s="204"/>
      <c r="TND25" s="204"/>
      <c r="TNE25" s="204"/>
      <c r="TNF25" s="204"/>
      <c r="TNG25" s="204"/>
      <c r="TNH25" s="204"/>
      <c r="TNI25" s="204"/>
      <c r="TNJ25" s="204"/>
      <c r="TNK25" s="204"/>
      <c r="TNL25" s="204"/>
      <c r="TNM25" s="204"/>
      <c r="TNN25" s="204"/>
      <c r="TNO25" s="204"/>
      <c r="TNP25" s="204"/>
      <c r="TNQ25" s="204"/>
      <c r="TNR25" s="204"/>
      <c r="TNS25" s="204"/>
      <c r="TNT25" s="204"/>
      <c r="TNU25" s="204"/>
      <c r="TNV25" s="204"/>
      <c r="TNW25" s="204"/>
      <c r="TNX25" s="204"/>
      <c r="TNY25" s="204"/>
      <c r="TNZ25" s="204"/>
      <c r="TOA25" s="204"/>
      <c r="TOB25" s="204"/>
      <c r="TOC25" s="204"/>
      <c r="TOD25" s="204"/>
      <c r="TOE25" s="204"/>
      <c r="TOF25" s="204"/>
      <c r="TOG25" s="204"/>
      <c r="TOH25" s="204"/>
      <c r="TOI25" s="204"/>
      <c r="TOJ25" s="204"/>
      <c r="TOK25" s="204"/>
      <c r="TOL25" s="204"/>
      <c r="TOM25" s="204"/>
      <c r="TON25" s="204"/>
      <c r="TOO25" s="204"/>
      <c r="TOP25" s="204"/>
      <c r="TOQ25" s="204"/>
      <c r="TOR25" s="204"/>
      <c r="TOS25" s="204"/>
      <c r="TOT25" s="204"/>
      <c r="TOU25" s="204"/>
      <c r="TOV25" s="204"/>
      <c r="TOW25" s="204"/>
      <c r="TOX25" s="204"/>
      <c r="TOY25" s="204"/>
      <c r="TOZ25" s="204"/>
      <c r="TPA25" s="204"/>
      <c r="TPB25" s="204"/>
      <c r="TPC25" s="204"/>
      <c r="TPD25" s="204"/>
      <c r="TPE25" s="204"/>
      <c r="TPF25" s="204"/>
      <c r="TPG25" s="204"/>
      <c r="TPH25" s="204"/>
      <c r="TPI25" s="204"/>
      <c r="TPJ25" s="204"/>
      <c r="TPK25" s="204"/>
      <c r="TPL25" s="204"/>
      <c r="TPM25" s="204"/>
      <c r="TPN25" s="204"/>
      <c r="TPO25" s="204"/>
      <c r="TPP25" s="204"/>
      <c r="TPQ25" s="204"/>
      <c r="TPR25" s="204"/>
      <c r="TPS25" s="204"/>
      <c r="TPT25" s="204"/>
      <c r="TPU25" s="204"/>
      <c r="TPV25" s="204"/>
      <c r="TPW25" s="204"/>
      <c r="TPX25" s="204"/>
      <c r="TPY25" s="204"/>
      <c r="TPZ25" s="204"/>
      <c r="TQA25" s="204"/>
      <c r="TQB25" s="204"/>
      <c r="TQC25" s="204"/>
      <c r="TQD25" s="204"/>
      <c r="TQE25" s="204"/>
      <c r="TQF25" s="204"/>
      <c r="TQG25" s="204"/>
      <c r="TQH25" s="204"/>
      <c r="TQI25" s="204"/>
      <c r="TQJ25" s="204"/>
      <c r="TQK25" s="204"/>
      <c r="TQL25" s="204"/>
      <c r="TQM25" s="204"/>
      <c r="TQN25" s="204"/>
      <c r="TQO25" s="204"/>
      <c r="TQP25" s="204"/>
      <c r="TQQ25" s="204"/>
      <c r="TQR25" s="204"/>
      <c r="TQS25" s="204"/>
      <c r="TQT25" s="204"/>
      <c r="TQU25" s="204"/>
      <c r="TQV25" s="204"/>
      <c r="TQW25" s="204"/>
      <c r="TQX25" s="204"/>
      <c r="TQY25" s="204"/>
      <c r="TQZ25" s="204"/>
      <c r="TRA25" s="204"/>
      <c r="TRB25" s="204"/>
      <c r="TRC25" s="204"/>
      <c r="TRD25" s="204"/>
      <c r="TRE25" s="204"/>
      <c r="TRF25" s="204"/>
      <c r="TRG25" s="204"/>
      <c r="TRH25" s="204"/>
      <c r="TRI25" s="204"/>
      <c r="TRJ25" s="204"/>
      <c r="TRK25" s="204"/>
      <c r="TRL25" s="204"/>
      <c r="TRM25" s="204"/>
      <c r="TRN25" s="204"/>
      <c r="TRO25" s="204"/>
      <c r="TRP25" s="204"/>
      <c r="TRQ25" s="204"/>
      <c r="TRR25" s="204"/>
      <c r="TRS25" s="204"/>
      <c r="TRT25" s="204"/>
      <c r="TRU25" s="204"/>
      <c r="TRV25" s="204"/>
      <c r="TRW25" s="204"/>
      <c r="TRX25" s="204"/>
      <c r="TRY25" s="204"/>
      <c r="TRZ25" s="204"/>
      <c r="TSA25" s="204"/>
      <c r="TSB25" s="204"/>
      <c r="TSC25" s="204"/>
      <c r="TSD25" s="204"/>
      <c r="TSE25" s="204"/>
      <c r="TSF25" s="204"/>
      <c r="TSG25" s="204"/>
      <c r="TSH25" s="204"/>
      <c r="TSI25" s="204"/>
      <c r="TSJ25" s="204"/>
      <c r="TSK25" s="204"/>
      <c r="TSL25" s="204"/>
      <c r="TSM25" s="204"/>
      <c r="TSN25" s="204"/>
      <c r="TSO25" s="204"/>
      <c r="TSP25" s="204"/>
      <c r="TSQ25" s="204"/>
      <c r="TSR25" s="204"/>
      <c r="TSS25" s="204"/>
      <c r="TST25" s="204"/>
      <c r="TSU25" s="204"/>
      <c r="TSV25" s="204"/>
      <c r="TSW25" s="204"/>
      <c r="TSX25" s="204"/>
      <c r="TSY25" s="204"/>
      <c r="TSZ25" s="204"/>
      <c r="TTA25" s="204"/>
      <c r="TTB25" s="204"/>
      <c r="TTC25" s="204"/>
      <c r="TTD25" s="204"/>
      <c r="TTE25" s="204"/>
      <c r="TTF25" s="204"/>
      <c r="TTG25" s="204"/>
      <c r="TTH25" s="204"/>
      <c r="TTI25" s="204"/>
      <c r="TTJ25" s="204"/>
      <c r="TTK25" s="204"/>
      <c r="TTL25" s="204"/>
      <c r="TTM25" s="204"/>
      <c r="TTN25" s="204"/>
      <c r="TTO25" s="204"/>
      <c r="TTP25" s="204"/>
      <c r="TTQ25" s="204"/>
      <c r="TTR25" s="204"/>
      <c r="TTS25" s="204"/>
      <c r="TTT25" s="204"/>
      <c r="TTU25" s="204"/>
      <c r="TTV25" s="204"/>
      <c r="TTW25" s="204"/>
      <c r="TTX25" s="204"/>
      <c r="TTY25" s="204"/>
      <c r="TTZ25" s="204"/>
      <c r="TUA25" s="204"/>
      <c r="TUB25" s="204"/>
      <c r="TUC25" s="204"/>
      <c r="TUD25" s="204"/>
      <c r="TUE25" s="204"/>
      <c r="TUF25" s="204"/>
      <c r="TUG25" s="204"/>
      <c r="TUH25" s="204"/>
      <c r="TUI25" s="204"/>
      <c r="TUJ25" s="204"/>
      <c r="TUK25" s="204"/>
      <c r="TUL25" s="204"/>
      <c r="TUM25" s="204"/>
      <c r="TUN25" s="204"/>
      <c r="TUO25" s="204"/>
      <c r="TUP25" s="204"/>
      <c r="TUQ25" s="204"/>
      <c r="TUR25" s="204"/>
      <c r="TUS25" s="204"/>
      <c r="TUT25" s="204"/>
      <c r="TUU25" s="204"/>
      <c r="TUV25" s="204"/>
      <c r="TUW25" s="204"/>
      <c r="TUX25" s="204"/>
      <c r="TUY25" s="204"/>
      <c r="TUZ25" s="204"/>
      <c r="TVA25" s="204"/>
      <c r="TVB25" s="204"/>
      <c r="TVC25" s="204"/>
      <c r="TVD25" s="204"/>
      <c r="TVE25" s="204"/>
      <c r="TVF25" s="204"/>
      <c r="TVG25" s="204"/>
      <c r="TVH25" s="204"/>
      <c r="TVI25" s="204"/>
      <c r="TVJ25" s="204"/>
      <c r="TVK25" s="204"/>
      <c r="TVL25" s="204"/>
      <c r="TVM25" s="204"/>
      <c r="TVN25" s="204"/>
      <c r="TVO25" s="204"/>
      <c r="TVP25" s="204"/>
      <c r="TVQ25" s="204"/>
      <c r="TVR25" s="204"/>
      <c r="TVS25" s="204"/>
      <c r="TVT25" s="204"/>
      <c r="TVU25" s="204"/>
      <c r="TVV25" s="204"/>
      <c r="TVW25" s="204"/>
      <c r="TVX25" s="204"/>
      <c r="TVY25" s="204"/>
      <c r="TVZ25" s="204"/>
      <c r="TWA25" s="204"/>
      <c r="TWB25" s="204"/>
      <c r="TWC25" s="204"/>
      <c r="TWD25" s="204"/>
      <c r="TWE25" s="204"/>
      <c r="TWF25" s="204"/>
      <c r="TWG25" s="204"/>
      <c r="TWH25" s="204"/>
      <c r="TWI25" s="204"/>
      <c r="TWJ25" s="204"/>
      <c r="TWK25" s="204"/>
      <c r="TWL25" s="204"/>
      <c r="TWM25" s="204"/>
      <c r="TWN25" s="204"/>
      <c r="TWO25" s="204"/>
      <c r="TWP25" s="204"/>
      <c r="TWQ25" s="204"/>
      <c r="TWR25" s="204"/>
      <c r="TWS25" s="204"/>
      <c r="TWT25" s="204"/>
      <c r="TWU25" s="204"/>
      <c r="TWV25" s="204"/>
      <c r="TWW25" s="204"/>
      <c r="TWX25" s="204"/>
      <c r="TWY25" s="204"/>
      <c r="TWZ25" s="204"/>
      <c r="TXA25" s="204"/>
      <c r="TXB25" s="204"/>
      <c r="TXC25" s="204"/>
      <c r="TXD25" s="204"/>
      <c r="TXE25" s="204"/>
      <c r="TXF25" s="204"/>
      <c r="TXG25" s="204"/>
      <c r="TXH25" s="204"/>
      <c r="TXI25" s="204"/>
      <c r="TXJ25" s="204"/>
      <c r="TXK25" s="204"/>
      <c r="TXL25" s="204"/>
      <c r="TXM25" s="204"/>
      <c r="TXN25" s="204"/>
      <c r="TXO25" s="204"/>
      <c r="TXP25" s="204"/>
      <c r="TXQ25" s="204"/>
      <c r="TXR25" s="204"/>
      <c r="TXS25" s="204"/>
      <c r="TXT25" s="204"/>
      <c r="TXU25" s="204"/>
      <c r="TXV25" s="204"/>
      <c r="TXW25" s="204"/>
      <c r="TXX25" s="204"/>
      <c r="TXY25" s="204"/>
      <c r="TXZ25" s="204"/>
      <c r="TYA25" s="204"/>
      <c r="TYB25" s="204"/>
      <c r="TYC25" s="204"/>
      <c r="TYD25" s="204"/>
      <c r="TYE25" s="204"/>
      <c r="TYF25" s="204"/>
      <c r="TYG25" s="204"/>
      <c r="TYH25" s="204"/>
      <c r="TYI25" s="204"/>
      <c r="TYJ25" s="204"/>
      <c r="TYK25" s="204"/>
      <c r="TYL25" s="204"/>
      <c r="TYM25" s="204"/>
      <c r="TYN25" s="204"/>
      <c r="TYO25" s="204"/>
      <c r="TYP25" s="204"/>
      <c r="TYQ25" s="204"/>
      <c r="TYR25" s="204"/>
      <c r="TYS25" s="204"/>
      <c r="TYT25" s="204"/>
      <c r="TYU25" s="204"/>
      <c r="TYV25" s="204"/>
      <c r="TYW25" s="204"/>
      <c r="TYX25" s="204"/>
      <c r="TYY25" s="204"/>
      <c r="TYZ25" s="204"/>
      <c r="TZA25" s="204"/>
      <c r="TZB25" s="204"/>
      <c r="TZC25" s="204"/>
      <c r="TZD25" s="204"/>
      <c r="TZE25" s="204"/>
      <c r="TZF25" s="204"/>
      <c r="TZG25" s="204"/>
      <c r="TZH25" s="204"/>
      <c r="TZI25" s="204"/>
      <c r="TZJ25" s="204"/>
      <c r="TZK25" s="204"/>
      <c r="TZL25" s="204"/>
      <c r="TZM25" s="204"/>
      <c r="TZN25" s="204"/>
      <c r="TZO25" s="204"/>
      <c r="TZP25" s="204"/>
      <c r="TZQ25" s="204"/>
      <c r="TZR25" s="204"/>
      <c r="TZS25" s="204"/>
      <c r="TZT25" s="204"/>
      <c r="TZU25" s="204"/>
      <c r="TZV25" s="204"/>
      <c r="TZW25" s="204"/>
      <c r="TZX25" s="204"/>
      <c r="TZY25" s="204"/>
      <c r="TZZ25" s="204"/>
      <c r="UAA25" s="204"/>
      <c r="UAB25" s="204"/>
      <c r="UAC25" s="204"/>
      <c r="UAD25" s="204"/>
      <c r="UAE25" s="204"/>
      <c r="UAF25" s="204"/>
      <c r="UAG25" s="204"/>
      <c r="UAH25" s="204"/>
      <c r="UAI25" s="204"/>
      <c r="UAJ25" s="204"/>
      <c r="UAK25" s="204"/>
      <c r="UAL25" s="204"/>
      <c r="UAM25" s="204"/>
      <c r="UAN25" s="204"/>
      <c r="UAO25" s="204"/>
      <c r="UAP25" s="204"/>
      <c r="UAQ25" s="204"/>
      <c r="UAR25" s="204"/>
      <c r="UAS25" s="204"/>
      <c r="UAT25" s="204"/>
      <c r="UAU25" s="204"/>
      <c r="UAV25" s="204"/>
      <c r="UAW25" s="204"/>
      <c r="UAX25" s="204"/>
      <c r="UAY25" s="204"/>
      <c r="UAZ25" s="204"/>
      <c r="UBA25" s="204"/>
      <c r="UBB25" s="204"/>
      <c r="UBC25" s="204"/>
      <c r="UBD25" s="204"/>
      <c r="UBE25" s="204"/>
      <c r="UBF25" s="204"/>
      <c r="UBG25" s="204"/>
      <c r="UBH25" s="204"/>
      <c r="UBI25" s="204"/>
      <c r="UBJ25" s="204"/>
      <c r="UBK25" s="204"/>
      <c r="UBL25" s="204"/>
      <c r="UBM25" s="204"/>
      <c r="UBN25" s="204"/>
      <c r="UBO25" s="204"/>
      <c r="UBP25" s="204"/>
      <c r="UBQ25" s="204"/>
      <c r="UBR25" s="204"/>
      <c r="UBS25" s="204"/>
      <c r="UBT25" s="204"/>
      <c r="UBU25" s="204"/>
      <c r="UBV25" s="204"/>
      <c r="UBW25" s="204"/>
      <c r="UBX25" s="204"/>
      <c r="UBY25" s="204"/>
      <c r="UBZ25" s="204"/>
      <c r="UCA25" s="204"/>
      <c r="UCB25" s="204"/>
      <c r="UCC25" s="204"/>
      <c r="UCD25" s="204"/>
      <c r="UCE25" s="204"/>
      <c r="UCF25" s="204"/>
      <c r="UCG25" s="204"/>
      <c r="UCH25" s="204"/>
      <c r="UCI25" s="204"/>
      <c r="UCJ25" s="204"/>
      <c r="UCK25" s="204"/>
      <c r="UCL25" s="204"/>
      <c r="UCM25" s="204"/>
      <c r="UCN25" s="204"/>
      <c r="UCO25" s="204"/>
      <c r="UCP25" s="204"/>
      <c r="UCQ25" s="204"/>
      <c r="UCR25" s="204"/>
      <c r="UCS25" s="204"/>
      <c r="UCT25" s="204"/>
      <c r="UCU25" s="204"/>
      <c r="UCV25" s="204"/>
      <c r="UCW25" s="204"/>
      <c r="UCX25" s="204"/>
      <c r="UCY25" s="204"/>
      <c r="UCZ25" s="204"/>
      <c r="UDA25" s="204"/>
      <c r="UDB25" s="204"/>
      <c r="UDC25" s="204"/>
      <c r="UDD25" s="204"/>
      <c r="UDE25" s="204"/>
      <c r="UDF25" s="204"/>
      <c r="UDG25" s="204"/>
      <c r="UDH25" s="204"/>
      <c r="UDI25" s="204"/>
      <c r="UDJ25" s="204"/>
      <c r="UDK25" s="204"/>
      <c r="UDL25" s="204"/>
      <c r="UDM25" s="204"/>
      <c r="UDN25" s="204"/>
      <c r="UDO25" s="204"/>
      <c r="UDP25" s="204"/>
      <c r="UDQ25" s="204"/>
      <c r="UDR25" s="204"/>
      <c r="UDS25" s="204"/>
      <c r="UDT25" s="204"/>
      <c r="UDU25" s="204"/>
      <c r="UDV25" s="204"/>
      <c r="UDW25" s="204"/>
      <c r="UDX25" s="204"/>
      <c r="UDY25" s="204"/>
      <c r="UDZ25" s="204"/>
      <c r="UEA25" s="204"/>
      <c r="UEB25" s="204"/>
      <c r="UEC25" s="204"/>
      <c r="UED25" s="204"/>
      <c r="UEE25" s="204"/>
      <c r="UEF25" s="204"/>
      <c r="UEG25" s="204"/>
      <c r="UEH25" s="204"/>
      <c r="UEI25" s="204"/>
      <c r="UEJ25" s="204"/>
      <c r="UEK25" s="204"/>
      <c r="UEL25" s="204"/>
      <c r="UEM25" s="204"/>
      <c r="UEN25" s="204"/>
      <c r="UEO25" s="204"/>
      <c r="UEP25" s="204"/>
      <c r="UEQ25" s="204"/>
      <c r="UER25" s="204"/>
      <c r="UES25" s="204"/>
      <c r="UET25" s="204"/>
      <c r="UEU25" s="204"/>
      <c r="UEV25" s="204"/>
      <c r="UEW25" s="204"/>
      <c r="UEX25" s="204"/>
      <c r="UEY25" s="204"/>
      <c r="UEZ25" s="204"/>
      <c r="UFA25" s="204"/>
      <c r="UFB25" s="204"/>
      <c r="UFC25" s="204"/>
      <c r="UFD25" s="204"/>
      <c r="UFE25" s="204"/>
      <c r="UFF25" s="204"/>
      <c r="UFG25" s="204"/>
      <c r="UFH25" s="204"/>
      <c r="UFI25" s="204"/>
      <c r="UFJ25" s="204"/>
      <c r="UFK25" s="204"/>
      <c r="UFL25" s="204"/>
      <c r="UFM25" s="204"/>
      <c r="UFN25" s="204"/>
      <c r="UFO25" s="204"/>
      <c r="UFP25" s="204"/>
      <c r="UFQ25" s="204"/>
      <c r="UFR25" s="204"/>
      <c r="UFS25" s="204"/>
      <c r="UFT25" s="204"/>
      <c r="UFU25" s="204"/>
      <c r="UFV25" s="204"/>
      <c r="UFW25" s="204"/>
      <c r="UFX25" s="204"/>
      <c r="UFY25" s="204"/>
      <c r="UFZ25" s="204"/>
      <c r="UGA25" s="204"/>
      <c r="UGB25" s="204"/>
      <c r="UGC25" s="204"/>
      <c r="UGD25" s="204"/>
      <c r="UGE25" s="204"/>
      <c r="UGF25" s="204"/>
      <c r="UGG25" s="204"/>
      <c r="UGH25" s="204"/>
      <c r="UGI25" s="204"/>
      <c r="UGJ25" s="204"/>
      <c r="UGK25" s="204"/>
      <c r="UGL25" s="204"/>
      <c r="UGM25" s="204"/>
      <c r="UGN25" s="204"/>
      <c r="UGO25" s="204"/>
      <c r="UGP25" s="204"/>
      <c r="UGQ25" s="204"/>
      <c r="UGR25" s="204"/>
      <c r="UGS25" s="204"/>
      <c r="UGT25" s="204"/>
      <c r="UGU25" s="204"/>
      <c r="UGV25" s="204"/>
      <c r="UGW25" s="204"/>
      <c r="UGX25" s="204"/>
      <c r="UGY25" s="204"/>
      <c r="UGZ25" s="204"/>
      <c r="UHA25" s="204"/>
      <c r="UHB25" s="204"/>
      <c r="UHC25" s="204"/>
      <c r="UHD25" s="204"/>
      <c r="UHE25" s="204"/>
      <c r="UHF25" s="204"/>
      <c r="UHG25" s="204"/>
      <c r="UHH25" s="204"/>
      <c r="UHI25" s="204"/>
      <c r="UHJ25" s="204"/>
      <c r="UHK25" s="204"/>
      <c r="UHL25" s="204"/>
      <c r="UHM25" s="204"/>
      <c r="UHN25" s="204"/>
      <c r="UHO25" s="204"/>
      <c r="UHP25" s="204"/>
      <c r="UHQ25" s="204"/>
      <c r="UHR25" s="204"/>
      <c r="UHS25" s="204"/>
      <c r="UHT25" s="204"/>
      <c r="UHU25" s="204"/>
      <c r="UHV25" s="204"/>
      <c r="UHW25" s="204"/>
      <c r="UHX25" s="204"/>
      <c r="UHY25" s="204"/>
      <c r="UHZ25" s="204"/>
      <c r="UIA25" s="204"/>
      <c r="UIB25" s="204"/>
      <c r="UIC25" s="204"/>
      <c r="UID25" s="204"/>
      <c r="UIE25" s="204"/>
      <c r="UIF25" s="204"/>
      <c r="UIG25" s="204"/>
      <c r="UIH25" s="204"/>
      <c r="UII25" s="204"/>
      <c r="UIJ25" s="204"/>
      <c r="UIK25" s="204"/>
      <c r="UIL25" s="204"/>
      <c r="UIM25" s="204"/>
      <c r="UIN25" s="204"/>
      <c r="UIO25" s="204"/>
      <c r="UIP25" s="204"/>
      <c r="UIQ25" s="204"/>
      <c r="UIR25" s="204"/>
      <c r="UIS25" s="204"/>
      <c r="UIT25" s="204"/>
      <c r="UIU25" s="204"/>
      <c r="UIV25" s="204"/>
      <c r="UIW25" s="204"/>
      <c r="UIX25" s="204"/>
      <c r="UIY25" s="204"/>
      <c r="UIZ25" s="204"/>
      <c r="UJA25" s="204"/>
      <c r="UJB25" s="204"/>
      <c r="UJC25" s="204"/>
      <c r="UJD25" s="204"/>
      <c r="UJE25" s="204"/>
      <c r="UJF25" s="204"/>
      <c r="UJG25" s="204"/>
      <c r="UJH25" s="204"/>
      <c r="UJI25" s="204"/>
      <c r="UJJ25" s="204"/>
      <c r="UJK25" s="204"/>
      <c r="UJL25" s="204"/>
      <c r="UJM25" s="204"/>
      <c r="UJN25" s="204"/>
      <c r="UJO25" s="204"/>
      <c r="UJP25" s="204"/>
      <c r="UJQ25" s="204"/>
      <c r="UJR25" s="204"/>
      <c r="UJS25" s="204"/>
      <c r="UJT25" s="204"/>
      <c r="UJU25" s="204"/>
      <c r="UJV25" s="204"/>
      <c r="UJW25" s="204"/>
      <c r="UJX25" s="204"/>
      <c r="UJY25" s="204"/>
      <c r="UJZ25" s="204"/>
      <c r="UKA25" s="204"/>
      <c r="UKB25" s="204"/>
      <c r="UKC25" s="204"/>
      <c r="UKD25" s="204"/>
      <c r="UKE25" s="204"/>
      <c r="UKF25" s="204"/>
      <c r="UKG25" s="204"/>
      <c r="UKH25" s="204"/>
      <c r="UKI25" s="204"/>
      <c r="UKJ25" s="204"/>
      <c r="UKK25" s="204"/>
      <c r="UKL25" s="204"/>
      <c r="UKM25" s="204"/>
      <c r="UKN25" s="204"/>
      <c r="UKO25" s="204"/>
      <c r="UKP25" s="204"/>
      <c r="UKQ25" s="204"/>
      <c r="UKR25" s="204"/>
      <c r="UKS25" s="204"/>
      <c r="UKT25" s="204"/>
      <c r="UKU25" s="204"/>
      <c r="UKV25" s="204"/>
      <c r="UKW25" s="204"/>
      <c r="UKX25" s="204"/>
      <c r="UKY25" s="204"/>
      <c r="UKZ25" s="204"/>
      <c r="ULA25" s="204"/>
      <c r="ULB25" s="204"/>
      <c r="ULC25" s="204"/>
      <c r="ULD25" s="204"/>
      <c r="ULE25" s="204"/>
      <c r="ULF25" s="204"/>
      <c r="ULG25" s="204"/>
      <c r="ULH25" s="204"/>
      <c r="ULI25" s="204"/>
      <c r="ULJ25" s="204"/>
      <c r="ULK25" s="204"/>
      <c r="ULL25" s="204"/>
      <c r="ULM25" s="204"/>
      <c r="ULN25" s="204"/>
      <c r="ULO25" s="204"/>
      <c r="ULP25" s="204"/>
      <c r="ULQ25" s="204"/>
      <c r="ULR25" s="204"/>
      <c r="ULS25" s="204"/>
      <c r="ULT25" s="204"/>
      <c r="ULU25" s="204"/>
      <c r="ULV25" s="204"/>
      <c r="ULW25" s="204"/>
      <c r="ULX25" s="204"/>
      <c r="ULY25" s="204"/>
      <c r="ULZ25" s="204"/>
      <c r="UMA25" s="204"/>
      <c r="UMB25" s="204"/>
      <c r="UMC25" s="204"/>
      <c r="UMD25" s="204"/>
      <c r="UME25" s="204"/>
      <c r="UMF25" s="204"/>
      <c r="UMG25" s="204"/>
      <c r="UMH25" s="204"/>
      <c r="UMI25" s="204"/>
      <c r="UMJ25" s="204"/>
      <c r="UMK25" s="204"/>
      <c r="UML25" s="204"/>
      <c r="UMM25" s="204"/>
      <c r="UMN25" s="204"/>
      <c r="UMO25" s="204"/>
      <c r="UMP25" s="204"/>
      <c r="UMQ25" s="204"/>
      <c r="UMR25" s="204"/>
      <c r="UMS25" s="204"/>
      <c r="UMT25" s="204"/>
      <c r="UMU25" s="204"/>
      <c r="UMV25" s="204"/>
      <c r="UMW25" s="204"/>
      <c r="UMX25" s="204"/>
      <c r="UMY25" s="204"/>
      <c r="UMZ25" s="204"/>
      <c r="UNA25" s="204"/>
      <c r="UNB25" s="204"/>
      <c r="UNC25" s="204"/>
      <c r="UND25" s="204"/>
      <c r="UNE25" s="204"/>
      <c r="UNF25" s="204"/>
      <c r="UNG25" s="204"/>
      <c r="UNH25" s="204"/>
      <c r="UNI25" s="204"/>
      <c r="UNJ25" s="204"/>
      <c r="UNK25" s="204"/>
      <c r="UNL25" s="204"/>
      <c r="UNM25" s="204"/>
      <c r="UNN25" s="204"/>
      <c r="UNO25" s="204"/>
      <c r="UNP25" s="204"/>
      <c r="UNQ25" s="204"/>
      <c r="UNR25" s="204"/>
      <c r="UNS25" s="204"/>
      <c r="UNT25" s="204"/>
      <c r="UNU25" s="204"/>
      <c r="UNV25" s="204"/>
      <c r="UNW25" s="204"/>
      <c r="UNX25" s="204"/>
      <c r="UNY25" s="204"/>
      <c r="UNZ25" s="204"/>
      <c r="UOA25" s="204"/>
      <c r="UOB25" s="204"/>
      <c r="UOC25" s="204"/>
      <c r="UOD25" s="204"/>
      <c r="UOE25" s="204"/>
      <c r="UOF25" s="204"/>
      <c r="UOG25" s="204"/>
      <c r="UOH25" s="204"/>
      <c r="UOI25" s="204"/>
      <c r="UOJ25" s="204"/>
      <c r="UOK25" s="204"/>
      <c r="UOL25" s="204"/>
      <c r="UOM25" s="204"/>
      <c r="UON25" s="204"/>
      <c r="UOO25" s="204"/>
      <c r="UOP25" s="204"/>
      <c r="UOQ25" s="204"/>
      <c r="UOR25" s="204"/>
      <c r="UOS25" s="204"/>
      <c r="UOT25" s="204"/>
      <c r="UOU25" s="204"/>
      <c r="UOV25" s="204"/>
      <c r="UOW25" s="204"/>
      <c r="UOX25" s="204"/>
      <c r="UOY25" s="204"/>
      <c r="UOZ25" s="204"/>
      <c r="UPA25" s="204"/>
      <c r="UPB25" s="204"/>
      <c r="UPC25" s="204"/>
      <c r="UPD25" s="204"/>
      <c r="UPE25" s="204"/>
      <c r="UPF25" s="204"/>
      <c r="UPG25" s="204"/>
      <c r="UPH25" s="204"/>
      <c r="UPI25" s="204"/>
      <c r="UPJ25" s="204"/>
      <c r="UPK25" s="204"/>
      <c r="UPL25" s="204"/>
      <c r="UPM25" s="204"/>
      <c r="UPN25" s="204"/>
      <c r="UPO25" s="204"/>
      <c r="UPP25" s="204"/>
      <c r="UPQ25" s="204"/>
      <c r="UPR25" s="204"/>
      <c r="UPS25" s="204"/>
      <c r="UPT25" s="204"/>
      <c r="UPU25" s="204"/>
      <c r="UPV25" s="204"/>
      <c r="UPW25" s="204"/>
      <c r="UPX25" s="204"/>
      <c r="UPY25" s="204"/>
      <c r="UPZ25" s="204"/>
      <c r="UQA25" s="204"/>
      <c r="UQB25" s="204"/>
      <c r="UQC25" s="204"/>
      <c r="UQD25" s="204"/>
      <c r="UQE25" s="204"/>
      <c r="UQF25" s="204"/>
      <c r="UQG25" s="204"/>
      <c r="UQH25" s="204"/>
      <c r="UQI25" s="204"/>
      <c r="UQJ25" s="204"/>
      <c r="UQK25" s="204"/>
      <c r="UQL25" s="204"/>
      <c r="UQM25" s="204"/>
      <c r="UQN25" s="204"/>
      <c r="UQO25" s="204"/>
      <c r="UQP25" s="204"/>
      <c r="UQQ25" s="204"/>
      <c r="UQR25" s="204"/>
      <c r="UQS25" s="204"/>
      <c r="UQT25" s="204"/>
      <c r="UQU25" s="204"/>
      <c r="UQV25" s="204"/>
      <c r="UQW25" s="204"/>
      <c r="UQX25" s="204"/>
      <c r="UQY25" s="204"/>
      <c r="UQZ25" s="204"/>
      <c r="URA25" s="204"/>
      <c r="URB25" s="204"/>
      <c r="URC25" s="204"/>
      <c r="URD25" s="204"/>
      <c r="URE25" s="204"/>
      <c r="URF25" s="204"/>
      <c r="URG25" s="204"/>
      <c r="URH25" s="204"/>
      <c r="URI25" s="204"/>
      <c r="URJ25" s="204"/>
      <c r="URK25" s="204"/>
      <c r="URL25" s="204"/>
      <c r="URM25" s="204"/>
      <c r="URN25" s="204"/>
      <c r="URO25" s="204"/>
      <c r="URP25" s="204"/>
      <c r="URQ25" s="204"/>
      <c r="URR25" s="204"/>
      <c r="URS25" s="204"/>
      <c r="URT25" s="204"/>
      <c r="URU25" s="204"/>
      <c r="URV25" s="204"/>
      <c r="URW25" s="204"/>
      <c r="URX25" s="204"/>
      <c r="URY25" s="204"/>
      <c r="URZ25" s="204"/>
      <c r="USA25" s="204"/>
      <c r="USB25" s="204"/>
      <c r="USC25" s="204"/>
      <c r="USD25" s="204"/>
      <c r="USE25" s="204"/>
      <c r="USF25" s="204"/>
      <c r="USG25" s="204"/>
      <c r="USH25" s="204"/>
      <c r="USI25" s="204"/>
      <c r="USJ25" s="204"/>
      <c r="USK25" s="204"/>
      <c r="USL25" s="204"/>
      <c r="USM25" s="204"/>
      <c r="USN25" s="204"/>
      <c r="USO25" s="204"/>
      <c r="USP25" s="204"/>
      <c r="USQ25" s="204"/>
      <c r="USR25" s="204"/>
      <c r="USS25" s="204"/>
      <c r="UST25" s="204"/>
      <c r="USU25" s="204"/>
      <c r="USV25" s="204"/>
      <c r="USW25" s="204"/>
      <c r="USX25" s="204"/>
      <c r="USY25" s="204"/>
      <c r="USZ25" s="204"/>
      <c r="UTA25" s="204"/>
      <c r="UTB25" s="204"/>
      <c r="UTC25" s="204"/>
      <c r="UTD25" s="204"/>
      <c r="UTE25" s="204"/>
      <c r="UTF25" s="204"/>
      <c r="UTG25" s="204"/>
      <c r="UTH25" s="204"/>
      <c r="UTI25" s="204"/>
      <c r="UTJ25" s="204"/>
      <c r="UTK25" s="204"/>
      <c r="UTL25" s="204"/>
      <c r="UTM25" s="204"/>
      <c r="UTN25" s="204"/>
      <c r="UTO25" s="204"/>
      <c r="UTP25" s="204"/>
      <c r="UTQ25" s="204"/>
      <c r="UTR25" s="204"/>
      <c r="UTS25" s="204"/>
      <c r="UTT25" s="204"/>
      <c r="UTU25" s="204"/>
      <c r="UTV25" s="204"/>
      <c r="UTW25" s="204"/>
      <c r="UTX25" s="204"/>
      <c r="UTY25" s="204"/>
      <c r="UTZ25" s="204"/>
      <c r="UUA25" s="204"/>
      <c r="UUB25" s="204"/>
      <c r="UUC25" s="204"/>
      <c r="UUD25" s="204"/>
      <c r="UUE25" s="204"/>
      <c r="UUF25" s="204"/>
      <c r="UUG25" s="204"/>
      <c r="UUH25" s="204"/>
      <c r="UUI25" s="204"/>
      <c r="UUJ25" s="204"/>
      <c r="UUK25" s="204"/>
      <c r="UUL25" s="204"/>
      <c r="UUM25" s="204"/>
      <c r="UUN25" s="204"/>
      <c r="UUO25" s="204"/>
      <c r="UUP25" s="204"/>
      <c r="UUQ25" s="204"/>
      <c r="UUR25" s="204"/>
      <c r="UUS25" s="204"/>
      <c r="UUT25" s="204"/>
      <c r="UUU25" s="204"/>
      <c r="UUV25" s="204"/>
      <c r="UUW25" s="204"/>
      <c r="UUX25" s="204"/>
      <c r="UUY25" s="204"/>
      <c r="UUZ25" s="204"/>
      <c r="UVA25" s="204"/>
      <c r="UVB25" s="204"/>
      <c r="UVC25" s="204"/>
      <c r="UVD25" s="204"/>
      <c r="UVE25" s="204"/>
      <c r="UVF25" s="204"/>
      <c r="UVG25" s="204"/>
      <c r="UVH25" s="204"/>
      <c r="UVI25" s="204"/>
      <c r="UVJ25" s="204"/>
      <c r="UVK25" s="204"/>
      <c r="UVL25" s="204"/>
      <c r="UVM25" s="204"/>
      <c r="UVN25" s="204"/>
      <c r="UVO25" s="204"/>
      <c r="UVP25" s="204"/>
      <c r="UVQ25" s="204"/>
      <c r="UVR25" s="204"/>
      <c r="UVS25" s="204"/>
      <c r="UVT25" s="204"/>
      <c r="UVU25" s="204"/>
      <c r="UVV25" s="204"/>
      <c r="UVW25" s="204"/>
      <c r="UVX25" s="204"/>
      <c r="UVY25" s="204"/>
      <c r="UVZ25" s="204"/>
      <c r="UWA25" s="204"/>
      <c r="UWB25" s="204"/>
      <c r="UWC25" s="204"/>
      <c r="UWD25" s="204"/>
      <c r="UWE25" s="204"/>
      <c r="UWF25" s="204"/>
      <c r="UWG25" s="204"/>
      <c r="UWH25" s="204"/>
      <c r="UWI25" s="204"/>
      <c r="UWJ25" s="204"/>
      <c r="UWK25" s="204"/>
      <c r="UWL25" s="204"/>
      <c r="UWM25" s="204"/>
      <c r="UWN25" s="204"/>
      <c r="UWO25" s="204"/>
      <c r="UWP25" s="204"/>
      <c r="UWQ25" s="204"/>
      <c r="UWR25" s="204"/>
      <c r="UWS25" s="204"/>
      <c r="UWT25" s="204"/>
      <c r="UWU25" s="204"/>
      <c r="UWV25" s="204"/>
      <c r="UWW25" s="204"/>
      <c r="UWX25" s="204"/>
      <c r="UWY25" s="204"/>
      <c r="UWZ25" s="204"/>
      <c r="UXA25" s="204"/>
      <c r="UXB25" s="204"/>
      <c r="UXC25" s="204"/>
      <c r="UXD25" s="204"/>
      <c r="UXE25" s="204"/>
      <c r="UXF25" s="204"/>
      <c r="UXG25" s="204"/>
      <c r="UXH25" s="204"/>
      <c r="UXI25" s="204"/>
      <c r="UXJ25" s="204"/>
      <c r="UXK25" s="204"/>
      <c r="UXL25" s="204"/>
      <c r="UXM25" s="204"/>
      <c r="UXN25" s="204"/>
      <c r="UXO25" s="204"/>
      <c r="UXP25" s="204"/>
      <c r="UXQ25" s="204"/>
      <c r="UXR25" s="204"/>
      <c r="UXS25" s="204"/>
      <c r="UXT25" s="204"/>
      <c r="UXU25" s="204"/>
      <c r="UXV25" s="204"/>
      <c r="UXW25" s="204"/>
      <c r="UXX25" s="204"/>
      <c r="UXY25" s="204"/>
      <c r="UXZ25" s="204"/>
      <c r="UYA25" s="204"/>
      <c r="UYB25" s="204"/>
      <c r="UYC25" s="204"/>
      <c r="UYD25" s="204"/>
      <c r="UYE25" s="204"/>
      <c r="UYF25" s="204"/>
      <c r="UYG25" s="204"/>
      <c r="UYH25" s="204"/>
      <c r="UYI25" s="204"/>
      <c r="UYJ25" s="204"/>
      <c r="UYK25" s="204"/>
      <c r="UYL25" s="204"/>
      <c r="UYM25" s="204"/>
      <c r="UYN25" s="204"/>
      <c r="UYO25" s="204"/>
      <c r="UYP25" s="204"/>
      <c r="UYQ25" s="204"/>
      <c r="UYR25" s="204"/>
      <c r="UYS25" s="204"/>
      <c r="UYT25" s="204"/>
      <c r="UYU25" s="204"/>
      <c r="UYV25" s="204"/>
      <c r="UYW25" s="204"/>
      <c r="UYX25" s="204"/>
      <c r="UYY25" s="204"/>
      <c r="UYZ25" s="204"/>
      <c r="UZA25" s="204"/>
      <c r="UZB25" s="204"/>
      <c r="UZC25" s="204"/>
      <c r="UZD25" s="204"/>
      <c r="UZE25" s="204"/>
      <c r="UZF25" s="204"/>
      <c r="UZG25" s="204"/>
      <c r="UZH25" s="204"/>
      <c r="UZI25" s="204"/>
      <c r="UZJ25" s="204"/>
      <c r="UZK25" s="204"/>
      <c r="UZL25" s="204"/>
      <c r="UZM25" s="204"/>
      <c r="UZN25" s="204"/>
      <c r="UZO25" s="204"/>
      <c r="UZP25" s="204"/>
      <c r="UZQ25" s="204"/>
      <c r="UZR25" s="204"/>
      <c r="UZS25" s="204"/>
      <c r="UZT25" s="204"/>
      <c r="UZU25" s="204"/>
      <c r="UZV25" s="204"/>
      <c r="UZW25" s="204"/>
      <c r="UZX25" s="204"/>
      <c r="UZY25" s="204"/>
      <c r="UZZ25" s="204"/>
      <c r="VAA25" s="204"/>
      <c r="VAB25" s="204"/>
      <c r="VAC25" s="204"/>
      <c r="VAD25" s="204"/>
      <c r="VAE25" s="204"/>
      <c r="VAF25" s="204"/>
      <c r="VAG25" s="204"/>
      <c r="VAH25" s="204"/>
      <c r="VAI25" s="204"/>
      <c r="VAJ25" s="204"/>
      <c r="VAK25" s="204"/>
      <c r="VAL25" s="204"/>
      <c r="VAM25" s="204"/>
      <c r="VAN25" s="204"/>
      <c r="VAO25" s="204"/>
      <c r="VAP25" s="204"/>
      <c r="VAQ25" s="204"/>
      <c r="VAR25" s="204"/>
      <c r="VAS25" s="204"/>
      <c r="VAT25" s="204"/>
      <c r="VAU25" s="204"/>
      <c r="VAV25" s="204"/>
      <c r="VAW25" s="204"/>
      <c r="VAX25" s="204"/>
      <c r="VAY25" s="204"/>
      <c r="VAZ25" s="204"/>
      <c r="VBA25" s="204"/>
      <c r="VBB25" s="204"/>
      <c r="VBC25" s="204"/>
      <c r="VBD25" s="204"/>
      <c r="VBE25" s="204"/>
      <c r="VBF25" s="204"/>
      <c r="VBG25" s="204"/>
      <c r="VBH25" s="204"/>
      <c r="VBI25" s="204"/>
      <c r="VBJ25" s="204"/>
      <c r="VBK25" s="204"/>
      <c r="VBL25" s="204"/>
      <c r="VBM25" s="204"/>
      <c r="VBN25" s="204"/>
      <c r="VBO25" s="204"/>
      <c r="VBP25" s="204"/>
      <c r="VBQ25" s="204"/>
      <c r="VBR25" s="204"/>
      <c r="VBS25" s="204"/>
      <c r="VBT25" s="204"/>
      <c r="VBU25" s="204"/>
      <c r="VBV25" s="204"/>
      <c r="VBW25" s="204"/>
      <c r="VBX25" s="204"/>
      <c r="VBY25" s="204"/>
      <c r="VBZ25" s="204"/>
      <c r="VCA25" s="204"/>
      <c r="VCB25" s="204"/>
      <c r="VCC25" s="204"/>
      <c r="VCD25" s="204"/>
      <c r="VCE25" s="204"/>
      <c r="VCF25" s="204"/>
      <c r="VCG25" s="204"/>
      <c r="VCH25" s="204"/>
      <c r="VCI25" s="204"/>
      <c r="VCJ25" s="204"/>
      <c r="VCK25" s="204"/>
      <c r="VCL25" s="204"/>
      <c r="VCM25" s="204"/>
      <c r="VCN25" s="204"/>
      <c r="VCO25" s="204"/>
      <c r="VCP25" s="204"/>
      <c r="VCQ25" s="204"/>
      <c r="VCR25" s="204"/>
      <c r="VCS25" s="204"/>
      <c r="VCT25" s="204"/>
      <c r="VCU25" s="204"/>
      <c r="VCV25" s="204"/>
      <c r="VCW25" s="204"/>
      <c r="VCX25" s="204"/>
      <c r="VCY25" s="204"/>
      <c r="VCZ25" s="204"/>
      <c r="VDA25" s="204"/>
      <c r="VDB25" s="204"/>
      <c r="VDC25" s="204"/>
      <c r="VDD25" s="204"/>
      <c r="VDE25" s="204"/>
      <c r="VDF25" s="204"/>
      <c r="VDG25" s="204"/>
      <c r="VDH25" s="204"/>
      <c r="VDI25" s="204"/>
      <c r="VDJ25" s="204"/>
      <c r="VDK25" s="204"/>
      <c r="VDL25" s="204"/>
      <c r="VDM25" s="204"/>
      <c r="VDN25" s="204"/>
      <c r="VDO25" s="204"/>
      <c r="VDP25" s="204"/>
      <c r="VDQ25" s="204"/>
      <c r="VDR25" s="204"/>
      <c r="VDS25" s="204"/>
      <c r="VDT25" s="204"/>
      <c r="VDU25" s="204"/>
      <c r="VDV25" s="204"/>
      <c r="VDW25" s="204"/>
      <c r="VDX25" s="204"/>
      <c r="VDY25" s="204"/>
      <c r="VDZ25" s="204"/>
      <c r="VEA25" s="204"/>
      <c r="VEB25" s="204"/>
      <c r="VEC25" s="204"/>
      <c r="VED25" s="204"/>
      <c r="VEE25" s="204"/>
      <c r="VEF25" s="204"/>
      <c r="VEG25" s="204"/>
      <c r="VEH25" s="204"/>
      <c r="VEI25" s="204"/>
      <c r="VEJ25" s="204"/>
      <c r="VEK25" s="204"/>
      <c r="VEL25" s="204"/>
      <c r="VEM25" s="204"/>
      <c r="VEN25" s="204"/>
      <c r="VEO25" s="204"/>
      <c r="VEP25" s="204"/>
      <c r="VEQ25" s="204"/>
      <c r="VER25" s="204"/>
      <c r="VES25" s="204"/>
      <c r="VET25" s="204"/>
      <c r="VEU25" s="204"/>
      <c r="VEV25" s="204"/>
      <c r="VEW25" s="204"/>
      <c r="VEX25" s="204"/>
      <c r="VEY25" s="204"/>
      <c r="VEZ25" s="204"/>
      <c r="VFA25" s="204"/>
      <c r="VFB25" s="204"/>
      <c r="VFC25" s="204"/>
      <c r="VFD25" s="204"/>
      <c r="VFE25" s="204"/>
      <c r="VFF25" s="204"/>
      <c r="VFG25" s="204"/>
      <c r="VFH25" s="204"/>
      <c r="VFI25" s="204"/>
      <c r="VFJ25" s="204"/>
      <c r="VFK25" s="204"/>
      <c r="VFL25" s="204"/>
      <c r="VFM25" s="204"/>
      <c r="VFN25" s="204"/>
      <c r="VFO25" s="204"/>
      <c r="VFP25" s="204"/>
      <c r="VFQ25" s="204"/>
      <c r="VFR25" s="204"/>
      <c r="VFS25" s="204"/>
      <c r="VFT25" s="204"/>
      <c r="VFU25" s="204"/>
      <c r="VFV25" s="204"/>
      <c r="VFW25" s="204"/>
      <c r="VFX25" s="204"/>
      <c r="VFY25" s="204"/>
      <c r="VFZ25" s="204"/>
      <c r="VGA25" s="204"/>
      <c r="VGB25" s="204"/>
      <c r="VGC25" s="204"/>
      <c r="VGD25" s="204"/>
      <c r="VGE25" s="204"/>
      <c r="VGF25" s="204"/>
      <c r="VGG25" s="204"/>
      <c r="VGH25" s="204"/>
      <c r="VGI25" s="204"/>
      <c r="VGJ25" s="204"/>
      <c r="VGK25" s="204"/>
      <c r="VGL25" s="204"/>
      <c r="VGM25" s="204"/>
      <c r="VGN25" s="204"/>
      <c r="VGO25" s="204"/>
      <c r="VGP25" s="204"/>
      <c r="VGQ25" s="204"/>
      <c r="VGR25" s="204"/>
      <c r="VGS25" s="204"/>
      <c r="VGT25" s="204"/>
      <c r="VGU25" s="204"/>
      <c r="VGV25" s="204"/>
      <c r="VGW25" s="204"/>
      <c r="VGX25" s="204"/>
      <c r="VGY25" s="204"/>
      <c r="VGZ25" s="204"/>
      <c r="VHA25" s="204"/>
      <c r="VHB25" s="204"/>
      <c r="VHC25" s="204"/>
      <c r="VHD25" s="204"/>
      <c r="VHE25" s="204"/>
      <c r="VHF25" s="204"/>
      <c r="VHG25" s="204"/>
      <c r="VHH25" s="204"/>
      <c r="VHI25" s="204"/>
      <c r="VHJ25" s="204"/>
      <c r="VHK25" s="204"/>
      <c r="VHL25" s="204"/>
      <c r="VHM25" s="204"/>
      <c r="VHN25" s="204"/>
      <c r="VHO25" s="204"/>
      <c r="VHP25" s="204"/>
      <c r="VHQ25" s="204"/>
      <c r="VHR25" s="204"/>
      <c r="VHS25" s="204"/>
      <c r="VHT25" s="204"/>
      <c r="VHU25" s="204"/>
      <c r="VHV25" s="204"/>
      <c r="VHW25" s="204"/>
      <c r="VHX25" s="204"/>
      <c r="VHY25" s="204"/>
      <c r="VHZ25" s="204"/>
      <c r="VIA25" s="204"/>
      <c r="VIB25" s="204"/>
      <c r="VIC25" s="204"/>
      <c r="VID25" s="204"/>
      <c r="VIE25" s="204"/>
      <c r="VIF25" s="204"/>
      <c r="VIG25" s="204"/>
      <c r="VIH25" s="204"/>
      <c r="VII25" s="204"/>
      <c r="VIJ25" s="204"/>
      <c r="VIK25" s="204"/>
      <c r="VIL25" s="204"/>
      <c r="VIM25" s="204"/>
      <c r="VIN25" s="204"/>
      <c r="VIO25" s="204"/>
      <c r="VIP25" s="204"/>
      <c r="VIQ25" s="204"/>
      <c r="VIR25" s="204"/>
      <c r="VIS25" s="204"/>
      <c r="VIT25" s="204"/>
      <c r="VIU25" s="204"/>
      <c r="VIV25" s="204"/>
      <c r="VIW25" s="204"/>
      <c r="VIX25" s="204"/>
      <c r="VIY25" s="204"/>
      <c r="VIZ25" s="204"/>
      <c r="VJA25" s="204"/>
      <c r="VJB25" s="204"/>
      <c r="VJC25" s="204"/>
      <c r="VJD25" s="204"/>
      <c r="VJE25" s="204"/>
      <c r="VJF25" s="204"/>
      <c r="VJG25" s="204"/>
      <c r="VJH25" s="204"/>
      <c r="VJI25" s="204"/>
      <c r="VJJ25" s="204"/>
      <c r="VJK25" s="204"/>
      <c r="VJL25" s="204"/>
      <c r="VJM25" s="204"/>
      <c r="VJN25" s="204"/>
      <c r="VJO25" s="204"/>
      <c r="VJP25" s="204"/>
      <c r="VJQ25" s="204"/>
      <c r="VJR25" s="204"/>
      <c r="VJS25" s="204"/>
      <c r="VJT25" s="204"/>
      <c r="VJU25" s="204"/>
      <c r="VJV25" s="204"/>
      <c r="VJW25" s="204"/>
      <c r="VJX25" s="204"/>
      <c r="VJY25" s="204"/>
      <c r="VJZ25" s="204"/>
      <c r="VKA25" s="204"/>
      <c r="VKB25" s="204"/>
      <c r="VKC25" s="204"/>
      <c r="VKD25" s="204"/>
      <c r="VKE25" s="204"/>
      <c r="VKF25" s="204"/>
      <c r="VKG25" s="204"/>
      <c r="VKH25" s="204"/>
      <c r="VKI25" s="204"/>
      <c r="VKJ25" s="204"/>
      <c r="VKK25" s="204"/>
      <c r="VKL25" s="204"/>
      <c r="VKM25" s="204"/>
      <c r="VKN25" s="204"/>
      <c r="VKO25" s="204"/>
      <c r="VKP25" s="204"/>
      <c r="VKQ25" s="204"/>
      <c r="VKR25" s="204"/>
      <c r="VKS25" s="204"/>
      <c r="VKT25" s="204"/>
      <c r="VKU25" s="204"/>
      <c r="VKV25" s="204"/>
      <c r="VKW25" s="204"/>
      <c r="VKX25" s="204"/>
      <c r="VKY25" s="204"/>
      <c r="VKZ25" s="204"/>
      <c r="VLA25" s="204"/>
      <c r="VLB25" s="204"/>
      <c r="VLC25" s="204"/>
      <c r="VLD25" s="204"/>
      <c r="VLE25" s="204"/>
      <c r="VLF25" s="204"/>
      <c r="VLG25" s="204"/>
      <c r="VLH25" s="204"/>
      <c r="VLI25" s="204"/>
      <c r="VLJ25" s="204"/>
      <c r="VLK25" s="204"/>
      <c r="VLL25" s="204"/>
      <c r="VLM25" s="204"/>
      <c r="VLN25" s="204"/>
      <c r="VLO25" s="204"/>
      <c r="VLP25" s="204"/>
      <c r="VLQ25" s="204"/>
      <c r="VLR25" s="204"/>
      <c r="VLS25" s="204"/>
      <c r="VLT25" s="204"/>
      <c r="VLU25" s="204"/>
      <c r="VLV25" s="204"/>
      <c r="VLW25" s="204"/>
      <c r="VLX25" s="204"/>
      <c r="VLY25" s="204"/>
      <c r="VLZ25" s="204"/>
      <c r="VMA25" s="204"/>
      <c r="VMB25" s="204"/>
      <c r="VMC25" s="204"/>
      <c r="VMD25" s="204"/>
      <c r="VME25" s="204"/>
      <c r="VMF25" s="204"/>
      <c r="VMG25" s="204"/>
      <c r="VMH25" s="204"/>
      <c r="VMI25" s="204"/>
      <c r="VMJ25" s="204"/>
      <c r="VMK25" s="204"/>
      <c r="VML25" s="204"/>
      <c r="VMM25" s="204"/>
      <c r="VMN25" s="204"/>
      <c r="VMO25" s="204"/>
      <c r="VMP25" s="204"/>
      <c r="VMQ25" s="204"/>
      <c r="VMR25" s="204"/>
      <c r="VMS25" s="204"/>
      <c r="VMT25" s="204"/>
      <c r="VMU25" s="204"/>
      <c r="VMV25" s="204"/>
      <c r="VMW25" s="204"/>
      <c r="VMX25" s="204"/>
      <c r="VMY25" s="204"/>
      <c r="VMZ25" s="204"/>
      <c r="VNA25" s="204"/>
      <c r="VNB25" s="204"/>
      <c r="VNC25" s="204"/>
      <c r="VND25" s="204"/>
      <c r="VNE25" s="204"/>
      <c r="VNF25" s="204"/>
      <c r="VNG25" s="204"/>
      <c r="VNH25" s="204"/>
      <c r="VNI25" s="204"/>
      <c r="VNJ25" s="204"/>
      <c r="VNK25" s="204"/>
      <c r="VNL25" s="204"/>
      <c r="VNM25" s="204"/>
      <c r="VNN25" s="204"/>
      <c r="VNO25" s="204"/>
      <c r="VNP25" s="204"/>
      <c r="VNQ25" s="204"/>
      <c r="VNR25" s="204"/>
      <c r="VNS25" s="204"/>
      <c r="VNT25" s="204"/>
      <c r="VNU25" s="204"/>
      <c r="VNV25" s="204"/>
      <c r="VNW25" s="204"/>
      <c r="VNX25" s="204"/>
      <c r="VNY25" s="204"/>
      <c r="VNZ25" s="204"/>
      <c r="VOA25" s="204"/>
      <c r="VOB25" s="204"/>
      <c r="VOC25" s="204"/>
      <c r="VOD25" s="204"/>
      <c r="VOE25" s="204"/>
      <c r="VOF25" s="204"/>
      <c r="VOG25" s="204"/>
      <c r="VOH25" s="204"/>
      <c r="VOI25" s="204"/>
      <c r="VOJ25" s="204"/>
      <c r="VOK25" s="204"/>
      <c r="VOL25" s="204"/>
      <c r="VOM25" s="204"/>
      <c r="VON25" s="204"/>
      <c r="VOO25" s="204"/>
      <c r="VOP25" s="204"/>
      <c r="VOQ25" s="204"/>
      <c r="VOR25" s="204"/>
      <c r="VOS25" s="204"/>
      <c r="VOT25" s="204"/>
      <c r="VOU25" s="204"/>
      <c r="VOV25" s="204"/>
      <c r="VOW25" s="204"/>
      <c r="VOX25" s="204"/>
      <c r="VOY25" s="204"/>
      <c r="VOZ25" s="204"/>
      <c r="VPA25" s="204"/>
      <c r="VPB25" s="204"/>
      <c r="VPC25" s="204"/>
      <c r="VPD25" s="204"/>
      <c r="VPE25" s="204"/>
      <c r="VPF25" s="204"/>
      <c r="VPG25" s="204"/>
      <c r="VPH25" s="204"/>
      <c r="VPI25" s="204"/>
      <c r="VPJ25" s="204"/>
      <c r="VPK25" s="204"/>
      <c r="VPL25" s="204"/>
      <c r="VPM25" s="204"/>
      <c r="VPN25" s="204"/>
      <c r="VPO25" s="204"/>
      <c r="VPP25" s="204"/>
      <c r="VPQ25" s="204"/>
      <c r="VPR25" s="204"/>
      <c r="VPS25" s="204"/>
      <c r="VPT25" s="204"/>
      <c r="VPU25" s="204"/>
      <c r="VPV25" s="204"/>
      <c r="VPW25" s="204"/>
      <c r="VPX25" s="204"/>
      <c r="VPY25" s="204"/>
      <c r="VPZ25" s="204"/>
      <c r="VQA25" s="204"/>
      <c r="VQB25" s="204"/>
      <c r="VQC25" s="204"/>
      <c r="VQD25" s="204"/>
      <c r="VQE25" s="204"/>
      <c r="VQF25" s="204"/>
      <c r="VQG25" s="204"/>
      <c r="VQH25" s="204"/>
      <c r="VQI25" s="204"/>
      <c r="VQJ25" s="204"/>
      <c r="VQK25" s="204"/>
      <c r="VQL25" s="204"/>
      <c r="VQM25" s="204"/>
      <c r="VQN25" s="204"/>
      <c r="VQO25" s="204"/>
      <c r="VQP25" s="204"/>
      <c r="VQQ25" s="204"/>
      <c r="VQR25" s="204"/>
      <c r="VQS25" s="204"/>
      <c r="VQT25" s="204"/>
      <c r="VQU25" s="204"/>
      <c r="VQV25" s="204"/>
      <c r="VQW25" s="204"/>
      <c r="VQX25" s="204"/>
      <c r="VQY25" s="204"/>
      <c r="VQZ25" s="204"/>
      <c r="VRA25" s="204"/>
      <c r="VRB25" s="204"/>
      <c r="VRC25" s="204"/>
      <c r="VRD25" s="204"/>
      <c r="VRE25" s="204"/>
      <c r="VRF25" s="204"/>
      <c r="VRG25" s="204"/>
      <c r="VRH25" s="204"/>
      <c r="VRI25" s="204"/>
      <c r="VRJ25" s="204"/>
      <c r="VRK25" s="204"/>
      <c r="VRL25" s="204"/>
      <c r="VRM25" s="204"/>
      <c r="VRN25" s="204"/>
      <c r="VRO25" s="204"/>
      <c r="VRP25" s="204"/>
      <c r="VRQ25" s="204"/>
      <c r="VRR25" s="204"/>
      <c r="VRS25" s="204"/>
      <c r="VRT25" s="204"/>
      <c r="VRU25" s="204"/>
      <c r="VRV25" s="204"/>
      <c r="VRW25" s="204"/>
      <c r="VRX25" s="204"/>
      <c r="VRY25" s="204"/>
      <c r="VRZ25" s="204"/>
      <c r="VSA25" s="204"/>
      <c r="VSB25" s="204"/>
      <c r="VSC25" s="204"/>
      <c r="VSD25" s="204"/>
      <c r="VSE25" s="204"/>
      <c r="VSF25" s="204"/>
      <c r="VSG25" s="204"/>
      <c r="VSH25" s="204"/>
      <c r="VSI25" s="204"/>
      <c r="VSJ25" s="204"/>
      <c r="VSK25" s="204"/>
      <c r="VSL25" s="204"/>
      <c r="VSM25" s="204"/>
      <c r="VSN25" s="204"/>
      <c r="VSO25" s="204"/>
      <c r="VSP25" s="204"/>
      <c r="VSQ25" s="204"/>
      <c r="VSR25" s="204"/>
      <c r="VSS25" s="204"/>
      <c r="VST25" s="204"/>
      <c r="VSU25" s="204"/>
      <c r="VSV25" s="204"/>
      <c r="VSW25" s="204"/>
      <c r="VSX25" s="204"/>
      <c r="VSY25" s="204"/>
      <c r="VSZ25" s="204"/>
      <c r="VTA25" s="204"/>
      <c r="VTB25" s="204"/>
      <c r="VTC25" s="204"/>
      <c r="VTD25" s="204"/>
      <c r="VTE25" s="204"/>
      <c r="VTF25" s="204"/>
      <c r="VTG25" s="204"/>
      <c r="VTH25" s="204"/>
      <c r="VTI25" s="204"/>
      <c r="VTJ25" s="204"/>
      <c r="VTK25" s="204"/>
      <c r="VTL25" s="204"/>
      <c r="VTM25" s="204"/>
      <c r="VTN25" s="204"/>
      <c r="VTO25" s="204"/>
      <c r="VTP25" s="204"/>
      <c r="VTQ25" s="204"/>
      <c r="VTR25" s="204"/>
      <c r="VTS25" s="204"/>
      <c r="VTT25" s="204"/>
      <c r="VTU25" s="204"/>
      <c r="VTV25" s="204"/>
      <c r="VTW25" s="204"/>
      <c r="VTX25" s="204"/>
      <c r="VTY25" s="204"/>
      <c r="VTZ25" s="204"/>
      <c r="VUA25" s="204"/>
      <c r="VUB25" s="204"/>
      <c r="VUC25" s="204"/>
      <c r="VUD25" s="204"/>
      <c r="VUE25" s="204"/>
      <c r="VUF25" s="204"/>
      <c r="VUG25" s="204"/>
      <c r="VUH25" s="204"/>
      <c r="VUI25" s="204"/>
      <c r="VUJ25" s="204"/>
      <c r="VUK25" s="204"/>
      <c r="VUL25" s="204"/>
      <c r="VUM25" s="204"/>
      <c r="VUN25" s="204"/>
      <c r="VUO25" s="204"/>
      <c r="VUP25" s="204"/>
      <c r="VUQ25" s="204"/>
      <c r="VUR25" s="204"/>
      <c r="VUS25" s="204"/>
      <c r="VUT25" s="204"/>
      <c r="VUU25" s="204"/>
      <c r="VUV25" s="204"/>
      <c r="VUW25" s="204"/>
      <c r="VUX25" s="204"/>
      <c r="VUY25" s="204"/>
      <c r="VUZ25" s="204"/>
      <c r="VVA25" s="204"/>
      <c r="VVB25" s="204"/>
      <c r="VVC25" s="204"/>
      <c r="VVD25" s="204"/>
      <c r="VVE25" s="204"/>
      <c r="VVF25" s="204"/>
      <c r="VVG25" s="204"/>
      <c r="VVH25" s="204"/>
      <c r="VVI25" s="204"/>
      <c r="VVJ25" s="204"/>
      <c r="VVK25" s="204"/>
      <c r="VVL25" s="204"/>
      <c r="VVM25" s="204"/>
      <c r="VVN25" s="204"/>
      <c r="VVO25" s="204"/>
      <c r="VVP25" s="204"/>
      <c r="VVQ25" s="204"/>
      <c r="VVR25" s="204"/>
      <c r="VVS25" s="204"/>
      <c r="VVT25" s="204"/>
      <c r="VVU25" s="204"/>
      <c r="VVV25" s="204"/>
      <c r="VVW25" s="204"/>
      <c r="VVX25" s="204"/>
      <c r="VVY25" s="204"/>
      <c r="VVZ25" s="204"/>
      <c r="VWA25" s="204"/>
      <c r="VWB25" s="204"/>
      <c r="VWC25" s="204"/>
      <c r="VWD25" s="204"/>
      <c r="VWE25" s="204"/>
      <c r="VWF25" s="204"/>
      <c r="VWG25" s="204"/>
      <c r="VWH25" s="204"/>
      <c r="VWI25" s="204"/>
      <c r="VWJ25" s="204"/>
      <c r="VWK25" s="204"/>
      <c r="VWL25" s="204"/>
      <c r="VWM25" s="204"/>
      <c r="VWN25" s="204"/>
      <c r="VWO25" s="204"/>
      <c r="VWP25" s="204"/>
      <c r="VWQ25" s="204"/>
      <c r="VWR25" s="204"/>
      <c r="VWS25" s="204"/>
      <c r="VWT25" s="204"/>
      <c r="VWU25" s="204"/>
      <c r="VWV25" s="204"/>
      <c r="VWW25" s="204"/>
      <c r="VWX25" s="204"/>
      <c r="VWY25" s="204"/>
      <c r="VWZ25" s="204"/>
      <c r="VXA25" s="204"/>
      <c r="VXB25" s="204"/>
      <c r="VXC25" s="204"/>
      <c r="VXD25" s="204"/>
      <c r="VXE25" s="204"/>
      <c r="VXF25" s="204"/>
      <c r="VXG25" s="204"/>
      <c r="VXH25" s="204"/>
      <c r="VXI25" s="204"/>
      <c r="VXJ25" s="204"/>
      <c r="VXK25" s="204"/>
      <c r="VXL25" s="204"/>
      <c r="VXM25" s="204"/>
      <c r="VXN25" s="204"/>
      <c r="VXO25" s="204"/>
      <c r="VXP25" s="204"/>
      <c r="VXQ25" s="204"/>
      <c r="VXR25" s="204"/>
      <c r="VXS25" s="204"/>
      <c r="VXT25" s="204"/>
      <c r="VXU25" s="204"/>
      <c r="VXV25" s="204"/>
      <c r="VXW25" s="204"/>
      <c r="VXX25" s="204"/>
      <c r="VXY25" s="204"/>
      <c r="VXZ25" s="204"/>
      <c r="VYA25" s="204"/>
      <c r="VYB25" s="204"/>
      <c r="VYC25" s="204"/>
      <c r="VYD25" s="204"/>
      <c r="VYE25" s="204"/>
      <c r="VYF25" s="204"/>
      <c r="VYG25" s="204"/>
      <c r="VYH25" s="204"/>
      <c r="VYI25" s="204"/>
      <c r="VYJ25" s="204"/>
      <c r="VYK25" s="204"/>
      <c r="VYL25" s="204"/>
      <c r="VYM25" s="204"/>
      <c r="VYN25" s="204"/>
      <c r="VYO25" s="204"/>
      <c r="VYP25" s="204"/>
      <c r="VYQ25" s="204"/>
      <c r="VYR25" s="204"/>
      <c r="VYS25" s="204"/>
      <c r="VYT25" s="204"/>
      <c r="VYU25" s="204"/>
      <c r="VYV25" s="204"/>
      <c r="VYW25" s="204"/>
      <c r="VYX25" s="204"/>
      <c r="VYY25" s="204"/>
      <c r="VYZ25" s="204"/>
      <c r="VZA25" s="204"/>
      <c r="VZB25" s="204"/>
      <c r="VZC25" s="204"/>
      <c r="VZD25" s="204"/>
      <c r="VZE25" s="204"/>
      <c r="VZF25" s="204"/>
      <c r="VZG25" s="204"/>
      <c r="VZH25" s="204"/>
      <c r="VZI25" s="204"/>
      <c r="VZJ25" s="204"/>
      <c r="VZK25" s="204"/>
      <c r="VZL25" s="204"/>
      <c r="VZM25" s="204"/>
      <c r="VZN25" s="204"/>
      <c r="VZO25" s="204"/>
      <c r="VZP25" s="204"/>
      <c r="VZQ25" s="204"/>
      <c r="VZR25" s="204"/>
      <c r="VZS25" s="204"/>
      <c r="VZT25" s="204"/>
      <c r="VZU25" s="204"/>
      <c r="VZV25" s="204"/>
      <c r="VZW25" s="204"/>
      <c r="VZX25" s="204"/>
      <c r="VZY25" s="204"/>
      <c r="VZZ25" s="204"/>
      <c r="WAA25" s="204"/>
      <c r="WAB25" s="204"/>
      <c r="WAC25" s="204"/>
      <c r="WAD25" s="204"/>
      <c r="WAE25" s="204"/>
      <c r="WAF25" s="204"/>
      <c r="WAG25" s="204"/>
      <c r="WAH25" s="204"/>
      <c r="WAI25" s="204"/>
      <c r="WAJ25" s="204"/>
      <c r="WAK25" s="204"/>
      <c r="WAL25" s="204"/>
      <c r="WAM25" s="204"/>
      <c r="WAN25" s="204"/>
      <c r="WAO25" s="204"/>
      <c r="WAP25" s="204"/>
      <c r="WAQ25" s="204"/>
      <c r="WAR25" s="204"/>
      <c r="WAS25" s="204"/>
      <c r="WAT25" s="204"/>
      <c r="WAU25" s="204"/>
      <c r="WAV25" s="204"/>
      <c r="WAW25" s="204"/>
      <c r="WAX25" s="204"/>
      <c r="WAY25" s="204"/>
      <c r="WAZ25" s="204"/>
      <c r="WBA25" s="204"/>
      <c r="WBB25" s="204"/>
      <c r="WBC25" s="204"/>
      <c r="WBD25" s="204"/>
      <c r="WBE25" s="204"/>
      <c r="WBF25" s="204"/>
      <c r="WBG25" s="204"/>
      <c r="WBH25" s="204"/>
      <c r="WBI25" s="204"/>
      <c r="WBJ25" s="204"/>
      <c r="WBK25" s="204"/>
      <c r="WBL25" s="204"/>
      <c r="WBM25" s="204"/>
      <c r="WBN25" s="204"/>
      <c r="WBO25" s="204"/>
      <c r="WBP25" s="204"/>
      <c r="WBQ25" s="204"/>
      <c r="WBR25" s="204"/>
      <c r="WBS25" s="204"/>
      <c r="WBT25" s="204"/>
      <c r="WBU25" s="204"/>
      <c r="WBV25" s="204"/>
      <c r="WBW25" s="204"/>
      <c r="WBX25" s="204"/>
      <c r="WBY25" s="204"/>
      <c r="WBZ25" s="204"/>
      <c r="WCA25" s="204"/>
      <c r="WCB25" s="204"/>
      <c r="WCC25" s="204"/>
      <c r="WCD25" s="204"/>
      <c r="WCE25" s="204"/>
      <c r="WCF25" s="204"/>
      <c r="WCG25" s="204"/>
      <c r="WCH25" s="204"/>
      <c r="WCI25" s="204"/>
      <c r="WCJ25" s="204"/>
      <c r="WCK25" s="204"/>
      <c r="WCL25" s="204"/>
      <c r="WCM25" s="204"/>
      <c r="WCN25" s="204"/>
      <c r="WCO25" s="204"/>
      <c r="WCP25" s="204"/>
      <c r="WCQ25" s="204"/>
      <c r="WCR25" s="204"/>
      <c r="WCS25" s="204"/>
      <c r="WCT25" s="204"/>
      <c r="WCU25" s="204"/>
      <c r="WCV25" s="204"/>
      <c r="WCW25" s="204"/>
      <c r="WCX25" s="204"/>
      <c r="WCY25" s="204"/>
      <c r="WCZ25" s="204"/>
      <c r="WDA25" s="204"/>
      <c r="WDB25" s="204"/>
      <c r="WDC25" s="204"/>
      <c r="WDD25" s="204"/>
      <c r="WDE25" s="204"/>
      <c r="WDF25" s="204"/>
      <c r="WDG25" s="204"/>
      <c r="WDH25" s="204"/>
      <c r="WDI25" s="204"/>
      <c r="WDJ25" s="204"/>
      <c r="WDK25" s="204"/>
      <c r="WDL25" s="204"/>
      <c r="WDM25" s="204"/>
      <c r="WDN25" s="204"/>
      <c r="WDO25" s="204"/>
      <c r="WDP25" s="204"/>
      <c r="WDQ25" s="204"/>
      <c r="WDR25" s="204"/>
      <c r="WDS25" s="204"/>
      <c r="WDT25" s="204"/>
      <c r="WDU25" s="204"/>
      <c r="WDV25" s="204"/>
      <c r="WDW25" s="204"/>
      <c r="WDX25" s="204"/>
      <c r="WDY25" s="204"/>
      <c r="WDZ25" s="204"/>
      <c r="WEA25" s="204"/>
      <c r="WEB25" s="204"/>
      <c r="WEC25" s="204"/>
      <c r="WED25" s="204"/>
      <c r="WEE25" s="204"/>
      <c r="WEF25" s="204"/>
      <c r="WEG25" s="204"/>
      <c r="WEH25" s="204"/>
      <c r="WEI25" s="204"/>
      <c r="WEJ25" s="204"/>
      <c r="WEK25" s="204"/>
      <c r="WEL25" s="204"/>
      <c r="WEM25" s="204"/>
      <c r="WEN25" s="204"/>
      <c r="WEO25" s="204"/>
      <c r="WEP25" s="204"/>
      <c r="WEQ25" s="204"/>
      <c r="WER25" s="204"/>
      <c r="WES25" s="204"/>
      <c r="WET25" s="204"/>
      <c r="WEU25" s="204"/>
      <c r="WEV25" s="204"/>
      <c r="WEW25" s="204"/>
      <c r="WEX25" s="204"/>
      <c r="WEY25" s="204"/>
      <c r="WEZ25" s="204"/>
      <c r="WFA25" s="204"/>
      <c r="WFB25" s="204"/>
      <c r="WFC25" s="204"/>
      <c r="WFD25" s="204"/>
      <c r="WFE25" s="204"/>
      <c r="WFF25" s="204"/>
      <c r="WFG25" s="204"/>
      <c r="WFH25" s="204"/>
      <c r="WFI25" s="204"/>
      <c r="WFJ25" s="204"/>
      <c r="WFK25" s="204"/>
      <c r="WFL25" s="204"/>
      <c r="WFM25" s="204"/>
      <c r="WFN25" s="204"/>
      <c r="WFO25" s="204"/>
      <c r="WFP25" s="204"/>
      <c r="WFQ25" s="204"/>
      <c r="WFR25" s="204"/>
      <c r="WFS25" s="204"/>
      <c r="WFT25" s="204"/>
      <c r="WFU25" s="204"/>
      <c r="WFV25" s="204"/>
      <c r="WFW25" s="204"/>
      <c r="WFX25" s="204"/>
      <c r="WFY25" s="204"/>
      <c r="WFZ25" s="204"/>
      <c r="WGA25" s="204"/>
      <c r="WGB25" s="204"/>
      <c r="WGC25" s="204"/>
      <c r="WGD25" s="204"/>
      <c r="WGE25" s="204"/>
      <c r="WGF25" s="204"/>
      <c r="WGG25" s="204"/>
      <c r="WGH25" s="204"/>
      <c r="WGI25" s="204"/>
      <c r="WGJ25" s="204"/>
      <c r="WGK25" s="204"/>
      <c r="WGL25" s="204"/>
      <c r="WGM25" s="204"/>
      <c r="WGN25" s="204"/>
      <c r="WGO25" s="204"/>
      <c r="WGP25" s="204"/>
      <c r="WGQ25" s="204"/>
      <c r="WGR25" s="204"/>
      <c r="WGS25" s="204"/>
      <c r="WGT25" s="204"/>
      <c r="WGU25" s="204"/>
      <c r="WGV25" s="204"/>
      <c r="WGW25" s="204"/>
      <c r="WGX25" s="204"/>
      <c r="WGY25" s="204"/>
      <c r="WGZ25" s="204"/>
      <c r="WHA25" s="204"/>
      <c r="WHB25" s="204"/>
      <c r="WHC25" s="204"/>
      <c r="WHD25" s="204"/>
      <c r="WHE25" s="204"/>
      <c r="WHF25" s="204"/>
      <c r="WHG25" s="204"/>
      <c r="WHH25" s="204"/>
      <c r="WHI25" s="204"/>
      <c r="WHJ25" s="204"/>
      <c r="WHK25" s="204"/>
      <c r="WHL25" s="204"/>
      <c r="WHM25" s="204"/>
      <c r="WHN25" s="204"/>
      <c r="WHO25" s="204"/>
      <c r="WHP25" s="204"/>
      <c r="WHQ25" s="204"/>
      <c r="WHR25" s="204"/>
      <c r="WHS25" s="204"/>
      <c r="WHT25" s="204"/>
      <c r="WHU25" s="204"/>
      <c r="WHV25" s="204"/>
      <c r="WHW25" s="204"/>
      <c r="WHX25" s="204"/>
      <c r="WHY25" s="204"/>
      <c r="WHZ25" s="204"/>
      <c r="WIA25" s="204"/>
      <c r="WIB25" s="204"/>
      <c r="WIC25" s="204"/>
      <c r="WID25" s="204"/>
      <c r="WIE25" s="204"/>
      <c r="WIF25" s="204"/>
      <c r="WIG25" s="204"/>
      <c r="WIH25" s="204"/>
      <c r="WII25" s="204"/>
      <c r="WIJ25" s="204"/>
      <c r="WIK25" s="204"/>
      <c r="WIL25" s="204"/>
      <c r="WIM25" s="204"/>
      <c r="WIN25" s="204"/>
      <c r="WIO25" s="204"/>
      <c r="WIP25" s="204"/>
      <c r="WIQ25" s="204"/>
      <c r="WIR25" s="204"/>
      <c r="WIS25" s="204"/>
      <c r="WIT25" s="204"/>
      <c r="WIU25" s="204"/>
      <c r="WIV25" s="204"/>
      <c r="WIW25" s="204"/>
      <c r="WIX25" s="204"/>
      <c r="WIY25" s="204"/>
      <c r="WIZ25" s="204"/>
      <c r="WJA25" s="204"/>
      <c r="WJB25" s="204"/>
      <c r="WJC25" s="204"/>
      <c r="WJD25" s="204"/>
      <c r="WJE25" s="204"/>
      <c r="WJF25" s="204"/>
      <c r="WJG25" s="204"/>
      <c r="WJH25" s="204"/>
      <c r="WJI25" s="204"/>
      <c r="WJJ25" s="204"/>
      <c r="WJK25" s="204"/>
      <c r="WJL25" s="204"/>
      <c r="WJM25" s="204"/>
      <c r="WJN25" s="204"/>
      <c r="WJO25" s="204"/>
      <c r="WJP25" s="204"/>
      <c r="WJQ25" s="204"/>
      <c r="WJR25" s="204"/>
      <c r="WJS25" s="204"/>
      <c r="WJT25" s="204"/>
      <c r="WJU25" s="204"/>
      <c r="WJV25" s="204"/>
      <c r="WJW25" s="204"/>
      <c r="WJX25" s="204"/>
      <c r="WJY25" s="204"/>
      <c r="WJZ25" s="204"/>
      <c r="WKA25" s="204"/>
      <c r="WKB25" s="204"/>
      <c r="WKC25" s="204"/>
      <c r="WKD25" s="204"/>
      <c r="WKE25" s="204"/>
      <c r="WKF25" s="204"/>
      <c r="WKG25" s="204"/>
      <c r="WKH25" s="204"/>
      <c r="WKI25" s="204"/>
      <c r="WKJ25" s="204"/>
      <c r="WKK25" s="204"/>
      <c r="WKL25" s="204"/>
      <c r="WKM25" s="204"/>
      <c r="WKN25" s="204"/>
      <c r="WKO25" s="204"/>
      <c r="WKP25" s="204"/>
      <c r="WKQ25" s="204"/>
      <c r="WKR25" s="204"/>
      <c r="WKS25" s="204"/>
      <c r="WKT25" s="204"/>
      <c r="WKU25" s="204"/>
      <c r="WKV25" s="204"/>
      <c r="WKW25" s="204"/>
      <c r="WKX25" s="204"/>
      <c r="WKY25" s="204"/>
      <c r="WKZ25" s="204"/>
      <c r="WLA25" s="204"/>
      <c r="WLB25" s="204"/>
      <c r="WLC25" s="204"/>
      <c r="WLD25" s="204"/>
      <c r="WLE25" s="204"/>
      <c r="WLF25" s="204"/>
      <c r="WLG25" s="204"/>
      <c r="WLH25" s="204"/>
      <c r="WLI25" s="204"/>
      <c r="WLJ25" s="204"/>
      <c r="WLK25" s="204"/>
      <c r="WLL25" s="204"/>
      <c r="WLM25" s="204"/>
      <c r="WLN25" s="204"/>
      <c r="WLO25" s="204"/>
      <c r="WLP25" s="204"/>
      <c r="WLQ25" s="204"/>
      <c r="WLR25" s="204"/>
      <c r="WLS25" s="204"/>
      <c r="WLT25" s="204"/>
      <c r="WLU25" s="204"/>
      <c r="WLV25" s="204"/>
      <c r="WLW25" s="204"/>
      <c r="WLX25" s="204"/>
      <c r="WLY25" s="204"/>
      <c r="WLZ25" s="204"/>
      <c r="WMA25" s="204"/>
      <c r="WMB25" s="204"/>
      <c r="WMC25" s="204"/>
      <c r="WMD25" s="204"/>
      <c r="WME25" s="204"/>
      <c r="WMF25" s="204"/>
      <c r="WMG25" s="204"/>
      <c r="WMH25" s="204"/>
      <c r="WMI25" s="204"/>
      <c r="WMJ25" s="204"/>
      <c r="WMK25" s="204"/>
      <c r="WML25" s="204"/>
      <c r="WMM25" s="204"/>
      <c r="WMN25" s="204"/>
      <c r="WMO25" s="204"/>
      <c r="WMP25" s="204"/>
      <c r="WMQ25" s="204"/>
      <c r="WMR25" s="204"/>
      <c r="WMS25" s="204"/>
      <c r="WMT25" s="204"/>
      <c r="WMU25" s="204"/>
      <c r="WMV25" s="204"/>
      <c r="WMW25" s="204"/>
      <c r="WMX25" s="204"/>
      <c r="WMY25" s="204"/>
      <c r="WMZ25" s="204"/>
      <c r="WNA25" s="204"/>
      <c r="WNB25" s="204"/>
      <c r="WNC25" s="204"/>
      <c r="WND25" s="204"/>
      <c r="WNE25" s="204"/>
      <c r="WNF25" s="204"/>
      <c r="WNG25" s="204"/>
      <c r="WNH25" s="204"/>
      <c r="WNI25" s="204"/>
      <c r="WNJ25" s="204"/>
      <c r="WNK25" s="204"/>
      <c r="WNL25" s="204"/>
      <c r="WNM25" s="204"/>
      <c r="WNN25" s="204"/>
      <c r="WNO25" s="204"/>
      <c r="WNP25" s="204"/>
      <c r="WNQ25" s="204"/>
      <c r="WNR25" s="204"/>
      <c r="WNS25" s="204"/>
      <c r="WNT25" s="204"/>
      <c r="WNU25" s="204"/>
      <c r="WNV25" s="204"/>
      <c r="WNW25" s="204"/>
      <c r="WNX25" s="204"/>
      <c r="WNY25" s="204"/>
      <c r="WNZ25" s="204"/>
      <c r="WOA25" s="204"/>
      <c r="WOB25" s="204"/>
      <c r="WOC25" s="204"/>
      <c r="WOD25" s="204"/>
      <c r="WOE25" s="204"/>
      <c r="WOF25" s="204"/>
      <c r="WOG25" s="204"/>
      <c r="WOH25" s="204"/>
      <c r="WOI25" s="204"/>
      <c r="WOJ25" s="204"/>
      <c r="WOK25" s="204"/>
      <c r="WOL25" s="204"/>
      <c r="WOM25" s="204"/>
      <c r="WON25" s="204"/>
      <c r="WOO25" s="204"/>
      <c r="WOP25" s="204"/>
      <c r="WOQ25" s="204"/>
      <c r="WOR25" s="204"/>
      <c r="WOS25" s="204"/>
      <c r="WOT25" s="204"/>
      <c r="WOU25" s="204"/>
      <c r="WOV25" s="204"/>
      <c r="WOW25" s="204"/>
      <c r="WOX25" s="204"/>
      <c r="WOY25" s="204"/>
      <c r="WOZ25" s="204"/>
      <c r="WPA25" s="204"/>
      <c r="WPB25" s="204"/>
      <c r="WPC25" s="204"/>
      <c r="WPD25" s="204"/>
      <c r="WPE25" s="204"/>
      <c r="WPF25" s="204"/>
      <c r="WPG25" s="204"/>
      <c r="WPH25" s="204"/>
      <c r="WPI25" s="204"/>
      <c r="WPJ25" s="204"/>
      <c r="WPK25" s="204"/>
      <c r="WPL25" s="204"/>
      <c r="WPM25" s="204"/>
      <c r="WPN25" s="204"/>
      <c r="WPO25" s="204"/>
      <c r="WPP25" s="204"/>
      <c r="WPQ25" s="204"/>
      <c r="WPR25" s="204"/>
      <c r="WPS25" s="204"/>
      <c r="WPT25" s="204"/>
      <c r="WPU25" s="204"/>
      <c r="WPV25" s="204"/>
      <c r="WPW25" s="204"/>
      <c r="WPX25" s="204"/>
      <c r="WPY25" s="204"/>
      <c r="WPZ25" s="204"/>
      <c r="WQA25" s="204"/>
      <c r="WQB25" s="204"/>
      <c r="WQC25" s="204"/>
      <c r="WQD25" s="204"/>
      <c r="WQE25" s="204"/>
      <c r="WQF25" s="204"/>
      <c r="WQG25" s="204"/>
      <c r="WQH25" s="204"/>
      <c r="WQI25" s="204"/>
      <c r="WQJ25" s="204"/>
      <c r="WQK25" s="204"/>
      <c r="WQL25" s="204"/>
      <c r="WQM25" s="204"/>
      <c r="WQN25" s="204"/>
      <c r="WQO25" s="204"/>
      <c r="WQP25" s="204"/>
      <c r="WQQ25" s="204"/>
      <c r="WQR25" s="204"/>
      <c r="WQS25" s="204"/>
      <c r="WQT25" s="204"/>
      <c r="WQU25" s="204"/>
      <c r="WQV25" s="204"/>
      <c r="WQW25" s="204"/>
      <c r="WQX25" s="204"/>
      <c r="WQY25" s="204"/>
      <c r="WQZ25" s="204"/>
      <c r="WRA25" s="204"/>
      <c r="WRB25" s="204"/>
      <c r="WRC25" s="204"/>
      <c r="WRD25" s="204"/>
      <c r="WRE25" s="204"/>
      <c r="WRF25" s="204"/>
      <c r="WRG25" s="204"/>
      <c r="WRH25" s="204"/>
      <c r="WRI25" s="204"/>
      <c r="WRJ25" s="204"/>
      <c r="WRK25" s="204"/>
      <c r="WRL25" s="204"/>
      <c r="WRM25" s="204"/>
      <c r="WRN25" s="204"/>
      <c r="WRO25" s="204"/>
      <c r="WRP25" s="204"/>
      <c r="WRQ25" s="204"/>
      <c r="WRR25" s="204"/>
      <c r="WRS25" s="204"/>
      <c r="WRT25" s="204"/>
      <c r="WRU25" s="204"/>
      <c r="WRV25" s="204"/>
      <c r="WRW25" s="204"/>
      <c r="WRX25" s="204"/>
      <c r="WRY25" s="204"/>
      <c r="WRZ25" s="204"/>
      <c r="WSA25" s="204"/>
      <c r="WSB25" s="204"/>
      <c r="WSC25" s="204"/>
      <c r="WSD25" s="204"/>
      <c r="WSE25" s="204"/>
      <c r="WSF25" s="204"/>
      <c r="WSG25" s="204"/>
      <c r="WSH25" s="204"/>
      <c r="WSI25" s="204"/>
      <c r="WSJ25" s="204"/>
      <c r="WSK25" s="204"/>
      <c r="WSL25" s="204"/>
      <c r="WSM25" s="204"/>
      <c r="WSN25" s="204"/>
      <c r="WSO25" s="204"/>
      <c r="WSP25" s="204"/>
      <c r="WSQ25" s="204"/>
      <c r="WSR25" s="204"/>
      <c r="WSS25" s="204"/>
      <c r="WST25" s="204"/>
      <c r="WSU25" s="204"/>
      <c r="WSV25" s="204"/>
      <c r="WSW25" s="204"/>
      <c r="WSX25" s="204"/>
      <c r="WSY25" s="204"/>
      <c r="WSZ25" s="204"/>
      <c r="WTA25" s="204"/>
      <c r="WTB25" s="204"/>
      <c r="WTC25" s="204"/>
      <c r="WTD25" s="204"/>
      <c r="WTE25" s="204"/>
      <c r="WTF25" s="204"/>
      <c r="WTG25" s="204"/>
      <c r="WTH25" s="204"/>
      <c r="WTI25" s="204"/>
      <c r="WTJ25" s="204"/>
      <c r="WTK25" s="204"/>
      <c r="WTL25" s="204"/>
      <c r="WTM25" s="204"/>
      <c r="WTN25" s="204"/>
      <c r="WTO25" s="204"/>
      <c r="WTP25" s="204"/>
      <c r="WTQ25" s="204"/>
      <c r="WTR25" s="204"/>
      <c r="WTS25" s="204"/>
      <c r="WTT25" s="204"/>
      <c r="WTU25" s="204"/>
      <c r="WTV25" s="204"/>
      <c r="WTW25" s="204"/>
      <c r="WTX25" s="204"/>
      <c r="WTY25" s="204"/>
      <c r="WTZ25" s="204"/>
      <c r="WUA25" s="204"/>
      <c r="WUB25" s="204"/>
      <c r="WUC25" s="204"/>
      <c r="WUD25" s="204"/>
      <c r="WUE25" s="204"/>
      <c r="WUF25" s="204"/>
      <c r="WUG25" s="204"/>
      <c r="WUH25" s="204"/>
      <c r="WUI25" s="204"/>
      <c r="WUJ25" s="204"/>
      <c r="WUK25" s="204"/>
      <c r="WUL25" s="204"/>
      <c r="WUM25" s="204"/>
      <c r="WUN25" s="204"/>
      <c r="WUO25" s="204"/>
      <c r="WUP25" s="204"/>
      <c r="WUQ25" s="204"/>
      <c r="WUR25" s="204"/>
      <c r="WUS25" s="204"/>
      <c r="WUT25" s="204"/>
      <c r="WUU25" s="204"/>
      <c r="WUV25" s="204"/>
      <c r="WUW25" s="204"/>
      <c r="WUX25" s="204"/>
      <c r="WUY25" s="204"/>
      <c r="WUZ25" s="204"/>
      <c r="WVA25" s="204"/>
      <c r="WVB25" s="204"/>
      <c r="WVC25" s="204"/>
      <c r="WVD25" s="204"/>
      <c r="WVE25" s="204"/>
      <c r="WVF25" s="204"/>
      <c r="WVG25" s="204"/>
      <c r="WVH25" s="204"/>
      <c r="WVI25" s="204"/>
      <c r="WVJ25" s="204"/>
      <c r="WVK25" s="204"/>
      <c r="WVL25" s="204"/>
      <c r="WVM25" s="204"/>
      <c r="WVN25" s="204"/>
      <c r="WVO25" s="204"/>
      <c r="WVP25" s="204"/>
      <c r="WVQ25" s="204"/>
      <c r="WVR25" s="204"/>
      <c r="WVS25" s="204"/>
      <c r="WVT25" s="204"/>
      <c r="WVU25" s="204"/>
      <c r="WVV25" s="204"/>
      <c r="WVW25" s="204"/>
      <c r="WVX25" s="204"/>
      <c r="WVY25" s="204"/>
      <c r="WVZ25" s="204"/>
      <c r="WWA25" s="204"/>
      <c r="WWB25" s="204"/>
      <c r="WWC25" s="204"/>
      <c r="WWD25" s="204"/>
      <c r="WWE25" s="204"/>
      <c r="WWF25" s="204"/>
      <c r="WWG25" s="204"/>
      <c r="WWH25" s="204"/>
      <c r="WWI25" s="204"/>
      <c r="WWJ25" s="204"/>
      <c r="WWK25" s="204"/>
      <c r="WWL25" s="204"/>
      <c r="WWM25" s="204"/>
      <c r="WWN25" s="204"/>
      <c r="WWO25" s="204"/>
      <c r="WWP25" s="204"/>
      <c r="WWQ25" s="204"/>
      <c r="WWR25" s="204"/>
      <c r="WWS25" s="204"/>
      <c r="WWT25" s="204"/>
      <c r="WWU25" s="204"/>
      <c r="WWV25" s="204"/>
      <c r="WWW25" s="204"/>
      <c r="WWX25" s="204"/>
      <c r="WWY25" s="204"/>
      <c r="WWZ25" s="204"/>
      <c r="WXA25" s="204"/>
      <c r="WXB25" s="204"/>
      <c r="WXC25" s="204"/>
      <c r="WXD25" s="204"/>
      <c r="WXE25" s="204"/>
      <c r="WXF25" s="204"/>
      <c r="WXG25" s="204"/>
      <c r="WXH25" s="204"/>
      <c r="WXI25" s="204"/>
      <c r="WXJ25" s="204"/>
      <c r="WXK25" s="204"/>
      <c r="WXL25" s="204"/>
      <c r="WXM25" s="204"/>
      <c r="WXN25" s="204"/>
      <c r="WXO25" s="204"/>
      <c r="WXP25" s="204"/>
      <c r="WXQ25" s="204"/>
      <c r="WXR25" s="204"/>
      <c r="WXS25" s="204"/>
      <c r="WXT25" s="204"/>
      <c r="WXU25" s="204"/>
      <c r="WXV25" s="204"/>
      <c r="WXW25" s="204"/>
      <c r="WXX25" s="204"/>
      <c r="WXY25" s="204"/>
      <c r="WXZ25" s="204"/>
      <c r="WYA25" s="204"/>
      <c r="WYB25" s="204"/>
      <c r="WYC25" s="204"/>
      <c r="WYD25" s="204"/>
      <c r="WYE25" s="204"/>
      <c r="WYF25" s="204"/>
      <c r="WYG25" s="204"/>
      <c r="WYH25" s="204"/>
      <c r="WYI25" s="204"/>
      <c r="WYJ25" s="204"/>
      <c r="WYK25" s="204"/>
      <c r="WYL25" s="204"/>
      <c r="WYM25" s="204"/>
      <c r="WYN25" s="204"/>
      <c r="WYO25" s="204"/>
      <c r="WYP25" s="204"/>
      <c r="WYQ25" s="204"/>
      <c r="WYR25" s="204"/>
      <c r="WYS25" s="204"/>
      <c r="WYT25" s="204"/>
      <c r="WYU25" s="204"/>
      <c r="WYV25" s="204"/>
      <c r="WYW25" s="204"/>
      <c r="WYX25" s="204"/>
      <c r="WYY25" s="204"/>
      <c r="WYZ25" s="204"/>
      <c r="WZA25" s="204"/>
      <c r="WZB25" s="204"/>
      <c r="WZC25" s="204"/>
      <c r="WZD25" s="204"/>
      <c r="WZE25" s="204"/>
      <c r="WZF25" s="204"/>
      <c r="WZG25" s="204"/>
      <c r="WZH25" s="204"/>
      <c r="WZI25" s="204"/>
      <c r="WZJ25" s="204"/>
      <c r="WZK25" s="204"/>
      <c r="WZL25" s="204"/>
      <c r="WZM25" s="204"/>
      <c r="WZN25" s="204"/>
      <c r="WZO25" s="204"/>
      <c r="WZP25" s="204"/>
      <c r="WZQ25" s="204"/>
      <c r="WZR25" s="204"/>
      <c r="WZS25" s="204"/>
      <c r="WZT25" s="204"/>
      <c r="WZU25" s="204"/>
      <c r="WZV25" s="204"/>
      <c r="WZW25" s="204"/>
      <c r="WZX25" s="204"/>
      <c r="WZY25" s="204"/>
      <c r="WZZ25" s="204"/>
      <c r="XAA25" s="204"/>
      <c r="XAB25" s="204"/>
      <c r="XAC25" s="204"/>
      <c r="XAD25" s="204"/>
      <c r="XAE25" s="204"/>
      <c r="XAF25" s="204"/>
      <c r="XAG25" s="204"/>
      <c r="XAH25" s="204"/>
      <c r="XAI25" s="204"/>
      <c r="XAJ25" s="204"/>
      <c r="XAK25" s="204"/>
      <c r="XAL25" s="204"/>
      <c r="XAM25" s="204"/>
      <c r="XAN25" s="204"/>
      <c r="XAO25" s="204"/>
      <c r="XAP25" s="204"/>
      <c r="XAQ25" s="204"/>
      <c r="XAR25" s="204"/>
      <c r="XAS25" s="204"/>
      <c r="XAT25" s="204"/>
      <c r="XAU25" s="204"/>
      <c r="XAV25" s="204"/>
      <c r="XAW25" s="204"/>
      <c r="XAX25" s="204"/>
      <c r="XAY25" s="204"/>
      <c r="XAZ25" s="204"/>
      <c r="XBA25" s="204"/>
      <c r="XBB25" s="204"/>
      <c r="XBC25" s="204"/>
      <c r="XBD25" s="204"/>
      <c r="XBE25" s="204"/>
      <c r="XBF25" s="204"/>
      <c r="XBG25" s="204"/>
      <c r="XBH25" s="204"/>
      <c r="XBI25" s="204"/>
      <c r="XBJ25" s="204"/>
      <c r="XBK25" s="204"/>
      <c r="XBL25" s="204"/>
      <c r="XBM25" s="204"/>
      <c r="XBN25" s="204"/>
      <c r="XBO25" s="204"/>
      <c r="XBP25" s="204"/>
      <c r="XBQ25" s="204"/>
      <c r="XBR25" s="204"/>
      <c r="XBS25" s="204"/>
      <c r="XBT25" s="204"/>
      <c r="XBU25" s="204"/>
      <c r="XBV25" s="204"/>
      <c r="XBW25" s="204"/>
      <c r="XBX25" s="204"/>
      <c r="XBY25" s="204"/>
      <c r="XBZ25" s="204"/>
      <c r="XCA25" s="204"/>
      <c r="XCB25" s="204"/>
      <c r="XCC25" s="204"/>
      <c r="XCD25" s="204"/>
      <c r="XCE25" s="204"/>
      <c r="XCF25" s="204"/>
      <c r="XCG25" s="204"/>
      <c r="XCH25" s="204"/>
      <c r="XCI25" s="204"/>
      <c r="XCJ25" s="204"/>
      <c r="XCK25" s="204"/>
      <c r="XCL25" s="204"/>
      <c r="XCM25" s="204"/>
      <c r="XCN25" s="204"/>
      <c r="XCO25" s="204"/>
      <c r="XCP25" s="204"/>
      <c r="XCQ25" s="204"/>
      <c r="XCR25" s="204"/>
      <c r="XCS25" s="204"/>
      <c r="XCT25" s="204"/>
      <c r="XCU25" s="204"/>
      <c r="XCV25" s="204"/>
      <c r="XCW25" s="204"/>
      <c r="XCX25" s="204"/>
      <c r="XCY25" s="204"/>
      <c r="XCZ25" s="204"/>
      <c r="XDA25" s="204"/>
      <c r="XDB25" s="204"/>
      <c r="XDC25" s="204"/>
      <c r="XDD25" s="204"/>
      <c r="XDE25" s="204"/>
      <c r="XDF25" s="204"/>
      <c r="XDG25" s="204"/>
      <c r="XDH25" s="204"/>
      <c r="XDI25" s="204"/>
      <c r="XDJ25" s="204"/>
      <c r="XDK25" s="204"/>
      <c r="XDL25" s="204"/>
      <c r="XDM25" s="204"/>
      <c r="XDN25" s="204"/>
      <c r="XDO25" s="204"/>
      <c r="XDP25" s="204"/>
      <c r="XDQ25" s="204"/>
      <c r="XDR25" s="204"/>
      <c r="XDS25" s="204"/>
      <c r="XDT25" s="204"/>
      <c r="XDU25" s="204"/>
      <c r="XDV25" s="204"/>
      <c r="XDW25" s="204"/>
      <c r="XDX25" s="204"/>
      <c r="XDY25" s="204"/>
      <c r="XDZ25" s="204"/>
      <c r="XEA25" s="204"/>
      <c r="XEB25" s="204"/>
      <c r="XEC25" s="204"/>
      <c r="XED25" s="204"/>
      <c r="XEE25" s="204"/>
      <c r="XEF25" s="204"/>
      <c r="XEG25" s="204"/>
      <c r="XEH25" s="204"/>
      <c r="XEI25" s="204"/>
      <c r="XEJ25" s="204"/>
      <c r="XEK25" s="204"/>
      <c r="XEL25" s="204"/>
      <c r="XEM25" s="204"/>
      <c r="XEN25" s="204"/>
      <c r="XEO25" s="204"/>
      <c r="XEP25" s="204"/>
      <c r="XEQ25" s="204"/>
      <c r="XER25" s="204"/>
      <c r="XES25" s="204"/>
      <c r="XET25" s="204"/>
      <c r="XEU25" s="204"/>
      <c r="XEV25" s="204"/>
      <c r="XEW25" s="204"/>
      <c r="XEX25" s="204"/>
      <c r="XEY25" s="204"/>
      <c r="XEZ25" s="204"/>
      <c r="XFA25" s="204"/>
      <c r="XFB25" s="204"/>
      <c r="XFC25" s="204"/>
      <c r="XFD25" s="204"/>
    </row>
    <row r="26" spans="1:16384" x14ac:dyDescent="0.2">
      <c r="A26" s="203"/>
      <c r="B26" s="205" t="s">
        <v>59</v>
      </c>
      <c r="C26" s="132">
        <v>93</v>
      </c>
      <c r="D26" s="132">
        <v>93</v>
      </c>
      <c r="E26" s="133">
        <v>11</v>
      </c>
      <c r="F26" s="134">
        <v>59</v>
      </c>
      <c r="G26" s="134">
        <v>13</v>
      </c>
      <c r="H26" s="134">
        <v>9</v>
      </c>
      <c r="I26" s="135">
        <v>11.956521739130435</v>
      </c>
      <c r="J26" s="136">
        <v>64.130434782608688</v>
      </c>
      <c r="K26" s="136">
        <v>14.130434782608695</v>
      </c>
      <c r="L26" s="136">
        <v>9.7826086956521738</v>
      </c>
      <c r="M26" s="86">
        <v>75</v>
      </c>
      <c r="N26" s="137">
        <v>15</v>
      </c>
      <c r="O26" s="88">
        <v>83.333333333333343</v>
      </c>
      <c r="P26" s="138">
        <v>16.666666666666664</v>
      </c>
      <c r="Q26" s="88">
        <v>81</v>
      </c>
      <c r="R26" s="89">
        <v>9</v>
      </c>
      <c r="S26" s="88">
        <v>90</v>
      </c>
      <c r="T26" s="138">
        <v>10</v>
      </c>
      <c r="U26" s="229"/>
      <c r="V26" s="203"/>
      <c r="W26" s="203"/>
      <c r="X26" s="203"/>
      <c r="Y26" s="203"/>
      <c r="Z26" s="203"/>
      <c r="AA26" s="203"/>
      <c r="AB26" s="203"/>
      <c r="AC26" s="203"/>
      <c r="AD26" s="203"/>
      <c r="AE26" s="203"/>
      <c r="AF26" s="203"/>
      <c r="AG26" s="229"/>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c r="EU26" s="204"/>
      <c r="EV26" s="204"/>
      <c r="EW26" s="204"/>
      <c r="EX26" s="204"/>
      <c r="EY26" s="204"/>
      <c r="EZ26" s="204"/>
      <c r="FA26" s="204"/>
      <c r="FB26" s="204"/>
      <c r="FC26" s="204"/>
      <c r="FD26" s="204"/>
      <c r="FE26" s="204"/>
      <c r="FF26" s="204"/>
      <c r="FG26" s="204"/>
      <c r="FH26" s="204"/>
      <c r="FI26" s="204"/>
      <c r="FJ26" s="204"/>
      <c r="FK26" s="204"/>
      <c r="FL26" s="204"/>
      <c r="FM26" s="204"/>
      <c r="FN26" s="204"/>
      <c r="FO26" s="204"/>
      <c r="FP26" s="204"/>
      <c r="FQ26" s="204"/>
      <c r="FR26" s="204"/>
      <c r="FS26" s="204"/>
      <c r="FT26" s="204"/>
      <c r="FU26" s="204"/>
      <c r="FV26" s="204"/>
      <c r="FW26" s="204"/>
      <c r="FX26" s="204"/>
      <c r="FY26" s="204"/>
      <c r="FZ26" s="204"/>
      <c r="GA26" s="204"/>
      <c r="GB26" s="204"/>
      <c r="GC26" s="204"/>
      <c r="GD26" s="204"/>
      <c r="GE26" s="204"/>
      <c r="GF26" s="204"/>
      <c r="GG26" s="204"/>
      <c r="GH26" s="204"/>
      <c r="GI26" s="204"/>
      <c r="GJ26" s="204"/>
      <c r="GK26" s="204"/>
      <c r="GL26" s="204"/>
      <c r="GM26" s="204"/>
      <c r="GN26" s="204"/>
      <c r="GO26" s="204"/>
      <c r="GP26" s="204"/>
      <c r="GQ26" s="204"/>
      <c r="GR26" s="204"/>
      <c r="GS26" s="204"/>
      <c r="GT26" s="204"/>
      <c r="GU26" s="204"/>
      <c r="GV26" s="204"/>
      <c r="GW26" s="204"/>
      <c r="GX26" s="204"/>
      <c r="GY26" s="204"/>
      <c r="GZ26" s="204"/>
      <c r="HA26" s="204"/>
      <c r="HB26" s="204"/>
      <c r="HC26" s="204"/>
      <c r="HD26" s="204"/>
      <c r="HE26" s="204"/>
      <c r="HF26" s="204"/>
      <c r="HG26" s="204"/>
      <c r="HH26" s="204"/>
      <c r="HI26" s="204"/>
      <c r="HJ26" s="204"/>
      <c r="HK26" s="204"/>
      <c r="HL26" s="204"/>
      <c r="HM26" s="204"/>
      <c r="HN26" s="204"/>
      <c r="HO26" s="204"/>
      <c r="HP26" s="204"/>
      <c r="HQ26" s="204"/>
      <c r="HR26" s="204"/>
      <c r="HS26" s="204"/>
      <c r="HT26" s="204"/>
      <c r="HU26" s="204"/>
      <c r="HV26" s="204"/>
      <c r="HW26" s="204"/>
      <c r="HX26" s="204"/>
      <c r="HY26" s="204"/>
      <c r="HZ26" s="204"/>
      <c r="IA26" s="204"/>
      <c r="IB26" s="204"/>
      <c r="IC26" s="204"/>
      <c r="ID26" s="204"/>
      <c r="IE26" s="204"/>
      <c r="IF26" s="204"/>
      <c r="IG26" s="204"/>
      <c r="IH26" s="204"/>
      <c r="II26" s="204"/>
      <c r="IJ26" s="204"/>
      <c r="IK26" s="204"/>
      <c r="IL26" s="204"/>
      <c r="IM26" s="204"/>
      <c r="IN26" s="204"/>
      <c r="IO26" s="204"/>
      <c r="IP26" s="204"/>
      <c r="IQ26" s="204"/>
      <c r="IR26" s="204"/>
      <c r="IS26" s="204"/>
      <c r="IT26" s="204"/>
      <c r="IU26" s="204"/>
      <c r="IV26" s="204"/>
      <c r="IW26" s="204"/>
      <c r="IX26" s="204"/>
      <c r="IY26" s="204"/>
      <c r="IZ26" s="204"/>
      <c r="JA26" s="204"/>
      <c r="JB26" s="204"/>
      <c r="JC26" s="204"/>
      <c r="JD26" s="204"/>
      <c r="JE26" s="204"/>
      <c r="JF26" s="204"/>
      <c r="JG26" s="204"/>
      <c r="JH26" s="204"/>
      <c r="JI26" s="204"/>
      <c r="JJ26" s="204"/>
      <c r="JK26" s="204"/>
      <c r="JL26" s="204"/>
      <c r="JM26" s="204"/>
      <c r="JN26" s="204"/>
      <c r="JO26" s="204"/>
      <c r="JP26" s="204"/>
      <c r="JQ26" s="204"/>
      <c r="JR26" s="204"/>
      <c r="JS26" s="204"/>
      <c r="JT26" s="204"/>
      <c r="JU26" s="204"/>
      <c r="JV26" s="204"/>
      <c r="JW26" s="204"/>
      <c r="JX26" s="204"/>
      <c r="JY26" s="204"/>
      <c r="JZ26" s="204"/>
      <c r="KA26" s="204"/>
      <c r="KB26" s="204"/>
      <c r="KC26" s="204"/>
      <c r="KD26" s="204"/>
      <c r="KE26" s="204"/>
      <c r="KF26" s="204"/>
      <c r="KG26" s="204"/>
      <c r="KH26" s="204"/>
      <c r="KI26" s="204"/>
      <c r="KJ26" s="204"/>
      <c r="KK26" s="204"/>
      <c r="KL26" s="204"/>
      <c r="KM26" s="204"/>
      <c r="KN26" s="204"/>
      <c r="KO26" s="204"/>
      <c r="KP26" s="204"/>
      <c r="KQ26" s="204"/>
      <c r="KR26" s="204"/>
      <c r="KS26" s="204"/>
      <c r="KT26" s="204"/>
      <c r="KU26" s="204"/>
      <c r="KV26" s="204"/>
      <c r="KW26" s="204"/>
      <c r="KX26" s="204"/>
      <c r="KY26" s="204"/>
      <c r="KZ26" s="204"/>
      <c r="LA26" s="204"/>
      <c r="LB26" s="204"/>
      <c r="LC26" s="204"/>
      <c r="LD26" s="204"/>
      <c r="LE26" s="204"/>
      <c r="LF26" s="204"/>
      <c r="LG26" s="204"/>
      <c r="LH26" s="204"/>
      <c r="LI26" s="204"/>
      <c r="LJ26" s="204"/>
      <c r="LK26" s="204"/>
      <c r="LL26" s="204"/>
      <c r="LM26" s="204"/>
      <c r="LN26" s="204"/>
      <c r="LO26" s="204"/>
      <c r="LP26" s="204"/>
      <c r="LQ26" s="204"/>
      <c r="LR26" s="204"/>
      <c r="LS26" s="204"/>
      <c r="LT26" s="204"/>
      <c r="LU26" s="204"/>
      <c r="LV26" s="204"/>
      <c r="LW26" s="204"/>
      <c r="LX26" s="204"/>
      <c r="LY26" s="204"/>
      <c r="LZ26" s="204"/>
      <c r="MA26" s="204"/>
      <c r="MB26" s="204"/>
      <c r="MC26" s="204"/>
      <c r="MD26" s="204"/>
      <c r="ME26" s="204"/>
      <c r="MF26" s="204"/>
      <c r="MG26" s="204"/>
      <c r="MH26" s="204"/>
      <c r="MI26" s="204"/>
      <c r="MJ26" s="204"/>
      <c r="MK26" s="204"/>
      <c r="ML26" s="204"/>
      <c r="MM26" s="204"/>
      <c r="MN26" s="204"/>
      <c r="MO26" s="204"/>
      <c r="MP26" s="204"/>
      <c r="MQ26" s="204"/>
      <c r="MR26" s="204"/>
      <c r="MS26" s="204"/>
      <c r="MT26" s="204"/>
      <c r="MU26" s="204"/>
      <c r="MV26" s="204"/>
      <c r="MW26" s="204"/>
      <c r="MX26" s="204"/>
      <c r="MY26" s="204"/>
      <c r="MZ26" s="204"/>
      <c r="NA26" s="204"/>
      <c r="NB26" s="204"/>
      <c r="NC26" s="204"/>
      <c r="ND26" s="204"/>
      <c r="NE26" s="204"/>
      <c r="NF26" s="204"/>
      <c r="NG26" s="204"/>
      <c r="NH26" s="204"/>
      <c r="NI26" s="204"/>
      <c r="NJ26" s="204"/>
      <c r="NK26" s="204"/>
      <c r="NL26" s="204"/>
      <c r="NM26" s="204"/>
      <c r="NN26" s="204"/>
      <c r="NO26" s="204"/>
      <c r="NP26" s="204"/>
      <c r="NQ26" s="204"/>
      <c r="NR26" s="204"/>
      <c r="NS26" s="204"/>
      <c r="NT26" s="204"/>
      <c r="NU26" s="204"/>
      <c r="NV26" s="204"/>
      <c r="NW26" s="204"/>
      <c r="NX26" s="204"/>
      <c r="NY26" s="204"/>
      <c r="NZ26" s="204"/>
      <c r="OA26" s="204"/>
      <c r="OB26" s="204"/>
      <c r="OC26" s="204"/>
      <c r="OD26" s="204"/>
      <c r="OE26" s="204"/>
      <c r="OF26" s="204"/>
      <c r="OG26" s="204"/>
      <c r="OH26" s="204"/>
      <c r="OI26" s="204"/>
      <c r="OJ26" s="204"/>
      <c r="OK26" s="204"/>
      <c r="OL26" s="204"/>
      <c r="OM26" s="204"/>
      <c r="ON26" s="204"/>
      <c r="OO26" s="204"/>
      <c r="OP26" s="204"/>
      <c r="OQ26" s="204"/>
      <c r="OR26" s="204"/>
      <c r="OS26" s="204"/>
      <c r="OT26" s="204"/>
      <c r="OU26" s="204"/>
      <c r="OV26" s="204"/>
      <c r="OW26" s="204"/>
      <c r="OX26" s="204"/>
      <c r="OY26" s="204"/>
      <c r="OZ26" s="204"/>
      <c r="PA26" s="204"/>
      <c r="PB26" s="204"/>
      <c r="PC26" s="204"/>
      <c r="PD26" s="204"/>
      <c r="PE26" s="204"/>
      <c r="PF26" s="204"/>
      <c r="PG26" s="204"/>
      <c r="PH26" s="204"/>
      <c r="PI26" s="204"/>
      <c r="PJ26" s="204"/>
      <c r="PK26" s="204"/>
      <c r="PL26" s="204"/>
      <c r="PM26" s="204"/>
      <c r="PN26" s="204"/>
      <c r="PO26" s="204"/>
      <c r="PP26" s="204"/>
      <c r="PQ26" s="204"/>
      <c r="PR26" s="204"/>
      <c r="PS26" s="204"/>
      <c r="PT26" s="204"/>
      <c r="PU26" s="204"/>
      <c r="PV26" s="204"/>
      <c r="PW26" s="204"/>
      <c r="PX26" s="204"/>
      <c r="PY26" s="204"/>
      <c r="PZ26" s="204"/>
      <c r="QA26" s="204"/>
      <c r="QB26" s="204"/>
      <c r="QC26" s="204"/>
      <c r="QD26" s="204"/>
      <c r="QE26" s="204"/>
      <c r="QF26" s="204"/>
      <c r="QG26" s="204"/>
      <c r="QH26" s="204"/>
      <c r="QI26" s="204"/>
      <c r="QJ26" s="204"/>
      <c r="QK26" s="204"/>
      <c r="QL26" s="204"/>
      <c r="QM26" s="204"/>
      <c r="QN26" s="204"/>
      <c r="QO26" s="204"/>
      <c r="QP26" s="204"/>
      <c r="QQ26" s="204"/>
      <c r="QR26" s="204"/>
      <c r="QS26" s="204"/>
      <c r="QT26" s="204"/>
      <c r="QU26" s="204"/>
      <c r="QV26" s="204"/>
      <c r="QW26" s="204"/>
      <c r="QX26" s="204"/>
      <c r="QY26" s="204"/>
      <c r="QZ26" s="204"/>
      <c r="RA26" s="204"/>
      <c r="RB26" s="204"/>
      <c r="RC26" s="204"/>
      <c r="RD26" s="204"/>
      <c r="RE26" s="204"/>
      <c r="RF26" s="204"/>
      <c r="RG26" s="204"/>
      <c r="RH26" s="204"/>
      <c r="RI26" s="204"/>
      <c r="RJ26" s="204"/>
      <c r="RK26" s="204"/>
      <c r="RL26" s="204"/>
      <c r="RM26" s="204"/>
      <c r="RN26" s="204"/>
      <c r="RO26" s="204"/>
      <c r="RP26" s="204"/>
      <c r="RQ26" s="204"/>
      <c r="RR26" s="204"/>
      <c r="RS26" s="204"/>
      <c r="RT26" s="204"/>
      <c r="RU26" s="204"/>
      <c r="RV26" s="204"/>
      <c r="RW26" s="204"/>
      <c r="RX26" s="204"/>
      <c r="RY26" s="204"/>
      <c r="RZ26" s="204"/>
      <c r="SA26" s="204"/>
      <c r="SB26" s="204"/>
      <c r="SC26" s="204"/>
      <c r="SD26" s="204"/>
      <c r="SE26" s="204"/>
      <c r="SF26" s="204"/>
      <c r="SG26" s="204"/>
      <c r="SH26" s="204"/>
      <c r="SI26" s="204"/>
      <c r="SJ26" s="204"/>
      <c r="SK26" s="204"/>
      <c r="SL26" s="204"/>
      <c r="SM26" s="204"/>
      <c r="SN26" s="204"/>
      <c r="SO26" s="204"/>
      <c r="SP26" s="204"/>
      <c r="SQ26" s="204"/>
      <c r="SR26" s="204"/>
      <c r="SS26" s="204"/>
      <c r="ST26" s="204"/>
      <c r="SU26" s="204"/>
      <c r="SV26" s="204"/>
      <c r="SW26" s="204"/>
      <c r="SX26" s="204"/>
      <c r="SY26" s="204"/>
      <c r="SZ26" s="204"/>
      <c r="TA26" s="204"/>
      <c r="TB26" s="204"/>
      <c r="TC26" s="204"/>
      <c r="TD26" s="204"/>
      <c r="TE26" s="204"/>
      <c r="TF26" s="204"/>
      <c r="TG26" s="204"/>
      <c r="TH26" s="204"/>
      <c r="TI26" s="204"/>
      <c r="TJ26" s="204"/>
      <c r="TK26" s="204"/>
      <c r="TL26" s="204"/>
      <c r="TM26" s="204"/>
      <c r="TN26" s="204"/>
      <c r="TO26" s="204"/>
      <c r="TP26" s="204"/>
      <c r="TQ26" s="204"/>
      <c r="TR26" s="204"/>
      <c r="TS26" s="204"/>
      <c r="TT26" s="204"/>
      <c r="TU26" s="204"/>
      <c r="TV26" s="204"/>
      <c r="TW26" s="204"/>
      <c r="TX26" s="204"/>
      <c r="TY26" s="204"/>
      <c r="TZ26" s="204"/>
      <c r="UA26" s="204"/>
      <c r="UB26" s="204"/>
      <c r="UC26" s="204"/>
      <c r="UD26" s="204"/>
      <c r="UE26" s="204"/>
      <c r="UF26" s="204"/>
      <c r="UG26" s="204"/>
      <c r="UH26" s="204"/>
      <c r="UI26" s="204"/>
      <c r="UJ26" s="204"/>
      <c r="UK26" s="204"/>
      <c r="UL26" s="204"/>
      <c r="UM26" s="204"/>
      <c r="UN26" s="204"/>
      <c r="UO26" s="204"/>
      <c r="UP26" s="204"/>
      <c r="UQ26" s="204"/>
      <c r="UR26" s="204"/>
      <c r="US26" s="204"/>
      <c r="UT26" s="204"/>
      <c r="UU26" s="204"/>
      <c r="UV26" s="204"/>
      <c r="UW26" s="204"/>
      <c r="UX26" s="204"/>
      <c r="UY26" s="204"/>
      <c r="UZ26" s="204"/>
      <c r="VA26" s="204"/>
      <c r="VB26" s="204"/>
      <c r="VC26" s="204"/>
      <c r="VD26" s="204"/>
      <c r="VE26" s="204"/>
      <c r="VF26" s="204"/>
      <c r="VG26" s="204"/>
      <c r="VH26" s="204"/>
      <c r="VI26" s="204"/>
      <c r="VJ26" s="204"/>
      <c r="VK26" s="204"/>
      <c r="VL26" s="204"/>
      <c r="VM26" s="204"/>
      <c r="VN26" s="204"/>
      <c r="VO26" s="204"/>
      <c r="VP26" s="204"/>
      <c r="VQ26" s="204"/>
      <c r="VR26" s="204"/>
      <c r="VS26" s="204"/>
      <c r="VT26" s="204"/>
      <c r="VU26" s="204"/>
      <c r="VV26" s="204"/>
      <c r="VW26" s="204"/>
      <c r="VX26" s="204"/>
      <c r="VY26" s="204"/>
      <c r="VZ26" s="204"/>
      <c r="WA26" s="204"/>
      <c r="WB26" s="204"/>
      <c r="WC26" s="204"/>
      <c r="WD26" s="204"/>
      <c r="WE26" s="204"/>
      <c r="WF26" s="204"/>
      <c r="WG26" s="204"/>
      <c r="WH26" s="204"/>
      <c r="WI26" s="204"/>
      <c r="WJ26" s="204"/>
      <c r="WK26" s="204"/>
      <c r="WL26" s="204"/>
      <c r="WM26" s="204"/>
      <c r="WN26" s="204"/>
      <c r="WO26" s="204"/>
      <c r="WP26" s="204"/>
      <c r="WQ26" s="204"/>
      <c r="WR26" s="204"/>
      <c r="WS26" s="204"/>
      <c r="WT26" s="204"/>
      <c r="WU26" s="204"/>
      <c r="WV26" s="204"/>
      <c r="WW26" s="204"/>
      <c r="WX26" s="204"/>
      <c r="WY26" s="204"/>
      <c r="WZ26" s="204"/>
      <c r="XA26" s="204"/>
      <c r="XB26" s="204"/>
      <c r="XC26" s="204"/>
      <c r="XD26" s="204"/>
      <c r="XE26" s="204"/>
      <c r="XF26" s="204"/>
      <c r="XG26" s="204"/>
      <c r="XH26" s="204"/>
      <c r="XI26" s="204"/>
      <c r="XJ26" s="204"/>
      <c r="XK26" s="204"/>
      <c r="XL26" s="204"/>
      <c r="XM26" s="204"/>
      <c r="XN26" s="204"/>
      <c r="XO26" s="204"/>
      <c r="XP26" s="204"/>
      <c r="XQ26" s="204"/>
      <c r="XR26" s="204"/>
      <c r="XS26" s="204"/>
      <c r="XT26" s="204"/>
      <c r="XU26" s="204"/>
      <c r="XV26" s="204"/>
      <c r="XW26" s="204"/>
      <c r="XX26" s="204"/>
      <c r="XY26" s="204"/>
      <c r="XZ26" s="204"/>
      <c r="YA26" s="204"/>
      <c r="YB26" s="204"/>
      <c r="YC26" s="204"/>
      <c r="YD26" s="204"/>
      <c r="YE26" s="204"/>
      <c r="YF26" s="204"/>
      <c r="YG26" s="204"/>
      <c r="YH26" s="204"/>
      <c r="YI26" s="204"/>
      <c r="YJ26" s="204"/>
      <c r="YK26" s="204"/>
      <c r="YL26" s="204"/>
      <c r="YM26" s="204"/>
      <c r="YN26" s="204"/>
      <c r="YO26" s="204"/>
      <c r="YP26" s="204"/>
      <c r="YQ26" s="204"/>
      <c r="YR26" s="204"/>
      <c r="YS26" s="204"/>
      <c r="YT26" s="204"/>
      <c r="YU26" s="204"/>
      <c r="YV26" s="204"/>
      <c r="YW26" s="204"/>
      <c r="YX26" s="204"/>
      <c r="YY26" s="204"/>
      <c r="YZ26" s="204"/>
      <c r="ZA26" s="204"/>
      <c r="ZB26" s="204"/>
      <c r="ZC26" s="204"/>
      <c r="ZD26" s="204"/>
      <c r="ZE26" s="204"/>
      <c r="ZF26" s="204"/>
      <c r="ZG26" s="204"/>
      <c r="ZH26" s="204"/>
      <c r="ZI26" s="204"/>
      <c r="ZJ26" s="204"/>
      <c r="ZK26" s="204"/>
      <c r="ZL26" s="204"/>
      <c r="ZM26" s="204"/>
      <c r="ZN26" s="204"/>
      <c r="ZO26" s="204"/>
      <c r="ZP26" s="204"/>
      <c r="ZQ26" s="204"/>
      <c r="ZR26" s="204"/>
      <c r="ZS26" s="204"/>
      <c r="ZT26" s="204"/>
      <c r="ZU26" s="204"/>
      <c r="ZV26" s="204"/>
      <c r="ZW26" s="204"/>
      <c r="ZX26" s="204"/>
      <c r="ZY26" s="204"/>
      <c r="ZZ26" s="204"/>
      <c r="AAA26" s="204"/>
      <c r="AAB26" s="204"/>
      <c r="AAC26" s="204"/>
      <c r="AAD26" s="204"/>
      <c r="AAE26" s="204"/>
      <c r="AAF26" s="204"/>
      <c r="AAG26" s="204"/>
      <c r="AAH26" s="204"/>
      <c r="AAI26" s="204"/>
      <c r="AAJ26" s="204"/>
      <c r="AAK26" s="204"/>
      <c r="AAL26" s="204"/>
      <c r="AAM26" s="204"/>
      <c r="AAN26" s="204"/>
      <c r="AAO26" s="204"/>
      <c r="AAP26" s="204"/>
      <c r="AAQ26" s="204"/>
      <c r="AAR26" s="204"/>
      <c r="AAS26" s="204"/>
      <c r="AAT26" s="204"/>
      <c r="AAU26" s="204"/>
      <c r="AAV26" s="204"/>
      <c r="AAW26" s="204"/>
      <c r="AAX26" s="204"/>
      <c r="AAY26" s="204"/>
      <c r="AAZ26" s="204"/>
      <c r="ABA26" s="204"/>
      <c r="ABB26" s="204"/>
      <c r="ABC26" s="204"/>
      <c r="ABD26" s="204"/>
      <c r="ABE26" s="204"/>
      <c r="ABF26" s="204"/>
      <c r="ABG26" s="204"/>
      <c r="ABH26" s="204"/>
      <c r="ABI26" s="204"/>
      <c r="ABJ26" s="204"/>
      <c r="ABK26" s="204"/>
      <c r="ABL26" s="204"/>
      <c r="ABM26" s="204"/>
      <c r="ABN26" s="204"/>
      <c r="ABO26" s="204"/>
      <c r="ABP26" s="204"/>
      <c r="ABQ26" s="204"/>
      <c r="ABR26" s="204"/>
      <c r="ABS26" s="204"/>
      <c r="ABT26" s="204"/>
      <c r="ABU26" s="204"/>
      <c r="ABV26" s="204"/>
      <c r="ABW26" s="204"/>
      <c r="ABX26" s="204"/>
      <c r="ABY26" s="204"/>
      <c r="ABZ26" s="204"/>
      <c r="ACA26" s="204"/>
      <c r="ACB26" s="204"/>
      <c r="ACC26" s="204"/>
      <c r="ACD26" s="204"/>
      <c r="ACE26" s="204"/>
      <c r="ACF26" s="204"/>
      <c r="ACG26" s="204"/>
      <c r="ACH26" s="204"/>
      <c r="ACI26" s="204"/>
      <c r="ACJ26" s="204"/>
      <c r="ACK26" s="204"/>
      <c r="ACL26" s="204"/>
      <c r="ACM26" s="204"/>
      <c r="ACN26" s="204"/>
      <c r="ACO26" s="204"/>
      <c r="ACP26" s="204"/>
      <c r="ACQ26" s="204"/>
      <c r="ACR26" s="204"/>
      <c r="ACS26" s="204"/>
      <c r="ACT26" s="204"/>
      <c r="ACU26" s="204"/>
      <c r="ACV26" s="204"/>
      <c r="ACW26" s="204"/>
      <c r="ACX26" s="204"/>
      <c r="ACY26" s="204"/>
      <c r="ACZ26" s="204"/>
      <c r="ADA26" s="204"/>
      <c r="ADB26" s="204"/>
      <c r="ADC26" s="204"/>
      <c r="ADD26" s="204"/>
      <c r="ADE26" s="204"/>
      <c r="ADF26" s="204"/>
      <c r="ADG26" s="204"/>
      <c r="ADH26" s="204"/>
      <c r="ADI26" s="204"/>
      <c r="ADJ26" s="204"/>
      <c r="ADK26" s="204"/>
      <c r="ADL26" s="204"/>
      <c r="ADM26" s="204"/>
      <c r="ADN26" s="204"/>
      <c r="ADO26" s="204"/>
      <c r="ADP26" s="204"/>
      <c r="ADQ26" s="204"/>
      <c r="ADR26" s="204"/>
      <c r="ADS26" s="204"/>
      <c r="ADT26" s="204"/>
      <c r="ADU26" s="204"/>
      <c r="ADV26" s="204"/>
      <c r="ADW26" s="204"/>
      <c r="ADX26" s="204"/>
      <c r="ADY26" s="204"/>
      <c r="ADZ26" s="204"/>
      <c r="AEA26" s="204"/>
      <c r="AEB26" s="204"/>
      <c r="AEC26" s="204"/>
      <c r="AED26" s="204"/>
      <c r="AEE26" s="204"/>
      <c r="AEF26" s="204"/>
      <c r="AEG26" s="204"/>
      <c r="AEH26" s="204"/>
      <c r="AEI26" s="204"/>
      <c r="AEJ26" s="204"/>
      <c r="AEK26" s="204"/>
      <c r="AEL26" s="204"/>
      <c r="AEM26" s="204"/>
      <c r="AEN26" s="204"/>
      <c r="AEO26" s="204"/>
      <c r="AEP26" s="204"/>
      <c r="AEQ26" s="204"/>
      <c r="AER26" s="204"/>
      <c r="AES26" s="204"/>
      <c r="AET26" s="204"/>
      <c r="AEU26" s="204"/>
      <c r="AEV26" s="204"/>
      <c r="AEW26" s="204"/>
      <c r="AEX26" s="204"/>
      <c r="AEY26" s="204"/>
      <c r="AEZ26" s="204"/>
      <c r="AFA26" s="204"/>
      <c r="AFB26" s="204"/>
      <c r="AFC26" s="204"/>
      <c r="AFD26" s="204"/>
      <c r="AFE26" s="204"/>
      <c r="AFF26" s="204"/>
      <c r="AFG26" s="204"/>
      <c r="AFH26" s="204"/>
      <c r="AFI26" s="204"/>
      <c r="AFJ26" s="204"/>
      <c r="AFK26" s="204"/>
      <c r="AFL26" s="204"/>
      <c r="AFM26" s="204"/>
      <c r="AFN26" s="204"/>
      <c r="AFO26" s="204"/>
      <c r="AFP26" s="204"/>
      <c r="AFQ26" s="204"/>
      <c r="AFR26" s="204"/>
      <c r="AFS26" s="204"/>
      <c r="AFT26" s="204"/>
      <c r="AFU26" s="204"/>
      <c r="AFV26" s="204"/>
      <c r="AFW26" s="204"/>
      <c r="AFX26" s="204"/>
      <c r="AFY26" s="204"/>
      <c r="AFZ26" s="204"/>
      <c r="AGA26" s="204"/>
      <c r="AGB26" s="204"/>
      <c r="AGC26" s="204"/>
      <c r="AGD26" s="204"/>
      <c r="AGE26" s="204"/>
      <c r="AGF26" s="204"/>
      <c r="AGG26" s="204"/>
      <c r="AGH26" s="204"/>
      <c r="AGI26" s="204"/>
      <c r="AGJ26" s="204"/>
      <c r="AGK26" s="204"/>
      <c r="AGL26" s="204"/>
      <c r="AGM26" s="204"/>
      <c r="AGN26" s="204"/>
      <c r="AGO26" s="204"/>
      <c r="AGP26" s="204"/>
      <c r="AGQ26" s="204"/>
      <c r="AGR26" s="204"/>
      <c r="AGS26" s="204"/>
      <c r="AGT26" s="204"/>
      <c r="AGU26" s="204"/>
      <c r="AGV26" s="204"/>
      <c r="AGW26" s="204"/>
      <c r="AGX26" s="204"/>
      <c r="AGY26" s="204"/>
      <c r="AGZ26" s="204"/>
      <c r="AHA26" s="204"/>
      <c r="AHB26" s="204"/>
      <c r="AHC26" s="204"/>
      <c r="AHD26" s="204"/>
      <c r="AHE26" s="204"/>
      <c r="AHF26" s="204"/>
      <c r="AHG26" s="204"/>
      <c r="AHH26" s="204"/>
      <c r="AHI26" s="204"/>
      <c r="AHJ26" s="204"/>
      <c r="AHK26" s="204"/>
      <c r="AHL26" s="204"/>
      <c r="AHM26" s="204"/>
      <c r="AHN26" s="204"/>
      <c r="AHO26" s="204"/>
      <c r="AHP26" s="204"/>
      <c r="AHQ26" s="204"/>
      <c r="AHR26" s="204"/>
      <c r="AHS26" s="204"/>
      <c r="AHT26" s="204"/>
      <c r="AHU26" s="204"/>
      <c r="AHV26" s="204"/>
      <c r="AHW26" s="204"/>
      <c r="AHX26" s="204"/>
      <c r="AHY26" s="204"/>
      <c r="AHZ26" s="204"/>
      <c r="AIA26" s="204"/>
      <c r="AIB26" s="204"/>
      <c r="AIC26" s="204"/>
      <c r="AID26" s="204"/>
      <c r="AIE26" s="204"/>
      <c r="AIF26" s="204"/>
      <c r="AIG26" s="204"/>
      <c r="AIH26" s="204"/>
      <c r="AII26" s="204"/>
      <c r="AIJ26" s="204"/>
      <c r="AIK26" s="204"/>
      <c r="AIL26" s="204"/>
      <c r="AIM26" s="204"/>
      <c r="AIN26" s="204"/>
      <c r="AIO26" s="204"/>
      <c r="AIP26" s="204"/>
      <c r="AIQ26" s="204"/>
      <c r="AIR26" s="204"/>
      <c r="AIS26" s="204"/>
      <c r="AIT26" s="204"/>
      <c r="AIU26" s="204"/>
      <c r="AIV26" s="204"/>
      <c r="AIW26" s="204"/>
      <c r="AIX26" s="204"/>
      <c r="AIY26" s="204"/>
      <c r="AIZ26" s="204"/>
      <c r="AJA26" s="204"/>
      <c r="AJB26" s="204"/>
      <c r="AJC26" s="204"/>
      <c r="AJD26" s="204"/>
      <c r="AJE26" s="204"/>
      <c r="AJF26" s="204"/>
      <c r="AJG26" s="204"/>
      <c r="AJH26" s="204"/>
      <c r="AJI26" s="204"/>
      <c r="AJJ26" s="204"/>
      <c r="AJK26" s="204"/>
      <c r="AJL26" s="204"/>
      <c r="AJM26" s="204"/>
      <c r="AJN26" s="204"/>
      <c r="AJO26" s="204"/>
      <c r="AJP26" s="204"/>
      <c r="AJQ26" s="204"/>
      <c r="AJR26" s="204"/>
      <c r="AJS26" s="204"/>
      <c r="AJT26" s="204"/>
      <c r="AJU26" s="204"/>
      <c r="AJV26" s="204"/>
      <c r="AJW26" s="204"/>
      <c r="AJX26" s="204"/>
      <c r="AJY26" s="204"/>
      <c r="AJZ26" s="204"/>
      <c r="AKA26" s="204"/>
      <c r="AKB26" s="204"/>
      <c r="AKC26" s="204"/>
      <c r="AKD26" s="204"/>
      <c r="AKE26" s="204"/>
      <c r="AKF26" s="204"/>
      <c r="AKG26" s="204"/>
      <c r="AKH26" s="204"/>
      <c r="AKI26" s="204"/>
      <c r="AKJ26" s="204"/>
      <c r="AKK26" s="204"/>
      <c r="AKL26" s="204"/>
      <c r="AKM26" s="204"/>
      <c r="AKN26" s="204"/>
      <c r="AKO26" s="204"/>
      <c r="AKP26" s="204"/>
      <c r="AKQ26" s="204"/>
      <c r="AKR26" s="204"/>
      <c r="AKS26" s="204"/>
      <c r="AKT26" s="204"/>
      <c r="AKU26" s="204"/>
      <c r="AKV26" s="204"/>
      <c r="AKW26" s="204"/>
      <c r="AKX26" s="204"/>
      <c r="AKY26" s="204"/>
      <c r="AKZ26" s="204"/>
      <c r="ALA26" s="204"/>
      <c r="ALB26" s="204"/>
      <c r="ALC26" s="204"/>
      <c r="ALD26" s="204"/>
      <c r="ALE26" s="204"/>
      <c r="ALF26" s="204"/>
      <c r="ALG26" s="204"/>
      <c r="ALH26" s="204"/>
      <c r="ALI26" s="204"/>
      <c r="ALJ26" s="204"/>
      <c r="ALK26" s="204"/>
      <c r="ALL26" s="204"/>
      <c r="ALM26" s="204"/>
      <c r="ALN26" s="204"/>
      <c r="ALO26" s="204"/>
      <c r="ALP26" s="204"/>
      <c r="ALQ26" s="204"/>
      <c r="ALR26" s="204"/>
      <c r="ALS26" s="204"/>
      <c r="ALT26" s="204"/>
      <c r="ALU26" s="204"/>
      <c r="ALV26" s="204"/>
      <c r="ALW26" s="204"/>
      <c r="ALX26" s="204"/>
      <c r="ALY26" s="204"/>
      <c r="ALZ26" s="204"/>
      <c r="AMA26" s="204"/>
      <c r="AMB26" s="204"/>
      <c r="AMC26" s="204"/>
      <c r="AMD26" s="204"/>
      <c r="AME26" s="204"/>
      <c r="AMF26" s="204"/>
      <c r="AMG26" s="204"/>
      <c r="AMH26" s="204"/>
      <c r="AMI26" s="204"/>
      <c r="AMJ26" s="204"/>
      <c r="AMK26" s="204"/>
      <c r="AML26" s="204"/>
      <c r="AMM26" s="204"/>
      <c r="AMN26" s="204"/>
      <c r="AMO26" s="204"/>
      <c r="AMP26" s="204"/>
      <c r="AMQ26" s="204"/>
      <c r="AMR26" s="204"/>
      <c r="AMS26" s="204"/>
      <c r="AMT26" s="204"/>
      <c r="AMU26" s="204"/>
      <c r="AMV26" s="204"/>
      <c r="AMW26" s="204"/>
      <c r="AMX26" s="204"/>
      <c r="AMY26" s="204"/>
      <c r="AMZ26" s="204"/>
      <c r="ANA26" s="204"/>
      <c r="ANB26" s="204"/>
      <c r="ANC26" s="204"/>
      <c r="AND26" s="204"/>
      <c r="ANE26" s="204"/>
      <c r="ANF26" s="204"/>
      <c r="ANG26" s="204"/>
      <c r="ANH26" s="204"/>
      <c r="ANI26" s="204"/>
      <c r="ANJ26" s="204"/>
      <c r="ANK26" s="204"/>
      <c r="ANL26" s="204"/>
      <c r="ANM26" s="204"/>
      <c r="ANN26" s="204"/>
      <c r="ANO26" s="204"/>
      <c r="ANP26" s="204"/>
      <c r="ANQ26" s="204"/>
      <c r="ANR26" s="204"/>
      <c r="ANS26" s="204"/>
      <c r="ANT26" s="204"/>
      <c r="ANU26" s="204"/>
      <c r="ANV26" s="204"/>
      <c r="ANW26" s="204"/>
      <c r="ANX26" s="204"/>
      <c r="ANY26" s="204"/>
      <c r="ANZ26" s="204"/>
      <c r="AOA26" s="204"/>
      <c r="AOB26" s="204"/>
      <c r="AOC26" s="204"/>
      <c r="AOD26" s="204"/>
      <c r="AOE26" s="204"/>
      <c r="AOF26" s="204"/>
      <c r="AOG26" s="204"/>
      <c r="AOH26" s="204"/>
      <c r="AOI26" s="204"/>
      <c r="AOJ26" s="204"/>
      <c r="AOK26" s="204"/>
      <c r="AOL26" s="204"/>
      <c r="AOM26" s="204"/>
      <c r="AON26" s="204"/>
      <c r="AOO26" s="204"/>
      <c r="AOP26" s="204"/>
      <c r="AOQ26" s="204"/>
      <c r="AOR26" s="204"/>
      <c r="AOS26" s="204"/>
      <c r="AOT26" s="204"/>
      <c r="AOU26" s="204"/>
      <c r="AOV26" s="204"/>
      <c r="AOW26" s="204"/>
      <c r="AOX26" s="204"/>
      <c r="AOY26" s="204"/>
      <c r="AOZ26" s="204"/>
      <c r="APA26" s="204"/>
      <c r="APB26" s="204"/>
      <c r="APC26" s="204"/>
      <c r="APD26" s="204"/>
      <c r="APE26" s="204"/>
      <c r="APF26" s="204"/>
      <c r="APG26" s="204"/>
      <c r="APH26" s="204"/>
      <c r="API26" s="204"/>
      <c r="APJ26" s="204"/>
      <c r="APK26" s="204"/>
      <c r="APL26" s="204"/>
      <c r="APM26" s="204"/>
      <c r="APN26" s="204"/>
      <c r="APO26" s="204"/>
      <c r="APP26" s="204"/>
      <c r="APQ26" s="204"/>
      <c r="APR26" s="204"/>
      <c r="APS26" s="204"/>
      <c r="APT26" s="204"/>
      <c r="APU26" s="204"/>
      <c r="APV26" s="204"/>
      <c r="APW26" s="204"/>
      <c r="APX26" s="204"/>
      <c r="APY26" s="204"/>
      <c r="APZ26" s="204"/>
      <c r="AQA26" s="204"/>
      <c r="AQB26" s="204"/>
      <c r="AQC26" s="204"/>
      <c r="AQD26" s="204"/>
      <c r="AQE26" s="204"/>
      <c r="AQF26" s="204"/>
      <c r="AQG26" s="204"/>
      <c r="AQH26" s="204"/>
      <c r="AQI26" s="204"/>
      <c r="AQJ26" s="204"/>
      <c r="AQK26" s="204"/>
      <c r="AQL26" s="204"/>
      <c r="AQM26" s="204"/>
      <c r="AQN26" s="204"/>
      <c r="AQO26" s="204"/>
      <c r="AQP26" s="204"/>
      <c r="AQQ26" s="204"/>
      <c r="AQR26" s="204"/>
      <c r="AQS26" s="204"/>
      <c r="AQT26" s="204"/>
      <c r="AQU26" s="204"/>
      <c r="AQV26" s="204"/>
      <c r="AQW26" s="204"/>
      <c r="AQX26" s="204"/>
      <c r="AQY26" s="204"/>
      <c r="AQZ26" s="204"/>
      <c r="ARA26" s="204"/>
      <c r="ARB26" s="204"/>
      <c r="ARC26" s="204"/>
      <c r="ARD26" s="204"/>
      <c r="ARE26" s="204"/>
      <c r="ARF26" s="204"/>
      <c r="ARG26" s="204"/>
      <c r="ARH26" s="204"/>
      <c r="ARI26" s="204"/>
      <c r="ARJ26" s="204"/>
      <c r="ARK26" s="204"/>
      <c r="ARL26" s="204"/>
      <c r="ARM26" s="204"/>
      <c r="ARN26" s="204"/>
      <c r="ARO26" s="204"/>
      <c r="ARP26" s="204"/>
      <c r="ARQ26" s="204"/>
      <c r="ARR26" s="204"/>
      <c r="ARS26" s="204"/>
      <c r="ART26" s="204"/>
      <c r="ARU26" s="204"/>
      <c r="ARV26" s="204"/>
      <c r="ARW26" s="204"/>
      <c r="ARX26" s="204"/>
      <c r="ARY26" s="204"/>
      <c r="ARZ26" s="204"/>
      <c r="ASA26" s="204"/>
      <c r="ASB26" s="204"/>
      <c r="ASC26" s="204"/>
      <c r="ASD26" s="204"/>
      <c r="ASE26" s="204"/>
      <c r="ASF26" s="204"/>
      <c r="ASG26" s="204"/>
      <c r="ASH26" s="204"/>
      <c r="ASI26" s="204"/>
      <c r="ASJ26" s="204"/>
      <c r="ASK26" s="204"/>
      <c r="ASL26" s="204"/>
      <c r="ASM26" s="204"/>
      <c r="ASN26" s="204"/>
      <c r="ASO26" s="204"/>
      <c r="ASP26" s="204"/>
      <c r="ASQ26" s="204"/>
      <c r="ASR26" s="204"/>
      <c r="ASS26" s="204"/>
      <c r="AST26" s="204"/>
      <c r="ASU26" s="204"/>
      <c r="ASV26" s="204"/>
      <c r="ASW26" s="204"/>
      <c r="ASX26" s="204"/>
      <c r="ASY26" s="204"/>
      <c r="ASZ26" s="204"/>
      <c r="ATA26" s="204"/>
      <c r="ATB26" s="204"/>
      <c r="ATC26" s="204"/>
      <c r="ATD26" s="204"/>
      <c r="ATE26" s="204"/>
      <c r="ATF26" s="204"/>
      <c r="ATG26" s="204"/>
      <c r="ATH26" s="204"/>
      <c r="ATI26" s="204"/>
      <c r="ATJ26" s="204"/>
      <c r="ATK26" s="204"/>
      <c r="ATL26" s="204"/>
      <c r="ATM26" s="204"/>
      <c r="ATN26" s="204"/>
      <c r="ATO26" s="204"/>
      <c r="ATP26" s="204"/>
      <c r="ATQ26" s="204"/>
      <c r="ATR26" s="204"/>
      <c r="ATS26" s="204"/>
      <c r="ATT26" s="204"/>
      <c r="ATU26" s="204"/>
      <c r="ATV26" s="204"/>
      <c r="ATW26" s="204"/>
      <c r="ATX26" s="204"/>
      <c r="ATY26" s="204"/>
      <c r="ATZ26" s="204"/>
      <c r="AUA26" s="204"/>
      <c r="AUB26" s="204"/>
      <c r="AUC26" s="204"/>
      <c r="AUD26" s="204"/>
      <c r="AUE26" s="204"/>
      <c r="AUF26" s="204"/>
      <c r="AUG26" s="204"/>
      <c r="AUH26" s="204"/>
      <c r="AUI26" s="204"/>
      <c r="AUJ26" s="204"/>
      <c r="AUK26" s="204"/>
      <c r="AUL26" s="204"/>
      <c r="AUM26" s="204"/>
      <c r="AUN26" s="204"/>
      <c r="AUO26" s="204"/>
      <c r="AUP26" s="204"/>
      <c r="AUQ26" s="204"/>
      <c r="AUR26" s="204"/>
      <c r="AUS26" s="204"/>
      <c r="AUT26" s="204"/>
      <c r="AUU26" s="204"/>
      <c r="AUV26" s="204"/>
      <c r="AUW26" s="204"/>
      <c r="AUX26" s="204"/>
      <c r="AUY26" s="204"/>
      <c r="AUZ26" s="204"/>
      <c r="AVA26" s="204"/>
      <c r="AVB26" s="204"/>
      <c r="AVC26" s="204"/>
      <c r="AVD26" s="204"/>
      <c r="AVE26" s="204"/>
      <c r="AVF26" s="204"/>
      <c r="AVG26" s="204"/>
      <c r="AVH26" s="204"/>
      <c r="AVI26" s="204"/>
      <c r="AVJ26" s="204"/>
      <c r="AVK26" s="204"/>
      <c r="AVL26" s="204"/>
      <c r="AVM26" s="204"/>
      <c r="AVN26" s="204"/>
      <c r="AVO26" s="204"/>
      <c r="AVP26" s="204"/>
      <c r="AVQ26" s="204"/>
      <c r="AVR26" s="204"/>
      <c r="AVS26" s="204"/>
      <c r="AVT26" s="204"/>
      <c r="AVU26" s="204"/>
      <c r="AVV26" s="204"/>
      <c r="AVW26" s="204"/>
      <c r="AVX26" s="204"/>
      <c r="AVY26" s="204"/>
      <c r="AVZ26" s="204"/>
      <c r="AWA26" s="204"/>
      <c r="AWB26" s="204"/>
      <c r="AWC26" s="204"/>
      <c r="AWD26" s="204"/>
      <c r="AWE26" s="204"/>
      <c r="AWF26" s="204"/>
      <c r="AWG26" s="204"/>
      <c r="AWH26" s="204"/>
      <c r="AWI26" s="204"/>
      <c r="AWJ26" s="204"/>
      <c r="AWK26" s="204"/>
      <c r="AWL26" s="204"/>
      <c r="AWM26" s="204"/>
      <c r="AWN26" s="204"/>
      <c r="AWO26" s="204"/>
      <c r="AWP26" s="204"/>
      <c r="AWQ26" s="204"/>
      <c r="AWR26" s="204"/>
      <c r="AWS26" s="204"/>
      <c r="AWT26" s="204"/>
      <c r="AWU26" s="204"/>
      <c r="AWV26" s="204"/>
      <c r="AWW26" s="204"/>
      <c r="AWX26" s="204"/>
      <c r="AWY26" s="204"/>
      <c r="AWZ26" s="204"/>
      <c r="AXA26" s="204"/>
      <c r="AXB26" s="204"/>
      <c r="AXC26" s="204"/>
      <c r="AXD26" s="204"/>
      <c r="AXE26" s="204"/>
      <c r="AXF26" s="204"/>
      <c r="AXG26" s="204"/>
      <c r="AXH26" s="204"/>
      <c r="AXI26" s="204"/>
      <c r="AXJ26" s="204"/>
      <c r="AXK26" s="204"/>
      <c r="AXL26" s="204"/>
      <c r="AXM26" s="204"/>
      <c r="AXN26" s="204"/>
      <c r="AXO26" s="204"/>
      <c r="AXP26" s="204"/>
      <c r="AXQ26" s="204"/>
      <c r="AXR26" s="204"/>
      <c r="AXS26" s="204"/>
      <c r="AXT26" s="204"/>
      <c r="AXU26" s="204"/>
      <c r="AXV26" s="204"/>
      <c r="AXW26" s="204"/>
      <c r="AXX26" s="204"/>
      <c r="AXY26" s="204"/>
      <c r="AXZ26" s="204"/>
      <c r="AYA26" s="204"/>
      <c r="AYB26" s="204"/>
      <c r="AYC26" s="204"/>
      <c r="AYD26" s="204"/>
      <c r="AYE26" s="204"/>
      <c r="AYF26" s="204"/>
      <c r="AYG26" s="204"/>
      <c r="AYH26" s="204"/>
      <c r="AYI26" s="204"/>
      <c r="AYJ26" s="204"/>
      <c r="AYK26" s="204"/>
      <c r="AYL26" s="204"/>
      <c r="AYM26" s="204"/>
      <c r="AYN26" s="204"/>
      <c r="AYO26" s="204"/>
      <c r="AYP26" s="204"/>
      <c r="AYQ26" s="204"/>
      <c r="AYR26" s="204"/>
      <c r="AYS26" s="204"/>
      <c r="AYT26" s="204"/>
      <c r="AYU26" s="204"/>
      <c r="AYV26" s="204"/>
      <c r="AYW26" s="204"/>
      <c r="AYX26" s="204"/>
      <c r="AYY26" s="204"/>
      <c r="AYZ26" s="204"/>
      <c r="AZA26" s="204"/>
      <c r="AZB26" s="204"/>
      <c r="AZC26" s="204"/>
      <c r="AZD26" s="204"/>
      <c r="AZE26" s="204"/>
      <c r="AZF26" s="204"/>
      <c r="AZG26" s="204"/>
      <c r="AZH26" s="204"/>
      <c r="AZI26" s="204"/>
      <c r="AZJ26" s="204"/>
      <c r="AZK26" s="204"/>
      <c r="AZL26" s="204"/>
      <c r="AZM26" s="204"/>
      <c r="AZN26" s="204"/>
      <c r="AZO26" s="204"/>
      <c r="AZP26" s="204"/>
      <c r="AZQ26" s="204"/>
      <c r="AZR26" s="204"/>
      <c r="AZS26" s="204"/>
      <c r="AZT26" s="204"/>
      <c r="AZU26" s="204"/>
      <c r="AZV26" s="204"/>
      <c r="AZW26" s="204"/>
      <c r="AZX26" s="204"/>
      <c r="AZY26" s="204"/>
      <c r="AZZ26" s="204"/>
      <c r="BAA26" s="204"/>
      <c r="BAB26" s="204"/>
      <c r="BAC26" s="204"/>
      <c r="BAD26" s="204"/>
      <c r="BAE26" s="204"/>
      <c r="BAF26" s="204"/>
      <c r="BAG26" s="204"/>
      <c r="BAH26" s="204"/>
      <c r="BAI26" s="204"/>
      <c r="BAJ26" s="204"/>
      <c r="BAK26" s="204"/>
      <c r="BAL26" s="204"/>
      <c r="BAM26" s="204"/>
      <c r="BAN26" s="204"/>
      <c r="BAO26" s="204"/>
      <c r="BAP26" s="204"/>
      <c r="BAQ26" s="204"/>
      <c r="BAR26" s="204"/>
      <c r="BAS26" s="204"/>
      <c r="BAT26" s="204"/>
      <c r="BAU26" s="204"/>
      <c r="BAV26" s="204"/>
      <c r="BAW26" s="204"/>
      <c r="BAX26" s="204"/>
      <c r="BAY26" s="204"/>
      <c r="BAZ26" s="204"/>
      <c r="BBA26" s="204"/>
      <c r="BBB26" s="204"/>
      <c r="BBC26" s="204"/>
      <c r="BBD26" s="204"/>
      <c r="BBE26" s="204"/>
      <c r="BBF26" s="204"/>
      <c r="BBG26" s="204"/>
      <c r="BBH26" s="204"/>
      <c r="BBI26" s="204"/>
      <c r="BBJ26" s="204"/>
      <c r="BBK26" s="204"/>
      <c r="BBL26" s="204"/>
      <c r="BBM26" s="204"/>
      <c r="BBN26" s="204"/>
      <c r="BBO26" s="204"/>
      <c r="BBP26" s="204"/>
      <c r="BBQ26" s="204"/>
      <c r="BBR26" s="204"/>
      <c r="BBS26" s="204"/>
      <c r="BBT26" s="204"/>
      <c r="BBU26" s="204"/>
      <c r="BBV26" s="204"/>
      <c r="BBW26" s="204"/>
      <c r="BBX26" s="204"/>
      <c r="BBY26" s="204"/>
      <c r="BBZ26" s="204"/>
      <c r="BCA26" s="204"/>
      <c r="BCB26" s="204"/>
      <c r="BCC26" s="204"/>
      <c r="BCD26" s="204"/>
      <c r="BCE26" s="204"/>
      <c r="BCF26" s="204"/>
      <c r="BCG26" s="204"/>
      <c r="BCH26" s="204"/>
      <c r="BCI26" s="204"/>
      <c r="BCJ26" s="204"/>
      <c r="BCK26" s="204"/>
      <c r="BCL26" s="204"/>
      <c r="BCM26" s="204"/>
      <c r="BCN26" s="204"/>
      <c r="BCO26" s="204"/>
      <c r="BCP26" s="204"/>
      <c r="BCQ26" s="204"/>
      <c r="BCR26" s="204"/>
      <c r="BCS26" s="204"/>
      <c r="BCT26" s="204"/>
      <c r="BCU26" s="204"/>
      <c r="BCV26" s="204"/>
      <c r="BCW26" s="204"/>
      <c r="BCX26" s="204"/>
      <c r="BCY26" s="204"/>
      <c r="BCZ26" s="204"/>
      <c r="BDA26" s="204"/>
      <c r="BDB26" s="204"/>
      <c r="BDC26" s="204"/>
      <c r="BDD26" s="204"/>
      <c r="BDE26" s="204"/>
      <c r="BDF26" s="204"/>
      <c r="BDG26" s="204"/>
      <c r="BDH26" s="204"/>
      <c r="BDI26" s="204"/>
      <c r="BDJ26" s="204"/>
      <c r="BDK26" s="204"/>
      <c r="BDL26" s="204"/>
      <c r="BDM26" s="204"/>
      <c r="BDN26" s="204"/>
      <c r="BDO26" s="204"/>
      <c r="BDP26" s="204"/>
      <c r="BDQ26" s="204"/>
      <c r="BDR26" s="204"/>
      <c r="BDS26" s="204"/>
      <c r="BDT26" s="204"/>
      <c r="BDU26" s="204"/>
      <c r="BDV26" s="204"/>
      <c r="BDW26" s="204"/>
      <c r="BDX26" s="204"/>
      <c r="BDY26" s="204"/>
      <c r="BDZ26" s="204"/>
      <c r="BEA26" s="204"/>
      <c r="BEB26" s="204"/>
      <c r="BEC26" s="204"/>
      <c r="BED26" s="204"/>
      <c r="BEE26" s="204"/>
      <c r="BEF26" s="204"/>
      <c r="BEG26" s="204"/>
      <c r="BEH26" s="204"/>
      <c r="BEI26" s="204"/>
      <c r="BEJ26" s="204"/>
      <c r="BEK26" s="204"/>
      <c r="BEL26" s="204"/>
      <c r="BEM26" s="204"/>
      <c r="BEN26" s="204"/>
      <c r="BEO26" s="204"/>
      <c r="BEP26" s="204"/>
      <c r="BEQ26" s="204"/>
      <c r="BER26" s="204"/>
      <c r="BES26" s="204"/>
      <c r="BET26" s="204"/>
      <c r="BEU26" s="204"/>
      <c r="BEV26" s="204"/>
      <c r="BEW26" s="204"/>
      <c r="BEX26" s="204"/>
      <c r="BEY26" s="204"/>
      <c r="BEZ26" s="204"/>
      <c r="BFA26" s="204"/>
      <c r="BFB26" s="204"/>
      <c r="BFC26" s="204"/>
      <c r="BFD26" s="204"/>
      <c r="BFE26" s="204"/>
      <c r="BFF26" s="204"/>
      <c r="BFG26" s="204"/>
      <c r="BFH26" s="204"/>
      <c r="BFI26" s="204"/>
      <c r="BFJ26" s="204"/>
      <c r="BFK26" s="204"/>
      <c r="BFL26" s="204"/>
      <c r="BFM26" s="204"/>
      <c r="BFN26" s="204"/>
      <c r="BFO26" s="204"/>
      <c r="BFP26" s="204"/>
      <c r="BFQ26" s="204"/>
      <c r="BFR26" s="204"/>
      <c r="BFS26" s="204"/>
      <c r="BFT26" s="204"/>
      <c r="BFU26" s="204"/>
      <c r="BFV26" s="204"/>
      <c r="BFW26" s="204"/>
      <c r="BFX26" s="204"/>
      <c r="BFY26" s="204"/>
      <c r="BFZ26" s="204"/>
      <c r="BGA26" s="204"/>
      <c r="BGB26" s="204"/>
      <c r="BGC26" s="204"/>
      <c r="BGD26" s="204"/>
      <c r="BGE26" s="204"/>
      <c r="BGF26" s="204"/>
      <c r="BGG26" s="204"/>
      <c r="BGH26" s="204"/>
      <c r="BGI26" s="204"/>
      <c r="BGJ26" s="204"/>
      <c r="BGK26" s="204"/>
      <c r="BGL26" s="204"/>
      <c r="BGM26" s="204"/>
      <c r="BGN26" s="204"/>
      <c r="BGO26" s="204"/>
      <c r="BGP26" s="204"/>
      <c r="BGQ26" s="204"/>
      <c r="BGR26" s="204"/>
      <c r="BGS26" s="204"/>
      <c r="BGT26" s="204"/>
      <c r="BGU26" s="204"/>
      <c r="BGV26" s="204"/>
      <c r="BGW26" s="204"/>
      <c r="BGX26" s="204"/>
      <c r="BGY26" s="204"/>
      <c r="BGZ26" s="204"/>
      <c r="BHA26" s="204"/>
      <c r="BHB26" s="204"/>
      <c r="BHC26" s="204"/>
      <c r="BHD26" s="204"/>
      <c r="BHE26" s="204"/>
      <c r="BHF26" s="204"/>
      <c r="BHG26" s="204"/>
      <c r="BHH26" s="204"/>
      <c r="BHI26" s="204"/>
      <c r="BHJ26" s="204"/>
      <c r="BHK26" s="204"/>
      <c r="BHL26" s="204"/>
      <c r="BHM26" s="204"/>
      <c r="BHN26" s="204"/>
      <c r="BHO26" s="204"/>
      <c r="BHP26" s="204"/>
      <c r="BHQ26" s="204"/>
      <c r="BHR26" s="204"/>
      <c r="BHS26" s="204"/>
      <c r="BHT26" s="204"/>
      <c r="BHU26" s="204"/>
      <c r="BHV26" s="204"/>
      <c r="BHW26" s="204"/>
      <c r="BHX26" s="204"/>
      <c r="BHY26" s="204"/>
      <c r="BHZ26" s="204"/>
      <c r="BIA26" s="204"/>
      <c r="BIB26" s="204"/>
      <c r="BIC26" s="204"/>
      <c r="BID26" s="204"/>
      <c r="BIE26" s="204"/>
      <c r="BIF26" s="204"/>
      <c r="BIG26" s="204"/>
      <c r="BIH26" s="204"/>
      <c r="BII26" s="204"/>
      <c r="BIJ26" s="204"/>
      <c r="BIK26" s="204"/>
      <c r="BIL26" s="204"/>
      <c r="BIM26" s="204"/>
      <c r="BIN26" s="204"/>
      <c r="BIO26" s="204"/>
      <c r="BIP26" s="204"/>
      <c r="BIQ26" s="204"/>
      <c r="BIR26" s="204"/>
      <c r="BIS26" s="204"/>
      <c r="BIT26" s="204"/>
      <c r="BIU26" s="204"/>
      <c r="BIV26" s="204"/>
      <c r="BIW26" s="204"/>
      <c r="BIX26" s="204"/>
      <c r="BIY26" s="204"/>
      <c r="BIZ26" s="204"/>
      <c r="BJA26" s="204"/>
      <c r="BJB26" s="204"/>
      <c r="BJC26" s="204"/>
      <c r="BJD26" s="204"/>
      <c r="BJE26" s="204"/>
      <c r="BJF26" s="204"/>
      <c r="BJG26" s="204"/>
      <c r="BJH26" s="204"/>
      <c r="BJI26" s="204"/>
      <c r="BJJ26" s="204"/>
      <c r="BJK26" s="204"/>
      <c r="BJL26" s="204"/>
      <c r="BJM26" s="204"/>
      <c r="BJN26" s="204"/>
      <c r="BJO26" s="204"/>
      <c r="BJP26" s="204"/>
      <c r="BJQ26" s="204"/>
      <c r="BJR26" s="204"/>
      <c r="BJS26" s="204"/>
      <c r="BJT26" s="204"/>
      <c r="BJU26" s="204"/>
      <c r="BJV26" s="204"/>
      <c r="BJW26" s="204"/>
      <c r="BJX26" s="204"/>
      <c r="BJY26" s="204"/>
      <c r="BJZ26" s="204"/>
      <c r="BKA26" s="204"/>
      <c r="BKB26" s="204"/>
      <c r="BKC26" s="204"/>
      <c r="BKD26" s="204"/>
      <c r="BKE26" s="204"/>
      <c r="BKF26" s="204"/>
      <c r="BKG26" s="204"/>
      <c r="BKH26" s="204"/>
      <c r="BKI26" s="204"/>
      <c r="BKJ26" s="204"/>
      <c r="BKK26" s="204"/>
      <c r="BKL26" s="204"/>
      <c r="BKM26" s="204"/>
      <c r="BKN26" s="204"/>
      <c r="BKO26" s="204"/>
      <c r="BKP26" s="204"/>
      <c r="BKQ26" s="204"/>
      <c r="BKR26" s="204"/>
      <c r="BKS26" s="204"/>
      <c r="BKT26" s="204"/>
      <c r="BKU26" s="204"/>
      <c r="BKV26" s="204"/>
      <c r="BKW26" s="204"/>
      <c r="BKX26" s="204"/>
      <c r="BKY26" s="204"/>
      <c r="BKZ26" s="204"/>
      <c r="BLA26" s="204"/>
      <c r="BLB26" s="204"/>
      <c r="BLC26" s="204"/>
      <c r="BLD26" s="204"/>
      <c r="BLE26" s="204"/>
      <c r="BLF26" s="204"/>
      <c r="BLG26" s="204"/>
      <c r="BLH26" s="204"/>
      <c r="BLI26" s="204"/>
      <c r="BLJ26" s="204"/>
      <c r="BLK26" s="204"/>
      <c r="BLL26" s="204"/>
      <c r="BLM26" s="204"/>
      <c r="BLN26" s="204"/>
      <c r="BLO26" s="204"/>
      <c r="BLP26" s="204"/>
      <c r="BLQ26" s="204"/>
      <c r="BLR26" s="204"/>
      <c r="BLS26" s="204"/>
      <c r="BLT26" s="204"/>
      <c r="BLU26" s="204"/>
      <c r="BLV26" s="204"/>
      <c r="BLW26" s="204"/>
      <c r="BLX26" s="204"/>
      <c r="BLY26" s="204"/>
      <c r="BLZ26" s="204"/>
      <c r="BMA26" s="204"/>
      <c r="BMB26" s="204"/>
      <c r="BMC26" s="204"/>
      <c r="BMD26" s="204"/>
      <c r="BME26" s="204"/>
      <c r="BMF26" s="204"/>
      <c r="BMG26" s="204"/>
      <c r="BMH26" s="204"/>
      <c r="BMI26" s="204"/>
      <c r="BMJ26" s="204"/>
      <c r="BMK26" s="204"/>
      <c r="BML26" s="204"/>
      <c r="BMM26" s="204"/>
      <c r="BMN26" s="204"/>
      <c r="BMO26" s="204"/>
      <c r="BMP26" s="204"/>
      <c r="BMQ26" s="204"/>
      <c r="BMR26" s="204"/>
      <c r="BMS26" s="204"/>
      <c r="BMT26" s="204"/>
      <c r="BMU26" s="204"/>
      <c r="BMV26" s="204"/>
      <c r="BMW26" s="204"/>
      <c r="BMX26" s="204"/>
      <c r="BMY26" s="204"/>
      <c r="BMZ26" s="204"/>
      <c r="BNA26" s="204"/>
      <c r="BNB26" s="204"/>
      <c r="BNC26" s="204"/>
      <c r="BND26" s="204"/>
      <c r="BNE26" s="204"/>
      <c r="BNF26" s="204"/>
      <c r="BNG26" s="204"/>
      <c r="BNH26" s="204"/>
      <c r="BNI26" s="204"/>
      <c r="BNJ26" s="204"/>
      <c r="BNK26" s="204"/>
      <c r="BNL26" s="204"/>
      <c r="BNM26" s="204"/>
      <c r="BNN26" s="204"/>
      <c r="BNO26" s="204"/>
      <c r="BNP26" s="204"/>
      <c r="BNQ26" s="204"/>
      <c r="BNR26" s="204"/>
      <c r="BNS26" s="204"/>
      <c r="BNT26" s="204"/>
      <c r="BNU26" s="204"/>
      <c r="BNV26" s="204"/>
      <c r="BNW26" s="204"/>
      <c r="BNX26" s="204"/>
      <c r="BNY26" s="204"/>
      <c r="BNZ26" s="204"/>
      <c r="BOA26" s="204"/>
      <c r="BOB26" s="204"/>
      <c r="BOC26" s="204"/>
      <c r="BOD26" s="204"/>
      <c r="BOE26" s="204"/>
      <c r="BOF26" s="204"/>
      <c r="BOG26" s="204"/>
      <c r="BOH26" s="204"/>
      <c r="BOI26" s="204"/>
      <c r="BOJ26" s="204"/>
      <c r="BOK26" s="204"/>
      <c r="BOL26" s="204"/>
      <c r="BOM26" s="204"/>
      <c r="BON26" s="204"/>
      <c r="BOO26" s="204"/>
      <c r="BOP26" s="204"/>
      <c r="BOQ26" s="204"/>
      <c r="BOR26" s="204"/>
      <c r="BOS26" s="204"/>
      <c r="BOT26" s="204"/>
      <c r="BOU26" s="204"/>
      <c r="BOV26" s="204"/>
      <c r="BOW26" s="204"/>
      <c r="BOX26" s="204"/>
      <c r="BOY26" s="204"/>
      <c r="BOZ26" s="204"/>
      <c r="BPA26" s="204"/>
      <c r="BPB26" s="204"/>
      <c r="BPC26" s="204"/>
      <c r="BPD26" s="204"/>
      <c r="BPE26" s="204"/>
      <c r="BPF26" s="204"/>
      <c r="BPG26" s="204"/>
      <c r="BPH26" s="204"/>
      <c r="BPI26" s="204"/>
      <c r="BPJ26" s="204"/>
      <c r="BPK26" s="204"/>
      <c r="BPL26" s="204"/>
      <c r="BPM26" s="204"/>
      <c r="BPN26" s="204"/>
      <c r="BPO26" s="204"/>
      <c r="BPP26" s="204"/>
      <c r="BPQ26" s="204"/>
      <c r="BPR26" s="204"/>
      <c r="BPS26" s="204"/>
      <c r="BPT26" s="204"/>
      <c r="BPU26" s="204"/>
      <c r="BPV26" s="204"/>
      <c r="BPW26" s="204"/>
      <c r="BPX26" s="204"/>
      <c r="BPY26" s="204"/>
      <c r="BPZ26" s="204"/>
      <c r="BQA26" s="204"/>
      <c r="BQB26" s="204"/>
      <c r="BQC26" s="204"/>
      <c r="BQD26" s="204"/>
      <c r="BQE26" s="204"/>
      <c r="BQF26" s="204"/>
      <c r="BQG26" s="204"/>
      <c r="BQH26" s="204"/>
      <c r="BQI26" s="204"/>
      <c r="BQJ26" s="204"/>
      <c r="BQK26" s="204"/>
      <c r="BQL26" s="204"/>
      <c r="BQM26" s="204"/>
      <c r="BQN26" s="204"/>
      <c r="BQO26" s="204"/>
      <c r="BQP26" s="204"/>
      <c r="BQQ26" s="204"/>
      <c r="BQR26" s="204"/>
      <c r="BQS26" s="204"/>
      <c r="BQT26" s="204"/>
      <c r="BQU26" s="204"/>
      <c r="BQV26" s="204"/>
      <c r="BQW26" s="204"/>
      <c r="BQX26" s="204"/>
      <c r="BQY26" s="204"/>
      <c r="BQZ26" s="204"/>
      <c r="BRA26" s="204"/>
      <c r="BRB26" s="204"/>
      <c r="BRC26" s="204"/>
      <c r="BRD26" s="204"/>
      <c r="BRE26" s="204"/>
      <c r="BRF26" s="204"/>
      <c r="BRG26" s="204"/>
      <c r="BRH26" s="204"/>
      <c r="BRI26" s="204"/>
      <c r="BRJ26" s="204"/>
      <c r="BRK26" s="204"/>
      <c r="BRL26" s="204"/>
      <c r="BRM26" s="204"/>
      <c r="BRN26" s="204"/>
      <c r="BRO26" s="204"/>
      <c r="BRP26" s="204"/>
      <c r="BRQ26" s="204"/>
      <c r="BRR26" s="204"/>
      <c r="BRS26" s="204"/>
      <c r="BRT26" s="204"/>
      <c r="BRU26" s="204"/>
      <c r="BRV26" s="204"/>
      <c r="BRW26" s="204"/>
      <c r="BRX26" s="204"/>
      <c r="BRY26" s="204"/>
      <c r="BRZ26" s="204"/>
      <c r="BSA26" s="204"/>
      <c r="BSB26" s="204"/>
      <c r="BSC26" s="204"/>
      <c r="BSD26" s="204"/>
      <c r="BSE26" s="204"/>
      <c r="BSF26" s="204"/>
      <c r="BSG26" s="204"/>
      <c r="BSH26" s="204"/>
      <c r="BSI26" s="204"/>
      <c r="BSJ26" s="204"/>
      <c r="BSK26" s="204"/>
      <c r="BSL26" s="204"/>
      <c r="BSM26" s="204"/>
      <c r="BSN26" s="204"/>
      <c r="BSO26" s="204"/>
      <c r="BSP26" s="204"/>
      <c r="BSQ26" s="204"/>
      <c r="BSR26" s="204"/>
      <c r="BSS26" s="204"/>
      <c r="BST26" s="204"/>
      <c r="BSU26" s="204"/>
      <c r="BSV26" s="204"/>
      <c r="BSW26" s="204"/>
      <c r="BSX26" s="204"/>
      <c r="BSY26" s="204"/>
      <c r="BSZ26" s="204"/>
      <c r="BTA26" s="204"/>
      <c r="BTB26" s="204"/>
      <c r="BTC26" s="204"/>
      <c r="BTD26" s="204"/>
      <c r="BTE26" s="204"/>
      <c r="BTF26" s="204"/>
      <c r="BTG26" s="204"/>
      <c r="BTH26" s="204"/>
      <c r="BTI26" s="204"/>
      <c r="BTJ26" s="204"/>
      <c r="BTK26" s="204"/>
      <c r="BTL26" s="204"/>
      <c r="BTM26" s="204"/>
      <c r="BTN26" s="204"/>
      <c r="BTO26" s="204"/>
      <c r="BTP26" s="204"/>
      <c r="BTQ26" s="204"/>
      <c r="BTR26" s="204"/>
      <c r="BTS26" s="204"/>
      <c r="BTT26" s="204"/>
      <c r="BTU26" s="204"/>
      <c r="BTV26" s="204"/>
      <c r="BTW26" s="204"/>
      <c r="BTX26" s="204"/>
      <c r="BTY26" s="204"/>
      <c r="BTZ26" s="204"/>
      <c r="BUA26" s="204"/>
      <c r="BUB26" s="204"/>
      <c r="BUC26" s="204"/>
      <c r="BUD26" s="204"/>
      <c r="BUE26" s="204"/>
      <c r="BUF26" s="204"/>
      <c r="BUG26" s="204"/>
      <c r="BUH26" s="204"/>
      <c r="BUI26" s="204"/>
      <c r="BUJ26" s="204"/>
      <c r="BUK26" s="204"/>
      <c r="BUL26" s="204"/>
      <c r="BUM26" s="204"/>
      <c r="BUN26" s="204"/>
      <c r="BUO26" s="204"/>
      <c r="BUP26" s="204"/>
      <c r="BUQ26" s="204"/>
      <c r="BUR26" s="204"/>
      <c r="BUS26" s="204"/>
      <c r="BUT26" s="204"/>
      <c r="BUU26" s="204"/>
      <c r="BUV26" s="204"/>
      <c r="BUW26" s="204"/>
      <c r="BUX26" s="204"/>
      <c r="BUY26" s="204"/>
      <c r="BUZ26" s="204"/>
      <c r="BVA26" s="204"/>
      <c r="BVB26" s="204"/>
      <c r="BVC26" s="204"/>
      <c r="BVD26" s="204"/>
      <c r="BVE26" s="204"/>
      <c r="BVF26" s="204"/>
      <c r="BVG26" s="204"/>
      <c r="BVH26" s="204"/>
      <c r="BVI26" s="204"/>
      <c r="BVJ26" s="204"/>
      <c r="BVK26" s="204"/>
      <c r="BVL26" s="204"/>
      <c r="BVM26" s="204"/>
      <c r="BVN26" s="204"/>
      <c r="BVO26" s="204"/>
      <c r="BVP26" s="204"/>
      <c r="BVQ26" s="204"/>
      <c r="BVR26" s="204"/>
      <c r="BVS26" s="204"/>
      <c r="BVT26" s="204"/>
      <c r="BVU26" s="204"/>
      <c r="BVV26" s="204"/>
      <c r="BVW26" s="204"/>
      <c r="BVX26" s="204"/>
      <c r="BVY26" s="204"/>
      <c r="BVZ26" s="204"/>
      <c r="BWA26" s="204"/>
      <c r="BWB26" s="204"/>
      <c r="BWC26" s="204"/>
      <c r="BWD26" s="204"/>
      <c r="BWE26" s="204"/>
      <c r="BWF26" s="204"/>
      <c r="BWG26" s="204"/>
      <c r="BWH26" s="204"/>
      <c r="BWI26" s="204"/>
      <c r="BWJ26" s="204"/>
      <c r="BWK26" s="204"/>
      <c r="BWL26" s="204"/>
      <c r="BWM26" s="204"/>
      <c r="BWN26" s="204"/>
      <c r="BWO26" s="204"/>
      <c r="BWP26" s="204"/>
      <c r="BWQ26" s="204"/>
      <c r="BWR26" s="204"/>
      <c r="BWS26" s="204"/>
      <c r="BWT26" s="204"/>
      <c r="BWU26" s="204"/>
      <c r="BWV26" s="204"/>
      <c r="BWW26" s="204"/>
      <c r="BWX26" s="204"/>
      <c r="BWY26" s="204"/>
      <c r="BWZ26" s="204"/>
      <c r="BXA26" s="204"/>
      <c r="BXB26" s="204"/>
      <c r="BXC26" s="204"/>
      <c r="BXD26" s="204"/>
      <c r="BXE26" s="204"/>
      <c r="BXF26" s="204"/>
      <c r="BXG26" s="204"/>
      <c r="BXH26" s="204"/>
      <c r="BXI26" s="204"/>
      <c r="BXJ26" s="204"/>
      <c r="BXK26" s="204"/>
      <c r="BXL26" s="204"/>
      <c r="BXM26" s="204"/>
      <c r="BXN26" s="204"/>
      <c r="BXO26" s="204"/>
      <c r="BXP26" s="204"/>
      <c r="BXQ26" s="204"/>
      <c r="BXR26" s="204"/>
      <c r="BXS26" s="204"/>
      <c r="BXT26" s="204"/>
      <c r="BXU26" s="204"/>
      <c r="BXV26" s="204"/>
      <c r="BXW26" s="204"/>
      <c r="BXX26" s="204"/>
      <c r="BXY26" s="204"/>
      <c r="BXZ26" s="204"/>
      <c r="BYA26" s="204"/>
      <c r="BYB26" s="204"/>
      <c r="BYC26" s="204"/>
      <c r="BYD26" s="204"/>
      <c r="BYE26" s="204"/>
      <c r="BYF26" s="204"/>
      <c r="BYG26" s="204"/>
      <c r="BYH26" s="204"/>
      <c r="BYI26" s="204"/>
      <c r="BYJ26" s="204"/>
      <c r="BYK26" s="204"/>
      <c r="BYL26" s="204"/>
      <c r="BYM26" s="204"/>
      <c r="BYN26" s="204"/>
      <c r="BYO26" s="204"/>
      <c r="BYP26" s="204"/>
      <c r="BYQ26" s="204"/>
      <c r="BYR26" s="204"/>
      <c r="BYS26" s="204"/>
      <c r="BYT26" s="204"/>
      <c r="BYU26" s="204"/>
      <c r="BYV26" s="204"/>
      <c r="BYW26" s="204"/>
      <c r="BYX26" s="204"/>
      <c r="BYY26" s="204"/>
      <c r="BYZ26" s="204"/>
      <c r="BZA26" s="204"/>
      <c r="BZB26" s="204"/>
      <c r="BZC26" s="204"/>
      <c r="BZD26" s="204"/>
      <c r="BZE26" s="204"/>
      <c r="BZF26" s="204"/>
      <c r="BZG26" s="204"/>
      <c r="BZH26" s="204"/>
      <c r="BZI26" s="204"/>
      <c r="BZJ26" s="204"/>
      <c r="BZK26" s="204"/>
      <c r="BZL26" s="204"/>
      <c r="BZM26" s="204"/>
      <c r="BZN26" s="204"/>
      <c r="BZO26" s="204"/>
      <c r="BZP26" s="204"/>
      <c r="BZQ26" s="204"/>
      <c r="BZR26" s="204"/>
      <c r="BZS26" s="204"/>
      <c r="BZT26" s="204"/>
      <c r="BZU26" s="204"/>
      <c r="BZV26" s="204"/>
      <c r="BZW26" s="204"/>
      <c r="BZX26" s="204"/>
      <c r="BZY26" s="204"/>
      <c r="BZZ26" s="204"/>
      <c r="CAA26" s="204"/>
      <c r="CAB26" s="204"/>
      <c r="CAC26" s="204"/>
      <c r="CAD26" s="204"/>
      <c r="CAE26" s="204"/>
      <c r="CAF26" s="204"/>
      <c r="CAG26" s="204"/>
      <c r="CAH26" s="204"/>
      <c r="CAI26" s="204"/>
      <c r="CAJ26" s="204"/>
      <c r="CAK26" s="204"/>
      <c r="CAL26" s="204"/>
      <c r="CAM26" s="204"/>
      <c r="CAN26" s="204"/>
      <c r="CAO26" s="204"/>
      <c r="CAP26" s="204"/>
      <c r="CAQ26" s="204"/>
      <c r="CAR26" s="204"/>
      <c r="CAS26" s="204"/>
      <c r="CAT26" s="204"/>
      <c r="CAU26" s="204"/>
      <c r="CAV26" s="204"/>
      <c r="CAW26" s="204"/>
      <c r="CAX26" s="204"/>
      <c r="CAY26" s="204"/>
      <c r="CAZ26" s="204"/>
      <c r="CBA26" s="204"/>
      <c r="CBB26" s="204"/>
      <c r="CBC26" s="204"/>
      <c r="CBD26" s="204"/>
      <c r="CBE26" s="204"/>
      <c r="CBF26" s="204"/>
      <c r="CBG26" s="204"/>
      <c r="CBH26" s="204"/>
      <c r="CBI26" s="204"/>
      <c r="CBJ26" s="204"/>
      <c r="CBK26" s="204"/>
      <c r="CBL26" s="204"/>
      <c r="CBM26" s="204"/>
      <c r="CBN26" s="204"/>
      <c r="CBO26" s="204"/>
      <c r="CBP26" s="204"/>
      <c r="CBQ26" s="204"/>
      <c r="CBR26" s="204"/>
      <c r="CBS26" s="204"/>
      <c r="CBT26" s="204"/>
      <c r="CBU26" s="204"/>
      <c r="CBV26" s="204"/>
      <c r="CBW26" s="204"/>
      <c r="CBX26" s="204"/>
      <c r="CBY26" s="204"/>
      <c r="CBZ26" s="204"/>
      <c r="CCA26" s="204"/>
      <c r="CCB26" s="204"/>
      <c r="CCC26" s="204"/>
      <c r="CCD26" s="204"/>
      <c r="CCE26" s="204"/>
      <c r="CCF26" s="204"/>
      <c r="CCG26" s="204"/>
      <c r="CCH26" s="204"/>
      <c r="CCI26" s="204"/>
      <c r="CCJ26" s="204"/>
      <c r="CCK26" s="204"/>
      <c r="CCL26" s="204"/>
      <c r="CCM26" s="204"/>
      <c r="CCN26" s="204"/>
      <c r="CCO26" s="204"/>
      <c r="CCP26" s="204"/>
      <c r="CCQ26" s="204"/>
      <c r="CCR26" s="204"/>
      <c r="CCS26" s="204"/>
      <c r="CCT26" s="204"/>
      <c r="CCU26" s="204"/>
      <c r="CCV26" s="204"/>
      <c r="CCW26" s="204"/>
      <c r="CCX26" s="204"/>
      <c r="CCY26" s="204"/>
      <c r="CCZ26" s="204"/>
      <c r="CDA26" s="204"/>
      <c r="CDB26" s="204"/>
      <c r="CDC26" s="204"/>
      <c r="CDD26" s="204"/>
      <c r="CDE26" s="204"/>
      <c r="CDF26" s="204"/>
      <c r="CDG26" s="204"/>
      <c r="CDH26" s="204"/>
      <c r="CDI26" s="204"/>
      <c r="CDJ26" s="204"/>
      <c r="CDK26" s="204"/>
      <c r="CDL26" s="204"/>
      <c r="CDM26" s="204"/>
      <c r="CDN26" s="204"/>
      <c r="CDO26" s="204"/>
      <c r="CDP26" s="204"/>
      <c r="CDQ26" s="204"/>
      <c r="CDR26" s="204"/>
      <c r="CDS26" s="204"/>
      <c r="CDT26" s="204"/>
      <c r="CDU26" s="204"/>
      <c r="CDV26" s="204"/>
      <c r="CDW26" s="204"/>
      <c r="CDX26" s="204"/>
      <c r="CDY26" s="204"/>
      <c r="CDZ26" s="204"/>
      <c r="CEA26" s="204"/>
      <c r="CEB26" s="204"/>
      <c r="CEC26" s="204"/>
      <c r="CED26" s="204"/>
      <c r="CEE26" s="204"/>
      <c r="CEF26" s="204"/>
      <c r="CEG26" s="204"/>
      <c r="CEH26" s="204"/>
      <c r="CEI26" s="204"/>
      <c r="CEJ26" s="204"/>
      <c r="CEK26" s="204"/>
      <c r="CEL26" s="204"/>
      <c r="CEM26" s="204"/>
      <c r="CEN26" s="204"/>
      <c r="CEO26" s="204"/>
      <c r="CEP26" s="204"/>
      <c r="CEQ26" s="204"/>
      <c r="CER26" s="204"/>
      <c r="CES26" s="204"/>
      <c r="CET26" s="204"/>
      <c r="CEU26" s="204"/>
      <c r="CEV26" s="204"/>
      <c r="CEW26" s="204"/>
      <c r="CEX26" s="204"/>
      <c r="CEY26" s="204"/>
      <c r="CEZ26" s="204"/>
      <c r="CFA26" s="204"/>
      <c r="CFB26" s="204"/>
      <c r="CFC26" s="204"/>
      <c r="CFD26" s="204"/>
      <c r="CFE26" s="204"/>
      <c r="CFF26" s="204"/>
      <c r="CFG26" s="204"/>
      <c r="CFH26" s="204"/>
      <c r="CFI26" s="204"/>
      <c r="CFJ26" s="204"/>
      <c r="CFK26" s="204"/>
      <c r="CFL26" s="204"/>
      <c r="CFM26" s="204"/>
      <c r="CFN26" s="204"/>
      <c r="CFO26" s="204"/>
      <c r="CFP26" s="204"/>
      <c r="CFQ26" s="204"/>
      <c r="CFR26" s="204"/>
      <c r="CFS26" s="204"/>
      <c r="CFT26" s="204"/>
      <c r="CFU26" s="204"/>
      <c r="CFV26" s="204"/>
      <c r="CFW26" s="204"/>
      <c r="CFX26" s="204"/>
      <c r="CFY26" s="204"/>
      <c r="CFZ26" s="204"/>
      <c r="CGA26" s="204"/>
      <c r="CGB26" s="204"/>
      <c r="CGC26" s="204"/>
      <c r="CGD26" s="204"/>
      <c r="CGE26" s="204"/>
      <c r="CGF26" s="204"/>
      <c r="CGG26" s="204"/>
      <c r="CGH26" s="204"/>
      <c r="CGI26" s="204"/>
      <c r="CGJ26" s="204"/>
      <c r="CGK26" s="204"/>
      <c r="CGL26" s="204"/>
      <c r="CGM26" s="204"/>
      <c r="CGN26" s="204"/>
      <c r="CGO26" s="204"/>
      <c r="CGP26" s="204"/>
      <c r="CGQ26" s="204"/>
      <c r="CGR26" s="204"/>
      <c r="CGS26" s="204"/>
      <c r="CGT26" s="204"/>
      <c r="CGU26" s="204"/>
      <c r="CGV26" s="204"/>
      <c r="CGW26" s="204"/>
      <c r="CGX26" s="204"/>
      <c r="CGY26" s="204"/>
      <c r="CGZ26" s="204"/>
      <c r="CHA26" s="204"/>
      <c r="CHB26" s="204"/>
      <c r="CHC26" s="204"/>
      <c r="CHD26" s="204"/>
      <c r="CHE26" s="204"/>
      <c r="CHF26" s="204"/>
      <c r="CHG26" s="204"/>
      <c r="CHH26" s="204"/>
      <c r="CHI26" s="204"/>
      <c r="CHJ26" s="204"/>
      <c r="CHK26" s="204"/>
      <c r="CHL26" s="204"/>
      <c r="CHM26" s="204"/>
      <c r="CHN26" s="204"/>
      <c r="CHO26" s="204"/>
      <c r="CHP26" s="204"/>
      <c r="CHQ26" s="204"/>
      <c r="CHR26" s="204"/>
      <c r="CHS26" s="204"/>
      <c r="CHT26" s="204"/>
      <c r="CHU26" s="204"/>
      <c r="CHV26" s="204"/>
      <c r="CHW26" s="204"/>
      <c r="CHX26" s="204"/>
      <c r="CHY26" s="204"/>
      <c r="CHZ26" s="204"/>
      <c r="CIA26" s="204"/>
      <c r="CIB26" s="204"/>
      <c r="CIC26" s="204"/>
      <c r="CID26" s="204"/>
      <c r="CIE26" s="204"/>
      <c r="CIF26" s="204"/>
      <c r="CIG26" s="204"/>
      <c r="CIH26" s="204"/>
      <c r="CII26" s="204"/>
      <c r="CIJ26" s="204"/>
      <c r="CIK26" s="204"/>
      <c r="CIL26" s="204"/>
      <c r="CIM26" s="204"/>
      <c r="CIN26" s="204"/>
      <c r="CIO26" s="204"/>
      <c r="CIP26" s="204"/>
      <c r="CIQ26" s="204"/>
      <c r="CIR26" s="204"/>
      <c r="CIS26" s="204"/>
      <c r="CIT26" s="204"/>
      <c r="CIU26" s="204"/>
      <c r="CIV26" s="204"/>
      <c r="CIW26" s="204"/>
      <c r="CIX26" s="204"/>
      <c r="CIY26" s="204"/>
      <c r="CIZ26" s="204"/>
      <c r="CJA26" s="204"/>
      <c r="CJB26" s="204"/>
      <c r="CJC26" s="204"/>
      <c r="CJD26" s="204"/>
      <c r="CJE26" s="204"/>
      <c r="CJF26" s="204"/>
      <c r="CJG26" s="204"/>
      <c r="CJH26" s="204"/>
      <c r="CJI26" s="204"/>
      <c r="CJJ26" s="204"/>
      <c r="CJK26" s="204"/>
      <c r="CJL26" s="204"/>
      <c r="CJM26" s="204"/>
      <c r="CJN26" s="204"/>
      <c r="CJO26" s="204"/>
      <c r="CJP26" s="204"/>
      <c r="CJQ26" s="204"/>
      <c r="CJR26" s="204"/>
      <c r="CJS26" s="204"/>
      <c r="CJT26" s="204"/>
      <c r="CJU26" s="204"/>
      <c r="CJV26" s="204"/>
      <c r="CJW26" s="204"/>
      <c r="CJX26" s="204"/>
      <c r="CJY26" s="204"/>
      <c r="CJZ26" s="204"/>
      <c r="CKA26" s="204"/>
      <c r="CKB26" s="204"/>
      <c r="CKC26" s="204"/>
      <c r="CKD26" s="204"/>
      <c r="CKE26" s="204"/>
      <c r="CKF26" s="204"/>
      <c r="CKG26" s="204"/>
      <c r="CKH26" s="204"/>
      <c r="CKI26" s="204"/>
      <c r="CKJ26" s="204"/>
      <c r="CKK26" s="204"/>
      <c r="CKL26" s="204"/>
      <c r="CKM26" s="204"/>
      <c r="CKN26" s="204"/>
      <c r="CKO26" s="204"/>
      <c r="CKP26" s="204"/>
      <c r="CKQ26" s="204"/>
      <c r="CKR26" s="204"/>
      <c r="CKS26" s="204"/>
      <c r="CKT26" s="204"/>
      <c r="CKU26" s="204"/>
      <c r="CKV26" s="204"/>
      <c r="CKW26" s="204"/>
      <c r="CKX26" s="204"/>
      <c r="CKY26" s="204"/>
      <c r="CKZ26" s="204"/>
      <c r="CLA26" s="204"/>
      <c r="CLB26" s="204"/>
      <c r="CLC26" s="204"/>
      <c r="CLD26" s="204"/>
      <c r="CLE26" s="204"/>
      <c r="CLF26" s="204"/>
      <c r="CLG26" s="204"/>
      <c r="CLH26" s="204"/>
      <c r="CLI26" s="204"/>
      <c r="CLJ26" s="204"/>
      <c r="CLK26" s="204"/>
      <c r="CLL26" s="204"/>
      <c r="CLM26" s="204"/>
      <c r="CLN26" s="204"/>
      <c r="CLO26" s="204"/>
      <c r="CLP26" s="204"/>
      <c r="CLQ26" s="204"/>
      <c r="CLR26" s="204"/>
      <c r="CLS26" s="204"/>
      <c r="CLT26" s="204"/>
      <c r="CLU26" s="204"/>
      <c r="CLV26" s="204"/>
      <c r="CLW26" s="204"/>
      <c r="CLX26" s="204"/>
      <c r="CLY26" s="204"/>
      <c r="CLZ26" s="204"/>
      <c r="CMA26" s="204"/>
      <c r="CMB26" s="204"/>
      <c r="CMC26" s="204"/>
      <c r="CMD26" s="204"/>
      <c r="CME26" s="204"/>
      <c r="CMF26" s="204"/>
      <c r="CMG26" s="204"/>
      <c r="CMH26" s="204"/>
      <c r="CMI26" s="204"/>
      <c r="CMJ26" s="204"/>
      <c r="CMK26" s="204"/>
      <c r="CML26" s="204"/>
      <c r="CMM26" s="204"/>
      <c r="CMN26" s="204"/>
      <c r="CMO26" s="204"/>
      <c r="CMP26" s="204"/>
      <c r="CMQ26" s="204"/>
      <c r="CMR26" s="204"/>
      <c r="CMS26" s="204"/>
      <c r="CMT26" s="204"/>
      <c r="CMU26" s="204"/>
      <c r="CMV26" s="204"/>
      <c r="CMW26" s="204"/>
      <c r="CMX26" s="204"/>
      <c r="CMY26" s="204"/>
      <c r="CMZ26" s="204"/>
      <c r="CNA26" s="204"/>
      <c r="CNB26" s="204"/>
      <c r="CNC26" s="204"/>
      <c r="CND26" s="204"/>
      <c r="CNE26" s="204"/>
      <c r="CNF26" s="204"/>
      <c r="CNG26" s="204"/>
      <c r="CNH26" s="204"/>
      <c r="CNI26" s="204"/>
      <c r="CNJ26" s="204"/>
      <c r="CNK26" s="204"/>
      <c r="CNL26" s="204"/>
      <c r="CNM26" s="204"/>
      <c r="CNN26" s="204"/>
      <c r="CNO26" s="204"/>
      <c r="CNP26" s="204"/>
      <c r="CNQ26" s="204"/>
      <c r="CNR26" s="204"/>
      <c r="CNS26" s="204"/>
      <c r="CNT26" s="204"/>
      <c r="CNU26" s="204"/>
      <c r="CNV26" s="204"/>
      <c r="CNW26" s="204"/>
      <c r="CNX26" s="204"/>
      <c r="CNY26" s="204"/>
      <c r="CNZ26" s="204"/>
      <c r="COA26" s="204"/>
      <c r="COB26" s="204"/>
      <c r="COC26" s="204"/>
      <c r="COD26" s="204"/>
      <c r="COE26" s="204"/>
      <c r="COF26" s="204"/>
      <c r="COG26" s="204"/>
      <c r="COH26" s="204"/>
      <c r="COI26" s="204"/>
      <c r="COJ26" s="204"/>
      <c r="COK26" s="204"/>
      <c r="COL26" s="204"/>
      <c r="COM26" s="204"/>
      <c r="CON26" s="204"/>
      <c r="COO26" s="204"/>
      <c r="COP26" s="204"/>
      <c r="COQ26" s="204"/>
      <c r="COR26" s="204"/>
      <c r="COS26" s="204"/>
      <c r="COT26" s="204"/>
      <c r="COU26" s="204"/>
      <c r="COV26" s="204"/>
      <c r="COW26" s="204"/>
      <c r="COX26" s="204"/>
      <c r="COY26" s="204"/>
      <c r="COZ26" s="204"/>
      <c r="CPA26" s="204"/>
      <c r="CPB26" s="204"/>
      <c r="CPC26" s="204"/>
      <c r="CPD26" s="204"/>
      <c r="CPE26" s="204"/>
      <c r="CPF26" s="204"/>
      <c r="CPG26" s="204"/>
      <c r="CPH26" s="204"/>
      <c r="CPI26" s="204"/>
      <c r="CPJ26" s="204"/>
      <c r="CPK26" s="204"/>
      <c r="CPL26" s="204"/>
      <c r="CPM26" s="204"/>
      <c r="CPN26" s="204"/>
      <c r="CPO26" s="204"/>
      <c r="CPP26" s="204"/>
      <c r="CPQ26" s="204"/>
      <c r="CPR26" s="204"/>
      <c r="CPS26" s="204"/>
      <c r="CPT26" s="204"/>
      <c r="CPU26" s="204"/>
      <c r="CPV26" s="204"/>
      <c r="CPW26" s="204"/>
      <c r="CPX26" s="204"/>
      <c r="CPY26" s="204"/>
      <c r="CPZ26" s="204"/>
      <c r="CQA26" s="204"/>
      <c r="CQB26" s="204"/>
      <c r="CQC26" s="204"/>
      <c r="CQD26" s="204"/>
      <c r="CQE26" s="204"/>
      <c r="CQF26" s="204"/>
      <c r="CQG26" s="204"/>
      <c r="CQH26" s="204"/>
      <c r="CQI26" s="204"/>
      <c r="CQJ26" s="204"/>
      <c r="CQK26" s="204"/>
      <c r="CQL26" s="204"/>
      <c r="CQM26" s="204"/>
      <c r="CQN26" s="204"/>
      <c r="CQO26" s="204"/>
      <c r="CQP26" s="204"/>
      <c r="CQQ26" s="204"/>
      <c r="CQR26" s="204"/>
      <c r="CQS26" s="204"/>
      <c r="CQT26" s="204"/>
      <c r="CQU26" s="204"/>
      <c r="CQV26" s="204"/>
      <c r="CQW26" s="204"/>
      <c r="CQX26" s="204"/>
      <c r="CQY26" s="204"/>
      <c r="CQZ26" s="204"/>
      <c r="CRA26" s="204"/>
      <c r="CRB26" s="204"/>
      <c r="CRC26" s="204"/>
      <c r="CRD26" s="204"/>
      <c r="CRE26" s="204"/>
      <c r="CRF26" s="204"/>
      <c r="CRG26" s="204"/>
      <c r="CRH26" s="204"/>
      <c r="CRI26" s="204"/>
      <c r="CRJ26" s="204"/>
      <c r="CRK26" s="204"/>
      <c r="CRL26" s="204"/>
      <c r="CRM26" s="204"/>
      <c r="CRN26" s="204"/>
      <c r="CRO26" s="204"/>
      <c r="CRP26" s="204"/>
      <c r="CRQ26" s="204"/>
      <c r="CRR26" s="204"/>
      <c r="CRS26" s="204"/>
      <c r="CRT26" s="204"/>
      <c r="CRU26" s="204"/>
      <c r="CRV26" s="204"/>
      <c r="CRW26" s="204"/>
      <c r="CRX26" s="204"/>
      <c r="CRY26" s="204"/>
      <c r="CRZ26" s="204"/>
      <c r="CSA26" s="204"/>
      <c r="CSB26" s="204"/>
      <c r="CSC26" s="204"/>
      <c r="CSD26" s="204"/>
      <c r="CSE26" s="204"/>
      <c r="CSF26" s="204"/>
      <c r="CSG26" s="204"/>
      <c r="CSH26" s="204"/>
      <c r="CSI26" s="204"/>
      <c r="CSJ26" s="204"/>
      <c r="CSK26" s="204"/>
      <c r="CSL26" s="204"/>
      <c r="CSM26" s="204"/>
      <c r="CSN26" s="204"/>
      <c r="CSO26" s="204"/>
      <c r="CSP26" s="204"/>
      <c r="CSQ26" s="204"/>
      <c r="CSR26" s="204"/>
      <c r="CSS26" s="204"/>
      <c r="CST26" s="204"/>
      <c r="CSU26" s="204"/>
      <c r="CSV26" s="204"/>
      <c r="CSW26" s="204"/>
      <c r="CSX26" s="204"/>
      <c r="CSY26" s="204"/>
      <c r="CSZ26" s="204"/>
      <c r="CTA26" s="204"/>
      <c r="CTB26" s="204"/>
      <c r="CTC26" s="204"/>
      <c r="CTD26" s="204"/>
      <c r="CTE26" s="204"/>
      <c r="CTF26" s="204"/>
      <c r="CTG26" s="204"/>
      <c r="CTH26" s="204"/>
      <c r="CTI26" s="204"/>
      <c r="CTJ26" s="204"/>
      <c r="CTK26" s="204"/>
      <c r="CTL26" s="204"/>
      <c r="CTM26" s="204"/>
      <c r="CTN26" s="204"/>
      <c r="CTO26" s="204"/>
      <c r="CTP26" s="204"/>
      <c r="CTQ26" s="204"/>
      <c r="CTR26" s="204"/>
      <c r="CTS26" s="204"/>
      <c r="CTT26" s="204"/>
      <c r="CTU26" s="204"/>
      <c r="CTV26" s="204"/>
      <c r="CTW26" s="204"/>
      <c r="CTX26" s="204"/>
      <c r="CTY26" s="204"/>
      <c r="CTZ26" s="204"/>
      <c r="CUA26" s="204"/>
      <c r="CUB26" s="204"/>
      <c r="CUC26" s="204"/>
      <c r="CUD26" s="204"/>
      <c r="CUE26" s="204"/>
      <c r="CUF26" s="204"/>
      <c r="CUG26" s="204"/>
      <c r="CUH26" s="204"/>
      <c r="CUI26" s="204"/>
      <c r="CUJ26" s="204"/>
      <c r="CUK26" s="204"/>
      <c r="CUL26" s="204"/>
      <c r="CUM26" s="204"/>
      <c r="CUN26" s="204"/>
      <c r="CUO26" s="204"/>
      <c r="CUP26" s="204"/>
      <c r="CUQ26" s="204"/>
      <c r="CUR26" s="204"/>
      <c r="CUS26" s="204"/>
      <c r="CUT26" s="204"/>
      <c r="CUU26" s="204"/>
      <c r="CUV26" s="204"/>
      <c r="CUW26" s="204"/>
      <c r="CUX26" s="204"/>
      <c r="CUY26" s="204"/>
      <c r="CUZ26" s="204"/>
      <c r="CVA26" s="204"/>
      <c r="CVB26" s="204"/>
      <c r="CVC26" s="204"/>
      <c r="CVD26" s="204"/>
      <c r="CVE26" s="204"/>
      <c r="CVF26" s="204"/>
      <c r="CVG26" s="204"/>
      <c r="CVH26" s="204"/>
      <c r="CVI26" s="204"/>
      <c r="CVJ26" s="204"/>
      <c r="CVK26" s="204"/>
      <c r="CVL26" s="204"/>
      <c r="CVM26" s="204"/>
      <c r="CVN26" s="204"/>
      <c r="CVO26" s="204"/>
      <c r="CVP26" s="204"/>
      <c r="CVQ26" s="204"/>
      <c r="CVR26" s="204"/>
      <c r="CVS26" s="204"/>
      <c r="CVT26" s="204"/>
      <c r="CVU26" s="204"/>
      <c r="CVV26" s="204"/>
      <c r="CVW26" s="204"/>
      <c r="CVX26" s="204"/>
      <c r="CVY26" s="204"/>
      <c r="CVZ26" s="204"/>
      <c r="CWA26" s="204"/>
      <c r="CWB26" s="204"/>
      <c r="CWC26" s="204"/>
      <c r="CWD26" s="204"/>
      <c r="CWE26" s="204"/>
      <c r="CWF26" s="204"/>
      <c r="CWG26" s="204"/>
      <c r="CWH26" s="204"/>
      <c r="CWI26" s="204"/>
      <c r="CWJ26" s="204"/>
      <c r="CWK26" s="204"/>
      <c r="CWL26" s="204"/>
      <c r="CWM26" s="204"/>
      <c r="CWN26" s="204"/>
      <c r="CWO26" s="204"/>
      <c r="CWP26" s="204"/>
      <c r="CWQ26" s="204"/>
      <c r="CWR26" s="204"/>
      <c r="CWS26" s="204"/>
      <c r="CWT26" s="204"/>
      <c r="CWU26" s="204"/>
      <c r="CWV26" s="204"/>
      <c r="CWW26" s="204"/>
      <c r="CWX26" s="204"/>
      <c r="CWY26" s="204"/>
      <c r="CWZ26" s="204"/>
      <c r="CXA26" s="204"/>
      <c r="CXB26" s="204"/>
      <c r="CXC26" s="204"/>
      <c r="CXD26" s="204"/>
      <c r="CXE26" s="204"/>
      <c r="CXF26" s="204"/>
      <c r="CXG26" s="204"/>
      <c r="CXH26" s="204"/>
      <c r="CXI26" s="204"/>
      <c r="CXJ26" s="204"/>
      <c r="CXK26" s="204"/>
      <c r="CXL26" s="204"/>
      <c r="CXM26" s="204"/>
      <c r="CXN26" s="204"/>
      <c r="CXO26" s="204"/>
      <c r="CXP26" s="204"/>
      <c r="CXQ26" s="204"/>
      <c r="CXR26" s="204"/>
      <c r="CXS26" s="204"/>
      <c r="CXT26" s="204"/>
      <c r="CXU26" s="204"/>
      <c r="CXV26" s="204"/>
      <c r="CXW26" s="204"/>
      <c r="CXX26" s="204"/>
      <c r="CXY26" s="204"/>
      <c r="CXZ26" s="204"/>
      <c r="CYA26" s="204"/>
      <c r="CYB26" s="204"/>
      <c r="CYC26" s="204"/>
      <c r="CYD26" s="204"/>
      <c r="CYE26" s="204"/>
      <c r="CYF26" s="204"/>
      <c r="CYG26" s="204"/>
      <c r="CYH26" s="204"/>
      <c r="CYI26" s="204"/>
      <c r="CYJ26" s="204"/>
      <c r="CYK26" s="204"/>
      <c r="CYL26" s="204"/>
      <c r="CYM26" s="204"/>
      <c r="CYN26" s="204"/>
      <c r="CYO26" s="204"/>
      <c r="CYP26" s="204"/>
      <c r="CYQ26" s="204"/>
      <c r="CYR26" s="204"/>
      <c r="CYS26" s="204"/>
      <c r="CYT26" s="204"/>
      <c r="CYU26" s="204"/>
      <c r="CYV26" s="204"/>
      <c r="CYW26" s="204"/>
      <c r="CYX26" s="204"/>
      <c r="CYY26" s="204"/>
      <c r="CYZ26" s="204"/>
      <c r="CZA26" s="204"/>
      <c r="CZB26" s="204"/>
      <c r="CZC26" s="204"/>
      <c r="CZD26" s="204"/>
      <c r="CZE26" s="204"/>
      <c r="CZF26" s="204"/>
      <c r="CZG26" s="204"/>
      <c r="CZH26" s="204"/>
      <c r="CZI26" s="204"/>
      <c r="CZJ26" s="204"/>
      <c r="CZK26" s="204"/>
      <c r="CZL26" s="204"/>
      <c r="CZM26" s="204"/>
      <c r="CZN26" s="204"/>
      <c r="CZO26" s="204"/>
      <c r="CZP26" s="204"/>
      <c r="CZQ26" s="204"/>
      <c r="CZR26" s="204"/>
      <c r="CZS26" s="204"/>
      <c r="CZT26" s="204"/>
      <c r="CZU26" s="204"/>
      <c r="CZV26" s="204"/>
      <c r="CZW26" s="204"/>
      <c r="CZX26" s="204"/>
      <c r="CZY26" s="204"/>
      <c r="CZZ26" s="204"/>
      <c r="DAA26" s="204"/>
      <c r="DAB26" s="204"/>
      <c r="DAC26" s="204"/>
      <c r="DAD26" s="204"/>
      <c r="DAE26" s="204"/>
      <c r="DAF26" s="204"/>
      <c r="DAG26" s="204"/>
      <c r="DAH26" s="204"/>
      <c r="DAI26" s="204"/>
      <c r="DAJ26" s="204"/>
      <c r="DAK26" s="204"/>
      <c r="DAL26" s="204"/>
      <c r="DAM26" s="204"/>
      <c r="DAN26" s="204"/>
      <c r="DAO26" s="204"/>
      <c r="DAP26" s="204"/>
      <c r="DAQ26" s="204"/>
      <c r="DAR26" s="204"/>
      <c r="DAS26" s="204"/>
      <c r="DAT26" s="204"/>
      <c r="DAU26" s="204"/>
      <c r="DAV26" s="204"/>
      <c r="DAW26" s="204"/>
      <c r="DAX26" s="204"/>
      <c r="DAY26" s="204"/>
      <c r="DAZ26" s="204"/>
      <c r="DBA26" s="204"/>
      <c r="DBB26" s="204"/>
      <c r="DBC26" s="204"/>
      <c r="DBD26" s="204"/>
      <c r="DBE26" s="204"/>
      <c r="DBF26" s="204"/>
      <c r="DBG26" s="204"/>
      <c r="DBH26" s="204"/>
      <c r="DBI26" s="204"/>
      <c r="DBJ26" s="204"/>
      <c r="DBK26" s="204"/>
      <c r="DBL26" s="204"/>
      <c r="DBM26" s="204"/>
      <c r="DBN26" s="204"/>
      <c r="DBO26" s="204"/>
      <c r="DBP26" s="204"/>
      <c r="DBQ26" s="204"/>
      <c r="DBR26" s="204"/>
      <c r="DBS26" s="204"/>
      <c r="DBT26" s="204"/>
      <c r="DBU26" s="204"/>
      <c r="DBV26" s="204"/>
      <c r="DBW26" s="204"/>
      <c r="DBX26" s="204"/>
      <c r="DBY26" s="204"/>
      <c r="DBZ26" s="204"/>
      <c r="DCA26" s="204"/>
      <c r="DCB26" s="204"/>
      <c r="DCC26" s="204"/>
      <c r="DCD26" s="204"/>
      <c r="DCE26" s="204"/>
      <c r="DCF26" s="204"/>
      <c r="DCG26" s="204"/>
      <c r="DCH26" s="204"/>
      <c r="DCI26" s="204"/>
      <c r="DCJ26" s="204"/>
      <c r="DCK26" s="204"/>
      <c r="DCL26" s="204"/>
      <c r="DCM26" s="204"/>
      <c r="DCN26" s="204"/>
      <c r="DCO26" s="204"/>
      <c r="DCP26" s="204"/>
      <c r="DCQ26" s="204"/>
      <c r="DCR26" s="204"/>
      <c r="DCS26" s="204"/>
      <c r="DCT26" s="204"/>
      <c r="DCU26" s="204"/>
      <c r="DCV26" s="204"/>
      <c r="DCW26" s="204"/>
      <c r="DCX26" s="204"/>
      <c r="DCY26" s="204"/>
      <c r="DCZ26" s="204"/>
      <c r="DDA26" s="204"/>
      <c r="DDB26" s="204"/>
      <c r="DDC26" s="204"/>
      <c r="DDD26" s="204"/>
      <c r="DDE26" s="204"/>
      <c r="DDF26" s="204"/>
      <c r="DDG26" s="204"/>
      <c r="DDH26" s="204"/>
      <c r="DDI26" s="204"/>
      <c r="DDJ26" s="204"/>
      <c r="DDK26" s="204"/>
      <c r="DDL26" s="204"/>
      <c r="DDM26" s="204"/>
      <c r="DDN26" s="204"/>
      <c r="DDO26" s="204"/>
      <c r="DDP26" s="204"/>
      <c r="DDQ26" s="204"/>
      <c r="DDR26" s="204"/>
      <c r="DDS26" s="204"/>
      <c r="DDT26" s="204"/>
      <c r="DDU26" s="204"/>
      <c r="DDV26" s="204"/>
      <c r="DDW26" s="204"/>
      <c r="DDX26" s="204"/>
      <c r="DDY26" s="204"/>
      <c r="DDZ26" s="204"/>
      <c r="DEA26" s="204"/>
      <c r="DEB26" s="204"/>
      <c r="DEC26" s="204"/>
      <c r="DED26" s="204"/>
      <c r="DEE26" s="204"/>
      <c r="DEF26" s="204"/>
      <c r="DEG26" s="204"/>
      <c r="DEH26" s="204"/>
      <c r="DEI26" s="204"/>
      <c r="DEJ26" s="204"/>
      <c r="DEK26" s="204"/>
      <c r="DEL26" s="204"/>
      <c r="DEM26" s="204"/>
      <c r="DEN26" s="204"/>
      <c r="DEO26" s="204"/>
      <c r="DEP26" s="204"/>
      <c r="DEQ26" s="204"/>
      <c r="DER26" s="204"/>
      <c r="DES26" s="204"/>
      <c r="DET26" s="204"/>
      <c r="DEU26" s="204"/>
      <c r="DEV26" s="204"/>
      <c r="DEW26" s="204"/>
      <c r="DEX26" s="204"/>
      <c r="DEY26" s="204"/>
      <c r="DEZ26" s="204"/>
      <c r="DFA26" s="204"/>
      <c r="DFB26" s="204"/>
      <c r="DFC26" s="204"/>
      <c r="DFD26" s="204"/>
      <c r="DFE26" s="204"/>
      <c r="DFF26" s="204"/>
      <c r="DFG26" s="204"/>
      <c r="DFH26" s="204"/>
      <c r="DFI26" s="204"/>
      <c r="DFJ26" s="204"/>
      <c r="DFK26" s="204"/>
      <c r="DFL26" s="204"/>
      <c r="DFM26" s="204"/>
      <c r="DFN26" s="204"/>
      <c r="DFO26" s="204"/>
      <c r="DFP26" s="204"/>
      <c r="DFQ26" s="204"/>
      <c r="DFR26" s="204"/>
      <c r="DFS26" s="204"/>
      <c r="DFT26" s="204"/>
      <c r="DFU26" s="204"/>
      <c r="DFV26" s="204"/>
      <c r="DFW26" s="204"/>
      <c r="DFX26" s="204"/>
      <c r="DFY26" s="204"/>
      <c r="DFZ26" s="204"/>
      <c r="DGA26" s="204"/>
      <c r="DGB26" s="204"/>
      <c r="DGC26" s="204"/>
      <c r="DGD26" s="204"/>
      <c r="DGE26" s="204"/>
      <c r="DGF26" s="204"/>
      <c r="DGG26" s="204"/>
      <c r="DGH26" s="204"/>
      <c r="DGI26" s="204"/>
      <c r="DGJ26" s="204"/>
      <c r="DGK26" s="204"/>
      <c r="DGL26" s="204"/>
      <c r="DGM26" s="204"/>
      <c r="DGN26" s="204"/>
      <c r="DGO26" s="204"/>
      <c r="DGP26" s="204"/>
      <c r="DGQ26" s="204"/>
      <c r="DGR26" s="204"/>
      <c r="DGS26" s="204"/>
      <c r="DGT26" s="204"/>
      <c r="DGU26" s="204"/>
      <c r="DGV26" s="204"/>
      <c r="DGW26" s="204"/>
      <c r="DGX26" s="204"/>
      <c r="DGY26" s="204"/>
      <c r="DGZ26" s="204"/>
      <c r="DHA26" s="204"/>
      <c r="DHB26" s="204"/>
      <c r="DHC26" s="204"/>
      <c r="DHD26" s="204"/>
      <c r="DHE26" s="204"/>
      <c r="DHF26" s="204"/>
      <c r="DHG26" s="204"/>
      <c r="DHH26" s="204"/>
      <c r="DHI26" s="204"/>
      <c r="DHJ26" s="204"/>
      <c r="DHK26" s="204"/>
      <c r="DHL26" s="204"/>
      <c r="DHM26" s="204"/>
      <c r="DHN26" s="204"/>
      <c r="DHO26" s="204"/>
      <c r="DHP26" s="204"/>
      <c r="DHQ26" s="204"/>
      <c r="DHR26" s="204"/>
      <c r="DHS26" s="204"/>
      <c r="DHT26" s="204"/>
      <c r="DHU26" s="204"/>
      <c r="DHV26" s="204"/>
      <c r="DHW26" s="204"/>
      <c r="DHX26" s="204"/>
      <c r="DHY26" s="204"/>
      <c r="DHZ26" s="204"/>
      <c r="DIA26" s="204"/>
      <c r="DIB26" s="204"/>
      <c r="DIC26" s="204"/>
      <c r="DID26" s="204"/>
      <c r="DIE26" s="204"/>
      <c r="DIF26" s="204"/>
      <c r="DIG26" s="204"/>
      <c r="DIH26" s="204"/>
      <c r="DII26" s="204"/>
      <c r="DIJ26" s="204"/>
      <c r="DIK26" s="204"/>
      <c r="DIL26" s="204"/>
      <c r="DIM26" s="204"/>
      <c r="DIN26" s="204"/>
      <c r="DIO26" s="204"/>
      <c r="DIP26" s="204"/>
      <c r="DIQ26" s="204"/>
      <c r="DIR26" s="204"/>
      <c r="DIS26" s="204"/>
      <c r="DIT26" s="204"/>
      <c r="DIU26" s="204"/>
      <c r="DIV26" s="204"/>
      <c r="DIW26" s="204"/>
      <c r="DIX26" s="204"/>
      <c r="DIY26" s="204"/>
      <c r="DIZ26" s="204"/>
      <c r="DJA26" s="204"/>
      <c r="DJB26" s="204"/>
      <c r="DJC26" s="204"/>
      <c r="DJD26" s="204"/>
      <c r="DJE26" s="204"/>
      <c r="DJF26" s="204"/>
      <c r="DJG26" s="204"/>
      <c r="DJH26" s="204"/>
      <c r="DJI26" s="204"/>
      <c r="DJJ26" s="204"/>
      <c r="DJK26" s="204"/>
      <c r="DJL26" s="204"/>
      <c r="DJM26" s="204"/>
      <c r="DJN26" s="204"/>
      <c r="DJO26" s="204"/>
      <c r="DJP26" s="204"/>
      <c r="DJQ26" s="204"/>
      <c r="DJR26" s="204"/>
      <c r="DJS26" s="204"/>
      <c r="DJT26" s="204"/>
      <c r="DJU26" s="204"/>
      <c r="DJV26" s="204"/>
      <c r="DJW26" s="204"/>
      <c r="DJX26" s="204"/>
      <c r="DJY26" s="204"/>
      <c r="DJZ26" s="204"/>
      <c r="DKA26" s="204"/>
      <c r="DKB26" s="204"/>
      <c r="DKC26" s="204"/>
      <c r="DKD26" s="204"/>
      <c r="DKE26" s="204"/>
      <c r="DKF26" s="204"/>
      <c r="DKG26" s="204"/>
      <c r="DKH26" s="204"/>
      <c r="DKI26" s="204"/>
      <c r="DKJ26" s="204"/>
      <c r="DKK26" s="204"/>
      <c r="DKL26" s="204"/>
      <c r="DKM26" s="204"/>
      <c r="DKN26" s="204"/>
      <c r="DKO26" s="204"/>
      <c r="DKP26" s="204"/>
      <c r="DKQ26" s="204"/>
      <c r="DKR26" s="204"/>
      <c r="DKS26" s="204"/>
      <c r="DKT26" s="204"/>
      <c r="DKU26" s="204"/>
      <c r="DKV26" s="204"/>
      <c r="DKW26" s="204"/>
      <c r="DKX26" s="204"/>
      <c r="DKY26" s="204"/>
      <c r="DKZ26" s="204"/>
      <c r="DLA26" s="204"/>
      <c r="DLB26" s="204"/>
      <c r="DLC26" s="204"/>
      <c r="DLD26" s="204"/>
      <c r="DLE26" s="204"/>
      <c r="DLF26" s="204"/>
      <c r="DLG26" s="204"/>
      <c r="DLH26" s="204"/>
      <c r="DLI26" s="204"/>
      <c r="DLJ26" s="204"/>
      <c r="DLK26" s="204"/>
      <c r="DLL26" s="204"/>
      <c r="DLM26" s="204"/>
      <c r="DLN26" s="204"/>
      <c r="DLO26" s="204"/>
      <c r="DLP26" s="204"/>
      <c r="DLQ26" s="204"/>
      <c r="DLR26" s="204"/>
      <c r="DLS26" s="204"/>
      <c r="DLT26" s="204"/>
      <c r="DLU26" s="204"/>
      <c r="DLV26" s="204"/>
      <c r="DLW26" s="204"/>
      <c r="DLX26" s="204"/>
      <c r="DLY26" s="204"/>
      <c r="DLZ26" s="204"/>
      <c r="DMA26" s="204"/>
      <c r="DMB26" s="204"/>
      <c r="DMC26" s="204"/>
      <c r="DMD26" s="204"/>
      <c r="DME26" s="204"/>
      <c r="DMF26" s="204"/>
      <c r="DMG26" s="204"/>
      <c r="DMH26" s="204"/>
      <c r="DMI26" s="204"/>
      <c r="DMJ26" s="204"/>
      <c r="DMK26" s="204"/>
      <c r="DML26" s="204"/>
      <c r="DMM26" s="204"/>
      <c r="DMN26" s="204"/>
      <c r="DMO26" s="204"/>
      <c r="DMP26" s="204"/>
      <c r="DMQ26" s="204"/>
      <c r="DMR26" s="204"/>
      <c r="DMS26" s="204"/>
      <c r="DMT26" s="204"/>
      <c r="DMU26" s="204"/>
      <c r="DMV26" s="204"/>
      <c r="DMW26" s="204"/>
      <c r="DMX26" s="204"/>
      <c r="DMY26" s="204"/>
      <c r="DMZ26" s="204"/>
      <c r="DNA26" s="204"/>
      <c r="DNB26" s="204"/>
      <c r="DNC26" s="204"/>
      <c r="DND26" s="204"/>
      <c r="DNE26" s="204"/>
      <c r="DNF26" s="204"/>
      <c r="DNG26" s="204"/>
      <c r="DNH26" s="204"/>
      <c r="DNI26" s="204"/>
      <c r="DNJ26" s="204"/>
      <c r="DNK26" s="204"/>
      <c r="DNL26" s="204"/>
      <c r="DNM26" s="204"/>
      <c r="DNN26" s="204"/>
      <c r="DNO26" s="204"/>
      <c r="DNP26" s="204"/>
      <c r="DNQ26" s="204"/>
      <c r="DNR26" s="204"/>
      <c r="DNS26" s="204"/>
      <c r="DNT26" s="204"/>
      <c r="DNU26" s="204"/>
      <c r="DNV26" s="204"/>
      <c r="DNW26" s="204"/>
      <c r="DNX26" s="204"/>
      <c r="DNY26" s="204"/>
      <c r="DNZ26" s="204"/>
      <c r="DOA26" s="204"/>
      <c r="DOB26" s="204"/>
      <c r="DOC26" s="204"/>
      <c r="DOD26" s="204"/>
      <c r="DOE26" s="204"/>
      <c r="DOF26" s="204"/>
      <c r="DOG26" s="204"/>
      <c r="DOH26" s="204"/>
      <c r="DOI26" s="204"/>
      <c r="DOJ26" s="204"/>
      <c r="DOK26" s="204"/>
      <c r="DOL26" s="204"/>
      <c r="DOM26" s="204"/>
      <c r="DON26" s="204"/>
      <c r="DOO26" s="204"/>
      <c r="DOP26" s="204"/>
      <c r="DOQ26" s="204"/>
      <c r="DOR26" s="204"/>
      <c r="DOS26" s="204"/>
      <c r="DOT26" s="204"/>
      <c r="DOU26" s="204"/>
      <c r="DOV26" s="204"/>
      <c r="DOW26" s="204"/>
      <c r="DOX26" s="204"/>
      <c r="DOY26" s="204"/>
      <c r="DOZ26" s="204"/>
      <c r="DPA26" s="204"/>
      <c r="DPB26" s="204"/>
      <c r="DPC26" s="204"/>
      <c r="DPD26" s="204"/>
      <c r="DPE26" s="204"/>
      <c r="DPF26" s="204"/>
      <c r="DPG26" s="204"/>
      <c r="DPH26" s="204"/>
      <c r="DPI26" s="204"/>
      <c r="DPJ26" s="204"/>
      <c r="DPK26" s="204"/>
      <c r="DPL26" s="204"/>
      <c r="DPM26" s="204"/>
      <c r="DPN26" s="204"/>
      <c r="DPO26" s="204"/>
      <c r="DPP26" s="204"/>
      <c r="DPQ26" s="204"/>
      <c r="DPR26" s="204"/>
      <c r="DPS26" s="204"/>
      <c r="DPT26" s="204"/>
      <c r="DPU26" s="204"/>
      <c r="DPV26" s="204"/>
      <c r="DPW26" s="204"/>
      <c r="DPX26" s="204"/>
      <c r="DPY26" s="204"/>
      <c r="DPZ26" s="204"/>
      <c r="DQA26" s="204"/>
      <c r="DQB26" s="204"/>
      <c r="DQC26" s="204"/>
      <c r="DQD26" s="204"/>
      <c r="DQE26" s="204"/>
      <c r="DQF26" s="204"/>
      <c r="DQG26" s="204"/>
      <c r="DQH26" s="204"/>
      <c r="DQI26" s="204"/>
      <c r="DQJ26" s="204"/>
      <c r="DQK26" s="204"/>
      <c r="DQL26" s="204"/>
      <c r="DQM26" s="204"/>
      <c r="DQN26" s="204"/>
      <c r="DQO26" s="204"/>
      <c r="DQP26" s="204"/>
      <c r="DQQ26" s="204"/>
      <c r="DQR26" s="204"/>
      <c r="DQS26" s="204"/>
      <c r="DQT26" s="204"/>
      <c r="DQU26" s="204"/>
      <c r="DQV26" s="204"/>
      <c r="DQW26" s="204"/>
      <c r="DQX26" s="204"/>
      <c r="DQY26" s="204"/>
      <c r="DQZ26" s="204"/>
      <c r="DRA26" s="204"/>
      <c r="DRB26" s="204"/>
      <c r="DRC26" s="204"/>
      <c r="DRD26" s="204"/>
      <c r="DRE26" s="204"/>
      <c r="DRF26" s="204"/>
      <c r="DRG26" s="204"/>
      <c r="DRH26" s="204"/>
      <c r="DRI26" s="204"/>
      <c r="DRJ26" s="204"/>
      <c r="DRK26" s="204"/>
      <c r="DRL26" s="204"/>
      <c r="DRM26" s="204"/>
      <c r="DRN26" s="204"/>
      <c r="DRO26" s="204"/>
      <c r="DRP26" s="204"/>
      <c r="DRQ26" s="204"/>
      <c r="DRR26" s="204"/>
      <c r="DRS26" s="204"/>
      <c r="DRT26" s="204"/>
      <c r="DRU26" s="204"/>
      <c r="DRV26" s="204"/>
      <c r="DRW26" s="204"/>
      <c r="DRX26" s="204"/>
      <c r="DRY26" s="204"/>
      <c r="DRZ26" s="204"/>
      <c r="DSA26" s="204"/>
      <c r="DSB26" s="204"/>
      <c r="DSC26" s="204"/>
      <c r="DSD26" s="204"/>
      <c r="DSE26" s="204"/>
      <c r="DSF26" s="204"/>
      <c r="DSG26" s="204"/>
      <c r="DSH26" s="204"/>
      <c r="DSI26" s="204"/>
      <c r="DSJ26" s="204"/>
      <c r="DSK26" s="204"/>
      <c r="DSL26" s="204"/>
      <c r="DSM26" s="204"/>
      <c r="DSN26" s="204"/>
      <c r="DSO26" s="204"/>
      <c r="DSP26" s="204"/>
      <c r="DSQ26" s="204"/>
      <c r="DSR26" s="204"/>
      <c r="DSS26" s="204"/>
      <c r="DST26" s="204"/>
      <c r="DSU26" s="204"/>
      <c r="DSV26" s="204"/>
      <c r="DSW26" s="204"/>
      <c r="DSX26" s="204"/>
      <c r="DSY26" s="204"/>
      <c r="DSZ26" s="204"/>
      <c r="DTA26" s="204"/>
      <c r="DTB26" s="204"/>
      <c r="DTC26" s="204"/>
      <c r="DTD26" s="204"/>
      <c r="DTE26" s="204"/>
      <c r="DTF26" s="204"/>
      <c r="DTG26" s="204"/>
      <c r="DTH26" s="204"/>
      <c r="DTI26" s="204"/>
      <c r="DTJ26" s="204"/>
      <c r="DTK26" s="204"/>
      <c r="DTL26" s="204"/>
      <c r="DTM26" s="204"/>
      <c r="DTN26" s="204"/>
      <c r="DTO26" s="204"/>
      <c r="DTP26" s="204"/>
      <c r="DTQ26" s="204"/>
      <c r="DTR26" s="204"/>
      <c r="DTS26" s="204"/>
      <c r="DTT26" s="204"/>
      <c r="DTU26" s="204"/>
      <c r="DTV26" s="204"/>
      <c r="DTW26" s="204"/>
      <c r="DTX26" s="204"/>
      <c r="DTY26" s="204"/>
      <c r="DTZ26" s="204"/>
      <c r="DUA26" s="204"/>
      <c r="DUB26" s="204"/>
      <c r="DUC26" s="204"/>
      <c r="DUD26" s="204"/>
      <c r="DUE26" s="204"/>
      <c r="DUF26" s="204"/>
      <c r="DUG26" s="204"/>
      <c r="DUH26" s="204"/>
      <c r="DUI26" s="204"/>
      <c r="DUJ26" s="204"/>
      <c r="DUK26" s="204"/>
      <c r="DUL26" s="204"/>
      <c r="DUM26" s="204"/>
      <c r="DUN26" s="204"/>
      <c r="DUO26" s="204"/>
      <c r="DUP26" s="204"/>
      <c r="DUQ26" s="204"/>
      <c r="DUR26" s="204"/>
      <c r="DUS26" s="204"/>
      <c r="DUT26" s="204"/>
      <c r="DUU26" s="204"/>
      <c r="DUV26" s="204"/>
      <c r="DUW26" s="204"/>
      <c r="DUX26" s="204"/>
      <c r="DUY26" s="204"/>
      <c r="DUZ26" s="204"/>
      <c r="DVA26" s="204"/>
      <c r="DVB26" s="204"/>
      <c r="DVC26" s="204"/>
      <c r="DVD26" s="204"/>
      <c r="DVE26" s="204"/>
      <c r="DVF26" s="204"/>
      <c r="DVG26" s="204"/>
      <c r="DVH26" s="204"/>
      <c r="DVI26" s="204"/>
      <c r="DVJ26" s="204"/>
      <c r="DVK26" s="204"/>
      <c r="DVL26" s="204"/>
      <c r="DVM26" s="204"/>
      <c r="DVN26" s="204"/>
      <c r="DVO26" s="204"/>
      <c r="DVP26" s="204"/>
      <c r="DVQ26" s="204"/>
      <c r="DVR26" s="204"/>
      <c r="DVS26" s="204"/>
      <c r="DVT26" s="204"/>
      <c r="DVU26" s="204"/>
      <c r="DVV26" s="204"/>
      <c r="DVW26" s="204"/>
      <c r="DVX26" s="204"/>
      <c r="DVY26" s="204"/>
      <c r="DVZ26" s="204"/>
      <c r="DWA26" s="204"/>
      <c r="DWB26" s="204"/>
      <c r="DWC26" s="204"/>
      <c r="DWD26" s="204"/>
      <c r="DWE26" s="204"/>
      <c r="DWF26" s="204"/>
      <c r="DWG26" s="204"/>
      <c r="DWH26" s="204"/>
      <c r="DWI26" s="204"/>
      <c r="DWJ26" s="204"/>
      <c r="DWK26" s="204"/>
      <c r="DWL26" s="204"/>
      <c r="DWM26" s="204"/>
      <c r="DWN26" s="204"/>
      <c r="DWO26" s="204"/>
      <c r="DWP26" s="204"/>
      <c r="DWQ26" s="204"/>
      <c r="DWR26" s="204"/>
      <c r="DWS26" s="204"/>
      <c r="DWT26" s="204"/>
      <c r="DWU26" s="204"/>
      <c r="DWV26" s="204"/>
      <c r="DWW26" s="204"/>
      <c r="DWX26" s="204"/>
      <c r="DWY26" s="204"/>
      <c r="DWZ26" s="204"/>
      <c r="DXA26" s="204"/>
      <c r="DXB26" s="204"/>
      <c r="DXC26" s="204"/>
      <c r="DXD26" s="204"/>
      <c r="DXE26" s="204"/>
      <c r="DXF26" s="204"/>
      <c r="DXG26" s="204"/>
      <c r="DXH26" s="204"/>
      <c r="DXI26" s="204"/>
      <c r="DXJ26" s="204"/>
      <c r="DXK26" s="204"/>
      <c r="DXL26" s="204"/>
      <c r="DXM26" s="204"/>
      <c r="DXN26" s="204"/>
      <c r="DXO26" s="204"/>
      <c r="DXP26" s="204"/>
      <c r="DXQ26" s="204"/>
      <c r="DXR26" s="204"/>
      <c r="DXS26" s="204"/>
      <c r="DXT26" s="204"/>
      <c r="DXU26" s="204"/>
      <c r="DXV26" s="204"/>
      <c r="DXW26" s="204"/>
      <c r="DXX26" s="204"/>
      <c r="DXY26" s="204"/>
      <c r="DXZ26" s="204"/>
      <c r="DYA26" s="204"/>
      <c r="DYB26" s="204"/>
      <c r="DYC26" s="204"/>
      <c r="DYD26" s="204"/>
      <c r="DYE26" s="204"/>
      <c r="DYF26" s="204"/>
      <c r="DYG26" s="204"/>
      <c r="DYH26" s="204"/>
      <c r="DYI26" s="204"/>
      <c r="DYJ26" s="204"/>
      <c r="DYK26" s="204"/>
      <c r="DYL26" s="204"/>
      <c r="DYM26" s="204"/>
      <c r="DYN26" s="204"/>
      <c r="DYO26" s="204"/>
      <c r="DYP26" s="204"/>
      <c r="DYQ26" s="204"/>
      <c r="DYR26" s="204"/>
      <c r="DYS26" s="204"/>
      <c r="DYT26" s="204"/>
      <c r="DYU26" s="204"/>
      <c r="DYV26" s="204"/>
      <c r="DYW26" s="204"/>
      <c r="DYX26" s="204"/>
      <c r="DYY26" s="204"/>
      <c r="DYZ26" s="204"/>
      <c r="DZA26" s="204"/>
      <c r="DZB26" s="204"/>
      <c r="DZC26" s="204"/>
      <c r="DZD26" s="204"/>
      <c r="DZE26" s="204"/>
      <c r="DZF26" s="204"/>
      <c r="DZG26" s="204"/>
      <c r="DZH26" s="204"/>
      <c r="DZI26" s="204"/>
      <c r="DZJ26" s="204"/>
      <c r="DZK26" s="204"/>
      <c r="DZL26" s="204"/>
      <c r="DZM26" s="204"/>
      <c r="DZN26" s="204"/>
      <c r="DZO26" s="204"/>
      <c r="DZP26" s="204"/>
      <c r="DZQ26" s="204"/>
      <c r="DZR26" s="204"/>
      <c r="DZS26" s="204"/>
      <c r="DZT26" s="204"/>
      <c r="DZU26" s="204"/>
      <c r="DZV26" s="204"/>
      <c r="DZW26" s="204"/>
      <c r="DZX26" s="204"/>
      <c r="DZY26" s="204"/>
      <c r="DZZ26" s="204"/>
      <c r="EAA26" s="204"/>
      <c r="EAB26" s="204"/>
      <c r="EAC26" s="204"/>
      <c r="EAD26" s="204"/>
      <c r="EAE26" s="204"/>
      <c r="EAF26" s="204"/>
      <c r="EAG26" s="204"/>
      <c r="EAH26" s="204"/>
      <c r="EAI26" s="204"/>
      <c r="EAJ26" s="204"/>
      <c r="EAK26" s="204"/>
      <c r="EAL26" s="204"/>
      <c r="EAM26" s="204"/>
      <c r="EAN26" s="204"/>
      <c r="EAO26" s="204"/>
      <c r="EAP26" s="204"/>
      <c r="EAQ26" s="204"/>
      <c r="EAR26" s="204"/>
      <c r="EAS26" s="204"/>
      <c r="EAT26" s="204"/>
      <c r="EAU26" s="204"/>
      <c r="EAV26" s="204"/>
      <c r="EAW26" s="204"/>
      <c r="EAX26" s="204"/>
      <c r="EAY26" s="204"/>
      <c r="EAZ26" s="204"/>
      <c r="EBA26" s="204"/>
      <c r="EBB26" s="204"/>
      <c r="EBC26" s="204"/>
      <c r="EBD26" s="204"/>
      <c r="EBE26" s="204"/>
      <c r="EBF26" s="204"/>
      <c r="EBG26" s="204"/>
      <c r="EBH26" s="204"/>
      <c r="EBI26" s="204"/>
      <c r="EBJ26" s="204"/>
      <c r="EBK26" s="204"/>
      <c r="EBL26" s="204"/>
      <c r="EBM26" s="204"/>
      <c r="EBN26" s="204"/>
      <c r="EBO26" s="204"/>
      <c r="EBP26" s="204"/>
      <c r="EBQ26" s="204"/>
      <c r="EBR26" s="204"/>
      <c r="EBS26" s="204"/>
      <c r="EBT26" s="204"/>
      <c r="EBU26" s="204"/>
      <c r="EBV26" s="204"/>
      <c r="EBW26" s="204"/>
      <c r="EBX26" s="204"/>
      <c r="EBY26" s="204"/>
      <c r="EBZ26" s="204"/>
      <c r="ECA26" s="204"/>
      <c r="ECB26" s="204"/>
      <c r="ECC26" s="204"/>
      <c r="ECD26" s="204"/>
      <c r="ECE26" s="204"/>
      <c r="ECF26" s="204"/>
      <c r="ECG26" s="204"/>
      <c r="ECH26" s="204"/>
      <c r="ECI26" s="204"/>
      <c r="ECJ26" s="204"/>
      <c r="ECK26" s="204"/>
      <c r="ECL26" s="204"/>
      <c r="ECM26" s="204"/>
      <c r="ECN26" s="204"/>
      <c r="ECO26" s="204"/>
      <c r="ECP26" s="204"/>
      <c r="ECQ26" s="204"/>
      <c r="ECR26" s="204"/>
      <c r="ECS26" s="204"/>
      <c r="ECT26" s="204"/>
      <c r="ECU26" s="204"/>
      <c r="ECV26" s="204"/>
      <c r="ECW26" s="204"/>
      <c r="ECX26" s="204"/>
      <c r="ECY26" s="204"/>
      <c r="ECZ26" s="204"/>
      <c r="EDA26" s="204"/>
      <c r="EDB26" s="204"/>
      <c r="EDC26" s="204"/>
      <c r="EDD26" s="204"/>
      <c r="EDE26" s="204"/>
      <c r="EDF26" s="204"/>
      <c r="EDG26" s="204"/>
      <c r="EDH26" s="204"/>
      <c r="EDI26" s="204"/>
      <c r="EDJ26" s="204"/>
      <c r="EDK26" s="204"/>
      <c r="EDL26" s="204"/>
      <c r="EDM26" s="204"/>
      <c r="EDN26" s="204"/>
      <c r="EDO26" s="204"/>
      <c r="EDP26" s="204"/>
      <c r="EDQ26" s="204"/>
      <c r="EDR26" s="204"/>
      <c r="EDS26" s="204"/>
      <c r="EDT26" s="204"/>
      <c r="EDU26" s="204"/>
      <c r="EDV26" s="204"/>
      <c r="EDW26" s="204"/>
      <c r="EDX26" s="204"/>
      <c r="EDY26" s="204"/>
      <c r="EDZ26" s="204"/>
      <c r="EEA26" s="204"/>
      <c r="EEB26" s="204"/>
      <c r="EEC26" s="204"/>
      <c r="EED26" s="204"/>
      <c r="EEE26" s="204"/>
      <c r="EEF26" s="204"/>
      <c r="EEG26" s="204"/>
      <c r="EEH26" s="204"/>
      <c r="EEI26" s="204"/>
      <c r="EEJ26" s="204"/>
      <c r="EEK26" s="204"/>
      <c r="EEL26" s="204"/>
      <c r="EEM26" s="204"/>
      <c r="EEN26" s="204"/>
      <c r="EEO26" s="204"/>
      <c r="EEP26" s="204"/>
      <c r="EEQ26" s="204"/>
      <c r="EER26" s="204"/>
      <c r="EES26" s="204"/>
      <c r="EET26" s="204"/>
      <c r="EEU26" s="204"/>
      <c r="EEV26" s="204"/>
      <c r="EEW26" s="204"/>
      <c r="EEX26" s="204"/>
      <c r="EEY26" s="204"/>
      <c r="EEZ26" s="204"/>
      <c r="EFA26" s="204"/>
      <c r="EFB26" s="204"/>
      <c r="EFC26" s="204"/>
      <c r="EFD26" s="204"/>
      <c r="EFE26" s="204"/>
      <c r="EFF26" s="204"/>
      <c r="EFG26" s="204"/>
      <c r="EFH26" s="204"/>
      <c r="EFI26" s="204"/>
      <c r="EFJ26" s="204"/>
      <c r="EFK26" s="204"/>
      <c r="EFL26" s="204"/>
      <c r="EFM26" s="204"/>
      <c r="EFN26" s="204"/>
      <c r="EFO26" s="204"/>
      <c r="EFP26" s="204"/>
      <c r="EFQ26" s="204"/>
      <c r="EFR26" s="204"/>
      <c r="EFS26" s="204"/>
      <c r="EFT26" s="204"/>
      <c r="EFU26" s="204"/>
      <c r="EFV26" s="204"/>
      <c r="EFW26" s="204"/>
      <c r="EFX26" s="204"/>
      <c r="EFY26" s="204"/>
      <c r="EFZ26" s="204"/>
      <c r="EGA26" s="204"/>
      <c r="EGB26" s="204"/>
      <c r="EGC26" s="204"/>
      <c r="EGD26" s="204"/>
      <c r="EGE26" s="204"/>
      <c r="EGF26" s="204"/>
      <c r="EGG26" s="204"/>
      <c r="EGH26" s="204"/>
      <c r="EGI26" s="204"/>
      <c r="EGJ26" s="204"/>
      <c r="EGK26" s="204"/>
      <c r="EGL26" s="204"/>
      <c r="EGM26" s="204"/>
      <c r="EGN26" s="204"/>
      <c r="EGO26" s="204"/>
      <c r="EGP26" s="204"/>
      <c r="EGQ26" s="204"/>
      <c r="EGR26" s="204"/>
      <c r="EGS26" s="204"/>
      <c r="EGT26" s="204"/>
      <c r="EGU26" s="204"/>
      <c r="EGV26" s="204"/>
      <c r="EGW26" s="204"/>
      <c r="EGX26" s="204"/>
      <c r="EGY26" s="204"/>
      <c r="EGZ26" s="204"/>
      <c r="EHA26" s="204"/>
      <c r="EHB26" s="204"/>
      <c r="EHC26" s="204"/>
      <c r="EHD26" s="204"/>
      <c r="EHE26" s="204"/>
      <c r="EHF26" s="204"/>
      <c r="EHG26" s="204"/>
      <c r="EHH26" s="204"/>
      <c r="EHI26" s="204"/>
      <c r="EHJ26" s="204"/>
      <c r="EHK26" s="204"/>
      <c r="EHL26" s="204"/>
      <c r="EHM26" s="204"/>
      <c r="EHN26" s="204"/>
      <c r="EHO26" s="204"/>
      <c r="EHP26" s="204"/>
      <c r="EHQ26" s="204"/>
      <c r="EHR26" s="204"/>
      <c r="EHS26" s="204"/>
      <c r="EHT26" s="204"/>
      <c r="EHU26" s="204"/>
      <c r="EHV26" s="204"/>
      <c r="EHW26" s="204"/>
      <c r="EHX26" s="204"/>
      <c r="EHY26" s="204"/>
      <c r="EHZ26" s="204"/>
      <c r="EIA26" s="204"/>
      <c r="EIB26" s="204"/>
      <c r="EIC26" s="204"/>
      <c r="EID26" s="204"/>
      <c r="EIE26" s="204"/>
      <c r="EIF26" s="204"/>
      <c r="EIG26" s="204"/>
      <c r="EIH26" s="204"/>
      <c r="EII26" s="204"/>
      <c r="EIJ26" s="204"/>
      <c r="EIK26" s="204"/>
      <c r="EIL26" s="204"/>
      <c r="EIM26" s="204"/>
      <c r="EIN26" s="204"/>
      <c r="EIO26" s="204"/>
      <c r="EIP26" s="204"/>
      <c r="EIQ26" s="204"/>
      <c r="EIR26" s="204"/>
      <c r="EIS26" s="204"/>
      <c r="EIT26" s="204"/>
      <c r="EIU26" s="204"/>
      <c r="EIV26" s="204"/>
      <c r="EIW26" s="204"/>
      <c r="EIX26" s="204"/>
      <c r="EIY26" s="204"/>
      <c r="EIZ26" s="204"/>
      <c r="EJA26" s="204"/>
      <c r="EJB26" s="204"/>
      <c r="EJC26" s="204"/>
      <c r="EJD26" s="204"/>
      <c r="EJE26" s="204"/>
      <c r="EJF26" s="204"/>
      <c r="EJG26" s="204"/>
      <c r="EJH26" s="204"/>
      <c r="EJI26" s="204"/>
      <c r="EJJ26" s="204"/>
      <c r="EJK26" s="204"/>
      <c r="EJL26" s="204"/>
      <c r="EJM26" s="204"/>
      <c r="EJN26" s="204"/>
      <c r="EJO26" s="204"/>
      <c r="EJP26" s="204"/>
      <c r="EJQ26" s="204"/>
      <c r="EJR26" s="204"/>
      <c r="EJS26" s="204"/>
      <c r="EJT26" s="204"/>
      <c r="EJU26" s="204"/>
      <c r="EJV26" s="204"/>
      <c r="EJW26" s="204"/>
      <c r="EJX26" s="204"/>
      <c r="EJY26" s="204"/>
      <c r="EJZ26" s="204"/>
      <c r="EKA26" s="204"/>
      <c r="EKB26" s="204"/>
      <c r="EKC26" s="204"/>
      <c r="EKD26" s="204"/>
      <c r="EKE26" s="204"/>
      <c r="EKF26" s="204"/>
      <c r="EKG26" s="204"/>
      <c r="EKH26" s="204"/>
      <c r="EKI26" s="204"/>
      <c r="EKJ26" s="204"/>
      <c r="EKK26" s="204"/>
      <c r="EKL26" s="204"/>
      <c r="EKM26" s="204"/>
      <c r="EKN26" s="204"/>
      <c r="EKO26" s="204"/>
      <c r="EKP26" s="204"/>
      <c r="EKQ26" s="204"/>
      <c r="EKR26" s="204"/>
      <c r="EKS26" s="204"/>
      <c r="EKT26" s="204"/>
      <c r="EKU26" s="204"/>
      <c r="EKV26" s="204"/>
      <c r="EKW26" s="204"/>
      <c r="EKX26" s="204"/>
      <c r="EKY26" s="204"/>
      <c r="EKZ26" s="204"/>
      <c r="ELA26" s="204"/>
      <c r="ELB26" s="204"/>
      <c r="ELC26" s="204"/>
      <c r="ELD26" s="204"/>
      <c r="ELE26" s="204"/>
      <c r="ELF26" s="204"/>
      <c r="ELG26" s="204"/>
      <c r="ELH26" s="204"/>
      <c r="ELI26" s="204"/>
      <c r="ELJ26" s="204"/>
      <c r="ELK26" s="204"/>
      <c r="ELL26" s="204"/>
      <c r="ELM26" s="204"/>
      <c r="ELN26" s="204"/>
      <c r="ELO26" s="204"/>
      <c r="ELP26" s="204"/>
      <c r="ELQ26" s="204"/>
      <c r="ELR26" s="204"/>
      <c r="ELS26" s="204"/>
      <c r="ELT26" s="204"/>
      <c r="ELU26" s="204"/>
      <c r="ELV26" s="204"/>
      <c r="ELW26" s="204"/>
      <c r="ELX26" s="204"/>
      <c r="ELY26" s="204"/>
      <c r="ELZ26" s="204"/>
      <c r="EMA26" s="204"/>
      <c r="EMB26" s="204"/>
      <c r="EMC26" s="204"/>
      <c r="EMD26" s="204"/>
      <c r="EME26" s="204"/>
      <c r="EMF26" s="204"/>
      <c r="EMG26" s="204"/>
      <c r="EMH26" s="204"/>
      <c r="EMI26" s="204"/>
      <c r="EMJ26" s="204"/>
      <c r="EMK26" s="204"/>
      <c r="EML26" s="204"/>
      <c r="EMM26" s="204"/>
      <c r="EMN26" s="204"/>
      <c r="EMO26" s="204"/>
      <c r="EMP26" s="204"/>
      <c r="EMQ26" s="204"/>
      <c r="EMR26" s="204"/>
      <c r="EMS26" s="204"/>
      <c r="EMT26" s="204"/>
      <c r="EMU26" s="204"/>
      <c r="EMV26" s="204"/>
      <c r="EMW26" s="204"/>
      <c r="EMX26" s="204"/>
      <c r="EMY26" s="204"/>
      <c r="EMZ26" s="204"/>
      <c r="ENA26" s="204"/>
      <c r="ENB26" s="204"/>
      <c r="ENC26" s="204"/>
      <c r="END26" s="204"/>
      <c r="ENE26" s="204"/>
      <c r="ENF26" s="204"/>
      <c r="ENG26" s="204"/>
      <c r="ENH26" s="204"/>
      <c r="ENI26" s="204"/>
      <c r="ENJ26" s="204"/>
      <c r="ENK26" s="204"/>
      <c r="ENL26" s="204"/>
      <c r="ENM26" s="204"/>
      <c r="ENN26" s="204"/>
      <c r="ENO26" s="204"/>
      <c r="ENP26" s="204"/>
      <c r="ENQ26" s="204"/>
      <c r="ENR26" s="204"/>
      <c r="ENS26" s="204"/>
      <c r="ENT26" s="204"/>
      <c r="ENU26" s="204"/>
      <c r="ENV26" s="204"/>
      <c r="ENW26" s="204"/>
      <c r="ENX26" s="204"/>
      <c r="ENY26" s="204"/>
      <c r="ENZ26" s="204"/>
      <c r="EOA26" s="204"/>
      <c r="EOB26" s="204"/>
      <c r="EOC26" s="204"/>
      <c r="EOD26" s="204"/>
      <c r="EOE26" s="204"/>
      <c r="EOF26" s="204"/>
      <c r="EOG26" s="204"/>
      <c r="EOH26" s="204"/>
      <c r="EOI26" s="204"/>
      <c r="EOJ26" s="204"/>
      <c r="EOK26" s="204"/>
      <c r="EOL26" s="204"/>
      <c r="EOM26" s="204"/>
      <c r="EON26" s="204"/>
      <c r="EOO26" s="204"/>
      <c r="EOP26" s="204"/>
      <c r="EOQ26" s="204"/>
      <c r="EOR26" s="204"/>
      <c r="EOS26" s="204"/>
      <c r="EOT26" s="204"/>
      <c r="EOU26" s="204"/>
      <c r="EOV26" s="204"/>
      <c r="EOW26" s="204"/>
      <c r="EOX26" s="204"/>
      <c r="EOY26" s="204"/>
      <c r="EOZ26" s="204"/>
      <c r="EPA26" s="204"/>
      <c r="EPB26" s="204"/>
      <c r="EPC26" s="204"/>
      <c r="EPD26" s="204"/>
      <c r="EPE26" s="204"/>
      <c r="EPF26" s="204"/>
      <c r="EPG26" s="204"/>
      <c r="EPH26" s="204"/>
      <c r="EPI26" s="204"/>
      <c r="EPJ26" s="204"/>
      <c r="EPK26" s="204"/>
      <c r="EPL26" s="204"/>
      <c r="EPM26" s="204"/>
      <c r="EPN26" s="204"/>
      <c r="EPO26" s="204"/>
      <c r="EPP26" s="204"/>
      <c r="EPQ26" s="204"/>
      <c r="EPR26" s="204"/>
      <c r="EPS26" s="204"/>
      <c r="EPT26" s="204"/>
      <c r="EPU26" s="204"/>
      <c r="EPV26" s="204"/>
      <c r="EPW26" s="204"/>
      <c r="EPX26" s="204"/>
      <c r="EPY26" s="204"/>
      <c r="EPZ26" s="204"/>
      <c r="EQA26" s="204"/>
      <c r="EQB26" s="204"/>
      <c r="EQC26" s="204"/>
      <c r="EQD26" s="204"/>
      <c r="EQE26" s="204"/>
      <c r="EQF26" s="204"/>
      <c r="EQG26" s="204"/>
      <c r="EQH26" s="204"/>
      <c r="EQI26" s="204"/>
      <c r="EQJ26" s="204"/>
      <c r="EQK26" s="204"/>
      <c r="EQL26" s="204"/>
      <c r="EQM26" s="204"/>
      <c r="EQN26" s="204"/>
      <c r="EQO26" s="204"/>
      <c r="EQP26" s="204"/>
      <c r="EQQ26" s="204"/>
      <c r="EQR26" s="204"/>
      <c r="EQS26" s="204"/>
      <c r="EQT26" s="204"/>
      <c r="EQU26" s="204"/>
      <c r="EQV26" s="204"/>
      <c r="EQW26" s="204"/>
      <c r="EQX26" s="204"/>
      <c r="EQY26" s="204"/>
      <c r="EQZ26" s="204"/>
      <c r="ERA26" s="204"/>
      <c r="ERB26" s="204"/>
      <c r="ERC26" s="204"/>
      <c r="ERD26" s="204"/>
      <c r="ERE26" s="204"/>
      <c r="ERF26" s="204"/>
      <c r="ERG26" s="204"/>
      <c r="ERH26" s="204"/>
      <c r="ERI26" s="204"/>
      <c r="ERJ26" s="204"/>
      <c r="ERK26" s="204"/>
      <c r="ERL26" s="204"/>
      <c r="ERM26" s="204"/>
      <c r="ERN26" s="204"/>
      <c r="ERO26" s="204"/>
      <c r="ERP26" s="204"/>
      <c r="ERQ26" s="204"/>
      <c r="ERR26" s="204"/>
      <c r="ERS26" s="204"/>
      <c r="ERT26" s="204"/>
      <c r="ERU26" s="204"/>
      <c r="ERV26" s="204"/>
      <c r="ERW26" s="204"/>
      <c r="ERX26" s="204"/>
      <c r="ERY26" s="204"/>
      <c r="ERZ26" s="204"/>
      <c r="ESA26" s="204"/>
      <c r="ESB26" s="204"/>
      <c r="ESC26" s="204"/>
      <c r="ESD26" s="204"/>
      <c r="ESE26" s="204"/>
      <c r="ESF26" s="204"/>
      <c r="ESG26" s="204"/>
      <c r="ESH26" s="204"/>
      <c r="ESI26" s="204"/>
      <c r="ESJ26" s="204"/>
      <c r="ESK26" s="204"/>
      <c r="ESL26" s="204"/>
      <c r="ESM26" s="204"/>
      <c r="ESN26" s="204"/>
      <c r="ESO26" s="204"/>
      <c r="ESP26" s="204"/>
      <c r="ESQ26" s="204"/>
      <c r="ESR26" s="204"/>
      <c r="ESS26" s="204"/>
      <c r="EST26" s="204"/>
      <c r="ESU26" s="204"/>
      <c r="ESV26" s="204"/>
      <c r="ESW26" s="204"/>
      <c r="ESX26" s="204"/>
      <c r="ESY26" s="204"/>
      <c r="ESZ26" s="204"/>
      <c r="ETA26" s="204"/>
      <c r="ETB26" s="204"/>
      <c r="ETC26" s="204"/>
      <c r="ETD26" s="204"/>
      <c r="ETE26" s="204"/>
      <c r="ETF26" s="204"/>
      <c r="ETG26" s="204"/>
      <c r="ETH26" s="204"/>
      <c r="ETI26" s="204"/>
      <c r="ETJ26" s="204"/>
      <c r="ETK26" s="204"/>
      <c r="ETL26" s="204"/>
      <c r="ETM26" s="204"/>
      <c r="ETN26" s="204"/>
      <c r="ETO26" s="204"/>
      <c r="ETP26" s="204"/>
      <c r="ETQ26" s="204"/>
      <c r="ETR26" s="204"/>
      <c r="ETS26" s="204"/>
      <c r="ETT26" s="204"/>
      <c r="ETU26" s="204"/>
      <c r="ETV26" s="204"/>
      <c r="ETW26" s="204"/>
      <c r="ETX26" s="204"/>
      <c r="ETY26" s="204"/>
      <c r="ETZ26" s="204"/>
      <c r="EUA26" s="204"/>
      <c r="EUB26" s="204"/>
      <c r="EUC26" s="204"/>
      <c r="EUD26" s="204"/>
      <c r="EUE26" s="204"/>
      <c r="EUF26" s="204"/>
      <c r="EUG26" s="204"/>
      <c r="EUH26" s="204"/>
      <c r="EUI26" s="204"/>
      <c r="EUJ26" s="204"/>
      <c r="EUK26" s="204"/>
      <c r="EUL26" s="204"/>
      <c r="EUM26" s="204"/>
      <c r="EUN26" s="204"/>
      <c r="EUO26" s="204"/>
      <c r="EUP26" s="204"/>
      <c r="EUQ26" s="204"/>
      <c r="EUR26" s="204"/>
      <c r="EUS26" s="204"/>
      <c r="EUT26" s="204"/>
      <c r="EUU26" s="204"/>
      <c r="EUV26" s="204"/>
      <c r="EUW26" s="204"/>
      <c r="EUX26" s="204"/>
      <c r="EUY26" s="204"/>
      <c r="EUZ26" s="204"/>
      <c r="EVA26" s="204"/>
      <c r="EVB26" s="204"/>
      <c r="EVC26" s="204"/>
      <c r="EVD26" s="204"/>
      <c r="EVE26" s="204"/>
      <c r="EVF26" s="204"/>
      <c r="EVG26" s="204"/>
      <c r="EVH26" s="204"/>
      <c r="EVI26" s="204"/>
      <c r="EVJ26" s="204"/>
      <c r="EVK26" s="204"/>
      <c r="EVL26" s="204"/>
      <c r="EVM26" s="204"/>
      <c r="EVN26" s="204"/>
      <c r="EVO26" s="204"/>
      <c r="EVP26" s="204"/>
      <c r="EVQ26" s="204"/>
      <c r="EVR26" s="204"/>
      <c r="EVS26" s="204"/>
      <c r="EVT26" s="204"/>
      <c r="EVU26" s="204"/>
      <c r="EVV26" s="204"/>
      <c r="EVW26" s="204"/>
      <c r="EVX26" s="204"/>
      <c r="EVY26" s="204"/>
      <c r="EVZ26" s="204"/>
      <c r="EWA26" s="204"/>
      <c r="EWB26" s="204"/>
      <c r="EWC26" s="204"/>
      <c r="EWD26" s="204"/>
      <c r="EWE26" s="204"/>
      <c r="EWF26" s="204"/>
      <c r="EWG26" s="204"/>
      <c r="EWH26" s="204"/>
      <c r="EWI26" s="204"/>
      <c r="EWJ26" s="204"/>
      <c r="EWK26" s="204"/>
      <c r="EWL26" s="204"/>
      <c r="EWM26" s="204"/>
      <c r="EWN26" s="204"/>
      <c r="EWO26" s="204"/>
      <c r="EWP26" s="204"/>
      <c r="EWQ26" s="204"/>
      <c r="EWR26" s="204"/>
      <c r="EWS26" s="204"/>
      <c r="EWT26" s="204"/>
      <c r="EWU26" s="204"/>
      <c r="EWV26" s="204"/>
      <c r="EWW26" s="204"/>
      <c r="EWX26" s="204"/>
      <c r="EWY26" s="204"/>
      <c r="EWZ26" s="204"/>
      <c r="EXA26" s="204"/>
      <c r="EXB26" s="204"/>
      <c r="EXC26" s="204"/>
      <c r="EXD26" s="204"/>
      <c r="EXE26" s="204"/>
      <c r="EXF26" s="204"/>
      <c r="EXG26" s="204"/>
      <c r="EXH26" s="204"/>
      <c r="EXI26" s="204"/>
      <c r="EXJ26" s="204"/>
      <c r="EXK26" s="204"/>
      <c r="EXL26" s="204"/>
      <c r="EXM26" s="204"/>
      <c r="EXN26" s="204"/>
      <c r="EXO26" s="204"/>
      <c r="EXP26" s="204"/>
      <c r="EXQ26" s="204"/>
      <c r="EXR26" s="204"/>
      <c r="EXS26" s="204"/>
      <c r="EXT26" s="204"/>
      <c r="EXU26" s="204"/>
      <c r="EXV26" s="204"/>
      <c r="EXW26" s="204"/>
      <c r="EXX26" s="204"/>
      <c r="EXY26" s="204"/>
      <c r="EXZ26" s="204"/>
      <c r="EYA26" s="204"/>
      <c r="EYB26" s="204"/>
      <c r="EYC26" s="204"/>
      <c r="EYD26" s="204"/>
      <c r="EYE26" s="204"/>
      <c r="EYF26" s="204"/>
      <c r="EYG26" s="204"/>
      <c r="EYH26" s="204"/>
      <c r="EYI26" s="204"/>
      <c r="EYJ26" s="204"/>
      <c r="EYK26" s="204"/>
      <c r="EYL26" s="204"/>
      <c r="EYM26" s="204"/>
      <c r="EYN26" s="204"/>
      <c r="EYO26" s="204"/>
      <c r="EYP26" s="204"/>
      <c r="EYQ26" s="204"/>
      <c r="EYR26" s="204"/>
      <c r="EYS26" s="204"/>
      <c r="EYT26" s="204"/>
      <c r="EYU26" s="204"/>
      <c r="EYV26" s="204"/>
      <c r="EYW26" s="204"/>
      <c r="EYX26" s="204"/>
      <c r="EYY26" s="204"/>
      <c r="EYZ26" s="204"/>
      <c r="EZA26" s="204"/>
      <c r="EZB26" s="204"/>
      <c r="EZC26" s="204"/>
      <c r="EZD26" s="204"/>
      <c r="EZE26" s="204"/>
      <c r="EZF26" s="204"/>
      <c r="EZG26" s="204"/>
      <c r="EZH26" s="204"/>
      <c r="EZI26" s="204"/>
      <c r="EZJ26" s="204"/>
      <c r="EZK26" s="204"/>
      <c r="EZL26" s="204"/>
      <c r="EZM26" s="204"/>
      <c r="EZN26" s="204"/>
      <c r="EZO26" s="204"/>
      <c r="EZP26" s="204"/>
      <c r="EZQ26" s="204"/>
      <c r="EZR26" s="204"/>
      <c r="EZS26" s="204"/>
      <c r="EZT26" s="204"/>
      <c r="EZU26" s="204"/>
      <c r="EZV26" s="204"/>
      <c r="EZW26" s="204"/>
      <c r="EZX26" s="204"/>
      <c r="EZY26" s="204"/>
      <c r="EZZ26" s="204"/>
      <c r="FAA26" s="204"/>
      <c r="FAB26" s="204"/>
      <c r="FAC26" s="204"/>
      <c r="FAD26" s="204"/>
      <c r="FAE26" s="204"/>
      <c r="FAF26" s="204"/>
      <c r="FAG26" s="204"/>
      <c r="FAH26" s="204"/>
      <c r="FAI26" s="204"/>
      <c r="FAJ26" s="204"/>
      <c r="FAK26" s="204"/>
      <c r="FAL26" s="204"/>
      <c r="FAM26" s="204"/>
      <c r="FAN26" s="204"/>
      <c r="FAO26" s="204"/>
      <c r="FAP26" s="204"/>
      <c r="FAQ26" s="204"/>
      <c r="FAR26" s="204"/>
      <c r="FAS26" s="204"/>
      <c r="FAT26" s="204"/>
      <c r="FAU26" s="204"/>
      <c r="FAV26" s="204"/>
      <c r="FAW26" s="204"/>
      <c r="FAX26" s="204"/>
      <c r="FAY26" s="204"/>
      <c r="FAZ26" s="204"/>
      <c r="FBA26" s="204"/>
      <c r="FBB26" s="204"/>
      <c r="FBC26" s="204"/>
      <c r="FBD26" s="204"/>
      <c r="FBE26" s="204"/>
      <c r="FBF26" s="204"/>
      <c r="FBG26" s="204"/>
      <c r="FBH26" s="204"/>
      <c r="FBI26" s="204"/>
      <c r="FBJ26" s="204"/>
      <c r="FBK26" s="204"/>
      <c r="FBL26" s="204"/>
      <c r="FBM26" s="204"/>
      <c r="FBN26" s="204"/>
      <c r="FBO26" s="204"/>
      <c r="FBP26" s="204"/>
      <c r="FBQ26" s="204"/>
      <c r="FBR26" s="204"/>
      <c r="FBS26" s="204"/>
      <c r="FBT26" s="204"/>
      <c r="FBU26" s="204"/>
      <c r="FBV26" s="204"/>
      <c r="FBW26" s="204"/>
      <c r="FBX26" s="204"/>
      <c r="FBY26" s="204"/>
      <c r="FBZ26" s="204"/>
      <c r="FCA26" s="204"/>
      <c r="FCB26" s="204"/>
      <c r="FCC26" s="204"/>
      <c r="FCD26" s="204"/>
      <c r="FCE26" s="204"/>
      <c r="FCF26" s="204"/>
      <c r="FCG26" s="204"/>
      <c r="FCH26" s="204"/>
      <c r="FCI26" s="204"/>
      <c r="FCJ26" s="204"/>
      <c r="FCK26" s="204"/>
      <c r="FCL26" s="204"/>
      <c r="FCM26" s="204"/>
      <c r="FCN26" s="204"/>
      <c r="FCO26" s="204"/>
      <c r="FCP26" s="204"/>
      <c r="FCQ26" s="204"/>
      <c r="FCR26" s="204"/>
      <c r="FCS26" s="204"/>
      <c r="FCT26" s="204"/>
      <c r="FCU26" s="204"/>
      <c r="FCV26" s="204"/>
      <c r="FCW26" s="204"/>
      <c r="FCX26" s="204"/>
      <c r="FCY26" s="204"/>
      <c r="FCZ26" s="204"/>
      <c r="FDA26" s="204"/>
      <c r="FDB26" s="204"/>
      <c r="FDC26" s="204"/>
      <c r="FDD26" s="204"/>
      <c r="FDE26" s="204"/>
      <c r="FDF26" s="204"/>
      <c r="FDG26" s="204"/>
      <c r="FDH26" s="204"/>
      <c r="FDI26" s="204"/>
      <c r="FDJ26" s="204"/>
      <c r="FDK26" s="204"/>
      <c r="FDL26" s="204"/>
      <c r="FDM26" s="204"/>
      <c r="FDN26" s="204"/>
      <c r="FDO26" s="204"/>
      <c r="FDP26" s="204"/>
      <c r="FDQ26" s="204"/>
      <c r="FDR26" s="204"/>
      <c r="FDS26" s="204"/>
      <c r="FDT26" s="204"/>
      <c r="FDU26" s="204"/>
      <c r="FDV26" s="204"/>
      <c r="FDW26" s="204"/>
      <c r="FDX26" s="204"/>
      <c r="FDY26" s="204"/>
      <c r="FDZ26" s="204"/>
      <c r="FEA26" s="204"/>
      <c r="FEB26" s="204"/>
      <c r="FEC26" s="204"/>
      <c r="FED26" s="204"/>
      <c r="FEE26" s="204"/>
      <c r="FEF26" s="204"/>
      <c r="FEG26" s="204"/>
      <c r="FEH26" s="204"/>
      <c r="FEI26" s="204"/>
      <c r="FEJ26" s="204"/>
      <c r="FEK26" s="204"/>
      <c r="FEL26" s="204"/>
      <c r="FEM26" s="204"/>
      <c r="FEN26" s="204"/>
      <c r="FEO26" s="204"/>
      <c r="FEP26" s="204"/>
      <c r="FEQ26" s="204"/>
      <c r="FER26" s="204"/>
      <c r="FES26" s="204"/>
      <c r="FET26" s="204"/>
      <c r="FEU26" s="204"/>
      <c r="FEV26" s="204"/>
      <c r="FEW26" s="204"/>
      <c r="FEX26" s="204"/>
      <c r="FEY26" s="204"/>
      <c r="FEZ26" s="204"/>
      <c r="FFA26" s="204"/>
      <c r="FFB26" s="204"/>
      <c r="FFC26" s="204"/>
      <c r="FFD26" s="204"/>
      <c r="FFE26" s="204"/>
      <c r="FFF26" s="204"/>
      <c r="FFG26" s="204"/>
      <c r="FFH26" s="204"/>
      <c r="FFI26" s="204"/>
      <c r="FFJ26" s="204"/>
      <c r="FFK26" s="204"/>
      <c r="FFL26" s="204"/>
      <c r="FFM26" s="204"/>
      <c r="FFN26" s="204"/>
      <c r="FFO26" s="204"/>
      <c r="FFP26" s="204"/>
      <c r="FFQ26" s="204"/>
      <c r="FFR26" s="204"/>
      <c r="FFS26" s="204"/>
      <c r="FFT26" s="204"/>
      <c r="FFU26" s="204"/>
      <c r="FFV26" s="204"/>
      <c r="FFW26" s="204"/>
      <c r="FFX26" s="204"/>
      <c r="FFY26" s="204"/>
      <c r="FFZ26" s="204"/>
      <c r="FGA26" s="204"/>
      <c r="FGB26" s="204"/>
      <c r="FGC26" s="204"/>
      <c r="FGD26" s="204"/>
      <c r="FGE26" s="204"/>
      <c r="FGF26" s="204"/>
      <c r="FGG26" s="204"/>
      <c r="FGH26" s="204"/>
      <c r="FGI26" s="204"/>
      <c r="FGJ26" s="204"/>
      <c r="FGK26" s="204"/>
      <c r="FGL26" s="204"/>
      <c r="FGM26" s="204"/>
      <c r="FGN26" s="204"/>
      <c r="FGO26" s="204"/>
      <c r="FGP26" s="204"/>
      <c r="FGQ26" s="204"/>
      <c r="FGR26" s="204"/>
      <c r="FGS26" s="204"/>
      <c r="FGT26" s="204"/>
      <c r="FGU26" s="204"/>
      <c r="FGV26" s="204"/>
      <c r="FGW26" s="204"/>
      <c r="FGX26" s="204"/>
      <c r="FGY26" s="204"/>
      <c r="FGZ26" s="204"/>
      <c r="FHA26" s="204"/>
      <c r="FHB26" s="204"/>
      <c r="FHC26" s="204"/>
      <c r="FHD26" s="204"/>
      <c r="FHE26" s="204"/>
      <c r="FHF26" s="204"/>
      <c r="FHG26" s="204"/>
      <c r="FHH26" s="204"/>
      <c r="FHI26" s="204"/>
      <c r="FHJ26" s="204"/>
      <c r="FHK26" s="204"/>
      <c r="FHL26" s="204"/>
      <c r="FHM26" s="204"/>
      <c r="FHN26" s="204"/>
      <c r="FHO26" s="204"/>
      <c r="FHP26" s="204"/>
      <c r="FHQ26" s="204"/>
      <c r="FHR26" s="204"/>
      <c r="FHS26" s="204"/>
      <c r="FHT26" s="204"/>
      <c r="FHU26" s="204"/>
      <c r="FHV26" s="204"/>
      <c r="FHW26" s="204"/>
      <c r="FHX26" s="204"/>
      <c r="FHY26" s="204"/>
      <c r="FHZ26" s="204"/>
      <c r="FIA26" s="204"/>
      <c r="FIB26" s="204"/>
      <c r="FIC26" s="204"/>
      <c r="FID26" s="204"/>
      <c r="FIE26" s="204"/>
      <c r="FIF26" s="204"/>
      <c r="FIG26" s="204"/>
      <c r="FIH26" s="204"/>
      <c r="FII26" s="204"/>
      <c r="FIJ26" s="204"/>
      <c r="FIK26" s="204"/>
      <c r="FIL26" s="204"/>
      <c r="FIM26" s="204"/>
      <c r="FIN26" s="204"/>
      <c r="FIO26" s="204"/>
      <c r="FIP26" s="204"/>
      <c r="FIQ26" s="204"/>
      <c r="FIR26" s="204"/>
      <c r="FIS26" s="204"/>
      <c r="FIT26" s="204"/>
      <c r="FIU26" s="204"/>
      <c r="FIV26" s="204"/>
      <c r="FIW26" s="204"/>
      <c r="FIX26" s="204"/>
      <c r="FIY26" s="204"/>
      <c r="FIZ26" s="204"/>
      <c r="FJA26" s="204"/>
      <c r="FJB26" s="204"/>
      <c r="FJC26" s="204"/>
      <c r="FJD26" s="204"/>
      <c r="FJE26" s="204"/>
      <c r="FJF26" s="204"/>
      <c r="FJG26" s="204"/>
      <c r="FJH26" s="204"/>
      <c r="FJI26" s="204"/>
      <c r="FJJ26" s="204"/>
      <c r="FJK26" s="204"/>
      <c r="FJL26" s="204"/>
      <c r="FJM26" s="204"/>
      <c r="FJN26" s="204"/>
      <c r="FJO26" s="204"/>
      <c r="FJP26" s="204"/>
      <c r="FJQ26" s="204"/>
      <c r="FJR26" s="204"/>
      <c r="FJS26" s="204"/>
      <c r="FJT26" s="204"/>
      <c r="FJU26" s="204"/>
      <c r="FJV26" s="204"/>
      <c r="FJW26" s="204"/>
      <c r="FJX26" s="204"/>
      <c r="FJY26" s="204"/>
      <c r="FJZ26" s="204"/>
      <c r="FKA26" s="204"/>
      <c r="FKB26" s="204"/>
      <c r="FKC26" s="204"/>
      <c r="FKD26" s="204"/>
      <c r="FKE26" s="204"/>
      <c r="FKF26" s="204"/>
      <c r="FKG26" s="204"/>
      <c r="FKH26" s="204"/>
      <c r="FKI26" s="204"/>
      <c r="FKJ26" s="204"/>
      <c r="FKK26" s="204"/>
      <c r="FKL26" s="204"/>
      <c r="FKM26" s="204"/>
      <c r="FKN26" s="204"/>
      <c r="FKO26" s="204"/>
      <c r="FKP26" s="204"/>
      <c r="FKQ26" s="204"/>
      <c r="FKR26" s="204"/>
      <c r="FKS26" s="204"/>
      <c r="FKT26" s="204"/>
      <c r="FKU26" s="204"/>
      <c r="FKV26" s="204"/>
      <c r="FKW26" s="204"/>
      <c r="FKX26" s="204"/>
      <c r="FKY26" s="204"/>
      <c r="FKZ26" s="204"/>
      <c r="FLA26" s="204"/>
      <c r="FLB26" s="204"/>
      <c r="FLC26" s="204"/>
      <c r="FLD26" s="204"/>
      <c r="FLE26" s="204"/>
      <c r="FLF26" s="204"/>
      <c r="FLG26" s="204"/>
      <c r="FLH26" s="204"/>
      <c r="FLI26" s="204"/>
      <c r="FLJ26" s="204"/>
      <c r="FLK26" s="204"/>
      <c r="FLL26" s="204"/>
      <c r="FLM26" s="204"/>
      <c r="FLN26" s="204"/>
      <c r="FLO26" s="204"/>
      <c r="FLP26" s="204"/>
      <c r="FLQ26" s="204"/>
      <c r="FLR26" s="204"/>
      <c r="FLS26" s="204"/>
      <c r="FLT26" s="204"/>
      <c r="FLU26" s="204"/>
      <c r="FLV26" s="204"/>
      <c r="FLW26" s="204"/>
      <c r="FLX26" s="204"/>
      <c r="FLY26" s="204"/>
      <c r="FLZ26" s="204"/>
      <c r="FMA26" s="204"/>
      <c r="FMB26" s="204"/>
      <c r="FMC26" s="204"/>
      <c r="FMD26" s="204"/>
      <c r="FME26" s="204"/>
      <c r="FMF26" s="204"/>
      <c r="FMG26" s="204"/>
      <c r="FMH26" s="204"/>
      <c r="FMI26" s="204"/>
      <c r="FMJ26" s="204"/>
      <c r="FMK26" s="204"/>
      <c r="FML26" s="204"/>
      <c r="FMM26" s="204"/>
      <c r="FMN26" s="204"/>
      <c r="FMO26" s="204"/>
      <c r="FMP26" s="204"/>
      <c r="FMQ26" s="204"/>
      <c r="FMR26" s="204"/>
      <c r="FMS26" s="204"/>
      <c r="FMT26" s="204"/>
      <c r="FMU26" s="204"/>
      <c r="FMV26" s="204"/>
      <c r="FMW26" s="204"/>
      <c r="FMX26" s="204"/>
      <c r="FMY26" s="204"/>
      <c r="FMZ26" s="204"/>
      <c r="FNA26" s="204"/>
      <c r="FNB26" s="204"/>
      <c r="FNC26" s="204"/>
      <c r="FND26" s="204"/>
      <c r="FNE26" s="204"/>
      <c r="FNF26" s="204"/>
      <c r="FNG26" s="204"/>
      <c r="FNH26" s="204"/>
      <c r="FNI26" s="204"/>
      <c r="FNJ26" s="204"/>
      <c r="FNK26" s="204"/>
      <c r="FNL26" s="204"/>
      <c r="FNM26" s="204"/>
      <c r="FNN26" s="204"/>
      <c r="FNO26" s="204"/>
      <c r="FNP26" s="204"/>
      <c r="FNQ26" s="204"/>
      <c r="FNR26" s="204"/>
      <c r="FNS26" s="204"/>
      <c r="FNT26" s="204"/>
      <c r="FNU26" s="204"/>
      <c r="FNV26" s="204"/>
      <c r="FNW26" s="204"/>
      <c r="FNX26" s="204"/>
      <c r="FNY26" s="204"/>
      <c r="FNZ26" s="204"/>
      <c r="FOA26" s="204"/>
      <c r="FOB26" s="204"/>
      <c r="FOC26" s="204"/>
      <c r="FOD26" s="204"/>
      <c r="FOE26" s="204"/>
      <c r="FOF26" s="204"/>
      <c r="FOG26" s="204"/>
      <c r="FOH26" s="204"/>
      <c r="FOI26" s="204"/>
      <c r="FOJ26" s="204"/>
      <c r="FOK26" s="204"/>
      <c r="FOL26" s="204"/>
      <c r="FOM26" s="204"/>
      <c r="FON26" s="204"/>
      <c r="FOO26" s="204"/>
      <c r="FOP26" s="204"/>
      <c r="FOQ26" s="204"/>
      <c r="FOR26" s="204"/>
      <c r="FOS26" s="204"/>
      <c r="FOT26" s="204"/>
      <c r="FOU26" s="204"/>
      <c r="FOV26" s="204"/>
      <c r="FOW26" s="204"/>
      <c r="FOX26" s="204"/>
      <c r="FOY26" s="204"/>
      <c r="FOZ26" s="204"/>
      <c r="FPA26" s="204"/>
      <c r="FPB26" s="204"/>
      <c r="FPC26" s="204"/>
      <c r="FPD26" s="204"/>
      <c r="FPE26" s="204"/>
      <c r="FPF26" s="204"/>
      <c r="FPG26" s="204"/>
      <c r="FPH26" s="204"/>
      <c r="FPI26" s="204"/>
      <c r="FPJ26" s="204"/>
      <c r="FPK26" s="204"/>
      <c r="FPL26" s="204"/>
      <c r="FPM26" s="204"/>
      <c r="FPN26" s="204"/>
      <c r="FPO26" s="204"/>
      <c r="FPP26" s="204"/>
      <c r="FPQ26" s="204"/>
      <c r="FPR26" s="204"/>
      <c r="FPS26" s="204"/>
      <c r="FPT26" s="204"/>
      <c r="FPU26" s="204"/>
      <c r="FPV26" s="204"/>
      <c r="FPW26" s="204"/>
      <c r="FPX26" s="204"/>
      <c r="FPY26" s="204"/>
      <c r="FPZ26" s="204"/>
      <c r="FQA26" s="204"/>
      <c r="FQB26" s="204"/>
      <c r="FQC26" s="204"/>
      <c r="FQD26" s="204"/>
      <c r="FQE26" s="204"/>
      <c r="FQF26" s="204"/>
      <c r="FQG26" s="204"/>
      <c r="FQH26" s="204"/>
      <c r="FQI26" s="204"/>
      <c r="FQJ26" s="204"/>
      <c r="FQK26" s="204"/>
      <c r="FQL26" s="204"/>
      <c r="FQM26" s="204"/>
      <c r="FQN26" s="204"/>
      <c r="FQO26" s="204"/>
      <c r="FQP26" s="204"/>
      <c r="FQQ26" s="204"/>
      <c r="FQR26" s="204"/>
      <c r="FQS26" s="204"/>
      <c r="FQT26" s="204"/>
      <c r="FQU26" s="204"/>
      <c r="FQV26" s="204"/>
      <c r="FQW26" s="204"/>
      <c r="FQX26" s="204"/>
      <c r="FQY26" s="204"/>
      <c r="FQZ26" s="204"/>
      <c r="FRA26" s="204"/>
      <c r="FRB26" s="204"/>
      <c r="FRC26" s="204"/>
      <c r="FRD26" s="204"/>
      <c r="FRE26" s="204"/>
      <c r="FRF26" s="204"/>
      <c r="FRG26" s="204"/>
      <c r="FRH26" s="204"/>
      <c r="FRI26" s="204"/>
      <c r="FRJ26" s="204"/>
      <c r="FRK26" s="204"/>
      <c r="FRL26" s="204"/>
      <c r="FRM26" s="204"/>
      <c r="FRN26" s="204"/>
      <c r="FRO26" s="204"/>
      <c r="FRP26" s="204"/>
      <c r="FRQ26" s="204"/>
      <c r="FRR26" s="204"/>
      <c r="FRS26" s="204"/>
      <c r="FRT26" s="204"/>
      <c r="FRU26" s="204"/>
      <c r="FRV26" s="204"/>
      <c r="FRW26" s="204"/>
      <c r="FRX26" s="204"/>
      <c r="FRY26" s="204"/>
      <c r="FRZ26" s="204"/>
      <c r="FSA26" s="204"/>
      <c r="FSB26" s="204"/>
      <c r="FSC26" s="204"/>
      <c r="FSD26" s="204"/>
      <c r="FSE26" s="204"/>
      <c r="FSF26" s="204"/>
      <c r="FSG26" s="204"/>
      <c r="FSH26" s="204"/>
      <c r="FSI26" s="204"/>
      <c r="FSJ26" s="204"/>
      <c r="FSK26" s="204"/>
      <c r="FSL26" s="204"/>
      <c r="FSM26" s="204"/>
      <c r="FSN26" s="204"/>
      <c r="FSO26" s="204"/>
      <c r="FSP26" s="204"/>
      <c r="FSQ26" s="204"/>
      <c r="FSR26" s="204"/>
      <c r="FSS26" s="204"/>
      <c r="FST26" s="204"/>
      <c r="FSU26" s="204"/>
      <c r="FSV26" s="204"/>
      <c r="FSW26" s="204"/>
      <c r="FSX26" s="204"/>
      <c r="FSY26" s="204"/>
      <c r="FSZ26" s="204"/>
      <c r="FTA26" s="204"/>
      <c r="FTB26" s="204"/>
      <c r="FTC26" s="204"/>
      <c r="FTD26" s="204"/>
      <c r="FTE26" s="204"/>
      <c r="FTF26" s="204"/>
      <c r="FTG26" s="204"/>
      <c r="FTH26" s="204"/>
      <c r="FTI26" s="204"/>
      <c r="FTJ26" s="204"/>
      <c r="FTK26" s="204"/>
      <c r="FTL26" s="204"/>
      <c r="FTM26" s="204"/>
      <c r="FTN26" s="204"/>
      <c r="FTO26" s="204"/>
      <c r="FTP26" s="204"/>
      <c r="FTQ26" s="204"/>
      <c r="FTR26" s="204"/>
      <c r="FTS26" s="204"/>
      <c r="FTT26" s="204"/>
      <c r="FTU26" s="204"/>
      <c r="FTV26" s="204"/>
      <c r="FTW26" s="204"/>
      <c r="FTX26" s="204"/>
      <c r="FTY26" s="204"/>
      <c r="FTZ26" s="204"/>
      <c r="FUA26" s="204"/>
      <c r="FUB26" s="204"/>
      <c r="FUC26" s="204"/>
      <c r="FUD26" s="204"/>
      <c r="FUE26" s="204"/>
      <c r="FUF26" s="204"/>
      <c r="FUG26" s="204"/>
      <c r="FUH26" s="204"/>
      <c r="FUI26" s="204"/>
      <c r="FUJ26" s="204"/>
      <c r="FUK26" s="204"/>
      <c r="FUL26" s="204"/>
      <c r="FUM26" s="204"/>
      <c r="FUN26" s="204"/>
      <c r="FUO26" s="204"/>
      <c r="FUP26" s="204"/>
      <c r="FUQ26" s="204"/>
      <c r="FUR26" s="204"/>
      <c r="FUS26" s="204"/>
      <c r="FUT26" s="204"/>
      <c r="FUU26" s="204"/>
      <c r="FUV26" s="204"/>
      <c r="FUW26" s="204"/>
      <c r="FUX26" s="204"/>
      <c r="FUY26" s="204"/>
      <c r="FUZ26" s="204"/>
      <c r="FVA26" s="204"/>
      <c r="FVB26" s="204"/>
      <c r="FVC26" s="204"/>
      <c r="FVD26" s="204"/>
      <c r="FVE26" s="204"/>
      <c r="FVF26" s="204"/>
      <c r="FVG26" s="204"/>
      <c r="FVH26" s="204"/>
      <c r="FVI26" s="204"/>
      <c r="FVJ26" s="204"/>
      <c r="FVK26" s="204"/>
      <c r="FVL26" s="204"/>
      <c r="FVM26" s="204"/>
      <c r="FVN26" s="204"/>
      <c r="FVO26" s="204"/>
      <c r="FVP26" s="204"/>
      <c r="FVQ26" s="204"/>
      <c r="FVR26" s="204"/>
      <c r="FVS26" s="204"/>
      <c r="FVT26" s="204"/>
      <c r="FVU26" s="204"/>
      <c r="FVV26" s="204"/>
      <c r="FVW26" s="204"/>
      <c r="FVX26" s="204"/>
      <c r="FVY26" s="204"/>
      <c r="FVZ26" s="204"/>
      <c r="FWA26" s="204"/>
      <c r="FWB26" s="204"/>
      <c r="FWC26" s="204"/>
      <c r="FWD26" s="204"/>
      <c r="FWE26" s="204"/>
      <c r="FWF26" s="204"/>
      <c r="FWG26" s="204"/>
      <c r="FWH26" s="204"/>
      <c r="FWI26" s="204"/>
      <c r="FWJ26" s="204"/>
      <c r="FWK26" s="204"/>
      <c r="FWL26" s="204"/>
      <c r="FWM26" s="204"/>
      <c r="FWN26" s="204"/>
      <c r="FWO26" s="204"/>
      <c r="FWP26" s="204"/>
      <c r="FWQ26" s="204"/>
      <c r="FWR26" s="204"/>
      <c r="FWS26" s="204"/>
      <c r="FWT26" s="204"/>
      <c r="FWU26" s="204"/>
      <c r="FWV26" s="204"/>
      <c r="FWW26" s="204"/>
      <c r="FWX26" s="204"/>
      <c r="FWY26" s="204"/>
      <c r="FWZ26" s="204"/>
      <c r="FXA26" s="204"/>
      <c r="FXB26" s="204"/>
      <c r="FXC26" s="204"/>
      <c r="FXD26" s="204"/>
      <c r="FXE26" s="204"/>
      <c r="FXF26" s="204"/>
      <c r="FXG26" s="204"/>
      <c r="FXH26" s="204"/>
      <c r="FXI26" s="204"/>
      <c r="FXJ26" s="204"/>
      <c r="FXK26" s="204"/>
      <c r="FXL26" s="204"/>
      <c r="FXM26" s="204"/>
      <c r="FXN26" s="204"/>
      <c r="FXO26" s="204"/>
      <c r="FXP26" s="204"/>
      <c r="FXQ26" s="204"/>
      <c r="FXR26" s="204"/>
      <c r="FXS26" s="204"/>
      <c r="FXT26" s="204"/>
      <c r="FXU26" s="204"/>
      <c r="FXV26" s="204"/>
      <c r="FXW26" s="204"/>
      <c r="FXX26" s="204"/>
      <c r="FXY26" s="204"/>
      <c r="FXZ26" s="204"/>
      <c r="FYA26" s="204"/>
      <c r="FYB26" s="204"/>
      <c r="FYC26" s="204"/>
      <c r="FYD26" s="204"/>
      <c r="FYE26" s="204"/>
      <c r="FYF26" s="204"/>
      <c r="FYG26" s="204"/>
      <c r="FYH26" s="204"/>
      <c r="FYI26" s="204"/>
      <c r="FYJ26" s="204"/>
      <c r="FYK26" s="204"/>
      <c r="FYL26" s="204"/>
      <c r="FYM26" s="204"/>
      <c r="FYN26" s="204"/>
      <c r="FYO26" s="204"/>
      <c r="FYP26" s="204"/>
      <c r="FYQ26" s="204"/>
      <c r="FYR26" s="204"/>
      <c r="FYS26" s="204"/>
      <c r="FYT26" s="204"/>
      <c r="FYU26" s="204"/>
      <c r="FYV26" s="204"/>
      <c r="FYW26" s="204"/>
      <c r="FYX26" s="204"/>
      <c r="FYY26" s="204"/>
      <c r="FYZ26" s="204"/>
      <c r="FZA26" s="204"/>
      <c r="FZB26" s="204"/>
      <c r="FZC26" s="204"/>
      <c r="FZD26" s="204"/>
      <c r="FZE26" s="204"/>
      <c r="FZF26" s="204"/>
      <c r="FZG26" s="204"/>
      <c r="FZH26" s="204"/>
      <c r="FZI26" s="204"/>
      <c r="FZJ26" s="204"/>
      <c r="FZK26" s="204"/>
      <c r="FZL26" s="204"/>
      <c r="FZM26" s="204"/>
      <c r="FZN26" s="204"/>
      <c r="FZO26" s="204"/>
      <c r="FZP26" s="204"/>
      <c r="FZQ26" s="204"/>
      <c r="FZR26" s="204"/>
      <c r="FZS26" s="204"/>
      <c r="FZT26" s="204"/>
      <c r="FZU26" s="204"/>
      <c r="FZV26" s="204"/>
      <c r="FZW26" s="204"/>
      <c r="FZX26" s="204"/>
      <c r="FZY26" s="204"/>
      <c r="FZZ26" s="204"/>
      <c r="GAA26" s="204"/>
      <c r="GAB26" s="204"/>
      <c r="GAC26" s="204"/>
      <c r="GAD26" s="204"/>
      <c r="GAE26" s="204"/>
      <c r="GAF26" s="204"/>
      <c r="GAG26" s="204"/>
      <c r="GAH26" s="204"/>
      <c r="GAI26" s="204"/>
      <c r="GAJ26" s="204"/>
      <c r="GAK26" s="204"/>
      <c r="GAL26" s="204"/>
      <c r="GAM26" s="204"/>
      <c r="GAN26" s="204"/>
      <c r="GAO26" s="204"/>
      <c r="GAP26" s="204"/>
      <c r="GAQ26" s="204"/>
      <c r="GAR26" s="204"/>
      <c r="GAS26" s="204"/>
      <c r="GAT26" s="204"/>
      <c r="GAU26" s="204"/>
      <c r="GAV26" s="204"/>
      <c r="GAW26" s="204"/>
      <c r="GAX26" s="204"/>
      <c r="GAY26" s="204"/>
      <c r="GAZ26" s="204"/>
      <c r="GBA26" s="204"/>
      <c r="GBB26" s="204"/>
      <c r="GBC26" s="204"/>
      <c r="GBD26" s="204"/>
      <c r="GBE26" s="204"/>
      <c r="GBF26" s="204"/>
      <c r="GBG26" s="204"/>
      <c r="GBH26" s="204"/>
      <c r="GBI26" s="204"/>
      <c r="GBJ26" s="204"/>
      <c r="GBK26" s="204"/>
      <c r="GBL26" s="204"/>
      <c r="GBM26" s="204"/>
      <c r="GBN26" s="204"/>
      <c r="GBO26" s="204"/>
      <c r="GBP26" s="204"/>
      <c r="GBQ26" s="204"/>
      <c r="GBR26" s="204"/>
      <c r="GBS26" s="204"/>
      <c r="GBT26" s="204"/>
      <c r="GBU26" s="204"/>
      <c r="GBV26" s="204"/>
      <c r="GBW26" s="204"/>
      <c r="GBX26" s="204"/>
      <c r="GBY26" s="204"/>
      <c r="GBZ26" s="204"/>
      <c r="GCA26" s="204"/>
      <c r="GCB26" s="204"/>
      <c r="GCC26" s="204"/>
      <c r="GCD26" s="204"/>
      <c r="GCE26" s="204"/>
      <c r="GCF26" s="204"/>
      <c r="GCG26" s="204"/>
      <c r="GCH26" s="204"/>
      <c r="GCI26" s="204"/>
      <c r="GCJ26" s="204"/>
      <c r="GCK26" s="204"/>
      <c r="GCL26" s="204"/>
      <c r="GCM26" s="204"/>
      <c r="GCN26" s="204"/>
      <c r="GCO26" s="204"/>
      <c r="GCP26" s="204"/>
      <c r="GCQ26" s="204"/>
      <c r="GCR26" s="204"/>
      <c r="GCS26" s="204"/>
      <c r="GCT26" s="204"/>
      <c r="GCU26" s="204"/>
      <c r="GCV26" s="204"/>
      <c r="GCW26" s="204"/>
      <c r="GCX26" s="204"/>
      <c r="GCY26" s="204"/>
      <c r="GCZ26" s="204"/>
      <c r="GDA26" s="204"/>
      <c r="GDB26" s="204"/>
      <c r="GDC26" s="204"/>
      <c r="GDD26" s="204"/>
      <c r="GDE26" s="204"/>
      <c r="GDF26" s="204"/>
      <c r="GDG26" s="204"/>
      <c r="GDH26" s="204"/>
      <c r="GDI26" s="204"/>
      <c r="GDJ26" s="204"/>
      <c r="GDK26" s="204"/>
      <c r="GDL26" s="204"/>
      <c r="GDM26" s="204"/>
      <c r="GDN26" s="204"/>
      <c r="GDO26" s="204"/>
      <c r="GDP26" s="204"/>
      <c r="GDQ26" s="204"/>
      <c r="GDR26" s="204"/>
      <c r="GDS26" s="204"/>
      <c r="GDT26" s="204"/>
      <c r="GDU26" s="204"/>
      <c r="GDV26" s="204"/>
      <c r="GDW26" s="204"/>
      <c r="GDX26" s="204"/>
      <c r="GDY26" s="204"/>
      <c r="GDZ26" s="204"/>
      <c r="GEA26" s="204"/>
      <c r="GEB26" s="204"/>
      <c r="GEC26" s="204"/>
      <c r="GED26" s="204"/>
      <c r="GEE26" s="204"/>
      <c r="GEF26" s="204"/>
      <c r="GEG26" s="204"/>
      <c r="GEH26" s="204"/>
      <c r="GEI26" s="204"/>
      <c r="GEJ26" s="204"/>
      <c r="GEK26" s="204"/>
      <c r="GEL26" s="204"/>
      <c r="GEM26" s="204"/>
      <c r="GEN26" s="204"/>
      <c r="GEO26" s="204"/>
      <c r="GEP26" s="204"/>
      <c r="GEQ26" s="204"/>
      <c r="GER26" s="204"/>
      <c r="GES26" s="204"/>
      <c r="GET26" s="204"/>
      <c r="GEU26" s="204"/>
      <c r="GEV26" s="204"/>
      <c r="GEW26" s="204"/>
      <c r="GEX26" s="204"/>
      <c r="GEY26" s="204"/>
      <c r="GEZ26" s="204"/>
      <c r="GFA26" s="204"/>
      <c r="GFB26" s="204"/>
      <c r="GFC26" s="204"/>
      <c r="GFD26" s="204"/>
      <c r="GFE26" s="204"/>
      <c r="GFF26" s="204"/>
      <c r="GFG26" s="204"/>
      <c r="GFH26" s="204"/>
      <c r="GFI26" s="204"/>
      <c r="GFJ26" s="204"/>
      <c r="GFK26" s="204"/>
      <c r="GFL26" s="204"/>
      <c r="GFM26" s="204"/>
      <c r="GFN26" s="204"/>
      <c r="GFO26" s="204"/>
      <c r="GFP26" s="204"/>
      <c r="GFQ26" s="204"/>
      <c r="GFR26" s="204"/>
      <c r="GFS26" s="204"/>
      <c r="GFT26" s="204"/>
      <c r="GFU26" s="204"/>
      <c r="GFV26" s="204"/>
      <c r="GFW26" s="204"/>
      <c r="GFX26" s="204"/>
      <c r="GFY26" s="204"/>
      <c r="GFZ26" s="204"/>
      <c r="GGA26" s="204"/>
      <c r="GGB26" s="204"/>
      <c r="GGC26" s="204"/>
      <c r="GGD26" s="204"/>
      <c r="GGE26" s="204"/>
      <c r="GGF26" s="204"/>
      <c r="GGG26" s="204"/>
      <c r="GGH26" s="204"/>
      <c r="GGI26" s="204"/>
      <c r="GGJ26" s="204"/>
      <c r="GGK26" s="204"/>
      <c r="GGL26" s="204"/>
      <c r="GGM26" s="204"/>
      <c r="GGN26" s="204"/>
      <c r="GGO26" s="204"/>
      <c r="GGP26" s="204"/>
      <c r="GGQ26" s="204"/>
      <c r="GGR26" s="204"/>
      <c r="GGS26" s="204"/>
      <c r="GGT26" s="204"/>
      <c r="GGU26" s="204"/>
      <c r="GGV26" s="204"/>
      <c r="GGW26" s="204"/>
      <c r="GGX26" s="204"/>
      <c r="GGY26" s="204"/>
      <c r="GGZ26" s="204"/>
      <c r="GHA26" s="204"/>
      <c r="GHB26" s="204"/>
      <c r="GHC26" s="204"/>
      <c r="GHD26" s="204"/>
      <c r="GHE26" s="204"/>
      <c r="GHF26" s="204"/>
      <c r="GHG26" s="204"/>
      <c r="GHH26" s="204"/>
      <c r="GHI26" s="204"/>
      <c r="GHJ26" s="204"/>
      <c r="GHK26" s="204"/>
      <c r="GHL26" s="204"/>
      <c r="GHM26" s="204"/>
      <c r="GHN26" s="204"/>
      <c r="GHO26" s="204"/>
      <c r="GHP26" s="204"/>
      <c r="GHQ26" s="204"/>
      <c r="GHR26" s="204"/>
      <c r="GHS26" s="204"/>
      <c r="GHT26" s="204"/>
      <c r="GHU26" s="204"/>
      <c r="GHV26" s="204"/>
      <c r="GHW26" s="204"/>
      <c r="GHX26" s="204"/>
      <c r="GHY26" s="204"/>
      <c r="GHZ26" s="204"/>
      <c r="GIA26" s="204"/>
      <c r="GIB26" s="204"/>
      <c r="GIC26" s="204"/>
      <c r="GID26" s="204"/>
      <c r="GIE26" s="204"/>
      <c r="GIF26" s="204"/>
      <c r="GIG26" s="204"/>
      <c r="GIH26" s="204"/>
      <c r="GII26" s="204"/>
      <c r="GIJ26" s="204"/>
      <c r="GIK26" s="204"/>
      <c r="GIL26" s="204"/>
      <c r="GIM26" s="204"/>
      <c r="GIN26" s="204"/>
      <c r="GIO26" s="204"/>
      <c r="GIP26" s="204"/>
      <c r="GIQ26" s="204"/>
      <c r="GIR26" s="204"/>
      <c r="GIS26" s="204"/>
      <c r="GIT26" s="204"/>
      <c r="GIU26" s="204"/>
      <c r="GIV26" s="204"/>
      <c r="GIW26" s="204"/>
      <c r="GIX26" s="204"/>
      <c r="GIY26" s="204"/>
      <c r="GIZ26" s="204"/>
      <c r="GJA26" s="204"/>
      <c r="GJB26" s="204"/>
      <c r="GJC26" s="204"/>
      <c r="GJD26" s="204"/>
      <c r="GJE26" s="204"/>
      <c r="GJF26" s="204"/>
      <c r="GJG26" s="204"/>
      <c r="GJH26" s="204"/>
      <c r="GJI26" s="204"/>
      <c r="GJJ26" s="204"/>
      <c r="GJK26" s="204"/>
      <c r="GJL26" s="204"/>
      <c r="GJM26" s="204"/>
      <c r="GJN26" s="204"/>
      <c r="GJO26" s="204"/>
      <c r="GJP26" s="204"/>
      <c r="GJQ26" s="204"/>
      <c r="GJR26" s="204"/>
      <c r="GJS26" s="204"/>
      <c r="GJT26" s="204"/>
      <c r="GJU26" s="204"/>
      <c r="GJV26" s="204"/>
      <c r="GJW26" s="204"/>
      <c r="GJX26" s="204"/>
      <c r="GJY26" s="204"/>
      <c r="GJZ26" s="204"/>
      <c r="GKA26" s="204"/>
      <c r="GKB26" s="204"/>
      <c r="GKC26" s="204"/>
      <c r="GKD26" s="204"/>
      <c r="GKE26" s="204"/>
      <c r="GKF26" s="204"/>
      <c r="GKG26" s="204"/>
      <c r="GKH26" s="204"/>
      <c r="GKI26" s="204"/>
      <c r="GKJ26" s="204"/>
      <c r="GKK26" s="204"/>
      <c r="GKL26" s="204"/>
      <c r="GKM26" s="204"/>
      <c r="GKN26" s="204"/>
      <c r="GKO26" s="204"/>
      <c r="GKP26" s="204"/>
      <c r="GKQ26" s="204"/>
      <c r="GKR26" s="204"/>
      <c r="GKS26" s="204"/>
      <c r="GKT26" s="204"/>
      <c r="GKU26" s="204"/>
      <c r="GKV26" s="204"/>
      <c r="GKW26" s="204"/>
      <c r="GKX26" s="204"/>
      <c r="GKY26" s="204"/>
      <c r="GKZ26" s="204"/>
      <c r="GLA26" s="204"/>
      <c r="GLB26" s="204"/>
      <c r="GLC26" s="204"/>
      <c r="GLD26" s="204"/>
      <c r="GLE26" s="204"/>
      <c r="GLF26" s="204"/>
      <c r="GLG26" s="204"/>
      <c r="GLH26" s="204"/>
      <c r="GLI26" s="204"/>
      <c r="GLJ26" s="204"/>
      <c r="GLK26" s="204"/>
      <c r="GLL26" s="204"/>
      <c r="GLM26" s="204"/>
      <c r="GLN26" s="204"/>
      <c r="GLO26" s="204"/>
      <c r="GLP26" s="204"/>
      <c r="GLQ26" s="204"/>
      <c r="GLR26" s="204"/>
      <c r="GLS26" s="204"/>
      <c r="GLT26" s="204"/>
      <c r="GLU26" s="204"/>
      <c r="GLV26" s="204"/>
      <c r="GLW26" s="204"/>
      <c r="GLX26" s="204"/>
      <c r="GLY26" s="204"/>
      <c r="GLZ26" s="204"/>
      <c r="GMA26" s="204"/>
      <c r="GMB26" s="204"/>
      <c r="GMC26" s="204"/>
      <c r="GMD26" s="204"/>
      <c r="GME26" s="204"/>
      <c r="GMF26" s="204"/>
      <c r="GMG26" s="204"/>
      <c r="GMH26" s="204"/>
      <c r="GMI26" s="204"/>
      <c r="GMJ26" s="204"/>
      <c r="GMK26" s="204"/>
      <c r="GML26" s="204"/>
      <c r="GMM26" s="204"/>
      <c r="GMN26" s="204"/>
      <c r="GMO26" s="204"/>
      <c r="GMP26" s="204"/>
      <c r="GMQ26" s="204"/>
      <c r="GMR26" s="204"/>
      <c r="GMS26" s="204"/>
      <c r="GMT26" s="204"/>
      <c r="GMU26" s="204"/>
      <c r="GMV26" s="204"/>
      <c r="GMW26" s="204"/>
      <c r="GMX26" s="204"/>
      <c r="GMY26" s="204"/>
      <c r="GMZ26" s="204"/>
      <c r="GNA26" s="204"/>
      <c r="GNB26" s="204"/>
      <c r="GNC26" s="204"/>
      <c r="GND26" s="204"/>
      <c r="GNE26" s="204"/>
      <c r="GNF26" s="204"/>
      <c r="GNG26" s="204"/>
      <c r="GNH26" s="204"/>
      <c r="GNI26" s="204"/>
      <c r="GNJ26" s="204"/>
      <c r="GNK26" s="204"/>
      <c r="GNL26" s="204"/>
      <c r="GNM26" s="204"/>
      <c r="GNN26" s="204"/>
      <c r="GNO26" s="204"/>
      <c r="GNP26" s="204"/>
      <c r="GNQ26" s="204"/>
      <c r="GNR26" s="204"/>
      <c r="GNS26" s="204"/>
      <c r="GNT26" s="204"/>
      <c r="GNU26" s="204"/>
      <c r="GNV26" s="204"/>
      <c r="GNW26" s="204"/>
      <c r="GNX26" s="204"/>
      <c r="GNY26" s="204"/>
      <c r="GNZ26" s="204"/>
      <c r="GOA26" s="204"/>
      <c r="GOB26" s="204"/>
      <c r="GOC26" s="204"/>
      <c r="GOD26" s="204"/>
      <c r="GOE26" s="204"/>
      <c r="GOF26" s="204"/>
      <c r="GOG26" s="204"/>
      <c r="GOH26" s="204"/>
      <c r="GOI26" s="204"/>
      <c r="GOJ26" s="204"/>
      <c r="GOK26" s="204"/>
      <c r="GOL26" s="204"/>
      <c r="GOM26" s="204"/>
      <c r="GON26" s="204"/>
      <c r="GOO26" s="204"/>
      <c r="GOP26" s="204"/>
      <c r="GOQ26" s="204"/>
      <c r="GOR26" s="204"/>
      <c r="GOS26" s="204"/>
      <c r="GOT26" s="204"/>
      <c r="GOU26" s="204"/>
      <c r="GOV26" s="204"/>
      <c r="GOW26" s="204"/>
      <c r="GOX26" s="204"/>
      <c r="GOY26" s="204"/>
      <c r="GOZ26" s="204"/>
      <c r="GPA26" s="204"/>
      <c r="GPB26" s="204"/>
      <c r="GPC26" s="204"/>
      <c r="GPD26" s="204"/>
      <c r="GPE26" s="204"/>
      <c r="GPF26" s="204"/>
      <c r="GPG26" s="204"/>
      <c r="GPH26" s="204"/>
      <c r="GPI26" s="204"/>
      <c r="GPJ26" s="204"/>
      <c r="GPK26" s="204"/>
      <c r="GPL26" s="204"/>
      <c r="GPM26" s="204"/>
      <c r="GPN26" s="204"/>
      <c r="GPO26" s="204"/>
      <c r="GPP26" s="204"/>
      <c r="GPQ26" s="204"/>
      <c r="GPR26" s="204"/>
      <c r="GPS26" s="204"/>
      <c r="GPT26" s="204"/>
      <c r="GPU26" s="204"/>
      <c r="GPV26" s="204"/>
      <c r="GPW26" s="204"/>
      <c r="GPX26" s="204"/>
      <c r="GPY26" s="204"/>
      <c r="GPZ26" s="204"/>
      <c r="GQA26" s="204"/>
      <c r="GQB26" s="204"/>
      <c r="GQC26" s="204"/>
      <c r="GQD26" s="204"/>
      <c r="GQE26" s="204"/>
      <c r="GQF26" s="204"/>
      <c r="GQG26" s="204"/>
      <c r="GQH26" s="204"/>
      <c r="GQI26" s="204"/>
      <c r="GQJ26" s="204"/>
      <c r="GQK26" s="204"/>
      <c r="GQL26" s="204"/>
      <c r="GQM26" s="204"/>
      <c r="GQN26" s="204"/>
      <c r="GQO26" s="204"/>
      <c r="GQP26" s="204"/>
      <c r="GQQ26" s="204"/>
      <c r="GQR26" s="204"/>
      <c r="GQS26" s="204"/>
      <c r="GQT26" s="204"/>
      <c r="GQU26" s="204"/>
      <c r="GQV26" s="204"/>
      <c r="GQW26" s="204"/>
      <c r="GQX26" s="204"/>
      <c r="GQY26" s="204"/>
      <c r="GQZ26" s="204"/>
      <c r="GRA26" s="204"/>
      <c r="GRB26" s="204"/>
      <c r="GRC26" s="204"/>
      <c r="GRD26" s="204"/>
      <c r="GRE26" s="204"/>
      <c r="GRF26" s="204"/>
      <c r="GRG26" s="204"/>
      <c r="GRH26" s="204"/>
      <c r="GRI26" s="204"/>
      <c r="GRJ26" s="204"/>
      <c r="GRK26" s="204"/>
      <c r="GRL26" s="204"/>
      <c r="GRM26" s="204"/>
      <c r="GRN26" s="204"/>
      <c r="GRO26" s="204"/>
      <c r="GRP26" s="204"/>
      <c r="GRQ26" s="204"/>
      <c r="GRR26" s="204"/>
      <c r="GRS26" s="204"/>
      <c r="GRT26" s="204"/>
      <c r="GRU26" s="204"/>
      <c r="GRV26" s="204"/>
      <c r="GRW26" s="204"/>
      <c r="GRX26" s="204"/>
      <c r="GRY26" s="204"/>
      <c r="GRZ26" s="204"/>
      <c r="GSA26" s="204"/>
      <c r="GSB26" s="204"/>
      <c r="GSC26" s="204"/>
      <c r="GSD26" s="204"/>
      <c r="GSE26" s="204"/>
      <c r="GSF26" s="204"/>
      <c r="GSG26" s="204"/>
      <c r="GSH26" s="204"/>
      <c r="GSI26" s="204"/>
      <c r="GSJ26" s="204"/>
      <c r="GSK26" s="204"/>
      <c r="GSL26" s="204"/>
      <c r="GSM26" s="204"/>
      <c r="GSN26" s="204"/>
      <c r="GSO26" s="204"/>
      <c r="GSP26" s="204"/>
      <c r="GSQ26" s="204"/>
      <c r="GSR26" s="204"/>
      <c r="GSS26" s="204"/>
      <c r="GST26" s="204"/>
      <c r="GSU26" s="204"/>
      <c r="GSV26" s="204"/>
      <c r="GSW26" s="204"/>
      <c r="GSX26" s="204"/>
      <c r="GSY26" s="204"/>
      <c r="GSZ26" s="204"/>
      <c r="GTA26" s="204"/>
      <c r="GTB26" s="204"/>
      <c r="GTC26" s="204"/>
      <c r="GTD26" s="204"/>
      <c r="GTE26" s="204"/>
      <c r="GTF26" s="204"/>
      <c r="GTG26" s="204"/>
      <c r="GTH26" s="204"/>
      <c r="GTI26" s="204"/>
      <c r="GTJ26" s="204"/>
      <c r="GTK26" s="204"/>
      <c r="GTL26" s="204"/>
      <c r="GTM26" s="204"/>
      <c r="GTN26" s="204"/>
      <c r="GTO26" s="204"/>
      <c r="GTP26" s="204"/>
      <c r="GTQ26" s="204"/>
      <c r="GTR26" s="204"/>
      <c r="GTS26" s="204"/>
      <c r="GTT26" s="204"/>
      <c r="GTU26" s="204"/>
      <c r="GTV26" s="204"/>
      <c r="GTW26" s="204"/>
      <c r="GTX26" s="204"/>
      <c r="GTY26" s="204"/>
      <c r="GTZ26" s="204"/>
      <c r="GUA26" s="204"/>
      <c r="GUB26" s="204"/>
      <c r="GUC26" s="204"/>
      <c r="GUD26" s="204"/>
      <c r="GUE26" s="204"/>
      <c r="GUF26" s="204"/>
      <c r="GUG26" s="204"/>
      <c r="GUH26" s="204"/>
      <c r="GUI26" s="204"/>
      <c r="GUJ26" s="204"/>
      <c r="GUK26" s="204"/>
      <c r="GUL26" s="204"/>
      <c r="GUM26" s="204"/>
      <c r="GUN26" s="204"/>
      <c r="GUO26" s="204"/>
      <c r="GUP26" s="204"/>
      <c r="GUQ26" s="204"/>
      <c r="GUR26" s="204"/>
      <c r="GUS26" s="204"/>
      <c r="GUT26" s="204"/>
      <c r="GUU26" s="204"/>
      <c r="GUV26" s="204"/>
      <c r="GUW26" s="204"/>
      <c r="GUX26" s="204"/>
      <c r="GUY26" s="204"/>
      <c r="GUZ26" s="204"/>
      <c r="GVA26" s="204"/>
      <c r="GVB26" s="204"/>
      <c r="GVC26" s="204"/>
      <c r="GVD26" s="204"/>
      <c r="GVE26" s="204"/>
      <c r="GVF26" s="204"/>
      <c r="GVG26" s="204"/>
      <c r="GVH26" s="204"/>
      <c r="GVI26" s="204"/>
      <c r="GVJ26" s="204"/>
      <c r="GVK26" s="204"/>
      <c r="GVL26" s="204"/>
      <c r="GVM26" s="204"/>
      <c r="GVN26" s="204"/>
      <c r="GVO26" s="204"/>
      <c r="GVP26" s="204"/>
      <c r="GVQ26" s="204"/>
      <c r="GVR26" s="204"/>
      <c r="GVS26" s="204"/>
      <c r="GVT26" s="204"/>
      <c r="GVU26" s="204"/>
      <c r="GVV26" s="204"/>
      <c r="GVW26" s="204"/>
      <c r="GVX26" s="204"/>
      <c r="GVY26" s="204"/>
      <c r="GVZ26" s="204"/>
      <c r="GWA26" s="204"/>
      <c r="GWB26" s="204"/>
      <c r="GWC26" s="204"/>
      <c r="GWD26" s="204"/>
      <c r="GWE26" s="204"/>
      <c r="GWF26" s="204"/>
      <c r="GWG26" s="204"/>
      <c r="GWH26" s="204"/>
      <c r="GWI26" s="204"/>
      <c r="GWJ26" s="204"/>
      <c r="GWK26" s="204"/>
      <c r="GWL26" s="204"/>
      <c r="GWM26" s="204"/>
      <c r="GWN26" s="204"/>
      <c r="GWO26" s="204"/>
      <c r="GWP26" s="204"/>
      <c r="GWQ26" s="204"/>
      <c r="GWR26" s="204"/>
      <c r="GWS26" s="204"/>
      <c r="GWT26" s="204"/>
      <c r="GWU26" s="204"/>
      <c r="GWV26" s="204"/>
      <c r="GWW26" s="204"/>
      <c r="GWX26" s="204"/>
      <c r="GWY26" s="204"/>
      <c r="GWZ26" s="204"/>
      <c r="GXA26" s="204"/>
      <c r="GXB26" s="204"/>
      <c r="GXC26" s="204"/>
      <c r="GXD26" s="204"/>
      <c r="GXE26" s="204"/>
      <c r="GXF26" s="204"/>
      <c r="GXG26" s="204"/>
      <c r="GXH26" s="204"/>
      <c r="GXI26" s="204"/>
      <c r="GXJ26" s="204"/>
      <c r="GXK26" s="204"/>
      <c r="GXL26" s="204"/>
      <c r="GXM26" s="204"/>
      <c r="GXN26" s="204"/>
      <c r="GXO26" s="204"/>
      <c r="GXP26" s="204"/>
      <c r="GXQ26" s="204"/>
      <c r="GXR26" s="204"/>
      <c r="GXS26" s="204"/>
      <c r="GXT26" s="204"/>
      <c r="GXU26" s="204"/>
      <c r="GXV26" s="204"/>
      <c r="GXW26" s="204"/>
      <c r="GXX26" s="204"/>
      <c r="GXY26" s="204"/>
      <c r="GXZ26" s="204"/>
      <c r="GYA26" s="204"/>
      <c r="GYB26" s="204"/>
      <c r="GYC26" s="204"/>
      <c r="GYD26" s="204"/>
      <c r="GYE26" s="204"/>
      <c r="GYF26" s="204"/>
      <c r="GYG26" s="204"/>
      <c r="GYH26" s="204"/>
      <c r="GYI26" s="204"/>
      <c r="GYJ26" s="204"/>
      <c r="GYK26" s="204"/>
      <c r="GYL26" s="204"/>
      <c r="GYM26" s="204"/>
      <c r="GYN26" s="204"/>
      <c r="GYO26" s="204"/>
      <c r="GYP26" s="204"/>
      <c r="GYQ26" s="204"/>
      <c r="GYR26" s="204"/>
      <c r="GYS26" s="204"/>
      <c r="GYT26" s="204"/>
      <c r="GYU26" s="204"/>
      <c r="GYV26" s="204"/>
      <c r="GYW26" s="204"/>
      <c r="GYX26" s="204"/>
      <c r="GYY26" s="204"/>
      <c r="GYZ26" s="204"/>
      <c r="GZA26" s="204"/>
      <c r="GZB26" s="204"/>
      <c r="GZC26" s="204"/>
      <c r="GZD26" s="204"/>
      <c r="GZE26" s="204"/>
      <c r="GZF26" s="204"/>
      <c r="GZG26" s="204"/>
      <c r="GZH26" s="204"/>
      <c r="GZI26" s="204"/>
      <c r="GZJ26" s="204"/>
      <c r="GZK26" s="204"/>
      <c r="GZL26" s="204"/>
      <c r="GZM26" s="204"/>
      <c r="GZN26" s="204"/>
      <c r="GZO26" s="204"/>
      <c r="GZP26" s="204"/>
      <c r="GZQ26" s="204"/>
      <c r="GZR26" s="204"/>
      <c r="GZS26" s="204"/>
      <c r="GZT26" s="204"/>
      <c r="GZU26" s="204"/>
      <c r="GZV26" s="204"/>
      <c r="GZW26" s="204"/>
      <c r="GZX26" s="204"/>
      <c r="GZY26" s="204"/>
      <c r="GZZ26" s="204"/>
      <c r="HAA26" s="204"/>
      <c r="HAB26" s="204"/>
      <c r="HAC26" s="204"/>
      <c r="HAD26" s="204"/>
      <c r="HAE26" s="204"/>
      <c r="HAF26" s="204"/>
      <c r="HAG26" s="204"/>
      <c r="HAH26" s="204"/>
      <c r="HAI26" s="204"/>
      <c r="HAJ26" s="204"/>
      <c r="HAK26" s="204"/>
      <c r="HAL26" s="204"/>
      <c r="HAM26" s="204"/>
      <c r="HAN26" s="204"/>
      <c r="HAO26" s="204"/>
      <c r="HAP26" s="204"/>
      <c r="HAQ26" s="204"/>
      <c r="HAR26" s="204"/>
      <c r="HAS26" s="204"/>
      <c r="HAT26" s="204"/>
      <c r="HAU26" s="204"/>
      <c r="HAV26" s="204"/>
      <c r="HAW26" s="204"/>
      <c r="HAX26" s="204"/>
      <c r="HAY26" s="204"/>
      <c r="HAZ26" s="204"/>
      <c r="HBA26" s="204"/>
      <c r="HBB26" s="204"/>
      <c r="HBC26" s="204"/>
      <c r="HBD26" s="204"/>
      <c r="HBE26" s="204"/>
      <c r="HBF26" s="204"/>
      <c r="HBG26" s="204"/>
      <c r="HBH26" s="204"/>
      <c r="HBI26" s="204"/>
      <c r="HBJ26" s="204"/>
      <c r="HBK26" s="204"/>
      <c r="HBL26" s="204"/>
      <c r="HBM26" s="204"/>
      <c r="HBN26" s="204"/>
      <c r="HBO26" s="204"/>
      <c r="HBP26" s="204"/>
      <c r="HBQ26" s="204"/>
      <c r="HBR26" s="204"/>
      <c r="HBS26" s="204"/>
      <c r="HBT26" s="204"/>
      <c r="HBU26" s="204"/>
      <c r="HBV26" s="204"/>
      <c r="HBW26" s="204"/>
      <c r="HBX26" s="204"/>
      <c r="HBY26" s="204"/>
      <c r="HBZ26" s="204"/>
      <c r="HCA26" s="204"/>
      <c r="HCB26" s="204"/>
      <c r="HCC26" s="204"/>
      <c r="HCD26" s="204"/>
      <c r="HCE26" s="204"/>
      <c r="HCF26" s="204"/>
      <c r="HCG26" s="204"/>
      <c r="HCH26" s="204"/>
      <c r="HCI26" s="204"/>
      <c r="HCJ26" s="204"/>
      <c r="HCK26" s="204"/>
      <c r="HCL26" s="204"/>
      <c r="HCM26" s="204"/>
      <c r="HCN26" s="204"/>
      <c r="HCO26" s="204"/>
      <c r="HCP26" s="204"/>
      <c r="HCQ26" s="204"/>
      <c r="HCR26" s="204"/>
      <c r="HCS26" s="204"/>
      <c r="HCT26" s="204"/>
      <c r="HCU26" s="204"/>
      <c r="HCV26" s="204"/>
      <c r="HCW26" s="204"/>
      <c r="HCX26" s="204"/>
      <c r="HCY26" s="204"/>
      <c r="HCZ26" s="204"/>
      <c r="HDA26" s="204"/>
      <c r="HDB26" s="204"/>
      <c r="HDC26" s="204"/>
      <c r="HDD26" s="204"/>
      <c r="HDE26" s="204"/>
      <c r="HDF26" s="204"/>
      <c r="HDG26" s="204"/>
      <c r="HDH26" s="204"/>
      <c r="HDI26" s="204"/>
      <c r="HDJ26" s="204"/>
      <c r="HDK26" s="204"/>
      <c r="HDL26" s="204"/>
      <c r="HDM26" s="204"/>
      <c r="HDN26" s="204"/>
      <c r="HDO26" s="204"/>
      <c r="HDP26" s="204"/>
      <c r="HDQ26" s="204"/>
      <c r="HDR26" s="204"/>
      <c r="HDS26" s="204"/>
      <c r="HDT26" s="204"/>
      <c r="HDU26" s="204"/>
      <c r="HDV26" s="204"/>
      <c r="HDW26" s="204"/>
      <c r="HDX26" s="204"/>
      <c r="HDY26" s="204"/>
      <c r="HDZ26" s="204"/>
      <c r="HEA26" s="204"/>
      <c r="HEB26" s="204"/>
      <c r="HEC26" s="204"/>
      <c r="HED26" s="204"/>
      <c r="HEE26" s="204"/>
      <c r="HEF26" s="204"/>
      <c r="HEG26" s="204"/>
      <c r="HEH26" s="204"/>
      <c r="HEI26" s="204"/>
      <c r="HEJ26" s="204"/>
      <c r="HEK26" s="204"/>
      <c r="HEL26" s="204"/>
      <c r="HEM26" s="204"/>
      <c r="HEN26" s="204"/>
      <c r="HEO26" s="204"/>
      <c r="HEP26" s="204"/>
      <c r="HEQ26" s="204"/>
      <c r="HER26" s="204"/>
      <c r="HES26" s="204"/>
      <c r="HET26" s="204"/>
      <c r="HEU26" s="204"/>
      <c r="HEV26" s="204"/>
      <c r="HEW26" s="204"/>
      <c r="HEX26" s="204"/>
      <c r="HEY26" s="204"/>
      <c r="HEZ26" s="204"/>
      <c r="HFA26" s="204"/>
      <c r="HFB26" s="204"/>
      <c r="HFC26" s="204"/>
      <c r="HFD26" s="204"/>
      <c r="HFE26" s="204"/>
      <c r="HFF26" s="204"/>
      <c r="HFG26" s="204"/>
      <c r="HFH26" s="204"/>
      <c r="HFI26" s="204"/>
      <c r="HFJ26" s="204"/>
      <c r="HFK26" s="204"/>
      <c r="HFL26" s="204"/>
      <c r="HFM26" s="204"/>
      <c r="HFN26" s="204"/>
      <c r="HFO26" s="204"/>
      <c r="HFP26" s="204"/>
      <c r="HFQ26" s="204"/>
      <c r="HFR26" s="204"/>
      <c r="HFS26" s="204"/>
      <c r="HFT26" s="204"/>
      <c r="HFU26" s="204"/>
      <c r="HFV26" s="204"/>
      <c r="HFW26" s="204"/>
      <c r="HFX26" s="204"/>
      <c r="HFY26" s="204"/>
      <c r="HFZ26" s="204"/>
      <c r="HGA26" s="204"/>
      <c r="HGB26" s="204"/>
      <c r="HGC26" s="204"/>
      <c r="HGD26" s="204"/>
      <c r="HGE26" s="204"/>
      <c r="HGF26" s="204"/>
      <c r="HGG26" s="204"/>
      <c r="HGH26" s="204"/>
      <c r="HGI26" s="204"/>
      <c r="HGJ26" s="204"/>
      <c r="HGK26" s="204"/>
      <c r="HGL26" s="204"/>
      <c r="HGM26" s="204"/>
      <c r="HGN26" s="204"/>
      <c r="HGO26" s="204"/>
      <c r="HGP26" s="204"/>
      <c r="HGQ26" s="204"/>
      <c r="HGR26" s="204"/>
      <c r="HGS26" s="204"/>
      <c r="HGT26" s="204"/>
      <c r="HGU26" s="204"/>
      <c r="HGV26" s="204"/>
      <c r="HGW26" s="204"/>
      <c r="HGX26" s="204"/>
      <c r="HGY26" s="204"/>
      <c r="HGZ26" s="204"/>
      <c r="HHA26" s="204"/>
      <c r="HHB26" s="204"/>
      <c r="HHC26" s="204"/>
      <c r="HHD26" s="204"/>
      <c r="HHE26" s="204"/>
      <c r="HHF26" s="204"/>
      <c r="HHG26" s="204"/>
      <c r="HHH26" s="204"/>
      <c r="HHI26" s="204"/>
      <c r="HHJ26" s="204"/>
      <c r="HHK26" s="204"/>
      <c r="HHL26" s="204"/>
      <c r="HHM26" s="204"/>
      <c r="HHN26" s="204"/>
      <c r="HHO26" s="204"/>
      <c r="HHP26" s="204"/>
      <c r="HHQ26" s="204"/>
      <c r="HHR26" s="204"/>
      <c r="HHS26" s="204"/>
      <c r="HHT26" s="204"/>
      <c r="HHU26" s="204"/>
      <c r="HHV26" s="204"/>
      <c r="HHW26" s="204"/>
      <c r="HHX26" s="204"/>
      <c r="HHY26" s="204"/>
      <c r="HHZ26" s="204"/>
      <c r="HIA26" s="204"/>
      <c r="HIB26" s="204"/>
      <c r="HIC26" s="204"/>
      <c r="HID26" s="204"/>
      <c r="HIE26" s="204"/>
      <c r="HIF26" s="204"/>
      <c r="HIG26" s="204"/>
      <c r="HIH26" s="204"/>
      <c r="HII26" s="204"/>
      <c r="HIJ26" s="204"/>
      <c r="HIK26" s="204"/>
      <c r="HIL26" s="204"/>
      <c r="HIM26" s="204"/>
      <c r="HIN26" s="204"/>
      <c r="HIO26" s="204"/>
      <c r="HIP26" s="204"/>
      <c r="HIQ26" s="204"/>
      <c r="HIR26" s="204"/>
      <c r="HIS26" s="204"/>
      <c r="HIT26" s="204"/>
      <c r="HIU26" s="204"/>
      <c r="HIV26" s="204"/>
      <c r="HIW26" s="204"/>
      <c r="HIX26" s="204"/>
      <c r="HIY26" s="204"/>
      <c r="HIZ26" s="204"/>
      <c r="HJA26" s="204"/>
      <c r="HJB26" s="204"/>
      <c r="HJC26" s="204"/>
      <c r="HJD26" s="204"/>
      <c r="HJE26" s="204"/>
      <c r="HJF26" s="204"/>
      <c r="HJG26" s="204"/>
      <c r="HJH26" s="204"/>
      <c r="HJI26" s="204"/>
      <c r="HJJ26" s="204"/>
      <c r="HJK26" s="204"/>
      <c r="HJL26" s="204"/>
      <c r="HJM26" s="204"/>
      <c r="HJN26" s="204"/>
      <c r="HJO26" s="204"/>
      <c r="HJP26" s="204"/>
      <c r="HJQ26" s="204"/>
      <c r="HJR26" s="204"/>
      <c r="HJS26" s="204"/>
      <c r="HJT26" s="204"/>
      <c r="HJU26" s="204"/>
      <c r="HJV26" s="204"/>
      <c r="HJW26" s="204"/>
      <c r="HJX26" s="204"/>
      <c r="HJY26" s="204"/>
      <c r="HJZ26" s="204"/>
      <c r="HKA26" s="204"/>
      <c r="HKB26" s="204"/>
      <c r="HKC26" s="204"/>
      <c r="HKD26" s="204"/>
      <c r="HKE26" s="204"/>
      <c r="HKF26" s="204"/>
      <c r="HKG26" s="204"/>
      <c r="HKH26" s="204"/>
      <c r="HKI26" s="204"/>
      <c r="HKJ26" s="204"/>
      <c r="HKK26" s="204"/>
      <c r="HKL26" s="204"/>
      <c r="HKM26" s="204"/>
      <c r="HKN26" s="204"/>
      <c r="HKO26" s="204"/>
      <c r="HKP26" s="204"/>
      <c r="HKQ26" s="204"/>
      <c r="HKR26" s="204"/>
      <c r="HKS26" s="204"/>
      <c r="HKT26" s="204"/>
      <c r="HKU26" s="204"/>
      <c r="HKV26" s="204"/>
      <c r="HKW26" s="204"/>
      <c r="HKX26" s="204"/>
      <c r="HKY26" s="204"/>
      <c r="HKZ26" s="204"/>
      <c r="HLA26" s="204"/>
      <c r="HLB26" s="204"/>
      <c r="HLC26" s="204"/>
      <c r="HLD26" s="204"/>
      <c r="HLE26" s="204"/>
      <c r="HLF26" s="204"/>
      <c r="HLG26" s="204"/>
      <c r="HLH26" s="204"/>
      <c r="HLI26" s="204"/>
      <c r="HLJ26" s="204"/>
      <c r="HLK26" s="204"/>
      <c r="HLL26" s="204"/>
      <c r="HLM26" s="204"/>
      <c r="HLN26" s="204"/>
      <c r="HLO26" s="204"/>
      <c r="HLP26" s="204"/>
      <c r="HLQ26" s="204"/>
      <c r="HLR26" s="204"/>
      <c r="HLS26" s="204"/>
      <c r="HLT26" s="204"/>
      <c r="HLU26" s="204"/>
      <c r="HLV26" s="204"/>
      <c r="HLW26" s="204"/>
      <c r="HLX26" s="204"/>
      <c r="HLY26" s="204"/>
      <c r="HLZ26" s="204"/>
      <c r="HMA26" s="204"/>
      <c r="HMB26" s="204"/>
      <c r="HMC26" s="204"/>
      <c r="HMD26" s="204"/>
      <c r="HME26" s="204"/>
      <c r="HMF26" s="204"/>
      <c r="HMG26" s="204"/>
      <c r="HMH26" s="204"/>
      <c r="HMI26" s="204"/>
      <c r="HMJ26" s="204"/>
      <c r="HMK26" s="204"/>
      <c r="HML26" s="204"/>
      <c r="HMM26" s="204"/>
      <c r="HMN26" s="204"/>
      <c r="HMO26" s="204"/>
      <c r="HMP26" s="204"/>
      <c r="HMQ26" s="204"/>
      <c r="HMR26" s="204"/>
      <c r="HMS26" s="204"/>
      <c r="HMT26" s="204"/>
      <c r="HMU26" s="204"/>
      <c r="HMV26" s="204"/>
      <c r="HMW26" s="204"/>
      <c r="HMX26" s="204"/>
      <c r="HMY26" s="204"/>
      <c r="HMZ26" s="204"/>
      <c r="HNA26" s="204"/>
      <c r="HNB26" s="204"/>
      <c r="HNC26" s="204"/>
      <c r="HND26" s="204"/>
      <c r="HNE26" s="204"/>
      <c r="HNF26" s="204"/>
      <c r="HNG26" s="204"/>
      <c r="HNH26" s="204"/>
      <c r="HNI26" s="204"/>
      <c r="HNJ26" s="204"/>
      <c r="HNK26" s="204"/>
      <c r="HNL26" s="204"/>
      <c r="HNM26" s="204"/>
      <c r="HNN26" s="204"/>
      <c r="HNO26" s="204"/>
      <c r="HNP26" s="204"/>
      <c r="HNQ26" s="204"/>
      <c r="HNR26" s="204"/>
      <c r="HNS26" s="204"/>
      <c r="HNT26" s="204"/>
      <c r="HNU26" s="204"/>
      <c r="HNV26" s="204"/>
      <c r="HNW26" s="204"/>
      <c r="HNX26" s="204"/>
      <c r="HNY26" s="204"/>
      <c r="HNZ26" s="204"/>
      <c r="HOA26" s="204"/>
      <c r="HOB26" s="204"/>
      <c r="HOC26" s="204"/>
      <c r="HOD26" s="204"/>
      <c r="HOE26" s="204"/>
      <c r="HOF26" s="204"/>
      <c r="HOG26" s="204"/>
      <c r="HOH26" s="204"/>
      <c r="HOI26" s="204"/>
      <c r="HOJ26" s="204"/>
      <c r="HOK26" s="204"/>
      <c r="HOL26" s="204"/>
      <c r="HOM26" s="204"/>
      <c r="HON26" s="204"/>
      <c r="HOO26" s="204"/>
      <c r="HOP26" s="204"/>
      <c r="HOQ26" s="204"/>
      <c r="HOR26" s="204"/>
      <c r="HOS26" s="204"/>
      <c r="HOT26" s="204"/>
      <c r="HOU26" s="204"/>
      <c r="HOV26" s="204"/>
      <c r="HOW26" s="204"/>
      <c r="HOX26" s="204"/>
      <c r="HOY26" s="204"/>
      <c r="HOZ26" s="204"/>
      <c r="HPA26" s="204"/>
      <c r="HPB26" s="204"/>
      <c r="HPC26" s="204"/>
      <c r="HPD26" s="204"/>
      <c r="HPE26" s="204"/>
      <c r="HPF26" s="204"/>
      <c r="HPG26" s="204"/>
      <c r="HPH26" s="204"/>
      <c r="HPI26" s="204"/>
      <c r="HPJ26" s="204"/>
      <c r="HPK26" s="204"/>
      <c r="HPL26" s="204"/>
      <c r="HPM26" s="204"/>
      <c r="HPN26" s="204"/>
      <c r="HPO26" s="204"/>
      <c r="HPP26" s="204"/>
      <c r="HPQ26" s="204"/>
      <c r="HPR26" s="204"/>
      <c r="HPS26" s="204"/>
      <c r="HPT26" s="204"/>
      <c r="HPU26" s="204"/>
      <c r="HPV26" s="204"/>
      <c r="HPW26" s="204"/>
      <c r="HPX26" s="204"/>
      <c r="HPY26" s="204"/>
      <c r="HPZ26" s="204"/>
      <c r="HQA26" s="204"/>
      <c r="HQB26" s="204"/>
      <c r="HQC26" s="204"/>
      <c r="HQD26" s="204"/>
      <c r="HQE26" s="204"/>
      <c r="HQF26" s="204"/>
      <c r="HQG26" s="204"/>
      <c r="HQH26" s="204"/>
      <c r="HQI26" s="204"/>
      <c r="HQJ26" s="204"/>
      <c r="HQK26" s="204"/>
      <c r="HQL26" s="204"/>
      <c r="HQM26" s="204"/>
      <c r="HQN26" s="204"/>
      <c r="HQO26" s="204"/>
      <c r="HQP26" s="204"/>
      <c r="HQQ26" s="204"/>
      <c r="HQR26" s="204"/>
      <c r="HQS26" s="204"/>
      <c r="HQT26" s="204"/>
      <c r="HQU26" s="204"/>
      <c r="HQV26" s="204"/>
      <c r="HQW26" s="204"/>
      <c r="HQX26" s="204"/>
      <c r="HQY26" s="204"/>
      <c r="HQZ26" s="204"/>
      <c r="HRA26" s="204"/>
      <c r="HRB26" s="204"/>
      <c r="HRC26" s="204"/>
      <c r="HRD26" s="204"/>
      <c r="HRE26" s="204"/>
      <c r="HRF26" s="204"/>
      <c r="HRG26" s="204"/>
      <c r="HRH26" s="204"/>
      <c r="HRI26" s="204"/>
      <c r="HRJ26" s="204"/>
      <c r="HRK26" s="204"/>
      <c r="HRL26" s="204"/>
      <c r="HRM26" s="204"/>
      <c r="HRN26" s="204"/>
      <c r="HRO26" s="204"/>
      <c r="HRP26" s="204"/>
      <c r="HRQ26" s="204"/>
      <c r="HRR26" s="204"/>
      <c r="HRS26" s="204"/>
      <c r="HRT26" s="204"/>
      <c r="HRU26" s="204"/>
      <c r="HRV26" s="204"/>
      <c r="HRW26" s="204"/>
      <c r="HRX26" s="204"/>
      <c r="HRY26" s="204"/>
      <c r="HRZ26" s="204"/>
      <c r="HSA26" s="204"/>
      <c r="HSB26" s="204"/>
      <c r="HSC26" s="204"/>
      <c r="HSD26" s="204"/>
      <c r="HSE26" s="204"/>
      <c r="HSF26" s="204"/>
      <c r="HSG26" s="204"/>
      <c r="HSH26" s="204"/>
      <c r="HSI26" s="204"/>
      <c r="HSJ26" s="204"/>
      <c r="HSK26" s="204"/>
      <c r="HSL26" s="204"/>
      <c r="HSM26" s="204"/>
      <c r="HSN26" s="204"/>
      <c r="HSO26" s="204"/>
      <c r="HSP26" s="204"/>
      <c r="HSQ26" s="204"/>
      <c r="HSR26" s="204"/>
      <c r="HSS26" s="204"/>
      <c r="HST26" s="204"/>
      <c r="HSU26" s="204"/>
      <c r="HSV26" s="204"/>
      <c r="HSW26" s="204"/>
      <c r="HSX26" s="204"/>
      <c r="HSY26" s="204"/>
      <c r="HSZ26" s="204"/>
      <c r="HTA26" s="204"/>
      <c r="HTB26" s="204"/>
      <c r="HTC26" s="204"/>
      <c r="HTD26" s="204"/>
      <c r="HTE26" s="204"/>
      <c r="HTF26" s="204"/>
      <c r="HTG26" s="204"/>
      <c r="HTH26" s="204"/>
      <c r="HTI26" s="204"/>
      <c r="HTJ26" s="204"/>
      <c r="HTK26" s="204"/>
      <c r="HTL26" s="204"/>
      <c r="HTM26" s="204"/>
      <c r="HTN26" s="204"/>
      <c r="HTO26" s="204"/>
      <c r="HTP26" s="204"/>
      <c r="HTQ26" s="204"/>
      <c r="HTR26" s="204"/>
      <c r="HTS26" s="204"/>
      <c r="HTT26" s="204"/>
      <c r="HTU26" s="204"/>
      <c r="HTV26" s="204"/>
      <c r="HTW26" s="204"/>
      <c r="HTX26" s="204"/>
      <c r="HTY26" s="204"/>
      <c r="HTZ26" s="204"/>
      <c r="HUA26" s="204"/>
      <c r="HUB26" s="204"/>
      <c r="HUC26" s="204"/>
      <c r="HUD26" s="204"/>
      <c r="HUE26" s="204"/>
      <c r="HUF26" s="204"/>
      <c r="HUG26" s="204"/>
      <c r="HUH26" s="204"/>
      <c r="HUI26" s="204"/>
      <c r="HUJ26" s="204"/>
      <c r="HUK26" s="204"/>
      <c r="HUL26" s="204"/>
      <c r="HUM26" s="204"/>
      <c r="HUN26" s="204"/>
      <c r="HUO26" s="204"/>
      <c r="HUP26" s="204"/>
      <c r="HUQ26" s="204"/>
      <c r="HUR26" s="204"/>
      <c r="HUS26" s="204"/>
      <c r="HUT26" s="204"/>
      <c r="HUU26" s="204"/>
      <c r="HUV26" s="204"/>
      <c r="HUW26" s="204"/>
      <c r="HUX26" s="204"/>
      <c r="HUY26" s="204"/>
      <c r="HUZ26" s="204"/>
      <c r="HVA26" s="204"/>
      <c r="HVB26" s="204"/>
      <c r="HVC26" s="204"/>
      <c r="HVD26" s="204"/>
      <c r="HVE26" s="204"/>
      <c r="HVF26" s="204"/>
      <c r="HVG26" s="204"/>
      <c r="HVH26" s="204"/>
      <c r="HVI26" s="204"/>
      <c r="HVJ26" s="204"/>
      <c r="HVK26" s="204"/>
      <c r="HVL26" s="204"/>
      <c r="HVM26" s="204"/>
      <c r="HVN26" s="204"/>
      <c r="HVO26" s="204"/>
      <c r="HVP26" s="204"/>
      <c r="HVQ26" s="204"/>
      <c r="HVR26" s="204"/>
      <c r="HVS26" s="204"/>
      <c r="HVT26" s="204"/>
      <c r="HVU26" s="204"/>
      <c r="HVV26" s="204"/>
      <c r="HVW26" s="204"/>
      <c r="HVX26" s="204"/>
      <c r="HVY26" s="204"/>
      <c r="HVZ26" s="204"/>
      <c r="HWA26" s="204"/>
      <c r="HWB26" s="204"/>
      <c r="HWC26" s="204"/>
      <c r="HWD26" s="204"/>
      <c r="HWE26" s="204"/>
      <c r="HWF26" s="204"/>
      <c r="HWG26" s="204"/>
      <c r="HWH26" s="204"/>
      <c r="HWI26" s="204"/>
      <c r="HWJ26" s="204"/>
      <c r="HWK26" s="204"/>
      <c r="HWL26" s="204"/>
      <c r="HWM26" s="204"/>
      <c r="HWN26" s="204"/>
      <c r="HWO26" s="204"/>
      <c r="HWP26" s="204"/>
      <c r="HWQ26" s="204"/>
      <c r="HWR26" s="204"/>
      <c r="HWS26" s="204"/>
      <c r="HWT26" s="204"/>
      <c r="HWU26" s="204"/>
      <c r="HWV26" s="204"/>
      <c r="HWW26" s="204"/>
      <c r="HWX26" s="204"/>
      <c r="HWY26" s="204"/>
      <c r="HWZ26" s="204"/>
      <c r="HXA26" s="204"/>
      <c r="HXB26" s="204"/>
      <c r="HXC26" s="204"/>
      <c r="HXD26" s="204"/>
      <c r="HXE26" s="204"/>
      <c r="HXF26" s="204"/>
      <c r="HXG26" s="204"/>
      <c r="HXH26" s="204"/>
      <c r="HXI26" s="204"/>
      <c r="HXJ26" s="204"/>
      <c r="HXK26" s="204"/>
      <c r="HXL26" s="204"/>
      <c r="HXM26" s="204"/>
      <c r="HXN26" s="204"/>
      <c r="HXO26" s="204"/>
      <c r="HXP26" s="204"/>
      <c r="HXQ26" s="204"/>
      <c r="HXR26" s="204"/>
      <c r="HXS26" s="204"/>
      <c r="HXT26" s="204"/>
      <c r="HXU26" s="204"/>
      <c r="HXV26" s="204"/>
      <c r="HXW26" s="204"/>
      <c r="HXX26" s="204"/>
      <c r="HXY26" s="204"/>
      <c r="HXZ26" s="204"/>
      <c r="HYA26" s="204"/>
      <c r="HYB26" s="204"/>
      <c r="HYC26" s="204"/>
      <c r="HYD26" s="204"/>
      <c r="HYE26" s="204"/>
      <c r="HYF26" s="204"/>
      <c r="HYG26" s="204"/>
      <c r="HYH26" s="204"/>
      <c r="HYI26" s="204"/>
      <c r="HYJ26" s="204"/>
      <c r="HYK26" s="204"/>
      <c r="HYL26" s="204"/>
      <c r="HYM26" s="204"/>
      <c r="HYN26" s="204"/>
      <c r="HYO26" s="204"/>
      <c r="HYP26" s="204"/>
      <c r="HYQ26" s="204"/>
      <c r="HYR26" s="204"/>
      <c r="HYS26" s="204"/>
      <c r="HYT26" s="204"/>
      <c r="HYU26" s="204"/>
      <c r="HYV26" s="204"/>
      <c r="HYW26" s="204"/>
      <c r="HYX26" s="204"/>
      <c r="HYY26" s="204"/>
      <c r="HYZ26" s="204"/>
      <c r="HZA26" s="204"/>
      <c r="HZB26" s="204"/>
      <c r="HZC26" s="204"/>
      <c r="HZD26" s="204"/>
      <c r="HZE26" s="204"/>
      <c r="HZF26" s="204"/>
      <c r="HZG26" s="204"/>
      <c r="HZH26" s="204"/>
      <c r="HZI26" s="204"/>
      <c r="HZJ26" s="204"/>
      <c r="HZK26" s="204"/>
      <c r="HZL26" s="204"/>
      <c r="HZM26" s="204"/>
      <c r="HZN26" s="204"/>
      <c r="HZO26" s="204"/>
      <c r="HZP26" s="204"/>
      <c r="HZQ26" s="204"/>
      <c r="HZR26" s="204"/>
      <c r="HZS26" s="204"/>
      <c r="HZT26" s="204"/>
      <c r="HZU26" s="204"/>
      <c r="HZV26" s="204"/>
      <c r="HZW26" s="204"/>
      <c r="HZX26" s="204"/>
      <c r="HZY26" s="204"/>
      <c r="HZZ26" s="204"/>
      <c r="IAA26" s="204"/>
      <c r="IAB26" s="204"/>
      <c r="IAC26" s="204"/>
      <c r="IAD26" s="204"/>
      <c r="IAE26" s="204"/>
      <c r="IAF26" s="204"/>
      <c r="IAG26" s="204"/>
      <c r="IAH26" s="204"/>
      <c r="IAI26" s="204"/>
      <c r="IAJ26" s="204"/>
      <c r="IAK26" s="204"/>
      <c r="IAL26" s="204"/>
      <c r="IAM26" s="204"/>
      <c r="IAN26" s="204"/>
      <c r="IAO26" s="204"/>
      <c r="IAP26" s="204"/>
      <c r="IAQ26" s="204"/>
      <c r="IAR26" s="204"/>
      <c r="IAS26" s="204"/>
      <c r="IAT26" s="204"/>
      <c r="IAU26" s="204"/>
      <c r="IAV26" s="204"/>
      <c r="IAW26" s="204"/>
      <c r="IAX26" s="204"/>
      <c r="IAY26" s="204"/>
      <c r="IAZ26" s="204"/>
      <c r="IBA26" s="204"/>
      <c r="IBB26" s="204"/>
      <c r="IBC26" s="204"/>
      <c r="IBD26" s="204"/>
      <c r="IBE26" s="204"/>
      <c r="IBF26" s="204"/>
      <c r="IBG26" s="204"/>
      <c r="IBH26" s="204"/>
      <c r="IBI26" s="204"/>
      <c r="IBJ26" s="204"/>
      <c r="IBK26" s="204"/>
      <c r="IBL26" s="204"/>
      <c r="IBM26" s="204"/>
      <c r="IBN26" s="204"/>
      <c r="IBO26" s="204"/>
      <c r="IBP26" s="204"/>
      <c r="IBQ26" s="204"/>
      <c r="IBR26" s="204"/>
      <c r="IBS26" s="204"/>
      <c r="IBT26" s="204"/>
      <c r="IBU26" s="204"/>
      <c r="IBV26" s="204"/>
      <c r="IBW26" s="204"/>
      <c r="IBX26" s="204"/>
      <c r="IBY26" s="204"/>
      <c r="IBZ26" s="204"/>
      <c r="ICA26" s="204"/>
      <c r="ICB26" s="204"/>
      <c r="ICC26" s="204"/>
      <c r="ICD26" s="204"/>
      <c r="ICE26" s="204"/>
      <c r="ICF26" s="204"/>
      <c r="ICG26" s="204"/>
      <c r="ICH26" s="204"/>
      <c r="ICI26" s="204"/>
      <c r="ICJ26" s="204"/>
      <c r="ICK26" s="204"/>
      <c r="ICL26" s="204"/>
      <c r="ICM26" s="204"/>
      <c r="ICN26" s="204"/>
      <c r="ICO26" s="204"/>
      <c r="ICP26" s="204"/>
      <c r="ICQ26" s="204"/>
      <c r="ICR26" s="204"/>
      <c r="ICS26" s="204"/>
      <c r="ICT26" s="204"/>
      <c r="ICU26" s="204"/>
      <c r="ICV26" s="204"/>
      <c r="ICW26" s="204"/>
      <c r="ICX26" s="204"/>
      <c r="ICY26" s="204"/>
      <c r="ICZ26" s="204"/>
      <c r="IDA26" s="204"/>
      <c r="IDB26" s="204"/>
      <c r="IDC26" s="204"/>
      <c r="IDD26" s="204"/>
      <c r="IDE26" s="204"/>
      <c r="IDF26" s="204"/>
      <c r="IDG26" s="204"/>
      <c r="IDH26" s="204"/>
      <c r="IDI26" s="204"/>
      <c r="IDJ26" s="204"/>
      <c r="IDK26" s="204"/>
      <c r="IDL26" s="204"/>
      <c r="IDM26" s="204"/>
      <c r="IDN26" s="204"/>
      <c r="IDO26" s="204"/>
      <c r="IDP26" s="204"/>
      <c r="IDQ26" s="204"/>
      <c r="IDR26" s="204"/>
      <c r="IDS26" s="204"/>
      <c r="IDT26" s="204"/>
      <c r="IDU26" s="204"/>
      <c r="IDV26" s="204"/>
      <c r="IDW26" s="204"/>
      <c r="IDX26" s="204"/>
      <c r="IDY26" s="204"/>
      <c r="IDZ26" s="204"/>
      <c r="IEA26" s="204"/>
      <c r="IEB26" s="204"/>
      <c r="IEC26" s="204"/>
      <c r="IED26" s="204"/>
      <c r="IEE26" s="204"/>
      <c r="IEF26" s="204"/>
      <c r="IEG26" s="204"/>
      <c r="IEH26" s="204"/>
      <c r="IEI26" s="204"/>
      <c r="IEJ26" s="204"/>
      <c r="IEK26" s="204"/>
      <c r="IEL26" s="204"/>
      <c r="IEM26" s="204"/>
      <c r="IEN26" s="204"/>
      <c r="IEO26" s="204"/>
      <c r="IEP26" s="204"/>
      <c r="IEQ26" s="204"/>
      <c r="IER26" s="204"/>
      <c r="IES26" s="204"/>
      <c r="IET26" s="204"/>
      <c r="IEU26" s="204"/>
      <c r="IEV26" s="204"/>
      <c r="IEW26" s="204"/>
      <c r="IEX26" s="204"/>
      <c r="IEY26" s="204"/>
      <c r="IEZ26" s="204"/>
      <c r="IFA26" s="204"/>
      <c r="IFB26" s="204"/>
      <c r="IFC26" s="204"/>
      <c r="IFD26" s="204"/>
      <c r="IFE26" s="204"/>
      <c r="IFF26" s="204"/>
      <c r="IFG26" s="204"/>
      <c r="IFH26" s="204"/>
      <c r="IFI26" s="204"/>
      <c r="IFJ26" s="204"/>
      <c r="IFK26" s="204"/>
      <c r="IFL26" s="204"/>
      <c r="IFM26" s="204"/>
      <c r="IFN26" s="204"/>
      <c r="IFO26" s="204"/>
      <c r="IFP26" s="204"/>
      <c r="IFQ26" s="204"/>
      <c r="IFR26" s="204"/>
      <c r="IFS26" s="204"/>
      <c r="IFT26" s="204"/>
      <c r="IFU26" s="204"/>
      <c r="IFV26" s="204"/>
      <c r="IFW26" s="204"/>
      <c r="IFX26" s="204"/>
      <c r="IFY26" s="204"/>
      <c r="IFZ26" s="204"/>
      <c r="IGA26" s="204"/>
      <c r="IGB26" s="204"/>
      <c r="IGC26" s="204"/>
      <c r="IGD26" s="204"/>
      <c r="IGE26" s="204"/>
      <c r="IGF26" s="204"/>
      <c r="IGG26" s="204"/>
      <c r="IGH26" s="204"/>
      <c r="IGI26" s="204"/>
      <c r="IGJ26" s="204"/>
      <c r="IGK26" s="204"/>
      <c r="IGL26" s="204"/>
      <c r="IGM26" s="204"/>
      <c r="IGN26" s="204"/>
      <c r="IGO26" s="204"/>
      <c r="IGP26" s="204"/>
      <c r="IGQ26" s="204"/>
      <c r="IGR26" s="204"/>
      <c r="IGS26" s="204"/>
      <c r="IGT26" s="204"/>
      <c r="IGU26" s="204"/>
      <c r="IGV26" s="204"/>
      <c r="IGW26" s="204"/>
      <c r="IGX26" s="204"/>
      <c r="IGY26" s="204"/>
      <c r="IGZ26" s="204"/>
      <c r="IHA26" s="204"/>
      <c r="IHB26" s="204"/>
      <c r="IHC26" s="204"/>
      <c r="IHD26" s="204"/>
      <c r="IHE26" s="204"/>
      <c r="IHF26" s="204"/>
      <c r="IHG26" s="204"/>
      <c r="IHH26" s="204"/>
      <c r="IHI26" s="204"/>
      <c r="IHJ26" s="204"/>
      <c r="IHK26" s="204"/>
      <c r="IHL26" s="204"/>
      <c r="IHM26" s="204"/>
      <c r="IHN26" s="204"/>
      <c r="IHO26" s="204"/>
      <c r="IHP26" s="204"/>
      <c r="IHQ26" s="204"/>
      <c r="IHR26" s="204"/>
      <c r="IHS26" s="204"/>
      <c r="IHT26" s="204"/>
      <c r="IHU26" s="204"/>
      <c r="IHV26" s="204"/>
      <c r="IHW26" s="204"/>
      <c r="IHX26" s="204"/>
      <c r="IHY26" s="204"/>
      <c r="IHZ26" s="204"/>
      <c r="IIA26" s="204"/>
      <c r="IIB26" s="204"/>
      <c r="IIC26" s="204"/>
      <c r="IID26" s="204"/>
      <c r="IIE26" s="204"/>
      <c r="IIF26" s="204"/>
      <c r="IIG26" s="204"/>
      <c r="IIH26" s="204"/>
      <c r="III26" s="204"/>
      <c r="IIJ26" s="204"/>
      <c r="IIK26" s="204"/>
      <c r="IIL26" s="204"/>
      <c r="IIM26" s="204"/>
      <c r="IIN26" s="204"/>
      <c r="IIO26" s="204"/>
      <c r="IIP26" s="204"/>
      <c r="IIQ26" s="204"/>
      <c r="IIR26" s="204"/>
      <c r="IIS26" s="204"/>
      <c r="IIT26" s="204"/>
      <c r="IIU26" s="204"/>
      <c r="IIV26" s="204"/>
      <c r="IIW26" s="204"/>
      <c r="IIX26" s="204"/>
      <c r="IIY26" s="204"/>
      <c r="IIZ26" s="204"/>
      <c r="IJA26" s="204"/>
      <c r="IJB26" s="204"/>
      <c r="IJC26" s="204"/>
      <c r="IJD26" s="204"/>
      <c r="IJE26" s="204"/>
      <c r="IJF26" s="204"/>
      <c r="IJG26" s="204"/>
      <c r="IJH26" s="204"/>
      <c r="IJI26" s="204"/>
      <c r="IJJ26" s="204"/>
      <c r="IJK26" s="204"/>
      <c r="IJL26" s="204"/>
      <c r="IJM26" s="204"/>
      <c r="IJN26" s="204"/>
      <c r="IJO26" s="204"/>
      <c r="IJP26" s="204"/>
      <c r="IJQ26" s="204"/>
      <c r="IJR26" s="204"/>
      <c r="IJS26" s="204"/>
      <c r="IJT26" s="204"/>
      <c r="IJU26" s="204"/>
      <c r="IJV26" s="204"/>
      <c r="IJW26" s="204"/>
      <c r="IJX26" s="204"/>
      <c r="IJY26" s="204"/>
      <c r="IJZ26" s="204"/>
      <c r="IKA26" s="204"/>
      <c r="IKB26" s="204"/>
      <c r="IKC26" s="204"/>
      <c r="IKD26" s="204"/>
      <c r="IKE26" s="204"/>
      <c r="IKF26" s="204"/>
      <c r="IKG26" s="204"/>
      <c r="IKH26" s="204"/>
      <c r="IKI26" s="204"/>
      <c r="IKJ26" s="204"/>
      <c r="IKK26" s="204"/>
      <c r="IKL26" s="204"/>
      <c r="IKM26" s="204"/>
      <c r="IKN26" s="204"/>
      <c r="IKO26" s="204"/>
      <c r="IKP26" s="204"/>
      <c r="IKQ26" s="204"/>
      <c r="IKR26" s="204"/>
      <c r="IKS26" s="204"/>
      <c r="IKT26" s="204"/>
      <c r="IKU26" s="204"/>
      <c r="IKV26" s="204"/>
      <c r="IKW26" s="204"/>
      <c r="IKX26" s="204"/>
      <c r="IKY26" s="204"/>
      <c r="IKZ26" s="204"/>
      <c r="ILA26" s="204"/>
      <c r="ILB26" s="204"/>
      <c r="ILC26" s="204"/>
      <c r="ILD26" s="204"/>
      <c r="ILE26" s="204"/>
      <c r="ILF26" s="204"/>
      <c r="ILG26" s="204"/>
      <c r="ILH26" s="204"/>
      <c r="ILI26" s="204"/>
      <c r="ILJ26" s="204"/>
      <c r="ILK26" s="204"/>
      <c r="ILL26" s="204"/>
      <c r="ILM26" s="204"/>
      <c r="ILN26" s="204"/>
      <c r="ILO26" s="204"/>
      <c r="ILP26" s="204"/>
      <c r="ILQ26" s="204"/>
      <c r="ILR26" s="204"/>
      <c r="ILS26" s="204"/>
      <c r="ILT26" s="204"/>
      <c r="ILU26" s="204"/>
      <c r="ILV26" s="204"/>
      <c r="ILW26" s="204"/>
      <c r="ILX26" s="204"/>
      <c r="ILY26" s="204"/>
      <c r="ILZ26" s="204"/>
      <c r="IMA26" s="204"/>
      <c r="IMB26" s="204"/>
      <c r="IMC26" s="204"/>
      <c r="IMD26" s="204"/>
      <c r="IME26" s="204"/>
      <c r="IMF26" s="204"/>
      <c r="IMG26" s="204"/>
      <c r="IMH26" s="204"/>
      <c r="IMI26" s="204"/>
      <c r="IMJ26" s="204"/>
      <c r="IMK26" s="204"/>
      <c r="IML26" s="204"/>
      <c r="IMM26" s="204"/>
      <c r="IMN26" s="204"/>
      <c r="IMO26" s="204"/>
      <c r="IMP26" s="204"/>
      <c r="IMQ26" s="204"/>
      <c r="IMR26" s="204"/>
      <c r="IMS26" s="204"/>
      <c r="IMT26" s="204"/>
      <c r="IMU26" s="204"/>
      <c r="IMV26" s="204"/>
      <c r="IMW26" s="204"/>
      <c r="IMX26" s="204"/>
      <c r="IMY26" s="204"/>
      <c r="IMZ26" s="204"/>
      <c r="INA26" s="204"/>
      <c r="INB26" s="204"/>
      <c r="INC26" s="204"/>
      <c r="IND26" s="204"/>
      <c r="INE26" s="204"/>
      <c r="INF26" s="204"/>
      <c r="ING26" s="204"/>
      <c r="INH26" s="204"/>
      <c r="INI26" s="204"/>
      <c r="INJ26" s="204"/>
      <c r="INK26" s="204"/>
      <c r="INL26" s="204"/>
      <c r="INM26" s="204"/>
      <c r="INN26" s="204"/>
      <c r="INO26" s="204"/>
      <c r="INP26" s="204"/>
      <c r="INQ26" s="204"/>
      <c r="INR26" s="204"/>
      <c r="INS26" s="204"/>
      <c r="INT26" s="204"/>
      <c r="INU26" s="204"/>
      <c r="INV26" s="204"/>
      <c r="INW26" s="204"/>
      <c r="INX26" s="204"/>
      <c r="INY26" s="204"/>
      <c r="INZ26" s="204"/>
      <c r="IOA26" s="204"/>
      <c r="IOB26" s="204"/>
      <c r="IOC26" s="204"/>
      <c r="IOD26" s="204"/>
      <c r="IOE26" s="204"/>
      <c r="IOF26" s="204"/>
      <c r="IOG26" s="204"/>
      <c r="IOH26" s="204"/>
      <c r="IOI26" s="204"/>
      <c r="IOJ26" s="204"/>
      <c r="IOK26" s="204"/>
      <c r="IOL26" s="204"/>
      <c r="IOM26" s="204"/>
      <c r="ION26" s="204"/>
      <c r="IOO26" s="204"/>
      <c r="IOP26" s="204"/>
      <c r="IOQ26" s="204"/>
      <c r="IOR26" s="204"/>
      <c r="IOS26" s="204"/>
      <c r="IOT26" s="204"/>
      <c r="IOU26" s="204"/>
      <c r="IOV26" s="204"/>
      <c r="IOW26" s="204"/>
      <c r="IOX26" s="204"/>
      <c r="IOY26" s="204"/>
      <c r="IOZ26" s="204"/>
      <c r="IPA26" s="204"/>
      <c r="IPB26" s="204"/>
      <c r="IPC26" s="204"/>
      <c r="IPD26" s="204"/>
      <c r="IPE26" s="204"/>
      <c r="IPF26" s="204"/>
      <c r="IPG26" s="204"/>
      <c r="IPH26" s="204"/>
      <c r="IPI26" s="204"/>
      <c r="IPJ26" s="204"/>
      <c r="IPK26" s="204"/>
      <c r="IPL26" s="204"/>
      <c r="IPM26" s="204"/>
      <c r="IPN26" s="204"/>
      <c r="IPO26" s="204"/>
      <c r="IPP26" s="204"/>
      <c r="IPQ26" s="204"/>
      <c r="IPR26" s="204"/>
      <c r="IPS26" s="204"/>
      <c r="IPT26" s="204"/>
      <c r="IPU26" s="204"/>
      <c r="IPV26" s="204"/>
      <c r="IPW26" s="204"/>
      <c r="IPX26" s="204"/>
      <c r="IPY26" s="204"/>
      <c r="IPZ26" s="204"/>
      <c r="IQA26" s="204"/>
      <c r="IQB26" s="204"/>
      <c r="IQC26" s="204"/>
      <c r="IQD26" s="204"/>
      <c r="IQE26" s="204"/>
      <c r="IQF26" s="204"/>
      <c r="IQG26" s="204"/>
      <c r="IQH26" s="204"/>
      <c r="IQI26" s="204"/>
      <c r="IQJ26" s="204"/>
      <c r="IQK26" s="204"/>
      <c r="IQL26" s="204"/>
      <c r="IQM26" s="204"/>
      <c r="IQN26" s="204"/>
      <c r="IQO26" s="204"/>
      <c r="IQP26" s="204"/>
      <c r="IQQ26" s="204"/>
      <c r="IQR26" s="204"/>
      <c r="IQS26" s="204"/>
      <c r="IQT26" s="204"/>
      <c r="IQU26" s="204"/>
      <c r="IQV26" s="204"/>
      <c r="IQW26" s="204"/>
      <c r="IQX26" s="204"/>
      <c r="IQY26" s="204"/>
      <c r="IQZ26" s="204"/>
      <c r="IRA26" s="204"/>
      <c r="IRB26" s="204"/>
      <c r="IRC26" s="204"/>
      <c r="IRD26" s="204"/>
      <c r="IRE26" s="204"/>
      <c r="IRF26" s="204"/>
      <c r="IRG26" s="204"/>
      <c r="IRH26" s="204"/>
      <c r="IRI26" s="204"/>
      <c r="IRJ26" s="204"/>
      <c r="IRK26" s="204"/>
      <c r="IRL26" s="204"/>
      <c r="IRM26" s="204"/>
      <c r="IRN26" s="204"/>
      <c r="IRO26" s="204"/>
      <c r="IRP26" s="204"/>
      <c r="IRQ26" s="204"/>
      <c r="IRR26" s="204"/>
      <c r="IRS26" s="204"/>
      <c r="IRT26" s="204"/>
      <c r="IRU26" s="204"/>
      <c r="IRV26" s="204"/>
      <c r="IRW26" s="204"/>
      <c r="IRX26" s="204"/>
      <c r="IRY26" s="204"/>
      <c r="IRZ26" s="204"/>
      <c r="ISA26" s="204"/>
      <c r="ISB26" s="204"/>
      <c r="ISC26" s="204"/>
      <c r="ISD26" s="204"/>
      <c r="ISE26" s="204"/>
      <c r="ISF26" s="204"/>
      <c r="ISG26" s="204"/>
      <c r="ISH26" s="204"/>
      <c r="ISI26" s="204"/>
      <c r="ISJ26" s="204"/>
      <c r="ISK26" s="204"/>
      <c r="ISL26" s="204"/>
      <c r="ISM26" s="204"/>
      <c r="ISN26" s="204"/>
      <c r="ISO26" s="204"/>
      <c r="ISP26" s="204"/>
      <c r="ISQ26" s="204"/>
      <c r="ISR26" s="204"/>
      <c r="ISS26" s="204"/>
      <c r="IST26" s="204"/>
      <c r="ISU26" s="204"/>
      <c r="ISV26" s="204"/>
      <c r="ISW26" s="204"/>
      <c r="ISX26" s="204"/>
      <c r="ISY26" s="204"/>
      <c r="ISZ26" s="204"/>
      <c r="ITA26" s="204"/>
      <c r="ITB26" s="204"/>
      <c r="ITC26" s="204"/>
      <c r="ITD26" s="204"/>
      <c r="ITE26" s="204"/>
      <c r="ITF26" s="204"/>
      <c r="ITG26" s="204"/>
      <c r="ITH26" s="204"/>
      <c r="ITI26" s="204"/>
      <c r="ITJ26" s="204"/>
      <c r="ITK26" s="204"/>
      <c r="ITL26" s="204"/>
      <c r="ITM26" s="204"/>
      <c r="ITN26" s="204"/>
      <c r="ITO26" s="204"/>
      <c r="ITP26" s="204"/>
      <c r="ITQ26" s="204"/>
      <c r="ITR26" s="204"/>
      <c r="ITS26" s="204"/>
      <c r="ITT26" s="204"/>
      <c r="ITU26" s="204"/>
      <c r="ITV26" s="204"/>
      <c r="ITW26" s="204"/>
      <c r="ITX26" s="204"/>
      <c r="ITY26" s="204"/>
      <c r="ITZ26" s="204"/>
      <c r="IUA26" s="204"/>
      <c r="IUB26" s="204"/>
      <c r="IUC26" s="204"/>
      <c r="IUD26" s="204"/>
      <c r="IUE26" s="204"/>
      <c r="IUF26" s="204"/>
      <c r="IUG26" s="204"/>
      <c r="IUH26" s="204"/>
      <c r="IUI26" s="204"/>
      <c r="IUJ26" s="204"/>
      <c r="IUK26" s="204"/>
      <c r="IUL26" s="204"/>
      <c r="IUM26" s="204"/>
      <c r="IUN26" s="204"/>
      <c r="IUO26" s="204"/>
      <c r="IUP26" s="204"/>
      <c r="IUQ26" s="204"/>
      <c r="IUR26" s="204"/>
      <c r="IUS26" s="204"/>
      <c r="IUT26" s="204"/>
      <c r="IUU26" s="204"/>
      <c r="IUV26" s="204"/>
      <c r="IUW26" s="204"/>
      <c r="IUX26" s="204"/>
      <c r="IUY26" s="204"/>
      <c r="IUZ26" s="204"/>
      <c r="IVA26" s="204"/>
      <c r="IVB26" s="204"/>
      <c r="IVC26" s="204"/>
      <c r="IVD26" s="204"/>
      <c r="IVE26" s="204"/>
      <c r="IVF26" s="204"/>
      <c r="IVG26" s="204"/>
      <c r="IVH26" s="204"/>
      <c r="IVI26" s="204"/>
      <c r="IVJ26" s="204"/>
      <c r="IVK26" s="204"/>
      <c r="IVL26" s="204"/>
      <c r="IVM26" s="204"/>
      <c r="IVN26" s="204"/>
      <c r="IVO26" s="204"/>
      <c r="IVP26" s="204"/>
      <c r="IVQ26" s="204"/>
      <c r="IVR26" s="204"/>
      <c r="IVS26" s="204"/>
      <c r="IVT26" s="204"/>
      <c r="IVU26" s="204"/>
      <c r="IVV26" s="204"/>
      <c r="IVW26" s="204"/>
      <c r="IVX26" s="204"/>
      <c r="IVY26" s="204"/>
      <c r="IVZ26" s="204"/>
      <c r="IWA26" s="204"/>
      <c r="IWB26" s="204"/>
      <c r="IWC26" s="204"/>
      <c r="IWD26" s="204"/>
      <c r="IWE26" s="204"/>
      <c r="IWF26" s="204"/>
      <c r="IWG26" s="204"/>
      <c r="IWH26" s="204"/>
      <c r="IWI26" s="204"/>
      <c r="IWJ26" s="204"/>
      <c r="IWK26" s="204"/>
      <c r="IWL26" s="204"/>
      <c r="IWM26" s="204"/>
      <c r="IWN26" s="204"/>
      <c r="IWO26" s="204"/>
      <c r="IWP26" s="204"/>
      <c r="IWQ26" s="204"/>
      <c r="IWR26" s="204"/>
      <c r="IWS26" s="204"/>
      <c r="IWT26" s="204"/>
      <c r="IWU26" s="204"/>
      <c r="IWV26" s="204"/>
      <c r="IWW26" s="204"/>
      <c r="IWX26" s="204"/>
      <c r="IWY26" s="204"/>
      <c r="IWZ26" s="204"/>
      <c r="IXA26" s="204"/>
      <c r="IXB26" s="204"/>
      <c r="IXC26" s="204"/>
      <c r="IXD26" s="204"/>
      <c r="IXE26" s="204"/>
      <c r="IXF26" s="204"/>
      <c r="IXG26" s="204"/>
      <c r="IXH26" s="204"/>
      <c r="IXI26" s="204"/>
      <c r="IXJ26" s="204"/>
      <c r="IXK26" s="204"/>
      <c r="IXL26" s="204"/>
      <c r="IXM26" s="204"/>
      <c r="IXN26" s="204"/>
      <c r="IXO26" s="204"/>
      <c r="IXP26" s="204"/>
      <c r="IXQ26" s="204"/>
      <c r="IXR26" s="204"/>
      <c r="IXS26" s="204"/>
      <c r="IXT26" s="204"/>
      <c r="IXU26" s="204"/>
      <c r="IXV26" s="204"/>
      <c r="IXW26" s="204"/>
      <c r="IXX26" s="204"/>
      <c r="IXY26" s="204"/>
      <c r="IXZ26" s="204"/>
      <c r="IYA26" s="204"/>
      <c r="IYB26" s="204"/>
      <c r="IYC26" s="204"/>
      <c r="IYD26" s="204"/>
      <c r="IYE26" s="204"/>
      <c r="IYF26" s="204"/>
      <c r="IYG26" s="204"/>
      <c r="IYH26" s="204"/>
      <c r="IYI26" s="204"/>
      <c r="IYJ26" s="204"/>
      <c r="IYK26" s="204"/>
      <c r="IYL26" s="204"/>
      <c r="IYM26" s="204"/>
      <c r="IYN26" s="204"/>
      <c r="IYO26" s="204"/>
      <c r="IYP26" s="204"/>
      <c r="IYQ26" s="204"/>
      <c r="IYR26" s="204"/>
      <c r="IYS26" s="204"/>
      <c r="IYT26" s="204"/>
      <c r="IYU26" s="204"/>
      <c r="IYV26" s="204"/>
      <c r="IYW26" s="204"/>
      <c r="IYX26" s="204"/>
      <c r="IYY26" s="204"/>
      <c r="IYZ26" s="204"/>
      <c r="IZA26" s="204"/>
      <c r="IZB26" s="204"/>
      <c r="IZC26" s="204"/>
      <c r="IZD26" s="204"/>
      <c r="IZE26" s="204"/>
      <c r="IZF26" s="204"/>
      <c r="IZG26" s="204"/>
      <c r="IZH26" s="204"/>
      <c r="IZI26" s="204"/>
      <c r="IZJ26" s="204"/>
      <c r="IZK26" s="204"/>
      <c r="IZL26" s="204"/>
      <c r="IZM26" s="204"/>
      <c r="IZN26" s="204"/>
      <c r="IZO26" s="204"/>
      <c r="IZP26" s="204"/>
      <c r="IZQ26" s="204"/>
      <c r="IZR26" s="204"/>
      <c r="IZS26" s="204"/>
      <c r="IZT26" s="204"/>
      <c r="IZU26" s="204"/>
      <c r="IZV26" s="204"/>
      <c r="IZW26" s="204"/>
      <c r="IZX26" s="204"/>
      <c r="IZY26" s="204"/>
      <c r="IZZ26" s="204"/>
      <c r="JAA26" s="204"/>
      <c r="JAB26" s="204"/>
      <c r="JAC26" s="204"/>
      <c r="JAD26" s="204"/>
      <c r="JAE26" s="204"/>
      <c r="JAF26" s="204"/>
      <c r="JAG26" s="204"/>
      <c r="JAH26" s="204"/>
      <c r="JAI26" s="204"/>
      <c r="JAJ26" s="204"/>
      <c r="JAK26" s="204"/>
      <c r="JAL26" s="204"/>
      <c r="JAM26" s="204"/>
      <c r="JAN26" s="204"/>
      <c r="JAO26" s="204"/>
      <c r="JAP26" s="204"/>
      <c r="JAQ26" s="204"/>
      <c r="JAR26" s="204"/>
      <c r="JAS26" s="204"/>
      <c r="JAT26" s="204"/>
      <c r="JAU26" s="204"/>
      <c r="JAV26" s="204"/>
      <c r="JAW26" s="204"/>
      <c r="JAX26" s="204"/>
      <c r="JAY26" s="204"/>
      <c r="JAZ26" s="204"/>
      <c r="JBA26" s="204"/>
      <c r="JBB26" s="204"/>
      <c r="JBC26" s="204"/>
      <c r="JBD26" s="204"/>
      <c r="JBE26" s="204"/>
      <c r="JBF26" s="204"/>
      <c r="JBG26" s="204"/>
      <c r="JBH26" s="204"/>
      <c r="JBI26" s="204"/>
      <c r="JBJ26" s="204"/>
      <c r="JBK26" s="204"/>
      <c r="JBL26" s="204"/>
      <c r="JBM26" s="204"/>
      <c r="JBN26" s="204"/>
      <c r="JBO26" s="204"/>
      <c r="JBP26" s="204"/>
      <c r="JBQ26" s="204"/>
      <c r="JBR26" s="204"/>
      <c r="JBS26" s="204"/>
      <c r="JBT26" s="204"/>
      <c r="JBU26" s="204"/>
      <c r="JBV26" s="204"/>
      <c r="JBW26" s="204"/>
      <c r="JBX26" s="204"/>
      <c r="JBY26" s="204"/>
      <c r="JBZ26" s="204"/>
      <c r="JCA26" s="204"/>
      <c r="JCB26" s="204"/>
      <c r="JCC26" s="204"/>
      <c r="JCD26" s="204"/>
      <c r="JCE26" s="204"/>
      <c r="JCF26" s="204"/>
      <c r="JCG26" s="204"/>
      <c r="JCH26" s="204"/>
      <c r="JCI26" s="204"/>
      <c r="JCJ26" s="204"/>
      <c r="JCK26" s="204"/>
      <c r="JCL26" s="204"/>
      <c r="JCM26" s="204"/>
      <c r="JCN26" s="204"/>
      <c r="JCO26" s="204"/>
      <c r="JCP26" s="204"/>
      <c r="JCQ26" s="204"/>
      <c r="JCR26" s="204"/>
      <c r="JCS26" s="204"/>
      <c r="JCT26" s="204"/>
      <c r="JCU26" s="204"/>
      <c r="JCV26" s="204"/>
      <c r="JCW26" s="204"/>
      <c r="JCX26" s="204"/>
      <c r="JCY26" s="204"/>
      <c r="JCZ26" s="204"/>
      <c r="JDA26" s="204"/>
      <c r="JDB26" s="204"/>
      <c r="JDC26" s="204"/>
      <c r="JDD26" s="204"/>
      <c r="JDE26" s="204"/>
      <c r="JDF26" s="204"/>
      <c r="JDG26" s="204"/>
      <c r="JDH26" s="204"/>
      <c r="JDI26" s="204"/>
      <c r="JDJ26" s="204"/>
      <c r="JDK26" s="204"/>
      <c r="JDL26" s="204"/>
      <c r="JDM26" s="204"/>
      <c r="JDN26" s="204"/>
      <c r="JDO26" s="204"/>
      <c r="JDP26" s="204"/>
      <c r="JDQ26" s="204"/>
      <c r="JDR26" s="204"/>
      <c r="JDS26" s="204"/>
      <c r="JDT26" s="204"/>
      <c r="JDU26" s="204"/>
      <c r="JDV26" s="204"/>
      <c r="JDW26" s="204"/>
      <c r="JDX26" s="204"/>
      <c r="JDY26" s="204"/>
      <c r="JDZ26" s="204"/>
      <c r="JEA26" s="204"/>
      <c r="JEB26" s="204"/>
      <c r="JEC26" s="204"/>
      <c r="JED26" s="204"/>
      <c r="JEE26" s="204"/>
      <c r="JEF26" s="204"/>
      <c r="JEG26" s="204"/>
      <c r="JEH26" s="204"/>
      <c r="JEI26" s="204"/>
      <c r="JEJ26" s="204"/>
      <c r="JEK26" s="204"/>
      <c r="JEL26" s="204"/>
      <c r="JEM26" s="204"/>
      <c r="JEN26" s="204"/>
      <c r="JEO26" s="204"/>
      <c r="JEP26" s="204"/>
      <c r="JEQ26" s="204"/>
      <c r="JER26" s="204"/>
      <c r="JES26" s="204"/>
      <c r="JET26" s="204"/>
      <c r="JEU26" s="204"/>
      <c r="JEV26" s="204"/>
      <c r="JEW26" s="204"/>
      <c r="JEX26" s="204"/>
      <c r="JEY26" s="204"/>
      <c r="JEZ26" s="204"/>
      <c r="JFA26" s="204"/>
      <c r="JFB26" s="204"/>
      <c r="JFC26" s="204"/>
      <c r="JFD26" s="204"/>
      <c r="JFE26" s="204"/>
      <c r="JFF26" s="204"/>
      <c r="JFG26" s="204"/>
      <c r="JFH26" s="204"/>
      <c r="JFI26" s="204"/>
      <c r="JFJ26" s="204"/>
      <c r="JFK26" s="204"/>
      <c r="JFL26" s="204"/>
      <c r="JFM26" s="204"/>
      <c r="JFN26" s="204"/>
      <c r="JFO26" s="204"/>
      <c r="JFP26" s="204"/>
      <c r="JFQ26" s="204"/>
      <c r="JFR26" s="204"/>
      <c r="JFS26" s="204"/>
      <c r="JFT26" s="204"/>
      <c r="JFU26" s="204"/>
      <c r="JFV26" s="204"/>
      <c r="JFW26" s="204"/>
      <c r="JFX26" s="204"/>
      <c r="JFY26" s="204"/>
      <c r="JFZ26" s="204"/>
      <c r="JGA26" s="204"/>
      <c r="JGB26" s="204"/>
      <c r="JGC26" s="204"/>
      <c r="JGD26" s="204"/>
      <c r="JGE26" s="204"/>
      <c r="JGF26" s="204"/>
      <c r="JGG26" s="204"/>
      <c r="JGH26" s="204"/>
      <c r="JGI26" s="204"/>
      <c r="JGJ26" s="204"/>
      <c r="JGK26" s="204"/>
      <c r="JGL26" s="204"/>
      <c r="JGM26" s="204"/>
      <c r="JGN26" s="204"/>
      <c r="JGO26" s="204"/>
      <c r="JGP26" s="204"/>
      <c r="JGQ26" s="204"/>
      <c r="JGR26" s="204"/>
      <c r="JGS26" s="204"/>
      <c r="JGT26" s="204"/>
      <c r="JGU26" s="204"/>
      <c r="JGV26" s="204"/>
      <c r="JGW26" s="204"/>
      <c r="JGX26" s="204"/>
      <c r="JGY26" s="204"/>
      <c r="JGZ26" s="204"/>
      <c r="JHA26" s="204"/>
      <c r="JHB26" s="204"/>
      <c r="JHC26" s="204"/>
      <c r="JHD26" s="204"/>
      <c r="JHE26" s="204"/>
      <c r="JHF26" s="204"/>
      <c r="JHG26" s="204"/>
      <c r="JHH26" s="204"/>
      <c r="JHI26" s="204"/>
      <c r="JHJ26" s="204"/>
      <c r="JHK26" s="204"/>
      <c r="JHL26" s="204"/>
      <c r="JHM26" s="204"/>
      <c r="JHN26" s="204"/>
      <c r="JHO26" s="204"/>
      <c r="JHP26" s="204"/>
      <c r="JHQ26" s="204"/>
      <c r="JHR26" s="204"/>
      <c r="JHS26" s="204"/>
      <c r="JHT26" s="204"/>
      <c r="JHU26" s="204"/>
      <c r="JHV26" s="204"/>
      <c r="JHW26" s="204"/>
      <c r="JHX26" s="204"/>
      <c r="JHY26" s="204"/>
      <c r="JHZ26" s="204"/>
      <c r="JIA26" s="204"/>
      <c r="JIB26" s="204"/>
      <c r="JIC26" s="204"/>
      <c r="JID26" s="204"/>
      <c r="JIE26" s="204"/>
      <c r="JIF26" s="204"/>
      <c r="JIG26" s="204"/>
      <c r="JIH26" s="204"/>
      <c r="JII26" s="204"/>
      <c r="JIJ26" s="204"/>
      <c r="JIK26" s="204"/>
      <c r="JIL26" s="204"/>
      <c r="JIM26" s="204"/>
      <c r="JIN26" s="204"/>
      <c r="JIO26" s="204"/>
      <c r="JIP26" s="204"/>
      <c r="JIQ26" s="204"/>
      <c r="JIR26" s="204"/>
      <c r="JIS26" s="204"/>
      <c r="JIT26" s="204"/>
      <c r="JIU26" s="204"/>
      <c r="JIV26" s="204"/>
      <c r="JIW26" s="204"/>
      <c r="JIX26" s="204"/>
      <c r="JIY26" s="204"/>
      <c r="JIZ26" s="204"/>
      <c r="JJA26" s="204"/>
      <c r="JJB26" s="204"/>
      <c r="JJC26" s="204"/>
      <c r="JJD26" s="204"/>
      <c r="JJE26" s="204"/>
      <c r="JJF26" s="204"/>
      <c r="JJG26" s="204"/>
      <c r="JJH26" s="204"/>
      <c r="JJI26" s="204"/>
      <c r="JJJ26" s="204"/>
      <c r="JJK26" s="204"/>
      <c r="JJL26" s="204"/>
      <c r="JJM26" s="204"/>
      <c r="JJN26" s="204"/>
      <c r="JJO26" s="204"/>
      <c r="JJP26" s="204"/>
      <c r="JJQ26" s="204"/>
      <c r="JJR26" s="204"/>
      <c r="JJS26" s="204"/>
      <c r="JJT26" s="204"/>
      <c r="JJU26" s="204"/>
      <c r="JJV26" s="204"/>
      <c r="JJW26" s="204"/>
      <c r="JJX26" s="204"/>
      <c r="JJY26" s="204"/>
      <c r="JJZ26" s="204"/>
      <c r="JKA26" s="204"/>
      <c r="JKB26" s="204"/>
      <c r="JKC26" s="204"/>
      <c r="JKD26" s="204"/>
      <c r="JKE26" s="204"/>
      <c r="JKF26" s="204"/>
      <c r="JKG26" s="204"/>
      <c r="JKH26" s="204"/>
      <c r="JKI26" s="204"/>
      <c r="JKJ26" s="204"/>
      <c r="JKK26" s="204"/>
      <c r="JKL26" s="204"/>
      <c r="JKM26" s="204"/>
      <c r="JKN26" s="204"/>
      <c r="JKO26" s="204"/>
      <c r="JKP26" s="204"/>
      <c r="JKQ26" s="204"/>
      <c r="JKR26" s="204"/>
      <c r="JKS26" s="204"/>
      <c r="JKT26" s="204"/>
      <c r="JKU26" s="204"/>
      <c r="JKV26" s="204"/>
      <c r="JKW26" s="204"/>
      <c r="JKX26" s="204"/>
      <c r="JKY26" s="204"/>
      <c r="JKZ26" s="204"/>
      <c r="JLA26" s="204"/>
      <c r="JLB26" s="204"/>
      <c r="JLC26" s="204"/>
      <c r="JLD26" s="204"/>
      <c r="JLE26" s="204"/>
      <c r="JLF26" s="204"/>
      <c r="JLG26" s="204"/>
      <c r="JLH26" s="204"/>
      <c r="JLI26" s="204"/>
      <c r="JLJ26" s="204"/>
      <c r="JLK26" s="204"/>
      <c r="JLL26" s="204"/>
      <c r="JLM26" s="204"/>
      <c r="JLN26" s="204"/>
      <c r="JLO26" s="204"/>
      <c r="JLP26" s="204"/>
      <c r="JLQ26" s="204"/>
      <c r="JLR26" s="204"/>
      <c r="JLS26" s="204"/>
      <c r="JLT26" s="204"/>
      <c r="JLU26" s="204"/>
      <c r="JLV26" s="204"/>
      <c r="JLW26" s="204"/>
      <c r="JLX26" s="204"/>
      <c r="JLY26" s="204"/>
      <c r="JLZ26" s="204"/>
      <c r="JMA26" s="204"/>
      <c r="JMB26" s="204"/>
      <c r="JMC26" s="204"/>
      <c r="JMD26" s="204"/>
      <c r="JME26" s="204"/>
      <c r="JMF26" s="204"/>
      <c r="JMG26" s="204"/>
      <c r="JMH26" s="204"/>
      <c r="JMI26" s="204"/>
      <c r="JMJ26" s="204"/>
      <c r="JMK26" s="204"/>
      <c r="JML26" s="204"/>
      <c r="JMM26" s="204"/>
      <c r="JMN26" s="204"/>
      <c r="JMO26" s="204"/>
      <c r="JMP26" s="204"/>
      <c r="JMQ26" s="204"/>
      <c r="JMR26" s="204"/>
      <c r="JMS26" s="204"/>
      <c r="JMT26" s="204"/>
      <c r="JMU26" s="204"/>
      <c r="JMV26" s="204"/>
      <c r="JMW26" s="204"/>
      <c r="JMX26" s="204"/>
      <c r="JMY26" s="204"/>
      <c r="JMZ26" s="204"/>
      <c r="JNA26" s="204"/>
      <c r="JNB26" s="204"/>
      <c r="JNC26" s="204"/>
      <c r="JND26" s="204"/>
      <c r="JNE26" s="204"/>
      <c r="JNF26" s="204"/>
      <c r="JNG26" s="204"/>
      <c r="JNH26" s="204"/>
      <c r="JNI26" s="204"/>
      <c r="JNJ26" s="204"/>
      <c r="JNK26" s="204"/>
      <c r="JNL26" s="204"/>
      <c r="JNM26" s="204"/>
      <c r="JNN26" s="204"/>
      <c r="JNO26" s="204"/>
      <c r="JNP26" s="204"/>
      <c r="JNQ26" s="204"/>
      <c r="JNR26" s="204"/>
      <c r="JNS26" s="204"/>
      <c r="JNT26" s="204"/>
      <c r="JNU26" s="204"/>
      <c r="JNV26" s="204"/>
      <c r="JNW26" s="204"/>
      <c r="JNX26" s="204"/>
      <c r="JNY26" s="204"/>
      <c r="JNZ26" s="204"/>
      <c r="JOA26" s="204"/>
      <c r="JOB26" s="204"/>
      <c r="JOC26" s="204"/>
      <c r="JOD26" s="204"/>
      <c r="JOE26" s="204"/>
      <c r="JOF26" s="204"/>
      <c r="JOG26" s="204"/>
      <c r="JOH26" s="204"/>
      <c r="JOI26" s="204"/>
      <c r="JOJ26" s="204"/>
      <c r="JOK26" s="204"/>
      <c r="JOL26" s="204"/>
      <c r="JOM26" s="204"/>
      <c r="JON26" s="204"/>
      <c r="JOO26" s="204"/>
      <c r="JOP26" s="204"/>
      <c r="JOQ26" s="204"/>
      <c r="JOR26" s="204"/>
      <c r="JOS26" s="204"/>
      <c r="JOT26" s="204"/>
      <c r="JOU26" s="204"/>
      <c r="JOV26" s="204"/>
      <c r="JOW26" s="204"/>
      <c r="JOX26" s="204"/>
      <c r="JOY26" s="204"/>
      <c r="JOZ26" s="204"/>
      <c r="JPA26" s="204"/>
      <c r="JPB26" s="204"/>
      <c r="JPC26" s="204"/>
      <c r="JPD26" s="204"/>
      <c r="JPE26" s="204"/>
      <c r="JPF26" s="204"/>
      <c r="JPG26" s="204"/>
      <c r="JPH26" s="204"/>
      <c r="JPI26" s="204"/>
      <c r="JPJ26" s="204"/>
      <c r="JPK26" s="204"/>
      <c r="JPL26" s="204"/>
      <c r="JPM26" s="204"/>
      <c r="JPN26" s="204"/>
      <c r="JPO26" s="204"/>
      <c r="JPP26" s="204"/>
      <c r="JPQ26" s="204"/>
      <c r="JPR26" s="204"/>
      <c r="JPS26" s="204"/>
      <c r="JPT26" s="204"/>
      <c r="JPU26" s="204"/>
      <c r="JPV26" s="204"/>
      <c r="JPW26" s="204"/>
      <c r="JPX26" s="204"/>
      <c r="JPY26" s="204"/>
      <c r="JPZ26" s="204"/>
      <c r="JQA26" s="204"/>
      <c r="JQB26" s="204"/>
      <c r="JQC26" s="204"/>
      <c r="JQD26" s="204"/>
      <c r="JQE26" s="204"/>
      <c r="JQF26" s="204"/>
      <c r="JQG26" s="204"/>
      <c r="JQH26" s="204"/>
      <c r="JQI26" s="204"/>
      <c r="JQJ26" s="204"/>
      <c r="JQK26" s="204"/>
      <c r="JQL26" s="204"/>
      <c r="JQM26" s="204"/>
      <c r="JQN26" s="204"/>
      <c r="JQO26" s="204"/>
      <c r="JQP26" s="204"/>
      <c r="JQQ26" s="204"/>
      <c r="JQR26" s="204"/>
      <c r="JQS26" s="204"/>
      <c r="JQT26" s="204"/>
      <c r="JQU26" s="204"/>
      <c r="JQV26" s="204"/>
      <c r="JQW26" s="204"/>
      <c r="JQX26" s="204"/>
      <c r="JQY26" s="204"/>
      <c r="JQZ26" s="204"/>
      <c r="JRA26" s="204"/>
      <c r="JRB26" s="204"/>
      <c r="JRC26" s="204"/>
      <c r="JRD26" s="204"/>
      <c r="JRE26" s="204"/>
      <c r="JRF26" s="204"/>
      <c r="JRG26" s="204"/>
      <c r="JRH26" s="204"/>
      <c r="JRI26" s="204"/>
      <c r="JRJ26" s="204"/>
      <c r="JRK26" s="204"/>
      <c r="JRL26" s="204"/>
      <c r="JRM26" s="204"/>
      <c r="JRN26" s="204"/>
      <c r="JRO26" s="204"/>
      <c r="JRP26" s="204"/>
      <c r="JRQ26" s="204"/>
      <c r="JRR26" s="204"/>
      <c r="JRS26" s="204"/>
      <c r="JRT26" s="204"/>
      <c r="JRU26" s="204"/>
      <c r="JRV26" s="204"/>
      <c r="JRW26" s="204"/>
      <c r="JRX26" s="204"/>
      <c r="JRY26" s="204"/>
      <c r="JRZ26" s="204"/>
      <c r="JSA26" s="204"/>
      <c r="JSB26" s="204"/>
      <c r="JSC26" s="204"/>
      <c r="JSD26" s="204"/>
      <c r="JSE26" s="204"/>
      <c r="JSF26" s="204"/>
      <c r="JSG26" s="204"/>
      <c r="JSH26" s="204"/>
      <c r="JSI26" s="204"/>
      <c r="JSJ26" s="204"/>
      <c r="JSK26" s="204"/>
      <c r="JSL26" s="204"/>
      <c r="JSM26" s="204"/>
      <c r="JSN26" s="204"/>
      <c r="JSO26" s="204"/>
      <c r="JSP26" s="204"/>
      <c r="JSQ26" s="204"/>
      <c r="JSR26" s="204"/>
      <c r="JSS26" s="204"/>
      <c r="JST26" s="204"/>
      <c r="JSU26" s="204"/>
      <c r="JSV26" s="204"/>
      <c r="JSW26" s="204"/>
      <c r="JSX26" s="204"/>
      <c r="JSY26" s="204"/>
      <c r="JSZ26" s="204"/>
      <c r="JTA26" s="204"/>
      <c r="JTB26" s="204"/>
      <c r="JTC26" s="204"/>
      <c r="JTD26" s="204"/>
      <c r="JTE26" s="204"/>
      <c r="JTF26" s="204"/>
      <c r="JTG26" s="204"/>
      <c r="JTH26" s="204"/>
      <c r="JTI26" s="204"/>
      <c r="JTJ26" s="204"/>
      <c r="JTK26" s="204"/>
      <c r="JTL26" s="204"/>
      <c r="JTM26" s="204"/>
      <c r="JTN26" s="204"/>
      <c r="JTO26" s="204"/>
      <c r="JTP26" s="204"/>
      <c r="JTQ26" s="204"/>
      <c r="JTR26" s="204"/>
      <c r="JTS26" s="204"/>
      <c r="JTT26" s="204"/>
      <c r="JTU26" s="204"/>
      <c r="JTV26" s="204"/>
      <c r="JTW26" s="204"/>
      <c r="JTX26" s="204"/>
      <c r="JTY26" s="204"/>
      <c r="JTZ26" s="204"/>
      <c r="JUA26" s="204"/>
      <c r="JUB26" s="204"/>
      <c r="JUC26" s="204"/>
      <c r="JUD26" s="204"/>
      <c r="JUE26" s="204"/>
      <c r="JUF26" s="204"/>
      <c r="JUG26" s="204"/>
      <c r="JUH26" s="204"/>
      <c r="JUI26" s="204"/>
      <c r="JUJ26" s="204"/>
      <c r="JUK26" s="204"/>
      <c r="JUL26" s="204"/>
      <c r="JUM26" s="204"/>
      <c r="JUN26" s="204"/>
      <c r="JUO26" s="204"/>
      <c r="JUP26" s="204"/>
      <c r="JUQ26" s="204"/>
      <c r="JUR26" s="204"/>
      <c r="JUS26" s="204"/>
      <c r="JUT26" s="204"/>
      <c r="JUU26" s="204"/>
      <c r="JUV26" s="204"/>
      <c r="JUW26" s="204"/>
      <c r="JUX26" s="204"/>
      <c r="JUY26" s="204"/>
      <c r="JUZ26" s="204"/>
      <c r="JVA26" s="204"/>
      <c r="JVB26" s="204"/>
      <c r="JVC26" s="204"/>
      <c r="JVD26" s="204"/>
      <c r="JVE26" s="204"/>
      <c r="JVF26" s="204"/>
      <c r="JVG26" s="204"/>
      <c r="JVH26" s="204"/>
      <c r="JVI26" s="204"/>
      <c r="JVJ26" s="204"/>
      <c r="JVK26" s="204"/>
      <c r="JVL26" s="204"/>
      <c r="JVM26" s="204"/>
      <c r="JVN26" s="204"/>
      <c r="JVO26" s="204"/>
      <c r="JVP26" s="204"/>
      <c r="JVQ26" s="204"/>
      <c r="JVR26" s="204"/>
      <c r="JVS26" s="204"/>
      <c r="JVT26" s="204"/>
      <c r="JVU26" s="204"/>
      <c r="JVV26" s="204"/>
      <c r="JVW26" s="204"/>
      <c r="JVX26" s="204"/>
      <c r="JVY26" s="204"/>
      <c r="JVZ26" s="204"/>
      <c r="JWA26" s="204"/>
      <c r="JWB26" s="204"/>
      <c r="JWC26" s="204"/>
      <c r="JWD26" s="204"/>
      <c r="JWE26" s="204"/>
      <c r="JWF26" s="204"/>
      <c r="JWG26" s="204"/>
      <c r="JWH26" s="204"/>
      <c r="JWI26" s="204"/>
      <c r="JWJ26" s="204"/>
      <c r="JWK26" s="204"/>
      <c r="JWL26" s="204"/>
      <c r="JWM26" s="204"/>
      <c r="JWN26" s="204"/>
      <c r="JWO26" s="204"/>
      <c r="JWP26" s="204"/>
      <c r="JWQ26" s="204"/>
      <c r="JWR26" s="204"/>
      <c r="JWS26" s="204"/>
      <c r="JWT26" s="204"/>
      <c r="JWU26" s="204"/>
      <c r="JWV26" s="204"/>
      <c r="JWW26" s="204"/>
      <c r="JWX26" s="204"/>
      <c r="JWY26" s="204"/>
      <c r="JWZ26" s="204"/>
      <c r="JXA26" s="204"/>
      <c r="JXB26" s="204"/>
      <c r="JXC26" s="204"/>
      <c r="JXD26" s="204"/>
      <c r="JXE26" s="204"/>
      <c r="JXF26" s="204"/>
      <c r="JXG26" s="204"/>
      <c r="JXH26" s="204"/>
      <c r="JXI26" s="204"/>
      <c r="JXJ26" s="204"/>
      <c r="JXK26" s="204"/>
      <c r="JXL26" s="204"/>
      <c r="JXM26" s="204"/>
      <c r="JXN26" s="204"/>
      <c r="JXO26" s="204"/>
      <c r="JXP26" s="204"/>
      <c r="JXQ26" s="204"/>
      <c r="JXR26" s="204"/>
      <c r="JXS26" s="204"/>
      <c r="JXT26" s="204"/>
      <c r="JXU26" s="204"/>
      <c r="JXV26" s="204"/>
      <c r="JXW26" s="204"/>
      <c r="JXX26" s="204"/>
      <c r="JXY26" s="204"/>
      <c r="JXZ26" s="204"/>
      <c r="JYA26" s="204"/>
      <c r="JYB26" s="204"/>
      <c r="JYC26" s="204"/>
      <c r="JYD26" s="204"/>
      <c r="JYE26" s="204"/>
      <c r="JYF26" s="204"/>
      <c r="JYG26" s="204"/>
      <c r="JYH26" s="204"/>
      <c r="JYI26" s="204"/>
      <c r="JYJ26" s="204"/>
      <c r="JYK26" s="204"/>
      <c r="JYL26" s="204"/>
      <c r="JYM26" s="204"/>
      <c r="JYN26" s="204"/>
      <c r="JYO26" s="204"/>
      <c r="JYP26" s="204"/>
      <c r="JYQ26" s="204"/>
      <c r="JYR26" s="204"/>
      <c r="JYS26" s="204"/>
      <c r="JYT26" s="204"/>
      <c r="JYU26" s="204"/>
      <c r="JYV26" s="204"/>
      <c r="JYW26" s="204"/>
      <c r="JYX26" s="204"/>
      <c r="JYY26" s="204"/>
      <c r="JYZ26" s="204"/>
      <c r="JZA26" s="204"/>
      <c r="JZB26" s="204"/>
      <c r="JZC26" s="204"/>
      <c r="JZD26" s="204"/>
      <c r="JZE26" s="204"/>
      <c r="JZF26" s="204"/>
      <c r="JZG26" s="204"/>
      <c r="JZH26" s="204"/>
      <c r="JZI26" s="204"/>
      <c r="JZJ26" s="204"/>
      <c r="JZK26" s="204"/>
      <c r="JZL26" s="204"/>
      <c r="JZM26" s="204"/>
      <c r="JZN26" s="204"/>
      <c r="JZO26" s="204"/>
      <c r="JZP26" s="204"/>
      <c r="JZQ26" s="204"/>
      <c r="JZR26" s="204"/>
      <c r="JZS26" s="204"/>
      <c r="JZT26" s="204"/>
      <c r="JZU26" s="204"/>
      <c r="JZV26" s="204"/>
      <c r="JZW26" s="204"/>
      <c r="JZX26" s="204"/>
      <c r="JZY26" s="204"/>
      <c r="JZZ26" s="204"/>
      <c r="KAA26" s="204"/>
      <c r="KAB26" s="204"/>
      <c r="KAC26" s="204"/>
      <c r="KAD26" s="204"/>
      <c r="KAE26" s="204"/>
      <c r="KAF26" s="204"/>
      <c r="KAG26" s="204"/>
      <c r="KAH26" s="204"/>
      <c r="KAI26" s="204"/>
      <c r="KAJ26" s="204"/>
      <c r="KAK26" s="204"/>
      <c r="KAL26" s="204"/>
      <c r="KAM26" s="204"/>
      <c r="KAN26" s="204"/>
      <c r="KAO26" s="204"/>
      <c r="KAP26" s="204"/>
      <c r="KAQ26" s="204"/>
      <c r="KAR26" s="204"/>
      <c r="KAS26" s="204"/>
      <c r="KAT26" s="204"/>
      <c r="KAU26" s="204"/>
      <c r="KAV26" s="204"/>
      <c r="KAW26" s="204"/>
      <c r="KAX26" s="204"/>
      <c r="KAY26" s="204"/>
      <c r="KAZ26" s="204"/>
      <c r="KBA26" s="204"/>
      <c r="KBB26" s="204"/>
      <c r="KBC26" s="204"/>
      <c r="KBD26" s="204"/>
      <c r="KBE26" s="204"/>
      <c r="KBF26" s="204"/>
      <c r="KBG26" s="204"/>
      <c r="KBH26" s="204"/>
      <c r="KBI26" s="204"/>
      <c r="KBJ26" s="204"/>
      <c r="KBK26" s="204"/>
      <c r="KBL26" s="204"/>
      <c r="KBM26" s="204"/>
      <c r="KBN26" s="204"/>
      <c r="KBO26" s="204"/>
      <c r="KBP26" s="204"/>
      <c r="KBQ26" s="204"/>
      <c r="KBR26" s="204"/>
      <c r="KBS26" s="204"/>
      <c r="KBT26" s="204"/>
      <c r="KBU26" s="204"/>
      <c r="KBV26" s="204"/>
      <c r="KBW26" s="204"/>
      <c r="KBX26" s="204"/>
      <c r="KBY26" s="204"/>
      <c r="KBZ26" s="204"/>
      <c r="KCA26" s="204"/>
      <c r="KCB26" s="204"/>
      <c r="KCC26" s="204"/>
      <c r="KCD26" s="204"/>
      <c r="KCE26" s="204"/>
      <c r="KCF26" s="204"/>
      <c r="KCG26" s="204"/>
      <c r="KCH26" s="204"/>
      <c r="KCI26" s="204"/>
      <c r="KCJ26" s="204"/>
      <c r="KCK26" s="204"/>
      <c r="KCL26" s="204"/>
      <c r="KCM26" s="204"/>
      <c r="KCN26" s="204"/>
      <c r="KCO26" s="204"/>
      <c r="KCP26" s="204"/>
      <c r="KCQ26" s="204"/>
      <c r="KCR26" s="204"/>
      <c r="KCS26" s="204"/>
      <c r="KCT26" s="204"/>
      <c r="KCU26" s="204"/>
      <c r="KCV26" s="204"/>
      <c r="KCW26" s="204"/>
      <c r="KCX26" s="204"/>
      <c r="KCY26" s="204"/>
      <c r="KCZ26" s="204"/>
      <c r="KDA26" s="204"/>
      <c r="KDB26" s="204"/>
      <c r="KDC26" s="204"/>
      <c r="KDD26" s="204"/>
      <c r="KDE26" s="204"/>
      <c r="KDF26" s="204"/>
      <c r="KDG26" s="204"/>
      <c r="KDH26" s="204"/>
      <c r="KDI26" s="204"/>
      <c r="KDJ26" s="204"/>
      <c r="KDK26" s="204"/>
      <c r="KDL26" s="204"/>
      <c r="KDM26" s="204"/>
      <c r="KDN26" s="204"/>
      <c r="KDO26" s="204"/>
      <c r="KDP26" s="204"/>
      <c r="KDQ26" s="204"/>
      <c r="KDR26" s="204"/>
      <c r="KDS26" s="204"/>
      <c r="KDT26" s="204"/>
      <c r="KDU26" s="204"/>
      <c r="KDV26" s="204"/>
      <c r="KDW26" s="204"/>
      <c r="KDX26" s="204"/>
      <c r="KDY26" s="204"/>
      <c r="KDZ26" s="204"/>
      <c r="KEA26" s="204"/>
      <c r="KEB26" s="204"/>
      <c r="KEC26" s="204"/>
      <c r="KED26" s="204"/>
      <c r="KEE26" s="204"/>
      <c r="KEF26" s="204"/>
      <c r="KEG26" s="204"/>
      <c r="KEH26" s="204"/>
      <c r="KEI26" s="204"/>
      <c r="KEJ26" s="204"/>
      <c r="KEK26" s="204"/>
      <c r="KEL26" s="204"/>
      <c r="KEM26" s="204"/>
      <c r="KEN26" s="204"/>
      <c r="KEO26" s="204"/>
      <c r="KEP26" s="204"/>
      <c r="KEQ26" s="204"/>
      <c r="KER26" s="204"/>
      <c r="KES26" s="204"/>
      <c r="KET26" s="204"/>
      <c r="KEU26" s="204"/>
      <c r="KEV26" s="204"/>
      <c r="KEW26" s="204"/>
      <c r="KEX26" s="204"/>
      <c r="KEY26" s="204"/>
      <c r="KEZ26" s="204"/>
      <c r="KFA26" s="204"/>
      <c r="KFB26" s="204"/>
      <c r="KFC26" s="204"/>
      <c r="KFD26" s="204"/>
      <c r="KFE26" s="204"/>
      <c r="KFF26" s="204"/>
      <c r="KFG26" s="204"/>
      <c r="KFH26" s="204"/>
      <c r="KFI26" s="204"/>
      <c r="KFJ26" s="204"/>
      <c r="KFK26" s="204"/>
      <c r="KFL26" s="204"/>
      <c r="KFM26" s="204"/>
      <c r="KFN26" s="204"/>
      <c r="KFO26" s="204"/>
      <c r="KFP26" s="204"/>
      <c r="KFQ26" s="204"/>
      <c r="KFR26" s="204"/>
      <c r="KFS26" s="204"/>
      <c r="KFT26" s="204"/>
      <c r="KFU26" s="204"/>
      <c r="KFV26" s="204"/>
      <c r="KFW26" s="204"/>
      <c r="KFX26" s="204"/>
      <c r="KFY26" s="204"/>
      <c r="KFZ26" s="204"/>
      <c r="KGA26" s="204"/>
      <c r="KGB26" s="204"/>
      <c r="KGC26" s="204"/>
      <c r="KGD26" s="204"/>
      <c r="KGE26" s="204"/>
      <c r="KGF26" s="204"/>
      <c r="KGG26" s="204"/>
      <c r="KGH26" s="204"/>
      <c r="KGI26" s="204"/>
      <c r="KGJ26" s="204"/>
      <c r="KGK26" s="204"/>
      <c r="KGL26" s="204"/>
      <c r="KGM26" s="204"/>
      <c r="KGN26" s="204"/>
      <c r="KGO26" s="204"/>
      <c r="KGP26" s="204"/>
      <c r="KGQ26" s="204"/>
      <c r="KGR26" s="204"/>
      <c r="KGS26" s="204"/>
      <c r="KGT26" s="204"/>
      <c r="KGU26" s="204"/>
      <c r="KGV26" s="204"/>
      <c r="KGW26" s="204"/>
      <c r="KGX26" s="204"/>
      <c r="KGY26" s="204"/>
      <c r="KGZ26" s="204"/>
      <c r="KHA26" s="204"/>
      <c r="KHB26" s="204"/>
      <c r="KHC26" s="204"/>
      <c r="KHD26" s="204"/>
      <c r="KHE26" s="204"/>
      <c r="KHF26" s="204"/>
      <c r="KHG26" s="204"/>
      <c r="KHH26" s="204"/>
      <c r="KHI26" s="204"/>
      <c r="KHJ26" s="204"/>
      <c r="KHK26" s="204"/>
      <c r="KHL26" s="204"/>
      <c r="KHM26" s="204"/>
      <c r="KHN26" s="204"/>
      <c r="KHO26" s="204"/>
      <c r="KHP26" s="204"/>
      <c r="KHQ26" s="204"/>
      <c r="KHR26" s="204"/>
      <c r="KHS26" s="204"/>
      <c r="KHT26" s="204"/>
      <c r="KHU26" s="204"/>
      <c r="KHV26" s="204"/>
      <c r="KHW26" s="204"/>
      <c r="KHX26" s="204"/>
      <c r="KHY26" s="204"/>
      <c r="KHZ26" s="204"/>
      <c r="KIA26" s="204"/>
      <c r="KIB26" s="204"/>
      <c r="KIC26" s="204"/>
      <c r="KID26" s="204"/>
      <c r="KIE26" s="204"/>
      <c r="KIF26" s="204"/>
      <c r="KIG26" s="204"/>
      <c r="KIH26" s="204"/>
      <c r="KII26" s="204"/>
      <c r="KIJ26" s="204"/>
      <c r="KIK26" s="204"/>
      <c r="KIL26" s="204"/>
      <c r="KIM26" s="204"/>
      <c r="KIN26" s="204"/>
      <c r="KIO26" s="204"/>
      <c r="KIP26" s="204"/>
      <c r="KIQ26" s="204"/>
      <c r="KIR26" s="204"/>
      <c r="KIS26" s="204"/>
      <c r="KIT26" s="204"/>
      <c r="KIU26" s="204"/>
      <c r="KIV26" s="204"/>
      <c r="KIW26" s="204"/>
      <c r="KIX26" s="204"/>
      <c r="KIY26" s="204"/>
      <c r="KIZ26" s="204"/>
      <c r="KJA26" s="204"/>
      <c r="KJB26" s="204"/>
      <c r="KJC26" s="204"/>
      <c r="KJD26" s="204"/>
      <c r="KJE26" s="204"/>
      <c r="KJF26" s="204"/>
      <c r="KJG26" s="204"/>
      <c r="KJH26" s="204"/>
      <c r="KJI26" s="204"/>
      <c r="KJJ26" s="204"/>
      <c r="KJK26" s="204"/>
      <c r="KJL26" s="204"/>
      <c r="KJM26" s="204"/>
      <c r="KJN26" s="204"/>
      <c r="KJO26" s="204"/>
      <c r="KJP26" s="204"/>
      <c r="KJQ26" s="204"/>
      <c r="KJR26" s="204"/>
      <c r="KJS26" s="204"/>
      <c r="KJT26" s="204"/>
      <c r="KJU26" s="204"/>
      <c r="KJV26" s="204"/>
      <c r="KJW26" s="204"/>
      <c r="KJX26" s="204"/>
      <c r="KJY26" s="204"/>
      <c r="KJZ26" s="204"/>
      <c r="KKA26" s="204"/>
      <c r="KKB26" s="204"/>
      <c r="KKC26" s="204"/>
      <c r="KKD26" s="204"/>
      <c r="KKE26" s="204"/>
      <c r="KKF26" s="204"/>
      <c r="KKG26" s="204"/>
      <c r="KKH26" s="204"/>
      <c r="KKI26" s="204"/>
      <c r="KKJ26" s="204"/>
      <c r="KKK26" s="204"/>
      <c r="KKL26" s="204"/>
      <c r="KKM26" s="204"/>
      <c r="KKN26" s="204"/>
      <c r="KKO26" s="204"/>
      <c r="KKP26" s="204"/>
      <c r="KKQ26" s="204"/>
      <c r="KKR26" s="204"/>
      <c r="KKS26" s="204"/>
      <c r="KKT26" s="204"/>
      <c r="KKU26" s="204"/>
      <c r="KKV26" s="204"/>
      <c r="KKW26" s="204"/>
      <c r="KKX26" s="204"/>
      <c r="KKY26" s="204"/>
      <c r="KKZ26" s="204"/>
      <c r="KLA26" s="204"/>
      <c r="KLB26" s="204"/>
      <c r="KLC26" s="204"/>
      <c r="KLD26" s="204"/>
      <c r="KLE26" s="204"/>
      <c r="KLF26" s="204"/>
      <c r="KLG26" s="204"/>
      <c r="KLH26" s="204"/>
      <c r="KLI26" s="204"/>
      <c r="KLJ26" s="204"/>
      <c r="KLK26" s="204"/>
      <c r="KLL26" s="204"/>
      <c r="KLM26" s="204"/>
      <c r="KLN26" s="204"/>
      <c r="KLO26" s="204"/>
      <c r="KLP26" s="204"/>
      <c r="KLQ26" s="204"/>
      <c r="KLR26" s="204"/>
      <c r="KLS26" s="204"/>
      <c r="KLT26" s="204"/>
      <c r="KLU26" s="204"/>
      <c r="KLV26" s="204"/>
      <c r="KLW26" s="204"/>
      <c r="KLX26" s="204"/>
      <c r="KLY26" s="204"/>
      <c r="KLZ26" s="204"/>
      <c r="KMA26" s="204"/>
      <c r="KMB26" s="204"/>
      <c r="KMC26" s="204"/>
      <c r="KMD26" s="204"/>
      <c r="KME26" s="204"/>
      <c r="KMF26" s="204"/>
      <c r="KMG26" s="204"/>
      <c r="KMH26" s="204"/>
      <c r="KMI26" s="204"/>
      <c r="KMJ26" s="204"/>
      <c r="KMK26" s="204"/>
      <c r="KML26" s="204"/>
      <c r="KMM26" s="204"/>
      <c r="KMN26" s="204"/>
      <c r="KMO26" s="204"/>
      <c r="KMP26" s="204"/>
      <c r="KMQ26" s="204"/>
      <c r="KMR26" s="204"/>
      <c r="KMS26" s="204"/>
      <c r="KMT26" s="204"/>
      <c r="KMU26" s="204"/>
      <c r="KMV26" s="204"/>
      <c r="KMW26" s="204"/>
      <c r="KMX26" s="204"/>
      <c r="KMY26" s="204"/>
      <c r="KMZ26" s="204"/>
      <c r="KNA26" s="204"/>
      <c r="KNB26" s="204"/>
      <c r="KNC26" s="204"/>
      <c r="KND26" s="204"/>
      <c r="KNE26" s="204"/>
      <c r="KNF26" s="204"/>
      <c r="KNG26" s="204"/>
      <c r="KNH26" s="204"/>
      <c r="KNI26" s="204"/>
      <c r="KNJ26" s="204"/>
      <c r="KNK26" s="204"/>
      <c r="KNL26" s="204"/>
      <c r="KNM26" s="204"/>
      <c r="KNN26" s="204"/>
      <c r="KNO26" s="204"/>
      <c r="KNP26" s="204"/>
      <c r="KNQ26" s="204"/>
      <c r="KNR26" s="204"/>
      <c r="KNS26" s="204"/>
      <c r="KNT26" s="204"/>
      <c r="KNU26" s="204"/>
      <c r="KNV26" s="204"/>
      <c r="KNW26" s="204"/>
      <c r="KNX26" s="204"/>
      <c r="KNY26" s="204"/>
      <c r="KNZ26" s="204"/>
      <c r="KOA26" s="204"/>
      <c r="KOB26" s="204"/>
      <c r="KOC26" s="204"/>
      <c r="KOD26" s="204"/>
      <c r="KOE26" s="204"/>
      <c r="KOF26" s="204"/>
      <c r="KOG26" s="204"/>
      <c r="KOH26" s="204"/>
      <c r="KOI26" s="204"/>
      <c r="KOJ26" s="204"/>
      <c r="KOK26" s="204"/>
      <c r="KOL26" s="204"/>
      <c r="KOM26" s="204"/>
      <c r="KON26" s="204"/>
      <c r="KOO26" s="204"/>
      <c r="KOP26" s="204"/>
      <c r="KOQ26" s="204"/>
      <c r="KOR26" s="204"/>
      <c r="KOS26" s="204"/>
      <c r="KOT26" s="204"/>
      <c r="KOU26" s="204"/>
      <c r="KOV26" s="204"/>
      <c r="KOW26" s="204"/>
      <c r="KOX26" s="204"/>
      <c r="KOY26" s="204"/>
      <c r="KOZ26" s="204"/>
      <c r="KPA26" s="204"/>
      <c r="KPB26" s="204"/>
      <c r="KPC26" s="204"/>
      <c r="KPD26" s="204"/>
      <c r="KPE26" s="204"/>
      <c r="KPF26" s="204"/>
      <c r="KPG26" s="204"/>
      <c r="KPH26" s="204"/>
      <c r="KPI26" s="204"/>
      <c r="KPJ26" s="204"/>
      <c r="KPK26" s="204"/>
      <c r="KPL26" s="204"/>
      <c r="KPM26" s="204"/>
      <c r="KPN26" s="204"/>
      <c r="KPO26" s="204"/>
      <c r="KPP26" s="204"/>
      <c r="KPQ26" s="204"/>
      <c r="KPR26" s="204"/>
      <c r="KPS26" s="204"/>
      <c r="KPT26" s="204"/>
      <c r="KPU26" s="204"/>
      <c r="KPV26" s="204"/>
      <c r="KPW26" s="204"/>
      <c r="KPX26" s="204"/>
      <c r="KPY26" s="204"/>
      <c r="KPZ26" s="204"/>
      <c r="KQA26" s="204"/>
      <c r="KQB26" s="204"/>
      <c r="KQC26" s="204"/>
      <c r="KQD26" s="204"/>
      <c r="KQE26" s="204"/>
      <c r="KQF26" s="204"/>
      <c r="KQG26" s="204"/>
      <c r="KQH26" s="204"/>
      <c r="KQI26" s="204"/>
      <c r="KQJ26" s="204"/>
      <c r="KQK26" s="204"/>
      <c r="KQL26" s="204"/>
      <c r="KQM26" s="204"/>
      <c r="KQN26" s="204"/>
      <c r="KQO26" s="204"/>
      <c r="KQP26" s="204"/>
      <c r="KQQ26" s="204"/>
      <c r="KQR26" s="204"/>
      <c r="KQS26" s="204"/>
      <c r="KQT26" s="204"/>
      <c r="KQU26" s="204"/>
      <c r="KQV26" s="204"/>
      <c r="KQW26" s="204"/>
      <c r="KQX26" s="204"/>
      <c r="KQY26" s="204"/>
      <c r="KQZ26" s="204"/>
      <c r="KRA26" s="204"/>
      <c r="KRB26" s="204"/>
      <c r="KRC26" s="204"/>
      <c r="KRD26" s="204"/>
      <c r="KRE26" s="204"/>
      <c r="KRF26" s="204"/>
      <c r="KRG26" s="204"/>
      <c r="KRH26" s="204"/>
      <c r="KRI26" s="204"/>
      <c r="KRJ26" s="204"/>
      <c r="KRK26" s="204"/>
      <c r="KRL26" s="204"/>
      <c r="KRM26" s="204"/>
      <c r="KRN26" s="204"/>
      <c r="KRO26" s="204"/>
      <c r="KRP26" s="204"/>
      <c r="KRQ26" s="204"/>
      <c r="KRR26" s="204"/>
      <c r="KRS26" s="204"/>
      <c r="KRT26" s="204"/>
      <c r="KRU26" s="204"/>
      <c r="KRV26" s="204"/>
      <c r="KRW26" s="204"/>
      <c r="KRX26" s="204"/>
      <c r="KRY26" s="204"/>
      <c r="KRZ26" s="204"/>
      <c r="KSA26" s="204"/>
      <c r="KSB26" s="204"/>
      <c r="KSC26" s="204"/>
      <c r="KSD26" s="204"/>
      <c r="KSE26" s="204"/>
      <c r="KSF26" s="204"/>
      <c r="KSG26" s="204"/>
      <c r="KSH26" s="204"/>
      <c r="KSI26" s="204"/>
      <c r="KSJ26" s="204"/>
      <c r="KSK26" s="204"/>
      <c r="KSL26" s="204"/>
      <c r="KSM26" s="204"/>
      <c r="KSN26" s="204"/>
      <c r="KSO26" s="204"/>
      <c r="KSP26" s="204"/>
      <c r="KSQ26" s="204"/>
      <c r="KSR26" s="204"/>
      <c r="KSS26" s="204"/>
      <c r="KST26" s="204"/>
      <c r="KSU26" s="204"/>
      <c r="KSV26" s="204"/>
      <c r="KSW26" s="204"/>
      <c r="KSX26" s="204"/>
      <c r="KSY26" s="204"/>
      <c r="KSZ26" s="204"/>
      <c r="KTA26" s="204"/>
      <c r="KTB26" s="204"/>
      <c r="KTC26" s="204"/>
      <c r="KTD26" s="204"/>
      <c r="KTE26" s="204"/>
      <c r="KTF26" s="204"/>
      <c r="KTG26" s="204"/>
      <c r="KTH26" s="204"/>
      <c r="KTI26" s="204"/>
      <c r="KTJ26" s="204"/>
      <c r="KTK26" s="204"/>
      <c r="KTL26" s="204"/>
      <c r="KTM26" s="204"/>
      <c r="KTN26" s="204"/>
      <c r="KTO26" s="204"/>
      <c r="KTP26" s="204"/>
      <c r="KTQ26" s="204"/>
      <c r="KTR26" s="204"/>
      <c r="KTS26" s="204"/>
      <c r="KTT26" s="204"/>
      <c r="KTU26" s="204"/>
      <c r="KTV26" s="204"/>
      <c r="KTW26" s="204"/>
      <c r="KTX26" s="204"/>
      <c r="KTY26" s="204"/>
      <c r="KTZ26" s="204"/>
      <c r="KUA26" s="204"/>
      <c r="KUB26" s="204"/>
      <c r="KUC26" s="204"/>
      <c r="KUD26" s="204"/>
      <c r="KUE26" s="204"/>
      <c r="KUF26" s="204"/>
      <c r="KUG26" s="204"/>
      <c r="KUH26" s="204"/>
      <c r="KUI26" s="204"/>
      <c r="KUJ26" s="204"/>
      <c r="KUK26" s="204"/>
      <c r="KUL26" s="204"/>
      <c r="KUM26" s="204"/>
      <c r="KUN26" s="204"/>
      <c r="KUO26" s="204"/>
      <c r="KUP26" s="204"/>
      <c r="KUQ26" s="204"/>
      <c r="KUR26" s="204"/>
      <c r="KUS26" s="204"/>
      <c r="KUT26" s="204"/>
      <c r="KUU26" s="204"/>
      <c r="KUV26" s="204"/>
      <c r="KUW26" s="204"/>
      <c r="KUX26" s="204"/>
      <c r="KUY26" s="204"/>
      <c r="KUZ26" s="204"/>
      <c r="KVA26" s="204"/>
      <c r="KVB26" s="204"/>
      <c r="KVC26" s="204"/>
      <c r="KVD26" s="204"/>
      <c r="KVE26" s="204"/>
      <c r="KVF26" s="204"/>
      <c r="KVG26" s="204"/>
      <c r="KVH26" s="204"/>
      <c r="KVI26" s="204"/>
      <c r="KVJ26" s="204"/>
      <c r="KVK26" s="204"/>
      <c r="KVL26" s="204"/>
      <c r="KVM26" s="204"/>
      <c r="KVN26" s="204"/>
      <c r="KVO26" s="204"/>
      <c r="KVP26" s="204"/>
      <c r="KVQ26" s="204"/>
      <c r="KVR26" s="204"/>
      <c r="KVS26" s="204"/>
      <c r="KVT26" s="204"/>
      <c r="KVU26" s="204"/>
      <c r="KVV26" s="204"/>
      <c r="KVW26" s="204"/>
      <c r="KVX26" s="204"/>
      <c r="KVY26" s="204"/>
      <c r="KVZ26" s="204"/>
      <c r="KWA26" s="204"/>
      <c r="KWB26" s="204"/>
      <c r="KWC26" s="204"/>
      <c r="KWD26" s="204"/>
      <c r="KWE26" s="204"/>
      <c r="KWF26" s="204"/>
      <c r="KWG26" s="204"/>
      <c r="KWH26" s="204"/>
      <c r="KWI26" s="204"/>
      <c r="KWJ26" s="204"/>
      <c r="KWK26" s="204"/>
      <c r="KWL26" s="204"/>
      <c r="KWM26" s="204"/>
      <c r="KWN26" s="204"/>
      <c r="KWO26" s="204"/>
      <c r="KWP26" s="204"/>
      <c r="KWQ26" s="204"/>
      <c r="KWR26" s="204"/>
      <c r="KWS26" s="204"/>
      <c r="KWT26" s="204"/>
      <c r="KWU26" s="204"/>
      <c r="KWV26" s="204"/>
      <c r="KWW26" s="204"/>
      <c r="KWX26" s="204"/>
      <c r="KWY26" s="204"/>
      <c r="KWZ26" s="204"/>
      <c r="KXA26" s="204"/>
      <c r="KXB26" s="204"/>
      <c r="KXC26" s="204"/>
      <c r="KXD26" s="204"/>
      <c r="KXE26" s="204"/>
      <c r="KXF26" s="204"/>
      <c r="KXG26" s="204"/>
      <c r="KXH26" s="204"/>
      <c r="KXI26" s="204"/>
      <c r="KXJ26" s="204"/>
      <c r="KXK26" s="204"/>
      <c r="KXL26" s="204"/>
      <c r="KXM26" s="204"/>
      <c r="KXN26" s="204"/>
      <c r="KXO26" s="204"/>
      <c r="KXP26" s="204"/>
      <c r="KXQ26" s="204"/>
      <c r="KXR26" s="204"/>
      <c r="KXS26" s="204"/>
      <c r="KXT26" s="204"/>
      <c r="KXU26" s="204"/>
      <c r="KXV26" s="204"/>
      <c r="KXW26" s="204"/>
      <c r="KXX26" s="204"/>
      <c r="KXY26" s="204"/>
      <c r="KXZ26" s="204"/>
      <c r="KYA26" s="204"/>
      <c r="KYB26" s="204"/>
      <c r="KYC26" s="204"/>
      <c r="KYD26" s="204"/>
      <c r="KYE26" s="204"/>
      <c r="KYF26" s="204"/>
      <c r="KYG26" s="204"/>
      <c r="KYH26" s="204"/>
      <c r="KYI26" s="204"/>
      <c r="KYJ26" s="204"/>
      <c r="KYK26" s="204"/>
      <c r="KYL26" s="204"/>
      <c r="KYM26" s="204"/>
      <c r="KYN26" s="204"/>
      <c r="KYO26" s="204"/>
      <c r="KYP26" s="204"/>
      <c r="KYQ26" s="204"/>
      <c r="KYR26" s="204"/>
      <c r="KYS26" s="204"/>
      <c r="KYT26" s="204"/>
      <c r="KYU26" s="204"/>
      <c r="KYV26" s="204"/>
      <c r="KYW26" s="204"/>
      <c r="KYX26" s="204"/>
      <c r="KYY26" s="204"/>
      <c r="KYZ26" s="204"/>
      <c r="KZA26" s="204"/>
      <c r="KZB26" s="204"/>
      <c r="KZC26" s="204"/>
      <c r="KZD26" s="204"/>
      <c r="KZE26" s="204"/>
      <c r="KZF26" s="204"/>
      <c r="KZG26" s="204"/>
      <c r="KZH26" s="204"/>
      <c r="KZI26" s="204"/>
      <c r="KZJ26" s="204"/>
      <c r="KZK26" s="204"/>
      <c r="KZL26" s="204"/>
      <c r="KZM26" s="204"/>
      <c r="KZN26" s="204"/>
      <c r="KZO26" s="204"/>
      <c r="KZP26" s="204"/>
      <c r="KZQ26" s="204"/>
      <c r="KZR26" s="204"/>
      <c r="KZS26" s="204"/>
      <c r="KZT26" s="204"/>
      <c r="KZU26" s="204"/>
      <c r="KZV26" s="204"/>
      <c r="KZW26" s="204"/>
      <c r="KZX26" s="204"/>
      <c r="KZY26" s="204"/>
      <c r="KZZ26" s="204"/>
      <c r="LAA26" s="204"/>
      <c r="LAB26" s="204"/>
      <c r="LAC26" s="204"/>
      <c r="LAD26" s="204"/>
      <c r="LAE26" s="204"/>
      <c r="LAF26" s="204"/>
      <c r="LAG26" s="204"/>
      <c r="LAH26" s="204"/>
      <c r="LAI26" s="204"/>
      <c r="LAJ26" s="204"/>
      <c r="LAK26" s="204"/>
      <c r="LAL26" s="204"/>
      <c r="LAM26" s="204"/>
      <c r="LAN26" s="204"/>
      <c r="LAO26" s="204"/>
      <c r="LAP26" s="204"/>
      <c r="LAQ26" s="204"/>
      <c r="LAR26" s="204"/>
      <c r="LAS26" s="204"/>
      <c r="LAT26" s="204"/>
      <c r="LAU26" s="204"/>
      <c r="LAV26" s="204"/>
      <c r="LAW26" s="204"/>
      <c r="LAX26" s="204"/>
      <c r="LAY26" s="204"/>
      <c r="LAZ26" s="204"/>
      <c r="LBA26" s="204"/>
      <c r="LBB26" s="204"/>
      <c r="LBC26" s="204"/>
      <c r="LBD26" s="204"/>
      <c r="LBE26" s="204"/>
      <c r="LBF26" s="204"/>
      <c r="LBG26" s="204"/>
      <c r="LBH26" s="204"/>
      <c r="LBI26" s="204"/>
      <c r="LBJ26" s="204"/>
      <c r="LBK26" s="204"/>
      <c r="LBL26" s="204"/>
      <c r="LBM26" s="204"/>
      <c r="LBN26" s="204"/>
      <c r="LBO26" s="204"/>
      <c r="LBP26" s="204"/>
      <c r="LBQ26" s="204"/>
      <c r="LBR26" s="204"/>
      <c r="LBS26" s="204"/>
      <c r="LBT26" s="204"/>
      <c r="LBU26" s="204"/>
      <c r="LBV26" s="204"/>
      <c r="LBW26" s="204"/>
      <c r="LBX26" s="204"/>
      <c r="LBY26" s="204"/>
      <c r="LBZ26" s="204"/>
      <c r="LCA26" s="204"/>
      <c r="LCB26" s="204"/>
      <c r="LCC26" s="204"/>
      <c r="LCD26" s="204"/>
      <c r="LCE26" s="204"/>
      <c r="LCF26" s="204"/>
      <c r="LCG26" s="204"/>
      <c r="LCH26" s="204"/>
      <c r="LCI26" s="204"/>
      <c r="LCJ26" s="204"/>
      <c r="LCK26" s="204"/>
      <c r="LCL26" s="204"/>
      <c r="LCM26" s="204"/>
      <c r="LCN26" s="204"/>
      <c r="LCO26" s="204"/>
      <c r="LCP26" s="204"/>
      <c r="LCQ26" s="204"/>
      <c r="LCR26" s="204"/>
      <c r="LCS26" s="204"/>
      <c r="LCT26" s="204"/>
      <c r="LCU26" s="204"/>
      <c r="LCV26" s="204"/>
      <c r="LCW26" s="204"/>
      <c r="LCX26" s="204"/>
      <c r="LCY26" s="204"/>
      <c r="LCZ26" s="204"/>
      <c r="LDA26" s="204"/>
      <c r="LDB26" s="204"/>
      <c r="LDC26" s="204"/>
      <c r="LDD26" s="204"/>
      <c r="LDE26" s="204"/>
      <c r="LDF26" s="204"/>
      <c r="LDG26" s="204"/>
      <c r="LDH26" s="204"/>
      <c r="LDI26" s="204"/>
      <c r="LDJ26" s="204"/>
      <c r="LDK26" s="204"/>
      <c r="LDL26" s="204"/>
      <c r="LDM26" s="204"/>
      <c r="LDN26" s="204"/>
      <c r="LDO26" s="204"/>
      <c r="LDP26" s="204"/>
      <c r="LDQ26" s="204"/>
      <c r="LDR26" s="204"/>
      <c r="LDS26" s="204"/>
      <c r="LDT26" s="204"/>
      <c r="LDU26" s="204"/>
      <c r="LDV26" s="204"/>
      <c r="LDW26" s="204"/>
      <c r="LDX26" s="204"/>
      <c r="LDY26" s="204"/>
      <c r="LDZ26" s="204"/>
      <c r="LEA26" s="204"/>
      <c r="LEB26" s="204"/>
      <c r="LEC26" s="204"/>
      <c r="LED26" s="204"/>
      <c r="LEE26" s="204"/>
      <c r="LEF26" s="204"/>
      <c r="LEG26" s="204"/>
      <c r="LEH26" s="204"/>
      <c r="LEI26" s="204"/>
      <c r="LEJ26" s="204"/>
      <c r="LEK26" s="204"/>
      <c r="LEL26" s="204"/>
      <c r="LEM26" s="204"/>
      <c r="LEN26" s="204"/>
      <c r="LEO26" s="204"/>
      <c r="LEP26" s="204"/>
      <c r="LEQ26" s="204"/>
      <c r="LER26" s="204"/>
      <c r="LES26" s="204"/>
      <c r="LET26" s="204"/>
      <c r="LEU26" s="204"/>
      <c r="LEV26" s="204"/>
      <c r="LEW26" s="204"/>
      <c r="LEX26" s="204"/>
      <c r="LEY26" s="204"/>
      <c r="LEZ26" s="204"/>
      <c r="LFA26" s="204"/>
      <c r="LFB26" s="204"/>
      <c r="LFC26" s="204"/>
      <c r="LFD26" s="204"/>
      <c r="LFE26" s="204"/>
      <c r="LFF26" s="204"/>
      <c r="LFG26" s="204"/>
      <c r="LFH26" s="204"/>
      <c r="LFI26" s="204"/>
      <c r="LFJ26" s="204"/>
      <c r="LFK26" s="204"/>
      <c r="LFL26" s="204"/>
      <c r="LFM26" s="204"/>
      <c r="LFN26" s="204"/>
      <c r="LFO26" s="204"/>
      <c r="LFP26" s="204"/>
      <c r="LFQ26" s="204"/>
      <c r="LFR26" s="204"/>
      <c r="LFS26" s="204"/>
      <c r="LFT26" s="204"/>
      <c r="LFU26" s="204"/>
      <c r="LFV26" s="204"/>
      <c r="LFW26" s="204"/>
      <c r="LFX26" s="204"/>
      <c r="LFY26" s="204"/>
      <c r="LFZ26" s="204"/>
      <c r="LGA26" s="204"/>
      <c r="LGB26" s="204"/>
      <c r="LGC26" s="204"/>
      <c r="LGD26" s="204"/>
      <c r="LGE26" s="204"/>
      <c r="LGF26" s="204"/>
      <c r="LGG26" s="204"/>
      <c r="LGH26" s="204"/>
      <c r="LGI26" s="204"/>
      <c r="LGJ26" s="204"/>
      <c r="LGK26" s="204"/>
      <c r="LGL26" s="204"/>
      <c r="LGM26" s="204"/>
      <c r="LGN26" s="204"/>
      <c r="LGO26" s="204"/>
      <c r="LGP26" s="204"/>
      <c r="LGQ26" s="204"/>
      <c r="LGR26" s="204"/>
      <c r="LGS26" s="204"/>
      <c r="LGT26" s="204"/>
      <c r="LGU26" s="204"/>
      <c r="LGV26" s="204"/>
      <c r="LGW26" s="204"/>
      <c r="LGX26" s="204"/>
      <c r="LGY26" s="204"/>
      <c r="LGZ26" s="204"/>
      <c r="LHA26" s="204"/>
      <c r="LHB26" s="204"/>
      <c r="LHC26" s="204"/>
      <c r="LHD26" s="204"/>
      <c r="LHE26" s="204"/>
      <c r="LHF26" s="204"/>
      <c r="LHG26" s="204"/>
      <c r="LHH26" s="204"/>
      <c r="LHI26" s="204"/>
      <c r="LHJ26" s="204"/>
      <c r="LHK26" s="204"/>
      <c r="LHL26" s="204"/>
      <c r="LHM26" s="204"/>
      <c r="LHN26" s="204"/>
      <c r="LHO26" s="204"/>
      <c r="LHP26" s="204"/>
      <c r="LHQ26" s="204"/>
      <c r="LHR26" s="204"/>
      <c r="LHS26" s="204"/>
      <c r="LHT26" s="204"/>
      <c r="LHU26" s="204"/>
      <c r="LHV26" s="204"/>
      <c r="LHW26" s="204"/>
      <c r="LHX26" s="204"/>
      <c r="LHY26" s="204"/>
      <c r="LHZ26" s="204"/>
      <c r="LIA26" s="204"/>
      <c r="LIB26" s="204"/>
      <c r="LIC26" s="204"/>
      <c r="LID26" s="204"/>
      <c r="LIE26" s="204"/>
      <c r="LIF26" s="204"/>
      <c r="LIG26" s="204"/>
      <c r="LIH26" s="204"/>
      <c r="LII26" s="204"/>
      <c r="LIJ26" s="204"/>
      <c r="LIK26" s="204"/>
      <c r="LIL26" s="204"/>
      <c r="LIM26" s="204"/>
      <c r="LIN26" s="204"/>
      <c r="LIO26" s="204"/>
      <c r="LIP26" s="204"/>
      <c r="LIQ26" s="204"/>
      <c r="LIR26" s="204"/>
      <c r="LIS26" s="204"/>
      <c r="LIT26" s="204"/>
      <c r="LIU26" s="204"/>
      <c r="LIV26" s="204"/>
      <c r="LIW26" s="204"/>
      <c r="LIX26" s="204"/>
      <c r="LIY26" s="204"/>
      <c r="LIZ26" s="204"/>
      <c r="LJA26" s="204"/>
      <c r="LJB26" s="204"/>
      <c r="LJC26" s="204"/>
      <c r="LJD26" s="204"/>
      <c r="LJE26" s="204"/>
      <c r="LJF26" s="204"/>
      <c r="LJG26" s="204"/>
      <c r="LJH26" s="204"/>
      <c r="LJI26" s="204"/>
      <c r="LJJ26" s="204"/>
      <c r="LJK26" s="204"/>
      <c r="LJL26" s="204"/>
      <c r="LJM26" s="204"/>
      <c r="LJN26" s="204"/>
      <c r="LJO26" s="204"/>
      <c r="LJP26" s="204"/>
      <c r="LJQ26" s="204"/>
      <c r="LJR26" s="204"/>
      <c r="LJS26" s="204"/>
      <c r="LJT26" s="204"/>
      <c r="LJU26" s="204"/>
      <c r="LJV26" s="204"/>
      <c r="LJW26" s="204"/>
      <c r="LJX26" s="204"/>
      <c r="LJY26" s="204"/>
      <c r="LJZ26" s="204"/>
      <c r="LKA26" s="204"/>
      <c r="LKB26" s="204"/>
      <c r="LKC26" s="204"/>
      <c r="LKD26" s="204"/>
      <c r="LKE26" s="204"/>
      <c r="LKF26" s="204"/>
      <c r="LKG26" s="204"/>
      <c r="LKH26" s="204"/>
      <c r="LKI26" s="204"/>
      <c r="LKJ26" s="204"/>
      <c r="LKK26" s="204"/>
      <c r="LKL26" s="204"/>
      <c r="LKM26" s="204"/>
      <c r="LKN26" s="204"/>
      <c r="LKO26" s="204"/>
      <c r="LKP26" s="204"/>
      <c r="LKQ26" s="204"/>
      <c r="LKR26" s="204"/>
      <c r="LKS26" s="204"/>
      <c r="LKT26" s="204"/>
      <c r="LKU26" s="204"/>
      <c r="LKV26" s="204"/>
      <c r="LKW26" s="204"/>
      <c r="LKX26" s="204"/>
      <c r="LKY26" s="204"/>
      <c r="LKZ26" s="204"/>
      <c r="LLA26" s="204"/>
      <c r="LLB26" s="204"/>
      <c r="LLC26" s="204"/>
      <c r="LLD26" s="204"/>
      <c r="LLE26" s="204"/>
      <c r="LLF26" s="204"/>
      <c r="LLG26" s="204"/>
      <c r="LLH26" s="204"/>
      <c r="LLI26" s="204"/>
      <c r="LLJ26" s="204"/>
      <c r="LLK26" s="204"/>
      <c r="LLL26" s="204"/>
      <c r="LLM26" s="204"/>
      <c r="LLN26" s="204"/>
      <c r="LLO26" s="204"/>
      <c r="LLP26" s="204"/>
      <c r="LLQ26" s="204"/>
      <c r="LLR26" s="204"/>
      <c r="LLS26" s="204"/>
      <c r="LLT26" s="204"/>
      <c r="LLU26" s="204"/>
      <c r="LLV26" s="204"/>
      <c r="LLW26" s="204"/>
      <c r="LLX26" s="204"/>
      <c r="LLY26" s="204"/>
      <c r="LLZ26" s="204"/>
      <c r="LMA26" s="204"/>
      <c r="LMB26" s="204"/>
      <c r="LMC26" s="204"/>
      <c r="LMD26" s="204"/>
      <c r="LME26" s="204"/>
      <c r="LMF26" s="204"/>
      <c r="LMG26" s="204"/>
      <c r="LMH26" s="204"/>
      <c r="LMI26" s="204"/>
      <c r="LMJ26" s="204"/>
      <c r="LMK26" s="204"/>
      <c r="LML26" s="204"/>
      <c r="LMM26" s="204"/>
      <c r="LMN26" s="204"/>
      <c r="LMO26" s="204"/>
      <c r="LMP26" s="204"/>
      <c r="LMQ26" s="204"/>
      <c r="LMR26" s="204"/>
      <c r="LMS26" s="204"/>
      <c r="LMT26" s="204"/>
      <c r="LMU26" s="204"/>
      <c r="LMV26" s="204"/>
      <c r="LMW26" s="204"/>
      <c r="LMX26" s="204"/>
      <c r="LMY26" s="204"/>
      <c r="LMZ26" s="204"/>
      <c r="LNA26" s="204"/>
      <c r="LNB26" s="204"/>
      <c r="LNC26" s="204"/>
      <c r="LND26" s="204"/>
      <c r="LNE26" s="204"/>
      <c r="LNF26" s="204"/>
      <c r="LNG26" s="204"/>
      <c r="LNH26" s="204"/>
      <c r="LNI26" s="204"/>
      <c r="LNJ26" s="204"/>
      <c r="LNK26" s="204"/>
      <c r="LNL26" s="204"/>
      <c r="LNM26" s="204"/>
      <c r="LNN26" s="204"/>
      <c r="LNO26" s="204"/>
      <c r="LNP26" s="204"/>
      <c r="LNQ26" s="204"/>
      <c r="LNR26" s="204"/>
      <c r="LNS26" s="204"/>
      <c r="LNT26" s="204"/>
      <c r="LNU26" s="204"/>
      <c r="LNV26" s="204"/>
      <c r="LNW26" s="204"/>
      <c r="LNX26" s="204"/>
      <c r="LNY26" s="204"/>
      <c r="LNZ26" s="204"/>
      <c r="LOA26" s="204"/>
      <c r="LOB26" s="204"/>
      <c r="LOC26" s="204"/>
      <c r="LOD26" s="204"/>
      <c r="LOE26" s="204"/>
      <c r="LOF26" s="204"/>
      <c r="LOG26" s="204"/>
      <c r="LOH26" s="204"/>
      <c r="LOI26" s="204"/>
      <c r="LOJ26" s="204"/>
      <c r="LOK26" s="204"/>
      <c r="LOL26" s="204"/>
      <c r="LOM26" s="204"/>
      <c r="LON26" s="204"/>
      <c r="LOO26" s="204"/>
      <c r="LOP26" s="204"/>
      <c r="LOQ26" s="204"/>
      <c r="LOR26" s="204"/>
      <c r="LOS26" s="204"/>
      <c r="LOT26" s="204"/>
      <c r="LOU26" s="204"/>
      <c r="LOV26" s="204"/>
      <c r="LOW26" s="204"/>
      <c r="LOX26" s="204"/>
      <c r="LOY26" s="204"/>
      <c r="LOZ26" s="204"/>
      <c r="LPA26" s="204"/>
      <c r="LPB26" s="204"/>
      <c r="LPC26" s="204"/>
      <c r="LPD26" s="204"/>
      <c r="LPE26" s="204"/>
      <c r="LPF26" s="204"/>
      <c r="LPG26" s="204"/>
      <c r="LPH26" s="204"/>
      <c r="LPI26" s="204"/>
      <c r="LPJ26" s="204"/>
      <c r="LPK26" s="204"/>
      <c r="LPL26" s="204"/>
      <c r="LPM26" s="204"/>
      <c r="LPN26" s="204"/>
      <c r="LPO26" s="204"/>
      <c r="LPP26" s="204"/>
      <c r="LPQ26" s="204"/>
      <c r="LPR26" s="204"/>
      <c r="LPS26" s="204"/>
      <c r="LPT26" s="204"/>
      <c r="LPU26" s="204"/>
      <c r="LPV26" s="204"/>
      <c r="LPW26" s="204"/>
      <c r="LPX26" s="204"/>
      <c r="LPY26" s="204"/>
      <c r="LPZ26" s="204"/>
      <c r="LQA26" s="204"/>
      <c r="LQB26" s="204"/>
      <c r="LQC26" s="204"/>
      <c r="LQD26" s="204"/>
      <c r="LQE26" s="204"/>
      <c r="LQF26" s="204"/>
      <c r="LQG26" s="204"/>
      <c r="LQH26" s="204"/>
      <c r="LQI26" s="204"/>
      <c r="LQJ26" s="204"/>
      <c r="LQK26" s="204"/>
      <c r="LQL26" s="204"/>
      <c r="LQM26" s="204"/>
      <c r="LQN26" s="204"/>
      <c r="LQO26" s="204"/>
      <c r="LQP26" s="204"/>
      <c r="LQQ26" s="204"/>
      <c r="LQR26" s="204"/>
      <c r="LQS26" s="204"/>
      <c r="LQT26" s="204"/>
      <c r="LQU26" s="204"/>
      <c r="LQV26" s="204"/>
      <c r="LQW26" s="204"/>
      <c r="LQX26" s="204"/>
      <c r="LQY26" s="204"/>
      <c r="LQZ26" s="204"/>
      <c r="LRA26" s="204"/>
      <c r="LRB26" s="204"/>
      <c r="LRC26" s="204"/>
      <c r="LRD26" s="204"/>
      <c r="LRE26" s="204"/>
      <c r="LRF26" s="204"/>
      <c r="LRG26" s="204"/>
      <c r="LRH26" s="204"/>
      <c r="LRI26" s="204"/>
      <c r="LRJ26" s="204"/>
      <c r="LRK26" s="204"/>
      <c r="LRL26" s="204"/>
      <c r="LRM26" s="204"/>
      <c r="LRN26" s="204"/>
      <c r="LRO26" s="204"/>
      <c r="LRP26" s="204"/>
      <c r="LRQ26" s="204"/>
      <c r="LRR26" s="204"/>
      <c r="LRS26" s="204"/>
      <c r="LRT26" s="204"/>
      <c r="LRU26" s="204"/>
      <c r="LRV26" s="204"/>
      <c r="LRW26" s="204"/>
      <c r="LRX26" s="204"/>
      <c r="LRY26" s="204"/>
      <c r="LRZ26" s="204"/>
      <c r="LSA26" s="204"/>
      <c r="LSB26" s="204"/>
      <c r="LSC26" s="204"/>
      <c r="LSD26" s="204"/>
      <c r="LSE26" s="204"/>
      <c r="LSF26" s="204"/>
      <c r="LSG26" s="204"/>
      <c r="LSH26" s="204"/>
      <c r="LSI26" s="204"/>
      <c r="LSJ26" s="204"/>
      <c r="LSK26" s="204"/>
      <c r="LSL26" s="204"/>
      <c r="LSM26" s="204"/>
      <c r="LSN26" s="204"/>
      <c r="LSO26" s="204"/>
      <c r="LSP26" s="204"/>
      <c r="LSQ26" s="204"/>
      <c r="LSR26" s="204"/>
      <c r="LSS26" s="204"/>
      <c r="LST26" s="204"/>
      <c r="LSU26" s="204"/>
      <c r="LSV26" s="204"/>
      <c r="LSW26" s="204"/>
      <c r="LSX26" s="204"/>
      <c r="LSY26" s="204"/>
      <c r="LSZ26" s="204"/>
      <c r="LTA26" s="204"/>
      <c r="LTB26" s="204"/>
      <c r="LTC26" s="204"/>
      <c r="LTD26" s="204"/>
      <c r="LTE26" s="204"/>
      <c r="LTF26" s="204"/>
      <c r="LTG26" s="204"/>
      <c r="LTH26" s="204"/>
      <c r="LTI26" s="204"/>
      <c r="LTJ26" s="204"/>
      <c r="LTK26" s="204"/>
      <c r="LTL26" s="204"/>
      <c r="LTM26" s="204"/>
      <c r="LTN26" s="204"/>
      <c r="LTO26" s="204"/>
      <c r="LTP26" s="204"/>
      <c r="LTQ26" s="204"/>
      <c r="LTR26" s="204"/>
      <c r="LTS26" s="204"/>
      <c r="LTT26" s="204"/>
      <c r="LTU26" s="204"/>
      <c r="LTV26" s="204"/>
      <c r="LTW26" s="204"/>
      <c r="LTX26" s="204"/>
      <c r="LTY26" s="204"/>
      <c r="LTZ26" s="204"/>
      <c r="LUA26" s="204"/>
      <c r="LUB26" s="204"/>
      <c r="LUC26" s="204"/>
      <c r="LUD26" s="204"/>
      <c r="LUE26" s="204"/>
      <c r="LUF26" s="204"/>
      <c r="LUG26" s="204"/>
      <c r="LUH26" s="204"/>
      <c r="LUI26" s="204"/>
      <c r="LUJ26" s="204"/>
      <c r="LUK26" s="204"/>
      <c r="LUL26" s="204"/>
      <c r="LUM26" s="204"/>
      <c r="LUN26" s="204"/>
      <c r="LUO26" s="204"/>
      <c r="LUP26" s="204"/>
      <c r="LUQ26" s="204"/>
      <c r="LUR26" s="204"/>
      <c r="LUS26" s="204"/>
      <c r="LUT26" s="204"/>
      <c r="LUU26" s="204"/>
      <c r="LUV26" s="204"/>
      <c r="LUW26" s="204"/>
      <c r="LUX26" s="204"/>
      <c r="LUY26" s="204"/>
      <c r="LUZ26" s="204"/>
      <c r="LVA26" s="204"/>
      <c r="LVB26" s="204"/>
      <c r="LVC26" s="204"/>
      <c r="LVD26" s="204"/>
      <c r="LVE26" s="204"/>
      <c r="LVF26" s="204"/>
      <c r="LVG26" s="204"/>
      <c r="LVH26" s="204"/>
      <c r="LVI26" s="204"/>
      <c r="LVJ26" s="204"/>
      <c r="LVK26" s="204"/>
      <c r="LVL26" s="204"/>
      <c r="LVM26" s="204"/>
      <c r="LVN26" s="204"/>
      <c r="LVO26" s="204"/>
      <c r="LVP26" s="204"/>
      <c r="LVQ26" s="204"/>
      <c r="LVR26" s="204"/>
      <c r="LVS26" s="204"/>
      <c r="LVT26" s="204"/>
      <c r="LVU26" s="204"/>
      <c r="LVV26" s="204"/>
      <c r="LVW26" s="204"/>
      <c r="LVX26" s="204"/>
      <c r="LVY26" s="204"/>
      <c r="LVZ26" s="204"/>
      <c r="LWA26" s="204"/>
      <c r="LWB26" s="204"/>
      <c r="LWC26" s="204"/>
      <c r="LWD26" s="204"/>
      <c r="LWE26" s="204"/>
      <c r="LWF26" s="204"/>
      <c r="LWG26" s="204"/>
      <c r="LWH26" s="204"/>
      <c r="LWI26" s="204"/>
      <c r="LWJ26" s="204"/>
      <c r="LWK26" s="204"/>
      <c r="LWL26" s="204"/>
      <c r="LWM26" s="204"/>
      <c r="LWN26" s="204"/>
      <c r="LWO26" s="204"/>
      <c r="LWP26" s="204"/>
      <c r="LWQ26" s="204"/>
      <c r="LWR26" s="204"/>
      <c r="LWS26" s="204"/>
      <c r="LWT26" s="204"/>
      <c r="LWU26" s="204"/>
      <c r="LWV26" s="204"/>
      <c r="LWW26" s="204"/>
      <c r="LWX26" s="204"/>
      <c r="LWY26" s="204"/>
      <c r="LWZ26" s="204"/>
      <c r="LXA26" s="204"/>
      <c r="LXB26" s="204"/>
      <c r="LXC26" s="204"/>
      <c r="LXD26" s="204"/>
      <c r="LXE26" s="204"/>
      <c r="LXF26" s="204"/>
      <c r="LXG26" s="204"/>
      <c r="LXH26" s="204"/>
      <c r="LXI26" s="204"/>
      <c r="LXJ26" s="204"/>
      <c r="LXK26" s="204"/>
      <c r="LXL26" s="204"/>
      <c r="LXM26" s="204"/>
      <c r="LXN26" s="204"/>
      <c r="LXO26" s="204"/>
      <c r="LXP26" s="204"/>
      <c r="LXQ26" s="204"/>
      <c r="LXR26" s="204"/>
      <c r="LXS26" s="204"/>
      <c r="LXT26" s="204"/>
      <c r="LXU26" s="204"/>
      <c r="LXV26" s="204"/>
      <c r="LXW26" s="204"/>
      <c r="LXX26" s="204"/>
      <c r="LXY26" s="204"/>
      <c r="LXZ26" s="204"/>
      <c r="LYA26" s="204"/>
      <c r="LYB26" s="204"/>
      <c r="LYC26" s="204"/>
      <c r="LYD26" s="204"/>
      <c r="LYE26" s="204"/>
      <c r="LYF26" s="204"/>
      <c r="LYG26" s="204"/>
      <c r="LYH26" s="204"/>
      <c r="LYI26" s="204"/>
      <c r="LYJ26" s="204"/>
      <c r="LYK26" s="204"/>
      <c r="LYL26" s="204"/>
      <c r="LYM26" s="204"/>
      <c r="LYN26" s="204"/>
      <c r="LYO26" s="204"/>
      <c r="LYP26" s="204"/>
      <c r="LYQ26" s="204"/>
      <c r="LYR26" s="204"/>
      <c r="LYS26" s="204"/>
      <c r="LYT26" s="204"/>
      <c r="LYU26" s="204"/>
      <c r="LYV26" s="204"/>
      <c r="LYW26" s="204"/>
      <c r="LYX26" s="204"/>
      <c r="LYY26" s="204"/>
      <c r="LYZ26" s="204"/>
      <c r="LZA26" s="204"/>
      <c r="LZB26" s="204"/>
      <c r="LZC26" s="204"/>
      <c r="LZD26" s="204"/>
      <c r="LZE26" s="204"/>
      <c r="LZF26" s="204"/>
      <c r="LZG26" s="204"/>
      <c r="LZH26" s="204"/>
      <c r="LZI26" s="204"/>
      <c r="LZJ26" s="204"/>
      <c r="LZK26" s="204"/>
      <c r="LZL26" s="204"/>
      <c r="LZM26" s="204"/>
      <c r="LZN26" s="204"/>
      <c r="LZO26" s="204"/>
      <c r="LZP26" s="204"/>
      <c r="LZQ26" s="204"/>
      <c r="LZR26" s="204"/>
      <c r="LZS26" s="204"/>
      <c r="LZT26" s="204"/>
      <c r="LZU26" s="204"/>
      <c r="LZV26" s="204"/>
      <c r="LZW26" s="204"/>
      <c r="LZX26" s="204"/>
      <c r="LZY26" s="204"/>
      <c r="LZZ26" s="204"/>
      <c r="MAA26" s="204"/>
      <c r="MAB26" s="204"/>
      <c r="MAC26" s="204"/>
      <c r="MAD26" s="204"/>
      <c r="MAE26" s="204"/>
      <c r="MAF26" s="204"/>
      <c r="MAG26" s="204"/>
      <c r="MAH26" s="204"/>
      <c r="MAI26" s="204"/>
      <c r="MAJ26" s="204"/>
      <c r="MAK26" s="204"/>
      <c r="MAL26" s="204"/>
      <c r="MAM26" s="204"/>
      <c r="MAN26" s="204"/>
      <c r="MAO26" s="204"/>
      <c r="MAP26" s="204"/>
      <c r="MAQ26" s="204"/>
      <c r="MAR26" s="204"/>
      <c r="MAS26" s="204"/>
      <c r="MAT26" s="204"/>
      <c r="MAU26" s="204"/>
      <c r="MAV26" s="204"/>
      <c r="MAW26" s="204"/>
      <c r="MAX26" s="204"/>
      <c r="MAY26" s="204"/>
      <c r="MAZ26" s="204"/>
      <c r="MBA26" s="204"/>
      <c r="MBB26" s="204"/>
      <c r="MBC26" s="204"/>
      <c r="MBD26" s="204"/>
      <c r="MBE26" s="204"/>
      <c r="MBF26" s="204"/>
      <c r="MBG26" s="204"/>
      <c r="MBH26" s="204"/>
      <c r="MBI26" s="204"/>
      <c r="MBJ26" s="204"/>
      <c r="MBK26" s="204"/>
      <c r="MBL26" s="204"/>
      <c r="MBM26" s="204"/>
      <c r="MBN26" s="204"/>
      <c r="MBO26" s="204"/>
      <c r="MBP26" s="204"/>
      <c r="MBQ26" s="204"/>
      <c r="MBR26" s="204"/>
      <c r="MBS26" s="204"/>
      <c r="MBT26" s="204"/>
      <c r="MBU26" s="204"/>
      <c r="MBV26" s="204"/>
      <c r="MBW26" s="204"/>
      <c r="MBX26" s="204"/>
      <c r="MBY26" s="204"/>
      <c r="MBZ26" s="204"/>
      <c r="MCA26" s="204"/>
      <c r="MCB26" s="204"/>
      <c r="MCC26" s="204"/>
      <c r="MCD26" s="204"/>
      <c r="MCE26" s="204"/>
      <c r="MCF26" s="204"/>
      <c r="MCG26" s="204"/>
      <c r="MCH26" s="204"/>
      <c r="MCI26" s="204"/>
      <c r="MCJ26" s="204"/>
      <c r="MCK26" s="204"/>
      <c r="MCL26" s="204"/>
      <c r="MCM26" s="204"/>
      <c r="MCN26" s="204"/>
      <c r="MCO26" s="204"/>
      <c r="MCP26" s="204"/>
      <c r="MCQ26" s="204"/>
      <c r="MCR26" s="204"/>
      <c r="MCS26" s="204"/>
      <c r="MCT26" s="204"/>
      <c r="MCU26" s="204"/>
      <c r="MCV26" s="204"/>
      <c r="MCW26" s="204"/>
      <c r="MCX26" s="204"/>
      <c r="MCY26" s="204"/>
      <c r="MCZ26" s="204"/>
      <c r="MDA26" s="204"/>
      <c r="MDB26" s="204"/>
      <c r="MDC26" s="204"/>
      <c r="MDD26" s="204"/>
      <c r="MDE26" s="204"/>
      <c r="MDF26" s="204"/>
      <c r="MDG26" s="204"/>
      <c r="MDH26" s="204"/>
      <c r="MDI26" s="204"/>
      <c r="MDJ26" s="204"/>
      <c r="MDK26" s="204"/>
      <c r="MDL26" s="204"/>
      <c r="MDM26" s="204"/>
      <c r="MDN26" s="204"/>
      <c r="MDO26" s="204"/>
      <c r="MDP26" s="204"/>
      <c r="MDQ26" s="204"/>
      <c r="MDR26" s="204"/>
      <c r="MDS26" s="204"/>
      <c r="MDT26" s="204"/>
      <c r="MDU26" s="204"/>
      <c r="MDV26" s="204"/>
      <c r="MDW26" s="204"/>
      <c r="MDX26" s="204"/>
      <c r="MDY26" s="204"/>
      <c r="MDZ26" s="204"/>
      <c r="MEA26" s="204"/>
      <c r="MEB26" s="204"/>
      <c r="MEC26" s="204"/>
      <c r="MED26" s="204"/>
      <c r="MEE26" s="204"/>
      <c r="MEF26" s="204"/>
      <c r="MEG26" s="204"/>
      <c r="MEH26" s="204"/>
      <c r="MEI26" s="204"/>
      <c r="MEJ26" s="204"/>
      <c r="MEK26" s="204"/>
      <c r="MEL26" s="204"/>
      <c r="MEM26" s="204"/>
      <c r="MEN26" s="204"/>
      <c r="MEO26" s="204"/>
      <c r="MEP26" s="204"/>
      <c r="MEQ26" s="204"/>
      <c r="MER26" s="204"/>
      <c r="MES26" s="204"/>
      <c r="MET26" s="204"/>
      <c r="MEU26" s="204"/>
      <c r="MEV26" s="204"/>
      <c r="MEW26" s="204"/>
      <c r="MEX26" s="204"/>
      <c r="MEY26" s="204"/>
      <c r="MEZ26" s="204"/>
      <c r="MFA26" s="204"/>
      <c r="MFB26" s="204"/>
      <c r="MFC26" s="204"/>
      <c r="MFD26" s="204"/>
      <c r="MFE26" s="204"/>
      <c r="MFF26" s="204"/>
      <c r="MFG26" s="204"/>
      <c r="MFH26" s="204"/>
      <c r="MFI26" s="204"/>
      <c r="MFJ26" s="204"/>
      <c r="MFK26" s="204"/>
      <c r="MFL26" s="204"/>
      <c r="MFM26" s="204"/>
      <c r="MFN26" s="204"/>
      <c r="MFO26" s="204"/>
      <c r="MFP26" s="204"/>
      <c r="MFQ26" s="204"/>
      <c r="MFR26" s="204"/>
      <c r="MFS26" s="204"/>
      <c r="MFT26" s="204"/>
      <c r="MFU26" s="204"/>
      <c r="MFV26" s="204"/>
      <c r="MFW26" s="204"/>
      <c r="MFX26" s="204"/>
      <c r="MFY26" s="204"/>
      <c r="MFZ26" s="204"/>
      <c r="MGA26" s="204"/>
      <c r="MGB26" s="204"/>
      <c r="MGC26" s="204"/>
      <c r="MGD26" s="204"/>
      <c r="MGE26" s="204"/>
      <c r="MGF26" s="204"/>
      <c r="MGG26" s="204"/>
      <c r="MGH26" s="204"/>
      <c r="MGI26" s="204"/>
      <c r="MGJ26" s="204"/>
      <c r="MGK26" s="204"/>
      <c r="MGL26" s="204"/>
      <c r="MGM26" s="204"/>
      <c r="MGN26" s="204"/>
      <c r="MGO26" s="204"/>
      <c r="MGP26" s="204"/>
      <c r="MGQ26" s="204"/>
      <c r="MGR26" s="204"/>
      <c r="MGS26" s="204"/>
      <c r="MGT26" s="204"/>
      <c r="MGU26" s="204"/>
      <c r="MGV26" s="204"/>
      <c r="MGW26" s="204"/>
      <c r="MGX26" s="204"/>
      <c r="MGY26" s="204"/>
      <c r="MGZ26" s="204"/>
      <c r="MHA26" s="204"/>
      <c r="MHB26" s="204"/>
      <c r="MHC26" s="204"/>
      <c r="MHD26" s="204"/>
      <c r="MHE26" s="204"/>
      <c r="MHF26" s="204"/>
      <c r="MHG26" s="204"/>
      <c r="MHH26" s="204"/>
      <c r="MHI26" s="204"/>
      <c r="MHJ26" s="204"/>
      <c r="MHK26" s="204"/>
      <c r="MHL26" s="204"/>
      <c r="MHM26" s="204"/>
      <c r="MHN26" s="204"/>
      <c r="MHO26" s="204"/>
      <c r="MHP26" s="204"/>
      <c r="MHQ26" s="204"/>
      <c r="MHR26" s="204"/>
      <c r="MHS26" s="204"/>
      <c r="MHT26" s="204"/>
      <c r="MHU26" s="204"/>
      <c r="MHV26" s="204"/>
      <c r="MHW26" s="204"/>
      <c r="MHX26" s="204"/>
      <c r="MHY26" s="204"/>
      <c r="MHZ26" s="204"/>
      <c r="MIA26" s="204"/>
      <c r="MIB26" s="204"/>
      <c r="MIC26" s="204"/>
      <c r="MID26" s="204"/>
      <c r="MIE26" s="204"/>
      <c r="MIF26" s="204"/>
      <c r="MIG26" s="204"/>
      <c r="MIH26" s="204"/>
      <c r="MII26" s="204"/>
      <c r="MIJ26" s="204"/>
      <c r="MIK26" s="204"/>
      <c r="MIL26" s="204"/>
      <c r="MIM26" s="204"/>
      <c r="MIN26" s="204"/>
      <c r="MIO26" s="204"/>
      <c r="MIP26" s="204"/>
      <c r="MIQ26" s="204"/>
      <c r="MIR26" s="204"/>
      <c r="MIS26" s="204"/>
      <c r="MIT26" s="204"/>
      <c r="MIU26" s="204"/>
      <c r="MIV26" s="204"/>
      <c r="MIW26" s="204"/>
      <c r="MIX26" s="204"/>
      <c r="MIY26" s="204"/>
      <c r="MIZ26" s="204"/>
      <c r="MJA26" s="204"/>
      <c r="MJB26" s="204"/>
      <c r="MJC26" s="204"/>
      <c r="MJD26" s="204"/>
      <c r="MJE26" s="204"/>
      <c r="MJF26" s="204"/>
      <c r="MJG26" s="204"/>
      <c r="MJH26" s="204"/>
      <c r="MJI26" s="204"/>
      <c r="MJJ26" s="204"/>
      <c r="MJK26" s="204"/>
      <c r="MJL26" s="204"/>
      <c r="MJM26" s="204"/>
      <c r="MJN26" s="204"/>
      <c r="MJO26" s="204"/>
      <c r="MJP26" s="204"/>
      <c r="MJQ26" s="204"/>
      <c r="MJR26" s="204"/>
      <c r="MJS26" s="204"/>
      <c r="MJT26" s="204"/>
      <c r="MJU26" s="204"/>
      <c r="MJV26" s="204"/>
      <c r="MJW26" s="204"/>
      <c r="MJX26" s="204"/>
      <c r="MJY26" s="204"/>
      <c r="MJZ26" s="204"/>
      <c r="MKA26" s="204"/>
      <c r="MKB26" s="204"/>
      <c r="MKC26" s="204"/>
      <c r="MKD26" s="204"/>
      <c r="MKE26" s="204"/>
      <c r="MKF26" s="204"/>
      <c r="MKG26" s="204"/>
      <c r="MKH26" s="204"/>
      <c r="MKI26" s="204"/>
      <c r="MKJ26" s="204"/>
      <c r="MKK26" s="204"/>
      <c r="MKL26" s="204"/>
      <c r="MKM26" s="204"/>
      <c r="MKN26" s="204"/>
      <c r="MKO26" s="204"/>
      <c r="MKP26" s="204"/>
      <c r="MKQ26" s="204"/>
      <c r="MKR26" s="204"/>
      <c r="MKS26" s="204"/>
      <c r="MKT26" s="204"/>
      <c r="MKU26" s="204"/>
      <c r="MKV26" s="204"/>
      <c r="MKW26" s="204"/>
      <c r="MKX26" s="204"/>
      <c r="MKY26" s="204"/>
      <c r="MKZ26" s="204"/>
      <c r="MLA26" s="204"/>
      <c r="MLB26" s="204"/>
      <c r="MLC26" s="204"/>
      <c r="MLD26" s="204"/>
      <c r="MLE26" s="204"/>
      <c r="MLF26" s="204"/>
      <c r="MLG26" s="204"/>
      <c r="MLH26" s="204"/>
      <c r="MLI26" s="204"/>
      <c r="MLJ26" s="204"/>
      <c r="MLK26" s="204"/>
      <c r="MLL26" s="204"/>
      <c r="MLM26" s="204"/>
      <c r="MLN26" s="204"/>
      <c r="MLO26" s="204"/>
      <c r="MLP26" s="204"/>
      <c r="MLQ26" s="204"/>
      <c r="MLR26" s="204"/>
      <c r="MLS26" s="204"/>
      <c r="MLT26" s="204"/>
      <c r="MLU26" s="204"/>
      <c r="MLV26" s="204"/>
      <c r="MLW26" s="204"/>
      <c r="MLX26" s="204"/>
      <c r="MLY26" s="204"/>
      <c r="MLZ26" s="204"/>
      <c r="MMA26" s="204"/>
      <c r="MMB26" s="204"/>
      <c r="MMC26" s="204"/>
      <c r="MMD26" s="204"/>
      <c r="MME26" s="204"/>
      <c r="MMF26" s="204"/>
      <c r="MMG26" s="204"/>
      <c r="MMH26" s="204"/>
      <c r="MMI26" s="204"/>
      <c r="MMJ26" s="204"/>
      <c r="MMK26" s="204"/>
      <c r="MML26" s="204"/>
      <c r="MMM26" s="204"/>
      <c r="MMN26" s="204"/>
      <c r="MMO26" s="204"/>
      <c r="MMP26" s="204"/>
      <c r="MMQ26" s="204"/>
      <c r="MMR26" s="204"/>
      <c r="MMS26" s="204"/>
      <c r="MMT26" s="204"/>
      <c r="MMU26" s="204"/>
      <c r="MMV26" s="204"/>
      <c r="MMW26" s="204"/>
      <c r="MMX26" s="204"/>
      <c r="MMY26" s="204"/>
      <c r="MMZ26" s="204"/>
      <c r="MNA26" s="204"/>
      <c r="MNB26" s="204"/>
      <c r="MNC26" s="204"/>
      <c r="MND26" s="204"/>
      <c r="MNE26" s="204"/>
      <c r="MNF26" s="204"/>
      <c r="MNG26" s="204"/>
      <c r="MNH26" s="204"/>
      <c r="MNI26" s="204"/>
      <c r="MNJ26" s="204"/>
      <c r="MNK26" s="204"/>
      <c r="MNL26" s="204"/>
      <c r="MNM26" s="204"/>
      <c r="MNN26" s="204"/>
      <c r="MNO26" s="204"/>
      <c r="MNP26" s="204"/>
      <c r="MNQ26" s="204"/>
      <c r="MNR26" s="204"/>
      <c r="MNS26" s="204"/>
      <c r="MNT26" s="204"/>
      <c r="MNU26" s="204"/>
      <c r="MNV26" s="204"/>
      <c r="MNW26" s="204"/>
      <c r="MNX26" s="204"/>
      <c r="MNY26" s="204"/>
      <c r="MNZ26" s="204"/>
      <c r="MOA26" s="204"/>
      <c r="MOB26" s="204"/>
      <c r="MOC26" s="204"/>
      <c r="MOD26" s="204"/>
      <c r="MOE26" s="204"/>
      <c r="MOF26" s="204"/>
      <c r="MOG26" s="204"/>
      <c r="MOH26" s="204"/>
      <c r="MOI26" s="204"/>
      <c r="MOJ26" s="204"/>
      <c r="MOK26" s="204"/>
      <c r="MOL26" s="204"/>
      <c r="MOM26" s="204"/>
      <c r="MON26" s="204"/>
      <c r="MOO26" s="204"/>
      <c r="MOP26" s="204"/>
      <c r="MOQ26" s="204"/>
      <c r="MOR26" s="204"/>
      <c r="MOS26" s="204"/>
      <c r="MOT26" s="204"/>
      <c r="MOU26" s="204"/>
      <c r="MOV26" s="204"/>
      <c r="MOW26" s="204"/>
      <c r="MOX26" s="204"/>
      <c r="MOY26" s="204"/>
      <c r="MOZ26" s="204"/>
      <c r="MPA26" s="204"/>
      <c r="MPB26" s="204"/>
      <c r="MPC26" s="204"/>
      <c r="MPD26" s="204"/>
      <c r="MPE26" s="204"/>
      <c r="MPF26" s="204"/>
      <c r="MPG26" s="204"/>
      <c r="MPH26" s="204"/>
      <c r="MPI26" s="204"/>
      <c r="MPJ26" s="204"/>
      <c r="MPK26" s="204"/>
      <c r="MPL26" s="204"/>
      <c r="MPM26" s="204"/>
      <c r="MPN26" s="204"/>
      <c r="MPO26" s="204"/>
      <c r="MPP26" s="204"/>
      <c r="MPQ26" s="204"/>
      <c r="MPR26" s="204"/>
      <c r="MPS26" s="204"/>
      <c r="MPT26" s="204"/>
      <c r="MPU26" s="204"/>
      <c r="MPV26" s="204"/>
      <c r="MPW26" s="204"/>
      <c r="MPX26" s="204"/>
      <c r="MPY26" s="204"/>
      <c r="MPZ26" s="204"/>
      <c r="MQA26" s="204"/>
      <c r="MQB26" s="204"/>
      <c r="MQC26" s="204"/>
      <c r="MQD26" s="204"/>
      <c r="MQE26" s="204"/>
      <c r="MQF26" s="204"/>
      <c r="MQG26" s="204"/>
      <c r="MQH26" s="204"/>
      <c r="MQI26" s="204"/>
      <c r="MQJ26" s="204"/>
      <c r="MQK26" s="204"/>
      <c r="MQL26" s="204"/>
      <c r="MQM26" s="204"/>
      <c r="MQN26" s="204"/>
      <c r="MQO26" s="204"/>
      <c r="MQP26" s="204"/>
      <c r="MQQ26" s="204"/>
      <c r="MQR26" s="204"/>
      <c r="MQS26" s="204"/>
      <c r="MQT26" s="204"/>
      <c r="MQU26" s="204"/>
      <c r="MQV26" s="204"/>
      <c r="MQW26" s="204"/>
      <c r="MQX26" s="204"/>
      <c r="MQY26" s="204"/>
      <c r="MQZ26" s="204"/>
      <c r="MRA26" s="204"/>
      <c r="MRB26" s="204"/>
      <c r="MRC26" s="204"/>
      <c r="MRD26" s="204"/>
      <c r="MRE26" s="204"/>
      <c r="MRF26" s="204"/>
      <c r="MRG26" s="204"/>
      <c r="MRH26" s="204"/>
      <c r="MRI26" s="204"/>
      <c r="MRJ26" s="204"/>
      <c r="MRK26" s="204"/>
      <c r="MRL26" s="204"/>
      <c r="MRM26" s="204"/>
      <c r="MRN26" s="204"/>
      <c r="MRO26" s="204"/>
      <c r="MRP26" s="204"/>
      <c r="MRQ26" s="204"/>
      <c r="MRR26" s="204"/>
      <c r="MRS26" s="204"/>
      <c r="MRT26" s="204"/>
      <c r="MRU26" s="204"/>
      <c r="MRV26" s="204"/>
      <c r="MRW26" s="204"/>
      <c r="MRX26" s="204"/>
      <c r="MRY26" s="204"/>
      <c r="MRZ26" s="204"/>
      <c r="MSA26" s="204"/>
      <c r="MSB26" s="204"/>
      <c r="MSC26" s="204"/>
      <c r="MSD26" s="204"/>
      <c r="MSE26" s="204"/>
      <c r="MSF26" s="204"/>
      <c r="MSG26" s="204"/>
      <c r="MSH26" s="204"/>
      <c r="MSI26" s="204"/>
      <c r="MSJ26" s="204"/>
      <c r="MSK26" s="204"/>
      <c r="MSL26" s="204"/>
      <c r="MSM26" s="204"/>
      <c r="MSN26" s="204"/>
      <c r="MSO26" s="204"/>
      <c r="MSP26" s="204"/>
      <c r="MSQ26" s="204"/>
      <c r="MSR26" s="204"/>
      <c r="MSS26" s="204"/>
      <c r="MST26" s="204"/>
      <c r="MSU26" s="204"/>
      <c r="MSV26" s="204"/>
      <c r="MSW26" s="204"/>
      <c r="MSX26" s="204"/>
      <c r="MSY26" s="204"/>
      <c r="MSZ26" s="204"/>
      <c r="MTA26" s="204"/>
      <c r="MTB26" s="204"/>
      <c r="MTC26" s="204"/>
      <c r="MTD26" s="204"/>
      <c r="MTE26" s="204"/>
      <c r="MTF26" s="204"/>
      <c r="MTG26" s="204"/>
      <c r="MTH26" s="204"/>
      <c r="MTI26" s="204"/>
      <c r="MTJ26" s="204"/>
      <c r="MTK26" s="204"/>
      <c r="MTL26" s="204"/>
      <c r="MTM26" s="204"/>
      <c r="MTN26" s="204"/>
      <c r="MTO26" s="204"/>
      <c r="MTP26" s="204"/>
      <c r="MTQ26" s="204"/>
      <c r="MTR26" s="204"/>
      <c r="MTS26" s="204"/>
      <c r="MTT26" s="204"/>
      <c r="MTU26" s="204"/>
      <c r="MTV26" s="204"/>
      <c r="MTW26" s="204"/>
      <c r="MTX26" s="204"/>
      <c r="MTY26" s="204"/>
      <c r="MTZ26" s="204"/>
      <c r="MUA26" s="204"/>
      <c r="MUB26" s="204"/>
      <c r="MUC26" s="204"/>
      <c r="MUD26" s="204"/>
      <c r="MUE26" s="204"/>
      <c r="MUF26" s="204"/>
      <c r="MUG26" s="204"/>
      <c r="MUH26" s="204"/>
      <c r="MUI26" s="204"/>
      <c r="MUJ26" s="204"/>
      <c r="MUK26" s="204"/>
      <c r="MUL26" s="204"/>
      <c r="MUM26" s="204"/>
      <c r="MUN26" s="204"/>
      <c r="MUO26" s="204"/>
      <c r="MUP26" s="204"/>
      <c r="MUQ26" s="204"/>
      <c r="MUR26" s="204"/>
      <c r="MUS26" s="204"/>
      <c r="MUT26" s="204"/>
      <c r="MUU26" s="204"/>
      <c r="MUV26" s="204"/>
      <c r="MUW26" s="204"/>
      <c r="MUX26" s="204"/>
      <c r="MUY26" s="204"/>
      <c r="MUZ26" s="204"/>
      <c r="MVA26" s="204"/>
      <c r="MVB26" s="204"/>
      <c r="MVC26" s="204"/>
      <c r="MVD26" s="204"/>
      <c r="MVE26" s="204"/>
      <c r="MVF26" s="204"/>
      <c r="MVG26" s="204"/>
      <c r="MVH26" s="204"/>
      <c r="MVI26" s="204"/>
      <c r="MVJ26" s="204"/>
      <c r="MVK26" s="204"/>
      <c r="MVL26" s="204"/>
      <c r="MVM26" s="204"/>
      <c r="MVN26" s="204"/>
      <c r="MVO26" s="204"/>
      <c r="MVP26" s="204"/>
      <c r="MVQ26" s="204"/>
      <c r="MVR26" s="204"/>
      <c r="MVS26" s="204"/>
      <c r="MVT26" s="204"/>
      <c r="MVU26" s="204"/>
      <c r="MVV26" s="204"/>
      <c r="MVW26" s="204"/>
      <c r="MVX26" s="204"/>
      <c r="MVY26" s="204"/>
      <c r="MVZ26" s="204"/>
      <c r="MWA26" s="204"/>
      <c r="MWB26" s="204"/>
      <c r="MWC26" s="204"/>
      <c r="MWD26" s="204"/>
      <c r="MWE26" s="204"/>
      <c r="MWF26" s="204"/>
      <c r="MWG26" s="204"/>
      <c r="MWH26" s="204"/>
      <c r="MWI26" s="204"/>
      <c r="MWJ26" s="204"/>
      <c r="MWK26" s="204"/>
      <c r="MWL26" s="204"/>
      <c r="MWM26" s="204"/>
      <c r="MWN26" s="204"/>
      <c r="MWO26" s="204"/>
      <c r="MWP26" s="204"/>
      <c r="MWQ26" s="204"/>
      <c r="MWR26" s="204"/>
      <c r="MWS26" s="204"/>
      <c r="MWT26" s="204"/>
      <c r="MWU26" s="204"/>
      <c r="MWV26" s="204"/>
      <c r="MWW26" s="204"/>
      <c r="MWX26" s="204"/>
      <c r="MWY26" s="204"/>
      <c r="MWZ26" s="204"/>
      <c r="MXA26" s="204"/>
      <c r="MXB26" s="204"/>
      <c r="MXC26" s="204"/>
      <c r="MXD26" s="204"/>
      <c r="MXE26" s="204"/>
      <c r="MXF26" s="204"/>
      <c r="MXG26" s="204"/>
      <c r="MXH26" s="204"/>
      <c r="MXI26" s="204"/>
      <c r="MXJ26" s="204"/>
      <c r="MXK26" s="204"/>
      <c r="MXL26" s="204"/>
      <c r="MXM26" s="204"/>
      <c r="MXN26" s="204"/>
      <c r="MXO26" s="204"/>
      <c r="MXP26" s="204"/>
      <c r="MXQ26" s="204"/>
      <c r="MXR26" s="204"/>
      <c r="MXS26" s="204"/>
      <c r="MXT26" s="204"/>
      <c r="MXU26" s="204"/>
      <c r="MXV26" s="204"/>
      <c r="MXW26" s="204"/>
      <c r="MXX26" s="204"/>
      <c r="MXY26" s="204"/>
      <c r="MXZ26" s="204"/>
      <c r="MYA26" s="204"/>
      <c r="MYB26" s="204"/>
      <c r="MYC26" s="204"/>
      <c r="MYD26" s="204"/>
      <c r="MYE26" s="204"/>
      <c r="MYF26" s="204"/>
      <c r="MYG26" s="204"/>
      <c r="MYH26" s="204"/>
      <c r="MYI26" s="204"/>
      <c r="MYJ26" s="204"/>
      <c r="MYK26" s="204"/>
      <c r="MYL26" s="204"/>
      <c r="MYM26" s="204"/>
      <c r="MYN26" s="204"/>
      <c r="MYO26" s="204"/>
      <c r="MYP26" s="204"/>
      <c r="MYQ26" s="204"/>
      <c r="MYR26" s="204"/>
      <c r="MYS26" s="204"/>
      <c r="MYT26" s="204"/>
      <c r="MYU26" s="204"/>
      <c r="MYV26" s="204"/>
      <c r="MYW26" s="204"/>
      <c r="MYX26" s="204"/>
      <c r="MYY26" s="204"/>
      <c r="MYZ26" s="204"/>
      <c r="MZA26" s="204"/>
      <c r="MZB26" s="204"/>
      <c r="MZC26" s="204"/>
      <c r="MZD26" s="204"/>
      <c r="MZE26" s="204"/>
      <c r="MZF26" s="204"/>
      <c r="MZG26" s="204"/>
      <c r="MZH26" s="204"/>
      <c r="MZI26" s="204"/>
      <c r="MZJ26" s="204"/>
      <c r="MZK26" s="204"/>
      <c r="MZL26" s="204"/>
      <c r="MZM26" s="204"/>
      <c r="MZN26" s="204"/>
      <c r="MZO26" s="204"/>
      <c r="MZP26" s="204"/>
      <c r="MZQ26" s="204"/>
      <c r="MZR26" s="204"/>
      <c r="MZS26" s="204"/>
      <c r="MZT26" s="204"/>
      <c r="MZU26" s="204"/>
      <c r="MZV26" s="204"/>
      <c r="MZW26" s="204"/>
      <c r="MZX26" s="204"/>
      <c r="MZY26" s="204"/>
      <c r="MZZ26" s="204"/>
      <c r="NAA26" s="204"/>
      <c r="NAB26" s="204"/>
      <c r="NAC26" s="204"/>
      <c r="NAD26" s="204"/>
      <c r="NAE26" s="204"/>
      <c r="NAF26" s="204"/>
      <c r="NAG26" s="204"/>
      <c r="NAH26" s="204"/>
      <c r="NAI26" s="204"/>
      <c r="NAJ26" s="204"/>
      <c r="NAK26" s="204"/>
      <c r="NAL26" s="204"/>
      <c r="NAM26" s="204"/>
      <c r="NAN26" s="204"/>
      <c r="NAO26" s="204"/>
      <c r="NAP26" s="204"/>
      <c r="NAQ26" s="204"/>
      <c r="NAR26" s="204"/>
      <c r="NAS26" s="204"/>
      <c r="NAT26" s="204"/>
      <c r="NAU26" s="204"/>
      <c r="NAV26" s="204"/>
      <c r="NAW26" s="204"/>
      <c r="NAX26" s="204"/>
      <c r="NAY26" s="204"/>
      <c r="NAZ26" s="204"/>
      <c r="NBA26" s="204"/>
      <c r="NBB26" s="204"/>
      <c r="NBC26" s="204"/>
      <c r="NBD26" s="204"/>
      <c r="NBE26" s="204"/>
      <c r="NBF26" s="204"/>
      <c r="NBG26" s="204"/>
      <c r="NBH26" s="204"/>
      <c r="NBI26" s="204"/>
      <c r="NBJ26" s="204"/>
      <c r="NBK26" s="204"/>
      <c r="NBL26" s="204"/>
      <c r="NBM26" s="204"/>
      <c r="NBN26" s="204"/>
      <c r="NBO26" s="204"/>
      <c r="NBP26" s="204"/>
      <c r="NBQ26" s="204"/>
      <c r="NBR26" s="204"/>
      <c r="NBS26" s="204"/>
      <c r="NBT26" s="204"/>
      <c r="NBU26" s="204"/>
      <c r="NBV26" s="204"/>
      <c r="NBW26" s="204"/>
      <c r="NBX26" s="204"/>
      <c r="NBY26" s="204"/>
      <c r="NBZ26" s="204"/>
      <c r="NCA26" s="204"/>
      <c r="NCB26" s="204"/>
      <c r="NCC26" s="204"/>
      <c r="NCD26" s="204"/>
      <c r="NCE26" s="204"/>
      <c r="NCF26" s="204"/>
      <c r="NCG26" s="204"/>
      <c r="NCH26" s="204"/>
      <c r="NCI26" s="204"/>
      <c r="NCJ26" s="204"/>
      <c r="NCK26" s="204"/>
      <c r="NCL26" s="204"/>
      <c r="NCM26" s="204"/>
      <c r="NCN26" s="204"/>
      <c r="NCO26" s="204"/>
      <c r="NCP26" s="204"/>
      <c r="NCQ26" s="204"/>
      <c r="NCR26" s="204"/>
      <c r="NCS26" s="204"/>
      <c r="NCT26" s="204"/>
      <c r="NCU26" s="204"/>
      <c r="NCV26" s="204"/>
      <c r="NCW26" s="204"/>
      <c r="NCX26" s="204"/>
      <c r="NCY26" s="204"/>
      <c r="NCZ26" s="204"/>
      <c r="NDA26" s="204"/>
      <c r="NDB26" s="204"/>
      <c r="NDC26" s="204"/>
      <c r="NDD26" s="204"/>
      <c r="NDE26" s="204"/>
      <c r="NDF26" s="204"/>
      <c r="NDG26" s="204"/>
      <c r="NDH26" s="204"/>
      <c r="NDI26" s="204"/>
      <c r="NDJ26" s="204"/>
      <c r="NDK26" s="204"/>
      <c r="NDL26" s="204"/>
      <c r="NDM26" s="204"/>
      <c r="NDN26" s="204"/>
      <c r="NDO26" s="204"/>
      <c r="NDP26" s="204"/>
      <c r="NDQ26" s="204"/>
      <c r="NDR26" s="204"/>
      <c r="NDS26" s="204"/>
      <c r="NDT26" s="204"/>
      <c r="NDU26" s="204"/>
      <c r="NDV26" s="204"/>
      <c r="NDW26" s="204"/>
      <c r="NDX26" s="204"/>
      <c r="NDY26" s="204"/>
      <c r="NDZ26" s="204"/>
      <c r="NEA26" s="204"/>
      <c r="NEB26" s="204"/>
      <c r="NEC26" s="204"/>
      <c r="NED26" s="204"/>
      <c r="NEE26" s="204"/>
      <c r="NEF26" s="204"/>
      <c r="NEG26" s="204"/>
      <c r="NEH26" s="204"/>
      <c r="NEI26" s="204"/>
      <c r="NEJ26" s="204"/>
      <c r="NEK26" s="204"/>
      <c r="NEL26" s="204"/>
      <c r="NEM26" s="204"/>
      <c r="NEN26" s="204"/>
      <c r="NEO26" s="204"/>
      <c r="NEP26" s="204"/>
      <c r="NEQ26" s="204"/>
      <c r="NER26" s="204"/>
      <c r="NES26" s="204"/>
      <c r="NET26" s="204"/>
      <c r="NEU26" s="204"/>
      <c r="NEV26" s="204"/>
      <c r="NEW26" s="204"/>
      <c r="NEX26" s="204"/>
      <c r="NEY26" s="204"/>
      <c r="NEZ26" s="204"/>
      <c r="NFA26" s="204"/>
      <c r="NFB26" s="204"/>
      <c r="NFC26" s="204"/>
      <c r="NFD26" s="204"/>
      <c r="NFE26" s="204"/>
      <c r="NFF26" s="204"/>
      <c r="NFG26" s="204"/>
      <c r="NFH26" s="204"/>
      <c r="NFI26" s="204"/>
      <c r="NFJ26" s="204"/>
      <c r="NFK26" s="204"/>
      <c r="NFL26" s="204"/>
      <c r="NFM26" s="204"/>
      <c r="NFN26" s="204"/>
      <c r="NFO26" s="204"/>
      <c r="NFP26" s="204"/>
      <c r="NFQ26" s="204"/>
      <c r="NFR26" s="204"/>
      <c r="NFS26" s="204"/>
      <c r="NFT26" s="204"/>
      <c r="NFU26" s="204"/>
      <c r="NFV26" s="204"/>
      <c r="NFW26" s="204"/>
      <c r="NFX26" s="204"/>
      <c r="NFY26" s="204"/>
      <c r="NFZ26" s="204"/>
      <c r="NGA26" s="204"/>
      <c r="NGB26" s="204"/>
      <c r="NGC26" s="204"/>
      <c r="NGD26" s="204"/>
      <c r="NGE26" s="204"/>
      <c r="NGF26" s="204"/>
      <c r="NGG26" s="204"/>
      <c r="NGH26" s="204"/>
      <c r="NGI26" s="204"/>
      <c r="NGJ26" s="204"/>
      <c r="NGK26" s="204"/>
      <c r="NGL26" s="204"/>
      <c r="NGM26" s="204"/>
      <c r="NGN26" s="204"/>
      <c r="NGO26" s="204"/>
      <c r="NGP26" s="204"/>
      <c r="NGQ26" s="204"/>
      <c r="NGR26" s="204"/>
      <c r="NGS26" s="204"/>
      <c r="NGT26" s="204"/>
      <c r="NGU26" s="204"/>
      <c r="NGV26" s="204"/>
      <c r="NGW26" s="204"/>
      <c r="NGX26" s="204"/>
      <c r="NGY26" s="204"/>
      <c r="NGZ26" s="204"/>
      <c r="NHA26" s="204"/>
      <c r="NHB26" s="204"/>
      <c r="NHC26" s="204"/>
      <c r="NHD26" s="204"/>
      <c r="NHE26" s="204"/>
      <c r="NHF26" s="204"/>
      <c r="NHG26" s="204"/>
      <c r="NHH26" s="204"/>
      <c r="NHI26" s="204"/>
      <c r="NHJ26" s="204"/>
      <c r="NHK26" s="204"/>
      <c r="NHL26" s="204"/>
      <c r="NHM26" s="204"/>
      <c r="NHN26" s="204"/>
      <c r="NHO26" s="204"/>
      <c r="NHP26" s="204"/>
      <c r="NHQ26" s="204"/>
      <c r="NHR26" s="204"/>
      <c r="NHS26" s="204"/>
      <c r="NHT26" s="204"/>
      <c r="NHU26" s="204"/>
      <c r="NHV26" s="204"/>
      <c r="NHW26" s="204"/>
      <c r="NHX26" s="204"/>
      <c r="NHY26" s="204"/>
      <c r="NHZ26" s="204"/>
      <c r="NIA26" s="204"/>
      <c r="NIB26" s="204"/>
      <c r="NIC26" s="204"/>
      <c r="NID26" s="204"/>
      <c r="NIE26" s="204"/>
      <c r="NIF26" s="204"/>
      <c r="NIG26" s="204"/>
      <c r="NIH26" s="204"/>
      <c r="NII26" s="204"/>
      <c r="NIJ26" s="204"/>
      <c r="NIK26" s="204"/>
      <c r="NIL26" s="204"/>
      <c r="NIM26" s="204"/>
      <c r="NIN26" s="204"/>
      <c r="NIO26" s="204"/>
      <c r="NIP26" s="204"/>
      <c r="NIQ26" s="204"/>
      <c r="NIR26" s="204"/>
      <c r="NIS26" s="204"/>
      <c r="NIT26" s="204"/>
      <c r="NIU26" s="204"/>
      <c r="NIV26" s="204"/>
      <c r="NIW26" s="204"/>
      <c r="NIX26" s="204"/>
      <c r="NIY26" s="204"/>
      <c r="NIZ26" s="204"/>
      <c r="NJA26" s="204"/>
      <c r="NJB26" s="204"/>
      <c r="NJC26" s="204"/>
      <c r="NJD26" s="204"/>
      <c r="NJE26" s="204"/>
      <c r="NJF26" s="204"/>
      <c r="NJG26" s="204"/>
      <c r="NJH26" s="204"/>
      <c r="NJI26" s="204"/>
      <c r="NJJ26" s="204"/>
      <c r="NJK26" s="204"/>
      <c r="NJL26" s="204"/>
      <c r="NJM26" s="204"/>
      <c r="NJN26" s="204"/>
      <c r="NJO26" s="204"/>
      <c r="NJP26" s="204"/>
      <c r="NJQ26" s="204"/>
      <c r="NJR26" s="204"/>
      <c r="NJS26" s="204"/>
      <c r="NJT26" s="204"/>
      <c r="NJU26" s="204"/>
      <c r="NJV26" s="204"/>
      <c r="NJW26" s="204"/>
      <c r="NJX26" s="204"/>
      <c r="NJY26" s="204"/>
      <c r="NJZ26" s="204"/>
      <c r="NKA26" s="204"/>
      <c r="NKB26" s="204"/>
      <c r="NKC26" s="204"/>
      <c r="NKD26" s="204"/>
      <c r="NKE26" s="204"/>
      <c r="NKF26" s="204"/>
      <c r="NKG26" s="204"/>
      <c r="NKH26" s="204"/>
      <c r="NKI26" s="204"/>
      <c r="NKJ26" s="204"/>
      <c r="NKK26" s="204"/>
      <c r="NKL26" s="204"/>
      <c r="NKM26" s="204"/>
      <c r="NKN26" s="204"/>
      <c r="NKO26" s="204"/>
      <c r="NKP26" s="204"/>
      <c r="NKQ26" s="204"/>
      <c r="NKR26" s="204"/>
      <c r="NKS26" s="204"/>
      <c r="NKT26" s="204"/>
      <c r="NKU26" s="204"/>
      <c r="NKV26" s="204"/>
      <c r="NKW26" s="204"/>
      <c r="NKX26" s="204"/>
      <c r="NKY26" s="204"/>
      <c r="NKZ26" s="204"/>
      <c r="NLA26" s="204"/>
      <c r="NLB26" s="204"/>
      <c r="NLC26" s="204"/>
      <c r="NLD26" s="204"/>
      <c r="NLE26" s="204"/>
      <c r="NLF26" s="204"/>
      <c r="NLG26" s="204"/>
      <c r="NLH26" s="204"/>
      <c r="NLI26" s="204"/>
      <c r="NLJ26" s="204"/>
      <c r="NLK26" s="204"/>
      <c r="NLL26" s="204"/>
      <c r="NLM26" s="204"/>
      <c r="NLN26" s="204"/>
      <c r="NLO26" s="204"/>
      <c r="NLP26" s="204"/>
      <c r="NLQ26" s="204"/>
      <c r="NLR26" s="204"/>
      <c r="NLS26" s="204"/>
      <c r="NLT26" s="204"/>
      <c r="NLU26" s="204"/>
      <c r="NLV26" s="204"/>
      <c r="NLW26" s="204"/>
      <c r="NLX26" s="204"/>
      <c r="NLY26" s="204"/>
      <c r="NLZ26" s="204"/>
      <c r="NMA26" s="204"/>
      <c r="NMB26" s="204"/>
      <c r="NMC26" s="204"/>
      <c r="NMD26" s="204"/>
      <c r="NME26" s="204"/>
      <c r="NMF26" s="204"/>
      <c r="NMG26" s="204"/>
      <c r="NMH26" s="204"/>
      <c r="NMI26" s="204"/>
      <c r="NMJ26" s="204"/>
      <c r="NMK26" s="204"/>
      <c r="NML26" s="204"/>
      <c r="NMM26" s="204"/>
      <c r="NMN26" s="204"/>
      <c r="NMO26" s="204"/>
      <c r="NMP26" s="204"/>
      <c r="NMQ26" s="204"/>
      <c r="NMR26" s="204"/>
      <c r="NMS26" s="204"/>
      <c r="NMT26" s="204"/>
      <c r="NMU26" s="204"/>
      <c r="NMV26" s="204"/>
      <c r="NMW26" s="204"/>
      <c r="NMX26" s="204"/>
      <c r="NMY26" s="204"/>
      <c r="NMZ26" s="204"/>
      <c r="NNA26" s="204"/>
      <c r="NNB26" s="204"/>
      <c r="NNC26" s="204"/>
      <c r="NND26" s="204"/>
      <c r="NNE26" s="204"/>
      <c r="NNF26" s="204"/>
      <c r="NNG26" s="204"/>
      <c r="NNH26" s="204"/>
      <c r="NNI26" s="204"/>
      <c r="NNJ26" s="204"/>
      <c r="NNK26" s="204"/>
      <c r="NNL26" s="204"/>
      <c r="NNM26" s="204"/>
      <c r="NNN26" s="204"/>
      <c r="NNO26" s="204"/>
      <c r="NNP26" s="204"/>
      <c r="NNQ26" s="204"/>
      <c r="NNR26" s="204"/>
      <c r="NNS26" s="204"/>
      <c r="NNT26" s="204"/>
      <c r="NNU26" s="204"/>
      <c r="NNV26" s="204"/>
      <c r="NNW26" s="204"/>
      <c r="NNX26" s="204"/>
      <c r="NNY26" s="204"/>
      <c r="NNZ26" s="204"/>
      <c r="NOA26" s="204"/>
      <c r="NOB26" s="204"/>
      <c r="NOC26" s="204"/>
      <c r="NOD26" s="204"/>
      <c r="NOE26" s="204"/>
      <c r="NOF26" s="204"/>
      <c r="NOG26" s="204"/>
      <c r="NOH26" s="204"/>
      <c r="NOI26" s="204"/>
      <c r="NOJ26" s="204"/>
      <c r="NOK26" s="204"/>
      <c r="NOL26" s="204"/>
      <c r="NOM26" s="204"/>
      <c r="NON26" s="204"/>
      <c r="NOO26" s="204"/>
      <c r="NOP26" s="204"/>
      <c r="NOQ26" s="204"/>
      <c r="NOR26" s="204"/>
      <c r="NOS26" s="204"/>
      <c r="NOT26" s="204"/>
      <c r="NOU26" s="204"/>
      <c r="NOV26" s="204"/>
      <c r="NOW26" s="204"/>
      <c r="NOX26" s="204"/>
      <c r="NOY26" s="204"/>
      <c r="NOZ26" s="204"/>
      <c r="NPA26" s="204"/>
      <c r="NPB26" s="204"/>
      <c r="NPC26" s="204"/>
      <c r="NPD26" s="204"/>
      <c r="NPE26" s="204"/>
      <c r="NPF26" s="204"/>
      <c r="NPG26" s="204"/>
      <c r="NPH26" s="204"/>
      <c r="NPI26" s="204"/>
      <c r="NPJ26" s="204"/>
      <c r="NPK26" s="204"/>
      <c r="NPL26" s="204"/>
      <c r="NPM26" s="204"/>
      <c r="NPN26" s="204"/>
      <c r="NPO26" s="204"/>
      <c r="NPP26" s="204"/>
      <c r="NPQ26" s="204"/>
      <c r="NPR26" s="204"/>
      <c r="NPS26" s="204"/>
      <c r="NPT26" s="204"/>
      <c r="NPU26" s="204"/>
      <c r="NPV26" s="204"/>
      <c r="NPW26" s="204"/>
      <c r="NPX26" s="204"/>
      <c r="NPY26" s="204"/>
      <c r="NPZ26" s="204"/>
      <c r="NQA26" s="204"/>
      <c r="NQB26" s="204"/>
      <c r="NQC26" s="204"/>
      <c r="NQD26" s="204"/>
      <c r="NQE26" s="204"/>
      <c r="NQF26" s="204"/>
      <c r="NQG26" s="204"/>
      <c r="NQH26" s="204"/>
      <c r="NQI26" s="204"/>
      <c r="NQJ26" s="204"/>
      <c r="NQK26" s="204"/>
      <c r="NQL26" s="204"/>
      <c r="NQM26" s="204"/>
      <c r="NQN26" s="204"/>
      <c r="NQO26" s="204"/>
      <c r="NQP26" s="204"/>
      <c r="NQQ26" s="204"/>
      <c r="NQR26" s="204"/>
      <c r="NQS26" s="204"/>
      <c r="NQT26" s="204"/>
      <c r="NQU26" s="204"/>
      <c r="NQV26" s="204"/>
      <c r="NQW26" s="204"/>
      <c r="NQX26" s="204"/>
      <c r="NQY26" s="204"/>
      <c r="NQZ26" s="204"/>
      <c r="NRA26" s="204"/>
      <c r="NRB26" s="204"/>
      <c r="NRC26" s="204"/>
      <c r="NRD26" s="204"/>
      <c r="NRE26" s="204"/>
      <c r="NRF26" s="204"/>
      <c r="NRG26" s="204"/>
      <c r="NRH26" s="204"/>
      <c r="NRI26" s="204"/>
      <c r="NRJ26" s="204"/>
      <c r="NRK26" s="204"/>
      <c r="NRL26" s="204"/>
      <c r="NRM26" s="204"/>
      <c r="NRN26" s="204"/>
      <c r="NRO26" s="204"/>
      <c r="NRP26" s="204"/>
      <c r="NRQ26" s="204"/>
      <c r="NRR26" s="204"/>
      <c r="NRS26" s="204"/>
      <c r="NRT26" s="204"/>
      <c r="NRU26" s="204"/>
      <c r="NRV26" s="204"/>
      <c r="NRW26" s="204"/>
      <c r="NRX26" s="204"/>
      <c r="NRY26" s="204"/>
      <c r="NRZ26" s="204"/>
      <c r="NSA26" s="204"/>
      <c r="NSB26" s="204"/>
      <c r="NSC26" s="204"/>
      <c r="NSD26" s="204"/>
      <c r="NSE26" s="204"/>
      <c r="NSF26" s="204"/>
      <c r="NSG26" s="204"/>
      <c r="NSH26" s="204"/>
      <c r="NSI26" s="204"/>
      <c r="NSJ26" s="204"/>
      <c r="NSK26" s="204"/>
      <c r="NSL26" s="204"/>
      <c r="NSM26" s="204"/>
      <c r="NSN26" s="204"/>
      <c r="NSO26" s="204"/>
      <c r="NSP26" s="204"/>
      <c r="NSQ26" s="204"/>
      <c r="NSR26" s="204"/>
      <c r="NSS26" s="204"/>
      <c r="NST26" s="204"/>
      <c r="NSU26" s="204"/>
      <c r="NSV26" s="204"/>
      <c r="NSW26" s="204"/>
      <c r="NSX26" s="204"/>
      <c r="NSY26" s="204"/>
      <c r="NSZ26" s="204"/>
      <c r="NTA26" s="204"/>
      <c r="NTB26" s="204"/>
      <c r="NTC26" s="204"/>
      <c r="NTD26" s="204"/>
      <c r="NTE26" s="204"/>
      <c r="NTF26" s="204"/>
      <c r="NTG26" s="204"/>
      <c r="NTH26" s="204"/>
      <c r="NTI26" s="204"/>
      <c r="NTJ26" s="204"/>
      <c r="NTK26" s="204"/>
      <c r="NTL26" s="204"/>
      <c r="NTM26" s="204"/>
      <c r="NTN26" s="204"/>
      <c r="NTO26" s="204"/>
      <c r="NTP26" s="204"/>
      <c r="NTQ26" s="204"/>
      <c r="NTR26" s="204"/>
      <c r="NTS26" s="204"/>
      <c r="NTT26" s="204"/>
      <c r="NTU26" s="204"/>
      <c r="NTV26" s="204"/>
      <c r="NTW26" s="204"/>
      <c r="NTX26" s="204"/>
      <c r="NTY26" s="204"/>
      <c r="NTZ26" s="204"/>
      <c r="NUA26" s="204"/>
      <c r="NUB26" s="204"/>
      <c r="NUC26" s="204"/>
      <c r="NUD26" s="204"/>
      <c r="NUE26" s="204"/>
      <c r="NUF26" s="204"/>
      <c r="NUG26" s="204"/>
      <c r="NUH26" s="204"/>
      <c r="NUI26" s="204"/>
      <c r="NUJ26" s="204"/>
      <c r="NUK26" s="204"/>
      <c r="NUL26" s="204"/>
      <c r="NUM26" s="204"/>
      <c r="NUN26" s="204"/>
      <c r="NUO26" s="204"/>
      <c r="NUP26" s="204"/>
      <c r="NUQ26" s="204"/>
      <c r="NUR26" s="204"/>
      <c r="NUS26" s="204"/>
      <c r="NUT26" s="204"/>
      <c r="NUU26" s="204"/>
      <c r="NUV26" s="204"/>
      <c r="NUW26" s="204"/>
      <c r="NUX26" s="204"/>
      <c r="NUY26" s="204"/>
      <c r="NUZ26" s="204"/>
      <c r="NVA26" s="204"/>
      <c r="NVB26" s="204"/>
      <c r="NVC26" s="204"/>
      <c r="NVD26" s="204"/>
      <c r="NVE26" s="204"/>
      <c r="NVF26" s="204"/>
      <c r="NVG26" s="204"/>
      <c r="NVH26" s="204"/>
      <c r="NVI26" s="204"/>
      <c r="NVJ26" s="204"/>
      <c r="NVK26" s="204"/>
      <c r="NVL26" s="204"/>
      <c r="NVM26" s="204"/>
      <c r="NVN26" s="204"/>
      <c r="NVO26" s="204"/>
      <c r="NVP26" s="204"/>
      <c r="NVQ26" s="204"/>
      <c r="NVR26" s="204"/>
      <c r="NVS26" s="204"/>
      <c r="NVT26" s="204"/>
      <c r="NVU26" s="204"/>
      <c r="NVV26" s="204"/>
      <c r="NVW26" s="204"/>
      <c r="NVX26" s="204"/>
      <c r="NVY26" s="204"/>
      <c r="NVZ26" s="204"/>
      <c r="NWA26" s="204"/>
      <c r="NWB26" s="204"/>
      <c r="NWC26" s="204"/>
      <c r="NWD26" s="204"/>
      <c r="NWE26" s="204"/>
      <c r="NWF26" s="204"/>
      <c r="NWG26" s="204"/>
      <c r="NWH26" s="204"/>
      <c r="NWI26" s="204"/>
      <c r="NWJ26" s="204"/>
      <c r="NWK26" s="204"/>
      <c r="NWL26" s="204"/>
      <c r="NWM26" s="204"/>
      <c r="NWN26" s="204"/>
      <c r="NWO26" s="204"/>
      <c r="NWP26" s="204"/>
      <c r="NWQ26" s="204"/>
      <c r="NWR26" s="204"/>
      <c r="NWS26" s="204"/>
      <c r="NWT26" s="204"/>
      <c r="NWU26" s="204"/>
      <c r="NWV26" s="204"/>
      <c r="NWW26" s="204"/>
      <c r="NWX26" s="204"/>
      <c r="NWY26" s="204"/>
      <c r="NWZ26" s="204"/>
      <c r="NXA26" s="204"/>
      <c r="NXB26" s="204"/>
      <c r="NXC26" s="204"/>
      <c r="NXD26" s="204"/>
      <c r="NXE26" s="204"/>
      <c r="NXF26" s="204"/>
      <c r="NXG26" s="204"/>
      <c r="NXH26" s="204"/>
      <c r="NXI26" s="204"/>
      <c r="NXJ26" s="204"/>
      <c r="NXK26" s="204"/>
      <c r="NXL26" s="204"/>
      <c r="NXM26" s="204"/>
      <c r="NXN26" s="204"/>
      <c r="NXO26" s="204"/>
      <c r="NXP26" s="204"/>
      <c r="NXQ26" s="204"/>
      <c r="NXR26" s="204"/>
      <c r="NXS26" s="204"/>
      <c r="NXT26" s="204"/>
      <c r="NXU26" s="204"/>
      <c r="NXV26" s="204"/>
      <c r="NXW26" s="204"/>
      <c r="NXX26" s="204"/>
      <c r="NXY26" s="204"/>
      <c r="NXZ26" s="204"/>
      <c r="NYA26" s="204"/>
      <c r="NYB26" s="204"/>
      <c r="NYC26" s="204"/>
      <c r="NYD26" s="204"/>
      <c r="NYE26" s="204"/>
      <c r="NYF26" s="204"/>
      <c r="NYG26" s="204"/>
      <c r="NYH26" s="204"/>
      <c r="NYI26" s="204"/>
      <c r="NYJ26" s="204"/>
      <c r="NYK26" s="204"/>
      <c r="NYL26" s="204"/>
      <c r="NYM26" s="204"/>
      <c r="NYN26" s="204"/>
      <c r="NYO26" s="204"/>
      <c r="NYP26" s="204"/>
      <c r="NYQ26" s="204"/>
      <c r="NYR26" s="204"/>
      <c r="NYS26" s="204"/>
      <c r="NYT26" s="204"/>
      <c r="NYU26" s="204"/>
      <c r="NYV26" s="204"/>
      <c r="NYW26" s="204"/>
      <c r="NYX26" s="204"/>
      <c r="NYY26" s="204"/>
      <c r="NYZ26" s="204"/>
      <c r="NZA26" s="204"/>
      <c r="NZB26" s="204"/>
      <c r="NZC26" s="204"/>
      <c r="NZD26" s="204"/>
      <c r="NZE26" s="204"/>
      <c r="NZF26" s="204"/>
      <c r="NZG26" s="204"/>
      <c r="NZH26" s="204"/>
      <c r="NZI26" s="204"/>
      <c r="NZJ26" s="204"/>
      <c r="NZK26" s="204"/>
      <c r="NZL26" s="204"/>
      <c r="NZM26" s="204"/>
      <c r="NZN26" s="204"/>
      <c r="NZO26" s="204"/>
      <c r="NZP26" s="204"/>
      <c r="NZQ26" s="204"/>
      <c r="NZR26" s="204"/>
      <c r="NZS26" s="204"/>
      <c r="NZT26" s="204"/>
      <c r="NZU26" s="204"/>
      <c r="NZV26" s="204"/>
      <c r="NZW26" s="204"/>
      <c r="NZX26" s="204"/>
      <c r="NZY26" s="204"/>
      <c r="NZZ26" s="204"/>
      <c r="OAA26" s="204"/>
      <c r="OAB26" s="204"/>
      <c r="OAC26" s="204"/>
      <c r="OAD26" s="204"/>
      <c r="OAE26" s="204"/>
      <c r="OAF26" s="204"/>
      <c r="OAG26" s="204"/>
      <c r="OAH26" s="204"/>
      <c r="OAI26" s="204"/>
      <c r="OAJ26" s="204"/>
      <c r="OAK26" s="204"/>
      <c r="OAL26" s="204"/>
      <c r="OAM26" s="204"/>
      <c r="OAN26" s="204"/>
      <c r="OAO26" s="204"/>
      <c r="OAP26" s="204"/>
      <c r="OAQ26" s="204"/>
      <c r="OAR26" s="204"/>
      <c r="OAS26" s="204"/>
      <c r="OAT26" s="204"/>
      <c r="OAU26" s="204"/>
      <c r="OAV26" s="204"/>
      <c r="OAW26" s="204"/>
      <c r="OAX26" s="204"/>
      <c r="OAY26" s="204"/>
      <c r="OAZ26" s="204"/>
      <c r="OBA26" s="204"/>
      <c r="OBB26" s="204"/>
      <c r="OBC26" s="204"/>
      <c r="OBD26" s="204"/>
      <c r="OBE26" s="204"/>
      <c r="OBF26" s="204"/>
      <c r="OBG26" s="204"/>
      <c r="OBH26" s="204"/>
      <c r="OBI26" s="204"/>
      <c r="OBJ26" s="204"/>
      <c r="OBK26" s="204"/>
      <c r="OBL26" s="204"/>
      <c r="OBM26" s="204"/>
      <c r="OBN26" s="204"/>
      <c r="OBO26" s="204"/>
      <c r="OBP26" s="204"/>
      <c r="OBQ26" s="204"/>
      <c r="OBR26" s="204"/>
      <c r="OBS26" s="204"/>
      <c r="OBT26" s="204"/>
      <c r="OBU26" s="204"/>
      <c r="OBV26" s="204"/>
      <c r="OBW26" s="204"/>
      <c r="OBX26" s="204"/>
      <c r="OBY26" s="204"/>
      <c r="OBZ26" s="204"/>
      <c r="OCA26" s="204"/>
      <c r="OCB26" s="204"/>
      <c r="OCC26" s="204"/>
      <c r="OCD26" s="204"/>
      <c r="OCE26" s="204"/>
      <c r="OCF26" s="204"/>
      <c r="OCG26" s="204"/>
      <c r="OCH26" s="204"/>
      <c r="OCI26" s="204"/>
      <c r="OCJ26" s="204"/>
      <c r="OCK26" s="204"/>
      <c r="OCL26" s="204"/>
      <c r="OCM26" s="204"/>
      <c r="OCN26" s="204"/>
      <c r="OCO26" s="204"/>
      <c r="OCP26" s="204"/>
      <c r="OCQ26" s="204"/>
      <c r="OCR26" s="204"/>
      <c r="OCS26" s="204"/>
      <c r="OCT26" s="204"/>
      <c r="OCU26" s="204"/>
      <c r="OCV26" s="204"/>
      <c r="OCW26" s="204"/>
      <c r="OCX26" s="204"/>
      <c r="OCY26" s="204"/>
      <c r="OCZ26" s="204"/>
      <c r="ODA26" s="204"/>
      <c r="ODB26" s="204"/>
      <c r="ODC26" s="204"/>
      <c r="ODD26" s="204"/>
      <c r="ODE26" s="204"/>
      <c r="ODF26" s="204"/>
      <c r="ODG26" s="204"/>
      <c r="ODH26" s="204"/>
      <c r="ODI26" s="204"/>
      <c r="ODJ26" s="204"/>
      <c r="ODK26" s="204"/>
      <c r="ODL26" s="204"/>
      <c r="ODM26" s="204"/>
      <c r="ODN26" s="204"/>
      <c r="ODO26" s="204"/>
      <c r="ODP26" s="204"/>
      <c r="ODQ26" s="204"/>
      <c r="ODR26" s="204"/>
      <c r="ODS26" s="204"/>
      <c r="ODT26" s="204"/>
      <c r="ODU26" s="204"/>
      <c r="ODV26" s="204"/>
      <c r="ODW26" s="204"/>
      <c r="ODX26" s="204"/>
      <c r="ODY26" s="204"/>
      <c r="ODZ26" s="204"/>
      <c r="OEA26" s="204"/>
      <c r="OEB26" s="204"/>
      <c r="OEC26" s="204"/>
      <c r="OED26" s="204"/>
      <c r="OEE26" s="204"/>
      <c r="OEF26" s="204"/>
      <c r="OEG26" s="204"/>
      <c r="OEH26" s="204"/>
      <c r="OEI26" s="204"/>
      <c r="OEJ26" s="204"/>
      <c r="OEK26" s="204"/>
      <c r="OEL26" s="204"/>
      <c r="OEM26" s="204"/>
      <c r="OEN26" s="204"/>
      <c r="OEO26" s="204"/>
      <c r="OEP26" s="204"/>
      <c r="OEQ26" s="204"/>
      <c r="OER26" s="204"/>
      <c r="OES26" s="204"/>
      <c r="OET26" s="204"/>
      <c r="OEU26" s="204"/>
      <c r="OEV26" s="204"/>
      <c r="OEW26" s="204"/>
      <c r="OEX26" s="204"/>
      <c r="OEY26" s="204"/>
      <c r="OEZ26" s="204"/>
      <c r="OFA26" s="204"/>
      <c r="OFB26" s="204"/>
      <c r="OFC26" s="204"/>
      <c r="OFD26" s="204"/>
      <c r="OFE26" s="204"/>
      <c r="OFF26" s="204"/>
      <c r="OFG26" s="204"/>
      <c r="OFH26" s="204"/>
      <c r="OFI26" s="204"/>
      <c r="OFJ26" s="204"/>
      <c r="OFK26" s="204"/>
      <c r="OFL26" s="204"/>
      <c r="OFM26" s="204"/>
      <c r="OFN26" s="204"/>
      <c r="OFO26" s="204"/>
      <c r="OFP26" s="204"/>
      <c r="OFQ26" s="204"/>
      <c r="OFR26" s="204"/>
      <c r="OFS26" s="204"/>
      <c r="OFT26" s="204"/>
      <c r="OFU26" s="204"/>
      <c r="OFV26" s="204"/>
      <c r="OFW26" s="204"/>
      <c r="OFX26" s="204"/>
      <c r="OFY26" s="204"/>
      <c r="OFZ26" s="204"/>
      <c r="OGA26" s="204"/>
      <c r="OGB26" s="204"/>
      <c r="OGC26" s="204"/>
      <c r="OGD26" s="204"/>
      <c r="OGE26" s="204"/>
      <c r="OGF26" s="204"/>
      <c r="OGG26" s="204"/>
      <c r="OGH26" s="204"/>
      <c r="OGI26" s="204"/>
      <c r="OGJ26" s="204"/>
      <c r="OGK26" s="204"/>
      <c r="OGL26" s="204"/>
      <c r="OGM26" s="204"/>
      <c r="OGN26" s="204"/>
      <c r="OGO26" s="204"/>
      <c r="OGP26" s="204"/>
      <c r="OGQ26" s="204"/>
      <c r="OGR26" s="204"/>
      <c r="OGS26" s="204"/>
      <c r="OGT26" s="204"/>
      <c r="OGU26" s="204"/>
      <c r="OGV26" s="204"/>
      <c r="OGW26" s="204"/>
      <c r="OGX26" s="204"/>
      <c r="OGY26" s="204"/>
      <c r="OGZ26" s="204"/>
      <c r="OHA26" s="204"/>
      <c r="OHB26" s="204"/>
      <c r="OHC26" s="204"/>
      <c r="OHD26" s="204"/>
      <c r="OHE26" s="204"/>
      <c r="OHF26" s="204"/>
      <c r="OHG26" s="204"/>
      <c r="OHH26" s="204"/>
      <c r="OHI26" s="204"/>
      <c r="OHJ26" s="204"/>
      <c r="OHK26" s="204"/>
      <c r="OHL26" s="204"/>
      <c r="OHM26" s="204"/>
      <c r="OHN26" s="204"/>
      <c r="OHO26" s="204"/>
      <c r="OHP26" s="204"/>
      <c r="OHQ26" s="204"/>
      <c r="OHR26" s="204"/>
      <c r="OHS26" s="204"/>
      <c r="OHT26" s="204"/>
      <c r="OHU26" s="204"/>
      <c r="OHV26" s="204"/>
      <c r="OHW26" s="204"/>
      <c r="OHX26" s="204"/>
      <c r="OHY26" s="204"/>
      <c r="OHZ26" s="204"/>
      <c r="OIA26" s="204"/>
      <c r="OIB26" s="204"/>
      <c r="OIC26" s="204"/>
      <c r="OID26" s="204"/>
      <c r="OIE26" s="204"/>
      <c r="OIF26" s="204"/>
      <c r="OIG26" s="204"/>
      <c r="OIH26" s="204"/>
      <c r="OII26" s="204"/>
      <c r="OIJ26" s="204"/>
      <c r="OIK26" s="204"/>
      <c r="OIL26" s="204"/>
      <c r="OIM26" s="204"/>
      <c r="OIN26" s="204"/>
      <c r="OIO26" s="204"/>
      <c r="OIP26" s="204"/>
      <c r="OIQ26" s="204"/>
      <c r="OIR26" s="204"/>
      <c r="OIS26" s="204"/>
      <c r="OIT26" s="204"/>
      <c r="OIU26" s="204"/>
      <c r="OIV26" s="204"/>
      <c r="OIW26" s="204"/>
      <c r="OIX26" s="204"/>
      <c r="OIY26" s="204"/>
      <c r="OIZ26" s="204"/>
      <c r="OJA26" s="204"/>
      <c r="OJB26" s="204"/>
      <c r="OJC26" s="204"/>
      <c r="OJD26" s="204"/>
      <c r="OJE26" s="204"/>
      <c r="OJF26" s="204"/>
      <c r="OJG26" s="204"/>
      <c r="OJH26" s="204"/>
      <c r="OJI26" s="204"/>
      <c r="OJJ26" s="204"/>
      <c r="OJK26" s="204"/>
      <c r="OJL26" s="204"/>
      <c r="OJM26" s="204"/>
      <c r="OJN26" s="204"/>
      <c r="OJO26" s="204"/>
      <c r="OJP26" s="204"/>
      <c r="OJQ26" s="204"/>
      <c r="OJR26" s="204"/>
      <c r="OJS26" s="204"/>
      <c r="OJT26" s="204"/>
      <c r="OJU26" s="204"/>
      <c r="OJV26" s="204"/>
      <c r="OJW26" s="204"/>
      <c r="OJX26" s="204"/>
      <c r="OJY26" s="204"/>
      <c r="OJZ26" s="204"/>
      <c r="OKA26" s="204"/>
      <c r="OKB26" s="204"/>
      <c r="OKC26" s="204"/>
      <c r="OKD26" s="204"/>
      <c r="OKE26" s="204"/>
      <c r="OKF26" s="204"/>
      <c r="OKG26" s="204"/>
      <c r="OKH26" s="204"/>
      <c r="OKI26" s="204"/>
      <c r="OKJ26" s="204"/>
      <c r="OKK26" s="204"/>
      <c r="OKL26" s="204"/>
      <c r="OKM26" s="204"/>
      <c r="OKN26" s="204"/>
      <c r="OKO26" s="204"/>
      <c r="OKP26" s="204"/>
      <c r="OKQ26" s="204"/>
      <c r="OKR26" s="204"/>
      <c r="OKS26" s="204"/>
      <c r="OKT26" s="204"/>
      <c r="OKU26" s="204"/>
      <c r="OKV26" s="204"/>
      <c r="OKW26" s="204"/>
      <c r="OKX26" s="204"/>
      <c r="OKY26" s="204"/>
      <c r="OKZ26" s="204"/>
      <c r="OLA26" s="204"/>
      <c r="OLB26" s="204"/>
      <c r="OLC26" s="204"/>
      <c r="OLD26" s="204"/>
      <c r="OLE26" s="204"/>
      <c r="OLF26" s="204"/>
      <c r="OLG26" s="204"/>
      <c r="OLH26" s="204"/>
      <c r="OLI26" s="204"/>
      <c r="OLJ26" s="204"/>
      <c r="OLK26" s="204"/>
      <c r="OLL26" s="204"/>
      <c r="OLM26" s="204"/>
      <c r="OLN26" s="204"/>
      <c r="OLO26" s="204"/>
      <c r="OLP26" s="204"/>
      <c r="OLQ26" s="204"/>
      <c r="OLR26" s="204"/>
      <c r="OLS26" s="204"/>
      <c r="OLT26" s="204"/>
      <c r="OLU26" s="204"/>
      <c r="OLV26" s="204"/>
      <c r="OLW26" s="204"/>
      <c r="OLX26" s="204"/>
      <c r="OLY26" s="204"/>
      <c r="OLZ26" s="204"/>
      <c r="OMA26" s="204"/>
      <c r="OMB26" s="204"/>
      <c r="OMC26" s="204"/>
      <c r="OMD26" s="204"/>
      <c r="OME26" s="204"/>
      <c r="OMF26" s="204"/>
      <c r="OMG26" s="204"/>
      <c r="OMH26" s="204"/>
      <c r="OMI26" s="204"/>
      <c r="OMJ26" s="204"/>
      <c r="OMK26" s="204"/>
      <c r="OML26" s="204"/>
      <c r="OMM26" s="204"/>
      <c r="OMN26" s="204"/>
      <c r="OMO26" s="204"/>
      <c r="OMP26" s="204"/>
      <c r="OMQ26" s="204"/>
      <c r="OMR26" s="204"/>
      <c r="OMS26" s="204"/>
      <c r="OMT26" s="204"/>
      <c r="OMU26" s="204"/>
      <c r="OMV26" s="204"/>
      <c r="OMW26" s="204"/>
      <c r="OMX26" s="204"/>
      <c r="OMY26" s="204"/>
      <c r="OMZ26" s="204"/>
      <c r="ONA26" s="204"/>
      <c r="ONB26" s="204"/>
      <c r="ONC26" s="204"/>
      <c r="OND26" s="204"/>
      <c r="ONE26" s="204"/>
      <c r="ONF26" s="204"/>
      <c r="ONG26" s="204"/>
      <c r="ONH26" s="204"/>
      <c r="ONI26" s="204"/>
      <c r="ONJ26" s="204"/>
      <c r="ONK26" s="204"/>
      <c r="ONL26" s="204"/>
      <c r="ONM26" s="204"/>
      <c r="ONN26" s="204"/>
      <c r="ONO26" s="204"/>
      <c r="ONP26" s="204"/>
      <c r="ONQ26" s="204"/>
      <c r="ONR26" s="204"/>
      <c r="ONS26" s="204"/>
      <c r="ONT26" s="204"/>
      <c r="ONU26" s="204"/>
      <c r="ONV26" s="204"/>
      <c r="ONW26" s="204"/>
      <c r="ONX26" s="204"/>
      <c r="ONY26" s="204"/>
      <c r="ONZ26" s="204"/>
      <c r="OOA26" s="204"/>
      <c r="OOB26" s="204"/>
      <c r="OOC26" s="204"/>
      <c r="OOD26" s="204"/>
      <c r="OOE26" s="204"/>
      <c r="OOF26" s="204"/>
      <c r="OOG26" s="204"/>
      <c r="OOH26" s="204"/>
      <c r="OOI26" s="204"/>
      <c r="OOJ26" s="204"/>
      <c r="OOK26" s="204"/>
      <c r="OOL26" s="204"/>
      <c r="OOM26" s="204"/>
      <c r="OON26" s="204"/>
      <c r="OOO26" s="204"/>
      <c r="OOP26" s="204"/>
      <c r="OOQ26" s="204"/>
      <c r="OOR26" s="204"/>
      <c r="OOS26" s="204"/>
      <c r="OOT26" s="204"/>
      <c r="OOU26" s="204"/>
      <c r="OOV26" s="204"/>
      <c r="OOW26" s="204"/>
      <c r="OOX26" s="204"/>
      <c r="OOY26" s="204"/>
      <c r="OOZ26" s="204"/>
      <c r="OPA26" s="204"/>
      <c r="OPB26" s="204"/>
      <c r="OPC26" s="204"/>
      <c r="OPD26" s="204"/>
      <c r="OPE26" s="204"/>
      <c r="OPF26" s="204"/>
      <c r="OPG26" s="204"/>
      <c r="OPH26" s="204"/>
      <c r="OPI26" s="204"/>
      <c r="OPJ26" s="204"/>
      <c r="OPK26" s="204"/>
      <c r="OPL26" s="204"/>
      <c r="OPM26" s="204"/>
      <c r="OPN26" s="204"/>
      <c r="OPO26" s="204"/>
      <c r="OPP26" s="204"/>
      <c r="OPQ26" s="204"/>
      <c r="OPR26" s="204"/>
      <c r="OPS26" s="204"/>
      <c r="OPT26" s="204"/>
      <c r="OPU26" s="204"/>
      <c r="OPV26" s="204"/>
      <c r="OPW26" s="204"/>
      <c r="OPX26" s="204"/>
      <c r="OPY26" s="204"/>
      <c r="OPZ26" s="204"/>
      <c r="OQA26" s="204"/>
      <c r="OQB26" s="204"/>
      <c r="OQC26" s="204"/>
      <c r="OQD26" s="204"/>
      <c r="OQE26" s="204"/>
      <c r="OQF26" s="204"/>
      <c r="OQG26" s="204"/>
      <c r="OQH26" s="204"/>
      <c r="OQI26" s="204"/>
      <c r="OQJ26" s="204"/>
      <c r="OQK26" s="204"/>
      <c r="OQL26" s="204"/>
      <c r="OQM26" s="204"/>
      <c r="OQN26" s="204"/>
      <c r="OQO26" s="204"/>
      <c r="OQP26" s="204"/>
      <c r="OQQ26" s="204"/>
      <c r="OQR26" s="204"/>
      <c r="OQS26" s="204"/>
      <c r="OQT26" s="204"/>
      <c r="OQU26" s="204"/>
      <c r="OQV26" s="204"/>
      <c r="OQW26" s="204"/>
      <c r="OQX26" s="204"/>
      <c r="OQY26" s="204"/>
      <c r="OQZ26" s="204"/>
      <c r="ORA26" s="204"/>
      <c r="ORB26" s="204"/>
      <c r="ORC26" s="204"/>
      <c r="ORD26" s="204"/>
      <c r="ORE26" s="204"/>
      <c r="ORF26" s="204"/>
      <c r="ORG26" s="204"/>
      <c r="ORH26" s="204"/>
      <c r="ORI26" s="204"/>
      <c r="ORJ26" s="204"/>
      <c r="ORK26" s="204"/>
      <c r="ORL26" s="204"/>
      <c r="ORM26" s="204"/>
      <c r="ORN26" s="204"/>
      <c r="ORO26" s="204"/>
      <c r="ORP26" s="204"/>
      <c r="ORQ26" s="204"/>
      <c r="ORR26" s="204"/>
      <c r="ORS26" s="204"/>
      <c r="ORT26" s="204"/>
      <c r="ORU26" s="204"/>
      <c r="ORV26" s="204"/>
      <c r="ORW26" s="204"/>
      <c r="ORX26" s="204"/>
      <c r="ORY26" s="204"/>
      <c r="ORZ26" s="204"/>
      <c r="OSA26" s="204"/>
      <c r="OSB26" s="204"/>
      <c r="OSC26" s="204"/>
      <c r="OSD26" s="204"/>
      <c r="OSE26" s="204"/>
      <c r="OSF26" s="204"/>
      <c r="OSG26" s="204"/>
      <c r="OSH26" s="204"/>
      <c r="OSI26" s="204"/>
      <c r="OSJ26" s="204"/>
      <c r="OSK26" s="204"/>
      <c r="OSL26" s="204"/>
      <c r="OSM26" s="204"/>
      <c r="OSN26" s="204"/>
      <c r="OSO26" s="204"/>
      <c r="OSP26" s="204"/>
      <c r="OSQ26" s="204"/>
      <c r="OSR26" s="204"/>
      <c r="OSS26" s="204"/>
      <c r="OST26" s="204"/>
      <c r="OSU26" s="204"/>
      <c r="OSV26" s="204"/>
      <c r="OSW26" s="204"/>
      <c r="OSX26" s="204"/>
      <c r="OSY26" s="204"/>
      <c r="OSZ26" s="204"/>
      <c r="OTA26" s="204"/>
      <c r="OTB26" s="204"/>
      <c r="OTC26" s="204"/>
      <c r="OTD26" s="204"/>
      <c r="OTE26" s="204"/>
      <c r="OTF26" s="204"/>
      <c r="OTG26" s="204"/>
      <c r="OTH26" s="204"/>
      <c r="OTI26" s="204"/>
      <c r="OTJ26" s="204"/>
      <c r="OTK26" s="204"/>
      <c r="OTL26" s="204"/>
      <c r="OTM26" s="204"/>
      <c r="OTN26" s="204"/>
      <c r="OTO26" s="204"/>
      <c r="OTP26" s="204"/>
      <c r="OTQ26" s="204"/>
      <c r="OTR26" s="204"/>
      <c r="OTS26" s="204"/>
      <c r="OTT26" s="204"/>
      <c r="OTU26" s="204"/>
      <c r="OTV26" s="204"/>
      <c r="OTW26" s="204"/>
      <c r="OTX26" s="204"/>
      <c r="OTY26" s="204"/>
      <c r="OTZ26" s="204"/>
      <c r="OUA26" s="204"/>
      <c r="OUB26" s="204"/>
      <c r="OUC26" s="204"/>
      <c r="OUD26" s="204"/>
      <c r="OUE26" s="204"/>
      <c r="OUF26" s="204"/>
      <c r="OUG26" s="204"/>
      <c r="OUH26" s="204"/>
      <c r="OUI26" s="204"/>
      <c r="OUJ26" s="204"/>
      <c r="OUK26" s="204"/>
      <c r="OUL26" s="204"/>
      <c r="OUM26" s="204"/>
      <c r="OUN26" s="204"/>
      <c r="OUO26" s="204"/>
      <c r="OUP26" s="204"/>
      <c r="OUQ26" s="204"/>
      <c r="OUR26" s="204"/>
      <c r="OUS26" s="204"/>
      <c r="OUT26" s="204"/>
      <c r="OUU26" s="204"/>
      <c r="OUV26" s="204"/>
      <c r="OUW26" s="204"/>
      <c r="OUX26" s="204"/>
      <c r="OUY26" s="204"/>
      <c r="OUZ26" s="204"/>
      <c r="OVA26" s="204"/>
      <c r="OVB26" s="204"/>
      <c r="OVC26" s="204"/>
      <c r="OVD26" s="204"/>
      <c r="OVE26" s="204"/>
      <c r="OVF26" s="204"/>
      <c r="OVG26" s="204"/>
      <c r="OVH26" s="204"/>
      <c r="OVI26" s="204"/>
      <c r="OVJ26" s="204"/>
      <c r="OVK26" s="204"/>
      <c r="OVL26" s="204"/>
      <c r="OVM26" s="204"/>
      <c r="OVN26" s="204"/>
      <c r="OVO26" s="204"/>
      <c r="OVP26" s="204"/>
      <c r="OVQ26" s="204"/>
      <c r="OVR26" s="204"/>
      <c r="OVS26" s="204"/>
      <c r="OVT26" s="204"/>
      <c r="OVU26" s="204"/>
      <c r="OVV26" s="204"/>
      <c r="OVW26" s="204"/>
      <c r="OVX26" s="204"/>
      <c r="OVY26" s="204"/>
      <c r="OVZ26" s="204"/>
      <c r="OWA26" s="204"/>
      <c r="OWB26" s="204"/>
      <c r="OWC26" s="204"/>
      <c r="OWD26" s="204"/>
      <c r="OWE26" s="204"/>
      <c r="OWF26" s="204"/>
      <c r="OWG26" s="204"/>
      <c r="OWH26" s="204"/>
      <c r="OWI26" s="204"/>
      <c r="OWJ26" s="204"/>
      <c r="OWK26" s="204"/>
      <c r="OWL26" s="204"/>
      <c r="OWM26" s="204"/>
      <c r="OWN26" s="204"/>
      <c r="OWO26" s="204"/>
      <c r="OWP26" s="204"/>
      <c r="OWQ26" s="204"/>
      <c r="OWR26" s="204"/>
      <c r="OWS26" s="204"/>
      <c r="OWT26" s="204"/>
      <c r="OWU26" s="204"/>
      <c r="OWV26" s="204"/>
      <c r="OWW26" s="204"/>
      <c r="OWX26" s="204"/>
      <c r="OWY26" s="204"/>
      <c r="OWZ26" s="204"/>
      <c r="OXA26" s="204"/>
      <c r="OXB26" s="204"/>
      <c r="OXC26" s="204"/>
      <c r="OXD26" s="204"/>
      <c r="OXE26" s="204"/>
      <c r="OXF26" s="204"/>
      <c r="OXG26" s="204"/>
      <c r="OXH26" s="204"/>
      <c r="OXI26" s="204"/>
      <c r="OXJ26" s="204"/>
      <c r="OXK26" s="204"/>
      <c r="OXL26" s="204"/>
      <c r="OXM26" s="204"/>
      <c r="OXN26" s="204"/>
      <c r="OXO26" s="204"/>
      <c r="OXP26" s="204"/>
      <c r="OXQ26" s="204"/>
      <c r="OXR26" s="204"/>
      <c r="OXS26" s="204"/>
      <c r="OXT26" s="204"/>
      <c r="OXU26" s="204"/>
      <c r="OXV26" s="204"/>
      <c r="OXW26" s="204"/>
      <c r="OXX26" s="204"/>
      <c r="OXY26" s="204"/>
      <c r="OXZ26" s="204"/>
      <c r="OYA26" s="204"/>
      <c r="OYB26" s="204"/>
      <c r="OYC26" s="204"/>
      <c r="OYD26" s="204"/>
      <c r="OYE26" s="204"/>
      <c r="OYF26" s="204"/>
      <c r="OYG26" s="204"/>
      <c r="OYH26" s="204"/>
      <c r="OYI26" s="204"/>
      <c r="OYJ26" s="204"/>
      <c r="OYK26" s="204"/>
      <c r="OYL26" s="204"/>
      <c r="OYM26" s="204"/>
      <c r="OYN26" s="204"/>
      <c r="OYO26" s="204"/>
      <c r="OYP26" s="204"/>
      <c r="OYQ26" s="204"/>
      <c r="OYR26" s="204"/>
      <c r="OYS26" s="204"/>
      <c r="OYT26" s="204"/>
      <c r="OYU26" s="204"/>
      <c r="OYV26" s="204"/>
      <c r="OYW26" s="204"/>
      <c r="OYX26" s="204"/>
      <c r="OYY26" s="204"/>
      <c r="OYZ26" s="204"/>
      <c r="OZA26" s="204"/>
      <c r="OZB26" s="204"/>
      <c r="OZC26" s="204"/>
      <c r="OZD26" s="204"/>
      <c r="OZE26" s="204"/>
      <c r="OZF26" s="204"/>
      <c r="OZG26" s="204"/>
      <c r="OZH26" s="204"/>
      <c r="OZI26" s="204"/>
      <c r="OZJ26" s="204"/>
      <c r="OZK26" s="204"/>
      <c r="OZL26" s="204"/>
      <c r="OZM26" s="204"/>
      <c r="OZN26" s="204"/>
      <c r="OZO26" s="204"/>
      <c r="OZP26" s="204"/>
      <c r="OZQ26" s="204"/>
      <c r="OZR26" s="204"/>
      <c r="OZS26" s="204"/>
      <c r="OZT26" s="204"/>
      <c r="OZU26" s="204"/>
      <c r="OZV26" s="204"/>
      <c r="OZW26" s="204"/>
      <c r="OZX26" s="204"/>
      <c r="OZY26" s="204"/>
      <c r="OZZ26" s="204"/>
      <c r="PAA26" s="204"/>
      <c r="PAB26" s="204"/>
      <c r="PAC26" s="204"/>
      <c r="PAD26" s="204"/>
      <c r="PAE26" s="204"/>
      <c r="PAF26" s="204"/>
      <c r="PAG26" s="204"/>
      <c r="PAH26" s="204"/>
      <c r="PAI26" s="204"/>
      <c r="PAJ26" s="204"/>
      <c r="PAK26" s="204"/>
      <c r="PAL26" s="204"/>
      <c r="PAM26" s="204"/>
      <c r="PAN26" s="204"/>
      <c r="PAO26" s="204"/>
      <c r="PAP26" s="204"/>
      <c r="PAQ26" s="204"/>
      <c r="PAR26" s="204"/>
      <c r="PAS26" s="204"/>
      <c r="PAT26" s="204"/>
      <c r="PAU26" s="204"/>
      <c r="PAV26" s="204"/>
      <c r="PAW26" s="204"/>
      <c r="PAX26" s="204"/>
      <c r="PAY26" s="204"/>
      <c r="PAZ26" s="204"/>
      <c r="PBA26" s="204"/>
      <c r="PBB26" s="204"/>
      <c r="PBC26" s="204"/>
      <c r="PBD26" s="204"/>
      <c r="PBE26" s="204"/>
      <c r="PBF26" s="204"/>
      <c r="PBG26" s="204"/>
      <c r="PBH26" s="204"/>
      <c r="PBI26" s="204"/>
      <c r="PBJ26" s="204"/>
      <c r="PBK26" s="204"/>
      <c r="PBL26" s="204"/>
      <c r="PBM26" s="204"/>
      <c r="PBN26" s="204"/>
      <c r="PBO26" s="204"/>
      <c r="PBP26" s="204"/>
      <c r="PBQ26" s="204"/>
      <c r="PBR26" s="204"/>
      <c r="PBS26" s="204"/>
      <c r="PBT26" s="204"/>
      <c r="PBU26" s="204"/>
      <c r="PBV26" s="204"/>
      <c r="PBW26" s="204"/>
      <c r="PBX26" s="204"/>
      <c r="PBY26" s="204"/>
      <c r="PBZ26" s="204"/>
      <c r="PCA26" s="204"/>
      <c r="PCB26" s="204"/>
      <c r="PCC26" s="204"/>
      <c r="PCD26" s="204"/>
      <c r="PCE26" s="204"/>
      <c r="PCF26" s="204"/>
      <c r="PCG26" s="204"/>
      <c r="PCH26" s="204"/>
      <c r="PCI26" s="204"/>
      <c r="PCJ26" s="204"/>
      <c r="PCK26" s="204"/>
      <c r="PCL26" s="204"/>
      <c r="PCM26" s="204"/>
      <c r="PCN26" s="204"/>
      <c r="PCO26" s="204"/>
      <c r="PCP26" s="204"/>
      <c r="PCQ26" s="204"/>
      <c r="PCR26" s="204"/>
      <c r="PCS26" s="204"/>
      <c r="PCT26" s="204"/>
      <c r="PCU26" s="204"/>
      <c r="PCV26" s="204"/>
      <c r="PCW26" s="204"/>
      <c r="PCX26" s="204"/>
      <c r="PCY26" s="204"/>
      <c r="PCZ26" s="204"/>
      <c r="PDA26" s="204"/>
      <c r="PDB26" s="204"/>
      <c r="PDC26" s="204"/>
      <c r="PDD26" s="204"/>
      <c r="PDE26" s="204"/>
      <c r="PDF26" s="204"/>
      <c r="PDG26" s="204"/>
      <c r="PDH26" s="204"/>
      <c r="PDI26" s="204"/>
      <c r="PDJ26" s="204"/>
      <c r="PDK26" s="204"/>
      <c r="PDL26" s="204"/>
      <c r="PDM26" s="204"/>
      <c r="PDN26" s="204"/>
      <c r="PDO26" s="204"/>
      <c r="PDP26" s="204"/>
      <c r="PDQ26" s="204"/>
      <c r="PDR26" s="204"/>
      <c r="PDS26" s="204"/>
      <c r="PDT26" s="204"/>
      <c r="PDU26" s="204"/>
      <c r="PDV26" s="204"/>
      <c r="PDW26" s="204"/>
      <c r="PDX26" s="204"/>
      <c r="PDY26" s="204"/>
      <c r="PDZ26" s="204"/>
      <c r="PEA26" s="204"/>
      <c r="PEB26" s="204"/>
      <c r="PEC26" s="204"/>
      <c r="PED26" s="204"/>
      <c r="PEE26" s="204"/>
      <c r="PEF26" s="204"/>
      <c r="PEG26" s="204"/>
      <c r="PEH26" s="204"/>
      <c r="PEI26" s="204"/>
      <c r="PEJ26" s="204"/>
      <c r="PEK26" s="204"/>
      <c r="PEL26" s="204"/>
      <c r="PEM26" s="204"/>
      <c r="PEN26" s="204"/>
      <c r="PEO26" s="204"/>
      <c r="PEP26" s="204"/>
      <c r="PEQ26" s="204"/>
      <c r="PER26" s="204"/>
      <c r="PES26" s="204"/>
      <c r="PET26" s="204"/>
      <c r="PEU26" s="204"/>
      <c r="PEV26" s="204"/>
      <c r="PEW26" s="204"/>
      <c r="PEX26" s="204"/>
      <c r="PEY26" s="204"/>
      <c r="PEZ26" s="204"/>
      <c r="PFA26" s="204"/>
      <c r="PFB26" s="204"/>
      <c r="PFC26" s="204"/>
      <c r="PFD26" s="204"/>
      <c r="PFE26" s="204"/>
      <c r="PFF26" s="204"/>
      <c r="PFG26" s="204"/>
      <c r="PFH26" s="204"/>
      <c r="PFI26" s="204"/>
      <c r="PFJ26" s="204"/>
      <c r="PFK26" s="204"/>
      <c r="PFL26" s="204"/>
      <c r="PFM26" s="204"/>
      <c r="PFN26" s="204"/>
      <c r="PFO26" s="204"/>
      <c r="PFP26" s="204"/>
      <c r="PFQ26" s="204"/>
      <c r="PFR26" s="204"/>
      <c r="PFS26" s="204"/>
      <c r="PFT26" s="204"/>
      <c r="PFU26" s="204"/>
      <c r="PFV26" s="204"/>
      <c r="PFW26" s="204"/>
      <c r="PFX26" s="204"/>
      <c r="PFY26" s="204"/>
      <c r="PFZ26" s="204"/>
      <c r="PGA26" s="204"/>
      <c r="PGB26" s="204"/>
      <c r="PGC26" s="204"/>
      <c r="PGD26" s="204"/>
      <c r="PGE26" s="204"/>
      <c r="PGF26" s="204"/>
      <c r="PGG26" s="204"/>
      <c r="PGH26" s="204"/>
      <c r="PGI26" s="204"/>
      <c r="PGJ26" s="204"/>
      <c r="PGK26" s="204"/>
      <c r="PGL26" s="204"/>
      <c r="PGM26" s="204"/>
      <c r="PGN26" s="204"/>
      <c r="PGO26" s="204"/>
      <c r="PGP26" s="204"/>
      <c r="PGQ26" s="204"/>
      <c r="PGR26" s="204"/>
      <c r="PGS26" s="204"/>
      <c r="PGT26" s="204"/>
      <c r="PGU26" s="204"/>
      <c r="PGV26" s="204"/>
      <c r="PGW26" s="204"/>
      <c r="PGX26" s="204"/>
      <c r="PGY26" s="204"/>
      <c r="PGZ26" s="204"/>
      <c r="PHA26" s="204"/>
      <c r="PHB26" s="204"/>
      <c r="PHC26" s="204"/>
      <c r="PHD26" s="204"/>
      <c r="PHE26" s="204"/>
      <c r="PHF26" s="204"/>
      <c r="PHG26" s="204"/>
      <c r="PHH26" s="204"/>
      <c r="PHI26" s="204"/>
      <c r="PHJ26" s="204"/>
      <c r="PHK26" s="204"/>
      <c r="PHL26" s="204"/>
      <c r="PHM26" s="204"/>
      <c r="PHN26" s="204"/>
      <c r="PHO26" s="204"/>
      <c r="PHP26" s="204"/>
      <c r="PHQ26" s="204"/>
      <c r="PHR26" s="204"/>
      <c r="PHS26" s="204"/>
      <c r="PHT26" s="204"/>
      <c r="PHU26" s="204"/>
      <c r="PHV26" s="204"/>
      <c r="PHW26" s="204"/>
      <c r="PHX26" s="204"/>
      <c r="PHY26" s="204"/>
      <c r="PHZ26" s="204"/>
      <c r="PIA26" s="204"/>
      <c r="PIB26" s="204"/>
      <c r="PIC26" s="204"/>
      <c r="PID26" s="204"/>
      <c r="PIE26" s="204"/>
      <c r="PIF26" s="204"/>
      <c r="PIG26" s="204"/>
      <c r="PIH26" s="204"/>
      <c r="PII26" s="204"/>
      <c r="PIJ26" s="204"/>
      <c r="PIK26" s="204"/>
      <c r="PIL26" s="204"/>
      <c r="PIM26" s="204"/>
      <c r="PIN26" s="204"/>
      <c r="PIO26" s="204"/>
      <c r="PIP26" s="204"/>
      <c r="PIQ26" s="204"/>
      <c r="PIR26" s="204"/>
      <c r="PIS26" s="204"/>
      <c r="PIT26" s="204"/>
      <c r="PIU26" s="204"/>
      <c r="PIV26" s="204"/>
      <c r="PIW26" s="204"/>
      <c r="PIX26" s="204"/>
      <c r="PIY26" s="204"/>
      <c r="PIZ26" s="204"/>
      <c r="PJA26" s="204"/>
      <c r="PJB26" s="204"/>
      <c r="PJC26" s="204"/>
      <c r="PJD26" s="204"/>
      <c r="PJE26" s="204"/>
      <c r="PJF26" s="204"/>
      <c r="PJG26" s="204"/>
      <c r="PJH26" s="204"/>
      <c r="PJI26" s="204"/>
      <c r="PJJ26" s="204"/>
      <c r="PJK26" s="204"/>
      <c r="PJL26" s="204"/>
      <c r="PJM26" s="204"/>
      <c r="PJN26" s="204"/>
      <c r="PJO26" s="204"/>
      <c r="PJP26" s="204"/>
      <c r="PJQ26" s="204"/>
      <c r="PJR26" s="204"/>
      <c r="PJS26" s="204"/>
      <c r="PJT26" s="204"/>
      <c r="PJU26" s="204"/>
      <c r="PJV26" s="204"/>
      <c r="PJW26" s="204"/>
      <c r="PJX26" s="204"/>
      <c r="PJY26" s="204"/>
      <c r="PJZ26" s="204"/>
      <c r="PKA26" s="204"/>
      <c r="PKB26" s="204"/>
      <c r="PKC26" s="204"/>
      <c r="PKD26" s="204"/>
      <c r="PKE26" s="204"/>
      <c r="PKF26" s="204"/>
      <c r="PKG26" s="204"/>
      <c r="PKH26" s="204"/>
      <c r="PKI26" s="204"/>
      <c r="PKJ26" s="204"/>
      <c r="PKK26" s="204"/>
      <c r="PKL26" s="204"/>
      <c r="PKM26" s="204"/>
      <c r="PKN26" s="204"/>
      <c r="PKO26" s="204"/>
      <c r="PKP26" s="204"/>
      <c r="PKQ26" s="204"/>
      <c r="PKR26" s="204"/>
      <c r="PKS26" s="204"/>
      <c r="PKT26" s="204"/>
      <c r="PKU26" s="204"/>
      <c r="PKV26" s="204"/>
      <c r="PKW26" s="204"/>
      <c r="PKX26" s="204"/>
      <c r="PKY26" s="204"/>
      <c r="PKZ26" s="204"/>
      <c r="PLA26" s="204"/>
      <c r="PLB26" s="204"/>
      <c r="PLC26" s="204"/>
      <c r="PLD26" s="204"/>
      <c r="PLE26" s="204"/>
      <c r="PLF26" s="204"/>
      <c r="PLG26" s="204"/>
      <c r="PLH26" s="204"/>
      <c r="PLI26" s="204"/>
      <c r="PLJ26" s="204"/>
      <c r="PLK26" s="204"/>
      <c r="PLL26" s="204"/>
      <c r="PLM26" s="204"/>
      <c r="PLN26" s="204"/>
      <c r="PLO26" s="204"/>
      <c r="PLP26" s="204"/>
      <c r="PLQ26" s="204"/>
      <c r="PLR26" s="204"/>
      <c r="PLS26" s="204"/>
      <c r="PLT26" s="204"/>
      <c r="PLU26" s="204"/>
      <c r="PLV26" s="204"/>
      <c r="PLW26" s="204"/>
      <c r="PLX26" s="204"/>
      <c r="PLY26" s="204"/>
      <c r="PLZ26" s="204"/>
      <c r="PMA26" s="204"/>
      <c r="PMB26" s="204"/>
      <c r="PMC26" s="204"/>
      <c r="PMD26" s="204"/>
      <c r="PME26" s="204"/>
      <c r="PMF26" s="204"/>
      <c r="PMG26" s="204"/>
      <c r="PMH26" s="204"/>
      <c r="PMI26" s="204"/>
      <c r="PMJ26" s="204"/>
      <c r="PMK26" s="204"/>
      <c r="PML26" s="204"/>
      <c r="PMM26" s="204"/>
      <c r="PMN26" s="204"/>
      <c r="PMO26" s="204"/>
      <c r="PMP26" s="204"/>
      <c r="PMQ26" s="204"/>
      <c r="PMR26" s="204"/>
      <c r="PMS26" s="204"/>
      <c r="PMT26" s="204"/>
      <c r="PMU26" s="204"/>
      <c r="PMV26" s="204"/>
      <c r="PMW26" s="204"/>
      <c r="PMX26" s="204"/>
      <c r="PMY26" s="204"/>
      <c r="PMZ26" s="204"/>
      <c r="PNA26" s="204"/>
      <c r="PNB26" s="204"/>
      <c r="PNC26" s="204"/>
      <c r="PND26" s="204"/>
      <c r="PNE26" s="204"/>
      <c r="PNF26" s="204"/>
      <c r="PNG26" s="204"/>
      <c r="PNH26" s="204"/>
      <c r="PNI26" s="204"/>
      <c r="PNJ26" s="204"/>
      <c r="PNK26" s="204"/>
      <c r="PNL26" s="204"/>
      <c r="PNM26" s="204"/>
      <c r="PNN26" s="204"/>
      <c r="PNO26" s="204"/>
      <c r="PNP26" s="204"/>
      <c r="PNQ26" s="204"/>
      <c r="PNR26" s="204"/>
      <c r="PNS26" s="204"/>
      <c r="PNT26" s="204"/>
      <c r="PNU26" s="204"/>
      <c r="PNV26" s="204"/>
      <c r="PNW26" s="204"/>
      <c r="PNX26" s="204"/>
      <c r="PNY26" s="204"/>
      <c r="PNZ26" s="204"/>
      <c r="POA26" s="204"/>
      <c r="POB26" s="204"/>
      <c r="POC26" s="204"/>
      <c r="POD26" s="204"/>
      <c r="POE26" s="204"/>
      <c r="POF26" s="204"/>
      <c r="POG26" s="204"/>
      <c r="POH26" s="204"/>
      <c r="POI26" s="204"/>
      <c r="POJ26" s="204"/>
      <c r="POK26" s="204"/>
      <c r="POL26" s="204"/>
      <c r="POM26" s="204"/>
      <c r="PON26" s="204"/>
      <c r="POO26" s="204"/>
      <c r="POP26" s="204"/>
      <c r="POQ26" s="204"/>
      <c r="POR26" s="204"/>
      <c r="POS26" s="204"/>
      <c r="POT26" s="204"/>
      <c r="POU26" s="204"/>
      <c r="POV26" s="204"/>
      <c r="POW26" s="204"/>
      <c r="POX26" s="204"/>
      <c r="POY26" s="204"/>
      <c r="POZ26" s="204"/>
      <c r="PPA26" s="204"/>
      <c r="PPB26" s="204"/>
      <c r="PPC26" s="204"/>
      <c r="PPD26" s="204"/>
      <c r="PPE26" s="204"/>
      <c r="PPF26" s="204"/>
      <c r="PPG26" s="204"/>
      <c r="PPH26" s="204"/>
      <c r="PPI26" s="204"/>
      <c r="PPJ26" s="204"/>
      <c r="PPK26" s="204"/>
      <c r="PPL26" s="204"/>
      <c r="PPM26" s="204"/>
      <c r="PPN26" s="204"/>
      <c r="PPO26" s="204"/>
      <c r="PPP26" s="204"/>
      <c r="PPQ26" s="204"/>
      <c r="PPR26" s="204"/>
      <c r="PPS26" s="204"/>
      <c r="PPT26" s="204"/>
      <c r="PPU26" s="204"/>
      <c r="PPV26" s="204"/>
      <c r="PPW26" s="204"/>
      <c r="PPX26" s="204"/>
      <c r="PPY26" s="204"/>
      <c r="PPZ26" s="204"/>
      <c r="PQA26" s="204"/>
      <c r="PQB26" s="204"/>
      <c r="PQC26" s="204"/>
      <c r="PQD26" s="204"/>
      <c r="PQE26" s="204"/>
      <c r="PQF26" s="204"/>
      <c r="PQG26" s="204"/>
      <c r="PQH26" s="204"/>
      <c r="PQI26" s="204"/>
      <c r="PQJ26" s="204"/>
      <c r="PQK26" s="204"/>
      <c r="PQL26" s="204"/>
      <c r="PQM26" s="204"/>
      <c r="PQN26" s="204"/>
      <c r="PQO26" s="204"/>
      <c r="PQP26" s="204"/>
      <c r="PQQ26" s="204"/>
      <c r="PQR26" s="204"/>
      <c r="PQS26" s="204"/>
      <c r="PQT26" s="204"/>
      <c r="PQU26" s="204"/>
      <c r="PQV26" s="204"/>
      <c r="PQW26" s="204"/>
      <c r="PQX26" s="204"/>
      <c r="PQY26" s="204"/>
      <c r="PQZ26" s="204"/>
      <c r="PRA26" s="204"/>
      <c r="PRB26" s="204"/>
      <c r="PRC26" s="204"/>
      <c r="PRD26" s="204"/>
      <c r="PRE26" s="204"/>
      <c r="PRF26" s="204"/>
      <c r="PRG26" s="204"/>
      <c r="PRH26" s="204"/>
      <c r="PRI26" s="204"/>
      <c r="PRJ26" s="204"/>
      <c r="PRK26" s="204"/>
      <c r="PRL26" s="204"/>
      <c r="PRM26" s="204"/>
      <c r="PRN26" s="204"/>
      <c r="PRO26" s="204"/>
      <c r="PRP26" s="204"/>
      <c r="PRQ26" s="204"/>
      <c r="PRR26" s="204"/>
      <c r="PRS26" s="204"/>
      <c r="PRT26" s="204"/>
      <c r="PRU26" s="204"/>
      <c r="PRV26" s="204"/>
      <c r="PRW26" s="204"/>
      <c r="PRX26" s="204"/>
      <c r="PRY26" s="204"/>
      <c r="PRZ26" s="204"/>
      <c r="PSA26" s="204"/>
      <c r="PSB26" s="204"/>
      <c r="PSC26" s="204"/>
      <c r="PSD26" s="204"/>
      <c r="PSE26" s="204"/>
      <c r="PSF26" s="204"/>
      <c r="PSG26" s="204"/>
      <c r="PSH26" s="204"/>
      <c r="PSI26" s="204"/>
      <c r="PSJ26" s="204"/>
      <c r="PSK26" s="204"/>
      <c r="PSL26" s="204"/>
      <c r="PSM26" s="204"/>
      <c r="PSN26" s="204"/>
      <c r="PSO26" s="204"/>
      <c r="PSP26" s="204"/>
      <c r="PSQ26" s="204"/>
      <c r="PSR26" s="204"/>
      <c r="PSS26" s="204"/>
      <c r="PST26" s="204"/>
      <c r="PSU26" s="204"/>
      <c r="PSV26" s="204"/>
      <c r="PSW26" s="204"/>
      <c r="PSX26" s="204"/>
      <c r="PSY26" s="204"/>
      <c r="PSZ26" s="204"/>
      <c r="PTA26" s="204"/>
      <c r="PTB26" s="204"/>
      <c r="PTC26" s="204"/>
      <c r="PTD26" s="204"/>
      <c r="PTE26" s="204"/>
      <c r="PTF26" s="204"/>
      <c r="PTG26" s="204"/>
      <c r="PTH26" s="204"/>
      <c r="PTI26" s="204"/>
      <c r="PTJ26" s="204"/>
      <c r="PTK26" s="204"/>
      <c r="PTL26" s="204"/>
      <c r="PTM26" s="204"/>
      <c r="PTN26" s="204"/>
      <c r="PTO26" s="204"/>
      <c r="PTP26" s="204"/>
      <c r="PTQ26" s="204"/>
      <c r="PTR26" s="204"/>
      <c r="PTS26" s="204"/>
      <c r="PTT26" s="204"/>
      <c r="PTU26" s="204"/>
      <c r="PTV26" s="204"/>
      <c r="PTW26" s="204"/>
      <c r="PTX26" s="204"/>
      <c r="PTY26" s="204"/>
      <c r="PTZ26" s="204"/>
      <c r="PUA26" s="204"/>
      <c r="PUB26" s="204"/>
      <c r="PUC26" s="204"/>
      <c r="PUD26" s="204"/>
      <c r="PUE26" s="204"/>
      <c r="PUF26" s="204"/>
      <c r="PUG26" s="204"/>
      <c r="PUH26" s="204"/>
      <c r="PUI26" s="204"/>
      <c r="PUJ26" s="204"/>
      <c r="PUK26" s="204"/>
      <c r="PUL26" s="204"/>
      <c r="PUM26" s="204"/>
      <c r="PUN26" s="204"/>
      <c r="PUO26" s="204"/>
      <c r="PUP26" s="204"/>
      <c r="PUQ26" s="204"/>
      <c r="PUR26" s="204"/>
      <c r="PUS26" s="204"/>
      <c r="PUT26" s="204"/>
      <c r="PUU26" s="204"/>
      <c r="PUV26" s="204"/>
      <c r="PUW26" s="204"/>
      <c r="PUX26" s="204"/>
      <c r="PUY26" s="204"/>
      <c r="PUZ26" s="204"/>
      <c r="PVA26" s="204"/>
      <c r="PVB26" s="204"/>
      <c r="PVC26" s="204"/>
      <c r="PVD26" s="204"/>
      <c r="PVE26" s="204"/>
      <c r="PVF26" s="204"/>
      <c r="PVG26" s="204"/>
      <c r="PVH26" s="204"/>
      <c r="PVI26" s="204"/>
      <c r="PVJ26" s="204"/>
      <c r="PVK26" s="204"/>
      <c r="PVL26" s="204"/>
      <c r="PVM26" s="204"/>
      <c r="PVN26" s="204"/>
      <c r="PVO26" s="204"/>
      <c r="PVP26" s="204"/>
      <c r="PVQ26" s="204"/>
      <c r="PVR26" s="204"/>
      <c r="PVS26" s="204"/>
      <c r="PVT26" s="204"/>
      <c r="PVU26" s="204"/>
      <c r="PVV26" s="204"/>
      <c r="PVW26" s="204"/>
      <c r="PVX26" s="204"/>
      <c r="PVY26" s="204"/>
      <c r="PVZ26" s="204"/>
      <c r="PWA26" s="204"/>
      <c r="PWB26" s="204"/>
      <c r="PWC26" s="204"/>
      <c r="PWD26" s="204"/>
      <c r="PWE26" s="204"/>
      <c r="PWF26" s="204"/>
      <c r="PWG26" s="204"/>
      <c r="PWH26" s="204"/>
      <c r="PWI26" s="204"/>
      <c r="PWJ26" s="204"/>
      <c r="PWK26" s="204"/>
      <c r="PWL26" s="204"/>
      <c r="PWM26" s="204"/>
      <c r="PWN26" s="204"/>
      <c r="PWO26" s="204"/>
      <c r="PWP26" s="204"/>
      <c r="PWQ26" s="204"/>
      <c r="PWR26" s="204"/>
      <c r="PWS26" s="204"/>
      <c r="PWT26" s="204"/>
      <c r="PWU26" s="204"/>
      <c r="PWV26" s="204"/>
      <c r="PWW26" s="204"/>
      <c r="PWX26" s="204"/>
      <c r="PWY26" s="204"/>
      <c r="PWZ26" s="204"/>
      <c r="PXA26" s="204"/>
      <c r="PXB26" s="204"/>
      <c r="PXC26" s="204"/>
      <c r="PXD26" s="204"/>
      <c r="PXE26" s="204"/>
      <c r="PXF26" s="204"/>
      <c r="PXG26" s="204"/>
      <c r="PXH26" s="204"/>
      <c r="PXI26" s="204"/>
      <c r="PXJ26" s="204"/>
      <c r="PXK26" s="204"/>
      <c r="PXL26" s="204"/>
      <c r="PXM26" s="204"/>
      <c r="PXN26" s="204"/>
      <c r="PXO26" s="204"/>
      <c r="PXP26" s="204"/>
      <c r="PXQ26" s="204"/>
      <c r="PXR26" s="204"/>
      <c r="PXS26" s="204"/>
      <c r="PXT26" s="204"/>
      <c r="PXU26" s="204"/>
      <c r="PXV26" s="204"/>
      <c r="PXW26" s="204"/>
      <c r="PXX26" s="204"/>
      <c r="PXY26" s="204"/>
      <c r="PXZ26" s="204"/>
      <c r="PYA26" s="204"/>
      <c r="PYB26" s="204"/>
      <c r="PYC26" s="204"/>
      <c r="PYD26" s="204"/>
      <c r="PYE26" s="204"/>
      <c r="PYF26" s="204"/>
      <c r="PYG26" s="204"/>
      <c r="PYH26" s="204"/>
      <c r="PYI26" s="204"/>
      <c r="PYJ26" s="204"/>
      <c r="PYK26" s="204"/>
      <c r="PYL26" s="204"/>
      <c r="PYM26" s="204"/>
      <c r="PYN26" s="204"/>
      <c r="PYO26" s="204"/>
      <c r="PYP26" s="204"/>
      <c r="PYQ26" s="204"/>
      <c r="PYR26" s="204"/>
      <c r="PYS26" s="204"/>
      <c r="PYT26" s="204"/>
      <c r="PYU26" s="204"/>
      <c r="PYV26" s="204"/>
      <c r="PYW26" s="204"/>
      <c r="PYX26" s="204"/>
      <c r="PYY26" s="204"/>
      <c r="PYZ26" s="204"/>
      <c r="PZA26" s="204"/>
      <c r="PZB26" s="204"/>
      <c r="PZC26" s="204"/>
      <c r="PZD26" s="204"/>
      <c r="PZE26" s="204"/>
      <c r="PZF26" s="204"/>
      <c r="PZG26" s="204"/>
      <c r="PZH26" s="204"/>
      <c r="PZI26" s="204"/>
      <c r="PZJ26" s="204"/>
      <c r="PZK26" s="204"/>
      <c r="PZL26" s="204"/>
      <c r="PZM26" s="204"/>
      <c r="PZN26" s="204"/>
      <c r="PZO26" s="204"/>
      <c r="PZP26" s="204"/>
      <c r="PZQ26" s="204"/>
      <c r="PZR26" s="204"/>
      <c r="PZS26" s="204"/>
      <c r="PZT26" s="204"/>
      <c r="PZU26" s="204"/>
      <c r="PZV26" s="204"/>
      <c r="PZW26" s="204"/>
      <c r="PZX26" s="204"/>
      <c r="PZY26" s="204"/>
      <c r="PZZ26" s="204"/>
      <c r="QAA26" s="204"/>
      <c r="QAB26" s="204"/>
      <c r="QAC26" s="204"/>
      <c r="QAD26" s="204"/>
      <c r="QAE26" s="204"/>
      <c r="QAF26" s="204"/>
      <c r="QAG26" s="204"/>
      <c r="QAH26" s="204"/>
      <c r="QAI26" s="204"/>
      <c r="QAJ26" s="204"/>
      <c r="QAK26" s="204"/>
      <c r="QAL26" s="204"/>
      <c r="QAM26" s="204"/>
      <c r="QAN26" s="204"/>
      <c r="QAO26" s="204"/>
      <c r="QAP26" s="204"/>
      <c r="QAQ26" s="204"/>
      <c r="QAR26" s="204"/>
      <c r="QAS26" s="204"/>
      <c r="QAT26" s="204"/>
      <c r="QAU26" s="204"/>
      <c r="QAV26" s="204"/>
      <c r="QAW26" s="204"/>
      <c r="QAX26" s="204"/>
      <c r="QAY26" s="204"/>
      <c r="QAZ26" s="204"/>
      <c r="QBA26" s="204"/>
      <c r="QBB26" s="204"/>
      <c r="QBC26" s="204"/>
      <c r="QBD26" s="204"/>
      <c r="QBE26" s="204"/>
      <c r="QBF26" s="204"/>
      <c r="QBG26" s="204"/>
      <c r="QBH26" s="204"/>
      <c r="QBI26" s="204"/>
      <c r="QBJ26" s="204"/>
      <c r="QBK26" s="204"/>
      <c r="QBL26" s="204"/>
      <c r="QBM26" s="204"/>
      <c r="QBN26" s="204"/>
      <c r="QBO26" s="204"/>
      <c r="QBP26" s="204"/>
      <c r="QBQ26" s="204"/>
      <c r="QBR26" s="204"/>
      <c r="QBS26" s="204"/>
      <c r="QBT26" s="204"/>
      <c r="QBU26" s="204"/>
      <c r="QBV26" s="204"/>
      <c r="QBW26" s="204"/>
      <c r="QBX26" s="204"/>
      <c r="QBY26" s="204"/>
      <c r="QBZ26" s="204"/>
      <c r="QCA26" s="204"/>
      <c r="QCB26" s="204"/>
      <c r="QCC26" s="204"/>
      <c r="QCD26" s="204"/>
      <c r="QCE26" s="204"/>
      <c r="QCF26" s="204"/>
      <c r="QCG26" s="204"/>
      <c r="QCH26" s="204"/>
      <c r="QCI26" s="204"/>
      <c r="QCJ26" s="204"/>
      <c r="QCK26" s="204"/>
      <c r="QCL26" s="204"/>
      <c r="QCM26" s="204"/>
      <c r="QCN26" s="204"/>
      <c r="QCO26" s="204"/>
      <c r="QCP26" s="204"/>
      <c r="QCQ26" s="204"/>
      <c r="QCR26" s="204"/>
      <c r="QCS26" s="204"/>
      <c r="QCT26" s="204"/>
      <c r="QCU26" s="204"/>
      <c r="QCV26" s="204"/>
      <c r="QCW26" s="204"/>
      <c r="QCX26" s="204"/>
      <c r="QCY26" s="204"/>
      <c r="QCZ26" s="204"/>
      <c r="QDA26" s="204"/>
      <c r="QDB26" s="204"/>
      <c r="QDC26" s="204"/>
      <c r="QDD26" s="204"/>
      <c r="QDE26" s="204"/>
      <c r="QDF26" s="204"/>
      <c r="QDG26" s="204"/>
      <c r="QDH26" s="204"/>
      <c r="QDI26" s="204"/>
      <c r="QDJ26" s="204"/>
      <c r="QDK26" s="204"/>
      <c r="QDL26" s="204"/>
      <c r="QDM26" s="204"/>
      <c r="QDN26" s="204"/>
      <c r="QDO26" s="204"/>
      <c r="QDP26" s="204"/>
      <c r="QDQ26" s="204"/>
      <c r="QDR26" s="204"/>
      <c r="QDS26" s="204"/>
      <c r="QDT26" s="204"/>
      <c r="QDU26" s="204"/>
      <c r="QDV26" s="204"/>
      <c r="QDW26" s="204"/>
      <c r="QDX26" s="204"/>
      <c r="QDY26" s="204"/>
      <c r="QDZ26" s="204"/>
      <c r="QEA26" s="204"/>
      <c r="QEB26" s="204"/>
      <c r="QEC26" s="204"/>
      <c r="QED26" s="204"/>
      <c r="QEE26" s="204"/>
      <c r="QEF26" s="204"/>
      <c r="QEG26" s="204"/>
      <c r="QEH26" s="204"/>
      <c r="QEI26" s="204"/>
      <c r="QEJ26" s="204"/>
      <c r="QEK26" s="204"/>
      <c r="QEL26" s="204"/>
      <c r="QEM26" s="204"/>
      <c r="QEN26" s="204"/>
      <c r="QEO26" s="204"/>
      <c r="QEP26" s="204"/>
      <c r="QEQ26" s="204"/>
      <c r="QER26" s="204"/>
      <c r="QES26" s="204"/>
      <c r="QET26" s="204"/>
      <c r="QEU26" s="204"/>
      <c r="QEV26" s="204"/>
      <c r="QEW26" s="204"/>
      <c r="QEX26" s="204"/>
      <c r="QEY26" s="204"/>
      <c r="QEZ26" s="204"/>
      <c r="QFA26" s="204"/>
      <c r="QFB26" s="204"/>
      <c r="QFC26" s="204"/>
      <c r="QFD26" s="204"/>
      <c r="QFE26" s="204"/>
      <c r="QFF26" s="204"/>
      <c r="QFG26" s="204"/>
      <c r="QFH26" s="204"/>
      <c r="QFI26" s="204"/>
      <c r="QFJ26" s="204"/>
      <c r="QFK26" s="204"/>
      <c r="QFL26" s="204"/>
      <c r="QFM26" s="204"/>
      <c r="QFN26" s="204"/>
      <c r="QFO26" s="204"/>
      <c r="QFP26" s="204"/>
      <c r="QFQ26" s="204"/>
      <c r="QFR26" s="204"/>
      <c r="QFS26" s="204"/>
      <c r="QFT26" s="204"/>
      <c r="QFU26" s="204"/>
      <c r="QFV26" s="204"/>
      <c r="QFW26" s="204"/>
      <c r="QFX26" s="204"/>
      <c r="QFY26" s="204"/>
      <c r="QFZ26" s="204"/>
      <c r="QGA26" s="204"/>
      <c r="QGB26" s="204"/>
      <c r="QGC26" s="204"/>
      <c r="QGD26" s="204"/>
      <c r="QGE26" s="204"/>
      <c r="QGF26" s="204"/>
      <c r="QGG26" s="204"/>
      <c r="QGH26" s="204"/>
      <c r="QGI26" s="204"/>
      <c r="QGJ26" s="204"/>
      <c r="QGK26" s="204"/>
      <c r="QGL26" s="204"/>
      <c r="QGM26" s="204"/>
      <c r="QGN26" s="204"/>
      <c r="QGO26" s="204"/>
      <c r="QGP26" s="204"/>
      <c r="QGQ26" s="204"/>
      <c r="QGR26" s="204"/>
      <c r="QGS26" s="204"/>
      <c r="QGT26" s="204"/>
      <c r="QGU26" s="204"/>
      <c r="QGV26" s="204"/>
      <c r="QGW26" s="204"/>
      <c r="QGX26" s="204"/>
      <c r="QGY26" s="204"/>
      <c r="QGZ26" s="204"/>
      <c r="QHA26" s="204"/>
      <c r="QHB26" s="204"/>
      <c r="QHC26" s="204"/>
      <c r="QHD26" s="204"/>
      <c r="QHE26" s="204"/>
      <c r="QHF26" s="204"/>
      <c r="QHG26" s="204"/>
      <c r="QHH26" s="204"/>
      <c r="QHI26" s="204"/>
      <c r="QHJ26" s="204"/>
      <c r="QHK26" s="204"/>
      <c r="QHL26" s="204"/>
      <c r="QHM26" s="204"/>
      <c r="QHN26" s="204"/>
      <c r="QHO26" s="204"/>
      <c r="QHP26" s="204"/>
      <c r="QHQ26" s="204"/>
      <c r="QHR26" s="204"/>
      <c r="QHS26" s="204"/>
      <c r="QHT26" s="204"/>
      <c r="QHU26" s="204"/>
      <c r="QHV26" s="204"/>
      <c r="QHW26" s="204"/>
      <c r="QHX26" s="204"/>
      <c r="QHY26" s="204"/>
      <c r="QHZ26" s="204"/>
      <c r="QIA26" s="204"/>
      <c r="QIB26" s="204"/>
      <c r="QIC26" s="204"/>
      <c r="QID26" s="204"/>
      <c r="QIE26" s="204"/>
      <c r="QIF26" s="204"/>
      <c r="QIG26" s="204"/>
      <c r="QIH26" s="204"/>
      <c r="QII26" s="204"/>
      <c r="QIJ26" s="204"/>
      <c r="QIK26" s="204"/>
      <c r="QIL26" s="204"/>
      <c r="QIM26" s="204"/>
      <c r="QIN26" s="204"/>
      <c r="QIO26" s="204"/>
      <c r="QIP26" s="204"/>
      <c r="QIQ26" s="204"/>
      <c r="QIR26" s="204"/>
      <c r="QIS26" s="204"/>
      <c r="QIT26" s="204"/>
      <c r="QIU26" s="204"/>
      <c r="QIV26" s="204"/>
      <c r="QIW26" s="204"/>
      <c r="QIX26" s="204"/>
      <c r="QIY26" s="204"/>
      <c r="QIZ26" s="204"/>
      <c r="QJA26" s="204"/>
      <c r="QJB26" s="204"/>
      <c r="QJC26" s="204"/>
      <c r="QJD26" s="204"/>
      <c r="QJE26" s="204"/>
      <c r="QJF26" s="204"/>
      <c r="QJG26" s="204"/>
      <c r="QJH26" s="204"/>
      <c r="QJI26" s="204"/>
      <c r="QJJ26" s="204"/>
      <c r="QJK26" s="204"/>
      <c r="QJL26" s="204"/>
      <c r="QJM26" s="204"/>
      <c r="QJN26" s="204"/>
      <c r="QJO26" s="204"/>
      <c r="QJP26" s="204"/>
      <c r="QJQ26" s="204"/>
      <c r="QJR26" s="204"/>
      <c r="QJS26" s="204"/>
      <c r="QJT26" s="204"/>
      <c r="QJU26" s="204"/>
      <c r="QJV26" s="204"/>
      <c r="QJW26" s="204"/>
      <c r="QJX26" s="204"/>
      <c r="QJY26" s="204"/>
      <c r="QJZ26" s="204"/>
      <c r="QKA26" s="204"/>
      <c r="QKB26" s="204"/>
      <c r="QKC26" s="204"/>
      <c r="QKD26" s="204"/>
      <c r="QKE26" s="204"/>
      <c r="QKF26" s="204"/>
      <c r="QKG26" s="204"/>
      <c r="QKH26" s="204"/>
      <c r="QKI26" s="204"/>
      <c r="QKJ26" s="204"/>
      <c r="QKK26" s="204"/>
      <c r="QKL26" s="204"/>
      <c r="QKM26" s="204"/>
      <c r="QKN26" s="204"/>
      <c r="QKO26" s="204"/>
      <c r="QKP26" s="204"/>
      <c r="QKQ26" s="204"/>
      <c r="QKR26" s="204"/>
      <c r="QKS26" s="204"/>
      <c r="QKT26" s="204"/>
      <c r="QKU26" s="204"/>
      <c r="QKV26" s="204"/>
      <c r="QKW26" s="204"/>
      <c r="QKX26" s="204"/>
      <c r="QKY26" s="204"/>
      <c r="QKZ26" s="204"/>
      <c r="QLA26" s="204"/>
      <c r="QLB26" s="204"/>
      <c r="QLC26" s="204"/>
      <c r="QLD26" s="204"/>
      <c r="QLE26" s="204"/>
      <c r="QLF26" s="204"/>
      <c r="QLG26" s="204"/>
      <c r="QLH26" s="204"/>
      <c r="QLI26" s="204"/>
      <c r="QLJ26" s="204"/>
      <c r="QLK26" s="204"/>
      <c r="QLL26" s="204"/>
      <c r="QLM26" s="204"/>
      <c r="QLN26" s="204"/>
      <c r="QLO26" s="204"/>
      <c r="QLP26" s="204"/>
      <c r="QLQ26" s="204"/>
      <c r="QLR26" s="204"/>
      <c r="QLS26" s="204"/>
      <c r="QLT26" s="204"/>
      <c r="QLU26" s="204"/>
      <c r="QLV26" s="204"/>
      <c r="QLW26" s="204"/>
      <c r="QLX26" s="204"/>
      <c r="QLY26" s="204"/>
      <c r="QLZ26" s="204"/>
      <c r="QMA26" s="204"/>
      <c r="QMB26" s="204"/>
      <c r="QMC26" s="204"/>
      <c r="QMD26" s="204"/>
      <c r="QME26" s="204"/>
      <c r="QMF26" s="204"/>
      <c r="QMG26" s="204"/>
      <c r="QMH26" s="204"/>
      <c r="QMI26" s="204"/>
      <c r="QMJ26" s="204"/>
      <c r="QMK26" s="204"/>
      <c r="QML26" s="204"/>
      <c r="QMM26" s="204"/>
      <c r="QMN26" s="204"/>
      <c r="QMO26" s="204"/>
      <c r="QMP26" s="204"/>
      <c r="QMQ26" s="204"/>
      <c r="QMR26" s="204"/>
      <c r="QMS26" s="204"/>
      <c r="QMT26" s="204"/>
      <c r="QMU26" s="204"/>
      <c r="QMV26" s="204"/>
      <c r="QMW26" s="204"/>
      <c r="QMX26" s="204"/>
      <c r="QMY26" s="204"/>
      <c r="QMZ26" s="204"/>
      <c r="QNA26" s="204"/>
      <c r="QNB26" s="204"/>
      <c r="QNC26" s="204"/>
      <c r="QND26" s="204"/>
      <c r="QNE26" s="204"/>
      <c r="QNF26" s="204"/>
      <c r="QNG26" s="204"/>
      <c r="QNH26" s="204"/>
      <c r="QNI26" s="204"/>
      <c r="QNJ26" s="204"/>
      <c r="QNK26" s="204"/>
      <c r="QNL26" s="204"/>
      <c r="QNM26" s="204"/>
      <c r="QNN26" s="204"/>
      <c r="QNO26" s="204"/>
      <c r="QNP26" s="204"/>
      <c r="QNQ26" s="204"/>
      <c r="QNR26" s="204"/>
      <c r="QNS26" s="204"/>
      <c r="QNT26" s="204"/>
      <c r="QNU26" s="204"/>
      <c r="QNV26" s="204"/>
      <c r="QNW26" s="204"/>
      <c r="QNX26" s="204"/>
      <c r="QNY26" s="204"/>
      <c r="QNZ26" s="204"/>
      <c r="QOA26" s="204"/>
      <c r="QOB26" s="204"/>
      <c r="QOC26" s="204"/>
      <c r="QOD26" s="204"/>
      <c r="QOE26" s="204"/>
      <c r="QOF26" s="204"/>
      <c r="QOG26" s="204"/>
      <c r="QOH26" s="204"/>
      <c r="QOI26" s="204"/>
      <c r="QOJ26" s="204"/>
      <c r="QOK26" s="204"/>
      <c r="QOL26" s="204"/>
      <c r="QOM26" s="204"/>
      <c r="QON26" s="204"/>
      <c r="QOO26" s="204"/>
      <c r="QOP26" s="204"/>
      <c r="QOQ26" s="204"/>
      <c r="QOR26" s="204"/>
      <c r="QOS26" s="204"/>
      <c r="QOT26" s="204"/>
      <c r="QOU26" s="204"/>
      <c r="QOV26" s="204"/>
      <c r="QOW26" s="204"/>
      <c r="QOX26" s="204"/>
      <c r="QOY26" s="204"/>
      <c r="QOZ26" s="204"/>
      <c r="QPA26" s="204"/>
      <c r="QPB26" s="204"/>
      <c r="QPC26" s="204"/>
      <c r="QPD26" s="204"/>
      <c r="QPE26" s="204"/>
      <c r="QPF26" s="204"/>
      <c r="QPG26" s="204"/>
      <c r="QPH26" s="204"/>
      <c r="QPI26" s="204"/>
      <c r="QPJ26" s="204"/>
      <c r="QPK26" s="204"/>
      <c r="QPL26" s="204"/>
      <c r="QPM26" s="204"/>
      <c r="QPN26" s="204"/>
      <c r="QPO26" s="204"/>
      <c r="QPP26" s="204"/>
      <c r="QPQ26" s="204"/>
      <c r="QPR26" s="204"/>
      <c r="QPS26" s="204"/>
      <c r="QPT26" s="204"/>
      <c r="QPU26" s="204"/>
      <c r="QPV26" s="204"/>
      <c r="QPW26" s="204"/>
      <c r="QPX26" s="204"/>
      <c r="QPY26" s="204"/>
      <c r="QPZ26" s="204"/>
      <c r="QQA26" s="204"/>
      <c r="QQB26" s="204"/>
      <c r="QQC26" s="204"/>
      <c r="QQD26" s="204"/>
      <c r="QQE26" s="204"/>
      <c r="QQF26" s="204"/>
      <c r="QQG26" s="204"/>
      <c r="QQH26" s="204"/>
      <c r="QQI26" s="204"/>
      <c r="QQJ26" s="204"/>
      <c r="QQK26" s="204"/>
      <c r="QQL26" s="204"/>
      <c r="QQM26" s="204"/>
      <c r="QQN26" s="204"/>
      <c r="QQO26" s="204"/>
      <c r="QQP26" s="204"/>
      <c r="QQQ26" s="204"/>
      <c r="QQR26" s="204"/>
      <c r="QQS26" s="204"/>
      <c r="QQT26" s="204"/>
      <c r="QQU26" s="204"/>
      <c r="QQV26" s="204"/>
      <c r="QQW26" s="204"/>
      <c r="QQX26" s="204"/>
      <c r="QQY26" s="204"/>
      <c r="QQZ26" s="204"/>
      <c r="QRA26" s="204"/>
      <c r="QRB26" s="204"/>
      <c r="QRC26" s="204"/>
      <c r="QRD26" s="204"/>
      <c r="QRE26" s="204"/>
      <c r="QRF26" s="204"/>
      <c r="QRG26" s="204"/>
      <c r="QRH26" s="204"/>
      <c r="QRI26" s="204"/>
      <c r="QRJ26" s="204"/>
      <c r="QRK26" s="204"/>
      <c r="QRL26" s="204"/>
      <c r="QRM26" s="204"/>
      <c r="QRN26" s="204"/>
      <c r="QRO26" s="204"/>
      <c r="QRP26" s="204"/>
      <c r="QRQ26" s="204"/>
      <c r="QRR26" s="204"/>
      <c r="QRS26" s="204"/>
      <c r="QRT26" s="204"/>
      <c r="QRU26" s="204"/>
      <c r="QRV26" s="204"/>
      <c r="QRW26" s="204"/>
      <c r="QRX26" s="204"/>
      <c r="QRY26" s="204"/>
      <c r="QRZ26" s="204"/>
      <c r="QSA26" s="204"/>
      <c r="QSB26" s="204"/>
      <c r="QSC26" s="204"/>
      <c r="QSD26" s="204"/>
      <c r="QSE26" s="204"/>
      <c r="QSF26" s="204"/>
      <c r="QSG26" s="204"/>
      <c r="QSH26" s="204"/>
      <c r="QSI26" s="204"/>
      <c r="QSJ26" s="204"/>
      <c r="QSK26" s="204"/>
      <c r="QSL26" s="204"/>
      <c r="QSM26" s="204"/>
      <c r="QSN26" s="204"/>
      <c r="QSO26" s="204"/>
      <c r="QSP26" s="204"/>
      <c r="QSQ26" s="204"/>
      <c r="QSR26" s="204"/>
      <c r="QSS26" s="204"/>
      <c r="QST26" s="204"/>
      <c r="QSU26" s="204"/>
      <c r="QSV26" s="204"/>
      <c r="QSW26" s="204"/>
      <c r="QSX26" s="204"/>
      <c r="QSY26" s="204"/>
      <c r="QSZ26" s="204"/>
      <c r="QTA26" s="204"/>
      <c r="QTB26" s="204"/>
      <c r="QTC26" s="204"/>
      <c r="QTD26" s="204"/>
      <c r="QTE26" s="204"/>
      <c r="QTF26" s="204"/>
      <c r="QTG26" s="204"/>
      <c r="QTH26" s="204"/>
      <c r="QTI26" s="204"/>
      <c r="QTJ26" s="204"/>
      <c r="QTK26" s="204"/>
      <c r="QTL26" s="204"/>
      <c r="QTM26" s="204"/>
      <c r="QTN26" s="204"/>
      <c r="QTO26" s="204"/>
      <c r="QTP26" s="204"/>
      <c r="QTQ26" s="204"/>
      <c r="QTR26" s="204"/>
      <c r="QTS26" s="204"/>
      <c r="QTT26" s="204"/>
      <c r="QTU26" s="204"/>
      <c r="QTV26" s="204"/>
      <c r="QTW26" s="204"/>
      <c r="QTX26" s="204"/>
      <c r="QTY26" s="204"/>
      <c r="QTZ26" s="204"/>
      <c r="QUA26" s="204"/>
      <c r="QUB26" s="204"/>
      <c r="QUC26" s="204"/>
      <c r="QUD26" s="204"/>
      <c r="QUE26" s="204"/>
      <c r="QUF26" s="204"/>
      <c r="QUG26" s="204"/>
      <c r="QUH26" s="204"/>
      <c r="QUI26" s="204"/>
      <c r="QUJ26" s="204"/>
      <c r="QUK26" s="204"/>
      <c r="QUL26" s="204"/>
      <c r="QUM26" s="204"/>
      <c r="QUN26" s="204"/>
      <c r="QUO26" s="204"/>
      <c r="QUP26" s="204"/>
      <c r="QUQ26" s="204"/>
      <c r="QUR26" s="204"/>
      <c r="QUS26" s="204"/>
      <c r="QUT26" s="204"/>
      <c r="QUU26" s="204"/>
      <c r="QUV26" s="204"/>
      <c r="QUW26" s="204"/>
      <c r="QUX26" s="204"/>
      <c r="QUY26" s="204"/>
      <c r="QUZ26" s="204"/>
      <c r="QVA26" s="204"/>
      <c r="QVB26" s="204"/>
      <c r="QVC26" s="204"/>
      <c r="QVD26" s="204"/>
      <c r="QVE26" s="204"/>
      <c r="QVF26" s="204"/>
      <c r="QVG26" s="204"/>
      <c r="QVH26" s="204"/>
      <c r="QVI26" s="204"/>
      <c r="QVJ26" s="204"/>
      <c r="QVK26" s="204"/>
      <c r="QVL26" s="204"/>
      <c r="QVM26" s="204"/>
      <c r="QVN26" s="204"/>
      <c r="QVO26" s="204"/>
      <c r="QVP26" s="204"/>
      <c r="QVQ26" s="204"/>
      <c r="QVR26" s="204"/>
      <c r="QVS26" s="204"/>
      <c r="QVT26" s="204"/>
      <c r="QVU26" s="204"/>
      <c r="QVV26" s="204"/>
      <c r="QVW26" s="204"/>
      <c r="QVX26" s="204"/>
      <c r="QVY26" s="204"/>
      <c r="QVZ26" s="204"/>
      <c r="QWA26" s="204"/>
      <c r="QWB26" s="204"/>
      <c r="QWC26" s="204"/>
      <c r="QWD26" s="204"/>
      <c r="QWE26" s="204"/>
      <c r="QWF26" s="204"/>
      <c r="QWG26" s="204"/>
      <c r="QWH26" s="204"/>
      <c r="QWI26" s="204"/>
      <c r="QWJ26" s="204"/>
      <c r="QWK26" s="204"/>
      <c r="QWL26" s="204"/>
      <c r="QWM26" s="204"/>
      <c r="QWN26" s="204"/>
      <c r="QWO26" s="204"/>
      <c r="QWP26" s="204"/>
      <c r="QWQ26" s="204"/>
      <c r="QWR26" s="204"/>
      <c r="QWS26" s="204"/>
      <c r="QWT26" s="204"/>
      <c r="QWU26" s="204"/>
      <c r="QWV26" s="204"/>
      <c r="QWW26" s="204"/>
      <c r="QWX26" s="204"/>
      <c r="QWY26" s="204"/>
      <c r="QWZ26" s="204"/>
      <c r="QXA26" s="204"/>
      <c r="QXB26" s="204"/>
      <c r="QXC26" s="204"/>
      <c r="QXD26" s="204"/>
      <c r="QXE26" s="204"/>
      <c r="QXF26" s="204"/>
      <c r="QXG26" s="204"/>
      <c r="QXH26" s="204"/>
      <c r="QXI26" s="204"/>
      <c r="QXJ26" s="204"/>
      <c r="QXK26" s="204"/>
      <c r="QXL26" s="204"/>
      <c r="QXM26" s="204"/>
      <c r="QXN26" s="204"/>
      <c r="QXO26" s="204"/>
      <c r="QXP26" s="204"/>
      <c r="QXQ26" s="204"/>
      <c r="QXR26" s="204"/>
      <c r="QXS26" s="204"/>
      <c r="QXT26" s="204"/>
      <c r="QXU26" s="204"/>
      <c r="QXV26" s="204"/>
      <c r="QXW26" s="204"/>
      <c r="QXX26" s="204"/>
      <c r="QXY26" s="204"/>
      <c r="QXZ26" s="204"/>
      <c r="QYA26" s="204"/>
      <c r="QYB26" s="204"/>
      <c r="QYC26" s="204"/>
      <c r="QYD26" s="204"/>
      <c r="QYE26" s="204"/>
      <c r="QYF26" s="204"/>
      <c r="QYG26" s="204"/>
      <c r="QYH26" s="204"/>
      <c r="QYI26" s="204"/>
      <c r="QYJ26" s="204"/>
      <c r="QYK26" s="204"/>
      <c r="QYL26" s="204"/>
      <c r="QYM26" s="204"/>
      <c r="QYN26" s="204"/>
      <c r="QYO26" s="204"/>
      <c r="QYP26" s="204"/>
      <c r="QYQ26" s="204"/>
      <c r="QYR26" s="204"/>
      <c r="QYS26" s="204"/>
      <c r="QYT26" s="204"/>
      <c r="QYU26" s="204"/>
      <c r="QYV26" s="204"/>
      <c r="QYW26" s="204"/>
      <c r="QYX26" s="204"/>
      <c r="QYY26" s="204"/>
      <c r="QYZ26" s="204"/>
      <c r="QZA26" s="204"/>
      <c r="QZB26" s="204"/>
      <c r="QZC26" s="204"/>
      <c r="QZD26" s="204"/>
      <c r="QZE26" s="204"/>
      <c r="QZF26" s="204"/>
      <c r="QZG26" s="204"/>
      <c r="QZH26" s="204"/>
      <c r="QZI26" s="204"/>
      <c r="QZJ26" s="204"/>
      <c r="QZK26" s="204"/>
      <c r="QZL26" s="204"/>
      <c r="QZM26" s="204"/>
      <c r="QZN26" s="204"/>
      <c r="QZO26" s="204"/>
      <c r="QZP26" s="204"/>
      <c r="QZQ26" s="204"/>
      <c r="QZR26" s="204"/>
      <c r="QZS26" s="204"/>
      <c r="QZT26" s="204"/>
      <c r="QZU26" s="204"/>
      <c r="QZV26" s="204"/>
      <c r="QZW26" s="204"/>
      <c r="QZX26" s="204"/>
      <c r="QZY26" s="204"/>
      <c r="QZZ26" s="204"/>
      <c r="RAA26" s="204"/>
      <c r="RAB26" s="204"/>
      <c r="RAC26" s="204"/>
      <c r="RAD26" s="204"/>
      <c r="RAE26" s="204"/>
      <c r="RAF26" s="204"/>
      <c r="RAG26" s="204"/>
      <c r="RAH26" s="204"/>
      <c r="RAI26" s="204"/>
      <c r="RAJ26" s="204"/>
      <c r="RAK26" s="204"/>
      <c r="RAL26" s="204"/>
      <c r="RAM26" s="204"/>
      <c r="RAN26" s="204"/>
      <c r="RAO26" s="204"/>
      <c r="RAP26" s="204"/>
      <c r="RAQ26" s="204"/>
      <c r="RAR26" s="204"/>
      <c r="RAS26" s="204"/>
      <c r="RAT26" s="204"/>
      <c r="RAU26" s="204"/>
      <c r="RAV26" s="204"/>
      <c r="RAW26" s="204"/>
      <c r="RAX26" s="204"/>
      <c r="RAY26" s="204"/>
      <c r="RAZ26" s="204"/>
      <c r="RBA26" s="204"/>
      <c r="RBB26" s="204"/>
      <c r="RBC26" s="204"/>
      <c r="RBD26" s="204"/>
      <c r="RBE26" s="204"/>
      <c r="RBF26" s="204"/>
      <c r="RBG26" s="204"/>
      <c r="RBH26" s="204"/>
      <c r="RBI26" s="204"/>
      <c r="RBJ26" s="204"/>
      <c r="RBK26" s="204"/>
      <c r="RBL26" s="204"/>
      <c r="RBM26" s="204"/>
      <c r="RBN26" s="204"/>
      <c r="RBO26" s="204"/>
      <c r="RBP26" s="204"/>
      <c r="RBQ26" s="204"/>
      <c r="RBR26" s="204"/>
      <c r="RBS26" s="204"/>
      <c r="RBT26" s="204"/>
      <c r="RBU26" s="204"/>
      <c r="RBV26" s="204"/>
      <c r="RBW26" s="204"/>
      <c r="RBX26" s="204"/>
      <c r="RBY26" s="204"/>
      <c r="RBZ26" s="204"/>
      <c r="RCA26" s="204"/>
      <c r="RCB26" s="204"/>
      <c r="RCC26" s="204"/>
      <c r="RCD26" s="204"/>
      <c r="RCE26" s="204"/>
      <c r="RCF26" s="204"/>
      <c r="RCG26" s="204"/>
      <c r="RCH26" s="204"/>
      <c r="RCI26" s="204"/>
      <c r="RCJ26" s="204"/>
      <c r="RCK26" s="204"/>
      <c r="RCL26" s="204"/>
      <c r="RCM26" s="204"/>
      <c r="RCN26" s="204"/>
      <c r="RCO26" s="204"/>
      <c r="RCP26" s="204"/>
      <c r="RCQ26" s="204"/>
      <c r="RCR26" s="204"/>
      <c r="RCS26" s="204"/>
      <c r="RCT26" s="204"/>
      <c r="RCU26" s="204"/>
      <c r="RCV26" s="204"/>
      <c r="RCW26" s="204"/>
      <c r="RCX26" s="204"/>
      <c r="RCY26" s="204"/>
      <c r="RCZ26" s="204"/>
      <c r="RDA26" s="204"/>
      <c r="RDB26" s="204"/>
      <c r="RDC26" s="204"/>
      <c r="RDD26" s="204"/>
      <c r="RDE26" s="204"/>
      <c r="RDF26" s="204"/>
      <c r="RDG26" s="204"/>
      <c r="RDH26" s="204"/>
      <c r="RDI26" s="204"/>
      <c r="RDJ26" s="204"/>
      <c r="RDK26" s="204"/>
      <c r="RDL26" s="204"/>
      <c r="RDM26" s="204"/>
      <c r="RDN26" s="204"/>
      <c r="RDO26" s="204"/>
      <c r="RDP26" s="204"/>
      <c r="RDQ26" s="204"/>
      <c r="RDR26" s="204"/>
      <c r="RDS26" s="204"/>
      <c r="RDT26" s="204"/>
      <c r="RDU26" s="204"/>
      <c r="RDV26" s="204"/>
      <c r="RDW26" s="204"/>
      <c r="RDX26" s="204"/>
      <c r="RDY26" s="204"/>
      <c r="RDZ26" s="204"/>
      <c r="REA26" s="204"/>
      <c r="REB26" s="204"/>
      <c r="REC26" s="204"/>
      <c r="RED26" s="204"/>
      <c r="REE26" s="204"/>
      <c r="REF26" s="204"/>
      <c r="REG26" s="204"/>
      <c r="REH26" s="204"/>
      <c r="REI26" s="204"/>
      <c r="REJ26" s="204"/>
      <c r="REK26" s="204"/>
      <c r="REL26" s="204"/>
      <c r="REM26" s="204"/>
      <c r="REN26" s="204"/>
      <c r="REO26" s="204"/>
      <c r="REP26" s="204"/>
      <c r="REQ26" s="204"/>
      <c r="RER26" s="204"/>
      <c r="RES26" s="204"/>
      <c r="RET26" s="204"/>
      <c r="REU26" s="204"/>
      <c r="REV26" s="204"/>
      <c r="REW26" s="204"/>
      <c r="REX26" s="204"/>
      <c r="REY26" s="204"/>
      <c r="REZ26" s="204"/>
      <c r="RFA26" s="204"/>
      <c r="RFB26" s="204"/>
      <c r="RFC26" s="204"/>
      <c r="RFD26" s="204"/>
      <c r="RFE26" s="204"/>
      <c r="RFF26" s="204"/>
      <c r="RFG26" s="204"/>
      <c r="RFH26" s="204"/>
      <c r="RFI26" s="204"/>
      <c r="RFJ26" s="204"/>
      <c r="RFK26" s="204"/>
      <c r="RFL26" s="204"/>
      <c r="RFM26" s="204"/>
      <c r="RFN26" s="204"/>
      <c r="RFO26" s="204"/>
      <c r="RFP26" s="204"/>
      <c r="RFQ26" s="204"/>
      <c r="RFR26" s="204"/>
      <c r="RFS26" s="204"/>
      <c r="RFT26" s="204"/>
      <c r="RFU26" s="204"/>
      <c r="RFV26" s="204"/>
      <c r="RFW26" s="204"/>
      <c r="RFX26" s="204"/>
      <c r="RFY26" s="204"/>
      <c r="RFZ26" s="204"/>
      <c r="RGA26" s="204"/>
      <c r="RGB26" s="204"/>
      <c r="RGC26" s="204"/>
      <c r="RGD26" s="204"/>
      <c r="RGE26" s="204"/>
      <c r="RGF26" s="204"/>
      <c r="RGG26" s="204"/>
      <c r="RGH26" s="204"/>
      <c r="RGI26" s="204"/>
      <c r="RGJ26" s="204"/>
      <c r="RGK26" s="204"/>
      <c r="RGL26" s="204"/>
      <c r="RGM26" s="204"/>
      <c r="RGN26" s="204"/>
      <c r="RGO26" s="204"/>
      <c r="RGP26" s="204"/>
      <c r="RGQ26" s="204"/>
      <c r="RGR26" s="204"/>
      <c r="RGS26" s="204"/>
      <c r="RGT26" s="204"/>
      <c r="RGU26" s="204"/>
      <c r="RGV26" s="204"/>
      <c r="RGW26" s="204"/>
      <c r="RGX26" s="204"/>
      <c r="RGY26" s="204"/>
      <c r="RGZ26" s="204"/>
      <c r="RHA26" s="204"/>
      <c r="RHB26" s="204"/>
      <c r="RHC26" s="204"/>
      <c r="RHD26" s="204"/>
      <c r="RHE26" s="204"/>
      <c r="RHF26" s="204"/>
      <c r="RHG26" s="204"/>
      <c r="RHH26" s="204"/>
      <c r="RHI26" s="204"/>
      <c r="RHJ26" s="204"/>
      <c r="RHK26" s="204"/>
      <c r="RHL26" s="204"/>
      <c r="RHM26" s="204"/>
      <c r="RHN26" s="204"/>
      <c r="RHO26" s="204"/>
      <c r="RHP26" s="204"/>
      <c r="RHQ26" s="204"/>
      <c r="RHR26" s="204"/>
      <c r="RHS26" s="204"/>
      <c r="RHT26" s="204"/>
      <c r="RHU26" s="204"/>
      <c r="RHV26" s="204"/>
      <c r="RHW26" s="204"/>
      <c r="RHX26" s="204"/>
      <c r="RHY26" s="204"/>
      <c r="RHZ26" s="204"/>
      <c r="RIA26" s="204"/>
      <c r="RIB26" s="204"/>
      <c r="RIC26" s="204"/>
      <c r="RID26" s="204"/>
      <c r="RIE26" s="204"/>
      <c r="RIF26" s="204"/>
      <c r="RIG26" s="204"/>
      <c r="RIH26" s="204"/>
      <c r="RII26" s="204"/>
      <c r="RIJ26" s="204"/>
      <c r="RIK26" s="204"/>
      <c r="RIL26" s="204"/>
      <c r="RIM26" s="204"/>
      <c r="RIN26" s="204"/>
      <c r="RIO26" s="204"/>
      <c r="RIP26" s="204"/>
      <c r="RIQ26" s="204"/>
      <c r="RIR26" s="204"/>
      <c r="RIS26" s="204"/>
      <c r="RIT26" s="204"/>
      <c r="RIU26" s="204"/>
      <c r="RIV26" s="204"/>
      <c r="RIW26" s="204"/>
      <c r="RIX26" s="204"/>
      <c r="RIY26" s="204"/>
      <c r="RIZ26" s="204"/>
      <c r="RJA26" s="204"/>
      <c r="RJB26" s="204"/>
      <c r="RJC26" s="204"/>
      <c r="RJD26" s="204"/>
      <c r="RJE26" s="204"/>
      <c r="RJF26" s="204"/>
      <c r="RJG26" s="204"/>
      <c r="RJH26" s="204"/>
      <c r="RJI26" s="204"/>
      <c r="RJJ26" s="204"/>
      <c r="RJK26" s="204"/>
      <c r="RJL26" s="204"/>
      <c r="RJM26" s="204"/>
      <c r="RJN26" s="204"/>
      <c r="RJO26" s="204"/>
      <c r="RJP26" s="204"/>
      <c r="RJQ26" s="204"/>
      <c r="RJR26" s="204"/>
      <c r="RJS26" s="204"/>
      <c r="RJT26" s="204"/>
      <c r="RJU26" s="204"/>
      <c r="RJV26" s="204"/>
      <c r="RJW26" s="204"/>
      <c r="RJX26" s="204"/>
      <c r="RJY26" s="204"/>
      <c r="RJZ26" s="204"/>
      <c r="RKA26" s="204"/>
      <c r="RKB26" s="204"/>
      <c r="RKC26" s="204"/>
      <c r="RKD26" s="204"/>
      <c r="RKE26" s="204"/>
      <c r="RKF26" s="204"/>
      <c r="RKG26" s="204"/>
      <c r="RKH26" s="204"/>
      <c r="RKI26" s="204"/>
      <c r="RKJ26" s="204"/>
      <c r="RKK26" s="204"/>
      <c r="RKL26" s="204"/>
      <c r="RKM26" s="204"/>
      <c r="RKN26" s="204"/>
      <c r="RKO26" s="204"/>
      <c r="RKP26" s="204"/>
      <c r="RKQ26" s="204"/>
      <c r="RKR26" s="204"/>
      <c r="RKS26" s="204"/>
      <c r="RKT26" s="204"/>
      <c r="RKU26" s="204"/>
      <c r="RKV26" s="204"/>
      <c r="RKW26" s="204"/>
      <c r="RKX26" s="204"/>
      <c r="RKY26" s="204"/>
      <c r="RKZ26" s="204"/>
      <c r="RLA26" s="204"/>
      <c r="RLB26" s="204"/>
      <c r="RLC26" s="204"/>
      <c r="RLD26" s="204"/>
      <c r="RLE26" s="204"/>
      <c r="RLF26" s="204"/>
      <c r="RLG26" s="204"/>
      <c r="RLH26" s="204"/>
      <c r="RLI26" s="204"/>
      <c r="RLJ26" s="204"/>
      <c r="RLK26" s="204"/>
      <c r="RLL26" s="204"/>
      <c r="RLM26" s="204"/>
      <c r="RLN26" s="204"/>
      <c r="RLO26" s="204"/>
      <c r="RLP26" s="204"/>
      <c r="RLQ26" s="204"/>
      <c r="RLR26" s="204"/>
      <c r="RLS26" s="204"/>
      <c r="RLT26" s="204"/>
      <c r="RLU26" s="204"/>
      <c r="RLV26" s="204"/>
      <c r="RLW26" s="204"/>
      <c r="RLX26" s="204"/>
      <c r="RLY26" s="204"/>
      <c r="RLZ26" s="204"/>
      <c r="RMA26" s="204"/>
      <c r="RMB26" s="204"/>
      <c r="RMC26" s="204"/>
      <c r="RMD26" s="204"/>
      <c r="RME26" s="204"/>
      <c r="RMF26" s="204"/>
      <c r="RMG26" s="204"/>
      <c r="RMH26" s="204"/>
      <c r="RMI26" s="204"/>
      <c r="RMJ26" s="204"/>
      <c r="RMK26" s="204"/>
      <c r="RML26" s="204"/>
      <c r="RMM26" s="204"/>
      <c r="RMN26" s="204"/>
      <c r="RMO26" s="204"/>
      <c r="RMP26" s="204"/>
      <c r="RMQ26" s="204"/>
      <c r="RMR26" s="204"/>
      <c r="RMS26" s="204"/>
      <c r="RMT26" s="204"/>
      <c r="RMU26" s="204"/>
      <c r="RMV26" s="204"/>
      <c r="RMW26" s="204"/>
      <c r="RMX26" s="204"/>
      <c r="RMY26" s="204"/>
      <c r="RMZ26" s="204"/>
      <c r="RNA26" s="204"/>
      <c r="RNB26" s="204"/>
      <c r="RNC26" s="204"/>
      <c r="RND26" s="204"/>
      <c r="RNE26" s="204"/>
      <c r="RNF26" s="204"/>
      <c r="RNG26" s="204"/>
      <c r="RNH26" s="204"/>
      <c r="RNI26" s="204"/>
      <c r="RNJ26" s="204"/>
      <c r="RNK26" s="204"/>
      <c r="RNL26" s="204"/>
      <c r="RNM26" s="204"/>
      <c r="RNN26" s="204"/>
      <c r="RNO26" s="204"/>
      <c r="RNP26" s="204"/>
      <c r="RNQ26" s="204"/>
      <c r="RNR26" s="204"/>
      <c r="RNS26" s="204"/>
      <c r="RNT26" s="204"/>
      <c r="RNU26" s="204"/>
      <c r="RNV26" s="204"/>
      <c r="RNW26" s="204"/>
      <c r="RNX26" s="204"/>
      <c r="RNY26" s="204"/>
      <c r="RNZ26" s="204"/>
      <c r="ROA26" s="204"/>
      <c r="ROB26" s="204"/>
      <c r="ROC26" s="204"/>
      <c r="ROD26" s="204"/>
      <c r="ROE26" s="204"/>
      <c r="ROF26" s="204"/>
      <c r="ROG26" s="204"/>
      <c r="ROH26" s="204"/>
      <c r="ROI26" s="204"/>
      <c r="ROJ26" s="204"/>
      <c r="ROK26" s="204"/>
      <c r="ROL26" s="204"/>
      <c r="ROM26" s="204"/>
      <c r="RON26" s="204"/>
      <c r="ROO26" s="204"/>
      <c r="ROP26" s="204"/>
      <c r="ROQ26" s="204"/>
      <c r="ROR26" s="204"/>
      <c r="ROS26" s="204"/>
      <c r="ROT26" s="204"/>
      <c r="ROU26" s="204"/>
      <c r="ROV26" s="204"/>
      <c r="ROW26" s="204"/>
      <c r="ROX26" s="204"/>
      <c r="ROY26" s="204"/>
      <c r="ROZ26" s="204"/>
      <c r="RPA26" s="204"/>
      <c r="RPB26" s="204"/>
      <c r="RPC26" s="204"/>
      <c r="RPD26" s="204"/>
      <c r="RPE26" s="204"/>
      <c r="RPF26" s="204"/>
      <c r="RPG26" s="204"/>
      <c r="RPH26" s="204"/>
      <c r="RPI26" s="204"/>
      <c r="RPJ26" s="204"/>
      <c r="RPK26" s="204"/>
      <c r="RPL26" s="204"/>
      <c r="RPM26" s="204"/>
      <c r="RPN26" s="204"/>
      <c r="RPO26" s="204"/>
      <c r="RPP26" s="204"/>
      <c r="RPQ26" s="204"/>
      <c r="RPR26" s="204"/>
      <c r="RPS26" s="204"/>
      <c r="RPT26" s="204"/>
      <c r="RPU26" s="204"/>
      <c r="RPV26" s="204"/>
      <c r="RPW26" s="204"/>
      <c r="RPX26" s="204"/>
      <c r="RPY26" s="204"/>
      <c r="RPZ26" s="204"/>
      <c r="RQA26" s="204"/>
      <c r="RQB26" s="204"/>
      <c r="RQC26" s="204"/>
      <c r="RQD26" s="204"/>
      <c r="RQE26" s="204"/>
      <c r="RQF26" s="204"/>
      <c r="RQG26" s="204"/>
      <c r="RQH26" s="204"/>
      <c r="RQI26" s="204"/>
      <c r="RQJ26" s="204"/>
      <c r="RQK26" s="204"/>
      <c r="RQL26" s="204"/>
      <c r="RQM26" s="204"/>
      <c r="RQN26" s="204"/>
      <c r="RQO26" s="204"/>
      <c r="RQP26" s="204"/>
      <c r="RQQ26" s="204"/>
      <c r="RQR26" s="204"/>
      <c r="RQS26" s="204"/>
      <c r="RQT26" s="204"/>
      <c r="RQU26" s="204"/>
      <c r="RQV26" s="204"/>
      <c r="RQW26" s="204"/>
      <c r="RQX26" s="204"/>
      <c r="RQY26" s="204"/>
      <c r="RQZ26" s="204"/>
      <c r="RRA26" s="204"/>
      <c r="RRB26" s="204"/>
      <c r="RRC26" s="204"/>
      <c r="RRD26" s="204"/>
      <c r="RRE26" s="204"/>
      <c r="RRF26" s="204"/>
      <c r="RRG26" s="204"/>
      <c r="RRH26" s="204"/>
      <c r="RRI26" s="204"/>
      <c r="RRJ26" s="204"/>
      <c r="RRK26" s="204"/>
      <c r="RRL26" s="204"/>
      <c r="RRM26" s="204"/>
      <c r="RRN26" s="204"/>
      <c r="RRO26" s="204"/>
      <c r="RRP26" s="204"/>
      <c r="RRQ26" s="204"/>
      <c r="RRR26" s="204"/>
      <c r="RRS26" s="204"/>
      <c r="RRT26" s="204"/>
      <c r="RRU26" s="204"/>
      <c r="RRV26" s="204"/>
      <c r="RRW26" s="204"/>
      <c r="RRX26" s="204"/>
      <c r="RRY26" s="204"/>
      <c r="RRZ26" s="204"/>
      <c r="RSA26" s="204"/>
      <c r="RSB26" s="204"/>
      <c r="RSC26" s="204"/>
      <c r="RSD26" s="204"/>
      <c r="RSE26" s="204"/>
      <c r="RSF26" s="204"/>
      <c r="RSG26" s="204"/>
      <c r="RSH26" s="204"/>
      <c r="RSI26" s="204"/>
      <c r="RSJ26" s="204"/>
      <c r="RSK26" s="204"/>
      <c r="RSL26" s="204"/>
      <c r="RSM26" s="204"/>
      <c r="RSN26" s="204"/>
      <c r="RSO26" s="204"/>
      <c r="RSP26" s="204"/>
      <c r="RSQ26" s="204"/>
      <c r="RSR26" s="204"/>
      <c r="RSS26" s="204"/>
      <c r="RST26" s="204"/>
      <c r="RSU26" s="204"/>
      <c r="RSV26" s="204"/>
      <c r="RSW26" s="204"/>
      <c r="RSX26" s="204"/>
      <c r="RSY26" s="204"/>
      <c r="RSZ26" s="204"/>
      <c r="RTA26" s="204"/>
      <c r="RTB26" s="204"/>
      <c r="RTC26" s="204"/>
      <c r="RTD26" s="204"/>
      <c r="RTE26" s="204"/>
      <c r="RTF26" s="204"/>
      <c r="RTG26" s="204"/>
      <c r="RTH26" s="204"/>
      <c r="RTI26" s="204"/>
      <c r="RTJ26" s="204"/>
      <c r="RTK26" s="204"/>
      <c r="RTL26" s="204"/>
      <c r="RTM26" s="204"/>
      <c r="RTN26" s="204"/>
      <c r="RTO26" s="204"/>
      <c r="RTP26" s="204"/>
      <c r="RTQ26" s="204"/>
      <c r="RTR26" s="204"/>
      <c r="RTS26" s="204"/>
      <c r="RTT26" s="204"/>
      <c r="RTU26" s="204"/>
      <c r="RTV26" s="204"/>
      <c r="RTW26" s="204"/>
      <c r="RTX26" s="204"/>
      <c r="RTY26" s="204"/>
      <c r="RTZ26" s="204"/>
      <c r="RUA26" s="204"/>
      <c r="RUB26" s="204"/>
      <c r="RUC26" s="204"/>
      <c r="RUD26" s="204"/>
      <c r="RUE26" s="204"/>
      <c r="RUF26" s="204"/>
      <c r="RUG26" s="204"/>
      <c r="RUH26" s="204"/>
      <c r="RUI26" s="204"/>
      <c r="RUJ26" s="204"/>
      <c r="RUK26" s="204"/>
      <c r="RUL26" s="204"/>
      <c r="RUM26" s="204"/>
      <c r="RUN26" s="204"/>
      <c r="RUO26" s="204"/>
      <c r="RUP26" s="204"/>
      <c r="RUQ26" s="204"/>
      <c r="RUR26" s="204"/>
      <c r="RUS26" s="204"/>
      <c r="RUT26" s="204"/>
      <c r="RUU26" s="204"/>
      <c r="RUV26" s="204"/>
      <c r="RUW26" s="204"/>
      <c r="RUX26" s="204"/>
      <c r="RUY26" s="204"/>
      <c r="RUZ26" s="204"/>
      <c r="RVA26" s="204"/>
      <c r="RVB26" s="204"/>
      <c r="RVC26" s="204"/>
      <c r="RVD26" s="204"/>
      <c r="RVE26" s="204"/>
      <c r="RVF26" s="204"/>
      <c r="RVG26" s="204"/>
      <c r="RVH26" s="204"/>
      <c r="RVI26" s="204"/>
      <c r="RVJ26" s="204"/>
      <c r="RVK26" s="204"/>
      <c r="RVL26" s="204"/>
      <c r="RVM26" s="204"/>
      <c r="RVN26" s="204"/>
      <c r="RVO26" s="204"/>
      <c r="RVP26" s="204"/>
      <c r="RVQ26" s="204"/>
      <c r="RVR26" s="204"/>
      <c r="RVS26" s="204"/>
      <c r="RVT26" s="204"/>
      <c r="RVU26" s="204"/>
      <c r="RVV26" s="204"/>
      <c r="RVW26" s="204"/>
      <c r="RVX26" s="204"/>
      <c r="RVY26" s="204"/>
      <c r="RVZ26" s="204"/>
      <c r="RWA26" s="204"/>
      <c r="RWB26" s="204"/>
      <c r="RWC26" s="204"/>
      <c r="RWD26" s="204"/>
      <c r="RWE26" s="204"/>
      <c r="RWF26" s="204"/>
      <c r="RWG26" s="204"/>
      <c r="RWH26" s="204"/>
      <c r="RWI26" s="204"/>
      <c r="RWJ26" s="204"/>
      <c r="RWK26" s="204"/>
      <c r="RWL26" s="204"/>
      <c r="RWM26" s="204"/>
      <c r="RWN26" s="204"/>
      <c r="RWO26" s="204"/>
      <c r="RWP26" s="204"/>
      <c r="RWQ26" s="204"/>
      <c r="RWR26" s="204"/>
      <c r="RWS26" s="204"/>
      <c r="RWT26" s="204"/>
      <c r="RWU26" s="204"/>
      <c r="RWV26" s="204"/>
      <c r="RWW26" s="204"/>
      <c r="RWX26" s="204"/>
      <c r="RWY26" s="204"/>
      <c r="RWZ26" s="204"/>
      <c r="RXA26" s="204"/>
      <c r="RXB26" s="204"/>
      <c r="RXC26" s="204"/>
      <c r="RXD26" s="204"/>
      <c r="RXE26" s="204"/>
      <c r="RXF26" s="204"/>
      <c r="RXG26" s="204"/>
      <c r="RXH26" s="204"/>
      <c r="RXI26" s="204"/>
      <c r="RXJ26" s="204"/>
      <c r="RXK26" s="204"/>
      <c r="RXL26" s="204"/>
      <c r="RXM26" s="204"/>
      <c r="RXN26" s="204"/>
      <c r="RXO26" s="204"/>
      <c r="RXP26" s="204"/>
      <c r="RXQ26" s="204"/>
      <c r="RXR26" s="204"/>
      <c r="RXS26" s="204"/>
      <c r="RXT26" s="204"/>
      <c r="RXU26" s="204"/>
      <c r="RXV26" s="204"/>
      <c r="RXW26" s="204"/>
      <c r="RXX26" s="204"/>
      <c r="RXY26" s="204"/>
      <c r="RXZ26" s="204"/>
      <c r="RYA26" s="204"/>
      <c r="RYB26" s="204"/>
      <c r="RYC26" s="204"/>
      <c r="RYD26" s="204"/>
      <c r="RYE26" s="204"/>
      <c r="RYF26" s="204"/>
      <c r="RYG26" s="204"/>
      <c r="RYH26" s="204"/>
      <c r="RYI26" s="204"/>
      <c r="RYJ26" s="204"/>
      <c r="RYK26" s="204"/>
      <c r="RYL26" s="204"/>
      <c r="RYM26" s="204"/>
      <c r="RYN26" s="204"/>
      <c r="RYO26" s="204"/>
      <c r="RYP26" s="204"/>
      <c r="RYQ26" s="204"/>
      <c r="RYR26" s="204"/>
      <c r="RYS26" s="204"/>
      <c r="RYT26" s="204"/>
      <c r="RYU26" s="204"/>
      <c r="RYV26" s="204"/>
      <c r="RYW26" s="204"/>
      <c r="RYX26" s="204"/>
      <c r="RYY26" s="204"/>
      <c r="RYZ26" s="204"/>
      <c r="RZA26" s="204"/>
      <c r="RZB26" s="204"/>
      <c r="RZC26" s="204"/>
      <c r="RZD26" s="204"/>
      <c r="RZE26" s="204"/>
      <c r="RZF26" s="204"/>
      <c r="RZG26" s="204"/>
      <c r="RZH26" s="204"/>
      <c r="RZI26" s="204"/>
      <c r="RZJ26" s="204"/>
      <c r="RZK26" s="204"/>
      <c r="RZL26" s="204"/>
      <c r="RZM26" s="204"/>
      <c r="RZN26" s="204"/>
      <c r="RZO26" s="204"/>
      <c r="RZP26" s="204"/>
      <c r="RZQ26" s="204"/>
      <c r="RZR26" s="204"/>
      <c r="RZS26" s="204"/>
      <c r="RZT26" s="204"/>
      <c r="RZU26" s="204"/>
      <c r="RZV26" s="204"/>
      <c r="RZW26" s="204"/>
      <c r="RZX26" s="204"/>
      <c r="RZY26" s="204"/>
      <c r="RZZ26" s="204"/>
      <c r="SAA26" s="204"/>
      <c r="SAB26" s="204"/>
      <c r="SAC26" s="204"/>
      <c r="SAD26" s="204"/>
      <c r="SAE26" s="204"/>
      <c r="SAF26" s="204"/>
      <c r="SAG26" s="204"/>
      <c r="SAH26" s="204"/>
      <c r="SAI26" s="204"/>
      <c r="SAJ26" s="204"/>
      <c r="SAK26" s="204"/>
      <c r="SAL26" s="204"/>
      <c r="SAM26" s="204"/>
      <c r="SAN26" s="204"/>
      <c r="SAO26" s="204"/>
      <c r="SAP26" s="204"/>
      <c r="SAQ26" s="204"/>
      <c r="SAR26" s="204"/>
      <c r="SAS26" s="204"/>
      <c r="SAT26" s="204"/>
      <c r="SAU26" s="204"/>
      <c r="SAV26" s="204"/>
      <c r="SAW26" s="204"/>
      <c r="SAX26" s="204"/>
      <c r="SAY26" s="204"/>
      <c r="SAZ26" s="204"/>
      <c r="SBA26" s="204"/>
      <c r="SBB26" s="204"/>
      <c r="SBC26" s="204"/>
      <c r="SBD26" s="204"/>
      <c r="SBE26" s="204"/>
      <c r="SBF26" s="204"/>
      <c r="SBG26" s="204"/>
      <c r="SBH26" s="204"/>
      <c r="SBI26" s="204"/>
      <c r="SBJ26" s="204"/>
      <c r="SBK26" s="204"/>
      <c r="SBL26" s="204"/>
      <c r="SBM26" s="204"/>
      <c r="SBN26" s="204"/>
      <c r="SBO26" s="204"/>
      <c r="SBP26" s="204"/>
      <c r="SBQ26" s="204"/>
      <c r="SBR26" s="204"/>
      <c r="SBS26" s="204"/>
      <c r="SBT26" s="204"/>
      <c r="SBU26" s="204"/>
      <c r="SBV26" s="204"/>
      <c r="SBW26" s="204"/>
      <c r="SBX26" s="204"/>
      <c r="SBY26" s="204"/>
      <c r="SBZ26" s="204"/>
      <c r="SCA26" s="204"/>
      <c r="SCB26" s="204"/>
      <c r="SCC26" s="204"/>
      <c r="SCD26" s="204"/>
      <c r="SCE26" s="204"/>
      <c r="SCF26" s="204"/>
      <c r="SCG26" s="204"/>
      <c r="SCH26" s="204"/>
      <c r="SCI26" s="204"/>
      <c r="SCJ26" s="204"/>
      <c r="SCK26" s="204"/>
      <c r="SCL26" s="204"/>
      <c r="SCM26" s="204"/>
      <c r="SCN26" s="204"/>
      <c r="SCO26" s="204"/>
      <c r="SCP26" s="204"/>
      <c r="SCQ26" s="204"/>
      <c r="SCR26" s="204"/>
      <c r="SCS26" s="204"/>
      <c r="SCT26" s="204"/>
      <c r="SCU26" s="204"/>
      <c r="SCV26" s="204"/>
      <c r="SCW26" s="204"/>
      <c r="SCX26" s="204"/>
      <c r="SCY26" s="204"/>
      <c r="SCZ26" s="204"/>
      <c r="SDA26" s="204"/>
      <c r="SDB26" s="204"/>
      <c r="SDC26" s="204"/>
      <c r="SDD26" s="204"/>
      <c r="SDE26" s="204"/>
      <c r="SDF26" s="204"/>
      <c r="SDG26" s="204"/>
      <c r="SDH26" s="204"/>
      <c r="SDI26" s="204"/>
      <c r="SDJ26" s="204"/>
      <c r="SDK26" s="204"/>
      <c r="SDL26" s="204"/>
      <c r="SDM26" s="204"/>
      <c r="SDN26" s="204"/>
      <c r="SDO26" s="204"/>
      <c r="SDP26" s="204"/>
      <c r="SDQ26" s="204"/>
      <c r="SDR26" s="204"/>
      <c r="SDS26" s="204"/>
      <c r="SDT26" s="204"/>
      <c r="SDU26" s="204"/>
      <c r="SDV26" s="204"/>
      <c r="SDW26" s="204"/>
      <c r="SDX26" s="204"/>
      <c r="SDY26" s="204"/>
      <c r="SDZ26" s="204"/>
      <c r="SEA26" s="204"/>
      <c r="SEB26" s="204"/>
      <c r="SEC26" s="204"/>
      <c r="SED26" s="204"/>
      <c r="SEE26" s="204"/>
      <c r="SEF26" s="204"/>
      <c r="SEG26" s="204"/>
      <c r="SEH26" s="204"/>
      <c r="SEI26" s="204"/>
      <c r="SEJ26" s="204"/>
      <c r="SEK26" s="204"/>
      <c r="SEL26" s="204"/>
      <c r="SEM26" s="204"/>
      <c r="SEN26" s="204"/>
      <c r="SEO26" s="204"/>
      <c r="SEP26" s="204"/>
      <c r="SEQ26" s="204"/>
      <c r="SER26" s="204"/>
      <c r="SES26" s="204"/>
      <c r="SET26" s="204"/>
      <c r="SEU26" s="204"/>
      <c r="SEV26" s="204"/>
      <c r="SEW26" s="204"/>
      <c r="SEX26" s="204"/>
      <c r="SEY26" s="204"/>
      <c r="SEZ26" s="204"/>
      <c r="SFA26" s="204"/>
      <c r="SFB26" s="204"/>
      <c r="SFC26" s="204"/>
      <c r="SFD26" s="204"/>
      <c r="SFE26" s="204"/>
      <c r="SFF26" s="204"/>
      <c r="SFG26" s="204"/>
      <c r="SFH26" s="204"/>
      <c r="SFI26" s="204"/>
      <c r="SFJ26" s="204"/>
      <c r="SFK26" s="204"/>
      <c r="SFL26" s="204"/>
      <c r="SFM26" s="204"/>
      <c r="SFN26" s="204"/>
      <c r="SFO26" s="204"/>
      <c r="SFP26" s="204"/>
      <c r="SFQ26" s="204"/>
      <c r="SFR26" s="204"/>
      <c r="SFS26" s="204"/>
      <c r="SFT26" s="204"/>
      <c r="SFU26" s="204"/>
      <c r="SFV26" s="204"/>
      <c r="SFW26" s="204"/>
      <c r="SFX26" s="204"/>
      <c r="SFY26" s="204"/>
      <c r="SFZ26" s="204"/>
      <c r="SGA26" s="204"/>
      <c r="SGB26" s="204"/>
      <c r="SGC26" s="204"/>
      <c r="SGD26" s="204"/>
      <c r="SGE26" s="204"/>
      <c r="SGF26" s="204"/>
      <c r="SGG26" s="204"/>
      <c r="SGH26" s="204"/>
      <c r="SGI26" s="204"/>
      <c r="SGJ26" s="204"/>
      <c r="SGK26" s="204"/>
      <c r="SGL26" s="204"/>
      <c r="SGM26" s="204"/>
      <c r="SGN26" s="204"/>
      <c r="SGO26" s="204"/>
      <c r="SGP26" s="204"/>
      <c r="SGQ26" s="204"/>
      <c r="SGR26" s="204"/>
      <c r="SGS26" s="204"/>
      <c r="SGT26" s="204"/>
      <c r="SGU26" s="204"/>
      <c r="SGV26" s="204"/>
      <c r="SGW26" s="204"/>
      <c r="SGX26" s="204"/>
      <c r="SGY26" s="204"/>
      <c r="SGZ26" s="204"/>
      <c r="SHA26" s="204"/>
      <c r="SHB26" s="204"/>
      <c r="SHC26" s="204"/>
      <c r="SHD26" s="204"/>
      <c r="SHE26" s="204"/>
      <c r="SHF26" s="204"/>
      <c r="SHG26" s="204"/>
      <c r="SHH26" s="204"/>
      <c r="SHI26" s="204"/>
      <c r="SHJ26" s="204"/>
      <c r="SHK26" s="204"/>
      <c r="SHL26" s="204"/>
      <c r="SHM26" s="204"/>
      <c r="SHN26" s="204"/>
      <c r="SHO26" s="204"/>
      <c r="SHP26" s="204"/>
      <c r="SHQ26" s="204"/>
      <c r="SHR26" s="204"/>
      <c r="SHS26" s="204"/>
      <c r="SHT26" s="204"/>
      <c r="SHU26" s="204"/>
      <c r="SHV26" s="204"/>
      <c r="SHW26" s="204"/>
      <c r="SHX26" s="204"/>
      <c r="SHY26" s="204"/>
      <c r="SHZ26" s="204"/>
      <c r="SIA26" s="204"/>
      <c r="SIB26" s="204"/>
      <c r="SIC26" s="204"/>
      <c r="SID26" s="204"/>
      <c r="SIE26" s="204"/>
      <c r="SIF26" s="204"/>
      <c r="SIG26" s="204"/>
      <c r="SIH26" s="204"/>
      <c r="SII26" s="204"/>
      <c r="SIJ26" s="204"/>
      <c r="SIK26" s="204"/>
      <c r="SIL26" s="204"/>
      <c r="SIM26" s="204"/>
      <c r="SIN26" s="204"/>
      <c r="SIO26" s="204"/>
      <c r="SIP26" s="204"/>
      <c r="SIQ26" s="204"/>
      <c r="SIR26" s="204"/>
      <c r="SIS26" s="204"/>
      <c r="SIT26" s="204"/>
      <c r="SIU26" s="204"/>
      <c r="SIV26" s="204"/>
      <c r="SIW26" s="204"/>
      <c r="SIX26" s="204"/>
      <c r="SIY26" s="204"/>
      <c r="SIZ26" s="204"/>
      <c r="SJA26" s="204"/>
      <c r="SJB26" s="204"/>
      <c r="SJC26" s="204"/>
      <c r="SJD26" s="204"/>
      <c r="SJE26" s="204"/>
      <c r="SJF26" s="204"/>
      <c r="SJG26" s="204"/>
      <c r="SJH26" s="204"/>
      <c r="SJI26" s="204"/>
      <c r="SJJ26" s="204"/>
      <c r="SJK26" s="204"/>
      <c r="SJL26" s="204"/>
      <c r="SJM26" s="204"/>
      <c r="SJN26" s="204"/>
      <c r="SJO26" s="204"/>
      <c r="SJP26" s="204"/>
      <c r="SJQ26" s="204"/>
      <c r="SJR26" s="204"/>
      <c r="SJS26" s="204"/>
      <c r="SJT26" s="204"/>
      <c r="SJU26" s="204"/>
      <c r="SJV26" s="204"/>
      <c r="SJW26" s="204"/>
      <c r="SJX26" s="204"/>
      <c r="SJY26" s="204"/>
      <c r="SJZ26" s="204"/>
      <c r="SKA26" s="204"/>
      <c r="SKB26" s="204"/>
      <c r="SKC26" s="204"/>
      <c r="SKD26" s="204"/>
      <c r="SKE26" s="204"/>
      <c r="SKF26" s="204"/>
      <c r="SKG26" s="204"/>
      <c r="SKH26" s="204"/>
      <c r="SKI26" s="204"/>
      <c r="SKJ26" s="204"/>
      <c r="SKK26" s="204"/>
      <c r="SKL26" s="204"/>
      <c r="SKM26" s="204"/>
      <c r="SKN26" s="204"/>
      <c r="SKO26" s="204"/>
      <c r="SKP26" s="204"/>
      <c r="SKQ26" s="204"/>
      <c r="SKR26" s="204"/>
      <c r="SKS26" s="204"/>
      <c r="SKT26" s="204"/>
      <c r="SKU26" s="204"/>
      <c r="SKV26" s="204"/>
      <c r="SKW26" s="204"/>
      <c r="SKX26" s="204"/>
      <c r="SKY26" s="204"/>
      <c r="SKZ26" s="204"/>
      <c r="SLA26" s="204"/>
      <c r="SLB26" s="204"/>
      <c r="SLC26" s="204"/>
      <c r="SLD26" s="204"/>
      <c r="SLE26" s="204"/>
      <c r="SLF26" s="204"/>
      <c r="SLG26" s="204"/>
      <c r="SLH26" s="204"/>
      <c r="SLI26" s="204"/>
      <c r="SLJ26" s="204"/>
      <c r="SLK26" s="204"/>
      <c r="SLL26" s="204"/>
      <c r="SLM26" s="204"/>
      <c r="SLN26" s="204"/>
      <c r="SLO26" s="204"/>
      <c r="SLP26" s="204"/>
      <c r="SLQ26" s="204"/>
      <c r="SLR26" s="204"/>
      <c r="SLS26" s="204"/>
      <c r="SLT26" s="204"/>
      <c r="SLU26" s="204"/>
      <c r="SLV26" s="204"/>
      <c r="SLW26" s="204"/>
      <c r="SLX26" s="204"/>
      <c r="SLY26" s="204"/>
      <c r="SLZ26" s="204"/>
      <c r="SMA26" s="204"/>
      <c r="SMB26" s="204"/>
      <c r="SMC26" s="204"/>
      <c r="SMD26" s="204"/>
      <c r="SME26" s="204"/>
      <c r="SMF26" s="204"/>
      <c r="SMG26" s="204"/>
      <c r="SMH26" s="204"/>
      <c r="SMI26" s="204"/>
      <c r="SMJ26" s="204"/>
      <c r="SMK26" s="204"/>
      <c r="SML26" s="204"/>
      <c r="SMM26" s="204"/>
      <c r="SMN26" s="204"/>
      <c r="SMO26" s="204"/>
      <c r="SMP26" s="204"/>
      <c r="SMQ26" s="204"/>
      <c r="SMR26" s="204"/>
      <c r="SMS26" s="204"/>
      <c r="SMT26" s="204"/>
      <c r="SMU26" s="204"/>
      <c r="SMV26" s="204"/>
      <c r="SMW26" s="204"/>
      <c r="SMX26" s="204"/>
      <c r="SMY26" s="204"/>
      <c r="SMZ26" s="204"/>
      <c r="SNA26" s="204"/>
      <c r="SNB26" s="204"/>
      <c r="SNC26" s="204"/>
      <c r="SND26" s="204"/>
      <c r="SNE26" s="204"/>
      <c r="SNF26" s="204"/>
      <c r="SNG26" s="204"/>
      <c r="SNH26" s="204"/>
      <c r="SNI26" s="204"/>
      <c r="SNJ26" s="204"/>
      <c r="SNK26" s="204"/>
      <c r="SNL26" s="204"/>
      <c r="SNM26" s="204"/>
      <c r="SNN26" s="204"/>
      <c r="SNO26" s="204"/>
      <c r="SNP26" s="204"/>
      <c r="SNQ26" s="204"/>
      <c r="SNR26" s="204"/>
      <c r="SNS26" s="204"/>
      <c r="SNT26" s="204"/>
      <c r="SNU26" s="204"/>
      <c r="SNV26" s="204"/>
      <c r="SNW26" s="204"/>
      <c r="SNX26" s="204"/>
      <c r="SNY26" s="204"/>
      <c r="SNZ26" s="204"/>
      <c r="SOA26" s="204"/>
      <c r="SOB26" s="204"/>
      <c r="SOC26" s="204"/>
      <c r="SOD26" s="204"/>
      <c r="SOE26" s="204"/>
      <c r="SOF26" s="204"/>
      <c r="SOG26" s="204"/>
      <c r="SOH26" s="204"/>
      <c r="SOI26" s="204"/>
      <c r="SOJ26" s="204"/>
      <c r="SOK26" s="204"/>
      <c r="SOL26" s="204"/>
      <c r="SOM26" s="204"/>
      <c r="SON26" s="204"/>
      <c r="SOO26" s="204"/>
      <c r="SOP26" s="204"/>
      <c r="SOQ26" s="204"/>
      <c r="SOR26" s="204"/>
      <c r="SOS26" s="204"/>
      <c r="SOT26" s="204"/>
      <c r="SOU26" s="204"/>
      <c r="SOV26" s="204"/>
      <c r="SOW26" s="204"/>
      <c r="SOX26" s="204"/>
      <c r="SOY26" s="204"/>
      <c r="SOZ26" s="204"/>
      <c r="SPA26" s="204"/>
      <c r="SPB26" s="204"/>
      <c r="SPC26" s="204"/>
      <c r="SPD26" s="204"/>
      <c r="SPE26" s="204"/>
      <c r="SPF26" s="204"/>
      <c r="SPG26" s="204"/>
      <c r="SPH26" s="204"/>
      <c r="SPI26" s="204"/>
      <c r="SPJ26" s="204"/>
      <c r="SPK26" s="204"/>
      <c r="SPL26" s="204"/>
      <c r="SPM26" s="204"/>
      <c r="SPN26" s="204"/>
      <c r="SPO26" s="204"/>
      <c r="SPP26" s="204"/>
      <c r="SPQ26" s="204"/>
      <c r="SPR26" s="204"/>
      <c r="SPS26" s="204"/>
      <c r="SPT26" s="204"/>
      <c r="SPU26" s="204"/>
      <c r="SPV26" s="204"/>
      <c r="SPW26" s="204"/>
      <c r="SPX26" s="204"/>
      <c r="SPY26" s="204"/>
      <c r="SPZ26" s="204"/>
      <c r="SQA26" s="204"/>
      <c r="SQB26" s="204"/>
      <c r="SQC26" s="204"/>
      <c r="SQD26" s="204"/>
      <c r="SQE26" s="204"/>
      <c r="SQF26" s="204"/>
      <c r="SQG26" s="204"/>
      <c r="SQH26" s="204"/>
      <c r="SQI26" s="204"/>
      <c r="SQJ26" s="204"/>
      <c r="SQK26" s="204"/>
      <c r="SQL26" s="204"/>
      <c r="SQM26" s="204"/>
      <c r="SQN26" s="204"/>
      <c r="SQO26" s="204"/>
      <c r="SQP26" s="204"/>
      <c r="SQQ26" s="204"/>
      <c r="SQR26" s="204"/>
      <c r="SQS26" s="204"/>
      <c r="SQT26" s="204"/>
      <c r="SQU26" s="204"/>
      <c r="SQV26" s="204"/>
      <c r="SQW26" s="204"/>
      <c r="SQX26" s="204"/>
      <c r="SQY26" s="204"/>
      <c r="SQZ26" s="204"/>
      <c r="SRA26" s="204"/>
      <c r="SRB26" s="204"/>
      <c r="SRC26" s="204"/>
      <c r="SRD26" s="204"/>
      <c r="SRE26" s="204"/>
      <c r="SRF26" s="204"/>
      <c r="SRG26" s="204"/>
      <c r="SRH26" s="204"/>
      <c r="SRI26" s="204"/>
      <c r="SRJ26" s="204"/>
      <c r="SRK26" s="204"/>
      <c r="SRL26" s="204"/>
      <c r="SRM26" s="204"/>
      <c r="SRN26" s="204"/>
      <c r="SRO26" s="204"/>
      <c r="SRP26" s="204"/>
      <c r="SRQ26" s="204"/>
      <c r="SRR26" s="204"/>
      <c r="SRS26" s="204"/>
      <c r="SRT26" s="204"/>
      <c r="SRU26" s="204"/>
      <c r="SRV26" s="204"/>
      <c r="SRW26" s="204"/>
      <c r="SRX26" s="204"/>
      <c r="SRY26" s="204"/>
      <c r="SRZ26" s="204"/>
      <c r="SSA26" s="204"/>
      <c r="SSB26" s="204"/>
      <c r="SSC26" s="204"/>
      <c r="SSD26" s="204"/>
      <c r="SSE26" s="204"/>
      <c r="SSF26" s="204"/>
      <c r="SSG26" s="204"/>
      <c r="SSH26" s="204"/>
      <c r="SSI26" s="204"/>
      <c r="SSJ26" s="204"/>
      <c r="SSK26" s="204"/>
      <c r="SSL26" s="204"/>
      <c r="SSM26" s="204"/>
      <c r="SSN26" s="204"/>
      <c r="SSO26" s="204"/>
      <c r="SSP26" s="204"/>
      <c r="SSQ26" s="204"/>
      <c r="SSR26" s="204"/>
      <c r="SSS26" s="204"/>
      <c r="SST26" s="204"/>
      <c r="SSU26" s="204"/>
      <c r="SSV26" s="204"/>
      <c r="SSW26" s="204"/>
      <c r="SSX26" s="204"/>
      <c r="SSY26" s="204"/>
      <c r="SSZ26" s="204"/>
      <c r="STA26" s="204"/>
      <c r="STB26" s="204"/>
      <c r="STC26" s="204"/>
      <c r="STD26" s="204"/>
      <c r="STE26" s="204"/>
      <c r="STF26" s="204"/>
      <c r="STG26" s="204"/>
      <c r="STH26" s="204"/>
      <c r="STI26" s="204"/>
      <c r="STJ26" s="204"/>
      <c r="STK26" s="204"/>
      <c r="STL26" s="204"/>
      <c r="STM26" s="204"/>
      <c r="STN26" s="204"/>
      <c r="STO26" s="204"/>
      <c r="STP26" s="204"/>
      <c r="STQ26" s="204"/>
      <c r="STR26" s="204"/>
      <c r="STS26" s="204"/>
      <c r="STT26" s="204"/>
      <c r="STU26" s="204"/>
      <c r="STV26" s="204"/>
      <c r="STW26" s="204"/>
      <c r="STX26" s="204"/>
      <c r="STY26" s="204"/>
      <c r="STZ26" s="204"/>
      <c r="SUA26" s="204"/>
      <c r="SUB26" s="204"/>
      <c r="SUC26" s="204"/>
      <c r="SUD26" s="204"/>
      <c r="SUE26" s="204"/>
      <c r="SUF26" s="204"/>
      <c r="SUG26" s="204"/>
      <c r="SUH26" s="204"/>
      <c r="SUI26" s="204"/>
      <c r="SUJ26" s="204"/>
      <c r="SUK26" s="204"/>
      <c r="SUL26" s="204"/>
      <c r="SUM26" s="204"/>
      <c r="SUN26" s="204"/>
      <c r="SUO26" s="204"/>
      <c r="SUP26" s="204"/>
      <c r="SUQ26" s="204"/>
      <c r="SUR26" s="204"/>
      <c r="SUS26" s="204"/>
      <c r="SUT26" s="204"/>
      <c r="SUU26" s="204"/>
      <c r="SUV26" s="204"/>
      <c r="SUW26" s="204"/>
      <c r="SUX26" s="204"/>
      <c r="SUY26" s="204"/>
      <c r="SUZ26" s="204"/>
      <c r="SVA26" s="204"/>
      <c r="SVB26" s="204"/>
      <c r="SVC26" s="204"/>
      <c r="SVD26" s="204"/>
      <c r="SVE26" s="204"/>
      <c r="SVF26" s="204"/>
      <c r="SVG26" s="204"/>
      <c r="SVH26" s="204"/>
      <c r="SVI26" s="204"/>
      <c r="SVJ26" s="204"/>
      <c r="SVK26" s="204"/>
      <c r="SVL26" s="204"/>
      <c r="SVM26" s="204"/>
      <c r="SVN26" s="204"/>
      <c r="SVO26" s="204"/>
      <c r="SVP26" s="204"/>
      <c r="SVQ26" s="204"/>
      <c r="SVR26" s="204"/>
      <c r="SVS26" s="204"/>
      <c r="SVT26" s="204"/>
      <c r="SVU26" s="204"/>
      <c r="SVV26" s="204"/>
      <c r="SVW26" s="204"/>
      <c r="SVX26" s="204"/>
      <c r="SVY26" s="204"/>
      <c r="SVZ26" s="204"/>
      <c r="SWA26" s="204"/>
      <c r="SWB26" s="204"/>
      <c r="SWC26" s="204"/>
      <c r="SWD26" s="204"/>
      <c r="SWE26" s="204"/>
      <c r="SWF26" s="204"/>
      <c r="SWG26" s="204"/>
      <c r="SWH26" s="204"/>
      <c r="SWI26" s="204"/>
      <c r="SWJ26" s="204"/>
      <c r="SWK26" s="204"/>
      <c r="SWL26" s="204"/>
      <c r="SWM26" s="204"/>
      <c r="SWN26" s="204"/>
      <c r="SWO26" s="204"/>
      <c r="SWP26" s="204"/>
      <c r="SWQ26" s="204"/>
      <c r="SWR26" s="204"/>
      <c r="SWS26" s="204"/>
      <c r="SWT26" s="204"/>
      <c r="SWU26" s="204"/>
      <c r="SWV26" s="204"/>
      <c r="SWW26" s="204"/>
      <c r="SWX26" s="204"/>
      <c r="SWY26" s="204"/>
      <c r="SWZ26" s="204"/>
      <c r="SXA26" s="204"/>
      <c r="SXB26" s="204"/>
      <c r="SXC26" s="204"/>
      <c r="SXD26" s="204"/>
      <c r="SXE26" s="204"/>
      <c r="SXF26" s="204"/>
      <c r="SXG26" s="204"/>
      <c r="SXH26" s="204"/>
      <c r="SXI26" s="204"/>
      <c r="SXJ26" s="204"/>
      <c r="SXK26" s="204"/>
      <c r="SXL26" s="204"/>
      <c r="SXM26" s="204"/>
      <c r="SXN26" s="204"/>
      <c r="SXO26" s="204"/>
      <c r="SXP26" s="204"/>
      <c r="SXQ26" s="204"/>
      <c r="SXR26" s="204"/>
      <c r="SXS26" s="204"/>
      <c r="SXT26" s="204"/>
      <c r="SXU26" s="204"/>
      <c r="SXV26" s="204"/>
      <c r="SXW26" s="204"/>
      <c r="SXX26" s="204"/>
      <c r="SXY26" s="204"/>
      <c r="SXZ26" s="204"/>
      <c r="SYA26" s="204"/>
      <c r="SYB26" s="204"/>
      <c r="SYC26" s="204"/>
      <c r="SYD26" s="204"/>
      <c r="SYE26" s="204"/>
      <c r="SYF26" s="204"/>
      <c r="SYG26" s="204"/>
      <c r="SYH26" s="204"/>
      <c r="SYI26" s="204"/>
      <c r="SYJ26" s="204"/>
      <c r="SYK26" s="204"/>
      <c r="SYL26" s="204"/>
      <c r="SYM26" s="204"/>
      <c r="SYN26" s="204"/>
      <c r="SYO26" s="204"/>
      <c r="SYP26" s="204"/>
      <c r="SYQ26" s="204"/>
      <c r="SYR26" s="204"/>
      <c r="SYS26" s="204"/>
      <c r="SYT26" s="204"/>
      <c r="SYU26" s="204"/>
      <c r="SYV26" s="204"/>
      <c r="SYW26" s="204"/>
      <c r="SYX26" s="204"/>
      <c r="SYY26" s="204"/>
      <c r="SYZ26" s="204"/>
      <c r="SZA26" s="204"/>
      <c r="SZB26" s="204"/>
      <c r="SZC26" s="204"/>
      <c r="SZD26" s="204"/>
      <c r="SZE26" s="204"/>
      <c r="SZF26" s="204"/>
      <c r="SZG26" s="204"/>
      <c r="SZH26" s="204"/>
      <c r="SZI26" s="204"/>
      <c r="SZJ26" s="204"/>
      <c r="SZK26" s="204"/>
      <c r="SZL26" s="204"/>
      <c r="SZM26" s="204"/>
      <c r="SZN26" s="204"/>
      <c r="SZO26" s="204"/>
      <c r="SZP26" s="204"/>
      <c r="SZQ26" s="204"/>
      <c r="SZR26" s="204"/>
      <c r="SZS26" s="204"/>
      <c r="SZT26" s="204"/>
      <c r="SZU26" s="204"/>
      <c r="SZV26" s="204"/>
      <c r="SZW26" s="204"/>
      <c r="SZX26" s="204"/>
      <c r="SZY26" s="204"/>
      <c r="SZZ26" s="204"/>
      <c r="TAA26" s="204"/>
      <c r="TAB26" s="204"/>
      <c r="TAC26" s="204"/>
      <c r="TAD26" s="204"/>
      <c r="TAE26" s="204"/>
      <c r="TAF26" s="204"/>
      <c r="TAG26" s="204"/>
      <c r="TAH26" s="204"/>
      <c r="TAI26" s="204"/>
      <c r="TAJ26" s="204"/>
      <c r="TAK26" s="204"/>
      <c r="TAL26" s="204"/>
      <c r="TAM26" s="204"/>
      <c r="TAN26" s="204"/>
      <c r="TAO26" s="204"/>
      <c r="TAP26" s="204"/>
      <c r="TAQ26" s="204"/>
      <c r="TAR26" s="204"/>
      <c r="TAS26" s="204"/>
      <c r="TAT26" s="204"/>
      <c r="TAU26" s="204"/>
      <c r="TAV26" s="204"/>
      <c r="TAW26" s="204"/>
      <c r="TAX26" s="204"/>
      <c r="TAY26" s="204"/>
      <c r="TAZ26" s="204"/>
      <c r="TBA26" s="204"/>
      <c r="TBB26" s="204"/>
      <c r="TBC26" s="204"/>
      <c r="TBD26" s="204"/>
      <c r="TBE26" s="204"/>
      <c r="TBF26" s="204"/>
      <c r="TBG26" s="204"/>
      <c r="TBH26" s="204"/>
      <c r="TBI26" s="204"/>
      <c r="TBJ26" s="204"/>
      <c r="TBK26" s="204"/>
      <c r="TBL26" s="204"/>
      <c r="TBM26" s="204"/>
      <c r="TBN26" s="204"/>
      <c r="TBO26" s="204"/>
      <c r="TBP26" s="204"/>
      <c r="TBQ26" s="204"/>
      <c r="TBR26" s="204"/>
      <c r="TBS26" s="204"/>
      <c r="TBT26" s="204"/>
      <c r="TBU26" s="204"/>
      <c r="TBV26" s="204"/>
      <c r="TBW26" s="204"/>
      <c r="TBX26" s="204"/>
      <c r="TBY26" s="204"/>
      <c r="TBZ26" s="204"/>
      <c r="TCA26" s="204"/>
      <c r="TCB26" s="204"/>
      <c r="TCC26" s="204"/>
      <c r="TCD26" s="204"/>
      <c r="TCE26" s="204"/>
      <c r="TCF26" s="204"/>
      <c r="TCG26" s="204"/>
      <c r="TCH26" s="204"/>
      <c r="TCI26" s="204"/>
      <c r="TCJ26" s="204"/>
      <c r="TCK26" s="204"/>
      <c r="TCL26" s="204"/>
      <c r="TCM26" s="204"/>
      <c r="TCN26" s="204"/>
      <c r="TCO26" s="204"/>
      <c r="TCP26" s="204"/>
      <c r="TCQ26" s="204"/>
      <c r="TCR26" s="204"/>
      <c r="TCS26" s="204"/>
      <c r="TCT26" s="204"/>
      <c r="TCU26" s="204"/>
      <c r="TCV26" s="204"/>
      <c r="TCW26" s="204"/>
      <c r="TCX26" s="204"/>
      <c r="TCY26" s="204"/>
      <c r="TCZ26" s="204"/>
      <c r="TDA26" s="204"/>
      <c r="TDB26" s="204"/>
      <c r="TDC26" s="204"/>
      <c r="TDD26" s="204"/>
      <c r="TDE26" s="204"/>
      <c r="TDF26" s="204"/>
      <c r="TDG26" s="204"/>
      <c r="TDH26" s="204"/>
      <c r="TDI26" s="204"/>
      <c r="TDJ26" s="204"/>
      <c r="TDK26" s="204"/>
      <c r="TDL26" s="204"/>
      <c r="TDM26" s="204"/>
      <c r="TDN26" s="204"/>
      <c r="TDO26" s="204"/>
      <c r="TDP26" s="204"/>
      <c r="TDQ26" s="204"/>
      <c r="TDR26" s="204"/>
      <c r="TDS26" s="204"/>
      <c r="TDT26" s="204"/>
      <c r="TDU26" s="204"/>
      <c r="TDV26" s="204"/>
      <c r="TDW26" s="204"/>
      <c r="TDX26" s="204"/>
      <c r="TDY26" s="204"/>
      <c r="TDZ26" s="204"/>
      <c r="TEA26" s="204"/>
      <c r="TEB26" s="204"/>
      <c r="TEC26" s="204"/>
      <c r="TED26" s="204"/>
      <c r="TEE26" s="204"/>
      <c r="TEF26" s="204"/>
      <c r="TEG26" s="204"/>
      <c r="TEH26" s="204"/>
      <c r="TEI26" s="204"/>
      <c r="TEJ26" s="204"/>
      <c r="TEK26" s="204"/>
      <c r="TEL26" s="204"/>
      <c r="TEM26" s="204"/>
      <c r="TEN26" s="204"/>
      <c r="TEO26" s="204"/>
      <c r="TEP26" s="204"/>
      <c r="TEQ26" s="204"/>
      <c r="TER26" s="204"/>
      <c r="TES26" s="204"/>
      <c r="TET26" s="204"/>
      <c r="TEU26" s="204"/>
      <c r="TEV26" s="204"/>
      <c r="TEW26" s="204"/>
      <c r="TEX26" s="204"/>
      <c r="TEY26" s="204"/>
      <c r="TEZ26" s="204"/>
      <c r="TFA26" s="204"/>
      <c r="TFB26" s="204"/>
      <c r="TFC26" s="204"/>
      <c r="TFD26" s="204"/>
      <c r="TFE26" s="204"/>
      <c r="TFF26" s="204"/>
      <c r="TFG26" s="204"/>
      <c r="TFH26" s="204"/>
      <c r="TFI26" s="204"/>
      <c r="TFJ26" s="204"/>
      <c r="TFK26" s="204"/>
      <c r="TFL26" s="204"/>
      <c r="TFM26" s="204"/>
      <c r="TFN26" s="204"/>
      <c r="TFO26" s="204"/>
      <c r="TFP26" s="204"/>
      <c r="TFQ26" s="204"/>
      <c r="TFR26" s="204"/>
      <c r="TFS26" s="204"/>
      <c r="TFT26" s="204"/>
      <c r="TFU26" s="204"/>
      <c r="TFV26" s="204"/>
      <c r="TFW26" s="204"/>
      <c r="TFX26" s="204"/>
      <c r="TFY26" s="204"/>
      <c r="TFZ26" s="204"/>
      <c r="TGA26" s="204"/>
      <c r="TGB26" s="204"/>
      <c r="TGC26" s="204"/>
      <c r="TGD26" s="204"/>
      <c r="TGE26" s="204"/>
      <c r="TGF26" s="204"/>
      <c r="TGG26" s="204"/>
      <c r="TGH26" s="204"/>
      <c r="TGI26" s="204"/>
      <c r="TGJ26" s="204"/>
      <c r="TGK26" s="204"/>
      <c r="TGL26" s="204"/>
      <c r="TGM26" s="204"/>
      <c r="TGN26" s="204"/>
      <c r="TGO26" s="204"/>
      <c r="TGP26" s="204"/>
      <c r="TGQ26" s="204"/>
      <c r="TGR26" s="204"/>
      <c r="TGS26" s="204"/>
      <c r="TGT26" s="204"/>
      <c r="TGU26" s="204"/>
      <c r="TGV26" s="204"/>
      <c r="TGW26" s="204"/>
      <c r="TGX26" s="204"/>
      <c r="TGY26" s="204"/>
      <c r="TGZ26" s="204"/>
      <c r="THA26" s="204"/>
      <c r="THB26" s="204"/>
      <c r="THC26" s="204"/>
      <c r="THD26" s="204"/>
      <c r="THE26" s="204"/>
      <c r="THF26" s="204"/>
      <c r="THG26" s="204"/>
      <c r="THH26" s="204"/>
      <c r="THI26" s="204"/>
      <c r="THJ26" s="204"/>
      <c r="THK26" s="204"/>
      <c r="THL26" s="204"/>
      <c r="THM26" s="204"/>
      <c r="THN26" s="204"/>
      <c r="THO26" s="204"/>
      <c r="THP26" s="204"/>
      <c r="THQ26" s="204"/>
      <c r="THR26" s="204"/>
      <c r="THS26" s="204"/>
      <c r="THT26" s="204"/>
      <c r="THU26" s="204"/>
      <c r="THV26" s="204"/>
      <c r="THW26" s="204"/>
      <c r="THX26" s="204"/>
      <c r="THY26" s="204"/>
      <c r="THZ26" s="204"/>
      <c r="TIA26" s="204"/>
      <c r="TIB26" s="204"/>
      <c r="TIC26" s="204"/>
      <c r="TID26" s="204"/>
      <c r="TIE26" s="204"/>
      <c r="TIF26" s="204"/>
      <c r="TIG26" s="204"/>
      <c r="TIH26" s="204"/>
      <c r="TII26" s="204"/>
      <c r="TIJ26" s="204"/>
      <c r="TIK26" s="204"/>
      <c r="TIL26" s="204"/>
      <c r="TIM26" s="204"/>
      <c r="TIN26" s="204"/>
      <c r="TIO26" s="204"/>
      <c r="TIP26" s="204"/>
      <c r="TIQ26" s="204"/>
      <c r="TIR26" s="204"/>
      <c r="TIS26" s="204"/>
      <c r="TIT26" s="204"/>
      <c r="TIU26" s="204"/>
      <c r="TIV26" s="204"/>
      <c r="TIW26" s="204"/>
      <c r="TIX26" s="204"/>
      <c r="TIY26" s="204"/>
      <c r="TIZ26" s="204"/>
      <c r="TJA26" s="204"/>
      <c r="TJB26" s="204"/>
      <c r="TJC26" s="204"/>
      <c r="TJD26" s="204"/>
      <c r="TJE26" s="204"/>
      <c r="TJF26" s="204"/>
      <c r="TJG26" s="204"/>
      <c r="TJH26" s="204"/>
      <c r="TJI26" s="204"/>
      <c r="TJJ26" s="204"/>
      <c r="TJK26" s="204"/>
      <c r="TJL26" s="204"/>
      <c r="TJM26" s="204"/>
      <c r="TJN26" s="204"/>
      <c r="TJO26" s="204"/>
      <c r="TJP26" s="204"/>
      <c r="TJQ26" s="204"/>
      <c r="TJR26" s="204"/>
      <c r="TJS26" s="204"/>
      <c r="TJT26" s="204"/>
      <c r="TJU26" s="204"/>
      <c r="TJV26" s="204"/>
      <c r="TJW26" s="204"/>
      <c r="TJX26" s="204"/>
      <c r="TJY26" s="204"/>
      <c r="TJZ26" s="204"/>
      <c r="TKA26" s="204"/>
      <c r="TKB26" s="204"/>
      <c r="TKC26" s="204"/>
      <c r="TKD26" s="204"/>
      <c r="TKE26" s="204"/>
      <c r="TKF26" s="204"/>
      <c r="TKG26" s="204"/>
      <c r="TKH26" s="204"/>
      <c r="TKI26" s="204"/>
      <c r="TKJ26" s="204"/>
      <c r="TKK26" s="204"/>
      <c r="TKL26" s="204"/>
      <c r="TKM26" s="204"/>
      <c r="TKN26" s="204"/>
      <c r="TKO26" s="204"/>
      <c r="TKP26" s="204"/>
      <c r="TKQ26" s="204"/>
      <c r="TKR26" s="204"/>
      <c r="TKS26" s="204"/>
      <c r="TKT26" s="204"/>
      <c r="TKU26" s="204"/>
      <c r="TKV26" s="204"/>
      <c r="TKW26" s="204"/>
      <c r="TKX26" s="204"/>
      <c r="TKY26" s="204"/>
      <c r="TKZ26" s="204"/>
      <c r="TLA26" s="204"/>
      <c r="TLB26" s="204"/>
      <c r="TLC26" s="204"/>
      <c r="TLD26" s="204"/>
      <c r="TLE26" s="204"/>
      <c r="TLF26" s="204"/>
      <c r="TLG26" s="204"/>
      <c r="TLH26" s="204"/>
      <c r="TLI26" s="204"/>
      <c r="TLJ26" s="204"/>
      <c r="TLK26" s="204"/>
      <c r="TLL26" s="204"/>
      <c r="TLM26" s="204"/>
      <c r="TLN26" s="204"/>
      <c r="TLO26" s="204"/>
      <c r="TLP26" s="204"/>
      <c r="TLQ26" s="204"/>
      <c r="TLR26" s="204"/>
      <c r="TLS26" s="204"/>
      <c r="TLT26" s="204"/>
      <c r="TLU26" s="204"/>
      <c r="TLV26" s="204"/>
      <c r="TLW26" s="204"/>
      <c r="TLX26" s="204"/>
      <c r="TLY26" s="204"/>
      <c r="TLZ26" s="204"/>
      <c r="TMA26" s="204"/>
      <c r="TMB26" s="204"/>
      <c r="TMC26" s="204"/>
      <c r="TMD26" s="204"/>
      <c r="TME26" s="204"/>
      <c r="TMF26" s="204"/>
      <c r="TMG26" s="204"/>
      <c r="TMH26" s="204"/>
      <c r="TMI26" s="204"/>
      <c r="TMJ26" s="204"/>
      <c r="TMK26" s="204"/>
      <c r="TML26" s="204"/>
      <c r="TMM26" s="204"/>
      <c r="TMN26" s="204"/>
      <c r="TMO26" s="204"/>
      <c r="TMP26" s="204"/>
      <c r="TMQ26" s="204"/>
      <c r="TMR26" s="204"/>
      <c r="TMS26" s="204"/>
      <c r="TMT26" s="204"/>
      <c r="TMU26" s="204"/>
      <c r="TMV26" s="204"/>
      <c r="TMW26" s="204"/>
      <c r="TMX26" s="204"/>
      <c r="TMY26" s="204"/>
      <c r="TMZ26" s="204"/>
      <c r="TNA26" s="204"/>
      <c r="TNB26" s="204"/>
      <c r="TNC26" s="204"/>
      <c r="TND26" s="204"/>
      <c r="TNE26" s="204"/>
      <c r="TNF26" s="204"/>
      <c r="TNG26" s="204"/>
      <c r="TNH26" s="204"/>
      <c r="TNI26" s="204"/>
      <c r="TNJ26" s="204"/>
      <c r="TNK26" s="204"/>
      <c r="TNL26" s="204"/>
      <c r="TNM26" s="204"/>
      <c r="TNN26" s="204"/>
      <c r="TNO26" s="204"/>
      <c r="TNP26" s="204"/>
      <c r="TNQ26" s="204"/>
      <c r="TNR26" s="204"/>
      <c r="TNS26" s="204"/>
      <c r="TNT26" s="204"/>
      <c r="TNU26" s="204"/>
      <c r="TNV26" s="204"/>
      <c r="TNW26" s="204"/>
      <c r="TNX26" s="204"/>
      <c r="TNY26" s="204"/>
      <c r="TNZ26" s="204"/>
      <c r="TOA26" s="204"/>
      <c r="TOB26" s="204"/>
      <c r="TOC26" s="204"/>
      <c r="TOD26" s="204"/>
      <c r="TOE26" s="204"/>
      <c r="TOF26" s="204"/>
      <c r="TOG26" s="204"/>
      <c r="TOH26" s="204"/>
      <c r="TOI26" s="204"/>
      <c r="TOJ26" s="204"/>
      <c r="TOK26" s="204"/>
      <c r="TOL26" s="204"/>
      <c r="TOM26" s="204"/>
      <c r="TON26" s="204"/>
      <c r="TOO26" s="204"/>
      <c r="TOP26" s="204"/>
      <c r="TOQ26" s="204"/>
      <c r="TOR26" s="204"/>
      <c r="TOS26" s="204"/>
      <c r="TOT26" s="204"/>
      <c r="TOU26" s="204"/>
      <c r="TOV26" s="204"/>
      <c r="TOW26" s="204"/>
      <c r="TOX26" s="204"/>
      <c r="TOY26" s="204"/>
      <c r="TOZ26" s="204"/>
      <c r="TPA26" s="204"/>
      <c r="TPB26" s="204"/>
      <c r="TPC26" s="204"/>
      <c r="TPD26" s="204"/>
      <c r="TPE26" s="204"/>
      <c r="TPF26" s="204"/>
      <c r="TPG26" s="204"/>
      <c r="TPH26" s="204"/>
      <c r="TPI26" s="204"/>
      <c r="TPJ26" s="204"/>
      <c r="TPK26" s="204"/>
      <c r="TPL26" s="204"/>
      <c r="TPM26" s="204"/>
      <c r="TPN26" s="204"/>
      <c r="TPO26" s="204"/>
      <c r="TPP26" s="204"/>
      <c r="TPQ26" s="204"/>
      <c r="TPR26" s="204"/>
      <c r="TPS26" s="204"/>
      <c r="TPT26" s="204"/>
      <c r="TPU26" s="204"/>
      <c r="TPV26" s="204"/>
      <c r="TPW26" s="204"/>
      <c r="TPX26" s="204"/>
      <c r="TPY26" s="204"/>
      <c r="TPZ26" s="204"/>
      <c r="TQA26" s="204"/>
      <c r="TQB26" s="204"/>
      <c r="TQC26" s="204"/>
      <c r="TQD26" s="204"/>
      <c r="TQE26" s="204"/>
      <c r="TQF26" s="204"/>
      <c r="TQG26" s="204"/>
      <c r="TQH26" s="204"/>
      <c r="TQI26" s="204"/>
      <c r="TQJ26" s="204"/>
      <c r="TQK26" s="204"/>
      <c r="TQL26" s="204"/>
      <c r="TQM26" s="204"/>
      <c r="TQN26" s="204"/>
      <c r="TQO26" s="204"/>
      <c r="TQP26" s="204"/>
      <c r="TQQ26" s="204"/>
      <c r="TQR26" s="204"/>
      <c r="TQS26" s="204"/>
      <c r="TQT26" s="204"/>
      <c r="TQU26" s="204"/>
      <c r="TQV26" s="204"/>
      <c r="TQW26" s="204"/>
      <c r="TQX26" s="204"/>
      <c r="TQY26" s="204"/>
      <c r="TQZ26" s="204"/>
      <c r="TRA26" s="204"/>
      <c r="TRB26" s="204"/>
      <c r="TRC26" s="204"/>
      <c r="TRD26" s="204"/>
      <c r="TRE26" s="204"/>
      <c r="TRF26" s="204"/>
      <c r="TRG26" s="204"/>
      <c r="TRH26" s="204"/>
      <c r="TRI26" s="204"/>
      <c r="TRJ26" s="204"/>
      <c r="TRK26" s="204"/>
      <c r="TRL26" s="204"/>
      <c r="TRM26" s="204"/>
      <c r="TRN26" s="204"/>
      <c r="TRO26" s="204"/>
      <c r="TRP26" s="204"/>
      <c r="TRQ26" s="204"/>
      <c r="TRR26" s="204"/>
      <c r="TRS26" s="204"/>
      <c r="TRT26" s="204"/>
      <c r="TRU26" s="204"/>
      <c r="TRV26" s="204"/>
      <c r="TRW26" s="204"/>
      <c r="TRX26" s="204"/>
      <c r="TRY26" s="204"/>
      <c r="TRZ26" s="204"/>
      <c r="TSA26" s="204"/>
      <c r="TSB26" s="204"/>
      <c r="TSC26" s="204"/>
      <c r="TSD26" s="204"/>
      <c r="TSE26" s="204"/>
      <c r="TSF26" s="204"/>
      <c r="TSG26" s="204"/>
      <c r="TSH26" s="204"/>
      <c r="TSI26" s="204"/>
      <c r="TSJ26" s="204"/>
      <c r="TSK26" s="204"/>
      <c r="TSL26" s="204"/>
      <c r="TSM26" s="204"/>
      <c r="TSN26" s="204"/>
      <c r="TSO26" s="204"/>
      <c r="TSP26" s="204"/>
      <c r="TSQ26" s="204"/>
      <c r="TSR26" s="204"/>
      <c r="TSS26" s="204"/>
      <c r="TST26" s="204"/>
      <c r="TSU26" s="204"/>
      <c r="TSV26" s="204"/>
      <c r="TSW26" s="204"/>
      <c r="TSX26" s="204"/>
      <c r="TSY26" s="204"/>
      <c r="TSZ26" s="204"/>
      <c r="TTA26" s="204"/>
      <c r="TTB26" s="204"/>
      <c r="TTC26" s="204"/>
      <c r="TTD26" s="204"/>
      <c r="TTE26" s="204"/>
      <c r="TTF26" s="204"/>
      <c r="TTG26" s="204"/>
      <c r="TTH26" s="204"/>
      <c r="TTI26" s="204"/>
      <c r="TTJ26" s="204"/>
      <c r="TTK26" s="204"/>
      <c r="TTL26" s="204"/>
      <c r="TTM26" s="204"/>
      <c r="TTN26" s="204"/>
      <c r="TTO26" s="204"/>
      <c r="TTP26" s="204"/>
      <c r="TTQ26" s="204"/>
      <c r="TTR26" s="204"/>
      <c r="TTS26" s="204"/>
      <c r="TTT26" s="204"/>
      <c r="TTU26" s="204"/>
      <c r="TTV26" s="204"/>
      <c r="TTW26" s="204"/>
      <c r="TTX26" s="204"/>
      <c r="TTY26" s="204"/>
      <c r="TTZ26" s="204"/>
      <c r="TUA26" s="204"/>
      <c r="TUB26" s="204"/>
      <c r="TUC26" s="204"/>
      <c r="TUD26" s="204"/>
      <c r="TUE26" s="204"/>
      <c r="TUF26" s="204"/>
      <c r="TUG26" s="204"/>
      <c r="TUH26" s="204"/>
      <c r="TUI26" s="204"/>
      <c r="TUJ26" s="204"/>
      <c r="TUK26" s="204"/>
      <c r="TUL26" s="204"/>
      <c r="TUM26" s="204"/>
      <c r="TUN26" s="204"/>
      <c r="TUO26" s="204"/>
      <c r="TUP26" s="204"/>
      <c r="TUQ26" s="204"/>
      <c r="TUR26" s="204"/>
      <c r="TUS26" s="204"/>
      <c r="TUT26" s="204"/>
      <c r="TUU26" s="204"/>
      <c r="TUV26" s="204"/>
      <c r="TUW26" s="204"/>
      <c r="TUX26" s="204"/>
      <c r="TUY26" s="204"/>
      <c r="TUZ26" s="204"/>
      <c r="TVA26" s="204"/>
      <c r="TVB26" s="204"/>
      <c r="TVC26" s="204"/>
      <c r="TVD26" s="204"/>
      <c r="TVE26" s="204"/>
      <c r="TVF26" s="204"/>
      <c r="TVG26" s="204"/>
      <c r="TVH26" s="204"/>
      <c r="TVI26" s="204"/>
      <c r="TVJ26" s="204"/>
      <c r="TVK26" s="204"/>
      <c r="TVL26" s="204"/>
      <c r="TVM26" s="204"/>
      <c r="TVN26" s="204"/>
      <c r="TVO26" s="204"/>
      <c r="TVP26" s="204"/>
      <c r="TVQ26" s="204"/>
      <c r="TVR26" s="204"/>
      <c r="TVS26" s="204"/>
      <c r="TVT26" s="204"/>
      <c r="TVU26" s="204"/>
      <c r="TVV26" s="204"/>
      <c r="TVW26" s="204"/>
      <c r="TVX26" s="204"/>
      <c r="TVY26" s="204"/>
      <c r="TVZ26" s="204"/>
      <c r="TWA26" s="204"/>
      <c r="TWB26" s="204"/>
      <c r="TWC26" s="204"/>
      <c r="TWD26" s="204"/>
      <c r="TWE26" s="204"/>
      <c r="TWF26" s="204"/>
      <c r="TWG26" s="204"/>
      <c r="TWH26" s="204"/>
      <c r="TWI26" s="204"/>
      <c r="TWJ26" s="204"/>
      <c r="TWK26" s="204"/>
      <c r="TWL26" s="204"/>
      <c r="TWM26" s="204"/>
      <c r="TWN26" s="204"/>
      <c r="TWO26" s="204"/>
      <c r="TWP26" s="204"/>
      <c r="TWQ26" s="204"/>
      <c r="TWR26" s="204"/>
      <c r="TWS26" s="204"/>
      <c r="TWT26" s="204"/>
      <c r="TWU26" s="204"/>
      <c r="TWV26" s="204"/>
      <c r="TWW26" s="204"/>
      <c r="TWX26" s="204"/>
      <c r="TWY26" s="204"/>
      <c r="TWZ26" s="204"/>
      <c r="TXA26" s="204"/>
      <c r="TXB26" s="204"/>
      <c r="TXC26" s="204"/>
      <c r="TXD26" s="204"/>
      <c r="TXE26" s="204"/>
      <c r="TXF26" s="204"/>
      <c r="TXG26" s="204"/>
      <c r="TXH26" s="204"/>
      <c r="TXI26" s="204"/>
      <c r="TXJ26" s="204"/>
      <c r="TXK26" s="204"/>
      <c r="TXL26" s="204"/>
      <c r="TXM26" s="204"/>
      <c r="TXN26" s="204"/>
      <c r="TXO26" s="204"/>
      <c r="TXP26" s="204"/>
      <c r="TXQ26" s="204"/>
      <c r="TXR26" s="204"/>
      <c r="TXS26" s="204"/>
      <c r="TXT26" s="204"/>
      <c r="TXU26" s="204"/>
      <c r="TXV26" s="204"/>
      <c r="TXW26" s="204"/>
      <c r="TXX26" s="204"/>
      <c r="TXY26" s="204"/>
      <c r="TXZ26" s="204"/>
      <c r="TYA26" s="204"/>
      <c r="TYB26" s="204"/>
      <c r="TYC26" s="204"/>
      <c r="TYD26" s="204"/>
      <c r="TYE26" s="204"/>
      <c r="TYF26" s="204"/>
      <c r="TYG26" s="204"/>
      <c r="TYH26" s="204"/>
      <c r="TYI26" s="204"/>
      <c r="TYJ26" s="204"/>
      <c r="TYK26" s="204"/>
      <c r="TYL26" s="204"/>
      <c r="TYM26" s="204"/>
      <c r="TYN26" s="204"/>
      <c r="TYO26" s="204"/>
      <c r="TYP26" s="204"/>
      <c r="TYQ26" s="204"/>
      <c r="TYR26" s="204"/>
      <c r="TYS26" s="204"/>
      <c r="TYT26" s="204"/>
      <c r="TYU26" s="204"/>
      <c r="TYV26" s="204"/>
      <c r="TYW26" s="204"/>
      <c r="TYX26" s="204"/>
      <c r="TYY26" s="204"/>
      <c r="TYZ26" s="204"/>
      <c r="TZA26" s="204"/>
      <c r="TZB26" s="204"/>
      <c r="TZC26" s="204"/>
      <c r="TZD26" s="204"/>
      <c r="TZE26" s="204"/>
      <c r="TZF26" s="204"/>
      <c r="TZG26" s="204"/>
      <c r="TZH26" s="204"/>
      <c r="TZI26" s="204"/>
      <c r="TZJ26" s="204"/>
      <c r="TZK26" s="204"/>
      <c r="TZL26" s="204"/>
      <c r="TZM26" s="204"/>
      <c r="TZN26" s="204"/>
      <c r="TZO26" s="204"/>
      <c r="TZP26" s="204"/>
      <c r="TZQ26" s="204"/>
      <c r="TZR26" s="204"/>
      <c r="TZS26" s="204"/>
      <c r="TZT26" s="204"/>
      <c r="TZU26" s="204"/>
      <c r="TZV26" s="204"/>
      <c r="TZW26" s="204"/>
      <c r="TZX26" s="204"/>
      <c r="TZY26" s="204"/>
      <c r="TZZ26" s="204"/>
      <c r="UAA26" s="204"/>
      <c r="UAB26" s="204"/>
      <c r="UAC26" s="204"/>
      <c r="UAD26" s="204"/>
      <c r="UAE26" s="204"/>
      <c r="UAF26" s="204"/>
      <c r="UAG26" s="204"/>
      <c r="UAH26" s="204"/>
      <c r="UAI26" s="204"/>
      <c r="UAJ26" s="204"/>
      <c r="UAK26" s="204"/>
      <c r="UAL26" s="204"/>
      <c r="UAM26" s="204"/>
      <c r="UAN26" s="204"/>
      <c r="UAO26" s="204"/>
      <c r="UAP26" s="204"/>
      <c r="UAQ26" s="204"/>
      <c r="UAR26" s="204"/>
      <c r="UAS26" s="204"/>
      <c r="UAT26" s="204"/>
      <c r="UAU26" s="204"/>
      <c r="UAV26" s="204"/>
      <c r="UAW26" s="204"/>
      <c r="UAX26" s="204"/>
      <c r="UAY26" s="204"/>
      <c r="UAZ26" s="204"/>
      <c r="UBA26" s="204"/>
      <c r="UBB26" s="204"/>
      <c r="UBC26" s="204"/>
      <c r="UBD26" s="204"/>
      <c r="UBE26" s="204"/>
      <c r="UBF26" s="204"/>
      <c r="UBG26" s="204"/>
      <c r="UBH26" s="204"/>
      <c r="UBI26" s="204"/>
      <c r="UBJ26" s="204"/>
      <c r="UBK26" s="204"/>
      <c r="UBL26" s="204"/>
      <c r="UBM26" s="204"/>
      <c r="UBN26" s="204"/>
      <c r="UBO26" s="204"/>
      <c r="UBP26" s="204"/>
      <c r="UBQ26" s="204"/>
      <c r="UBR26" s="204"/>
      <c r="UBS26" s="204"/>
      <c r="UBT26" s="204"/>
      <c r="UBU26" s="204"/>
      <c r="UBV26" s="204"/>
      <c r="UBW26" s="204"/>
      <c r="UBX26" s="204"/>
      <c r="UBY26" s="204"/>
      <c r="UBZ26" s="204"/>
      <c r="UCA26" s="204"/>
      <c r="UCB26" s="204"/>
      <c r="UCC26" s="204"/>
      <c r="UCD26" s="204"/>
      <c r="UCE26" s="204"/>
      <c r="UCF26" s="204"/>
      <c r="UCG26" s="204"/>
      <c r="UCH26" s="204"/>
      <c r="UCI26" s="204"/>
      <c r="UCJ26" s="204"/>
      <c r="UCK26" s="204"/>
      <c r="UCL26" s="204"/>
      <c r="UCM26" s="204"/>
      <c r="UCN26" s="204"/>
      <c r="UCO26" s="204"/>
      <c r="UCP26" s="204"/>
      <c r="UCQ26" s="204"/>
      <c r="UCR26" s="204"/>
      <c r="UCS26" s="204"/>
      <c r="UCT26" s="204"/>
      <c r="UCU26" s="204"/>
      <c r="UCV26" s="204"/>
      <c r="UCW26" s="204"/>
      <c r="UCX26" s="204"/>
      <c r="UCY26" s="204"/>
      <c r="UCZ26" s="204"/>
      <c r="UDA26" s="204"/>
      <c r="UDB26" s="204"/>
      <c r="UDC26" s="204"/>
      <c r="UDD26" s="204"/>
      <c r="UDE26" s="204"/>
      <c r="UDF26" s="204"/>
      <c r="UDG26" s="204"/>
      <c r="UDH26" s="204"/>
      <c r="UDI26" s="204"/>
      <c r="UDJ26" s="204"/>
      <c r="UDK26" s="204"/>
      <c r="UDL26" s="204"/>
      <c r="UDM26" s="204"/>
      <c r="UDN26" s="204"/>
      <c r="UDO26" s="204"/>
      <c r="UDP26" s="204"/>
      <c r="UDQ26" s="204"/>
      <c r="UDR26" s="204"/>
      <c r="UDS26" s="204"/>
      <c r="UDT26" s="204"/>
      <c r="UDU26" s="204"/>
      <c r="UDV26" s="204"/>
      <c r="UDW26" s="204"/>
      <c r="UDX26" s="204"/>
      <c r="UDY26" s="204"/>
      <c r="UDZ26" s="204"/>
      <c r="UEA26" s="204"/>
      <c r="UEB26" s="204"/>
      <c r="UEC26" s="204"/>
      <c r="UED26" s="204"/>
      <c r="UEE26" s="204"/>
      <c r="UEF26" s="204"/>
      <c r="UEG26" s="204"/>
      <c r="UEH26" s="204"/>
      <c r="UEI26" s="204"/>
      <c r="UEJ26" s="204"/>
      <c r="UEK26" s="204"/>
      <c r="UEL26" s="204"/>
      <c r="UEM26" s="204"/>
      <c r="UEN26" s="204"/>
      <c r="UEO26" s="204"/>
      <c r="UEP26" s="204"/>
      <c r="UEQ26" s="204"/>
      <c r="UER26" s="204"/>
      <c r="UES26" s="204"/>
      <c r="UET26" s="204"/>
      <c r="UEU26" s="204"/>
      <c r="UEV26" s="204"/>
      <c r="UEW26" s="204"/>
      <c r="UEX26" s="204"/>
      <c r="UEY26" s="204"/>
      <c r="UEZ26" s="204"/>
      <c r="UFA26" s="204"/>
      <c r="UFB26" s="204"/>
      <c r="UFC26" s="204"/>
      <c r="UFD26" s="204"/>
      <c r="UFE26" s="204"/>
      <c r="UFF26" s="204"/>
      <c r="UFG26" s="204"/>
      <c r="UFH26" s="204"/>
      <c r="UFI26" s="204"/>
      <c r="UFJ26" s="204"/>
      <c r="UFK26" s="204"/>
      <c r="UFL26" s="204"/>
      <c r="UFM26" s="204"/>
      <c r="UFN26" s="204"/>
      <c r="UFO26" s="204"/>
      <c r="UFP26" s="204"/>
      <c r="UFQ26" s="204"/>
      <c r="UFR26" s="204"/>
      <c r="UFS26" s="204"/>
      <c r="UFT26" s="204"/>
      <c r="UFU26" s="204"/>
      <c r="UFV26" s="204"/>
      <c r="UFW26" s="204"/>
      <c r="UFX26" s="204"/>
      <c r="UFY26" s="204"/>
      <c r="UFZ26" s="204"/>
      <c r="UGA26" s="204"/>
      <c r="UGB26" s="204"/>
      <c r="UGC26" s="204"/>
      <c r="UGD26" s="204"/>
      <c r="UGE26" s="204"/>
      <c r="UGF26" s="204"/>
      <c r="UGG26" s="204"/>
      <c r="UGH26" s="204"/>
      <c r="UGI26" s="204"/>
      <c r="UGJ26" s="204"/>
      <c r="UGK26" s="204"/>
      <c r="UGL26" s="204"/>
      <c r="UGM26" s="204"/>
      <c r="UGN26" s="204"/>
      <c r="UGO26" s="204"/>
      <c r="UGP26" s="204"/>
      <c r="UGQ26" s="204"/>
      <c r="UGR26" s="204"/>
      <c r="UGS26" s="204"/>
      <c r="UGT26" s="204"/>
      <c r="UGU26" s="204"/>
      <c r="UGV26" s="204"/>
      <c r="UGW26" s="204"/>
      <c r="UGX26" s="204"/>
      <c r="UGY26" s="204"/>
      <c r="UGZ26" s="204"/>
      <c r="UHA26" s="204"/>
      <c r="UHB26" s="204"/>
      <c r="UHC26" s="204"/>
      <c r="UHD26" s="204"/>
      <c r="UHE26" s="204"/>
      <c r="UHF26" s="204"/>
      <c r="UHG26" s="204"/>
      <c r="UHH26" s="204"/>
      <c r="UHI26" s="204"/>
      <c r="UHJ26" s="204"/>
      <c r="UHK26" s="204"/>
      <c r="UHL26" s="204"/>
      <c r="UHM26" s="204"/>
      <c r="UHN26" s="204"/>
      <c r="UHO26" s="204"/>
      <c r="UHP26" s="204"/>
      <c r="UHQ26" s="204"/>
      <c r="UHR26" s="204"/>
      <c r="UHS26" s="204"/>
      <c r="UHT26" s="204"/>
      <c r="UHU26" s="204"/>
      <c r="UHV26" s="204"/>
      <c r="UHW26" s="204"/>
      <c r="UHX26" s="204"/>
      <c r="UHY26" s="204"/>
      <c r="UHZ26" s="204"/>
      <c r="UIA26" s="204"/>
      <c r="UIB26" s="204"/>
      <c r="UIC26" s="204"/>
      <c r="UID26" s="204"/>
      <c r="UIE26" s="204"/>
      <c r="UIF26" s="204"/>
      <c r="UIG26" s="204"/>
      <c r="UIH26" s="204"/>
      <c r="UII26" s="204"/>
      <c r="UIJ26" s="204"/>
      <c r="UIK26" s="204"/>
      <c r="UIL26" s="204"/>
      <c r="UIM26" s="204"/>
      <c r="UIN26" s="204"/>
      <c r="UIO26" s="204"/>
      <c r="UIP26" s="204"/>
      <c r="UIQ26" s="204"/>
      <c r="UIR26" s="204"/>
      <c r="UIS26" s="204"/>
      <c r="UIT26" s="204"/>
      <c r="UIU26" s="204"/>
      <c r="UIV26" s="204"/>
      <c r="UIW26" s="204"/>
      <c r="UIX26" s="204"/>
      <c r="UIY26" s="204"/>
      <c r="UIZ26" s="204"/>
      <c r="UJA26" s="204"/>
      <c r="UJB26" s="204"/>
      <c r="UJC26" s="204"/>
      <c r="UJD26" s="204"/>
      <c r="UJE26" s="204"/>
      <c r="UJF26" s="204"/>
      <c r="UJG26" s="204"/>
      <c r="UJH26" s="204"/>
      <c r="UJI26" s="204"/>
      <c r="UJJ26" s="204"/>
      <c r="UJK26" s="204"/>
      <c r="UJL26" s="204"/>
      <c r="UJM26" s="204"/>
      <c r="UJN26" s="204"/>
      <c r="UJO26" s="204"/>
      <c r="UJP26" s="204"/>
      <c r="UJQ26" s="204"/>
      <c r="UJR26" s="204"/>
      <c r="UJS26" s="204"/>
      <c r="UJT26" s="204"/>
      <c r="UJU26" s="204"/>
      <c r="UJV26" s="204"/>
      <c r="UJW26" s="204"/>
      <c r="UJX26" s="204"/>
      <c r="UJY26" s="204"/>
      <c r="UJZ26" s="204"/>
      <c r="UKA26" s="204"/>
      <c r="UKB26" s="204"/>
      <c r="UKC26" s="204"/>
      <c r="UKD26" s="204"/>
      <c r="UKE26" s="204"/>
      <c r="UKF26" s="204"/>
      <c r="UKG26" s="204"/>
      <c r="UKH26" s="204"/>
      <c r="UKI26" s="204"/>
      <c r="UKJ26" s="204"/>
      <c r="UKK26" s="204"/>
      <c r="UKL26" s="204"/>
      <c r="UKM26" s="204"/>
      <c r="UKN26" s="204"/>
      <c r="UKO26" s="204"/>
      <c r="UKP26" s="204"/>
      <c r="UKQ26" s="204"/>
      <c r="UKR26" s="204"/>
      <c r="UKS26" s="204"/>
      <c r="UKT26" s="204"/>
      <c r="UKU26" s="204"/>
      <c r="UKV26" s="204"/>
      <c r="UKW26" s="204"/>
      <c r="UKX26" s="204"/>
      <c r="UKY26" s="204"/>
      <c r="UKZ26" s="204"/>
      <c r="ULA26" s="204"/>
      <c r="ULB26" s="204"/>
      <c r="ULC26" s="204"/>
      <c r="ULD26" s="204"/>
      <c r="ULE26" s="204"/>
      <c r="ULF26" s="204"/>
      <c r="ULG26" s="204"/>
      <c r="ULH26" s="204"/>
      <c r="ULI26" s="204"/>
      <c r="ULJ26" s="204"/>
      <c r="ULK26" s="204"/>
      <c r="ULL26" s="204"/>
      <c r="ULM26" s="204"/>
      <c r="ULN26" s="204"/>
      <c r="ULO26" s="204"/>
      <c r="ULP26" s="204"/>
      <c r="ULQ26" s="204"/>
      <c r="ULR26" s="204"/>
      <c r="ULS26" s="204"/>
      <c r="ULT26" s="204"/>
      <c r="ULU26" s="204"/>
      <c r="ULV26" s="204"/>
      <c r="ULW26" s="204"/>
      <c r="ULX26" s="204"/>
      <c r="ULY26" s="204"/>
      <c r="ULZ26" s="204"/>
      <c r="UMA26" s="204"/>
      <c r="UMB26" s="204"/>
      <c r="UMC26" s="204"/>
      <c r="UMD26" s="204"/>
      <c r="UME26" s="204"/>
      <c r="UMF26" s="204"/>
      <c r="UMG26" s="204"/>
      <c r="UMH26" s="204"/>
      <c r="UMI26" s="204"/>
      <c r="UMJ26" s="204"/>
      <c r="UMK26" s="204"/>
      <c r="UML26" s="204"/>
      <c r="UMM26" s="204"/>
      <c r="UMN26" s="204"/>
      <c r="UMO26" s="204"/>
      <c r="UMP26" s="204"/>
      <c r="UMQ26" s="204"/>
      <c r="UMR26" s="204"/>
      <c r="UMS26" s="204"/>
      <c r="UMT26" s="204"/>
      <c r="UMU26" s="204"/>
      <c r="UMV26" s="204"/>
      <c r="UMW26" s="204"/>
      <c r="UMX26" s="204"/>
      <c r="UMY26" s="204"/>
      <c r="UMZ26" s="204"/>
      <c r="UNA26" s="204"/>
      <c r="UNB26" s="204"/>
      <c r="UNC26" s="204"/>
      <c r="UND26" s="204"/>
      <c r="UNE26" s="204"/>
      <c r="UNF26" s="204"/>
      <c r="UNG26" s="204"/>
      <c r="UNH26" s="204"/>
      <c r="UNI26" s="204"/>
      <c r="UNJ26" s="204"/>
      <c r="UNK26" s="204"/>
      <c r="UNL26" s="204"/>
      <c r="UNM26" s="204"/>
      <c r="UNN26" s="204"/>
      <c r="UNO26" s="204"/>
      <c r="UNP26" s="204"/>
      <c r="UNQ26" s="204"/>
      <c r="UNR26" s="204"/>
      <c r="UNS26" s="204"/>
      <c r="UNT26" s="204"/>
      <c r="UNU26" s="204"/>
      <c r="UNV26" s="204"/>
      <c r="UNW26" s="204"/>
      <c r="UNX26" s="204"/>
      <c r="UNY26" s="204"/>
      <c r="UNZ26" s="204"/>
      <c r="UOA26" s="204"/>
      <c r="UOB26" s="204"/>
      <c r="UOC26" s="204"/>
      <c r="UOD26" s="204"/>
      <c r="UOE26" s="204"/>
      <c r="UOF26" s="204"/>
      <c r="UOG26" s="204"/>
      <c r="UOH26" s="204"/>
      <c r="UOI26" s="204"/>
      <c r="UOJ26" s="204"/>
      <c r="UOK26" s="204"/>
      <c r="UOL26" s="204"/>
      <c r="UOM26" s="204"/>
      <c r="UON26" s="204"/>
      <c r="UOO26" s="204"/>
      <c r="UOP26" s="204"/>
      <c r="UOQ26" s="204"/>
      <c r="UOR26" s="204"/>
      <c r="UOS26" s="204"/>
      <c r="UOT26" s="204"/>
      <c r="UOU26" s="204"/>
      <c r="UOV26" s="204"/>
      <c r="UOW26" s="204"/>
      <c r="UOX26" s="204"/>
      <c r="UOY26" s="204"/>
      <c r="UOZ26" s="204"/>
      <c r="UPA26" s="204"/>
      <c r="UPB26" s="204"/>
      <c r="UPC26" s="204"/>
      <c r="UPD26" s="204"/>
      <c r="UPE26" s="204"/>
      <c r="UPF26" s="204"/>
      <c r="UPG26" s="204"/>
      <c r="UPH26" s="204"/>
      <c r="UPI26" s="204"/>
      <c r="UPJ26" s="204"/>
      <c r="UPK26" s="204"/>
      <c r="UPL26" s="204"/>
      <c r="UPM26" s="204"/>
      <c r="UPN26" s="204"/>
      <c r="UPO26" s="204"/>
      <c r="UPP26" s="204"/>
      <c r="UPQ26" s="204"/>
      <c r="UPR26" s="204"/>
      <c r="UPS26" s="204"/>
      <c r="UPT26" s="204"/>
      <c r="UPU26" s="204"/>
      <c r="UPV26" s="204"/>
      <c r="UPW26" s="204"/>
      <c r="UPX26" s="204"/>
      <c r="UPY26" s="204"/>
      <c r="UPZ26" s="204"/>
      <c r="UQA26" s="204"/>
      <c r="UQB26" s="204"/>
      <c r="UQC26" s="204"/>
      <c r="UQD26" s="204"/>
      <c r="UQE26" s="204"/>
      <c r="UQF26" s="204"/>
      <c r="UQG26" s="204"/>
      <c r="UQH26" s="204"/>
      <c r="UQI26" s="204"/>
      <c r="UQJ26" s="204"/>
      <c r="UQK26" s="204"/>
      <c r="UQL26" s="204"/>
      <c r="UQM26" s="204"/>
      <c r="UQN26" s="204"/>
      <c r="UQO26" s="204"/>
      <c r="UQP26" s="204"/>
      <c r="UQQ26" s="204"/>
      <c r="UQR26" s="204"/>
      <c r="UQS26" s="204"/>
      <c r="UQT26" s="204"/>
      <c r="UQU26" s="204"/>
      <c r="UQV26" s="204"/>
      <c r="UQW26" s="204"/>
      <c r="UQX26" s="204"/>
      <c r="UQY26" s="204"/>
      <c r="UQZ26" s="204"/>
      <c r="URA26" s="204"/>
      <c r="URB26" s="204"/>
      <c r="URC26" s="204"/>
      <c r="URD26" s="204"/>
      <c r="URE26" s="204"/>
      <c r="URF26" s="204"/>
      <c r="URG26" s="204"/>
      <c r="URH26" s="204"/>
      <c r="URI26" s="204"/>
      <c r="URJ26" s="204"/>
      <c r="URK26" s="204"/>
      <c r="URL26" s="204"/>
      <c r="URM26" s="204"/>
      <c r="URN26" s="204"/>
      <c r="URO26" s="204"/>
      <c r="URP26" s="204"/>
      <c r="URQ26" s="204"/>
      <c r="URR26" s="204"/>
      <c r="URS26" s="204"/>
      <c r="URT26" s="204"/>
      <c r="URU26" s="204"/>
      <c r="URV26" s="204"/>
      <c r="URW26" s="204"/>
      <c r="URX26" s="204"/>
      <c r="URY26" s="204"/>
      <c r="URZ26" s="204"/>
      <c r="USA26" s="204"/>
      <c r="USB26" s="204"/>
      <c r="USC26" s="204"/>
      <c r="USD26" s="204"/>
      <c r="USE26" s="204"/>
      <c r="USF26" s="204"/>
      <c r="USG26" s="204"/>
      <c r="USH26" s="204"/>
      <c r="USI26" s="204"/>
      <c r="USJ26" s="204"/>
      <c r="USK26" s="204"/>
      <c r="USL26" s="204"/>
      <c r="USM26" s="204"/>
      <c r="USN26" s="204"/>
      <c r="USO26" s="204"/>
      <c r="USP26" s="204"/>
      <c r="USQ26" s="204"/>
      <c r="USR26" s="204"/>
      <c r="USS26" s="204"/>
      <c r="UST26" s="204"/>
      <c r="USU26" s="204"/>
      <c r="USV26" s="204"/>
      <c r="USW26" s="204"/>
      <c r="USX26" s="204"/>
      <c r="USY26" s="204"/>
      <c r="USZ26" s="204"/>
      <c r="UTA26" s="204"/>
      <c r="UTB26" s="204"/>
      <c r="UTC26" s="204"/>
      <c r="UTD26" s="204"/>
      <c r="UTE26" s="204"/>
      <c r="UTF26" s="204"/>
      <c r="UTG26" s="204"/>
      <c r="UTH26" s="204"/>
      <c r="UTI26" s="204"/>
      <c r="UTJ26" s="204"/>
      <c r="UTK26" s="204"/>
      <c r="UTL26" s="204"/>
      <c r="UTM26" s="204"/>
      <c r="UTN26" s="204"/>
      <c r="UTO26" s="204"/>
      <c r="UTP26" s="204"/>
      <c r="UTQ26" s="204"/>
      <c r="UTR26" s="204"/>
      <c r="UTS26" s="204"/>
      <c r="UTT26" s="204"/>
      <c r="UTU26" s="204"/>
      <c r="UTV26" s="204"/>
      <c r="UTW26" s="204"/>
      <c r="UTX26" s="204"/>
      <c r="UTY26" s="204"/>
      <c r="UTZ26" s="204"/>
      <c r="UUA26" s="204"/>
      <c r="UUB26" s="204"/>
      <c r="UUC26" s="204"/>
      <c r="UUD26" s="204"/>
      <c r="UUE26" s="204"/>
      <c r="UUF26" s="204"/>
      <c r="UUG26" s="204"/>
      <c r="UUH26" s="204"/>
      <c r="UUI26" s="204"/>
      <c r="UUJ26" s="204"/>
      <c r="UUK26" s="204"/>
      <c r="UUL26" s="204"/>
      <c r="UUM26" s="204"/>
      <c r="UUN26" s="204"/>
      <c r="UUO26" s="204"/>
      <c r="UUP26" s="204"/>
      <c r="UUQ26" s="204"/>
      <c r="UUR26" s="204"/>
      <c r="UUS26" s="204"/>
      <c r="UUT26" s="204"/>
      <c r="UUU26" s="204"/>
      <c r="UUV26" s="204"/>
      <c r="UUW26" s="204"/>
      <c r="UUX26" s="204"/>
      <c r="UUY26" s="204"/>
      <c r="UUZ26" s="204"/>
      <c r="UVA26" s="204"/>
      <c r="UVB26" s="204"/>
      <c r="UVC26" s="204"/>
      <c r="UVD26" s="204"/>
      <c r="UVE26" s="204"/>
      <c r="UVF26" s="204"/>
      <c r="UVG26" s="204"/>
      <c r="UVH26" s="204"/>
      <c r="UVI26" s="204"/>
      <c r="UVJ26" s="204"/>
      <c r="UVK26" s="204"/>
      <c r="UVL26" s="204"/>
      <c r="UVM26" s="204"/>
      <c r="UVN26" s="204"/>
      <c r="UVO26" s="204"/>
      <c r="UVP26" s="204"/>
      <c r="UVQ26" s="204"/>
      <c r="UVR26" s="204"/>
      <c r="UVS26" s="204"/>
      <c r="UVT26" s="204"/>
      <c r="UVU26" s="204"/>
      <c r="UVV26" s="204"/>
      <c r="UVW26" s="204"/>
      <c r="UVX26" s="204"/>
      <c r="UVY26" s="204"/>
      <c r="UVZ26" s="204"/>
      <c r="UWA26" s="204"/>
      <c r="UWB26" s="204"/>
      <c r="UWC26" s="204"/>
      <c r="UWD26" s="204"/>
      <c r="UWE26" s="204"/>
      <c r="UWF26" s="204"/>
      <c r="UWG26" s="204"/>
      <c r="UWH26" s="204"/>
      <c r="UWI26" s="204"/>
      <c r="UWJ26" s="204"/>
      <c r="UWK26" s="204"/>
      <c r="UWL26" s="204"/>
      <c r="UWM26" s="204"/>
      <c r="UWN26" s="204"/>
      <c r="UWO26" s="204"/>
      <c r="UWP26" s="204"/>
      <c r="UWQ26" s="204"/>
      <c r="UWR26" s="204"/>
      <c r="UWS26" s="204"/>
      <c r="UWT26" s="204"/>
      <c r="UWU26" s="204"/>
      <c r="UWV26" s="204"/>
      <c r="UWW26" s="204"/>
      <c r="UWX26" s="204"/>
      <c r="UWY26" s="204"/>
      <c r="UWZ26" s="204"/>
      <c r="UXA26" s="204"/>
      <c r="UXB26" s="204"/>
      <c r="UXC26" s="204"/>
      <c r="UXD26" s="204"/>
      <c r="UXE26" s="204"/>
      <c r="UXF26" s="204"/>
      <c r="UXG26" s="204"/>
      <c r="UXH26" s="204"/>
      <c r="UXI26" s="204"/>
      <c r="UXJ26" s="204"/>
      <c r="UXK26" s="204"/>
      <c r="UXL26" s="204"/>
      <c r="UXM26" s="204"/>
      <c r="UXN26" s="204"/>
      <c r="UXO26" s="204"/>
      <c r="UXP26" s="204"/>
      <c r="UXQ26" s="204"/>
      <c r="UXR26" s="204"/>
      <c r="UXS26" s="204"/>
      <c r="UXT26" s="204"/>
      <c r="UXU26" s="204"/>
      <c r="UXV26" s="204"/>
      <c r="UXW26" s="204"/>
      <c r="UXX26" s="204"/>
      <c r="UXY26" s="204"/>
      <c r="UXZ26" s="204"/>
      <c r="UYA26" s="204"/>
      <c r="UYB26" s="204"/>
      <c r="UYC26" s="204"/>
      <c r="UYD26" s="204"/>
      <c r="UYE26" s="204"/>
      <c r="UYF26" s="204"/>
      <c r="UYG26" s="204"/>
      <c r="UYH26" s="204"/>
      <c r="UYI26" s="204"/>
      <c r="UYJ26" s="204"/>
      <c r="UYK26" s="204"/>
      <c r="UYL26" s="204"/>
      <c r="UYM26" s="204"/>
      <c r="UYN26" s="204"/>
      <c r="UYO26" s="204"/>
      <c r="UYP26" s="204"/>
      <c r="UYQ26" s="204"/>
      <c r="UYR26" s="204"/>
      <c r="UYS26" s="204"/>
      <c r="UYT26" s="204"/>
      <c r="UYU26" s="204"/>
      <c r="UYV26" s="204"/>
      <c r="UYW26" s="204"/>
      <c r="UYX26" s="204"/>
      <c r="UYY26" s="204"/>
      <c r="UYZ26" s="204"/>
      <c r="UZA26" s="204"/>
      <c r="UZB26" s="204"/>
      <c r="UZC26" s="204"/>
      <c r="UZD26" s="204"/>
      <c r="UZE26" s="204"/>
      <c r="UZF26" s="204"/>
      <c r="UZG26" s="204"/>
      <c r="UZH26" s="204"/>
      <c r="UZI26" s="204"/>
      <c r="UZJ26" s="204"/>
      <c r="UZK26" s="204"/>
      <c r="UZL26" s="204"/>
      <c r="UZM26" s="204"/>
      <c r="UZN26" s="204"/>
      <c r="UZO26" s="204"/>
      <c r="UZP26" s="204"/>
      <c r="UZQ26" s="204"/>
      <c r="UZR26" s="204"/>
      <c r="UZS26" s="204"/>
      <c r="UZT26" s="204"/>
      <c r="UZU26" s="204"/>
      <c r="UZV26" s="204"/>
      <c r="UZW26" s="204"/>
      <c r="UZX26" s="204"/>
      <c r="UZY26" s="204"/>
      <c r="UZZ26" s="204"/>
      <c r="VAA26" s="204"/>
      <c r="VAB26" s="204"/>
      <c r="VAC26" s="204"/>
      <c r="VAD26" s="204"/>
      <c r="VAE26" s="204"/>
      <c r="VAF26" s="204"/>
      <c r="VAG26" s="204"/>
      <c r="VAH26" s="204"/>
      <c r="VAI26" s="204"/>
      <c r="VAJ26" s="204"/>
      <c r="VAK26" s="204"/>
      <c r="VAL26" s="204"/>
      <c r="VAM26" s="204"/>
      <c r="VAN26" s="204"/>
      <c r="VAO26" s="204"/>
      <c r="VAP26" s="204"/>
      <c r="VAQ26" s="204"/>
      <c r="VAR26" s="204"/>
      <c r="VAS26" s="204"/>
      <c r="VAT26" s="204"/>
      <c r="VAU26" s="204"/>
      <c r="VAV26" s="204"/>
      <c r="VAW26" s="204"/>
      <c r="VAX26" s="204"/>
      <c r="VAY26" s="204"/>
      <c r="VAZ26" s="204"/>
      <c r="VBA26" s="204"/>
      <c r="VBB26" s="204"/>
      <c r="VBC26" s="204"/>
      <c r="VBD26" s="204"/>
      <c r="VBE26" s="204"/>
      <c r="VBF26" s="204"/>
      <c r="VBG26" s="204"/>
      <c r="VBH26" s="204"/>
      <c r="VBI26" s="204"/>
      <c r="VBJ26" s="204"/>
      <c r="VBK26" s="204"/>
      <c r="VBL26" s="204"/>
      <c r="VBM26" s="204"/>
      <c r="VBN26" s="204"/>
      <c r="VBO26" s="204"/>
      <c r="VBP26" s="204"/>
      <c r="VBQ26" s="204"/>
      <c r="VBR26" s="204"/>
      <c r="VBS26" s="204"/>
      <c r="VBT26" s="204"/>
      <c r="VBU26" s="204"/>
      <c r="VBV26" s="204"/>
      <c r="VBW26" s="204"/>
      <c r="VBX26" s="204"/>
      <c r="VBY26" s="204"/>
      <c r="VBZ26" s="204"/>
      <c r="VCA26" s="204"/>
      <c r="VCB26" s="204"/>
      <c r="VCC26" s="204"/>
      <c r="VCD26" s="204"/>
      <c r="VCE26" s="204"/>
      <c r="VCF26" s="204"/>
      <c r="VCG26" s="204"/>
      <c r="VCH26" s="204"/>
      <c r="VCI26" s="204"/>
      <c r="VCJ26" s="204"/>
      <c r="VCK26" s="204"/>
      <c r="VCL26" s="204"/>
      <c r="VCM26" s="204"/>
      <c r="VCN26" s="204"/>
      <c r="VCO26" s="204"/>
      <c r="VCP26" s="204"/>
      <c r="VCQ26" s="204"/>
      <c r="VCR26" s="204"/>
      <c r="VCS26" s="204"/>
      <c r="VCT26" s="204"/>
      <c r="VCU26" s="204"/>
      <c r="VCV26" s="204"/>
      <c r="VCW26" s="204"/>
      <c r="VCX26" s="204"/>
      <c r="VCY26" s="204"/>
      <c r="VCZ26" s="204"/>
      <c r="VDA26" s="204"/>
      <c r="VDB26" s="204"/>
      <c r="VDC26" s="204"/>
      <c r="VDD26" s="204"/>
      <c r="VDE26" s="204"/>
      <c r="VDF26" s="204"/>
      <c r="VDG26" s="204"/>
      <c r="VDH26" s="204"/>
      <c r="VDI26" s="204"/>
      <c r="VDJ26" s="204"/>
      <c r="VDK26" s="204"/>
      <c r="VDL26" s="204"/>
      <c r="VDM26" s="204"/>
      <c r="VDN26" s="204"/>
      <c r="VDO26" s="204"/>
      <c r="VDP26" s="204"/>
      <c r="VDQ26" s="204"/>
      <c r="VDR26" s="204"/>
      <c r="VDS26" s="204"/>
      <c r="VDT26" s="204"/>
      <c r="VDU26" s="204"/>
      <c r="VDV26" s="204"/>
      <c r="VDW26" s="204"/>
      <c r="VDX26" s="204"/>
      <c r="VDY26" s="204"/>
      <c r="VDZ26" s="204"/>
      <c r="VEA26" s="204"/>
      <c r="VEB26" s="204"/>
      <c r="VEC26" s="204"/>
      <c r="VED26" s="204"/>
      <c r="VEE26" s="204"/>
      <c r="VEF26" s="204"/>
      <c r="VEG26" s="204"/>
      <c r="VEH26" s="204"/>
      <c r="VEI26" s="204"/>
      <c r="VEJ26" s="204"/>
      <c r="VEK26" s="204"/>
      <c r="VEL26" s="204"/>
      <c r="VEM26" s="204"/>
      <c r="VEN26" s="204"/>
      <c r="VEO26" s="204"/>
      <c r="VEP26" s="204"/>
      <c r="VEQ26" s="204"/>
      <c r="VER26" s="204"/>
      <c r="VES26" s="204"/>
      <c r="VET26" s="204"/>
      <c r="VEU26" s="204"/>
      <c r="VEV26" s="204"/>
      <c r="VEW26" s="204"/>
      <c r="VEX26" s="204"/>
      <c r="VEY26" s="204"/>
      <c r="VEZ26" s="204"/>
      <c r="VFA26" s="204"/>
      <c r="VFB26" s="204"/>
      <c r="VFC26" s="204"/>
      <c r="VFD26" s="204"/>
      <c r="VFE26" s="204"/>
      <c r="VFF26" s="204"/>
      <c r="VFG26" s="204"/>
      <c r="VFH26" s="204"/>
      <c r="VFI26" s="204"/>
      <c r="VFJ26" s="204"/>
      <c r="VFK26" s="204"/>
      <c r="VFL26" s="204"/>
      <c r="VFM26" s="204"/>
      <c r="VFN26" s="204"/>
      <c r="VFO26" s="204"/>
      <c r="VFP26" s="204"/>
      <c r="VFQ26" s="204"/>
      <c r="VFR26" s="204"/>
      <c r="VFS26" s="204"/>
      <c r="VFT26" s="204"/>
      <c r="VFU26" s="204"/>
      <c r="VFV26" s="204"/>
      <c r="VFW26" s="204"/>
      <c r="VFX26" s="204"/>
      <c r="VFY26" s="204"/>
      <c r="VFZ26" s="204"/>
      <c r="VGA26" s="204"/>
      <c r="VGB26" s="204"/>
      <c r="VGC26" s="204"/>
      <c r="VGD26" s="204"/>
      <c r="VGE26" s="204"/>
      <c r="VGF26" s="204"/>
      <c r="VGG26" s="204"/>
      <c r="VGH26" s="204"/>
      <c r="VGI26" s="204"/>
      <c r="VGJ26" s="204"/>
      <c r="VGK26" s="204"/>
      <c r="VGL26" s="204"/>
      <c r="VGM26" s="204"/>
      <c r="VGN26" s="204"/>
      <c r="VGO26" s="204"/>
      <c r="VGP26" s="204"/>
      <c r="VGQ26" s="204"/>
      <c r="VGR26" s="204"/>
      <c r="VGS26" s="204"/>
      <c r="VGT26" s="204"/>
      <c r="VGU26" s="204"/>
      <c r="VGV26" s="204"/>
      <c r="VGW26" s="204"/>
      <c r="VGX26" s="204"/>
      <c r="VGY26" s="204"/>
      <c r="VGZ26" s="204"/>
      <c r="VHA26" s="204"/>
      <c r="VHB26" s="204"/>
      <c r="VHC26" s="204"/>
      <c r="VHD26" s="204"/>
      <c r="VHE26" s="204"/>
      <c r="VHF26" s="204"/>
      <c r="VHG26" s="204"/>
      <c r="VHH26" s="204"/>
      <c r="VHI26" s="204"/>
      <c r="VHJ26" s="204"/>
      <c r="VHK26" s="204"/>
      <c r="VHL26" s="204"/>
      <c r="VHM26" s="204"/>
      <c r="VHN26" s="204"/>
      <c r="VHO26" s="204"/>
      <c r="VHP26" s="204"/>
      <c r="VHQ26" s="204"/>
      <c r="VHR26" s="204"/>
      <c r="VHS26" s="204"/>
      <c r="VHT26" s="204"/>
      <c r="VHU26" s="204"/>
      <c r="VHV26" s="204"/>
      <c r="VHW26" s="204"/>
      <c r="VHX26" s="204"/>
      <c r="VHY26" s="204"/>
      <c r="VHZ26" s="204"/>
      <c r="VIA26" s="204"/>
      <c r="VIB26" s="204"/>
      <c r="VIC26" s="204"/>
      <c r="VID26" s="204"/>
      <c r="VIE26" s="204"/>
      <c r="VIF26" s="204"/>
      <c r="VIG26" s="204"/>
      <c r="VIH26" s="204"/>
      <c r="VII26" s="204"/>
      <c r="VIJ26" s="204"/>
      <c r="VIK26" s="204"/>
      <c r="VIL26" s="204"/>
      <c r="VIM26" s="204"/>
      <c r="VIN26" s="204"/>
      <c r="VIO26" s="204"/>
      <c r="VIP26" s="204"/>
      <c r="VIQ26" s="204"/>
      <c r="VIR26" s="204"/>
      <c r="VIS26" s="204"/>
      <c r="VIT26" s="204"/>
      <c r="VIU26" s="204"/>
      <c r="VIV26" s="204"/>
      <c r="VIW26" s="204"/>
      <c r="VIX26" s="204"/>
      <c r="VIY26" s="204"/>
      <c r="VIZ26" s="204"/>
      <c r="VJA26" s="204"/>
      <c r="VJB26" s="204"/>
      <c r="VJC26" s="204"/>
      <c r="VJD26" s="204"/>
      <c r="VJE26" s="204"/>
      <c r="VJF26" s="204"/>
      <c r="VJG26" s="204"/>
      <c r="VJH26" s="204"/>
      <c r="VJI26" s="204"/>
      <c r="VJJ26" s="204"/>
      <c r="VJK26" s="204"/>
      <c r="VJL26" s="204"/>
      <c r="VJM26" s="204"/>
      <c r="VJN26" s="204"/>
      <c r="VJO26" s="204"/>
      <c r="VJP26" s="204"/>
      <c r="VJQ26" s="204"/>
      <c r="VJR26" s="204"/>
      <c r="VJS26" s="204"/>
      <c r="VJT26" s="204"/>
      <c r="VJU26" s="204"/>
      <c r="VJV26" s="204"/>
      <c r="VJW26" s="204"/>
      <c r="VJX26" s="204"/>
      <c r="VJY26" s="204"/>
      <c r="VJZ26" s="204"/>
      <c r="VKA26" s="204"/>
      <c r="VKB26" s="204"/>
      <c r="VKC26" s="204"/>
      <c r="VKD26" s="204"/>
      <c r="VKE26" s="204"/>
      <c r="VKF26" s="204"/>
      <c r="VKG26" s="204"/>
      <c r="VKH26" s="204"/>
      <c r="VKI26" s="204"/>
      <c r="VKJ26" s="204"/>
      <c r="VKK26" s="204"/>
      <c r="VKL26" s="204"/>
      <c r="VKM26" s="204"/>
      <c r="VKN26" s="204"/>
      <c r="VKO26" s="204"/>
      <c r="VKP26" s="204"/>
      <c r="VKQ26" s="204"/>
      <c r="VKR26" s="204"/>
      <c r="VKS26" s="204"/>
      <c r="VKT26" s="204"/>
      <c r="VKU26" s="204"/>
      <c r="VKV26" s="204"/>
      <c r="VKW26" s="204"/>
      <c r="VKX26" s="204"/>
      <c r="VKY26" s="204"/>
      <c r="VKZ26" s="204"/>
      <c r="VLA26" s="204"/>
      <c r="VLB26" s="204"/>
      <c r="VLC26" s="204"/>
      <c r="VLD26" s="204"/>
      <c r="VLE26" s="204"/>
      <c r="VLF26" s="204"/>
      <c r="VLG26" s="204"/>
      <c r="VLH26" s="204"/>
      <c r="VLI26" s="204"/>
      <c r="VLJ26" s="204"/>
      <c r="VLK26" s="204"/>
      <c r="VLL26" s="204"/>
      <c r="VLM26" s="204"/>
      <c r="VLN26" s="204"/>
      <c r="VLO26" s="204"/>
      <c r="VLP26" s="204"/>
      <c r="VLQ26" s="204"/>
      <c r="VLR26" s="204"/>
      <c r="VLS26" s="204"/>
      <c r="VLT26" s="204"/>
      <c r="VLU26" s="204"/>
      <c r="VLV26" s="204"/>
      <c r="VLW26" s="204"/>
      <c r="VLX26" s="204"/>
      <c r="VLY26" s="204"/>
      <c r="VLZ26" s="204"/>
      <c r="VMA26" s="204"/>
      <c r="VMB26" s="204"/>
      <c r="VMC26" s="204"/>
      <c r="VMD26" s="204"/>
      <c r="VME26" s="204"/>
      <c r="VMF26" s="204"/>
      <c r="VMG26" s="204"/>
      <c r="VMH26" s="204"/>
      <c r="VMI26" s="204"/>
      <c r="VMJ26" s="204"/>
      <c r="VMK26" s="204"/>
      <c r="VML26" s="204"/>
      <c r="VMM26" s="204"/>
      <c r="VMN26" s="204"/>
      <c r="VMO26" s="204"/>
      <c r="VMP26" s="204"/>
      <c r="VMQ26" s="204"/>
      <c r="VMR26" s="204"/>
      <c r="VMS26" s="204"/>
      <c r="VMT26" s="204"/>
      <c r="VMU26" s="204"/>
      <c r="VMV26" s="204"/>
      <c r="VMW26" s="204"/>
      <c r="VMX26" s="204"/>
      <c r="VMY26" s="204"/>
      <c r="VMZ26" s="204"/>
      <c r="VNA26" s="204"/>
      <c r="VNB26" s="204"/>
      <c r="VNC26" s="204"/>
      <c r="VND26" s="204"/>
      <c r="VNE26" s="204"/>
      <c r="VNF26" s="204"/>
      <c r="VNG26" s="204"/>
      <c r="VNH26" s="204"/>
      <c r="VNI26" s="204"/>
      <c r="VNJ26" s="204"/>
      <c r="VNK26" s="204"/>
      <c r="VNL26" s="204"/>
      <c r="VNM26" s="204"/>
      <c r="VNN26" s="204"/>
      <c r="VNO26" s="204"/>
      <c r="VNP26" s="204"/>
      <c r="VNQ26" s="204"/>
      <c r="VNR26" s="204"/>
      <c r="VNS26" s="204"/>
      <c r="VNT26" s="204"/>
      <c r="VNU26" s="204"/>
      <c r="VNV26" s="204"/>
      <c r="VNW26" s="204"/>
      <c r="VNX26" s="204"/>
      <c r="VNY26" s="204"/>
      <c r="VNZ26" s="204"/>
      <c r="VOA26" s="204"/>
      <c r="VOB26" s="204"/>
      <c r="VOC26" s="204"/>
      <c r="VOD26" s="204"/>
      <c r="VOE26" s="204"/>
      <c r="VOF26" s="204"/>
      <c r="VOG26" s="204"/>
      <c r="VOH26" s="204"/>
      <c r="VOI26" s="204"/>
      <c r="VOJ26" s="204"/>
      <c r="VOK26" s="204"/>
      <c r="VOL26" s="204"/>
      <c r="VOM26" s="204"/>
      <c r="VON26" s="204"/>
      <c r="VOO26" s="204"/>
      <c r="VOP26" s="204"/>
      <c r="VOQ26" s="204"/>
      <c r="VOR26" s="204"/>
      <c r="VOS26" s="204"/>
      <c r="VOT26" s="204"/>
      <c r="VOU26" s="204"/>
      <c r="VOV26" s="204"/>
      <c r="VOW26" s="204"/>
      <c r="VOX26" s="204"/>
      <c r="VOY26" s="204"/>
      <c r="VOZ26" s="204"/>
      <c r="VPA26" s="204"/>
      <c r="VPB26" s="204"/>
      <c r="VPC26" s="204"/>
      <c r="VPD26" s="204"/>
      <c r="VPE26" s="204"/>
      <c r="VPF26" s="204"/>
      <c r="VPG26" s="204"/>
      <c r="VPH26" s="204"/>
      <c r="VPI26" s="204"/>
      <c r="VPJ26" s="204"/>
      <c r="VPK26" s="204"/>
      <c r="VPL26" s="204"/>
      <c r="VPM26" s="204"/>
      <c r="VPN26" s="204"/>
      <c r="VPO26" s="204"/>
      <c r="VPP26" s="204"/>
      <c r="VPQ26" s="204"/>
      <c r="VPR26" s="204"/>
      <c r="VPS26" s="204"/>
      <c r="VPT26" s="204"/>
      <c r="VPU26" s="204"/>
      <c r="VPV26" s="204"/>
      <c r="VPW26" s="204"/>
      <c r="VPX26" s="204"/>
      <c r="VPY26" s="204"/>
      <c r="VPZ26" s="204"/>
      <c r="VQA26" s="204"/>
      <c r="VQB26" s="204"/>
      <c r="VQC26" s="204"/>
      <c r="VQD26" s="204"/>
      <c r="VQE26" s="204"/>
      <c r="VQF26" s="204"/>
      <c r="VQG26" s="204"/>
      <c r="VQH26" s="204"/>
      <c r="VQI26" s="204"/>
      <c r="VQJ26" s="204"/>
      <c r="VQK26" s="204"/>
      <c r="VQL26" s="204"/>
      <c r="VQM26" s="204"/>
      <c r="VQN26" s="204"/>
      <c r="VQO26" s="204"/>
      <c r="VQP26" s="204"/>
      <c r="VQQ26" s="204"/>
      <c r="VQR26" s="204"/>
      <c r="VQS26" s="204"/>
      <c r="VQT26" s="204"/>
      <c r="VQU26" s="204"/>
      <c r="VQV26" s="204"/>
      <c r="VQW26" s="204"/>
      <c r="VQX26" s="204"/>
      <c r="VQY26" s="204"/>
      <c r="VQZ26" s="204"/>
      <c r="VRA26" s="204"/>
      <c r="VRB26" s="204"/>
      <c r="VRC26" s="204"/>
      <c r="VRD26" s="204"/>
      <c r="VRE26" s="204"/>
      <c r="VRF26" s="204"/>
      <c r="VRG26" s="204"/>
      <c r="VRH26" s="204"/>
      <c r="VRI26" s="204"/>
      <c r="VRJ26" s="204"/>
      <c r="VRK26" s="204"/>
      <c r="VRL26" s="204"/>
      <c r="VRM26" s="204"/>
      <c r="VRN26" s="204"/>
      <c r="VRO26" s="204"/>
      <c r="VRP26" s="204"/>
      <c r="VRQ26" s="204"/>
      <c r="VRR26" s="204"/>
      <c r="VRS26" s="204"/>
      <c r="VRT26" s="204"/>
      <c r="VRU26" s="204"/>
      <c r="VRV26" s="204"/>
      <c r="VRW26" s="204"/>
      <c r="VRX26" s="204"/>
      <c r="VRY26" s="204"/>
      <c r="VRZ26" s="204"/>
      <c r="VSA26" s="204"/>
      <c r="VSB26" s="204"/>
      <c r="VSC26" s="204"/>
      <c r="VSD26" s="204"/>
      <c r="VSE26" s="204"/>
      <c r="VSF26" s="204"/>
      <c r="VSG26" s="204"/>
      <c r="VSH26" s="204"/>
      <c r="VSI26" s="204"/>
      <c r="VSJ26" s="204"/>
      <c r="VSK26" s="204"/>
      <c r="VSL26" s="204"/>
      <c r="VSM26" s="204"/>
      <c r="VSN26" s="204"/>
      <c r="VSO26" s="204"/>
      <c r="VSP26" s="204"/>
      <c r="VSQ26" s="204"/>
      <c r="VSR26" s="204"/>
      <c r="VSS26" s="204"/>
      <c r="VST26" s="204"/>
      <c r="VSU26" s="204"/>
      <c r="VSV26" s="204"/>
      <c r="VSW26" s="204"/>
      <c r="VSX26" s="204"/>
      <c r="VSY26" s="204"/>
      <c r="VSZ26" s="204"/>
      <c r="VTA26" s="204"/>
      <c r="VTB26" s="204"/>
      <c r="VTC26" s="204"/>
      <c r="VTD26" s="204"/>
      <c r="VTE26" s="204"/>
      <c r="VTF26" s="204"/>
      <c r="VTG26" s="204"/>
      <c r="VTH26" s="204"/>
      <c r="VTI26" s="204"/>
      <c r="VTJ26" s="204"/>
      <c r="VTK26" s="204"/>
      <c r="VTL26" s="204"/>
      <c r="VTM26" s="204"/>
      <c r="VTN26" s="204"/>
      <c r="VTO26" s="204"/>
      <c r="VTP26" s="204"/>
      <c r="VTQ26" s="204"/>
      <c r="VTR26" s="204"/>
      <c r="VTS26" s="204"/>
      <c r="VTT26" s="204"/>
      <c r="VTU26" s="204"/>
      <c r="VTV26" s="204"/>
      <c r="VTW26" s="204"/>
      <c r="VTX26" s="204"/>
      <c r="VTY26" s="204"/>
      <c r="VTZ26" s="204"/>
      <c r="VUA26" s="204"/>
      <c r="VUB26" s="204"/>
      <c r="VUC26" s="204"/>
      <c r="VUD26" s="204"/>
      <c r="VUE26" s="204"/>
      <c r="VUF26" s="204"/>
      <c r="VUG26" s="204"/>
      <c r="VUH26" s="204"/>
      <c r="VUI26" s="204"/>
      <c r="VUJ26" s="204"/>
      <c r="VUK26" s="204"/>
      <c r="VUL26" s="204"/>
      <c r="VUM26" s="204"/>
      <c r="VUN26" s="204"/>
      <c r="VUO26" s="204"/>
      <c r="VUP26" s="204"/>
      <c r="VUQ26" s="204"/>
      <c r="VUR26" s="204"/>
      <c r="VUS26" s="204"/>
      <c r="VUT26" s="204"/>
      <c r="VUU26" s="204"/>
      <c r="VUV26" s="204"/>
      <c r="VUW26" s="204"/>
      <c r="VUX26" s="204"/>
      <c r="VUY26" s="204"/>
      <c r="VUZ26" s="204"/>
      <c r="VVA26" s="204"/>
      <c r="VVB26" s="204"/>
      <c r="VVC26" s="204"/>
      <c r="VVD26" s="204"/>
      <c r="VVE26" s="204"/>
      <c r="VVF26" s="204"/>
      <c r="VVG26" s="204"/>
      <c r="VVH26" s="204"/>
      <c r="VVI26" s="204"/>
      <c r="VVJ26" s="204"/>
      <c r="VVK26" s="204"/>
      <c r="VVL26" s="204"/>
      <c r="VVM26" s="204"/>
      <c r="VVN26" s="204"/>
      <c r="VVO26" s="204"/>
      <c r="VVP26" s="204"/>
      <c r="VVQ26" s="204"/>
      <c r="VVR26" s="204"/>
      <c r="VVS26" s="204"/>
      <c r="VVT26" s="204"/>
      <c r="VVU26" s="204"/>
      <c r="VVV26" s="204"/>
      <c r="VVW26" s="204"/>
      <c r="VVX26" s="204"/>
      <c r="VVY26" s="204"/>
      <c r="VVZ26" s="204"/>
      <c r="VWA26" s="204"/>
      <c r="VWB26" s="204"/>
      <c r="VWC26" s="204"/>
      <c r="VWD26" s="204"/>
      <c r="VWE26" s="204"/>
      <c r="VWF26" s="204"/>
      <c r="VWG26" s="204"/>
      <c r="VWH26" s="204"/>
      <c r="VWI26" s="204"/>
      <c r="VWJ26" s="204"/>
      <c r="VWK26" s="204"/>
      <c r="VWL26" s="204"/>
      <c r="VWM26" s="204"/>
      <c r="VWN26" s="204"/>
      <c r="VWO26" s="204"/>
      <c r="VWP26" s="204"/>
      <c r="VWQ26" s="204"/>
      <c r="VWR26" s="204"/>
      <c r="VWS26" s="204"/>
      <c r="VWT26" s="204"/>
      <c r="VWU26" s="204"/>
      <c r="VWV26" s="204"/>
      <c r="VWW26" s="204"/>
      <c r="VWX26" s="204"/>
      <c r="VWY26" s="204"/>
      <c r="VWZ26" s="204"/>
      <c r="VXA26" s="204"/>
      <c r="VXB26" s="204"/>
      <c r="VXC26" s="204"/>
      <c r="VXD26" s="204"/>
      <c r="VXE26" s="204"/>
      <c r="VXF26" s="204"/>
      <c r="VXG26" s="204"/>
      <c r="VXH26" s="204"/>
      <c r="VXI26" s="204"/>
      <c r="VXJ26" s="204"/>
      <c r="VXK26" s="204"/>
      <c r="VXL26" s="204"/>
      <c r="VXM26" s="204"/>
      <c r="VXN26" s="204"/>
      <c r="VXO26" s="204"/>
      <c r="VXP26" s="204"/>
      <c r="VXQ26" s="204"/>
      <c r="VXR26" s="204"/>
      <c r="VXS26" s="204"/>
      <c r="VXT26" s="204"/>
      <c r="VXU26" s="204"/>
      <c r="VXV26" s="204"/>
      <c r="VXW26" s="204"/>
      <c r="VXX26" s="204"/>
      <c r="VXY26" s="204"/>
      <c r="VXZ26" s="204"/>
      <c r="VYA26" s="204"/>
      <c r="VYB26" s="204"/>
      <c r="VYC26" s="204"/>
      <c r="VYD26" s="204"/>
      <c r="VYE26" s="204"/>
      <c r="VYF26" s="204"/>
      <c r="VYG26" s="204"/>
      <c r="VYH26" s="204"/>
      <c r="VYI26" s="204"/>
      <c r="VYJ26" s="204"/>
      <c r="VYK26" s="204"/>
      <c r="VYL26" s="204"/>
      <c r="VYM26" s="204"/>
      <c r="VYN26" s="204"/>
      <c r="VYO26" s="204"/>
      <c r="VYP26" s="204"/>
      <c r="VYQ26" s="204"/>
      <c r="VYR26" s="204"/>
      <c r="VYS26" s="204"/>
      <c r="VYT26" s="204"/>
      <c r="VYU26" s="204"/>
      <c r="VYV26" s="204"/>
      <c r="VYW26" s="204"/>
      <c r="VYX26" s="204"/>
      <c r="VYY26" s="204"/>
      <c r="VYZ26" s="204"/>
      <c r="VZA26" s="204"/>
      <c r="VZB26" s="204"/>
      <c r="VZC26" s="204"/>
      <c r="VZD26" s="204"/>
      <c r="VZE26" s="204"/>
      <c r="VZF26" s="204"/>
      <c r="VZG26" s="204"/>
      <c r="VZH26" s="204"/>
      <c r="VZI26" s="204"/>
      <c r="VZJ26" s="204"/>
      <c r="VZK26" s="204"/>
      <c r="VZL26" s="204"/>
      <c r="VZM26" s="204"/>
      <c r="VZN26" s="204"/>
      <c r="VZO26" s="204"/>
      <c r="VZP26" s="204"/>
      <c r="VZQ26" s="204"/>
      <c r="VZR26" s="204"/>
      <c r="VZS26" s="204"/>
      <c r="VZT26" s="204"/>
      <c r="VZU26" s="204"/>
      <c r="VZV26" s="204"/>
      <c r="VZW26" s="204"/>
      <c r="VZX26" s="204"/>
      <c r="VZY26" s="204"/>
      <c r="VZZ26" s="204"/>
      <c r="WAA26" s="204"/>
      <c r="WAB26" s="204"/>
      <c r="WAC26" s="204"/>
      <c r="WAD26" s="204"/>
      <c r="WAE26" s="204"/>
      <c r="WAF26" s="204"/>
      <c r="WAG26" s="204"/>
      <c r="WAH26" s="204"/>
      <c r="WAI26" s="204"/>
      <c r="WAJ26" s="204"/>
      <c r="WAK26" s="204"/>
      <c r="WAL26" s="204"/>
      <c r="WAM26" s="204"/>
      <c r="WAN26" s="204"/>
      <c r="WAO26" s="204"/>
      <c r="WAP26" s="204"/>
      <c r="WAQ26" s="204"/>
      <c r="WAR26" s="204"/>
      <c r="WAS26" s="204"/>
      <c r="WAT26" s="204"/>
      <c r="WAU26" s="204"/>
      <c r="WAV26" s="204"/>
      <c r="WAW26" s="204"/>
      <c r="WAX26" s="204"/>
      <c r="WAY26" s="204"/>
      <c r="WAZ26" s="204"/>
      <c r="WBA26" s="204"/>
      <c r="WBB26" s="204"/>
      <c r="WBC26" s="204"/>
      <c r="WBD26" s="204"/>
      <c r="WBE26" s="204"/>
      <c r="WBF26" s="204"/>
      <c r="WBG26" s="204"/>
      <c r="WBH26" s="204"/>
      <c r="WBI26" s="204"/>
      <c r="WBJ26" s="204"/>
      <c r="WBK26" s="204"/>
      <c r="WBL26" s="204"/>
      <c r="WBM26" s="204"/>
      <c r="WBN26" s="204"/>
      <c r="WBO26" s="204"/>
      <c r="WBP26" s="204"/>
      <c r="WBQ26" s="204"/>
      <c r="WBR26" s="204"/>
      <c r="WBS26" s="204"/>
      <c r="WBT26" s="204"/>
      <c r="WBU26" s="204"/>
      <c r="WBV26" s="204"/>
      <c r="WBW26" s="204"/>
      <c r="WBX26" s="204"/>
      <c r="WBY26" s="204"/>
      <c r="WBZ26" s="204"/>
      <c r="WCA26" s="204"/>
      <c r="WCB26" s="204"/>
      <c r="WCC26" s="204"/>
      <c r="WCD26" s="204"/>
      <c r="WCE26" s="204"/>
      <c r="WCF26" s="204"/>
      <c r="WCG26" s="204"/>
      <c r="WCH26" s="204"/>
      <c r="WCI26" s="204"/>
      <c r="WCJ26" s="204"/>
      <c r="WCK26" s="204"/>
      <c r="WCL26" s="204"/>
      <c r="WCM26" s="204"/>
      <c r="WCN26" s="204"/>
      <c r="WCO26" s="204"/>
      <c r="WCP26" s="204"/>
      <c r="WCQ26" s="204"/>
      <c r="WCR26" s="204"/>
      <c r="WCS26" s="204"/>
      <c r="WCT26" s="204"/>
      <c r="WCU26" s="204"/>
      <c r="WCV26" s="204"/>
      <c r="WCW26" s="204"/>
      <c r="WCX26" s="204"/>
      <c r="WCY26" s="204"/>
      <c r="WCZ26" s="204"/>
      <c r="WDA26" s="204"/>
      <c r="WDB26" s="204"/>
      <c r="WDC26" s="204"/>
      <c r="WDD26" s="204"/>
      <c r="WDE26" s="204"/>
      <c r="WDF26" s="204"/>
      <c r="WDG26" s="204"/>
      <c r="WDH26" s="204"/>
      <c r="WDI26" s="204"/>
      <c r="WDJ26" s="204"/>
      <c r="WDK26" s="204"/>
      <c r="WDL26" s="204"/>
      <c r="WDM26" s="204"/>
      <c r="WDN26" s="204"/>
      <c r="WDO26" s="204"/>
      <c r="WDP26" s="204"/>
      <c r="WDQ26" s="204"/>
      <c r="WDR26" s="204"/>
      <c r="WDS26" s="204"/>
      <c r="WDT26" s="204"/>
      <c r="WDU26" s="204"/>
      <c r="WDV26" s="204"/>
      <c r="WDW26" s="204"/>
      <c r="WDX26" s="204"/>
      <c r="WDY26" s="204"/>
      <c r="WDZ26" s="204"/>
      <c r="WEA26" s="204"/>
      <c r="WEB26" s="204"/>
      <c r="WEC26" s="204"/>
      <c r="WED26" s="204"/>
      <c r="WEE26" s="204"/>
      <c r="WEF26" s="204"/>
      <c r="WEG26" s="204"/>
      <c r="WEH26" s="204"/>
      <c r="WEI26" s="204"/>
      <c r="WEJ26" s="204"/>
      <c r="WEK26" s="204"/>
      <c r="WEL26" s="204"/>
      <c r="WEM26" s="204"/>
      <c r="WEN26" s="204"/>
      <c r="WEO26" s="204"/>
      <c r="WEP26" s="204"/>
      <c r="WEQ26" s="204"/>
      <c r="WER26" s="204"/>
      <c r="WES26" s="204"/>
      <c r="WET26" s="204"/>
      <c r="WEU26" s="204"/>
      <c r="WEV26" s="204"/>
      <c r="WEW26" s="204"/>
      <c r="WEX26" s="204"/>
      <c r="WEY26" s="204"/>
      <c r="WEZ26" s="204"/>
      <c r="WFA26" s="204"/>
      <c r="WFB26" s="204"/>
      <c r="WFC26" s="204"/>
      <c r="WFD26" s="204"/>
      <c r="WFE26" s="204"/>
      <c r="WFF26" s="204"/>
      <c r="WFG26" s="204"/>
      <c r="WFH26" s="204"/>
      <c r="WFI26" s="204"/>
      <c r="WFJ26" s="204"/>
      <c r="WFK26" s="204"/>
      <c r="WFL26" s="204"/>
      <c r="WFM26" s="204"/>
      <c r="WFN26" s="204"/>
      <c r="WFO26" s="204"/>
      <c r="WFP26" s="204"/>
      <c r="WFQ26" s="204"/>
      <c r="WFR26" s="204"/>
      <c r="WFS26" s="204"/>
      <c r="WFT26" s="204"/>
      <c r="WFU26" s="204"/>
      <c r="WFV26" s="204"/>
      <c r="WFW26" s="204"/>
      <c r="WFX26" s="204"/>
      <c r="WFY26" s="204"/>
      <c r="WFZ26" s="204"/>
      <c r="WGA26" s="204"/>
      <c r="WGB26" s="204"/>
      <c r="WGC26" s="204"/>
      <c r="WGD26" s="204"/>
      <c r="WGE26" s="204"/>
      <c r="WGF26" s="204"/>
      <c r="WGG26" s="204"/>
      <c r="WGH26" s="204"/>
      <c r="WGI26" s="204"/>
      <c r="WGJ26" s="204"/>
      <c r="WGK26" s="204"/>
      <c r="WGL26" s="204"/>
      <c r="WGM26" s="204"/>
      <c r="WGN26" s="204"/>
      <c r="WGO26" s="204"/>
      <c r="WGP26" s="204"/>
      <c r="WGQ26" s="204"/>
      <c r="WGR26" s="204"/>
      <c r="WGS26" s="204"/>
      <c r="WGT26" s="204"/>
      <c r="WGU26" s="204"/>
      <c r="WGV26" s="204"/>
      <c r="WGW26" s="204"/>
      <c r="WGX26" s="204"/>
      <c r="WGY26" s="204"/>
      <c r="WGZ26" s="204"/>
      <c r="WHA26" s="204"/>
      <c r="WHB26" s="204"/>
      <c r="WHC26" s="204"/>
      <c r="WHD26" s="204"/>
      <c r="WHE26" s="204"/>
      <c r="WHF26" s="204"/>
      <c r="WHG26" s="204"/>
      <c r="WHH26" s="204"/>
      <c r="WHI26" s="204"/>
      <c r="WHJ26" s="204"/>
      <c r="WHK26" s="204"/>
      <c r="WHL26" s="204"/>
      <c r="WHM26" s="204"/>
      <c r="WHN26" s="204"/>
      <c r="WHO26" s="204"/>
      <c r="WHP26" s="204"/>
      <c r="WHQ26" s="204"/>
      <c r="WHR26" s="204"/>
      <c r="WHS26" s="204"/>
      <c r="WHT26" s="204"/>
      <c r="WHU26" s="204"/>
      <c r="WHV26" s="204"/>
      <c r="WHW26" s="204"/>
      <c r="WHX26" s="204"/>
      <c r="WHY26" s="204"/>
      <c r="WHZ26" s="204"/>
      <c r="WIA26" s="204"/>
      <c r="WIB26" s="204"/>
      <c r="WIC26" s="204"/>
      <c r="WID26" s="204"/>
      <c r="WIE26" s="204"/>
      <c r="WIF26" s="204"/>
      <c r="WIG26" s="204"/>
      <c r="WIH26" s="204"/>
      <c r="WII26" s="204"/>
      <c r="WIJ26" s="204"/>
      <c r="WIK26" s="204"/>
      <c r="WIL26" s="204"/>
      <c r="WIM26" s="204"/>
      <c r="WIN26" s="204"/>
      <c r="WIO26" s="204"/>
      <c r="WIP26" s="204"/>
      <c r="WIQ26" s="204"/>
      <c r="WIR26" s="204"/>
      <c r="WIS26" s="204"/>
      <c r="WIT26" s="204"/>
      <c r="WIU26" s="204"/>
      <c r="WIV26" s="204"/>
      <c r="WIW26" s="204"/>
      <c r="WIX26" s="204"/>
      <c r="WIY26" s="204"/>
      <c r="WIZ26" s="204"/>
      <c r="WJA26" s="204"/>
      <c r="WJB26" s="204"/>
      <c r="WJC26" s="204"/>
      <c r="WJD26" s="204"/>
      <c r="WJE26" s="204"/>
      <c r="WJF26" s="204"/>
      <c r="WJG26" s="204"/>
      <c r="WJH26" s="204"/>
      <c r="WJI26" s="204"/>
      <c r="WJJ26" s="204"/>
      <c r="WJK26" s="204"/>
      <c r="WJL26" s="204"/>
      <c r="WJM26" s="204"/>
      <c r="WJN26" s="204"/>
      <c r="WJO26" s="204"/>
      <c r="WJP26" s="204"/>
      <c r="WJQ26" s="204"/>
      <c r="WJR26" s="204"/>
      <c r="WJS26" s="204"/>
      <c r="WJT26" s="204"/>
      <c r="WJU26" s="204"/>
      <c r="WJV26" s="204"/>
      <c r="WJW26" s="204"/>
      <c r="WJX26" s="204"/>
      <c r="WJY26" s="204"/>
      <c r="WJZ26" s="204"/>
      <c r="WKA26" s="204"/>
      <c r="WKB26" s="204"/>
      <c r="WKC26" s="204"/>
      <c r="WKD26" s="204"/>
      <c r="WKE26" s="204"/>
      <c r="WKF26" s="204"/>
      <c r="WKG26" s="204"/>
      <c r="WKH26" s="204"/>
      <c r="WKI26" s="204"/>
      <c r="WKJ26" s="204"/>
      <c r="WKK26" s="204"/>
      <c r="WKL26" s="204"/>
      <c r="WKM26" s="204"/>
      <c r="WKN26" s="204"/>
      <c r="WKO26" s="204"/>
      <c r="WKP26" s="204"/>
      <c r="WKQ26" s="204"/>
      <c r="WKR26" s="204"/>
      <c r="WKS26" s="204"/>
      <c r="WKT26" s="204"/>
      <c r="WKU26" s="204"/>
      <c r="WKV26" s="204"/>
      <c r="WKW26" s="204"/>
      <c r="WKX26" s="204"/>
      <c r="WKY26" s="204"/>
      <c r="WKZ26" s="204"/>
      <c r="WLA26" s="204"/>
      <c r="WLB26" s="204"/>
      <c r="WLC26" s="204"/>
      <c r="WLD26" s="204"/>
      <c r="WLE26" s="204"/>
      <c r="WLF26" s="204"/>
      <c r="WLG26" s="204"/>
      <c r="WLH26" s="204"/>
      <c r="WLI26" s="204"/>
      <c r="WLJ26" s="204"/>
      <c r="WLK26" s="204"/>
      <c r="WLL26" s="204"/>
      <c r="WLM26" s="204"/>
      <c r="WLN26" s="204"/>
      <c r="WLO26" s="204"/>
      <c r="WLP26" s="204"/>
      <c r="WLQ26" s="204"/>
      <c r="WLR26" s="204"/>
      <c r="WLS26" s="204"/>
      <c r="WLT26" s="204"/>
      <c r="WLU26" s="204"/>
      <c r="WLV26" s="204"/>
      <c r="WLW26" s="204"/>
      <c r="WLX26" s="204"/>
      <c r="WLY26" s="204"/>
      <c r="WLZ26" s="204"/>
      <c r="WMA26" s="204"/>
      <c r="WMB26" s="204"/>
      <c r="WMC26" s="204"/>
      <c r="WMD26" s="204"/>
      <c r="WME26" s="204"/>
      <c r="WMF26" s="204"/>
      <c r="WMG26" s="204"/>
      <c r="WMH26" s="204"/>
      <c r="WMI26" s="204"/>
      <c r="WMJ26" s="204"/>
      <c r="WMK26" s="204"/>
      <c r="WML26" s="204"/>
      <c r="WMM26" s="204"/>
      <c r="WMN26" s="204"/>
      <c r="WMO26" s="204"/>
      <c r="WMP26" s="204"/>
      <c r="WMQ26" s="204"/>
      <c r="WMR26" s="204"/>
      <c r="WMS26" s="204"/>
      <c r="WMT26" s="204"/>
      <c r="WMU26" s="204"/>
      <c r="WMV26" s="204"/>
      <c r="WMW26" s="204"/>
      <c r="WMX26" s="204"/>
      <c r="WMY26" s="204"/>
      <c r="WMZ26" s="204"/>
      <c r="WNA26" s="204"/>
      <c r="WNB26" s="204"/>
      <c r="WNC26" s="204"/>
      <c r="WND26" s="204"/>
      <c r="WNE26" s="204"/>
      <c r="WNF26" s="204"/>
      <c r="WNG26" s="204"/>
      <c r="WNH26" s="204"/>
      <c r="WNI26" s="204"/>
      <c r="WNJ26" s="204"/>
      <c r="WNK26" s="204"/>
      <c r="WNL26" s="204"/>
      <c r="WNM26" s="204"/>
      <c r="WNN26" s="204"/>
      <c r="WNO26" s="204"/>
      <c r="WNP26" s="204"/>
      <c r="WNQ26" s="204"/>
      <c r="WNR26" s="204"/>
      <c r="WNS26" s="204"/>
      <c r="WNT26" s="204"/>
      <c r="WNU26" s="204"/>
      <c r="WNV26" s="204"/>
      <c r="WNW26" s="204"/>
      <c r="WNX26" s="204"/>
      <c r="WNY26" s="204"/>
      <c r="WNZ26" s="204"/>
      <c r="WOA26" s="204"/>
      <c r="WOB26" s="204"/>
      <c r="WOC26" s="204"/>
      <c r="WOD26" s="204"/>
      <c r="WOE26" s="204"/>
      <c r="WOF26" s="204"/>
      <c r="WOG26" s="204"/>
      <c r="WOH26" s="204"/>
      <c r="WOI26" s="204"/>
      <c r="WOJ26" s="204"/>
      <c r="WOK26" s="204"/>
      <c r="WOL26" s="204"/>
      <c r="WOM26" s="204"/>
      <c r="WON26" s="204"/>
      <c r="WOO26" s="204"/>
      <c r="WOP26" s="204"/>
      <c r="WOQ26" s="204"/>
      <c r="WOR26" s="204"/>
      <c r="WOS26" s="204"/>
      <c r="WOT26" s="204"/>
      <c r="WOU26" s="204"/>
      <c r="WOV26" s="204"/>
      <c r="WOW26" s="204"/>
      <c r="WOX26" s="204"/>
      <c r="WOY26" s="204"/>
      <c r="WOZ26" s="204"/>
      <c r="WPA26" s="204"/>
      <c r="WPB26" s="204"/>
      <c r="WPC26" s="204"/>
      <c r="WPD26" s="204"/>
      <c r="WPE26" s="204"/>
      <c r="WPF26" s="204"/>
      <c r="WPG26" s="204"/>
      <c r="WPH26" s="204"/>
      <c r="WPI26" s="204"/>
      <c r="WPJ26" s="204"/>
      <c r="WPK26" s="204"/>
      <c r="WPL26" s="204"/>
      <c r="WPM26" s="204"/>
      <c r="WPN26" s="204"/>
      <c r="WPO26" s="204"/>
      <c r="WPP26" s="204"/>
      <c r="WPQ26" s="204"/>
      <c r="WPR26" s="204"/>
      <c r="WPS26" s="204"/>
      <c r="WPT26" s="204"/>
      <c r="WPU26" s="204"/>
      <c r="WPV26" s="204"/>
      <c r="WPW26" s="204"/>
      <c r="WPX26" s="204"/>
      <c r="WPY26" s="204"/>
      <c r="WPZ26" s="204"/>
      <c r="WQA26" s="204"/>
      <c r="WQB26" s="204"/>
      <c r="WQC26" s="204"/>
      <c r="WQD26" s="204"/>
      <c r="WQE26" s="204"/>
      <c r="WQF26" s="204"/>
      <c r="WQG26" s="204"/>
      <c r="WQH26" s="204"/>
      <c r="WQI26" s="204"/>
      <c r="WQJ26" s="204"/>
      <c r="WQK26" s="204"/>
      <c r="WQL26" s="204"/>
      <c r="WQM26" s="204"/>
      <c r="WQN26" s="204"/>
      <c r="WQO26" s="204"/>
      <c r="WQP26" s="204"/>
      <c r="WQQ26" s="204"/>
      <c r="WQR26" s="204"/>
      <c r="WQS26" s="204"/>
      <c r="WQT26" s="204"/>
      <c r="WQU26" s="204"/>
      <c r="WQV26" s="204"/>
      <c r="WQW26" s="204"/>
      <c r="WQX26" s="204"/>
      <c r="WQY26" s="204"/>
      <c r="WQZ26" s="204"/>
      <c r="WRA26" s="204"/>
      <c r="WRB26" s="204"/>
      <c r="WRC26" s="204"/>
      <c r="WRD26" s="204"/>
      <c r="WRE26" s="204"/>
      <c r="WRF26" s="204"/>
      <c r="WRG26" s="204"/>
      <c r="WRH26" s="204"/>
      <c r="WRI26" s="204"/>
      <c r="WRJ26" s="204"/>
      <c r="WRK26" s="204"/>
      <c r="WRL26" s="204"/>
      <c r="WRM26" s="204"/>
      <c r="WRN26" s="204"/>
      <c r="WRO26" s="204"/>
      <c r="WRP26" s="204"/>
      <c r="WRQ26" s="204"/>
      <c r="WRR26" s="204"/>
      <c r="WRS26" s="204"/>
      <c r="WRT26" s="204"/>
      <c r="WRU26" s="204"/>
      <c r="WRV26" s="204"/>
      <c r="WRW26" s="204"/>
      <c r="WRX26" s="204"/>
      <c r="WRY26" s="204"/>
      <c r="WRZ26" s="204"/>
      <c r="WSA26" s="204"/>
      <c r="WSB26" s="204"/>
      <c r="WSC26" s="204"/>
      <c r="WSD26" s="204"/>
      <c r="WSE26" s="204"/>
      <c r="WSF26" s="204"/>
      <c r="WSG26" s="204"/>
      <c r="WSH26" s="204"/>
      <c r="WSI26" s="204"/>
      <c r="WSJ26" s="204"/>
      <c r="WSK26" s="204"/>
      <c r="WSL26" s="204"/>
      <c r="WSM26" s="204"/>
      <c r="WSN26" s="204"/>
      <c r="WSO26" s="204"/>
      <c r="WSP26" s="204"/>
      <c r="WSQ26" s="204"/>
      <c r="WSR26" s="204"/>
      <c r="WSS26" s="204"/>
      <c r="WST26" s="204"/>
      <c r="WSU26" s="204"/>
      <c r="WSV26" s="204"/>
      <c r="WSW26" s="204"/>
      <c r="WSX26" s="204"/>
      <c r="WSY26" s="204"/>
      <c r="WSZ26" s="204"/>
      <c r="WTA26" s="204"/>
      <c r="WTB26" s="204"/>
      <c r="WTC26" s="204"/>
      <c r="WTD26" s="204"/>
      <c r="WTE26" s="204"/>
      <c r="WTF26" s="204"/>
      <c r="WTG26" s="204"/>
      <c r="WTH26" s="204"/>
      <c r="WTI26" s="204"/>
      <c r="WTJ26" s="204"/>
      <c r="WTK26" s="204"/>
      <c r="WTL26" s="204"/>
      <c r="WTM26" s="204"/>
      <c r="WTN26" s="204"/>
      <c r="WTO26" s="204"/>
      <c r="WTP26" s="204"/>
      <c r="WTQ26" s="204"/>
      <c r="WTR26" s="204"/>
      <c r="WTS26" s="204"/>
      <c r="WTT26" s="204"/>
      <c r="WTU26" s="204"/>
      <c r="WTV26" s="204"/>
      <c r="WTW26" s="204"/>
      <c r="WTX26" s="204"/>
      <c r="WTY26" s="204"/>
      <c r="WTZ26" s="204"/>
      <c r="WUA26" s="204"/>
      <c r="WUB26" s="204"/>
      <c r="WUC26" s="204"/>
      <c r="WUD26" s="204"/>
      <c r="WUE26" s="204"/>
      <c r="WUF26" s="204"/>
      <c r="WUG26" s="204"/>
      <c r="WUH26" s="204"/>
      <c r="WUI26" s="204"/>
      <c r="WUJ26" s="204"/>
      <c r="WUK26" s="204"/>
      <c r="WUL26" s="204"/>
      <c r="WUM26" s="204"/>
      <c r="WUN26" s="204"/>
      <c r="WUO26" s="204"/>
      <c r="WUP26" s="204"/>
      <c r="WUQ26" s="204"/>
      <c r="WUR26" s="204"/>
      <c r="WUS26" s="204"/>
      <c r="WUT26" s="204"/>
      <c r="WUU26" s="204"/>
      <c r="WUV26" s="204"/>
      <c r="WUW26" s="204"/>
      <c r="WUX26" s="204"/>
      <c r="WUY26" s="204"/>
      <c r="WUZ26" s="204"/>
      <c r="WVA26" s="204"/>
      <c r="WVB26" s="204"/>
      <c r="WVC26" s="204"/>
      <c r="WVD26" s="204"/>
      <c r="WVE26" s="204"/>
      <c r="WVF26" s="204"/>
      <c r="WVG26" s="204"/>
      <c r="WVH26" s="204"/>
      <c r="WVI26" s="204"/>
      <c r="WVJ26" s="204"/>
      <c r="WVK26" s="204"/>
      <c r="WVL26" s="204"/>
      <c r="WVM26" s="204"/>
      <c r="WVN26" s="204"/>
      <c r="WVO26" s="204"/>
      <c r="WVP26" s="204"/>
      <c r="WVQ26" s="204"/>
      <c r="WVR26" s="204"/>
      <c r="WVS26" s="204"/>
      <c r="WVT26" s="204"/>
      <c r="WVU26" s="204"/>
      <c r="WVV26" s="204"/>
      <c r="WVW26" s="204"/>
      <c r="WVX26" s="204"/>
      <c r="WVY26" s="204"/>
      <c r="WVZ26" s="204"/>
      <c r="WWA26" s="204"/>
      <c r="WWB26" s="204"/>
      <c r="WWC26" s="204"/>
      <c r="WWD26" s="204"/>
      <c r="WWE26" s="204"/>
      <c r="WWF26" s="204"/>
      <c r="WWG26" s="204"/>
      <c r="WWH26" s="204"/>
      <c r="WWI26" s="204"/>
      <c r="WWJ26" s="204"/>
      <c r="WWK26" s="204"/>
      <c r="WWL26" s="204"/>
      <c r="WWM26" s="204"/>
      <c r="WWN26" s="204"/>
      <c r="WWO26" s="204"/>
      <c r="WWP26" s="204"/>
      <c r="WWQ26" s="204"/>
      <c r="WWR26" s="204"/>
      <c r="WWS26" s="204"/>
      <c r="WWT26" s="204"/>
      <c r="WWU26" s="204"/>
      <c r="WWV26" s="204"/>
      <c r="WWW26" s="204"/>
      <c r="WWX26" s="204"/>
      <c r="WWY26" s="204"/>
      <c r="WWZ26" s="204"/>
      <c r="WXA26" s="204"/>
      <c r="WXB26" s="204"/>
      <c r="WXC26" s="204"/>
      <c r="WXD26" s="204"/>
      <c r="WXE26" s="204"/>
      <c r="WXF26" s="204"/>
      <c r="WXG26" s="204"/>
      <c r="WXH26" s="204"/>
      <c r="WXI26" s="204"/>
      <c r="WXJ26" s="204"/>
      <c r="WXK26" s="204"/>
      <c r="WXL26" s="204"/>
      <c r="WXM26" s="204"/>
      <c r="WXN26" s="204"/>
      <c r="WXO26" s="204"/>
      <c r="WXP26" s="204"/>
      <c r="WXQ26" s="204"/>
      <c r="WXR26" s="204"/>
      <c r="WXS26" s="204"/>
      <c r="WXT26" s="204"/>
      <c r="WXU26" s="204"/>
      <c r="WXV26" s="204"/>
      <c r="WXW26" s="204"/>
      <c r="WXX26" s="204"/>
      <c r="WXY26" s="204"/>
      <c r="WXZ26" s="204"/>
      <c r="WYA26" s="204"/>
      <c r="WYB26" s="204"/>
      <c r="WYC26" s="204"/>
      <c r="WYD26" s="204"/>
      <c r="WYE26" s="204"/>
      <c r="WYF26" s="204"/>
      <c r="WYG26" s="204"/>
      <c r="WYH26" s="204"/>
      <c r="WYI26" s="204"/>
      <c r="WYJ26" s="204"/>
      <c r="WYK26" s="204"/>
      <c r="WYL26" s="204"/>
      <c r="WYM26" s="204"/>
      <c r="WYN26" s="204"/>
      <c r="WYO26" s="204"/>
      <c r="WYP26" s="204"/>
      <c r="WYQ26" s="204"/>
      <c r="WYR26" s="204"/>
      <c r="WYS26" s="204"/>
      <c r="WYT26" s="204"/>
      <c r="WYU26" s="204"/>
      <c r="WYV26" s="204"/>
      <c r="WYW26" s="204"/>
      <c r="WYX26" s="204"/>
      <c r="WYY26" s="204"/>
      <c r="WYZ26" s="204"/>
      <c r="WZA26" s="204"/>
      <c r="WZB26" s="204"/>
      <c r="WZC26" s="204"/>
      <c r="WZD26" s="204"/>
      <c r="WZE26" s="204"/>
      <c r="WZF26" s="204"/>
      <c r="WZG26" s="204"/>
      <c r="WZH26" s="204"/>
      <c r="WZI26" s="204"/>
      <c r="WZJ26" s="204"/>
      <c r="WZK26" s="204"/>
      <c r="WZL26" s="204"/>
      <c r="WZM26" s="204"/>
      <c r="WZN26" s="204"/>
      <c r="WZO26" s="204"/>
      <c r="WZP26" s="204"/>
      <c r="WZQ26" s="204"/>
      <c r="WZR26" s="204"/>
      <c r="WZS26" s="204"/>
      <c r="WZT26" s="204"/>
      <c r="WZU26" s="204"/>
      <c r="WZV26" s="204"/>
      <c r="WZW26" s="204"/>
      <c r="WZX26" s="204"/>
      <c r="WZY26" s="204"/>
      <c r="WZZ26" s="204"/>
      <c r="XAA26" s="204"/>
      <c r="XAB26" s="204"/>
      <c r="XAC26" s="204"/>
      <c r="XAD26" s="204"/>
      <c r="XAE26" s="204"/>
      <c r="XAF26" s="204"/>
      <c r="XAG26" s="204"/>
      <c r="XAH26" s="204"/>
      <c r="XAI26" s="204"/>
      <c r="XAJ26" s="204"/>
      <c r="XAK26" s="204"/>
      <c r="XAL26" s="204"/>
      <c r="XAM26" s="204"/>
      <c r="XAN26" s="204"/>
      <c r="XAO26" s="204"/>
      <c r="XAP26" s="204"/>
      <c r="XAQ26" s="204"/>
      <c r="XAR26" s="204"/>
      <c r="XAS26" s="204"/>
      <c r="XAT26" s="204"/>
      <c r="XAU26" s="204"/>
      <c r="XAV26" s="204"/>
      <c r="XAW26" s="204"/>
      <c r="XAX26" s="204"/>
      <c r="XAY26" s="204"/>
      <c r="XAZ26" s="204"/>
      <c r="XBA26" s="204"/>
      <c r="XBB26" s="204"/>
      <c r="XBC26" s="204"/>
      <c r="XBD26" s="204"/>
      <c r="XBE26" s="204"/>
      <c r="XBF26" s="204"/>
      <c r="XBG26" s="204"/>
      <c r="XBH26" s="204"/>
      <c r="XBI26" s="204"/>
      <c r="XBJ26" s="204"/>
      <c r="XBK26" s="204"/>
      <c r="XBL26" s="204"/>
      <c r="XBM26" s="204"/>
      <c r="XBN26" s="204"/>
      <c r="XBO26" s="204"/>
      <c r="XBP26" s="204"/>
      <c r="XBQ26" s="204"/>
      <c r="XBR26" s="204"/>
      <c r="XBS26" s="204"/>
      <c r="XBT26" s="204"/>
      <c r="XBU26" s="204"/>
      <c r="XBV26" s="204"/>
      <c r="XBW26" s="204"/>
      <c r="XBX26" s="204"/>
      <c r="XBY26" s="204"/>
      <c r="XBZ26" s="204"/>
      <c r="XCA26" s="204"/>
      <c r="XCB26" s="204"/>
      <c r="XCC26" s="204"/>
      <c r="XCD26" s="204"/>
      <c r="XCE26" s="204"/>
      <c r="XCF26" s="204"/>
      <c r="XCG26" s="204"/>
      <c r="XCH26" s="204"/>
      <c r="XCI26" s="204"/>
      <c r="XCJ26" s="204"/>
      <c r="XCK26" s="204"/>
      <c r="XCL26" s="204"/>
      <c r="XCM26" s="204"/>
      <c r="XCN26" s="204"/>
      <c r="XCO26" s="204"/>
      <c r="XCP26" s="204"/>
      <c r="XCQ26" s="204"/>
      <c r="XCR26" s="204"/>
      <c r="XCS26" s="204"/>
      <c r="XCT26" s="204"/>
      <c r="XCU26" s="204"/>
      <c r="XCV26" s="204"/>
      <c r="XCW26" s="204"/>
      <c r="XCX26" s="204"/>
      <c r="XCY26" s="204"/>
      <c r="XCZ26" s="204"/>
      <c r="XDA26" s="204"/>
      <c r="XDB26" s="204"/>
      <c r="XDC26" s="204"/>
      <c r="XDD26" s="204"/>
      <c r="XDE26" s="204"/>
      <c r="XDF26" s="204"/>
      <c r="XDG26" s="204"/>
      <c r="XDH26" s="204"/>
      <c r="XDI26" s="204"/>
      <c r="XDJ26" s="204"/>
      <c r="XDK26" s="204"/>
      <c r="XDL26" s="204"/>
      <c r="XDM26" s="204"/>
      <c r="XDN26" s="204"/>
      <c r="XDO26" s="204"/>
      <c r="XDP26" s="204"/>
      <c r="XDQ26" s="204"/>
      <c r="XDR26" s="204"/>
      <c r="XDS26" s="204"/>
      <c r="XDT26" s="204"/>
      <c r="XDU26" s="204"/>
      <c r="XDV26" s="204"/>
      <c r="XDW26" s="204"/>
      <c r="XDX26" s="204"/>
      <c r="XDY26" s="204"/>
      <c r="XDZ26" s="204"/>
      <c r="XEA26" s="204"/>
      <c r="XEB26" s="204"/>
      <c r="XEC26" s="204"/>
      <c r="XED26" s="204"/>
      <c r="XEE26" s="204"/>
      <c r="XEF26" s="204"/>
      <c r="XEG26" s="204"/>
      <c r="XEH26" s="204"/>
      <c r="XEI26" s="204"/>
      <c r="XEJ26" s="204"/>
      <c r="XEK26" s="204"/>
      <c r="XEL26" s="204"/>
      <c r="XEM26" s="204"/>
      <c r="XEN26" s="204"/>
      <c r="XEO26" s="204"/>
      <c r="XEP26" s="204"/>
      <c r="XEQ26" s="204"/>
      <c r="XER26" s="204"/>
      <c r="XES26" s="204"/>
      <c r="XET26" s="204"/>
      <c r="XEU26" s="204"/>
      <c r="XEV26" s="204"/>
      <c r="XEW26" s="204"/>
      <c r="XEX26" s="204"/>
      <c r="XEY26" s="204"/>
      <c r="XEZ26" s="204"/>
      <c r="XFA26" s="204"/>
      <c r="XFB26" s="204"/>
      <c r="XFC26" s="204"/>
      <c r="XFD26" s="204"/>
    </row>
    <row r="27" spans="1:16384" x14ac:dyDescent="0.2">
      <c r="A27" s="203"/>
      <c r="B27" s="205" t="s">
        <v>69</v>
      </c>
      <c r="C27" s="132">
        <v>65</v>
      </c>
      <c r="D27" s="132">
        <v>59</v>
      </c>
      <c r="E27" s="133">
        <v>2</v>
      </c>
      <c r="F27" s="134">
        <v>21</v>
      </c>
      <c r="G27" s="134">
        <v>16</v>
      </c>
      <c r="H27" s="134">
        <v>20</v>
      </c>
      <c r="I27" s="135">
        <v>3.3898305084745761</v>
      </c>
      <c r="J27" s="136">
        <v>35.593220338983052</v>
      </c>
      <c r="K27" s="136">
        <v>27.118644067796609</v>
      </c>
      <c r="L27" s="136">
        <v>33.898305084745758</v>
      </c>
      <c r="M27" s="86">
        <v>30</v>
      </c>
      <c r="N27" s="137">
        <v>29</v>
      </c>
      <c r="O27" s="88">
        <v>50.847457627118644</v>
      </c>
      <c r="P27" s="138">
        <v>49.152542372881356</v>
      </c>
      <c r="Q27" s="88">
        <v>51</v>
      </c>
      <c r="R27" s="89">
        <v>8</v>
      </c>
      <c r="S27" s="88">
        <v>86.440677966101703</v>
      </c>
      <c r="T27" s="138">
        <v>13.559322033898304</v>
      </c>
      <c r="U27" s="229"/>
      <c r="V27" s="203"/>
      <c r="W27" s="203"/>
      <c r="X27" s="203"/>
      <c r="Y27" s="203"/>
      <c r="Z27" s="203"/>
      <c r="AA27" s="203"/>
      <c r="AB27" s="203"/>
      <c r="AC27" s="203"/>
      <c r="AD27" s="203"/>
      <c r="AE27" s="203"/>
      <c r="AF27" s="203"/>
      <c r="AG27" s="229"/>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c r="EU27" s="204"/>
      <c r="EV27" s="204"/>
      <c r="EW27" s="204"/>
      <c r="EX27" s="204"/>
      <c r="EY27" s="204"/>
      <c r="EZ27" s="204"/>
      <c r="FA27" s="204"/>
      <c r="FB27" s="204"/>
      <c r="FC27" s="204"/>
      <c r="FD27" s="204"/>
      <c r="FE27" s="204"/>
      <c r="FF27" s="204"/>
      <c r="FG27" s="204"/>
      <c r="FH27" s="204"/>
      <c r="FI27" s="204"/>
      <c r="FJ27" s="204"/>
      <c r="FK27" s="204"/>
      <c r="FL27" s="204"/>
      <c r="FM27" s="204"/>
      <c r="FN27" s="204"/>
      <c r="FO27" s="204"/>
      <c r="FP27" s="204"/>
      <c r="FQ27" s="204"/>
      <c r="FR27" s="204"/>
      <c r="FS27" s="204"/>
      <c r="FT27" s="204"/>
      <c r="FU27" s="204"/>
      <c r="FV27" s="204"/>
      <c r="FW27" s="204"/>
      <c r="FX27" s="204"/>
      <c r="FY27" s="204"/>
      <c r="FZ27" s="204"/>
      <c r="GA27" s="204"/>
      <c r="GB27" s="204"/>
      <c r="GC27" s="204"/>
      <c r="GD27" s="204"/>
      <c r="GE27" s="204"/>
      <c r="GF27" s="204"/>
      <c r="GG27" s="204"/>
      <c r="GH27" s="204"/>
      <c r="GI27" s="204"/>
      <c r="GJ27" s="204"/>
      <c r="GK27" s="204"/>
      <c r="GL27" s="204"/>
      <c r="GM27" s="204"/>
      <c r="GN27" s="204"/>
      <c r="GO27" s="204"/>
      <c r="GP27" s="204"/>
      <c r="GQ27" s="204"/>
      <c r="GR27" s="204"/>
      <c r="GS27" s="204"/>
      <c r="GT27" s="204"/>
      <c r="GU27" s="204"/>
      <c r="GV27" s="204"/>
      <c r="GW27" s="204"/>
      <c r="GX27" s="204"/>
      <c r="GY27" s="204"/>
      <c r="GZ27" s="204"/>
      <c r="HA27" s="204"/>
      <c r="HB27" s="204"/>
      <c r="HC27" s="204"/>
      <c r="HD27" s="204"/>
      <c r="HE27" s="204"/>
      <c r="HF27" s="204"/>
      <c r="HG27" s="204"/>
      <c r="HH27" s="204"/>
      <c r="HI27" s="204"/>
      <c r="HJ27" s="204"/>
      <c r="HK27" s="204"/>
      <c r="HL27" s="204"/>
      <c r="HM27" s="204"/>
      <c r="HN27" s="204"/>
      <c r="HO27" s="204"/>
      <c r="HP27" s="204"/>
      <c r="HQ27" s="204"/>
      <c r="HR27" s="204"/>
      <c r="HS27" s="204"/>
      <c r="HT27" s="204"/>
      <c r="HU27" s="204"/>
      <c r="HV27" s="204"/>
      <c r="HW27" s="204"/>
      <c r="HX27" s="204"/>
      <c r="HY27" s="204"/>
      <c r="HZ27" s="204"/>
      <c r="IA27" s="204"/>
      <c r="IB27" s="204"/>
      <c r="IC27" s="204"/>
      <c r="ID27" s="204"/>
      <c r="IE27" s="204"/>
      <c r="IF27" s="204"/>
      <c r="IG27" s="204"/>
      <c r="IH27" s="204"/>
      <c r="II27" s="204"/>
      <c r="IJ27" s="204"/>
      <c r="IK27" s="204"/>
      <c r="IL27" s="204"/>
      <c r="IM27" s="204"/>
      <c r="IN27" s="204"/>
      <c r="IO27" s="204"/>
      <c r="IP27" s="204"/>
      <c r="IQ27" s="204"/>
      <c r="IR27" s="204"/>
      <c r="IS27" s="204"/>
      <c r="IT27" s="204"/>
      <c r="IU27" s="204"/>
      <c r="IV27" s="204"/>
      <c r="IW27" s="204"/>
      <c r="IX27" s="204"/>
      <c r="IY27" s="204"/>
      <c r="IZ27" s="204"/>
      <c r="JA27" s="204"/>
      <c r="JB27" s="204"/>
      <c r="JC27" s="204"/>
      <c r="JD27" s="204"/>
      <c r="JE27" s="204"/>
      <c r="JF27" s="204"/>
      <c r="JG27" s="204"/>
      <c r="JH27" s="204"/>
      <c r="JI27" s="204"/>
      <c r="JJ27" s="204"/>
      <c r="JK27" s="204"/>
      <c r="JL27" s="204"/>
      <c r="JM27" s="204"/>
      <c r="JN27" s="204"/>
      <c r="JO27" s="204"/>
      <c r="JP27" s="204"/>
      <c r="JQ27" s="204"/>
      <c r="JR27" s="204"/>
      <c r="JS27" s="204"/>
      <c r="JT27" s="204"/>
      <c r="JU27" s="204"/>
      <c r="JV27" s="204"/>
      <c r="JW27" s="204"/>
      <c r="JX27" s="204"/>
      <c r="JY27" s="204"/>
      <c r="JZ27" s="204"/>
      <c r="KA27" s="204"/>
      <c r="KB27" s="204"/>
      <c r="KC27" s="204"/>
      <c r="KD27" s="204"/>
      <c r="KE27" s="204"/>
      <c r="KF27" s="204"/>
      <c r="KG27" s="204"/>
      <c r="KH27" s="204"/>
      <c r="KI27" s="204"/>
      <c r="KJ27" s="204"/>
      <c r="KK27" s="204"/>
      <c r="KL27" s="204"/>
      <c r="KM27" s="204"/>
      <c r="KN27" s="204"/>
      <c r="KO27" s="204"/>
      <c r="KP27" s="204"/>
      <c r="KQ27" s="204"/>
      <c r="KR27" s="204"/>
      <c r="KS27" s="204"/>
      <c r="KT27" s="204"/>
      <c r="KU27" s="204"/>
      <c r="KV27" s="204"/>
      <c r="KW27" s="204"/>
      <c r="KX27" s="204"/>
      <c r="KY27" s="204"/>
      <c r="KZ27" s="204"/>
      <c r="LA27" s="204"/>
      <c r="LB27" s="204"/>
      <c r="LC27" s="204"/>
      <c r="LD27" s="204"/>
      <c r="LE27" s="204"/>
      <c r="LF27" s="204"/>
      <c r="LG27" s="204"/>
      <c r="LH27" s="204"/>
      <c r="LI27" s="204"/>
      <c r="LJ27" s="204"/>
      <c r="LK27" s="204"/>
      <c r="LL27" s="204"/>
      <c r="LM27" s="204"/>
      <c r="LN27" s="204"/>
      <c r="LO27" s="204"/>
      <c r="LP27" s="204"/>
      <c r="LQ27" s="204"/>
      <c r="LR27" s="204"/>
      <c r="LS27" s="204"/>
      <c r="LT27" s="204"/>
      <c r="LU27" s="204"/>
      <c r="LV27" s="204"/>
      <c r="LW27" s="204"/>
      <c r="LX27" s="204"/>
      <c r="LY27" s="204"/>
      <c r="LZ27" s="204"/>
      <c r="MA27" s="204"/>
      <c r="MB27" s="204"/>
      <c r="MC27" s="204"/>
      <c r="MD27" s="204"/>
      <c r="ME27" s="204"/>
      <c r="MF27" s="204"/>
      <c r="MG27" s="204"/>
      <c r="MH27" s="204"/>
      <c r="MI27" s="204"/>
      <c r="MJ27" s="204"/>
      <c r="MK27" s="204"/>
      <c r="ML27" s="204"/>
      <c r="MM27" s="204"/>
      <c r="MN27" s="204"/>
      <c r="MO27" s="204"/>
      <c r="MP27" s="204"/>
      <c r="MQ27" s="204"/>
      <c r="MR27" s="204"/>
      <c r="MS27" s="204"/>
      <c r="MT27" s="204"/>
      <c r="MU27" s="204"/>
      <c r="MV27" s="204"/>
      <c r="MW27" s="204"/>
      <c r="MX27" s="204"/>
      <c r="MY27" s="204"/>
      <c r="MZ27" s="204"/>
      <c r="NA27" s="204"/>
      <c r="NB27" s="204"/>
      <c r="NC27" s="204"/>
      <c r="ND27" s="204"/>
      <c r="NE27" s="204"/>
      <c r="NF27" s="204"/>
      <c r="NG27" s="204"/>
      <c r="NH27" s="204"/>
      <c r="NI27" s="204"/>
      <c r="NJ27" s="204"/>
      <c r="NK27" s="204"/>
      <c r="NL27" s="204"/>
      <c r="NM27" s="204"/>
      <c r="NN27" s="204"/>
      <c r="NO27" s="204"/>
      <c r="NP27" s="204"/>
      <c r="NQ27" s="204"/>
      <c r="NR27" s="204"/>
      <c r="NS27" s="204"/>
      <c r="NT27" s="204"/>
      <c r="NU27" s="204"/>
      <c r="NV27" s="204"/>
      <c r="NW27" s="204"/>
      <c r="NX27" s="204"/>
      <c r="NY27" s="204"/>
      <c r="NZ27" s="204"/>
      <c r="OA27" s="204"/>
      <c r="OB27" s="204"/>
      <c r="OC27" s="204"/>
      <c r="OD27" s="204"/>
      <c r="OE27" s="204"/>
      <c r="OF27" s="204"/>
      <c r="OG27" s="204"/>
      <c r="OH27" s="204"/>
      <c r="OI27" s="204"/>
      <c r="OJ27" s="204"/>
      <c r="OK27" s="204"/>
      <c r="OL27" s="204"/>
      <c r="OM27" s="204"/>
      <c r="ON27" s="204"/>
      <c r="OO27" s="204"/>
      <c r="OP27" s="204"/>
      <c r="OQ27" s="204"/>
      <c r="OR27" s="204"/>
      <c r="OS27" s="204"/>
      <c r="OT27" s="204"/>
      <c r="OU27" s="204"/>
      <c r="OV27" s="204"/>
      <c r="OW27" s="204"/>
      <c r="OX27" s="204"/>
      <c r="OY27" s="204"/>
      <c r="OZ27" s="204"/>
      <c r="PA27" s="204"/>
      <c r="PB27" s="204"/>
      <c r="PC27" s="204"/>
      <c r="PD27" s="204"/>
      <c r="PE27" s="204"/>
      <c r="PF27" s="204"/>
      <c r="PG27" s="204"/>
      <c r="PH27" s="204"/>
      <c r="PI27" s="204"/>
      <c r="PJ27" s="204"/>
      <c r="PK27" s="204"/>
      <c r="PL27" s="204"/>
      <c r="PM27" s="204"/>
      <c r="PN27" s="204"/>
      <c r="PO27" s="204"/>
      <c r="PP27" s="204"/>
      <c r="PQ27" s="204"/>
      <c r="PR27" s="204"/>
      <c r="PS27" s="204"/>
      <c r="PT27" s="204"/>
      <c r="PU27" s="204"/>
      <c r="PV27" s="204"/>
      <c r="PW27" s="204"/>
      <c r="PX27" s="204"/>
      <c r="PY27" s="204"/>
      <c r="PZ27" s="204"/>
      <c r="QA27" s="204"/>
      <c r="QB27" s="204"/>
      <c r="QC27" s="204"/>
      <c r="QD27" s="204"/>
      <c r="QE27" s="204"/>
      <c r="QF27" s="204"/>
      <c r="QG27" s="204"/>
      <c r="QH27" s="204"/>
      <c r="QI27" s="204"/>
      <c r="QJ27" s="204"/>
      <c r="QK27" s="204"/>
      <c r="QL27" s="204"/>
      <c r="QM27" s="204"/>
      <c r="QN27" s="204"/>
      <c r="QO27" s="204"/>
      <c r="QP27" s="204"/>
      <c r="QQ27" s="204"/>
      <c r="QR27" s="204"/>
      <c r="QS27" s="204"/>
      <c r="QT27" s="204"/>
      <c r="QU27" s="204"/>
      <c r="QV27" s="204"/>
      <c r="QW27" s="204"/>
      <c r="QX27" s="204"/>
      <c r="QY27" s="204"/>
      <c r="QZ27" s="204"/>
      <c r="RA27" s="204"/>
      <c r="RB27" s="204"/>
      <c r="RC27" s="204"/>
      <c r="RD27" s="204"/>
      <c r="RE27" s="204"/>
      <c r="RF27" s="204"/>
      <c r="RG27" s="204"/>
      <c r="RH27" s="204"/>
      <c r="RI27" s="204"/>
      <c r="RJ27" s="204"/>
      <c r="RK27" s="204"/>
      <c r="RL27" s="204"/>
      <c r="RM27" s="204"/>
      <c r="RN27" s="204"/>
      <c r="RO27" s="204"/>
      <c r="RP27" s="204"/>
      <c r="RQ27" s="204"/>
      <c r="RR27" s="204"/>
      <c r="RS27" s="204"/>
      <c r="RT27" s="204"/>
      <c r="RU27" s="204"/>
      <c r="RV27" s="204"/>
      <c r="RW27" s="204"/>
      <c r="RX27" s="204"/>
      <c r="RY27" s="204"/>
      <c r="RZ27" s="204"/>
      <c r="SA27" s="204"/>
      <c r="SB27" s="204"/>
      <c r="SC27" s="204"/>
      <c r="SD27" s="204"/>
      <c r="SE27" s="204"/>
      <c r="SF27" s="204"/>
      <c r="SG27" s="204"/>
      <c r="SH27" s="204"/>
      <c r="SI27" s="204"/>
      <c r="SJ27" s="204"/>
      <c r="SK27" s="204"/>
      <c r="SL27" s="204"/>
      <c r="SM27" s="204"/>
      <c r="SN27" s="204"/>
      <c r="SO27" s="204"/>
      <c r="SP27" s="204"/>
      <c r="SQ27" s="204"/>
      <c r="SR27" s="204"/>
      <c r="SS27" s="204"/>
      <c r="ST27" s="204"/>
      <c r="SU27" s="204"/>
      <c r="SV27" s="204"/>
      <c r="SW27" s="204"/>
      <c r="SX27" s="204"/>
      <c r="SY27" s="204"/>
      <c r="SZ27" s="204"/>
      <c r="TA27" s="204"/>
      <c r="TB27" s="204"/>
      <c r="TC27" s="204"/>
      <c r="TD27" s="204"/>
      <c r="TE27" s="204"/>
      <c r="TF27" s="204"/>
      <c r="TG27" s="204"/>
      <c r="TH27" s="204"/>
      <c r="TI27" s="204"/>
      <c r="TJ27" s="204"/>
      <c r="TK27" s="204"/>
      <c r="TL27" s="204"/>
      <c r="TM27" s="204"/>
      <c r="TN27" s="204"/>
      <c r="TO27" s="204"/>
      <c r="TP27" s="204"/>
      <c r="TQ27" s="204"/>
      <c r="TR27" s="204"/>
      <c r="TS27" s="204"/>
      <c r="TT27" s="204"/>
      <c r="TU27" s="204"/>
      <c r="TV27" s="204"/>
      <c r="TW27" s="204"/>
      <c r="TX27" s="204"/>
      <c r="TY27" s="204"/>
      <c r="TZ27" s="204"/>
      <c r="UA27" s="204"/>
      <c r="UB27" s="204"/>
      <c r="UC27" s="204"/>
      <c r="UD27" s="204"/>
      <c r="UE27" s="204"/>
      <c r="UF27" s="204"/>
      <c r="UG27" s="204"/>
      <c r="UH27" s="204"/>
      <c r="UI27" s="204"/>
      <c r="UJ27" s="204"/>
      <c r="UK27" s="204"/>
      <c r="UL27" s="204"/>
      <c r="UM27" s="204"/>
      <c r="UN27" s="204"/>
      <c r="UO27" s="204"/>
      <c r="UP27" s="204"/>
      <c r="UQ27" s="204"/>
      <c r="UR27" s="204"/>
      <c r="US27" s="204"/>
      <c r="UT27" s="204"/>
      <c r="UU27" s="204"/>
      <c r="UV27" s="204"/>
      <c r="UW27" s="204"/>
      <c r="UX27" s="204"/>
      <c r="UY27" s="204"/>
      <c r="UZ27" s="204"/>
      <c r="VA27" s="204"/>
      <c r="VB27" s="204"/>
      <c r="VC27" s="204"/>
      <c r="VD27" s="204"/>
      <c r="VE27" s="204"/>
      <c r="VF27" s="204"/>
      <c r="VG27" s="204"/>
      <c r="VH27" s="204"/>
      <c r="VI27" s="204"/>
      <c r="VJ27" s="204"/>
      <c r="VK27" s="204"/>
      <c r="VL27" s="204"/>
      <c r="VM27" s="204"/>
      <c r="VN27" s="204"/>
      <c r="VO27" s="204"/>
      <c r="VP27" s="204"/>
      <c r="VQ27" s="204"/>
      <c r="VR27" s="204"/>
      <c r="VS27" s="204"/>
      <c r="VT27" s="204"/>
      <c r="VU27" s="204"/>
      <c r="VV27" s="204"/>
      <c r="VW27" s="204"/>
      <c r="VX27" s="204"/>
      <c r="VY27" s="204"/>
      <c r="VZ27" s="204"/>
      <c r="WA27" s="204"/>
      <c r="WB27" s="204"/>
      <c r="WC27" s="204"/>
      <c r="WD27" s="204"/>
      <c r="WE27" s="204"/>
      <c r="WF27" s="204"/>
      <c r="WG27" s="204"/>
      <c r="WH27" s="204"/>
      <c r="WI27" s="204"/>
      <c r="WJ27" s="204"/>
      <c r="WK27" s="204"/>
      <c r="WL27" s="204"/>
      <c r="WM27" s="204"/>
      <c r="WN27" s="204"/>
      <c r="WO27" s="204"/>
      <c r="WP27" s="204"/>
      <c r="WQ27" s="204"/>
      <c r="WR27" s="204"/>
      <c r="WS27" s="204"/>
      <c r="WT27" s="204"/>
      <c r="WU27" s="204"/>
      <c r="WV27" s="204"/>
      <c r="WW27" s="204"/>
      <c r="WX27" s="204"/>
      <c r="WY27" s="204"/>
      <c r="WZ27" s="204"/>
      <c r="XA27" s="204"/>
      <c r="XB27" s="204"/>
      <c r="XC27" s="204"/>
      <c r="XD27" s="204"/>
      <c r="XE27" s="204"/>
      <c r="XF27" s="204"/>
      <c r="XG27" s="204"/>
      <c r="XH27" s="204"/>
      <c r="XI27" s="204"/>
      <c r="XJ27" s="204"/>
      <c r="XK27" s="204"/>
      <c r="XL27" s="204"/>
      <c r="XM27" s="204"/>
      <c r="XN27" s="204"/>
      <c r="XO27" s="204"/>
      <c r="XP27" s="204"/>
      <c r="XQ27" s="204"/>
      <c r="XR27" s="204"/>
      <c r="XS27" s="204"/>
      <c r="XT27" s="204"/>
      <c r="XU27" s="204"/>
      <c r="XV27" s="204"/>
      <c r="XW27" s="204"/>
      <c r="XX27" s="204"/>
      <c r="XY27" s="204"/>
      <c r="XZ27" s="204"/>
      <c r="YA27" s="204"/>
      <c r="YB27" s="204"/>
      <c r="YC27" s="204"/>
      <c r="YD27" s="204"/>
      <c r="YE27" s="204"/>
      <c r="YF27" s="204"/>
      <c r="YG27" s="204"/>
      <c r="YH27" s="204"/>
      <c r="YI27" s="204"/>
      <c r="YJ27" s="204"/>
      <c r="YK27" s="204"/>
      <c r="YL27" s="204"/>
      <c r="YM27" s="204"/>
      <c r="YN27" s="204"/>
      <c r="YO27" s="204"/>
      <c r="YP27" s="204"/>
      <c r="YQ27" s="204"/>
      <c r="YR27" s="204"/>
      <c r="YS27" s="204"/>
      <c r="YT27" s="204"/>
      <c r="YU27" s="204"/>
      <c r="YV27" s="204"/>
      <c r="YW27" s="204"/>
      <c r="YX27" s="204"/>
      <c r="YY27" s="204"/>
      <c r="YZ27" s="204"/>
      <c r="ZA27" s="204"/>
      <c r="ZB27" s="204"/>
      <c r="ZC27" s="204"/>
      <c r="ZD27" s="204"/>
      <c r="ZE27" s="204"/>
      <c r="ZF27" s="204"/>
      <c r="ZG27" s="204"/>
      <c r="ZH27" s="204"/>
      <c r="ZI27" s="204"/>
      <c r="ZJ27" s="204"/>
      <c r="ZK27" s="204"/>
      <c r="ZL27" s="204"/>
      <c r="ZM27" s="204"/>
      <c r="ZN27" s="204"/>
      <c r="ZO27" s="204"/>
      <c r="ZP27" s="204"/>
      <c r="ZQ27" s="204"/>
      <c r="ZR27" s="204"/>
      <c r="ZS27" s="204"/>
      <c r="ZT27" s="204"/>
      <c r="ZU27" s="204"/>
      <c r="ZV27" s="204"/>
      <c r="ZW27" s="204"/>
      <c r="ZX27" s="204"/>
      <c r="ZY27" s="204"/>
      <c r="ZZ27" s="204"/>
      <c r="AAA27" s="204"/>
      <c r="AAB27" s="204"/>
      <c r="AAC27" s="204"/>
      <c r="AAD27" s="204"/>
      <c r="AAE27" s="204"/>
      <c r="AAF27" s="204"/>
      <c r="AAG27" s="204"/>
      <c r="AAH27" s="204"/>
      <c r="AAI27" s="204"/>
      <c r="AAJ27" s="204"/>
      <c r="AAK27" s="204"/>
      <c r="AAL27" s="204"/>
      <c r="AAM27" s="204"/>
      <c r="AAN27" s="204"/>
      <c r="AAO27" s="204"/>
      <c r="AAP27" s="204"/>
      <c r="AAQ27" s="204"/>
      <c r="AAR27" s="204"/>
      <c r="AAS27" s="204"/>
      <c r="AAT27" s="204"/>
      <c r="AAU27" s="204"/>
      <c r="AAV27" s="204"/>
      <c r="AAW27" s="204"/>
      <c r="AAX27" s="204"/>
      <c r="AAY27" s="204"/>
      <c r="AAZ27" s="204"/>
      <c r="ABA27" s="204"/>
      <c r="ABB27" s="204"/>
      <c r="ABC27" s="204"/>
      <c r="ABD27" s="204"/>
      <c r="ABE27" s="204"/>
      <c r="ABF27" s="204"/>
      <c r="ABG27" s="204"/>
      <c r="ABH27" s="204"/>
      <c r="ABI27" s="204"/>
      <c r="ABJ27" s="204"/>
      <c r="ABK27" s="204"/>
      <c r="ABL27" s="204"/>
      <c r="ABM27" s="204"/>
      <c r="ABN27" s="204"/>
      <c r="ABO27" s="204"/>
      <c r="ABP27" s="204"/>
      <c r="ABQ27" s="204"/>
      <c r="ABR27" s="204"/>
      <c r="ABS27" s="204"/>
      <c r="ABT27" s="204"/>
      <c r="ABU27" s="204"/>
      <c r="ABV27" s="204"/>
      <c r="ABW27" s="204"/>
      <c r="ABX27" s="204"/>
      <c r="ABY27" s="204"/>
      <c r="ABZ27" s="204"/>
      <c r="ACA27" s="204"/>
      <c r="ACB27" s="204"/>
      <c r="ACC27" s="204"/>
      <c r="ACD27" s="204"/>
      <c r="ACE27" s="204"/>
      <c r="ACF27" s="204"/>
      <c r="ACG27" s="204"/>
      <c r="ACH27" s="204"/>
      <c r="ACI27" s="204"/>
      <c r="ACJ27" s="204"/>
      <c r="ACK27" s="204"/>
      <c r="ACL27" s="204"/>
      <c r="ACM27" s="204"/>
      <c r="ACN27" s="204"/>
      <c r="ACO27" s="204"/>
      <c r="ACP27" s="204"/>
      <c r="ACQ27" s="204"/>
      <c r="ACR27" s="204"/>
      <c r="ACS27" s="204"/>
      <c r="ACT27" s="204"/>
      <c r="ACU27" s="204"/>
      <c r="ACV27" s="204"/>
      <c r="ACW27" s="204"/>
      <c r="ACX27" s="204"/>
      <c r="ACY27" s="204"/>
      <c r="ACZ27" s="204"/>
      <c r="ADA27" s="204"/>
      <c r="ADB27" s="204"/>
      <c r="ADC27" s="204"/>
      <c r="ADD27" s="204"/>
      <c r="ADE27" s="204"/>
      <c r="ADF27" s="204"/>
      <c r="ADG27" s="204"/>
      <c r="ADH27" s="204"/>
      <c r="ADI27" s="204"/>
      <c r="ADJ27" s="204"/>
      <c r="ADK27" s="204"/>
      <c r="ADL27" s="204"/>
      <c r="ADM27" s="204"/>
      <c r="ADN27" s="204"/>
      <c r="ADO27" s="204"/>
      <c r="ADP27" s="204"/>
      <c r="ADQ27" s="204"/>
      <c r="ADR27" s="204"/>
      <c r="ADS27" s="204"/>
      <c r="ADT27" s="204"/>
      <c r="ADU27" s="204"/>
      <c r="ADV27" s="204"/>
      <c r="ADW27" s="204"/>
      <c r="ADX27" s="204"/>
      <c r="ADY27" s="204"/>
      <c r="ADZ27" s="204"/>
      <c r="AEA27" s="204"/>
      <c r="AEB27" s="204"/>
      <c r="AEC27" s="204"/>
      <c r="AED27" s="204"/>
      <c r="AEE27" s="204"/>
      <c r="AEF27" s="204"/>
      <c r="AEG27" s="204"/>
      <c r="AEH27" s="204"/>
      <c r="AEI27" s="204"/>
      <c r="AEJ27" s="204"/>
      <c r="AEK27" s="204"/>
      <c r="AEL27" s="204"/>
      <c r="AEM27" s="204"/>
      <c r="AEN27" s="204"/>
      <c r="AEO27" s="204"/>
      <c r="AEP27" s="204"/>
      <c r="AEQ27" s="204"/>
      <c r="AER27" s="204"/>
      <c r="AES27" s="204"/>
      <c r="AET27" s="204"/>
      <c r="AEU27" s="204"/>
      <c r="AEV27" s="204"/>
      <c r="AEW27" s="204"/>
      <c r="AEX27" s="204"/>
      <c r="AEY27" s="204"/>
      <c r="AEZ27" s="204"/>
      <c r="AFA27" s="204"/>
      <c r="AFB27" s="204"/>
      <c r="AFC27" s="204"/>
      <c r="AFD27" s="204"/>
      <c r="AFE27" s="204"/>
      <c r="AFF27" s="204"/>
      <c r="AFG27" s="204"/>
      <c r="AFH27" s="204"/>
      <c r="AFI27" s="204"/>
      <c r="AFJ27" s="204"/>
      <c r="AFK27" s="204"/>
      <c r="AFL27" s="204"/>
      <c r="AFM27" s="204"/>
      <c r="AFN27" s="204"/>
      <c r="AFO27" s="204"/>
      <c r="AFP27" s="204"/>
      <c r="AFQ27" s="204"/>
      <c r="AFR27" s="204"/>
      <c r="AFS27" s="204"/>
      <c r="AFT27" s="204"/>
      <c r="AFU27" s="204"/>
      <c r="AFV27" s="204"/>
      <c r="AFW27" s="204"/>
      <c r="AFX27" s="204"/>
      <c r="AFY27" s="204"/>
      <c r="AFZ27" s="204"/>
      <c r="AGA27" s="204"/>
      <c r="AGB27" s="204"/>
      <c r="AGC27" s="204"/>
      <c r="AGD27" s="204"/>
      <c r="AGE27" s="204"/>
      <c r="AGF27" s="204"/>
      <c r="AGG27" s="204"/>
      <c r="AGH27" s="204"/>
      <c r="AGI27" s="204"/>
      <c r="AGJ27" s="204"/>
      <c r="AGK27" s="204"/>
      <c r="AGL27" s="204"/>
      <c r="AGM27" s="204"/>
      <c r="AGN27" s="204"/>
      <c r="AGO27" s="204"/>
      <c r="AGP27" s="204"/>
      <c r="AGQ27" s="204"/>
      <c r="AGR27" s="204"/>
      <c r="AGS27" s="204"/>
      <c r="AGT27" s="204"/>
      <c r="AGU27" s="204"/>
      <c r="AGV27" s="204"/>
      <c r="AGW27" s="204"/>
      <c r="AGX27" s="204"/>
      <c r="AGY27" s="204"/>
      <c r="AGZ27" s="204"/>
      <c r="AHA27" s="204"/>
      <c r="AHB27" s="204"/>
      <c r="AHC27" s="204"/>
      <c r="AHD27" s="204"/>
      <c r="AHE27" s="204"/>
      <c r="AHF27" s="204"/>
      <c r="AHG27" s="204"/>
      <c r="AHH27" s="204"/>
      <c r="AHI27" s="204"/>
      <c r="AHJ27" s="204"/>
      <c r="AHK27" s="204"/>
      <c r="AHL27" s="204"/>
      <c r="AHM27" s="204"/>
      <c r="AHN27" s="204"/>
      <c r="AHO27" s="204"/>
      <c r="AHP27" s="204"/>
      <c r="AHQ27" s="204"/>
      <c r="AHR27" s="204"/>
      <c r="AHS27" s="204"/>
      <c r="AHT27" s="204"/>
      <c r="AHU27" s="204"/>
      <c r="AHV27" s="204"/>
      <c r="AHW27" s="204"/>
      <c r="AHX27" s="204"/>
      <c r="AHY27" s="204"/>
      <c r="AHZ27" s="204"/>
      <c r="AIA27" s="204"/>
      <c r="AIB27" s="204"/>
      <c r="AIC27" s="204"/>
      <c r="AID27" s="204"/>
      <c r="AIE27" s="204"/>
      <c r="AIF27" s="204"/>
      <c r="AIG27" s="204"/>
      <c r="AIH27" s="204"/>
      <c r="AII27" s="204"/>
      <c r="AIJ27" s="204"/>
      <c r="AIK27" s="204"/>
      <c r="AIL27" s="204"/>
      <c r="AIM27" s="204"/>
      <c r="AIN27" s="204"/>
      <c r="AIO27" s="204"/>
      <c r="AIP27" s="204"/>
      <c r="AIQ27" s="204"/>
      <c r="AIR27" s="204"/>
      <c r="AIS27" s="204"/>
      <c r="AIT27" s="204"/>
      <c r="AIU27" s="204"/>
      <c r="AIV27" s="204"/>
      <c r="AIW27" s="204"/>
      <c r="AIX27" s="204"/>
      <c r="AIY27" s="204"/>
      <c r="AIZ27" s="204"/>
      <c r="AJA27" s="204"/>
      <c r="AJB27" s="204"/>
      <c r="AJC27" s="204"/>
      <c r="AJD27" s="204"/>
      <c r="AJE27" s="204"/>
      <c r="AJF27" s="204"/>
      <c r="AJG27" s="204"/>
      <c r="AJH27" s="204"/>
      <c r="AJI27" s="204"/>
      <c r="AJJ27" s="204"/>
      <c r="AJK27" s="204"/>
      <c r="AJL27" s="204"/>
      <c r="AJM27" s="204"/>
      <c r="AJN27" s="204"/>
      <c r="AJO27" s="204"/>
      <c r="AJP27" s="204"/>
      <c r="AJQ27" s="204"/>
      <c r="AJR27" s="204"/>
      <c r="AJS27" s="204"/>
      <c r="AJT27" s="204"/>
      <c r="AJU27" s="204"/>
      <c r="AJV27" s="204"/>
      <c r="AJW27" s="204"/>
      <c r="AJX27" s="204"/>
      <c r="AJY27" s="204"/>
      <c r="AJZ27" s="204"/>
      <c r="AKA27" s="204"/>
      <c r="AKB27" s="204"/>
      <c r="AKC27" s="204"/>
      <c r="AKD27" s="204"/>
      <c r="AKE27" s="204"/>
      <c r="AKF27" s="204"/>
      <c r="AKG27" s="204"/>
      <c r="AKH27" s="204"/>
      <c r="AKI27" s="204"/>
      <c r="AKJ27" s="204"/>
      <c r="AKK27" s="204"/>
      <c r="AKL27" s="204"/>
      <c r="AKM27" s="204"/>
      <c r="AKN27" s="204"/>
      <c r="AKO27" s="204"/>
      <c r="AKP27" s="204"/>
      <c r="AKQ27" s="204"/>
      <c r="AKR27" s="204"/>
      <c r="AKS27" s="204"/>
      <c r="AKT27" s="204"/>
      <c r="AKU27" s="204"/>
      <c r="AKV27" s="204"/>
      <c r="AKW27" s="204"/>
      <c r="AKX27" s="204"/>
      <c r="AKY27" s="204"/>
      <c r="AKZ27" s="204"/>
      <c r="ALA27" s="204"/>
      <c r="ALB27" s="204"/>
      <c r="ALC27" s="204"/>
      <c r="ALD27" s="204"/>
      <c r="ALE27" s="204"/>
      <c r="ALF27" s="204"/>
      <c r="ALG27" s="204"/>
      <c r="ALH27" s="204"/>
      <c r="ALI27" s="204"/>
      <c r="ALJ27" s="204"/>
      <c r="ALK27" s="204"/>
      <c r="ALL27" s="204"/>
      <c r="ALM27" s="204"/>
      <c r="ALN27" s="204"/>
      <c r="ALO27" s="204"/>
      <c r="ALP27" s="204"/>
      <c r="ALQ27" s="204"/>
      <c r="ALR27" s="204"/>
      <c r="ALS27" s="204"/>
      <c r="ALT27" s="204"/>
      <c r="ALU27" s="204"/>
      <c r="ALV27" s="204"/>
      <c r="ALW27" s="204"/>
      <c r="ALX27" s="204"/>
      <c r="ALY27" s="204"/>
      <c r="ALZ27" s="204"/>
      <c r="AMA27" s="204"/>
      <c r="AMB27" s="204"/>
      <c r="AMC27" s="204"/>
      <c r="AMD27" s="204"/>
      <c r="AME27" s="204"/>
      <c r="AMF27" s="204"/>
      <c r="AMG27" s="204"/>
      <c r="AMH27" s="204"/>
      <c r="AMI27" s="204"/>
      <c r="AMJ27" s="204"/>
      <c r="AMK27" s="204"/>
      <c r="AML27" s="204"/>
      <c r="AMM27" s="204"/>
      <c r="AMN27" s="204"/>
      <c r="AMO27" s="204"/>
      <c r="AMP27" s="204"/>
      <c r="AMQ27" s="204"/>
      <c r="AMR27" s="204"/>
      <c r="AMS27" s="204"/>
      <c r="AMT27" s="204"/>
      <c r="AMU27" s="204"/>
      <c r="AMV27" s="204"/>
      <c r="AMW27" s="204"/>
      <c r="AMX27" s="204"/>
      <c r="AMY27" s="204"/>
      <c r="AMZ27" s="204"/>
      <c r="ANA27" s="204"/>
      <c r="ANB27" s="204"/>
      <c r="ANC27" s="204"/>
      <c r="AND27" s="204"/>
      <c r="ANE27" s="204"/>
      <c r="ANF27" s="204"/>
      <c r="ANG27" s="204"/>
      <c r="ANH27" s="204"/>
      <c r="ANI27" s="204"/>
      <c r="ANJ27" s="204"/>
      <c r="ANK27" s="204"/>
      <c r="ANL27" s="204"/>
      <c r="ANM27" s="204"/>
      <c r="ANN27" s="204"/>
      <c r="ANO27" s="204"/>
      <c r="ANP27" s="204"/>
      <c r="ANQ27" s="204"/>
      <c r="ANR27" s="204"/>
      <c r="ANS27" s="204"/>
      <c r="ANT27" s="204"/>
      <c r="ANU27" s="204"/>
      <c r="ANV27" s="204"/>
      <c r="ANW27" s="204"/>
      <c r="ANX27" s="204"/>
      <c r="ANY27" s="204"/>
      <c r="ANZ27" s="204"/>
      <c r="AOA27" s="204"/>
      <c r="AOB27" s="204"/>
      <c r="AOC27" s="204"/>
      <c r="AOD27" s="204"/>
      <c r="AOE27" s="204"/>
      <c r="AOF27" s="204"/>
      <c r="AOG27" s="204"/>
      <c r="AOH27" s="204"/>
      <c r="AOI27" s="204"/>
      <c r="AOJ27" s="204"/>
      <c r="AOK27" s="204"/>
      <c r="AOL27" s="204"/>
      <c r="AOM27" s="204"/>
      <c r="AON27" s="204"/>
      <c r="AOO27" s="204"/>
      <c r="AOP27" s="204"/>
      <c r="AOQ27" s="204"/>
      <c r="AOR27" s="204"/>
      <c r="AOS27" s="204"/>
      <c r="AOT27" s="204"/>
      <c r="AOU27" s="204"/>
      <c r="AOV27" s="204"/>
      <c r="AOW27" s="204"/>
      <c r="AOX27" s="204"/>
      <c r="AOY27" s="204"/>
      <c r="AOZ27" s="204"/>
      <c r="APA27" s="204"/>
      <c r="APB27" s="204"/>
      <c r="APC27" s="204"/>
      <c r="APD27" s="204"/>
      <c r="APE27" s="204"/>
      <c r="APF27" s="204"/>
      <c r="APG27" s="204"/>
      <c r="APH27" s="204"/>
      <c r="API27" s="204"/>
      <c r="APJ27" s="204"/>
      <c r="APK27" s="204"/>
      <c r="APL27" s="204"/>
      <c r="APM27" s="204"/>
      <c r="APN27" s="204"/>
      <c r="APO27" s="204"/>
      <c r="APP27" s="204"/>
      <c r="APQ27" s="204"/>
      <c r="APR27" s="204"/>
      <c r="APS27" s="204"/>
      <c r="APT27" s="204"/>
      <c r="APU27" s="204"/>
      <c r="APV27" s="204"/>
      <c r="APW27" s="204"/>
      <c r="APX27" s="204"/>
      <c r="APY27" s="204"/>
      <c r="APZ27" s="204"/>
      <c r="AQA27" s="204"/>
      <c r="AQB27" s="204"/>
      <c r="AQC27" s="204"/>
      <c r="AQD27" s="204"/>
      <c r="AQE27" s="204"/>
      <c r="AQF27" s="204"/>
      <c r="AQG27" s="204"/>
      <c r="AQH27" s="204"/>
      <c r="AQI27" s="204"/>
      <c r="AQJ27" s="204"/>
      <c r="AQK27" s="204"/>
      <c r="AQL27" s="204"/>
      <c r="AQM27" s="204"/>
      <c r="AQN27" s="204"/>
      <c r="AQO27" s="204"/>
      <c r="AQP27" s="204"/>
      <c r="AQQ27" s="204"/>
      <c r="AQR27" s="204"/>
      <c r="AQS27" s="204"/>
      <c r="AQT27" s="204"/>
      <c r="AQU27" s="204"/>
      <c r="AQV27" s="204"/>
      <c r="AQW27" s="204"/>
      <c r="AQX27" s="204"/>
      <c r="AQY27" s="204"/>
      <c r="AQZ27" s="204"/>
      <c r="ARA27" s="204"/>
      <c r="ARB27" s="204"/>
      <c r="ARC27" s="204"/>
      <c r="ARD27" s="204"/>
      <c r="ARE27" s="204"/>
      <c r="ARF27" s="204"/>
      <c r="ARG27" s="204"/>
      <c r="ARH27" s="204"/>
      <c r="ARI27" s="204"/>
      <c r="ARJ27" s="204"/>
      <c r="ARK27" s="204"/>
      <c r="ARL27" s="204"/>
      <c r="ARM27" s="204"/>
      <c r="ARN27" s="204"/>
      <c r="ARO27" s="204"/>
      <c r="ARP27" s="204"/>
      <c r="ARQ27" s="204"/>
      <c r="ARR27" s="204"/>
      <c r="ARS27" s="204"/>
      <c r="ART27" s="204"/>
      <c r="ARU27" s="204"/>
      <c r="ARV27" s="204"/>
      <c r="ARW27" s="204"/>
      <c r="ARX27" s="204"/>
      <c r="ARY27" s="204"/>
      <c r="ARZ27" s="204"/>
      <c r="ASA27" s="204"/>
      <c r="ASB27" s="204"/>
      <c r="ASC27" s="204"/>
      <c r="ASD27" s="204"/>
      <c r="ASE27" s="204"/>
      <c r="ASF27" s="204"/>
      <c r="ASG27" s="204"/>
      <c r="ASH27" s="204"/>
      <c r="ASI27" s="204"/>
      <c r="ASJ27" s="204"/>
      <c r="ASK27" s="204"/>
      <c r="ASL27" s="204"/>
      <c r="ASM27" s="204"/>
      <c r="ASN27" s="204"/>
      <c r="ASO27" s="204"/>
      <c r="ASP27" s="204"/>
      <c r="ASQ27" s="204"/>
      <c r="ASR27" s="204"/>
      <c r="ASS27" s="204"/>
      <c r="AST27" s="204"/>
      <c r="ASU27" s="204"/>
      <c r="ASV27" s="204"/>
      <c r="ASW27" s="204"/>
      <c r="ASX27" s="204"/>
      <c r="ASY27" s="204"/>
      <c r="ASZ27" s="204"/>
      <c r="ATA27" s="204"/>
      <c r="ATB27" s="204"/>
      <c r="ATC27" s="204"/>
      <c r="ATD27" s="204"/>
      <c r="ATE27" s="204"/>
      <c r="ATF27" s="204"/>
      <c r="ATG27" s="204"/>
      <c r="ATH27" s="204"/>
      <c r="ATI27" s="204"/>
      <c r="ATJ27" s="204"/>
      <c r="ATK27" s="204"/>
      <c r="ATL27" s="204"/>
      <c r="ATM27" s="204"/>
      <c r="ATN27" s="204"/>
      <c r="ATO27" s="204"/>
      <c r="ATP27" s="204"/>
      <c r="ATQ27" s="204"/>
      <c r="ATR27" s="204"/>
      <c r="ATS27" s="204"/>
      <c r="ATT27" s="204"/>
      <c r="ATU27" s="204"/>
      <c r="ATV27" s="204"/>
      <c r="ATW27" s="204"/>
      <c r="ATX27" s="204"/>
      <c r="ATY27" s="204"/>
      <c r="ATZ27" s="204"/>
      <c r="AUA27" s="204"/>
      <c r="AUB27" s="204"/>
      <c r="AUC27" s="204"/>
      <c r="AUD27" s="204"/>
      <c r="AUE27" s="204"/>
      <c r="AUF27" s="204"/>
      <c r="AUG27" s="204"/>
      <c r="AUH27" s="204"/>
      <c r="AUI27" s="204"/>
      <c r="AUJ27" s="204"/>
      <c r="AUK27" s="204"/>
      <c r="AUL27" s="204"/>
      <c r="AUM27" s="204"/>
      <c r="AUN27" s="204"/>
      <c r="AUO27" s="204"/>
      <c r="AUP27" s="204"/>
      <c r="AUQ27" s="204"/>
      <c r="AUR27" s="204"/>
      <c r="AUS27" s="204"/>
      <c r="AUT27" s="204"/>
      <c r="AUU27" s="204"/>
      <c r="AUV27" s="204"/>
      <c r="AUW27" s="204"/>
      <c r="AUX27" s="204"/>
      <c r="AUY27" s="204"/>
      <c r="AUZ27" s="204"/>
      <c r="AVA27" s="204"/>
      <c r="AVB27" s="204"/>
      <c r="AVC27" s="204"/>
      <c r="AVD27" s="204"/>
      <c r="AVE27" s="204"/>
      <c r="AVF27" s="204"/>
      <c r="AVG27" s="204"/>
      <c r="AVH27" s="204"/>
      <c r="AVI27" s="204"/>
      <c r="AVJ27" s="204"/>
      <c r="AVK27" s="204"/>
      <c r="AVL27" s="204"/>
      <c r="AVM27" s="204"/>
      <c r="AVN27" s="204"/>
      <c r="AVO27" s="204"/>
      <c r="AVP27" s="204"/>
      <c r="AVQ27" s="204"/>
      <c r="AVR27" s="204"/>
      <c r="AVS27" s="204"/>
      <c r="AVT27" s="204"/>
      <c r="AVU27" s="204"/>
      <c r="AVV27" s="204"/>
      <c r="AVW27" s="204"/>
      <c r="AVX27" s="204"/>
      <c r="AVY27" s="204"/>
      <c r="AVZ27" s="204"/>
      <c r="AWA27" s="204"/>
      <c r="AWB27" s="204"/>
      <c r="AWC27" s="204"/>
      <c r="AWD27" s="204"/>
      <c r="AWE27" s="204"/>
      <c r="AWF27" s="204"/>
      <c r="AWG27" s="204"/>
      <c r="AWH27" s="204"/>
      <c r="AWI27" s="204"/>
      <c r="AWJ27" s="204"/>
      <c r="AWK27" s="204"/>
      <c r="AWL27" s="204"/>
      <c r="AWM27" s="204"/>
      <c r="AWN27" s="204"/>
      <c r="AWO27" s="204"/>
      <c r="AWP27" s="204"/>
      <c r="AWQ27" s="204"/>
      <c r="AWR27" s="204"/>
      <c r="AWS27" s="204"/>
      <c r="AWT27" s="204"/>
      <c r="AWU27" s="204"/>
      <c r="AWV27" s="204"/>
      <c r="AWW27" s="204"/>
      <c r="AWX27" s="204"/>
      <c r="AWY27" s="204"/>
      <c r="AWZ27" s="204"/>
      <c r="AXA27" s="204"/>
      <c r="AXB27" s="204"/>
      <c r="AXC27" s="204"/>
      <c r="AXD27" s="204"/>
      <c r="AXE27" s="204"/>
      <c r="AXF27" s="204"/>
      <c r="AXG27" s="204"/>
      <c r="AXH27" s="204"/>
      <c r="AXI27" s="204"/>
      <c r="AXJ27" s="204"/>
      <c r="AXK27" s="204"/>
      <c r="AXL27" s="204"/>
      <c r="AXM27" s="204"/>
      <c r="AXN27" s="204"/>
      <c r="AXO27" s="204"/>
      <c r="AXP27" s="204"/>
      <c r="AXQ27" s="204"/>
      <c r="AXR27" s="204"/>
      <c r="AXS27" s="204"/>
      <c r="AXT27" s="204"/>
      <c r="AXU27" s="204"/>
      <c r="AXV27" s="204"/>
      <c r="AXW27" s="204"/>
      <c r="AXX27" s="204"/>
      <c r="AXY27" s="204"/>
      <c r="AXZ27" s="204"/>
      <c r="AYA27" s="204"/>
      <c r="AYB27" s="204"/>
      <c r="AYC27" s="204"/>
      <c r="AYD27" s="204"/>
      <c r="AYE27" s="204"/>
      <c r="AYF27" s="204"/>
      <c r="AYG27" s="204"/>
      <c r="AYH27" s="204"/>
      <c r="AYI27" s="204"/>
      <c r="AYJ27" s="204"/>
      <c r="AYK27" s="204"/>
      <c r="AYL27" s="204"/>
      <c r="AYM27" s="204"/>
      <c r="AYN27" s="204"/>
      <c r="AYO27" s="204"/>
      <c r="AYP27" s="204"/>
      <c r="AYQ27" s="204"/>
      <c r="AYR27" s="204"/>
      <c r="AYS27" s="204"/>
      <c r="AYT27" s="204"/>
      <c r="AYU27" s="204"/>
      <c r="AYV27" s="204"/>
      <c r="AYW27" s="204"/>
      <c r="AYX27" s="204"/>
      <c r="AYY27" s="204"/>
      <c r="AYZ27" s="204"/>
      <c r="AZA27" s="204"/>
      <c r="AZB27" s="204"/>
      <c r="AZC27" s="204"/>
      <c r="AZD27" s="204"/>
      <c r="AZE27" s="204"/>
      <c r="AZF27" s="204"/>
      <c r="AZG27" s="204"/>
      <c r="AZH27" s="204"/>
      <c r="AZI27" s="204"/>
      <c r="AZJ27" s="204"/>
      <c r="AZK27" s="204"/>
      <c r="AZL27" s="204"/>
      <c r="AZM27" s="204"/>
      <c r="AZN27" s="204"/>
      <c r="AZO27" s="204"/>
      <c r="AZP27" s="204"/>
      <c r="AZQ27" s="204"/>
      <c r="AZR27" s="204"/>
      <c r="AZS27" s="204"/>
      <c r="AZT27" s="204"/>
      <c r="AZU27" s="204"/>
      <c r="AZV27" s="204"/>
      <c r="AZW27" s="204"/>
      <c r="AZX27" s="204"/>
      <c r="AZY27" s="204"/>
      <c r="AZZ27" s="204"/>
      <c r="BAA27" s="204"/>
      <c r="BAB27" s="204"/>
      <c r="BAC27" s="204"/>
      <c r="BAD27" s="204"/>
      <c r="BAE27" s="204"/>
      <c r="BAF27" s="204"/>
      <c r="BAG27" s="204"/>
      <c r="BAH27" s="204"/>
      <c r="BAI27" s="204"/>
      <c r="BAJ27" s="204"/>
      <c r="BAK27" s="204"/>
      <c r="BAL27" s="204"/>
      <c r="BAM27" s="204"/>
      <c r="BAN27" s="204"/>
      <c r="BAO27" s="204"/>
      <c r="BAP27" s="204"/>
      <c r="BAQ27" s="204"/>
      <c r="BAR27" s="204"/>
      <c r="BAS27" s="204"/>
      <c r="BAT27" s="204"/>
      <c r="BAU27" s="204"/>
      <c r="BAV27" s="204"/>
      <c r="BAW27" s="204"/>
      <c r="BAX27" s="204"/>
      <c r="BAY27" s="204"/>
      <c r="BAZ27" s="204"/>
      <c r="BBA27" s="204"/>
      <c r="BBB27" s="204"/>
      <c r="BBC27" s="204"/>
      <c r="BBD27" s="204"/>
      <c r="BBE27" s="204"/>
      <c r="BBF27" s="204"/>
      <c r="BBG27" s="204"/>
      <c r="BBH27" s="204"/>
      <c r="BBI27" s="204"/>
      <c r="BBJ27" s="204"/>
      <c r="BBK27" s="204"/>
      <c r="BBL27" s="204"/>
      <c r="BBM27" s="204"/>
      <c r="BBN27" s="204"/>
      <c r="BBO27" s="204"/>
      <c r="BBP27" s="204"/>
      <c r="BBQ27" s="204"/>
      <c r="BBR27" s="204"/>
      <c r="BBS27" s="204"/>
      <c r="BBT27" s="204"/>
      <c r="BBU27" s="204"/>
      <c r="BBV27" s="204"/>
      <c r="BBW27" s="204"/>
      <c r="BBX27" s="204"/>
      <c r="BBY27" s="204"/>
      <c r="BBZ27" s="204"/>
      <c r="BCA27" s="204"/>
      <c r="BCB27" s="204"/>
      <c r="BCC27" s="204"/>
      <c r="BCD27" s="204"/>
      <c r="BCE27" s="204"/>
      <c r="BCF27" s="204"/>
      <c r="BCG27" s="204"/>
      <c r="BCH27" s="204"/>
      <c r="BCI27" s="204"/>
      <c r="BCJ27" s="204"/>
      <c r="BCK27" s="204"/>
      <c r="BCL27" s="204"/>
      <c r="BCM27" s="204"/>
      <c r="BCN27" s="204"/>
      <c r="BCO27" s="204"/>
      <c r="BCP27" s="204"/>
      <c r="BCQ27" s="204"/>
      <c r="BCR27" s="204"/>
      <c r="BCS27" s="204"/>
      <c r="BCT27" s="204"/>
      <c r="BCU27" s="204"/>
      <c r="BCV27" s="204"/>
      <c r="BCW27" s="204"/>
      <c r="BCX27" s="204"/>
      <c r="BCY27" s="204"/>
      <c r="BCZ27" s="204"/>
      <c r="BDA27" s="204"/>
      <c r="BDB27" s="204"/>
      <c r="BDC27" s="204"/>
      <c r="BDD27" s="204"/>
      <c r="BDE27" s="204"/>
      <c r="BDF27" s="204"/>
      <c r="BDG27" s="204"/>
      <c r="BDH27" s="204"/>
      <c r="BDI27" s="204"/>
      <c r="BDJ27" s="204"/>
      <c r="BDK27" s="204"/>
      <c r="BDL27" s="204"/>
      <c r="BDM27" s="204"/>
      <c r="BDN27" s="204"/>
      <c r="BDO27" s="204"/>
      <c r="BDP27" s="204"/>
      <c r="BDQ27" s="204"/>
      <c r="BDR27" s="204"/>
      <c r="BDS27" s="204"/>
      <c r="BDT27" s="204"/>
      <c r="BDU27" s="204"/>
      <c r="BDV27" s="204"/>
      <c r="BDW27" s="204"/>
      <c r="BDX27" s="204"/>
      <c r="BDY27" s="204"/>
      <c r="BDZ27" s="204"/>
      <c r="BEA27" s="204"/>
      <c r="BEB27" s="204"/>
      <c r="BEC27" s="204"/>
      <c r="BED27" s="204"/>
      <c r="BEE27" s="204"/>
      <c r="BEF27" s="204"/>
      <c r="BEG27" s="204"/>
      <c r="BEH27" s="204"/>
      <c r="BEI27" s="204"/>
      <c r="BEJ27" s="204"/>
      <c r="BEK27" s="204"/>
      <c r="BEL27" s="204"/>
      <c r="BEM27" s="204"/>
      <c r="BEN27" s="204"/>
      <c r="BEO27" s="204"/>
      <c r="BEP27" s="204"/>
      <c r="BEQ27" s="204"/>
      <c r="BER27" s="204"/>
      <c r="BES27" s="204"/>
      <c r="BET27" s="204"/>
      <c r="BEU27" s="204"/>
      <c r="BEV27" s="204"/>
      <c r="BEW27" s="204"/>
      <c r="BEX27" s="204"/>
      <c r="BEY27" s="204"/>
      <c r="BEZ27" s="204"/>
      <c r="BFA27" s="204"/>
      <c r="BFB27" s="204"/>
      <c r="BFC27" s="204"/>
      <c r="BFD27" s="204"/>
      <c r="BFE27" s="204"/>
      <c r="BFF27" s="204"/>
      <c r="BFG27" s="204"/>
      <c r="BFH27" s="204"/>
      <c r="BFI27" s="204"/>
      <c r="BFJ27" s="204"/>
      <c r="BFK27" s="204"/>
      <c r="BFL27" s="204"/>
      <c r="BFM27" s="204"/>
      <c r="BFN27" s="204"/>
      <c r="BFO27" s="204"/>
      <c r="BFP27" s="204"/>
      <c r="BFQ27" s="204"/>
      <c r="BFR27" s="204"/>
      <c r="BFS27" s="204"/>
      <c r="BFT27" s="204"/>
      <c r="BFU27" s="204"/>
      <c r="BFV27" s="204"/>
      <c r="BFW27" s="204"/>
      <c r="BFX27" s="204"/>
      <c r="BFY27" s="204"/>
      <c r="BFZ27" s="204"/>
      <c r="BGA27" s="204"/>
      <c r="BGB27" s="204"/>
      <c r="BGC27" s="204"/>
      <c r="BGD27" s="204"/>
      <c r="BGE27" s="204"/>
      <c r="BGF27" s="204"/>
      <c r="BGG27" s="204"/>
      <c r="BGH27" s="204"/>
      <c r="BGI27" s="204"/>
      <c r="BGJ27" s="204"/>
      <c r="BGK27" s="204"/>
      <c r="BGL27" s="204"/>
      <c r="BGM27" s="204"/>
      <c r="BGN27" s="204"/>
      <c r="BGO27" s="204"/>
      <c r="BGP27" s="204"/>
      <c r="BGQ27" s="204"/>
      <c r="BGR27" s="204"/>
      <c r="BGS27" s="204"/>
      <c r="BGT27" s="204"/>
      <c r="BGU27" s="204"/>
      <c r="BGV27" s="204"/>
      <c r="BGW27" s="204"/>
      <c r="BGX27" s="204"/>
      <c r="BGY27" s="204"/>
      <c r="BGZ27" s="204"/>
      <c r="BHA27" s="204"/>
      <c r="BHB27" s="204"/>
      <c r="BHC27" s="204"/>
      <c r="BHD27" s="204"/>
      <c r="BHE27" s="204"/>
      <c r="BHF27" s="204"/>
      <c r="BHG27" s="204"/>
      <c r="BHH27" s="204"/>
      <c r="BHI27" s="204"/>
      <c r="BHJ27" s="204"/>
      <c r="BHK27" s="204"/>
      <c r="BHL27" s="204"/>
      <c r="BHM27" s="204"/>
      <c r="BHN27" s="204"/>
      <c r="BHO27" s="204"/>
      <c r="BHP27" s="204"/>
      <c r="BHQ27" s="204"/>
      <c r="BHR27" s="204"/>
      <c r="BHS27" s="204"/>
      <c r="BHT27" s="204"/>
      <c r="BHU27" s="204"/>
      <c r="BHV27" s="204"/>
      <c r="BHW27" s="204"/>
      <c r="BHX27" s="204"/>
      <c r="BHY27" s="204"/>
      <c r="BHZ27" s="204"/>
      <c r="BIA27" s="204"/>
      <c r="BIB27" s="204"/>
      <c r="BIC27" s="204"/>
      <c r="BID27" s="204"/>
      <c r="BIE27" s="204"/>
      <c r="BIF27" s="204"/>
      <c r="BIG27" s="204"/>
      <c r="BIH27" s="204"/>
      <c r="BII27" s="204"/>
      <c r="BIJ27" s="204"/>
      <c r="BIK27" s="204"/>
      <c r="BIL27" s="204"/>
      <c r="BIM27" s="204"/>
      <c r="BIN27" s="204"/>
      <c r="BIO27" s="204"/>
      <c r="BIP27" s="204"/>
      <c r="BIQ27" s="204"/>
      <c r="BIR27" s="204"/>
      <c r="BIS27" s="204"/>
      <c r="BIT27" s="204"/>
      <c r="BIU27" s="204"/>
      <c r="BIV27" s="204"/>
      <c r="BIW27" s="204"/>
      <c r="BIX27" s="204"/>
      <c r="BIY27" s="204"/>
      <c r="BIZ27" s="204"/>
      <c r="BJA27" s="204"/>
      <c r="BJB27" s="204"/>
      <c r="BJC27" s="204"/>
      <c r="BJD27" s="204"/>
      <c r="BJE27" s="204"/>
      <c r="BJF27" s="204"/>
      <c r="BJG27" s="204"/>
      <c r="BJH27" s="204"/>
      <c r="BJI27" s="204"/>
      <c r="BJJ27" s="204"/>
      <c r="BJK27" s="204"/>
      <c r="BJL27" s="204"/>
      <c r="BJM27" s="204"/>
      <c r="BJN27" s="204"/>
      <c r="BJO27" s="204"/>
      <c r="BJP27" s="204"/>
      <c r="BJQ27" s="204"/>
      <c r="BJR27" s="204"/>
      <c r="BJS27" s="204"/>
      <c r="BJT27" s="204"/>
      <c r="BJU27" s="204"/>
      <c r="BJV27" s="204"/>
      <c r="BJW27" s="204"/>
      <c r="BJX27" s="204"/>
      <c r="BJY27" s="204"/>
      <c r="BJZ27" s="204"/>
      <c r="BKA27" s="204"/>
      <c r="BKB27" s="204"/>
      <c r="BKC27" s="204"/>
      <c r="BKD27" s="204"/>
      <c r="BKE27" s="204"/>
      <c r="BKF27" s="204"/>
      <c r="BKG27" s="204"/>
      <c r="BKH27" s="204"/>
      <c r="BKI27" s="204"/>
      <c r="BKJ27" s="204"/>
      <c r="BKK27" s="204"/>
      <c r="BKL27" s="204"/>
      <c r="BKM27" s="204"/>
      <c r="BKN27" s="204"/>
      <c r="BKO27" s="204"/>
      <c r="BKP27" s="204"/>
      <c r="BKQ27" s="204"/>
      <c r="BKR27" s="204"/>
      <c r="BKS27" s="204"/>
      <c r="BKT27" s="204"/>
      <c r="BKU27" s="204"/>
      <c r="BKV27" s="204"/>
      <c r="BKW27" s="204"/>
      <c r="BKX27" s="204"/>
      <c r="BKY27" s="204"/>
      <c r="BKZ27" s="204"/>
      <c r="BLA27" s="204"/>
      <c r="BLB27" s="204"/>
      <c r="BLC27" s="204"/>
      <c r="BLD27" s="204"/>
      <c r="BLE27" s="204"/>
      <c r="BLF27" s="204"/>
      <c r="BLG27" s="204"/>
      <c r="BLH27" s="204"/>
      <c r="BLI27" s="204"/>
      <c r="BLJ27" s="204"/>
      <c r="BLK27" s="204"/>
      <c r="BLL27" s="204"/>
      <c r="BLM27" s="204"/>
      <c r="BLN27" s="204"/>
      <c r="BLO27" s="204"/>
      <c r="BLP27" s="204"/>
      <c r="BLQ27" s="204"/>
      <c r="BLR27" s="204"/>
      <c r="BLS27" s="204"/>
      <c r="BLT27" s="204"/>
      <c r="BLU27" s="204"/>
      <c r="BLV27" s="204"/>
      <c r="BLW27" s="204"/>
      <c r="BLX27" s="204"/>
      <c r="BLY27" s="204"/>
      <c r="BLZ27" s="204"/>
      <c r="BMA27" s="204"/>
      <c r="BMB27" s="204"/>
      <c r="BMC27" s="204"/>
      <c r="BMD27" s="204"/>
      <c r="BME27" s="204"/>
      <c r="BMF27" s="204"/>
      <c r="BMG27" s="204"/>
      <c r="BMH27" s="204"/>
      <c r="BMI27" s="204"/>
      <c r="BMJ27" s="204"/>
      <c r="BMK27" s="204"/>
      <c r="BML27" s="204"/>
      <c r="BMM27" s="204"/>
      <c r="BMN27" s="204"/>
      <c r="BMO27" s="204"/>
      <c r="BMP27" s="204"/>
      <c r="BMQ27" s="204"/>
      <c r="BMR27" s="204"/>
      <c r="BMS27" s="204"/>
      <c r="BMT27" s="204"/>
      <c r="BMU27" s="204"/>
      <c r="BMV27" s="204"/>
      <c r="BMW27" s="204"/>
      <c r="BMX27" s="204"/>
      <c r="BMY27" s="204"/>
      <c r="BMZ27" s="204"/>
      <c r="BNA27" s="204"/>
      <c r="BNB27" s="204"/>
      <c r="BNC27" s="204"/>
      <c r="BND27" s="204"/>
      <c r="BNE27" s="204"/>
      <c r="BNF27" s="204"/>
      <c r="BNG27" s="204"/>
      <c r="BNH27" s="204"/>
      <c r="BNI27" s="204"/>
      <c r="BNJ27" s="204"/>
      <c r="BNK27" s="204"/>
      <c r="BNL27" s="204"/>
      <c r="BNM27" s="204"/>
      <c r="BNN27" s="204"/>
      <c r="BNO27" s="204"/>
      <c r="BNP27" s="204"/>
      <c r="BNQ27" s="204"/>
      <c r="BNR27" s="204"/>
      <c r="BNS27" s="204"/>
      <c r="BNT27" s="204"/>
      <c r="BNU27" s="204"/>
      <c r="BNV27" s="204"/>
      <c r="BNW27" s="204"/>
      <c r="BNX27" s="204"/>
      <c r="BNY27" s="204"/>
      <c r="BNZ27" s="204"/>
      <c r="BOA27" s="204"/>
      <c r="BOB27" s="204"/>
      <c r="BOC27" s="204"/>
      <c r="BOD27" s="204"/>
      <c r="BOE27" s="204"/>
      <c r="BOF27" s="204"/>
      <c r="BOG27" s="204"/>
      <c r="BOH27" s="204"/>
      <c r="BOI27" s="204"/>
      <c r="BOJ27" s="204"/>
      <c r="BOK27" s="204"/>
      <c r="BOL27" s="204"/>
      <c r="BOM27" s="204"/>
      <c r="BON27" s="204"/>
      <c r="BOO27" s="204"/>
      <c r="BOP27" s="204"/>
      <c r="BOQ27" s="204"/>
      <c r="BOR27" s="204"/>
      <c r="BOS27" s="204"/>
      <c r="BOT27" s="204"/>
      <c r="BOU27" s="204"/>
      <c r="BOV27" s="204"/>
      <c r="BOW27" s="204"/>
      <c r="BOX27" s="204"/>
      <c r="BOY27" s="204"/>
      <c r="BOZ27" s="204"/>
      <c r="BPA27" s="204"/>
      <c r="BPB27" s="204"/>
      <c r="BPC27" s="204"/>
      <c r="BPD27" s="204"/>
      <c r="BPE27" s="204"/>
      <c r="BPF27" s="204"/>
      <c r="BPG27" s="204"/>
      <c r="BPH27" s="204"/>
      <c r="BPI27" s="204"/>
      <c r="BPJ27" s="204"/>
      <c r="BPK27" s="204"/>
      <c r="BPL27" s="204"/>
      <c r="BPM27" s="204"/>
      <c r="BPN27" s="204"/>
      <c r="BPO27" s="204"/>
      <c r="BPP27" s="204"/>
      <c r="BPQ27" s="204"/>
      <c r="BPR27" s="204"/>
      <c r="BPS27" s="204"/>
      <c r="BPT27" s="204"/>
      <c r="BPU27" s="204"/>
      <c r="BPV27" s="204"/>
      <c r="BPW27" s="204"/>
      <c r="BPX27" s="204"/>
      <c r="BPY27" s="204"/>
      <c r="BPZ27" s="204"/>
      <c r="BQA27" s="204"/>
      <c r="BQB27" s="204"/>
      <c r="BQC27" s="204"/>
      <c r="BQD27" s="204"/>
      <c r="BQE27" s="204"/>
      <c r="BQF27" s="204"/>
      <c r="BQG27" s="204"/>
      <c r="BQH27" s="204"/>
      <c r="BQI27" s="204"/>
      <c r="BQJ27" s="204"/>
      <c r="BQK27" s="204"/>
      <c r="BQL27" s="204"/>
      <c r="BQM27" s="204"/>
      <c r="BQN27" s="204"/>
      <c r="BQO27" s="204"/>
      <c r="BQP27" s="204"/>
      <c r="BQQ27" s="204"/>
      <c r="BQR27" s="204"/>
      <c r="BQS27" s="204"/>
      <c r="BQT27" s="204"/>
      <c r="BQU27" s="204"/>
      <c r="BQV27" s="204"/>
      <c r="BQW27" s="204"/>
      <c r="BQX27" s="204"/>
      <c r="BQY27" s="204"/>
      <c r="BQZ27" s="204"/>
      <c r="BRA27" s="204"/>
      <c r="BRB27" s="204"/>
      <c r="BRC27" s="204"/>
      <c r="BRD27" s="204"/>
      <c r="BRE27" s="204"/>
      <c r="BRF27" s="204"/>
      <c r="BRG27" s="204"/>
      <c r="BRH27" s="204"/>
      <c r="BRI27" s="204"/>
      <c r="BRJ27" s="204"/>
      <c r="BRK27" s="204"/>
      <c r="BRL27" s="204"/>
      <c r="BRM27" s="204"/>
      <c r="BRN27" s="204"/>
      <c r="BRO27" s="204"/>
      <c r="BRP27" s="204"/>
      <c r="BRQ27" s="204"/>
      <c r="BRR27" s="204"/>
      <c r="BRS27" s="204"/>
      <c r="BRT27" s="204"/>
      <c r="BRU27" s="204"/>
      <c r="BRV27" s="204"/>
      <c r="BRW27" s="204"/>
      <c r="BRX27" s="204"/>
      <c r="BRY27" s="204"/>
      <c r="BRZ27" s="204"/>
      <c r="BSA27" s="204"/>
      <c r="BSB27" s="204"/>
      <c r="BSC27" s="204"/>
      <c r="BSD27" s="204"/>
      <c r="BSE27" s="204"/>
      <c r="BSF27" s="204"/>
      <c r="BSG27" s="204"/>
      <c r="BSH27" s="204"/>
      <c r="BSI27" s="204"/>
      <c r="BSJ27" s="204"/>
      <c r="BSK27" s="204"/>
      <c r="BSL27" s="204"/>
      <c r="BSM27" s="204"/>
      <c r="BSN27" s="204"/>
      <c r="BSO27" s="204"/>
      <c r="BSP27" s="204"/>
      <c r="BSQ27" s="204"/>
      <c r="BSR27" s="204"/>
      <c r="BSS27" s="204"/>
      <c r="BST27" s="204"/>
      <c r="BSU27" s="204"/>
      <c r="BSV27" s="204"/>
      <c r="BSW27" s="204"/>
      <c r="BSX27" s="204"/>
      <c r="BSY27" s="204"/>
      <c r="BSZ27" s="204"/>
      <c r="BTA27" s="204"/>
      <c r="BTB27" s="204"/>
      <c r="BTC27" s="204"/>
      <c r="BTD27" s="204"/>
      <c r="BTE27" s="204"/>
      <c r="BTF27" s="204"/>
      <c r="BTG27" s="204"/>
      <c r="BTH27" s="204"/>
      <c r="BTI27" s="204"/>
      <c r="BTJ27" s="204"/>
      <c r="BTK27" s="204"/>
      <c r="BTL27" s="204"/>
      <c r="BTM27" s="204"/>
      <c r="BTN27" s="204"/>
      <c r="BTO27" s="204"/>
      <c r="BTP27" s="204"/>
      <c r="BTQ27" s="204"/>
      <c r="BTR27" s="204"/>
      <c r="BTS27" s="204"/>
      <c r="BTT27" s="204"/>
      <c r="BTU27" s="204"/>
      <c r="BTV27" s="204"/>
      <c r="BTW27" s="204"/>
      <c r="BTX27" s="204"/>
      <c r="BTY27" s="204"/>
      <c r="BTZ27" s="204"/>
      <c r="BUA27" s="204"/>
      <c r="BUB27" s="204"/>
      <c r="BUC27" s="204"/>
      <c r="BUD27" s="204"/>
      <c r="BUE27" s="204"/>
      <c r="BUF27" s="204"/>
      <c r="BUG27" s="204"/>
      <c r="BUH27" s="204"/>
      <c r="BUI27" s="204"/>
      <c r="BUJ27" s="204"/>
      <c r="BUK27" s="204"/>
      <c r="BUL27" s="204"/>
      <c r="BUM27" s="204"/>
      <c r="BUN27" s="204"/>
      <c r="BUO27" s="204"/>
      <c r="BUP27" s="204"/>
      <c r="BUQ27" s="204"/>
      <c r="BUR27" s="204"/>
      <c r="BUS27" s="204"/>
      <c r="BUT27" s="204"/>
      <c r="BUU27" s="204"/>
      <c r="BUV27" s="204"/>
      <c r="BUW27" s="204"/>
      <c r="BUX27" s="204"/>
      <c r="BUY27" s="204"/>
      <c r="BUZ27" s="204"/>
      <c r="BVA27" s="204"/>
      <c r="BVB27" s="204"/>
      <c r="BVC27" s="204"/>
      <c r="BVD27" s="204"/>
      <c r="BVE27" s="204"/>
      <c r="BVF27" s="204"/>
      <c r="BVG27" s="204"/>
      <c r="BVH27" s="204"/>
      <c r="BVI27" s="204"/>
      <c r="BVJ27" s="204"/>
      <c r="BVK27" s="204"/>
      <c r="BVL27" s="204"/>
      <c r="BVM27" s="204"/>
      <c r="BVN27" s="204"/>
      <c r="BVO27" s="204"/>
      <c r="BVP27" s="204"/>
      <c r="BVQ27" s="204"/>
      <c r="BVR27" s="204"/>
      <c r="BVS27" s="204"/>
      <c r="BVT27" s="204"/>
      <c r="BVU27" s="204"/>
      <c r="BVV27" s="204"/>
      <c r="BVW27" s="204"/>
      <c r="BVX27" s="204"/>
      <c r="BVY27" s="204"/>
      <c r="BVZ27" s="204"/>
      <c r="BWA27" s="204"/>
      <c r="BWB27" s="204"/>
      <c r="BWC27" s="204"/>
      <c r="BWD27" s="204"/>
      <c r="BWE27" s="204"/>
      <c r="BWF27" s="204"/>
      <c r="BWG27" s="204"/>
      <c r="BWH27" s="204"/>
      <c r="BWI27" s="204"/>
      <c r="BWJ27" s="204"/>
      <c r="BWK27" s="204"/>
      <c r="BWL27" s="204"/>
      <c r="BWM27" s="204"/>
      <c r="BWN27" s="204"/>
      <c r="BWO27" s="204"/>
      <c r="BWP27" s="204"/>
      <c r="BWQ27" s="204"/>
      <c r="BWR27" s="204"/>
      <c r="BWS27" s="204"/>
      <c r="BWT27" s="204"/>
      <c r="BWU27" s="204"/>
      <c r="BWV27" s="204"/>
      <c r="BWW27" s="204"/>
      <c r="BWX27" s="204"/>
      <c r="BWY27" s="204"/>
      <c r="BWZ27" s="204"/>
      <c r="BXA27" s="204"/>
      <c r="BXB27" s="204"/>
      <c r="BXC27" s="204"/>
      <c r="BXD27" s="204"/>
      <c r="BXE27" s="204"/>
      <c r="BXF27" s="204"/>
      <c r="BXG27" s="204"/>
      <c r="BXH27" s="204"/>
      <c r="BXI27" s="204"/>
      <c r="BXJ27" s="204"/>
      <c r="BXK27" s="204"/>
      <c r="BXL27" s="204"/>
      <c r="BXM27" s="204"/>
      <c r="BXN27" s="204"/>
      <c r="BXO27" s="204"/>
      <c r="BXP27" s="204"/>
      <c r="BXQ27" s="204"/>
      <c r="BXR27" s="204"/>
      <c r="BXS27" s="204"/>
      <c r="BXT27" s="204"/>
      <c r="BXU27" s="204"/>
      <c r="BXV27" s="204"/>
      <c r="BXW27" s="204"/>
      <c r="BXX27" s="204"/>
      <c r="BXY27" s="204"/>
      <c r="BXZ27" s="204"/>
      <c r="BYA27" s="204"/>
      <c r="BYB27" s="204"/>
      <c r="BYC27" s="204"/>
      <c r="BYD27" s="204"/>
      <c r="BYE27" s="204"/>
      <c r="BYF27" s="204"/>
      <c r="BYG27" s="204"/>
      <c r="BYH27" s="204"/>
      <c r="BYI27" s="204"/>
      <c r="BYJ27" s="204"/>
      <c r="BYK27" s="204"/>
      <c r="BYL27" s="204"/>
      <c r="BYM27" s="204"/>
      <c r="BYN27" s="204"/>
      <c r="BYO27" s="204"/>
      <c r="BYP27" s="204"/>
      <c r="BYQ27" s="204"/>
      <c r="BYR27" s="204"/>
      <c r="BYS27" s="204"/>
      <c r="BYT27" s="204"/>
      <c r="BYU27" s="204"/>
      <c r="BYV27" s="204"/>
      <c r="BYW27" s="204"/>
      <c r="BYX27" s="204"/>
      <c r="BYY27" s="204"/>
      <c r="BYZ27" s="204"/>
      <c r="BZA27" s="204"/>
      <c r="BZB27" s="204"/>
      <c r="BZC27" s="204"/>
      <c r="BZD27" s="204"/>
      <c r="BZE27" s="204"/>
      <c r="BZF27" s="204"/>
      <c r="BZG27" s="204"/>
      <c r="BZH27" s="204"/>
      <c r="BZI27" s="204"/>
      <c r="BZJ27" s="204"/>
      <c r="BZK27" s="204"/>
      <c r="BZL27" s="204"/>
      <c r="BZM27" s="204"/>
      <c r="BZN27" s="204"/>
      <c r="BZO27" s="204"/>
      <c r="BZP27" s="204"/>
      <c r="BZQ27" s="204"/>
      <c r="BZR27" s="204"/>
      <c r="BZS27" s="204"/>
      <c r="BZT27" s="204"/>
      <c r="BZU27" s="204"/>
      <c r="BZV27" s="204"/>
      <c r="BZW27" s="204"/>
      <c r="BZX27" s="204"/>
      <c r="BZY27" s="204"/>
      <c r="BZZ27" s="204"/>
      <c r="CAA27" s="204"/>
      <c r="CAB27" s="204"/>
      <c r="CAC27" s="204"/>
      <c r="CAD27" s="204"/>
      <c r="CAE27" s="204"/>
      <c r="CAF27" s="204"/>
      <c r="CAG27" s="204"/>
      <c r="CAH27" s="204"/>
      <c r="CAI27" s="204"/>
      <c r="CAJ27" s="204"/>
      <c r="CAK27" s="204"/>
      <c r="CAL27" s="204"/>
      <c r="CAM27" s="204"/>
      <c r="CAN27" s="204"/>
      <c r="CAO27" s="204"/>
      <c r="CAP27" s="204"/>
      <c r="CAQ27" s="204"/>
      <c r="CAR27" s="204"/>
      <c r="CAS27" s="204"/>
      <c r="CAT27" s="204"/>
      <c r="CAU27" s="204"/>
      <c r="CAV27" s="204"/>
      <c r="CAW27" s="204"/>
      <c r="CAX27" s="204"/>
      <c r="CAY27" s="204"/>
      <c r="CAZ27" s="204"/>
      <c r="CBA27" s="204"/>
      <c r="CBB27" s="204"/>
      <c r="CBC27" s="204"/>
      <c r="CBD27" s="204"/>
      <c r="CBE27" s="204"/>
      <c r="CBF27" s="204"/>
      <c r="CBG27" s="204"/>
      <c r="CBH27" s="204"/>
      <c r="CBI27" s="204"/>
      <c r="CBJ27" s="204"/>
      <c r="CBK27" s="204"/>
      <c r="CBL27" s="204"/>
      <c r="CBM27" s="204"/>
      <c r="CBN27" s="204"/>
      <c r="CBO27" s="204"/>
      <c r="CBP27" s="204"/>
      <c r="CBQ27" s="204"/>
      <c r="CBR27" s="204"/>
      <c r="CBS27" s="204"/>
      <c r="CBT27" s="204"/>
      <c r="CBU27" s="204"/>
      <c r="CBV27" s="204"/>
      <c r="CBW27" s="204"/>
      <c r="CBX27" s="204"/>
      <c r="CBY27" s="204"/>
      <c r="CBZ27" s="204"/>
      <c r="CCA27" s="204"/>
      <c r="CCB27" s="204"/>
      <c r="CCC27" s="204"/>
      <c r="CCD27" s="204"/>
      <c r="CCE27" s="204"/>
      <c r="CCF27" s="204"/>
      <c r="CCG27" s="204"/>
      <c r="CCH27" s="204"/>
      <c r="CCI27" s="204"/>
      <c r="CCJ27" s="204"/>
      <c r="CCK27" s="204"/>
      <c r="CCL27" s="204"/>
      <c r="CCM27" s="204"/>
      <c r="CCN27" s="204"/>
      <c r="CCO27" s="204"/>
      <c r="CCP27" s="204"/>
      <c r="CCQ27" s="204"/>
      <c r="CCR27" s="204"/>
      <c r="CCS27" s="204"/>
      <c r="CCT27" s="204"/>
      <c r="CCU27" s="204"/>
      <c r="CCV27" s="204"/>
      <c r="CCW27" s="204"/>
      <c r="CCX27" s="204"/>
      <c r="CCY27" s="204"/>
      <c r="CCZ27" s="204"/>
      <c r="CDA27" s="204"/>
      <c r="CDB27" s="204"/>
      <c r="CDC27" s="204"/>
      <c r="CDD27" s="204"/>
      <c r="CDE27" s="204"/>
      <c r="CDF27" s="204"/>
      <c r="CDG27" s="204"/>
      <c r="CDH27" s="204"/>
      <c r="CDI27" s="204"/>
      <c r="CDJ27" s="204"/>
      <c r="CDK27" s="204"/>
      <c r="CDL27" s="204"/>
      <c r="CDM27" s="204"/>
      <c r="CDN27" s="204"/>
      <c r="CDO27" s="204"/>
      <c r="CDP27" s="204"/>
      <c r="CDQ27" s="204"/>
      <c r="CDR27" s="204"/>
      <c r="CDS27" s="204"/>
      <c r="CDT27" s="204"/>
      <c r="CDU27" s="204"/>
      <c r="CDV27" s="204"/>
      <c r="CDW27" s="204"/>
      <c r="CDX27" s="204"/>
      <c r="CDY27" s="204"/>
      <c r="CDZ27" s="204"/>
      <c r="CEA27" s="204"/>
      <c r="CEB27" s="204"/>
      <c r="CEC27" s="204"/>
      <c r="CED27" s="204"/>
      <c r="CEE27" s="204"/>
      <c r="CEF27" s="204"/>
      <c r="CEG27" s="204"/>
      <c r="CEH27" s="204"/>
      <c r="CEI27" s="204"/>
      <c r="CEJ27" s="204"/>
      <c r="CEK27" s="204"/>
      <c r="CEL27" s="204"/>
      <c r="CEM27" s="204"/>
      <c r="CEN27" s="204"/>
      <c r="CEO27" s="204"/>
      <c r="CEP27" s="204"/>
      <c r="CEQ27" s="204"/>
      <c r="CER27" s="204"/>
      <c r="CES27" s="204"/>
      <c r="CET27" s="204"/>
      <c r="CEU27" s="204"/>
      <c r="CEV27" s="204"/>
      <c r="CEW27" s="204"/>
      <c r="CEX27" s="204"/>
      <c r="CEY27" s="204"/>
      <c r="CEZ27" s="204"/>
      <c r="CFA27" s="204"/>
      <c r="CFB27" s="204"/>
      <c r="CFC27" s="204"/>
      <c r="CFD27" s="204"/>
      <c r="CFE27" s="204"/>
      <c r="CFF27" s="204"/>
      <c r="CFG27" s="204"/>
      <c r="CFH27" s="204"/>
      <c r="CFI27" s="204"/>
      <c r="CFJ27" s="204"/>
      <c r="CFK27" s="204"/>
      <c r="CFL27" s="204"/>
      <c r="CFM27" s="204"/>
      <c r="CFN27" s="204"/>
      <c r="CFO27" s="204"/>
      <c r="CFP27" s="204"/>
      <c r="CFQ27" s="204"/>
      <c r="CFR27" s="204"/>
      <c r="CFS27" s="204"/>
      <c r="CFT27" s="204"/>
      <c r="CFU27" s="204"/>
      <c r="CFV27" s="204"/>
      <c r="CFW27" s="204"/>
      <c r="CFX27" s="204"/>
      <c r="CFY27" s="204"/>
      <c r="CFZ27" s="204"/>
      <c r="CGA27" s="204"/>
      <c r="CGB27" s="204"/>
      <c r="CGC27" s="204"/>
      <c r="CGD27" s="204"/>
      <c r="CGE27" s="204"/>
      <c r="CGF27" s="204"/>
      <c r="CGG27" s="204"/>
      <c r="CGH27" s="204"/>
      <c r="CGI27" s="204"/>
      <c r="CGJ27" s="204"/>
      <c r="CGK27" s="204"/>
      <c r="CGL27" s="204"/>
      <c r="CGM27" s="204"/>
      <c r="CGN27" s="204"/>
      <c r="CGO27" s="204"/>
      <c r="CGP27" s="204"/>
      <c r="CGQ27" s="204"/>
      <c r="CGR27" s="204"/>
      <c r="CGS27" s="204"/>
      <c r="CGT27" s="204"/>
      <c r="CGU27" s="204"/>
      <c r="CGV27" s="204"/>
      <c r="CGW27" s="204"/>
      <c r="CGX27" s="204"/>
      <c r="CGY27" s="204"/>
      <c r="CGZ27" s="204"/>
      <c r="CHA27" s="204"/>
      <c r="CHB27" s="204"/>
      <c r="CHC27" s="204"/>
      <c r="CHD27" s="204"/>
      <c r="CHE27" s="204"/>
      <c r="CHF27" s="204"/>
      <c r="CHG27" s="204"/>
      <c r="CHH27" s="204"/>
      <c r="CHI27" s="204"/>
      <c r="CHJ27" s="204"/>
      <c r="CHK27" s="204"/>
      <c r="CHL27" s="204"/>
      <c r="CHM27" s="204"/>
      <c r="CHN27" s="204"/>
      <c r="CHO27" s="204"/>
      <c r="CHP27" s="204"/>
      <c r="CHQ27" s="204"/>
      <c r="CHR27" s="204"/>
      <c r="CHS27" s="204"/>
      <c r="CHT27" s="204"/>
      <c r="CHU27" s="204"/>
      <c r="CHV27" s="204"/>
      <c r="CHW27" s="204"/>
      <c r="CHX27" s="204"/>
      <c r="CHY27" s="204"/>
      <c r="CHZ27" s="204"/>
      <c r="CIA27" s="204"/>
      <c r="CIB27" s="204"/>
      <c r="CIC27" s="204"/>
      <c r="CID27" s="204"/>
      <c r="CIE27" s="204"/>
      <c r="CIF27" s="204"/>
      <c r="CIG27" s="204"/>
      <c r="CIH27" s="204"/>
      <c r="CII27" s="204"/>
      <c r="CIJ27" s="204"/>
      <c r="CIK27" s="204"/>
      <c r="CIL27" s="204"/>
      <c r="CIM27" s="204"/>
      <c r="CIN27" s="204"/>
      <c r="CIO27" s="204"/>
      <c r="CIP27" s="204"/>
      <c r="CIQ27" s="204"/>
      <c r="CIR27" s="204"/>
      <c r="CIS27" s="204"/>
      <c r="CIT27" s="204"/>
      <c r="CIU27" s="204"/>
      <c r="CIV27" s="204"/>
      <c r="CIW27" s="204"/>
      <c r="CIX27" s="204"/>
      <c r="CIY27" s="204"/>
      <c r="CIZ27" s="204"/>
      <c r="CJA27" s="204"/>
      <c r="CJB27" s="204"/>
      <c r="CJC27" s="204"/>
      <c r="CJD27" s="204"/>
      <c r="CJE27" s="204"/>
      <c r="CJF27" s="204"/>
      <c r="CJG27" s="204"/>
      <c r="CJH27" s="204"/>
      <c r="CJI27" s="204"/>
      <c r="CJJ27" s="204"/>
      <c r="CJK27" s="204"/>
      <c r="CJL27" s="204"/>
      <c r="CJM27" s="204"/>
      <c r="CJN27" s="204"/>
      <c r="CJO27" s="204"/>
      <c r="CJP27" s="204"/>
      <c r="CJQ27" s="204"/>
      <c r="CJR27" s="204"/>
      <c r="CJS27" s="204"/>
      <c r="CJT27" s="204"/>
      <c r="CJU27" s="204"/>
      <c r="CJV27" s="204"/>
      <c r="CJW27" s="204"/>
      <c r="CJX27" s="204"/>
      <c r="CJY27" s="204"/>
      <c r="CJZ27" s="204"/>
      <c r="CKA27" s="204"/>
      <c r="CKB27" s="204"/>
      <c r="CKC27" s="204"/>
      <c r="CKD27" s="204"/>
      <c r="CKE27" s="204"/>
      <c r="CKF27" s="204"/>
      <c r="CKG27" s="204"/>
      <c r="CKH27" s="204"/>
      <c r="CKI27" s="204"/>
      <c r="CKJ27" s="204"/>
      <c r="CKK27" s="204"/>
      <c r="CKL27" s="204"/>
      <c r="CKM27" s="204"/>
      <c r="CKN27" s="204"/>
      <c r="CKO27" s="204"/>
      <c r="CKP27" s="204"/>
      <c r="CKQ27" s="204"/>
      <c r="CKR27" s="204"/>
      <c r="CKS27" s="204"/>
      <c r="CKT27" s="204"/>
      <c r="CKU27" s="204"/>
      <c r="CKV27" s="204"/>
      <c r="CKW27" s="204"/>
      <c r="CKX27" s="204"/>
      <c r="CKY27" s="204"/>
      <c r="CKZ27" s="204"/>
      <c r="CLA27" s="204"/>
      <c r="CLB27" s="204"/>
      <c r="CLC27" s="204"/>
      <c r="CLD27" s="204"/>
      <c r="CLE27" s="204"/>
      <c r="CLF27" s="204"/>
      <c r="CLG27" s="204"/>
      <c r="CLH27" s="204"/>
      <c r="CLI27" s="204"/>
      <c r="CLJ27" s="204"/>
      <c r="CLK27" s="204"/>
      <c r="CLL27" s="204"/>
      <c r="CLM27" s="204"/>
      <c r="CLN27" s="204"/>
      <c r="CLO27" s="204"/>
      <c r="CLP27" s="204"/>
      <c r="CLQ27" s="204"/>
      <c r="CLR27" s="204"/>
      <c r="CLS27" s="204"/>
      <c r="CLT27" s="204"/>
      <c r="CLU27" s="204"/>
      <c r="CLV27" s="204"/>
      <c r="CLW27" s="204"/>
      <c r="CLX27" s="204"/>
      <c r="CLY27" s="204"/>
      <c r="CLZ27" s="204"/>
      <c r="CMA27" s="204"/>
      <c r="CMB27" s="204"/>
      <c r="CMC27" s="204"/>
      <c r="CMD27" s="204"/>
      <c r="CME27" s="204"/>
      <c r="CMF27" s="204"/>
      <c r="CMG27" s="204"/>
      <c r="CMH27" s="204"/>
      <c r="CMI27" s="204"/>
      <c r="CMJ27" s="204"/>
      <c r="CMK27" s="204"/>
      <c r="CML27" s="204"/>
      <c r="CMM27" s="204"/>
      <c r="CMN27" s="204"/>
      <c r="CMO27" s="204"/>
      <c r="CMP27" s="204"/>
      <c r="CMQ27" s="204"/>
      <c r="CMR27" s="204"/>
      <c r="CMS27" s="204"/>
      <c r="CMT27" s="204"/>
      <c r="CMU27" s="204"/>
      <c r="CMV27" s="204"/>
      <c r="CMW27" s="204"/>
      <c r="CMX27" s="204"/>
      <c r="CMY27" s="204"/>
      <c r="CMZ27" s="204"/>
      <c r="CNA27" s="204"/>
      <c r="CNB27" s="204"/>
      <c r="CNC27" s="204"/>
      <c r="CND27" s="204"/>
      <c r="CNE27" s="204"/>
      <c r="CNF27" s="204"/>
      <c r="CNG27" s="204"/>
      <c r="CNH27" s="204"/>
      <c r="CNI27" s="204"/>
      <c r="CNJ27" s="204"/>
      <c r="CNK27" s="204"/>
      <c r="CNL27" s="204"/>
      <c r="CNM27" s="204"/>
      <c r="CNN27" s="204"/>
      <c r="CNO27" s="204"/>
      <c r="CNP27" s="204"/>
      <c r="CNQ27" s="204"/>
      <c r="CNR27" s="204"/>
      <c r="CNS27" s="204"/>
      <c r="CNT27" s="204"/>
      <c r="CNU27" s="204"/>
      <c r="CNV27" s="204"/>
      <c r="CNW27" s="204"/>
      <c r="CNX27" s="204"/>
      <c r="CNY27" s="204"/>
      <c r="CNZ27" s="204"/>
      <c r="COA27" s="204"/>
      <c r="COB27" s="204"/>
      <c r="COC27" s="204"/>
      <c r="COD27" s="204"/>
      <c r="COE27" s="204"/>
      <c r="COF27" s="204"/>
      <c r="COG27" s="204"/>
      <c r="COH27" s="204"/>
      <c r="COI27" s="204"/>
      <c r="COJ27" s="204"/>
      <c r="COK27" s="204"/>
      <c r="COL27" s="204"/>
      <c r="COM27" s="204"/>
      <c r="CON27" s="204"/>
      <c r="COO27" s="204"/>
      <c r="COP27" s="204"/>
      <c r="COQ27" s="204"/>
      <c r="COR27" s="204"/>
      <c r="COS27" s="204"/>
      <c r="COT27" s="204"/>
      <c r="COU27" s="204"/>
      <c r="COV27" s="204"/>
      <c r="COW27" s="204"/>
      <c r="COX27" s="204"/>
      <c r="COY27" s="204"/>
      <c r="COZ27" s="204"/>
      <c r="CPA27" s="204"/>
      <c r="CPB27" s="204"/>
      <c r="CPC27" s="204"/>
      <c r="CPD27" s="204"/>
      <c r="CPE27" s="204"/>
      <c r="CPF27" s="204"/>
      <c r="CPG27" s="204"/>
      <c r="CPH27" s="204"/>
      <c r="CPI27" s="204"/>
      <c r="CPJ27" s="204"/>
      <c r="CPK27" s="204"/>
      <c r="CPL27" s="204"/>
      <c r="CPM27" s="204"/>
      <c r="CPN27" s="204"/>
      <c r="CPO27" s="204"/>
      <c r="CPP27" s="204"/>
      <c r="CPQ27" s="204"/>
      <c r="CPR27" s="204"/>
      <c r="CPS27" s="204"/>
      <c r="CPT27" s="204"/>
      <c r="CPU27" s="204"/>
      <c r="CPV27" s="204"/>
      <c r="CPW27" s="204"/>
      <c r="CPX27" s="204"/>
      <c r="CPY27" s="204"/>
      <c r="CPZ27" s="204"/>
      <c r="CQA27" s="204"/>
      <c r="CQB27" s="204"/>
      <c r="CQC27" s="204"/>
      <c r="CQD27" s="204"/>
      <c r="CQE27" s="204"/>
      <c r="CQF27" s="204"/>
      <c r="CQG27" s="204"/>
      <c r="CQH27" s="204"/>
      <c r="CQI27" s="204"/>
      <c r="CQJ27" s="204"/>
      <c r="CQK27" s="204"/>
      <c r="CQL27" s="204"/>
      <c r="CQM27" s="204"/>
      <c r="CQN27" s="204"/>
      <c r="CQO27" s="204"/>
      <c r="CQP27" s="204"/>
      <c r="CQQ27" s="204"/>
      <c r="CQR27" s="204"/>
      <c r="CQS27" s="204"/>
      <c r="CQT27" s="204"/>
      <c r="CQU27" s="204"/>
      <c r="CQV27" s="204"/>
      <c r="CQW27" s="204"/>
      <c r="CQX27" s="204"/>
      <c r="CQY27" s="204"/>
      <c r="CQZ27" s="204"/>
      <c r="CRA27" s="204"/>
      <c r="CRB27" s="204"/>
      <c r="CRC27" s="204"/>
      <c r="CRD27" s="204"/>
      <c r="CRE27" s="204"/>
      <c r="CRF27" s="204"/>
      <c r="CRG27" s="204"/>
      <c r="CRH27" s="204"/>
      <c r="CRI27" s="204"/>
      <c r="CRJ27" s="204"/>
      <c r="CRK27" s="204"/>
      <c r="CRL27" s="204"/>
      <c r="CRM27" s="204"/>
      <c r="CRN27" s="204"/>
      <c r="CRO27" s="204"/>
      <c r="CRP27" s="204"/>
      <c r="CRQ27" s="204"/>
      <c r="CRR27" s="204"/>
      <c r="CRS27" s="204"/>
      <c r="CRT27" s="204"/>
      <c r="CRU27" s="204"/>
      <c r="CRV27" s="204"/>
      <c r="CRW27" s="204"/>
      <c r="CRX27" s="204"/>
      <c r="CRY27" s="204"/>
      <c r="CRZ27" s="204"/>
      <c r="CSA27" s="204"/>
      <c r="CSB27" s="204"/>
      <c r="CSC27" s="204"/>
      <c r="CSD27" s="204"/>
      <c r="CSE27" s="204"/>
      <c r="CSF27" s="204"/>
      <c r="CSG27" s="204"/>
      <c r="CSH27" s="204"/>
      <c r="CSI27" s="204"/>
      <c r="CSJ27" s="204"/>
      <c r="CSK27" s="204"/>
      <c r="CSL27" s="204"/>
      <c r="CSM27" s="204"/>
      <c r="CSN27" s="204"/>
      <c r="CSO27" s="204"/>
      <c r="CSP27" s="204"/>
      <c r="CSQ27" s="204"/>
      <c r="CSR27" s="204"/>
      <c r="CSS27" s="204"/>
      <c r="CST27" s="204"/>
      <c r="CSU27" s="204"/>
      <c r="CSV27" s="204"/>
      <c r="CSW27" s="204"/>
      <c r="CSX27" s="204"/>
      <c r="CSY27" s="204"/>
      <c r="CSZ27" s="204"/>
      <c r="CTA27" s="204"/>
      <c r="CTB27" s="204"/>
      <c r="CTC27" s="204"/>
      <c r="CTD27" s="204"/>
      <c r="CTE27" s="204"/>
      <c r="CTF27" s="204"/>
      <c r="CTG27" s="204"/>
      <c r="CTH27" s="204"/>
      <c r="CTI27" s="204"/>
      <c r="CTJ27" s="204"/>
      <c r="CTK27" s="204"/>
      <c r="CTL27" s="204"/>
      <c r="CTM27" s="204"/>
      <c r="CTN27" s="204"/>
      <c r="CTO27" s="204"/>
      <c r="CTP27" s="204"/>
      <c r="CTQ27" s="204"/>
      <c r="CTR27" s="204"/>
      <c r="CTS27" s="204"/>
      <c r="CTT27" s="204"/>
      <c r="CTU27" s="204"/>
      <c r="CTV27" s="204"/>
      <c r="CTW27" s="204"/>
      <c r="CTX27" s="204"/>
      <c r="CTY27" s="204"/>
      <c r="CTZ27" s="204"/>
      <c r="CUA27" s="204"/>
      <c r="CUB27" s="204"/>
      <c r="CUC27" s="204"/>
      <c r="CUD27" s="204"/>
      <c r="CUE27" s="204"/>
      <c r="CUF27" s="204"/>
      <c r="CUG27" s="204"/>
      <c r="CUH27" s="204"/>
      <c r="CUI27" s="204"/>
      <c r="CUJ27" s="204"/>
      <c r="CUK27" s="204"/>
      <c r="CUL27" s="204"/>
      <c r="CUM27" s="204"/>
      <c r="CUN27" s="204"/>
      <c r="CUO27" s="204"/>
      <c r="CUP27" s="204"/>
      <c r="CUQ27" s="204"/>
      <c r="CUR27" s="204"/>
      <c r="CUS27" s="204"/>
      <c r="CUT27" s="204"/>
      <c r="CUU27" s="204"/>
      <c r="CUV27" s="204"/>
      <c r="CUW27" s="204"/>
      <c r="CUX27" s="204"/>
      <c r="CUY27" s="204"/>
      <c r="CUZ27" s="204"/>
      <c r="CVA27" s="204"/>
      <c r="CVB27" s="204"/>
      <c r="CVC27" s="204"/>
      <c r="CVD27" s="204"/>
      <c r="CVE27" s="204"/>
      <c r="CVF27" s="204"/>
      <c r="CVG27" s="204"/>
      <c r="CVH27" s="204"/>
      <c r="CVI27" s="204"/>
      <c r="CVJ27" s="204"/>
      <c r="CVK27" s="204"/>
      <c r="CVL27" s="204"/>
      <c r="CVM27" s="204"/>
      <c r="CVN27" s="204"/>
      <c r="CVO27" s="204"/>
      <c r="CVP27" s="204"/>
      <c r="CVQ27" s="204"/>
      <c r="CVR27" s="204"/>
      <c r="CVS27" s="204"/>
      <c r="CVT27" s="204"/>
      <c r="CVU27" s="204"/>
      <c r="CVV27" s="204"/>
      <c r="CVW27" s="204"/>
      <c r="CVX27" s="204"/>
      <c r="CVY27" s="204"/>
      <c r="CVZ27" s="204"/>
      <c r="CWA27" s="204"/>
      <c r="CWB27" s="204"/>
      <c r="CWC27" s="204"/>
      <c r="CWD27" s="204"/>
      <c r="CWE27" s="204"/>
      <c r="CWF27" s="204"/>
      <c r="CWG27" s="204"/>
      <c r="CWH27" s="204"/>
      <c r="CWI27" s="204"/>
      <c r="CWJ27" s="204"/>
      <c r="CWK27" s="204"/>
      <c r="CWL27" s="204"/>
      <c r="CWM27" s="204"/>
      <c r="CWN27" s="204"/>
      <c r="CWO27" s="204"/>
      <c r="CWP27" s="204"/>
      <c r="CWQ27" s="204"/>
      <c r="CWR27" s="204"/>
      <c r="CWS27" s="204"/>
      <c r="CWT27" s="204"/>
      <c r="CWU27" s="204"/>
      <c r="CWV27" s="204"/>
      <c r="CWW27" s="204"/>
      <c r="CWX27" s="204"/>
      <c r="CWY27" s="204"/>
      <c r="CWZ27" s="204"/>
      <c r="CXA27" s="204"/>
      <c r="CXB27" s="204"/>
      <c r="CXC27" s="204"/>
      <c r="CXD27" s="204"/>
      <c r="CXE27" s="204"/>
      <c r="CXF27" s="204"/>
      <c r="CXG27" s="204"/>
      <c r="CXH27" s="204"/>
      <c r="CXI27" s="204"/>
      <c r="CXJ27" s="204"/>
      <c r="CXK27" s="204"/>
      <c r="CXL27" s="204"/>
      <c r="CXM27" s="204"/>
      <c r="CXN27" s="204"/>
      <c r="CXO27" s="204"/>
      <c r="CXP27" s="204"/>
      <c r="CXQ27" s="204"/>
      <c r="CXR27" s="204"/>
      <c r="CXS27" s="204"/>
      <c r="CXT27" s="204"/>
      <c r="CXU27" s="204"/>
      <c r="CXV27" s="204"/>
      <c r="CXW27" s="204"/>
      <c r="CXX27" s="204"/>
      <c r="CXY27" s="204"/>
      <c r="CXZ27" s="204"/>
      <c r="CYA27" s="204"/>
      <c r="CYB27" s="204"/>
      <c r="CYC27" s="204"/>
      <c r="CYD27" s="204"/>
      <c r="CYE27" s="204"/>
      <c r="CYF27" s="204"/>
      <c r="CYG27" s="204"/>
      <c r="CYH27" s="204"/>
      <c r="CYI27" s="204"/>
      <c r="CYJ27" s="204"/>
      <c r="CYK27" s="204"/>
      <c r="CYL27" s="204"/>
      <c r="CYM27" s="204"/>
      <c r="CYN27" s="204"/>
      <c r="CYO27" s="204"/>
      <c r="CYP27" s="204"/>
      <c r="CYQ27" s="204"/>
      <c r="CYR27" s="204"/>
      <c r="CYS27" s="204"/>
      <c r="CYT27" s="204"/>
      <c r="CYU27" s="204"/>
      <c r="CYV27" s="204"/>
      <c r="CYW27" s="204"/>
      <c r="CYX27" s="204"/>
      <c r="CYY27" s="204"/>
      <c r="CYZ27" s="204"/>
      <c r="CZA27" s="204"/>
      <c r="CZB27" s="204"/>
      <c r="CZC27" s="204"/>
      <c r="CZD27" s="204"/>
      <c r="CZE27" s="204"/>
      <c r="CZF27" s="204"/>
      <c r="CZG27" s="204"/>
      <c r="CZH27" s="204"/>
      <c r="CZI27" s="204"/>
      <c r="CZJ27" s="204"/>
      <c r="CZK27" s="204"/>
      <c r="CZL27" s="204"/>
      <c r="CZM27" s="204"/>
      <c r="CZN27" s="204"/>
      <c r="CZO27" s="204"/>
      <c r="CZP27" s="204"/>
      <c r="CZQ27" s="204"/>
      <c r="CZR27" s="204"/>
      <c r="CZS27" s="204"/>
      <c r="CZT27" s="204"/>
      <c r="CZU27" s="204"/>
      <c r="CZV27" s="204"/>
      <c r="CZW27" s="204"/>
      <c r="CZX27" s="204"/>
      <c r="CZY27" s="204"/>
      <c r="CZZ27" s="204"/>
      <c r="DAA27" s="204"/>
      <c r="DAB27" s="204"/>
      <c r="DAC27" s="204"/>
      <c r="DAD27" s="204"/>
      <c r="DAE27" s="204"/>
      <c r="DAF27" s="204"/>
      <c r="DAG27" s="204"/>
      <c r="DAH27" s="204"/>
      <c r="DAI27" s="204"/>
      <c r="DAJ27" s="204"/>
      <c r="DAK27" s="204"/>
      <c r="DAL27" s="204"/>
      <c r="DAM27" s="204"/>
      <c r="DAN27" s="204"/>
      <c r="DAO27" s="204"/>
      <c r="DAP27" s="204"/>
      <c r="DAQ27" s="204"/>
      <c r="DAR27" s="204"/>
      <c r="DAS27" s="204"/>
      <c r="DAT27" s="204"/>
      <c r="DAU27" s="204"/>
      <c r="DAV27" s="204"/>
      <c r="DAW27" s="204"/>
      <c r="DAX27" s="204"/>
      <c r="DAY27" s="204"/>
      <c r="DAZ27" s="204"/>
      <c r="DBA27" s="204"/>
      <c r="DBB27" s="204"/>
      <c r="DBC27" s="204"/>
      <c r="DBD27" s="204"/>
      <c r="DBE27" s="204"/>
      <c r="DBF27" s="204"/>
      <c r="DBG27" s="204"/>
      <c r="DBH27" s="204"/>
      <c r="DBI27" s="204"/>
      <c r="DBJ27" s="204"/>
      <c r="DBK27" s="204"/>
      <c r="DBL27" s="204"/>
      <c r="DBM27" s="204"/>
      <c r="DBN27" s="204"/>
      <c r="DBO27" s="204"/>
      <c r="DBP27" s="204"/>
      <c r="DBQ27" s="204"/>
      <c r="DBR27" s="204"/>
      <c r="DBS27" s="204"/>
      <c r="DBT27" s="204"/>
      <c r="DBU27" s="204"/>
      <c r="DBV27" s="204"/>
      <c r="DBW27" s="204"/>
      <c r="DBX27" s="204"/>
      <c r="DBY27" s="204"/>
      <c r="DBZ27" s="204"/>
      <c r="DCA27" s="204"/>
      <c r="DCB27" s="204"/>
      <c r="DCC27" s="204"/>
      <c r="DCD27" s="204"/>
      <c r="DCE27" s="204"/>
      <c r="DCF27" s="204"/>
      <c r="DCG27" s="204"/>
      <c r="DCH27" s="204"/>
      <c r="DCI27" s="204"/>
      <c r="DCJ27" s="204"/>
      <c r="DCK27" s="204"/>
      <c r="DCL27" s="204"/>
      <c r="DCM27" s="204"/>
      <c r="DCN27" s="204"/>
      <c r="DCO27" s="204"/>
      <c r="DCP27" s="204"/>
      <c r="DCQ27" s="204"/>
      <c r="DCR27" s="204"/>
      <c r="DCS27" s="204"/>
      <c r="DCT27" s="204"/>
      <c r="DCU27" s="204"/>
      <c r="DCV27" s="204"/>
      <c r="DCW27" s="204"/>
      <c r="DCX27" s="204"/>
      <c r="DCY27" s="204"/>
      <c r="DCZ27" s="204"/>
      <c r="DDA27" s="204"/>
      <c r="DDB27" s="204"/>
      <c r="DDC27" s="204"/>
      <c r="DDD27" s="204"/>
      <c r="DDE27" s="204"/>
      <c r="DDF27" s="204"/>
      <c r="DDG27" s="204"/>
      <c r="DDH27" s="204"/>
      <c r="DDI27" s="204"/>
      <c r="DDJ27" s="204"/>
      <c r="DDK27" s="204"/>
      <c r="DDL27" s="204"/>
      <c r="DDM27" s="204"/>
      <c r="DDN27" s="204"/>
      <c r="DDO27" s="204"/>
      <c r="DDP27" s="204"/>
      <c r="DDQ27" s="204"/>
      <c r="DDR27" s="204"/>
      <c r="DDS27" s="204"/>
      <c r="DDT27" s="204"/>
      <c r="DDU27" s="204"/>
      <c r="DDV27" s="204"/>
      <c r="DDW27" s="204"/>
      <c r="DDX27" s="204"/>
      <c r="DDY27" s="204"/>
      <c r="DDZ27" s="204"/>
      <c r="DEA27" s="204"/>
      <c r="DEB27" s="204"/>
      <c r="DEC27" s="204"/>
      <c r="DED27" s="204"/>
      <c r="DEE27" s="204"/>
      <c r="DEF27" s="204"/>
      <c r="DEG27" s="204"/>
      <c r="DEH27" s="204"/>
      <c r="DEI27" s="204"/>
      <c r="DEJ27" s="204"/>
      <c r="DEK27" s="204"/>
      <c r="DEL27" s="204"/>
      <c r="DEM27" s="204"/>
      <c r="DEN27" s="204"/>
      <c r="DEO27" s="204"/>
      <c r="DEP27" s="204"/>
      <c r="DEQ27" s="204"/>
      <c r="DER27" s="204"/>
      <c r="DES27" s="204"/>
      <c r="DET27" s="204"/>
      <c r="DEU27" s="204"/>
      <c r="DEV27" s="204"/>
      <c r="DEW27" s="204"/>
      <c r="DEX27" s="204"/>
      <c r="DEY27" s="204"/>
      <c r="DEZ27" s="204"/>
      <c r="DFA27" s="204"/>
      <c r="DFB27" s="204"/>
      <c r="DFC27" s="204"/>
      <c r="DFD27" s="204"/>
      <c r="DFE27" s="204"/>
      <c r="DFF27" s="204"/>
      <c r="DFG27" s="204"/>
      <c r="DFH27" s="204"/>
      <c r="DFI27" s="204"/>
      <c r="DFJ27" s="204"/>
      <c r="DFK27" s="204"/>
      <c r="DFL27" s="204"/>
      <c r="DFM27" s="204"/>
      <c r="DFN27" s="204"/>
      <c r="DFO27" s="204"/>
      <c r="DFP27" s="204"/>
      <c r="DFQ27" s="204"/>
      <c r="DFR27" s="204"/>
      <c r="DFS27" s="204"/>
      <c r="DFT27" s="204"/>
      <c r="DFU27" s="204"/>
      <c r="DFV27" s="204"/>
      <c r="DFW27" s="204"/>
      <c r="DFX27" s="204"/>
      <c r="DFY27" s="204"/>
      <c r="DFZ27" s="204"/>
      <c r="DGA27" s="204"/>
      <c r="DGB27" s="204"/>
      <c r="DGC27" s="204"/>
      <c r="DGD27" s="204"/>
      <c r="DGE27" s="204"/>
      <c r="DGF27" s="204"/>
      <c r="DGG27" s="204"/>
      <c r="DGH27" s="204"/>
      <c r="DGI27" s="204"/>
      <c r="DGJ27" s="204"/>
      <c r="DGK27" s="204"/>
      <c r="DGL27" s="204"/>
      <c r="DGM27" s="204"/>
      <c r="DGN27" s="204"/>
      <c r="DGO27" s="204"/>
      <c r="DGP27" s="204"/>
      <c r="DGQ27" s="204"/>
      <c r="DGR27" s="204"/>
      <c r="DGS27" s="204"/>
      <c r="DGT27" s="204"/>
      <c r="DGU27" s="204"/>
      <c r="DGV27" s="204"/>
      <c r="DGW27" s="204"/>
      <c r="DGX27" s="204"/>
      <c r="DGY27" s="204"/>
      <c r="DGZ27" s="204"/>
      <c r="DHA27" s="204"/>
      <c r="DHB27" s="204"/>
      <c r="DHC27" s="204"/>
      <c r="DHD27" s="204"/>
      <c r="DHE27" s="204"/>
      <c r="DHF27" s="204"/>
      <c r="DHG27" s="204"/>
      <c r="DHH27" s="204"/>
      <c r="DHI27" s="204"/>
      <c r="DHJ27" s="204"/>
      <c r="DHK27" s="204"/>
      <c r="DHL27" s="204"/>
      <c r="DHM27" s="204"/>
      <c r="DHN27" s="204"/>
      <c r="DHO27" s="204"/>
      <c r="DHP27" s="204"/>
      <c r="DHQ27" s="204"/>
      <c r="DHR27" s="204"/>
      <c r="DHS27" s="204"/>
      <c r="DHT27" s="204"/>
      <c r="DHU27" s="204"/>
      <c r="DHV27" s="204"/>
      <c r="DHW27" s="204"/>
      <c r="DHX27" s="204"/>
      <c r="DHY27" s="204"/>
      <c r="DHZ27" s="204"/>
      <c r="DIA27" s="204"/>
      <c r="DIB27" s="204"/>
      <c r="DIC27" s="204"/>
      <c r="DID27" s="204"/>
      <c r="DIE27" s="204"/>
      <c r="DIF27" s="204"/>
      <c r="DIG27" s="204"/>
      <c r="DIH27" s="204"/>
      <c r="DII27" s="204"/>
      <c r="DIJ27" s="204"/>
      <c r="DIK27" s="204"/>
      <c r="DIL27" s="204"/>
      <c r="DIM27" s="204"/>
      <c r="DIN27" s="204"/>
      <c r="DIO27" s="204"/>
      <c r="DIP27" s="204"/>
      <c r="DIQ27" s="204"/>
      <c r="DIR27" s="204"/>
      <c r="DIS27" s="204"/>
      <c r="DIT27" s="204"/>
      <c r="DIU27" s="204"/>
      <c r="DIV27" s="204"/>
      <c r="DIW27" s="204"/>
      <c r="DIX27" s="204"/>
      <c r="DIY27" s="204"/>
      <c r="DIZ27" s="204"/>
      <c r="DJA27" s="204"/>
      <c r="DJB27" s="204"/>
      <c r="DJC27" s="204"/>
      <c r="DJD27" s="204"/>
      <c r="DJE27" s="204"/>
      <c r="DJF27" s="204"/>
      <c r="DJG27" s="204"/>
      <c r="DJH27" s="204"/>
      <c r="DJI27" s="204"/>
      <c r="DJJ27" s="204"/>
      <c r="DJK27" s="204"/>
      <c r="DJL27" s="204"/>
      <c r="DJM27" s="204"/>
      <c r="DJN27" s="204"/>
      <c r="DJO27" s="204"/>
      <c r="DJP27" s="204"/>
      <c r="DJQ27" s="204"/>
      <c r="DJR27" s="204"/>
      <c r="DJS27" s="204"/>
      <c r="DJT27" s="204"/>
      <c r="DJU27" s="204"/>
      <c r="DJV27" s="204"/>
      <c r="DJW27" s="204"/>
      <c r="DJX27" s="204"/>
      <c r="DJY27" s="204"/>
      <c r="DJZ27" s="204"/>
      <c r="DKA27" s="204"/>
      <c r="DKB27" s="204"/>
      <c r="DKC27" s="204"/>
      <c r="DKD27" s="204"/>
      <c r="DKE27" s="204"/>
      <c r="DKF27" s="204"/>
      <c r="DKG27" s="204"/>
      <c r="DKH27" s="204"/>
      <c r="DKI27" s="204"/>
      <c r="DKJ27" s="204"/>
      <c r="DKK27" s="204"/>
      <c r="DKL27" s="204"/>
      <c r="DKM27" s="204"/>
      <c r="DKN27" s="204"/>
      <c r="DKO27" s="204"/>
      <c r="DKP27" s="204"/>
      <c r="DKQ27" s="204"/>
      <c r="DKR27" s="204"/>
      <c r="DKS27" s="204"/>
      <c r="DKT27" s="204"/>
      <c r="DKU27" s="204"/>
      <c r="DKV27" s="204"/>
      <c r="DKW27" s="204"/>
      <c r="DKX27" s="204"/>
      <c r="DKY27" s="204"/>
      <c r="DKZ27" s="204"/>
      <c r="DLA27" s="204"/>
      <c r="DLB27" s="204"/>
      <c r="DLC27" s="204"/>
      <c r="DLD27" s="204"/>
      <c r="DLE27" s="204"/>
      <c r="DLF27" s="204"/>
      <c r="DLG27" s="204"/>
      <c r="DLH27" s="204"/>
      <c r="DLI27" s="204"/>
      <c r="DLJ27" s="204"/>
      <c r="DLK27" s="204"/>
      <c r="DLL27" s="204"/>
      <c r="DLM27" s="204"/>
      <c r="DLN27" s="204"/>
      <c r="DLO27" s="204"/>
      <c r="DLP27" s="204"/>
      <c r="DLQ27" s="204"/>
      <c r="DLR27" s="204"/>
      <c r="DLS27" s="204"/>
      <c r="DLT27" s="204"/>
      <c r="DLU27" s="204"/>
      <c r="DLV27" s="204"/>
      <c r="DLW27" s="204"/>
      <c r="DLX27" s="204"/>
      <c r="DLY27" s="204"/>
      <c r="DLZ27" s="204"/>
      <c r="DMA27" s="204"/>
      <c r="DMB27" s="204"/>
      <c r="DMC27" s="204"/>
      <c r="DMD27" s="204"/>
      <c r="DME27" s="204"/>
      <c r="DMF27" s="204"/>
      <c r="DMG27" s="204"/>
      <c r="DMH27" s="204"/>
      <c r="DMI27" s="204"/>
      <c r="DMJ27" s="204"/>
      <c r="DMK27" s="204"/>
      <c r="DML27" s="204"/>
      <c r="DMM27" s="204"/>
      <c r="DMN27" s="204"/>
      <c r="DMO27" s="204"/>
      <c r="DMP27" s="204"/>
      <c r="DMQ27" s="204"/>
      <c r="DMR27" s="204"/>
      <c r="DMS27" s="204"/>
      <c r="DMT27" s="204"/>
      <c r="DMU27" s="204"/>
      <c r="DMV27" s="204"/>
      <c r="DMW27" s="204"/>
      <c r="DMX27" s="204"/>
      <c r="DMY27" s="204"/>
      <c r="DMZ27" s="204"/>
      <c r="DNA27" s="204"/>
      <c r="DNB27" s="204"/>
      <c r="DNC27" s="204"/>
      <c r="DND27" s="204"/>
      <c r="DNE27" s="204"/>
      <c r="DNF27" s="204"/>
      <c r="DNG27" s="204"/>
      <c r="DNH27" s="204"/>
      <c r="DNI27" s="204"/>
      <c r="DNJ27" s="204"/>
      <c r="DNK27" s="204"/>
      <c r="DNL27" s="204"/>
      <c r="DNM27" s="204"/>
      <c r="DNN27" s="204"/>
      <c r="DNO27" s="204"/>
      <c r="DNP27" s="204"/>
      <c r="DNQ27" s="204"/>
      <c r="DNR27" s="204"/>
      <c r="DNS27" s="204"/>
      <c r="DNT27" s="204"/>
      <c r="DNU27" s="204"/>
      <c r="DNV27" s="204"/>
      <c r="DNW27" s="204"/>
      <c r="DNX27" s="204"/>
      <c r="DNY27" s="204"/>
      <c r="DNZ27" s="204"/>
      <c r="DOA27" s="204"/>
      <c r="DOB27" s="204"/>
      <c r="DOC27" s="204"/>
      <c r="DOD27" s="204"/>
      <c r="DOE27" s="204"/>
      <c r="DOF27" s="204"/>
      <c r="DOG27" s="204"/>
      <c r="DOH27" s="204"/>
      <c r="DOI27" s="204"/>
      <c r="DOJ27" s="204"/>
      <c r="DOK27" s="204"/>
      <c r="DOL27" s="204"/>
      <c r="DOM27" s="204"/>
      <c r="DON27" s="204"/>
      <c r="DOO27" s="204"/>
      <c r="DOP27" s="204"/>
      <c r="DOQ27" s="204"/>
      <c r="DOR27" s="204"/>
      <c r="DOS27" s="204"/>
      <c r="DOT27" s="204"/>
      <c r="DOU27" s="204"/>
      <c r="DOV27" s="204"/>
      <c r="DOW27" s="204"/>
      <c r="DOX27" s="204"/>
      <c r="DOY27" s="204"/>
      <c r="DOZ27" s="204"/>
      <c r="DPA27" s="204"/>
      <c r="DPB27" s="204"/>
      <c r="DPC27" s="204"/>
      <c r="DPD27" s="204"/>
      <c r="DPE27" s="204"/>
      <c r="DPF27" s="204"/>
      <c r="DPG27" s="204"/>
      <c r="DPH27" s="204"/>
      <c r="DPI27" s="204"/>
      <c r="DPJ27" s="204"/>
      <c r="DPK27" s="204"/>
      <c r="DPL27" s="204"/>
      <c r="DPM27" s="204"/>
      <c r="DPN27" s="204"/>
      <c r="DPO27" s="204"/>
      <c r="DPP27" s="204"/>
      <c r="DPQ27" s="204"/>
      <c r="DPR27" s="204"/>
      <c r="DPS27" s="204"/>
      <c r="DPT27" s="204"/>
      <c r="DPU27" s="204"/>
      <c r="DPV27" s="204"/>
      <c r="DPW27" s="204"/>
      <c r="DPX27" s="204"/>
      <c r="DPY27" s="204"/>
      <c r="DPZ27" s="204"/>
      <c r="DQA27" s="204"/>
      <c r="DQB27" s="204"/>
      <c r="DQC27" s="204"/>
      <c r="DQD27" s="204"/>
      <c r="DQE27" s="204"/>
      <c r="DQF27" s="204"/>
      <c r="DQG27" s="204"/>
      <c r="DQH27" s="204"/>
      <c r="DQI27" s="204"/>
      <c r="DQJ27" s="204"/>
      <c r="DQK27" s="204"/>
      <c r="DQL27" s="204"/>
      <c r="DQM27" s="204"/>
      <c r="DQN27" s="204"/>
      <c r="DQO27" s="204"/>
      <c r="DQP27" s="204"/>
      <c r="DQQ27" s="204"/>
      <c r="DQR27" s="204"/>
      <c r="DQS27" s="204"/>
      <c r="DQT27" s="204"/>
      <c r="DQU27" s="204"/>
      <c r="DQV27" s="204"/>
      <c r="DQW27" s="204"/>
      <c r="DQX27" s="204"/>
      <c r="DQY27" s="204"/>
      <c r="DQZ27" s="204"/>
      <c r="DRA27" s="204"/>
      <c r="DRB27" s="204"/>
      <c r="DRC27" s="204"/>
      <c r="DRD27" s="204"/>
      <c r="DRE27" s="204"/>
      <c r="DRF27" s="204"/>
      <c r="DRG27" s="204"/>
      <c r="DRH27" s="204"/>
      <c r="DRI27" s="204"/>
      <c r="DRJ27" s="204"/>
      <c r="DRK27" s="204"/>
      <c r="DRL27" s="204"/>
      <c r="DRM27" s="204"/>
      <c r="DRN27" s="204"/>
      <c r="DRO27" s="204"/>
      <c r="DRP27" s="204"/>
      <c r="DRQ27" s="204"/>
      <c r="DRR27" s="204"/>
      <c r="DRS27" s="204"/>
      <c r="DRT27" s="204"/>
      <c r="DRU27" s="204"/>
      <c r="DRV27" s="204"/>
      <c r="DRW27" s="204"/>
      <c r="DRX27" s="204"/>
      <c r="DRY27" s="204"/>
      <c r="DRZ27" s="204"/>
      <c r="DSA27" s="204"/>
      <c r="DSB27" s="204"/>
      <c r="DSC27" s="204"/>
      <c r="DSD27" s="204"/>
      <c r="DSE27" s="204"/>
      <c r="DSF27" s="204"/>
      <c r="DSG27" s="204"/>
      <c r="DSH27" s="204"/>
      <c r="DSI27" s="204"/>
      <c r="DSJ27" s="204"/>
      <c r="DSK27" s="204"/>
      <c r="DSL27" s="204"/>
      <c r="DSM27" s="204"/>
      <c r="DSN27" s="204"/>
      <c r="DSO27" s="204"/>
      <c r="DSP27" s="204"/>
      <c r="DSQ27" s="204"/>
      <c r="DSR27" s="204"/>
      <c r="DSS27" s="204"/>
      <c r="DST27" s="204"/>
      <c r="DSU27" s="204"/>
      <c r="DSV27" s="204"/>
      <c r="DSW27" s="204"/>
      <c r="DSX27" s="204"/>
      <c r="DSY27" s="204"/>
      <c r="DSZ27" s="204"/>
      <c r="DTA27" s="204"/>
      <c r="DTB27" s="204"/>
      <c r="DTC27" s="204"/>
      <c r="DTD27" s="204"/>
      <c r="DTE27" s="204"/>
      <c r="DTF27" s="204"/>
      <c r="DTG27" s="204"/>
      <c r="DTH27" s="204"/>
      <c r="DTI27" s="204"/>
      <c r="DTJ27" s="204"/>
      <c r="DTK27" s="204"/>
      <c r="DTL27" s="204"/>
      <c r="DTM27" s="204"/>
      <c r="DTN27" s="204"/>
      <c r="DTO27" s="204"/>
      <c r="DTP27" s="204"/>
      <c r="DTQ27" s="204"/>
      <c r="DTR27" s="204"/>
      <c r="DTS27" s="204"/>
      <c r="DTT27" s="204"/>
      <c r="DTU27" s="204"/>
      <c r="DTV27" s="204"/>
      <c r="DTW27" s="204"/>
      <c r="DTX27" s="204"/>
      <c r="DTY27" s="204"/>
      <c r="DTZ27" s="204"/>
      <c r="DUA27" s="204"/>
      <c r="DUB27" s="204"/>
      <c r="DUC27" s="204"/>
      <c r="DUD27" s="204"/>
      <c r="DUE27" s="204"/>
      <c r="DUF27" s="204"/>
      <c r="DUG27" s="204"/>
      <c r="DUH27" s="204"/>
      <c r="DUI27" s="204"/>
      <c r="DUJ27" s="204"/>
      <c r="DUK27" s="204"/>
      <c r="DUL27" s="204"/>
      <c r="DUM27" s="204"/>
      <c r="DUN27" s="204"/>
      <c r="DUO27" s="204"/>
      <c r="DUP27" s="204"/>
      <c r="DUQ27" s="204"/>
      <c r="DUR27" s="204"/>
      <c r="DUS27" s="204"/>
      <c r="DUT27" s="204"/>
      <c r="DUU27" s="204"/>
      <c r="DUV27" s="204"/>
      <c r="DUW27" s="204"/>
      <c r="DUX27" s="204"/>
      <c r="DUY27" s="204"/>
      <c r="DUZ27" s="204"/>
      <c r="DVA27" s="204"/>
      <c r="DVB27" s="204"/>
      <c r="DVC27" s="204"/>
      <c r="DVD27" s="204"/>
      <c r="DVE27" s="204"/>
      <c r="DVF27" s="204"/>
      <c r="DVG27" s="204"/>
      <c r="DVH27" s="204"/>
      <c r="DVI27" s="204"/>
      <c r="DVJ27" s="204"/>
      <c r="DVK27" s="204"/>
      <c r="DVL27" s="204"/>
      <c r="DVM27" s="204"/>
      <c r="DVN27" s="204"/>
      <c r="DVO27" s="204"/>
      <c r="DVP27" s="204"/>
      <c r="DVQ27" s="204"/>
      <c r="DVR27" s="204"/>
      <c r="DVS27" s="204"/>
      <c r="DVT27" s="204"/>
      <c r="DVU27" s="204"/>
      <c r="DVV27" s="204"/>
      <c r="DVW27" s="204"/>
      <c r="DVX27" s="204"/>
      <c r="DVY27" s="204"/>
      <c r="DVZ27" s="204"/>
      <c r="DWA27" s="204"/>
      <c r="DWB27" s="204"/>
      <c r="DWC27" s="204"/>
      <c r="DWD27" s="204"/>
      <c r="DWE27" s="204"/>
      <c r="DWF27" s="204"/>
      <c r="DWG27" s="204"/>
      <c r="DWH27" s="204"/>
      <c r="DWI27" s="204"/>
      <c r="DWJ27" s="204"/>
      <c r="DWK27" s="204"/>
      <c r="DWL27" s="204"/>
      <c r="DWM27" s="204"/>
      <c r="DWN27" s="204"/>
      <c r="DWO27" s="204"/>
      <c r="DWP27" s="204"/>
      <c r="DWQ27" s="204"/>
      <c r="DWR27" s="204"/>
      <c r="DWS27" s="204"/>
      <c r="DWT27" s="204"/>
      <c r="DWU27" s="204"/>
      <c r="DWV27" s="204"/>
      <c r="DWW27" s="204"/>
      <c r="DWX27" s="204"/>
      <c r="DWY27" s="204"/>
      <c r="DWZ27" s="204"/>
      <c r="DXA27" s="204"/>
      <c r="DXB27" s="204"/>
      <c r="DXC27" s="204"/>
      <c r="DXD27" s="204"/>
      <c r="DXE27" s="204"/>
      <c r="DXF27" s="204"/>
      <c r="DXG27" s="204"/>
      <c r="DXH27" s="204"/>
      <c r="DXI27" s="204"/>
      <c r="DXJ27" s="204"/>
      <c r="DXK27" s="204"/>
      <c r="DXL27" s="204"/>
      <c r="DXM27" s="204"/>
      <c r="DXN27" s="204"/>
      <c r="DXO27" s="204"/>
      <c r="DXP27" s="204"/>
      <c r="DXQ27" s="204"/>
      <c r="DXR27" s="204"/>
      <c r="DXS27" s="204"/>
      <c r="DXT27" s="204"/>
      <c r="DXU27" s="204"/>
      <c r="DXV27" s="204"/>
      <c r="DXW27" s="204"/>
      <c r="DXX27" s="204"/>
      <c r="DXY27" s="204"/>
      <c r="DXZ27" s="204"/>
      <c r="DYA27" s="204"/>
      <c r="DYB27" s="204"/>
      <c r="DYC27" s="204"/>
      <c r="DYD27" s="204"/>
      <c r="DYE27" s="204"/>
      <c r="DYF27" s="204"/>
      <c r="DYG27" s="204"/>
      <c r="DYH27" s="204"/>
      <c r="DYI27" s="204"/>
      <c r="DYJ27" s="204"/>
      <c r="DYK27" s="204"/>
      <c r="DYL27" s="204"/>
      <c r="DYM27" s="204"/>
      <c r="DYN27" s="204"/>
      <c r="DYO27" s="204"/>
      <c r="DYP27" s="204"/>
      <c r="DYQ27" s="204"/>
      <c r="DYR27" s="204"/>
      <c r="DYS27" s="204"/>
      <c r="DYT27" s="204"/>
      <c r="DYU27" s="204"/>
      <c r="DYV27" s="204"/>
      <c r="DYW27" s="204"/>
      <c r="DYX27" s="204"/>
      <c r="DYY27" s="204"/>
      <c r="DYZ27" s="204"/>
      <c r="DZA27" s="204"/>
      <c r="DZB27" s="204"/>
      <c r="DZC27" s="204"/>
      <c r="DZD27" s="204"/>
      <c r="DZE27" s="204"/>
      <c r="DZF27" s="204"/>
      <c r="DZG27" s="204"/>
      <c r="DZH27" s="204"/>
      <c r="DZI27" s="204"/>
      <c r="DZJ27" s="204"/>
      <c r="DZK27" s="204"/>
      <c r="DZL27" s="204"/>
      <c r="DZM27" s="204"/>
      <c r="DZN27" s="204"/>
      <c r="DZO27" s="204"/>
      <c r="DZP27" s="204"/>
      <c r="DZQ27" s="204"/>
      <c r="DZR27" s="204"/>
      <c r="DZS27" s="204"/>
      <c r="DZT27" s="204"/>
      <c r="DZU27" s="204"/>
      <c r="DZV27" s="204"/>
      <c r="DZW27" s="204"/>
      <c r="DZX27" s="204"/>
      <c r="DZY27" s="204"/>
      <c r="DZZ27" s="204"/>
      <c r="EAA27" s="204"/>
      <c r="EAB27" s="204"/>
      <c r="EAC27" s="204"/>
      <c r="EAD27" s="204"/>
      <c r="EAE27" s="204"/>
      <c r="EAF27" s="204"/>
      <c r="EAG27" s="204"/>
      <c r="EAH27" s="204"/>
      <c r="EAI27" s="204"/>
      <c r="EAJ27" s="204"/>
      <c r="EAK27" s="204"/>
      <c r="EAL27" s="204"/>
      <c r="EAM27" s="204"/>
      <c r="EAN27" s="204"/>
      <c r="EAO27" s="204"/>
      <c r="EAP27" s="204"/>
      <c r="EAQ27" s="204"/>
      <c r="EAR27" s="204"/>
      <c r="EAS27" s="204"/>
      <c r="EAT27" s="204"/>
      <c r="EAU27" s="204"/>
      <c r="EAV27" s="204"/>
      <c r="EAW27" s="204"/>
      <c r="EAX27" s="204"/>
      <c r="EAY27" s="204"/>
      <c r="EAZ27" s="204"/>
      <c r="EBA27" s="204"/>
      <c r="EBB27" s="204"/>
      <c r="EBC27" s="204"/>
      <c r="EBD27" s="204"/>
      <c r="EBE27" s="204"/>
      <c r="EBF27" s="204"/>
      <c r="EBG27" s="204"/>
      <c r="EBH27" s="204"/>
      <c r="EBI27" s="204"/>
      <c r="EBJ27" s="204"/>
      <c r="EBK27" s="204"/>
      <c r="EBL27" s="204"/>
      <c r="EBM27" s="204"/>
      <c r="EBN27" s="204"/>
      <c r="EBO27" s="204"/>
      <c r="EBP27" s="204"/>
      <c r="EBQ27" s="204"/>
      <c r="EBR27" s="204"/>
      <c r="EBS27" s="204"/>
      <c r="EBT27" s="204"/>
      <c r="EBU27" s="204"/>
      <c r="EBV27" s="204"/>
      <c r="EBW27" s="204"/>
      <c r="EBX27" s="204"/>
      <c r="EBY27" s="204"/>
      <c r="EBZ27" s="204"/>
      <c r="ECA27" s="204"/>
      <c r="ECB27" s="204"/>
      <c r="ECC27" s="204"/>
      <c r="ECD27" s="204"/>
      <c r="ECE27" s="204"/>
      <c r="ECF27" s="204"/>
      <c r="ECG27" s="204"/>
      <c r="ECH27" s="204"/>
      <c r="ECI27" s="204"/>
      <c r="ECJ27" s="204"/>
      <c r="ECK27" s="204"/>
      <c r="ECL27" s="204"/>
      <c r="ECM27" s="204"/>
      <c r="ECN27" s="204"/>
      <c r="ECO27" s="204"/>
      <c r="ECP27" s="204"/>
      <c r="ECQ27" s="204"/>
      <c r="ECR27" s="204"/>
      <c r="ECS27" s="204"/>
      <c r="ECT27" s="204"/>
      <c r="ECU27" s="204"/>
      <c r="ECV27" s="204"/>
      <c r="ECW27" s="204"/>
      <c r="ECX27" s="204"/>
      <c r="ECY27" s="204"/>
      <c r="ECZ27" s="204"/>
      <c r="EDA27" s="204"/>
      <c r="EDB27" s="204"/>
      <c r="EDC27" s="204"/>
      <c r="EDD27" s="204"/>
      <c r="EDE27" s="204"/>
      <c r="EDF27" s="204"/>
      <c r="EDG27" s="204"/>
      <c r="EDH27" s="204"/>
      <c r="EDI27" s="204"/>
      <c r="EDJ27" s="204"/>
      <c r="EDK27" s="204"/>
      <c r="EDL27" s="204"/>
      <c r="EDM27" s="204"/>
      <c r="EDN27" s="204"/>
      <c r="EDO27" s="204"/>
      <c r="EDP27" s="204"/>
      <c r="EDQ27" s="204"/>
      <c r="EDR27" s="204"/>
      <c r="EDS27" s="204"/>
      <c r="EDT27" s="204"/>
      <c r="EDU27" s="204"/>
      <c r="EDV27" s="204"/>
      <c r="EDW27" s="204"/>
      <c r="EDX27" s="204"/>
      <c r="EDY27" s="204"/>
      <c r="EDZ27" s="204"/>
      <c r="EEA27" s="204"/>
      <c r="EEB27" s="204"/>
      <c r="EEC27" s="204"/>
      <c r="EED27" s="204"/>
      <c r="EEE27" s="204"/>
      <c r="EEF27" s="204"/>
      <c r="EEG27" s="204"/>
      <c r="EEH27" s="204"/>
      <c r="EEI27" s="204"/>
      <c r="EEJ27" s="204"/>
      <c r="EEK27" s="204"/>
      <c r="EEL27" s="204"/>
      <c r="EEM27" s="204"/>
      <c r="EEN27" s="204"/>
      <c r="EEO27" s="204"/>
      <c r="EEP27" s="204"/>
      <c r="EEQ27" s="204"/>
      <c r="EER27" s="204"/>
      <c r="EES27" s="204"/>
      <c r="EET27" s="204"/>
      <c r="EEU27" s="204"/>
      <c r="EEV27" s="204"/>
      <c r="EEW27" s="204"/>
      <c r="EEX27" s="204"/>
      <c r="EEY27" s="204"/>
      <c r="EEZ27" s="204"/>
      <c r="EFA27" s="204"/>
      <c r="EFB27" s="204"/>
      <c r="EFC27" s="204"/>
      <c r="EFD27" s="204"/>
      <c r="EFE27" s="204"/>
      <c r="EFF27" s="204"/>
      <c r="EFG27" s="204"/>
      <c r="EFH27" s="204"/>
      <c r="EFI27" s="204"/>
      <c r="EFJ27" s="204"/>
      <c r="EFK27" s="204"/>
      <c r="EFL27" s="204"/>
      <c r="EFM27" s="204"/>
      <c r="EFN27" s="204"/>
      <c r="EFO27" s="204"/>
      <c r="EFP27" s="204"/>
      <c r="EFQ27" s="204"/>
      <c r="EFR27" s="204"/>
      <c r="EFS27" s="204"/>
      <c r="EFT27" s="204"/>
      <c r="EFU27" s="204"/>
      <c r="EFV27" s="204"/>
      <c r="EFW27" s="204"/>
      <c r="EFX27" s="204"/>
      <c r="EFY27" s="204"/>
      <c r="EFZ27" s="204"/>
      <c r="EGA27" s="204"/>
      <c r="EGB27" s="204"/>
      <c r="EGC27" s="204"/>
      <c r="EGD27" s="204"/>
      <c r="EGE27" s="204"/>
      <c r="EGF27" s="204"/>
      <c r="EGG27" s="204"/>
      <c r="EGH27" s="204"/>
      <c r="EGI27" s="204"/>
      <c r="EGJ27" s="204"/>
      <c r="EGK27" s="204"/>
      <c r="EGL27" s="204"/>
      <c r="EGM27" s="204"/>
      <c r="EGN27" s="204"/>
      <c r="EGO27" s="204"/>
      <c r="EGP27" s="204"/>
      <c r="EGQ27" s="204"/>
      <c r="EGR27" s="204"/>
      <c r="EGS27" s="204"/>
      <c r="EGT27" s="204"/>
      <c r="EGU27" s="204"/>
      <c r="EGV27" s="204"/>
      <c r="EGW27" s="204"/>
      <c r="EGX27" s="204"/>
      <c r="EGY27" s="204"/>
      <c r="EGZ27" s="204"/>
      <c r="EHA27" s="204"/>
      <c r="EHB27" s="204"/>
      <c r="EHC27" s="204"/>
      <c r="EHD27" s="204"/>
      <c r="EHE27" s="204"/>
      <c r="EHF27" s="204"/>
      <c r="EHG27" s="204"/>
      <c r="EHH27" s="204"/>
      <c r="EHI27" s="204"/>
      <c r="EHJ27" s="204"/>
      <c r="EHK27" s="204"/>
      <c r="EHL27" s="204"/>
      <c r="EHM27" s="204"/>
      <c r="EHN27" s="204"/>
      <c r="EHO27" s="204"/>
      <c r="EHP27" s="204"/>
      <c r="EHQ27" s="204"/>
      <c r="EHR27" s="204"/>
      <c r="EHS27" s="204"/>
      <c r="EHT27" s="204"/>
      <c r="EHU27" s="204"/>
      <c r="EHV27" s="204"/>
      <c r="EHW27" s="204"/>
      <c r="EHX27" s="204"/>
      <c r="EHY27" s="204"/>
      <c r="EHZ27" s="204"/>
      <c r="EIA27" s="204"/>
      <c r="EIB27" s="204"/>
      <c r="EIC27" s="204"/>
      <c r="EID27" s="204"/>
      <c r="EIE27" s="204"/>
      <c r="EIF27" s="204"/>
      <c r="EIG27" s="204"/>
      <c r="EIH27" s="204"/>
      <c r="EII27" s="204"/>
      <c r="EIJ27" s="204"/>
      <c r="EIK27" s="204"/>
      <c r="EIL27" s="204"/>
      <c r="EIM27" s="204"/>
      <c r="EIN27" s="204"/>
      <c r="EIO27" s="204"/>
      <c r="EIP27" s="204"/>
      <c r="EIQ27" s="204"/>
      <c r="EIR27" s="204"/>
      <c r="EIS27" s="204"/>
      <c r="EIT27" s="204"/>
      <c r="EIU27" s="204"/>
      <c r="EIV27" s="204"/>
      <c r="EIW27" s="204"/>
      <c r="EIX27" s="204"/>
      <c r="EIY27" s="204"/>
      <c r="EIZ27" s="204"/>
      <c r="EJA27" s="204"/>
      <c r="EJB27" s="204"/>
      <c r="EJC27" s="204"/>
      <c r="EJD27" s="204"/>
      <c r="EJE27" s="204"/>
      <c r="EJF27" s="204"/>
      <c r="EJG27" s="204"/>
      <c r="EJH27" s="204"/>
      <c r="EJI27" s="204"/>
      <c r="EJJ27" s="204"/>
      <c r="EJK27" s="204"/>
      <c r="EJL27" s="204"/>
      <c r="EJM27" s="204"/>
      <c r="EJN27" s="204"/>
      <c r="EJO27" s="204"/>
      <c r="EJP27" s="204"/>
      <c r="EJQ27" s="204"/>
      <c r="EJR27" s="204"/>
      <c r="EJS27" s="204"/>
      <c r="EJT27" s="204"/>
      <c r="EJU27" s="204"/>
      <c r="EJV27" s="204"/>
      <c r="EJW27" s="204"/>
      <c r="EJX27" s="204"/>
      <c r="EJY27" s="204"/>
      <c r="EJZ27" s="204"/>
      <c r="EKA27" s="204"/>
      <c r="EKB27" s="204"/>
      <c r="EKC27" s="204"/>
      <c r="EKD27" s="204"/>
      <c r="EKE27" s="204"/>
      <c r="EKF27" s="204"/>
      <c r="EKG27" s="204"/>
      <c r="EKH27" s="204"/>
      <c r="EKI27" s="204"/>
      <c r="EKJ27" s="204"/>
      <c r="EKK27" s="204"/>
      <c r="EKL27" s="204"/>
      <c r="EKM27" s="204"/>
      <c r="EKN27" s="204"/>
      <c r="EKO27" s="204"/>
      <c r="EKP27" s="204"/>
      <c r="EKQ27" s="204"/>
      <c r="EKR27" s="204"/>
      <c r="EKS27" s="204"/>
      <c r="EKT27" s="204"/>
      <c r="EKU27" s="204"/>
      <c r="EKV27" s="204"/>
      <c r="EKW27" s="204"/>
      <c r="EKX27" s="204"/>
      <c r="EKY27" s="204"/>
      <c r="EKZ27" s="204"/>
      <c r="ELA27" s="204"/>
      <c r="ELB27" s="204"/>
      <c r="ELC27" s="204"/>
      <c r="ELD27" s="204"/>
      <c r="ELE27" s="204"/>
      <c r="ELF27" s="204"/>
      <c r="ELG27" s="204"/>
      <c r="ELH27" s="204"/>
      <c r="ELI27" s="204"/>
      <c r="ELJ27" s="204"/>
      <c r="ELK27" s="204"/>
      <c r="ELL27" s="204"/>
      <c r="ELM27" s="204"/>
      <c r="ELN27" s="204"/>
      <c r="ELO27" s="204"/>
      <c r="ELP27" s="204"/>
      <c r="ELQ27" s="204"/>
      <c r="ELR27" s="204"/>
      <c r="ELS27" s="204"/>
      <c r="ELT27" s="204"/>
      <c r="ELU27" s="204"/>
      <c r="ELV27" s="204"/>
      <c r="ELW27" s="204"/>
      <c r="ELX27" s="204"/>
      <c r="ELY27" s="204"/>
      <c r="ELZ27" s="204"/>
      <c r="EMA27" s="204"/>
      <c r="EMB27" s="204"/>
      <c r="EMC27" s="204"/>
      <c r="EMD27" s="204"/>
      <c r="EME27" s="204"/>
      <c r="EMF27" s="204"/>
      <c r="EMG27" s="204"/>
      <c r="EMH27" s="204"/>
      <c r="EMI27" s="204"/>
      <c r="EMJ27" s="204"/>
      <c r="EMK27" s="204"/>
      <c r="EML27" s="204"/>
      <c r="EMM27" s="204"/>
      <c r="EMN27" s="204"/>
      <c r="EMO27" s="204"/>
      <c r="EMP27" s="204"/>
      <c r="EMQ27" s="204"/>
      <c r="EMR27" s="204"/>
      <c r="EMS27" s="204"/>
      <c r="EMT27" s="204"/>
      <c r="EMU27" s="204"/>
      <c r="EMV27" s="204"/>
      <c r="EMW27" s="204"/>
      <c r="EMX27" s="204"/>
      <c r="EMY27" s="204"/>
      <c r="EMZ27" s="204"/>
      <c r="ENA27" s="204"/>
      <c r="ENB27" s="204"/>
      <c r="ENC27" s="204"/>
      <c r="END27" s="204"/>
      <c r="ENE27" s="204"/>
      <c r="ENF27" s="204"/>
      <c r="ENG27" s="204"/>
      <c r="ENH27" s="204"/>
      <c r="ENI27" s="204"/>
      <c r="ENJ27" s="204"/>
      <c r="ENK27" s="204"/>
      <c r="ENL27" s="204"/>
      <c r="ENM27" s="204"/>
      <c r="ENN27" s="204"/>
      <c r="ENO27" s="204"/>
      <c r="ENP27" s="204"/>
      <c r="ENQ27" s="204"/>
      <c r="ENR27" s="204"/>
      <c r="ENS27" s="204"/>
      <c r="ENT27" s="204"/>
      <c r="ENU27" s="204"/>
      <c r="ENV27" s="204"/>
      <c r="ENW27" s="204"/>
      <c r="ENX27" s="204"/>
      <c r="ENY27" s="204"/>
      <c r="ENZ27" s="204"/>
      <c r="EOA27" s="204"/>
      <c r="EOB27" s="204"/>
      <c r="EOC27" s="204"/>
      <c r="EOD27" s="204"/>
      <c r="EOE27" s="204"/>
      <c r="EOF27" s="204"/>
      <c r="EOG27" s="204"/>
      <c r="EOH27" s="204"/>
      <c r="EOI27" s="204"/>
      <c r="EOJ27" s="204"/>
      <c r="EOK27" s="204"/>
      <c r="EOL27" s="204"/>
      <c r="EOM27" s="204"/>
      <c r="EON27" s="204"/>
      <c r="EOO27" s="204"/>
      <c r="EOP27" s="204"/>
      <c r="EOQ27" s="204"/>
      <c r="EOR27" s="204"/>
      <c r="EOS27" s="204"/>
      <c r="EOT27" s="204"/>
      <c r="EOU27" s="204"/>
      <c r="EOV27" s="204"/>
      <c r="EOW27" s="204"/>
      <c r="EOX27" s="204"/>
      <c r="EOY27" s="204"/>
      <c r="EOZ27" s="204"/>
      <c r="EPA27" s="204"/>
      <c r="EPB27" s="204"/>
      <c r="EPC27" s="204"/>
      <c r="EPD27" s="204"/>
      <c r="EPE27" s="204"/>
      <c r="EPF27" s="204"/>
      <c r="EPG27" s="204"/>
      <c r="EPH27" s="204"/>
      <c r="EPI27" s="204"/>
      <c r="EPJ27" s="204"/>
      <c r="EPK27" s="204"/>
      <c r="EPL27" s="204"/>
      <c r="EPM27" s="204"/>
      <c r="EPN27" s="204"/>
      <c r="EPO27" s="204"/>
      <c r="EPP27" s="204"/>
      <c r="EPQ27" s="204"/>
      <c r="EPR27" s="204"/>
      <c r="EPS27" s="204"/>
      <c r="EPT27" s="204"/>
      <c r="EPU27" s="204"/>
      <c r="EPV27" s="204"/>
      <c r="EPW27" s="204"/>
      <c r="EPX27" s="204"/>
      <c r="EPY27" s="204"/>
      <c r="EPZ27" s="204"/>
      <c r="EQA27" s="204"/>
      <c r="EQB27" s="204"/>
      <c r="EQC27" s="204"/>
      <c r="EQD27" s="204"/>
      <c r="EQE27" s="204"/>
      <c r="EQF27" s="204"/>
      <c r="EQG27" s="204"/>
      <c r="EQH27" s="204"/>
      <c r="EQI27" s="204"/>
      <c r="EQJ27" s="204"/>
      <c r="EQK27" s="204"/>
      <c r="EQL27" s="204"/>
      <c r="EQM27" s="204"/>
      <c r="EQN27" s="204"/>
      <c r="EQO27" s="204"/>
      <c r="EQP27" s="204"/>
      <c r="EQQ27" s="204"/>
      <c r="EQR27" s="204"/>
      <c r="EQS27" s="204"/>
      <c r="EQT27" s="204"/>
      <c r="EQU27" s="204"/>
      <c r="EQV27" s="204"/>
      <c r="EQW27" s="204"/>
      <c r="EQX27" s="204"/>
      <c r="EQY27" s="204"/>
      <c r="EQZ27" s="204"/>
      <c r="ERA27" s="204"/>
      <c r="ERB27" s="204"/>
      <c r="ERC27" s="204"/>
      <c r="ERD27" s="204"/>
      <c r="ERE27" s="204"/>
      <c r="ERF27" s="204"/>
      <c r="ERG27" s="204"/>
      <c r="ERH27" s="204"/>
      <c r="ERI27" s="204"/>
      <c r="ERJ27" s="204"/>
      <c r="ERK27" s="204"/>
      <c r="ERL27" s="204"/>
      <c r="ERM27" s="204"/>
      <c r="ERN27" s="204"/>
      <c r="ERO27" s="204"/>
      <c r="ERP27" s="204"/>
      <c r="ERQ27" s="204"/>
      <c r="ERR27" s="204"/>
      <c r="ERS27" s="204"/>
      <c r="ERT27" s="204"/>
      <c r="ERU27" s="204"/>
      <c r="ERV27" s="204"/>
      <c r="ERW27" s="204"/>
      <c r="ERX27" s="204"/>
      <c r="ERY27" s="204"/>
      <c r="ERZ27" s="204"/>
      <c r="ESA27" s="204"/>
      <c r="ESB27" s="204"/>
      <c r="ESC27" s="204"/>
      <c r="ESD27" s="204"/>
      <c r="ESE27" s="204"/>
      <c r="ESF27" s="204"/>
      <c r="ESG27" s="204"/>
      <c r="ESH27" s="204"/>
      <c r="ESI27" s="204"/>
      <c r="ESJ27" s="204"/>
      <c r="ESK27" s="204"/>
      <c r="ESL27" s="204"/>
      <c r="ESM27" s="204"/>
      <c r="ESN27" s="204"/>
      <c r="ESO27" s="204"/>
      <c r="ESP27" s="204"/>
      <c r="ESQ27" s="204"/>
      <c r="ESR27" s="204"/>
      <c r="ESS27" s="204"/>
      <c r="EST27" s="204"/>
      <c r="ESU27" s="204"/>
      <c r="ESV27" s="204"/>
      <c r="ESW27" s="204"/>
      <c r="ESX27" s="204"/>
      <c r="ESY27" s="204"/>
      <c r="ESZ27" s="204"/>
      <c r="ETA27" s="204"/>
      <c r="ETB27" s="204"/>
      <c r="ETC27" s="204"/>
      <c r="ETD27" s="204"/>
      <c r="ETE27" s="204"/>
      <c r="ETF27" s="204"/>
      <c r="ETG27" s="204"/>
      <c r="ETH27" s="204"/>
      <c r="ETI27" s="204"/>
      <c r="ETJ27" s="204"/>
      <c r="ETK27" s="204"/>
      <c r="ETL27" s="204"/>
      <c r="ETM27" s="204"/>
      <c r="ETN27" s="204"/>
      <c r="ETO27" s="204"/>
      <c r="ETP27" s="204"/>
      <c r="ETQ27" s="204"/>
      <c r="ETR27" s="204"/>
      <c r="ETS27" s="204"/>
      <c r="ETT27" s="204"/>
      <c r="ETU27" s="204"/>
      <c r="ETV27" s="204"/>
      <c r="ETW27" s="204"/>
      <c r="ETX27" s="204"/>
      <c r="ETY27" s="204"/>
      <c r="ETZ27" s="204"/>
      <c r="EUA27" s="204"/>
      <c r="EUB27" s="204"/>
      <c r="EUC27" s="204"/>
      <c r="EUD27" s="204"/>
      <c r="EUE27" s="204"/>
      <c r="EUF27" s="204"/>
      <c r="EUG27" s="204"/>
      <c r="EUH27" s="204"/>
      <c r="EUI27" s="204"/>
      <c r="EUJ27" s="204"/>
      <c r="EUK27" s="204"/>
      <c r="EUL27" s="204"/>
      <c r="EUM27" s="204"/>
      <c r="EUN27" s="204"/>
      <c r="EUO27" s="204"/>
      <c r="EUP27" s="204"/>
      <c r="EUQ27" s="204"/>
      <c r="EUR27" s="204"/>
      <c r="EUS27" s="204"/>
      <c r="EUT27" s="204"/>
      <c r="EUU27" s="204"/>
      <c r="EUV27" s="204"/>
      <c r="EUW27" s="204"/>
      <c r="EUX27" s="204"/>
      <c r="EUY27" s="204"/>
      <c r="EUZ27" s="204"/>
      <c r="EVA27" s="204"/>
      <c r="EVB27" s="204"/>
      <c r="EVC27" s="204"/>
      <c r="EVD27" s="204"/>
      <c r="EVE27" s="204"/>
      <c r="EVF27" s="204"/>
      <c r="EVG27" s="204"/>
      <c r="EVH27" s="204"/>
      <c r="EVI27" s="204"/>
      <c r="EVJ27" s="204"/>
      <c r="EVK27" s="204"/>
      <c r="EVL27" s="204"/>
      <c r="EVM27" s="204"/>
      <c r="EVN27" s="204"/>
      <c r="EVO27" s="204"/>
      <c r="EVP27" s="204"/>
      <c r="EVQ27" s="204"/>
      <c r="EVR27" s="204"/>
      <c r="EVS27" s="204"/>
      <c r="EVT27" s="204"/>
      <c r="EVU27" s="204"/>
      <c r="EVV27" s="204"/>
      <c r="EVW27" s="204"/>
      <c r="EVX27" s="204"/>
      <c r="EVY27" s="204"/>
      <c r="EVZ27" s="204"/>
      <c r="EWA27" s="204"/>
      <c r="EWB27" s="204"/>
      <c r="EWC27" s="204"/>
      <c r="EWD27" s="204"/>
      <c r="EWE27" s="204"/>
      <c r="EWF27" s="204"/>
      <c r="EWG27" s="204"/>
      <c r="EWH27" s="204"/>
      <c r="EWI27" s="204"/>
      <c r="EWJ27" s="204"/>
      <c r="EWK27" s="204"/>
      <c r="EWL27" s="204"/>
      <c r="EWM27" s="204"/>
      <c r="EWN27" s="204"/>
      <c r="EWO27" s="204"/>
      <c r="EWP27" s="204"/>
      <c r="EWQ27" s="204"/>
      <c r="EWR27" s="204"/>
      <c r="EWS27" s="204"/>
      <c r="EWT27" s="204"/>
      <c r="EWU27" s="204"/>
      <c r="EWV27" s="204"/>
      <c r="EWW27" s="204"/>
      <c r="EWX27" s="204"/>
      <c r="EWY27" s="204"/>
      <c r="EWZ27" s="204"/>
      <c r="EXA27" s="204"/>
      <c r="EXB27" s="204"/>
      <c r="EXC27" s="204"/>
      <c r="EXD27" s="204"/>
      <c r="EXE27" s="204"/>
      <c r="EXF27" s="204"/>
      <c r="EXG27" s="204"/>
      <c r="EXH27" s="204"/>
      <c r="EXI27" s="204"/>
      <c r="EXJ27" s="204"/>
      <c r="EXK27" s="204"/>
      <c r="EXL27" s="204"/>
      <c r="EXM27" s="204"/>
      <c r="EXN27" s="204"/>
      <c r="EXO27" s="204"/>
      <c r="EXP27" s="204"/>
      <c r="EXQ27" s="204"/>
      <c r="EXR27" s="204"/>
      <c r="EXS27" s="204"/>
      <c r="EXT27" s="204"/>
      <c r="EXU27" s="204"/>
      <c r="EXV27" s="204"/>
      <c r="EXW27" s="204"/>
      <c r="EXX27" s="204"/>
      <c r="EXY27" s="204"/>
      <c r="EXZ27" s="204"/>
      <c r="EYA27" s="204"/>
      <c r="EYB27" s="204"/>
      <c r="EYC27" s="204"/>
      <c r="EYD27" s="204"/>
      <c r="EYE27" s="204"/>
      <c r="EYF27" s="204"/>
      <c r="EYG27" s="204"/>
      <c r="EYH27" s="204"/>
      <c r="EYI27" s="204"/>
      <c r="EYJ27" s="204"/>
      <c r="EYK27" s="204"/>
      <c r="EYL27" s="204"/>
      <c r="EYM27" s="204"/>
      <c r="EYN27" s="204"/>
      <c r="EYO27" s="204"/>
      <c r="EYP27" s="204"/>
      <c r="EYQ27" s="204"/>
      <c r="EYR27" s="204"/>
      <c r="EYS27" s="204"/>
      <c r="EYT27" s="204"/>
      <c r="EYU27" s="204"/>
      <c r="EYV27" s="204"/>
      <c r="EYW27" s="204"/>
      <c r="EYX27" s="204"/>
      <c r="EYY27" s="204"/>
      <c r="EYZ27" s="204"/>
      <c r="EZA27" s="204"/>
      <c r="EZB27" s="204"/>
      <c r="EZC27" s="204"/>
      <c r="EZD27" s="204"/>
      <c r="EZE27" s="204"/>
      <c r="EZF27" s="204"/>
      <c r="EZG27" s="204"/>
      <c r="EZH27" s="204"/>
      <c r="EZI27" s="204"/>
      <c r="EZJ27" s="204"/>
      <c r="EZK27" s="204"/>
      <c r="EZL27" s="204"/>
      <c r="EZM27" s="204"/>
      <c r="EZN27" s="204"/>
      <c r="EZO27" s="204"/>
      <c r="EZP27" s="204"/>
      <c r="EZQ27" s="204"/>
      <c r="EZR27" s="204"/>
      <c r="EZS27" s="204"/>
      <c r="EZT27" s="204"/>
      <c r="EZU27" s="204"/>
      <c r="EZV27" s="204"/>
      <c r="EZW27" s="204"/>
      <c r="EZX27" s="204"/>
      <c r="EZY27" s="204"/>
      <c r="EZZ27" s="204"/>
      <c r="FAA27" s="204"/>
      <c r="FAB27" s="204"/>
      <c r="FAC27" s="204"/>
      <c r="FAD27" s="204"/>
      <c r="FAE27" s="204"/>
      <c r="FAF27" s="204"/>
      <c r="FAG27" s="204"/>
      <c r="FAH27" s="204"/>
      <c r="FAI27" s="204"/>
      <c r="FAJ27" s="204"/>
      <c r="FAK27" s="204"/>
      <c r="FAL27" s="204"/>
      <c r="FAM27" s="204"/>
      <c r="FAN27" s="204"/>
      <c r="FAO27" s="204"/>
      <c r="FAP27" s="204"/>
      <c r="FAQ27" s="204"/>
      <c r="FAR27" s="204"/>
      <c r="FAS27" s="204"/>
      <c r="FAT27" s="204"/>
      <c r="FAU27" s="204"/>
      <c r="FAV27" s="204"/>
      <c r="FAW27" s="204"/>
      <c r="FAX27" s="204"/>
      <c r="FAY27" s="204"/>
      <c r="FAZ27" s="204"/>
      <c r="FBA27" s="204"/>
      <c r="FBB27" s="204"/>
      <c r="FBC27" s="204"/>
      <c r="FBD27" s="204"/>
      <c r="FBE27" s="204"/>
      <c r="FBF27" s="204"/>
      <c r="FBG27" s="204"/>
      <c r="FBH27" s="204"/>
      <c r="FBI27" s="204"/>
      <c r="FBJ27" s="204"/>
      <c r="FBK27" s="204"/>
      <c r="FBL27" s="204"/>
      <c r="FBM27" s="204"/>
      <c r="FBN27" s="204"/>
      <c r="FBO27" s="204"/>
      <c r="FBP27" s="204"/>
      <c r="FBQ27" s="204"/>
      <c r="FBR27" s="204"/>
      <c r="FBS27" s="204"/>
      <c r="FBT27" s="204"/>
      <c r="FBU27" s="204"/>
      <c r="FBV27" s="204"/>
      <c r="FBW27" s="204"/>
      <c r="FBX27" s="204"/>
      <c r="FBY27" s="204"/>
      <c r="FBZ27" s="204"/>
      <c r="FCA27" s="204"/>
      <c r="FCB27" s="204"/>
      <c r="FCC27" s="204"/>
      <c r="FCD27" s="204"/>
      <c r="FCE27" s="204"/>
      <c r="FCF27" s="204"/>
      <c r="FCG27" s="204"/>
      <c r="FCH27" s="204"/>
      <c r="FCI27" s="204"/>
      <c r="FCJ27" s="204"/>
      <c r="FCK27" s="204"/>
      <c r="FCL27" s="204"/>
      <c r="FCM27" s="204"/>
      <c r="FCN27" s="204"/>
      <c r="FCO27" s="204"/>
      <c r="FCP27" s="204"/>
      <c r="FCQ27" s="204"/>
      <c r="FCR27" s="204"/>
      <c r="FCS27" s="204"/>
      <c r="FCT27" s="204"/>
      <c r="FCU27" s="204"/>
      <c r="FCV27" s="204"/>
      <c r="FCW27" s="204"/>
      <c r="FCX27" s="204"/>
      <c r="FCY27" s="204"/>
      <c r="FCZ27" s="204"/>
      <c r="FDA27" s="204"/>
      <c r="FDB27" s="204"/>
      <c r="FDC27" s="204"/>
      <c r="FDD27" s="204"/>
      <c r="FDE27" s="204"/>
      <c r="FDF27" s="204"/>
      <c r="FDG27" s="204"/>
      <c r="FDH27" s="204"/>
      <c r="FDI27" s="204"/>
      <c r="FDJ27" s="204"/>
      <c r="FDK27" s="204"/>
      <c r="FDL27" s="204"/>
      <c r="FDM27" s="204"/>
      <c r="FDN27" s="204"/>
      <c r="FDO27" s="204"/>
      <c r="FDP27" s="204"/>
      <c r="FDQ27" s="204"/>
      <c r="FDR27" s="204"/>
      <c r="FDS27" s="204"/>
      <c r="FDT27" s="204"/>
      <c r="FDU27" s="204"/>
      <c r="FDV27" s="204"/>
      <c r="FDW27" s="204"/>
      <c r="FDX27" s="204"/>
      <c r="FDY27" s="204"/>
      <c r="FDZ27" s="204"/>
      <c r="FEA27" s="204"/>
      <c r="FEB27" s="204"/>
      <c r="FEC27" s="204"/>
      <c r="FED27" s="204"/>
      <c r="FEE27" s="204"/>
      <c r="FEF27" s="204"/>
      <c r="FEG27" s="204"/>
      <c r="FEH27" s="204"/>
      <c r="FEI27" s="204"/>
      <c r="FEJ27" s="204"/>
      <c r="FEK27" s="204"/>
      <c r="FEL27" s="204"/>
      <c r="FEM27" s="204"/>
      <c r="FEN27" s="204"/>
      <c r="FEO27" s="204"/>
      <c r="FEP27" s="204"/>
      <c r="FEQ27" s="204"/>
      <c r="FER27" s="204"/>
      <c r="FES27" s="204"/>
      <c r="FET27" s="204"/>
      <c r="FEU27" s="204"/>
      <c r="FEV27" s="204"/>
      <c r="FEW27" s="204"/>
      <c r="FEX27" s="204"/>
      <c r="FEY27" s="204"/>
      <c r="FEZ27" s="204"/>
      <c r="FFA27" s="204"/>
      <c r="FFB27" s="204"/>
      <c r="FFC27" s="204"/>
      <c r="FFD27" s="204"/>
      <c r="FFE27" s="204"/>
      <c r="FFF27" s="204"/>
      <c r="FFG27" s="204"/>
      <c r="FFH27" s="204"/>
      <c r="FFI27" s="204"/>
      <c r="FFJ27" s="204"/>
      <c r="FFK27" s="204"/>
      <c r="FFL27" s="204"/>
      <c r="FFM27" s="204"/>
      <c r="FFN27" s="204"/>
      <c r="FFO27" s="204"/>
      <c r="FFP27" s="204"/>
      <c r="FFQ27" s="204"/>
      <c r="FFR27" s="204"/>
      <c r="FFS27" s="204"/>
      <c r="FFT27" s="204"/>
      <c r="FFU27" s="204"/>
      <c r="FFV27" s="204"/>
      <c r="FFW27" s="204"/>
      <c r="FFX27" s="204"/>
      <c r="FFY27" s="204"/>
      <c r="FFZ27" s="204"/>
      <c r="FGA27" s="204"/>
      <c r="FGB27" s="204"/>
      <c r="FGC27" s="204"/>
      <c r="FGD27" s="204"/>
      <c r="FGE27" s="204"/>
      <c r="FGF27" s="204"/>
      <c r="FGG27" s="204"/>
      <c r="FGH27" s="204"/>
      <c r="FGI27" s="204"/>
      <c r="FGJ27" s="204"/>
      <c r="FGK27" s="204"/>
      <c r="FGL27" s="204"/>
      <c r="FGM27" s="204"/>
      <c r="FGN27" s="204"/>
      <c r="FGO27" s="204"/>
      <c r="FGP27" s="204"/>
      <c r="FGQ27" s="204"/>
      <c r="FGR27" s="204"/>
      <c r="FGS27" s="204"/>
      <c r="FGT27" s="204"/>
      <c r="FGU27" s="204"/>
      <c r="FGV27" s="204"/>
      <c r="FGW27" s="204"/>
      <c r="FGX27" s="204"/>
      <c r="FGY27" s="204"/>
      <c r="FGZ27" s="204"/>
      <c r="FHA27" s="204"/>
      <c r="FHB27" s="204"/>
      <c r="FHC27" s="204"/>
      <c r="FHD27" s="204"/>
      <c r="FHE27" s="204"/>
      <c r="FHF27" s="204"/>
      <c r="FHG27" s="204"/>
      <c r="FHH27" s="204"/>
      <c r="FHI27" s="204"/>
      <c r="FHJ27" s="204"/>
      <c r="FHK27" s="204"/>
      <c r="FHL27" s="204"/>
      <c r="FHM27" s="204"/>
      <c r="FHN27" s="204"/>
      <c r="FHO27" s="204"/>
      <c r="FHP27" s="204"/>
      <c r="FHQ27" s="204"/>
      <c r="FHR27" s="204"/>
      <c r="FHS27" s="204"/>
      <c r="FHT27" s="204"/>
      <c r="FHU27" s="204"/>
      <c r="FHV27" s="204"/>
      <c r="FHW27" s="204"/>
      <c r="FHX27" s="204"/>
      <c r="FHY27" s="204"/>
      <c r="FHZ27" s="204"/>
      <c r="FIA27" s="204"/>
      <c r="FIB27" s="204"/>
      <c r="FIC27" s="204"/>
      <c r="FID27" s="204"/>
      <c r="FIE27" s="204"/>
      <c r="FIF27" s="204"/>
      <c r="FIG27" s="204"/>
      <c r="FIH27" s="204"/>
      <c r="FII27" s="204"/>
      <c r="FIJ27" s="204"/>
      <c r="FIK27" s="204"/>
      <c r="FIL27" s="204"/>
      <c r="FIM27" s="204"/>
      <c r="FIN27" s="204"/>
      <c r="FIO27" s="204"/>
      <c r="FIP27" s="204"/>
      <c r="FIQ27" s="204"/>
      <c r="FIR27" s="204"/>
      <c r="FIS27" s="204"/>
      <c r="FIT27" s="204"/>
      <c r="FIU27" s="204"/>
      <c r="FIV27" s="204"/>
      <c r="FIW27" s="204"/>
      <c r="FIX27" s="204"/>
      <c r="FIY27" s="204"/>
      <c r="FIZ27" s="204"/>
      <c r="FJA27" s="204"/>
      <c r="FJB27" s="204"/>
      <c r="FJC27" s="204"/>
      <c r="FJD27" s="204"/>
      <c r="FJE27" s="204"/>
      <c r="FJF27" s="204"/>
      <c r="FJG27" s="204"/>
      <c r="FJH27" s="204"/>
      <c r="FJI27" s="204"/>
      <c r="FJJ27" s="204"/>
      <c r="FJK27" s="204"/>
      <c r="FJL27" s="204"/>
      <c r="FJM27" s="204"/>
      <c r="FJN27" s="204"/>
      <c r="FJO27" s="204"/>
      <c r="FJP27" s="204"/>
      <c r="FJQ27" s="204"/>
      <c r="FJR27" s="204"/>
      <c r="FJS27" s="204"/>
      <c r="FJT27" s="204"/>
      <c r="FJU27" s="204"/>
      <c r="FJV27" s="204"/>
      <c r="FJW27" s="204"/>
      <c r="FJX27" s="204"/>
      <c r="FJY27" s="204"/>
      <c r="FJZ27" s="204"/>
      <c r="FKA27" s="204"/>
      <c r="FKB27" s="204"/>
      <c r="FKC27" s="204"/>
      <c r="FKD27" s="204"/>
      <c r="FKE27" s="204"/>
      <c r="FKF27" s="204"/>
      <c r="FKG27" s="204"/>
      <c r="FKH27" s="204"/>
      <c r="FKI27" s="204"/>
      <c r="FKJ27" s="204"/>
      <c r="FKK27" s="204"/>
      <c r="FKL27" s="204"/>
      <c r="FKM27" s="204"/>
      <c r="FKN27" s="204"/>
      <c r="FKO27" s="204"/>
      <c r="FKP27" s="204"/>
      <c r="FKQ27" s="204"/>
      <c r="FKR27" s="204"/>
      <c r="FKS27" s="204"/>
      <c r="FKT27" s="204"/>
      <c r="FKU27" s="204"/>
      <c r="FKV27" s="204"/>
      <c r="FKW27" s="204"/>
      <c r="FKX27" s="204"/>
      <c r="FKY27" s="204"/>
      <c r="FKZ27" s="204"/>
      <c r="FLA27" s="204"/>
      <c r="FLB27" s="204"/>
      <c r="FLC27" s="204"/>
      <c r="FLD27" s="204"/>
      <c r="FLE27" s="204"/>
      <c r="FLF27" s="204"/>
      <c r="FLG27" s="204"/>
      <c r="FLH27" s="204"/>
      <c r="FLI27" s="204"/>
      <c r="FLJ27" s="204"/>
      <c r="FLK27" s="204"/>
      <c r="FLL27" s="204"/>
      <c r="FLM27" s="204"/>
      <c r="FLN27" s="204"/>
      <c r="FLO27" s="204"/>
      <c r="FLP27" s="204"/>
      <c r="FLQ27" s="204"/>
      <c r="FLR27" s="204"/>
      <c r="FLS27" s="204"/>
      <c r="FLT27" s="204"/>
      <c r="FLU27" s="204"/>
      <c r="FLV27" s="204"/>
      <c r="FLW27" s="204"/>
      <c r="FLX27" s="204"/>
      <c r="FLY27" s="204"/>
      <c r="FLZ27" s="204"/>
      <c r="FMA27" s="204"/>
      <c r="FMB27" s="204"/>
      <c r="FMC27" s="204"/>
      <c r="FMD27" s="204"/>
      <c r="FME27" s="204"/>
      <c r="FMF27" s="204"/>
      <c r="FMG27" s="204"/>
      <c r="FMH27" s="204"/>
      <c r="FMI27" s="204"/>
      <c r="FMJ27" s="204"/>
      <c r="FMK27" s="204"/>
      <c r="FML27" s="204"/>
      <c r="FMM27" s="204"/>
      <c r="FMN27" s="204"/>
      <c r="FMO27" s="204"/>
      <c r="FMP27" s="204"/>
      <c r="FMQ27" s="204"/>
      <c r="FMR27" s="204"/>
      <c r="FMS27" s="204"/>
      <c r="FMT27" s="204"/>
      <c r="FMU27" s="204"/>
      <c r="FMV27" s="204"/>
      <c r="FMW27" s="204"/>
      <c r="FMX27" s="204"/>
      <c r="FMY27" s="204"/>
      <c r="FMZ27" s="204"/>
      <c r="FNA27" s="204"/>
      <c r="FNB27" s="204"/>
      <c r="FNC27" s="204"/>
      <c r="FND27" s="204"/>
      <c r="FNE27" s="204"/>
      <c r="FNF27" s="204"/>
      <c r="FNG27" s="204"/>
      <c r="FNH27" s="204"/>
      <c r="FNI27" s="204"/>
      <c r="FNJ27" s="204"/>
      <c r="FNK27" s="204"/>
      <c r="FNL27" s="204"/>
      <c r="FNM27" s="204"/>
      <c r="FNN27" s="204"/>
      <c r="FNO27" s="204"/>
      <c r="FNP27" s="204"/>
      <c r="FNQ27" s="204"/>
      <c r="FNR27" s="204"/>
      <c r="FNS27" s="204"/>
      <c r="FNT27" s="204"/>
      <c r="FNU27" s="204"/>
      <c r="FNV27" s="204"/>
      <c r="FNW27" s="204"/>
      <c r="FNX27" s="204"/>
      <c r="FNY27" s="204"/>
      <c r="FNZ27" s="204"/>
      <c r="FOA27" s="204"/>
      <c r="FOB27" s="204"/>
      <c r="FOC27" s="204"/>
      <c r="FOD27" s="204"/>
      <c r="FOE27" s="204"/>
      <c r="FOF27" s="204"/>
      <c r="FOG27" s="204"/>
      <c r="FOH27" s="204"/>
      <c r="FOI27" s="204"/>
      <c r="FOJ27" s="204"/>
      <c r="FOK27" s="204"/>
      <c r="FOL27" s="204"/>
      <c r="FOM27" s="204"/>
      <c r="FON27" s="204"/>
      <c r="FOO27" s="204"/>
      <c r="FOP27" s="204"/>
      <c r="FOQ27" s="204"/>
      <c r="FOR27" s="204"/>
      <c r="FOS27" s="204"/>
      <c r="FOT27" s="204"/>
      <c r="FOU27" s="204"/>
      <c r="FOV27" s="204"/>
      <c r="FOW27" s="204"/>
      <c r="FOX27" s="204"/>
      <c r="FOY27" s="204"/>
      <c r="FOZ27" s="204"/>
      <c r="FPA27" s="204"/>
      <c r="FPB27" s="204"/>
      <c r="FPC27" s="204"/>
      <c r="FPD27" s="204"/>
      <c r="FPE27" s="204"/>
      <c r="FPF27" s="204"/>
      <c r="FPG27" s="204"/>
      <c r="FPH27" s="204"/>
      <c r="FPI27" s="204"/>
      <c r="FPJ27" s="204"/>
      <c r="FPK27" s="204"/>
      <c r="FPL27" s="204"/>
      <c r="FPM27" s="204"/>
      <c r="FPN27" s="204"/>
      <c r="FPO27" s="204"/>
      <c r="FPP27" s="204"/>
      <c r="FPQ27" s="204"/>
      <c r="FPR27" s="204"/>
      <c r="FPS27" s="204"/>
      <c r="FPT27" s="204"/>
      <c r="FPU27" s="204"/>
      <c r="FPV27" s="204"/>
      <c r="FPW27" s="204"/>
      <c r="FPX27" s="204"/>
      <c r="FPY27" s="204"/>
      <c r="FPZ27" s="204"/>
      <c r="FQA27" s="204"/>
      <c r="FQB27" s="204"/>
      <c r="FQC27" s="204"/>
      <c r="FQD27" s="204"/>
      <c r="FQE27" s="204"/>
      <c r="FQF27" s="204"/>
      <c r="FQG27" s="204"/>
      <c r="FQH27" s="204"/>
      <c r="FQI27" s="204"/>
      <c r="FQJ27" s="204"/>
      <c r="FQK27" s="204"/>
      <c r="FQL27" s="204"/>
      <c r="FQM27" s="204"/>
      <c r="FQN27" s="204"/>
      <c r="FQO27" s="204"/>
      <c r="FQP27" s="204"/>
      <c r="FQQ27" s="204"/>
      <c r="FQR27" s="204"/>
      <c r="FQS27" s="204"/>
      <c r="FQT27" s="204"/>
      <c r="FQU27" s="204"/>
      <c r="FQV27" s="204"/>
      <c r="FQW27" s="204"/>
      <c r="FQX27" s="204"/>
      <c r="FQY27" s="204"/>
      <c r="FQZ27" s="204"/>
      <c r="FRA27" s="204"/>
      <c r="FRB27" s="204"/>
      <c r="FRC27" s="204"/>
      <c r="FRD27" s="204"/>
      <c r="FRE27" s="204"/>
      <c r="FRF27" s="204"/>
      <c r="FRG27" s="204"/>
      <c r="FRH27" s="204"/>
      <c r="FRI27" s="204"/>
      <c r="FRJ27" s="204"/>
      <c r="FRK27" s="204"/>
      <c r="FRL27" s="204"/>
      <c r="FRM27" s="204"/>
      <c r="FRN27" s="204"/>
      <c r="FRO27" s="204"/>
      <c r="FRP27" s="204"/>
      <c r="FRQ27" s="204"/>
      <c r="FRR27" s="204"/>
      <c r="FRS27" s="204"/>
      <c r="FRT27" s="204"/>
      <c r="FRU27" s="204"/>
      <c r="FRV27" s="204"/>
      <c r="FRW27" s="204"/>
      <c r="FRX27" s="204"/>
      <c r="FRY27" s="204"/>
      <c r="FRZ27" s="204"/>
      <c r="FSA27" s="204"/>
      <c r="FSB27" s="204"/>
      <c r="FSC27" s="204"/>
      <c r="FSD27" s="204"/>
      <c r="FSE27" s="204"/>
      <c r="FSF27" s="204"/>
      <c r="FSG27" s="204"/>
      <c r="FSH27" s="204"/>
      <c r="FSI27" s="204"/>
      <c r="FSJ27" s="204"/>
      <c r="FSK27" s="204"/>
      <c r="FSL27" s="204"/>
      <c r="FSM27" s="204"/>
      <c r="FSN27" s="204"/>
      <c r="FSO27" s="204"/>
      <c r="FSP27" s="204"/>
      <c r="FSQ27" s="204"/>
      <c r="FSR27" s="204"/>
      <c r="FSS27" s="204"/>
      <c r="FST27" s="204"/>
      <c r="FSU27" s="204"/>
      <c r="FSV27" s="204"/>
      <c r="FSW27" s="204"/>
      <c r="FSX27" s="204"/>
      <c r="FSY27" s="204"/>
      <c r="FSZ27" s="204"/>
      <c r="FTA27" s="204"/>
      <c r="FTB27" s="204"/>
      <c r="FTC27" s="204"/>
      <c r="FTD27" s="204"/>
      <c r="FTE27" s="204"/>
      <c r="FTF27" s="204"/>
      <c r="FTG27" s="204"/>
      <c r="FTH27" s="204"/>
      <c r="FTI27" s="204"/>
      <c r="FTJ27" s="204"/>
      <c r="FTK27" s="204"/>
      <c r="FTL27" s="204"/>
      <c r="FTM27" s="204"/>
      <c r="FTN27" s="204"/>
      <c r="FTO27" s="204"/>
      <c r="FTP27" s="204"/>
      <c r="FTQ27" s="204"/>
      <c r="FTR27" s="204"/>
      <c r="FTS27" s="204"/>
      <c r="FTT27" s="204"/>
      <c r="FTU27" s="204"/>
      <c r="FTV27" s="204"/>
      <c r="FTW27" s="204"/>
      <c r="FTX27" s="204"/>
      <c r="FTY27" s="204"/>
      <c r="FTZ27" s="204"/>
      <c r="FUA27" s="204"/>
      <c r="FUB27" s="204"/>
      <c r="FUC27" s="204"/>
      <c r="FUD27" s="204"/>
      <c r="FUE27" s="204"/>
      <c r="FUF27" s="204"/>
      <c r="FUG27" s="204"/>
      <c r="FUH27" s="204"/>
      <c r="FUI27" s="204"/>
      <c r="FUJ27" s="204"/>
      <c r="FUK27" s="204"/>
      <c r="FUL27" s="204"/>
      <c r="FUM27" s="204"/>
      <c r="FUN27" s="204"/>
      <c r="FUO27" s="204"/>
      <c r="FUP27" s="204"/>
      <c r="FUQ27" s="204"/>
      <c r="FUR27" s="204"/>
      <c r="FUS27" s="204"/>
      <c r="FUT27" s="204"/>
      <c r="FUU27" s="204"/>
      <c r="FUV27" s="204"/>
      <c r="FUW27" s="204"/>
      <c r="FUX27" s="204"/>
      <c r="FUY27" s="204"/>
      <c r="FUZ27" s="204"/>
      <c r="FVA27" s="204"/>
      <c r="FVB27" s="204"/>
      <c r="FVC27" s="204"/>
      <c r="FVD27" s="204"/>
      <c r="FVE27" s="204"/>
      <c r="FVF27" s="204"/>
      <c r="FVG27" s="204"/>
      <c r="FVH27" s="204"/>
      <c r="FVI27" s="204"/>
      <c r="FVJ27" s="204"/>
      <c r="FVK27" s="204"/>
      <c r="FVL27" s="204"/>
      <c r="FVM27" s="204"/>
      <c r="FVN27" s="204"/>
      <c r="FVO27" s="204"/>
      <c r="FVP27" s="204"/>
      <c r="FVQ27" s="204"/>
      <c r="FVR27" s="204"/>
      <c r="FVS27" s="204"/>
      <c r="FVT27" s="204"/>
      <c r="FVU27" s="204"/>
      <c r="FVV27" s="204"/>
      <c r="FVW27" s="204"/>
      <c r="FVX27" s="204"/>
      <c r="FVY27" s="204"/>
      <c r="FVZ27" s="204"/>
      <c r="FWA27" s="204"/>
      <c r="FWB27" s="204"/>
      <c r="FWC27" s="204"/>
      <c r="FWD27" s="204"/>
      <c r="FWE27" s="204"/>
      <c r="FWF27" s="204"/>
      <c r="FWG27" s="204"/>
      <c r="FWH27" s="204"/>
      <c r="FWI27" s="204"/>
      <c r="FWJ27" s="204"/>
      <c r="FWK27" s="204"/>
      <c r="FWL27" s="204"/>
      <c r="FWM27" s="204"/>
      <c r="FWN27" s="204"/>
      <c r="FWO27" s="204"/>
      <c r="FWP27" s="204"/>
      <c r="FWQ27" s="204"/>
      <c r="FWR27" s="204"/>
      <c r="FWS27" s="204"/>
      <c r="FWT27" s="204"/>
      <c r="FWU27" s="204"/>
      <c r="FWV27" s="204"/>
      <c r="FWW27" s="204"/>
      <c r="FWX27" s="204"/>
      <c r="FWY27" s="204"/>
      <c r="FWZ27" s="204"/>
      <c r="FXA27" s="204"/>
      <c r="FXB27" s="204"/>
      <c r="FXC27" s="204"/>
      <c r="FXD27" s="204"/>
      <c r="FXE27" s="204"/>
      <c r="FXF27" s="204"/>
      <c r="FXG27" s="204"/>
      <c r="FXH27" s="204"/>
      <c r="FXI27" s="204"/>
      <c r="FXJ27" s="204"/>
      <c r="FXK27" s="204"/>
      <c r="FXL27" s="204"/>
      <c r="FXM27" s="204"/>
      <c r="FXN27" s="204"/>
      <c r="FXO27" s="204"/>
      <c r="FXP27" s="204"/>
      <c r="FXQ27" s="204"/>
      <c r="FXR27" s="204"/>
      <c r="FXS27" s="204"/>
      <c r="FXT27" s="204"/>
      <c r="FXU27" s="204"/>
      <c r="FXV27" s="204"/>
      <c r="FXW27" s="204"/>
      <c r="FXX27" s="204"/>
      <c r="FXY27" s="204"/>
      <c r="FXZ27" s="204"/>
      <c r="FYA27" s="204"/>
      <c r="FYB27" s="204"/>
      <c r="FYC27" s="204"/>
      <c r="FYD27" s="204"/>
      <c r="FYE27" s="204"/>
      <c r="FYF27" s="204"/>
      <c r="FYG27" s="204"/>
      <c r="FYH27" s="204"/>
      <c r="FYI27" s="204"/>
      <c r="FYJ27" s="204"/>
      <c r="FYK27" s="204"/>
      <c r="FYL27" s="204"/>
      <c r="FYM27" s="204"/>
      <c r="FYN27" s="204"/>
      <c r="FYO27" s="204"/>
      <c r="FYP27" s="204"/>
      <c r="FYQ27" s="204"/>
      <c r="FYR27" s="204"/>
      <c r="FYS27" s="204"/>
      <c r="FYT27" s="204"/>
      <c r="FYU27" s="204"/>
      <c r="FYV27" s="204"/>
      <c r="FYW27" s="204"/>
      <c r="FYX27" s="204"/>
      <c r="FYY27" s="204"/>
      <c r="FYZ27" s="204"/>
      <c r="FZA27" s="204"/>
      <c r="FZB27" s="204"/>
      <c r="FZC27" s="204"/>
      <c r="FZD27" s="204"/>
      <c r="FZE27" s="204"/>
      <c r="FZF27" s="204"/>
      <c r="FZG27" s="204"/>
      <c r="FZH27" s="204"/>
      <c r="FZI27" s="204"/>
      <c r="FZJ27" s="204"/>
      <c r="FZK27" s="204"/>
      <c r="FZL27" s="204"/>
      <c r="FZM27" s="204"/>
      <c r="FZN27" s="204"/>
      <c r="FZO27" s="204"/>
      <c r="FZP27" s="204"/>
      <c r="FZQ27" s="204"/>
      <c r="FZR27" s="204"/>
      <c r="FZS27" s="204"/>
      <c r="FZT27" s="204"/>
      <c r="FZU27" s="204"/>
      <c r="FZV27" s="204"/>
      <c r="FZW27" s="204"/>
      <c r="FZX27" s="204"/>
      <c r="FZY27" s="204"/>
      <c r="FZZ27" s="204"/>
      <c r="GAA27" s="204"/>
      <c r="GAB27" s="204"/>
      <c r="GAC27" s="204"/>
      <c r="GAD27" s="204"/>
      <c r="GAE27" s="204"/>
      <c r="GAF27" s="204"/>
      <c r="GAG27" s="204"/>
      <c r="GAH27" s="204"/>
      <c r="GAI27" s="204"/>
      <c r="GAJ27" s="204"/>
      <c r="GAK27" s="204"/>
      <c r="GAL27" s="204"/>
      <c r="GAM27" s="204"/>
      <c r="GAN27" s="204"/>
      <c r="GAO27" s="204"/>
      <c r="GAP27" s="204"/>
      <c r="GAQ27" s="204"/>
      <c r="GAR27" s="204"/>
      <c r="GAS27" s="204"/>
      <c r="GAT27" s="204"/>
      <c r="GAU27" s="204"/>
      <c r="GAV27" s="204"/>
      <c r="GAW27" s="204"/>
      <c r="GAX27" s="204"/>
      <c r="GAY27" s="204"/>
      <c r="GAZ27" s="204"/>
      <c r="GBA27" s="204"/>
      <c r="GBB27" s="204"/>
      <c r="GBC27" s="204"/>
      <c r="GBD27" s="204"/>
      <c r="GBE27" s="204"/>
      <c r="GBF27" s="204"/>
      <c r="GBG27" s="204"/>
      <c r="GBH27" s="204"/>
      <c r="GBI27" s="204"/>
      <c r="GBJ27" s="204"/>
      <c r="GBK27" s="204"/>
      <c r="GBL27" s="204"/>
      <c r="GBM27" s="204"/>
      <c r="GBN27" s="204"/>
      <c r="GBO27" s="204"/>
      <c r="GBP27" s="204"/>
      <c r="GBQ27" s="204"/>
      <c r="GBR27" s="204"/>
      <c r="GBS27" s="204"/>
      <c r="GBT27" s="204"/>
      <c r="GBU27" s="204"/>
      <c r="GBV27" s="204"/>
      <c r="GBW27" s="204"/>
      <c r="GBX27" s="204"/>
      <c r="GBY27" s="204"/>
      <c r="GBZ27" s="204"/>
      <c r="GCA27" s="204"/>
      <c r="GCB27" s="204"/>
      <c r="GCC27" s="204"/>
      <c r="GCD27" s="204"/>
      <c r="GCE27" s="204"/>
      <c r="GCF27" s="204"/>
      <c r="GCG27" s="204"/>
      <c r="GCH27" s="204"/>
      <c r="GCI27" s="204"/>
      <c r="GCJ27" s="204"/>
      <c r="GCK27" s="204"/>
      <c r="GCL27" s="204"/>
      <c r="GCM27" s="204"/>
      <c r="GCN27" s="204"/>
      <c r="GCO27" s="204"/>
      <c r="GCP27" s="204"/>
      <c r="GCQ27" s="204"/>
      <c r="GCR27" s="204"/>
      <c r="GCS27" s="204"/>
      <c r="GCT27" s="204"/>
      <c r="GCU27" s="204"/>
      <c r="GCV27" s="204"/>
      <c r="GCW27" s="204"/>
      <c r="GCX27" s="204"/>
      <c r="GCY27" s="204"/>
      <c r="GCZ27" s="204"/>
      <c r="GDA27" s="204"/>
      <c r="GDB27" s="204"/>
      <c r="GDC27" s="204"/>
      <c r="GDD27" s="204"/>
      <c r="GDE27" s="204"/>
      <c r="GDF27" s="204"/>
      <c r="GDG27" s="204"/>
      <c r="GDH27" s="204"/>
      <c r="GDI27" s="204"/>
      <c r="GDJ27" s="204"/>
      <c r="GDK27" s="204"/>
      <c r="GDL27" s="204"/>
      <c r="GDM27" s="204"/>
      <c r="GDN27" s="204"/>
      <c r="GDO27" s="204"/>
      <c r="GDP27" s="204"/>
      <c r="GDQ27" s="204"/>
      <c r="GDR27" s="204"/>
      <c r="GDS27" s="204"/>
      <c r="GDT27" s="204"/>
      <c r="GDU27" s="204"/>
      <c r="GDV27" s="204"/>
      <c r="GDW27" s="204"/>
      <c r="GDX27" s="204"/>
      <c r="GDY27" s="204"/>
      <c r="GDZ27" s="204"/>
      <c r="GEA27" s="204"/>
      <c r="GEB27" s="204"/>
      <c r="GEC27" s="204"/>
      <c r="GED27" s="204"/>
      <c r="GEE27" s="204"/>
      <c r="GEF27" s="204"/>
      <c r="GEG27" s="204"/>
      <c r="GEH27" s="204"/>
      <c r="GEI27" s="204"/>
      <c r="GEJ27" s="204"/>
      <c r="GEK27" s="204"/>
      <c r="GEL27" s="204"/>
      <c r="GEM27" s="204"/>
      <c r="GEN27" s="204"/>
      <c r="GEO27" s="204"/>
      <c r="GEP27" s="204"/>
      <c r="GEQ27" s="204"/>
      <c r="GER27" s="204"/>
      <c r="GES27" s="204"/>
      <c r="GET27" s="204"/>
      <c r="GEU27" s="204"/>
      <c r="GEV27" s="204"/>
      <c r="GEW27" s="204"/>
      <c r="GEX27" s="204"/>
      <c r="GEY27" s="204"/>
      <c r="GEZ27" s="204"/>
      <c r="GFA27" s="204"/>
      <c r="GFB27" s="204"/>
      <c r="GFC27" s="204"/>
      <c r="GFD27" s="204"/>
      <c r="GFE27" s="204"/>
      <c r="GFF27" s="204"/>
      <c r="GFG27" s="204"/>
      <c r="GFH27" s="204"/>
      <c r="GFI27" s="204"/>
      <c r="GFJ27" s="204"/>
      <c r="GFK27" s="204"/>
      <c r="GFL27" s="204"/>
      <c r="GFM27" s="204"/>
      <c r="GFN27" s="204"/>
      <c r="GFO27" s="204"/>
      <c r="GFP27" s="204"/>
      <c r="GFQ27" s="204"/>
      <c r="GFR27" s="204"/>
      <c r="GFS27" s="204"/>
      <c r="GFT27" s="204"/>
      <c r="GFU27" s="204"/>
      <c r="GFV27" s="204"/>
      <c r="GFW27" s="204"/>
      <c r="GFX27" s="204"/>
      <c r="GFY27" s="204"/>
      <c r="GFZ27" s="204"/>
      <c r="GGA27" s="204"/>
      <c r="GGB27" s="204"/>
      <c r="GGC27" s="204"/>
      <c r="GGD27" s="204"/>
      <c r="GGE27" s="204"/>
      <c r="GGF27" s="204"/>
      <c r="GGG27" s="204"/>
      <c r="GGH27" s="204"/>
      <c r="GGI27" s="204"/>
      <c r="GGJ27" s="204"/>
      <c r="GGK27" s="204"/>
      <c r="GGL27" s="204"/>
      <c r="GGM27" s="204"/>
      <c r="GGN27" s="204"/>
      <c r="GGO27" s="204"/>
      <c r="GGP27" s="204"/>
      <c r="GGQ27" s="204"/>
      <c r="GGR27" s="204"/>
      <c r="GGS27" s="204"/>
      <c r="GGT27" s="204"/>
      <c r="GGU27" s="204"/>
      <c r="GGV27" s="204"/>
      <c r="GGW27" s="204"/>
      <c r="GGX27" s="204"/>
      <c r="GGY27" s="204"/>
      <c r="GGZ27" s="204"/>
      <c r="GHA27" s="204"/>
      <c r="GHB27" s="204"/>
      <c r="GHC27" s="204"/>
      <c r="GHD27" s="204"/>
      <c r="GHE27" s="204"/>
      <c r="GHF27" s="204"/>
      <c r="GHG27" s="204"/>
      <c r="GHH27" s="204"/>
      <c r="GHI27" s="204"/>
      <c r="GHJ27" s="204"/>
      <c r="GHK27" s="204"/>
      <c r="GHL27" s="204"/>
      <c r="GHM27" s="204"/>
      <c r="GHN27" s="204"/>
      <c r="GHO27" s="204"/>
      <c r="GHP27" s="204"/>
      <c r="GHQ27" s="204"/>
      <c r="GHR27" s="204"/>
      <c r="GHS27" s="204"/>
      <c r="GHT27" s="204"/>
      <c r="GHU27" s="204"/>
      <c r="GHV27" s="204"/>
      <c r="GHW27" s="204"/>
      <c r="GHX27" s="204"/>
      <c r="GHY27" s="204"/>
      <c r="GHZ27" s="204"/>
      <c r="GIA27" s="204"/>
      <c r="GIB27" s="204"/>
      <c r="GIC27" s="204"/>
      <c r="GID27" s="204"/>
      <c r="GIE27" s="204"/>
      <c r="GIF27" s="204"/>
      <c r="GIG27" s="204"/>
      <c r="GIH27" s="204"/>
      <c r="GII27" s="204"/>
      <c r="GIJ27" s="204"/>
      <c r="GIK27" s="204"/>
      <c r="GIL27" s="204"/>
      <c r="GIM27" s="204"/>
      <c r="GIN27" s="204"/>
      <c r="GIO27" s="204"/>
      <c r="GIP27" s="204"/>
      <c r="GIQ27" s="204"/>
      <c r="GIR27" s="204"/>
      <c r="GIS27" s="204"/>
      <c r="GIT27" s="204"/>
      <c r="GIU27" s="204"/>
      <c r="GIV27" s="204"/>
      <c r="GIW27" s="204"/>
      <c r="GIX27" s="204"/>
      <c r="GIY27" s="204"/>
      <c r="GIZ27" s="204"/>
      <c r="GJA27" s="204"/>
      <c r="GJB27" s="204"/>
      <c r="GJC27" s="204"/>
      <c r="GJD27" s="204"/>
      <c r="GJE27" s="204"/>
      <c r="GJF27" s="204"/>
      <c r="GJG27" s="204"/>
      <c r="GJH27" s="204"/>
      <c r="GJI27" s="204"/>
      <c r="GJJ27" s="204"/>
      <c r="GJK27" s="204"/>
      <c r="GJL27" s="204"/>
      <c r="GJM27" s="204"/>
      <c r="GJN27" s="204"/>
      <c r="GJO27" s="204"/>
      <c r="GJP27" s="204"/>
      <c r="GJQ27" s="204"/>
      <c r="GJR27" s="204"/>
      <c r="GJS27" s="204"/>
      <c r="GJT27" s="204"/>
      <c r="GJU27" s="204"/>
      <c r="GJV27" s="204"/>
      <c r="GJW27" s="204"/>
      <c r="GJX27" s="204"/>
      <c r="GJY27" s="204"/>
      <c r="GJZ27" s="204"/>
      <c r="GKA27" s="204"/>
      <c r="GKB27" s="204"/>
      <c r="GKC27" s="204"/>
      <c r="GKD27" s="204"/>
      <c r="GKE27" s="204"/>
      <c r="GKF27" s="204"/>
      <c r="GKG27" s="204"/>
      <c r="GKH27" s="204"/>
      <c r="GKI27" s="204"/>
      <c r="GKJ27" s="204"/>
      <c r="GKK27" s="204"/>
      <c r="GKL27" s="204"/>
      <c r="GKM27" s="204"/>
      <c r="GKN27" s="204"/>
      <c r="GKO27" s="204"/>
      <c r="GKP27" s="204"/>
      <c r="GKQ27" s="204"/>
      <c r="GKR27" s="204"/>
      <c r="GKS27" s="204"/>
      <c r="GKT27" s="204"/>
      <c r="GKU27" s="204"/>
      <c r="GKV27" s="204"/>
      <c r="GKW27" s="204"/>
      <c r="GKX27" s="204"/>
      <c r="GKY27" s="204"/>
      <c r="GKZ27" s="204"/>
      <c r="GLA27" s="204"/>
      <c r="GLB27" s="204"/>
      <c r="GLC27" s="204"/>
      <c r="GLD27" s="204"/>
      <c r="GLE27" s="204"/>
      <c r="GLF27" s="204"/>
      <c r="GLG27" s="204"/>
      <c r="GLH27" s="204"/>
      <c r="GLI27" s="204"/>
      <c r="GLJ27" s="204"/>
      <c r="GLK27" s="204"/>
      <c r="GLL27" s="204"/>
      <c r="GLM27" s="204"/>
      <c r="GLN27" s="204"/>
      <c r="GLO27" s="204"/>
      <c r="GLP27" s="204"/>
      <c r="GLQ27" s="204"/>
      <c r="GLR27" s="204"/>
      <c r="GLS27" s="204"/>
      <c r="GLT27" s="204"/>
      <c r="GLU27" s="204"/>
      <c r="GLV27" s="204"/>
      <c r="GLW27" s="204"/>
      <c r="GLX27" s="204"/>
      <c r="GLY27" s="204"/>
      <c r="GLZ27" s="204"/>
      <c r="GMA27" s="204"/>
      <c r="GMB27" s="204"/>
      <c r="GMC27" s="204"/>
      <c r="GMD27" s="204"/>
      <c r="GME27" s="204"/>
      <c r="GMF27" s="204"/>
      <c r="GMG27" s="204"/>
      <c r="GMH27" s="204"/>
      <c r="GMI27" s="204"/>
      <c r="GMJ27" s="204"/>
      <c r="GMK27" s="204"/>
      <c r="GML27" s="204"/>
      <c r="GMM27" s="204"/>
      <c r="GMN27" s="204"/>
      <c r="GMO27" s="204"/>
      <c r="GMP27" s="204"/>
      <c r="GMQ27" s="204"/>
      <c r="GMR27" s="204"/>
      <c r="GMS27" s="204"/>
      <c r="GMT27" s="204"/>
      <c r="GMU27" s="204"/>
      <c r="GMV27" s="204"/>
      <c r="GMW27" s="204"/>
      <c r="GMX27" s="204"/>
      <c r="GMY27" s="204"/>
      <c r="GMZ27" s="204"/>
      <c r="GNA27" s="204"/>
      <c r="GNB27" s="204"/>
      <c r="GNC27" s="204"/>
      <c r="GND27" s="204"/>
      <c r="GNE27" s="204"/>
      <c r="GNF27" s="204"/>
      <c r="GNG27" s="204"/>
      <c r="GNH27" s="204"/>
      <c r="GNI27" s="204"/>
      <c r="GNJ27" s="204"/>
      <c r="GNK27" s="204"/>
      <c r="GNL27" s="204"/>
      <c r="GNM27" s="204"/>
      <c r="GNN27" s="204"/>
      <c r="GNO27" s="204"/>
      <c r="GNP27" s="204"/>
      <c r="GNQ27" s="204"/>
      <c r="GNR27" s="204"/>
      <c r="GNS27" s="204"/>
      <c r="GNT27" s="204"/>
      <c r="GNU27" s="204"/>
      <c r="GNV27" s="204"/>
      <c r="GNW27" s="204"/>
      <c r="GNX27" s="204"/>
      <c r="GNY27" s="204"/>
      <c r="GNZ27" s="204"/>
      <c r="GOA27" s="204"/>
      <c r="GOB27" s="204"/>
      <c r="GOC27" s="204"/>
      <c r="GOD27" s="204"/>
      <c r="GOE27" s="204"/>
      <c r="GOF27" s="204"/>
      <c r="GOG27" s="204"/>
      <c r="GOH27" s="204"/>
      <c r="GOI27" s="204"/>
      <c r="GOJ27" s="204"/>
      <c r="GOK27" s="204"/>
      <c r="GOL27" s="204"/>
      <c r="GOM27" s="204"/>
      <c r="GON27" s="204"/>
      <c r="GOO27" s="204"/>
      <c r="GOP27" s="204"/>
      <c r="GOQ27" s="204"/>
      <c r="GOR27" s="204"/>
      <c r="GOS27" s="204"/>
      <c r="GOT27" s="204"/>
      <c r="GOU27" s="204"/>
      <c r="GOV27" s="204"/>
      <c r="GOW27" s="204"/>
      <c r="GOX27" s="204"/>
      <c r="GOY27" s="204"/>
      <c r="GOZ27" s="204"/>
      <c r="GPA27" s="204"/>
      <c r="GPB27" s="204"/>
      <c r="GPC27" s="204"/>
      <c r="GPD27" s="204"/>
      <c r="GPE27" s="204"/>
      <c r="GPF27" s="204"/>
      <c r="GPG27" s="204"/>
      <c r="GPH27" s="204"/>
      <c r="GPI27" s="204"/>
      <c r="GPJ27" s="204"/>
      <c r="GPK27" s="204"/>
      <c r="GPL27" s="204"/>
      <c r="GPM27" s="204"/>
      <c r="GPN27" s="204"/>
      <c r="GPO27" s="204"/>
      <c r="GPP27" s="204"/>
      <c r="GPQ27" s="204"/>
      <c r="GPR27" s="204"/>
      <c r="GPS27" s="204"/>
      <c r="GPT27" s="204"/>
      <c r="GPU27" s="204"/>
      <c r="GPV27" s="204"/>
      <c r="GPW27" s="204"/>
      <c r="GPX27" s="204"/>
      <c r="GPY27" s="204"/>
      <c r="GPZ27" s="204"/>
      <c r="GQA27" s="204"/>
      <c r="GQB27" s="204"/>
      <c r="GQC27" s="204"/>
      <c r="GQD27" s="204"/>
      <c r="GQE27" s="204"/>
      <c r="GQF27" s="204"/>
      <c r="GQG27" s="204"/>
      <c r="GQH27" s="204"/>
      <c r="GQI27" s="204"/>
      <c r="GQJ27" s="204"/>
      <c r="GQK27" s="204"/>
      <c r="GQL27" s="204"/>
      <c r="GQM27" s="204"/>
      <c r="GQN27" s="204"/>
      <c r="GQO27" s="204"/>
      <c r="GQP27" s="204"/>
      <c r="GQQ27" s="204"/>
      <c r="GQR27" s="204"/>
      <c r="GQS27" s="204"/>
      <c r="GQT27" s="204"/>
      <c r="GQU27" s="204"/>
      <c r="GQV27" s="204"/>
      <c r="GQW27" s="204"/>
      <c r="GQX27" s="204"/>
      <c r="GQY27" s="204"/>
      <c r="GQZ27" s="204"/>
      <c r="GRA27" s="204"/>
      <c r="GRB27" s="204"/>
      <c r="GRC27" s="204"/>
      <c r="GRD27" s="204"/>
      <c r="GRE27" s="204"/>
      <c r="GRF27" s="204"/>
      <c r="GRG27" s="204"/>
      <c r="GRH27" s="204"/>
      <c r="GRI27" s="204"/>
      <c r="GRJ27" s="204"/>
      <c r="GRK27" s="204"/>
      <c r="GRL27" s="204"/>
      <c r="GRM27" s="204"/>
      <c r="GRN27" s="204"/>
      <c r="GRO27" s="204"/>
      <c r="GRP27" s="204"/>
      <c r="GRQ27" s="204"/>
      <c r="GRR27" s="204"/>
      <c r="GRS27" s="204"/>
      <c r="GRT27" s="204"/>
      <c r="GRU27" s="204"/>
      <c r="GRV27" s="204"/>
      <c r="GRW27" s="204"/>
      <c r="GRX27" s="204"/>
      <c r="GRY27" s="204"/>
      <c r="GRZ27" s="204"/>
      <c r="GSA27" s="204"/>
      <c r="GSB27" s="204"/>
      <c r="GSC27" s="204"/>
      <c r="GSD27" s="204"/>
      <c r="GSE27" s="204"/>
      <c r="GSF27" s="204"/>
      <c r="GSG27" s="204"/>
      <c r="GSH27" s="204"/>
      <c r="GSI27" s="204"/>
      <c r="GSJ27" s="204"/>
      <c r="GSK27" s="204"/>
      <c r="GSL27" s="204"/>
      <c r="GSM27" s="204"/>
      <c r="GSN27" s="204"/>
      <c r="GSO27" s="204"/>
      <c r="GSP27" s="204"/>
      <c r="GSQ27" s="204"/>
      <c r="GSR27" s="204"/>
      <c r="GSS27" s="204"/>
      <c r="GST27" s="204"/>
      <c r="GSU27" s="204"/>
      <c r="GSV27" s="204"/>
      <c r="GSW27" s="204"/>
      <c r="GSX27" s="204"/>
      <c r="GSY27" s="204"/>
      <c r="GSZ27" s="204"/>
      <c r="GTA27" s="204"/>
      <c r="GTB27" s="204"/>
      <c r="GTC27" s="204"/>
      <c r="GTD27" s="204"/>
      <c r="GTE27" s="204"/>
      <c r="GTF27" s="204"/>
      <c r="GTG27" s="204"/>
      <c r="GTH27" s="204"/>
      <c r="GTI27" s="204"/>
      <c r="GTJ27" s="204"/>
      <c r="GTK27" s="204"/>
      <c r="GTL27" s="204"/>
      <c r="GTM27" s="204"/>
      <c r="GTN27" s="204"/>
      <c r="GTO27" s="204"/>
      <c r="GTP27" s="204"/>
      <c r="GTQ27" s="204"/>
      <c r="GTR27" s="204"/>
      <c r="GTS27" s="204"/>
      <c r="GTT27" s="204"/>
      <c r="GTU27" s="204"/>
      <c r="GTV27" s="204"/>
      <c r="GTW27" s="204"/>
      <c r="GTX27" s="204"/>
      <c r="GTY27" s="204"/>
      <c r="GTZ27" s="204"/>
      <c r="GUA27" s="204"/>
      <c r="GUB27" s="204"/>
      <c r="GUC27" s="204"/>
      <c r="GUD27" s="204"/>
      <c r="GUE27" s="204"/>
      <c r="GUF27" s="204"/>
      <c r="GUG27" s="204"/>
      <c r="GUH27" s="204"/>
      <c r="GUI27" s="204"/>
      <c r="GUJ27" s="204"/>
      <c r="GUK27" s="204"/>
      <c r="GUL27" s="204"/>
      <c r="GUM27" s="204"/>
      <c r="GUN27" s="204"/>
      <c r="GUO27" s="204"/>
      <c r="GUP27" s="204"/>
      <c r="GUQ27" s="204"/>
      <c r="GUR27" s="204"/>
      <c r="GUS27" s="204"/>
      <c r="GUT27" s="204"/>
      <c r="GUU27" s="204"/>
      <c r="GUV27" s="204"/>
      <c r="GUW27" s="204"/>
      <c r="GUX27" s="204"/>
      <c r="GUY27" s="204"/>
      <c r="GUZ27" s="204"/>
      <c r="GVA27" s="204"/>
      <c r="GVB27" s="204"/>
      <c r="GVC27" s="204"/>
      <c r="GVD27" s="204"/>
      <c r="GVE27" s="204"/>
      <c r="GVF27" s="204"/>
      <c r="GVG27" s="204"/>
      <c r="GVH27" s="204"/>
      <c r="GVI27" s="204"/>
      <c r="GVJ27" s="204"/>
      <c r="GVK27" s="204"/>
      <c r="GVL27" s="204"/>
      <c r="GVM27" s="204"/>
      <c r="GVN27" s="204"/>
      <c r="GVO27" s="204"/>
      <c r="GVP27" s="204"/>
      <c r="GVQ27" s="204"/>
      <c r="GVR27" s="204"/>
      <c r="GVS27" s="204"/>
      <c r="GVT27" s="204"/>
      <c r="GVU27" s="204"/>
      <c r="GVV27" s="204"/>
      <c r="GVW27" s="204"/>
      <c r="GVX27" s="204"/>
      <c r="GVY27" s="204"/>
      <c r="GVZ27" s="204"/>
      <c r="GWA27" s="204"/>
      <c r="GWB27" s="204"/>
      <c r="GWC27" s="204"/>
      <c r="GWD27" s="204"/>
      <c r="GWE27" s="204"/>
      <c r="GWF27" s="204"/>
      <c r="GWG27" s="204"/>
      <c r="GWH27" s="204"/>
      <c r="GWI27" s="204"/>
      <c r="GWJ27" s="204"/>
      <c r="GWK27" s="204"/>
      <c r="GWL27" s="204"/>
      <c r="GWM27" s="204"/>
      <c r="GWN27" s="204"/>
      <c r="GWO27" s="204"/>
      <c r="GWP27" s="204"/>
      <c r="GWQ27" s="204"/>
      <c r="GWR27" s="204"/>
      <c r="GWS27" s="204"/>
      <c r="GWT27" s="204"/>
      <c r="GWU27" s="204"/>
      <c r="GWV27" s="204"/>
      <c r="GWW27" s="204"/>
      <c r="GWX27" s="204"/>
      <c r="GWY27" s="204"/>
      <c r="GWZ27" s="204"/>
      <c r="GXA27" s="204"/>
      <c r="GXB27" s="204"/>
      <c r="GXC27" s="204"/>
      <c r="GXD27" s="204"/>
      <c r="GXE27" s="204"/>
      <c r="GXF27" s="204"/>
      <c r="GXG27" s="204"/>
      <c r="GXH27" s="204"/>
      <c r="GXI27" s="204"/>
      <c r="GXJ27" s="204"/>
      <c r="GXK27" s="204"/>
      <c r="GXL27" s="204"/>
      <c r="GXM27" s="204"/>
      <c r="GXN27" s="204"/>
      <c r="GXO27" s="204"/>
      <c r="GXP27" s="204"/>
      <c r="GXQ27" s="204"/>
      <c r="GXR27" s="204"/>
      <c r="GXS27" s="204"/>
      <c r="GXT27" s="204"/>
      <c r="GXU27" s="204"/>
      <c r="GXV27" s="204"/>
      <c r="GXW27" s="204"/>
      <c r="GXX27" s="204"/>
      <c r="GXY27" s="204"/>
      <c r="GXZ27" s="204"/>
      <c r="GYA27" s="204"/>
      <c r="GYB27" s="204"/>
      <c r="GYC27" s="204"/>
      <c r="GYD27" s="204"/>
      <c r="GYE27" s="204"/>
      <c r="GYF27" s="204"/>
      <c r="GYG27" s="204"/>
      <c r="GYH27" s="204"/>
      <c r="GYI27" s="204"/>
      <c r="GYJ27" s="204"/>
      <c r="GYK27" s="204"/>
      <c r="GYL27" s="204"/>
      <c r="GYM27" s="204"/>
      <c r="GYN27" s="204"/>
      <c r="GYO27" s="204"/>
      <c r="GYP27" s="204"/>
      <c r="GYQ27" s="204"/>
      <c r="GYR27" s="204"/>
      <c r="GYS27" s="204"/>
      <c r="GYT27" s="204"/>
      <c r="GYU27" s="204"/>
      <c r="GYV27" s="204"/>
      <c r="GYW27" s="204"/>
      <c r="GYX27" s="204"/>
      <c r="GYY27" s="204"/>
      <c r="GYZ27" s="204"/>
      <c r="GZA27" s="204"/>
      <c r="GZB27" s="204"/>
      <c r="GZC27" s="204"/>
      <c r="GZD27" s="204"/>
      <c r="GZE27" s="204"/>
      <c r="GZF27" s="204"/>
      <c r="GZG27" s="204"/>
      <c r="GZH27" s="204"/>
      <c r="GZI27" s="204"/>
      <c r="GZJ27" s="204"/>
      <c r="GZK27" s="204"/>
      <c r="GZL27" s="204"/>
      <c r="GZM27" s="204"/>
      <c r="GZN27" s="204"/>
      <c r="GZO27" s="204"/>
      <c r="GZP27" s="204"/>
      <c r="GZQ27" s="204"/>
      <c r="GZR27" s="204"/>
      <c r="GZS27" s="204"/>
      <c r="GZT27" s="204"/>
      <c r="GZU27" s="204"/>
      <c r="GZV27" s="204"/>
      <c r="GZW27" s="204"/>
      <c r="GZX27" s="204"/>
      <c r="GZY27" s="204"/>
      <c r="GZZ27" s="204"/>
      <c r="HAA27" s="204"/>
      <c r="HAB27" s="204"/>
      <c r="HAC27" s="204"/>
      <c r="HAD27" s="204"/>
      <c r="HAE27" s="204"/>
      <c r="HAF27" s="204"/>
      <c r="HAG27" s="204"/>
      <c r="HAH27" s="204"/>
      <c r="HAI27" s="204"/>
      <c r="HAJ27" s="204"/>
      <c r="HAK27" s="204"/>
      <c r="HAL27" s="204"/>
      <c r="HAM27" s="204"/>
      <c r="HAN27" s="204"/>
      <c r="HAO27" s="204"/>
      <c r="HAP27" s="204"/>
      <c r="HAQ27" s="204"/>
      <c r="HAR27" s="204"/>
      <c r="HAS27" s="204"/>
      <c r="HAT27" s="204"/>
      <c r="HAU27" s="204"/>
      <c r="HAV27" s="204"/>
      <c r="HAW27" s="204"/>
      <c r="HAX27" s="204"/>
      <c r="HAY27" s="204"/>
      <c r="HAZ27" s="204"/>
      <c r="HBA27" s="204"/>
      <c r="HBB27" s="204"/>
      <c r="HBC27" s="204"/>
      <c r="HBD27" s="204"/>
      <c r="HBE27" s="204"/>
      <c r="HBF27" s="204"/>
      <c r="HBG27" s="204"/>
      <c r="HBH27" s="204"/>
      <c r="HBI27" s="204"/>
      <c r="HBJ27" s="204"/>
      <c r="HBK27" s="204"/>
      <c r="HBL27" s="204"/>
      <c r="HBM27" s="204"/>
      <c r="HBN27" s="204"/>
      <c r="HBO27" s="204"/>
      <c r="HBP27" s="204"/>
      <c r="HBQ27" s="204"/>
      <c r="HBR27" s="204"/>
      <c r="HBS27" s="204"/>
      <c r="HBT27" s="204"/>
      <c r="HBU27" s="204"/>
      <c r="HBV27" s="204"/>
      <c r="HBW27" s="204"/>
      <c r="HBX27" s="204"/>
      <c r="HBY27" s="204"/>
      <c r="HBZ27" s="204"/>
      <c r="HCA27" s="204"/>
      <c r="HCB27" s="204"/>
      <c r="HCC27" s="204"/>
      <c r="HCD27" s="204"/>
      <c r="HCE27" s="204"/>
      <c r="HCF27" s="204"/>
      <c r="HCG27" s="204"/>
      <c r="HCH27" s="204"/>
      <c r="HCI27" s="204"/>
      <c r="HCJ27" s="204"/>
      <c r="HCK27" s="204"/>
      <c r="HCL27" s="204"/>
      <c r="HCM27" s="204"/>
      <c r="HCN27" s="204"/>
      <c r="HCO27" s="204"/>
      <c r="HCP27" s="204"/>
      <c r="HCQ27" s="204"/>
      <c r="HCR27" s="204"/>
      <c r="HCS27" s="204"/>
      <c r="HCT27" s="204"/>
      <c r="HCU27" s="204"/>
      <c r="HCV27" s="204"/>
      <c r="HCW27" s="204"/>
      <c r="HCX27" s="204"/>
      <c r="HCY27" s="204"/>
      <c r="HCZ27" s="204"/>
      <c r="HDA27" s="204"/>
      <c r="HDB27" s="204"/>
      <c r="HDC27" s="204"/>
      <c r="HDD27" s="204"/>
      <c r="HDE27" s="204"/>
      <c r="HDF27" s="204"/>
      <c r="HDG27" s="204"/>
      <c r="HDH27" s="204"/>
      <c r="HDI27" s="204"/>
      <c r="HDJ27" s="204"/>
      <c r="HDK27" s="204"/>
      <c r="HDL27" s="204"/>
      <c r="HDM27" s="204"/>
      <c r="HDN27" s="204"/>
      <c r="HDO27" s="204"/>
      <c r="HDP27" s="204"/>
      <c r="HDQ27" s="204"/>
      <c r="HDR27" s="204"/>
      <c r="HDS27" s="204"/>
      <c r="HDT27" s="204"/>
      <c r="HDU27" s="204"/>
      <c r="HDV27" s="204"/>
      <c r="HDW27" s="204"/>
      <c r="HDX27" s="204"/>
      <c r="HDY27" s="204"/>
      <c r="HDZ27" s="204"/>
      <c r="HEA27" s="204"/>
      <c r="HEB27" s="204"/>
      <c r="HEC27" s="204"/>
      <c r="HED27" s="204"/>
      <c r="HEE27" s="204"/>
      <c r="HEF27" s="204"/>
      <c r="HEG27" s="204"/>
      <c r="HEH27" s="204"/>
      <c r="HEI27" s="204"/>
      <c r="HEJ27" s="204"/>
      <c r="HEK27" s="204"/>
      <c r="HEL27" s="204"/>
      <c r="HEM27" s="204"/>
      <c r="HEN27" s="204"/>
      <c r="HEO27" s="204"/>
      <c r="HEP27" s="204"/>
      <c r="HEQ27" s="204"/>
      <c r="HER27" s="204"/>
      <c r="HES27" s="204"/>
      <c r="HET27" s="204"/>
      <c r="HEU27" s="204"/>
      <c r="HEV27" s="204"/>
      <c r="HEW27" s="204"/>
      <c r="HEX27" s="204"/>
      <c r="HEY27" s="204"/>
      <c r="HEZ27" s="204"/>
      <c r="HFA27" s="204"/>
      <c r="HFB27" s="204"/>
      <c r="HFC27" s="204"/>
      <c r="HFD27" s="204"/>
      <c r="HFE27" s="204"/>
      <c r="HFF27" s="204"/>
      <c r="HFG27" s="204"/>
      <c r="HFH27" s="204"/>
      <c r="HFI27" s="204"/>
      <c r="HFJ27" s="204"/>
      <c r="HFK27" s="204"/>
      <c r="HFL27" s="204"/>
      <c r="HFM27" s="204"/>
      <c r="HFN27" s="204"/>
      <c r="HFO27" s="204"/>
      <c r="HFP27" s="204"/>
      <c r="HFQ27" s="204"/>
      <c r="HFR27" s="204"/>
      <c r="HFS27" s="204"/>
      <c r="HFT27" s="204"/>
      <c r="HFU27" s="204"/>
      <c r="HFV27" s="204"/>
      <c r="HFW27" s="204"/>
      <c r="HFX27" s="204"/>
      <c r="HFY27" s="204"/>
      <c r="HFZ27" s="204"/>
      <c r="HGA27" s="204"/>
      <c r="HGB27" s="204"/>
      <c r="HGC27" s="204"/>
      <c r="HGD27" s="204"/>
      <c r="HGE27" s="204"/>
      <c r="HGF27" s="204"/>
      <c r="HGG27" s="204"/>
      <c r="HGH27" s="204"/>
      <c r="HGI27" s="204"/>
      <c r="HGJ27" s="204"/>
      <c r="HGK27" s="204"/>
      <c r="HGL27" s="204"/>
      <c r="HGM27" s="204"/>
      <c r="HGN27" s="204"/>
      <c r="HGO27" s="204"/>
      <c r="HGP27" s="204"/>
      <c r="HGQ27" s="204"/>
      <c r="HGR27" s="204"/>
      <c r="HGS27" s="204"/>
      <c r="HGT27" s="204"/>
      <c r="HGU27" s="204"/>
      <c r="HGV27" s="204"/>
      <c r="HGW27" s="204"/>
      <c r="HGX27" s="204"/>
      <c r="HGY27" s="204"/>
      <c r="HGZ27" s="204"/>
      <c r="HHA27" s="204"/>
      <c r="HHB27" s="204"/>
      <c r="HHC27" s="204"/>
      <c r="HHD27" s="204"/>
      <c r="HHE27" s="204"/>
      <c r="HHF27" s="204"/>
      <c r="HHG27" s="204"/>
      <c r="HHH27" s="204"/>
      <c r="HHI27" s="204"/>
      <c r="HHJ27" s="204"/>
      <c r="HHK27" s="204"/>
      <c r="HHL27" s="204"/>
      <c r="HHM27" s="204"/>
      <c r="HHN27" s="204"/>
      <c r="HHO27" s="204"/>
      <c r="HHP27" s="204"/>
      <c r="HHQ27" s="204"/>
      <c r="HHR27" s="204"/>
      <c r="HHS27" s="204"/>
      <c r="HHT27" s="204"/>
      <c r="HHU27" s="204"/>
      <c r="HHV27" s="204"/>
      <c r="HHW27" s="204"/>
      <c r="HHX27" s="204"/>
      <c r="HHY27" s="204"/>
      <c r="HHZ27" s="204"/>
      <c r="HIA27" s="204"/>
      <c r="HIB27" s="204"/>
      <c r="HIC27" s="204"/>
      <c r="HID27" s="204"/>
      <c r="HIE27" s="204"/>
      <c r="HIF27" s="204"/>
      <c r="HIG27" s="204"/>
      <c r="HIH27" s="204"/>
      <c r="HII27" s="204"/>
      <c r="HIJ27" s="204"/>
      <c r="HIK27" s="204"/>
      <c r="HIL27" s="204"/>
      <c r="HIM27" s="204"/>
      <c r="HIN27" s="204"/>
      <c r="HIO27" s="204"/>
      <c r="HIP27" s="204"/>
      <c r="HIQ27" s="204"/>
      <c r="HIR27" s="204"/>
      <c r="HIS27" s="204"/>
      <c r="HIT27" s="204"/>
      <c r="HIU27" s="204"/>
      <c r="HIV27" s="204"/>
      <c r="HIW27" s="204"/>
      <c r="HIX27" s="204"/>
      <c r="HIY27" s="204"/>
      <c r="HIZ27" s="204"/>
      <c r="HJA27" s="204"/>
      <c r="HJB27" s="204"/>
      <c r="HJC27" s="204"/>
      <c r="HJD27" s="204"/>
      <c r="HJE27" s="204"/>
      <c r="HJF27" s="204"/>
      <c r="HJG27" s="204"/>
      <c r="HJH27" s="204"/>
      <c r="HJI27" s="204"/>
      <c r="HJJ27" s="204"/>
      <c r="HJK27" s="204"/>
      <c r="HJL27" s="204"/>
      <c r="HJM27" s="204"/>
      <c r="HJN27" s="204"/>
      <c r="HJO27" s="204"/>
      <c r="HJP27" s="204"/>
      <c r="HJQ27" s="204"/>
      <c r="HJR27" s="204"/>
      <c r="HJS27" s="204"/>
      <c r="HJT27" s="204"/>
      <c r="HJU27" s="204"/>
      <c r="HJV27" s="204"/>
      <c r="HJW27" s="204"/>
      <c r="HJX27" s="204"/>
      <c r="HJY27" s="204"/>
      <c r="HJZ27" s="204"/>
      <c r="HKA27" s="204"/>
      <c r="HKB27" s="204"/>
      <c r="HKC27" s="204"/>
      <c r="HKD27" s="204"/>
      <c r="HKE27" s="204"/>
      <c r="HKF27" s="204"/>
      <c r="HKG27" s="204"/>
      <c r="HKH27" s="204"/>
      <c r="HKI27" s="204"/>
      <c r="HKJ27" s="204"/>
      <c r="HKK27" s="204"/>
      <c r="HKL27" s="204"/>
      <c r="HKM27" s="204"/>
      <c r="HKN27" s="204"/>
      <c r="HKO27" s="204"/>
      <c r="HKP27" s="204"/>
      <c r="HKQ27" s="204"/>
      <c r="HKR27" s="204"/>
      <c r="HKS27" s="204"/>
      <c r="HKT27" s="204"/>
      <c r="HKU27" s="204"/>
      <c r="HKV27" s="204"/>
      <c r="HKW27" s="204"/>
      <c r="HKX27" s="204"/>
      <c r="HKY27" s="204"/>
      <c r="HKZ27" s="204"/>
      <c r="HLA27" s="204"/>
      <c r="HLB27" s="204"/>
      <c r="HLC27" s="204"/>
      <c r="HLD27" s="204"/>
      <c r="HLE27" s="204"/>
      <c r="HLF27" s="204"/>
      <c r="HLG27" s="204"/>
      <c r="HLH27" s="204"/>
      <c r="HLI27" s="204"/>
      <c r="HLJ27" s="204"/>
      <c r="HLK27" s="204"/>
      <c r="HLL27" s="204"/>
      <c r="HLM27" s="204"/>
      <c r="HLN27" s="204"/>
      <c r="HLO27" s="204"/>
      <c r="HLP27" s="204"/>
      <c r="HLQ27" s="204"/>
      <c r="HLR27" s="204"/>
      <c r="HLS27" s="204"/>
      <c r="HLT27" s="204"/>
      <c r="HLU27" s="204"/>
      <c r="HLV27" s="204"/>
      <c r="HLW27" s="204"/>
      <c r="HLX27" s="204"/>
      <c r="HLY27" s="204"/>
      <c r="HLZ27" s="204"/>
      <c r="HMA27" s="204"/>
      <c r="HMB27" s="204"/>
      <c r="HMC27" s="204"/>
      <c r="HMD27" s="204"/>
      <c r="HME27" s="204"/>
      <c r="HMF27" s="204"/>
      <c r="HMG27" s="204"/>
      <c r="HMH27" s="204"/>
      <c r="HMI27" s="204"/>
      <c r="HMJ27" s="204"/>
      <c r="HMK27" s="204"/>
      <c r="HML27" s="204"/>
      <c r="HMM27" s="204"/>
      <c r="HMN27" s="204"/>
      <c r="HMO27" s="204"/>
      <c r="HMP27" s="204"/>
      <c r="HMQ27" s="204"/>
      <c r="HMR27" s="204"/>
      <c r="HMS27" s="204"/>
      <c r="HMT27" s="204"/>
      <c r="HMU27" s="204"/>
      <c r="HMV27" s="204"/>
      <c r="HMW27" s="204"/>
      <c r="HMX27" s="204"/>
      <c r="HMY27" s="204"/>
      <c r="HMZ27" s="204"/>
      <c r="HNA27" s="204"/>
      <c r="HNB27" s="204"/>
      <c r="HNC27" s="204"/>
      <c r="HND27" s="204"/>
      <c r="HNE27" s="204"/>
      <c r="HNF27" s="204"/>
      <c r="HNG27" s="204"/>
      <c r="HNH27" s="204"/>
      <c r="HNI27" s="204"/>
      <c r="HNJ27" s="204"/>
      <c r="HNK27" s="204"/>
      <c r="HNL27" s="204"/>
      <c r="HNM27" s="204"/>
      <c r="HNN27" s="204"/>
      <c r="HNO27" s="204"/>
      <c r="HNP27" s="204"/>
      <c r="HNQ27" s="204"/>
      <c r="HNR27" s="204"/>
      <c r="HNS27" s="204"/>
      <c r="HNT27" s="204"/>
      <c r="HNU27" s="204"/>
      <c r="HNV27" s="204"/>
      <c r="HNW27" s="204"/>
      <c r="HNX27" s="204"/>
      <c r="HNY27" s="204"/>
      <c r="HNZ27" s="204"/>
      <c r="HOA27" s="204"/>
      <c r="HOB27" s="204"/>
      <c r="HOC27" s="204"/>
      <c r="HOD27" s="204"/>
      <c r="HOE27" s="204"/>
      <c r="HOF27" s="204"/>
      <c r="HOG27" s="204"/>
      <c r="HOH27" s="204"/>
      <c r="HOI27" s="204"/>
      <c r="HOJ27" s="204"/>
      <c r="HOK27" s="204"/>
      <c r="HOL27" s="204"/>
      <c r="HOM27" s="204"/>
      <c r="HON27" s="204"/>
      <c r="HOO27" s="204"/>
      <c r="HOP27" s="204"/>
      <c r="HOQ27" s="204"/>
      <c r="HOR27" s="204"/>
      <c r="HOS27" s="204"/>
      <c r="HOT27" s="204"/>
      <c r="HOU27" s="204"/>
      <c r="HOV27" s="204"/>
      <c r="HOW27" s="204"/>
      <c r="HOX27" s="204"/>
      <c r="HOY27" s="204"/>
      <c r="HOZ27" s="204"/>
      <c r="HPA27" s="204"/>
      <c r="HPB27" s="204"/>
      <c r="HPC27" s="204"/>
      <c r="HPD27" s="204"/>
      <c r="HPE27" s="204"/>
      <c r="HPF27" s="204"/>
      <c r="HPG27" s="204"/>
      <c r="HPH27" s="204"/>
      <c r="HPI27" s="204"/>
      <c r="HPJ27" s="204"/>
      <c r="HPK27" s="204"/>
      <c r="HPL27" s="204"/>
      <c r="HPM27" s="204"/>
      <c r="HPN27" s="204"/>
      <c r="HPO27" s="204"/>
      <c r="HPP27" s="204"/>
      <c r="HPQ27" s="204"/>
      <c r="HPR27" s="204"/>
      <c r="HPS27" s="204"/>
      <c r="HPT27" s="204"/>
      <c r="HPU27" s="204"/>
      <c r="HPV27" s="204"/>
      <c r="HPW27" s="204"/>
      <c r="HPX27" s="204"/>
      <c r="HPY27" s="204"/>
      <c r="HPZ27" s="204"/>
      <c r="HQA27" s="204"/>
      <c r="HQB27" s="204"/>
      <c r="HQC27" s="204"/>
      <c r="HQD27" s="204"/>
      <c r="HQE27" s="204"/>
      <c r="HQF27" s="204"/>
      <c r="HQG27" s="204"/>
      <c r="HQH27" s="204"/>
      <c r="HQI27" s="204"/>
      <c r="HQJ27" s="204"/>
      <c r="HQK27" s="204"/>
      <c r="HQL27" s="204"/>
      <c r="HQM27" s="204"/>
      <c r="HQN27" s="204"/>
      <c r="HQO27" s="204"/>
      <c r="HQP27" s="204"/>
      <c r="HQQ27" s="204"/>
      <c r="HQR27" s="204"/>
      <c r="HQS27" s="204"/>
      <c r="HQT27" s="204"/>
      <c r="HQU27" s="204"/>
      <c r="HQV27" s="204"/>
      <c r="HQW27" s="204"/>
      <c r="HQX27" s="204"/>
      <c r="HQY27" s="204"/>
      <c r="HQZ27" s="204"/>
      <c r="HRA27" s="204"/>
      <c r="HRB27" s="204"/>
      <c r="HRC27" s="204"/>
      <c r="HRD27" s="204"/>
      <c r="HRE27" s="204"/>
      <c r="HRF27" s="204"/>
      <c r="HRG27" s="204"/>
      <c r="HRH27" s="204"/>
      <c r="HRI27" s="204"/>
      <c r="HRJ27" s="204"/>
      <c r="HRK27" s="204"/>
      <c r="HRL27" s="204"/>
      <c r="HRM27" s="204"/>
      <c r="HRN27" s="204"/>
      <c r="HRO27" s="204"/>
      <c r="HRP27" s="204"/>
      <c r="HRQ27" s="204"/>
      <c r="HRR27" s="204"/>
      <c r="HRS27" s="204"/>
      <c r="HRT27" s="204"/>
      <c r="HRU27" s="204"/>
      <c r="HRV27" s="204"/>
      <c r="HRW27" s="204"/>
      <c r="HRX27" s="204"/>
      <c r="HRY27" s="204"/>
      <c r="HRZ27" s="204"/>
      <c r="HSA27" s="204"/>
      <c r="HSB27" s="204"/>
      <c r="HSC27" s="204"/>
      <c r="HSD27" s="204"/>
      <c r="HSE27" s="204"/>
      <c r="HSF27" s="204"/>
      <c r="HSG27" s="204"/>
      <c r="HSH27" s="204"/>
      <c r="HSI27" s="204"/>
      <c r="HSJ27" s="204"/>
      <c r="HSK27" s="204"/>
      <c r="HSL27" s="204"/>
      <c r="HSM27" s="204"/>
      <c r="HSN27" s="204"/>
      <c r="HSO27" s="204"/>
      <c r="HSP27" s="204"/>
      <c r="HSQ27" s="204"/>
      <c r="HSR27" s="204"/>
      <c r="HSS27" s="204"/>
      <c r="HST27" s="204"/>
      <c r="HSU27" s="204"/>
      <c r="HSV27" s="204"/>
      <c r="HSW27" s="204"/>
      <c r="HSX27" s="204"/>
      <c r="HSY27" s="204"/>
      <c r="HSZ27" s="204"/>
      <c r="HTA27" s="204"/>
      <c r="HTB27" s="204"/>
      <c r="HTC27" s="204"/>
      <c r="HTD27" s="204"/>
      <c r="HTE27" s="204"/>
      <c r="HTF27" s="204"/>
      <c r="HTG27" s="204"/>
      <c r="HTH27" s="204"/>
      <c r="HTI27" s="204"/>
      <c r="HTJ27" s="204"/>
      <c r="HTK27" s="204"/>
      <c r="HTL27" s="204"/>
      <c r="HTM27" s="204"/>
      <c r="HTN27" s="204"/>
      <c r="HTO27" s="204"/>
      <c r="HTP27" s="204"/>
      <c r="HTQ27" s="204"/>
      <c r="HTR27" s="204"/>
      <c r="HTS27" s="204"/>
      <c r="HTT27" s="204"/>
      <c r="HTU27" s="204"/>
      <c r="HTV27" s="204"/>
      <c r="HTW27" s="204"/>
      <c r="HTX27" s="204"/>
      <c r="HTY27" s="204"/>
      <c r="HTZ27" s="204"/>
      <c r="HUA27" s="204"/>
      <c r="HUB27" s="204"/>
      <c r="HUC27" s="204"/>
      <c r="HUD27" s="204"/>
      <c r="HUE27" s="204"/>
      <c r="HUF27" s="204"/>
      <c r="HUG27" s="204"/>
      <c r="HUH27" s="204"/>
      <c r="HUI27" s="204"/>
      <c r="HUJ27" s="204"/>
      <c r="HUK27" s="204"/>
      <c r="HUL27" s="204"/>
      <c r="HUM27" s="204"/>
      <c r="HUN27" s="204"/>
      <c r="HUO27" s="204"/>
      <c r="HUP27" s="204"/>
      <c r="HUQ27" s="204"/>
      <c r="HUR27" s="204"/>
      <c r="HUS27" s="204"/>
      <c r="HUT27" s="204"/>
      <c r="HUU27" s="204"/>
      <c r="HUV27" s="204"/>
      <c r="HUW27" s="204"/>
      <c r="HUX27" s="204"/>
      <c r="HUY27" s="204"/>
      <c r="HUZ27" s="204"/>
      <c r="HVA27" s="204"/>
      <c r="HVB27" s="204"/>
      <c r="HVC27" s="204"/>
      <c r="HVD27" s="204"/>
      <c r="HVE27" s="204"/>
      <c r="HVF27" s="204"/>
      <c r="HVG27" s="204"/>
      <c r="HVH27" s="204"/>
      <c r="HVI27" s="204"/>
      <c r="HVJ27" s="204"/>
      <c r="HVK27" s="204"/>
      <c r="HVL27" s="204"/>
      <c r="HVM27" s="204"/>
      <c r="HVN27" s="204"/>
      <c r="HVO27" s="204"/>
      <c r="HVP27" s="204"/>
      <c r="HVQ27" s="204"/>
      <c r="HVR27" s="204"/>
      <c r="HVS27" s="204"/>
      <c r="HVT27" s="204"/>
      <c r="HVU27" s="204"/>
      <c r="HVV27" s="204"/>
      <c r="HVW27" s="204"/>
      <c r="HVX27" s="204"/>
      <c r="HVY27" s="204"/>
      <c r="HVZ27" s="204"/>
      <c r="HWA27" s="204"/>
      <c r="HWB27" s="204"/>
      <c r="HWC27" s="204"/>
      <c r="HWD27" s="204"/>
      <c r="HWE27" s="204"/>
      <c r="HWF27" s="204"/>
      <c r="HWG27" s="204"/>
      <c r="HWH27" s="204"/>
      <c r="HWI27" s="204"/>
      <c r="HWJ27" s="204"/>
      <c r="HWK27" s="204"/>
      <c r="HWL27" s="204"/>
      <c r="HWM27" s="204"/>
      <c r="HWN27" s="204"/>
      <c r="HWO27" s="204"/>
      <c r="HWP27" s="204"/>
      <c r="HWQ27" s="204"/>
      <c r="HWR27" s="204"/>
      <c r="HWS27" s="204"/>
      <c r="HWT27" s="204"/>
      <c r="HWU27" s="204"/>
      <c r="HWV27" s="204"/>
      <c r="HWW27" s="204"/>
      <c r="HWX27" s="204"/>
      <c r="HWY27" s="204"/>
      <c r="HWZ27" s="204"/>
      <c r="HXA27" s="204"/>
      <c r="HXB27" s="204"/>
      <c r="HXC27" s="204"/>
      <c r="HXD27" s="204"/>
      <c r="HXE27" s="204"/>
      <c r="HXF27" s="204"/>
      <c r="HXG27" s="204"/>
      <c r="HXH27" s="204"/>
      <c r="HXI27" s="204"/>
      <c r="HXJ27" s="204"/>
      <c r="HXK27" s="204"/>
      <c r="HXL27" s="204"/>
      <c r="HXM27" s="204"/>
      <c r="HXN27" s="204"/>
      <c r="HXO27" s="204"/>
      <c r="HXP27" s="204"/>
      <c r="HXQ27" s="204"/>
      <c r="HXR27" s="204"/>
      <c r="HXS27" s="204"/>
      <c r="HXT27" s="204"/>
      <c r="HXU27" s="204"/>
      <c r="HXV27" s="204"/>
      <c r="HXW27" s="204"/>
      <c r="HXX27" s="204"/>
      <c r="HXY27" s="204"/>
      <c r="HXZ27" s="204"/>
      <c r="HYA27" s="204"/>
      <c r="HYB27" s="204"/>
      <c r="HYC27" s="204"/>
      <c r="HYD27" s="204"/>
      <c r="HYE27" s="204"/>
      <c r="HYF27" s="204"/>
      <c r="HYG27" s="204"/>
      <c r="HYH27" s="204"/>
      <c r="HYI27" s="204"/>
      <c r="HYJ27" s="204"/>
      <c r="HYK27" s="204"/>
      <c r="HYL27" s="204"/>
      <c r="HYM27" s="204"/>
      <c r="HYN27" s="204"/>
      <c r="HYO27" s="204"/>
      <c r="HYP27" s="204"/>
      <c r="HYQ27" s="204"/>
      <c r="HYR27" s="204"/>
      <c r="HYS27" s="204"/>
      <c r="HYT27" s="204"/>
      <c r="HYU27" s="204"/>
      <c r="HYV27" s="204"/>
      <c r="HYW27" s="204"/>
      <c r="HYX27" s="204"/>
      <c r="HYY27" s="204"/>
      <c r="HYZ27" s="204"/>
      <c r="HZA27" s="204"/>
      <c r="HZB27" s="204"/>
      <c r="HZC27" s="204"/>
      <c r="HZD27" s="204"/>
      <c r="HZE27" s="204"/>
      <c r="HZF27" s="204"/>
      <c r="HZG27" s="204"/>
      <c r="HZH27" s="204"/>
      <c r="HZI27" s="204"/>
      <c r="HZJ27" s="204"/>
      <c r="HZK27" s="204"/>
      <c r="HZL27" s="204"/>
      <c r="HZM27" s="204"/>
      <c r="HZN27" s="204"/>
      <c r="HZO27" s="204"/>
      <c r="HZP27" s="204"/>
      <c r="HZQ27" s="204"/>
      <c r="HZR27" s="204"/>
      <c r="HZS27" s="204"/>
      <c r="HZT27" s="204"/>
      <c r="HZU27" s="204"/>
      <c r="HZV27" s="204"/>
      <c r="HZW27" s="204"/>
      <c r="HZX27" s="204"/>
      <c r="HZY27" s="204"/>
      <c r="HZZ27" s="204"/>
      <c r="IAA27" s="204"/>
      <c r="IAB27" s="204"/>
      <c r="IAC27" s="204"/>
      <c r="IAD27" s="204"/>
      <c r="IAE27" s="204"/>
      <c r="IAF27" s="204"/>
      <c r="IAG27" s="204"/>
      <c r="IAH27" s="204"/>
      <c r="IAI27" s="204"/>
      <c r="IAJ27" s="204"/>
      <c r="IAK27" s="204"/>
      <c r="IAL27" s="204"/>
      <c r="IAM27" s="204"/>
      <c r="IAN27" s="204"/>
      <c r="IAO27" s="204"/>
      <c r="IAP27" s="204"/>
      <c r="IAQ27" s="204"/>
      <c r="IAR27" s="204"/>
      <c r="IAS27" s="204"/>
      <c r="IAT27" s="204"/>
      <c r="IAU27" s="204"/>
      <c r="IAV27" s="204"/>
      <c r="IAW27" s="204"/>
      <c r="IAX27" s="204"/>
      <c r="IAY27" s="204"/>
      <c r="IAZ27" s="204"/>
      <c r="IBA27" s="204"/>
      <c r="IBB27" s="204"/>
      <c r="IBC27" s="204"/>
      <c r="IBD27" s="204"/>
      <c r="IBE27" s="204"/>
      <c r="IBF27" s="204"/>
      <c r="IBG27" s="204"/>
      <c r="IBH27" s="204"/>
      <c r="IBI27" s="204"/>
      <c r="IBJ27" s="204"/>
      <c r="IBK27" s="204"/>
      <c r="IBL27" s="204"/>
      <c r="IBM27" s="204"/>
      <c r="IBN27" s="204"/>
      <c r="IBO27" s="204"/>
      <c r="IBP27" s="204"/>
      <c r="IBQ27" s="204"/>
      <c r="IBR27" s="204"/>
      <c r="IBS27" s="204"/>
      <c r="IBT27" s="204"/>
      <c r="IBU27" s="204"/>
      <c r="IBV27" s="204"/>
      <c r="IBW27" s="204"/>
      <c r="IBX27" s="204"/>
      <c r="IBY27" s="204"/>
      <c r="IBZ27" s="204"/>
      <c r="ICA27" s="204"/>
      <c r="ICB27" s="204"/>
      <c r="ICC27" s="204"/>
      <c r="ICD27" s="204"/>
      <c r="ICE27" s="204"/>
      <c r="ICF27" s="204"/>
      <c r="ICG27" s="204"/>
      <c r="ICH27" s="204"/>
      <c r="ICI27" s="204"/>
      <c r="ICJ27" s="204"/>
      <c r="ICK27" s="204"/>
      <c r="ICL27" s="204"/>
      <c r="ICM27" s="204"/>
      <c r="ICN27" s="204"/>
      <c r="ICO27" s="204"/>
      <c r="ICP27" s="204"/>
      <c r="ICQ27" s="204"/>
      <c r="ICR27" s="204"/>
      <c r="ICS27" s="204"/>
      <c r="ICT27" s="204"/>
      <c r="ICU27" s="204"/>
      <c r="ICV27" s="204"/>
      <c r="ICW27" s="204"/>
      <c r="ICX27" s="204"/>
      <c r="ICY27" s="204"/>
      <c r="ICZ27" s="204"/>
      <c r="IDA27" s="204"/>
      <c r="IDB27" s="204"/>
      <c r="IDC27" s="204"/>
      <c r="IDD27" s="204"/>
      <c r="IDE27" s="204"/>
      <c r="IDF27" s="204"/>
      <c r="IDG27" s="204"/>
      <c r="IDH27" s="204"/>
      <c r="IDI27" s="204"/>
      <c r="IDJ27" s="204"/>
      <c r="IDK27" s="204"/>
      <c r="IDL27" s="204"/>
      <c r="IDM27" s="204"/>
      <c r="IDN27" s="204"/>
      <c r="IDO27" s="204"/>
      <c r="IDP27" s="204"/>
      <c r="IDQ27" s="204"/>
      <c r="IDR27" s="204"/>
      <c r="IDS27" s="204"/>
      <c r="IDT27" s="204"/>
      <c r="IDU27" s="204"/>
      <c r="IDV27" s="204"/>
      <c r="IDW27" s="204"/>
      <c r="IDX27" s="204"/>
      <c r="IDY27" s="204"/>
      <c r="IDZ27" s="204"/>
      <c r="IEA27" s="204"/>
      <c r="IEB27" s="204"/>
      <c r="IEC27" s="204"/>
      <c r="IED27" s="204"/>
      <c r="IEE27" s="204"/>
      <c r="IEF27" s="204"/>
      <c r="IEG27" s="204"/>
      <c r="IEH27" s="204"/>
      <c r="IEI27" s="204"/>
      <c r="IEJ27" s="204"/>
      <c r="IEK27" s="204"/>
      <c r="IEL27" s="204"/>
      <c r="IEM27" s="204"/>
      <c r="IEN27" s="204"/>
      <c r="IEO27" s="204"/>
      <c r="IEP27" s="204"/>
      <c r="IEQ27" s="204"/>
      <c r="IER27" s="204"/>
      <c r="IES27" s="204"/>
      <c r="IET27" s="204"/>
      <c r="IEU27" s="204"/>
      <c r="IEV27" s="204"/>
      <c r="IEW27" s="204"/>
      <c r="IEX27" s="204"/>
      <c r="IEY27" s="204"/>
      <c r="IEZ27" s="204"/>
      <c r="IFA27" s="204"/>
      <c r="IFB27" s="204"/>
      <c r="IFC27" s="204"/>
      <c r="IFD27" s="204"/>
      <c r="IFE27" s="204"/>
      <c r="IFF27" s="204"/>
      <c r="IFG27" s="204"/>
      <c r="IFH27" s="204"/>
      <c r="IFI27" s="204"/>
      <c r="IFJ27" s="204"/>
      <c r="IFK27" s="204"/>
      <c r="IFL27" s="204"/>
      <c r="IFM27" s="204"/>
      <c r="IFN27" s="204"/>
      <c r="IFO27" s="204"/>
      <c r="IFP27" s="204"/>
      <c r="IFQ27" s="204"/>
      <c r="IFR27" s="204"/>
      <c r="IFS27" s="204"/>
      <c r="IFT27" s="204"/>
      <c r="IFU27" s="204"/>
      <c r="IFV27" s="204"/>
      <c r="IFW27" s="204"/>
      <c r="IFX27" s="204"/>
      <c r="IFY27" s="204"/>
      <c r="IFZ27" s="204"/>
      <c r="IGA27" s="204"/>
      <c r="IGB27" s="204"/>
      <c r="IGC27" s="204"/>
      <c r="IGD27" s="204"/>
      <c r="IGE27" s="204"/>
      <c r="IGF27" s="204"/>
      <c r="IGG27" s="204"/>
      <c r="IGH27" s="204"/>
      <c r="IGI27" s="204"/>
      <c r="IGJ27" s="204"/>
      <c r="IGK27" s="204"/>
      <c r="IGL27" s="204"/>
      <c r="IGM27" s="204"/>
      <c r="IGN27" s="204"/>
      <c r="IGO27" s="204"/>
      <c r="IGP27" s="204"/>
      <c r="IGQ27" s="204"/>
      <c r="IGR27" s="204"/>
      <c r="IGS27" s="204"/>
      <c r="IGT27" s="204"/>
      <c r="IGU27" s="204"/>
      <c r="IGV27" s="204"/>
      <c r="IGW27" s="204"/>
      <c r="IGX27" s="204"/>
      <c r="IGY27" s="204"/>
      <c r="IGZ27" s="204"/>
      <c r="IHA27" s="204"/>
      <c r="IHB27" s="204"/>
      <c r="IHC27" s="204"/>
      <c r="IHD27" s="204"/>
      <c r="IHE27" s="204"/>
      <c r="IHF27" s="204"/>
      <c r="IHG27" s="204"/>
      <c r="IHH27" s="204"/>
      <c r="IHI27" s="204"/>
      <c r="IHJ27" s="204"/>
      <c r="IHK27" s="204"/>
      <c r="IHL27" s="204"/>
      <c r="IHM27" s="204"/>
      <c r="IHN27" s="204"/>
      <c r="IHO27" s="204"/>
      <c r="IHP27" s="204"/>
      <c r="IHQ27" s="204"/>
      <c r="IHR27" s="204"/>
      <c r="IHS27" s="204"/>
      <c r="IHT27" s="204"/>
      <c r="IHU27" s="204"/>
      <c r="IHV27" s="204"/>
      <c r="IHW27" s="204"/>
      <c r="IHX27" s="204"/>
      <c r="IHY27" s="204"/>
      <c r="IHZ27" s="204"/>
      <c r="IIA27" s="204"/>
      <c r="IIB27" s="204"/>
      <c r="IIC27" s="204"/>
      <c r="IID27" s="204"/>
      <c r="IIE27" s="204"/>
      <c r="IIF27" s="204"/>
      <c r="IIG27" s="204"/>
      <c r="IIH27" s="204"/>
      <c r="III27" s="204"/>
      <c r="IIJ27" s="204"/>
      <c r="IIK27" s="204"/>
      <c r="IIL27" s="204"/>
      <c r="IIM27" s="204"/>
      <c r="IIN27" s="204"/>
      <c r="IIO27" s="204"/>
      <c r="IIP27" s="204"/>
      <c r="IIQ27" s="204"/>
      <c r="IIR27" s="204"/>
      <c r="IIS27" s="204"/>
      <c r="IIT27" s="204"/>
      <c r="IIU27" s="204"/>
      <c r="IIV27" s="204"/>
      <c r="IIW27" s="204"/>
      <c r="IIX27" s="204"/>
      <c r="IIY27" s="204"/>
      <c r="IIZ27" s="204"/>
      <c r="IJA27" s="204"/>
      <c r="IJB27" s="204"/>
      <c r="IJC27" s="204"/>
      <c r="IJD27" s="204"/>
      <c r="IJE27" s="204"/>
      <c r="IJF27" s="204"/>
      <c r="IJG27" s="204"/>
      <c r="IJH27" s="204"/>
      <c r="IJI27" s="204"/>
      <c r="IJJ27" s="204"/>
      <c r="IJK27" s="204"/>
      <c r="IJL27" s="204"/>
      <c r="IJM27" s="204"/>
      <c r="IJN27" s="204"/>
      <c r="IJO27" s="204"/>
      <c r="IJP27" s="204"/>
      <c r="IJQ27" s="204"/>
      <c r="IJR27" s="204"/>
      <c r="IJS27" s="204"/>
      <c r="IJT27" s="204"/>
      <c r="IJU27" s="204"/>
      <c r="IJV27" s="204"/>
      <c r="IJW27" s="204"/>
      <c r="IJX27" s="204"/>
      <c r="IJY27" s="204"/>
      <c r="IJZ27" s="204"/>
      <c r="IKA27" s="204"/>
      <c r="IKB27" s="204"/>
      <c r="IKC27" s="204"/>
      <c r="IKD27" s="204"/>
      <c r="IKE27" s="204"/>
      <c r="IKF27" s="204"/>
      <c r="IKG27" s="204"/>
      <c r="IKH27" s="204"/>
      <c r="IKI27" s="204"/>
      <c r="IKJ27" s="204"/>
      <c r="IKK27" s="204"/>
      <c r="IKL27" s="204"/>
      <c r="IKM27" s="204"/>
      <c r="IKN27" s="204"/>
      <c r="IKO27" s="204"/>
      <c r="IKP27" s="204"/>
      <c r="IKQ27" s="204"/>
      <c r="IKR27" s="204"/>
      <c r="IKS27" s="204"/>
      <c r="IKT27" s="204"/>
      <c r="IKU27" s="204"/>
      <c r="IKV27" s="204"/>
      <c r="IKW27" s="204"/>
      <c r="IKX27" s="204"/>
      <c r="IKY27" s="204"/>
      <c r="IKZ27" s="204"/>
      <c r="ILA27" s="204"/>
      <c r="ILB27" s="204"/>
      <c r="ILC27" s="204"/>
      <c r="ILD27" s="204"/>
      <c r="ILE27" s="204"/>
      <c r="ILF27" s="204"/>
      <c r="ILG27" s="204"/>
      <c r="ILH27" s="204"/>
      <c r="ILI27" s="204"/>
      <c r="ILJ27" s="204"/>
      <c r="ILK27" s="204"/>
      <c r="ILL27" s="204"/>
      <c r="ILM27" s="204"/>
      <c r="ILN27" s="204"/>
      <c r="ILO27" s="204"/>
      <c r="ILP27" s="204"/>
      <c r="ILQ27" s="204"/>
      <c r="ILR27" s="204"/>
      <c r="ILS27" s="204"/>
      <c r="ILT27" s="204"/>
      <c r="ILU27" s="204"/>
      <c r="ILV27" s="204"/>
      <c r="ILW27" s="204"/>
      <c r="ILX27" s="204"/>
      <c r="ILY27" s="204"/>
      <c r="ILZ27" s="204"/>
      <c r="IMA27" s="204"/>
      <c r="IMB27" s="204"/>
      <c r="IMC27" s="204"/>
      <c r="IMD27" s="204"/>
      <c r="IME27" s="204"/>
      <c r="IMF27" s="204"/>
      <c r="IMG27" s="204"/>
      <c r="IMH27" s="204"/>
      <c r="IMI27" s="204"/>
      <c r="IMJ27" s="204"/>
      <c r="IMK27" s="204"/>
      <c r="IML27" s="204"/>
      <c r="IMM27" s="204"/>
      <c r="IMN27" s="204"/>
      <c r="IMO27" s="204"/>
      <c r="IMP27" s="204"/>
      <c r="IMQ27" s="204"/>
      <c r="IMR27" s="204"/>
      <c r="IMS27" s="204"/>
      <c r="IMT27" s="204"/>
      <c r="IMU27" s="204"/>
      <c r="IMV27" s="204"/>
      <c r="IMW27" s="204"/>
      <c r="IMX27" s="204"/>
      <c r="IMY27" s="204"/>
      <c r="IMZ27" s="204"/>
      <c r="INA27" s="204"/>
      <c r="INB27" s="204"/>
      <c r="INC27" s="204"/>
      <c r="IND27" s="204"/>
      <c r="INE27" s="204"/>
      <c r="INF27" s="204"/>
      <c r="ING27" s="204"/>
      <c r="INH27" s="204"/>
      <c r="INI27" s="204"/>
      <c r="INJ27" s="204"/>
      <c r="INK27" s="204"/>
      <c r="INL27" s="204"/>
      <c r="INM27" s="204"/>
      <c r="INN27" s="204"/>
      <c r="INO27" s="204"/>
      <c r="INP27" s="204"/>
      <c r="INQ27" s="204"/>
      <c r="INR27" s="204"/>
      <c r="INS27" s="204"/>
      <c r="INT27" s="204"/>
      <c r="INU27" s="204"/>
      <c r="INV27" s="204"/>
      <c r="INW27" s="204"/>
      <c r="INX27" s="204"/>
      <c r="INY27" s="204"/>
      <c r="INZ27" s="204"/>
      <c r="IOA27" s="204"/>
      <c r="IOB27" s="204"/>
      <c r="IOC27" s="204"/>
      <c r="IOD27" s="204"/>
      <c r="IOE27" s="204"/>
      <c r="IOF27" s="204"/>
      <c r="IOG27" s="204"/>
      <c r="IOH27" s="204"/>
      <c r="IOI27" s="204"/>
      <c r="IOJ27" s="204"/>
      <c r="IOK27" s="204"/>
      <c r="IOL27" s="204"/>
      <c r="IOM27" s="204"/>
      <c r="ION27" s="204"/>
      <c r="IOO27" s="204"/>
      <c r="IOP27" s="204"/>
      <c r="IOQ27" s="204"/>
      <c r="IOR27" s="204"/>
      <c r="IOS27" s="204"/>
      <c r="IOT27" s="204"/>
      <c r="IOU27" s="204"/>
      <c r="IOV27" s="204"/>
      <c r="IOW27" s="204"/>
      <c r="IOX27" s="204"/>
      <c r="IOY27" s="204"/>
      <c r="IOZ27" s="204"/>
      <c r="IPA27" s="204"/>
      <c r="IPB27" s="204"/>
      <c r="IPC27" s="204"/>
      <c r="IPD27" s="204"/>
      <c r="IPE27" s="204"/>
      <c r="IPF27" s="204"/>
      <c r="IPG27" s="204"/>
      <c r="IPH27" s="204"/>
      <c r="IPI27" s="204"/>
      <c r="IPJ27" s="204"/>
      <c r="IPK27" s="204"/>
      <c r="IPL27" s="204"/>
      <c r="IPM27" s="204"/>
      <c r="IPN27" s="204"/>
      <c r="IPO27" s="204"/>
      <c r="IPP27" s="204"/>
      <c r="IPQ27" s="204"/>
      <c r="IPR27" s="204"/>
      <c r="IPS27" s="204"/>
      <c r="IPT27" s="204"/>
      <c r="IPU27" s="204"/>
      <c r="IPV27" s="204"/>
      <c r="IPW27" s="204"/>
      <c r="IPX27" s="204"/>
      <c r="IPY27" s="204"/>
      <c r="IPZ27" s="204"/>
      <c r="IQA27" s="204"/>
      <c r="IQB27" s="204"/>
      <c r="IQC27" s="204"/>
      <c r="IQD27" s="204"/>
      <c r="IQE27" s="204"/>
      <c r="IQF27" s="204"/>
      <c r="IQG27" s="204"/>
      <c r="IQH27" s="204"/>
      <c r="IQI27" s="204"/>
      <c r="IQJ27" s="204"/>
      <c r="IQK27" s="204"/>
      <c r="IQL27" s="204"/>
      <c r="IQM27" s="204"/>
      <c r="IQN27" s="204"/>
      <c r="IQO27" s="204"/>
      <c r="IQP27" s="204"/>
      <c r="IQQ27" s="204"/>
      <c r="IQR27" s="204"/>
      <c r="IQS27" s="204"/>
      <c r="IQT27" s="204"/>
      <c r="IQU27" s="204"/>
      <c r="IQV27" s="204"/>
      <c r="IQW27" s="204"/>
      <c r="IQX27" s="204"/>
      <c r="IQY27" s="204"/>
      <c r="IQZ27" s="204"/>
      <c r="IRA27" s="204"/>
      <c r="IRB27" s="204"/>
      <c r="IRC27" s="204"/>
      <c r="IRD27" s="204"/>
      <c r="IRE27" s="204"/>
      <c r="IRF27" s="204"/>
      <c r="IRG27" s="204"/>
      <c r="IRH27" s="204"/>
      <c r="IRI27" s="204"/>
      <c r="IRJ27" s="204"/>
      <c r="IRK27" s="204"/>
      <c r="IRL27" s="204"/>
      <c r="IRM27" s="204"/>
      <c r="IRN27" s="204"/>
      <c r="IRO27" s="204"/>
      <c r="IRP27" s="204"/>
      <c r="IRQ27" s="204"/>
      <c r="IRR27" s="204"/>
      <c r="IRS27" s="204"/>
      <c r="IRT27" s="204"/>
      <c r="IRU27" s="204"/>
      <c r="IRV27" s="204"/>
      <c r="IRW27" s="204"/>
      <c r="IRX27" s="204"/>
      <c r="IRY27" s="204"/>
      <c r="IRZ27" s="204"/>
      <c r="ISA27" s="204"/>
      <c r="ISB27" s="204"/>
      <c r="ISC27" s="204"/>
      <c r="ISD27" s="204"/>
      <c r="ISE27" s="204"/>
      <c r="ISF27" s="204"/>
      <c r="ISG27" s="204"/>
      <c r="ISH27" s="204"/>
      <c r="ISI27" s="204"/>
      <c r="ISJ27" s="204"/>
      <c r="ISK27" s="204"/>
      <c r="ISL27" s="204"/>
      <c r="ISM27" s="204"/>
      <c r="ISN27" s="204"/>
      <c r="ISO27" s="204"/>
      <c r="ISP27" s="204"/>
      <c r="ISQ27" s="204"/>
      <c r="ISR27" s="204"/>
      <c r="ISS27" s="204"/>
      <c r="IST27" s="204"/>
      <c r="ISU27" s="204"/>
      <c r="ISV27" s="204"/>
      <c r="ISW27" s="204"/>
      <c r="ISX27" s="204"/>
      <c r="ISY27" s="204"/>
      <c r="ISZ27" s="204"/>
      <c r="ITA27" s="204"/>
      <c r="ITB27" s="204"/>
      <c r="ITC27" s="204"/>
      <c r="ITD27" s="204"/>
      <c r="ITE27" s="204"/>
      <c r="ITF27" s="204"/>
      <c r="ITG27" s="204"/>
      <c r="ITH27" s="204"/>
      <c r="ITI27" s="204"/>
      <c r="ITJ27" s="204"/>
      <c r="ITK27" s="204"/>
      <c r="ITL27" s="204"/>
      <c r="ITM27" s="204"/>
      <c r="ITN27" s="204"/>
      <c r="ITO27" s="204"/>
      <c r="ITP27" s="204"/>
      <c r="ITQ27" s="204"/>
      <c r="ITR27" s="204"/>
      <c r="ITS27" s="204"/>
      <c r="ITT27" s="204"/>
      <c r="ITU27" s="204"/>
      <c r="ITV27" s="204"/>
      <c r="ITW27" s="204"/>
      <c r="ITX27" s="204"/>
      <c r="ITY27" s="204"/>
      <c r="ITZ27" s="204"/>
      <c r="IUA27" s="204"/>
      <c r="IUB27" s="204"/>
      <c r="IUC27" s="204"/>
      <c r="IUD27" s="204"/>
      <c r="IUE27" s="204"/>
      <c r="IUF27" s="204"/>
      <c r="IUG27" s="204"/>
      <c r="IUH27" s="204"/>
      <c r="IUI27" s="204"/>
      <c r="IUJ27" s="204"/>
      <c r="IUK27" s="204"/>
      <c r="IUL27" s="204"/>
      <c r="IUM27" s="204"/>
      <c r="IUN27" s="204"/>
      <c r="IUO27" s="204"/>
      <c r="IUP27" s="204"/>
      <c r="IUQ27" s="204"/>
      <c r="IUR27" s="204"/>
      <c r="IUS27" s="204"/>
      <c r="IUT27" s="204"/>
      <c r="IUU27" s="204"/>
      <c r="IUV27" s="204"/>
      <c r="IUW27" s="204"/>
      <c r="IUX27" s="204"/>
      <c r="IUY27" s="204"/>
      <c r="IUZ27" s="204"/>
      <c r="IVA27" s="204"/>
      <c r="IVB27" s="204"/>
      <c r="IVC27" s="204"/>
      <c r="IVD27" s="204"/>
      <c r="IVE27" s="204"/>
      <c r="IVF27" s="204"/>
      <c r="IVG27" s="204"/>
      <c r="IVH27" s="204"/>
      <c r="IVI27" s="204"/>
      <c r="IVJ27" s="204"/>
      <c r="IVK27" s="204"/>
      <c r="IVL27" s="204"/>
      <c r="IVM27" s="204"/>
      <c r="IVN27" s="204"/>
      <c r="IVO27" s="204"/>
      <c r="IVP27" s="204"/>
      <c r="IVQ27" s="204"/>
      <c r="IVR27" s="204"/>
      <c r="IVS27" s="204"/>
      <c r="IVT27" s="204"/>
      <c r="IVU27" s="204"/>
      <c r="IVV27" s="204"/>
      <c r="IVW27" s="204"/>
      <c r="IVX27" s="204"/>
      <c r="IVY27" s="204"/>
      <c r="IVZ27" s="204"/>
      <c r="IWA27" s="204"/>
      <c r="IWB27" s="204"/>
      <c r="IWC27" s="204"/>
      <c r="IWD27" s="204"/>
      <c r="IWE27" s="204"/>
      <c r="IWF27" s="204"/>
      <c r="IWG27" s="204"/>
      <c r="IWH27" s="204"/>
      <c r="IWI27" s="204"/>
      <c r="IWJ27" s="204"/>
      <c r="IWK27" s="204"/>
      <c r="IWL27" s="204"/>
      <c r="IWM27" s="204"/>
      <c r="IWN27" s="204"/>
      <c r="IWO27" s="204"/>
      <c r="IWP27" s="204"/>
      <c r="IWQ27" s="204"/>
      <c r="IWR27" s="204"/>
      <c r="IWS27" s="204"/>
      <c r="IWT27" s="204"/>
      <c r="IWU27" s="204"/>
      <c r="IWV27" s="204"/>
      <c r="IWW27" s="204"/>
      <c r="IWX27" s="204"/>
      <c r="IWY27" s="204"/>
      <c r="IWZ27" s="204"/>
      <c r="IXA27" s="204"/>
      <c r="IXB27" s="204"/>
      <c r="IXC27" s="204"/>
      <c r="IXD27" s="204"/>
      <c r="IXE27" s="204"/>
      <c r="IXF27" s="204"/>
      <c r="IXG27" s="204"/>
      <c r="IXH27" s="204"/>
      <c r="IXI27" s="204"/>
      <c r="IXJ27" s="204"/>
      <c r="IXK27" s="204"/>
      <c r="IXL27" s="204"/>
      <c r="IXM27" s="204"/>
      <c r="IXN27" s="204"/>
      <c r="IXO27" s="204"/>
      <c r="IXP27" s="204"/>
      <c r="IXQ27" s="204"/>
      <c r="IXR27" s="204"/>
      <c r="IXS27" s="204"/>
      <c r="IXT27" s="204"/>
      <c r="IXU27" s="204"/>
      <c r="IXV27" s="204"/>
      <c r="IXW27" s="204"/>
      <c r="IXX27" s="204"/>
      <c r="IXY27" s="204"/>
      <c r="IXZ27" s="204"/>
      <c r="IYA27" s="204"/>
      <c r="IYB27" s="204"/>
      <c r="IYC27" s="204"/>
      <c r="IYD27" s="204"/>
      <c r="IYE27" s="204"/>
      <c r="IYF27" s="204"/>
      <c r="IYG27" s="204"/>
      <c r="IYH27" s="204"/>
      <c r="IYI27" s="204"/>
      <c r="IYJ27" s="204"/>
      <c r="IYK27" s="204"/>
      <c r="IYL27" s="204"/>
      <c r="IYM27" s="204"/>
      <c r="IYN27" s="204"/>
      <c r="IYO27" s="204"/>
      <c r="IYP27" s="204"/>
      <c r="IYQ27" s="204"/>
      <c r="IYR27" s="204"/>
      <c r="IYS27" s="204"/>
      <c r="IYT27" s="204"/>
      <c r="IYU27" s="204"/>
      <c r="IYV27" s="204"/>
      <c r="IYW27" s="204"/>
      <c r="IYX27" s="204"/>
      <c r="IYY27" s="204"/>
      <c r="IYZ27" s="204"/>
      <c r="IZA27" s="204"/>
      <c r="IZB27" s="204"/>
      <c r="IZC27" s="204"/>
      <c r="IZD27" s="204"/>
      <c r="IZE27" s="204"/>
      <c r="IZF27" s="204"/>
      <c r="IZG27" s="204"/>
      <c r="IZH27" s="204"/>
      <c r="IZI27" s="204"/>
      <c r="IZJ27" s="204"/>
      <c r="IZK27" s="204"/>
      <c r="IZL27" s="204"/>
      <c r="IZM27" s="204"/>
      <c r="IZN27" s="204"/>
      <c r="IZO27" s="204"/>
      <c r="IZP27" s="204"/>
      <c r="IZQ27" s="204"/>
      <c r="IZR27" s="204"/>
      <c r="IZS27" s="204"/>
      <c r="IZT27" s="204"/>
      <c r="IZU27" s="204"/>
      <c r="IZV27" s="204"/>
      <c r="IZW27" s="204"/>
      <c r="IZX27" s="204"/>
      <c r="IZY27" s="204"/>
      <c r="IZZ27" s="204"/>
      <c r="JAA27" s="204"/>
      <c r="JAB27" s="204"/>
      <c r="JAC27" s="204"/>
      <c r="JAD27" s="204"/>
      <c r="JAE27" s="204"/>
      <c r="JAF27" s="204"/>
      <c r="JAG27" s="204"/>
      <c r="JAH27" s="204"/>
      <c r="JAI27" s="204"/>
      <c r="JAJ27" s="204"/>
      <c r="JAK27" s="204"/>
      <c r="JAL27" s="204"/>
      <c r="JAM27" s="204"/>
      <c r="JAN27" s="204"/>
      <c r="JAO27" s="204"/>
      <c r="JAP27" s="204"/>
      <c r="JAQ27" s="204"/>
      <c r="JAR27" s="204"/>
      <c r="JAS27" s="204"/>
      <c r="JAT27" s="204"/>
      <c r="JAU27" s="204"/>
      <c r="JAV27" s="204"/>
      <c r="JAW27" s="204"/>
      <c r="JAX27" s="204"/>
      <c r="JAY27" s="204"/>
      <c r="JAZ27" s="204"/>
      <c r="JBA27" s="204"/>
      <c r="JBB27" s="204"/>
      <c r="JBC27" s="204"/>
      <c r="JBD27" s="204"/>
      <c r="JBE27" s="204"/>
      <c r="JBF27" s="204"/>
      <c r="JBG27" s="204"/>
      <c r="JBH27" s="204"/>
      <c r="JBI27" s="204"/>
      <c r="JBJ27" s="204"/>
      <c r="JBK27" s="204"/>
      <c r="JBL27" s="204"/>
      <c r="JBM27" s="204"/>
      <c r="JBN27" s="204"/>
      <c r="JBO27" s="204"/>
      <c r="JBP27" s="204"/>
      <c r="JBQ27" s="204"/>
      <c r="JBR27" s="204"/>
      <c r="JBS27" s="204"/>
      <c r="JBT27" s="204"/>
      <c r="JBU27" s="204"/>
      <c r="JBV27" s="204"/>
      <c r="JBW27" s="204"/>
      <c r="JBX27" s="204"/>
      <c r="JBY27" s="204"/>
      <c r="JBZ27" s="204"/>
      <c r="JCA27" s="204"/>
      <c r="JCB27" s="204"/>
      <c r="JCC27" s="204"/>
      <c r="JCD27" s="204"/>
      <c r="JCE27" s="204"/>
      <c r="JCF27" s="204"/>
      <c r="JCG27" s="204"/>
      <c r="JCH27" s="204"/>
      <c r="JCI27" s="204"/>
      <c r="JCJ27" s="204"/>
      <c r="JCK27" s="204"/>
      <c r="JCL27" s="204"/>
      <c r="JCM27" s="204"/>
      <c r="JCN27" s="204"/>
      <c r="JCO27" s="204"/>
      <c r="JCP27" s="204"/>
      <c r="JCQ27" s="204"/>
      <c r="JCR27" s="204"/>
      <c r="JCS27" s="204"/>
      <c r="JCT27" s="204"/>
      <c r="JCU27" s="204"/>
      <c r="JCV27" s="204"/>
      <c r="JCW27" s="204"/>
      <c r="JCX27" s="204"/>
      <c r="JCY27" s="204"/>
      <c r="JCZ27" s="204"/>
      <c r="JDA27" s="204"/>
      <c r="JDB27" s="204"/>
      <c r="JDC27" s="204"/>
      <c r="JDD27" s="204"/>
      <c r="JDE27" s="204"/>
      <c r="JDF27" s="204"/>
      <c r="JDG27" s="204"/>
      <c r="JDH27" s="204"/>
      <c r="JDI27" s="204"/>
      <c r="JDJ27" s="204"/>
      <c r="JDK27" s="204"/>
      <c r="JDL27" s="204"/>
      <c r="JDM27" s="204"/>
      <c r="JDN27" s="204"/>
      <c r="JDO27" s="204"/>
      <c r="JDP27" s="204"/>
      <c r="JDQ27" s="204"/>
      <c r="JDR27" s="204"/>
      <c r="JDS27" s="204"/>
      <c r="JDT27" s="204"/>
      <c r="JDU27" s="204"/>
      <c r="JDV27" s="204"/>
      <c r="JDW27" s="204"/>
      <c r="JDX27" s="204"/>
      <c r="JDY27" s="204"/>
      <c r="JDZ27" s="204"/>
      <c r="JEA27" s="204"/>
      <c r="JEB27" s="204"/>
      <c r="JEC27" s="204"/>
      <c r="JED27" s="204"/>
      <c r="JEE27" s="204"/>
      <c r="JEF27" s="204"/>
      <c r="JEG27" s="204"/>
      <c r="JEH27" s="204"/>
      <c r="JEI27" s="204"/>
      <c r="JEJ27" s="204"/>
      <c r="JEK27" s="204"/>
      <c r="JEL27" s="204"/>
      <c r="JEM27" s="204"/>
      <c r="JEN27" s="204"/>
      <c r="JEO27" s="204"/>
      <c r="JEP27" s="204"/>
      <c r="JEQ27" s="204"/>
      <c r="JER27" s="204"/>
      <c r="JES27" s="204"/>
      <c r="JET27" s="204"/>
      <c r="JEU27" s="204"/>
      <c r="JEV27" s="204"/>
      <c r="JEW27" s="204"/>
      <c r="JEX27" s="204"/>
      <c r="JEY27" s="204"/>
      <c r="JEZ27" s="204"/>
      <c r="JFA27" s="204"/>
      <c r="JFB27" s="204"/>
      <c r="JFC27" s="204"/>
      <c r="JFD27" s="204"/>
      <c r="JFE27" s="204"/>
      <c r="JFF27" s="204"/>
      <c r="JFG27" s="204"/>
      <c r="JFH27" s="204"/>
      <c r="JFI27" s="204"/>
      <c r="JFJ27" s="204"/>
      <c r="JFK27" s="204"/>
      <c r="JFL27" s="204"/>
      <c r="JFM27" s="204"/>
      <c r="JFN27" s="204"/>
      <c r="JFO27" s="204"/>
      <c r="JFP27" s="204"/>
      <c r="JFQ27" s="204"/>
      <c r="JFR27" s="204"/>
      <c r="JFS27" s="204"/>
      <c r="JFT27" s="204"/>
      <c r="JFU27" s="204"/>
      <c r="JFV27" s="204"/>
      <c r="JFW27" s="204"/>
      <c r="JFX27" s="204"/>
      <c r="JFY27" s="204"/>
      <c r="JFZ27" s="204"/>
      <c r="JGA27" s="204"/>
      <c r="JGB27" s="204"/>
      <c r="JGC27" s="204"/>
      <c r="JGD27" s="204"/>
      <c r="JGE27" s="204"/>
      <c r="JGF27" s="204"/>
      <c r="JGG27" s="204"/>
      <c r="JGH27" s="204"/>
      <c r="JGI27" s="204"/>
      <c r="JGJ27" s="204"/>
      <c r="JGK27" s="204"/>
      <c r="JGL27" s="204"/>
      <c r="JGM27" s="204"/>
      <c r="JGN27" s="204"/>
      <c r="JGO27" s="204"/>
      <c r="JGP27" s="204"/>
      <c r="JGQ27" s="204"/>
      <c r="JGR27" s="204"/>
      <c r="JGS27" s="204"/>
      <c r="JGT27" s="204"/>
      <c r="JGU27" s="204"/>
      <c r="JGV27" s="204"/>
      <c r="JGW27" s="204"/>
      <c r="JGX27" s="204"/>
      <c r="JGY27" s="204"/>
      <c r="JGZ27" s="204"/>
      <c r="JHA27" s="204"/>
      <c r="JHB27" s="204"/>
      <c r="JHC27" s="204"/>
      <c r="JHD27" s="204"/>
      <c r="JHE27" s="204"/>
      <c r="JHF27" s="204"/>
      <c r="JHG27" s="204"/>
      <c r="JHH27" s="204"/>
      <c r="JHI27" s="204"/>
      <c r="JHJ27" s="204"/>
      <c r="JHK27" s="204"/>
      <c r="JHL27" s="204"/>
      <c r="JHM27" s="204"/>
      <c r="JHN27" s="204"/>
      <c r="JHO27" s="204"/>
      <c r="JHP27" s="204"/>
      <c r="JHQ27" s="204"/>
      <c r="JHR27" s="204"/>
      <c r="JHS27" s="204"/>
      <c r="JHT27" s="204"/>
      <c r="JHU27" s="204"/>
      <c r="JHV27" s="204"/>
      <c r="JHW27" s="204"/>
      <c r="JHX27" s="204"/>
      <c r="JHY27" s="204"/>
      <c r="JHZ27" s="204"/>
      <c r="JIA27" s="204"/>
      <c r="JIB27" s="204"/>
      <c r="JIC27" s="204"/>
      <c r="JID27" s="204"/>
      <c r="JIE27" s="204"/>
      <c r="JIF27" s="204"/>
      <c r="JIG27" s="204"/>
      <c r="JIH27" s="204"/>
      <c r="JII27" s="204"/>
      <c r="JIJ27" s="204"/>
      <c r="JIK27" s="204"/>
      <c r="JIL27" s="204"/>
      <c r="JIM27" s="204"/>
      <c r="JIN27" s="204"/>
      <c r="JIO27" s="204"/>
      <c r="JIP27" s="204"/>
      <c r="JIQ27" s="204"/>
      <c r="JIR27" s="204"/>
      <c r="JIS27" s="204"/>
      <c r="JIT27" s="204"/>
      <c r="JIU27" s="204"/>
      <c r="JIV27" s="204"/>
      <c r="JIW27" s="204"/>
      <c r="JIX27" s="204"/>
      <c r="JIY27" s="204"/>
      <c r="JIZ27" s="204"/>
      <c r="JJA27" s="204"/>
      <c r="JJB27" s="204"/>
      <c r="JJC27" s="204"/>
      <c r="JJD27" s="204"/>
      <c r="JJE27" s="204"/>
      <c r="JJF27" s="204"/>
      <c r="JJG27" s="204"/>
      <c r="JJH27" s="204"/>
      <c r="JJI27" s="204"/>
      <c r="JJJ27" s="204"/>
      <c r="JJK27" s="204"/>
      <c r="JJL27" s="204"/>
      <c r="JJM27" s="204"/>
      <c r="JJN27" s="204"/>
      <c r="JJO27" s="204"/>
      <c r="JJP27" s="204"/>
      <c r="JJQ27" s="204"/>
      <c r="JJR27" s="204"/>
      <c r="JJS27" s="204"/>
      <c r="JJT27" s="204"/>
      <c r="JJU27" s="204"/>
      <c r="JJV27" s="204"/>
      <c r="JJW27" s="204"/>
      <c r="JJX27" s="204"/>
      <c r="JJY27" s="204"/>
      <c r="JJZ27" s="204"/>
      <c r="JKA27" s="204"/>
      <c r="JKB27" s="204"/>
      <c r="JKC27" s="204"/>
      <c r="JKD27" s="204"/>
      <c r="JKE27" s="204"/>
      <c r="JKF27" s="204"/>
      <c r="JKG27" s="204"/>
      <c r="JKH27" s="204"/>
      <c r="JKI27" s="204"/>
      <c r="JKJ27" s="204"/>
      <c r="JKK27" s="204"/>
      <c r="JKL27" s="204"/>
      <c r="JKM27" s="204"/>
      <c r="JKN27" s="204"/>
      <c r="JKO27" s="204"/>
      <c r="JKP27" s="204"/>
      <c r="JKQ27" s="204"/>
      <c r="JKR27" s="204"/>
      <c r="JKS27" s="204"/>
      <c r="JKT27" s="204"/>
      <c r="JKU27" s="204"/>
      <c r="JKV27" s="204"/>
      <c r="JKW27" s="204"/>
      <c r="JKX27" s="204"/>
      <c r="JKY27" s="204"/>
      <c r="JKZ27" s="204"/>
      <c r="JLA27" s="204"/>
      <c r="JLB27" s="204"/>
      <c r="JLC27" s="204"/>
      <c r="JLD27" s="204"/>
      <c r="JLE27" s="204"/>
      <c r="JLF27" s="204"/>
      <c r="JLG27" s="204"/>
      <c r="JLH27" s="204"/>
      <c r="JLI27" s="204"/>
      <c r="JLJ27" s="204"/>
      <c r="JLK27" s="204"/>
      <c r="JLL27" s="204"/>
      <c r="JLM27" s="204"/>
      <c r="JLN27" s="204"/>
      <c r="JLO27" s="204"/>
      <c r="JLP27" s="204"/>
      <c r="JLQ27" s="204"/>
      <c r="JLR27" s="204"/>
      <c r="JLS27" s="204"/>
      <c r="JLT27" s="204"/>
      <c r="JLU27" s="204"/>
      <c r="JLV27" s="204"/>
      <c r="JLW27" s="204"/>
      <c r="JLX27" s="204"/>
      <c r="JLY27" s="204"/>
      <c r="JLZ27" s="204"/>
      <c r="JMA27" s="204"/>
      <c r="JMB27" s="204"/>
      <c r="JMC27" s="204"/>
      <c r="JMD27" s="204"/>
      <c r="JME27" s="204"/>
      <c r="JMF27" s="204"/>
      <c r="JMG27" s="204"/>
      <c r="JMH27" s="204"/>
      <c r="JMI27" s="204"/>
      <c r="JMJ27" s="204"/>
      <c r="JMK27" s="204"/>
      <c r="JML27" s="204"/>
      <c r="JMM27" s="204"/>
      <c r="JMN27" s="204"/>
      <c r="JMO27" s="204"/>
      <c r="JMP27" s="204"/>
      <c r="JMQ27" s="204"/>
      <c r="JMR27" s="204"/>
      <c r="JMS27" s="204"/>
      <c r="JMT27" s="204"/>
      <c r="JMU27" s="204"/>
      <c r="JMV27" s="204"/>
      <c r="JMW27" s="204"/>
      <c r="JMX27" s="204"/>
      <c r="JMY27" s="204"/>
      <c r="JMZ27" s="204"/>
      <c r="JNA27" s="204"/>
      <c r="JNB27" s="204"/>
      <c r="JNC27" s="204"/>
      <c r="JND27" s="204"/>
      <c r="JNE27" s="204"/>
      <c r="JNF27" s="204"/>
      <c r="JNG27" s="204"/>
      <c r="JNH27" s="204"/>
      <c r="JNI27" s="204"/>
      <c r="JNJ27" s="204"/>
      <c r="JNK27" s="204"/>
      <c r="JNL27" s="204"/>
      <c r="JNM27" s="204"/>
      <c r="JNN27" s="204"/>
      <c r="JNO27" s="204"/>
      <c r="JNP27" s="204"/>
      <c r="JNQ27" s="204"/>
      <c r="JNR27" s="204"/>
      <c r="JNS27" s="204"/>
      <c r="JNT27" s="204"/>
      <c r="JNU27" s="204"/>
      <c r="JNV27" s="204"/>
      <c r="JNW27" s="204"/>
      <c r="JNX27" s="204"/>
      <c r="JNY27" s="204"/>
      <c r="JNZ27" s="204"/>
      <c r="JOA27" s="204"/>
      <c r="JOB27" s="204"/>
      <c r="JOC27" s="204"/>
      <c r="JOD27" s="204"/>
      <c r="JOE27" s="204"/>
      <c r="JOF27" s="204"/>
      <c r="JOG27" s="204"/>
      <c r="JOH27" s="204"/>
      <c r="JOI27" s="204"/>
      <c r="JOJ27" s="204"/>
      <c r="JOK27" s="204"/>
      <c r="JOL27" s="204"/>
      <c r="JOM27" s="204"/>
      <c r="JON27" s="204"/>
      <c r="JOO27" s="204"/>
      <c r="JOP27" s="204"/>
      <c r="JOQ27" s="204"/>
      <c r="JOR27" s="204"/>
      <c r="JOS27" s="204"/>
      <c r="JOT27" s="204"/>
      <c r="JOU27" s="204"/>
      <c r="JOV27" s="204"/>
      <c r="JOW27" s="204"/>
      <c r="JOX27" s="204"/>
      <c r="JOY27" s="204"/>
      <c r="JOZ27" s="204"/>
      <c r="JPA27" s="204"/>
      <c r="JPB27" s="204"/>
      <c r="JPC27" s="204"/>
      <c r="JPD27" s="204"/>
      <c r="JPE27" s="204"/>
      <c r="JPF27" s="204"/>
      <c r="JPG27" s="204"/>
      <c r="JPH27" s="204"/>
      <c r="JPI27" s="204"/>
      <c r="JPJ27" s="204"/>
      <c r="JPK27" s="204"/>
      <c r="JPL27" s="204"/>
      <c r="JPM27" s="204"/>
      <c r="JPN27" s="204"/>
      <c r="JPO27" s="204"/>
      <c r="JPP27" s="204"/>
      <c r="JPQ27" s="204"/>
      <c r="JPR27" s="204"/>
      <c r="JPS27" s="204"/>
      <c r="JPT27" s="204"/>
      <c r="JPU27" s="204"/>
      <c r="JPV27" s="204"/>
      <c r="JPW27" s="204"/>
      <c r="JPX27" s="204"/>
      <c r="JPY27" s="204"/>
      <c r="JPZ27" s="204"/>
      <c r="JQA27" s="204"/>
      <c r="JQB27" s="204"/>
      <c r="JQC27" s="204"/>
      <c r="JQD27" s="204"/>
      <c r="JQE27" s="204"/>
      <c r="JQF27" s="204"/>
      <c r="JQG27" s="204"/>
      <c r="JQH27" s="204"/>
      <c r="JQI27" s="204"/>
      <c r="JQJ27" s="204"/>
      <c r="JQK27" s="204"/>
      <c r="JQL27" s="204"/>
      <c r="JQM27" s="204"/>
      <c r="JQN27" s="204"/>
      <c r="JQO27" s="204"/>
      <c r="JQP27" s="204"/>
      <c r="JQQ27" s="204"/>
      <c r="JQR27" s="204"/>
      <c r="JQS27" s="204"/>
      <c r="JQT27" s="204"/>
      <c r="JQU27" s="204"/>
      <c r="JQV27" s="204"/>
      <c r="JQW27" s="204"/>
      <c r="JQX27" s="204"/>
      <c r="JQY27" s="204"/>
      <c r="JQZ27" s="204"/>
      <c r="JRA27" s="204"/>
      <c r="JRB27" s="204"/>
      <c r="JRC27" s="204"/>
      <c r="JRD27" s="204"/>
      <c r="JRE27" s="204"/>
      <c r="JRF27" s="204"/>
      <c r="JRG27" s="204"/>
      <c r="JRH27" s="204"/>
      <c r="JRI27" s="204"/>
      <c r="JRJ27" s="204"/>
      <c r="JRK27" s="204"/>
      <c r="JRL27" s="204"/>
      <c r="JRM27" s="204"/>
      <c r="JRN27" s="204"/>
      <c r="JRO27" s="204"/>
      <c r="JRP27" s="204"/>
      <c r="JRQ27" s="204"/>
      <c r="JRR27" s="204"/>
      <c r="JRS27" s="204"/>
      <c r="JRT27" s="204"/>
      <c r="JRU27" s="204"/>
      <c r="JRV27" s="204"/>
      <c r="JRW27" s="204"/>
      <c r="JRX27" s="204"/>
      <c r="JRY27" s="204"/>
      <c r="JRZ27" s="204"/>
      <c r="JSA27" s="204"/>
      <c r="JSB27" s="204"/>
      <c r="JSC27" s="204"/>
      <c r="JSD27" s="204"/>
      <c r="JSE27" s="204"/>
      <c r="JSF27" s="204"/>
      <c r="JSG27" s="204"/>
      <c r="JSH27" s="204"/>
      <c r="JSI27" s="204"/>
      <c r="JSJ27" s="204"/>
      <c r="JSK27" s="204"/>
      <c r="JSL27" s="204"/>
      <c r="JSM27" s="204"/>
      <c r="JSN27" s="204"/>
      <c r="JSO27" s="204"/>
      <c r="JSP27" s="204"/>
      <c r="JSQ27" s="204"/>
      <c r="JSR27" s="204"/>
      <c r="JSS27" s="204"/>
      <c r="JST27" s="204"/>
      <c r="JSU27" s="204"/>
      <c r="JSV27" s="204"/>
      <c r="JSW27" s="204"/>
      <c r="JSX27" s="204"/>
      <c r="JSY27" s="204"/>
      <c r="JSZ27" s="204"/>
      <c r="JTA27" s="204"/>
      <c r="JTB27" s="204"/>
      <c r="JTC27" s="204"/>
      <c r="JTD27" s="204"/>
      <c r="JTE27" s="204"/>
      <c r="JTF27" s="204"/>
      <c r="JTG27" s="204"/>
      <c r="JTH27" s="204"/>
      <c r="JTI27" s="204"/>
      <c r="JTJ27" s="204"/>
      <c r="JTK27" s="204"/>
      <c r="JTL27" s="204"/>
      <c r="JTM27" s="204"/>
      <c r="JTN27" s="204"/>
      <c r="JTO27" s="204"/>
      <c r="JTP27" s="204"/>
      <c r="JTQ27" s="204"/>
      <c r="JTR27" s="204"/>
      <c r="JTS27" s="204"/>
      <c r="JTT27" s="204"/>
      <c r="JTU27" s="204"/>
      <c r="JTV27" s="204"/>
      <c r="JTW27" s="204"/>
      <c r="JTX27" s="204"/>
      <c r="JTY27" s="204"/>
      <c r="JTZ27" s="204"/>
      <c r="JUA27" s="204"/>
      <c r="JUB27" s="204"/>
      <c r="JUC27" s="204"/>
      <c r="JUD27" s="204"/>
      <c r="JUE27" s="204"/>
      <c r="JUF27" s="204"/>
      <c r="JUG27" s="204"/>
      <c r="JUH27" s="204"/>
      <c r="JUI27" s="204"/>
      <c r="JUJ27" s="204"/>
      <c r="JUK27" s="204"/>
      <c r="JUL27" s="204"/>
      <c r="JUM27" s="204"/>
      <c r="JUN27" s="204"/>
      <c r="JUO27" s="204"/>
      <c r="JUP27" s="204"/>
      <c r="JUQ27" s="204"/>
      <c r="JUR27" s="204"/>
      <c r="JUS27" s="204"/>
      <c r="JUT27" s="204"/>
      <c r="JUU27" s="204"/>
      <c r="JUV27" s="204"/>
      <c r="JUW27" s="204"/>
      <c r="JUX27" s="204"/>
      <c r="JUY27" s="204"/>
      <c r="JUZ27" s="204"/>
      <c r="JVA27" s="204"/>
      <c r="JVB27" s="204"/>
      <c r="JVC27" s="204"/>
      <c r="JVD27" s="204"/>
      <c r="JVE27" s="204"/>
      <c r="JVF27" s="204"/>
      <c r="JVG27" s="204"/>
      <c r="JVH27" s="204"/>
      <c r="JVI27" s="204"/>
      <c r="JVJ27" s="204"/>
      <c r="JVK27" s="204"/>
      <c r="JVL27" s="204"/>
      <c r="JVM27" s="204"/>
      <c r="JVN27" s="204"/>
      <c r="JVO27" s="204"/>
      <c r="JVP27" s="204"/>
      <c r="JVQ27" s="204"/>
      <c r="JVR27" s="204"/>
      <c r="JVS27" s="204"/>
      <c r="JVT27" s="204"/>
      <c r="JVU27" s="204"/>
      <c r="JVV27" s="204"/>
      <c r="JVW27" s="204"/>
      <c r="JVX27" s="204"/>
      <c r="JVY27" s="204"/>
      <c r="JVZ27" s="204"/>
      <c r="JWA27" s="204"/>
      <c r="JWB27" s="204"/>
      <c r="JWC27" s="204"/>
      <c r="JWD27" s="204"/>
      <c r="JWE27" s="204"/>
      <c r="JWF27" s="204"/>
      <c r="JWG27" s="204"/>
      <c r="JWH27" s="204"/>
      <c r="JWI27" s="204"/>
      <c r="JWJ27" s="204"/>
      <c r="JWK27" s="204"/>
      <c r="JWL27" s="204"/>
      <c r="JWM27" s="204"/>
      <c r="JWN27" s="204"/>
      <c r="JWO27" s="204"/>
      <c r="JWP27" s="204"/>
      <c r="JWQ27" s="204"/>
      <c r="JWR27" s="204"/>
      <c r="JWS27" s="204"/>
      <c r="JWT27" s="204"/>
      <c r="JWU27" s="204"/>
      <c r="JWV27" s="204"/>
      <c r="JWW27" s="204"/>
      <c r="JWX27" s="204"/>
      <c r="JWY27" s="204"/>
      <c r="JWZ27" s="204"/>
      <c r="JXA27" s="204"/>
      <c r="JXB27" s="204"/>
      <c r="JXC27" s="204"/>
      <c r="JXD27" s="204"/>
      <c r="JXE27" s="204"/>
      <c r="JXF27" s="204"/>
      <c r="JXG27" s="204"/>
      <c r="JXH27" s="204"/>
      <c r="JXI27" s="204"/>
      <c r="JXJ27" s="204"/>
      <c r="JXK27" s="204"/>
      <c r="JXL27" s="204"/>
      <c r="JXM27" s="204"/>
      <c r="JXN27" s="204"/>
      <c r="JXO27" s="204"/>
      <c r="JXP27" s="204"/>
      <c r="JXQ27" s="204"/>
      <c r="JXR27" s="204"/>
      <c r="JXS27" s="204"/>
      <c r="JXT27" s="204"/>
      <c r="JXU27" s="204"/>
      <c r="JXV27" s="204"/>
      <c r="JXW27" s="204"/>
      <c r="JXX27" s="204"/>
      <c r="JXY27" s="204"/>
      <c r="JXZ27" s="204"/>
      <c r="JYA27" s="204"/>
      <c r="JYB27" s="204"/>
      <c r="JYC27" s="204"/>
      <c r="JYD27" s="204"/>
      <c r="JYE27" s="204"/>
      <c r="JYF27" s="204"/>
      <c r="JYG27" s="204"/>
      <c r="JYH27" s="204"/>
      <c r="JYI27" s="204"/>
      <c r="JYJ27" s="204"/>
      <c r="JYK27" s="204"/>
      <c r="JYL27" s="204"/>
      <c r="JYM27" s="204"/>
      <c r="JYN27" s="204"/>
      <c r="JYO27" s="204"/>
      <c r="JYP27" s="204"/>
      <c r="JYQ27" s="204"/>
      <c r="JYR27" s="204"/>
      <c r="JYS27" s="204"/>
      <c r="JYT27" s="204"/>
      <c r="JYU27" s="204"/>
      <c r="JYV27" s="204"/>
      <c r="JYW27" s="204"/>
      <c r="JYX27" s="204"/>
      <c r="JYY27" s="204"/>
      <c r="JYZ27" s="204"/>
      <c r="JZA27" s="204"/>
      <c r="JZB27" s="204"/>
      <c r="JZC27" s="204"/>
      <c r="JZD27" s="204"/>
      <c r="JZE27" s="204"/>
      <c r="JZF27" s="204"/>
      <c r="JZG27" s="204"/>
      <c r="JZH27" s="204"/>
      <c r="JZI27" s="204"/>
      <c r="JZJ27" s="204"/>
      <c r="JZK27" s="204"/>
      <c r="JZL27" s="204"/>
      <c r="JZM27" s="204"/>
      <c r="JZN27" s="204"/>
      <c r="JZO27" s="204"/>
      <c r="JZP27" s="204"/>
      <c r="JZQ27" s="204"/>
      <c r="JZR27" s="204"/>
      <c r="JZS27" s="204"/>
      <c r="JZT27" s="204"/>
      <c r="JZU27" s="204"/>
      <c r="JZV27" s="204"/>
      <c r="JZW27" s="204"/>
      <c r="JZX27" s="204"/>
      <c r="JZY27" s="204"/>
      <c r="JZZ27" s="204"/>
      <c r="KAA27" s="204"/>
      <c r="KAB27" s="204"/>
      <c r="KAC27" s="204"/>
      <c r="KAD27" s="204"/>
      <c r="KAE27" s="204"/>
      <c r="KAF27" s="204"/>
      <c r="KAG27" s="204"/>
      <c r="KAH27" s="204"/>
      <c r="KAI27" s="204"/>
      <c r="KAJ27" s="204"/>
      <c r="KAK27" s="204"/>
      <c r="KAL27" s="204"/>
      <c r="KAM27" s="204"/>
      <c r="KAN27" s="204"/>
      <c r="KAO27" s="204"/>
      <c r="KAP27" s="204"/>
      <c r="KAQ27" s="204"/>
      <c r="KAR27" s="204"/>
      <c r="KAS27" s="204"/>
      <c r="KAT27" s="204"/>
      <c r="KAU27" s="204"/>
      <c r="KAV27" s="204"/>
      <c r="KAW27" s="204"/>
      <c r="KAX27" s="204"/>
      <c r="KAY27" s="204"/>
      <c r="KAZ27" s="204"/>
      <c r="KBA27" s="204"/>
      <c r="KBB27" s="204"/>
      <c r="KBC27" s="204"/>
      <c r="KBD27" s="204"/>
      <c r="KBE27" s="204"/>
      <c r="KBF27" s="204"/>
      <c r="KBG27" s="204"/>
      <c r="KBH27" s="204"/>
      <c r="KBI27" s="204"/>
      <c r="KBJ27" s="204"/>
      <c r="KBK27" s="204"/>
      <c r="KBL27" s="204"/>
      <c r="KBM27" s="204"/>
      <c r="KBN27" s="204"/>
      <c r="KBO27" s="204"/>
      <c r="KBP27" s="204"/>
      <c r="KBQ27" s="204"/>
      <c r="KBR27" s="204"/>
      <c r="KBS27" s="204"/>
      <c r="KBT27" s="204"/>
      <c r="KBU27" s="204"/>
      <c r="KBV27" s="204"/>
      <c r="KBW27" s="204"/>
      <c r="KBX27" s="204"/>
      <c r="KBY27" s="204"/>
      <c r="KBZ27" s="204"/>
      <c r="KCA27" s="204"/>
      <c r="KCB27" s="204"/>
      <c r="KCC27" s="204"/>
      <c r="KCD27" s="204"/>
      <c r="KCE27" s="204"/>
      <c r="KCF27" s="204"/>
      <c r="KCG27" s="204"/>
      <c r="KCH27" s="204"/>
      <c r="KCI27" s="204"/>
      <c r="KCJ27" s="204"/>
      <c r="KCK27" s="204"/>
      <c r="KCL27" s="204"/>
      <c r="KCM27" s="204"/>
      <c r="KCN27" s="204"/>
      <c r="KCO27" s="204"/>
      <c r="KCP27" s="204"/>
      <c r="KCQ27" s="204"/>
      <c r="KCR27" s="204"/>
      <c r="KCS27" s="204"/>
      <c r="KCT27" s="204"/>
      <c r="KCU27" s="204"/>
      <c r="KCV27" s="204"/>
      <c r="KCW27" s="204"/>
      <c r="KCX27" s="204"/>
      <c r="KCY27" s="204"/>
      <c r="KCZ27" s="204"/>
      <c r="KDA27" s="204"/>
      <c r="KDB27" s="204"/>
      <c r="KDC27" s="204"/>
      <c r="KDD27" s="204"/>
      <c r="KDE27" s="204"/>
      <c r="KDF27" s="204"/>
      <c r="KDG27" s="204"/>
      <c r="KDH27" s="204"/>
      <c r="KDI27" s="204"/>
      <c r="KDJ27" s="204"/>
      <c r="KDK27" s="204"/>
      <c r="KDL27" s="204"/>
      <c r="KDM27" s="204"/>
      <c r="KDN27" s="204"/>
      <c r="KDO27" s="204"/>
      <c r="KDP27" s="204"/>
      <c r="KDQ27" s="204"/>
      <c r="KDR27" s="204"/>
      <c r="KDS27" s="204"/>
      <c r="KDT27" s="204"/>
      <c r="KDU27" s="204"/>
      <c r="KDV27" s="204"/>
      <c r="KDW27" s="204"/>
      <c r="KDX27" s="204"/>
      <c r="KDY27" s="204"/>
      <c r="KDZ27" s="204"/>
      <c r="KEA27" s="204"/>
      <c r="KEB27" s="204"/>
      <c r="KEC27" s="204"/>
      <c r="KED27" s="204"/>
      <c r="KEE27" s="204"/>
      <c r="KEF27" s="204"/>
      <c r="KEG27" s="204"/>
      <c r="KEH27" s="204"/>
      <c r="KEI27" s="204"/>
      <c r="KEJ27" s="204"/>
      <c r="KEK27" s="204"/>
      <c r="KEL27" s="204"/>
      <c r="KEM27" s="204"/>
      <c r="KEN27" s="204"/>
      <c r="KEO27" s="204"/>
      <c r="KEP27" s="204"/>
      <c r="KEQ27" s="204"/>
      <c r="KER27" s="204"/>
      <c r="KES27" s="204"/>
      <c r="KET27" s="204"/>
      <c r="KEU27" s="204"/>
      <c r="KEV27" s="204"/>
      <c r="KEW27" s="204"/>
      <c r="KEX27" s="204"/>
      <c r="KEY27" s="204"/>
      <c r="KEZ27" s="204"/>
      <c r="KFA27" s="204"/>
      <c r="KFB27" s="204"/>
      <c r="KFC27" s="204"/>
      <c r="KFD27" s="204"/>
      <c r="KFE27" s="204"/>
      <c r="KFF27" s="204"/>
      <c r="KFG27" s="204"/>
      <c r="KFH27" s="204"/>
      <c r="KFI27" s="204"/>
      <c r="KFJ27" s="204"/>
      <c r="KFK27" s="204"/>
      <c r="KFL27" s="204"/>
      <c r="KFM27" s="204"/>
      <c r="KFN27" s="204"/>
      <c r="KFO27" s="204"/>
      <c r="KFP27" s="204"/>
      <c r="KFQ27" s="204"/>
      <c r="KFR27" s="204"/>
      <c r="KFS27" s="204"/>
      <c r="KFT27" s="204"/>
      <c r="KFU27" s="204"/>
      <c r="KFV27" s="204"/>
      <c r="KFW27" s="204"/>
      <c r="KFX27" s="204"/>
      <c r="KFY27" s="204"/>
      <c r="KFZ27" s="204"/>
      <c r="KGA27" s="204"/>
      <c r="KGB27" s="204"/>
      <c r="KGC27" s="204"/>
      <c r="KGD27" s="204"/>
      <c r="KGE27" s="204"/>
      <c r="KGF27" s="204"/>
      <c r="KGG27" s="204"/>
      <c r="KGH27" s="204"/>
      <c r="KGI27" s="204"/>
      <c r="KGJ27" s="204"/>
      <c r="KGK27" s="204"/>
      <c r="KGL27" s="204"/>
      <c r="KGM27" s="204"/>
      <c r="KGN27" s="204"/>
      <c r="KGO27" s="204"/>
      <c r="KGP27" s="204"/>
      <c r="KGQ27" s="204"/>
      <c r="KGR27" s="204"/>
      <c r="KGS27" s="204"/>
      <c r="KGT27" s="204"/>
      <c r="KGU27" s="204"/>
      <c r="KGV27" s="204"/>
      <c r="KGW27" s="204"/>
      <c r="KGX27" s="204"/>
      <c r="KGY27" s="204"/>
      <c r="KGZ27" s="204"/>
      <c r="KHA27" s="204"/>
      <c r="KHB27" s="204"/>
      <c r="KHC27" s="204"/>
      <c r="KHD27" s="204"/>
      <c r="KHE27" s="204"/>
      <c r="KHF27" s="204"/>
      <c r="KHG27" s="204"/>
      <c r="KHH27" s="204"/>
      <c r="KHI27" s="204"/>
      <c r="KHJ27" s="204"/>
      <c r="KHK27" s="204"/>
      <c r="KHL27" s="204"/>
      <c r="KHM27" s="204"/>
      <c r="KHN27" s="204"/>
      <c r="KHO27" s="204"/>
      <c r="KHP27" s="204"/>
      <c r="KHQ27" s="204"/>
      <c r="KHR27" s="204"/>
      <c r="KHS27" s="204"/>
      <c r="KHT27" s="204"/>
      <c r="KHU27" s="204"/>
      <c r="KHV27" s="204"/>
      <c r="KHW27" s="204"/>
      <c r="KHX27" s="204"/>
      <c r="KHY27" s="204"/>
      <c r="KHZ27" s="204"/>
      <c r="KIA27" s="204"/>
      <c r="KIB27" s="204"/>
      <c r="KIC27" s="204"/>
      <c r="KID27" s="204"/>
      <c r="KIE27" s="204"/>
      <c r="KIF27" s="204"/>
      <c r="KIG27" s="204"/>
      <c r="KIH27" s="204"/>
      <c r="KII27" s="204"/>
      <c r="KIJ27" s="204"/>
      <c r="KIK27" s="204"/>
      <c r="KIL27" s="204"/>
      <c r="KIM27" s="204"/>
      <c r="KIN27" s="204"/>
      <c r="KIO27" s="204"/>
      <c r="KIP27" s="204"/>
      <c r="KIQ27" s="204"/>
      <c r="KIR27" s="204"/>
      <c r="KIS27" s="204"/>
      <c r="KIT27" s="204"/>
      <c r="KIU27" s="204"/>
      <c r="KIV27" s="204"/>
      <c r="KIW27" s="204"/>
      <c r="KIX27" s="204"/>
      <c r="KIY27" s="204"/>
      <c r="KIZ27" s="204"/>
      <c r="KJA27" s="204"/>
      <c r="KJB27" s="204"/>
      <c r="KJC27" s="204"/>
      <c r="KJD27" s="204"/>
      <c r="KJE27" s="204"/>
      <c r="KJF27" s="204"/>
      <c r="KJG27" s="204"/>
      <c r="KJH27" s="204"/>
      <c r="KJI27" s="204"/>
      <c r="KJJ27" s="204"/>
      <c r="KJK27" s="204"/>
      <c r="KJL27" s="204"/>
      <c r="KJM27" s="204"/>
      <c r="KJN27" s="204"/>
      <c r="KJO27" s="204"/>
      <c r="KJP27" s="204"/>
      <c r="KJQ27" s="204"/>
      <c r="KJR27" s="204"/>
      <c r="KJS27" s="204"/>
      <c r="KJT27" s="204"/>
      <c r="KJU27" s="204"/>
      <c r="KJV27" s="204"/>
      <c r="KJW27" s="204"/>
      <c r="KJX27" s="204"/>
      <c r="KJY27" s="204"/>
      <c r="KJZ27" s="204"/>
      <c r="KKA27" s="204"/>
      <c r="KKB27" s="204"/>
      <c r="KKC27" s="204"/>
      <c r="KKD27" s="204"/>
      <c r="KKE27" s="204"/>
      <c r="KKF27" s="204"/>
      <c r="KKG27" s="204"/>
      <c r="KKH27" s="204"/>
      <c r="KKI27" s="204"/>
      <c r="KKJ27" s="204"/>
      <c r="KKK27" s="204"/>
      <c r="KKL27" s="204"/>
      <c r="KKM27" s="204"/>
      <c r="KKN27" s="204"/>
      <c r="KKO27" s="204"/>
      <c r="KKP27" s="204"/>
      <c r="KKQ27" s="204"/>
      <c r="KKR27" s="204"/>
      <c r="KKS27" s="204"/>
      <c r="KKT27" s="204"/>
      <c r="KKU27" s="204"/>
      <c r="KKV27" s="204"/>
      <c r="KKW27" s="204"/>
      <c r="KKX27" s="204"/>
      <c r="KKY27" s="204"/>
      <c r="KKZ27" s="204"/>
      <c r="KLA27" s="204"/>
      <c r="KLB27" s="204"/>
      <c r="KLC27" s="204"/>
      <c r="KLD27" s="204"/>
      <c r="KLE27" s="204"/>
      <c r="KLF27" s="204"/>
      <c r="KLG27" s="204"/>
      <c r="KLH27" s="204"/>
      <c r="KLI27" s="204"/>
      <c r="KLJ27" s="204"/>
      <c r="KLK27" s="204"/>
      <c r="KLL27" s="204"/>
      <c r="KLM27" s="204"/>
      <c r="KLN27" s="204"/>
      <c r="KLO27" s="204"/>
      <c r="KLP27" s="204"/>
      <c r="KLQ27" s="204"/>
      <c r="KLR27" s="204"/>
      <c r="KLS27" s="204"/>
      <c r="KLT27" s="204"/>
      <c r="KLU27" s="204"/>
      <c r="KLV27" s="204"/>
      <c r="KLW27" s="204"/>
      <c r="KLX27" s="204"/>
      <c r="KLY27" s="204"/>
      <c r="KLZ27" s="204"/>
      <c r="KMA27" s="204"/>
      <c r="KMB27" s="204"/>
      <c r="KMC27" s="204"/>
      <c r="KMD27" s="204"/>
      <c r="KME27" s="204"/>
      <c r="KMF27" s="204"/>
      <c r="KMG27" s="204"/>
      <c r="KMH27" s="204"/>
      <c r="KMI27" s="204"/>
      <c r="KMJ27" s="204"/>
      <c r="KMK27" s="204"/>
      <c r="KML27" s="204"/>
      <c r="KMM27" s="204"/>
      <c r="KMN27" s="204"/>
      <c r="KMO27" s="204"/>
      <c r="KMP27" s="204"/>
      <c r="KMQ27" s="204"/>
      <c r="KMR27" s="204"/>
      <c r="KMS27" s="204"/>
      <c r="KMT27" s="204"/>
      <c r="KMU27" s="204"/>
      <c r="KMV27" s="204"/>
      <c r="KMW27" s="204"/>
      <c r="KMX27" s="204"/>
      <c r="KMY27" s="204"/>
      <c r="KMZ27" s="204"/>
      <c r="KNA27" s="204"/>
      <c r="KNB27" s="204"/>
      <c r="KNC27" s="204"/>
      <c r="KND27" s="204"/>
      <c r="KNE27" s="204"/>
      <c r="KNF27" s="204"/>
      <c r="KNG27" s="204"/>
      <c r="KNH27" s="204"/>
      <c r="KNI27" s="204"/>
      <c r="KNJ27" s="204"/>
      <c r="KNK27" s="204"/>
      <c r="KNL27" s="204"/>
      <c r="KNM27" s="204"/>
      <c r="KNN27" s="204"/>
      <c r="KNO27" s="204"/>
      <c r="KNP27" s="204"/>
      <c r="KNQ27" s="204"/>
      <c r="KNR27" s="204"/>
      <c r="KNS27" s="204"/>
      <c r="KNT27" s="204"/>
      <c r="KNU27" s="204"/>
      <c r="KNV27" s="204"/>
      <c r="KNW27" s="204"/>
      <c r="KNX27" s="204"/>
      <c r="KNY27" s="204"/>
      <c r="KNZ27" s="204"/>
      <c r="KOA27" s="204"/>
      <c r="KOB27" s="204"/>
      <c r="KOC27" s="204"/>
      <c r="KOD27" s="204"/>
      <c r="KOE27" s="204"/>
      <c r="KOF27" s="204"/>
      <c r="KOG27" s="204"/>
      <c r="KOH27" s="204"/>
      <c r="KOI27" s="204"/>
      <c r="KOJ27" s="204"/>
      <c r="KOK27" s="204"/>
      <c r="KOL27" s="204"/>
      <c r="KOM27" s="204"/>
      <c r="KON27" s="204"/>
      <c r="KOO27" s="204"/>
      <c r="KOP27" s="204"/>
      <c r="KOQ27" s="204"/>
      <c r="KOR27" s="204"/>
      <c r="KOS27" s="204"/>
      <c r="KOT27" s="204"/>
      <c r="KOU27" s="204"/>
      <c r="KOV27" s="204"/>
      <c r="KOW27" s="204"/>
      <c r="KOX27" s="204"/>
      <c r="KOY27" s="204"/>
      <c r="KOZ27" s="204"/>
      <c r="KPA27" s="204"/>
      <c r="KPB27" s="204"/>
      <c r="KPC27" s="204"/>
      <c r="KPD27" s="204"/>
      <c r="KPE27" s="204"/>
      <c r="KPF27" s="204"/>
      <c r="KPG27" s="204"/>
      <c r="KPH27" s="204"/>
      <c r="KPI27" s="204"/>
      <c r="KPJ27" s="204"/>
      <c r="KPK27" s="204"/>
      <c r="KPL27" s="204"/>
      <c r="KPM27" s="204"/>
      <c r="KPN27" s="204"/>
      <c r="KPO27" s="204"/>
      <c r="KPP27" s="204"/>
      <c r="KPQ27" s="204"/>
      <c r="KPR27" s="204"/>
      <c r="KPS27" s="204"/>
      <c r="KPT27" s="204"/>
      <c r="KPU27" s="204"/>
      <c r="KPV27" s="204"/>
      <c r="KPW27" s="204"/>
      <c r="KPX27" s="204"/>
      <c r="KPY27" s="204"/>
      <c r="KPZ27" s="204"/>
      <c r="KQA27" s="204"/>
      <c r="KQB27" s="204"/>
      <c r="KQC27" s="204"/>
      <c r="KQD27" s="204"/>
      <c r="KQE27" s="204"/>
      <c r="KQF27" s="204"/>
      <c r="KQG27" s="204"/>
      <c r="KQH27" s="204"/>
      <c r="KQI27" s="204"/>
      <c r="KQJ27" s="204"/>
      <c r="KQK27" s="204"/>
      <c r="KQL27" s="204"/>
      <c r="KQM27" s="204"/>
      <c r="KQN27" s="204"/>
      <c r="KQO27" s="204"/>
      <c r="KQP27" s="204"/>
      <c r="KQQ27" s="204"/>
      <c r="KQR27" s="204"/>
      <c r="KQS27" s="204"/>
      <c r="KQT27" s="204"/>
      <c r="KQU27" s="204"/>
      <c r="KQV27" s="204"/>
      <c r="KQW27" s="204"/>
      <c r="KQX27" s="204"/>
      <c r="KQY27" s="204"/>
      <c r="KQZ27" s="204"/>
      <c r="KRA27" s="204"/>
      <c r="KRB27" s="204"/>
      <c r="KRC27" s="204"/>
      <c r="KRD27" s="204"/>
      <c r="KRE27" s="204"/>
      <c r="KRF27" s="204"/>
      <c r="KRG27" s="204"/>
      <c r="KRH27" s="204"/>
      <c r="KRI27" s="204"/>
      <c r="KRJ27" s="204"/>
      <c r="KRK27" s="204"/>
      <c r="KRL27" s="204"/>
      <c r="KRM27" s="204"/>
      <c r="KRN27" s="204"/>
      <c r="KRO27" s="204"/>
      <c r="KRP27" s="204"/>
      <c r="KRQ27" s="204"/>
      <c r="KRR27" s="204"/>
      <c r="KRS27" s="204"/>
      <c r="KRT27" s="204"/>
      <c r="KRU27" s="204"/>
      <c r="KRV27" s="204"/>
      <c r="KRW27" s="204"/>
      <c r="KRX27" s="204"/>
      <c r="KRY27" s="204"/>
      <c r="KRZ27" s="204"/>
      <c r="KSA27" s="204"/>
      <c r="KSB27" s="204"/>
      <c r="KSC27" s="204"/>
      <c r="KSD27" s="204"/>
      <c r="KSE27" s="204"/>
      <c r="KSF27" s="204"/>
      <c r="KSG27" s="204"/>
      <c r="KSH27" s="204"/>
      <c r="KSI27" s="204"/>
      <c r="KSJ27" s="204"/>
      <c r="KSK27" s="204"/>
      <c r="KSL27" s="204"/>
      <c r="KSM27" s="204"/>
      <c r="KSN27" s="204"/>
      <c r="KSO27" s="204"/>
      <c r="KSP27" s="204"/>
      <c r="KSQ27" s="204"/>
      <c r="KSR27" s="204"/>
      <c r="KSS27" s="204"/>
      <c r="KST27" s="204"/>
      <c r="KSU27" s="204"/>
      <c r="KSV27" s="204"/>
      <c r="KSW27" s="204"/>
      <c r="KSX27" s="204"/>
      <c r="KSY27" s="204"/>
      <c r="KSZ27" s="204"/>
      <c r="KTA27" s="204"/>
      <c r="KTB27" s="204"/>
      <c r="KTC27" s="204"/>
      <c r="KTD27" s="204"/>
      <c r="KTE27" s="204"/>
      <c r="KTF27" s="204"/>
      <c r="KTG27" s="204"/>
      <c r="KTH27" s="204"/>
      <c r="KTI27" s="204"/>
      <c r="KTJ27" s="204"/>
      <c r="KTK27" s="204"/>
      <c r="KTL27" s="204"/>
      <c r="KTM27" s="204"/>
      <c r="KTN27" s="204"/>
      <c r="KTO27" s="204"/>
      <c r="KTP27" s="204"/>
      <c r="KTQ27" s="204"/>
      <c r="KTR27" s="204"/>
      <c r="KTS27" s="204"/>
      <c r="KTT27" s="204"/>
      <c r="KTU27" s="204"/>
      <c r="KTV27" s="204"/>
      <c r="KTW27" s="204"/>
      <c r="KTX27" s="204"/>
      <c r="KTY27" s="204"/>
      <c r="KTZ27" s="204"/>
      <c r="KUA27" s="204"/>
      <c r="KUB27" s="204"/>
      <c r="KUC27" s="204"/>
      <c r="KUD27" s="204"/>
      <c r="KUE27" s="204"/>
      <c r="KUF27" s="204"/>
      <c r="KUG27" s="204"/>
      <c r="KUH27" s="204"/>
      <c r="KUI27" s="204"/>
      <c r="KUJ27" s="204"/>
      <c r="KUK27" s="204"/>
      <c r="KUL27" s="204"/>
      <c r="KUM27" s="204"/>
      <c r="KUN27" s="204"/>
      <c r="KUO27" s="204"/>
      <c r="KUP27" s="204"/>
      <c r="KUQ27" s="204"/>
      <c r="KUR27" s="204"/>
      <c r="KUS27" s="204"/>
      <c r="KUT27" s="204"/>
      <c r="KUU27" s="204"/>
      <c r="KUV27" s="204"/>
      <c r="KUW27" s="204"/>
      <c r="KUX27" s="204"/>
      <c r="KUY27" s="204"/>
      <c r="KUZ27" s="204"/>
      <c r="KVA27" s="204"/>
      <c r="KVB27" s="204"/>
      <c r="KVC27" s="204"/>
      <c r="KVD27" s="204"/>
      <c r="KVE27" s="204"/>
      <c r="KVF27" s="204"/>
      <c r="KVG27" s="204"/>
      <c r="KVH27" s="204"/>
      <c r="KVI27" s="204"/>
      <c r="KVJ27" s="204"/>
      <c r="KVK27" s="204"/>
      <c r="KVL27" s="204"/>
      <c r="KVM27" s="204"/>
      <c r="KVN27" s="204"/>
      <c r="KVO27" s="204"/>
      <c r="KVP27" s="204"/>
      <c r="KVQ27" s="204"/>
      <c r="KVR27" s="204"/>
      <c r="KVS27" s="204"/>
      <c r="KVT27" s="204"/>
      <c r="KVU27" s="204"/>
      <c r="KVV27" s="204"/>
      <c r="KVW27" s="204"/>
      <c r="KVX27" s="204"/>
      <c r="KVY27" s="204"/>
      <c r="KVZ27" s="204"/>
      <c r="KWA27" s="204"/>
      <c r="KWB27" s="204"/>
      <c r="KWC27" s="204"/>
      <c r="KWD27" s="204"/>
      <c r="KWE27" s="204"/>
      <c r="KWF27" s="204"/>
      <c r="KWG27" s="204"/>
      <c r="KWH27" s="204"/>
      <c r="KWI27" s="204"/>
      <c r="KWJ27" s="204"/>
      <c r="KWK27" s="204"/>
      <c r="KWL27" s="204"/>
      <c r="KWM27" s="204"/>
      <c r="KWN27" s="204"/>
      <c r="KWO27" s="204"/>
      <c r="KWP27" s="204"/>
      <c r="KWQ27" s="204"/>
      <c r="KWR27" s="204"/>
      <c r="KWS27" s="204"/>
      <c r="KWT27" s="204"/>
      <c r="KWU27" s="204"/>
      <c r="KWV27" s="204"/>
      <c r="KWW27" s="204"/>
      <c r="KWX27" s="204"/>
      <c r="KWY27" s="204"/>
      <c r="KWZ27" s="204"/>
      <c r="KXA27" s="204"/>
      <c r="KXB27" s="204"/>
      <c r="KXC27" s="204"/>
      <c r="KXD27" s="204"/>
      <c r="KXE27" s="204"/>
      <c r="KXF27" s="204"/>
      <c r="KXG27" s="204"/>
      <c r="KXH27" s="204"/>
      <c r="KXI27" s="204"/>
      <c r="KXJ27" s="204"/>
      <c r="KXK27" s="204"/>
      <c r="KXL27" s="204"/>
      <c r="KXM27" s="204"/>
      <c r="KXN27" s="204"/>
      <c r="KXO27" s="204"/>
      <c r="KXP27" s="204"/>
      <c r="KXQ27" s="204"/>
      <c r="KXR27" s="204"/>
      <c r="KXS27" s="204"/>
      <c r="KXT27" s="204"/>
      <c r="KXU27" s="204"/>
      <c r="KXV27" s="204"/>
      <c r="KXW27" s="204"/>
      <c r="KXX27" s="204"/>
      <c r="KXY27" s="204"/>
      <c r="KXZ27" s="204"/>
      <c r="KYA27" s="204"/>
      <c r="KYB27" s="204"/>
      <c r="KYC27" s="204"/>
      <c r="KYD27" s="204"/>
      <c r="KYE27" s="204"/>
      <c r="KYF27" s="204"/>
      <c r="KYG27" s="204"/>
      <c r="KYH27" s="204"/>
      <c r="KYI27" s="204"/>
      <c r="KYJ27" s="204"/>
      <c r="KYK27" s="204"/>
      <c r="KYL27" s="204"/>
      <c r="KYM27" s="204"/>
      <c r="KYN27" s="204"/>
      <c r="KYO27" s="204"/>
      <c r="KYP27" s="204"/>
      <c r="KYQ27" s="204"/>
      <c r="KYR27" s="204"/>
      <c r="KYS27" s="204"/>
      <c r="KYT27" s="204"/>
      <c r="KYU27" s="204"/>
      <c r="KYV27" s="204"/>
      <c r="KYW27" s="204"/>
      <c r="KYX27" s="204"/>
      <c r="KYY27" s="204"/>
      <c r="KYZ27" s="204"/>
      <c r="KZA27" s="204"/>
      <c r="KZB27" s="204"/>
      <c r="KZC27" s="204"/>
      <c r="KZD27" s="204"/>
      <c r="KZE27" s="204"/>
      <c r="KZF27" s="204"/>
      <c r="KZG27" s="204"/>
      <c r="KZH27" s="204"/>
      <c r="KZI27" s="204"/>
      <c r="KZJ27" s="204"/>
      <c r="KZK27" s="204"/>
      <c r="KZL27" s="204"/>
      <c r="KZM27" s="204"/>
      <c r="KZN27" s="204"/>
      <c r="KZO27" s="204"/>
      <c r="KZP27" s="204"/>
      <c r="KZQ27" s="204"/>
      <c r="KZR27" s="204"/>
      <c r="KZS27" s="204"/>
      <c r="KZT27" s="204"/>
      <c r="KZU27" s="204"/>
      <c r="KZV27" s="204"/>
      <c r="KZW27" s="204"/>
      <c r="KZX27" s="204"/>
      <c r="KZY27" s="204"/>
      <c r="KZZ27" s="204"/>
      <c r="LAA27" s="204"/>
      <c r="LAB27" s="204"/>
      <c r="LAC27" s="204"/>
      <c r="LAD27" s="204"/>
      <c r="LAE27" s="204"/>
      <c r="LAF27" s="204"/>
      <c r="LAG27" s="204"/>
      <c r="LAH27" s="204"/>
      <c r="LAI27" s="204"/>
      <c r="LAJ27" s="204"/>
      <c r="LAK27" s="204"/>
      <c r="LAL27" s="204"/>
      <c r="LAM27" s="204"/>
      <c r="LAN27" s="204"/>
      <c r="LAO27" s="204"/>
      <c r="LAP27" s="204"/>
      <c r="LAQ27" s="204"/>
      <c r="LAR27" s="204"/>
      <c r="LAS27" s="204"/>
      <c r="LAT27" s="204"/>
      <c r="LAU27" s="204"/>
      <c r="LAV27" s="204"/>
      <c r="LAW27" s="204"/>
      <c r="LAX27" s="204"/>
      <c r="LAY27" s="204"/>
      <c r="LAZ27" s="204"/>
      <c r="LBA27" s="204"/>
      <c r="LBB27" s="204"/>
      <c r="LBC27" s="204"/>
      <c r="LBD27" s="204"/>
      <c r="LBE27" s="204"/>
      <c r="LBF27" s="204"/>
      <c r="LBG27" s="204"/>
      <c r="LBH27" s="204"/>
      <c r="LBI27" s="204"/>
      <c r="LBJ27" s="204"/>
      <c r="LBK27" s="204"/>
      <c r="LBL27" s="204"/>
      <c r="LBM27" s="204"/>
      <c r="LBN27" s="204"/>
      <c r="LBO27" s="204"/>
      <c r="LBP27" s="204"/>
      <c r="LBQ27" s="204"/>
      <c r="LBR27" s="204"/>
      <c r="LBS27" s="204"/>
      <c r="LBT27" s="204"/>
      <c r="LBU27" s="204"/>
      <c r="LBV27" s="204"/>
      <c r="LBW27" s="204"/>
      <c r="LBX27" s="204"/>
      <c r="LBY27" s="204"/>
      <c r="LBZ27" s="204"/>
      <c r="LCA27" s="204"/>
      <c r="LCB27" s="204"/>
      <c r="LCC27" s="204"/>
      <c r="LCD27" s="204"/>
      <c r="LCE27" s="204"/>
      <c r="LCF27" s="204"/>
      <c r="LCG27" s="204"/>
      <c r="LCH27" s="204"/>
      <c r="LCI27" s="204"/>
      <c r="LCJ27" s="204"/>
      <c r="LCK27" s="204"/>
      <c r="LCL27" s="204"/>
      <c r="LCM27" s="204"/>
      <c r="LCN27" s="204"/>
      <c r="LCO27" s="204"/>
      <c r="LCP27" s="204"/>
      <c r="LCQ27" s="204"/>
      <c r="LCR27" s="204"/>
      <c r="LCS27" s="204"/>
      <c r="LCT27" s="204"/>
      <c r="LCU27" s="204"/>
      <c r="LCV27" s="204"/>
      <c r="LCW27" s="204"/>
      <c r="LCX27" s="204"/>
      <c r="LCY27" s="204"/>
      <c r="LCZ27" s="204"/>
      <c r="LDA27" s="204"/>
      <c r="LDB27" s="204"/>
      <c r="LDC27" s="204"/>
      <c r="LDD27" s="204"/>
      <c r="LDE27" s="204"/>
      <c r="LDF27" s="204"/>
      <c r="LDG27" s="204"/>
      <c r="LDH27" s="204"/>
      <c r="LDI27" s="204"/>
      <c r="LDJ27" s="204"/>
      <c r="LDK27" s="204"/>
      <c r="LDL27" s="204"/>
      <c r="LDM27" s="204"/>
      <c r="LDN27" s="204"/>
      <c r="LDO27" s="204"/>
      <c r="LDP27" s="204"/>
      <c r="LDQ27" s="204"/>
      <c r="LDR27" s="204"/>
      <c r="LDS27" s="204"/>
      <c r="LDT27" s="204"/>
      <c r="LDU27" s="204"/>
      <c r="LDV27" s="204"/>
      <c r="LDW27" s="204"/>
      <c r="LDX27" s="204"/>
      <c r="LDY27" s="204"/>
      <c r="LDZ27" s="204"/>
      <c r="LEA27" s="204"/>
      <c r="LEB27" s="204"/>
      <c r="LEC27" s="204"/>
      <c r="LED27" s="204"/>
      <c r="LEE27" s="204"/>
      <c r="LEF27" s="204"/>
      <c r="LEG27" s="204"/>
      <c r="LEH27" s="204"/>
      <c r="LEI27" s="204"/>
      <c r="LEJ27" s="204"/>
      <c r="LEK27" s="204"/>
      <c r="LEL27" s="204"/>
      <c r="LEM27" s="204"/>
      <c r="LEN27" s="204"/>
      <c r="LEO27" s="204"/>
      <c r="LEP27" s="204"/>
      <c r="LEQ27" s="204"/>
      <c r="LER27" s="204"/>
      <c r="LES27" s="204"/>
      <c r="LET27" s="204"/>
      <c r="LEU27" s="204"/>
      <c r="LEV27" s="204"/>
      <c r="LEW27" s="204"/>
      <c r="LEX27" s="204"/>
      <c r="LEY27" s="204"/>
      <c r="LEZ27" s="204"/>
      <c r="LFA27" s="204"/>
      <c r="LFB27" s="204"/>
      <c r="LFC27" s="204"/>
      <c r="LFD27" s="204"/>
      <c r="LFE27" s="204"/>
      <c r="LFF27" s="204"/>
      <c r="LFG27" s="204"/>
      <c r="LFH27" s="204"/>
      <c r="LFI27" s="204"/>
      <c r="LFJ27" s="204"/>
      <c r="LFK27" s="204"/>
      <c r="LFL27" s="204"/>
      <c r="LFM27" s="204"/>
      <c r="LFN27" s="204"/>
      <c r="LFO27" s="204"/>
      <c r="LFP27" s="204"/>
      <c r="LFQ27" s="204"/>
      <c r="LFR27" s="204"/>
      <c r="LFS27" s="204"/>
      <c r="LFT27" s="204"/>
      <c r="LFU27" s="204"/>
      <c r="LFV27" s="204"/>
      <c r="LFW27" s="204"/>
      <c r="LFX27" s="204"/>
      <c r="LFY27" s="204"/>
      <c r="LFZ27" s="204"/>
      <c r="LGA27" s="204"/>
      <c r="LGB27" s="204"/>
      <c r="LGC27" s="204"/>
      <c r="LGD27" s="204"/>
      <c r="LGE27" s="204"/>
      <c r="LGF27" s="204"/>
      <c r="LGG27" s="204"/>
      <c r="LGH27" s="204"/>
      <c r="LGI27" s="204"/>
      <c r="LGJ27" s="204"/>
      <c r="LGK27" s="204"/>
      <c r="LGL27" s="204"/>
      <c r="LGM27" s="204"/>
      <c r="LGN27" s="204"/>
      <c r="LGO27" s="204"/>
      <c r="LGP27" s="204"/>
      <c r="LGQ27" s="204"/>
      <c r="LGR27" s="204"/>
      <c r="LGS27" s="204"/>
      <c r="LGT27" s="204"/>
      <c r="LGU27" s="204"/>
      <c r="LGV27" s="204"/>
      <c r="LGW27" s="204"/>
      <c r="LGX27" s="204"/>
      <c r="LGY27" s="204"/>
      <c r="LGZ27" s="204"/>
      <c r="LHA27" s="204"/>
      <c r="LHB27" s="204"/>
      <c r="LHC27" s="204"/>
      <c r="LHD27" s="204"/>
      <c r="LHE27" s="204"/>
      <c r="LHF27" s="204"/>
      <c r="LHG27" s="204"/>
      <c r="LHH27" s="204"/>
      <c r="LHI27" s="204"/>
      <c r="LHJ27" s="204"/>
      <c r="LHK27" s="204"/>
      <c r="LHL27" s="204"/>
      <c r="LHM27" s="204"/>
      <c r="LHN27" s="204"/>
      <c r="LHO27" s="204"/>
      <c r="LHP27" s="204"/>
      <c r="LHQ27" s="204"/>
      <c r="LHR27" s="204"/>
      <c r="LHS27" s="204"/>
      <c r="LHT27" s="204"/>
      <c r="LHU27" s="204"/>
      <c r="LHV27" s="204"/>
      <c r="LHW27" s="204"/>
      <c r="LHX27" s="204"/>
      <c r="LHY27" s="204"/>
      <c r="LHZ27" s="204"/>
      <c r="LIA27" s="204"/>
      <c r="LIB27" s="204"/>
      <c r="LIC27" s="204"/>
      <c r="LID27" s="204"/>
      <c r="LIE27" s="204"/>
      <c r="LIF27" s="204"/>
      <c r="LIG27" s="204"/>
      <c r="LIH27" s="204"/>
      <c r="LII27" s="204"/>
      <c r="LIJ27" s="204"/>
      <c r="LIK27" s="204"/>
      <c r="LIL27" s="204"/>
      <c r="LIM27" s="204"/>
      <c r="LIN27" s="204"/>
      <c r="LIO27" s="204"/>
      <c r="LIP27" s="204"/>
      <c r="LIQ27" s="204"/>
      <c r="LIR27" s="204"/>
      <c r="LIS27" s="204"/>
      <c r="LIT27" s="204"/>
      <c r="LIU27" s="204"/>
      <c r="LIV27" s="204"/>
      <c r="LIW27" s="204"/>
      <c r="LIX27" s="204"/>
      <c r="LIY27" s="204"/>
      <c r="LIZ27" s="204"/>
      <c r="LJA27" s="204"/>
      <c r="LJB27" s="204"/>
      <c r="LJC27" s="204"/>
      <c r="LJD27" s="204"/>
      <c r="LJE27" s="204"/>
      <c r="LJF27" s="204"/>
      <c r="LJG27" s="204"/>
      <c r="LJH27" s="204"/>
      <c r="LJI27" s="204"/>
      <c r="LJJ27" s="204"/>
      <c r="LJK27" s="204"/>
      <c r="LJL27" s="204"/>
      <c r="LJM27" s="204"/>
      <c r="LJN27" s="204"/>
      <c r="LJO27" s="204"/>
      <c r="LJP27" s="204"/>
      <c r="LJQ27" s="204"/>
      <c r="LJR27" s="204"/>
      <c r="LJS27" s="204"/>
      <c r="LJT27" s="204"/>
      <c r="LJU27" s="204"/>
      <c r="LJV27" s="204"/>
      <c r="LJW27" s="204"/>
      <c r="LJX27" s="204"/>
      <c r="LJY27" s="204"/>
      <c r="LJZ27" s="204"/>
      <c r="LKA27" s="204"/>
      <c r="LKB27" s="204"/>
      <c r="LKC27" s="204"/>
      <c r="LKD27" s="204"/>
      <c r="LKE27" s="204"/>
      <c r="LKF27" s="204"/>
      <c r="LKG27" s="204"/>
      <c r="LKH27" s="204"/>
      <c r="LKI27" s="204"/>
      <c r="LKJ27" s="204"/>
      <c r="LKK27" s="204"/>
      <c r="LKL27" s="204"/>
      <c r="LKM27" s="204"/>
      <c r="LKN27" s="204"/>
      <c r="LKO27" s="204"/>
      <c r="LKP27" s="204"/>
      <c r="LKQ27" s="204"/>
      <c r="LKR27" s="204"/>
      <c r="LKS27" s="204"/>
      <c r="LKT27" s="204"/>
      <c r="LKU27" s="204"/>
      <c r="LKV27" s="204"/>
      <c r="LKW27" s="204"/>
      <c r="LKX27" s="204"/>
      <c r="LKY27" s="204"/>
      <c r="LKZ27" s="204"/>
      <c r="LLA27" s="204"/>
      <c r="LLB27" s="204"/>
      <c r="LLC27" s="204"/>
      <c r="LLD27" s="204"/>
      <c r="LLE27" s="204"/>
      <c r="LLF27" s="204"/>
      <c r="LLG27" s="204"/>
      <c r="LLH27" s="204"/>
      <c r="LLI27" s="204"/>
      <c r="LLJ27" s="204"/>
      <c r="LLK27" s="204"/>
      <c r="LLL27" s="204"/>
      <c r="LLM27" s="204"/>
      <c r="LLN27" s="204"/>
      <c r="LLO27" s="204"/>
      <c r="LLP27" s="204"/>
      <c r="LLQ27" s="204"/>
      <c r="LLR27" s="204"/>
      <c r="LLS27" s="204"/>
      <c r="LLT27" s="204"/>
      <c r="LLU27" s="204"/>
      <c r="LLV27" s="204"/>
      <c r="LLW27" s="204"/>
      <c r="LLX27" s="204"/>
      <c r="LLY27" s="204"/>
      <c r="LLZ27" s="204"/>
      <c r="LMA27" s="204"/>
      <c r="LMB27" s="204"/>
      <c r="LMC27" s="204"/>
      <c r="LMD27" s="204"/>
      <c r="LME27" s="204"/>
      <c r="LMF27" s="204"/>
      <c r="LMG27" s="204"/>
      <c r="LMH27" s="204"/>
      <c r="LMI27" s="204"/>
      <c r="LMJ27" s="204"/>
      <c r="LMK27" s="204"/>
      <c r="LML27" s="204"/>
      <c r="LMM27" s="204"/>
      <c r="LMN27" s="204"/>
      <c r="LMO27" s="204"/>
      <c r="LMP27" s="204"/>
      <c r="LMQ27" s="204"/>
      <c r="LMR27" s="204"/>
      <c r="LMS27" s="204"/>
      <c r="LMT27" s="204"/>
      <c r="LMU27" s="204"/>
      <c r="LMV27" s="204"/>
      <c r="LMW27" s="204"/>
      <c r="LMX27" s="204"/>
      <c r="LMY27" s="204"/>
      <c r="LMZ27" s="204"/>
      <c r="LNA27" s="204"/>
      <c r="LNB27" s="204"/>
      <c r="LNC27" s="204"/>
      <c r="LND27" s="204"/>
      <c r="LNE27" s="204"/>
      <c r="LNF27" s="204"/>
      <c r="LNG27" s="204"/>
      <c r="LNH27" s="204"/>
      <c r="LNI27" s="204"/>
      <c r="LNJ27" s="204"/>
      <c r="LNK27" s="204"/>
      <c r="LNL27" s="204"/>
      <c r="LNM27" s="204"/>
      <c r="LNN27" s="204"/>
      <c r="LNO27" s="204"/>
      <c r="LNP27" s="204"/>
      <c r="LNQ27" s="204"/>
      <c r="LNR27" s="204"/>
      <c r="LNS27" s="204"/>
      <c r="LNT27" s="204"/>
      <c r="LNU27" s="204"/>
      <c r="LNV27" s="204"/>
      <c r="LNW27" s="204"/>
      <c r="LNX27" s="204"/>
      <c r="LNY27" s="204"/>
      <c r="LNZ27" s="204"/>
      <c r="LOA27" s="204"/>
      <c r="LOB27" s="204"/>
      <c r="LOC27" s="204"/>
      <c r="LOD27" s="204"/>
      <c r="LOE27" s="204"/>
      <c r="LOF27" s="204"/>
      <c r="LOG27" s="204"/>
      <c r="LOH27" s="204"/>
      <c r="LOI27" s="204"/>
      <c r="LOJ27" s="204"/>
      <c r="LOK27" s="204"/>
      <c r="LOL27" s="204"/>
      <c r="LOM27" s="204"/>
      <c r="LON27" s="204"/>
      <c r="LOO27" s="204"/>
      <c r="LOP27" s="204"/>
      <c r="LOQ27" s="204"/>
      <c r="LOR27" s="204"/>
      <c r="LOS27" s="204"/>
      <c r="LOT27" s="204"/>
      <c r="LOU27" s="204"/>
      <c r="LOV27" s="204"/>
      <c r="LOW27" s="204"/>
      <c r="LOX27" s="204"/>
      <c r="LOY27" s="204"/>
      <c r="LOZ27" s="204"/>
      <c r="LPA27" s="204"/>
      <c r="LPB27" s="204"/>
      <c r="LPC27" s="204"/>
      <c r="LPD27" s="204"/>
      <c r="LPE27" s="204"/>
      <c r="LPF27" s="204"/>
      <c r="LPG27" s="204"/>
      <c r="LPH27" s="204"/>
      <c r="LPI27" s="204"/>
      <c r="LPJ27" s="204"/>
      <c r="LPK27" s="204"/>
      <c r="LPL27" s="204"/>
      <c r="LPM27" s="204"/>
      <c r="LPN27" s="204"/>
      <c r="LPO27" s="204"/>
      <c r="LPP27" s="204"/>
      <c r="LPQ27" s="204"/>
      <c r="LPR27" s="204"/>
      <c r="LPS27" s="204"/>
      <c r="LPT27" s="204"/>
      <c r="LPU27" s="204"/>
      <c r="LPV27" s="204"/>
      <c r="LPW27" s="204"/>
      <c r="LPX27" s="204"/>
      <c r="LPY27" s="204"/>
      <c r="LPZ27" s="204"/>
      <c r="LQA27" s="204"/>
      <c r="LQB27" s="204"/>
      <c r="LQC27" s="204"/>
      <c r="LQD27" s="204"/>
      <c r="LQE27" s="204"/>
      <c r="LQF27" s="204"/>
      <c r="LQG27" s="204"/>
      <c r="LQH27" s="204"/>
      <c r="LQI27" s="204"/>
      <c r="LQJ27" s="204"/>
      <c r="LQK27" s="204"/>
      <c r="LQL27" s="204"/>
      <c r="LQM27" s="204"/>
      <c r="LQN27" s="204"/>
      <c r="LQO27" s="204"/>
      <c r="LQP27" s="204"/>
      <c r="LQQ27" s="204"/>
      <c r="LQR27" s="204"/>
      <c r="LQS27" s="204"/>
      <c r="LQT27" s="204"/>
      <c r="LQU27" s="204"/>
      <c r="LQV27" s="204"/>
      <c r="LQW27" s="204"/>
      <c r="LQX27" s="204"/>
      <c r="LQY27" s="204"/>
      <c r="LQZ27" s="204"/>
      <c r="LRA27" s="204"/>
      <c r="LRB27" s="204"/>
      <c r="LRC27" s="204"/>
      <c r="LRD27" s="204"/>
      <c r="LRE27" s="204"/>
      <c r="LRF27" s="204"/>
      <c r="LRG27" s="204"/>
      <c r="LRH27" s="204"/>
      <c r="LRI27" s="204"/>
      <c r="LRJ27" s="204"/>
      <c r="LRK27" s="204"/>
      <c r="LRL27" s="204"/>
      <c r="LRM27" s="204"/>
      <c r="LRN27" s="204"/>
      <c r="LRO27" s="204"/>
      <c r="LRP27" s="204"/>
      <c r="LRQ27" s="204"/>
      <c r="LRR27" s="204"/>
      <c r="LRS27" s="204"/>
      <c r="LRT27" s="204"/>
      <c r="LRU27" s="204"/>
      <c r="LRV27" s="204"/>
      <c r="LRW27" s="204"/>
      <c r="LRX27" s="204"/>
      <c r="LRY27" s="204"/>
      <c r="LRZ27" s="204"/>
      <c r="LSA27" s="204"/>
      <c r="LSB27" s="204"/>
      <c r="LSC27" s="204"/>
      <c r="LSD27" s="204"/>
      <c r="LSE27" s="204"/>
      <c r="LSF27" s="204"/>
      <c r="LSG27" s="204"/>
      <c r="LSH27" s="204"/>
      <c r="LSI27" s="204"/>
      <c r="LSJ27" s="204"/>
      <c r="LSK27" s="204"/>
      <c r="LSL27" s="204"/>
      <c r="LSM27" s="204"/>
      <c r="LSN27" s="204"/>
      <c r="LSO27" s="204"/>
      <c r="LSP27" s="204"/>
      <c r="LSQ27" s="204"/>
      <c r="LSR27" s="204"/>
      <c r="LSS27" s="204"/>
      <c r="LST27" s="204"/>
      <c r="LSU27" s="204"/>
      <c r="LSV27" s="204"/>
      <c r="LSW27" s="204"/>
      <c r="LSX27" s="204"/>
      <c r="LSY27" s="204"/>
      <c r="LSZ27" s="204"/>
      <c r="LTA27" s="204"/>
      <c r="LTB27" s="204"/>
      <c r="LTC27" s="204"/>
      <c r="LTD27" s="204"/>
      <c r="LTE27" s="204"/>
      <c r="LTF27" s="204"/>
      <c r="LTG27" s="204"/>
      <c r="LTH27" s="204"/>
      <c r="LTI27" s="204"/>
      <c r="LTJ27" s="204"/>
      <c r="LTK27" s="204"/>
      <c r="LTL27" s="204"/>
      <c r="LTM27" s="204"/>
      <c r="LTN27" s="204"/>
      <c r="LTO27" s="204"/>
      <c r="LTP27" s="204"/>
      <c r="LTQ27" s="204"/>
      <c r="LTR27" s="204"/>
      <c r="LTS27" s="204"/>
      <c r="LTT27" s="204"/>
      <c r="LTU27" s="204"/>
      <c r="LTV27" s="204"/>
      <c r="LTW27" s="204"/>
      <c r="LTX27" s="204"/>
      <c r="LTY27" s="204"/>
      <c r="LTZ27" s="204"/>
      <c r="LUA27" s="204"/>
      <c r="LUB27" s="204"/>
      <c r="LUC27" s="204"/>
      <c r="LUD27" s="204"/>
      <c r="LUE27" s="204"/>
      <c r="LUF27" s="204"/>
      <c r="LUG27" s="204"/>
      <c r="LUH27" s="204"/>
      <c r="LUI27" s="204"/>
      <c r="LUJ27" s="204"/>
      <c r="LUK27" s="204"/>
      <c r="LUL27" s="204"/>
      <c r="LUM27" s="204"/>
      <c r="LUN27" s="204"/>
      <c r="LUO27" s="204"/>
      <c r="LUP27" s="204"/>
      <c r="LUQ27" s="204"/>
      <c r="LUR27" s="204"/>
      <c r="LUS27" s="204"/>
      <c r="LUT27" s="204"/>
      <c r="LUU27" s="204"/>
      <c r="LUV27" s="204"/>
      <c r="LUW27" s="204"/>
      <c r="LUX27" s="204"/>
      <c r="LUY27" s="204"/>
      <c r="LUZ27" s="204"/>
      <c r="LVA27" s="204"/>
      <c r="LVB27" s="204"/>
      <c r="LVC27" s="204"/>
      <c r="LVD27" s="204"/>
      <c r="LVE27" s="204"/>
      <c r="LVF27" s="204"/>
      <c r="LVG27" s="204"/>
      <c r="LVH27" s="204"/>
      <c r="LVI27" s="204"/>
      <c r="LVJ27" s="204"/>
      <c r="LVK27" s="204"/>
      <c r="LVL27" s="204"/>
      <c r="LVM27" s="204"/>
      <c r="LVN27" s="204"/>
      <c r="LVO27" s="204"/>
      <c r="LVP27" s="204"/>
      <c r="LVQ27" s="204"/>
      <c r="LVR27" s="204"/>
      <c r="LVS27" s="204"/>
      <c r="LVT27" s="204"/>
      <c r="LVU27" s="204"/>
      <c r="LVV27" s="204"/>
      <c r="LVW27" s="204"/>
      <c r="LVX27" s="204"/>
      <c r="LVY27" s="204"/>
      <c r="LVZ27" s="204"/>
      <c r="LWA27" s="204"/>
      <c r="LWB27" s="204"/>
      <c r="LWC27" s="204"/>
      <c r="LWD27" s="204"/>
      <c r="LWE27" s="204"/>
      <c r="LWF27" s="204"/>
      <c r="LWG27" s="204"/>
      <c r="LWH27" s="204"/>
      <c r="LWI27" s="204"/>
      <c r="LWJ27" s="204"/>
      <c r="LWK27" s="204"/>
      <c r="LWL27" s="204"/>
      <c r="LWM27" s="204"/>
      <c r="LWN27" s="204"/>
      <c r="LWO27" s="204"/>
      <c r="LWP27" s="204"/>
      <c r="LWQ27" s="204"/>
      <c r="LWR27" s="204"/>
      <c r="LWS27" s="204"/>
      <c r="LWT27" s="204"/>
      <c r="LWU27" s="204"/>
      <c r="LWV27" s="204"/>
      <c r="LWW27" s="204"/>
      <c r="LWX27" s="204"/>
      <c r="LWY27" s="204"/>
      <c r="LWZ27" s="204"/>
      <c r="LXA27" s="204"/>
      <c r="LXB27" s="204"/>
      <c r="LXC27" s="204"/>
      <c r="LXD27" s="204"/>
      <c r="LXE27" s="204"/>
      <c r="LXF27" s="204"/>
      <c r="LXG27" s="204"/>
      <c r="LXH27" s="204"/>
      <c r="LXI27" s="204"/>
      <c r="LXJ27" s="204"/>
      <c r="LXK27" s="204"/>
      <c r="LXL27" s="204"/>
      <c r="LXM27" s="204"/>
      <c r="LXN27" s="204"/>
      <c r="LXO27" s="204"/>
      <c r="LXP27" s="204"/>
      <c r="LXQ27" s="204"/>
      <c r="LXR27" s="204"/>
      <c r="LXS27" s="204"/>
      <c r="LXT27" s="204"/>
      <c r="LXU27" s="204"/>
      <c r="LXV27" s="204"/>
      <c r="LXW27" s="204"/>
      <c r="LXX27" s="204"/>
      <c r="LXY27" s="204"/>
      <c r="LXZ27" s="204"/>
      <c r="LYA27" s="204"/>
      <c r="LYB27" s="204"/>
      <c r="LYC27" s="204"/>
      <c r="LYD27" s="204"/>
      <c r="LYE27" s="204"/>
      <c r="LYF27" s="204"/>
      <c r="LYG27" s="204"/>
      <c r="LYH27" s="204"/>
      <c r="LYI27" s="204"/>
      <c r="LYJ27" s="204"/>
      <c r="LYK27" s="204"/>
      <c r="LYL27" s="204"/>
      <c r="LYM27" s="204"/>
      <c r="LYN27" s="204"/>
      <c r="LYO27" s="204"/>
      <c r="LYP27" s="204"/>
      <c r="LYQ27" s="204"/>
      <c r="LYR27" s="204"/>
      <c r="LYS27" s="204"/>
      <c r="LYT27" s="204"/>
      <c r="LYU27" s="204"/>
      <c r="LYV27" s="204"/>
      <c r="LYW27" s="204"/>
      <c r="LYX27" s="204"/>
      <c r="LYY27" s="204"/>
      <c r="LYZ27" s="204"/>
      <c r="LZA27" s="204"/>
      <c r="LZB27" s="204"/>
      <c r="LZC27" s="204"/>
      <c r="LZD27" s="204"/>
      <c r="LZE27" s="204"/>
      <c r="LZF27" s="204"/>
      <c r="LZG27" s="204"/>
      <c r="LZH27" s="204"/>
      <c r="LZI27" s="204"/>
      <c r="LZJ27" s="204"/>
      <c r="LZK27" s="204"/>
      <c r="LZL27" s="204"/>
      <c r="LZM27" s="204"/>
      <c r="LZN27" s="204"/>
      <c r="LZO27" s="204"/>
      <c r="LZP27" s="204"/>
      <c r="LZQ27" s="204"/>
      <c r="LZR27" s="204"/>
      <c r="LZS27" s="204"/>
      <c r="LZT27" s="204"/>
      <c r="LZU27" s="204"/>
      <c r="LZV27" s="204"/>
      <c r="LZW27" s="204"/>
      <c r="LZX27" s="204"/>
      <c r="LZY27" s="204"/>
      <c r="LZZ27" s="204"/>
      <c r="MAA27" s="204"/>
      <c r="MAB27" s="204"/>
      <c r="MAC27" s="204"/>
      <c r="MAD27" s="204"/>
      <c r="MAE27" s="204"/>
      <c r="MAF27" s="204"/>
      <c r="MAG27" s="204"/>
      <c r="MAH27" s="204"/>
      <c r="MAI27" s="204"/>
      <c r="MAJ27" s="204"/>
      <c r="MAK27" s="204"/>
      <c r="MAL27" s="204"/>
      <c r="MAM27" s="204"/>
      <c r="MAN27" s="204"/>
      <c r="MAO27" s="204"/>
      <c r="MAP27" s="204"/>
      <c r="MAQ27" s="204"/>
      <c r="MAR27" s="204"/>
      <c r="MAS27" s="204"/>
      <c r="MAT27" s="204"/>
      <c r="MAU27" s="204"/>
      <c r="MAV27" s="204"/>
      <c r="MAW27" s="204"/>
      <c r="MAX27" s="204"/>
      <c r="MAY27" s="204"/>
      <c r="MAZ27" s="204"/>
      <c r="MBA27" s="204"/>
      <c r="MBB27" s="204"/>
      <c r="MBC27" s="204"/>
      <c r="MBD27" s="204"/>
      <c r="MBE27" s="204"/>
      <c r="MBF27" s="204"/>
      <c r="MBG27" s="204"/>
      <c r="MBH27" s="204"/>
      <c r="MBI27" s="204"/>
      <c r="MBJ27" s="204"/>
      <c r="MBK27" s="204"/>
      <c r="MBL27" s="204"/>
      <c r="MBM27" s="204"/>
      <c r="MBN27" s="204"/>
      <c r="MBO27" s="204"/>
      <c r="MBP27" s="204"/>
      <c r="MBQ27" s="204"/>
      <c r="MBR27" s="204"/>
      <c r="MBS27" s="204"/>
      <c r="MBT27" s="204"/>
      <c r="MBU27" s="204"/>
      <c r="MBV27" s="204"/>
      <c r="MBW27" s="204"/>
      <c r="MBX27" s="204"/>
      <c r="MBY27" s="204"/>
      <c r="MBZ27" s="204"/>
      <c r="MCA27" s="204"/>
      <c r="MCB27" s="204"/>
      <c r="MCC27" s="204"/>
      <c r="MCD27" s="204"/>
      <c r="MCE27" s="204"/>
      <c r="MCF27" s="204"/>
      <c r="MCG27" s="204"/>
      <c r="MCH27" s="204"/>
      <c r="MCI27" s="204"/>
      <c r="MCJ27" s="204"/>
      <c r="MCK27" s="204"/>
      <c r="MCL27" s="204"/>
      <c r="MCM27" s="204"/>
      <c r="MCN27" s="204"/>
      <c r="MCO27" s="204"/>
      <c r="MCP27" s="204"/>
      <c r="MCQ27" s="204"/>
      <c r="MCR27" s="204"/>
      <c r="MCS27" s="204"/>
      <c r="MCT27" s="204"/>
      <c r="MCU27" s="204"/>
      <c r="MCV27" s="204"/>
      <c r="MCW27" s="204"/>
      <c r="MCX27" s="204"/>
      <c r="MCY27" s="204"/>
      <c r="MCZ27" s="204"/>
      <c r="MDA27" s="204"/>
      <c r="MDB27" s="204"/>
      <c r="MDC27" s="204"/>
      <c r="MDD27" s="204"/>
      <c r="MDE27" s="204"/>
      <c r="MDF27" s="204"/>
      <c r="MDG27" s="204"/>
      <c r="MDH27" s="204"/>
      <c r="MDI27" s="204"/>
      <c r="MDJ27" s="204"/>
      <c r="MDK27" s="204"/>
      <c r="MDL27" s="204"/>
      <c r="MDM27" s="204"/>
      <c r="MDN27" s="204"/>
      <c r="MDO27" s="204"/>
      <c r="MDP27" s="204"/>
      <c r="MDQ27" s="204"/>
      <c r="MDR27" s="204"/>
      <c r="MDS27" s="204"/>
      <c r="MDT27" s="204"/>
      <c r="MDU27" s="204"/>
      <c r="MDV27" s="204"/>
      <c r="MDW27" s="204"/>
      <c r="MDX27" s="204"/>
      <c r="MDY27" s="204"/>
      <c r="MDZ27" s="204"/>
      <c r="MEA27" s="204"/>
      <c r="MEB27" s="204"/>
      <c r="MEC27" s="204"/>
      <c r="MED27" s="204"/>
      <c r="MEE27" s="204"/>
      <c r="MEF27" s="204"/>
      <c r="MEG27" s="204"/>
      <c r="MEH27" s="204"/>
      <c r="MEI27" s="204"/>
      <c r="MEJ27" s="204"/>
      <c r="MEK27" s="204"/>
      <c r="MEL27" s="204"/>
      <c r="MEM27" s="204"/>
      <c r="MEN27" s="204"/>
      <c r="MEO27" s="204"/>
      <c r="MEP27" s="204"/>
      <c r="MEQ27" s="204"/>
      <c r="MER27" s="204"/>
      <c r="MES27" s="204"/>
      <c r="MET27" s="204"/>
      <c r="MEU27" s="204"/>
      <c r="MEV27" s="204"/>
      <c r="MEW27" s="204"/>
      <c r="MEX27" s="204"/>
      <c r="MEY27" s="204"/>
      <c r="MEZ27" s="204"/>
      <c r="MFA27" s="204"/>
      <c r="MFB27" s="204"/>
      <c r="MFC27" s="204"/>
      <c r="MFD27" s="204"/>
      <c r="MFE27" s="204"/>
      <c r="MFF27" s="204"/>
      <c r="MFG27" s="204"/>
      <c r="MFH27" s="204"/>
      <c r="MFI27" s="204"/>
      <c r="MFJ27" s="204"/>
      <c r="MFK27" s="204"/>
      <c r="MFL27" s="204"/>
      <c r="MFM27" s="204"/>
      <c r="MFN27" s="204"/>
      <c r="MFO27" s="204"/>
      <c r="MFP27" s="204"/>
      <c r="MFQ27" s="204"/>
      <c r="MFR27" s="204"/>
      <c r="MFS27" s="204"/>
      <c r="MFT27" s="204"/>
      <c r="MFU27" s="204"/>
      <c r="MFV27" s="204"/>
      <c r="MFW27" s="204"/>
      <c r="MFX27" s="204"/>
      <c r="MFY27" s="204"/>
      <c r="MFZ27" s="204"/>
      <c r="MGA27" s="204"/>
      <c r="MGB27" s="204"/>
      <c r="MGC27" s="204"/>
      <c r="MGD27" s="204"/>
      <c r="MGE27" s="204"/>
      <c r="MGF27" s="204"/>
      <c r="MGG27" s="204"/>
      <c r="MGH27" s="204"/>
      <c r="MGI27" s="204"/>
      <c r="MGJ27" s="204"/>
      <c r="MGK27" s="204"/>
      <c r="MGL27" s="204"/>
      <c r="MGM27" s="204"/>
      <c r="MGN27" s="204"/>
      <c r="MGO27" s="204"/>
      <c r="MGP27" s="204"/>
      <c r="MGQ27" s="204"/>
      <c r="MGR27" s="204"/>
      <c r="MGS27" s="204"/>
      <c r="MGT27" s="204"/>
      <c r="MGU27" s="204"/>
      <c r="MGV27" s="204"/>
      <c r="MGW27" s="204"/>
      <c r="MGX27" s="204"/>
      <c r="MGY27" s="204"/>
      <c r="MGZ27" s="204"/>
      <c r="MHA27" s="204"/>
      <c r="MHB27" s="204"/>
      <c r="MHC27" s="204"/>
      <c r="MHD27" s="204"/>
      <c r="MHE27" s="204"/>
      <c r="MHF27" s="204"/>
      <c r="MHG27" s="204"/>
      <c r="MHH27" s="204"/>
      <c r="MHI27" s="204"/>
      <c r="MHJ27" s="204"/>
      <c r="MHK27" s="204"/>
      <c r="MHL27" s="204"/>
      <c r="MHM27" s="204"/>
      <c r="MHN27" s="204"/>
      <c r="MHO27" s="204"/>
      <c r="MHP27" s="204"/>
      <c r="MHQ27" s="204"/>
      <c r="MHR27" s="204"/>
      <c r="MHS27" s="204"/>
      <c r="MHT27" s="204"/>
      <c r="MHU27" s="204"/>
      <c r="MHV27" s="204"/>
      <c r="MHW27" s="204"/>
      <c r="MHX27" s="204"/>
      <c r="MHY27" s="204"/>
      <c r="MHZ27" s="204"/>
      <c r="MIA27" s="204"/>
      <c r="MIB27" s="204"/>
      <c r="MIC27" s="204"/>
      <c r="MID27" s="204"/>
      <c r="MIE27" s="204"/>
      <c r="MIF27" s="204"/>
      <c r="MIG27" s="204"/>
      <c r="MIH27" s="204"/>
      <c r="MII27" s="204"/>
      <c r="MIJ27" s="204"/>
      <c r="MIK27" s="204"/>
      <c r="MIL27" s="204"/>
      <c r="MIM27" s="204"/>
      <c r="MIN27" s="204"/>
      <c r="MIO27" s="204"/>
      <c r="MIP27" s="204"/>
      <c r="MIQ27" s="204"/>
      <c r="MIR27" s="204"/>
      <c r="MIS27" s="204"/>
      <c r="MIT27" s="204"/>
      <c r="MIU27" s="204"/>
      <c r="MIV27" s="204"/>
      <c r="MIW27" s="204"/>
      <c r="MIX27" s="204"/>
      <c r="MIY27" s="204"/>
      <c r="MIZ27" s="204"/>
      <c r="MJA27" s="204"/>
      <c r="MJB27" s="204"/>
      <c r="MJC27" s="204"/>
      <c r="MJD27" s="204"/>
      <c r="MJE27" s="204"/>
      <c r="MJF27" s="204"/>
      <c r="MJG27" s="204"/>
      <c r="MJH27" s="204"/>
      <c r="MJI27" s="204"/>
      <c r="MJJ27" s="204"/>
      <c r="MJK27" s="204"/>
      <c r="MJL27" s="204"/>
      <c r="MJM27" s="204"/>
      <c r="MJN27" s="204"/>
      <c r="MJO27" s="204"/>
      <c r="MJP27" s="204"/>
      <c r="MJQ27" s="204"/>
      <c r="MJR27" s="204"/>
      <c r="MJS27" s="204"/>
      <c r="MJT27" s="204"/>
      <c r="MJU27" s="204"/>
      <c r="MJV27" s="204"/>
      <c r="MJW27" s="204"/>
      <c r="MJX27" s="204"/>
      <c r="MJY27" s="204"/>
      <c r="MJZ27" s="204"/>
      <c r="MKA27" s="204"/>
      <c r="MKB27" s="204"/>
      <c r="MKC27" s="204"/>
      <c r="MKD27" s="204"/>
      <c r="MKE27" s="204"/>
      <c r="MKF27" s="204"/>
      <c r="MKG27" s="204"/>
      <c r="MKH27" s="204"/>
      <c r="MKI27" s="204"/>
      <c r="MKJ27" s="204"/>
      <c r="MKK27" s="204"/>
      <c r="MKL27" s="204"/>
      <c r="MKM27" s="204"/>
      <c r="MKN27" s="204"/>
      <c r="MKO27" s="204"/>
      <c r="MKP27" s="204"/>
      <c r="MKQ27" s="204"/>
      <c r="MKR27" s="204"/>
      <c r="MKS27" s="204"/>
      <c r="MKT27" s="204"/>
      <c r="MKU27" s="204"/>
      <c r="MKV27" s="204"/>
      <c r="MKW27" s="204"/>
      <c r="MKX27" s="204"/>
      <c r="MKY27" s="204"/>
      <c r="MKZ27" s="204"/>
      <c r="MLA27" s="204"/>
      <c r="MLB27" s="204"/>
      <c r="MLC27" s="204"/>
      <c r="MLD27" s="204"/>
      <c r="MLE27" s="204"/>
      <c r="MLF27" s="204"/>
      <c r="MLG27" s="204"/>
      <c r="MLH27" s="204"/>
      <c r="MLI27" s="204"/>
      <c r="MLJ27" s="204"/>
      <c r="MLK27" s="204"/>
      <c r="MLL27" s="204"/>
      <c r="MLM27" s="204"/>
      <c r="MLN27" s="204"/>
      <c r="MLO27" s="204"/>
      <c r="MLP27" s="204"/>
      <c r="MLQ27" s="204"/>
      <c r="MLR27" s="204"/>
      <c r="MLS27" s="204"/>
      <c r="MLT27" s="204"/>
      <c r="MLU27" s="204"/>
      <c r="MLV27" s="204"/>
      <c r="MLW27" s="204"/>
      <c r="MLX27" s="204"/>
      <c r="MLY27" s="204"/>
      <c r="MLZ27" s="204"/>
      <c r="MMA27" s="204"/>
      <c r="MMB27" s="204"/>
      <c r="MMC27" s="204"/>
      <c r="MMD27" s="204"/>
      <c r="MME27" s="204"/>
      <c r="MMF27" s="204"/>
      <c r="MMG27" s="204"/>
      <c r="MMH27" s="204"/>
      <c r="MMI27" s="204"/>
      <c r="MMJ27" s="204"/>
      <c r="MMK27" s="204"/>
      <c r="MML27" s="204"/>
      <c r="MMM27" s="204"/>
      <c r="MMN27" s="204"/>
      <c r="MMO27" s="204"/>
      <c r="MMP27" s="204"/>
      <c r="MMQ27" s="204"/>
      <c r="MMR27" s="204"/>
      <c r="MMS27" s="204"/>
      <c r="MMT27" s="204"/>
      <c r="MMU27" s="204"/>
      <c r="MMV27" s="204"/>
      <c r="MMW27" s="204"/>
      <c r="MMX27" s="204"/>
      <c r="MMY27" s="204"/>
      <c r="MMZ27" s="204"/>
      <c r="MNA27" s="204"/>
      <c r="MNB27" s="204"/>
      <c r="MNC27" s="204"/>
      <c r="MND27" s="204"/>
      <c r="MNE27" s="204"/>
      <c r="MNF27" s="204"/>
      <c r="MNG27" s="204"/>
      <c r="MNH27" s="204"/>
      <c r="MNI27" s="204"/>
      <c r="MNJ27" s="204"/>
      <c r="MNK27" s="204"/>
      <c r="MNL27" s="204"/>
      <c r="MNM27" s="204"/>
      <c r="MNN27" s="204"/>
      <c r="MNO27" s="204"/>
      <c r="MNP27" s="204"/>
      <c r="MNQ27" s="204"/>
      <c r="MNR27" s="204"/>
      <c r="MNS27" s="204"/>
      <c r="MNT27" s="204"/>
      <c r="MNU27" s="204"/>
      <c r="MNV27" s="204"/>
      <c r="MNW27" s="204"/>
      <c r="MNX27" s="204"/>
      <c r="MNY27" s="204"/>
      <c r="MNZ27" s="204"/>
      <c r="MOA27" s="204"/>
      <c r="MOB27" s="204"/>
      <c r="MOC27" s="204"/>
      <c r="MOD27" s="204"/>
      <c r="MOE27" s="204"/>
      <c r="MOF27" s="204"/>
      <c r="MOG27" s="204"/>
      <c r="MOH27" s="204"/>
      <c r="MOI27" s="204"/>
      <c r="MOJ27" s="204"/>
      <c r="MOK27" s="204"/>
      <c r="MOL27" s="204"/>
      <c r="MOM27" s="204"/>
      <c r="MON27" s="204"/>
      <c r="MOO27" s="204"/>
      <c r="MOP27" s="204"/>
      <c r="MOQ27" s="204"/>
      <c r="MOR27" s="204"/>
      <c r="MOS27" s="204"/>
      <c r="MOT27" s="204"/>
      <c r="MOU27" s="204"/>
      <c r="MOV27" s="204"/>
      <c r="MOW27" s="204"/>
      <c r="MOX27" s="204"/>
      <c r="MOY27" s="204"/>
      <c r="MOZ27" s="204"/>
      <c r="MPA27" s="204"/>
      <c r="MPB27" s="204"/>
      <c r="MPC27" s="204"/>
      <c r="MPD27" s="204"/>
      <c r="MPE27" s="204"/>
      <c r="MPF27" s="204"/>
      <c r="MPG27" s="204"/>
      <c r="MPH27" s="204"/>
      <c r="MPI27" s="204"/>
      <c r="MPJ27" s="204"/>
      <c r="MPK27" s="204"/>
      <c r="MPL27" s="204"/>
      <c r="MPM27" s="204"/>
      <c r="MPN27" s="204"/>
      <c r="MPO27" s="204"/>
      <c r="MPP27" s="204"/>
      <c r="MPQ27" s="204"/>
      <c r="MPR27" s="204"/>
      <c r="MPS27" s="204"/>
      <c r="MPT27" s="204"/>
      <c r="MPU27" s="204"/>
      <c r="MPV27" s="204"/>
      <c r="MPW27" s="204"/>
      <c r="MPX27" s="204"/>
      <c r="MPY27" s="204"/>
      <c r="MPZ27" s="204"/>
      <c r="MQA27" s="204"/>
      <c r="MQB27" s="204"/>
      <c r="MQC27" s="204"/>
      <c r="MQD27" s="204"/>
      <c r="MQE27" s="204"/>
      <c r="MQF27" s="204"/>
      <c r="MQG27" s="204"/>
      <c r="MQH27" s="204"/>
      <c r="MQI27" s="204"/>
      <c r="MQJ27" s="204"/>
      <c r="MQK27" s="204"/>
      <c r="MQL27" s="204"/>
      <c r="MQM27" s="204"/>
      <c r="MQN27" s="204"/>
      <c r="MQO27" s="204"/>
      <c r="MQP27" s="204"/>
      <c r="MQQ27" s="204"/>
      <c r="MQR27" s="204"/>
      <c r="MQS27" s="204"/>
      <c r="MQT27" s="204"/>
      <c r="MQU27" s="204"/>
      <c r="MQV27" s="204"/>
      <c r="MQW27" s="204"/>
      <c r="MQX27" s="204"/>
      <c r="MQY27" s="204"/>
      <c r="MQZ27" s="204"/>
      <c r="MRA27" s="204"/>
      <c r="MRB27" s="204"/>
      <c r="MRC27" s="204"/>
      <c r="MRD27" s="204"/>
      <c r="MRE27" s="204"/>
      <c r="MRF27" s="204"/>
      <c r="MRG27" s="204"/>
      <c r="MRH27" s="204"/>
      <c r="MRI27" s="204"/>
      <c r="MRJ27" s="204"/>
      <c r="MRK27" s="204"/>
      <c r="MRL27" s="204"/>
      <c r="MRM27" s="204"/>
      <c r="MRN27" s="204"/>
      <c r="MRO27" s="204"/>
      <c r="MRP27" s="204"/>
      <c r="MRQ27" s="204"/>
      <c r="MRR27" s="204"/>
      <c r="MRS27" s="204"/>
      <c r="MRT27" s="204"/>
      <c r="MRU27" s="204"/>
      <c r="MRV27" s="204"/>
      <c r="MRW27" s="204"/>
      <c r="MRX27" s="204"/>
      <c r="MRY27" s="204"/>
      <c r="MRZ27" s="204"/>
      <c r="MSA27" s="204"/>
      <c r="MSB27" s="204"/>
      <c r="MSC27" s="204"/>
      <c r="MSD27" s="204"/>
      <c r="MSE27" s="204"/>
      <c r="MSF27" s="204"/>
      <c r="MSG27" s="204"/>
      <c r="MSH27" s="204"/>
      <c r="MSI27" s="204"/>
      <c r="MSJ27" s="204"/>
      <c r="MSK27" s="204"/>
      <c r="MSL27" s="204"/>
      <c r="MSM27" s="204"/>
      <c r="MSN27" s="204"/>
      <c r="MSO27" s="204"/>
      <c r="MSP27" s="204"/>
      <c r="MSQ27" s="204"/>
      <c r="MSR27" s="204"/>
      <c r="MSS27" s="204"/>
      <c r="MST27" s="204"/>
      <c r="MSU27" s="204"/>
      <c r="MSV27" s="204"/>
      <c r="MSW27" s="204"/>
      <c r="MSX27" s="204"/>
      <c r="MSY27" s="204"/>
      <c r="MSZ27" s="204"/>
      <c r="MTA27" s="204"/>
      <c r="MTB27" s="204"/>
      <c r="MTC27" s="204"/>
      <c r="MTD27" s="204"/>
      <c r="MTE27" s="204"/>
      <c r="MTF27" s="204"/>
      <c r="MTG27" s="204"/>
      <c r="MTH27" s="204"/>
      <c r="MTI27" s="204"/>
      <c r="MTJ27" s="204"/>
      <c r="MTK27" s="204"/>
      <c r="MTL27" s="204"/>
      <c r="MTM27" s="204"/>
      <c r="MTN27" s="204"/>
      <c r="MTO27" s="204"/>
      <c r="MTP27" s="204"/>
      <c r="MTQ27" s="204"/>
      <c r="MTR27" s="204"/>
      <c r="MTS27" s="204"/>
      <c r="MTT27" s="204"/>
      <c r="MTU27" s="204"/>
      <c r="MTV27" s="204"/>
      <c r="MTW27" s="204"/>
      <c r="MTX27" s="204"/>
      <c r="MTY27" s="204"/>
      <c r="MTZ27" s="204"/>
      <c r="MUA27" s="204"/>
      <c r="MUB27" s="204"/>
      <c r="MUC27" s="204"/>
      <c r="MUD27" s="204"/>
      <c r="MUE27" s="204"/>
      <c r="MUF27" s="204"/>
      <c r="MUG27" s="204"/>
      <c r="MUH27" s="204"/>
      <c r="MUI27" s="204"/>
      <c r="MUJ27" s="204"/>
      <c r="MUK27" s="204"/>
      <c r="MUL27" s="204"/>
      <c r="MUM27" s="204"/>
      <c r="MUN27" s="204"/>
      <c r="MUO27" s="204"/>
      <c r="MUP27" s="204"/>
      <c r="MUQ27" s="204"/>
      <c r="MUR27" s="204"/>
      <c r="MUS27" s="204"/>
      <c r="MUT27" s="204"/>
      <c r="MUU27" s="204"/>
      <c r="MUV27" s="204"/>
      <c r="MUW27" s="204"/>
      <c r="MUX27" s="204"/>
      <c r="MUY27" s="204"/>
      <c r="MUZ27" s="204"/>
      <c r="MVA27" s="204"/>
      <c r="MVB27" s="204"/>
      <c r="MVC27" s="204"/>
      <c r="MVD27" s="204"/>
      <c r="MVE27" s="204"/>
      <c r="MVF27" s="204"/>
      <c r="MVG27" s="204"/>
      <c r="MVH27" s="204"/>
      <c r="MVI27" s="204"/>
      <c r="MVJ27" s="204"/>
      <c r="MVK27" s="204"/>
      <c r="MVL27" s="204"/>
      <c r="MVM27" s="204"/>
      <c r="MVN27" s="204"/>
      <c r="MVO27" s="204"/>
      <c r="MVP27" s="204"/>
      <c r="MVQ27" s="204"/>
      <c r="MVR27" s="204"/>
      <c r="MVS27" s="204"/>
      <c r="MVT27" s="204"/>
      <c r="MVU27" s="204"/>
      <c r="MVV27" s="204"/>
      <c r="MVW27" s="204"/>
      <c r="MVX27" s="204"/>
      <c r="MVY27" s="204"/>
      <c r="MVZ27" s="204"/>
      <c r="MWA27" s="204"/>
      <c r="MWB27" s="204"/>
      <c r="MWC27" s="204"/>
      <c r="MWD27" s="204"/>
      <c r="MWE27" s="204"/>
      <c r="MWF27" s="204"/>
      <c r="MWG27" s="204"/>
      <c r="MWH27" s="204"/>
      <c r="MWI27" s="204"/>
      <c r="MWJ27" s="204"/>
      <c r="MWK27" s="204"/>
      <c r="MWL27" s="204"/>
      <c r="MWM27" s="204"/>
      <c r="MWN27" s="204"/>
      <c r="MWO27" s="204"/>
      <c r="MWP27" s="204"/>
      <c r="MWQ27" s="204"/>
      <c r="MWR27" s="204"/>
      <c r="MWS27" s="204"/>
      <c r="MWT27" s="204"/>
      <c r="MWU27" s="204"/>
      <c r="MWV27" s="204"/>
      <c r="MWW27" s="204"/>
      <c r="MWX27" s="204"/>
      <c r="MWY27" s="204"/>
      <c r="MWZ27" s="204"/>
      <c r="MXA27" s="204"/>
      <c r="MXB27" s="204"/>
      <c r="MXC27" s="204"/>
      <c r="MXD27" s="204"/>
      <c r="MXE27" s="204"/>
      <c r="MXF27" s="204"/>
      <c r="MXG27" s="204"/>
      <c r="MXH27" s="204"/>
      <c r="MXI27" s="204"/>
      <c r="MXJ27" s="204"/>
      <c r="MXK27" s="204"/>
      <c r="MXL27" s="204"/>
      <c r="MXM27" s="204"/>
      <c r="MXN27" s="204"/>
      <c r="MXO27" s="204"/>
      <c r="MXP27" s="204"/>
      <c r="MXQ27" s="204"/>
      <c r="MXR27" s="204"/>
      <c r="MXS27" s="204"/>
      <c r="MXT27" s="204"/>
      <c r="MXU27" s="204"/>
      <c r="MXV27" s="204"/>
      <c r="MXW27" s="204"/>
      <c r="MXX27" s="204"/>
      <c r="MXY27" s="204"/>
      <c r="MXZ27" s="204"/>
      <c r="MYA27" s="204"/>
      <c r="MYB27" s="204"/>
      <c r="MYC27" s="204"/>
      <c r="MYD27" s="204"/>
      <c r="MYE27" s="204"/>
      <c r="MYF27" s="204"/>
      <c r="MYG27" s="204"/>
      <c r="MYH27" s="204"/>
      <c r="MYI27" s="204"/>
      <c r="MYJ27" s="204"/>
      <c r="MYK27" s="204"/>
      <c r="MYL27" s="204"/>
      <c r="MYM27" s="204"/>
      <c r="MYN27" s="204"/>
      <c r="MYO27" s="204"/>
      <c r="MYP27" s="204"/>
      <c r="MYQ27" s="204"/>
      <c r="MYR27" s="204"/>
      <c r="MYS27" s="204"/>
      <c r="MYT27" s="204"/>
      <c r="MYU27" s="204"/>
      <c r="MYV27" s="204"/>
      <c r="MYW27" s="204"/>
      <c r="MYX27" s="204"/>
      <c r="MYY27" s="204"/>
      <c r="MYZ27" s="204"/>
      <c r="MZA27" s="204"/>
      <c r="MZB27" s="204"/>
      <c r="MZC27" s="204"/>
      <c r="MZD27" s="204"/>
      <c r="MZE27" s="204"/>
      <c r="MZF27" s="204"/>
      <c r="MZG27" s="204"/>
      <c r="MZH27" s="204"/>
      <c r="MZI27" s="204"/>
      <c r="MZJ27" s="204"/>
      <c r="MZK27" s="204"/>
      <c r="MZL27" s="204"/>
      <c r="MZM27" s="204"/>
      <c r="MZN27" s="204"/>
      <c r="MZO27" s="204"/>
      <c r="MZP27" s="204"/>
      <c r="MZQ27" s="204"/>
      <c r="MZR27" s="204"/>
      <c r="MZS27" s="204"/>
      <c r="MZT27" s="204"/>
      <c r="MZU27" s="204"/>
      <c r="MZV27" s="204"/>
      <c r="MZW27" s="204"/>
      <c r="MZX27" s="204"/>
      <c r="MZY27" s="204"/>
      <c r="MZZ27" s="204"/>
      <c r="NAA27" s="204"/>
      <c r="NAB27" s="204"/>
      <c r="NAC27" s="204"/>
      <c r="NAD27" s="204"/>
      <c r="NAE27" s="204"/>
      <c r="NAF27" s="204"/>
      <c r="NAG27" s="204"/>
      <c r="NAH27" s="204"/>
      <c r="NAI27" s="204"/>
      <c r="NAJ27" s="204"/>
      <c r="NAK27" s="204"/>
      <c r="NAL27" s="204"/>
      <c r="NAM27" s="204"/>
      <c r="NAN27" s="204"/>
      <c r="NAO27" s="204"/>
      <c r="NAP27" s="204"/>
      <c r="NAQ27" s="204"/>
      <c r="NAR27" s="204"/>
      <c r="NAS27" s="204"/>
      <c r="NAT27" s="204"/>
      <c r="NAU27" s="204"/>
      <c r="NAV27" s="204"/>
      <c r="NAW27" s="204"/>
      <c r="NAX27" s="204"/>
      <c r="NAY27" s="204"/>
      <c r="NAZ27" s="204"/>
      <c r="NBA27" s="204"/>
      <c r="NBB27" s="204"/>
      <c r="NBC27" s="204"/>
      <c r="NBD27" s="204"/>
      <c r="NBE27" s="204"/>
      <c r="NBF27" s="204"/>
      <c r="NBG27" s="204"/>
      <c r="NBH27" s="204"/>
      <c r="NBI27" s="204"/>
      <c r="NBJ27" s="204"/>
      <c r="NBK27" s="204"/>
      <c r="NBL27" s="204"/>
      <c r="NBM27" s="204"/>
      <c r="NBN27" s="204"/>
      <c r="NBO27" s="204"/>
      <c r="NBP27" s="204"/>
      <c r="NBQ27" s="204"/>
      <c r="NBR27" s="204"/>
      <c r="NBS27" s="204"/>
      <c r="NBT27" s="204"/>
      <c r="NBU27" s="204"/>
      <c r="NBV27" s="204"/>
      <c r="NBW27" s="204"/>
      <c r="NBX27" s="204"/>
      <c r="NBY27" s="204"/>
      <c r="NBZ27" s="204"/>
      <c r="NCA27" s="204"/>
      <c r="NCB27" s="204"/>
      <c r="NCC27" s="204"/>
      <c r="NCD27" s="204"/>
      <c r="NCE27" s="204"/>
      <c r="NCF27" s="204"/>
      <c r="NCG27" s="204"/>
      <c r="NCH27" s="204"/>
      <c r="NCI27" s="204"/>
      <c r="NCJ27" s="204"/>
      <c r="NCK27" s="204"/>
      <c r="NCL27" s="204"/>
      <c r="NCM27" s="204"/>
      <c r="NCN27" s="204"/>
      <c r="NCO27" s="204"/>
      <c r="NCP27" s="204"/>
      <c r="NCQ27" s="204"/>
      <c r="NCR27" s="204"/>
      <c r="NCS27" s="204"/>
      <c r="NCT27" s="204"/>
      <c r="NCU27" s="204"/>
      <c r="NCV27" s="204"/>
      <c r="NCW27" s="204"/>
      <c r="NCX27" s="204"/>
      <c r="NCY27" s="204"/>
      <c r="NCZ27" s="204"/>
      <c r="NDA27" s="204"/>
      <c r="NDB27" s="204"/>
      <c r="NDC27" s="204"/>
      <c r="NDD27" s="204"/>
      <c r="NDE27" s="204"/>
      <c r="NDF27" s="204"/>
      <c r="NDG27" s="204"/>
      <c r="NDH27" s="204"/>
      <c r="NDI27" s="204"/>
      <c r="NDJ27" s="204"/>
      <c r="NDK27" s="204"/>
      <c r="NDL27" s="204"/>
      <c r="NDM27" s="204"/>
      <c r="NDN27" s="204"/>
      <c r="NDO27" s="204"/>
      <c r="NDP27" s="204"/>
      <c r="NDQ27" s="204"/>
      <c r="NDR27" s="204"/>
      <c r="NDS27" s="204"/>
      <c r="NDT27" s="204"/>
      <c r="NDU27" s="204"/>
      <c r="NDV27" s="204"/>
      <c r="NDW27" s="204"/>
      <c r="NDX27" s="204"/>
      <c r="NDY27" s="204"/>
      <c r="NDZ27" s="204"/>
      <c r="NEA27" s="204"/>
      <c r="NEB27" s="204"/>
      <c r="NEC27" s="204"/>
      <c r="NED27" s="204"/>
      <c r="NEE27" s="204"/>
      <c r="NEF27" s="204"/>
      <c r="NEG27" s="204"/>
      <c r="NEH27" s="204"/>
      <c r="NEI27" s="204"/>
      <c r="NEJ27" s="204"/>
      <c r="NEK27" s="204"/>
      <c r="NEL27" s="204"/>
      <c r="NEM27" s="204"/>
      <c r="NEN27" s="204"/>
      <c r="NEO27" s="204"/>
      <c r="NEP27" s="204"/>
      <c r="NEQ27" s="204"/>
      <c r="NER27" s="204"/>
      <c r="NES27" s="204"/>
      <c r="NET27" s="204"/>
      <c r="NEU27" s="204"/>
      <c r="NEV27" s="204"/>
      <c r="NEW27" s="204"/>
      <c r="NEX27" s="204"/>
      <c r="NEY27" s="204"/>
      <c r="NEZ27" s="204"/>
      <c r="NFA27" s="204"/>
      <c r="NFB27" s="204"/>
      <c r="NFC27" s="204"/>
      <c r="NFD27" s="204"/>
      <c r="NFE27" s="204"/>
      <c r="NFF27" s="204"/>
      <c r="NFG27" s="204"/>
      <c r="NFH27" s="204"/>
      <c r="NFI27" s="204"/>
      <c r="NFJ27" s="204"/>
      <c r="NFK27" s="204"/>
      <c r="NFL27" s="204"/>
      <c r="NFM27" s="204"/>
      <c r="NFN27" s="204"/>
      <c r="NFO27" s="204"/>
      <c r="NFP27" s="204"/>
      <c r="NFQ27" s="204"/>
      <c r="NFR27" s="204"/>
      <c r="NFS27" s="204"/>
      <c r="NFT27" s="204"/>
      <c r="NFU27" s="204"/>
      <c r="NFV27" s="204"/>
      <c r="NFW27" s="204"/>
      <c r="NFX27" s="204"/>
      <c r="NFY27" s="204"/>
      <c r="NFZ27" s="204"/>
      <c r="NGA27" s="204"/>
      <c r="NGB27" s="204"/>
      <c r="NGC27" s="204"/>
      <c r="NGD27" s="204"/>
      <c r="NGE27" s="204"/>
      <c r="NGF27" s="204"/>
      <c r="NGG27" s="204"/>
      <c r="NGH27" s="204"/>
      <c r="NGI27" s="204"/>
      <c r="NGJ27" s="204"/>
      <c r="NGK27" s="204"/>
      <c r="NGL27" s="204"/>
      <c r="NGM27" s="204"/>
      <c r="NGN27" s="204"/>
      <c r="NGO27" s="204"/>
      <c r="NGP27" s="204"/>
      <c r="NGQ27" s="204"/>
      <c r="NGR27" s="204"/>
      <c r="NGS27" s="204"/>
      <c r="NGT27" s="204"/>
      <c r="NGU27" s="204"/>
      <c r="NGV27" s="204"/>
      <c r="NGW27" s="204"/>
      <c r="NGX27" s="204"/>
      <c r="NGY27" s="204"/>
      <c r="NGZ27" s="204"/>
      <c r="NHA27" s="204"/>
      <c r="NHB27" s="204"/>
      <c r="NHC27" s="204"/>
      <c r="NHD27" s="204"/>
      <c r="NHE27" s="204"/>
      <c r="NHF27" s="204"/>
      <c r="NHG27" s="204"/>
      <c r="NHH27" s="204"/>
      <c r="NHI27" s="204"/>
      <c r="NHJ27" s="204"/>
      <c r="NHK27" s="204"/>
      <c r="NHL27" s="204"/>
      <c r="NHM27" s="204"/>
      <c r="NHN27" s="204"/>
      <c r="NHO27" s="204"/>
      <c r="NHP27" s="204"/>
      <c r="NHQ27" s="204"/>
      <c r="NHR27" s="204"/>
      <c r="NHS27" s="204"/>
      <c r="NHT27" s="204"/>
      <c r="NHU27" s="204"/>
      <c r="NHV27" s="204"/>
      <c r="NHW27" s="204"/>
      <c r="NHX27" s="204"/>
      <c r="NHY27" s="204"/>
      <c r="NHZ27" s="204"/>
      <c r="NIA27" s="204"/>
      <c r="NIB27" s="204"/>
      <c r="NIC27" s="204"/>
      <c r="NID27" s="204"/>
      <c r="NIE27" s="204"/>
      <c r="NIF27" s="204"/>
      <c r="NIG27" s="204"/>
      <c r="NIH27" s="204"/>
      <c r="NII27" s="204"/>
      <c r="NIJ27" s="204"/>
      <c r="NIK27" s="204"/>
      <c r="NIL27" s="204"/>
      <c r="NIM27" s="204"/>
      <c r="NIN27" s="204"/>
      <c r="NIO27" s="204"/>
      <c r="NIP27" s="204"/>
      <c r="NIQ27" s="204"/>
      <c r="NIR27" s="204"/>
      <c r="NIS27" s="204"/>
      <c r="NIT27" s="204"/>
      <c r="NIU27" s="204"/>
      <c r="NIV27" s="204"/>
      <c r="NIW27" s="204"/>
      <c r="NIX27" s="204"/>
      <c r="NIY27" s="204"/>
      <c r="NIZ27" s="204"/>
      <c r="NJA27" s="204"/>
      <c r="NJB27" s="204"/>
      <c r="NJC27" s="204"/>
      <c r="NJD27" s="204"/>
      <c r="NJE27" s="204"/>
      <c r="NJF27" s="204"/>
      <c r="NJG27" s="204"/>
      <c r="NJH27" s="204"/>
      <c r="NJI27" s="204"/>
      <c r="NJJ27" s="204"/>
      <c r="NJK27" s="204"/>
      <c r="NJL27" s="204"/>
      <c r="NJM27" s="204"/>
      <c r="NJN27" s="204"/>
      <c r="NJO27" s="204"/>
      <c r="NJP27" s="204"/>
      <c r="NJQ27" s="204"/>
      <c r="NJR27" s="204"/>
      <c r="NJS27" s="204"/>
      <c r="NJT27" s="204"/>
      <c r="NJU27" s="204"/>
      <c r="NJV27" s="204"/>
      <c r="NJW27" s="204"/>
      <c r="NJX27" s="204"/>
      <c r="NJY27" s="204"/>
      <c r="NJZ27" s="204"/>
      <c r="NKA27" s="204"/>
      <c r="NKB27" s="204"/>
      <c r="NKC27" s="204"/>
      <c r="NKD27" s="204"/>
      <c r="NKE27" s="204"/>
      <c r="NKF27" s="204"/>
      <c r="NKG27" s="204"/>
      <c r="NKH27" s="204"/>
      <c r="NKI27" s="204"/>
      <c r="NKJ27" s="204"/>
      <c r="NKK27" s="204"/>
      <c r="NKL27" s="204"/>
      <c r="NKM27" s="204"/>
      <c r="NKN27" s="204"/>
      <c r="NKO27" s="204"/>
      <c r="NKP27" s="204"/>
      <c r="NKQ27" s="204"/>
      <c r="NKR27" s="204"/>
      <c r="NKS27" s="204"/>
      <c r="NKT27" s="204"/>
      <c r="NKU27" s="204"/>
      <c r="NKV27" s="204"/>
      <c r="NKW27" s="204"/>
      <c r="NKX27" s="204"/>
      <c r="NKY27" s="204"/>
      <c r="NKZ27" s="204"/>
      <c r="NLA27" s="204"/>
      <c r="NLB27" s="204"/>
      <c r="NLC27" s="204"/>
      <c r="NLD27" s="204"/>
      <c r="NLE27" s="204"/>
      <c r="NLF27" s="204"/>
      <c r="NLG27" s="204"/>
      <c r="NLH27" s="204"/>
      <c r="NLI27" s="204"/>
      <c r="NLJ27" s="204"/>
      <c r="NLK27" s="204"/>
      <c r="NLL27" s="204"/>
      <c r="NLM27" s="204"/>
      <c r="NLN27" s="204"/>
      <c r="NLO27" s="204"/>
      <c r="NLP27" s="204"/>
      <c r="NLQ27" s="204"/>
      <c r="NLR27" s="204"/>
      <c r="NLS27" s="204"/>
      <c r="NLT27" s="204"/>
      <c r="NLU27" s="204"/>
      <c r="NLV27" s="204"/>
      <c r="NLW27" s="204"/>
      <c r="NLX27" s="204"/>
      <c r="NLY27" s="204"/>
      <c r="NLZ27" s="204"/>
      <c r="NMA27" s="204"/>
      <c r="NMB27" s="204"/>
      <c r="NMC27" s="204"/>
      <c r="NMD27" s="204"/>
      <c r="NME27" s="204"/>
      <c r="NMF27" s="204"/>
      <c r="NMG27" s="204"/>
      <c r="NMH27" s="204"/>
      <c r="NMI27" s="204"/>
      <c r="NMJ27" s="204"/>
      <c r="NMK27" s="204"/>
      <c r="NML27" s="204"/>
      <c r="NMM27" s="204"/>
      <c r="NMN27" s="204"/>
      <c r="NMO27" s="204"/>
      <c r="NMP27" s="204"/>
      <c r="NMQ27" s="204"/>
      <c r="NMR27" s="204"/>
      <c r="NMS27" s="204"/>
      <c r="NMT27" s="204"/>
      <c r="NMU27" s="204"/>
      <c r="NMV27" s="204"/>
      <c r="NMW27" s="204"/>
      <c r="NMX27" s="204"/>
      <c r="NMY27" s="204"/>
      <c r="NMZ27" s="204"/>
      <c r="NNA27" s="204"/>
      <c r="NNB27" s="204"/>
      <c r="NNC27" s="204"/>
      <c r="NND27" s="204"/>
      <c r="NNE27" s="204"/>
      <c r="NNF27" s="204"/>
      <c r="NNG27" s="204"/>
      <c r="NNH27" s="204"/>
      <c r="NNI27" s="204"/>
      <c r="NNJ27" s="204"/>
      <c r="NNK27" s="204"/>
      <c r="NNL27" s="204"/>
      <c r="NNM27" s="204"/>
      <c r="NNN27" s="204"/>
      <c r="NNO27" s="204"/>
      <c r="NNP27" s="204"/>
      <c r="NNQ27" s="204"/>
      <c r="NNR27" s="204"/>
      <c r="NNS27" s="204"/>
      <c r="NNT27" s="204"/>
      <c r="NNU27" s="204"/>
      <c r="NNV27" s="204"/>
      <c r="NNW27" s="204"/>
      <c r="NNX27" s="204"/>
      <c r="NNY27" s="204"/>
      <c r="NNZ27" s="204"/>
      <c r="NOA27" s="204"/>
      <c r="NOB27" s="204"/>
      <c r="NOC27" s="204"/>
      <c r="NOD27" s="204"/>
      <c r="NOE27" s="204"/>
      <c r="NOF27" s="204"/>
      <c r="NOG27" s="204"/>
      <c r="NOH27" s="204"/>
      <c r="NOI27" s="204"/>
      <c r="NOJ27" s="204"/>
      <c r="NOK27" s="204"/>
      <c r="NOL27" s="204"/>
      <c r="NOM27" s="204"/>
      <c r="NON27" s="204"/>
      <c r="NOO27" s="204"/>
      <c r="NOP27" s="204"/>
      <c r="NOQ27" s="204"/>
      <c r="NOR27" s="204"/>
      <c r="NOS27" s="204"/>
      <c r="NOT27" s="204"/>
      <c r="NOU27" s="204"/>
      <c r="NOV27" s="204"/>
      <c r="NOW27" s="204"/>
      <c r="NOX27" s="204"/>
      <c r="NOY27" s="204"/>
      <c r="NOZ27" s="204"/>
      <c r="NPA27" s="204"/>
      <c r="NPB27" s="204"/>
      <c r="NPC27" s="204"/>
      <c r="NPD27" s="204"/>
      <c r="NPE27" s="204"/>
      <c r="NPF27" s="204"/>
      <c r="NPG27" s="204"/>
      <c r="NPH27" s="204"/>
      <c r="NPI27" s="204"/>
      <c r="NPJ27" s="204"/>
      <c r="NPK27" s="204"/>
      <c r="NPL27" s="204"/>
      <c r="NPM27" s="204"/>
      <c r="NPN27" s="204"/>
      <c r="NPO27" s="204"/>
      <c r="NPP27" s="204"/>
      <c r="NPQ27" s="204"/>
      <c r="NPR27" s="204"/>
      <c r="NPS27" s="204"/>
      <c r="NPT27" s="204"/>
      <c r="NPU27" s="204"/>
      <c r="NPV27" s="204"/>
      <c r="NPW27" s="204"/>
      <c r="NPX27" s="204"/>
      <c r="NPY27" s="204"/>
      <c r="NPZ27" s="204"/>
      <c r="NQA27" s="204"/>
      <c r="NQB27" s="204"/>
      <c r="NQC27" s="204"/>
      <c r="NQD27" s="204"/>
      <c r="NQE27" s="204"/>
      <c r="NQF27" s="204"/>
      <c r="NQG27" s="204"/>
      <c r="NQH27" s="204"/>
      <c r="NQI27" s="204"/>
      <c r="NQJ27" s="204"/>
      <c r="NQK27" s="204"/>
      <c r="NQL27" s="204"/>
      <c r="NQM27" s="204"/>
      <c r="NQN27" s="204"/>
      <c r="NQO27" s="204"/>
      <c r="NQP27" s="204"/>
      <c r="NQQ27" s="204"/>
      <c r="NQR27" s="204"/>
      <c r="NQS27" s="204"/>
      <c r="NQT27" s="204"/>
      <c r="NQU27" s="204"/>
      <c r="NQV27" s="204"/>
      <c r="NQW27" s="204"/>
      <c r="NQX27" s="204"/>
      <c r="NQY27" s="204"/>
      <c r="NQZ27" s="204"/>
      <c r="NRA27" s="204"/>
      <c r="NRB27" s="204"/>
      <c r="NRC27" s="204"/>
      <c r="NRD27" s="204"/>
      <c r="NRE27" s="204"/>
      <c r="NRF27" s="204"/>
      <c r="NRG27" s="204"/>
      <c r="NRH27" s="204"/>
      <c r="NRI27" s="204"/>
      <c r="NRJ27" s="204"/>
      <c r="NRK27" s="204"/>
      <c r="NRL27" s="204"/>
      <c r="NRM27" s="204"/>
      <c r="NRN27" s="204"/>
      <c r="NRO27" s="204"/>
      <c r="NRP27" s="204"/>
      <c r="NRQ27" s="204"/>
      <c r="NRR27" s="204"/>
      <c r="NRS27" s="204"/>
      <c r="NRT27" s="204"/>
      <c r="NRU27" s="204"/>
      <c r="NRV27" s="204"/>
      <c r="NRW27" s="204"/>
      <c r="NRX27" s="204"/>
      <c r="NRY27" s="204"/>
      <c r="NRZ27" s="204"/>
      <c r="NSA27" s="204"/>
      <c r="NSB27" s="204"/>
      <c r="NSC27" s="204"/>
      <c r="NSD27" s="204"/>
      <c r="NSE27" s="204"/>
      <c r="NSF27" s="204"/>
      <c r="NSG27" s="204"/>
      <c r="NSH27" s="204"/>
      <c r="NSI27" s="204"/>
      <c r="NSJ27" s="204"/>
      <c r="NSK27" s="204"/>
      <c r="NSL27" s="204"/>
      <c r="NSM27" s="204"/>
      <c r="NSN27" s="204"/>
      <c r="NSO27" s="204"/>
      <c r="NSP27" s="204"/>
      <c r="NSQ27" s="204"/>
      <c r="NSR27" s="204"/>
      <c r="NSS27" s="204"/>
      <c r="NST27" s="204"/>
      <c r="NSU27" s="204"/>
      <c r="NSV27" s="204"/>
      <c r="NSW27" s="204"/>
      <c r="NSX27" s="204"/>
      <c r="NSY27" s="204"/>
      <c r="NSZ27" s="204"/>
      <c r="NTA27" s="204"/>
      <c r="NTB27" s="204"/>
      <c r="NTC27" s="204"/>
      <c r="NTD27" s="204"/>
      <c r="NTE27" s="204"/>
      <c r="NTF27" s="204"/>
      <c r="NTG27" s="204"/>
      <c r="NTH27" s="204"/>
      <c r="NTI27" s="204"/>
      <c r="NTJ27" s="204"/>
      <c r="NTK27" s="204"/>
      <c r="NTL27" s="204"/>
      <c r="NTM27" s="204"/>
      <c r="NTN27" s="204"/>
      <c r="NTO27" s="204"/>
      <c r="NTP27" s="204"/>
      <c r="NTQ27" s="204"/>
      <c r="NTR27" s="204"/>
      <c r="NTS27" s="204"/>
      <c r="NTT27" s="204"/>
      <c r="NTU27" s="204"/>
      <c r="NTV27" s="204"/>
      <c r="NTW27" s="204"/>
      <c r="NTX27" s="204"/>
      <c r="NTY27" s="204"/>
      <c r="NTZ27" s="204"/>
      <c r="NUA27" s="204"/>
      <c r="NUB27" s="204"/>
      <c r="NUC27" s="204"/>
      <c r="NUD27" s="204"/>
      <c r="NUE27" s="204"/>
      <c r="NUF27" s="204"/>
      <c r="NUG27" s="204"/>
      <c r="NUH27" s="204"/>
      <c r="NUI27" s="204"/>
      <c r="NUJ27" s="204"/>
      <c r="NUK27" s="204"/>
      <c r="NUL27" s="204"/>
      <c r="NUM27" s="204"/>
      <c r="NUN27" s="204"/>
      <c r="NUO27" s="204"/>
      <c r="NUP27" s="204"/>
      <c r="NUQ27" s="204"/>
      <c r="NUR27" s="204"/>
      <c r="NUS27" s="204"/>
      <c r="NUT27" s="204"/>
      <c r="NUU27" s="204"/>
      <c r="NUV27" s="204"/>
      <c r="NUW27" s="204"/>
      <c r="NUX27" s="204"/>
      <c r="NUY27" s="204"/>
      <c r="NUZ27" s="204"/>
      <c r="NVA27" s="204"/>
      <c r="NVB27" s="204"/>
      <c r="NVC27" s="204"/>
      <c r="NVD27" s="204"/>
      <c r="NVE27" s="204"/>
      <c r="NVF27" s="204"/>
      <c r="NVG27" s="204"/>
      <c r="NVH27" s="204"/>
      <c r="NVI27" s="204"/>
      <c r="NVJ27" s="204"/>
      <c r="NVK27" s="204"/>
      <c r="NVL27" s="204"/>
      <c r="NVM27" s="204"/>
      <c r="NVN27" s="204"/>
      <c r="NVO27" s="204"/>
      <c r="NVP27" s="204"/>
      <c r="NVQ27" s="204"/>
      <c r="NVR27" s="204"/>
      <c r="NVS27" s="204"/>
      <c r="NVT27" s="204"/>
      <c r="NVU27" s="204"/>
      <c r="NVV27" s="204"/>
      <c r="NVW27" s="204"/>
      <c r="NVX27" s="204"/>
      <c r="NVY27" s="204"/>
      <c r="NVZ27" s="204"/>
      <c r="NWA27" s="204"/>
      <c r="NWB27" s="204"/>
      <c r="NWC27" s="204"/>
      <c r="NWD27" s="204"/>
      <c r="NWE27" s="204"/>
      <c r="NWF27" s="204"/>
      <c r="NWG27" s="204"/>
      <c r="NWH27" s="204"/>
      <c r="NWI27" s="204"/>
      <c r="NWJ27" s="204"/>
      <c r="NWK27" s="204"/>
      <c r="NWL27" s="204"/>
      <c r="NWM27" s="204"/>
      <c r="NWN27" s="204"/>
      <c r="NWO27" s="204"/>
      <c r="NWP27" s="204"/>
      <c r="NWQ27" s="204"/>
      <c r="NWR27" s="204"/>
      <c r="NWS27" s="204"/>
      <c r="NWT27" s="204"/>
      <c r="NWU27" s="204"/>
      <c r="NWV27" s="204"/>
      <c r="NWW27" s="204"/>
      <c r="NWX27" s="204"/>
      <c r="NWY27" s="204"/>
      <c r="NWZ27" s="204"/>
      <c r="NXA27" s="204"/>
      <c r="NXB27" s="204"/>
      <c r="NXC27" s="204"/>
      <c r="NXD27" s="204"/>
      <c r="NXE27" s="204"/>
      <c r="NXF27" s="204"/>
      <c r="NXG27" s="204"/>
      <c r="NXH27" s="204"/>
      <c r="NXI27" s="204"/>
      <c r="NXJ27" s="204"/>
      <c r="NXK27" s="204"/>
      <c r="NXL27" s="204"/>
      <c r="NXM27" s="204"/>
      <c r="NXN27" s="204"/>
      <c r="NXO27" s="204"/>
      <c r="NXP27" s="204"/>
      <c r="NXQ27" s="204"/>
      <c r="NXR27" s="204"/>
      <c r="NXS27" s="204"/>
      <c r="NXT27" s="204"/>
      <c r="NXU27" s="204"/>
      <c r="NXV27" s="204"/>
      <c r="NXW27" s="204"/>
      <c r="NXX27" s="204"/>
      <c r="NXY27" s="204"/>
      <c r="NXZ27" s="204"/>
      <c r="NYA27" s="204"/>
      <c r="NYB27" s="204"/>
      <c r="NYC27" s="204"/>
      <c r="NYD27" s="204"/>
      <c r="NYE27" s="204"/>
      <c r="NYF27" s="204"/>
      <c r="NYG27" s="204"/>
      <c r="NYH27" s="204"/>
      <c r="NYI27" s="204"/>
      <c r="NYJ27" s="204"/>
      <c r="NYK27" s="204"/>
      <c r="NYL27" s="204"/>
      <c r="NYM27" s="204"/>
      <c r="NYN27" s="204"/>
      <c r="NYO27" s="204"/>
      <c r="NYP27" s="204"/>
      <c r="NYQ27" s="204"/>
      <c r="NYR27" s="204"/>
      <c r="NYS27" s="204"/>
      <c r="NYT27" s="204"/>
      <c r="NYU27" s="204"/>
      <c r="NYV27" s="204"/>
      <c r="NYW27" s="204"/>
      <c r="NYX27" s="204"/>
      <c r="NYY27" s="204"/>
      <c r="NYZ27" s="204"/>
      <c r="NZA27" s="204"/>
      <c r="NZB27" s="204"/>
      <c r="NZC27" s="204"/>
      <c r="NZD27" s="204"/>
      <c r="NZE27" s="204"/>
      <c r="NZF27" s="204"/>
      <c r="NZG27" s="204"/>
      <c r="NZH27" s="204"/>
      <c r="NZI27" s="204"/>
      <c r="NZJ27" s="204"/>
      <c r="NZK27" s="204"/>
      <c r="NZL27" s="204"/>
      <c r="NZM27" s="204"/>
      <c r="NZN27" s="204"/>
      <c r="NZO27" s="204"/>
      <c r="NZP27" s="204"/>
      <c r="NZQ27" s="204"/>
      <c r="NZR27" s="204"/>
      <c r="NZS27" s="204"/>
      <c r="NZT27" s="204"/>
      <c r="NZU27" s="204"/>
      <c r="NZV27" s="204"/>
      <c r="NZW27" s="204"/>
      <c r="NZX27" s="204"/>
      <c r="NZY27" s="204"/>
      <c r="NZZ27" s="204"/>
      <c r="OAA27" s="204"/>
      <c r="OAB27" s="204"/>
      <c r="OAC27" s="204"/>
      <c r="OAD27" s="204"/>
      <c r="OAE27" s="204"/>
      <c r="OAF27" s="204"/>
      <c r="OAG27" s="204"/>
      <c r="OAH27" s="204"/>
      <c r="OAI27" s="204"/>
      <c r="OAJ27" s="204"/>
      <c r="OAK27" s="204"/>
      <c r="OAL27" s="204"/>
      <c r="OAM27" s="204"/>
      <c r="OAN27" s="204"/>
      <c r="OAO27" s="204"/>
      <c r="OAP27" s="204"/>
      <c r="OAQ27" s="204"/>
      <c r="OAR27" s="204"/>
      <c r="OAS27" s="204"/>
      <c r="OAT27" s="204"/>
      <c r="OAU27" s="204"/>
      <c r="OAV27" s="204"/>
      <c r="OAW27" s="204"/>
      <c r="OAX27" s="204"/>
      <c r="OAY27" s="204"/>
      <c r="OAZ27" s="204"/>
      <c r="OBA27" s="204"/>
      <c r="OBB27" s="204"/>
      <c r="OBC27" s="204"/>
      <c r="OBD27" s="204"/>
      <c r="OBE27" s="204"/>
      <c r="OBF27" s="204"/>
      <c r="OBG27" s="204"/>
      <c r="OBH27" s="204"/>
      <c r="OBI27" s="204"/>
      <c r="OBJ27" s="204"/>
      <c r="OBK27" s="204"/>
      <c r="OBL27" s="204"/>
      <c r="OBM27" s="204"/>
      <c r="OBN27" s="204"/>
      <c r="OBO27" s="204"/>
      <c r="OBP27" s="204"/>
      <c r="OBQ27" s="204"/>
      <c r="OBR27" s="204"/>
      <c r="OBS27" s="204"/>
      <c r="OBT27" s="204"/>
      <c r="OBU27" s="204"/>
      <c r="OBV27" s="204"/>
      <c r="OBW27" s="204"/>
      <c r="OBX27" s="204"/>
      <c r="OBY27" s="204"/>
      <c r="OBZ27" s="204"/>
      <c r="OCA27" s="204"/>
      <c r="OCB27" s="204"/>
      <c r="OCC27" s="204"/>
      <c r="OCD27" s="204"/>
      <c r="OCE27" s="204"/>
      <c r="OCF27" s="204"/>
      <c r="OCG27" s="204"/>
      <c r="OCH27" s="204"/>
      <c r="OCI27" s="204"/>
      <c r="OCJ27" s="204"/>
      <c r="OCK27" s="204"/>
      <c r="OCL27" s="204"/>
      <c r="OCM27" s="204"/>
      <c r="OCN27" s="204"/>
      <c r="OCO27" s="204"/>
      <c r="OCP27" s="204"/>
      <c r="OCQ27" s="204"/>
      <c r="OCR27" s="204"/>
      <c r="OCS27" s="204"/>
      <c r="OCT27" s="204"/>
      <c r="OCU27" s="204"/>
      <c r="OCV27" s="204"/>
      <c r="OCW27" s="204"/>
      <c r="OCX27" s="204"/>
      <c r="OCY27" s="204"/>
      <c r="OCZ27" s="204"/>
      <c r="ODA27" s="204"/>
      <c r="ODB27" s="204"/>
      <c r="ODC27" s="204"/>
      <c r="ODD27" s="204"/>
      <c r="ODE27" s="204"/>
      <c r="ODF27" s="204"/>
      <c r="ODG27" s="204"/>
      <c r="ODH27" s="204"/>
      <c r="ODI27" s="204"/>
      <c r="ODJ27" s="204"/>
      <c r="ODK27" s="204"/>
      <c r="ODL27" s="204"/>
      <c r="ODM27" s="204"/>
      <c r="ODN27" s="204"/>
      <c r="ODO27" s="204"/>
      <c r="ODP27" s="204"/>
      <c r="ODQ27" s="204"/>
      <c r="ODR27" s="204"/>
      <c r="ODS27" s="204"/>
      <c r="ODT27" s="204"/>
      <c r="ODU27" s="204"/>
      <c r="ODV27" s="204"/>
      <c r="ODW27" s="204"/>
      <c r="ODX27" s="204"/>
      <c r="ODY27" s="204"/>
      <c r="ODZ27" s="204"/>
      <c r="OEA27" s="204"/>
      <c r="OEB27" s="204"/>
      <c r="OEC27" s="204"/>
      <c r="OED27" s="204"/>
      <c r="OEE27" s="204"/>
      <c r="OEF27" s="204"/>
      <c r="OEG27" s="204"/>
      <c r="OEH27" s="204"/>
      <c r="OEI27" s="204"/>
      <c r="OEJ27" s="204"/>
      <c r="OEK27" s="204"/>
      <c r="OEL27" s="204"/>
      <c r="OEM27" s="204"/>
      <c r="OEN27" s="204"/>
      <c r="OEO27" s="204"/>
      <c r="OEP27" s="204"/>
      <c r="OEQ27" s="204"/>
      <c r="OER27" s="204"/>
      <c r="OES27" s="204"/>
      <c r="OET27" s="204"/>
      <c r="OEU27" s="204"/>
      <c r="OEV27" s="204"/>
      <c r="OEW27" s="204"/>
      <c r="OEX27" s="204"/>
      <c r="OEY27" s="204"/>
      <c r="OEZ27" s="204"/>
      <c r="OFA27" s="204"/>
      <c r="OFB27" s="204"/>
      <c r="OFC27" s="204"/>
      <c r="OFD27" s="204"/>
      <c r="OFE27" s="204"/>
      <c r="OFF27" s="204"/>
      <c r="OFG27" s="204"/>
      <c r="OFH27" s="204"/>
      <c r="OFI27" s="204"/>
      <c r="OFJ27" s="204"/>
      <c r="OFK27" s="204"/>
      <c r="OFL27" s="204"/>
      <c r="OFM27" s="204"/>
      <c r="OFN27" s="204"/>
      <c r="OFO27" s="204"/>
      <c r="OFP27" s="204"/>
      <c r="OFQ27" s="204"/>
      <c r="OFR27" s="204"/>
      <c r="OFS27" s="204"/>
      <c r="OFT27" s="204"/>
      <c r="OFU27" s="204"/>
      <c r="OFV27" s="204"/>
      <c r="OFW27" s="204"/>
      <c r="OFX27" s="204"/>
      <c r="OFY27" s="204"/>
      <c r="OFZ27" s="204"/>
      <c r="OGA27" s="204"/>
      <c r="OGB27" s="204"/>
      <c r="OGC27" s="204"/>
      <c r="OGD27" s="204"/>
      <c r="OGE27" s="204"/>
      <c r="OGF27" s="204"/>
      <c r="OGG27" s="204"/>
      <c r="OGH27" s="204"/>
      <c r="OGI27" s="204"/>
      <c r="OGJ27" s="204"/>
      <c r="OGK27" s="204"/>
      <c r="OGL27" s="204"/>
      <c r="OGM27" s="204"/>
      <c r="OGN27" s="204"/>
      <c r="OGO27" s="204"/>
      <c r="OGP27" s="204"/>
      <c r="OGQ27" s="204"/>
      <c r="OGR27" s="204"/>
      <c r="OGS27" s="204"/>
      <c r="OGT27" s="204"/>
      <c r="OGU27" s="204"/>
      <c r="OGV27" s="204"/>
      <c r="OGW27" s="204"/>
      <c r="OGX27" s="204"/>
      <c r="OGY27" s="204"/>
      <c r="OGZ27" s="204"/>
      <c r="OHA27" s="204"/>
      <c r="OHB27" s="204"/>
      <c r="OHC27" s="204"/>
      <c r="OHD27" s="204"/>
      <c r="OHE27" s="204"/>
      <c r="OHF27" s="204"/>
      <c r="OHG27" s="204"/>
      <c r="OHH27" s="204"/>
      <c r="OHI27" s="204"/>
      <c r="OHJ27" s="204"/>
      <c r="OHK27" s="204"/>
      <c r="OHL27" s="204"/>
      <c r="OHM27" s="204"/>
      <c r="OHN27" s="204"/>
      <c r="OHO27" s="204"/>
      <c r="OHP27" s="204"/>
      <c r="OHQ27" s="204"/>
      <c r="OHR27" s="204"/>
      <c r="OHS27" s="204"/>
      <c r="OHT27" s="204"/>
      <c r="OHU27" s="204"/>
      <c r="OHV27" s="204"/>
      <c r="OHW27" s="204"/>
      <c r="OHX27" s="204"/>
      <c r="OHY27" s="204"/>
      <c r="OHZ27" s="204"/>
      <c r="OIA27" s="204"/>
      <c r="OIB27" s="204"/>
      <c r="OIC27" s="204"/>
      <c r="OID27" s="204"/>
      <c r="OIE27" s="204"/>
      <c r="OIF27" s="204"/>
      <c r="OIG27" s="204"/>
      <c r="OIH27" s="204"/>
      <c r="OII27" s="204"/>
      <c r="OIJ27" s="204"/>
      <c r="OIK27" s="204"/>
      <c r="OIL27" s="204"/>
      <c r="OIM27" s="204"/>
      <c r="OIN27" s="204"/>
      <c r="OIO27" s="204"/>
      <c r="OIP27" s="204"/>
      <c r="OIQ27" s="204"/>
      <c r="OIR27" s="204"/>
      <c r="OIS27" s="204"/>
      <c r="OIT27" s="204"/>
      <c r="OIU27" s="204"/>
      <c r="OIV27" s="204"/>
      <c r="OIW27" s="204"/>
      <c r="OIX27" s="204"/>
      <c r="OIY27" s="204"/>
      <c r="OIZ27" s="204"/>
      <c r="OJA27" s="204"/>
      <c r="OJB27" s="204"/>
      <c r="OJC27" s="204"/>
      <c r="OJD27" s="204"/>
      <c r="OJE27" s="204"/>
      <c r="OJF27" s="204"/>
      <c r="OJG27" s="204"/>
      <c r="OJH27" s="204"/>
      <c r="OJI27" s="204"/>
      <c r="OJJ27" s="204"/>
      <c r="OJK27" s="204"/>
      <c r="OJL27" s="204"/>
      <c r="OJM27" s="204"/>
      <c r="OJN27" s="204"/>
      <c r="OJO27" s="204"/>
      <c r="OJP27" s="204"/>
      <c r="OJQ27" s="204"/>
      <c r="OJR27" s="204"/>
      <c r="OJS27" s="204"/>
      <c r="OJT27" s="204"/>
      <c r="OJU27" s="204"/>
      <c r="OJV27" s="204"/>
      <c r="OJW27" s="204"/>
      <c r="OJX27" s="204"/>
      <c r="OJY27" s="204"/>
      <c r="OJZ27" s="204"/>
      <c r="OKA27" s="204"/>
      <c r="OKB27" s="204"/>
      <c r="OKC27" s="204"/>
      <c r="OKD27" s="204"/>
      <c r="OKE27" s="204"/>
      <c r="OKF27" s="204"/>
      <c r="OKG27" s="204"/>
      <c r="OKH27" s="204"/>
      <c r="OKI27" s="204"/>
      <c r="OKJ27" s="204"/>
      <c r="OKK27" s="204"/>
      <c r="OKL27" s="204"/>
      <c r="OKM27" s="204"/>
      <c r="OKN27" s="204"/>
      <c r="OKO27" s="204"/>
      <c r="OKP27" s="204"/>
      <c r="OKQ27" s="204"/>
      <c r="OKR27" s="204"/>
      <c r="OKS27" s="204"/>
      <c r="OKT27" s="204"/>
      <c r="OKU27" s="204"/>
      <c r="OKV27" s="204"/>
      <c r="OKW27" s="204"/>
      <c r="OKX27" s="204"/>
      <c r="OKY27" s="204"/>
      <c r="OKZ27" s="204"/>
      <c r="OLA27" s="204"/>
      <c r="OLB27" s="204"/>
      <c r="OLC27" s="204"/>
      <c r="OLD27" s="204"/>
      <c r="OLE27" s="204"/>
      <c r="OLF27" s="204"/>
      <c r="OLG27" s="204"/>
      <c r="OLH27" s="204"/>
      <c r="OLI27" s="204"/>
      <c r="OLJ27" s="204"/>
      <c r="OLK27" s="204"/>
      <c r="OLL27" s="204"/>
      <c r="OLM27" s="204"/>
      <c r="OLN27" s="204"/>
      <c r="OLO27" s="204"/>
      <c r="OLP27" s="204"/>
      <c r="OLQ27" s="204"/>
      <c r="OLR27" s="204"/>
      <c r="OLS27" s="204"/>
      <c r="OLT27" s="204"/>
      <c r="OLU27" s="204"/>
      <c r="OLV27" s="204"/>
      <c r="OLW27" s="204"/>
      <c r="OLX27" s="204"/>
      <c r="OLY27" s="204"/>
      <c r="OLZ27" s="204"/>
      <c r="OMA27" s="204"/>
      <c r="OMB27" s="204"/>
      <c r="OMC27" s="204"/>
      <c r="OMD27" s="204"/>
      <c r="OME27" s="204"/>
      <c r="OMF27" s="204"/>
      <c r="OMG27" s="204"/>
      <c r="OMH27" s="204"/>
      <c r="OMI27" s="204"/>
      <c r="OMJ27" s="204"/>
      <c r="OMK27" s="204"/>
      <c r="OML27" s="204"/>
      <c r="OMM27" s="204"/>
      <c r="OMN27" s="204"/>
      <c r="OMO27" s="204"/>
      <c r="OMP27" s="204"/>
      <c r="OMQ27" s="204"/>
      <c r="OMR27" s="204"/>
      <c r="OMS27" s="204"/>
      <c r="OMT27" s="204"/>
      <c r="OMU27" s="204"/>
      <c r="OMV27" s="204"/>
      <c r="OMW27" s="204"/>
      <c r="OMX27" s="204"/>
      <c r="OMY27" s="204"/>
      <c r="OMZ27" s="204"/>
      <c r="ONA27" s="204"/>
      <c r="ONB27" s="204"/>
      <c r="ONC27" s="204"/>
      <c r="OND27" s="204"/>
      <c r="ONE27" s="204"/>
      <c r="ONF27" s="204"/>
      <c r="ONG27" s="204"/>
      <c r="ONH27" s="204"/>
      <c r="ONI27" s="204"/>
      <c r="ONJ27" s="204"/>
      <c r="ONK27" s="204"/>
      <c r="ONL27" s="204"/>
      <c r="ONM27" s="204"/>
      <c r="ONN27" s="204"/>
      <c r="ONO27" s="204"/>
      <c r="ONP27" s="204"/>
      <c r="ONQ27" s="204"/>
      <c r="ONR27" s="204"/>
      <c r="ONS27" s="204"/>
      <c r="ONT27" s="204"/>
      <c r="ONU27" s="204"/>
      <c r="ONV27" s="204"/>
      <c r="ONW27" s="204"/>
      <c r="ONX27" s="204"/>
      <c r="ONY27" s="204"/>
      <c r="ONZ27" s="204"/>
      <c r="OOA27" s="204"/>
      <c r="OOB27" s="204"/>
      <c r="OOC27" s="204"/>
      <c r="OOD27" s="204"/>
      <c r="OOE27" s="204"/>
      <c r="OOF27" s="204"/>
      <c r="OOG27" s="204"/>
      <c r="OOH27" s="204"/>
      <c r="OOI27" s="204"/>
      <c r="OOJ27" s="204"/>
      <c r="OOK27" s="204"/>
      <c r="OOL27" s="204"/>
      <c r="OOM27" s="204"/>
      <c r="OON27" s="204"/>
      <c r="OOO27" s="204"/>
      <c r="OOP27" s="204"/>
      <c r="OOQ27" s="204"/>
      <c r="OOR27" s="204"/>
      <c r="OOS27" s="204"/>
      <c r="OOT27" s="204"/>
      <c r="OOU27" s="204"/>
      <c r="OOV27" s="204"/>
      <c r="OOW27" s="204"/>
      <c r="OOX27" s="204"/>
      <c r="OOY27" s="204"/>
      <c r="OOZ27" s="204"/>
      <c r="OPA27" s="204"/>
      <c r="OPB27" s="204"/>
      <c r="OPC27" s="204"/>
      <c r="OPD27" s="204"/>
      <c r="OPE27" s="204"/>
      <c r="OPF27" s="204"/>
      <c r="OPG27" s="204"/>
      <c r="OPH27" s="204"/>
      <c r="OPI27" s="204"/>
      <c r="OPJ27" s="204"/>
      <c r="OPK27" s="204"/>
      <c r="OPL27" s="204"/>
      <c r="OPM27" s="204"/>
      <c r="OPN27" s="204"/>
      <c r="OPO27" s="204"/>
      <c r="OPP27" s="204"/>
      <c r="OPQ27" s="204"/>
      <c r="OPR27" s="204"/>
      <c r="OPS27" s="204"/>
      <c r="OPT27" s="204"/>
      <c r="OPU27" s="204"/>
      <c r="OPV27" s="204"/>
      <c r="OPW27" s="204"/>
      <c r="OPX27" s="204"/>
      <c r="OPY27" s="204"/>
      <c r="OPZ27" s="204"/>
      <c r="OQA27" s="204"/>
      <c r="OQB27" s="204"/>
      <c r="OQC27" s="204"/>
      <c r="OQD27" s="204"/>
      <c r="OQE27" s="204"/>
      <c r="OQF27" s="204"/>
      <c r="OQG27" s="204"/>
      <c r="OQH27" s="204"/>
      <c r="OQI27" s="204"/>
      <c r="OQJ27" s="204"/>
      <c r="OQK27" s="204"/>
      <c r="OQL27" s="204"/>
      <c r="OQM27" s="204"/>
      <c r="OQN27" s="204"/>
      <c r="OQO27" s="204"/>
      <c r="OQP27" s="204"/>
      <c r="OQQ27" s="204"/>
      <c r="OQR27" s="204"/>
      <c r="OQS27" s="204"/>
      <c r="OQT27" s="204"/>
      <c r="OQU27" s="204"/>
      <c r="OQV27" s="204"/>
      <c r="OQW27" s="204"/>
      <c r="OQX27" s="204"/>
      <c r="OQY27" s="204"/>
      <c r="OQZ27" s="204"/>
      <c r="ORA27" s="204"/>
      <c r="ORB27" s="204"/>
      <c r="ORC27" s="204"/>
      <c r="ORD27" s="204"/>
      <c r="ORE27" s="204"/>
      <c r="ORF27" s="204"/>
      <c r="ORG27" s="204"/>
      <c r="ORH27" s="204"/>
      <c r="ORI27" s="204"/>
      <c r="ORJ27" s="204"/>
      <c r="ORK27" s="204"/>
      <c r="ORL27" s="204"/>
      <c r="ORM27" s="204"/>
      <c r="ORN27" s="204"/>
      <c r="ORO27" s="204"/>
      <c r="ORP27" s="204"/>
      <c r="ORQ27" s="204"/>
      <c r="ORR27" s="204"/>
      <c r="ORS27" s="204"/>
      <c r="ORT27" s="204"/>
      <c r="ORU27" s="204"/>
      <c r="ORV27" s="204"/>
      <c r="ORW27" s="204"/>
      <c r="ORX27" s="204"/>
      <c r="ORY27" s="204"/>
      <c r="ORZ27" s="204"/>
      <c r="OSA27" s="204"/>
      <c r="OSB27" s="204"/>
      <c r="OSC27" s="204"/>
      <c r="OSD27" s="204"/>
      <c r="OSE27" s="204"/>
      <c r="OSF27" s="204"/>
      <c r="OSG27" s="204"/>
      <c r="OSH27" s="204"/>
      <c r="OSI27" s="204"/>
      <c r="OSJ27" s="204"/>
      <c r="OSK27" s="204"/>
      <c r="OSL27" s="204"/>
      <c r="OSM27" s="204"/>
      <c r="OSN27" s="204"/>
      <c r="OSO27" s="204"/>
      <c r="OSP27" s="204"/>
      <c r="OSQ27" s="204"/>
      <c r="OSR27" s="204"/>
      <c r="OSS27" s="204"/>
      <c r="OST27" s="204"/>
      <c r="OSU27" s="204"/>
      <c r="OSV27" s="204"/>
      <c r="OSW27" s="204"/>
      <c r="OSX27" s="204"/>
      <c r="OSY27" s="204"/>
      <c r="OSZ27" s="204"/>
      <c r="OTA27" s="204"/>
      <c r="OTB27" s="204"/>
      <c r="OTC27" s="204"/>
      <c r="OTD27" s="204"/>
      <c r="OTE27" s="204"/>
      <c r="OTF27" s="204"/>
      <c r="OTG27" s="204"/>
      <c r="OTH27" s="204"/>
      <c r="OTI27" s="204"/>
      <c r="OTJ27" s="204"/>
      <c r="OTK27" s="204"/>
      <c r="OTL27" s="204"/>
      <c r="OTM27" s="204"/>
      <c r="OTN27" s="204"/>
      <c r="OTO27" s="204"/>
      <c r="OTP27" s="204"/>
      <c r="OTQ27" s="204"/>
      <c r="OTR27" s="204"/>
      <c r="OTS27" s="204"/>
      <c r="OTT27" s="204"/>
      <c r="OTU27" s="204"/>
      <c r="OTV27" s="204"/>
      <c r="OTW27" s="204"/>
      <c r="OTX27" s="204"/>
      <c r="OTY27" s="204"/>
      <c r="OTZ27" s="204"/>
      <c r="OUA27" s="204"/>
      <c r="OUB27" s="204"/>
      <c r="OUC27" s="204"/>
      <c r="OUD27" s="204"/>
      <c r="OUE27" s="204"/>
      <c r="OUF27" s="204"/>
      <c r="OUG27" s="204"/>
      <c r="OUH27" s="204"/>
      <c r="OUI27" s="204"/>
      <c r="OUJ27" s="204"/>
      <c r="OUK27" s="204"/>
      <c r="OUL27" s="204"/>
      <c r="OUM27" s="204"/>
      <c r="OUN27" s="204"/>
      <c r="OUO27" s="204"/>
      <c r="OUP27" s="204"/>
      <c r="OUQ27" s="204"/>
      <c r="OUR27" s="204"/>
      <c r="OUS27" s="204"/>
      <c r="OUT27" s="204"/>
      <c r="OUU27" s="204"/>
      <c r="OUV27" s="204"/>
      <c r="OUW27" s="204"/>
      <c r="OUX27" s="204"/>
      <c r="OUY27" s="204"/>
      <c r="OUZ27" s="204"/>
      <c r="OVA27" s="204"/>
      <c r="OVB27" s="204"/>
      <c r="OVC27" s="204"/>
      <c r="OVD27" s="204"/>
      <c r="OVE27" s="204"/>
      <c r="OVF27" s="204"/>
      <c r="OVG27" s="204"/>
      <c r="OVH27" s="204"/>
      <c r="OVI27" s="204"/>
      <c r="OVJ27" s="204"/>
      <c r="OVK27" s="204"/>
      <c r="OVL27" s="204"/>
      <c r="OVM27" s="204"/>
      <c r="OVN27" s="204"/>
      <c r="OVO27" s="204"/>
      <c r="OVP27" s="204"/>
      <c r="OVQ27" s="204"/>
      <c r="OVR27" s="204"/>
      <c r="OVS27" s="204"/>
      <c r="OVT27" s="204"/>
      <c r="OVU27" s="204"/>
      <c r="OVV27" s="204"/>
      <c r="OVW27" s="204"/>
      <c r="OVX27" s="204"/>
      <c r="OVY27" s="204"/>
      <c r="OVZ27" s="204"/>
      <c r="OWA27" s="204"/>
      <c r="OWB27" s="204"/>
      <c r="OWC27" s="204"/>
      <c r="OWD27" s="204"/>
      <c r="OWE27" s="204"/>
      <c r="OWF27" s="204"/>
      <c r="OWG27" s="204"/>
      <c r="OWH27" s="204"/>
      <c r="OWI27" s="204"/>
      <c r="OWJ27" s="204"/>
      <c r="OWK27" s="204"/>
      <c r="OWL27" s="204"/>
      <c r="OWM27" s="204"/>
      <c r="OWN27" s="204"/>
      <c r="OWO27" s="204"/>
      <c r="OWP27" s="204"/>
      <c r="OWQ27" s="204"/>
      <c r="OWR27" s="204"/>
      <c r="OWS27" s="204"/>
      <c r="OWT27" s="204"/>
      <c r="OWU27" s="204"/>
      <c r="OWV27" s="204"/>
      <c r="OWW27" s="204"/>
      <c r="OWX27" s="204"/>
      <c r="OWY27" s="204"/>
      <c r="OWZ27" s="204"/>
      <c r="OXA27" s="204"/>
      <c r="OXB27" s="204"/>
      <c r="OXC27" s="204"/>
      <c r="OXD27" s="204"/>
      <c r="OXE27" s="204"/>
      <c r="OXF27" s="204"/>
      <c r="OXG27" s="204"/>
      <c r="OXH27" s="204"/>
      <c r="OXI27" s="204"/>
      <c r="OXJ27" s="204"/>
      <c r="OXK27" s="204"/>
      <c r="OXL27" s="204"/>
      <c r="OXM27" s="204"/>
      <c r="OXN27" s="204"/>
      <c r="OXO27" s="204"/>
      <c r="OXP27" s="204"/>
      <c r="OXQ27" s="204"/>
      <c r="OXR27" s="204"/>
      <c r="OXS27" s="204"/>
      <c r="OXT27" s="204"/>
      <c r="OXU27" s="204"/>
      <c r="OXV27" s="204"/>
      <c r="OXW27" s="204"/>
      <c r="OXX27" s="204"/>
      <c r="OXY27" s="204"/>
      <c r="OXZ27" s="204"/>
      <c r="OYA27" s="204"/>
      <c r="OYB27" s="204"/>
      <c r="OYC27" s="204"/>
      <c r="OYD27" s="204"/>
      <c r="OYE27" s="204"/>
      <c r="OYF27" s="204"/>
      <c r="OYG27" s="204"/>
      <c r="OYH27" s="204"/>
      <c r="OYI27" s="204"/>
      <c r="OYJ27" s="204"/>
      <c r="OYK27" s="204"/>
      <c r="OYL27" s="204"/>
      <c r="OYM27" s="204"/>
      <c r="OYN27" s="204"/>
      <c r="OYO27" s="204"/>
      <c r="OYP27" s="204"/>
      <c r="OYQ27" s="204"/>
      <c r="OYR27" s="204"/>
      <c r="OYS27" s="204"/>
      <c r="OYT27" s="204"/>
      <c r="OYU27" s="204"/>
      <c r="OYV27" s="204"/>
      <c r="OYW27" s="204"/>
      <c r="OYX27" s="204"/>
      <c r="OYY27" s="204"/>
      <c r="OYZ27" s="204"/>
      <c r="OZA27" s="204"/>
      <c r="OZB27" s="204"/>
      <c r="OZC27" s="204"/>
      <c r="OZD27" s="204"/>
      <c r="OZE27" s="204"/>
      <c r="OZF27" s="204"/>
      <c r="OZG27" s="204"/>
      <c r="OZH27" s="204"/>
      <c r="OZI27" s="204"/>
      <c r="OZJ27" s="204"/>
      <c r="OZK27" s="204"/>
      <c r="OZL27" s="204"/>
      <c r="OZM27" s="204"/>
      <c r="OZN27" s="204"/>
      <c r="OZO27" s="204"/>
      <c r="OZP27" s="204"/>
      <c r="OZQ27" s="204"/>
      <c r="OZR27" s="204"/>
      <c r="OZS27" s="204"/>
      <c r="OZT27" s="204"/>
      <c r="OZU27" s="204"/>
      <c r="OZV27" s="204"/>
      <c r="OZW27" s="204"/>
      <c r="OZX27" s="204"/>
      <c r="OZY27" s="204"/>
      <c r="OZZ27" s="204"/>
      <c r="PAA27" s="204"/>
      <c r="PAB27" s="204"/>
      <c r="PAC27" s="204"/>
      <c r="PAD27" s="204"/>
      <c r="PAE27" s="204"/>
      <c r="PAF27" s="204"/>
      <c r="PAG27" s="204"/>
      <c r="PAH27" s="204"/>
      <c r="PAI27" s="204"/>
      <c r="PAJ27" s="204"/>
      <c r="PAK27" s="204"/>
      <c r="PAL27" s="204"/>
      <c r="PAM27" s="204"/>
      <c r="PAN27" s="204"/>
      <c r="PAO27" s="204"/>
      <c r="PAP27" s="204"/>
      <c r="PAQ27" s="204"/>
      <c r="PAR27" s="204"/>
      <c r="PAS27" s="204"/>
      <c r="PAT27" s="204"/>
      <c r="PAU27" s="204"/>
      <c r="PAV27" s="204"/>
      <c r="PAW27" s="204"/>
      <c r="PAX27" s="204"/>
      <c r="PAY27" s="204"/>
      <c r="PAZ27" s="204"/>
      <c r="PBA27" s="204"/>
      <c r="PBB27" s="204"/>
      <c r="PBC27" s="204"/>
      <c r="PBD27" s="204"/>
      <c r="PBE27" s="204"/>
      <c r="PBF27" s="204"/>
      <c r="PBG27" s="204"/>
      <c r="PBH27" s="204"/>
      <c r="PBI27" s="204"/>
      <c r="PBJ27" s="204"/>
      <c r="PBK27" s="204"/>
      <c r="PBL27" s="204"/>
      <c r="PBM27" s="204"/>
      <c r="PBN27" s="204"/>
      <c r="PBO27" s="204"/>
      <c r="PBP27" s="204"/>
      <c r="PBQ27" s="204"/>
      <c r="PBR27" s="204"/>
      <c r="PBS27" s="204"/>
      <c r="PBT27" s="204"/>
      <c r="PBU27" s="204"/>
      <c r="PBV27" s="204"/>
      <c r="PBW27" s="204"/>
      <c r="PBX27" s="204"/>
      <c r="PBY27" s="204"/>
      <c r="PBZ27" s="204"/>
      <c r="PCA27" s="204"/>
      <c r="PCB27" s="204"/>
      <c r="PCC27" s="204"/>
      <c r="PCD27" s="204"/>
      <c r="PCE27" s="204"/>
      <c r="PCF27" s="204"/>
      <c r="PCG27" s="204"/>
      <c r="PCH27" s="204"/>
      <c r="PCI27" s="204"/>
      <c r="PCJ27" s="204"/>
      <c r="PCK27" s="204"/>
      <c r="PCL27" s="204"/>
      <c r="PCM27" s="204"/>
      <c r="PCN27" s="204"/>
      <c r="PCO27" s="204"/>
      <c r="PCP27" s="204"/>
      <c r="PCQ27" s="204"/>
      <c r="PCR27" s="204"/>
      <c r="PCS27" s="204"/>
      <c r="PCT27" s="204"/>
      <c r="PCU27" s="204"/>
      <c r="PCV27" s="204"/>
      <c r="PCW27" s="204"/>
      <c r="PCX27" s="204"/>
      <c r="PCY27" s="204"/>
      <c r="PCZ27" s="204"/>
      <c r="PDA27" s="204"/>
      <c r="PDB27" s="204"/>
      <c r="PDC27" s="204"/>
      <c r="PDD27" s="204"/>
      <c r="PDE27" s="204"/>
      <c r="PDF27" s="204"/>
      <c r="PDG27" s="204"/>
      <c r="PDH27" s="204"/>
      <c r="PDI27" s="204"/>
      <c r="PDJ27" s="204"/>
      <c r="PDK27" s="204"/>
      <c r="PDL27" s="204"/>
      <c r="PDM27" s="204"/>
      <c r="PDN27" s="204"/>
      <c r="PDO27" s="204"/>
      <c r="PDP27" s="204"/>
      <c r="PDQ27" s="204"/>
      <c r="PDR27" s="204"/>
      <c r="PDS27" s="204"/>
      <c r="PDT27" s="204"/>
      <c r="PDU27" s="204"/>
      <c r="PDV27" s="204"/>
      <c r="PDW27" s="204"/>
      <c r="PDX27" s="204"/>
      <c r="PDY27" s="204"/>
      <c r="PDZ27" s="204"/>
      <c r="PEA27" s="204"/>
      <c r="PEB27" s="204"/>
      <c r="PEC27" s="204"/>
      <c r="PED27" s="204"/>
      <c r="PEE27" s="204"/>
      <c r="PEF27" s="204"/>
      <c r="PEG27" s="204"/>
      <c r="PEH27" s="204"/>
      <c r="PEI27" s="204"/>
      <c r="PEJ27" s="204"/>
      <c r="PEK27" s="204"/>
      <c r="PEL27" s="204"/>
      <c r="PEM27" s="204"/>
      <c r="PEN27" s="204"/>
      <c r="PEO27" s="204"/>
      <c r="PEP27" s="204"/>
      <c r="PEQ27" s="204"/>
      <c r="PER27" s="204"/>
      <c r="PES27" s="204"/>
      <c r="PET27" s="204"/>
      <c r="PEU27" s="204"/>
      <c r="PEV27" s="204"/>
      <c r="PEW27" s="204"/>
      <c r="PEX27" s="204"/>
      <c r="PEY27" s="204"/>
      <c r="PEZ27" s="204"/>
      <c r="PFA27" s="204"/>
      <c r="PFB27" s="204"/>
      <c r="PFC27" s="204"/>
      <c r="PFD27" s="204"/>
      <c r="PFE27" s="204"/>
      <c r="PFF27" s="204"/>
      <c r="PFG27" s="204"/>
      <c r="PFH27" s="204"/>
      <c r="PFI27" s="204"/>
      <c r="PFJ27" s="204"/>
      <c r="PFK27" s="204"/>
      <c r="PFL27" s="204"/>
      <c r="PFM27" s="204"/>
      <c r="PFN27" s="204"/>
      <c r="PFO27" s="204"/>
      <c r="PFP27" s="204"/>
      <c r="PFQ27" s="204"/>
      <c r="PFR27" s="204"/>
      <c r="PFS27" s="204"/>
      <c r="PFT27" s="204"/>
      <c r="PFU27" s="204"/>
      <c r="PFV27" s="204"/>
      <c r="PFW27" s="204"/>
      <c r="PFX27" s="204"/>
      <c r="PFY27" s="204"/>
      <c r="PFZ27" s="204"/>
      <c r="PGA27" s="204"/>
      <c r="PGB27" s="204"/>
      <c r="PGC27" s="204"/>
      <c r="PGD27" s="204"/>
      <c r="PGE27" s="204"/>
      <c r="PGF27" s="204"/>
      <c r="PGG27" s="204"/>
      <c r="PGH27" s="204"/>
      <c r="PGI27" s="204"/>
      <c r="PGJ27" s="204"/>
      <c r="PGK27" s="204"/>
      <c r="PGL27" s="204"/>
      <c r="PGM27" s="204"/>
      <c r="PGN27" s="204"/>
      <c r="PGO27" s="204"/>
      <c r="PGP27" s="204"/>
      <c r="PGQ27" s="204"/>
      <c r="PGR27" s="204"/>
      <c r="PGS27" s="204"/>
      <c r="PGT27" s="204"/>
      <c r="PGU27" s="204"/>
      <c r="PGV27" s="204"/>
      <c r="PGW27" s="204"/>
      <c r="PGX27" s="204"/>
      <c r="PGY27" s="204"/>
      <c r="PGZ27" s="204"/>
      <c r="PHA27" s="204"/>
      <c r="PHB27" s="204"/>
      <c r="PHC27" s="204"/>
      <c r="PHD27" s="204"/>
      <c r="PHE27" s="204"/>
      <c r="PHF27" s="204"/>
      <c r="PHG27" s="204"/>
      <c r="PHH27" s="204"/>
      <c r="PHI27" s="204"/>
      <c r="PHJ27" s="204"/>
      <c r="PHK27" s="204"/>
      <c r="PHL27" s="204"/>
      <c r="PHM27" s="204"/>
      <c r="PHN27" s="204"/>
      <c r="PHO27" s="204"/>
      <c r="PHP27" s="204"/>
      <c r="PHQ27" s="204"/>
      <c r="PHR27" s="204"/>
      <c r="PHS27" s="204"/>
      <c r="PHT27" s="204"/>
      <c r="PHU27" s="204"/>
      <c r="PHV27" s="204"/>
      <c r="PHW27" s="204"/>
      <c r="PHX27" s="204"/>
      <c r="PHY27" s="204"/>
      <c r="PHZ27" s="204"/>
      <c r="PIA27" s="204"/>
      <c r="PIB27" s="204"/>
      <c r="PIC27" s="204"/>
      <c r="PID27" s="204"/>
      <c r="PIE27" s="204"/>
      <c r="PIF27" s="204"/>
      <c r="PIG27" s="204"/>
      <c r="PIH27" s="204"/>
      <c r="PII27" s="204"/>
      <c r="PIJ27" s="204"/>
      <c r="PIK27" s="204"/>
      <c r="PIL27" s="204"/>
      <c r="PIM27" s="204"/>
      <c r="PIN27" s="204"/>
      <c r="PIO27" s="204"/>
      <c r="PIP27" s="204"/>
      <c r="PIQ27" s="204"/>
      <c r="PIR27" s="204"/>
      <c r="PIS27" s="204"/>
      <c r="PIT27" s="204"/>
      <c r="PIU27" s="204"/>
      <c r="PIV27" s="204"/>
      <c r="PIW27" s="204"/>
      <c r="PIX27" s="204"/>
      <c r="PIY27" s="204"/>
      <c r="PIZ27" s="204"/>
      <c r="PJA27" s="204"/>
      <c r="PJB27" s="204"/>
      <c r="PJC27" s="204"/>
      <c r="PJD27" s="204"/>
      <c r="PJE27" s="204"/>
      <c r="PJF27" s="204"/>
      <c r="PJG27" s="204"/>
      <c r="PJH27" s="204"/>
      <c r="PJI27" s="204"/>
      <c r="PJJ27" s="204"/>
      <c r="PJK27" s="204"/>
      <c r="PJL27" s="204"/>
      <c r="PJM27" s="204"/>
      <c r="PJN27" s="204"/>
      <c r="PJO27" s="204"/>
      <c r="PJP27" s="204"/>
      <c r="PJQ27" s="204"/>
      <c r="PJR27" s="204"/>
      <c r="PJS27" s="204"/>
      <c r="PJT27" s="204"/>
      <c r="PJU27" s="204"/>
      <c r="PJV27" s="204"/>
      <c r="PJW27" s="204"/>
      <c r="PJX27" s="204"/>
      <c r="PJY27" s="204"/>
      <c r="PJZ27" s="204"/>
      <c r="PKA27" s="204"/>
      <c r="PKB27" s="204"/>
      <c r="PKC27" s="204"/>
      <c r="PKD27" s="204"/>
      <c r="PKE27" s="204"/>
      <c r="PKF27" s="204"/>
      <c r="PKG27" s="204"/>
      <c r="PKH27" s="204"/>
      <c r="PKI27" s="204"/>
      <c r="PKJ27" s="204"/>
      <c r="PKK27" s="204"/>
      <c r="PKL27" s="204"/>
      <c r="PKM27" s="204"/>
      <c r="PKN27" s="204"/>
      <c r="PKO27" s="204"/>
      <c r="PKP27" s="204"/>
      <c r="PKQ27" s="204"/>
      <c r="PKR27" s="204"/>
      <c r="PKS27" s="204"/>
      <c r="PKT27" s="204"/>
      <c r="PKU27" s="204"/>
      <c r="PKV27" s="204"/>
      <c r="PKW27" s="204"/>
      <c r="PKX27" s="204"/>
      <c r="PKY27" s="204"/>
      <c r="PKZ27" s="204"/>
      <c r="PLA27" s="204"/>
      <c r="PLB27" s="204"/>
      <c r="PLC27" s="204"/>
      <c r="PLD27" s="204"/>
      <c r="PLE27" s="204"/>
      <c r="PLF27" s="204"/>
      <c r="PLG27" s="204"/>
      <c r="PLH27" s="204"/>
      <c r="PLI27" s="204"/>
      <c r="PLJ27" s="204"/>
      <c r="PLK27" s="204"/>
      <c r="PLL27" s="204"/>
      <c r="PLM27" s="204"/>
      <c r="PLN27" s="204"/>
      <c r="PLO27" s="204"/>
      <c r="PLP27" s="204"/>
      <c r="PLQ27" s="204"/>
      <c r="PLR27" s="204"/>
      <c r="PLS27" s="204"/>
      <c r="PLT27" s="204"/>
      <c r="PLU27" s="204"/>
      <c r="PLV27" s="204"/>
      <c r="PLW27" s="204"/>
      <c r="PLX27" s="204"/>
      <c r="PLY27" s="204"/>
      <c r="PLZ27" s="204"/>
      <c r="PMA27" s="204"/>
      <c r="PMB27" s="204"/>
      <c r="PMC27" s="204"/>
      <c r="PMD27" s="204"/>
      <c r="PME27" s="204"/>
      <c r="PMF27" s="204"/>
      <c r="PMG27" s="204"/>
      <c r="PMH27" s="204"/>
      <c r="PMI27" s="204"/>
      <c r="PMJ27" s="204"/>
      <c r="PMK27" s="204"/>
      <c r="PML27" s="204"/>
      <c r="PMM27" s="204"/>
      <c r="PMN27" s="204"/>
      <c r="PMO27" s="204"/>
      <c r="PMP27" s="204"/>
      <c r="PMQ27" s="204"/>
      <c r="PMR27" s="204"/>
      <c r="PMS27" s="204"/>
      <c r="PMT27" s="204"/>
      <c r="PMU27" s="204"/>
      <c r="PMV27" s="204"/>
      <c r="PMW27" s="204"/>
      <c r="PMX27" s="204"/>
      <c r="PMY27" s="204"/>
      <c r="PMZ27" s="204"/>
      <c r="PNA27" s="204"/>
      <c r="PNB27" s="204"/>
      <c r="PNC27" s="204"/>
      <c r="PND27" s="204"/>
      <c r="PNE27" s="204"/>
      <c r="PNF27" s="204"/>
      <c r="PNG27" s="204"/>
      <c r="PNH27" s="204"/>
      <c r="PNI27" s="204"/>
      <c r="PNJ27" s="204"/>
      <c r="PNK27" s="204"/>
      <c r="PNL27" s="204"/>
      <c r="PNM27" s="204"/>
      <c r="PNN27" s="204"/>
      <c r="PNO27" s="204"/>
      <c r="PNP27" s="204"/>
      <c r="PNQ27" s="204"/>
      <c r="PNR27" s="204"/>
      <c r="PNS27" s="204"/>
      <c r="PNT27" s="204"/>
      <c r="PNU27" s="204"/>
      <c r="PNV27" s="204"/>
      <c r="PNW27" s="204"/>
      <c r="PNX27" s="204"/>
      <c r="PNY27" s="204"/>
      <c r="PNZ27" s="204"/>
      <c r="POA27" s="204"/>
      <c r="POB27" s="204"/>
      <c r="POC27" s="204"/>
      <c r="POD27" s="204"/>
      <c r="POE27" s="204"/>
      <c r="POF27" s="204"/>
      <c r="POG27" s="204"/>
      <c r="POH27" s="204"/>
      <c r="POI27" s="204"/>
      <c r="POJ27" s="204"/>
      <c r="POK27" s="204"/>
      <c r="POL27" s="204"/>
      <c r="POM27" s="204"/>
      <c r="PON27" s="204"/>
      <c r="POO27" s="204"/>
      <c r="POP27" s="204"/>
      <c r="POQ27" s="204"/>
      <c r="POR27" s="204"/>
      <c r="POS27" s="204"/>
      <c r="POT27" s="204"/>
      <c r="POU27" s="204"/>
      <c r="POV27" s="204"/>
      <c r="POW27" s="204"/>
      <c r="POX27" s="204"/>
      <c r="POY27" s="204"/>
      <c r="POZ27" s="204"/>
      <c r="PPA27" s="204"/>
      <c r="PPB27" s="204"/>
      <c r="PPC27" s="204"/>
      <c r="PPD27" s="204"/>
      <c r="PPE27" s="204"/>
      <c r="PPF27" s="204"/>
      <c r="PPG27" s="204"/>
      <c r="PPH27" s="204"/>
      <c r="PPI27" s="204"/>
      <c r="PPJ27" s="204"/>
      <c r="PPK27" s="204"/>
      <c r="PPL27" s="204"/>
      <c r="PPM27" s="204"/>
      <c r="PPN27" s="204"/>
      <c r="PPO27" s="204"/>
      <c r="PPP27" s="204"/>
      <c r="PPQ27" s="204"/>
      <c r="PPR27" s="204"/>
      <c r="PPS27" s="204"/>
      <c r="PPT27" s="204"/>
      <c r="PPU27" s="204"/>
      <c r="PPV27" s="204"/>
      <c r="PPW27" s="204"/>
      <c r="PPX27" s="204"/>
      <c r="PPY27" s="204"/>
      <c r="PPZ27" s="204"/>
      <c r="PQA27" s="204"/>
      <c r="PQB27" s="204"/>
      <c r="PQC27" s="204"/>
      <c r="PQD27" s="204"/>
      <c r="PQE27" s="204"/>
      <c r="PQF27" s="204"/>
      <c r="PQG27" s="204"/>
      <c r="PQH27" s="204"/>
      <c r="PQI27" s="204"/>
      <c r="PQJ27" s="204"/>
      <c r="PQK27" s="204"/>
      <c r="PQL27" s="204"/>
      <c r="PQM27" s="204"/>
      <c r="PQN27" s="204"/>
      <c r="PQO27" s="204"/>
      <c r="PQP27" s="204"/>
      <c r="PQQ27" s="204"/>
      <c r="PQR27" s="204"/>
      <c r="PQS27" s="204"/>
      <c r="PQT27" s="204"/>
      <c r="PQU27" s="204"/>
      <c r="PQV27" s="204"/>
      <c r="PQW27" s="204"/>
      <c r="PQX27" s="204"/>
      <c r="PQY27" s="204"/>
      <c r="PQZ27" s="204"/>
      <c r="PRA27" s="204"/>
      <c r="PRB27" s="204"/>
      <c r="PRC27" s="204"/>
      <c r="PRD27" s="204"/>
      <c r="PRE27" s="204"/>
      <c r="PRF27" s="204"/>
      <c r="PRG27" s="204"/>
      <c r="PRH27" s="204"/>
      <c r="PRI27" s="204"/>
      <c r="PRJ27" s="204"/>
      <c r="PRK27" s="204"/>
      <c r="PRL27" s="204"/>
      <c r="PRM27" s="204"/>
      <c r="PRN27" s="204"/>
      <c r="PRO27" s="204"/>
      <c r="PRP27" s="204"/>
      <c r="PRQ27" s="204"/>
      <c r="PRR27" s="204"/>
      <c r="PRS27" s="204"/>
      <c r="PRT27" s="204"/>
      <c r="PRU27" s="204"/>
      <c r="PRV27" s="204"/>
      <c r="PRW27" s="204"/>
      <c r="PRX27" s="204"/>
      <c r="PRY27" s="204"/>
      <c r="PRZ27" s="204"/>
      <c r="PSA27" s="204"/>
      <c r="PSB27" s="204"/>
      <c r="PSC27" s="204"/>
      <c r="PSD27" s="204"/>
      <c r="PSE27" s="204"/>
      <c r="PSF27" s="204"/>
      <c r="PSG27" s="204"/>
      <c r="PSH27" s="204"/>
      <c r="PSI27" s="204"/>
      <c r="PSJ27" s="204"/>
      <c r="PSK27" s="204"/>
      <c r="PSL27" s="204"/>
      <c r="PSM27" s="204"/>
      <c r="PSN27" s="204"/>
      <c r="PSO27" s="204"/>
      <c r="PSP27" s="204"/>
      <c r="PSQ27" s="204"/>
      <c r="PSR27" s="204"/>
      <c r="PSS27" s="204"/>
      <c r="PST27" s="204"/>
      <c r="PSU27" s="204"/>
      <c r="PSV27" s="204"/>
      <c r="PSW27" s="204"/>
      <c r="PSX27" s="204"/>
      <c r="PSY27" s="204"/>
      <c r="PSZ27" s="204"/>
      <c r="PTA27" s="204"/>
      <c r="PTB27" s="204"/>
      <c r="PTC27" s="204"/>
      <c r="PTD27" s="204"/>
      <c r="PTE27" s="204"/>
      <c r="PTF27" s="204"/>
      <c r="PTG27" s="204"/>
      <c r="PTH27" s="204"/>
      <c r="PTI27" s="204"/>
      <c r="PTJ27" s="204"/>
      <c r="PTK27" s="204"/>
      <c r="PTL27" s="204"/>
      <c r="PTM27" s="204"/>
      <c r="PTN27" s="204"/>
      <c r="PTO27" s="204"/>
      <c r="PTP27" s="204"/>
      <c r="PTQ27" s="204"/>
      <c r="PTR27" s="204"/>
      <c r="PTS27" s="204"/>
      <c r="PTT27" s="204"/>
      <c r="PTU27" s="204"/>
      <c r="PTV27" s="204"/>
      <c r="PTW27" s="204"/>
      <c r="PTX27" s="204"/>
      <c r="PTY27" s="204"/>
      <c r="PTZ27" s="204"/>
      <c r="PUA27" s="204"/>
      <c r="PUB27" s="204"/>
      <c r="PUC27" s="204"/>
      <c r="PUD27" s="204"/>
      <c r="PUE27" s="204"/>
      <c r="PUF27" s="204"/>
      <c r="PUG27" s="204"/>
      <c r="PUH27" s="204"/>
      <c r="PUI27" s="204"/>
      <c r="PUJ27" s="204"/>
      <c r="PUK27" s="204"/>
      <c r="PUL27" s="204"/>
      <c r="PUM27" s="204"/>
      <c r="PUN27" s="204"/>
      <c r="PUO27" s="204"/>
      <c r="PUP27" s="204"/>
      <c r="PUQ27" s="204"/>
      <c r="PUR27" s="204"/>
      <c r="PUS27" s="204"/>
      <c r="PUT27" s="204"/>
      <c r="PUU27" s="204"/>
      <c r="PUV27" s="204"/>
      <c r="PUW27" s="204"/>
      <c r="PUX27" s="204"/>
      <c r="PUY27" s="204"/>
      <c r="PUZ27" s="204"/>
      <c r="PVA27" s="204"/>
      <c r="PVB27" s="204"/>
      <c r="PVC27" s="204"/>
      <c r="PVD27" s="204"/>
      <c r="PVE27" s="204"/>
      <c r="PVF27" s="204"/>
      <c r="PVG27" s="204"/>
      <c r="PVH27" s="204"/>
      <c r="PVI27" s="204"/>
      <c r="PVJ27" s="204"/>
      <c r="PVK27" s="204"/>
      <c r="PVL27" s="204"/>
      <c r="PVM27" s="204"/>
      <c r="PVN27" s="204"/>
      <c r="PVO27" s="204"/>
      <c r="PVP27" s="204"/>
      <c r="PVQ27" s="204"/>
      <c r="PVR27" s="204"/>
      <c r="PVS27" s="204"/>
      <c r="PVT27" s="204"/>
      <c r="PVU27" s="204"/>
      <c r="PVV27" s="204"/>
      <c r="PVW27" s="204"/>
      <c r="PVX27" s="204"/>
      <c r="PVY27" s="204"/>
      <c r="PVZ27" s="204"/>
      <c r="PWA27" s="204"/>
      <c r="PWB27" s="204"/>
      <c r="PWC27" s="204"/>
      <c r="PWD27" s="204"/>
      <c r="PWE27" s="204"/>
      <c r="PWF27" s="204"/>
      <c r="PWG27" s="204"/>
      <c r="PWH27" s="204"/>
      <c r="PWI27" s="204"/>
      <c r="PWJ27" s="204"/>
      <c r="PWK27" s="204"/>
      <c r="PWL27" s="204"/>
      <c r="PWM27" s="204"/>
      <c r="PWN27" s="204"/>
      <c r="PWO27" s="204"/>
      <c r="PWP27" s="204"/>
      <c r="PWQ27" s="204"/>
      <c r="PWR27" s="204"/>
      <c r="PWS27" s="204"/>
      <c r="PWT27" s="204"/>
      <c r="PWU27" s="204"/>
      <c r="PWV27" s="204"/>
      <c r="PWW27" s="204"/>
      <c r="PWX27" s="204"/>
      <c r="PWY27" s="204"/>
      <c r="PWZ27" s="204"/>
      <c r="PXA27" s="204"/>
      <c r="PXB27" s="204"/>
      <c r="PXC27" s="204"/>
      <c r="PXD27" s="204"/>
      <c r="PXE27" s="204"/>
      <c r="PXF27" s="204"/>
      <c r="PXG27" s="204"/>
      <c r="PXH27" s="204"/>
      <c r="PXI27" s="204"/>
      <c r="PXJ27" s="204"/>
      <c r="PXK27" s="204"/>
      <c r="PXL27" s="204"/>
      <c r="PXM27" s="204"/>
      <c r="PXN27" s="204"/>
      <c r="PXO27" s="204"/>
      <c r="PXP27" s="204"/>
      <c r="PXQ27" s="204"/>
      <c r="PXR27" s="204"/>
      <c r="PXS27" s="204"/>
      <c r="PXT27" s="204"/>
      <c r="PXU27" s="204"/>
      <c r="PXV27" s="204"/>
      <c r="PXW27" s="204"/>
      <c r="PXX27" s="204"/>
      <c r="PXY27" s="204"/>
      <c r="PXZ27" s="204"/>
      <c r="PYA27" s="204"/>
      <c r="PYB27" s="204"/>
      <c r="PYC27" s="204"/>
      <c r="PYD27" s="204"/>
      <c r="PYE27" s="204"/>
      <c r="PYF27" s="204"/>
      <c r="PYG27" s="204"/>
      <c r="PYH27" s="204"/>
      <c r="PYI27" s="204"/>
      <c r="PYJ27" s="204"/>
      <c r="PYK27" s="204"/>
      <c r="PYL27" s="204"/>
      <c r="PYM27" s="204"/>
      <c r="PYN27" s="204"/>
      <c r="PYO27" s="204"/>
      <c r="PYP27" s="204"/>
      <c r="PYQ27" s="204"/>
      <c r="PYR27" s="204"/>
      <c r="PYS27" s="204"/>
      <c r="PYT27" s="204"/>
      <c r="PYU27" s="204"/>
      <c r="PYV27" s="204"/>
      <c r="PYW27" s="204"/>
      <c r="PYX27" s="204"/>
      <c r="PYY27" s="204"/>
      <c r="PYZ27" s="204"/>
      <c r="PZA27" s="204"/>
      <c r="PZB27" s="204"/>
      <c r="PZC27" s="204"/>
      <c r="PZD27" s="204"/>
      <c r="PZE27" s="204"/>
      <c r="PZF27" s="204"/>
      <c r="PZG27" s="204"/>
      <c r="PZH27" s="204"/>
      <c r="PZI27" s="204"/>
      <c r="PZJ27" s="204"/>
      <c r="PZK27" s="204"/>
      <c r="PZL27" s="204"/>
      <c r="PZM27" s="204"/>
      <c r="PZN27" s="204"/>
      <c r="PZO27" s="204"/>
      <c r="PZP27" s="204"/>
      <c r="PZQ27" s="204"/>
      <c r="PZR27" s="204"/>
      <c r="PZS27" s="204"/>
      <c r="PZT27" s="204"/>
      <c r="PZU27" s="204"/>
      <c r="PZV27" s="204"/>
      <c r="PZW27" s="204"/>
      <c r="PZX27" s="204"/>
      <c r="PZY27" s="204"/>
      <c r="PZZ27" s="204"/>
      <c r="QAA27" s="204"/>
      <c r="QAB27" s="204"/>
      <c r="QAC27" s="204"/>
      <c r="QAD27" s="204"/>
      <c r="QAE27" s="204"/>
      <c r="QAF27" s="204"/>
      <c r="QAG27" s="204"/>
      <c r="QAH27" s="204"/>
      <c r="QAI27" s="204"/>
      <c r="QAJ27" s="204"/>
      <c r="QAK27" s="204"/>
      <c r="QAL27" s="204"/>
      <c r="QAM27" s="204"/>
      <c r="QAN27" s="204"/>
      <c r="QAO27" s="204"/>
      <c r="QAP27" s="204"/>
      <c r="QAQ27" s="204"/>
      <c r="QAR27" s="204"/>
      <c r="QAS27" s="204"/>
      <c r="QAT27" s="204"/>
      <c r="QAU27" s="204"/>
      <c r="QAV27" s="204"/>
      <c r="QAW27" s="204"/>
      <c r="QAX27" s="204"/>
      <c r="QAY27" s="204"/>
      <c r="QAZ27" s="204"/>
      <c r="QBA27" s="204"/>
      <c r="QBB27" s="204"/>
      <c r="QBC27" s="204"/>
      <c r="QBD27" s="204"/>
      <c r="QBE27" s="204"/>
      <c r="QBF27" s="204"/>
      <c r="QBG27" s="204"/>
      <c r="QBH27" s="204"/>
      <c r="QBI27" s="204"/>
      <c r="QBJ27" s="204"/>
      <c r="QBK27" s="204"/>
      <c r="QBL27" s="204"/>
      <c r="QBM27" s="204"/>
      <c r="QBN27" s="204"/>
      <c r="QBO27" s="204"/>
      <c r="QBP27" s="204"/>
      <c r="QBQ27" s="204"/>
      <c r="QBR27" s="204"/>
      <c r="QBS27" s="204"/>
      <c r="QBT27" s="204"/>
      <c r="QBU27" s="204"/>
      <c r="QBV27" s="204"/>
      <c r="QBW27" s="204"/>
      <c r="QBX27" s="204"/>
      <c r="QBY27" s="204"/>
      <c r="QBZ27" s="204"/>
      <c r="QCA27" s="204"/>
      <c r="QCB27" s="204"/>
      <c r="QCC27" s="204"/>
      <c r="QCD27" s="204"/>
      <c r="QCE27" s="204"/>
      <c r="QCF27" s="204"/>
      <c r="QCG27" s="204"/>
      <c r="QCH27" s="204"/>
      <c r="QCI27" s="204"/>
      <c r="QCJ27" s="204"/>
      <c r="QCK27" s="204"/>
      <c r="QCL27" s="204"/>
      <c r="QCM27" s="204"/>
      <c r="QCN27" s="204"/>
      <c r="QCO27" s="204"/>
      <c r="QCP27" s="204"/>
      <c r="QCQ27" s="204"/>
      <c r="QCR27" s="204"/>
      <c r="QCS27" s="204"/>
      <c r="QCT27" s="204"/>
      <c r="QCU27" s="204"/>
      <c r="QCV27" s="204"/>
      <c r="QCW27" s="204"/>
      <c r="QCX27" s="204"/>
      <c r="QCY27" s="204"/>
      <c r="QCZ27" s="204"/>
      <c r="QDA27" s="204"/>
      <c r="QDB27" s="204"/>
      <c r="QDC27" s="204"/>
      <c r="QDD27" s="204"/>
      <c r="QDE27" s="204"/>
      <c r="QDF27" s="204"/>
      <c r="QDG27" s="204"/>
      <c r="QDH27" s="204"/>
      <c r="QDI27" s="204"/>
      <c r="QDJ27" s="204"/>
      <c r="QDK27" s="204"/>
      <c r="QDL27" s="204"/>
      <c r="QDM27" s="204"/>
      <c r="QDN27" s="204"/>
      <c r="QDO27" s="204"/>
      <c r="QDP27" s="204"/>
      <c r="QDQ27" s="204"/>
      <c r="QDR27" s="204"/>
      <c r="QDS27" s="204"/>
      <c r="QDT27" s="204"/>
      <c r="QDU27" s="204"/>
      <c r="QDV27" s="204"/>
      <c r="QDW27" s="204"/>
      <c r="QDX27" s="204"/>
      <c r="QDY27" s="204"/>
      <c r="QDZ27" s="204"/>
      <c r="QEA27" s="204"/>
      <c r="QEB27" s="204"/>
      <c r="QEC27" s="204"/>
      <c r="QED27" s="204"/>
      <c r="QEE27" s="204"/>
      <c r="QEF27" s="204"/>
      <c r="QEG27" s="204"/>
      <c r="QEH27" s="204"/>
      <c r="QEI27" s="204"/>
      <c r="QEJ27" s="204"/>
      <c r="QEK27" s="204"/>
      <c r="QEL27" s="204"/>
      <c r="QEM27" s="204"/>
      <c r="QEN27" s="204"/>
      <c r="QEO27" s="204"/>
      <c r="QEP27" s="204"/>
      <c r="QEQ27" s="204"/>
      <c r="QER27" s="204"/>
      <c r="QES27" s="204"/>
      <c r="QET27" s="204"/>
      <c r="QEU27" s="204"/>
      <c r="QEV27" s="204"/>
      <c r="QEW27" s="204"/>
      <c r="QEX27" s="204"/>
      <c r="QEY27" s="204"/>
      <c r="QEZ27" s="204"/>
      <c r="QFA27" s="204"/>
      <c r="QFB27" s="204"/>
      <c r="QFC27" s="204"/>
      <c r="QFD27" s="204"/>
      <c r="QFE27" s="204"/>
      <c r="QFF27" s="204"/>
      <c r="QFG27" s="204"/>
      <c r="QFH27" s="204"/>
      <c r="QFI27" s="204"/>
      <c r="QFJ27" s="204"/>
      <c r="QFK27" s="204"/>
      <c r="QFL27" s="204"/>
      <c r="QFM27" s="204"/>
      <c r="QFN27" s="204"/>
      <c r="QFO27" s="204"/>
      <c r="QFP27" s="204"/>
      <c r="QFQ27" s="204"/>
      <c r="QFR27" s="204"/>
      <c r="QFS27" s="204"/>
      <c r="QFT27" s="204"/>
      <c r="QFU27" s="204"/>
      <c r="QFV27" s="204"/>
      <c r="QFW27" s="204"/>
      <c r="QFX27" s="204"/>
      <c r="QFY27" s="204"/>
      <c r="QFZ27" s="204"/>
      <c r="QGA27" s="204"/>
      <c r="QGB27" s="204"/>
      <c r="QGC27" s="204"/>
      <c r="QGD27" s="204"/>
      <c r="QGE27" s="204"/>
      <c r="QGF27" s="204"/>
      <c r="QGG27" s="204"/>
      <c r="QGH27" s="204"/>
      <c r="QGI27" s="204"/>
      <c r="QGJ27" s="204"/>
      <c r="QGK27" s="204"/>
      <c r="QGL27" s="204"/>
      <c r="QGM27" s="204"/>
      <c r="QGN27" s="204"/>
      <c r="QGO27" s="204"/>
      <c r="QGP27" s="204"/>
      <c r="QGQ27" s="204"/>
      <c r="QGR27" s="204"/>
      <c r="QGS27" s="204"/>
      <c r="QGT27" s="204"/>
      <c r="QGU27" s="204"/>
      <c r="QGV27" s="204"/>
      <c r="QGW27" s="204"/>
      <c r="QGX27" s="204"/>
      <c r="QGY27" s="204"/>
      <c r="QGZ27" s="204"/>
      <c r="QHA27" s="204"/>
      <c r="QHB27" s="204"/>
      <c r="QHC27" s="204"/>
      <c r="QHD27" s="204"/>
      <c r="QHE27" s="204"/>
      <c r="QHF27" s="204"/>
      <c r="QHG27" s="204"/>
      <c r="QHH27" s="204"/>
      <c r="QHI27" s="204"/>
      <c r="QHJ27" s="204"/>
      <c r="QHK27" s="204"/>
      <c r="QHL27" s="204"/>
      <c r="QHM27" s="204"/>
      <c r="QHN27" s="204"/>
      <c r="QHO27" s="204"/>
      <c r="QHP27" s="204"/>
      <c r="QHQ27" s="204"/>
      <c r="QHR27" s="204"/>
      <c r="QHS27" s="204"/>
      <c r="QHT27" s="204"/>
      <c r="QHU27" s="204"/>
      <c r="QHV27" s="204"/>
      <c r="QHW27" s="204"/>
      <c r="QHX27" s="204"/>
      <c r="QHY27" s="204"/>
      <c r="QHZ27" s="204"/>
      <c r="QIA27" s="204"/>
      <c r="QIB27" s="204"/>
      <c r="QIC27" s="204"/>
      <c r="QID27" s="204"/>
      <c r="QIE27" s="204"/>
      <c r="QIF27" s="204"/>
      <c r="QIG27" s="204"/>
      <c r="QIH27" s="204"/>
      <c r="QII27" s="204"/>
      <c r="QIJ27" s="204"/>
      <c r="QIK27" s="204"/>
      <c r="QIL27" s="204"/>
      <c r="QIM27" s="204"/>
      <c r="QIN27" s="204"/>
      <c r="QIO27" s="204"/>
      <c r="QIP27" s="204"/>
      <c r="QIQ27" s="204"/>
      <c r="QIR27" s="204"/>
      <c r="QIS27" s="204"/>
      <c r="QIT27" s="204"/>
      <c r="QIU27" s="204"/>
      <c r="QIV27" s="204"/>
      <c r="QIW27" s="204"/>
      <c r="QIX27" s="204"/>
      <c r="QIY27" s="204"/>
      <c r="QIZ27" s="204"/>
      <c r="QJA27" s="204"/>
      <c r="QJB27" s="204"/>
      <c r="QJC27" s="204"/>
      <c r="QJD27" s="204"/>
      <c r="QJE27" s="204"/>
      <c r="QJF27" s="204"/>
      <c r="QJG27" s="204"/>
      <c r="QJH27" s="204"/>
      <c r="QJI27" s="204"/>
      <c r="QJJ27" s="204"/>
      <c r="QJK27" s="204"/>
      <c r="QJL27" s="204"/>
      <c r="QJM27" s="204"/>
      <c r="QJN27" s="204"/>
      <c r="QJO27" s="204"/>
      <c r="QJP27" s="204"/>
      <c r="QJQ27" s="204"/>
      <c r="QJR27" s="204"/>
      <c r="QJS27" s="204"/>
      <c r="QJT27" s="204"/>
      <c r="QJU27" s="204"/>
      <c r="QJV27" s="204"/>
      <c r="QJW27" s="204"/>
      <c r="QJX27" s="204"/>
      <c r="QJY27" s="204"/>
      <c r="QJZ27" s="204"/>
      <c r="QKA27" s="204"/>
      <c r="QKB27" s="204"/>
      <c r="QKC27" s="204"/>
      <c r="QKD27" s="204"/>
      <c r="QKE27" s="204"/>
      <c r="QKF27" s="204"/>
      <c r="QKG27" s="204"/>
      <c r="QKH27" s="204"/>
      <c r="QKI27" s="204"/>
      <c r="QKJ27" s="204"/>
      <c r="QKK27" s="204"/>
      <c r="QKL27" s="204"/>
      <c r="QKM27" s="204"/>
      <c r="QKN27" s="204"/>
      <c r="QKO27" s="204"/>
      <c r="QKP27" s="204"/>
      <c r="QKQ27" s="204"/>
      <c r="QKR27" s="204"/>
      <c r="QKS27" s="204"/>
      <c r="QKT27" s="204"/>
      <c r="QKU27" s="204"/>
      <c r="QKV27" s="204"/>
      <c r="QKW27" s="204"/>
      <c r="QKX27" s="204"/>
      <c r="QKY27" s="204"/>
      <c r="QKZ27" s="204"/>
      <c r="QLA27" s="204"/>
      <c r="QLB27" s="204"/>
      <c r="QLC27" s="204"/>
      <c r="QLD27" s="204"/>
      <c r="QLE27" s="204"/>
      <c r="QLF27" s="204"/>
      <c r="QLG27" s="204"/>
      <c r="QLH27" s="204"/>
      <c r="QLI27" s="204"/>
      <c r="QLJ27" s="204"/>
      <c r="QLK27" s="204"/>
      <c r="QLL27" s="204"/>
      <c r="QLM27" s="204"/>
      <c r="QLN27" s="204"/>
      <c r="QLO27" s="204"/>
      <c r="QLP27" s="204"/>
      <c r="QLQ27" s="204"/>
      <c r="QLR27" s="204"/>
      <c r="QLS27" s="204"/>
      <c r="QLT27" s="204"/>
      <c r="QLU27" s="204"/>
      <c r="QLV27" s="204"/>
      <c r="QLW27" s="204"/>
      <c r="QLX27" s="204"/>
      <c r="QLY27" s="204"/>
      <c r="QLZ27" s="204"/>
      <c r="QMA27" s="204"/>
      <c r="QMB27" s="204"/>
      <c r="QMC27" s="204"/>
      <c r="QMD27" s="204"/>
      <c r="QME27" s="204"/>
      <c r="QMF27" s="204"/>
      <c r="QMG27" s="204"/>
      <c r="QMH27" s="204"/>
      <c r="QMI27" s="204"/>
      <c r="QMJ27" s="204"/>
      <c r="QMK27" s="204"/>
      <c r="QML27" s="204"/>
      <c r="QMM27" s="204"/>
      <c r="QMN27" s="204"/>
      <c r="QMO27" s="204"/>
      <c r="QMP27" s="204"/>
      <c r="QMQ27" s="204"/>
      <c r="QMR27" s="204"/>
      <c r="QMS27" s="204"/>
      <c r="QMT27" s="204"/>
      <c r="QMU27" s="204"/>
      <c r="QMV27" s="204"/>
      <c r="QMW27" s="204"/>
      <c r="QMX27" s="204"/>
      <c r="QMY27" s="204"/>
      <c r="QMZ27" s="204"/>
      <c r="QNA27" s="204"/>
      <c r="QNB27" s="204"/>
      <c r="QNC27" s="204"/>
      <c r="QND27" s="204"/>
      <c r="QNE27" s="204"/>
      <c r="QNF27" s="204"/>
      <c r="QNG27" s="204"/>
      <c r="QNH27" s="204"/>
      <c r="QNI27" s="204"/>
      <c r="QNJ27" s="204"/>
      <c r="QNK27" s="204"/>
      <c r="QNL27" s="204"/>
      <c r="QNM27" s="204"/>
      <c r="QNN27" s="204"/>
      <c r="QNO27" s="204"/>
      <c r="QNP27" s="204"/>
      <c r="QNQ27" s="204"/>
      <c r="QNR27" s="204"/>
      <c r="QNS27" s="204"/>
      <c r="QNT27" s="204"/>
      <c r="QNU27" s="204"/>
      <c r="QNV27" s="204"/>
      <c r="QNW27" s="204"/>
      <c r="QNX27" s="204"/>
      <c r="QNY27" s="204"/>
      <c r="QNZ27" s="204"/>
      <c r="QOA27" s="204"/>
      <c r="QOB27" s="204"/>
      <c r="QOC27" s="204"/>
      <c r="QOD27" s="204"/>
      <c r="QOE27" s="204"/>
      <c r="QOF27" s="204"/>
      <c r="QOG27" s="204"/>
      <c r="QOH27" s="204"/>
      <c r="QOI27" s="204"/>
      <c r="QOJ27" s="204"/>
      <c r="QOK27" s="204"/>
      <c r="QOL27" s="204"/>
      <c r="QOM27" s="204"/>
      <c r="QON27" s="204"/>
      <c r="QOO27" s="204"/>
      <c r="QOP27" s="204"/>
      <c r="QOQ27" s="204"/>
      <c r="QOR27" s="204"/>
      <c r="QOS27" s="204"/>
      <c r="QOT27" s="204"/>
      <c r="QOU27" s="204"/>
      <c r="QOV27" s="204"/>
      <c r="QOW27" s="204"/>
      <c r="QOX27" s="204"/>
      <c r="QOY27" s="204"/>
      <c r="QOZ27" s="204"/>
      <c r="QPA27" s="204"/>
      <c r="QPB27" s="204"/>
      <c r="QPC27" s="204"/>
      <c r="QPD27" s="204"/>
      <c r="QPE27" s="204"/>
      <c r="QPF27" s="204"/>
      <c r="QPG27" s="204"/>
      <c r="QPH27" s="204"/>
      <c r="QPI27" s="204"/>
      <c r="QPJ27" s="204"/>
      <c r="QPK27" s="204"/>
      <c r="QPL27" s="204"/>
      <c r="QPM27" s="204"/>
      <c r="QPN27" s="204"/>
      <c r="QPO27" s="204"/>
      <c r="QPP27" s="204"/>
      <c r="QPQ27" s="204"/>
      <c r="QPR27" s="204"/>
      <c r="QPS27" s="204"/>
      <c r="QPT27" s="204"/>
      <c r="QPU27" s="204"/>
      <c r="QPV27" s="204"/>
      <c r="QPW27" s="204"/>
      <c r="QPX27" s="204"/>
      <c r="QPY27" s="204"/>
      <c r="QPZ27" s="204"/>
      <c r="QQA27" s="204"/>
      <c r="QQB27" s="204"/>
      <c r="QQC27" s="204"/>
      <c r="QQD27" s="204"/>
      <c r="QQE27" s="204"/>
      <c r="QQF27" s="204"/>
      <c r="QQG27" s="204"/>
      <c r="QQH27" s="204"/>
      <c r="QQI27" s="204"/>
      <c r="QQJ27" s="204"/>
      <c r="QQK27" s="204"/>
      <c r="QQL27" s="204"/>
      <c r="QQM27" s="204"/>
      <c r="QQN27" s="204"/>
      <c r="QQO27" s="204"/>
      <c r="QQP27" s="204"/>
      <c r="QQQ27" s="204"/>
      <c r="QQR27" s="204"/>
      <c r="QQS27" s="204"/>
      <c r="QQT27" s="204"/>
      <c r="QQU27" s="204"/>
      <c r="QQV27" s="204"/>
      <c r="QQW27" s="204"/>
      <c r="QQX27" s="204"/>
      <c r="QQY27" s="204"/>
      <c r="QQZ27" s="204"/>
      <c r="QRA27" s="204"/>
      <c r="QRB27" s="204"/>
      <c r="QRC27" s="204"/>
      <c r="QRD27" s="204"/>
      <c r="QRE27" s="204"/>
      <c r="QRF27" s="204"/>
      <c r="QRG27" s="204"/>
      <c r="QRH27" s="204"/>
      <c r="QRI27" s="204"/>
      <c r="QRJ27" s="204"/>
      <c r="QRK27" s="204"/>
      <c r="QRL27" s="204"/>
      <c r="QRM27" s="204"/>
      <c r="QRN27" s="204"/>
      <c r="QRO27" s="204"/>
      <c r="QRP27" s="204"/>
      <c r="QRQ27" s="204"/>
      <c r="QRR27" s="204"/>
      <c r="QRS27" s="204"/>
      <c r="QRT27" s="204"/>
      <c r="QRU27" s="204"/>
      <c r="QRV27" s="204"/>
      <c r="QRW27" s="204"/>
      <c r="QRX27" s="204"/>
      <c r="QRY27" s="204"/>
      <c r="QRZ27" s="204"/>
      <c r="QSA27" s="204"/>
      <c r="QSB27" s="204"/>
      <c r="QSC27" s="204"/>
      <c r="QSD27" s="204"/>
      <c r="QSE27" s="204"/>
      <c r="QSF27" s="204"/>
      <c r="QSG27" s="204"/>
      <c r="QSH27" s="204"/>
      <c r="QSI27" s="204"/>
      <c r="QSJ27" s="204"/>
      <c r="QSK27" s="204"/>
      <c r="QSL27" s="204"/>
      <c r="QSM27" s="204"/>
      <c r="QSN27" s="204"/>
      <c r="QSO27" s="204"/>
      <c r="QSP27" s="204"/>
      <c r="QSQ27" s="204"/>
      <c r="QSR27" s="204"/>
      <c r="QSS27" s="204"/>
      <c r="QST27" s="204"/>
      <c r="QSU27" s="204"/>
      <c r="QSV27" s="204"/>
      <c r="QSW27" s="204"/>
      <c r="QSX27" s="204"/>
      <c r="QSY27" s="204"/>
      <c r="QSZ27" s="204"/>
      <c r="QTA27" s="204"/>
      <c r="QTB27" s="204"/>
      <c r="QTC27" s="204"/>
      <c r="QTD27" s="204"/>
      <c r="QTE27" s="204"/>
      <c r="QTF27" s="204"/>
      <c r="QTG27" s="204"/>
      <c r="QTH27" s="204"/>
      <c r="QTI27" s="204"/>
      <c r="QTJ27" s="204"/>
      <c r="QTK27" s="204"/>
      <c r="QTL27" s="204"/>
      <c r="QTM27" s="204"/>
      <c r="QTN27" s="204"/>
      <c r="QTO27" s="204"/>
      <c r="QTP27" s="204"/>
      <c r="QTQ27" s="204"/>
      <c r="QTR27" s="204"/>
      <c r="QTS27" s="204"/>
      <c r="QTT27" s="204"/>
      <c r="QTU27" s="204"/>
      <c r="QTV27" s="204"/>
      <c r="QTW27" s="204"/>
      <c r="QTX27" s="204"/>
      <c r="QTY27" s="204"/>
      <c r="QTZ27" s="204"/>
      <c r="QUA27" s="204"/>
      <c r="QUB27" s="204"/>
      <c r="QUC27" s="204"/>
      <c r="QUD27" s="204"/>
      <c r="QUE27" s="204"/>
      <c r="QUF27" s="204"/>
      <c r="QUG27" s="204"/>
      <c r="QUH27" s="204"/>
      <c r="QUI27" s="204"/>
      <c r="QUJ27" s="204"/>
      <c r="QUK27" s="204"/>
      <c r="QUL27" s="204"/>
      <c r="QUM27" s="204"/>
      <c r="QUN27" s="204"/>
      <c r="QUO27" s="204"/>
      <c r="QUP27" s="204"/>
      <c r="QUQ27" s="204"/>
      <c r="QUR27" s="204"/>
      <c r="QUS27" s="204"/>
      <c r="QUT27" s="204"/>
      <c r="QUU27" s="204"/>
      <c r="QUV27" s="204"/>
      <c r="QUW27" s="204"/>
      <c r="QUX27" s="204"/>
      <c r="QUY27" s="204"/>
      <c r="QUZ27" s="204"/>
      <c r="QVA27" s="204"/>
      <c r="QVB27" s="204"/>
      <c r="QVC27" s="204"/>
      <c r="QVD27" s="204"/>
      <c r="QVE27" s="204"/>
      <c r="QVF27" s="204"/>
      <c r="QVG27" s="204"/>
      <c r="QVH27" s="204"/>
      <c r="QVI27" s="204"/>
      <c r="QVJ27" s="204"/>
      <c r="QVK27" s="204"/>
      <c r="QVL27" s="204"/>
      <c r="QVM27" s="204"/>
      <c r="QVN27" s="204"/>
      <c r="QVO27" s="204"/>
      <c r="QVP27" s="204"/>
      <c r="QVQ27" s="204"/>
      <c r="QVR27" s="204"/>
      <c r="QVS27" s="204"/>
      <c r="QVT27" s="204"/>
      <c r="QVU27" s="204"/>
      <c r="QVV27" s="204"/>
      <c r="QVW27" s="204"/>
      <c r="QVX27" s="204"/>
      <c r="QVY27" s="204"/>
      <c r="QVZ27" s="204"/>
      <c r="QWA27" s="204"/>
      <c r="QWB27" s="204"/>
      <c r="QWC27" s="204"/>
      <c r="QWD27" s="204"/>
      <c r="QWE27" s="204"/>
      <c r="QWF27" s="204"/>
      <c r="QWG27" s="204"/>
      <c r="QWH27" s="204"/>
      <c r="QWI27" s="204"/>
      <c r="QWJ27" s="204"/>
      <c r="QWK27" s="204"/>
      <c r="QWL27" s="204"/>
      <c r="QWM27" s="204"/>
      <c r="QWN27" s="204"/>
      <c r="QWO27" s="204"/>
      <c r="QWP27" s="204"/>
      <c r="QWQ27" s="204"/>
      <c r="QWR27" s="204"/>
      <c r="QWS27" s="204"/>
      <c r="QWT27" s="204"/>
      <c r="QWU27" s="204"/>
      <c r="QWV27" s="204"/>
      <c r="QWW27" s="204"/>
      <c r="QWX27" s="204"/>
      <c r="QWY27" s="204"/>
      <c r="QWZ27" s="204"/>
      <c r="QXA27" s="204"/>
      <c r="QXB27" s="204"/>
      <c r="QXC27" s="204"/>
      <c r="QXD27" s="204"/>
      <c r="QXE27" s="204"/>
      <c r="QXF27" s="204"/>
      <c r="QXG27" s="204"/>
      <c r="QXH27" s="204"/>
      <c r="QXI27" s="204"/>
      <c r="QXJ27" s="204"/>
      <c r="QXK27" s="204"/>
      <c r="QXL27" s="204"/>
      <c r="QXM27" s="204"/>
      <c r="QXN27" s="204"/>
      <c r="QXO27" s="204"/>
      <c r="QXP27" s="204"/>
      <c r="QXQ27" s="204"/>
      <c r="QXR27" s="204"/>
      <c r="QXS27" s="204"/>
      <c r="QXT27" s="204"/>
      <c r="QXU27" s="204"/>
      <c r="QXV27" s="204"/>
      <c r="QXW27" s="204"/>
      <c r="QXX27" s="204"/>
      <c r="QXY27" s="204"/>
      <c r="QXZ27" s="204"/>
      <c r="QYA27" s="204"/>
      <c r="QYB27" s="204"/>
      <c r="QYC27" s="204"/>
      <c r="QYD27" s="204"/>
      <c r="QYE27" s="204"/>
      <c r="QYF27" s="204"/>
      <c r="QYG27" s="204"/>
      <c r="QYH27" s="204"/>
      <c r="QYI27" s="204"/>
      <c r="QYJ27" s="204"/>
      <c r="QYK27" s="204"/>
      <c r="QYL27" s="204"/>
      <c r="QYM27" s="204"/>
      <c r="QYN27" s="204"/>
      <c r="QYO27" s="204"/>
      <c r="QYP27" s="204"/>
      <c r="QYQ27" s="204"/>
      <c r="QYR27" s="204"/>
      <c r="QYS27" s="204"/>
      <c r="QYT27" s="204"/>
      <c r="QYU27" s="204"/>
      <c r="QYV27" s="204"/>
      <c r="QYW27" s="204"/>
      <c r="QYX27" s="204"/>
      <c r="QYY27" s="204"/>
      <c r="QYZ27" s="204"/>
      <c r="QZA27" s="204"/>
      <c r="QZB27" s="204"/>
      <c r="QZC27" s="204"/>
      <c r="QZD27" s="204"/>
      <c r="QZE27" s="204"/>
      <c r="QZF27" s="204"/>
      <c r="QZG27" s="204"/>
      <c r="QZH27" s="204"/>
      <c r="QZI27" s="204"/>
      <c r="QZJ27" s="204"/>
      <c r="QZK27" s="204"/>
      <c r="QZL27" s="204"/>
      <c r="QZM27" s="204"/>
      <c r="QZN27" s="204"/>
      <c r="QZO27" s="204"/>
      <c r="QZP27" s="204"/>
      <c r="QZQ27" s="204"/>
      <c r="QZR27" s="204"/>
      <c r="QZS27" s="204"/>
      <c r="QZT27" s="204"/>
      <c r="QZU27" s="204"/>
      <c r="QZV27" s="204"/>
      <c r="QZW27" s="204"/>
      <c r="QZX27" s="204"/>
      <c r="QZY27" s="204"/>
      <c r="QZZ27" s="204"/>
      <c r="RAA27" s="204"/>
      <c r="RAB27" s="204"/>
      <c r="RAC27" s="204"/>
      <c r="RAD27" s="204"/>
      <c r="RAE27" s="204"/>
      <c r="RAF27" s="204"/>
      <c r="RAG27" s="204"/>
      <c r="RAH27" s="204"/>
      <c r="RAI27" s="204"/>
      <c r="RAJ27" s="204"/>
      <c r="RAK27" s="204"/>
      <c r="RAL27" s="204"/>
      <c r="RAM27" s="204"/>
      <c r="RAN27" s="204"/>
      <c r="RAO27" s="204"/>
      <c r="RAP27" s="204"/>
      <c r="RAQ27" s="204"/>
      <c r="RAR27" s="204"/>
      <c r="RAS27" s="204"/>
      <c r="RAT27" s="204"/>
      <c r="RAU27" s="204"/>
      <c r="RAV27" s="204"/>
      <c r="RAW27" s="204"/>
      <c r="RAX27" s="204"/>
      <c r="RAY27" s="204"/>
      <c r="RAZ27" s="204"/>
      <c r="RBA27" s="204"/>
      <c r="RBB27" s="204"/>
      <c r="RBC27" s="204"/>
      <c r="RBD27" s="204"/>
      <c r="RBE27" s="204"/>
      <c r="RBF27" s="204"/>
      <c r="RBG27" s="204"/>
      <c r="RBH27" s="204"/>
      <c r="RBI27" s="204"/>
      <c r="RBJ27" s="204"/>
      <c r="RBK27" s="204"/>
      <c r="RBL27" s="204"/>
      <c r="RBM27" s="204"/>
      <c r="RBN27" s="204"/>
      <c r="RBO27" s="204"/>
      <c r="RBP27" s="204"/>
      <c r="RBQ27" s="204"/>
      <c r="RBR27" s="204"/>
      <c r="RBS27" s="204"/>
      <c r="RBT27" s="204"/>
      <c r="RBU27" s="204"/>
      <c r="RBV27" s="204"/>
      <c r="RBW27" s="204"/>
      <c r="RBX27" s="204"/>
      <c r="RBY27" s="204"/>
      <c r="RBZ27" s="204"/>
      <c r="RCA27" s="204"/>
      <c r="RCB27" s="204"/>
      <c r="RCC27" s="204"/>
      <c r="RCD27" s="204"/>
      <c r="RCE27" s="204"/>
      <c r="RCF27" s="204"/>
      <c r="RCG27" s="204"/>
      <c r="RCH27" s="204"/>
      <c r="RCI27" s="204"/>
      <c r="RCJ27" s="204"/>
      <c r="RCK27" s="204"/>
      <c r="RCL27" s="204"/>
      <c r="RCM27" s="204"/>
      <c r="RCN27" s="204"/>
      <c r="RCO27" s="204"/>
      <c r="RCP27" s="204"/>
      <c r="RCQ27" s="204"/>
      <c r="RCR27" s="204"/>
      <c r="RCS27" s="204"/>
      <c r="RCT27" s="204"/>
      <c r="RCU27" s="204"/>
      <c r="RCV27" s="204"/>
      <c r="RCW27" s="204"/>
      <c r="RCX27" s="204"/>
      <c r="RCY27" s="204"/>
      <c r="RCZ27" s="204"/>
      <c r="RDA27" s="204"/>
      <c r="RDB27" s="204"/>
      <c r="RDC27" s="204"/>
      <c r="RDD27" s="204"/>
      <c r="RDE27" s="204"/>
      <c r="RDF27" s="204"/>
      <c r="RDG27" s="204"/>
      <c r="RDH27" s="204"/>
      <c r="RDI27" s="204"/>
      <c r="RDJ27" s="204"/>
      <c r="RDK27" s="204"/>
      <c r="RDL27" s="204"/>
      <c r="RDM27" s="204"/>
      <c r="RDN27" s="204"/>
      <c r="RDO27" s="204"/>
      <c r="RDP27" s="204"/>
      <c r="RDQ27" s="204"/>
      <c r="RDR27" s="204"/>
      <c r="RDS27" s="204"/>
      <c r="RDT27" s="204"/>
      <c r="RDU27" s="204"/>
      <c r="RDV27" s="204"/>
      <c r="RDW27" s="204"/>
      <c r="RDX27" s="204"/>
      <c r="RDY27" s="204"/>
      <c r="RDZ27" s="204"/>
      <c r="REA27" s="204"/>
      <c r="REB27" s="204"/>
      <c r="REC27" s="204"/>
      <c r="RED27" s="204"/>
      <c r="REE27" s="204"/>
      <c r="REF27" s="204"/>
      <c r="REG27" s="204"/>
      <c r="REH27" s="204"/>
      <c r="REI27" s="204"/>
      <c r="REJ27" s="204"/>
      <c r="REK27" s="204"/>
      <c r="REL27" s="204"/>
      <c r="REM27" s="204"/>
      <c r="REN27" s="204"/>
      <c r="REO27" s="204"/>
      <c r="REP27" s="204"/>
      <c r="REQ27" s="204"/>
      <c r="RER27" s="204"/>
      <c r="RES27" s="204"/>
      <c r="RET27" s="204"/>
      <c r="REU27" s="204"/>
      <c r="REV27" s="204"/>
      <c r="REW27" s="204"/>
      <c r="REX27" s="204"/>
      <c r="REY27" s="204"/>
      <c r="REZ27" s="204"/>
      <c r="RFA27" s="204"/>
      <c r="RFB27" s="204"/>
      <c r="RFC27" s="204"/>
      <c r="RFD27" s="204"/>
      <c r="RFE27" s="204"/>
      <c r="RFF27" s="204"/>
      <c r="RFG27" s="204"/>
      <c r="RFH27" s="204"/>
      <c r="RFI27" s="204"/>
      <c r="RFJ27" s="204"/>
      <c r="RFK27" s="204"/>
      <c r="RFL27" s="204"/>
      <c r="RFM27" s="204"/>
      <c r="RFN27" s="204"/>
      <c r="RFO27" s="204"/>
      <c r="RFP27" s="204"/>
      <c r="RFQ27" s="204"/>
      <c r="RFR27" s="204"/>
      <c r="RFS27" s="204"/>
      <c r="RFT27" s="204"/>
      <c r="RFU27" s="204"/>
      <c r="RFV27" s="204"/>
      <c r="RFW27" s="204"/>
      <c r="RFX27" s="204"/>
      <c r="RFY27" s="204"/>
      <c r="RFZ27" s="204"/>
      <c r="RGA27" s="204"/>
      <c r="RGB27" s="204"/>
      <c r="RGC27" s="204"/>
      <c r="RGD27" s="204"/>
      <c r="RGE27" s="204"/>
      <c r="RGF27" s="204"/>
      <c r="RGG27" s="204"/>
      <c r="RGH27" s="204"/>
      <c r="RGI27" s="204"/>
      <c r="RGJ27" s="204"/>
      <c r="RGK27" s="204"/>
      <c r="RGL27" s="204"/>
      <c r="RGM27" s="204"/>
      <c r="RGN27" s="204"/>
      <c r="RGO27" s="204"/>
      <c r="RGP27" s="204"/>
      <c r="RGQ27" s="204"/>
      <c r="RGR27" s="204"/>
      <c r="RGS27" s="204"/>
      <c r="RGT27" s="204"/>
      <c r="RGU27" s="204"/>
      <c r="RGV27" s="204"/>
      <c r="RGW27" s="204"/>
      <c r="RGX27" s="204"/>
      <c r="RGY27" s="204"/>
      <c r="RGZ27" s="204"/>
      <c r="RHA27" s="204"/>
      <c r="RHB27" s="204"/>
      <c r="RHC27" s="204"/>
      <c r="RHD27" s="204"/>
      <c r="RHE27" s="204"/>
      <c r="RHF27" s="204"/>
      <c r="RHG27" s="204"/>
      <c r="RHH27" s="204"/>
      <c r="RHI27" s="204"/>
      <c r="RHJ27" s="204"/>
      <c r="RHK27" s="204"/>
      <c r="RHL27" s="204"/>
      <c r="RHM27" s="204"/>
      <c r="RHN27" s="204"/>
      <c r="RHO27" s="204"/>
      <c r="RHP27" s="204"/>
      <c r="RHQ27" s="204"/>
      <c r="RHR27" s="204"/>
      <c r="RHS27" s="204"/>
      <c r="RHT27" s="204"/>
      <c r="RHU27" s="204"/>
      <c r="RHV27" s="204"/>
      <c r="RHW27" s="204"/>
      <c r="RHX27" s="204"/>
      <c r="RHY27" s="204"/>
      <c r="RHZ27" s="204"/>
      <c r="RIA27" s="204"/>
      <c r="RIB27" s="204"/>
      <c r="RIC27" s="204"/>
      <c r="RID27" s="204"/>
      <c r="RIE27" s="204"/>
      <c r="RIF27" s="204"/>
      <c r="RIG27" s="204"/>
      <c r="RIH27" s="204"/>
      <c r="RII27" s="204"/>
      <c r="RIJ27" s="204"/>
      <c r="RIK27" s="204"/>
      <c r="RIL27" s="204"/>
      <c r="RIM27" s="204"/>
      <c r="RIN27" s="204"/>
      <c r="RIO27" s="204"/>
      <c r="RIP27" s="204"/>
      <c r="RIQ27" s="204"/>
      <c r="RIR27" s="204"/>
      <c r="RIS27" s="204"/>
      <c r="RIT27" s="204"/>
      <c r="RIU27" s="204"/>
      <c r="RIV27" s="204"/>
      <c r="RIW27" s="204"/>
      <c r="RIX27" s="204"/>
      <c r="RIY27" s="204"/>
      <c r="RIZ27" s="204"/>
      <c r="RJA27" s="204"/>
      <c r="RJB27" s="204"/>
      <c r="RJC27" s="204"/>
      <c r="RJD27" s="204"/>
      <c r="RJE27" s="204"/>
      <c r="RJF27" s="204"/>
      <c r="RJG27" s="204"/>
      <c r="RJH27" s="204"/>
      <c r="RJI27" s="204"/>
      <c r="RJJ27" s="204"/>
      <c r="RJK27" s="204"/>
      <c r="RJL27" s="204"/>
      <c r="RJM27" s="204"/>
      <c r="RJN27" s="204"/>
      <c r="RJO27" s="204"/>
      <c r="RJP27" s="204"/>
      <c r="RJQ27" s="204"/>
      <c r="RJR27" s="204"/>
      <c r="RJS27" s="204"/>
      <c r="RJT27" s="204"/>
      <c r="RJU27" s="204"/>
      <c r="RJV27" s="204"/>
      <c r="RJW27" s="204"/>
      <c r="RJX27" s="204"/>
      <c r="RJY27" s="204"/>
      <c r="RJZ27" s="204"/>
      <c r="RKA27" s="204"/>
      <c r="RKB27" s="204"/>
      <c r="RKC27" s="204"/>
      <c r="RKD27" s="204"/>
      <c r="RKE27" s="204"/>
      <c r="RKF27" s="204"/>
      <c r="RKG27" s="204"/>
      <c r="RKH27" s="204"/>
      <c r="RKI27" s="204"/>
      <c r="RKJ27" s="204"/>
      <c r="RKK27" s="204"/>
      <c r="RKL27" s="204"/>
      <c r="RKM27" s="204"/>
      <c r="RKN27" s="204"/>
      <c r="RKO27" s="204"/>
      <c r="RKP27" s="204"/>
      <c r="RKQ27" s="204"/>
      <c r="RKR27" s="204"/>
      <c r="RKS27" s="204"/>
      <c r="RKT27" s="204"/>
      <c r="RKU27" s="204"/>
      <c r="RKV27" s="204"/>
      <c r="RKW27" s="204"/>
      <c r="RKX27" s="204"/>
      <c r="RKY27" s="204"/>
      <c r="RKZ27" s="204"/>
      <c r="RLA27" s="204"/>
      <c r="RLB27" s="204"/>
      <c r="RLC27" s="204"/>
      <c r="RLD27" s="204"/>
      <c r="RLE27" s="204"/>
      <c r="RLF27" s="204"/>
      <c r="RLG27" s="204"/>
      <c r="RLH27" s="204"/>
      <c r="RLI27" s="204"/>
      <c r="RLJ27" s="204"/>
      <c r="RLK27" s="204"/>
      <c r="RLL27" s="204"/>
      <c r="RLM27" s="204"/>
      <c r="RLN27" s="204"/>
      <c r="RLO27" s="204"/>
      <c r="RLP27" s="204"/>
      <c r="RLQ27" s="204"/>
      <c r="RLR27" s="204"/>
      <c r="RLS27" s="204"/>
      <c r="RLT27" s="204"/>
      <c r="RLU27" s="204"/>
      <c r="RLV27" s="204"/>
      <c r="RLW27" s="204"/>
      <c r="RLX27" s="204"/>
      <c r="RLY27" s="204"/>
      <c r="RLZ27" s="204"/>
      <c r="RMA27" s="204"/>
      <c r="RMB27" s="204"/>
      <c r="RMC27" s="204"/>
      <c r="RMD27" s="204"/>
      <c r="RME27" s="204"/>
      <c r="RMF27" s="204"/>
      <c r="RMG27" s="204"/>
      <c r="RMH27" s="204"/>
      <c r="RMI27" s="204"/>
      <c r="RMJ27" s="204"/>
      <c r="RMK27" s="204"/>
      <c r="RML27" s="204"/>
      <c r="RMM27" s="204"/>
      <c r="RMN27" s="204"/>
      <c r="RMO27" s="204"/>
      <c r="RMP27" s="204"/>
      <c r="RMQ27" s="204"/>
      <c r="RMR27" s="204"/>
      <c r="RMS27" s="204"/>
      <c r="RMT27" s="204"/>
      <c r="RMU27" s="204"/>
      <c r="RMV27" s="204"/>
      <c r="RMW27" s="204"/>
      <c r="RMX27" s="204"/>
      <c r="RMY27" s="204"/>
      <c r="RMZ27" s="204"/>
      <c r="RNA27" s="204"/>
      <c r="RNB27" s="204"/>
      <c r="RNC27" s="204"/>
      <c r="RND27" s="204"/>
      <c r="RNE27" s="204"/>
      <c r="RNF27" s="204"/>
      <c r="RNG27" s="204"/>
      <c r="RNH27" s="204"/>
      <c r="RNI27" s="204"/>
      <c r="RNJ27" s="204"/>
      <c r="RNK27" s="204"/>
      <c r="RNL27" s="204"/>
      <c r="RNM27" s="204"/>
      <c r="RNN27" s="204"/>
      <c r="RNO27" s="204"/>
      <c r="RNP27" s="204"/>
      <c r="RNQ27" s="204"/>
      <c r="RNR27" s="204"/>
      <c r="RNS27" s="204"/>
      <c r="RNT27" s="204"/>
      <c r="RNU27" s="204"/>
      <c r="RNV27" s="204"/>
      <c r="RNW27" s="204"/>
      <c r="RNX27" s="204"/>
      <c r="RNY27" s="204"/>
      <c r="RNZ27" s="204"/>
      <c r="ROA27" s="204"/>
      <c r="ROB27" s="204"/>
      <c r="ROC27" s="204"/>
      <c r="ROD27" s="204"/>
      <c r="ROE27" s="204"/>
      <c r="ROF27" s="204"/>
      <c r="ROG27" s="204"/>
      <c r="ROH27" s="204"/>
      <c r="ROI27" s="204"/>
      <c r="ROJ27" s="204"/>
      <c r="ROK27" s="204"/>
      <c r="ROL27" s="204"/>
      <c r="ROM27" s="204"/>
      <c r="RON27" s="204"/>
      <c r="ROO27" s="204"/>
      <c r="ROP27" s="204"/>
      <c r="ROQ27" s="204"/>
      <c r="ROR27" s="204"/>
      <c r="ROS27" s="204"/>
      <c r="ROT27" s="204"/>
      <c r="ROU27" s="204"/>
      <c r="ROV27" s="204"/>
      <c r="ROW27" s="204"/>
      <c r="ROX27" s="204"/>
      <c r="ROY27" s="204"/>
      <c r="ROZ27" s="204"/>
      <c r="RPA27" s="204"/>
      <c r="RPB27" s="204"/>
      <c r="RPC27" s="204"/>
      <c r="RPD27" s="204"/>
      <c r="RPE27" s="204"/>
      <c r="RPF27" s="204"/>
      <c r="RPG27" s="204"/>
      <c r="RPH27" s="204"/>
      <c r="RPI27" s="204"/>
      <c r="RPJ27" s="204"/>
      <c r="RPK27" s="204"/>
      <c r="RPL27" s="204"/>
      <c r="RPM27" s="204"/>
      <c r="RPN27" s="204"/>
      <c r="RPO27" s="204"/>
      <c r="RPP27" s="204"/>
      <c r="RPQ27" s="204"/>
      <c r="RPR27" s="204"/>
      <c r="RPS27" s="204"/>
      <c r="RPT27" s="204"/>
      <c r="RPU27" s="204"/>
      <c r="RPV27" s="204"/>
      <c r="RPW27" s="204"/>
      <c r="RPX27" s="204"/>
      <c r="RPY27" s="204"/>
      <c r="RPZ27" s="204"/>
      <c r="RQA27" s="204"/>
      <c r="RQB27" s="204"/>
      <c r="RQC27" s="204"/>
      <c r="RQD27" s="204"/>
      <c r="RQE27" s="204"/>
      <c r="RQF27" s="204"/>
      <c r="RQG27" s="204"/>
      <c r="RQH27" s="204"/>
      <c r="RQI27" s="204"/>
      <c r="RQJ27" s="204"/>
      <c r="RQK27" s="204"/>
      <c r="RQL27" s="204"/>
      <c r="RQM27" s="204"/>
      <c r="RQN27" s="204"/>
      <c r="RQO27" s="204"/>
      <c r="RQP27" s="204"/>
      <c r="RQQ27" s="204"/>
      <c r="RQR27" s="204"/>
      <c r="RQS27" s="204"/>
      <c r="RQT27" s="204"/>
      <c r="RQU27" s="204"/>
      <c r="RQV27" s="204"/>
      <c r="RQW27" s="204"/>
      <c r="RQX27" s="204"/>
      <c r="RQY27" s="204"/>
      <c r="RQZ27" s="204"/>
      <c r="RRA27" s="204"/>
      <c r="RRB27" s="204"/>
      <c r="RRC27" s="204"/>
      <c r="RRD27" s="204"/>
      <c r="RRE27" s="204"/>
      <c r="RRF27" s="204"/>
      <c r="RRG27" s="204"/>
      <c r="RRH27" s="204"/>
      <c r="RRI27" s="204"/>
      <c r="RRJ27" s="204"/>
      <c r="RRK27" s="204"/>
      <c r="RRL27" s="204"/>
      <c r="RRM27" s="204"/>
      <c r="RRN27" s="204"/>
      <c r="RRO27" s="204"/>
      <c r="RRP27" s="204"/>
      <c r="RRQ27" s="204"/>
      <c r="RRR27" s="204"/>
      <c r="RRS27" s="204"/>
      <c r="RRT27" s="204"/>
      <c r="RRU27" s="204"/>
      <c r="RRV27" s="204"/>
      <c r="RRW27" s="204"/>
      <c r="RRX27" s="204"/>
      <c r="RRY27" s="204"/>
      <c r="RRZ27" s="204"/>
      <c r="RSA27" s="204"/>
      <c r="RSB27" s="204"/>
      <c r="RSC27" s="204"/>
      <c r="RSD27" s="204"/>
      <c r="RSE27" s="204"/>
      <c r="RSF27" s="204"/>
      <c r="RSG27" s="204"/>
      <c r="RSH27" s="204"/>
      <c r="RSI27" s="204"/>
      <c r="RSJ27" s="204"/>
      <c r="RSK27" s="204"/>
      <c r="RSL27" s="204"/>
      <c r="RSM27" s="204"/>
      <c r="RSN27" s="204"/>
      <c r="RSO27" s="204"/>
      <c r="RSP27" s="204"/>
      <c r="RSQ27" s="204"/>
      <c r="RSR27" s="204"/>
      <c r="RSS27" s="204"/>
      <c r="RST27" s="204"/>
      <c r="RSU27" s="204"/>
      <c r="RSV27" s="204"/>
      <c r="RSW27" s="204"/>
      <c r="RSX27" s="204"/>
      <c r="RSY27" s="204"/>
      <c r="RSZ27" s="204"/>
      <c r="RTA27" s="204"/>
      <c r="RTB27" s="204"/>
      <c r="RTC27" s="204"/>
      <c r="RTD27" s="204"/>
      <c r="RTE27" s="204"/>
      <c r="RTF27" s="204"/>
      <c r="RTG27" s="204"/>
      <c r="RTH27" s="204"/>
      <c r="RTI27" s="204"/>
      <c r="RTJ27" s="204"/>
      <c r="RTK27" s="204"/>
      <c r="RTL27" s="204"/>
      <c r="RTM27" s="204"/>
      <c r="RTN27" s="204"/>
      <c r="RTO27" s="204"/>
      <c r="RTP27" s="204"/>
      <c r="RTQ27" s="204"/>
      <c r="RTR27" s="204"/>
      <c r="RTS27" s="204"/>
      <c r="RTT27" s="204"/>
      <c r="RTU27" s="204"/>
      <c r="RTV27" s="204"/>
      <c r="RTW27" s="204"/>
      <c r="RTX27" s="204"/>
      <c r="RTY27" s="204"/>
      <c r="RTZ27" s="204"/>
      <c r="RUA27" s="204"/>
      <c r="RUB27" s="204"/>
      <c r="RUC27" s="204"/>
      <c r="RUD27" s="204"/>
      <c r="RUE27" s="204"/>
      <c r="RUF27" s="204"/>
      <c r="RUG27" s="204"/>
      <c r="RUH27" s="204"/>
      <c r="RUI27" s="204"/>
      <c r="RUJ27" s="204"/>
      <c r="RUK27" s="204"/>
      <c r="RUL27" s="204"/>
      <c r="RUM27" s="204"/>
      <c r="RUN27" s="204"/>
      <c r="RUO27" s="204"/>
      <c r="RUP27" s="204"/>
      <c r="RUQ27" s="204"/>
      <c r="RUR27" s="204"/>
      <c r="RUS27" s="204"/>
      <c r="RUT27" s="204"/>
      <c r="RUU27" s="204"/>
      <c r="RUV27" s="204"/>
      <c r="RUW27" s="204"/>
      <c r="RUX27" s="204"/>
      <c r="RUY27" s="204"/>
      <c r="RUZ27" s="204"/>
      <c r="RVA27" s="204"/>
      <c r="RVB27" s="204"/>
      <c r="RVC27" s="204"/>
      <c r="RVD27" s="204"/>
      <c r="RVE27" s="204"/>
      <c r="RVF27" s="204"/>
      <c r="RVG27" s="204"/>
      <c r="RVH27" s="204"/>
      <c r="RVI27" s="204"/>
      <c r="RVJ27" s="204"/>
      <c r="RVK27" s="204"/>
      <c r="RVL27" s="204"/>
      <c r="RVM27" s="204"/>
      <c r="RVN27" s="204"/>
      <c r="RVO27" s="204"/>
      <c r="RVP27" s="204"/>
      <c r="RVQ27" s="204"/>
      <c r="RVR27" s="204"/>
      <c r="RVS27" s="204"/>
      <c r="RVT27" s="204"/>
      <c r="RVU27" s="204"/>
      <c r="RVV27" s="204"/>
      <c r="RVW27" s="204"/>
      <c r="RVX27" s="204"/>
      <c r="RVY27" s="204"/>
      <c r="RVZ27" s="204"/>
      <c r="RWA27" s="204"/>
      <c r="RWB27" s="204"/>
      <c r="RWC27" s="204"/>
      <c r="RWD27" s="204"/>
      <c r="RWE27" s="204"/>
      <c r="RWF27" s="204"/>
      <c r="RWG27" s="204"/>
      <c r="RWH27" s="204"/>
      <c r="RWI27" s="204"/>
      <c r="RWJ27" s="204"/>
      <c r="RWK27" s="204"/>
      <c r="RWL27" s="204"/>
      <c r="RWM27" s="204"/>
      <c r="RWN27" s="204"/>
      <c r="RWO27" s="204"/>
      <c r="RWP27" s="204"/>
      <c r="RWQ27" s="204"/>
      <c r="RWR27" s="204"/>
      <c r="RWS27" s="204"/>
      <c r="RWT27" s="204"/>
      <c r="RWU27" s="204"/>
      <c r="RWV27" s="204"/>
      <c r="RWW27" s="204"/>
      <c r="RWX27" s="204"/>
      <c r="RWY27" s="204"/>
      <c r="RWZ27" s="204"/>
      <c r="RXA27" s="204"/>
      <c r="RXB27" s="204"/>
      <c r="RXC27" s="204"/>
      <c r="RXD27" s="204"/>
      <c r="RXE27" s="204"/>
      <c r="RXF27" s="204"/>
      <c r="RXG27" s="204"/>
      <c r="RXH27" s="204"/>
      <c r="RXI27" s="204"/>
      <c r="RXJ27" s="204"/>
      <c r="RXK27" s="204"/>
      <c r="RXL27" s="204"/>
      <c r="RXM27" s="204"/>
      <c r="RXN27" s="204"/>
      <c r="RXO27" s="204"/>
      <c r="RXP27" s="204"/>
      <c r="RXQ27" s="204"/>
      <c r="RXR27" s="204"/>
      <c r="RXS27" s="204"/>
      <c r="RXT27" s="204"/>
      <c r="RXU27" s="204"/>
      <c r="RXV27" s="204"/>
      <c r="RXW27" s="204"/>
      <c r="RXX27" s="204"/>
      <c r="RXY27" s="204"/>
      <c r="RXZ27" s="204"/>
      <c r="RYA27" s="204"/>
      <c r="RYB27" s="204"/>
      <c r="RYC27" s="204"/>
      <c r="RYD27" s="204"/>
      <c r="RYE27" s="204"/>
      <c r="RYF27" s="204"/>
      <c r="RYG27" s="204"/>
      <c r="RYH27" s="204"/>
      <c r="RYI27" s="204"/>
      <c r="RYJ27" s="204"/>
      <c r="RYK27" s="204"/>
      <c r="RYL27" s="204"/>
      <c r="RYM27" s="204"/>
      <c r="RYN27" s="204"/>
      <c r="RYO27" s="204"/>
      <c r="RYP27" s="204"/>
      <c r="RYQ27" s="204"/>
      <c r="RYR27" s="204"/>
      <c r="RYS27" s="204"/>
      <c r="RYT27" s="204"/>
      <c r="RYU27" s="204"/>
      <c r="RYV27" s="204"/>
      <c r="RYW27" s="204"/>
      <c r="RYX27" s="204"/>
      <c r="RYY27" s="204"/>
      <c r="RYZ27" s="204"/>
      <c r="RZA27" s="204"/>
      <c r="RZB27" s="204"/>
      <c r="RZC27" s="204"/>
      <c r="RZD27" s="204"/>
      <c r="RZE27" s="204"/>
      <c r="RZF27" s="204"/>
      <c r="RZG27" s="204"/>
      <c r="RZH27" s="204"/>
      <c r="RZI27" s="204"/>
      <c r="RZJ27" s="204"/>
      <c r="RZK27" s="204"/>
      <c r="RZL27" s="204"/>
      <c r="RZM27" s="204"/>
      <c r="RZN27" s="204"/>
      <c r="RZO27" s="204"/>
      <c r="RZP27" s="204"/>
      <c r="RZQ27" s="204"/>
      <c r="RZR27" s="204"/>
      <c r="RZS27" s="204"/>
      <c r="RZT27" s="204"/>
      <c r="RZU27" s="204"/>
      <c r="RZV27" s="204"/>
      <c r="RZW27" s="204"/>
      <c r="RZX27" s="204"/>
      <c r="RZY27" s="204"/>
      <c r="RZZ27" s="204"/>
      <c r="SAA27" s="204"/>
      <c r="SAB27" s="204"/>
      <c r="SAC27" s="204"/>
      <c r="SAD27" s="204"/>
      <c r="SAE27" s="204"/>
      <c r="SAF27" s="204"/>
      <c r="SAG27" s="204"/>
      <c r="SAH27" s="204"/>
      <c r="SAI27" s="204"/>
      <c r="SAJ27" s="204"/>
      <c r="SAK27" s="204"/>
      <c r="SAL27" s="204"/>
      <c r="SAM27" s="204"/>
      <c r="SAN27" s="204"/>
      <c r="SAO27" s="204"/>
      <c r="SAP27" s="204"/>
      <c r="SAQ27" s="204"/>
      <c r="SAR27" s="204"/>
      <c r="SAS27" s="204"/>
      <c r="SAT27" s="204"/>
      <c r="SAU27" s="204"/>
      <c r="SAV27" s="204"/>
      <c r="SAW27" s="204"/>
      <c r="SAX27" s="204"/>
      <c r="SAY27" s="204"/>
      <c r="SAZ27" s="204"/>
      <c r="SBA27" s="204"/>
      <c r="SBB27" s="204"/>
      <c r="SBC27" s="204"/>
      <c r="SBD27" s="204"/>
      <c r="SBE27" s="204"/>
      <c r="SBF27" s="204"/>
      <c r="SBG27" s="204"/>
      <c r="SBH27" s="204"/>
      <c r="SBI27" s="204"/>
      <c r="SBJ27" s="204"/>
      <c r="SBK27" s="204"/>
      <c r="SBL27" s="204"/>
      <c r="SBM27" s="204"/>
      <c r="SBN27" s="204"/>
      <c r="SBO27" s="204"/>
      <c r="SBP27" s="204"/>
      <c r="SBQ27" s="204"/>
      <c r="SBR27" s="204"/>
      <c r="SBS27" s="204"/>
      <c r="SBT27" s="204"/>
      <c r="SBU27" s="204"/>
      <c r="SBV27" s="204"/>
      <c r="SBW27" s="204"/>
      <c r="SBX27" s="204"/>
      <c r="SBY27" s="204"/>
      <c r="SBZ27" s="204"/>
      <c r="SCA27" s="204"/>
      <c r="SCB27" s="204"/>
      <c r="SCC27" s="204"/>
      <c r="SCD27" s="204"/>
      <c r="SCE27" s="204"/>
      <c r="SCF27" s="204"/>
      <c r="SCG27" s="204"/>
      <c r="SCH27" s="204"/>
      <c r="SCI27" s="204"/>
      <c r="SCJ27" s="204"/>
      <c r="SCK27" s="204"/>
      <c r="SCL27" s="204"/>
      <c r="SCM27" s="204"/>
      <c r="SCN27" s="204"/>
      <c r="SCO27" s="204"/>
      <c r="SCP27" s="204"/>
      <c r="SCQ27" s="204"/>
      <c r="SCR27" s="204"/>
      <c r="SCS27" s="204"/>
      <c r="SCT27" s="204"/>
      <c r="SCU27" s="204"/>
      <c r="SCV27" s="204"/>
      <c r="SCW27" s="204"/>
      <c r="SCX27" s="204"/>
      <c r="SCY27" s="204"/>
      <c r="SCZ27" s="204"/>
      <c r="SDA27" s="204"/>
      <c r="SDB27" s="204"/>
      <c r="SDC27" s="204"/>
      <c r="SDD27" s="204"/>
      <c r="SDE27" s="204"/>
      <c r="SDF27" s="204"/>
      <c r="SDG27" s="204"/>
      <c r="SDH27" s="204"/>
      <c r="SDI27" s="204"/>
      <c r="SDJ27" s="204"/>
      <c r="SDK27" s="204"/>
      <c r="SDL27" s="204"/>
      <c r="SDM27" s="204"/>
      <c r="SDN27" s="204"/>
      <c r="SDO27" s="204"/>
      <c r="SDP27" s="204"/>
      <c r="SDQ27" s="204"/>
      <c r="SDR27" s="204"/>
      <c r="SDS27" s="204"/>
      <c r="SDT27" s="204"/>
      <c r="SDU27" s="204"/>
      <c r="SDV27" s="204"/>
      <c r="SDW27" s="204"/>
      <c r="SDX27" s="204"/>
      <c r="SDY27" s="204"/>
      <c r="SDZ27" s="204"/>
      <c r="SEA27" s="204"/>
      <c r="SEB27" s="204"/>
      <c r="SEC27" s="204"/>
      <c r="SED27" s="204"/>
      <c r="SEE27" s="204"/>
      <c r="SEF27" s="204"/>
      <c r="SEG27" s="204"/>
      <c r="SEH27" s="204"/>
      <c r="SEI27" s="204"/>
      <c r="SEJ27" s="204"/>
      <c r="SEK27" s="204"/>
      <c r="SEL27" s="204"/>
      <c r="SEM27" s="204"/>
      <c r="SEN27" s="204"/>
      <c r="SEO27" s="204"/>
      <c r="SEP27" s="204"/>
      <c r="SEQ27" s="204"/>
      <c r="SER27" s="204"/>
      <c r="SES27" s="204"/>
      <c r="SET27" s="204"/>
      <c r="SEU27" s="204"/>
      <c r="SEV27" s="204"/>
      <c r="SEW27" s="204"/>
      <c r="SEX27" s="204"/>
      <c r="SEY27" s="204"/>
      <c r="SEZ27" s="204"/>
      <c r="SFA27" s="204"/>
      <c r="SFB27" s="204"/>
      <c r="SFC27" s="204"/>
      <c r="SFD27" s="204"/>
      <c r="SFE27" s="204"/>
      <c r="SFF27" s="204"/>
      <c r="SFG27" s="204"/>
      <c r="SFH27" s="204"/>
      <c r="SFI27" s="204"/>
      <c r="SFJ27" s="204"/>
      <c r="SFK27" s="204"/>
      <c r="SFL27" s="204"/>
      <c r="SFM27" s="204"/>
      <c r="SFN27" s="204"/>
      <c r="SFO27" s="204"/>
      <c r="SFP27" s="204"/>
      <c r="SFQ27" s="204"/>
      <c r="SFR27" s="204"/>
      <c r="SFS27" s="204"/>
      <c r="SFT27" s="204"/>
      <c r="SFU27" s="204"/>
      <c r="SFV27" s="204"/>
      <c r="SFW27" s="204"/>
      <c r="SFX27" s="204"/>
      <c r="SFY27" s="204"/>
      <c r="SFZ27" s="204"/>
      <c r="SGA27" s="204"/>
      <c r="SGB27" s="204"/>
      <c r="SGC27" s="204"/>
      <c r="SGD27" s="204"/>
      <c r="SGE27" s="204"/>
      <c r="SGF27" s="204"/>
      <c r="SGG27" s="204"/>
      <c r="SGH27" s="204"/>
      <c r="SGI27" s="204"/>
      <c r="SGJ27" s="204"/>
      <c r="SGK27" s="204"/>
      <c r="SGL27" s="204"/>
      <c r="SGM27" s="204"/>
      <c r="SGN27" s="204"/>
      <c r="SGO27" s="204"/>
      <c r="SGP27" s="204"/>
      <c r="SGQ27" s="204"/>
      <c r="SGR27" s="204"/>
      <c r="SGS27" s="204"/>
      <c r="SGT27" s="204"/>
      <c r="SGU27" s="204"/>
      <c r="SGV27" s="204"/>
      <c r="SGW27" s="204"/>
      <c r="SGX27" s="204"/>
      <c r="SGY27" s="204"/>
      <c r="SGZ27" s="204"/>
      <c r="SHA27" s="204"/>
      <c r="SHB27" s="204"/>
      <c r="SHC27" s="204"/>
      <c r="SHD27" s="204"/>
      <c r="SHE27" s="204"/>
      <c r="SHF27" s="204"/>
      <c r="SHG27" s="204"/>
      <c r="SHH27" s="204"/>
      <c r="SHI27" s="204"/>
      <c r="SHJ27" s="204"/>
      <c r="SHK27" s="204"/>
      <c r="SHL27" s="204"/>
      <c r="SHM27" s="204"/>
      <c r="SHN27" s="204"/>
      <c r="SHO27" s="204"/>
      <c r="SHP27" s="204"/>
      <c r="SHQ27" s="204"/>
      <c r="SHR27" s="204"/>
      <c r="SHS27" s="204"/>
      <c r="SHT27" s="204"/>
      <c r="SHU27" s="204"/>
      <c r="SHV27" s="204"/>
      <c r="SHW27" s="204"/>
      <c r="SHX27" s="204"/>
      <c r="SHY27" s="204"/>
      <c r="SHZ27" s="204"/>
      <c r="SIA27" s="204"/>
      <c r="SIB27" s="204"/>
      <c r="SIC27" s="204"/>
      <c r="SID27" s="204"/>
      <c r="SIE27" s="204"/>
      <c r="SIF27" s="204"/>
      <c r="SIG27" s="204"/>
      <c r="SIH27" s="204"/>
      <c r="SII27" s="204"/>
      <c r="SIJ27" s="204"/>
      <c r="SIK27" s="204"/>
      <c r="SIL27" s="204"/>
      <c r="SIM27" s="204"/>
      <c r="SIN27" s="204"/>
      <c r="SIO27" s="204"/>
      <c r="SIP27" s="204"/>
      <c r="SIQ27" s="204"/>
      <c r="SIR27" s="204"/>
      <c r="SIS27" s="204"/>
      <c r="SIT27" s="204"/>
      <c r="SIU27" s="204"/>
      <c r="SIV27" s="204"/>
      <c r="SIW27" s="204"/>
      <c r="SIX27" s="204"/>
      <c r="SIY27" s="204"/>
      <c r="SIZ27" s="204"/>
      <c r="SJA27" s="204"/>
      <c r="SJB27" s="204"/>
      <c r="SJC27" s="204"/>
      <c r="SJD27" s="204"/>
      <c r="SJE27" s="204"/>
      <c r="SJF27" s="204"/>
      <c r="SJG27" s="204"/>
      <c r="SJH27" s="204"/>
      <c r="SJI27" s="204"/>
      <c r="SJJ27" s="204"/>
      <c r="SJK27" s="204"/>
      <c r="SJL27" s="204"/>
      <c r="SJM27" s="204"/>
      <c r="SJN27" s="204"/>
      <c r="SJO27" s="204"/>
      <c r="SJP27" s="204"/>
      <c r="SJQ27" s="204"/>
      <c r="SJR27" s="204"/>
      <c r="SJS27" s="204"/>
      <c r="SJT27" s="204"/>
      <c r="SJU27" s="204"/>
      <c r="SJV27" s="204"/>
      <c r="SJW27" s="204"/>
      <c r="SJX27" s="204"/>
      <c r="SJY27" s="204"/>
      <c r="SJZ27" s="204"/>
      <c r="SKA27" s="204"/>
      <c r="SKB27" s="204"/>
      <c r="SKC27" s="204"/>
      <c r="SKD27" s="204"/>
      <c r="SKE27" s="204"/>
      <c r="SKF27" s="204"/>
      <c r="SKG27" s="204"/>
      <c r="SKH27" s="204"/>
      <c r="SKI27" s="204"/>
      <c r="SKJ27" s="204"/>
      <c r="SKK27" s="204"/>
      <c r="SKL27" s="204"/>
      <c r="SKM27" s="204"/>
      <c r="SKN27" s="204"/>
      <c r="SKO27" s="204"/>
      <c r="SKP27" s="204"/>
      <c r="SKQ27" s="204"/>
      <c r="SKR27" s="204"/>
      <c r="SKS27" s="204"/>
      <c r="SKT27" s="204"/>
      <c r="SKU27" s="204"/>
      <c r="SKV27" s="204"/>
      <c r="SKW27" s="204"/>
      <c r="SKX27" s="204"/>
      <c r="SKY27" s="204"/>
      <c r="SKZ27" s="204"/>
      <c r="SLA27" s="204"/>
      <c r="SLB27" s="204"/>
      <c r="SLC27" s="204"/>
      <c r="SLD27" s="204"/>
      <c r="SLE27" s="204"/>
      <c r="SLF27" s="204"/>
      <c r="SLG27" s="204"/>
      <c r="SLH27" s="204"/>
      <c r="SLI27" s="204"/>
      <c r="SLJ27" s="204"/>
      <c r="SLK27" s="204"/>
      <c r="SLL27" s="204"/>
      <c r="SLM27" s="204"/>
      <c r="SLN27" s="204"/>
      <c r="SLO27" s="204"/>
      <c r="SLP27" s="204"/>
      <c r="SLQ27" s="204"/>
      <c r="SLR27" s="204"/>
      <c r="SLS27" s="204"/>
      <c r="SLT27" s="204"/>
      <c r="SLU27" s="204"/>
      <c r="SLV27" s="204"/>
      <c r="SLW27" s="204"/>
      <c r="SLX27" s="204"/>
      <c r="SLY27" s="204"/>
      <c r="SLZ27" s="204"/>
      <c r="SMA27" s="204"/>
      <c r="SMB27" s="204"/>
      <c r="SMC27" s="204"/>
      <c r="SMD27" s="204"/>
      <c r="SME27" s="204"/>
      <c r="SMF27" s="204"/>
      <c r="SMG27" s="204"/>
      <c r="SMH27" s="204"/>
      <c r="SMI27" s="204"/>
      <c r="SMJ27" s="204"/>
      <c r="SMK27" s="204"/>
      <c r="SML27" s="204"/>
      <c r="SMM27" s="204"/>
      <c r="SMN27" s="204"/>
      <c r="SMO27" s="204"/>
      <c r="SMP27" s="204"/>
      <c r="SMQ27" s="204"/>
      <c r="SMR27" s="204"/>
      <c r="SMS27" s="204"/>
      <c r="SMT27" s="204"/>
      <c r="SMU27" s="204"/>
      <c r="SMV27" s="204"/>
      <c r="SMW27" s="204"/>
      <c r="SMX27" s="204"/>
      <c r="SMY27" s="204"/>
      <c r="SMZ27" s="204"/>
      <c r="SNA27" s="204"/>
      <c r="SNB27" s="204"/>
      <c r="SNC27" s="204"/>
      <c r="SND27" s="204"/>
      <c r="SNE27" s="204"/>
      <c r="SNF27" s="204"/>
      <c r="SNG27" s="204"/>
      <c r="SNH27" s="204"/>
      <c r="SNI27" s="204"/>
      <c r="SNJ27" s="204"/>
      <c r="SNK27" s="204"/>
      <c r="SNL27" s="204"/>
      <c r="SNM27" s="204"/>
      <c r="SNN27" s="204"/>
      <c r="SNO27" s="204"/>
      <c r="SNP27" s="204"/>
      <c r="SNQ27" s="204"/>
      <c r="SNR27" s="204"/>
      <c r="SNS27" s="204"/>
      <c r="SNT27" s="204"/>
      <c r="SNU27" s="204"/>
      <c r="SNV27" s="204"/>
      <c r="SNW27" s="204"/>
      <c r="SNX27" s="204"/>
      <c r="SNY27" s="204"/>
      <c r="SNZ27" s="204"/>
      <c r="SOA27" s="204"/>
      <c r="SOB27" s="204"/>
      <c r="SOC27" s="204"/>
      <c r="SOD27" s="204"/>
      <c r="SOE27" s="204"/>
      <c r="SOF27" s="204"/>
      <c r="SOG27" s="204"/>
      <c r="SOH27" s="204"/>
      <c r="SOI27" s="204"/>
      <c r="SOJ27" s="204"/>
      <c r="SOK27" s="204"/>
      <c r="SOL27" s="204"/>
      <c r="SOM27" s="204"/>
      <c r="SON27" s="204"/>
      <c r="SOO27" s="204"/>
      <c r="SOP27" s="204"/>
      <c r="SOQ27" s="204"/>
      <c r="SOR27" s="204"/>
      <c r="SOS27" s="204"/>
      <c r="SOT27" s="204"/>
      <c r="SOU27" s="204"/>
      <c r="SOV27" s="204"/>
      <c r="SOW27" s="204"/>
      <c r="SOX27" s="204"/>
      <c r="SOY27" s="204"/>
      <c r="SOZ27" s="204"/>
      <c r="SPA27" s="204"/>
      <c r="SPB27" s="204"/>
      <c r="SPC27" s="204"/>
      <c r="SPD27" s="204"/>
      <c r="SPE27" s="204"/>
      <c r="SPF27" s="204"/>
      <c r="SPG27" s="204"/>
      <c r="SPH27" s="204"/>
      <c r="SPI27" s="204"/>
      <c r="SPJ27" s="204"/>
      <c r="SPK27" s="204"/>
      <c r="SPL27" s="204"/>
      <c r="SPM27" s="204"/>
      <c r="SPN27" s="204"/>
      <c r="SPO27" s="204"/>
      <c r="SPP27" s="204"/>
      <c r="SPQ27" s="204"/>
      <c r="SPR27" s="204"/>
      <c r="SPS27" s="204"/>
      <c r="SPT27" s="204"/>
      <c r="SPU27" s="204"/>
      <c r="SPV27" s="204"/>
      <c r="SPW27" s="204"/>
      <c r="SPX27" s="204"/>
      <c r="SPY27" s="204"/>
      <c r="SPZ27" s="204"/>
      <c r="SQA27" s="204"/>
      <c r="SQB27" s="204"/>
      <c r="SQC27" s="204"/>
      <c r="SQD27" s="204"/>
      <c r="SQE27" s="204"/>
      <c r="SQF27" s="204"/>
      <c r="SQG27" s="204"/>
      <c r="SQH27" s="204"/>
      <c r="SQI27" s="204"/>
      <c r="SQJ27" s="204"/>
      <c r="SQK27" s="204"/>
      <c r="SQL27" s="204"/>
      <c r="SQM27" s="204"/>
      <c r="SQN27" s="204"/>
      <c r="SQO27" s="204"/>
      <c r="SQP27" s="204"/>
      <c r="SQQ27" s="204"/>
      <c r="SQR27" s="204"/>
      <c r="SQS27" s="204"/>
      <c r="SQT27" s="204"/>
      <c r="SQU27" s="204"/>
      <c r="SQV27" s="204"/>
      <c r="SQW27" s="204"/>
      <c r="SQX27" s="204"/>
      <c r="SQY27" s="204"/>
      <c r="SQZ27" s="204"/>
      <c r="SRA27" s="204"/>
      <c r="SRB27" s="204"/>
      <c r="SRC27" s="204"/>
      <c r="SRD27" s="204"/>
      <c r="SRE27" s="204"/>
      <c r="SRF27" s="204"/>
      <c r="SRG27" s="204"/>
      <c r="SRH27" s="204"/>
      <c r="SRI27" s="204"/>
      <c r="SRJ27" s="204"/>
      <c r="SRK27" s="204"/>
      <c r="SRL27" s="204"/>
      <c r="SRM27" s="204"/>
      <c r="SRN27" s="204"/>
      <c r="SRO27" s="204"/>
      <c r="SRP27" s="204"/>
      <c r="SRQ27" s="204"/>
      <c r="SRR27" s="204"/>
      <c r="SRS27" s="204"/>
      <c r="SRT27" s="204"/>
      <c r="SRU27" s="204"/>
      <c r="SRV27" s="204"/>
      <c r="SRW27" s="204"/>
      <c r="SRX27" s="204"/>
      <c r="SRY27" s="204"/>
      <c r="SRZ27" s="204"/>
      <c r="SSA27" s="204"/>
      <c r="SSB27" s="204"/>
      <c r="SSC27" s="204"/>
      <c r="SSD27" s="204"/>
      <c r="SSE27" s="204"/>
      <c r="SSF27" s="204"/>
      <c r="SSG27" s="204"/>
      <c r="SSH27" s="204"/>
      <c r="SSI27" s="204"/>
      <c r="SSJ27" s="204"/>
      <c r="SSK27" s="204"/>
      <c r="SSL27" s="204"/>
      <c r="SSM27" s="204"/>
      <c r="SSN27" s="204"/>
      <c r="SSO27" s="204"/>
      <c r="SSP27" s="204"/>
      <c r="SSQ27" s="204"/>
      <c r="SSR27" s="204"/>
      <c r="SSS27" s="204"/>
      <c r="SST27" s="204"/>
      <c r="SSU27" s="204"/>
      <c r="SSV27" s="204"/>
      <c r="SSW27" s="204"/>
      <c r="SSX27" s="204"/>
      <c r="SSY27" s="204"/>
      <c r="SSZ27" s="204"/>
      <c r="STA27" s="204"/>
      <c r="STB27" s="204"/>
      <c r="STC27" s="204"/>
      <c r="STD27" s="204"/>
      <c r="STE27" s="204"/>
      <c r="STF27" s="204"/>
      <c r="STG27" s="204"/>
      <c r="STH27" s="204"/>
      <c r="STI27" s="204"/>
      <c r="STJ27" s="204"/>
      <c r="STK27" s="204"/>
      <c r="STL27" s="204"/>
      <c r="STM27" s="204"/>
      <c r="STN27" s="204"/>
      <c r="STO27" s="204"/>
      <c r="STP27" s="204"/>
      <c r="STQ27" s="204"/>
      <c r="STR27" s="204"/>
      <c r="STS27" s="204"/>
      <c r="STT27" s="204"/>
      <c r="STU27" s="204"/>
      <c r="STV27" s="204"/>
      <c r="STW27" s="204"/>
      <c r="STX27" s="204"/>
      <c r="STY27" s="204"/>
      <c r="STZ27" s="204"/>
      <c r="SUA27" s="204"/>
      <c r="SUB27" s="204"/>
      <c r="SUC27" s="204"/>
      <c r="SUD27" s="204"/>
      <c r="SUE27" s="204"/>
      <c r="SUF27" s="204"/>
      <c r="SUG27" s="204"/>
      <c r="SUH27" s="204"/>
      <c r="SUI27" s="204"/>
      <c r="SUJ27" s="204"/>
      <c r="SUK27" s="204"/>
      <c r="SUL27" s="204"/>
      <c r="SUM27" s="204"/>
      <c r="SUN27" s="204"/>
      <c r="SUO27" s="204"/>
      <c r="SUP27" s="204"/>
      <c r="SUQ27" s="204"/>
      <c r="SUR27" s="204"/>
      <c r="SUS27" s="204"/>
      <c r="SUT27" s="204"/>
      <c r="SUU27" s="204"/>
      <c r="SUV27" s="204"/>
      <c r="SUW27" s="204"/>
      <c r="SUX27" s="204"/>
      <c r="SUY27" s="204"/>
      <c r="SUZ27" s="204"/>
      <c r="SVA27" s="204"/>
      <c r="SVB27" s="204"/>
      <c r="SVC27" s="204"/>
      <c r="SVD27" s="204"/>
      <c r="SVE27" s="204"/>
      <c r="SVF27" s="204"/>
      <c r="SVG27" s="204"/>
      <c r="SVH27" s="204"/>
      <c r="SVI27" s="204"/>
      <c r="SVJ27" s="204"/>
      <c r="SVK27" s="204"/>
      <c r="SVL27" s="204"/>
      <c r="SVM27" s="204"/>
      <c r="SVN27" s="204"/>
      <c r="SVO27" s="204"/>
      <c r="SVP27" s="204"/>
      <c r="SVQ27" s="204"/>
      <c r="SVR27" s="204"/>
      <c r="SVS27" s="204"/>
      <c r="SVT27" s="204"/>
      <c r="SVU27" s="204"/>
      <c r="SVV27" s="204"/>
      <c r="SVW27" s="204"/>
      <c r="SVX27" s="204"/>
      <c r="SVY27" s="204"/>
      <c r="SVZ27" s="204"/>
      <c r="SWA27" s="204"/>
      <c r="SWB27" s="204"/>
      <c r="SWC27" s="204"/>
      <c r="SWD27" s="204"/>
      <c r="SWE27" s="204"/>
      <c r="SWF27" s="204"/>
      <c r="SWG27" s="204"/>
      <c r="SWH27" s="204"/>
      <c r="SWI27" s="204"/>
      <c r="SWJ27" s="204"/>
      <c r="SWK27" s="204"/>
      <c r="SWL27" s="204"/>
      <c r="SWM27" s="204"/>
      <c r="SWN27" s="204"/>
      <c r="SWO27" s="204"/>
      <c r="SWP27" s="204"/>
      <c r="SWQ27" s="204"/>
      <c r="SWR27" s="204"/>
      <c r="SWS27" s="204"/>
      <c r="SWT27" s="204"/>
      <c r="SWU27" s="204"/>
      <c r="SWV27" s="204"/>
      <c r="SWW27" s="204"/>
      <c r="SWX27" s="204"/>
      <c r="SWY27" s="204"/>
      <c r="SWZ27" s="204"/>
      <c r="SXA27" s="204"/>
      <c r="SXB27" s="204"/>
      <c r="SXC27" s="204"/>
      <c r="SXD27" s="204"/>
      <c r="SXE27" s="204"/>
      <c r="SXF27" s="204"/>
      <c r="SXG27" s="204"/>
      <c r="SXH27" s="204"/>
      <c r="SXI27" s="204"/>
      <c r="SXJ27" s="204"/>
      <c r="SXK27" s="204"/>
      <c r="SXL27" s="204"/>
      <c r="SXM27" s="204"/>
      <c r="SXN27" s="204"/>
      <c r="SXO27" s="204"/>
      <c r="SXP27" s="204"/>
      <c r="SXQ27" s="204"/>
      <c r="SXR27" s="204"/>
      <c r="SXS27" s="204"/>
      <c r="SXT27" s="204"/>
      <c r="SXU27" s="204"/>
      <c r="SXV27" s="204"/>
      <c r="SXW27" s="204"/>
      <c r="SXX27" s="204"/>
      <c r="SXY27" s="204"/>
      <c r="SXZ27" s="204"/>
      <c r="SYA27" s="204"/>
      <c r="SYB27" s="204"/>
      <c r="SYC27" s="204"/>
      <c r="SYD27" s="204"/>
      <c r="SYE27" s="204"/>
      <c r="SYF27" s="204"/>
      <c r="SYG27" s="204"/>
      <c r="SYH27" s="204"/>
      <c r="SYI27" s="204"/>
      <c r="SYJ27" s="204"/>
      <c r="SYK27" s="204"/>
      <c r="SYL27" s="204"/>
      <c r="SYM27" s="204"/>
      <c r="SYN27" s="204"/>
      <c r="SYO27" s="204"/>
      <c r="SYP27" s="204"/>
      <c r="SYQ27" s="204"/>
      <c r="SYR27" s="204"/>
      <c r="SYS27" s="204"/>
      <c r="SYT27" s="204"/>
      <c r="SYU27" s="204"/>
      <c r="SYV27" s="204"/>
      <c r="SYW27" s="204"/>
      <c r="SYX27" s="204"/>
      <c r="SYY27" s="204"/>
      <c r="SYZ27" s="204"/>
      <c r="SZA27" s="204"/>
      <c r="SZB27" s="204"/>
      <c r="SZC27" s="204"/>
      <c r="SZD27" s="204"/>
      <c r="SZE27" s="204"/>
      <c r="SZF27" s="204"/>
      <c r="SZG27" s="204"/>
      <c r="SZH27" s="204"/>
      <c r="SZI27" s="204"/>
      <c r="SZJ27" s="204"/>
      <c r="SZK27" s="204"/>
      <c r="SZL27" s="204"/>
      <c r="SZM27" s="204"/>
      <c r="SZN27" s="204"/>
      <c r="SZO27" s="204"/>
      <c r="SZP27" s="204"/>
      <c r="SZQ27" s="204"/>
      <c r="SZR27" s="204"/>
      <c r="SZS27" s="204"/>
      <c r="SZT27" s="204"/>
      <c r="SZU27" s="204"/>
      <c r="SZV27" s="204"/>
      <c r="SZW27" s="204"/>
      <c r="SZX27" s="204"/>
      <c r="SZY27" s="204"/>
      <c r="SZZ27" s="204"/>
      <c r="TAA27" s="204"/>
      <c r="TAB27" s="204"/>
      <c r="TAC27" s="204"/>
      <c r="TAD27" s="204"/>
      <c r="TAE27" s="204"/>
      <c r="TAF27" s="204"/>
      <c r="TAG27" s="204"/>
      <c r="TAH27" s="204"/>
      <c r="TAI27" s="204"/>
      <c r="TAJ27" s="204"/>
      <c r="TAK27" s="204"/>
      <c r="TAL27" s="204"/>
      <c r="TAM27" s="204"/>
      <c r="TAN27" s="204"/>
      <c r="TAO27" s="204"/>
      <c r="TAP27" s="204"/>
      <c r="TAQ27" s="204"/>
      <c r="TAR27" s="204"/>
      <c r="TAS27" s="204"/>
      <c r="TAT27" s="204"/>
      <c r="TAU27" s="204"/>
      <c r="TAV27" s="204"/>
      <c r="TAW27" s="204"/>
      <c r="TAX27" s="204"/>
      <c r="TAY27" s="204"/>
      <c r="TAZ27" s="204"/>
      <c r="TBA27" s="204"/>
      <c r="TBB27" s="204"/>
      <c r="TBC27" s="204"/>
      <c r="TBD27" s="204"/>
      <c r="TBE27" s="204"/>
      <c r="TBF27" s="204"/>
      <c r="TBG27" s="204"/>
      <c r="TBH27" s="204"/>
      <c r="TBI27" s="204"/>
      <c r="TBJ27" s="204"/>
      <c r="TBK27" s="204"/>
      <c r="TBL27" s="204"/>
      <c r="TBM27" s="204"/>
      <c r="TBN27" s="204"/>
      <c r="TBO27" s="204"/>
      <c r="TBP27" s="204"/>
      <c r="TBQ27" s="204"/>
      <c r="TBR27" s="204"/>
      <c r="TBS27" s="204"/>
      <c r="TBT27" s="204"/>
      <c r="TBU27" s="204"/>
      <c r="TBV27" s="204"/>
      <c r="TBW27" s="204"/>
      <c r="TBX27" s="204"/>
      <c r="TBY27" s="204"/>
      <c r="TBZ27" s="204"/>
      <c r="TCA27" s="204"/>
      <c r="TCB27" s="204"/>
      <c r="TCC27" s="204"/>
      <c r="TCD27" s="204"/>
      <c r="TCE27" s="204"/>
      <c r="TCF27" s="204"/>
      <c r="TCG27" s="204"/>
      <c r="TCH27" s="204"/>
      <c r="TCI27" s="204"/>
      <c r="TCJ27" s="204"/>
      <c r="TCK27" s="204"/>
      <c r="TCL27" s="204"/>
      <c r="TCM27" s="204"/>
      <c r="TCN27" s="204"/>
      <c r="TCO27" s="204"/>
      <c r="TCP27" s="204"/>
      <c r="TCQ27" s="204"/>
      <c r="TCR27" s="204"/>
      <c r="TCS27" s="204"/>
      <c r="TCT27" s="204"/>
      <c r="TCU27" s="204"/>
      <c r="TCV27" s="204"/>
      <c r="TCW27" s="204"/>
      <c r="TCX27" s="204"/>
      <c r="TCY27" s="204"/>
      <c r="TCZ27" s="204"/>
      <c r="TDA27" s="204"/>
      <c r="TDB27" s="204"/>
      <c r="TDC27" s="204"/>
      <c r="TDD27" s="204"/>
      <c r="TDE27" s="204"/>
      <c r="TDF27" s="204"/>
      <c r="TDG27" s="204"/>
      <c r="TDH27" s="204"/>
      <c r="TDI27" s="204"/>
      <c r="TDJ27" s="204"/>
      <c r="TDK27" s="204"/>
      <c r="TDL27" s="204"/>
      <c r="TDM27" s="204"/>
      <c r="TDN27" s="204"/>
      <c r="TDO27" s="204"/>
      <c r="TDP27" s="204"/>
      <c r="TDQ27" s="204"/>
      <c r="TDR27" s="204"/>
      <c r="TDS27" s="204"/>
      <c r="TDT27" s="204"/>
      <c r="TDU27" s="204"/>
      <c r="TDV27" s="204"/>
      <c r="TDW27" s="204"/>
      <c r="TDX27" s="204"/>
      <c r="TDY27" s="204"/>
      <c r="TDZ27" s="204"/>
      <c r="TEA27" s="204"/>
      <c r="TEB27" s="204"/>
      <c r="TEC27" s="204"/>
      <c r="TED27" s="204"/>
      <c r="TEE27" s="204"/>
      <c r="TEF27" s="204"/>
      <c r="TEG27" s="204"/>
      <c r="TEH27" s="204"/>
      <c r="TEI27" s="204"/>
      <c r="TEJ27" s="204"/>
      <c r="TEK27" s="204"/>
      <c r="TEL27" s="204"/>
      <c r="TEM27" s="204"/>
      <c r="TEN27" s="204"/>
      <c r="TEO27" s="204"/>
      <c r="TEP27" s="204"/>
      <c r="TEQ27" s="204"/>
      <c r="TER27" s="204"/>
      <c r="TES27" s="204"/>
      <c r="TET27" s="204"/>
      <c r="TEU27" s="204"/>
      <c r="TEV27" s="204"/>
      <c r="TEW27" s="204"/>
      <c r="TEX27" s="204"/>
      <c r="TEY27" s="204"/>
      <c r="TEZ27" s="204"/>
      <c r="TFA27" s="204"/>
      <c r="TFB27" s="204"/>
      <c r="TFC27" s="204"/>
      <c r="TFD27" s="204"/>
      <c r="TFE27" s="204"/>
      <c r="TFF27" s="204"/>
      <c r="TFG27" s="204"/>
      <c r="TFH27" s="204"/>
      <c r="TFI27" s="204"/>
      <c r="TFJ27" s="204"/>
      <c r="TFK27" s="204"/>
      <c r="TFL27" s="204"/>
      <c r="TFM27" s="204"/>
      <c r="TFN27" s="204"/>
      <c r="TFO27" s="204"/>
      <c r="TFP27" s="204"/>
      <c r="TFQ27" s="204"/>
      <c r="TFR27" s="204"/>
      <c r="TFS27" s="204"/>
      <c r="TFT27" s="204"/>
      <c r="TFU27" s="204"/>
      <c r="TFV27" s="204"/>
      <c r="TFW27" s="204"/>
      <c r="TFX27" s="204"/>
      <c r="TFY27" s="204"/>
      <c r="TFZ27" s="204"/>
      <c r="TGA27" s="204"/>
      <c r="TGB27" s="204"/>
      <c r="TGC27" s="204"/>
      <c r="TGD27" s="204"/>
      <c r="TGE27" s="204"/>
      <c r="TGF27" s="204"/>
      <c r="TGG27" s="204"/>
      <c r="TGH27" s="204"/>
      <c r="TGI27" s="204"/>
      <c r="TGJ27" s="204"/>
      <c r="TGK27" s="204"/>
      <c r="TGL27" s="204"/>
      <c r="TGM27" s="204"/>
      <c r="TGN27" s="204"/>
      <c r="TGO27" s="204"/>
      <c r="TGP27" s="204"/>
      <c r="TGQ27" s="204"/>
      <c r="TGR27" s="204"/>
      <c r="TGS27" s="204"/>
      <c r="TGT27" s="204"/>
      <c r="TGU27" s="204"/>
      <c r="TGV27" s="204"/>
      <c r="TGW27" s="204"/>
      <c r="TGX27" s="204"/>
      <c r="TGY27" s="204"/>
      <c r="TGZ27" s="204"/>
      <c r="THA27" s="204"/>
      <c r="THB27" s="204"/>
      <c r="THC27" s="204"/>
      <c r="THD27" s="204"/>
      <c r="THE27" s="204"/>
      <c r="THF27" s="204"/>
      <c r="THG27" s="204"/>
      <c r="THH27" s="204"/>
      <c r="THI27" s="204"/>
      <c r="THJ27" s="204"/>
      <c r="THK27" s="204"/>
      <c r="THL27" s="204"/>
      <c r="THM27" s="204"/>
      <c r="THN27" s="204"/>
      <c r="THO27" s="204"/>
      <c r="THP27" s="204"/>
      <c r="THQ27" s="204"/>
      <c r="THR27" s="204"/>
      <c r="THS27" s="204"/>
      <c r="THT27" s="204"/>
      <c r="THU27" s="204"/>
      <c r="THV27" s="204"/>
      <c r="THW27" s="204"/>
      <c r="THX27" s="204"/>
      <c r="THY27" s="204"/>
      <c r="THZ27" s="204"/>
      <c r="TIA27" s="204"/>
      <c r="TIB27" s="204"/>
      <c r="TIC27" s="204"/>
      <c r="TID27" s="204"/>
      <c r="TIE27" s="204"/>
      <c r="TIF27" s="204"/>
      <c r="TIG27" s="204"/>
      <c r="TIH27" s="204"/>
      <c r="TII27" s="204"/>
      <c r="TIJ27" s="204"/>
      <c r="TIK27" s="204"/>
      <c r="TIL27" s="204"/>
      <c r="TIM27" s="204"/>
      <c r="TIN27" s="204"/>
      <c r="TIO27" s="204"/>
      <c r="TIP27" s="204"/>
      <c r="TIQ27" s="204"/>
      <c r="TIR27" s="204"/>
      <c r="TIS27" s="204"/>
      <c r="TIT27" s="204"/>
      <c r="TIU27" s="204"/>
      <c r="TIV27" s="204"/>
      <c r="TIW27" s="204"/>
      <c r="TIX27" s="204"/>
      <c r="TIY27" s="204"/>
      <c r="TIZ27" s="204"/>
      <c r="TJA27" s="204"/>
      <c r="TJB27" s="204"/>
      <c r="TJC27" s="204"/>
      <c r="TJD27" s="204"/>
      <c r="TJE27" s="204"/>
      <c r="TJF27" s="204"/>
      <c r="TJG27" s="204"/>
      <c r="TJH27" s="204"/>
      <c r="TJI27" s="204"/>
      <c r="TJJ27" s="204"/>
      <c r="TJK27" s="204"/>
      <c r="TJL27" s="204"/>
      <c r="TJM27" s="204"/>
      <c r="TJN27" s="204"/>
      <c r="TJO27" s="204"/>
      <c r="TJP27" s="204"/>
      <c r="TJQ27" s="204"/>
      <c r="TJR27" s="204"/>
      <c r="TJS27" s="204"/>
      <c r="TJT27" s="204"/>
      <c r="TJU27" s="204"/>
      <c r="TJV27" s="204"/>
      <c r="TJW27" s="204"/>
      <c r="TJX27" s="204"/>
      <c r="TJY27" s="204"/>
      <c r="TJZ27" s="204"/>
      <c r="TKA27" s="204"/>
      <c r="TKB27" s="204"/>
      <c r="TKC27" s="204"/>
      <c r="TKD27" s="204"/>
      <c r="TKE27" s="204"/>
      <c r="TKF27" s="204"/>
      <c r="TKG27" s="204"/>
      <c r="TKH27" s="204"/>
      <c r="TKI27" s="204"/>
      <c r="TKJ27" s="204"/>
      <c r="TKK27" s="204"/>
      <c r="TKL27" s="204"/>
      <c r="TKM27" s="204"/>
      <c r="TKN27" s="204"/>
      <c r="TKO27" s="204"/>
      <c r="TKP27" s="204"/>
      <c r="TKQ27" s="204"/>
      <c r="TKR27" s="204"/>
      <c r="TKS27" s="204"/>
      <c r="TKT27" s="204"/>
      <c r="TKU27" s="204"/>
      <c r="TKV27" s="204"/>
      <c r="TKW27" s="204"/>
      <c r="TKX27" s="204"/>
      <c r="TKY27" s="204"/>
      <c r="TKZ27" s="204"/>
      <c r="TLA27" s="204"/>
      <c r="TLB27" s="204"/>
      <c r="TLC27" s="204"/>
      <c r="TLD27" s="204"/>
      <c r="TLE27" s="204"/>
      <c r="TLF27" s="204"/>
      <c r="TLG27" s="204"/>
      <c r="TLH27" s="204"/>
      <c r="TLI27" s="204"/>
      <c r="TLJ27" s="204"/>
      <c r="TLK27" s="204"/>
      <c r="TLL27" s="204"/>
      <c r="TLM27" s="204"/>
      <c r="TLN27" s="204"/>
      <c r="TLO27" s="204"/>
      <c r="TLP27" s="204"/>
      <c r="TLQ27" s="204"/>
      <c r="TLR27" s="204"/>
      <c r="TLS27" s="204"/>
      <c r="TLT27" s="204"/>
      <c r="TLU27" s="204"/>
      <c r="TLV27" s="204"/>
      <c r="TLW27" s="204"/>
      <c r="TLX27" s="204"/>
      <c r="TLY27" s="204"/>
      <c r="TLZ27" s="204"/>
      <c r="TMA27" s="204"/>
      <c r="TMB27" s="204"/>
      <c r="TMC27" s="204"/>
      <c r="TMD27" s="204"/>
      <c r="TME27" s="204"/>
      <c r="TMF27" s="204"/>
      <c r="TMG27" s="204"/>
      <c r="TMH27" s="204"/>
      <c r="TMI27" s="204"/>
      <c r="TMJ27" s="204"/>
      <c r="TMK27" s="204"/>
      <c r="TML27" s="204"/>
      <c r="TMM27" s="204"/>
      <c r="TMN27" s="204"/>
      <c r="TMO27" s="204"/>
      <c r="TMP27" s="204"/>
      <c r="TMQ27" s="204"/>
      <c r="TMR27" s="204"/>
      <c r="TMS27" s="204"/>
      <c r="TMT27" s="204"/>
      <c r="TMU27" s="204"/>
      <c r="TMV27" s="204"/>
      <c r="TMW27" s="204"/>
      <c r="TMX27" s="204"/>
      <c r="TMY27" s="204"/>
      <c r="TMZ27" s="204"/>
      <c r="TNA27" s="204"/>
      <c r="TNB27" s="204"/>
      <c r="TNC27" s="204"/>
      <c r="TND27" s="204"/>
      <c r="TNE27" s="204"/>
      <c r="TNF27" s="204"/>
      <c r="TNG27" s="204"/>
      <c r="TNH27" s="204"/>
      <c r="TNI27" s="204"/>
      <c r="TNJ27" s="204"/>
      <c r="TNK27" s="204"/>
      <c r="TNL27" s="204"/>
      <c r="TNM27" s="204"/>
      <c r="TNN27" s="204"/>
      <c r="TNO27" s="204"/>
      <c r="TNP27" s="204"/>
      <c r="TNQ27" s="204"/>
      <c r="TNR27" s="204"/>
      <c r="TNS27" s="204"/>
      <c r="TNT27" s="204"/>
      <c r="TNU27" s="204"/>
      <c r="TNV27" s="204"/>
      <c r="TNW27" s="204"/>
      <c r="TNX27" s="204"/>
      <c r="TNY27" s="204"/>
      <c r="TNZ27" s="204"/>
      <c r="TOA27" s="204"/>
      <c r="TOB27" s="204"/>
      <c r="TOC27" s="204"/>
      <c r="TOD27" s="204"/>
      <c r="TOE27" s="204"/>
      <c r="TOF27" s="204"/>
      <c r="TOG27" s="204"/>
      <c r="TOH27" s="204"/>
      <c r="TOI27" s="204"/>
      <c r="TOJ27" s="204"/>
      <c r="TOK27" s="204"/>
      <c r="TOL27" s="204"/>
      <c r="TOM27" s="204"/>
      <c r="TON27" s="204"/>
      <c r="TOO27" s="204"/>
      <c r="TOP27" s="204"/>
      <c r="TOQ27" s="204"/>
      <c r="TOR27" s="204"/>
      <c r="TOS27" s="204"/>
      <c r="TOT27" s="204"/>
      <c r="TOU27" s="204"/>
      <c r="TOV27" s="204"/>
      <c r="TOW27" s="204"/>
      <c r="TOX27" s="204"/>
      <c r="TOY27" s="204"/>
      <c r="TOZ27" s="204"/>
      <c r="TPA27" s="204"/>
      <c r="TPB27" s="204"/>
      <c r="TPC27" s="204"/>
      <c r="TPD27" s="204"/>
      <c r="TPE27" s="204"/>
      <c r="TPF27" s="204"/>
      <c r="TPG27" s="204"/>
      <c r="TPH27" s="204"/>
      <c r="TPI27" s="204"/>
      <c r="TPJ27" s="204"/>
      <c r="TPK27" s="204"/>
      <c r="TPL27" s="204"/>
      <c r="TPM27" s="204"/>
      <c r="TPN27" s="204"/>
      <c r="TPO27" s="204"/>
      <c r="TPP27" s="204"/>
      <c r="TPQ27" s="204"/>
      <c r="TPR27" s="204"/>
      <c r="TPS27" s="204"/>
      <c r="TPT27" s="204"/>
      <c r="TPU27" s="204"/>
      <c r="TPV27" s="204"/>
      <c r="TPW27" s="204"/>
      <c r="TPX27" s="204"/>
      <c r="TPY27" s="204"/>
      <c r="TPZ27" s="204"/>
      <c r="TQA27" s="204"/>
      <c r="TQB27" s="204"/>
      <c r="TQC27" s="204"/>
      <c r="TQD27" s="204"/>
      <c r="TQE27" s="204"/>
      <c r="TQF27" s="204"/>
      <c r="TQG27" s="204"/>
      <c r="TQH27" s="204"/>
      <c r="TQI27" s="204"/>
      <c r="TQJ27" s="204"/>
      <c r="TQK27" s="204"/>
      <c r="TQL27" s="204"/>
      <c r="TQM27" s="204"/>
      <c r="TQN27" s="204"/>
      <c r="TQO27" s="204"/>
      <c r="TQP27" s="204"/>
      <c r="TQQ27" s="204"/>
      <c r="TQR27" s="204"/>
      <c r="TQS27" s="204"/>
      <c r="TQT27" s="204"/>
      <c r="TQU27" s="204"/>
      <c r="TQV27" s="204"/>
      <c r="TQW27" s="204"/>
      <c r="TQX27" s="204"/>
      <c r="TQY27" s="204"/>
      <c r="TQZ27" s="204"/>
      <c r="TRA27" s="204"/>
      <c r="TRB27" s="204"/>
      <c r="TRC27" s="204"/>
      <c r="TRD27" s="204"/>
      <c r="TRE27" s="204"/>
      <c r="TRF27" s="204"/>
      <c r="TRG27" s="204"/>
      <c r="TRH27" s="204"/>
      <c r="TRI27" s="204"/>
      <c r="TRJ27" s="204"/>
      <c r="TRK27" s="204"/>
      <c r="TRL27" s="204"/>
      <c r="TRM27" s="204"/>
      <c r="TRN27" s="204"/>
      <c r="TRO27" s="204"/>
      <c r="TRP27" s="204"/>
      <c r="TRQ27" s="204"/>
      <c r="TRR27" s="204"/>
      <c r="TRS27" s="204"/>
      <c r="TRT27" s="204"/>
      <c r="TRU27" s="204"/>
      <c r="TRV27" s="204"/>
      <c r="TRW27" s="204"/>
      <c r="TRX27" s="204"/>
      <c r="TRY27" s="204"/>
      <c r="TRZ27" s="204"/>
      <c r="TSA27" s="204"/>
      <c r="TSB27" s="204"/>
      <c r="TSC27" s="204"/>
      <c r="TSD27" s="204"/>
      <c r="TSE27" s="204"/>
      <c r="TSF27" s="204"/>
      <c r="TSG27" s="204"/>
      <c r="TSH27" s="204"/>
      <c r="TSI27" s="204"/>
      <c r="TSJ27" s="204"/>
      <c r="TSK27" s="204"/>
      <c r="TSL27" s="204"/>
      <c r="TSM27" s="204"/>
      <c r="TSN27" s="204"/>
      <c r="TSO27" s="204"/>
      <c r="TSP27" s="204"/>
      <c r="TSQ27" s="204"/>
      <c r="TSR27" s="204"/>
      <c r="TSS27" s="204"/>
      <c r="TST27" s="204"/>
      <c r="TSU27" s="204"/>
      <c r="TSV27" s="204"/>
      <c r="TSW27" s="204"/>
      <c r="TSX27" s="204"/>
      <c r="TSY27" s="204"/>
      <c r="TSZ27" s="204"/>
      <c r="TTA27" s="204"/>
      <c r="TTB27" s="204"/>
      <c r="TTC27" s="204"/>
      <c r="TTD27" s="204"/>
      <c r="TTE27" s="204"/>
      <c r="TTF27" s="204"/>
      <c r="TTG27" s="204"/>
      <c r="TTH27" s="204"/>
      <c r="TTI27" s="204"/>
      <c r="TTJ27" s="204"/>
      <c r="TTK27" s="204"/>
      <c r="TTL27" s="204"/>
      <c r="TTM27" s="204"/>
      <c r="TTN27" s="204"/>
      <c r="TTO27" s="204"/>
      <c r="TTP27" s="204"/>
      <c r="TTQ27" s="204"/>
      <c r="TTR27" s="204"/>
      <c r="TTS27" s="204"/>
      <c r="TTT27" s="204"/>
      <c r="TTU27" s="204"/>
      <c r="TTV27" s="204"/>
      <c r="TTW27" s="204"/>
      <c r="TTX27" s="204"/>
      <c r="TTY27" s="204"/>
      <c r="TTZ27" s="204"/>
      <c r="TUA27" s="204"/>
      <c r="TUB27" s="204"/>
      <c r="TUC27" s="204"/>
      <c r="TUD27" s="204"/>
      <c r="TUE27" s="204"/>
      <c r="TUF27" s="204"/>
      <c r="TUG27" s="204"/>
      <c r="TUH27" s="204"/>
      <c r="TUI27" s="204"/>
      <c r="TUJ27" s="204"/>
      <c r="TUK27" s="204"/>
      <c r="TUL27" s="204"/>
      <c r="TUM27" s="204"/>
      <c r="TUN27" s="204"/>
      <c r="TUO27" s="204"/>
      <c r="TUP27" s="204"/>
      <c r="TUQ27" s="204"/>
      <c r="TUR27" s="204"/>
      <c r="TUS27" s="204"/>
      <c r="TUT27" s="204"/>
      <c r="TUU27" s="204"/>
      <c r="TUV27" s="204"/>
      <c r="TUW27" s="204"/>
      <c r="TUX27" s="204"/>
      <c r="TUY27" s="204"/>
      <c r="TUZ27" s="204"/>
      <c r="TVA27" s="204"/>
      <c r="TVB27" s="204"/>
      <c r="TVC27" s="204"/>
      <c r="TVD27" s="204"/>
      <c r="TVE27" s="204"/>
      <c r="TVF27" s="204"/>
      <c r="TVG27" s="204"/>
      <c r="TVH27" s="204"/>
      <c r="TVI27" s="204"/>
      <c r="TVJ27" s="204"/>
      <c r="TVK27" s="204"/>
      <c r="TVL27" s="204"/>
      <c r="TVM27" s="204"/>
      <c r="TVN27" s="204"/>
      <c r="TVO27" s="204"/>
      <c r="TVP27" s="204"/>
      <c r="TVQ27" s="204"/>
      <c r="TVR27" s="204"/>
      <c r="TVS27" s="204"/>
      <c r="TVT27" s="204"/>
      <c r="TVU27" s="204"/>
      <c r="TVV27" s="204"/>
      <c r="TVW27" s="204"/>
      <c r="TVX27" s="204"/>
      <c r="TVY27" s="204"/>
      <c r="TVZ27" s="204"/>
      <c r="TWA27" s="204"/>
      <c r="TWB27" s="204"/>
      <c r="TWC27" s="204"/>
      <c r="TWD27" s="204"/>
      <c r="TWE27" s="204"/>
      <c r="TWF27" s="204"/>
      <c r="TWG27" s="204"/>
      <c r="TWH27" s="204"/>
      <c r="TWI27" s="204"/>
      <c r="TWJ27" s="204"/>
      <c r="TWK27" s="204"/>
      <c r="TWL27" s="204"/>
      <c r="TWM27" s="204"/>
      <c r="TWN27" s="204"/>
      <c r="TWO27" s="204"/>
      <c r="TWP27" s="204"/>
      <c r="TWQ27" s="204"/>
      <c r="TWR27" s="204"/>
      <c r="TWS27" s="204"/>
      <c r="TWT27" s="204"/>
      <c r="TWU27" s="204"/>
      <c r="TWV27" s="204"/>
      <c r="TWW27" s="204"/>
      <c r="TWX27" s="204"/>
      <c r="TWY27" s="204"/>
      <c r="TWZ27" s="204"/>
      <c r="TXA27" s="204"/>
      <c r="TXB27" s="204"/>
      <c r="TXC27" s="204"/>
      <c r="TXD27" s="204"/>
      <c r="TXE27" s="204"/>
      <c r="TXF27" s="204"/>
      <c r="TXG27" s="204"/>
      <c r="TXH27" s="204"/>
      <c r="TXI27" s="204"/>
      <c r="TXJ27" s="204"/>
      <c r="TXK27" s="204"/>
      <c r="TXL27" s="204"/>
      <c r="TXM27" s="204"/>
      <c r="TXN27" s="204"/>
      <c r="TXO27" s="204"/>
      <c r="TXP27" s="204"/>
      <c r="TXQ27" s="204"/>
      <c r="TXR27" s="204"/>
      <c r="TXS27" s="204"/>
      <c r="TXT27" s="204"/>
      <c r="TXU27" s="204"/>
      <c r="TXV27" s="204"/>
      <c r="TXW27" s="204"/>
      <c r="TXX27" s="204"/>
      <c r="TXY27" s="204"/>
      <c r="TXZ27" s="204"/>
      <c r="TYA27" s="204"/>
      <c r="TYB27" s="204"/>
      <c r="TYC27" s="204"/>
      <c r="TYD27" s="204"/>
      <c r="TYE27" s="204"/>
      <c r="TYF27" s="204"/>
      <c r="TYG27" s="204"/>
      <c r="TYH27" s="204"/>
      <c r="TYI27" s="204"/>
      <c r="TYJ27" s="204"/>
      <c r="TYK27" s="204"/>
      <c r="TYL27" s="204"/>
      <c r="TYM27" s="204"/>
      <c r="TYN27" s="204"/>
      <c r="TYO27" s="204"/>
      <c r="TYP27" s="204"/>
      <c r="TYQ27" s="204"/>
      <c r="TYR27" s="204"/>
      <c r="TYS27" s="204"/>
      <c r="TYT27" s="204"/>
      <c r="TYU27" s="204"/>
      <c r="TYV27" s="204"/>
      <c r="TYW27" s="204"/>
      <c r="TYX27" s="204"/>
      <c r="TYY27" s="204"/>
      <c r="TYZ27" s="204"/>
      <c r="TZA27" s="204"/>
      <c r="TZB27" s="204"/>
      <c r="TZC27" s="204"/>
      <c r="TZD27" s="204"/>
      <c r="TZE27" s="204"/>
      <c r="TZF27" s="204"/>
      <c r="TZG27" s="204"/>
      <c r="TZH27" s="204"/>
      <c r="TZI27" s="204"/>
      <c r="TZJ27" s="204"/>
      <c r="TZK27" s="204"/>
      <c r="TZL27" s="204"/>
      <c r="TZM27" s="204"/>
      <c r="TZN27" s="204"/>
      <c r="TZO27" s="204"/>
      <c r="TZP27" s="204"/>
      <c r="TZQ27" s="204"/>
      <c r="TZR27" s="204"/>
      <c r="TZS27" s="204"/>
      <c r="TZT27" s="204"/>
      <c r="TZU27" s="204"/>
      <c r="TZV27" s="204"/>
      <c r="TZW27" s="204"/>
      <c r="TZX27" s="204"/>
      <c r="TZY27" s="204"/>
      <c r="TZZ27" s="204"/>
      <c r="UAA27" s="204"/>
      <c r="UAB27" s="204"/>
      <c r="UAC27" s="204"/>
      <c r="UAD27" s="204"/>
      <c r="UAE27" s="204"/>
      <c r="UAF27" s="204"/>
      <c r="UAG27" s="204"/>
      <c r="UAH27" s="204"/>
      <c r="UAI27" s="204"/>
      <c r="UAJ27" s="204"/>
      <c r="UAK27" s="204"/>
      <c r="UAL27" s="204"/>
      <c r="UAM27" s="204"/>
      <c r="UAN27" s="204"/>
      <c r="UAO27" s="204"/>
      <c r="UAP27" s="204"/>
      <c r="UAQ27" s="204"/>
      <c r="UAR27" s="204"/>
      <c r="UAS27" s="204"/>
      <c r="UAT27" s="204"/>
      <c r="UAU27" s="204"/>
      <c r="UAV27" s="204"/>
      <c r="UAW27" s="204"/>
      <c r="UAX27" s="204"/>
      <c r="UAY27" s="204"/>
      <c r="UAZ27" s="204"/>
      <c r="UBA27" s="204"/>
      <c r="UBB27" s="204"/>
      <c r="UBC27" s="204"/>
      <c r="UBD27" s="204"/>
      <c r="UBE27" s="204"/>
      <c r="UBF27" s="204"/>
      <c r="UBG27" s="204"/>
      <c r="UBH27" s="204"/>
      <c r="UBI27" s="204"/>
      <c r="UBJ27" s="204"/>
      <c r="UBK27" s="204"/>
      <c r="UBL27" s="204"/>
      <c r="UBM27" s="204"/>
      <c r="UBN27" s="204"/>
      <c r="UBO27" s="204"/>
      <c r="UBP27" s="204"/>
      <c r="UBQ27" s="204"/>
      <c r="UBR27" s="204"/>
      <c r="UBS27" s="204"/>
      <c r="UBT27" s="204"/>
      <c r="UBU27" s="204"/>
      <c r="UBV27" s="204"/>
      <c r="UBW27" s="204"/>
      <c r="UBX27" s="204"/>
      <c r="UBY27" s="204"/>
      <c r="UBZ27" s="204"/>
      <c r="UCA27" s="204"/>
      <c r="UCB27" s="204"/>
      <c r="UCC27" s="204"/>
      <c r="UCD27" s="204"/>
      <c r="UCE27" s="204"/>
      <c r="UCF27" s="204"/>
      <c r="UCG27" s="204"/>
      <c r="UCH27" s="204"/>
      <c r="UCI27" s="204"/>
      <c r="UCJ27" s="204"/>
      <c r="UCK27" s="204"/>
      <c r="UCL27" s="204"/>
      <c r="UCM27" s="204"/>
      <c r="UCN27" s="204"/>
      <c r="UCO27" s="204"/>
      <c r="UCP27" s="204"/>
      <c r="UCQ27" s="204"/>
      <c r="UCR27" s="204"/>
      <c r="UCS27" s="204"/>
      <c r="UCT27" s="204"/>
      <c r="UCU27" s="204"/>
      <c r="UCV27" s="204"/>
      <c r="UCW27" s="204"/>
      <c r="UCX27" s="204"/>
      <c r="UCY27" s="204"/>
      <c r="UCZ27" s="204"/>
      <c r="UDA27" s="204"/>
      <c r="UDB27" s="204"/>
      <c r="UDC27" s="204"/>
      <c r="UDD27" s="204"/>
      <c r="UDE27" s="204"/>
      <c r="UDF27" s="204"/>
      <c r="UDG27" s="204"/>
      <c r="UDH27" s="204"/>
      <c r="UDI27" s="204"/>
      <c r="UDJ27" s="204"/>
      <c r="UDK27" s="204"/>
      <c r="UDL27" s="204"/>
      <c r="UDM27" s="204"/>
      <c r="UDN27" s="204"/>
      <c r="UDO27" s="204"/>
      <c r="UDP27" s="204"/>
      <c r="UDQ27" s="204"/>
      <c r="UDR27" s="204"/>
      <c r="UDS27" s="204"/>
      <c r="UDT27" s="204"/>
      <c r="UDU27" s="204"/>
      <c r="UDV27" s="204"/>
      <c r="UDW27" s="204"/>
      <c r="UDX27" s="204"/>
      <c r="UDY27" s="204"/>
      <c r="UDZ27" s="204"/>
      <c r="UEA27" s="204"/>
      <c r="UEB27" s="204"/>
      <c r="UEC27" s="204"/>
      <c r="UED27" s="204"/>
      <c r="UEE27" s="204"/>
      <c r="UEF27" s="204"/>
      <c r="UEG27" s="204"/>
      <c r="UEH27" s="204"/>
      <c r="UEI27" s="204"/>
      <c r="UEJ27" s="204"/>
      <c r="UEK27" s="204"/>
      <c r="UEL27" s="204"/>
      <c r="UEM27" s="204"/>
      <c r="UEN27" s="204"/>
      <c r="UEO27" s="204"/>
      <c r="UEP27" s="204"/>
      <c r="UEQ27" s="204"/>
      <c r="UER27" s="204"/>
      <c r="UES27" s="204"/>
      <c r="UET27" s="204"/>
      <c r="UEU27" s="204"/>
      <c r="UEV27" s="204"/>
      <c r="UEW27" s="204"/>
      <c r="UEX27" s="204"/>
      <c r="UEY27" s="204"/>
      <c r="UEZ27" s="204"/>
      <c r="UFA27" s="204"/>
      <c r="UFB27" s="204"/>
      <c r="UFC27" s="204"/>
      <c r="UFD27" s="204"/>
      <c r="UFE27" s="204"/>
      <c r="UFF27" s="204"/>
      <c r="UFG27" s="204"/>
      <c r="UFH27" s="204"/>
      <c r="UFI27" s="204"/>
      <c r="UFJ27" s="204"/>
      <c r="UFK27" s="204"/>
      <c r="UFL27" s="204"/>
      <c r="UFM27" s="204"/>
      <c r="UFN27" s="204"/>
      <c r="UFO27" s="204"/>
      <c r="UFP27" s="204"/>
      <c r="UFQ27" s="204"/>
      <c r="UFR27" s="204"/>
      <c r="UFS27" s="204"/>
      <c r="UFT27" s="204"/>
      <c r="UFU27" s="204"/>
      <c r="UFV27" s="204"/>
      <c r="UFW27" s="204"/>
      <c r="UFX27" s="204"/>
      <c r="UFY27" s="204"/>
      <c r="UFZ27" s="204"/>
      <c r="UGA27" s="204"/>
      <c r="UGB27" s="204"/>
      <c r="UGC27" s="204"/>
      <c r="UGD27" s="204"/>
      <c r="UGE27" s="204"/>
      <c r="UGF27" s="204"/>
      <c r="UGG27" s="204"/>
      <c r="UGH27" s="204"/>
      <c r="UGI27" s="204"/>
      <c r="UGJ27" s="204"/>
      <c r="UGK27" s="204"/>
      <c r="UGL27" s="204"/>
      <c r="UGM27" s="204"/>
      <c r="UGN27" s="204"/>
      <c r="UGO27" s="204"/>
      <c r="UGP27" s="204"/>
      <c r="UGQ27" s="204"/>
      <c r="UGR27" s="204"/>
      <c r="UGS27" s="204"/>
      <c r="UGT27" s="204"/>
      <c r="UGU27" s="204"/>
      <c r="UGV27" s="204"/>
      <c r="UGW27" s="204"/>
      <c r="UGX27" s="204"/>
      <c r="UGY27" s="204"/>
      <c r="UGZ27" s="204"/>
      <c r="UHA27" s="204"/>
      <c r="UHB27" s="204"/>
      <c r="UHC27" s="204"/>
      <c r="UHD27" s="204"/>
      <c r="UHE27" s="204"/>
      <c r="UHF27" s="204"/>
      <c r="UHG27" s="204"/>
      <c r="UHH27" s="204"/>
      <c r="UHI27" s="204"/>
      <c r="UHJ27" s="204"/>
      <c r="UHK27" s="204"/>
      <c r="UHL27" s="204"/>
      <c r="UHM27" s="204"/>
      <c r="UHN27" s="204"/>
      <c r="UHO27" s="204"/>
      <c r="UHP27" s="204"/>
      <c r="UHQ27" s="204"/>
      <c r="UHR27" s="204"/>
      <c r="UHS27" s="204"/>
      <c r="UHT27" s="204"/>
      <c r="UHU27" s="204"/>
      <c r="UHV27" s="204"/>
      <c r="UHW27" s="204"/>
      <c r="UHX27" s="204"/>
      <c r="UHY27" s="204"/>
      <c r="UHZ27" s="204"/>
      <c r="UIA27" s="204"/>
      <c r="UIB27" s="204"/>
      <c r="UIC27" s="204"/>
      <c r="UID27" s="204"/>
      <c r="UIE27" s="204"/>
      <c r="UIF27" s="204"/>
      <c r="UIG27" s="204"/>
      <c r="UIH27" s="204"/>
      <c r="UII27" s="204"/>
      <c r="UIJ27" s="204"/>
      <c r="UIK27" s="204"/>
      <c r="UIL27" s="204"/>
      <c r="UIM27" s="204"/>
      <c r="UIN27" s="204"/>
      <c r="UIO27" s="204"/>
      <c r="UIP27" s="204"/>
      <c r="UIQ27" s="204"/>
      <c r="UIR27" s="204"/>
      <c r="UIS27" s="204"/>
      <c r="UIT27" s="204"/>
      <c r="UIU27" s="204"/>
      <c r="UIV27" s="204"/>
      <c r="UIW27" s="204"/>
      <c r="UIX27" s="204"/>
      <c r="UIY27" s="204"/>
      <c r="UIZ27" s="204"/>
      <c r="UJA27" s="204"/>
      <c r="UJB27" s="204"/>
      <c r="UJC27" s="204"/>
      <c r="UJD27" s="204"/>
      <c r="UJE27" s="204"/>
      <c r="UJF27" s="204"/>
      <c r="UJG27" s="204"/>
      <c r="UJH27" s="204"/>
      <c r="UJI27" s="204"/>
      <c r="UJJ27" s="204"/>
      <c r="UJK27" s="204"/>
      <c r="UJL27" s="204"/>
      <c r="UJM27" s="204"/>
      <c r="UJN27" s="204"/>
      <c r="UJO27" s="204"/>
      <c r="UJP27" s="204"/>
      <c r="UJQ27" s="204"/>
      <c r="UJR27" s="204"/>
      <c r="UJS27" s="204"/>
      <c r="UJT27" s="204"/>
      <c r="UJU27" s="204"/>
      <c r="UJV27" s="204"/>
      <c r="UJW27" s="204"/>
      <c r="UJX27" s="204"/>
      <c r="UJY27" s="204"/>
      <c r="UJZ27" s="204"/>
      <c r="UKA27" s="204"/>
      <c r="UKB27" s="204"/>
      <c r="UKC27" s="204"/>
      <c r="UKD27" s="204"/>
      <c r="UKE27" s="204"/>
      <c r="UKF27" s="204"/>
      <c r="UKG27" s="204"/>
      <c r="UKH27" s="204"/>
      <c r="UKI27" s="204"/>
      <c r="UKJ27" s="204"/>
      <c r="UKK27" s="204"/>
      <c r="UKL27" s="204"/>
      <c r="UKM27" s="204"/>
      <c r="UKN27" s="204"/>
      <c r="UKO27" s="204"/>
      <c r="UKP27" s="204"/>
      <c r="UKQ27" s="204"/>
      <c r="UKR27" s="204"/>
      <c r="UKS27" s="204"/>
      <c r="UKT27" s="204"/>
      <c r="UKU27" s="204"/>
      <c r="UKV27" s="204"/>
      <c r="UKW27" s="204"/>
      <c r="UKX27" s="204"/>
      <c r="UKY27" s="204"/>
      <c r="UKZ27" s="204"/>
      <c r="ULA27" s="204"/>
      <c r="ULB27" s="204"/>
      <c r="ULC27" s="204"/>
      <c r="ULD27" s="204"/>
      <c r="ULE27" s="204"/>
      <c r="ULF27" s="204"/>
      <c r="ULG27" s="204"/>
      <c r="ULH27" s="204"/>
      <c r="ULI27" s="204"/>
      <c r="ULJ27" s="204"/>
      <c r="ULK27" s="204"/>
      <c r="ULL27" s="204"/>
      <c r="ULM27" s="204"/>
      <c r="ULN27" s="204"/>
      <c r="ULO27" s="204"/>
      <c r="ULP27" s="204"/>
      <c r="ULQ27" s="204"/>
      <c r="ULR27" s="204"/>
      <c r="ULS27" s="204"/>
      <c r="ULT27" s="204"/>
      <c r="ULU27" s="204"/>
      <c r="ULV27" s="204"/>
      <c r="ULW27" s="204"/>
      <c r="ULX27" s="204"/>
      <c r="ULY27" s="204"/>
      <c r="ULZ27" s="204"/>
      <c r="UMA27" s="204"/>
      <c r="UMB27" s="204"/>
      <c r="UMC27" s="204"/>
      <c r="UMD27" s="204"/>
      <c r="UME27" s="204"/>
      <c r="UMF27" s="204"/>
      <c r="UMG27" s="204"/>
      <c r="UMH27" s="204"/>
      <c r="UMI27" s="204"/>
      <c r="UMJ27" s="204"/>
      <c r="UMK27" s="204"/>
      <c r="UML27" s="204"/>
      <c r="UMM27" s="204"/>
      <c r="UMN27" s="204"/>
      <c r="UMO27" s="204"/>
      <c r="UMP27" s="204"/>
      <c r="UMQ27" s="204"/>
      <c r="UMR27" s="204"/>
      <c r="UMS27" s="204"/>
      <c r="UMT27" s="204"/>
      <c r="UMU27" s="204"/>
      <c r="UMV27" s="204"/>
      <c r="UMW27" s="204"/>
      <c r="UMX27" s="204"/>
      <c r="UMY27" s="204"/>
      <c r="UMZ27" s="204"/>
      <c r="UNA27" s="204"/>
      <c r="UNB27" s="204"/>
      <c r="UNC27" s="204"/>
      <c r="UND27" s="204"/>
      <c r="UNE27" s="204"/>
      <c r="UNF27" s="204"/>
      <c r="UNG27" s="204"/>
      <c r="UNH27" s="204"/>
      <c r="UNI27" s="204"/>
      <c r="UNJ27" s="204"/>
      <c r="UNK27" s="204"/>
      <c r="UNL27" s="204"/>
      <c r="UNM27" s="204"/>
      <c r="UNN27" s="204"/>
      <c r="UNO27" s="204"/>
      <c r="UNP27" s="204"/>
      <c r="UNQ27" s="204"/>
      <c r="UNR27" s="204"/>
      <c r="UNS27" s="204"/>
      <c r="UNT27" s="204"/>
      <c r="UNU27" s="204"/>
      <c r="UNV27" s="204"/>
      <c r="UNW27" s="204"/>
      <c r="UNX27" s="204"/>
      <c r="UNY27" s="204"/>
      <c r="UNZ27" s="204"/>
      <c r="UOA27" s="204"/>
      <c r="UOB27" s="204"/>
      <c r="UOC27" s="204"/>
      <c r="UOD27" s="204"/>
      <c r="UOE27" s="204"/>
      <c r="UOF27" s="204"/>
      <c r="UOG27" s="204"/>
      <c r="UOH27" s="204"/>
      <c r="UOI27" s="204"/>
      <c r="UOJ27" s="204"/>
      <c r="UOK27" s="204"/>
      <c r="UOL27" s="204"/>
      <c r="UOM27" s="204"/>
      <c r="UON27" s="204"/>
      <c r="UOO27" s="204"/>
      <c r="UOP27" s="204"/>
      <c r="UOQ27" s="204"/>
      <c r="UOR27" s="204"/>
      <c r="UOS27" s="204"/>
      <c r="UOT27" s="204"/>
      <c r="UOU27" s="204"/>
      <c r="UOV27" s="204"/>
      <c r="UOW27" s="204"/>
      <c r="UOX27" s="204"/>
      <c r="UOY27" s="204"/>
      <c r="UOZ27" s="204"/>
      <c r="UPA27" s="204"/>
      <c r="UPB27" s="204"/>
      <c r="UPC27" s="204"/>
      <c r="UPD27" s="204"/>
      <c r="UPE27" s="204"/>
      <c r="UPF27" s="204"/>
      <c r="UPG27" s="204"/>
      <c r="UPH27" s="204"/>
      <c r="UPI27" s="204"/>
      <c r="UPJ27" s="204"/>
      <c r="UPK27" s="204"/>
      <c r="UPL27" s="204"/>
      <c r="UPM27" s="204"/>
      <c r="UPN27" s="204"/>
      <c r="UPO27" s="204"/>
      <c r="UPP27" s="204"/>
      <c r="UPQ27" s="204"/>
      <c r="UPR27" s="204"/>
      <c r="UPS27" s="204"/>
      <c r="UPT27" s="204"/>
      <c r="UPU27" s="204"/>
      <c r="UPV27" s="204"/>
      <c r="UPW27" s="204"/>
      <c r="UPX27" s="204"/>
      <c r="UPY27" s="204"/>
      <c r="UPZ27" s="204"/>
      <c r="UQA27" s="204"/>
      <c r="UQB27" s="204"/>
      <c r="UQC27" s="204"/>
      <c r="UQD27" s="204"/>
      <c r="UQE27" s="204"/>
      <c r="UQF27" s="204"/>
      <c r="UQG27" s="204"/>
      <c r="UQH27" s="204"/>
      <c r="UQI27" s="204"/>
      <c r="UQJ27" s="204"/>
      <c r="UQK27" s="204"/>
      <c r="UQL27" s="204"/>
      <c r="UQM27" s="204"/>
      <c r="UQN27" s="204"/>
      <c r="UQO27" s="204"/>
      <c r="UQP27" s="204"/>
      <c r="UQQ27" s="204"/>
      <c r="UQR27" s="204"/>
      <c r="UQS27" s="204"/>
      <c r="UQT27" s="204"/>
      <c r="UQU27" s="204"/>
      <c r="UQV27" s="204"/>
      <c r="UQW27" s="204"/>
      <c r="UQX27" s="204"/>
      <c r="UQY27" s="204"/>
      <c r="UQZ27" s="204"/>
      <c r="URA27" s="204"/>
      <c r="URB27" s="204"/>
      <c r="URC27" s="204"/>
      <c r="URD27" s="204"/>
      <c r="URE27" s="204"/>
      <c r="URF27" s="204"/>
      <c r="URG27" s="204"/>
      <c r="URH27" s="204"/>
      <c r="URI27" s="204"/>
      <c r="URJ27" s="204"/>
      <c r="URK27" s="204"/>
      <c r="URL27" s="204"/>
      <c r="URM27" s="204"/>
      <c r="URN27" s="204"/>
      <c r="URO27" s="204"/>
      <c r="URP27" s="204"/>
      <c r="URQ27" s="204"/>
      <c r="URR27" s="204"/>
      <c r="URS27" s="204"/>
      <c r="URT27" s="204"/>
      <c r="URU27" s="204"/>
      <c r="URV27" s="204"/>
      <c r="URW27" s="204"/>
      <c r="URX27" s="204"/>
      <c r="URY27" s="204"/>
      <c r="URZ27" s="204"/>
      <c r="USA27" s="204"/>
      <c r="USB27" s="204"/>
      <c r="USC27" s="204"/>
      <c r="USD27" s="204"/>
      <c r="USE27" s="204"/>
      <c r="USF27" s="204"/>
      <c r="USG27" s="204"/>
      <c r="USH27" s="204"/>
      <c r="USI27" s="204"/>
      <c r="USJ27" s="204"/>
      <c r="USK27" s="204"/>
      <c r="USL27" s="204"/>
      <c r="USM27" s="204"/>
      <c r="USN27" s="204"/>
      <c r="USO27" s="204"/>
      <c r="USP27" s="204"/>
      <c r="USQ27" s="204"/>
      <c r="USR27" s="204"/>
      <c r="USS27" s="204"/>
      <c r="UST27" s="204"/>
      <c r="USU27" s="204"/>
      <c r="USV27" s="204"/>
      <c r="USW27" s="204"/>
      <c r="USX27" s="204"/>
      <c r="USY27" s="204"/>
      <c r="USZ27" s="204"/>
      <c r="UTA27" s="204"/>
      <c r="UTB27" s="204"/>
      <c r="UTC27" s="204"/>
      <c r="UTD27" s="204"/>
      <c r="UTE27" s="204"/>
      <c r="UTF27" s="204"/>
      <c r="UTG27" s="204"/>
      <c r="UTH27" s="204"/>
      <c r="UTI27" s="204"/>
      <c r="UTJ27" s="204"/>
      <c r="UTK27" s="204"/>
      <c r="UTL27" s="204"/>
      <c r="UTM27" s="204"/>
      <c r="UTN27" s="204"/>
      <c r="UTO27" s="204"/>
      <c r="UTP27" s="204"/>
      <c r="UTQ27" s="204"/>
      <c r="UTR27" s="204"/>
      <c r="UTS27" s="204"/>
      <c r="UTT27" s="204"/>
      <c r="UTU27" s="204"/>
      <c r="UTV27" s="204"/>
      <c r="UTW27" s="204"/>
      <c r="UTX27" s="204"/>
      <c r="UTY27" s="204"/>
      <c r="UTZ27" s="204"/>
      <c r="UUA27" s="204"/>
      <c r="UUB27" s="204"/>
      <c r="UUC27" s="204"/>
      <c r="UUD27" s="204"/>
      <c r="UUE27" s="204"/>
      <c r="UUF27" s="204"/>
      <c r="UUG27" s="204"/>
      <c r="UUH27" s="204"/>
      <c r="UUI27" s="204"/>
      <c r="UUJ27" s="204"/>
      <c r="UUK27" s="204"/>
      <c r="UUL27" s="204"/>
      <c r="UUM27" s="204"/>
      <c r="UUN27" s="204"/>
      <c r="UUO27" s="204"/>
      <c r="UUP27" s="204"/>
      <c r="UUQ27" s="204"/>
      <c r="UUR27" s="204"/>
      <c r="UUS27" s="204"/>
      <c r="UUT27" s="204"/>
      <c r="UUU27" s="204"/>
      <c r="UUV27" s="204"/>
      <c r="UUW27" s="204"/>
      <c r="UUX27" s="204"/>
      <c r="UUY27" s="204"/>
      <c r="UUZ27" s="204"/>
      <c r="UVA27" s="204"/>
      <c r="UVB27" s="204"/>
      <c r="UVC27" s="204"/>
      <c r="UVD27" s="204"/>
      <c r="UVE27" s="204"/>
      <c r="UVF27" s="204"/>
      <c r="UVG27" s="204"/>
      <c r="UVH27" s="204"/>
      <c r="UVI27" s="204"/>
      <c r="UVJ27" s="204"/>
      <c r="UVK27" s="204"/>
      <c r="UVL27" s="204"/>
      <c r="UVM27" s="204"/>
      <c r="UVN27" s="204"/>
      <c r="UVO27" s="204"/>
      <c r="UVP27" s="204"/>
      <c r="UVQ27" s="204"/>
      <c r="UVR27" s="204"/>
      <c r="UVS27" s="204"/>
      <c r="UVT27" s="204"/>
      <c r="UVU27" s="204"/>
      <c r="UVV27" s="204"/>
      <c r="UVW27" s="204"/>
      <c r="UVX27" s="204"/>
      <c r="UVY27" s="204"/>
      <c r="UVZ27" s="204"/>
      <c r="UWA27" s="204"/>
      <c r="UWB27" s="204"/>
      <c r="UWC27" s="204"/>
      <c r="UWD27" s="204"/>
      <c r="UWE27" s="204"/>
      <c r="UWF27" s="204"/>
      <c r="UWG27" s="204"/>
      <c r="UWH27" s="204"/>
      <c r="UWI27" s="204"/>
      <c r="UWJ27" s="204"/>
      <c r="UWK27" s="204"/>
      <c r="UWL27" s="204"/>
      <c r="UWM27" s="204"/>
      <c r="UWN27" s="204"/>
      <c r="UWO27" s="204"/>
      <c r="UWP27" s="204"/>
      <c r="UWQ27" s="204"/>
      <c r="UWR27" s="204"/>
      <c r="UWS27" s="204"/>
      <c r="UWT27" s="204"/>
      <c r="UWU27" s="204"/>
      <c r="UWV27" s="204"/>
      <c r="UWW27" s="204"/>
      <c r="UWX27" s="204"/>
      <c r="UWY27" s="204"/>
      <c r="UWZ27" s="204"/>
      <c r="UXA27" s="204"/>
      <c r="UXB27" s="204"/>
      <c r="UXC27" s="204"/>
      <c r="UXD27" s="204"/>
      <c r="UXE27" s="204"/>
      <c r="UXF27" s="204"/>
      <c r="UXG27" s="204"/>
      <c r="UXH27" s="204"/>
      <c r="UXI27" s="204"/>
      <c r="UXJ27" s="204"/>
      <c r="UXK27" s="204"/>
      <c r="UXL27" s="204"/>
      <c r="UXM27" s="204"/>
      <c r="UXN27" s="204"/>
      <c r="UXO27" s="204"/>
      <c r="UXP27" s="204"/>
      <c r="UXQ27" s="204"/>
      <c r="UXR27" s="204"/>
      <c r="UXS27" s="204"/>
      <c r="UXT27" s="204"/>
      <c r="UXU27" s="204"/>
      <c r="UXV27" s="204"/>
      <c r="UXW27" s="204"/>
      <c r="UXX27" s="204"/>
      <c r="UXY27" s="204"/>
      <c r="UXZ27" s="204"/>
      <c r="UYA27" s="204"/>
      <c r="UYB27" s="204"/>
      <c r="UYC27" s="204"/>
      <c r="UYD27" s="204"/>
      <c r="UYE27" s="204"/>
      <c r="UYF27" s="204"/>
      <c r="UYG27" s="204"/>
      <c r="UYH27" s="204"/>
      <c r="UYI27" s="204"/>
      <c r="UYJ27" s="204"/>
      <c r="UYK27" s="204"/>
      <c r="UYL27" s="204"/>
      <c r="UYM27" s="204"/>
      <c r="UYN27" s="204"/>
      <c r="UYO27" s="204"/>
      <c r="UYP27" s="204"/>
      <c r="UYQ27" s="204"/>
      <c r="UYR27" s="204"/>
      <c r="UYS27" s="204"/>
      <c r="UYT27" s="204"/>
      <c r="UYU27" s="204"/>
      <c r="UYV27" s="204"/>
      <c r="UYW27" s="204"/>
      <c r="UYX27" s="204"/>
      <c r="UYY27" s="204"/>
      <c r="UYZ27" s="204"/>
      <c r="UZA27" s="204"/>
      <c r="UZB27" s="204"/>
      <c r="UZC27" s="204"/>
      <c r="UZD27" s="204"/>
      <c r="UZE27" s="204"/>
      <c r="UZF27" s="204"/>
      <c r="UZG27" s="204"/>
      <c r="UZH27" s="204"/>
      <c r="UZI27" s="204"/>
      <c r="UZJ27" s="204"/>
      <c r="UZK27" s="204"/>
      <c r="UZL27" s="204"/>
      <c r="UZM27" s="204"/>
      <c r="UZN27" s="204"/>
      <c r="UZO27" s="204"/>
      <c r="UZP27" s="204"/>
      <c r="UZQ27" s="204"/>
      <c r="UZR27" s="204"/>
      <c r="UZS27" s="204"/>
      <c r="UZT27" s="204"/>
      <c r="UZU27" s="204"/>
      <c r="UZV27" s="204"/>
      <c r="UZW27" s="204"/>
      <c r="UZX27" s="204"/>
      <c r="UZY27" s="204"/>
      <c r="UZZ27" s="204"/>
      <c r="VAA27" s="204"/>
      <c r="VAB27" s="204"/>
      <c r="VAC27" s="204"/>
      <c r="VAD27" s="204"/>
      <c r="VAE27" s="204"/>
      <c r="VAF27" s="204"/>
      <c r="VAG27" s="204"/>
      <c r="VAH27" s="204"/>
      <c r="VAI27" s="204"/>
      <c r="VAJ27" s="204"/>
      <c r="VAK27" s="204"/>
      <c r="VAL27" s="204"/>
      <c r="VAM27" s="204"/>
      <c r="VAN27" s="204"/>
      <c r="VAO27" s="204"/>
      <c r="VAP27" s="204"/>
      <c r="VAQ27" s="204"/>
      <c r="VAR27" s="204"/>
      <c r="VAS27" s="204"/>
      <c r="VAT27" s="204"/>
      <c r="VAU27" s="204"/>
      <c r="VAV27" s="204"/>
      <c r="VAW27" s="204"/>
      <c r="VAX27" s="204"/>
      <c r="VAY27" s="204"/>
      <c r="VAZ27" s="204"/>
      <c r="VBA27" s="204"/>
      <c r="VBB27" s="204"/>
      <c r="VBC27" s="204"/>
      <c r="VBD27" s="204"/>
      <c r="VBE27" s="204"/>
      <c r="VBF27" s="204"/>
      <c r="VBG27" s="204"/>
      <c r="VBH27" s="204"/>
      <c r="VBI27" s="204"/>
      <c r="VBJ27" s="204"/>
      <c r="VBK27" s="204"/>
      <c r="VBL27" s="204"/>
      <c r="VBM27" s="204"/>
      <c r="VBN27" s="204"/>
      <c r="VBO27" s="204"/>
      <c r="VBP27" s="204"/>
      <c r="VBQ27" s="204"/>
      <c r="VBR27" s="204"/>
      <c r="VBS27" s="204"/>
      <c r="VBT27" s="204"/>
      <c r="VBU27" s="204"/>
      <c r="VBV27" s="204"/>
      <c r="VBW27" s="204"/>
      <c r="VBX27" s="204"/>
      <c r="VBY27" s="204"/>
      <c r="VBZ27" s="204"/>
      <c r="VCA27" s="204"/>
      <c r="VCB27" s="204"/>
      <c r="VCC27" s="204"/>
      <c r="VCD27" s="204"/>
      <c r="VCE27" s="204"/>
      <c r="VCF27" s="204"/>
      <c r="VCG27" s="204"/>
      <c r="VCH27" s="204"/>
      <c r="VCI27" s="204"/>
      <c r="VCJ27" s="204"/>
      <c r="VCK27" s="204"/>
      <c r="VCL27" s="204"/>
      <c r="VCM27" s="204"/>
      <c r="VCN27" s="204"/>
      <c r="VCO27" s="204"/>
      <c r="VCP27" s="204"/>
      <c r="VCQ27" s="204"/>
      <c r="VCR27" s="204"/>
      <c r="VCS27" s="204"/>
      <c r="VCT27" s="204"/>
      <c r="VCU27" s="204"/>
      <c r="VCV27" s="204"/>
      <c r="VCW27" s="204"/>
      <c r="VCX27" s="204"/>
      <c r="VCY27" s="204"/>
      <c r="VCZ27" s="204"/>
      <c r="VDA27" s="204"/>
      <c r="VDB27" s="204"/>
      <c r="VDC27" s="204"/>
      <c r="VDD27" s="204"/>
      <c r="VDE27" s="204"/>
      <c r="VDF27" s="204"/>
      <c r="VDG27" s="204"/>
      <c r="VDH27" s="204"/>
      <c r="VDI27" s="204"/>
      <c r="VDJ27" s="204"/>
      <c r="VDK27" s="204"/>
      <c r="VDL27" s="204"/>
      <c r="VDM27" s="204"/>
      <c r="VDN27" s="204"/>
      <c r="VDO27" s="204"/>
      <c r="VDP27" s="204"/>
      <c r="VDQ27" s="204"/>
      <c r="VDR27" s="204"/>
      <c r="VDS27" s="204"/>
      <c r="VDT27" s="204"/>
      <c r="VDU27" s="204"/>
      <c r="VDV27" s="204"/>
      <c r="VDW27" s="204"/>
      <c r="VDX27" s="204"/>
      <c r="VDY27" s="204"/>
      <c r="VDZ27" s="204"/>
      <c r="VEA27" s="204"/>
      <c r="VEB27" s="204"/>
      <c r="VEC27" s="204"/>
      <c r="VED27" s="204"/>
      <c r="VEE27" s="204"/>
      <c r="VEF27" s="204"/>
      <c r="VEG27" s="204"/>
      <c r="VEH27" s="204"/>
      <c r="VEI27" s="204"/>
      <c r="VEJ27" s="204"/>
      <c r="VEK27" s="204"/>
      <c r="VEL27" s="204"/>
      <c r="VEM27" s="204"/>
      <c r="VEN27" s="204"/>
      <c r="VEO27" s="204"/>
      <c r="VEP27" s="204"/>
      <c r="VEQ27" s="204"/>
      <c r="VER27" s="204"/>
      <c r="VES27" s="204"/>
      <c r="VET27" s="204"/>
      <c r="VEU27" s="204"/>
      <c r="VEV27" s="204"/>
      <c r="VEW27" s="204"/>
      <c r="VEX27" s="204"/>
      <c r="VEY27" s="204"/>
      <c r="VEZ27" s="204"/>
      <c r="VFA27" s="204"/>
      <c r="VFB27" s="204"/>
      <c r="VFC27" s="204"/>
      <c r="VFD27" s="204"/>
      <c r="VFE27" s="204"/>
      <c r="VFF27" s="204"/>
      <c r="VFG27" s="204"/>
      <c r="VFH27" s="204"/>
      <c r="VFI27" s="204"/>
      <c r="VFJ27" s="204"/>
      <c r="VFK27" s="204"/>
      <c r="VFL27" s="204"/>
      <c r="VFM27" s="204"/>
      <c r="VFN27" s="204"/>
      <c r="VFO27" s="204"/>
      <c r="VFP27" s="204"/>
      <c r="VFQ27" s="204"/>
      <c r="VFR27" s="204"/>
      <c r="VFS27" s="204"/>
      <c r="VFT27" s="204"/>
      <c r="VFU27" s="204"/>
      <c r="VFV27" s="204"/>
      <c r="VFW27" s="204"/>
      <c r="VFX27" s="204"/>
      <c r="VFY27" s="204"/>
      <c r="VFZ27" s="204"/>
      <c r="VGA27" s="204"/>
      <c r="VGB27" s="204"/>
      <c r="VGC27" s="204"/>
      <c r="VGD27" s="204"/>
      <c r="VGE27" s="204"/>
      <c r="VGF27" s="204"/>
      <c r="VGG27" s="204"/>
      <c r="VGH27" s="204"/>
      <c r="VGI27" s="204"/>
      <c r="VGJ27" s="204"/>
      <c r="VGK27" s="204"/>
      <c r="VGL27" s="204"/>
      <c r="VGM27" s="204"/>
      <c r="VGN27" s="204"/>
      <c r="VGO27" s="204"/>
      <c r="VGP27" s="204"/>
      <c r="VGQ27" s="204"/>
      <c r="VGR27" s="204"/>
      <c r="VGS27" s="204"/>
      <c r="VGT27" s="204"/>
      <c r="VGU27" s="204"/>
      <c r="VGV27" s="204"/>
      <c r="VGW27" s="204"/>
      <c r="VGX27" s="204"/>
      <c r="VGY27" s="204"/>
      <c r="VGZ27" s="204"/>
      <c r="VHA27" s="204"/>
      <c r="VHB27" s="204"/>
      <c r="VHC27" s="204"/>
      <c r="VHD27" s="204"/>
      <c r="VHE27" s="204"/>
      <c r="VHF27" s="204"/>
      <c r="VHG27" s="204"/>
      <c r="VHH27" s="204"/>
      <c r="VHI27" s="204"/>
      <c r="VHJ27" s="204"/>
      <c r="VHK27" s="204"/>
      <c r="VHL27" s="204"/>
      <c r="VHM27" s="204"/>
      <c r="VHN27" s="204"/>
      <c r="VHO27" s="204"/>
      <c r="VHP27" s="204"/>
      <c r="VHQ27" s="204"/>
      <c r="VHR27" s="204"/>
      <c r="VHS27" s="204"/>
      <c r="VHT27" s="204"/>
      <c r="VHU27" s="204"/>
      <c r="VHV27" s="204"/>
      <c r="VHW27" s="204"/>
      <c r="VHX27" s="204"/>
      <c r="VHY27" s="204"/>
      <c r="VHZ27" s="204"/>
      <c r="VIA27" s="204"/>
      <c r="VIB27" s="204"/>
      <c r="VIC27" s="204"/>
      <c r="VID27" s="204"/>
      <c r="VIE27" s="204"/>
      <c r="VIF27" s="204"/>
      <c r="VIG27" s="204"/>
      <c r="VIH27" s="204"/>
      <c r="VII27" s="204"/>
      <c r="VIJ27" s="204"/>
      <c r="VIK27" s="204"/>
      <c r="VIL27" s="204"/>
      <c r="VIM27" s="204"/>
      <c r="VIN27" s="204"/>
      <c r="VIO27" s="204"/>
      <c r="VIP27" s="204"/>
      <c r="VIQ27" s="204"/>
      <c r="VIR27" s="204"/>
      <c r="VIS27" s="204"/>
      <c r="VIT27" s="204"/>
      <c r="VIU27" s="204"/>
      <c r="VIV27" s="204"/>
      <c r="VIW27" s="204"/>
      <c r="VIX27" s="204"/>
      <c r="VIY27" s="204"/>
      <c r="VIZ27" s="204"/>
      <c r="VJA27" s="204"/>
      <c r="VJB27" s="204"/>
      <c r="VJC27" s="204"/>
      <c r="VJD27" s="204"/>
      <c r="VJE27" s="204"/>
      <c r="VJF27" s="204"/>
      <c r="VJG27" s="204"/>
      <c r="VJH27" s="204"/>
      <c r="VJI27" s="204"/>
      <c r="VJJ27" s="204"/>
      <c r="VJK27" s="204"/>
      <c r="VJL27" s="204"/>
      <c r="VJM27" s="204"/>
      <c r="VJN27" s="204"/>
      <c r="VJO27" s="204"/>
      <c r="VJP27" s="204"/>
      <c r="VJQ27" s="204"/>
      <c r="VJR27" s="204"/>
      <c r="VJS27" s="204"/>
      <c r="VJT27" s="204"/>
      <c r="VJU27" s="204"/>
      <c r="VJV27" s="204"/>
      <c r="VJW27" s="204"/>
      <c r="VJX27" s="204"/>
      <c r="VJY27" s="204"/>
      <c r="VJZ27" s="204"/>
      <c r="VKA27" s="204"/>
      <c r="VKB27" s="204"/>
      <c r="VKC27" s="204"/>
      <c r="VKD27" s="204"/>
      <c r="VKE27" s="204"/>
      <c r="VKF27" s="204"/>
      <c r="VKG27" s="204"/>
      <c r="VKH27" s="204"/>
      <c r="VKI27" s="204"/>
      <c r="VKJ27" s="204"/>
      <c r="VKK27" s="204"/>
      <c r="VKL27" s="204"/>
      <c r="VKM27" s="204"/>
      <c r="VKN27" s="204"/>
      <c r="VKO27" s="204"/>
      <c r="VKP27" s="204"/>
      <c r="VKQ27" s="204"/>
      <c r="VKR27" s="204"/>
      <c r="VKS27" s="204"/>
      <c r="VKT27" s="204"/>
      <c r="VKU27" s="204"/>
      <c r="VKV27" s="204"/>
      <c r="VKW27" s="204"/>
      <c r="VKX27" s="204"/>
      <c r="VKY27" s="204"/>
      <c r="VKZ27" s="204"/>
      <c r="VLA27" s="204"/>
      <c r="VLB27" s="204"/>
      <c r="VLC27" s="204"/>
      <c r="VLD27" s="204"/>
      <c r="VLE27" s="204"/>
      <c r="VLF27" s="204"/>
      <c r="VLG27" s="204"/>
      <c r="VLH27" s="204"/>
      <c r="VLI27" s="204"/>
      <c r="VLJ27" s="204"/>
      <c r="VLK27" s="204"/>
      <c r="VLL27" s="204"/>
      <c r="VLM27" s="204"/>
      <c r="VLN27" s="204"/>
      <c r="VLO27" s="204"/>
      <c r="VLP27" s="204"/>
      <c r="VLQ27" s="204"/>
      <c r="VLR27" s="204"/>
      <c r="VLS27" s="204"/>
      <c r="VLT27" s="204"/>
      <c r="VLU27" s="204"/>
      <c r="VLV27" s="204"/>
      <c r="VLW27" s="204"/>
      <c r="VLX27" s="204"/>
      <c r="VLY27" s="204"/>
      <c r="VLZ27" s="204"/>
      <c r="VMA27" s="204"/>
      <c r="VMB27" s="204"/>
      <c r="VMC27" s="204"/>
      <c r="VMD27" s="204"/>
      <c r="VME27" s="204"/>
      <c r="VMF27" s="204"/>
      <c r="VMG27" s="204"/>
      <c r="VMH27" s="204"/>
      <c r="VMI27" s="204"/>
      <c r="VMJ27" s="204"/>
      <c r="VMK27" s="204"/>
      <c r="VML27" s="204"/>
      <c r="VMM27" s="204"/>
      <c r="VMN27" s="204"/>
      <c r="VMO27" s="204"/>
      <c r="VMP27" s="204"/>
      <c r="VMQ27" s="204"/>
      <c r="VMR27" s="204"/>
      <c r="VMS27" s="204"/>
      <c r="VMT27" s="204"/>
      <c r="VMU27" s="204"/>
      <c r="VMV27" s="204"/>
      <c r="VMW27" s="204"/>
      <c r="VMX27" s="204"/>
      <c r="VMY27" s="204"/>
      <c r="VMZ27" s="204"/>
      <c r="VNA27" s="204"/>
      <c r="VNB27" s="204"/>
      <c r="VNC27" s="204"/>
      <c r="VND27" s="204"/>
      <c r="VNE27" s="204"/>
      <c r="VNF27" s="204"/>
      <c r="VNG27" s="204"/>
      <c r="VNH27" s="204"/>
      <c r="VNI27" s="204"/>
      <c r="VNJ27" s="204"/>
      <c r="VNK27" s="204"/>
      <c r="VNL27" s="204"/>
      <c r="VNM27" s="204"/>
      <c r="VNN27" s="204"/>
      <c r="VNO27" s="204"/>
      <c r="VNP27" s="204"/>
      <c r="VNQ27" s="204"/>
      <c r="VNR27" s="204"/>
      <c r="VNS27" s="204"/>
      <c r="VNT27" s="204"/>
      <c r="VNU27" s="204"/>
      <c r="VNV27" s="204"/>
      <c r="VNW27" s="204"/>
      <c r="VNX27" s="204"/>
      <c r="VNY27" s="204"/>
      <c r="VNZ27" s="204"/>
      <c r="VOA27" s="204"/>
      <c r="VOB27" s="204"/>
      <c r="VOC27" s="204"/>
      <c r="VOD27" s="204"/>
      <c r="VOE27" s="204"/>
      <c r="VOF27" s="204"/>
      <c r="VOG27" s="204"/>
      <c r="VOH27" s="204"/>
      <c r="VOI27" s="204"/>
      <c r="VOJ27" s="204"/>
      <c r="VOK27" s="204"/>
      <c r="VOL27" s="204"/>
      <c r="VOM27" s="204"/>
      <c r="VON27" s="204"/>
      <c r="VOO27" s="204"/>
      <c r="VOP27" s="204"/>
      <c r="VOQ27" s="204"/>
      <c r="VOR27" s="204"/>
      <c r="VOS27" s="204"/>
      <c r="VOT27" s="204"/>
      <c r="VOU27" s="204"/>
      <c r="VOV27" s="204"/>
      <c r="VOW27" s="204"/>
      <c r="VOX27" s="204"/>
      <c r="VOY27" s="204"/>
      <c r="VOZ27" s="204"/>
      <c r="VPA27" s="204"/>
      <c r="VPB27" s="204"/>
      <c r="VPC27" s="204"/>
      <c r="VPD27" s="204"/>
      <c r="VPE27" s="204"/>
      <c r="VPF27" s="204"/>
      <c r="VPG27" s="204"/>
      <c r="VPH27" s="204"/>
      <c r="VPI27" s="204"/>
      <c r="VPJ27" s="204"/>
      <c r="VPK27" s="204"/>
      <c r="VPL27" s="204"/>
      <c r="VPM27" s="204"/>
      <c r="VPN27" s="204"/>
      <c r="VPO27" s="204"/>
      <c r="VPP27" s="204"/>
      <c r="VPQ27" s="204"/>
      <c r="VPR27" s="204"/>
      <c r="VPS27" s="204"/>
      <c r="VPT27" s="204"/>
      <c r="VPU27" s="204"/>
      <c r="VPV27" s="204"/>
      <c r="VPW27" s="204"/>
      <c r="VPX27" s="204"/>
      <c r="VPY27" s="204"/>
      <c r="VPZ27" s="204"/>
      <c r="VQA27" s="204"/>
      <c r="VQB27" s="204"/>
      <c r="VQC27" s="204"/>
      <c r="VQD27" s="204"/>
      <c r="VQE27" s="204"/>
      <c r="VQF27" s="204"/>
      <c r="VQG27" s="204"/>
      <c r="VQH27" s="204"/>
      <c r="VQI27" s="204"/>
      <c r="VQJ27" s="204"/>
      <c r="VQK27" s="204"/>
      <c r="VQL27" s="204"/>
      <c r="VQM27" s="204"/>
      <c r="VQN27" s="204"/>
      <c r="VQO27" s="204"/>
      <c r="VQP27" s="204"/>
      <c r="VQQ27" s="204"/>
      <c r="VQR27" s="204"/>
      <c r="VQS27" s="204"/>
      <c r="VQT27" s="204"/>
      <c r="VQU27" s="204"/>
      <c r="VQV27" s="204"/>
      <c r="VQW27" s="204"/>
      <c r="VQX27" s="204"/>
      <c r="VQY27" s="204"/>
      <c r="VQZ27" s="204"/>
      <c r="VRA27" s="204"/>
      <c r="VRB27" s="204"/>
      <c r="VRC27" s="204"/>
      <c r="VRD27" s="204"/>
      <c r="VRE27" s="204"/>
      <c r="VRF27" s="204"/>
      <c r="VRG27" s="204"/>
      <c r="VRH27" s="204"/>
      <c r="VRI27" s="204"/>
      <c r="VRJ27" s="204"/>
      <c r="VRK27" s="204"/>
      <c r="VRL27" s="204"/>
      <c r="VRM27" s="204"/>
      <c r="VRN27" s="204"/>
      <c r="VRO27" s="204"/>
      <c r="VRP27" s="204"/>
      <c r="VRQ27" s="204"/>
      <c r="VRR27" s="204"/>
      <c r="VRS27" s="204"/>
      <c r="VRT27" s="204"/>
      <c r="VRU27" s="204"/>
      <c r="VRV27" s="204"/>
      <c r="VRW27" s="204"/>
      <c r="VRX27" s="204"/>
      <c r="VRY27" s="204"/>
      <c r="VRZ27" s="204"/>
      <c r="VSA27" s="204"/>
      <c r="VSB27" s="204"/>
      <c r="VSC27" s="204"/>
      <c r="VSD27" s="204"/>
      <c r="VSE27" s="204"/>
      <c r="VSF27" s="204"/>
      <c r="VSG27" s="204"/>
      <c r="VSH27" s="204"/>
      <c r="VSI27" s="204"/>
      <c r="VSJ27" s="204"/>
      <c r="VSK27" s="204"/>
      <c r="VSL27" s="204"/>
      <c r="VSM27" s="204"/>
      <c r="VSN27" s="204"/>
      <c r="VSO27" s="204"/>
      <c r="VSP27" s="204"/>
      <c r="VSQ27" s="204"/>
      <c r="VSR27" s="204"/>
      <c r="VSS27" s="204"/>
      <c r="VST27" s="204"/>
      <c r="VSU27" s="204"/>
      <c r="VSV27" s="204"/>
      <c r="VSW27" s="204"/>
      <c r="VSX27" s="204"/>
      <c r="VSY27" s="204"/>
      <c r="VSZ27" s="204"/>
      <c r="VTA27" s="204"/>
      <c r="VTB27" s="204"/>
      <c r="VTC27" s="204"/>
      <c r="VTD27" s="204"/>
      <c r="VTE27" s="204"/>
      <c r="VTF27" s="204"/>
      <c r="VTG27" s="204"/>
      <c r="VTH27" s="204"/>
      <c r="VTI27" s="204"/>
      <c r="VTJ27" s="204"/>
      <c r="VTK27" s="204"/>
      <c r="VTL27" s="204"/>
      <c r="VTM27" s="204"/>
      <c r="VTN27" s="204"/>
      <c r="VTO27" s="204"/>
      <c r="VTP27" s="204"/>
      <c r="VTQ27" s="204"/>
      <c r="VTR27" s="204"/>
      <c r="VTS27" s="204"/>
      <c r="VTT27" s="204"/>
      <c r="VTU27" s="204"/>
      <c r="VTV27" s="204"/>
      <c r="VTW27" s="204"/>
      <c r="VTX27" s="204"/>
      <c r="VTY27" s="204"/>
      <c r="VTZ27" s="204"/>
      <c r="VUA27" s="204"/>
      <c r="VUB27" s="204"/>
      <c r="VUC27" s="204"/>
      <c r="VUD27" s="204"/>
      <c r="VUE27" s="204"/>
      <c r="VUF27" s="204"/>
      <c r="VUG27" s="204"/>
      <c r="VUH27" s="204"/>
      <c r="VUI27" s="204"/>
      <c r="VUJ27" s="204"/>
      <c r="VUK27" s="204"/>
      <c r="VUL27" s="204"/>
      <c r="VUM27" s="204"/>
      <c r="VUN27" s="204"/>
      <c r="VUO27" s="204"/>
      <c r="VUP27" s="204"/>
      <c r="VUQ27" s="204"/>
      <c r="VUR27" s="204"/>
      <c r="VUS27" s="204"/>
      <c r="VUT27" s="204"/>
      <c r="VUU27" s="204"/>
      <c r="VUV27" s="204"/>
      <c r="VUW27" s="204"/>
      <c r="VUX27" s="204"/>
      <c r="VUY27" s="204"/>
      <c r="VUZ27" s="204"/>
      <c r="VVA27" s="204"/>
      <c r="VVB27" s="204"/>
      <c r="VVC27" s="204"/>
      <c r="VVD27" s="204"/>
      <c r="VVE27" s="204"/>
      <c r="VVF27" s="204"/>
      <c r="VVG27" s="204"/>
      <c r="VVH27" s="204"/>
      <c r="VVI27" s="204"/>
      <c r="VVJ27" s="204"/>
      <c r="VVK27" s="204"/>
      <c r="VVL27" s="204"/>
      <c r="VVM27" s="204"/>
      <c r="VVN27" s="204"/>
      <c r="VVO27" s="204"/>
      <c r="VVP27" s="204"/>
      <c r="VVQ27" s="204"/>
      <c r="VVR27" s="204"/>
      <c r="VVS27" s="204"/>
      <c r="VVT27" s="204"/>
      <c r="VVU27" s="204"/>
      <c r="VVV27" s="204"/>
      <c r="VVW27" s="204"/>
      <c r="VVX27" s="204"/>
      <c r="VVY27" s="204"/>
      <c r="VVZ27" s="204"/>
      <c r="VWA27" s="204"/>
      <c r="VWB27" s="204"/>
      <c r="VWC27" s="204"/>
      <c r="VWD27" s="204"/>
      <c r="VWE27" s="204"/>
      <c r="VWF27" s="204"/>
      <c r="VWG27" s="204"/>
      <c r="VWH27" s="204"/>
      <c r="VWI27" s="204"/>
      <c r="VWJ27" s="204"/>
      <c r="VWK27" s="204"/>
      <c r="VWL27" s="204"/>
      <c r="VWM27" s="204"/>
      <c r="VWN27" s="204"/>
      <c r="VWO27" s="204"/>
      <c r="VWP27" s="204"/>
      <c r="VWQ27" s="204"/>
      <c r="VWR27" s="204"/>
      <c r="VWS27" s="204"/>
      <c r="VWT27" s="204"/>
      <c r="VWU27" s="204"/>
      <c r="VWV27" s="204"/>
      <c r="VWW27" s="204"/>
      <c r="VWX27" s="204"/>
      <c r="VWY27" s="204"/>
      <c r="VWZ27" s="204"/>
      <c r="VXA27" s="204"/>
      <c r="VXB27" s="204"/>
      <c r="VXC27" s="204"/>
      <c r="VXD27" s="204"/>
      <c r="VXE27" s="204"/>
      <c r="VXF27" s="204"/>
      <c r="VXG27" s="204"/>
      <c r="VXH27" s="204"/>
      <c r="VXI27" s="204"/>
      <c r="VXJ27" s="204"/>
      <c r="VXK27" s="204"/>
      <c r="VXL27" s="204"/>
      <c r="VXM27" s="204"/>
      <c r="VXN27" s="204"/>
      <c r="VXO27" s="204"/>
      <c r="VXP27" s="204"/>
      <c r="VXQ27" s="204"/>
      <c r="VXR27" s="204"/>
      <c r="VXS27" s="204"/>
      <c r="VXT27" s="204"/>
      <c r="VXU27" s="204"/>
      <c r="VXV27" s="204"/>
      <c r="VXW27" s="204"/>
      <c r="VXX27" s="204"/>
      <c r="VXY27" s="204"/>
      <c r="VXZ27" s="204"/>
      <c r="VYA27" s="204"/>
      <c r="VYB27" s="204"/>
      <c r="VYC27" s="204"/>
      <c r="VYD27" s="204"/>
      <c r="VYE27" s="204"/>
      <c r="VYF27" s="204"/>
      <c r="VYG27" s="204"/>
      <c r="VYH27" s="204"/>
      <c r="VYI27" s="204"/>
      <c r="VYJ27" s="204"/>
      <c r="VYK27" s="204"/>
      <c r="VYL27" s="204"/>
      <c r="VYM27" s="204"/>
      <c r="VYN27" s="204"/>
      <c r="VYO27" s="204"/>
      <c r="VYP27" s="204"/>
      <c r="VYQ27" s="204"/>
      <c r="VYR27" s="204"/>
      <c r="VYS27" s="204"/>
      <c r="VYT27" s="204"/>
      <c r="VYU27" s="204"/>
      <c r="VYV27" s="204"/>
      <c r="VYW27" s="204"/>
      <c r="VYX27" s="204"/>
      <c r="VYY27" s="204"/>
      <c r="VYZ27" s="204"/>
      <c r="VZA27" s="204"/>
      <c r="VZB27" s="204"/>
      <c r="VZC27" s="204"/>
      <c r="VZD27" s="204"/>
      <c r="VZE27" s="204"/>
      <c r="VZF27" s="204"/>
      <c r="VZG27" s="204"/>
      <c r="VZH27" s="204"/>
      <c r="VZI27" s="204"/>
      <c r="VZJ27" s="204"/>
      <c r="VZK27" s="204"/>
      <c r="VZL27" s="204"/>
      <c r="VZM27" s="204"/>
      <c r="VZN27" s="204"/>
      <c r="VZO27" s="204"/>
      <c r="VZP27" s="204"/>
      <c r="VZQ27" s="204"/>
      <c r="VZR27" s="204"/>
      <c r="VZS27" s="204"/>
      <c r="VZT27" s="204"/>
      <c r="VZU27" s="204"/>
      <c r="VZV27" s="204"/>
      <c r="VZW27" s="204"/>
      <c r="VZX27" s="204"/>
      <c r="VZY27" s="204"/>
      <c r="VZZ27" s="204"/>
      <c r="WAA27" s="204"/>
      <c r="WAB27" s="204"/>
      <c r="WAC27" s="204"/>
      <c r="WAD27" s="204"/>
      <c r="WAE27" s="204"/>
      <c r="WAF27" s="204"/>
      <c r="WAG27" s="204"/>
      <c r="WAH27" s="204"/>
      <c r="WAI27" s="204"/>
      <c r="WAJ27" s="204"/>
      <c r="WAK27" s="204"/>
      <c r="WAL27" s="204"/>
      <c r="WAM27" s="204"/>
      <c r="WAN27" s="204"/>
      <c r="WAO27" s="204"/>
      <c r="WAP27" s="204"/>
      <c r="WAQ27" s="204"/>
      <c r="WAR27" s="204"/>
      <c r="WAS27" s="204"/>
      <c r="WAT27" s="204"/>
      <c r="WAU27" s="204"/>
      <c r="WAV27" s="204"/>
      <c r="WAW27" s="204"/>
      <c r="WAX27" s="204"/>
      <c r="WAY27" s="204"/>
      <c r="WAZ27" s="204"/>
      <c r="WBA27" s="204"/>
      <c r="WBB27" s="204"/>
      <c r="WBC27" s="204"/>
      <c r="WBD27" s="204"/>
      <c r="WBE27" s="204"/>
      <c r="WBF27" s="204"/>
      <c r="WBG27" s="204"/>
      <c r="WBH27" s="204"/>
      <c r="WBI27" s="204"/>
      <c r="WBJ27" s="204"/>
      <c r="WBK27" s="204"/>
      <c r="WBL27" s="204"/>
      <c r="WBM27" s="204"/>
      <c r="WBN27" s="204"/>
      <c r="WBO27" s="204"/>
      <c r="WBP27" s="204"/>
      <c r="WBQ27" s="204"/>
      <c r="WBR27" s="204"/>
      <c r="WBS27" s="204"/>
      <c r="WBT27" s="204"/>
      <c r="WBU27" s="204"/>
      <c r="WBV27" s="204"/>
      <c r="WBW27" s="204"/>
      <c r="WBX27" s="204"/>
      <c r="WBY27" s="204"/>
      <c r="WBZ27" s="204"/>
      <c r="WCA27" s="204"/>
      <c r="WCB27" s="204"/>
      <c r="WCC27" s="204"/>
      <c r="WCD27" s="204"/>
      <c r="WCE27" s="204"/>
      <c r="WCF27" s="204"/>
      <c r="WCG27" s="204"/>
      <c r="WCH27" s="204"/>
      <c r="WCI27" s="204"/>
      <c r="WCJ27" s="204"/>
      <c r="WCK27" s="204"/>
      <c r="WCL27" s="204"/>
      <c r="WCM27" s="204"/>
      <c r="WCN27" s="204"/>
      <c r="WCO27" s="204"/>
      <c r="WCP27" s="204"/>
      <c r="WCQ27" s="204"/>
      <c r="WCR27" s="204"/>
      <c r="WCS27" s="204"/>
      <c r="WCT27" s="204"/>
      <c r="WCU27" s="204"/>
      <c r="WCV27" s="204"/>
      <c r="WCW27" s="204"/>
      <c r="WCX27" s="204"/>
      <c r="WCY27" s="204"/>
      <c r="WCZ27" s="204"/>
      <c r="WDA27" s="204"/>
      <c r="WDB27" s="204"/>
      <c r="WDC27" s="204"/>
      <c r="WDD27" s="204"/>
      <c r="WDE27" s="204"/>
      <c r="WDF27" s="204"/>
      <c r="WDG27" s="204"/>
      <c r="WDH27" s="204"/>
      <c r="WDI27" s="204"/>
      <c r="WDJ27" s="204"/>
      <c r="WDK27" s="204"/>
      <c r="WDL27" s="204"/>
      <c r="WDM27" s="204"/>
      <c r="WDN27" s="204"/>
      <c r="WDO27" s="204"/>
      <c r="WDP27" s="204"/>
      <c r="WDQ27" s="204"/>
      <c r="WDR27" s="204"/>
      <c r="WDS27" s="204"/>
      <c r="WDT27" s="204"/>
      <c r="WDU27" s="204"/>
      <c r="WDV27" s="204"/>
      <c r="WDW27" s="204"/>
      <c r="WDX27" s="204"/>
      <c r="WDY27" s="204"/>
      <c r="WDZ27" s="204"/>
      <c r="WEA27" s="204"/>
      <c r="WEB27" s="204"/>
      <c r="WEC27" s="204"/>
      <c r="WED27" s="204"/>
      <c r="WEE27" s="204"/>
      <c r="WEF27" s="204"/>
      <c r="WEG27" s="204"/>
      <c r="WEH27" s="204"/>
      <c r="WEI27" s="204"/>
      <c r="WEJ27" s="204"/>
      <c r="WEK27" s="204"/>
      <c r="WEL27" s="204"/>
      <c r="WEM27" s="204"/>
      <c r="WEN27" s="204"/>
      <c r="WEO27" s="204"/>
      <c r="WEP27" s="204"/>
      <c r="WEQ27" s="204"/>
      <c r="WER27" s="204"/>
      <c r="WES27" s="204"/>
      <c r="WET27" s="204"/>
      <c r="WEU27" s="204"/>
      <c r="WEV27" s="204"/>
      <c r="WEW27" s="204"/>
      <c r="WEX27" s="204"/>
      <c r="WEY27" s="204"/>
      <c r="WEZ27" s="204"/>
      <c r="WFA27" s="204"/>
      <c r="WFB27" s="204"/>
      <c r="WFC27" s="204"/>
      <c r="WFD27" s="204"/>
      <c r="WFE27" s="204"/>
      <c r="WFF27" s="204"/>
      <c r="WFG27" s="204"/>
      <c r="WFH27" s="204"/>
      <c r="WFI27" s="204"/>
      <c r="WFJ27" s="204"/>
      <c r="WFK27" s="204"/>
      <c r="WFL27" s="204"/>
      <c r="WFM27" s="204"/>
      <c r="WFN27" s="204"/>
      <c r="WFO27" s="204"/>
      <c r="WFP27" s="204"/>
      <c r="WFQ27" s="204"/>
      <c r="WFR27" s="204"/>
      <c r="WFS27" s="204"/>
      <c r="WFT27" s="204"/>
      <c r="WFU27" s="204"/>
      <c r="WFV27" s="204"/>
      <c r="WFW27" s="204"/>
      <c r="WFX27" s="204"/>
      <c r="WFY27" s="204"/>
      <c r="WFZ27" s="204"/>
      <c r="WGA27" s="204"/>
      <c r="WGB27" s="204"/>
      <c r="WGC27" s="204"/>
      <c r="WGD27" s="204"/>
      <c r="WGE27" s="204"/>
      <c r="WGF27" s="204"/>
      <c r="WGG27" s="204"/>
      <c r="WGH27" s="204"/>
      <c r="WGI27" s="204"/>
      <c r="WGJ27" s="204"/>
      <c r="WGK27" s="204"/>
      <c r="WGL27" s="204"/>
      <c r="WGM27" s="204"/>
      <c r="WGN27" s="204"/>
      <c r="WGO27" s="204"/>
      <c r="WGP27" s="204"/>
      <c r="WGQ27" s="204"/>
      <c r="WGR27" s="204"/>
      <c r="WGS27" s="204"/>
      <c r="WGT27" s="204"/>
      <c r="WGU27" s="204"/>
      <c r="WGV27" s="204"/>
      <c r="WGW27" s="204"/>
      <c r="WGX27" s="204"/>
      <c r="WGY27" s="204"/>
      <c r="WGZ27" s="204"/>
      <c r="WHA27" s="204"/>
      <c r="WHB27" s="204"/>
      <c r="WHC27" s="204"/>
      <c r="WHD27" s="204"/>
      <c r="WHE27" s="204"/>
      <c r="WHF27" s="204"/>
      <c r="WHG27" s="204"/>
      <c r="WHH27" s="204"/>
      <c r="WHI27" s="204"/>
      <c r="WHJ27" s="204"/>
      <c r="WHK27" s="204"/>
      <c r="WHL27" s="204"/>
      <c r="WHM27" s="204"/>
      <c r="WHN27" s="204"/>
      <c r="WHO27" s="204"/>
      <c r="WHP27" s="204"/>
      <c r="WHQ27" s="204"/>
      <c r="WHR27" s="204"/>
      <c r="WHS27" s="204"/>
      <c r="WHT27" s="204"/>
      <c r="WHU27" s="204"/>
      <c r="WHV27" s="204"/>
      <c r="WHW27" s="204"/>
      <c r="WHX27" s="204"/>
      <c r="WHY27" s="204"/>
      <c r="WHZ27" s="204"/>
      <c r="WIA27" s="204"/>
      <c r="WIB27" s="204"/>
      <c r="WIC27" s="204"/>
      <c r="WID27" s="204"/>
      <c r="WIE27" s="204"/>
      <c r="WIF27" s="204"/>
      <c r="WIG27" s="204"/>
      <c r="WIH27" s="204"/>
      <c r="WII27" s="204"/>
      <c r="WIJ27" s="204"/>
      <c r="WIK27" s="204"/>
      <c r="WIL27" s="204"/>
      <c r="WIM27" s="204"/>
      <c r="WIN27" s="204"/>
      <c r="WIO27" s="204"/>
      <c r="WIP27" s="204"/>
      <c r="WIQ27" s="204"/>
      <c r="WIR27" s="204"/>
      <c r="WIS27" s="204"/>
      <c r="WIT27" s="204"/>
      <c r="WIU27" s="204"/>
      <c r="WIV27" s="204"/>
      <c r="WIW27" s="204"/>
      <c r="WIX27" s="204"/>
      <c r="WIY27" s="204"/>
      <c r="WIZ27" s="204"/>
      <c r="WJA27" s="204"/>
      <c r="WJB27" s="204"/>
      <c r="WJC27" s="204"/>
      <c r="WJD27" s="204"/>
      <c r="WJE27" s="204"/>
      <c r="WJF27" s="204"/>
      <c r="WJG27" s="204"/>
      <c r="WJH27" s="204"/>
      <c r="WJI27" s="204"/>
      <c r="WJJ27" s="204"/>
      <c r="WJK27" s="204"/>
      <c r="WJL27" s="204"/>
      <c r="WJM27" s="204"/>
      <c r="WJN27" s="204"/>
      <c r="WJO27" s="204"/>
      <c r="WJP27" s="204"/>
      <c r="WJQ27" s="204"/>
      <c r="WJR27" s="204"/>
      <c r="WJS27" s="204"/>
      <c r="WJT27" s="204"/>
      <c r="WJU27" s="204"/>
      <c r="WJV27" s="204"/>
      <c r="WJW27" s="204"/>
      <c r="WJX27" s="204"/>
      <c r="WJY27" s="204"/>
      <c r="WJZ27" s="204"/>
      <c r="WKA27" s="204"/>
      <c r="WKB27" s="204"/>
      <c r="WKC27" s="204"/>
      <c r="WKD27" s="204"/>
      <c r="WKE27" s="204"/>
      <c r="WKF27" s="204"/>
      <c r="WKG27" s="204"/>
      <c r="WKH27" s="204"/>
      <c r="WKI27" s="204"/>
      <c r="WKJ27" s="204"/>
      <c r="WKK27" s="204"/>
      <c r="WKL27" s="204"/>
      <c r="WKM27" s="204"/>
      <c r="WKN27" s="204"/>
      <c r="WKO27" s="204"/>
      <c r="WKP27" s="204"/>
      <c r="WKQ27" s="204"/>
      <c r="WKR27" s="204"/>
      <c r="WKS27" s="204"/>
      <c r="WKT27" s="204"/>
      <c r="WKU27" s="204"/>
      <c r="WKV27" s="204"/>
      <c r="WKW27" s="204"/>
      <c r="WKX27" s="204"/>
      <c r="WKY27" s="204"/>
      <c r="WKZ27" s="204"/>
      <c r="WLA27" s="204"/>
      <c r="WLB27" s="204"/>
      <c r="WLC27" s="204"/>
      <c r="WLD27" s="204"/>
      <c r="WLE27" s="204"/>
      <c r="WLF27" s="204"/>
      <c r="WLG27" s="204"/>
      <c r="WLH27" s="204"/>
      <c r="WLI27" s="204"/>
      <c r="WLJ27" s="204"/>
      <c r="WLK27" s="204"/>
      <c r="WLL27" s="204"/>
      <c r="WLM27" s="204"/>
      <c r="WLN27" s="204"/>
      <c r="WLO27" s="204"/>
      <c r="WLP27" s="204"/>
      <c r="WLQ27" s="204"/>
      <c r="WLR27" s="204"/>
      <c r="WLS27" s="204"/>
      <c r="WLT27" s="204"/>
      <c r="WLU27" s="204"/>
      <c r="WLV27" s="204"/>
      <c r="WLW27" s="204"/>
      <c r="WLX27" s="204"/>
      <c r="WLY27" s="204"/>
      <c r="WLZ27" s="204"/>
      <c r="WMA27" s="204"/>
      <c r="WMB27" s="204"/>
      <c r="WMC27" s="204"/>
      <c r="WMD27" s="204"/>
      <c r="WME27" s="204"/>
      <c r="WMF27" s="204"/>
      <c r="WMG27" s="204"/>
      <c r="WMH27" s="204"/>
      <c r="WMI27" s="204"/>
      <c r="WMJ27" s="204"/>
      <c r="WMK27" s="204"/>
      <c r="WML27" s="204"/>
      <c r="WMM27" s="204"/>
      <c r="WMN27" s="204"/>
      <c r="WMO27" s="204"/>
      <c r="WMP27" s="204"/>
      <c r="WMQ27" s="204"/>
      <c r="WMR27" s="204"/>
      <c r="WMS27" s="204"/>
      <c r="WMT27" s="204"/>
      <c r="WMU27" s="204"/>
      <c r="WMV27" s="204"/>
      <c r="WMW27" s="204"/>
      <c r="WMX27" s="204"/>
      <c r="WMY27" s="204"/>
      <c r="WMZ27" s="204"/>
      <c r="WNA27" s="204"/>
      <c r="WNB27" s="204"/>
      <c r="WNC27" s="204"/>
      <c r="WND27" s="204"/>
      <c r="WNE27" s="204"/>
      <c r="WNF27" s="204"/>
      <c r="WNG27" s="204"/>
      <c r="WNH27" s="204"/>
      <c r="WNI27" s="204"/>
      <c r="WNJ27" s="204"/>
      <c r="WNK27" s="204"/>
      <c r="WNL27" s="204"/>
      <c r="WNM27" s="204"/>
      <c r="WNN27" s="204"/>
      <c r="WNO27" s="204"/>
      <c r="WNP27" s="204"/>
      <c r="WNQ27" s="204"/>
      <c r="WNR27" s="204"/>
      <c r="WNS27" s="204"/>
      <c r="WNT27" s="204"/>
      <c r="WNU27" s="204"/>
      <c r="WNV27" s="204"/>
      <c r="WNW27" s="204"/>
      <c r="WNX27" s="204"/>
      <c r="WNY27" s="204"/>
      <c r="WNZ27" s="204"/>
      <c r="WOA27" s="204"/>
      <c r="WOB27" s="204"/>
      <c r="WOC27" s="204"/>
      <c r="WOD27" s="204"/>
      <c r="WOE27" s="204"/>
      <c r="WOF27" s="204"/>
      <c r="WOG27" s="204"/>
      <c r="WOH27" s="204"/>
      <c r="WOI27" s="204"/>
      <c r="WOJ27" s="204"/>
      <c r="WOK27" s="204"/>
      <c r="WOL27" s="204"/>
      <c r="WOM27" s="204"/>
      <c r="WON27" s="204"/>
      <c r="WOO27" s="204"/>
      <c r="WOP27" s="204"/>
      <c r="WOQ27" s="204"/>
      <c r="WOR27" s="204"/>
      <c r="WOS27" s="204"/>
      <c r="WOT27" s="204"/>
      <c r="WOU27" s="204"/>
      <c r="WOV27" s="204"/>
      <c r="WOW27" s="204"/>
      <c r="WOX27" s="204"/>
      <c r="WOY27" s="204"/>
      <c r="WOZ27" s="204"/>
      <c r="WPA27" s="204"/>
      <c r="WPB27" s="204"/>
      <c r="WPC27" s="204"/>
      <c r="WPD27" s="204"/>
      <c r="WPE27" s="204"/>
      <c r="WPF27" s="204"/>
      <c r="WPG27" s="204"/>
      <c r="WPH27" s="204"/>
      <c r="WPI27" s="204"/>
      <c r="WPJ27" s="204"/>
      <c r="WPK27" s="204"/>
      <c r="WPL27" s="204"/>
      <c r="WPM27" s="204"/>
      <c r="WPN27" s="204"/>
      <c r="WPO27" s="204"/>
      <c r="WPP27" s="204"/>
      <c r="WPQ27" s="204"/>
      <c r="WPR27" s="204"/>
      <c r="WPS27" s="204"/>
      <c r="WPT27" s="204"/>
      <c r="WPU27" s="204"/>
      <c r="WPV27" s="204"/>
      <c r="WPW27" s="204"/>
      <c r="WPX27" s="204"/>
      <c r="WPY27" s="204"/>
      <c r="WPZ27" s="204"/>
      <c r="WQA27" s="204"/>
      <c r="WQB27" s="204"/>
      <c r="WQC27" s="204"/>
      <c r="WQD27" s="204"/>
      <c r="WQE27" s="204"/>
      <c r="WQF27" s="204"/>
      <c r="WQG27" s="204"/>
      <c r="WQH27" s="204"/>
      <c r="WQI27" s="204"/>
      <c r="WQJ27" s="204"/>
      <c r="WQK27" s="204"/>
      <c r="WQL27" s="204"/>
      <c r="WQM27" s="204"/>
      <c r="WQN27" s="204"/>
      <c r="WQO27" s="204"/>
      <c r="WQP27" s="204"/>
      <c r="WQQ27" s="204"/>
      <c r="WQR27" s="204"/>
      <c r="WQS27" s="204"/>
      <c r="WQT27" s="204"/>
      <c r="WQU27" s="204"/>
      <c r="WQV27" s="204"/>
      <c r="WQW27" s="204"/>
      <c r="WQX27" s="204"/>
      <c r="WQY27" s="204"/>
      <c r="WQZ27" s="204"/>
      <c r="WRA27" s="204"/>
      <c r="WRB27" s="204"/>
      <c r="WRC27" s="204"/>
      <c r="WRD27" s="204"/>
      <c r="WRE27" s="204"/>
      <c r="WRF27" s="204"/>
      <c r="WRG27" s="204"/>
      <c r="WRH27" s="204"/>
      <c r="WRI27" s="204"/>
      <c r="WRJ27" s="204"/>
      <c r="WRK27" s="204"/>
      <c r="WRL27" s="204"/>
      <c r="WRM27" s="204"/>
      <c r="WRN27" s="204"/>
      <c r="WRO27" s="204"/>
      <c r="WRP27" s="204"/>
      <c r="WRQ27" s="204"/>
      <c r="WRR27" s="204"/>
      <c r="WRS27" s="204"/>
      <c r="WRT27" s="204"/>
      <c r="WRU27" s="204"/>
      <c r="WRV27" s="204"/>
      <c r="WRW27" s="204"/>
      <c r="WRX27" s="204"/>
      <c r="WRY27" s="204"/>
      <c r="WRZ27" s="204"/>
      <c r="WSA27" s="204"/>
      <c r="WSB27" s="204"/>
      <c r="WSC27" s="204"/>
      <c r="WSD27" s="204"/>
      <c r="WSE27" s="204"/>
      <c r="WSF27" s="204"/>
      <c r="WSG27" s="204"/>
      <c r="WSH27" s="204"/>
      <c r="WSI27" s="204"/>
      <c r="WSJ27" s="204"/>
      <c r="WSK27" s="204"/>
      <c r="WSL27" s="204"/>
      <c r="WSM27" s="204"/>
      <c r="WSN27" s="204"/>
      <c r="WSO27" s="204"/>
      <c r="WSP27" s="204"/>
      <c r="WSQ27" s="204"/>
      <c r="WSR27" s="204"/>
      <c r="WSS27" s="204"/>
      <c r="WST27" s="204"/>
      <c r="WSU27" s="204"/>
      <c r="WSV27" s="204"/>
      <c r="WSW27" s="204"/>
      <c r="WSX27" s="204"/>
      <c r="WSY27" s="204"/>
      <c r="WSZ27" s="204"/>
      <c r="WTA27" s="204"/>
      <c r="WTB27" s="204"/>
      <c r="WTC27" s="204"/>
      <c r="WTD27" s="204"/>
      <c r="WTE27" s="204"/>
      <c r="WTF27" s="204"/>
      <c r="WTG27" s="204"/>
      <c r="WTH27" s="204"/>
      <c r="WTI27" s="204"/>
      <c r="WTJ27" s="204"/>
      <c r="WTK27" s="204"/>
      <c r="WTL27" s="204"/>
      <c r="WTM27" s="204"/>
      <c r="WTN27" s="204"/>
      <c r="WTO27" s="204"/>
      <c r="WTP27" s="204"/>
      <c r="WTQ27" s="204"/>
      <c r="WTR27" s="204"/>
      <c r="WTS27" s="204"/>
      <c r="WTT27" s="204"/>
      <c r="WTU27" s="204"/>
      <c r="WTV27" s="204"/>
      <c r="WTW27" s="204"/>
      <c r="WTX27" s="204"/>
      <c r="WTY27" s="204"/>
      <c r="WTZ27" s="204"/>
      <c r="WUA27" s="204"/>
      <c r="WUB27" s="204"/>
      <c r="WUC27" s="204"/>
      <c r="WUD27" s="204"/>
      <c r="WUE27" s="204"/>
      <c r="WUF27" s="204"/>
      <c r="WUG27" s="204"/>
      <c r="WUH27" s="204"/>
      <c r="WUI27" s="204"/>
      <c r="WUJ27" s="204"/>
      <c r="WUK27" s="204"/>
      <c r="WUL27" s="204"/>
      <c r="WUM27" s="204"/>
      <c r="WUN27" s="204"/>
      <c r="WUO27" s="204"/>
      <c r="WUP27" s="204"/>
      <c r="WUQ27" s="204"/>
      <c r="WUR27" s="204"/>
      <c r="WUS27" s="204"/>
      <c r="WUT27" s="204"/>
      <c r="WUU27" s="204"/>
      <c r="WUV27" s="204"/>
      <c r="WUW27" s="204"/>
      <c r="WUX27" s="204"/>
      <c r="WUY27" s="204"/>
      <c r="WUZ27" s="204"/>
      <c r="WVA27" s="204"/>
      <c r="WVB27" s="204"/>
      <c r="WVC27" s="204"/>
      <c r="WVD27" s="204"/>
      <c r="WVE27" s="204"/>
      <c r="WVF27" s="204"/>
      <c r="WVG27" s="204"/>
      <c r="WVH27" s="204"/>
      <c r="WVI27" s="204"/>
      <c r="WVJ27" s="204"/>
      <c r="WVK27" s="204"/>
      <c r="WVL27" s="204"/>
      <c r="WVM27" s="204"/>
      <c r="WVN27" s="204"/>
      <c r="WVO27" s="204"/>
      <c r="WVP27" s="204"/>
      <c r="WVQ27" s="204"/>
      <c r="WVR27" s="204"/>
      <c r="WVS27" s="204"/>
      <c r="WVT27" s="204"/>
      <c r="WVU27" s="204"/>
      <c r="WVV27" s="204"/>
      <c r="WVW27" s="204"/>
      <c r="WVX27" s="204"/>
      <c r="WVY27" s="204"/>
      <c r="WVZ27" s="204"/>
      <c r="WWA27" s="204"/>
      <c r="WWB27" s="204"/>
      <c r="WWC27" s="204"/>
      <c r="WWD27" s="204"/>
      <c r="WWE27" s="204"/>
      <c r="WWF27" s="204"/>
      <c r="WWG27" s="204"/>
      <c r="WWH27" s="204"/>
      <c r="WWI27" s="204"/>
      <c r="WWJ27" s="204"/>
      <c r="WWK27" s="204"/>
      <c r="WWL27" s="204"/>
      <c r="WWM27" s="204"/>
      <c r="WWN27" s="204"/>
      <c r="WWO27" s="204"/>
      <c r="WWP27" s="204"/>
      <c r="WWQ27" s="204"/>
      <c r="WWR27" s="204"/>
      <c r="WWS27" s="204"/>
      <c r="WWT27" s="204"/>
      <c r="WWU27" s="204"/>
      <c r="WWV27" s="204"/>
      <c r="WWW27" s="204"/>
      <c r="WWX27" s="204"/>
      <c r="WWY27" s="204"/>
      <c r="WWZ27" s="204"/>
      <c r="WXA27" s="204"/>
      <c r="WXB27" s="204"/>
      <c r="WXC27" s="204"/>
      <c r="WXD27" s="204"/>
      <c r="WXE27" s="204"/>
      <c r="WXF27" s="204"/>
      <c r="WXG27" s="204"/>
      <c r="WXH27" s="204"/>
      <c r="WXI27" s="204"/>
      <c r="WXJ27" s="204"/>
      <c r="WXK27" s="204"/>
      <c r="WXL27" s="204"/>
      <c r="WXM27" s="204"/>
      <c r="WXN27" s="204"/>
      <c r="WXO27" s="204"/>
      <c r="WXP27" s="204"/>
      <c r="WXQ27" s="204"/>
      <c r="WXR27" s="204"/>
      <c r="WXS27" s="204"/>
      <c r="WXT27" s="204"/>
      <c r="WXU27" s="204"/>
      <c r="WXV27" s="204"/>
      <c r="WXW27" s="204"/>
      <c r="WXX27" s="204"/>
      <c r="WXY27" s="204"/>
      <c r="WXZ27" s="204"/>
      <c r="WYA27" s="204"/>
      <c r="WYB27" s="204"/>
      <c r="WYC27" s="204"/>
      <c r="WYD27" s="204"/>
      <c r="WYE27" s="204"/>
      <c r="WYF27" s="204"/>
      <c r="WYG27" s="204"/>
      <c r="WYH27" s="204"/>
      <c r="WYI27" s="204"/>
      <c r="WYJ27" s="204"/>
      <c r="WYK27" s="204"/>
      <c r="WYL27" s="204"/>
      <c r="WYM27" s="204"/>
      <c r="WYN27" s="204"/>
      <c r="WYO27" s="204"/>
      <c r="WYP27" s="204"/>
      <c r="WYQ27" s="204"/>
      <c r="WYR27" s="204"/>
      <c r="WYS27" s="204"/>
      <c r="WYT27" s="204"/>
      <c r="WYU27" s="204"/>
      <c r="WYV27" s="204"/>
      <c r="WYW27" s="204"/>
      <c r="WYX27" s="204"/>
      <c r="WYY27" s="204"/>
      <c r="WYZ27" s="204"/>
      <c r="WZA27" s="204"/>
      <c r="WZB27" s="204"/>
      <c r="WZC27" s="204"/>
      <c r="WZD27" s="204"/>
      <c r="WZE27" s="204"/>
      <c r="WZF27" s="204"/>
      <c r="WZG27" s="204"/>
      <c r="WZH27" s="204"/>
      <c r="WZI27" s="204"/>
      <c r="WZJ27" s="204"/>
      <c r="WZK27" s="204"/>
      <c r="WZL27" s="204"/>
      <c r="WZM27" s="204"/>
      <c r="WZN27" s="204"/>
      <c r="WZO27" s="204"/>
      <c r="WZP27" s="204"/>
      <c r="WZQ27" s="204"/>
      <c r="WZR27" s="204"/>
      <c r="WZS27" s="204"/>
      <c r="WZT27" s="204"/>
      <c r="WZU27" s="204"/>
      <c r="WZV27" s="204"/>
      <c r="WZW27" s="204"/>
      <c r="WZX27" s="204"/>
      <c r="WZY27" s="204"/>
      <c r="WZZ27" s="204"/>
      <c r="XAA27" s="204"/>
      <c r="XAB27" s="204"/>
      <c r="XAC27" s="204"/>
      <c r="XAD27" s="204"/>
      <c r="XAE27" s="204"/>
      <c r="XAF27" s="204"/>
      <c r="XAG27" s="204"/>
      <c r="XAH27" s="204"/>
      <c r="XAI27" s="204"/>
      <c r="XAJ27" s="204"/>
      <c r="XAK27" s="204"/>
      <c r="XAL27" s="204"/>
      <c r="XAM27" s="204"/>
      <c r="XAN27" s="204"/>
      <c r="XAO27" s="204"/>
      <c r="XAP27" s="204"/>
      <c r="XAQ27" s="204"/>
      <c r="XAR27" s="204"/>
      <c r="XAS27" s="204"/>
      <c r="XAT27" s="204"/>
      <c r="XAU27" s="204"/>
      <c r="XAV27" s="204"/>
      <c r="XAW27" s="204"/>
      <c r="XAX27" s="204"/>
      <c r="XAY27" s="204"/>
      <c r="XAZ27" s="204"/>
      <c r="XBA27" s="204"/>
      <c r="XBB27" s="204"/>
      <c r="XBC27" s="204"/>
      <c r="XBD27" s="204"/>
      <c r="XBE27" s="204"/>
      <c r="XBF27" s="204"/>
      <c r="XBG27" s="204"/>
      <c r="XBH27" s="204"/>
      <c r="XBI27" s="204"/>
      <c r="XBJ27" s="204"/>
      <c r="XBK27" s="204"/>
      <c r="XBL27" s="204"/>
      <c r="XBM27" s="204"/>
      <c r="XBN27" s="204"/>
      <c r="XBO27" s="204"/>
      <c r="XBP27" s="204"/>
      <c r="XBQ27" s="204"/>
      <c r="XBR27" s="204"/>
      <c r="XBS27" s="204"/>
      <c r="XBT27" s="204"/>
      <c r="XBU27" s="204"/>
      <c r="XBV27" s="204"/>
      <c r="XBW27" s="204"/>
      <c r="XBX27" s="204"/>
      <c r="XBY27" s="204"/>
      <c r="XBZ27" s="204"/>
      <c r="XCA27" s="204"/>
      <c r="XCB27" s="204"/>
      <c r="XCC27" s="204"/>
      <c r="XCD27" s="204"/>
      <c r="XCE27" s="204"/>
      <c r="XCF27" s="204"/>
      <c r="XCG27" s="204"/>
      <c r="XCH27" s="204"/>
      <c r="XCI27" s="204"/>
      <c r="XCJ27" s="204"/>
      <c r="XCK27" s="204"/>
      <c r="XCL27" s="204"/>
      <c r="XCM27" s="204"/>
      <c r="XCN27" s="204"/>
      <c r="XCO27" s="204"/>
      <c r="XCP27" s="204"/>
      <c r="XCQ27" s="204"/>
      <c r="XCR27" s="204"/>
      <c r="XCS27" s="204"/>
      <c r="XCT27" s="204"/>
      <c r="XCU27" s="204"/>
      <c r="XCV27" s="204"/>
      <c r="XCW27" s="204"/>
      <c r="XCX27" s="204"/>
      <c r="XCY27" s="204"/>
      <c r="XCZ27" s="204"/>
      <c r="XDA27" s="204"/>
      <c r="XDB27" s="204"/>
      <c r="XDC27" s="204"/>
      <c r="XDD27" s="204"/>
      <c r="XDE27" s="204"/>
      <c r="XDF27" s="204"/>
      <c r="XDG27" s="204"/>
      <c r="XDH27" s="204"/>
      <c r="XDI27" s="204"/>
      <c r="XDJ27" s="204"/>
      <c r="XDK27" s="204"/>
      <c r="XDL27" s="204"/>
      <c r="XDM27" s="204"/>
      <c r="XDN27" s="204"/>
      <c r="XDO27" s="204"/>
      <c r="XDP27" s="204"/>
      <c r="XDQ27" s="204"/>
      <c r="XDR27" s="204"/>
      <c r="XDS27" s="204"/>
      <c r="XDT27" s="204"/>
      <c r="XDU27" s="204"/>
      <c r="XDV27" s="204"/>
      <c r="XDW27" s="204"/>
      <c r="XDX27" s="204"/>
      <c r="XDY27" s="204"/>
      <c r="XDZ27" s="204"/>
      <c r="XEA27" s="204"/>
      <c r="XEB27" s="204"/>
      <c r="XEC27" s="204"/>
      <c r="XED27" s="204"/>
      <c r="XEE27" s="204"/>
      <c r="XEF27" s="204"/>
      <c r="XEG27" s="204"/>
      <c r="XEH27" s="204"/>
      <c r="XEI27" s="204"/>
      <c r="XEJ27" s="204"/>
      <c r="XEK27" s="204"/>
      <c r="XEL27" s="204"/>
      <c r="XEM27" s="204"/>
      <c r="XEN27" s="204"/>
      <c r="XEO27" s="204"/>
      <c r="XEP27" s="204"/>
      <c r="XEQ27" s="204"/>
      <c r="XER27" s="204"/>
      <c r="XES27" s="204"/>
      <c r="XET27" s="204"/>
      <c r="XEU27" s="204"/>
      <c r="XEV27" s="204"/>
      <c r="XEW27" s="204"/>
      <c r="XEX27" s="204"/>
      <c r="XEY27" s="204"/>
      <c r="XEZ27" s="204"/>
      <c r="XFA27" s="204"/>
      <c r="XFB27" s="204"/>
      <c r="XFC27" s="204"/>
      <c r="XFD27" s="204"/>
    </row>
    <row r="28" spans="1:16384" x14ac:dyDescent="0.2">
      <c r="A28" s="203"/>
      <c r="B28" s="205" t="s">
        <v>72</v>
      </c>
      <c r="C28" s="132">
        <v>142</v>
      </c>
      <c r="D28" s="132">
        <v>132</v>
      </c>
      <c r="E28" s="133">
        <v>10</v>
      </c>
      <c r="F28" s="134">
        <v>75</v>
      </c>
      <c r="G28" s="134">
        <v>25</v>
      </c>
      <c r="H28" s="134">
        <v>22</v>
      </c>
      <c r="I28" s="135">
        <v>7.5757575757575761</v>
      </c>
      <c r="J28" s="136">
        <v>56.81818181818182</v>
      </c>
      <c r="K28" s="136">
        <v>18.939393939393938</v>
      </c>
      <c r="L28" s="136">
        <v>16.666666666666664</v>
      </c>
      <c r="M28" s="86">
        <v>97</v>
      </c>
      <c r="N28" s="137">
        <v>34</v>
      </c>
      <c r="O28" s="88">
        <v>74.045801526717554</v>
      </c>
      <c r="P28" s="138">
        <v>25.954198473282442</v>
      </c>
      <c r="Q28" s="88">
        <v>114</v>
      </c>
      <c r="R28" s="89">
        <v>17</v>
      </c>
      <c r="S28" s="88">
        <v>87.022900763358777</v>
      </c>
      <c r="T28" s="138">
        <v>12.977099236641221</v>
      </c>
      <c r="U28" s="229"/>
      <c r="V28" s="203"/>
      <c r="W28" s="203"/>
      <c r="X28" s="203"/>
      <c r="Y28" s="203"/>
      <c r="Z28" s="203"/>
      <c r="AA28" s="203"/>
      <c r="AB28" s="203"/>
      <c r="AC28" s="203"/>
      <c r="AD28" s="203"/>
      <c r="AE28" s="203"/>
      <c r="AF28" s="203"/>
      <c r="AG28" s="229"/>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c r="DZ28" s="204"/>
      <c r="EA28" s="204"/>
      <c r="EB28" s="204"/>
      <c r="EC28" s="204"/>
      <c r="ED28" s="204"/>
      <c r="EE28" s="204"/>
      <c r="EF28" s="204"/>
      <c r="EG28" s="204"/>
      <c r="EH28" s="204"/>
      <c r="EI28" s="204"/>
      <c r="EJ28" s="204"/>
      <c r="EK28" s="204"/>
      <c r="EL28" s="204"/>
      <c r="EM28" s="204"/>
      <c r="EN28" s="204"/>
      <c r="EO28" s="204"/>
      <c r="EP28" s="204"/>
      <c r="EQ28" s="204"/>
      <c r="ER28" s="204"/>
      <c r="ES28" s="204"/>
      <c r="ET28" s="204"/>
      <c r="EU28" s="204"/>
      <c r="EV28" s="204"/>
      <c r="EW28" s="204"/>
      <c r="EX28" s="204"/>
      <c r="EY28" s="204"/>
      <c r="EZ28" s="204"/>
      <c r="FA28" s="204"/>
      <c r="FB28" s="204"/>
      <c r="FC28" s="204"/>
      <c r="FD28" s="204"/>
      <c r="FE28" s="204"/>
      <c r="FF28" s="204"/>
      <c r="FG28" s="204"/>
      <c r="FH28" s="204"/>
      <c r="FI28" s="204"/>
      <c r="FJ28" s="204"/>
      <c r="FK28" s="204"/>
      <c r="FL28" s="204"/>
      <c r="FM28" s="204"/>
      <c r="FN28" s="204"/>
      <c r="FO28" s="204"/>
      <c r="FP28" s="204"/>
      <c r="FQ28" s="204"/>
      <c r="FR28" s="204"/>
      <c r="FS28" s="204"/>
      <c r="FT28" s="204"/>
      <c r="FU28" s="204"/>
      <c r="FV28" s="204"/>
      <c r="FW28" s="204"/>
      <c r="FX28" s="204"/>
      <c r="FY28" s="204"/>
      <c r="FZ28" s="204"/>
      <c r="GA28" s="204"/>
      <c r="GB28" s="204"/>
      <c r="GC28" s="204"/>
      <c r="GD28" s="204"/>
      <c r="GE28" s="204"/>
      <c r="GF28" s="204"/>
      <c r="GG28" s="204"/>
      <c r="GH28" s="204"/>
      <c r="GI28" s="204"/>
      <c r="GJ28" s="204"/>
      <c r="GK28" s="204"/>
      <c r="GL28" s="204"/>
      <c r="GM28" s="204"/>
      <c r="GN28" s="204"/>
      <c r="GO28" s="204"/>
      <c r="GP28" s="204"/>
      <c r="GQ28" s="204"/>
      <c r="GR28" s="204"/>
      <c r="GS28" s="204"/>
      <c r="GT28" s="204"/>
      <c r="GU28" s="204"/>
      <c r="GV28" s="204"/>
      <c r="GW28" s="204"/>
      <c r="GX28" s="204"/>
      <c r="GY28" s="204"/>
      <c r="GZ28" s="204"/>
      <c r="HA28" s="204"/>
      <c r="HB28" s="204"/>
      <c r="HC28" s="204"/>
      <c r="HD28" s="204"/>
      <c r="HE28" s="204"/>
      <c r="HF28" s="204"/>
      <c r="HG28" s="204"/>
      <c r="HH28" s="204"/>
      <c r="HI28" s="204"/>
      <c r="HJ28" s="204"/>
      <c r="HK28" s="204"/>
      <c r="HL28" s="204"/>
      <c r="HM28" s="204"/>
      <c r="HN28" s="204"/>
      <c r="HO28" s="204"/>
      <c r="HP28" s="204"/>
      <c r="HQ28" s="204"/>
      <c r="HR28" s="204"/>
      <c r="HS28" s="204"/>
      <c r="HT28" s="204"/>
      <c r="HU28" s="204"/>
      <c r="HV28" s="204"/>
      <c r="HW28" s="204"/>
      <c r="HX28" s="204"/>
      <c r="HY28" s="204"/>
      <c r="HZ28" s="204"/>
      <c r="IA28" s="204"/>
      <c r="IB28" s="204"/>
      <c r="IC28" s="204"/>
      <c r="ID28" s="204"/>
      <c r="IE28" s="204"/>
      <c r="IF28" s="204"/>
      <c r="IG28" s="204"/>
      <c r="IH28" s="204"/>
      <c r="II28" s="204"/>
      <c r="IJ28" s="204"/>
      <c r="IK28" s="204"/>
      <c r="IL28" s="204"/>
      <c r="IM28" s="204"/>
      <c r="IN28" s="204"/>
      <c r="IO28" s="204"/>
      <c r="IP28" s="204"/>
      <c r="IQ28" s="204"/>
      <c r="IR28" s="204"/>
      <c r="IS28" s="204"/>
      <c r="IT28" s="204"/>
      <c r="IU28" s="204"/>
      <c r="IV28" s="204"/>
      <c r="IW28" s="204"/>
      <c r="IX28" s="204"/>
      <c r="IY28" s="204"/>
      <c r="IZ28" s="204"/>
      <c r="JA28" s="204"/>
      <c r="JB28" s="204"/>
      <c r="JC28" s="204"/>
      <c r="JD28" s="204"/>
      <c r="JE28" s="204"/>
      <c r="JF28" s="204"/>
      <c r="JG28" s="204"/>
      <c r="JH28" s="204"/>
      <c r="JI28" s="204"/>
      <c r="JJ28" s="204"/>
      <c r="JK28" s="204"/>
      <c r="JL28" s="204"/>
      <c r="JM28" s="204"/>
      <c r="JN28" s="204"/>
      <c r="JO28" s="204"/>
      <c r="JP28" s="204"/>
      <c r="JQ28" s="204"/>
      <c r="JR28" s="204"/>
      <c r="JS28" s="204"/>
      <c r="JT28" s="204"/>
      <c r="JU28" s="204"/>
      <c r="JV28" s="204"/>
      <c r="JW28" s="204"/>
      <c r="JX28" s="204"/>
      <c r="JY28" s="204"/>
      <c r="JZ28" s="204"/>
      <c r="KA28" s="204"/>
      <c r="KB28" s="204"/>
      <c r="KC28" s="204"/>
      <c r="KD28" s="204"/>
      <c r="KE28" s="204"/>
      <c r="KF28" s="204"/>
      <c r="KG28" s="204"/>
      <c r="KH28" s="204"/>
      <c r="KI28" s="204"/>
      <c r="KJ28" s="204"/>
      <c r="KK28" s="204"/>
      <c r="KL28" s="204"/>
      <c r="KM28" s="204"/>
      <c r="KN28" s="204"/>
      <c r="KO28" s="204"/>
      <c r="KP28" s="204"/>
      <c r="KQ28" s="204"/>
      <c r="KR28" s="204"/>
      <c r="KS28" s="204"/>
      <c r="KT28" s="204"/>
      <c r="KU28" s="204"/>
      <c r="KV28" s="204"/>
      <c r="KW28" s="204"/>
      <c r="KX28" s="204"/>
      <c r="KY28" s="204"/>
      <c r="KZ28" s="204"/>
      <c r="LA28" s="204"/>
      <c r="LB28" s="204"/>
      <c r="LC28" s="204"/>
      <c r="LD28" s="204"/>
      <c r="LE28" s="204"/>
      <c r="LF28" s="204"/>
      <c r="LG28" s="204"/>
      <c r="LH28" s="204"/>
      <c r="LI28" s="204"/>
      <c r="LJ28" s="204"/>
      <c r="LK28" s="204"/>
      <c r="LL28" s="204"/>
      <c r="LM28" s="204"/>
      <c r="LN28" s="204"/>
      <c r="LO28" s="204"/>
      <c r="LP28" s="204"/>
      <c r="LQ28" s="204"/>
      <c r="LR28" s="204"/>
      <c r="LS28" s="204"/>
      <c r="LT28" s="204"/>
      <c r="LU28" s="204"/>
      <c r="LV28" s="204"/>
      <c r="LW28" s="204"/>
      <c r="LX28" s="204"/>
      <c r="LY28" s="204"/>
      <c r="LZ28" s="204"/>
      <c r="MA28" s="204"/>
      <c r="MB28" s="204"/>
      <c r="MC28" s="204"/>
      <c r="MD28" s="204"/>
      <c r="ME28" s="204"/>
      <c r="MF28" s="204"/>
      <c r="MG28" s="204"/>
      <c r="MH28" s="204"/>
      <c r="MI28" s="204"/>
      <c r="MJ28" s="204"/>
      <c r="MK28" s="204"/>
      <c r="ML28" s="204"/>
      <c r="MM28" s="204"/>
      <c r="MN28" s="204"/>
      <c r="MO28" s="204"/>
      <c r="MP28" s="204"/>
      <c r="MQ28" s="204"/>
      <c r="MR28" s="204"/>
      <c r="MS28" s="204"/>
      <c r="MT28" s="204"/>
      <c r="MU28" s="204"/>
      <c r="MV28" s="204"/>
      <c r="MW28" s="204"/>
      <c r="MX28" s="204"/>
      <c r="MY28" s="204"/>
      <c r="MZ28" s="204"/>
      <c r="NA28" s="204"/>
      <c r="NB28" s="204"/>
      <c r="NC28" s="204"/>
      <c r="ND28" s="204"/>
      <c r="NE28" s="204"/>
      <c r="NF28" s="204"/>
      <c r="NG28" s="204"/>
      <c r="NH28" s="204"/>
      <c r="NI28" s="204"/>
      <c r="NJ28" s="204"/>
      <c r="NK28" s="204"/>
      <c r="NL28" s="204"/>
      <c r="NM28" s="204"/>
      <c r="NN28" s="204"/>
      <c r="NO28" s="204"/>
      <c r="NP28" s="204"/>
      <c r="NQ28" s="204"/>
      <c r="NR28" s="204"/>
      <c r="NS28" s="204"/>
      <c r="NT28" s="204"/>
      <c r="NU28" s="204"/>
      <c r="NV28" s="204"/>
      <c r="NW28" s="204"/>
      <c r="NX28" s="204"/>
      <c r="NY28" s="204"/>
      <c r="NZ28" s="204"/>
      <c r="OA28" s="204"/>
      <c r="OB28" s="204"/>
      <c r="OC28" s="204"/>
      <c r="OD28" s="204"/>
      <c r="OE28" s="204"/>
      <c r="OF28" s="204"/>
      <c r="OG28" s="204"/>
      <c r="OH28" s="204"/>
      <c r="OI28" s="204"/>
      <c r="OJ28" s="204"/>
      <c r="OK28" s="204"/>
      <c r="OL28" s="204"/>
      <c r="OM28" s="204"/>
      <c r="ON28" s="204"/>
      <c r="OO28" s="204"/>
      <c r="OP28" s="204"/>
      <c r="OQ28" s="204"/>
      <c r="OR28" s="204"/>
      <c r="OS28" s="204"/>
      <c r="OT28" s="204"/>
      <c r="OU28" s="204"/>
      <c r="OV28" s="204"/>
      <c r="OW28" s="204"/>
      <c r="OX28" s="204"/>
      <c r="OY28" s="204"/>
      <c r="OZ28" s="204"/>
      <c r="PA28" s="204"/>
      <c r="PB28" s="204"/>
      <c r="PC28" s="204"/>
      <c r="PD28" s="204"/>
      <c r="PE28" s="204"/>
      <c r="PF28" s="204"/>
      <c r="PG28" s="204"/>
      <c r="PH28" s="204"/>
      <c r="PI28" s="204"/>
      <c r="PJ28" s="204"/>
      <c r="PK28" s="204"/>
      <c r="PL28" s="204"/>
      <c r="PM28" s="204"/>
      <c r="PN28" s="204"/>
      <c r="PO28" s="204"/>
      <c r="PP28" s="204"/>
      <c r="PQ28" s="204"/>
      <c r="PR28" s="204"/>
      <c r="PS28" s="204"/>
      <c r="PT28" s="204"/>
      <c r="PU28" s="204"/>
      <c r="PV28" s="204"/>
      <c r="PW28" s="204"/>
      <c r="PX28" s="204"/>
      <c r="PY28" s="204"/>
      <c r="PZ28" s="204"/>
      <c r="QA28" s="204"/>
      <c r="QB28" s="204"/>
      <c r="QC28" s="204"/>
      <c r="QD28" s="204"/>
      <c r="QE28" s="204"/>
      <c r="QF28" s="204"/>
      <c r="QG28" s="204"/>
      <c r="QH28" s="204"/>
      <c r="QI28" s="204"/>
      <c r="QJ28" s="204"/>
      <c r="QK28" s="204"/>
      <c r="QL28" s="204"/>
      <c r="QM28" s="204"/>
      <c r="QN28" s="204"/>
      <c r="QO28" s="204"/>
      <c r="QP28" s="204"/>
      <c r="QQ28" s="204"/>
      <c r="QR28" s="204"/>
      <c r="QS28" s="204"/>
      <c r="QT28" s="204"/>
      <c r="QU28" s="204"/>
      <c r="QV28" s="204"/>
      <c r="QW28" s="204"/>
      <c r="QX28" s="204"/>
      <c r="QY28" s="204"/>
      <c r="QZ28" s="204"/>
      <c r="RA28" s="204"/>
      <c r="RB28" s="204"/>
      <c r="RC28" s="204"/>
      <c r="RD28" s="204"/>
      <c r="RE28" s="204"/>
      <c r="RF28" s="204"/>
      <c r="RG28" s="204"/>
      <c r="RH28" s="204"/>
      <c r="RI28" s="204"/>
      <c r="RJ28" s="204"/>
      <c r="RK28" s="204"/>
      <c r="RL28" s="204"/>
      <c r="RM28" s="204"/>
      <c r="RN28" s="204"/>
      <c r="RO28" s="204"/>
      <c r="RP28" s="204"/>
      <c r="RQ28" s="204"/>
      <c r="RR28" s="204"/>
      <c r="RS28" s="204"/>
      <c r="RT28" s="204"/>
      <c r="RU28" s="204"/>
      <c r="RV28" s="204"/>
      <c r="RW28" s="204"/>
      <c r="RX28" s="204"/>
      <c r="RY28" s="204"/>
      <c r="RZ28" s="204"/>
      <c r="SA28" s="204"/>
      <c r="SB28" s="204"/>
      <c r="SC28" s="204"/>
      <c r="SD28" s="204"/>
      <c r="SE28" s="204"/>
      <c r="SF28" s="204"/>
      <c r="SG28" s="204"/>
      <c r="SH28" s="204"/>
      <c r="SI28" s="204"/>
      <c r="SJ28" s="204"/>
      <c r="SK28" s="204"/>
      <c r="SL28" s="204"/>
      <c r="SM28" s="204"/>
      <c r="SN28" s="204"/>
      <c r="SO28" s="204"/>
      <c r="SP28" s="204"/>
      <c r="SQ28" s="204"/>
      <c r="SR28" s="204"/>
      <c r="SS28" s="204"/>
      <c r="ST28" s="204"/>
      <c r="SU28" s="204"/>
      <c r="SV28" s="204"/>
      <c r="SW28" s="204"/>
      <c r="SX28" s="204"/>
      <c r="SY28" s="204"/>
      <c r="SZ28" s="204"/>
      <c r="TA28" s="204"/>
      <c r="TB28" s="204"/>
      <c r="TC28" s="204"/>
      <c r="TD28" s="204"/>
      <c r="TE28" s="204"/>
      <c r="TF28" s="204"/>
      <c r="TG28" s="204"/>
      <c r="TH28" s="204"/>
      <c r="TI28" s="204"/>
      <c r="TJ28" s="204"/>
      <c r="TK28" s="204"/>
      <c r="TL28" s="204"/>
      <c r="TM28" s="204"/>
      <c r="TN28" s="204"/>
      <c r="TO28" s="204"/>
      <c r="TP28" s="204"/>
      <c r="TQ28" s="204"/>
      <c r="TR28" s="204"/>
      <c r="TS28" s="204"/>
      <c r="TT28" s="204"/>
      <c r="TU28" s="204"/>
      <c r="TV28" s="204"/>
      <c r="TW28" s="204"/>
      <c r="TX28" s="204"/>
      <c r="TY28" s="204"/>
      <c r="TZ28" s="204"/>
      <c r="UA28" s="204"/>
      <c r="UB28" s="204"/>
      <c r="UC28" s="204"/>
      <c r="UD28" s="204"/>
      <c r="UE28" s="204"/>
      <c r="UF28" s="204"/>
      <c r="UG28" s="204"/>
      <c r="UH28" s="204"/>
      <c r="UI28" s="204"/>
      <c r="UJ28" s="204"/>
      <c r="UK28" s="204"/>
      <c r="UL28" s="204"/>
      <c r="UM28" s="204"/>
      <c r="UN28" s="204"/>
      <c r="UO28" s="204"/>
      <c r="UP28" s="204"/>
      <c r="UQ28" s="204"/>
      <c r="UR28" s="204"/>
      <c r="US28" s="204"/>
      <c r="UT28" s="204"/>
      <c r="UU28" s="204"/>
      <c r="UV28" s="204"/>
      <c r="UW28" s="204"/>
      <c r="UX28" s="204"/>
      <c r="UY28" s="204"/>
      <c r="UZ28" s="204"/>
      <c r="VA28" s="204"/>
      <c r="VB28" s="204"/>
      <c r="VC28" s="204"/>
      <c r="VD28" s="204"/>
      <c r="VE28" s="204"/>
      <c r="VF28" s="204"/>
      <c r="VG28" s="204"/>
      <c r="VH28" s="204"/>
      <c r="VI28" s="204"/>
      <c r="VJ28" s="204"/>
      <c r="VK28" s="204"/>
      <c r="VL28" s="204"/>
      <c r="VM28" s="204"/>
      <c r="VN28" s="204"/>
      <c r="VO28" s="204"/>
      <c r="VP28" s="204"/>
      <c r="VQ28" s="204"/>
      <c r="VR28" s="204"/>
      <c r="VS28" s="204"/>
      <c r="VT28" s="204"/>
      <c r="VU28" s="204"/>
      <c r="VV28" s="204"/>
      <c r="VW28" s="204"/>
      <c r="VX28" s="204"/>
      <c r="VY28" s="204"/>
      <c r="VZ28" s="204"/>
      <c r="WA28" s="204"/>
      <c r="WB28" s="204"/>
      <c r="WC28" s="204"/>
      <c r="WD28" s="204"/>
      <c r="WE28" s="204"/>
      <c r="WF28" s="204"/>
      <c r="WG28" s="204"/>
      <c r="WH28" s="204"/>
      <c r="WI28" s="204"/>
      <c r="WJ28" s="204"/>
      <c r="WK28" s="204"/>
      <c r="WL28" s="204"/>
      <c r="WM28" s="204"/>
      <c r="WN28" s="204"/>
      <c r="WO28" s="204"/>
      <c r="WP28" s="204"/>
      <c r="WQ28" s="204"/>
      <c r="WR28" s="204"/>
      <c r="WS28" s="204"/>
      <c r="WT28" s="204"/>
      <c r="WU28" s="204"/>
      <c r="WV28" s="204"/>
      <c r="WW28" s="204"/>
      <c r="WX28" s="204"/>
      <c r="WY28" s="204"/>
      <c r="WZ28" s="204"/>
      <c r="XA28" s="204"/>
      <c r="XB28" s="204"/>
      <c r="XC28" s="204"/>
      <c r="XD28" s="204"/>
      <c r="XE28" s="204"/>
      <c r="XF28" s="204"/>
      <c r="XG28" s="204"/>
      <c r="XH28" s="204"/>
      <c r="XI28" s="204"/>
      <c r="XJ28" s="204"/>
      <c r="XK28" s="204"/>
      <c r="XL28" s="204"/>
      <c r="XM28" s="204"/>
      <c r="XN28" s="204"/>
      <c r="XO28" s="204"/>
      <c r="XP28" s="204"/>
      <c r="XQ28" s="204"/>
      <c r="XR28" s="204"/>
      <c r="XS28" s="204"/>
      <c r="XT28" s="204"/>
      <c r="XU28" s="204"/>
      <c r="XV28" s="204"/>
      <c r="XW28" s="204"/>
      <c r="XX28" s="204"/>
      <c r="XY28" s="204"/>
      <c r="XZ28" s="204"/>
      <c r="YA28" s="204"/>
      <c r="YB28" s="204"/>
      <c r="YC28" s="204"/>
      <c r="YD28" s="204"/>
      <c r="YE28" s="204"/>
      <c r="YF28" s="204"/>
      <c r="YG28" s="204"/>
      <c r="YH28" s="204"/>
      <c r="YI28" s="204"/>
      <c r="YJ28" s="204"/>
      <c r="YK28" s="204"/>
      <c r="YL28" s="204"/>
      <c r="YM28" s="204"/>
      <c r="YN28" s="204"/>
      <c r="YO28" s="204"/>
      <c r="YP28" s="204"/>
      <c r="YQ28" s="204"/>
      <c r="YR28" s="204"/>
      <c r="YS28" s="204"/>
      <c r="YT28" s="204"/>
      <c r="YU28" s="204"/>
      <c r="YV28" s="204"/>
      <c r="YW28" s="204"/>
      <c r="YX28" s="204"/>
      <c r="YY28" s="204"/>
      <c r="YZ28" s="204"/>
      <c r="ZA28" s="204"/>
      <c r="ZB28" s="204"/>
      <c r="ZC28" s="204"/>
      <c r="ZD28" s="204"/>
      <c r="ZE28" s="204"/>
      <c r="ZF28" s="204"/>
      <c r="ZG28" s="204"/>
      <c r="ZH28" s="204"/>
      <c r="ZI28" s="204"/>
      <c r="ZJ28" s="204"/>
      <c r="ZK28" s="204"/>
      <c r="ZL28" s="204"/>
      <c r="ZM28" s="204"/>
      <c r="ZN28" s="204"/>
      <c r="ZO28" s="204"/>
      <c r="ZP28" s="204"/>
      <c r="ZQ28" s="204"/>
      <c r="ZR28" s="204"/>
      <c r="ZS28" s="204"/>
      <c r="ZT28" s="204"/>
      <c r="ZU28" s="204"/>
      <c r="ZV28" s="204"/>
      <c r="ZW28" s="204"/>
      <c r="ZX28" s="204"/>
      <c r="ZY28" s="204"/>
      <c r="ZZ28" s="204"/>
      <c r="AAA28" s="204"/>
      <c r="AAB28" s="204"/>
      <c r="AAC28" s="204"/>
      <c r="AAD28" s="204"/>
      <c r="AAE28" s="204"/>
      <c r="AAF28" s="204"/>
      <c r="AAG28" s="204"/>
      <c r="AAH28" s="204"/>
      <c r="AAI28" s="204"/>
      <c r="AAJ28" s="204"/>
      <c r="AAK28" s="204"/>
      <c r="AAL28" s="204"/>
      <c r="AAM28" s="204"/>
      <c r="AAN28" s="204"/>
      <c r="AAO28" s="204"/>
      <c r="AAP28" s="204"/>
      <c r="AAQ28" s="204"/>
      <c r="AAR28" s="204"/>
      <c r="AAS28" s="204"/>
      <c r="AAT28" s="204"/>
      <c r="AAU28" s="204"/>
      <c r="AAV28" s="204"/>
      <c r="AAW28" s="204"/>
      <c r="AAX28" s="204"/>
      <c r="AAY28" s="204"/>
      <c r="AAZ28" s="204"/>
      <c r="ABA28" s="204"/>
      <c r="ABB28" s="204"/>
      <c r="ABC28" s="204"/>
      <c r="ABD28" s="204"/>
      <c r="ABE28" s="204"/>
      <c r="ABF28" s="204"/>
      <c r="ABG28" s="204"/>
      <c r="ABH28" s="204"/>
      <c r="ABI28" s="204"/>
      <c r="ABJ28" s="204"/>
      <c r="ABK28" s="204"/>
      <c r="ABL28" s="204"/>
      <c r="ABM28" s="204"/>
      <c r="ABN28" s="204"/>
      <c r="ABO28" s="204"/>
      <c r="ABP28" s="204"/>
      <c r="ABQ28" s="204"/>
      <c r="ABR28" s="204"/>
      <c r="ABS28" s="204"/>
      <c r="ABT28" s="204"/>
      <c r="ABU28" s="204"/>
      <c r="ABV28" s="204"/>
      <c r="ABW28" s="204"/>
      <c r="ABX28" s="204"/>
      <c r="ABY28" s="204"/>
      <c r="ABZ28" s="204"/>
      <c r="ACA28" s="204"/>
      <c r="ACB28" s="204"/>
      <c r="ACC28" s="204"/>
      <c r="ACD28" s="204"/>
      <c r="ACE28" s="204"/>
      <c r="ACF28" s="204"/>
      <c r="ACG28" s="204"/>
      <c r="ACH28" s="204"/>
      <c r="ACI28" s="204"/>
      <c r="ACJ28" s="204"/>
      <c r="ACK28" s="204"/>
      <c r="ACL28" s="204"/>
      <c r="ACM28" s="204"/>
      <c r="ACN28" s="204"/>
      <c r="ACO28" s="204"/>
      <c r="ACP28" s="204"/>
      <c r="ACQ28" s="204"/>
      <c r="ACR28" s="204"/>
      <c r="ACS28" s="204"/>
      <c r="ACT28" s="204"/>
      <c r="ACU28" s="204"/>
      <c r="ACV28" s="204"/>
      <c r="ACW28" s="204"/>
      <c r="ACX28" s="204"/>
      <c r="ACY28" s="204"/>
      <c r="ACZ28" s="204"/>
      <c r="ADA28" s="204"/>
      <c r="ADB28" s="204"/>
      <c r="ADC28" s="204"/>
      <c r="ADD28" s="204"/>
      <c r="ADE28" s="204"/>
      <c r="ADF28" s="204"/>
      <c r="ADG28" s="204"/>
      <c r="ADH28" s="204"/>
      <c r="ADI28" s="204"/>
      <c r="ADJ28" s="204"/>
      <c r="ADK28" s="204"/>
      <c r="ADL28" s="204"/>
      <c r="ADM28" s="204"/>
      <c r="ADN28" s="204"/>
      <c r="ADO28" s="204"/>
      <c r="ADP28" s="204"/>
      <c r="ADQ28" s="204"/>
      <c r="ADR28" s="204"/>
      <c r="ADS28" s="204"/>
      <c r="ADT28" s="204"/>
      <c r="ADU28" s="204"/>
      <c r="ADV28" s="204"/>
      <c r="ADW28" s="204"/>
      <c r="ADX28" s="204"/>
      <c r="ADY28" s="204"/>
      <c r="ADZ28" s="204"/>
      <c r="AEA28" s="204"/>
      <c r="AEB28" s="204"/>
      <c r="AEC28" s="204"/>
      <c r="AED28" s="204"/>
      <c r="AEE28" s="204"/>
      <c r="AEF28" s="204"/>
      <c r="AEG28" s="204"/>
      <c r="AEH28" s="204"/>
      <c r="AEI28" s="204"/>
      <c r="AEJ28" s="204"/>
      <c r="AEK28" s="204"/>
      <c r="AEL28" s="204"/>
      <c r="AEM28" s="204"/>
      <c r="AEN28" s="204"/>
      <c r="AEO28" s="204"/>
      <c r="AEP28" s="204"/>
      <c r="AEQ28" s="204"/>
      <c r="AER28" s="204"/>
      <c r="AES28" s="204"/>
      <c r="AET28" s="204"/>
      <c r="AEU28" s="204"/>
      <c r="AEV28" s="204"/>
      <c r="AEW28" s="204"/>
      <c r="AEX28" s="204"/>
      <c r="AEY28" s="204"/>
      <c r="AEZ28" s="204"/>
      <c r="AFA28" s="204"/>
      <c r="AFB28" s="204"/>
      <c r="AFC28" s="204"/>
      <c r="AFD28" s="204"/>
      <c r="AFE28" s="204"/>
      <c r="AFF28" s="204"/>
      <c r="AFG28" s="204"/>
      <c r="AFH28" s="204"/>
      <c r="AFI28" s="204"/>
      <c r="AFJ28" s="204"/>
      <c r="AFK28" s="204"/>
      <c r="AFL28" s="204"/>
      <c r="AFM28" s="204"/>
      <c r="AFN28" s="204"/>
      <c r="AFO28" s="204"/>
      <c r="AFP28" s="204"/>
      <c r="AFQ28" s="204"/>
      <c r="AFR28" s="204"/>
      <c r="AFS28" s="204"/>
      <c r="AFT28" s="204"/>
      <c r="AFU28" s="204"/>
      <c r="AFV28" s="204"/>
      <c r="AFW28" s="204"/>
      <c r="AFX28" s="204"/>
      <c r="AFY28" s="204"/>
      <c r="AFZ28" s="204"/>
      <c r="AGA28" s="204"/>
      <c r="AGB28" s="204"/>
      <c r="AGC28" s="204"/>
      <c r="AGD28" s="204"/>
      <c r="AGE28" s="204"/>
      <c r="AGF28" s="204"/>
      <c r="AGG28" s="204"/>
      <c r="AGH28" s="204"/>
      <c r="AGI28" s="204"/>
      <c r="AGJ28" s="204"/>
      <c r="AGK28" s="204"/>
      <c r="AGL28" s="204"/>
      <c r="AGM28" s="204"/>
      <c r="AGN28" s="204"/>
      <c r="AGO28" s="204"/>
      <c r="AGP28" s="204"/>
      <c r="AGQ28" s="204"/>
      <c r="AGR28" s="204"/>
      <c r="AGS28" s="204"/>
      <c r="AGT28" s="204"/>
      <c r="AGU28" s="204"/>
      <c r="AGV28" s="204"/>
      <c r="AGW28" s="204"/>
      <c r="AGX28" s="204"/>
      <c r="AGY28" s="204"/>
      <c r="AGZ28" s="204"/>
      <c r="AHA28" s="204"/>
      <c r="AHB28" s="204"/>
      <c r="AHC28" s="204"/>
      <c r="AHD28" s="204"/>
      <c r="AHE28" s="204"/>
      <c r="AHF28" s="204"/>
      <c r="AHG28" s="204"/>
      <c r="AHH28" s="204"/>
      <c r="AHI28" s="204"/>
      <c r="AHJ28" s="204"/>
      <c r="AHK28" s="204"/>
      <c r="AHL28" s="204"/>
      <c r="AHM28" s="204"/>
      <c r="AHN28" s="204"/>
      <c r="AHO28" s="204"/>
      <c r="AHP28" s="204"/>
      <c r="AHQ28" s="204"/>
      <c r="AHR28" s="204"/>
      <c r="AHS28" s="204"/>
      <c r="AHT28" s="204"/>
      <c r="AHU28" s="204"/>
      <c r="AHV28" s="204"/>
      <c r="AHW28" s="204"/>
      <c r="AHX28" s="204"/>
      <c r="AHY28" s="204"/>
      <c r="AHZ28" s="204"/>
      <c r="AIA28" s="204"/>
      <c r="AIB28" s="204"/>
      <c r="AIC28" s="204"/>
      <c r="AID28" s="204"/>
      <c r="AIE28" s="204"/>
      <c r="AIF28" s="204"/>
      <c r="AIG28" s="204"/>
      <c r="AIH28" s="204"/>
      <c r="AII28" s="204"/>
      <c r="AIJ28" s="204"/>
      <c r="AIK28" s="204"/>
      <c r="AIL28" s="204"/>
      <c r="AIM28" s="204"/>
      <c r="AIN28" s="204"/>
      <c r="AIO28" s="204"/>
      <c r="AIP28" s="204"/>
      <c r="AIQ28" s="204"/>
      <c r="AIR28" s="204"/>
      <c r="AIS28" s="204"/>
      <c r="AIT28" s="204"/>
      <c r="AIU28" s="204"/>
      <c r="AIV28" s="204"/>
      <c r="AIW28" s="204"/>
      <c r="AIX28" s="204"/>
      <c r="AIY28" s="204"/>
      <c r="AIZ28" s="204"/>
      <c r="AJA28" s="204"/>
      <c r="AJB28" s="204"/>
      <c r="AJC28" s="204"/>
      <c r="AJD28" s="204"/>
      <c r="AJE28" s="204"/>
      <c r="AJF28" s="204"/>
      <c r="AJG28" s="204"/>
      <c r="AJH28" s="204"/>
      <c r="AJI28" s="204"/>
      <c r="AJJ28" s="204"/>
      <c r="AJK28" s="204"/>
      <c r="AJL28" s="204"/>
      <c r="AJM28" s="204"/>
      <c r="AJN28" s="204"/>
      <c r="AJO28" s="204"/>
      <c r="AJP28" s="204"/>
      <c r="AJQ28" s="204"/>
      <c r="AJR28" s="204"/>
      <c r="AJS28" s="204"/>
      <c r="AJT28" s="204"/>
      <c r="AJU28" s="204"/>
      <c r="AJV28" s="204"/>
      <c r="AJW28" s="204"/>
      <c r="AJX28" s="204"/>
      <c r="AJY28" s="204"/>
      <c r="AJZ28" s="204"/>
      <c r="AKA28" s="204"/>
      <c r="AKB28" s="204"/>
      <c r="AKC28" s="204"/>
      <c r="AKD28" s="204"/>
      <c r="AKE28" s="204"/>
      <c r="AKF28" s="204"/>
      <c r="AKG28" s="204"/>
      <c r="AKH28" s="204"/>
      <c r="AKI28" s="204"/>
      <c r="AKJ28" s="204"/>
      <c r="AKK28" s="204"/>
      <c r="AKL28" s="204"/>
      <c r="AKM28" s="204"/>
      <c r="AKN28" s="204"/>
      <c r="AKO28" s="204"/>
      <c r="AKP28" s="204"/>
      <c r="AKQ28" s="204"/>
      <c r="AKR28" s="204"/>
      <c r="AKS28" s="204"/>
      <c r="AKT28" s="204"/>
      <c r="AKU28" s="204"/>
      <c r="AKV28" s="204"/>
      <c r="AKW28" s="204"/>
      <c r="AKX28" s="204"/>
      <c r="AKY28" s="204"/>
      <c r="AKZ28" s="204"/>
      <c r="ALA28" s="204"/>
      <c r="ALB28" s="204"/>
      <c r="ALC28" s="204"/>
      <c r="ALD28" s="204"/>
      <c r="ALE28" s="204"/>
      <c r="ALF28" s="204"/>
      <c r="ALG28" s="204"/>
      <c r="ALH28" s="204"/>
      <c r="ALI28" s="204"/>
      <c r="ALJ28" s="204"/>
      <c r="ALK28" s="204"/>
      <c r="ALL28" s="204"/>
      <c r="ALM28" s="204"/>
      <c r="ALN28" s="204"/>
      <c r="ALO28" s="204"/>
      <c r="ALP28" s="204"/>
      <c r="ALQ28" s="204"/>
      <c r="ALR28" s="204"/>
      <c r="ALS28" s="204"/>
      <c r="ALT28" s="204"/>
      <c r="ALU28" s="204"/>
      <c r="ALV28" s="204"/>
      <c r="ALW28" s="204"/>
      <c r="ALX28" s="204"/>
      <c r="ALY28" s="204"/>
      <c r="ALZ28" s="204"/>
      <c r="AMA28" s="204"/>
      <c r="AMB28" s="204"/>
      <c r="AMC28" s="204"/>
      <c r="AMD28" s="204"/>
      <c r="AME28" s="204"/>
      <c r="AMF28" s="204"/>
      <c r="AMG28" s="204"/>
      <c r="AMH28" s="204"/>
      <c r="AMI28" s="204"/>
      <c r="AMJ28" s="204"/>
      <c r="AMK28" s="204"/>
      <c r="AML28" s="204"/>
      <c r="AMM28" s="204"/>
      <c r="AMN28" s="204"/>
      <c r="AMO28" s="204"/>
      <c r="AMP28" s="204"/>
      <c r="AMQ28" s="204"/>
      <c r="AMR28" s="204"/>
      <c r="AMS28" s="204"/>
      <c r="AMT28" s="204"/>
      <c r="AMU28" s="204"/>
      <c r="AMV28" s="204"/>
      <c r="AMW28" s="204"/>
      <c r="AMX28" s="204"/>
      <c r="AMY28" s="204"/>
      <c r="AMZ28" s="204"/>
      <c r="ANA28" s="204"/>
      <c r="ANB28" s="204"/>
      <c r="ANC28" s="204"/>
      <c r="AND28" s="204"/>
      <c r="ANE28" s="204"/>
      <c r="ANF28" s="204"/>
      <c r="ANG28" s="204"/>
      <c r="ANH28" s="204"/>
      <c r="ANI28" s="204"/>
      <c r="ANJ28" s="204"/>
      <c r="ANK28" s="204"/>
      <c r="ANL28" s="204"/>
      <c r="ANM28" s="204"/>
      <c r="ANN28" s="204"/>
      <c r="ANO28" s="204"/>
      <c r="ANP28" s="204"/>
      <c r="ANQ28" s="204"/>
      <c r="ANR28" s="204"/>
      <c r="ANS28" s="204"/>
      <c r="ANT28" s="204"/>
      <c r="ANU28" s="204"/>
      <c r="ANV28" s="204"/>
      <c r="ANW28" s="204"/>
      <c r="ANX28" s="204"/>
      <c r="ANY28" s="204"/>
      <c r="ANZ28" s="204"/>
      <c r="AOA28" s="204"/>
      <c r="AOB28" s="204"/>
      <c r="AOC28" s="204"/>
      <c r="AOD28" s="204"/>
      <c r="AOE28" s="204"/>
      <c r="AOF28" s="204"/>
      <c r="AOG28" s="204"/>
      <c r="AOH28" s="204"/>
      <c r="AOI28" s="204"/>
      <c r="AOJ28" s="204"/>
      <c r="AOK28" s="204"/>
      <c r="AOL28" s="204"/>
      <c r="AOM28" s="204"/>
      <c r="AON28" s="204"/>
      <c r="AOO28" s="204"/>
      <c r="AOP28" s="204"/>
      <c r="AOQ28" s="204"/>
      <c r="AOR28" s="204"/>
      <c r="AOS28" s="204"/>
      <c r="AOT28" s="204"/>
      <c r="AOU28" s="204"/>
      <c r="AOV28" s="204"/>
      <c r="AOW28" s="204"/>
      <c r="AOX28" s="204"/>
      <c r="AOY28" s="204"/>
      <c r="AOZ28" s="204"/>
      <c r="APA28" s="204"/>
      <c r="APB28" s="204"/>
      <c r="APC28" s="204"/>
      <c r="APD28" s="204"/>
      <c r="APE28" s="204"/>
      <c r="APF28" s="204"/>
      <c r="APG28" s="204"/>
      <c r="APH28" s="204"/>
      <c r="API28" s="204"/>
      <c r="APJ28" s="204"/>
      <c r="APK28" s="204"/>
      <c r="APL28" s="204"/>
      <c r="APM28" s="204"/>
      <c r="APN28" s="204"/>
      <c r="APO28" s="204"/>
      <c r="APP28" s="204"/>
      <c r="APQ28" s="204"/>
      <c r="APR28" s="204"/>
      <c r="APS28" s="204"/>
      <c r="APT28" s="204"/>
      <c r="APU28" s="204"/>
      <c r="APV28" s="204"/>
      <c r="APW28" s="204"/>
      <c r="APX28" s="204"/>
      <c r="APY28" s="204"/>
      <c r="APZ28" s="204"/>
      <c r="AQA28" s="204"/>
      <c r="AQB28" s="204"/>
      <c r="AQC28" s="204"/>
      <c r="AQD28" s="204"/>
      <c r="AQE28" s="204"/>
      <c r="AQF28" s="204"/>
      <c r="AQG28" s="204"/>
      <c r="AQH28" s="204"/>
      <c r="AQI28" s="204"/>
      <c r="AQJ28" s="204"/>
      <c r="AQK28" s="204"/>
      <c r="AQL28" s="204"/>
      <c r="AQM28" s="204"/>
      <c r="AQN28" s="204"/>
      <c r="AQO28" s="204"/>
      <c r="AQP28" s="204"/>
      <c r="AQQ28" s="204"/>
      <c r="AQR28" s="204"/>
      <c r="AQS28" s="204"/>
      <c r="AQT28" s="204"/>
      <c r="AQU28" s="204"/>
      <c r="AQV28" s="204"/>
      <c r="AQW28" s="204"/>
      <c r="AQX28" s="204"/>
      <c r="AQY28" s="204"/>
      <c r="AQZ28" s="204"/>
      <c r="ARA28" s="204"/>
      <c r="ARB28" s="204"/>
      <c r="ARC28" s="204"/>
      <c r="ARD28" s="204"/>
      <c r="ARE28" s="204"/>
      <c r="ARF28" s="204"/>
      <c r="ARG28" s="204"/>
      <c r="ARH28" s="204"/>
      <c r="ARI28" s="204"/>
      <c r="ARJ28" s="204"/>
      <c r="ARK28" s="204"/>
      <c r="ARL28" s="204"/>
      <c r="ARM28" s="204"/>
      <c r="ARN28" s="204"/>
      <c r="ARO28" s="204"/>
      <c r="ARP28" s="204"/>
      <c r="ARQ28" s="204"/>
      <c r="ARR28" s="204"/>
      <c r="ARS28" s="204"/>
      <c r="ART28" s="204"/>
      <c r="ARU28" s="204"/>
      <c r="ARV28" s="204"/>
      <c r="ARW28" s="204"/>
      <c r="ARX28" s="204"/>
      <c r="ARY28" s="204"/>
      <c r="ARZ28" s="204"/>
      <c r="ASA28" s="204"/>
      <c r="ASB28" s="204"/>
      <c r="ASC28" s="204"/>
      <c r="ASD28" s="204"/>
      <c r="ASE28" s="204"/>
      <c r="ASF28" s="204"/>
      <c r="ASG28" s="204"/>
      <c r="ASH28" s="204"/>
      <c r="ASI28" s="204"/>
      <c r="ASJ28" s="204"/>
      <c r="ASK28" s="204"/>
      <c r="ASL28" s="204"/>
      <c r="ASM28" s="204"/>
      <c r="ASN28" s="204"/>
      <c r="ASO28" s="204"/>
      <c r="ASP28" s="204"/>
      <c r="ASQ28" s="204"/>
      <c r="ASR28" s="204"/>
      <c r="ASS28" s="204"/>
      <c r="AST28" s="204"/>
      <c r="ASU28" s="204"/>
      <c r="ASV28" s="204"/>
      <c r="ASW28" s="204"/>
      <c r="ASX28" s="204"/>
      <c r="ASY28" s="204"/>
      <c r="ASZ28" s="204"/>
      <c r="ATA28" s="204"/>
      <c r="ATB28" s="204"/>
      <c r="ATC28" s="204"/>
      <c r="ATD28" s="204"/>
      <c r="ATE28" s="204"/>
      <c r="ATF28" s="204"/>
      <c r="ATG28" s="204"/>
      <c r="ATH28" s="204"/>
      <c r="ATI28" s="204"/>
      <c r="ATJ28" s="204"/>
      <c r="ATK28" s="204"/>
      <c r="ATL28" s="204"/>
      <c r="ATM28" s="204"/>
      <c r="ATN28" s="204"/>
      <c r="ATO28" s="204"/>
      <c r="ATP28" s="204"/>
      <c r="ATQ28" s="204"/>
      <c r="ATR28" s="204"/>
      <c r="ATS28" s="204"/>
      <c r="ATT28" s="204"/>
      <c r="ATU28" s="204"/>
      <c r="ATV28" s="204"/>
      <c r="ATW28" s="204"/>
      <c r="ATX28" s="204"/>
      <c r="ATY28" s="204"/>
      <c r="ATZ28" s="204"/>
      <c r="AUA28" s="204"/>
      <c r="AUB28" s="204"/>
      <c r="AUC28" s="204"/>
      <c r="AUD28" s="204"/>
      <c r="AUE28" s="204"/>
      <c r="AUF28" s="204"/>
      <c r="AUG28" s="204"/>
      <c r="AUH28" s="204"/>
      <c r="AUI28" s="204"/>
      <c r="AUJ28" s="204"/>
      <c r="AUK28" s="204"/>
      <c r="AUL28" s="204"/>
      <c r="AUM28" s="204"/>
      <c r="AUN28" s="204"/>
      <c r="AUO28" s="204"/>
      <c r="AUP28" s="204"/>
      <c r="AUQ28" s="204"/>
      <c r="AUR28" s="204"/>
      <c r="AUS28" s="204"/>
      <c r="AUT28" s="204"/>
      <c r="AUU28" s="204"/>
      <c r="AUV28" s="204"/>
      <c r="AUW28" s="204"/>
      <c r="AUX28" s="204"/>
      <c r="AUY28" s="204"/>
      <c r="AUZ28" s="204"/>
      <c r="AVA28" s="204"/>
      <c r="AVB28" s="204"/>
      <c r="AVC28" s="204"/>
      <c r="AVD28" s="204"/>
      <c r="AVE28" s="204"/>
      <c r="AVF28" s="204"/>
      <c r="AVG28" s="204"/>
      <c r="AVH28" s="204"/>
      <c r="AVI28" s="204"/>
      <c r="AVJ28" s="204"/>
      <c r="AVK28" s="204"/>
      <c r="AVL28" s="204"/>
      <c r="AVM28" s="204"/>
      <c r="AVN28" s="204"/>
      <c r="AVO28" s="204"/>
      <c r="AVP28" s="204"/>
      <c r="AVQ28" s="204"/>
      <c r="AVR28" s="204"/>
      <c r="AVS28" s="204"/>
      <c r="AVT28" s="204"/>
      <c r="AVU28" s="204"/>
      <c r="AVV28" s="204"/>
      <c r="AVW28" s="204"/>
      <c r="AVX28" s="204"/>
      <c r="AVY28" s="204"/>
      <c r="AVZ28" s="204"/>
      <c r="AWA28" s="204"/>
      <c r="AWB28" s="204"/>
      <c r="AWC28" s="204"/>
      <c r="AWD28" s="204"/>
      <c r="AWE28" s="204"/>
      <c r="AWF28" s="204"/>
      <c r="AWG28" s="204"/>
      <c r="AWH28" s="204"/>
      <c r="AWI28" s="204"/>
      <c r="AWJ28" s="204"/>
      <c r="AWK28" s="204"/>
      <c r="AWL28" s="204"/>
      <c r="AWM28" s="204"/>
      <c r="AWN28" s="204"/>
      <c r="AWO28" s="204"/>
      <c r="AWP28" s="204"/>
      <c r="AWQ28" s="204"/>
      <c r="AWR28" s="204"/>
      <c r="AWS28" s="204"/>
      <c r="AWT28" s="204"/>
      <c r="AWU28" s="204"/>
      <c r="AWV28" s="204"/>
      <c r="AWW28" s="204"/>
      <c r="AWX28" s="204"/>
      <c r="AWY28" s="204"/>
      <c r="AWZ28" s="204"/>
      <c r="AXA28" s="204"/>
      <c r="AXB28" s="204"/>
      <c r="AXC28" s="204"/>
      <c r="AXD28" s="204"/>
      <c r="AXE28" s="204"/>
      <c r="AXF28" s="204"/>
      <c r="AXG28" s="204"/>
      <c r="AXH28" s="204"/>
      <c r="AXI28" s="204"/>
      <c r="AXJ28" s="204"/>
      <c r="AXK28" s="204"/>
      <c r="AXL28" s="204"/>
      <c r="AXM28" s="204"/>
      <c r="AXN28" s="204"/>
      <c r="AXO28" s="204"/>
      <c r="AXP28" s="204"/>
      <c r="AXQ28" s="204"/>
      <c r="AXR28" s="204"/>
      <c r="AXS28" s="204"/>
      <c r="AXT28" s="204"/>
      <c r="AXU28" s="204"/>
      <c r="AXV28" s="204"/>
      <c r="AXW28" s="204"/>
      <c r="AXX28" s="204"/>
      <c r="AXY28" s="204"/>
      <c r="AXZ28" s="204"/>
      <c r="AYA28" s="204"/>
      <c r="AYB28" s="204"/>
      <c r="AYC28" s="204"/>
      <c r="AYD28" s="204"/>
      <c r="AYE28" s="204"/>
      <c r="AYF28" s="204"/>
      <c r="AYG28" s="204"/>
      <c r="AYH28" s="204"/>
      <c r="AYI28" s="204"/>
      <c r="AYJ28" s="204"/>
      <c r="AYK28" s="204"/>
      <c r="AYL28" s="204"/>
      <c r="AYM28" s="204"/>
      <c r="AYN28" s="204"/>
      <c r="AYO28" s="204"/>
      <c r="AYP28" s="204"/>
      <c r="AYQ28" s="204"/>
      <c r="AYR28" s="204"/>
      <c r="AYS28" s="204"/>
      <c r="AYT28" s="204"/>
      <c r="AYU28" s="204"/>
      <c r="AYV28" s="204"/>
      <c r="AYW28" s="204"/>
      <c r="AYX28" s="204"/>
      <c r="AYY28" s="204"/>
      <c r="AYZ28" s="204"/>
      <c r="AZA28" s="204"/>
      <c r="AZB28" s="204"/>
      <c r="AZC28" s="204"/>
      <c r="AZD28" s="204"/>
      <c r="AZE28" s="204"/>
      <c r="AZF28" s="204"/>
      <c r="AZG28" s="204"/>
      <c r="AZH28" s="204"/>
      <c r="AZI28" s="204"/>
      <c r="AZJ28" s="204"/>
      <c r="AZK28" s="204"/>
      <c r="AZL28" s="204"/>
      <c r="AZM28" s="204"/>
      <c r="AZN28" s="204"/>
      <c r="AZO28" s="204"/>
      <c r="AZP28" s="204"/>
      <c r="AZQ28" s="204"/>
      <c r="AZR28" s="204"/>
      <c r="AZS28" s="204"/>
      <c r="AZT28" s="204"/>
      <c r="AZU28" s="204"/>
      <c r="AZV28" s="204"/>
      <c r="AZW28" s="204"/>
      <c r="AZX28" s="204"/>
      <c r="AZY28" s="204"/>
      <c r="AZZ28" s="204"/>
      <c r="BAA28" s="204"/>
      <c r="BAB28" s="204"/>
      <c r="BAC28" s="204"/>
      <c r="BAD28" s="204"/>
      <c r="BAE28" s="204"/>
      <c r="BAF28" s="204"/>
      <c r="BAG28" s="204"/>
      <c r="BAH28" s="204"/>
      <c r="BAI28" s="204"/>
      <c r="BAJ28" s="204"/>
      <c r="BAK28" s="204"/>
      <c r="BAL28" s="204"/>
      <c r="BAM28" s="204"/>
      <c r="BAN28" s="204"/>
      <c r="BAO28" s="204"/>
      <c r="BAP28" s="204"/>
      <c r="BAQ28" s="204"/>
      <c r="BAR28" s="204"/>
      <c r="BAS28" s="204"/>
      <c r="BAT28" s="204"/>
      <c r="BAU28" s="204"/>
      <c r="BAV28" s="204"/>
      <c r="BAW28" s="204"/>
      <c r="BAX28" s="204"/>
      <c r="BAY28" s="204"/>
      <c r="BAZ28" s="204"/>
      <c r="BBA28" s="204"/>
      <c r="BBB28" s="204"/>
      <c r="BBC28" s="204"/>
      <c r="BBD28" s="204"/>
      <c r="BBE28" s="204"/>
      <c r="BBF28" s="204"/>
      <c r="BBG28" s="204"/>
      <c r="BBH28" s="204"/>
      <c r="BBI28" s="204"/>
      <c r="BBJ28" s="204"/>
      <c r="BBK28" s="204"/>
      <c r="BBL28" s="204"/>
      <c r="BBM28" s="204"/>
      <c r="BBN28" s="204"/>
      <c r="BBO28" s="204"/>
      <c r="BBP28" s="204"/>
      <c r="BBQ28" s="204"/>
      <c r="BBR28" s="204"/>
      <c r="BBS28" s="204"/>
      <c r="BBT28" s="204"/>
      <c r="BBU28" s="204"/>
      <c r="BBV28" s="204"/>
      <c r="BBW28" s="204"/>
      <c r="BBX28" s="204"/>
      <c r="BBY28" s="204"/>
      <c r="BBZ28" s="204"/>
      <c r="BCA28" s="204"/>
      <c r="BCB28" s="204"/>
      <c r="BCC28" s="204"/>
      <c r="BCD28" s="204"/>
      <c r="BCE28" s="204"/>
      <c r="BCF28" s="204"/>
      <c r="BCG28" s="204"/>
      <c r="BCH28" s="204"/>
      <c r="BCI28" s="204"/>
      <c r="BCJ28" s="204"/>
      <c r="BCK28" s="204"/>
      <c r="BCL28" s="204"/>
      <c r="BCM28" s="204"/>
      <c r="BCN28" s="204"/>
      <c r="BCO28" s="204"/>
      <c r="BCP28" s="204"/>
      <c r="BCQ28" s="204"/>
      <c r="BCR28" s="204"/>
      <c r="BCS28" s="204"/>
      <c r="BCT28" s="204"/>
      <c r="BCU28" s="204"/>
      <c r="BCV28" s="204"/>
      <c r="BCW28" s="204"/>
      <c r="BCX28" s="204"/>
      <c r="BCY28" s="204"/>
      <c r="BCZ28" s="204"/>
      <c r="BDA28" s="204"/>
      <c r="BDB28" s="204"/>
      <c r="BDC28" s="204"/>
      <c r="BDD28" s="204"/>
      <c r="BDE28" s="204"/>
      <c r="BDF28" s="204"/>
      <c r="BDG28" s="204"/>
      <c r="BDH28" s="204"/>
      <c r="BDI28" s="204"/>
      <c r="BDJ28" s="204"/>
      <c r="BDK28" s="204"/>
      <c r="BDL28" s="204"/>
      <c r="BDM28" s="204"/>
      <c r="BDN28" s="204"/>
      <c r="BDO28" s="204"/>
      <c r="BDP28" s="204"/>
      <c r="BDQ28" s="204"/>
      <c r="BDR28" s="204"/>
      <c r="BDS28" s="204"/>
      <c r="BDT28" s="204"/>
      <c r="BDU28" s="204"/>
      <c r="BDV28" s="204"/>
      <c r="BDW28" s="204"/>
      <c r="BDX28" s="204"/>
      <c r="BDY28" s="204"/>
      <c r="BDZ28" s="204"/>
      <c r="BEA28" s="204"/>
      <c r="BEB28" s="204"/>
      <c r="BEC28" s="204"/>
      <c r="BED28" s="204"/>
      <c r="BEE28" s="204"/>
      <c r="BEF28" s="204"/>
      <c r="BEG28" s="204"/>
      <c r="BEH28" s="204"/>
      <c r="BEI28" s="204"/>
      <c r="BEJ28" s="204"/>
      <c r="BEK28" s="204"/>
      <c r="BEL28" s="204"/>
      <c r="BEM28" s="204"/>
      <c r="BEN28" s="204"/>
      <c r="BEO28" s="204"/>
      <c r="BEP28" s="204"/>
      <c r="BEQ28" s="204"/>
      <c r="BER28" s="204"/>
      <c r="BES28" s="204"/>
      <c r="BET28" s="204"/>
      <c r="BEU28" s="204"/>
      <c r="BEV28" s="204"/>
      <c r="BEW28" s="204"/>
      <c r="BEX28" s="204"/>
      <c r="BEY28" s="204"/>
      <c r="BEZ28" s="204"/>
      <c r="BFA28" s="204"/>
      <c r="BFB28" s="204"/>
      <c r="BFC28" s="204"/>
      <c r="BFD28" s="204"/>
      <c r="BFE28" s="204"/>
      <c r="BFF28" s="204"/>
      <c r="BFG28" s="204"/>
      <c r="BFH28" s="204"/>
      <c r="BFI28" s="204"/>
      <c r="BFJ28" s="204"/>
      <c r="BFK28" s="204"/>
      <c r="BFL28" s="204"/>
      <c r="BFM28" s="204"/>
      <c r="BFN28" s="204"/>
      <c r="BFO28" s="204"/>
      <c r="BFP28" s="204"/>
      <c r="BFQ28" s="204"/>
      <c r="BFR28" s="204"/>
      <c r="BFS28" s="204"/>
      <c r="BFT28" s="204"/>
      <c r="BFU28" s="204"/>
      <c r="BFV28" s="204"/>
      <c r="BFW28" s="204"/>
      <c r="BFX28" s="204"/>
      <c r="BFY28" s="204"/>
      <c r="BFZ28" s="204"/>
      <c r="BGA28" s="204"/>
      <c r="BGB28" s="204"/>
      <c r="BGC28" s="204"/>
      <c r="BGD28" s="204"/>
      <c r="BGE28" s="204"/>
      <c r="BGF28" s="204"/>
      <c r="BGG28" s="204"/>
      <c r="BGH28" s="204"/>
      <c r="BGI28" s="204"/>
      <c r="BGJ28" s="204"/>
      <c r="BGK28" s="204"/>
      <c r="BGL28" s="204"/>
      <c r="BGM28" s="204"/>
      <c r="BGN28" s="204"/>
      <c r="BGO28" s="204"/>
      <c r="BGP28" s="204"/>
      <c r="BGQ28" s="204"/>
      <c r="BGR28" s="204"/>
      <c r="BGS28" s="204"/>
      <c r="BGT28" s="204"/>
      <c r="BGU28" s="204"/>
      <c r="BGV28" s="204"/>
      <c r="BGW28" s="204"/>
      <c r="BGX28" s="204"/>
      <c r="BGY28" s="204"/>
      <c r="BGZ28" s="204"/>
      <c r="BHA28" s="204"/>
      <c r="BHB28" s="204"/>
      <c r="BHC28" s="204"/>
      <c r="BHD28" s="204"/>
      <c r="BHE28" s="204"/>
      <c r="BHF28" s="204"/>
      <c r="BHG28" s="204"/>
      <c r="BHH28" s="204"/>
      <c r="BHI28" s="204"/>
      <c r="BHJ28" s="204"/>
      <c r="BHK28" s="204"/>
      <c r="BHL28" s="204"/>
      <c r="BHM28" s="204"/>
      <c r="BHN28" s="204"/>
      <c r="BHO28" s="204"/>
      <c r="BHP28" s="204"/>
      <c r="BHQ28" s="204"/>
      <c r="BHR28" s="204"/>
      <c r="BHS28" s="204"/>
      <c r="BHT28" s="204"/>
      <c r="BHU28" s="204"/>
      <c r="BHV28" s="204"/>
      <c r="BHW28" s="204"/>
      <c r="BHX28" s="204"/>
      <c r="BHY28" s="204"/>
      <c r="BHZ28" s="204"/>
      <c r="BIA28" s="204"/>
      <c r="BIB28" s="204"/>
      <c r="BIC28" s="204"/>
      <c r="BID28" s="204"/>
      <c r="BIE28" s="204"/>
      <c r="BIF28" s="204"/>
      <c r="BIG28" s="204"/>
      <c r="BIH28" s="204"/>
      <c r="BII28" s="204"/>
      <c r="BIJ28" s="204"/>
      <c r="BIK28" s="204"/>
      <c r="BIL28" s="204"/>
      <c r="BIM28" s="204"/>
      <c r="BIN28" s="204"/>
      <c r="BIO28" s="204"/>
      <c r="BIP28" s="204"/>
      <c r="BIQ28" s="204"/>
      <c r="BIR28" s="204"/>
      <c r="BIS28" s="204"/>
      <c r="BIT28" s="204"/>
      <c r="BIU28" s="204"/>
      <c r="BIV28" s="204"/>
      <c r="BIW28" s="204"/>
      <c r="BIX28" s="204"/>
      <c r="BIY28" s="204"/>
      <c r="BIZ28" s="204"/>
      <c r="BJA28" s="204"/>
      <c r="BJB28" s="204"/>
      <c r="BJC28" s="204"/>
      <c r="BJD28" s="204"/>
      <c r="BJE28" s="204"/>
      <c r="BJF28" s="204"/>
      <c r="BJG28" s="204"/>
      <c r="BJH28" s="204"/>
      <c r="BJI28" s="204"/>
      <c r="BJJ28" s="204"/>
      <c r="BJK28" s="204"/>
      <c r="BJL28" s="204"/>
      <c r="BJM28" s="204"/>
      <c r="BJN28" s="204"/>
      <c r="BJO28" s="204"/>
      <c r="BJP28" s="204"/>
      <c r="BJQ28" s="204"/>
      <c r="BJR28" s="204"/>
      <c r="BJS28" s="204"/>
      <c r="BJT28" s="204"/>
      <c r="BJU28" s="204"/>
      <c r="BJV28" s="204"/>
      <c r="BJW28" s="204"/>
      <c r="BJX28" s="204"/>
      <c r="BJY28" s="204"/>
      <c r="BJZ28" s="204"/>
      <c r="BKA28" s="204"/>
      <c r="BKB28" s="204"/>
      <c r="BKC28" s="204"/>
      <c r="BKD28" s="204"/>
      <c r="BKE28" s="204"/>
      <c r="BKF28" s="204"/>
      <c r="BKG28" s="204"/>
      <c r="BKH28" s="204"/>
      <c r="BKI28" s="204"/>
      <c r="BKJ28" s="204"/>
      <c r="BKK28" s="204"/>
      <c r="BKL28" s="204"/>
      <c r="BKM28" s="204"/>
      <c r="BKN28" s="204"/>
      <c r="BKO28" s="204"/>
      <c r="BKP28" s="204"/>
      <c r="BKQ28" s="204"/>
      <c r="BKR28" s="204"/>
      <c r="BKS28" s="204"/>
      <c r="BKT28" s="204"/>
      <c r="BKU28" s="204"/>
      <c r="BKV28" s="204"/>
      <c r="BKW28" s="204"/>
      <c r="BKX28" s="204"/>
      <c r="BKY28" s="204"/>
      <c r="BKZ28" s="204"/>
      <c r="BLA28" s="204"/>
      <c r="BLB28" s="204"/>
      <c r="BLC28" s="204"/>
      <c r="BLD28" s="204"/>
      <c r="BLE28" s="204"/>
      <c r="BLF28" s="204"/>
      <c r="BLG28" s="204"/>
      <c r="BLH28" s="204"/>
      <c r="BLI28" s="204"/>
      <c r="BLJ28" s="204"/>
      <c r="BLK28" s="204"/>
      <c r="BLL28" s="204"/>
      <c r="BLM28" s="204"/>
      <c r="BLN28" s="204"/>
      <c r="BLO28" s="204"/>
      <c r="BLP28" s="204"/>
      <c r="BLQ28" s="204"/>
      <c r="BLR28" s="204"/>
      <c r="BLS28" s="204"/>
      <c r="BLT28" s="204"/>
      <c r="BLU28" s="204"/>
      <c r="BLV28" s="204"/>
      <c r="BLW28" s="204"/>
      <c r="BLX28" s="204"/>
      <c r="BLY28" s="204"/>
      <c r="BLZ28" s="204"/>
      <c r="BMA28" s="204"/>
      <c r="BMB28" s="204"/>
      <c r="BMC28" s="204"/>
      <c r="BMD28" s="204"/>
      <c r="BME28" s="204"/>
      <c r="BMF28" s="204"/>
      <c r="BMG28" s="204"/>
      <c r="BMH28" s="204"/>
      <c r="BMI28" s="204"/>
      <c r="BMJ28" s="204"/>
      <c r="BMK28" s="204"/>
      <c r="BML28" s="204"/>
      <c r="BMM28" s="204"/>
      <c r="BMN28" s="204"/>
      <c r="BMO28" s="204"/>
      <c r="BMP28" s="204"/>
      <c r="BMQ28" s="204"/>
      <c r="BMR28" s="204"/>
      <c r="BMS28" s="204"/>
      <c r="BMT28" s="204"/>
      <c r="BMU28" s="204"/>
      <c r="BMV28" s="204"/>
      <c r="BMW28" s="204"/>
      <c r="BMX28" s="204"/>
      <c r="BMY28" s="204"/>
      <c r="BMZ28" s="204"/>
      <c r="BNA28" s="204"/>
      <c r="BNB28" s="204"/>
      <c r="BNC28" s="204"/>
      <c r="BND28" s="204"/>
      <c r="BNE28" s="204"/>
      <c r="BNF28" s="204"/>
      <c r="BNG28" s="204"/>
      <c r="BNH28" s="204"/>
      <c r="BNI28" s="204"/>
      <c r="BNJ28" s="204"/>
      <c r="BNK28" s="204"/>
      <c r="BNL28" s="204"/>
      <c r="BNM28" s="204"/>
      <c r="BNN28" s="204"/>
      <c r="BNO28" s="204"/>
      <c r="BNP28" s="204"/>
      <c r="BNQ28" s="204"/>
      <c r="BNR28" s="204"/>
      <c r="BNS28" s="204"/>
      <c r="BNT28" s="204"/>
      <c r="BNU28" s="204"/>
      <c r="BNV28" s="204"/>
      <c r="BNW28" s="204"/>
      <c r="BNX28" s="204"/>
      <c r="BNY28" s="204"/>
      <c r="BNZ28" s="204"/>
      <c r="BOA28" s="204"/>
      <c r="BOB28" s="204"/>
      <c r="BOC28" s="204"/>
      <c r="BOD28" s="204"/>
      <c r="BOE28" s="204"/>
      <c r="BOF28" s="204"/>
      <c r="BOG28" s="204"/>
      <c r="BOH28" s="204"/>
      <c r="BOI28" s="204"/>
      <c r="BOJ28" s="204"/>
      <c r="BOK28" s="204"/>
      <c r="BOL28" s="204"/>
      <c r="BOM28" s="204"/>
      <c r="BON28" s="204"/>
      <c r="BOO28" s="204"/>
      <c r="BOP28" s="204"/>
      <c r="BOQ28" s="204"/>
      <c r="BOR28" s="204"/>
      <c r="BOS28" s="204"/>
      <c r="BOT28" s="204"/>
      <c r="BOU28" s="204"/>
      <c r="BOV28" s="204"/>
      <c r="BOW28" s="204"/>
      <c r="BOX28" s="204"/>
      <c r="BOY28" s="204"/>
      <c r="BOZ28" s="204"/>
      <c r="BPA28" s="204"/>
      <c r="BPB28" s="204"/>
      <c r="BPC28" s="204"/>
      <c r="BPD28" s="204"/>
      <c r="BPE28" s="204"/>
      <c r="BPF28" s="204"/>
      <c r="BPG28" s="204"/>
      <c r="BPH28" s="204"/>
      <c r="BPI28" s="204"/>
      <c r="BPJ28" s="204"/>
      <c r="BPK28" s="204"/>
      <c r="BPL28" s="204"/>
      <c r="BPM28" s="204"/>
      <c r="BPN28" s="204"/>
      <c r="BPO28" s="204"/>
      <c r="BPP28" s="204"/>
      <c r="BPQ28" s="204"/>
      <c r="BPR28" s="204"/>
      <c r="BPS28" s="204"/>
      <c r="BPT28" s="204"/>
      <c r="BPU28" s="204"/>
      <c r="BPV28" s="204"/>
      <c r="BPW28" s="204"/>
      <c r="BPX28" s="204"/>
      <c r="BPY28" s="204"/>
      <c r="BPZ28" s="204"/>
      <c r="BQA28" s="204"/>
      <c r="BQB28" s="204"/>
      <c r="BQC28" s="204"/>
      <c r="BQD28" s="204"/>
      <c r="BQE28" s="204"/>
      <c r="BQF28" s="204"/>
      <c r="BQG28" s="204"/>
      <c r="BQH28" s="204"/>
      <c r="BQI28" s="204"/>
      <c r="BQJ28" s="204"/>
      <c r="BQK28" s="204"/>
      <c r="BQL28" s="204"/>
      <c r="BQM28" s="204"/>
      <c r="BQN28" s="204"/>
      <c r="BQO28" s="204"/>
      <c r="BQP28" s="204"/>
      <c r="BQQ28" s="204"/>
      <c r="BQR28" s="204"/>
      <c r="BQS28" s="204"/>
      <c r="BQT28" s="204"/>
      <c r="BQU28" s="204"/>
      <c r="BQV28" s="204"/>
      <c r="BQW28" s="204"/>
      <c r="BQX28" s="204"/>
      <c r="BQY28" s="204"/>
      <c r="BQZ28" s="204"/>
      <c r="BRA28" s="204"/>
      <c r="BRB28" s="204"/>
      <c r="BRC28" s="204"/>
      <c r="BRD28" s="204"/>
      <c r="BRE28" s="204"/>
      <c r="BRF28" s="204"/>
      <c r="BRG28" s="204"/>
      <c r="BRH28" s="204"/>
      <c r="BRI28" s="204"/>
      <c r="BRJ28" s="204"/>
      <c r="BRK28" s="204"/>
      <c r="BRL28" s="204"/>
      <c r="BRM28" s="204"/>
      <c r="BRN28" s="204"/>
      <c r="BRO28" s="204"/>
      <c r="BRP28" s="204"/>
      <c r="BRQ28" s="204"/>
      <c r="BRR28" s="204"/>
      <c r="BRS28" s="204"/>
      <c r="BRT28" s="204"/>
      <c r="BRU28" s="204"/>
      <c r="BRV28" s="204"/>
      <c r="BRW28" s="204"/>
      <c r="BRX28" s="204"/>
      <c r="BRY28" s="204"/>
      <c r="BRZ28" s="204"/>
      <c r="BSA28" s="204"/>
      <c r="BSB28" s="204"/>
      <c r="BSC28" s="204"/>
      <c r="BSD28" s="204"/>
      <c r="BSE28" s="204"/>
      <c r="BSF28" s="204"/>
      <c r="BSG28" s="204"/>
      <c r="BSH28" s="204"/>
      <c r="BSI28" s="204"/>
      <c r="BSJ28" s="204"/>
      <c r="BSK28" s="204"/>
      <c r="BSL28" s="204"/>
      <c r="BSM28" s="204"/>
      <c r="BSN28" s="204"/>
      <c r="BSO28" s="204"/>
      <c r="BSP28" s="204"/>
      <c r="BSQ28" s="204"/>
      <c r="BSR28" s="204"/>
      <c r="BSS28" s="204"/>
      <c r="BST28" s="204"/>
      <c r="BSU28" s="204"/>
      <c r="BSV28" s="204"/>
      <c r="BSW28" s="204"/>
      <c r="BSX28" s="204"/>
      <c r="BSY28" s="204"/>
      <c r="BSZ28" s="204"/>
      <c r="BTA28" s="204"/>
      <c r="BTB28" s="204"/>
      <c r="BTC28" s="204"/>
      <c r="BTD28" s="204"/>
      <c r="BTE28" s="204"/>
      <c r="BTF28" s="204"/>
      <c r="BTG28" s="204"/>
      <c r="BTH28" s="204"/>
      <c r="BTI28" s="204"/>
      <c r="BTJ28" s="204"/>
      <c r="BTK28" s="204"/>
      <c r="BTL28" s="204"/>
      <c r="BTM28" s="204"/>
      <c r="BTN28" s="204"/>
      <c r="BTO28" s="204"/>
      <c r="BTP28" s="204"/>
      <c r="BTQ28" s="204"/>
      <c r="BTR28" s="204"/>
      <c r="BTS28" s="204"/>
      <c r="BTT28" s="204"/>
      <c r="BTU28" s="204"/>
      <c r="BTV28" s="204"/>
      <c r="BTW28" s="204"/>
      <c r="BTX28" s="204"/>
      <c r="BTY28" s="204"/>
      <c r="BTZ28" s="204"/>
      <c r="BUA28" s="204"/>
      <c r="BUB28" s="204"/>
      <c r="BUC28" s="204"/>
      <c r="BUD28" s="204"/>
      <c r="BUE28" s="204"/>
      <c r="BUF28" s="204"/>
      <c r="BUG28" s="204"/>
      <c r="BUH28" s="204"/>
      <c r="BUI28" s="204"/>
      <c r="BUJ28" s="204"/>
      <c r="BUK28" s="204"/>
      <c r="BUL28" s="204"/>
      <c r="BUM28" s="204"/>
      <c r="BUN28" s="204"/>
      <c r="BUO28" s="204"/>
      <c r="BUP28" s="204"/>
      <c r="BUQ28" s="204"/>
      <c r="BUR28" s="204"/>
      <c r="BUS28" s="204"/>
      <c r="BUT28" s="204"/>
      <c r="BUU28" s="204"/>
      <c r="BUV28" s="204"/>
      <c r="BUW28" s="204"/>
      <c r="BUX28" s="204"/>
      <c r="BUY28" s="204"/>
      <c r="BUZ28" s="204"/>
      <c r="BVA28" s="204"/>
      <c r="BVB28" s="204"/>
      <c r="BVC28" s="204"/>
      <c r="BVD28" s="204"/>
      <c r="BVE28" s="204"/>
      <c r="BVF28" s="204"/>
      <c r="BVG28" s="204"/>
      <c r="BVH28" s="204"/>
      <c r="BVI28" s="204"/>
      <c r="BVJ28" s="204"/>
      <c r="BVK28" s="204"/>
      <c r="BVL28" s="204"/>
      <c r="BVM28" s="204"/>
      <c r="BVN28" s="204"/>
      <c r="BVO28" s="204"/>
      <c r="BVP28" s="204"/>
      <c r="BVQ28" s="204"/>
      <c r="BVR28" s="204"/>
      <c r="BVS28" s="204"/>
      <c r="BVT28" s="204"/>
      <c r="BVU28" s="204"/>
      <c r="BVV28" s="204"/>
      <c r="BVW28" s="204"/>
      <c r="BVX28" s="204"/>
      <c r="BVY28" s="204"/>
      <c r="BVZ28" s="204"/>
      <c r="BWA28" s="204"/>
      <c r="BWB28" s="204"/>
      <c r="BWC28" s="204"/>
      <c r="BWD28" s="204"/>
      <c r="BWE28" s="204"/>
      <c r="BWF28" s="204"/>
      <c r="BWG28" s="204"/>
      <c r="BWH28" s="204"/>
      <c r="BWI28" s="204"/>
      <c r="BWJ28" s="204"/>
      <c r="BWK28" s="204"/>
      <c r="BWL28" s="204"/>
      <c r="BWM28" s="204"/>
      <c r="BWN28" s="204"/>
      <c r="BWO28" s="204"/>
      <c r="BWP28" s="204"/>
      <c r="BWQ28" s="204"/>
      <c r="BWR28" s="204"/>
      <c r="BWS28" s="204"/>
      <c r="BWT28" s="204"/>
      <c r="BWU28" s="204"/>
      <c r="BWV28" s="204"/>
      <c r="BWW28" s="204"/>
      <c r="BWX28" s="204"/>
      <c r="BWY28" s="204"/>
      <c r="BWZ28" s="204"/>
      <c r="BXA28" s="204"/>
      <c r="BXB28" s="204"/>
      <c r="BXC28" s="204"/>
      <c r="BXD28" s="204"/>
      <c r="BXE28" s="204"/>
      <c r="BXF28" s="204"/>
      <c r="BXG28" s="204"/>
      <c r="BXH28" s="204"/>
      <c r="BXI28" s="204"/>
      <c r="BXJ28" s="204"/>
      <c r="BXK28" s="204"/>
      <c r="BXL28" s="204"/>
      <c r="BXM28" s="204"/>
      <c r="BXN28" s="204"/>
      <c r="BXO28" s="204"/>
      <c r="BXP28" s="204"/>
      <c r="BXQ28" s="204"/>
      <c r="BXR28" s="204"/>
      <c r="BXS28" s="204"/>
      <c r="BXT28" s="204"/>
      <c r="BXU28" s="204"/>
      <c r="BXV28" s="204"/>
      <c r="BXW28" s="204"/>
      <c r="BXX28" s="204"/>
      <c r="BXY28" s="204"/>
      <c r="BXZ28" s="204"/>
      <c r="BYA28" s="204"/>
      <c r="BYB28" s="204"/>
      <c r="BYC28" s="204"/>
      <c r="BYD28" s="204"/>
      <c r="BYE28" s="204"/>
      <c r="BYF28" s="204"/>
      <c r="BYG28" s="204"/>
      <c r="BYH28" s="204"/>
      <c r="BYI28" s="204"/>
      <c r="BYJ28" s="204"/>
      <c r="BYK28" s="204"/>
      <c r="BYL28" s="204"/>
      <c r="BYM28" s="204"/>
      <c r="BYN28" s="204"/>
      <c r="BYO28" s="204"/>
      <c r="BYP28" s="204"/>
      <c r="BYQ28" s="204"/>
      <c r="BYR28" s="204"/>
      <c r="BYS28" s="204"/>
      <c r="BYT28" s="204"/>
      <c r="BYU28" s="204"/>
      <c r="BYV28" s="204"/>
      <c r="BYW28" s="204"/>
      <c r="BYX28" s="204"/>
      <c r="BYY28" s="204"/>
      <c r="BYZ28" s="204"/>
      <c r="BZA28" s="204"/>
      <c r="BZB28" s="204"/>
      <c r="BZC28" s="204"/>
      <c r="BZD28" s="204"/>
      <c r="BZE28" s="204"/>
      <c r="BZF28" s="204"/>
      <c r="BZG28" s="204"/>
      <c r="BZH28" s="204"/>
      <c r="BZI28" s="204"/>
      <c r="BZJ28" s="204"/>
      <c r="BZK28" s="204"/>
      <c r="BZL28" s="204"/>
      <c r="BZM28" s="204"/>
      <c r="BZN28" s="204"/>
      <c r="BZO28" s="204"/>
      <c r="BZP28" s="204"/>
      <c r="BZQ28" s="204"/>
      <c r="BZR28" s="204"/>
      <c r="BZS28" s="204"/>
      <c r="BZT28" s="204"/>
      <c r="BZU28" s="204"/>
      <c r="BZV28" s="204"/>
      <c r="BZW28" s="204"/>
      <c r="BZX28" s="204"/>
      <c r="BZY28" s="204"/>
      <c r="BZZ28" s="204"/>
      <c r="CAA28" s="204"/>
      <c r="CAB28" s="204"/>
      <c r="CAC28" s="204"/>
      <c r="CAD28" s="204"/>
      <c r="CAE28" s="204"/>
      <c r="CAF28" s="204"/>
      <c r="CAG28" s="204"/>
      <c r="CAH28" s="204"/>
      <c r="CAI28" s="204"/>
      <c r="CAJ28" s="204"/>
      <c r="CAK28" s="204"/>
      <c r="CAL28" s="204"/>
      <c r="CAM28" s="204"/>
      <c r="CAN28" s="204"/>
      <c r="CAO28" s="204"/>
      <c r="CAP28" s="204"/>
      <c r="CAQ28" s="204"/>
      <c r="CAR28" s="204"/>
      <c r="CAS28" s="204"/>
      <c r="CAT28" s="204"/>
      <c r="CAU28" s="204"/>
      <c r="CAV28" s="204"/>
      <c r="CAW28" s="204"/>
      <c r="CAX28" s="204"/>
      <c r="CAY28" s="204"/>
      <c r="CAZ28" s="204"/>
      <c r="CBA28" s="204"/>
      <c r="CBB28" s="204"/>
      <c r="CBC28" s="204"/>
      <c r="CBD28" s="204"/>
      <c r="CBE28" s="204"/>
      <c r="CBF28" s="204"/>
      <c r="CBG28" s="204"/>
      <c r="CBH28" s="204"/>
      <c r="CBI28" s="204"/>
      <c r="CBJ28" s="204"/>
      <c r="CBK28" s="204"/>
      <c r="CBL28" s="204"/>
      <c r="CBM28" s="204"/>
      <c r="CBN28" s="204"/>
      <c r="CBO28" s="204"/>
      <c r="CBP28" s="204"/>
      <c r="CBQ28" s="204"/>
      <c r="CBR28" s="204"/>
      <c r="CBS28" s="204"/>
      <c r="CBT28" s="204"/>
      <c r="CBU28" s="204"/>
      <c r="CBV28" s="204"/>
      <c r="CBW28" s="204"/>
      <c r="CBX28" s="204"/>
      <c r="CBY28" s="204"/>
      <c r="CBZ28" s="204"/>
      <c r="CCA28" s="204"/>
      <c r="CCB28" s="204"/>
      <c r="CCC28" s="204"/>
      <c r="CCD28" s="204"/>
      <c r="CCE28" s="204"/>
      <c r="CCF28" s="204"/>
      <c r="CCG28" s="204"/>
      <c r="CCH28" s="204"/>
      <c r="CCI28" s="204"/>
      <c r="CCJ28" s="204"/>
      <c r="CCK28" s="204"/>
      <c r="CCL28" s="204"/>
      <c r="CCM28" s="204"/>
      <c r="CCN28" s="204"/>
      <c r="CCO28" s="204"/>
      <c r="CCP28" s="204"/>
      <c r="CCQ28" s="204"/>
      <c r="CCR28" s="204"/>
      <c r="CCS28" s="204"/>
      <c r="CCT28" s="204"/>
      <c r="CCU28" s="204"/>
      <c r="CCV28" s="204"/>
      <c r="CCW28" s="204"/>
      <c r="CCX28" s="204"/>
      <c r="CCY28" s="204"/>
      <c r="CCZ28" s="204"/>
      <c r="CDA28" s="204"/>
      <c r="CDB28" s="204"/>
      <c r="CDC28" s="204"/>
      <c r="CDD28" s="204"/>
      <c r="CDE28" s="204"/>
      <c r="CDF28" s="204"/>
      <c r="CDG28" s="204"/>
      <c r="CDH28" s="204"/>
      <c r="CDI28" s="204"/>
      <c r="CDJ28" s="204"/>
      <c r="CDK28" s="204"/>
      <c r="CDL28" s="204"/>
      <c r="CDM28" s="204"/>
      <c r="CDN28" s="204"/>
      <c r="CDO28" s="204"/>
      <c r="CDP28" s="204"/>
      <c r="CDQ28" s="204"/>
      <c r="CDR28" s="204"/>
      <c r="CDS28" s="204"/>
      <c r="CDT28" s="204"/>
      <c r="CDU28" s="204"/>
      <c r="CDV28" s="204"/>
      <c r="CDW28" s="204"/>
      <c r="CDX28" s="204"/>
      <c r="CDY28" s="204"/>
      <c r="CDZ28" s="204"/>
      <c r="CEA28" s="204"/>
      <c r="CEB28" s="204"/>
      <c r="CEC28" s="204"/>
      <c r="CED28" s="204"/>
      <c r="CEE28" s="204"/>
      <c r="CEF28" s="204"/>
      <c r="CEG28" s="204"/>
      <c r="CEH28" s="204"/>
      <c r="CEI28" s="204"/>
      <c r="CEJ28" s="204"/>
      <c r="CEK28" s="204"/>
      <c r="CEL28" s="204"/>
      <c r="CEM28" s="204"/>
      <c r="CEN28" s="204"/>
      <c r="CEO28" s="204"/>
      <c r="CEP28" s="204"/>
      <c r="CEQ28" s="204"/>
      <c r="CER28" s="204"/>
      <c r="CES28" s="204"/>
      <c r="CET28" s="204"/>
      <c r="CEU28" s="204"/>
      <c r="CEV28" s="204"/>
      <c r="CEW28" s="204"/>
      <c r="CEX28" s="204"/>
      <c r="CEY28" s="204"/>
      <c r="CEZ28" s="204"/>
      <c r="CFA28" s="204"/>
      <c r="CFB28" s="204"/>
      <c r="CFC28" s="204"/>
      <c r="CFD28" s="204"/>
      <c r="CFE28" s="204"/>
      <c r="CFF28" s="204"/>
      <c r="CFG28" s="204"/>
      <c r="CFH28" s="204"/>
      <c r="CFI28" s="204"/>
      <c r="CFJ28" s="204"/>
      <c r="CFK28" s="204"/>
      <c r="CFL28" s="204"/>
      <c r="CFM28" s="204"/>
      <c r="CFN28" s="204"/>
      <c r="CFO28" s="204"/>
      <c r="CFP28" s="204"/>
      <c r="CFQ28" s="204"/>
      <c r="CFR28" s="204"/>
      <c r="CFS28" s="204"/>
      <c r="CFT28" s="204"/>
      <c r="CFU28" s="204"/>
      <c r="CFV28" s="204"/>
      <c r="CFW28" s="204"/>
      <c r="CFX28" s="204"/>
      <c r="CFY28" s="204"/>
      <c r="CFZ28" s="204"/>
      <c r="CGA28" s="204"/>
      <c r="CGB28" s="204"/>
      <c r="CGC28" s="204"/>
      <c r="CGD28" s="204"/>
      <c r="CGE28" s="204"/>
      <c r="CGF28" s="204"/>
      <c r="CGG28" s="204"/>
      <c r="CGH28" s="204"/>
      <c r="CGI28" s="204"/>
      <c r="CGJ28" s="204"/>
      <c r="CGK28" s="204"/>
      <c r="CGL28" s="204"/>
      <c r="CGM28" s="204"/>
      <c r="CGN28" s="204"/>
      <c r="CGO28" s="204"/>
      <c r="CGP28" s="204"/>
      <c r="CGQ28" s="204"/>
      <c r="CGR28" s="204"/>
      <c r="CGS28" s="204"/>
      <c r="CGT28" s="204"/>
      <c r="CGU28" s="204"/>
      <c r="CGV28" s="204"/>
      <c r="CGW28" s="204"/>
      <c r="CGX28" s="204"/>
      <c r="CGY28" s="204"/>
      <c r="CGZ28" s="204"/>
      <c r="CHA28" s="204"/>
      <c r="CHB28" s="204"/>
      <c r="CHC28" s="204"/>
      <c r="CHD28" s="204"/>
      <c r="CHE28" s="204"/>
      <c r="CHF28" s="204"/>
      <c r="CHG28" s="204"/>
      <c r="CHH28" s="204"/>
      <c r="CHI28" s="204"/>
      <c r="CHJ28" s="204"/>
      <c r="CHK28" s="204"/>
      <c r="CHL28" s="204"/>
      <c r="CHM28" s="204"/>
      <c r="CHN28" s="204"/>
      <c r="CHO28" s="204"/>
      <c r="CHP28" s="204"/>
      <c r="CHQ28" s="204"/>
      <c r="CHR28" s="204"/>
      <c r="CHS28" s="204"/>
      <c r="CHT28" s="204"/>
      <c r="CHU28" s="204"/>
      <c r="CHV28" s="204"/>
      <c r="CHW28" s="204"/>
      <c r="CHX28" s="204"/>
      <c r="CHY28" s="204"/>
      <c r="CHZ28" s="204"/>
      <c r="CIA28" s="204"/>
      <c r="CIB28" s="204"/>
      <c r="CIC28" s="204"/>
      <c r="CID28" s="204"/>
      <c r="CIE28" s="204"/>
      <c r="CIF28" s="204"/>
      <c r="CIG28" s="204"/>
      <c r="CIH28" s="204"/>
      <c r="CII28" s="204"/>
      <c r="CIJ28" s="204"/>
      <c r="CIK28" s="204"/>
      <c r="CIL28" s="204"/>
      <c r="CIM28" s="204"/>
      <c r="CIN28" s="204"/>
      <c r="CIO28" s="204"/>
      <c r="CIP28" s="204"/>
      <c r="CIQ28" s="204"/>
      <c r="CIR28" s="204"/>
      <c r="CIS28" s="204"/>
      <c r="CIT28" s="204"/>
      <c r="CIU28" s="204"/>
      <c r="CIV28" s="204"/>
      <c r="CIW28" s="204"/>
      <c r="CIX28" s="204"/>
      <c r="CIY28" s="204"/>
      <c r="CIZ28" s="204"/>
      <c r="CJA28" s="204"/>
      <c r="CJB28" s="204"/>
      <c r="CJC28" s="204"/>
      <c r="CJD28" s="204"/>
      <c r="CJE28" s="204"/>
      <c r="CJF28" s="204"/>
      <c r="CJG28" s="204"/>
      <c r="CJH28" s="204"/>
      <c r="CJI28" s="204"/>
      <c r="CJJ28" s="204"/>
      <c r="CJK28" s="204"/>
      <c r="CJL28" s="204"/>
      <c r="CJM28" s="204"/>
      <c r="CJN28" s="204"/>
      <c r="CJO28" s="204"/>
      <c r="CJP28" s="204"/>
      <c r="CJQ28" s="204"/>
      <c r="CJR28" s="204"/>
      <c r="CJS28" s="204"/>
      <c r="CJT28" s="204"/>
      <c r="CJU28" s="204"/>
      <c r="CJV28" s="204"/>
      <c r="CJW28" s="204"/>
      <c r="CJX28" s="204"/>
      <c r="CJY28" s="204"/>
      <c r="CJZ28" s="204"/>
      <c r="CKA28" s="204"/>
      <c r="CKB28" s="204"/>
      <c r="CKC28" s="204"/>
      <c r="CKD28" s="204"/>
      <c r="CKE28" s="204"/>
      <c r="CKF28" s="204"/>
      <c r="CKG28" s="204"/>
      <c r="CKH28" s="204"/>
      <c r="CKI28" s="204"/>
      <c r="CKJ28" s="204"/>
      <c r="CKK28" s="204"/>
      <c r="CKL28" s="204"/>
      <c r="CKM28" s="204"/>
      <c r="CKN28" s="204"/>
      <c r="CKO28" s="204"/>
      <c r="CKP28" s="204"/>
      <c r="CKQ28" s="204"/>
      <c r="CKR28" s="204"/>
      <c r="CKS28" s="204"/>
      <c r="CKT28" s="204"/>
      <c r="CKU28" s="204"/>
      <c r="CKV28" s="204"/>
      <c r="CKW28" s="204"/>
      <c r="CKX28" s="204"/>
      <c r="CKY28" s="204"/>
      <c r="CKZ28" s="204"/>
      <c r="CLA28" s="204"/>
      <c r="CLB28" s="204"/>
      <c r="CLC28" s="204"/>
      <c r="CLD28" s="204"/>
      <c r="CLE28" s="204"/>
      <c r="CLF28" s="204"/>
      <c r="CLG28" s="204"/>
      <c r="CLH28" s="204"/>
      <c r="CLI28" s="204"/>
      <c r="CLJ28" s="204"/>
      <c r="CLK28" s="204"/>
      <c r="CLL28" s="204"/>
      <c r="CLM28" s="204"/>
      <c r="CLN28" s="204"/>
      <c r="CLO28" s="204"/>
      <c r="CLP28" s="204"/>
      <c r="CLQ28" s="204"/>
      <c r="CLR28" s="204"/>
      <c r="CLS28" s="204"/>
      <c r="CLT28" s="204"/>
      <c r="CLU28" s="204"/>
      <c r="CLV28" s="204"/>
      <c r="CLW28" s="204"/>
      <c r="CLX28" s="204"/>
      <c r="CLY28" s="204"/>
      <c r="CLZ28" s="204"/>
      <c r="CMA28" s="204"/>
      <c r="CMB28" s="204"/>
      <c r="CMC28" s="204"/>
      <c r="CMD28" s="204"/>
      <c r="CME28" s="204"/>
      <c r="CMF28" s="204"/>
      <c r="CMG28" s="204"/>
      <c r="CMH28" s="204"/>
      <c r="CMI28" s="204"/>
      <c r="CMJ28" s="204"/>
      <c r="CMK28" s="204"/>
      <c r="CML28" s="204"/>
      <c r="CMM28" s="204"/>
      <c r="CMN28" s="204"/>
      <c r="CMO28" s="204"/>
      <c r="CMP28" s="204"/>
      <c r="CMQ28" s="204"/>
      <c r="CMR28" s="204"/>
      <c r="CMS28" s="204"/>
      <c r="CMT28" s="204"/>
      <c r="CMU28" s="204"/>
      <c r="CMV28" s="204"/>
      <c r="CMW28" s="204"/>
      <c r="CMX28" s="204"/>
      <c r="CMY28" s="204"/>
      <c r="CMZ28" s="204"/>
      <c r="CNA28" s="204"/>
      <c r="CNB28" s="204"/>
      <c r="CNC28" s="204"/>
      <c r="CND28" s="204"/>
      <c r="CNE28" s="204"/>
      <c r="CNF28" s="204"/>
      <c r="CNG28" s="204"/>
      <c r="CNH28" s="204"/>
      <c r="CNI28" s="204"/>
      <c r="CNJ28" s="204"/>
      <c r="CNK28" s="204"/>
      <c r="CNL28" s="204"/>
      <c r="CNM28" s="204"/>
      <c r="CNN28" s="204"/>
      <c r="CNO28" s="204"/>
      <c r="CNP28" s="204"/>
      <c r="CNQ28" s="204"/>
      <c r="CNR28" s="204"/>
      <c r="CNS28" s="204"/>
      <c r="CNT28" s="204"/>
      <c r="CNU28" s="204"/>
      <c r="CNV28" s="204"/>
      <c r="CNW28" s="204"/>
      <c r="CNX28" s="204"/>
      <c r="CNY28" s="204"/>
      <c r="CNZ28" s="204"/>
      <c r="COA28" s="204"/>
      <c r="COB28" s="204"/>
      <c r="COC28" s="204"/>
      <c r="COD28" s="204"/>
      <c r="COE28" s="204"/>
      <c r="COF28" s="204"/>
      <c r="COG28" s="204"/>
      <c r="COH28" s="204"/>
      <c r="COI28" s="204"/>
      <c r="COJ28" s="204"/>
      <c r="COK28" s="204"/>
      <c r="COL28" s="204"/>
      <c r="COM28" s="204"/>
      <c r="CON28" s="204"/>
      <c r="COO28" s="204"/>
      <c r="COP28" s="204"/>
      <c r="COQ28" s="204"/>
      <c r="COR28" s="204"/>
      <c r="COS28" s="204"/>
      <c r="COT28" s="204"/>
      <c r="COU28" s="204"/>
      <c r="COV28" s="204"/>
      <c r="COW28" s="204"/>
      <c r="COX28" s="204"/>
      <c r="COY28" s="204"/>
      <c r="COZ28" s="204"/>
      <c r="CPA28" s="204"/>
      <c r="CPB28" s="204"/>
      <c r="CPC28" s="204"/>
      <c r="CPD28" s="204"/>
      <c r="CPE28" s="204"/>
      <c r="CPF28" s="204"/>
      <c r="CPG28" s="204"/>
      <c r="CPH28" s="204"/>
      <c r="CPI28" s="204"/>
      <c r="CPJ28" s="204"/>
      <c r="CPK28" s="204"/>
      <c r="CPL28" s="204"/>
      <c r="CPM28" s="204"/>
      <c r="CPN28" s="204"/>
      <c r="CPO28" s="204"/>
      <c r="CPP28" s="204"/>
      <c r="CPQ28" s="204"/>
      <c r="CPR28" s="204"/>
      <c r="CPS28" s="204"/>
      <c r="CPT28" s="204"/>
      <c r="CPU28" s="204"/>
      <c r="CPV28" s="204"/>
      <c r="CPW28" s="204"/>
      <c r="CPX28" s="204"/>
      <c r="CPY28" s="204"/>
      <c r="CPZ28" s="204"/>
      <c r="CQA28" s="204"/>
      <c r="CQB28" s="204"/>
      <c r="CQC28" s="204"/>
      <c r="CQD28" s="204"/>
      <c r="CQE28" s="204"/>
      <c r="CQF28" s="204"/>
      <c r="CQG28" s="204"/>
      <c r="CQH28" s="204"/>
      <c r="CQI28" s="204"/>
      <c r="CQJ28" s="204"/>
      <c r="CQK28" s="204"/>
      <c r="CQL28" s="204"/>
      <c r="CQM28" s="204"/>
      <c r="CQN28" s="204"/>
      <c r="CQO28" s="204"/>
      <c r="CQP28" s="204"/>
      <c r="CQQ28" s="204"/>
      <c r="CQR28" s="204"/>
      <c r="CQS28" s="204"/>
      <c r="CQT28" s="204"/>
      <c r="CQU28" s="204"/>
      <c r="CQV28" s="204"/>
      <c r="CQW28" s="204"/>
      <c r="CQX28" s="204"/>
      <c r="CQY28" s="204"/>
      <c r="CQZ28" s="204"/>
      <c r="CRA28" s="204"/>
      <c r="CRB28" s="204"/>
      <c r="CRC28" s="204"/>
      <c r="CRD28" s="204"/>
      <c r="CRE28" s="204"/>
      <c r="CRF28" s="204"/>
      <c r="CRG28" s="204"/>
      <c r="CRH28" s="204"/>
      <c r="CRI28" s="204"/>
      <c r="CRJ28" s="204"/>
      <c r="CRK28" s="204"/>
      <c r="CRL28" s="204"/>
      <c r="CRM28" s="204"/>
      <c r="CRN28" s="204"/>
      <c r="CRO28" s="204"/>
      <c r="CRP28" s="204"/>
      <c r="CRQ28" s="204"/>
      <c r="CRR28" s="204"/>
      <c r="CRS28" s="204"/>
      <c r="CRT28" s="204"/>
      <c r="CRU28" s="204"/>
      <c r="CRV28" s="204"/>
      <c r="CRW28" s="204"/>
      <c r="CRX28" s="204"/>
      <c r="CRY28" s="204"/>
      <c r="CRZ28" s="204"/>
      <c r="CSA28" s="204"/>
      <c r="CSB28" s="204"/>
      <c r="CSC28" s="204"/>
      <c r="CSD28" s="204"/>
      <c r="CSE28" s="204"/>
      <c r="CSF28" s="204"/>
      <c r="CSG28" s="204"/>
      <c r="CSH28" s="204"/>
      <c r="CSI28" s="204"/>
      <c r="CSJ28" s="204"/>
      <c r="CSK28" s="204"/>
      <c r="CSL28" s="204"/>
      <c r="CSM28" s="204"/>
      <c r="CSN28" s="204"/>
      <c r="CSO28" s="204"/>
      <c r="CSP28" s="204"/>
      <c r="CSQ28" s="204"/>
      <c r="CSR28" s="204"/>
      <c r="CSS28" s="204"/>
      <c r="CST28" s="204"/>
      <c r="CSU28" s="204"/>
      <c r="CSV28" s="204"/>
      <c r="CSW28" s="204"/>
      <c r="CSX28" s="204"/>
      <c r="CSY28" s="204"/>
      <c r="CSZ28" s="204"/>
      <c r="CTA28" s="204"/>
      <c r="CTB28" s="204"/>
      <c r="CTC28" s="204"/>
      <c r="CTD28" s="204"/>
      <c r="CTE28" s="204"/>
      <c r="CTF28" s="204"/>
      <c r="CTG28" s="204"/>
      <c r="CTH28" s="204"/>
      <c r="CTI28" s="204"/>
      <c r="CTJ28" s="204"/>
      <c r="CTK28" s="204"/>
      <c r="CTL28" s="204"/>
      <c r="CTM28" s="204"/>
      <c r="CTN28" s="204"/>
      <c r="CTO28" s="204"/>
      <c r="CTP28" s="204"/>
      <c r="CTQ28" s="204"/>
      <c r="CTR28" s="204"/>
      <c r="CTS28" s="204"/>
      <c r="CTT28" s="204"/>
      <c r="CTU28" s="204"/>
      <c r="CTV28" s="204"/>
      <c r="CTW28" s="204"/>
      <c r="CTX28" s="204"/>
      <c r="CTY28" s="204"/>
      <c r="CTZ28" s="204"/>
      <c r="CUA28" s="204"/>
      <c r="CUB28" s="204"/>
      <c r="CUC28" s="204"/>
      <c r="CUD28" s="204"/>
      <c r="CUE28" s="204"/>
      <c r="CUF28" s="204"/>
      <c r="CUG28" s="204"/>
      <c r="CUH28" s="204"/>
      <c r="CUI28" s="204"/>
      <c r="CUJ28" s="204"/>
      <c r="CUK28" s="204"/>
      <c r="CUL28" s="204"/>
      <c r="CUM28" s="204"/>
      <c r="CUN28" s="204"/>
      <c r="CUO28" s="204"/>
      <c r="CUP28" s="204"/>
      <c r="CUQ28" s="204"/>
      <c r="CUR28" s="204"/>
      <c r="CUS28" s="204"/>
      <c r="CUT28" s="204"/>
      <c r="CUU28" s="204"/>
      <c r="CUV28" s="204"/>
      <c r="CUW28" s="204"/>
      <c r="CUX28" s="204"/>
      <c r="CUY28" s="204"/>
      <c r="CUZ28" s="204"/>
      <c r="CVA28" s="204"/>
      <c r="CVB28" s="204"/>
      <c r="CVC28" s="204"/>
      <c r="CVD28" s="204"/>
      <c r="CVE28" s="204"/>
      <c r="CVF28" s="204"/>
      <c r="CVG28" s="204"/>
      <c r="CVH28" s="204"/>
      <c r="CVI28" s="204"/>
      <c r="CVJ28" s="204"/>
      <c r="CVK28" s="204"/>
      <c r="CVL28" s="204"/>
      <c r="CVM28" s="204"/>
      <c r="CVN28" s="204"/>
      <c r="CVO28" s="204"/>
      <c r="CVP28" s="204"/>
      <c r="CVQ28" s="204"/>
      <c r="CVR28" s="204"/>
      <c r="CVS28" s="204"/>
      <c r="CVT28" s="204"/>
      <c r="CVU28" s="204"/>
      <c r="CVV28" s="204"/>
      <c r="CVW28" s="204"/>
      <c r="CVX28" s="204"/>
      <c r="CVY28" s="204"/>
      <c r="CVZ28" s="204"/>
      <c r="CWA28" s="204"/>
      <c r="CWB28" s="204"/>
      <c r="CWC28" s="204"/>
      <c r="CWD28" s="204"/>
      <c r="CWE28" s="204"/>
      <c r="CWF28" s="204"/>
      <c r="CWG28" s="204"/>
      <c r="CWH28" s="204"/>
      <c r="CWI28" s="204"/>
      <c r="CWJ28" s="204"/>
      <c r="CWK28" s="204"/>
      <c r="CWL28" s="204"/>
      <c r="CWM28" s="204"/>
      <c r="CWN28" s="204"/>
      <c r="CWO28" s="204"/>
      <c r="CWP28" s="204"/>
      <c r="CWQ28" s="204"/>
      <c r="CWR28" s="204"/>
      <c r="CWS28" s="204"/>
      <c r="CWT28" s="204"/>
      <c r="CWU28" s="204"/>
      <c r="CWV28" s="204"/>
      <c r="CWW28" s="204"/>
      <c r="CWX28" s="204"/>
      <c r="CWY28" s="204"/>
      <c r="CWZ28" s="204"/>
      <c r="CXA28" s="204"/>
      <c r="CXB28" s="204"/>
      <c r="CXC28" s="204"/>
      <c r="CXD28" s="204"/>
      <c r="CXE28" s="204"/>
      <c r="CXF28" s="204"/>
      <c r="CXG28" s="204"/>
      <c r="CXH28" s="204"/>
      <c r="CXI28" s="204"/>
      <c r="CXJ28" s="204"/>
      <c r="CXK28" s="204"/>
      <c r="CXL28" s="204"/>
      <c r="CXM28" s="204"/>
      <c r="CXN28" s="204"/>
      <c r="CXO28" s="204"/>
      <c r="CXP28" s="204"/>
      <c r="CXQ28" s="204"/>
      <c r="CXR28" s="204"/>
      <c r="CXS28" s="204"/>
      <c r="CXT28" s="204"/>
      <c r="CXU28" s="204"/>
      <c r="CXV28" s="204"/>
      <c r="CXW28" s="204"/>
      <c r="CXX28" s="204"/>
      <c r="CXY28" s="204"/>
      <c r="CXZ28" s="204"/>
      <c r="CYA28" s="204"/>
      <c r="CYB28" s="204"/>
      <c r="CYC28" s="204"/>
      <c r="CYD28" s="204"/>
      <c r="CYE28" s="204"/>
      <c r="CYF28" s="204"/>
      <c r="CYG28" s="204"/>
      <c r="CYH28" s="204"/>
      <c r="CYI28" s="204"/>
      <c r="CYJ28" s="204"/>
      <c r="CYK28" s="204"/>
      <c r="CYL28" s="204"/>
      <c r="CYM28" s="204"/>
      <c r="CYN28" s="204"/>
      <c r="CYO28" s="204"/>
      <c r="CYP28" s="204"/>
      <c r="CYQ28" s="204"/>
      <c r="CYR28" s="204"/>
      <c r="CYS28" s="204"/>
      <c r="CYT28" s="204"/>
      <c r="CYU28" s="204"/>
      <c r="CYV28" s="204"/>
      <c r="CYW28" s="204"/>
      <c r="CYX28" s="204"/>
      <c r="CYY28" s="204"/>
      <c r="CYZ28" s="204"/>
      <c r="CZA28" s="204"/>
      <c r="CZB28" s="204"/>
      <c r="CZC28" s="204"/>
      <c r="CZD28" s="204"/>
      <c r="CZE28" s="204"/>
      <c r="CZF28" s="204"/>
      <c r="CZG28" s="204"/>
      <c r="CZH28" s="204"/>
      <c r="CZI28" s="204"/>
      <c r="CZJ28" s="204"/>
      <c r="CZK28" s="204"/>
      <c r="CZL28" s="204"/>
      <c r="CZM28" s="204"/>
      <c r="CZN28" s="204"/>
      <c r="CZO28" s="204"/>
      <c r="CZP28" s="204"/>
      <c r="CZQ28" s="204"/>
      <c r="CZR28" s="204"/>
      <c r="CZS28" s="204"/>
      <c r="CZT28" s="204"/>
      <c r="CZU28" s="204"/>
      <c r="CZV28" s="204"/>
      <c r="CZW28" s="204"/>
      <c r="CZX28" s="204"/>
      <c r="CZY28" s="204"/>
      <c r="CZZ28" s="204"/>
      <c r="DAA28" s="204"/>
      <c r="DAB28" s="204"/>
      <c r="DAC28" s="204"/>
      <c r="DAD28" s="204"/>
      <c r="DAE28" s="204"/>
      <c r="DAF28" s="204"/>
      <c r="DAG28" s="204"/>
      <c r="DAH28" s="204"/>
      <c r="DAI28" s="204"/>
      <c r="DAJ28" s="204"/>
      <c r="DAK28" s="204"/>
      <c r="DAL28" s="204"/>
      <c r="DAM28" s="204"/>
      <c r="DAN28" s="204"/>
      <c r="DAO28" s="204"/>
      <c r="DAP28" s="204"/>
      <c r="DAQ28" s="204"/>
      <c r="DAR28" s="204"/>
      <c r="DAS28" s="204"/>
      <c r="DAT28" s="204"/>
      <c r="DAU28" s="204"/>
      <c r="DAV28" s="204"/>
      <c r="DAW28" s="204"/>
      <c r="DAX28" s="204"/>
      <c r="DAY28" s="204"/>
      <c r="DAZ28" s="204"/>
      <c r="DBA28" s="204"/>
      <c r="DBB28" s="204"/>
      <c r="DBC28" s="204"/>
      <c r="DBD28" s="204"/>
      <c r="DBE28" s="204"/>
      <c r="DBF28" s="204"/>
      <c r="DBG28" s="204"/>
      <c r="DBH28" s="204"/>
      <c r="DBI28" s="204"/>
      <c r="DBJ28" s="204"/>
      <c r="DBK28" s="204"/>
      <c r="DBL28" s="204"/>
      <c r="DBM28" s="204"/>
      <c r="DBN28" s="204"/>
      <c r="DBO28" s="204"/>
      <c r="DBP28" s="204"/>
      <c r="DBQ28" s="204"/>
      <c r="DBR28" s="204"/>
      <c r="DBS28" s="204"/>
      <c r="DBT28" s="204"/>
      <c r="DBU28" s="204"/>
      <c r="DBV28" s="204"/>
      <c r="DBW28" s="204"/>
      <c r="DBX28" s="204"/>
      <c r="DBY28" s="204"/>
      <c r="DBZ28" s="204"/>
      <c r="DCA28" s="204"/>
      <c r="DCB28" s="204"/>
      <c r="DCC28" s="204"/>
      <c r="DCD28" s="204"/>
      <c r="DCE28" s="204"/>
      <c r="DCF28" s="204"/>
      <c r="DCG28" s="204"/>
      <c r="DCH28" s="204"/>
      <c r="DCI28" s="204"/>
      <c r="DCJ28" s="204"/>
      <c r="DCK28" s="204"/>
      <c r="DCL28" s="204"/>
      <c r="DCM28" s="204"/>
      <c r="DCN28" s="204"/>
      <c r="DCO28" s="204"/>
      <c r="DCP28" s="204"/>
      <c r="DCQ28" s="204"/>
      <c r="DCR28" s="204"/>
      <c r="DCS28" s="204"/>
      <c r="DCT28" s="204"/>
      <c r="DCU28" s="204"/>
      <c r="DCV28" s="204"/>
      <c r="DCW28" s="204"/>
      <c r="DCX28" s="204"/>
      <c r="DCY28" s="204"/>
      <c r="DCZ28" s="204"/>
      <c r="DDA28" s="204"/>
      <c r="DDB28" s="204"/>
      <c r="DDC28" s="204"/>
      <c r="DDD28" s="204"/>
      <c r="DDE28" s="204"/>
      <c r="DDF28" s="204"/>
      <c r="DDG28" s="204"/>
      <c r="DDH28" s="204"/>
      <c r="DDI28" s="204"/>
      <c r="DDJ28" s="204"/>
      <c r="DDK28" s="204"/>
      <c r="DDL28" s="204"/>
      <c r="DDM28" s="204"/>
      <c r="DDN28" s="204"/>
      <c r="DDO28" s="204"/>
      <c r="DDP28" s="204"/>
      <c r="DDQ28" s="204"/>
      <c r="DDR28" s="204"/>
      <c r="DDS28" s="204"/>
      <c r="DDT28" s="204"/>
      <c r="DDU28" s="204"/>
      <c r="DDV28" s="204"/>
      <c r="DDW28" s="204"/>
      <c r="DDX28" s="204"/>
      <c r="DDY28" s="204"/>
      <c r="DDZ28" s="204"/>
      <c r="DEA28" s="204"/>
      <c r="DEB28" s="204"/>
      <c r="DEC28" s="204"/>
      <c r="DED28" s="204"/>
      <c r="DEE28" s="204"/>
      <c r="DEF28" s="204"/>
      <c r="DEG28" s="204"/>
      <c r="DEH28" s="204"/>
      <c r="DEI28" s="204"/>
      <c r="DEJ28" s="204"/>
      <c r="DEK28" s="204"/>
      <c r="DEL28" s="204"/>
      <c r="DEM28" s="204"/>
      <c r="DEN28" s="204"/>
      <c r="DEO28" s="204"/>
      <c r="DEP28" s="204"/>
      <c r="DEQ28" s="204"/>
      <c r="DER28" s="204"/>
      <c r="DES28" s="204"/>
      <c r="DET28" s="204"/>
      <c r="DEU28" s="204"/>
      <c r="DEV28" s="204"/>
      <c r="DEW28" s="204"/>
      <c r="DEX28" s="204"/>
      <c r="DEY28" s="204"/>
      <c r="DEZ28" s="204"/>
      <c r="DFA28" s="204"/>
      <c r="DFB28" s="204"/>
      <c r="DFC28" s="204"/>
      <c r="DFD28" s="204"/>
      <c r="DFE28" s="204"/>
      <c r="DFF28" s="204"/>
      <c r="DFG28" s="204"/>
      <c r="DFH28" s="204"/>
      <c r="DFI28" s="204"/>
      <c r="DFJ28" s="204"/>
      <c r="DFK28" s="204"/>
      <c r="DFL28" s="204"/>
      <c r="DFM28" s="204"/>
      <c r="DFN28" s="204"/>
      <c r="DFO28" s="204"/>
      <c r="DFP28" s="204"/>
      <c r="DFQ28" s="204"/>
      <c r="DFR28" s="204"/>
      <c r="DFS28" s="204"/>
      <c r="DFT28" s="204"/>
      <c r="DFU28" s="204"/>
      <c r="DFV28" s="204"/>
      <c r="DFW28" s="204"/>
      <c r="DFX28" s="204"/>
      <c r="DFY28" s="204"/>
      <c r="DFZ28" s="204"/>
      <c r="DGA28" s="204"/>
      <c r="DGB28" s="204"/>
      <c r="DGC28" s="204"/>
      <c r="DGD28" s="204"/>
      <c r="DGE28" s="204"/>
      <c r="DGF28" s="204"/>
      <c r="DGG28" s="204"/>
      <c r="DGH28" s="204"/>
      <c r="DGI28" s="204"/>
      <c r="DGJ28" s="204"/>
      <c r="DGK28" s="204"/>
      <c r="DGL28" s="204"/>
      <c r="DGM28" s="204"/>
      <c r="DGN28" s="204"/>
      <c r="DGO28" s="204"/>
      <c r="DGP28" s="204"/>
      <c r="DGQ28" s="204"/>
      <c r="DGR28" s="204"/>
      <c r="DGS28" s="204"/>
      <c r="DGT28" s="204"/>
      <c r="DGU28" s="204"/>
      <c r="DGV28" s="204"/>
      <c r="DGW28" s="204"/>
      <c r="DGX28" s="204"/>
      <c r="DGY28" s="204"/>
      <c r="DGZ28" s="204"/>
      <c r="DHA28" s="204"/>
      <c r="DHB28" s="204"/>
      <c r="DHC28" s="204"/>
      <c r="DHD28" s="204"/>
      <c r="DHE28" s="204"/>
      <c r="DHF28" s="204"/>
      <c r="DHG28" s="204"/>
      <c r="DHH28" s="204"/>
      <c r="DHI28" s="204"/>
      <c r="DHJ28" s="204"/>
      <c r="DHK28" s="204"/>
      <c r="DHL28" s="204"/>
      <c r="DHM28" s="204"/>
      <c r="DHN28" s="204"/>
      <c r="DHO28" s="204"/>
      <c r="DHP28" s="204"/>
      <c r="DHQ28" s="204"/>
      <c r="DHR28" s="204"/>
      <c r="DHS28" s="204"/>
      <c r="DHT28" s="204"/>
      <c r="DHU28" s="204"/>
      <c r="DHV28" s="204"/>
      <c r="DHW28" s="204"/>
      <c r="DHX28" s="204"/>
      <c r="DHY28" s="204"/>
      <c r="DHZ28" s="204"/>
      <c r="DIA28" s="204"/>
      <c r="DIB28" s="204"/>
      <c r="DIC28" s="204"/>
      <c r="DID28" s="204"/>
      <c r="DIE28" s="204"/>
      <c r="DIF28" s="204"/>
      <c r="DIG28" s="204"/>
      <c r="DIH28" s="204"/>
      <c r="DII28" s="204"/>
      <c r="DIJ28" s="204"/>
      <c r="DIK28" s="204"/>
      <c r="DIL28" s="204"/>
      <c r="DIM28" s="204"/>
      <c r="DIN28" s="204"/>
      <c r="DIO28" s="204"/>
      <c r="DIP28" s="204"/>
      <c r="DIQ28" s="204"/>
      <c r="DIR28" s="204"/>
      <c r="DIS28" s="204"/>
      <c r="DIT28" s="204"/>
      <c r="DIU28" s="204"/>
      <c r="DIV28" s="204"/>
      <c r="DIW28" s="204"/>
      <c r="DIX28" s="204"/>
      <c r="DIY28" s="204"/>
      <c r="DIZ28" s="204"/>
      <c r="DJA28" s="204"/>
      <c r="DJB28" s="204"/>
      <c r="DJC28" s="204"/>
      <c r="DJD28" s="204"/>
      <c r="DJE28" s="204"/>
      <c r="DJF28" s="204"/>
      <c r="DJG28" s="204"/>
      <c r="DJH28" s="204"/>
      <c r="DJI28" s="204"/>
      <c r="DJJ28" s="204"/>
      <c r="DJK28" s="204"/>
      <c r="DJL28" s="204"/>
      <c r="DJM28" s="204"/>
      <c r="DJN28" s="204"/>
      <c r="DJO28" s="204"/>
      <c r="DJP28" s="204"/>
      <c r="DJQ28" s="204"/>
      <c r="DJR28" s="204"/>
      <c r="DJS28" s="204"/>
      <c r="DJT28" s="204"/>
      <c r="DJU28" s="204"/>
      <c r="DJV28" s="204"/>
      <c r="DJW28" s="204"/>
      <c r="DJX28" s="204"/>
      <c r="DJY28" s="204"/>
      <c r="DJZ28" s="204"/>
      <c r="DKA28" s="204"/>
      <c r="DKB28" s="204"/>
      <c r="DKC28" s="204"/>
      <c r="DKD28" s="204"/>
      <c r="DKE28" s="204"/>
      <c r="DKF28" s="204"/>
      <c r="DKG28" s="204"/>
      <c r="DKH28" s="204"/>
      <c r="DKI28" s="204"/>
      <c r="DKJ28" s="204"/>
      <c r="DKK28" s="204"/>
      <c r="DKL28" s="204"/>
      <c r="DKM28" s="204"/>
      <c r="DKN28" s="204"/>
      <c r="DKO28" s="204"/>
      <c r="DKP28" s="204"/>
      <c r="DKQ28" s="204"/>
      <c r="DKR28" s="204"/>
      <c r="DKS28" s="204"/>
      <c r="DKT28" s="204"/>
      <c r="DKU28" s="204"/>
      <c r="DKV28" s="204"/>
      <c r="DKW28" s="204"/>
      <c r="DKX28" s="204"/>
      <c r="DKY28" s="204"/>
      <c r="DKZ28" s="204"/>
      <c r="DLA28" s="204"/>
      <c r="DLB28" s="204"/>
      <c r="DLC28" s="204"/>
      <c r="DLD28" s="204"/>
      <c r="DLE28" s="204"/>
      <c r="DLF28" s="204"/>
      <c r="DLG28" s="204"/>
      <c r="DLH28" s="204"/>
      <c r="DLI28" s="204"/>
      <c r="DLJ28" s="204"/>
      <c r="DLK28" s="204"/>
      <c r="DLL28" s="204"/>
      <c r="DLM28" s="204"/>
      <c r="DLN28" s="204"/>
      <c r="DLO28" s="204"/>
      <c r="DLP28" s="204"/>
      <c r="DLQ28" s="204"/>
      <c r="DLR28" s="204"/>
      <c r="DLS28" s="204"/>
      <c r="DLT28" s="204"/>
      <c r="DLU28" s="204"/>
      <c r="DLV28" s="204"/>
      <c r="DLW28" s="204"/>
      <c r="DLX28" s="204"/>
      <c r="DLY28" s="204"/>
      <c r="DLZ28" s="204"/>
      <c r="DMA28" s="204"/>
      <c r="DMB28" s="204"/>
      <c r="DMC28" s="204"/>
      <c r="DMD28" s="204"/>
      <c r="DME28" s="204"/>
      <c r="DMF28" s="204"/>
      <c r="DMG28" s="204"/>
      <c r="DMH28" s="204"/>
      <c r="DMI28" s="204"/>
      <c r="DMJ28" s="204"/>
      <c r="DMK28" s="204"/>
      <c r="DML28" s="204"/>
      <c r="DMM28" s="204"/>
      <c r="DMN28" s="204"/>
      <c r="DMO28" s="204"/>
      <c r="DMP28" s="204"/>
      <c r="DMQ28" s="204"/>
      <c r="DMR28" s="204"/>
      <c r="DMS28" s="204"/>
      <c r="DMT28" s="204"/>
      <c r="DMU28" s="204"/>
      <c r="DMV28" s="204"/>
      <c r="DMW28" s="204"/>
      <c r="DMX28" s="204"/>
      <c r="DMY28" s="204"/>
      <c r="DMZ28" s="204"/>
      <c r="DNA28" s="204"/>
      <c r="DNB28" s="204"/>
      <c r="DNC28" s="204"/>
      <c r="DND28" s="204"/>
      <c r="DNE28" s="204"/>
      <c r="DNF28" s="204"/>
      <c r="DNG28" s="204"/>
      <c r="DNH28" s="204"/>
      <c r="DNI28" s="204"/>
      <c r="DNJ28" s="204"/>
      <c r="DNK28" s="204"/>
      <c r="DNL28" s="204"/>
      <c r="DNM28" s="204"/>
      <c r="DNN28" s="204"/>
      <c r="DNO28" s="204"/>
      <c r="DNP28" s="204"/>
      <c r="DNQ28" s="204"/>
      <c r="DNR28" s="204"/>
      <c r="DNS28" s="204"/>
      <c r="DNT28" s="204"/>
      <c r="DNU28" s="204"/>
      <c r="DNV28" s="204"/>
      <c r="DNW28" s="204"/>
      <c r="DNX28" s="204"/>
      <c r="DNY28" s="204"/>
      <c r="DNZ28" s="204"/>
      <c r="DOA28" s="204"/>
      <c r="DOB28" s="204"/>
      <c r="DOC28" s="204"/>
      <c r="DOD28" s="204"/>
      <c r="DOE28" s="204"/>
      <c r="DOF28" s="204"/>
      <c r="DOG28" s="204"/>
      <c r="DOH28" s="204"/>
      <c r="DOI28" s="204"/>
      <c r="DOJ28" s="204"/>
      <c r="DOK28" s="204"/>
      <c r="DOL28" s="204"/>
      <c r="DOM28" s="204"/>
      <c r="DON28" s="204"/>
      <c r="DOO28" s="204"/>
      <c r="DOP28" s="204"/>
      <c r="DOQ28" s="204"/>
      <c r="DOR28" s="204"/>
      <c r="DOS28" s="204"/>
      <c r="DOT28" s="204"/>
      <c r="DOU28" s="204"/>
      <c r="DOV28" s="204"/>
      <c r="DOW28" s="204"/>
      <c r="DOX28" s="204"/>
      <c r="DOY28" s="204"/>
      <c r="DOZ28" s="204"/>
      <c r="DPA28" s="204"/>
      <c r="DPB28" s="204"/>
      <c r="DPC28" s="204"/>
      <c r="DPD28" s="204"/>
      <c r="DPE28" s="204"/>
      <c r="DPF28" s="204"/>
      <c r="DPG28" s="204"/>
      <c r="DPH28" s="204"/>
      <c r="DPI28" s="204"/>
      <c r="DPJ28" s="204"/>
      <c r="DPK28" s="204"/>
      <c r="DPL28" s="204"/>
      <c r="DPM28" s="204"/>
      <c r="DPN28" s="204"/>
      <c r="DPO28" s="204"/>
      <c r="DPP28" s="204"/>
      <c r="DPQ28" s="204"/>
      <c r="DPR28" s="204"/>
      <c r="DPS28" s="204"/>
      <c r="DPT28" s="204"/>
      <c r="DPU28" s="204"/>
      <c r="DPV28" s="204"/>
      <c r="DPW28" s="204"/>
      <c r="DPX28" s="204"/>
      <c r="DPY28" s="204"/>
      <c r="DPZ28" s="204"/>
      <c r="DQA28" s="204"/>
      <c r="DQB28" s="204"/>
      <c r="DQC28" s="204"/>
      <c r="DQD28" s="204"/>
      <c r="DQE28" s="204"/>
      <c r="DQF28" s="204"/>
      <c r="DQG28" s="204"/>
      <c r="DQH28" s="204"/>
      <c r="DQI28" s="204"/>
      <c r="DQJ28" s="204"/>
      <c r="DQK28" s="204"/>
      <c r="DQL28" s="204"/>
      <c r="DQM28" s="204"/>
      <c r="DQN28" s="204"/>
      <c r="DQO28" s="204"/>
      <c r="DQP28" s="204"/>
      <c r="DQQ28" s="204"/>
      <c r="DQR28" s="204"/>
      <c r="DQS28" s="204"/>
      <c r="DQT28" s="204"/>
      <c r="DQU28" s="204"/>
      <c r="DQV28" s="204"/>
      <c r="DQW28" s="204"/>
      <c r="DQX28" s="204"/>
      <c r="DQY28" s="204"/>
      <c r="DQZ28" s="204"/>
      <c r="DRA28" s="204"/>
      <c r="DRB28" s="204"/>
      <c r="DRC28" s="204"/>
      <c r="DRD28" s="204"/>
      <c r="DRE28" s="204"/>
      <c r="DRF28" s="204"/>
      <c r="DRG28" s="204"/>
      <c r="DRH28" s="204"/>
      <c r="DRI28" s="204"/>
      <c r="DRJ28" s="204"/>
      <c r="DRK28" s="204"/>
      <c r="DRL28" s="204"/>
      <c r="DRM28" s="204"/>
      <c r="DRN28" s="204"/>
      <c r="DRO28" s="204"/>
      <c r="DRP28" s="204"/>
      <c r="DRQ28" s="204"/>
      <c r="DRR28" s="204"/>
      <c r="DRS28" s="204"/>
      <c r="DRT28" s="204"/>
      <c r="DRU28" s="204"/>
      <c r="DRV28" s="204"/>
      <c r="DRW28" s="204"/>
      <c r="DRX28" s="204"/>
      <c r="DRY28" s="204"/>
      <c r="DRZ28" s="204"/>
      <c r="DSA28" s="204"/>
      <c r="DSB28" s="204"/>
      <c r="DSC28" s="204"/>
      <c r="DSD28" s="204"/>
      <c r="DSE28" s="204"/>
      <c r="DSF28" s="204"/>
      <c r="DSG28" s="204"/>
      <c r="DSH28" s="204"/>
      <c r="DSI28" s="204"/>
      <c r="DSJ28" s="204"/>
      <c r="DSK28" s="204"/>
      <c r="DSL28" s="204"/>
      <c r="DSM28" s="204"/>
      <c r="DSN28" s="204"/>
      <c r="DSO28" s="204"/>
      <c r="DSP28" s="204"/>
      <c r="DSQ28" s="204"/>
      <c r="DSR28" s="204"/>
      <c r="DSS28" s="204"/>
      <c r="DST28" s="204"/>
      <c r="DSU28" s="204"/>
      <c r="DSV28" s="204"/>
      <c r="DSW28" s="204"/>
      <c r="DSX28" s="204"/>
      <c r="DSY28" s="204"/>
      <c r="DSZ28" s="204"/>
      <c r="DTA28" s="204"/>
      <c r="DTB28" s="204"/>
      <c r="DTC28" s="204"/>
      <c r="DTD28" s="204"/>
      <c r="DTE28" s="204"/>
      <c r="DTF28" s="204"/>
      <c r="DTG28" s="204"/>
      <c r="DTH28" s="204"/>
      <c r="DTI28" s="204"/>
      <c r="DTJ28" s="204"/>
      <c r="DTK28" s="204"/>
      <c r="DTL28" s="204"/>
      <c r="DTM28" s="204"/>
      <c r="DTN28" s="204"/>
      <c r="DTO28" s="204"/>
      <c r="DTP28" s="204"/>
      <c r="DTQ28" s="204"/>
      <c r="DTR28" s="204"/>
      <c r="DTS28" s="204"/>
      <c r="DTT28" s="204"/>
      <c r="DTU28" s="204"/>
      <c r="DTV28" s="204"/>
      <c r="DTW28" s="204"/>
      <c r="DTX28" s="204"/>
      <c r="DTY28" s="204"/>
      <c r="DTZ28" s="204"/>
      <c r="DUA28" s="204"/>
      <c r="DUB28" s="204"/>
      <c r="DUC28" s="204"/>
      <c r="DUD28" s="204"/>
      <c r="DUE28" s="204"/>
      <c r="DUF28" s="204"/>
      <c r="DUG28" s="204"/>
      <c r="DUH28" s="204"/>
      <c r="DUI28" s="204"/>
      <c r="DUJ28" s="204"/>
      <c r="DUK28" s="204"/>
      <c r="DUL28" s="204"/>
      <c r="DUM28" s="204"/>
      <c r="DUN28" s="204"/>
      <c r="DUO28" s="204"/>
      <c r="DUP28" s="204"/>
      <c r="DUQ28" s="204"/>
      <c r="DUR28" s="204"/>
      <c r="DUS28" s="204"/>
      <c r="DUT28" s="204"/>
      <c r="DUU28" s="204"/>
      <c r="DUV28" s="204"/>
      <c r="DUW28" s="204"/>
      <c r="DUX28" s="204"/>
      <c r="DUY28" s="204"/>
      <c r="DUZ28" s="204"/>
      <c r="DVA28" s="204"/>
      <c r="DVB28" s="204"/>
      <c r="DVC28" s="204"/>
      <c r="DVD28" s="204"/>
      <c r="DVE28" s="204"/>
      <c r="DVF28" s="204"/>
      <c r="DVG28" s="204"/>
      <c r="DVH28" s="204"/>
      <c r="DVI28" s="204"/>
      <c r="DVJ28" s="204"/>
      <c r="DVK28" s="204"/>
      <c r="DVL28" s="204"/>
      <c r="DVM28" s="204"/>
      <c r="DVN28" s="204"/>
      <c r="DVO28" s="204"/>
      <c r="DVP28" s="204"/>
      <c r="DVQ28" s="204"/>
      <c r="DVR28" s="204"/>
      <c r="DVS28" s="204"/>
      <c r="DVT28" s="204"/>
      <c r="DVU28" s="204"/>
      <c r="DVV28" s="204"/>
      <c r="DVW28" s="204"/>
      <c r="DVX28" s="204"/>
      <c r="DVY28" s="204"/>
      <c r="DVZ28" s="204"/>
      <c r="DWA28" s="204"/>
      <c r="DWB28" s="204"/>
      <c r="DWC28" s="204"/>
      <c r="DWD28" s="204"/>
      <c r="DWE28" s="204"/>
      <c r="DWF28" s="204"/>
      <c r="DWG28" s="204"/>
      <c r="DWH28" s="204"/>
      <c r="DWI28" s="204"/>
      <c r="DWJ28" s="204"/>
      <c r="DWK28" s="204"/>
      <c r="DWL28" s="204"/>
      <c r="DWM28" s="204"/>
      <c r="DWN28" s="204"/>
      <c r="DWO28" s="204"/>
      <c r="DWP28" s="204"/>
      <c r="DWQ28" s="204"/>
      <c r="DWR28" s="204"/>
      <c r="DWS28" s="204"/>
      <c r="DWT28" s="204"/>
      <c r="DWU28" s="204"/>
      <c r="DWV28" s="204"/>
      <c r="DWW28" s="204"/>
      <c r="DWX28" s="204"/>
      <c r="DWY28" s="204"/>
      <c r="DWZ28" s="204"/>
      <c r="DXA28" s="204"/>
      <c r="DXB28" s="204"/>
      <c r="DXC28" s="204"/>
      <c r="DXD28" s="204"/>
      <c r="DXE28" s="204"/>
      <c r="DXF28" s="204"/>
      <c r="DXG28" s="204"/>
      <c r="DXH28" s="204"/>
      <c r="DXI28" s="204"/>
      <c r="DXJ28" s="204"/>
      <c r="DXK28" s="204"/>
      <c r="DXL28" s="204"/>
      <c r="DXM28" s="204"/>
      <c r="DXN28" s="204"/>
      <c r="DXO28" s="204"/>
      <c r="DXP28" s="204"/>
      <c r="DXQ28" s="204"/>
      <c r="DXR28" s="204"/>
      <c r="DXS28" s="204"/>
      <c r="DXT28" s="204"/>
      <c r="DXU28" s="204"/>
      <c r="DXV28" s="204"/>
      <c r="DXW28" s="204"/>
      <c r="DXX28" s="204"/>
      <c r="DXY28" s="204"/>
      <c r="DXZ28" s="204"/>
      <c r="DYA28" s="204"/>
      <c r="DYB28" s="204"/>
      <c r="DYC28" s="204"/>
      <c r="DYD28" s="204"/>
      <c r="DYE28" s="204"/>
      <c r="DYF28" s="204"/>
      <c r="DYG28" s="204"/>
      <c r="DYH28" s="204"/>
      <c r="DYI28" s="204"/>
      <c r="DYJ28" s="204"/>
      <c r="DYK28" s="204"/>
      <c r="DYL28" s="204"/>
      <c r="DYM28" s="204"/>
      <c r="DYN28" s="204"/>
      <c r="DYO28" s="204"/>
      <c r="DYP28" s="204"/>
      <c r="DYQ28" s="204"/>
      <c r="DYR28" s="204"/>
      <c r="DYS28" s="204"/>
      <c r="DYT28" s="204"/>
      <c r="DYU28" s="204"/>
      <c r="DYV28" s="204"/>
      <c r="DYW28" s="204"/>
      <c r="DYX28" s="204"/>
      <c r="DYY28" s="204"/>
      <c r="DYZ28" s="204"/>
      <c r="DZA28" s="204"/>
      <c r="DZB28" s="204"/>
      <c r="DZC28" s="204"/>
      <c r="DZD28" s="204"/>
      <c r="DZE28" s="204"/>
      <c r="DZF28" s="204"/>
      <c r="DZG28" s="204"/>
      <c r="DZH28" s="204"/>
      <c r="DZI28" s="204"/>
      <c r="DZJ28" s="204"/>
      <c r="DZK28" s="204"/>
      <c r="DZL28" s="204"/>
      <c r="DZM28" s="204"/>
      <c r="DZN28" s="204"/>
      <c r="DZO28" s="204"/>
      <c r="DZP28" s="204"/>
      <c r="DZQ28" s="204"/>
      <c r="DZR28" s="204"/>
      <c r="DZS28" s="204"/>
      <c r="DZT28" s="204"/>
      <c r="DZU28" s="204"/>
      <c r="DZV28" s="204"/>
      <c r="DZW28" s="204"/>
      <c r="DZX28" s="204"/>
      <c r="DZY28" s="204"/>
      <c r="DZZ28" s="204"/>
      <c r="EAA28" s="204"/>
      <c r="EAB28" s="204"/>
      <c r="EAC28" s="204"/>
      <c r="EAD28" s="204"/>
      <c r="EAE28" s="204"/>
      <c r="EAF28" s="204"/>
      <c r="EAG28" s="204"/>
      <c r="EAH28" s="204"/>
      <c r="EAI28" s="204"/>
      <c r="EAJ28" s="204"/>
      <c r="EAK28" s="204"/>
      <c r="EAL28" s="204"/>
      <c r="EAM28" s="204"/>
      <c r="EAN28" s="204"/>
      <c r="EAO28" s="204"/>
      <c r="EAP28" s="204"/>
      <c r="EAQ28" s="204"/>
      <c r="EAR28" s="204"/>
      <c r="EAS28" s="204"/>
      <c r="EAT28" s="204"/>
      <c r="EAU28" s="204"/>
      <c r="EAV28" s="204"/>
      <c r="EAW28" s="204"/>
      <c r="EAX28" s="204"/>
      <c r="EAY28" s="204"/>
      <c r="EAZ28" s="204"/>
      <c r="EBA28" s="204"/>
      <c r="EBB28" s="204"/>
      <c r="EBC28" s="204"/>
      <c r="EBD28" s="204"/>
      <c r="EBE28" s="204"/>
      <c r="EBF28" s="204"/>
      <c r="EBG28" s="204"/>
      <c r="EBH28" s="204"/>
      <c r="EBI28" s="204"/>
      <c r="EBJ28" s="204"/>
      <c r="EBK28" s="204"/>
      <c r="EBL28" s="204"/>
      <c r="EBM28" s="204"/>
      <c r="EBN28" s="204"/>
      <c r="EBO28" s="204"/>
      <c r="EBP28" s="204"/>
      <c r="EBQ28" s="204"/>
      <c r="EBR28" s="204"/>
      <c r="EBS28" s="204"/>
      <c r="EBT28" s="204"/>
      <c r="EBU28" s="204"/>
      <c r="EBV28" s="204"/>
      <c r="EBW28" s="204"/>
      <c r="EBX28" s="204"/>
      <c r="EBY28" s="204"/>
      <c r="EBZ28" s="204"/>
      <c r="ECA28" s="204"/>
      <c r="ECB28" s="204"/>
      <c r="ECC28" s="204"/>
      <c r="ECD28" s="204"/>
      <c r="ECE28" s="204"/>
      <c r="ECF28" s="204"/>
      <c r="ECG28" s="204"/>
      <c r="ECH28" s="204"/>
      <c r="ECI28" s="204"/>
      <c r="ECJ28" s="204"/>
      <c r="ECK28" s="204"/>
      <c r="ECL28" s="204"/>
      <c r="ECM28" s="204"/>
      <c r="ECN28" s="204"/>
      <c r="ECO28" s="204"/>
      <c r="ECP28" s="204"/>
      <c r="ECQ28" s="204"/>
      <c r="ECR28" s="204"/>
      <c r="ECS28" s="204"/>
      <c r="ECT28" s="204"/>
      <c r="ECU28" s="204"/>
      <c r="ECV28" s="204"/>
      <c r="ECW28" s="204"/>
      <c r="ECX28" s="204"/>
      <c r="ECY28" s="204"/>
      <c r="ECZ28" s="204"/>
      <c r="EDA28" s="204"/>
      <c r="EDB28" s="204"/>
      <c r="EDC28" s="204"/>
      <c r="EDD28" s="204"/>
      <c r="EDE28" s="204"/>
      <c r="EDF28" s="204"/>
      <c r="EDG28" s="204"/>
      <c r="EDH28" s="204"/>
      <c r="EDI28" s="204"/>
      <c r="EDJ28" s="204"/>
      <c r="EDK28" s="204"/>
      <c r="EDL28" s="204"/>
      <c r="EDM28" s="204"/>
      <c r="EDN28" s="204"/>
      <c r="EDO28" s="204"/>
      <c r="EDP28" s="204"/>
      <c r="EDQ28" s="204"/>
      <c r="EDR28" s="204"/>
      <c r="EDS28" s="204"/>
      <c r="EDT28" s="204"/>
      <c r="EDU28" s="204"/>
      <c r="EDV28" s="204"/>
      <c r="EDW28" s="204"/>
      <c r="EDX28" s="204"/>
      <c r="EDY28" s="204"/>
      <c r="EDZ28" s="204"/>
      <c r="EEA28" s="204"/>
      <c r="EEB28" s="204"/>
      <c r="EEC28" s="204"/>
      <c r="EED28" s="204"/>
      <c r="EEE28" s="204"/>
      <c r="EEF28" s="204"/>
      <c r="EEG28" s="204"/>
      <c r="EEH28" s="204"/>
      <c r="EEI28" s="204"/>
      <c r="EEJ28" s="204"/>
      <c r="EEK28" s="204"/>
      <c r="EEL28" s="204"/>
      <c r="EEM28" s="204"/>
      <c r="EEN28" s="204"/>
      <c r="EEO28" s="204"/>
      <c r="EEP28" s="204"/>
      <c r="EEQ28" s="204"/>
      <c r="EER28" s="204"/>
      <c r="EES28" s="204"/>
      <c r="EET28" s="204"/>
      <c r="EEU28" s="204"/>
      <c r="EEV28" s="204"/>
      <c r="EEW28" s="204"/>
      <c r="EEX28" s="204"/>
      <c r="EEY28" s="204"/>
      <c r="EEZ28" s="204"/>
      <c r="EFA28" s="204"/>
      <c r="EFB28" s="204"/>
      <c r="EFC28" s="204"/>
      <c r="EFD28" s="204"/>
      <c r="EFE28" s="204"/>
      <c r="EFF28" s="204"/>
      <c r="EFG28" s="204"/>
      <c r="EFH28" s="204"/>
      <c r="EFI28" s="204"/>
      <c r="EFJ28" s="204"/>
      <c r="EFK28" s="204"/>
      <c r="EFL28" s="204"/>
      <c r="EFM28" s="204"/>
      <c r="EFN28" s="204"/>
      <c r="EFO28" s="204"/>
      <c r="EFP28" s="204"/>
      <c r="EFQ28" s="204"/>
      <c r="EFR28" s="204"/>
      <c r="EFS28" s="204"/>
      <c r="EFT28" s="204"/>
      <c r="EFU28" s="204"/>
      <c r="EFV28" s="204"/>
      <c r="EFW28" s="204"/>
      <c r="EFX28" s="204"/>
      <c r="EFY28" s="204"/>
      <c r="EFZ28" s="204"/>
      <c r="EGA28" s="204"/>
      <c r="EGB28" s="204"/>
      <c r="EGC28" s="204"/>
      <c r="EGD28" s="204"/>
      <c r="EGE28" s="204"/>
      <c r="EGF28" s="204"/>
      <c r="EGG28" s="204"/>
      <c r="EGH28" s="204"/>
      <c r="EGI28" s="204"/>
      <c r="EGJ28" s="204"/>
      <c r="EGK28" s="204"/>
      <c r="EGL28" s="204"/>
      <c r="EGM28" s="204"/>
      <c r="EGN28" s="204"/>
      <c r="EGO28" s="204"/>
      <c r="EGP28" s="204"/>
      <c r="EGQ28" s="204"/>
      <c r="EGR28" s="204"/>
      <c r="EGS28" s="204"/>
      <c r="EGT28" s="204"/>
      <c r="EGU28" s="204"/>
      <c r="EGV28" s="204"/>
      <c r="EGW28" s="204"/>
      <c r="EGX28" s="204"/>
      <c r="EGY28" s="204"/>
      <c r="EGZ28" s="204"/>
      <c r="EHA28" s="204"/>
      <c r="EHB28" s="204"/>
      <c r="EHC28" s="204"/>
      <c r="EHD28" s="204"/>
      <c r="EHE28" s="204"/>
      <c r="EHF28" s="204"/>
      <c r="EHG28" s="204"/>
      <c r="EHH28" s="204"/>
      <c r="EHI28" s="204"/>
      <c r="EHJ28" s="204"/>
      <c r="EHK28" s="204"/>
      <c r="EHL28" s="204"/>
      <c r="EHM28" s="204"/>
      <c r="EHN28" s="204"/>
      <c r="EHO28" s="204"/>
      <c r="EHP28" s="204"/>
      <c r="EHQ28" s="204"/>
      <c r="EHR28" s="204"/>
      <c r="EHS28" s="204"/>
      <c r="EHT28" s="204"/>
      <c r="EHU28" s="204"/>
      <c r="EHV28" s="204"/>
      <c r="EHW28" s="204"/>
      <c r="EHX28" s="204"/>
      <c r="EHY28" s="204"/>
      <c r="EHZ28" s="204"/>
      <c r="EIA28" s="204"/>
      <c r="EIB28" s="204"/>
      <c r="EIC28" s="204"/>
      <c r="EID28" s="204"/>
      <c r="EIE28" s="204"/>
      <c r="EIF28" s="204"/>
      <c r="EIG28" s="204"/>
      <c r="EIH28" s="204"/>
      <c r="EII28" s="204"/>
      <c r="EIJ28" s="204"/>
      <c r="EIK28" s="204"/>
      <c r="EIL28" s="204"/>
      <c r="EIM28" s="204"/>
      <c r="EIN28" s="204"/>
      <c r="EIO28" s="204"/>
      <c r="EIP28" s="204"/>
      <c r="EIQ28" s="204"/>
      <c r="EIR28" s="204"/>
      <c r="EIS28" s="204"/>
      <c r="EIT28" s="204"/>
      <c r="EIU28" s="204"/>
      <c r="EIV28" s="204"/>
      <c r="EIW28" s="204"/>
      <c r="EIX28" s="204"/>
      <c r="EIY28" s="204"/>
      <c r="EIZ28" s="204"/>
      <c r="EJA28" s="204"/>
      <c r="EJB28" s="204"/>
      <c r="EJC28" s="204"/>
      <c r="EJD28" s="204"/>
      <c r="EJE28" s="204"/>
      <c r="EJF28" s="204"/>
      <c r="EJG28" s="204"/>
      <c r="EJH28" s="204"/>
      <c r="EJI28" s="204"/>
      <c r="EJJ28" s="204"/>
      <c r="EJK28" s="204"/>
      <c r="EJL28" s="204"/>
      <c r="EJM28" s="204"/>
      <c r="EJN28" s="204"/>
      <c r="EJO28" s="204"/>
      <c r="EJP28" s="204"/>
      <c r="EJQ28" s="204"/>
      <c r="EJR28" s="204"/>
      <c r="EJS28" s="204"/>
      <c r="EJT28" s="204"/>
      <c r="EJU28" s="204"/>
      <c r="EJV28" s="204"/>
      <c r="EJW28" s="204"/>
      <c r="EJX28" s="204"/>
      <c r="EJY28" s="204"/>
      <c r="EJZ28" s="204"/>
      <c r="EKA28" s="204"/>
      <c r="EKB28" s="204"/>
      <c r="EKC28" s="204"/>
      <c r="EKD28" s="204"/>
      <c r="EKE28" s="204"/>
      <c r="EKF28" s="204"/>
      <c r="EKG28" s="204"/>
      <c r="EKH28" s="204"/>
      <c r="EKI28" s="204"/>
      <c r="EKJ28" s="204"/>
      <c r="EKK28" s="204"/>
      <c r="EKL28" s="204"/>
      <c r="EKM28" s="204"/>
      <c r="EKN28" s="204"/>
      <c r="EKO28" s="204"/>
      <c r="EKP28" s="204"/>
      <c r="EKQ28" s="204"/>
      <c r="EKR28" s="204"/>
      <c r="EKS28" s="204"/>
      <c r="EKT28" s="204"/>
      <c r="EKU28" s="204"/>
      <c r="EKV28" s="204"/>
      <c r="EKW28" s="204"/>
      <c r="EKX28" s="204"/>
      <c r="EKY28" s="204"/>
      <c r="EKZ28" s="204"/>
      <c r="ELA28" s="204"/>
      <c r="ELB28" s="204"/>
      <c r="ELC28" s="204"/>
      <c r="ELD28" s="204"/>
      <c r="ELE28" s="204"/>
      <c r="ELF28" s="204"/>
      <c r="ELG28" s="204"/>
      <c r="ELH28" s="204"/>
      <c r="ELI28" s="204"/>
      <c r="ELJ28" s="204"/>
      <c r="ELK28" s="204"/>
      <c r="ELL28" s="204"/>
      <c r="ELM28" s="204"/>
      <c r="ELN28" s="204"/>
      <c r="ELO28" s="204"/>
      <c r="ELP28" s="204"/>
      <c r="ELQ28" s="204"/>
      <c r="ELR28" s="204"/>
      <c r="ELS28" s="204"/>
      <c r="ELT28" s="204"/>
      <c r="ELU28" s="204"/>
      <c r="ELV28" s="204"/>
      <c r="ELW28" s="204"/>
      <c r="ELX28" s="204"/>
      <c r="ELY28" s="204"/>
      <c r="ELZ28" s="204"/>
      <c r="EMA28" s="204"/>
      <c r="EMB28" s="204"/>
      <c r="EMC28" s="204"/>
      <c r="EMD28" s="204"/>
      <c r="EME28" s="204"/>
      <c r="EMF28" s="204"/>
      <c r="EMG28" s="204"/>
      <c r="EMH28" s="204"/>
      <c r="EMI28" s="204"/>
      <c r="EMJ28" s="204"/>
      <c r="EMK28" s="204"/>
      <c r="EML28" s="204"/>
      <c r="EMM28" s="204"/>
      <c r="EMN28" s="204"/>
      <c r="EMO28" s="204"/>
      <c r="EMP28" s="204"/>
      <c r="EMQ28" s="204"/>
      <c r="EMR28" s="204"/>
      <c r="EMS28" s="204"/>
      <c r="EMT28" s="204"/>
      <c r="EMU28" s="204"/>
      <c r="EMV28" s="204"/>
      <c r="EMW28" s="204"/>
      <c r="EMX28" s="204"/>
      <c r="EMY28" s="204"/>
      <c r="EMZ28" s="204"/>
      <c r="ENA28" s="204"/>
      <c r="ENB28" s="204"/>
      <c r="ENC28" s="204"/>
      <c r="END28" s="204"/>
      <c r="ENE28" s="204"/>
      <c r="ENF28" s="204"/>
      <c r="ENG28" s="204"/>
      <c r="ENH28" s="204"/>
      <c r="ENI28" s="204"/>
      <c r="ENJ28" s="204"/>
      <c r="ENK28" s="204"/>
      <c r="ENL28" s="204"/>
      <c r="ENM28" s="204"/>
      <c r="ENN28" s="204"/>
      <c r="ENO28" s="204"/>
      <c r="ENP28" s="204"/>
      <c r="ENQ28" s="204"/>
      <c r="ENR28" s="204"/>
      <c r="ENS28" s="204"/>
      <c r="ENT28" s="204"/>
      <c r="ENU28" s="204"/>
      <c r="ENV28" s="204"/>
      <c r="ENW28" s="204"/>
      <c r="ENX28" s="204"/>
      <c r="ENY28" s="204"/>
      <c r="ENZ28" s="204"/>
      <c r="EOA28" s="204"/>
      <c r="EOB28" s="204"/>
      <c r="EOC28" s="204"/>
      <c r="EOD28" s="204"/>
      <c r="EOE28" s="204"/>
      <c r="EOF28" s="204"/>
      <c r="EOG28" s="204"/>
      <c r="EOH28" s="204"/>
      <c r="EOI28" s="204"/>
      <c r="EOJ28" s="204"/>
      <c r="EOK28" s="204"/>
      <c r="EOL28" s="204"/>
      <c r="EOM28" s="204"/>
      <c r="EON28" s="204"/>
      <c r="EOO28" s="204"/>
      <c r="EOP28" s="204"/>
      <c r="EOQ28" s="204"/>
      <c r="EOR28" s="204"/>
      <c r="EOS28" s="204"/>
      <c r="EOT28" s="204"/>
      <c r="EOU28" s="204"/>
      <c r="EOV28" s="204"/>
      <c r="EOW28" s="204"/>
      <c r="EOX28" s="204"/>
      <c r="EOY28" s="204"/>
      <c r="EOZ28" s="204"/>
      <c r="EPA28" s="204"/>
      <c r="EPB28" s="204"/>
      <c r="EPC28" s="204"/>
      <c r="EPD28" s="204"/>
      <c r="EPE28" s="204"/>
      <c r="EPF28" s="204"/>
      <c r="EPG28" s="204"/>
      <c r="EPH28" s="204"/>
      <c r="EPI28" s="204"/>
      <c r="EPJ28" s="204"/>
      <c r="EPK28" s="204"/>
      <c r="EPL28" s="204"/>
      <c r="EPM28" s="204"/>
      <c r="EPN28" s="204"/>
      <c r="EPO28" s="204"/>
      <c r="EPP28" s="204"/>
      <c r="EPQ28" s="204"/>
      <c r="EPR28" s="204"/>
      <c r="EPS28" s="204"/>
      <c r="EPT28" s="204"/>
      <c r="EPU28" s="204"/>
      <c r="EPV28" s="204"/>
      <c r="EPW28" s="204"/>
      <c r="EPX28" s="204"/>
      <c r="EPY28" s="204"/>
      <c r="EPZ28" s="204"/>
      <c r="EQA28" s="204"/>
      <c r="EQB28" s="204"/>
      <c r="EQC28" s="204"/>
      <c r="EQD28" s="204"/>
      <c r="EQE28" s="204"/>
      <c r="EQF28" s="204"/>
      <c r="EQG28" s="204"/>
      <c r="EQH28" s="204"/>
      <c r="EQI28" s="204"/>
      <c r="EQJ28" s="204"/>
      <c r="EQK28" s="204"/>
      <c r="EQL28" s="204"/>
      <c r="EQM28" s="204"/>
      <c r="EQN28" s="204"/>
      <c r="EQO28" s="204"/>
      <c r="EQP28" s="204"/>
      <c r="EQQ28" s="204"/>
      <c r="EQR28" s="204"/>
      <c r="EQS28" s="204"/>
      <c r="EQT28" s="204"/>
      <c r="EQU28" s="204"/>
      <c r="EQV28" s="204"/>
      <c r="EQW28" s="204"/>
      <c r="EQX28" s="204"/>
      <c r="EQY28" s="204"/>
      <c r="EQZ28" s="204"/>
      <c r="ERA28" s="204"/>
      <c r="ERB28" s="204"/>
      <c r="ERC28" s="204"/>
      <c r="ERD28" s="204"/>
      <c r="ERE28" s="204"/>
      <c r="ERF28" s="204"/>
      <c r="ERG28" s="204"/>
      <c r="ERH28" s="204"/>
      <c r="ERI28" s="204"/>
      <c r="ERJ28" s="204"/>
      <c r="ERK28" s="204"/>
      <c r="ERL28" s="204"/>
      <c r="ERM28" s="204"/>
      <c r="ERN28" s="204"/>
      <c r="ERO28" s="204"/>
      <c r="ERP28" s="204"/>
      <c r="ERQ28" s="204"/>
      <c r="ERR28" s="204"/>
      <c r="ERS28" s="204"/>
      <c r="ERT28" s="204"/>
      <c r="ERU28" s="204"/>
      <c r="ERV28" s="204"/>
      <c r="ERW28" s="204"/>
      <c r="ERX28" s="204"/>
      <c r="ERY28" s="204"/>
      <c r="ERZ28" s="204"/>
      <c r="ESA28" s="204"/>
      <c r="ESB28" s="204"/>
      <c r="ESC28" s="204"/>
      <c r="ESD28" s="204"/>
      <c r="ESE28" s="204"/>
      <c r="ESF28" s="204"/>
      <c r="ESG28" s="204"/>
      <c r="ESH28" s="204"/>
      <c r="ESI28" s="204"/>
      <c r="ESJ28" s="204"/>
      <c r="ESK28" s="204"/>
      <c r="ESL28" s="204"/>
      <c r="ESM28" s="204"/>
      <c r="ESN28" s="204"/>
      <c r="ESO28" s="204"/>
      <c r="ESP28" s="204"/>
      <c r="ESQ28" s="204"/>
      <c r="ESR28" s="204"/>
      <c r="ESS28" s="204"/>
      <c r="EST28" s="204"/>
      <c r="ESU28" s="204"/>
      <c r="ESV28" s="204"/>
      <c r="ESW28" s="204"/>
      <c r="ESX28" s="204"/>
      <c r="ESY28" s="204"/>
      <c r="ESZ28" s="204"/>
      <c r="ETA28" s="204"/>
      <c r="ETB28" s="204"/>
      <c r="ETC28" s="204"/>
      <c r="ETD28" s="204"/>
      <c r="ETE28" s="204"/>
      <c r="ETF28" s="204"/>
      <c r="ETG28" s="204"/>
      <c r="ETH28" s="204"/>
      <c r="ETI28" s="204"/>
      <c r="ETJ28" s="204"/>
      <c r="ETK28" s="204"/>
      <c r="ETL28" s="204"/>
      <c r="ETM28" s="204"/>
      <c r="ETN28" s="204"/>
      <c r="ETO28" s="204"/>
      <c r="ETP28" s="204"/>
      <c r="ETQ28" s="204"/>
      <c r="ETR28" s="204"/>
      <c r="ETS28" s="204"/>
      <c r="ETT28" s="204"/>
      <c r="ETU28" s="204"/>
      <c r="ETV28" s="204"/>
      <c r="ETW28" s="204"/>
      <c r="ETX28" s="204"/>
      <c r="ETY28" s="204"/>
      <c r="ETZ28" s="204"/>
      <c r="EUA28" s="204"/>
      <c r="EUB28" s="204"/>
      <c r="EUC28" s="204"/>
      <c r="EUD28" s="204"/>
      <c r="EUE28" s="204"/>
      <c r="EUF28" s="204"/>
      <c r="EUG28" s="204"/>
      <c r="EUH28" s="204"/>
      <c r="EUI28" s="204"/>
      <c r="EUJ28" s="204"/>
      <c r="EUK28" s="204"/>
      <c r="EUL28" s="204"/>
      <c r="EUM28" s="204"/>
      <c r="EUN28" s="204"/>
      <c r="EUO28" s="204"/>
      <c r="EUP28" s="204"/>
      <c r="EUQ28" s="204"/>
      <c r="EUR28" s="204"/>
      <c r="EUS28" s="204"/>
      <c r="EUT28" s="204"/>
      <c r="EUU28" s="204"/>
      <c r="EUV28" s="204"/>
      <c r="EUW28" s="204"/>
      <c r="EUX28" s="204"/>
      <c r="EUY28" s="204"/>
      <c r="EUZ28" s="204"/>
      <c r="EVA28" s="204"/>
      <c r="EVB28" s="204"/>
      <c r="EVC28" s="204"/>
      <c r="EVD28" s="204"/>
      <c r="EVE28" s="204"/>
      <c r="EVF28" s="204"/>
      <c r="EVG28" s="204"/>
      <c r="EVH28" s="204"/>
      <c r="EVI28" s="204"/>
      <c r="EVJ28" s="204"/>
      <c r="EVK28" s="204"/>
      <c r="EVL28" s="204"/>
      <c r="EVM28" s="204"/>
      <c r="EVN28" s="204"/>
      <c r="EVO28" s="204"/>
      <c r="EVP28" s="204"/>
      <c r="EVQ28" s="204"/>
      <c r="EVR28" s="204"/>
      <c r="EVS28" s="204"/>
      <c r="EVT28" s="204"/>
      <c r="EVU28" s="204"/>
      <c r="EVV28" s="204"/>
      <c r="EVW28" s="204"/>
      <c r="EVX28" s="204"/>
      <c r="EVY28" s="204"/>
      <c r="EVZ28" s="204"/>
      <c r="EWA28" s="204"/>
      <c r="EWB28" s="204"/>
      <c r="EWC28" s="204"/>
      <c r="EWD28" s="204"/>
      <c r="EWE28" s="204"/>
      <c r="EWF28" s="204"/>
      <c r="EWG28" s="204"/>
      <c r="EWH28" s="204"/>
      <c r="EWI28" s="204"/>
      <c r="EWJ28" s="204"/>
      <c r="EWK28" s="204"/>
      <c r="EWL28" s="204"/>
      <c r="EWM28" s="204"/>
      <c r="EWN28" s="204"/>
      <c r="EWO28" s="204"/>
      <c r="EWP28" s="204"/>
      <c r="EWQ28" s="204"/>
      <c r="EWR28" s="204"/>
      <c r="EWS28" s="204"/>
      <c r="EWT28" s="204"/>
      <c r="EWU28" s="204"/>
      <c r="EWV28" s="204"/>
      <c r="EWW28" s="204"/>
      <c r="EWX28" s="204"/>
      <c r="EWY28" s="204"/>
      <c r="EWZ28" s="204"/>
      <c r="EXA28" s="204"/>
      <c r="EXB28" s="204"/>
      <c r="EXC28" s="204"/>
      <c r="EXD28" s="204"/>
      <c r="EXE28" s="204"/>
      <c r="EXF28" s="204"/>
      <c r="EXG28" s="204"/>
      <c r="EXH28" s="204"/>
      <c r="EXI28" s="204"/>
      <c r="EXJ28" s="204"/>
      <c r="EXK28" s="204"/>
      <c r="EXL28" s="204"/>
      <c r="EXM28" s="204"/>
      <c r="EXN28" s="204"/>
      <c r="EXO28" s="204"/>
      <c r="EXP28" s="204"/>
      <c r="EXQ28" s="204"/>
      <c r="EXR28" s="204"/>
      <c r="EXS28" s="204"/>
      <c r="EXT28" s="204"/>
      <c r="EXU28" s="204"/>
      <c r="EXV28" s="204"/>
      <c r="EXW28" s="204"/>
      <c r="EXX28" s="204"/>
      <c r="EXY28" s="204"/>
      <c r="EXZ28" s="204"/>
      <c r="EYA28" s="204"/>
      <c r="EYB28" s="204"/>
      <c r="EYC28" s="204"/>
      <c r="EYD28" s="204"/>
      <c r="EYE28" s="204"/>
      <c r="EYF28" s="204"/>
      <c r="EYG28" s="204"/>
      <c r="EYH28" s="204"/>
      <c r="EYI28" s="204"/>
      <c r="EYJ28" s="204"/>
      <c r="EYK28" s="204"/>
      <c r="EYL28" s="204"/>
      <c r="EYM28" s="204"/>
      <c r="EYN28" s="204"/>
      <c r="EYO28" s="204"/>
      <c r="EYP28" s="204"/>
      <c r="EYQ28" s="204"/>
      <c r="EYR28" s="204"/>
      <c r="EYS28" s="204"/>
      <c r="EYT28" s="204"/>
      <c r="EYU28" s="204"/>
      <c r="EYV28" s="204"/>
      <c r="EYW28" s="204"/>
      <c r="EYX28" s="204"/>
      <c r="EYY28" s="204"/>
      <c r="EYZ28" s="204"/>
      <c r="EZA28" s="204"/>
      <c r="EZB28" s="204"/>
      <c r="EZC28" s="204"/>
      <c r="EZD28" s="204"/>
      <c r="EZE28" s="204"/>
      <c r="EZF28" s="204"/>
      <c r="EZG28" s="204"/>
      <c r="EZH28" s="204"/>
      <c r="EZI28" s="204"/>
      <c r="EZJ28" s="204"/>
      <c r="EZK28" s="204"/>
      <c r="EZL28" s="204"/>
      <c r="EZM28" s="204"/>
      <c r="EZN28" s="204"/>
      <c r="EZO28" s="204"/>
      <c r="EZP28" s="204"/>
      <c r="EZQ28" s="204"/>
      <c r="EZR28" s="204"/>
      <c r="EZS28" s="204"/>
      <c r="EZT28" s="204"/>
      <c r="EZU28" s="204"/>
      <c r="EZV28" s="204"/>
      <c r="EZW28" s="204"/>
      <c r="EZX28" s="204"/>
      <c r="EZY28" s="204"/>
      <c r="EZZ28" s="204"/>
      <c r="FAA28" s="204"/>
      <c r="FAB28" s="204"/>
      <c r="FAC28" s="204"/>
      <c r="FAD28" s="204"/>
      <c r="FAE28" s="204"/>
      <c r="FAF28" s="204"/>
      <c r="FAG28" s="204"/>
      <c r="FAH28" s="204"/>
      <c r="FAI28" s="204"/>
      <c r="FAJ28" s="204"/>
      <c r="FAK28" s="204"/>
      <c r="FAL28" s="204"/>
      <c r="FAM28" s="204"/>
      <c r="FAN28" s="204"/>
      <c r="FAO28" s="204"/>
      <c r="FAP28" s="204"/>
      <c r="FAQ28" s="204"/>
      <c r="FAR28" s="204"/>
      <c r="FAS28" s="204"/>
      <c r="FAT28" s="204"/>
      <c r="FAU28" s="204"/>
      <c r="FAV28" s="204"/>
      <c r="FAW28" s="204"/>
      <c r="FAX28" s="204"/>
      <c r="FAY28" s="204"/>
      <c r="FAZ28" s="204"/>
      <c r="FBA28" s="204"/>
      <c r="FBB28" s="204"/>
      <c r="FBC28" s="204"/>
      <c r="FBD28" s="204"/>
      <c r="FBE28" s="204"/>
      <c r="FBF28" s="204"/>
      <c r="FBG28" s="204"/>
      <c r="FBH28" s="204"/>
      <c r="FBI28" s="204"/>
      <c r="FBJ28" s="204"/>
      <c r="FBK28" s="204"/>
      <c r="FBL28" s="204"/>
      <c r="FBM28" s="204"/>
      <c r="FBN28" s="204"/>
      <c r="FBO28" s="204"/>
      <c r="FBP28" s="204"/>
      <c r="FBQ28" s="204"/>
      <c r="FBR28" s="204"/>
      <c r="FBS28" s="204"/>
      <c r="FBT28" s="204"/>
      <c r="FBU28" s="204"/>
      <c r="FBV28" s="204"/>
      <c r="FBW28" s="204"/>
      <c r="FBX28" s="204"/>
      <c r="FBY28" s="204"/>
      <c r="FBZ28" s="204"/>
      <c r="FCA28" s="204"/>
      <c r="FCB28" s="204"/>
      <c r="FCC28" s="204"/>
      <c r="FCD28" s="204"/>
      <c r="FCE28" s="204"/>
      <c r="FCF28" s="204"/>
      <c r="FCG28" s="204"/>
      <c r="FCH28" s="204"/>
      <c r="FCI28" s="204"/>
      <c r="FCJ28" s="204"/>
      <c r="FCK28" s="204"/>
      <c r="FCL28" s="204"/>
      <c r="FCM28" s="204"/>
      <c r="FCN28" s="204"/>
      <c r="FCO28" s="204"/>
      <c r="FCP28" s="204"/>
      <c r="FCQ28" s="204"/>
      <c r="FCR28" s="204"/>
      <c r="FCS28" s="204"/>
      <c r="FCT28" s="204"/>
      <c r="FCU28" s="204"/>
      <c r="FCV28" s="204"/>
      <c r="FCW28" s="204"/>
      <c r="FCX28" s="204"/>
      <c r="FCY28" s="204"/>
      <c r="FCZ28" s="204"/>
      <c r="FDA28" s="204"/>
      <c r="FDB28" s="204"/>
      <c r="FDC28" s="204"/>
      <c r="FDD28" s="204"/>
      <c r="FDE28" s="204"/>
      <c r="FDF28" s="204"/>
      <c r="FDG28" s="204"/>
      <c r="FDH28" s="204"/>
      <c r="FDI28" s="204"/>
      <c r="FDJ28" s="204"/>
      <c r="FDK28" s="204"/>
      <c r="FDL28" s="204"/>
      <c r="FDM28" s="204"/>
      <c r="FDN28" s="204"/>
      <c r="FDO28" s="204"/>
      <c r="FDP28" s="204"/>
      <c r="FDQ28" s="204"/>
      <c r="FDR28" s="204"/>
      <c r="FDS28" s="204"/>
      <c r="FDT28" s="204"/>
      <c r="FDU28" s="204"/>
      <c r="FDV28" s="204"/>
      <c r="FDW28" s="204"/>
      <c r="FDX28" s="204"/>
      <c r="FDY28" s="204"/>
      <c r="FDZ28" s="204"/>
      <c r="FEA28" s="204"/>
      <c r="FEB28" s="204"/>
      <c r="FEC28" s="204"/>
      <c r="FED28" s="204"/>
      <c r="FEE28" s="204"/>
      <c r="FEF28" s="204"/>
      <c r="FEG28" s="204"/>
      <c r="FEH28" s="204"/>
      <c r="FEI28" s="204"/>
      <c r="FEJ28" s="204"/>
      <c r="FEK28" s="204"/>
      <c r="FEL28" s="204"/>
      <c r="FEM28" s="204"/>
      <c r="FEN28" s="204"/>
      <c r="FEO28" s="204"/>
      <c r="FEP28" s="204"/>
      <c r="FEQ28" s="204"/>
      <c r="FER28" s="204"/>
      <c r="FES28" s="204"/>
      <c r="FET28" s="204"/>
      <c r="FEU28" s="204"/>
      <c r="FEV28" s="204"/>
      <c r="FEW28" s="204"/>
      <c r="FEX28" s="204"/>
      <c r="FEY28" s="204"/>
      <c r="FEZ28" s="204"/>
      <c r="FFA28" s="204"/>
      <c r="FFB28" s="204"/>
      <c r="FFC28" s="204"/>
      <c r="FFD28" s="204"/>
      <c r="FFE28" s="204"/>
      <c r="FFF28" s="204"/>
      <c r="FFG28" s="204"/>
      <c r="FFH28" s="204"/>
      <c r="FFI28" s="204"/>
      <c r="FFJ28" s="204"/>
      <c r="FFK28" s="204"/>
      <c r="FFL28" s="204"/>
      <c r="FFM28" s="204"/>
      <c r="FFN28" s="204"/>
      <c r="FFO28" s="204"/>
      <c r="FFP28" s="204"/>
      <c r="FFQ28" s="204"/>
      <c r="FFR28" s="204"/>
      <c r="FFS28" s="204"/>
      <c r="FFT28" s="204"/>
      <c r="FFU28" s="204"/>
      <c r="FFV28" s="204"/>
      <c r="FFW28" s="204"/>
      <c r="FFX28" s="204"/>
      <c r="FFY28" s="204"/>
      <c r="FFZ28" s="204"/>
      <c r="FGA28" s="204"/>
      <c r="FGB28" s="204"/>
      <c r="FGC28" s="204"/>
      <c r="FGD28" s="204"/>
      <c r="FGE28" s="204"/>
      <c r="FGF28" s="204"/>
      <c r="FGG28" s="204"/>
      <c r="FGH28" s="204"/>
      <c r="FGI28" s="204"/>
      <c r="FGJ28" s="204"/>
      <c r="FGK28" s="204"/>
      <c r="FGL28" s="204"/>
      <c r="FGM28" s="204"/>
      <c r="FGN28" s="204"/>
      <c r="FGO28" s="204"/>
      <c r="FGP28" s="204"/>
      <c r="FGQ28" s="204"/>
      <c r="FGR28" s="204"/>
      <c r="FGS28" s="204"/>
      <c r="FGT28" s="204"/>
      <c r="FGU28" s="204"/>
      <c r="FGV28" s="204"/>
      <c r="FGW28" s="204"/>
      <c r="FGX28" s="204"/>
      <c r="FGY28" s="204"/>
      <c r="FGZ28" s="204"/>
      <c r="FHA28" s="204"/>
      <c r="FHB28" s="204"/>
      <c r="FHC28" s="204"/>
      <c r="FHD28" s="204"/>
      <c r="FHE28" s="204"/>
      <c r="FHF28" s="204"/>
      <c r="FHG28" s="204"/>
      <c r="FHH28" s="204"/>
      <c r="FHI28" s="204"/>
      <c r="FHJ28" s="204"/>
      <c r="FHK28" s="204"/>
      <c r="FHL28" s="204"/>
      <c r="FHM28" s="204"/>
      <c r="FHN28" s="204"/>
      <c r="FHO28" s="204"/>
      <c r="FHP28" s="204"/>
      <c r="FHQ28" s="204"/>
      <c r="FHR28" s="204"/>
      <c r="FHS28" s="204"/>
      <c r="FHT28" s="204"/>
      <c r="FHU28" s="204"/>
      <c r="FHV28" s="204"/>
      <c r="FHW28" s="204"/>
      <c r="FHX28" s="204"/>
      <c r="FHY28" s="204"/>
      <c r="FHZ28" s="204"/>
      <c r="FIA28" s="204"/>
      <c r="FIB28" s="204"/>
      <c r="FIC28" s="204"/>
      <c r="FID28" s="204"/>
      <c r="FIE28" s="204"/>
      <c r="FIF28" s="204"/>
      <c r="FIG28" s="204"/>
      <c r="FIH28" s="204"/>
      <c r="FII28" s="204"/>
      <c r="FIJ28" s="204"/>
      <c r="FIK28" s="204"/>
      <c r="FIL28" s="204"/>
      <c r="FIM28" s="204"/>
      <c r="FIN28" s="204"/>
      <c r="FIO28" s="204"/>
      <c r="FIP28" s="204"/>
      <c r="FIQ28" s="204"/>
      <c r="FIR28" s="204"/>
      <c r="FIS28" s="204"/>
      <c r="FIT28" s="204"/>
      <c r="FIU28" s="204"/>
      <c r="FIV28" s="204"/>
      <c r="FIW28" s="204"/>
      <c r="FIX28" s="204"/>
      <c r="FIY28" s="204"/>
      <c r="FIZ28" s="204"/>
      <c r="FJA28" s="204"/>
      <c r="FJB28" s="204"/>
      <c r="FJC28" s="204"/>
      <c r="FJD28" s="204"/>
      <c r="FJE28" s="204"/>
      <c r="FJF28" s="204"/>
      <c r="FJG28" s="204"/>
      <c r="FJH28" s="204"/>
      <c r="FJI28" s="204"/>
      <c r="FJJ28" s="204"/>
      <c r="FJK28" s="204"/>
      <c r="FJL28" s="204"/>
      <c r="FJM28" s="204"/>
      <c r="FJN28" s="204"/>
      <c r="FJO28" s="204"/>
      <c r="FJP28" s="204"/>
      <c r="FJQ28" s="204"/>
      <c r="FJR28" s="204"/>
      <c r="FJS28" s="204"/>
      <c r="FJT28" s="204"/>
      <c r="FJU28" s="204"/>
      <c r="FJV28" s="204"/>
      <c r="FJW28" s="204"/>
      <c r="FJX28" s="204"/>
      <c r="FJY28" s="204"/>
      <c r="FJZ28" s="204"/>
      <c r="FKA28" s="204"/>
      <c r="FKB28" s="204"/>
      <c r="FKC28" s="204"/>
      <c r="FKD28" s="204"/>
      <c r="FKE28" s="204"/>
      <c r="FKF28" s="204"/>
      <c r="FKG28" s="204"/>
      <c r="FKH28" s="204"/>
      <c r="FKI28" s="204"/>
      <c r="FKJ28" s="204"/>
      <c r="FKK28" s="204"/>
      <c r="FKL28" s="204"/>
      <c r="FKM28" s="204"/>
      <c r="FKN28" s="204"/>
      <c r="FKO28" s="204"/>
      <c r="FKP28" s="204"/>
      <c r="FKQ28" s="204"/>
      <c r="FKR28" s="204"/>
      <c r="FKS28" s="204"/>
      <c r="FKT28" s="204"/>
      <c r="FKU28" s="204"/>
      <c r="FKV28" s="204"/>
      <c r="FKW28" s="204"/>
      <c r="FKX28" s="204"/>
      <c r="FKY28" s="204"/>
      <c r="FKZ28" s="204"/>
      <c r="FLA28" s="204"/>
      <c r="FLB28" s="204"/>
      <c r="FLC28" s="204"/>
      <c r="FLD28" s="204"/>
      <c r="FLE28" s="204"/>
      <c r="FLF28" s="204"/>
      <c r="FLG28" s="204"/>
      <c r="FLH28" s="204"/>
      <c r="FLI28" s="204"/>
      <c r="FLJ28" s="204"/>
      <c r="FLK28" s="204"/>
      <c r="FLL28" s="204"/>
      <c r="FLM28" s="204"/>
      <c r="FLN28" s="204"/>
      <c r="FLO28" s="204"/>
      <c r="FLP28" s="204"/>
      <c r="FLQ28" s="204"/>
      <c r="FLR28" s="204"/>
      <c r="FLS28" s="204"/>
      <c r="FLT28" s="204"/>
      <c r="FLU28" s="204"/>
      <c r="FLV28" s="204"/>
      <c r="FLW28" s="204"/>
      <c r="FLX28" s="204"/>
      <c r="FLY28" s="204"/>
      <c r="FLZ28" s="204"/>
      <c r="FMA28" s="204"/>
      <c r="FMB28" s="204"/>
      <c r="FMC28" s="204"/>
      <c r="FMD28" s="204"/>
      <c r="FME28" s="204"/>
      <c r="FMF28" s="204"/>
      <c r="FMG28" s="204"/>
      <c r="FMH28" s="204"/>
      <c r="FMI28" s="204"/>
      <c r="FMJ28" s="204"/>
      <c r="FMK28" s="204"/>
      <c r="FML28" s="204"/>
      <c r="FMM28" s="204"/>
      <c r="FMN28" s="204"/>
      <c r="FMO28" s="204"/>
      <c r="FMP28" s="204"/>
      <c r="FMQ28" s="204"/>
      <c r="FMR28" s="204"/>
      <c r="FMS28" s="204"/>
      <c r="FMT28" s="204"/>
      <c r="FMU28" s="204"/>
      <c r="FMV28" s="204"/>
      <c r="FMW28" s="204"/>
      <c r="FMX28" s="204"/>
      <c r="FMY28" s="204"/>
      <c r="FMZ28" s="204"/>
      <c r="FNA28" s="204"/>
      <c r="FNB28" s="204"/>
      <c r="FNC28" s="204"/>
      <c r="FND28" s="204"/>
      <c r="FNE28" s="204"/>
      <c r="FNF28" s="204"/>
      <c r="FNG28" s="204"/>
      <c r="FNH28" s="204"/>
      <c r="FNI28" s="204"/>
      <c r="FNJ28" s="204"/>
      <c r="FNK28" s="204"/>
      <c r="FNL28" s="204"/>
      <c r="FNM28" s="204"/>
      <c r="FNN28" s="204"/>
      <c r="FNO28" s="204"/>
      <c r="FNP28" s="204"/>
      <c r="FNQ28" s="204"/>
      <c r="FNR28" s="204"/>
      <c r="FNS28" s="204"/>
      <c r="FNT28" s="204"/>
      <c r="FNU28" s="204"/>
      <c r="FNV28" s="204"/>
      <c r="FNW28" s="204"/>
      <c r="FNX28" s="204"/>
      <c r="FNY28" s="204"/>
      <c r="FNZ28" s="204"/>
      <c r="FOA28" s="204"/>
      <c r="FOB28" s="204"/>
      <c r="FOC28" s="204"/>
      <c r="FOD28" s="204"/>
      <c r="FOE28" s="204"/>
      <c r="FOF28" s="204"/>
      <c r="FOG28" s="204"/>
      <c r="FOH28" s="204"/>
      <c r="FOI28" s="204"/>
      <c r="FOJ28" s="204"/>
      <c r="FOK28" s="204"/>
      <c r="FOL28" s="204"/>
      <c r="FOM28" s="204"/>
      <c r="FON28" s="204"/>
      <c r="FOO28" s="204"/>
      <c r="FOP28" s="204"/>
      <c r="FOQ28" s="204"/>
      <c r="FOR28" s="204"/>
      <c r="FOS28" s="204"/>
      <c r="FOT28" s="204"/>
      <c r="FOU28" s="204"/>
      <c r="FOV28" s="204"/>
      <c r="FOW28" s="204"/>
      <c r="FOX28" s="204"/>
      <c r="FOY28" s="204"/>
      <c r="FOZ28" s="204"/>
      <c r="FPA28" s="204"/>
      <c r="FPB28" s="204"/>
      <c r="FPC28" s="204"/>
      <c r="FPD28" s="204"/>
      <c r="FPE28" s="204"/>
      <c r="FPF28" s="204"/>
      <c r="FPG28" s="204"/>
      <c r="FPH28" s="204"/>
      <c r="FPI28" s="204"/>
      <c r="FPJ28" s="204"/>
      <c r="FPK28" s="204"/>
      <c r="FPL28" s="204"/>
      <c r="FPM28" s="204"/>
      <c r="FPN28" s="204"/>
      <c r="FPO28" s="204"/>
      <c r="FPP28" s="204"/>
      <c r="FPQ28" s="204"/>
      <c r="FPR28" s="204"/>
      <c r="FPS28" s="204"/>
      <c r="FPT28" s="204"/>
      <c r="FPU28" s="204"/>
      <c r="FPV28" s="204"/>
      <c r="FPW28" s="204"/>
      <c r="FPX28" s="204"/>
      <c r="FPY28" s="204"/>
      <c r="FPZ28" s="204"/>
      <c r="FQA28" s="204"/>
      <c r="FQB28" s="204"/>
      <c r="FQC28" s="204"/>
      <c r="FQD28" s="204"/>
      <c r="FQE28" s="204"/>
      <c r="FQF28" s="204"/>
      <c r="FQG28" s="204"/>
      <c r="FQH28" s="204"/>
      <c r="FQI28" s="204"/>
      <c r="FQJ28" s="204"/>
      <c r="FQK28" s="204"/>
      <c r="FQL28" s="204"/>
      <c r="FQM28" s="204"/>
      <c r="FQN28" s="204"/>
      <c r="FQO28" s="204"/>
      <c r="FQP28" s="204"/>
      <c r="FQQ28" s="204"/>
      <c r="FQR28" s="204"/>
      <c r="FQS28" s="204"/>
      <c r="FQT28" s="204"/>
      <c r="FQU28" s="204"/>
      <c r="FQV28" s="204"/>
      <c r="FQW28" s="204"/>
      <c r="FQX28" s="204"/>
      <c r="FQY28" s="204"/>
      <c r="FQZ28" s="204"/>
      <c r="FRA28" s="204"/>
      <c r="FRB28" s="204"/>
      <c r="FRC28" s="204"/>
      <c r="FRD28" s="204"/>
      <c r="FRE28" s="204"/>
      <c r="FRF28" s="204"/>
      <c r="FRG28" s="204"/>
      <c r="FRH28" s="204"/>
      <c r="FRI28" s="204"/>
      <c r="FRJ28" s="204"/>
      <c r="FRK28" s="204"/>
      <c r="FRL28" s="204"/>
      <c r="FRM28" s="204"/>
      <c r="FRN28" s="204"/>
      <c r="FRO28" s="204"/>
      <c r="FRP28" s="204"/>
      <c r="FRQ28" s="204"/>
      <c r="FRR28" s="204"/>
      <c r="FRS28" s="204"/>
      <c r="FRT28" s="204"/>
      <c r="FRU28" s="204"/>
      <c r="FRV28" s="204"/>
      <c r="FRW28" s="204"/>
      <c r="FRX28" s="204"/>
      <c r="FRY28" s="204"/>
      <c r="FRZ28" s="204"/>
      <c r="FSA28" s="204"/>
      <c r="FSB28" s="204"/>
      <c r="FSC28" s="204"/>
      <c r="FSD28" s="204"/>
      <c r="FSE28" s="204"/>
      <c r="FSF28" s="204"/>
      <c r="FSG28" s="204"/>
      <c r="FSH28" s="204"/>
      <c r="FSI28" s="204"/>
      <c r="FSJ28" s="204"/>
      <c r="FSK28" s="204"/>
      <c r="FSL28" s="204"/>
      <c r="FSM28" s="204"/>
      <c r="FSN28" s="204"/>
      <c r="FSO28" s="204"/>
      <c r="FSP28" s="204"/>
      <c r="FSQ28" s="204"/>
      <c r="FSR28" s="204"/>
      <c r="FSS28" s="204"/>
      <c r="FST28" s="204"/>
      <c r="FSU28" s="204"/>
      <c r="FSV28" s="204"/>
      <c r="FSW28" s="204"/>
      <c r="FSX28" s="204"/>
      <c r="FSY28" s="204"/>
      <c r="FSZ28" s="204"/>
      <c r="FTA28" s="204"/>
      <c r="FTB28" s="204"/>
      <c r="FTC28" s="204"/>
      <c r="FTD28" s="204"/>
      <c r="FTE28" s="204"/>
      <c r="FTF28" s="204"/>
      <c r="FTG28" s="204"/>
      <c r="FTH28" s="204"/>
      <c r="FTI28" s="204"/>
      <c r="FTJ28" s="204"/>
      <c r="FTK28" s="204"/>
      <c r="FTL28" s="204"/>
      <c r="FTM28" s="204"/>
      <c r="FTN28" s="204"/>
      <c r="FTO28" s="204"/>
      <c r="FTP28" s="204"/>
      <c r="FTQ28" s="204"/>
      <c r="FTR28" s="204"/>
      <c r="FTS28" s="204"/>
      <c r="FTT28" s="204"/>
      <c r="FTU28" s="204"/>
      <c r="FTV28" s="204"/>
      <c r="FTW28" s="204"/>
      <c r="FTX28" s="204"/>
      <c r="FTY28" s="204"/>
      <c r="FTZ28" s="204"/>
      <c r="FUA28" s="204"/>
      <c r="FUB28" s="204"/>
      <c r="FUC28" s="204"/>
      <c r="FUD28" s="204"/>
      <c r="FUE28" s="204"/>
      <c r="FUF28" s="204"/>
      <c r="FUG28" s="204"/>
      <c r="FUH28" s="204"/>
      <c r="FUI28" s="204"/>
      <c r="FUJ28" s="204"/>
      <c r="FUK28" s="204"/>
      <c r="FUL28" s="204"/>
      <c r="FUM28" s="204"/>
      <c r="FUN28" s="204"/>
      <c r="FUO28" s="204"/>
      <c r="FUP28" s="204"/>
      <c r="FUQ28" s="204"/>
      <c r="FUR28" s="204"/>
      <c r="FUS28" s="204"/>
      <c r="FUT28" s="204"/>
      <c r="FUU28" s="204"/>
      <c r="FUV28" s="204"/>
      <c r="FUW28" s="204"/>
      <c r="FUX28" s="204"/>
      <c r="FUY28" s="204"/>
      <c r="FUZ28" s="204"/>
      <c r="FVA28" s="204"/>
      <c r="FVB28" s="204"/>
      <c r="FVC28" s="204"/>
      <c r="FVD28" s="204"/>
      <c r="FVE28" s="204"/>
      <c r="FVF28" s="204"/>
      <c r="FVG28" s="204"/>
      <c r="FVH28" s="204"/>
      <c r="FVI28" s="204"/>
      <c r="FVJ28" s="204"/>
      <c r="FVK28" s="204"/>
      <c r="FVL28" s="204"/>
      <c r="FVM28" s="204"/>
      <c r="FVN28" s="204"/>
      <c r="FVO28" s="204"/>
      <c r="FVP28" s="204"/>
      <c r="FVQ28" s="204"/>
      <c r="FVR28" s="204"/>
      <c r="FVS28" s="204"/>
      <c r="FVT28" s="204"/>
      <c r="FVU28" s="204"/>
      <c r="FVV28" s="204"/>
      <c r="FVW28" s="204"/>
      <c r="FVX28" s="204"/>
      <c r="FVY28" s="204"/>
      <c r="FVZ28" s="204"/>
      <c r="FWA28" s="204"/>
      <c r="FWB28" s="204"/>
      <c r="FWC28" s="204"/>
      <c r="FWD28" s="204"/>
      <c r="FWE28" s="204"/>
      <c r="FWF28" s="204"/>
      <c r="FWG28" s="204"/>
      <c r="FWH28" s="204"/>
      <c r="FWI28" s="204"/>
      <c r="FWJ28" s="204"/>
      <c r="FWK28" s="204"/>
      <c r="FWL28" s="204"/>
      <c r="FWM28" s="204"/>
      <c r="FWN28" s="204"/>
      <c r="FWO28" s="204"/>
      <c r="FWP28" s="204"/>
      <c r="FWQ28" s="204"/>
      <c r="FWR28" s="204"/>
      <c r="FWS28" s="204"/>
      <c r="FWT28" s="204"/>
      <c r="FWU28" s="204"/>
      <c r="FWV28" s="204"/>
      <c r="FWW28" s="204"/>
      <c r="FWX28" s="204"/>
      <c r="FWY28" s="204"/>
      <c r="FWZ28" s="204"/>
      <c r="FXA28" s="204"/>
      <c r="FXB28" s="204"/>
      <c r="FXC28" s="204"/>
      <c r="FXD28" s="204"/>
      <c r="FXE28" s="204"/>
      <c r="FXF28" s="204"/>
      <c r="FXG28" s="204"/>
      <c r="FXH28" s="204"/>
      <c r="FXI28" s="204"/>
      <c r="FXJ28" s="204"/>
      <c r="FXK28" s="204"/>
      <c r="FXL28" s="204"/>
      <c r="FXM28" s="204"/>
      <c r="FXN28" s="204"/>
      <c r="FXO28" s="204"/>
      <c r="FXP28" s="204"/>
      <c r="FXQ28" s="204"/>
      <c r="FXR28" s="204"/>
      <c r="FXS28" s="204"/>
      <c r="FXT28" s="204"/>
      <c r="FXU28" s="204"/>
      <c r="FXV28" s="204"/>
      <c r="FXW28" s="204"/>
      <c r="FXX28" s="204"/>
      <c r="FXY28" s="204"/>
      <c r="FXZ28" s="204"/>
      <c r="FYA28" s="204"/>
      <c r="FYB28" s="204"/>
      <c r="FYC28" s="204"/>
      <c r="FYD28" s="204"/>
      <c r="FYE28" s="204"/>
      <c r="FYF28" s="204"/>
      <c r="FYG28" s="204"/>
      <c r="FYH28" s="204"/>
      <c r="FYI28" s="204"/>
      <c r="FYJ28" s="204"/>
      <c r="FYK28" s="204"/>
      <c r="FYL28" s="204"/>
      <c r="FYM28" s="204"/>
      <c r="FYN28" s="204"/>
      <c r="FYO28" s="204"/>
      <c r="FYP28" s="204"/>
      <c r="FYQ28" s="204"/>
      <c r="FYR28" s="204"/>
      <c r="FYS28" s="204"/>
      <c r="FYT28" s="204"/>
      <c r="FYU28" s="204"/>
      <c r="FYV28" s="204"/>
      <c r="FYW28" s="204"/>
      <c r="FYX28" s="204"/>
      <c r="FYY28" s="204"/>
      <c r="FYZ28" s="204"/>
      <c r="FZA28" s="204"/>
      <c r="FZB28" s="204"/>
      <c r="FZC28" s="204"/>
      <c r="FZD28" s="204"/>
      <c r="FZE28" s="204"/>
      <c r="FZF28" s="204"/>
      <c r="FZG28" s="204"/>
      <c r="FZH28" s="204"/>
      <c r="FZI28" s="204"/>
      <c r="FZJ28" s="204"/>
      <c r="FZK28" s="204"/>
      <c r="FZL28" s="204"/>
      <c r="FZM28" s="204"/>
      <c r="FZN28" s="204"/>
      <c r="FZO28" s="204"/>
      <c r="FZP28" s="204"/>
      <c r="FZQ28" s="204"/>
      <c r="FZR28" s="204"/>
      <c r="FZS28" s="204"/>
      <c r="FZT28" s="204"/>
      <c r="FZU28" s="204"/>
      <c r="FZV28" s="204"/>
      <c r="FZW28" s="204"/>
      <c r="FZX28" s="204"/>
      <c r="FZY28" s="204"/>
      <c r="FZZ28" s="204"/>
      <c r="GAA28" s="204"/>
      <c r="GAB28" s="204"/>
      <c r="GAC28" s="204"/>
      <c r="GAD28" s="204"/>
      <c r="GAE28" s="204"/>
      <c r="GAF28" s="204"/>
      <c r="GAG28" s="204"/>
      <c r="GAH28" s="204"/>
      <c r="GAI28" s="204"/>
      <c r="GAJ28" s="204"/>
      <c r="GAK28" s="204"/>
      <c r="GAL28" s="204"/>
      <c r="GAM28" s="204"/>
      <c r="GAN28" s="204"/>
      <c r="GAO28" s="204"/>
      <c r="GAP28" s="204"/>
      <c r="GAQ28" s="204"/>
      <c r="GAR28" s="204"/>
      <c r="GAS28" s="204"/>
      <c r="GAT28" s="204"/>
      <c r="GAU28" s="204"/>
      <c r="GAV28" s="204"/>
      <c r="GAW28" s="204"/>
      <c r="GAX28" s="204"/>
      <c r="GAY28" s="204"/>
      <c r="GAZ28" s="204"/>
      <c r="GBA28" s="204"/>
      <c r="GBB28" s="204"/>
      <c r="GBC28" s="204"/>
      <c r="GBD28" s="204"/>
      <c r="GBE28" s="204"/>
      <c r="GBF28" s="204"/>
      <c r="GBG28" s="204"/>
      <c r="GBH28" s="204"/>
      <c r="GBI28" s="204"/>
      <c r="GBJ28" s="204"/>
      <c r="GBK28" s="204"/>
      <c r="GBL28" s="204"/>
      <c r="GBM28" s="204"/>
      <c r="GBN28" s="204"/>
      <c r="GBO28" s="204"/>
      <c r="GBP28" s="204"/>
      <c r="GBQ28" s="204"/>
      <c r="GBR28" s="204"/>
      <c r="GBS28" s="204"/>
      <c r="GBT28" s="204"/>
      <c r="GBU28" s="204"/>
      <c r="GBV28" s="204"/>
      <c r="GBW28" s="204"/>
      <c r="GBX28" s="204"/>
      <c r="GBY28" s="204"/>
      <c r="GBZ28" s="204"/>
      <c r="GCA28" s="204"/>
      <c r="GCB28" s="204"/>
      <c r="GCC28" s="204"/>
      <c r="GCD28" s="204"/>
      <c r="GCE28" s="204"/>
      <c r="GCF28" s="204"/>
      <c r="GCG28" s="204"/>
      <c r="GCH28" s="204"/>
      <c r="GCI28" s="204"/>
      <c r="GCJ28" s="204"/>
      <c r="GCK28" s="204"/>
      <c r="GCL28" s="204"/>
      <c r="GCM28" s="204"/>
      <c r="GCN28" s="204"/>
      <c r="GCO28" s="204"/>
      <c r="GCP28" s="204"/>
      <c r="GCQ28" s="204"/>
      <c r="GCR28" s="204"/>
      <c r="GCS28" s="204"/>
      <c r="GCT28" s="204"/>
      <c r="GCU28" s="204"/>
      <c r="GCV28" s="204"/>
      <c r="GCW28" s="204"/>
      <c r="GCX28" s="204"/>
      <c r="GCY28" s="204"/>
      <c r="GCZ28" s="204"/>
      <c r="GDA28" s="204"/>
      <c r="GDB28" s="204"/>
      <c r="GDC28" s="204"/>
      <c r="GDD28" s="204"/>
      <c r="GDE28" s="204"/>
      <c r="GDF28" s="204"/>
      <c r="GDG28" s="204"/>
      <c r="GDH28" s="204"/>
      <c r="GDI28" s="204"/>
      <c r="GDJ28" s="204"/>
      <c r="GDK28" s="204"/>
      <c r="GDL28" s="204"/>
      <c r="GDM28" s="204"/>
      <c r="GDN28" s="204"/>
      <c r="GDO28" s="204"/>
      <c r="GDP28" s="204"/>
      <c r="GDQ28" s="204"/>
      <c r="GDR28" s="204"/>
      <c r="GDS28" s="204"/>
      <c r="GDT28" s="204"/>
      <c r="GDU28" s="204"/>
      <c r="GDV28" s="204"/>
      <c r="GDW28" s="204"/>
      <c r="GDX28" s="204"/>
      <c r="GDY28" s="204"/>
      <c r="GDZ28" s="204"/>
      <c r="GEA28" s="204"/>
      <c r="GEB28" s="204"/>
      <c r="GEC28" s="204"/>
      <c r="GED28" s="204"/>
      <c r="GEE28" s="204"/>
      <c r="GEF28" s="204"/>
      <c r="GEG28" s="204"/>
      <c r="GEH28" s="204"/>
      <c r="GEI28" s="204"/>
      <c r="GEJ28" s="204"/>
      <c r="GEK28" s="204"/>
      <c r="GEL28" s="204"/>
      <c r="GEM28" s="204"/>
      <c r="GEN28" s="204"/>
      <c r="GEO28" s="204"/>
      <c r="GEP28" s="204"/>
      <c r="GEQ28" s="204"/>
      <c r="GER28" s="204"/>
      <c r="GES28" s="204"/>
      <c r="GET28" s="204"/>
      <c r="GEU28" s="204"/>
      <c r="GEV28" s="204"/>
      <c r="GEW28" s="204"/>
      <c r="GEX28" s="204"/>
      <c r="GEY28" s="204"/>
      <c r="GEZ28" s="204"/>
      <c r="GFA28" s="204"/>
      <c r="GFB28" s="204"/>
      <c r="GFC28" s="204"/>
      <c r="GFD28" s="204"/>
      <c r="GFE28" s="204"/>
      <c r="GFF28" s="204"/>
      <c r="GFG28" s="204"/>
      <c r="GFH28" s="204"/>
      <c r="GFI28" s="204"/>
      <c r="GFJ28" s="204"/>
      <c r="GFK28" s="204"/>
      <c r="GFL28" s="204"/>
      <c r="GFM28" s="204"/>
      <c r="GFN28" s="204"/>
      <c r="GFO28" s="204"/>
      <c r="GFP28" s="204"/>
      <c r="GFQ28" s="204"/>
      <c r="GFR28" s="204"/>
      <c r="GFS28" s="204"/>
      <c r="GFT28" s="204"/>
      <c r="GFU28" s="204"/>
      <c r="GFV28" s="204"/>
      <c r="GFW28" s="204"/>
      <c r="GFX28" s="204"/>
      <c r="GFY28" s="204"/>
      <c r="GFZ28" s="204"/>
      <c r="GGA28" s="204"/>
      <c r="GGB28" s="204"/>
      <c r="GGC28" s="204"/>
      <c r="GGD28" s="204"/>
      <c r="GGE28" s="204"/>
      <c r="GGF28" s="204"/>
      <c r="GGG28" s="204"/>
      <c r="GGH28" s="204"/>
      <c r="GGI28" s="204"/>
      <c r="GGJ28" s="204"/>
      <c r="GGK28" s="204"/>
      <c r="GGL28" s="204"/>
      <c r="GGM28" s="204"/>
      <c r="GGN28" s="204"/>
      <c r="GGO28" s="204"/>
      <c r="GGP28" s="204"/>
      <c r="GGQ28" s="204"/>
      <c r="GGR28" s="204"/>
      <c r="GGS28" s="204"/>
      <c r="GGT28" s="204"/>
      <c r="GGU28" s="204"/>
      <c r="GGV28" s="204"/>
      <c r="GGW28" s="204"/>
      <c r="GGX28" s="204"/>
      <c r="GGY28" s="204"/>
      <c r="GGZ28" s="204"/>
      <c r="GHA28" s="204"/>
      <c r="GHB28" s="204"/>
      <c r="GHC28" s="204"/>
      <c r="GHD28" s="204"/>
      <c r="GHE28" s="204"/>
      <c r="GHF28" s="204"/>
      <c r="GHG28" s="204"/>
      <c r="GHH28" s="204"/>
      <c r="GHI28" s="204"/>
      <c r="GHJ28" s="204"/>
      <c r="GHK28" s="204"/>
      <c r="GHL28" s="204"/>
      <c r="GHM28" s="204"/>
      <c r="GHN28" s="204"/>
      <c r="GHO28" s="204"/>
      <c r="GHP28" s="204"/>
      <c r="GHQ28" s="204"/>
      <c r="GHR28" s="204"/>
      <c r="GHS28" s="204"/>
      <c r="GHT28" s="204"/>
      <c r="GHU28" s="204"/>
      <c r="GHV28" s="204"/>
      <c r="GHW28" s="204"/>
      <c r="GHX28" s="204"/>
      <c r="GHY28" s="204"/>
      <c r="GHZ28" s="204"/>
      <c r="GIA28" s="204"/>
      <c r="GIB28" s="204"/>
      <c r="GIC28" s="204"/>
      <c r="GID28" s="204"/>
      <c r="GIE28" s="204"/>
      <c r="GIF28" s="204"/>
      <c r="GIG28" s="204"/>
      <c r="GIH28" s="204"/>
      <c r="GII28" s="204"/>
      <c r="GIJ28" s="204"/>
      <c r="GIK28" s="204"/>
      <c r="GIL28" s="204"/>
      <c r="GIM28" s="204"/>
      <c r="GIN28" s="204"/>
      <c r="GIO28" s="204"/>
      <c r="GIP28" s="204"/>
      <c r="GIQ28" s="204"/>
      <c r="GIR28" s="204"/>
      <c r="GIS28" s="204"/>
      <c r="GIT28" s="204"/>
      <c r="GIU28" s="204"/>
      <c r="GIV28" s="204"/>
      <c r="GIW28" s="204"/>
      <c r="GIX28" s="204"/>
      <c r="GIY28" s="204"/>
      <c r="GIZ28" s="204"/>
      <c r="GJA28" s="204"/>
      <c r="GJB28" s="204"/>
      <c r="GJC28" s="204"/>
      <c r="GJD28" s="204"/>
      <c r="GJE28" s="204"/>
      <c r="GJF28" s="204"/>
      <c r="GJG28" s="204"/>
      <c r="GJH28" s="204"/>
      <c r="GJI28" s="204"/>
      <c r="GJJ28" s="204"/>
      <c r="GJK28" s="204"/>
      <c r="GJL28" s="204"/>
      <c r="GJM28" s="204"/>
      <c r="GJN28" s="204"/>
      <c r="GJO28" s="204"/>
      <c r="GJP28" s="204"/>
      <c r="GJQ28" s="204"/>
      <c r="GJR28" s="204"/>
      <c r="GJS28" s="204"/>
      <c r="GJT28" s="204"/>
      <c r="GJU28" s="204"/>
      <c r="GJV28" s="204"/>
      <c r="GJW28" s="204"/>
      <c r="GJX28" s="204"/>
      <c r="GJY28" s="204"/>
      <c r="GJZ28" s="204"/>
      <c r="GKA28" s="204"/>
      <c r="GKB28" s="204"/>
      <c r="GKC28" s="204"/>
      <c r="GKD28" s="204"/>
      <c r="GKE28" s="204"/>
      <c r="GKF28" s="204"/>
      <c r="GKG28" s="204"/>
      <c r="GKH28" s="204"/>
      <c r="GKI28" s="204"/>
      <c r="GKJ28" s="204"/>
      <c r="GKK28" s="204"/>
      <c r="GKL28" s="204"/>
      <c r="GKM28" s="204"/>
      <c r="GKN28" s="204"/>
      <c r="GKO28" s="204"/>
      <c r="GKP28" s="204"/>
      <c r="GKQ28" s="204"/>
      <c r="GKR28" s="204"/>
      <c r="GKS28" s="204"/>
      <c r="GKT28" s="204"/>
      <c r="GKU28" s="204"/>
      <c r="GKV28" s="204"/>
      <c r="GKW28" s="204"/>
      <c r="GKX28" s="204"/>
      <c r="GKY28" s="204"/>
      <c r="GKZ28" s="204"/>
      <c r="GLA28" s="204"/>
      <c r="GLB28" s="204"/>
      <c r="GLC28" s="204"/>
      <c r="GLD28" s="204"/>
      <c r="GLE28" s="204"/>
      <c r="GLF28" s="204"/>
      <c r="GLG28" s="204"/>
      <c r="GLH28" s="204"/>
      <c r="GLI28" s="204"/>
      <c r="GLJ28" s="204"/>
      <c r="GLK28" s="204"/>
      <c r="GLL28" s="204"/>
      <c r="GLM28" s="204"/>
      <c r="GLN28" s="204"/>
      <c r="GLO28" s="204"/>
      <c r="GLP28" s="204"/>
      <c r="GLQ28" s="204"/>
      <c r="GLR28" s="204"/>
      <c r="GLS28" s="204"/>
      <c r="GLT28" s="204"/>
      <c r="GLU28" s="204"/>
      <c r="GLV28" s="204"/>
      <c r="GLW28" s="204"/>
      <c r="GLX28" s="204"/>
      <c r="GLY28" s="204"/>
      <c r="GLZ28" s="204"/>
      <c r="GMA28" s="204"/>
      <c r="GMB28" s="204"/>
      <c r="GMC28" s="204"/>
      <c r="GMD28" s="204"/>
      <c r="GME28" s="204"/>
      <c r="GMF28" s="204"/>
      <c r="GMG28" s="204"/>
      <c r="GMH28" s="204"/>
      <c r="GMI28" s="204"/>
      <c r="GMJ28" s="204"/>
      <c r="GMK28" s="204"/>
      <c r="GML28" s="204"/>
      <c r="GMM28" s="204"/>
      <c r="GMN28" s="204"/>
      <c r="GMO28" s="204"/>
      <c r="GMP28" s="204"/>
      <c r="GMQ28" s="204"/>
      <c r="GMR28" s="204"/>
      <c r="GMS28" s="204"/>
      <c r="GMT28" s="204"/>
      <c r="GMU28" s="204"/>
      <c r="GMV28" s="204"/>
      <c r="GMW28" s="204"/>
      <c r="GMX28" s="204"/>
      <c r="GMY28" s="204"/>
      <c r="GMZ28" s="204"/>
      <c r="GNA28" s="204"/>
      <c r="GNB28" s="204"/>
      <c r="GNC28" s="204"/>
      <c r="GND28" s="204"/>
      <c r="GNE28" s="204"/>
      <c r="GNF28" s="204"/>
      <c r="GNG28" s="204"/>
      <c r="GNH28" s="204"/>
      <c r="GNI28" s="204"/>
      <c r="GNJ28" s="204"/>
      <c r="GNK28" s="204"/>
      <c r="GNL28" s="204"/>
      <c r="GNM28" s="204"/>
      <c r="GNN28" s="204"/>
      <c r="GNO28" s="204"/>
      <c r="GNP28" s="204"/>
      <c r="GNQ28" s="204"/>
      <c r="GNR28" s="204"/>
      <c r="GNS28" s="204"/>
      <c r="GNT28" s="204"/>
      <c r="GNU28" s="204"/>
      <c r="GNV28" s="204"/>
      <c r="GNW28" s="204"/>
      <c r="GNX28" s="204"/>
      <c r="GNY28" s="204"/>
      <c r="GNZ28" s="204"/>
      <c r="GOA28" s="204"/>
      <c r="GOB28" s="204"/>
      <c r="GOC28" s="204"/>
      <c r="GOD28" s="204"/>
      <c r="GOE28" s="204"/>
      <c r="GOF28" s="204"/>
      <c r="GOG28" s="204"/>
      <c r="GOH28" s="204"/>
      <c r="GOI28" s="204"/>
      <c r="GOJ28" s="204"/>
      <c r="GOK28" s="204"/>
      <c r="GOL28" s="204"/>
      <c r="GOM28" s="204"/>
      <c r="GON28" s="204"/>
      <c r="GOO28" s="204"/>
      <c r="GOP28" s="204"/>
      <c r="GOQ28" s="204"/>
      <c r="GOR28" s="204"/>
      <c r="GOS28" s="204"/>
      <c r="GOT28" s="204"/>
      <c r="GOU28" s="204"/>
      <c r="GOV28" s="204"/>
      <c r="GOW28" s="204"/>
      <c r="GOX28" s="204"/>
      <c r="GOY28" s="204"/>
      <c r="GOZ28" s="204"/>
      <c r="GPA28" s="204"/>
      <c r="GPB28" s="204"/>
      <c r="GPC28" s="204"/>
      <c r="GPD28" s="204"/>
      <c r="GPE28" s="204"/>
      <c r="GPF28" s="204"/>
      <c r="GPG28" s="204"/>
      <c r="GPH28" s="204"/>
      <c r="GPI28" s="204"/>
      <c r="GPJ28" s="204"/>
      <c r="GPK28" s="204"/>
      <c r="GPL28" s="204"/>
      <c r="GPM28" s="204"/>
      <c r="GPN28" s="204"/>
      <c r="GPO28" s="204"/>
      <c r="GPP28" s="204"/>
      <c r="GPQ28" s="204"/>
      <c r="GPR28" s="204"/>
      <c r="GPS28" s="204"/>
      <c r="GPT28" s="204"/>
      <c r="GPU28" s="204"/>
      <c r="GPV28" s="204"/>
      <c r="GPW28" s="204"/>
      <c r="GPX28" s="204"/>
      <c r="GPY28" s="204"/>
      <c r="GPZ28" s="204"/>
      <c r="GQA28" s="204"/>
      <c r="GQB28" s="204"/>
      <c r="GQC28" s="204"/>
      <c r="GQD28" s="204"/>
      <c r="GQE28" s="204"/>
      <c r="GQF28" s="204"/>
      <c r="GQG28" s="204"/>
      <c r="GQH28" s="204"/>
      <c r="GQI28" s="204"/>
      <c r="GQJ28" s="204"/>
      <c r="GQK28" s="204"/>
      <c r="GQL28" s="204"/>
      <c r="GQM28" s="204"/>
      <c r="GQN28" s="204"/>
      <c r="GQO28" s="204"/>
      <c r="GQP28" s="204"/>
      <c r="GQQ28" s="204"/>
      <c r="GQR28" s="204"/>
      <c r="GQS28" s="204"/>
      <c r="GQT28" s="204"/>
      <c r="GQU28" s="204"/>
      <c r="GQV28" s="204"/>
      <c r="GQW28" s="204"/>
      <c r="GQX28" s="204"/>
      <c r="GQY28" s="204"/>
      <c r="GQZ28" s="204"/>
      <c r="GRA28" s="204"/>
      <c r="GRB28" s="204"/>
      <c r="GRC28" s="204"/>
      <c r="GRD28" s="204"/>
      <c r="GRE28" s="204"/>
      <c r="GRF28" s="204"/>
      <c r="GRG28" s="204"/>
      <c r="GRH28" s="204"/>
      <c r="GRI28" s="204"/>
      <c r="GRJ28" s="204"/>
      <c r="GRK28" s="204"/>
      <c r="GRL28" s="204"/>
      <c r="GRM28" s="204"/>
      <c r="GRN28" s="204"/>
      <c r="GRO28" s="204"/>
      <c r="GRP28" s="204"/>
      <c r="GRQ28" s="204"/>
      <c r="GRR28" s="204"/>
      <c r="GRS28" s="204"/>
      <c r="GRT28" s="204"/>
      <c r="GRU28" s="204"/>
      <c r="GRV28" s="204"/>
      <c r="GRW28" s="204"/>
      <c r="GRX28" s="204"/>
      <c r="GRY28" s="204"/>
      <c r="GRZ28" s="204"/>
      <c r="GSA28" s="204"/>
      <c r="GSB28" s="204"/>
      <c r="GSC28" s="204"/>
      <c r="GSD28" s="204"/>
      <c r="GSE28" s="204"/>
      <c r="GSF28" s="204"/>
      <c r="GSG28" s="204"/>
      <c r="GSH28" s="204"/>
      <c r="GSI28" s="204"/>
      <c r="GSJ28" s="204"/>
      <c r="GSK28" s="204"/>
      <c r="GSL28" s="204"/>
      <c r="GSM28" s="204"/>
      <c r="GSN28" s="204"/>
      <c r="GSO28" s="204"/>
      <c r="GSP28" s="204"/>
      <c r="GSQ28" s="204"/>
      <c r="GSR28" s="204"/>
      <c r="GSS28" s="204"/>
      <c r="GST28" s="204"/>
      <c r="GSU28" s="204"/>
      <c r="GSV28" s="204"/>
      <c r="GSW28" s="204"/>
      <c r="GSX28" s="204"/>
      <c r="GSY28" s="204"/>
      <c r="GSZ28" s="204"/>
      <c r="GTA28" s="204"/>
      <c r="GTB28" s="204"/>
      <c r="GTC28" s="204"/>
      <c r="GTD28" s="204"/>
      <c r="GTE28" s="204"/>
      <c r="GTF28" s="204"/>
      <c r="GTG28" s="204"/>
      <c r="GTH28" s="204"/>
      <c r="GTI28" s="204"/>
      <c r="GTJ28" s="204"/>
      <c r="GTK28" s="204"/>
      <c r="GTL28" s="204"/>
      <c r="GTM28" s="204"/>
      <c r="GTN28" s="204"/>
      <c r="GTO28" s="204"/>
      <c r="GTP28" s="204"/>
      <c r="GTQ28" s="204"/>
      <c r="GTR28" s="204"/>
      <c r="GTS28" s="204"/>
      <c r="GTT28" s="204"/>
      <c r="GTU28" s="204"/>
      <c r="GTV28" s="204"/>
      <c r="GTW28" s="204"/>
      <c r="GTX28" s="204"/>
      <c r="GTY28" s="204"/>
      <c r="GTZ28" s="204"/>
      <c r="GUA28" s="204"/>
      <c r="GUB28" s="204"/>
      <c r="GUC28" s="204"/>
      <c r="GUD28" s="204"/>
      <c r="GUE28" s="204"/>
      <c r="GUF28" s="204"/>
      <c r="GUG28" s="204"/>
      <c r="GUH28" s="204"/>
      <c r="GUI28" s="204"/>
      <c r="GUJ28" s="204"/>
      <c r="GUK28" s="204"/>
      <c r="GUL28" s="204"/>
      <c r="GUM28" s="204"/>
      <c r="GUN28" s="204"/>
      <c r="GUO28" s="204"/>
      <c r="GUP28" s="204"/>
      <c r="GUQ28" s="204"/>
      <c r="GUR28" s="204"/>
      <c r="GUS28" s="204"/>
      <c r="GUT28" s="204"/>
      <c r="GUU28" s="204"/>
      <c r="GUV28" s="204"/>
      <c r="GUW28" s="204"/>
      <c r="GUX28" s="204"/>
      <c r="GUY28" s="204"/>
      <c r="GUZ28" s="204"/>
      <c r="GVA28" s="204"/>
      <c r="GVB28" s="204"/>
      <c r="GVC28" s="204"/>
      <c r="GVD28" s="204"/>
      <c r="GVE28" s="204"/>
      <c r="GVF28" s="204"/>
      <c r="GVG28" s="204"/>
      <c r="GVH28" s="204"/>
      <c r="GVI28" s="204"/>
      <c r="GVJ28" s="204"/>
      <c r="GVK28" s="204"/>
      <c r="GVL28" s="204"/>
      <c r="GVM28" s="204"/>
      <c r="GVN28" s="204"/>
      <c r="GVO28" s="204"/>
      <c r="GVP28" s="204"/>
      <c r="GVQ28" s="204"/>
      <c r="GVR28" s="204"/>
      <c r="GVS28" s="204"/>
      <c r="GVT28" s="204"/>
      <c r="GVU28" s="204"/>
      <c r="GVV28" s="204"/>
      <c r="GVW28" s="204"/>
      <c r="GVX28" s="204"/>
      <c r="GVY28" s="204"/>
      <c r="GVZ28" s="204"/>
      <c r="GWA28" s="204"/>
      <c r="GWB28" s="204"/>
      <c r="GWC28" s="204"/>
      <c r="GWD28" s="204"/>
      <c r="GWE28" s="204"/>
      <c r="GWF28" s="204"/>
      <c r="GWG28" s="204"/>
      <c r="GWH28" s="204"/>
      <c r="GWI28" s="204"/>
      <c r="GWJ28" s="204"/>
      <c r="GWK28" s="204"/>
      <c r="GWL28" s="204"/>
      <c r="GWM28" s="204"/>
      <c r="GWN28" s="204"/>
      <c r="GWO28" s="204"/>
      <c r="GWP28" s="204"/>
      <c r="GWQ28" s="204"/>
      <c r="GWR28" s="204"/>
      <c r="GWS28" s="204"/>
      <c r="GWT28" s="204"/>
      <c r="GWU28" s="204"/>
      <c r="GWV28" s="204"/>
      <c r="GWW28" s="204"/>
      <c r="GWX28" s="204"/>
      <c r="GWY28" s="204"/>
      <c r="GWZ28" s="204"/>
      <c r="GXA28" s="204"/>
      <c r="GXB28" s="204"/>
      <c r="GXC28" s="204"/>
      <c r="GXD28" s="204"/>
      <c r="GXE28" s="204"/>
      <c r="GXF28" s="204"/>
      <c r="GXG28" s="204"/>
      <c r="GXH28" s="204"/>
      <c r="GXI28" s="204"/>
      <c r="GXJ28" s="204"/>
      <c r="GXK28" s="204"/>
      <c r="GXL28" s="204"/>
      <c r="GXM28" s="204"/>
      <c r="GXN28" s="204"/>
      <c r="GXO28" s="204"/>
      <c r="GXP28" s="204"/>
      <c r="GXQ28" s="204"/>
      <c r="GXR28" s="204"/>
      <c r="GXS28" s="204"/>
      <c r="GXT28" s="204"/>
      <c r="GXU28" s="204"/>
      <c r="GXV28" s="204"/>
      <c r="GXW28" s="204"/>
      <c r="GXX28" s="204"/>
      <c r="GXY28" s="204"/>
      <c r="GXZ28" s="204"/>
      <c r="GYA28" s="204"/>
      <c r="GYB28" s="204"/>
      <c r="GYC28" s="204"/>
      <c r="GYD28" s="204"/>
      <c r="GYE28" s="204"/>
      <c r="GYF28" s="204"/>
      <c r="GYG28" s="204"/>
      <c r="GYH28" s="204"/>
      <c r="GYI28" s="204"/>
      <c r="GYJ28" s="204"/>
      <c r="GYK28" s="204"/>
      <c r="GYL28" s="204"/>
      <c r="GYM28" s="204"/>
      <c r="GYN28" s="204"/>
      <c r="GYO28" s="204"/>
      <c r="GYP28" s="204"/>
      <c r="GYQ28" s="204"/>
      <c r="GYR28" s="204"/>
      <c r="GYS28" s="204"/>
      <c r="GYT28" s="204"/>
      <c r="GYU28" s="204"/>
      <c r="GYV28" s="204"/>
      <c r="GYW28" s="204"/>
      <c r="GYX28" s="204"/>
      <c r="GYY28" s="204"/>
      <c r="GYZ28" s="204"/>
      <c r="GZA28" s="204"/>
      <c r="GZB28" s="204"/>
      <c r="GZC28" s="204"/>
      <c r="GZD28" s="204"/>
      <c r="GZE28" s="204"/>
      <c r="GZF28" s="204"/>
      <c r="GZG28" s="204"/>
      <c r="GZH28" s="204"/>
      <c r="GZI28" s="204"/>
      <c r="GZJ28" s="204"/>
      <c r="GZK28" s="204"/>
      <c r="GZL28" s="204"/>
      <c r="GZM28" s="204"/>
      <c r="GZN28" s="204"/>
      <c r="GZO28" s="204"/>
      <c r="GZP28" s="204"/>
      <c r="GZQ28" s="204"/>
      <c r="GZR28" s="204"/>
      <c r="GZS28" s="204"/>
      <c r="GZT28" s="204"/>
      <c r="GZU28" s="204"/>
      <c r="GZV28" s="204"/>
      <c r="GZW28" s="204"/>
      <c r="GZX28" s="204"/>
      <c r="GZY28" s="204"/>
      <c r="GZZ28" s="204"/>
      <c r="HAA28" s="204"/>
      <c r="HAB28" s="204"/>
      <c r="HAC28" s="204"/>
      <c r="HAD28" s="204"/>
      <c r="HAE28" s="204"/>
      <c r="HAF28" s="204"/>
      <c r="HAG28" s="204"/>
      <c r="HAH28" s="204"/>
      <c r="HAI28" s="204"/>
      <c r="HAJ28" s="204"/>
      <c r="HAK28" s="204"/>
      <c r="HAL28" s="204"/>
      <c r="HAM28" s="204"/>
      <c r="HAN28" s="204"/>
      <c r="HAO28" s="204"/>
      <c r="HAP28" s="204"/>
      <c r="HAQ28" s="204"/>
      <c r="HAR28" s="204"/>
      <c r="HAS28" s="204"/>
      <c r="HAT28" s="204"/>
      <c r="HAU28" s="204"/>
      <c r="HAV28" s="204"/>
      <c r="HAW28" s="204"/>
      <c r="HAX28" s="204"/>
      <c r="HAY28" s="204"/>
      <c r="HAZ28" s="204"/>
      <c r="HBA28" s="204"/>
      <c r="HBB28" s="204"/>
      <c r="HBC28" s="204"/>
      <c r="HBD28" s="204"/>
      <c r="HBE28" s="204"/>
      <c r="HBF28" s="204"/>
      <c r="HBG28" s="204"/>
      <c r="HBH28" s="204"/>
      <c r="HBI28" s="204"/>
      <c r="HBJ28" s="204"/>
      <c r="HBK28" s="204"/>
      <c r="HBL28" s="204"/>
      <c r="HBM28" s="204"/>
      <c r="HBN28" s="204"/>
      <c r="HBO28" s="204"/>
      <c r="HBP28" s="204"/>
      <c r="HBQ28" s="204"/>
      <c r="HBR28" s="204"/>
      <c r="HBS28" s="204"/>
      <c r="HBT28" s="204"/>
      <c r="HBU28" s="204"/>
      <c r="HBV28" s="204"/>
      <c r="HBW28" s="204"/>
      <c r="HBX28" s="204"/>
      <c r="HBY28" s="204"/>
      <c r="HBZ28" s="204"/>
      <c r="HCA28" s="204"/>
      <c r="HCB28" s="204"/>
      <c r="HCC28" s="204"/>
      <c r="HCD28" s="204"/>
      <c r="HCE28" s="204"/>
      <c r="HCF28" s="204"/>
      <c r="HCG28" s="204"/>
      <c r="HCH28" s="204"/>
      <c r="HCI28" s="204"/>
      <c r="HCJ28" s="204"/>
      <c r="HCK28" s="204"/>
      <c r="HCL28" s="204"/>
      <c r="HCM28" s="204"/>
      <c r="HCN28" s="204"/>
      <c r="HCO28" s="204"/>
      <c r="HCP28" s="204"/>
      <c r="HCQ28" s="204"/>
      <c r="HCR28" s="204"/>
      <c r="HCS28" s="204"/>
      <c r="HCT28" s="204"/>
      <c r="HCU28" s="204"/>
      <c r="HCV28" s="204"/>
      <c r="HCW28" s="204"/>
      <c r="HCX28" s="204"/>
      <c r="HCY28" s="204"/>
      <c r="HCZ28" s="204"/>
      <c r="HDA28" s="204"/>
      <c r="HDB28" s="204"/>
      <c r="HDC28" s="204"/>
      <c r="HDD28" s="204"/>
      <c r="HDE28" s="204"/>
      <c r="HDF28" s="204"/>
      <c r="HDG28" s="204"/>
      <c r="HDH28" s="204"/>
      <c r="HDI28" s="204"/>
      <c r="HDJ28" s="204"/>
      <c r="HDK28" s="204"/>
      <c r="HDL28" s="204"/>
      <c r="HDM28" s="204"/>
      <c r="HDN28" s="204"/>
      <c r="HDO28" s="204"/>
      <c r="HDP28" s="204"/>
      <c r="HDQ28" s="204"/>
      <c r="HDR28" s="204"/>
      <c r="HDS28" s="204"/>
      <c r="HDT28" s="204"/>
      <c r="HDU28" s="204"/>
      <c r="HDV28" s="204"/>
      <c r="HDW28" s="204"/>
      <c r="HDX28" s="204"/>
      <c r="HDY28" s="204"/>
      <c r="HDZ28" s="204"/>
      <c r="HEA28" s="204"/>
      <c r="HEB28" s="204"/>
      <c r="HEC28" s="204"/>
      <c r="HED28" s="204"/>
      <c r="HEE28" s="204"/>
      <c r="HEF28" s="204"/>
      <c r="HEG28" s="204"/>
      <c r="HEH28" s="204"/>
      <c r="HEI28" s="204"/>
      <c r="HEJ28" s="204"/>
      <c r="HEK28" s="204"/>
      <c r="HEL28" s="204"/>
      <c r="HEM28" s="204"/>
      <c r="HEN28" s="204"/>
      <c r="HEO28" s="204"/>
      <c r="HEP28" s="204"/>
      <c r="HEQ28" s="204"/>
      <c r="HER28" s="204"/>
      <c r="HES28" s="204"/>
      <c r="HET28" s="204"/>
      <c r="HEU28" s="204"/>
      <c r="HEV28" s="204"/>
      <c r="HEW28" s="204"/>
      <c r="HEX28" s="204"/>
      <c r="HEY28" s="204"/>
      <c r="HEZ28" s="204"/>
      <c r="HFA28" s="204"/>
      <c r="HFB28" s="204"/>
      <c r="HFC28" s="204"/>
      <c r="HFD28" s="204"/>
      <c r="HFE28" s="204"/>
      <c r="HFF28" s="204"/>
      <c r="HFG28" s="204"/>
      <c r="HFH28" s="204"/>
      <c r="HFI28" s="204"/>
      <c r="HFJ28" s="204"/>
      <c r="HFK28" s="204"/>
      <c r="HFL28" s="204"/>
      <c r="HFM28" s="204"/>
      <c r="HFN28" s="204"/>
      <c r="HFO28" s="204"/>
      <c r="HFP28" s="204"/>
      <c r="HFQ28" s="204"/>
      <c r="HFR28" s="204"/>
      <c r="HFS28" s="204"/>
      <c r="HFT28" s="204"/>
      <c r="HFU28" s="204"/>
      <c r="HFV28" s="204"/>
      <c r="HFW28" s="204"/>
      <c r="HFX28" s="204"/>
      <c r="HFY28" s="204"/>
      <c r="HFZ28" s="204"/>
      <c r="HGA28" s="204"/>
      <c r="HGB28" s="204"/>
      <c r="HGC28" s="204"/>
      <c r="HGD28" s="204"/>
      <c r="HGE28" s="204"/>
      <c r="HGF28" s="204"/>
      <c r="HGG28" s="204"/>
      <c r="HGH28" s="204"/>
      <c r="HGI28" s="204"/>
      <c r="HGJ28" s="204"/>
      <c r="HGK28" s="204"/>
      <c r="HGL28" s="204"/>
      <c r="HGM28" s="204"/>
      <c r="HGN28" s="204"/>
      <c r="HGO28" s="204"/>
      <c r="HGP28" s="204"/>
      <c r="HGQ28" s="204"/>
      <c r="HGR28" s="204"/>
      <c r="HGS28" s="204"/>
      <c r="HGT28" s="204"/>
      <c r="HGU28" s="204"/>
      <c r="HGV28" s="204"/>
      <c r="HGW28" s="204"/>
      <c r="HGX28" s="204"/>
      <c r="HGY28" s="204"/>
      <c r="HGZ28" s="204"/>
      <c r="HHA28" s="204"/>
      <c r="HHB28" s="204"/>
      <c r="HHC28" s="204"/>
      <c r="HHD28" s="204"/>
      <c r="HHE28" s="204"/>
      <c r="HHF28" s="204"/>
      <c r="HHG28" s="204"/>
      <c r="HHH28" s="204"/>
      <c r="HHI28" s="204"/>
      <c r="HHJ28" s="204"/>
      <c r="HHK28" s="204"/>
      <c r="HHL28" s="204"/>
      <c r="HHM28" s="204"/>
      <c r="HHN28" s="204"/>
      <c r="HHO28" s="204"/>
      <c r="HHP28" s="204"/>
      <c r="HHQ28" s="204"/>
      <c r="HHR28" s="204"/>
      <c r="HHS28" s="204"/>
      <c r="HHT28" s="204"/>
      <c r="HHU28" s="204"/>
      <c r="HHV28" s="204"/>
      <c r="HHW28" s="204"/>
      <c r="HHX28" s="204"/>
      <c r="HHY28" s="204"/>
      <c r="HHZ28" s="204"/>
      <c r="HIA28" s="204"/>
      <c r="HIB28" s="204"/>
      <c r="HIC28" s="204"/>
      <c r="HID28" s="204"/>
      <c r="HIE28" s="204"/>
      <c r="HIF28" s="204"/>
      <c r="HIG28" s="204"/>
      <c r="HIH28" s="204"/>
      <c r="HII28" s="204"/>
      <c r="HIJ28" s="204"/>
      <c r="HIK28" s="204"/>
      <c r="HIL28" s="204"/>
      <c r="HIM28" s="204"/>
      <c r="HIN28" s="204"/>
      <c r="HIO28" s="204"/>
      <c r="HIP28" s="204"/>
      <c r="HIQ28" s="204"/>
      <c r="HIR28" s="204"/>
      <c r="HIS28" s="204"/>
      <c r="HIT28" s="204"/>
      <c r="HIU28" s="204"/>
      <c r="HIV28" s="204"/>
      <c r="HIW28" s="204"/>
      <c r="HIX28" s="204"/>
      <c r="HIY28" s="204"/>
      <c r="HIZ28" s="204"/>
      <c r="HJA28" s="204"/>
      <c r="HJB28" s="204"/>
      <c r="HJC28" s="204"/>
      <c r="HJD28" s="204"/>
      <c r="HJE28" s="204"/>
      <c r="HJF28" s="204"/>
      <c r="HJG28" s="204"/>
      <c r="HJH28" s="204"/>
      <c r="HJI28" s="204"/>
      <c r="HJJ28" s="204"/>
      <c r="HJK28" s="204"/>
      <c r="HJL28" s="204"/>
      <c r="HJM28" s="204"/>
      <c r="HJN28" s="204"/>
      <c r="HJO28" s="204"/>
      <c r="HJP28" s="204"/>
      <c r="HJQ28" s="204"/>
      <c r="HJR28" s="204"/>
      <c r="HJS28" s="204"/>
      <c r="HJT28" s="204"/>
      <c r="HJU28" s="204"/>
      <c r="HJV28" s="204"/>
      <c r="HJW28" s="204"/>
      <c r="HJX28" s="204"/>
      <c r="HJY28" s="204"/>
      <c r="HJZ28" s="204"/>
      <c r="HKA28" s="204"/>
      <c r="HKB28" s="204"/>
      <c r="HKC28" s="204"/>
      <c r="HKD28" s="204"/>
      <c r="HKE28" s="204"/>
      <c r="HKF28" s="204"/>
      <c r="HKG28" s="204"/>
      <c r="HKH28" s="204"/>
      <c r="HKI28" s="204"/>
      <c r="HKJ28" s="204"/>
      <c r="HKK28" s="204"/>
      <c r="HKL28" s="204"/>
      <c r="HKM28" s="204"/>
      <c r="HKN28" s="204"/>
      <c r="HKO28" s="204"/>
      <c r="HKP28" s="204"/>
      <c r="HKQ28" s="204"/>
      <c r="HKR28" s="204"/>
      <c r="HKS28" s="204"/>
      <c r="HKT28" s="204"/>
      <c r="HKU28" s="204"/>
      <c r="HKV28" s="204"/>
      <c r="HKW28" s="204"/>
      <c r="HKX28" s="204"/>
      <c r="HKY28" s="204"/>
      <c r="HKZ28" s="204"/>
      <c r="HLA28" s="204"/>
      <c r="HLB28" s="204"/>
      <c r="HLC28" s="204"/>
      <c r="HLD28" s="204"/>
      <c r="HLE28" s="204"/>
      <c r="HLF28" s="204"/>
      <c r="HLG28" s="204"/>
      <c r="HLH28" s="204"/>
      <c r="HLI28" s="204"/>
      <c r="HLJ28" s="204"/>
      <c r="HLK28" s="204"/>
      <c r="HLL28" s="204"/>
      <c r="HLM28" s="204"/>
      <c r="HLN28" s="204"/>
      <c r="HLO28" s="204"/>
      <c r="HLP28" s="204"/>
      <c r="HLQ28" s="204"/>
      <c r="HLR28" s="204"/>
      <c r="HLS28" s="204"/>
      <c r="HLT28" s="204"/>
      <c r="HLU28" s="204"/>
      <c r="HLV28" s="204"/>
      <c r="HLW28" s="204"/>
      <c r="HLX28" s="204"/>
      <c r="HLY28" s="204"/>
      <c r="HLZ28" s="204"/>
      <c r="HMA28" s="204"/>
      <c r="HMB28" s="204"/>
      <c r="HMC28" s="204"/>
      <c r="HMD28" s="204"/>
      <c r="HME28" s="204"/>
      <c r="HMF28" s="204"/>
      <c r="HMG28" s="204"/>
      <c r="HMH28" s="204"/>
      <c r="HMI28" s="204"/>
      <c r="HMJ28" s="204"/>
      <c r="HMK28" s="204"/>
      <c r="HML28" s="204"/>
      <c r="HMM28" s="204"/>
      <c r="HMN28" s="204"/>
      <c r="HMO28" s="204"/>
      <c r="HMP28" s="204"/>
      <c r="HMQ28" s="204"/>
      <c r="HMR28" s="204"/>
      <c r="HMS28" s="204"/>
      <c r="HMT28" s="204"/>
      <c r="HMU28" s="204"/>
      <c r="HMV28" s="204"/>
      <c r="HMW28" s="204"/>
      <c r="HMX28" s="204"/>
      <c r="HMY28" s="204"/>
      <c r="HMZ28" s="204"/>
      <c r="HNA28" s="204"/>
      <c r="HNB28" s="204"/>
      <c r="HNC28" s="204"/>
      <c r="HND28" s="204"/>
      <c r="HNE28" s="204"/>
      <c r="HNF28" s="204"/>
      <c r="HNG28" s="204"/>
      <c r="HNH28" s="204"/>
      <c r="HNI28" s="204"/>
      <c r="HNJ28" s="204"/>
      <c r="HNK28" s="204"/>
      <c r="HNL28" s="204"/>
      <c r="HNM28" s="204"/>
      <c r="HNN28" s="204"/>
      <c r="HNO28" s="204"/>
      <c r="HNP28" s="204"/>
      <c r="HNQ28" s="204"/>
      <c r="HNR28" s="204"/>
      <c r="HNS28" s="204"/>
      <c r="HNT28" s="204"/>
      <c r="HNU28" s="204"/>
      <c r="HNV28" s="204"/>
      <c r="HNW28" s="204"/>
      <c r="HNX28" s="204"/>
      <c r="HNY28" s="204"/>
      <c r="HNZ28" s="204"/>
      <c r="HOA28" s="204"/>
      <c r="HOB28" s="204"/>
      <c r="HOC28" s="204"/>
      <c r="HOD28" s="204"/>
      <c r="HOE28" s="204"/>
      <c r="HOF28" s="204"/>
      <c r="HOG28" s="204"/>
      <c r="HOH28" s="204"/>
      <c r="HOI28" s="204"/>
      <c r="HOJ28" s="204"/>
      <c r="HOK28" s="204"/>
      <c r="HOL28" s="204"/>
      <c r="HOM28" s="204"/>
      <c r="HON28" s="204"/>
      <c r="HOO28" s="204"/>
      <c r="HOP28" s="204"/>
      <c r="HOQ28" s="204"/>
      <c r="HOR28" s="204"/>
      <c r="HOS28" s="204"/>
      <c r="HOT28" s="204"/>
      <c r="HOU28" s="204"/>
      <c r="HOV28" s="204"/>
      <c r="HOW28" s="204"/>
      <c r="HOX28" s="204"/>
      <c r="HOY28" s="204"/>
      <c r="HOZ28" s="204"/>
      <c r="HPA28" s="204"/>
      <c r="HPB28" s="204"/>
      <c r="HPC28" s="204"/>
      <c r="HPD28" s="204"/>
      <c r="HPE28" s="204"/>
      <c r="HPF28" s="204"/>
      <c r="HPG28" s="204"/>
      <c r="HPH28" s="204"/>
      <c r="HPI28" s="204"/>
      <c r="HPJ28" s="204"/>
      <c r="HPK28" s="204"/>
      <c r="HPL28" s="204"/>
      <c r="HPM28" s="204"/>
      <c r="HPN28" s="204"/>
      <c r="HPO28" s="204"/>
      <c r="HPP28" s="204"/>
      <c r="HPQ28" s="204"/>
      <c r="HPR28" s="204"/>
      <c r="HPS28" s="204"/>
      <c r="HPT28" s="204"/>
      <c r="HPU28" s="204"/>
      <c r="HPV28" s="204"/>
      <c r="HPW28" s="204"/>
      <c r="HPX28" s="204"/>
      <c r="HPY28" s="204"/>
      <c r="HPZ28" s="204"/>
      <c r="HQA28" s="204"/>
      <c r="HQB28" s="204"/>
      <c r="HQC28" s="204"/>
      <c r="HQD28" s="204"/>
      <c r="HQE28" s="204"/>
      <c r="HQF28" s="204"/>
      <c r="HQG28" s="204"/>
      <c r="HQH28" s="204"/>
      <c r="HQI28" s="204"/>
      <c r="HQJ28" s="204"/>
      <c r="HQK28" s="204"/>
      <c r="HQL28" s="204"/>
      <c r="HQM28" s="204"/>
      <c r="HQN28" s="204"/>
      <c r="HQO28" s="204"/>
      <c r="HQP28" s="204"/>
      <c r="HQQ28" s="204"/>
      <c r="HQR28" s="204"/>
      <c r="HQS28" s="204"/>
      <c r="HQT28" s="204"/>
      <c r="HQU28" s="204"/>
      <c r="HQV28" s="204"/>
      <c r="HQW28" s="204"/>
      <c r="HQX28" s="204"/>
      <c r="HQY28" s="204"/>
      <c r="HQZ28" s="204"/>
      <c r="HRA28" s="204"/>
      <c r="HRB28" s="204"/>
      <c r="HRC28" s="204"/>
      <c r="HRD28" s="204"/>
      <c r="HRE28" s="204"/>
      <c r="HRF28" s="204"/>
      <c r="HRG28" s="204"/>
      <c r="HRH28" s="204"/>
      <c r="HRI28" s="204"/>
      <c r="HRJ28" s="204"/>
      <c r="HRK28" s="204"/>
      <c r="HRL28" s="204"/>
      <c r="HRM28" s="204"/>
      <c r="HRN28" s="204"/>
      <c r="HRO28" s="204"/>
      <c r="HRP28" s="204"/>
      <c r="HRQ28" s="204"/>
      <c r="HRR28" s="204"/>
      <c r="HRS28" s="204"/>
      <c r="HRT28" s="204"/>
      <c r="HRU28" s="204"/>
      <c r="HRV28" s="204"/>
      <c r="HRW28" s="204"/>
      <c r="HRX28" s="204"/>
      <c r="HRY28" s="204"/>
      <c r="HRZ28" s="204"/>
      <c r="HSA28" s="204"/>
      <c r="HSB28" s="204"/>
      <c r="HSC28" s="204"/>
      <c r="HSD28" s="204"/>
      <c r="HSE28" s="204"/>
      <c r="HSF28" s="204"/>
      <c r="HSG28" s="204"/>
      <c r="HSH28" s="204"/>
      <c r="HSI28" s="204"/>
      <c r="HSJ28" s="204"/>
      <c r="HSK28" s="204"/>
      <c r="HSL28" s="204"/>
      <c r="HSM28" s="204"/>
      <c r="HSN28" s="204"/>
      <c r="HSO28" s="204"/>
      <c r="HSP28" s="204"/>
      <c r="HSQ28" s="204"/>
      <c r="HSR28" s="204"/>
      <c r="HSS28" s="204"/>
      <c r="HST28" s="204"/>
      <c r="HSU28" s="204"/>
      <c r="HSV28" s="204"/>
      <c r="HSW28" s="204"/>
      <c r="HSX28" s="204"/>
      <c r="HSY28" s="204"/>
      <c r="HSZ28" s="204"/>
      <c r="HTA28" s="204"/>
      <c r="HTB28" s="204"/>
      <c r="HTC28" s="204"/>
      <c r="HTD28" s="204"/>
      <c r="HTE28" s="204"/>
      <c r="HTF28" s="204"/>
      <c r="HTG28" s="204"/>
      <c r="HTH28" s="204"/>
      <c r="HTI28" s="204"/>
      <c r="HTJ28" s="204"/>
      <c r="HTK28" s="204"/>
      <c r="HTL28" s="204"/>
      <c r="HTM28" s="204"/>
      <c r="HTN28" s="204"/>
      <c r="HTO28" s="204"/>
      <c r="HTP28" s="204"/>
      <c r="HTQ28" s="204"/>
      <c r="HTR28" s="204"/>
      <c r="HTS28" s="204"/>
      <c r="HTT28" s="204"/>
      <c r="HTU28" s="204"/>
      <c r="HTV28" s="204"/>
      <c r="HTW28" s="204"/>
      <c r="HTX28" s="204"/>
      <c r="HTY28" s="204"/>
      <c r="HTZ28" s="204"/>
      <c r="HUA28" s="204"/>
      <c r="HUB28" s="204"/>
      <c r="HUC28" s="204"/>
      <c r="HUD28" s="204"/>
      <c r="HUE28" s="204"/>
      <c r="HUF28" s="204"/>
      <c r="HUG28" s="204"/>
      <c r="HUH28" s="204"/>
      <c r="HUI28" s="204"/>
      <c r="HUJ28" s="204"/>
      <c r="HUK28" s="204"/>
      <c r="HUL28" s="204"/>
      <c r="HUM28" s="204"/>
      <c r="HUN28" s="204"/>
      <c r="HUO28" s="204"/>
      <c r="HUP28" s="204"/>
      <c r="HUQ28" s="204"/>
      <c r="HUR28" s="204"/>
      <c r="HUS28" s="204"/>
      <c r="HUT28" s="204"/>
      <c r="HUU28" s="204"/>
      <c r="HUV28" s="204"/>
      <c r="HUW28" s="204"/>
      <c r="HUX28" s="204"/>
      <c r="HUY28" s="204"/>
      <c r="HUZ28" s="204"/>
      <c r="HVA28" s="204"/>
      <c r="HVB28" s="204"/>
      <c r="HVC28" s="204"/>
      <c r="HVD28" s="204"/>
      <c r="HVE28" s="204"/>
      <c r="HVF28" s="204"/>
      <c r="HVG28" s="204"/>
      <c r="HVH28" s="204"/>
      <c r="HVI28" s="204"/>
      <c r="HVJ28" s="204"/>
      <c r="HVK28" s="204"/>
      <c r="HVL28" s="204"/>
      <c r="HVM28" s="204"/>
      <c r="HVN28" s="204"/>
      <c r="HVO28" s="204"/>
      <c r="HVP28" s="204"/>
      <c r="HVQ28" s="204"/>
      <c r="HVR28" s="204"/>
      <c r="HVS28" s="204"/>
      <c r="HVT28" s="204"/>
      <c r="HVU28" s="204"/>
      <c r="HVV28" s="204"/>
      <c r="HVW28" s="204"/>
      <c r="HVX28" s="204"/>
      <c r="HVY28" s="204"/>
      <c r="HVZ28" s="204"/>
      <c r="HWA28" s="204"/>
      <c r="HWB28" s="204"/>
      <c r="HWC28" s="204"/>
      <c r="HWD28" s="204"/>
      <c r="HWE28" s="204"/>
      <c r="HWF28" s="204"/>
      <c r="HWG28" s="204"/>
      <c r="HWH28" s="204"/>
      <c r="HWI28" s="204"/>
      <c r="HWJ28" s="204"/>
      <c r="HWK28" s="204"/>
      <c r="HWL28" s="204"/>
      <c r="HWM28" s="204"/>
      <c r="HWN28" s="204"/>
      <c r="HWO28" s="204"/>
      <c r="HWP28" s="204"/>
      <c r="HWQ28" s="204"/>
      <c r="HWR28" s="204"/>
      <c r="HWS28" s="204"/>
      <c r="HWT28" s="204"/>
      <c r="HWU28" s="204"/>
      <c r="HWV28" s="204"/>
      <c r="HWW28" s="204"/>
      <c r="HWX28" s="204"/>
      <c r="HWY28" s="204"/>
      <c r="HWZ28" s="204"/>
      <c r="HXA28" s="204"/>
      <c r="HXB28" s="204"/>
      <c r="HXC28" s="204"/>
      <c r="HXD28" s="204"/>
      <c r="HXE28" s="204"/>
      <c r="HXF28" s="204"/>
      <c r="HXG28" s="204"/>
      <c r="HXH28" s="204"/>
      <c r="HXI28" s="204"/>
      <c r="HXJ28" s="204"/>
      <c r="HXK28" s="204"/>
      <c r="HXL28" s="204"/>
      <c r="HXM28" s="204"/>
      <c r="HXN28" s="204"/>
      <c r="HXO28" s="204"/>
      <c r="HXP28" s="204"/>
      <c r="HXQ28" s="204"/>
      <c r="HXR28" s="204"/>
      <c r="HXS28" s="204"/>
      <c r="HXT28" s="204"/>
      <c r="HXU28" s="204"/>
      <c r="HXV28" s="204"/>
      <c r="HXW28" s="204"/>
      <c r="HXX28" s="204"/>
      <c r="HXY28" s="204"/>
      <c r="HXZ28" s="204"/>
      <c r="HYA28" s="204"/>
      <c r="HYB28" s="204"/>
      <c r="HYC28" s="204"/>
      <c r="HYD28" s="204"/>
      <c r="HYE28" s="204"/>
      <c r="HYF28" s="204"/>
      <c r="HYG28" s="204"/>
      <c r="HYH28" s="204"/>
      <c r="HYI28" s="204"/>
      <c r="HYJ28" s="204"/>
      <c r="HYK28" s="204"/>
      <c r="HYL28" s="204"/>
      <c r="HYM28" s="204"/>
      <c r="HYN28" s="204"/>
      <c r="HYO28" s="204"/>
      <c r="HYP28" s="204"/>
      <c r="HYQ28" s="204"/>
      <c r="HYR28" s="204"/>
      <c r="HYS28" s="204"/>
      <c r="HYT28" s="204"/>
      <c r="HYU28" s="204"/>
      <c r="HYV28" s="204"/>
      <c r="HYW28" s="204"/>
      <c r="HYX28" s="204"/>
      <c r="HYY28" s="204"/>
      <c r="HYZ28" s="204"/>
      <c r="HZA28" s="204"/>
      <c r="HZB28" s="204"/>
      <c r="HZC28" s="204"/>
      <c r="HZD28" s="204"/>
      <c r="HZE28" s="204"/>
      <c r="HZF28" s="204"/>
      <c r="HZG28" s="204"/>
      <c r="HZH28" s="204"/>
      <c r="HZI28" s="204"/>
      <c r="HZJ28" s="204"/>
      <c r="HZK28" s="204"/>
      <c r="HZL28" s="204"/>
      <c r="HZM28" s="204"/>
      <c r="HZN28" s="204"/>
      <c r="HZO28" s="204"/>
      <c r="HZP28" s="204"/>
      <c r="HZQ28" s="204"/>
      <c r="HZR28" s="204"/>
      <c r="HZS28" s="204"/>
      <c r="HZT28" s="204"/>
      <c r="HZU28" s="204"/>
      <c r="HZV28" s="204"/>
      <c r="HZW28" s="204"/>
      <c r="HZX28" s="204"/>
      <c r="HZY28" s="204"/>
      <c r="HZZ28" s="204"/>
      <c r="IAA28" s="204"/>
      <c r="IAB28" s="204"/>
      <c r="IAC28" s="204"/>
      <c r="IAD28" s="204"/>
      <c r="IAE28" s="204"/>
      <c r="IAF28" s="204"/>
      <c r="IAG28" s="204"/>
      <c r="IAH28" s="204"/>
      <c r="IAI28" s="204"/>
      <c r="IAJ28" s="204"/>
      <c r="IAK28" s="204"/>
      <c r="IAL28" s="204"/>
      <c r="IAM28" s="204"/>
      <c r="IAN28" s="204"/>
      <c r="IAO28" s="204"/>
      <c r="IAP28" s="204"/>
      <c r="IAQ28" s="204"/>
      <c r="IAR28" s="204"/>
      <c r="IAS28" s="204"/>
      <c r="IAT28" s="204"/>
      <c r="IAU28" s="204"/>
      <c r="IAV28" s="204"/>
      <c r="IAW28" s="204"/>
      <c r="IAX28" s="204"/>
      <c r="IAY28" s="204"/>
      <c r="IAZ28" s="204"/>
      <c r="IBA28" s="204"/>
      <c r="IBB28" s="204"/>
      <c r="IBC28" s="204"/>
      <c r="IBD28" s="204"/>
      <c r="IBE28" s="204"/>
      <c r="IBF28" s="204"/>
      <c r="IBG28" s="204"/>
      <c r="IBH28" s="204"/>
      <c r="IBI28" s="204"/>
      <c r="IBJ28" s="204"/>
      <c r="IBK28" s="204"/>
      <c r="IBL28" s="204"/>
      <c r="IBM28" s="204"/>
      <c r="IBN28" s="204"/>
      <c r="IBO28" s="204"/>
      <c r="IBP28" s="204"/>
      <c r="IBQ28" s="204"/>
      <c r="IBR28" s="204"/>
      <c r="IBS28" s="204"/>
      <c r="IBT28" s="204"/>
      <c r="IBU28" s="204"/>
      <c r="IBV28" s="204"/>
      <c r="IBW28" s="204"/>
      <c r="IBX28" s="204"/>
      <c r="IBY28" s="204"/>
      <c r="IBZ28" s="204"/>
      <c r="ICA28" s="204"/>
      <c r="ICB28" s="204"/>
      <c r="ICC28" s="204"/>
      <c r="ICD28" s="204"/>
      <c r="ICE28" s="204"/>
      <c r="ICF28" s="204"/>
      <c r="ICG28" s="204"/>
      <c r="ICH28" s="204"/>
      <c r="ICI28" s="204"/>
      <c r="ICJ28" s="204"/>
      <c r="ICK28" s="204"/>
      <c r="ICL28" s="204"/>
      <c r="ICM28" s="204"/>
      <c r="ICN28" s="204"/>
      <c r="ICO28" s="204"/>
      <c r="ICP28" s="204"/>
      <c r="ICQ28" s="204"/>
      <c r="ICR28" s="204"/>
      <c r="ICS28" s="204"/>
      <c r="ICT28" s="204"/>
      <c r="ICU28" s="204"/>
      <c r="ICV28" s="204"/>
      <c r="ICW28" s="204"/>
      <c r="ICX28" s="204"/>
      <c r="ICY28" s="204"/>
      <c r="ICZ28" s="204"/>
      <c r="IDA28" s="204"/>
      <c r="IDB28" s="204"/>
      <c r="IDC28" s="204"/>
      <c r="IDD28" s="204"/>
      <c r="IDE28" s="204"/>
      <c r="IDF28" s="204"/>
      <c r="IDG28" s="204"/>
      <c r="IDH28" s="204"/>
      <c r="IDI28" s="204"/>
      <c r="IDJ28" s="204"/>
      <c r="IDK28" s="204"/>
      <c r="IDL28" s="204"/>
      <c r="IDM28" s="204"/>
      <c r="IDN28" s="204"/>
      <c r="IDO28" s="204"/>
      <c r="IDP28" s="204"/>
      <c r="IDQ28" s="204"/>
      <c r="IDR28" s="204"/>
      <c r="IDS28" s="204"/>
      <c r="IDT28" s="204"/>
      <c r="IDU28" s="204"/>
      <c r="IDV28" s="204"/>
      <c r="IDW28" s="204"/>
      <c r="IDX28" s="204"/>
      <c r="IDY28" s="204"/>
      <c r="IDZ28" s="204"/>
      <c r="IEA28" s="204"/>
      <c r="IEB28" s="204"/>
      <c r="IEC28" s="204"/>
      <c r="IED28" s="204"/>
      <c r="IEE28" s="204"/>
      <c r="IEF28" s="204"/>
      <c r="IEG28" s="204"/>
      <c r="IEH28" s="204"/>
      <c r="IEI28" s="204"/>
      <c r="IEJ28" s="204"/>
      <c r="IEK28" s="204"/>
      <c r="IEL28" s="204"/>
      <c r="IEM28" s="204"/>
      <c r="IEN28" s="204"/>
      <c r="IEO28" s="204"/>
      <c r="IEP28" s="204"/>
      <c r="IEQ28" s="204"/>
      <c r="IER28" s="204"/>
      <c r="IES28" s="204"/>
      <c r="IET28" s="204"/>
      <c r="IEU28" s="204"/>
      <c r="IEV28" s="204"/>
      <c r="IEW28" s="204"/>
      <c r="IEX28" s="204"/>
      <c r="IEY28" s="204"/>
      <c r="IEZ28" s="204"/>
      <c r="IFA28" s="204"/>
      <c r="IFB28" s="204"/>
      <c r="IFC28" s="204"/>
      <c r="IFD28" s="204"/>
      <c r="IFE28" s="204"/>
      <c r="IFF28" s="204"/>
      <c r="IFG28" s="204"/>
      <c r="IFH28" s="204"/>
      <c r="IFI28" s="204"/>
      <c r="IFJ28" s="204"/>
      <c r="IFK28" s="204"/>
      <c r="IFL28" s="204"/>
      <c r="IFM28" s="204"/>
      <c r="IFN28" s="204"/>
      <c r="IFO28" s="204"/>
      <c r="IFP28" s="204"/>
      <c r="IFQ28" s="204"/>
      <c r="IFR28" s="204"/>
      <c r="IFS28" s="204"/>
      <c r="IFT28" s="204"/>
      <c r="IFU28" s="204"/>
      <c r="IFV28" s="204"/>
      <c r="IFW28" s="204"/>
      <c r="IFX28" s="204"/>
      <c r="IFY28" s="204"/>
      <c r="IFZ28" s="204"/>
      <c r="IGA28" s="204"/>
      <c r="IGB28" s="204"/>
      <c r="IGC28" s="204"/>
      <c r="IGD28" s="204"/>
      <c r="IGE28" s="204"/>
      <c r="IGF28" s="204"/>
      <c r="IGG28" s="204"/>
      <c r="IGH28" s="204"/>
      <c r="IGI28" s="204"/>
      <c r="IGJ28" s="204"/>
      <c r="IGK28" s="204"/>
      <c r="IGL28" s="204"/>
      <c r="IGM28" s="204"/>
      <c r="IGN28" s="204"/>
      <c r="IGO28" s="204"/>
      <c r="IGP28" s="204"/>
      <c r="IGQ28" s="204"/>
      <c r="IGR28" s="204"/>
      <c r="IGS28" s="204"/>
      <c r="IGT28" s="204"/>
      <c r="IGU28" s="204"/>
      <c r="IGV28" s="204"/>
      <c r="IGW28" s="204"/>
      <c r="IGX28" s="204"/>
      <c r="IGY28" s="204"/>
      <c r="IGZ28" s="204"/>
      <c r="IHA28" s="204"/>
      <c r="IHB28" s="204"/>
      <c r="IHC28" s="204"/>
      <c r="IHD28" s="204"/>
      <c r="IHE28" s="204"/>
      <c r="IHF28" s="204"/>
      <c r="IHG28" s="204"/>
      <c r="IHH28" s="204"/>
      <c r="IHI28" s="204"/>
      <c r="IHJ28" s="204"/>
      <c r="IHK28" s="204"/>
      <c r="IHL28" s="204"/>
      <c r="IHM28" s="204"/>
      <c r="IHN28" s="204"/>
      <c r="IHO28" s="204"/>
      <c r="IHP28" s="204"/>
      <c r="IHQ28" s="204"/>
      <c r="IHR28" s="204"/>
      <c r="IHS28" s="204"/>
      <c r="IHT28" s="204"/>
      <c r="IHU28" s="204"/>
      <c r="IHV28" s="204"/>
      <c r="IHW28" s="204"/>
      <c r="IHX28" s="204"/>
      <c r="IHY28" s="204"/>
      <c r="IHZ28" s="204"/>
      <c r="IIA28" s="204"/>
      <c r="IIB28" s="204"/>
      <c r="IIC28" s="204"/>
      <c r="IID28" s="204"/>
      <c r="IIE28" s="204"/>
      <c r="IIF28" s="204"/>
      <c r="IIG28" s="204"/>
      <c r="IIH28" s="204"/>
      <c r="III28" s="204"/>
      <c r="IIJ28" s="204"/>
      <c r="IIK28" s="204"/>
      <c r="IIL28" s="204"/>
      <c r="IIM28" s="204"/>
      <c r="IIN28" s="204"/>
      <c r="IIO28" s="204"/>
      <c r="IIP28" s="204"/>
      <c r="IIQ28" s="204"/>
      <c r="IIR28" s="204"/>
      <c r="IIS28" s="204"/>
      <c r="IIT28" s="204"/>
      <c r="IIU28" s="204"/>
      <c r="IIV28" s="204"/>
      <c r="IIW28" s="204"/>
      <c r="IIX28" s="204"/>
      <c r="IIY28" s="204"/>
      <c r="IIZ28" s="204"/>
      <c r="IJA28" s="204"/>
      <c r="IJB28" s="204"/>
      <c r="IJC28" s="204"/>
      <c r="IJD28" s="204"/>
      <c r="IJE28" s="204"/>
      <c r="IJF28" s="204"/>
      <c r="IJG28" s="204"/>
      <c r="IJH28" s="204"/>
      <c r="IJI28" s="204"/>
      <c r="IJJ28" s="204"/>
      <c r="IJK28" s="204"/>
      <c r="IJL28" s="204"/>
      <c r="IJM28" s="204"/>
      <c r="IJN28" s="204"/>
      <c r="IJO28" s="204"/>
      <c r="IJP28" s="204"/>
      <c r="IJQ28" s="204"/>
      <c r="IJR28" s="204"/>
      <c r="IJS28" s="204"/>
      <c r="IJT28" s="204"/>
      <c r="IJU28" s="204"/>
      <c r="IJV28" s="204"/>
      <c r="IJW28" s="204"/>
      <c r="IJX28" s="204"/>
      <c r="IJY28" s="204"/>
      <c r="IJZ28" s="204"/>
      <c r="IKA28" s="204"/>
      <c r="IKB28" s="204"/>
      <c r="IKC28" s="204"/>
      <c r="IKD28" s="204"/>
      <c r="IKE28" s="204"/>
      <c r="IKF28" s="204"/>
      <c r="IKG28" s="204"/>
      <c r="IKH28" s="204"/>
      <c r="IKI28" s="204"/>
      <c r="IKJ28" s="204"/>
      <c r="IKK28" s="204"/>
      <c r="IKL28" s="204"/>
      <c r="IKM28" s="204"/>
      <c r="IKN28" s="204"/>
      <c r="IKO28" s="204"/>
      <c r="IKP28" s="204"/>
      <c r="IKQ28" s="204"/>
      <c r="IKR28" s="204"/>
      <c r="IKS28" s="204"/>
      <c r="IKT28" s="204"/>
      <c r="IKU28" s="204"/>
      <c r="IKV28" s="204"/>
      <c r="IKW28" s="204"/>
      <c r="IKX28" s="204"/>
      <c r="IKY28" s="204"/>
      <c r="IKZ28" s="204"/>
      <c r="ILA28" s="204"/>
      <c r="ILB28" s="204"/>
      <c r="ILC28" s="204"/>
      <c r="ILD28" s="204"/>
      <c r="ILE28" s="204"/>
      <c r="ILF28" s="204"/>
      <c r="ILG28" s="204"/>
      <c r="ILH28" s="204"/>
      <c r="ILI28" s="204"/>
      <c r="ILJ28" s="204"/>
      <c r="ILK28" s="204"/>
      <c r="ILL28" s="204"/>
      <c r="ILM28" s="204"/>
      <c r="ILN28" s="204"/>
      <c r="ILO28" s="204"/>
      <c r="ILP28" s="204"/>
      <c r="ILQ28" s="204"/>
      <c r="ILR28" s="204"/>
      <c r="ILS28" s="204"/>
      <c r="ILT28" s="204"/>
      <c r="ILU28" s="204"/>
      <c r="ILV28" s="204"/>
      <c r="ILW28" s="204"/>
      <c r="ILX28" s="204"/>
      <c r="ILY28" s="204"/>
      <c r="ILZ28" s="204"/>
      <c r="IMA28" s="204"/>
      <c r="IMB28" s="204"/>
      <c r="IMC28" s="204"/>
      <c r="IMD28" s="204"/>
      <c r="IME28" s="204"/>
      <c r="IMF28" s="204"/>
      <c r="IMG28" s="204"/>
      <c r="IMH28" s="204"/>
      <c r="IMI28" s="204"/>
      <c r="IMJ28" s="204"/>
      <c r="IMK28" s="204"/>
      <c r="IML28" s="204"/>
      <c r="IMM28" s="204"/>
      <c r="IMN28" s="204"/>
      <c r="IMO28" s="204"/>
      <c r="IMP28" s="204"/>
      <c r="IMQ28" s="204"/>
      <c r="IMR28" s="204"/>
      <c r="IMS28" s="204"/>
      <c r="IMT28" s="204"/>
      <c r="IMU28" s="204"/>
      <c r="IMV28" s="204"/>
      <c r="IMW28" s="204"/>
      <c r="IMX28" s="204"/>
      <c r="IMY28" s="204"/>
      <c r="IMZ28" s="204"/>
      <c r="INA28" s="204"/>
      <c r="INB28" s="204"/>
      <c r="INC28" s="204"/>
      <c r="IND28" s="204"/>
      <c r="INE28" s="204"/>
      <c r="INF28" s="204"/>
      <c r="ING28" s="204"/>
      <c r="INH28" s="204"/>
      <c r="INI28" s="204"/>
      <c r="INJ28" s="204"/>
      <c r="INK28" s="204"/>
      <c r="INL28" s="204"/>
      <c r="INM28" s="204"/>
      <c r="INN28" s="204"/>
      <c r="INO28" s="204"/>
      <c r="INP28" s="204"/>
      <c r="INQ28" s="204"/>
      <c r="INR28" s="204"/>
      <c r="INS28" s="204"/>
      <c r="INT28" s="204"/>
      <c r="INU28" s="204"/>
      <c r="INV28" s="204"/>
      <c r="INW28" s="204"/>
      <c r="INX28" s="204"/>
      <c r="INY28" s="204"/>
      <c r="INZ28" s="204"/>
      <c r="IOA28" s="204"/>
      <c r="IOB28" s="204"/>
      <c r="IOC28" s="204"/>
      <c r="IOD28" s="204"/>
      <c r="IOE28" s="204"/>
      <c r="IOF28" s="204"/>
      <c r="IOG28" s="204"/>
      <c r="IOH28" s="204"/>
      <c r="IOI28" s="204"/>
      <c r="IOJ28" s="204"/>
      <c r="IOK28" s="204"/>
      <c r="IOL28" s="204"/>
      <c r="IOM28" s="204"/>
      <c r="ION28" s="204"/>
      <c r="IOO28" s="204"/>
      <c r="IOP28" s="204"/>
      <c r="IOQ28" s="204"/>
      <c r="IOR28" s="204"/>
      <c r="IOS28" s="204"/>
      <c r="IOT28" s="204"/>
      <c r="IOU28" s="204"/>
      <c r="IOV28" s="204"/>
      <c r="IOW28" s="204"/>
      <c r="IOX28" s="204"/>
      <c r="IOY28" s="204"/>
      <c r="IOZ28" s="204"/>
      <c r="IPA28" s="204"/>
      <c r="IPB28" s="204"/>
      <c r="IPC28" s="204"/>
      <c r="IPD28" s="204"/>
      <c r="IPE28" s="204"/>
      <c r="IPF28" s="204"/>
      <c r="IPG28" s="204"/>
      <c r="IPH28" s="204"/>
      <c r="IPI28" s="204"/>
      <c r="IPJ28" s="204"/>
      <c r="IPK28" s="204"/>
      <c r="IPL28" s="204"/>
      <c r="IPM28" s="204"/>
      <c r="IPN28" s="204"/>
      <c r="IPO28" s="204"/>
      <c r="IPP28" s="204"/>
      <c r="IPQ28" s="204"/>
      <c r="IPR28" s="204"/>
      <c r="IPS28" s="204"/>
      <c r="IPT28" s="204"/>
      <c r="IPU28" s="204"/>
      <c r="IPV28" s="204"/>
      <c r="IPW28" s="204"/>
      <c r="IPX28" s="204"/>
      <c r="IPY28" s="204"/>
      <c r="IPZ28" s="204"/>
      <c r="IQA28" s="204"/>
      <c r="IQB28" s="204"/>
      <c r="IQC28" s="204"/>
      <c r="IQD28" s="204"/>
      <c r="IQE28" s="204"/>
      <c r="IQF28" s="204"/>
      <c r="IQG28" s="204"/>
      <c r="IQH28" s="204"/>
      <c r="IQI28" s="204"/>
      <c r="IQJ28" s="204"/>
      <c r="IQK28" s="204"/>
      <c r="IQL28" s="204"/>
      <c r="IQM28" s="204"/>
      <c r="IQN28" s="204"/>
      <c r="IQO28" s="204"/>
      <c r="IQP28" s="204"/>
      <c r="IQQ28" s="204"/>
      <c r="IQR28" s="204"/>
      <c r="IQS28" s="204"/>
      <c r="IQT28" s="204"/>
      <c r="IQU28" s="204"/>
      <c r="IQV28" s="204"/>
      <c r="IQW28" s="204"/>
      <c r="IQX28" s="204"/>
      <c r="IQY28" s="204"/>
      <c r="IQZ28" s="204"/>
      <c r="IRA28" s="204"/>
      <c r="IRB28" s="204"/>
      <c r="IRC28" s="204"/>
      <c r="IRD28" s="204"/>
      <c r="IRE28" s="204"/>
      <c r="IRF28" s="204"/>
      <c r="IRG28" s="204"/>
      <c r="IRH28" s="204"/>
      <c r="IRI28" s="204"/>
      <c r="IRJ28" s="204"/>
      <c r="IRK28" s="204"/>
      <c r="IRL28" s="204"/>
      <c r="IRM28" s="204"/>
      <c r="IRN28" s="204"/>
      <c r="IRO28" s="204"/>
      <c r="IRP28" s="204"/>
      <c r="IRQ28" s="204"/>
      <c r="IRR28" s="204"/>
      <c r="IRS28" s="204"/>
      <c r="IRT28" s="204"/>
      <c r="IRU28" s="204"/>
      <c r="IRV28" s="204"/>
      <c r="IRW28" s="204"/>
      <c r="IRX28" s="204"/>
      <c r="IRY28" s="204"/>
      <c r="IRZ28" s="204"/>
      <c r="ISA28" s="204"/>
      <c r="ISB28" s="204"/>
      <c r="ISC28" s="204"/>
      <c r="ISD28" s="204"/>
      <c r="ISE28" s="204"/>
      <c r="ISF28" s="204"/>
      <c r="ISG28" s="204"/>
      <c r="ISH28" s="204"/>
      <c r="ISI28" s="204"/>
      <c r="ISJ28" s="204"/>
      <c r="ISK28" s="204"/>
      <c r="ISL28" s="204"/>
      <c r="ISM28" s="204"/>
      <c r="ISN28" s="204"/>
      <c r="ISO28" s="204"/>
      <c r="ISP28" s="204"/>
      <c r="ISQ28" s="204"/>
      <c r="ISR28" s="204"/>
      <c r="ISS28" s="204"/>
      <c r="IST28" s="204"/>
      <c r="ISU28" s="204"/>
      <c r="ISV28" s="204"/>
      <c r="ISW28" s="204"/>
      <c r="ISX28" s="204"/>
      <c r="ISY28" s="204"/>
      <c r="ISZ28" s="204"/>
      <c r="ITA28" s="204"/>
      <c r="ITB28" s="204"/>
      <c r="ITC28" s="204"/>
      <c r="ITD28" s="204"/>
      <c r="ITE28" s="204"/>
      <c r="ITF28" s="204"/>
      <c r="ITG28" s="204"/>
      <c r="ITH28" s="204"/>
      <c r="ITI28" s="204"/>
      <c r="ITJ28" s="204"/>
      <c r="ITK28" s="204"/>
      <c r="ITL28" s="204"/>
      <c r="ITM28" s="204"/>
      <c r="ITN28" s="204"/>
      <c r="ITO28" s="204"/>
      <c r="ITP28" s="204"/>
      <c r="ITQ28" s="204"/>
      <c r="ITR28" s="204"/>
      <c r="ITS28" s="204"/>
      <c r="ITT28" s="204"/>
      <c r="ITU28" s="204"/>
      <c r="ITV28" s="204"/>
      <c r="ITW28" s="204"/>
      <c r="ITX28" s="204"/>
      <c r="ITY28" s="204"/>
      <c r="ITZ28" s="204"/>
      <c r="IUA28" s="204"/>
      <c r="IUB28" s="204"/>
      <c r="IUC28" s="204"/>
      <c r="IUD28" s="204"/>
      <c r="IUE28" s="204"/>
      <c r="IUF28" s="204"/>
      <c r="IUG28" s="204"/>
      <c r="IUH28" s="204"/>
      <c r="IUI28" s="204"/>
      <c r="IUJ28" s="204"/>
      <c r="IUK28" s="204"/>
      <c r="IUL28" s="204"/>
      <c r="IUM28" s="204"/>
      <c r="IUN28" s="204"/>
      <c r="IUO28" s="204"/>
      <c r="IUP28" s="204"/>
      <c r="IUQ28" s="204"/>
      <c r="IUR28" s="204"/>
      <c r="IUS28" s="204"/>
      <c r="IUT28" s="204"/>
      <c r="IUU28" s="204"/>
      <c r="IUV28" s="204"/>
      <c r="IUW28" s="204"/>
      <c r="IUX28" s="204"/>
      <c r="IUY28" s="204"/>
      <c r="IUZ28" s="204"/>
      <c r="IVA28" s="204"/>
      <c r="IVB28" s="204"/>
      <c r="IVC28" s="204"/>
      <c r="IVD28" s="204"/>
      <c r="IVE28" s="204"/>
      <c r="IVF28" s="204"/>
      <c r="IVG28" s="204"/>
      <c r="IVH28" s="204"/>
      <c r="IVI28" s="204"/>
      <c r="IVJ28" s="204"/>
      <c r="IVK28" s="204"/>
      <c r="IVL28" s="204"/>
      <c r="IVM28" s="204"/>
      <c r="IVN28" s="204"/>
      <c r="IVO28" s="204"/>
      <c r="IVP28" s="204"/>
      <c r="IVQ28" s="204"/>
      <c r="IVR28" s="204"/>
      <c r="IVS28" s="204"/>
      <c r="IVT28" s="204"/>
      <c r="IVU28" s="204"/>
      <c r="IVV28" s="204"/>
      <c r="IVW28" s="204"/>
      <c r="IVX28" s="204"/>
      <c r="IVY28" s="204"/>
      <c r="IVZ28" s="204"/>
      <c r="IWA28" s="204"/>
      <c r="IWB28" s="204"/>
      <c r="IWC28" s="204"/>
      <c r="IWD28" s="204"/>
      <c r="IWE28" s="204"/>
      <c r="IWF28" s="204"/>
      <c r="IWG28" s="204"/>
      <c r="IWH28" s="204"/>
      <c r="IWI28" s="204"/>
      <c r="IWJ28" s="204"/>
      <c r="IWK28" s="204"/>
      <c r="IWL28" s="204"/>
      <c r="IWM28" s="204"/>
      <c r="IWN28" s="204"/>
      <c r="IWO28" s="204"/>
      <c r="IWP28" s="204"/>
      <c r="IWQ28" s="204"/>
      <c r="IWR28" s="204"/>
      <c r="IWS28" s="204"/>
      <c r="IWT28" s="204"/>
      <c r="IWU28" s="204"/>
      <c r="IWV28" s="204"/>
      <c r="IWW28" s="204"/>
      <c r="IWX28" s="204"/>
      <c r="IWY28" s="204"/>
      <c r="IWZ28" s="204"/>
      <c r="IXA28" s="204"/>
      <c r="IXB28" s="204"/>
      <c r="IXC28" s="204"/>
      <c r="IXD28" s="204"/>
      <c r="IXE28" s="204"/>
      <c r="IXF28" s="204"/>
      <c r="IXG28" s="204"/>
      <c r="IXH28" s="204"/>
      <c r="IXI28" s="204"/>
      <c r="IXJ28" s="204"/>
      <c r="IXK28" s="204"/>
      <c r="IXL28" s="204"/>
      <c r="IXM28" s="204"/>
      <c r="IXN28" s="204"/>
      <c r="IXO28" s="204"/>
      <c r="IXP28" s="204"/>
      <c r="IXQ28" s="204"/>
      <c r="IXR28" s="204"/>
      <c r="IXS28" s="204"/>
      <c r="IXT28" s="204"/>
      <c r="IXU28" s="204"/>
      <c r="IXV28" s="204"/>
      <c r="IXW28" s="204"/>
      <c r="IXX28" s="204"/>
      <c r="IXY28" s="204"/>
      <c r="IXZ28" s="204"/>
      <c r="IYA28" s="204"/>
      <c r="IYB28" s="204"/>
      <c r="IYC28" s="204"/>
      <c r="IYD28" s="204"/>
      <c r="IYE28" s="204"/>
      <c r="IYF28" s="204"/>
      <c r="IYG28" s="204"/>
      <c r="IYH28" s="204"/>
      <c r="IYI28" s="204"/>
      <c r="IYJ28" s="204"/>
      <c r="IYK28" s="204"/>
      <c r="IYL28" s="204"/>
      <c r="IYM28" s="204"/>
      <c r="IYN28" s="204"/>
      <c r="IYO28" s="204"/>
      <c r="IYP28" s="204"/>
      <c r="IYQ28" s="204"/>
      <c r="IYR28" s="204"/>
      <c r="IYS28" s="204"/>
      <c r="IYT28" s="204"/>
      <c r="IYU28" s="204"/>
      <c r="IYV28" s="204"/>
      <c r="IYW28" s="204"/>
      <c r="IYX28" s="204"/>
      <c r="IYY28" s="204"/>
      <c r="IYZ28" s="204"/>
      <c r="IZA28" s="204"/>
      <c r="IZB28" s="204"/>
      <c r="IZC28" s="204"/>
      <c r="IZD28" s="204"/>
      <c r="IZE28" s="204"/>
      <c r="IZF28" s="204"/>
      <c r="IZG28" s="204"/>
      <c r="IZH28" s="204"/>
      <c r="IZI28" s="204"/>
      <c r="IZJ28" s="204"/>
      <c r="IZK28" s="204"/>
      <c r="IZL28" s="204"/>
      <c r="IZM28" s="204"/>
      <c r="IZN28" s="204"/>
      <c r="IZO28" s="204"/>
      <c r="IZP28" s="204"/>
      <c r="IZQ28" s="204"/>
      <c r="IZR28" s="204"/>
      <c r="IZS28" s="204"/>
      <c r="IZT28" s="204"/>
      <c r="IZU28" s="204"/>
      <c r="IZV28" s="204"/>
      <c r="IZW28" s="204"/>
      <c r="IZX28" s="204"/>
      <c r="IZY28" s="204"/>
      <c r="IZZ28" s="204"/>
      <c r="JAA28" s="204"/>
      <c r="JAB28" s="204"/>
      <c r="JAC28" s="204"/>
      <c r="JAD28" s="204"/>
      <c r="JAE28" s="204"/>
      <c r="JAF28" s="204"/>
      <c r="JAG28" s="204"/>
      <c r="JAH28" s="204"/>
      <c r="JAI28" s="204"/>
      <c r="JAJ28" s="204"/>
      <c r="JAK28" s="204"/>
      <c r="JAL28" s="204"/>
      <c r="JAM28" s="204"/>
      <c r="JAN28" s="204"/>
      <c r="JAO28" s="204"/>
      <c r="JAP28" s="204"/>
      <c r="JAQ28" s="204"/>
      <c r="JAR28" s="204"/>
      <c r="JAS28" s="204"/>
      <c r="JAT28" s="204"/>
      <c r="JAU28" s="204"/>
      <c r="JAV28" s="204"/>
      <c r="JAW28" s="204"/>
      <c r="JAX28" s="204"/>
      <c r="JAY28" s="204"/>
      <c r="JAZ28" s="204"/>
      <c r="JBA28" s="204"/>
      <c r="JBB28" s="204"/>
      <c r="JBC28" s="204"/>
      <c r="JBD28" s="204"/>
      <c r="JBE28" s="204"/>
      <c r="JBF28" s="204"/>
      <c r="JBG28" s="204"/>
      <c r="JBH28" s="204"/>
      <c r="JBI28" s="204"/>
      <c r="JBJ28" s="204"/>
      <c r="JBK28" s="204"/>
      <c r="JBL28" s="204"/>
      <c r="JBM28" s="204"/>
      <c r="JBN28" s="204"/>
      <c r="JBO28" s="204"/>
      <c r="JBP28" s="204"/>
      <c r="JBQ28" s="204"/>
      <c r="JBR28" s="204"/>
      <c r="JBS28" s="204"/>
      <c r="JBT28" s="204"/>
      <c r="JBU28" s="204"/>
      <c r="JBV28" s="204"/>
      <c r="JBW28" s="204"/>
      <c r="JBX28" s="204"/>
      <c r="JBY28" s="204"/>
      <c r="JBZ28" s="204"/>
      <c r="JCA28" s="204"/>
      <c r="JCB28" s="204"/>
      <c r="JCC28" s="204"/>
      <c r="JCD28" s="204"/>
      <c r="JCE28" s="204"/>
      <c r="JCF28" s="204"/>
      <c r="JCG28" s="204"/>
      <c r="JCH28" s="204"/>
      <c r="JCI28" s="204"/>
      <c r="JCJ28" s="204"/>
      <c r="JCK28" s="204"/>
      <c r="JCL28" s="204"/>
      <c r="JCM28" s="204"/>
      <c r="JCN28" s="204"/>
      <c r="JCO28" s="204"/>
      <c r="JCP28" s="204"/>
      <c r="JCQ28" s="204"/>
      <c r="JCR28" s="204"/>
      <c r="JCS28" s="204"/>
      <c r="JCT28" s="204"/>
      <c r="JCU28" s="204"/>
      <c r="JCV28" s="204"/>
      <c r="JCW28" s="204"/>
      <c r="JCX28" s="204"/>
      <c r="JCY28" s="204"/>
      <c r="JCZ28" s="204"/>
      <c r="JDA28" s="204"/>
      <c r="JDB28" s="204"/>
      <c r="JDC28" s="204"/>
      <c r="JDD28" s="204"/>
      <c r="JDE28" s="204"/>
      <c r="JDF28" s="204"/>
      <c r="JDG28" s="204"/>
      <c r="JDH28" s="204"/>
      <c r="JDI28" s="204"/>
      <c r="JDJ28" s="204"/>
      <c r="JDK28" s="204"/>
      <c r="JDL28" s="204"/>
      <c r="JDM28" s="204"/>
      <c r="JDN28" s="204"/>
      <c r="JDO28" s="204"/>
      <c r="JDP28" s="204"/>
      <c r="JDQ28" s="204"/>
      <c r="JDR28" s="204"/>
      <c r="JDS28" s="204"/>
      <c r="JDT28" s="204"/>
      <c r="JDU28" s="204"/>
      <c r="JDV28" s="204"/>
      <c r="JDW28" s="204"/>
      <c r="JDX28" s="204"/>
      <c r="JDY28" s="204"/>
      <c r="JDZ28" s="204"/>
      <c r="JEA28" s="204"/>
      <c r="JEB28" s="204"/>
      <c r="JEC28" s="204"/>
      <c r="JED28" s="204"/>
      <c r="JEE28" s="204"/>
      <c r="JEF28" s="204"/>
      <c r="JEG28" s="204"/>
      <c r="JEH28" s="204"/>
      <c r="JEI28" s="204"/>
      <c r="JEJ28" s="204"/>
      <c r="JEK28" s="204"/>
      <c r="JEL28" s="204"/>
      <c r="JEM28" s="204"/>
      <c r="JEN28" s="204"/>
      <c r="JEO28" s="204"/>
      <c r="JEP28" s="204"/>
      <c r="JEQ28" s="204"/>
      <c r="JER28" s="204"/>
      <c r="JES28" s="204"/>
      <c r="JET28" s="204"/>
      <c r="JEU28" s="204"/>
      <c r="JEV28" s="204"/>
      <c r="JEW28" s="204"/>
      <c r="JEX28" s="204"/>
      <c r="JEY28" s="204"/>
      <c r="JEZ28" s="204"/>
      <c r="JFA28" s="204"/>
      <c r="JFB28" s="204"/>
      <c r="JFC28" s="204"/>
      <c r="JFD28" s="204"/>
      <c r="JFE28" s="204"/>
      <c r="JFF28" s="204"/>
      <c r="JFG28" s="204"/>
      <c r="JFH28" s="204"/>
      <c r="JFI28" s="204"/>
      <c r="JFJ28" s="204"/>
      <c r="JFK28" s="204"/>
      <c r="JFL28" s="204"/>
      <c r="JFM28" s="204"/>
      <c r="JFN28" s="204"/>
      <c r="JFO28" s="204"/>
      <c r="JFP28" s="204"/>
      <c r="JFQ28" s="204"/>
      <c r="JFR28" s="204"/>
      <c r="JFS28" s="204"/>
      <c r="JFT28" s="204"/>
      <c r="JFU28" s="204"/>
      <c r="JFV28" s="204"/>
      <c r="JFW28" s="204"/>
      <c r="JFX28" s="204"/>
      <c r="JFY28" s="204"/>
      <c r="JFZ28" s="204"/>
      <c r="JGA28" s="204"/>
      <c r="JGB28" s="204"/>
      <c r="JGC28" s="204"/>
      <c r="JGD28" s="204"/>
      <c r="JGE28" s="204"/>
      <c r="JGF28" s="204"/>
      <c r="JGG28" s="204"/>
      <c r="JGH28" s="204"/>
      <c r="JGI28" s="204"/>
      <c r="JGJ28" s="204"/>
      <c r="JGK28" s="204"/>
      <c r="JGL28" s="204"/>
      <c r="JGM28" s="204"/>
      <c r="JGN28" s="204"/>
      <c r="JGO28" s="204"/>
      <c r="JGP28" s="204"/>
      <c r="JGQ28" s="204"/>
      <c r="JGR28" s="204"/>
      <c r="JGS28" s="204"/>
      <c r="JGT28" s="204"/>
      <c r="JGU28" s="204"/>
      <c r="JGV28" s="204"/>
      <c r="JGW28" s="204"/>
      <c r="JGX28" s="204"/>
      <c r="JGY28" s="204"/>
      <c r="JGZ28" s="204"/>
      <c r="JHA28" s="204"/>
      <c r="JHB28" s="204"/>
      <c r="JHC28" s="204"/>
      <c r="JHD28" s="204"/>
      <c r="JHE28" s="204"/>
      <c r="JHF28" s="204"/>
      <c r="JHG28" s="204"/>
      <c r="JHH28" s="204"/>
      <c r="JHI28" s="204"/>
      <c r="JHJ28" s="204"/>
      <c r="JHK28" s="204"/>
      <c r="JHL28" s="204"/>
      <c r="JHM28" s="204"/>
      <c r="JHN28" s="204"/>
      <c r="JHO28" s="204"/>
      <c r="JHP28" s="204"/>
      <c r="JHQ28" s="204"/>
      <c r="JHR28" s="204"/>
      <c r="JHS28" s="204"/>
      <c r="JHT28" s="204"/>
      <c r="JHU28" s="204"/>
      <c r="JHV28" s="204"/>
      <c r="JHW28" s="204"/>
      <c r="JHX28" s="204"/>
      <c r="JHY28" s="204"/>
      <c r="JHZ28" s="204"/>
      <c r="JIA28" s="204"/>
      <c r="JIB28" s="204"/>
      <c r="JIC28" s="204"/>
      <c r="JID28" s="204"/>
      <c r="JIE28" s="204"/>
      <c r="JIF28" s="204"/>
      <c r="JIG28" s="204"/>
      <c r="JIH28" s="204"/>
      <c r="JII28" s="204"/>
      <c r="JIJ28" s="204"/>
      <c r="JIK28" s="204"/>
      <c r="JIL28" s="204"/>
      <c r="JIM28" s="204"/>
      <c r="JIN28" s="204"/>
      <c r="JIO28" s="204"/>
      <c r="JIP28" s="204"/>
      <c r="JIQ28" s="204"/>
      <c r="JIR28" s="204"/>
      <c r="JIS28" s="204"/>
      <c r="JIT28" s="204"/>
      <c r="JIU28" s="204"/>
      <c r="JIV28" s="204"/>
      <c r="JIW28" s="204"/>
      <c r="JIX28" s="204"/>
      <c r="JIY28" s="204"/>
      <c r="JIZ28" s="204"/>
      <c r="JJA28" s="204"/>
      <c r="JJB28" s="204"/>
      <c r="JJC28" s="204"/>
      <c r="JJD28" s="204"/>
      <c r="JJE28" s="204"/>
      <c r="JJF28" s="204"/>
      <c r="JJG28" s="204"/>
      <c r="JJH28" s="204"/>
      <c r="JJI28" s="204"/>
      <c r="JJJ28" s="204"/>
      <c r="JJK28" s="204"/>
      <c r="JJL28" s="204"/>
      <c r="JJM28" s="204"/>
      <c r="JJN28" s="204"/>
      <c r="JJO28" s="204"/>
      <c r="JJP28" s="204"/>
      <c r="JJQ28" s="204"/>
      <c r="JJR28" s="204"/>
      <c r="JJS28" s="204"/>
      <c r="JJT28" s="204"/>
      <c r="JJU28" s="204"/>
      <c r="JJV28" s="204"/>
      <c r="JJW28" s="204"/>
      <c r="JJX28" s="204"/>
      <c r="JJY28" s="204"/>
      <c r="JJZ28" s="204"/>
      <c r="JKA28" s="204"/>
      <c r="JKB28" s="204"/>
      <c r="JKC28" s="204"/>
      <c r="JKD28" s="204"/>
      <c r="JKE28" s="204"/>
      <c r="JKF28" s="204"/>
      <c r="JKG28" s="204"/>
      <c r="JKH28" s="204"/>
      <c r="JKI28" s="204"/>
      <c r="JKJ28" s="204"/>
      <c r="JKK28" s="204"/>
      <c r="JKL28" s="204"/>
      <c r="JKM28" s="204"/>
      <c r="JKN28" s="204"/>
      <c r="JKO28" s="204"/>
      <c r="JKP28" s="204"/>
      <c r="JKQ28" s="204"/>
      <c r="JKR28" s="204"/>
      <c r="JKS28" s="204"/>
      <c r="JKT28" s="204"/>
      <c r="JKU28" s="204"/>
      <c r="JKV28" s="204"/>
      <c r="JKW28" s="204"/>
      <c r="JKX28" s="204"/>
      <c r="JKY28" s="204"/>
      <c r="JKZ28" s="204"/>
      <c r="JLA28" s="204"/>
      <c r="JLB28" s="204"/>
      <c r="JLC28" s="204"/>
      <c r="JLD28" s="204"/>
      <c r="JLE28" s="204"/>
      <c r="JLF28" s="204"/>
      <c r="JLG28" s="204"/>
      <c r="JLH28" s="204"/>
      <c r="JLI28" s="204"/>
      <c r="JLJ28" s="204"/>
      <c r="JLK28" s="204"/>
      <c r="JLL28" s="204"/>
      <c r="JLM28" s="204"/>
      <c r="JLN28" s="204"/>
      <c r="JLO28" s="204"/>
      <c r="JLP28" s="204"/>
      <c r="JLQ28" s="204"/>
      <c r="JLR28" s="204"/>
      <c r="JLS28" s="204"/>
      <c r="JLT28" s="204"/>
      <c r="JLU28" s="204"/>
      <c r="JLV28" s="204"/>
      <c r="JLW28" s="204"/>
      <c r="JLX28" s="204"/>
      <c r="JLY28" s="204"/>
      <c r="JLZ28" s="204"/>
      <c r="JMA28" s="204"/>
      <c r="JMB28" s="204"/>
      <c r="JMC28" s="204"/>
      <c r="JMD28" s="204"/>
      <c r="JME28" s="204"/>
      <c r="JMF28" s="204"/>
      <c r="JMG28" s="204"/>
      <c r="JMH28" s="204"/>
      <c r="JMI28" s="204"/>
      <c r="JMJ28" s="204"/>
      <c r="JMK28" s="204"/>
      <c r="JML28" s="204"/>
      <c r="JMM28" s="204"/>
      <c r="JMN28" s="204"/>
      <c r="JMO28" s="204"/>
      <c r="JMP28" s="204"/>
      <c r="JMQ28" s="204"/>
      <c r="JMR28" s="204"/>
      <c r="JMS28" s="204"/>
      <c r="JMT28" s="204"/>
      <c r="JMU28" s="204"/>
      <c r="JMV28" s="204"/>
      <c r="JMW28" s="204"/>
      <c r="JMX28" s="204"/>
      <c r="JMY28" s="204"/>
      <c r="JMZ28" s="204"/>
      <c r="JNA28" s="204"/>
      <c r="JNB28" s="204"/>
      <c r="JNC28" s="204"/>
      <c r="JND28" s="204"/>
      <c r="JNE28" s="204"/>
      <c r="JNF28" s="204"/>
      <c r="JNG28" s="204"/>
      <c r="JNH28" s="204"/>
      <c r="JNI28" s="204"/>
      <c r="JNJ28" s="204"/>
      <c r="JNK28" s="204"/>
      <c r="JNL28" s="204"/>
      <c r="JNM28" s="204"/>
      <c r="JNN28" s="204"/>
      <c r="JNO28" s="204"/>
      <c r="JNP28" s="204"/>
      <c r="JNQ28" s="204"/>
      <c r="JNR28" s="204"/>
      <c r="JNS28" s="204"/>
      <c r="JNT28" s="204"/>
      <c r="JNU28" s="204"/>
      <c r="JNV28" s="204"/>
      <c r="JNW28" s="204"/>
      <c r="JNX28" s="204"/>
      <c r="JNY28" s="204"/>
      <c r="JNZ28" s="204"/>
      <c r="JOA28" s="204"/>
      <c r="JOB28" s="204"/>
      <c r="JOC28" s="204"/>
      <c r="JOD28" s="204"/>
      <c r="JOE28" s="204"/>
      <c r="JOF28" s="204"/>
      <c r="JOG28" s="204"/>
      <c r="JOH28" s="204"/>
      <c r="JOI28" s="204"/>
      <c r="JOJ28" s="204"/>
      <c r="JOK28" s="204"/>
      <c r="JOL28" s="204"/>
      <c r="JOM28" s="204"/>
      <c r="JON28" s="204"/>
      <c r="JOO28" s="204"/>
      <c r="JOP28" s="204"/>
      <c r="JOQ28" s="204"/>
      <c r="JOR28" s="204"/>
      <c r="JOS28" s="204"/>
      <c r="JOT28" s="204"/>
      <c r="JOU28" s="204"/>
      <c r="JOV28" s="204"/>
      <c r="JOW28" s="204"/>
      <c r="JOX28" s="204"/>
      <c r="JOY28" s="204"/>
      <c r="JOZ28" s="204"/>
      <c r="JPA28" s="204"/>
      <c r="JPB28" s="204"/>
      <c r="JPC28" s="204"/>
      <c r="JPD28" s="204"/>
      <c r="JPE28" s="204"/>
      <c r="JPF28" s="204"/>
      <c r="JPG28" s="204"/>
      <c r="JPH28" s="204"/>
      <c r="JPI28" s="204"/>
      <c r="JPJ28" s="204"/>
      <c r="JPK28" s="204"/>
      <c r="JPL28" s="204"/>
      <c r="JPM28" s="204"/>
      <c r="JPN28" s="204"/>
      <c r="JPO28" s="204"/>
      <c r="JPP28" s="204"/>
      <c r="JPQ28" s="204"/>
      <c r="JPR28" s="204"/>
      <c r="JPS28" s="204"/>
      <c r="JPT28" s="204"/>
      <c r="JPU28" s="204"/>
      <c r="JPV28" s="204"/>
      <c r="JPW28" s="204"/>
      <c r="JPX28" s="204"/>
      <c r="JPY28" s="204"/>
      <c r="JPZ28" s="204"/>
      <c r="JQA28" s="204"/>
      <c r="JQB28" s="204"/>
      <c r="JQC28" s="204"/>
      <c r="JQD28" s="204"/>
      <c r="JQE28" s="204"/>
      <c r="JQF28" s="204"/>
      <c r="JQG28" s="204"/>
      <c r="JQH28" s="204"/>
      <c r="JQI28" s="204"/>
      <c r="JQJ28" s="204"/>
      <c r="JQK28" s="204"/>
      <c r="JQL28" s="204"/>
      <c r="JQM28" s="204"/>
      <c r="JQN28" s="204"/>
      <c r="JQO28" s="204"/>
      <c r="JQP28" s="204"/>
      <c r="JQQ28" s="204"/>
      <c r="JQR28" s="204"/>
      <c r="JQS28" s="204"/>
      <c r="JQT28" s="204"/>
      <c r="JQU28" s="204"/>
      <c r="JQV28" s="204"/>
      <c r="JQW28" s="204"/>
      <c r="JQX28" s="204"/>
      <c r="JQY28" s="204"/>
      <c r="JQZ28" s="204"/>
      <c r="JRA28" s="204"/>
      <c r="JRB28" s="204"/>
      <c r="JRC28" s="204"/>
      <c r="JRD28" s="204"/>
      <c r="JRE28" s="204"/>
      <c r="JRF28" s="204"/>
      <c r="JRG28" s="204"/>
      <c r="JRH28" s="204"/>
      <c r="JRI28" s="204"/>
      <c r="JRJ28" s="204"/>
      <c r="JRK28" s="204"/>
      <c r="JRL28" s="204"/>
      <c r="JRM28" s="204"/>
      <c r="JRN28" s="204"/>
      <c r="JRO28" s="204"/>
      <c r="JRP28" s="204"/>
      <c r="JRQ28" s="204"/>
      <c r="JRR28" s="204"/>
      <c r="JRS28" s="204"/>
      <c r="JRT28" s="204"/>
      <c r="JRU28" s="204"/>
      <c r="JRV28" s="204"/>
      <c r="JRW28" s="204"/>
      <c r="JRX28" s="204"/>
      <c r="JRY28" s="204"/>
      <c r="JRZ28" s="204"/>
      <c r="JSA28" s="204"/>
      <c r="JSB28" s="204"/>
      <c r="JSC28" s="204"/>
      <c r="JSD28" s="204"/>
      <c r="JSE28" s="204"/>
      <c r="JSF28" s="204"/>
      <c r="JSG28" s="204"/>
      <c r="JSH28" s="204"/>
      <c r="JSI28" s="204"/>
      <c r="JSJ28" s="204"/>
      <c r="JSK28" s="204"/>
      <c r="JSL28" s="204"/>
      <c r="JSM28" s="204"/>
      <c r="JSN28" s="204"/>
      <c r="JSO28" s="204"/>
      <c r="JSP28" s="204"/>
      <c r="JSQ28" s="204"/>
      <c r="JSR28" s="204"/>
      <c r="JSS28" s="204"/>
      <c r="JST28" s="204"/>
      <c r="JSU28" s="204"/>
      <c r="JSV28" s="204"/>
      <c r="JSW28" s="204"/>
      <c r="JSX28" s="204"/>
      <c r="JSY28" s="204"/>
      <c r="JSZ28" s="204"/>
      <c r="JTA28" s="204"/>
      <c r="JTB28" s="204"/>
      <c r="JTC28" s="204"/>
      <c r="JTD28" s="204"/>
      <c r="JTE28" s="204"/>
      <c r="JTF28" s="204"/>
      <c r="JTG28" s="204"/>
      <c r="JTH28" s="204"/>
      <c r="JTI28" s="204"/>
      <c r="JTJ28" s="204"/>
      <c r="JTK28" s="204"/>
      <c r="JTL28" s="204"/>
      <c r="JTM28" s="204"/>
      <c r="JTN28" s="204"/>
      <c r="JTO28" s="204"/>
      <c r="JTP28" s="204"/>
      <c r="JTQ28" s="204"/>
      <c r="JTR28" s="204"/>
      <c r="JTS28" s="204"/>
      <c r="JTT28" s="204"/>
      <c r="JTU28" s="204"/>
      <c r="JTV28" s="204"/>
      <c r="JTW28" s="204"/>
      <c r="JTX28" s="204"/>
      <c r="JTY28" s="204"/>
      <c r="JTZ28" s="204"/>
      <c r="JUA28" s="204"/>
      <c r="JUB28" s="204"/>
      <c r="JUC28" s="204"/>
      <c r="JUD28" s="204"/>
      <c r="JUE28" s="204"/>
      <c r="JUF28" s="204"/>
      <c r="JUG28" s="204"/>
      <c r="JUH28" s="204"/>
      <c r="JUI28" s="204"/>
      <c r="JUJ28" s="204"/>
      <c r="JUK28" s="204"/>
      <c r="JUL28" s="204"/>
      <c r="JUM28" s="204"/>
      <c r="JUN28" s="204"/>
      <c r="JUO28" s="204"/>
      <c r="JUP28" s="204"/>
      <c r="JUQ28" s="204"/>
      <c r="JUR28" s="204"/>
      <c r="JUS28" s="204"/>
      <c r="JUT28" s="204"/>
      <c r="JUU28" s="204"/>
      <c r="JUV28" s="204"/>
      <c r="JUW28" s="204"/>
      <c r="JUX28" s="204"/>
      <c r="JUY28" s="204"/>
      <c r="JUZ28" s="204"/>
      <c r="JVA28" s="204"/>
      <c r="JVB28" s="204"/>
      <c r="JVC28" s="204"/>
      <c r="JVD28" s="204"/>
      <c r="JVE28" s="204"/>
      <c r="JVF28" s="204"/>
      <c r="JVG28" s="204"/>
      <c r="JVH28" s="204"/>
      <c r="JVI28" s="204"/>
      <c r="JVJ28" s="204"/>
      <c r="JVK28" s="204"/>
      <c r="JVL28" s="204"/>
      <c r="JVM28" s="204"/>
      <c r="JVN28" s="204"/>
      <c r="JVO28" s="204"/>
      <c r="JVP28" s="204"/>
      <c r="JVQ28" s="204"/>
      <c r="JVR28" s="204"/>
      <c r="JVS28" s="204"/>
      <c r="JVT28" s="204"/>
      <c r="JVU28" s="204"/>
      <c r="JVV28" s="204"/>
      <c r="JVW28" s="204"/>
      <c r="JVX28" s="204"/>
      <c r="JVY28" s="204"/>
      <c r="JVZ28" s="204"/>
      <c r="JWA28" s="204"/>
      <c r="JWB28" s="204"/>
      <c r="JWC28" s="204"/>
      <c r="JWD28" s="204"/>
      <c r="JWE28" s="204"/>
      <c r="JWF28" s="204"/>
      <c r="JWG28" s="204"/>
      <c r="JWH28" s="204"/>
      <c r="JWI28" s="204"/>
      <c r="JWJ28" s="204"/>
      <c r="JWK28" s="204"/>
      <c r="JWL28" s="204"/>
      <c r="JWM28" s="204"/>
      <c r="JWN28" s="204"/>
      <c r="JWO28" s="204"/>
      <c r="JWP28" s="204"/>
      <c r="JWQ28" s="204"/>
      <c r="JWR28" s="204"/>
      <c r="JWS28" s="204"/>
      <c r="JWT28" s="204"/>
      <c r="JWU28" s="204"/>
      <c r="JWV28" s="204"/>
      <c r="JWW28" s="204"/>
      <c r="JWX28" s="204"/>
      <c r="JWY28" s="204"/>
      <c r="JWZ28" s="204"/>
      <c r="JXA28" s="204"/>
      <c r="JXB28" s="204"/>
      <c r="JXC28" s="204"/>
      <c r="JXD28" s="204"/>
      <c r="JXE28" s="204"/>
      <c r="JXF28" s="204"/>
      <c r="JXG28" s="204"/>
      <c r="JXH28" s="204"/>
      <c r="JXI28" s="204"/>
      <c r="JXJ28" s="204"/>
      <c r="JXK28" s="204"/>
      <c r="JXL28" s="204"/>
      <c r="JXM28" s="204"/>
      <c r="JXN28" s="204"/>
      <c r="JXO28" s="204"/>
      <c r="JXP28" s="204"/>
      <c r="JXQ28" s="204"/>
      <c r="JXR28" s="204"/>
      <c r="JXS28" s="204"/>
      <c r="JXT28" s="204"/>
      <c r="JXU28" s="204"/>
      <c r="JXV28" s="204"/>
      <c r="JXW28" s="204"/>
      <c r="JXX28" s="204"/>
      <c r="JXY28" s="204"/>
      <c r="JXZ28" s="204"/>
      <c r="JYA28" s="204"/>
      <c r="JYB28" s="204"/>
      <c r="JYC28" s="204"/>
      <c r="JYD28" s="204"/>
      <c r="JYE28" s="204"/>
      <c r="JYF28" s="204"/>
      <c r="JYG28" s="204"/>
      <c r="JYH28" s="204"/>
      <c r="JYI28" s="204"/>
      <c r="JYJ28" s="204"/>
      <c r="JYK28" s="204"/>
      <c r="JYL28" s="204"/>
      <c r="JYM28" s="204"/>
      <c r="JYN28" s="204"/>
      <c r="JYO28" s="204"/>
      <c r="JYP28" s="204"/>
      <c r="JYQ28" s="204"/>
      <c r="JYR28" s="204"/>
      <c r="JYS28" s="204"/>
      <c r="JYT28" s="204"/>
      <c r="JYU28" s="204"/>
      <c r="JYV28" s="204"/>
      <c r="JYW28" s="204"/>
      <c r="JYX28" s="204"/>
      <c r="JYY28" s="204"/>
      <c r="JYZ28" s="204"/>
      <c r="JZA28" s="204"/>
      <c r="JZB28" s="204"/>
      <c r="JZC28" s="204"/>
      <c r="JZD28" s="204"/>
      <c r="JZE28" s="204"/>
      <c r="JZF28" s="204"/>
      <c r="JZG28" s="204"/>
      <c r="JZH28" s="204"/>
      <c r="JZI28" s="204"/>
      <c r="JZJ28" s="204"/>
      <c r="JZK28" s="204"/>
      <c r="JZL28" s="204"/>
      <c r="JZM28" s="204"/>
      <c r="JZN28" s="204"/>
      <c r="JZO28" s="204"/>
      <c r="JZP28" s="204"/>
      <c r="JZQ28" s="204"/>
      <c r="JZR28" s="204"/>
      <c r="JZS28" s="204"/>
      <c r="JZT28" s="204"/>
      <c r="JZU28" s="204"/>
      <c r="JZV28" s="204"/>
      <c r="JZW28" s="204"/>
      <c r="JZX28" s="204"/>
      <c r="JZY28" s="204"/>
      <c r="JZZ28" s="204"/>
      <c r="KAA28" s="204"/>
      <c r="KAB28" s="204"/>
      <c r="KAC28" s="204"/>
      <c r="KAD28" s="204"/>
      <c r="KAE28" s="204"/>
      <c r="KAF28" s="204"/>
      <c r="KAG28" s="204"/>
      <c r="KAH28" s="204"/>
      <c r="KAI28" s="204"/>
      <c r="KAJ28" s="204"/>
      <c r="KAK28" s="204"/>
      <c r="KAL28" s="204"/>
      <c r="KAM28" s="204"/>
      <c r="KAN28" s="204"/>
      <c r="KAO28" s="204"/>
      <c r="KAP28" s="204"/>
      <c r="KAQ28" s="204"/>
      <c r="KAR28" s="204"/>
      <c r="KAS28" s="204"/>
      <c r="KAT28" s="204"/>
      <c r="KAU28" s="204"/>
      <c r="KAV28" s="204"/>
      <c r="KAW28" s="204"/>
      <c r="KAX28" s="204"/>
      <c r="KAY28" s="204"/>
      <c r="KAZ28" s="204"/>
      <c r="KBA28" s="204"/>
      <c r="KBB28" s="204"/>
      <c r="KBC28" s="204"/>
      <c r="KBD28" s="204"/>
      <c r="KBE28" s="204"/>
      <c r="KBF28" s="204"/>
      <c r="KBG28" s="204"/>
      <c r="KBH28" s="204"/>
      <c r="KBI28" s="204"/>
      <c r="KBJ28" s="204"/>
      <c r="KBK28" s="204"/>
      <c r="KBL28" s="204"/>
      <c r="KBM28" s="204"/>
      <c r="KBN28" s="204"/>
      <c r="KBO28" s="204"/>
      <c r="KBP28" s="204"/>
      <c r="KBQ28" s="204"/>
      <c r="KBR28" s="204"/>
      <c r="KBS28" s="204"/>
      <c r="KBT28" s="204"/>
      <c r="KBU28" s="204"/>
      <c r="KBV28" s="204"/>
      <c r="KBW28" s="204"/>
      <c r="KBX28" s="204"/>
      <c r="KBY28" s="204"/>
      <c r="KBZ28" s="204"/>
      <c r="KCA28" s="204"/>
      <c r="KCB28" s="204"/>
      <c r="KCC28" s="204"/>
      <c r="KCD28" s="204"/>
      <c r="KCE28" s="204"/>
      <c r="KCF28" s="204"/>
      <c r="KCG28" s="204"/>
      <c r="KCH28" s="204"/>
      <c r="KCI28" s="204"/>
      <c r="KCJ28" s="204"/>
      <c r="KCK28" s="204"/>
      <c r="KCL28" s="204"/>
      <c r="KCM28" s="204"/>
      <c r="KCN28" s="204"/>
      <c r="KCO28" s="204"/>
      <c r="KCP28" s="204"/>
      <c r="KCQ28" s="204"/>
      <c r="KCR28" s="204"/>
      <c r="KCS28" s="204"/>
      <c r="KCT28" s="204"/>
      <c r="KCU28" s="204"/>
      <c r="KCV28" s="204"/>
      <c r="KCW28" s="204"/>
      <c r="KCX28" s="204"/>
      <c r="KCY28" s="204"/>
      <c r="KCZ28" s="204"/>
      <c r="KDA28" s="204"/>
      <c r="KDB28" s="204"/>
      <c r="KDC28" s="204"/>
      <c r="KDD28" s="204"/>
      <c r="KDE28" s="204"/>
      <c r="KDF28" s="204"/>
      <c r="KDG28" s="204"/>
      <c r="KDH28" s="204"/>
      <c r="KDI28" s="204"/>
      <c r="KDJ28" s="204"/>
      <c r="KDK28" s="204"/>
      <c r="KDL28" s="204"/>
      <c r="KDM28" s="204"/>
      <c r="KDN28" s="204"/>
      <c r="KDO28" s="204"/>
      <c r="KDP28" s="204"/>
      <c r="KDQ28" s="204"/>
      <c r="KDR28" s="204"/>
      <c r="KDS28" s="204"/>
      <c r="KDT28" s="204"/>
      <c r="KDU28" s="204"/>
      <c r="KDV28" s="204"/>
      <c r="KDW28" s="204"/>
      <c r="KDX28" s="204"/>
      <c r="KDY28" s="204"/>
      <c r="KDZ28" s="204"/>
      <c r="KEA28" s="204"/>
      <c r="KEB28" s="204"/>
      <c r="KEC28" s="204"/>
      <c r="KED28" s="204"/>
      <c r="KEE28" s="204"/>
      <c r="KEF28" s="204"/>
      <c r="KEG28" s="204"/>
      <c r="KEH28" s="204"/>
      <c r="KEI28" s="204"/>
      <c r="KEJ28" s="204"/>
      <c r="KEK28" s="204"/>
      <c r="KEL28" s="204"/>
      <c r="KEM28" s="204"/>
      <c r="KEN28" s="204"/>
      <c r="KEO28" s="204"/>
      <c r="KEP28" s="204"/>
      <c r="KEQ28" s="204"/>
      <c r="KER28" s="204"/>
      <c r="KES28" s="204"/>
      <c r="KET28" s="204"/>
      <c r="KEU28" s="204"/>
      <c r="KEV28" s="204"/>
      <c r="KEW28" s="204"/>
      <c r="KEX28" s="204"/>
      <c r="KEY28" s="204"/>
      <c r="KEZ28" s="204"/>
      <c r="KFA28" s="204"/>
      <c r="KFB28" s="204"/>
      <c r="KFC28" s="204"/>
      <c r="KFD28" s="204"/>
      <c r="KFE28" s="204"/>
      <c r="KFF28" s="204"/>
      <c r="KFG28" s="204"/>
      <c r="KFH28" s="204"/>
      <c r="KFI28" s="204"/>
      <c r="KFJ28" s="204"/>
      <c r="KFK28" s="204"/>
      <c r="KFL28" s="204"/>
      <c r="KFM28" s="204"/>
      <c r="KFN28" s="204"/>
      <c r="KFO28" s="204"/>
      <c r="KFP28" s="204"/>
      <c r="KFQ28" s="204"/>
      <c r="KFR28" s="204"/>
      <c r="KFS28" s="204"/>
      <c r="KFT28" s="204"/>
      <c r="KFU28" s="204"/>
      <c r="KFV28" s="204"/>
      <c r="KFW28" s="204"/>
      <c r="KFX28" s="204"/>
      <c r="KFY28" s="204"/>
      <c r="KFZ28" s="204"/>
      <c r="KGA28" s="204"/>
      <c r="KGB28" s="204"/>
      <c r="KGC28" s="204"/>
      <c r="KGD28" s="204"/>
      <c r="KGE28" s="204"/>
      <c r="KGF28" s="204"/>
      <c r="KGG28" s="204"/>
      <c r="KGH28" s="204"/>
      <c r="KGI28" s="204"/>
      <c r="KGJ28" s="204"/>
      <c r="KGK28" s="204"/>
      <c r="KGL28" s="204"/>
      <c r="KGM28" s="204"/>
      <c r="KGN28" s="204"/>
      <c r="KGO28" s="204"/>
      <c r="KGP28" s="204"/>
      <c r="KGQ28" s="204"/>
      <c r="KGR28" s="204"/>
      <c r="KGS28" s="204"/>
      <c r="KGT28" s="204"/>
      <c r="KGU28" s="204"/>
      <c r="KGV28" s="204"/>
      <c r="KGW28" s="204"/>
      <c r="KGX28" s="204"/>
      <c r="KGY28" s="204"/>
      <c r="KGZ28" s="204"/>
      <c r="KHA28" s="204"/>
      <c r="KHB28" s="204"/>
      <c r="KHC28" s="204"/>
      <c r="KHD28" s="204"/>
      <c r="KHE28" s="204"/>
      <c r="KHF28" s="204"/>
      <c r="KHG28" s="204"/>
      <c r="KHH28" s="204"/>
      <c r="KHI28" s="204"/>
      <c r="KHJ28" s="204"/>
      <c r="KHK28" s="204"/>
      <c r="KHL28" s="204"/>
      <c r="KHM28" s="204"/>
      <c r="KHN28" s="204"/>
      <c r="KHO28" s="204"/>
      <c r="KHP28" s="204"/>
      <c r="KHQ28" s="204"/>
      <c r="KHR28" s="204"/>
      <c r="KHS28" s="204"/>
      <c r="KHT28" s="204"/>
      <c r="KHU28" s="204"/>
      <c r="KHV28" s="204"/>
      <c r="KHW28" s="204"/>
      <c r="KHX28" s="204"/>
      <c r="KHY28" s="204"/>
      <c r="KHZ28" s="204"/>
      <c r="KIA28" s="204"/>
      <c r="KIB28" s="204"/>
      <c r="KIC28" s="204"/>
      <c r="KID28" s="204"/>
      <c r="KIE28" s="204"/>
      <c r="KIF28" s="204"/>
      <c r="KIG28" s="204"/>
      <c r="KIH28" s="204"/>
      <c r="KII28" s="204"/>
      <c r="KIJ28" s="204"/>
      <c r="KIK28" s="204"/>
      <c r="KIL28" s="204"/>
      <c r="KIM28" s="204"/>
      <c r="KIN28" s="204"/>
      <c r="KIO28" s="204"/>
      <c r="KIP28" s="204"/>
      <c r="KIQ28" s="204"/>
      <c r="KIR28" s="204"/>
      <c r="KIS28" s="204"/>
      <c r="KIT28" s="204"/>
      <c r="KIU28" s="204"/>
      <c r="KIV28" s="204"/>
      <c r="KIW28" s="204"/>
      <c r="KIX28" s="204"/>
      <c r="KIY28" s="204"/>
      <c r="KIZ28" s="204"/>
      <c r="KJA28" s="204"/>
      <c r="KJB28" s="204"/>
      <c r="KJC28" s="204"/>
      <c r="KJD28" s="204"/>
      <c r="KJE28" s="204"/>
      <c r="KJF28" s="204"/>
      <c r="KJG28" s="204"/>
      <c r="KJH28" s="204"/>
      <c r="KJI28" s="204"/>
      <c r="KJJ28" s="204"/>
      <c r="KJK28" s="204"/>
      <c r="KJL28" s="204"/>
      <c r="KJM28" s="204"/>
      <c r="KJN28" s="204"/>
      <c r="KJO28" s="204"/>
      <c r="KJP28" s="204"/>
      <c r="KJQ28" s="204"/>
      <c r="KJR28" s="204"/>
      <c r="KJS28" s="204"/>
      <c r="KJT28" s="204"/>
      <c r="KJU28" s="204"/>
      <c r="KJV28" s="204"/>
      <c r="KJW28" s="204"/>
      <c r="KJX28" s="204"/>
      <c r="KJY28" s="204"/>
      <c r="KJZ28" s="204"/>
      <c r="KKA28" s="204"/>
      <c r="KKB28" s="204"/>
      <c r="KKC28" s="204"/>
      <c r="KKD28" s="204"/>
      <c r="KKE28" s="204"/>
      <c r="KKF28" s="204"/>
      <c r="KKG28" s="204"/>
      <c r="KKH28" s="204"/>
      <c r="KKI28" s="204"/>
      <c r="KKJ28" s="204"/>
      <c r="KKK28" s="204"/>
      <c r="KKL28" s="204"/>
      <c r="KKM28" s="204"/>
      <c r="KKN28" s="204"/>
      <c r="KKO28" s="204"/>
      <c r="KKP28" s="204"/>
      <c r="KKQ28" s="204"/>
      <c r="KKR28" s="204"/>
      <c r="KKS28" s="204"/>
      <c r="KKT28" s="204"/>
      <c r="KKU28" s="204"/>
      <c r="KKV28" s="204"/>
      <c r="KKW28" s="204"/>
      <c r="KKX28" s="204"/>
      <c r="KKY28" s="204"/>
      <c r="KKZ28" s="204"/>
      <c r="KLA28" s="204"/>
      <c r="KLB28" s="204"/>
      <c r="KLC28" s="204"/>
      <c r="KLD28" s="204"/>
      <c r="KLE28" s="204"/>
      <c r="KLF28" s="204"/>
      <c r="KLG28" s="204"/>
      <c r="KLH28" s="204"/>
      <c r="KLI28" s="204"/>
      <c r="KLJ28" s="204"/>
      <c r="KLK28" s="204"/>
      <c r="KLL28" s="204"/>
      <c r="KLM28" s="204"/>
      <c r="KLN28" s="204"/>
      <c r="KLO28" s="204"/>
      <c r="KLP28" s="204"/>
      <c r="KLQ28" s="204"/>
      <c r="KLR28" s="204"/>
      <c r="KLS28" s="204"/>
      <c r="KLT28" s="204"/>
      <c r="KLU28" s="204"/>
      <c r="KLV28" s="204"/>
      <c r="KLW28" s="204"/>
      <c r="KLX28" s="204"/>
      <c r="KLY28" s="204"/>
      <c r="KLZ28" s="204"/>
      <c r="KMA28" s="204"/>
      <c r="KMB28" s="204"/>
      <c r="KMC28" s="204"/>
      <c r="KMD28" s="204"/>
      <c r="KME28" s="204"/>
      <c r="KMF28" s="204"/>
      <c r="KMG28" s="204"/>
      <c r="KMH28" s="204"/>
      <c r="KMI28" s="204"/>
      <c r="KMJ28" s="204"/>
      <c r="KMK28" s="204"/>
      <c r="KML28" s="204"/>
      <c r="KMM28" s="204"/>
      <c r="KMN28" s="204"/>
      <c r="KMO28" s="204"/>
      <c r="KMP28" s="204"/>
      <c r="KMQ28" s="204"/>
      <c r="KMR28" s="204"/>
      <c r="KMS28" s="204"/>
      <c r="KMT28" s="204"/>
      <c r="KMU28" s="204"/>
      <c r="KMV28" s="204"/>
      <c r="KMW28" s="204"/>
      <c r="KMX28" s="204"/>
      <c r="KMY28" s="204"/>
      <c r="KMZ28" s="204"/>
      <c r="KNA28" s="204"/>
      <c r="KNB28" s="204"/>
      <c r="KNC28" s="204"/>
      <c r="KND28" s="204"/>
      <c r="KNE28" s="204"/>
      <c r="KNF28" s="204"/>
      <c r="KNG28" s="204"/>
      <c r="KNH28" s="204"/>
      <c r="KNI28" s="204"/>
      <c r="KNJ28" s="204"/>
      <c r="KNK28" s="204"/>
      <c r="KNL28" s="204"/>
      <c r="KNM28" s="204"/>
      <c r="KNN28" s="204"/>
      <c r="KNO28" s="204"/>
      <c r="KNP28" s="204"/>
      <c r="KNQ28" s="204"/>
      <c r="KNR28" s="204"/>
      <c r="KNS28" s="204"/>
      <c r="KNT28" s="204"/>
      <c r="KNU28" s="204"/>
      <c r="KNV28" s="204"/>
      <c r="KNW28" s="204"/>
      <c r="KNX28" s="204"/>
      <c r="KNY28" s="204"/>
      <c r="KNZ28" s="204"/>
      <c r="KOA28" s="204"/>
      <c r="KOB28" s="204"/>
      <c r="KOC28" s="204"/>
      <c r="KOD28" s="204"/>
      <c r="KOE28" s="204"/>
      <c r="KOF28" s="204"/>
      <c r="KOG28" s="204"/>
      <c r="KOH28" s="204"/>
      <c r="KOI28" s="204"/>
      <c r="KOJ28" s="204"/>
      <c r="KOK28" s="204"/>
      <c r="KOL28" s="204"/>
      <c r="KOM28" s="204"/>
      <c r="KON28" s="204"/>
      <c r="KOO28" s="204"/>
      <c r="KOP28" s="204"/>
      <c r="KOQ28" s="204"/>
      <c r="KOR28" s="204"/>
      <c r="KOS28" s="204"/>
      <c r="KOT28" s="204"/>
      <c r="KOU28" s="204"/>
      <c r="KOV28" s="204"/>
      <c r="KOW28" s="204"/>
      <c r="KOX28" s="204"/>
      <c r="KOY28" s="204"/>
      <c r="KOZ28" s="204"/>
      <c r="KPA28" s="204"/>
      <c r="KPB28" s="204"/>
      <c r="KPC28" s="204"/>
      <c r="KPD28" s="204"/>
      <c r="KPE28" s="204"/>
      <c r="KPF28" s="204"/>
      <c r="KPG28" s="204"/>
      <c r="KPH28" s="204"/>
      <c r="KPI28" s="204"/>
      <c r="KPJ28" s="204"/>
      <c r="KPK28" s="204"/>
      <c r="KPL28" s="204"/>
      <c r="KPM28" s="204"/>
      <c r="KPN28" s="204"/>
      <c r="KPO28" s="204"/>
      <c r="KPP28" s="204"/>
      <c r="KPQ28" s="204"/>
      <c r="KPR28" s="204"/>
      <c r="KPS28" s="204"/>
      <c r="KPT28" s="204"/>
      <c r="KPU28" s="204"/>
      <c r="KPV28" s="204"/>
      <c r="KPW28" s="204"/>
      <c r="KPX28" s="204"/>
      <c r="KPY28" s="204"/>
      <c r="KPZ28" s="204"/>
      <c r="KQA28" s="204"/>
      <c r="KQB28" s="204"/>
      <c r="KQC28" s="204"/>
      <c r="KQD28" s="204"/>
      <c r="KQE28" s="204"/>
      <c r="KQF28" s="204"/>
      <c r="KQG28" s="204"/>
      <c r="KQH28" s="204"/>
      <c r="KQI28" s="204"/>
      <c r="KQJ28" s="204"/>
      <c r="KQK28" s="204"/>
      <c r="KQL28" s="204"/>
      <c r="KQM28" s="204"/>
      <c r="KQN28" s="204"/>
      <c r="KQO28" s="204"/>
      <c r="KQP28" s="204"/>
      <c r="KQQ28" s="204"/>
      <c r="KQR28" s="204"/>
      <c r="KQS28" s="204"/>
      <c r="KQT28" s="204"/>
      <c r="KQU28" s="204"/>
      <c r="KQV28" s="204"/>
      <c r="KQW28" s="204"/>
      <c r="KQX28" s="204"/>
      <c r="KQY28" s="204"/>
      <c r="KQZ28" s="204"/>
      <c r="KRA28" s="204"/>
      <c r="KRB28" s="204"/>
      <c r="KRC28" s="204"/>
      <c r="KRD28" s="204"/>
      <c r="KRE28" s="204"/>
      <c r="KRF28" s="204"/>
      <c r="KRG28" s="204"/>
      <c r="KRH28" s="204"/>
      <c r="KRI28" s="204"/>
      <c r="KRJ28" s="204"/>
      <c r="KRK28" s="204"/>
      <c r="KRL28" s="204"/>
      <c r="KRM28" s="204"/>
      <c r="KRN28" s="204"/>
      <c r="KRO28" s="204"/>
      <c r="KRP28" s="204"/>
      <c r="KRQ28" s="204"/>
      <c r="KRR28" s="204"/>
      <c r="KRS28" s="204"/>
      <c r="KRT28" s="204"/>
      <c r="KRU28" s="204"/>
      <c r="KRV28" s="204"/>
      <c r="KRW28" s="204"/>
      <c r="KRX28" s="204"/>
      <c r="KRY28" s="204"/>
      <c r="KRZ28" s="204"/>
      <c r="KSA28" s="204"/>
      <c r="KSB28" s="204"/>
      <c r="KSC28" s="204"/>
      <c r="KSD28" s="204"/>
      <c r="KSE28" s="204"/>
      <c r="KSF28" s="204"/>
      <c r="KSG28" s="204"/>
      <c r="KSH28" s="204"/>
      <c r="KSI28" s="204"/>
      <c r="KSJ28" s="204"/>
      <c r="KSK28" s="204"/>
      <c r="KSL28" s="204"/>
      <c r="KSM28" s="204"/>
      <c r="KSN28" s="204"/>
      <c r="KSO28" s="204"/>
      <c r="KSP28" s="204"/>
      <c r="KSQ28" s="204"/>
      <c r="KSR28" s="204"/>
      <c r="KSS28" s="204"/>
      <c r="KST28" s="204"/>
      <c r="KSU28" s="204"/>
      <c r="KSV28" s="204"/>
      <c r="KSW28" s="204"/>
      <c r="KSX28" s="204"/>
      <c r="KSY28" s="204"/>
      <c r="KSZ28" s="204"/>
      <c r="KTA28" s="204"/>
      <c r="KTB28" s="204"/>
      <c r="KTC28" s="204"/>
      <c r="KTD28" s="204"/>
      <c r="KTE28" s="204"/>
      <c r="KTF28" s="204"/>
      <c r="KTG28" s="204"/>
      <c r="KTH28" s="204"/>
      <c r="KTI28" s="204"/>
      <c r="KTJ28" s="204"/>
      <c r="KTK28" s="204"/>
      <c r="KTL28" s="204"/>
      <c r="KTM28" s="204"/>
      <c r="KTN28" s="204"/>
      <c r="KTO28" s="204"/>
      <c r="KTP28" s="204"/>
      <c r="KTQ28" s="204"/>
      <c r="KTR28" s="204"/>
      <c r="KTS28" s="204"/>
      <c r="KTT28" s="204"/>
      <c r="KTU28" s="204"/>
      <c r="KTV28" s="204"/>
      <c r="KTW28" s="204"/>
      <c r="KTX28" s="204"/>
      <c r="KTY28" s="204"/>
      <c r="KTZ28" s="204"/>
      <c r="KUA28" s="204"/>
      <c r="KUB28" s="204"/>
      <c r="KUC28" s="204"/>
      <c r="KUD28" s="204"/>
      <c r="KUE28" s="204"/>
      <c r="KUF28" s="204"/>
      <c r="KUG28" s="204"/>
      <c r="KUH28" s="204"/>
      <c r="KUI28" s="204"/>
      <c r="KUJ28" s="204"/>
      <c r="KUK28" s="204"/>
      <c r="KUL28" s="204"/>
      <c r="KUM28" s="204"/>
      <c r="KUN28" s="204"/>
      <c r="KUO28" s="204"/>
      <c r="KUP28" s="204"/>
      <c r="KUQ28" s="204"/>
      <c r="KUR28" s="204"/>
      <c r="KUS28" s="204"/>
      <c r="KUT28" s="204"/>
      <c r="KUU28" s="204"/>
      <c r="KUV28" s="204"/>
      <c r="KUW28" s="204"/>
      <c r="KUX28" s="204"/>
      <c r="KUY28" s="204"/>
      <c r="KUZ28" s="204"/>
      <c r="KVA28" s="204"/>
      <c r="KVB28" s="204"/>
      <c r="KVC28" s="204"/>
      <c r="KVD28" s="204"/>
      <c r="KVE28" s="204"/>
      <c r="KVF28" s="204"/>
      <c r="KVG28" s="204"/>
      <c r="KVH28" s="204"/>
      <c r="KVI28" s="204"/>
      <c r="KVJ28" s="204"/>
      <c r="KVK28" s="204"/>
      <c r="KVL28" s="204"/>
      <c r="KVM28" s="204"/>
      <c r="KVN28" s="204"/>
      <c r="KVO28" s="204"/>
      <c r="KVP28" s="204"/>
      <c r="KVQ28" s="204"/>
      <c r="KVR28" s="204"/>
      <c r="KVS28" s="204"/>
      <c r="KVT28" s="204"/>
      <c r="KVU28" s="204"/>
      <c r="KVV28" s="204"/>
      <c r="KVW28" s="204"/>
      <c r="KVX28" s="204"/>
      <c r="KVY28" s="204"/>
      <c r="KVZ28" s="204"/>
      <c r="KWA28" s="204"/>
      <c r="KWB28" s="204"/>
      <c r="KWC28" s="204"/>
      <c r="KWD28" s="204"/>
      <c r="KWE28" s="204"/>
      <c r="KWF28" s="204"/>
      <c r="KWG28" s="204"/>
      <c r="KWH28" s="204"/>
      <c r="KWI28" s="204"/>
      <c r="KWJ28" s="204"/>
      <c r="KWK28" s="204"/>
      <c r="KWL28" s="204"/>
      <c r="KWM28" s="204"/>
      <c r="KWN28" s="204"/>
      <c r="KWO28" s="204"/>
      <c r="KWP28" s="204"/>
      <c r="KWQ28" s="204"/>
      <c r="KWR28" s="204"/>
      <c r="KWS28" s="204"/>
      <c r="KWT28" s="204"/>
      <c r="KWU28" s="204"/>
      <c r="KWV28" s="204"/>
      <c r="KWW28" s="204"/>
      <c r="KWX28" s="204"/>
      <c r="KWY28" s="204"/>
      <c r="KWZ28" s="204"/>
      <c r="KXA28" s="204"/>
      <c r="KXB28" s="204"/>
      <c r="KXC28" s="204"/>
      <c r="KXD28" s="204"/>
      <c r="KXE28" s="204"/>
      <c r="KXF28" s="204"/>
      <c r="KXG28" s="204"/>
      <c r="KXH28" s="204"/>
      <c r="KXI28" s="204"/>
      <c r="KXJ28" s="204"/>
      <c r="KXK28" s="204"/>
      <c r="KXL28" s="204"/>
      <c r="KXM28" s="204"/>
      <c r="KXN28" s="204"/>
      <c r="KXO28" s="204"/>
      <c r="KXP28" s="204"/>
      <c r="KXQ28" s="204"/>
      <c r="KXR28" s="204"/>
      <c r="KXS28" s="204"/>
      <c r="KXT28" s="204"/>
      <c r="KXU28" s="204"/>
      <c r="KXV28" s="204"/>
      <c r="KXW28" s="204"/>
      <c r="KXX28" s="204"/>
      <c r="KXY28" s="204"/>
      <c r="KXZ28" s="204"/>
      <c r="KYA28" s="204"/>
      <c r="KYB28" s="204"/>
      <c r="KYC28" s="204"/>
      <c r="KYD28" s="204"/>
      <c r="KYE28" s="204"/>
      <c r="KYF28" s="204"/>
      <c r="KYG28" s="204"/>
      <c r="KYH28" s="204"/>
      <c r="KYI28" s="204"/>
      <c r="KYJ28" s="204"/>
      <c r="KYK28" s="204"/>
      <c r="KYL28" s="204"/>
      <c r="KYM28" s="204"/>
      <c r="KYN28" s="204"/>
      <c r="KYO28" s="204"/>
      <c r="KYP28" s="204"/>
      <c r="KYQ28" s="204"/>
      <c r="KYR28" s="204"/>
      <c r="KYS28" s="204"/>
      <c r="KYT28" s="204"/>
      <c r="KYU28" s="204"/>
      <c r="KYV28" s="204"/>
      <c r="KYW28" s="204"/>
      <c r="KYX28" s="204"/>
      <c r="KYY28" s="204"/>
      <c r="KYZ28" s="204"/>
      <c r="KZA28" s="204"/>
      <c r="KZB28" s="204"/>
      <c r="KZC28" s="204"/>
      <c r="KZD28" s="204"/>
      <c r="KZE28" s="204"/>
      <c r="KZF28" s="204"/>
      <c r="KZG28" s="204"/>
      <c r="KZH28" s="204"/>
      <c r="KZI28" s="204"/>
      <c r="KZJ28" s="204"/>
      <c r="KZK28" s="204"/>
      <c r="KZL28" s="204"/>
      <c r="KZM28" s="204"/>
      <c r="KZN28" s="204"/>
      <c r="KZO28" s="204"/>
      <c r="KZP28" s="204"/>
      <c r="KZQ28" s="204"/>
      <c r="KZR28" s="204"/>
      <c r="KZS28" s="204"/>
      <c r="KZT28" s="204"/>
      <c r="KZU28" s="204"/>
      <c r="KZV28" s="204"/>
      <c r="KZW28" s="204"/>
      <c r="KZX28" s="204"/>
      <c r="KZY28" s="204"/>
      <c r="KZZ28" s="204"/>
      <c r="LAA28" s="204"/>
      <c r="LAB28" s="204"/>
      <c r="LAC28" s="204"/>
      <c r="LAD28" s="204"/>
      <c r="LAE28" s="204"/>
      <c r="LAF28" s="204"/>
      <c r="LAG28" s="204"/>
      <c r="LAH28" s="204"/>
      <c r="LAI28" s="204"/>
      <c r="LAJ28" s="204"/>
      <c r="LAK28" s="204"/>
      <c r="LAL28" s="204"/>
      <c r="LAM28" s="204"/>
      <c r="LAN28" s="204"/>
      <c r="LAO28" s="204"/>
      <c r="LAP28" s="204"/>
      <c r="LAQ28" s="204"/>
      <c r="LAR28" s="204"/>
      <c r="LAS28" s="204"/>
      <c r="LAT28" s="204"/>
      <c r="LAU28" s="204"/>
      <c r="LAV28" s="204"/>
      <c r="LAW28" s="204"/>
      <c r="LAX28" s="204"/>
      <c r="LAY28" s="204"/>
      <c r="LAZ28" s="204"/>
      <c r="LBA28" s="204"/>
      <c r="LBB28" s="204"/>
      <c r="LBC28" s="204"/>
      <c r="LBD28" s="204"/>
      <c r="LBE28" s="204"/>
      <c r="LBF28" s="204"/>
      <c r="LBG28" s="204"/>
      <c r="LBH28" s="204"/>
      <c r="LBI28" s="204"/>
      <c r="LBJ28" s="204"/>
      <c r="LBK28" s="204"/>
      <c r="LBL28" s="204"/>
      <c r="LBM28" s="204"/>
      <c r="LBN28" s="204"/>
      <c r="LBO28" s="204"/>
      <c r="LBP28" s="204"/>
      <c r="LBQ28" s="204"/>
      <c r="LBR28" s="204"/>
      <c r="LBS28" s="204"/>
      <c r="LBT28" s="204"/>
      <c r="LBU28" s="204"/>
      <c r="LBV28" s="204"/>
      <c r="LBW28" s="204"/>
      <c r="LBX28" s="204"/>
      <c r="LBY28" s="204"/>
      <c r="LBZ28" s="204"/>
      <c r="LCA28" s="204"/>
      <c r="LCB28" s="204"/>
      <c r="LCC28" s="204"/>
      <c r="LCD28" s="204"/>
      <c r="LCE28" s="204"/>
      <c r="LCF28" s="204"/>
      <c r="LCG28" s="204"/>
      <c r="LCH28" s="204"/>
      <c r="LCI28" s="204"/>
      <c r="LCJ28" s="204"/>
      <c r="LCK28" s="204"/>
      <c r="LCL28" s="204"/>
      <c r="LCM28" s="204"/>
      <c r="LCN28" s="204"/>
      <c r="LCO28" s="204"/>
      <c r="LCP28" s="204"/>
      <c r="LCQ28" s="204"/>
      <c r="LCR28" s="204"/>
      <c r="LCS28" s="204"/>
      <c r="LCT28" s="204"/>
      <c r="LCU28" s="204"/>
      <c r="LCV28" s="204"/>
      <c r="LCW28" s="204"/>
      <c r="LCX28" s="204"/>
      <c r="LCY28" s="204"/>
      <c r="LCZ28" s="204"/>
      <c r="LDA28" s="204"/>
      <c r="LDB28" s="204"/>
      <c r="LDC28" s="204"/>
      <c r="LDD28" s="204"/>
      <c r="LDE28" s="204"/>
      <c r="LDF28" s="204"/>
      <c r="LDG28" s="204"/>
      <c r="LDH28" s="204"/>
      <c r="LDI28" s="204"/>
      <c r="LDJ28" s="204"/>
      <c r="LDK28" s="204"/>
      <c r="LDL28" s="204"/>
      <c r="LDM28" s="204"/>
      <c r="LDN28" s="204"/>
      <c r="LDO28" s="204"/>
      <c r="LDP28" s="204"/>
      <c r="LDQ28" s="204"/>
      <c r="LDR28" s="204"/>
      <c r="LDS28" s="204"/>
      <c r="LDT28" s="204"/>
      <c r="LDU28" s="204"/>
      <c r="LDV28" s="204"/>
      <c r="LDW28" s="204"/>
      <c r="LDX28" s="204"/>
      <c r="LDY28" s="204"/>
      <c r="LDZ28" s="204"/>
      <c r="LEA28" s="204"/>
      <c r="LEB28" s="204"/>
      <c r="LEC28" s="204"/>
      <c r="LED28" s="204"/>
      <c r="LEE28" s="204"/>
      <c r="LEF28" s="204"/>
      <c r="LEG28" s="204"/>
      <c r="LEH28" s="204"/>
      <c r="LEI28" s="204"/>
      <c r="LEJ28" s="204"/>
      <c r="LEK28" s="204"/>
      <c r="LEL28" s="204"/>
      <c r="LEM28" s="204"/>
      <c r="LEN28" s="204"/>
      <c r="LEO28" s="204"/>
      <c r="LEP28" s="204"/>
      <c r="LEQ28" s="204"/>
      <c r="LER28" s="204"/>
      <c r="LES28" s="204"/>
      <c r="LET28" s="204"/>
      <c r="LEU28" s="204"/>
      <c r="LEV28" s="204"/>
      <c r="LEW28" s="204"/>
      <c r="LEX28" s="204"/>
      <c r="LEY28" s="204"/>
      <c r="LEZ28" s="204"/>
      <c r="LFA28" s="204"/>
      <c r="LFB28" s="204"/>
      <c r="LFC28" s="204"/>
      <c r="LFD28" s="204"/>
      <c r="LFE28" s="204"/>
      <c r="LFF28" s="204"/>
      <c r="LFG28" s="204"/>
      <c r="LFH28" s="204"/>
      <c r="LFI28" s="204"/>
      <c r="LFJ28" s="204"/>
      <c r="LFK28" s="204"/>
      <c r="LFL28" s="204"/>
      <c r="LFM28" s="204"/>
      <c r="LFN28" s="204"/>
      <c r="LFO28" s="204"/>
      <c r="LFP28" s="204"/>
      <c r="LFQ28" s="204"/>
      <c r="LFR28" s="204"/>
      <c r="LFS28" s="204"/>
      <c r="LFT28" s="204"/>
      <c r="LFU28" s="204"/>
      <c r="LFV28" s="204"/>
      <c r="LFW28" s="204"/>
      <c r="LFX28" s="204"/>
      <c r="LFY28" s="204"/>
      <c r="LFZ28" s="204"/>
      <c r="LGA28" s="204"/>
      <c r="LGB28" s="204"/>
      <c r="LGC28" s="204"/>
      <c r="LGD28" s="204"/>
      <c r="LGE28" s="204"/>
      <c r="LGF28" s="204"/>
      <c r="LGG28" s="204"/>
      <c r="LGH28" s="204"/>
      <c r="LGI28" s="204"/>
      <c r="LGJ28" s="204"/>
      <c r="LGK28" s="204"/>
      <c r="LGL28" s="204"/>
      <c r="LGM28" s="204"/>
      <c r="LGN28" s="204"/>
      <c r="LGO28" s="204"/>
      <c r="LGP28" s="204"/>
      <c r="LGQ28" s="204"/>
      <c r="LGR28" s="204"/>
      <c r="LGS28" s="204"/>
      <c r="LGT28" s="204"/>
      <c r="LGU28" s="204"/>
      <c r="LGV28" s="204"/>
      <c r="LGW28" s="204"/>
      <c r="LGX28" s="204"/>
      <c r="LGY28" s="204"/>
      <c r="LGZ28" s="204"/>
      <c r="LHA28" s="204"/>
      <c r="LHB28" s="204"/>
      <c r="LHC28" s="204"/>
      <c r="LHD28" s="204"/>
      <c r="LHE28" s="204"/>
      <c r="LHF28" s="204"/>
      <c r="LHG28" s="204"/>
      <c r="LHH28" s="204"/>
      <c r="LHI28" s="204"/>
      <c r="LHJ28" s="204"/>
      <c r="LHK28" s="204"/>
      <c r="LHL28" s="204"/>
      <c r="LHM28" s="204"/>
      <c r="LHN28" s="204"/>
      <c r="LHO28" s="204"/>
      <c r="LHP28" s="204"/>
      <c r="LHQ28" s="204"/>
      <c r="LHR28" s="204"/>
      <c r="LHS28" s="204"/>
      <c r="LHT28" s="204"/>
      <c r="LHU28" s="204"/>
      <c r="LHV28" s="204"/>
      <c r="LHW28" s="204"/>
      <c r="LHX28" s="204"/>
      <c r="LHY28" s="204"/>
      <c r="LHZ28" s="204"/>
      <c r="LIA28" s="204"/>
      <c r="LIB28" s="204"/>
      <c r="LIC28" s="204"/>
      <c r="LID28" s="204"/>
      <c r="LIE28" s="204"/>
      <c r="LIF28" s="204"/>
      <c r="LIG28" s="204"/>
      <c r="LIH28" s="204"/>
      <c r="LII28" s="204"/>
      <c r="LIJ28" s="204"/>
      <c r="LIK28" s="204"/>
      <c r="LIL28" s="204"/>
      <c r="LIM28" s="204"/>
      <c r="LIN28" s="204"/>
      <c r="LIO28" s="204"/>
      <c r="LIP28" s="204"/>
      <c r="LIQ28" s="204"/>
      <c r="LIR28" s="204"/>
      <c r="LIS28" s="204"/>
      <c r="LIT28" s="204"/>
      <c r="LIU28" s="204"/>
      <c r="LIV28" s="204"/>
      <c r="LIW28" s="204"/>
      <c r="LIX28" s="204"/>
      <c r="LIY28" s="204"/>
      <c r="LIZ28" s="204"/>
      <c r="LJA28" s="204"/>
      <c r="LJB28" s="204"/>
      <c r="LJC28" s="204"/>
      <c r="LJD28" s="204"/>
      <c r="LJE28" s="204"/>
      <c r="LJF28" s="204"/>
      <c r="LJG28" s="204"/>
      <c r="LJH28" s="204"/>
      <c r="LJI28" s="204"/>
      <c r="LJJ28" s="204"/>
      <c r="LJK28" s="204"/>
      <c r="LJL28" s="204"/>
      <c r="LJM28" s="204"/>
      <c r="LJN28" s="204"/>
      <c r="LJO28" s="204"/>
      <c r="LJP28" s="204"/>
      <c r="LJQ28" s="204"/>
      <c r="LJR28" s="204"/>
      <c r="LJS28" s="204"/>
      <c r="LJT28" s="204"/>
      <c r="LJU28" s="204"/>
      <c r="LJV28" s="204"/>
      <c r="LJW28" s="204"/>
      <c r="LJX28" s="204"/>
      <c r="LJY28" s="204"/>
      <c r="LJZ28" s="204"/>
      <c r="LKA28" s="204"/>
      <c r="LKB28" s="204"/>
      <c r="LKC28" s="204"/>
      <c r="LKD28" s="204"/>
      <c r="LKE28" s="204"/>
      <c r="LKF28" s="204"/>
      <c r="LKG28" s="204"/>
      <c r="LKH28" s="204"/>
      <c r="LKI28" s="204"/>
      <c r="LKJ28" s="204"/>
      <c r="LKK28" s="204"/>
      <c r="LKL28" s="204"/>
      <c r="LKM28" s="204"/>
      <c r="LKN28" s="204"/>
      <c r="LKO28" s="204"/>
      <c r="LKP28" s="204"/>
      <c r="LKQ28" s="204"/>
      <c r="LKR28" s="204"/>
      <c r="LKS28" s="204"/>
      <c r="LKT28" s="204"/>
      <c r="LKU28" s="204"/>
      <c r="LKV28" s="204"/>
      <c r="LKW28" s="204"/>
      <c r="LKX28" s="204"/>
      <c r="LKY28" s="204"/>
      <c r="LKZ28" s="204"/>
      <c r="LLA28" s="204"/>
      <c r="LLB28" s="204"/>
      <c r="LLC28" s="204"/>
      <c r="LLD28" s="204"/>
      <c r="LLE28" s="204"/>
      <c r="LLF28" s="204"/>
      <c r="LLG28" s="204"/>
      <c r="LLH28" s="204"/>
      <c r="LLI28" s="204"/>
      <c r="LLJ28" s="204"/>
      <c r="LLK28" s="204"/>
      <c r="LLL28" s="204"/>
      <c r="LLM28" s="204"/>
      <c r="LLN28" s="204"/>
      <c r="LLO28" s="204"/>
      <c r="LLP28" s="204"/>
      <c r="LLQ28" s="204"/>
      <c r="LLR28" s="204"/>
      <c r="LLS28" s="204"/>
      <c r="LLT28" s="204"/>
      <c r="LLU28" s="204"/>
      <c r="LLV28" s="204"/>
      <c r="LLW28" s="204"/>
      <c r="LLX28" s="204"/>
      <c r="LLY28" s="204"/>
      <c r="LLZ28" s="204"/>
      <c r="LMA28" s="204"/>
      <c r="LMB28" s="204"/>
      <c r="LMC28" s="204"/>
      <c r="LMD28" s="204"/>
      <c r="LME28" s="204"/>
      <c r="LMF28" s="204"/>
      <c r="LMG28" s="204"/>
      <c r="LMH28" s="204"/>
      <c r="LMI28" s="204"/>
      <c r="LMJ28" s="204"/>
      <c r="LMK28" s="204"/>
      <c r="LML28" s="204"/>
      <c r="LMM28" s="204"/>
      <c r="LMN28" s="204"/>
      <c r="LMO28" s="204"/>
      <c r="LMP28" s="204"/>
      <c r="LMQ28" s="204"/>
      <c r="LMR28" s="204"/>
      <c r="LMS28" s="204"/>
      <c r="LMT28" s="204"/>
      <c r="LMU28" s="204"/>
      <c r="LMV28" s="204"/>
      <c r="LMW28" s="204"/>
      <c r="LMX28" s="204"/>
      <c r="LMY28" s="204"/>
      <c r="LMZ28" s="204"/>
      <c r="LNA28" s="204"/>
      <c r="LNB28" s="204"/>
      <c r="LNC28" s="204"/>
      <c r="LND28" s="204"/>
      <c r="LNE28" s="204"/>
      <c r="LNF28" s="204"/>
      <c r="LNG28" s="204"/>
      <c r="LNH28" s="204"/>
      <c r="LNI28" s="204"/>
      <c r="LNJ28" s="204"/>
      <c r="LNK28" s="204"/>
      <c r="LNL28" s="204"/>
      <c r="LNM28" s="204"/>
      <c r="LNN28" s="204"/>
      <c r="LNO28" s="204"/>
      <c r="LNP28" s="204"/>
      <c r="LNQ28" s="204"/>
      <c r="LNR28" s="204"/>
      <c r="LNS28" s="204"/>
      <c r="LNT28" s="204"/>
      <c r="LNU28" s="204"/>
      <c r="LNV28" s="204"/>
      <c r="LNW28" s="204"/>
      <c r="LNX28" s="204"/>
      <c r="LNY28" s="204"/>
      <c r="LNZ28" s="204"/>
      <c r="LOA28" s="204"/>
      <c r="LOB28" s="204"/>
      <c r="LOC28" s="204"/>
      <c r="LOD28" s="204"/>
      <c r="LOE28" s="204"/>
      <c r="LOF28" s="204"/>
      <c r="LOG28" s="204"/>
      <c r="LOH28" s="204"/>
      <c r="LOI28" s="204"/>
      <c r="LOJ28" s="204"/>
      <c r="LOK28" s="204"/>
      <c r="LOL28" s="204"/>
      <c r="LOM28" s="204"/>
      <c r="LON28" s="204"/>
      <c r="LOO28" s="204"/>
      <c r="LOP28" s="204"/>
      <c r="LOQ28" s="204"/>
      <c r="LOR28" s="204"/>
      <c r="LOS28" s="204"/>
      <c r="LOT28" s="204"/>
      <c r="LOU28" s="204"/>
      <c r="LOV28" s="204"/>
      <c r="LOW28" s="204"/>
      <c r="LOX28" s="204"/>
      <c r="LOY28" s="204"/>
      <c r="LOZ28" s="204"/>
      <c r="LPA28" s="204"/>
      <c r="LPB28" s="204"/>
      <c r="LPC28" s="204"/>
      <c r="LPD28" s="204"/>
      <c r="LPE28" s="204"/>
      <c r="LPF28" s="204"/>
      <c r="LPG28" s="204"/>
      <c r="LPH28" s="204"/>
      <c r="LPI28" s="204"/>
      <c r="LPJ28" s="204"/>
      <c r="LPK28" s="204"/>
      <c r="LPL28" s="204"/>
      <c r="LPM28" s="204"/>
      <c r="LPN28" s="204"/>
      <c r="LPO28" s="204"/>
      <c r="LPP28" s="204"/>
      <c r="LPQ28" s="204"/>
      <c r="LPR28" s="204"/>
      <c r="LPS28" s="204"/>
      <c r="LPT28" s="204"/>
      <c r="LPU28" s="204"/>
      <c r="LPV28" s="204"/>
      <c r="LPW28" s="204"/>
      <c r="LPX28" s="204"/>
      <c r="LPY28" s="204"/>
      <c r="LPZ28" s="204"/>
      <c r="LQA28" s="204"/>
      <c r="LQB28" s="204"/>
      <c r="LQC28" s="204"/>
      <c r="LQD28" s="204"/>
      <c r="LQE28" s="204"/>
      <c r="LQF28" s="204"/>
      <c r="LQG28" s="204"/>
      <c r="LQH28" s="204"/>
      <c r="LQI28" s="204"/>
      <c r="LQJ28" s="204"/>
      <c r="LQK28" s="204"/>
      <c r="LQL28" s="204"/>
      <c r="LQM28" s="204"/>
      <c r="LQN28" s="204"/>
      <c r="LQO28" s="204"/>
      <c r="LQP28" s="204"/>
      <c r="LQQ28" s="204"/>
      <c r="LQR28" s="204"/>
      <c r="LQS28" s="204"/>
      <c r="LQT28" s="204"/>
      <c r="LQU28" s="204"/>
      <c r="LQV28" s="204"/>
      <c r="LQW28" s="204"/>
      <c r="LQX28" s="204"/>
      <c r="LQY28" s="204"/>
      <c r="LQZ28" s="204"/>
      <c r="LRA28" s="204"/>
      <c r="LRB28" s="204"/>
      <c r="LRC28" s="204"/>
      <c r="LRD28" s="204"/>
      <c r="LRE28" s="204"/>
      <c r="LRF28" s="204"/>
      <c r="LRG28" s="204"/>
      <c r="LRH28" s="204"/>
      <c r="LRI28" s="204"/>
      <c r="LRJ28" s="204"/>
      <c r="LRK28" s="204"/>
      <c r="LRL28" s="204"/>
      <c r="LRM28" s="204"/>
      <c r="LRN28" s="204"/>
      <c r="LRO28" s="204"/>
      <c r="LRP28" s="204"/>
      <c r="LRQ28" s="204"/>
      <c r="LRR28" s="204"/>
      <c r="LRS28" s="204"/>
      <c r="LRT28" s="204"/>
      <c r="LRU28" s="204"/>
      <c r="LRV28" s="204"/>
      <c r="LRW28" s="204"/>
      <c r="LRX28" s="204"/>
      <c r="LRY28" s="204"/>
      <c r="LRZ28" s="204"/>
      <c r="LSA28" s="204"/>
      <c r="LSB28" s="204"/>
      <c r="LSC28" s="204"/>
      <c r="LSD28" s="204"/>
      <c r="LSE28" s="204"/>
      <c r="LSF28" s="204"/>
      <c r="LSG28" s="204"/>
      <c r="LSH28" s="204"/>
      <c r="LSI28" s="204"/>
      <c r="LSJ28" s="204"/>
      <c r="LSK28" s="204"/>
      <c r="LSL28" s="204"/>
      <c r="LSM28" s="204"/>
      <c r="LSN28" s="204"/>
      <c r="LSO28" s="204"/>
      <c r="LSP28" s="204"/>
      <c r="LSQ28" s="204"/>
      <c r="LSR28" s="204"/>
      <c r="LSS28" s="204"/>
      <c r="LST28" s="204"/>
      <c r="LSU28" s="204"/>
      <c r="LSV28" s="204"/>
      <c r="LSW28" s="204"/>
      <c r="LSX28" s="204"/>
      <c r="LSY28" s="204"/>
      <c r="LSZ28" s="204"/>
      <c r="LTA28" s="204"/>
      <c r="LTB28" s="204"/>
      <c r="LTC28" s="204"/>
      <c r="LTD28" s="204"/>
      <c r="LTE28" s="204"/>
      <c r="LTF28" s="204"/>
      <c r="LTG28" s="204"/>
      <c r="LTH28" s="204"/>
      <c r="LTI28" s="204"/>
      <c r="LTJ28" s="204"/>
      <c r="LTK28" s="204"/>
      <c r="LTL28" s="204"/>
      <c r="LTM28" s="204"/>
      <c r="LTN28" s="204"/>
      <c r="LTO28" s="204"/>
      <c r="LTP28" s="204"/>
      <c r="LTQ28" s="204"/>
      <c r="LTR28" s="204"/>
      <c r="LTS28" s="204"/>
      <c r="LTT28" s="204"/>
      <c r="LTU28" s="204"/>
      <c r="LTV28" s="204"/>
      <c r="LTW28" s="204"/>
      <c r="LTX28" s="204"/>
      <c r="LTY28" s="204"/>
      <c r="LTZ28" s="204"/>
      <c r="LUA28" s="204"/>
      <c r="LUB28" s="204"/>
      <c r="LUC28" s="204"/>
      <c r="LUD28" s="204"/>
      <c r="LUE28" s="204"/>
      <c r="LUF28" s="204"/>
      <c r="LUG28" s="204"/>
      <c r="LUH28" s="204"/>
      <c r="LUI28" s="204"/>
      <c r="LUJ28" s="204"/>
      <c r="LUK28" s="204"/>
      <c r="LUL28" s="204"/>
      <c r="LUM28" s="204"/>
      <c r="LUN28" s="204"/>
      <c r="LUO28" s="204"/>
      <c r="LUP28" s="204"/>
      <c r="LUQ28" s="204"/>
      <c r="LUR28" s="204"/>
      <c r="LUS28" s="204"/>
      <c r="LUT28" s="204"/>
      <c r="LUU28" s="204"/>
      <c r="LUV28" s="204"/>
      <c r="LUW28" s="204"/>
      <c r="LUX28" s="204"/>
      <c r="LUY28" s="204"/>
      <c r="LUZ28" s="204"/>
      <c r="LVA28" s="204"/>
      <c r="LVB28" s="204"/>
      <c r="LVC28" s="204"/>
      <c r="LVD28" s="204"/>
      <c r="LVE28" s="204"/>
      <c r="LVF28" s="204"/>
      <c r="LVG28" s="204"/>
      <c r="LVH28" s="204"/>
      <c r="LVI28" s="204"/>
      <c r="LVJ28" s="204"/>
      <c r="LVK28" s="204"/>
      <c r="LVL28" s="204"/>
      <c r="LVM28" s="204"/>
      <c r="LVN28" s="204"/>
      <c r="LVO28" s="204"/>
      <c r="LVP28" s="204"/>
      <c r="LVQ28" s="204"/>
      <c r="LVR28" s="204"/>
      <c r="LVS28" s="204"/>
      <c r="LVT28" s="204"/>
      <c r="LVU28" s="204"/>
      <c r="LVV28" s="204"/>
      <c r="LVW28" s="204"/>
      <c r="LVX28" s="204"/>
      <c r="LVY28" s="204"/>
      <c r="LVZ28" s="204"/>
      <c r="LWA28" s="204"/>
      <c r="LWB28" s="204"/>
      <c r="LWC28" s="204"/>
      <c r="LWD28" s="204"/>
      <c r="LWE28" s="204"/>
      <c r="LWF28" s="204"/>
      <c r="LWG28" s="204"/>
      <c r="LWH28" s="204"/>
      <c r="LWI28" s="204"/>
      <c r="LWJ28" s="204"/>
      <c r="LWK28" s="204"/>
      <c r="LWL28" s="204"/>
      <c r="LWM28" s="204"/>
      <c r="LWN28" s="204"/>
      <c r="LWO28" s="204"/>
      <c r="LWP28" s="204"/>
      <c r="LWQ28" s="204"/>
      <c r="LWR28" s="204"/>
      <c r="LWS28" s="204"/>
      <c r="LWT28" s="204"/>
      <c r="LWU28" s="204"/>
      <c r="LWV28" s="204"/>
      <c r="LWW28" s="204"/>
      <c r="LWX28" s="204"/>
      <c r="LWY28" s="204"/>
      <c r="LWZ28" s="204"/>
      <c r="LXA28" s="204"/>
      <c r="LXB28" s="204"/>
      <c r="LXC28" s="204"/>
      <c r="LXD28" s="204"/>
      <c r="LXE28" s="204"/>
      <c r="LXF28" s="204"/>
      <c r="LXG28" s="204"/>
      <c r="LXH28" s="204"/>
      <c r="LXI28" s="204"/>
      <c r="LXJ28" s="204"/>
      <c r="LXK28" s="204"/>
      <c r="LXL28" s="204"/>
      <c r="LXM28" s="204"/>
      <c r="LXN28" s="204"/>
      <c r="LXO28" s="204"/>
      <c r="LXP28" s="204"/>
      <c r="LXQ28" s="204"/>
      <c r="LXR28" s="204"/>
      <c r="LXS28" s="204"/>
      <c r="LXT28" s="204"/>
      <c r="LXU28" s="204"/>
      <c r="LXV28" s="204"/>
      <c r="LXW28" s="204"/>
      <c r="LXX28" s="204"/>
      <c r="LXY28" s="204"/>
      <c r="LXZ28" s="204"/>
      <c r="LYA28" s="204"/>
      <c r="LYB28" s="204"/>
      <c r="LYC28" s="204"/>
      <c r="LYD28" s="204"/>
      <c r="LYE28" s="204"/>
      <c r="LYF28" s="204"/>
      <c r="LYG28" s="204"/>
      <c r="LYH28" s="204"/>
      <c r="LYI28" s="204"/>
      <c r="LYJ28" s="204"/>
      <c r="LYK28" s="204"/>
      <c r="LYL28" s="204"/>
      <c r="LYM28" s="204"/>
      <c r="LYN28" s="204"/>
      <c r="LYO28" s="204"/>
      <c r="LYP28" s="204"/>
      <c r="LYQ28" s="204"/>
      <c r="LYR28" s="204"/>
      <c r="LYS28" s="204"/>
      <c r="LYT28" s="204"/>
      <c r="LYU28" s="204"/>
      <c r="LYV28" s="204"/>
      <c r="LYW28" s="204"/>
      <c r="LYX28" s="204"/>
      <c r="LYY28" s="204"/>
      <c r="LYZ28" s="204"/>
      <c r="LZA28" s="204"/>
      <c r="LZB28" s="204"/>
      <c r="LZC28" s="204"/>
      <c r="LZD28" s="204"/>
      <c r="LZE28" s="204"/>
      <c r="LZF28" s="204"/>
      <c r="LZG28" s="204"/>
      <c r="LZH28" s="204"/>
      <c r="LZI28" s="204"/>
      <c r="LZJ28" s="204"/>
      <c r="LZK28" s="204"/>
      <c r="LZL28" s="204"/>
      <c r="LZM28" s="204"/>
      <c r="LZN28" s="204"/>
      <c r="LZO28" s="204"/>
      <c r="LZP28" s="204"/>
      <c r="LZQ28" s="204"/>
      <c r="LZR28" s="204"/>
      <c r="LZS28" s="204"/>
      <c r="LZT28" s="204"/>
      <c r="LZU28" s="204"/>
      <c r="LZV28" s="204"/>
      <c r="LZW28" s="204"/>
      <c r="LZX28" s="204"/>
      <c r="LZY28" s="204"/>
      <c r="LZZ28" s="204"/>
      <c r="MAA28" s="204"/>
      <c r="MAB28" s="204"/>
      <c r="MAC28" s="204"/>
      <c r="MAD28" s="204"/>
      <c r="MAE28" s="204"/>
      <c r="MAF28" s="204"/>
      <c r="MAG28" s="204"/>
      <c r="MAH28" s="204"/>
      <c r="MAI28" s="204"/>
      <c r="MAJ28" s="204"/>
      <c r="MAK28" s="204"/>
      <c r="MAL28" s="204"/>
      <c r="MAM28" s="204"/>
      <c r="MAN28" s="204"/>
      <c r="MAO28" s="204"/>
      <c r="MAP28" s="204"/>
      <c r="MAQ28" s="204"/>
      <c r="MAR28" s="204"/>
      <c r="MAS28" s="204"/>
      <c r="MAT28" s="204"/>
      <c r="MAU28" s="204"/>
      <c r="MAV28" s="204"/>
      <c r="MAW28" s="204"/>
      <c r="MAX28" s="204"/>
      <c r="MAY28" s="204"/>
      <c r="MAZ28" s="204"/>
      <c r="MBA28" s="204"/>
      <c r="MBB28" s="204"/>
      <c r="MBC28" s="204"/>
      <c r="MBD28" s="204"/>
      <c r="MBE28" s="204"/>
      <c r="MBF28" s="204"/>
      <c r="MBG28" s="204"/>
      <c r="MBH28" s="204"/>
      <c r="MBI28" s="204"/>
      <c r="MBJ28" s="204"/>
      <c r="MBK28" s="204"/>
      <c r="MBL28" s="204"/>
      <c r="MBM28" s="204"/>
      <c r="MBN28" s="204"/>
      <c r="MBO28" s="204"/>
      <c r="MBP28" s="204"/>
      <c r="MBQ28" s="204"/>
      <c r="MBR28" s="204"/>
      <c r="MBS28" s="204"/>
      <c r="MBT28" s="204"/>
      <c r="MBU28" s="204"/>
      <c r="MBV28" s="204"/>
      <c r="MBW28" s="204"/>
      <c r="MBX28" s="204"/>
      <c r="MBY28" s="204"/>
      <c r="MBZ28" s="204"/>
      <c r="MCA28" s="204"/>
      <c r="MCB28" s="204"/>
      <c r="MCC28" s="204"/>
      <c r="MCD28" s="204"/>
      <c r="MCE28" s="204"/>
      <c r="MCF28" s="204"/>
      <c r="MCG28" s="204"/>
      <c r="MCH28" s="204"/>
      <c r="MCI28" s="204"/>
      <c r="MCJ28" s="204"/>
      <c r="MCK28" s="204"/>
      <c r="MCL28" s="204"/>
      <c r="MCM28" s="204"/>
      <c r="MCN28" s="204"/>
      <c r="MCO28" s="204"/>
      <c r="MCP28" s="204"/>
      <c r="MCQ28" s="204"/>
      <c r="MCR28" s="204"/>
      <c r="MCS28" s="204"/>
      <c r="MCT28" s="204"/>
      <c r="MCU28" s="204"/>
      <c r="MCV28" s="204"/>
      <c r="MCW28" s="204"/>
      <c r="MCX28" s="204"/>
      <c r="MCY28" s="204"/>
      <c r="MCZ28" s="204"/>
      <c r="MDA28" s="204"/>
      <c r="MDB28" s="204"/>
      <c r="MDC28" s="204"/>
      <c r="MDD28" s="204"/>
      <c r="MDE28" s="204"/>
      <c r="MDF28" s="204"/>
      <c r="MDG28" s="204"/>
      <c r="MDH28" s="204"/>
      <c r="MDI28" s="204"/>
      <c r="MDJ28" s="204"/>
      <c r="MDK28" s="204"/>
      <c r="MDL28" s="204"/>
      <c r="MDM28" s="204"/>
      <c r="MDN28" s="204"/>
      <c r="MDO28" s="204"/>
      <c r="MDP28" s="204"/>
      <c r="MDQ28" s="204"/>
      <c r="MDR28" s="204"/>
      <c r="MDS28" s="204"/>
      <c r="MDT28" s="204"/>
      <c r="MDU28" s="204"/>
      <c r="MDV28" s="204"/>
      <c r="MDW28" s="204"/>
      <c r="MDX28" s="204"/>
      <c r="MDY28" s="204"/>
      <c r="MDZ28" s="204"/>
      <c r="MEA28" s="204"/>
      <c r="MEB28" s="204"/>
      <c r="MEC28" s="204"/>
      <c r="MED28" s="204"/>
      <c r="MEE28" s="204"/>
      <c r="MEF28" s="204"/>
      <c r="MEG28" s="204"/>
      <c r="MEH28" s="204"/>
      <c r="MEI28" s="204"/>
      <c r="MEJ28" s="204"/>
      <c r="MEK28" s="204"/>
      <c r="MEL28" s="204"/>
      <c r="MEM28" s="204"/>
      <c r="MEN28" s="204"/>
      <c r="MEO28" s="204"/>
      <c r="MEP28" s="204"/>
      <c r="MEQ28" s="204"/>
      <c r="MER28" s="204"/>
      <c r="MES28" s="204"/>
      <c r="MET28" s="204"/>
      <c r="MEU28" s="204"/>
      <c r="MEV28" s="204"/>
      <c r="MEW28" s="204"/>
      <c r="MEX28" s="204"/>
      <c r="MEY28" s="204"/>
      <c r="MEZ28" s="204"/>
      <c r="MFA28" s="204"/>
      <c r="MFB28" s="204"/>
      <c r="MFC28" s="204"/>
      <c r="MFD28" s="204"/>
      <c r="MFE28" s="204"/>
      <c r="MFF28" s="204"/>
      <c r="MFG28" s="204"/>
      <c r="MFH28" s="204"/>
      <c r="MFI28" s="204"/>
      <c r="MFJ28" s="204"/>
      <c r="MFK28" s="204"/>
      <c r="MFL28" s="204"/>
      <c r="MFM28" s="204"/>
      <c r="MFN28" s="204"/>
      <c r="MFO28" s="204"/>
      <c r="MFP28" s="204"/>
      <c r="MFQ28" s="204"/>
      <c r="MFR28" s="204"/>
      <c r="MFS28" s="204"/>
      <c r="MFT28" s="204"/>
      <c r="MFU28" s="204"/>
      <c r="MFV28" s="204"/>
      <c r="MFW28" s="204"/>
      <c r="MFX28" s="204"/>
      <c r="MFY28" s="204"/>
      <c r="MFZ28" s="204"/>
      <c r="MGA28" s="204"/>
      <c r="MGB28" s="204"/>
      <c r="MGC28" s="204"/>
      <c r="MGD28" s="204"/>
      <c r="MGE28" s="204"/>
      <c r="MGF28" s="204"/>
      <c r="MGG28" s="204"/>
      <c r="MGH28" s="204"/>
      <c r="MGI28" s="204"/>
      <c r="MGJ28" s="204"/>
      <c r="MGK28" s="204"/>
      <c r="MGL28" s="204"/>
      <c r="MGM28" s="204"/>
      <c r="MGN28" s="204"/>
      <c r="MGO28" s="204"/>
      <c r="MGP28" s="204"/>
      <c r="MGQ28" s="204"/>
      <c r="MGR28" s="204"/>
      <c r="MGS28" s="204"/>
      <c r="MGT28" s="204"/>
      <c r="MGU28" s="204"/>
      <c r="MGV28" s="204"/>
      <c r="MGW28" s="204"/>
      <c r="MGX28" s="204"/>
      <c r="MGY28" s="204"/>
      <c r="MGZ28" s="204"/>
      <c r="MHA28" s="204"/>
      <c r="MHB28" s="204"/>
      <c r="MHC28" s="204"/>
      <c r="MHD28" s="204"/>
      <c r="MHE28" s="204"/>
      <c r="MHF28" s="204"/>
      <c r="MHG28" s="204"/>
      <c r="MHH28" s="204"/>
      <c r="MHI28" s="204"/>
      <c r="MHJ28" s="204"/>
      <c r="MHK28" s="204"/>
      <c r="MHL28" s="204"/>
      <c r="MHM28" s="204"/>
      <c r="MHN28" s="204"/>
      <c r="MHO28" s="204"/>
      <c r="MHP28" s="204"/>
      <c r="MHQ28" s="204"/>
      <c r="MHR28" s="204"/>
      <c r="MHS28" s="204"/>
      <c r="MHT28" s="204"/>
      <c r="MHU28" s="204"/>
      <c r="MHV28" s="204"/>
      <c r="MHW28" s="204"/>
      <c r="MHX28" s="204"/>
      <c r="MHY28" s="204"/>
      <c r="MHZ28" s="204"/>
      <c r="MIA28" s="204"/>
      <c r="MIB28" s="204"/>
      <c r="MIC28" s="204"/>
      <c r="MID28" s="204"/>
      <c r="MIE28" s="204"/>
      <c r="MIF28" s="204"/>
      <c r="MIG28" s="204"/>
      <c r="MIH28" s="204"/>
      <c r="MII28" s="204"/>
      <c r="MIJ28" s="204"/>
      <c r="MIK28" s="204"/>
      <c r="MIL28" s="204"/>
      <c r="MIM28" s="204"/>
      <c r="MIN28" s="204"/>
      <c r="MIO28" s="204"/>
      <c r="MIP28" s="204"/>
      <c r="MIQ28" s="204"/>
      <c r="MIR28" s="204"/>
      <c r="MIS28" s="204"/>
      <c r="MIT28" s="204"/>
      <c r="MIU28" s="204"/>
      <c r="MIV28" s="204"/>
      <c r="MIW28" s="204"/>
      <c r="MIX28" s="204"/>
      <c r="MIY28" s="204"/>
      <c r="MIZ28" s="204"/>
      <c r="MJA28" s="204"/>
      <c r="MJB28" s="204"/>
      <c r="MJC28" s="204"/>
      <c r="MJD28" s="204"/>
      <c r="MJE28" s="204"/>
      <c r="MJF28" s="204"/>
      <c r="MJG28" s="204"/>
      <c r="MJH28" s="204"/>
      <c r="MJI28" s="204"/>
      <c r="MJJ28" s="204"/>
      <c r="MJK28" s="204"/>
      <c r="MJL28" s="204"/>
      <c r="MJM28" s="204"/>
      <c r="MJN28" s="204"/>
      <c r="MJO28" s="204"/>
      <c r="MJP28" s="204"/>
      <c r="MJQ28" s="204"/>
      <c r="MJR28" s="204"/>
      <c r="MJS28" s="204"/>
      <c r="MJT28" s="204"/>
      <c r="MJU28" s="204"/>
      <c r="MJV28" s="204"/>
      <c r="MJW28" s="204"/>
      <c r="MJX28" s="204"/>
      <c r="MJY28" s="204"/>
      <c r="MJZ28" s="204"/>
      <c r="MKA28" s="204"/>
      <c r="MKB28" s="204"/>
      <c r="MKC28" s="204"/>
      <c r="MKD28" s="204"/>
      <c r="MKE28" s="204"/>
      <c r="MKF28" s="204"/>
      <c r="MKG28" s="204"/>
      <c r="MKH28" s="204"/>
      <c r="MKI28" s="204"/>
      <c r="MKJ28" s="204"/>
      <c r="MKK28" s="204"/>
      <c r="MKL28" s="204"/>
      <c r="MKM28" s="204"/>
      <c r="MKN28" s="204"/>
      <c r="MKO28" s="204"/>
      <c r="MKP28" s="204"/>
      <c r="MKQ28" s="204"/>
      <c r="MKR28" s="204"/>
      <c r="MKS28" s="204"/>
      <c r="MKT28" s="204"/>
      <c r="MKU28" s="204"/>
      <c r="MKV28" s="204"/>
      <c r="MKW28" s="204"/>
      <c r="MKX28" s="204"/>
      <c r="MKY28" s="204"/>
      <c r="MKZ28" s="204"/>
      <c r="MLA28" s="204"/>
      <c r="MLB28" s="204"/>
      <c r="MLC28" s="204"/>
      <c r="MLD28" s="204"/>
      <c r="MLE28" s="204"/>
      <c r="MLF28" s="204"/>
      <c r="MLG28" s="204"/>
      <c r="MLH28" s="204"/>
      <c r="MLI28" s="204"/>
      <c r="MLJ28" s="204"/>
      <c r="MLK28" s="204"/>
      <c r="MLL28" s="204"/>
      <c r="MLM28" s="204"/>
      <c r="MLN28" s="204"/>
      <c r="MLO28" s="204"/>
      <c r="MLP28" s="204"/>
      <c r="MLQ28" s="204"/>
      <c r="MLR28" s="204"/>
      <c r="MLS28" s="204"/>
      <c r="MLT28" s="204"/>
      <c r="MLU28" s="204"/>
      <c r="MLV28" s="204"/>
      <c r="MLW28" s="204"/>
      <c r="MLX28" s="204"/>
      <c r="MLY28" s="204"/>
      <c r="MLZ28" s="204"/>
      <c r="MMA28" s="204"/>
      <c r="MMB28" s="204"/>
      <c r="MMC28" s="204"/>
      <c r="MMD28" s="204"/>
      <c r="MME28" s="204"/>
      <c r="MMF28" s="204"/>
      <c r="MMG28" s="204"/>
      <c r="MMH28" s="204"/>
      <c r="MMI28" s="204"/>
      <c r="MMJ28" s="204"/>
      <c r="MMK28" s="204"/>
      <c r="MML28" s="204"/>
      <c r="MMM28" s="204"/>
      <c r="MMN28" s="204"/>
      <c r="MMO28" s="204"/>
      <c r="MMP28" s="204"/>
      <c r="MMQ28" s="204"/>
      <c r="MMR28" s="204"/>
      <c r="MMS28" s="204"/>
      <c r="MMT28" s="204"/>
      <c r="MMU28" s="204"/>
      <c r="MMV28" s="204"/>
      <c r="MMW28" s="204"/>
      <c r="MMX28" s="204"/>
      <c r="MMY28" s="204"/>
      <c r="MMZ28" s="204"/>
      <c r="MNA28" s="204"/>
      <c r="MNB28" s="204"/>
      <c r="MNC28" s="204"/>
      <c r="MND28" s="204"/>
      <c r="MNE28" s="204"/>
      <c r="MNF28" s="204"/>
      <c r="MNG28" s="204"/>
      <c r="MNH28" s="204"/>
      <c r="MNI28" s="204"/>
      <c r="MNJ28" s="204"/>
      <c r="MNK28" s="204"/>
      <c r="MNL28" s="204"/>
      <c r="MNM28" s="204"/>
      <c r="MNN28" s="204"/>
      <c r="MNO28" s="204"/>
      <c r="MNP28" s="204"/>
      <c r="MNQ28" s="204"/>
      <c r="MNR28" s="204"/>
      <c r="MNS28" s="204"/>
      <c r="MNT28" s="204"/>
      <c r="MNU28" s="204"/>
      <c r="MNV28" s="204"/>
      <c r="MNW28" s="204"/>
      <c r="MNX28" s="204"/>
      <c r="MNY28" s="204"/>
      <c r="MNZ28" s="204"/>
      <c r="MOA28" s="204"/>
      <c r="MOB28" s="204"/>
      <c r="MOC28" s="204"/>
      <c r="MOD28" s="204"/>
      <c r="MOE28" s="204"/>
      <c r="MOF28" s="204"/>
      <c r="MOG28" s="204"/>
      <c r="MOH28" s="204"/>
      <c r="MOI28" s="204"/>
      <c r="MOJ28" s="204"/>
      <c r="MOK28" s="204"/>
      <c r="MOL28" s="204"/>
      <c r="MOM28" s="204"/>
      <c r="MON28" s="204"/>
      <c r="MOO28" s="204"/>
      <c r="MOP28" s="204"/>
      <c r="MOQ28" s="204"/>
      <c r="MOR28" s="204"/>
      <c r="MOS28" s="204"/>
      <c r="MOT28" s="204"/>
      <c r="MOU28" s="204"/>
      <c r="MOV28" s="204"/>
      <c r="MOW28" s="204"/>
      <c r="MOX28" s="204"/>
      <c r="MOY28" s="204"/>
      <c r="MOZ28" s="204"/>
      <c r="MPA28" s="204"/>
      <c r="MPB28" s="204"/>
      <c r="MPC28" s="204"/>
      <c r="MPD28" s="204"/>
      <c r="MPE28" s="204"/>
      <c r="MPF28" s="204"/>
      <c r="MPG28" s="204"/>
      <c r="MPH28" s="204"/>
      <c r="MPI28" s="204"/>
      <c r="MPJ28" s="204"/>
      <c r="MPK28" s="204"/>
      <c r="MPL28" s="204"/>
      <c r="MPM28" s="204"/>
      <c r="MPN28" s="204"/>
      <c r="MPO28" s="204"/>
      <c r="MPP28" s="204"/>
      <c r="MPQ28" s="204"/>
      <c r="MPR28" s="204"/>
      <c r="MPS28" s="204"/>
      <c r="MPT28" s="204"/>
      <c r="MPU28" s="204"/>
      <c r="MPV28" s="204"/>
      <c r="MPW28" s="204"/>
      <c r="MPX28" s="204"/>
      <c r="MPY28" s="204"/>
      <c r="MPZ28" s="204"/>
      <c r="MQA28" s="204"/>
      <c r="MQB28" s="204"/>
      <c r="MQC28" s="204"/>
      <c r="MQD28" s="204"/>
      <c r="MQE28" s="204"/>
      <c r="MQF28" s="204"/>
      <c r="MQG28" s="204"/>
      <c r="MQH28" s="204"/>
      <c r="MQI28" s="204"/>
      <c r="MQJ28" s="204"/>
      <c r="MQK28" s="204"/>
      <c r="MQL28" s="204"/>
      <c r="MQM28" s="204"/>
      <c r="MQN28" s="204"/>
      <c r="MQO28" s="204"/>
      <c r="MQP28" s="204"/>
      <c r="MQQ28" s="204"/>
      <c r="MQR28" s="204"/>
      <c r="MQS28" s="204"/>
      <c r="MQT28" s="204"/>
      <c r="MQU28" s="204"/>
      <c r="MQV28" s="204"/>
      <c r="MQW28" s="204"/>
      <c r="MQX28" s="204"/>
      <c r="MQY28" s="204"/>
      <c r="MQZ28" s="204"/>
      <c r="MRA28" s="204"/>
      <c r="MRB28" s="204"/>
      <c r="MRC28" s="204"/>
      <c r="MRD28" s="204"/>
      <c r="MRE28" s="204"/>
      <c r="MRF28" s="204"/>
      <c r="MRG28" s="204"/>
      <c r="MRH28" s="204"/>
      <c r="MRI28" s="204"/>
      <c r="MRJ28" s="204"/>
      <c r="MRK28" s="204"/>
      <c r="MRL28" s="204"/>
      <c r="MRM28" s="204"/>
      <c r="MRN28" s="204"/>
      <c r="MRO28" s="204"/>
      <c r="MRP28" s="204"/>
      <c r="MRQ28" s="204"/>
      <c r="MRR28" s="204"/>
      <c r="MRS28" s="204"/>
      <c r="MRT28" s="204"/>
      <c r="MRU28" s="204"/>
      <c r="MRV28" s="204"/>
      <c r="MRW28" s="204"/>
      <c r="MRX28" s="204"/>
      <c r="MRY28" s="204"/>
      <c r="MRZ28" s="204"/>
      <c r="MSA28" s="204"/>
      <c r="MSB28" s="204"/>
      <c r="MSC28" s="204"/>
      <c r="MSD28" s="204"/>
      <c r="MSE28" s="204"/>
      <c r="MSF28" s="204"/>
      <c r="MSG28" s="204"/>
      <c r="MSH28" s="204"/>
      <c r="MSI28" s="204"/>
      <c r="MSJ28" s="204"/>
      <c r="MSK28" s="204"/>
      <c r="MSL28" s="204"/>
      <c r="MSM28" s="204"/>
      <c r="MSN28" s="204"/>
      <c r="MSO28" s="204"/>
      <c r="MSP28" s="204"/>
      <c r="MSQ28" s="204"/>
      <c r="MSR28" s="204"/>
      <c r="MSS28" s="204"/>
      <c r="MST28" s="204"/>
      <c r="MSU28" s="204"/>
      <c r="MSV28" s="204"/>
      <c r="MSW28" s="204"/>
      <c r="MSX28" s="204"/>
      <c r="MSY28" s="204"/>
      <c r="MSZ28" s="204"/>
      <c r="MTA28" s="204"/>
      <c r="MTB28" s="204"/>
      <c r="MTC28" s="204"/>
      <c r="MTD28" s="204"/>
      <c r="MTE28" s="204"/>
      <c r="MTF28" s="204"/>
      <c r="MTG28" s="204"/>
      <c r="MTH28" s="204"/>
      <c r="MTI28" s="204"/>
      <c r="MTJ28" s="204"/>
      <c r="MTK28" s="204"/>
      <c r="MTL28" s="204"/>
      <c r="MTM28" s="204"/>
      <c r="MTN28" s="204"/>
      <c r="MTO28" s="204"/>
      <c r="MTP28" s="204"/>
      <c r="MTQ28" s="204"/>
      <c r="MTR28" s="204"/>
      <c r="MTS28" s="204"/>
      <c r="MTT28" s="204"/>
      <c r="MTU28" s="204"/>
      <c r="MTV28" s="204"/>
      <c r="MTW28" s="204"/>
      <c r="MTX28" s="204"/>
      <c r="MTY28" s="204"/>
      <c r="MTZ28" s="204"/>
      <c r="MUA28" s="204"/>
      <c r="MUB28" s="204"/>
      <c r="MUC28" s="204"/>
      <c r="MUD28" s="204"/>
      <c r="MUE28" s="204"/>
      <c r="MUF28" s="204"/>
      <c r="MUG28" s="204"/>
      <c r="MUH28" s="204"/>
      <c r="MUI28" s="204"/>
      <c r="MUJ28" s="204"/>
      <c r="MUK28" s="204"/>
      <c r="MUL28" s="204"/>
      <c r="MUM28" s="204"/>
      <c r="MUN28" s="204"/>
      <c r="MUO28" s="204"/>
      <c r="MUP28" s="204"/>
      <c r="MUQ28" s="204"/>
      <c r="MUR28" s="204"/>
      <c r="MUS28" s="204"/>
      <c r="MUT28" s="204"/>
      <c r="MUU28" s="204"/>
      <c r="MUV28" s="204"/>
      <c r="MUW28" s="204"/>
      <c r="MUX28" s="204"/>
      <c r="MUY28" s="204"/>
      <c r="MUZ28" s="204"/>
      <c r="MVA28" s="204"/>
      <c r="MVB28" s="204"/>
      <c r="MVC28" s="204"/>
      <c r="MVD28" s="204"/>
      <c r="MVE28" s="204"/>
      <c r="MVF28" s="204"/>
      <c r="MVG28" s="204"/>
      <c r="MVH28" s="204"/>
      <c r="MVI28" s="204"/>
      <c r="MVJ28" s="204"/>
      <c r="MVK28" s="204"/>
      <c r="MVL28" s="204"/>
      <c r="MVM28" s="204"/>
      <c r="MVN28" s="204"/>
      <c r="MVO28" s="204"/>
      <c r="MVP28" s="204"/>
      <c r="MVQ28" s="204"/>
      <c r="MVR28" s="204"/>
      <c r="MVS28" s="204"/>
      <c r="MVT28" s="204"/>
      <c r="MVU28" s="204"/>
      <c r="MVV28" s="204"/>
      <c r="MVW28" s="204"/>
      <c r="MVX28" s="204"/>
      <c r="MVY28" s="204"/>
      <c r="MVZ28" s="204"/>
      <c r="MWA28" s="204"/>
      <c r="MWB28" s="204"/>
      <c r="MWC28" s="204"/>
      <c r="MWD28" s="204"/>
      <c r="MWE28" s="204"/>
      <c r="MWF28" s="204"/>
      <c r="MWG28" s="204"/>
      <c r="MWH28" s="204"/>
      <c r="MWI28" s="204"/>
      <c r="MWJ28" s="204"/>
      <c r="MWK28" s="204"/>
      <c r="MWL28" s="204"/>
      <c r="MWM28" s="204"/>
      <c r="MWN28" s="204"/>
      <c r="MWO28" s="204"/>
      <c r="MWP28" s="204"/>
      <c r="MWQ28" s="204"/>
      <c r="MWR28" s="204"/>
      <c r="MWS28" s="204"/>
      <c r="MWT28" s="204"/>
      <c r="MWU28" s="204"/>
      <c r="MWV28" s="204"/>
      <c r="MWW28" s="204"/>
      <c r="MWX28" s="204"/>
      <c r="MWY28" s="204"/>
      <c r="MWZ28" s="204"/>
      <c r="MXA28" s="204"/>
      <c r="MXB28" s="204"/>
      <c r="MXC28" s="204"/>
      <c r="MXD28" s="204"/>
      <c r="MXE28" s="204"/>
      <c r="MXF28" s="204"/>
      <c r="MXG28" s="204"/>
      <c r="MXH28" s="204"/>
      <c r="MXI28" s="204"/>
      <c r="MXJ28" s="204"/>
      <c r="MXK28" s="204"/>
      <c r="MXL28" s="204"/>
      <c r="MXM28" s="204"/>
      <c r="MXN28" s="204"/>
      <c r="MXO28" s="204"/>
      <c r="MXP28" s="204"/>
      <c r="MXQ28" s="204"/>
      <c r="MXR28" s="204"/>
      <c r="MXS28" s="204"/>
      <c r="MXT28" s="204"/>
      <c r="MXU28" s="204"/>
      <c r="MXV28" s="204"/>
      <c r="MXW28" s="204"/>
      <c r="MXX28" s="204"/>
      <c r="MXY28" s="204"/>
      <c r="MXZ28" s="204"/>
      <c r="MYA28" s="204"/>
      <c r="MYB28" s="204"/>
      <c r="MYC28" s="204"/>
      <c r="MYD28" s="204"/>
      <c r="MYE28" s="204"/>
      <c r="MYF28" s="204"/>
      <c r="MYG28" s="204"/>
      <c r="MYH28" s="204"/>
      <c r="MYI28" s="204"/>
      <c r="MYJ28" s="204"/>
      <c r="MYK28" s="204"/>
      <c r="MYL28" s="204"/>
      <c r="MYM28" s="204"/>
      <c r="MYN28" s="204"/>
      <c r="MYO28" s="204"/>
      <c r="MYP28" s="204"/>
      <c r="MYQ28" s="204"/>
      <c r="MYR28" s="204"/>
      <c r="MYS28" s="204"/>
      <c r="MYT28" s="204"/>
      <c r="MYU28" s="204"/>
      <c r="MYV28" s="204"/>
      <c r="MYW28" s="204"/>
      <c r="MYX28" s="204"/>
      <c r="MYY28" s="204"/>
      <c r="MYZ28" s="204"/>
      <c r="MZA28" s="204"/>
      <c r="MZB28" s="204"/>
      <c r="MZC28" s="204"/>
      <c r="MZD28" s="204"/>
      <c r="MZE28" s="204"/>
      <c r="MZF28" s="204"/>
      <c r="MZG28" s="204"/>
      <c r="MZH28" s="204"/>
      <c r="MZI28" s="204"/>
      <c r="MZJ28" s="204"/>
      <c r="MZK28" s="204"/>
      <c r="MZL28" s="204"/>
      <c r="MZM28" s="204"/>
      <c r="MZN28" s="204"/>
      <c r="MZO28" s="204"/>
      <c r="MZP28" s="204"/>
      <c r="MZQ28" s="204"/>
      <c r="MZR28" s="204"/>
      <c r="MZS28" s="204"/>
      <c r="MZT28" s="204"/>
      <c r="MZU28" s="204"/>
      <c r="MZV28" s="204"/>
      <c r="MZW28" s="204"/>
      <c r="MZX28" s="204"/>
      <c r="MZY28" s="204"/>
      <c r="MZZ28" s="204"/>
      <c r="NAA28" s="204"/>
      <c r="NAB28" s="204"/>
      <c r="NAC28" s="204"/>
      <c r="NAD28" s="204"/>
      <c r="NAE28" s="204"/>
      <c r="NAF28" s="204"/>
      <c r="NAG28" s="204"/>
      <c r="NAH28" s="204"/>
      <c r="NAI28" s="204"/>
      <c r="NAJ28" s="204"/>
      <c r="NAK28" s="204"/>
      <c r="NAL28" s="204"/>
      <c r="NAM28" s="204"/>
      <c r="NAN28" s="204"/>
      <c r="NAO28" s="204"/>
      <c r="NAP28" s="204"/>
      <c r="NAQ28" s="204"/>
      <c r="NAR28" s="204"/>
      <c r="NAS28" s="204"/>
      <c r="NAT28" s="204"/>
      <c r="NAU28" s="204"/>
      <c r="NAV28" s="204"/>
      <c r="NAW28" s="204"/>
      <c r="NAX28" s="204"/>
      <c r="NAY28" s="204"/>
      <c r="NAZ28" s="204"/>
      <c r="NBA28" s="204"/>
      <c r="NBB28" s="204"/>
      <c r="NBC28" s="204"/>
      <c r="NBD28" s="204"/>
      <c r="NBE28" s="204"/>
      <c r="NBF28" s="204"/>
      <c r="NBG28" s="204"/>
      <c r="NBH28" s="204"/>
      <c r="NBI28" s="204"/>
      <c r="NBJ28" s="204"/>
      <c r="NBK28" s="204"/>
      <c r="NBL28" s="204"/>
      <c r="NBM28" s="204"/>
      <c r="NBN28" s="204"/>
      <c r="NBO28" s="204"/>
      <c r="NBP28" s="204"/>
      <c r="NBQ28" s="204"/>
      <c r="NBR28" s="204"/>
      <c r="NBS28" s="204"/>
      <c r="NBT28" s="204"/>
      <c r="NBU28" s="204"/>
      <c r="NBV28" s="204"/>
      <c r="NBW28" s="204"/>
      <c r="NBX28" s="204"/>
      <c r="NBY28" s="204"/>
      <c r="NBZ28" s="204"/>
      <c r="NCA28" s="204"/>
      <c r="NCB28" s="204"/>
      <c r="NCC28" s="204"/>
      <c r="NCD28" s="204"/>
      <c r="NCE28" s="204"/>
      <c r="NCF28" s="204"/>
      <c r="NCG28" s="204"/>
      <c r="NCH28" s="204"/>
      <c r="NCI28" s="204"/>
      <c r="NCJ28" s="204"/>
      <c r="NCK28" s="204"/>
      <c r="NCL28" s="204"/>
      <c r="NCM28" s="204"/>
      <c r="NCN28" s="204"/>
      <c r="NCO28" s="204"/>
      <c r="NCP28" s="204"/>
      <c r="NCQ28" s="204"/>
      <c r="NCR28" s="204"/>
      <c r="NCS28" s="204"/>
      <c r="NCT28" s="204"/>
      <c r="NCU28" s="204"/>
      <c r="NCV28" s="204"/>
      <c r="NCW28" s="204"/>
      <c r="NCX28" s="204"/>
      <c r="NCY28" s="204"/>
      <c r="NCZ28" s="204"/>
      <c r="NDA28" s="204"/>
      <c r="NDB28" s="204"/>
      <c r="NDC28" s="204"/>
      <c r="NDD28" s="204"/>
      <c r="NDE28" s="204"/>
      <c r="NDF28" s="204"/>
      <c r="NDG28" s="204"/>
      <c r="NDH28" s="204"/>
      <c r="NDI28" s="204"/>
      <c r="NDJ28" s="204"/>
      <c r="NDK28" s="204"/>
      <c r="NDL28" s="204"/>
      <c r="NDM28" s="204"/>
      <c r="NDN28" s="204"/>
      <c r="NDO28" s="204"/>
      <c r="NDP28" s="204"/>
      <c r="NDQ28" s="204"/>
      <c r="NDR28" s="204"/>
      <c r="NDS28" s="204"/>
      <c r="NDT28" s="204"/>
      <c r="NDU28" s="204"/>
      <c r="NDV28" s="204"/>
      <c r="NDW28" s="204"/>
      <c r="NDX28" s="204"/>
      <c r="NDY28" s="204"/>
      <c r="NDZ28" s="204"/>
      <c r="NEA28" s="204"/>
      <c r="NEB28" s="204"/>
      <c r="NEC28" s="204"/>
      <c r="NED28" s="204"/>
      <c r="NEE28" s="204"/>
      <c r="NEF28" s="204"/>
      <c r="NEG28" s="204"/>
      <c r="NEH28" s="204"/>
      <c r="NEI28" s="204"/>
      <c r="NEJ28" s="204"/>
      <c r="NEK28" s="204"/>
      <c r="NEL28" s="204"/>
      <c r="NEM28" s="204"/>
      <c r="NEN28" s="204"/>
      <c r="NEO28" s="204"/>
      <c r="NEP28" s="204"/>
      <c r="NEQ28" s="204"/>
      <c r="NER28" s="204"/>
      <c r="NES28" s="204"/>
      <c r="NET28" s="204"/>
      <c r="NEU28" s="204"/>
      <c r="NEV28" s="204"/>
      <c r="NEW28" s="204"/>
      <c r="NEX28" s="204"/>
      <c r="NEY28" s="204"/>
      <c r="NEZ28" s="204"/>
      <c r="NFA28" s="204"/>
      <c r="NFB28" s="204"/>
      <c r="NFC28" s="204"/>
      <c r="NFD28" s="204"/>
      <c r="NFE28" s="204"/>
      <c r="NFF28" s="204"/>
      <c r="NFG28" s="204"/>
      <c r="NFH28" s="204"/>
      <c r="NFI28" s="204"/>
      <c r="NFJ28" s="204"/>
      <c r="NFK28" s="204"/>
      <c r="NFL28" s="204"/>
      <c r="NFM28" s="204"/>
      <c r="NFN28" s="204"/>
      <c r="NFO28" s="204"/>
      <c r="NFP28" s="204"/>
      <c r="NFQ28" s="204"/>
      <c r="NFR28" s="204"/>
      <c r="NFS28" s="204"/>
      <c r="NFT28" s="204"/>
      <c r="NFU28" s="204"/>
      <c r="NFV28" s="204"/>
      <c r="NFW28" s="204"/>
      <c r="NFX28" s="204"/>
      <c r="NFY28" s="204"/>
      <c r="NFZ28" s="204"/>
      <c r="NGA28" s="204"/>
      <c r="NGB28" s="204"/>
      <c r="NGC28" s="204"/>
      <c r="NGD28" s="204"/>
      <c r="NGE28" s="204"/>
      <c r="NGF28" s="204"/>
      <c r="NGG28" s="204"/>
      <c r="NGH28" s="204"/>
      <c r="NGI28" s="204"/>
      <c r="NGJ28" s="204"/>
      <c r="NGK28" s="204"/>
      <c r="NGL28" s="204"/>
      <c r="NGM28" s="204"/>
      <c r="NGN28" s="204"/>
      <c r="NGO28" s="204"/>
      <c r="NGP28" s="204"/>
      <c r="NGQ28" s="204"/>
      <c r="NGR28" s="204"/>
      <c r="NGS28" s="204"/>
      <c r="NGT28" s="204"/>
      <c r="NGU28" s="204"/>
      <c r="NGV28" s="204"/>
      <c r="NGW28" s="204"/>
      <c r="NGX28" s="204"/>
      <c r="NGY28" s="204"/>
      <c r="NGZ28" s="204"/>
      <c r="NHA28" s="204"/>
      <c r="NHB28" s="204"/>
      <c r="NHC28" s="204"/>
      <c r="NHD28" s="204"/>
      <c r="NHE28" s="204"/>
      <c r="NHF28" s="204"/>
      <c r="NHG28" s="204"/>
      <c r="NHH28" s="204"/>
      <c r="NHI28" s="204"/>
      <c r="NHJ28" s="204"/>
      <c r="NHK28" s="204"/>
      <c r="NHL28" s="204"/>
      <c r="NHM28" s="204"/>
      <c r="NHN28" s="204"/>
      <c r="NHO28" s="204"/>
      <c r="NHP28" s="204"/>
      <c r="NHQ28" s="204"/>
      <c r="NHR28" s="204"/>
      <c r="NHS28" s="204"/>
      <c r="NHT28" s="204"/>
      <c r="NHU28" s="204"/>
      <c r="NHV28" s="204"/>
      <c r="NHW28" s="204"/>
      <c r="NHX28" s="204"/>
      <c r="NHY28" s="204"/>
      <c r="NHZ28" s="204"/>
      <c r="NIA28" s="204"/>
      <c r="NIB28" s="204"/>
      <c r="NIC28" s="204"/>
      <c r="NID28" s="204"/>
      <c r="NIE28" s="204"/>
      <c r="NIF28" s="204"/>
      <c r="NIG28" s="204"/>
      <c r="NIH28" s="204"/>
      <c r="NII28" s="204"/>
      <c r="NIJ28" s="204"/>
      <c r="NIK28" s="204"/>
      <c r="NIL28" s="204"/>
      <c r="NIM28" s="204"/>
      <c r="NIN28" s="204"/>
      <c r="NIO28" s="204"/>
      <c r="NIP28" s="204"/>
      <c r="NIQ28" s="204"/>
      <c r="NIR28" s="204"/>
      <c r="NIS28" s="204"/>
      <c r="NIT28" s="204"/>
      <c r="NIU28" s="204"/>
      <c r="NIV28" s="204"/>
      <c r="NIW28" s="204"/>
      <c r="NIX28" s="204"/>
      <c r="NIY28" s="204"/>
      <c r="NIZ28" s="204"/>
      <c r="NJA28" s="204"/>
      <c r="NJB28" s="204"/>
      <c r="NJC28" s="204"/>
      <c r="NJD28" s="204"/>
      <c r="NJE28" s="204"/>
      <c r="NJF28" s="204"/>
      <c r="NJG28" s="204"/>
      <c r="NJH28" s="204"/>
      <c r="NJI28" s="204"/>
      <c r="NJJ28" s="204"/>
      <c r="NJK28" s="204"/>
      <c r="NJL28" s="204"/>
      <c r="NJM28" s="204"/>
      <c r="NJN28" s="204"/>
      <c r="NJO28" s="204"/>
      <c r="NJP28" s="204"/>
      <c r="NJQ28" s="204"/>
      <c r="NJR28" s="204"/>
      <c r="NJS28" s="204"/>
      <c r="NJT28" s="204"/>
      <c r="NJU28" s="204"/>
      <c r="NJV28" s="204"/>
      <c r="NJW28" s="204"/>
      <c r="NJX28" s="204"/>
      <c r="NJY28" s="204"/>
      <c r="NJZ28" s="204"/>
      <c r="NKA28" s="204"/>
      <c r="NKB28" s="204"/>
      <c r="NKC28" s="204"/>
      <c r="NKD28" s="204"/>
      <c r="NKE28" s="204"/>
      <c r="NKF28" s="204"/>
      <c r="NKG28" s="204"/>
      <c r="NKH28" s="204"/>
      <c r="NKI28" s="204"/>
      <c r="NKJ28" s="204"/>
      <c r="NKK28" s="204"/>
      <c r="NKL28" s="204"/>
      <c r="NKM28" s="204"/>
      <c r="NKN28" s="204"/>
      <c r="NKO28" s="204"/>
      <c r="NKP28" s="204"/>
      <c r="NKQ28" s="204"/>
      <c r="NKR28" s="204"/>
      <c r="NKS28" s="204"/>
      <c r="NKT28" s="204"/>
      <c r="NKU28" s="204"/>
      <c r="NKV28" s="204"/>
      <c r="NKW28" s="204"/>
      <c r="NKX28" s="204"/>
      <c r="NKY28" s="204"/>
      <c r="NKZ28" s="204"/>
      <c r="NLA28" s="204"/>
      <c r="NLB28" s="204"/>
      <c r="NLC28" s="204"/>
      <c r="NLD28" s="204"/>
      <c r="NLE28" s="204"/>
      <c r="NLF28" s="204"/>
      <c r="NLG28" s="204"/>
      <c r="NLH28" s="204"/>
      <c r="NLI28" s="204"/>
      <c r="NLJ28" s="204"/>
      <c r="NLK28" s="204"/>
      <c r="NLL28" s="204"/>
      <c r="NLM28" s="204"/>
      <c r="NLN28" s="204"/>
      <c r="NLO28" s="204"/>
      <c r="NLP28" s="204"/>
      <c r="NLQ28" s="204"/>
      <c r="NLR28" s="204"/>
      <c r="NLS28" s="204"/>
      <c r="NLT28" s="204"/>
      <c r="NLU28" s="204"/>
      <c r="NLV28" s="204"/>
      <c r="NLW28" s="204"/>
      <c r="NLX28" s="204"/>
      <c r="NLY28" s="204"/>
      <c r="NLZ28" s="204"/>
      <c r="NMA28" s="204"/>
      <c r="NMB28" s="204"/>
      <c r="NMC28" s="204"/>
      <c r="NMD28" s="204"/>
      <c r="NME28" s="204"/>
      <c r="NMF28" s="204"/>
      <c r="NMG28" s="204"/>
      <c r="NMH28" s="204"/>
      <c r="NMI28" s="204"/>
      <c r="NMJ28" s="204"/>
      <c r="NMK28" s="204"/>
      <c r="NML28" s="204"/>
      <c r="NMM28" s="204"/>
      <c r="NMN28" s="204"/>
      <c r="NMO28" s="204"/>
      <c r="NMP28" s="204"/>
      <c r="NMQ28" s="204"/>
      <c r="NMR28" s="204"/>
      <c r="NMS28" s="204"/>
      <c r="NMT28" s="204"/>
      <c r="NMU28" s="204"/>
      <c r="NMV28" s="204"/>
      <c r="NMW28" s="204"/>
      <c r="NMX28" s="204"/>
      <c r="NMY28" s="204"/>
      <c r="NMZ28" s="204"/>
      <c r="NNA28" s="204"/>
      <c r="NNB28" s="204"/>
      <c r="NNC28" s="204"/>
      <c r="NND28" s="204"/>
      <c r="NNE28" s="204"/>
      <c r="NNF28" s="204"/>
      <c r="NNG28" s="204"/>
      <c r="NNH28" s="204"/>
      <c r="NNI28" s="204"/>
      <c r="NNJ28" s="204"/>
      <c r="NNK28" s="204"/>
      <c r="NNL28" s="204"/>
      <c r="NNM28" s="204"/>
      <c r="NNN28" s="204"/>
      <c r="NNO28" s="204"/>
      <c r="NNP28" s="204"/>
      <c r="NNQ28" s="204"/>
      <c r="NNR28" s="204"/>
      <c r="NNS28" s="204"/>
      <c r="NNT28" s="204"/>
      <c r="NNU28" s="204"/>
      <c r="NNV28" s="204"/>
      <c r="NNW28" s="204"/>
      <c r="NNX28" s="204"/>
      <c r="NNY28" s="204"/>
      <c r="NNZ28" s="204"/>
      <c r="NOA28" s="204"/>
      <c r="NOB28" s="204"/>
      <c r="NOC28" s="204"/>
      <c r="NOD28" s="204"/>
      <c r="NOE28" s="204"/>
      <c r="NOF28" s="204"/>
      <c r="NOG28" s="204"/>
      <c r="NOH28" s="204"/>
      <c r="NOI28" s="204"/>
      <c r="NOJ28" s="204"/>
      <c r="NOK28" s="204"/>
      <c r="NOL28" s="204"/>
      <c r="NOM28" s="204"/>
      <c r="NON28" s="204"/>
      <c r="NOO28" s="204"/>
      <c r="NOP28" s="204"/>
      <c r="NOQ28" s="204"/>
      <c r="NOR28" s="204"/>
      <c r="NOS28" s="204"/>
      <c r="NOT28" s="204"/>
      <c r="NOU28" s="204"/>
      <c r="NOV28" s="204"/>
      <c r="NOW28" s="204"/>
      <c r="NOX28" s="204"/>
      <c r="NOY28" s="204"/>
      <c r="NOZ28" s="204"/>
      <c r="NPA28" s="204"/>
      <c r="NPB28" s="204"/>
      <c r="NPC28" s="204"/>
      <c r="NPD28" s="204"/>
      <c r="NPE28" s="204"/>
      <c r="NPF28" s="204"/>
      <c r="NPG28" s="204"/>
      <c r="NPH28" s="204"/>
      <c r="NPI28" s="204"/>
      <c r="NPJ28" s="204"/>
      <c r="NPK28" s="204"/>
      <c r="NPL28" s="204"/>
      <c r="NPM28" s="204"/>
      <c r="NPN28" s="204"/>
      <c r="NPO28" s="204"/>
      <c r="NPP28" s="204"/>
      <c r="NPQ28" s="204"/>
      <c r="NPR28" s="204"/>
      <c r="NPS28" s="204"/>
      <c r="NPT28" s="204"/>
      <c r="NPU28" s="204"/>
      <c r="NPV28" s="204"/>
      <c r="NPW28" s="204"/>
      <c r="NPX28" s="204"/>
      <c r="NPY28" s="204"/>
      <c r="NPZ28" s="204"/>
      <c r="NQA28" s="204"/>
      <c r="NQB28" s="204"/>
      <c r="NQC28" s="204"/>
      <c r="NQD28" s="204"/>
      <c r="NQE28" s="204"/>
      <c r="NQF28" s="204"/>
      <c r="NQG28" s="204"/>
      <c r="NQH28" s="204"/>
      <c r="NQI28" s="204"/>
      <c r="NQJ28" s="204"/>
      <c r="NQK28" s="204"/>
      <c r="NQL28" s="204"/>
      <c r="NQM28" s="204"/>
      <c r="NQN28" s="204"/>
      <c r="NQO28" s="204"/>
      <c r="NQP28" s="204"/>
      <c r="NQQ28" s="204"/>
      <c r="NQR28" s="204"/>
      <c r="NQS28" s="204"/>
      <c r="NQT28" s="204"/>
      <c r="NQU28" s="204"/>
      <c r="NQV28" s="204"/>
      <c r="NQW28" s="204"/>
      <c r="NQX28" s="204"/>
      <c r="NQY28" s="204"/>
      <c r="NQZ28" s="204"/>
      <c r="NRA28" s="204"/>
      <c r="NRB28" s="204"/>
      <c r="NRC28" s="204"/>
      <c r="NRD28" s="204"/>
      <c r="NRE28" s="204"/>
      <c r="NRF28" s="204"/>
      <c r="NRG28" s="204"/>
      <c r="NRH28" s="204"/>
      <c r="NRI28" s="204"/>
      <c r="NRJ28" s="204"/>
      <c r="NRK28" s="204"/>
      <c r="NRL28" s="204"/>
      <c r="NRM28" s="204"/>
      <c r="NRN28" s="204"/>
      <c r="NRO28" s="204"/>
      <c r="NRP28" s="204"/>
      <c r="NRQ28" s="204"/>
      <c r="NRR28" s="204"/>
      <c r="NRS28" s="204"/>
      <c r="NRT28" s="204"/>
      <c r="NRU28" s="204"/>
      <c r="NRV28" s="204"/>
      <c r="NRW28" s="204"/>
      <c r="NRX28" s="204"/>
      <c r="NRY28" s="204"/>
      <c r="NRZ28" s="204"/>
      <c r="NSA28" s="204"/>
      <c r="NSB28" s="204"/>
      <c r="NSC28" s="204"/>
      <c r="NSD28" s="204"/>
      <c r="NSE28" s="204"/>
      <c r="NSF28" s="204"/>
      <c r="NSG28" s="204"/>
      <c r="NSH28" s="204"/>
      <c r="NSI28" s="204"/>
      <c r="NSJ28" s="204"/>
      <c r="NSK28" s="204"/>
      <c r="NSL28" s="204"/>
      <c r="NSM28" s="204"/>
      <c r="NSN28" s="204"/>
      <c r="NSO28" s="204"/>
      <c r="NSP28" s="204"/>
      <c r="NSQ28" s="204"/>
      <c r="NSR28" s="204"/>
      <c r="NSS28" s="204"/>
      <c r="NST28" s="204"/>
      <c r="NSU28" s="204"/>
      <c r="NSV28" s="204"/>
      <c r="NSW28" s="204"/>
      <c r="NSX28" s="204"/>
      <c r="NSY28" s="204"/>
      <c r="NSZ28" s="204"/>
      <c r="NTA28" s="204"/>
      <c r="NTB28" s="204"/>
      <c r="NTC28" s="204"/>
      <c r="NTD28" s="204"/>
      <c r="NTE28" s="204"/>
      <c r="NTF28" s="204"/>
      <c r="NTG28" s="204"/>
      <c r="NTH28" s="204"/>
      <c r="NTI28" s="204"/>
      <c r="NTJ28" s="204"/>
      <c r="NTK28" s="204"/>
      <c r="NTL28" s="204"/>
      <c r="NTM28" s="204"/>
      <c r="NTN28" s="204"/>
      <c r="NTO28" s="204"/>
      <c r="NTP28" s="204"/>
      <c r="NTQ28" s="204"/>
      <c r="NTR28" s="204"/>
      <c r="NTS28" s="204"/>
      <c r="NTT28" s="204"/>
      <c r="NTU28" s="204"/>
      <c r="NTV28" s="204"/>
      <c r="NTW28" s="204"/>
      <c r="NTX28" s="204"/>
      <c r="NTY28" s="204"/>
      <c r="NTZ28" s="204"/>
      <c r="NUA28" s="204"/>
      <c r="NUB28" s="204"/>
      <c r="NUC28" s="204"/>
      <c r="NUD28" s="204"/>
      <c r="NUE28" s="204"/>
      <c r="NUF28" s="204"/>
      <c r="NUG28" s="204"/>
      <c r="NUH28" s="204"/>
      <c r="NUI28" s="204"/>
      <c r="NUJ28" s="204"/>
      <c r="NUK28" s="204"/>
      <c r="NUL28" s="204"/>
      <c r="NUM28" s="204"/>
      <c r="NUN28" s="204"/>
      <c r="NUO28" s="204"/>
      <c r="NUP28" s="204"/>
      <c r="NUQ28" s="204"/>
      <c r="NUR28" s="204"/>
      <c r="NUS28" s="204"/>
      <c r="NUT28" s="204"/>
      <c r="NUU28" s="204"/>
      <c r="NUV28" s="204"/>
      <c r="NUW28" s="204"/>
      <c r="NUX28" s="204"/>
      <c r="NUY28" s="204"/>
      <c r="NUZ28" s="204"/>
      <c r="NVA28" s="204"/>
      <c r="NVB28" s="204"/>
      <c r="NVC28" s="204"/>
      <c r="NVD28" s="204"/>
      <c r="NVE28" s="204"/>
      <c r="NVF28" s="204"/>
      <c r="NVG28" s="204"/>
      <c r="NVH28" s="204"/>
      <c r="NVI28" s="204"/>
      <c r="NVJ28" s="204"/>
      <c r="NVK28" s="204"/>
      <c r="NVL28" s="204"/>
      <c r="NVM28" s="204"/>
      <c r="NVN28" s="204"/>
      <c r="NVO28" s="204"/>
      <c r="NVP28" s="204"/>
      <c r="NVQ28" s="204"/>
      <c r="NVR28" s="204"/>
      <c r="NVS28" s="204"/>
      <c r="NVT28" s="204"/>
      <c r="NVU28" s="204"/>
      <c r="NVV28" s="204"/>
      <c r="NVW28" s="204"/>
      <c r="NVX28" s="204"/>
      <c r="NVY28" s="204"/>
      <c r="NVZ28" s="204"/>
      <c r="NWA28" s="204"/>
      <c r="NWB28" s="204"/>
      <c r="NWC28" s="204"/>
      <c r="NWD28" s="204"/>
      <c r="NWE28" s="204"/>
      <c r="NWF28" s="204"/>
      <c r="NWG28" s="204"/>
      <c r="NWH28" s="204"/>
      <c r="NWI28" s="204"/>
      <c r="NWJ28" s="204"/>
      <c r="NWK28" s="204"/>
      <c r="NWL28" s="204"/>
      <c r="NWM28" s="204"/>
      <c r="NWN28" s="204"/>
      <c r="NWO28" s="204"/>
      <c r="NWP28" s="204"/>
      <c r="NWQ28" s="204"/>
      <c r="NWR28" s="204"/>
      <c r="NWS28" s="204"/>
      <c r="NWT28" s="204"/>
      <c r="NWU28" s="204"/>
      <c r="NWV28" s="204"/>
      <c r="NWW28" s="204"/>
      <c r="NWX28" s="204"/>
      <c r="NWY28" s="204"/>
      <c r="NWZ28" s="204"/>
      <c r="NXA28" s="204"/>
      <c r="NXB28" s="204"/>
      <c r="NXC28" s="204"/>
      <c r="NXD28" s="204"/>
      <c r="NXE28" s="204"/>
      <c r="NXF28" s="204"/>
      <c r="NXG28" s="204"/>
      <c r="NXH28" s="204"/>
      <c r="NXI28" s="204"/>
      <c r="NXJ28" s="204"/>
      <c r="NXK28" s="204"/>
      <c r="NXL28" s="204"/>
      <c r="NXM28" s="204"/>
      <c r="NXN28" s="204"/>
      <c r="NXO28" s="204"/>
      <c r="NXP28" s="204"/>
      <c r="NXQ28" s="204"/>
      <c r="NXR28" s="204"/>
      <c r="NXS28" s="204"/>
      <c r="NXT28" s="204"/>
      <c r="NXU28" s="204"/>
      <c r="NXV28" s="204"/>
      <c r="NXW28" s="204"/>
      <c r="NXX28" s="204"/>
      <c r="NXY28" s="204"/>
      <c r="NXZ28" s="204"/>
      <c r="NYA28" s="204"/>
      <c r="NYB28" s="204"/>
      <c r="NYC28" s="204"/>
      <c r="NYD28" s="204"/>
      <c r="NYE28" s="204"/>
      <c r="NYF28" s="204"/>
      <c r="NYG28" s="204"/>
      <c r="NYH28" s="204"/>
      <c r="NYI28" s="204"/>
      <c r="NYJ28" s="204"/>
      <c r="NYK28" s="204"/>
      <c r="NYL28" s="204"/>
      <c r="NYM28" s="204"/>
      <c r="NYN28" s="204"/>
      <c r="NYO28" s="204"/>
      <c r="NYP28" s="204"/>
      <c r="NYQ28" s="204"/>
      <c r="NYR28" s="204"/>
      <c r="NYS28" s="204"/>
      <c r="NYT28" s="204"/>
      <c r="NYU28" s="204"/>
      <c r="NYV28" s="204"/>
      <c r="NYW28" s="204"/>
      <c r="NYX28" s="204"/>
      <c r="NYY28" s="204"/>
      <c r="NYZ28" s="204"/>
      <c r="NZA28" s="204"/>
      <c r="NZB28" s="204"/>
      <c r="NZC28" s="204"/>
      <c r="NZD28" s="204"/>
      <c r="NZE28" s="204"/>
      <c r="NZF28" s="204"/>
      <c r="NZG28" s="204"/>
      <c r="NZH28" s="204"/>
      <c r="NZI28" s="204"/>
      <c r="NZJ28" s="204"/>
      <c r="NZK28" s="204"/>
      <c r="NZL28" s="204"/>
      <c r="NZM28" s="204"/>
      <c r="NZN28" s="204"/>
      <c r="NZO28" s="204"/>
      <c r="NZP28" s="204"/>
      <c r="NZQ28" s="204"/>
      <c r="NZR28" s="204"/>
      <c r="NZS28" s="204"/>
      <c r="NZT28" s="204"/>
      <c r="NZU28" s="204"/>
      <c r="NZV28" s="204"/>
      <c r="NZW28" s="204"/>
      <c r="NZX28" s="204"/>
      <c r="NZY28" s="204"/>
      <c r="NZZ28" s="204"/>
      <c r="OAA28" s="204"/>
      <c r="OAB28" s="204"/>
      <c r="OAC28" s="204"/>
      <c r="OAD28" s="204"/>
      <c r="OAE28" s="204"/>
      <c r="OAF28" s="204"/>
      <c r="OAG28" s="204"/>
      <c r="OAH28" s="204"/>
      <c r="OAI28" s="204"/>
      <c r="OAJ28" s="204"/>
      <c r="OAK28" s="204"/>
      <c r="OAL28" s="204"/>
      <c r="OAM28" s="204"/>
      <c r="OAN28" s="204"/>
      <c r="OAO28" s="204"/>
      <c r="OAP28" s="204"/>
      <c r="OAQ28" s="204"/>
      <c r="OAR28" s="204"/>
      <c r="OAS28" s="204"/>
      <c r="OAT28" s="204"/>
      <c r="OAU28" s="204"/>
      <c r="OAV28" s="204"/>
      <c r="OAW28" s="204"/>
      <c r="OAX28" s="204"/>
      <c r="OAY28" s="204"/>
      <c r="OAZ28" s="204"/>
      <c r="OBA28" s="204"/>
      <c r="OBB28" s="204"/>
      <c r="OBC28" s="204"/>
      <c r="OBD28" s="204"/>
      <c r="OBE28" s="204"/>
      <c r="OBF28" s="204"/>
      <c r="OBG28" s="204"/>
      <c r="OBH28" s="204"/>
      <c r="OBI28" s="204"/>
      <c r="OBJ28" s="204"/>
      <c r="OBK28" s="204"/>
      <c r="OBL28" s="204"/>
      <c r="OBM28" s="204"/>
      <c r="OBN28" s="204"/>
      <c r="OBO28" s="204"/>
      <c r="OBP28" s="204"/>
      <c r="OBQ28" s="204"/>
      <c r="OBR28" s="204"/>
      <c r="OBS28" s="204"/>
      <c r="OBT28" s="204"/>
      <c r="OBU28" s="204"/>
      <c r="OBV28" s="204"/>
      <c r="OBW28" s="204"/>
      <c r="OBX28" s="204"/>
      <c r="OBY28" s="204"/>
      <c r="OBZ28" s="204"/>
      <c r="OCA28" s="204"/>
      <c r="OCB28" s="204"/>
      <c r="OCC28" s="204"/>
      <c r="OCD28" s="204"/>
      <c r="OCE28" s="204"/>
      <c r="OCF28" s="204"/>
      <c r="OCG28" s="204"/>
      <c r="OCH28" s="204"/>
      <c r="OCI28" s="204"/>
      <c r="OCJ28" s="204"/>
      <c r="OCK28" s="204"/>
      <c r="OCL28" s="204"/>
      <c r="OCM28" s="204"/>
      <c r="OCN28" s="204"/>
      <c r="OCO28" s="204"/>
      <c r="OCP28" s="204"/>
      <c r="OCQ28" s="204"/>
      <c r="OCR28" s="204"/>
      <c r="OCS28" s="204"/>
      <c r="OCT28" s="204"/>
      <c r="OCU28" s="204"/>
      <c r="OCV28" s="204"/>
      <c r="OCW28" s="204"/>
      <c r="OCX28" s="204"/>
      <c r="OCY28" s="204"/>
      <c r="OCZ28" s="204"/>
      <c r="ODA28" s="204"/>
      <c r="ODB28" s="204"/>
      <c r="ODC28" s="204"/>
      <c r="ODD28" s="204"/>
      <c r="ODE28" s="204"/>
      <c r="ODF28" s="204"/>
      <c r="ODG28" s="204"/>
      <c r="ODH28" s="204"/>
      <c r="ODI28" s="204"/>
      <c r="ODJ28" s="204"/>
      <c r="ODK28" s="204"/>
      <c r="ODL28" s="204"/>
      <c r="ODM28" s="204"/>
      <c r="ODN28" s="204"/>
      <c r="ODO28" s="204"/>
      <c r="ODP28" s="204"/>
      <c r="ODQ28" s="204"/>
      <c r="ODR28" s="204"/>
      <c r="ODS28" s="204"/>
      <c r="ODT28" s="204"/>
      <c r="ODU28" s="204"/>
      <c r="ODV28" s="204"/>
      <c r="ODW28" s="204"/>
      <c r="ODX28" s="204"/>
      <c r="ODY28" s="204"/>
      <c r="ODZ28" s="204"/>
      <c r="OEA28" s="204"/>
      <c r="OEB28" s="204"/>
      <c r="OEC28" s="204"/>
      <c r="OED28" s="204"/>
      <c r="OEE28" s="204"/>
      <c r="OEF28" s="204"/>
      <c r="OEG28" s="204"/>
      <c r="OEH28" s="204"/>
      <c r="OEI28" s="204"/>
      <c r="OEJ28" s="204"/>
      <c r="OEK28" s="204"/>
      <c r="OEL28" s="204"/>
      <c r="OEM28" s="204"/>
      <c r="OEN28" s="204"/>
      <c r="OEO28" s="204"/>
      <c r="OEP28" s="204"/>
      <c r="OEQ28" s="204"/>
      <c r="OER28" s="204"/>
      <c r="OES28" s="204"/>
      <c r="OET28" s="204"/>
      <c r="OEU28" s="204"/>
      <c r="OEV28" s="204"/>
      <c r="OEW28" s="204"/>
      <c r="OEX28" s="204"/>
      <c r="OEY28" s="204"/>
      <c r="OEZ28" s="204"/>
      <c r="OFA28" s="204"/>
      <c r="OFB28" s="204"/>
      <c r="OFC28" s="204"/>
      <c r="OFD28" s="204"/>
      <c r="OFE28" s="204"/>
      <c r="OFF28" s="204"/>
      <c r="OFG28" s="204"/>
      <c r="OFH28" s="204"/>
      <c r="OFI28" s="204"/>
      <c r="OFJ28" s="204"/>
      <c r="OFK28" s="204"/>
      <c r="OFL28" s="204"/>
      <c r="OFM28" s="204"/>
      <c r="OFN28" s="204"/>
      <c r="OFO28" s="204"/>
      <c r="OFP28" s="204"/>
      <c r="OFQ28" s="204"/>
      <c r="OFR28" s="204"/>
      <c r="OFS28" s="204"/>
      <c r="OFT28" s="204"/>
      <c r="OFU28" s="204"/>
      <c r="OFV28" s="204"/>
      <c r="OFW28" s="204"/>
      <c r="OFX28" s="204"/>
      <c r="OFY28" s="204"/>
      <c r="OFZ28" s="204"/>
      <c r="OGA28" s="204"/>
      <c r="OGB28" s="204"/>
      <c r="OGC28" s="204"/>
      <c r="OGD28" s="204"/>
      <c r="OGE28" s="204"/>
      <c r="OGF28" s="204"/>
      <c r="OGG28" s="204"/>
      <c r="OGH28" s="204"/>
      <c r="OGI28" s="204"/>
      <c r="OGJ28" s="204"/>
      <c r="OGK28" s="204"/>
      <c r="OGL28" s="204"/>
      <c r="OGM28" s="204"/>
      <c r="OGN28" s="204"/>
      <c r="OGO28" s="204"/>
      <c r="OGP28" s="204"/>
      <c r="OGQ28" s="204"/>
      <c r="OGR28" s="204"/>
      <c r="OGS28" s="204"/>
      <c r="OGT28" s="204"/>
      <c r="OGU28" s="204"/>
      <c r="OGV28" s="204"/>
      <c r="OGW28" s="204"/>
      <c r="OGX28" s="204"/>
      <c r="OGY28" s="204"/>
      <c r="OGZ28" s="204"/>
      <c r="OHA28" s="204"/>
      <c r="OHB28" s="204"/>
      <c r="OHC28" s="204"/>
      <c r="OHD28" s="204"/>
      <c r="OHE28" s="204"/>
      <c r="OHF28" s="204"/>
      <c r="OHG28" s="204"/>
      <c r="OHH28" s="204"/>
      <c r="OHI28" s="204"/>
      <c r="OHJ28" s="204"/>
      <c r="OHK28" s="204"/>
      <c r="OHL28" s="204"/>
      <c r="OHM28" s="204"/>
      <c r="OHN28" s="204"/>
      <c r="OHO28" s="204"/>
      <c r="OHP28" s="204"/>
      <c r="OHQ28" s="204"/>
      <c r="OHR28" s="204"/>
      <c r="OHS28" s="204"/>
      <c r="OHT28" s="204"/>
      <c r="OHU28" s="204"/>
      <c r="OHV28" s="204"/>
      <c r="OHW28" s="204"/>
      <c r="OHX28" s="204"/>
      <c r="OHY28" s="204"/>
      <c r="OHZ28" s="204"/>
      <c r="OIA28" s="204"/>
      <c r="OIB28" s="204"/>
      <c r="OIC28" s="204"/>
      <c r="OID28" s="204"/>
      <c r="OIE28" s="204"/>
      <c r="OIF28" s="204"/>
      <c r="OIG28" s="204"/>
      <c r="OIH28" s="204"/>
      <c r="OII28" s="204"/>
      <c r="OIJ28" s="204"/>
      <c r="OIK28" s="204"/>
      <c r="OIL28" s="204"/>
      <c r="OIM28" s="204"/>
      <c r="OIN28" s="204"/>
      <c r="OIO28" s="204"/>
      <c r="OIP28" s="204"/>
      <c r="OIQ28" s="204"/>
      <c r="OIR28" s="204"/>
      <c r="OIS28" s="204"/>
      <c r="OIT28" s="204"/>
      <c r="OIU28" s="204"/>
      <c r="OIV28" s="204"/>
      <c r="OIW28" s="204"/>
      <c r="OIX28" s="204"/>
      <c r="OIY28" s="204"/>
      <c r="OIZ28" s="204"/>
      <c r="OJA28" s="204"/>
      <c r="OJB28" s="204"/>
      <c r="OJC28" s="204"/>
      <c r="OJD28" s="204"/>
      <c r="OJE28" s="204"/>
      <c r="OJF28" s="204"/>
      <c r="OJG28" s="204"/>
      <c r="OJH28" s="204"/>
      <c r="OJI28" s="204"/>
      <c r="OJJ28" s="204"/>
      <c r="OJK28" s="204"/>
      <c r="OJL28" s="204"/>
      <c r="OJM28" s="204"/>
      <c r="OJN28" s="204"/>
      <c r="OJO28" s="204"/>
      <c r="OJP28" s="204"/>
      <c r="OJQ28" s="204"/>
      <c r="OJR28" s="204"/>
      <c r="OJS28" s="204"/>
      <c r="OJT28" s="204"/>
      <c r="OJU28" s="204"/>
      <c r="OJV28" s="204"/>
      <c r="OJW28" s="204"/>
      <c r="OJX28" s="204"/>
      <c r="OJY28" s="204"/>
      <c r="OJZ28" s="204"/>
      <c r="OKA28" s="204"/>
      <c r="OKB28" s="204"/>
      <c r="OKC28" s="204"/>
      <c r="OKD28" s="204"/>
      <c r="OKE28" s="204"/>
      <c r="OKF28" s="204"/>
      <c r="OKG28" s="204"/>
      <c r="OKH28" s="204"/>
      <c r="OKI28" s="204"/>
      <c r="OKJ28" s="204"/>
      <c r="OKK28" s="204"/>
      <c r="OKL28" s="204"/>
      <c r="OKM28" s="204"/>
      <c r="OKN28" s="204"/>
      <c r="OKO28" s="204"/>
      <c r="OKP28" s="204"/>
      <c r="OKQ28" s="204"/>
      <c r="OKR28" s="204"/>
      <c r="OKS28" s="204"/>
      <c r="OKT28" s="204"/>
      <c r="OKU28" s="204"/>
      <c r="OKV28" s="204"/>
      <c r="OKW28" s="204"/>
      <c r="OKX28" s="204"/>
      <c r="OKY28" s="204"/>
      <c r="OKZ28" s="204"/>
      <c r="OLA28" s="204"/>
      <c r="OLB28" s="204"/>
      <c r="OLC28" s="204"/>
      <c r="OLD28" s="204"/>
      <c r="OLE28" s="204"/>
      <c r="OLF28" s="204"/>
      <c r="OLG28" s="204"/>
      <c r="OLH28" s="204"/>
      <c r="OLI28" s="204"/>
      <c r="OLJ28" s="204"/>
      <c r="OLK28" s="204"/>
      <c r="OLL28" s="204"/>
      <c r="OLM28" s="204"/>
      <c r="OLN28" s="204"/>
      <c r="OLO28" s="204"/>
      <c r="OLP28" s="204"/>
      <c r="OLQ28" s="204"/>
      <c r="OLR28" s="204"/>
      <c r="OLS28" s="204"/>
      <c r="OLT28" s="204"/>
      <c r="OLU28" s="204"/>
      <c r="OLV28" s="204"/>
      <c r="OLW28" s="204"/>
      <c r="OLX28" s="204"/>
      <c r="OLY28" s="204"/>
      <c r="OLZ28" s="204"/>
      <c r="OMA28" s="204"/>
      <c r="OMB28" s="204"/>
      <c r="OMC28" s="204"/>
      <c r="OMD28" s="204"/>
      <c r="OME28" s="204"/>
      <c r="OMF28" s="204"/>
      <c r="OMG28" s="204"/>
      <c r="OMH28" s="204"/>
      <c r="OMI28" s="204"/>
      <c r="OMJ28" s="204"/>
      <c r="OMK28" s="204"/>
      <c r="OML28" s="204"/>
      <c r="OMM28" s="204"/>
      <c r="OMN28" s="204"/>
      <c r="OMO28" s="204"/>
      <c r="OMP28" s="204"/>
      <c r="OMQ28" s="204"/>
      <c r="OMR28" s="204"/>
      <c r="OMS28" s="204"/>
      <c r="OMT28" s="204"/>
      <c r="OMU28" s="204"/>
      <c r="OMV28" s="204"/>
      <c r="OMW28" s="204"/>
      <c r="OMX28" s="204"/>
      <c r="OMY28" s="204"/>
      <c r="OMZ28" s="204"/>
      <c r="ONA28" s="204"/>
      <c r="ONB28" s="204"/>
      <c r="ONC28" s="204"/>
      <c r="OND28" s="204"/>
      <c r="ONE28" s="204"/>
      <c r="ONF28" s="204"/>
      <c r="ONG28" s="204"/>
      <c r="ONH28" s="204"/>
      <c r="ONI28" s="204"/>
      <c r="ONJ28" s="204"/>
      <c r="ONK28" s="204"/>
      <c r="ONL28" s="204"/>
      <c r="ONM28" s="204"/>
      <c r="ONN28" s="204"/>
      <c r="ONO28" s="204"/>
      <c r="ONP28" s="204"/>
      <c r="ONQ28" s="204"/>
      <c r="ONR28" s="204"/>
      <c r="ONS28" s="204"/>
      <c r="ONT28" s="204"/>
      <c r="ONU28" s="204"/>
      <c r="ONV28" s="204"/>
      <c r="ONW28" s="204"/>
      <c r="ONX28" s="204"/>
      <c r="ONY28" s="204"/>
      <c r="ONZ28" s="204"/>
      <c r="OOA28" s="204"/>
      <c r="OOB28" s="204"/>
      <c r="OOC28" s="204"/>
      <c r="OOD28" s="204"/>
      <c r="OOE28" s="204"/>
      <c r="OOF28" s="204"/>
      <c r="OOG28" s="204"/>
      <c r="OOH28" s="204"/>
      <c r="OOI28" s="204"/>
      <c r="OOJ28" s="204"/>
      <c r="OOK28" s="204"/>
      <c r="OOL28" s="204"/>
      <c r="OOM28" s="204"/>
      <c r="OON28" s="204"/>
      <c r="OOO28" s="204"/>
      <c r="OOP28" s="204"/>
      <c r="OOQ28" s="204"/>
      <c r="OOR28" s="204"/>
      <c r="OOS28" s="204"/>
      <c r="OOT28" s="204"/>
      <c r="OOU28" s="204"/>
      <c r="OOV28" s="204"/>
      <c r="OOW28" s="204"/>
      <c r="OOX28" s="204"/>
      <c r="OOY28" s="204"/>
      <c r="OOZ28" s="204"/>
      <c r="OPA28" s="204"/>
      <c r="OPB28" s="204"/>
      <c r="OPC28" s="204"/>
      <c r="OPD28" s="204"/>
      <c r="OPE28" s="204"/>
      <c r="OPF28" s="204"/>
      <c r="OPG28" s="204"/>
      <c r="OPH28" s="204"/>
      <c r="OPI28" s="204"/>
      <c r="OPJ28" s="204"/>
      <c r="OPK28" s="204"/>
      <c r="OPL28" s="204"/>
      <c r="OPM28" s="204"/>
      <c r="OPN28" s="204"/>
      <c r="OPO28" s="204"/>
      <c r="OPP28" s="204"/>
      <c r="OPQ28" s="204"/>
      <c r="OPR28" s="204"/>
      <c r="OPS28" s="204"/>
      <c r="OPT28" s="204"/>
      <c r="OPU28" s="204"/>
      <c r="OPV28" s="204"/>
      <c r="OPW28" s="204"/>
      <c r="OPX28" s="204"/>
      <c r="OPY28" s="204"/>
      <c r="OPZ28" s="204"/>
      <c r="OQA28" s="204"/>
      <c r="OQB28" s="204"/>
      <c r="OQC28" s="204"/>
      <c r="OQD28" s="204"/>
      <c r="OQE28" s="204"/>
      <c r="OQF28" s="204"/>
      <c r="OQG28" s="204"/>
      <c r="OQH28" s="204"/>
      <c r="OQI28" s="204"/>
      <c r="OQJ28" s="204"/>
      <c r="OQK28" s="204"/>
      <c r="OQL28" s="204"/>
      <c r="OQM28" s="204"/>
      <c r="OQN28" s="204"/>
      <c r="OQO28" s="204"/>
      <c r="OQP28" s="204"/>
      <c r="OQQ28" s="204"/>
      <c r="OQR28" s="204"/>
      <c r="OQS28" s="204"/>
      <c r="OQT28" s="204"/>
      <c r="OQU28" s="204"/>
      <c r="OQV28" s="204"/>
      <c r="OQW28" s="204"/>
      <c r="OQX28" s="204"/>
      <c r="OQY28" s="204"/>
      <c r="OQZ28" s="204"/>
      <c r="ORA28" s="204"/>
      <c r="ORB28" s="204"/>
      <c r="ORC28" s="204"/>
      <c r="ORD28" s="204"/>
      <c r="ORE28" s="204"/>
      <c r="ORF28" s="204"/>
      <c r="ORG28" s="204"/>
      <c r="ORH28" s="204"/>
      <c r="ORI28" s="204"/>
      <c r="ORJ28" s="204"/>
      <c r="ORK28" s="204"/>
      <c r="ORL28" s="204"/>
      <c r="ORM28" s="204"/>
      <c r="ORN28" s="204"/>
      <c r="ORO28" s="204"/>
      <c r="ORP28" s="204"/>
      <c r="ORQ28" s="204"/>
      <c r="ORR28" s="204"/>
      <c r="ORS28" s="204"/>
      <c r="ORT28" s="204"/>
      <c r="ORU28" s="204"/>
      <c r="ORV28" s="204"/>
      <c r="ORW28" s="204"/>
      <c r="ORX28" s="204"/>
      <c r="ORY28" s="204"/>
      <c r="ORZ28" s="204"/>
      <c r="OSA28" s="204"/>
      <c r="OSB28" s="204"/>
      <c r="OSC28" s="204"/>
      <c r="OSD28" s="204"/>
      <c r="OSE28" s="204"/>
      <c r="OSF28" s="204"/>
      <c r="OSG28" s="204"/>
      <c r="OSH28" s="204"/>
      <c r="OSI28" s="204"/>
      <c r="OSJ28" s="204"/>
      <c r="OSK28" s="204"/>
      <c r="OSL28" s="204"/>
      <c r="OSM28" s="204"/>
      <c r="OSN28" s="204"/>
      <c r="OSO28" s="204"/>
      <c r="OSP28" s="204"/>
      <c r="OSQ28" s="204"/>
      <c r="OSR28" s="204"/>
      <c r="OSS28" s="204"/>
      <c r="OST28" s="204"/>
      <c r="OSU28" s="204"/>
      <c r="OSV28" s="204"/>
      <c r="OSW28" s="204"/>
      <c r="OSX28" s="204"/>
      <c r="OSY28" s="204"/>
      <c r="OSZ28" s="204"/>
      <c r="OTA28" s="204"/>
      <c r="OTB28" s="204"/>
      <c r="OTC28" s="204"/>
      <c r="OTD28" s="204"/>
      <c r="OTE28" s="204"/>
      <c r="OTF28" s="204"/>
      <c r="OTG28" s="204"/>
      <c r="OTH28" s="204"/>
      <c r="OTI28" s="204"/>
      <c r="OTJ28" s="204"/>
      <c r="OTK28" s="204"/>
      <c r="OTL28" s="204"/>
      <c r="OTM28" s="204"/>
      <c r="OTN28" s="204"/>
      <c r="OTO28" s="204"/>
      <c r="OTP28" s="204"/>
      <c r="OTQ28" s="204"/>
      <c r="OTR28" s="204"/>
      <c r="OTS28" s="204"/>
      <c r="OTT28" s="204"/>
      <c r="OTU28" s="204"/>
      <c r="OTV28" s="204"/>
      <c r="OTW28" s="204"/>
      <c r="OTX28" s="204"/>
      <c r="OTY28" s="204"/>
      <c r="OTZ28" s="204"/>
      <c r="OUA28" s="204"/>
      <c r="OUB28" s="204"/>
      <c r="OUC28" s="204"/>
      <c r="OUD28" s="204"/>
      <c r="OUE28" s="204"/>
      <c r="OUF28" s="204"/>
      <c r="OUG28" s="204"/>
      <c r="OUH28" s="204"/>
      <c r="OUI28" s="204"/>
      <c r="OUJ28" s="204"/>
      <c r="OUK28" s="204"/>
      <c r="OUL28" s="204"/>
      <c r="OUM28" s="204"/>
      <c r="OUN28" s="204"/>
      <c r="OUO28" s="204"/>
      <c r="OUP28" s="204"/>
      <c r="OUQ28" s="204"/>
      <c r="OUR28" s="204"/>
      <c r="OUS28" s="204"/>
      <c r="OUT28" s="204"/>
      <c r="OUU28" s="204"/>
      <c r="OUV28" s="204"/>
      <c r="OUW28" s="204"/>
      <c r="OUX28" s="204"/>
      <c r="OUY28" s="204"/>
      <c r="OUZ28" s="204"/>
      <c r="OVA28" s="204"/>
      <c r="OVB28" s="204"/>
      <c r="OVC28" s="204"/>
      <c r="OVD28" s="204"/>
      <c r="OVE28" s="204"/>
      <c r="OVF28" s="204"/>
      <c r="OVG28" s="204"/>
      <c r="OVH28" s="204"/>
      <c r="OVI28" s="204"/>
      <c r="OVJ28" s="204"/>
      <c r="OVK28" s="204"/>
      <c r="OVL28" s="204"/>
      <c r="OVM28" s="204"/>
      <c r="OVN28" s="204"/>
      <c r="OVO28" s="204"/>
      <c r="OVP28" s="204"/>
      <c r="OVQ28" s="204"/>
      <c r="OVR28" s="204"/>
      <c r="OVS28" s="204"/>
      <c r="OVT28" s="204"/>
      <c r="OVU28" s="204"/>
      <c r="OVV28" s="204"/>
      <c r="OVW28" s="204"/>
      <c r="OVX28" s="204"/>
      <c r="OVY28" s="204"/>
      <c r="OVZ28" s="204"/>
      <c r="OWA28" s="204"/>
      <c r="OWB28" s="204"/>
      <c r="OWC28" s="204"/>
      <c r="OWD28" s="204"/>
      <c r="OWE28" s="204"/>
      <c r="OWF28" s="204"/>
      <c r="OWG28" s="204"/>
      <c r="OWH28" s="204"/>
      <c r="OWI28" s="204"/>
      <c r="OWJ28" s="204"/>
      <c r="OWK28" s="204"/>
      <c r="OWL28" s="204"/>
      <c r="OWM28" s="204"/>
      <c r="OWN28" s="204"/>
      <c r="OWO28" s="204"/>
      <c r="OWP28" s="204"/>
      <c r="OWQ28" s="204"/>
      <c r="OWR28" s="204"/>
      <c r="OWS28" s="204"/>
      <c r="OWT28" s="204"/>
      <c r="OWU28" s="204"/>
      <c r="OWV28" s="204"/>
      <c r="OWW28" s="204"/>
      <c r="OWX28" s="204"/>
      <c r="OWY28" s="204"/>
      <c r="OWZ28" s="204"/>
      <c r="OXA28" s="204"/>
      <c r="OXB28" s="204"/>
      <c r="OXC28" s="204"/>
      <c r="OXD28" s="204"/>
      <c r="OXE28" s="204"/>
      <c r="OXF28" s="204"/>
      <c r="OXG28" s="204"/>
      <c r="OXH28" s="204"/>
      <c r="OXI28" s="204"/>
      <c r="OXJ28" s="204"/>
      <c r="OXK28" s="204"/>
      <c r="OXL28" s="204"/>
      <c r="OXM28" s="204"/>
      <c r="OXN28" s="204"/>
      <c r="OXO28" s="204"/>
      <c r="OXP28" s="204"/>
      <c r="OXQ28" s="204"/>
      <c r="OXR28" s="204"/>
      <c r="OXS28" s="204"/>
      <c r="OXT28" s="204"/>
      <c r="OXU28" s="204"/>
      <c r="OXV28" s="204"/>
      <c r="OXW28" s="204"/>
      <c r="OXX28" s="204"/>
      <c r="OXY28" s="204"/>
      <c r="OXZ28" s="204"/>
      <c r="OYA28" s="204"/>
      <c r="OYB28" s="204"/>
      <c r="OYC28" s="204"/>
      <c r="OYD28" s="204"/>
      <c r="OYE28" s="204"/>
      <c r="OYF28" s="204"/>
      <c r="OYG28" s="204"/>
      <c r="OYH28" s="204"/>
      <c r="OYI28" s="204"/>
      <c r="OYJ28" s="204"/>
      <c r="OYK28" s="204"/>
      <c r="OYL28" s="204"/>
      <c r="OYM28" s="204"/>
      <c r="OYN28" s="204"/>
      <c r="OYO28" s="204"/>
      <c r="OYP28" s="204"/>
      <c r="OYQ28" s="204"/>
      <c r="OYR28" s="204"/>
      <c r="OYS28" s="204"/>
      <c r="OYT28" s="204"/>
      <c r="OYU28" s="204"/>
      <c r="OYV28" s="204"/>
      <c r="OYW28" s="204"/>
      <c r="OYX28" s="204"/>
      <c r="OYY28" s="204"/>
      <c r="OYZ28" s="204"/>
      <c r="OZA28" s="204"/>
      <c r="OZB28" s="204"/>
      <c r="OZC28" s="204"/>
      <c r="OZD28" s="204"/>
      <c r="OZE28" s="204"/>
      <c r="OZF28" s="204"/>
      <c r="OZG28" s="204"/>
      <c r="OZH28" s="204"/>
      <c r="OZI28" s="204"/>
      <c r="OZJ28" s="204"/>
      <c r="OZK28" s="204"/>
      <c r="OZL28" s="204"/>
      <c r="OZM28" s="204"/>
      <c r="OZN28" s="204"/>
      <c r="OZO28" s="204"/>
      <c r="OZP28" s="204"/>
      <c r="OZQ28" s="204"/>
      <c r="OZR28" s="204"/>
      <c r="OZS28" s="204"/>
      <c r="OZT28" s="204"/>
      <c r="OZU28" s="204"/>
      <c r="OZV28" s="204"/>
      <c r="OZW28" s="204"/>
      <c r="OZX28" s="204"/>
      <c r="OZY28" s="204"/>
      <c r="OZZ28" s="204"/>
      <c r="PAA28" s="204"/>
      <c r="PAB28" s="204"/>
      <c r="PAC28" s="204"/>
      <c r="PAD28" s="204"/>
      <c r="PAE28" s="204"/>
      <c r="PAF28" s="204"/>
      <c r="PAG28" s="204"/>
      <c r="PAH28" s="204"/>
      <c r="PAI28" s="204"/>
      <c r="PAJ28" s="204"/>
      <c r="PAK28" s="204"/>
      <c r="PAL28" s="204"/>
      <c r="PAM28" s="204"/>
      <c r="PAN28" s="204"/>
      <c r="PAO28" s="204"/>
      <c r="PAP28" s="204"/>
      <c r="PAQ28" s="204"/>
      <c r="PAR28" s="204"/>
      <c r="PAS28" s="204"/>
      <c r="PAT28" s="204"/>
      <c r="PAU28" s="204"/>
      <c r="PAV28" s="204"/>
      <c r="PAW28" s="204"/>
      <c r="PAX28" s="204"/>
      <c r="PAY28" s="204"/>
      <c r="PAZ28" s="204"/>
      <c r="PBA28" s="204"/>
      <c r="PBB28" s="204"/>
      <c r="PBC28" s="204"/>
      <c r="PBD28" s="204"/>
      <c r="PBE28" s="204"/>
      <c r="PBF28" s="204"/>
      <c r="PBG28" s="204"/>
      <c r="PBH28" s="204"/>
      <c r="PBI28" s="204"/>
      <c r="PBJ28" s="204"/>
      <c r="PBK28" s="204"/>
      <c r="PBL28" s="204"/>
      <c r="PBM28" s="204"/>
      <c r="PBN28" s="204"/>
      <c r="PBO28" s="204"/>
      <c r="PBP28" s="204"/>
      <c r="PBQ28" s="204"/>
      <c r="PBR28" s="204"/>
      <c r="PBS28" s="204"/>
      <c r="PBT28" s="204"/>
      <c r="PBU28" s="204"/>
      <c r="PBV28" s="204"/>
      <c r="PBW28" s="204"/>
      <c r="PBX28" s="204"/>
      <c r="PBY28" s="204"/>
      <c r="PBZ28" s="204"/>
      <c r="PCA28" s="204"/>
      <c r="PCB28" s="204"/>
      <c r="PCC28" s="204"/>
      <c r="PCD28" s="204"/>
      <c r="PCE28" s="204"/>
      <c r="PCF28" s="204"/>
      <c r="PCG28" s="204"/>
      <c r="PCH28" s="204"/>
      <c r="PCI28" s="204"/>
      <c r="PCJ28" s="204"/>
      <c r="PCK28" s="204"/>
      <c r="PCL28" s="204"/>
      <c r="PCM28" s="204"/>
      <c r="PCN28" s="204"/>
      <c r="PCO28" s="204"/>
      <c r="PCP28" s="204"/>
      <c r="PCQ28" s="204"/>
      <c r="PCR28" s="204"/>
      <c r="PCS28" s="204"/>
      <c r="PCT28" s="204"/>
      <c r="PCU28" s="204"/>
      <c r="PCV28" s="204"/>
      <c r="PCW28" s="204"/>
      <c r="PCX28" s="204"/>
      <c r="PCY28" s="204"/>
      <c r="PCZ28" s="204"/>
      <c r="PDA28" s="204"/>
      <c r="PDB28" s="204"/>
      <c r="PDC28" s="204"/>
      <c r="PDD28" s="204"/>
      <c r="PDE28" s="204"/>
      <c r="PDF28" s="204"/>
      <c r="PDG28" s="204"/>
      <c r="PDH28" s="204"/>
      <c r="PDI28" s="204"/>
      <c r="PDJ28" s="204"/>
      <c r="PDK28" s="204"/>
      <c r="PDL28" s="204"/>
      <c r="PDM28" s="204"/>
      <c r="PDN28" s="204"/>
      <c r="PDO28" s="204"/>
      <c r="PDP28" s="204"/>
      <c r="PDQ28" s="204"/>
      <c r="PDR28" s="204"/>
      <c r="PDS28" s="204"/>
      <c r="PDT28" s="204"/>
      <c r="PDU28" s="204"/>
      <c r="PDV28" s="204"/>
      <c r="PDW28" s="204"/>
      <c r="PDX28" s="204"/>
      <c r="PDY28" s="204"/>
      <c r="PDZ28" s="204"/>
      <c r="PEA28" s="204"/>
      <c r="PEB28" s="204"/>
      <c r="PEC28" s="204"/>
      <c r="PED28" s="204"/>
      <c r="PEE28" s="204"/>
      <c r="PEF28" s="204"/>
      <c r="PEG28" s="204"/>
      <c r="PEH28" s="204"/>
      <c r="PEI28" s="204"/>
      <c r="PEJ28" s="204"/>
      <c r="PEK28" s="204"/>
      <c r="PEL28" s="204"/>
      <c r="PEM28" s="204"/>
      <c r="PEN28" s="204"/>
      <c r="PEO28" s="204"/>
      <c r="PEP28" s="204"/>
      <c r="PEQ28" s="204"/>
      <c r="PER28" s="204"/>
      <c r="PES28" s="204"/>
      <c r="PET28" s="204"/>
      <c r="PEU28" s="204"/>
      <c r="PEV28" s="204"/>
      <c r="PEW28" s="204"/>
      <c r="PEX28" s="204"/>
      <c r="PEY28" s="204"/>
      <c r="PEZ28" s="204"/>
      <c r="PFA28" s="204"/>
      <c r="PFB28" s="204"/>
      <c r="PFC28" s="204"/>
      <c r="PFD28" s="204"/>
      <c r="PFE28" s="204"/>
      <c r="PFF28" s="204"/>
      <c r="PFG28" s="204"/>
      <c r="PFH28" s="204"/>
      <c r="PFI28" s="204"/>
      <c r="PFJ28" s="204"/>
      <c r="PFK28" s="204"/>
      <c r="PFL28" s="204"/>
      <c r="PFM28" s="204"/>
      <c r="PFN28" s="204"/>
      <c r="PFO28" s="204"/>
      <c r="PFP28" s="204"/>
      <c r="PFQ28" s="204"/>
      <c r="PFR28" s="204"/>
      <c r="PFS28" s="204"/>
      <c r="PFT28" s="204"/>
      <c r="PFU28" s="204"/>
      <c r="PFV28" s="204"/>
      <c r="PFW28" s="204"/>
      <c r="PFX28" s="204"/>
      <c r="PFY28" s="204"/>
      <c r="PFZ28" s="204"/>
      <c r="PGA28" s="204"/>
      <c r="PGB28" s="204"/>
      <c r="PGC28" s="204"/>
      <c r="PGD28" s="204"/>
      <c r="PGE28" s="204"/>
      <c r="PGF28" s="204"/>
      <c r="PGG28" s="204"/>
      <c r="PGH28" s="204"/>
      <c r="PGI28" s="204"/>
      <c r="PGJ28" s="204"/>
      <c r="PGK28" s="204"/>
      <c r="PGL28" s="204"/>
      <c r="PGM28" s="204"/>
      <c r="PGN28" s="204"/>
      <c r="PGO28" s="204"/>
      <c r="PGP28" s="204"/>
      <c r="PGQ28" s="204"/>
      <c r="PGR28" s="204"/>
      <c r="PGS28" s="204"/>
      <c r="PGT28" s="204"/>
      <c r="PGU28" s="204"/>
      <c r="PGV28" s="204"/>
      <c r="PGW28" s="204"/>
      <c r="PGX28" s="204"/>
      <c r="PGY28" s="204"/>
      <c r="PGZ28" s="204"/>
      <c r="PHA28" s="204"/>
      <c r="PHB28" s="204"/>
      <c r="PHC28" s="204"/>
      <c r="PHD28" s="204"/>
      <c r="PHE28" s="204"/>
      <c r="PHF28" s="204"/>
      <c r="PHG28" s="204"/>
      <c r="PHH28" s="204"/>
      <c r="PHI28" s="204"/>
      <c r="PHJ28" s="204"/>
      <c r="PHK28" s="204"/>
      <c r="PHL28" s="204"/>
      <c r="PHM28" s="204"/>
      <c r="PHN28" s="204"/>
      <c r="PHO28" s="204"/>
      <c r="PHP28" s="204"/>
      <c r="PHQ28" s="204"/>
      <c r="PHR28" s="204"/>
      <c r="PHS28" s="204"/>
      <c r="PHT28" s="204"/>
      <c r="PHU28" s="204"/>
      <c r="PHV28" s="204"/>
      <c r="PHW28" s="204"/>
      <c r="PHX28" s="204"/>
      <c r="PHY28" s="204"/>
      <c r="PHZ28" s="204"/>
      <c r="PIA28" s="204"/>
      <c r="PIB28" s="204"/>
      <c r="PIC28" s="204"/>
      <c r="PID28" s="204"/>
      <c r="PIE28" s="204"/>
      <c r="PIF28" s="204"/>
      <c r="PIG28" s="204"/>
      <c r="PIH28" s="204"/>
      <c r="PII28" s="204"/>
      <c r="PIJ28" s="204"/>
      <c r="PIK28" s="204"/>
      <c r="PIL28" s="204"/>
      <c r="PIM28" s="204"/>
      <c r="PIN28" s="204"/>
      <c r="PIO28" s="204"/>
      <c r="PIP28" s="204"/>
      <c r="PIQ28" s="204"/>
      <c r="PIR28" s="204"/>
      <c r="PIS28" s="204"/>
      <c r="PIT28" s="204"/>
      <c r="PIU28" s="204"/>
      <c r="PIV28" s="204"/>
      <c r="PIW28" s="204"/>
      <c r="PIX28" s="204"/>
      <c r="PIY28" s="204"/>
      <c r="PIZ28" s="204"/>
      <c r="PJA28" s="204"/>
      <c r="PJB28" s="204"/>
      <c r="PJC28" s="204"/>
      <c r="PJD28" s="204"/>
      <c r="PJE28" s="204"/>
      <c r="PJF28" s="204"/>
      <c r="PJG28" s="204"/>
      <c r="PJH28" s="204"/>
      <c r="PJI28" s="204"/>
      <c r="PJJ28" s="204"/>
      <c r="PJK28" s="204"/>
      <c r="PJL28" s="204"/>
      <c r="PJM28" s="204"/>
      <c r="PJN28" s="204"/>
      <c r="PJO28" s="204"/>
      <c r="PJP28" s="204"/>
      <c r="PJQ28" s="204"/>
      <c r="PJR28" s="204"/>
      <c r="PJS28" s="204"/>
      <c r="PJT28" s="204"/>
      <c r="PJU28" s="204"/>
      <c r="PJV28" s="204"/>
      <c r="PJW28" s="204"/>
      <c r="PJX28" s="204"/>
      <c r="PJY28" s="204"/>
      <c r="PJZ28" s="204"/>
      <c r="PKA28" s="204"/>
      <c r="PKB28" s="204"/>
      <c r="PKC28" s="204"/>
      <c r="PKD28" s="204"/>
      <c r="PKE28" s="204"/>
      <c r="PKF28" s="204"/>
      <c r="PKG28" s="204"/>
      <c r="PKH28" s="204"/>
      <c r="PKI28" s="204"/>
      <c r="PKJ28" s="204"/>
      <c r="PKK28" s="204"/>
      <c r="PKL28" s="204"/>
      <c r="PKM28" s="204"/>
      <c r="PKN28" s="204"/>
      <c r="PKO28" s="204"/>
      <c r="PKP28" s="204"/>
      <c r="PKQ28" s="204"/>
      <c r="PKR28" s="204"/>
      <c r="PKS28" s="204"/>
      <c r="PKT28" s="204"/>
      <c r="PKU28" s="204"/>
      <c r="PKV28" s="204"/>
      <c r="PKW28" s="204"/>
      <c r="PKX28" s="204"/>
      <c r="PKY28" s="204"/>
      <c r="PKZ28" s="204"/>
      <c r="PLA28" s="204"/>
      <c r="PLB28" s="204"/>
      <c r="PLC28" s="204"/>
      <c r="PLD28" s="204"/>
      <c r="PLE28" s="204"/>
      <c r="PLF28" s="204"/>
      <c r="PLG28" s="204"/>
      <c r="PLH28" s="204"/>
      <c r="PLI28" s="204"/>
      <c r="PLJ28" s="204"/>
      <c r="PLK28" s="204"/>
      <c r="PLL28" s="204"/>
      <c r="PLM28" s="204"/>
      <c r="PLN28" s="204"/>
      <c r="PLO28" s="204"/>
      <c r="PLP28" s="204"/>
      <c r="PLQ28" s="204"/>
      <c r="PLR28" s="204"/>
      <c r="PLS28" s="204"/>
      <c r="PLT28" s="204"/>
      <c r="PLU28" s="204"/>
      <c r="PLV28" s="204"/>
      <c r="PLW28" s="204"/>
      <c r="PLX28" s="204"/>
      <c r="PLY28" s="204"/>
      <c r="PLZ28" s="204"/>
      <c r="PMA28" s="204"/>
      <c r="PMB28" s="204"/>
      <c r="PMC28" s="204"/>
      <c r="PMD28" s="204"/>
      <c r="PME28" s="204"/>
      <c r="PMF28" s="204"/>
      <c r="PMG28" s="204"/>
      <c r="PMH28" s="204"/>
      <c r="PMI28" s="204"/>
      <c r="PMJ28" s="204"/>
      <c r="PMK28" s="204"/>
      <c r="PML28" s="204"/>
      <c r="PMM28" s="204"/>
      <c r="PMN28" s="204"/>
      <c r="PMO28" s="204"/>
      <c r="PMP28" s="204"/>
      <c r="PMQ28" s="204"/>
      <c r="PMR28" s="204"/>
      <c r="PMS28" s="204"/>
      <c r="PMT28" s="204"/>
      <c r="PMU28" s="204"/>
      <c r="PMV28" s="204"/>
      <c r="PMW28" s="204"/>
      <c r="PMX28" s="204"/>
      <c r="PMY28" s="204"/>
      <c r="PMZ28" s="204"/>
      <c r="PNA28" s="204"/>
      <c r="PNB28" s="204"/>
      <c r="PNC28" s="204"/>
      <c r="PND28" s="204"/>
      <c r="PNE28" s="204"/>
      <c r="PNF28" s="204"/>
      <c r="PNG28" s="204"/>
      <c r="PNH28" s="204"/>
      <c r="PNI28" s="204"/>
      <c r="PNJ28" s="204"/>
      <c r="PNK28" s="204"/>
      <c r="PNL28" s="204"/>
      <c r="PNM28" s="204"/>
      <c r="PNN28" s="204"/>
      <c r="PNO28" s="204"/>
      <c r="PNP28" s="204"/>
      <c r="PNQ28" s="204"/>
      <c r="PNR28" s="204"/>
      <c r="PNS28" s="204"/>
      <c r="PNT28" s="204"/>
      <c r="PNU28" s="204"/>
      <c r="PNV28" s="204"/>
      <c r="PNW28" s="204"/>
      <c r="PNX28" s="204"/>
      <c r="PNY28" s="204"/>
      <c r="PNZ28" s="204"/>
      <c r="POA28" s="204"/>
      <c r="POB28" s="204"/>
      <c r="POC28" s="204"/>
      <c r="POD28" s="204"/>
      <c r="POE28" s="204"/>
      <c r="POF28" s="204"/>
      <c r="POG28" s="204"/>
      <c r="POH28" s="204"/>
      <c r="POI28" s="204"/>
      <c r="POJ28" s="204"/>
      <c r="POK28" s="204"/>
      <c r="POL28" s="204"/>
      <c r="POM28" s="204"/>
      <c r="PON28" s="204"/>
      <c r="POO28" s="204"/>
      <c r="POP28" s="204"/>
      <c r="POQ28" s="204"/>
      <c r="POR28" s="204"/>
      <c r="POS28" s="204"/>
      <c r="POT28" s="204"/>
      <c r="POU28" s="204"/>
      <c r="POV28" s="204"/>
      <c r="POW28" s="204"/>
      <c r="POX28" s="204"/>
      <c r="POY28" s="204"/>
      <c r="POZ28" s="204"/>
      <c r="PPA28" s="204"/>
      <c r="PPB28" s="204"/>
      <c r="PPC28" s="204"/>
      <c r="PPD28" s="204"/>
      <c r="PPE28" s="204"/>
      <c r="PPF28" s="204"/>
      <c r="PPG28" s="204"/>
      <c r="PPH28" s="204"/>
      <c r="PPI28" s="204"/>
      <c r="PPJ28" s="204"/>
      <c r="PPK28" s="204"/>
      <c r="PPL28" s="204"/>
      <c r="PPM28" s="204"/>
      <c r="PPN28" s="204"/>
      <c r="PPO28" s="204"/>
      <c r="PPP28" s="204"/>
      <c r="PPQ28" s="204"/>
      <c r="PPR28" s="204"/>
      <c r="PPS28" s="204"/>
      <c r="PPT28" s="204"/>
      <c r="PPU28" s="204"/>
      <c r="PPV28" s="204"/>
      <c r="PPW28" s="204"/>
      <c r="PPX28" s="204"/>
      <c r="PPY28" s="204"/>
      <c r="PPZ28" s="204"/>
      <c r="PQA28" s="204"/>
      <c r="PQB28" s="204"/>
      <c r="PQC28" s="204"/>
      <c r="PQD28" s="204"/>
      <c r="PQE28" s="204"/>
      <c r="PQF28" s="204"/>
      <c r="PQG28" s="204"/>
      <c r="PQH28" s="204"/>
      <c r="PQI28" s="204"/>
      <c r="PQJ28" s="204"/>
      <c r="PQK28" s="204"/>
      <c r="PQL28" s="204"/>
      <c r="PQM28" s="204"/>
      <c r="PQN28" s="204"/>
      <c r="PQO28" s="204"/>
      <c r="PQP28" s="204"/>
      <c r="PQQ28" s="204"/>
      <c r="PQR28" s="204"/>
      <c r="PQS28" s="204"/>
      <c r="PQT28" s="204"/>
      <c r="PQU28" s="204"/>
      <c r="PQV28" s="204"/>
      <c r="PQW28" s="204"/>
      <c r="PQX28" s="204"/>
      <c r="PQY28" s="204"/>
      <c r="PQZ28" s="204"/>
      <c r="PRA28" s="204"/>
      <c r="PRB28" s="204"/>
      <c r="PRC28" s="204"/>
      <c r="PRD28" s="204"/>
      <c r="PRE28" s="204"/>
      <c r="PRF28" s="204"/>
      <c r="PRG28" s="204"/>
      <c r="PRH28" s="204"/>
      <c r="PRI28" s="204"/>
      <c r="PRJ28" s="204"/>
      <c r="PRK28" s="204"/>
      <c r="PRL28" s="204"/>
      <c r="PRM28" s="204"/>
      <c r="PRN28" s="204"/>
      <c r="PRO28" s="204"/>
      <c r="PRP28" s="204"/>
      <c r="PRQ28" s="204"/>
      <c r="PRR28" s="204"/>
      <c r="PRS28" s="204"/>
      <c r="PRT28" s="204"/>
      <c r="PRU28" s="204"/>
      <c r="PRV28" s="204"/>
      <c r="PRW28" s="204"/>
      <c r="PRX28" s="204"/>
      <c r="PRY28" s="204"/>
      <c r="PRZ28" s="204"/>
      <c r="PSA28" s="204"/>
      <c r="PSB28" s="204"/>
      <c r="PSC28" s="204"/>
      <c r="PSD28" s="204"/>
      <c r="PSE28" s="204"/>
      <c r="PSF28" s="204"/>
      <c r="PSG28" s="204"/>
      <c r="PSH28" s="204"/>
      <c r="PSI28" s="204"/>
      <c r="PSJ28" s="204"/>
      <c r="PSK28" s="204"/>
      <c r="PSL28" s="204"/>
      <c r="PSM28" s="204"/>
      <c r="PSN28" s="204"/>
      <c r="PSO28" s="204"/>
      <c r="PSP28" s="204"/>
      <c r="PSQ28" s="204"/>
      <c r="PSR28" s="204"/>
      <c r="PSS28" s="204"/>
      <c r="PST28" s="204"/>
      <c r="PSU28" s="204"/>
      <c r="PSV28" s="204"/>
      <c r="PSW28" s="204"/>
      <c r="PSX28" s="204"/>
      <c r="PSY28" s="204"/>
      <c r="PSZ28" s="204"/>
      <c r="PTA28" s="204"/>
      <c r="PTB28" s="204"/>
      <c r="PTC28" s="204"/>
      <c r="PTD28" s="204"/>
      <c r="PTE28" s="204"/>
      <c r="PTF28" s="204"/>
      <c r="PTG28" s="204"/>
      <c r="PTH28" s="204"/>
      <c r="PTI28" s="204"/>
      <c r="PTJ28" s="204"/>
      <c r="PTK28" s="204"/>
      <c r="PTL28" s="204"/>
      <c r="PTM28" s="204"/>
      <c r="PTN28" s="204"/>
      <c r="PTO28" s="204"/>
      <c r="PTP28" s="204"/>
      <c r="PTQ28" s="204"/>
      <c r="PTR28" s="204"/>
      <c r="PTS28" s="204"/>
      <c r="PTT28" s="204"/>
      <c r="PTU28" s="204"/>
      <c r="PTV28" s="204"/>
      <c r="PTW28" s="204"/>
      <c r="PTX28" s="204"/>
      <c r="PTY28" s="204"/>
      <c r="PTZ28" s="204"/>
      <c r="PUA28" s="204"/>
      <c r="PUB28" s="204"/>
      <c r="PUC28" s="204"/>
      <c r="PUD28" s="204"/>
      <c r="PUE28" s="204"/>
      <c r="PUF28" s="204"/>
      <c r="PUG28" s="204"/>
      <c r="PUH28" s="204"/>
      <c r="PUI28" s="204"/>
      <c r="PUJ28" s="204"/>
      <c r="PUK28" s="204"/>
      <c r="PUL28" s="204"/>
      <c r="PUM28" s="204"/>
      <c r="PUN28" s="204"/>
      <c r="PUO28" s="204"/>
      <c r="PUP28" s="204"/>
      <c r="PUQ28" s="204"/>
      <c r="PUR28" s="204"/>
      <c r="PUS28" s="204"/>
      <c r="PUT28" s="204"/>
      <c r="PUU28" s="204"/>
      <c r="PUV28" s="204"/>
      <c r="PUW28" s="204"/>
      <c r="PUX28" s="204"/>
      <c r="PUY28" s="204"/>
      <c r="PUZ28" s="204"/>
      <c r="PVA28" s="204"/>
      <c r="PVB28" s="204"/>
      <c r="PVC28" s="204"/>
      <c r="PVD28" s="204"/>
      <c r="PVE28" s="204"/>
      <c r="PVF28" s="204"/>
      <c r="PVG28" s="204"/>
      <c r="PVH28" s="204"/>
      <c r="PVI28" s="204"/>
      <c r="PVJ28" s="204"/>
      <c r="PVK28" s="204"/>
      <c r="PVL28" s="204"/>
      <c r="PVM28" s="204"/>
      <c r="PVN28" s="204"/>
      <c r="PVO28" s="204"/>
      <c r="PVP28" s="204"/>
      <c r="PVQ28" s="204"/>
      <c r="PVR28" s="204"/>
      <c r="PVS28" s="204"/>
      <c r="PVT28" s="204"/>
      <c r="PVU28" s="204"/>
      <c r="PVV28" s="204"/>
      <c r="PVW28" s="204"/>
      <c r="PVX28" s="204"/>
      <c r="PVY28" s="204"/>
      <c r="PVZ28" s="204"/>
      <c r="PWA28" s="204"/>
      <c r="PWB28" s="204"/>
      <c r="PWC28" s="204"/>
      <c r="PWD28" s="204"/>
      <c r="PWE28" s="204"/>
      <c r="PWF28" s="204"/>
      <c r="PWG28" s="204"/>
      <c r="PWH28" s="204"/>
      <c r="PWI28" s="204"/>
      <c r="PWJ28" s="204"/>
      <c r="PWK28" s="204"/>
      <c r="PWL28" s="204"/>
      <c r="PWM28" s="204"/>
      <c r="PWN28" s="204"/>
      <c r="PWO28" s="204"/>
      <c r="PWP28" s="204"/>
      <c r="PWQ28" s="204"/>
      <c r="PWR28" s="204"/>
      <c r="PWS28" s="204"/>
      <c r="PWT28" s="204"/>
      <c r="PWU28" s="204"/>
      <c r="PWV28" s="204"/>
      <c r="PWW28" s="204"/>
      <c r="PWX28" s="204"/>
      <c r="PWY28" s="204"/>
      <c r="PWZ28" s="204"/>
      <c r="PXA28" s="204"/>
      <c r="PXB28" s="204"/>
      <c r="PXC28" s="204"/>
      <c r="PXD28" s="204"/>
      <c r="PXE28" s="204"/>
      <c r="PXF28" s="204"/>
      <c r="PXG28" s="204"/>
      <c r="PXH28" s="204"/>
      <c r="PXI28" s="204"/>
      <c r="PXJ28" s="204"/>
      <c r="PXK28" s="204"/>
      <c r="PXL28" s="204"/>
      <c r="PXM28" s="204"/>
      <c r="PXN28" s="204"/>
      <c r="PXO28" s="204"/>
      <c r="PXP28" s="204"/>
      <c r="PXQ28" s="204"/>
      <c r="PXR28" s="204"/>
      <c r="PXS28" s="204"/>
      <c r="PXT28" s="204"/>
      <c r="PXU28" s="204"/>
      <c r="PXV28" s="204"/>
      <c r="PXW28" s="204"/>
      <c r="PXX28" s="204"/>
      <c r="PXY28" s="204"/>
      <c r="PXZ28" s="204"/>
      <c r="PYA28" s="204"/>
      <c r="PYB28" s="204"/>
      <c r="PYC28" s="204"/>
      <c r="PYD28" s="204"/>
      <c r="PYE28" s="204"/>
      <c r="PYF28" s="204"/>
      <c r="PYG28" s="204"/>
      <c r="PYH28" s="204"/>
      <c r="PYI28" s="204"/>
      <c r="PYJ28" s="204"/>
      <c r="PYK28" s="204"/>
      <c r="PYL28" s="204"/>
      <c r="PYM28" s="204"/>
      <c r="PYN28" s="204"/>
      <c r="PYO28" s="204"/>
      <c r="PYP28" s="204"/>
      <c r="PYQ28" s="204"/>
      <c r="PYR28" s="204"/>
      <c r="PYS28" s="204"/>
      <c r="PYT28" s="204"/>
      <c r="PYU28" s="204"/>
      <c r="PYV28" s="204"/>
      <c r="PYW28" s="204"/>
      <c r="PYX28" s="204"/>
      <c r="PYY28" s="204"/>
      <c r="PYZ28" s="204"/>
      <c r="PZA28" s="204"/>
      <c r="PZB28" s="204"/>
      <c r="PZC28" s="204"/>
      <c r="PZD28" s="204"/>
      <c r="PZE28" s="204"/>
      <c r="PZF28" s="204"/>
      <c r="PZG28" s="204"/>
      <c r="PZH28" s="204"/>
      <c r="PZI28" s="204"/>
      <c r="PZJ28" s="204"/>
      <c r="PZK28" s="204"/>
      <c r="PZL28" s="204"/>
      <c r="PZM28" s="204"/>
      <c r="PZN28" s="204"/>
      <c r="PZO28" s="204"/>
      <c r="PZP28" s="204"/>
      <c r="PZQ28" s="204"/>
      <c r="PZR28" s="204"/>
      <c r="PZS28" s="204"/>
      <c r="PZT28" s="204"/>
      <c r="PZU28" s="204"/>
      <c r="PZV28" s="204"/>
      <c r="PZW28" s="204"/>
      <c r="PZX28" s="204"/>
      <c r="PZY28" s="204"/>
      <c r="PZZ28" s="204"/>
      <c r="QAA28" s="204"/>
      <c r="QAB28" s="204"/>
      <c r="QAC28" s="204"/>
      <c r="QAD28" s="204"/>
      <c r="QAE28" s="204"/>
      <c r="QAF28" s="204"/>
      <c r="QAG28" s="204"/>
      <c r="QAH28" s="204"/>
      <c r="QAI28" s="204"/>
      <c r="QAJ28" s="204"/>
      <c r="QAK28" s="204"/>
      <c r="QAL28" s="204"/>
      <c r="QAM28" s="204"/>
      <c r="QAN28" s="204"/>
      <c r="QAO28" s="204"/>
      <c r="QAP28" s="204"/>
      <c r="QAQ28" s="204"/>
      <c r="QAR28" s="204"/>
      <c r="QAS28" s="204"/>
      <c r="QAT28" s="204"/>
      <c r="QAU28" s="204"/>
      <c r="QAV28" s="204"/>
      <c r="QAW28" s="204"/>
      <c r="QAX28" s="204"/>
      <c r="QAY28" s="204"/>
      <c r="QAZ28" s="204"/>
      <c r="QBA28" s="204"/>
      <c r="QBB28" s="204"/>
      <c r="QBC28" s="204"/>
      <c r="QBD28" s="204"/>
      <c r="QBE28" s="204"/>
      <c r="QBF28" s="204"/>
      <c r="QBG28" s="204"/>
      <c r="QBH28" s="204"/>
      <c r="QBI28" s="204"/>
      <c r="QBJ28" s="204"/>
      <c r="QBK28" s="204"/>
      <c r="QBL28" s="204"/>
      <c r="QBM28" s="204"/>
      <c r="QBN28" s="204"/>
      <c r="QBO28" s="204"/>
      <c r="QBP28" s="204"/>
      <c r="QBQ28" s="204"/>
      <c r="QBR28" s="204"/>
      <c r="QBS28" s="204"/>
      <c r="QBT28" s="204"/>
      <c r="QBU28" s="204"/>
      <c r="QBV28" s="204"/>
      <c r="QBW28" s="204"/>
      <c r="QBX28" s="204"/>
      <c r="QBY28" s="204"/>
      <c r="QBZ28" s="204"/>
      <c r="QCA28" s="204"/>
      <c r="QCB28" s="204"/>
      <c r="QCC28" s="204"/>
      <c r="QCD28" s="204"/>
      <c r="QCE28" s="204"/>
      <c r="QCF28" s="204"/>
      <c r="QCG28" s="204"/>
      <c r="QCH28" s="204"/>
      <c r="QCI28" s="204"/>
      <c r="QCJ28" s="204"/>
      <c r="QCK28" s="204"/>
      <c r="QCL28" s="204"/>
      <c r="QCM28" s="204"/>
      <c r="QCN28" s="204"/>
      <c r="QCO28" s="204"/>
      <c r="QCP28" s="204"/>
      <c r="QCQ28" s="204"/>
      <c r="QCR28" s="204"/>
      <c r="QCS28" s="204"/>
      <c r="QCT28" s="204"/>
      <c r="QCU28" s="204"/>
      <c r="QCV28" s="204"/>
      <c r="QCW28" s="204"/>
      <c r="QCX28" s="204"/>
      <c r="QCY28" s="204"/>
      <c r="QCZ28" s="204"/>
      <c r="QDA28" s="204"/>
      <c r="QDB28" s="204"/>
      <c r="QDC28" s="204"/>
      <c r="QDD28" s="204"/>
      <c r="QDE28" s="204"/>
      <c r="QDF28" s="204"/>
      <c r="QDG28" s="204"/>
      <c r="QDH28" s="204"/>
      <c r="QDI28" s="204"/>
      <c r="QDJ28" s="204"/>
      <c r="QDK28" s="204"/>
      <c r="QDL28" s="204"/>
      <c r="QDM28" s="204"/>
      <c r="QDN28" s="204"/>
      <c r="QDO28" s="204"/>
      <c r="QDP28" s="204"/>
      <c r="QDQ28" s="204"/>
      <c r="QDR28" s="204"/>
      <c r="QDS28" s="204"/>
      <c r="QDT28" s="204"/>
      <c r="QDU28" s="204"/>
      <c r="QDV28" s="204"/>
      <c r="QDW28" s="204"/>
      <c r="QDX28" s="204"/>
      <c r="QDY28" s="204"/>
      <c r="QDZ28" s="204"/>
      <c r="QEA28" s="204"/>
      <c r="QEB28" s="204"/>
      <c r="QEC28" s="204"/>
      <c r="QED28" s="204"/>
      <c r="QEE28" s="204"/>
      <c r="QEF28" s="204"/>
      <c r="QEG28" s="204"/>
      <c r="QEH28" s="204"/>
      <c r="QEI28" s="204"/>
      <c r="QEJ28" s="204"/>
      <c r="QEK28" s="204"/>
      <c r="QEL28" s="204"/>
      <c r="QEM28" s="204"/>
      <c r="QEN28" s="204"/>
      <c r="QEO28" s="204"/>
      <c r="QEP28" s="204"/>
      <c r="QEQ28" s="204"/>
      <c r="QER28" s="204"/>
      <c r="QES28" s="204"/>
      <c r="QET28" s="204"/>
      <c r="QEU28" s="204"/>
      <c r="QEV28" s="204"/>
      <c r="QEW28" s="204"/>
      <c r="QEX28" s="204"/>
      <c r="QEY28" s="204"/>
      <c r="QEZ28" s="204"/>
      <c r="QFA28" s="204"/>
      <c r="QFB28" s="204"/>
      <c r="QFC28" s="204"/>
      <c r="QFD28" s="204"/>
      <c r="QFE28" s="204"/>
      <c r="QFF28" s="204"/>
      <c r="QFG28" s="204"/>
      <c r="QFH28" s="204"/>
      <c r="QFI28" s="204"/>
      <c r="QFJ28" s="204"/>
      <c r="QFK28" s="204"/>
      <c r="QFL28" s="204"/>
      <c r="QFM28" s="204"/>
      <c r="QFN28" s="204"/>
      <c r="QFO28" s="204"/>
      <c r="QFP28" s="204"/>
      <c r="QFQ28" s="204"/>
      <c r="QFR28" s="204"/>
      <c r="QFS28" s="204"/>
      <c r="QFT28" s="204"/>
      <c r="QFU28" s="204"/>
      <c r="QFV28" s="204"/>
      <c r="QFW28" s="204"/>
      <c r="QFX28" s="204"/>
      <c r="QFY28" s="204"/>
      <c r="QFZ28" s="204"/>
      <c r="QGA28" s="204"/>
      <c r="QGB28" s="204"/>
      <c r="QGC28" s="204"/>
      <c r="QGD28" s="204"/>
      <c r="QGE28" s="204"/>
      <c r="QGF28" s="204"/>
      <c r="QGG28" s="204"/>
      <c r="QGH28" s="204"/>
      <c r="QGI28" s="204"/>
      <c r="QGJ28" s="204"/>
      <c r="QGK28" s="204"/>
      <c r="QGL28" s="204"/>
      <c r="QGM28" s="204"/>
      <c r="QGN28" s="204"/>
      <c r="QGO28" s="204"/>
      <c r="QGP28" s="204"/>
      <c r="QGQ28" s="204"/>
      <c r="QGR28" s="204"/>
      <c r="QGS28" s="204"/>
      <c r="QGT28" s="204"/>
      <c r="QGU28" s="204"/>
      <c r="QGV28" s="204"/>
      <c r="QGW28" s="204"/>
      <c r="QGX28" s="204"/>
      <c r="QGY28" s="204"/>
      <c r="QGZ28" s="204"/>
      <c r="QHA28" s="204"/>
      <c r="QHB28" s="204"/>
      <c r="QHC28" s="204"/>
      <c r="QHD28" s="204"/>
      <c r="QHE28" s="204"/>
      <c r="QHF28" s="204"/>
      <c r="QHG28" s="204"/>
      <c r="QHH28" s="204"/>
      <c r="QHI28" s="204"/>
      <c r="QHJ28" s="204"/>
      <c r="QHK28" s="204"/>
      <c r="QHL28" s="204"/>
      <c r="QHM28" s="204"/>
      <c r="QHN28" s="204"/>
      <c r="QHO28" s="204"/>
      <c r="QHP28" s="204"/>
      <c r="QHQ28" s="204"/>
      <c r="QHR28" s="204"/>
      <c r="QHS28" s="204"/>
      <c r="QHT28" s="204"/>
      <c r="QHU28" s="204"/>
      <c r="QHV28" s="204"/>
      <c r="QHW28" s="204"/>
      <c r="QHX28" s="204"/>
      <c r="QHY28" s="204"/>
      <c r="QHZ28" s="204"/>
      <c r="QIA28" s="204"/>
      <c r="QIB28" s="204"/>
      <c r="QIC28" s="204"/>
      <c r="QID28" s="204"/>
      <c r="QIE28" s="204"/>
      <c r="QIF28" s="204"/>
      <c r="QIG28" s="204"/>
      <c r="QIH28" s="204"/>
      <c r="QII28" s="204"/>
      <c r="QIJ28" s="204"/>
      <c r="QIK28" s="204"/>
      <c r="QIL28" s="204"/>
      <c r="QIM28" s="204"/>
      <c r="QIN28" s="204"/>
      <c r="QIO28" s="204"/>
      <c r="QIP28" s="204"/>
      <c r="QIQ28" s="204"/>
      <c r="QIR28" s="204"/>
      <c r="QIS28" s="204"/>
      <c r="QIT28" s="204"/>
      <c r="QIU28" s="204"/>
      <c r="QIV28" s="204"/>
      <c r="QIW28" s="204"/>
      <c r="QIX28" s="204"/>
      <c r="QIY28" s="204"/>
      <c r="QIZ28" s="204"/>
      <c r="QJA28" s="204"/>
      <c r="QJB28" s="204"/>
      <c r="QJC28" s="204"/>
      <c r="QJD28" s="204"/>
      <c r="QJE28" s="204"/>
      <c r="QJF28" s="204"/>
      <c r="QJG28" s="204"/>
      <c r="QJH28" s="204"/>
      <c r="QJI28" s="204"/>
      <c r="QJJ28" s="204"/>
      <c r="QJK28" s="204"/>
      <c r="QJL28" s="204"/>
      <c r="QJM28" s="204"/>
      <c r="QJN28" s="204"/>
      <c r="QJO28" s="204"/>
      <c r="QJP28" s="204"/>
      <c r="QJQ28" s="204"/>
      <c r="QJR28" s="204"/>
      <c r="QJS28" s="204"/>
      <c r="QJT28" s="204"/>
      <c r="QJU28" s="204"/>
      <c r="QJV28" s="204"/>
      <c r="QJW28" s="204"/>
      <c r="QJX28" s="204"/>
      <c r="QJY28" s="204"/>
      <c r="QJZ28" s="204"/>
      <c r="QKA28" s="204"/>
      <c r="QKB28" s="204"/>
      <c r="QKC28" s="204"/>
      <c r="QKD28" s="204"/>
      <c r="QKE28" s="204"/>
      <c r="QKF28" s="204"/>
      <c r="QKG28" s="204"/>
      <c r="QKH28" s="204"/>
      <c r="QKI28" s="204"/>
      <c r="QKJ28" s="204"/>
      <c r="QKK28" s="204"/>
      <c r="QKL28" s="204"/>
      <c r="QKM28" s="204"/>
      <c r="QKN28" s="204"/>
      <c r="QKO28" s="204"/>
      <c r="QKP28" s="204"/>
      <c r="QKQ28" s="204"/>
      <c r="QKR28" s="204"/>
      <c r="QKS28" s="204"/>
      <c r="QKT28" s="204"/>
      <c r="QKU28" s="204"/>
      <c r="QKV28" s="204"/>
      <c r="QKW28" s="204"/>
      <c r="QKX28" s="204"/>
      <c r="QKY28" s="204"/>
      <c r="QKZ28" s="204"/>
      <c r="QLA28" s="204"/>
      <c r="QLB28" s="204"/>
      <c r="QLC28" s="204"/>
      <c r="QLD28" s="204"/>
      <c r="QLE28" s="204"/>
      <c r="QLF28" s="204"/>
      <c r="QLG28" s="204"/>
      <c r="QLH28" s="204"/>
      <c r="QLI28" s="204"/>
      <c r="QLJ28" s="204"/>
      <c r="QLK28" s="204"/>
      <c r="QLL28" s="204"/>
      <c r="QLM28" s="204"/>
      <c r="QLN28" s="204"/>
      <c r="QLO28" s="204"/>
      <c r="QLP28" s="204"/>
      <c r="QLQ28" s="204"/>
      <c r="QLR28" s="204"/>
      <c r="QLS28" s="204"/>
      <c r="QLT28" s="204"/>
      <c r="QLU28" s="204"/>
      <c r="QLV28" s="204"/>
      <c r="QLW28" s="204"/>
      <c r="QLX28" s="204"/>
      <c r="QLY28" s="204"/>
      <c r="QLZ28" s="204"/>
      <c r="QMA28" s="204"/>
      <c r="QMB28" s="204"/>
      <c r="QMC28" s="204"/>
      <c r="QMD28" s="204"/>
      <c r="QME28" s="204"/>
      <c r="QMF28" s="204"/>
      <c r="QMG28" s="204"/>
      <c r="QMH28" s="204"/>
      <c r="QMI28" s="204"/>
      <c r="QMJ28" s="204"/>
      <c r="QMK28" s="204"/>
      <c r="QML28" s="204"/>
      <c r="QMM28" s="204"/>
      <c r="QMN28" s="204"/>
      <c r="QMO28" s="204"/>
      <c r="QMP28" s="204"/>
      <c r="QMQ28" s="204"/>
      <c r="QMR28" s="204"/>
      <c r="QMS28" s="204"/>
      <c r="QMT28" s="204"/>
      <c r="QMU28" s="204"/>
      <c r="QMV28" s="204"/>
      <c r="QMW28" s="204"/>
      <c r="QMX28" s="204"/>
      <c r="QMY28" s="204"/>
      <c r="QMZ28" s="204"/>
      <c r="QNA28" s="204"/>
      <c r="QNB28" s="204"/>
      <c r="QNC28" s="204"/>
      <c r="QND28" s="204"/>
      <c r="QNE28" s="204"/>
      <c r="QNF28" s="204"/>
      <c r="QNG28" s="204"/>
      <c r="QNH28" s="204"/>
      <c r="QNI28" s="204"/>
      <c r="QNJ28" s="204"/>
      <c r="QNK28" s="204"/>
      <c r="QNL28" s="204"/>
      <c r="QNM28" s="204"/>
      <c r="QNN28" s="204"/>
      <c r="QNO28" s="204"/>
      <c r="QNP28" s="204"/>
      <c r="QNQ28" s="204"/>
      <c r="QNR28" s="204"/>
      <c r="QNS28" s="204"/>
      <c r="QNT28" s="204"/>
      <c r="QNU28" s="204"/>
      <c r="QNV28" s="204"/>
      <c r="QNW28" s="204"/>
      <c r="QNX28" s="204"/>
      <c r="QNY28" s="204"/>
      <c r="QNZ28" s="204"/>
      <c r="QOA28" s="204"/>
      <c r="QOB28" s="204"/>
      <c r="QOC28" s="204"/>
      <c r="QOD28" s="204"/>
      <c r="QOE28" s="204"/>
      <c r="QOF28" s="204"/>
      <c r="QOG28" s="204"/>
      <c r="QOH28" s="204"/>
      <c r="QOI28" s="204"/>
      <c r="QOJ28" s="204"/>
      <c r="QOK28" s="204"/>
      <c r="QOL28" s="204"/>
      <c r="QOM28" s="204"/>
      <c r="QON28" s="204"/>
      <c r="QOO28" s="204"/>
      <c r="QOP28" s="204"/>
      <c r="QOQ28" s="204"/>
      <c r="QOR28" s="204"/>
      <c r="QOS28" s="204"/>
      <c r="QOT28" s="204"/>
      <c r="QOU28" s="204"/>
      <c r="QOV28" s="204"/>
      <c r="QOW28" s="204"/>
      <c r="QOX28" s="204"/>
      <c r="QOY28" s="204"/>
      <c r="QOZ28" s="204"/>
      <c r="QPA28" s="204"/>
      <c r="QPB28" s="204"/>
      <c r="QPC28" s="204"/>
      <c r="QPD28" s="204"/>
      <c r="QPE28" s="204"/>
      <c r="QPF28" s="204"/>
      <c r="QPG28" s="204"/>
      <c r="QPH28" s="204"/>
      <c r="QPI28" s="204"/>
      <c r="QPJ28" s="204"/>
      <c r="QPK28" s="204"/>
      <c r="QPL28" s="204"/>
      <c r="QPM28" s="204"/>
      <c r="QPN28" s="204"/>
      <c r="QPO28" s="204"/>
      <c r="QPP28" s="204"/>
      <c r="QPQ28" s="204"/>
      <c r="QPR28" s="204"/>
      <c r="QPS28" s="204"/>
      <c r="QPT28" s="204"/>
      <c r="QPU28" s="204"/>
      <c r="QPV28" s="204"/>
      <c r="QPW28" s="204"/>
      <c r="QPX28" s="204"/>
      <c r="QPY28" s="204"/>
      <c r="QPZ28" s="204"/>
      <c r="QQA28" s="204"/>
      <c r="QQB28" s="204"/>
      <c r="QQC28" s="204"/>
      <c r="QQD28" s="204"/>
      <c r="QQE28" s="204"/>
      <c r="QQF28" s="204"/>
      <c r="QQG28" s="204"/>
      <c r="QQH28" s="204"/>
      <c r="QQI28" s="204"/>
      <c r="QQJ28" s="204"/>
      <c r="QQK28" s="204"/>
      <c r="QQL28" s="204"/>
      <c r="QQM28" s="204"/>
      <c r="QQN28" s="204"/>
      <c r="QQO28" s="204"/>
      <c r="QQP28" s="204"/>
      <c r="QQQ28" s="204"/>
      <c r="QQR28" s="204"/>
      <c r="QQS28" s="204"/>
      <c r="QQT28" s="204"/>
      <c r="QQU28" s="204"/>
      <c r="QQV28" s="204"/>
      <c r="QQW28" s="204"/>
      <c r="QQX28" s="204"/>
      <c r="QQY28" s="204"/>
      <c r="QQZ28" s="204"/>
      <c r="QRA28" s="204"/>
      <c r="QRB28" s="204"/>
      <c r="QRC28" s="204"/>
      <c r="QRD28" s="204"/>
      <c r="QRE28" s="204"/>
      <c r="QRF28" s="204"/>
      <c r="QRG28" s="204"/>
      <c r="QRH28" s="204"/>
      <c r="QRI28" s="204"/>
      <c r="QRJ28" s="204"/>
      <c r="QRK28" s="204"/>
      <c r="QRL28" s="204"/>
      <c r="QRM28" s="204"/>
      <c r="QRN28" s="204"/>
      <c r="QRO28" s="204"/>
      <c r="QRP28" s="204"/>
      <c r="QRQ28" s="204"/>
      <c r="QRR28" s="204"/>
      <c r="QRS28" s="204"/>
      <c r="QRT28" s="204"/>
      <c r="QRU28" s="204"/>
      <c r="QRV28" s="204"/>
      <c r="QRW28" s="204"/>
      <c r="QRX28" s="204"/>
      <c r="QRY28" s="204"/>
      <c r="QRZ28" s="204"/>
      <c r="QSA28" s="204"/>
      <c r="QSB28" s="204"/>
      <c r="QSC28" s="204"/>
      <c r="QSD28" s="204"/>
      <c r="QSE28" s="204"/>
      <c r="QSF28" s="204"/>
      <c r="QSG28" s="204"/>
      <c r="QSH28" s="204"/>
      <c r="QSI28" s="204"/>
      <c r="QSJ28" s="204"/>
      <c r="QSK28" s="204"/>
      <c r="QSL28" s="204"/>
      <c r="QSM28" s="204"/>
      <c r="QSN28" s="204"/>
      <c r="QSO28" s="204"/>
      <c r="QSP28" s="204"/>
      <c r="QSQ28" s="204"/>
      <c r="QSR28" s="204"/>
      <c r="QSS28" s="204"/>
      <c r="QST28" s="204"/>
      <c r="QSU28" s="204"/>
      <c r="QSV28" s="204"/>
      <c r="QSW28" s="204"/>
      <c r="QSX28" s="204"/>
      <c r="QSY28" s="204"/>
      <c r="QSZ28" s="204"/>
      <c r="QTA28" s="204"/>
      <c r="QTB28" s="204"/>
      <c r="QTC28" s="204"/>
      <c r="QTD28" s="204"/>
      <c r="QTE28" s="204"/>
      <c r="QTF28" s="204"/>
      <c r="QTG28" s="204"/>
      <c r="QTH28" s="204"/>
      <c r="QTI28" s="204"/>
      <c r="QTJ28" s="204"/>
      <c r="QTK28" s="204"/>
      <c r="QTL28" s="204"/>
      <c r="QTM28" s="204"/>
      <c r="QTN28" s="204"/>
      <c r="QTO28" s="204"/>
      <c r="QTP28" s="204"/>
      <c r="QTQ28" s="204"/>
      <c r="QTR28" s="204"/>
      <c r="QTS28" s="204"/>
      <c r="QTT28" s="204"/>
      <c r="QTU28" s="204"/>
      <c r="QTV28" s="204"/>
      <c r="QTW28" s="204"/>
      <c r="QTX28" s="204"/>
      <c r="QTY28" s="204"/>
      <c r="QTZ28" s="204"/>
      <c r="QUA28" s="204"/>
      <c r="QUB28" s="204"/>
      <c r="QUC28" s="204"/>
      <c r="QUD28" s="204"/>
      <c r="QUE28" s="204"/>
      <c r="QUF28" s="204"/>
      <c r="QUG28" s="204"/>
      <c r="QUH28" s="204"/>
      <c r="QUI28" s="204"/>
      <c r="QUJ28" s="204"/>
      <c r="QUK28" s="204"/>
      <c r="QUL28" s="204"/>
      <c r="QUM28" s="204"/>
      <c r="QUN28" s="204"/>
      <c r="QUO28" s="204"/>
      <c r="QUP28" s="204"/>
      <c r="QUQ28" s="204"/>
      <c r="QUR28" s="204"/>
      <c r="QUS28" s="204"/>
      <c r="QUT28" s="204"/>
      <c r="QUU28" s="204"/>
      <c r="QUV28" s="204"/>
      <c r="QUW28" s="204"/>
      <c r="QUX28" s="204"/>
      <c r="QUY28" s="204"/>
      <c r="QUZ28" s="204"/>
      <c r="QVA28" s="204"/>
      <c r="QVB28" s="204"/>
      <c r="QVC28" s="204"/>
      <c r="QVD28" s="204"/>
      <c r="QVE28" s="204"/>
      <c r="QVF28" s="204"/>
      <c r="QVG28" s="204"/>
      <c r="QVH28" s="204"/>
      <c r="QVI28" s="204"/>
      <c r="QVJ28" s="204"/>
      <c r="QVK28" s="204"/>
      <c r="QVL28" s="204"/>
      <c r="QVM28" s="204"/>
      <c r="QVN28" s="204"/>
      <c r="QVO28" s="204"/>
      <c r="QVP28" s="204"/>
      <c r="QVQ28" s="204"/>
      <c r="QVR28" s="204"/>
      <c r="QVS28" s="204"/>
      <c r="QVT28" s="204"/>
      <c r="QVU28" s="204"/>
      <c r="QVV28" s="204"/>
      <c r="QVW28" s="204"/>
      <c r="QVX28" s="204"/>
      <c r="QVY28" s="204"/>
      <c r="QVZ28" s="204"/>
      <c r="QWA28" s="204"/>
      <c r="QWB28" s="204"/>
      <c r="QWC28" s="204"/>
      <c r="QWD28" s="204"/>
      <c r="QWE28" s="204"/>
      <c r="QWF28" s="204"/>
      <c r="QWG28" s="204"/>
      <c r="QWH28" s="204"/>
      <c r="QWI28" s="204"/>
      <c r="QWJ28" s="204"/>
      <c r="QWK28" s="204"/>
      <c r="QWL28" s="204"/>
      <c r="QWM28" s="204"/>
      <c r="QWN28" s="204"/>
      <c r="QWO28" s="204"/>
      <c r="QWP28" s="204"/>
      <c r="QWQ28" s="204"/>
      <c r="QWR28" s="204"/>
      <c r="QWS28" s="204"/>
      <c r="QWT28" s="204"/>
      <c r="QWU28" s="204"/>
      <c r="QWV28" s="204"/>
      <c r="QWW28" s="204"/>
      <c r="QWX28" s="204"/>
      <c r="QWY28" s="204"/>
      <c r="QWZ28" s="204"/>
      <c r="QXA28" s="204"/>
      <c r="QXB28" s="204"/>
      <c r="QXC28" s="204"/>
      <c r="QXD28" s="204"/>
      <c r="QXE28" s="204"/>
      <c r="QXF28" s="204"/>
      <c r="QXG28" s="204"/>
      <c r="QXH28" s="204"/>
      <c r="QXI28" s="204"/>
      <c r="QXJ28" s="204"/>
      <c r="QXK28" s="204"/>
      <c r="QXL28" s="204"/>
      <c r="QXM28" s="204"/>
      <c r="QXN28" s="204"/>
      <c r="QXO28" s="204"/>
      <c r="QXP28" s="204"/>
      <c r="QXQ28" s="204"/>
      <c r="QXR28" s="204"/>
      <c r="QXS28" s="204"/>
      <c r="QXT28" s="204"/>
      <c r="QXU28" s="204"/>
      <c r="QXV28" s="204"/>
      <c r="QXW28" s="204"/>
      <c r="QXX28" s="204"/>
      <c r="QXY28" s="204"/>
      <c r="QXZ28" s="204"/>
      <c r="QYA28" s="204"/>
      <c r="QYB28" s="204"/>
      <c r="QYC28" s="204"/>
      <c r="QYD28" s="204"/>
      <c r="QYE28" s="204"/>
      <c r="QYF28" s="204"/>
      <c r="QYG28" s="204"/>
      <c r="QYH28" s="204"/>
      <c r="QYI28" s="204"/>
      <c r="QYJ28" s="204"/>
      <c r="QYK28" s="204"/>
      <c r="QYL28" s="204"/>
      <c r="QYM28" s="204"/>
      <c r="QYN28" s="204"/>
      <c r="QYO28" s="204"/>
      <c r="QYP28" s="204"/>
      <c r="QYQ28" s="204"/>
      <c r="QYR28" s="204"/>
      <c r="QYS28" s="204"/>
      <c r="QYT28" s="204"/>
      <c r="QYU28" s="204"/>
      <c r="QYV28" s="204"/>
      <c r="QYW28" s="204"/>
      <c r="QYX28" s="204"/>
      <c r="QYY28" s="204"/>
      <c r="QYZ28" s="204"/>
      <c r="QZA28" s="204"/>
      <c r="QZB28" s="204"/>
      <c r="QZC28" s="204"/>
      <c r="QZD28" s="204"/>
      <c r="QZE28" s="204"/>
      <c r="QZF28" s="204"/>
      <c r="QZG28" s="204"/>
      <c r="QZH28" s="204"/>
      <c r="QZI28" s="204"/>
      <c r="QZJ28" s="204"/>
      <c r="QZK28" s="204"/>
      <c r="QZL28" s="204"/>
      <c r="QZM28" s="204"/>
      <c r="QZN28" s="204"/>
      <c r="QZO28" s="204"/>
      <c r="QZP28" s="204"/>
      <c r="QZQ28" s="204"/>
      <c r="QZR28" s="204"/>
      <c r="QZS28" s="204"/>
      <c r="QZT28" s="204"/>
      <c r="QZU28" s="204"/>
      <c r="QZV28" s="204"/>
      <c r="QZW28" s="204"/>
      <c r="QZX28" s="204"/>
      <c r="QZY28" s="204"/>
      <c r="QZZ28" s="204"/>
      <c r="RAA28" s="204"/>
      <c r="RAB28" s="204"/>
      <c r="RAC28" s="204"/>
      <c r="RAD28" s="204"/>
      <c r="RAE28" s="204"/>
      <c r="RAF28" s="204"/>
      <c r="RAG28" s="204"/>
      <c r="RAH28" s="204"/>
      <c r="RAI28" s="204"/>
      <c r="RAJ28" s="204"/>
      <c r="RAK28" s="204"/>
      <c r="RAL28" s="204"/>
      <c r="RAM28" s="204"/>
      <c r="RAN28" s="204"/>
      <c r="RAO28" s="204"/>
      <c r="RAP28" s="204"/>
      <c r="RAQ28" s="204"/>
      <c r="RAR28" s="204"/>
      <c r="RAS28" s="204"/>
      <c r="RAT28" s="204"/>
      <c r="RAU28" s="204"/>
      <c r="RAV28" s="204"/>
      <c r="RAW28" s="204"/>
      <c r="RAX28" s="204"/>
      <c r="RAY28" s="204"/>
      <c r="RAZ28" s="204"/>
      <c r="RBA28" s="204"/>
      <c r="RBB28" s="204"/>
      <c r="RBC28" s="204"/>
      <c r="RBD28" s="204"/>
      <c r="RBE28" s="204"/>
      <c r="RBF28" s="204"/>
      <c r="RBG28" s="204"/>
      <c r="RBH28" s="204"/>
      <c r="RBI28" s="204"/>
      <c r="RBJ28" s="204"/>
      <c r="RBK28" s="204"/>
      <c r="RBL28" s="204"/>
      <c r="RBM28" s="204"/>
      <c r="RBN28" s="204"/>
      <c r="RBO28" s="204"/>
      <c r="RBP28" s="204"/>
      <c r="RBQ28" s="204"/>
      <c r="RBR28" s="204"/>
      <c r="RBS28" s="204"/>
      <c r="RBT28" s="204"/>
      <c r="RBU28" s="204"/>
      <c r="RBV28" s="204"/>
      <c r="RBW28" s="204"/>
      <c r="RBX28" s="204"/>
      <c r="RBY28" s="204"/>
      <c r="RBZ28" s="204"/>
      <c r="RCA28" s="204"/>
      <c r="RCB28" s="204"/>
      <c r="RCC28" s="204"/>
      <c r="RCD28" s="204"/>
      <c r="RCE28" s="204"/>
      <c r="RCF28" s="204"/>
      <c r="RCG28" s="204"/>
      <c r="RCH28" s="204"/>
      <c r="RCI28" s="204"/>
      <c r="RCJ28" s="204"/>
      <c r="RCK28" s="204"/>
      <c r="RCL28" s="204"/>
      <c r="RCM28" s="204"/>
      <c r="RCN28" s="204"/>
      <c r="RCO28" s="204"/>
      <c r="RCP28" s="204"/>
      <c r="RCQ28" s="204"/>
      <c r="RCR28" s="204"/>
      <c r="RCS28" s="204"/>
      <c r="RCT28" s="204"/>
      <c r="RCU28" s="204"/>
      <c r="RCV28" s="204"/>
      <c r="RCW28" s="204"/>
      <c r="RCX28" s="204"/>
      <c r="RCY28" s="204"/>
      <c r="RCZ28" s="204"/>
      <c r="RDA28" s="204"/>
      <c r="RDB28" s="204"/>
      <c r="RDC28" s="204"/>
      <c r="RDD28" s="204"/>
      <c r="RDE28" s="204"/>
      <c r="RDF28" s="204"/>
      <c r="RDG28" s="204"/>
      <c r="RDH28" s="204"/>
      <c r="RDI28" s="204"/>
      <c r="RDJ28" s="204"/>
      <c r="RDK28" s="204"/>
      <c r="RDL28" s="204"/>
      <c r="RDM28" s="204"/>
      <c r="RDN28" s="204"/>
      <c r="RDO28" s="204"/>
      <c r="RDP28" s="204"/>
      <c r="RDQ28" s="204"/>
      <c r="RDR28" s="204"/>
      <c r="RDS28" s="204"/>
      <c r="RDT28" s="204"/>
      <c r="RDU28" s="204"/>
      <c r="RDV28" s="204"/>
      <c r="RDW28" s="204"/>
      <c r="RDX28" s="204"/>
      <c r="RDY28" s="204"/>
      <c r="RDZ28" s="204"/>
      <c r="REA28" s="204"/>
      <c r="REB28" s="204"/>
      <c r="REC28" s="204"/>
      <c r="RED28" s="204"/>
      <c r="REE28" s="204"/>
      <c r="REF28" s="204"/>
      <c r="REG28" s="204"/>
      <c r="REH28" s="204"/>
      <c r="REI28" s="204"/>
      <c r="REJ28" s="204"/>
      <c r="REK28" s="204"/>
      <c r="REL28" s="204"/>
      <c r="REM28" s="204"/>
      <c r="REN28" s="204"/>
      <c r="REO28" s="204"/>
      <c r="REP28" s="204"/>
      <c r="REQ28" s="204"/>
      <c r="RER28" s="204"/>
      <c r="RES28" s="204"/>
      <c r="RET28" s="204"/>
      <c r="REU28" s="204"/>
      <c r="REV28" s="204"/>
      <c r="REW28" s="204"/>
      <c r="REX28" s="204"/>
      <c r="REY28" s="204"/>
      <c r="REZ28" s="204"/>
      <c r="RFA28" s="204"/>
      <c r="RFB28" s="204"/>
      <c r="RFC28" s="204"/>
      <c r="RFD28" s="204"/>
      <c r="RFE28" s="204"/>
      <c r="RFF28" s="204"/>
      <c r="RFG28" s="204"/>
      <c r="RFH28" s="204"/>
      <c r="RFI28" s="204"/>
      <c r="RFJ28" s="204"/>
      <c r="RFK28" s="204"/>
      <c r="RFL28" s="204"/>
      <c r="RFM28" s="204"/>
      <c r="RFN28" s="204"/>
      <c r="RFO28" s="204"/>
      <c r="RFP28" s="204"/>
      <c r="RFQ28" s="204"/>
      <c r="RFR28" s="204"/>
      <c r="RFS28" s="204"/>
      <c r="RFT28" s="204"/>
      <c r="RFU28" s="204"/>
      <c r="RFV28" s="204"/>
      <c r="RFW28" s="204"/>
      <c r="RFX28" s="204"/>
      <c r="RFY28" s="204"/>
      <c r="RFZ28" s="204"/>
      <c r="RGA28" s="204"/>
      <c r="RGB28" s="204"/>
      <c r="RGC28" s="204"/>
      <c r="RGD28" s="204"/>
      <c r="RGE28" s="204"/>
      <c r="RGF28" s="204"/>
      <c r="RGG28" s="204"/>
      <c r="RGH28" s="204"/>
      <c r="RGI28" s="204"/>
      <c r="RGJ28" s="204"/>
      <c r="RGK28" s="204"/>
      <c r="RGL28" s="204"/>
      <c r="RGM28" s="204"/>
      <c r="RGN28" s="204"/>
      <c r="RGO28" s="204"/>
      <c r="RGP28" s="204"/>
      <c r="RGQ28" s="204"/>
      <c r="RGR28" s="204"/>
      <c r="RGS28" s="204"/>
      <c r="RGT28" s="204"/>
      <c r="RGU28" s="204"/>
      <c r="RGV28" s="204"/>
      <c r="RGW28" s="204"/>
      <c r="RGX28" s="204"/>
      <c r="RGY28" s="204"/>
      <c r="RGZ28" s="204"/>
      <c r="RHA28" s="204"/>
      <c r="RHB28" s="204"/>
      <c r="RHC28" s="204"/>
      <c r="RHD28" s="204"/>
      <c r="RHE28" s="204"/>
      <c r="RHF28" s="204"/>
      <c r="RHG28" s="204"/>
      <c r="RHH28" s="204"/>
      <c r="RHI28" s="204"/>
      <c r="RHJ28" s="204"/>
      <c r="RHK28" s="204"/>
      <c r="RHL28" s="204"/>
      <c r="RHM28" s="204"/>
      <c r="RHN28" s="204"/>
      <c r="RHO28" s="204"/>
      <c r="RHP28" s="204"/>
      <c r="RHQ28" s="204"/>
      <c r="RHR28" s="204"/>
      <c r="RHS28" s="204"/>
      <c r="RHT28" s="204"/>
      <c r="RHU28" s="204"/>
      <c r="RHV28" s="204"/>
      <c r="RHW28" s="204"/>
      <c r="RHX28" s="204"/>
      <c r="RHY28" s="204"/>
      <c r="RHZ28" s="204"/>
      <c r="RIA28" s="204"/>
      <c r="RIB28" s="204"/>
      <c r="RIC28" s="204"/>
      <c r="RID28" s="204"/>
      <c r="RIE28" s="204"/>
      <c r="RIF28" s="204"/>
      <c r="RIG28" s="204"/>
      <c r="RIH28" s="204"/>
      <c r="RII28" s="204"/>
      <c r="RIJ28" s="204"/>
      <c r="RIK28" s="204"/>
      <c r="RIL28" s="204"/>
      <c r="RIM28" s="204"/>
      <c r="RIN28" s="204"/>
      <c r="RIO28" s="204"/>
      <c r="RIP28" s="204"/>
      <c r="RIQ28" s="204"/>
      <c r="RIR28" s="204"/>
      <c r="RIS28" s="204"/>
      <c r="RIT28" s="204"/>
      <c r="RIU28" s="204"/>
      <c r="RIV28" s="204"/>
      <c r="RIW28" s="204"/>
      <c r="RIX28" s="204"/>
      <c r="RIY28" s="204"/>
      <c r="RIZ28" s="204"/>
      <c r="RJA28" s="204"/>
      <c r="RJB28" s="204"/>
      <c r="RJC28" s="204"/>
      <c r="RJD28" s="204"/>
      <c r="RJE28" s="204"/>
      <c r="RJF28" s="204"/>
      <c r="RJG28" s="204"/>
      <c r="RJH28" s="204"/>
      <c r="RJI28" s="204"/>
      <c r="RJJ28" s="204"/>
      <c r="RJK28" s="204"/>
      <c r="RJL28" s="204"/>
      <c r="RJM28" s="204"/>
      <c r="RJN28" s="204"/>
      <c r="RJO28" s="204"/>
      <c r="RJP28" s="204"/>
      <c r="RJQ28" s="204"/>
      <c r="RJR28" s="204"/>
      <c r="RJS28" s="204"/>
      <c r="RJT28" s="204"/>
      <c r="RJU28" s="204"/>
      <c r="RJV28" s="204"/>
      <c r="RJW28" s="204"/>
      <c r="RJX28" s="204"/>
      <c r="RJY28" s="204"/>
      <c r="RJZ28" s="204"/>
      <c r="RKA28" s="204"/>
      <c r="RKB28" s="204"/>
      <c r="RKC28" s="204"/>
      <c r="RKD28" s="204"/>
      <c r="RKE28" s="204"/>
      <c r="RKF28" s="204"/>
      <c r="RKG28" s="204"/>
      <c r="RKH28" s="204"/>
      <c r="RKI28" s="204"/>
      <c r="RKJ28" s="204"/>
      <c r="RKK28" s="204"/>
      <c r="RKL28" s="204"/>
      <c r="RKM28" s="204"/>
      <c r="RKN28" s="204"/>
      <c r="RKO28" s="204"/>
      <c r="RKP28" s="204"/>
      <c r="RKQ28" s="204"/>
      <c r="RKR28" s="204"/>
      <c r="RKS28" s="204"/>
      <c r="RKT28" s="204"/>
      <c r="RKU28" s="204"/>
      <c r="RKV28" s="204"/>
      <c r="RKW28" s="204"/>
      <c r="RKX28" s="204"/>
      <c r="RKY28" s="204"/>
      <c r="RKZ28" s="204"/>
      <c r="RLA28" s="204"/>
      <c r="RLB28" s="204"/>
      <c r="RLC28" s="204"/>
      <c r="RLD28" s="204"/>
      <c r="RLE28" s="204"/>
      <c r="RLF28" s="204"/>
      <c r="RLG28" s="204"/>
      <c r="RLH28" s="204"/>
      <c r="RLI28" s="204"/>
      <c r="RLJ28" s="204"/>
      <c r="RLK28" s="204"/>
      <c r="RLL28" s="204"/>
      <c r="RLM28" s="204"/>
      <c r="RLN28" s="204"/>
      <c r="RLO28" s="204"/>
      <c r="RLP28" s="204"/>
      <c r="RLQ28" s="204"/>
      <c r="RLR28" s="204"/>
      <c r="RLS28" s="204"/>
      <c r="RLT28" s="204"/>
      <c r="RLU28" s="204"/>
      <c r="RLV28" s="204"/>
      <c r="RLW28" s="204"/>
      <c r="RLX28" s="204"/>
      <c r="RLY28" s="204"/>
      <c r="RLZ28" s="204"/>
      <c r="RMA28" s="204"/>
      <c r="RMB28" s="204"/>
      <c r="RMC28" s="204"/>
      <c r="RMD28" s="204"/>
      <c r="RME28" s="204"/>
      <c r="RMF28" s="204"/>
      <c r="RMG28" s="204"/>
      <c r="RMH28" s="204"/>
      <c r="RMI28" s="204"/>
      <c r="RMJ28" s="204"/>
      <c r="RMK28" s="204"/>
      <c r="RML28" s="204"/>
      <c r="RMM28" s="204"/>
      <c r="RMN28" s="204"/>
      <c r="RMO28" s="204"/>
      <c r="RMP28" s="204"/>
      <c r="RMQ28" s="204"/>
      <c r="RMR28" s="204"/>
      <c r="RMS28" s="204"/>
      <c r="RMT28" s="204"/>
      <c r="RMU28" s="204"/>
      <c r="RMV28" s="204"/>
      <c r="RMW28" s="204"/>
      <c r="RMX28" s="204"/>
      <c r="RMY28" s="204"/>
      <c r="RMZ28" s="204"/>
      <c r="RNA28" s="204"/>
      <c r="RNB28" s="204"/>
      <c r="RNC28" s="204"/>
      <c r="RND28" s="204"/>
      <c r="RNE28" s="204"/>
      <c r="RNF28" s="204"/>
      <c r="RNG28" s="204"/>
      <c r="RNH28" s="204"/>
      <c r="RNI28" s="204"/>
      <c r="RNJ28" s="204"/>
      <c r="RNK28" s="204"/>
      <c r="RNL28" s="204"/>
      <c r="RNM28" s="204"/>
      <c r="RNN28" s="204"/>
      <c r="RNO28" s="204"/>
      <c r="RNP28" s="204"/>
      <c r="RNQ28" s="204"/>
      <c r="RNR28" s="204"/>
      <c r="RNS28" s="204"/>
      <c r="RNT28" s="204"/>
      <c r="RNU28" s="204"/>
      <c r="RNV28" s="204"/>
      <c r="RNW28" s="204"/>
      <c r="RNX28" s="204"/>
      <c r="RNY28" s="204"/>
      <c r="RNZ28" s="204"/>
      <c r="ROA28" s="204"/>
      <c r="ROB28" s="204"/>
      <c r="ROC28" s="204"/>
      <c r="ROD28" s="204"/>
      <c r="ROE28" s="204"/>
      <c r="ROF28" s="204"/>
      <c r="ROG28" s="204"/>
      <c r="ROH28" s="204"/>
      <c r="ROI28" s="204"/>
      <c r="ROJ28" s="204"/>
      <c r="ROK28" s="204"/>
      <c r="ROL28" s="204"/>
      <c r="ROM28" s="204"/>
      <c r="RON28" s="204"/>
      <c r="ROO28" s="204"/>
      <c r="ROP28" s="204"/>
      <c r="ROQ28" s="204"/>
      <c r="ROR28" s="204"/>
      <c r="ROS28" s="204"/>
      <c r="ROT28" s="204"/>
      <c r="ROU28" s="204"/>
      <c r="ROV28" s="204"/>
      <c r="ROW28" s="204"/>
      <c r="ROX28" s="204"/>
      <c r="ROY28" s="204"/>
      <c r="ROZ28" s="204"/>
      <c r="RPA28" s="204"/>
      <c r="RPB28" s="204"/>
      <c r="RPC28" s="204"/>
      <c r="RPD28" s="204"/>
      <c r="RPE28" s="204"/>
      <c r="RPF28" s="204"/>
      <c r="RPG28" s="204"/>
      <c r="RPH28" s="204"/>
      <c r="RPI28" s="204"/>
      <c r="RPJ28" s="204"/>
      <c r="RPK28" s="204"/>
      <c r="RPL28" s="204"/>
      <c r="RPM28" s="204"/>
      <c r="RPN28" s="204"/>
      <c r="RPO28" s="204"/>
      <c r="RPP28" s="204"/>
      <c r="RPQ28" s="204"/>
      <c r="RPR28" s="204"/>
      <c r="RPS28" s="204"/>
      <c r="RPT28" s="204"/>
      <c r="RPU28" s="204"/>
      <c r="RPV28" s="204"/>
      <c r="RPW28" s="204"/>
      <c r="RPX28" s="204"/>
      <c r="RPY28" s="204"/>
      <c r="RPZ28" s="204"/>
      <c r="RQA28" s="204"/>
      <c r="RQB28" s="204"/>
      <c r="RQC28" s="204"/>
      <c r="RQD28" s="204"/>
      <c r="RQE28" s="204"/>
      <c r="RQF28" s="204"/>
      <c r="RQG28" s="204"/>
      <c r="RQH28" s="204"/>
      <c r="RQI28" s="204"/>
      <c r="RQJ28" s="204"/>
      <c r="RQK28" s="204"/>
      <c r="RQL28" s="204"/>
      <c r="RQM28" s="204"/>
      <c r="RQN28" s="204"/>
      <c r="RQO28" s="204"/>
      <c r="RQP28" s="204"/>
      <c r="RQQ28" s="204"/>
      <c r="RQR28" s="204"/>
      <c r="RQS28" s="204"/>
      <c r="RQT28" s="204"/>
      <c r="RQU28" s="204"/>
      <c r="RQV28" s="204"/>
      <c r="RQW28" s="204"/>
      <c r="RQX28" s="204"/>
      <c r="RQY28" s="204"/>
      <c r="RQZ28" s="204"/>
      <c r="RRA28" s="204"/>
      <c r="RRB28" s="204"/>
      <c r="RRC28" s="204"/>
      <c r="RRD28" s="204"/>
      <c r="RRE28" s="204"/>
      <c r="RRF28" s="204"/>
      <c r="RRG28" s="204"/>
      <c r="RRH28" s="204"/>
      <c r="RRI28" s="204"/>
      <c r="RRJ28" s="204"/>
      <c r="RRK28" s="204"/>
      <c r="RRL28" s="204"/>
      <c r="RRM28" s="204"/>
      <c r="RRN28" s="204"/>
      <c r="RRO28" s="204"/>
      <c r="RRP28" s="204"/>
      <c r="RRQ28" s="204"/>
      <c r="RRR28" s="204"/>
      <c r="RRS28" s="204"/>
      <c r="RRT28" s="204"/>
      <c r="RRU28" s="204"/>
      <c r="RRV28" s="204"/>
      <c r="RRW28" s="204"/>
      <c r="RRX28" s="204"/>
      <c r="RRY28" s="204"/>
      <c r="RRZ28" s="204"/>
      <c r="RSA28" s="204"/>
      <c r="RSB28" s="204"/>
      <c r="RSC28" s="204"/>
      <c r="RSD28" s="204"/>
      <c r="RSE28" s="204"/>
      <c r="RSF28" s="204"/>
      <c r="RSG28" s="204"/>
      <c r="RSH28" s="204"/>
      <c r="RSI28" s="204"/>
      <c r="RSJ28" s="204"/>
      <c r="RSK28" s="204"/>
      <c r="RSL28" s="204"/>
      <c r="RSM28" s="204"/>
      <c r="RSN28" s="204"/>
      <c r="RSO28" s="204"/>
      <c r="RSP28" s="204"/>
      <c r="RSQ28" s="204"/>
      <c r="RSR28" s="204"/>
      <c r="RSS28" s="204"/>
      <c r="RST28" s="204"/>
      <c r="RSU28" s="204"/>
      <c r="RSV28" s="204"/>
      <c r="RSW28" s="204"/>
      <c r="RSX28" s="204"/>
      <c r="RSY28" s="204"/>
      <c r="RSZ28" s="204"/>
      <c r="RTA28" s="204"/>
      <c r="RTB28" s="204"/>
      <c r="RTC28" s="204"/>
      <c r="RTD28" s="204"/>
      <c r="RTE28" s="204"/>
      <c r="RTF28" s="204"/>
      <c r="RTG28" s="204"/>
      <c r="RTH28" s="204"/>
      <c r="RTI28" s="204"/>
      <c r="RTJ28" s="204"/>
      <c r="RTK28" s="204"/>
      <c r="RTL28" s="204"/>
      <c r="RTM28" s="204"/>
      <c r="RTN28" s="204"/>
      <c r="RTO28" s="204"/>
      <c r="RTP28" s="204"/>
      <c r="RTQ28" s="204"/>
      <c r="RTR28" s="204"/>
      <c r="RTS28" s="204"/>
      <c r="RTT28" s="204"/>
      <c r="RTU28" s="204"/>
      <c r="RTV28" s="204"/>
      <c r="RTW28" s="204"/>
      <c r="RTX28" s="204"/>
      <c r="RTY28" s="204"/>
      <c r="RTZ28" s="204"/>
      <c r="RUA28" s="204"/>
      <c r="RUB28" s="204"/>
      <c r="RUC28" s="204"/>
      <c r="RUD28" s="204"/>
      <c r="RUE28" s="204"/>
      <c r="RUF28" s="204"/>
      <c r="RUG28" s="204"/>
      <c r="RUH28" s="204"/>
      <c r="RUI28" s="204"/>
      <c r="RUJ28" s="204"/>
      <c r="RUK28" s="204"/>
      <c r="RUL28" s="204"/>
      <c r="RUM28" s="204"/>
      <c r="RUN28" s="204"/>
      <c r="RUO28" s="204"/>
      <c r="RUP28" s="204"/>
      <c r="RUQ28" s="204"/>
      <c r="RUR28" s="204"/>
      <c r="RUS28" s="204"/>
      <c r="RUT28" s="204"/>
      <c r="RUU28" s="204"/>
      <c r="RUV28" s="204"/>
      <c r="RUW28" s="204"/>
      <c r="RUX28" s="204"/>
      <c r="RUY28" s="204"/>
      <c r="RUZ28" s="204"/>
      <c r="RVA28" s="204"/>
      <c r="RVB28" s="204"/>
      <c r="RVC28" s="204"/>
      <c r="RVD28" s="204"/>
      <c r="RVE28" s="204"/>
      <c r="RVF28" s="204"/>
      <c r="RVG28" s="204"/>
      <c r="RVH28" s="204"/>
      <c r="RVI28" s="204"/>
      <c r="RVJ28" s="204"/>
      <c r="RVK28" s="204"/>
      <c r="RVL28" s="204"/>
      <c r="RVM28" s="204"/>
      <c r="RVN28" s="204"/>
      <c r="RVO28" s="204"/>
      <c r="RVP28" s="204"/>
      <c r="RVQ28" s="204"/>
      <c r="RVR28" s="204"/>
      <c r="RVS28" s="204"/>
      <c r="RVT28" s="204"/>
      <c r="RVU28" s="204"/>
      <c r="RVV28" s="204"/>
      <c r="RVW28" s="204"/>
      <c r="RVX28" s="204"/>
      <c r="RVY28" s="204"/>
      <c r="RVZ28" s="204"/>
      <c r="RWA28" s="204"/>
      <c r="RWB28" s="204"/>
      <c r="RWC28" s="204"/>
      <c r="RWD28" s="204"/>
      <c r="RWE28" s="204"/>
      <c r="RWF28" s="204"/>
      <c r="RWG28" s="204"/>
      <c r="RWH28" s="204"/>
      <c r="RWI28" s="204"/>
      <c r="RWJ28" s="204"/>
      <c r="RWK28" s="204"/>
      <c r="RWL28" s="204"/>
      <c r="RWM28" s="204"/>
      <c r="RWN28" s="204"/>
      <c r="RWO28" s="204"/>
      <c r="RWP28" s="204"/>
      <c r="RWQ28" s="204"/>
      <c r="RWR28" s="204"/>
      <c r="RWS28" s="204"/>
      <c r="RWT28" s="204"/>
      <c r="RWU28" s="204"/>
      <c r="RWV28" s="204"/>
      <c r="RWW28" s="204"/>
      <c r="RWX28" s="204"/>
      <c r="RWY28" s="204"/>
      <c r="RWZ28" s="204"/>
      <c r="RXA28" s="204"/>
      <c r="RXB28" s="204"/>
      <c r="RXC28" s="204"/>
      <c r="RXD28" s="204"/>
      <c r="RXE28" s="204"/>
      <c r="RXF28" s="204"/>
      <c r="RXG28" s="204"/>
      <c r="RXH28" s="204"/>
      <c r="RXI28" s="204"/>
      <c r="RXJ28" s="204"/>
      <c r="RXK28" s="204"/>
      <c r="RXL28" s="204"/>
      <c r="RXM28" s="204"/>
      <c r="RXN28" s="204"/>
      <c r="RXO28" s="204"/>
      <c r="RXP28" s="204"/>
      <c r="RXQ28" s="204"/>
      <c r="RXR28" s="204"/>
      <c r="RXS28" s="204"/>
      <c r="RXT28" s="204"/>
      <c r="RXU28" s="204"/>
      <c r="RXV28" s="204"/>
      <c r="RXW28" s="204"/>
      <c r="RXX28" s="204"/>
      <c r="RXY28" s="204"/>
      <c r="RXZ28" s="204"/>
      <c r="RYA28" s="204"/>
      <c r="RYB28" s="204"/>
      <c r="RYC28" s="204"/>
      <c r="RYD28" s="204"/>
      <c r="RYE28" s="204"/>
      <c r="RYF28" s="204"/>
      <c r="RYG28" s="204"/>
      <c r="RYH28" s="204"/>
      <c r="RYI28" s="204"/>
      <c r="RYJ28" s="204"/>
      <c r="RYK28" s="204"/>
      <c r="RYL28" s="204"/>
      <c r="RYM28" s="204"/>
      <c r="RYN28" s="204"/>
      <c r="RYO28" s="204"/>
      <c r="RYP28" s="204"/>
      <c r="RYQ28" s="204"/>
      <c r="RYR28" s="204"/>
      <c r="RYS28" s="204"/>
      <c r="RYT28" s="204"/>
      <c r="RYU28" s="204"/>
      <c r="RYV28" s="204"/>
      <c r="RYW28" s="204"/>
      <c r="RYX28" s="204"/>
      <c r="RYY28" s="204"/>
      <c r="RYZ28" s="204"/>
      <c r="RZA28" s="204"/>
      <c r="RZB28" s="204"/>
      <c r="RZC28" s="204"/>
      <c r="RZD28" s="204"/>
      <c r="RZE28" s="204"/>
      <c r="RZF28" s="204"/>
      <c r="RZG28" s="204"/>
      <c r="RZH28" s="204"/>
      <c r="RZI28" s="204"/>
      <c r="RZJ28" s="204"/>
      <c r="RZK28" s="204"/>
      <c r="RZL28" s="204"/>
      <c r="RZM28" s="204"/>
      <c r="RZN28" s="204"/>
      <c r="RZO28" s="204"/>
      <c r="RZP28" s="204"/>
      <c r="RZQ28" s="204"/>
      <c r="RZR28" s="204"/>
      <c r="RZS28" s="204"/>
      <c r="RZT28" s="204"/>
      <c r="RZU28" s="204"/>
      <c r="RZV28" s="204"/>
      <c r="RZW28" s="204"/>
      <c r="RZX28" s="204"/>
      <c r="RZY28" s="204"/>
      <c r="RZZ28" s="204"/>
      <c r="SAA28" s="204"/>
      <c r="SAB28" s="204"/>
      <c r="SAC28" s="204"/>
      <c r="SAD28" s="204"/>
      <c r="SAE28" s="204"/>
      <c r="SAF28" s="204"/>
      <c r="SAG28" s="204"/>
      <c r="SAH28" s="204"/>
      <c r="SAI28" s="204"/>
      <c r="SAJ28" s="204"/>
      <c r="SAK28" s="204"/>
      <c r="SAL28" s="204"/>
      <c r="SAM28" s="204"/>
      <c r="SAN28" s="204"/>
      <c r="SAO28" s="204"/>
      <c r="SAP28" s="204"/>
      <c r="SAQ28" s="204"/>
      <c r="SAR28" s="204"/>
      <c r="SAS28" s="204"/>
      <c r="SAT28" s="204"/>
      <c r="SAU28" s="204"/>
      <c r="SAV28" s="204"/>
      <c r="SAW28" s="204"/>
      <c r="SAX28" s="204"/>
      <c r="SAY28" s="204"/>
      <c r="SAZ28" s="204"/>
      <c r="SBA28" s="204"/>
      <c r="SBB28" s="204"/>
      <c r="SBC28" s="204"/>
      <c r="SBD28" s="204"/>
      <c r="SBE28" s="204"/>
      <c r="SBF28" s="204"/>
      <c r="SBG28" s="204"/>
      <c r="SBH28" s="204"/>
      <c r="SBI28" s="204"/>
      <c r="SBJ28" s="204"/>
      <c r="SBK28" s="204"/>
      <c r="SBL28" s="204"/>
      <c r="SBM28" s="204"/>
      <c r="SBN28" s="204"/>
      <c r="SBO28" s="204"/>
      <c r="SBP28" s="204"/>
      <c r="SBQ28" s="204"/>
      <c r="SBR28" s="204"/>
      <c r="SBS28" s="204"/>
      <c r="SBT28" s="204"/>
      <c r="SBU28" s="204"/>
      <c r="SBV28" s="204"/>
      <c r="SBW28" s="204"/>
      <c r="SBX28" s="204"/>
      <c r="SBY28" s="204"/>
      <c r="SBZ28" s="204"/>
      <c r="SCA28" s="204"/>
      <c r="SCB28" s="204"/>
      <c r="SCC28" s="204"/>
      <c r="SCD28" s="204"/>
      <c r="SCE28" s="204"/>
      <c r="SCF28" s="204"/>
      <c r="SCG28" s="204"/>
      <c r="SCH28" s="204"/>
      <c r="SCI28" s="204"/>
      <c r="SCJ28" s="204"/>
      <c r="SCK28" s="204"/>
      <c r="SCL28" s="204"/>
      <c r="SCM28" s="204"/>
      <c r="SCN28" s="204"/>
      <c r="SCO28" s="204"/>
      <c r="SCP28" s="204"/>
      <c r="SCQ28" s="204"/>
      <c r="SCR28" s="204"/>
      <c r="SCS28" s="204"/>
      <c r="SCT28" s="204"/>
      <c r="SCU28" s="204"/>
      <c r="SCV28" s="204"/>
      <c r="SCW28" s="204"/>
      <c r="SCX28" s="204"/>
      <c r="SCY28" s="204"/>
      <c r="SCZ28" s="204"/>
      <c r="SDA28" s="204"/>
      <c r="SDB28" s="204"/>
      <c r="SDC28" s="204"/>
      <c r="SDD28" s="204"/>
      <c r="SDE28" s="204"/>
      <c r="SDF28" s="204"/>
      <c r="SDG28" s="204"/>
      <c r="SDH28" s="204"/>
      <c r="SDI28" s="204"/>
      <c r="SDJ28" s="204"/>
      <c r="SDK28" s="204"/>
      <c r="SDL28" s="204"/>
      <c r="SDM28" s="204"/>
      <c r="SDN28" s="204"/>
      <c r="SDO28" s="204"/>
      <c r="SDP28" s="204"/>
      <c r="SDQ28" s="204"/>
      <c r="SDR28" s="204"/>
      <c r="SDS28" s="204"/>
      <c r="SDT28" s="204"/>
      <c r="SDU28" s="204"/>
      <c r="SDV28" s="204"/>
      <c r="SDW28" s="204"/>
      <c r="SDX28" s="204"/>
      <c r="SDY28" s="204"/>
      <c r="SDZ28" s="204"/>
      <c r="SEA28" s="204"/>
      <c r="SEB28" s="204"/>
      <c r="SEC28" s="204"/>
      <c r="SED28" s="204"/>
      <c r="SEE28" s="204"/>
      <c r="SEF28" s="204"/>
      <c r="SEG28" s="204"/>
      <c r="SEH28" s="204"/>
      <c r="SEI28" s="204"/>
      <c r="SEJ28" s="204"/>
      <c r="SEK28" s="204"/>
      <c r="SEL28" s="204"/>
      <c r="SEM28" s="204"/>
      <c r="SEN28" s="204"/>
      <c r="SEO28" s="204"/>
      <c r="SEP28" s="204"/>
      <c r="SEQ28" s="204"/>
      <c r="SER28" s="204"/>
      <c r="SES28" s="204"/>
      <c r="SET28" s="204"/>
      <c r="SEU28" s="204"/>
      <c r="SEV28" s="204"/>
      <c r="SEW28" s="204"/>
      <c r="SEX28" s="204"/>
      <c r="SEY28" s="204"/>
      <c r="SEZ28" s="204"/>
      <c r="SFA28" s="204"/>
      <c r="SFB28" s="204"/>
      <c r="SFC28" s="204"/>
      <c r="SFD28" s="204"/>
      <c r="SFE28" s="204"/>
      <c r="SFF28" s="204"/>
      <c r="SFG28" s="204"/>
      <c r="SFH28" s="204"/>
      <c r="SFI28" s="204"/>
      <c r="SFJ28" s="204"/>
      <c r="SFK28" s="204"/>
      <c r="SFL28" s="204"/>
      <c r="SFM28" s="204"/>
      <c r="SFN28" s="204"/>
      <c r="SFO28" s="204"/>
      <c r="SFP28" s="204"/>
      <c r="SFQ28" s="204"/>
      <c r="SFR28" s="204"/>
      <c r="SFS28" s="204"/>
      <c r="SFT28" s="204"/>
      <c r="SFU28" s="204"/>
      <c r="SFV28" s="204"/>
      <c r="SFW28" s="204"/>
      <c r="SFX28" s="204"/>
      <c r="SFY28" s="204"/>
      <c r="SFZ28" s="204"/>
      <c r="SGA28" s="204"/>
      <c r="SGB28" s="204"/>
      <c r="SGC28" s="204"/>
      <c r="SGD28" s="204"/>
      <c r="SGE28" s="204"/>
      <c r="SGF28" s="204"/>
      <c r="SGG28" s="204"/>
      <c r="SGH28" s="204"/>
      <c r="SGI28" s="204"/>
      <c r="SGJ28" s="204"/>
      <c r="SGK28" s="204"/>
      <c r="SGL28" s="204"/>
      <c r="SGM28" s="204"/>
      <c r="SGN28" s="204"/>
      <c r="SGO28" s="204"/>
      <c r="SGP28" s="204"/>
      <c r="SGQ28" s="204"/>
      <c r="SGR28" s="204"/>
      <c r="SGS28" s="204"/>
      <c r="SGT28" s="204"/>
      <c r="SGU28" s="204"/>
      <c r="SGV28" s="204"/>
      <c r="SGW28" s="204"/>
      <c r="SGX28" s="204"/>
      <c r="SGY28" s="204"/>
      <c r="SGZ28" s="204"/>
      <c r="SHA28" s="204"/>
      <c r="SHB28" s="204"/>
      <c r="SHC28" s="204"/>
      <c r="SHD28" s="204"/>
      <c r="SHE28" s="204"/>
      <c r="SHF28" s="204"/>
      <c r="SHG28" s="204"/>
      <c r="SHH28" s="204"/>
      <c r="SHI28" s="204"/>
      <c r="SHJ28" s="204"/>
      <c r="SHK28" s="204"/>
      <c r="SHL28" s="204"/>
      <c r="SHM28" s="204"/>
      <c r="SHN28" s="204"/>
      <c r="SHO28" s="204"/>
      <c r="SHP28" s="204"/>
      <c r="SHQ28" s="204"/>
      <c r="SHR28" s="204"/>
      <c r="SHS28" s="204"/>
      <c r="SHT28" s="204"/>
      <c r="SHU28" s="204"/>
      <c r="SHV28" s="204"/>
      <c r="SHW28" s="204"/>
      <c r="SHX28" s="204"/>
      <c r="SHY28" s="204"/>
      <c r="SHZ28" s="204"/>
      <c r="SIA28" s="204"/>
      <c r="SIB28" s="204"/>
      <c r="SIC28" s="204"/>
      <c r="SID28" s="204"/>
      <c r="SIE28" s="204"/>
      <c r="SIF28" s="204"/>
      <c r="SIG28" s="204"/>
      <c r="SIH28" s="204"/>
      <c r="SII28" s="204"/>
      <c r="SIJ28" s="204"/>
      <c r="SIK28" s="204"/>
      <c r="SIL28" s="204"/>
      <c r="SIM28" s="204"/>
      <c r="SIN28" s="204"/>
      <c r="SIO28" s="204"/>
      <c r="SIP28" s="204"/>
      <c r="SIQ28" s="204"/>
      <c r="SIR28" s="204"/>
      <c r="SIS28" s="204"/>
      <c r="SIT28" s="204"/>
      <c r="SIU28" s="204"/>
      <c r="SIV28" s="204"/>
      <c r="SIW28" s="204"/>
      <c r="SIX28" s="204"/>
      <c r="SIY28" s="204"/>
      <c r="SIZ28" s="204"/>
      <c r="SJA28" s="204"/>
      <c r="SJB28" s="204"/>
      <c r="SJC28" s="204"/>
      <c r="SJD28" s="204"/>
      <c r="SJE28" s="204"/>
      <c r="SJF28" s="204"/>
      <c r="SJG28" s="204"/>
      <c r="SJH28" s="204"/>
      <c r="SJI28" s="204"/>
      <c r="SJJ28" s="204"/>
      <c r="SJK28" s="204"/>
      <c r="SJL28" s="204"/>
      <c r="SJM28" s="204"/>
      <c r="SJN28" s="204"/>
      <c r="SJO28" s="204"/>
      <c r="SJP28" s="204"/>
      <c r="SJQ28" s="204"/>
      <c r="SJR28" s="204"/>
      <c r="SJS28" s="204"/>
      <c r="SJT28" s="204"/>
      <c r="SJU28" s="204"/>
      <c r="SJV28" s="204"/>
      <c r="SJW28" s="204"/>
      <c r="SJX28" s="204"/>
      <c r="SJY28" s="204"/>
      <c r="SJZ28" s="204"/>
      <c r="SKA28" s="204"/>
      <c r="SKB28" s="204"/>
      <c r="SKC28" s="204"/>
      <c r="SKD28" s="204"/>
      <c r="SKE28" s="204"/>
      <c r="SKF28" s="204"/>
      <c r="SKG28" s="204"/>
      <c r="SKH28" s="204"/>
      <c r="SKI28" s="204"/>
      <c r="SKJ28" s="204"/>
      <c r="SKK28" s="204"/>
      <c r="SKL28" s="204"/>
      <c r="SKM28" s="204"/>
      <c r="SKN28" s="204"/>
      <c r="SKO28" s="204"/>
      <c r="SKP28" s="204"/>
      <c r="SKQ28" s="204"/>
      <c r="SKR28" s="204"/>
      <c r="SKS28" s="204"/>
      <c r="SKT28" s="204"/>
      <c r="SKU28" s="204"/>
      <c r="SKV28" s="204"/>
      <c r="SKW28" s="204"/>
      <c r="SKX28" s="204"/>
      <c r="SKY28" s="204"/>
      <c r="SKZ28" s="204"/>
      <c r="SLA28" s="204"/>
      <c r="SLB28" s="204"/>
      <c r="SLC28" s="204"/>
      <c r="SLD28" s="204"/>
      <c r="SLE28" s="204"/>
      <c r="SLF28" s="204"/>
      <c r="SLG28" s="204"/>
      <c r="SLH28" s="204"/>
      <c r="SLI28" s="204"/>
      <c r="SLJ28" s="204"/>
      <c r="SLK28" s="204"/>
      <c r="SLL28" s="204"/>
      <c r="SLM28" s="204"/>
      <c r="SLN28" s="204"/>
      <c r="SLO28" s="204"/>
      <c r="SLP28" s="204"/>
      <c r="SLQ28" s="204"/>
      <c r="SLR28" s="204"/>
      <c r="SLS28" s="204"/>
      <c r="SLT28" s="204"/>
      <c r="SLU28" s="204"/>
      <c r="SLV28" s="204"/>
      <c r="SLW28" s="204"/>
      <c r="SLX28" s="204"/>
      <c r="SLY28" s="204"/>
      <c r="SLZ28" s="204"/>
      <c r="SMA28" s="204"/>
      <c r="SMB28" s="204"/>
      <c r="SMC28" s="204"/>
      <c r="SMD28" s="204"/>
      <c r="SME28" s="204"/>
      <c r="SMF28" s="204"/>
      <c r="SMG28" s="204"/>
      <c r="SMH28" s="204"/>
      <c r="SMI28" s="204"/>
      <c r="SMJ28" s="204"/>
      <c r="SMK28" s="204"/>
      <c r="SML28" s="204"/>
      <c r="SMM28" s="204"/>
      <c r="SMN28" s="204"/>
      <c r="SMO28" s="204"/>
      <c r="SMP28" s="204"/>
      <c r="SMQ28" s="204"/>
      <c r="SMR28" s="204"/>
      <c r="SMS28" s="204"/>
      <c r="SMT28" s="204"/>
      <c r="SMU28" s="204"/>
      <c r="SMV28" s="204"/>
      <c r="SMW28" s="204"/>
      <c r="SMX28" s="204"/>
      <c r="SMY28" s="204"/>
      <c r="SMZ28" s="204"/>
      <c r="SNA28" s="204"/>
      <c r="SNB28" s="204"/>
      <c r="SNC28" s="204"/>
      <c r="SND28" s="204"/>
      <c r="SNE28" s="204"/>
      <c r="SNF28" s="204"/>
      <c r="SNG28" s="204"/>
      <c r="SNH28" s="204"/>
      <c r="SNI28" s="204"/>
      <c r="SNJ28" s="204"/>
      <c r="SNK28" s="204"/>
      <c r="SNL28" s="204"/>
      <c r="SNM28" s="204"/>
      <c r="SNN28" s="204"/>
      <c r="SNO28" s="204"/>
      <c r="SNP28" s="204"/>
      <c r="SNQ28" s="204"/>
      <c r="SNR28" s="204"/>
      <c r="SNS28" s="204"/>
      <c r="SNT28" s="204"/>
      <c r="SNU28" s="204"/>
      <c r="SNV28" s="204"/>
      <c r="SNW28" s="204"/>
      <c r="SNX28" s="204"/>
      <c r="SNY28" s="204"/>
      <c r="SNZ28" s="204"/>
      <c r="SOA28" s="204"/>
      <c r="SOB28" s="204"/>
      <c r="SOC28" s="204"/>
      <c r="SOD28" s="204"/>
      <c r="SOE28" s="204"/>
      <c r="SOF28" s="204"/>
      <c r="SOG28" s="204"/>
      <c r="SOH28" s="204"/>
      <c r="SOI28" s="204"/>
      <c r="SOJ28" s="204"/>
      <c r="SOK28" s="204"/>
      <c r="SOL28" s="204"/>
      <c r="SOM28" s="204"/>
      <c r="SON28" s="204"/>
      <c r="SOO28" s="204"/>
      <c r="SOP28" s="204"/>
      <c r="SOQ28" s="204"/>
      <c r="SOR28" s="204"/>
      <c r="SOS28" s="204"/>
      <c r="SOT28" s="204"/>
      <c r="SOU28" s="204"/>
      <c r="SOV28" s="204"/>
      <c r="SOW28" s="204"/>
      <c r="SOX28" s="204"/>
      <c r="SOY28" s="204"/>
      <c r="SOZ28" s="204"/>
      <c r="SPA28" s="204"/>
      <c r="SPB28" s="204"/>
      <c r="SPC28" s="204"/>
      <c r="SPD28" s="204"/>
      <c r="SPE28" s="204"/>
      <c r="SPF28" s="204"/>
      <c r="SPG28" s="204"/>
      <c r="SPH28" s="204"/>
      <c r="SPI28" s="204"/>
      <c r="SPJ28" s="204"/>
      <c r="SPK28" s="204"/>
      <c r="SPL28" s="204"/>
      <c r="SPM28" s="204"/>
      <c r="SPN28" s="204"/>
      <c r="SPO28" s="204"/>
      <c r="SPP28" s="204"/>
      <c r="SPQ28" s="204"/>
      <c r="SPR28" s="204"/>
      <c r="SPS28" s="204"/>
      <c r="SPT28" s="204"/>
      <c r="SPU28" s="204"/>
      <c r="SPV28" s="204"/>
      <c r="SPW28" s="204"/>
      <c r="SPX28" s="204"/>
      <c r="SPY28" s="204"/>
      <c r="SPZ28" s="204"/>
      <c r="SQA28" s="204"/>
      <c r="SQB28" s="204"/>
      <c r="SQC28" s="204"/>
      <c r="SQD28" s="204"/>
      <c r="SQE28" s="204"/>
      <c r="SQF28" s="204"/>
      <c r="SQG28" s="204"/>
      <c r="SQH28" s="204"/>
      <c r="SQI28" s="204"/>
      <c r="SQJ28" s="204"/>
      <c r="SQK28" s="204"/>
      <c r="SQL28" s="204"/>
      <c r="SQM28" s="204"/>
      <c r="SQN28" s="204"/>
      <c r="SQO28" s="204"/>
      <c r="SQP28" s="204"/>
      <c r="SQQ28" s="204"/>
      <c r="SQR28" s="204"/>
      <c r="SQS28" s="204"/>
      <c r="SQT28" s="204"/>
      <c r="SQU28" s="204"/>
      <c r="SQV28" s="204"/>
      <c r="SQW28" s="204"/>
      <c r="SQX28" s="204"/>
      <c r="SQY28" s="204"/>
      <c r="SQZ28" s="204"/>
      <c r="SRA28" s="204"/>
      <c r="SRB28" s="204"/>
      <c r="SRC28" s="204"/>
      <c r="SRD28" s="204"/>
      <c r="SRE28" s="204"/>
      <c r="SRF28" s="204"/>
      <c r="SRG28" s="204"/>
      <c r="SRH28" s="204"/>
      <c r="SRI28" s="204"/>
      <c r="SRJ28" s="204"/>
      <c r="SRK28" s="204"/>
      <c r="SRL28" s="204"/>
      <c r="SRM28" s="204"/>
      <c r="SRN28" s="204"/>
      <c r="SRO28" s="204"/>
      <c r="SRP28" s="204"/>
      <c r="SRQ28" s="204"/>
      <c r="SRR28" s="204"/>
      <c r="SRS28" s="204"/>
      <c r="SRT28" s="204"/>
      <c r="SRU28" s="204"/>
      <c r="SRV28" s="204"/>
      <c r="SRW28" s="204"/>
      <c r="SRX28" s="204"/>
      <c r="SRY28" s="204"/>
      <c r="SRZ28" s="204"/>
      <c r="SSA28" s="204"/>
      <c r="SSB28" s="204"/>
      <c r="SSC28" s="204"/>
      <c r="SSD28" s="204"/>
      <c r="SSE28" s="204"/>
      <c r="SSF28" s="204"/>
      <c r="SSG28" s="204"/>
      <c r="SSH28" s="204"/>
      <c r="SSI28" s="204"/>
      <c r="SSJ28" s="204"/>
      <c r="SSK28" s="204"/>
      <c r="SSL28" s="204"/>
      <c r="SSM28" s="204"/>
      <c r="SSN28" s="204"/>
      <c r="SSO28" s="204"/>
      <c r="SSP28" s="204"/>
      <c r="SSQ28" s="204"/>
      <c r="SSR28" s="204"/>
      <c r="SSS28" s="204"/>
      <c r="SST28" s="204"/>
      <c r="SSU28" s="204"/>
      <c r="SSV28" s="204"/>
      <c r="SSW28" s="204"/>
      <c r="SSX28" s="204"/>
      <c r="SSY28" s="204"/>
      <c r="SSZ28" s="204"/>
      <c r="STA28" s="204"/>
      <c r="STB28" s="204"/>
      <c r="STC28" s="204"/>
      <c r="STD28" s="204"/>
      <c r="STE28" s="204"/>
      <c r="STF28" s="204"/>
      <c r="STG28" s="204"/>
      <c r="STH28" s="204"/>
      <c r="STI28" s="204"/>
      <c r="STJ28" s="204"/>
      <c r="STK28" s="204"/>
      <c r="STL28" s="204"/>
      <c r="STM28" s="204"/>
      <c r="STN28" s="204"/>
      <c r="STO28" s="204"/>
      <c r="STP28" s="204"/>
      <c r="STQ28" s="204"/>
      <c r="STR28" s="204"/>
      <c r="STS28" s="204"/>
      <c r="STT28" s="204"/>
      <c r="STU28" s="204"/>
      <c r="STV28" s="204"/>
      <c r="STW28" s="204"/>
      <c r="STX28" s="204"/>
      <c r="STY28" s="204"/>
      <c r="STZ28" s="204"/>
      <c r="SUA28" s="204"/>
      <c r="SUB28" s="204"/>
      <c r="SUC28" s="204"/>
      <c r="SUD28" s="204"/>
      <c r="SUE28" s="204"/>
      <c r="SUF28" s="204"/>
      <c r="SUG28" s="204"/>
      <c r="SUH28" s="204"/>
      <c r="SUI28" s="204"/>
      <c r="SUJ28" s="204"/>
      <c r="SUK28" s="204"/>
      <c r="SUL28" s="204"/>
      <c r="SUM28" s="204"/>
      <c r="SUN28" s="204"/>
      <c r="SUO28" s="204"/>
      <c r="SUP28" s="204"/>
      <c r="SUQ28" s="204"/>
      <c r="SUR28" s="204"/>
      <c r="SUS28" s="204"/>
      <c r="SUT28" s="204"/>
      <c r="SUU28" s="204"/>
      <c r="SUV28" s="204"/>
      <c r="SUW28" s="204"/>
      <c r="SUX28" s="204"/>
      <c r="SUY28" s="204"/>
      <c r="SUZ28" s="204"/>
      <c r="SVA28" s="204"/>
      <c r="SVB28" s="204"/>
      <c r="SVC28" s="204"/>
      <c r="SVD28" s="204"/>
      <c r="SVE28" s="204"/>
      <c r="SVF28" s="204"/>
      <c r="SVG28" s="204"/>
      <c r="SVH28" s="204"/>
      <c r="SVI28" s="204"/>
      <c r="SVJ28" s="204"/>
      <c r="SVK28" s="204"/>
      <c r="SVL28" s="204"/>
      <c r="SVM28" s="204"/>
      <c r="SVN28" s="204"/>
      <c r="SVO28" s="204"/>
      <c r="SVP28" s="204"/>
      <c r="SVQ28" s="204"/>
      <c r="SVR28" s="204"/>
      <c r="SVS28" s="204"/>
      <c r="SVT28" s="204"/>
      <c r="SVU28" s="204"/>
      <c r="SVV28" s="204"/>
      <c r="SVW28" s="204"/>
      <c r="SVX28" s="204"/>
      <c r="SVY28" s="204"/>
      <c r="SVZ28" s="204"/>
      <c r="SWA28" s="204"/>
      <c r="SWB28" s="204"/>
      <c r="SWC28" s="204"/>
      <c r="SWD28" s="204"/>
      <c r="SWE28" s="204"/>
      <c r="SWF28" s="204"/>
      <c r="SWG28" s="204"/>
      <c r="SWH28" s="204"/>
      <c r="SWI28" s="204"/>
      <c r="SWJ28" s="204"/>
      <c r="SWK28" s="204"/>
      <c r="SWL28" s="204"/>
      <c r="SWM28" s="204"/>
      <c r="SWN28" s="204"/>
      <c r="SWO28" s="204"/>
      <c r="SWP28" s="204"/>
      <c r="SWQ28" s="204"/>
      <c r="SWR28" s="204"/>
      <c r="SWS28" s="204"/>
      <c r="SWT28" s="204"/>
      <c r="SWU28" s="204"/>
      <c r="SWV28" s="204"/>
      <c r="SWW28" s="204"/>
      <c r="SWX28" s="204"/>
      <c r="SWY28" s="204"/>
      <c r="SWZ28" s="204"/>
      <c r="SXA28" s="204"/>
      <c r="SXB28" s="204"/>
      <c r="SXC28" s="204"/>
      <c r="SXD28" s="204"/>
      <c r="SXE28" s="204"/>
      <c r="SXF28" s="204"/>
      <c r="SXG28" s="204"/>
      <c r="SXH28" s="204"/>
      <c r="SXI28" s="204"/>
      <c r="SXJ28" s="204"/>
      <c r="SXK28" s="204"/>
      <c r="SXL28" s="204"/>
      <c r="SXM28" s="204"/>
      <c r="SXN28" s="204"/>
      <c r="SXO28" s="204"/>
      <c r="SXP28" s="204"/>
      <c r="SXQ28" s="204"/>
      <c r="SXR28" s="204"/>
      <c r="SXS28" s="204"/>
      <c r="SXT28" s="204"/>
      <c r="SXU28" s="204"/>
      <c r="SXV28" s="204"/>
      <c r="SXW28" s="204"/>
      <c r="SXX28" s="204"/>
      <c r="SXY28" s="204"/>
      <c r="SXZ28" s="204"/>
      <c r="SYA28" s="204"/>
      <c r="SYB28" s="204"/>
      <c r="SYC28" s="204"/>
      <c r="SYD28" s="204"/>
      <c r="SYE28" s="204"/>
      <c r="SYF28" s="204"/>
      <c r="SYG28" s="204"/>
      <c r="SYH28" s="204"/>
      <c r="SYI28" s="204"/>
      <c r="SYJ28" s="204"/>
      <c r="SYK28" s="204"/>
      <c r="SYL28" s="204"/>
      <c r="SYM28" s="204"/>
      <c r="SYN28" s="204"/>
      <c r="SYO28" s="204"/>
      <c r="SYP28" s="204"/>
      <c r="SYQ28" s="204"/>
      <c r="SYR28" s="204"/>
      <c r="SYS28" s="204"/>
      <c r="SYT28" s="204"/>
      <c r="SYU28" s="204"/>
      <c r="SYV28" s="204"/>
      <c r="SYW28" s="204"/>
      <c r="SYX28" s="204"/>
      <c r="SYY28" s="204"/>
      <c r="SYZ28" s="204"/>
      <c r="SZA28" s="204"/>
      <c r="SZB28" s="204"/>
      <c r="SZC28" s="204"/>
      <c r="SZD28" s="204"/>
      <c r="SZE28" s="204"/>
      <c r="SZF28" s="204"/>
      <c r="SZG28" s="204"/>
      <c r="SZH28" s="204"/>
      <c r="SZI28" s="204"/>
      <c r="SZJ28" s="204"/>
      <c r="SZK28" s="204"/>
      <c r="SZL28" s="204"/>
      <c r="SZM28" s="204"/>
      <c r="SZN28" s="204"/>
      <c r="SZO28" s="204"/>
      <c r="SZP28" s="204"/>
      <c r="SZQ28" s="204"/>
      <c r="SZR28" s="204"/>
      <c r="SZS28" s="204"/>
      <c r="SZT28" s="204"/>
      <c r="SZU28" s="204"/>
      <c r="SZV28" s="204"/>
      <c r="SZW28" s="204"/>
      <c r="SZX28" s="204"/>
      <c r="SZY28" s="204"/>
      <c r="SZZ28" s="204"/>
      <c r="TAA28" s="204"/>
      <c r="TAB28" s="204"/>
      <c r="TAC28" s="204"/>
      <c r="TAD28" s="204"/>
      <c r="TAE28" s="204"/>
      <c r="TAF28" s="204"/>
      <c r="TAG28" s="204"/>
      <c r="TAH28" s="204"/>
      <c r="TAI28" s="204"/>
      <c r="TAJ28" s="204"/>
      <c r="TAK28" s="204"/>
      <c r="TAL28" s="204"/>
      <c r="TAM28" s="204"/>
      <c r="TAN28" s="204"/>
      <c r="TAO28" s="204"/>
      <c r="TAP28" s="204"/>
      <c r="TAQ28" s="204"/>
      <c r="TAR28" s="204"/>
      <c r="TAS28" s="204"/>
      <c r="TAT28" s="204"/>
      <c r="TAU28" s="204"/>
      <c r="TAV28" s="204"/>
      <c r="TAW28" s="204"/>
      <c r="TAX28" s="204"/>
      <c r="TAY28" s="204"/>
      <c r="TAZ28" s="204"/>
      <c r="TBA28" s="204"/>
      <c r="TBB28" s="204"/>
      <c r="TBC28" s="204"/>
      <c r="TBD28" s="204"/>
      <c r="TBE28" s="204"/>
      <c r="TBF28" s="204"/>
      <c r="TBG28" s="204"/>
      <c r="TBH28" s="204"/>
      <c r="TBI28" s="204"/>
      <c r="TBJ28" s="204"/>
      <c r="TBK28" s="204"/>
      <c r="TBL28" s="204"/>
      <c r="TBM28" s="204"/>
      <c r="TBN28" s="204"/>
      <c r="TBO28" s="204"/>
      <c r="TBP28" s="204"/>
      <c r="TBQ28" s="204"/>
      <c r="TBR28" s="204"/>
      <c r="TBS28" s="204"/>
      <c r="TBT28" s="204"/>
      <c r="TBU28" s="204"/>
      <c r="TBV28" s="204"/>
      <c r="TBW28" s="204"/>
      <c r="TBX28" s="204"/>
      <c r="TBY28" s="204"/>
      <c r="TBZ28" s="204"/>
      <c r="TCA28" s="204"/>
      <c r="TCB28" s="204"/>
      <c r="TCC28" s="204"/>
      <c r="TCD28" s="204"/>
      <c r="TCE28" s="204"/>
      <c r="TCF28" s="204"/>
      <c r="TCG28" s="204"/>
      <c r="TCH28" s="204"/>
      <c r="TCI28" s="204"/>
      <c r="TCJ28" s="204"/>
      <c r="TCK28" s="204"/>
      <c r="TCL28" s="204"/>
      <c r="TCM28" s="204"/>
      <c r="TCN28" s="204"/>
      <c r="TCO28" s="204"/>
      <c r="TCP28" s="204"/>
      <c r="TCQ28" s="204"/>
      <c r="TCR28" s="204"/>
      <c r="TCS28" s="204"/>
      <c r="TCT28" s="204"/>
      <c r="TCU28" s="204"/>
      <c r="TCV28" s="204"/>
      <c r="TCW28" s="204"/>
      <c r="TCX28" s="204"/>
      <c r="TCY28" s="204"/>
      <c r="TCZ28" s="204"/>
      <c r="TDA28" s="204"/>
      <c r="TDB28" s="204"/>
      <c r="TDC28" s="204"/>
      <c r="TDD28" s="204"/>
      <c r="TDE28" s="204"/>
      <c r="TDF28" s="204"/>
      <c r="TDG28" s="204"/>
      <c r="TDH28" s="204"/>
      <c r="TDI28" s="204"/>
      <c r="TDJ28" s="204"/>
      <c r="TDK28" s="204"/>
      <c r="TDL28" s="204"/>
      <c r="TDM28" s="204"/>
      <c r="TDN28" s="204"/>
      <c r="TDO28" s="204"/>
      <c r="TDP28" s="204"/>
      <c r="TDQ28" s="204"/>
      <c r="TDR28" s="204"/>
      <c r="TDS28" s="204"/>
      <c r="TDT28" s="204"/>
      <c r="TDU28" s="204"/>
      <c r="TDV28" s="204"/>
      <c r="TDW28" s="204"/>
      <c r="TDX28" s="204"/>
      <c r="TDY28" s="204"/>
      <c r="TDZ28" s="204"/>
      <c r="TEA28" s="204"/>
      <c r="TEB28" s="204"/>
      <c r="TEC28" s="204"/>
      <c r="TED28" s="204"/>
      <c r="TEE28" s="204"/>
      <c r="TEF28" s="204"/>
      <c r="TEG28" s="204"/>
      <c r="TEH28" s="204"/>
      <c r="TEI28" s="204"/>
      <c r="TEJ28" s="204"/>
      <c r="TEK28" s="204"/>
      <c r="TEL28" s="204"/>
      <c r="TEM28" s="204"/>
      <c r="TEN28" s="204"/>
      <c r="TEO28" s="204"/>
      <c r="TEP28" s="204"/>
      <c r="TEQ28" s="204"/>
      <c r="TER28" s="204"/>
      <c r="TES28" s="204"/>
      <c r="TET28" s="204"/>
      <c r="TEU28" s="204"/>
      <c r="TEV28" s="204"/>
      <c r="TEW28" s="204"/>
      <c r="TEX28" s="204"/>
      <c r="TEY28" s="204"/>
      <c r="TEZ28" s="204"/>
      <c r="TFA28" s="204"/>
      <c r="TFB28" s="204"/>
      <c r="TFC28" s="204"/>
      <c r="TFD28" s="204"/>
      <c r="TFE28" s="204"/>
      <c r="TFF28" s="204"/>
      <c r="TFG28" s="204"/>
      <c r="TFH28" s="204"/>
      <c r="TFI28" s="204"/>
      <c r="TFJ28" s="204"/>
      <c r="TFK28" s="204"/>
      <c r="TFL28" s="204"/>
      <c r="TFM28" s="204"/>
      <c r="TFN28" s="204"/>
      <c r="TFO28" s="204"/>
      <c r="TFP28" s="204"/>
      <c r="TFQ28" s="204"/>
      <c r="TFR28" s="204"/>
      <c r="TFS28" s="204"/>
      <c r="TFT28" s="204"/>
      <c r="TFU28" s="204"/>
      <c r="TFV28" s="204"/>
      <c r="TFW28" s="204"/>
      <c r="TFX28" s="204"/>
      <c r="TFY28" s="204"/>
      <c r="TFZ28" s="204"/>
      <c r="TGA28" s="204"/>
      <c r="TGB28" s="204"/>
      <c r="TGC28" s="204"/>
      <c r="TGD28" s="204"/>
      <c r="TGE28" s="204"/>
      <c r="TGF28" s="204"/>
      <c r="TGG28" s="204"/>
      <c r="TGH28" s="204"/>
      <c r="TGI28" s="204"/>
      <c r="TGJ28" s="204"/>
      <c r="TGK28" s="204"/>
      <c r="TGL28" s="204"/>
      <c r="TGM28" s="204"/>
      <c r="TGN28" s="204"/>
      <c r="TGO28" s="204"/>
      <c r="TGP28" s="204"/>
      <c r="TGQ28" s="204"/>
      <c r="TGR28" s="204"/>
      <c r="TGS28" s="204"/>
      <c r="TGT28" s="204"/>
      <c r="TGU28" s="204"/>
      <c r="TGV28" s="204"/>
      <c r="TGW28" s="204"/>
      <c r="TGX28" s="204"/>
      <c r="TGY28" s="204"/>
      <c r="TGZ28" s="204"/>
      <c r="THA28" s="204"/>
      <c r="THB28" s="204"/>
      <c r="THC28" s="204"/>
      <c r="THD28" s="204"/>
      <c r="THE28" s="204"/>
      <c r="THF28" s="204"/>
      <c r="THG28" s="204"/>
      <c r="THH28" s="204"/>
      <c r="THI28" s="204"/>
      <c r="THJ28" s="204"/>
      <c r="THK28" s="204"/>
      <c r="THL28" s="204"/>
      <c r="THM28" s="204"/>
      <c r="THN28" s="204"/>
      <c r="THO28" s="204"/>
      <c r="THP28" s="204"/>
      <c r="THQ28" s="204"/>
      <c r="THR28" s="204"/>
      <c r="THS28" s="204"/>
      <c r="THT28" s="204"/>
      <c r="THU28" s="204"/>
      <c r="THV28" s="204"/>
      <c r="THW28" s="204"/>
      <c r="THX28" s="204"/>
      <c r="THY28" s="204"/>
      <c r="THZ28" s="204"/>
      <c r="TIA28" s="204"/>
      <c r="TIB28" s="204"/>
      <c r="TIC28" s="204"/>
      <c r="TID28" s="204"/>
      <c r="TIE28" s="204"/>
      <c r="TIF28" s="204"/>
      <c r="TIG28" s="204"/>
      <c r="TIH28" s="204"/>
      <c r="TII28" s="204"/>
      <c r="TIJ28" s="204"/>
      <c r="TIK28" s="204"/>
      <c r="TIL28" s="204"/>
      <c r="TIM28" s="204"/>
      <c r="TIN28" s="204"/>
      <c r="TIO28" s="204"/>
      <c r="TIP28" s="204"/>
      <c r="TIQ28" s="204"/>
      <c r="TIR28" s="204"/>
      <c r="TIS28" s="204"/>
      <c r="TIT28" s="204"/>
      <c r="TIU28" s="204"/>
      <c r="TIV28" s="204"/>
      <c r="TIW28" s="204"/>
      <c r="TIX28" s="204"/>
      <c r="TIY28" s="204"/>
      <c r="TIZ28" s="204"/>
      <c r="TJA28" s="204"/>
      <c r="TJB28" s="204"/>
      <c r="TJC28" s="204"/>
      <c r="TJD28" s="204"/>
      <c r="TJE28" s="204"/>
      <c r="TJF28" s="204"/>
      <c r="TJG28" s="204"/>
      <c r="TJH28" s="204"/>
      <c r="TJI28" s="204"/>
      <c r="TJJ28" s="204"/>
      <c r="TJK28" s="204"/>
      <c r="TJL28" s="204"/>
      <c r="TJM28" s="204"/>
      <c r="TJN28" s="204"/>
      <c r="TJO28" s="204"/>
      <c r="TJP28" s="204"/>
      <c r="TJQ28" s="204"/>
      <c r="TJR28" s="204"/>
      <c r="TJS28" s="204"/>
      <c r="TJT28" s="204"/>
      <c r="TJU28" s="204"/>
      <c r="TJV28" s="204"/>
      <c r="TJW28" s="204"/>
      <c r="TJX28" s="204"/>
      <c r="TJY28" s="204"/>
      <c r="TJZ28" s="204"/>
      <c r="TKA28" s="204"/>
      <c r="TKB28" s="204"/>
      <c r="TKC28" s="204"/>
      <c r="TKD28" s="204"/>
      <c r="TKE28" s="204"/>
      <c r="TKF28" s="204"/>
      <c r="TKG28" s="204"/>
      <c r="TKH28" s="204"/>
      <c r="TKI28" s="204"/>
      <c r="TKJ28" s="204"/>
      <c r="TKK28" s="204"/>
      <c r="TKL28" s="204"/>
      <c r="TKM28" s="204"/>
      <c r="TKN28" s="204"/>
      <c r="TKO28" s="204"/>
      <c r="TKP28" s="204"/>
      <c r="TKQ28" s="204"/>
      <c r="TKR28" s="204"/>
      <c r="TKS28" s="204"/>
      <c r="TKT28" s="204"/>
      <c r="TKU28" s="204"/>
      <c r="TKV28" s="204"/>
      <c r="TKW28" s="204"/>
      <c r="TKX28" s="204"/>
      <c r="TKY28" s="204"/>
      <c r="TKZ28" s="204"/>
      <c r="TLA28" s="204"/>
      <c r="TLB28" s="204"/>
      <c r="TLC28" s="204"/>
      <c r="TLD28" s="204"/>
      <c r="TLE28" s="204"/>
      <c r="TLF28" s="204"/>
      <c r="TLG28" s="204"/>
      <c r="TLH28" s="204"/>
      <c r="TLI28" s="204"/>
      <c r="TLJ28" s="204"/>
      <c r="TLK28" s="204"/>
      <c r="TLL28" s="204"/>
      <c r="TLM28" s="204"/>
      <c r="TLN28" s="204"/>
      <c r="TLO28" s="204"/>
      <c r="TLP28" s="204"/>
      <c r="TLQ28" s="204"/>
      <c r="TLR28" s="204"/>
      <c r="TLS28" s="204"/>
      <c r="TLT28" s="204"/>
      <c r="TLU28" s="204"/>
      <c r="TLV28" s="204"/>
      <c r="TLW28" s="204"/>
      <c r="TLX28" s="204"/>
      <c r="TLY28" s="204"/>
      <c r="TLZ28" s="204"/>
      <c r="TMA28" s="204"/>
      <c r="TMB28" s="204"/>
      <c r="TMC28" s="204"/>
      <c r="TMD28" s="204"/>
      <c r="TME28" s="204"/>
      <c r="TMF28" s="204"/>
      <c r="TMG28" s="204"/>
      <c r="TMH28" s="204"/>
      <c r="TMI28" s="204"/>
      <c r="TMJ28" s="204"/>
      <c r="TMK28" s="204"/>
      <c r="TML28" s="204"/>
      <c r="TMM28" s="204"/>
      <c r="TMN28" s="204"/>
      <c r="TMO28" s="204"/>
      <c r="TMP28" s="204"/>
      <c r="TMQ28" s="204"/>
      <c r="TMR28" s="204"/>
      <c r="TMS28" s="204"/>
      <c r="TMT28" s="204"/>
      <c r="TMU28" s="204"/>
      <c r="TMV28" s="204"/>
      <c r="TMW28" s="204"/>
      <c r="TMX28" s="204"/>
      <c r="TMY28" s="204"/>
      <c r="TMZ28" s="204"/>
      <c r="TNA28" s="204"/>
      <c r="TNB28" s="204"/>
      <c r="TNC28" s="204"/>
      <c r="TND28" s="204"/>
      <c r="TNE28" s="204"/>
      <c r="TNF28" s="204"/>
      <c r="TNG28" s="204"/>
      <c r="TNH28" s="204"/>
      <c r="TNI28" s="204"/>
      <c r="TNJ28" s="204"/>
      <c r="TNK28" s="204"/>
      <c r="TNL28" s="204"/>
      <c r="TNM28" s="204"/>
      <c r="TNN28" s="204"/>
      <c r="TNO28" s="204"/>
      <c r="TNP28" s="204"/>
      <c r="TNQ28" s="204"/>
      <c r="TNR28" s="204"/>
      <c r="TNS28" s="204"/>
      <c r="TNT28" s="204"/>
      <c r="TNU28" s="204"/>
      <c r="TNV28" s="204"/>
      <c r="TNW28" s="204"/>
      <c r="TNX28" s="204"/>
      <c r="TNY28" s="204"/>
      <c r="TNZ28" s="204"/>
      <c r="TOA28" s="204"/>
      <c r="TOB28" s="204"/>
      <c r="TOC28" s="204"/>
      <c r="TOD28" s="204"/>
      <c r="TOE28" s="204"/>
      <c r="TOF28" s="204"/>
      <c r="TOG28" s="204"/>
      <c r="TOH28" s="204"/>
      <c r="TOI28" s="204"/>
      <c r="TOJ28" s="204"/>
      <c r="TOK28" s="204"/>
      <c r="TOL28" s="204"/>
      <c r="TOM28" s="204"/>
      <c r="TON28" s="204"/>
      <c r="TOO28" s="204"/>
      <c r="TOP28" s="204"/>
      <c r="TOQ28" s="204"/>
      <c r="TOR28" s="204"/>
      <c r="TOS28" s="204"/>
      <c r="TOT28" s="204"/>
      <c r="TOU28" s="204"/>
      <c r="TOV28" s="204"/>
      <c r="TOW28" s="204"/>
      <c r="TOX28" s="204"/>
      <c r="TOY28" s="204"/>
      <c r="TOZ28" s="204"/>
      <c r="TPA28" s="204"/>
      <c r="TPB28" s="204"/>
      <c r="TPC28" s="204"/>
      <c r="TPD28" s="204"/>
      <c r="TPE28" s="204"/>
      <c r="TPF28" s="204"/>
      <c r="TPG28" s="204"/>
      <c r="TPH28" s="204"/>
      <c r="TPI28" s="204"/>
      <c r="TPJ28" s="204"/>
      <c r="TPK28" s="204"/>
      <c r="TPL28" s="204"/>
      <c r="TPM28" s="204"/>
      <c r="TPN28" s="204"/>
      <c r="TPO28" s="204"/>
      <c r="TPP28" s="204"/>
      <c r="TPQ28" s="204"/>
      <c r="TPR28" s="204"/>
      <c r="TPS28" s="204"/>
      <c r="TPT28" s="204"/>
      <c r="TPU28" s="204"/>
      <c r="TPV28" s="204"/>
      <c r="TPW28" s="204"/>
      <c r="TPX28" s="204"/>
      <c r="TPY28" s="204"/>
      <c r="TPZ28" s="204"/>
      <c r="TQA28" s="204"/>
      <c r="TQB28" s="204"/>
      <c r="TQC28" s="204"/>
      <c r="TQD28" s="204"/>
      <c r="TQE28" s="204"/>
      <c r="TQF28" s="204"/>
      <c r="TQG28" s="204"/>
      <c r="TQH28" s="204"/>
      <c r="TQI28" s="204"/>
      <c r="TQJ28" s="204"/>
      <c r="TQK28" s="204"/>
      <c r="TQL28" s="204"/>
      <c r="TQM28" s="204"/>
      <c r="TQN28" s="204"/>
      <c r="TQO28" s="204"/>
      <c r="TQP28" s="204"/>
      <c r="TQQ28" s="204"/>
      <c r="TQR28" s="204"/>
      <c r="TQS28" s="204"/>
      <c r="TQT28" s="204"/>
      <c r="TQU28" s="204"/>
      <c r="TQV28" s="204"/>
      <c r="TQW28" s="204"/>
      <c r="TQX28" s="204"/>
      <c r="TQY28" s="204"/>
      <c r="TQZ28" s="204"/>
      <c r="TRA28" s="204"/>
      <c r="TRB28" s="204"/>
      <c r="TRC28" s="204"/>
      <c r="TRD28" s="204"/>
      <c r="TRE28" s="204"/>
      <c r="TRF28" s="204"/>
      <c r="TRG28" s="204"/>
      <c r="TRH28" s="204"/>
      <c r="TRI28" s="204"/>
      <c r="TRJ28" s="204"/>
      <c r="TRK28" s="204"/>
      <c r="TRL28" s="204"/>
      <c r="TRM28" s="204"/>
      <c r="TRN28" s="204"/>
      <c r="TRO28" s="204"/>
      <c r="TRP28" s="204"/>
      <c r="TRQ28" s="204"/>
      <c r="TRR28" s="204"/>
      <c r="TRS28" s="204"/>
      <c r="TRT28" s="204"/>
      <c r="TRU28" s="204"/>
      <c r="TRV28" s="204"/>
      <c r="TRW28" s="204"/>
      <c r="TRX28" s="204"/>
      <c r="TRY28" s="204"/>
      <c r="TRZ28" s="204"/>
      <c r="TSA28" s="204"/>
      <c r="TSB28" s="204"/>
      <c r="TSC28" s="204"/>
      <c r="TSD28" s="204"/>
      <c r="TSE28" s="204"/>
      <c r="TSF28" s="204"/>
      <c r="TSG28" s="204"/>
      <c r="TSH28" s="204"/>
      <c r="TSI28" s="204"/>
      <c r="TSJ28" s="204"/>
      <c r="TSK28" s="204"/>
      <c r="TSL28" s="204"/>
      <c r="TSM28" s="204"/>
      <c r="TSN28" s="204"/>
      <c r="TSO28" s="204"/>
      <c r="TSP28" s="204"/>
      <c r="TSQ28" s="204"/>
      <c r="TSR28" s="204"/>
      <c r="TSS28" s="204"/>
      <c r="TST28" s="204"/>
      <c r="TSU28" s="204"/>
      <c r="TSV28" s="204"/>
      <c r="TSW28" s="204"/>
      <c r="TSX28" s="204"/>
      <c r="TSY28" s="204"/>
      <c r="TSZ28" s="204"/>
      <c r="TTA28" s="204"/>
      <c r="TTB28" s="204"/>
      <c r="TTC28" s="204"/>
      <c r="TTD28" s="204"/>
      <c r="TTE28" s="204"/>
      <c r="TTF28" s="204"/>
      <c r="TTG28" s="204"/>
      <c r="TTH28" s="204"/>
      <c r="TTI28" s="204"/>
      <c r="TTJ28" s="204"/>
      <c r="TTK28" s="204"/>
      <c r="TTL28" s="204"/>
      <c r="TTM28" s="204"/>
      <c r="TTN28" s="204"/>
      <c r="TTO28" s="204"/>
      <c r="TTP28" s="204"/>
      <c r="TTQ28" s="204"/>
      <c r="TTR28" s="204"/>
      <c r="TTS28" s="204"/>
      <c r="TTT28" s="204"/>
      <c r="TTU28" s="204"/>
      <c r="TTV28" s="204"/>
      <c r="TTW28" s="204"/>
      <c r="TTX28" s="204"/>
      <c r="TTY28" s="204"/>
      <c r="TTZ28" s="204"/>
      <c r="TUA28" s="204"/>
      <c r="TUB28" s="204"/>
      <c r="TUC28" s="204"/>
      <c r="TUD28" s="204"/>
      <c r="TUE28" s="204"/>
      <c r="TUF28" s="204"/>
      <c r="TUG28" s="204"/>
      <c r="TUH28" s="204"/>
      <c r="TUI28" s="204"/>
      <c r="TUJ28" s="204"/>
      <c r="TUK28" s="204"/>
      <c r="TUL28" s="204"/>
      <c r="TUM28" s="204"/>
      <c r="TUN28" s="204"/>
      <c r="TUO28" s="204"/>
      <c r="TUP28" s="204"/>
      <c r="TUQ28" s="204"/>
      <c r="TUR28" s="204"/>
      <c r="TUS28" s="204"/>
      <c r="TUT28" s="204"/>
      <c r="TUU28" s="204"/>
      <c r="TUV28" s="204"/>
      <c r="TUW28" s="204"/>
      <c r="TUX28" s="204"/>
      <c r="TUY28" s="204"/>
      <c r="TUZ28" s="204"/>
      <c r="TVA28" s="204"/>
      <c r="TVB28" s="204"/>
      <c r="TVC28" s="204"/>
      <c r="TVD28" s="204"/>
      <c r="TVE28" s="204"/>
      <c r="TVF28" s="204"/>
      <c r="TVG28" s="204"/>
      <c r="TVH28" s="204"/>
      <c r="TVI28" s="204"/>
      <c r="TVJ28" s="204"/>
      <c r="TVK28" s="204"/>
      <c r="TVL28" s="204"/>
      <c r="TVM28" s="204"/>
      <c r="TVN28" s="204"/>
      <c r="TVO28" s="204"/>
      <c r="TVP28" s="204"/>
      <c r="TVQ28" s="204"/>
      <c r="TVR28" s="204"/>
      <c r="TVS28" s="204"/>
      <c r="TVT28" s="204"/>
      <c r="TVU28" s="204"/>
      <c r="TVV28" s="204"/>
      <c r="TVW28" s="204"/>
      <c r="TVX28" s="204"/>
      <c r="TVY28" s="204"/>
      <c r="TVZ28" s="204"/>
      <c r="TWA28" s="204"/>
      <c r="TWB28" s="204"/>
      <c r="TWC28" s="204"/>
      <c r="TWD28" s="204"/>
      <c r="TWE28" s="204"/>
      <c r="TWF28" s="204"/>
      <c r="TWG28" s="204"/>
      <c r="TWH28" s="204"/>
      <c r="TWI28" s="204"/>
      <c r="TWJ28" s="204"/>
      <c r="TWK28" s="204"/>
      <c r="TWL28" s="204"/>
      <c r="TWM28" s="204"/>
      <c r="TWN28" s="204"/>
      <c r="TWO28" s="204"/>
      <c r="TWP28" s="204"/>
      <c r="TWQ28" s="204"/>
      <c r="TWR28" s="204"/>
      <c r="TWS28" s="204"/>
      <c r="TWT28" s="204"/>
      <c r="TWU28" s="204"/>
      <c r="TWV28" s="204"/>
      <c r="TWW28" s="204"/>
      <c r="TWX28" s="204"/>
      <c r="TWY28" s="204"/>
      <c r="TWZ28" s="204"/>
      <c r="TXA28" s="204"/>
      <c r="TXB28" s="204"/>
      <c r="TXC28" s="204"/>
      <c r="TXD28" s="204"/>
      <c r="TXE28" s="204"/>
      <c r="TXF28" s="204"/>
      <c r="TXG28" s="204"/>
      <c r="TXH28" s="204"/>
      <c r="TXI28" s="204"/>
      <c r="TXJ28" s="204"/>
      <c r="TXK28" s="204"/>
      <c r="TXL28" s="204"/>
      <c r="TXM28" s="204"/>
      <c r="TXN28" s="204"/>
      <c r="TXO28" s="204"/>
      <c r="TXP28" s="204"/>
      <c r="TXQ28" s="204"/>
      <c r="TXR28" s="204"/>
      <c r="TXS28" s="204"/>
      <c r="TXT28" s="204"/>
      <c r="TXU28" s="204"/>
      <c r="TXV28" s="204"/>
      <c r="TXW28" s="204"/>
      <c r="TXX28" s="204"/>
      <c r="TXY28" s="204"/>
      <c r="TXZ28" s="204"/>
      <c r="TYA28" s="204"/>
      <c r="TYB28" s="204"/>
      <c r="TYC28" s="204"/>
      <c r="TYD28" s="204"/>
      <c r="TYE28" s="204"/>
      <c r="TYF28" s="204"/>
      <c r="TYG28" s="204"/>
      <c r="TYH28" s="204"/>
      <c r="TYI28" s="204"/>
      <c r="TYJ28" s="204"/>
      <c r="TYK28" s="204"/>
      <c r="TYL28" s="204"/>
      <c r="TYM28" s="204"/>
      <c r="TYN28" s="204"/>
      <c r="TYO28" s="204"/>
      <c r="TYP28" s="204"/>
      <c r="TYQ28" s="204"/>
      <c r="TYR28" s="204"/>
      <c r="TYS28" s="204"/>
      <c r="TYT28" s="204"/>
      <c r="TYU28" s="204"/>
      <c r="TYV28" s="204"/>
      <c r="TYW28" s="204"/>
      <c r="TYX28" s="204"/>
      <c r="TYY28" s="204"/>
      <c r="TYZ28" s="204"/>
      <c r="TZA28" s="204"/>
      <c r="TZB28" s="204"/>
      <c r="TZC28" s="204"/>
      <c r="TZD28" s="204"/>
      <c r="TZE28" s="204"/>
      <c r="TZF28" s="204"/>
      <c r="TZG28" s="204"/>
      <c r="TZH28" s="204"/>
      <c r="TZI28" s="204"/>
      <c r="TZJ28" s="204"/>
      <c r="TZK28" s="204"/>
      <c r="TZL28" s="204"/>
      <c r="TZM28" s="204"/>
      <c r="TZN28" s="204"/>
      <c r="TZO28" s="204"/>
      <c r="TZP28" s="204"/>
      <c r="TZQ28" s="204"/>
      <c r="TZR28" s="204"/>
      <c r="TZS28" s="204"/>
      <c r="TZT28" s="204"/>
      <c r="TZU28" s="204"/>
      <c r="TZV28" s="204"/>
      <c r="TZW28" s="204"/>
      <c r="TZX28" s="204"/>
      <c r="TZY28" s="204"/>
      <c r="TZZ28" s="204"/>
      <c r="UAA28" s="204"/>
      <c r="UAB28" s="204"/>
      <c r="UAC28" s="204"/>
      <c r="UAD28" s="204"/>
      <c r="UAE28" s="204"/>
      <c r="UAF28" s="204"/>
      <c r="UAG28" s="204"/>
      <c r="UAH28" s="204"/>
      <c r="UAI28" s="204"/>
      <c r="UAJ28" s="204"/>
      <c r="UAK28" s="204"/>
      <c r="UAL28" s="204"/>
      <c r="UAM28" s="204"/>
      <c r="UAN28" s="204"/>
      <c r="UAO28" s="204"/>
      <c r="UAP28" s="204"/>
      <c r="UAQ28" s="204"/>
      <c r="UAR28" s="204"/>
      <c r="UAS28" s="204"/>
      <c r="UAT28" s="204"/>
      <c r="UAU28" s="204"/>
      <c r="UAV28" s="204"/>
      <c r="UAW28" s="204"/>
      <c r="UAX28" s="204"/>
      <c r="UAY28" s="204"/>
      <c r="UAZ28" s="204"/>
      <c r="UBA28" s="204"/>
      <c r="UBB28" s="204"/>
      <c r="UBC28" s="204"/>
      <c r="UBD28" s="204"/>
      <c r="UBE28" s="204"/>
      <c r="UBF28" s="204"/>
      <c r="UBG28" s="204"/>
      <c r="UBH28" s="204"/>
      <c r="UBI28" s="204"/>
      <c r="UBJ28" s="204"/>
      <c r="UBK28" s="204"/>
      <c r="UBL28" s="204"/>
      <c r="UBM28" s="204"/>
      <c r="UBN28" s="204"/>
      <c r="UBO28" s="204"/>
      <c r="UBP28" s="204"/>
      <c r="UBQ28" s="204"/>
      <c r="UBR28" s="204"/>
      <c r="UBS28" s="204"/>
      <c r="UBT28" s="204"/>
      <c r="UBU28" s="204"/>
      <c r="UBV28" s="204"/>
      <c r="UBW28" s="204"/>
      <c r="UBX28" s="204"/>
      <c r="UBY28" s="204"/>
      <c r="UBZ28" s="204"/>
      <c r="UCA28" s="204"/>
      <c r="UCB28" s="204"/>
      <c r="UCC28" s="204"/>
      <c r="UCD28" s="204"/>
      <c r="UCE28" s="204"/>
      <c r="UCF28" s="204"/>
      <c r="UCG28" s="204"/>
      <c r="UCH28" s="204"/>
      <c r="UCI28" s="204"/>
      <c r="UCJ28" s="204"/>
      <c r="UCK28" s="204"/>
      <c r="UCL28" s="204"/>
      <c r="UCM28" s="204"/>
      <c r="UCN28" s="204"/>
      <c r="UCO28" s="204"/>
      <c r="UCP28" s="204"/>
      <c r="UCQ28" s="204"/>
      <c r="UCR28" s="204"/>
      <c r="UCS28" s="204"/>
      <c r="UCT28" s="204"/>
      <c r="UCU28" s="204"/>
      <c r="UCV28" s="204"/>
      <c r="UCW28" s="204"/>
      <c r="UCX28" s="204"/>
      <c r="UCY28" s="204"/>
      <c r="UCZ28" s="204"/>
      <c r="UDA28" s="204"/>
      <c r="UDB28" s="204"/>
      <c r="UDC28" s="204"/>
      <c r="UDD28" s="204"/>
      <c r="UDE28" s="204"/>
      <c r="UDF28" s="204"/>
      <c r="UDG28" s="204"/>
      <c r="UDH28" s="204"/>
      <c r="UDI28" s="204"/>
      <c r="UDJ28" s="204"/>
      <c r="UDK28" s="204"/>
      <c r="UDL28" s="204"/>
      <c r="UDM28" s="204"/>
      <c r="UDN28" s="204"/>
      <c r="UDO28" s="204"/>
      <c r="UDP28" s="204"/>
      <c r="UDQ28" s="204"/>
      <c r="UDR28" s="204"/>
      <c r="UDS28" s="204"/>
      <c r="UDT28" s="204"/>
      <c r="UDU28" s="204"/>
      <c r="UDV28" s="204"/>
      <c r="UDW28" s="204"/>
      <c r="UDX28" s="204"/>
      <c r="UDY28" s="204"/>
      <c r="UDZ28" s="204"/>
      <c r="UEA28" s="204"/>
      <c r="UEB28" s="204"/>
      <c r="UEC28" s="204"/>
      <c r="UED28" s="204"/>
      <c r="UEE28" s="204"/>
      <c r="UEF28" s="204"/>
      <c r="UEG28" s="204"/>
      <c r="UEH28" s="204"/>
      <c r="UEI28" s="204"/>
      <c r="UEJ28" s="204"/>
      <c r="UEK28" s="204"/>
      <c r="UEL28" s="204"/>
      <c r="UEM28" s="204"/>
      <c r="UEN28" s="204"/>
      <c r="UEO28" s="204"/>
      <c r="UEP28" s="204"/>
      <c r="UEQ28" s="204"/>
      <c r="UER28" s="204"/>
      <c r="UES28" s="204"/>
      <c r="UET28" s="204"/>
      <c r="UEU28" s="204"/>
      <c r="UEV28" s="204"/>
      <c r="UEW28" s="204"/>
      <c r="UEX28" s="204"/>
      <c r="UEY28" s="204"/>
      <c r="UEZ28" s="204"/>
      <c r="UFA28" s="204"/>
      <c r="UFB28" s="204"/>
      <c r="UFC28" s="204"/>
      <c r="UFD28" s="204"/>
      <c r="UFE28" s="204"/>
      <c r="UFF28" s="204"/>
      <c r="UFG28" s="204"/>
      <c r="UFH28" s="204"/>
      <c r="UFI28" s="204"/>
      <c r="UFJ28" s="204"/>
      <c r="UFK28" s="204"/>
      <c r="UFL28" s="204"/>
      <c r="UFM28" s="204"/>
      <c r="UFN28" s="204"/>
      <c r="UFO28" s="204"/>
      <c r="UFP28" s="204"/>
      <c r="UFQ28" s="204"/>
      <c r="UFR28" s="204"/>
      <c r="UFS28" s="204"/>
      <c r="UFT28" s="204"/>
      <c r="UFU28" s="204"/>
      <c r="UFV28" s="204"/>
      <c r="UFW28" s="204"/>
      <c r="UFX28" s="204"/>
      <c r="UFY28" s="204"/>
      <c r="UFZ28" s="204"/>
      <c r="UGA28" s="204"/>
      <c r="UGB28" s="204"/>
      <c r="UGC28" s="204"/>
      <c r="UGD28" s="204"/>
      <c r="UGE28" s="204"/>
      <c r="UGF28" s="204"/>
      <c r="UGG28" s="204"/>
      <c r="UGH28" s="204"/>
      <c r="UGI28" s="204"/>
      <c r="UGJ28" s="204"/>
      <c r="UGK28" s="204"/>
      <c r="UGL28" s="204"/>
      <c r="UGM28" s="204"/>
      <c r="UGN28" s="204"/>
      <c r="UGO28" s="204"/>
      <c r="UGP28" s="204"/>
      <c r="UGQ28" s="204"/>
      <c r="UGR28" s="204"/>
      <c r="UGS28" s="204"/>
      <c r="UGT28" s="204"/>
      <c r="UGU28" s="204"/>
      <c r="UGV28" s="204"/>
      <c r="UGW28" s="204"/>
      <c r="UGX28" s="204"/>
      <c r="UGY28" s="204"/>
      <c r="UGZ28" s="204"/>
      <c r="UHA28" s="204"/>
      <c r="UHB28" s="204"/>
      <c r="UHC28" s="204"/>
      <c r="UHD28" s="204"/>
      <c r="UHE28" s="204"/>
      <c r="UHF28" s="204"/>
      <c r="UHG28" s="204"/>
      <c r="UHH28" s="204"/>
      <c r="UHI28" s="204"/>
      <c r="UHJ28" s="204"/>
      <c r="UHK28" s="204"/>
      <c r="UHL28" s="204"/>
      <c r="UHM28" s="204"/>
      <c r="UHN28" s="204"/>
      <c r="UHO28" s="204"/>
      <c r="UHP28" s="204"/>
      <c r="UHQ28" s="204"/>
      <c r="UHR28" s="204"/>
      <c r="UHS28" s="204"/>
      <c r="UHT28" s="204"/>
      <c r="UHU28" s="204"/>
      <c r="UHV28" s="204"/>
      <c r="UHW28" s="204"/>
      <c r="UHX28" s="204"/>
      <c r="UHY28" s="204"/>
      <c r="UHZ28" s="204"/>
      <c r="UIA28" s="204"/>
      <c r="UIB28" s="204"/>
      <c r="UIC28" s="204"/>
      <c r="UID28" s="204"/>
      <c r="UIE28" s="204"/>
      <c r="UIF28" s="204"/>
      <c r="UIG28" s="204"/>
      <c r="UIH28" s="204"/>
      <c r="UII28" s="204"/>
      <c r="UIJ28" s="204"/>
      <c r="UIK28" s="204"/>
      <c r="UIL28" s="204"/>
      <c r="UIM28" s="204"/>
      <c r="UIN28" s="204"/>
      <c r="UIO28" s="204"/>
      <c r="UIP28" s="204"/>
      <c r="UIQ28" s="204"/>
      <c r="UIR28" s="204"/>
      <c r="UIS28" s="204"/>
      <c r="UIT28" s="204"/>
      <c r="UIU28" s="204"/>
      <c r="UIV28" s="204"/>
      <c r="UIW28" s="204"/>
      <c r="UIX28" s="204"/>
      <c r="UIY28" s="204"/>
      <c r="UIZ28" s="204"/>
      <c r="UJA28" s="204"/>
      <c r="UJB28" s="204"/>
      <c r="UJC28" s="204"/>
      <c r="UJD28" s="204"/>
      <c r="UJE28" s="204"/>
      <c r="UJF28" s="204"/>
      <c r="UJG28" s="204"/>
      <c r="UJH28" s="204"/>
      <c r="UJI28" s="204"/>
      <c r="UJJ28" s="204"/>
      <c r="UJK28" s="204"/>
      <c r="UJL28" s="204"/>
      <c r="UJM28" s="204"/>
      <c r="UJN28" s="204"/>
      <c r="UJO28" s="204"/>
      <c r="UJP28" s="204"/>
      <c r="UJQ28" s="204"/>
      <c r="UJR28" s="204"/>
      <c r="UJS28" s="204"/>
      <c r="UJT28" s="204"/>
      <c r="UJU28" s="204"/>
      <c r="UJV28" s="204"/>
      <c r="UJW28" s="204"/>
      <c r="UJX28" s="204"/>
      <c r="UJY28" s="204"/>
      <c r="UJZ28" s="204"/>
      <c r="UKA28" s="204"/>
      <c r="UKB28" s="204"/>
      <c r="UKC28" s="204"/>
      <c r="UKD28" s="204"/>
      <c r="UKE28" s="204"/>
      <c r="UKF28" s="204"/>
      <c r="UKG28" s="204"/>
      <c r="UKH28" s="204"/>
      <c r="UKI28" s="204"/>
      <c r="UKJ28" s="204"/>
      <c r="UKK28" s="204"/>
      <c r="UKL28" s="204"/>
      <c r="UKM28" s="204"/>
      <c r="UKN28" s="204"/>
      <c r="UKO28" s="204"/>
      <c r="UKP28" s="204"/>
      <c r="UKQ28" s="204"/>
      <c r="UKR28" s="204"/>
      <c r="UKS28" s="204"/>
      <c r="UKT28" s="204"/>
      <c r="UKU28" s="204"/>
      <c r="UKV28" s="204"/>
      <c r="UKW28" s="204"/>
      <c r="UKX28" s="204"/>
      <c r="UKY28" s="204"/>
      <c r="UKZ28" s="204"/>
      <c r="ULA28" s="204"/>
      <c r="ULB28" s="204"/>
      <c r="ULC28" s="204"/>
      <c r="ULD28" s="204"/>
      <c r="ULE28" s="204"/>
      <c r="ULF28" s="204"/>
      <c r="ULG28" s="204"/>
      <c r="ULH28" s="204"/>
      <c r="ULI28" s="204"/>
      <c r="ULJ28" s="204"/>
      <c r="ULK28" s="204"/>
      <c r="ULL28" s="204"/>
      <c r="ULM28" s="204"/>
      <c r="ULN28" s="204"/>
      <c r="ULO28" s="204"/>
      <c r="ULP28" s="204"/>
      <c r="ULQ28" s="204"/>
      <c r="ULR28" s="204"/>
      <c r="ULS28" s="204"/>
      <c r="ULT28" s="204"/>
      <c r="ULU28" s="204"/>
      <c r="ULV28" s="204"/>
      <c r="ULW28" s="204"/>
      <c r="ULX28" s="204"/>
      <c r="ULY28" s="204"/>
      <c r="ULZ28" s="204"/>
      <c r="UMA28" s="204"/>
      <c r="UMB28" s="204"/>
      <c r="UMC28" s="204"/>
      <c r="UMD28" s="204"/>
      <c r="UME28" s="204"/>
      <c r="UMF28" s="204"/>
      <c r="UMG28" s="204"/>
      <c r="UMH28" s="204"/>
      <c r="UMI28" s="204"/>
      <c r="UMJ28" s="204"/>
      <c r="UMK28" s="204"/>
      <c r="UML28" s="204"/>
      <c r="UMM28" s="204"/>
      <c r="UMN28" s="204"/>
      <c r="UMO28" s="204"/>
      <c r="UMP28" s="204"/>
      <c r="UMQ28" s="204"/>
      <c r="UMR28" s="204"/>
      <c r="UMS28" s="204"/>
      <c r="UMT28" s="204"/>
      <c r="UMU28" s="204"/>
      <c r="UMV28" s="204"/>
      <c r="UMW28" s="204"/>
      <c r="UMX28" s="204"/>
      <c r="UMY28" s="204"/>
      <c r="UMZ28" s="204"/>
      <c r="UNA28" s="204"/>
      <c r="UNB28" s="204"/>
      <c r="UNC28" s="204"/>
      <c r="UND28" s="204"/>
      <c r="UNE28" s="204"/>
      <c r="UNF28" s="204"/>
      <c r="UNG28" s="204"/>
      <c r="UNH28" s="204"/>
      <c r="UNI28" s="204"/>
      <c r="UNJ28" s="204"/>
      <c r="UNK28" s="204"/>
      <c r="UNL28" s="204"/>
      <c r="UNM28" s="204"/>
      <c r="UNN28" s="204"/>
      <c r="UNO28" s="204"/>
      <c r="UNP28" s="204"/>
      <c r="UNQ28" s="204"/>
      <c r="UNR28" s="204"/>
      <c r="UNS28" s="204"/>
      <c r="UNT28" s="204"/>
      <c r="UNU28" s="204"/>
      <c r="UNV28" s="204"/>
      <c r="UNW28" s="204"/>
      <c r="UNX28" s="204"/>
      <c r="UNY28" s="204"/>
      <c r="UNZ28" s="204"/>
      <c r="UOA28" s="204"/>
      <c r="UOB28" s="204"/>
      <c r="UOC28" s="204"/>
      <c r="UOD28" s="204"/>
      <c r="UOE28" s="204"/>
      <c r="UOF28" s="204"/>
      <c r="UOG28" s="204"/>
      <c r="UOH28" s="204"/>
      <c r="UOI28" s="204"/>
      <c r="UOJ28" s="204"/>
      <c r="UOK28" s="204"/>
      <c r="UOL28" s="204"/>
      <c r="UOM28" s="204"/>
      <c r="UON28" s="204"/>
      <c r="UOO28" s="204"/>
      <c r="UOP28" s="204"/>
      <c r="UOQ28" s="204"/>
      <c r="UOR28" s="204"/>
      <c r="UOS28" s="204"/>
      <c r="UOT28" s="204"/>
      <c r="UOU28" s="204"/>
      <c r="UOV28" s="204"/>
      <c r="UOW28" s="204"/>
      <c r="UOX28" s="204"/>
      <c r="UOY28" s="204"/>
      <c r="UOZ28" s="204"/>
      <c r="UPA28" s="204"/>
      <c r="UPB28" s="204"/>
      <c r="UPC28" s="204"/>
      <c r="UPD28" s="204"/>
      <c r="UPE28" s="204"/>
      <c r="UPF28" s="204"/>
      <c r="UPG28" s="204"/>
      <c r="UPH28" s="204"/>
      <c r="UPI28" s="204"/>
      <c r="UPJ28" s="204"/>
      <c r="UPK28" s="204"/>
      <c r="UPL28" s="204"/>
      <c r="UPM28" s="204"/>
      <c r="UPN28" s="204"/>
      <c r="UPO28" s="204"/>
      <c r="UPP28" s="204"/>
      <c r="UPQ28" s="204"/>
      <c r="UPR28" s="204"/>
      <c r="UPS28" s="204"/>
      <c r="UPT28" s="204"/>
      <c r="UPU28" s="204"/>
      <c r="UPV28" s="204"/>
      <c r="UPW28" s="204"/>
      <c r="UPX28" s="204"/>
      <c r="UPY28" s="204"/>
      <c r="UPZ28" s="204"/>
      <c r="UQA28" s="204"/>
      <c r="UQB28" s="204"/>
      <c r="UQC28" s="204"/>
      <c r="UQD28" s="204"/>
      <c r="UQE28" s="204"/>
      <c r="UQF28" s="204"/>
      <c r="UQG28" s="204"/>
      <c r="UQH28" s="204"/>
      <c r="UQI28" s="204"/>
      <c r="UQJ28" s="204"/>
      <c r="UQK28" s="204"/>
      <c r="UQL28" s="204"/>
      <c r="UQM28" s="204"/>
      <c r="UQN28" s="204"/>
      <c r="UQO28" s="204"/>
      <c r="UQP28" s="204"/>
      <c r="UQQ28" s="204"/>
      <c r="UQR28" s="204"/>
      <c r="UQS28" s="204"/>
      <c r="UQT28" s="204"/>
      <c r="UQU28" s="204"/>
      <c r="UQV28" s="204"/>
      <c r="UQW28" s="204"/>
      <c r="UQX28" s="204"/>
      <c r="UQY28" s="204"/>
      <c r="UQZ28" s="204"/>
      <c r="URA28" s="204"/>
      <c r="URB28" s="204"/>
      <c r="URC28" s="204"/>
      <c r="URD28" s="204"/>
      <c r="URE28" s="204"/>
      <c r="URF28" s="204"/>
      <c r="URG28" s="204"/>
      <c r="URH28" s="204"/>
      <c r="URI28" s="204"/>
      <c r="URJ28" s="204"/>
      <c r="URK28" s="204"/>
      <c r="URL28" s="204"/>
      <c r="URM28" s="204"/>
      <c r="URN28" s="204"/>
      <c r="URO28" s="204"/>
      <c r="URP28" s="204"/>
      <c r="URQ28" s="204"/>
      <c r="URR28" s="204"/>
      <c r="URS28" s="204"/>
      <c r="URT28" s="204"/>
      <c r="URU28" s="204"/>
      <c r="URV28" s="204"/>
      <c r="URW28" s="204"/>
      <c r="URX28" s="204"/>
      <c r="URY28" s="204"/>
      <c r="URZ28" s="204"/>
      <c r="USA28" s="204"/>
      <c r="USB28" s="204"/>
      <c r="USC28" s="204"/>
      <c r="USD28" s="204"/>
      <c r="USE28" s="204"/>
      <c r="USF28" s="204"/>
      <c r="USG28" s="204"/>
      <c r="USH28" s="204"/>
      <c r="USI28" s="204"/>
      <c r="USJ28" s="204"/>
      <c r="USK28" s="204"/>
      <c r="USL28" s="204"/>
      <c r="USM28" s="204"/>
      <c r="USN28" s="204"/>
      <c r="USO28" s="204"/>
      <c r="USP28" s="204"/>
      <c r="USQ28" s="204"/>
      <c r="USR28" s="204"/>
      <c r="USS28" s="204"/>
      <c r="UST28" s="204"/>
      <c r="USU28" s="204"/>
      <c r="USV28" s="204"/>
      <c r="USW28" s="204"/>
      <c r="USX28" s="204"/>
      <c r="USY28" s="204"/>
      <c r="USZ28" s="204"/>
      <c r="UTA28" s="204"/>
      <c r="UTB28" s="204"/>
      <c r="UTC28" s="204"/>
      <c r="UTD28" s="204"/>
      <c r="UTE28" s="204"/>
      <c r="UTF28" s="204"/>
      <c r="UTG28" s="204"/>
      <c r="UTH28" s="204"/>
      <c r="UTI28" s="204"/>
      <c r="UTJ28" s="204"/>
      <c r="UTK28" s="204"/>
      <c r="UTL28" s="204"/>
      <c r="UTM28" s="204"/>
      <c r="UTN28" s="204"/>
      <c r="UTO28" s="204"/>
      <c r="UTP28" s="204"/>
      <c r="UTQ28" s="204"/>
      <c r="UTR28" s="204"/>
      <c r="UTS28" s="204"/>
      <c r="UTT28" s="204"/>
      <c r="UTU28" s="204"/>
      <c r="UTV28" s="204"/>
      <c r="UTW28" s="204"/>
      <c r="UTX28" s="204"/>
      <c r="UTY28" s="204"/>
      <c r="UTZ28" s="204"/>
      <c r="UUA28" s="204"/>
      <c r="UUB28" s="204"/>
      <c r="UUC28" s="204"/>
      <c r="UUD28" s="204"/>
      <c r="UUE28" s="204"/>
      <c r="UUF28" s="204"/>
      <c r="UUG28" s="204"/>
      <c r="UUH28" s="204"/>
      <c r="UUI28" s="204"/>
      <c r="UUJ28" s="204"/>
      <c r="UUK28" s="204"/>
      <c r="UUL28" s="204"/>
      <c r="UUM28" s="204"/>
      <c r="UUN28" s="204"/>
      <c r="UUO28" s="204"/>
      <c r="UUP28" s="204"/>
      <c r="UUQ28" s="204"/>
      <c r="UUR28" s="204"/>
      <c r="UUS28" s="204"/>
      <c r="UUT28" s="204"/>
      <c r="UUU28" s="204"/>
      <c r="UUV28" s="204"/>
      <c r="UUW28" s="204"/>
      <c r="UUX28" s="204"/>
      <c r="UUY28" s="204"/>
      <c r="UUZ28" s="204"/>
      <c r="UVA28" s="204"/>
      <c r="UVB28" s="204"/>
      <c r="UVC28" s="204"/>
      <c r="UVD28" s="204"/>
      <c r="UVE28" s="204"/>
      <c r="UVF28" s="204"/>
      <c r="UVG28" s="204"/>
      <c r="UVH28" s="204"/>
      <c r="UVI28" s="204"/>
      <c r="UVJ28" s="204"/>
      <c r="UVK28" s="204"/>
      <c r="UVL28" s="204"/>
      <c r="UVM28" s="204"/>
      <c r="UVN28" s="204"/>
      <c r="UVO28" s="204"/>
      <c r="UVP28" s="204"/>
      <c r="UVQ28" s="204"/>
      <c r="UVR28" s="204"/>
      <c r="UVS28" s="204"/>
      <c r="UVT28" s="204"/>
      <c r="UVU28" s="204"/>
      <c r="UVV28" s="204"/>
      <c r="UVW28" s="204"/>
      <c r="UVX28" s="204"/>
      <c r="UVY28" s="204"/>
      <c r="UVZ28" s="204"/>
      <c r="UWA28" s="204"/>
      <c r="UWB28" s="204"/>
      <c r="UWC28" s="204"/>
      <c r="UWD28" s="204"/>
      <c r="UWE28" s="204"/>
      <c r="UWF28" s="204"/>
      <c r="UWG28" s="204"/>
      <c r="UWH28" s="204"/>
      <c r="UWI28" s="204"/>
      <c r="UWJ28" s="204"/>
      <c r="UWK28" s="204"/>
      <c r="UWL28" s="204"/>
      <c r="UWM28" s="204"/>
      <c r="UWN28" s="204"/>
      <c r="UWO28" s="204"/>
      <c r="UWP28" s="204"/>
      <c r="UWQ28" s="204"/>
      <c r="UWR28" s="204"/>
      <c r="UWS28" s="204"/>
      <c r="UWT28" s="204"/>
      <c r="UWU28" s="204"/>
      <c r="UWV28" s="204"/>
      <c r="UWW28" s="204"/>
      <c r="UWX28" s="204"/>
      <c r="UWY28" s="204"/>
      <c r="UWZ28" s="204"/>
      <c r="UXA28" s="204"/>
      <c r="UXB28" s="204"/>
      <c r="UXC28" s="204"/>
      <c r="UXD28" s="204"/>
      <c r="UXE28" s="204"/>
      <c r="UXF28" s="204"/>
      <c r="UXG28" s="204"/>
      <c r="UXH28" s="204"/>
      <c r="UXI28" s="204"/>
      <c r="UXJ28" s="204"/>
      <c r="UXK28" s="204"/>
      <c r="UXL28" s="204"/>
      <c r="UXM28" s="204"/>
      <c r="UXN28" s="204"/>
      <c r="UXO28" s="204"/>
      <c r="UXP28" s="204"/>
      <c r="UXQ28" s="204"/>
      <c r="UXR28" s="204"/>
      <c r="UXS28" s="204"/>
      <c r="UXT28" s="204"/>
      <c r="UXU28" s="204"/>
      <c r="UXV28" s="204"/>
      <c r="UXW28" s="204"/>
      <c r="UXX28" s="204"/>
      <c r="UXY28" s="204"/>
      <c r="UXZ28" s="204"/>
      <c r="UYA28" s="204"/>
      <c r="UYB28" s="204"/>
      <c r="UYC28" s="204"/>
      <c r="UYD28" s="204"/>
      <c r="UYE28" s="204"/>
      <c r="UYF28" s="204"/>
      <c r="UYG28" s="204"/>
      <c r="UYH28" s="204"/>
      <c r="UYI28" s="204"/>
      <c r="UYJ28" s="204"/>
      <c r="UYK28" s="204"/>
      <c r="UYL28" s="204"/>
      <c r="UYM28" s="204"/>
      <c r="UYN28" s="204"/>
      <c r="UYO28" s="204"/>
      <c r="UYP28" s="204"/>
      <c r="UYQ28" s="204"/>
      <c r="UYR28" s="204"/>
      <c r="UYS28" s="204"/>
      <c r="UYT28" s="204"/>
      <c r="UYU28" s="204"/>
      <c r="UYV28" s="204"/>
      <c r="UYW28" s="204"/>
      <c r="UYX28" s="204"/>
      <c r="UYY28" s="204"/>
      <c r="UYZ28" s="204"/>
      <c r="UZA28" s="204"/>
      <c r="UZB28" s="204"/>
      <c r="UZC28" s="204"/>
      <c r="UZD28" s="204"/>
      <c r="UZE28" s="204"/>
      <c r="UZF28" s="204"/>
      <c r="UZG28" s="204"/>
      <c r="UZH28" s="204"/>
      <c r="UZI28" s="204"/>
      <c r="UZJ28" s="204"/>
      <c r="UZK28" s="204"/>
      <c r="UZL28" s="204"/>
      <c r="UZM28" s="204"/>
      <c r="UZN28" s="204"/>
      <c r="UZO28" s="204"/>
      <c r="UZP28" s="204"/>
      <c r="UZQ28" s="204"/>
      <c r="UZR28" s="204"/>
      <c r="UZS28" s="204"/>
      <c r="UZT28" s="204"/>
      <c r="UZU28" s="204"/>
      <c r="UZV28" s="204"/>
      <c r="UZW28" s="204"/>
      <c r="UZX28" s="204"/>
      <c r="UZY28" s="204"/>
      <c r="UZZ28" s="204"/>
      <c r="VAA28" s="204"/>
      <c r="VAB28" s="204"/>
      <c r="VAC28" s="204"/>
      <c r="VAD28" s="204"/>
      <c r="VAE28" s="204"/>
      <c r="VAF28" s="204"/>
      <c r="VAG28" s="204"/>
      <c r="VAH28" s="204"/>
      <c r="VAI28" s="204"/>
      <c r="VAJ28" s="204"/>
      <c r="VAK28" s="204"/>
      <c r="VAL28" s="204"/>
      <c r="VAM28" s="204"/>
      <c r="VAN28" s="204"/>
      <c r="VAO28" s="204"/>
      <c r="VAP28" s="204"/>
      <c r="VAQ28" s="204"/>
      <c r="VAR28" s="204"/>
      <c r="VAS28" s="204"/>
      <c r="VAT28" s="204"/>
      <c r="VAU28" s="204"/>
      <c r="VAV28" s="204"/>
      <c r="VAW28" s="204"/>
      <c r="VAX28" s="204"/>
      <c r="VAY28" s="204"/>
      <c r="VAZ28" s="204"/>
      <c r="VBA28" s="204"/>
      <c r="VBB28" s="204"/>
      <c r="VBC28" s="204"/>
      <c r="VBD28" s="204"/>
      <c r="VBE28" s="204"/>
      <c r="VBF28" s="204"/>
      <c r="VBG28" s="204"/>
      <c r="VBH28" s="204"/>
      <c r="VBI28" s="204"/>
      <c r="VBJ28" s="204"/>
      <c r="VBK28" s="204"/>
      <c r="VBL28" s="204"/>
      <c r="VBM28" s="204"/>
      <c r="VBN28" s="204"/>
      <c r="VBO28" s="204"/>
      <c r="VBP28" s="204"/>
      <c r="VBQ28" s="204"/>
      <c r="VBR28" s="204"/>
      <c r="VBS28" s="204"/>
      <c r="VBT28" s="204"/>
      <c r="VBU28" s="204"/>
      <c r="VBV28" s="204"/>
      <c r="VBW28" s="204"/>
      <c r="VBX28" s="204"/>
      <c r="VBY28" s="204"/>
      <c r="VBZ28" s="204"/>
      <c r="VCA28" s="204"/>
      <c r="VCB28" s="204"/>
      <c r="VCC28" s="204"/>
      <c r="VCD28" s="204"/>
      <c r="VCE28" s="204"/>
      <c r="VCF28" s="204"/>
      <c r="VCG28" s="204"/>
      <c r="VCH28" s="204"/>
      <c r="VCI28" s="204"/>
      <c r="VCJ28" s="204"/>
      <c r="VCK28" s="204"/>
      <c r="VCL28" s="204"/>
      <c r="VCM28" s="204"/>
      <c r="VCN28" s="204"/>
      <c r="VCO28" s="204"/>
      <c r="VCP28" s="204"/>
      <c r="VCQ28" s="204"/>
      <c r="VCR28" s="204"/>
      <c r="VCS28" s="204"/>
      <c r="VCT28" s="204"/>
      <c r="VCU28" s="204"/>
      <c r="VCV28" s="204"/>
      <c r="VCW28" s="204"/>
      <c r="VCX28" s="204"/>
      <c r="VCY28" s="204"/>
      <c r="VCZ28" s="204"/>
      <c r="VDA28" s="204"/>
      <c r="VDB28" s="204"/>
      <c r="VDC28" s="204"/>
      <c r="VDD28" s="204"/>
      <c r="VDE28" s="204"/>
      <c r="VDF28" s="204"/>
      <c r="VDG28" s="204"/>
      <c r="VDH28" s="204"/>
      <c r="VDI28" s="204"/>
      <c r="VDJ28" s="204"/>
      <c r="VDK28" s="204"/>
      <c r="VDL28" s="204"/>
      <c r="VDM28" s="204"/>
      <c r="VDN28" s="204"/>
      <c r="VDO28" s="204"/>
      <c r="VDP28" s="204"/>
      <c r="VDQ28" s="204"/>
      <c r="VDR28" s="204"/>
      <c r="VDS28" s="204"/>
      <c r="VDT28" s="204"/>
      <c r="VDU28" s="204"/>
      <c r="VDV28" s="204"/>
      <c r="VDW28" s="204"/>
      <c r="VDX28" s="204"/>
      <c r="VDY28" s="204"/>
      <c r="VDZ28" s="204"/>
      <c r="VEA28" s="204"/>
      <c r="VEB28" s="204"/>
      <c r="VEC28" s="204"/>
      <c r="VED28" s="204"/>
      <c r="VEE28" s="204"/>
      <c r="VEF28" s="204"/>
      <c r="VEG28" s="204"/>
      <c r="VEH28" s="204"/>
      <c r="VEI28" s="204"/>
      <c r="VEJ28" s="204"/>
      <c r="VEK28" s="204"/>
      <c r="VEL28" s="204"/>
      <c r="VEM28" s="204"/>
      <c r="VEN28" s="204"/>
      <c r="VEO28" s="204"/>
      <c r="VEP28" s="204"/>
      <c r="VEQ28" s="204"/>
      <c r="VER28" s="204"/>
      <c r="VES28" s="204"/>
      <c r="VET28" s="204"/>
      <c r="VEU28" s="204"/>
      <c r="VEV28" s="204"/>
      <c r="VEW28" s="204"/>
      <c r="VEX28" s="204"/>
      <c r="VEY28" s="204"/>
      <c r="VEZ28" s="204"/>
      <c r="VFA28" s="204"/>
      <c r="VFB28" s="204"/>
      <c r="VFC28" s="204"/>
      <c r="VFD28" s="204"/>
      <c r="VFE28" s="204"/>
      <c r="VFF28" s="204"/>
      <c r="VFG28" s="204"/>
      <c r="VFH28" s="204"/>
      <c r="VFI28" s="204"/>
      <c r="VFJ28" s="204"/>
      <c r="VFK28" s="204"/>
      <c r="VFL28" s="204"/>
      <c r="VFM28" s="204"/>
      <c r="VFN28" s="204"/>
      <c r="VFO28" s="204"/>
      <c r="VFP28" s="204"/>
      <c r="VFQ28" s="204"/>
      <c r="VFR28" s="204"/>
      <c r="VFS28" s="204"/>
      <c r="VFT28" s="204"/>
      <c r="VFU28" s="204"/>
      <c r="VFV28" s="204"/>
      <c r="VFW28" s="204"/>
      <c r="VFX28" s="204"/>
      <c r="VFY28" s="204"/>
      <c r="VFZ28" s="204"/>
      <c r="VGA28" s="204"/>
      <c r="VGB28" s="204"/>
      <c r="VGC28" s="204"/>
      <c r="VGD28" s="204"/>
      <c r="VGE28" s="204"/>
      <c r="VGF28" s="204"/>
      <c r="VGG28" s="204"/>
      <c r="VGH28" s="204"/>
      <c r="VGI28" s="204"/>
      <c r="VGJ28" s="204"/>
      <c r="VGK28" s="204"/>
      <c r="VGL28" s="204"/>
      <c r="VGM28" s="204"/>
      <c r="VGN28" s="204"/>
      <c r="VGO28" s="204"/>
      <c r="VGP28" s="204"/>
      <c r="VGQ28" s="204"/>
      <c r="VGR28" s="204"/>
      <c r="VGS28" s="204"/>
      <c r="VGT28" s="204"/>
      <c r="VGU28" s="204"/>
      <c r="VGV28" s="204"/>
      <c r="VGW28" s="204"/>
      <c r="VGX28" s="204"/>
      <c r="VGY28" s="204"/>
      <c r="VGZ28" s="204"/>
      <c r="VHA28" s="204"/>
      <c r="VHB28" s="204"/>
      <c r="VHC28" s="204"/>
      <c r="VHD28" s="204"/>
      <c r="VHE28" s="204"/>
      <c r="VHF28" s="204"/>
      <c r="VHG28" s="204"/>
      <c r="VHH28" s="204"/>
      <c r="VHI28" s="204"/>
      <c r="VHJ28" s="204"/>
      <c r="VHK28" s="204"/>
      <c r="VHL28" s="204"/>
      <c r="VHM28" s="204"/>
      <c r="VHN28" s="204"/>
      <c r="VHO28" s="204"/>
      <c r="VHP28" s="204"/>
      <c r="VHQ28" s="204"/>
      <c r="VHR28" s="204"/>
      <c r="VHS28" s="204"/>
      <c r="VHT28" s="204"/>
      <c r="VHU28" s="204"/>
      <c r="VHV28" s="204"/>
      <c r="VHW28" s="204"/>
      <c r="VHX28" s="204"/>
      <c r="VHY28" s="204"/>
      <c r="VHZ28" s="204"/>
      <c r="VIA28" s="204"/>
      <c r="VIB28" s="204"/>
      <c r="VIC28" s="204"/>
      <c r="VID28" s="204"/>
      <c r="VIE28" s="204"/>
      <c r="VIF28" s="204"/>
      <c r="VIG28" s="204"/>
      <c r="VIH28" s="204"/>
      <c r="VII28" s="204"/>
      <c r="VIJ28" s="204"/>
      <c r="VIK28" s="204"/>
      <c r="VIL28" s="204"/>
      <c r="VIM28" s="204"/>
      <c r="VIN28" s="204"/>
      <c r="VIO28" s="204"/>
      <c r="VIP28" s="204"/>
      <c r="VIQ28" s="204"/>
      <c r="VIR28" s="204"/>
      <c r="VIS28" s="204"/>
      <c r="VIT28" s="204"/>
      <c r="VIU28" s="204"/>
      <c r="VIV28" s="204"/>
      <c r="VIW28" s="204"/>
      <c r="VIX28" s="204"/>
      <c r="VIY28" s="204"/>
      <c r="VIZ28" s="204"/>
      <c r="VJA28" s="204"/>
      <c r="VJB28" s="204"/>
      <c r="VJC28" s="204"/>
      <c r="VJD28" s="204"/>
      <c r="VJE28" s="204"/>
      <c r="VJF28" s="204"/>
      <c r="VJG28" s="204"/>
      <c r="VJH28" s="204"/>
      <c r="VJI28" s="204"/>
      <c r="VJJ28" s="204"/>
      <c r="VJK28" s="204"/>
      <c r="VJL28" s="204"/>
      <c r="VJM28" s="204"/>
      <c r="VJN28" s="204"/>
      <c r="VJO28" s="204"/>
      <c r="VJP28" s="204"/>
      <c r="VJQ28" s="204"/>
      <c r="VJR28" s="204"/>
      <c r="VJS28" s="204"/>
      <c r="VJT28" s="204"/>
      <c r="VJU28" s="204"/>
      <c r="VJV28" s="204"/>
      <c r="VJW28" s="204"/>
      <c r="VJX28" s="204"/>
      <c r="VJY28" s="204"/>
      <c r="VJZ28" s="204"/>
      <c r="VKA28" s="204"/>
      <c r="VKB28" s="204"/>
      <c r="VKC28" s="204"/>
      <c r="VKD28" s="204"/>
      <c r="VKE28" s="204"/>
      <c r="VKF28" s="204"/>
      <c r="VKG28" s="204"/>
      <c r="VKH28" s="204"/>
      <c r="VKI28" s="204"/>
      <c r="VKJ28" s="204"/>
      <c r="VKK28" s="204"/>
      <c r="VKL28" s="204"/>
      <c r="VKM28" s="204"/>
      <c r="VKN28" s="204"/>
      <c r="VKO28" s="204"/>
      <c r="VKP28" s="204"/>
      <c r="VKQ28" s="204"/>
      <c r="VKR28" s="204"/>
      <c r="VKS28" s="204"/>
      <c r="VKT28" s="204"/>
      <c r="VKU28" s="204"/>
      <c r="VKV28" s="204"/>
      <c r="VKW28" s="204"/>
      <c r="VKX28" s="204"/>
      <c r="VKY28" s="204"/>
      <c r="VKZ28" s="204"/>
      <c r="VLA28" s="204"/>
      <c r="VLB28" s="204"/>
      <c r="VLC28" s="204"/>
      <c r="VLD28" s="204"/>
      <c r="VLE28" s="204"/>
      <c r="VLF28" s="204"/>
      <c r="VLG28" s="204"/>
      <c r="VLH28" s="204"/>
      <c r="VLI28" s="204"/>
      <c r="VLJ28" s="204"/>
      <c r="VLK28" s="204"/>
      <c r="VLL28" s="204"/>
      <c r="VLM28" s="204"/>
      <c r="VLN28" s="204"/>
      <c r="VLO28" s="204"/>
      <c r="VLP28" s="204"/>
      <c r="VLQ28" s="204"/>
      <c r="VLR28" s="204"/>
      <c r="VLS28" s="204"/>
      <c r="VLT28" s="204"/>
      <c r="VLU28" s="204"/>
      <c r="VLV28" s="204"/>
      <c r="VLW28" s="204"/>
      <c r="VLX28" s="204"/>
      <c r="VLY28" s="204"/>
      <c r="VLZ28" s="204"/>
      <c r="VMA28" s="204"/>
      <c r="VMB28" s="204"/>
      <c r="VMC28" s="204"/>
      <c r="VMD28" s="204"/>
      <c r="VME28" s="204"/>
      <c r="VMF28" s="204"/>
      <c r="VMG28" s="204"/>
      <c r="VMH28" s="204"/>
      <c r="VMI28" s="204"/>
      <c r="VMJ28" s="204"/>
      <c r="VMK28" s="204"/>
      <c r="VML28" s="204"/>
      <c r="VMM28" s="204"/>
      <c r="VMN28" s="204"/>
      <c r="VMO28" s="204"/>
      <c r="VMP28" s="204"/>
      <c r="VMQ28" s="204"/>
      <c r="VMR28" s="204"/>
      <c r="VMS28" s="204"/>
      <c r="VMT28" s="204"/>
      <c r="VMU28" s="204"/>
      <c r="VMV28" s="204"/>
      <c r="VMW28" s="204"/>
      <c r="VMX28" s="204"/>
      <c r="VMY28" s="204"/>
      <c r="VMZ28" s="204"/>
      <c r="VNA28" s="204"/>
      <c r="VNB28" s="204"/>
      <c r="VNC28" s="204"/>
      <c r="VND28" s="204"/>
      <c r="VNE28" s="204"/>
      <c r="VNF28" s="204"/>
      <c r="VNG28" s="204"/>
      <c r="VNH28" s="204"/>
      <c r="VNI28" s="204"/>
      <c r="VNJ28" s="204"/>
      <c r="VNK28" s="204"/>
      <c r="VNL28" s="204"/>
      <c r="VNM28" s="204"/>
      <c r="VNN28" s="204"/>
      <c r="VNO28" s="204"/>
      <c r="VNP28" s="204"/>
      <c r="VNQ28" s="204"/>
      <c r="VNR28" s="204"/>
      <c r="VNS28" s="204"/>
      <c r="VNT28" s="204"/>
      <c r="VNU28" s="204"/>
      <c r="VNV28" s="204"/>
      <c r="VNW28" s="204"/>
      <c r="VNX28" s="204"/>
      <c r="VNY28" s="204"/>
      <c r="VNZ28" s="204"/>
      <c r="VOA28" s="204"/>
      <c r="VOB28" s="204"/>
      <c r="VOC28" s="204"/>
      <c r="VOD28" s="204"/>
      <c r="VOE28" s="204"/>
      <c r="VOF28" s="204"/>
      <c r="VOG28" s="204"/>
      <c r="VOH28" s="204"/>
      <c r="VOI28" s="204"/>
      <c r="VOJ28" s="204"/>
      <c r="VOK28" s="204"/>
      <c r="VOL28" s="204"/>
      <c r="VOM28" s="204"/>
      <c r="VON28" s="204"/>
      <c r="VOO28" s="204"/>
      <c r="VOP28" s="204"/>
      <c r="VOQ28" s="204"/>
      <c r="VOR28" s="204"/>
      <c r="VOS28" s="204"/>
      <c r="VOT28" s="204"/>
      <c r="VOU28" s="204"/>
      <c r="VOV28" s="204"/>
      <c r="VOW28" s="204"/>
      <c r="VOX28" s="204"/>
      <c r="VOY28" s="204"/>
      <c r="VOZ28" s="204"/>
      <c r="VPA28" s="204"/>
      <c r="VPB28" s="204"/>
      <c r="VPC28" s="204"/>
      <c r="VPD28" s="204"/>
      <c r="VPE28" s="204"/>
      <c r="VPF28" s="204"/>
      <c r="VPG28" s="204"/>
      <c r="VPH28" s="204"/>
      <c r="VPI28" s="204"/>
      <c r="VPJ28" s="204"/>
      <c r="VPK28" s="204"/>
      <c r="VPL28" s="204"/>
      <c r="VPM28" s="204"/>
      <c r="VPN28" s="204"/>
      <c r="VPO28" s="204"/>
      <c r="VPP28" s="204"/>
      <c r="VPQ28" s="204"/>
      <c r="VPR28" s="204"/>
      <c r="VPS28" s="204"/>
      <c r="VPT28" s="204"/>
      <c r="VPU28" s="204"/>
      <c r="VPV28" s="204"/>
      <c r="VPW28" s="204"/>
      <c r="VPX28" s="204"/>
      <c r="VPY28" s="204"/>
      <c r="VPZ28" s="204"/>
      <c r="VQA28" s="204"/>
      <c r="VQB28" s="204"/>
      <c r="VQC28" s="204"/>
      <c r="VQD28" s="204"/>
      <c r="VQE28" s="204"/>
      <c r="VQF28" s="204"/>
      <c r="VQG28" s="204"/>
      <c r="VQH28" s="204"/>
      <c r="VQI28" s="204"/>
      <c r="VQJ28" s="204"/>
      <c r="VQK28" s="204"/>
      <c r="VQL28" s="204"/>
      <c r="VQM28" s="204"/>
      <c r="VQN28" s="204"/>
      <c r="VQO28" s="204"/>
      <c r="VQP28" s="204"/>
      <c r="VQQ28" s="204"/>
      <c r="VQR28" s="204"/>
      <c r="VQS28" s="204"/>
      <c r="VQT28" s="204"/>
      <c r="VQU28" s="204"/>
      <c r="VQV28" s="204"/>
      <c r="VQW28" s="204"/>
      <c r="VQX28" s="204"/>
      <c r="VQY28" s="204"/>
      <c r="VQZ28" s="204"/>
      <c r="VRA28" s="204"/>
      <c r="VRB28" s="204"/>
      <c r="VRC28" s="204"/>
      <c r="VRD28" s="204"/>
      <c r="VRE28" s="204"/>
      <c r="VRF28" s="204"/>
      <c r="VRG28" s="204"/>
      <c r="VRH28" s="204"/>
      <c r="VRI28" s="204"/>
      <c r="VRJ28" s="204"/>
      <c r="VRK28" s="204"/>
      <c r="VRL28" s="204"/>
      <c r="VRM28" s="204"/>
      <c r="VRN28" s="204"/>
      <c r="VRO28" s="204"/>
      <c r="VRP28" s="204"/>
      <c r="VRQ28" s="204"/>
      <c r="VRR28" s="204"/>
      <c r="VRS28" s="204"/>
      <c r="VRT28" s="204"/>
      <c r="VRU28" s="204"/>
      <c r="VRV28" s="204"/>
      <c r="VRW28" s="204"/>
      <c r="VRX28" s="204"/>
      <c r="VRY28" s="204"/>
      <c r="VRZ28" s="204"/>
      <c r="VSA28" s="204"/>
      <c r="VSB28" s="204"/>
      <c r="VSC28" s="204"/>
      <c r="VSD28" s="204"/>
      <c r="VSE28" s="204"/>
      <c r="VSF28" s="204"/>
      <c r="VSG28" s="204"/>
      <c r="VSH28" s="204"/>
      <c r="VSI28" s="204"/>
      <c r="VSJ28" s="204"/>
      <c r="VSK28" s="204"/>
      <c r="VSL28" s="204"/>
      <c r="VSM28" s="204"/>
      <c r="VSN28" s="204"/>
      <c r="VSO28" s="204"/>
      <c r="VSP28" s="204"/>
      <c r="VSQ28" s="204"/>
      <c r="VSR28" s="204"/>
      <c r="VSS28" s="204"/>
      <c r="VST28" s="204"/>
      <c r="VSU28" s="204"/>
      <c r="VSV28" s="204"/>
      <c r="VSW28" s="204"/>
      <c r="VSX28" s="204"/>
      <c r="VSY28" s="204"/>
      <c r="VSZ28" s="204"/>
      <c r="VTA28" s="204"/>
      <c r="VTB28" s="204"/>
      <c r="VTC28" s="204"/>
      <c r="VTD28" s="204"/>
      <c r="VTE28" s="204"/>
      <c r="VTF28" s="204"/>
      <c r="VTG28" s="204"/>
      <c r="VTH28" s="204"/>
      <c r="VTI28" s="204"/>
      <c r="VTJ28" s="204"/>
      <c r="VTK28" s="204"/>
      <c r="VTL28" s="204"/>
      <c r="VTM28" s="204"/>
      <c r="VTN28" s="204"/>
      <c r="VTO28" s="204"/>
      <c r="VTP28" s="204"/>
      <c r="VTQ28" s="204"/>
      <c r="VTR28" s="204"/>
      <c r="VTS28" s="204"/>
      <c r="VTT28" s="204"/>
      <c r="VTU28" s="204"/>
      <c r="VTV28" s="204"/>
      <c r="VTW28" s="204"/>
      <c r="VTX28" s="204"/>
      <c r="VTY28" s="204"/>
      <c r="VTZ28" s="204"/>
      <c r="VUA28" s="204"/>
      <c r="VUB28" s="204"/>
      <c r="VUC28" s="204"/>
      <c r="VUD28" s="204"/>
      <c r="VUE28" s="204"/>
      <c r="VUF28" s="204"/>
      <c r="VUG28" s="204"/>
      <c r="VUH28" s="204"/>
      <c r="VUI28" s="204"/>
      <c r="VUJ28" s="204"/>
      <c r="VUK28" s="204"/>
      <c r="VUL28" s="204"/>
      <c r="VUM28" s="204"/>
      <c r="VUN28" s="204"/>
      <c r="VUO28" s="204"/>
      <c r="VUP28" s="204"/>
      <c r="VUQ28" s="204"/>
      <c r="VUR28" s="204"/>
      <c r="VUS28" s="204"/>
      <c r="VUT28" s="204"/>
      <c r="VUU28" s="204"/>
      <c r="VUV28" s="204"/>
      <c r="VUW28" s="204"/>
      <c r="VUX28" s="204"/>
      <c r="VUY28" s="204"/>
      <c r="VUZ28" s="204"/>
      <c r="VVA28" s="204"/>
      <c r="VVB28" s="204"/>
      <c r="VVC28" s="204"/>
      <c r="VVD28" s="204"/>
      <c r="VVE28" s="204"/>
      <c r="VVF28" s="204"/>
      <c r="VVG28" s="204"/>
      <c r="VVH28" s="204"/>
      <c r="VVI28" s="204"/>
      <c r="VVJ28" s="204"/>
      <c r="VVK28" s="204"/>
      <c r="VVL28" s="204"/>
      <c r="VVM28" s="204"/>
      <c r="VVN28" s="204"/>
      <c r="VVO28" s="204"/>
      <c r="VVP28" s="204"/>
      <c r="VVQ28" s="204"/>
      <c r="VVR28" s="204"/>
      <c r="VVS28" s="204"/>
      <c r="VVT28" s="204"/>
      <c r="VVU28" s="204"/>
      <c r="VVV28" s="204"/>
      <c r="VVW28" s="204"/>
      <c r="VVX28" s="204"/>
      <c r="VVY28" s="204"/>
      <c r="VVZ28" s="204"/>
      <c r="VWA28" s="204"/>
      <c r="VWB28" s="204"/>
      <c r="VWC28" s="204"/>
      <c r="VWD28" s="204"/>
      <c r="VWE28" s="204"/>
      <c r="VWF28" s="204"/>
      <c r="VWG28" s="204"/>
      <c r="VWH28" s="204"/>
      <c r="VWI28" s="204"/>
      <c r="VWJ28" s="204"/>
      <c r="VWK28" s="204"/>
      <c r="VWL28" s="204"/>
      <c r="VWM28" s="204"/>
      <c r="VWN28" s="204"/>
      <c r="VWO28" s="204"/>
      <c r="VWP28" s="204"/>
      <c r="VWQ28" s="204"/>
      <c r="VWR28" s="204"/>
      <c r="VWS28" s="204"/>
      <c r="VWT28" s="204"/>
      <c r="VWU28" s="204"/>
      <c r="VWV28" s="204"/>
      <c r="VWW28" s="204"/>
      <c r="VWX28" s="204"/>
      <c r="VWY28" s="204"/>
      <c r="VWZ28" s="204"/>
      <c r="VXA28" s="204"/>
      <c r="VXB28" s="204"/>
      <c r="VXC28" s="204"/>
      <c r="VXD28" s="204"/>
      <c r="VXE28" s="204"/>
      <c r="VXF28" s="204"/>
      <c r="VXG28" s="204"/>
      <c r="VXH28" s="204"/>
      <c r="VXI28" s="204"/>
      <c r="VXJ28" s="204"/>
      <c r="VXK28" s="204"/>
      <c r="VXL28" s="204"/>
      <c r="VXM28" s="204"/>
      <c r="VXN28" s="204"/>
      <c r="VXO28" s="204"/>
      <c r="VXP28" s="204"/>
      <c r="VXQ28" s="204"/>
      <c r="VXR28" s="204"/>
      <c r="VXS28" s="204"/>
      <c r="VXT28" s="204"/>
      <c r="VXU28" s="204"/>
      <c r="VXV28" s="204"/>
      <c r="VXW28" s="204"/>
      <c r="VXX28" s="204"/>
      <c r="VXY28" s="204"/>
      <c r="VXZ28" s="204"/>
      <c r="VYA28" s="204"/>
      <c r="VYB28" s="204"/>
      <c r="VYC28" s="204"/>
      <c r="VYD28" s="204"/>
      <c r="VYE28" s="204"/>
      <c r="VYF28" s="204"/>
      <c r="VYG28" s="204"/>
      <c r="VYH28" s="204"/>
      <c r="VYI28" s="204"/>
      <c r="VYJ28" s="204"/>
      <c r="VYK28" s="204"/>
      <c r="VYL28" s="204"/>
      <c r="VYM28" s="204"/>
      <c r="VYN28" s="204"/>
      <c r="VYO28" s="204"/>
      <c r="VYP28" s="204"/>
      <c r="VYQ28" s="204"/>
      <c r="VYR28" s="204"/>
      <c r="VYS28" s="204"/>
      <c r="VYT28" s="204"/>
      <c r="VYU28" s="204"/>
      <c r="VYV28" s="204"/>
      <c r="VYW28" s="204"/>
      <c r="VYX28" s="204"/>
      <c r="VYY28" s="204"/>
      <c r="VYZ28" s="204"/>
      <c r="VZA28" s="204"/>
      <c r="VZB28" s="204"/>
      <c r="VZC28" s="204"/>
      <c r="VZD28" s="204"/>
      <c r="VZE28" s="204"/>
      <c r="VZF28" s="204"/>
      <c r="VZG28" s="204"/>
      <c r="VZH28" s="204"/>
      <c r="VZI28" s="204"/>
      <c r="VZJ28" s="204"/>
      <c r="VZK28" s="204"/>
      <c r="VZL28" s="204"/>
      <c r="VZM28" s="204"/>
      <c r="VZN28" s="204"/>
      <c r="VZO28" s="204"/>
      <c r="VZP28" s="204"/>
      <c r="VZQ28" s="204"/>
      <c r="VZR28" s="204"/>
      <c r="VZS28" s="204"/>
      <c r="VZT28" s="204"/>
      <c r="VZU28" s="204"/>
      <c r="VZV28" s="204"/>
      <c r="VZW28" s="204"/>
      <c r="VZX28" s="204"/>
      <c r="VZY28" s="204"/>
      <c r="VZZ28" s="204"/>
      <c r="WAA28" s="204"/>
      <c r="WAB28" s="204"/>
      <c r="WAC28" s="204"/>
      <c r="WAD28" s="204"/>
      <c r="WAE28" s="204"/>
      <c r="WAF28" s="204"/>
      <c r="WAG28" s="204"/>
      <c r="WAH28" s="204"/>
      <c r="WAI28" s="204"/>
      <c r="WAJ28" s="204"/>
      <c r="WAK28" s="204"/>
      <c r="WAL28" s="204"/>
      <c r="WAM28" s="204"/>
      <c r="WAN28" s="204"/>
      <c r="WAO28" s="204"/>
      <c r="WAP28" s="204"/>
      <c r="WAQ28" s="204"/>
      <c r="WAR28" s="204"/>
      <c r="WAS28" s="204"/>
      <c r="WAT28" s="204"/>
      <c r="WAU28" s="204"/>
      <c r="WAV28" s="204"/>
      <c r="WAW28" s="204"/>
      <c r="WAX28" s="204"/>
      <c r="WAY28" s="204"/>
      <c r="WAZ28" s="204"/>
      <c r="WBA28" s="204"/>
      <c r="WBB28" s="204"/>
      <c r="WBC28" s="204"/>
      <c r="WBD28" s="204"/>
      <c r="WBE28" s="204"/>
      <c r="WBF28" s="204"/>
      <c r="WBG28" s="204"/>
      <c r="WBH28" s="204"/>
      <c r="WBI28" s="204"/>
      <c r="WBJ28" s="204"/>
      <c r="WBK28" s="204"/>
      <c r="WBL28" s="204"/>
      <c r="WBM28" s="204"/>
      <c r="WBN28" s="204"/>
      <c r="WBO28" s="204"/>
      <c r="WBP28" s="204"/>
      <c r="WBQ28" s="204"/>
      <c r="WBR28" s="204"/>
      <c r="WBS28" s="204"/>
      <c r="WBT28" s="204"/>
      <c r="WBU28" s="204"/>
      <c r="WBV28" s="204"/>
      <c r="WBW28" s="204"/>
      <c r="WBX28" s="204"/>
      <c r="WBY28" s="204"/>
      <c r="WBZ28" s="204"/>
      <c r="WCA28" s="204"/>
      <c r="WCB28" s="204"/>
      <c r="WCC28" s="204"/>
      <c r="WCD28" s="204"/>
      <c r="WCE28" s="204"/>
      <c r="WCF28" s="204"/>
      <c r="WCG28" s="204"/>
      <c r="WCH28" s="204"/>
      <c r="WCI28" s="204"/>
      <c r="WCJ28" s="204"/>
      <c r="WCK28" s="204"/>
      <c r="WCL28" s="204"/>
      <c r="WCM28" s="204"/>
      <c r="WCN28" s="204"/>
      <c r="WCO28" s="204"/>
      <c r="WCP28" s="204"/>
      <c r="WCQ28" s="204"/>
      <c r="WCR28" s="204"/>
      <c r="WCS28" s="204"/>
      <c r="WCT28" s="204"/>
      <c r="WCU28" s="204"/>
      <c r="WCV28" s="204"/>
      <c r="WCW28" s="204"/>
      <c r="WCX28" s="204"/>
      <c r="WCY28" s="204"/>
      <c r="WCZ28" s="204"/>
      <c r="WDA28" s="204"/>
      <c r="WDB28" s="204"/>
      <c r="WDC28" s="204"/>
      <c r="WDD28" s="204"/>
      <c r="WDE28" s="204"/>
      <c r="WDF28" s="204"/>
      <c r="WDG28" s="204"/>
      <c r="WDH28" s="204"/>
      <c r="WDI28" s="204"/>
      <c r="WDJ28" s="204"/>
      <c r="WDK28" s="204"/>
      <c r="WDL28" s="204"/>
      <c r="WDM28" s="204"/>
      <c r="WDN28" s="204"/>
      <c r="WDO28" s="204"/>
      <c r="WDP28" s="204"/>
      <c r="WDQ28" s="204"/>
      <c r="WDR28" s="204"/>
      <c r="WDS28" s="204"/>
      <c r="WDT28" s="204"/>
      <c r="WDU28" s="204"/>
      <c r="WDV28" s="204"/>
      <c r="WDW28" s="204"/>
      <c r="WDX28" s="204"/>
      <c r="WDY28" s="204"/>
      <c r="WDZ28" s="204"/>
      <c r="WEA28" s="204"/>
      <c r="WEB28" s="204"/>
      <c r="WEC28" s="204"/>
      <c r="WED28" s="204"/>
      <c r="WEE28" s="204"/>
      <c r="WEF28" s="204"/>
      <c r="WEG28" s="204"/>
      <c r="WEH28" s="204"/>
      <c r="WEI28" s="204"/>
      <c r="WEJ28" s="204"/>
      <c r="WEK28" s="204"/>
      <c r="WEL28" s="204"/>
      <c r="WEM28" s="204"/>
      <c r="WEN28" s="204"/>
      <c r="WEO28" s="204"/>
      <c r="WEP28" s="204"/>
      <c r="WEQ28" s="204"/>
      <c r="WER28" s="204"/>
      <c r="WES28" s="204"/>
      <c r="WET28" s="204"/>
      <c r="WEU28" s="204"/>
      <c r="WEV28" s="204"/>
      <c r="WEW28" s="204"/>
      <c r="WEX28" s="204"/>
      <c r="WEY28" s="204"/>
      <c r="WEZ28" s="204"/>
      <c r="WFA28" s="204"/>
      <c r="WFB28" s="204"/>
      <c r="WFC28" s="204"/>
      <c r="WFD28" s="204"/>
      <c r="WFE28" s="204"/>
      <c r="WFF28" s="204"/>
      <c r="WFG28" s="204"/>
      <c r="WFH28" s="204"/>
      <c r="WFI28" s="204"/>
      <c r="WFJ28" s="204"/>
      <c r="WFK28" s="204"/>
      <c r="WFL28" s="204"/>
      <c r="WFM28" s="204"/>
      <c r="WFN28" s="204"/>
      <c r="WFO28" s="204"/>
      <c r="WFP28" s="204"/>
      <c r="WFQ28" s="204"/>
      <c r="WFR28" s="204"/>
      <c r="WFS28" s="204"/>
      <c r="WFT28" s="204"/>
      <c r="WFU28" s="204"/>
      <c r="WFV28" s="204"/>
      <c r="WFW28" s="204"/>
      <c r="WFX28" s="204"/>
      <c r="WFY28" s="204"/>
      <c r="WFZ28" s="204"/>
      <c r="WGA28" s="204"/>
      <c r="WGB28" s="204"/>
      <c r="WGC28" s="204"/>
      <c r="WGD28" s="204"/>
      <c r="WGE28" s="204"/>
      <c r="WGF28" s="204"/>
      <c r="WGG28" s="204"/>
      <c r="WGH28" s="204"/>
      <c r="WGI28" s="204"/>
      <c r="WGJ28" s="204"/>
      <c r="WGK28" s="204"/>
      <c r="WGL28" s="204"/>
      <c r="WGM28" s="204"/>
      <c r="WGN28" s="204"/>
      <c r="WGO28" s="204"/>
      <c r="WGP28" s="204"/>
      <c r="WGQ28" s="204"/>
      <c r="WGR28" s="204"/>
      <c r="WGS28" s="204"/>
      <c r="WGT28" s="204"/>
      <c r="WGU28" s="204"/>
      <c r="WGV28" s="204"/>
      <c r="WGW28" s="204"/>
      <c r="WGX28" s="204"/>
      <c r="WGY28" s="204"/>
      <c r="WGZ28" s="204"/>
      <c r="WHA28" s="204"/>
      <c r="WHB28" s="204"/>
      <c r="WHC28" s="204"/>
      <c r="WHD28" s="204"/>
      <c r="WHE28" s="204"/>
      <c r="WHF28" s="204"/>
      <c r="WHG28" s="204"/>
      <c r="WHH28" s="204"/>
      <c r="WHI28" s="204"/>
      <c r="WHJ28" s="204"/>
      <c r="WHK28" s="204"/>
      <c r="WHL28" s="204"/>
      <c r="WHM28" s="204"/>
      <c r="WHN28" s="204"/>
      <c r="WHO28" s="204"/>
      <c r="WHP28" s="204"/>
      <c r="WHQ28" s="204"/>
      <c r="WHR28" s="204"/>
      <c r="WHS28" s="204"/>
      <c r="WHT28" s="204"/>
      <c r="WHU28" s="204"/>
      <c r="WHV28" s="204"/>
      <c r="WHW28" s="204"/>
      <c r="WHX28" s="204"/>
      <c r="WHY28" s="204"/>
      <c r="WHZ28" s="204"/>
      <c r="WIA28" s="204"/>
      <c r="WIB28" s="204"/>
      <c r="WIC28" s="204"/>
      <c r="WID28" s="204"/>
      <c r="WIE28" s="204"/>
      <c r="WIF28" s="204"/>
      <c r="WIG28" s="204"/>
      <c r="WIH28" s="204"/>
      <c r="WII28" s="204"/>
      <c r="WIJ28" s="204"/>
      <c r="WIK28" s="204"/>
      <c r="WIL28" s="204"/>
      <c r="WIM28" s="204"/>
      <c r="WIN28" s="204"/>
      <c r="WIO28" s="204"/>
      <c r="WIP28" s="204"/>
      <c r="WIQ28" s="204"/>
      <c r="WIR28" s="204"/>
      <c r="WIS28" s="204"/>
      <c r="WIT28" s="204"/>
      <c r="WIU28" s="204"/>
      <c r="WIV28" s="204"/>
      <c r="WIW28" s="204"/>
      <c r="WIX28" s="204"/>
      <c r="WIY28" s="204"/>
      <c r="WIZ28" s="204"/>
      <c r="WJA28" s="204"/>
      <c r="WJB28" s="204"/>
      <c r="WJC28" s="204"/>
      <c r="WJD28" s="204"/>
      <c r="WJE28" s="204"/>
      <c r="WJF28" s="204"/>
      <c r="WJG28" s="204"/>
      <c r="WJH28" s="204"/>
      <c r="WJI28" s="204"/>
      <c r="WJJ28" s="204"/>
      <c r="WJK28" s="204"/>
      <c r="WJL28" s="204"/>
      <c r="WJM28" s="204"/>
      <c r="WJN28" s="204"/>
      <c r="WJO28" s="204"/>
      <c r="WJP28" s="204"/>
      <c r="WJQ28" s="204"/>
      <c r="WJR28" s="204"/>
      <c r="WJS28" s="204"/>
      <c r="WJT28" s="204"/>
      <c r="WJU28" s="204"/>
      <c r="WJV28" s="204"/>
      <c r="WJW28" s="204"/>
      <c r="WJX28" s="204"/>
      <c r="WJY28" s="204"/>
      <c r="WJZ28" s="204"/>
      <c r="WKA28" s="204"/>
      <c r="WKB28" s="204"/>
      <c r="WKC28" s="204"/>
      <c r="WKD28" s="204"/>
      <c r="WKE28" s="204"/>
      <c r="WKF28" s="204"/>
      <c r="WKG28" s="204"/>
      <c r="WKH28" s="204"/>
      <c r="WKI28" s="204"/>
      <c r="WKJ28" s="204"/>
      <c r="WKK28" s="204"/>
      <c r="WKL28" s="204"/>
      <c r="WKM28" s="204"/>
      <c r="WKN28" s="204"/>
      <c r="WKO28" s="204"/>
      <c r="WKP28" s="204"/>
      <c r="WKQ28" s="204"/>
      <c r="WKR28" s="204"/>
      <c r="WKS28" s="204"/>
      <c r="WKT28" s="204"/>
      <c r="WKU28" s="204"/>
      <c r="WKV28" s="204"/>
      <c r="WKW28" s="204"/>
      <c r="WKX28" s="204"/>
      <c r="WKY28" s="204"/>
      <c r="WKZ28" s="204"/>
      <c r="WLA28" s="204"/>
      <c r="WLB28" s="204"/>
      <c r="WLC28" s="204"/>
      <c r="WLD28" s="204"/>
      <c r="WLE28" s="204"/>
      <c r="WLF28" s="204"/>
      <c r="WLG28" s="204"/>
      <c r="WLH28" s="204"/>
      <c r="WLI28" s="204"/>
      <c r="WLJ28" s="204"/>
      <c r="WLK28" s="204"/>
      <c r="WLL28" s="204"/>
      <c r="WLM28" s="204"/>
      <c r="WLN28" s="204"/>
      <c r="WLO28" s="204"/>
      <c r="WLP28" s="204"/>
      <c r="WLQ28" s="204"/>
      <c r="WLR28" s="204"/>
      <c r="WLS28" s="204"/>
      <c r="WLT28" s="204"/>
      <c r="WLU28" s="204"/>
      <c r="WLV28" s="204"/>
      <c r="WLW28" s="204"/>
      <c r="WLX28" s="204"/>
      <c r="WLY28" s="204"/>
      <c r="WLZ28" s="204"/>
      <c r="WMA28" s="204"/>
      <c r="WMB28" s="204"/>
      <c r="WMC28" s="204"/>
      <c r="WMD28" s="204"/>
      <c r="WME28" s="204"/>
      <c r="WMF28" s="204"/>
      <c r="WMG28" s="204"/>
      <c r="WMH28" s="204"/>
      <c r="WMI28" s="204"/>
      <c r="WMJ28" s="204"/>
      <c r="WMK28" s="204"/>
      <c r="WML28" s="204"/>
      <c r="WMM28" s="204"/>
      <c r="WMN28" s="204"/>
      <c r="WMO28" s="204"/>
      <c r="WMP28" s="204"/>
      <c r="WMQ28" s="204"/>
      <c r="WMR28" s="204"/>
      <c r="WMS28" s="204"/>
      <c r="WMT28" s="204"/>
      <c r="WMU28" s="204"/>
      <c r="WMV28" s="204"/>
      <c r="WMW28" s="204"/>
      <c r="WMX28" s="204"/>
      <c r="WMY28" s="204"/>
      <c r="WMZ28" s="204"/>
      <c r="WNA28" s="204"/>
      <c r="WNB28" s="204"/>
      <c r="WNC28" s="204"/>
      <c r="WND28" s="204"/>
      <c r="WNE28" s="204"/>
      <c r="WNF28" s="204"/>
      <c r="WNG28" s="204"/>
      <c r="WNH28" s="204"/>
      <c r="WNI28" s="204"/>
      <c r="WNJ28" s="204"/>
      <c r="WNK28" s="204"/>
      <c r="WNL28" s="204"/>
      <c r="WNM28" s="204"/>
      <c r="WNN28" s="204"/>
      <c r="WNO28" s="204"/>
      <c r="WNP28" s="204"/>
      <c r="WNQ28" s="204"/>
      <c r="WNR28" s="204"/>
      <c r="WNS28" s="204"/>
      <c r="WNT28" s="204"/>
      <c r="WNU28" s="204"/>
      <c r="WNV28" s="204"/>
      <c r="WNW28" s="204"/>
      <c r="WNX28" s="204"/>
      <c r="WNY28" s="204"/>
      <c r="WNZ28" s="204"/>
      <c r="WOA28" s="204"/>
      <c r="WOB28" s="204"/>
      <c r="WOC28" s="204"/>
      <c r="WOD28" s="204"/>
      <c r="WOE28" s="204"/>
      <c r="WOF28" s="204"/>
      <c r="WOG28" s="204"/>
      <c r="WOH28" s="204"/>
      <c r="WOI28" s="204"/>
      <c r="WOJ28" s="204"/>
      <c r="WOK28" s="204"/>
      <c r="WOL28" s="204"/>
      <c r="WOM28" s="204"/>
      <c r="WON28" s="204"/>
      <c r="WOO28" s="204"/>
      <c r="WOP28" s="204"/>
      <c r="WOQ28" s="204"/>
      <c r="WOR28" s="204"/>
      <c r="WOS28" s="204"/>
      <c r="WOT28" s="204"/>
      <c r="WOU28" s="204"/>
      <c r="WOV28" s="204"/>
      <c r="WOW28" s="204"/>
      <c r="WOX28" s="204"/>
      <c r="WOY28" s="204"/>
      <c r="WOZ28" s="204"/>
      <c r="WPA28" s="204"/>
      <c r="WPB28" s="204"/>
      <c r="WPC28" s="204"/>
      <c r="WPD28" s="204"/>
      <c r="WPE28" s="204"/>
      <c r="WPF28" s="204"/>
      <c r="WPG28" s="204"/>
      <c r="WPH28" s="204"/>
      <c r="WPI28" s="204"/>
      <c r="WPJ28" s="204"/>
      <c r="WPK28" s="204"/>
      <c r="WPL28" s="204"/>
      <c r="WPM28" s="204"/>
      <c r="WPN28" s="204"/>
      <c r="WPO28" s="204"/>
      <c r="WPP28" s="204"/>
      <c r="WPQ28" s="204"/>
      <c r="WPR28" s="204"/>
      <c r="WPS28" s="204"/>
      <c r="WPT28" s="204"/>
      <c r="WPU28" s="204"/>
      <c r="WPV28" s="204"/>
      <c r="WPW28" s="204"/>
      <c r="WPX28" s="204"/>
      <c r="WPY28" s="204"/>
      <c r="WPZ28" s="204"/>
      <c r="WQA28" s="204"/>
      <c r="WQB28" s="204"/>
      <c r="WQC28" s="204"/>
      <c r="WQD28" s="204"/>
      <c r="WQE28" s="204"/>
      <c r="WQF28" s="204"/>
      <c r="WQG28" s="204"/>
      <c r="WQH28" s="204"/>
      <c r="WQI28" s="204"/>
      <c r="WQJ28" s="204"/>
      <c r="WQK28" s="204"/>
      <c r="WQL28" s="204"/>
      <c r="WQM28" s="204"/>
      <c r="WQN28" s="204"/>
      <c r="WQO28" s="204"/>
      <c r="WQP28" s="204"/>
      <c r="WQQ28" s="204"/>
      <c r="WQR28" s="204"/>
      <c r="WQS28" s="204"/>
      <c r="WQT28" s="204"/>
      <c r="WQU28" s="204"/>
      <c r="WQV28" s="204"/>
      <c r="WQW28" s="204"/>
      <c r="WQX28" s="204"/>
      <c r="WQY28" s="204"/>
      <c r="WQZ28" s="204"/>
      <c r="WRA28" s="204"/>
      <c r="WRB28" s="204"/>
      <c r="WRC28" s="204"/>
      <c r="WRD28" s="204"/>
      <c r="WRE28" s="204"/>
      <c r="WRF28" s="204"/>
      <c r="WRG28" s="204"/>
      <c r="WRH28" s="204"/>
      <c r="WRI28" s="204"/>
      <c r="WRJ28" s="204"/>
      <c r="WRK28" s="204"/>
      <c r="WRL28" s="204"/>
      <c r="WRM28" s="204"/>
      <c r="WRN28" s="204"/>
      <c r="WRO28" s="204"/>
      <c r="WRP28" s="204"/>
      <c r="WRQ28" s="204"/>
      <c r="WRR28" s="204"/>
      <c r="WRS28" s="204"/>
      <c r="WRT28" s="204"/>
      <c r="WRU28" s="204"/>
      <c r="WRV28" s="204"/>
      <c r="WRW28" s="204"/>
      <c r="WRX28" s="204"/>
      <c r="WRY28" s="204"/>
      <c r="WRZ28" s="204"/>
      <c r="WSA28" s="204"/>
      <c r="WSB28" s="204"/>
      <c r="WSC28" s="204"/>
      <c r="WSD28" s="204"/>
      <c r="WSE28" s="204"/>
      <c r="WSF28" s="204"/>
      <c r="WSG28" s="204"/>
      <c r="WSH28" s="204"/>
      <c r="WSI28" s="204"/>
      <c r="WSJ28" s="204"/>
      <c r="WSK28" s="204"/>
      <c r="WSL28" s="204"/>
      <c r="WSM28" s="204"/>
      <c r="WSN28" s="204"/>
      <c r="WSO28" s="204"/>
      <c r="WSP28" s="204"/>
      <c r="WSQ28" s="204"/>
      <c r="WSR28" s="204"/>
      <c r="WSS28" s="204"/>
      <c r="WST28" s="204"/>
      <c r="WSU28" s="204"/>
      <c r="WSV28" s="204"/>
      <c r="WSW28" s="204"/>
      <c r="WSX28" s="204"/>
      <c r="WSY28" s="204"/>
      <c r="WSZ28" s="204"/>
      <c r="WTA28" s="204"/>
      <c r="WTB28" s="204"/>
      <c r="WTC28" s="204"/>
      <c r="WTD28" s="204"/>
      <c r="WTE28" s="204"/>
      <c r="WTF28" s="204"/>
      <c r="WTG28" s="204"/>
      <c r="WTH28" s="204"/>
      <c r="WTI28" s="204"/>
      <c r="WTJ28" s="204"/>
      <c r="WTK28" s="204"/>
      <c r="WTL28" s="204"/>
      <c r="WTM28" s="204"/>
      <c r="WTN28" s="204"/>
      <c r="WTO28" s="204"/>
      <c r="WTP28" s="204"/>
      <c r="WTQ28" s="204"/>
      <c r="WTR28" s="204"/>
      <c r="WTS28" s="204"/>
      <c r="WTT28" s="204"/>
      <c r="WTU28" s="204"/>
      <c r="WTV28" s="204"/>
      <c r="WTW28" s="204"/>
      <c r="WTX28" s="204"/>
      <c r="WTY28" s="204"/>
      <c r="WTZ28" s="204"/>
      <c r="WUA28" s="204"/>
      <c r="WUB28" s="204"/>
      <c r="WUC28" s="204"/>
      <c r="WUD28" s="204"/>
      <c r="WUE28" s="204"/>
      <c r="WUF28" s="204"/>
      <c r="WUG28" s="204"/>
      <c r="WUH28" s="204"/>
      <c r="WUI28" s="204"/>
      <c r="WUJ28" s="204"/>
      <c r="WUK28" s="204"/>
      <c r="WUL28" s="204"/>
      <c r="WUM28" s="204"/>
      <c r="WUN28" s="204"/>
      <c r="WUO28" s="204"/>
      <c r="WUP28" s="204"/>
      <c r="WUQ28" s="204"/>
      <c r="WUR28" s="204"/>
      <c r="WUS28" s="204"/>
      <c r="WUT28" s="204"/>
      <c r="WUU28" s="204"/>
      <c r="WUV28" s="204"/>
      <c r="WUW28" s="204"/>
      <c r="WUX28" s="204"/>
      <c r="WUY28" s="204"/>
      <c r="WUZ28" s="204"/>
      <c r="WVA28" s="204"/>
      <c r="WVB28" s="204"/>
      <c r="WVC28" s="204"/>
      <c r="WVD28" s="204"/>
      <c r="WVE28" s="204"/>
      <c r="WVF28" s="204"/>
      <c r="WVG28" s="204"/>
      <c r="WVH28" s="204"/>
      <c r="WVI28" s="204"/>
      <c r="WVJ28" s="204"/>
      <c r="WVK28" s="204"/>
      <c r="WVL28" s="204"/>
      <c r="WVM28" s="204"/>
      <c r="WVN28" s="204"/>
      <c r="WVO28" s="204"/>
      <c r="WVP28" s="204"/>
      <c r="WVQ28" s="204"/>
      <c r="WVR28" s="204"/>
      <c r="WVS28" s="204"/>
      <c r="WVT28" s="204"/>
      <c r="WVU28" s="204"/>
      <c r="WVV28" s="204"/>
      <c r="WVW28" s="204"/>
      <c r="WVX28" s="204"/>
      <c r="WVY28" s="204"/>
      <c r="WVZ28" s="204"/>
      <c r="WWA28" s="204"/>
      <c r="WWB28" s="204"/>
      <c r="WWC28" s="204"/>
      <c r="WWD28" s="204"/>
      <c r="WWE28" s="204"/>
      <c r="WWF28" s="204"/>
      <c r="WWG28" s="204"/>
      <c r="WWH28" s="204"/>
      <c r="WWI28" s="204"/>
      <c r="WWJ28" s="204"/>
      <c r="WWK28" s="204"/>
      <c r="WWL28" s="204"/>
      <c r="WWM28" s="204"/>
      <c r="WWN28" s="204"/>
      <c r="WWO28" s="204"/>
      <c r="WWP28" s="204"/>
      <c r="WWQ28" s="204"/>
      <c r="WWR28" s="204"/>
      <c r="WWS28" s="204"/>
      <c r="WWT28" s="204"/>
      <c r="WWU28" s="204"/>
      <c r="WWV28" s="204"/>
      <c r="WWW28" s="204"/>
      <c r="WWX28" s="204"/>
      <c r="WWY28" s="204"/>
      <c r="WWZ28" s="204"/>
      <c r="WXA28" s="204"/>
      <c r="WXB28" s="204"/>
      <c r="WXC28" s="204"/>
      <c r="WXD28" s="204"/>
      <c r="WXE28" s="204"/>
      <c r="WXF28" s="204"/>
      <c r="WXG28" s="204"/>
      <c r="WXH28" s="204"/>
      <c r="WXI28" s="204"/>
      <c r="WXJ28" s="204"/>
      <c r="WXK28" s="204"/>
      <c r="WXL28" s="204"/>
      <c r="WXM28" s="204"/>
      <c r="WXN28" s="204"/>
      <c r="WXO28" s="204"/>
      <c r="WXP28" s="204"/>
      <c r="WXQ28" s="204"/>
      <c r="WXR28" s="204"/>
      <c r="WXS28" s="204"/>
      <c r="WXT28" s="204"/>
      <c r="WXU28" s="204"/>
      <c r="WXV28" s="204"/>
      <c r="WXW28" s="204"/>
      <c r="WXX28" s="204"/>
      <c r="WXY28" s="204"/>
      <c r="WXZ28" s="204"/>
      <c r="WYA28" s="204"/>
      <c r="WYB28" s="204"/>
      <c r="WYC28" s="204"/>
      <c r="WYD28" s="204"/>
      <c r="WYE28" s="204"/>
      <c r="WYF28" s="204"/>
      <c r="WYG28" s="204"/>
      <c r="WYH28" s="204"/>
      <c r="WYI28" s="204"/>
      <c r="WYJ28" s="204"/>
      <c r="WYK28" s="204"/>
      <c r="WYL28" s="204"/>
      <c r="WYM28" s="204"/>
      <c r="WYN28" s="204"/>
      <c r="WYO28" s="204"/>
      <c r="WYP28" s="204"/>
      <c r="WYQ28" s="204"/>
      <c r="WYR28" s="204"/>
      <c r="WYS28" s="204"/>
      <c r="WYT28" s="204"/>
      <c r="WYU28" s="204"/>
      <c r="WYV28" s="204"/>
      <c r="WYW28" s="204"/>
      <c r="WYX28" s="204"/>
      <c r="WYY28" s="204"/>
      <c r="WYZ28" s="204"/>
      <c r="WZA28" s="204"/>
      <c r="WZB28" s="204"/>
      <c r="WZC28" s="204"/>
      <c r="WZD28" s="204"/>
      <c r="WZE28" s="204"/>
      <c r="WZF28" s="204"/>
      <c r="WZG28" s="204"/>
      <c r="WZH28" s="204"/>
      <c r="WZI28" s="204"/>
      <c r="WZJ28" s="204"/>
      <c r="WZK28" s="204"/>
      <c r="WZL28" s="204"/>
      <c r="WZM28" s="204"/>
      <c r="WZN28" s="204"/>
      <c r="WZO28" s="204"/>
      <c r="WZP28" s="204"/>
      <c r="WZQ28" s="204"/>
      <c r="WZR28" s="204"/>
      <c r="WZS28" s="204"/>
      <c r="WZT28" s="204"/>
      <c r="WZU28" s="204"/>
      <c r="WZV28" s="204"/>
      <c r="WZW28" s="204"/>
      <c r="WZX28" s="204"/>
      <c r="WZY28" s="204"/>
      <c r="WZZ28" s="204"/>
      <c r="XAA28" s="204"/>
      <c r="XAB28" s="204"/>
      <c r="XAC28" s="204"/>
      <c r="XAD28" s="204"/>
      <c r="XAE28" s="204"/>
      <c r="XAF28" s="204"/>
      <c r="XAG28" s="204"/>
      <c r="XAH28" s="204"/>
      <c r="XAI28" s="204"/>
      <c r="XAJ28" s="204"/>
      <c r="XAK28" s="204"/>
      <c r="XAL28" s="204"/>
      <c r="XAM28" s="204"/>
      <c r="XAN28" s="204"/>
      <c r="XAO28" s="204"/>
      <c r="XAP28" s="204"/>
      <c r="XAQ28" s="204"/>
      <c r="XAR28" s="204"/>
      <c r="XAS28" s="204"/>
      <c r="XAT28" s="204"/>
      <c r="XAU28" s="204"/>
      <c r="XAV28" s="204"/>
      <c r="XAW28" s="204"/>
      <c r="XAX28" s="204"/>
      <c r="XAY28" s="204"/>
      <c r="XAZ28" s="204"/>
      <c r="XBA28" s="204"/>
      <c r="XBB28" s="204"/>
      <c r="XBC28" s="204"/>
      <c r="XBD28" s="204"/>
      <c r="XBE28" s="204"/>
      <c r="XBF28" s="204"/>
      <c r="XBG28" s="204"/>
      <c r="XBH28" s="204"/>
      <c r="XBI28" s="204"/>
      <c r="XBJ28" s="204"/>
      <c r="XBK28" s="204"/>
      <c r="XBL28" s="204"/>
      <c r="XBM28" s="204"/>
      <c r="XBN28" s="204"/>
      <c r="XBO28" s="204"/>
      <c r="XBP28" s="204"/>
      <c r="XBQ28" s="204"/>
      <c r="XBR28" s="204"/>
      <c r="XBS28" s="204"/>
      <c r="XBT28" s="204"/>
      <c r="XBU28" s="204"/>
      <c r="XBV28" s="204"/>
      <c r="XBW28" s="204"/>
      <c r="XBX28" s="204"/>
      <c r="XBY28" s="204"/>
      <c r="XBZ28" s="204"/>
      <c r="XCA28" s="204"/>
      <c r="XCB28" s="204"/>
      <c r="XCC28" s="204"/>
      <c r="XCD28" s="204"/>
      <c r="XCE28" s="204"/>
      <c r="XCF28" s="204"/>
      <c r="XCG28" s="204"/>
      <c r="XCH28" s="204"/>
      <c r="XCI28" s="204"/>
      <c r="XCJ28" s="204"/>
      <c r="XCK28" s="204"/>
      <c r="XCL28" s="204"/>
      <c r="XCM28" s="204"/>
      <c r="XCN28" s="204"/>
      <c r="XCO28" s="204"/>
      <c r="XCP28" s="204"/>
      <c r="XCQ28" s="204"/>
      <c r="XCR28" s="204"/>
      <c r="XCS28" s="204"/>
      <c r="XCT28" s="204"/>
      <c r="XCU28" s="204"/>
      <c r="XCV28" s="204"/>
      <c r="XCW28" s="204"/>
      <c r="XCX28" s="204"/>
      <c r="XCY28" s="204"/>
      <c r="XCZ28" s="204"/>
      <c r="XDA28" s="204"/>
      <c r="XDB28" s="204"/>
      <c r="XDC28" s="204"/>
      <c r="XDD28" s="204"/>
      <c r="XDE28" s="204"/>
      <c r="XDF28" s="204"/>
      <c r="XDG28" s="204"/>
      <c r="XDH28" s="204"/>
      <c r="XDI28" s="204"/>
      <c r="XDJ28" s="204"/>
      <c r="XDK28" s="204"/>
      <c r="XDL28" s="204"/>
      <c r="XDM28" s="204"/>
      <c r="XDN28" s="204"/>
      <c r="XDO28" s="204"/>
      <c r="XDP28" s="204"/>
      <c r="XDQ28" s="204"/>
      <c r="XDR28" s="204"/>
      <c r="XDS28" s="204"/>
      <c r="XDT28" s="204"/>
      <c r="XDU28" s="204"/>
      <c r="XDV28" s="204"/>
      <c r="XDW28" s="204"/>
      <c r="XDX28" s="204"/>
      <c r="XDY28" s="204"/>
      <c r="XDZ28" s="204"/>
      <c r="XEA28" s="204"/>
      <c r="XEB28" s="204"/>
      <c r="XEC28" s="204"/>
      <c r="XED28" s="204"/>
      <c r="XEE28" s="204"/>
      <c r="XEF28" s="204"/>
      <c r="XEG28" s="204"/>
      <c r="XEH28" s="204"/>
      <c r="XEI28" s="204"/>
      <c r="XEJ28" s="204"/>
      <c r="XEK28" s="204"/>
      <c r="XEL28" s="204"/>
      <c r="XEM28" s="204"/>
      <c r="XEN28" s="204"/>
      <c r="XEO28" s="204"/>
      <c r="XEP28" s="204"/>
      <c r="XEQ28" s="204"/>
      <c r="XER28" s="204"/>
      <c r="XES28" s="204"/>
      <c r="XET28" s="204"/>
      <c r="XEU28" s="204"/>
      <c r="XEV28" s="204"/>
      <c r="XEW28" s="204"/>
      <c r="XEX28" s="204"/>
      <c r="XEY28" s="204"/>
      <c r="XEZ28" s="204"/>
      <c r="XFA28" s="204"/>
      <c r="XFB28" s="204"/>
      <c r="XFC28" s="204"/>
      <c r="XFD28" s="204"/>
    </row>
    <row r="29" spans="1:16384" x14ac:dyDescent="0.2">
      <c r="A29" s="203"/>
      <c r="B29" s="205" t="s">
        <v>78</v>
      </c>
      <c r="C29" s="132">
        <v>796</v>
      </c>
      <c r="D29" s="132">
        <v>732</v>
      </c>
      <c r="E29" s="133">
        <v>119</v>
      </c>
      <c r="F29" s="134">
        <v>474</v>
      </c>
      <c r="G29" s="134">
        <v>93</v>
      </c>
      <c r="H29" s="134">
        <v>46</v>
      </c>
      <c r="I29" s="135">
        <v>16.256830601092894</v>
      </c>
      <c r="J29" s="136">
        <v>64.754098360655746</v>
      </c>
      <c r="K29" s="136">
        <v>12.704918032786885</v>
      </c>
      <c r="L29" s="136">
        <v>6.2841530054644812</v>
      </c>
      <c r="M29" s="86">
        <v>633</v>
      </c>
      <c r="N29" s="137">
        <v>98</v>
      </c>
      <c r="O29" s="88">
        <v>86.593707250342007</v>
      </c>
      <c r="P29" s="138">
        <v>13.406292749658002</v>
      </c>
      <c r="Q29" s="88">
        <v>693</v>
      </c>
      <c r="R29" s="89">
        <v>36</v>
      </c>
      <c r="S29" s="88">
        <v>95.061728395061735</v>
      </c>
      <c r="T29" s="138">
        <v>4.9382716049382713</v>
      </c>
      <c r="U29" s="229"/>
      <c r="V29" s="203"/>
      <c r="W29" s="203"/>
      <c r="X29" s="203"/>
      <c r="Y29" s="203"/>
      <c r="Z29" s="203"/>
      <c r="AA29" s="203"/>
      <c r="AB29" s="203"/>
      <c r="AC29" s="203"/>
      <c r="AD29" s="203"/>
      <c r="AE29" s="203"/>
      <c r="AF29" s="203"/>
      <c r="AG29" s="229"/>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4"/>
      <c r="FX29" s="204"/>
      <c r="FY29" s="204"/>
      <c r="FZ29" s="204"/>
      <c r="GA29" s="204"/>
      <c r="GB29" s="204"/>
      <c r="GC29" s="204"/>
      <c r="GD29" s="204"/>
      <c r="GE29" s="204"/>
      <c r="GF29" s="204"/>
      <c r="GG29" s="204"/>
      <c r="GH29" s="204"/>
      <c r="GI29" s="204"/>
      <c r="GJ29" s="204"/>
      <c r="GK29" s="204"/>
      <c r="GL29" s="204"/>
      <c r="GM29" s="204"/>
      <c r="GN29" s="204"/>
      <c r="GO29" s="204"/>
      <c r="GP29" s="204"/>
      <c r="GQ29" s="204"/>
      <c r="GR29" s="204"/>
      <c r="GS29" s="204"/>
      <c r="GT29" s="204"/>
      <c r="GU29" s="204"/>
      <c r="GV29" s="204"/>
      <c r="GW29" s="204"/>
      <c r="GX29" s="204"/>
      <c r="GY29" s="204"/>
      <c r="GZ29" s="204"/>
      <c r="HA29" s="204"/>
      <c r="HB29" s="204"/>
      <c r="HC29" s="204"/>
      <c r="HD29" s="204"/>
      <c r="HE29" s="204"/>
      <c r="HF29" s="204"/>
      <c r="HG29" s="204"/>
      <c r="HH29" s="204"/>
      <c r="HI29" s="204"/>
      <c r="HJ29" s="204"/>
      <c r="HK29" s="204"/>
      <c r="HL29" s="204"/>
      <c r="HM29" s="204"/>
      <c r="HN29" s="204"/>
      <c r="HO29" s="204"/>
      <c r="HP29" s="204"/>
      <c r="HQ29" s="204"/>
      <c r="HR29" s="204"/>
      <c r="HS29" s="204"/>
      <c r="HT29" s="204"/>
      <c r="HU29" s="204"/>
      <c r="HV29" s="204"/>
      <c r="HW29" s="204"/>
      <c r="HX29" s="204"/>
      <c r="HY29" s="204"/>
      <c r="HZ29" s="204"/>
      <c r="IA29" s="204"/>
      <c r="IB29" s="204"/>
      <c r="IC29" s="204"/>
      <c r="ID29" s="204"/>
      <c r="IE29" s="204"/>
      <c r="IF29" s="204"/>
      <c r="IG29" s="204"/>
      <c r="IH29" s="204"/>
      <c r="II29" s="204"/>
      <c r="IJ29" s="204"/>
      <c r="IK29" s="204"/>
      <c r="IL29" s="204"/>
      <c r="IM29" s="204"/>
      <c r="IN29" s="204"/>
      <c r="IO29" s="204"/>
      <c r="IP29" s="204"/>
      <c r="IQ29" s="204"/>
      <c r="IR29" s="204"/>
      <c r="IS29" s="204"/>
      <c r="IT29" s="204"/>
      <c r="IU29" s="204"/>
      <c r="IV29" s="204"/>
      <c r="IW29" s="204"/>
      <c r="IX29" s="204"/>
      <c r="IY29" s="204"/>
      <c r="IZ29" s="204"/>
      <c r="JA29" s="204"/>
      <c r="JB29" s="204"/>
      <c r="JC29" s="204"/>
      <c r="JD29" s="204"/>
      <c r="JE29" s="204"/>
      <c r="JF29" s="204"/>
      <c r="JG29" s="204"/>
      <c r="JH29" s="204"/>
      <c r="JI29" s="204"/>
      <c r="JJ29" s="204"/>
      <c r="JK29" s="204"/>
      <c r="JL29" s="204"/>
      <c r="JM29" s="204"/>
      <c r="JN29" s="204"/>
      <c r="JO29" s="204"/>
      <c r="JP29" s="204"/>
      <c r="JQ29" s="204"/>
      <c r="JR29" s="204"/>
      <c r="JS29" s="204"/>
      <c r="JT29" s="204"/>
      <c r="JU29" s="204"/>
      <c r="JV29" s="204"/>
      <c r="JW29" s="204"/>
      <c r="JX29" s="204"/>
      <c r="JY29" s="204"/>
      <c r="JZ29" s="204"/>
      <c r="KA29" s="204"/>
      <c r="KB29" s="204"/>
      <c r="KC29" s="204"/>
      <c r="KD29" s="204"/>
      <c r="KE29" s="204"/>
      <c r="KF29" s="204"/>
      <c r="KG29" s="204"/>
      <c r="KH29" s="204"/>
      <c r="KI29" s="204"/>
      <c r="KJ29" s="204"/>
      <c r="KK29" s="204"/>
      <c r="KL29" s="204"/>
      <c r="KM29" s="204"/>
      <c r="KN29" s="204"/>
      <c r="KO29" s="204"/>
      <c r="KP29" s="204"/>
      <c r="KQ29" s="204"/>
      <c r="KR29" s="204"/>
      <c r="KS29" s="204"/>
      <c r="KT29" s="204"/>
      <c r="KU29" s="204"/>
      <c r="KV29" s="204"/>
      <c r="KW29" s="204"/>
      <c r="KX29" s="204"/>
      <c r="KY29" s="204"/>
      <c r="KZ29" s="204"/>
      <c r="LA29" s="204"/>
      <c r="LB29" s="204"/>
      <c r="LC29" s="204"/>
      <c r="LD29" s="204"/>
      <c r="LE29" s="204"/>
      <c r="LF29" s="204"/>
      <c r="LG29" s="204"/>
      <c r="LH29" s="204"/>
      <c r="LI29" s="204"/>
      <c r="LJ29" s="204"/>
      <c r="LK29" s="204"/>
      <c r="LL29" s="204"/>
      <c r="LM29" s="204"/>
      <c r="LN29" s="204"/>
      <c r="LO29" s="204"/>
      <c r="LP29" s="204"/>
      <c r="LQ29" s="204"/>
      <c r="LR29" s="204"/>
      <c r="LS29" s="204"/>
      <c r="LT29" s="204"/>
      <c r="LU29" s="204"/>
      <c r="LV29" s="204"/>
      <c r="LW29" s="204"/>
      <c r="LX29" s="204"/>
      <c r="LY29" s="204"/>
      <c r="LZ29" s="204"/>
      <c r="MA29" s="204"/>
      <c r="MB29" s="204"/>
      <c r="MC29" s="204"/>
      <c r="MD29" s="204"/>
      <c r="ME29" s="204"/>
      <c r="MF29" s="204"/>
      <c r="MG29" s="204"/>
      <c r="MH29" s="204"/>
      <c r="MI29" s="204"/>
      <c r="MJ29" s="204"/>
      <c r="MK29" s="204"/>
      <c r="ML29" s="204"/>
      <c r="MM29" s="204"/>
      <c r="MN29" s="204"/>
      <c r="MO29" s="204"/>
      <c r="MP29" s="204"/>
      <c r="MQ29" s="204"/>
      <c r="MR29" s="204"/>
      <c r="MS29" s="204"/>
      <c r="MT29" s="204"/>
      <c r="MU29" s="204"/>
      <c r="MV29" s="204"/>
      <c r="MW29" s="204"/>
      <c r="MX29" s="204"/>
      <c r="MY29" s="204"/>
      <c r="MZ29" s="204"/>
      <c r="NA29" s="204"/>
      <c r="NB29" s="204"/>
      <c r="NC29" s="204"/>
      <c r="ND29" s="204"/>
      <c r="NE29" s="204"/>
      <c r="NF29" s="204"/>
      <c r="NG29" s="204"/>
      <c r="NH29" s="204"/>
      <c r="NI29" s="204"/>
      <c r="NJ29" s="204"/>
      <c r="NK29" s="204"/>
      <c r="NL29" s="204"/>
      <c r="NM29" s="204"/>
      <c r="NN29" s="204"/>
      <c r="NO29" s="204"/>
      <c r="NP29" s="204"/>
      <c r="NQ29" s="204"/>
      <c r="NR29" s="204"/>
      <c r="NS29" s="204"/>
      <c r="NT29" s="204"/>
      <c r="NU29" s="204"/>
      <c r="NV29" s="204"/>
      <c r="NW29" s="204"/>
      <c r="NX29" s="204"/>
      <c r="NY29" s="204"/>
      <c r="NZ29" s="204"/>
      <c r="OA29" s="204"/>
      <c r="OB29" s="204"/>
      <c r="OC29" s="204"/>
      <c r="OD29" s="204"/>
      <c r="OE29" s="204"/>
      <c r="OF29" s="204"/>
      <c r="OG29" s="204"/>
      <c r="OH29" s="204"/>
      <c r="OI29" s="204"/>
      <c r="OJ29" s="204"/>
      <c r="OK29" s="204"/>
      <c r="OL29" s="204"/>
      <c r="OM29" s="204"/>
      <c r="ON29" s="204"/>
      <c r="OO29" s="204"/>
      <c r="OP29" s="204"/>
      <c r="OQ29" s="204"/>
      <c r="OR29" s="204"/>
      <c r="OS29" s="204"/>
      <c r="OT29" s="204"/>
      <c r="OU29" s="204"/>
      <c r="OV29" s="204"/>
      <c r="OW29" s="204"/>
      <c r="OX29" s="204"/>
      <c r="OY29" s="204"/>
      <c r="OZ29" s="204"/>
      <c r="PA29" s="204"/>
      <c r="PB29" s="204"/>
      <c r="PC29" s="204"/>
      <c r="PD29" s="204"/>
      <c r="PE29" s="204"/>
      <c r="PF29" s="204"/>
      <c r="PG29" s="204"/>
      <c r="PH29" s="204"/>
      <c r="PI29" s="204"/>
      <c r="PJ29" s="204"/>
      <c r="PK29" s="204"/>
      <c r="PL29" s="204"/>
      <c r="PM29" s="204"/>
      <c r="PN29" s="204"/>
      <c r="PO29" s="204"/>
      <c r="PP29" s="204"/>
      <c r="PQ29" s="204"/>
      <c r="PR29" s="204"/>
      <c r="PS29" s="204"/>
      <c r="PT29" s="204"/>
      <c r="PU29" s="204"/>
      <c r="PV29" s="204"/>
      <c r="PW29" s="204"/>
      <c r="PX29" s="204"/>
      <c r="PY29" s="204"/>
      <c r="PZ29" s="204"/>
      <c r="QA29" s="204"/>
      <c r="QB29" s="204"/>
      <c r="QC29" s="204"/>
      <c r="QD29" s="204"/>
      <c r="QE29" s="204"/>
      <c r="QF29" s="204"/>
      <c r="QG29" s="204"/>
      <c r="QH29" s="204"/>
      <c r="QI29" s="204"/>
      <c r="QJ29" s="204"/>
      <c r="QK29" s="204"/>
      <c r="QL29" s="204"/>
      <c r="QM29" s="204"/>
      <c r="QN29" s="204"/>
      <c r="QO29" s="204"/>
      <c r="QP29" s="204"/>
      <c r="QQ29" s="204"/>
      <c r="QR29" s="204"/>
      <c r="QS29" s="204"/>
      <c r="QT29" s="204"/>
      <c r="QU29" s="204"/>
      <c r="QV29" s="204"/>
      <c r="QW29" s="204"/>
      <c r="QX29" s="204"/>
      <c r="QY29" s="204"/>
      <c r="QZ29" s="204"/>
      <c r="RA29" s="204"/>
      <c r="RB29" s="204"/>
      <c r="RC29" s="204"/>
      <c r="RD29" s="204"/>
      <c r="RE29" s="204"/>
      <c r="RF29" s="204"/>
      <c r="RG29" s="204"/>
      <c r="RH29" s="204"/>
      <c r="RI29" s="204"/>
      <c r="RJ29" s="204"/>
      <c r="RK29" s="204"/>
      <c r="RL29" s="204"/>
      <c r="RM29" s="204"/>
      <c r="RN29" s="204"/>
      <c r="RO29" s="204"/>
      <c r="RP29" s="204"/>
      <c r="RQ29" s="204"/>
      <c r="RR29" s="204"/>
      <c r="RS29" s="204"/>
      <c r="RT29" s="204"/>
      <c r="RU29" s="204"/>
      <c r="RV29" s="204"/>
      <c r="RW29" s="204"/>
      <c r="RX29" s="204"/>
      <c r="RY29" s="204"/>
      <c r="RZ29" s="204"/>
      <c r="SA29" s="204"/>
      <c r="SB29" s="204"/>
      <c r="SC29" s="204"/>
      <c r="SD29" s="204"/>
      <c r="SE29" s="204"/>
      <c r="SF29" s="204"/>
      <c r="SG29" s="204"/>
      <c r="SH29" s="204"/>
      <c r="SI29" s="204"/>
      <c r="SJ29" s="204"/>
      <c r="SK29" s="204"/>
      <c r="SL29" s="204"/>
      <c r="SM29" s="204"/>
      <c r="SN29" s="204"/>
      <c r="SO29" s="204"/>
      <c r="SP29" s="204"/>
      <c r="SQ29" s="204"/>
      <c r="SR29" s="204"/>
      <c r="SS29" s="204"/>
      <c r="ST29" s="204"/>
      <c r="SU29" s="204"/>
      <c r="SV29" s="204"/>
      <c r="SW29" s="204"/>
      <c r="SX29" s="204"/>
      <c r="SY29" s="204"/>
      <c r="SZ29" s="204"/>
      <c r="TA29" s="204"/>
      <c r="TB29" s="204"/>
      <c r="TC29" s="204"/>
      <c r="TD29" s="204"/>
      <c r="TE29" s="204"/>
      <c r="TF29" s="204"/>
      <c r="TG29" s="204"/>
      <c r="TH29" s="204"/>
      <c r="TI29" s="204"/>
      <c r="TJ29" s="204"/>
      <c r="TK29" s="204"/>
      <c r="TL29" s="204"/>
      <c r="TM29" s="204"/>
      <c r="TN29" s="204"/>
      <c r="TO29" s="204"/>
      <c r="TP29" s="204"/>
      <c r="TQ29" s="204"/>
      <c r="TR29" s="204"/>
      <c r="TS29" s="204"/>
      <c r="TT29" s="204"/>
      <c r="TU29" s="204"/>
      <c r="TV29" s="204"/>
      <c r="TW29" s="204"/>
      <c r="TX29" s="204"/>
      <c r="TY29" s="204"/>
      <c r="TZ29" s="204"/>
      <c r="UA29" s="204"/>
      <c r="UB29" s="204"/>
      <c r="UC29" s="204"/>
      <c r="UD29" s="204"/>
      <c r="UE29" s="204"/>
      <c r="UF29" s="204"/>
      <c r="UG29" s="204"/>
      <c r="UH29" s="204"/>
      <c r="UI29" s="204"/>
      <c r="UJ29" s="204"/>
      <c r="UK29" s="204"/>
      <c r="UL29" s="204"/>
      <c r="UM29" s="204"/>
      <c r="UN29" s="204"/>
      <c r="UO29" s="204"/>
      <c r="UP29" s="204"/>
      <c r="UQ29" s="204"/>
      <c r="UR29" s="204"/>
      <c r="US29" s="204"/>
      <c r="UT29" s="204"/>
      <c r="UU29" s="204"/>
      <c r="UV29" s="204"/>
      <c r="UW29" s="204"/>
      <c r="UX29" s="204"/>
      <c r="UY29" s="204"/>
      <c r="UZ29" s="204"/>
      <c r="VA29" s="204"/>
      <c r="VB29" s="204"/>
      <c r="VC29" s="204"/>
      <c r="VD29" s="204"/>
      <c r="VE29" s="204"/>
      <c r="VF29" s="204"/>
      <c r="VG29" s="204"/>
      <c r="VH29" s="204"/>
      <c r="VI29" s="204"/>
      <c r="VJ29" s="204"/>
      <c r="VK29" s="204"/>
      <c r="VL29" s="204"/>
      <c r="VM29" s="204"/>
      <c r="VN29" s="204"/>
      <c r="VO29" s="204"/>
      <c r="VP29" s="204"/>
      <c r="VQ29" s="204"/>
      <c r="VR29" s="204"/>
      <c r="VS29" s="204"/>
      <c r="VT29" s="204"/>
      <c r="VU29" s="204"/>
      <c r="VV29" s="204"/>
      <c r="VW29" s="204"/>
      <c r="VX29" s="204"/>
      <c r="VY29" s="204"/>
      <c r="VZ29" s="204"/>
      <c r="WA29" s="204"/>
      <c r="WB29" s="204"/>
      <c r="WC29" s="204"/>
      <c r="WD29" s="204"/>
      <c r="WE29" s="204"/>
      <c r="WF29" s="204"/>
      <c r="WG29" s="204"/>
      <c r="WH29" s="204"/>
      <c r="WI29" s="204"/>
      <c r="WJ29" s="204"/>
      <c r="WK29" s="204"/>
      <c r="WL29" s="204"/>
      <c r="WM29" s="204"/>
      <c r="WN29" s="204"/>
      <c r="WO29" s="204"/>
      <c r="WP29" s="204"/>
      <c r="WQ29" s="204"/>
      <c r="WR29" s="204"/>
      <c r="WS29" s="204"/>
      <c r="WT29" s="204"/>
      <c r="WU29" s="204"/>
      <c r="WV29" s="204"/>
      <c r="WW29" s="204"/>
      <c r="WX29" s="204"/>
      <c r="WY29" s="204"/>
      <c r="WZ29" s="204"/>
      <c r="XA29" s="204"/>
      <c r="XB29" s="204"/>
      <c r="XC29" s="204"/>
      <c r="XD29" s="204"/>
      <c r="XE29" s="204"/>
      <c r="XF29" s="204"/>
      <c r="XG29" s="204"/>
      <c r="XH29" s="204"/>
      <c r="XI29" s="204"/>
      <c r="XJ29" s="204"/>
      <c r="XK29" s="204"/>
      <c r="XL29" s="204"/>
      <c r="XM29" s="204"/>
      <c r="XN29" s="204"/>
      <c r="XO29" s="204"/>
      <c r="XP29" s="204"/>
      <c r="XQ29" s="204"/>
      <c r="XR29" s="204"/>
      <c r="XS29" s="204"/>
      <c r="XT29" s="204"/>
      <c r="XU29" s="204"/>
      <c r="XV29" s="204"/>
      <c r="XW29" s="204"/>
      <c r="XX29" s="204"/>
      <c r="XY29" s="204"/>
      <c r="XZ29" s="204"/>
      <c r="YA29" s="204"/>
      <c r="YB29" s="204"/>
      <c r="YC29" s="204"/>
      <c r="YD29" s="204"/>
      <c r="YE29" s="204"/>
      <c r="YF29" s="204"/>
      <c r="YG29" s="204"/>
      <c r="YH29" s="204"/>
      <c r="YI29" s="204"/>
      <c r="YJ29" s="204"/>
      <c r="YK29" s="204"/>
      <c r="YL29" s="204"/>
      <c r="YM29" s="204"/>
      <c r="YN29" s="204"/>
      <c r="YO29" s="204"/>
      <c r="YP29" s="204"/>
      <c r="YQ29" s="204"/>
      <c r="YR29" s="204"/>
      <c r="YS29" s="204"/>
      <c r="YT29" s="204"/>
      <c r="YU29" s="204"/>
      <c r="YV29" s="204"/>
      <c r="YW29" s="204"/>
      <c r="YX29" s="204"/>
      <c r="YY29" s="204"/>
      <c r="YZ29" s="204"/>
      <c r="ZA29" s="204"/>
      <c r="ZB29" s="204"/>
      <c r="ZC29" s="204"/>
      <c r="ZD29" s="204"/>
      <c r="ZE29" s="204"/>
      <c r="ZF29" s="204"/>
      <c r="ZG29" s="204"/>
      <c r="ZH29" s="204"/>
      <c r="ZI29" s="204"/>
      <c r="ZJ29" s="204"/>
      <c r="ZK29" s="204"/>
      <c r="ZL29" s="204"/>
      <c r="ZM29" s="204"/>
      <c r="ZN29" s="204"/>
      <c r="ZO29" s="204"/>
      <c r="ZP29" s="204"/>
      <c r="ZQ29" s="204"/>
      <c r="ZR29" s="204"/>
      <c r="ZS29" s="204"/>
      <c r="ZT29" s="204"/>
      <c r="ZU29" s="204"/>
      <c r="ZV29" s="204"/>
      <c r="ZW29" s="204"/>
      <c r="ZX29" s="204"/>
      <c r="ZY29" s="204"/>
      <c r="ZZ29" s="204"/>
      <c r="AAA29" s="204"/>
      <c r="AAB29" s="204"/>
      <c r="AAC29" s="204"/>
      <c r="AAD29" s="204"/>
      <c r="AAE29" s="204"/>
      <c r="AAF29" s="204"/>
      <c r="AAG29" s="204"/>
      <c r="AAH29" s="204"/>
      <c r="AAI29" s="204"/>
      <c r="AAJ29" s="204"/>
      <c r="AAK29" s="204"/>
      <c r="AAL29" s="204"/>
      <c r="AAM29" s="204"/>
      <c r="AAN29" s="204"/>
      <c r="AAO29" s="204"/>
      <c r="AAP29" s="204"/>
      <c r="AAQ29" s="204"/>
      <c r="AAR29" s="204"/>
      <c r="AAS29" s="204"/>
      <c r="AAT29" s="204"/>
      <c r="AAU29" s="204"/>
      <c r="AAV29" s="204"/>
      <c r="AAW29" s="204"/>
      <c r="AAX29" s="204"/>
      <c r="AAY29" s="204"/>
      <c r="AAZ29" s="204"/>
      <c r="ABA29" s="204"/>
      <c r="ABB29" s="204"/>
      <c r="ABC29" s="204"/>
      <c r="ABD29" s="204"/>
      <c r="ABE29" s="204"/>
      <c r="ABF29" s="204"/>
      <c r="ABG29" s="204"/>
      <c r="ABH29" s="204"/>
      <c r="ABI29" s="204"/>
      <c r="ABJ29" s="204"/>
      <c r="ABK29" s="204"/>
      <c r="ABL29" s="204"/>
      <c r="ABM29" s="204"/>
      <c r="ABN29" s="204"/>
      <c r="ABO29" s="204"/>
      <c r="ABP29" s="204"/>
      <c r="ABQ29" s="204"/>
      <c r="ABR29" s="204"/>
      <c r="ABS29" s="204"/>
      <c r="ABT29" s="204"/>
      <c r="ABU29" s="204"/>
      <c r="ABV29" s="204"/>
      <c r="ABW29" s="204"/>
      <c r="ABX29" s="204"/>
      <c r="ABY29" s="204"/>
      <c r="ABZ29" s="204"/>
      <c r="ACA29" s="204"/>
      <c r="ACB29" s="204"/>
      <c r="ACC29" s="204"/>
      <c r="ACD29" s="204"/>
      <c r="ACE29" s="204"/>
      <c r="ACF29" s="204"/>
      <c r="ACG29" s="204"/>
      <c r="ACH29" s="204"/>
      <c r="ACI29" s="204"/>
      <c r="ACJ29" s="204"/>
      <c r="ACK29" s="204"/>
      <c r="ACL29" s="204"/>
      <c r="ACM29" s="204"/>
      <c r="ACN29" s="204"/>
      <c r="ACO29" s="204"/>
      <c r="ACP29" s="204"/>
      <c r="ACQ29" s="204"/>
      <c r="ACR29" s="204"/>
      <c r="ACS29" s="204"/>
      <c r="ACT29" s="204"/>
      <c r="ACU29" s="204"/>
      <c r="ACV29" s="204"/>
      <c r="ACW29" s="204"/>
      <c r="ACX29" s="204"/>
      <c r="ACY29" s="204"/>
      <c r="ACZ29" s="204"/>
      <c r="ADA29" s="204"/>
      <c r="ADB29" s="204"/>
      <c r="ADC29" s="204"/>
      <c r="ADD29" s="204"/>
      <c r="ADE29" s="204"/>
      <c r="ADF29" s="204"/>
      <c r="ADG29" s="204"/>
      <c r="ADH29" s="204"/>
      <c r="ADI29" s="204"/>
      <c r="ADJ29" s="204"/>
      <c r="ADK29" s="204"/>
      <c r="ADL29" s="204"/>
      <c r="ADM29" s="204"/>
      <c r="ADN29" s="204"/>
      <c r="ADO29" s="204"/>
      <c r="ADP29" s="204"/>
      <c r="ADQ29" s="204"/>
      <c r="ADR29" s="204"/>
      <c r="ADS29" s="204"/>
      <c r="ADT29" s="204"/>
      <c r="ADU29" s="204"/>
      <c r="ADV29" s="204"/>
      <c r="ADW29" s="204"/>
      <c r="ADX29" s="204"/>
      <c r="ADY29" s="204"/>
      <c r="ADZ29" s="204"/>
      <c r="AEA29" s="204"/>
      <c r="AEB29" s="204"/>
      <c r="AEC29" s="204"/>
      <c r="AED29" s="204"/>
      <c r="AEE29" s="204"/>
      <c r="AEF29" s="204"/>
      <c r="AEG29" s="204"/>
      <c r="AEH29" s="204"/>
      <c r="AEI29" s="204"/>
      <c r="AEJ29" s="204"/>
      <c r="AEK29" s="204"/>
      <c r="AEL29" s="204"/>
      <c r="AEM29" s="204"/>
      <c r="AEN29" s="204"/>
      <c r="AEO29" s="204"/>
      <c r="AEP29" s="204"/>
      <c r="AEQ29" s="204"/>
      <c r="AER29" s="204"/>
      <c r="AES29" s="204"/>
      <c r="AET29" s="204"/>
      <c r="AEU29" s="204"/>
      <c r="AEV29" s="204"/>
      <c r="AEW29" s="204"/>
      <c r="AEX29" s="204"/>
      <c r="AEY29" s="204"/>
      <c r="AEZ29" s="204"/>
      <c r="AFA29" s="204"/>
      <c r="AFB29" s="204"/>
      <c r="AFC29" s="204"/>
      <c r="AFD29" s="204"/>
      <c r="AFE29" s="204"/>
      <c r="AFF29" s="204"/>
      <c r="AFG29" s="204"/>
      <c r="AFH29" s="204"/>
      <c r="AFI29" s="204"/>
      <c r="AFJ29" s="204"/>
      <c r="AFK29" s="204"/>
      <c r="AFL29" s="204"/>
      <c r="AFM29" s="204"/>
      <c r="AFN29" s="204"/>
      <c r="AFO29" s="204"/>
      <c r="AFP29" s="204"/>
      <c r="AFQ29" s="204"/>
      <c r="AFR29" s="204"/>
      <c r="AFS29" s="204"/>
      <c r="AFT29" s="204"/>
      <c r="AFU29" s="204"/>
      <c r="AFV29" s="204"/>
      <c r="AFW29" s="204"/>
      <c r="AFX29" s="204"/>
      <c r="AFY29" s="204"/>
      <c r="AFZ29" s="204"/>
      <c r="AGA29" s="204"/>
      <c r="AGB29" s="204"/>
      <c r="AGC29" s="204"/>
      <c r="AGD29" s="204"/>
      <c r="AGE29" s="204"/>
      <c r="AGF29" s="204"/>
      <c r="AGG29" s="204"/>
      <c r="AGH29" s="204"/>
      <c r="AGI29" s="204"/>
      <c r="AGJ29" s="204"/>
      <c r="AGK29" s="204"/>
      <c r="AGL29" s="204"/>
      <c r="AGM29" s="204"/>
      <c r="AGN29" s="204"/>
      <c r="AGO29" s="204"/>
      <c r="AGP29" s="204"/>
      <c r="AGQ29" s="204"/>
      <c r="AGR29" s="204"/>
      <c r="AGS29" s="204"/>
      <c r="AGT29" s="204"/>
      <c r="AGU29" s="204"/>
      <c r="AGV29" s="204"/>
      <c r="AGW29" s="204"/>
      <c r="AGX29" s="204"/>
      <c r="AGY29" s="204"/>
      <c r="AGZ29" s="204"/>
      <c r="AHA29" s="204"/>
      <c r="AHB29" s="204"/>
      <c r="AHC29" s="204"/>
      <c r="AHD29" s="204"/>
      <c r="AHE29" s="204"/>
      <c r="AHF29" s="204"/>
      <c r="AHG29" s="204"/>
      <c r="AHH29" s="204"/>
      <c r="AHI29" s="204"/>
      <c r="AHJ29" s="204"/>
      <c r="AHK29" s="204"/>
      <c r="AHL29" s="204"/>
      <c r="AHM29" s="204"/>
      <c r="AHN29" s="204"/>
      <c r="AHO29" s="204"/>
      <c r="AHP29" s="204"/>
      <c r="AHQ29" s="204"/>
      <c r="AHR29" s="204"/>
      <c r="AHS29" s="204"/>
      <c r="AHT29" s="204"/>
      <c r="AHU29" s="204"/>
      <c r="AHV29" s="204"/>
      <c r="AHW29" s="204"/>
      <c r="AHX29" s="204"/>
      <c r="AHY29" s="204"/>
      <c r="AHZ29" s="204"/>
      <c r="AIA29" s="204"/>
      <c r="AIB29" s="204"/>
      <c r="AIC29" s="204"/>
      <c r="AID29" s="204"/>
      <c r="AIE29" s="204"/>
      <c r="AIF29" s="204"/>
      <c r="AIG29" s="204"/>
      <c r="AIH29" s="204"/>
      <c r="AII29" s="204"/>
      <c r="AIJ29" s="204"/>
      <c r="AIK29" s="204"/>
      <c r="AIL29" s="204"/>
      <c r="AIM29" s="204"/>
      <c r="AIN29" s="204"/>
      <c r="AIO29" s="204"/>
      <c r="AIP29" s="204"/>
      <c r="AIQ29" s="204"/>
      <c r="AIR29" s="204"/>
      <c r="AIS29" s="204"/>
      <c r="AIT29" s="204"/>
      <c r="AIU29" s="204"/>
      <c r="AIV29" s="204"/>
      <c r="AIW29" s="204"/>
      <c r="AIX29" s="204"/>
      <c r="AIY29" s="204"/>
      <c r="AIZ29" s="204"/>
      <c r="AJA29" s="204"/>
      <c r="AJB29" s="204"/>
      <c r="AJC29" s="204"/>
      <c r="AJD29" s="204"/>
      <c r="AJE29" s="204"/>
      <c r="AJF29" s="204"/>
      <c r="AJG29" s="204"/>
      <c r="AJH29" s="204"/>
      <c r="AJI29" s="204"/>
      <c r="AJJ29" s="204"/>
      <c r="AJK29" s="204"/>
      <c r="AJL29" s="204"/>
      <c r="AJM29" s="204"/>
      <c r="AJN29" s="204"/>
      <c r="AJO29" s="204"/>
      <c r="AJP29" s="204"/>
      <c r="AJQ29" s="204"/>
      <c r="AJR29" s="204"/>
      <c r="AJS29" s="204"/>
      <c r="AJT29" s="204"/>
      <c r="AJU29" s="204"/>
      <c r="AJV29" s="204"/>
      <c r="AJW29" s="204"/>
      <c r="AJX29" s="204"/>
      <c r="AJY29" s="204"/>
      <c r="AJZ29" s="204"/>
      <c r="AKA29" s="204"/>
      <c r="AKB29" s="204"/>
      <c r="AKC29" s="204"/>
      <c r="AKD29" s="204"/>
      <c r="AKE29" s="204"/>
      <c r="AKF29" s="204"/>
      <c r="AKG29" s="204"/>
      <c r="AKH29" s="204"/>
      <c r="AKI29" s="204"/>
      <c r="AKJ29" s="204"/>
      <c r="AKK29" s="204"/>
      <c r="AKL29" s="204"/>
      <c r="AKM29" s="204"/>
      <c r="AKN29" s="204"/>
      <c r="AKO29" s="204"/>
      <c r="AKP29" s="204"/>
      <c r="AKQ29" s="204"/>
      <c r="AKR29" s="204"/>
      <c r="AKS29" s="204"/>
      <c r="AKT29" s="204"/>
      <c r="AKU29" s="204"/>
      <c r="AKV29" s="204"/>
      <c r="AKW29" s="204"/>
      <c r="AKX29" s="204"/>
      <c r="AKY29" s="204"/>
      <c r="AKZ29" s="204"/>
      <c r="ALA29" s="204"/>
      <c r="ALB29" s="204"/>
      <c r="ALC29" s="204"/>
      <c r="ALD29" s="204"/>
      <c r="ALE29" s="204"/>
      <c r="ALF29" s="204"/>
      <c r="ALG29" s="204"/>
      <c r="ALH29" s="204"/>
      <c r="ALI29" s="204"/>
      <c r="ALJ29" s="204"/>
      <c r="ALK29" s="204"/>
      <c r="ALL29" s="204"/>
      <c r="ALM29" s="204"/>
      <c r="ALN29" s="204"/>
      <c r="ALO29" s="204"/>
      <c r="ALP29" s="204"/>
      <c r="ALQ29" s="204"/>
      <c r="ALR29" s="204"/>
      <c r="ALS29" s="204"/>
      <c r="ALT29" s="204"/>
      <c r="ALU29" s="204"/>
      <c r="ALV29" s="204"/>
      <c r="ALW29" s="204"/>
      <c r="ALX29" s="204"/>
      <c r="ALY29" s="204"/>
      <c r="ALZ29" s="204"/>
      <c r="AMA29" s="204"/>
      <c r="AMB29" s="204"/>
      <c r="AMC29" s="204"/>
      <c r="AMD29" s="204"/>
      <c r="AME29" s="204"/>
      <c r="AMF29" s="204"/>
      <c r="AMG29" s="204"/>
      <c r="AMH29" s="204"/>
      <c r="AMI29" s="204"/>
      <c r="AMJ29" s="204"/>
      <c r="AMK29" s="204"/>
      <c r="AML29" s="204"/>
      <c r="AMM29" s="204"/>
      <c r="AMN29" s="204"/>
      <c r="AMO29" s="204"/>
      <c r="AMP29" s="204"/>
      <c r="AMQ29" s="204"/>
      <c r="AMR29" s="204"/>
      <c r="AMS29" s="204"/>
      <c r="AMT29" s="204"/>
      <c r="AMU29" s="204"/>
      <c r="AMV29" s="204"/>
      <c r="AMW29" s="204"/>
      <c r="AMX29" s="204"/>
      <c r="AMY29" s="204"/>
      <c r="AMZ29" s="204"/>
      <c r="ANA29" s="204"/>
      <c r="ANB29" s="204"/>
      <c r="ANC29" s="204"/>
      <c r="AND29" s="204"/>
      <c r="ANE29" s="204"/>
      <c r="ANF29" s="204"/>
      <c r="ANG29" s="204"/>
      <c r="ANH29" s="204"/>
      <c r="ANI29" s="204"/>
      <c r="ANJ29" s="204"/>
      <c r="ANK29" s="204"/>
      <c r="ANL29" s="204"/>
      <c r="ANM29" s="204"/>
      <c r="ANN29" s="204"/>
      <c r="ANO29" s="204"/>
      <c r="ANP29" s="204"/>
      <c r="ANQ29" s="204"/>
      <c r="ANR29" s="204"/>
      <c r="ANS29" s="204"/>
      <c r="ANT29" s="204"/>
      <c r="ANU29" s="204"/>
      <c r="ANV29" s="204"/>
      <c r="ANW29" s="204"/>
      <c r="ANX29" s="204"/>
      <c r="ANY29" s="204"/>
      <c r="ANZ29" s="204"/>
      <c r="AOA29" s="204"/>
      <c r="AOB29" s="204"/>
      <c r="AOC29" s="204"/>
      <c r="AOD29" s="204"/>
      <c r="AOE29" s="204"/>
      <c r="AOF29" s="204"/>
      <c r="AOG29" s="204"/>
      <c r="AOH29" s="204"/>
      <c r="AOI29" s="204"/>
      <c r="AOJ29" s="204"/>
      <c r="AOK29" s="204"/>
      <c r="AOL29" s="204"/>
      <c r="AOM29" s="204"/>
      <c r="AON29" s="204"/>
      <c r="AOO29" s="204"/>
      <c r="AOP29" s="204"/>
      <c r="AOQ29" s="204"/>
      <c r="AOR29" s="204"/>
      <c r="AOS29" s="204"/>
      <c r="AOT29" s="204"/>
      <c r="AOU29" s="204"/>
      <c r="AOV29" s="204"/>
      <c r="AOW29" s="204"/>
      <c r="AOX29" s="204"/>
      <c r="AOY29" s="204"/>
      <c r="AOZ29" s="204"/>
      <c r="APA29" s="204"/>
      <c r="APB29" s="204"/>
      <c r="APC29" s="204"/>
      <c r="APD29" s="204"/>
      <c r="APE29" s="204"/>
      <c r="APF29" s="204"/>
      <c r="APG29" s="204"/>
      <c r="APH29" s="204"/>
      <c r="API29" s="204"/>
      <c r="APJ29" s="204"/>
      <c r="APK29" s="204"/>
      <c r="APL29" s="204"/>
      <c r="APM29" s="204"/>
      <c r="APN29" s="204"/>
      <c r="APO29" s="204"/>
      <c r="APP29" s="204"/>
      <c r="APQ29" s="204"/>
      <c r="APR29" s="204"/>
      <c r="APS29" s="204"/>
      <c r="APT29" s="204"/>
      <c r="APU29" s="204"/>
      <c r="APV29" s="204"/>
      <c r="APW29" s="204"/>
      <c r="APX29" s="204"/>
      <c r="APY29" s="204"/>
      <c r="APZ29" s="204"/>
      <c r="AQA29" s="204"/>
      <c r="AQB29" s="204"/>
      <c r="AQC29" s="204"/>
      <c r="AQD29" s="204"/>
      <c r="AQE29" s="204"/>
      <c r="AQF29" s="204"/>
      <c r="AQG29" s="204"/>
      <c r="AQH29" s="204"/>
      <c r="AQI29" s="204"/>
      <c r="AQJ29" s="204"/>
      <c r="AQK29" s="204"/>
      <c r="AQL29" s="204"/>
      <c r="AQM29" s="204"/>
      <c r="AQN29" s="204"/>
      <c r="AQO29" s="204"/>
      <c r="AQP29" s="204"/>
      <c r="AQQ29" s="204"/>
      <c r="AQR29" s="204"/>
      <c r="AQS29" s="204"/>
      <c r="AQT29" s="204"/>
      <c r="AQU29" s="204"/>
      <c r="AQV29" s="204"/>
      <c r="AQW29" s="204"/>
      <c r="AQX29" s="204"/>
      <c r="AQY29" s="204"/>
      <c r="AQZ29" s="204"/>
      <c r="ARA29" s="204"/>
      <c r="ARB29" s="204"/>
      <c r="ARC29" s="204"/>
      <c r="ARD29" s="204"/>
      <c r="ARE29" s="204"/>
      <c r="ARF29" s="204"/>
      <c r="ARG29" s="204"/>
      <c r="ARH29" s="204"/>
      <c r="ARI29" s="204"/>
      <c r="ARJ29" s="204"/>
      <c r="ARK29" s="204"/>
      <c r="ARL29" s="204"/>
      <c r="ARM29" s="204"/>
      <c r="ARN29" s="204"/>
      <c r="ARO29" s="204"/>
      <c r="ARP29" s="204"/>
      <c r="ARQ29" s="204"/>
      <c r="ARR29" s="204"/>
      <c r="ARS29" s="204"/>
      <c r="ART29" s="204"/>
      <c r="ARU29" s="204"/>
      <c r="ARV29" s="204"/>
      <c r="ARW29" s="204"/>
      <c r="ARX29" s="204"/>
      <c r="ARY29" s="204"/>
      <c r="ARZ29" s="204"/>
      <c r="ASA29" s="204"/>
      <c r="ASB29" s="204"/>
      <c r="ASC29" s="204"/>
      <c r="ASD29" s="204"/>
      <c r="ASE29" s="204"/>
      <c r="ASF29" s="204"/>
      <c r="ASG29" s="204"/>
      <c r="ASH29" s="204"/>
      <c r="ASI29" s="204"/>
      <c r="ASJ29" s="204"/>
      <c r="ASK29" s="204"/>
      <c r="ASL29" s="204"/>
      <c r="ASM29" s="204"/>
      <c r="ASN29" s="204"/>
      <c r="ASO29" s="204"/>
      <c r="ASP29" s="204"/>
      <c r="ASQ29" s="204"/>
      <c r="ASR29" s="204"/>
      <c r="ASS29" s="204"/>
      <c r="AST29" s="204"/>
      <c r="ASU29" s="204"/>
      <c r="ASV29" s="204"/>
      <c r="ASW29" s="204"/>
      <c r="ASX29" s="204"/>
      <c r="ASY29" s="204"/>
      <c r="ASZ29" s="204"/>
      <c r="ATA29" s="204"/>
      <c r="ATB29" s="204"/>
      <c r="ATC29" s="204"/>
      <c r="ATD29" s="204"/>
      <c r="ATE29" s="204"/>
      <c r="ATF29" s="204"/>
      <c r="ATG29" s="204"/>
      <c r="ATH29" s="204"/>
      <c r="ATI29" s="204"/>
      <c r="ATJ29" s="204"/>
      <c r="ATK29" s="204"/>
      <c r="ATL29" s="204"/>
      <c r="ATM29" s="204"/>
      <c r="ATN29" s="204"/>
      <c r="ATO29" s="204"/>
      <c r="ATP29" s="204"/>
      <c r="ATQ29" s="204"/>
      <c r="ATR29" s="204"/>
      <c r="ATS29" s="204"/>
      <c r="ATT29" s="204"/>
      <c r="ATU29" s="204"/>
      <c r="ATV29" s="204"/>
      <c r="ATW29" s="204"/>
      <c r="ATX29" s="204"/>
      <c r="ATY29" s="204"/>
      <c r="ATZ29" s="204"/>
      <c r="AUA29" s="204"/>
      <c r="AUB29" s="204"/>
      <c r="AUC29" s="204"/>
      <c r="AUD29" s="204"/>
      <c r="AUE29" s="204"/>
      <c r="AUF29" s="204"/>
      <c r="AUG29" s="204"/>
      <c r="AUH29" s="204"/>
      <c r="AUI29" s="204"/>
      <c r="AUJ29" s="204"/>
      <c r="AUK29" s="204"/>
      <c r="AUL29" s="204"/>
      <c r="AUM29" s="204"/>
      <c r="AUN29" s="204"/>
      <c r="AUO29" s="204"/>
      <c r="AUP29" s="204"/>
      <c r="AUQ29" s="204"/>
      <c r="AUR29" s="204"/>
      <c r="AUS29" s="204"/>
      <c r="AUT29" s="204"/>
      <c r="AUU29" s="204"/>
      <c r="AUV29" s="204"/>
      <c r="AUW29" s="204"/>
      <c r="AUX29" s="204"/>
      <c r="AUY29" s="204"/>
      <c r="AUZ29" s="204"/>
      <c r="AVA29" s="204"/>
      <c r="AVB29" s="204"/>
      <c r="AVC29" s="204"/>
      <c r="AVD29" s="204"/>
      <c r="AVE29" s="204"/>
      <c r="AVF29" s="204"/>
      <c r="AVG29" s="204"/>
      <c r="AVH29" s="204"/>
      <c r="AVI29" s="204"/>
      <c r="AVJ29" s="204"/>
      <c r="AVK29" s="204"/>
      <c r="AVL29" s="204"/>
      <c r="AVM29" s="204"/>
      <c r="AVN29" s="204"/>
      <c r="AVO29" s="204"/>
      <c r="AVP29" s="204"/>
      <c r="AVQ29" s="204"/>
      <c r="AVR29" s="204"/>
      <c r="AVS29" s="204"/>
      <c r="AVT29" s="204"/>
      <c r="AVU29" s="204"/>
      <c r="AVV29" s="204"/>
      <c r="AVW29" s="204"/>
      <c r="AVX29" s="204"/>
      <c r="AVY29" s="204"/>
      <c r="AVZ29" s="204"/>
      <c r="AWA29" s="204"/>
      <c r="AWB29" s="204"/>
      <c r="AWC29" s="204"/>
      <c r="AWD29" s="204"/>
      <c r="AWE29" s="204"/>
      <c r="AWF29" s="204"/>
      <c r="AWG29" s="204"/>
      <c r="AWH29" s="204"/>
      <c r="AWI29" s="204"/>
      <c r="AWJ29" s="204"/>
      <c r="AWK29" s="204"/>
      <c r="AWL29" s="204"/>
      <c r="AWM29" s="204"/>
      <c r="AWN29" s="204"/>
      <c r="AWO29" s="204"/>
      <c r="AWP29" s="204"/>
      <c r="AWQ29" s="204"/>
      <c r="AWR29" s="204"/>
      <c r="AWS29" s="204"/>
      <c r="AWT29" s="204"/>
      <c r="AWU29" s="204"/>
      <c r="AWV29" s="204"/>
      <c r="AWW29" s="204"/>
      <c r="AWX29" s="204"/>
      <c r="AWY29" s="204"/>
      <c r="AWZ29" s="204"/>
      <c r="AXA29" s="204"/>
      <c r="AXB29" s="204"/>
      <c r="AXC29" s="204"/>
      <c r="AXD29" s="204"/>
      <c r="AXE29" s="204"/>
      <c r="AXF29" s="204"/>
      <c r="AXG29" s="204"/>
      <c r="AXH29" s="204"/>
      <c r="AXI29" s="204"/>
      <c r="AXJ29" s="204"/>
      <c r="AXK29" s="204"/>
      <c r="AXL29" s="204"/>
      <c r="AXM29" s="204"/>
      <c r="AXN29" s="204"/>
      <c r="AXO29" s="204"/>
      <c r="AXP29" s="204"/>
      <c r="AXQ29" s="204"/>
      <c r="AXR29" s="204"/>
      <c r="AXS29" s="204"/>
      <c r="AXT29" s="204"/>
      <c r="AXU29" s="204"/>
      <c r="AXV29" s="204"/>
      <c r="AXW29" s="204"/>
      <c r="AXX29" s="204"/>
      <c r="AXY29" s="204"/>
      <c r="AXZ29" s="204"/>
      <c r="AYA29" s="204"/>
      <c r="AYB29" s="204"/>
      <c r="AYC29" s="204"/>
      <c r="AYD29" s="204"/>
      <c r="AYE29" s="204"/>
      <c r="AYF29" s="204"/>
      <c r="AYG29" s="204"/>
      <c r="AYH29" s="204"/>
      <c r="AYI29" s="204"/>
      <c r="AYJ29" s="204"/>
      <c r="AYK29" s="204"/>
      <c r="AYL29" s="204"/>
      <c r="AYM29" s="204"/>
      <c r="AYN29" s="204"/>
      <c r="AYO29" s="204"/>
      <c r="AYP29" s="204"/>
      <c r="AYQ29" s="204"/>
      <c r="AYR29" s="204"/>
      <c r="AYS29" s="204"/>
      <c r="AYT29" s="204"/>
      <c r="AYU29" s="204"/>
      <c r="AYV29" s="204"/>
      <c r="AYW29" s="204"/>
      <c r="AYX29" s="204"/>
      <c r="AYY29" s="204"/>
      <c r="AYZ29" s="204"/>
      <c r="AZA29" s="204"/>
      <c r="AZB29" s="204"/>
      <c r="AZC29" s="204"/>
      <c r="AZD29" s="204"/>
      <c r="AZE29" s="204"/>
      <c r="AZF29" s="204"/>
      <c r="AZG29" s="204"/>
      <c r="AZH29" s="204"/>
      <c r="AZI29" s="204"/>
      <c r="AZJ29" s="204"/>
      <c r="AZK29" s="204"/>
      <c r="AZL29" s="204"/>
      <c r="AZM29" s="204"/>
      <c r="AZN29" s="204"/>
      <c r="AZO29" s="204"/>
      <c r="AZP29" s="204"/>
      <c r="AZQ29" s="204"/>
      <c r="AZR29" s="204"/>
      <c r="AZS29" s="204"/>
      <c r="AZT29" s="204"/>
      <c r="AZU29" s="204"/>
      <c r="AZV29" s="204"/>
      <c r="AZW29" s="204"/>
      <c r="AZX29" s="204"/>
      <c r="AZY29" s="204"/>
      <c r="AZZ29" s="204"/>
      <c r="BAA29" s="204"/>
      <c r="BAB29" s="204"/>
      <c r="BAC29" s="204"/>
      <c r="BAD29" s="204"/>
      <c r="BAE29" s="204"/>
      <c r="BAF29" s="204"/>
      <c r="BAG29" s="204"/>
      <c r="BAH29" s="204"/>
      <c r="BAI29" s="204"/>
      <c r="BAJ29" s="204"/>
      <c r="BAK29" s="204"/>
      <c r="BAL29" s="204"/>
      <c r="BAM29" s="204"/>
      <c r="BAN29" s="204"/>
      <c r="BAO29" s="204"/>
      <c r="BAP29" s="204"/>
      <c r="BAQ29" s="204"/>
      <c r="BAR29" s="204"/>
      <c r="BAS29" s="204"/>
      <c r="BAT29" s="204"/>
      <c r="BAU29" s="204"/>
      <c r="BAV29" s="204"/>
      <c r="BAW29" s="204"/>
      <c r="BAX29" s="204"/>
      <c r="BAY29" s="204"/>
      <c r="BAZ29" s="204"/>
      <c r="BBA29" s="204"/>
      <c r="BBB29" s="204"/>
      <c r="BBC29" s="204"/>
      <c r="BBD29" s="204"/>
      <c r="BBE29" s="204"/>
      <c r="BBF29" s="204"/>
      <c r="BBG29" s="204"/>
      <c r="BBH29" s="204"/>
      <c r="BBI29" s="204"/>
      <c r="BBJ29" s="204"/>
      <c r="BBK29" s="204"/>
      <c r="BBL29" s="204"/>
      <c r="BBM29" s="204"/>
      <c r="BBN29" s="204"/>
      <c r="BBO29" s="204"/>
      <c r="BBP29" s="204"/>
      <c r="BBQ29" s="204"/>
      <c r="BBR29" s="204"/>
      <c r="BBS29" s="204"/>
      <c r="BBT29" s="204"/>
      <c r="BBU29" s="204"/>
      <c r="BBV29" s="204"/>
      <c r="BBW29" s="204"/>
      <c r="BBX29" s="204"/>
      <c r="BBY29" s="204"/>
      <c r="BBZ29" s="204"/>
      <c r="BCA29" s="204"/>
      <c r="BCB29" s="204"/>
      <c r="BCC29" s="204"/>
      <c r="BCD29" s="204"/>
      <c r="BCE29" s="204"/>
      <c r="BCF29" s="204"/>
      <c r="BCG29" s="204"/>
      <c r="BCH29" s="204"/>
      <c r="BCI29" s="204"/>
      <c r="BCJ29" s="204"/>
      <c r="BCK29" s="204"/>
      <c r="BCL29" s="204"/>
      <c r="BCM29" s="204"/>
      <c r="BCN29" s="204"/>
      <c r="BCO29" s="204"/>
      <c r="BCP29" s="204"/>
      <c r="BCQ29" s="204"/>
      <c r="BCR29" s="204"/>
      <c r="BCS29" s="204"/>
      <c r="BCT29" s="204"/>
      <c r="BCU29" s="204"/>
      <c r="BCV29" s="204"/>
      <c r="BCW29" s="204"/>
      <c r="BCX29" s="204"/>
      <c r="BCY29" s="204"/>
      <c r="BCZ29" s="204"/>
      <c r="BDA29" s="204"/>
      <c r="BDB29" s="204"/>
      <c r="BDC29" s="204"/>
      <c r="BDD29" s="204"/>
      <c r="BDE29" s="204"/>
      <c r="BDF29" s="204"/>
      <c r="BDG29" s="204"/>
      <c r="BDH29" s="204"/>
      <c r="BDI29" s="204"/>
      <c r="BDJ29" s="204"/>
      <c r="BDK29" s="204"/>
      <c r="BDL29" s="204"/>
      <c r="BDM29" s="204"/>
      <c r="BDN29" s="204"/>
      <c r="BDO29" s="204"/>
      <c r="BDP29" s="204"/>
      <c r="BDQ29" s="204"/>
      <c r="BDR29" s="204"/>
      <c r="BDS29" s="204"/>
      <c r="BDT29" s="204"/>
      <c r="BDU29" s="204"/>
      <c r="BDV29" s="204"/>
      <c r="BDW29" s="204"/>
      <c r="BDX29" s="204"/>
      <c r="BDY29" s="204"/>
      <c r="BDZ29" s="204"/>
      <c r="BEA29" s="204"/>
      <c r="BEB29" s="204"/>
      <c r="BEC29" s="204"/>
      <c r="BED29" s="204"/>
      <c r="BEE29" s="204"/>
      <c r="BEF29" s="204"/>
      <c r="BEG29" s="204"/>
      <c r="BEH29" s="204"/>
      <c r="BEI29" s="204"/>
      <c r="BEJ29" s="204"/>
      <c r="BEK29" s="204"/>
      <c r="BEL29" s="204"/>
      <c r="BEM29" s="204"/>
      <c r="BEN29" s="204"/>
      <c r="BEO29" s="204"/>
      <c r="BEP29" s="204"/>
      <c r="BEQ29" s="204"/>
      <c r="BER29" s="204"/>
      <c r="BES29" s="204"/>
      <c r="BET29" s="204"/>
      <c r="BEU29" s="204"/>
      <c r="BEV29" s="204"/>
      <c r="BEW29" s="204"/>
      <c r="BEX29" s="204"/>
      <c r="BEY29" s="204"/>
      <c r="BEZ29" s="204"/>
      <c r="BFA29" s="204"/>
      <c r="BFB29" s="204"/>
      <c r="BFC29" s="204"/>
      <c r="BFD29" s="204"/>
      <c r="BFE29" s="204"/>
      <c r="BFF29" s="204"/>
      <c r="BFG29" s="204"/>
      <c r="BFH29" s="204"/>
      <c r="BFI29" s="204"/>
      <c r="BFJ29" s="204"/>
      <c r="BFK29" s="204"/>
      <c r="BFL29" s="204"/>
      <c r="BFM29" s="204"/>
      <c r="BFN29" s="204"/>
      <c r="BFO29" s="204"/>
      <c r="BFP29" s="204"/>
      <c r="BFQ29" s="204"/>
      <c r="BFR29" s="204"/>
      <c r="BFS29" s="204"/>
      <c r="BFT29" s="204"/>
      <c r="BFU29" s="204"/>
      <c r="BFV29" s="204"/>
      <c r="BFW29" s="204"/>
      <c r="BFX29" s="204"/>
      <c r="BFY29" s="204"/>
      <c r="BFZ29" s="204"/>
      <c r="BGA29" s="204"/>
      <c r="BGB29" s="204"/>
      <c r="BGC29" s="204"/>
      <c r="BGD29" s="204"/>
      <c r="BGE29" s="204"/>
      <c r="BGF29" s="204"/>
      <c r="BGG29" s="204"/>
      <c r="BGH29" s="204"/>
      <c r="BGI29" s="204"/>
      <c r="BGJ29" s="204"/>
      <c r="BGK29" s="204"/>
      <c r="BGL29" s="204"/>
      <c r="BGM29" s="204"/>
      <c r="BGN29" s="204"/>
      <c r="BGO29" s="204"/>
      <c r="BGP29" s="204"/>
      <c r="BGQ29" s="204"/>
      <c r="BGR29" s="204"/>
      <c r="BGS29" s="204"/>
      <c r="BGT29" s="204"/>
      <c r="BGU29" s="204"/>
      <c r="BGV29" s="204"/>
      <c r="BGW29" s="204"/>
      <c r="BGX29" s="204"/>
      <c r="BGY29" s="204"/>
      <c r="BGZ29" s="204"/>
      <c r="BHA29" s="204"/>
      <c r="BHB29" s="204"/>
      <c r="BHC29" s="204"/>
      <c r="BHD29" s="204"/>
      <c r="BHE29" s="204"/>
      <c r="BHF29" s="204"/>
      <c r="BHG29" s="204"/>
      <c r="BHH29" s="204"/>
      <c r="BHI29" s="204"/>
      <c r="BHJ29" s="204"/>
      <c r="BHK29" s="204"/>
      <c r="BHL29" s="204"/>
      <c r="BHM29" s="204"/>
      <c r="BHN29" s="204"/>
      <c r="BHO29" s="204"/>
      <c r="BHP29" s="204"/>
      <c r="BHQ29" s="204"/>
      <c r="BHR29" s="204"/>
      <c r="BHS29" s="204"/>
      <c r="BHT29" s="204"/>
      <c r="BHU29" s="204"/>
      <c r="BHV29" s="204"/>
      <c r="BHW29" s="204"/>
      <c r="BHX29" s="204"/>
      <c r="BHY29" s="204"/>
      <c r="BHZ29" s="204"/>
      <c r="BIA29" s="204"/>
      <c r="BIB29" s="204"/>
      <c r="BIC29" s="204"/>
      <c r="BID29" s="204"/>
      <c r="BIE29" s="204"/>
      <c r="BIF29" s="204"/>
      <c r="BIG29" s="204"/>
      <c r="BIH29" s="204"/>
      <c r="BII29" s="204"/>
      <c r="BIJ29" s="204"/>
      <c r="BIK29" s="204"/>
      <c r="BIL29" s="204"/>
      <c r="BIM29" s="204"/>
      <c r="BIN29" s="204"/>
      <c r="BIO29" s="204"/>
      <c r="BIP29" s="204"/>
      <c r="BIQ29" s="204"/>
      <c r="BIR29" s="204"/>
      <c r="BIS29" s="204"/>
      <c r="BIT29" s="204"/>
      <c r="BIU29" s="204"/>
      <c r="BIV29" s="204"/>
      <c r="BIW29" s="204"/>
      <c r="BIX29" s="204"/>
      <c r="BIY29" s="204"/>
      <c r="BIZ29" s="204"/>
      <c r="BJA29" s="204"/>
      <c r="BJB29" s="204"/>
      <c r="BJC29" s="204"/>
      <c r="BJD29" s="204"/>
      <c r="BJE29" s="204"/>
      <c r="BJF29" s="204"/>
      <c r="BJG29" s="204"/>
      <c r="BJH29" s="204"/>
      <c r="BJI29" s="204"/>
      <c r="BJJ29" s="204"/>
      <c r="BJK29" s="204"/>
      <c r="BJL29" s="204"/>
      <c r="BJM29" s="204"/>
      <c r="BJN29" s="204"/>
      <c r="BJO29" s="204"/>
      <c r="BJP29" s="204"/>
      <c r="BJQ29" s="204"/>
      <c r="BJR29" s="204"/>
      <c r="BJS29" s="204"/>
      <c r="BJT29" s="204"/>
      <c r="BJU29" s="204"/>
      <c r="BJV29" s="204"/>
      <c r="BJW29" s="204"/>
      <c r="BJX29" s="204"/>
      <c r="BJY29" s="204"/>
      <c r="BJZ29" s="204"/>
      <c r="BKA29" s="204"/>
      <c r="BKB29" s="204"/>
      <c r="BKC29" s="204"/>
      <c r="BKD29" s="204"/>
      <c r="BKE29" s="204"/>
      <c r="BKF29" s="204"/>
      <c r="BKG29" s="204"/>
      <c r="BKH29" s="204"/>
      <c r="BKI29" s="204"/>
      <c r="BKJ29" s="204"/>
      <c r="BKK29" s="204"/>
      <c r="BKL29" s="204"/>
      <c r="BKM29" s="204"/>
      <c r="BKN29" s="204"/>
      <c r="BKO29" s="204"/>
      <c r="BKP29" s="204"/>
      <c r="BKQ29" s="204"/>
      <c r="BKR29" s="204"/>
      <c r="BKS29" s="204"/>
      <c r="BKT29" s="204"/>
      <c r="BKU29" s="204"/>
      <c r="BKV29" s="204"/>
      <c r="BKW29" s="204"/>
      <c r="BKX29" s="204"/>
      <c r="BKY29" s="204"/>
      <c r="BKZ29" s="204"/>
      <c r="BLA29" s="204"/>
      <c r="BLB29" s="204"/>
      <c r="BLC29" s="204"/>
      <c r="BLD29" s="204"/>
      <c r="BLE29" s="204"/>
      <c r="BLF29" s="204"/>
      <c r="BLG29" s="204"/>
      <c r="BLH29" s="204"/>
      <c r="BLI29" s="204"/>
      <c r="BLJ29" s="204"/>
      <c r="BLK29" s="204"/>
      <c r="BLL29" s="204"/>
      <c r="BLM29" s="204"/>
      <c r="BLN29" s="204"/>
      <c r="BLO29" s="204"/>
      <c r="BLP29" s="204"/>
      <c r="BLQ29" s="204"/>
      <c r="BLR29" s="204"/>
      <c r="BLS29" s="204"/>
      <c r="BLT29" s="204"/>
      <c r="BLU29" s="204"/>
      <c r="BLV29" s="204"/>
      <c r="BLW29" s="204"/>
      <c r="BLX29" s="204"/>
      <c r="BLY29" s="204"/>
      <c r="BLZ29" s="204"/>
      <c r="BMA29" s="204"/>
      <c r="BMB29" s="204"/>
      <c r="BMC29" s="204"/>
      <c r="BMD29" s="204"/>
      <c r="BME29" s="204"/>
      <c r="BMF29" s="204"/>
      <c r="BMG29" s="204"/>
      <c r="BMH29" s="204"/>
      <c r="BMI29" s="204"/>
      <c r="BMJ29" s="204"/>
      <c r="BMK29" s="204"/>
      <c r="BML29" s="204"/>
      <c r="BMM29" s="204"/>
      <c r="BMN29" s="204"/>
      <c r="BMO29" s="204"/>
      <c r="BMP29" s="204"/>
      <c r="BMQ29" s="204"/>
      <c r="BMR29" s="204"/>
      <c r="BMS29" s="204"/>
      <c r="BMT29" s="204"/>
      <c r="BMU29" s="204"/>
      <c r="BMV29" s="204"/>
      <c r="BMW29" s="204"/>
      <c r="BMX29" s="204"/>
      <c r="BMY29" s="204"/>
      <c r="BMZ29" s="204"/>
      <c r="BNA29" s="204"/>
      <c r="BNB29" s="204"/>
      <c r="BNC29" s="204"/>
      <c r="BND29" s="204"/>
      <c r="BNE29" s="204"/>
      <c r="BNF29" s="204"/>
      <c r="BNG29" s="204"/>
      <c r="BNH29" s="204"/>
      <c r="BNI29" s="204"/>
      <c r="BNJ29" s="204"/>
      <c r="BNK29" s="204"/>
      <c r="BNL29" s="204"/>
      <c r="BNM29" s="204"/>
      <c r="BNN29" s="204"/>
      <c r="BNO29" s="204"/>
      <c r="BNP29" s="204"/>
      <c r="BNQ29" s="204"/>
      <c r="BNR29" s="204"/>
      <c r="BNS29" s="204"/>
      <c r="BNT29" s="204"/>
      <c r="BNU29" s="204"/>
      <c r="BNV29" s="204"/>
      <c r="BNW29" s="204"/>
      <c r="BNX29" s="204"/>
      <c r="BNY29" s="204"/>
      <c r="BNZ29" s="204"/>
      <c r="BOA29" s="204"/>
      <c r="BOB29" s="204"/>
      <c r="BOC29" s="204"/>
      <c r="BOD29" s="204"/>
      <c r="BOE29" s="204"/>
      <c r="BOF29" s="204"/>
      <c r="BOG29" s="204"/>
      <c r="BOH29" s="204"/>
      <c r="BOI29" s="204"/>
      <c r="BOJ29" s="204"/>
      <c r="BOK29" s="204"/>
      <c r="BOL29" s="204"/>
      <c r="BOM29" s="204"/>
      <c r="BON29" s="204"/>
      <c r="BOO29" s="204"/>
      <c r="BOP29" s="204"/>
      <c r="BOQ29" s="204"/>
      <c r="BOR29" s="204"/>
      <c r="BOS29" s="204"/>
      <c r="BOT29" s="204"/>
      <c r="BOU29" s="204"/>
      <c r="BOV29" s="204"/>
      <c r="BOW29" s="204"/>
      <c r="BOX29" s="204"/>
      <c r="BOY29" s="204"/>
      <c r="BOZ29" s="204"/>
      <c r="BPA29" s="204"/>
      <c r="BPB29" s="204"/>
      <c r="BPC29" s="204"/>
      <c r="BPD29" s="204"/>
      <c r="BPE29" s="204"/>
      <c r="BPF29" s="204"/>
      <c r="BPG29" s="204"/>
      <c r="BPH29" s="204"/>
      <c r="BPI29" s="204"/>
      <c r="BPJ29" s="204"/>
      <c r="BPK29" s="204"/>
      <c r="BPL29" s="204"/>
      <c r="BPM29" s="204"/>
      <c r="BPN29" s="204"/>
      <c r="BPO29" s="204"/>
      <c r="BPP29" s="204"/>
      <c r="BPQ29" s="204"/>
      <c r="BPR29" s="204"/>
      <c r="BPS29" s="204"/>
      <c r="BPT29" s="204"/>
      <c r="BPU29" s="204"/>
      <c r="BPV29" s="204"/>
      <c r="BPW29" s="204"/>
      <c r="BPX29" s="204"/>
      <c r="BPY29" s="204"/>
      <c r="BPZ29" s="204"/>
      <c r="BQA29" s="204"/>
      <c r="BQB29" s="204"/>
      <c r="BQC29" s="204"/>
      <c r="BQD29" s="204"/>
      <c r="BQE29" s="204"/>
      <c r="BQF29" s="204"/>
      <c r="BQG29" s="204"/>
      <c r="BQH29" s="204"/>
      <c r="BQI29" s="204"/>
      <c r="BQJ29" s="204"/>
      <c r="BQK29" s="204"/>
      <c r="BQL29" s="204"/>
      <c r="BQM29" s="204"/>
      <c r="BQN29" s="204"/>
      <c r="BQO29" s="204"/>
      <c r="BQP29" s="204"/>
      <c r="BQQ29" s="204"/>
      <c r="BQR29" s="204"/>
      <c r="BQS29" s="204"/>
      <c r="BQT29" s="204"/>
      <c r="BQU29" s="204"/>
      <c r="BQV29" s="204"/>
      <c r="BQW29" s="204"/>
      <c r="BQX29" s="204"/>
      <c r="BQY29" s="204"/>
      <c r="BQZ29" s="204"/>
      <c r="BRA29" s="204"/>
      <c r="BRB29" s="204"/>
      <c r="BRC29" s="204"/>
      <c r="BRD29" s="204"/>
      <c r="BRE29" s="204"/>
      <c r="BRF29" s="204"/>
      <c r="BRG29" s="204"/>
      <c r="BRH29" s="204"/>
      <c r="BRI29" s="204"/>
      <c r="BRJ29" s="204"/>
      <c r="BRK29" s="204"/>
      <c r="BRL29" s="204"/>
      <c r="BRM29" s="204"/>
      <c r="BRN29" s="204"/>
      <c r="BRO29" s="204"/>
      <c r="BRP29" s="204"/>
      <c r="BRQ29" s="204"/>
      <c r="BRR29" s="204"/>
      <c r="BRS29" s="204"/>
      <c r="BRT29" s="204"/>
      <c r="BRU29" s="204"/>
      <c r="BRV29" s="204"/>
      <c r="BRW29" s="204"/>
      <c r="BRX29" s="204"/>
      <c r="BRY29" s="204"/>
      <c r="BRZ29" s="204"/>
      <c r="BSA29" s="204"/>
      <c r="BSB29" s="204"/>
      <c r="BSC29" s="204"/>
      <c r="BSD29" s="204"/>
      <c r="BSE29" s="204"/>
      <c r="BSF29" s="204"/>
      <c r="BSG29" s="204"/>
      <c r="BSH29" s="204"/>
      <c r="BSI29" s="204"/>
      <c r="BSJ29" s="204"/>
      <c r="BSK29" s="204"/>
      <c r="BSL29" s="204"/>
      <c r="BSM29" s="204"/>
      <c r="BSN29" s="204"/>
      <c r="BSO29" s="204"/>
      <c r="BSP29" s="204"/>
      <c r="BSQ29" s="204"/>
      <c r="BSR29" s="204"/>
      <c r="BSS29" s="204"/>
      <c r="BST29" s="204"/>
      <c r="BSU29" s="204"/>
      <c r="BSV29" s="204"/>
      <c r="BSW29" s="204"/>
      <c r="BSX29" s="204"/>
      <c r="BSY29" s="204"/>
      <c r="BSZ29" s="204"/>
      <c r="BTA29" s="204"/>
      <c r="BTB29" s="204"/>
      <c r="BTC29" s="204"/>
      <c r="BTD29" s="204"/>
      <c r="BTE29" s="204"/>
      <c r="BTF29" s="204"/>
      <c r="BTG29" s="204"/>
      <c r="BTH29" s="204"/>
      <c r="BTI29" s="204"/>
      <c r="BTJ29" s="204"/>
      <c r="BTK29" s="204"/>
      <c r="BTL29" s="204"/>
      <c r="BTM29" s="204"/>
      <c r="BTN29" s="204"/>
      <c r="BTO29" s="204"/>
      <c r="BTP29" s="204"/>
      <c r="BTQ29" s="204"/>
      <c r="BTR29" s="204"/>
      <c r="BTS29" s="204"/>
      <c r="BTT29" s="204"/>
      <c r="BTU29" s="204"/>
      <c r="BTV29" s="204"/>
      <c r="BTW29" s="204"/>
      <c r="BTX29" s="204"/>
      <c r="BTY29" s="204"/>
      <c r="BTZ29" s="204"/>
      <c r="BUA29" s="204"/>
      <c r="BUB29" s="204"/>
      <c r="BUC29" s="204"/>
      <c r="BUD29" s="204"/>
      <c r="BUE29" s="204"/>
      <c r="BUF29" s="204"/>
      <c r="BUG29" s="204"/>
      <c r="BUH29" s="204"/>
      <c r="BUI29" s="204"/>
      <c r="BUJ29" s="204"/>
      <c r="BUK29" s="204"/>
      <c r="BUL29" s="204"/>
      <c r="BUM29" s="204"/>
      <c r="BUN29" s="204"/>
      <c r="BUO29" s="204"/>
      <c r="BUP29" s="204"/>
      <c r="BUQ29" s="204"/>
      <c r="BUR29" s="204"/>
      <c r="BUS29" s="204"/>
      <c r="BUT29" s="204"/>
      <c r="BUU29" s="204"/>
      <c r="BUV29" s="204"/>
      <c r="BUW29" s="204"/>
      <c r="BUX29" s="204"/>
      <c r="BUY29" s="204"/>
      <c r="BUZ29" s="204"/>
      <c r="BVA29" s="204"/>
      <c r="BVB29" s="204"/>
      <c r="BVC29" s="204"/>
      <c r="BVD29" s="204"/>
      <c r="BVE29" s="204"/>
      <c r="BVF29" s="204"/>
      <c r="BVG29" s="204"/>
      <c r="BVH29" s="204"/>
      <c r="BVI29" s="204"/>
      <c r="BVJ29" s="204"/>
      <c r="BVK29" s="204"/>
      <c r="BVL29" s="204"/>
      <c r="BVM29" s="204"/>
      <c r="BVN29" s="204"/>
      <c r="BVO29" s="204"/>
      <c r="BVP29" s="204"/>
      <c r="BVQ29" s="204"/>
      <c r="BVR29" s="204"/>
      <c r="BVS29" s="204"/>
      <c r="BVT29" s="204"/>
      <c r="BVU29" s="204"/>
      <c r="BVV29" s="204"/>
      <c r="BVW29" s="204"/>
      <c r="BVX29" s="204"/>
      <c r="BVY29" s="204"/>
      <c r="BVZ29" s="204"/>
      <c r="BWA29" s="204"/>
      <c r="BWB29" s="204"/>
      <c r="BWC29" s="204"/>
      <c r="BWD29" s="204"/>
      <c r="BWE29" s="204"/>
      <c r="BWF29" s="204"/>
      <c r="BWG29" s="204"/>
      <c r="BWH29" s="204"/>
      <c r="BWI29" s="204"/>
      <c r="BWJ29" s="204"/>
      <c r="BWK29" s="204"/>
      <c r="BWL29" s="204"/>
      <c r="BWM29" s="204"/>
      <c r="BWN29" s="204"/>
      <c r="BWO29" s="204"/>
      <c r="BWP29" s="204"/>
      <c r="BWQ29" s="204"/>
      <c r="BWR29" s="204"/>
      <c r="BWS29" s="204"/>
      <c r="BWT29" s="204"/>
      <c r="BWU29" s="204"/>
      <c r="BWV29" s="204"/>
      <c r="BWW29" s="204"/>
      <c r="BWX29" s="204"/>
      <c r="BWY29" s="204"/>
      <c r="BWZ29" s="204"/>
      <c r="BXA29" s="204"/>
      <c r="BXB29" s="204"/>
      <c r="BXC29" s="204"/>
      <c r="BXD29" s="204"/>
      <c r="BXE29" s="204"/>
      <c r="BXF29" s="204"/>
      <c r="BXG29" s="204"/>
      <c r="BXH29" s="204"/>
      <c r="BXI29" s="204"/>
      <c r="BXJ29" s="204"/>
      <c r="BXK29" s="204"/>
      <c r="BXL29" s="204"/>
      <c r="BXM29" s="204"/>
      <c r="BXN29" s="204"/>
      <c r="BXO29" s="204"/>
      <c r="BXP29" s="204"/>
      <c r="BXQ29" s="204"/>
      <c r="BXR29" s="204"/>
      <c r="BXS29" s="204"/>
      <c r="BXT29" s="204"/>
      <c r="BXU29" s="204"/>
      <c r="BXV29" s="204"/>
      <c r="BXW29" s="204"/>
      <c r="BXX29" s="204"/>
      <c r="BXY29" s="204"/>
      <c r="BXZ29" s="204"/>
      <c r="BYA29" s="204"/>
      <c r="BYB29" s="204"/>
      <c r="BYC29" s="204"/>
      <c r="BYD29" s="204"/>
      <c r="BYE29" s="204"/>
      <c r="BYF29" s="204"/>
      <c r="BYG29" s="204"/>
      <c r="BYH29" s="204"/>
      <c r="BYI29" s="204"/>
      <c r="BYJ29" s="204"/>
      <c r="BYK29" s="204"/>
      <c r="BYL29" s="204"/>
      <c r="BYM29" s="204"/>
      <c r="BYN29" s="204"/>
      <c r="BYO29" s="204"/>
      <c r="BYP29" s="204"/>
      <c r="BYQ29" s="204"/>
      <c r="BYR29" s="204"/>
      <c r="BYS29" s="204"/>
      <c r="BYT29" s="204"/>
      <c r="BYU29" s="204"/>
      <c r="BYV29" s="204"/>
      <c r="BYW29" s="204"/>
      <c r="BYX29" s="204"/>
      <c r="BYY29" s="204"/>
      <c r="BYZ29" s="204"/>
      <c r="BZA29" s="204"/>
      <c r="BZB29" s="204"/>
      <c r="BZC29" s="204"/>
      <c r="BZD29" s="204"/>
      <c r="BZE29" s="204"/>
      <c r="BZF29" s="204"/>
      <c r="BZG29" s="204"/>
      <c r="BZH29" s="204"/>
      <c r="BZI29" s="204"/>
      <c r="BZJ29" s="204"/>
      <c r="BZK29" s="204"/>
      <c r="BZL29" s="204"/>
      <c r="BZM29" s="204"/>
      <c r="BZN29" s="204"/>
      <c r="BZO29" s="204"/>
      <c r="BZP29" s="204"/>
      <c r="BZQ29" s="204"/>
      <c r="BZR29" s="204"/>
      <c r="BZS29" s="204"/>
      <c r="BZT29" s="204"/>
      <c r="BZU29" s="204"/>
      <c r="BZV29" s="204"/>
      <c r="BZW29" s="204"/>
      <c r="BZX29" s="204"/>
      <c r="BZY29" s="204"/>
      <c r="BZZ29" s="204"/>
      <c r="CAA29" s="204"/>
      <c r="CAB29" s="204"/>
      <c r="CAC29" s="204"/>
      <c r="CAD29" s="204"/>
      <c r="CAE29" s="204"/>
      <c r="CAF29" s="204"/>
      <c r="CAG29" s="204"/>
      <c r="CAH29" s="204"/>
      <c r="CAI29" s="204"/>
      <c r="CAJ29" s="204"/>
      <c r="CAK29" s="204"/>
      <c r="CAL29" s="204"/>
      <c r="CAM29" s="204"/>
      <c r="CAN29" s="204"/>
      <c r="CAO29" s="204"/>
      <c r="CAP29" s="204"/>
      <c r="CAQ29" s="204"/>
      <c r="CAR29" s="204"/>
      <c r="CAS29" s="204"/>
      <c r="CAT29" s="204"/>
      <c r="CAU29" s="204"/>
      <c r="CAV29" s="204"/>
      <c r="CAW29" s="204"/>
      <c r="CAX29" s="204"/>
      <c r="CAY29" s="204"/>
      <c r="CAZ29" s="204"/>
      <c r="CBA29" s="204"/>
      <c r="CBB29" s="204"/>
      <c r="CBC29" s="204"/>
      <c r="CBD29" s="204"/>
      <c r="CBE29" s="204"/>
      <c r="CBF29" s="204"/>
      <c r="CBG29" s="204"/>
      <c r="CBH29" s="204"/>
      <c r="CBI29" s="204"/>
      <c r="CBJ29" s="204"/>
      <c r="CBK29" s="204"/>
      <c r="CBL29" s="204"/>
      <c r="CBM29" s="204"/>
      <c r="CBN29" s="204"/>
      <c r="CBO29" s="204"/>
      <c r="CBP29" s="204"/>
      <c r="CBQ29" s="204"/>
      <c r="CBR29" s="204"/>
      <c r="CBS29" s="204"/>
      <c r="CBT29" s="204"/>
      <c r="CBU29" s="204"/>
      <c r="CBV29" s="204"/>
      <c r="CBW29" s="204"/>
      <c r="CBX29" s="204"/>
      <c r="CBY29" s="204"/>
      <c r="CBZ29" s="204"/>
      <c r="CCA29" s="204"/>
      <c r="CCB29" s="204"/>
      <c r="CCC29" s="204"/>
      <c r="CCD29" s="204"/>
      <c r="CCE29" s="204"/>
      <c r="CCF29" s="204"/>
      <c r="CCG29" s="204"/>
      <c r="CCH29" s="204"/>
      <c r="CCI29" s="204"/>
      <c r="CCJ29" s="204"/>
      <c r="CCK29" s="204"/>
      <c r="CCL29" s="204"/>
      <c r="CCM29" s="204"/>
      <c r="CCN29" s="204"/>
      <c r="CCO29" s="204"/>
      <c r="CCP29" s="204"/>
      <c r="CCQ29" s="204"/>
      <c r="CCR29" s="204"/>
      <c r="CCS29" s="204"/>
      <c r="CCT29" s="204"/>
      <c r="CCU29" s="204"/>
      <c r="CCV29" s="204"/>
      <c r="CCW29" s="204"/>
      <c r="CCX29" s="204"/>
      <c r="CCY29" s="204"/>
      <c r="CCZ29" s="204"/>
      <c r="CDA29" s="204"/>
      <c r="CDB29" s="204"/>
      <c r="CDC29" s="204"/>
      <c r="CDD29" s="204"/>
      <c r="CDE29" s="204"/>
      <c r="CDF29" s="204"/>
      <c r="CDG29" s="204"/>
      <c r="CDH29" s="204"/>
      <c r="CDI29" s="204"/>
      <c r="CDJ29" s="204"/>
      <c r="CDK29" s="204"/>
      <c r="CDL29" s="204"/>
      <c r="CDM29" s="204"/>
      <c r="CDN29" s="204"/>
      <c r="CDO29" s="204"/>
      <c r="CDP29" s="204"/>
      <c r="CDQ29" s="204"/>
      <c r="CDR29" s="204"/>
      <c r="CDS29" s="204"/>
      <c r="CDT29" s="204"/>
      <c r="CDU29" s="204"/>
      <c r="CDV29" s="204"/>
      <c r="CDW29" s="204"/>
      <c r="CDX29" s="204"/>
      <c r="CDY29" s="204"/>
      <c r="CDZ29" s="204"/>
      <c r="CEA29" s="204"/>
      <c r="CEB29" s="204"/>
      <c r="CEC29" s="204"/>
      <c r="CED29" s="204"/>
      <c r="CEE29" s="204"/>
      <c r="CEF29" s="204"/>
      <c r="CEG29" s="204"/>
      <c r="CEH29" s="204"/>
      <c r="CEI29" s="204"/>
      <c r="CEJ29" s="204"/>
      <c r="CEK29" s="204"/>
      <c r="CEL29" s="204"/>
      <c r="CEM29" s="204"/>
      <c r="CEN29" s="204"/>
      <c r="CEO29" s="204"/>
      <c r="CEP29" s="204"/>
      <c r="CEQ29" s="204"/>
      <c r="CER29" s="204"/>
      <c r="CES29" s="204"/>
      <c r="CET29" s="204"/>
      <c r="CEU29" s="204"/>
      <c r="CEV29" s="204"/>
      <c r="CEW29" s="204"/>
      <c r="CEX29" s="204"/>
      <c r="CEY29" s="204"/>
      <c r="CEZ29" s="204"/>
      <c r="CFA29" s="204"/>
      <c r="CFB29" s="204"/>
      <c r="CFC29" s="204"/>
      <c r="CFD29" s="204"/>
      <c r="CFE29" s="204"/>
      <c r="CFF29" s="204"/>
      <c r="CFG29" s="204"/>
      <c r="CFH29" s="204"/>
      <c r="CFI29" s="204"/>
      <c r="CFJ29" s="204"/>
      <c r="CFK29" s="204"/>
      <c r="CFL29" s="204"/>
      <c r="CFM29" s="204"/>
      <c r="CFN29" s="204"/>
      <c r="CFO29" s="204"/>
      <c r="CFP29" s="204"/>
      <c r="CFQ29" s="204"/>
      <c r="CFR29" s="204"/>
      <c r="CFS29" s="204"/>
      <c r="CFT29" s="204"/>
      <c r="CFU29" s="204"/>
      <c r="CFV29" s="204"/>
      <c r="CFW29" s="204"/>
      <c r="CFX29" s="204"/>
      <c r="CFY29" s="204"/>
      <c r="CFZ29" s="204"/>
      <c r="CGA29" s="204"/>
      <c r="CGB29" s="204"/>
      <c r="CGC29" s="204"/>
      <c r="CGD29" s="204"/>
      <c r="CGE29" s="204"/>
      <c r="CGF29" s="204"/>
      <c r="CGG29" s="204"/>
      <c r="CGH29" s="204"/>
      <c r="CGI29" s="204"/>
      <c r="CGJ29" s="204"/>
      <c r="CGK29" s="204"/>
      <c r="CGL29" s="204"/>
      <c r="CGM29" s="204"/>
      <c r="CGN29" s="204"/>
      <c r="CGO29" s="204"/>
      <c r="CGP29" s="204"/>
      <c r="CGQ29" s="204"/>
      <c r="CGR29" s="204"/>
      <c r="CGS29" s="204"/>
      <c r="CGT29" s="204"/>
      <c r="CGU29" s="204"/>
      <c r="CGV29" s="204"/>
      <c r="CGW29" s="204"/>
      <c r="CGX29" s="204"/>
      <c r="CGY29" s="204"/>
      <c r="CGZ29" s="204"/>
      <c r="CHA29" s="204"/>
      <c r="CHB29" s="204"/>
      <c r="CHC29" s="204"/>
      <c r="CHD29" s="204"/>
      <c r="CHE29" s="204"/>
      <c r="CHF29" s="204"/>
      <c r="CHG29" s="204"/>
      <c r="CHH29" s="204"/>
      <c r="CHI29" s="204"/>
      <c r="CHJ29" s="204"/>
      <c r="CHK29" s="204"/>
      <c r="CHL29" s="204"/>
      <c r="CHM29" s="204"/>
      <c r="CHN29" s="204"/>
      <c r="CHO29" s="204"/>
      <c r="CHP29" s="204"/>
      <c r="CHQ29" s="204"/>
      <c r="CHR29" s="204"/>
      <c r="CHS29" s="204"/>
      <c r="CHT29" s="204"/>
      <c r="CHU29" s="204"/>
      <c r="CHV29" s="204"/>
      <c r="CHW29" s="204"/>
      <c r="CHX29" s="204"/>
      <c r="CHY29" s="204"/>
      <c r="CHZ29" s="204"/>
      <c r="CIA29" s="204"/>
      <c r="CIB29" s="204"/>
      <c r="CIC29" s="204"/>
      <c r="CID29" s="204"/>
      <c r="CIE29" s="204"/>
      <c r="CIF29" s="204"/>
      <c r="CIG29" s="204"/>
      <c r="CIH29" s="204"/>
      <c r="CII29" s="204"/>
      <c r="CIJ29" s="204"/>
      <c r="CIK29" s="204"/>
      <c r="CIL29" s="204"/>
      <c r="CIM29" s="204"/>
      <c r="CIN29" s="204"/>
      <c r="CIO29" s="204"/>
      <c r="CIP29" s="204"/>
      <c r="CIQ29" s="204"/>
      <c r="CIR29" s="204"/>
      <c r="CIS29" s="204"/>
      <c r="CIT29" s="204"/>
      <c r="CIU29" s="204"/>
      <c r="CIV29" s="204"/>
      <c r="CIW29" s="204"/>
      <c r="CIX29" s="204"/>
      <c r="CIY29" s="204"/>
      <c r="CIZ29" s="204"/>
      <c r="CJA29" s="204"/>
      <c r="CJB29" s="204"/>
      <c r="CJC29" s="204"/>
      <c r="CJD29" s="204"/>
      <c r="CJE29" s="204"/>
      <c r="CJF29" s="204"/>
      <c r="CJG29" s="204"/>
      <c r="CJH29" s="204"/>
      <c r="CJI29" s="204"/>
      <c r="CJJ29" s="204"/>
      <c r="CJK29" s="204"/>
      <c r="CJL29" s="204"/>
      <c r="CJM29" s="204"/>
      <c r="CJN29" s="204"/>
      <c r="CJO29" s="204"/>
      <c r="CJP29" s="204"/>
      <c r="CJQ29" s="204"/>
      <c r="CJR29" s="204"/>
      <c r="CJS29" s="204"/>
      <c r="CJT29" s="204"/>
      <c r="CJU29" s="204"/>
      <c r="CJV29" s="204"/>
      <c r="CJW29" s="204"/>
      <c r="CJX29" s="204"/>
      <c r="CJY29" s="204"/>
      <c r="CJZ29" s="204"/>
      <c r="CKA29" s="204"/>
      <c r="CKB29" s="204"/>
      <c r="CKC29" s="204"/>
      <c r="CKD29" s="204"/>
      <c r="CKE29" s="204"/>
      <c r="CKF29" s="204"/>
      <c r="CKG29" s="204"/>
      <c r="CKH29" s="204"/>
      <c r="CKI29" s="204"/>
      <c r="CKJ29" s="204"/>
      <c r="CKK29" s="204"/>
      <c r="CKL29" s="204"/>
      <c r="CKM29" s="204"/>
      <c r="CKN29" s="204"/>
      <c r="CKO29" s="204"/>
      <c r="CKP29" s="204"/>
      <c r="CKQ29" s="204"/>
      <c r="CKR29" s="204"/>
      <c r="CKS29" s="204"/>
      <c r="CKT29" s="204"/>
      <c r="CKU29" s="204"/>
      <c r="CKV29" s="204"/>
      <c r="CKW29" s="204"/>
      <c r="CKX29" s="204"/>
      <c r="CKY29" s="204"/>
      <c r="CKZ29" s="204"/>
      <c r="CLA29" s="204"/>
      <c r="CLB29" s="204"/>
      <c r="CLC29" s="204"/>
      <c r="CLD29" s="204"/>
      <c r="CLE29" s="204"/>
      <c r="CLF29" s="204"/>
      <c r="CLG29" s="204"/>
      <c r="CLH29" s="204"/>
      <c r="CLI29" s="204"/>
      <c r="CLJ29" s="204"/>
      <c r="CLK29" s="204"/>
      <c r="CLL29" s="204"/>
      <c r="CLM29" s="204"/>
      <c r="CLN29" s="204"/>
      <c r="CLO29" s="204"/>
      <c r="CLP29" s="204"/>
      <c r="CLQ29" s="204"/>
      <c r="CLR29" s="204"/>
      <c r="CLS29" s="204"/>
      <c r="CLT29" s="204"/>
      <c r="CLU29" s="204"/>
      <c r="CLV29" s="204"/>
      <c r="CLW29" s="204"/>
      <c r="CLX29" s="204"/>
      <c r="CLY29" s="204"/>
      <c r="CLZ29" s="204"/>
      <c r="CMA29" s="204"/>
      <c r="CMB29" s="204"/>
      <c r="CMC29" s="204"/>
      <c r="CMD29" s="204"/>
      <c r="CME29" s="204"/>
      <c r="CMF29" s="204"/>
      <c r="CMG29" s="204"/>
      <c r="CMH29" s="204"/>
      <c r="CMI29" s="204"/>
      <c r="CMJ29" s="204"/>
      <c r="CMK29" s="204"/>
      <c r="CML29" s="204"/>
      <c r="CMM29" s="204"/>
      <c r="CMN29" s="204"/>
      <c r="CMO29" s="204"/>
      <c r="CMP29" s="204"/>
      <c r="CMQ29" s="204"/>
      <c r="CMR29" s="204"/>
      <c r="CMS29" s="204"/>
      <c r="CMT29" s="204"/>
      <c r="CMU29" s="204"/>
      <c r="CMV29" s="204"/>
      <c r="CMW29" s="204"/>
      <c r="CMX29" s="204"/>
      <c r="CMY29" s="204"/>
      <c r="CMZ29" s="204"/>
      <c r="CNA29" s="204"/>
      <c r="CNB29" s="204"/>
      <c r="CNC29" s="204"/>
      <c r="CND29" s="204"/>
      <c r="CNE29" s="204"/>
      <c r="CNF29" s="204"/>
      <c r="CNG29" s="204"/>
      <c r="CNH29" s="204"/>
      <c r="CNI29" s="204"/>
      <c r="CNJ29" s="204"/>
      <c r="CNK29" s="204"/>
      <c r="CNL29" s="204"/>
      <c r="CNM29" s="204"/>
      <c r="CNN29" s="204"/>
      <c r="CNO29" s="204"/>
      <c r="CNP29" s="204"/>
      <c r="CNQ29" s="204"/>
      <c r="CNR29" s="204"/>
      <c r="CNS29" s="204"/>
      <c r="CNT29" s="204"/>
      <c r="CNU29" s="204"/>
      <c r="CNV29" s="204"/>
      <c r="CNW29" s="204"/>
      <c r="CNX29" s="204"/>
      <c r="CNY29" s="204"/>
      <c r="CNZ29" s="204"/>
      <c r="COA29" s="204"/>
      <c r="COB29" s="204"/>
      <c r="COC29" s="204"/>
      <c r="COD29" s="204"/>
      <c r="COE29" s="204"/>
      <c r="COF29" s="204"/>
      <c r="COG29" s="204"/>
      <c r="COH29" s="204"/>
      <c r="COI29" s="204"/>
      <c r="COJ29" s="204"/>
      <c r="COK29" s="204"/>
      <c r="COL29" s="204"/>
      <c r="COM29" s="204"/>
      <c r="CON29" s="204"/>
      <c r="COO29" s="204"/>
      <c r="COP29" s="204"/>
      <c r="COQ29" s="204"/>
      <c r="COR29" s="204"/>
      <c r="COS29" s="204"/>
      <c r="COT29" s="204"/>
      <c r="COU29" s="204"/>
      <c r="COV29" s="204"/>
      <c r="COW29" s="204"/>
      <c r="COX29" s="204"/>
      <c r="COY29" s="204"/>
      <c r="COZ29" s="204"/>
      <c r="CPA29" s="204"/>
      <c r="CPB29" s="204"/>
      <c r="CPC29" s="204"/>
      <c r="CPD29" s="204"/>
      <c r="CPE29" s="204"/>
      <c r="CPF29" s="204"/>
      <c r="CPG29" s="204"/>
      <c r="CPH29" s="204"/>
      <c r="CPI29" s="204"/>
      <c r="CPJ29" s="204"/>
      <c r="CPK29" s="204"/>
      <c r="CPL29" s="204"/>
      <c r="CPM29" s="204"/>
      <c r="CPN29" s="204"/>
      <c r="CPO29" s="204"/>
      <c r="CPP29" s="204"/>
      <c r="CPQ29" s="204"/>
      <c r="CPR29" s="204"/>
      <c r="CPS29" s="204"/>
      <c r="CPT29" s="204"/>
      <c r="CPU29" s="204"/>
      <c r="CPV29" s="204"/>
      <c r="CPW29" s="204"/>
      <c r="CPX29" s="204"/>
      <c r="CPY29" s="204"/>
      <c r="CPZ29" s="204"/>
      <c r="CQA29" s="204"/>
      <c r="CQB29" s="204"/>
      <c r="CQC29" s="204"/>
      <c r="CQD29" s="204"/>
      <c r="CQE29" s="204"/>
      <c r="CQF29" s="204"/>
      <c r="CQG29" s="204"/>
      <c r="CQH29" s="204"/>
      <c r="CQI29" s="204"/>
      <c r="CQJ29" s="204"/>
      <c r="CQK29" s="204"/>
      <c r="CQL29" s="204"/>
      <c r="CQM29" s="204"/>
      <c r="CQN29" s="204"/>
      <c r="CQO29" s="204"/>
      <c r="CQP29" s="204"/>
      <c r="CQQ29" s="204"/>
      <c r="CQR29" s="204"/>
      <c r="CQS29" s="204"/>
      <c r="CQT29" s="204"/>
      <c r="CQU29" s="204"/>
      <c r="CQV29" s="204"/>
      <c r="CQW29" s="204"/>
      <c r="CQX29" s="204"/>
      <c r="CQY29" s="204"/>
      <c r="CQZ29" s="204"/>
      <c r="CRA29" s="204"/>
      <c r="CRB29" s="204"/>
      <c r="CRC29" s="204"/>
      <c r="CRD29" s="204"/>
      <c r="CRE29" s="204"/>
      <c r="CRF29" s="204"/>
      <c r="CRG29" s="204"/>
      <c r="CRH29" s="204"/>
      <c r="CRI29" s="204"/>
      <c r="CRJ29" s="204"/>
      <c r="CRK29" s="204"/>
      <c r="CRL29" s="204"/>
      <c r="CRM29" s="204"/>
      <c r="CRN29" s="204"/>
      <c r="CRO29" s="204"/>
      <c r="CRP29" s="204"/>
      <c r="CRQ29" s="204"/>
      <c r="CRR29" s="204"/>
      <c r="CRS29" s="204"/>
      <c r="CRT29" s="204"/>
      <c r="CRU29" s="204"/>
      <c r="CRV29" s="204"/>
      <c r="CRW29" s="204"/>
      <c r="CRX29" s="204"/>
      <c r="CRY29" s="204"/>
      <c r="CRZ29" s="204"/>
      <c r="CSA29" s="204"/>
      <c r="CSB29" s="204"/>
      <c r="CSC29" s="204"/>
      <c r="CSD29" s="204"/>
      <c r="CSE29" s="204"/>
      <c r="CSF29" s="204"/>
      <c r="CSG29" s="204"/>
      <c r="CSH29" s="204"/>
      <c r="CSI29" s="204"/>
      <c r="CSJ29" s="204"/>
      <c r="CSK29" s="204"/>
      <c r="CSL29" s="204"/>
      <c r="CSM29" s="204"/>
      <c r="CSN29" s="204"/>
      <c r="CSO29" s="204"/>
      <c r="CSP29" s="204"/>
      <c r="CSQ29" s="204"/>
      <c r="CSR29" s="204"/>
      <c r="CSS29" s="204"/>
      <c r="CST29" s="204"/>
      <c r="CSU29" s="204"/>
      <c r="CSV29" s="204"/>
      <c r="CSW29" s="204"/>
      <c r="CSX29" s="204"/>
      <c r="CSY29" s="204"/>
      <c r="CSZ29" s="204"/>
      <c r="CTA29" s="204"/>
      <c r="CTB29" s="204"/>
      <c r="CTC29" s="204"/>
      <c r="CTD29" s="204"/>
      <c r="CTE29" s="204"/>
      <c r="CTF29" s="204"/>
      <c r="CTG29" s="204"/>
      <c r="CTH29" s="204"/>
      <c r="CTI29" s="204"/>
      <c r="CTJ29" s="204"/>
      <c r="CTK29" s="204"/>
      <c r="CTL29" s="204"/>
      <c r="CTM29" s="204"/>
      <c r="CTN29" s="204"/>
      <c r="CTO29" s="204"/>
      <c r="CTP29" s="204"/>
      <c r="CTQ29" s="204"/>
      <c r="CTR29" s="204"/>
      <c r="CTS29" s="204"/>
      <c r="CTT29" s="204"/>
      <c r="CTU29" s="204"/>
      <c r="CTV29" s="204"/>
      <c r="CTW29" s="204"/>
      <c r="CTX29" s="204"/>
      <c r="CTY29" s="204"/>
      <c r="CTZ29" s="204"/>
      <c r="CUA29" s="204"/>
      <c r="CUB29" s="204"/>
      <c r="CUC29" s="204"/>
      <c r="CUD29" s="204"/>
      <c r="CUE29" s="204"/>
      <c r="CUF29" s="204"/>
      <c r="CUG29" s="204"/>
      <c r="CUH29" s="204"/>
      <c r="CUI29" s="204"/>
      <c r="CUJ29" s="204"/>
      <c r="CUK29" s="204"/>
      <c r="CUL29" s="204"/>
      <c r="CUM29" s="204"/>
      <c r="CUN29" s="204"/>
      <c r="CUO29" s="204"/>
      <c r="CUP29" s="204"/>
      <c r="CUQ29" s="204"/>
      <c r="CUR29" s="204"/>
      <c r="CUS29" s="204"/>
      <c r="CUT29" s="204"/>
      <c r="CUU29" s="204"/>
      <c r="CUV29" s="204"/>
      <c r="CUW29" s="204"/>
      <c r="CUX29" s="204"/>
      <c r="CUY29" s="204"/>
      <c r="CUZ29" s="204"/>
      <c r="CVA29" s="204"/>
      <c r="CVB29" s="204"/>
      <c r="CVC29" s="204"/>
      <c r="CVD29" s="204"/>
      <c r="CVE29" s="204"/>
      <c r="CVF29" s="204"/>
      <c r="CVG29" s="204"/>
      <c r="CVH29" s="204"/>
      <c r="CVI29" s="204"/>
      <c r="CVJ29" s="204"/>
      <c r="CVK29" s="204"/>
      <c r="CVL29" s="204"/>
      <c r="CVM29" s="204"/>
      <c r="CVN29" s="204"/>
      <c r="CVO29" s="204"/>
      <c r="CVP29" s="204"/>
      <c r="CVQ29" s="204"/>
      <c r="CVR29" s="204"/>
      <c r="CVS29" s="204"/>
      <c r="CVT29" s="204"/>
      <c r="CVU29" s="204"/>
      <c r="CVV29" s="204"/>
      <c r="CVW29" s="204"/>
      <c r="CVX29" s="204"/>
      <c r="CVY29" s="204"/>
      <c r="CVZ29" s="204"/>
      <c r="CWA29" s="204"/>
      <c r="CWB29" s="204"/>
      <c r="CWC29" s="204"/>
      <c r="CWD29" s="204"/>
      <c r="CWE29" s="204"/>
      <c r="CWF29" s="204"/>
      <c r="CWG29" s="204"/>
      <c r="CWH29" s="204"/>
      <c r="CWI29" s="204"/>
      <c r="CWJ29" s="204"/>
      <c r="CWK29" s="204"/>
      <c r="CWL29" s="204"/>
      <c r="CWM29" s="204"/>
      <c r="CWN29" s="204"/>
      <c r="CWO29" s="204"/>
      <c r="CWP29" s="204"/>
      <c r="CWQ29" s="204"/>
      <c r="CWR29" s="204"/>
      <c r="CWS29" s="204"/>
      <c r="CWT29" s="204"/>
      <c r="CWU29" s="204"/>
      <c r="CWV29" s="204"/>
      <c r="CWW29" s="204"/>
      <c r="CWX29" s="204"/>
      <c r="CWY29" s="204"/>
      <c r="CWZ29" s="204"/>
      <c r="CXA29" s="204"/>
      <c r="CXB29" s="204"/>
      <c r="CXC29" s="204"/>
      <c r="CXD29" s="204"/>
      <c r="CXE29" s="204"/>
      <c r="CXF29" s="204"/>
      <c r="CXG29" s="204"/>
      <c r="CXH29" s="204"/>
      <c r="CXI29" s="204"/>
      <c r="CXJ29" s="204"/>
      <c r="CXK29" s="204"/>
      <c r="CXL29" s="204"/>
      <c r="CXM29" s="204"/>
      <c r="CXN29" s="204"/>
      <c r="CXO29" s="204"/>
      <c r="CXP29" s="204"/>
      <c r="CXQ29" s="204"/>
      <c r="CXR29" s="204"/>
      <c r="CXS29" s="204"/>
      <c r="CXT29" s="204"/>
      <c r="CXU29" s="204"/>
      <c r="CXV29" s="204"/>
      <c r="CXW29" s="204"/>
      <c r="CXX29" s="204"/>
      <c r="CXY29" s="204"/>
      <c r="CXZ29" s="204"/>
      <c r="CYA29" s="204"/>
      <c r="CYB29" s="204"/>
      <c r="CYC29" s="204"/>
      <c r="CYD29" s="204"/>
      <c r="CYE29" s="204"/>
      <c r="CYF29" s="204"/>
      <c r="CYG29" s="204"/>
      <c r="CYH29" s="204"/>
      <c r="CYI29" s="204"/>
      <c r="CYJ29" s="204"/>
      <c r="CYK29" s="204"/>
      <c r="CYL29" s="204"/>
      <c r="CYM29" s="204"/>
      <c r="CYN29" s="204"/>
      <c r="CYO29" s="204"/>
      <c r="CYP29" s="204"/>
      <c r="CYQ29" s="204"/>
      <c r="CYR29" s="204"/>
      <c r="CYS29" s="204"/>
      <c r="CYT29" s="204"/>
      <c r="CYU29" s="204"/>
      <c r="CYV29" s="204"/>
      <c r="CYW29" s="204"/>
      <c r="CYX29" s="204"/>
      <c r="CYY29" s="204"/>
      <c r="CYZ29" s="204"/>
      <c r="CZA29" s="204"/>
      <c r="CZB29" s="204"/>
      <c r="CZC29" s="204"/>
      <c r="CZD29" s="204"/>
      <c r="CZE29" s="204"/>
      <c r="CZF29" s="204"/>
      <c r="CZG29" s="204"/>
      <c r="CZH29" s="204"/>
      <c r="CZI29" s="204"/>
      <c r="CZJ29" s="204"/>
      <c r="CZK29" s="204"/>
      <c r="CZL29" s="204"/>
      <c r="CZM29" s="204"/>
      <c r="CZN29" s="204"/>
      <c r="CZO29" s="204"/>
      <c r="CZP29" s="204"/>
      <c r="CZQ29" s="204"/>
      <c r="CZR29" s="204"/>
      <c r="CZS29" s="204"/>
      <c r="CZT29" s="204"/>
      <c r="CZU29" s="204"/>
      <c r="CZV29" s="204"/>
      <c r="CZW29" s="204"/>
      <c r="CZX29" s="204"/>
      <c r="CZY29" s="204"/>
      <c r="CZZ29" s="204"/>
      <c r="DAA29" s="204"/>
      <c r="DAB29" s="204"/>
      <c r="DAC29" s="204"/>
      <c r="DAD29" s="204"/>
      <c r="DAE29" s="204"/>
      <c r="DAF29" s="204"/>
      <c r="DAG29" s="204"/>
      <c r="DAH29" s="204"/>
      <c r="DAI29" s="204"/>
      <c r="DAJ29" s="204"/>
      <c r="DAK29" s="204"/>
      <c r="DAL29" s="204"/>
      <c r="DAM29" s="204"/>
      <c r="DAN29" s="204"/>
      <c r="DAO29" s="204"/>
      <c r="DAP29" s="204"/>
      <c r="DAQ29" s="204"/>
      <c r="DAR29" s="204"/>
      <c r="DAS29" s="204"/>
      <c r="DAT29" s="204"/>
      <c r="DAU29" s="204"/>
      <c r="DAV29" s="204"/>
      <c r="DAW29" s="204"/>
      <c r="DAX29" s="204"/>
      <c r="DAY29" s="204"/>
      <c r="DAZ29" s="204"/>
      <c r="DBA29" s="204"/>
      <c r="DBB29" s="204"/>
      <c r="DBC29" s="204"/>
      <c r="DBD29" s="204"/>
      <c r="DBE29" s="204"/>
      <c r="DBF29" s="204"/>
      <c r="DBG29" s="204"/>
      <c r="DBH29" s="204"/>
      <c r="DBI29" s="204"/>
      <c r="DBJ29" s="204"/>
      <c r="DBK29" s="204"/>
      <c r="DBL29" s="204"/>
      <c r="DBM29" s="204"/>
      <c r="DBN29" s="204"/>
      <c r="DBO29" s="204"/>
      <c r="DBP29" s="204"/>
      <c r="DBQ29" s="204"/>
      <c r="DBR29" s="204"/>
      <c r="DBS29" s="204"/>
      <c r="DBT29" s="204"/>
      <c r="DBU29" s="204"/>
      <c r="DBV29" s="204"/>
      <c r="DBW29" s="204"/>
      <c r="DBX29" s="204"/>
      <c r="DBY29" s="204"/>
      <c r="DBZ29" s="204"/>
      <c r="DCA29" s="204"/>
      <c r="DCB29" s="204"/>
      <c r="DCC29" s="204"/>
      <c r="DCD29" s="204"/>
      <c r="DCE29" s="204"/>
      <c r="DCF29" s="204"/>
      <c r="DCG29" s="204"/>
      <c r="DCH29" s="204"/>
      <c r="DCI29" s="204"/>
      <c r="DCJ29" s="204"/>
      <c r="DCK29" s="204"/>
      <c r="DCL29" s="204"/>
      <c r="DCM29" s="204"/>
      <c r="DCN29" s="204"/>
      <c r="DCO29" s="204"/>
      <c r="DCP29" s="204"/>
      <c r="DCQ29" s="204"/>
      <c r="DCR29" s="204"/>
      <c r="DCS29" s="204"/>
      <c r="DCT29" s="204"/>
      <c r="DCU29" s="204"/>
      <c r="DCV29" s="204"/>
      <c r="DCW29" s="204"/>
      <c r="DCX29" s="204"/>
      <c r="DCY29" s="204"/>
      <c r="DCZ29" s="204"/>
      <c r="DDA29" s="204"/>
      <c r="DDB29" s="204"/>
      <c r="DDC29" s="204"/>
      <c r="DDD29" s="204"/>
      <c r="DDE29" s="204"/>
      <c r="DDF29" s="204"/>
      <c r="DDG29" s="204"/>
      <c r="DDH29" s="204"/>
      <c r="DDI29" s="204"/>
      <c r="DDJ29" s="204"/>
      <c r="DDK29" s="204"/>
      <c r="DDL29" s="204"/>
      <c r="DDM29" s="204"/>
      <c r="DDN29" s="204"/>
      <c r="DDO29" s="204"/>
      <c r="DDP29" s="204"/>
      <c r="DDQ29" s="204"/>
      <c r="DDR29" s="204"/>
      <c r="DDS29" s="204"/>
      <c r="DDT29" s="204"/>
      <c r="DDU29" s="204"/>
      <c r="DDV29" s="204"/>
      <c r="DDW29" s="204"/>
      <c r="DDX29" s="204"/>
      <c r="DDY29" s="204"/>
      <c r="DDZ29" s="204"/>
      <c r="DEA29" s="204"/>
      <c r="DEB29" s="204"/>
      <c r="DEC29" s="204"/>
      <c r="DED29" s="204"/>
      <c r="DEE29" s="204"/>
      <c r="DEF29" s="204"/>
      <c r="DEG29" s="204"/>
      <c r="DEH29" s="204"/>
      <c r="DEI29" s="204"/>
      <c r="DEJ29" s="204"/>
      <c r="DEK29" s="204"/>
      <c r="DEL29" s="204"/>
      <c r="DEM29" s="204"/>
      <c r="DEN29" s="204"/>
      <c r="DEO29" s="204"/>
      <c r="DEP29" s="204"/>
      <c r="DEQ29" s="204"/>
      <c r="DER29" s="204"/>
      <c r="DES29" s="204"/>
      <c r="DET29" s="204"/>
      <c r="DEU29" s="204"/>
      <c r="DEV29" s="204"/>
      <c r="DEW29" s="204"/>
      <c r="DEX29" s="204"/>
      <c r="DEY29" s="204"/>
      <c r="DEZ29" s="204"/>
      <c r="DFA29" s="204"/>
      <c r="DFB29" s="204"/>
      <c r="DFC29" s="204"/>
      <c r="DFD29" s="204"/>
      <c r="DFE29" s="204"/>
      <c r="DFF29" s="204"/>
      <c r="DFG29" s="204"/>
      <c r="DFH29" s="204"/>
      <c r="DFI29" s="204"/>
      <c r="DFJ29" s="204"/>
      <c r="DFK29" s="204"/>
      <c r="DFL29" s="204"/>
      <c r="DFM29" s="204"/>
      <c r="DFN29" s="204"/>
      <c r="DFO29" s="204"/>
      <c r="DFP29" s="204"/>
      <c r="DFQ29" s="204"/>
      <c r="DFR29" s="204"/>
      <c r="DFS29" s="204"/>
      <c r="DFT29" s="204"/>
      <c r="DFU29" s="204"/>
      <c r="DFV29" s="204"/>
      <c r="DFW29" s="204"/>
      <c r="DFX29" s="204"/>
      <c r="DFY29" s="204"/>
      <c r="DFZ29" s="204"/>
      <c r="DGA29" s="204"/>
      <c r="DGB29" s="204"/>
      <c r="DGC29" s="204"/>
      <c r="DGD29" s="204"/>
      <c r="DGE29" s="204"/>
      <c r="DGF29" s="204"/>
      <c r="DGG29" s="204"/>
      <c r="DGH29" s="204"/>
      <c r="DGI29" s="204"/>
      <c r="DGJ29" s="204"/>
      <c r="DGK29" s="204"/>
      <c r="DGL29" s="204"/>
      <c r="DGM29" s="204"/>
      <c r="DGN29" s="204"/>
      <c r="DGO29" s="204"/>
      <c r="DGP29" s="204"/>
      <c r="DGQ29" s="204"/>
      <c r="DGR29" s="204"/>
      <c r="DGS29" s="204"/>
      <c r="DGT29" s="204"/>
      <c r="DGU29" s="204"/>
      <c r="DGV29" s="204"/>
      <c r="DGW29" s="204"/>
      <c r="DGX29" s="204"/>
      <c r="DGY29" s="204"/>
      <c r="DGZ29" s="204"/>
      <c r="DHA29" s="204"/>
      <c r="DHB29" s="204"/>
      <c r="DHC29" s="204"/>
      <c r="DHD29" s="204"/>
      <c r="DHE29" s="204"/>
      <c r="DHF29" s="204"/>
      <c r="DHG29" s="204"/>
      <c r="DHH29" s="204"/>
      <c r="DHI29" s="204"/>
      <c r="DHJ29" s="204"/>
      <c r="DHK29" s="204"/>
      <c r="DHL29" s="204"/>
      <c r="DHM29" s="204"/>
      <c r="DHN29" s="204"/>
      <c r="DHO29" s="204"/>
      <c r="DHP29" s="204"/>
      <c r="DHQ29" s="204"/>
      <c r="DHR29" s="204"/>
      <c r="DHS29" s="204"/>
      <c r="DHT29" s="204"/>
      <c r="DHU29" s="204"/>
      <c r="DHV29" s="204"/>
      <c r="DHW29" s="204"/>
      <c r="DHX29" s="204"/>
      <c r="DHY29" s="204"/>
      <c r="DHZ29" s="204"/>
      <c r="DIA29" s="204"/>
      <c r="DIB29" s="204"/>
      <c r="DIC29" s="204"/>
      <c r="DID29" s="204"/>
      <c r="DIE29" s="204"/>
      <c r="DIF29" s="204"/>
      <c r="DIG29" s="204"/>
      <c r="DIH29" s="204"/>
      <c r="DII29" s="204"/>
      <c r="DIJ29" s="204"/>
      <c r="DIK29" s="204"/>
      <c r="DIL29" s="204"/>
      <c r="DIM29" s="204"/>
      <c r="DIN29" s="204"/>
      <c r="DIO29" s="204"/>
      <c r="DIP29" s="204"/>
      <c r="DIQ29" s="204"/>
      <c r="DIR29" s="204"/>
      <c r="DIS29" s="204"/>
      <c r="DIT29" s="204"/>
      <c r="DIU29" s="204"/>
      <c r="DIV29" s="204"/>
      <c r="DIW29" s="204"/>
      <c r="DIX29" s="204"/>
      <c r="DIY29" s="204"/>
      <c r="DIZ29" s="204"/>
      <c r="DJA29" s="204"/>
      <c r="DJB29" s="204"/>
      <c r="DJC29" s="204"/>
      <c r="DJD29" s="204"/>
      <c r="DJE29" s="204"/>
      <c r="DJF29" s="204"/>
      <c r="DJG29" s="204"/>
      <c r="DJH29" s="204"/>
      <c r="DJI29" s="204"/>
      <c r="DJJ29" s="204"/>
      <c r="DJK29" s="204"/>
      <c r="DJL29" s="204"/>
      <c r="DJM29" s="204"/>
      <c r="DJN29" s="204"/>
      <c r="DJO29" s="204"/>
      <c r="DJP29" s="204"/>
      <c r="DJQ29" s="204"/>
      <c r="DJR29" s="204"/>
      <c r="DJS29" s="204"/>
      <c r="DJT29" s="204"/>
      <c r="DJU29" s="204"/>
      <c r="DJV29" s="204"/>
      <c r="DJW29" s="204"/>
      <c r="DJX29" s="204"/>
      <c r="DJY29" s="204"/>
      <c r="DJZ29" s="204"/>
      <c r="DKA29" s="204"/>
      <c r="DKB29" s="204"/>
      <c r="DKC29" s="204"/>
      <c r="DKD29" s="204"/>
      <c r="DKE29" s="204"/>
      <c r="DKF29" s="204"/>
      <c r="DKG29" s="204"/>
      <c r="DKH29" s="204"/>
      <c r="DKI29" s="204"/>
      <c r="DKJ29" s="204"/>
      <c r="DKK29" s="204"/>
      <c r="DKL29" s="204"/>
      <c r="DKM29" s="204"/>
      <c r="DKN29" s="204"/>
      <c r="DKO29" s="204"/>
      <c r="DKP29" s="204"/>
      <c r="DKQ29" s="204"/>
      <c r="DKR29" s="204"/>
      <c r="DKS29" s="204"/>
      <c r="DKT29" s="204"/>
      <c r="DKU29" s="204"/>
      <c r="DKV29" s="204"/>
      <c r="DKW29" s="204"/>
      <c r="DKX29" s="204"/>
      <c r="DKY29" s="204"/>
      <c r="DKZ29" s="204"/>
      <c r="DLA29" s="204"/>
      <c r="DLB29" s="204"/>
      <c r="DLC29" s="204"/>
      <c r="DLD29" s="204"/>
      <c r="DLE29" s="204"/>
      <c r="DLF29" s="204"/>
      <c r="DLG29" s="204"/>
      <c r="DLH29" s="204"/>
      <c r="DLI29" s="204"/>
      <c r="DLJ29" s="204"/>
      <c r="DLK29" s="204"/>
      <c r="DLL29" s="204"/>
      <c r="DLM29" s="204"/>
      <c r="DLN29" s="204"/>
      <c r="DLO29" s="204"/>
      <c r="DLP29" s="204"/>
      <c r="DLQ29" s="204"/>
      <c r="DLR29" s="204"/>
      <c r="DLS29" s="204"/>
      <c r="DLT29" s="204"/>
      <c r="DLU29" s="204"/>
      <c r="DLV29" s="204"/>
      <c r="DLW29" s="204"/>
      <c r="DLX29" s="204"/>
      <c r="DLY29" s="204"/>
      <c r="DLZ29" s="204"/>
      <c r="DMA29" s="204"/>
      <c r="DMB29" s="204"/>
      <c r="DMC29" s="204"/>
      <c r="DMD29" s="204"/>
      <c r="DME29" s="204"/>
      <c r="DMF29" s="204"/>
      <c r="DMG29" s="204"/>
      <c r="DMH29" s="204"/>
      <c r="DMI29" s="204"/>
      <c r="DMJ29" s="204"/>
      <c r="DMK29" s="204"/>
      <c r="DML29" s="204"/>
      <c r="DMM29" s="204"/>
      <c r="DMN29" s="204"/>
      <c r="DMO29" s="204"/>
      <c r="DMP29" s="204"/>
      <c r="DMQ29" s="204"/>
      <c r="DMR29" s="204"/>
      <c r="DMS29" s="204"/>
      <c r="DMT29" s="204"/>
      <c r="DMU29" s="204"/>
      <c r="DMV29" s="204"/>
      <c r="DMW29" s="204"/>
      <c r="DMX29" s="204"/>
      <c r="DMY29" s="204"/>
      <c r="DMZ29" s="204"/>
      <c r="DNA29" s="204"/>
      <c r="DNB29" s="204"/>
      <c r="DNC29" s="204"/>
      <c r="DND29" s="204"/>
      <c r="DNE29" s="204"/>
      <c r="DNF29" s="204"/>
      <c r="DNG29" s="204"/>
      <c r="DNH29" s="204"/>
      <c r="DNI29" s="204"/>
      <c r="DNJ29" s="204"/>
      <c r="DNK29" s="204"/>
      <c r="DNL29" s="204"/>
      <c r="DNM29" s="204"/>
      <c r="DNN29" s="204"/>
      <c r="DNO29" s="204"/>
      <c r="DNP29" s="204"/>
      <c r="DNQ29" s="204"/>
      <c r="DNR29" s="204"/>
      <c r="DNS29" s="204"/>
      <c r="DNT29" s="204"/>
      <c r="DNU29" s="204"/>
      <c r="DNV29" s="204"/>
      <c r="DNW29" s="204"/>
      <c r="DNX29" s="204"/>
      <c r="DNY29" s="204"/>
      <c r="DNZ29" s="204"/>
      <c r="DOA29" s="204"/>
      <c r="DOB29" s="204"/>
      <c r="DOC29" s="204"/>
      <c r="DOD29" s="204"/>
      <c r="DOE29" s="204"/>
      <c r="DOF29" s="204"/>
      <c r="DOG29" s="204"/>
      <c r="DOH29" s="204"/>
      <c r="DOI29" s="204"/>
      <c r="DOJ29" s="204"/>
      <c r="DOK29" s="204"/>
      <c r="DOL29" s="204"/>
      <c r="DOM29" s="204"/>
      <c r="DON29" s="204"/>
      <c r="DOO29" s="204"/>
      <c r="DOP29" s="204"/>
      <c r="DOQ29" s="204"/>
      <c r="DOR29" s="204"/>
      <c r="DOS29" s="204"/>
      <c r="DOT29" s="204"/>
      <c r="DOU29" s="204"/>
      <c r="DOV29" s="204"/>
      <c r="DOW29" s="204"/>
      <c r="DOX29" s="204"/>
      <c r="DOY29" s="204"/>
      <c r="DOZ29" s="204"/>
      <c r="DPA29" s="204"/>
      <c r="DPB29" s="204"/>
      <c r="DPC29" s="204"/>
      <c r="DPD29" s="204"/>
      <c r="DPE29" s="204"/>
      <c r="DPF29" s="204"/>
      <c r="DPG29" s="204"/>
      <c r="DPH29" s="204"/>
      <c r="DPI29" s="204"/>
      <c r="DPJ29" s="204"/>
      <c r="DPK29" s="204"/>
      <c r="DPL29" s="204"/>
      <c r="DPM29" s="204"/>
      <c r="DPN29" s="204"/>
      <c r="DPO29" s="204"/>
      <c r="DPP29" s="204"/>
      <c r="DPQ29" s="204"/>
      <c r="DPR29" s="204"/>
      <c r="DPS29" s="204"/>
      <c r="DPT29" s="204"/>
      <c r="DPU29" s="204"/>
      <c r="DPV29" s="204"/>
      <c r="DPW29" s="204"/>
      <c r="DPX29" s="204"/>
      <c r="DPY29" s="204"/>
      <c r="DPZ29" s="204"/>
      <c r="DQA29" s="204"/>
      <c r="DQB29" s="204"/>
      <c r="DQC29" s="204"/>
      <c r="DQD29" s="204"/>
      <c r="DQE29" s="204"/>
      <c r="DQF29" s="204"/>
      <c r="DQG29" s="204"/>
      <c r="DQH29" s="204"/>
      <c r="DQI29" s="204"/>
      <c r="DQJ29" s="204"/>
      <c r="DQK29" s="204"/>
      <c r="DQL29" s="204"/>
      <c r="DQM29" s="204"/>
      <c r="DQN29" s="204"/>
      <c r="DQO29" s="204"/>
      <c r="DQP29" s="204"/>
      <c r="DQQ29" s="204"/>
      <c r="DQR29" s="204"/>
      <c r="DQS29" s="204"/>
      <c r="DQT29" s="204"/>
      <c r="DQU29" s="204"/>
      <c r="DQV29" s="204"/>
      <c r="DQW29" s="204"/>
      <c r="DQX29" s="204"/>
      <c r="DQY29" s="204"/>
      <c r="DQZ29" s="204"/>
      <c r="DRA29" s="204"/>
      <c r="DRB29" s="204"/>
      <c r="DRC29" s="204"/>
      <c r="DRD29" s="204"/>
      <c r="DRE29" s="204"/>
      <c r="DRF29" s="204"/>
      <c r="DRG29" s="204"/>
      <c r="DRH29" s="204"/>
      <c r="DRI29" s="204"/>
      <c r="DRJ29" s="204"/>
      <c r="DRK29" s="204"/>
      <c r="DRL29" s="204"/>
      <c r="DRM29" s="204"/>
      <c r="DRN29" s="204"/>
      <c r="DRO29" s="204"/>
      <c r="DRP29" s="204"/>
      <c r="DRQ29" s="204"/>
      <c r="DRR29" s="204"/>
      <c r="DRS29" s="204"/>
      <c r="DRT29" s="204"/>
      <c r="DRU29" s="204"/>
      <c r="DRV29" s="204"/>
      <c r="DRW29" s="204"/>
      <c r="DRX29" s="204"/>
      <c r="DRY29" s="204"/>
      <c r="DRZ29" s="204"/>
      <c r="DSA29" s="204"/>
      <c r="DSB29" s="204"/>
      <c r="DSC29" s="204"/>
      <c r="DSD29" s="204"/>
      <c r="DSE29" s="204"/>
      <c r="DSF29" s="204"/>
      <c r="DSG29" s="204"/>
      <c r="DSH29" s="204"/>
      <c r="DSI29" s="204"/>
      <c r="DSJ29" s="204"/>
      <c r="DSK29" s="204"/>
      <c r="DSL29" s="204"/>
      <c r="DSM29" s="204"/>
      <c r="DSN29" s="204"/>
      <c r="DSO29" s="204"/>
      <c r="DSP29" s="204"/>
      <c r="DSQ29" s="204"/>
      <c r="DSR29" s="204"/>
      <c r="DSS29" s="204"/>
      <c r="DST29" s="204"/>
      <c r="DSU29" s="204"/>
      <c r="DSV29" s="204"/>
      <c r="DSW29" s="204"/>
      <c r="DSX29" s="204"/>
      <c r="DSY29" s="204"/>
      <c r="DSZ29" s="204"/>
      <c r="DTA29" s="204"/>
      <c r="DTB29" s="204"/>
      <c r="DTC29" s="204"/>
      <c r="DTD29" s="204"/>
      <c r="DTE29" s="204"/>
      <c r="DTF29" s="204"/>
      <c r="DTG29" s="204"/>
      <c r="DTH29" s="204"/>
      <c r="DTI29" s="204"/>
      <c r="DTJ29" s="204"/>
      <c r="DTK29" s="204"/>
      <c r="DTL29" s="204"/>
      <c r="DTM29" s="204"/>
      <c r="DTN29" s="204"/>
      <c r="DTO29" s="204"/>
      <c r="DTP29" s="204"/>
      <c r="DTQ29" s="204"/>
      <c r="DTR29" s="204"/>
      <c r="DTS29" s="204"/>
      <c r="DTT29" s="204"/>
      <c r="DTU29" s="204"/>
      <c r="DTV29" s="204"/>
      <c r="DTW29" s="204"/>
      <c r="DTX29" s="204"/>
      <c r="DTY29" s="204"/>
      <c r="DTZ29" s="204"/>
      <c r="DUA29" s="204"/>
      <c r="DUB29" s="204"/>
      <c r="DUC29" s="204"/>
      <c r="DUD29" s="204"/>
      <c r="DUE29" s="204"/>
      <c r="DUF29" s="204"/>
      <c r="DUG29" s="204"/>
      <c r="DUH29" s="204"/>
      <c r="DUI29" s="204"/>
      <c r="DUJ29" s="204"/>
      <c r="DUK29" s="204"/>
      <c r="DUL29" s="204"/>
      <c r="DUM29" s="204"/>
      <c r="DUN29" s="204"/>
      <c r="DUO29" s="204"/>
      <c r="DUP29" s="204"/>
      <c r="DUQ29" s="204"/>
      <c r="DUR29" s="204"/>
      <c r="DUS29" s="204"/>
      <c r="DUT29" s="204"/>
      <c r="DUU29" s="204"/>
      <c r="DUV29" s="204"/>
      <c r="DUW29" s="204"/>
      <c r="DUX29" s="204"/>
      <c r="DUY29" s="204"/>
      <c r="DUZ29" s="204"/>
      <c r="DVA29" s="204"/>
      <c r="DVB29" s="204"/>
      <c r="DVC29" s="204"/>
      <c r="DVD29" s="204"/>
      <c r="DVE29" s="204"/>
      <c r="DVF29" s="204"/>
      <c r="DVG29" s="204"/>
      <c r="DVH29" s="204"/>
      <c r="DVI29" s="204"/>
      <c r="DVJ29" s="204"/>
      <c r="DVK29" s="204"/>
      <c r="DVL29" s="204"/>
      <c r="DVM29" s="204"/>
      <c r="DVN29" s="204"/>
      <c r="DVO29" s="204"/>
      <c r="DVP29" s="204"/>
      <c r="DVQ29" s="204"/>
      <c r="DVR29" s="204"/>
      <c r="DVS29" s="204"/>
      <c r="DVT29" s="204"/>
      <c r="DVU29" s="204"/>
      <c r="DVV29" s="204"/>
      <c r="DVW29" s="204"/>
      <c r="DVX29" s="204"/>
      <c r="DVY29" s="204"/>
      <c r="DVZ29" s="204"/>
      <c r="DWA29" s="204"/>
      <c r="DWB29" s="204"/>
      <c r="DWC29" s="204"/>
      <c r="DWD29" s="204"/>
      <c r="DWE29" s="204"/>
      <c r="DWF29" s="204"/>
      <c r="DWG29" s="204"/>
      <c r="DWH29" s="204"/>
      <c r="DWI29" s="204"/>
      <c r="DWJ29" s="204"/>
      <c r="DWK29" s="204"/>
      <c r="DWL29" s="204"/>
      <c r="DWM29" s="204"/>
      <c r="DWN29" s="204"/>
      <c r="DWO29" s="204"/>
      <c r="DWP29" s="204"/>
      <c r="DWQ29" s="204"/>
      <c r="DWR29" s="204"/>
      <c r="DWS29" s="204"/>
      <c r="DWT29" s="204"/>
      <c r="DWU29" s="204"/>
      <c r="DWV29" s="204"/>
      <c r="DWW29" s="204"/>
      <c r="DWX29" s="204"/>
      <c r="DWY29" s="204"/>
      <c r="DWZ29" s="204"/>
      <c r="DXA29" s="204"/>
      <c r="DXB29" s="204"/>
      <c r="DXC29" s="204"/>
      <c r="DXD29" s="204"/>
      <c r="DXE29" s="204"/>
      <c r="DXF29" s="204"/>
      <c r="DXG29" s="204"/>
      <c r="DXH29" s="204"/>
      <c r="DXI29" s="204"/>
      <c r="DXJ29" s="204"/>
      <c r="DXK29" s="204"/>
      <c r="DXL29" s="204"/>
      <c r="DXM29" s="204"/>
      <c r="DXN29" s="204"/>
      <c r="DXO29" s="204"/>
      <c r="DXP29" s="204"/>
      <c r="DXQ29" s="204"/>
      <c r="DXR29" s="204"/>
      <c r="DXS29" s="204"/>
      <c r="DXT29" s="204"/>
      <c r="DXU29" s="204"/>
      <c r="DXV29" s="204"/>
      <c r="DXW29" s="204"/>
      <c r="DXX29" s="204"/>
      <c r="DXY29" s="204"/>
      <c r="DXZ29" s="204"/>
      <c r="DYA29" s="204"/>
      <c r="DYB29" s="204"/>
      <c r="DYC29" s="204"/>
      <c r="DYD29" s="204"/>
      <c r="DYE29" s="204"/>
      <c r="DYF29" s="204"/>
      <c r="DYG29" s="204"/>
      <c r="DYH29" s="204"/>
      <c r="DYI29" s="204"/>
      <c r="DYJ29" s="204"/>
      <c r="DYK29" s="204"/>
      <c r="DYL29" s="204"/>
      <c r="DYM29" s="204"/>
      <c r="DYN29" s="204"/>
      <c r="DYO29" s="204"/>
      <c r="DYP29" s="204"/>
      <c r="DYQ29" s="204"/>
      <c r="DYR29" s="204"/>
      <c r="DYS29" s="204"/>
      <c r="DYT29" s="204"/>
      <c r="DYU29" s="204"/>
      <c r="DYV29" s="204"/>
      <c r="DYW29" s="204"/>
      <c r="DYX29" s="204"/>
      <c r="DYY29" s="204"/>
      <c r="DYZ29" s="204"/>
      <c r="DZA29" s="204"/>
      <c r="DZB29" s="204"/>
      <c r="DZC29" s="204"/>
      <c r="DZD29" s="204"/>
      <c r="DZE29" s="204"/>
      <c r="DZF29" s="204"/>
      <c r="DZG29" s="204"/>
      <c r="DZH29" s="204"/>
      <c r="DZI29" s="204"/>
      <c r="DZJ29" s="204"/>
      <c r="DZK29" s="204"/>
      <c r="DZL29" s="204"/>
      <c r="DZM29" s="204"/>
      <c r="DZN29" s="204"/>
      <c r="DZO29" s="204"/>
      <c r="DZP29" s="204"/>
      <c r="DZQ29" s="204"/>
      <c r="DZR29" s="204"/>
      <c r="DZS29" s="204"/>
      <c r="DZT29" s="204"/>
      <c r="DZU29" s="204"/>
      <c r="DZV29" s="204"/>
      <c r="DZW29" s="204"/>
      <c r="DZX29" s="204"/>
      <c r="DZY29" s="204"/>
      <c r="DZZ29" s="204"/>
      <c r="EAA29" s="204"/>
      <c r="EAB29" s="204"/>
      <c r="EAC29" s="204"/>
      <c r="EAD29" s="204"/>
      <c r="EAE29" s="204"/>
      <c r="EAF29" s="204"/>
      <c r="EAG29" s="204"/>
      <c r="EAH29" s="204"/>
      <c r="EAI29" s="204"/>
      <c r="EAJ29" s="204"/>
      <c r="EAK29" s="204"/>
      <c r="EAL29" s="204"/>
      <c r="EAM29" s="204"/>
      <c r="EAN29" s="204"/>
      <c r="EAO29" s="204"/>
      <c r="EAP29" s="204"/>
      <c r="EAQ29" s="204"/>
      <c r="EAR29" s="204"/>
      <c r="EAS29" s="204"/>
      <c r="EAT29" s="204"/>
      <c r="EAU29" s="204"/>
      <c r="EAV29" s="204"/>
      <c r="EAW29" s="204"/>
      <c r="EAX29" s="204"/>
      <c r="EAY29" s="204"/>
      <c r="EAZ29" s="204"/>
      <c r="EBA29" s="204"/>
      <c r="EBB29" s="204"/>
      <c r="EBC29" s="204"/>
      <c r="EBD29" s="204"/>
      <c r="EBE29" s="204"/>
      <c r="EBF29" s="204"/>
      <c r="EBG29" s="204"/>
      <c r="EBH29" s="204"/>
      <c r="EBI29" s="204"/>
      <c r="EBJ29" s="204"/>
      <c r="EBK29" s="204"/>
      <c r="EBL29" s="204"/>
      <c r="EBM29" s="204"/>
      <c r="EBN29" s="204"/>
      <c r="EBO29" s="204"/>
      <c r="EBP29" s="204"/>
      <c r="EBQ29" s="204"/>
      <c r="EBR29" s="204"/>
      <c r="EBS29" s="204"/>
      <c r="EBT29" s="204"/>
      <c r="EBU29" s="204"/>
      <c r="EBV29" s="204"/>
      <c r="EBW29" s="204"/>
      <c r="EBX29" s="204"/>
      <c r="EBY29" s="204"/>
      <c r="EBZ29" s="204"/>
      <c r="ECA29" s="204"/>
      <c r="ECB29" s="204"/>
      <c r="ECC29" s="204"/>
      <c r="ECD29" s="204"/>
      <c r="ECE29" s="204"/>
      <c r="ECF29" s="204"/>
      <c r="ECG29" s="204"/>
      <c r="ECH29" s="204"/>
      <c r="ECI29" s="204"/>
      <c r="ECJ29" s="204"/>
      <c r="ECK29" s="204"/>
      <c r="ECL29" s="204"/>
      <c r="ECM29" s="204"/>
      <c r="ECN29" s="204"/>
      <c r="ECO29" s="204"/>
      <c r="ECP29" s="204"/>
      <c r="ECQ29" s="204"/>
      <c r="ECR29" s="204"/>
      <c r="ECS29" s="204"/>
      <c r="ECT29" s="204"/>
      <c r="ECU29" s="204"/>
      <c r="ECV29" s="204"/>
      <c r="ECW29" s="204"/>
      <c r="ECX29" s="204"/>
      <c r="ECY29" s="204"/>
      <c r="ECZ29" s="204"/>
      <c r="EDA29" s="204"/>
      <c r="EDB29" s="204"/>
      <c r="EDC29" s="204"/>
      <c r="EDD29" s="204"/>
      <c r="EDE29" s="204"/>
      <c r="EDF29" s="204"/>
      <c r="EDG29" s="204"/>
      <c r="EDH29" s="204"/>
      <c r="EDI29" s="204"/>
      <c r="EDJ29" s="204"/>
      <c r="EDK29" s="204"/>
      <c r="EDL29" s="204"/>
      <c r="EDM29" s="204"/>
      <c r="EDN29" s="204"/>
      <c r="EDO29" s="204"/>
      <c r="EDP29" s="204"/>
      <c r="EDQ29" s="204"/>
      <c r="EDR29" s="204"/>
      <c r="EDS29" s="204"/>
      <c r="EDT29" s="204"/>
      <c r="EDU29" s="204"/>
      <c r="EDV29" s="204"/>
      <c r="EDW29" s="204"/>
      <c r="EDX29" s="204"/>
      <c r="EDY29" s="204"/>
      <c r="EDZ29" s="204"/>
      <c r="EEA29" s="204"/>
      <c r="EEB29" s="204"/>
      <c r="EEC29" s="204"/>
      <c r="EED29" s="204"/>
      <c r="EEE29" s="204"/>
      <c r="EEF29" s="204"/>
      <c r="EEG29" s="204"/>
      <c r="EEH29" s="204"/>
      <c r="EEI29" s="204"/>
      <c r="EEJ29" s="204"/>
      <c r="EEK29" s="204"/>
      <c r="EEL29" s="204"/>
      <c r="EEM29" s="204"/>
      <c r="EEN29" s="204"/>
      <c r="EEO29" s="204"/>
      <c r="EEP29" s="204"/>
      <c r="EEQ29" s="204"/>
      <c r="EER29" s="204"/>
      <c r="EES29" s="204"/>
      <c r="EET29" s="204"/>
      <c r="EEU29" s="204"/>
      <c r="EEV29" s="204"/>
      <c r="EEW29" s="204"/>
      <c r="EEX29" s="204"/>
      <c r="EEY29" s="204"/>
      <c r="EEZ29" s="204"/>
      <c r="EFA29" s="204"/>
      <c r="EFB29" s="204"/>
      <c r="EFC29" s="204"/>
      <c r="EFD29" s="204"/>
      <c r="EFE29" s="204"/>
      <c r="EFF29" s="204"/>
      <c r="EFG29" s="204"/>
      <c r="EFH29" s="204"/>
      <c r="EFI29" s="204"/>
      <c r="EFJ29" s="204"/>
      <c r="EFK29" s="204"/>
      <c r="EFL29" s="204"/>
      <c r="EFM29" s="204"/>
      <c r="EFN29" s="204"/>
      <c r="EFO29" s="204"/>
      <c r="EFP29" s="204"/>
      <c r="EFQ29" s="204"/>
      <c r="EFR29" s="204"/>
      <c r="EFS29" s="204"/>
      <c r="EFT29" s="204"/>
      <c r="EFU29" s="204"/>
      <c r="EFV29" s="204"/>
      <c r="EFW29" s="204"/>
      <c r="EFX29" s="204"/>
      <c r="EFY29" s="204"/>
      <c r="EFZ29" s="204"/>
      <c r="EGA29" s="204"/>
      <c r="EGB29" s="204"/>
      <c r="EGC29" s="204"/>
      <c r="EGD29" s="204"/>
      <c r="EGE29" s="204"/>
      <c r="EGF29" s="204"/>
      <c r="EGG29" s="204"/>
      <c r="EGH29" s="204"/>
      <c r="EGI29" s="204"/>
      <c r="EGJ29" s="204"/>
      <c r="EGK29" s="204"/>
      <c r="EGL29" s="204"/>
      <c r="EGM29" s="204"/>
      <c r="EGN29" s="204"/>
      <c r="EGO29" s="204"/>
      <c r="EGP29" s="204"/>
      <c r="EGQ29" s="204"/>
      <c r="EGR29" s="204"/>
      <c r="EGS29" s="204"/>
      <c r="EGT29" s="204"/>
      <c r="EGU29" s="204"/>
      <c r="EGV29" s="204"/>
      <c r="EGW29" s="204"/>
      <c r="EGX29" s="204"/>
      <c r="EGY29" s="204"/>
      <c r="EGZ29" s="204"/>
      <c r="EHA29" s="204"/>
      <c r="EHB29" s="204"/>
      <c r="EHC29" s="204"/>
      <c r="EHD29" s="204"/>
      <c r="EHE29" s="204"/>
      <c r="EHF29" s="204"/>
      <c r="EHG29" s="204"/>
      <c r="EHH29" s="204"/>
      <c r="EHI29" s="204"/>
      <c r="EHJ29" s="204"/>
      <c r="EHK29" s="204"/>
      <c r="EHL29" s="204"/>
      <c r="EHM29" s="204"/>
      <c r="EHN29" s="204"/>
      <c r="EHO29" s="204"/>
      <c r="EHP29" s="204"/>
      <c r="EHQ29" s="204"/>
      <c r="EHR29" s="204"/>
      <c r="EHS29" s="204"/>
      <c r="EHT29" s="204"/>
      <c r="EHU29" s="204"/>
      <c r="EHV29" s="204"/>
      <c r="EHW29" s="204"/>
      <c r="EHX29" s="204"/>
      <c r="EHY29" s="204"/>
      <c r="EHZ29" s="204"/>
      <c r="EIA29" s="204"/>
      <c r="EIB29" s="204"/>
      <c r="EIC29" s="204"/>
      <c r="EID29" s="204"/>
      <c r="EIE29" s="204"/>
      <c r="EIF29" s="204"/>
      <c r="EIG29" s="204"/>
      <c r="EIH29" s="204"/>
      <c r="EII29" s="204"/>
      <c r="EIJ29" s="204"/>
      <c r="EIK29" s="204"/>
      <c r="EIL29" s="204"/>
      <c r="EIM29" s="204"/>
      <c r="EIN29" s="204"/>
      <c r="EIO29" s="204"/>
      <c r="EIP29" s="204"/>
      <c r="EIQ29" s="204"/>
      <c r="EIR29" s="204"/>
      <c r="EIS29" s="204"/>
      <c r="EIT29" s="204"/>
      <c r="EIU29" s="204"/>
      <c r="EIV29" s="204"/>
      <c r="EIW29" s="204"/>
      <c r="EIX29" s="204"/>
      <c r="EIY29" s="204"/>
      <c r="EIZ29" s="204"/>
      <c r="EJA29" s="204"/>
      <c r="EJB29" s="204"/>
      <c r="EJC29" s="204"/>
      <c r="EJD29" s="204"/>
      <c r="EJE29" s="204"/>
      <c r="EJF29" s="204"/>
      <c r="EJG29" s="204"/>
      <c r="EJH29" s="204"/>
      <c r="EJI29" s="204"/>
      <c r="EJJ29" s="204"/>
      <c r="EJK29" s="204"/>
      <c r="EJL29" s="204"/>
      <c r="EJM29" s="204"/>
      <c r="EJN29" s="204"/>
      <c r="EJO29" s="204"/>
      <c r="EJP29" s="204"/>
      <c r="EJQ29" s="204"/>
      <c r="EJR29" s="204"/>
      <c r="EJS29" s="204"/>
      <c r="EJT29" s="204"/>
      <c r="EJU29" s="204"/>
      <c r="EJV29" s="204"/>
      <c r="EJW29" s="204"/>
      <c r="EJX29" s="204"/>
      <c r="EJY29" s="204"/>
      <c r="EJZ29" s="204"/>
      <c r="EKA29" s="204"/>
      <c r="EKB29" s="204"/>
      <c r="EKC29" s="204"/>
      <c r="EKD29" s="204"/>
      <c r="EKE29" s="204"/>
      <c r="EKF29" s="204"/>
      <c r="EKG29" s="204"/>
      <c r="EKH29" s="204"/>
      <c r="EKI29" s="204"/>
      <c r="EKJ29" s="204"/>
      <c r="EKK29" s="204"/>
      <c r="EKL29" s="204"/>
      <c r="EKM29" s="204"/>
      <c r="EKN29" s="204"/>
      <c r="EKO29" s="204"/>
      <c r="EKP29" s="204"/>
      <c r="EKQ29" s="204"/>
      <c r="EKR29" s="204"/>
      <c r="EKS29" s="204"/>
      <c r="EKT29" s="204"/>
      <c r="EKU29" s="204"/>
      <c r="EKV29" s="204"/>
      <c r="EKW29" s="204"/>
      <c r="EKX29" s="204"/>
      <c r="EKY29" s="204"/>
      <c r="EKZ29" s="204"/>
      <c r="ELA29" s="204"/>
      <c r="ELB29" s="204"/>
      <c r="ELC29" s="204"/>
      <c r="ELD29" s="204"/>
      <c r="ELE29" s="204"/>
      <c r="ELF29" s="204"/>
      <c r="ELG29" s="204"/>
      <c r="ELH29" s="204"/>
      <c r="ELI29" s="204"/>
      <c r="ELJ29" s="204"/>
      <c r="ELK29" s="204"/>
      <c r="ELL29" s="204"/>
      <c r="ELM29" s="204"/>
      <c r="ELN29" s="204"/>
      <c r="ELO29" s="204"/>
      <c r="ELP29" s="204"/>
      <c r="ELQ29" s="204"/>
      <c r="ELR29" s="204"/>
      <c r="ELS29" s="204"/>
      <c r="ELT29" s="204"/>
      <c r="ELU29" s="204"/>
      <c r="ELV29" s="204"/>
      <c r="ELW29" s="204"/>
      <c r="ELX29" s="204"/>
      <c r="ELY29" s="204"/>
      <c r="ELZ29" s="204"/>
      <c r="EMA29" s="204"/>
      <c r="EMB29" s="204"/>
      <c r="EMC29" s="204"/>
      <c r="EMD29" s="204"/>
      <c r="EME29" s="204"/>
      <c r="EMF29" s="204"/>
      <c r="EMG29" s="204"/>
      <c r="EMH29" s="204"/>
      <c r="EMI29" s="204"/>
      <c r="EMJ29" s="204"/>
      <c r="EMK29" s="204"/>
      <c r="EML29" s="204"/>
      <c r="EMM29" s="204"/>
      <c r="EMN29" s="204"/>
      <c r="EMO29" s="204"/>
      <c r="EMP29" s="204"/>
      <c r="EMQ29" s="204"/>
      <c r="EMR29" s="204"/>
      <c r="EMS29" s="204"/>
      <c r="EMT29" s="204"/>
      <c r="EMU29" s="204"/>
      <c r="EMV29" s="204"/>
      <c r="EMW29" s="204"/>
      <c r="EMX29" s="204"/>
      <c r="EMY29" s="204"/>
      <c r="EMZ29" s="204"/>
      <c r="ENA29" s="204"/>
      <c r="ENB29" s="204"/>
      <c r="ENC29" s="204"/>
      <c r="END29" s="204"/>
      <c r="ENE29" s="204"/>
      <c r="ENF29" s="204"/>
      <c r="ENG29" s="204"/>
      <c r="ENH29" s="204"/>
      <c r="ENI29" s="204"/>
      <c r="ENJ29" s="204"/>
      <c r="ENK29" s="204"/>
      <c r="ENL29" s="204"/>
      <c r="ENM29" s="204"/>
      <c r="ENN29" s="204"/>
      <c r="ENO29" s="204"/>
      <c r="ENP29" s="204"/>
      <c r="ENQ29" s="204"/>
      <c r="ENR29" s="204"/>
      <c r="ENS29" s="204"/>
      <c r="ENT29" s="204"/>
      <c r="ENU29" s="204"/>
      <c r="ENV29" s="204"/>
      <c r="ENW29" s="204"/>
      <c r="ENX29" s="204"/>
      <c r="ENY29" s="204"/>
      <c r="ENZ29" s="204"/>
      <c r="EOA29" s="204"/>
      <c r="EOB29" s="204"/>
      <c r="EOC29" s="204"/>
      <c r="EOD29" s="204"/>
      <c r="EOE29" s="204"/>
      <c r="EOF29" s="204"/>
      <c r="EOG29" s="204"/>
      <c r="EOH29" s="204"/>
      <c r="EOI29" s="204"/>
      <c r="EOJ29" s="204"/>
      <c r="EOK29" s="204"/>
      <c r="EOL29" s="204"/>
      <c r="EOM29" s="204"/>
      <c r="EON29" s="204"/>
      <c r="EOO29" s="204"/>
      <c r="EOP29" s="204"/>
      <c r="EOQ29" s="204"/>
      <c r="EOR29" s="204"/>
      <c r="EOS29" s="204"/>
      <c r="EOT29" s="204"/>
      <c r="EOU29" s="204"/>
      <c r="EOV29" s="204"/>
      <c r="EOW29" s="204"/>
      <c r="EOX29" s="204"/>
      <c r="EOY29" s="204"/>
      <c r="EOZ29" s="204"/>
      <c r="EPA29" s="204"/>
      <c r="EPB29" s="204"/>
      <c r="EPC29" s="204"/>
      <c r="EPD29" s="204"/>
      <c r="EPE29" s="204"/>
      <c r="EPF29" s="204"/>
      <c r="EPG29" s="204"/>
      <c r="EPH29" s="204"/>
      <c r="EPI29" s="204"/>
      <c r="EPJ29" s="204"/>
      <c r="EPK29" s="204"/>
      <c r="EPL29" s="204"/>
      <c r="EPM29" s="204"/>
      <c r="EPN29" s="204"/>
      <c r="EPO29" s="204"/>
      <c r="EPP29" s="204"/>
      <c r="EPQ29" s="204"/>
      <c r="EPR29" s="204"/>
      <c r="EPS29" s="204"/>
      <c r="EPT29" s="204"/>
      <c r="EPU29" s="204"/>
      <c r="EPV29" s="204"/>
      <c r="EPW29" s="204"/>
      <c r="EPX29" s="204"/>
      <c r="EPY29" s="204"/>
      <c r="EPZ29" s="204"/>
      <c r="EQA29" s="204"/>
      <c r="EQB29" s="204"/>
      <c r="EQC29" s="204"/>
      <c r="EQD29" s="204"/>
      <c r="EQE29" s="204"/>
      <c r="EQF29" s="204"/>
      <c r="EQG29" s="204"/>
      <c r="EQH29" s="204"/>
      <c r="EQI29" s="204"/>
      <c r="EQJ29" s="204"/>
      <c r="EQK29" s="204"/>
      <c r="EQL29" s="204"/>
      <c r="EQM29" s="204"/>
      <c r="EQN29" s="204"/>
      <c r="EQO29" s="204"/>
      <c r="EQP29" s="204"/>
      <c r="EQQ29" s="204"/>
      <c r="EQR29" s="204"/>
      <c r="EQS29" s="204"/>
      <c r="EQT29" s="204"/>
      <c r="EQU29" s="204"/>
      <c r="EQV29" s="204"/>
      <c r="EQW29" s="204"/>
      <c r="EQX29" s="204"/>
      <c r="EQY29" s="204"/>
      <c r="EQZ29" s="204"/>
      <c r="ERA29" s="204"/>
      <c r="ERB29" s="204"/>
      <c r="ERC29" s="204"/>
      <c r="ERD29" s="204"/>
      <c r="ERE29" s="204"/>
      <c r="ERF29" s="204"/>
      <c r="ERG29" s="204"/>
      <c r="ERH29" s="204"/>
      <c r="ERI29" s="204"/>
      <c r="ERJ29" s="204"/>
      <c r="ERK29" s="204"/>
      <c r="ERL29" s="204"/>
      <c r="ERM29" s="204"/>
      <c r="ERN29" s="204"/>
      <c r="ERO29" s="204"/>
      <c r="ERP29" s="204"/>
      <c r="ERQ29" s="204"/>
      <c r="ERR29" s="204"/>
      <c r="ERS29" s="204"/>
      <c r="ERT29" s="204"/>
      <c r="ERU29" s="204"/>
      <c r="ERV29" s="204"/>
      <c r="ERW29" s="204"/>
      <c r="ERX29" s="204"/>
      <c r="ERY29" s="204"/>
      <c r="ERZ29" s="204"/>
      <c r="ESA29" s="204"/>
      <c r="ESB29" s="204"/>
      <c r="ESC29" s="204"/>
      <c r="ESD29" s="204"/>
      <c r="ESE29" s="204"/>
      <c r="ESF29" s="204"/>
      <c r="ESG29" s="204"/>
      <c r="ESH29" s="204"/>
      <c r="ESI29" s="204"/>
      <c r="ESJ29" s="204"/>
      <c r="ESK29" s="204"/>
      <c r="ESL29" s="204"/>
      <c r="ESM29" s="204"/>
      <c r="ESN29" s="204"/>
      <c r="ESO29" s="204"/>
      <c r="ESP29" s="204"/>
      <c r="ESQ29" s="204"/>
      <c r="ESR29" s="204"/>
      <c r="ESS29" s="204"/>
      <c r="EST29" s="204"/>
      <c r="ESU29" s="204"/>
      <c r="ESV29" s="204"/>
      <c r="ESW29" s="204"/>
      <c r="ESX29" s="204"/>
      <c r="ESY29" s="204"/>
      <c r="ESZ29" s="204"/>
      <c r="ETA29" s="204"/>
      <c r="ETB29" s="204"/>
      <c r="ETC29" s="204"/>
      <c r="ETD29" s="204"/>
      <c r="ETE29" s="204"/>
      <c r="ETF29" s="204"/>
      <c r="ETG29" s="204"/>
      <c r="ETH29" s="204"/>
      <c r="ETI29" s="204"/>
      <c r="ETJ29" s="204"/>
      <c r="ETK29" s="204"/>
      <c r="ETL29" s="204"/>
      <c r="ETM29" s="204"/>
      <c r="ETN29" s="204"/>
      <c r="ETO29" s="204"/>
      <c r="ETP29" s="204"/>
      <c r="ETQ29" s="204"/>
      <c r="ETR29" s="204"/>
      <c r="ETS29" s="204"/>
      <c r="ETT29" s="204"/>
      <c r="ETU29" s="204"/>
      <c r="ETV29" s="204"/>
      <c r="ETW29" s="204"/>
      <c r="ETX29" s="204"/>
      <c r="ETY29" s="204"/>
      <c r="ETZ29" s="204"/>
      <c r="EUA29" s="204"/>
      <c r="EUB29" s="204"/>
      <c r="EUC29" s="204"/>
      <c r="EUD29" s="204"/>
      <c r="EUE29" s="204"/>
      <c r="EUF29" s="204"/>
      <c r="EUG29" s="204"/>
      <c r="EUH29" s="204"/>
      <c r="EUI29" s="204"/>
      <c r="EUJ29" s="204"/>
      <c r="EUK29" s="204"/>
      <c r="EUL29" s="204"/>
      <c r="EUM29" s="204"/>
      <c r="EUN29" s="204"/>
      <c r="EUO29" s="204"/>
      <c r="EUP29" s="204"/>
      <c r="EUQ29" s="204"/>
      <c r="EUR29" s="204"/>
      <c r="EUS29" s="204"/>
      <c r="EUT29" s="204"/>
      <c r="EUU29" s="204"/>
      <c r="EUV29" s="204"/>
      <c r="EUW29" s="204"/>
      <c r="EUX29" s="204"/>
      <c r="EUY29" s="204"/>
      <c r="EUZ29" s="204"/>
      <c r="EVA29" s="204"/>
      <c r="EVB29" s="204"/>
      <c r="EVC29" s="204"/>
      <c r="EVD29" s="204"/>
      <c r="EVE29" s="204"/>
      <c r="EVF29" s="204"/>
      <c r="EVG29" s="204"/>
      <c r="EVH29" s="204"/>
      <c r="EVI29" s="204"/>
      <c r="EVJ29" s="204"/>
      <c r="EVK29" s="204"/>
      <c r="EVL29" s="204"/>
      <c r="EVM29" s="204"/>
      <c r="EVN29" s="204"/>
      <c r="EVO29" s="204"/>
      <c r="EVP29" s="204"/>
      <c r="EVQ29" s="204"/>
      <c r="EVR29" s="204"/>
      <c r="EVS29" s="204"/>
      <c r="EVT29" s="204"/>
      <c r="EVU29" s="204"/>
      <c r="EVV29" s="204"/>
      <c r="EVW29" s="204"/>
      <c r="EVX29" s="204"/>
      <c r="EVY29" s="204"/>
      <c r="EVZ29" s="204"/>
      <c r="EWA29" s="204"/>
      <c r="EWB29" s="204"/>
      <c r="EWC29" s="204"/>
      <c r="EWD29" s="204"/>
      <c r="EWE29" s="204"/>
      <c r="EWF29" s="204"/>
      <c r="EWG29" s="204"/>
      <c r="EWH29" s="204"/>
      <c r="EWI29" s="204"/>
      <c r="EWJ29" s="204"/>
      <c r="EWK29" s="204"/>
      <c r="EWL29" s="204"/>
      <c r="EWM29" s="204"/>
      <c r="EWN29" s="204"/>
      <c r="EWO29" s="204"/>
      <c r="EWP29" s="204"/>
      <c r="EWQ29" s="204"/>
      <c r="EWR29" s="204"/>
      <c r="EWS29" s="204"/>
      <c r="EWT29" s="204"/>
      <c r="EWU29" s="204"/>
      <c r="EWV29" s="204"/>
      <c r="EWW29" s="204"/>
      <c r="EWX29" s="204"/>
      <c r="EWY29" s="204"/>
      <c r="EWZ29" s="204"/>
      <c r="EXA29" s="204"/>
      <c r="EXB29" s="204"/>
      <c r="EXC29" s="204"/>
      <c r="EXD29" s="204"/>
      <c r="EXE29" s="204"/>
      <c r="EXF29" s="204"/>
      <c r="EXG29" s="204"/>
      <c r="EXH29" s="204"/>
      <c r="EXI29" s="204"/>
      <c r="EXJ29" s="204"/>
      <c r="EXK29" s="204"/>
      <c r="EXL29" s="204"/>
      <c r="EXM29" s="204"/>
      <c r="EXN29" s="204"/>
      <c r="EXO29" s="204"/>
      <c r="EXP29" s="204"/>
      <c r="EXQ29" s="204"/>
      <c r="EXR29" s="204"/>
      <c r="EXS29" s="204"/>
      <c r="EXT29" s="204"/>
      <c r="EXU29" s="204"/>
      <c r="EXV29" s="204"/>
      <c r="EXW29" s="204"/>
      <c r="EXX29" s="204"/>
      <c r="EXY29" s="204"/>
      <c r="EXZ29" s="204"/>
      <c r="EYA29" s="204"/>
      <c r="EYB29" s="204"/>
      <c r="EYC29" s="204"/>
      <c r="EYD29" s="204"/>
      <c r="EYE29" s="204"/>
      <c r="EYF29" s="204"/>
      <c r="EYG29" s="204"/>
      <c r="EYH29" s="204"/>
      <c r="EYI29" s="204"/>
      <c r="EYJ29" s="204"/>
      <c r="EYK29" s="204"/>
      <c r="EYL29" s="204"/>
      <c r="EYM29" s="204"/>
      <c r="EYN29" s="204"/>
      <c r="EYO29" s="204"/>
      <c r="EYP29" s="204"/>
      <c r="EYQ29" s="204"/>
      <c r="EYR29" s="204"/>
      <c r="EYS29" s="204"/>
      <c r="EYT29" s="204"/>
      <c r="EYU29" s="204"/>
      <c r="EYV29" s="204"/>
      <c r="EYW29" s="204"/>
      <c r="EYX29" s="204"/>
      <c r="EYY29" s="204"/>
      <c r="EYZ29" s="204"/>
      <c r="EZA29" s="204"/>
      <c r="EZB29" s="204"/>
      <c r="EZC29" s="204"/>
      <c r="EZD29" s="204"/>
      <c r="EZE29" s="204"/>
      <c r="EZF29" s="204"/>
      <c r="EZG29" s="204"/>
      <c r="EZH29" s="204"/>
      <c r="EZI29" s="204"/>
      <c r="EZJ29" s="204"/>
      <c r="EZK29" s="204"/>
      <c r="EZL29" s="204"/>
      <c r="EZM29" s="204"/>
      <c r="EZN29" s="204"/>
      <c r="EZO29" s="204"/>
      <c r="EZP29" s="204"/>
      <c r="EZQ29" s="204"/>
      <c r="EZR29" s="204"/>
      <c r="EZS29" s="204"/>
      <c r="EZT29" s="204"/>
      <c r="EZU29" s="204"/>
      <c r="EZV29" s="204"/>
      <c r="EZW29" s="204"/>
      <c r="EZX29" s="204"/>
      <c r="EZY29" s="204"/>
      <c r="EZZ29" s="204"/>
      <c r="FAA29" s="204"/>
      <c r="FAB29" s="204"/>
      <c r="FAC29" s="204"/>
      <c r="FAD29" s="204"/>
      <c r="FAE29" s="204"/>
      <c r="FAF29" s="204"/>
      <c r="FAG29" s="204"/>
      <c r="FAH29" s="204"/>
      <c r="FAI29" s="204"/>
      <c r="FAJ29" s="204"/>
      <c r="FAK29" s="204"/>
      <c r="FAL29" s="204"/>
      <c r="FAM29" s="204"/>
      <c r="FAN29" s="204"/>
      <c r="FAO29" s="204"/>
      <c r="FAP29" s="204"/>
      <c r="FAQ29" s="204"/>
      <c r="FAR29" s="204"/>
      <c r="FAS29" s="204"/>
      <c r="FAT29" s="204"/>
      <c r="FAU29" s="204"/>
      <c r="FAV29" s="204"/>
      <c r="FAW29" s="204"/>
      <c r="FAX29" s="204"/>
      <c r="FAY29" s="204"/>
      <c r="FAZ29" s="204"/>
      <c r="FBA29" s="204"/>
      <c r="FBB29" s="204"/>
      <c r="FBC29" s="204"/>
      <c r="FBD29" s="204"/>
      <c r="FBE29" s="204"/>
      <c r="FBF29" s="204"/>
      <c r="FBG29" s="204"/>
      <c r="FBH29" s="204"/>
      <c r="FBI29" s="204"/>
      <c r="FBJ29" s="204"/>
      <c r="FBK29" s="204"/>
      <c r="FBL29" s="204"/>
      <c r="FBM29" s="204"/>
      <c r="FBN29" s="204"/>
      <c r="FBO29" s="204"/>
      <c r="FBP29" s="204"/>
      <c r="FBQ29" s="204"/>
      <c r="FBR29" s="204"/>
      <c r="FBS29" s="204"/>
      <c r="FBT29" s="204"/>
      <c r="FBU29" s="204"/>
      <c r="FBV29" s="204"/>
      <c r="FBW29" s="204"/>
      <c r="FBX29" s="204"/>
      <c r="FBY29" s="204"/>
      <c r="FBZ29" s="204"/>
      <c r="FCA29" s="204"/>
      <c r="FCB29" s="204"/>
      <c r="FCC29" s="204"/>
      <c r="FCD29" s="204"/>
      <c r="FCE29" s="204"/>
      <c r="FCF29" s="204"/>
      <c r="FCG29" s="204"/>
      <c r="FCH29" s="204"/>
      <c r="FCI29" s="204"/>
      <c r="FCJ29" s="204"/>
      <c r="FCK29" s="204"/>
      <c r="FCL29" s="204"/>
      <c r="FCM29" s="204"/>
      <c r="FCN29" s="204"/>
      <c r="FCO29" s="204"/>
      <c r="FCP29" s="204"/>
      <c r="FCQ29" s="204"/>
      <c r="FCR29" s="204"/>
      <c r="FCS29" s="204"/>
      <c r="FCT29" s="204"/>
      <c r="FCU29" s="204"/>
      <c r="FCV29" s="204"/>
      <c r="FCW29" s="204"/>
      <c r="FCX29" s="204"/>
      <c r="FCY29" s="204"/>
      <c r="FCZ29" s="204"/>
      <c r="FDA29" s="204"/>
      <c r="FDB29" s="204"/>
      <c r="FDC29" s="204"/>
      <c r="FDD29" s="204"/>
      <c r="FDE29" s="204"/>
      <c r="FDF29" s="204"/>
      <c r="FDG29" s="204"/>
      <c r="FDH29" s="204"/>
      <c r="FDI29" s="204"/>
      <c r="FDJ29" s="204"/>
      <c r="FDK29" s="204"/>
      <c r="FDL29" s="204"/>
      <c r="FDM29" s="204"/>
      <c r="FDN29" s="204"/>
      <c r="FDO29" s="204"/>
      <c r="FDP29" s="204"/>
      <c r="FDQ29" s="204"/>
      <c r="FDR29" s="204"/>
      <c r="FDS29" s="204"/>
      <c r="FDT29" s="204"/>
      <c r="FDU29" s="204"/>
      <c r="FDV29" s="204"/>
      <c r="FDW29" s="204"/>
      <c r="FDX29" s="204"/>
      <c r="FDY29" s="204"/>
      <c r="FDZ29" s="204"/>
      <c r="FEA29" s="204"/>
      <c r="FEB29" s="204"/>
      <c r="FEC29" s="204"/>
      <c r="FED29" s="204"/>
      <c r="FEE29" s="204"/>
      <c r="FEF29" s="204"/>
      <c r="FEG29" s="204"/>
      <c r="FEH29" s="204"/>
      <c r="FEI29" s="204"/>
      <c r="FEJ29" s="204"/>
      <c r="FEK29" s="204"/>
      <c r="FEL29" s="204"/>
      <c r="FEM29" s="204"/>
      <c r="FEN29" s="204"/>
      <c r="FEO29" s="204"/>
      <c r="FEP29" s="204"/>
      <c r="FEQ29" s="204"/>
      <c r="FER29" s="204"/>
      <c r="FES29" s="204"/>
      <c r="FET29" s="204"/>
      <c r="FEU29" s="204"/>
      <c r="FEV29" s="204"/>
      <c r="FEW29" s="204"/>
      <c r="FEX29" s="204"/>
      <c r="FEY29" s="204"/>
      <c r="FEZ29" s="204"/>
      <c r="FFA29" s="204"/>
      <c r="FFB29" s="204"/>
      <c r="FFC29" s="204"/>
      <c r="FFD29" s="204"/>
      <c r="FFE29" s="204"/>
      <c r="FFF29" s="204"/>
      <c r="FFG29" s="204"/>
      <c r="FFH29" s="204"/>
      <c r="FFI29" s="204"/>
      <c r="FFJ29" s="204"/>
      <c r="FFK29" s="204"/>
      <c r="FFL29" s="204"/>
      <c r="FFM29" s="204"/>
      <c r="FFN29" s="204"/>
      <c r="FFO29" s="204"/>
      <c r="FFP29" s="204"/>
      <c r="FFQ29" s="204"/>
      <c r="FFR29" s="204"/>
      <c r="FFS29" s="204"/>
      <c r="FFT29" s="204"/>
      <c r="FFU29" s="204"/>
      <c r="FFV29" s="204"/>
      <c r="FFW29" s="204"/>
      <c r="FFX29" s="204"/>
      <c r="FFY29" s="204"/>
      <c r="FFZ29" s="204"/>
      <c r="FGA29" s="204"/>
      <c r="FGB29" s="204"/>
      <c r="FGC29" s="204"/>
      <c r="FGD29" s="204"/>
      <c r="FGE29" s="204"/>
      <c r="FGF29" s="204"/>
      <c r="FGG29" s="204"/>
      <c r="FGH29" s="204"/>
      <c r="FGI29" s="204"/>
      <c r="FGJ29" s="204"/>
      <c r="FGK29" s="204"/>
      <c r="FGL29" s="204"/>
      <c r="FGM29" s="204"/>
      <c r="FGN29" s="204"/>
      <c r="FGO29" s="204"/>
      <c r="FGP29" s="204"/>
      <c r="FGQ29" s="204"/>
      <c r="FGR29" s="204"/>
      <c r="FGS29" s="204"/>
      <c r="FGT29" s="204"/>
      <c r="FGU29" s="204"/>
      <c r="FGV29" s="204"/>
      <c r="FGW29" s="204"/>
      <c r="FGX29" s="204"/>
      <c r="FGY29" s="204"/>
      <c r="FGZ29" s="204"/>
      <c r="FHA29" s="204"/>
      <c r="FHB29" s="204"/>
      <c r="FHC29" s="204"/>
      <c r="FHD29" s="204"/>
      <c r="FHE29" s="204"/>
      <c r="FHF29" s="204"/>
      <c r="FHG29" s="204"/>
      <c r="FHH29" s="204"/>
      <c r="FHI29" s="204"/>
      <c r="FHJ29" s="204"/>
      <c r="FHK29" s="204"/>
      <c r="FHL29" s="204"/>
      <c r="FHM29" s="204"/>
      <c r="FHN29" s="204"/>
      <c r="FHO29" s="204"/>
      <c r="FHP29" s="204"/>
      <c r="FHQ29" s="204"/>
      <c r="FHR29" s="204"/>
      <c r="FHS29" s="204"/>
      <c r="FHT29" s="204"/>
      <c r="FHU29" s="204"/>
      <c r="FHV29" s="204"/>
      <c r="FHW29" s="204"/>
      <c r="FHX29" s="204"/>
      <c r="FHY29" s="204"/>
      <c r="FHZ29" s="204"/>
      <c r="FIA29" s="204"/>
      <c r="FIB29" s="204"/>
      <c r="FIC29" s="204"/>
      <c r="FID29" s="204"/>
      <c r="FIE29" s="204"/>
      <c r="FIF29" s="204"/>
      <c r="FIG29" s="204"/>
      <c r="FIH29" s="204"/>
      <c r="FII29" s="204"/>
      <c r="FIJ29" s="204"/>
      <c r="FIK29" s="204"/>
      <c r="FIL29" s="204"/>
      <c r="FIM29" s="204"/>
      <c r="FIN29" s="204"/>
      <c r="FIO29" s="204"/>
      <c r="FIP29" s="204"/>
      <c r="FIQ29" s="204"/>
      <c r="FIR29" s="204"/>
      <c r="FIS29" s="204"/>
      <c r="FIT29" s="204"/>
      <c r="FIU29" s="204"/>
      <c r="FIV29" s="204"/>
      <c r="FIW29" s="204"/>
      <c r="FIX29" s="204"/>
      <c r="FIY29" s="204"/>
      <c r="FIZ29" s="204"/>
      <c r="FJA29" s="204"/>
      <c r="FJB29" s="204"/>
      <c r="FJC29" s="204"/>
      <c r="FJD29" s="204"/>
      <c r="FJE29" s="204"/>
      <c r="FJF29" s="204"/>
      <c r="FJG29" s="204"/>
      <c r="FJH29" s="204"/>
      <c r="FJI29" s="204"/>
      <c r="FJJ29" s="204"/>
      <c r="FJK29" s="204"/>
      <c r="FJL29" s="204"/>
      <c r="FJM29" s="204"/>
      <c r="FJN29" s="204"/>
      <c r="FJO29" s="204"/>
      <c r="FJP29" s="204"/>
      <c r="FJQ29" s="204"/>
      <c r="FJR29" s="204"/>
      <c r="FJS29" s="204"/>
      <c r="FJT29" s="204"/>
      <c r="FJU29" s="204"/>
      <c r="FJV29" s="204"/>
      <c r="FJW29" s="204"/>
      <c r="FJX29" s="204"/>
      <c r="FJY29" s="204"/>
      <c r="FJZ29" s="204"/>
      <c r="FKA29" s="204"/>
      <c r="FKB29" s="204"/>
      <c r="FKC29" s="204"/>
      <c r="FKD29" s="204"/>
      <c r="FKE29" s="204"/>
      <c r="FKF29" s="204"/>
      <c r="FKG29" s="204"/>
      <c r="FKH29" s="204"/>
      <c r="FKI29" s="204"/>
      <c r="FKJ29" s="204"/>
      <c r="FKK29" s="204"/>
      <c r="FKL29" s="204"/>
      <c r="FKM29" s="204"/>
      <c r="FKN29" s="204"/>
      <c r="FKO29" s="204"/>
      <c r="FKP29" s="204"/>
      <c r="FKQ29" s="204"/>
      <c r="FKR29" s="204"/>
      <c r="FKS29" s="204"/>
      <c r="FKT29" s="204"/>
      <c r="FKU29" s="204"/>
      <c r="FKV29" s="204"/>
      <c r="FKW29" s="204"/>
      <c r="FKX29" s="204"/>
      <c r="FKY29" s="204"/>
      <c r="FKZ29" s="204"/>
      <c r="FLA29" s="204"/>
      <c r="FLB29" s="204"/>
      <c r="FLC29" s="204"/>
      <c r="FLD29" s="204"/>
      <c r="FLE29" s="204"/>
      <c r="FLF29" s="204"/>
      <c r="FLG29" s="204"/>
      <c r="FLH29" s="204"/>
      <c r="FLI29" s="204"/>
      <c r="FLJ29" s="204"/>
      <c r="FLK29" s="204"/>
      <c r="FLL29" s="204"/>
      <c r="FLM29" s="204"/>
      <c r="FLN29" s="204"/>
      <c r="FLO29" s="204"/>
      <c r="FLP29" s="204"/>
      <c r="FLQ29" s="204"/>
      <c r="FLR29" s="204"/>
      <c r="FLS29" s="204"/>
      <c r="FLT29" s="204"/>
      <c r="FLU29" s="204"/>
      <c r="FLV29" s="204"/>
      <c r="FLW29" s="204"/>
      <c r="FLX29" s="204"/>
      <c r="FLY29" s="204"/>
      <c r="FLZ29" s="204"/>
      <c r="FMA29" s="204"/>
      <c r="FMB29" s="204"/>
      <c r="FMC29" s="204"/>
      <c r="FMD29" s="204"/>
      <c r="FME29" s="204"/>
      <c r="FMF29" s="204"/>
      <c r="FMG29" s="204"/>
      <c r="FMH29" s="204"/>
      <c r="FMI29" s="204"/>
      <c r="FMJ29" s="204"/>
      <c r="FMK29" s="204"/>
      <c r="FML29" s="204"/>
      <c r="FMM29" s="204"/>
      <c r="FMN29" s="204"/>
      <c r="FMO29" s="204"/>
      <c r="FMP29" s="204"/>
      <c r="FMQ29" s="204"/>
      <c r="FMR29" s="204"/>
      <c r="FMS29" s="204"/>
      <c r="FMT29" s="204"/>
      <c r="FMU29" s="204"/>
      <c r="FMV29" s="204"/>
      <c r="FMW29" s="204"/>
      <c r="FMX29" s="204"/>
      <c r="FMY29" s="204"/>
      <c r="FMZ29" s="204"/>
      <c r="FNA29" s="204"/>
      <c r="FNB29" s="204"/>
      <c r="FNC29" s="204"/>
      <c r="FND29" s="204"/>
      <c r="FNE29" s="204"/>
      <c r="FNF29" s="204"/>
      <c r="FNG29" s="204"/>
      <c r="FNH29" s="204"/>
      <c r="FNI29" s="204"/>
      <c r="FNJ29" s="204"/>
      <c r="FNK29" s="204"/>
      <c r="FNL29" s="204"/>
      <c r="FNM29" s="204"/>
      <c r="FNN29" s="204"/>
      <c r="FNO29" s="204"/>
      <c r="FNP29" s="204"/>
      <c r="FNQ29" s="204"/>
      <c r="FNR29" s="204"/>
      <c r="FNS29" s="204"/>
      <c r="FNT29" s="204"/>
      <c r="FNU29" s="204"/>
      <c r="FNV29" s="204"/>
      <c r="FNW29" s="204"/>
      <c r="FNX29" s="204"/>
      <c r="FNY29" s="204"/>
      <c r="FNZ29" s="204"/>
      <c r="FOA29" s="204"/>
      <c r="FOB29" s="204"/>
      <c r="FOC29" s="204"/>
      <c r="FOD29" s="204"/>
      <c r="FOE29" s="204"/>
      <c r="FOF29" s="204"/>
      <c r="FOG29" s="204"/>
      <c r="FOH29" s="204"/>
      <c r="FOI29" s="204"/>
      <c r="FOJ29" s="204"/>
      <c r="FOK29" s="204"/>
      <c r="FOL29" s="204"/>
      <c r="FOM29" s="204"/>
      <c r="FON29" s="204"/>
      <c r="FOO29" s="204"/>
      <c r="FOP29" s="204"/>
      <c r="FOQ29" s="204"/>
      <c r="FOR29" s="204"/>
      <c r="FOS29" s="204"/>
      <c r="FOT29" s="204"/>
      <c r="FOU29" s="204"/>
      <c r="FOV29" s="204"/>
      <c r="FOW29" s="204"/>
      <c r="FOX29" s="204"/>
      <c r="FOY29" s="204"/>
      <c r="FOZ29" s="204"/>
      <c r="FPA29" s="204"/>
      <c r="FPB29" s="204"/>
      <c r="FPC29" s="204"/>
      <c r="FPD29" s="204"/>
      <c r="FPE29" s="204"/>
      <c r="FPF29" s="204"/>
      <c r="FPG29" s="204"/>
      <c r="FPH29" s="204"/>
      <c r="FPI29" s="204"/>
      <c r="FPJ29" s="204"/>
      <c r="FPK29" s="204"/>
      <c r="FPL29" s="204"/>
      <c r="FPM29" s="204"/>
      <c r="FPN29" s="204"/>
      <c r="FPO29" s="204"/>
      <c r="FPP29" s="204"/>
      <c r="FPQ29" s="204"/>
      <c r="FPR29" s="204"/>
      <c r="FPS29" s="204"/>
      <c r="FPT29" s="204"/>
      <c r="FPU29" s="204"/>
      <c r="FPV29" s="204"/>
      <c r="FPW29" s="204"/>
      <c r="FPX29" s="204"/>
      <c r="FPY29" s="204"/>
      <c r="FPZ29" s="204"/>
      <c r="FQA29" s="204"/>
      <c r="FQB29" s="204"/>
      <c r="FQC29" s="204"/>
      <c r="FQD29" s="204"/>
      <c r="FQE29" s="204"/>
      <c r="FQF29" s="204"/>
      <c r="FQG29" s="204"/>
      <c r="FQH29" s="204"/>
      <c r="FQI29" s="204"/>
      <c r="FQJ29" s="204"/>
      <c r="FQK29" s="204"/>
      <c r="FQL29" s="204"/>
      <c r="FQM29" s="204"/>
      <c r="FQN29" s="204"/>
      <c r="FQO29" s="204"/>
      <c r="FQP29" s="204"/>
      <c r="FQQ29" s="204"/>
      <c r="FQR29" s="204"/>
      <c r="FQS29" s="204"/>
      <c r="FQT29" s="204"/>
      <c r="FQU29" s="204"/>
      <c r="FQV29" s="204"/>
      <c r="FQW29" s="204"/>
      <c r="FQX29" s="204"/>
      <c r="FQY29" s="204"/>
      <c r="FQZ29" s="204"/>
      <c r="FRA29" s="204"/>
      <c r="FRB29" s="204"/>
      <c r="FRC29" s="204"/>
      <c r="FRD29" s="204"/>
      <c r="FRE29" s="204"/>
      <c r="FRF29" s="204"/>
      <c r="FRG29" s="204"/>
      <c r="FRH29" s="204"/>
      <c r="FRI29" s="204"/>
      <c r="FRJ29" s="204"/>
      <c r="FRK29" s="204"/>
      <c r="FRL29" s="204"/>
      <c r="FRM29" s="204"/>
      <c r="FRN29" s="204"/>
      <c r="FRO29" s="204"/>
      <c r="FRP29" s="204"/>
      <c r="FRQ29" s="204"/>
      <c r="FRR29" s="204"/>
      <c r="FRS29" s="204"/>
      <c r="FRT29" s="204"/>
      <c r="FRU29" s="204"/>
      <c r="FRV29" s="204"/>
      <c r="FRW29" s="204"/>
      <c r="FRX29" s="204"/>
      <c r="FRY29" s="204"/>
      <c r="FRZ29" s="204"/>
      <c r="FSA29" s="204"/>
      <c r="FSB29" s="204"/>
      <c r="FSC29" s="204"/>
      <c r="FSD29" s="204"/>
      <c r="FSE29" s="204"/>
      <c r="FSF29" s="204"/>
      <c r="FSG29" s="204"/>
      <c r="FSH29" s="204"/>
      <c r="FSI29" s="204"/>
      <c r="FSJ29" s="204"/>
      <c r="FSK29" s="204"/>
      <c r="FSL29" s="204"/>
      <c r="FSM29" s="204"/>
      <c r="FSN29" s="204"/>
      <c r="FSO29" s="204"/>
      <c r="FSP29" s="204"/>
      <c r="FSQ29" s="204"/>
      <c r="FSR29" s="204"/>
      <c r="FSS29" s="204"/>
      <c r="FST29" s="204"/>
      <c r="FSU29" s="204"/>
      <c r="FSV29" s="204"/>
      <c r="FSW29" s="204"/>
      <c r="FSX29" s="204"/>
      <c r="FSY29" s="204"/>
      <c r="FSZ29" s="204"/>
      <c r="FTA29" s="204"/>
      <c r="FTB29" s="204"/>
      <c r="FTC29" s="204"/>
      <c r="FTD29" s="204"/>
      <c r="FTE29" s="204"/>
      <c r="FTF29" s="204"/>
      <c r="FTG29" s="204"/>
      <c r="FTH29" s="204"/>
      <c r="FTI29" s="204"/>
      <c r="FTJ29" s="204"/>
      <c r="FTK29" s="204"/>
      <c r="FTL29" s="204"/>
      <c r="FTM29" s="204"/>
      <c r="FTN29" s="204"/>
      <c r="FTO29" s="204"/>
      <c r="FTP29" s="204"/>
      <c r="FTQ29" s="204"/>
      <c r="FTR29" s="204"/>
      <c r="FTS29" s="204"/>
      <c r="FTT29" s="204"/>
      <c r="FTU29" s="204"/>
      <c r="FTV29" s="204"/>
      <c r="FTW29" s="204"/>
      <c r="FTX29" s="204"/>
      <c r="FTY29" s="204"/>
      <c r="FTZ29" s="204"/>
      <c r="FUA29" s="204"/>
      <c r="FUB29" s="204"/>
      <c r="FUC29" s="204"/>
      <c r="FUD29" s="204"/>
      <c r="FUE29" s="204"/>
      <c r="FUF29" s="204"/>
      <c r="FUG29" s="204"/>
      <c r="FUH29" s="204"/>
      <c r="FUI29" s="204"/>
      <c r="FUJ29" s="204"/>
      <c r="FUK29" s="204"/>
      <c r="FUL29" s="204"/>
      <c r="FUM29" s="204"/>
      <c r="FUN29" s="204"/>
      <c r="FUO29" s="204"/>
      <c r="FUP29" s="204"/>
      <c r="FUQ29" s="204"/>
      <c r="FUR29" s="204"/>
      <c r="FUS29" s="204"/>
      <c r="FUT29" s="204"/>
      <c r="FUU29" s="204"/>
      <c r="FUV29" s="204"/>
      <c r="FUW29" s="204"/>
      <c r="FUX29" s="204"/>
      <c r="FUY29" s="204"/>
      <c r="FUZ29" s="204"/>
      <c r="FVA29" s="204"/>
      <c r="FVB29" s="204"/>
      <c r="FVC29" s="204"/>
      <c r="FVD29" s="204"/>
      <c r="FVE29" s="204"/>
      <c r="FVF29" s="204"/>
      <c r="FVG29" s="204"/>
      <c r="FVH29" s="204"/>
      <c r="FVI29" s="204"/>
      <c r="FVJ29" s="204"/>
      <c r="FVK29" s="204"/>
      <c r="FVL29" s="204"/>
      <c r="FVM29" s="204"/>
      <c r="FVN29" s="204"/>
      <c r="FVO29" s="204"/>
      <c r="FVP29" s="204"/>
      <c r="FVQ29" s="204"/>
      <c r="FVR29" s="204"/>
      <c r="FVS29" s="204"/>
      <c r="FVT29" s="204"/>
      <c r="FVU29" s="204"/>
      <c r="FVV29" s="204"/>
      <c r="FVW29" s="204"/>
      <c r="FVX29" s="204"/>
      <c r="FVY29" s="204"/>
      <c r="FVZ29" s="204"/>
      <c r="FWA29" s="204"/>
      <c r="FWB29" s="204"/>
      <c r="FWC29" s="204"/>
      <c r="FWD29" s="204"/>
      <c r="FWE29" s="204"/>
      <c r="FWF29" s="204"/>
      <c r="FWG29" s="204"/>
      <c r="FWH29" s="204"/>
      <c r="FWI29" s="204"/>
      <c r="FWJ29" s="204"/>
      <c r="FWK29" s="204"/>
      <c r="FWL29" s="204"/>
      <c r="FWM29" s="204"/>
      <c r="FWN29" s="204"/>
      <c r="FWO29" s="204"/>
      <c r="FWP29" s="204"/>
      <c r="FWQ29" s="204"/>
      <c r="FWR29" s="204"/>
      <c r="FWS29" s="204"/>
      <c r="FWT29" s="204"/>
      <c r="FWU29" s="204"/>
      <c r="FWV29" s="204"/>
      <c r="FWW29" s="204"/>
      <c r="FWX29" s="204"/>
      <c r="FWY29" s="204"/>
      <c r="FWZ29" s="204"/>
      <c r="FXA29" s="204"/>
      <c r="FXB29" s="204"/>
      <c r="FXC29" s="204"/>
      <c r="FXD29" s="204"/>
      <c r="FXE29" s="204"/>
      <c r="FXF29" s="204"/>
      <c r="FXG29" s="204"/>
      <c r="FXH29" s="204"/>
      <c r="FXI29" s="204"/>
      <c r="FXJ29" s="204"/>
      <c r="FXK29" s="204"/>
      <c r="FXL29" s="204"/>
      <c r="FXM29" s="204"/>
      <c r="FXN29" s="204"/>
      <c r="FXO29" s="204"/>
      <c r="FXP29" s="204"/>
      <c r="FXQ29" s="204"/>
      <c r="FXR29" s="204"/>
      <c r="FXS29" s="204"/>
      <c r="FXT29" s="204"/>
      <c r="FXU29" s="204"/>
      <c r="FXV29" s="204"/>
      <c r="FXW29" s="204"/>
      <c r="FXX29" s="204"/>
      <c r="FXY29" s="204"/>
      <c r="FXZ29" s="204"/>
      <c r="FYA29" s="204"/>
      <c r="FYB29" s="204"/>
      <c r="FYC29" s="204"/>
      <c r="FYD29" s="204"/>
      <c r="FYE29" s="204"/>
      <c r="FYF29" s="204"/>
      <c r="FYG29" s="204"/>
      <c r="FYH29" s="204"/>
      <c r="FYI29" s="204"/>
      <c r="FYJ29" s="204"/>
      <c r="FYK29" s="204"/>
      <c r="FYL29" s="204"/>
      <c r="FYM29" s="204"/>
      <c r="FYN29" s="204"/>
      <c r="FYO29" s="204"/>
      <c r="FYP29" s="204"/>
      <c r="FYQ29" s="204"/>
      <c r="FYR29" s="204"/>
      <c r="FYS29" s="204"/>
      <c r="FYT29" s="204"/>
      <c r="FYU29" s="204"/>
      <c r="FYV29" s="204"/>
      <c r="FYW29" s="204"/>
      <c r="FYX29" s="204"/>
      <c r="FYY29" s="204"/>
      <c r="FYZ29" s="204"/>
      <c r="FZA29" s="204"/>
      <c r="FZB29" s="204"/>
      <c r="FZC29" s="204"/>
      <c r="FZD29" s="204"/>
      <c r="FZE29" s="204"/>
      <c r="FZF29" s="204"/>
      <c r="FZG29" s="204"/>
      <c r="FZH29" s="204"/>
      <c r="FZI29" s="204"/>
      <c r="FZJ29" s="204"/>
      <c r="FZK29" s="204"/>
      <c r="FZL29" s="204"/>
      <c r="FZM29" s="204"/>
      <c r="FZN29" s="204"/>
      <c r="FZO29" s="204"/>
      <c r="FZP29" s="204"/>
      <c r="FZQ29" s="204"/>
      <c r="FZR29" s="204"/>
      <c r="FZS29" s="204"/>
      <c r="FZT29" s="204"/>
      <c r="FZU29" s="204"/>
      <c r="FZV29" s="204"/>
      <c r="FZW29" s="204"/>
      <c r="FZX29" s="204"/>
      <c r="FZY29" s="204"/>
      <c r="FZZ29" s="204"/>
      <c r="GAA29" s="204"/>
      <c r="GAB29" s="204"/>
      <c r="GAC29" s="204"/>
      <c r="GAD29" s="204"/>
      <c r="GAE29" s="204"/>
      <c r="GAF29" s="204"/>
      <c r="GAG29" s="204"/>
      <c r="GAH29" s="204"/>
      <c r="GAI29" s="204"/>
      <c r="GAJ29" s="204"/>
      <c r="GAK29" s="204"/>
      <c r="GAL29" s="204"/>
      <c r="GAM29" s="204"/>
      <c r="GAN29" s="204"/>
      <c r="GAO29" s="204"/>
      <c r="GAP29" s="204"/>
      <c r="GAQ29" s="204"/>
      <c r="GAR29" s="204"/>
      <c r="GAS29" s="204"/>
      <c r="GAT29" s="204"/>
      <c r="GAU29" s="204"/>
      <c r="GAV29" s="204"/>
      <c r="GAW29" s="204"/>
      <c r="GAX29" s="204"/>
      <c r="GAY29" s="204"/>
      <c r="GAZ29" s="204"/>
      <c r="GBA29" s="204"/>
      <c r="GBB29" s="204"/>
      <c r="GBC29" s="204"/>
      <c r="GBD29" s="204"/>
      <c r="GBE29" s="204"/>
      <c r="GBF29" s="204"/>
      <c r="GBG29" s="204"/>
      <c r="GBH29" s="204"/>
      <c r="GBI29" s="204"/>
      <c r="GBJ29" s="204"/>
      <c r="GBK29" s="204"/>
      <c r="GBL29" s="204"/>
      <c r="GBM29" s="204"/>
      <c r="GBN29" s="204"/>
      <c r="GBO29" s="204"/>
      <c r="GBP29" s="204"/>
      <c r="GBQ29" s="204"/>
      <c r="GBR29" s="204"/>
      <c r="GBS29" s="204"/>
      <c r="GBT29" s="204"/>
      <c r="GBU29" s="204"/>
      <c r="GBV29" s="204"/>
      <c r="GBW29" s="204"/>
      <c r="GBX29" s="204"/>
      <c r="GBY29" s="204"/>
      <c r="GBZ29" s="204"/>
      <c r="GCA29" s="204"/>
      <c r="GCB29" s="204"/>
      <c r="GCC29" s="204"/>
      <c r="GCD29" s="204"/>
      <c r="GCE29" s="204"/>
      <c r="GCF29" s="204"/>
      <c r="GCG29" s="204"/>
      <c r="GCH29" s="204"/>
      <c r="GCI29" s="204"/>
      <c r="GCJ29" s="204"/>
      <c r="GCK29" s="204"/>
      <c r="GCL29" s="204"/>
      <c r="GCM29" s="204"/>
      <c r="GCN29" s="204"/>
      <c r="GCO29" s="204"/>
      <c r="GCP29" s="204"/>
      <c r="GCQ29" s="204"/>
      <c r="GCR29" s="204"/>
      <c r="GCS29" s="204"/>
      <c r="GCT29" s="204"/>
      <c r="GCU29" s="204"/>
      <c r="GCV29" s="204"/>
      <c r="GCW29" s="204"/>
      <c r="GCX29" s="204"/>
      <c r="GCY29" s="204"/>
      <c r="GCZ29" s="204"/>
      <c r="GDA29" s="204"/>
      <c r="GDB29" s="204"/>
      <c r="GDC29" s="204"/>
      <c r="GDD29" s="204"/>
      <c r="GDE29" s="204"/>
      <c r="GDF29" s="204"/>
      <c r="GDG29" s="204"/>
      <c r="GDH29" s="204"/>
      <c r="GDI29" s="204"/>
      <c r="GDJ29" s="204"/>
      <c r="GDK29" s="204"/>
      <c r="GDL29" s="204"/>
      <c r="GDM29" s="204"/>
      <c r="GDN29" s="204"/>
      <c r="GDO29" s="204"/>
      <c r="GDP29" s="204"/>
      <c r="GDQ29" s="204"/>
      <c r="GDR29" s="204"/>
      <c r="GDS29" s="204"/>
      <c r="GDT29" s="204"/>
      <c r="GDU29" s="204"/>
      <c r="GDV29" s="204"/>
      <c r="GDW29" s="204"/>
      <c r="GDX29" s="204"/>
      <c r="GDY29" s="204"/>
      <c r="GDZ29" s="204"/>
      <c r="GEA29" s="204"/>
      <c r="GEB29" s="204"/>
      <c r="GEC29" s="204"/>
      <c r="GED29" s="204"/>
      <c r="GEE29" s="204"/>
      <c r="GEF29" s="204"/>
      <c r="GEG29" s="204"/>
      <c r="GEH29" s="204"/>
      <c r="GEI29" s="204"/>
      <c r="GEJ29" s="204"/>
      <c r="GEK29" s="204"/>
      <c r="GEL29" s="204"/>
      <c r="GEM29" s="204"/>
      <c r="GEN29" s="204"/>
      <c r="GEO29" s="204"/>
      <c r="GEP29" s="204"/>
      <c r="GEQ29" s="204"/>
      <c r="GER29" s="204"/>
      <c r="GES29" s="204"/>
      <c r="GET29" s="204"/>
      <c r="GEU29" s="204"/>
      <c r="GEV29" s="204"/>
      <c r="GEW29" s="204"/>
      <c r="GEX29" s="204"/>
      <c r="GEY29" s="204"/>
      <c r="GEZ29" s="204"/>
      <c r="GFA29" s="204"/>
      <c r="GFB29" s="204"/>
      <c r="GFC29" s="204"/>
      <c r="GFD29" s="204"/>
      <c r="GFE29" s="204"/>
      <c r="GFF29" s="204"/>
      <c r="GFG29" s="204"/>
      <c r="GFH29" s="204"/>
      <c r="GFI29" s="204"/>
      <c r="GFJ29" s="204"/>
      <c r="GFK29" s="204"/>
      <c r="GFL29" s="204"/>
      <c r="GFM29" s="204"/>
      <c r="GFN29" s="204"/>
      <c r="GFO29" s="204"/>
      <c r="GFP29" s="204"/>
      <c r="GFQ29" s="204"/>
      <c r="GFR29" s="204"/>
      <c r="GFS29" s="204"/>
      <c r="GFT29" s="204"/>
      <c r="GFU29" s="204"/>
      <c r="GFV29" s="204"/>
      <c r="GFW29" s="204"/>
      <c r="GFX29" s="204"/>
      <c r="GFY29" s="204"/>
      <c r="GFZ29" s="204"/>
      <c r="GGA29" s="204"/>
      <c r="GGB29" s="204"/>
      <c r="GGC29" s="204"/>
      <c r="GGD29" s="204"/>
      <c r="GGE29" s="204"/>
      <c r="GGF29" s="204"/>
      <c r="GGG29" s="204"/>
      <c r="GGH29" s="204"/>
      <c r="GGI29" s="204"/>
      <c r="GGJ29" s="204"/>
      <c r="GGK29" s="204"/>
      <c r="GGL29" s="204"/>
      <c r="GGM29" s="204"/>
      <c r="GGN29" s="204"/>
      <c r="GGO29" s="204"/>
      <c r="GGP29" s="204"/>
      <c r="GGQ29" s="204"/>
      <c r="GGR29" s="204"/>
      <c r="GGS29" s="204"/>
      <c r="GGT29" s="204"/>
      <c r="GGU29" s="204"/>
      <c r="GGV29" s="204"/>
      <c r="GGW29" s="204"/>
      <c r="GGX29" s="204"/>
      <c r="GGY29" s="204"/>
      <c r="GGZ29" s="204"/>
      <c r="GHA29" s="204"/>
      <c r="GHB29" s="204"/>
      <c r="GHC29" s="204"/>
      <c r="GHD29" s="204"/>
      <c r="GHE29" s="204"/>
      <c r="GHF29" s="204"/>
      <c r="GHG29" s="204"/>
      <c r="GHH29" s="204"/>
      <c r="GHI29" s="204"/>
      <c r="GHJ29" s="204"/>
      <c r="GHK29" s="204"/>
      <c r="GHL29" s="204"/>
      <c r="GHM29" s="204"/>
      <c r="GHN29" s="204"/>
      <c r="GHO29" s="204"/>
      <c r="GHP29" s="204"/>
      <c r="GHQ29" s="204"/>
      <c r="GHR29" s="204"/>
      <c r="GHS29" s="204"/>
      <c r="GHT29" s="204"/>
      <c r="GHU29" s="204"/>
      <c r="GHV29" s="204"/>
      <c r="GHW29" s="204"/>
      <c r="GHX29" s="204"/>
      <c r="GHY29" s="204"/>
      <c r="GHZ29" s="204"/>
      <c r="GIA29" s="204"/>
      <c r="GIB29" s="204"/>
      <c r="GIC29" s="204"/>
      <c r="GID29" s="204"/>
      <c r="GIE29" s="204"/>
      <c r="GIF29" s="204"/>
      <c r="GIG29" s="204"/>
      <c r="GIH29" s="204"/>
      <c r="GII29" s="204"/>
      <c r="GIJ29" s="204"/>
      <c r="GIK29" s="204"/>
      <c r="GIL29" s="204"/>
      <c r="GIM29" s="204"/>
      <c r="GIN29" s="204"/>
      <c r="GIO29" s="204"/>
      <c r="GIP29" s="204"/>
      <c r="GIQ29" s="204"/>
      <c r="GIR29" s="204"/>
      <c r="GIS29" s="204"/>
      <c r="GIT29" s="204"/>
      <c r="GIU29" s="204"/>
      <c r="GIV29" s="204"/>
      <c r="GIW29" s="204"/>
      <c r="GIX29" s="204"/>
      <c r="GIY29" s="204"/>
      <c r="GIZ29" s="204"/>
      <c r="GJA29" s="204"/>
      <c r="GJB29" s="204"/>
      <c r="GJC29" s="204"/>
      <c r="GJD29" s="204"/>
      <c r="GJE29" s="204"/>
      <c r="GJF29" s="204"/>
      <c r="GJG29" s="204"/>
      <c r="GJH29" s="204"/>
      <c r="GJI29" s="204"/>
      <c r="GJJ29" s="204"/>
      <c r="GJK29" s="204"/>
      <c r="GJL29" s="204"/>
      <c r="GJM29" s="204"/>
      <c r="GJN29" s="204"/>
      <c r="GJO29" s="204"/>
      <c r="GJP29" s="204"/>
      <c r="GJQ29" s="204"/>
      <c r="GJR29" s="204"/>
      <c r="GJS29" s="204"/>
      <c r="GJT29" s="204"/>
      <c r="GJU29" s="204"/>
      <c r="GJV29" s="204"/>
      <c r="GJW29" s="204"/>
      <c r="GJX29" s="204"/>
      <c r="GJY29" s="204"/>
      <c r="GJZ29" s="204"/>
      <c r="GKA29" s="204"/>
      <c r="GKB29" s="204"/>
      <c r="GKC29" s="204"/>
      <c r="GKD29" s="204"/>
      <c r="GKE29" s="204"/>
      <c r="GKF29" s="204"/>
      <c r="GKG29" s="204"/>
      <c r="GKH29" s="204"/>
      <c r="GKI29" s="204"/>
      <c r="GKJ29" s="204"/>
      <c r="GKK29" s="204"/>
      <c r="GKL29" s="204"/>
      <c r="GKM29" s="204"/>
      <c r="GKN29" s="204"/>
      <c r="GKO29" s="204"/>
      <c r="GKP29" s="204"/>
      <c r="GKQ29" s="204"/>
      <c r="GKR29" s="204"/>
      <c r="GKS29" s="204"/>
      <c r="GKT29" s="204"/>
      <c r="GKU29" s="204"/>
      <c r="GKV29" s="204"/>
      <c r="GKW29" s="204"/>
      <c r="GKX29" s="204"/>
      <c r="GKY29" s="204"/>
      <c r="GKZ29" s="204"/>
      <c r="GLA29" s="204"/>
      <c r="GLB29" s="204"/>
      <c r="GLC29" s="204"/>
      <c r="GLD29" s="204"/>
      <c r="GLE29" s="204"/>
      <c r="GLF29" s="204"/>
      <c r="GLG29" s="204"/>
      <c r="GLH29" s="204"/>
      <c r="GLI29" s="204"/>
      <c r="GLJ29" s="204"/>
      <c r="GLK29" s="204"/>
      <c r="GLL29" s="204"/>
      <c r="GLM29" s="204"/>
      <c r="GLN29" s="204"/>
      <c r="GLO29" s="204"/>
      <c r="GLP29" s="204"/>
      <c r="GLQ29" s="204"/>
      <c r="GLR29" s="204"/>
      <c r="GLS29" s="204"/>
      <c r="GLT29" s="204"/>
      <c r="GLU29" s="204"/>
      <c r="GLV29" s="204"/>
      <c r="GLW29" s="204"/>
      <c r="GLX29" s="204"/>
      <c r="GLY29" s="204"/>
      <c r="GLZ29" s="204"/>
      <c r="GMA29" s="204"/>
      <c r="GMB29" s="204"/>
      <c r="GMC29" s="204"/>
      <c r="GMD29" s="204"/>
      <c r="GME29" s="204"/>
      <c r="GMF29" s="204"/>
      <c r="GMG29" s="204"/>
      <c r="GMH29" s="204"/>
      <c r="GMI29" s="204"/>
      <c r="GMJ29" s="204"/>
      <c r="GMK29" s="204"/>
      <c r="GML29" s="204"/>
      <c r="GMM29" s="204"/>
      <c r="GMN29" s="204"/>
      <c r="GMO29" s="204"/>
      <c r="GMP29" s="204"/>
      <c r="GMQ29" s="204"/>
      <c r="GMR29" s="204"/>
      <c r="GMS29" s="204"/>
      <c r="GMT29" s="204"/>
      <c r="GMU29" s="204"/>
      <c r="GMV29" s="204"/>
      <c r="GMW29" s="204"/>
      <c r="GMX29" s="204"/>
      <c r="GMY29" s="204"/>
      <c r="GMZ29" s="204"/>
      <c r="GNA29" s="204"/>
      <c r="GNB29" s="204"/>
      <c r="GNC29" s="204"/>
      <c r="GND29" s="204"/>
      <c r="GNE29" s="204"/>
      <c r="GNF29" s="204"/>
      <c r="GNG29" s="204"/>
      <c r="GNH29" s="204"/>
      <c r="GNI29" s="204"/>
      <c r="GNJ29" s="204"/>
      <c r="GNK29" s="204"/>
      <c r="GNL29" s="204"/>
      <c r="GNM29" s="204"/>
      <c r="GNN29" s="204"/>
      <c r="GNO29" s="204"/>
      <c r="GNP29" s="204"/>
      <c r="GNQ29" s="204"/>
      <c r="GNR29" s="204"/>
      <c r="GNS29" s="204"/>
      <c r="GNT29" s="204"/>
      <c r="GNU29" s="204"/>
      <c r="GNV29" s="204"/>
      <c r="GNW29" s="204"/>
      <c r="GNX29" s="204"/>
      <c r="GNY29" s="204"/>
      <c r="GNZ29" s="204"/>
      <c r="GOA29" s="204"/>
      <c r="GOB29" s="204"/>
      <c r="GOC29" s="204"/>
      <c r="GOD29" s="204"/>
      <c r="GOE29" s="204"/>
      <c r="GOF29" s="204"/>
      <c r="GOG29" s="204"/>
      <c r="GOH29" s="204"/>
      <c r="GOI29" s="204"/>
      <c r="GOJ29" s="204"/>
      <c r="GOK29" s="204"/>
      <c r="GOL29" s="204"/>
      <c r="GOM29" s="204"/>
      <c r="GON29" s="204"/>
      <c r="GOO29" s="204"/>
      <c r="GOP29" s="204"/>
      <c r="GOQ29" s="204"/>
      <c r="GOR29" s="204"/>
      <c r="GOS29" s="204"/>
      <c r="GOT29" s="204"/>
      <c r="GOU29" s="204"/>
      <c r="GOV29" s="204"/>
      <c r="GOW29" s="204"/>
      <c r="GOX29" s="204"/>
      <c r="GOY29" s="204"/>
      <c r="GOZ29" s="204"/>
      <c r="GPA29" s="204"/>
      <c r="GPB29" s="204"/>
      <c r="GPC29" s="204"/>
      <c r="GPD29" s="204"/>
      <c r="GPE29" s="204"/>
      <c r="GPF29" s="204"/>
      <c r="GPG29" s="204"/>
      <c r="GPH29" s="204"/>
      <c r="GPI29" s="204"/>
      <c r="GPJ29" s="204"/>
      <c r="GPK29" s="204"/>
      <c r="GPL29" s="204"/>
      <c r="GPM29" s="204"/>
      <c r="GPN29" s="204"/>
      <c r="GPO29" s="204"/>
      <c r="GPP29" s="204"/>
      <c r="GPQ29" s="204"/>
      <c r="GPR29" s="204"/>
      <c r="GPS29" s="204"/>
      <c r="GPT29" s="204"/>
      <c r="GPU29" s="204"/>
      <c r="GPV29" s="204"/>
      <c r="GPW29" s="204"/>
      <c r="GPX29" s="204"/>
      <c r="GPY29" s="204"/>
      <c r="GPZ29" s="204"/>
      <c r="GQA29" s="204"/>
      <c r="GQB29" s="204"/>
      <c r="GQC29" s="204"/>
      <c r="GQD29" s="204"/>
      <c r="GQE29" s="204"/>
      <c r="GQF29" s="204"/>
      <c r="GQG29" s="204"/>
      <c r="GQH29" s="204"/>
      <c r="GQI29" s="204"/>
      <c r="GQJ29" s="204"/>
      <c r="GQK29" s="204"/>
      <c r="GQL29" s="204"/>
      <c r="GQM29" s="204"/>
      <c r="GQN29" s="204"/>
      <c r="GQO29" s="204"/>
      <c r="GQP29" s="204"/>
      <c r="GQQ29" s="204"/>
      <c r="GQR29" s="204"/>
      <c r="GQS29" s="204"/>
      <c r="GQT29" s="204"/>
      <c r="GQU29" s="204"/>
      <c r="GQV29" s="204"/>
      <c r="GQW29" s="204"/>
      <c r="GQX29" s="204"/>
      <c r="GQY29" s="204"/>
      <c r="GQZ29" s="204"/>
      <c r="GRA29" s="204"/>
      <c r="GRB29" s="204"/>
      <c r="GRC29" s="204"/>
      <c r="GRD29" s="204"/>
      <c r="GRE29" s="204"/>
      <c r="GRF29" s="204"/>
      <c r="GRG29" s="204"/>
      <c r="GRH29" s="204"/>
      <c r="GRI29" s="204"/>
      <c r="GRJ29" s="204"/>
      <c r="GRK29" s="204"/>
      <c r="GRL29" s="204"/>
      <c r="GRM29" s="204"/>
      <c r="GRN29" s="204"/>
      <c r="GRO29" s="204"/>
      <c r="GRP29" s="204"/>
      <c r="GRQ29" s="204"/>
      <c r="GRR29" s="204"/>
      <c r="GRS29" s="204"/>
      <c r="GRT29" s="204"/>
      <c r="GRU29" s="204"/>
      <c r="GRV29" s="204"/>
      <c r="GRW29" s="204"/>
      <c r="GRX29" s="204"/>
      <c r="GRY29" s="204"/>
      <c r="GRZ29" s="204"/>
      <c r="GSA29" s="204"/>
      <c r="GSB29" s="204"/>
      <c r="GSC29" s="204"/>
      <c r="GSD29" s="204"/>
      <c r="GSE29" s="204"/>
      <c r="GSF29" s="204"/>
      <c r="GSG29" s="204"/>
      <c r="GSH29" s="204"/>
      <c r="GSI29" s="204"/>
      <c r="GSJ29" s="204"/>
      <c r="GSK29" s="204"/>
      <c r="GSL29" s="204"/>
      <c r="GSM29" s="204"/>
      <c r="GSN29" s="204"/>
      <c r="GSO29" s="204"/>
      <c r="GSP29" s="204"/>
      <c r="GSQ29" s="204"/>
      <c r="GSR29" s="204"/>
      <c r="GSS29" s="204"/>
      <c r="GST29" s="204"/>
      <c r="GSU29" s="204"/>
      <c r="GSV29" s="204"/>
      <c r="GSW29" s="204"/>
      <c r="GSX29" s="204"/>
      <c r="GSY29" s="204"/>
      <c r="GSZ29" s="204"/>
      <c r="GTA29" s="204"/>
      <c r="GTB29" s="204"/>
      <c r="GTC29" s="204"/>
      <c r="GTD29" s="204"/>
      <c r="GTE29" s="204"/>
      <c r="GTF29" s="204"/>
      <c r="GTG29" s="204"/>
      <c r="GTH29" s="204"/>
      <c r="GTI29" s="204"/>
      <c r="GTJ29" s="204"/>
      <c r="GTK29" s="204"/>
      <c r="GTL29" s="204"/>
      <c r="GTM29" s="204"/>
      <c r="GTN29" s="204"/>
      <c r="GTO29" s="204"/>
      <c r="GTP29" s="204"/>
      <c r="GTQ29" s="204"/>
      <c r="GTR29" s="204"/>
      <c r="GTS29" s="204"/>
      <c r="GTT29" s="204"/>
      <c r="GTU29" s="204"/>
      <c r="GTV29" s="204"/>
      <c r="GTW29" s="204"/>
      <c r="GTX29" s="204"/>
      <c r="GTY29" s="204"/>
      <c r="GTZ29" s="204"/>
      <c r="GUA29" s="204"/>
      <c r="GUB29" s="204"/>
      <c r="GUC29" s="204"/>
      <c r="GUD29" s="204"/>
      <c r="GUE29" s="204"/>
      <c r="GUF29" s="204"/>
      <c r="GUG29" s="204"/>
      <c r="GUH29" s="204"/>
      <c r="GUI29" s="204"/>
      <c r="GUJ29" s="204"/>
      <c r="GUK29" s="204"/>
      <c r="GUL29" s="204"/>
      <c r="GUM29" s="204"/>
      <c r="GUN29" s="204"/>
      <c r="GUO29" s="204"/>
      <c r="GUP29" s="204"/>
      <c r="GUQ29" s="204"/>
      <c r="GUR29" s="204"/>
      <c r="GUS29" s="204"/>
      <c r="GUT29" s="204"/>
      <c r="GUU29" s="204"/>
      <c r="GUV29" s="204"/>
      <c r="GUW29" s="204"/>
      <c r="GUX29" s="204"/>
      <c r="GUY29" s="204"/>
      <c r="GUZ29" s="204"/>
      <c r="GVA29" s="204"/>
      <c r="GVB29" s="204"/>
      <c r="GVC29" s="204"/>
      <c r="GVD29" s="204"/>
      <c r="GVE29" s="204"/>
      <c r="GVF29" s="204"/>
      <c r="GVG29" s="204"/>
      <c r="GVH29" s="204"/>
      <c r="GVI29" s="204"/>
      <c r="GVJ29" s="204"/>
      <c r="GVK29" s="204"/>
      <c r="GVL29" s="204"/>
      <c r="GVM29" s="204"/>
      <c r="GVN29" s="204"/>
      <c r="GVO29" s="204"/>
      <c r="GVP29" s="204"/>
      <c r="GVQ29" s="204"/>
      <c r="GVR29" s="204"/>
      <c r="GVS29" s="204"/>
      <c r="GVT29" s="204"/>
      <c r="GVU29" s="204"/>
      <c r="GVV29" s="204"/>
      <c r="GVW29" s="204"/>
      <c r="GVX29" s="204"/>
      <c r="GVY29" s="204"/>
      <c r="GVZ29" s="204"/>
      <c r="GWA29" s="204"/>
      <c r="GWB29" s="204"/>
      <c r="GWC29" s="204"/>
      <c r="GWD29" s="204"/>
      <c r="GWE29" s="204"/>
      <c r="GWF29" s="204"/>
      <c r="GWG29" s="204"/>
      <c r="GWH29" s="204"/>
      <c r="GWI29" s="204"/>
      <c r="GWJ29" s="204"/>
      <c r="GWK29" s="204"/>
      <c r="GWL29" s="204"/>
      <c r="GWM29" s="204"/>
      <c r="GWN29" s="204"/>
      <c r="GWO29" s="204"/>
      <c r="GWP29" s="204"/>
      <c r="GWQ29" s="204"/>
      <c r="GWR29" s="204"/>
      <c r="GWS29" s="204"/>
      <c r="GWT29" s="204"/>
      <c r="GWU29" s="204"/>
      <c r="GWV29" s="204"/>
      <c r="GWW29" s="204"/>
      <c r="GWX29" s="204"/>
      <c r="GWY29" s="204"/>
      <c r="GWZ29" s="204"/>
      <c r="GXA29" s="204"/>
      <c r="GXB29" s="204"/>
      <c r="GXC29" s="204"/>
      <c r="GXD29" s="204"/>
      <c r="GXE29" s="204"/>
      <c r="GXF29" s="204"/>
      <c r="GXG29" s="204"/>
      <c r="GXH29" s="204"/>
      <c r="GXI29" s="204"/>
      <c r="GXJ29" s="204"/>
      <c r="GXK29" s="204"/>
      <c r="GXL29" s="204"/>
      <c r="GXM29" s="204"/>
      <c r="GXN29" s="204"/>
      <c r="GXO29" s="204"/>
      <c r="GXP29" s="204"/>
      <c r="GXQ29" s="204"/>
      <c r="GXR29" s="204"/>
      <c r="GXS29" s="204"/>
      <c r="GXT29" s="204"/>
      <c r="GXU29" s="204"/>
      <c r="GXV29" s="204"/>
      <c r="GXW29" s="204"/>
      <c r="GXX29" s="204"/>
      <c r="GXY29" s="204"/>
      <c r="GXZ29" s="204"/>
      <c r="GYA29" s="204"/>
      <c r="GYB29" s="204"/>
      <c r="GYC29" s="204"/>
      <c r="GYD29" s="204"/>
      <c r="GYE29" s="204"/>
      <c r="GYF29" s="204"/>
      <c r="GYG29" s="204"/>
      <c r="GYH29" s="204"/>
      <c r="GYI29" s="204"/>
      <c r="GYJ29" s="204"/>
      <c r="GYK29" s="204"/>
      <c r="GYL29" s="204"/>
      <c r="GYM29" s="204"/>
      <c r="GYN29" s="204"/>
      <c r="GYO29" s="204"/>
      <c r="GYP29" s="204"/>
      <c r="GYQ29" s="204"/>
      <c r="GYR29" s="204"/>
      <c r="GYS29" s="204"/>
      <c r="GYT29" s="204"/>
      <c r="GYU29" s="204"/>
      <c r="GYV29" s="204"/>
      <c r="GYW29" s="204"/>
      <c r="GYX29" s="204"/>
      <c r="GYY29" s="204"/>
      <c r="GYZ29" s="204"/>
      <c r="GZA29" s="204"/>
      <c r="GZB29" s="204"/>
      <c r="GZC29" s="204"/>
      <c r="GZD29" s="204"/>
      <c r="GZE29" s="204"/>
      <c r="GZF29" s="204"/>
      <c r="GZG29" s="204"/>
      <c r="GZH29" s="204"/>
      <c r="GZI29" s="204"/>
      <c r="GZJ29" s="204"/>
      <c r="GZK29" s="204"/>
      <c r="GZL29" s="204"/>
      <c r="GZM29" s="204"/>
      <c r="GZN29" s="204"/>
      <c r="GZO29" s="204"/>
      <c r="GZP29" s="204"/>
      <c r="GZQ29" s="204"/>
      <c r="GZR29" s="204"/>
      <c r="GZS29" s="204"/>
      <c r="GZT29" s="204"/>
      <c r="GZU29" s="204"/>
      <c r="GZV29" s="204"/>
      <c r="GZW29" s="204"/>
      <c r="GZX29" s="204"/>
      <c r="GZY29" s="204"/>
      <c r="GZZ29" s="204"/>
      <c r="HAA29" s="204"/>
      <c r="HAB29" s="204"/>
      <c r="HAC29" s="204"/>
      <c r="HAD29" s="204"/>
      <c r="HAE29" s="204"/>
      <c r="HAF29" s="204"/>
      <c r="HAG29" s="204"/>
      <c r="HAH29" s="204"/>
      <c r="HAI29" s="204"/>
      <c r="HAJ29" s="204"/>
      <c r="HAK29" s="204"/>
      <c r="HAL29" s="204"/>
      <c r="HAM29" s="204"/>
      <c r="HAN29" s="204"/>
      <c r="HAO29" s="204"/>
      <c r="HAP29" s="204"/>
      <c r="HAQ29" s="204"/>
      <c r="HAR29" s="204"/>
      <c r="HAS29" s="204"/>
      <c r="HAT29" s="204"/>
      <c r="HAU29" s="204"/>
      <c r="HAV29" s="204"/>
      <c r="HAW29" s="204"/>
      <c r="HAX29" s="204"/>
      <c r="HAY29" s="204"/>
      <c r="HAZ29" s="204"/>
      <c r="HBA29" s="204"/>
      <c r="HBB29" s="204"/>
      <c r="HBC29" s="204"/>
      <c r="HBD29" s="204"/>
      <c r="HBE29" s="204"/>
      <c r="HBF29" s="204"/>
      <c r="HBG29" s="204"/>
      <c r="HBH29" s="204"/>
      <c r="HBI29" s="204"/>
      <c r="HBJ29" s="204"/>
      <c r="HBK29" s="204"/>
      <c r="HBL29" s="204"/>
      <c r="HBM29" s="204"/>
      <c r="HBN29" s="204"/>
      <c r="HBO29" s="204"/>
      <c r="HBP29" s="204"/>
      <c r="HBQ29" s="204"/>
      <c r="HBR29" s="204"/>
      <c r="HBS29" s="204"/>
      <c r="HBT29" s="204"/>
      <c r="HBU29" s="204"/>
      <c r="HBV29" s="204"/>
      <c r="HBW29" s="204"/>
      <c r="HBX29" s="204"/>
      <c r="HBY29" s="204"/>
      <c r="HBZ29" s="204"/>
      <c r="HCA29" s="204"/>
      <c r="HCB29" s="204"/>
      <c r="HCC29" s="204"/>
      <c r="HCD29" s="204"/>
      <c r="HCE29" s="204"/>
      <c r="HCF29" s="204"/>
      <c r="HCG29" s="204"/>
      <c r="HCH29" s="204"/>
      <c r="HCI29" s="204"/>
      <c r="HCJ29" s="204"/>
      <c r="HCK29" s="204"/>
      <c r="HCL29" s="204"/>
      <c r="HCM29" s="204"/>
      <c r="HCN29" s="204"/>
      <c r="HCO29" s="204"/>
      <c r="HCP29" s="204"/>
      <c r="HCQ29" s="204"/>
      <c r="HCR29" s="204"/>
      <c r="HCS29" s="204"/>
      <c r="HCT29" s="204"/>
      <c r="HCU29" s="204"/>
      <c r="HCV29" s="204"/>
      <c r="HCW29" s="204"/>
      <c r="HCX29" s="204"/>
      <c r="HCY29" s="204"/>
      <c r="HCZ29" s="204"/>
      <c r="HDA29" s="204"/>
      <c r="HDB29" s="204"/>
      <c r="HDC29" s="204"/>
      <c r="HDD29" s="204"/>
      <c r="HDE29" s="204"/>
      <c r="HDF29" s="204"/>
      <c r="HDG29" s="204"/>
      <c r="HDH29" s="204"/>
      <c r="HDI29" s="204"/>
      <c r="HDJ29" s="204"/>
      <c r="HDK29" s="204"/>
      <c r="HDL29" s="204"/>
      <c r="HDM29" s="204"/>
      <c r="HDN29" s="204"/>
      <c r="HDO29" s="204"/>
      <c r="HDP29" s="204"/>
      <c r="HDQ29" s="204"/>
      <c r="HDR29" s="204"/>
      <c r="HDS29" s="204"/>
      <c r="HDT29" s="204"/>
      <c r="HDU29" s="204"/>
      <c r="HDV29" s="204"/>
      <c r="HDW29" s="204"/>
      <c r="HDX29" s="204"/>
      <c r="HDY29" s="204"/>
      <c r="HDZ29" s="204"/>
      <c r="HEA29" s="204"/>
      <c r="HEB29" s="204"/>
      <c r="HEC29" s="204"/>
      <c r="HED29" s="204"/>
      <c r="HEE29" s="204"/>
      <c r="HEF29" s="204"/>
      <c r="HEG29" s="204"/>
      <c r="HEH29" s="204"/>
      <c r="HEI29" s="204"/>
      <c r="HEJ29" s="204"/>
      <c r="HEK29" s="204"/>
      <c r="HEL29" s="204"/>
      <c r="HEM29" s="204"/>
      <c r="HEN29" s="204"/>
      <c r="HEO29" s="204"/>
      <c r="HEP29" s="204"/>
      <c r="HEQ29" s="204"/>
      <c r="HER29" s="204"/>
      <c r="HES29" s="204"/>
      <c r="HET29" s="204"/>
      <c r="HEU29" s="204"/>
      <c r="HEV29" s="204"/>
      <c r="HEW29" s="204"/>
      <c r="HEX29" s="204"/>
      <c r="HEY29" s="204"/>
      <c r="HEZ29" s="204"/>
      <c r="HFA29" s="204"/>
      <c r="HFB29" s="204"/>
      <c r="HFC29" s="204"/>
      <c r="HFD29" s="204"/>
      <c r="HFE29" s="204"/>
      <c r="HFF29" s="204"/>
      <c r="HFG29" s="204"/>
      <c r="HFH29" s="204"/>
      <c r="HFI29" s="204"/>
      <c r="HFJ29" s="204"/>
      <c r="HFK29" s="204"/>
      <c r="HFL29" s="204"/>
      <c r="HFM29" s="204"/>
      <c r="HFN29" s="204"/>
      <c r="HFO29" s="204"/>
      <c r="HFP29" s="204"/>
      <c r="HFQ29" s="204"/>
      <c r="HFR29" s="204"/>
      <c r="HFS29" s="204"/>
      <c r="HFT29" s="204"/>
      <c r="HFU29" s="204"/>
      <c r="HFV29" s="204"/>
      <c r="HFW29" s="204"/>
      <c r="HFX29" s="204"/>
      <c r="HFY29" s="204"/>
      <c r="HFZ29" s="204"/>
      <c r="HGA29" s="204"/>
      <c r="HGB29" s="204"/>
      <c r="HGC29" s="204"/>
      <c r="HGD29" s="204"/>
      <c r="HGE29" s="204"/>
      <c r="HGF29" s="204"/>
      <c r="HGG29" s="204"/>
      <c r="HGH29" s="204"/>
      <c r="HGI29" s="204"/>
      <c r="HGJ29" s="204"/>
      <c r="HGK29" s="204"/>
      <c r="HGL29" s="204"/>
      <c r="HGM29" s="204"/>
      <c r="HGN29" s="204"/>
      <c r="HGO29" s="204"/>
      <c r="HGP29" s="204"/>
      <c r="HGQ29" s="204"/>
      <c r="HGR29" s="204"/>
      <c r="HGS29" s="204"/>
      <c r="HGT29" s="204"/>
      <c r="HGU29" s="204"/>
      <c r="HGV29" s="204"/>
      <c r="HGW29" s="204"/>
      <c r="HGX29" s="204"/>
      <c r="HGY29" s="204"/>
      <c r="HGZ29" s="204"/>
      <c r="HHA29" s="204"/>
      <c r="HHB29" s="204"/>
      <c r="HHC29" s="204"/>
      <c r="HHD29" s="204"/>
      <c r="HHE29" s="204"/>
      <c r="HHF29" s="204"/>
      <c r="HHG29" s="204"/>
      <c r="HHH29" s="204"/>
      <c r="HHI29" s="204"/>
      <c r="HHJ29" s="204"/>
      <c r="HHK29" s="204"/>
      <c r="HHL29" s="204"/>
      <c r="HHM29" s="204"/>
      <c r="HHN29" s="204"/>
      <c r="HHO29" s="204"/>
      <c r="HHP29" s="204"/>
      <c r="HHQ29" s="204"/>
      <c r="HHR29" s="204"/>
      <c r="HHS29" s="204"/>
      <c r="HHT29" s="204"/>
      <c r="HHU29" s="204"/>
      <c r="HHV29" s="204"/>
      <c r="HHW29" s="204"/>
      <c r="HHX29" s="204"/>
      <c r="HHY29" s="204"/>
      <c r="HHZ29" s="204"/>
      <c r="HIA29" s="204"/>
      <c r="HIB29" s="204"/>
      <c r="HIC29" s="204"/>
      <c r="HID29" s="204"/>
      <c r="HIE29" s="204"/>
      <c r="HIF29" s="204"/>
      <c r="HIG29" s="204"/>
      <c r="HIH29" s="204"/>
      <c r="HII29" s="204"/>
      <c r="HIJ29" s="204"/>
      <c r="HIK29" s="204"/>
      <c r="HIL29" s="204"/>
      <c r="HIM29" s="204"/>
      <c r="HIN29" s="204"/>
      <c r="HIO29" s="204"/>
      <c r="HIP29" s="204"/>
      <c r="HIQ29" s="204"/>
      <c r="HIR29" s="204"/>
      <c r="HIS29" s="204"/>
      <c r="HIT29" s="204"/>
      <c r="HIU29" s="204"/>
      <c r="HIV29" s="204"/>
      <c r="HIW29" s="204"/>
      <c r="HIX29" s="204"/>
      <c r="HIY29" s="204"/>
      <c r="HIZ29" s="204"/>
      <c r="HJA29" s="204"/>
      <c r="HJB29" s="204"/>
      <c r="HJC29" s="204"/>
      <c r="HJD29" s="204"/>
      <c r="HJE29" s="204"/>
      <c r="HJF29" s="204"/>
      <c r="HJG29" s="204"/>
      <c r="HJH29" s="204"/>
      <c r="HJI29" s="204"/>
      <c r="HJJ29" s="204"/>
      <c r="HJK29" s="204"/>
      <c r="HJL29" s="204"/>
      <c r="HJM29" s="204"/>
      <c r="HJN29" s="204"/>
      <c r="HJO29" s="204"/>
      <c r="HJP29" s="204"/>
      <c r="HJQ29" s="204"/>
      <c r="HJR29" s="204"/>
      <c r="HJS29" s="204"/>
      <c r="HJT29" s="204"/>
      <c r="HJU29" s="204"/>
      <c r="HJV29" s="204"/>
      <c r="HJW29" s="204"/>
      <c r="HJX29" s="204"/>
      <c r="HJY29" s="204"/>
      <c r="HJZ29" s="204"/>
      <c r="HKA29" s="204"/>
      <c r="HKB29" s="204"/>
      <c r="HKC29" s="204"/>
      <c r="HKD29" s="204"/>
      <c r="HKE29" s="204"/>
      <c r="HKF29" s="204"/>
      <c r="HKG29" s="204"/>
      <c r="HKH29" s="204"/>
      <c r="HKI29" s="204"/>
      <c r="HKJ29" s="204"/>
      <c r="HKK29" s="204"/>
      <c r="HKL29" s="204"/>
      <c r="HKM29" s="204"/>
      <c r="HKN29" s="204"/>
      <c r="HKO29" s="204"/>
      <c r="HKP29" s="204"/>
      <c r="HKQ29" s="204"/>
      <c r="HKR29" s="204"/>
      <c r="HKS29" s="204"/>
      <c r="HKT29" s="204"/>
      <c r="HKU29" s="204"/>
      <c r="HKV29" s="204"/>
      <c r="HKW29" s="204"/>
      <c r="HKX29" s="204"/>
      <c r="HKY29" s="204"/>
      <c r="HKZ29" s="204"/>
      <c r="HLA29" s="204"/>
      <c r="HLB29" s="204"/>
      <c r="HLC29" s="204"/>
      <c r="HLD29" s="204"/>
      <c r="HLE29" s="204"/>
      <c r="HLF29" s="204"/>
      <c r="HLG29" s="204"/>
      <c r="HLH29" s="204"/>
      <c r="HLI29" s="204"/>
      <c r="HLJ29" s="204"/>
      <c r="HLK29" s="204"/>
      <c r="HLL29" s="204"/>
      <c r="HLM29" s="204"/>
      <c r="HLN29" s="204"/>
      <c r="HLO29" s="204"/>
      <c r="HLP29" s="204"/>
      <c r="HLQ29" s="204"/>
      <c r="HLR29" s="204"/>
      <c r="HLS29" s="204"/>
      <c r="HLT29" s="204"/>
      <c r="HLU29" s="204"/>
      <c r="HLV29" s="204"/>
      <c r="HLW29" s="204"/>
      <c r="HLX29" s="204"/>
      <c r="HLY29" s="204"/>
      <c r="HLZ29" s="204"/>
      <c r="HMA29" s="204"/>
      <c r="HMB29" s="204"/>
      <c r="HMC29" s="204"/>
      <c r="HMD29" s="204"/>
      <c r="HME29" s="204"/>
      <c r="HMF29" s="204"/>
      <c r="HMG29" s="204"/>
      <c r="HMH29" s="204"/>
      <c r="HMI29" s="204"/>
      <c r="HMJ29" s="204"/>
      <c r="HMK29" s="204"/>
      <c r="HML29" s="204"/>
      <c r="HMM29" s="204"/>
      <c r="HMN29" s="204"/>
      <c r="HMO29" s="204"/>
      <c r="HMP29" s="204"/>
      <c r="HMQ29" s="204"/>
      <c r="HMR29" s="204"/>
      <c r="HMS29" s="204"/>
      <c r="HMT29" s="204"/>
      <c r="HMU29" s="204"/>
      <c r="HMV29" s="204"/>
      <c r="HMW29" s="204"/>
      <c r="HMX29" s="204"/>
      <c r="HMY29" s="204"/>
      <c r="HMZ29" s="204"/>
      <c r="HNA29" s="204"/>
      <c r="HNB29" s="204"/>
      <c r="HNC29" s="204"/>
      <c r="HND29" s="204"/>
      <c r="HNE29" s="204"/>
      <c r="HNF29" s="204"/>
      <c r="HNG29" s="204"/>
      <c r="HNH29" s="204"/>
      <c r="HNI29" s="204"/>
      <c r="HNJ29" s="204"/>
      <c r="HNK29" s="204"/>
      <c r="HNL29" s="204"/>
      <c r="HNM29" s="204"/>
      <c r="HNN29" s="204"/>
      <c r="HNO29" s="204"/>
      <c r="HNP29" s="204"/>
      <c r="HNQ29" s="204"/>
      <c r="HNR29" s="204"/>
      <c r="HNS29" s="204"/>
      <c r="HNT29" s="204"/>
      <c r="HNU29" s="204"/>
      <c r="HNV29" s="204"/>
      <c r="HNW29" s="204"/>
      <c r="HNX29" s="204"/>
      <c r="HNY29" s="204"/>
      <c r="HNZ29" s="204"/>
      <c r="HOA29" s="204"/>
      <c r="HOB29" s="204"/>
      <c r="HOC29" s="204"/>
      <c r="HOD29" s="204"/>
      <c r="HOE29" s="204"/>
      <c r="HOF29" s="204"/>
      <c r="HOG29" s="204"/>
      <c r="HOH29" s="204"/>
      <c r="HOI29" s="204"/>
      <c r="HOJ29" s="204"/>
      <c r="HOK29" s="204"/>
      <c r="HOL29" s="204"/>
      <c r="HOM29" s="204"/>
      <c r="HON29" s="204"/>
      <c r="HOO29" s="204"/>
      <c r="HOP29" s="204"/>
      <c r="HOQ29" s="204"/>
      <c r="HOR29" s="204"/>
      <c r="HOS29" s="204"/>
      <c r="HOT29" s="204"/>
      <c r="HOU29" s="204"/>
      <c r="HOV29" s="204"/>
      <c r="HOW29" s="204"/>
      <c r="HOX29" s="204"/>
      <c r="HOY29" s="204"/>
      <c r="HOZ29" s="204"/>
      <c r="HPA29" s="204"/>
      <c r="HPB29" s="204"/>
      <c r="HPC29" s="204"/>
      <c r="HPD29" s="204"/>
      <c r="HPE29" s="204"/>
      <c r="HPF29" s="204"/>
      <c r="HPG29" s="204"/>
      <c r="HPH29" s="204"/>
      <c r="HPI29" s="204"/>
      <c r="HPJ29" s="204"/>
      <c r="HPK29" s="204"/>
      <c r="HPL29" s="204"/>
      <c r="HPM29" s="204"/>
      <c r="HPN29" s="204"/>
      <c r="HPO29" s="204"/>
      <c r="HPP29" s="204"/>
      <c r="HPQ29" s="204"/>
      <c r="HPR29" s="204"/>
      <c r="HPS29" s="204"/>
      <c r="HPT29" s="204"/>
      <c r="HPU29" s="204"/>
      <c r="HPV29" s="204"/>
      <c r="HPW29" s="204"/>
      <c r="HPX29" s="204"/>
      <c r="HPY29" s="204"/>
      <c r="HPZ29" s="204"/>
      <c r="HQA29" s="204"/>
      <c r="HQB29" s="204"/>
      <c r="HQC29" s="204"/>
      <c r="HQD29" s="204"/>
      <c r="HQE29" s="204"/>
      <c r="HQF29" s="204"/>
      <c r="HQG29" s="204"/>
      <c r="HQH29" s="204"/>
      <c r="HQI29" s="204"/>
      <c r="HQJ29" s="204"/>
      <c r="HQK29" s="204"/>
      <c r="HQL29" s="204"/>
      <c r="HQM29" s="204"/>
      <c r="HQN29" s="204"/>
      <c r="HQO29" s="204"/>
      <c r="HQP29" s="204"/>
      <c r="HQQ29" s="204"/>
      <c r="HQR29" s="204"/>
      <c r="HQS29" s="204"/>
      <c r="HQT29" s="204"/>
      <c r="HQU29" s="204"/>
      <c r="HQV29" s="204"/>
      <c r="HQW29" s="204"/>
      <c r="HQX29" s="204"/>
      <c r="HQY29" s="204"/>
      <c r="HQZ29" s="204"/>
      <c r="HRA29" s="204"/>
      <c r="HRB29" s="204"/>
      <c r="HRC29" s="204"/>
      <c r="HRD29" s="204"/>
      <c r="HRE29" s="204"/>
      <c r="HRF29" s="204"/>
      <c r="HRG29" s="204"/>
      <c r="HRH29" s="204"/>
      <c r="HRI29" s="204"/>
      <c r="HRJ29" s="204"/>
      <c r="HRK29" s="204"/>
      <c r="HRL29" s="204"/>
      <c r="HRM29" s="204"/>
      <c r="HRN29" s="204"/>
      <c r="HRO29" s="204"/>
      <c r="HRP29" s="204"/>
      <c r="HRQ29" s="204"/>
      <c r="HRR29" s="204"/>
      <c r="HRS29" s="204"/>
      <c r="HRT29" s="204"/>
      <c r="HRU29" s="204"/>
      <c r="HRV29" s="204"/>
      <c r="HRW29" s="204"/>
      <c r="HRX29" s="204"/>
      <c r="HRY29" s="204"/>
      <c r="HRZ29" s="204"/>
      <c r="HSA29" s="204"/>
      <c r="HSB29" s="204"/>
      <c r="HSC29" s="204"/>
      <c r="HSD29" s="204"/>
      <c r="HSE29" s="204"/>
      <c r="HSF29" s="204"/>
      <c r="HSG29" s="204"/>
      <c r="HSH29" s="204"/>
      <c r="HSI29" s="204"/>
      <c r="HSJ29" s="204"/>
      <c r="HSK29" s="204"/>
      <c r="HSL29" s="204"/>
      <c r="HSM29" s="204"/>
      <c r="HSN29" s="204"/>
      <c r="HSO29" s="204"/>
      <c r="HSP29" s="204"/>
      <c r="HSQ29" s="204"/>
      <c r="HSR29" s="204"/>
      <c r="HSS29" s="204"/>
      <c r="HST29" s="204"/>
      <c r="HSU29" s="204"/>
      <c r="HSV29" s="204"/>
      <c r="HSW29" s="204"/>
      <c r="HSX29" s="204"/>
      <c r="HSY29" s="204"/>
      <c r="HSZ29" s="204"/>
      <c r="HTA29" s="204"/>
      <c r="HTB29" s="204"/>
      <c r="HTC29" s="204"/>
      <c r="HTD29" s="204"/>
      <c r="HTE29" s="204"/>
      <c r="HTF29" s="204"/>
      <c r="HTG29" s="204"/>
      <c r="HTH29" s="204"/>
      <c r="HTI29" s="204"/>
      <c r="HTJ29" s="204"/>
      <c r="HTK29" s="204"/>
      <c r="HTL29" s="204"/>
      <c r="HTM29" s="204"/>
      <c r="HTN29" s="204"/>
      <c r="HTO29" s="204"/>
      <c r="HTP29" s="204"/>
      <c r="HTQ29" s="204"/>
      <c r="HTR29" s="204"/>
      <c r="HTS29" s="204"/>
      <c r="HTT29" s="204"/>
      <c r="HTU29" s="204"/>
      <c r="HTV29" s="204"/>
      <c r="HTW29" s="204"/>
      <c r="HTX29" s="204"/>
      <c r="HTY29" s="204"/>
      <c r="HTZ29" s="204"/>
      <c r="HUA29" s="204"/>
      <c r="HUB29" s="204"/>
      <c r="HUC29" s="204"/>
      <c r="HUD29" s="204"/>
      <c r="HUE29" s="204"/>
      <c r="HUF29" s="204"/>
      <c r="HUG29" s="204"/>
      <c r="HUH29" s="204"/>
      <c r="HUI29" s="204"/>
      <c r="HUJ29" s="204"/>
      <c r="HUK29" s="204"/>
      <c r="HUL29" s="204"/>
      <c r="HUM29" s="204"/>
      <c r="HUN29" s="204"/>
      <c r="HUO29" s="204"/>
      <c r="HUP29" s="204"/>
      <c r="HUQ29" s="204"/>
      <c r="HUR29" s="204"/>
      <c r="HUS29" s="204"/>
      <c r="HUT29" s="204"/>
      <c r="HUU29" s="204"/>
      <c r="HUV29" s="204"/>
      <c r="HUW29" s="204"/>
      <c r="HUX29" s="204"/>
      <c r="HUY29" s="204"/>
      <c r="HUZ29" s="204"/>
      <c r="HVA29" s="204"/>
      <c r="HVB29" s="204"/>
      <c r="HVC29" s="204"/>
      <c r="HVD29" s="204"/>
      <c r="HVE29" s="204"/>
      <c r="HVF29" s="204"/>
      <c r="HVG29" s="204"/>
      <c r="HVH29" s="204"/>
      <c r="HVI29" s="204"/>
      <c r="HVJ29" s="204"/>
      <c r="HVK29" s="204"/>
      <c r="HVL29" s="204"/>
      <c r="HVM29" s="204"/>
      <c r="HVN29" s="204"/>
      <c r="HVO29" s="204"/>
      <c r="HVP29" s="204"/>
      <c r="HVQ29" s="204"/>
      <c r="HVR29" s="204"/>
      <c r="HVS29" s="204"/>
      <c r="HVT29" s="204"/>
      <c r="HVU29" s="204"/>
      <c r="HVV29" s="204"/>
      <c r="HVW29" s="204"/>
      <c r="HVX29" s="204"/>
      <c r="HVY29" s="204"/>
      <c r="HVZ29" s="204"/>
      <c r="HWA29" s="204"/>
      <c r="HWB29" s="204"/>
      <c r="HWC29" s="204"/>
      <c r="HWD29" s="204"/>
      <c r="HWE29" s="204"/>
      <c r="HWF29" s="204"/>
      <c r="HWG29" s="204"/>
      <c r="HWH29" s="204"/>
      <c r="HWI29" s="204"/>
      <c r="HWJ29" s="204"/>
      <c r="HWK29" s="204"/>
      <c r="HWL29" s="204"/>
      <c r="HWM29" s="204"/>
      <c r="HWN29" s="204"/>
      <c r="HWO29" s="204"/>
      <c r="HWP29" s="204"/>
      <c r="HWQ29" s="204"/>
      <c r="HWR29" s="204"/>
      <c r="HWS29" s="204"/>
      <c r="HWT29" s="204"/>
      <c r="HWU29" s="204"/>
      <c r="HWV29" s="204"/>
      <c r="HWW29" s="204"/>
      <c r="HWX29" s="204"/>
      <c r="HWY29" s="204"/>
      <c r="HWZ29" s="204"/>
      <c r="HXA29" s="204"/>
      <c r="HXB29" s="204"/>
      <c r="HXC29" s="204"/>
      <c r="HXD29" s="204"/>
      <c r="HXE29" s="204"/>
      <c r="HXF29" s="204"/>
      <c r="HXG29" s="204"/>
      <c r="HXH29" s="204"/>
      <c r="HXI29" s="204"/>
      <c r="HXJ29" s="204"/>
      <c r="HXK29" s="204"/>
      <c r="HXL29" s="204"/>
      <c r="HXM29" s="204"/>
      <c r="HXN29" s="204"/>
      <c r="HXO29" s="204"/>
      <c r="HXP29" s="204"/>
      <c r="HXQ29" s="204"/>
      <c r="HXR29" s="204"/>
      <c r="HXS29" s="204"/>
      <c r="HXT29" s="204"/>
      <c r="HXU29" s="204"/>
      <c r="HXV29" s="204"/>
      <c r="HXW29" s="204"/>
      <c r="HXX29" s="204"/>
      <c r="HXY29" s="204"/>
      <c r="HXZ29" s="204"/>
      <c r="HYA29" s="204"/>
      <c r="HYB29" s="204"/>
      <c r="HYC29" s="204"/>
      <c r="HYD29" s="204"/>
      <c r="HYE29" s="204"/>
      <c r="HYF29" s="204"/>
      <c r="HYG29" s="204"/>
      <c r="HYH29" s="204"/>
      <c r="HYI29" s="204"/>
      <c r="HYJ29" s="204"/>
      <c r="HYK29" s="204"/>
      <c r="HYL29" s="204"/>
      <c r="HYM29" s="204"/>
      <c r="HYN29" s="204"/>
      <c r="HYO29" s="204"/>
      <c r="HYP29" s="204"/>
      <c r="HYQ29" s="204"/>
      <c r="HYR29" s="204"/>
      <c r="HYS29" s="204"/>
      <c r="HYT29" s="204"/>
      <c r="HYU29" s="204"/>
      <c r="HYV29" s="204"/>
      <c r="HYW29" s="204"/>
      <c r="HYX29" s="204"/>
      <c r="HYY29" s="204"/>
      <c r="HYZ29" s="204"/>
      <c r="HZA29" s="204"/>
      <c r="HZB29" s="204"/>
      <c r="HZC29" s="204"/>
      <c r="HZD29" s="204"/>
      <c r="HZE29" s="204"/>
      <c r="HZF29" s="204"/>
      <c r="HZG29" s="204"/>
      <c r="HZH29" s="204"/>
      <c r="HZI29" s="204"/>
      <c r="HZJ29" s="204"/>
      <c r="HZK29" s="204"/>
      <c r="HZL29" s="204"/>
      <c r="HZM29" s="204"/>
      <c r="HZN29" s="204"/>
      <c r="HZO29" s="204"/>
      <c r="HZP29" s="204"/>
      <c r="HZQ29" s="204"/>
      <c r="HZR29" s="204"/>
      <c r="HZS29" s="204"/>
      <c r="HZT29" s="204"/>
      <c r="HZU29" s="204"/>
      <c r="HZV29" s="204"/>
      <c r="HZW29" s="204"/>
      <c r="HZX29" s="204"/>
      <c r="HZY29" s="204"/>
      <c r="HZZ29" s="204"/>
      <c r="IAA29" s="204"/>
      <c r="IAB29" s="204"/>
      <c r="IAC29" s="204"/>
      <c r="IAD29" s="204"/>
      <c r="IAE29" s="204"/>
      <c r="IAF29" s="204"/>
      <c r="IAG29" s="204"/>
      <c r="IAH29" s="204"/>
      <c r="IAI29" s="204"/>
      <c r="IAJ29" s="204"/>
      <c r="IAK29" s="204"/>
      <c r="IAL29" s="204"/>
      <c r="IAM29" s="204"/>
      <c r="IAN29" s="204"/>
      <c r="IAO29" s="204"/>
      <c r="IAP29" s="204"/>
      <c r="IAQ29" s="204"/>
      <c r="IAR29" s="204"/>
      <c r="IAS29" s="204"/>
      <c r="IAT29" s="204"/>
      <c r="IAU29" s="204"/>
      <c r="IAV29" s="204"/>
      <c r="IAW29" s="204"/>
      <c r="IAX29" s="204"/>
      <c r="IAY29" s="204"/>
      <c r="IAZ29" s="204"/>
      <c r="IBA29" s="204"/>
      <c r="IBB29" s="204"/>
      <c r="IBC29" s="204"/>
      <c r="IBD29" s="204"/>
      <c r="IBE29" s="204"/>
      <c r="IBF29" s="204"/>
      <c r="IBG29" s="204"/>
      <c r="IBH29" s="204"/>
      <c r="IBI29" s="204"/>
      <c r="IBJ29" s="204"/>
      <c r="IBK29" s="204"/>
      <c r="IBL29" s="204"/>
      <c r="IBM29" s="204"/>
      <c r="IBN29" s="204"/>
      <c r="IBO29" s="204"/>
      <c r="IBP29" s="204"/>
      <c r="IBQ29" s="204"/>
      <c r="IBR29" s="204"/>
      <c r="IBS29" s="204"/>
      <c r="IBT29" s="204"/>
      <c r="IBU29" s="204"/>
      <c r="IBV29" s="204"/>
      <c r="IBW29" s="204"/>
      <c r="IBX29" s="204"/>
      <c r="IBY29" s="204"/>
      <c r="IBZ29" s="204"/>
      <c r="ICA29" s="204"/>
      <c r="ICB29" s="204"/>
      <c r="ICC29" s="204"/>
      <c r="ICD29" s="204"/>
      <c r="ICE29" s="204"/>
      <c r="ICF29" s="204"/>
      <c r="ICG29" s="204"/>
      <c r="ICH29" s="204"/>
      <c r="ICI29" s="204"/>
      <c r="ICJ29" s="204"/>
      <c r="ICK29" s="204"/>
      <c r="ICL29" s="204"/>
      <c r="ICM29" s="204"/>
      <c r="ICN29" s="204"/>
      <c r="ICO29" s="204"/>
      <c r="ICP29" s="204"/>
      <c r="ICQ29" s="204"/>
      <c r="ICR29" s="204"/>
      <c r="ICS29" s="204"/>
      <c r="ICT29" s="204"/>
      <c r="ICU29" s="204"/>
      <c r="ICV29" s="204"/>
      <c r="ICW29" s="204"/>
      <c r="ICX29" s="204"/>
      <c r="ICY29" s="204"/>
      <c r="ICZ29" s="204"/>
      <c r="IDA29" s="204"/>
      <c r="IDB29" s="204"/>
      <c r="IDC29" s="204"/>
      <c r="IDD29" s="204"/>
      <c r="IDE29" s="204"/>
      <c r="IDF29" s="204"/>
      <c r="IDG29" s="204"/>
      <c r="IDH29" s="204"/>
      <c r="IDI29" s="204"/>
      <c r="IDJ29" s="204"/>
      <c r="IDK29" s="204"/>
      <c r="IDL29" s="204"/>
      <c r="IDM29" s="204"/>
      <c r="IDN29" s="204"/>
      <c r="IDO29" s="204"/>
      <c r="IDP29" s="204"/>
      <c r="IDQ29" s="204"/>
      <c r="IDR29" s="204"/>
      <c r="IDS29" s="204"/>
      <c r="IDT29" s="204"/>
      <c r="IDU29" s="204"/>
      <c r="IDV29" s="204"/>
      <c r="IDW29" s="204"/>
      <c r="IDX29" s="204"/>
      <c r="IDY29" s="204"/>
      <c r="IDZ29" s="204"/>
      <c r="IEA29" s="204"/>
      <c r="IEB29" s="204"/>
      <c r="IEC29" s="204"/>
      <c r="IED29" s="204"/>
      <c r="IEE29" s="204"/>
      <c r="IEF29" s="204"/>
      <c r="IEG29" s="204"/>
      <c r="IEH29" s="204"/>
      <c r="IEI29" s="204"/>
      <c r="IEJ29" s="204"/>
      <c r="IEK29" s="204"/>
      <c r="IEL29" s="204"/>
      <c r="IEM29" s="204"/>
      <c r="IEN29" s="204"/>
      <c r="IEO29" s="204"/>
      <c r="IEP29" s="204"/>
      <c r="IEQ29" s="204"/>
      <c r="IER29" s="204"/>
      <c r="IES29" s="204"/>
      <c r="IET29" s="204"/>
      <c r="IEU29" s="204"/>
      <c r="IEV29" s="204"/>
      <c r="IEW29" s="204"/>
      <c r="IEX29" s="204"/>
      <c r="IEY29" s="204"/>
      <c r="IEZ29" s="204"/>
      <c r="IFA29" s="204"/>
      <c r="IFB29" s="204"/>
      <c r="IFC29" s="204"/>
      <c r="IFD29" s="204"/>
      <c r="IFE29" s="204"/>
      <c r="IFF29" s="204"/>
      <c r="IFG29" s="204"/>
      <c r="IFH29" s="204"/>
      <c r="IFI29" s="204"/>
      <c r="IFJ29" s="204"/>
      <c r="IFK29" s="204"/>
      <c r="IFL29" s="204"/>
      <c r="IFM29" s="204"/>
      <c r="IFN29" s="204"/>
      <c r="IFO29" s="204"/>
      <c r="IFP29" s="204"/>
      <c r="IFQ29" s="204"/>
      <c r="IFR29" s="204"/>
      <c r="IFS29" s="204"/>
      <c r="IFT29" s="204"/>
      <c r="IFU29" s="204"/>
      <c r="IFV29" s="204"/>
      <c r="IFW29" s="204"/>
      <c r="IFX29" s="204"/>
      <c r="IFY29" s="204"/>
      <c r="IFZ29" s="204"/>
      <c r="IGA29" s="204"/>
      <c r="IGB29" s="204"/>
      <c r="IGC29" s="204"/>
      <c r="IGD29" s="204"/>
      <c r="IGE29" s="204"/>
      <c r="IGF29" s="204"/>
      <c r="IGG29" s="204"/>
      <c r="IGH29" s="204"/>
      <c r="IGI29" s="204"/>
      <c r="IGJ29" s="204"/>
      <c r="IGK29" s="204"/>
      <c r="IGL29" s="204"/>
      <c r="IGM29" s="204"/>
      <c r="IGN29" s="204"/>
      <c r="IGO29" s="204"/>
      <c r="IGP29" s="204"/>
      <c r="IGQ29" s="204"/>
      <c r="IGR29" s="204"/>
      <c r="IGS29" s="204"/>
      <c r="IGT29" s="204"/>
      <c r="IGU29" s="204"/>
      <c r="IGV29" s="204"/>
      <c r="IGW29" s="204"/>
      <c r="IGX29" s="204"/>
      <c r="IGY29" s="204"/>
      <c r="IGZ29" s="204"/>
      <c r="IHA29" s="204"/>
      <c r="IHB29" s="204"/>
      <c r="IHC29" s="204"/>
      <c r="IHD29" s="204"/>
      <c r="IHE29" s="204"/>
      <c r="IHF29" s="204"/>
      <c r="IHG29" s="204"/>
      <c r="IHH29" s="204"/>
      <c r="IHI29" s="204"/>
      <c r="IHJ29" s="204"/>
      <c r="IHK29" s="204"/>
      <c r="IHL29" s="204"/>
      <c r="IHM29" s="204"/>
      <c r="IHN29" s="204"/>
      <c r="IHO29" s="204"/>
      <c r="IHP29" s="204"/>
      <c r="IHQ29" s="204"/>
      <c r="IHR29" s="204"/>
      <c r="IHS29" s="204"/>
      <c r="IHT29" s="204"/>
      <c r="IHU29" s="204"/>
      <c r="IHV29" s="204"/>
      <c r="IHW29" s="204"/>
      <c r="IHX29" s="204"/>
      <c r="IHY29" s="204"/>
      <c r="IHZ29" s="204"/>
      <c r="IIA29" s="204"/>
      <c r="IIB29" s="204"/>
      <c r="IIC29" s="204"/>
      <c r="IID29" s="204"/>
      <c r="IIE29" s="204"/>
      <c r="IIF29" s="204"/>
      <c r="IIG29" s="204"/>
      <c r="IIH29" s="204"/>
      <c r="III29" s="204"/>
      <c r="IIJ29" s="204"/>
      <c r="IIK29" s="204"/>
      <c r="IIL29" s="204"/>
      <c r="IIM29" s="204"/>
      <c r="IIN29" s="204"/>
      <c r="IIO29" s="204"/>
      <c r="IIP29" s="204"/>
      <c r="IIQ29" s="204"/>
      <c r="IIR29" s="204"/>
      <c r="IIS29" s="204"/>
      <c r="IIT29" s="204"/>
      <c r="IIU29" s="204"/>
      <c r="IIV29" s="204"/>
      <c r="IIW29" s="204"/>
      <c r="IIX29" s="204"/>
      <c r="IIY29" s="204"/>
      <c r="IIZ29" s="204"/>
      <c r="IJA29" s="204"/>
      <c r="IJB29" s="204"/>
      <c r="IJC29" s="204"/>
      <c r="IJD29" s="204"/>
      <c r="IJE29" s="204"/>
      <c r="IJF29" s="204"/>
      <c r="IJG29" s="204"/>
      <c r="IJH29" s="204"/>
      <c r="IJI29" s="204"/>
      <c r="IJJ29" s="204"/>
      <c r="IJK29" s="204"/>
      <c r="IJL29" s="204"/>
      <c r="IJM29" s="204"/>
      <c r="IJN29" s="204"/>
      <c r="IJO29" s="204"/>
      <c r="IJP29" s="204"/>
      <c r="IJQ29" s="204"/>
      <c r="IJR29" s="204"/>
      <c r="IJS29" s="204"/>
      <c r="IJT29" s="204"/>
      <c r="IJU29" s="204"/>
      <c r="IJV29" s="204"/>
      <c r="IJW29" s="204"/>
      <c r="IJX29" s="204"/>
      <c r="IJY29" s="204"/>
      <c r="IJZ29" s="204"/>
      <c r="IKA29" s="204"/>
      <c r="IKB29" s="204"/>
      <c r="IKC29" s="204"/>
      <c r="IKD29" s="204"/>
      <c r="IKE29" s="204"/>
      <c r="IKF29" s="204"/>
      <c r="IKG29" s="204"/>
      <c r="IKH29" s="204"/>
      <c r="IKI29" s="204"/>
      <c r="IKJ29" s="204"/>
      <c r="IKK29" s="204"/>
      <c r="IKL29" s="204"/>
      <c r="IKM29" s="204"/>
      <c r="IKN29" s="204"/>
      <c r="IKO29" s="204"/>
      <c r="IKP29" s="204"/>
      <c r="IKQ29" s="204"/>
      <c r="IKR29" s="204"/>
      <c r="IKS29" s="204"/>
      <c r="IKT29" s="204"/>
      <c r="IKU29" s="204"/>
      <c r="IKV29" s="204"/>
      <c r="IKW29" s="204"/>
      <c r="IKX29" s="204"/>
      <c r="IKY29" s="204"/>
      <c r="IKZ29" s="204"/>
      <c r="ILA29" s="204"/>
      <c r="ILB29" s="204"/>
      <c r="ILC29" s="204"/>
      <c r="ILD29" s="204"/>
      <c r="ILE29" s="204"/>
      <c r="ILF29" s="204"/>
      <c r="ILG29" s="204"/>
      <c r="ILH29" s="204"/>
      <c r="ILI29" s="204"/>
      <c r="ILJ29" s="204"/>
      <c r="ILK29" s="204"/>
      <c r="ILL29" s="204"/>
      <c r="ILM29" s="204"/>
      <c r="ILN29" s="204"/>
      <c r="ILO29" s="204"/>
      <c r="ILP29" s="204"/>
      <c r="ILQ29" s="204"/>
      <c r="ILR29" s="204"/>
      <c r="ILS29" s="204"/>
      <c r="ILT29" s="204"/>
      <c r="ILU29" s="204"/>
      <c r="ILV29" s="204"/>
      <c r="ILW29" s="204"/>
      <c r="ILX29" s="204"/>
      <c r="ILY29" s="204"/>
      <c r="ILZ29" s="204"/>
      <c r="IMA29" s="204"/>
      <c r="IMB29" s="204"/>
      <c r="IMC29" s="204"/>
      <c r="IMD29" s="204"/>
      <c r="IME29" s="204"/>
      <c r="IMF29" s="204"/>
      <c r="IMG29" s="204"/>
      <c r="IMH29" s="204"/>
      <c r="IMI29" s="204"/>
      <c r="IMJ29" s="204"/>
      <c r="IMK29" s="204"/>
      <c r="IML29" s="204"/>
      <c r="IMM29" s="204"/>
      <c r="IMN29" s="204"/>
      <c r="IMO29" s="204"/>
      <c r="IMP29" s="204"/>
      <c r="IMQ29" s="204"/>
      <c r="IMR29" s="204"/>
      <c r="IMS29" s="204"/>
      <c r="IMT29" s="204"/>
      <c r="IMU29" s="204"/>
      <c r="IMV29" s="204"/>
      <c r="IMW29" s="204"/>
      <c r="IMX29" s="204"/>
      <c r="IMY29" s="204"/>
      <c r="IMZ29" s="204"/>
      <c r="INA29" s="204"/>
      <c r="INB29" s="204"/>
      <c r="INC29" s="204"/>
      <c r="IND29" s="204"/>
      <c r="INE29" s="204"/>
      <c r="INF29" s="204"/>
      <c r="ING29" s="204"/>
      <c r="INH29" s="204"/>
      <c r="INI29" s="204"/>
      <c r="INJ29" s="204"/>
      <c r="INK29" s="204"/>
      <c r="INL29" s="204"/>
      <c r="INM29" s="204"/>
      <c r="INN29" s="204"/>
      <c r="INO29" s="204"/>
      <c r="INP29" s="204"/>
      <c r="INQ29" s="204"/>
      <c r="INR29" s="204"/>
      <c r="INS29" s="204"/>
      <c r="INT29" s="204"/>
      <c r="INU29" s="204"/>
      <c r="INV29" s="204"/>
      <c r="INW29" s="204"/>
      <c r="INX29" s="204"/>
      <c r="INY29" s="204"/>
      <c r="INZ29" s="204"/>
      <c r="IOA29" s="204"/>
      <c r="IOB29" s="204"/>
      <c r="IOC29" s="204"/>
      <c r="IOD29" s="204"/>
      <c r="IOE29" s="204"/>
      <c r="IOF29" s="204"/>
      <c r="IOG29" s="204"/>
      <c r="IOH29" s="204"/>
      <c r="IOI29" s="204"/>
      <c r="IOJ29" s="204"/>
      <c r="IOK29" s="204"/>
      <c r="IOL29" s="204"/>
      <c r="IOM29" s="204"/>
      <c r="ION29" s="204"/>
      <c r="IOO29" s="204"/>
      <c r="IOP29" s="204"/>
      <c r="IOQ29" s="204"/>
      <c r="IOR29" s="204"/>
      <c r="IOS29" s="204"/>
      <c r="IOT29" s="204"/>
      <c r="IOU29" s="204"/>
      <c r="IOV29" s="204"/>
      <c r="IOW29" s="204"/>
      <c r="IOX29" s="204"/>
      <c r="IOY29" s="204"/>
      <c r="IOZ29" s="204"/>
      <c r="IPA29" s="204"/>
      <c r="IPB29" s="204"/>
      <c r="IPC29" s="204"/>
      <c r="IPD29" s="204"/>
      <c r="IPE29" s="204"/>
      <c r="IPF29" s="204"/>
      <c r="IPG29" s="204"/>
      <c r="IPH29" s="204"/>
      <c r="IPI29" s="204"/>
      <c r="IPJ29" s="204"/>
      <c r="IPK29" s="204"/>
      <c r="IPL29" s="204"/>
      <c r="IPM29" s="204"/>
      <c r="IPN29" s="204"/>
      <c r="IPO29" s="204"/>
      <c r="IPP29" s="204"/>
      <c r="IPQ29" s="204"/>
      <c r="IPR29" s="204"/>
      <c r="IPS29" s="204"/>
      <c r="IPT29" s="204"/>
      <c r="IPU29" s="204"/>
      <c r="IPV29" s="204"/>
      <c r="IPW29" s="204"/>
      <c r="IPX29" s="204"/>
      <c r="IPY29" s="204"/>
      <c r="IPZ29" s="204"/>
      <c r="IQA29" s="204"/>
      <c r="IQB29" s="204"/>
      <c r="IQC29" s="204"/>
      <c r="IQD29" s="204"/>
      <c r="IQE29" s="204"/>
      <c r="IQF29" s="204"/>
      <c r="IQG29" s="204"/>
      <c r="IQH29" s="204"/>
      <c r="IQI29" s="204"/>
      <c r="IQJ29" s="204"/>
      <c r="IQK29" s="204"/>
      <c r="IQL29" s="204"/>
      <c r="IQM29" s="204"/>
      <c r="IQN29" s="204"/>
      <c r="IQO29" s="204"/>
      <c r="IQP29" s="204"/>
      <c r="IQQ29" s="204"/>
      <c r="IQR29" s="204"/>
      <c r="IQS29" s="204"/>
      <c r="IQT29" s="204"/>
      <c r="IQU29" s="204"/>
      <c r="IQV29" s="204"/>
      <c r="IQW29" s="204"/>
      <c r="IQX29" s="204"/>
      <c r="IQY29" s="204"/>
      <c r="IQZ29" s="204"/>
      <c r="IRA29" s="204"/>
      <c r="IRB29" s="204"/>
      <c r="IRC29" s="204"/>
      <c r="IRD29" s="204"/>
      <c r="IRE29" s="204"/>
      <c r="IRF29" s="204"/>
      <c r="IRG29" s="204"/>
      <c r="IRH29" s="204"/>
      <c r="IRI29" s="204"/>
      <c r="IRJ29" s="204"/>
      <c r="IRK29" s="204"/>
      <c r="IRL29" s="204"/>
      <c r="IRM29" s="204"/>
      <c r="IRN29" s="204"/>
      <c r="IRO29" s="204"/>
      <c r="IRP29" s="204"/>
      <c r="IRQ29" s="204"/>
      <c r="IRR29" s="204"/>
      <c r="IRS29" s="204"/>
      <c r="IRT29" s="204"/>
      <c r="IRU29" s="204"/>
      <c r="IRV29" s="204"/>
      <c r="IRW29" s="204"/>
      <c r="IRX29" s="204"/>
      <c r="IRY29" s="204"/>
      <c r="IRZ29" s="204"/>
      <c r="ISA29" s="204"/>
      <c r="ISB29" s="204"/>
      <c r="ISC29" s="204"/>
      <c r="ISD29" s="204"/>
      <c r="ISE29" s="204"/>
      <c r="ISF29" s="204"/>
      <c r="ISG29" s="204"/>
      <c r="ISH29" s="204"/>
      <c r="ISI29" s="204"/>
      <c r="ISJ29" s="204"/>
      <c r="ISK29" s="204"/>
      <c r="ISL29" s="204"/>
      <c r="ISM29" s="204"/>
      <c r="ISN29" s="204"/>
      <c r="ISO29" s="204"/>
      <c r="ISP29" s="204"/>
      <c r="ISQ29" s="204"/>
      <c r="ISR29" s="204"/>
      <c r="ISS29" s="204"/>
      <c r="IST29" s="204"/>
      <c r="ISU29" s="204"/>
      <c r="ISV29" s="204"/>
      <c r="ISW29" s="204"/>
      <c r="ISX29" s="204"/>
      <c r="ISY29" s="204"/>
      <c r="ISZ29" s="204"/>
      <c r="ITA29" s="204"/>
      <c r="ITB29" s="204"/>
      <c r="ITC29" s="204"/>
      <c r="ITD29" s="204"/>
      <c r="ITE29" s="204"/>
      <c r="ITF29" s="204"/>
      <c r="ITG29" s="204"/>
      <c r="ITH29" s="204"/>
      <c r="ITI29" s="204"/>
      <c r="ITJ29" s="204"/>
      <c r="ITK29" s="204"/>
      <c r="ITL29" s="204"/>
      <c r="ITM29" s="204"/>
      <c r="ITN29" s="204"/>
      <c r="ITO29" s="204"/>
      <c r="ITP29" s="204"/>
      <c r="ITQ29" s="204"/>
      <c r="ITR29" s="204"/>
      <c r="ITS29" s="204"/>
      <c r="ITT29" s="204"/>
      <c r="ITU29" s="204"/>
      <c r="ITV29" s="204"/>
      <c r="ITW29" s="204"/>
      <c r="ITX29" s="204"/>
      <c r="ITY29" s="204"/>
      <c r="ITZ29" s="204"/>
      <c r="IUA29" s="204"/>
      <c r="IUB29" s="204"/>
      <c r="IUC29" s="204"/>
      <c r="IUD29" s="204"/>
      <c r="IUE29" s="204"/>
      <c r="IUF29" s="204"/>
      <c r="IUG29" s="204"/>
      <c r="IUH29" s="204"/>
      <c r="IUI29" s="204"/>
      <c r="IUJ29" s="204"/>
      <c r="IUK29" s="204"/>
      <c r="IUL29" s="204"/>
      <c r="IUM29" s="204"/>
      <c r="IUN29" s="204"/>
      <c r="IUO29" s="204"/>
      <c r="IUP29" s="204"/>
      <c r="IUQ29" s="204"/>
      <c r="IUR29" s="204"/>
      <c r="IUS29" s="204"/>
      <c r="IUT29" s="204"/>
      <c r="IUU29" s="204"/>
      <c r="IUV29" s="204"/>
      <c r="IUW29" s="204"/>
      <c r="IUX29" s="204"/>
      <c r="IUY29" s="204"/>
      <c r="IUZ29" s="204"/>
      <c r="IVA29" s="204"/>
      <c r="IVB29" s="204"/>
      <c r="IVC29" s="204"/>
      <c r="IVD29" s="204"/>
      <c r="IVE29" s="204"/>
      <c r="IVF29" s="204"/>
      <c r="IVG29" s="204"/>
      <c r="IVH29" s="204"/>
      <c r="IVI29" s="204"/>
      <c r="IVJ29" s="204"/>
      <c r="IVK29" s="204"/>
      <c r="IVL29" s="204"/>
      <c r="IVM29" s="204"/>
      <c r="IVN29" s="204"/>
      <c r="IVO29" s="204"/>
      <c r="IVP29" s="204"/>
      <c r="IVQ29" s="204"/>
      <c r="IVR29" s="204"/>
      <c r="IVS29" s="204"/>
      <c r="IVT29" s="204"/>
      <c r="IVU29" s="204"/>
      <c r="IVV29" s="204"/>
      <c r="IVW29" s="204"/>
      <c r="IVX29" s="204"/>
      <c r="IVY29" s="204"/>
      <c r="IVZ29" s="204"/>
      <c r="IWA29" s="204"/>
      <c r="IWB29" s="204"/>
      <c r="IWC29" s="204"/>
      <c r="IWD29" s="204"/>
      <c r="IWE29" s="204"/>
      <c r="IWF29" s="204"/>
      <c r="IWG29" s="204"/>
      <c r="IWH29" s="204"/>
      <c r="IWI29" s="204"/>
      <c r="IWJ29" s="204"/>
      <c r="IWK29" s="204"/>
      <c r="IWL29" s="204"/>
      <c r="IWM29" s="204"/>
      <c r="IWN29" s="204"/>
      <c r="IWO29" s="204"/>
      <c r="IWP29" s="204"/>
      <c r="IWQ29" s="204"/>
      <c r="IWR29" s="204"/>
      <c r="IWS29" s="204"/>
      <c r="IWT29" s="204"/>
      <c r="IWU29" s="204"/>
      <c r="IWV29" s="204"/>
      <c r="IWW29" s="204"/>
      <c r="IWX29" s="204"/>
      <c r="IWY29" s="204"/>
      <c r="IWZ29" s="204"/>
      <c r="IXA29" s="204"/>
      <c r="IXB29" s="204"/>
      <c r="IXC29" s="204"/>
      <c r="IXD29" s="204"/>
      <c r="IXE29" s="204"/>
      <c r="IXF29" s="204"/>
      <c r="IXG29" s="204"/>
      <c r="IXH29" s="204"/>
      <c r="IXI29" s="204"/>
      <c r="IXJ29" s="204"/>
      <c r="IXK29" s="204"/>
      <c r="IXL29" s="204"/>
      <c r="IXM29" s="204"/>
      <c r="IXN29" s="204"/>
      <c r="IXO29" s="204"/>
      <c r="IXP29" s="204"/>
      <c r="IXQ29" s="204"/>
      <c r="IXR29" s="204"/>
      <c r="IXS29" s="204"/>
      <c r="IXT29" s="204"/>
      <c r="IXU29" s="204"/>
      <c r="IXV29" s="204"/>
      <c r="IXW29" s="204"/>
      <c r="IXX29" s="204"/>
      <c r="IXY29" s="204"/>
      <c r="IXZ29" s="204"/>
      <c r="IYA29" s="204"/>
      <c r="IYB29" s="204"/>
      <c r="IYC29" s="204"/>
      <c r="IYD29" s="204"/>
      <c r="IYE29" s="204"/>
      <c r="IYF29" s="204"/>
      <c r="IYG29" s="204"/>
      <c r="IYH29" s="204"/>
      <c r="IYI29" s="204"/>
      <c r="IYJ29" s="204"/>
      <c r="IYK29" s="204"/>
      <c r="IYL29" s="204"/>
      <c r="IYM29" s="204"/>
      <c r="IYN29" s="204"/>
      <c r="IYO29" s="204"/>
      <c r="IYP29" s="204"/>
      <c r="IYQ29" s="204"/>
      <c r="IYR29" s="204"/>
      <c r="IYS29" s="204"/>
      <c r="IYT29" s="204"/>
      <c r="IYU29" s="204"/>
      <c r="IYV29" s="204"/>
      <c r="IYW29" s="204"/>
      <c r="IYX29" s="204"/>
      <c r="IYY29" s="204"/>
      <c r="IYZ29" s="204"/>
      <c r="IZA29" s="204"/>
      <c r="IZB29" s="204"/>
      <c r="IZC29" s="204"/>
      <c r="IZD29" s="204"/>
      <c r="IZE29" s="204"/>
      <c r="IZF29" s="204"/>
      <c r="IZG29" s="204"/>
      <c r="IZH29" s="204"/>
      <c r="IZI29" s="204"/>
      <c r="IZJ29" s="204"/>
      <c r="IZK29" s="204"/>
      <c r="IZL29" s="204"/>
      <c r="IZM29" s="204"/>
      <c r="IZN29" s="204"/>
      <c r="IZO29" s="204"/>
      <c r="IZP29" s="204"/>
      <c r="IZQ29" s="204"/>
      <c r="IZR29" s="204"/>
      <c r="IZS29" s="204"/>
      <c r="IZT29" s="204"/>
      <c r="IZU29" s="204"/>
      <c r="IZV29" s="204"/>
      <c r="IZW29" s="204"/>
      <c r="IZX29" s="204"/>
      <c r="IZY29" s="204"/>
      <c r="IZZ29" s="204"/>
      <c r="JAA29" s="204"/>
      <c r="JAB29" s="204"/>
      <c r="JAC29" s="204"/>
      <c r="JAD29" s="204"/>
      <c r="JAE29" s="204"/>
      <c r="JAF29" s="204"/>
      <c r="JAG29" s="204"/>
      <c r="JAH29" s="204"/>
      <c r="JAI29" s="204"/>
      <c r="JAJ29" s="204"/>
      <c r="JAK29" s="204"/>
      <c r="JAL29" s="204"/>
      <c r="JAM29" s="204"/>
      <c r="JAN29" s="204"/>
      <c r="JAO29" s="204"/>
      <c r="JAP29" s="204"/>
      <c r="JAQ29" s="204"/>
      <c r="JAR29" s="204"/>
      <c r="JAS29" s="204"/>
      <c r="JAT29" s="204"/>
      <c r="JAU29" s="204"/>
      <c r="JAV29" s="204"/>
      <c r="JAW29" s="204"/>
      <c r="JAX29" s="204"/>
      <c r="JAY29" s="204"/>
      <c r="JAZ29" s="204"/>
      <c r="JBA29" s="204"/>
      <c r="JBB29" s="204"/>
      <c r="JBC29" s="204"/>
      <c r="JBD29" s="204"/>
      <c r="JBE29" s="204"/>
      <c r="JBF29" s="204"/>
      <c r="JBG29" s="204"/>
      <c r="JBH29" s="204"/>
      <c r="JBI29" s="204"/>
      <c r="JBJ29" s="204"/>
      <c r="JBK29" s="204"/>
      <c r="JBL29" s="204"/>
      <c r="JBM29" s="204"/>
      <c r="JBN29" s="204"/>
      <c r="JBO29" s="204"/>
      <c r="JBP29" s="204"/>
      <c r="JBQ29" s="204"/>
      <c r="JBR29" s="204"/>
      <c r="JBS29" s="204"/>
      <c r="JBT29" s="204"/>
      <c r="JBU29" s="204"/>
      <c r="JBV29" s="204"/>
      <c r="JBW29" s="204"/>
      <c r="JBX29" s="204"/>
      <c r="JBY29" s="204"/>
      <c r="JBZ29" s="204"/>
      <c r="JCA29" s="204"/>
      <c r="JCB29" s="204"/>
      <c r="JCC29" s="204"/>
      <c r="JCD29" s="204"/>
      <c r="JCE29" s="204"/>
      <c r="JCF29" s="204"/>
      <c r="JCG29" s="204"/>
      <c r="JCH29" s="204"/>
      <c r="JCI29" s="204"/>
      <c r="JCJ29" s="204"/>
      <c r="JCK29" s="204"/>
      <c r="JCL29" s="204"/>
      <c r="JCM29" s="204"/>
      <c r="JCN29" s="204"/>
      <c r="JCO29" s="204"/>
      <c r="JCP29" s="204"/>
      <c r="JCQ29" s="204"/>
      <c r="JCR29" s="204"/>
      <c r="JCS29" s="204"/>
      <c r="JCT29" s="204"/>
      <c r="JCU29" s="204"/>
      <c r="JCV29" s="204"/>
      <c r="JCW29" s="204"/>
      <c r="JCX29" s="204"/>
      <c r="JCY29" s="204"/>
      <c r="JCZ29" s="204"/>
      <c r="JDA29" s="204"/>
      <c r="JDB29" s="204"/>
      <c r="JDC29" s="204"/>
      <c r="JDD29" s="204"/>
      <c r="JDE29" s="204"/>
      <c r="JDF29" s="204"/>
      <c r="JDG29" s="204"/>
      <c r="JDH29" s="204"/>
      <c r="JDI29" s="204"/>
      <c r="JDJ29" s="204"/>
      <c r="JDK29" s="204"/>
      <c r="JDL29" s="204"/>
      <c r="JDM29" s="204"/>
      <c r="JDN29" s="204"/>
      <c r="JDO29" s="204"/>
      <c r="JDP29" s="204"/>
      <c r="JDQ29" s="204"/>
      <c r="JDR29" s="204"/>
      <c r="JDS29" s="204"/>
      <c r="JDT29" s="204"/>
      <c r="JDU29" s="204"/>
      <c r="JDV29" s="204"/>
      <c r="JDW29" s="204"/>
      <c r="JDX29" s="204"/>
      <c r="JDY29" s="204"/>
      <c r="JDZ29" s="204"/>
      <c r="JEA29" s="204"/>
      <c r="JEB29" s="204"/>
      <c r="JEC29" s="204"/>
      <c r="JED29" s="204"/>
      <c r="JEE29" s="204"/>
      <c r="JEF29" s="204"/>
      <c r="JEG29" s="204"/>
      <c r="JEH29" s="204"/>
      <c r="JEI29" s="204"/>
      <c r="JEJ29" s="204"/>
      <c r="JEK29" s="204"/>
      <c r="JEL29" s="204"/>
      <c r="JEM29" s="204"/>
      <c r="JEN29" s="204"/>
      <c r="JEO29" s="204"/>
      <c r="JEP29" s="204"/>
      <c r="JEQ29" s="204"/>
      <c r="JER29" s="204"/>
      <c r="JES29" s="204"/>
      <c r="JET29" s="204"/>
      <c r="JEU29" s="204"/>
      <c r="JEV29" s="204"/>
      <c r="JEW29" s="204"/>
      <c r="JEX29" s="204"/>
      <c r="JEY29" s="204"/>
      <c r="JEZ29" s="204"/>
      <c r="JFA29" s="204"/>
      <c r="JFB29" s="204"/>
      <c r="JFC29" s="204"/>
      <c r="JFD29" s="204"/>
      <c r="JFE29" s="204"/>
      <c r="JFF29" s="204"/>
      <c r="JFG29" s="204"/>
      <c r="JFH29" s="204"/>
      <c r="JFI29" s="204"/>
      <c r="JFJ29" s="204"/>
      <c r="JFK29" s="204"/>
      <c r="JFL29" s="204"/>
      <c r="JFM29" s="204"/>
      <c r="JFN29" s="204"/>
      <c r="JFO29" s="204"/>
      <c r="JFP29" s="204"/>
      <c r="JFQ29" s="204"/>
      <c r="JFR29" s="204"/>
      <c r="JFS29" s="204"/>
      <c r="JFT29" s="204"/>
      <c r="JFU29" s="204"/>
      <c r="JFV29" s="204"/>
      <c r="JFW29" s="204"/>
      <c r="JFX29" s="204"/>
      <c r="JFY29" s="204"/>
      <c r="JFZ29" s="204"/>
      <c r="JGA29" s="204"/>
      <c r="JGB29" s="204"/>
      <c r="JGC29" s="204"/>
      <c r="JGD29" s="204"/>
      <c r="JGE29" s="204"/>
      <c r="JGF29" s="204"/>
      <c r="JGG29" s="204"/>
      <c r="JGH29" s="204"/>
      <c r="JGI29" s="204"/>
      <c r="JGJ29" s="204"/>
      <c r="JGK29" s="204"/>
      <c r="JGL29" s="204"/>
      <c r="JGM29" s="204"/>
      <c r="JGN29" s="204"/>
      <c r="JGO29" s="204"/>
      <c r="JGP29" s="204"/>
      <c r="JGQ29" s="204"/>
      <c r="JGR29" s="204"/>
      <c r="JGS29" s="204"/>
      <c r="JGT29" s="204"/>
      <c r="JGU29" s="204"/>
      <c r="JGV29" s="204"/>
      <c r="JGW29" s="204"/>
      <c r="JGX29" s="204"/>
      <c r="JGY29" s="204"/>
      <c r="JGZ29" s="204"/>
      <c r="JHA29" s="204"/>
      <c r="JHB29" s="204"/>
      <c r="JHC29" s="204"/>
      <c r="JHD29" s="204"/>
      <c r="JHE29" s="204"/>
      <c r="JHF29" s="204"/>
      <c r="JHG29" s="204"/>
      <c r="JHH29" s="204"/>
      <c r="JHI29" s="204"/>
      <c r="JHJ29" s="204"/>
      <c r="JHK29" s="204"/>
      <c r="JHL29" s="204"/>
      <c r="JHM29" s="204"/>
      <c r="JHN29" s="204"/>
      <c r="JHO29" s="204"/>
      <c r="JHP29" s="204"/>
      <c r="JHQ29" s="204"/>
      <c r="JHR29" s="204"/>
      <c r="JHS29" s="204"/>
      <c r="JHT29" s="204"/>
      <c r="JHU29" s="204"/>
      <c r="JHV29" s="204"/>
      <c r="JHW29" s="204"/>
      <c r="JHX29" s="204"/>
      <c r="JHY29" s="204"/>
      <c r="JHZ29" s="204"/>
      <c r="JIA29" s="204"/>
      <c r="JIB29" s="204"/>
      <c r="JIC29" s="204"/>
      <c r="JID29" s="204"/>
      <c r="JIE29" s="204"/>
      <c r="JIF29" s="204"/>
      <c r="JIG29" s="204"/>
      <c r="JIH29" s="204"/>
      <c r="JII29" s="204"/>
      <c r="JIJ29" s="204"/>
      <c r="JIK29" s="204"/>
      <c r="JIL29" s="204"/>
      <c r="JIM29" s="204"/>
      <c r="JIN29" s="204"/>
      <c r="JIO29" s="204"/>
      <c r="JIP29" s="204"/>
      <c r="JIQ29" s="204"/>
      <c r="JIR29" s="204"/>
      <c r="JIS29" s="204"/>
      <c r="JIT29" s="204"/>
      <c r="JIU29" s="204"/>
      <c r="JIV29" s="204"/>
      <c r="JIW29" s="204"/>
      <c r="JIX29" s="204"/>
      <c r="JIY29" s="204"/>
      <c r="JIZ29" s="204"/>
      <c r="JJA29" s="204"/>
      <c r="JJB29" s="204"/>
      <c r="JJC29" s="204"/>
      <c r="JJD29" s="204"/>
      <c r="JJE29" s="204"/>
      <c r="JJF29" s="204"/>
      <c r="JJG29" s="204"/>
      <c r="JJH29" s="204"/>
      <c r="JJI29" s="204"/>
      <c r="JJJ29" s="204"/>
      <c r="JJK29" s="204"/>
      <c r="JJL29" s="204"/>
      <c r="JJM29" s="204"/>
      <c r="JJN29" s="204"/>
      <c r="JJO29" s="204"/>
      <c r="JJP29" s="204"/>
      <c r="JJQ29" s="204"/>
      <c r="JJR29" s="204"/>
      <c r="JJS29" s="204"/>
      <c r="JJT29" s="204"/>
      <c r="JJU29" s="204"/>
      <c r="JJV29" s="204"/>
      <c r="JJW29" s="204"/>
      <c r="JJX29" s="204"/>
      <c r="JJY29" s="204"/>
      <c r="JJZ29" s="204"/>
      <c r="JKA29" s="204"/>
      <c r="JKB29" s="204"/>
      <c r="JKC29" s="204"/>
      <c r="JKD29" s="204"/>
      <c r="JKE29" s="204"/>
      <c r="JKF29" s="204"/>
      <c r="JKG29" s="204"/>
      <c r="JKH29" s="204"/>
      <c r="JKI29" s="204"/>
      <c r="JKJ29" s="204"/>
      <c r="JKK29" s="204"/>
      <c r="JKL29" s="204"/>
      <c r="JKM29" s="204"/>
      <c r="JKN29" s="204"/>
      <c r="JKO29" s="204"/>
      <c r="JKP29" s="204"/>
      <c r="JKQ29" s="204"/>
      <c r="JKR29" s="204"/>
      <c r="JKS29" s="204"/>
      <c r="JKT29" s="204"/>
      <c r="JKU29" s="204"/>
      <c r="JKV29" s="204"/>
      <c r="JKW29" s="204"/>
      <c r="JKX29" s="204"/>
      <c r="JKY29" s="204"/>
      <c r="JKZ29" s="204"/>
      <c r="JLA29" s="204"/>
      <c r="JLB29" s="204"/>
      <c r="JLC29" s="204"/>
      <c r="JLD29" s="204"/>
      <c r="JLE29" s="204"/>
      <c r="JLF29" s="204"/>
      <c r="JLG29" s="204"/>
      <c r="JLH29" s="204"/>
      <c r="JLI29" s="204"/>
      <c r="JLJ29" s="204"/>
      <c r="JLK29" s="204"/>
      <c r="JLL29" s="204"/>
      <c r="JLM29" s="204"/>
      <c r="JLN29" s="204"/>
      <c r="JLO29" s="204"/>
      <c r="JLP29" s="204"/>
      <c r="JLQ29" s="204"/>
      <c r="JLR29" s="204"/>
      <c r="JLS29" s="204"/>
      <c r="JLT29" s="204"/>
      <c r="JLU29" s="204"/>
      <c r="JLV29" s="204"/>
      <c r="JLW29" s="204"/>
      <c r="JLX29" s="204"/>
      <c r="JLY29" s="204"/>
      <c r="JLZ29" s="204"/>
      <c r="JMA29" s="204"/>
      <c r="JMB29" s="204"/>
      <c r="JMC29" s="204"/>
      <c r="JMD29" s="204"/>
      <c r="JME29" s="204"/>
      <c r="JMF29" s="204"/>
      <c r="JMG29" s="204"/>
      <c r="JMH29" s="204"/>
      <c r="JMI29" s="204"/>
      <c r="JMJ29" s="204"/>
      <c r="JMK29" s="204"/>
      <c r="JML29" s="204"/>
      <c r="JMM29" s="204"/>
      <c r="JMN29" s="204"/>
      <c r="JMO29" s="204"/>
      <c r="JMP29" s="204"/>
      <c r="JMQ29" s="204"/>
      <c r="JMR29" s="204"/>
      <c r="JMS29" s="204"/>
      <c r="JMT29" s="204"/>
      <c r="JMU29" s="204"/>
      <c r="JMV29" s="204"/>
      <c r="JMW29" s="204"/>
      <c r="JMX29" s="204"/>
      <c r="JMY29" s="204"/>
      <c r="JMZ29" s="204"/>
      <c r="JNA29" s="204"/>
      <c r="JNB29" s="204"/>
      <c r="JNC29" s="204"/>
      <c r="JND29" s="204"/>
      <c r="JNE29" s="204"/>
      <c r="JNF29" s="204"/>
      <c r="JNG29" s="204"/>
      <c r="JNH29" s="204"/>
      <c r="JNI29" s="204"/>
      <c r="JNJ29" s="204"/>
      <c r="JNK29" s="204"/>
      <c r="JNL29" s="204"/>
      <c r="JNM29" s="204"/>
      <c r="JNN29" s="204"/>
      <c r="JNO29" s="204"/>
      <c r="JNP29" s="204"/>
      <c r="JNQ29" s="204"/>
      <c r="JNR29" s="204"/>
      <c r="JNS29" s="204"/>
      <c r="JNT29" s="204"/>
      <c r="JNU29" s="204"/>
      <c r="JNV29" s="204"/>
      <c r="JNW29" s="204"/>
      <c r="JNX29" s="204"/>
      <c r="JNY29" s="204"/>
      <c r="JNZ29" s="204"/>
      <c r="JOA29" s="204"/>
      <c r="JOB29" s="204"/>
      <c r="JOC29" s="204"/>
      <c r="JOD29" s="204"/>
      <c r="JOE29" s="204"/>
      <c r="JOF29" s="204"/>
      <c r="JOG29" s="204"/>
      <c r="JOH29" s="204"/>
      <c r="JOI29" s="204"/>
      <c r="JOJ29" s="204"/>
      <c r="JOK29" s="204"/>
      <c r="JOL29" s="204"/>
      <c r="JOM29" s="204"/>
      <c r="JON29" s="204"/>
      <c r="JOO29" s="204"/>
      <c r="JOP29" s="204"/>
      <c r="JOQ29" s="204"/>
      <c r="JOR29" s="204"/>
      <c r="JOS29" s="204"/>
      <c r="JOT29" s="204"/>
      <c r="JOU29" s="204"/>
      <c r="JOV29" s="204"/>
      <c r="JOW29" s="204"/>
      <c r="JOX29" s="204"/>
      <c r="JOY29" s="204"/>
      <c r="JOZ29" s="204"/>
      <c r="JPA29" s="204"/>
      <c r="JPB29" s="204"/>
      <c r="JPC29" s="204"/>
      <c r="JPD29" s="204"/>
      <c r="JPE29" s="204"/>
      <c r="JPF29" s="204"/>
      <c r="JPG29" s="204"/>
      <c r="JPH29" s="204"/>
      <c r="JPI29" s="204"/>
      <c r="JPJ29" s="204"/>
      <c r="JPK29" s="204"/>
      <c r="JPL29" s="204"/>
      <c r="JPM29" s="204"/>
      <c r="JPN29" s="204"/>
      <c r="JPO29" s="204"/>
      <c r="JPP29" s="204"/>
      <c r="JPQ29" s="204"/>
      <c r="JPR29" s="204"/>
      <c r="JPS29" s="204"/>
      <c r="JPT29" s="204"/>
      <c r="JPU29" s="204"/>
      <c r="JPV29" s="204"/>
      <c r="JPW29" s="204"/>
      <c r="JPX29" s="204"/>
      <c r="JPY29" s="204"/>
      <c r="JPZ29" s="204"/>
      <c r="JQA29" s="204"/>
      <c r="JQB29" s="204"/>
      <c r="JQC29" s="204"/>
      <c r="JQD29" s="204"/>
      <c r="JQE29" s="204"/>
      <c r="JQF29" s="204"/>
      <c r="JQG29" s="204"/>
      <c r="JQH29" s="204"/>
      <c r="JQI29" s="204"/>
      <c r="JQJ29" s="204"/>
      <c r="JQK29" s="204"/>
      <c r="JQL29" s="204"/>
      <c r="JQM29" s="204"/>
      <c r="JQN29" s="204"/>
      <c r="JQO29" s="204"/>
      <c r="JQP29" s="204"/>
      <c r="JQQ29" s="204"/>
      <c r="JQR29" s="204"/>
      <c r="JQS29" s="204"/>
      <c r="JQT29" s="204"/>
      <c r="JQU29" s="204"/>
      <c r="JQV29" s="204"/>
      <c r="JQW29" s="204"/>
      <c r="JQX29" s="204"/>
      <c r="JQY29" s="204"/>
      <c r="JQZ29" s="204"/>
      <c r="JRA29" s="204"/>
      <c r="JRB29" s="204"/>
      <c r="JRC29" s="204"/>
      <c r="JRD29" s="204"/>
      <c r="JRE29" s="204"/>
      <c r="JRF29" s="204"/>
      <c r="JRG29" s="204"/>
      <c r="JRH29" s="204"/>
      <c r="JRI29" s="204"/>
      <c r="JRJ29" s="204"/>
      <c r="JRK29" s="204"/>
      <c r="JRL29" s="204"/>
      <c r="JRM29" s="204"/>
      <c r="JRN29" s="204"/>
      <c r="JRO29" s="204"/>
      <c r="JRP29" s="204"/>
      <c r="JRQ29" s="204"/>
      <c r="JRR29" s="204"/>
      <c r="JRS29" s="204"/>
      <c r="JRT29" s="204"/>
      <c r="JRU29" s="204"/>
      <c r="JRV29" s="204"/>
      <c r="JRW29" s="204"/>
      <c r="JRX29" s="204"/>
      <c r="JRY29" s="204"/>
      <c r="JRZ29" s="204"/>
      <c r="JSA29" s="204"/>
      <c r="JSB29" s="204"/>
      <c r="JSC29" s="204"/>
      <c r="JSD29" s="204"/>
      <c r="JSE29" s="204"/>
      <c r="JSF29" s="204"/>
      <c r="JSG29" s="204"/>
      <c r="JSH29" s="204"/>
      <c r="JSI29" s="204"/>
      <c r="JSJ29" s="204"/>
      <c r="JSK29" s="204"/>
      <c r="JSL29" s="204"/>
      <c r="JSM29" s="204"/>
      <c r="JSN29" s="204"/>
      <c r="JSO29" s="204"/>
      <c r="JSP29" s="204"/>
      <c r="JSQ29" s="204"/>
      <c r="JSR29" s="204"/>
      <c r="JSS29" s="204"/>
      <c r="JST29" s="204"/>
      <c r="JSU29" s="204"/>
      <c r="JSV29" s="204"/>
      <c r="JSW29" s="204"/>
      <c r="JSX29" s="204"/>
      <c r="JSY29" s="204"/>
      <c r="JSZ29" s="204"/>
      <c r="JTA29" s="204"/>
      <c r="JTB29" s="204"/>
      <c r="JTC29" s="204"/>
      <c r="JTD29" s="204"/>
      <c r="JTE29" s="204"/>
      <c r="JTF29" s="204"/>
      <c r="JTG29" s="204"/>
      <c r="JTH29" s="204"/>
      <c r="JTI29" s="204"/>
      <c r="JTJ29" s="204"/>
      <c r="JTK29" s="204"/>
      <c r="JTL29" s="204"/>
      <c r="JTM29" s="204"/>
      <c r="JTN29" s="204"/>
      <c r="JTO29" s="204"/>
      <c r="JTP29" s="204"/>
      <c r="JTQ29" s="204"/>
      <c r="JTR29" s="204"/>
      <c r="JTS29" s="204"/>
      <c r="JTT29" s="204"/>
      <c r="JTU29" s="204"/>
      <c r="JTV29" s="204"/>
      <c r="JTW29" s="204"/>
      <c r="JTX29" s="204"/>
      <c r="JTY29" s="204"/>
      <c r="JTZ29" s="204"/>
      <c r="JUA29" s="204"/>
      <c r="JUB29" s="204"/>
      <c r="JUC29" s="204"/>
      <c r="JUD29" s="204"/>
      <c r="JUE29" s="204"/>
      <c r="JUF29" s="204"/>
      <c r="JUG29" s="204"/>
      <c r="JUH29" s="204"/>
      <c r="JUI29" s="204"/>
      <c r="JUJ29" s="204"/>
      <c r="JUK29" s="204"/>
      <c r="JUL29" s="204"/>
      <c r="JUM29" s="204"/>
      <c r="JUN29" s="204"/>
      <c r="JUO29" s="204"/>
      <c r="JUP29" s="204"/>
      <c r="JUQ29" s="204"/>
      <c r="JUR29" s="204"/>
      <c r="JUS29" s="204"/>
      <c r="JUT29" s="204"/>
      <c r="JUU29" s="204"/>
      <c r="JUV29" s="204"/>
      <c r="JUW29" s="204"/>
      <c r="JUX29" s="204"/>
      <c r="JUY29" s="204"/>
      <c r="JUZ29" s="204"/>
      <c r="JVA29" s="204"/>
      <c r="JVB29" s="204"/>
      <c r="JVC29" s="204"/>
      <c r="JVD29" s="204"/>
      <c r="JVE29" s="204"/>
      <c r="JVF29" s="204"/>
      <c r="JVG29" s="204"/>
      <c r="JVH29" s="204"/>
      <c r="JVI29" s="204"/>
      <c r="JVJ29" s="204"/>
      <c r="JVK29" s="204"/>
      <c r="JVL29" s="204"/>
      <c r="JVM29" s="204"/>
      <c r="JVN29" s="204"/>
      <c r="JVO29" s="204"/>
      <c r="JVP29" s="204"/>
      <c r="JVQ29" s="204"/>
      <c r="JVR29" s="204"/>
      <c r="JVS29" s="204"/>
      <c r="JVT29" s="204"/>
      <c r="JVU29" s="204"/>
      <c r="JVV29" s="204"/>
      <c r="JVW29" s="204"/>
      <c r="JVX29" s="204"/>
      <c r="JVY29" s="204"/>
      <c r="JVZ29" s="204"/>
      <c r="JWA29" s="204"/>
      <c r="JWB29" s="204"/>
      <c r="JWC29" s="204"/>
      <c r="JWD29" s="204"/>
      <c r="JWE29" s="204"/>
      <c r="JWF29" s="204"/>
      <c r="JWG29" s="204"/>
      <c r="JWH29" s="204"/>
      <c r="JWI29" s="204"/>
      <c r="JWJ29" s="204"/>
      <c r="JWK29" s="204"/>
      <c r="JWL29" s="204"/>
      <c r="JWM29" s="204"/>
      <c r="JWN29" s="204"/>
      <c r="JWO29" s="204"/>
      <c r="JWP29" s="204"/>
      <c r="JWQ29" s="204"/>
      <c r="JWR29" s="204"/>
      <c r="JWS29" s="204"/>
      <c r="JWT29" s="204"/>
      <c r="JWU29" s="204"/>
      <c r="JWV29" s="204"/>
      <c r="JWW29" s="204"/>
      <c r="JWX29" s="204"/>
      <c r="JWY29" s="204"/>
      <c r="JWZ29" s="204"/>
      <c r="JXA29" s="204"/>
      <c r="JXB29" s="204"/>
      <c r="JXC29" s="204"/>
      <c r="JXD29" s="204"/>
      <c r="JXE29" s="204"/>
      <c r="JXF29" s="204"/>
      <c r="JXG29" s="204"/>
      <c r="JXH29" s="204"/>
      <c r="JXI29" s="204"/>
      <c r="JXJ29" s="204"/>
      <c r="JXK29" s="204"/>
      <c r="JXL29" s="204"/>
      <c r="JXM29" s="204"/>
      <c r="JXN29" s="204"/>
      <c r="JXO29" s="204"/>
      <c r="JXP29" s="204"/>
      <c r="JXQ29" s="204"/>
      <c r="JXR29" s="204"/>
      <c r="JXS29" s="204"/>
      <c r="JXT29" s="204"/>
      <c r="JXU29" s="204"/>
      <c r="JXV29" s="204"/>
      <c r="JXW29" s="204"/>
      <c r="JXX29" s="204"/>
      <c r="JXY29" s="204"/>
      <c r="JXZ29" s="204"/>
      <c r="JYA29" s="204"/>
      <c r="JYB29" s="204"/>
      <c r="JYC29" s="204"/>
      <c r="JYD29" s="204"/>
      <c r="JYE29" s="204"/>
      <c r="JYF29" s="204"/>
      <c r="JYG29" s="204"/>
      <c r="JYH29" s="204"/>
      <c r="JYI29" s="204"/>
      <c r="JYJ29" s="204"/>
      <c r="JYK29" s="204"/>
      <c r="JYL29" s="204"/>
      <c r="JYM29" s="204"/>
      <c r="JYN29" s="204"/>
      <c r="JYO29" s="204"/>
      <c r="JYP29" s="204"/>
      <c r="JYQ29" s="204"/>
      <c r="JYR29" s="204"/>
      <c r="JYS29" s="204"/>
      <c r="JYT29" s="204"/>
      <c r="JYU29" s="204"/>
      <c r="JYV29" s="204"/>
      <c r="JYW29" s="204"/>
      <c r="JYX29" s="204"/>
      <c r="JYY29" s="204"/>
      <c r="JYZ29" s="204"/>
      <c r="JZA29" s="204"/>
      <c r="JZB29" s="204"/>
      <c r="JZC29" s="204"/>
      <c r="JZD29" s="204"/>
      <c r="JZE29" s="204"/>
      <c r="JZF29" s="204"/>
      <c r="JZG29" s="204"/>
      <c r="JZH29" s="204"/>
      <c r="JZI29" s="204"/>
      <c r="JZJ29" s="204"/>
      <c r="JZK29" s="204"/>
      <c r="JZL29" s="204"/>
      <c r="JZM29" s="204"/>
      <c r="JZN29" s="204"/>
      <c r="JZO29" s="204"/>
      <c r="JZP29" s="204"/>
      <c r="JZQ29" s="204"/>
      <c r="JZR29" s="204"/>
      <c r="JZS29" s="204"/>
      <c r="JZT29" s="204"/>
      <c r="JZU29" s="204"/>
      <c r="JZV29" s="204"/>
      <c r="JZW29" s="204"/>
      <c r="JZX29" s="204"/>
      <c r="JZY29" s="204"/>
      <c r="JZZ29" s="204"/>
      <c r="KAA29" s="204"/>
      <c r="KAB29" s="204"/>
      <c r="KAC29" s="204"/>
      <c r="KAD29" s="204"/>
      <c r="KAE29" s="204"/>
      <c r="KAF29" s="204"/>
      <c r="KAG29" s="204"/>
      <c r="KAH29" s="204"/>
      <c r="KAI29" s="204"/>
      <c r="KAJ29" s="204"/>
      <c r="KAK29" s="204"/>
      <c r="KAL29" s="204"/>
      <c r="KAM29" s="204"/>
      <c r="KAN29" s="204"/>
      <c r="KAO29" s="204"/>
      <c r="KAP29" s="204"/>
      <c r="KAQ29" s="204"/>
      <c r="KAR29" s="204"/>
      <c r="KAS29" s="204"/>
      <c r="KAT29" s="204"/>
      <c r="KAU29" s="204"/>
      <c r="KAV29" s="204"/>
      <c r="KAW29" s="204"/>
      <c r="KAX29" s="204"/>
      <c r="KAY29" s="204"/>
      <c r="KAZ29" s="204"/>
      <c r="KBA29" s="204"/>
      <c r="KBB29" s="204"/>
      <c r="KBC29" s="204"/>
      <c r="KBD29" s="204"/>
      <c r="KBE29" s="204"/>
      <c r="KBF29" s="204"/>
      <c r="KBG29" s="204"/>
      <c r="KBH29" s="204"/>
      <c r="KBI29" s="204"/>
      <c r="KBJ29" s="204"/>
      <c r="KBK29" s="204"/>
      <c r="KBL29" s="204"/>
      <c r="KBM29" s="204"/>
      <c r="KBN29" s="204"/>
      <c r="KBO29" s="204"/>
      <c r="KBP29" s="204"/>
      <c r="KBQ29" s="204"/>
      <c r="KBR29" s="204"/>
      <c r="KBS29" s="204"/>
      <c r="KBT29" s="204"/>
      <c r="KBU29" s="204"/>
      <c r="KBV29" s="204"/>
      <c r="KBW29" s="204"/>
      <c r="KBX29" s="204"/>
      <c r="KBY29" s="204"/>
      <c r="KBZ29" s="204"/>
      <c r="KCA29" s="204"/>
      <c r="KCB29" s="204"/>
      <c r="KCC29" s="204"/>
      <c r="KCD29" s="204"/>
      <c r="KCE29" s="204"/>
      <c r="KCF29" s="204"/>
      <c r="KCG29" s="204"/>
      <c r="KCH29" s="204"/>
      <c r="KCI29" s="204"/>
      <c r="KCJ29" s="204"/>
      <c r="KCK29" s="204"/>
      <c r="KCL29" s="204"/>
      <c r="KCM29" s="204"/>
      <c r="KCN29" s="204"/>
      <c r="KCO29" s="204"/>
      <c r="KCP29" s="204"/>
      <c r="KCQ29" s="204"/>
      <c r="KCR29" s="204"/>
      <c r="KCS29" s="204"/>
      <c r="KCT29" s="204"/>
      <c r="KCU29" s="204"/>
      <c r="KCV29" s="204"/>
      <c r="KCW29" s="204"/>
      <c r="KCX29" s="204"/>
      <c r="KCY29" s="204"/>
      <c r="KCZ29" s="204"/>
      <c r="KDA29" s="204"/>
      <c r="KDB29" s="204"/>
      <c r="KDC29" s="204"/>
      <c r="KDD29" s="204"/>
      <c r="KDE29" s="204"/>
      <c r="KDF29" s="204"/>
      <c r="KDG29" s="204"/>
      <c r="KDH29" s="204"/>
      <c r="KDI29" s="204"/>
      <c r="KDJ29" s="204"/>
      <c r="KDK29" s="204"/>
      <c r="KDL29" s="204"/>
      <c r="KDM29" s="204"/>
      <c r="KDN29" s="204"/>
      <c r="KDO29" s="204"/>
      <c r="KDP29" s="204"/>
      <c r="KDQ29" s="204"/>
      <c r="KDR29" s="204"/>
      <c r="KDS29" s="204"/>
      <c r="KDT29" s="204"/>
      <c r="KDU29" s="204"/>
      <c r="KDV29" s="204"/>
      <c r="KDW29" s="204"/>
      <c r="KDX29" s="204"/>
      <c r="KDY29" s="204"/>
      <c r="KDZ29" s="204"/>
      <c r="KEA29" s="204"/>
      <c r="KEB29" s="204"/>
      <c r="KEC29" s="204"/>
      <c r="KED29" s="204"/>
      <c r="KEE29" s="204"/>
      <c r="KEF29" s="204"/>
      <c r="KEG29" s="204"/>
      <c r="KEH29" s="204"/>
      <c r="KEI29" s="204"/>
      <c r="KEJ29" s="204"/>
      <c r="KEK29" s="204"/>
      <c r="KEL29" s="204"/>
      <c r="KEM29" s="204"/>
      <c r="KEN29" s="204"/>
      <c r="KEO29" s="204"/>
      <c r="KEP29" s="204"/>
      <c r="KEQ29" s="204"/>
      <c r="KER29" s="204"/>
      <c r="KES29" s="204"/>
      <c r="KET29" s="204"/>
      <c r="KEU29" s="204"/>
      <c r="KEV29" s="204"/>
      <c r="KEW29" s="204"/>
      <c r="KEX29" s="204"/>
      <c r="KEY29" s="204"/>
      <c r="KEZ29" s="204"/>
      <c r="KFA29" s="204"/>
      <c r="KFB29" s="204"/>
      <c r="KFC29" s="204"/>
      <c r="KFD29" s="204"/>
      <c r="KFE29" s="204"/>
      <c r="KFF29" s="204"/>
      <c r="KFG29" s="204"/>
      <c r="KFH29" s="204"/>
      <c r="KFI29" s="204"/>
      <c r="KFJ29" s="204"/>
      <c r="KFK29" s="204"/>
      <c r="KFL29" s="204"/>
      <c r="KFM29" s="204"/>
      <c r="KFN29" s="204"/>
      <c r="KFO29" s="204"/>
      <c r="KFP29" s="204"/>
      <c r="KFQ29" s="204"/>
      <c r="KFR29" s="204"/>
      <c r="KFS29" s="204"/>
      <c r="KFT29" s="204"/>
      <c r="KFU29" s="204"/>
      <c r="KFV29" s="204"/>
      <c r="KFW29" s="204"/>
      <c r="KFX29" s="204"/>
      <c r="KFY29" s="204"/>
      <c r="KFZ29" s="204"/>
      <c r="KGA29" s="204"/>
      <c r="KGB29" s="204"/>
      <c r="KGC29" s="204"/>
      <c r="KGD29" s="204"/>
      <c r="KGE29" s="204"/>
      <c r="KGF29" s="204"/>
      <c r="KGG29" s="204"/>
      <c r="KGH29" s="204"/>
      <c r="KGI29" s="204"/>
      <c r="KGJ29" s="204"/>
      <c r="KGK29" s="204"/>
      <c r="KGL29" s="204"/>
      <c r="KGM29" s="204"/>
      <c r="KGN29" s="204"/>
      <c r="KGO29" s="204"/>
      <c r="KGP29" s="204"/>
      <c r="KGQ29" s="204"/>
      <c r="KGR29" s="204"/>
      <c r="KGS29" s="204"/>
      <c r="KGT29" s="204"/>
      <c r="KGU29" s="204"/>
      <c r="KGV29" s="204"/>
      <c r="KGW29" s="204"/>
      <c r="KGX29" s="204"/>
      <c r="KGY29" s="204"/>
      <c r="KGZ29" s="204"/>
      <c r="KHA29" s="204"/>
      <c r="KHB29" s="204"/>
      <c r="KHC29" s="204"/>
      <c r="KHD29" s="204"/>
      <c r="KHE29" s="204"/>
      <c r="KHF29" s="204"/>
      <c r="KHG29" s="204"/>
      <c r="KHH29" s="204"/>
      <c r="KHI29" s="204"/>
      <c r="KHJ29" s="204"/>
      <c r="KHK29" s="204"/>
      <c r="KHL29" s="204"/>
      <c r="KHM29" s="204"/>
      <c r="KHN29" s="204"/>
      <c r="KHO29" s="204"/>
      <c r="KHP29" s="204"/>
      <c r="KHQ29" s="204"/>
      <c r="KHR29" s="204"/>
      <c r="KHS29" s="204"/>
      <c r="KHT29" s="204"/>
      <c r="KHU29" s="204"/>
      <c r="KHV29" s="204"/>
      <c r="KHW29" s="204"/>
      <c r="KHX29" s="204"/>
      <c r="KHY29" s="204"/>
      <c r="KHZ29" s="204"/>
      <c r="KIA29" s="204"/>
      <c r="KIB29" s="204"/>
      <c r="KIC29" s="204"/>
      <c r="KID29" s="204"/>
      <c r="KIE29" s="204"/>
      <c r="KIF29" s="204"/>
      <c r="KIG29" s="204"/>
      <c r="KIH29" s="204"/>
      <c r="KII29" s="204"/>
      <c r="KIJ29" s="204"/>
      <c r="KIK29" s="204"/>
      <c r="KIL29" s="204"/>
      <c r="KIM29" s="204"/>
      <c r="KIN29" s="204"/>
      <c r="KIO29" s="204"/>
      <c r="KIP29" s="204"/>
      <c r="KIQ29" s="204"/>
      <c r="KIR29" s="204"/>
      <c r="KIS29" s="204"/>
      <c r="KIT29" s="204"/>
      <c r="KIU29" s="204"/>
      <c r="KIV29" s="204"/>
      <c r="KIW29" s="204"/>
      <c r="KIX29" s="204"/>
      <c r="KIY29" s="204"/>
      <c r="KIZ29" s="204"/>
      <c r="KJA29" s="204"/>
      <c r="KJB29" s="204"/>
      <c r="KJC29" s="204"/>
      <c r="KJD29" s="204"/>
      <c r="KJE29" s="204"/>
      <c r="KJF29" s="204"/>
      <c r="KJG29" s="204"/>
      <c r="KJH29" s="204"/>
      <c r="KJI29" s="204"/>
      <c r="KJJ29" s="204"/>
      <c r="KJK29" s="204"/>
      <c r="KJL29" s="204"/>
      <c r="KJM29" s="204"/>
      <c r="KJN29" s="204"/>
      <c r="KJO29" s="204"/>
      <c r="KJP29" s="204"/>
      <c r="KJQ29" s="204"/>
      <c r="KJR29" s="204"/>
      <c r="KJS29" s="204"/>
      <c r="KJT29" s="204"/>
      <c r="KJU29" s="204"/>
      <c r="KJV29" s="204"/>
      <c r="KJW29" s="204"/>
      <c r="KJX29" s="204"/>
      <c r="KJY29" s="204"/>
      <c r="KJZ29" s="204"/>
      <c r="KKA29" s="204"/>
      <c r="KKB29" s="204"/>
      <c r="KKC29" s="204"/>
      <c r="KKD29" s="204"/>
      <c r="KKE29" s="204"/>
      <c r="KKF29" s="204"/>
      <c r="KKG29" s="204"/>
      <c r="KKH29" s="204"/>
      <c r="KKI29" s="204"/>
      <c r="KKJ29" s="204"/>
      <c r="KKK29" s="204"/>
      <c r="KKL29" s="204"/>
      <c r="KKM29" s="204"/>
      <c r="KKN29" s="204"/>
      <c r="KKO29" s="204"/>
      <c r="KKP29" s="204"/>
      <c r="KKQ29" s="204"/>
      <c r="KKR29" s="204"/>
      <c r="KKS29" s="204"/>
      <c r="KKT29" s="204"/>
      <c r="KKU29" s="204"/>
      <c r="KKV29" s="204"/>
      <c r="KKW29" s="204"/>
      <c r="KKX29" s="204"/>
      <c r="KKY29" s="204"/>
      <c r="KKZ29" s="204"/>
      <c r="KLA29" s="204"/>
      <c r="KLB29" s="204"/>
      <c r="KLC29" s="204"/>
      <c r="KLD29" s="204"/>
      <c r="KLE29" s="204"/>
      <c r="KLF29" s="204"/>
      <c r="KLG29" s="204"/>
      <c r="KLH29" s="204"/>
      <c r="KLI29" s="204"/>
      <c r="KLJ29" s="204"/>
      <c r="KLK29" s="204"/>
      <c r="KLL29" s="204"/>
      <c r="KLM29" s="204"/>
      <c r="KLN29" s="204"/>
      <c r="KLO29" s="204"/>
      <c r="KLP29" s="204"/>
      <c r="KLQ29" s="204"/>
      <c r="KLR29" s="204"/>
      <c r="KLS29" s="204"/>
      <c r="KLT29" s="204"/>
      <c r="KLU29" s="204"/>
      <c r="KLV29" s="204"/>
      <c r="KLW29" s="204"/>
      <c r="KLX29" s="204"/>
      <c r="KLY29" s="204"/>
      <c r="KLZ29" s="204"/>
      <c r="KMA29" s="204"/>
      <c r="KMB29" s="204"/>
      <c r="KMC29" s="204"/>
      <c r="KMD29" s="204"/>
      <c r="KME29" s="204"/>
      <c r="KMF29" s="204"/>
      <c r="KMG29" s="204"/>
      <c r="KMH29" s="204"/>
      <c r="KMI29" s="204"/>
      <c r="KMJ29" s="204"/>
      <c r="KMK29" s="204"/>
      <c r="KML29" s="204"/>
      <c r="KMM29" s="204"/>
      <c r="KMN29" s="204"/>
      <c r="KMO29" s="204"/>
      <c r="KMP29" s="204"/>
      <c r="KMQ29" s="204"/>
      <c r="KMR29" s="204"/>
      <c r="KMS29" s="204"/>
      <c r="KMT29" s="204"/>
      <c r="KMU29" s="204"/>
      <c r="KMV29" s="204"/>
      <c r="KMW29" s="204"/>
      <c r="KMX29" s="204"/>
      <c r="KMY29" s="204"/>
      <c r="KMZ29" s="204"/>
      <c r="KNA29" s="204"/>
      <c r="KNB29" s="204"/>
      <c r="KNC29" s="204"/>
      <c r="KND29" s="204"/>
      <c r="KNE29" s="204"/>
      <c r="KNF29" s="204"/>
      <c r="KNG29" s="204"/>
      <c r="KNH29" s="204"/>
      <c r="KNI29" s="204"/>
      <c r="KNJ29" s="204"/>
      <c r="KNK29" s="204"/>
      <c r="KNL29" s="204"/>
      <c r="KNM29" s="204"/>
      <c r="KNN29" s="204"/>
      <c r="KNO29" s="204"/>
      <c r="KNP29" s="204"/>
      <c r="KNQ29" s="204"/>
      <c r="KNR29" s="204"/>
      <c r="KNS29" s="204"/>
      <c r="KNT29" s="204"/>
      <c r="KNU29" s="204"/>
      <c r="KNV29" s="204"/>
      <c r="KNW29" s="204"/>
      <c r="KNX29" s="204"/>
      <c r="KNY29" s="204"/>
      <c r="KNZ29" s="204"/>
      <c r="KOA29" s="204"/>
      <c r="KOB29" s="204"/>
      <c r="KOC29" s="204"/>
      <c r="KOD29" s="204"/>
      <c r="KOE29" s="204"/>
      <c r="KOF29" s="204"/>
      <c r="KOG29" s="204"/>
      <c r="KOH29" s="204"/>
      <c r="KOI29" s="204"/>
      <c r="KOJ29" s="204"/>
      <c r="KOK29" s="204"/>
      <c r="KOL29" s="204"/>
      <c r="KOM29" s="204"/>
      <c r="KON29" s="204"/>
      <c r="KOO29" s="204"/>
      <c r="KOP29" s="204"/>
      <c r="KOQ29" s="204"/>
      <c r="KOR29" s="204"/>
      <c r="KOS29" s="204"/>
      <c r="KOT29" s="204"/>
      <c r="KOU29" s="204"/>
      <c r="KOV29" s="204"/>
      <c r="KOW29" s="204"/>
      <c r="KOX29" s="204"/>
      <c r="KOY29" s="204"/>
      <c r="KOZ29" s="204"/>
      <c r="KPA29" s="204"/>
      <c r="KPB29" s="204"/>
      <c r="KPC29" s="204"/>
      <c r="KPD29" s="204"/>
      <c r="KPE29" s="204"/>
      <c r="KPF29" s="204"/>
      <c r="KPG29" s="204"/>
      <c r="KPH29" s="204"/>
      <c r="KPI29" s="204"/>
      <c r="KPJ29" s="204"/>
      <c r="KPK29" s="204"/>
      <c r="KPL29" s="204"/>
      <c r="KPM29" s="204"/>
      <c r="KPN29" s="204"/>
      <c r="KPO29" s="204"/>
      <c r="KPP29" s="204"/>
      <c r="KPQ29" s="204"/>
      <c r="KPR29" s="204"/>
      <c r="KPS29" s="204"/>
      <c r="KPT29" s="204"/>
      <c r="KPU29" s="204"/>
      <c r="KPV29" s="204"/>
      <c r="KPW29" s="204"/>
      <c r="KPX29" s="204"/>
      <c r="KPY29" s="204"/>
      <c r="KPZ29" s="204"/>
      <c r="KQA29" s="204"/>
      <c r="KQB29" s="204"/>
      <c r="KQC29" s="204"/>
      <c r="KQD29" s="204"/>
      <c r="KQE29" s="204"/>
      <c r="KQF29" s="204"/>
      <c r="KQG29" s="204"/>
      <c r="KQH29" s="204"/>
      <c r="KQI29" s="204"/>
      <c r="KQJ29" s="204"/>
      <c r="KQK29" s="204"/>
      <c r="KQL29" s="204"/>
      <c r="KQM29" s="204"/>
      <c r="KQN29" s="204"/>
      <c r="KQO29" s="204"/>
      <c r="KQP29" s="204"/>
      <c r="KQQ29" s="204"/>
      <c r="KQR29" s="204"/>
      <c r="KQS29" s="204"/>
      <c r="KQT29" s="204"/>
      <c r="KQU29" s="204"/>
      <c r="KQV29" s="204"/>
      <c r="KQW29" s="204"/>
      <c r="KQX29" s="204"/>
      <c r="KQY29" s="204"/>
      <c r="KQZ29" s="204"/>
      <c r="KRA29" s="204"/>
      <c r="KRB29" s="204"/>
      <c r="KRC29" s="204"/>
      <c r="KRD29" s="204"/>
      <c r="KRE29" s="204"/>
      <c r="KRF29" s="204"/>
      <c r="KRG29" s="204"/>
      <c r="KRH29" s="204"/>
      <c r="KRI29" s="204"/>
      <c r="KRJ29" s="204"/>
      <c r="KRK29" s="204"/>
      <c r="KRL29" s="204"/>
      <c r="KRM29" s="204"/>
      <c r="KRN29" s="204"/>
      <c r="KRO29" s="204"/>
      <c r="KRP29" s="204"/>
      <c r="KRQ29" s="204"/>
      <c r="KRR29" s="204"/>
      <c r="KRS29" s="204"/>
      <c r="KRT29" s="204"/>
      <c r="KRU29" s="204"/>
      <c r="KRV29" s="204"/>
      <c r="KRW29" s="204"/>
      <c r="KRX29" s="204"/>
      <c r="KRY29" s="204"/>
      <c r="KRZ29" s="204"/>
      <c r="KSA29" s="204"/>
      <c r="KSB29" s="204"/>
      <c r="KSC29" s="204"/>
      <c r="KSD29" s="204"/>
      <c r="KSE29" s="204"/>
      <c r="KSF29" s="204"/>
      <c r="KSG29" s="204"/>
      <c r="KSH29" s="204"/>
      <c r="KSI29" s="204"/>
      <c r="KSJ29" s="204"/>
      <c r="KSK29" s="204"/>
      <c r="KSL29" s="204"/>
      <c r="KSM29" s="204"/>
      <c r="KSN29" s="204"/>
      <c r="KSO29" s="204"/>
      <c r="KSP29" s="204"/>
      <c r="KSQ29" s="204"/>
      <c r="KSR29" s="204"/>
      <c r="KSS29" s="204"/>
      <c r="KST29" s="204"/>
      <c r="KSU29" s="204"/>
      <c r="KSV29" s="204"/>
      <c r="KSW29" s="204"/>
      <c r="KSX29" s="204"/>
      <c r="KSY29" s="204"/>
      <c r="KSZ29" s="204"/>
      <c r="KTA29" s="204"/>
      <c r="KTB29" s="204"/>
      <c r="KTC29" s="204"/>
      <c r="KTD29" s="204"/>
      <c r="KTE29" s="204"/>
      <c r="KTF29" s="204"/>
      <c r="KTG29" s="204"/>
      <c r="KTH29" s="204"/>
      <c r="KTI29" s="204"/>
      <c r="KTJ29" s="204"/>
      <c r="KTK29" s="204"/>
      <c r="KTL29" s="204"/>
      <c r="KTM29" s="204"/>
      <c r="KTN29" s="204"/>
      <c r="KTO29" s="204"/>
      <c r="KTP29" s="204"/>
      <c r="KTQ29" s="204"/>
      <c r="KTR29" s="204"/>
      <c r="KTS29" s="204"/>
      <c r="KTT29" s="204"/>
      <c r="KTU29" s="204"/>
      <c r="KTV29" s="204"/>
      <c r="KTW29" s="204"/>
      <c r="KTX29" s="204"/>
      <c r="KTY29" s="204"/>
      <c r="KTZ29" s="204"/>
      <c r="KUA29" s="204"/>
      <c r="KUB29" s="204"/>
      <c r="KUC29" s="204"/>
      <c r="KUD29" s="204"/>
      <c r="KUE29" s="204"/>
      <c r="KUF29" s="204"/>
      <c r="KUG29" s="204"/>
      <c r="KUH29" s="204"/>
      <c r="KUI29" s="204"/>
      <c r="KUJ29" s="204"/>
      <c r="KUK29" s="204"/>
      <c r="KUL29" s="204"/>
      <c r="KUM29" s="204"/>
      <c r="KUN29" s="204"/>
      <c r="KUO29" s="204"/>
      <c r="KUP29" s="204"/>
      <c r="KUQ29" s="204"/>
      <c r="KUR29" s="204"/>
      <c r="KUS29" s="204"/>
      <c r="KUT29" s="204"/>
      <c r="KUU29" s="204"/>
      <c r="KUV29" s="204"/>
      <c r="KUW29" s="204"/>
      <c r="KUX29" s="204"/>
      <c r="KUY29" s="204"/>
      <c r="KUZ29" s="204"/>
      <c r="KVA29" s="204"/>
      <c r="KVB29" s="204"/>
      <c r="KVC29" s="204"/>
      <c r="KVD29" s="204"/>
      <c r="KVE29" s="204"/>
      <c r="KVF29" s="204"/>
      <c r="KVG29" s="204"/>
      <c r="KVH29" s="204"/>
      <c r="KVI29" s="204"/>
      <c r="KVJ29" s="204"/>
      <c r="KVK29" s="204"/>
      <c r="KVL29" s="204"/>
      <c r="KVM29" s="204"/>
      <c r="KVN29" s="204"/>
      <c r="KVO29" s="204"/>
      <c r="KVP29" s="204"/>
      <c r="KVQ29" s="204"/>
      <c r="KVR29" s="204"/>
      <c r="KVS29" s="204"/>
      <c r="KVT29" s="204"/>
      <c r="KVU29" s="204"/>
      <c r="KVV29" s="204"/>
      <c r="KVW29" s="204"/>
      <c r="KVX29" s="204"/>
      <c r="KVY29" s="204"/>
      <c r="KVZ29" s="204"/>
      <c r="KWA29" s="204"/>
      <c r="KWB29" s="204"/>
      <c r="KWC29" s="204"/>
      <c r="KWD29" s="204"/>
      <c r="KWE29" s="204"/>
      <c r="KWF29" s="204"/>
      <c r="KWG29" s="204"/>
      <c r="KWH29" s="204"/>
      <c r="KWI29" s="204"/>
      <c r="KWJ29" s="204"/>
      <c r="KWK29" s="204"/>
      <c r="KWL29" s="204"/>
      <c r="KWM29" s="204"/>
      <c r="KWN29" s="204"/>
      <c r="KWO29" s="204"/>
      <c r="KWP29" s="204"/>
      <c r="KWQ29" s="204"/>
      <c r="KWR29" s="204"/>
      <c r="KWS29" s="204"/>
      <c r="KWT29" s="204"/>
      <c r="KWU29" s="204"/>
      <c r="KWV29" s="204"/>
      <c r="KWW29" s="204"/>
      <c r="KWX29" s="204"/>
      <c r="KWY29" s="204"/>
      <c r="KWZ29" s="204"/>
      <c r="KXA29" s="204"/>
      <c r="KXB29" s="204"/>
      <c r="KXC29" s="204"/>
      <c r="KXD29" s="204"/>
      <c r="KXE29" s="204"/>
      <c r="KXF29" s="204"/>
      <c r="KXG29" s="204"/>
      <c r="KXH29" s="204"/>
      <c r="KXI29" s="204"/>
      <c r="KXJ29" s="204"/>
      <c r="KXK29" s="204"/>
      <c r="KXL29" s="204"/>
      <c r="KXM29" s="204"/>
      <c r="KXN29" s="204"/>
      <c r="KXO29" s="204"/>
      <c r="KXP29" s="204"/>
      <c r="KXQ29" s="204"/>
      <c r="KXR29" s="204"/>
      <c r="KXS29" s="204"/>
      <c r="KXT29" s="204"/>
      <c r="KXU29" s="204"/>
      <c r="KXV29" s="204"/>
      <c r="KXW29" s="204"/>
      <c r="KXX29" s="204"/>
      <c r="KXY29" s="204"/>
      <c r="KXZ29" s="204"/>
      <c r="KYA29" s="204"/>
      <c r="KYB29" s="204"/>
      <c r="KYC29" s="204"/>
      <c r="KYD29" s="204"/>
      <c r="KYE29" s="204"/>
      <c r="KYF29" s="204"/>
      <c r="KYG29" s="204"/>
      <c r="KYH29" s="204"/>
      <c r="KYI29" s="204"/>
      <c r="KYJ29" s="204"/>
      <c r="KYK29" s="204"/>
      <c r="KYL29" s="204"/>
      <c r="KYM29" s="204"/>
      <c r="KYN29" s="204"/>
      <c r="KYO29" s="204"/>
      <c r="KYP29" s="204"/>
      <c r="KYQ29" s="204"/>
      <c r="KYR29" s="204"/>
      <c r="KYS29" s="204"/>
      <c r="KYT29" s="204"/>
      <c r="KYU29" s="204"/>
      <c r="KYV29" s="204"/>
      <c r="KYW29" s="204"/>
      <c r="KYX29" s="204"/>
      <c r="KYY29" s="204"/>
      <c r="KYZ29" s="204"/>
      <c r="KZA29" s="204"/>
      <c r="KZB29" s="204"/>
      <c r="KZC29" s="204"/>
      <c r="KZD29" s="204"/>
      <c r="KZE29" s="204"/>
      <c r="KZF29" s="204"/>
      <c r="KZG29" s="204"/>
      <c r="KZH29" s="204"/>
      <c r="KZI29" s="204"/>
      <c r="KZJ29" s="204"/>
      <c r="KZK29" s="204"/>
      <c r="KZL29" s="204"/>
      <c r="KZM29" s="204"/>
      <c r="KZN29" s="204"/>
      <c r="KZO29" s="204"/>
      <c r="KZP29" s="204"/>
      <c r="KZQ29" s="204"/>
      <c r="KZR29" s="204"/>
      <c r="KZS29" s="204"/>
      <c r="KZT29" s="204"/>
      <c r="KZU29" s="204"/>
      <c r="KZV29" s="204"/>
      <c r="KZW29" s="204"/>
      <c r="KZX29" s="204"/>
      <c r="KZY29" s="204"/>
      <c r="KZZ29" s="204"/>
      <c r="LAA29" s="204"/>
      <c r="LAB29" s="204"/>
      <c r="LAC29" s="204"/>
      <c r="LAD29" s="204"/>
      <c r="LAE29" s="204"/>
      <c r="LAF29" s="204"/>
      <c r="LAG29" s="204"/>
      <c r="LAH29" s="204"/>
      <c r="LAI29" s="204"/>
      <c r="LAJ29" s="204"/>
      <c r="LAK29" s="204"/>
      <c r="LAL29" s="204"/>
      <c r="LAM29" s="204"/>
      <c r="LAN29" s="204"/>
      <c r="LAO29" s="204"/>
      <c r="LAP29" s="204"/>
      <c r="LAQ29" s="204"/>
      <c r="LAR29" s="204"/>
      <c r="LAS29" s="204"/>
      <c r="LAT29" s="204"/>
      <c r="LAU29" s="204"/>
      <c r="LAV29" s="204"/>
      <c r="LAW29" s="204"/>
      <c r="LAX29" s="204"/>
      <c r="LAY29" s="204"/>
      <c r="LAZ29" s="204"/>
      <c r="LBA29" s="204"/>
      <c r="LBB29" s="204"/>
      <c r="LBC29" s="204"/>
      <c r="LBD29" s="204"/>
      <c r="LBE29" s="204"/>
      <c r="LBF29" s="204"/>
      <c r="LBG29" s="204"/>
      <c r="LBH29" s="204"/>
      <c r="LBI29" s="204"/>
      <c r="LBJ29" s="204"/>
      <c r="LBK29" s="204"/>
      <c r="LBL29" s="204"/>
      <c r="LBM29" s="204"/>
      <c r="LBN29" s="204"/>
      <c r="LBO29" s="204"/>
      <c r="LBP29" s="204"/>
      <c r="LBQ29" s="204"/>
      <c r="LBR29" s="204"/>
      <c r="LBS29" s="204"/>
      <c r="LBT29" s="204"/>
      <c r="LBU29" s="204"/>
      <c r="LBV29" s="204"/>
      <c r="LBW29" s="204"/>
      <c r="LBX29" s="204"/>
      <c r="LBY29" s="204"/>
      <c r="LBZ29" s="204"/>
      <c r="LCA29" s="204"/>
      <c r="LCB29" s="204"/>
      <c r="LCC29" s="204"/>
      <c r="LCD29" s="204"/>
      <c r="LCE29" s="204"/>
      <c r="LCF29" s="204"/>
      <c r="LCG29" s="204"/>
      <c r="LCH29" s="204"/>
      <c r="LCI29" s="204"/>
      <c r="LCJ29" s="204"/>
      <c r="LCK29" s="204"/>
      <c r="LCL29" s="204"/>
      <c r="LCM29" s="204"/>
      <c r="LCN29" s="204"/>
      <c r="LCO29" s="204"/>
      <c r="LCP29" s="204"/>
      <c r="LCQ29" s="204"/>
      <c r="LCR29" s="204"/>
      <c r="LCS29" s="204"/>
      <c r="LCT29" s="204"/>
      <c r="LCU29" s="204"/>
      <c r="LCV29" s="204"/>
      <c r="LCW29" s="204"/>
      <c r="LCX29" s="204"/>
      <c r="LCY29" s="204"/>
      <c r="LCZ29" s="204"/>
      <c r="LDA29" s="204"/>
      <c r="LDB29" s="204"/>
      <c r="LDC29" s="204"/>
      <c r="LDD29" s="204"/>
      <c r="LDE29" s="204"/>
      <c r="LDF29" s="204"/>
      <c r="LDG29" s="204"/>
      <c r="LDH29" s="204"/>
      <c r="LDI29" s="204"/>
      <c r="LDJ29" s="204"/>
      <c r="LDK29" s="204"/>
      <c r="LDL29" s="204"/>
      <c r="LDM29" s="204"/>
      <c r="LDN29" s="204"/>
      <c r="LDO29" s="204"/>
      <c r="LDP29" s="204"/>
      <c r="LDQ29" s="204"/>
      <c r="LDR29" s="204"/>
      <c r="LDS29" s="204"/>
      <c r="LDT29" s="204"/>
      <c r="LDU29" s="204"/>
      <c r="LDV29" s="204"/>
      <c r="LDW29" s="204"/>
      <c r="LDX29" s="204"/>
      <c r="LDY29" s="204"/>
      <c r="LDZ29" s="204"/>
      <c r="LEA29" s="204"/>
      <c r="LEB29" s="204"/>
      <c r="LEC29" s="204"/>
      <c r="LED29" s="204"/>
      <c r="LEE29" s="204"/>
      <c r="LEF29" s="204"/>
      <c r="LEG29" s="204"/>
      <c r="LEH29" s="204"/>
      <c r="LEI29" s="204"/>
      <c r="LEJ29" s="204"/>
      <c r="LEK29" s="204"/>
      <c r="LEL29" s="204"/>
      <c r="LEM29" s="204"/>
      <c r="LEN29" s="204"/>
      <c r="LEO29" s="204"/>
      <c r="LEP29" s="204"/>
      <c r="LEQ29" s="204"/>
      <c r="LER29" s="204"/>
      <c r="LES29" s="204"/>
      <c r="LET29" s="204"/>
      <c r="LEU29" s="204"/>
      <c r="LEV29" s="204"/>
      <c r="LEW29" s="204"/>
      <c r="LEX29" s="204"/>
      <c r="LEY29" s="204"/>
      <c r="LEZ29" s="204"/>
      <c r="LFA29" s="204"/>
      <c r="LFB29" s="204"/>
      <c r="LFC29" s="204"/>
      <c r="LFD29" s="204"/>
      <c r="LFE29" s="204"/>
      <c r="LFF29" s="204"/>
      <c r="LFG29" s="204"/>
      <c r="LFH29" s="204"/>
      <c r="LFI29" s="204"/>
      <c r="LFJ29" s="204"/>
      <c r="LFK29" s="204"/>
      <c r="LFL29" s="204"/>
      <c r="LFM29" s="204"/>
      <c r="LFN29" s="204"/>
      <c r="LFO29" s="204"/>
      <c r="LFP29" s="204"/>
      <c r="LFQ29" s="204"/>
      <c r="LFR29" s="204"/>
      <c r="LFS29" s="204"/>
      <c r="LFT29" s="204"/>
      <c r="LFU29" s="204"/>
      <c r="LFV29" s="204"/>
      <c r="LFW29" s="204"/>
      <c r="LFX29" s="204"/>
      <c r="LFY29" s="204"/>
      <c r="LFZ29" s="204"/>
      <c r="LGA29" s="204"/>
      <c r="LGB29" s="204"/>
      <c r="LGC29" s="204"/>
      <c r="LGD29" s="204"/>
      <c r="LGE29" s="204"/>
      <c r="LGF29" s="204"/>
      <c r="LGG29" s="204"/>
      <c r="LGH29" s="204"/>
      <c r="LGI29" s="204"/>
      <c r="LGJ29" s="204"/>
      <c r="LGK29" s="204"/>
      <c r="LGL29" s="204"/>
      <c r="LGM29" s="204"/>
      <c r="LGN29" s="204"/>
      <c r="LGO29" s="204"/>
      <c r="LGP29" s="204"/>
      <c r="LGQ29" s="204"/>
      <c r="LGR29" s="204"/>
      <c r="LGS29" s="204"/>
      <c r="LGT29" s="204"/>
      <c r="LGU29" s="204"/>
      <c r="LGV29" s="204"/>
      <c r="LGW29" s="204"/>
      <c r="LGX29" s="204"/>
      <c r="LGY29" s="204"/>
      <c r="LGZ29" s="204"/>
      <c r="LHA29" s="204"/>
      <c r="LHB29" s="204"/>
      <c r="LHC29" s="204"/>
      <c r="LHD29" s="204"/>
      <c r="LHE29" s="204"/>
      <c r="LHF29" s="204"/>
      <c r="LHG29" s="204"/>
      <c r="LHH29" s="204"/>
      <c r="LHI29" s="204"/>
      <c r="LHJ29" s="204"/>
      <c r="LHK29" s="204"/>
      <c r="LHL29" s="204"/>
      <c r="LHM29" s="204"/>
      <c r="LHN29" s="204"/>
      <c r="LHO29" s="204"/>
      <c r="LHP29" s="204"/>
      <c r="LHQ29" s="204"/>
      <c r="LHR29" s="204"/>
      <c r="LHS29" s="204"/>
      <c r="LHT29" s="204"/>
      <c r="LHU29" s="204"/>
      <c r="LHV29" s="204"/>
      <c r="LHW29" s="204"/>
      <c r="LHX29" s="204"/>
      <c r="LHY29" s="204"/>
      <c r="LHZ29" s="204"/>
      <c r="LIA29" s="204"/>
      <c r="LIB29" s="204"/>
      <c r="LIC29" s="204"/>
      <c r="LID29" s="204"/>
      <c r="LIE29" s="204"/>
      <c r="LIF29" s="204"/>
      <c r="LIG29" s="204"/>
      <c r="LIH29" s="204"/>
      <c r="LII29" s="204"/>
      <c r="LIJ29" s="204"/>
      <c r="LIK29" s="204"/>
      <c r="LIL29" s="204"/>
      <c r="LIM29" s="204"/>
      <c r="LIN29" s="204"/>
      <c r="LIO29" s="204"/>
      <c r="LIP29" s="204"/>
      <c r="LIQ29" s="204"/>
      <c r="LIR29" s="204"/>
      <c r="LIS29" s="204"/>
      <c r="LIT29" s="204"/>
      <c r="LIU29" s="204"/>
      <c r="LIV29" s="204"/>
      <c r="LIW29" s="204"/>
      <c r="LIX29" s="204"/>
      <c r="LIY29" s="204"/>
      <c r="LIZ29" s="204"/>
      <c r="LJA29" s="204"/>
      <c r="LJB29" s="204"/>
      <c r="LJC29" s="204"/>
      <c r="LJD29" s="204"/>
      <c r="LJE29" s="204"/>
      <c r="LJF29" s="204"/>
      <c r="LJG29" s="204"/>
      <c r="LJH29" s="204"/>
      <c r="LJI29" s="204"/>
      <c r="LJJ29" s="204"/>
      <c r="LJK29" s="204"/>
      <c r="LJL29" s="204"/>
      <c r="LJM29" s="204"/>
      <c r="LJN29" s="204"/>
      <c r="LJO29" s="204"/>
      <c r="LJP29" s="204"/>
      <c r="LJQ29" s="204"/>
      <c r="LJR29" s="204"/>
      <c r="LJS29" s="204"/>
      <c r="LJT29" s="204"/>
      <c r="LJU29" s="204"/>
      <c r="LJV29" s="204"/>
      <c r="LJW29" s="204"/>
      <c r="LJX29" s="204"/>
      <c r="LJY29" s="204"/>
      <c r="LJZ29" s="204"/>
      <c r="LKA29" s="204"/>
      <c r="LKB29" s="204"/>
      <c r="LKC29" s="204"/>
      <c r="LKD29" s="204"/>
      <c r="LKE29" s="204"/>
      <c r="LKF29" s="204"/>
      <c r="LKG29" s="204"/>
      <c r="LKH29" s="204"/>
      <c r="LKI29" s="204"/>
      <c r="LKJ29" s="204"/>
      <c r="LKK29" s="204"/>
      <c r="LKL29" s="204"/>
      <c r="LKM29" s="204"/>
      <c r="LKN29" s="204"/>
      <c r="LKO29" s="204"/>
      <c r="LKP29" s="204"/>
      <c r="LKQ29" s="204"/>
      <c r="LKR29" s="204"/>
      <c r="LKS29" s="204"/>
      <c r="LKT29" s="204"/>
      <c r="LKU29" s="204"/>
      <c r="LKV29" s="204"/>
      <c r="LKW29" s="204"/>
      <c r="LKX29" s="204"/>
      <c r="LKY29" s="204"/>
      <c r="LKZ29" s="204"/>
      <c r="LLA29" s="204"/>
      <c r="LLB29" s="204"/>
      <c r="LLC29" s="204"/>
      <c r="LLD29" s="204"/>
      <c r="LLE29" s="204"/>
      <c r="LLF29" s="204"/>
      <c r="LLG29" s="204"/>
      <c r="LLH29" s="204"/>
      <c r="LLI29" s="204"/>
      <c r="LLJ29" s="204"/>
      <c r="LLK29" s="204"/>
      <c r="LLL29" s="204"/>
      <c r="LLM29" s="204"/>
      <c r="LLN29" s="204"/>
      <c r="LLO29" s="204"/>
      <c r="LLP29" s="204"/>
      <c r="LLQ29" s="204"/>
      <c r="LLR29" s="204"/>
      <c r="LLS29" s="204"/>
      <c r="LLT29" s="204"/>
      <c r="LLU29" s="204"/>
      <c r="LLV29" s="204"/>
      <c r="LLW29" s="204"/>
      <c r="LLX29" s="204"/>
      <c r="LLY29" s="204"/>
      <c r="LLZ29" s="204"/>
      <c r="LMA29" s="204"/>
      <c r="LMB29" s="204"/>
      <c r="LMC29" s="204"/>
      <c r="LMD29" s="204"/>
      <c r="LME29" s="204"/>
      <c r="LMF29" s="204"/>
      <c r="LMG29" s="204"/>
      <c r="LMH29" s="204"/>
      <c r="LMI29" s="204"/>
      <c r="LMJ29" s="204"/>
      <c r="LMK29" s="204"/>
      <c r="LML29" s="204"/>
      <c r="LMM29" s="204"/>
      <c r="LMN29" s="204"/>
      <c r="LMO29" s="204"/>
      <c r="LMP29" s="204"/>
      <c r="LMQ29" s="204"/>
      <c r="LMR29" s="204"/>
      <c r="LMS29" s="204"/>
      <c r="LMT29" s="204"/>
      <c r="LMU29" s="204"/>
      <c r="LMV29" s="204"/>
      <c r="LMW29" s="204"/>
      <c r="LMX29" s="204"/>
      <c r="LMY29" s="204"/>
      <c r="LMZ29" s="204"/>
      <c r="LNA29" s="204"/>
      <c r="LNB29" s="204"/>
      <c r="LNC29" s="204"/>
      <c r="LND29" s="204"/>
      <c r="LNE29" s="204"/>
      <c r="LNF29" s="204"/>
      <c r="LNG29" s="204"/>
      <c r="LNH29" s="204"/>
      <c r="LNI29" s="204"/>
      <c r="LNJ29" s="204"/>
      <c r="LNK29" s="204"/>
      <c r="LNL29" s="204"/>
      <c r="LNM29" s="204"/>
      <c r="LNN29" s="204"/>
      <c r="LNO29" s="204"/>
      <c r="LNP29" s="204"/>
      <c r="LNQ29" s="204"/>
      <c r="LNR29" s="204"/>
      <c r="LNS29" s="204"/>
      <c r="LNT29" s="204"/>
      <c r="LNU29" s="204"/>
      <c r="LNV29" s="204"/>
      <c r="LNW29" s="204"/>
      <c r="LNX29" s="204"/>
      <c r="LNY29" s="204"/>
      <c r="LNZ29" s="204"/>
      <c r="LOA29" s="204"/>
      <c r="LOB29" s="204"/>
      <c r="LOC29" s="204"/>
      <c r="LOD29" s="204"/>
      <c r="LOE29" s="204"/>
      <c r="LOF29" s="204"/>
      <c r="LOG29" s="204"/>
      <c r="LOH29" s="204"/>
      <c r="LOI29" s="204"/>
      <c r="LOJ29" s="204"/>
      <c r="LOK29" s="204"/>
      <c r="LOL29" s="204"/>
      <c r="LOM29" s="204"/>
      <c r="LON29" s="204"/>
      <c r="LOO29" s="204"/>
      <c r="LOP29" s="204"/>
      <c r="LOQ29" s="204"/>
      <c r="LOR29" s="204"/>
      <c r="LOS29" s="204"/>
      <c r="LOT29" s="204"/>
      <c r="LOU29" s="204"/>
      <c r="LOV29" s="204"/>
      <c r="LOW29" s="204"/>
      <c r="LOX29" s="204"/>
      <c r="LOY29" s="204"/>
      <c r="LOZ29" s="204"/>
      <c r="LPA29" s="204"/>
      <c r="LPB29" s="204"/>
      <c r="LPC29" s="204"/>
      <c r="LPD29" s="204"/>
      <c r="LPE29" s="204"/>
      <c r="LPF29" s="204"/>
      <c r="LPG29" s="204"/>
      <c r="LPH29" s="204"/>
      <c r="LPI29" s="204"/>
      <c r="LPJ29" s="204"/>
      <c r="LPK29" s="204"/>
      <c r="LPL29" s="204"/>
      <c r="LPM29" s="204"/>
      <c r="LPN29" s="204"/>
      <c r="LPO29" s="204"/>
      <c r="LPP29" s="204"/>
      <c r="LPQ29" s="204"/>
      <c r="LPR29" s="204"/>
      <c r="LPS29" s="204"/>
      <c r="LPT29" s="204"/>
      <c r="LPU29" s="204"/>
      <c r="LPV29" s="204"/>
      <c r="LPW29" s="204"/>
      <c r="LPX29" s="204"/>
      <c r="LPY29" s="204"/>
      <c r="LPZ29" s="204"/>
      <c r="LQA29" s="204"/>
      <c r="LQB29" s="204"/>
      <c r="LQC29" s="204"/>
      <c r="LQD29" s="204"/>
      <c r="LQE29" s="204"/>
      <c r="LQF29" s="204"/>
      <c r="LQG29" s="204"/>
      <c r="LQH29" s="204"/>
      <c r="LQI29" s="204"/>
      <c r="LQJ29" s="204"/>
      <c r="LQK29" s="204"/>
      <c r="LQL29" s="204"/>
      <c r="LQM29" s="204"/>
      <c r="LQN29" s="204"/>
      <c r="LQO29" s="204"/>
      <c r="LQP29" s="204"/>
      <c r="LQQ29" s="204"/>
      <c r="LQR29" s="204"/>
      <c r="LQS29" s="204"/>
      <c r="LQT29" s="204"/>
      <c r="LQU29" s="204"/>
      <c r="LQV29" s="204"/>
      <c r="LQW29" s="204"/>
      <c r="LQX29" s="204"/>
      <c r="LQY29" s="204"/>
      <c r="LQZ29" s="204"/>
      <c r="LRA29" s="204"/>
      <c r="LRB29" s="204"/>
      <c r="LRC29" s="204"/>
      <c r="LRD29" s="204"/>
      <c r="LRE29" s="204"/>
      <c r="LRF29" s="204"/>
      <c r="LRG29" s="204"/>
      <c r="LRH29" s="204"/>
      <c r="LRI29" s="204"/>
      <c r="LRJ29" s="204"/>
      <c r="LRK29" s="204"/>
      <c r="LRL29" s="204"/>
      <c r="LRM29" s="204"/>
      <c r="LRN29" s="204"/>
      <c r="LRO29" s="204"/>
      <c r="LRP29" s="204"/>
      <c r="LRQ29" s="204"/>
      <c r="LRR29" s="204"/>
      <c r="LRS29" s="204"/>
      <c r="LRT29" s="204"/>
      <c r="LRU29" s="204"/>
      <c r="LRV29" s="204"/>
      <c r="LRW29" s="204"/>
      <c r="LRX29" s="204"/>
      <c r="LRY29" s="204"/>
      <c r="LRZ29" s="204"/>
      <c r="LSA29" s="204"/>
      <c r="LSB29" s="204"/>
      <c r="LSC29" s="204"/>
      <c r="LSD29" s="204"/>
      <c r="LSE29" s="204"/>
      <c r="LSF29" s="204"/>
      <c r="LSG29" s="204"/>
      <c r="LSH29" s="204"/>
      <c r="LSI29" s="204"/>
      <c r="LSJ29" s="204"/>
      <c r="LSK29" s="204"/>
      <c r="LSL29" s="204"/>
      <c r="LSM29" s="204"/>
      <c r="LSN29" s="204"/>
      <c r="LSO29" s="204"/>
      <c r="LSP29" s="204"/>
      <c r="LSQ29" s="204"/>
      <c r="LSR29" s="204"/>
      <c r="LSS29" s="204"/>
      <c r="LST29" s="204"/>
      <c r="LSU29" s="204"/>
      <c r="LSV29" s="204"/>
      <c r="LSW29" s="204"/>
      <c r="LSX29" s="204"/>
      <c r="LSY29" s="204"/>
      <c r="LSZ29" s="204"/>
      <c r="LTA29" s="204"/>
      <c r="LTB29" s="204"/>
      <c r="LTC29" s="204"/>
      <c r="LTD29" s="204"/>
      <c r="LTE29" s="204"/>
      <c r="LTF29" s="204"/>
      <c r="LTG29" s="204"/>
      <c r="LTH29" s="204"/>
      <c r="LTI29" s="204"/>
      <c r="LTJ29" s="204"/>
      <c r="LTK29" s="204"/>
      <c r="LTL29" s="204"/>
      <c r="LTM29" s="204"/>
      <c r="LTN29" s="204"/>
      <c r="LTO29" s="204"/>
      <c r="LTP29" s="204"/>
      <c r="LTQ29" s="204"/>
      <c r="LTR29" s="204"/>
      <c r="LTS29" s="204"/>
      <c r="LTT29" s="204"/>
      <c r="LTU29" s="204"/>
      <c r="LTV29" s="204"/>
      <c r="LTW29" s="204"/>
      <c r="LTX29" s="204"/>
      <c r="LTY29" s="204"/>
      <c r="LTZ29" s="204"/>
      <c r="LUA29" s="204"/>
      <c r="LUB29" s="204"/>
      <c r="LUC29" s="204"/>
      <c r="LUD29" s="204"/>
      <c r="LUE29" s="204"/>
      <c r="LUF29" s="204"/>
      <c r="LUG29" s="204"/>
      <c r="LUH29" s="204"/>
      <c r="LUI29" s="204"/>
      <c r="LUJ29" s="204"/>
      <c r="LUK29" s="204"/>
      <c r="LUL29" s="204"/>
      <c r="LUM29" s="204"/>
      <c r="LUN29" s="204"/>
      <c r="LUO29" s="204"/>
      <c r="LUP29" s="204"/>
      <c r="LUQ29" s="204"/>
      <c r="LUR29" s="204"/>
      <c r="LUS29" s="204"/>
      <c r="LUT29" s="204"/>
      <c r="LUU29" s="204"/>
      <c r="LUV29" s="204"/>
      <c r="LUW29" s="204"/>
      <c r="LUX29" s="204"/>
      <c r="LUY29" s="204"/>
      <c r="LUZ29" s="204"/>
      <c r="LVA29" s="204"/>
      <c r="LVB29" s="204"/>
      <c r="LVC29" s="204"/>
      <c r="LVD29" s="204"/>
      <c r="LVE29" s="204"/>
      <c r="LVF29" s="204"/>
      <c r="LVG29" s="204"/>
      <c r="LVH29" s="204"/>
      <c r="LVI29" s="204"/>
      <c r="LVJ29" s="204"/>
      <c r="LVK29" s="204"/>
      <c r="LVL29" s="204"/>
      <c r="LVM29" s="204"/>
      <c r="LVN29" s="204"/>
      <c r="LVO29" s="204"/>
      <c r="LVP29" s="204"/>
      <c r="LVQ29" s="204"/>
      <c r="LVR29" s="204"/>
      <c r="LVS29" s="204"/>
      <c r="LVT29" s="204"/>
      <c r="LVU29" s="204"/>
      <c r="LVV29" s="204"/>
      <c r="LVW29" s="204"/>
      <c r="LVX29" s="204"/>
      <c r="LVY29" s="204"/>
      <c r="LVZ29" s="204"/>
      <c r="LWA29" s="204"/>
      <c r="LWB29" s="204"/>
      <c r="LWC29" s="204"/>
      <c r="LWD29" s="204"/>
      <c r="LWE29" s="204"/>
      <c r="LWF29" s="204"/>
      <c r="LWG29" s="204"/>
      <c r="LWH29" s="204"/>
      <c r="LWI29" s="204"/>
      <c r="LWJ29" s="204"/>
      <c r="LWK29" s="204"/>
      <c r="LWL29" s="204"/>
      <c r="LWM29" s="204"/>
      <c r="LWN29" s="204"/>
      <c r="LWO29" s="204"/>
      <c r="LWP29" s="204"/>
      <c r="LWQ29" s="204"/>
      <c r="LWR29" s="204"/>
      <c r="LWS29" s="204"/>
      <c r="LWT29" s="204"/>
      <c r="LWU29" s="204"/>
      <c r="LWV29" s="204"/>
      <c r="LWW29" s="204"/>
      <c r="LWX29" s="204"/>
      <c r="LWY29" s="204"/>
      <c r="LWZ29" s="204"/>
      <c r="LXA29" s="204"/>
      <c r="LXB29" s="204"/>
      <c r="LXC29" s="204"/>
      <c r="LXD29" s="204"/>
      <c r="LXE29" s="204"/>
      <c r="LXF29" s="204"/>
      <c r="LXG29" s="204"/>
      <c r="LXH29" s="204"/>
      <c r="LXI29" s="204"/>
      <c r="LXJ29" s="204"/>
      <c r="LXK29" s="204"/>
      <c r="LXL29" s="204"/>
      <c r="LXM29" s="204"/>
      <c r="LXN29" s="204"/>
      <c r="LXO29" s="204"/>
      <c r="LXP29" s="204"/>
      <c r="LXQ29" s="204"/>
      <c r="LXR29" s="204"/>
      <c r="LXS29" s="204"/>
      <c r="LXT29" s="204"/>
      <c r="LXU29" s="204"/>
      <c r="LXV29" s="204"/>
      <c r="LXW29" s="204"/>
      <c r="LXX29" s="204"/>
      <c r="LXY29" s="204"/>
      <c r="LXZ29" s="204"/>
      <c r="LYA29" s="204"/>
      <c r="LYB29" s="204"/>
      <c r="LYC29" s="204"/>
      <c r="LYD29" s="204"/>
      <c r="LYE29" s="204"/>
      <c r="LYF29" s="204"/>
      <c r="LYG29" s="204"/>
      <c r="LYH29" s="204"/>
      <c r="LYI29" s="204"/>
      <c r="LYJ29" s="204"/>
      <c r="LYK29" s="204"/>
      <c r="LYL29" s="204"/>
      <c r="LYM29" s="204"/>
      <c r="LYN29" s="204"/>
      <c r="LYO29" s="204"/>
      <c r="LYP29" s="204"/>
      <c r="LYQ29" s="204"/>
      <c r="LYR29" s="204"/>
      <c r="LYS29" s="204"/>
      <c r="LYT29" s="204"/>
      <c r="LYU29" s="204"/>
      <c r="LYV29" s="204"/>
      <c r="LYW29" s="204"/>
      <c r="LYX29" s="204"/>
      <c r="LYY29" s="204"/>
      <c r="LYZ29" s="204"/>
      <c r="LZA29" s="204"/>
      <c r="LZB29" s="204"/>
      <c r="LZC29" s="204"/>
      <c r="LZD29" s="204"/>
      <c r="LZE29" s="204"/>
      <c r="LZF29" s="204"/>
      <c r="LZG29" s="204"/>
      <c r="LZH29" s="204"/>
      <c r="LZI29" s="204"/>
      <c r="LZJ29" s="204"/>
      <c r="LZK29" s="204"/>
      <c r="LZL29" s="204"/>
      <c r="LZM29" s="204"/>
      <c r="LZN29" s="204"/>
      <c r="LZO29" s="204"/>
      <c r="LZP29" s="204"/>
      <c r="LZQ29" s="204"/>
      <c r="LZR29" s="204"/>
      <c r="LZS29" s="204"/>
      <c r="LZT29" s="204"/>
      <c r="LZU29" s="204"/>
      <c r="LZV29" s="204"/>
      <c r="LZW29" s="204"/>
      <c r="LZX29" s="204"/>
      <c r="LZY29" s="204"/>
      <c r="LZZ29" s="204"/>
      <c r="MAA29" s="204"/>
      <c r="MAB29" s="204"/>
      <c r="MAC29" s="204"/>
      <c r="MAD29" s="204"/>
      <c r="MAE29" s="204"/>
      <c r="MAF29" s="204"/>
      <c r="MAG29" s="204"/>
      <c r="MAH29" s="204"/>
      <c r="MAI29" s="204"/>
      <c r="MAJ29" s="204"/>
      <c r="MAK29" s="204"/>
      <c r="MAL29" s="204"/>
      <c r="MAM29" s="204"/>
      <c r="MAN29" s="204"/>
      <c r="MAO29" s="204"/>
      <c r="MAP29" s="204"/>
      <c r="MAQ29" s="204"/>
      <c r="MAR29" s="204"/>
      <c r="MAS29" s="204"/>
      <c r="MAT29" s="204"/>
      <c r="MAU29" s="204"/>
      <c r="MAV29" s="204"/>
      <c r="MAW29" s="204"/>
      <c r="MAX29" s="204"/>
      <c r="MAY29" s="204"/>
      <c r="MAZ29" s="204"/>
      <c r="MBA29" s="204"/>
      <c r="MBB29" s="204"/>
      <c r="MBC29" s="204"/>
      <c r="MBD29" s="204"/>
      <c r="MBE29" s="204"/>
      <c r="MBF29" s="204"/>
      <c r="MBG29" s="204"/>
      <c r="MBH29" s="204"/>
      <c r="MBI29" s="204"/>
      <c r="MBJ29" s="204"/>
      <c r="MBK29" s="204"/>
      <c r="MBL29" s="204"/>
      <c r="MBM29" s="204"/>
      <c r="MBN29" s="204"/>
      <c r="MBO29" s="204"/>
      <c r="MBP29" s="204"/>
      <c r="MBQ29" s="204"/>
      <c r="MBR29" s="204"/>
      <c r="MBS29" s="204"/>
      <c r="MBT29" s="204"/>
      <c r="MBU29" s="204"/>
      <c r="MBV29" s="204"/>
      <c r="MBW29" s="204"/>
      <c r="MBX29" s="204"/>
      <c r="MBY29" s="204"/>
      <c r="MBZ29" s="204"/>
      <c r="MCA29" s="204"/>
      <c r="MCB29" s="204"/>
      <c r="MCC29" s="204"/>
      <c r="MCD29" s="204"/>
      <c r="MCE29" s="204"/>
      <c r="MCF29" s="204"/>
      <c r="MCG29" s="204"/>
      <c r="MCH29" s="204"/>
      <c r="MCI29" s="204"/>
      <c r="MCJ29" s="204"/>
      <c r="MCK29" s="204"/>
      <c r="MCL29" s="204"/>
      <c r="MCM29" s="204"/>
      <c r="MCN29" s="204"/>
      <c r="MCO29" s="204"/>
      <c r="MCP29" s="204"/>
      <c r="MCQ29" s="204"/>
      <c r="MCR29" s="204"/>
      <c r="MCS29" s="204"/>
      <c r="MCT29" s="204"/>
      <c r="MCU29" s="204"/>
      <c r="MCV29" s="204"/>
      <c r="MCW29" s="204"/>
      <c r="MCX29" s="204"/>
      <c r="MCY29" s="204"/>
      <c r="MCZ29" s="204"/>
      <c r="MDA29" s="204"/>
      <c r="MDB29" s="204"/>
      <c r="MDC29" s="204"/>
      <c r="MDD29" s="204"/>
      <c r="MDE29" s="204"/>
      <c r="MDF29" s="204"/>
      <c r="MDG29" s="204"/>
      <c r="MDH29" s="204"/>
      <c r="MDI29" s="204"/>
      <c r="MDJ29" s="204"/>
      <c r="MDK29" s="204"/>
      <c r="MDL29" s="204"/>
      <c r="MDM29" s="204"/>
      <c r="MDN29" s="204"/>
      <c r="MDO29" s="204"/>
      <c r="MDP29" s="204"/>
      <c r="MDQ29" s="204"/>
      <c r="MDR29" s="204"/>
      <c r="MDS29" s="204"/>
      <c r="MDT29" s="204"/>
      <c r="MDU29" s="204"/>
      <c r="MDV29" s="204"/>
      <c r="MDW29" s="204"/>
      <c r="MDX29" s="204"/>
      <c r="MDY29" s="204"/>
      <c r="MDZ29" s="204"/>
      <c r="MEA29" s="204"/>
      <c r="MEB29" s="204"/>
      <c r="MEC29" s="204"/>
      <c r="MED29" s="204"/>
      <c r="MEE29" s="204"/>
      <c r="MEF29" s="204"/>
      <c r="MEG29" s="204"/>
      <c r="MEH29" s="204"/>
      <c r="MEI29" s="204"/>
      <c r="MEJ29" s="204"/>
      <c r="MEK29" s="204"/>
      <c r="MEL29" s="204"/>
      <c r="MEM29" s="204"/>
      <c r="MEN29" s="204"/>
      <c r="MEO29" s="204"/>
      <c r="MEP29" s="204"/>
      <c r="MEQ29" s="204"/>
      <c r="MER29" s="204"/>
      <c r="MES29" s="204"/>
      <c r="MET29" s="204"/>
      <c r="MEU29" s="204"/>
      <c r="MEV29" s="204"/>
      <c r="MEW29" s="204"/>
      <c r="MEX29" s="204"/>
      <c r="MEY29" s="204"/>
      <c r="MEZ29" s="204"/>
      <c r="MFA29" s="204"/>
      <c r="MFB29" s="204"/>
      <c r="MFC29" s="204"/>
      <c r="MFD29" s="204"/>
      <c r="MFE29" s="204"/>
      <c r="MFF29" s="204"/>
      <c r="MFG29" s="204"/>
      <c r="MFH29" s="204"/>
      <c r="MFI29" s="204"/>
      <c r="MFJ29" s="204"/>
      <c r="MFK29" s="204"/>
      <c r="MFL29" s="204"/>
      <c r="MFM29" s="204"/>
      <c r="MFN29" s="204"/>
      <c r="MFO29" s="204"/>
      <c r="MFP29" s="204"/>
      <c r="MFQ29" s="204"/>
      <c r="MFR29" s="204"/>
      <c r="MFS29" s="204"/>
      <c r="MFT29" s="204"/>
      <c r="MFU29" s="204"/>
      <c r="MFV29" s="204"/>
      <c r="MFW29" s="204"/>
      <c r="MFX29" s="204"/>
      <c r="MFY29" s="204"/>
      <c r="MFZ29" s="204"/>
      <c r="MGA29" s="204"/>
      <c r="MGB29" s="204"/>
      <c r="MGC29" s="204"/>
      <c r="MGD29" s="204"/>
      <c r="MGE29" s="204"/>
      <c r="MGF29" s="204"/>
      <c r="MGG29" s="204"/>
      <c r="MGH29" s="204"/>
      <c r="MGI29" s="204"/>
      <c r="MGJ29" s="204"/>
      <c r="MGK29" s="204"/>
      <c r="MGL29" s="204"/>
      <c r="MGM29" s="204"/>
      <c r="MGN29" s="204"/>
      <c r="MGO29" s="204"/>
      <c r="MGP29" s="204"/>
      <c r="MGQ29" s="204"/>
      <c r="MGR29" s="204"/>
      <c r="MGS29" s="204"/>
      <c r="MGT29" s="204"/>
      <c r="MGU29" s="204"/>
      <c r="MGV29" s="204"/>
      <c r="MGW29" s="204"/>
      <c r="MGX29" s="204"/>
      <c r="MGY29" s="204"/>
      <c r="MGZ29" s="204"/>
      <c r="MHA29" s="204"/>
      <c r="MHB29" s="204"/>
      <c r="MHC29" s="204"/>
      <c r="MHD29" s="204"/>
      <c r="MHE29" s="204"/>
      <c r="MHF29" s="204"/>
      <c r="MHG29" s="204"/>
      <c r="MHH29" s="204"/>
      <c r="MHI29" s="204"/>
      <c r="MHJ29" s="204"/>
      <c r="MHK29" s="204"/>
      <c r="MHL29" s="204"/>
      <c r="MHM29" s="204"/>
      <c r="MHN29" s="204"/>
      <c r="MHO29" s="204"/>
      <c r="MHP29" s="204"/>
      <c r="MHQ29" s="204"/>
      <c r="MHR29" s="204"/>
      <c r="MHS29" s="204"/>
      <c r="MHT29" s="204"/>
      <c r="MHU29" s="204"/>
      <c r="MHV29" s="204"/>
      <c r="MHW29" s="204"/>
      <c r="MHX29" s="204"/>
      <c r="MHY29" s="204"/>
      <c r="MHZ29" s="204"/>
      <c r="MIA29" s="204"/>
      <c r="MIB29" s="204"/>
      <c r="MIC29" s="204"/>
      <c r="MID29" s="204"/>
      <c r="MIE29" s="204"/>
      <c r="MIF29" s="204"/>
      <c r="MIG29" s="204"/>
      <c r="MIH29" s="204"/>
      <c r="MII29" s="204"/>
      <c r="MIJ29" s="204"/>
      <c r="MIK29" s="204"/>
      <c r="MIL29" s="204"/>
      <c r="MIM29" s="204"/>
      <c r="MIN29" s="204"/>
      <c r="MIO29" s="204"/>
      <c r="MIP29" s="204"/>
      <c r="MIQ29" s="204"/>
      <c r="MIR29" s="204"/>
      <c r="MIS29" s="204"/>
      <c r="MIT29" s="204"/>
      <c r="MIU29" s="204"/>
      <c r="MIV29" s="204"/>
      <c r="MIW29" s="204"/>
      <c r="MIX29" s="204"/>
      <c r="MIY29" s="204"/>
      <c r="MIZ29" s="204"/>
      <c r="MJA29" s="204"/>
      <c r="MJB29" s="204"/>
      <c r="MJC29" s="204"/>
      <c r="MJD29" s="204"/>
      <c r="MJE29" s="204"/>
      <c r="MJF29" s="204"/>
      <c r="MJG29" s="204"/>
      <c r="MJH29" s="204"/>
      <c r="MJI29" s="204"/>
      <c r="MJJ29" s="204"/>
      <c r="MJK29" s="204"/>
      <c r="MJL29" s="204"/>
      <c r="MJM29" s="204"/>
      <c r="MJN29" s="204"/>
      <c r="MJO29" s="204"/>
      <c r="MJP29" s="204"/>
      <c r="MJQ29" s="204"/>
      <c r="MJR29" s="204"/>
      <c r="MJS29" s="204"/>
      <c r="MJT29" s="204"/>
      <c r="MJU29" s="204"/>
      <c r="MJV29" s="204"/>
      <c r="MJW29" s="204"/>
      <c r="MJX29" s="204"/>
      <c r="MJY29" s="204"/>
      <c r="MJZ29" s="204"/>
      <c r="MKA29" s="204"/>
      <c r="MKB29" s="204"/>
      <c r="MKC29" s="204"/>
      <c r="MKD29" s="204"/>
      <c r="MKE29" s="204"/>
      <c r="MKF29" s="204"/>
      <c r="MKG29" s="204"/>
      <c r="MKH29" s="204"/>
      <c r="MKI29" s="204"/>
      <c r="MKJ29" s="204"/>
      <c r="MKK29" s="204"/>
      <c r="MKL29" s="204"/>
      <c r="MKM29" s="204"/>
      <c r="MKN29" s="204"/>
      <c r="MKO29" s="204"/>
      <c r="MKP29" s="204"/>
      <c r="MKQ29" s="204"/>
      <c r="MKR29" s="204"/>
      <c r="MKS29" s="204"/>
      <c r="MKT29" s="204"/>
      <c r="MKU29" s="204"/>
      <c r="MKV29" s="204"/>
      <c r="MKW29" s="204"/>
      <c r="MKX29" s="204"/>
      <c r="MKY29" s="204"/>
      <c r="MKZ29" s="204"/>
      <c r="MLA29" s="204"/>
      <c r="MLB29" s="204"/>
      <c r="MLC29" s="204"/>
      <c r="MLD29" s="204"/>
      <c r="MLE29" s="204"/>
      <c r="MLF29" s="204"/>
      <c r="MLG29" s="204"/>
      <c r="MLH29" s="204"/>
      <c r="MLI29" s="204"/>
      <c r="MLJ29" s="204"/>
      <c r="MLK29" s="204"/>
      <c r="MLL29" s="204"/>
      <c r="MLM29" s="204"/>
      <c r="MLN29" s="204"/>
      <c r="MLO29" s="204"/>
      <c r="MLP29" s="204"/>
      <c r="MLQ29" s="204"/>
      <c r="MLR29" s="204"/>
      <c r="MLS29" s="204"/>
      <c r="MLT29" s="204"/>
      <c r="MLU29" s="204"/>
      <c r="MLV29" s="204"/>
      <c r="MLW29" s="204"/>
      <c r="MLX29" s="204"/>
      <c r="MLY29" s="204"/>
      <c r="MLZ29" s="204"/>
      <c r="MMA29" s="204"/>
      <c r="MMB29" s="204"/>
      <c r="MMC29" s="204"/>
      <c r="MMD29" s="204"/>
      <c r="MME29" s="204"/>
      <c r="MMF29" s="204"/>
      <c r="MMG29" s="204"/>
      <c r="MMH29" s="204"/>
      <c r="MMI29" s="204"/>
      <c r="MMJ29" s="204"/>
      <c r="MMK29" s="204"/>
      <c r="MML29" s="204"/>
      <c r="MMM29" s="204"/>
      <c r="MMN29" s="204"/>
      <c r="MMO29" s="204"/>
      <c r="MMP29" s="204"/>
      <c r="MMQ29" s="204"/>
      <c r="MMR29" s="204"/>
      <c r="MMS29" s="204"/>
      <c r="MMT29" s="204"/>
      <c r="MMU29" s="204"/>
      <c r="MMV29" s="204"/>
      <c r="MMW29" s="204"/>
      <c r="MMX29" s="204"/>
      <c r="MMY29" s="204"/>
      <c r="MMZ29" s="204"/>
      <c r="MNA29" s="204"/>
      <c r="MNB29" s="204"/>
      <c r="MNC29" s="204"/>
      <c r="MND29" s="204"/>
      <c r="MNE29" s="204"/>
      <c r="MNF29" s="204"/>
      <c r="MNG29" s="204"/>
      <c r="MNH29" s="204"/>
      <c r="MNI29" s="204"/>
      <c r="MNJ29" s="204"/>
      <c r="MNK29" s="204"/>
      <c r="MNL29" s="204"/>
      <c r="MNM29" s="204"/>
      <c r="MNN29" s="204"/>
      <c r="MNO29" s="204"/>
      <c r="MNP29" s="204"/>
      <c r="MNQ29" s="204"/>
      <c r="MNR29" s="204"/>
      <c r="MNS29" s="204"/>
      <c r="MNT29" s="204"/>
      <c r="MNU29" s="204"/>
      <c r="MNV29" s="204"/>
      <c r="MNW29" s="204"/>
      <c r="MNX29" s="204"/>
      <c r="MNY29" s="204"/>
      <c r="MNZ29" s="204"/>
      <c r="MOA29" s="204"/>
      <c r="MOB29" s="204"/>
      <c r="MOC29" s="204"/>
      <c r="MOD29" s="204"/>
      <c r="MOE29" s="204"/>
      <c r="MOF29" s="204"/>
      <c r="MOG29" s="204"/>
      <c r="MOH29" s="204"/>
      <c r="MOI29" s="204"/>
      <c r="MOJ29" s="204"/>
      <c r="MOK29" s="204"/>
      <c r="MOL29" s="204"/>
      <c r="MOM29" s="204"/>
      <c r="MON29" s="204"/>
      <c r="MOO29" s="204"/>
      <c r="MOP29" s="204"/>
      <c r="MOQ29" s="204"/>
      <c r="MOR29" s="204"/>
      <c r="MOS29" s="204"/>
      <c r="MOT29" s="204"/>
      <c r="MOU29" s="204"/>
      <c r="MOV29" s="204"/>
      <c r="MOW29" s="204"/>
      <c r="MOX29" s="204"/>
      <c r="MOY29" s="204"/>
      <c r="MOZ29" s="204"/>
      <c r="MPA29" s="204"/>
      <c r="MPB29" s="204"/>
      <c r="MPC29" s="204"/>
      <c r="MPD29" s="204"/>
      <c r="MPE29" s="204"/>
      <c r="MPF29" s="204"/>
      <c r="MPG29" s="204"/>
      <c r="MPH29" s="204"/>
      <c r="MPI29" s="204"/>
      <c r="MPJ29" s="204"/>
      <c r="MPK29" s="204"/>
      <c r="MPL29" s="204"/>
      <c r="MPM29" s="204"/>
      <c r="MPN29" s="204"/>
      <c r="MPO29" s="204"/>
      <c r="MPP29" s="204"/>
      <c r="MPQ29" s="204"/>
      <c r="MPR29" s="204"/>
      <c r="MPS29" s="204"/>
      <c r="MPT29" s="204"/>
      <c r="MPU29" s="204"/>
      <c r="MPV29" s="204"/>
      <c r="MPW29" s="204"/>
      <c r="MPX29" s="204"/>
      <c r="MPY29" s="204"/>
      <c r="MPZ29" s="204"/>
      <c r="MQA29" s="204"/>
      <c r="MQB29" s="204"/>
      <c r="MQC29" s="204"/>
      <c r="MQD29" s="204"/>
      <c r="MQE29" s="204"/>
      <c r="MQF29" s="204"/>
      <c r="MQG29" s="204"/>
      <c r="MQH29" s="204"/>
      <c r="MQI29" s="204"/>
      <c r="MQJ29" s="204"/>
      <c r="MQK29" s="204"/>
      <c r="MQL29" s="204"/>
      <c r="MQM29" s="204"/>
      <c r="MQN29" s="204"/>
      <c r="MQO29" s="204"/>
      <c r="MQP29" s="204"/>
      <c r="MQQ29" s="204"/>
      <c r="MQR29" s="204"/>
      <c r="MQS29" s="204"/>
      <c r="MQT29" s="204"/>
      <c r="MQU29" s="204"/>
      <c r="MQV29" s="204"/>
      <c r="MQW29" s="204"/>
      <c r="MQX29" s="204"/>
      <c r="MQY29" s="204"/>
      <c r="MQZ29" s="204"/>
      <c r="MRA29" s="204"/>
      <c r="MRB29" s="204"/>
      <c r="MRC29" s="204"/>
      <c r="MRD29" s="204"/>
      <c r="MRE29" s="204"/>
      <c r="MRF29" s="204"/>
      <c r="MRG29" s="204"/>
      <c r="MRH29" s="204"/>
      <c r="MRI29" s="204"/>
      <c r="MRJ29" s="204"/>
      <c r="MRK29" s="204"/>
      <c r="MRL29" s="204"/>
      <c r="MRM29" s="204"/>
      <c r="MRN29" s="204"/>
      <c r="MRO29" s="204"/>
      <c r="MRP29" s="204"/>
      <c r="MRQ29" s="204"/>
      <c r="MRR29" s="204"/>
      <c r="MRS29" s="204"/>
      <c r="MRT29" s="204"/>
      <c r="MRU29" s="204"/>
      <c r="MRV29" s="204"/>
      <c r="MRW29" s="204"/>
      <c r="MRX29" s="204"/>
      <c r="MRY29" s="204"/>
      <c r="MRZ29" s="204"/>
      <c r="MSA29" s="204"/>
      <c r="MSB29" s="204"/>
      <c r="MSC29" s="204"/>
      <c r="MSD29" s="204"/>
      <c r="MSE29" s="204"/>
      <c r="MSF29" s="204"/>
      <c r="MSG29" s="204"/>
      <c r="MSH29" s="204"/>
      <c r="MSI29" s="204"/>
      <c r="MSJ29" s="204"/>
      <c r="MSK29" s="204"/>
      <c r="MSL29" s="204"/>
      <c r="MSM29" s="204"/>
      <c r="MSN29" s="204"/>
      <c r="MSO29" s="204"/>
      <c r="MSP29" s="204"/>
      <c r="MSQ29" s="204"/>
      <c r="MSR29" s="204"/>
      <c r="MSS29" s="204"/>
      <c r="MST29" s="204"/>
      <c r="MSU29" s="204"/>
      <c r="MSV29" s="204"/>
      <c r="MSW29" s="204"/>
      <c r="MSX29" s="204"/>
      <c r="MSY29" s="204"/>
      <c r="MSZ29" s="204"/>
      <c r="MTA29" s="204"/>
      <c r="MTB29" s="204"/>
      <c r="MTC29" s="204"/>
      <c r="MTD29" s="204"/>
      <c r="MTE29" s="204"/>
      <c r="MTF29" s="204"/>
      <c r="MTG29" s="204"/>
      <c r="MTH29" s="204"/>
      <c r="MTI29" s="204"/>
      <c r="MTJ29" s="204"/>
      <c r="MTK29" s="204"/>
      <c r="MTL29" s="204"/>
      <c r="MTM29" s="204"/>
      <c r="MTN29" s="204"/>
      <c r="MTO29" s="204"/>
      <c r="MTP29" s="204"/>
      <c r="MTQ29" s="204"/>
      <c r="MTR29" s="204"/>
      <c r="MTS29" s="204"/>
      <c r="MTT29" s="204"/>
      <c r="MTU29" s="204"/>
      <c r="MTV29" s="204"/>
      <c r="MTW29" s="204"/>
      <c r="MTX29" s="204"/>
      <c r="MTY29" s="204"/>
      <c r="MTZ29" s="204"/>
      <c r="MUA29" s="204"/>
      <c r="MUB29" s="204"/>
      <c r="MUC29" s="204"/>
      <c r="MUD29" s="204"/>
      <c r="MUE29" s="204"/>
      <c r="MUF29" s="204"/>
      <c r="MUG29" s="204"/>
      <c r="MUH29" s="204"/>
      <c r="MUI29" s="204"/>
      <c r="MUJ29" s="204"/>
      <c r="MUK29" s="204"/>
      <c r="MUL29" s="204"/>
      <c r="MUM29" s="204"/>
      <c r="MUN29" s="204"/>
      <c r="MUO29" s="204"/>
      <c r="MUP29" s="204"/>
      <c r="MUQ29" s="204"/>
      <c r="MUR29" s="204"/>
      <c r="MUS29" s="204"/>
      <c r="MUT29" s="204"/>
      <c r="MUU29" s="204"/>
      <c r="MUV29" s="204"/>
      <c r="MUW29" s="204"/>
      <c r="MUX29" s="204"/>
      <c r="MUY29" s="204"/>
      <c r="MUZ29" s="204"/>
      <c r="MVA29" s="204"/>
      <c r="MVB29" s="204"/>
      <c r="MVC29" s="204"/>
      <c r="MVD29" s="204"/>
      <c r="MVE29" s="204"/>
      <c r="MVF29" s="204"/>
      <c r="MVG29" s="204"/>
      <c r="MVH29" s="204"/>
      <c r="MVI29" s="204"/>
      <c r="MVJ29" s="204"/>
      <c r="MVK29" s="204"/>
      <c r="MVL29" s="204"/>
      <c r="MVM29" s="204"/>
      <c r="MVN29" s="204"/>
      <c r="MVO29" s="204"/>
      <c r="MVP29" s="204"/>
      <c r="MVQ29" s="204"/>
      <c r="MVR29" s="204"/>
      <c r="MVS29" s="204"/>
      <c r="MVT29" s="204"/>
      <c r="MVU29" s="204"/>
      <c r="MVV29" s="204"/>
      <c r="MVW29" s="204"/>
      <c r="MVX29" s="204"/>
      <c r="MVY29" s="204"/>
      <c r="MVZ29" s="204"/>
      <c r="MWA29" s="204"/>
      <c r="MWB29" s="204"/>
      <c r="MWC29" s="204"/>
      <c r="MWD29" s="204"/>
      <c r="MWE29" s="204"/>
      <c r="MWF29" s="204"/>
      <c r="MWG29" s="204"/>
      <c r="MWH29" s="204"/>
      <c r="MWI29" s="204"/>
      <c r="MWJ29" s="204"/>
      <c r="MWK29" s="204"/>
      <c r="MWL29" s="204"/>
      <c r="MWM29" s="204"/>
      <c r="MWN29" s="204"/>
      <c r="MWO29" s="204"/>
      <c r="MWP29" s="204"/>
      <c r="MWQ29" s="204"/>
      <c r="MWR29" s="204"/>
      <c r="MWS29" s="204"/>
      <c r="MWT29" s="204"/>
      <c r="MWU29" s="204"/>
      <c r="MWV29" s="204"/>
      <c r="MWW29" s="204"/>
      <c r="MWX29" s="204"/>
      <c r="MWY29" s="204"/>
      <c r="MWZ29" s="204"/>
      <c r="MXA29" s="204"/>
      <c r="MXB29" s="204"/>
      <c r="MXC29" s="204"/>
      <c r="MXD29" s="204"/>
      <c r="MXE29" s="204"/>
      <c r="MXF29" s="204"/>
      <c r="MXG29" s="204"/>
      <c r="MXH29" s="204"/>
      <c r="MXI29" s="204"/>
      <c r="MXJ29" s="204"/>
      <c r="MXK29" s="204"/>
      <c r="MXL29" s="204"/>
      <c r="MXM29" s="204"/>
      <c r="MXN29" s="204"/>
      <c r="MXO29" s="204"/>
      <c r="MXP29" s="204"/>
      <c r="MXQ29" s="204"/>
      <c r="MXR29" s="204"/>
      <c r="MXS29" s="204"/>
      <c r="MXT29" s="204"/>
      <c r="MXU29" s="204"/>
      <c r="MXV29" s="204"/>
      <c r="MXW29" s="204"/>
      <c r="MXX29" s="204"/>
      <c r="MXY29" s="204"/>
      <c r="MXZ29" s="204"/>
      <c r="MYA29" s="204"/>
      <c r="MYB29" s="204"/>
      <c r="MYC29" s="204"/>
      <c r="MYD29" s="204"/>
      <c r="MYE29" s="204"/>
      <c r="MYF29" s="204"/>
      <c r="MYG29" s="204"/>
      <c r="MYH29" s="204"/>
      <c r="MYI29" s="204"/>
      <c r="MYJ29" s="204"/>
      <c r="MYK29" s="204"/>
      <c r="MYL29" s="204"/>
      <c r="MYM29" s="204"/>
      <c r="MYN29" s="204"/>
      <c r="MYO29" s="204"/>
      <c r="MYP29" s="204"/>
      <c r="MYQ29" s="204"/>
      <c r="MYR29" s="204"/>
      <c r="MYS29" s="204"/>
      <c r="MYT29" s="204"/>
      <c r="MYU29" s="204"/>
      <c r="MYV29" s="204"/>
      <c r="MYW29" s="204"/>
      <c r="MYX29" s="204"/>
      <c r="MYY29" s="204"/>
      <c r="MYZ29" s="204"/>
      <c r="MZA29" s="204"/>
      <c r="MZB29" s="204"/>
      <c r="MZC29" s="204"/>
      <c r="MZD29" s="204"/>
      <c r="MZE29" s="204"/>
      <c r="MZF29" s="204"/>
      <c r="MZG29" s="204"/>
      <c r="MZH29" s="204"/>
      <c r="MZI29" s="204"/>
      <c r="MZJ29" s="204"/>
      <c r="MZK29" s="204"/>
      <c r="MZL29" s="204"/>
      <c r="MZM29" s="204"/>
      <c r="MZN29" s="204"/>
      <c r="MZO29" s="204"/>
      <c r="MZP29" s="204"/>
      <c r="MZQ29" s="204"/>
      <c r="MZR29" s="204"/>
      <c r="MZS29" s="204"/>
      <c r="MZT29" s="204"/>
      <c r="MZU29" s="204"/>
      <c r="MZV29" s="204"/>
      <c r="MZW29" s="204"/>
      <c r="MZX29" s="204"/>
      <c r="MZY29" s="204"/>
      <c r="MZZ29" s="204"/>
      <c r="NAA29" s="204"/>
      <c r="NAB29" s="204"/>
      <c r="NAC29" s="204"/>
      <c r="NAD29" s="204"/>
      <c r="NAE29" s="204"/>
      <c r="NAF29" s="204"/>
      <c r="NAG29" s="204"/>
      <c r="NAH29" s="204"/>
      <c r="NAI29" s="204"/>
      <c r="NAJ29" s="204"/>
      <c r="NAK29" s="204"/>
      <c r="NAL29" s="204"/>
      <c r="NAM29" s="204"/>
      <c r="NAN29" s="204"/>
      <c r="NAO29" s="204"/>
      <c r="NAP29" s="204"/>
      <c r="NAQ29" s="204"/>
      <c r="NAR29" s="204"/>
      <c r="NAS29" s="204"/>
      <c r="NAT29" s="204"/>
      <c r="NAU29" s="204"/>
      <c r="NAV29" s="204"/>
      <c r="NAW29" s="204"/>
      <c r="NAX29" s="204"/>
      <c r="NAY29" s="204"/>
      <c r="NAZ29" s="204"/>
      <c r="NBA29" s="204"/>
      <c r="NBB29" s="204"/>
      <c r="NBC29" s="204"/>
      <c r="NBD29" s="204"/>
      <c r="NBE29" s="204"/>
      <c r="NBF29" s="204"/>
      <c r="NBG29" s="204"/>
      <c r="NBH29" s="204"/>
      <c r="NBI29" s="204"/>
      <c r="NBJ29" s="204"/>
      <c r="NBK29" s="204"/>
      <c r="NBL29" s="204"/>
      <c r="NBM29" s="204"/>
      <c r="NBN29" s="204"/>
      <c r="NBO29" s="204"/>
      <c r="NBP29" s="204"/>
      <c r="NBQ29" s="204"/>
      <c r="NBR29" s="204"/>
      <c r="NBS29" s="204"/>
      <c r="NBT29" s="204"/>
      <c r="NBU29" s="204"/>
      <c r="NBV29" s="204"/>
      <c r="NBW29" s="204"/>
      <c r="NBX29" s="204"/>
      <c r="NBY29" s="204"/>
      <c r="NBZ29" s="204"/>
      <c r="NCA29" s="204"/>
      <c r="NCB29" s="204"/>
      <c r="NCC29" s="204"/>
      <c r="NCD29" s="204"/>
      <c r="NCE29" s="204"/>
      <c r="NCF29" s="204"/>
      <c r="NCG29" s="204"/>
      <c r="NCH29" s="204"/>
      <c r="NCI29" s="204"/>
      <c r="NCJ29" s="204"/>
      <c r="NCK29" s="204"/>
      <c r="NCL29" s="204"/>
      <c r="NCM29" s="204"/>
      <c r="NCN29" s="204"/>
      <c r="NCO29" s="204"/>
      <c r="NCP29" s="204"/>
      <c r="NCQ29" s="204"/>
      <c r="NCR29" s="204"/>
      <c r="NCS29" s="204"/>
      <c r="NCT29" s="204"/>
      <c r="NCU29" s="204"/>
      <c r="NCV29" s="204"/>
      <c r="NCW29" s="204"/>
      <c r="NCX29" s="204"/>
      <c r="NCY29" s="204"/>
      <c r="NCZ29" s="204"/>
      <c r="NDA29" s="204"/>
      <c r="NDB29" s="204"/>
      <c r="NDC29" s="204"/>
      <c r="NDD29" s="204"/>
      <c r="NDE29" s="204"/>
      <c r="NDF29" s="204"/>
      <c r="NDG29" s="204"/>
      <c r="NDH29" s="204"/>
      <c r="NDI29" s="204"/>
      <c r="NDJ29" s="204"/>
      <c r="NDK29" s="204"/>
      <c r="NDL29" s="204"/>
      <c r="NDM29" s="204"/>
      <c r="NDN29" s="204"/>
      <c r="NDO29" s="204"/>
      <c r="NDP29" s="204"/>
      <c r="NDQ29" s="204"/>
      <c r="NDR29" s="204"/>
      <c r="NDS29" s="204"/>
      <c r="NDT29" s="204"/>
      <c r="NDU29" s="204"/>
      <c r="NDV29" s="204"/>
      <c r="NDW29" s="204"/>
      <c r="NDX29" s="204"/>
      <c r="NDY29" s="204"/>
      <c r="NDZ29" s="204"/>
      <c r="NEA29" s="204"/>
      <c r="NEB29" s="204"/>
      <c r="NEC29" s="204"/>
      <c r="NED29" s="204"/>
      <c r="NEE29" s="204"/>
      <c r="NEF29" s="204"/>
      <c r="NEG29" s="204"/>
      <c r="NEH29" s="204"/>
      <c r="NEI29" s="204"/>
      <c r="NEJ29" s="204"/>
      <c r="NEK29" s="204"/>
      <c r="NEL29" s="204"/>
      <c r="NEM29" s="204"/>
      <c r="NEN29" s="204"/>
      <c r="NEO29" s="204"/>
      <c r="NEP29" s="204"/>
      <c r="NEQ29" s="204"/>
      <c r="NER29" s="204"/>
      <c r="NES29" s="204"/>
      <c r="NET29" s="204"/>
      <c r="NEU29" s="204"/>
      <c r="NEV29" s="204"/>
      <c r="NEW29" s="204"/>
      <c r="NEX29" s="204"/>
      <c r="NEY29" s="204"/>
      <c r="NEZ29" s="204"/>
      <c r="NFA29" s="204"/>
      <c r="NFB29" s="204"/>
      <c r="NFC29" s="204"/>
      <c r="NFD29" s="204"/>
      <c r="NFE29" s="204"/>
      <c r="NFF29" s="204"/>
      <c r="NFG29" s="204"/>
      <c r="NFH29" s="204"/>
      <c r="NFI29" s="204"/>
      <c r="NFJ29" s="204"/>
      <c r="NFK29" s="204"/>
      <c r="NFL29" s="204"/>
      <c r="NFM29" s="204"/>
      <c r="NFN29" s="204"/>
      <c r="NFO29" s="204"/>
      <c r="NFP29" s="204"/>
      <c r="NFQ29" s="204"/>
      <c r="NFR29" s="204"/>
      <c r="NFS29" s="204"/>
      <c r="NFT29" s="204"/>
      <c r="NFU29" s="204"/>
      <c r="NFV29" s="204"/>
      <c r="NFW29" s="204"/>
      <c r="NFX29" s="204"/>
      <c r="NFY29" s="204"/>
      <c r="NFZ29" s="204"/>
      <c r="NGA29" s="204"/>
      <c r="NGB29" s="204"/>
      <c r="NGC29" s="204"/>
      <c r="NGD29" s="204"/>
      <c r="NGE29" s="204"/>
      <c r="NGF29" s="204"/>
      <c r="NGG29" s="204"/>
      <c r="NGH29" s="204"/>
      <c r="NGI29" s="204"/>
      <c r="NGJ29" s="204"/>
      <c r="NGK29" s="204"/>
      <c r="NGL29" s="204"/>
      <c r="NGM29" s="204"/>
      <c r="NGN29" s="204"/>
      <c r="NGO29" s="204"/>
      <c r="NGP29" s="204"/>
      <c r="NGQ29" s="204"/>
      <c r="NGR29" s="204"/>
      <c r="NGS29" s="204"/>
      <c r="NGT29" s="204"/>
      <c r="NGU29" s="204"/>
      <c r="NGV29" s="204"/>
      <c r="NGW29" s="204"/>
      <c r="NGX29" s="204"/>
      <c r="NGY29" s="204"/>
      <c r="NGZ29" s="204"/>
      <c r="NHA29" s="204"/>
      <c r="NHB29" s="204"/>
      <c r="NHC29" s="204"/>
      <c r="NHD29" s="204"/>
      <c r="NHE29" s="204"/>
      <c r="NHF29" s="204"/>
      <c r="NHG29" s="204"/>
      <c r="NHH29" s="204"/>
      <c r="NHI29" s="204"/>
      <c r="NHJ29" s="204"/>
      <c r="NHK29" s="204"/>
      <c r="NHL29" s="204"/>
      <c r="NHM29" s="204"/>
      <c r="NHN29" s="204"/>
      <c r="NHO29" s="204"/>
      <c r="NHP29" s="204"/>
      <c r="NHQ29" s="204"/>
      <c r="NHR29" s="204"/>
      <c r="NHS29" s="204"/>
      <c r="NHT29" s="204"/>
      <c r="NHU29" s="204"/>
      <c r="NHV29" s="204"/>
      <c r="NHW29" s="204"/>
      <c r="NHX29" s="204"/>
      <c r="NHY29" s="204"/>
      <c r="NHZ29" s="204"/>
      <c r="NIA29" s="204"/>
      <c r="NIB29" s="204"/>
      <c r="NIC29" s="204"/>
      <c r="NID29" s="204"/>
      <c r="NIE29" s="204"/>
      <c r="NIF29" s="204"/>
      <c r="NIG29" s="204"/>
      <c r="NIH29" s="204"/>
      <c r="NII29" s="204"/>
      <c r="NIJ29" s="204"/>
      <c r="NIK29" s="204"/>
      <c r="NIL29" s="204"/>
      <c r="NIM29" s="204"/>
      <c r="NIN29" s="204"/>
      <c r="NIO29" s="204"/>
      <c r="NIP29" s="204"/>
      <c r="NIQ29" s="204"/>
      <c r="NIR29" s="204"/>
      <c r="NIS29" s="204"/>
      <c r="NIT29" s="204"/>
      <c r="NIU29" s="204"/>
      <c r="NIV29" s="204"/>
      <c r="NIW29" s="204"/>
      <c r="NIX29" s="204"/>
      <c r="NIY29" s="204"/>
      <c r="NIZ29" s="204"/>
      <c r="NJA29" s="204"/>
      <c r="NJB29" s="204"/>
      <c r="NJC29" s="204"/>
      <c r="NJD29" s="204"/>
      <c r="NJE29" s="204"/>
      <c r="NJF29" s="204"/>
      <c r="NJG29" s="204"/>
      <c r="NJH29" s="204"/>
      <c r="NJI29" s="204"/>
      <c r="NJJ29" s="204"/>
      <c r="NJK29" s="204"/>
      <c r="NJL29" s="204"/>
      <c r="NJM29" s="204"/>
      <c r="NJN29" s="204"/>
      <c r="NJO29" s="204"/>
      <c r="NJP29" s="204"/>
      <c r="NJQ29" s="204"/>
      <c r="NJR29" s="204"/>
      <c r="NJS29" s="204"/>
      <c r="NJT29" s="204"/>
      <c r="NJU29" s="204"/>
      <c r="NJV29" s="204"/>
      <c r="NJW29" s="204"/>
      <c r="NJX29" s="204"/>
      <c r="NJY29" s="204"/>
      <c r="NJZ29" s="204"/>
      <c r="NKA29" s="204"/>
      <c r="NKB29" s="204"/>
      <c r="NKC29" s="204"/>
      <c r="NKD29" s="204"/>
      <c r="NKE29" s="204"/>
      <c r="NKF29" s="204"/>
      <c r="NKG29" s="204"/>
      <c r="NKH29" s="204"/>
      <c r="NKI29" s="204"/>
      <c r="NKJ29" s="204"/>
      <c r="NKK29" s="204"/>
      <c r="NKL29" s="204"/>
      <c r="NKM29" s="204"/>
      <c r="NKN29" s="204"/>
      <c r="NKO29" s="204"/>
      <c r="NKP29" s="204"/>
      <c r="NKQ29" s="204"/>
      <c r="NKR29" s="204"/>
      <c r="NKS29" s="204"/>
      <c r="NKT29" s="204"/>
      <c r="NKU29" s="204"/>
      <c r="NKV29" s="204"/>
      <c r="NKW29" s="204"/>
      <c r="NKX29" s="204"/>
      <c r="NKY29" s="204"/>
      <c r="NKZ29" s="204"/>
      <c r="NLA29" s="204"/>
      <c r="NLB29" s="204"/>
      <c r="NLC29" s="204"/>
      <c r="NLD29" s="204"/>
      <c r="NLE29" s="204"/>
      <c r="NLF29" s="204"/>
      <c r="NLG29" s="204"/>
      <c r="NLH29" s="204"/>
      <c r="NLI29" s="204"/>
      <c r="NLJ29" s="204"/>
      <c r="NLK29" s="204"/>
      <c r="NLL29" s="204"/>
      <c r="NLM29" s="204"/>
      <c r="NLN29" s="204"/>
      <c r="NLO29" s="204"/>
      <c r="NLP29" s="204"/>
      <c r="NLQ29" s="204"/>
      <c r="NLR29" s="204"/>
      <c r="NLS29" s="204"/>
      <c r="NLT29" s="204"/>
      <c r="NLU29" s="204"/>
      <c r="NLV29" s="204"/>
      <c r="NLW29" s="204"/>
      <c r="NLX29" s="204"/>
      <c r="NLY29" s="204"/>
      <c r="NLZ29" s="204"/>
      <c r="NMA29" s="204"/>
      <c r="NMB29" s="204"/>
      <c r="NMC29" s="204"/>
      <c r="NMD29" s="204"/>
      <c r="NME29" s="204"/>
      <c r="NMF29" s="204"/>
      <c r="NMG29" s="204"/>
      <c r="NMH29" s="204"/>
      <c r="NMI29" s="204"/>
      <c r="NMJ29" s="204"/>
      <c r="NMK29" s="204"/>
      <c r="NML29" s="204"/>
      <c r="NMM29" s="204"/>
      <c r="NMN29" s="204"/>
      <c r="NMO29" s="204"/>
      <c r="NMP29" s="204"/>
      <c r="NMQ29" s="204"/>
      <c r="NMR29" s="204"/>
      <c r="NMS29" s="204"/>
      <c r="NMT29" s="204"/>
      <c r="NMU29" s="204"/>
      <c r="NMV29" s="204"/>
      <c r="NMW29" s="204"/>
      <c r="NMX29" s="204"/>
      <c r="NMY29" s="204"/>
      <c r="NMZ29" s="204"/>
      <c r="NNA29" s="204"/>
      <c r="NNB29" s="204"/>
      <c r="NNC29" s="204"/>
      <c r="NND29" s="204"/>
      <c r="NNE29" s="204"/>
      <c r="NNF29" s="204"/>
      <c r="NNG29" s="204"/>
      <c r="NNH29" s="204"/>
      <c r="NNI29" s="204"/>
      <c r="NNJ29" s="204"/>
      <c r="NNK29" s="204"/>
      <c r="NNL29" s="204"/>
      <c r="NNM29" s="204"/>
      <c r="NNN29" s="204"/>
      <c r="NNO29" s="204"/>
      <c r="NNP29" s="204"/>
      <c r="NNQ29" s="204"/>
      <c r="NNR29" s="204"/>
      <c r="NNS29" s="204"/>
      <c r="NNT29" s="204"/>
      <c r="NNU29" s="204"/>
      <c r="NNV29" s="204"/>
      <c r="NNW29" s="204"/>
      <c r="NNX29" s="204"/>
      <c r="NNY29" s="204"/>
      <c r="NNZ29" s="204"/>
      <c r="NOA29" s="204"/>
      <c r="NOB29" s="204"/>
      <c r="NOC29" s="204"/>
      <c r="NOD29" s="204"/>
      <c r="NOE29" s="204"/>
      <c r="NOF29" s="204"/>
      <c r="NOG29" s="204"/>
      <c r="NOH29" s="204"/>
      <c r="NOI29" s="204"/>
      <c r="NOJ29" s="204"/>
      <c r="NOK29" s="204"/>
      <c r="NOL29" s="204"/>
      <c r="NOM29" s="204"/>
      <c r="NON29" s="204"/>
      <c r="NOO29" s="204"/>
      <c r="NOP29" s="204"/>
      <c r="NOQ29" s="204"/>
      <c r="NOR29" s="204"/>
      <c r="NOS29" s="204"/>
      <c r="NOT29" s="204"/>
      <c r="NOU29" s="204"/>
      <c r="NOV29" s="204"/>
      <c r="NOW29" s="204"/>
      <c r="NOX29" s="204"/>
      <c r="NOY29" s="204"/>
      <c r="NOZ29" s="204"/>
      <c r="NPA29" s="204"/>
      <c r="NPB29" s="204"/>
      <c r="NPC29" s="204"/>
      <c r="NPD29" s="204"/>
      <c r="NPE29" s="204"/>
      <c r="NPF29" s="204"/>
      <c r="NPG29" s="204"/>
      <c r="NPH29" s="204"/>
      <c r="NPI29" s="204"/>
      <c r="NPJ29" s="204"/>
      <c r="NPK29" s="204"/>
      <c r="NPL29" s="204"/>
      <c r="NPM29" s="204"/>
      <c r="NPN29" s="204"/>
      <c r="NPO29" s="204"/>
      <c r="NPP29" s="204"/>
      <c r="NPQ29" s="204"/>
      <c r="NPR29" s="204"/>
      <c r="NPS29" s="204"/>
      <c r="NPT29" s="204"/>
      <c r="NPU29" s="204"/>
      <c r="NPV29" s="204"/>
      <c r="NPW29" s="204"/>
      <c r="NPX29" s="204"/>
      <c r="NPY29" s="204"/>
      <c r="NPZ29" s="204"/>
      <c r="NQA29" s="204"/>
      <c r="NQB29" s="204"/>
      <c r="NQC29" s="204"/>
      <c r="NQD29" s="204"/>
      <c r="NQE29" s="204"/>
      <c r="NQF29" s="204"/>
      <c r="NQG29" s="204"/>
      <c r="NQH29" s="204"/>
      <c r="NQI29" s="204"/>
      <c r="NQJ29" s="204"/>
      <c r="NQK29" s="204"/>
      <c r="NQL29" s="204"/>
      <c r="NQM29" s="204"/>
      <c r="NQN29" s="204"/>
      <c r="NQO29" s="204"/>
      <c r="NQP29" s="204"/>
      <c r="NQQ29" s="204"/>
      <c r="NQR29" s="204"/>
      <c r="NQS29" s="204"/>
      <c r="NQT29" s="204"/>
      <c r="NQU29" s="204"/>
      <c r="NQV29" s="204"/>
      <c r="NQW29" s="204"/>
      <c r="NQX29" s="204"/>
      <c r="NQY29" s="204"/>
      <c r="NQZ29" s="204"/>
      <c r="NRA29" s="204"/>
      <c r="NRB29" s="204"/>
      <c r="NRC29" s="204"/>
      <c r="NRD29" s="204"/>
      <c r="NRE29" s="204"/>
      <c r="NRF29" s="204"/>
      <c r="NRG29" s="204"/>
      <c r="NRH29" s="204"/>
      <c r="NRI29" s="204"/>
      <c r="NRJ29" s="204"/>
      <c r="NRK29" s="204"/>
      <c r="NRL29" s="204"/>
      <c r="NRM29" s="204"/>
      <c r="NRN29" s="204"/>
      <c r="NRO29" s="204"/>
      <c r="NRP29" s="204"/>
      <c r="NRQ29" s="204"/>
      <c r="NRR29" s="204"/>
      <c r="NRS29" s="204"/>
      <c r="NRT29" s="204"/>
      <c r="NRU29" s="204"/>
      <c r="NRV29" s="204"/>
      <c r="NRW29" s="204"/>
      <c r="NRX29" s="204"/>
      <c r="NRY29" s="204"/>
      <c r="NRZ29" s="204"/>
      <c r="NSA29" s="204"/>
      <c r="NSB29" s="204"/>
      <c r="NSC29" s="204"/>
      <c r="NSD29" s="204"/>
      <c r="NSE29" s="204"/>
      <c r="NSF29" s="204"/>
      <c r="NSG29" s="204"/>
      <c r="NSH29" s="204"/>
      <c r="NSI29" s="204"/>
      <c r="NSJ29" s="204"/>
      <c r="NSK29" s="204"/>
      <c r="NSL29" s="204"/>
      <c r="NSM29" s="204"/>
      <c r="NSN29" s="204"/>
      <c r="NSO29" s="204"/>
      <c r="NSP29" s="204"/>
      <c r="NSQ29" s="204"/>
      <c r="NSR29" s="204"/>
      <c r="NSS29" s="204"/>
      <c r="NST29" s="204"/>
      <c r="NSU29" s="204"/>
      <c r="NSV29" s="204"/>
      <c r="NSW29" s="204"/>
      <c r="NSX29" s="204"/>
      <c r="NSY29" s="204"/>
      <c r="NSZ29" s="204"/>
      <c r="NTA29" s="204"/>
      <c r="NTB29" s="204"/>
      <c r="NTC29" s="204"/>
      <c r="NTD29" s="204"/>
      <c r="NTE29" s="204"/>
      <c r="NTF29" s="204"/>
      <c r="NTG29" s="204"/>
      <c r="NTH29" s="204"/>
      <c r="NTI29" s="204"/>
      <c r="NTJ29" s="204"/>
      <c r="NTK29" s="204"/>
      <c r="NTL29" s="204"/>
      <c r="NTM29" s="204"/>
      <c r="NTN29" s="204"/>
      <c r="NTO29" s="204"/>
      <c r="NTP29" s="204"/>
      <c r="NTQ29" s="204"/>
      <c r="NTR29" s="204"/>
      <c r="NTS29" s="204"/>
      <c r="NTT29" s="204"/>
      <c r="NTU29" s="204"/>
      <c r="NTV29" s="204"/>
      <c r="NTW29" s="204"/>
      <c r="NTX29" s="204"/>
      <c r="NTY29" s="204"/>
      <c r="NTZ29" s="204"/>
      <c r="NUA29" s="204"/>
      <c r="NUB29" s="204"/>
      <c r="NUC29" s="204"/>
      <c r="NUD29" s="204"/>
      <c r="NUE29" s="204"/>
      <c r="NUF29" s="204"/>
      <c r="NUG29" s="204"/>
      <c r="NUH29" s="204"/>
      <c r="NUI29" s="204"/>
      <c r="NUJ29" s="204"/>
      <c r="NUK29" s="204"/>
      <c r="NUL29" s="204"/>
      <c r="NUM29" s="204"/>
      <c r="NUN29" s="204"/>
      <c r="NUO29" s="204"/>
      <c r="NUP29" s="204"/>
      <c r="NUQ29" s="204"/>
      <c r="NUR29" s="204"/>
      <c r="NUS29" s="204"/>
      <c r="NUT29" s="204"/>
      <c r="NUU29" s="204"/>
      <c r="NUV29" s="204"/>
      <c r="NUW29" s="204"/>
      <c r="NUX29" s="204"/>
      <c r="NUY29" s="204"/>
      <c r="NUZ29" s="204"/>
      <c r="NVA29" s="204"/>
      <c r="NVB29" s="204"/>
      <c r="NVC29" s="204"/>
      <c r="NVD29" s="204"/>
      <c r="NVE29" s="204"/>
      <c r="NVF29" s="204"/>
      <c r="NVG29" s="204"/>
      <c r="NVH29" s="204"/>
      <c r="NVI29" s="204"/>
      <c r="NVJ29" s="204"/>
      <c r="NVK29" s="204"/>
      <c r="NVL29" s="204"/>
      <c r="NVM29" s="204"/>
      <c r="NVN29" s="204"/>
      <c r="NVO29" s="204"/>
      <c r="NVP29" s="204"/>
      <c r="NVQ29" s="204"/>
      <c r="NVR29" s="204"/>
      <c r="NVS29" s="204"/>
      <c r="NVT29" s="204"/>
      <c r="NVU29" s="204"/>
      <c r="NVV29" s="204"/>
      <c r="NVW29" s="204"/>
      <c r="NVX29" s="204"/>
      <c r="NVY29" s="204"/>
      <c r="NVZ29" s="204"/>
      <c r="NWA29" s="204"/>
      <c r="NWB29" s="204"/>
      <c r="NWC29" s="204"/>
      <c r="NWD29" s="204"/>
      <c r="NWE29" s="204"/>
      <c r="NWF29" s="204"/>
      <c r="NWG29" s="204"/>
      <c r="NWH29" s="204"/>
      <c r="NWI29" s="204"/>
      <c r="NWJ29" s="204"/>
      <c r="NWK29" s="204"/>
      <c r="NWL29" s="204"/>
      <c r="NWM29" s="204"/>
      <c r="NWN29" s="204"/>
      <c r="NWO29" s="204"/>
      <c r="NWP29" s="204"/>
      <c r="NWQ29" s="204"/>
      <c r="NWR29" s="204"/>
      <c r="NWS29" s="204"/>
      <c r="NWT29" s="204"/>
      <c r="NWU29" s="204"/>
      <c r="NWV29" s="204"/>
      <c r="NWW29" s="204"/>
      <c r="NWX29" s="204"/>
      <c r="NWY29" s="204"/>
      <c r="NWZ29" s="204"/>
      <c r="NXA29" s="204"/>
      <c r="NXB29" s="204"/>
      <c r="NXC29" s="204"/>
      <c r="NXD29" s="204"/>
      <c r="NXE29" s="204"/>
      <c r="NXF29" s="204"/>
      <c r="NXG29" s="204"/>
      <c r="NXH29" s="204"/>
      <c r="NXI29" s="204"/>
      <c r="NXJ29" s="204"/>
      <c r="NXK29" s="204"/>
      <c r="NXL29" s="204"/>
      <c r="NXM29" s="204"/>
      <c r="NXN29" s="204"/>
      <c r="NXO29" s="204"/>
      <c r="NXP29" s="204"/>
      <c r="NXQ29" s="204"/>
      <c r="NXR29" s="204"/>
      <c r="NXS29" s="204"/>
      <c r="NXT29" s="204"/>
      <c r="NXU29" s="204"/>
      <c r="NXV29" s="204"/>
      <c r="NXW29" s="204"/>
      <c r="NXX29" s="204"/>
      <c r="NXY29" s="204"/>
      <c r="NXZ29" s="204"/>
      <c r="NYA29" s="204"/>
      <c r="NYB29" s="204"/>
      <c r="NYC29" s="204"/>
      <c r="NYD29" s="204"/>
      <c r="NYE29" s="204"/>
      <c r="NYF29" s="204"/>
      <c r="NYG29" s="204"/>
      <c r="NYH29" s="204"/>
      <c r="NYI29" s="204"/>
      <c r="NYJ29" s="204"/>
      <c r="NYK29" s="204"/>
      <c r="NYL29" s="204"/>
      <c r="NYM29" s="204"/>
      <c r="NYN29" s="204"/>
      <c r="NYO29" s="204"/>
      <c r="NYP29" s="204"/>
      <c r="NYQ29" s="204"/>
      <c r="NYR29" s="204"/>
      <c r="NYS29" s="204"/>
      <c r="NYT29" s="204"/>
      <c r="NYU29" s="204"/>
      <c r="NYV29" s="204"/>
      <c r="NYW29" s="204"/>
      <c r="NYX29" s="204"/>
      <c r="NYY29" s="204"/>
      <c r="NYZ29" s="204"/>
      <c r="NZA29" s="204"/>
      <c r="NZB29" s="204"/>
      <c r="NZC29" s="204"/>
      <c r="NZD29" s="204"/>
      <c r="NZE29" s="204"/>
      <c r="NZF29" s="204"/>
      <c r="NZG29" s="204"/>
      <c r="NZH29" s="204"/>
      <c r="NZI29" s="204"/>
      <c r="NZJ29" s="204"/>
      <c r="NZK29" s="204"/>
      <c r="NZL29" s="204"/>
      <c r="NZM29" s="204"/>
      <c r="NZN29" s="204"/>
      <c r="NZO29" s="204"/>
      <c r="NZP29" s="204"/>
      <c r="NZQ29" s="204"/>
      <c r="NZR29" s="204"/>
      <c r="NZS29" s="204"/>
      <c r="NZT29" s="204"/>
      <c r="NZU29" s="204"/>
      <c r="NZV29" s="204"/>
      <c r="NZW29" s="204"/>
      <c r="NZX29" s="204"/>
      <c r="NZY29" s="204"/>
      <c r="NZZ29" s="204"/>
      <c r="OAA29" s="204"/>
      <c r="OAB29" s="204"/>
      <c r="OAC29" s="204"/>
      <c r="OAD29" s="204"/>
      <c r="OAE29" s="204"/>
      <c r="OAF29" s="204"/>
      <c r="OAG29" s="204"/>
      <c r="OAH29" s="204"/>
      <c r="OAI29" s="204"/>
      <c r="OAJ29" s="204"/>
      <c r="OAK29" s="204"/>
      <c r="OAL29" s="204"/>
      <c r="OAM29" s="204"/>
      <c r="OAN29" s="204"/>
      <c r="OAO29" s="204"/>
      <c r="OAP29" s="204"/>
      <c r="OAQ29" s="204"/>
      <c r="OAR29" s="204"/>
      <c r="OAS29" s="204"/>
      <c r="OAT29" s="204"/>
      <c r="OAU29" s="204"/>
      <c r="OAV29" s="204"/>
      <c r="OAW29" s="204"/>
      <c r="OAX29" s="204"/>
      <c r="OAY29" s="204"/>
      <c r="OAZ29" s="204"/>
      <c r="OBA29" s="204"/>
      <c r="OBB29" s="204"/>
      <c r="OBC29" s="204"/>
      <c r="OBD29" s="204"/>
      <c r="OBE29" s="204"/>
      <c r="OBF29" s="204"/>
      <c r="OBG29" s="204"/>
      <c r="OBH29" s="204"/>
      <c r="OBI29" s="204"/>
      <c r="OBJ29" s="204"/>
      <c r="OBK29" s="204"/>
      <c r="OBL29" s="204"/>
      <c r="OBM29" s="204"/>
      <c r="OBN29" s="204"/>
      <c r="OBO29" s="204"/>
      <c r="OBP29" s="204"/>
      <c r="OBQ29" s="204"/>
      <c r="OBR29" s="204"/>
      <c r="OBS29" s="204"/>
      <c r="OBT29" s="204"/>
      <c r="OBU29" s="204"/>
      <c r="OBV29" s="204"/>
      <c r="OBW29" s="204"/>
      <c r="OBX29" s="204"/>
      <c r="OBY29" s="204"/>
      <c r="OBZ29" s="204"/>
      <c r="OCA29" s="204"/>
      <c r="OCB29" s="204"/>
      <c r="OCC29" s="204"/>
      <c r="OCD29" s="204"/>
      <c r="OCE29" s="204"/>
      <c r="OCF29" s="204"/>
      <c r="OCG29" s="204"/>
      <c r="OCH29" s="204"/>
      <c r="OCI29" s="204"/>
      <c r="OCJ29" s="204"/>
      <c r="OCK29" s="204"/>
      <c r="OCL29" s="204"/>
      <c r="OCM29" s="204"/>
      <c r="OCN29" s="204"/>
      <c r="OCO29" s="204"/>
      <c r="OCP29" s="204"/>
      <c r="OCQ29" s="204"/>
      <c r="OCR29" s="204"/>
      <c r="OCS29" s="204"/>
      <c r="OCT29" s="204"/>
      <c r="OCU29" s="204"/>
      <c r="OCV29" s="204"/>
      <c r="OCW29" s="204"/>
      <c r="OCX29" s="204"/>
      <c r="OCY29" s="204"/>
      <c r="OCZ29" s="204"/>
      <c r="ODA29" s="204"/>
      <c r="ODB29" s="204"/>
      <c r="ODC29" s="204"/>
      <c r="ODD29" s="204"/>
      <c r="ODE29" s="204"/>
      <c r="ODF29" s="204"/>
      <c r="ODG29" s="204"/>
      <c r="ODH29" s="204"/>
      <c r="ODI29" s="204"/>
      <c r="ODJ29" s="204"/>
      <c r="ODK29" s="204"/>
      <c r="ODL29" s="204"/>
      <c r="ODM29" s="204"/>
      <c r="ODN29" s="204"/>
      <c r="ODO29" s="204"/>
      <c r="ODP29" s="204"/>
      <c r="ODQ29" s="204"/>
      <c r="ODR29" s="204"/>
      <c r="ODS29" s="204"/>
      <c r="ODT29" s="204"/>
      <c r="ODU29" s="204"/>
      <c r="ODV29" s="204"/>
      <c r="ODW29" s="204"/>
      <c r="ODX29" s="204"/>
      <c r="ODY29" s="204"/>
      <c r="ODZ29" s="204"/>
      <c r="OEA29" s="204"/>
      <c r="OEB29" s="204"/>
      <c r="OEC29" s="204"/>
      <c r="OED29" s="204"/>
      <c r="OEE29" s="204"/>
      <c r="OEF29" s="204"/>
      <c r="OEG29" s="204"/>
      <c r="OEH29" s="204"/>
      <c r="OEI29" s="204"/>
      <c r="OEJ29" s="204"/>
      <c r="OEK29" s="204"/>
      <c r="OEL29" s="204"/>
      <c r="OEM29" s="204"/>
      <c r="OEN29" s="204"/>
      <c r="OEO29" s="204"/>
      <c r="OEP29" s="204"/>
      <c r="OEQ29" s="204"/>
      <c r="OER29" s="204"/>
      <c r="OES29" s="204"/>
      <c r="OET29" s="204"/>
      <c r="OEU29" s="204"/>
      <c r="OEV29" s="204"/>
      <c r="OEW29" s="204"/>
      <c r="OEX29" s="204"/>
      <c r="OEY29" s="204"/>
      <c r="OEZ29" s="204"/>
      <c r="OFA29" s="204"/>
      <c r="OFB29" s="204"/>
      <c r="OFC29" s="204"/>
      <c r="OFD29" s="204"/>
      <c r="OFE29" s="204"/>
      <c r="OFF29" s="204"/>
      <c r="OFG29" s="204"/>
      <c r="OFH29" s="204"/>
      <c r="OFI29" s="204"/>
      <c r="OFJ29" s="204"/>
      <c r="OFK29" s="204"/>
      <c r="OFL29" s="204"/>
      <c r="OFM29" s="204"/>
      <c r="OFN29" s="204"/>
      <c r="OFO29" s="204"/>
      <c r="OFP29" s="204"/>
      <c r="OFQ29" s="204"/>
      <c r="OFR29" s="204"/>
      <c r="OFS29" s="204"/>
      <c r="OFT29" s="204"/>
      <c r="OFU29" s="204"/>
      <c r="OFV29" s="204"/>
      <c r="OFW29" s="204"/>
      <c r="OFX29" s="204"/>
      <c r="OFY29" s="204"/>
      <c r="OFZ29" s="204"/>
      <c r="OGA29" s="204"/>
      <c r="OGB29" s="204"/>
      <c r="OGC29" s="204"/>
      <c r="OGD29" s="204"/>
      <c r="OGE29" s="204"/>
      <c r="OGF29" s="204"/>
      <c r="OGG29" s="204"/>
      <c r="OGH29" s="204"/>
      <c r="OGI29" s="204"/>
      <c r="OGJ29" s="204"/>
      <c r="OGK29" s="204"/>
      <c r="OGL29" s="204"/>
      <c r="OGM29" s="204"/>
      <c r="OGN29" s="204"/>
      <c r="OGO29" s="204"/>
      <c r="OGP29" s="204"/>
      <c r="OGQ29" s="204"/>
      <c r="OGR29" s="204"/>
      <c r="OGS29" s="204"/>
      <c r="OGT29" s="204"/>
      <c r="OGU29" s="204"/>
      <c r="OGV29" s="204"/>
      <c r="OGW29" s="204"/>
      <c r="OGX29" s="204"/>
      <c r="OGY29" s="204"/>
      <c r="OGZ29" s="204"/>
      <c r="OHA29" s="204"/>
      <c r="OHB29" s="204"/>
      <c r="OHC29" s="204"/>
      <c r="OHD29" s="204"/>
      <c r="OHE29" s="204"/>
      <c r="OHF29" s="204"/>
      <c r="OHG29" s="204"/>
      <c r="OHH29" s="204"/>
      <c r="OHI29" s="204"/>
      <c r="OHJ29" s="204"/>
      <c r="OHK29" s="204"/>
      <c r="OHL29" s="204"/>
      <c r="OHM29" s="204"/>
      <c r="OHN29" s="204"/>
      <c r="OHO29" s="204"/>
      <c r="OHP29" s="204"/>
      <c r="OHQ29" s="204"/>
      <c r="OHR29" s="204"/>
      <c r="OHS29" s="204"/>
      <c r="OHT29" s="204"/>
      <c r="OHU29" s="204"/>
      <c r="OHV29" s="204"/>
      <c r="OHW29" s="204"/>
      <c r="OHX29" s="204"/>
      <c r="OHY29" s="204"/>
      <c r="OHZ29" s="204"/>
      <c r="OIA29" s="204"/>
      <c r="OIB29" s="204"/>
      <c r="OIC29" s="204"/>
      <c r="OID29" s="204"/>
      <c r="OIE29" s="204"/>
      <c r="OIF29" s="204"/>
      <c r="OIG29" s="204"/>
      <c r="OIH29" s="204"/>
      <c r="OII29" s="204"/>
      <c r="OIJ29" s="204"/>
      <c r="OIK29" s="204"/>
      <c r="OIL29" s="204"/>
      <c r="OIM29" s="204"/>
      <c r="OIN29" s="204"/>
      <c r="OIO29" s="204"/>
      <c r="OIP29" s="204"/>
      <c r="OIQ29" s="204"/>
      <c r="OIR29" s="204"/>
      <c r="OIS29" s="204"/>
      <c r="OIT29" s="204"/>
      <c r="OIU29" s="204"/>
      <c r="OIV29" s="204"/>
      <c r="OIW29" s="204"/>
      <c r="OIX29" s="204"/>
      <c r="OIY29" s="204"/>
      <c r="OIZ29" s="204"/>
      <c r="OJA29" s="204"/>
      <c r="OJB29" s="204"/>
      <c r="OJC29" s="204"/>
      <c r="OJD29" s="204"/>
      <c r="OJE29" s="204"/>
      <c r="OJF29" s="204"/>
      <c r="OJG29" s="204"/>
      <c r="OJH29" s="204"/>
      <c r="OJI29" s="204"/>
      <c r="OJJ29" s="204"/>
      <c r="OJK29" s="204"/>
      <c r="OJL29" s="204"/>
      <c r="OJM29" s="204"/>
      <c r="OJN29" s="204"/>
      <c r="OJO29" s="204"/>
      <c r="OJP29" s="204"/>
      <c r="OJQ29" s="204"/>
      <c r="OJR29" s="204"/>
      <c r="OJS29" s="204"/>
      <c r="OJT29" s="204"/>
      <c r="OJU29" s="204"/>
      <c r="OJV29" s="204"/>
      <c r="OJW29" s="204"/>
      <c r="OJX29" s="204"/>
      <c r="OJY29" s="204"/>
      <c r="OJZ29" s="204"/>
      <c r="OKA29" s="204"/>
      <c r="OKB29" s="204"/>
      <c r="OKC29" s="204"/>
      <c r="OKD29" s="204"/>
      <c r="OKE29" s="204"/>
      <c r="OKF29" s="204"/>
      <c r="OKG29" s="204"/>
      <c r="OKH29" s="204"/>
      <c r="OKI29" s="204"/>
      <c r="OKJ29" s="204"/>
      <c r="OKK29" s="204"/>
      <c r="OKL29" s="204"/>
      <c r="OKM29" s="204"/>
      <c r="OKN29" s="204"/>
      <c r="OKO29" s="204"/>
      <c r="OKP29" s="204"/>
      <c r="OKQ29" s="204"/>
      <c r="OKR29" s="204"/>
      <c r="OKS29" s="204"/>
      <c r="OKT29" s="204"/>
      <c r="OKU29" s="204"/>
      <c r="OKV29" s="204"/>
      <c r="OKW29" s="204"/>
      <c r="OKX29" s="204"/>
      <c r="OKY29" s="204"/>
      <c r="OKZ29" s="204"/>
      <c r="OLA29" s="204"/>
      <c r="OLB29" s="204"/>
      <c r="OLC29" s="204"/>
      <c r="OLD29" s="204"/>
      <c r="OLE29" s="204"/>
      <c r="OLF29" s="204"/>
      <c r="OLG29" s="204"/>
      <c r="OLH29" s="204"/>
      <c r="OLI29" s="204"/>
      <c r="OLJ29" s="204"/>
      <c r="OLK29" s="204"/>
      <c r="OLL29" s="204"/>
      <c r="OLM29" s="204"/>
      <c r="OLN29" s="204"/>
      <c r="OLO29" s="204"/>
      <c r="OLP29" s="204"/>
      <c r="OLQ29" s="204"/>
      <c r="OLR29" s="204"/>
      <c r="OLS29" s="204"/>
      <c r="OLT29" s="204"/>
      <c r="OLU29" s="204"/>
      <c r="OLV29" s="204"/>
      <c r="OLW29" s="204"/>
      <c r="OLX29" s="204"/>
      <c r="OLY29" s="204"/>
      <c r="OLZ29" s="204"/>
      <c r="OMA29" s="204"/>
      <c r="OMB29" s="204"/>
      <c r="OMC29" s="204"/>
      <c r="OMD29" s="204"/>
      <c r="OME29" s="204"/>
      <c r="OMF29" s="204"/>
      <c r="OMG29" s="204"/>
      <c r="OMH29" s="204"/>
      <c r="OMI29" s="204"/>
      <c r="OMJ29" s="204"/>
      <c r="OMK29" s="204"/>
      <c r="OML29" s="204"/>
      <c r="OMM29" s="204"/>
      <c r="OMN29" s="204"/>
      <c r="OMO29" s="204"/>
      <c r="OMP29" s="204"/>
      <c r="OMQ29" s="204"/>
      <c r="OMR29" s="204"/>
      <c r="OMS29" s="204"/>
      <c r="OMT29" s="204"/>
      <c r="OMU29" s="204"/>
      <c r="OMV29" s="204"/>
      <c r="OMW29" s="204"/>
      <c r="OMX29" s="204"/>
      <c r="OMY29" s="204"/>
      <c r="OMZ29" s="204"/>
      <c r="ONA29" s="204"/>
      <c r="ONB29" s="204"/>
      <c r="ONC29" s="204"/>
      <c r="OND29" s="204"/>
      <c r="ONE29" s="204"/>
      <c r="ONF29" s="204"/>
      <c r="ONG29" s="204"/>
      <c r="ONH29" s="204"/>
      <c r="ONI29" s="204"/>
      <c r="ONJ29" s="204"/>
      <c r="ONK29" s="204"/>
      <c r="ONL29" s="204"/>
      <c r="ONM29" s="204"/>
      <c r="ONN29" s="204"/>
      <c r="ONO29" s="204"/>
      <c r="ONP29" s="204"/>
      <c r="ONQ29" s="204"/>
      <c r="ONR29" s="204"/>
      <c r="ONS29" s="204"/>
      <c r="ONT29" s="204"/>
      <c r="ONU29" s="204"/>
      <c r="ONV29" s="204"/>
      <c r="ONW29" s="204"/>
      <c r="ONX29" s="204"/>
      <c r="ONY29" s="204"/>
      <c r="ONZ29" s="204"/>
      <c r="OOA29" s="204"/>
      <c r="OOB29" s="204"/>
      <c r="OOC29" s="204"/>
      <c r="OOD29" s="204"/>
      <c r="OOE29" s="204"/>
      <c r="OOF29" s="204"/>
      <c r="OOG29" s="204"/>
      <c r="OOH29" s="204"/>
      <c r="OOI29" s="204"/>
      <c r="OOJ29" s="204"/>
      <c r="OOK29" s="204"/>
      <c r="OOL29" s="204"/>
      <c r="OOM29" s="204"/>
      <c r="OON29" s="204"/>
      <c r="OOO29" s="204"/>
      <c r="OOP29" s="204"/>
      <c r="OOQ29" s="204"/>
      <c r="OOR29" s="204"/>
      <c r="OOS29" s="204"/>
      <c r="OOT29" s="204"/>
      <c r="OOU29" s="204"/>
      <c r="OOV29" s="204"/>
      <c r="OOW29" s="204"/>
      <c r="OOX29" s="204"/>
      <c r="OOY29" s="204"/>
      <c r="OOZ29" s="204"/>
      <c r="OPA29" s="204"/>
      <c r="OPB29" s="204"/>
      <c r="OPC29" s="204"/>
      <c r="OPD29" s="204"/>
      <c r="OPE29" s="204"/>
      <c r="OPF29" s="204"/>
      <c r="OPG29" s="204"/>
      <c r="OPH29" s="204"/>
      <c r="OPI29" s="204"/>
      <c r="OPJ29" s="204"/>
      <c r="OPK29" s="204"/>
      <c r="OPL29" s="204"/>
      <c r="OPM29" s="204"/>
      <c r="OPN29" s="204"/>
      <c r="OPO29" s="204"/>
      <c r="OPP29" s="204"/>
      <c r="OPQ29" s="204"/>
      <c r="OPR29" s="204"/>
      <c r="OPS29" s="204"/>
      <c r="OPT29" s="204"/>
      <c r="OPU29" s="204"/>
      <c r="OPV29" s="204"/>
      <c r="OPW29" s="204"/>
      <c r="OPX29" s="204"/>
      <c r="OPY29" s="204"/>
      <c r="OPZ29" s="204"/>
      <c r="OQA29" s="204"/>
      <c r="OQB29" s="204"/>
      <c r="OQC29" s="204"/>
      <c r="OQD29" s="204"/>
      <c r="OQE29" s="204"/>
      <c r="OQF29" s="204"/>
      <c r="OQG29" s="204"/>
      <c r="OQH29" s="204"/>
      <c r="OQI29" s="204"/>
      <c r="OQJ29" s="204"/>
      <c r="OQK29" s="204"/>
      <c r="OQL29" s="204"/>
      <c r="OQM29" s="204"/>
      <c r="OQN29" s="204"/>
      <c r="OQO29" s="204"/>
      <c r="OQP29" s="204"/>
      <c r="OQQ29" s="204"/>
      <c r="OQR29" s="204"/>
      <c r="OQS29" s="204"/>
      <c r="OQT29" s="204"/>
      <c r="OQU29" s="204"/>
      <c r="OQV29" s="204"/>
      <c r="OQW29" s="204"/>
      <c r="OQX29" s="204"/>
      <c r="OQY29" s="204"/>
      <c r="OQZ29" s="204"/>
      <c r="ORA29" s="204"/>
      <c r="ORB29" s="204"/>
      <c r="ORC29" s="204"/>
      <c r="ORD29" s="204"/>
      <c r="ORE29" s="204"/>
      <c r="ORF29" s="204"/>
      <c r="ORG29" s="204"/>
      <c r="ORH29" s="204"/>
      <c r="ORI29" s="204"/>
      <c r="ORJ29" s="204"/>
      <c r="ORK29" s="204"/>
      <c r="ORL29" s="204"/>
      <c r="ORM29" s="204"/>
      <c r="ORN29" s="204"/>
      <c r="ORO29" s="204"/>
      <c r="ORP29" s="204"/>
      <c r="ORQ29" s="204"/>
      <c r="ORR29" s="204"/>
      <c r="ORS29" s="204"/>
      <c r="ORT29" s="204"/>
      <c r="ORU29" s="204"/>
      <c r="ORV29" s="204"/>
      <c r="ORW29" s="204"/>
      <c r="ORX29" s="204"/>
      <c r="ORY29" s="204"/>
      <c r="ORZ29" s="204"/>
      <c r="OSA29" s="204"/>
      <c r="OSB29" s="204"/>
      <c r="OSC29" s="204"/>
      <c r="OSD29" s="204"/>
      <c r="OSE29" s="204"/>
      <c r="OSF29" s="204"/>
      <c r="OSG29" s="204"/>
      <c r="OSH29" s="204"/>
      <c r="OSI29" s="204"/>
      <c r="OSJ29" s="204"/>
      <c r="OSK29" s="204"/>
      <c r="OSL29" s="204"/>
      <c r="OSM29" s="204"/>
      <c r="OSN29" s="204"/>
      <c r="OSO29" s="204"/>
      <c r="OSP29" s="204"/>
      <c r="OSQ29" s="204"/>
      <c r="OSR29" s="204"/>
      <c r="OSS29" s="204"/>
      <c r="OST29" s="204"/>
      <c r="OSU29" s="204"/>
      <c r="OSV29" s="204"/>
      <c r="OSW29" s="204"/>
      <c r="OSX29" s="204"/>
      <c r="OSY29" s="204"/>
      <c r="OSZ29" s="204"/>
      <c r="OTA29" s="204"/>
      <c r="OTB29" s="204"/>
      <c r="OTC29" s="204"/>
      <c r="OTD29" s="204"/>
      <c r="OTE29" s="204"/>
      <c r="OTF29" s="204"/>
      <c r="OTG29" s="204"/>
      <c r="OTH29" s="204"/>
      <c r="OTI29" s="204"/>
      <c r="OTJ29" s="204"/>
      <c r="OTK29" s="204"/>
      <c r="OTL29" s="204"/>
      <c r="OTM29" s="204"/>
      <c r="OTN29" s="204"/>
      <c r="OTO29" s="204"/>
      <c r="OTP29" s="204"/>
      <c r="OTQ29" s="204"/>
      <c r="OTR29" s="204"/>
      <c r="OTS29" s="204"/>
      <c r="OTT29" s="204"/>
      <c r="OTU29" s="204"/>
      <c r="OTV29" s="204"/>
      <c r="OTW29" s="204"/>
      <c r="OTX29" s="204"/>
      <c r="OTY29" s="204"/>
      <c r="OTZ29" s="204"/>
      <c r="OUA29" s="204"/>
      <c r="OUB29" s="204"/>
      <c r="OUC29" s="204"/>
      <c r="OUD29" s="204"/>
      <c r="OUE29" s="204"/>
      <c r="OUF29" s="204"/>
      <c r="OUG29" s="204"/>
      <c r="OUH29" s="204"/>
      <c r="OUI29" s="204"/>
      <c r="OUJ29" s="204"/>
      <c r="OUK29" s="204"/>
      <c r="OUL29" s="204"/>
      <c r="OUM29" s="204"/>
      <c r="OUN29" s="204"/>
      <c r="OUO29" s="204"/>
      <c r="OUP29" s="204"/>
      <c r="OUQ29" s="204"/>
      <c r="OUR29" s="204"/>
      <c r="OUS29" s="204"/>
      <c r="OUT29" s="204"/>
      <c r="OUU29" s="204"/>
      <c r="OUV29" s="204"/>
      <c r="OUW29" s="204"/>
      <c r="OUX29" s="204"/>
      <c r="OUY29" s="204"/>
      <c r="OUZ29" s="204"/>
      <c r="OVA29" s="204"/>
      <c r="OVB29" s="204"/>
      <c r="OVC29" s="204"/>
      <c r="OVD29" s="204"/>
      <c r="OVE29" s="204"/>
      <c r="OVF29" s="204"/>
      <c r="OVG29" s="204"/>
      <c r="OVH29" s="204"/>
      <c r="OVI29" s="204"/>
      <c r="OVJ29" s="204"/>
      <c r="OVK29" s="204"/>
      <c r="OVL29" s="204"/>
      <c r="OVM29" s="204"/>
      <c r="OVN29" s="204"/>
      <c r="OVO29" s="204"/>
      <c r="OVP29" s="204"/>
      <c r="OVQ29" s="204"/>
      <c r="OVR29" s="204"/>
      <c r="OVS29" s="204"/>
      <c r="OVT29" s="204"/>
      <c r="OVU29" s="204"/>
      <c r="OVV29" s="204"/>
      <c r="OVW29" s="204"/>
      <c r="OVX29" s="204"/>
      <c r="OVY29" s="204"/>
      <c r="OVZ29" s="204"/>
      <c r="OWA29" s="204"/>
      <c r="OWB29" s="204"/>
      <c r="OWC29" s="204"/>
      <c r="OWD29" s="204"/>
      <c r="OWE29" s="204"/>
      <c r="OWF29" s="204"/>
      <c r="OWG29" s="204"/>
      <c r="OWH29" s="204"/>
      <c r="OWI29" s="204"/>
      <c r="OWJ29" s="204"/>
      <c r="OWK29" s="204"/>
      <c r="OWL29" s="204"/>
      <c r="OWM29" s="204"/>
      <c r="OWN29" s="204"/>
      <c r="OWO29" s="204"/>
      <c r="OWP29" s="204"/>
      <c r="OWQ29" s="204"/>
      <c r="OWR29" s="204"/>
      <c r="OWS29" s="204"/>
      <c r="OWT29" s="204"/>
      <c r="OWU29" s="204"/>
      <c r="OWV29" s="204"/>
      <c r="OWW29" s="204"/>
      <c r="OWX29" s="204"/>
      <c r="OWY29" s="204"/>
      <c r="OWZ29" s="204"/>
      <c r="OXA29" s="204"/>
      <c r="OXB29" s="204"/>
      <c r="OXC29" s="204"/>
      <c r="OXD29" s="204"/>
      <c r="OXE29" s="204"/>
      <c r="OXF29" s="204"/>
      <c r="OXG29" s="204"/>
      <c r="OXH29" s="204"/>
      <c r="OXI29" s="204"/>
      <c r="OXJ29" s="204"/>
      <c r="OXK29" s="204"/>
      <c r="OXL29" s="204"/>
      <c r="OXM29" s="204"/>
      <c r="OXN29" s="204"/>
      <c r="OXO29" s="204"/>
      <c r="OXP29" s="204"/>
      <c r="OXQ29" s="204"/>
      <c r="OXR29" s="204"/>
      <c r="OXS29" s="204"/>
      <c r="OXT29" s="204"/>
      <c r="OXU29" s="204"/>
      <c r="OXV29" s="204"/>
      <c r="OXW29" s="204"/>
      <c r="OXX29" s="204"/>
      <c r="OXY29" s="204"/>
      <c r="OXZ29" s="204"/>
      <c r="OYA29" s="204"/>
      <c r="OYB29" s="204"/>
      <c r="OYC29" s="204"/>
      <c r="OYD29" s="204"/>
      <c r="OYE29" s="204"/>
      <c r="OYF29" s="204"/>
      <c r="OYG29" s="204"/>
      <c r="OYH29" s="204"/>
      <c r="OYI29" s="204"/>
      <c r="OYJ29" s="204"/>
      <c r="OYK29" s="204"/>
      <c r="OYL29" s="204"/>
      <c r="OYM29" s="204"/>
      <c r="OYN29" s="204"/>
      <c r="OYO29" s="204"/>
      <c r="OYP29" s="204"/>
      <c r="OYQ29" s="204"/>
      <c r="OYR29" s="204"/>
      <c r="OYS29" s="204"/>
      <c r="OYT29" s="204"/>
      <c r="OYU29" s="204"/>
      <c r="OYV29" s="204"/>
      <c r="OYW29" s="204"/>
      <c r="OYX29" s="204"/>
      <c r="OYY29" s="204"/>
      <c r="OYZ29" s="204"/>
      <c r="OZA29" s="204"/>
      <c r="OZB29" s="204"/>
      <c r="OZC29" s="204"/>
      <c r="OZD29" s="204"/>
      <c r="OZE29" s="204"/>
      <c r="OZF29" s="204"/>
      <c r="OZG29" s="204"/>
      <c r="OZH29" s="204"/>
      <c r="OZI29" s="204"/>
      <c r="OZJ29" s="204"/>
      <c r="OZK29" s="204"/>
      <c r="OZL29" s="204"/>
      <c r="OZM29" s="204"/>
      <c r="OZN29" s="204"/>
      <c r="OZO29" s="204"/>
      <c r="OZP29" s="204"/>
      <c r="OZQ29" s="204"/>
      <c r="OZR29" s="204"/>
      <c r="OZS29" s="204"/>
      <c r="OZT29" s="204"/>
      <c r="OZU29" s="204"/>
      <c r="OZV29" s="204"/>
      <c r="OZW29" s="204"/>
      <c r="OZX29" s="204"/>
      <c r="OZY29" s="204"/>
      <c r="OZZ29" s="204"/>
      <c r="PAA29" s="204"/>
      <c r="PAB29" s="204"/>
      <c r="PAC29" s="204"/>
      <c r="PAD29" s="204"/>
      <c r="PAE29" s="204"/>
      <c r="PAF29" s="204"/>
      <c r="PAG29" s="204"/>
      <c r="PAH29" s="204"/>
      <c r="PAI29" s="204"/>
      <c r="PAJ29" s="204"/>
      <c r="PAK29" s="204"/>
      <c r="PAL29" s="204"/>
      <c r="PAM29" s="204"/>
      <c r="PAN29" s="204"/>
      <c r="PAO29" s="204"/>
      <c r="PAP29" s="204"/>
      <c r="PAQ29" s="204"/>
      <c r="PAR29" s="204"/>
      <c r="PAS29" s="204"/>
      <c r="PAT29" s="204"/>
      <c r="PAU29" s="204"/>
      <c r="PAV29" s="204"/>
      <c r="PAW29" s="204"/>
      <c r="PAX29" s="204"/>
      <c r="PAY29" s="204"/>
      <c r="PAZ29" s="204"/>
      <c r="PBA29" s="204"/>
      <c r="PBB29" s="204"/>
      <c r="PBC29" s="204"/>
      <c r="PBD29" s="204"/>
      <c r="PBE29" s="204"/>
      <c r="PBF29" s="204"/>
      <c r="PBG29" s="204"/>
      <c r="PBH29" s="204"/>
      <c r="PBI29" s="204"/>
      <c r="PBJ29" s="204"/>
      <c r="PBK29" s="204"/>
      <c r="PBL29" s="204"/>
      <c r="PBM29" s="204"/>
      <c r="PBN29" s="204"/>
      <c r="PBO29" s="204"/>
      <c r="PBP29" s="204"/>
      <c r="PBQ29" s="204"/>
      <c r="PBR29" s="204"/>
      <c r="PBS29" s="204"/>
      <c r="PBT29" s="204"/>
      <c r="PBU29" s="204"/>
      <c r="PBV29" s="204"/>
      <c r="PBW29" s="204"/>
      <c r="PBX29" s="204"/>
      <c r="PBY29" s="204"/>
      <c r="PBZ29" s="204"/>
      <c r="PCA29" s="204"/>
      <c r="PCB29" s="204"/>
      <c r="PCC29" s="204"/>
      <c r="PCD29" s="204"/>
      <c r="PCE29" s="204"/>
      <c r="PCF29" s="204"/>
      <c r="PCG29" s="204"/>
      <c r="PCH29" s="204"/>
      <c r="PCI29" s="204"/>
      <c r="PCJ29" s="204"/>
      <c r="PCK29" s="204"/>
      <c r="PCL29" s="204"/>
      <c r="PCM29" s="204"/>
      <c r="PCN29" s="204"/>
      <c r="PCO29" s="204"/>
      <c r="PCP29" s="204"/>
      <c r="PCQ29" s="204"/>
      <c r="PCR29" s="204"/>
      <c r="PCS29" s="204"/>
      <c r="PCT29" s="204"/>
      <c r="PCU29" s="204"/>
      <c r="PCV29" s="204"/>
      <c r="PCW29" s="204"/>
      <c r="PCX29" s="204"/>
      <c r="PCY29" s="204"/>
      <c r="PCZ29" s="204"/>
      <c r="PDA29" s="204"/>
      <c r="PDB29" s="204"/>
      <c r="PDC29" s="204"/>
      <c r="PDD29" s="204"/>
      <c r="PDE29" s="204"/>
      <c r="PDF29" s="204"/>
      <c r="PDG29" s="204"/>
      <c r="PDH29" s="204"/>
      <c r="PDI29" s="204"/>
      <c r="PDJ29" s="204"/>
      <c r="PDK29" s="204"/>
      <c r="PDL29" s="204"/>
      <c r="PDM29" s="204"/>
      <c r="PDN29" s="204"/>
      <c r="PDO29" s="204"/>
      <c r="PDP29" s="204"/>
      <c r="PDQ29" s="204"/>
      <c r="PDR29" s="204"/>
      <c r="PDS29" s="204"/>
      <c r="PDT29" s="204"/>
      <c r="PDU29" s="204"/>
      <c r="PDV29" s="204"/>
      <c r="PDW29" s="204"/>
      <c r="PDX29" s="204"/>
      <c r="PDY29" s="204"/>
      <c r="PDZ29" s="204"/>
      <c r="PEA29" s="204"/>
      <c r="PEB29" s="204"/>
      <c r="PEC29" s="204"/>
      <c r="PED29" s="204"/>
      <c r="PEE29" s="204"/>
      <c r="PEF29" s="204"/>
      <c r="PEG29" s="204"/>
      <c r="PEH29" s="204"/>
      <c r="PEI29" s="204"/>
      <c r="PEJ29" s="204"/>
      <c r="PEK29" s="204"/>
      <c r="PEL29" s="204"/>
      <c r="PEM29" s="204"/>
      <c r="PEN29" s="204"/>
      <c r="PEO29" s="204"/>
      <c r="PEP29" s="204"/>
      <c r="PEQ29" s="204"/>
      <c r="PER29" s="204"/>
      <c r="PES29" s="204"/>
      <c r="PET29" s="204"/>
      <c r="PEU29" s="204"/>
      <c r="PEV29" s="204"/>
      <c r="PEW29" s="204"/>
      <c r="PEX29" s="204"/>
      <c r="PEY29" s="204"/>
      <c r="PEZ29" s="204"/>
      <c r="PFA29" s="204"/>
      <c r="PFB29" s="204"/>
      <c r="PFC29" s="204"/>
      <c r="PFD29" s="204"/>
      <c r="PFE29" s="204"/>
      <c r="PFF29" s="204"/>
      <c r="PFG29" s="204"/>
      <c r="PFH29" s="204"/>
      <c r="PFI29" s="204"/>
      <c r="PFJ29" s="204"/>
      <c r="PFK29" s="204"/>
      <c r="PFL29" s="204"/>
      <c r="PFM29" s="204"/>
      <c r="PFN29" s="204"/>
      <c r="PFO29" s="204"/>
      <c r="PFP29" s="204"/>
      <c r="PFQ29" s="204"/>
      <c r="PFR29" s="204"/>
      <c r="PFS29" s="204"/>
      <c r="PFT29" s="204"/>
      <c r="PFU29" s="204"/>
      <c r="PFV29" s="204"/>
      <c r="PFW29" s="204"/>
      <c r="PFX29" s="204"/>
      <c r="PFY29" s="204"/>
      <c r="PFZ29" s="204"/>
      <c r="PGA29" s="204"/>
      <c r="PGB29" s="204"/>
      <c r="PGC29" s="204"/>
      <c r="PGD29" s="204"/>
      <c r="PGE29" s="204"/>
      <c r="PGF29" s="204"/>
      <c r="PGG29" s="204"/>
      <c r="PGH29" s="204"/>
      <c r="PGI29" s="204"/>
      <c r="PGJ29" s="204"/>
      <c r="PGK29" s="204"/>
      <c r="PGL29" s="204"/>
      <c r="PGM29" s="204"/>
      <c r="PGN29" s="204"/>
      <c r="PGO29" s="204"/>
      <c r="PGP29" s="204"/>
      <c r="PGQ29" s="204"/>
      <c r="PGR29" s="204"/>
      <c r="PGS29" s="204"/>
      <c r="PGT29" s="204"/>
      <c r="PGU29" s="204"/>
      <c r="PGV29" s="204"/>
      <c r="PGW29" s="204"/>
      <c r="PGX29" s="204"/>
      <c r="PGY29" s="204"/>
      <c r="PGZ29" s="204"/>
      <c r="PHA29" s="204"/>
      <c r="PHB29" s="204"/>
      <c r="PHC29" s="204"/>
      <c r="PHD29" s="204"/>
      <c r="PHE29" s="204"/>
      <c r="PHF29" s="204"/>
      <c r="PHG29" s="204"/>
      <c r="PHH29" s="204"/>
      <c r="PHI29" s="204"/>
      <c r="PHJ29" s="204"/>
      <c r="PHK29" s="204"/>
      <c r="PHL29" s="204"/>
      <c r="PHM29" s="204"/>
      <c r="PHN29" s="204"/>
      <c r="PHO29" s="204"/>
      <c r="PHP29" s="204"/>
      <c r="PHQ29" s="204"/>
      <c r="PHR29" s="204"/>
      <c r="PHS29" s="204"/>
      <c r="PHT29" s="204"/>
      <c r="PHU29" s="204"/>
      <c r="PHV29" s="204"/>
      <c r="PHW29" s="204"/>
      <c r="PHX29" s="204"/>
      <c r="PHY29" s="204"/>
      <c r="PHZ29" s="204"/>
      <c r="PIA29" s="204"/>
      <c r="PIB29" s="204"/>
      <c r="PIC29" s="204"/>
      <c r="PID29" s="204"/>
      <c r="PIE29" s="204"/>
      <c r="PIF29" s="204"/>
      <c r="PIG29" s="204"/>
      <c r="PIH29" s="204"/>
      <c r="PII29" s="204"/>
      <c r="PIJ29" s="204"/>
      <c r="PIK29" s="204"/>
      <c r="PIL29" s="204"/>
      <c r="PIM29" s="204"/>
      <c r="PIN29" s="204"/>
      <c r="PIO29" s="204"/>
      <c r="PIP29" s="204"/>
      <c r="PIQ29" s="204"/>
      <c r="PIR29" s="204"/>
      <c r="PIS29" s="204"/>
      <c r="PIT29" s="204"/>
      <c r="PIU29" s="204"/>
      <c r="PIV29" s="204"/>
      <c r="PIW29" s="204"/>
      <c r="PIX29" s="204"/>
      <c r="PIY29" s="204"/>
      <c r="PIZ29" s="204"/>
      <c r="PJA29" s="204"/>
      <c r="PJB29" s="204"/>
      <c r="PJC29" s="204"/>
      <c r="PJD29" s="204"/>
      <c r="PJE29" s="204"/>
      <c r="PJF29" s="204"/>
      <c r="PJG29" s="204"/>
      <c r="PJH29" s="204"/>
      <c r="PJI29" s="204"/>
      <c r="PJJ29" s="204"/>
      <c r="PJK29" s="204"/>
      <c r="PJL29" s="204"/>
      <c r="PJM29" s="204"/>
      <c r="PJN29" s="204"/>
      <c r="PJO29" s="204"/>
      <c r="PJP29" s="204"/>
      <c r="PJQ29" s="204"/>
      <c r="PJR29" s="204"/>
      <c r="PJS29" s="204"/>
      <c r="PJT29" s="204"/>
      <c r="PJU29" s="204"/>
      <c r="PJV29" s="204"/>
      <c r="PJW29" s="204"/>
      <c r="PJX29" s="204"/>
      <c r="PJY29" s="204"/>
      <c r="PJZ29" s="204"/>
      <c r="PKA29" s="204"/>
      <c r="PKB29" s="204"/>
      <c r="PKC29" s="204"/>
      <c r="PKD29" s="204"/>
      <c r="PKE29" s="204"/>
      <c r="PKF29" s="204"/>
      <c r="PKG29" s="204"/>
      <c r="PKH29" s="204"/>
      <c r="PKI29" s="204"/>
      <c r="PKJ29" s="204"/>
      <c r="PKK29" s="204"/>
      <c r="PKL29" s="204"/>
      <c r="PKM29" s="204"/>
      <c r="PKN29" s="204"/>
      <c r="PKO29" s="204"/>
      <c r="PKP29" s="204"/>
      <c r="PKQ29" s="204"/>
      <c r="PKR29" s="204"/>
      <c r="PKS29" s="204"/>
      <c r="PKT29" s="204"/>
      <c r="PKU29" s="204"/>
      <c r="PKV29" s="204"/>
      <c r="PKW29" s="204"/>
      <c r="PKX29" s="204"/>
      <c r="PKY29" s="204"/>
      <c r="PKZ29" s="204"/>
      <c r="PLA29" s="204"/>
      <c r="PLB29" s="204"/>
      <c r="PLC29" s="204"/>
      <c r="PLD29" s="204"/>
      <c r="PLE29" s="204"/>
      <c r="PLF29" s="204"/>
      <c r="PLG29" s="204"/>
      <c r="PLH29" s="204"/>
      <c r="PLI29" s="204"/>
      <c r="PLJ29" s="204"/>
      <c r="PLK29" s="204"/>
      <c r="PLL29" s="204"/>
      <c r="PLM29" s="204"/>
      <c r="PLN29" s="204"/>
      <c r="PLO29" s="204"/>
      <c r="PLP29" s="204"/>
      <c r="PLQ29" s="204"/>
      <c r="PLR29" s="204"/>
      <c r="PLS29" s="204"/>
      <c r="PLT29" s="204"/>
      <c r="PLU29" s="204"/>
      <c r="PLV29" s="204"/>
      <c r="PLW29" s="204"/>
      <c r="PLX29" s="204"/>
      <c r="PLY29" s="204"/>
      <c r="PLZ29" s="204"/>
      <c r="PMA29" s="204"/>
      <c r="PMB29" s="204"/>
      <c r="PMC29" s="204"/>
      <c r="PMD29" s="204"/>
      <c r="PME29" s="204"/>
      <c r="PMF29" s="204"/>
      <c r="PMG29" s="204"/>
      <c r="PMH29" s="204"/>
      <c r="PMI29" s="204"/>
      <c r="PMJ29" s="204"/>
      <c r="PMK29" s="204"/>
      <c r="PML29" s="204"/>
      <c r="PMM29" s="204"/>
      <c r="PMN29" s="204"/>
      <c r="PMO29" s="204"/>
      <c r="PMP29" s="204"/>
      <c r="PMQ29" s="204"/>
      <c r="PMR29" s="204"/>
      <c r="PMS29" s="204"/>
      <c r="PMT29" s="204"/>
      <c r="PMU29" s="204"/>
      <c r="PMV29" s="204"/>
      <c r="PMW29" s="204"/>
      <c r="PMX29" s="204"/>
      <c r="PMY29" s="204"/>
      <c r="PMZ29" s="204"/>
      <c r="PNA29" s="204"/>
      <c r="PNB29" s="204"/>
      <c r="PNC29" s="204"/>
      <c r="PND29" s="204"/>
      <c r="PNE29" s="204"/>
      <c r="PNF29" s="204"/>
      <c r="PNG29" s="204"/>
      <c r="PNH29" s="204"/>
      <c r="PNI29" s="204"/>
      <c r="PNJ29" s="204"/>
      <c r="PNK29" s="204"/>
      <c r="PNL29" s="204"/>
      <c r="PNM29" s="204"/>
      <c r="PNN29" s="204"/>
      <c r="PNO29" s="204"/>
      <c r="PNP29" s="204"/>
      <c r="PNQ29" s="204"/>
      <c r="PNR29" s="204"/>
      <c r="PNS29" s="204"/>
      <c r="PNT29" s="204"/>
      <c r="PNU29" s="204"/>
      <c r="PNV29" s="204"/>
      <c r="PNW29" s="204"/>
      <c r="PNX29" s="204"/>
      <c r="PNY29" s="204"/>
      <c r="PNZ29" s="204"/>
      <c r="POA29" s="204"/>
      <c r="POB29" s="204"/>
      <c r="POC29" s="204"/>
      <c r="POD29" s="204"/>
      <c r="POE29" s="204"/>
      <c r="POF29" s="204"/>
      <c r="POG29" s="204"/>
      <c r="POH29" s="204"/>
      <c r="POI29" s="204"/>
      <c r="POJ29" s="204"/>
      <c r="POK29" s="204"/>
      <c r="POL29" s="204"/>
      <c r="POM29" s="204"/>
      <c r="PON29" s="204"/>
      <c r="POO29" s="204"/>
      <c r="POP29" s="204"/>
      <c r="POQ29" s="204"/>
      <c r="POR29" s="204"/>
      <c r="POS29" s="204"/>
      <c r="POT29" s="204"/>
      <c r="POU29" s="204"/>
      <c r="POV29" s="204"/>
      <c r="POW29" s="204"/>
      <c r="POX29" s="204"/>
      <c r="POY29" s="204"/>
      <c r="POZ29" s="204"/>
      <c r="PPA29" s="204"/>
      <c r="PPB29" s="204"/>
      <c r="PPC29" s="204"/>
      <c r="PPD29" s="204"/>
      <c r="PPE29" s="204"/>
      <c r="PPF29" s="204"/>
      <c r="PPG29" s="204"/>
      <c r="PPH29" s="204"/>
      <c r="PPI29" s="204"/>
      <c r="PPJ29" s="204"/>
      <c r="PPK29" s="204"/>
      <c r="PPL29" s="204"/>
      <c r="PPM29" s="204"/>
      <c r="PPN29" s="204"/>
      <c r="PPO29" s="204"/>
      <c r="PPP29" s="204"/>
      <c r="PPQ29" s="204"/>
      <c r="PPR29" s="204"/>
      <c r="PPS29" s="204"/>
      <c r="PPT29" s="204"/>
      <c r="PPU29" s="204"/>
      <c r="PPV29" s="204"/>
      <c r="PPW29" s="204"/>
      <c r="PPX29" s="204"/>
      <c r="PPY29" s="204"/>
      <c r="PPZ29" s="204"/>
      <c r="PQA29" s="204"/>
      <c r="PQB29" s="204"/>
      <c r="PQC29" s="204"/>
      <c r="PQD29" s="204"/>
      <c r="PQE29" s="204"/>
      <c r="PQF29" s="204"/>
      <c r="PQG29" s="204"/>
      <c r="PQH29" s="204"/>
      <c r="PQI29" s="204"/>
      <c r="PQJ29" s="204"/>
      <c r="PQK29" s="204"/>
      <c r="PQL29" s="204"/>
      <c r="PQM29" s="204"/>
      <c r="PQN29" s="204"/>
      <c r="PQO29" s="204"/>
      <c r="PQP29" s="204"/>
      <c r="PQQ29" s="204"/>
      <c r="PQR29" s="204"/>
      <c r="PQS29" s="204"/>
      <c r="PQT29" s="204"/>
      <c r="PQU29" s="204"/>
      <c r="PQV29" s="204"/>
      <c r="PQW29" s="204"/>
      <c r="PQX29" s="204"/>
      <c r="PQY29" s="204"/>
      <c r="PQZ29" s="204"/>
      <c r="PRA29" s="204"/>
      <c r="PRB29" s="204"/>
      <c r="PRC29" s="204"/>
      <c r="PRD29" s="204"/>
      <c r="PRE29" s="204"/>
      <c r="PRF29" s="204"/>
      <c r="PRG29" s="204"/>
      <c r="PRH29" s="204"/>
      <c r="PRI29" s="204"/>
      <c r="PRJ29" s="204"/>
      <c r="PRK29" s="204"/>
      <c r="PRL29" s="204"/>
      <c r="PRM29" s="204"/>
      <c r="PRN29" s="204"/>
      <c r="PRO29" s="204"/>
      <c r="PRP29" s="204"/>
      <c r="PRQ29" s="204"/>
      <c r="PRR29" s="204"/>
      <c r="PRS29" s="204"/>
      <c r="PRT29" s="204"/>
      <c r="PRU29" s="204"/>
      <c r="PRV29" s="204"/>
      <c r="PRW29" s="204"/>
      <c r="PRX29" s="204"/>
      <c r="PRY29" s="204"/>
      <c r="PRZ29" s="204"/>
      <c r="PSA29" s="204"/>
      <c r="PSB29" s="204"/>
      <c r="PSC29" s="204"/>
      <c r="PSD29" s="204"/>
      <c r="PSE29" s="204"/>
      <c r="PSF29" s="204"/>
      <c r="PSG29" s="204"/>
      <c r="PSH29" s="204"/>
      <c r="PSI29" s="204"/>
      <c r="PSJ29" s="204"/>
      <c r="PSK29" s="204"/>
      <c r="PSL29" s="204"/>
      <c r="PSM29" s="204"/>
      <c r="PSN29" s="204"/>
      <c r="PSO29" s="204"/>
      <c r="PSP29" s="204"/>
      <c r="PSQ29" s="204"/>
      <c r="PSR29" s="204"/>
      <c r="PSS29" s="204"/>
      <c r="PST29" s="204"/>
      <c r="PSU29" s="204"/>
      <c r="PSV29" s="204"/>
      <c r="PSW29" s="204"/>
      <c r="PSX29" s="204"/>
      <c r="PSY29" s="204"/>
      <c r="PSZ29" s="204"/>
      <c r="PTA29" s="204"/>
      <c r="PTB29" s="204"/>
      <c r="PTC29" s="204"/>
      <c r="PTD29" s="204"/>
      <c r="PTE29" s="204"/>
      <c r="PTF29" s="204"/>
      <c r="PTG29" s="204"/>
      <c r="PTH29" s="204"/>
      <c r="PTI29" s="204"/>
      <c r="PTJ29" s="204"/>
      <c r="PTK29" s="204"/>
      <c r="PTL29" s="204"/>
      <c r="PTM29" s="204"/>
      <c r="PTN29" s="204"/>
      <c r="PTO29" s="204"/>
      <c r="PTP29" s="204"/>
      <c r="PTQ29" s="204"/>
      <c r="PTR29" s="204"/>
      <c r="PTS29" s="204"/>
      <c r="PTT29" s="204"/>
      <c r="PTU29" s="204"/>
      <c r="PTV29" s="204"/>
      <c r="PTW29" s="204"/>
      <c r="PTX29" s="204"/>
      <c r="PTY29" s="204"/>
      <c r="PTZ29" s="204"/>
      <c r="PUA29" s="204"/>
      <c r="PUB29" s="204"/>
      <c r="PUC29" s="204"/>
      <c r="PUD29" s="204"/>
      <c r="PUE29" s="204"/>
      <c r="PUF29" s="204"/>
      <c r="PUG29" s="204"/>
      <c r="PUH29" s="204"/>
      <c r="PUI29" s="204"/>
      <c r="PUJ29" s="204"/>
      <c r="PUK29" s="204"/>
      <c r="PUL29" s="204"/>
      <c r="PUM29" s="204"/>
      <c r="PUN29" s="204"/>
      <c r="PUO29" s="204"/>
      <c r="PUP29" s="204"/>
      <c r="PUQ29" s="204"/>
      <c r="PUR29" s="204"/>
      <c r="PUS29" s="204"/>
      <c r="PUT29" s="204"/>
      <c r="PUU29" s="204"/>
      <c r="PUV29" s="204"/>
      <c r="PUW29" s="204"/>
      <c r="PUX29" s="204"/>
      <c r="PUY29" s="204"/>
      <c r="PUZ29" s="204"/>
      <c r="PVA29" s="204"/>
      <c r="PVB29" s="204"/>
      <c r="PVC29" s="204"/>
      <c r="PVD29" s="204"/>
      <c r="PVE29" s="204"/>
      <c r="PVF29" s="204"/>
      <c r="PVG29" s="204"/>
      <c r="PVH29" s="204"/>
      <c r="PVI29" s="204"/>
      <c r="PVJ29" s="204"/>
      <c r="PVK29" s="204"/>
      <c r="PVL29" s="204"/>
      <c r="PVM29" s="204"/>
      <c r="PVN29" s="204"/>
      <c r="PVO29" s="204"/>
      <c r="PVP29" s="204"/>
      <c r="PVQ29" s="204"/>
      <c r="PVR29" s="204"/>
      <c r="PVS29" s="204"/>
      <c r="PVT29" s="204"/>
      <c r="PVU29" s="204"/>
      <c r="PVV29" s="204"/>
      <c r="PVW29" s="204"/>
      <c r="PVX29" s="204"/>
      <c r="PVY29" s="204"/>
      <c r="PVZ29" s="204"/>
      <c r="PWA29" s="204"/>
      <c r="PWB29" s="204"/>
      <c r="PWC29" s="204"/>
      <c r="PWD29" s="204"/>
      <c r="PWE29" s="204"/>
      <c r="PWF29" s="204"/>
      <c r="PWG29" s="204"/>
      <c r="PWH29" s="204"/>
      <c r="PWI29" s="204"/>
      <c r="PWJ29" s="204"/>
      <c r="PWK29" s="204"/>
      <c r="PWL29" s="204"/>
      <c r="PWM29" s="204"/>
      <c r="PWN29" s="204"/>
      <c r="PWO29" s="204"/>
      <c r="PWP29" s="204"/>
      <c r="PWQ29" s="204"/>
      <c r="PWR29" s="204"/>
      <c r="PWS29" s="204"/>
      <c r="PWT29" s="204"/>
      <c r="PWU29" s="204"/>
      <c r="PWV29" s="204"/>
      <c r="PWW29" s="204"/>
      <c r="PWX29" s="204"/>
      <c r="PWY29" s="204"/>
      <c r="PWZ29" s="204"/>
      <c r="PXA29" s="204"/>
      <c r="PXB29" s="204"/>
      <c r="PXC29" s="204"/>
      <c r="PXD29" s="204"/>
      <c r="PXE29" s="204"/>
      <c r="PXF29" s="204"/>
      <c r="PXG29" s="204"/>
      <c r="PXH29" s="204"/>
      <c r="PXI29" s="204"/>
      <c r="PXJ29" s="204"/>
      <c r="PXK29" s="204"/>
      <c r="PXL29" s="204"/>
      <c r="PXM29" s="204"/>
      <c r="PXN29" s="204"/>
      <c r="PXO29" s="204"/>
      <c r="PXP29" s="204"/>
      <c r="PXQ29" s="204"/>
      <c r="PXR29" s="204"/>
      <c r="PXS29" s="204"/>
      <c r="PXT29" s="204"/>
      <c r="PXU29" s="204"/>
      <c r="PXV29" s="204"/>
      <c r="PXW29" s="204"/>
      <c r="PXX29" s="204"/>
      <c r="PXY29" s="204"/>
      <c r="PXZ29" s="204"/>
      <c r="PYA29" s="204"/>
      <c r="PYB29" s="204"/>
      <c r="PYC29" s="204"/>
      <c r="PYD29" s="204"/>
      <c r="PYE29" s="204"/>
      <c r="PYF29" s="204"/>
      <c r="PYG29" s="204"/>
      <c r="PYH29" s="204"/>
      <c r="PYI29" s="204"/>
      <c r="PYJ29" s="204"/>
      <c r="PYK29" s="204"/>
      <c r="PYL29" s="204"/>
      <c r="PYM29" s="204"/>
      <c r="PYN29" s="204"/>
      <c r="PYO29" s="204"/>
      <c r="PYP29" s="204"/>
      <c r="PYQ29" s="204"/>
      <c r="PYR29" s="204"/>
      <c r="PYS29" s="204"/>
      <c r="PYT29" s="204"/>
      <c r="PYU29" s="204"/>
      <c r="PYV29" s="204"/>
      <c r="PYW29" s="204"/>
      <c r="PYX29" s="204"/>
      <c r="PYY29" s="204"/>
      <c r="PYZ29" s="204"/>
      <c r="PZA29" s="204"/>
      <c r="PZB29" s="204"/>
      <c r="PZC29" s="204"/>
      <c r="PZD29" s="204"/>
      <c r="PZE29" s="204"/>
      <c r="PZF29" s="204"/>
      <c r="PZG29" s="204"/>
      <c r="PZH29" s="204"/>
      <c r="PZI29" s="204"/>
      <c r="PZJ29" s="204"/>
      <c r="PZK29" s="204"/>
      <c r="PZL29" s="204"/>
      <c r="PZM29" s="204"/>
      <c r="PZN29" s="204"/>
      <c r="PZO29" s="204"/>
      <c r="PZP29" s="204"/>
      <c r="PZQ29" s="204"/>
      <c r="PZR29" s="204"/>
      <c r="PZS29" s="204"/>
      <c r="PZT29" s="204"/>
      <c r="PZU29" s="204"/>
      <c r="PZV29" s="204"/>
      <c r="PZW29" s="204"/>
      <c r="PZX29" s="204"/>
      <c r="PZY29" s="204"/>
      <c r="PZZ29" s="204"/>
      <c r="QAA29" s="204"/>
      <c r="QAB29" s="204"/>
      <c r="QAC29" s="204"/>
      <c r="QAD29" s="204"/>
      <c r="QAE29" s="204"/>
      <c r="QAF29" s="204"/>
      <c r="QAG29" s="204"/>
      <c r="QAH29" s="204"/>
      <c r="QAI29" s="204"/>
      <c r="QAJ29" s="204"/>
      <c r="QAK29" s="204"/>
      <c r="QAL29" s="204"/>
      <c r="QAM29" s="204"/>
      <c r="QAN29" s="204"/>
      <c r="QAO29" s="204"/>
      <c r="QAP29" s="204"/>
      <c r="QAQ29" s="204"/>
      <c r="QAR29" s="204"/>
      <c r="QAS29" s="204"/>
      <c r="QAT29" s="204"/>
      <c r="QAU29" s="204"/>
      <c r="QAV29" s="204"/>
      <c r="QAW29" s="204"/>
      <c r="QAX29" s="204"/>
      <c r="QAY29" s="204"/>
      <c r="QAZ29" s="204"/>
      <c r="QBA29" s="204"/>
      <c r="QBB29" s="204"/>
      <c r="QBC29" s="204"/>
      <c r="QBD29" s="204"/>
      <c r="QBE29" s="204"/>
      <c r="QBF29" s="204"/>
      <c r="QBG29" s="204"/>
      <c r="QBH29" s="204"/>
      <c r="QBI29" s="204"/>
      <c r="QBJ29" s="204"/>
      <c r="QBK29" s="204"/>
      <c r="QBL29" s="204"/>
      <c r="QBM29" s="204"/>
      <c r="QBN29" s="204"/>
      <c r="QBO29" s="204"/>
      <c r="QBP29" s="204"/>
      <c r="QBQ29" s="204"/>
      <c r="QBR29" s="204"/>
      <c r="QBS29" s="204"/>
      <c r="QBT29" s="204"/>
      <c r="QBU29" s="204"/>
      <c r="QBV29" s="204"/>
      <c r="QBW29" s="204"/>
      <c r="QBX29" s="204"/>
      <c r="QBY29" s="204"/>
      <c r="QBZ29" s="204"/>
      <c r="QCA29" s="204"/>
      <c r="QCB29" s="204"/>
      <c r="QCC29" s="204"/>
      <c r="QCD29" s="204"/>
      <c r="QCE29" s="204"/>
      <c r="QCF29" s="204"/>
      <c r="QCG29" s="204"/>
      <c r="QCH29" s="204"/>
      <c r="QCI29" s="204"/>
      <c r="QCJ29" s="204"/>
      <c r="QCK29" s="204"/>
      <c r="QCL29" s="204"/>
      <c r="QCM29" s="204"/>
      <c r="QCN29" s="204"/>
      <c r="QCO29" s="204"/>
      <c r="QCP29" s="204"/>
      <c r="QCQ29" s="204"/>
      <c r="QCR29" s="204"/>
      <c r="QCS29" s="204"/>
      <c r="QCT29" s="204"/>
      <c r="QCU29" s="204"/>
      <c r="QCV29" s="204"/>
      <c r="QCW29" s="204"/>
      <c r="QCX29" s="204"/>
      <c r="QCY29" s="204"/>
      <c r="QCZ29" s="204"/>
      <c r="QDA29" s="204"/>
      <c r="QDB29" s="204"/>
      <c r="QDC29" s="204"/>
      <c r="QDD29" s="204"/>
      <c r="QDE29" s="204"/>
      <c r="QDF29" s="204"/>
      <c r="QDG29" s="204"/>
      <c r="QDH29" s="204"/>
      <c r="QDI29" s="204"/>
      <c r="QDJ29" s="204"/>
      <c r="QDK29" s="204"/>
      <c r="QDL29" s="204"/>
      <c r="QDM29" s="204"/>
      <c r="QDN29" s="204"/>
      <c r="QDO29" s="204"/>
      <c r="QDP29" s="204"/>
      <c r="QDQ29" s="204"/>
      <c r="QDR29" s="204"/>
      <c r="QDS29" s="204"/>
      <c r="QDT29" s="204"/>
      <c r="QDU29" s="204"/>
      <c r="QDV29" s="204"/>
      <c r="QDW29" s="204"/>
      <c r="QDX29" s="204"/>
      <c r="QDY29" s="204"/>
      <c r="QDZ29" s="204"/>
      <c r="QEA29" s="204"/>
      <c r="QEB29" s="204"/>
      <c r="QEC29" s="204"/>
      <c r="QED29" s="204"/>
      <c r="QEE29" s="204"/>
      <c r="QEF29" s="204"/>
      <c r="QEG29" s="204"/>
      <c r="QEH29" s="204"/>
      <c r="QEI29" s="204"/>
      <c r="QEJ29" s="204"/>
      <c r="QEK29" s="204"/>
      <c r="QEL29" s="204"/>
      <c r="QEM29" s="204"/>
      <c r="QEN29" s="204"/>
      <c r="QEO29" s="204"/>
      <c r="QEP29" s="204"/>
      <c r="QEQ29" s="204"/>
      <c r="QER29" s="204"/>
      <c r="QES29" s="204"/>
      <c r="QET29" s="204"/>
      <c r="QEU29" s="204"/>
      <c r="QEV29" s="204"/>
      <c r="QEW29" s="204"/>
      <c r="QEX29" s="204"/>
      <c r="QEY29" s="204"/>
      <c r="QEZ29" s="204"/>
      <c r="QFA29" s="204"/>
      <c r="QFB29" s="204"/>
      <c r="QFC29" s="204"/>
      <c r="QFD29" s="204"/>
      <c r="QFE29" s="204"/>
      <c r="QFF29" s="204"/>
      <c r="QFG29" s="204"/>
      <c r="QFH29" s="204"/>
      <c r="QFI29" s="204"/>
      <c r="QFJ29" s="204"/>
      <c r="QFK29" s="204"/>
      <c r="QFL29" s="204"/>
      <c r="QFM29" s="204"/>
      <c r="QFN29" s="204"/>
      <c r="QFO29" s="204"/>
      <c r="QFP29" s="204"/>
      <c r="QFQ29" s="204"/>
      <c r="QFR29" s="204"/>
      <c r="QFS29" s="204"/>
      <c r="QFT29" s="204"/>
      <c r="QFU29" s="204"/>
      <c r="QFV29" s="204"/>
      <c r="QFW29" s="204"/>
      <c r="QFX29" s="204"/>
      <c r="QFY29" s="204"/>
      <c r="QFZ29" s="204"/>
      <c r="QGA29" s="204"/>
      <c r="QGB29" s="204"/>
      <c r="QGC29" s="204"/>
      <c r="QGD29" s="204"/>
      <c r="QGE29" s="204"/>
      <c r="QGF29" s="204"/>
      <c r="QGG29" s="204"/>
      <c r="QGH29" s="204"/>
      <c r="QGI29" s="204"/>
      <c r="QGJ29" s="204"/>
      <c r="QGK29" s="204"/>
      <c r="QGL29" s="204"/>
      <c r="QGM29" s="204"/>
      <c r="QGN29" s="204"/>
      <c r="QGO29" s="204"/>
      <c r="QGP29" s="204"/>
      <c r="QGQ29" s="204"/>
      <c r="QGR29" s="204"/>
      <c r="QGS29" s="204"/>
      <c r="QGT29" s="204"/>
      <c r="QGU29" s="204"/>
      <c r="QGV29" s="204"/>
      <c r="QGW29" s="204"/>
      <c r="QGX29" s="204"/>
      <c r="QGY29" s="204"/>
      <c r="QGZ29" s="204"/>
      <c r="QHA29" s="204"/>
      <c r="QHB29" s="204"/>
      <c r="QHC29" s="204"/>
      <c r="QHD29" s="204"/>
      <c r="QHE29" s="204"/>
      <c r="QHF29" s="204"/>
      <c r="QHG29" s="204"/>
      <c r="QHH29" s="204"/>
      <c r="QHI29" s="204"/>
      <c r="QHJ29" s="204"/>
      <c r="QHK29" s="204"/>
      <c r="QHL29" s="204"/>
      <c r="QHM29" s="204"/>
      <c r="QHN29" s="204"/>
      <c r="QHO29" s="204"/>
      <c r="QHP29" s="204"/>
      <c r="QHQ29" s="204"/>
      <c r="QHR29" s="204"/>
      <c r="QHS29" s="204"/>
      <c r="QHT29" s="204"/>
      <c r="QHU29" s="204"/>
      <c r="QHV29" s="204"/>
      <c r="QHW29" s="204"/>
      <c r="QHX29" s="204"/>
      <c r="QHY29" s="204"/>
      <c r="QHZ29" s="204"/>
      <c r="QIA29" s="204"/>
      <c r="QIB29" s="204"/>
      <c r="QIC29" s="204"/>
      <c r="QID29" s="204"/>
      <c r="QIE29" s="204"/>
      <c r="QIF29" s="204"/>
      <c r="QIG29" s="204"/>
      <c r="QIH29" s="204"/>
      <c r="QII29" s="204"/>
      <c r="QIJ29" s="204"/>
      <c r="QIK29" s="204"/>
      <c r="QIL29" s="204"/>
      <c r="QIM29" s="204"/>
      <c r="QIN29" s="204"/>
      <c r="QIO29" s="204"/>
      <c r="QIP29" s="204"/>
      <c r="QIQ29" s="204"/>
      <c r="QIR29" s="204"/>
      <c r="QIS29" s="204"/>
      <c r="QIT29" s="204"/>
      <c r="QIU29" s="204"/>
      <c r="QIV29" s="204"/>
      <c r="QIW29" s="204"/>
      <c r="QIX29" s="204"/>
      <c r="QIY29" s="204"/>
      <c r="QIZ29" s="204"/>
      <c r="QJA29" s="204"/>
      <c r="QJB29" s="204"/>
      <c r="QJC29" s="204"/>
      <c r="QJD29" s="204"/>
      <c r="QJE29" s="204"/>
      <c r="QJF29" s="204"/>
      <c r="QJG29" s="204"/>
      <c r="QJH29" s="204"/>
      <c r="QJI29" s="204"/>
      <c r="QJJ29" s="204"/>
      <c r="QJK29" s="204"/>
      <c r="QJL29" s="204"/>
      <c r="QJM29" s="204"/>
      <c r="QJN29" s="204"/>
      <c r="QJO29" s="204"/>
      <c r="QJP29" s="204"/>
      <c r="QJQ29" s="204"/>
      <c r="QJR29" s="204"/>
      <c r="QJS29" s="204"/>
      <c r="QJT29" s="204"/>
      <c r="QJU29" s="204"/>
      <c r="QJV29" s="204"/>
      <c r="QJW29" s="204"/>
      <c r="QJX29" s="204"/>
      <c r="QJY29" s="204"/>
      <c r="QJZ29" s="204"/>
      <c r="QKA29" s="204"/>
      <c r="QKB29" s="204"/>
      <c r="QKC29" s="204"/>
      <c r="QKD29" s="204"/>
      <c r="QKE29" s="204"/>
      <c r="QKF29" s="204"/>
      <c r="QKG29" s="204"/>
      <c r="QKH29" s="204"/>
      <c r="QKI29" s="204"/>
      <c r="QKJ29" s="204"/>
      <c r="QKK29" s="204"/>
      <c r="QKL29" s="204"/>
      <c r="QKM29" s="204"/>
      <c r="QKN29" s="204"/>
      <c r="QKO29" s="204"/>
      <c r="QKP29" s="204"/>
      <c r="QKQ29" s="204"/>
      <c r="QKR29" s="204"/>
      <c r="QKS29" s="204"/>
      <c r="QKT29" s="204"/>
      <c r="QKU29" s="204"/>
      <c r="QKV29" s="204"/>
      <c r="QKW29" s="204"/>
      <c r="QKX29" s="204"/>
      <c r="QKY29" s="204"/>
      <c r="QKZ29" s="204"/>
      <c r="QLA29" s="204"/>
      <c r="QLB29" s="204"/>
      <c r="QLC29" s="204"/>
      <c r="QLD29" s="204"/>
      <c r="QLE29" s="204"/>
      <c r="QLF29" s="204"/>
      <c r="QLG29" s="204"/>
      <c r="QLH29" s="204"/>
      <c r="QLI29" s="204"/>
      <c r="QLJ29" s="204"/>
      <c r="QLK29" s="204"/>
      <c r="QLL29" s="204"/>
      <c r="QLM29" s="204"/>
      <c r="QLN29" s="204"/>
      <c r="QLO29" s="204"/>
      <c r="QLP29" s="204"/>
      <c r="QLQ29" s="204"/>
      <c r="QLR29" s="204"/>
      <c r="QLS29" s="204"/>
      <c r="QLT29" s="204"/>
      <c r="QLU29" s="204"/>
      <c r="QLV29" s="204"/>
      <c r="QLW29" s="204"/>
      <c r="QLX29" s="204"/>
      <c r="QLY29" s="204"/>
      <c r="QLZ29" s="204"/>
      <c r="QMA29" s="204"/>
      <c r="QMB29" s="204"/>
      <c r="QMC29" s="204"/>
      <c r="QMD29" s="204"/>
      <c r="QME29" s="204"/>
      <c r="QMF29" s="204"/>
      <c r="QMG29" s="204"/>
      <c r="QMH29" s="204"/>
      <c r="QMI29" s="204"/>
      <c r="QMJ29" s="204"/>
      <c r="QMK29" s="204"/>
      <c r="QML29" s="204"/>
      <c r="QMM29" s="204"/>
      <c r="QMN29" s="204"/>
      <c r="QMO29" s="204"/>
      <c r="QMP29" s="204"/>
      <c r="QMQ29" s="204"/>
      <c r="QMR29" s="204"/>
      <c r="QMS29" s="204"/>
      <c r="QMT29" s="204"/>
      <c r="QMU29" s="204"/>
      <c r="QMV29" s="204"/>
      <c r="QMW29" s="204"/>
      <c r="QMX29" s="204"/>
      <c r="QMY29" s="204"/>
      <c r="QMZ29" s="204"/>
      <c r="QNA29" s="204"/>
      <c r="QNB29" s="204"/>
      <c r="QNC29" s="204"/>
      <c r="QND29" s="204"/>
      <c r="QNE29" s="204"/>
      <c r="QNF29" s="204"/>
      <c r="QNG29" s="204"/>
      <c r="QNH29" s="204"/>
      <c r="QNI29" s="204"/>
      <c r="QNJ29" s="204"/>
      <c r="QNK29" s="204"/>
      <c r="QNL29" s="204"/>
      <c r="QNM29" s="204"/>
      <c r="QNN29" s="204"/>
      <c r="QNO29" s="204"/>
      <c r="QNP29" s="204"/>
      <c r="QNQ29" s="204"/>
      <c r="QNR29" s="204"/>
      <c r="QNS29" s="204"/>
      <c r="QNT29" s="204"/>
      <c r="QNU29" s="204"/>
      <c r="QNV29" s="204"/>
      <c r="QNW29" s="204"/>
      <c r="QNX29" s="204"/>
      <c r="QNY29" s="204"/>
      <c r="QNZ29" s="204"/>
      <c r="QOA29" s="204"/>
      <c r="QOB29" s="204"/>
      <c r="QOC29" s="204"/>
      <c r="QOD29" s="204"/>
      <c r="QOE29" s="204"/>
      <c r="QOF29" s="204"/>
      <c r="QOG29" s="204"/>
      <c r="QOH29" s="204"/>
      <c r="QOI29" s="204"/>
      <c r="QOJ29" s="204"/>
      <c r="QOK29" s="204"/>
      <c r="QOL29" s="204"/>
      <c r="QOM29" s="204"/>
      <c r="QON29" s="204"/>
      <c r="QOO29" s="204"/>
      <c r="QOP29" s="204"/>
      <c r="QOQ29" s="204"/>
      <c r="QOR29" s="204"/>
      <c r="QOS29" s="204"/>
      <c r="QOT29" s="204"/>
      <c r="QOU29" s="204"/>
      <c r="QOV29" s="204"/>
      <c r="QOW29" s="204"/>
      <c r="QOX29" s="204"/>
      <c r="QOY29" s="204"/>
      <c r="QOZ29" s="204"/>
      <c r="QPA29" s="204"/>
      <c r="QPB29" s="204"/>
      <c r="QPC29" s="204"/>
      <c r="QPD29" s="204"/>
      <c r="QPE29" s="204"/>
      <c r="QPF29" s="204"/>
      <c r="QPG29" s="204"/>
      <c r="QPH29" s="204"/>
      <c r="QPI29" s="204"/>
      <c r="QPJ29" s="204"/>
      <c r="QPK29" s="204"/>
      <c r="QPL29" s="204"/>
      <c r="QPM29" s="204"/>
      <c r="QPN29" s="204"/>
      <c r="QPO29" s="204"/>
      <c r="QPP29" s="204"/>
      <c r="QPQ29" s="204"/>
      <c r="QPR29" s="204"/>
      <c r="QPS29" s="204"/>
      <c r="QPT29" s="204"/>
      <c r="QPU29" s="204"/>
      <c r="QPV29" s="204"/>
      <c r="QPW29" s="204"/>
      <c r="QPX29" s="204"/>
      <c r="QPY29" s="204"/>
      <c r="QPZ29" s="204"/>
      <c r="QQA29" s="204"/>
      <c r="QQB29" s="204"/>
      <c r="QQC29" s="204"/>
      <c r="QQD29" s="204"/>
      <c r="QQE29" s="204"/>
      <c r="QQF29" s="204"/>
      <c r="QQG29" s="204"/>
      <c r="QQH29" s="204"/>
      <c r="QQI29" s="204"/>
      <c r="QQJ29" s="204"/>
      <c r="QQK29" s="204"/>
      <c r="QQL29" s="204"/>
      <c r="QQM29" s="204"/>
      <c r="QQN29" s="204"/>
      <c r="QQO29" s="204"/>
      <c r="QQP29" s="204"/>
      <c r="QQQ29" s="204"/>
      <c r="QQR29" s="204"/>
      <c r="QQS29" s="204"/>
      <c r="QQT29" s="204"/>
      <c r="QQU29" s="204"/>
      <c r="QQV29" s="204"/>
      <c r="QQW29" s="204"/>
      <c r="QQX29" s="204"/>
      <c r="QQY29" s="204"/>
      <c r="QQZ29" s="204"/>
      <c r="QRA29" s="204"/>
      <c r="QRB29" s="204"/>
      <c r="QRC29" s="204"/>
      <c r="QRD29" s="204"/>
      <c r="QRE29" s="204"/>
      <c r="QRF29" s="204"/>
      <c r="QRG29" s="204"/>
      <c r="QRH29" s="204"/>
      <c r="QRI29" s="204"/>
      <c r="QRJ29" s="204"/>
      <c r="QRK29" s="204"/>
      <c r="QRL29" s="204"/>
      <c r="QRM29" s="204"/>
      <c r="QRN29" s="204"/>
      <c r="QRO29" s="204"/>
      <c r="QRP29" s="204"/>
      <c r="QRQ29" s="204"/>
      <c r="QRR29" s="204"/>
      <c r="QRS29" s="204"/>
      <c r="QRT29" s="204"/>
      <c r="QRU29" s="204"/>
      <c r="QRV29" s="204"/>
      <c r="QRW29" s="204"/>
      <c r="QRX29" s="204"/>
      <c r="QRY29" s="204"/>
      <c r="QRZ29" s="204"/>
      <c r="QSA29" s="204"/>
      <c r="QSB29" s="204"/>
      <c r="QSC29" s="204"/>
      <c r="QSD29" s="204"/>
      <c r="QSE29" s="204"/>
      <c r="QSF29" s="204"/>
      <c r="QSG29" s="204"/>
      <c r="QSH29" s="204"/>
      <c r="QSI29" s="204"/>
      <c r="QSJ29" s="204"/>
      <c r="QSK29" s="204"/>
      <c r="QSL29" s="204"/>
      <c r="QSM29" s="204"/>
      <c r="QSN29" s="204"/>
      <c r="QSO29" s="204"/>
      <c r="QSP29" s="204"/>
      <c r="QSQ29" s="204"/>
      <c r="QSR29" s="204"/>
      <c r="QSS29" s="204"/>
      <c r="QST29" s="204"/>
      <c r="QSU29" s="204"/>
      <c r="QSV29" s="204"/>
      <c r="QSW29" s="204"/>
      <c r="QSX29" s="204"/>
      <c r="QSY29" s="204"/>
      <c r="QSZ29" s="204"/>
      <c r="QTA29" s="204"/>
      <c r="QTB29" s="204"/>
      <c r="QTC29" s="204"/>
      <c r="QTD29" s="204"/>
      <c r="QTE29" s="204"/>
      <c r="QTF29" s="204"/>
      <c r="QTG29" s="204"/>
      <c r="QTH29" s="204"/>
      <c r="QTI29" s="204"/>
      <c r="QTJ29" s="204"/>
      <c r="QTK29" s="204"/>
      <c r="QTL29" s="204"/>
      <c r="QTM29" s="204"/>
      <c r="QTN29" s="204"/>
      <c r="QTO29" s="204"/>
      <c r="QTP29" s="204"/>
      <c r="QTQ29" s="204"/>
      <c r="QTR29" s="204"/>
      <c r="QTS29" s="204"/>
      <c r="QTT29" s="204"/>
      <c r="QTU29" s="204"/>
      <c r="QTV29" s="204"/>
      <c r="QTW29" s="204"/>
      <c r="QTX29" s="204"/>
      <c r="QTY29" s="204"/>
      <c r="QTZ29" s="204"/>
      <c r="QUA29" s="204"/>
      <c r="QUB29" s="204"/>
      <c r="QUC29" s="204"/>
      <c r="QUD29" s="204"/>
      <c r="QUE29" s="204"/>
      <c r="QUF29" s="204"/>
      <c r="QUG29" s="204"/>
      <c r="QUH29" s="204"/>
      <c r="QUI29" s="204"/>
      <c r="QUJ29" s="204"/>
      <c r="QUK29" s="204"/>
      <c r="QUL29" s="204"/>
      <c r="QUM29" s="204"/>
      <c r="QUN29" s="204"/>
      <c r="QUO29" s="204"/>
      <c r="QUP29" s="204"/>
      <c r="QUQ29" s="204"/>
      <c r="QUR29" s="204"/>
      <c r="QUS29" s="204"/>
      <c r="QUT29" s="204"/>
      <c r="QUU29" s="204"/>
      <c r="QUV29" s="204"/>
      <c r="QUW29" s="204"/>
      <c r="QUX29" s="204"/>
      <c r="QUY29" s="204"/>
      <c r="QUZ29" s="204"/>
      <c r="QVA29" s="204"/>
      <c r="QVB29" s="204"/>
      <c r="QVC29" s="204"/>
      <c r="QVD29" s="204"/>
      <c r="QVE29" s="204"/>
      <c r="QVF29" s="204"/>
      <c r="QVG29" s="204"/>
      <c r="QVH29" s="204"/>
      <c r="QVI29" s="204"/>
      <c r="QVJ29" s="204"/>
      <c r="QVK29" s="204"/>
      <c r="QVL29" s="204"/>
      <c r="QVM29" s="204"/>
      <c r="QVN29" s="204"/>
      <c r="QVO29" s="204"/>
      <c r="QVP29" s="204"/>
      <c r="QVQ29" s="204"/>
      <c r="QVR29" s="204"/>
      <c r="QVS29" s="204"/>
      <c r="QVT29" s="204"/>
      <c r="QVU29" s="204"/>
      <c r="QVV29" s="204"/>
      <c r="QVW29" s="204"/>
      <c r="QVX29" s="204"/>
      <c r="QVY29" s="204"/>
      <c r="QVZ29" s="204"/>
      <c r="QWA29" s="204"/>
      <c r="QWB29" s="204"/>
      <c r="QWC29" s="204"/>
      <c r="QWD29" s="204"/>
      <c r="QWE29" s="204"/>
      <c r="QWF29" s="204"/>
      <c r="QWG29" s="204"/>
      <c r="QWH29" s="204"/>
      <c r="QWI29" s="204"/>
      <c r="QWJ29" s="204"/>
      <c r="QWK29" s="204"/>
      <c r="QWL29" s="204"/>
      <c r="QWM29" s="204"/>
      <c r="QWN29" s="204"/>
      <c r="QWO29" s="204"/>
      <c r="QWP29" s="204"/>
      <c r="QWQ29" s="204"/>
      <c r="QWR29" s="204"/>
      <c r="QWS29" s="204"/>
      <c r="QWT29" s="204"/>
      <c r="QWU29" s="204"/>
      <c r="QWV29" s="204"/>
      <c r="QWW29" s="204"/>
      <c r="QWX29" s="204"/>
      <c r="QWY29" s="204"/>
      <c r="QWZ29" s="204"/>
      <c r="QXA29" s="204"/>
      <c r="QXB29" s="204"/>
      <c r="QXC29" s="204"/>
      <c r="QXD29" s="204"/>
      <c r="QXE29" s="204"/>
      <c r="QXF29" s="204"/>
      <c r="QXG29" s="204"/>
      <c r="QXH29" s="204"/>
      <c r="QXI29" s="204"/>
      <c r="QXJ29" s="204"/>
      <c r="QXK29" s="204"/>
      <c r="QXL29" s="204"/>
      <c r="QXM29" s="204"/>
      <c r="QXN29" s="204"/>
      <c r="QXO29" s="204"/>
      <c r="QXP29" s="204"/>
      <c r="QXQ29" s="204"/>
      <c r="QXR29" s="204"/>
      <c r="QXS29" s="204"/>
      <c r="QXT29" s="204"/>
      <c r="QXU29" s="204"/>
      <c r="QXV29" s="204"/>
      <c r="QXW29" s="204"/>
      <c r="QXX29" s="204"/>
      <c r="QXY29" s="204"/>
      <c r="QXZ29" s="204"/>
      <c r="QYA29" s="204"/>
      <c r="QYB29" s="204"/>
      <c r="QYC29" s="204"/>
      <c r="QYD29" s="204"/>
      <c r="QYE29" s="204"/>
      <c r="QYF29" s="204"/>
      <c r="QYG29" s="204"/>
      <c r="QYH29" s="204"/>
      <c r="QYI29" s="204"/>
      <c r="QYJ29" s="204"/>
      <c r="QYK29" s="204"/>
      <c r="QYL29" s="204"/>
      <c r="QYM29" s="204"/>
      <c r="QYN29" s="204"/>
      <c r="QYO29" s="204"/>
      <c r="QYP29" s="204"/>
      <c r="QYQ29" s="204"/>
      <c r="QYR29" s="204"/>
      <c r="QYS29" s="204"/>
      <c r="QYT29" s="204"/>
      <c r="QYU29" s="204"/>
      <c r="QYV29" s="204"/>
      <c r="QYW29" s="204"/>
      <c r="QYX29" s="204"/>
      <c r="QYY29" s="204"/>
      <c r="QYZ29" s="204"/>
      <c r="QZA29" s="204"/>
      <c r="QZB29" s="204"/>
      <c r="QZC29" s="204"/>
      <c r="QZD29" s="204"/>
      <c r="QZE29" s="204"/>
      <c r="QZF29" s="204"/>
      <c r="QZG29" s="204"/>
      <c r="QZH29" s="204"/>
      <c r="QZI29" s="204"/>
      <c r="QZJ29" s="204"/>
      <c r="QZK29" s="204"/>
      <c r="QZL29" s="204"/>
      <c r="QZM29" s="204"/>
      <c r="QZN29" s="204"/>
      <c r="QZO29" s="204"/>
      <c r="QZP29" s="204"/>
      <c r="QZQ29" s="204"/>
      <c r="QZR29" s="204"/>
      <c r="QZS29" s="204"/>
      <c r="QZT29" s="204"/>
      <c r="QZU29" s="204"/>
      <c r="QZV29" s="204"/>
      <c r="QZW29" s="204"/>
      <c r="QZX29" s="204"/>
      <c r="QZY29" s="204"/>
      <c r="QZZ29" s="204"/>
      <c r="RAA29" s="204"/>
      <c r="RAB29" s="204"/>
      <c r="RAC29" s="204"/>
      <c r="RAD29" s="204"/>
      <c r="RAE29" s="204"/>
      <c r="RAF29" s="204"/>
      <c r="RAG29" s="204"/>
      <c r="RAH29" s="204"/>
      <c r="RAI29" s="204"/>
      <c r="RAJ29" s="204"/>
      <c r="RAK29" s="204"/>
      <c r="RAL29" s="204"/>
      <c r="RAM29" s="204"/>
      <c r="RAN29" s="204"/>
      <c r="RAO29" s="204"/>
      <c r="RAP29" s="204"/>
      <c r="RAQ29" s="204"/>
      <c r="RAR29" s="204"/>
      <c r="RAS29" s="204"/>
      <c r="RAT29" s="204"/>
      <c r="RAU29" s="204"/>
      <c r="RAV29" s="204"/>
      <c r="RAW29" s="204"/>
      <c r="RAX29" s="204"/>
      <c r="RAY29" s="204"/>
      <c r="RAZ29" s="204"/>
      <c r="RBA29" s="204"/>
      <c r="RBB29" s="204"/>
      <c r="RBC29" s="204"/>
      <c r="RBD29" s="204"/>
      <c r="RBE29" s="204"/>
      <c r="RBF29" s="204"/>
      <c r="RBG29" s="204"/>
      <c r="RBH29" s="204"/>
      <c r="RBI29" s="204"/>
      <c r="RBJ29" s="204"/>
      <c r="RBK29" s="204"/>
      <c r="RBL29" s="204"/>
      <c r="RBM29" s="204"/>
      <c r="RBN29" s="204"/>
      <c r="RBO29" s="204"/>
      <c r="RBP29" s="204"/>
      <c r="RBQ29" s="204"/>
      <c r="RBR29" s="204"/>
      <c r="RBS29" s="204"/>
      <c r="RBT29" s="204"/>
      <c r="RBU29" s="204"/>
      <c r="RBV29" s="204"/>
      <c r="RBW29" s="204"/>
      <c r="RBX29" s="204"/>
      <c r="RBY29" s="204"/>
      <c r="RBZ29" s="204"/>
      <c r="RCA29" s="204"/>
      <c r="RCB29" s="204"/>
      <c r="RCC29" s="204"/>
      <c r="RCD29" s="204"/>
      <c r="RCE29" s="204"/>
      <c r="RCF29" s="204"/>
      <c r="RCG29" s="204"/>
      <c r="RCH29" s="204"/>
      <c r="RCI29" s="204"/>
      <c r="RCJ29" s="204"/>
      <c r="RCK29" s="204"/>
      <c r="RCL29" s="204"/>
      <c r="RCM29" s="204"/>
      <c r="RCN29" s="204"/>
      <c r="RCO29" s="204"/>
      <c r="RCP29" s="204"/>
      <c r="RCQ29" s="204"/>
      <c r="RCR29" s="204"/>
      <c r="RCS29" s="204"/>
      <c r="RCT29" s="204"/>
      <c r="RCU29" s="204"/>
      <c r="RCV29" s="204"/>
      <c r="RCW29" s="204"/>
      <c r="RCX29" s="204"/>
      <c r="RCY29" s="204"/>
      <c r="RCZ29" s="204"/>
      <c r="RDA29" s="204"/>
      <c r="RDB29" s="204"/>
      <c r="RDC29" s="204"/>
      <c r="RDD29" s="204"/>
      <c r="RDE29" s="204"/>
      <c r="RDF29" s="204"/>
      <c r="RDG29" s="204"/>
      <c r="RDH29" s="204"/>
      <c r="RDI29" s="204"/>
      <c r="RDJ29" s="204"/>
      <c r="RDK29" s="204"/>
      <c r="RDL29" s="204"/>
      <c r="RDM29" s="204"/>
      <c r="RDN29" s="204"/>
      <c r="RDO29" s="204"/>
      <c r="RDP29" s="204"/>
      <c r="RDQ29" s="204"/>
      <c r="RDR29" s="204"/>
      <c r="RDS29" s="204"/>
      <c r="RDT29" s="204"/>
      <c r="RDU29" s="204"/>
      <c r="RDV29" s="204"/>
      <c r="RDW29" s="204"/>
      <c r="RDX29" s="204"/>
      <c r="RDY29" s="204"/>
      <c r="RDZ29" s="204"/>
      <c r="REA29" s="204"/>
      <c r="REB29" s="204"/>
      <c r="REC29" s="204"/>
      <c r="RED29" s="204"/>
      <c r="REE29" s="204"/>
      <c r="REF29" s="204"/>
      <c r="REG29" s="204"/>
      <c r="REH29" s="204"/>
      <c r="REI29" s="204"/>
      <c r="REJ29" s="204"/>
      <c r="REK29" s="204"/>
      <c r="REL29" s="204"/>
      <c r="REM29" s="204"/>
      <c r="REN29" s="204"/>
      <c r="REO29" s="204"/>
      <c r="REP29" s="204"/>
      <c r="REQ29" s="204"/>
      <c r="RER29" s="204"/>
      <c r="RES29" s="204"/>
      <c r="RET29" s="204"/>
      <c r="REU29" s="204"/>
      <c r="REV29" s="204"/>
      <c r="REW29" s="204"/>
      <c r="REX29" s="204"/>
      <c r="REY29" s="204"/>
      <c r="REZ29" s="204"/>
      <c r="RFA29" s="204"/>
      <c r="RFB29" s="204"/>
      <c r="RFC29" s="204"/>
      <c r="RFD29" s="204"/>
      <c r="RFE29" s="204"/>
      <c r="RFF29" s="204"/>
      <c r="RFG29" s="204"/>
      <c r="RFH29" s="204"/>
      <c r="RFI29" s="204"/>
      <c r="RFJ29" s="204"/>
      <c r="RFK29" s="204"/>
      <c r="RFL29" s="204"/>
      <c r="RFM29" s="204"/>
      <c r="RFN29" s="204"/>
      <c r="RFO29" s="204"/>
      <c r="RFP29" s="204"/>
      <c r="RFQ29" s="204"/>
      <c r="RFR29" s="204"/>
      <c r="RFS29" s="204"/>
      <c r="RFT29" s="204"/>
      <c r="RFU29" s="204"/>
      <c r="RFV29" s="204"/>
      <c r="RFW29" s="204"/>
      <c r="RFX29" s="204"/>
      <c r="RFY29" s="204"/>
      <c r="RFZ29" s="204"/>
      <c r="RGA29" s="204"/>
      <c r="RGB29" s="204"/>
      <c r="RGC29" s="204"/>
      <c r="RGD29" s="204"/>
      <c r="RGE29" s="204"/>
      <c r="RGF29" s="204"/>
      <c r="RGG29" s="204"/>
      <c r="RGH29" s="204"/>
      <c r="RGI29" s="204"/>
      <c r="RGJ29" s="204"/>
      <c r="RGK29" s="204"/>
      <c r="RGL29" s="204"/>
      <c r="RGM29" s="204"/>
      <c r="RGN29" s="204"/>
      <c r="RGO29" s="204"/>
      <c r="RGP29" s="204"/>
      <c r="RGQ29" s="204"/>
      <c r="RGR29" s="204"/>
      <c r="RGS29" s="204"/>
      <c r="RGT29" s="204"/>
      <c r="RGU29" s="204"/>
      <c r="RGV29" s="204"/>
      <c r="RGW29" s="204"/>
      <c r="RGX29" s="204"/>
      <c r="RGY29" s="204"/>
      <c r="RGZ29" s="204"/>
      <c r="RHA29" s="204"/>
      <c r="RHB29" s="204"/>
      <c r="RHC29" s="204"/>
      <c r="RHD29" s="204"/>
      <c r="RHE29" s="204"/>
      <c r="RHF29" s="204"/>
      <c r="RHG29" s="204"/>
      <c r="RHH29" s="204"/>
      <c r="RHI29" s="204"/>
      <c r="RHJ29" s="204"/>
      <c r="RHK29" s="204"/>
      <c r="RHL29" s="204"/>
      <c r="RHM29" s="204"/>
      <c r="RHN29" s="204"/>
      <c r="RHO29" s="204"/>
      <c r="RHP29" s="204"/>
      <c r="RHQ29" s="204"/>
      <c r="RHR29" s="204"/>
      <c r="RHS29" s="204"/>
      <c r="RHT29" s="204"/>
      <c r="RHU29" s="204"/>
      <c r="RHV29" s="204"/>
      <c r="RHW29" s="204"/>
      <c r="RHX29" s="204"/>
      <c r="RHY29" s="204"/>
      <c r="RHZ29" s="204"/>
      <c r="RIA29" s="204"/>
      <c r="RIB29" s="204"/>
      <c r="RIC29" s="204"/>
      <c r="RID29" s="204"/>
      <c r="RIE29" s="204"/>
      <c r="RIF29" s="204"/>
      <c r="RIG29" s="204"/>
      <c r="RIH29" s="204"/>
      <c r="RII29" s="204"/>
      <c r="RIJ29" s="204"/>
      <c r="RIK29" s="204"/>
      <c r="RIL29" s="204"/>
      <c r="RIM29" s="204"/>
      <c r="RIN29" s="204"/>
      <c r="RIO29" s="204"/>
      <c r="RIP29" s="204"/>
      <c r="RIQ29" s="204"/>
      <c r="RIR29" s="204"/>
      <c r="RIS29" s="204"/>
      <c r="RIT29" s="204"/>
      <c r="RIU29" s="204"/>
      <c r="RIV29" s="204"/>
      <c r="RIW29" s="204"/>
      <c r="RIX29" s="204"/>
      <c r="RIY29" s="204"/>
      <c r="RIZ29" s="204"/>
      <c r="RJA29" s="204"/>
      <c r="RJB29" s="204"/>
      <c r="RJC29" s="204"/>
      <c r="RJD29" s="204"/>
      <c r="RJE29" s="204"/>
      <c r="RJF29" s="204"/>
      <c r="RJG29" s="204"/>
      <c r="RJH29" s="204"/>
      <c r="RJI29" s="204"/>
      <c r="RJJ29" s="204"/>
      <c r="RJK29" s="204"/>
      <c r="RJL29" s="204"/>
      <c r="RJM29" s="204"/>
      <c r="RJN29" s="204"/>
      <c r="RJO29" s="204"/>
      <c r="RJP29" s="204"/>
      <c r="RJQ29" s="204"/>
      <c r="RJR29" s="204"/>
      <c r="RJS29" s="204"/>
      <c r="RJT29" s="204"/>
      <c r="RJU29" s="204"/>
      <c r="RJV29" s="204"/>
      <c r="RJW29" s="204"/>
      <c r="RJX29" s="204"/>
      <c r="RJY29" s="204"/>
      <c r="RJZ29" s="204"/>
      <c r="RKA29" s="204"/>
      <c r="RKB29" s="204"/>
      <c r="RKC29" s="204"/>
      <c r="RKD29" s="204"/>
      <c r="RKE29" s="204"/>
      <c r="RKF29" s="204"/>
      <c r="RKG29" s="204"/>
      <c r="RKH29" s="204"/>
      <c r="RKI29" s="204"/>
      <c r="RKJ29" s="204"/>
      <c r="RKK29" s="204"/>
      <c r="RKL29" s="204"/>
      <c r="RKM29" s="204"/>
      <c r="RKN29" s="204"/>
      <c r="RKO29" s="204"/>
      <c r="RKP29" s="204"/>
      <c r="RKQ29" s="204"/>
      <c r="RKR29" s="204"/>
      <c r="RKS29" s="204"/>
      <c r="RKT29" s="204"/>
      <c r="RKU29" s="204"/>
      <c r="RKV29" s="204"/>
      <c r="RKW29" s="204"/>
      <c r="RKX29" s="204"/>
      <c r="RKY29" s="204"/>
      <c r="RKZ29" s="204"/>
      <c r="RLA29" s="204"/>
      <c r="RLB29" s="204"/>
      <c r="RLC29" s="204"/>
      <c r="RLD29" s="204"/>
      <c r="RLE29" s="204"/>
      <c r="RLF29" s="204"/>
      <c r="RLG29" s="204"/>
      <c r="RLH29" s="204"/>
      <c r="RLI29" s="204"/>
      <c r="RLJ29" s="204"/>
      <c r="RLK29" s="204"/>
      <c r="RLL29" s="204"/>
      <c r="RLM29" s="204"/>
      <c r="RLN29" s="204"/>
      <c r="RLO29" s="204"/>
      <c r="RLP29" s="204"/>
      <c r="RLQ29" s="204"/>
      <c r="RLR29" s="204"/>
      <c r="RLS29" s="204"/>
      <c r="RLT29" s="204"/>
      <c r="RLU29" s="204"/>
      <c r="RLV29" s="204"/>
      <c r="RLW29" s="204"/>
      <c r="RLX29" s="204"/>
      <c r="RLY29" s="204"/>
      <c r="RLZ29" s="204"/>
      <c r="RMA29" s="204"/>
      <c r="RMB29" s="204"/>
      <c r="RMC29" s="204"/>
      <c r="RMD29" s="204"/>
      <c r="RME29" s="204"/>
      <c r="RMF29" s="204"/>
      <c r="RMG29" s="204"/>
      <c r="RMH29" s="204"/>
      <c r="RMI29" s="204"/>
      <c r="RMJ29" s="204"/>
      <c r="RMK29" s="204"/>
      <c r="RML29" s="204"/>
      <c r="RMM29" s="204"/>
      <c r="RMN29" s="204"/>
      <c r="RMO29" s="204"/>
      <c r="RMP29" s="204"/>
      <c r="RMQ29" s="204"/>
      <c r="RMR29" s="204"/>
      <c r="RMS29" s="204"/>
      <c r="RMT29" s="204"/>
      <c r="RMU29" s="204"/>
      <c r="RMV29" s="204"/>
      <c r="RMW29" s="204"/>
      <c r="RMX29" s="204"/>
      <c r="RMY29" s="204"/>
      <c r="RMZ29" s="204"/>
      <c r="RNA29" s="204"/>
      <c r="RNB29" s="204"/>
      <c r="RNC29" s="204"/>
      <c r="RND29" s="204"/>
      <c r="RNE29" s="204"/>
      <c r="RNF29" s="204"/>
      <c r="RNG29" s="204"/>
      <c r="RNH29" s="204"/>
      <c r="RNI29" s="204"/>
      <c r="RNJ29" s="204"/>
      <c r="RNK29" s="204"/>
      <c r="RNL29" s="204"/>
      <c r="RNM29" s="204"/>
      <c r="RNN29" s="204"/>
      <c r="RNO29" s="204"/>
      <c r="RNP29" s="204"/>
      <c r="RNQ29" s="204"/>
      <c r="RNR29" s="204"/>
      <c r="RNS29" s="204"/>
      <c r="RNT29" s="204"/>
      <c r="RNU29" s="204"/>
      <c r="RNV29" s="204"/>
      <c r="RNW29" s="204"/>
      <c r="RNX29" s="204"/>
      <c r="RNY29" s="204"/>
      <c r="RNZ29" s="204"/>
      <c r="ROA29" s="204"/>
      <c r="ROB29" s="204"/>
      <c r="ROC29" s="204"/>
      <c r="ROD29" s="204"/>
      <c r="ROE29" s="204"/>
      <c r="ROF29" s="204"/>
      <c r="ROG29" s="204"/>
      <c r="ROH29" s="204"/>
      <c r="ROI29" s="204"/>
      <c r="ROJ29" s="204"/>
      <c r="ROK29" s="204"/>
      <c r="ROL29" s="204"/>
      <c r="ROM29" s="204"/>
      <c r="RON29" s="204"/>
      <c r="ROO29" s="204"/>
      <c r="ROP29" s="204"/>
      <c r="ROQ29" s="204"/>
      <c r="ROR29" s="204"/>
      <c r="ROS29" s="204"/>
      <c r="ROT29" s="204"/>
      <c r="ROU29" s="204"/>
      <c r="ROV29" s="204"/>
      <c r="ROW29" s="204"/>
      <c r="ROX29" s="204"/>
      <c r="ROY29" s="204"/>
      <c r="ROZ29" s="204"/>
      <c r="RPA29" s="204"/>
      <c r="RPB29" s="204"/>
      <c r="RPC29" s="204"/>
      <c r="RPD29" s="204"/>
      <c r="RPE29" s="204"/>
      <c r="RPF29" s="204"/>
      <c r="RPG29" s="204"/>
      <c r="RPH29" s="204"/>
      <c r="RPI29" s="204"/>
      <c r="RPJ29" s="204"/>
      <c r="RPK29" s="204"/>
      <c r="RPL29" s="204"/>
      <c r="RPM29" s="204"/>
      <c r="RPN29" s="204"/>
      <c r="RPO29" s="204"/>
      <c r="RPP29" s="204"/>
      <c r="RPQ29" s="204"/>
      <c r="RPR29" s="204"/>
      <c r="RPS29" s="204"/>
      <c r="RPT29" s="204"/>
      <c r="RPU29" s="204"/>
      <c r="RPV29" s="204"/>
      <c r="RPW29" s="204"/>
      <c r="RPX29" s="204"/>
      <c r="RPY29" s="204"/>
      <c r="RPZ29" s="204"/>
      <c r="RQA29" s="204"/>
      <c r="RQB29" s="204"/>
      <c r="RQC29" s="204"/>
      <c r="RQD29" s="204"/>
      <c r="RQE29" s="204"/>
      <c r="RQF29" s="204"/>
      <c r="RQG29" s="204"/>
      <c r="RQH29" s="204"/>
      <c r="RQI29" s="204"/>
      <c r="RQJ29" s="204"/>
      <c r="RQK29" s="204"/>
      <c r="RQL29" s="204"/>
      <c r="RQM29" s="204"/>
      <c r="RQN29" s="204"/>
      <c r="RQO29" s="204"/>
      <c r="RQP29" s="204"/>
      <c r="RQQ29" s="204"/>
      <c r="RQR29" s="204"/>
      <c r="RQS29" s="204"/>
      <c r="RQT29" s="204"/>
      <c r="RQU29" s="204"/>
      <c r="RQV29" s="204"/>
      <c r="RQW29" s="204"/>
      <c r="RQX29" s="204"/>
      <c r="RQY29" s="204"/>
      <c r="RQZ29" s="204"/>
      <c r="RRA29" s="204"/>
      <c r="RRB29" s="204"/>
      <c r="RRC29" s="204"/>
      <c r="RRD29" s="204"/>
      <c r="RRE29" s="204"/>
      <c r="RRF29" s="204"/>
      <c r="RRG29" s="204"/>
      <c r="RRH29" s="204"/>
      <c r="RRI29" s="204"/>
      <c r="RRJ29" s="204"/>
      <c r="RRK29" s="204"/>
      <c r="RRL29" s="204"/>
      <c r="RRM29" s="204"/>
      <c r="RRN29" s="204"/>
      <c r="RRO29" s="204"/>
      <c r="RRP29" s="204"/>
      <c r="RRQ29" s="204"/>
      <c r="RRR29" s="204"/>
      <c r="RRS29" s="204"/>
      <c r="RRT29" s="204"/>
      <c r="RRU29" s="204"/>
      <c r="RRV29" s="204"/>
      <c r="RRW29" s="204"/>
      <c r="RRX29" s="204"/>
      <c r="RRY29" s="204"/>
      <c r="RRZ29" s="204"/>
      <c r="RSA29" s="204"/>
      <c r="RSB29" s="204"/>
      <c r="RSC29" s="204"/>
      <c r="RSD29" s="204"/>
      <c r="RSE29" s="204"/>
      <c r="RSF29" s="204"/>
      <c r="RSG29" s="204"/>
      <c r="RSH29" s="204"/>
      <c r="RSI29" s="204"/>
      <c r="RSJ29" s="204"/>
      <c r="RSK29" s="204"/>
      <c r="RSL29" s="204"/>
      <c r="RSM29" s="204"/>
      <c r="RSN29" s="204"/>
      <c r="RSO29" s="204"/>
      <c r="RSP29" s="204"/>
      <c r="RSQ29" s="204"/>
      <c r="RSR29" s="204"/>
      <c r="RSS29" s="204"/>
      <c r="RST29" s="204"/>
      <c r="RSU29" s="204"/>
      <c r="RSV29" s="204"/>
      <c r="RSW29" s="204"/>
      <c r="RSX29" s="204"/>
      <c r="RSY29" s="204"/>
      <c r="RSZ29" s="204"/>
      <c r="RTA29" s="204"/>
      <c r="RTB29" s="204"/>
      <c r="RTC29" s="204"/>
      <c r="RTD29" s="204"/>
      <c r="RTE29" s="204"/>
      <c r="RTF29" s="204"/>
      <c r="RTG29" s="204"/>
      <c r="RTH29" s="204"/>
      <c r="RTI29" s="204"/>
      <c r="RTJ29" s="204"/>
      <c r="RTK29" s="204"/>
      <c r="RTL29" s="204"/>
      <c r="RTM29" s="204"/>
      <c r="RTN29" s="204"/>
      <c r="RTO29" s="204"/>
      <c r="RTP29" s="204"/>
      <c r="RTQ29" s="204"/>
      <c r="RTR29" s="204"/>
      <c r="RTS29" s="204"/>
      <c r="RTT29" s="204"/>
      <c r="RTU29" s="204"/>
      <c r="RTV29" s="204"/>
      <c r="RTW29" s="204"/>
      <c r="RTX29" s="204"/>
      <c r="RTY29" s="204"/>
      <c r="RTZ29" s="204"/>
      <c r="RUA29" s="204"/>
      <c r="RUB29" s="204"/>
      <c r="RUC29" s="204"/>
      <c r="RUD29" s="204"/>
      <c r="RUE29" s="204"/>
      <c r="RUF29" s="204"/>
      <c r="RUG29" s="204"/>
      <c r="RUH29" s="204"/>
      <c r="RUI29" s="204"/>
      <c r="RUJ29" s="204"/>
      <c r="RUK29" s="204"/>
      <c r="RUL29" s="204"/>
      <c r="RUM29" s="204"/>
      <c r="RUN29" s="204"/>
      <c r="RUO29" s="204"/>
      <c r="RUP29" s="204"/>
      <c r="RUQ29" s="204"/>
      <c r="RUR29" s="204"/>
      <c r="RUS29" s="204"/>
      <c r="RUT29" s="204"/>
      <c r="RUU29" s="204"/>
      <c r="RUV29" s="204"/>
      <c r="RUW29" s="204"/>
      <c r="RUX29" s="204"/>
      <c r="RUY29" s="204"/>
      <c r="RUZ29" s="204"/>
      <c r="RVA29" s="204"/>
      <c r="RVB29" s="204"/>
      <c r="RVC29" s="204"/>
      <c r="RVD29" s="204"/>
      <c r="RVE29" s="204"/>
      <c r="RVF29" s="204"/>
      <c r="RVG29" s="204"/>
      <c r="RVH29" s="204"/>
      <c r="RVI29" s="204"/>
      <c r="RVJ29" s="204"/>
      <c r="RVK29" s="204"/>
      <c r="RVL29" s="204"/>
      <c r="RVM29" s="204"/>
      <c r="RVN29" s="204"/>
      <c r="RVO29" s="204"/>
      <c r="RVP29" s="204"/>
      <c r="RVQ29" s="204"/>
      <c r="RVR29" s="204"/>
      <c r="RVS29" s="204"/>
      <c r="RVT29" s="204"/>
      <c r="RVU29" s="204"/>
      <c r="RVV29" s="204"/>
      <c r="RVW29" s="204"/>
      <c r="RVX29" s="204"/>
      <c r="RVY29" s="204"/>
      <c r="RVZ29" s="204"/>
      <c r="RWA29" s="204"/>
      <c r="RWB29" s="204"/>
      <c r="RWC29" s="204"/>
      <c r="RWD29" s="204"/>
      <c r="RWE29" s="204"/>
      <c r="RWF29" s="204"/>
      <c r="RWG29" s="204"/>
      <c r="RWH29" s="204"/>
      <c r="RWI29" s="204"/>
      <c r="RWJ29" s="204"/>
      <c r="RWK29" s="204"/>
      <c r="RWL29" s="204"/>
      <c r="RWM29" s="204"/>
      <c r="RWN29" s="204"/>
      <c r="RWO29" s="204"/>
      <c r="RWP29" s="204"/>
      <c r="RWQ29" s="204"/>
      <c r="RWR29" s="204"/>
      <c r="RWS29" s="204"/>
      <c r="RWT29" s="204"/>
      <c r="RWU29" s="204"/>
      <c r="RWV29" s="204"/>
      <c r="RWW29" s="204"/>
      <c r="RWX29" s="204"/>
      <c r="RWY29" s="204"/>
      <c r="RWZ29" s="204"/>
      <c r="RXA29" s="204"/>
      <c r="RXB29" s="204"/>
      <c r="RXC29" s="204"/>
      <c r="RXD29" s="204"/>
      <c r="RXE29" s="204"/>
      <c r="RXF29" s="204"/>
      <c r="RXG29" s="204"/>
      <c r="RXH29" s="204"/>
      <c r="RXI29" s="204"/>
      <c r="RXJ29" s="204"/>
      <c r="RXK29" s="204"/>
      <c r="RXL29" s="204"/>
      <c r="RXM29" s="204"/>
      <c r="RXN29" s="204"/>
      <c r="RXO29" s="204"/>
      <c r="RXP29" s="204"/>
      <c r="RXQ29" s="204"/>
      <c r="RXR29" s="204"/>
      <c r="RXS29" s="204"/>
      <c r="RXT29" s="204"/>
      <c r="RXU29" s="204"/>
      <c r="RXV29" s="204"/>
      <c r="RXW29" s="204"/>
      <c r="RXX29" s="204"/>
      <c r="RXY29" s="204"/>
      <c r="RXZ29" s="204"/>
      <c r="RYA29" s="204"/>
      <c r="RYB29" s="204"/>
      <c r="RYC29" s="204"/>
      <c r="RYD29" s="204"/>
      <c r="RYE29" s="204"/>
      <c r="RYF29" s="204"/>
      <c r="RYG29" s="204"/>
      <c r="RYH29" s="204"/>
      <c r="RYI29" s="204"/>
      <c r="RYJ29" s="204"/>
      <c r="RYK29" s="204"/>
      <c r="RYL29" s="204"/>
      <c r="RYM29" s="204"/>
      <c r="RYN29" s="204"/>
      <c r="RYO29" s="204"/>
      <c r="RYP29" s="204"/>
      <c r="RYQ29" s="204"/>
      <c r="RYR29" s="204"/>
      <c r="RYS29" s="204"/>
      <c r="RYT29" s="204"/>
      <c r="RYU29" s="204"/>
      <c r="RYV29" s="204"/>
      <c r="RYW29" s="204"/>
      <c r="RYX29" s="204"/>
      <c r="RYY29" s="204"/>
      <c r="RYZ29" s="204"/>
      <c r="RZA29" s="204"/>
      <c r="RZB29" s="204"/>
      <c r="RZC29" s="204"/>
      <c r="RZD29" s="204"/>
      <c r="RZE29" s="204"/>
      <c r="RZF29" s="204"/>
      <c r="RZG29" s="204"/>
      <c r="RZH29" s="204"/>
      <c r="RZI29" s="204"/>
      <c r="RZJ29" s="204"/>
      <c r="RZK29" s="204"/>
      <c r="RZL29" s="204"/>
      <c r="RZM29" s="204"/>
      <c r="RZN29" s="204"/>
      <c r="RZO29" s="204"/>
      <c r="RZP29" s="204"/>
      <c r="RZQ29" s="204"/>
      <c r="RZR29" s="204"/>
      <c r="RZS29" s="204"/>
      <c r="RZT29" s="204"/>
      <c r="RZU29" s="204"/>
      <c r="RZV29" s="204"/>
      <c r="RZW29" s="204"/>
      <c r="RZX29" s="204"/>
      <c r="RZY29" s="204"/>
      <c r="RZZ29" s="204"/>
      <c r="SAA29" s="204"/>
      <c r="SAB29" s="204"/>
      <c r="SAC29" s="204"/>
      <c r="SAD29" s="204"/>
      <c r="SAE29" s="204"/>
      <c r="SAF29" s="204"/>
      <c r="SAG29" s="204"/>
      <c r="SAH29" s="204"/>
      <c r="SAI29" s="204"/>
      <c r="SAJ29" s="204"/>
      <c r="SAK29" s="204"/>
      <c r="SAL29" s="204"/>
      <c r="SAM29" s="204"/>
      <c r="SAN29" s="204"/>
      <c r="SAO29" s="204"/>
      <c r="SAP29" s="204"/>
      <c r="SAQ29" s="204"/>
      <c r="SAR29" s="204"/>
      <c r="SAS29" s="204"/>
      <c r="SAT29" s="204"/>
      <c r="SAU29" s="204"/>
      <c r="SAV29" s="204"/>
      <c r="SAW29" s="204"/>
      <c r="SAX29" s="204"/>
      <c r="SAY29" s="204"/>
      <c r="SAZ29" s="204"/>
      <c r="SBA29" s="204"/>
      <c r="SBB29" s="204"/>
      <c r="SBC29" s="204"/>
      <c r="SBD29" s="204"/>
      <c r="SBE29" s="204"/>
      <c r="SBF29" s="204"/>
      <c r="SBG29" s="204"/>
      <c r="SBH29" s="204"/>
      <c r="SBI29" s="204"/>
      <c r="SBJ29" s="204"/>
      <c r="SBK29" s="204"/>
      <c r="SBL29" s="204"/>
      <c r="SBM29" s="204"/>
      <c r="SBN29" s="204"/>
      <c r="SBO29" s="204"/>
      <c r="SBP29" s="204"/>
      <c r="SBQ29" s="204"/>
      <c r="SBR29" s="204"/>
      <c r="SBS29" s="204"/>
      <c r="SBT29" s="204"/>
      <c r="SBU29" s="204"/>
      <c r="SBV29" s="204"/>
      <c r="SBW29" s="204"/>
      <c r="SBX29" s="204"/>
      <c r="SBY29" s="204"/>
      <c r="SBZ29" s="204"/>
      <c r="SCA29" s="204"/>
      <c r="SCB29" s="204"/>
      <c r="SCC29" s="204"/>
      <c r="SCD29" s="204"/>
      <c r="SCE29" s="204"/>
      <c r="SCF29" s="204"/>
      <c r="SCG29" s="204"/>
      <c r="SCH29" s="204"/>
      <c r="SCI29" s="204"/>
      <c r="SCJ29" s="204"/>
      <c r="SCK29" s="204"/>
      <c r="SCL29" s="204"/>
      <c r="SCM29" s="204"/>
      <c r="SCN29" s="204"/>
      <c r="SCO29" s="204"/>
      <c r="SCP29" s="204"/>
      <c r="SCQ29" s="204"/>
      <c r="SCR29" s="204"/>
      <c r="SCS29" s="204"/>
      <c r="SCT29" s="204"/>
      <c r="SCU29" s="204"/>
      <c r="SCV29" s="204"/>
      <c r="SCW29" s="204"/>
      <c r="SCX29" s="204"/>
      <c r="SCY29" s="204"/>
      <c r="SCZ29" s="204"/>
      <c r="SDA29" s="204"/>
      <c r="SDB29" s="204"/>
      <c r="SDC29" s="204"/>
      <c r="SDD29" s="204"/>
      <c r="SDE29" s="204"/>
      <c r="SDF29" s="204"/>
      <c r="SDG29" s="204"/>
      <c r="SDH29" s="204"/>
      <c r="SDI29" s="204"/>
      <c r="SDJ29" s="204"/>
      <c r="SDK29" s="204"/>
      <c r="SDL29" s="204"/>
      <c r="SDM29" s="204"/>
      <c r="SDN29" s="204"/>
      <c r="SDO29" s="204"/>
      <c r="SDP29" s="204"/>
      <c r="SDQ29" s="204"/>
      <c r="SDR29" s="204"/>
      <c r="SDS29" s="204"/>
      <c r="SDT29" s="204"/>
      <c r="SDU29" s="204"/>
      <c r="SDV29" s="204"/>
      <c r="SDW29" s="204"/>
      <c r="SDX29" s="204"/>
      <c r="SDY29" s="204"/>
      <c r="SDZ29" s="204"/>
      <c r="SEA29" s="204"/>
      <c r="SEB29" s="204"/>
      <c r="SEC29" s="204"/>
      <c r="SED29" s="204"/>
      <c r="SEE29" s="204"/>
      <c r="SEF29" s="204"/>
      <c r="SEG29" s="204"/>
      <c r="SEH29" s="204"/>
      <c r="SEI29" s="204"/>
      <c r="SEJ29" s="204"/>
      <c r="SEK29" s="204"/>
      <c r="SEL29" s="204"/>
      <c r="SEM29" s="204"/>
      <c r="SEN29" s="204"/>
      <c r="SEO29" s="204"/>
      <c r="SEP29" s="204"/>
      <c r="SEQ29" s="204"/>
      <c r="SER29" s="204"/>
      <c r="SES29" s="204"/>
      <c r="SET29" s="204"/>
      <c r="SEU29" s="204"/>
      <c r="SEV29" s="204"/>
      <c r="SEW29" s="204"/>
      <c r="SEX29" s="204"/>
      <c r="SEY29" s="204"/>
      <c r="SEZ29" s="204"/>
      <c r="SFA29" s="204"/>
      <c r="SFB29" s="204"/>
      <c r="SFC29" s="204"/>
      <c r="SFD29" s="204"/>
      <c r="SFE29" s="204"/>
      <c r="SFF29" s="204"/>
      <c r="SFG29" s="204"/>
      <c r="SFH29" s="204"/>
      <c r="SFI29" s="204"/>
      <c r="SFJ29" s="204"/>
      <c r="SFK29" s="204"/>
      <c r="SFL29" s="204"/>
      <c r="SFM29" s="204"/>
      <c r="SFN29" s="204"/>
      <c r="SFO29" s="204"/>
      <c r="SFP29" s="204"/>
      <c r="SFQ29" s="204"/>
      <c r="SFR29" s="204"/>
      <c r="SFS29" s="204"/>
      <c r="SFT29" s="204"/>
      <c r="SFU29" s="204"/>
      <c r="SFV29" s="204"/>
      <c r="SFW29" s="204"/>
      <c r="SFX29" s="204"/>
      <c r="SFY29" s="204"/>
      <c r="SFZ29" s="204"/>
      <c r="SGA29" s="204"/>
      <c r="SGB29" s="204"/>
      <c r="SGC29" s="204"/>
      <c r="SGD29" s="204"/>
      <c r="SGE29" s="204"/>
      <c r="SGF29" s="204"/>
      <c r="SGG29" s="204"/>
      <c r="SGH29" s="204"/>
      <c r="SGI29" s="204"/>
      <c r="SGJ29" s="204"/>
      <c r="SGK29" s="204"/>
      <c r="SGL29" s="204"/>
      <c r="SGM29" s="204"/>
      <c r="SGN29" s="204"/>
      <c r="SGO29" s="204"/>
      <c r="SGP29" s="204"/>
      <c r="SGQ29" s="204"/>
      <c r="SGR29" s="204"/>
      <c r="SGS29" s="204"/>
      <c r="SGT29" s="204"/>
      <c r="SGU29" s="204"/>
      <c r="SGV29" s="204"/>
      <c r="SGW29" s="204"/>
      <c r="SGX29" s="204"/>
      <c r="SGY29" s="204"/>
      <c r="SGZ29" s="204"/>
      <c r="SHA29" s="204"/>
      <c r="SHB29" s="204"/>
      <c r="SHC29" s="204"/>
      <c r="SHD29" s="204"/>
      <c r="SHE29" s="204"/>
      <c r="SHF29" s="204"/>
      <c r="SHG29" s="204"/>
      <c r="SHH29" s="204"/>
      <c r="SHI29" s="204"/>
      <c r="SHJ29" s="204"/>
      <c r="SHK29" s="204"/>
      <c r="SHL29" s="204"/>
      <c r="SHM29" s="204"/>
      <c r="SHN29" s="204"/>
      <c r="SHO29" s="204"/>
      <c r="SHP29" s="204"/>
      <c r="SHQ29" s="204"/>
      <c r="SHR29" s="204"/>
      <c r="SHS29" s="204"/>
      <c r="SHT29" s="204"/>
      <c r="SHU29" s="204"/>
      <c r="SHV29" s="204"/>
      <c r="SHW29" s="204"/>
      <c r="SHX29" s="204"/>
      <c r="SHY29" s="204"/>
      <c r="SHZ29" s="204"/>
      <c r="SIA29" s="204"/>
      <c r="SIB29" s="204"/>
      <c r="SIC29" s="204"/>
      <c r="SID29" s="204"/>
      <c r="SIE29" s="204"/>
      <c r="SIF29" s="204"/>
      <c r="SIG29" s="204"/>
      <c r="SIH29" s="204"/>
      <c r="SII29" s="204"/>
      <c r="SIJ29" s="204"/>
      <c r="SIK29" s="204"/>
      <c r="SIL29" s="204"/>
      <c r="SIM29" s="204"/>
      <c r="SIN29" s="204"/>
      <c r="SIO29" s="204"/>
      <c r="SIP29" s="204"/>
      <c r="SIQ29" s="204"/>
      <c r="SIR29" s="204"/>
      <c r="SIS29" s="204"/>
      <c r="SIT29" s="204"/>
      <c r="SIU29" s="204"/>
      <c r="SIV29" s="204"/>
      <c r="SIW29" s="204"/>
      <c r="SIX29" s="204"/>
      <c r="SIY29" s="204"/>
      <c r="SIZ29" s="204"/>
      <c r="SJA29" s="204"/>
      <c r="SJB29" s="204"/>
      <c r="SJC29" s="204"/>
      <c r="SJD29" s="204"/>
      <c r="SJE29" s="204"/>
      <c r="SJF29" s="204"/>
      <c r="SJG29" s="204"/>
      <c r="SJH29" s="204"/>
      <c r="SJI29" s="204"/>
      <c r="SJJ29" s="204"/>
      <c r="SJK29" s="204"/>
      <c r="SJL29" s="204"/>
      <c r="SJM29" s="204"/>
      <c r="SJN29" s="204"/>
      <c r="SJO29" s="204"/>
      <c r="SJP29" s="204"/>
      <c r="SJQ29" s="204"/>
      <c r="SJR29" s="204"/>
      <c r="SJS29" s="204"/>
      <c r="SJT29" s="204"/>
      <c r="SJU29" s="204"/>
      <c r="SJV29" s="204"/>
      <c r="SJW29" s="204"/>
      <c r="SJX29" s="204"/>
      <c r="SJY29" s="204"/>
      <c r="SJZ29" s="204"/>
      <c r="SKA29" s="204"/>
      <c r="SKB29" s="204"/>
      <c r="SKC29" s="204"/>
      <c r="SKD29" s="204"/>
      <c r="SKE29" s="204"/>
      <c r="SKF29" s="204"/>
      <c r="SKG29" s="204"/>
      <c r="SKH29" s="204"/>
      <c r="SKI29" s="204"/>
      <c r="SKJ29" s="204"/>
      <c r="SKK29" s="204"/>
      <c r="SKL29" s="204"/>
      <c r="SKM29" s="204"/>
      <c r="SKN29" s="204"/>
      <c r="SKO29" s="204"/>
      <c r="SKP29" s="204"/>
      <c r="SKQ29" s="204"/>
      <c r="SKR29" s="204"/>
      <c r="SKS29" s="204"/>
      <c r="SKT29" s="204"/>
      <c r="SKU29" s="204"/>
      <c r="SKV29" s="204"/>
      <c r="SKW29" s="204"/>
      <c r="SKX29" s="204"/>
      <c r="SKY29" s="204"/>
      <c r="SKZ29" s="204"/>
      <c r="SLA29" s="204"/>
      <c r="SLB29" s="204"/>
      <c r="SLC29" s="204"/>
      <c r="SLD29" s="204"/>
      <c r="SLE29" s="204"/>
      <c r="SLF29" s="204"/>
      <c r="SLG29" s="204"/>
      <c r="SLH29" s="204"/>
      <c r="SLI29" s="204"/>
      <c r="SLJ29" s="204"/>
      <c r="SLK29" s="204"/>
      <c r="SLL29" s="204"/>
      <c r="SLM29" s="204"/>
      <c r="SLN29" s="204"/>
      <c r="SLO29" s="204"/>
      <c r="SLP29" s="204"/>
      <c r="SLQ29" s="204"/>
      <c r="SLR29" s="204"/>
      <c r="SLS29" s="204"/>
      <c r="SLT29" s="204"/>
      <c r="SLU29" s="204"/>
      <c r="SLV29" s="204"/>
      <c r="SLW29" s="204"/>
      <c r="SLX29" s="204"/>
      <c r="SLY29" s="204"/>
      <c r="SLZ29" s="204"/>
      <c r="SMA29" s="204"/>
      <c r="SMB29" s="204"/>
      <c r="SMC29" s="204"/>
      <c r="SMD29" s="204"/>
      <c r="SME29" s="204"/>
      <c r="SMF29" s="204"/>
      <c r="SMG29" s="204"/>
      <c r="SMH29" s="204"/>
      <c r="SMI29" s="204"/>
      <c r="SMJ29" s="204"/>
      <c r="SMK29" s="204"/>
      <c r="SML29" s="204"/>
      <c r="SMM29" s="204"/>
      <c r="SMN29" s="204"/>
      <c r="SMO29" s="204"/>
      <c r="SMP29" s="204"/>
      <c r="SMQ29" s="204"/>
      <c r="SMR29" s="204"/>
      <c r="SMS29" s="204"/>
      <c r="SMT29" s="204"/>
      <c r="SMU29" s="204"/>
      <c r="SMV29" s="204"/>
      <c r="SMW29" s="204"/>
      <c r="SMX29" s="204"/>
      <c r="SMY29" s="204"/>
      <c r="SMZ29" s="204"/>
      <c r="SNA29" s="204"/>
      <c r="SNB29" s="204"/>
      <c r="SNC29" s="204"/>
      <c r="SND29" s="204"/>
      <c r="SNE29" s="204"/>
      <c r="SNF29" s="204"/>
      <c r="SNG29" s="204"/>
      <c r="SNH29" s="204"/>
      <c r="SNI29" s="204"/>
      <c r="SNJ29" s="204"/>
      <c r="SNK29" s="204"/>
      <c r="SNL29" s="204"/>
      <c r="SNM29" s="204"/>
      <c r="SNN29" s="204"/>
      <c r="SNO29" s="204"/>
      <c r="SNP29" s="204"/>
      <c r="SNQ29" s="204"/>
      <c r="SNR29" s="204"/>
      <c r="SNS29" s="204"/>
      <c r="SNT29" s="204"/>
      <c r="SNU29" s="204"/>
      <c r="SNV29" s="204"/>
      <c r="SNW29" s="204"/>
      <c r="SNX29" s="204"/>
      <c r="SNY29" s="204"/>
      <c r="SNZ29" s="204"/>
      <c r="SOA29" s="204"/>
      <c r="SOB29" s="204"/>
      <c r="SOC29" s="204"/>
      <c r="SOD29" s="204"/>
      <c r="SOE29" s="204"/>
      <c r="SOF29" s="204"/>
      <c r="SOG29" s="204"/>
      <c r="SOH29" s="204"/>
      <c r="SOI29" s="204"/>
      <c r="SOJ29" s="204"/>
      <c r="SOK29" s="204"/>
      <c r="SOL29" s="204"/>
      <c r="SOM29" s="204"/>
      <c r="SON29" s="204"/>
      <c r="SOO29" s="204"/>
      <c r="SOP29" s="204"/>
      <c r="SOQ29" s="204"/>
      <c r="SOR29" s="204"/>
      <c r="SOS29" s="204"/>
      <c r="SOT29" s="204"/>
      <c r="SOU29" s="204"/>
      <c r="SOV29" s="204"/>
      <c r="SOW29" s="204"/>
      <c r="SOX29" s="204"/>
      <c r="SOY29" s="204"/>
      <c r="SOZ29" s="204"/>
      <c r="SPA29" s="204"/>
      <c r="SPB29" s="204"/>
      <c r="SPC29" s="204"/>
      <c r="SPD29" s="204"/>
      <c r="SPE29" s="204"/>
      <c r="SPF29" s="204"/>
      <c r="SPG29" s="204"/>
      <c r="SPH29" s="204"/>
      <c r="SPI29" s="204"/>
      <c r="SPJ29" s="204"/>
      <c r="SPK29" s="204"/>
      <c r="SPL29" s="204"/>
      <c r="SPM29" s="204"/>
      <c r="SPN29" s="204"/>
      <c r="SPO29" s="204"/>
      <c r="SPP29" s="204"/>
      <c r="SPQ29" s="204"/>
      <c r="SPR29" s="204"/>
      <c r="SPS29" s="204"/>
      <c r="SPT29" s="204"/>
      <c r="SPU29" s="204"/>
      <c r="SPV29" s="204"/>
      <c r="SPW29" s="204"/>
      <c r="SPX29" s="204"/>
      <c r="SPY29" s="204"/>
      <c r="SPZ29" s="204"/>
      <c r="SQA29" s="204"/>
      <c r="SQB29" s="204"/>
      <c r="SQC29" s="204"/>
      <c r="SQD29" s="204"/>
      <c r="SQE29" s="204"/>
      <c r="SQF29" s="204"/>
      <c r="SQG29" s="204"/>
      <c r="SQH29" s="204"/>
      <c r="SQI29" s="204"/>
      <c r="SQJ29" s="204"/>
      <c r="SQK29" s="204"/>
      <c r="SQL29" s="204"/>
      <c r="SQM29" s="204"/>
      <c r="SQN29" s="204"/>
      <c r="SQO29" s="204"/>
      <c r="SQP29" s="204"/>
      <c r="SQQ29" s="204"/>
      <c r="SQR29" s="204"/>
      <c r="SQS29" s="204"/>
      <c r="SQT29" s="204"/>
      <c r="SQU29" s="204"/>
      <c r="SQV29" s="204"/>
      <c r="SQW29" s="204"/>
      <c r="SQX29" s="204"/>
      <c r="SQY29" s="204"/>
      <c r="SQZ29" s="204"/>
      <c r="SRA29" s="204"/>
      <c r="SRB29" s="204"/>
      <c r="SRC29" s="204"/>
      <c r="SRD29" s="204"/>
      <c r="SRE29" s="204"/>
      <c r="SRF29" s="204"/>
      <c r="SRG29" s="204"/>
      <c r="SRH29" s="204"/>
      <c r="SRI29" s="204"/>
      <c r="SRJ29" s="204"/>
      <c r="SRK29" s="204"/>
      <c r="SRL29" s="204"/>
      <c r="SRM29" s="204"/>
      <c r="SRN29" s="204"/>
      <c r="SRO29" s="204"/>
      <c r="SRP29" s="204"/>
      <c r="SRQ29" s="204"/>
      <c r="SRR29" s="204"/>
      <c r="SRS29" s="204"/>
      <c r="SRT29" s="204"/>
      <c r="SRU29" s="204"/>
      <c r="SRV29" s="204"/>
      <c r="SRW29" s="204"/>
      <c r="SRX29" s="204"/>
      <c r="SRY29" s="204"/>
      <c r="SRZ29" s="204"/>
      <c r="SSA29" s="204"/>
      <c r="SSB29" s="204"/>
      <c r="SSC29" s="204"/>
      <c r="SSD29" s="204"/>
      <c r="SSE29" s="204"/>
      <c r="SSF29" s="204"/>
      <c r="SSG29" s="204"/>
      <c r="SSH29" s="204"/>
      <c r="SSI29" s="204"/>
      <c r="SSJ29" s="204"/>
      <c r="SSK29" s="204"/>
      <c r="SSL29" s="204"/>
      <c r="SSM29" s="204"/>
      <c r="SSN29" s="204"/>
      <c r="SSO29" s="204"/>
      <c r="SSP29" s="204"/>
      <c r="SSQ29" s="204"/>
      <c r="SSR29" s="204"/>
      <c r="SSS29" s="204"/>
      <c r="SST29" s="204"/>
      <c r="SSU29" s="204"/>
      <c r="SSV29" s="204"/>
      <c r="SSW29" s="204"/>
      <c r="SSX29" s="204"/>
      <c r="SSY29" s="204"/>
      <c r="SSZ29" s="204"/>
      <c r="STA29" s="204"/>
      <c r="STB29" s="204"/>
      <c r="STC29" s="204"/>
      <c r="STD29" s="204"/>
      <c r="STE29" s="204"/>
      <c r="STF29" s="204"/>
      <c r="STG29" s="204"/>
      <c r="STH29" s="204"/>
      <c r="STI29" s="204"/>
      <c r="STJ29" s="204"/>
      <c r="STK29" s="204"/>
      <c r="STL29" s="204"/>
      <c r="STM29" s="204"/>
      <c r="STN29" s="204"/>
      <c r="STO29" s="204"/>
      <c r="STP29" s="204"/>
      <c r="STQ29" s="204"/>
      <c r="STR29" s="204"/>
      <c r="STS29" s="204"/>
      <c r="STT29" s="204"/>
      <c r="STU29" s="204"/>
      <c r="STV29" s="204"/>
      <c r="STW29" s="204"/>
      <c r="STX29" s="204"/>
      <c r="STY29" s="204"/>
      <c r="STZ29" s="204"/>
      <c r="SUA29" s="204"/>
      <c r="SUB29" s="204"/>
      <c r="SUC29" s="204"/>
      <c r="SUD29" s="204"/>
      <c r="SUE29" s="204"/>
      <c r="SUF29" s="204"/>
      <c r="SUG29" s="204"/>
      <c r="SUH29" s="204"/>
      <c r="SUI29" s="204"/>
      <c r="SUJ29" s="204"/>
      <c r="SUK29" s="204"/>
      <c r="SUL29" s="204"/>
      <c r="SUM29" s="204"/>
      <c r="SUN29" s="204"/>
      <c r="SUO29" s="204"/>
      <c r="SUP29" s="204"/>
      <c r="SUQ29" s="204"/>
      <c r="SUR29" s="204"/>
      <c r="SUS29" s="204"/>
      <c r="SUT29" s="204"/>
      <c r="SUU29" s="204"/>
      <c r="SUV29" s="204"/>
      <c r="SUW29" s="204"/>
      <c r="SUX29" s="204"/>
      <c r="SUY29" s="204"/>
      <c r="SUZ29" s="204"/>
      <c r="SVA29" s="204"/>
      <c r="SVB29" s="204"/>
      <c r="SVC29" s="204"/>
      <c r="SVD29" s="204"/>
      <c r="SVE29" s="204"/>
      <c r="SVF29" s="204"/>
      <c r="SVG29" s="204"/>
      <c r="SVH29" s="204"/>
      <c r="SVI29" s="204"/>
      <c r="SVJ29" s="204"/>
      <c r="SVK29" s="204"/>
      <c r="SVL29" s="204"/>
      <c r="SVM29" s="204"/>
      <c r="SVN29" s="204"/>
      <c r="SVO29" s="204"/>
      <c r="SVP29" s="204"/>
      <c r="SVQ29" s="204"/>
      <c r="SVR29" s="204"/>
      <c r="SVS29" s="204"/>
      <c r="SVT29" s="204"/>
      <c r="SVU29" s="204"/>
      <c r="SVV29" s="204"/>
      <c r="SVW29" s="204"/>
      <c r="SVX29" s="204"/>
      <c r="SVY29" s="204"/>
      <c r="SVZ29" s="204"/>
      <c r="SWA29" s="204"/>
      <c r="SWB29" s="204"/>
      <c r="SWC29" s="204"/>
      <c r="SWD29" s="204"/>
      <c r="SWE29" s="204"/>
      <c r="SWF29" s="204"/>
      <c r="SWG29" s="204"/>
      <c r="SWH29" s="204"/>
      <c r="SWI29" s="204"/>
      <c r="SWJ29" s="204"/>
      <c r="SWK29" s="204"/>
      <c r="SWL29" s="204"/>
      <c r="SWM29" s="204"/>
      <c r="SWN29" s="204"/>
      <c r="SWO29" s="204"/>
      <c r="SWP29" s="204"/>
      <c r="SWQ29" s="204"/>
      <c r="SWR29" s="204"/>
      <c r="SWS29" s="204"/>
      <c r="SWT29" s="204"/>
      <c r="SWU29" s="204"/>
      <c r="SWV29" s="204"/>
      <c r="SWW29" s="204"/>
      <c r="SWX29" s="204"/>
      <c r="SWY29" s="204"/>
      <c r="SWZ29" s="204"/>
      <c r="SXA29" s="204"/>
      <c r="SXB29" s="204"/>
      <c r="SXC29" s="204"/>
      <c r="SXD29" s="204"/>
      <c r="SXE29" s="204"/>
      <c r="SXF29" s="204"/>
      <c r="SXG29" s="204"/>
      <c r="SXH29" s="204"/>
      <c r="SXI29" s="204"/>
      <c r="SXJ29" s="204"/>
      <c r="SXK29" s="204"/>
      <c r="SXL29" s="204"/>
      <c r="SXM29" s="204"/>
      <c r="SXN29" s="204"/>
      <c r="SXO29" s="204"/>
      <c r="SXP29" s="204"/>
      <c r="SXQ29" s="204"/>
      <c r="SXR29" s="204"/>
      <c r="SXS29" s="204"/>
      <c r="SXT29" s="204"/>
      <c r="SXU29" s="204"/>
      <c r="SXV29" s="204"/>
      <c r="SXW29" s="204"/>
      <c r="SXX29" s="204"/>
      <c r="SXY29" s="204"/>
      <c r="SXZ29" s="204"/>
      <c r="SYA29" s="204"/>
      <c r="SYB29" s="204"/>
      <c r="SYC29" s="204"/>
      <c r="SYD29" s="204"/>
      <c r="SYE29" s="204"/>
      <c r="SYF29" s="204"/>
      <c r="SYG29" s="204"/>
      <c r="SYH29" s="204"/>
      <c r="SYI29" s="204"/>
      <c r="SYJ29" s="204"/>
      <c r="SYK29" s="204"/>
      <c r="SYL29" s="204"/>
      <c r="SYM29" s="204"/>
      <c r="SYN29" s="204"/>
      <c r="SYO29" s="204"/>
      <c r="SYP29" s="204"/>
      <c r="SYQ29" s="204"/>
      <c r="SYR29" s="204"/>
      <c r="SYS29" s="204"/>
      <c r="SYT29" s="204"/>
      <c r="SYU29" s="204"/>
      <c r="SYV29" s="204"/>
      <c r="SYW29" s="204"/>
      <c r="SYX29" s="204"/>
      <c r="SYY29" s="204"/>
      <c r="SYZ29" s="204"/>
      <c r="SZA29" s="204"/>
      <c r="SZB29" s="204"/>
      <c r="SZC29" s="204"/>
      <c r="SZD29" s="204"/>
      <c r="SZE29" s="204"/>
      <c r="SZF29" s="204"/>
      <c r="SZG29" s="204"/>
      <c r="SZH29" s="204"/>
      <c r="SZI29" s="204"/>
      <c r="SZJ29" s="204"/>
      <c r="SZK29" s="204"/>
      <c r="SZL29" s="204"/>
      <c r="SZM29" s="204"/>
      <c r="SZN29" s="204"/>
      <c r="SZO29" s="204"/>
      <c r="SZP29" s="204"/>
      <c r="SZQ29" s="204"/>
      <c r="SZR29" s="204"/>
      <c r="SZS29" s="204"/>
      <c r="SZT29" s="204"/>
      <c r="SZU29" s="204"/>
      <c r="SZV29" s="204"/>
      <c r="SZW29" s="204"/>
      <c r="SZX29" s="204"/>
      <c r="SZY29" s="204"/>
      <c r="SZZ29" s="204"/>
      <c r="TAA29" s="204"/>
      <c r="TAB29" s="204"/>
      <c r="TAC29" s="204"/>
      <c r="TAD29" s="204"/>
      <c r="TAE29" s="204"/>
      <c r="TAF29" s="204"/>
      <c r="TAG29" s="204"/>
      <c r="TAH29" s="204"/>
      <c r="TAI29" s="204"/>
      <c r="TAJ29" s="204"/>
      <c r="TAK29" s="204"/>
      <c r="TAL29" s="204"/>
      <c r="TAM29" s="204"/>
      <c r="TAN29" s="204"/>
      <c r="TAO29" s="204"/>
      <c r="TAP29" s="204"/>
      <c r="TAQ29" s="204"/>
      <c r="TAR29" s="204"/>
      <c r="TAS29" s="204"/>
      <c r="TAT29" s="204"/>
      <c r="TAU29" s="204"/>
      <c r="TAV29" s="204"/>
      <c r="TAW29" s="204"/>
      <c r="TAX29" s="204"/>
      <c r="TAY29" s="204"/>
      <c r="TAZ29" s="204"/>
      <c r="TBA29" s="204"/>
      <c r="TBB29" s="204"/>
      <c r="TBC29" s="204"/>
      <c r="TBD29" s="204"/>
      <c r="TBE29" s="204"/>
      <c r="TBF29" s="204"/>
      <c r="TBG29" s="204"/>
      <c r="TBH29" s="204"/>
      <c r="TBI29" s="204"/>
      <c r="TBJ29" s="204"/>
      <c r="TBK29" s="204"/>
      <c r="TBL29" s="204"/>
      <c r="TBM29" s="204"/>
      <c r="TBN29" s="204"/>
      <c r="TBO29" s="204"/>
      <c r="TBP29" s="204"/>
      <c r="TBQ29" s="204"/>
      <c r="TBR29" s="204"/>
      <c r="TBS29" s="204"/>
      <c r="TBT29" s="204"/>
      <c r="TBU29" s="204"/>
      <c r="TBV29" s="204"/>
      <c r="TBW29" s="204"/>
      <c r="TBX29" s="204"/>
      <c r="TBY29" s="204"/>
      <c r="TBZ29" s="204"/>
      <c r="TCA29" s="204"/>
      <c r="TCB29" s="204"/>
      <c r="TCC29" s="204"/>
      <c r="TCD29" s="204"/>
      <c r="TCE29" s="204"/>
      <c r="TCF29" s="204"/>
      <c r="TCG29" s="204"/>
      <c r="TCH29" s="204"/>
      <c r="TCI29" s="204"/>
      <c r="TCJ29" s="204"/>
      <c r="TCK29" s="204"/>
      <c r="TCL29" s="204"/>
      <c r="TCM29" s="204"/>
      <c r="TCN29" s="204"/>
      <c r="TCO29" s="204"/>
      <c r="TCP29" s="204"/>
      <c r="TCQ29" s="204"/>
      <c r="TCR29" s="204"/>
      <c r="TCS29" s="204"/>
      <c r="TCT29" s="204"/>
      <c r="TCU29" s="204"/>
      <c r="TCV29" s="204"/>
      <c r="TCW29" s="204"/>
      <c r="TCX29" s="204"/>
      <c r="TCY29" s="204"/>
      <c r="TCZ29" s="204"/>
      <c r="TDA29" s="204"/>
      <c r="TDB29" s="204"/>
      <c r="TDC29" s="204"/>
      <c r="TDD29" s="204"/>
      <c r="TDE29" s="204"/>
      <c r="TDF29" s="204"/>
      <c r="TDG29" s="204"/>
      <c r="TDH29" s="204"/>
      <c r="TDI29" s="204"/>
      <c r="TDJ29" s="204"/>
      <c r="TDK29" s="204"/>
      <c r="TDL29" s="204"/>
      <c r="TDM29" s="204"/>
      <c r="TDN29" s="204"/>
      <c r="TDO29" s="204"/>
      <c r="TDP29" s="204"/>
      <c r="TDQ29" s="204"/>
      <c r="TDR29" s="204"/>
      <c r="TDS29" s="204"/>
      <c r="TDT29" s="204"/>
      <c r="TDU29" s="204"/>
      <c r="TDV29" s="204"/>
      <c r="TDW29" s="204"/>
      <c r="TDX29" s="204"/>
      <c r="TDY29" s="204"/>
      <c r="TDZ29" s="204"/>
      <c r="TEA29" s="204"/>
      <c r="TEB29" s="204"/>
      <c r="TEC29" s="204"/>
      <c r="TED29" s="204"/>
      <c r="TEE29" s="204"/>
      <c r="TEF29" s="204"/>
      <c r="TEG29" s="204"/>
      <c r="TEH29" s="204"/>
      <c r="TEI29" s="204"/>
      <c r="TEJ29" s="204"/>
      <c r="TEK29" s="204"/>
      <c r="TEL29" s="204"/>
      <c r="TEM29" s="204"/>
      <c r="TEN29" s="204"/>
      <c r="TEO29" s="204"/>
      <c r="TEP29" s="204"/>
      <c r="TEQ29" s="204"/>
      <c r="TER29" s="204"/>
      <c r="TES29" s="204"/>
      <c r="TET29" s="204"/>
      <c r="TEU29" s="204"/>
      <c r="TEV29" s="204"/>
      <c r="TEW29" s="204"/>
      <c r="TEX29" s="204"/>
      <c r="TEY29" s="204"/>
      <c r="TEZ29" s="204"/>
      <c r="TFA29" s="204"/>
      <c r="TFB29" s="204"/>
      <c r="TFC29" s="204"/>
      <c r="TFD29" s="204"/>
      <c r="TFE29" s="204"/>
      <c r="TFF29" s="204"/>
      <c r="TFG29" s="204"/>
      <c r="TFH29" s="204"/>
      <c r="TFI29" s="204"/>
      <c r="TFJ29" s="204"/>
      <c r="TFK29" s="204"/>
      <c r="TFL29" s="204"/>
      <c r="TFM29" s="204"/>
      <c r="TFN29" s="204"/>
      <c r="TFO29" s="204"/>
      <c r="TFP29" s="204"/>
      <c r="TFQ29" s="204"/>
      <c r="TFR29" s="204"/>
      <c r="TFS29" s="204"/>
      <c r="TFT29" s="204"/>
      <c r="TFU29" s="204"/>
      <c r="TFV29" s="204"/>
      <c r="TFW29" s="204"/>
      <c r="TFX29" s="204"/>
      <c r="TFY29" s="204"/>
      <c r="TFZ29" s="204"/>
      <c r="TGA29" s="204"/>
      <c r="TGB29" s="204"/>
      <c r="TGC29" s="204"/>
      <c r="TGD29" s="204"/>
      <c r="TGE29" s="204"/>
      <c r="TGF29" s="204"/>
      <c r="TGG29" s="204"/>
      <c r="TGH29" s="204"/>
      <c r="TGI29" s="204"/>
      <c r="TGJ29" s="204"/>
      <c r="TGK29" s="204"/>
      <c r="TGL29" s="204"/>
      <c r="TGM29" s="204"/>
      <c r="TGN29" s="204"/>
      <c r="TGO29" s="204"/>
      <c r="TGP29" s="204"/>
      <c r="TGQ29" s="204"/>
      <c r="TGR29" s="204"/>
      <c r="TGS29" s="204"/>
      <c r="TGT29" s="204"/>
      <c r="TGU29" s="204"/>
      <c r="TGV29" s="204"/>
      <c r="TGW29" s="204"/>
      <c r="TGX29" s="204"/>
      <c r="TGY29" s="204"/>
      <c r="TGZ29" s="204"/>
      <c r="THA29" s="204"/>
      <c r="THB29" s="204"/>
      <c r="THC29" s="204"/>
      <c r="THD29" s="204"/>
      <c r="THE29" s="204"/>
      <c r="THF29" s="204"/>
      <c r="THG29" s="204"/>
      <c r="THH29" s="204"/>
      <c r="THI29" s="204"/>
      <c r="THJ29" s="204"/>
      <c r="THK29" s="204"/>
      <c r="THL29" s="204"/>
      <c r="THM29" s="204"/>
      <c r="THN29" s="204"/>
      <c r="THO29" s="204"/>
      <c r="THP29" s="204"/>
      <c r="THQ29" s="204"/>
      <c r="THR29" s="204"/>
      <c r="THS29" s="204"/>
      <c r="THT29" s="204"/>
      <c r="THU29" s="204"/>
      <c r="THV29" s="204"/>
      <c r="THW29" s="204"/>
      <c r="THX29" s="204"/>
      <c r="THY29" s="204"/>
      <c r="THZ29" s="204"/>
      <c r="TIA29" s="204"/>
      <c r="TIB29" s="204"/>
      <c r="TIC29" s="204"/>
      <c r="TID29" s="204"/>
      <c r="TIE29" s="204"/>
      <c r="TIF29" s="204"/>
      <c r="TIG29" s="204"/>
      <c r="TIH29" s="204"/>
      <c r="TII29" s="204"/>
      <c r="TIJ29" s="204"/>
      <c r="TIK29" s="204"/>
      <c r="TIL29" s="204"/>
      <c r="TIM29" s="204"/>
      <c r="TIN29" s="204"/>
      <c r="TIO29" s="204"/>
      <c r="TIP29" s="204"/>
      <c r="TIQ29" s="204"/>
      <c r="TIR29" s="204"/>
      <c r="TIS29" s="204"/>
      <c r="TIT29" s="204"/>
      <c r="TIU29" s="204"/>
      <c r="TIV29" s="204"/>
      <c r="TIW29" s="204"/>
      <c r="TIX29" s="204"/>
      <c r="TIY29" s="204"/>
      <c r="TIZ29" s="204"/>
      <c r="TJA29" s="204"/>
      <c r="TJB29" s="204"/>
      <c r="TJC29" s="204"/>
      <c r="TJD29" s="204"/>
      <c r="TJE29" s="204"/>
      <c r="TJF29" s="204"/>
      <c r="TJG29" s="204"/>
      <c r="TJH29" s="204"/>
      <c r="TJI29" s="204"/>
      <c r="TJJ29" s="204"/>
      <c r="TJK29" s="204"/>
      <c r="TJL29" s="204"/>
      <c r="TJM29" s="204"/>
      <c r="TJN29" s="204"/>
      <c r="TJO29" s="204"/>
      <c r="TJP29" s="204"/>
      <c r="TJQ29" s="204"/>
      <c r="TJR29" s="204"/>
      <c r="TJS29" s="204"/>
      <c r="TJT29" s="204"/>
      <c r="TJU29" s="204"/>
      <c r="TJV29" s="204"/>
      <c r="TJW29" s="204"/>
      <c r="TJX29" s="204"/>
      <c r="TJY29" s="204"/>
      <c r="TJZ29" s="204"/>
      <c r="TKA29" s="204"/>
      <c r="TKB29" s="204"/>
      <c r="TKC29" s="204"/>
      <c r="TKD29" s="204"/>
      <c r="TKE29" s="204"/>
      <c r="TKF29" s="204"/>
      <c r="TKG29" s="204"/>
      <c r="TKH29" s="204"/>
      <c r="TKI29" s="204"/>
      <c r="TKJ29" s="204"/>
      <c r="TKK29" s="204"/>
      <c r="TKL29" s="204"/>
      <c r="TKM29" s="204"/>
      <c r="TKN29" s="204"/>
      <c r="TKO29" s="204"/>
      <c r="TKP29" s="204"/>
      <c r="TKQ29" s="204"/>
      <c r="TKR29" s="204"/>
      <c r="TKS29" s="204"/>
      <c r="TKT29" s="204"/>
      <c r="TKU29" s="204"/>
      <c r="TKV29" s="204"/>
      <c r="TKW29" s="204"/>
      <c r="TKX29" s="204"/>
      <c r="TKY29" s="204"/>
      <c r="TKZ29" s="204"/>
      <c r="TLA29" s="204"/>
      <c r="TLB29" s="204"/>
      <c r="TLC29" s="204"/>
      <c r="TLD29" s="204"/>
      <c r="TLE29" s="204"/>
      <c r="TLF29" s="204"/>
      <c r="TLG29" s="204"/>
      <c r="TLH29" s="204"/>
      <c r="TLI29" s="204"/>
      <c r="TLJ29" s="204"/>
      <c r="TLK29" s="204"/>
      <c r="TLL29" s="204"/>
      <c r="TLM29" s="204"/>
      <c r="TLN29" s="204"/>
      <c r="TLO29" s="204"/>
      <c r="TLP29" s="204"/>
      <c r="TLQ29" s="204"/>
      <c r="TLR29" s="204"/>
      <c r="TLS29" s="204"/>
      <c r="TLT29" s="204"/>
      <c r="TLU29" s="204"/>
      <c r="TLV29" s="204"/>
      <c r="TLW29" s="204"/>
      <c r="TLX29" s="204"/>
      <c r="TLY29" s="204"/>
      <c r="TLZ29" s="204"/>
      <c r="TMA29" s="204"/>
      <c r="TMB29" s="204"/>
      <c r="TMC29" s="204"/>
      <c r="TMD29" s="204"/>
      <c r="TME29" s="204"/>
      <c r="TMF29" s="204"/>
      <c r="TMG29" s="204"/>
      <c r="TMH29" s="204"/>
      <c r="TMI29" s="204"/>
      <c r="TMJ29" s="204"/>
      <c r="TMK29" s="204"/>
      <c r="TML29" s="204"/>
      <c r="TMM29" s="204"/>
      <c r="TMN29" s="204"/>
      <c r="TMO29" s="204"/>
      <c r="TMP29" s="204"/>
      <c r="TMQ29" s="204"/>
      <c r="TMR29" s="204"/>
      <c r="TMS29" s="204"/>
      <c r="TMT29" s="204"/>
      <c r="TMU29" s="204"/>
      <c r="TMV29" s="204"/>
      <c r="TMW29" s="204"/>
      <c r="TMX29" s="204"/>
      <c r="TMY29" s="204"/>
      <c r="TMZ29" s="204"/>
      <c r="TNA29" s="204"/>
      <c r="TNB29" s="204"/>
      <c r="TNC29" s="204"/>
      <c r="TND29" s="204"/>
      <c r="TNE29" s="204"/>
      <c r="TNF29" s="204"/>
      <c r="TNG29" s="204"/>
      <c r="TNH29" s="204"/>
      <c r="TNI29" s="204"/>
      <c r="TNJ29" s="204"/>
      <c r="TNK29" s="204"/>
      <c r="TNL29" s="204"/>
      <c r="TNM29" s="204"/>
      <c r="TNN29" s="204"/>
      <c r="TNO29" s="204"/>
      <c r="TNP29" s="204"/>
      <c r="TNQ29" s="204"/>
      <c r="TNR29" s="204"/>
      <c r="TNS29" s="204"/>
      <c r="TNT29" s="204"/>
      <c r="TNU29" s="204"/>
      <c r="TNV29" s="204"/>
      <c r="TNW29" s="204"/>
      <c r="TNX29" s="204"/>
      <c r="TNY29" s="204"/>
      <c r="TNZ29" s="204"/>
      <c r="TOA29" s="204"/>
      <c r="TOB29" s="204"/>
      <c r="TOC29" s="204"/>
      <c r="TOD29" s="204"/>
      <c r="TOE29" s="204"/>
      <c r="TOF29" s="204"/>
      <c r="TOG29" s="204"/>
      <c r="TOH29" s="204"/>
      <c r="TOI29" s="204"/>
      <c r="TOJ29" s="204"/>
      <c r="TOK29" s="204"/>
      <c r="TOL29" s="204"/>
      <c r="TOM29" s="204"/>
      <c r="TON29" s="204"/>
      <c r="TOO29" s="204"/>
      <c r="TOP29" s="204"/>
      <c r="TOQ29" s="204"/>
      <c r="TOR29" s="204"/>
      <c r="TOS29" s="204"/>
      <c r="TOT29" s="204"/>
      <c r="TOU29" s="204"/>
      <c r="TOV29" s="204"/>
      <c r="TOW29" s="204"/>
      <c r="TOX29" s="204"/>
      <c r="TOY29" s="204"/>
      <c r="TOZ29" s="204"/>
      <c r="TPA29" s="204"/>
      <c r="TPB29" s="204"/>
      <c r="TPC29" s="204"/>
      <c r="TPD29" s="204"/>
      <c r="TPE29" s="204"/>
      <c r="TPF29" s="204"/>
      <c r="TPG29" s="204"/>
      <c r="TPH29" s="204"/>
      <c r="TPI29" s="204"/>
      <c r="TPJ29" s="204"/>
      <c r="TPK29" s="204"/>
      <c r="TPL29" s="204"/>
      <c r="TPM29" s="204"/>
      <c r="TPN29" s="204"/>
      <c r="TPO29" s="204"/>
      <c r="TPP29" s="204"/>
      <c r="TPQ29" s="204"/>
      <c r="TPR29" s="204"/>
      <c r="TPS29" s="204"/>
      <c r="TPT29" s="204"/>
      <c r="TPU29" s="204"/>
      <c r="TPV29" s="204"/>
      <c r="TPW29" s="204"/>
      <c r="TPX29" s="204"/>
      <c r="TPY29" s="204"/>
      <c r="TPZ29" s="204"/>
      <c r="TQA29" s="204"/>
      <c r="TQB29" s="204"/>
      <c r="TQC29" s="204"/>
      <c r="TQD29" s="204"/>
      <c r="TQE29" s="204"/>
      <c r="TQF29" s="204"/>
      <c r="TQG29" s="204"/>
      <c r="TQH29" s="204"/>
      <c r="TQI29" s="204"/>
      <c r="TQJ29" s="204"/>
      <c r="TQK29" s="204"/>
      <c r="TQL29" s="204"/>
      <c r="TQM29" s="204"/>
      <c r="TQN29" s="204"/>
      <c r="TQO29" s="204"/>
      <c r="TQP29" s="204"/>
      <c r="TQQ29" s="204"/>
      <c r="TQR29" s="204"/>
      <c r="TQS29" s="204"/>
      <c r="TQT29" s="204"/>
      <c r="TQU29" s="204"/>
      <c r="TQV29" s="204"/>
      <c r="TQW29" s="204"/>
      <c r="TQX29" s="204"/>
      <c r="TQY29" s="204"/>
      <c r="TQZ29" s="204"/>
      <c r="TRA29" s="204"/>
      <c r="TRB29" s="204"/>
      <c r="TRC29" s="204"/>
      <c r="TRD29" s="204"/>
      <c r="TRE29" s="204"/>
      <c r="TRF29" s="204"/>
      <c r="TRG29" s="204"/>
      <c r="TRH29" s="204"/>
      <c r="TRI29" s="204"/>
      <c r="TRJ29" s="204"/>
      <c r="TRK29" s="204"/>
      <c r="TRL29" s="204"/>
      <c r="TRM29" s="204"/>
      <c r="TRN29" s="204"/>
      <c r="TRO29" s="204"/>
      <c r="TRP29" s="204"/>
      <c r="TRQ29" s="204"/>
      <c r="TRR29" s="204"/>
      <c r="TRS29" s="204"/>
      <c r="TRT29" s="204"/>
      <c r="TRU29" s="204"/>
      <c r="TRV29" s="204"/>
      <c r="TRW29" s="204"/>
      <c r="TRX29" s="204"/>
      <c r="TRY29" s="204"/>
      <c r="TRZ29" s="204"/>
      <c r="TSA29" s="204"/>
      <c r="TSB29" s="204"/>
      <c r="TSC29" s="204"/>
      <c r="TSD29" s="204"/>
      <c r="TSE29" s="204"/>
      <c r="TSF29" s="204"/>
      <c r="TSG29" s="204"/>
      <c r="TSH29" s="204"/>
      <c r="TSI29" s="204"/>
      <c r="TSJ29" s="204"/>
      <c r="TSK29" s="204"/>
      <c r="TSL29" s="204"/>
      <c r="TSM29" s="204"/>
      <c r="TSN29" s="204"/>
      <c r="TSO29" s="204"/>
      <c r="TSP29" s="204"/>
      <c r="TSQ29" s="204"/>
      <c r="TSR29" s="204"/>
      <c r="TSS29" s="204"/>
      <c r="TST29" s="204"/>
      <c r="TSU29" s="204"/>
      <c r="TSV29" s="204"/>
      <c r="TSW29" s="204"/>
      <c r="TSX29" s="204"/>
      <c r="TSY29" s="204"/>
      <c r="TSZ29" s="204"/>
      <c r="TTA29" s="204"/>
      <c r="TTB29" s="204"/>
      <c r="TTC29" s="204"/>
      <c r="TTD29" s="204"/>
      <c r="TTE29" s="204"/>
      <c r="TTF29" s="204"/>
      <c r="TTG29" s="204"/>
      <c r="TTH29" s="204"/>
      <c r="TTI29" s="204"/>
      <c r="TTJ29" s="204"/>
      <c r="TTK29" s="204"/>
      <c r="TTL29" s="204"/>
      <c r="TTM29" s="204"/>
      <c r="TTN29" s="204"/>
      <c r="TTO29" s="204"/>
      <c r="TTP29" s="204"/>
      <c r="TTQ29" s="204"/>
      <c r="TTR29" s="204"/>
      <c r="TTS29" s="204"/>
      <c r="TTT29" s="204"/>
      <c r="TTU29" s="204"/>
      <c r="TTV29" s="204"/>
      <c r="TTW29" s="204"/>
      <c r="TTX29" s="204"/>
      <c r="TTY29" s="204"/>
      <c r="TTZ29" s="204"/>
      <c r="TUA29" s="204"/>
      <c r="TUB29" s="204"/>
      <c r="TUC29" s="204"/>
      <c r="TUD29" s="204"/>
      <c r="TUE29" s="204"/>
      <c r="TUF29" s="204"/>
      <c r="TUG29" s="204"/>
      <c r="TUH29" s="204"/>
      <c r="TUI29" s="204"/>
      <c r="TUJ29" s="204"/>
      <c r="TUK29" s="204"/>
      <c r="TUL29" s="204"/>
      <c r="TUM29" s="204"/>
      <c r="TUN29" s="204"/>
      <c r="TUO29" s="204"/>
      <c r="TUP29" s="204"/>
      <c r="TUQ29" s="204"/>
      <c r="TUR29" s="204"/>
      <c r="TUS29" s="204"/>
      <c r="TUT29" s="204"/>
      <c r="TUU29" s="204"/>
      <c r="TUV29" s="204"/>
      <c r="TUW29" s="204"/>
      <c r="TUX29" s="204"/>
      <c r="TUY29" s="204"/>
      <c r="TUZ29" s="204"/>
      <c r="TVA29" s="204"/>
      <c r="TVB29" s="204"/>
      <c r="TVC29" s="204"/>
      <c r="TVD29" s="204"/>
      <c r="TVE29" s="204"/>
      <c r="TVF29" s="204"/>
      <c r="TVG29" s="204"/>
      <c r="TVH29" s="204"/>
      <c r="TVI29" s="204"/>
      <c r="TVJ29" s="204"/>
      <c r="TVK29" s="204"/>
      <c r="TVL29" s="204"/>
      <c r="TVM29" s="204"/>
      <c r="TVN29" s="204"/>
      <c r="TVO29" s="204"/>
      <c r="TVP29" s="204"/>
      <c r="TVQ29" s="204"/>
      <c r="TVR29" s="204"/>
      <c r="TVS29" s="204"/>
      <c r="TVT29" s="204"/>
      <c r="TVU29" s="204"/>
      <c r="TVV29" s="204"/>
      <c r="TVW29" s="204"/>
      <c r="TVX29" s="204"/>
      <c r="TVY29" s="204"/>
      <c r="TVZ29" s="204"/>
      <c r="TWA29" s="204"/>
      <c r="TWB29" s="204"/>
      <c r="TWC29" s="204"/>
      <c r="TWD29" s="204"/>
      <c r="TWE29" s="204"/>
      <c r="TWF29" s="204"/>
      <c r="TWG29" s="204"/>
      <c r="TWH29" s="204"/>
      <c r="TWI29" s="204"/>
      <c r="TWJ29" s="204"/>
      <c r="TWK29" s="204"/>
      <c r="TWL29" s="204"/>
      <c r="TWM29" s="204"/>
      <c r="TWN29" s="204"/>
      <c r="TWO29" s="204"/>
      <c r="TWP29" s="204"/>
      <c r="TWQ29" s="204"/>
      <c r="TWR29" s="204"/>
      <c r="TWS29" s="204"/>
      <c r="TWT29" s="204"/>
      <c r="TWU29" s="204"/>
      <c r="TWV29" s="204"/>
      <c r="TWW29" s="204"/>
      <c r="TWX29" s="204"/>
      <c r="TWY29" s="204"/>
      <c r="TWZ29" s="204"/>
      <c r="TXA29" s="204"/>
      <c r="TXB29" s="204"/>
      <c r="TXC29" s="204"/>
      <c r="TXD29" s="204"/>
      <c r="TXE29" s="204"/>
      <c r="TXF29" s="204"/>
      <c r="TXG29" s="204"/>
      <c r="TXH29" s="204"/>
      <c r="TXI29" s="204"/>
      <c r="TXJ29" s="204"/>
      <c r="TXK29" s="204"/>
      <c r="TXL29" s="204"/>
      <c r="TXM29" s="204"/>
      <c r="TXN29" s="204"/>
      <c r="TXO29" s="204"/>
      <c r="TXP29" s="204"/>
      <c r="TXQ29" s="204"/>
      <c r="TXR29" s="204"/>
      <c r="TXS29" s="204"/>
      <c r="TXT29" s="204"/>
      <c r="TXU29" s="204"/>
      <c r="TXV29" s="204"/>
      <c r="TXW29" s="204"/>
      <c r="TXX29" s="204"/>
      <c r="TXY29" s="204"/>
      <c r="TXZ29" s="204"/>
      <c r="TYA29" s="204"/>
      <c r="TYB29" s="204"/>
      <c r="TYC29" s="204"/>
      <c r="TYD29" s="204"/>
      <c r="TYE29" s="204"/>
      <c r="TYF29" s="204"/>
      <c r="TYG29" s="204"/>
      <c r="TYH29" s="204"/>
      <c r="TYI29" s="204"/>
      <c r="TYJ29" s="204"/>
      <c r="TYK29" s="204"/>
      <c r="TYL29" s="204"/>
      <c r="TYM29" s="204"/>
      <c r="TYN29" s="204"/>
      <c r="TYO29" s="204"/>
      <c r="TYP29" s="204"/>
      <c r="TYQ29" s="204"/>
      <c r="TYR29" s="204"/>
      <c r="TYS29" s="204"/>
      <c r="TYT29" s="204"/>
      <c r="TYU29" s="204"/>
      <c r="TYV29" s="204"/>
      <c r="TYW29" s="204"/>
      <c r="TYX29" s="204"/>
      <c r="TYY29" s="204"/>
      <c r="TYZ29" s="204"/>
      <c r="TZA29" s="204"/>
      <c r="TZB29" s="204"/>
      <c r="TZC29" s="204"/>
      <c r="TZD29" s="204"/>
      <c r="TZE29" s="204"/>
      <c r="TZF29" s="204"/>
      <c r="TZG29" s="204"/>
      <c r="TZH29" s="204"/>
      <c r="TZI29" s="204"/>
      <c r="TZJ29" s="204"/>
      <c r="TZK29" s="204"/>
      <c r="TZL29" s="204"/>
      <c r="TZM29" s="204"/>
      <c r="TZN29" s="204"/>
      <c r="TZO29" s="204"/>
      <c r="TZP29" s="204"/>
      <c r="TZQ29" s="204"/>
      <c r="TZR29" s="204"/>
      <c r="TZS29" s="204"/>
      <c r="TZT29" s="204"/>
      <c r="TZU29" s="204"/>
      <c r="TZV29" s="204"/>
      <c r="TZW29" s="204"/>
      <c r="TZX29" s="204"/>
      <c r="TZY29" s="204"/>
      <c r="TZZ29" s="204"/>
      <c r="UAA29" s="204"/>
      <c r="UAB29" s="204"/>
      <c r="UAC29" s="204"/>
      <c r="UAD29" s="204"/>
      <c r="UAE29" s="204"/>
      <c r="UAF29" s="204"/>
      <c r="UAG29" s="204"/>
      <c r="UAH29" s="204"/>
      <c r="UAI29" s="204"/>
      <c r="UAJ29" s="204"/>
      <c r="UAK29" s="204"/>
      <c r="UAL29" s="204"/>
      <c r="UAM29" s="204"/>
      <c r="UAN29" s="204"/>
      <c r="UAO29" s="204"/>
      <c r="UAP29" s="204"/>
      <c r="UAQ29" s="204"/>
      <c r="UAR29" s="204"/>
      <c r="UAS29" s="204"/>
      <c r="UAT29" s="204"/>
      <c r="UAU29" s="204"/>
      <c r="UAV29" s="204"/>
      <c r="UAW29" s="204"/>
      <c r="UAX29" s="204"/>
      <c r="UAY29" s="204"/>
      <c r="UAZ29" s="204"/>
      <c r="UBA29" s="204"/>
      <c r="UBB29" s="204"/>
      <c r="UBC29" s="204"/>
      <c r="UBD29" s="204"/>
      <c r="UBE29" s="204"/>
      <c r="UBF29" s="204"/>
      <c r="UBG29" s="204"/>
      <c r="UBH29" s="204"/>
      <c r="UBI29" s="204"/>
      <c r="UBJ29" s="204"/>
      <c r="UBK29" s="204"/>
      <c r="UBL29" s="204"/>
      <c r="UBM29" s="204"/>
      <c r="UBN29" s="204"/>
      <c r="UBO29" s="204"/>
      <c r="UBP29" s="204"/>
      <c r="UBQ29" s="204"/>
      <c r="UBR29" s="204"/>
      <c r="UBS29" s="204"/>
      <c r="UBT29" s="204"/>
      <c r="UBU29" s="204"/>
      <c r="UBV29" s="204"/>
      <c r="UBW29" s="204"/>
      <c r="UBX29" s="204"/>
      <c r="UBY29" s="204"/>
      <c r="UBZ29" s="204"/>
      <c r="UCA29" s="204"/>
      <c r="UCB29" s="204"/>
      <c r="UCC29" s="204"/>
      <c r="UCD29" s="204"/>
      <c r="UCE29" s="204"/>
      <c r="UCF29" s="204"/>
      <c r="UCG29" s="204"/>
      <c r="UCH29" s="204"/>
      <c r="UCI29" s="204"/>
      <c r="UCJ29" s="204"/>
      <c r="UCK29" s="204"/>
      <c r="UCL29" s="204"/>
      <c r="UCM29" s="204"/>
      <c r="UCN29" s="204"/>
      <c r="UCO29" s="204"/>
      <c r="UCP29" s="204"/>
      <c r="UCQ29" s="204"/>
      <c r="UCR29" s="204"/>
      <c r="UCS29" s="204"/>
      <c r="UCT29" s="204"/>
      <c r="UCU29" s="204"/>
      <c r="UCV29" s="204"/>
      <c r="UCW29" s="204"/>
      <c r="UCX29" s="204"/>
      <c r="UCY29" s="204"/>
      <c r="UCZ29" s="204"/>
      <c r="UDA29" s="204"/>
      <c r="UDB29" s="204"/>
      <c r="UDC29" s="204"/>
      <c r="UDD29" s="204"/>
      <c r="UDE29" s="204"/>
      <c r="UDF29" s="204"/>
      <c r="UDG29" s="204"/>
      <c r="UDH29" s="204"/>
      <c r="UDI29" s="204"/>
      <c r="UDJ29" s="204"/>
      <c r="UDK29" s="204"/>
      <c r="UDL29" s="204"/>
      <c r="UDM29" s="204"/>
      <c r="UDN29" s="204"/>
      <c r="UDO29" s="204"/>
      <c r="UDP29" s="204"/>
      <c r="UDQ29" s="204"/>
      <c r="UDR29" s="204"/>
      <c r="UDS29" s="204"/>
      <c r="UDT29" s="204"/>
      <c r="UDU29" s="204"/>
      <c r="UDV29" s="204"/>
      <c r="UDW29" s="204"/>
      <c r="UDX29" s="204"/>
      <c r="UDY29" s="204"/>
      <c r="UDZ29" s="204"/>
      <c r="UEA29" s="204"/>
      <c r="UEB29" s="204"/>
      <c r="UEC29" s="204"/>
      <c r="UED29" s="204"/>
      <c r="UEE29" s="204"/>
      <c r="UEF29" s="204"/>
      <c r="UEG29" s="204"/>
      <c r="UEH29" s="204"/>
      <c r="UEI29" s="204"/>
      <c r="UEJ29" s="204"/>
      <c r="UEK29" s="204"/>
      <c r="UEL29" s="204"/>
      <c r="UEM29" s="204"/>
      <c r="UEN29" s="204"/>
      <c r="UEO29" s="204"/>
      <c r="UEP29" s="204"/>
      <c r="UEQ29" s="204"/>
      <c r="UER29" s="204"/>
      <c r="UES29" s="204"/>
      <c r="UET29" s="204"/>
      <c r="UEU29" s="204"/>
      <c r="UEV29" s="204"/>
      <c r="UEW29" s="204"/>
      <c r="UEX29" s="204"/>
      <c r="UEY29" s="204"/>
      <c r="UEZ29" s="204"/>
      <c r="UFA29" s="204"/>
      <c r="UFB29" s="204"/>
      <c r="UFC29" s="204"/>
      <c r="UFD29" s="204"/>
      <c r="UFE29" s="204"/>
      <c r="UFF29" s="204"/>
      <c r="UFG29" s="204"/>
      <c r="UFH29" s="204"/>
      <c r="UFI29" s="204"/>
      <c r="UFJ29" s="204"/>
      <c r="UFK29" s="204"/>
      <c r="UFL29" s="204"/>
      <c r="UFM29" s="204"/>
      <c r="UFN29" s="204"/>
      <c r="UFO29" s="204"/>
      <c r="UFP29" s="204"/>
      <c r="UFQ29" s="204"/>
      <c r="UFR29" s="204"/>
      <c r="UFS29" s="204"/>
      <c r="UFT29" s="204"/>
      <c r="UFU29" s="204"/>
      <c r="UFV29" s="204"/>
      <c r="UFW29" s="204"/>
      <c r="UFX29" s="204"/>
      <c r="UFY29" s="204"/>
      <c r="UFZ29" s="204"/>
      <c r="UGA29" s="204"/>
      <c r="UGB29" s="204"/>
      <c r="UGC29" s="204"/>
      <c r="UGD29" s="204"/>
      <c r="UGE29" s="204"/>
      <c r="UGF29" s="204"/>
      <c r="UGG29" s="204"/>
      <c r="UGH29" s="204"/>
      <c r="UGI29" s="204"/>
      <c r="UGJ29" s="204"/>
      <c r="UGK29" s="204"/>
      <c r="UGL29" s="204"/>
      <c r="UGM29" s="204"/>
      <c r="UGN29" s="204"/>
      <c r="UGO29" s="204"/>
      <c r="UGP29" s="204"/>
      <c r="UGQ29" s="204"/>
      <c r="UGR29" s="204"/>
      <c r="UGS29" s="204"/>
      <c r="UGT29" s="204"/>
      <c r="UGU29" s="204"/>
      <c r="UGV29" s="204"/>
      <c r="UGW29" s="204"/>
      <c r="UGX29" s="204"/>
      <c r="UGY29" s="204"/>
      <c r="UGZ29" s="204"/>
      <c r="UHA29" s="204"/>
      <c r="UHB29" s="204"/>
      <c r="UHC29" s="204"/>
      <c r="UHD29" s="204"/>
      <c r="UHE29" s="204"/>
      <c r="UHF29" s="204"/>
      <c r="UHG29" s="204"/>
      <c r="UHH29" s="204"/>
      <c r="UHI29" s="204"/>
      <c r="UHJ29" s="204"/>
      <c r="UHK29" s="204"/>
      <c r="UHL29" s="204"/>
      <c r="UHM29" s="204"/>
      <c r="UHN29" s="204"/>
      <c r="UHO29" s="204"/>
      <c r="UHP29" s="204"/>
      <c r="UHQ29" s="204"/>
      <c r="UHR29" s="204"/>
      <c r="UHS29" s="204"/>
      <c r="UHT29" s="204"/>
      <c r="UHU29" s="204"/>
      <c r="UHV29" s="204"/>
      <c r="UHW29" s="204"/>
      <c r="UHX29" s="204"/>
      <c r="UHY29" s="204"/>
      <c r="UHZ29" s="204"/>
      <c r="UIA29" s="204"/>
      <c r="UIB29" s="204"/>
      <c r="UIC29" s="204"/>
      <c r="UID29" s="204"/>
      <c r="UIE29" s="204"/>
      <c r="UIF29" s="204"/>
      <c r="UIG29" s="204"/>
      <c r="UIH29" s="204"/>
      <c r="UII29" s="204"/>
      <c r="UIJ29" s="204"/>
      <c r="UIK29" s="204"/>
      <c r="UIL29" s="204"/>
      <c r="UIM29" s="204"/>
      <c r="UIN29" s="204"/>
      <c r="UIO29" s="204"/>
      <c r="UIP29" s="204"/>
      <c r="UIQ29" s="204"/>
      <c r="UIR29" s="204"/>
      <c r="UIS29" s="204"/>
      <c r="UIT29" s="204"/>
      <c r="UIU29" s="204"/>
      <c r="UIV29" s="204"/>
      <c r="UIW29" s="204"/>
      <c r="UIX29" s="204"/>
      <c r="UIY29" s="204"/>
      <c r="UIZ29" s="204"/>
      <c r="UJA29" s="204"/>
      <c r="UJB29" s="204"/>
      <c r="UJC29" s="204"/>
      <c r="UJD29" s="204"/>
      <c r="UJE29" s="204"/>
      <c r="UJF29" s="204"/>
      <c r="UJG29" s="204"/>
      <c r="UJH29" s="204"/>
      <c r="UJI29" s="204"/>
      <c r="UJJ29" s="204"/>
      <c r="UJK29" s="204"/>
      <c r="UJL29" s="204"/>
      <c r="UJM29" s="204"/>
      <c r="UJN29" s="204"/>
      <c r="UJO29" s="204"/>
      <c r="UJP29" s="204"/>
      <c r="UJQ29" s="204"/>
      <c r="UJR29" s="204"/>
      <c r="UJS29" s="204"/>
      <c r="UJT29" s="204"/>
      <c r="UJU29" s="204"/>
      <c r="UJV29" s="204"/>
      <c r="UJW29" s="204"/>
      <c r="UJX29" s="204"/>
      <c r="UJY29" s="204"/>
      <c r="UJZ29" s="204"/>
      <c r="UKA29" s="204"/>
      <c r="UKB29" s="204"/>
      <c r="UKC29" s="204"/>
      <c r="UKD29" s="204"/>
      <c r="UKE29" s="204"/>
      <c r="UKF29" s="204"/>
      <c r="UKG29" s="204"/>
      <c r="UKH29" s="204"/>
      <c r="UKI29" s="204"/>
      <c r="UKJ29" s="204"/>
      <c r="UKK29" s="204"/>
      <c r="UKL29" s="204"/>
      <c r="UKM29" s="204"/>
      <c r="UKN29" s="204"/>
      <c r="UKO29" s="204"/>
      <c r="UKP29" s="204"/>
      <c r="UKQ29" s="204"/>
      <c r="UKR29" s="204"/>
      <c r="UKS29" s="204"/>
      <c r="UKT29" s="204"/>
      <c r="UKU29" s="204"/>
      <c r="UKV29" s="204"/>
      <c r="UKW29" s="204"/>
      <c r="UKX29" s="204"/>
      <c r="UKY29" s="204"/>
      <c r="UKZ29" s="204"/>
      <c r="ULA29" s="204"/>
      <c r="ULB29" s="204"/>
      <c r="ULC29" s="204"/>
      <c r="ULD29" s="204"/>
      <c r="ULE29" s="204"/>
      <c r="ULF29" s="204"/>
      <c r="ULG29" s="204"/>
      <c r="ULH29" s="204"/>
      <c r="ULI29" s="204"/>
      <c r="ULJ29" s="204"/>
      <c r="ULK29" s="204"/>
      <c r="ULL29" s="204"/>
      <c r="ULM29" s="204"/>
      <c r="ULN29" s="204"/>
      <c r="ULO29" s="204"/>
      <c r="ULP29" s="204"/>
      <c r="ULQ29" s="204"/>
      <c r="ULR29" s="204"/>
      <c r="ULS29" s="204"/>
      <c r="ULT29" s="204"/>
      <c r="ULU29" s="204"/>
      <c r="ULV29" s="204"/>
      <c r="ULW29" s="204"/>
      <c r="ULX29" s="204"/>
      <c r="ULY29" s="204"/>
      <c r="ULZ29" s="204"/>
      <c r="UMA29" s="204"/>
      <c r="UMB29" s="204"/>
      <c r="UMC29" s="204"/>
      <c r="UMD29" s="204"/>
      <c r="UME29" s="204"/>
      <c r="UMF29" s="204"/>
      <c r="UMG29" s="204"/>
      <c r="UMH29" s="204"/>
      <c r="UMI29" s="204"/>
      <c r="UMJ29" s="204"/>
      <c r="UMK29" s="204"/>
      <c r="UML29" s="204"/>
      <c r="UMM29" s="204"/>
      <c r="UMN29" s="204"/>
      <c r="UMO29" s="204"/>
      <c r="UMP29" s="204"/>
      <c r="UMQ29" s="204"/>
      <c r="UMR29" s="204"/>
      <c r="UMS29" s="204"/>
      <c r="UMT29" s="204"/>
      <c r="UMU29" s="204"/>
      <c r="UMV29" s="204"/>
      <c r="UMW29" s="204"/>
      <c r="UMX29" s="204"/>
      <c r="UMY29" s="204"/>
      <c r="UMZ29" s="204"/>
      <c r="UNA29" s="204"/>
      <c r="UNB29" s="204"/>
      <c r="UNC29" s="204"/>
      <c r="UND29" s="204"/>
      <c r="UNE29" s="204"/>
      <c r="UNF29" s="204"/>
      <c r="UNG29" s="204"/>
      <c r="UNH29" s="204"/>
      <c r="UNI29" s="204"/>
      <c r="UNJ29" s="204"/>
      <c r="UNK29" s="204"/>
      <c r="UNL29" s="204"/>
      <c r="UNM29" s="204"/>
      <c r="UNN29" s="204"/>
      <c r="UNO29" s="204"/>
      <c r="UNP29" s="204"/>
      <c r="UNQ29" s="204"/>
      <c r="UNR29" s="204"/>
      <c r="UNS29" s="204"/>
      <c r="UNT29" s="204"/>
      <c r="UNU29" s="204"/>
      <c r="UNV29" s="204"/>
      <c r="UNW29" s="204"/>
      <c r="UNX29" s="204"/>
      <c r="UNY29" s="204"/>
      <c r="UNZ29" s="204"/>
      <c r="UOA29" s="204"/>
      <c r="UOB29" s="204"/>
      <c r="UOC29" s="204"/>
      <c r="UOD29" s="204"/>
      <c r="UOE29" s="204"/>
      <c r="UOF29" s="204"/>
      <c r="UOG29" s="204"/>
      <c r="UOH29" s="204"/>
      <c r="UOI29" s="204"/>
      <c r="UOJ29" s="204"/>
      <c r="UOK29" s="204"/>
      <c r="UOL29" s="204"/>
      <c r="UOM29" s="204"/>
      <c r="UON29" s="204"/>
      <c r="UOO29" s="204"/>
      <c r="UOP29" s="204"/>
      <c r="UOQ29" s="204"/>
      <c r="UOR29" s="204"/>
      <c r="UOS29" s="204"/>
      <c r="UOT29" s="204"/>
      <c r="UOU29" s="204"/>
      <c r="UOV29" s="204"/>
      <c r="UOW29" s="204"/>
      <c r="UOX29" s="204"/>
      <c r="UOY29" s="204"/>
      <c r="UOZ29" s="204"/>
      <c r="UPA29" s="204"/>
      <c r="UPB29" s="204"/>
      <c r="UPC29" s="204"/>
      <c r="UPD29" s="204"/>
      <c r="UPE29" s="204"/>
      <c r="UPF29" s="204"/>
      <c r="UPG29" s="204"/>
      <c r="UPH29" s="204"/>
      <c r="UPI29" s="204"/>
      <c r="UPJ29" s="204"/>
      <c r="UPK29" s="204"/>
      <c r="UPL29" s="204"/>
      <c r="UPM29" s="204"/>
      <c r="UPN29" s="204"/>
      <c r="UPO29" s="204"/>
      <c r="UPP29" s="204"/>
      <c r="UPQ29" s="204"/>
      <c r="UPR29" s="204"/>
      <c r="UPS29" s="204"/>
      <c r="UPT29" s="204"/>
      <c r="UPU29" s="204"/>
      <c r="UPV29" s="204"/>
      <c r="UPW29" s="204"/>
      <c r="UPX29" s="204"/>
      <c r="UPY29" s="204"/>
      <c r="UPZ29" s="204"/>
      <c r="UQA29" s="204"/>
      <c r="UQB29" s="204"/>
      <c r="UQC29" s="204"/>
      <c r="UQD29" s="204"/>
      <c r="UQE29" s="204"/>
      <c r="UQF29" s="204"/>
      <c r="UQG29" s="204"/>
      <c r="UQH29" s="204"/>
      <c r="UQI29" s="204"/>
      <c r="UQJ29" s="204"/>
      <c r="UQK29" s="204"/>
      <c r="UQL29" s="204"/>
      <c r="UQM29" s="204"/>
      <c r="UQN29" s="204"/>
      <c r="UQO29" s="204"/>
      <c r="UQP29" s="204"/>
      <c r="UQQ29" s="204"/>
      <c r="UQR29" s="204"/>
      <c r="UQS29" s="204"/>
      <c r="UQT29" s="204"/>
      <c r="UQU29" s="204"/>
      <c r="UQV29" s="204"/>
      <c r="UQW29" s="204"/>
      <c r="UQX29" s="204"/>
      <c r="UQY29" s="204"/>
      <c r="UQZ29" s="204"/>
      <c r="URA29" s="204"/>
      <c r="URB29" s="204"/>
      <c r="URC29" s="204"/>
      <c r="URD29" s="204"/>
      <c r="URE29" s="204"/>
      <c r="URF29" s="204"/>
      <c r="URG29" s="204"/>
      <c r="URH29" s="204"/>
      <c r="URI29" s="204"/>
      <c r="URJ29" s="204"/>
      <c r="URK29" s="204"/>
      <c r="URL29" s="204"/>
      <c r="URM29" s="204"/>
      <c r="URN29" s="204"/>
      <c r="URO29" s="204"/>
      <c r="URP29" s="204"/>
      <c r="URQ29" s="204"/>
      <c r="URR29" s="204"/>
      <c r="URS29" s="204"/>
      <c r="URT29" s="204"/>
      <c r="URU29" s="204"/>
      <c r="URV29" s="204"/>
      <c r="URW29" s="204"/>
      <c r="URX29" s="204"/>
      <c r="URY29" s="204"/>
      <c r="URZ29" s="204"/>
      <c r="USA29" s="204"/>
      <c r="USB29" s="204"/>
      <c r="USC29" s="204"/>
      <c r="USD29" s="204"/>
      <c r="USE29" s="204"/>
      <c r="USF29" s="204"/>
      <c r="USG29" s="204"/>
      <c r="USH29" s="204"/>
      <c r="USI29" s="204"/>
      <c r="USJ29" s="204"/>
      <c r="USK29" s="204"/>
      <c r="USL29" s="204"/>
      <c r="USM29" s="204"/>
      <c r="USN29" s="204"/>
      <c r="USO29" s="204"/>
      <c r="USP29" s="204"/>
      <c r="USQ29" s="204"/>
      <c r="USR29" s="204"/>
      <c r="USS29" s="204"/>
      <c r="UST29" s="204"/>
      <c r="USU29" s="204"/>
      <c r="USV29" s="204"/>
      <c r="USW29" s="204"/>
      <c r="USX29" s="204"/>
      <c r="USY29" s="204"/>
      <c r="USZ29" s="204"/>
      <c r="UTA29" s="204"/>
      <c r="UTB29" s="204"/>
      <c r="UTC29" s="204"/>
      <c r="UTD29" s="204"/>
      <c r="UTE29" s="204"/>
      <c r="UTF29" s="204"/>
      <c r="UTG29" s="204"/>
      <c r="UTH29" s="204"/>
      <c r="UTI29" s="204"/>
      <c r="UTJ29" s="204"/>
      <c r="UTK29" s="204"/>
      <c r="UTL29" s="204"/>
      <c r="UTM29" s="204"/>
      <c r="UTN29" s="204"/>
      <c r="UTO29" s="204"/>
      <c r="UTP29" s="204"/>
      <c r="UTQ29" s="204"/>
      <c r="UTR29" s="204"/>
      <c r="UTS29" s="204"/>
      <c r="UTT29" s="204"/>
      <c r="UTU29" s="204"/>
      <c r="UTV29" s="204"/>
      <c r="UTW29" s="204"/>
      <c r="UTX29" s="204"/>
      <c r="UTY29" s="204"/>
      <c r="UTZ29" s="204"/>
      <c r="UUA29" s="204"/>
      <c r="UUB29" s="204"/>
      <c r="UUC29" s="204"/>
      <c r="UUD29" s="204"/>
      <c r="UUE29" s="204"/>
      <c r="UUF29" s="204"/>
      <c r="UUG29" s="204"/>
      <c r="UUH29" s="204"/>
      <c r="UUI29" s="204"/>
      <c r="UUJ29" s="204"/>
      <c r="UUK29" s="204"/>
      <c r="UUL29" s="204"/>
      <c r="UUM29" s="204"/>
      <c r="UUN29" s="204"/>
      <c r="UUO29" s="204"/>
      <c r="UUP29" s="204"/>
      <c r="UUQ29" s="204"/>
      <c r="UUR29" s="204"/>
      <c r="UUS29" s="204"/>
      <c r="UUT29" s="204"/>
      <c r="UUU29" s="204"/>
      <c r="UUV29" s="204"/>
      <c r="UUW29" s="204"/>
      <c r="UUX29" s="204"/>
      <c r="UUY29" s="204"/>
      <c r="UUZ29" s="204"/>
      <c r="UVA29" s="204"/>
      <c r="UVB29" s="204"/>
      <c r="UVC29" s="204"/>
      <c r="UVD29" s="204"/>
      <c r="UVE29" s="204"/>
      <c r="UVF29" s="204"/>
      <c r="UVG29" s="204"/>
      <c r="UVH29" s="204"/>
      <c r="UVI29" s="204"/>
      <c r="UVJ29" s="204"/>
      <c r="UVK29" s="204"/>
      <c r="UVL29" s="204"/>
      <c r="UVM29" s="204"/>
      <c r="UVN29" s="204"/>
      <c r="UVO29" s="204"/>
      <c r="UVP29" s="204"/>
      <c r="UVQ29" s="204"/>
      <c r="UVR29" s="204"/>
      <c r="UVS29" s="204"/>
      <c r="UVT29" s="204"/>
      <c r="UVU29" s="204"/>
      <c r="UVV29" s="204"/>
      <c r="UVW29" s="204"/>
      <c r="UVX29" s="204"/>
      <c r="UVY29" s="204"/>
      <c r="UVZ29" s="204"/>
      <c r="UWA29" s="204"/>
      <c r="UWB29" s="204"/>
      <c r="UWC29" s="204"/>
      <c r="UWD29" s="204"/>
      <c r="UWE29" s="204"/>
      <c r="UWF29" s="204"/>
      <c r="UWG29" s="204"/>
      <c r="UWH29" s="204"/>
      <c r="UWI29" s="204"/>
      <c r="UWJ29" s="204"/>
      <c r="UWK29" s="204"/>
      <c r="UWL29" s="204"/>
      <c r="UWM29" s="204"/>
      <c r="UWN29" s="204"/>
      <c r="UWO29" s="204"/>
      <c r="UWP29" s="204"/>
      <c r="UWQ29" s="204"/>
      <c r="UWR29" s="204"/>
      <c r="UWS29" s="204"/>
      <c r="UWT29" s="204"/>
      <c r="UWU29" s="204"/>
      <c r="UWV29" s="204"/>
      <c r="UWW29" s="204"/>
      <c r="UWX29" s="204"/>
      <c r="UWY29" s="204"/>
      <c r="UWZ29" s="204"/>
      <c r="UXA29" s="204"/>
      <c r="UXB29" s="204"/>
      <c r="UXC29" s="204"/>
      <c r="UXD29" s="204"/>
      <c r="UXE29" s="204"/>
      <c r="UXF29" s="204"/>
      <c r="UXG29" s="204"/>
      <c r="UXH29" s="204"/>
      <c r="UXI29" s="204"/>
      <c r="UXJ29" s="204"/>
      <c r="UXK29" s="204"/>
      <c r="UXL29" s="204"/>
      <c r="UXM29" s="204"/>
      <c r="UXN29" s="204"/>
      <c r="UXO29" s="204"/>
      <c r="UXP29" s="204"/>
      <c r="UXQ29" s="204"/>
      <c r="UXR29" s="204"/>
      <c r="UXS29" s="204"/>
      <c r="UXT29" s="204"/>
      <c r="UXU29" s="204"/>
      <c r="UXV29" s="204"/>
      <c r="UXW29" s="204"/>
      <c r="UXX29" s="204"/>
      <c r="UXY29" s="204"/>
      <c r="UXZ29" s="204"/>
      <c r="UYA29" s="204"/>
      <c r="UYB29" s="204"/>
      <c r="UYC29" s="204"/>
      <c r="UYD29" s="204"/>
      <c r="UYE29" s="204"/>
      <c r="UYF29" s="204"/>
      <c r="UYG29" s="204"/>
      <c r="UYH29" s="204"/>
      <c r="UYI29" s="204"/>
      <c r="UYJ29" s="204"/>
      <c r="UYK29" s="204"/>
      <c r="UYL29" s="204"/>
      <c r="UYM29" s="204"/>
      <c r="UYN29" s="204"/>
      <c r="UYO29" s="204"/>
      <c r="UYP29" s="204"/>
      <c r="UYQ29" s="204"/>
      <c r="UYR29" s="204"/>
      <c r="UYS29" s="204"/>
      <c r="UYT29" s="204"/>
      <c r="UYU29" s="204"/>
      <c r="UYV29" s="204"/>
      <c r="UYW29" s="204"/>
      <c r="UYX29" s="204"/>
      <c r="UYY29" s="204"/>
      <c r="UYZ29" s="204"/>
      <c r="UZA29" s="204"/>
      <c r="UZB29" s="204"/>
      <c r="UZC29" s="204"/>
      <c r="UZD29" s="204"/>
      <c r="UZE29" s="204"/>
      <c r="UZF29" s="204"/>
      <c r="UZG29" s="204"/>
      <c r="UZH29" s="204"/>
      <c r="UZI29" s="204"/>
      <c r="UZJ29" s="204"/>
      <c r="UZK29" s="204"/>
      <c r="UZL29" s="204"/>
      <c r="UZM29" s="204"/>
      <c r="UZN29" s="204"/>
      <c r="UZO29" s="204"/>
      <c r="UZP29" s="204"/>
      <c r="UZQ29" s="204"/>
      <c r="UZR29" s="204"/>
      <c r="UZS29" s="204"/>
      <c r="UZT29" s="204"/>
      <c r="UZU29" s="204"/>
      <c r="UZV29" s="204"/>
      <c r="UZW29" s="204"/>
      <c r="UZX29" s="204"/>
      <c r="UZY29" s="204"/>
      <c r="UZZ29" s="204"/>
      <c r="VAA29" s="204"/>
      <c r="VAB29" s="204"/>
      <c r="VAC29" s="204"/>
      <c r="VAD29" s="204"/>
      <c r="VAE29" s="204"/>
      <c r="VAF29" s="204"/>
      <c r="VAG29" s="204"/>
      <c r="VAH29" s="204"/>
      <c r="VAI29" s="204"/>
      <c r="VAJ29" s="204"/>
      <c r="VAK29" s="204"/>
      <c r="VAL29" s="204"/>
      <c r="VAM29" s="204"/>
      <c r="VAN29" s="204"/>
      <c r="VAO29" s="204"/>
      <c r="VAP29" s="204"/>
      <c r="VAQ29" s="204"/>
      <c r="VAR29" s="204"/>
      <c r="VAS29" s="204"/>
      <c r="VAT29" s="204"/>
      <c r="VAU29" s="204"/>
      <c r="VAV29" s="204"/>
      <c r="VAW29" s="204"/>
      <c r="VAX29" s="204"/>
      <c r="VAY29" s="204"/>
      <c r="VAZ29" s="204"/>
      <c r="VBA29" s="204"/>
      <c r="VBB29" s="204"/>
      <c r="VBC29" s="204"/>
      <c r="VBD29" s="204"/>
      <c r="VBE29" s="204"/>
      <c r="VBF29" s="204"/>
      <c r="VBG29" s="204"/>
      <c r="VBH29" s="204"/>
      <c r="VBI29" s="204"/>
      <c r="VBJ29" s="204"/>
      <c r="VBK29" s="204"/>
      <c r="VBL29" s="204"/>
      <c r="VBM29" s="204"/>
      <c r="VBN29" s="204"/>
      <c r="VBO29" s="204"/>
      <c r="VBP29" s="204"/>
      <c r="VBQ29" s="204"/>
      <c r="VBR29" s="204"/>
      <c r="VBS29" s="204"/>
      <c r="VBT29" s="204"/>
      <c r="VBU29" s="204"/>
      <c r="VBV29" s="204"/>
      <c r="VBW29" s="204"/>
      <c r="VBX29" s="204"/>
      <c r="VBY29" s="204"/>
      <c r="VBZ29" s="204"/>
      <c r="VCA29" s="204"/>
      <c r="VCB29" s="204"/>
      <c r="VCC29" s="204"/>
      <c r="VCD29" s="204"/>
      <c r="VCE29" s="204"/>
      <c r="VCF29" s="204"/>
      <c r="VCG29" s="204"/>
      <c r="VCH29" s="204"/>
      <c r="VCI29" s="204"/>
      <c r="VCJ29" s="204"/>
      <c r="VCK29" s="204"/>
      <c r="VCL29" s="204"/>
      <c r="VCM29" s="204"/>
      <c r="VCN29" s="204"/>
      <c r="VCO29" s="204"/>
      <c r="VCP29" s="204"/>
      <c r="VCQ29" s="204"/>
      <c r="VCR29" s="204"/>
      <c r="VCS29" s="204"/>
      <c r="VCT29" s="204"/>
      <c r="VCU29" s="204"/>
      <c r="VCV29" s="204"/>
      <c r="VCW29" s="204"/>
      <c r="VCX29" s="204"/>
      <c r="VCY29" s="204"/>
      <c r="VCZ29" s="204"/>
      <c r="VDA29" s="204"/>
      <c r="VDB29" s="204"/>
      <c r="VDC29" s="204"/>
      <c r="VDD29" s="204"/>
      <c r="VDE29" s="204"/>
      <c r="VDF29" s="204"/>
      <c r="VDG29" s="204"/>
      <c r="VDH29" s="204"/>
      <c r="VDI29" s="204"/>
      <c r="VDJ29" s="204"/>
      <c r="VDK29" s="204"/>
      <c r="VDL29" s="204"/>
      <c r="VDM29" s="204"/>
      <c r="VDN29" s="204"/>
      <c r="VDO29" s="204"/>
      <c r="VDP29" s="204"/>
      <c r="VDQ29" s="204"/>
      <c r="VDR29" s="204"/>
      <c r="VDS29" s="204"/>
      <c r="VDT29" s="204"/>
      <c r="VDU29" s="204"/>
      <c r="VDV29" s="204"/>
      <c r="VDW29" s="204"/>
      <c r="VDX29" s="204"/>
      <c r="VDY29" s="204"/>
      <c r="VDZ29" s="204"/>
      <c r="VEA29" s="204"/>
      <c r="VEB29" s="204"/>
      <c r="VEC29" s="204"/>
      <c r="VED29" s="204"/>
      <c r="VEE29" s="204"/>
      <c r="VEF29" s="204"/>
      <c r="VEG29" s="204"/>
      <c r="VEH29" s="204"/>
      <c r="VEI29" s="204"/>
      <c r="VEJ29" s="204"/>
      <c r="VEK29" s="204"/>
      <c r="VEL29" s="204"/>
      <c r="VEM29" s="204"/>
      <c r="VEN29" s="204"/>
      <c r="VEO29" s="204"/>
      <c r="VEP29" s="204"/>
      <c r="VEQ29" s="204"/>
      <c r="VER29" s="204"/>
      <c r="VES29" s="204"/>
      <c r="VET29" s="204"/>
      <c r="VEU29" s="204"/>
      <c r="VEV29" s="204"/>
      <c r="VEW29" s="204"/>
      <c r="VEX29" s="204"/>
      <c r="VEY29" s="204"/>
      <c r="VEZ29" s="204"/>
      <c r="VFA29" s="204"/>
      <c r="VFB29" s="204"/>
      <c r="VFC29" s="204"/>
      <c r="VFD29" s="204"/>
      <c r="VFE29" s="204"/>
      <c r="VFF29" s="204"/>
      <c r="VFG29" s="204"/>
      <c r="VFH29" s="204"/>
      <c r="VFI29" s="204"/>
      <c r="VFJ29" s="204"/>
      <c r="VFK29" s="204"/>
      <c r="VFL29" s="204"/>
      <c r="VFM29" s="204"/>
      <c r="VFN29" s="204"/>
      <c r="VFO29" s="204"/>
      <c r="VFP29" s="204"/>
      <c r="VFQ29" s="204"/>
      <c r="VFR29" s="204"/>
      <c r="VFS29" s="204"/>
      <c r="VFT29" s="204"/>
      <c r="VFU29" s="204"/>
      <c r="VFV29" s="204"/>
      <c r="VFW29" s="204"/>
      <c r="VFX29" s="204"/>
      <c r="VFY29" s="204"/>
      <c r="VFZ29" s="204"/>
      <c r="VGA29" s="204"/>
      <c r="VGB29" s="204"/>
      <c r="VGC29" s="204"/>
      <c r="VGD29" s="204"/>
      <c r="VGE29" s="204"/>
      <c r="VGF29" s="204"/>
      <c r="VGG29" s="204"/>
      <c r="VGH29" s="204"/>
      <c r="VGI29" s="204"/>
      <c r="VGJ29" s="204"/>
      <c r="VGK29" s="204"/>
      <c r="VGL29" s="204"/>
      <c r="VGM29" s="204"/>
      <c r="VGN29" s="204"/>
      <c r="VGO29" s="204"/>
      <c r="VGP29" s="204"/>
      <c r="VGQ29" s="204"/>
      <c r="VGR29" s="204"/>
      <c r="VGS29" s="204"/>
      <c r="VGT29" s="204"/>
      <c r="VGU29" s="204"/>
      <c r="VGV29" s="204"/>
      <c r="VGW29" s="204"/>
      <c r="VGX29" s="204"/>
      <c r="VGY29" s="204"/>
      <c r="VGZ29" s="204"/>
      <c r="VHA29" s="204"/>
      <c r="VHB29" s="204"/>
      <c r="VHC29" s="204"/>
      <c r="VHD29" s="204"/>
      <c r="VHE29" s="204"/>
      <c r="VHF29" s="204"/>
      <c r="VHG29" s="204"/>
      <c r="VHH29" s="204"/>
      <c r="VHI29" s="204"/>
      <c r="VHJ29" s="204"/>
      <c r="VHK29" s="204"/>
      <c r="VHL29" s="204"/>
      <c r="VHM29" s="204"/>
      <c r="VHN29" s="204"/>
      <c r="VHO29" s="204"/>
      <c r="VHP29" s="204"/>
      <c r="VHQ29" s="204"/>
      <c r="VHR29" s="204"/>
      <c r="VHS29" s="204"/>
      <c r="VHT29" s="204"/>
      <c r="VHU29" s="204"/>
      <c r="VHV29" s="204"/>
      <c r="VHW29" s="204"/>
      <c r="VHX29" s="204"/>
      <c r="VHY29" s="204"/>
      <c r="VHZ29" s="204"/>
      <c r="VIA29" s="204"/>
      <c r="VIB29" s="204"/>
      <c r="VIC29" s="204"/>
      <c r="VID29" s="204"/>
      <c r="VIE29" s="204"/>
      <c r="VIF29" s="204"/>
      <c r="VIG29" s="204"/>
      <c r="VIH29" s="204"/>
      <c r="VII29" s="204"/>
      <c r="VIJ29" s="204"/>
      <c r="VIK29" s="204"/>
      <c r="VIL29" s="204"/>
      <c r="VIM29" s="204"/>
      <c r="VIN29" s="204"/>
      <c r="VIO29" s="204"/>
      <c r="VIP29" s="204"/>
      <c r="VIQ29" s="204"/>
      <c r="VIR29" s="204"/>
      <c r="VIS29" s="204"/>
      <c r="VIT29" s="204"/>
      <c r="VIU29" s="204"/>
      <c r="VIV29" s="204"/>
      <c r="VIW29" s="204"/>
      <c r="VIX29" s="204"/>
      <c r="VIY29" s="204"/>
      <c r="VIZ29" s="204"/>
      <c r="VJA29" s="204"/>
      <c r="VJB29" s="204"/>
      <c r="VJC29" s="204"/>
      <c r="VJD29" s="204"/>
      <c r="VJE29" s="204"/>
      <c r="VJF29" s="204"/>
      <c r="VJG29" s="204"/>
      <c r="VJH29" s="204"/>
      <c r="VJI29" s="204"/>
      <c r="VJJ29" s="204"/>
      <c r="VJK29" s="204"/>
      <c r="VJL29" s="204"/>
      <c r="VJM29" s="204"/>
      <c r="VJN29" s="204"/>
      <c r="VJO29" s="204"/>
      <c r="VJP29" s="204"/>
      <c r="VJQ29" s="204"/>
      <c r="VJR29" s="204"/>
      <c r="VJS29" s="204"/>
      <c r="VJT29" s="204"/>
      <c r="VJU29" s="204"/>
      <c r="VJV29" s="204"/>
      <c r="VJW29" s="204"/>
      <c r="VJX29" s="204"/>
      <c r="VJY29" s="204"/>
      <c r="VJZ29" s="204"/>
      <c r="VKA29" s="204"/>
      <c r="VKB29" s="204"/>
      <c r="VKC29" s="204"/>
      <c r="VKD29" s="204"/>
      <c r="VKE29" s="204"/>
      <c r="VKF29" s="204"/>
      <c r="VKG29" s="204"/>
      <c r="VKH29" s="204"/>
      <c r="VKI29" s="204"/>
      <c r="VKJ29" s="204"/>
      <c r="VKK29" s="204"/>
      <c r="VKL29" s="204"/>
      <c r="VKM29" s="204"/>
      <c r="VKN29" s="204"/>
      <c r="VKO29" s="204"/>
      <c r="VKP29" s="204"/>
      <c r="VKQ29" s="204"/>
      <c r="VKR29" s="204"/>
      <c r="VKS29" s="204"/>
      <c r="VKT29" s="204"/>
      <c r="VKU29" s="204"/>
      <c r="VKV29" s="204"/>
      <c r="VKW29" s="204"/>
      <c r="VKX29" s="204"/>
      <c r="VKY29" s="204"/>
      <c r="VKZ29" s="204"/>
      <c r="VLA29" s="204"/>
      <c r="VLB29" s="204"/>
      <c r="VLC29" s="204"/>
      <c r="VLD29" s="204"/>
      <c r="VLE29" s="204"/>
      <c r="VLF29" s="204"/>
      <c r="VLG29" s="204"/>
      <c r="VLH29" s="204"/>
      <c r="VLI29" s="204"/>
      <c r="VLJ29" s="204"/>
      <c r="VLK29" s="204"/>
      <c r="VLL29" s="204"/>
      <c r="VLM29" s="204"/>
      <c r="VLN29" s="204"/>
      <c r="VLO29" s="204"/>
      <c r="VLP29" s="204"/>
      <c r="VLQ29" s="204"/>
      <c r="VLR29" s="204"/>
      <c r="VLS29" s="204"/>
      <c r="VLT29" s="204"/>
      <c r="VLU29" s="204"/>
      <c r="VLV29" s="204"/>
      <c r="VLW29" s="204"/>
      <c r="VLX29" s="204"/>
      <c r="VLY29" s="204"/>
      <c r="VLZ29" s="204"/>
      <c r="VMA29" s="204"/>
      <c r="VMB29" s="204"/>
      <c r="VMC29" s="204"/>
      <c r="VMD29" s="204"/>
      <c r="VME29" s="204"/>
      <c r="VMF29" s="204"/>
      <c r="VMG29" s="204"/>
      <c r="VMH29" s="204"/>
      <c r="VMI29" s="204"/>
      <c r="VMJ29" s="204"/>
      <c r="VMK29" s="204"/>
      <c r="VML29" s="204"/>
      <c r="VMM29" s="204"/>
      <c r="VMN29" s="204"/>
      <c r="VMO29" s="204"/>
      <c r="VMP29" s="204"/>
      <c r="VMQ29" s="204"/>
      <c r="VMR29" s="204"/>
      <c r="VMS29" s="204"/>
      <c r="VMT29" s="204"/>
      <c r="VMU29" s="204"/>
      <c r="VMV29" s="204"/>
      <c r="VMW29" s="204"/>
      <c r="VMX29" s="204"/>
      <c r="VMY29" s="204"/>
      <c r="VMZ29" s="204"/>
      <c r="VNA29" s="204"/>
      <c r="VNB29" s="204"/>
      <c r="VNC29" s="204"/>
      <c r="VND29" s="204"/>
      <c r="VNE29" s="204"/>
      <c r="VNF29" s="204"/>
      <c r="VNG29" s="204"/>
      <c r="VNH29" s="204"/>
      <c r="VNI29" s="204"/>
      <c r="VNJ29" s="204"/>
      <c r="VNK29" s="204"/>
      <c r="VNL29" s="204"/>
      <c r="VNM29" s="204"/>
      <c r="VNN29" s="204"/>
      <c r="VNO29" s="204"/>
      <c r="VNP29" s="204"/>
      <c r="VNQ29" s="204"/>
      <c r="VNR29" s="204"/>
      <c r="VNS29" s="204"/>
      <c r="VNT29" s="204"/>
      <c r="VNU29" s="204"/>
      <c r="VNV29" s="204"/>
      <c r="VNW29" s="204"/>
      <c r="VNX29" s="204"/>
      <c r="VNY29" s="204"/>
      <c r="VNZ29" s="204"/>
      <c r="VOA29" s="204"/>
      <c r="VOB29" s="204"/>
      <c r="VOC29" s="204"/>
      <c r="VOD29" s="204"/>
      <c r="VOE29" s="204"/>
      <c r="VOF29" s="204"/>
      <c r="VOG29" s="204"/>
      <c r="VOH29" s="204"/>
      <c r="VOI29" s="204"/>
      <c r="VOJ29" s="204"/>
      <c r="VOK29" s="204"/>
      <c r="VOL29" s="204"/>
      <c r="VOM29" s="204"/>
      <c r="VON29" s="204"/>
      <c r="VOO29" s="204"/>
      <c r="VOP29" s="204"/>
      <c r="VOQ29" s="204"/>
      <c r="VOR29" s="204"/>
      <c r="VOS29" s="204"/>
      <c r="VOT29" s="204"/>
      <c r="VOU29" s="204"/>
      <c r="VOV29" s="204"/>
      <c r="VOW29" s="204"/>
      <c r="VOX29" s="204"/>
      <c r="VOY29" s="204"/>
      <c r="VOZ29" s="204"/>
      <c r="VPA29" s="204"/>
      <c r="VPB29" s="204"/>
      <c r="VPC29" s="204"/>
      <c r="VPD29" s="204"/>
      <c r="VPE29" s="204"/>
      <c r="VPF29" s="204"/>
      <c r="VPG29" s="204"/>
      <c r="VPH29" s="204"/>
      <c r="VPI29" s="204"/>
      <c r="VPJ29" s="204"/>
      <c r="VPK29" s="204"/>
      <c r="VPL29" s="204"/>
      <c r="VPM29" s="204"/>
      <c r="VPN29" s="204"/>
      <c r="VPO29" s="204"/>
      <c r="VPP29" s="204"/>
      <c r="VPQ29" s="204"/>
      <c r="VPR29" s="204"/>
      <c r="VPS29" s="204"/>
      <c r="VPT29" s="204"/>
      <c r="VPU29" s="204"/>
      <c r="VPV29" s="204"/>
      <c r="VPW29" s="204"/>
      <c r="VPX29" s="204"/>
      <c r="VPY29" s="204"/>
      <c r="VPZ29" s="204"/>
      <c r="VQA29" s="204"/>
      <c r="VQB29" s="204"/>
      <c r="VQC29" s="204"/>
      <c r="VQD29" s="204"/>
      <c r="VQE29" s="204"/>
      <c r="VQF29" s="204"/>
      <c r="VQG29" s="204"/>
      <c r="VQH29" s="204"/>
      <c r="VQI29" s="204"/>
      <c r="VQJ29" s="204"/>
      <c r="VQK29" s="204"/>
      <c r="VQL29" s="204"/>
      <c r="VQM29" s="204"/>
      <c r="VQN29" s="204"/>
      <c r="VQO29" s="204"/>
      <c r="VQP29" s="204"/>
      <c r="VQQ29" s="204"/>
      <c r="VQR29" s="204"/>
      <c r="VQS29" s="204"/>
      <c r="VQT29" s="204"/>
      <c r="VQU29" s="204"/>
      <c r="VQV29" s="204"/>
      <c r="VQW29" s="204"/>
      <c r="VQX29" s="204"/>
      <c r="VQY29" s="204"/>
      <c r="VQZ29" s="204"/>
      <c r="VRA29" s="204"/>
      <c r="VRB29" s="204"/>
      <c r="VRC29" s="204"/>
      <c r="VRD29" s="204"/>
      <c r="VRE29" s="204"/>
      <c r="VRF29" s="204"/>
      <c r="VRG29" s="204"/>
      <c r="VRH29" s="204"/>
      <c r="VRI29" s="204"/>
      <c r="VRJ29" s="204"/>
      <c r="VRK29" s="204"/>
      <c r="VRL29" s="204"/>
      <c r="VRM29" s="204"/>
      <c r="VRN29" s="204"/>
      <c r="VRO29" s="204"/>
      <c r="VRP29" s="204"/>
      <c r="VRQ29" s="204"/>
      <c r="VRR29" s="204"/>
      <c r="VRS29" s="204"/>
      <c r="VRT29" s="204"/>
      <c r="VRU29" s="204"/>
      <c r="VRV29" s="204"/>
      <c r="VRW29" s="204"/>
      <c r="VRX29" s="204"/>
      <c r="VRY29" s="204"/>
      <c r="VRZ29" s="204"/>
      <c r="VSA29" s="204"/>
      <c r="VSB29" s="204"/>
      <c r="VSC29" s="204"/>
      <c r="VSD29" s="204"/>
      <c r="VSE29" s="204"/>
      <c r="VSF29" s="204"/>
      <c r="VSG29" s="204"/>
      <c r="VSH29" s="204"/>
      <c r="VSI29" s="204"/>
      <c r="VSJ29" s="204"/>
      <c r="VSK29" s="204"/>
      <c r="VSL29" s="204"/>
      <c r="VSM29" s="204"/>
      <c r="VSN29" s="204"/>
      <c r="VSO29" s="204"/>
      <c r="VSP29" s="204"/>
      <c r="VSQ29" s="204"/>
      <c r="VSR29" s="204"/>
      <c r="VSS29" s="204"/>
      <c r="VST29" s="204"/>
      <c r="VSU29" s="204"/>
      <c r="VSV29" s="204"/>
      <c r="VSW29" s="204"/>
      <c r="VSX29" s="204"/>
      <c r="VSY29" s="204"/>
      <c r="VSZ29" s="204"/>
      <c r="VTA29" s="204"/>
      <c r="VTB29" s="204"/>
      <c r="VTC29" s="204"/>
      <c r="VTD29" s="204"/>
      <c r="VTE29" s="204"/>
      <c r="VTF29" s="204"/>
      <c r="VTG29" s="204"/>
      <c r="VTH29" s="204"/>
      <c r="VTI29" s="204"/>
      <c r="VTJ29" s="204"/>
      <c r="VTK29" s="204"/>
      <c r="VTL29" s="204"/>
      <c r="VTM29" s="204"/>
      <c r="VTN29" s="204"/>
      <c r="VTO29" s="204"/>
      <c r="VTP29" s="204"/>
      <c r="VTQ29" s="204"/>
      <c r="VTR29" s="204"/>
      <c r="VTS29" s="204"/>
      <c r="VTT29" s="204"/>
      <c r="VTU29" s="204"/>
      <c r="VTV29" s="204"/>
      <c r="VTW29" s="204"/>
      <c r="VTX29" s="204"/>
      <c r="VTY29" s="204"/>
      <c r="VTZ29" s="204"/>
      <c r="VUA29" s="204"/>
      <c r="VUB29" s="204"/>
      <c r="VUC29" s="204"/>
      <c r="VUD29" s="204"/>
      <c r="VUE29" s="204"/>
      <c r="VUF29" s="204"/>
      <c r="VUG29" s="204"/>
      <c r="VUH29" s="204"/>
      <c r="VUI29" s="204"/>
      <c r="VUJ29" s="204"/>
      <c r="VUK29" s="204"/>
      <c r="VUL29" s="204"/>
      <c r="VUM29" s="204"/>
      <c r="VUN29" s="204"/>
      <c r="VUO29" s="204"/>
      <c r="VUP29" s="204"/>
      <c r="VUQ29" s="204"/>
      <c r="VUR29" s="204"/>
      <c r="VUS29" s="204"/>
      <c r="VUT29" s="204"/>
      <c r="VUU29" s="204"/>
      <c r="VUV29" s="204"/>
      <c r="VUW29" s="204"/>
      <c r="VUX29" s="204"/>
      <c r="VUY29" s="204"/>
      <c r="VUZ29" s="204"/>
      <c r="VVA29" s="204"/>
      <c r="VVB29" s="204"/>
      <c r="VVC29" s="204"/>
      <c r="VVD29" s="204"/>
      <c r="VVE29" s="204"/>
      <c r="VVF29" s="204"/>
      <c r="VVG29" s="204"/>
      <c r="VVH29" s="204"/>
      <c r="VVI29" s="204"/>
      <c r="VVJ29" s="204"/>
      <c r="VVK29" s="204"/>
      <c r="VVL29" s="204"/>
      <c r="VVM29" s="204"/>
      <c r="VVN29" s="204"/>
      <c r="VVO29" s="204"/>
      <c r="VVP29" s="204"/>
      <c r="VVQ29" s="204"/>
      <c r="VVR29" s="204"/>
      <c r="VVS29" s="204"/>
      <c r="VVT29" s="204"/>
      <c r="VVU29" s="204"/>
      <c r="VVV29" s="204"/>
      <c r="VVW29" s="204"/>
      <c r="VVX29" s="204"/>
      <c r="VVY29" s="204"/>
      <c r="VVZ29" s="204"/>
      <c r="VWA29" s="204"/>
      <c r="VWB29" s="204"/>
      <c r="VWC29" s="204"/>
      <c r="VWD29" s="204"/>
      <c r="VWE29" s="204"/>
      <c r="VWF29" s="204"/>
      <c r="VWG29" s="204"/>
      <c r="VWH29" s="204"/>
      <c r="VWI29" s="204"/>
      <c r="VWJ29" s="204"/>
      <c r="VWK29" s="204"/>
      <c r="VWL29" s="204"/>
      <c r="VWM29" s="204"/>
      <c r="VWN29" s="204"/>
      <c r="VWO29" s="204"/>
      <c r="VWP29" s="204"/>
      <c r="VWQ29" s="204"/>
      <c r="VWR29" s="204"/>
      <c r="VWS29" s="204"/>
      <c r="VWT29" s="204"/>
      <c r="VWU29" s="204"/>
      <c r="VWV29" s="204"/>
      <c r="VWW29" s="204"/>
      <c r="VWX29" s="204"/>
      <c r="VWY29" s="204"/>
      <c r="VWZ29" s="204"/>
      <c r="VXA29" s="204"/>
      <c r="VXB29" s="204"/>
      <c r="VXC29" s="204"/>
      <c r="VXD29" s="204"/>
      <c r="VXE29" s="204"/>
      <c r="VXF29" s="204"/>
      <c r="VXG29" s="204"/>
      <c r="VXH29" s="204"/>
      <c r="VXI29" s="204"/>
      <c r="VXJ29" s="204"/>
      <c r="VXK29" s="204"/>
      <c r="VXL29" s="204"/>
      <c r="VXM29" s="204"/>
      <c r="VXN29" s="204"/>
      <c r="VXO29" s="204"/>
      <c r="VXP29" s="204"/>
      <c r="VXQ29" s="204"/>
      <c r="VXR29" s="204"/>
      <c r="VXS29" s="204"/>
      <c r="VXT29" s="204"/>
      <c r="VXU29" s="204"/>
      <c r="VXV29" s="204"/>
      <c r="VXW29" s="204"/>
      <c r="VXX29" s="204"/>
      <c r="VXY29" s="204"/>
      <c r="VXZ29" s="204"/>
      <c r="VYA29" s="204"/>
      <c r="VYB29" s="204"/>
      <c r="VYC29" s="204"/>
      <c r="VYD29" s="204"/>
      <c r="VYE29" s="204"/>
      <c r="VYF29" s="204"/>
      <c r="VYG29" s="204"/>
      <c r="VYH29" s="204"/>
      <c r="VYI29" s="204"/>
      <c r="VYJ29" s="204"/>
      <c r="VYK29" s="204"/>
      <c r="VYL29" s="204"/>
      <c r="VYM29" s="204"/>
      <c r="VYN29" s="204"/>
      <c r="VYO29" s="204"/>
      <c r="VYP29" s="204"/>
      <c r="VYQ29" s="204"/>
      <c r="VYR29" s="204"/>
      <c r="VYS29" s="204"/>
      <c r="VYT29" s="204"/>
      <c r="VYU29" s="204"/>
      <c r="VYV29" s="204"/>
      <c r="VYW29" s="204"/>
      <c r="VYX29" s="204"/>
      <c r="VYY29" s="204"/>
      <c r="VYZ29" s="204"/>
      <c r="VZA29" s="204"/>
      <c r="VZB29" s="204"/>
      <c r="VZC29" s="204"/>
      <c r="VZD29" s="204"/>
      <c r="VZE29" s="204"/>
      <c r="VZF29" s="204"/>
      <c r="VZG29" s="204"/>
      <c r="VZH29" s="204"/>
      <c r="VZI29" s="204"/>
      <c r="VZJ29" s="204"/>
      <c r="VZK29" s="204"/>
      <c r="VZL29" s="204"/>
      <c r="VZM29" s="204"/>
      <c r="VZN29" s="204"/>
      <c r="VZO29" s="204"/>
      <c r="VZP29" s="204"/>
      <c r="VZQ29" s="204"/>
      <c r="VZR29" s="204"/>
      <c r="VZS29" s="204"/>
      <c r="VZT29" s="204"/>
      <c r="VZU29" s="204"/>
      <c r="VZV29" s="204"/>
      <c r="VZW29" s="204"/>
      <c r="VZX29" s="204"/>
      <c r="VZY29" s="204"/>
      <c r="VZZ29" s="204"/>
      <c r="WAA29" s="204"/>
      <c r="WAB29" s="204"/>
      <c r="WAC29" s="204"/>
      <c r="WAD29" s="204"/>
      <c r="WAE29" s="204"/>
      <c r="WAF29" s="204"/>
      <c r="WAG29" s="204"/>
      <c r="WAH29" s="204"/>
      <c r="WAI29" s="204"/>
      <c r="WAJ29" s="204"/>
      <c r="WAK29" s="204"/>
      <c r="WAL29" s="204"/>
      <c r="WAM29" s="204"/>
      <c r="WAN29" s="204"/>
      <c r="WAO29" s="204"/>
      <c r="WAP29" s="204"/>
      <c r="WAQ29" s="204"/>
      <c r="WAR29" s="204"/>
      <c r="WAS29" s="204"/>
      <c r="WAT29" s="204"/>
      <c r="WAU29" s="204"/>
      <c r="WAV29" s="204"/>
      <c r="WAW29" s="204"/>
      <c r="WAX29" s="204"/>
      <c r="WAY29" s="204"/>
      <c r="WAZ29" s="204"/>
      <c r="WBA29" s="204"/>
      <c r="WBB29" s="204"/>
      <c r="WBC29" s="204"/>
      <c r="WBD29" s="204"/>
      <c r="WBE29" s="204"/>
      <c r="WBF29" s="204"/>
      <c r="WBG29" s="204"/>
      <c r="WBH29" s="204"/>
      <c r="WBI29" s="204"/>
      <c r="WBJ29" s="204"/>
      <c r="WBK29" s="204"/>
      <c r="WBL29" s="204"/>
      <c r="WBM29" s="204"/>
      <c r="WBN29" s="204"/>
      <c r="WBO29" s="204"/>
      <c r="WBP29" s="204"/>
      <c r="WBQ29" s="204"/>
      <c r="WBR29" s="204"/>
      <c r="WBS29" s="204"/>
      <c r="WBT29" s="204"/>
      <c r="WBU29" s="204"/>
      <c r="WBV29" s="204"/>
      <c r="WBW29" s="204"/>
      <c r="WBX29" s="204"/>
      <c r="WBY29" s="204"/>
      <c r="WBZ29" s="204"/>
      <c r="WCA29" s="204"/>
      <c r="WCB29" s="204"/>
      <c r="WCC29" s="204"/>
      <c r="WCD29" s="204"/>
      <c r="WCE29" s="204"/>
      <c r="WCF29" s="204"/>
      <c r="WCG29" s="204"/>
      <c r="WCH29" s="204"/>
      <c r="WCI29" s="204"/>
      <c r="WCJ29" s="204"/>
      <c r="WCK29" s="204"/>
      <c r="WCL29" s="204"/>
      <c r="WCM29" s="204"/>
      <c r="WCN29" s="204"/>
      <c r="WCO29" s="204"/>
      <c r="WCP29" s="204"/>
      <c r="WCQ29" s="204"/>
      <c r="WCR29" s="204"/>
      <c r="WCS29" s="204"/>
      <c r="WCT29" s="204"/>
      <c r="WCU29" s="204"/>
      <c r="WCV29" s="204"/>
      <c r="WCW29" s="204"/>
      <c r="WCX29" s="204"/>
      <c r="WCY29" s="204"/>
      <c r="WCZ29" s="204"/>
      <c r="WDA29" s="204"/>
      <c r="WDB29" s="204"/>
      <c r="WDC29" s="204"/>
      <c r="WDD29" s="204"/>
      <c r="WDE29" s="204"/>
      <c r="WDF29" s="204"/>
      <c r="WDG29" s="204"/>
      <c r="WDH29" s="204"/>
      <c r="WDI29" s="204"/>
      <c r="WDJ29" s="204"/>
      <c r="WDK29" s="204"/>
      <c r="WDL29" s="204"/>
      <c r="WDM29" s="204"/>
      <c r="WDN29" s="204"/>
      <c r="WDO29" s="204"/>
      <c r="WDP29" s="204"/>
      <c r="WDQ29" s="204"/>
      <c r="WDR29" s="204"/>
      <c r="WDS29" s="204"/>
      <c r="WDT29" s="204"/>
      <c r="WDU29" s="204"/>
      <c r="WDV29" s="204"/>
      <c r="WDW29" s="204"/>
      <c r="WDX29" s="204"/>
      <c r="WDY29" s="204"/>
      <c r="WDZ29" s="204"/>
      <c r="WEA29" s="204"/>
      <c r="WEB29" s="204"/>
      <c r="WEC29" s="204"/>
      <c r="WED29" s="204"/>
      <c r="WEE29" s="204"/>
      <c r="WEF29" s="204"/>
      <c r="WEG29" s="204"/>
      <c r="WEH29" s="204"/>
      <c r="WEI29" s="204"/>
      <c r="WEJ29" s="204"/>
      <c r="WEK29" s="204"/>
      <c r="WEL29" s="204"/>
      <c r="WEM29" s="204"/>
      <c r="WEN29" s="204"/>
      <c r="WEO29" s="204"/>
      <c r="WEP29" s="204"/>
      <c r="WEQ29" s="204"/>
      <c r="WER29" s="204"/>
      <c r="WES29" s="204"/>
      <c r="WET29" s="204"/>
      <c r="WEU29" s="204"/>
      <c r="WEV29" s="204"/>
      <c r="WEW29" s="204"/>
      <c r="WEX29" s="204"/>
      <c r="WEY29" s="204"/>
      <c r="WEZ29" s="204"/>
      <c r="WFA29" s="204"/>
      <c r="WFB29" s="204"/>
      <c r="WFC29" s="204"/>
      <c r="WFD29" s="204"/>
      <c r="WFE29" s="204"/>
      <c r="WFF29" s="204"/>
      <c r="WFG29" s="204"/>
      <c r="WFH29" s="204"/>
      <c r="WFI29" s="204"/>
      <c r="WFJ29" s="204"/>
      <c r="WFK29" s="204"/>
      <c r="WFL29" s="204"/>
      <c r="WFM29" s="204"/>
      <c r="WFN29" s="204"/>
      <c r="WFO29" s="204"/>
      <c r="WFP29" s="204"/>
      <c r="WFQ29" s="204"/>
      <c r="WFR29" s="204"/>
      <c r="WFS29" s="204"/>
      <c r="WFT29" s="204"/>
      <c r="WFU29" s="204"/>
      <c r="WFV29" s="204"/>
      <c r="WFW29" s="204"/>
      <c r="WFX29" s="204"/>
      <c r="WFY29" s="204"/>
      <c r="WFZ29" s="204"/>
      <c r="WGA29" s="204"/>
      <c r="WGB29" s="204"/>
      <c r="WGC29" s="204"/>
      <c r="WGD29" s="204"/>
      <c r="WGE29" s="204"/>
      <c r="WGF29" s="204"/>
      <c r="WGG29" s="204"/>
      <c r="WGH29" s="204"/>
      <c r="WGI29" s="204"/>
      <c r="WGJ29" s="204"/>
      <c r="WGK29" s="204"/>
      <c r="WGL29" s="204"/>
      <c r="WGM29" s="204"/>
      <c r="WGN29" s="204"/>
      <c r="WGO29" s="204"/>
      <c r="WGP29" s="204"/>
      <c r="WGQ29" s="204"/>
      <c r="WGR29" s="204"/>
      <c r="WGS29" s="204"/>
      <c r="WGT29" s="204"/>
      <c r="WGU29" s="204"/>
      <c r="WGV29" s="204"/>
      <c r="WGW29" s="204"/>
      <c r="WGX29" s="204"/>
      <c r="WGY29" s="204"/>
      <c r="WGZ29" s="204"/>
      <c r="WHA29" s="204"/>
      <c r="WHB29" s="204"/>
      <c r="WHC29" s="204"/>
      <c r="WHD29" s="204"/>
      <c r="WHE29" s="204"/>
      <c r="WHF29" s="204"/>
      <c r="WHG29" s="204"/>
      <c r="WHH29" s="204"/>
      <c r="WHI29" s="204"/>
      <c r="WHJ29" s="204"/>
      <c r="WHK29" s="204"/>
      <c r="WHL29" s="204"/>
      <c r="WHM29" s="204"/>
      <c r="WHN29" s="204"/>
      <c r="WHO29" s="204"/>
      <c r="WHP29" s="204"/>
      <c r="WHQ29" s="204"/>
      <c r="WHR29" s="204"/>
      <c r="WHS29" s="204"/>
      <c r="WHT29" s="204"/>
      <c r="WHU29" s="204"/>
      <c r="WHV29" s="204"/>
      <c r="WHW29" s="204"/>
      <c r="WHX29" s="204"/>
      <c r="WHY29" s="204"/>
      <c r="WHZ29" s="204"/>
      <c r="WIA29" s="204"/>
      <c r="WIB29" s="204"/>
      <c r="WIC29" s="204"/>
      <c r="WID29" s="204"/>
      <c r="WIE29" s="204"/>
      <c r="WIF29" s="204"/>
      <c r="WIG29" s="204"/>
      <c r="WIH29" s="204"/>
      <c r="WII29" s="204"/>
      <c r="WIJ29" s="204"/>
      <c r="WIK29" s="204"/>
      <c r="WIL29" s="204"/>
      <c r="WIM29" s="204"/>
      <c r="WIN29" s="204"/>
      <c r="WIO29" s="204"/>
      <c r="WIP29" s="204"/>
      <c r="WIQ29" s="204"/>
      <c r="WIR29" s="204"/>
      <c r="WIS29" s="204"/>
      <c r="WIT29" s="204"/>
      <c r="WIU29" s="204"/>
      <c r="WIV29" s="204"/>
      <c r="WIW29" s="204"/>
      <c r="WIX29" s="204"/>
      <c r="WIY29" s="204"/>
      <c r="WIZ29" s="204"/>
      <c r="WJA29" s="204"/>
      <c r="WJB29" s="204"/>
      <c r="WJC29" s="204"/>
      <c r="WJD29" s="204"/>
      <c r="WJE29" s="204"/>
      <c r="WJF29" s="204"/>
      <c r="WJG29" s="204"/>
      <c r="WJH29" s="204"/>
      <c r="WJI29" s="204"/>
      <c r="WJJ29" s="204"/>
      <c r="WJK29" s="204"/>
      <c r="WJL29" s="204"/>
      <c r="WJM29" s="204"/>
      <c r="WJN29" s="204"/>
      <c r="WJO29" s="204"/>
      <c r="WJP29" s="204"/>
      <c r="WJQ29" s="204"/>
      <c r="WJR29" s="204"/>
      <c r="WJS29" s="204"/>
      <c r="WJT29" s="204"/>
      <c r="WJU29" s="204"/>
      <c r="WJV29" s="204"/>
      <c r="WJW29" s="204"/>
      <c r="WJX29" s="204"/>
      <c r="WJY29" s="204"/>
      <c r="WJZ29" s="204"/>
      <c r="WKA29" s="204"/>
      <c r="WKB29" s="204"/>
      <c r="WKC29" s="204"/>
      <c r="WKD29" s="204"/>
      <c r="WKE29" s="204"/>
      <c r="WKF29" s="204"/>
      <c r="WKG29" s="204"/>
      <c r="WKH29" s="204"/>
      <c r="WKI29" s="204"/>
      <c r="WKJ29" s="204"/>
      <c r="WKK29" s="204"/>
      <c r="WKL29" s="204"/>
      <c r="WKM29" s="204"/>
      <c r="WKN29" s="204"/>
      <c r="WKO29" s="204"/>
      <c r="WKP29" s="204"/>
      <c r="WKQ29" s="204"/>
      <c r="WKR29" s="204"/>
      <c r="WKS29" s="204"/>
      <c r="WKT29" s="204"/>
      <c r="WKU29" s="204"/>
      <c r="WKV29" s="204"/>
      <c r="WKW29" s="204"/>
      <c r="WKX29" s="204"/>
      <c r="WKY29" s="204"/>
      <c r="WKZ29" s="204"/>
      <c r="WLA29" s="204"/>
      <c r="WLB29" s="204"/>
      <c r="WLC29" s="204"/>
      <c r="WLD29" s="204"/>
      <c r="WLE29" s="204"/>
      <c r="WLF29" s="204"/>
      <c r="WLG29" s="204"/>
      <c r="WLH29" s="204"/>
      <c r="WLI29" s="204"/>
      <c r="WLJ29" s="204"/>
      <c r="WLK29" s="204"/>
      <c r="WLL29" s="204"/>
      <c r="WLM29" s="204"/>
      <c r="WLN29" s="204"/>
      <c r="WLO29" s="204"/>
      <c r="WLP29" s="204"/>
      <c r="WLQ29" s="204"/>
      <c r="WLR29" s="204"/>
      <c r="WLS29" s="204"/>
      <c r="WLT29" s="204"/>
      <c r="WLU29" s="204"/>
      <c r="WLV29" s="204"/>
      <c r="WLW29" s="204"/>
      <c r="WLX29" s="204"/>
      <c r="WLY29" s="204"/>
      <c r="WLZ29" s="204"/>
      <c r="WMA29" s="204"/>
      <c r="WMB29" s="204"/>
      <c r="WMC29" s="204"/>
      <c r="WMD29" s="204"/>
      <c r="WME29" s="204"/>
      <c r="WMF29" s="204"/>
      <c r="WMG29" s="204"/>
      <c r="WMH29" s="204"/>
      <c r="WMI29" s="204"/>
      <c r="WMJ29" s="204"/>
      <c r="WMK29" s="204"/>
      <c r="WML29" s="204"/>
      <c r="WMM29" s="204"/>
      <c r="WMN29" s="204"/>
      <c r="WMO29" s="204"/>
      <c r="WMP29" s="204"/>
      <c r="WMQ29" s="204"/>
      <c r="WMR29" s="204"/>
      <c r="WMS29" s="204"/>
      <c r="WMT29" s="204"/>
      <c r="WMU29" s="204"/>
      <c r="WMV29" s="204"/>
      <c r="WMW29" s="204"/>
      <c r="WMX29" s="204"/>
      <c r="WMY29" s="204"/>
      <c r="WMZ29" s="204"/>
      <c r="WNA29" s="204"/>
      <c r="WNB29" s="204"/>
      <c r="WNC29" s="204"/>
      <c r="WND29" s="204"/>
      <c r="WNE29" s="204"/>
      <c r="WNF29" s="204"/>
      <c r="WNG29" s="204"/>
      <c r="WNH29" s="204"/>
      <c r="WNI29" s="204"/>
      <c r="WNJ29" s="204"/>
      <c r="WNK29" s="204"/>
      <c r="WNL29" s="204"/>
      <c r="WNM29" s="204"/>
      <c r="WNN29" s="204"/>
      <c r="WNO29" s="204"/>
      <c r="WNP29" s="204"/>
      <c r="WNQ29" s="204"/>
      <c r="WNR29" s="204"/>
      <c r="WNS29" s="204"/>
      <c r="WNT29" s="204"/>
      <c r="WNU29" s="204"/>
      <c r="WNV29" s="204"/>
      <c r="WNW29" s="204"/>
      <c r="WNX29" s="204"/>
      <c r="WNY29" s="204"/>
      <c r="WNZ29" s="204"/>
      <c r="WOA29" s="204"/>
      <c r="WOB29" s="204"/>
      <c r="WOC29" s="204"/>
      <c r="WOD29" s="204"/>
      <c r="WOE29" s="204"/>
      <c r="WOF29" s="204"/>
      <c r="WOG29" s="204"/>
      <c r="WOH29" s="204"/>
      <c r="WOI29" s="204"/>
      <c r="WOJ29" s="204"/>
      <c r="WOK29" s="204"/>
      <c r="WOL29" s="204"/>
      <c r="WOM29" s="204"/>
      <c r="WON29" s="204"/>
      <c r="WOO29" s="204"/>
      <c r="WOP29" s="204"/>
      <c r="WOQ29" s="204"/>
      <c r="WOR29" s="204"/>
      <c r="WOS29" s="204"/>
      <c r="WOT29" s="204"/>
      <c r="WOU29" s="204"/>
      <c r="WOV29" s="204"/>
      <c r="WOW29" s="204"/>
      <c r="WOX29" s="204"/>
      <c r="WOY29" s="204"/>
      <c r="WOZ29" s="204"/>
      <c r="WPA29" s="204"/>
      <c r="WPB29" s="204"/>
      <c r="WPC29" s="204"/>
      <c r="WPD29" s="204"/>
      <c r="WPE29" s="204"/>
      <c r="WPF29" s="204"/>
      <c r="WPG29" s="204"/>
      <c r="WPH29" s="204"/>
      <c r="WPI29" s="204"/>
      <c r="WPJ29" s="204"/>
      <c r="WPK29" s="204"/>
      <c r="WPL29" s="204"/>
      <c r="WPM29" s="204"/>
      <c r="WPN29" s="204"/>
      <c r="WPO29" s="204"/>
      <c r="WPP29" s="204"/>
      <c r="WPQ29" s="204"/>
      <c r="WPR29" s="204"/>
      <c r="WPS29" s="204"/>
      <c r="WPT29" s="204"/>
      <c r="WPU29" s="204"/>
      <c r="WPV29" s="204"/>
      <c r="WPW29" s="204"/>
      <c r="WPX29" s="204"/>
      <c r="WPY29" s="204"/>
      <c r="WPZ29" s="204"/>
      <c r="WQA29" s="204"/>
      <c r="WQB29" s="204"/>
      <c r="WQC29" s="204"/>
      <c r="WQD29" s="204"/>
      <c r="WQE29" s="204"/>
      <c r="WQF29" s="204"/>
      <c r="WQG29" s="204"/>
      <c r="WQH29" s="204"/>
      <c r="WQI29" s="204"/>
      <c r="WQJ29" s="204"/>
      <c r="WQK29" s="204"/>
      <c r="WQL29" s="204"/>
      <c r="WQM29" s="204"/>
      <c r="WQN29" s="204"/>
      <c r="WQO29" s="204"/>
      <c r="WQP29" s="204"/>
      <c r="WQQ29" s="204"/>
      <c r="WQR29" s="204"/>
      <c r="WQS29" s="204"/>
      <c r="WQT29" s="204"/>
      <c r="WQU29" s="204"/>
      <c r="WQV29" s="204"/>
      <c r="WQW29" s="204"/>
      <c r="WQX29" s="204"/>
      <c r="WQY29" s="204"/>
      <c r="WQZ29" s="204"/>
      <c r="WRA29" s="204"/>
      <c r="WRB29" s="204"/>
      <c r="WRC29" s="204"/>
      <c r="WRD29" s="204"/>
      <c r="WRE29" s="204"/>
      <c r="WRF29" s="204"/>
      <c r="WRG29" s="204"/>
      <c r="WRH29" s="204"/>
      <c r="WRI29" s="204"/>
      <c r="WRJ29" s="204"/>
      <c r="WRK29" s="204"/>
      <c r="WRL29" s="204"/>
      <c r="WRM29" s="204"/>
      <c r="WRN29" s="204"/>
      <c r="WRO29" s="204"/>
      <c r="WRP29" s="204"/>
      <c r="WRQ29" s="204"/>
      <c r="WRR29" s="204"/>
      <c r="WRS29" s="204"/>
      <c r="WRT29" s="204"/>
      <c r="WRU29" s="204"/>
      <c r="WRV29" s="204"/>
      <c r="WRW29" s="204"/>
      <c r="WRX29" s="204"/>
      <c r="WRY29" s="204"/>
      <c r="WRZ29" s="204"/>
      <c r="WSA29" s="204"/>
      <c r="WSB29" s="204"/>
      <c r="WSC29" s="204"/>
      <c r="WSD29" s="204"/>
      <c r="WSE29" s="204"/>
      <c r="WSF29" s="204"/>
      <c r="WSG29" s="204"/>
      <c r="WSH29" s="204"/>
      <c r="WSI29" s="204"/>
      <c r="WSJ29" s="204"/>
      <c r="WSK29" s="204"/>
      <c r="WSL29" s="204"/>
      <c r="WSM29" s="204"/>
      <c r="WSN29" s="204"/>
      <c r="WSO29" s="204"/>
      <c r="WSP29" s="204"/>
      <c r="WSQ29" s="204"/>
      <c r="WSR29" s="204"/>
      <c r="WSS29" s="204"/>
      <c r="WST29" s="204"/>
      <c r="WSU29" s="204"/>
      <c r="WSV29" s="204"/>
      <c r="WSW29" s="204"/>
      <c r="WSX29" s="204"/>
      <c r="WSY29" s="204"/>
      <c r="WSZ29" s="204"/>
      <c r="WTA29" s="204"/>
      <c r="WTB29" s="204"/>
      <c r="WTC29" s="204"/>
      <c r="WTD29" s="204"/>
      <c r="WTE29" s="204"/>
      <c r="WTF29" s="204"/>
      <c r="WTG29" s="204"/>
      <c r="WTH29" s="204"/>
      <c r="WTI29" s="204"/>
      <c r="WTJ29" s="204"/>
      <c r="WTK29" s="204"/>
      <c r="WTL29" s="204"/>
      <c r="WTM29" s="204"/>
      <c r="WTN29" s="204"/>
      <c r="WTO29" s="204"/>
      <c r="WTP29" s="204"/>
      <c r="WTQ29" s="204"/>
      <c r="WTR29" s="204"/>
      <c r="WTS29" s="204"/>
      <c r="WTT29" s="204"/>
      <c r="WTU29" s="204"/>
      <c r="WTV29" s="204"/>
      <c r="WTW29" s="204"/>
      <c r="WTX29" s="204"/>
      <c r="WTY29" s="204"/>
      <c r="WTZ29" s="204"/>
      <c r="WUA29" s="204"/>
      <c r="WUB29" s="204"/>
      <c r="WUC29" s="204"/>
      <c r="WUD29" s="204"/>
      <c r="WUE29" s="204"/>
      <c r="WUF29" s="204"/>
      <c r="WUG29" s="204"/>
      <c r="WUH29" s="204"/>
      <c r="WUI29" s="204"/>
      <c r="WUJ29" s="204"/>
      <c r="WUK29" s="204"/>
      <c r="WUL29" s="204"/>
      <c r="WUM29" s="204"/>
      <c r="WUN29" s="204"/>
      <c r="WUO29" s="204"/>
      <c r="WUP29" s="204"/>
      <c r="WUQ29" s="204"/>
      <c r="WUR29" s="204"/>
      <c r="WUS29" s="204"/>
      <c r="WUT29" s="204"/>
      <c r="WUU29" s="204"/>
      <c r="WUV29" s="204"/>
      <c r="WUW29" s="204"/>
      <c r="WUX29" s="204"/>
      <c r="WUY29" s="204"/>
      <c r="WUZ29" s="204"/>
      <c r="WVA29" s="204"/>
      <c r="WVB29" s="204"/>
      <c r="WVC29" s="204"/>
      <c r="WVD29" s="204"/>
      <c r="WVE29" s="204"/>
      <c r="WVF29" s="204"/>
      <c r="WVG29" s="204"/>
      <c r="WVH29" s="204"/>
      <c r="WVI29" s="204"/>
      <c r="WVJ29" s="204"/>
      <c r="WVK29" s="204"/>
      <c r="WVL29" s="204"/>
      <c r="WVM29" s="204"/>
      <c r="WVN29" s="204"/>
      <c r="WVO29" s="204"/>
      <c r="WVP29" s="204"/>
      <c r="WVQ29" s="204"/>
      <c r="WVR29" s="204"/>
      <c r="WVS29" s="204"/>
      <c r="WVT29" s="204"/>
      <c r="WVU29" s="204"/>
      <c r="WVV29" s="204"/>
      <c r="WVW29" s="204"/>
      <c r="WVX29" s="204"/>
      <c r="WVY29" s="204"/>
      <c r="WVZ29" s="204"/>
      <c r="WWA29" s="204"/>
      <c r="WWB29" s="204"/>
      <c r="WWC29" s="204"/>
      <c r="WWD29" s="204"/>
      <c r="WWE29" s="204"/>
      <c r="WWF29" s="204"/>
      <c r="WWG29" s="204"/>
      <c r="WWH29" s="204"/>
      <c r="WWI29" s="204"/>
      <c r="WWJ29" s="204"/>
      <c r="WWK29" s="204"/>
      <c r="WWL29" s="204"/>
      <c r="WWM29" s="204"/>
      <c r="WWN29" s="204"/>
      <c r="WWO29" s="204"/>
      <c r="WWP29" s="204"/>
      <c r="WWQ29" s="204"/>
      <c r="WWR29" s="204"/>
      <c r="WWS29" s="204"/>
      <c r="WWT29" s="204"/>
      <c r="WWU29" s="204"/>
      <c r="WWV29" s="204"/>
      <c r="WWW29" s="204"/>
      <c r="WWX29" s="204"/>
      <c r="WWY29" s="204"/>
      <c r="WWZ29" s="204"/>
      <c r="WXA29" s="204"/>
      <c r="WXB29" s="204"/>
      <c r="WXC29" s="204"/>
      <c r="WXD29" s="204"/>
      <c r="WXE29" s="204"/>
      <c r="WXF29" s="204"/>
      <c r="WXG29" s="204"/>
      <c r="WXH29" s="204"/>
      <c r="WXI29" s="204"/>
      <c r="WXJ29" s="204"/>
      <c r="WXK29" s="204"/>
      <c r="WXL29" s="204"/>
      <c r="WXM29" s="204"/>
      <c r="WXN29" s="204"/>
      <c r="WXO29" s="204"/>
      <c r="WXP29" s="204"/>
      <c r="WXQ29" s="204"/>
      <c r="WXR29" s="204"/>
      <c r="WXS29" s="204"/>
      <c r="WXT29" s="204"/>
      <c r="WXU29" s="204"/>
      <c r="WXV29" s="204"/>
      <c r="WXW29" s="204"/>
      <c r="WXX29" s="204"/>
      <c r="WXY29" s="204"/>
      <c r="WXZ29" s="204"/>
      <c r="WYA29" s="204"/>
      <c r="WYB29" s="204"/>
      <c r="WYC29" s="204"/>
      <c r="WYD29" s="204"/>
      <c r="WYE29" s="204"/>
      <c r="WYF29" s="204"/>
      <c r="WYG29" s="204"/>
      <c r="WYH29" s="204"/>
      <c r="WYI29" s="204"/>
      <c r="WYJ29" s="204"/>
      <c r="WYK29" s="204"/>
      <c r="WYL29" s="204"/>
      <c r="WYM29" s="204"/>
      <c r="WYN29" s="204"/>
      <c r="WYO29" s="204"/>
      <c r="WYP29" s="204"/>
      <c r="WYQ29" s="204"/>
      <c r="WYR29" s="204"/>
      <c r="WYS29" s="204"/>
      <c r="WYT29" s="204"/>
      <c r="WYU29" s="204"/>
      <c r="WYV29" s="204"/>
      <c r="WYW29" s="204"/>
      <c r="WYX29" s="204"/>
      <c r="WYY29" s="204"/>
      <c r="WYZ29" s="204"/>
      <c r="WZA29" s="204"/>
      <c r="WZB29" s="204"/>
      <c r="WZC29" s="204"/>
      <c r="WZD29" s="204"/>
      <c r="WZE29" s="204"/>
      <c r="WZF29" s="204"/>
      <c r="WZG29" s="204"/>
      <c r="WZH29" s="204"/>
      <c r="WZI29" s="204"/>
      <c r="WZJ29" s="204"/>
      <c r="WZK29" s="204"/>
      <c r="WZL29" s="204"/>
      <c r="WZM29" s="204"/>
      <c r="WZN29" s="204"/>
      <c r="WZO29" s="204"/>
      <c r="WZP29" s="204"/>
      <c r="WZQ29" s="204"/>
      <c r="WZR29" s="204"/>
      <c r="WZS29" s="204"/>
      <c r="WZT29" s="204"/>
      <c r="WZU29" s="204"/>
      <c r="WZV29" s="204"/>
      <c r="WZW29" s="204"/>
      <c r="WZX29" s="204"/>
      <c r="WZY29" s="204"/>
      <c r="WZZ29" s="204"/>
      <c r="XAA29" s="204"/>
      <c r="XAB29" s="204"/>
      <c r="XAC29" s="204"/>
      <c r="XAD29" s="204"/>
      <c r="XAE29" s="204"/>
      <c r="XAF29" s="204"/>
      <c r="XAG29" s="204"/>
      <c r="XAH29" s="204"/>
      <c r="XAI29" s="204"/>
      <c r="XAJ29" s="204"/>
      <c r="XAK29" s="204"/>
      <c r="XAL29" s="204"/>
      <c r="XAM29" s="204"/>
      <c r="XAN29" s="204"/>
      <c r="XAO29" s="204"/>
      <c r="XAP29" s="204"/>
      <c r="XAQ29" s="204"/>
      <c r="XAR29" s="204"/>
      <c r="XAS29" s="204"/>
      <c r="XAT29" s="204"/>
      <c r="XAU29" s="204"/>
      <c r="XAV29" s="204"/>
      <c r="XAW29" s="204"/>
      <c r="XAX29" s="204"/>
      <c r="XAY29" s="204"/>
      <c r="XAZ29" s="204"/>
      <c r="XBA29" s="204"/>
      <c r="XBB29" s="204"/>
      <c r="XBC29" s="204"/>
      <c r="XBD29" s="204"/>
      <c r="XBE29" s="204"/>
      <c r="XBF29" s="204"/>
      <c r="XBG29" s="204"/>
      <c r="XBH29" s="204"/>
      <c r="XBI29" s="204"/>
      <c r="XBJ29" s="204"/>
      <c r="XBK29" s="204"/>
      <c r="XBL29" s="204"/>
      <c r="XBM29" s="204"/>
      <c r="XBN29" s="204"/>
      <c r="XBO29" s="204"/>
      <c r="XBP29" s="204"/>
      <c r="XBQ29" s="204"/>
      <c r="XBR29" s="204"/>
      <c r="XBS29" s="204"/>
      <c r="XBT29" s="204"/>
      <c r="XBU29" s="204"/>
      <c r="XBV29" s="204"/>
      <c r="XBW29" s="204"/>
      <c r="XBX29" s="204"/>
      <c r="XBY29" s="204"/>
      <c r="XBZ29" s="204"/>
      <c r="XCA29" s="204"/>
      <c r="XCB29" s="204"/>
      <c r="XCC29" s="204"/>
      <c r="XCD29" s="204"/>
      <c r="XCE29" s="204"/>
      <c r="XCF29" s="204"/>
      <c r="XCG29" s="204"/>
      <c r="XCH29" s="204"/>
      <c r="XCI29" s="204"/>
      <c r="XCJ29" s="204"/>
      <c r="XCK29" s="204"/>
      <c r="XCL29" s="204"/>
      <c r="XCM29" s="204"/>
      <c r="XCN29" s="204"/>
      <c r="XCO29" s="204"/>
      <c r="XCP29" s="204"/>
      <c r="XCQ29" s="204"/>
      <c r="XCR29" s="204"/>
      <c r="XCS29" s="204"/>
      <c r="XCT29" s="204"/>
      <c r="XCU29" s="204"/>
      <c r="XCV29" s="204"/>
      <c r="XCW29" s="204"/>
      <c r="XCX29" s="204"/>
      <c r="XCY29" s="204"/>
      <c r="XCZ29" s="204"/>
      <c r="XDA29" s="204"/>
      <c r="XDB29" s="204"/>
      <c r="XDC29" s="204"/>
      <c r="XDD29" s="204"/>
      <c r="XDE29" s="204"/>
      <c r="XDF29" s="204"/>
      <c r="XDG29" s="204"/>
      <c r="XDH29" s="204"/>
      <c r="XDI29" s="204"/>
      <c r="XDJ29" s="204"/>
      <c r="XDK29" s="204"/>
      <c r="XDL29" s="204"/>
      <c r="XDM29" s="204"/>
      <c r="XDN29" s="204"/>
      <c r="XDO29" s="204"/>
      <c r="XDP29" s="204"/>
      <c r="XDQ29" s="204"/>
      <c r="XDR29" s="204"/>
      <c r="XDS29" s="204"/>
      <c r="XDT29" s="204"/>
      <c r="XDU29" s="204"/>
      <c r="XDV29" s="204"/>
      <c r="XDW29" s="204"/>
      <c r="XDX29" s="204"/>
      <c r="XDY29" s="204"/>
      <c r="XDZ29" s="204"/>
      <c r="XEA29" s="204"/>
      <c r="XEB29" s="204"/>
      <c r="XEC29" s="204"/>
      <c r="XED29" s="204"/>
      <c r="XEE29" s="204"/>
      <c r="XEF29" s="204"/>
      <c r="XEG29" s="204"/>
      <c r="XEH29" s="204"/>
      <c r="XEI29" s="204"/>
      <c r="XEJ29" s="204"/>
      <c r="XEK29" s="204"/>
      <c r="XEL29" s="204"/>
      <c r="XEM29" s="204"/>
      <c r="XEN29" s="204"/>
      <c r="XEO29" s="204"/>
      <c r="XEP29" s="204"/>
      <c r="XEQ29" s="204"/>
      <c r="XER29" s="204"/>
      <c r="XES29" s="204"/>
      <c r="XET29" s="204"/>
      <c r="XEU29" s="204"/>
      <c r="XEV29" s="204"/>
      <c r="XEW29" s="204"/>
      <c r="XEX29" s="204"/>
      <c r="XEY29" s="204"/>
      <c r="XEZ29" s="204"/>
      <c r="XFA29" s="204"/>
      <c r="XFB29" s="204"/>
      <c r="XFC29" s="204"/>
      <c r="XFD29" s="204"/>
    </row>
    <row r="30" spans="1:16384" x14ac:dyDescent="0.2">
      <c r="A30" s="203"/>
      <c r="B30" s="71" t="s">
        <v>491</v>
      </c>
      <c r="C30" s="139">
        <v>2</v>
      </c>
      <c r="D30" s="139">
        <v>2</v>
      </c>
      <c r="E30" s="140">
        <v>0</v>
      </c>
      <c r="F30" s="141">
        <v>0</v>
      </c>
      <c r="G30" s="141">
        <v>0</v>
      </c>
      <c r="H30" s="141">
        <v>2</v>
      </c>
      <c r="I30" s="142">
        <v>0</v>
      </c>
      <c r="J30" s="143">
        <v>0</v>
      </c>
      <c r="K30" s="143">
        <v>0</v>
      </c>
      <c r="L30" s="143">
        <v>100</v>
      </c>
      <c r="M30" s="97">
        <v>0</v>
      </c>
      <c r="N30" s="98">
        <v>2</v>
      </c>
      <c r="O30" s="99">
        <v>0</v>
      </c>
      <c r="P30" s="100">
        <v>100</v>
      </c>
      <c r="Q30" s="99">
        <v>0</v>
      </c>
      <c r="R30" s="100">
        <v>2</v>
      </c>
      <c r="S30" s="99">
        <v>0</v>
      </c>
      <c r="T30" s="145">
        <v>100</v>
      </c>
      <c r="U30" s="229"/>
      <c r="V30" s="203"/>
      <c r="W30" s="203"/>
      <c r="X30" s="203"/>
      <c r="Y30" s="203"/>
      <c r="Z30" s="203"/>
      <c r="AA30" s="203"/>
      <c r="AB30" s="203"/>
      <c r="AC30" s="203"/>
      <c r="AD30" s="203"/>
      <c r="AE30" s="203"/>
      <c r="AF30" s="203"/>
      <c r="AG30" s="229"/>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4"/>
      <c r="FX30" s="204"/>
      <c r="FY30" s="204"/>
      <c r="FZ30" s="204"/>
      <c r="GA30" s="204"/>
      <c r="GB30" s="204"/>
      <c r="GC30" s="204"/>
      <c r="GD30" s="204"/>
      <c r="GE30" s="204"/>
      <c r="GF30" s="204"/>
      <c r="GG30" s="204"/>
      <c r="GH30" s="204"/>
      <c r="GI30" s="204"/>
      <c r="GJ30" s="204"/>
      <c r="GK30" s="204"/>
      <c r="GL30" s="204"/>
      <c r="GM30" s="204"/>
      <c r="GN30" s="204"/>
      <c r="GO30" s="204"/>
      <c r="GP30" s="204"/>
      <c r="GQ30" s="204"/>
      <c r="GR30" s="204"/>
      <c r="GS30" s="204"/>
      <c r="GT30" s="204"/>
      <c r="GU30" s="204"/>
      <c r="GV30" s="204"/>
      <c r="GW30" s="204"/>
      <c r="GX30" s="204"/>
      <c r="GY30" s="204"/>
      <c r="GZ30" s="204"/>
      <c r="HA30" s="204"/>
      <c r="HB30" s="204"/>
      <c r="HC30" s="204"/>
      <c r="HD30" s="204"/>
      <c r="HE30" s="204"/>
      <c r="HF30" s="204"/>
      <c r="HG30" s="204"/>
      <c r="HH30" s="204"/>
      <c r="HI30" s="204"/>
      <c r="HJ30" s="204"/>
      <c r="HK30" s="204"/>
      <c r="HL30" s="204"/>
      <c r="HM30" s="204"/>
      <c r="HN30" s="204"/>
      <c r="HO30" s="204"/>
      <c r="HP30" s="204"/>
      <c r="HQ30" s="204"/>
      <c r="HR30" s="204"/>
      <c r="HS30" s="204"/>
      <c r="HT30" s="204"/>
      <c r="HU30" s="204"/>
      <c r="HV30" s="204"/>
      <c r="HW30" s="204"/>
      <c r="HX30" s="204"/>
      <c r="HY30" s="204"/>
      <c r="HZ30" s="204"/>
      <c r="IA30" s="204"/>
      <c r="IB30" s="204"/>
      <c r="IC30" s="204"/>
      <c r="ID30" s="204"/>
      <c r="IE30" s="204"/>
      <c r="IF30" s="204"/>
      <c r="IG30" s="204"/>
      <c r="IH30" s="204"/>
      <c r="II30" s="204"/>
      <c r="IJ30" s="204"/>
      <c r="IK30" s="204"/>
      <c r="IL30" s="204"/>
      <c r="IM30" s="204"/>
      <c r="IN30" s="204"/>
      <c r="IO30" s="204"/>
      <c r="IP30" s="204"/>
      <c r="IQ30" s="204"/>
      <c r="IR30" s="204"/>
      <c r="IS30" s="204"/>
      <c r="IT30" s="204"/>
      <c r="IU30" s="204"/>
      <c r="IV30" s="204"/>
      <c r="IW30" s="204"/>
      <c r="IX30" s="204"/>
      <c r="IY30" s="204"/>
      <c r="IZ30" s="204"/>
      <c r="JA30" s="204"/>
      <c r="JB30" s="204"/>
      <c r="JC30" s="204"/>
      <c r="JD30" s="204"/>
      <c r="JE30" s="204"/>
      <c r="JF30" s="204"/>
      <c r="JG30" s="204"/>
      <c r="JH30" s="204"/>
      <c r="JI30" s="204"/>
      <c r="JJ30" s="204"/>
      <c r="JK30" s="204"/>
      <c r="JL30" s="204"/>
      <c r="JM30" s="204"/>
      <c r="JN30" s="204"/>
      <c r="JO30" s="204"/>
      <c r="JP30" s="204"/>
      <c r="JQ30" s="204"/>
      <c r="JR30" s="204"/>
      <c r="JS30" s="204"/>
      <c r="JT30" s="204"/>
      <c r="JU30" s="204"/>
      <c r="JV30" s="204"/>
      <c r="JW30" s="204"/>
      <c r="JX30" s="204"/>
      <c r="JY30" s="204"/>
      <c r="JZ30" s="204"/>
      <c r="KA30" s="204"/>
      <c r="KB30" s="204"/>
      <c r="KC30" s="204"/>
      <c r="KD30" s="204"/>
      <c r="KE30" s="204"/>
      <c r="KF30" s="204"/>
      <c r="KG30" s="204"/>
      <c r="KH30" s="204"/>
      <c r="KI30" s="204"/>
      <c r="KJ30" s="204"/>
      <c r="KK30" s="204"/>
      <c r="KL30" s="204"/>
      <c r="KM30" s="204"/>
      <c r="KN30" s="204"/>
      <c r="KO30" s="204"/>
      <c r="KP30" s="204"/>
      <c r="KQ30" s="204"/>
      <c r="KR30" s="204"/>
      <c r="KS30" s="204"/>
      <c r="KT30" s="204"/>
      <c r="KU30" s="204"/>
      <c r="KV30" s="204"/>
      <c r="KW30" s="204"/>
      <c r="KX30" s="204"/>
      <c r="KY30" s="204"/>
      <c r="KZ30" s="204"/>
      <c r="LA30" s="204"/>
      <c r="LB30" s="204"/>
      <c r="LC30" s="204"/>
      <c r="LD30" s="204"/>
      <c r="LE30" s="204"/>
      <c r="LF30" s="204"/>
      <c r="LG30" s="204"/>
      <c r="LH30" s="204"/>
      <c r="LI30" s="204"/>
      <c r="LJ30" s="204"/>
      <c r="LK30" s="204"/>
      <c r="LL30" s="204"/>
      <c r="LM30" s="204"/>
      <c r="LN30" s="204"/>
      <c r="LO30" s="204"/>
      <c r="LP30" s="204"/>
      <c r="LQ30" s="204"/>
      <c r="LR30" s="204"/>
      <c r="LS30" s="204"/>
      <c r="LT30" s="204"/>
      <c r="LU30" s="204"/>
      <c r="LV30" s="204"/>
      <c r="LW30" s="204"/>
      <c r="LX30" s="204"/>
      <c r="LY30" s="204"/>
      <c r="LZ30" s="204"/>
      <c r="MA30" s="204"/>
      <c r="MB30" s="204"/>
      <c r="MC30" s="204"/>
      <c r="MD30" s="204"/>
      <c r="ME30" s="204"/>
      <c r="MF30" s="204"/>
      <c r="MG30" s="204"/>
      <c r="MH30" s="204"/>
      <c r="MI30" s="204"/>
      <c r="MJ30" s="204"/>
      <c r="MK30" s="204"/>
      <c r="ML30" s="204"/>
      <c r="MM30" s="204"/>
      <c r="MN30" s="204"/>
      <c r="MO30" s="204"/>
      <c r="MP30" s="204"/>
      <c r="MQ30" s="204"/>
      <c r="MR30" s="204"/>
      <c r="MS30" s="204"/>
      <c r="MT30" s="204"/>
      <c r="MU30" s="204"/>
      <c r="MV30" s="204"/>
      <c r="MW30" s="204"/>
      <c r="MX30" s="204"/>
      <c r="MY30" s="204"/>
      <c r="MZ30" s="204"/>
      <c r="NA30" s="204"/>
      <c r="NB30" s="204"/>
      <c r="NC30" s="204"/>
      <c r="ND30" s="204"/>
      <c r="NE30" s="204"/>
      <c r="NF30" s="204"/>
      <c r="NG30" s="204"/>
      <c r="NH30" s="204"/>
      <c r="NI30" s="204"/>
      <c r="NJ30" s="204"/>
      <c r="NK30" s="204"/>
      <c r="NL30" s="204"/>
      <c r="NM30" s="204"/>
      <c r="NN30" s="204"/>
      <c r="NO30" s="204"/>
      <c r="NP30" s="204"/>
      <c r="NQ30" s="204"/>
      <c r="NR30" s="204"/>
      <c r="NS30" s="204"/>
      <c r="NT30" s="204"/>
      <c r="NU30" s="204"/>
      <c r="NV30" s="204"/>
      <c r="NW30" s="204"/>
      <c r="NX30" s="204"/>
      <c r="NY30" s="204"/>
      <c r="NZ30" s="204"/>
      <c r="OA30" s="204"/>
      <c r="OB30" s="204"/>
      <c r="OC30" s="204"/>
      <c r="OD30" s="204"/>
      <c r="OE30" s="204"/>
      <c r="OF30" s="204"/>
      <c r="OG30" s="204"/>
      <c r="OH30" s="204"/>
      <c r="OI30" s="204"/>
      <c r="OJ30" s="204"/>
      <c r="OK30" s="204"/>
      <c r="OL30" s="204"/>
      <c r="OM30" s="204"/>
      <c r="ON30" s="204"/>
      <c r="OO30" s="204"/>
      <c r="OP30" s="204"/>
      <c r="OQ30" s="204"/>
      <c r="OR30" s="204"/>
      <c r="OS30" s="204"/>
      <c r="OT30" s="204"/>
      <c r="OU30" s="204"/>
      <c r="OV30" s="204"/>
      <c r="OW30" s="204"/>
      <c r="OX30" s="204"/>
      <c r="OY30" s="204"/>
      <c r="OZ30" s="204"/>
      <c r="PA30" s="204"/>
      <c r="PB30" s="204"/>
      <c r="PC30" s="204"/>
      <c r="PD30" s="204"/>
      <c r="PE30" s="204"/>
      <c r="PF30" s="204"/>
      <c r="PG30" s="204"/>
      <c r="PH30" s="204"/>
      <c r="PI30" s="204"/>
      <c r="PJ30" s="204"/>
      <c r="PK30" s="204"/>
      <c r="PL30" s="204"/>
      <c r="PM30" s="204"/>
      <c r="PN30" s="204"/>
      <c r="PO30" s="204"/>
      <c r="PP30" s="204"/>
      <c r="PQ30" s="204"/>
      <c r="PR30" s="204"/>
      <c r="PS30" s="204"/>
      <c r="PT30" s="204"/>
      <c r="PU30" s="204"/>
      <c r="PV30" s="204"/>
      <c r="PW30" s="204"/>
      <c r="PX30" s="204"/>
      <c r="PY30" s="204"/>
      <c r="PZ30" s="204"/>
      <c r="QA30" s="204"/>
      <c r="QB30" s="204"/>
      <c r="QC30" s="204"/>
      <c r="QD30" s="204"/>
      <c r="QE30" s="204"/>
      <c r="QF30" s="204"/>
      <c r="QG30" s="204"/>
      <c r="QH30" s="204"/>
      <c r="QI30" s="204"/>
      <c r="QJ30" s="204"/>
      <c r="QK30" s="204"/>
      <c r="QL30" s="204"/>
      <c r="QM30" s="204"/>
      <c r="QN30" s="204"/>
      <c r="QO30" s="204"/>
      <c r="QP30" s="204"/>
      <c r="QQ30" s="204"/>
      <c r="QR30" s="204"/>
      <c r="QS30" s="204"/>
      <c r="QT30" s="204"/>
      <c r="QU30" s="204"/>
      <c r="QV30" s="204"/>
      <c r="QW30" s="204"/>
      <c r="QX30" s="204"/>
      <c r="QY30" s="204"/>
      <c r="QZ30" s="204"/>
      <c r="RA30" s="204"/>
      <c r="RB30" s="204"/>
      <c r="RC30" s="204"/>
      <c r="RD30" s="204"/>
      <c r="RE30" s="204"/>
      <c r="RF30" s="204"/>
      <c r="RG30" s="204"/>
      <c r="RH30" s="204"/>
      <c r="RI30" s="204"/>
      <c r="RJ30" s="204"/>
      <c r="RK30" s="204"/>
      <c r="RL30" s="204"/>
      <c r="RM30" s="204"/>
      <c r="RN30" s="204"/>
      <c r="RO30" s="204"/>
      <c r="RP30" s="204"/>
      <c r="RQ30" s="204"/>
      <c r="RR30" s="204"/>
      <c r="RS30" s="204"/>
      <c r="RT30" s="204"/>
      <c r="RU30" s="204"/>
      <c r="RV30" s="204"/>
      <c r="RW30" s="204"/>
      <c r="RX30" s="204"/>
      <c r="RY30" s="204"/>
      <c r="RZ30" s="204"/>
      <c r="SA30" s="204"/>
      <c r="SB30" s="204"/>
      <c r="SC30" s="204"/>
      <c r="SD30" s="204"/>
      <c r="SE30" s="204"/>
      <c r="SF30" s="204"/>
      <c r="SG30" s="204"/>
      <c r="SH30" s="204"/>
      <c r="SI30" s="204"/>
      <c r="SJ30" s="204"/>
      <c r="SK30" s="204"/>
      <c r="SL30" s="204"/>
      <c r="SM30" s="204"/>
      <c r="SN30" s="204"/>
      <c r="SO30" s="204"/>
      <c r="SP30" s="204"/>
      <c r="SQ30" s="204"/>
      <c r="SR30" s="204"/>
      <c r="SS30" s="204"/>
      <c r="ST30" s="204"/>
      <c r="SU30" s="204"/>
      <c r="SV30" s="204"/>
      <c r="SW30" s="204"/>
      <c r="SX30" s="204"/>
      <c r="SY30" s="204"/>
      <c r="SZ30" s="204"/>
      <c r="TA30" s="204"/>
      <c r="TB30" s="204"/>
      <c r="TC30" s="204"/>
      <c r="TD30" s="204"/>
      <c r="TE30" s="204"/>
      <c r="TF30" s="204"/>
      <c r="TG30" s="204"/>
      <c r="TH30" s="204"/>
      <c r="TI30" s="204"/>
      <c r="TJ30" s="204"/>
      <c r="TK30" s="204"/>
      <c r="TL30" s="204"/>
      <c r="TM30" s="204"/>
      <c r="TN30" s="204"/>
      <c r="TO30" s="204"/>
      <c r="TP30" s="204"/>
      <c r="TQ30" s="204"/>
      <c r="TR30" s="204"/>
      <c r="TS30" s="204"/>
      <c r="TT30" s="204"/>
      <c r="TU30" s="204"/>
      <c r="TV30" s="204"/>
      <c r="TW30" s="204"/>
      <c r="TX30" s="204"/>
      <c r="TY30" s="204"/>
      <c r="TZ30" s="204"/>
      <c r="UA30" s="204"/>
      <c r="UB30" s="204"/>
      <c r="UC30" s="204"/>
      <c r="UD30" s="204"/>
      <c r="UE30" s="204"/>
      <c r="UF30" s="204"/>
      <c r="UG30" s="204"/>
      <c r="UH30" s="204"/>
      <c r="UI30" s="204"/>
      <c r="UJ30" s="204"/>
      <c r="UK30" s="204"/>
      <c r="UL30" s="204"/>
      <c r="UM30" s="204"/>
      <c r="UN30" s="204"/>
      <c r="UO30" s="204"/>
      <c r="UP30" s="204"/>
      <c r="UQ30" s="204"/>
      <c r="UR30" s="204"/>
      <c r="US30" s="204"/>
      <c r="UT30" s="204"/>
      <c r="UU30" s="204"/>
      <c r="UV30" s="204"/>
      <c r="UW30" s="204"/>
      <c r="UX30" s="204"/>
      <c r="UY30" s="204"/>
      <c r="UZ30" s="204"/>
      <c r="VA30" s="204"/>
      <c r="VB30" s="204"/>
      <c r="VC30" s="204"/>
      <c r="VD30" s="204"/>
      <c r="VE30" s="204"/>
      <c r="VF30" s="204"/>
      <c r="VG30" s="204"/>
      <c r="VH30" s="204"/>
      <c r="VI30" s="204"/>
      <c r="VJ30" s="204"/>
      <c r="VK30" s="204"/>
      <c r="VL30" s="204"/>
      <c r="VM30" s="204"/>
      <c r="VN30" s="204"/>
      <c r="VO30" s="204"/>
      <c r="VP30" s="204"/>
      <c r="VQ30" s="204"/>
      <c r="VR30" s="204"/>
      <c r="VS30" s="204"/>
      <c r="VT30" s="204"/>
      <c r="VU30" s="204"/>
      <c r="VV30" s="204"/>
      <c r="VW30" s="204"/>
      <c r="VX30" s="204"/>
      <c r="VY30" s="204"/>
      <c r="VZ30" s="204"/>
      <c r="WA30" s="204"/>
      <c r="WB30" s="204"/>
      <c r="WC30" s="204"/>
      <c r="WD30" s="204"/>
      <c r="WE30" s="204"/>
      <c r="WF30" s="204"/>
      <c r="WG30" s="204"/>
      <c r="WH30" s="204"/>
      <c r="WI30" s="204"/>
      <c r="WJ30" s="204"/>
      <c r="WK30" s="204"/>
      <c r="WL30" s="204"/>
      <c r="WM30" s="204"/>
      <c r="WN30" s="204"/>
      <c r="WO30" s="204"/>
      <c r="WP30" s="204"/>
      <c r="WQ30" s="204"/>
      <c r="WR30" s="204"/>
      <c r="WS30" s="204"/>
      <c r="WT30" s="204"/>
      <c r="WU30" s="204"/>
      <c r="WV30" s="204"/>
      <c r="WW30" s="204"/>
      <c r="WX30" s="204"/>
      <c r="WY30" s="204"/>
      <c r="WZ30" s="204"/>
      <c r="XA30" s="204"/>
      <c r="XB30" s="204"/>
      <c r="XC30" s="204"/>
      <c r="XD30" s="204"/>
      <c r="XE30" s="204"/>
      <c r="XF30" s="204"/>
      <c r="XG30" s="204"/>
      <c r="XH30" s="204"/>
      <c r="XI30" s="204"/>
      <c r="XJ30" s="204"/>
      <c r="XK30" s="204"/>
      <c r="XL30" s="204"/>
      <c r="XM30" s="204"/>
      <c r="XN30" s="204"/>
      <c r="XO30" s="204"/>
      <c r="XP30" s="204"/>
      <c r="XQ30" s="204"/>
      <c r="XR30" s="204"/>
      <c r="XS30" s="204"/>
      <c r="XT30" s="204"/>
      <c r="XU30" s="204"/>
      <c r="XV30" s="204"/>
      <c r="XW30" s="204"/>
      <c r="XX30" s="204"/>
      <c r="XY30" s="204"/>
      <c r="XZ30" s="204"/>
      <c r="YA30" s="204"/>
      <c r="YB30" s="204"/>
      <c r="YC30" s="204"/>
      <c r="YD30" s="204"/>
      <c r="YE30" s="204"/>
      <c r="YF30" s="204"/>
      <c r="YG30" s="204"/>
      <c r="YH30" s="204"/>
      <c r="YI30" s="204"/>
      <c r="YJ30" s="204"/>
      <c r="YK30" s="204"/>
      <c r="YL30" s="204"/>
      <c r="YM30" s="204"/>
      <c r="YN30" s="204"/>
      <c r="YO30" s="204"/>
      <c r="YP30" s="204"/>
      <c r="YQ30" s="204"/>
      <c r="YR30" s="204"/>
      <c r="YS30" s="204"/>
      <c r="YT30" s="204"/>
      <c r="YU30" s="204"/>
      <c r="YV30" s="204"/>
      <c r="YW30" s="204"/>
      <c r="YX30" s="204"/>
      <c r="YY30" s="204"/>
      <c r="YZ30" s="204"/>
      <c r="ZA30" s="204"/>
      <c r="ZB30" s="204"/>
      <c r="ZC30" s="204"/>
      <c r="ZD30" s="204"/>
      <c r="ZE30" s="204"/>
      <c r="ZF30" s="204"/>
      <c r="ZG30" s="204"/>
      <c r="ZH30" s="204"/>
      <c r="ZI30" s="204"/>
      <c r="ZJ30" s="204"/>
      <c r="ZK30" s="204"/>
      <c r="ZL30" s="204"/>
      <c r="ZM30" s="204"/>
      <c r="ZN30" s="204"/>
      <c r="ZO30" s="204"/>
      <c r="ZP30" s="204"/>
      <c r="ZQ30" s="204"/>
      <c r="ZR30" s="204"/>
      <c r="ZS30" s="204"/>
      <c r="ZT30" s="204"/>
      <c r="ZU30" s="204"/>
      <c r="ZV30" s="204"/>
      <c r="ZW30" s="204"/>
      <c r="ZX30" s="204"/>
      <c r="ZY30" s="204"/>
      <c r="ZZ30" s="204"/>
      <c r="AAA30" s="204"/>
      <c r="AAB30" s="204"/>
      <c r="AAC30" s="204"/>
      <c r="AAD30" s="204"/>
      <c r="AAE30" s="204"/>
      <c r="AAF30" s="204"/>
      <c r="AAG30" s="204"/>
      <c r="AAH30" s="204"/>
      <c r="AAI30" s="204"/>
      <c r="AAJ30" s="204"/>
      <c r="AAK30" s="204"/>
      <c r="AAL30" s="204"/>
      <c r="AAM30" s="204"/>
      <c r="AAN30" s="204"/>
      <c r="AAO30" s="204"/>
      <c r="AAP30" s="204"/>
      <c r="AAQ30" s="204"/>
      <c r="AAR30" s="204"/>
      <c r="AAS30" s="204"/>
      <c r="AAT30" s="204"/>
      <c r="AAU30" s="204"/>
      <c r="AAV30" s="204"/>
      <c r="AAW30" s="204"/>
      <c r="AAX30" s="204"/>
      <c r="AAY30" s="204"/>
      <c r="AAZ30" s="204"/>
      <c r="ABA30" s="204"/>
      <c r="ABB30" s="204"/>
      <c r="ABC30" s="204"/>
      <c r="ABD30" s="204"/>
      <c r="ABE30" s="204"/>
      <c r="ABF30" s="204"/>
      <c r="ABG30" s="204"/>
      <c r="ABH30" s="204"/>
      <c r="ABI30" s="204"/>
      <c r="ABJ30" s="204"/>
      <c r="ABK30" s="204"/>
      <c r="ABL30" s="204"/>
      <c r="ABM30" s="204"/>
      <c r="ABN30" s="204"/>
      <c r="ABO30" s="204"/>
      <c r="ABP30" s="204"/>
      <c r="ABQ30" s="204"/>
      <c r="ABR30" s="204"/>
      <c r="ABS30" s="204"/>
      <c r="ABT30" s="204"/>
      <c r="ABU30" s="204"/>
      <c r="ABV30" s="204"/>
      <c r="ABW30" s="204"/>
      <c r="ABX30" s="204"/>
      <c r="ABY30" s="204"/>
      <c r="ABZ30" s="204"/>
      <c r="ACA30" s="204"/>
      <c r="ACB30" s="204"/>
      <c r="ACC30" s="204"/>
      <c r="ACD30" s="204"/>
      <c r="ACE30" s="204"/>
      <c r="ACF30" s="204"/>
      <c r="ACG30" s="204"/>
      <c r="ACH30" s="204"/>
      <c r="ACI30" s="204"/>
      <c r="ACJ30" s="204"/>
      <c r="ACK30" s="204"/>
      <c r="ACL30" s="204"/>
      <c r="ACM30" s="204"/>
      <c r="ACN30" s="204"/>
      <c r="ACO30" s="204"/>
      <c r="ACP30" s="204"/>
      <c r="ACQ30" s="204"/>
      <c r="ACR30" s="204"/>
      <c r="ACS30" s="204"/>
      <c r="ACT30" s="204"/>
      <c r="ACU30" s="204"/>
      <c r="ACV30" s="204"/>
      <c r="ACW30" s="204"/>
      <c r="ACX30" s="204"/>
      <c r="ACY30" s="204"/>
      <c r="ACZ30" s="204"/>
      <c r="ADA30" s="204"/>
      <c r="ADB30" s="204"/>
      <c r="ADC30" s="204"/>
      <c r="ADD30" s="204"/>
      <c r="ADE30" s="204"/>
      <c r="ADF30" s="204"/>
      <c r="ADG30" s="204"/>
      <c r="ADH30" s="204"/>
      <c r="ADI30" s="204"/>
      <c r="ADJ30" s="204"/>
      <c r="ADK30" s="204"/>
      <c r="ADL30" s="204"/>
      <c r="ADM30" s="204"/>
      <c r="ADN30" s="204"/>
      <c r="ADO30" s="204"/>
      <c r="ADP30" s="204"/>
      <c r="ADQ30" s="204"/>
      <c r="ADR30" s="204"/>
      <c r="ADS30" s="204"/>
      <c r="ADT30" s="204"/>
      <c r="ADU30" s="204"/>
      <c r="ADV30" s="204"/>
      <c r="ADW30" s="204"/>
      <c r="ADX30" s="204"/>
      <c r="ADY30" s="204"/>
      <c r="ADZ30" s="204"/>
      <c r="AEA30" s="204"/>
      <c r="AEB30" s="204"/>
      <c r="AEC30" s="204"/>
      <c r="AED30" s="204"/>
      <c r="AEE30" s="204"/>
      <c r="AEF30" s="204"/>
      <c r="AEG30" s="204"/>
      <c r="AEH30" s="204"/>
      <c r="AEI30" s="204"/>
      <c r="AEJ30" s="204"/>
      <c r="AEK30" s="204"/>
      <c r="AEL30" s="204"/>
      <c r="AEM30" s="204"/>
      <c r="AEN30" s="204"/>
      <c r="AEO30" s="204"/>
      <c r="AEP30" s="204"/>
      <c r="AEQ30" s="204"/>
      <c r="AER30" s="204"/>
      <c r="AES30" s="204"/>
      <c r="AET30" s="204"/>
      <c r="AEU30" s="204"/>
      <c r="AEV30" s="204"/>
      <c r="AEW30" s="204"/>
      <c r="AEX30" s="204"/>
      <c r="AEY30" s="204"/>
      <c r="AEZ30" s="204"/>
      <c r="AFA30" s="204"/>
      <c r="AFB30" s="204"/>
      <c r="AFC30" s="204"/>
      <c r="AFD30" s="204"/>
      <c r="AFE30" s="204"/>
      <c r="AFF30" s="204"/>
      <c r="AFG30" s="204"/>
      <c r="AFH30" s="204"/>
      <c r="AFI30" s="204"/>
      <c r="AFJ30" s="204"/>
      <c r="AFK30" s="204"/>
      <c r="AFL30" s="204"/>
      <c r="AFM30" s="204"/>
      <c r="AFN30" s="204"/>
      <c r="AFO30" s="204"/>
      <c r="AFP30" s="204"/>
      <c r="AFQ30" s="204"/>
      <c r="AFR30" s="204"/>
      <c r="AFS30" s="204"/>
      <c r="AFT30" s="204"/>
      <c r="AFU30" s="204"/>
      <c r="AFV30" s="204"/>
      <c r="AFW30" s="204"/>
      <c r="AFX30" s="204"/>
      <c r="AFY30" s="204"/>
      <c r="AFZ30" s="204"/>
      <c r="AGA30" s="204"/>
      <c r="AGB30" s="204"/>
      <c r="AGC30" s="204"/>
      <c r="AGD30" s="204"/>
      <c r="AGE30" s="204"/>
      <c r="AGF30" s="204"/>
      <c r="AGG30" s="204"/>
      <c r="AGH30" s="204"/>
      <c r="AGI30" s="204"/>
      <c r="AGJ30" s="204"/>
      <c r="AGK30" s="204"/>
      <c r="AGL30" s="204"/>
      <c r="AGM30" s="204"/>
      <c r="AGN30" s="204"/>
      <c r="AGO30" s="204"/>
      <c r="AGP30" s="204"/>
      <c r="AGQ30" s="204"/>
      <c r="AGR30" s="204"/>
      <c r="AGS30" s="204"/>
      <c r="AGT30" s="204"/>
      <c r="AGU30" s="204"/>
      <c r="AGV30" s="204"/>
      <c r="AGW30" s="204"/>
      <c r="AGX30" s="204"/>
      <c r="AGY30" s="204"/>
      <c r="AGZ30" s="204"/>
      <c r="AHA30" s="204"/>
      <c r="AHB30" s="204"/>
      <c r="AHC30" s="204"/>
      <c r="AHD30" s="204"/>
      <c r="AHE30" s="204"/>
      <c r="AHF30" s="204"/>
      <c r="AHG30" s="204"/>
      <c r="AHH30" s="204"/>
      <c r="AHI30" s="204"/>
      <c r="AHJ30" s="204"/>
      <c r="AHK30" s="204"/>
      <c r="AHL30" s="204"/>
      <c r="AHM30" s="204"/>
      <c r="AHN30" s="204"/>
      <c r="AHO30" s="204"/>
      <c r="AHP30" s="204"/>
      <c r="AHQ30" s="204"/>
      <c r="AHR30" s="204"/>
      <c r="AHS30" s="204"/>
      <c r="AHT30" s="204"/>
      <c r="AHU30" s="204"/>
      <c r="AHV30" s="204"/>
      <c r="AHW30" s="204"/>
      <c r="AHX30" s="204"/>
      <c r="AHY30" s="204"/>
      <c r="AHZ30" s="204"/>
      <c r="AIA30" s="204"/>
      <c r="AIB30" s="204"/>
      <c r="AIC30" s="204"/>
      <c r="AID30" s="204"/>
      <c r="AIE30" s="204"/>
      <c r="AIF30" s="204"/>
      <c r="AIG30" s="204"/>
      <c r="AIH30" s="204"/>
      <c r="AII30" s="204"/>
      <c r="AIJ30" s="204"/>
      <c r="AIK30" s="204"/>
      <c r="AIL30" s="204"/>
      <c r="AIM30" s="204"/>
      <c r="AIN30" s="204"/>
      <c r="AIO30" s="204"/>
      <c r="AIP30" s="204"/>
      <c r="AIQ30" s="204"/>
      <c r="AIR30" s="204"/>
      <c r="AIS30" s="204"/>
      <c r="AIT30" s="204"/>
      <c r="AIU30" s="204"/>
      <c r="AIV30" s="204"/>
      <c r="AIW30" s="204"/>
      <c r="AIX30" s="204"/>
      <c r="AIY30" s="204"/>
      <c r="AIZ30" s="204"/>
      <c r="AJA30" s="204"/>
      <c r="AJB30" s="204"/>
      <c r="AJC30" s="204"/>
      <c r="AJD30" s="204"/>
      <c r="AJE30" s="204"/>
      <c r="AJF30" s="204"/>
      <c r="AJG30" s="204"/>
      <c r="AJH30" s="204"/>
      <c r="AJI30" s="204"/>
      <c r="AJJ30" s="204"/>
      <c r="AJK30" s="204"/>
      <c r="AJL30" s="204"/>
      <c r="AJM30" s="204"/>
      <c r="AJN30" s="204"/>
      <c r="AJO30" s="204"/>
      <c r="AJP30" s="204"/>
      <c r="AJQ30" s="204"/>
      <c r="AJR30" s="204"/>
      <c r="AJS30" s="204"/>
      <c r="AJT30" s="204"/>
      <c r="AJU30" s="204"/>
      <c r="AJV30" s="204"/>
      <c r="AJW30" s="204"/>
      <c r="AJX30" s="204"/>
      <c r="AJY30" s="204"/>
      <c r="AJZ30" s="204"/>
      <c r="AKA30" s="204"/>
      <c r="AKB30" s="204"/>
      <c r="AKC30" s="204"/>
      <c r="AKD30" s="204"/>
      <c r="AKE30" s="204"/>
      <c r="AKF30" s="204"/>
      <c r="AKG30" s="204"/>
      <c r="AKH30" s="204"/>
      <c r="AKI30" s="204"/>
      <c r="AKJ30" s="204"/>
      <c r="AKK30" s="204"/>
      <c r="AKL30" s="204"/>
      <c r="AKM30" s="204"/>
      <c r="AKN30" s="204"/>
      <c r="AKO30" s="204"/>
      <c r="AKP30" s="204"/>
      <c r="AKQ30" s="204"/>
      <c r="AKR30" s="204"/>
      <c r="AKS30" s="204"/>
      <c r="AKT30" s="204"/>
      <c r="AKU30" s="204"/>
      <c r="AKV30" s="204"/>
      <c r="AKW30" s="204"/>
      <c r="AKX30" s="204"/>
      <c r="AKY30" s="204"/>
      <c r="AKZ30" s="204"/>
      <c r="ALA30" s="204"/>
      <c r="ALB30" s="204"/>
      <c r="ALC30" s="204"/>
      <c r="ALD30" s="204"/>
      <c r="ALE30" s="204"/>
      <c r="ALF30" s="204"/>
      <c r="ALG30" s="204"/>
      <c r="ALH30" s="204"/>
      <c r="ALI30" s="204"/>
      <c r="ALJ30" s="204"/>
      <c r="ALK30" s="204"/>
      <c r="ALL30" s="204"/>
      <c r="ALM30" s="204"/>
      <c r="ALN30" s="204"/>
      <c r="ALO30" s="204"/>
      <c r="ALP30" s="204"/>
      <c r="ALQ30" s="204"/>
      <c r="ALR30" s="204"/>
      <c r="ALS30" s="204"/>
      <c r="ALT30" s="204"/>
      <c r="ALU30" s="204"/>
      <c r="ALV30" s="204"/>
      <c r="ALW30" s="204"/>
      <c r="ALX30" s="204"/>
      <c r="ALY30" s="204"/>
      <c r="ALZ30" s="204"/>
      <c r="AMA30" s="204"/>
      <c r="AMB30" s="204"/>
      <c r="AMC30" s="204"/>
      <c r="AMD30" s="204"/>
      <c r="AME30" s="204"/>
      <c r="AMF30" s="204"/>
      <c r="AMG30" s="204"/>
      <c r="AMH30" s="204"/>
      <c r="AMI30" s="204"/>
      <c r="AMJ30" s="204"/>
      <c r="AMK30" s="204"/>
      <c r="AML30" s="204"/>
      <c r="AMM30" s="204"/>
      <c r="AMN30" s="204"/>
      <c r="AMO30" s="204"/>
      <c r="AMP30" s="204"/>
      <c r="AMQ30" s="204"/>
      <c r="AMR30" s="204"/>
      <c r="AMS30" s="204"/>
      <c r="AMT30" s="204"/>
      <c r="AMU30" s="204"/>
      <c r="AMV30" s="204"/>
      <c r="AMW30" s="204"/>
      <c r="AMX30" s="204"/>
      <c r="AMY30" s="204"/>
      <c r="AMZ30" s="204"/>
      <c r="ANA30" s="204"/>
      <c r="ANB30" s="204"/>
      <c r="ANC30" s="204"/>
      <c r="AND30" s="204"/>
      <c r="ANE30" s="204"/>
      <c r="ANF30" s="204"/>
      <c r="ANG30" s="204"/>
      <c r="ANH30" s="204"/>
      <c r="ANI30" s="204"/>
      <c r="ANJ30" s="204"/>
      <c r="ANK30" s="204"/>
      <c r="ANL30" s="204"/>
      <c r="ANM30" s="204"/>
      <c r="ANN30" s="204"/>
      <c r="ANO30" s="204"/>
      <c r="ANP30" s="204"/>
      <c r="ANQ30" s="204"/>
      <c r="ANR30" s="204"/>
      <c r="ANS30" s="204"/>
      <c r="ANT30" s="204"/>
      <c r="ANU30" s="204"/>
      <c r="ANV30" s="204"/>
      <c r="ANW30" s="204"/>
      <c r="ANX30" s="204"/>
      <c r="ANY30" s="204"/>
      <c r="ANZ30" s="204"/>
      <c r="AOA30" s="204"/>
      <c r="AOB30" s="204"/>
      <c r="AOC30" s="204"/>
      <c r="AOD30" s="204"/>
      <c r="AOE30" s="204"/>
      <c r="AOF30" s="204"/>
      <c r="AOG30" s="204"/>
      <c r="AOH30" s="204"/>
      <c r="AOI30" s="204"/>
      <c r="AOJ30" s="204"/>
      <c r="AOK30" s="204"/>
      <c r="AOL30" s="204"/>
      <c r="AOM30" s="204"/>
      <c r="AON30" s="204"/>
      <c r="AOO30" s="204"/>
      <c r="AOP30" s="204"/>
      <c r="AOQ30" s="204"/>
      <c r="AOR30" s="204"/>
      <c r="AOS30" s="204"/>
      <c r="AOT30" s="204"/>
      <c r="AOU30" s="204"/>
      <c r="AOV30" s="204"/>
      <c r="AOW30" s="204"/>
      <c r="AOX30" s="204"/>
      <c r="AOY30" s="204"/>
      <c r="AOZ30" s="204"/>
      <c r="APA30" s="204"/>
      <c r="APB30" s="204"/>
      <c r="APC30" s="204"/>
      <c r="APD30" s="204"/>
      <c r="APE30" s="204"/>
      <c r="APF30" s="204"/>
      <c r="APG30" s="204"/>
      <c r="APH30" s="204"/>
      <c r="API30" s="204"/>
      <c r="APJ30" s="204"/>
      <c r="APK30" s="204"/>
      <c r="APL30" s="204"/>
      <c r="APM30" s="204"/>
      <c r="APN30" s="204"/>
      <c r="APO30" s="204"/>
      <c r="APP30" s="204"/>
      <c r="APQ30" s="204"/>
      <c r="APR30" s="204"/>
      <c r="APS30" s="204"/>
      <c r="APT30" s="204"/>
      <c r="APU30" s="204"/>
      <c r="APV30" s="204"/>
      <c r="APW30" s="204"/>
      <c r="APX30" s="204"/>
      <c r="APY30" s="204"/>
      <c r="APZ30" s="204"/>
      <c r="AQA30" s="204"/>
      <c r="AQB30" s="204"/>
      <c r="AQC30" s="204"/>
      <c r="AQD30" s="204"/>
      <c r="AQE30" s="204"/>
      <c r="AQF30" s="204"/>
      <c r="AQG30" s="204"/>
      <c r="AQH30" s="204"/>
      <c r="AQI30" s="204"/>
      <c r="AQJ30" s="204"/>
      <c r="AQK30" s="204"/>
      <c r="AQL30" s="204"/>
      <c r="AQM30" s="204"/>
      <c r="AQN30" s="204"/>
      <c r="AQO30" s="204"/>
      <c r="AQP30" s="204"/>
      <c r="AQQ30" s="204"/>
      <c r="AQR30" s="204"/>
      <c r="AQS30" s="204"/>
      <c r="AQT30" s="204"/>
      <c r="AQU30" s="204"/>
      <c r="AQV30" s="204"/>
      <c r="AQW30" s="204"/>
      <c r="AQX30" s="204"/>
      <c r="AQY30" s="204"/>
      <c r="AQZ30" s="204"/>
      <c r="ARA30" s="204"/>
      <c r="ARB30" s="204"/>
      <c r="ARC30" s="204"/>
      <c r="ARD30" s="204"/>
      <c r="ARE30" s="204"/>
      <c r="ARF30" s="204"/>
      <c r="ARG30" s="204"/>
      <c r="ARH30" s="204"/>
      <c r="ARI30" s="204"/>
      <c r="ARJ30" s="204"/>
      <c r="ARK30" s="204"/>
      <c r="ARL30" s="204"/>
      <c r="ARM30" s="204"/>
      <c r="ARN30" s="204"/>
      <c r="ARO30" s="204"/>
      <c r="ARP30" s="204"/>
      <c r="ARQ30" s="204"/>
      <c r="ARR30" s="204"/>
      <c r="ARS30" s="204"/>
      <c r="ART30" s="204"/>
      <c r="ARU30" s="204"/>
      <c r="ARV30" s="204"/>
      <c r="ARW30" s="204"/>
      <c r="ARX30" s="204"/>
      <c r="ARY30" s="204"/>
      <c r="ARZ30" s="204"/>
      <c r="ASA30" s="204"/>
      <c r="ASB30" s="204"/>
      <c r="ASC30" s="204"/>
      <c r="ASD30" s="204"/>
      <c r="ASE30" s="204"/>
      <c r="ASF30" s="204"/>
      <c r="ASG30" s="204"/>
      <c r="ASH30" s="204"/>
      <c r="ASI30" s="204"/>
      <c r="ASJ30" s="204"/>
      <c r="ASK30" s="204"/>
      <c r="ASL30" s="204"/>
      <c r="ASM30" s="204"/>
      <c r="ASN30" s="204"/>
      <c r="ASO30" s="204"/>
      <c r="ASP30" s="204"/>
      <c r="ASQ30" s="204"/>
      <c r="ASR30" s="204"/>
      <c r="ASS30" s="204"/>
      <c r="AST30" s="204"/>
      <c r="ASU30" s="204"/>
      <c r="ASV30" s="204"/>
      <c r="ASW30" s="204"/>
      <c r="ASX30" s="204"/>
      <c r="ASY30" s="204"/>
      <c r="ASZ30" s="204"/>
      <c r="ATA30" s="204"/>
      <c r="ATB30" s="204"/>
      <c r="ATC30" s="204"/>
      <c r="ATD30" s="204"/>
      <c r="ATE30" s="204"/>
      <c r="ATF30" s="204"/>
      <c r="ATG30" s="204"/>
      <c r="ATH30" s="204"/>
      <c r="ATI30" s="204"/>
      <c r="ATJ30" s="204"/>
      <c r="ATK30" s="204"/>
      <c r="ATL30" s="204"/>
      <c r="ATM30" s="204"/>
      <c r="ATN30" s="204"/>
      <c r="ATO30" s="204"/>
      <c r="ATP30" s="204"/>
      <c r="ATQ30" s="204"/>
      <c r="ATR30" s="204"/>
      <c r="ATS30" s="204"/>
      <c r="ATT30" s="204"/>
      <c r="ATU30" s="204"/>
      <c r="ATV30" s="204"/>
      <c r="ATW30" s="204"/>
      <c r="ATX30" s="204"/>
      <c r="ATY30" s="204"/>
      <c r="ATZ30" s="204"/>
      <c r="AUA30" s="204"/>
      <c r="AUB30" s="204"/>
      <c r="AUC30" s="204"/>
      <c r="AUD30" s="204"/>
      <c r="AUE30" s="204"/>
      <c r="AUF30" s="204"/>
      <c r="AUG30" s="204"/>
      <c r="AUH30" s="204"/>
      <c r="AUI30" s="204"/>
      <c r="AUJ30" s="204"/>
      <c r="AUK30" s="204"/>
      <c r="AUL30" s="204"/>
      <c r="AUM30" s="204"/>
      <c r="AUN30" s="204"/>
      <c r="AUO30" s="204"/>
      <c r="AUP30" s="204"/>
      <c r="AUQ30" s="204"/>
      <c r="AUR30" s="204"/>
      <c r="AUS30" s="204"/>
      <c r="AUT30" s="204"/>
      <c r="AUU30" s="204"/>
      <c r="AUV30" s="204"/>
      <c r="AUW30" s="204"/>
      <c r="AUX30" s="204"/>
      <c r="AUY30" s="204"/>
      <c r="AUZ30" s="204"/>
      <c r="AVA30" s="204"/>
      <c r="AVB30" s="204"/>
      <c r="AVC30" s="204"/>
      <c r="AVD30" s="204"/>
      <c r="AVE30" s="204"/>
      <c r="AVF30" s="204"/>
      <c r="AVG30" s="204"/>
      <c r="AVH30" s="204"/>
      <c r="AVI30" s="204"/>
      <c r="AVJ30" s="204"/>
      <c r="AVK30" s="204"/>
      <c r="AVL30" s="204"/>
      <c r="AVM30" s="204"/>
      <c r="AVN30" s="204"/>
      <c r="AVO30" s="204"/>
      <c r="AVP30" s="204"/>
      <c r="AVQ30" s="204"/>
      <c r="AVR30" s="204"/>
      <c r="AVS30" s="204"/>
      <c r="AVT30" s="204"/>
      <c r="AVU30" s="204"/>
      <c r="AVV30" s="204"/>
      <c r="AVW30" s="204"/>
      <c r="AVX30" s="204"/>
      <c r="AVY30" s="204"/>
      <c r="AVZ30" s="204"/>
      <c r="AWA30" s="204"/>
      <c r="AWB30" s="204"/>
      <c r="AWC30" s="204"/>
      <c r="AWD30" s="204"/>
      <c r="AWE30" s="204"/>
      <c r="AWF30" s="204"/>
      <c r="AWG30" s="204"/>
      <c r="AWH30" s="204"/>
      <c r="AWI30" s="204"/>
      <c r="AWJ30" s="204"/>
      <c r="AWK30" s="204"/>
      <c r="AWL30" s="204"/>
      <c r="AWM30" s="204"/>
      <c r="AWN30" s="204"/>
      <c r="AWO30" s="204"/>
      <c r="AWP30" s="204"/>
      <c r="AWQ30" s="204"/>
      <c r="AWR30" s="204"/>
      <c r="AWS30" s="204"/>
      <c r="AWT30" s="204"/>
      <c r="AWU30" s="204"/>
      <c r="AWV30" s="204"/>
      <c r="AWW30" s="204"/>
      <c r="AWX30" s="204"/>
      <c r="AWY30" s="204"/>
      <c r="AWZ30" s="204"/>
      <c r="AXA30" s="204"/>
      <c r="AXB30" s="204"/>
      <c r="AXC30" s="204"/>
      <c r="AXD30" s="204"/>
      <c r="AXE30" s="204"/>
      <c r="AXF30" s="204"/>
      <c r="AXG30" s="204"/>
      <c r="AXH30" s="204"/>
      <c r="AXI30" s="204"/>
      <c r="AXJ30" s="204"/>
      <c r="AXK30" s="204"/>
      <c r="AXL30" s="204"/>
      <c r="AXM30" s="204"/>
      <c r="AXN30" s="204"/>
      <c r="AXO30" s="204"/>
      <c r="AXP30" s="204"/>
      <c r="AXQ30" s="204"/>
      <c r="AXR30" s="204"/>
      <c r="AXS30" s="204"/>
      <c r="AXT30" s="204"/>
      <c r="AXU30" s="204"/>
      <c r="AXV30" s="204"/>
      <c r="AXW30" s="204"/>
      <c r="AXX30" s="204"/>
      <c r="AXY30" s="204"/>
      <c r="AXZ30" s="204"/>
      <c r="AYA30" s="204"/>
      <c r="AYB30" s="204"/>
      <c r="AYC30" s="204"/>
      <c r="AYD30" s="204"/>
      <c r="AYE30" s="204"/>
      <c r="AYF30" s="204"/>
      <c r="AYG30" s="204"/>
      <c r="AYH30" s="204"/>
      <c r="AYI30" s="204"/>
      <c r="AYJ30" s="204"/>
      <c r="AYK30" s="204"/>
      <c r="AYL30" s="204"/>
      <c r="AYM30" s="204"/>
      <c r="AYN30" s="204"/>
      <c r="AYO30" s="204"/>
      <c r="AYP30" s="204"/>
      <c r="AYQ30" s="204"/>
      <c r="AYR30" s="204"/>
      <c r="AYS30" s="204"/>
      <c r="AYT30" s="204"/>
      <c r="AYU30" s="204"/>
      <c r="AYV30" s="204"/>
      <c r="AYW30" s="204"/>
      <c r="AYX30" s="204"/>
      <c r="AYY30" s="204"/>
      <c r="AYZ30" s="204"/>
      <c r="AZA30" s="204"/>
      <c r="AZB30" s="204"/>
      <c r="AZC30" s="204"/>
      <c r="AZD30" s="204"/>
      <c r="AZE30" s="204"/>
      <c r="AZF30" s="204"/>
      <c r="AZG30" s="204"/>
      <c r="AZH30" s="204"/>
      <c r="AZI30" s="204"/>
      <c r="AZJ30" s="204"/>
      <c r="AZK30" s="204"/>
      <c r="AZL30" s="204"/>
      <c r="AZM30" s="204"/>
      <c r="AZN30" s="204"/>
      <c r="AZO30" s="204"/>
      <c r="AZP30" s="204"/>
      <c r="AZQ30" s="204"/>
      <c r="AZR30" s="204"/>
      <c r="AZS30" s="204"/>
      <c r="AZT30" s="204"/>
      <c r="AZU30" s="204"/>
      <c r="AZV30" s="204"/>
      <c r="AZW30" s="204"/>
      <c r="AZX30" s="204"/>
      <c r="AZY30" s="204"/>
      <c r="AZZ30" s="204"/>
      <c r="BAA30" s="204"/>
      <c r="BAB30" s="204"/>
      <c r="BAC30" s="204"/>
      <c r="BAD30" s="204"/>
      <c r="BAE30" s="204"/>
      <c r="BAF30" s="204"/>
      <c r="BAG30" s="204"/>
      <c r="BAH30" s="204"/>
      <c r="BAI30" s="204"/>
      <c r="BAJ30" s="204"/>
      <c r="BAK30" s="204"/>
      <c r="BAL30" s="204"/>
      <c r="BAM30" s="204"/>
      <c r="BAN30" s="204"/>
      <c r="BAO30" s="204"/>
      <c r="BAP30" s="204"/>
      <c r="BAQ30" s="204"/>
      <c r="BAR30" s="204"/>
      <c r="BAS30" s="204"/>
      <c r="BAT30" s="204"/>
      <c r="BAU30" s="204"/>
      <c r="BAV30" s="204"/>
      <c r="BAW30" s="204"/>
      <c r="BAX30" s="204"/>
      <c r="BAY30" s="204"/>
      <c r="BAZ30" s="204"/>
      <c r="BBA30" s="204"/>
      <c r="BBB30" s="204"/>
      <c r="BBC30" s="204"/>
      <c r="BBD30" s="204"/>
      <c r="BBE30" s="204"/>
      <c r="BBF30" s="204"/>
      <c r="BBG30" s="204"/>
      <c r="BBH30" s="204"/>
      <c r="BBI30" s="204"/>
      <c r="BBJ30" s="204"/>
      <c r="BBK30" s="204"/>
      <c r="BBL30" s="204"/>
      <c r="BBM30" s="204"/>
      <c r="BBN30" s="204"/>
      <c r="BBO30" s="204"/>
      <c r="BBP30" s="204"/>
      <c r="BBQ30" s="204"/>
      <c r="BBR30" s="204"/>
      <c r="BBS30" s="204"/>
      <c r="BBT30" s="204"/>
      <c r="BBU30" s="204"/>
      <c r="BBV30" s="204"/>
      <c r="BBW30" s="204"/>
      <c r="BBX30" s="204"/>
      <c r="BBY30" s="204"/>
      <c r="BBZ30" s="204"/>
      <c r="BCA30" s="204"/>
      <c r="BCB30" s="204"/>
      <c r="BCC30" s="204"/>
      <c r="BCD30" s="204"/>
      <c r="BCE30" s="204"/>
      <c r="BCF30" s="204"/>
      <c r="BCG30" s="204"/>
      <c r="BCH30" s="204"/>
      <c r="BCI30" s="204"/>
      <c r="BCJ30" s="204"/>
      <c r="BCK30" s="204"/>
      <c r="BCL30" s="204"/>
      <c r="BCM30" s="204"/>
      <c r="BCN30" s="204"/>
      <c r="BCO30" s="204"/>
      <c r="BCP30" s="204"/>
      <c r="BCQ30" s="204"/>
      <c r="BCR30" s="204"/>
      <c r="BCS30" s="204"/>
      <c r="BCT30" s="204"/>
      <c r="BCU30" s="204"/>
      <c r="BCV30" s="204"/>
      <c r="BCW30" s="204"/>
      <c r="BCX30" s="204"/>
      <c r="BCY30" s="204"/>
      <c r="BCZ30" s="204"/>
      <c r="BDA30" s="204"/>
      <c r="BDB30" s="204"/>
      <c r="BDC30" s="204"/>
      <c r="BDD30" s="204"/>
      <c r="BDE30" s="204"/>
      <c r="BDF30" s="204"/>
      <c r="BDG30" s="204"/>
      <c r="BDH30" s="204"/>
      <c r="BDI30" s="204"/>
      <c r="BDJ30" s="204"/>
      <c r="BDK30" s="204"/>
      <c r="BDL30" s="204"/>
      <c r="BDM30" s="204"/>
      <c r="BDN30" s="204"/>
      <c r="BDO30" s="204"/>
      <c r="BDP30" s="204"/>
      <c r="BDQ30" s="204"/>
      <c r="BDR30" s="204"/>
      <c r="BDS30" s="204"/>
      <c r="BDT30" s="204"/>
      <c r="BDU30" s="204"/>
      <c r="BDV30" s="204"/>
      <c r="BDW30" s="204"/>
      <c r="BDX30" s="204"/>
      <c r="BDY30" s="204"/>
      <c r="BDZ30" s="204"/>
      <c r="BEA30" s="204"/>
      <c r="BEB30" s="204"/>
      <c r="BEC30" s="204"/>
      <c r="BED30" s="204"/>
      <c r="BEE30" s="204"/>
      <c r="BEF30" s="204"/>
      <c r="BEG30" s="204"/>
      <c r="BEH30" s="204"/>
      <c r="BEI30" s="204"/>
      <c r="BEJ30" s="204"/>
      <c r="BEK30" s="204"/>
      <c r="BEL30" s="204"/>
      <c r="BEM30" s="204"/>
      <c r="BEN30" s="204"/>
      <c r="BEO30" s="204"/>
      <c r="BEP30" s="204"/>
      <c r="BEQ30" s="204"/>
      <c r="BER30" s="204"/>
      <c r="BES30" s="204"/>
      <c r="BET30" s="204"/>
      <c r="BEU30" s="204"/>
      <c r="BEV30" s="204"/>
      <c r="BEW30" s="204"/>
      <c r="BEX30" s="204"/>
      <c r="BEY30" s="204"/>
      <c r="BEZ30" s="204"/>
      <c r="BFA30" s="204"/>
      <c r="BFB30" s="204"/>
      <c r="BFC30" s="204"/>
      <c r="BFD30" s="204"/>
      <c r="BFE30" s="204"/>
      <c r="BFF30" s="204"/>
      <c r="BFG30" s="204"/>
      <c r="BFH30" s="204"/>
      <c r="BFI30" s="204"/>
      <c r="BFJ30" s="204"/>
      <c r="BFK30" s="204"/>
      <c r="BFL30" s="204"/>
      <c r="BFM30" s="204"/>
      <c r="BFN30" s="204"/>
      <c r="BFO30" s="204"/>
      <c r="BFP30" s="204"/>
      <c r="BFQ30" s="204"/>
      <c r="BFR30" s="204"/>
      <c r="BFS30" s="204"/>
      <c r="BFT30" s="204"/>
      <c r="BFU30" s="204"/>
      <c r="BFV30" s="204"/>
      <c r="BFW30" s="204"/>
      <c r="BFX30" s="204"/>
      <c r="BFY30" s="204"/>
      <c r="BFZ30" s="204"/>
      <c r="BGA30" s="204"/>
      <c r="BGB30" s="204"/>
      <c r="BGC30" s="204"/>
      <c r="BGD30" s="204"/>
      <c r="BGE30" s="204"/>
      <c r="BGF30" s="204"/>
      <c r="BGG30" s="204"/>
      <c r="BGH30" s="204"/>
      <c r="BGI30" s="204"/>
      <c r="BGJ30" s="204"/>
      <c r="BGK30" s="204"/>
      <c r="BGL30" s="204"/>
      <c r="BGM30" s="204"/>
      <c r="BGN30" s="204"/>
      <c r="BGO30" s="204"/>
      <c r="BGP30" s="204"/>
      <c r="BGQ30" s="204"/>
      <c r="BGR30" s="204"/>
      <c r="BGS30" s="204"/>
      <c r="BGT30" s="204"/>
      <c r="BGU30" s="204"/>
      <c r="BGV30" s="204"/>
      <c r="BGW30" s="204"/>
      <c r="BGX30" s="204"/>
      <c r="BGY30" s="204"/>
      <c r="BGZ30" s="204"/>
      <c r="BHA30" s="204"/>
      <c r="BHB30" s="204"/>
      <c r="BHC30" s="204"/>
      <c r="BHD30" s="204"/>
      <c r="BHE30" s="204"/>
      <c r="BHF30" s="204"/>
      <c r="BHG30" s="204"/>
      <c r="BHH30" s="204"/>
      <c r="BHI30" s="204"/>
      <c r="BHJ30" s="204"/>
      <c r="BHK30" s="204"/>
      <c r="BHL30" s="204"/>
      <c r="BHM30" s="204"/>
      <c r="BHN30" s="204"/>
      <c r="BHO30" s="204"/>
      <c r="BHP30" s="204"/>
      <c r="BHQ30" s="204"/>
      <c r="BHR30" s="204"/>
      <c r="BHS30" s="204"/>
      <c r="BHT30" s="204"/>
      <c r="BHU30" s="204"/>
      <c r="BHV30" s="204"/>
      <c r="BHW30" s="204"/>
      <c r="BHX30" s="204"/>
      <c r="BHY30" s="204"/>
      <c r="BHZ30" s="204"/>
      <c r="BIA30" s="204"/>
      <c r="BIB30" s="204"/>
      <c r="BIC30" s="204"/>
      <c r="BID30" s="204"/>
      <c r="BIE30" s="204"/>
      <c r="BIF30" s="204"/>
      <c r="BIG30" s="204"/>
      <c r="BIH30" s="204"/>
      <c r="BII30" s="204"/>
      <c r="BIJ30" s="204"/>
      <c r="BIK30" s="204"/>
      <c r="BIL30" s="204"/>
      <c r="BIM30" s="204"/>
      <c r="BIN30" s="204"/>
      <c r="BIO30" s="204"/>
      <c r="BIP30" s="204"/>
      <c r="BIQ30" s="204"/>
      <c r="BIR30" s="204"/>
      <c r="BIS30" s="204"/>
      <c r="BIT30" s="204"/>
      <c r="BIU30" s="204"/>
      <c r="BIV30" s="204"/>
      <c r="BIW30" s="204"/>
      <c r="BIX30" s="204"/>
      <c r="BIY30" s="204"/>
      <c r="BIZ30" s="204"/>
      <c r="BJA30" s="204"/>
      <c r="BJB30" s="204"/>
      <c r="BJC30" s="204"/>
      <c r="BJD30" s="204"/>
      <c r="BJE30" s="204"/>
      <c r="BJF30" s="204"/>
      <c r="BJG30" s="204"/>
      <c r="BJH30" s="204"/>
      <c r="BJI30" s="204"/>
      <c r="BJJ30" s="204"/>
      <c r="BJK30" s="204"/>
      <c r="BJL30" s="204"/>
      <c r="BJM30" s="204"/>
      <c r="BJN30" s="204"/>
      <c r="BJO30" s="204"/>
      <c r="BJP30" s="204"/>
      <c r="BJQ30" s="204"/>
      <c r="BJR30" s="204"/>
      <c r="BJS30" s="204"/>
      <c r="BJT30" s="204"/>
      <c r="BJU30" s="204"/>
      <c r="BJV30" s="204"/>
      <c r="BJW30" s="204"/>
      <c r="BJX30" s="204"/>
      <c r="BJY30" s="204"/>
      <c r="BJZ30" s="204"/>
      <c r="BKA30" s="204"/>
      <c r="BKB30" s="204"/>
      <c r="BKC30" s="204"/>
      <c r="BKD30" s="204"/>
      <c r="BKE30" s="204"/>
      <c r="BKF30" s="204"/>
      <c r="BKG30" s="204"/>
      <c r="BKH30" s="204"/>
      <c r="BKI30" s="204"/>
      <c r="BKJ30" s="204"/>
      <c r="BKK30" s="204"/>
      <c r="BKL30" s="204"/>
      <c r="BKM30" s="204"/>
      <c r="BKN30" s="204"/>
      <c r="BKO30" s="204"/>
      <c r="BKP30" s="204"/>
      <c r="BKQ30" s="204"/>
      <c r="BKR30" s="204"/>
      <c r="BKS30" s="204"/>
      <c r="BKT30" s="204"/>
      <c r="BKU30" s="204"/>
      <c r="BKV30" s="204"/>
      <c r="BKW30" s="204"/>
      <c r="BKX30" s="204"/>
      <c r="BKY30" s="204"/>
      <c r="BKZ30" s="204"/>
      <c r="BLA30" s="204"/>
      <c r="BLB30" s="204"/>
      <c r="BLC30" s="204"/>
      <c r="BLD30" s="204"/>
      <c r="BLE30" s="204"/>
      <c r="BLF30" s="204"/>
      <c r="BLG30" s="204"/>
      <c r="BLH30" s="204"/>
      <c r="BLI30" s="204"/>
      <c r="BLJ30" s="204"/>
      <c r="BLK30" s="204"/>
      <c r="BLL30" s="204"/>
      <c r="BLM30" s="204"/>
      <c r="BLN30" s="204"/>
      <c r="BLO30" s="204"/>
      <c r="BLP30" s="204"/>
      <c r="BLQ30" s="204"/>
      <c r="BLR30" s="204"/>
      <c r="BLS30" s="204"/>
      <c r="BLT30" s="204"/>
      <c r="BLU30" s="204"/>
      <c r="BLV30" s="204"/>
      <c r="BLW30" s="204"/>
      <c r="BLX30" s="204"/>
      <c r="BLY30" s="204"/>
      <c r="BLZ30" s="204"/>
      <c r="BMA30" s="204"/>
      <c r="BMB30" s="204"/>
      <c r="BMC30" s="204"/>
      <c r="BMD30" s="204"/>
      <c r="BME30" s="204"/>
      <c r="BMF30" s="204"/>
      <c r="BMG30" s="204"/>
      <c r="BMH30" s="204"/>
      <c r="BMI30" s="204"/>
      <c r="BMJ30" s="204"/>
      <c r="BMK30" s="204"/>
      <c r="BML30" s="204"/>
      <c r="BMM30" s="204"/>
      <c r="BMN30" s="204"/>
      <c r="BMO30" s="204"/>
      <c r="BMP30" s="204"/>
      <c r="BMQ30" s="204"/>
      <c r="BMR30" s="204"/>
      <c r="BMS30" s="204"/>
      <c r="BMT30" s="204"/>
      <c r="BMU30" s="204"/>
      <c r="BMV30" s="204"/>
      <c r="BMW30" s="204"/>
      <c r="BMX30" s="204"/>
      <c r="BMY30" s="204"/>
      <c r="BMZ30" s="204"/>
      <c r="BNA30" s="204"/>
      <c r="BNB30" s="204"/>
      <c r="BNC30" s="204"/>
      <c r="BND30" s="204"/>
      <c r="BNE30" s="204"/>
      <c r="BNF30" s="204"/>
      <c r="BNG30" s="204"/>
      <c r="BNH30" s="204"/>
      <c r="BNI30" s="204"/>
      <c r="BNJ30" s="204"/>
      <c r="BNK30" s="204"/>
      <c r="BNL30" s="204"/>
      <c r="BNM30" s="204"/>
      <c r="BNN30" s="204"/>
      <c r="BNO30" s="204"/>
      <c r="BNP30" s="204"/>
      <c r="BNQ30" s="204"/>
      <c r="BNR30" s="204"/>
      <c r="BNS30" s="204"/>
      <c r="BNT30" s="204"/>
      <c r="BNU30" s="204"/>
      <c r="BNV30" s="204"/>
      <c r="BNW30" s="204"/>
      <c r="BNX30" s="204"/>
      <c r="BNY30" s="204"/>
      <c r="BNZ30" s="204"/>
      <c r="BOA30" s="204"/>
      <c r="BOB30" s="204"/>
      <c r="BOC30" s="204"/>
      <c r="BOD30" s="204"/>
      <c r="BOE30" s="204"/>
      <c r="BOF30" s="204"/>
      <c r="BOG30" s="204"/>
      <c r="BOH30" s="204"/>
      <c r="BOI30" s="204"/>
      <c r="BOJ30" s="204"/>
      <c r="BOK30" s="204"/>
      <c r="BOL30" s="204"/>
      <c r="BOM30" s="204"/>
      <c r="BON30" s="204"/>
      <c r="BOO30" s="204"/>
      <c r="BOP30" s="204"/>
      <c r="BOQ30" s="204"/>
      <c r="BOR30" s="204"/>
      <c r="BOS30" s="204"/>
      <c r="BOT30" s="204"/>
      <c r="BOU30" s="204"/>
      <c r="BOV30" s="204"/>
      <c r="BOW30" s="204"/>
      <c r="BOX30" s="204"/>
      <c r="BOY30" s="204"/>
      <c r="BOZ30" s="204"/>
      <c r="BPA30" s="204"/>
      <c r="BPB30" s="204"/>
      <c r="BPC30" s="204"/>
      <c r="BPD30" s="204"/>
      <c r="BPE30" s="204"/>
      <c r="BPF30" s="204"/>
      <c r="BPG30" s="204"/>
      <c r="BPH30" s="204"/>
      <c r="BPI30" s="204"/>
      <c r="BPJ30" s="204"/>
      <c r="BPK30" s="204"/>
      <c r="BPL30" s="204"/>
      <c r="BPM30" s="204"/>
      <c r="BPN30" s="204"/>
      <c r="BPO30" s="204"/>
      <c r="BPP30" s="204"/>
      <c r="BPQ30" s="204"/>
      <c r="BPR30" s="204"/>
      <c r="BPS30" s="204"/>
      <c r="BPT30" s="204"/>
      <c r="BPU30" s="204"/>
      <c r="BPV30" s="204"/>
      <c r="BPW30" s="204"/>
      <c r="BPX30" s="204"/>
      <c r="BPY30" s="204"/>
      <c r="BPZ30" s="204"/>
      <c r="BQA30" s="204"/>
      <c r="BQB30" s="204"/>
      <c r="BQC30" s="204"/>
      <c r="BQD30" s="204"/>
      <c r="BQE30" s="204"/>
      <c r="BQF30" s="204"/>
      <c r="BQG30" s="204"/>
      <c r="BQH30" s="204"/>
      <c r="BQI30" s="204"/>
      <c r="BQJ30" s="204"/>
      <c r="BQK30" s="204"/>
      <c r="BQL30" s="204"/>
      <c r="BQM30" s="204"/>
      <c r="BQN30" s="204"/>
      <c r="BQO30" s="204"/>
      <c r="BQP30" s="204"/>
      <c r="BQQ30" s="204"/>
      <c r="BQR30" s="204"/>
      <c r="BQS30" s="204"/>
      <c r="BQT30" s="204"/>
      <c r="BQU30" s="204"/>
      <c r="BQV30" s="204"/>
      <c r="BQW30" s="204"/>
      <c r="BQX30" s="204"/>
      <c r="BQY30" s="204"/>
      <c r="BQZ30" s="204"/>
      <c r="BRA30" s="204"/>
      <c r="BRB30" s="204"/>
      <c r="BRC30" s="204"/>
      <c r="BRD30" s="204"/>
      <c r="BRE30" s="204"/>
      <c r="BRF30" s="204"/>
      <c r="BRG30" s="204"/>
      <c r="BRH30" s="204"/>
      <c r="BRI30" s="204"/>
      <c r="BRJ30" s="204"/>
      <c r="BRK30" s="204"/>
      <c r="BRL30" s="204"/>
      <c r="BRM30" s="204"/>
      <c r="BRN30" s="204"/>
      <c r="BRO30" s="204"/>
      <c r="BRP30" s="204"/>
      <c r="BRQ30" s="204"/>
      <c r="BRR30" s="204"/>
      <c r="BRS30" s="204"/>
      <c r="BRT30" s="204"/>
      <c r="BRU30" s="204"/>
      <c r="BRV30" s="204"/>
      <c r="BRW30" s="204"/>
      <c r="BRX30" s="204"/>
      <c r="BRY30" s="204"/>
      <c r="BRZ30" s="204"/>
      <c r="BSA30" s="204"/>
      <c r="BSB30" s="204"/>
      <c r="BSC30" s="204"/>
      <c r="BSD30" s="204"/>
      <c r="BSE30" s="204"/>
      <c r="BSF30" s="204"/>
      <c r="BSG30" s="204"/>
      <c r="BSH30" s="204"/>
      <c r="BSI30" s="204"/>
      <c r="BSJ30" s="204"/>
      <c r="BSK30" s="204"/>
      <c r="BSL30" s="204"/>
      <c r="BSM30" s="204"/>
      <c r="BSN30" s="204"/>
      <c r="BSO30" s="204"/>
      <c r="BSP30" s="204"/>
      <c r="BSQ30" s="204"/>
      <c r="BSR30" s="204"/>
      <c r="BSS30" s="204"/>
      <c r="BST30" s="204"/>
      <c r="BSU30" s="204"/>
      <c r="BSV30" s="204"/>
      <c r="BSW30" s="204"/>
      <c r="BSX30" s="204"/>
      <c r="BSY30" s="204"/>
      <c r="BSZ30" s="204"/>
      <c r="BTA30" s="204"/>
      <c r="BTB30" s="204"/>
      <c r="BTC30" s="204"/>
      <c r="BTD30" s="204"/>
      <c r="BTE30" s="204"/>
      <c r="BTF30" s="204"/>
      <c r="BTG30" s="204"/>
      <c r="BTH30" s="204"/>
      <c r="BTI30" s="204"/>
      <c r="BTJ30" s="204"/>
      <c r="BTK30" s="204"/>
      <c r="BTL30" s="204"/>
      <c r="BTM30" s="204"/>
      <c r="BTN30" s="204"/>
      <c r="BTO30" s="204"/>
      <c r="BTP30" s="204"/>
      <c r="BTQ30" s="204"/>
      <c r="BTR30" s="204"/>
      <c r="BTS30" s="204"/>
      <c r="BTT30" s="204"/>
      <c r="BTU30" s="204"/>
      <c r="BTV30" s="204"/>
      <c r="BTW30" s="204"/>
      <c r="BTX30" s="204"/>
      <c r="BTY30" s="204"/>
      <c r="BTZ30" s="204"/>
      <c r="BUA30" s="204"/>
      <c r="BUB30" s="204"/>
      <c r="BUC30" s="204"/>
      <c r="BUD30" s="204"/>
      <c r="BUE30" s="204"/>
      <c r="BUF30" s="204"/>
      <c r="BUG30" s="204"/>
      <c r="BUH30" s="204"/>
      <c r="BUI30" s="204"/>
      <c r="BUJ30" s="204"/>
      <c r="BUK30" s="204"/>
      <c r="BUL30" s="204"/>
      <c r="BUM30" s="204"/>
      <c r="BUN30" s="204"/>
      <c r="BUO30" s="204"/>
      <c r="BUP30" s="204"/>
      <c r="BUQ30" s="204"/>
      <c r="BUR30" s="204"/>
      <c r="BUS30" s="204"/>
      <c r="BUT30" s="204"/>
      <c r="BUU30" s="204"/>
      <c r="BUV30" s="204"/>
      <c r="BUW30" s="204"/>
      <c r="BUX30" s="204"/>
      <c r="BUY30" s="204"/>
      <c r="BUZ30" s="204"/>
      <c r="BVA30" s="204"/>
      <c r="BVB30" s="204"/>
      <c r="BVC30" s="204"/>
      <c r="BVD30" s="204"/>
      <c r="BVE30" s="204"/>
      <c r="BVF30" s="204"/>
      <c r="BVG30" s="204"/>
      <c r="BVH30" s="204"/>
      <c r="BVI30" s="204"/>
      <c r="BVJ30" s="204"/>
      <c r="BVK30" s="204"/>
      <c r="BVL30" s="204"/>
      <c r="BVM30" s="204"/>
      <c r="BVN30" s="204"/>
      <c r="BVO30" s="204"/>
      <c r="BVP30" s="204"/>
      <c r="BVQ30" s="204"/>
      <c r="BVR30" s="204"/>
      <c r="BVS30" s="204"/>
      <c r="BVT30" s="204"/>
      <c r="BVU30" s="204"/>
      <c r="BVV30" s="204"/>
      <c r="BVW30" s="204"/>
      <c r="BVX30" s="204"/>
      <c r="BVY30" s="204"/>
      <c r="BVZ30" s="204"/>
      <c r="BWA30" s="204"/>
      <c r="BWB30" s="204"/>
      <c r="BWC30" s="204"/>
      <c r="BWD30" s="204"/>
      <c r="BWE30" s="204"/>
      <c r="BWF30" s="204"/>
      <c r="BWG30" s="204"/>
      <c r="BWH30" s="204"/>
      <c r="BWI30" s="204"/>
      <c r="BWJ30" s="204"/>
      <c r="BWK30" s="204"/>
      <c r="BWL30" s="204"/>
      <c r="BWM30" s="204"/>
      <c r="BWN30" s="204"/>
      <c r="BWO30" s="204"/>
      <c r="BWP30" s="204"/>
      <c r="BWQ30" s="204"/>
      <c r="BWR30" s="204"/>
      <c r="BWS30" s="204"/>
      <c r="BWT30" s="204"/>
      <c r="BWU30" s="204"/>
      <c r="BWV30" s="204"/>
      <c r="BWW30" s="204"/>
      <c r="BWX30" s="204"/>
      <c r="BWY30" s="204"/>
      <c r="BWZ30" s="204"/>
      <c r="BXA30" s="204"/>
      <c r="BXB30" s="204"/>
      <c r="BXC30" s="204"/>
      <c r="BXD30" s="204"/>
      <c r="BXE30" s="204"/>
      <c r="BXF30" s="204"/>
      <c r="BXG30" s="204"/>
      <c r="BXH30" s="204"/>
      <c r="BXI30" s="204"/>
      <c r="BXJ30" s="204"/>
      <c r="BXK30" s="204"/>
      <c r="BXL30" s="204"/>
      <c r="BXM30" s="204"/>
      <c r="BXN30" s="204"/>
      <c r="BXO30" s="204"/>
      <c r="BXP30" s="204"/>
      <c r="BXQ30" s="204"/>
      <c r="BXR30" s="204"/>
      <c r="BXS30" s="204"/>
      <c r="BXT30" s="204"/>
      <c r="BXU30" s="204"/>
      <c r="BXV30" s="204"/>
      <c r="BXW30" s="204"/>
      <c r="BXX30" s="204"/>
      <c r="BXY30" s="204"/>
      <c r="BXZ30" s="204"/>
      <c r="BYA30" s="204"/>
      <c r="BYB30" s="204"/>
      <c r="BYC30" s="204"/>
      <c r="BYD30" s="204"/>
      <c r="BYE30" s="204"/>
      <c r="BYF30" s="204"/>
      <c r="BYG30" s="204"/>
      <c r="BYH30" s="204"/>
      <c r="BYI30" s="204"/>
      <c r="BYJ30" s="204"/>
      <c r="BYK30" s="204"/>
      <c r="BYL30" s="204"/>
      <c r="BYM30" s="204"/>
      <c r="BYN30" s="204"/>
      <c r="BYO30" s="204"/>
      <c r="BYP30" s="204"/>
      <c r="BYQ30" s="204"/>
      <c r="BYR30" s="204"/>
      <c r="BYS30" s="204"/>
      <c r="BYT30" s="204"/>
      <c r="BYU30" s="204"/>
      <c r="BYV30" s="204"/>
      <c r="BYW30" s="204"/>
      <c r="BYX30" s="204"/>
      <c r="BYY30" s="204"/>
      <c r="BYZ30" s="204"/>
      <c r="BZA30" s="204"/>
      <c r="BZB30" s="204"/>
      <c r="BZC30" s="204"/>
      <c r="BZD30" s="204"/>
      <c r="BZE30" s="204"/>
      <c r="BZF30" s="204"/>
      <c r="BZG30" s="204"/>
      <c r="BZH30" s="204"/>
      <c r="BZI30" s="204"/>
      <c r="BZJ30" s="204"/>
      <c r="BZK30" s="204"/>
      <c r="BZL30" s="204"/>
      <c r="BZM30" s="204"/>
      <c r="BZN30" s="204"/>
      <c r="BZO30" s="204"/>
      <c r="BZP30" s="204"/>
      <c r="BZQ30" s="204"/>
      <c r="BZR30" s="204"/>
      <c r="BZS30" s="204"/>
      <c r="BZT30" s="204"/>
      <c r="BZU30" s="204"/>
      <c r="BZV30" s="204"/>
      <c r="BZW30" s="204"/>
      <c r="BZX30" s="204"/>
      <c r="BZY30" s="204"/>
      <c r="BZZ30" s="204"/>
      <c r="CAA30" s="204"/>
      <c r="CAB30" s="204"/>
      <c r="CAC30" s="204"/>
      <c r="CAD30" s="204"/>
      <c r="CAE30" s="204"/>
      <c r="CAF30" s="204"/>
      <c r="CAG30" s="204"/>
      <c r="CAH30" s="204"/>
      <c r="CAI30" s="204"/>
      <c r="CAJ30" s="204"/>
      <c r="CAK30" s="204"/>
      <c r="CAL30" s="204"/>
      <c r="CAM30" s="204"/>
      <c r="CAN30" s="204"/>
      <c r="CAO30" s="204"/>
      <c r="CAP30" s="204"/>
      <c r="CAQ30" s="204"/>
      <c r="CAR30" s="204"/>
      <c r="CAS30" s="204"/>
      <c r="CAT30" s="204"/>
      <c r="CAU30" s="204"/>
      <c r="CAV30" s="204"/>
      <c r="CAW30" s="204"/>
      <c r="CAX30" s="204"/>
      <c r="CAY30" s="204"/>
      <c r="CAZ30" s="204"/>
      <c r="CBA30" s="204"/>
      <c r="CBB30" s="204"/>
      <c r="CBC30" s="204"/>
      <c r="CBD30" s="204"/>
      <c r="CBE30" s="204"/>
      <c r="CBF30" s="204"/>
      <c r="CBG30" s="204"/>
      <c r="CBH30" s="204"/>
      <c r="CBI30" s="204"/>
      <c r="CBJ30" s="204"/>
      <c r="CBK30" s="204"/>
      <c r="CBL30" s="204"/>
      <c r="CBM30" s="204"/>
      <c r="CBN30" s="204"/>
      <c r="CBO30" s="204"/>
      <c r="CBP30" s="204"/>
      <c r="CBQ30" s="204"/>
      <c r="CBR30" s="204"/>
      <c r="CBS30" s="204"/>
      <c r="CBT30" s="204"/>
      <c r="CBU30" s="204"/>
      <c r="CBV30" s="204"/>
      <c r="CBW30" s="204"/>
      <c r="CBX30" s="204"/>
      <c r="CBY30" s="204"/>
      <c r="CBZ30" s="204"/>
      <c r="CCA30" s="204"/>
      <c r="CCB30" s="204"/>
      <c r="CCC30" s="204"/>
      <c r="CCD30" s="204"/>
      <c r="CCE30" s="204"/>
      <c r="CCF30" s="204"/>
      <c r="CCG30" s="204"/>
      <c r="CCH30" s="204"/>
      <c r="CCI30" s="204"/>
      <c r="CCJ30" s="204"/>
      <c r="CCK30" s="204"/>
      <c r="CCL30" s="204"/>
      <c r="CCM30" s="204"/>
      <c r="CCN30" s="204"/>
      <c r="CCO30" s="204"/>
      <c r="CCP30" s="204"/>
      <c r="CCQ30" s="204"/>
      <c r="CCR30" s="204"/>
      <c r="CCS30" s="204"/>
      <c r="CCT30" s="204"/>
      <c r="CCU30" s="204"/>
      <c r="CCV30" s="204"/>
      <c r="CCW30" s="204"/>
      <c r="CCX30" s="204"/>
      <c r="CCY30" s="204"/>
      <c r="CCZ30" s="204"/>
      <c r="CDA30" s="204"/>
      <c r="CDB30" s="204"/>
      <c r="CDC30" s="204"/>
      <c r="CDD30" s="204"/>
      <c r="CDE30" s="204"/>
      <c r="CDF30" s="204"/>
      <c r="CDG30" s="204"/>
      <c r="CDH30" s="204"/>
      <c r="CDI30" s="204"/>
      <c r="CDJ30" s="204"/>
      <c r="CDK30" s="204"/>
      <c r="CDL30" s="204"/>
      <c r="CDM30" s="204"/>
      <c r="CDN30" s="204"/>
      <c r="CDO30" s="204"/>
      <c r="CDP30" s="204"/>
      <c r="CDQ30" s="204"/>
      <c r="CDR30" s="204"/>
      <c r="CDS30" s="204"/>
      <c r="CDT30" s="204"/>
      <c r="CDU30" s="204"/>
      <c r="CDV30" s="204"/>
      <c r="CDW30" s="204"/>
      <c r="CDX30" s="204"/>
      <c r="CDY30" s="204"/>
      <c r="CDZ30" s="204"/>
      <c r="CEA30" s="204"/>
      <c r="CEB30" s="204"/>
      <c r="CEC30" s="204"/>
      <c r="CED30" s="204"/>
      <c r="CEE30" s="204"/>
      <c r="CEF30" s="204"/>
      <c r="CEG30" s="204"/>
      <c r="CEH30" s="204"/>
      <c r="CEI30" s="204"/>
      <c r="CEJ30" s="204"/>
      <c r="CEK30" s="204"/>
      <c r="CEL30" s="204"/>
      <c r="CEM30" s="204"/>
      <c r="CEN30" s="204"/>
      <c r="CEO30" s="204"/>
      <c r="CEP30" s="204"/>
      <c r="CEQ30" s="204"/>
      <c r="CER30" s="204"/>
      <c r="CES30" s="204"/>
      <c r="CET30" s="204"/>
      <c r="CEU30" s="204"/>
      <c r="CEV30" s="204"/>
      <c r="CEW30" s="204"/>
      <c r="CEX30" s="204"/>
      <c r="CEY30" s="204"/>
      <c r="CEZ30" s="204"/>
      <c r="CFA30" s="204"/>
      <c r="CFB30" s="204"/>
      <c r="CFC30" s="204"/>
      <c r="CFD30" s="204"/>
      <c r="CFE30" s="204"/>
      <c r="CFF30" s="204"/>
      <c r="CFG30" s="204"/>
      <c r="CFH30" s="204"/>
      <c r="CFI30" s="204"/>
      <c r="CFJ30" s="204"/>
      <c r="CFK30" s="204"/>
      <c r="CFL30" s="204"/>
      <c r="CFM30" s="204"/>
      <c r="CFN30" s="204"/>
      <c r="CFO30" s="204"/>
      <c r="CFP30" s="204"/>
      <c r="CFQ30" s="204"/>
      <c r="CFR30" s="204"/>
      <c r="CFS30" s="204"/>
      <c r="CFT30" s="204"/>
      <c r="CFU30" s="204"/>
      <c r="CFV30" s="204"/>
      <c r="CFW30" s="204"/>
      <c r="CFX30" s="204"/>
      <c r="CFY30" s="204"/>
      <c r="CFZ30" s="204"/>
      <c r="CGA30" s="204"/>
      <c r="CGB30" s="204"/>
      <c r="CGC30" s="204"/>
      <c r="CGD30" s="204"/>
      <c r="CGE30" s="204"/>
      <c r="CGF30" s="204"/>
      <c r="CGG30" s="204"/>
      <c r="CGH30" s="204"/>
      <c r="CGI30" s="204"/>
      <c r="CGJ30" s="204"/>
      <c r="CGK30" s="204"/>
      <c r="CGL30" s="204"/>
      <c r="CGM30" s="204"/>
      <c r="CGN30" s="204"/>
      <c r="CGO30" s="204"/>
      <c r="CGP30" s="204"/>
      <c r="CGQ30" s="204"/>
      <c r="CGR30" s="204"/>
      <c r="CGS30" s="204"/>
      <c r="CGT30" s="204"/>
      <c r="CGU30" s="204"/>
      <c r="CGV30" s="204"/>
      <c r="CGW30" s="204"/>
      <c r="CGX30" s="204"/>
      <c r="CGY30" s="204"/>
      <c r="CGZ30" s="204"/>
      <c r="CHA30" s="204"/>
      <c r="CHB30" s="204"/>
      <c r="CHC30" s="204"/>
      <c r="CHD30" s="204"/>
      <c r="CHE30" s="204"/>
      <c r="CHF30" s="204"/>
      <c r="CHG30" s="204"/>
      <c r="CHH30" s="204"/>
      <c r="CHI30" s="204"/>
      <c r="CHJ30" s="204"/>
      <c r="CHK30" s="204"/>
      <c r="CHL30" s="204"/>
      <c r="CHM30" s="204"/>
      <c r="CHN30" s="204"/>
      <c r="CHO30" s="204"/>
      <c r="CHP30" s="204"/>
      <c r="CHQ30" s="204"/>
      <c r="CHR30" s="204"/>
      <c r="CHS30" s="204"/>
      <c r="CHT30" s="204"/>
      <c r="CHU30" s="204"/>
      <c r="CHV30" s="204"/>
      <c r="CHW30" s="204"/>
      <c r="CHX30" s="204"/>
      <c r="CHY30" s="204"/>
      <c r="CHZ30" s="204"/>
      <c r="CIA30" s="204"/>
      <c r="CIB30" s="204"/>
      <c r="CIC30" s="204"/>
      <c r="CID30" s="204"/>
      <c r="CIE30" s="204"/>
      <c r="CIF30" s="204"/>
      <c r="CIG30" s="204"/>
      <c r="CIH30" s="204"/>
      <c r="CII30" s="204"/>
      <c r="CIJ30" s="204"/>
      <c r="CIK30" s="204"/>
      <c r="CIL30" s="204"/>
      <c r="CIM30" s="204"/>
      <c r="CIN30" s="204"/>
      <c r="CIO30" s="204"/>
      <c r="CIP30" s="204"/>
      <c r="CIQ30" s="204"/>
      <c r="CIR30" s="204"/>
      <c r="CIS30" s="204"/>
      <c r="CIT30" s="204"/>
      <c r="CIU30" s="204"/>
      <c r="CIV30" s="204"/>
      <c r="CIW30" s="204"/>
      <c r="CIX30" s="204"/>
      <c r="CIY30" s="204"/>
      <c r="CIZ30" s="204"/>
      <c r="CJA30" s="204"/>
      <c r="CJB30" s="204"/>
      <c r="CJC30" s="204"/>
      <c r="CJD30" s="204"/>
      <c r="CJE30" s="204"/>
      <c r="CJF30" s="204"/>
      <c r="CJG30" s="204"/>
      <c r="CJH30" s="204"/>
      <c r="CJI30" s="204"/>
      <c r="CJJ30" s="204"/>
      <c r="CJK30" s="204"/>
      <c r="CJL30" s="204"/>
      <c r="CJM30" s="204"/>
      <c r="CJN30" s="204"/>
      <c r="CJO30" s="204"/>
      <c r="CJP30" s="204"/>
      <c r="CJQ30" s="204"/>
      <c r="CJR30" s="204"/>
      <c r="CJS30" s="204"/>
      <c r="CJT30" s="204"/>
      <c r="CJU30" s="204"/>
      <c r="CJV30" s="204"/>
      <c r="CJW30" s="204"/>
      <c r="CJX30" s="204"/>
      <c r="CJY30" s="204"/>
      <c r="CJZ30" s="204"/>
      <c r="CKA30" s="204"/>
      <c r="CKB30" s="204"/>
      <c r="CKC30" s="204"/>
      <c r="CKD30" s="204"/>
      <c r="CKE30" s="204"/>
      <c r="CKF30" s="204"/>
      <c r="CKG30" s="204"/>
      <c r="CKH30" s="204"/>
      <c r="CKI30" s="204"/>
      <c r="CKJ30" s="204"/>
      <c r="CKK30" s="204"/>
      <c r="CKL30" s="204"/>
      <c r="CKM30" s="204"/>
      <c r="CKN30" s="204"/>
      <c r="CKO30" s="204"/>
      <c r="CKP30" s="204"/>
      <c r="CKQ30" s="204"/>
      <c r="CKR30" s="204"/>
      <c r="CKS30" s="204"/>
      <c r="CKT30" s="204"/>
      <c r="CKU30" s="204"/>
      <c r="CKV30" s="204"/>
      <c r="CKW30" s="204"/>
      <c r="CKX30" s="204"/>
      <c r="CKY30" s="204"/>
      <c r="CKZ30" s="204"/>
      <c r="CLA30" s="204"/>
      <c r="CLB30" s="204"/>
      <c r="CLC30" s="204"/>
      <c r="CLD30" s="204"/>
      <c r="CLE30" s="204"/>
      <c r="CLF30" s="204"/>
      <c r="CLG30" s="204"/>
      <c r="CLH30" s="204"/>
      <c r="CLI30" s="204"/>
      <c r="CLJ30" s="204"/>
      <c r="CLK30" s="204"/>
      <c r="CLL30" s="204"/>
      <c r="CLM30" s="204"/>
      <c r="CLN30" s="204"/>
      <c r="CLO30" s="204"/>
      <c r="CLP30" s="204"/>
      <c r="CLQ30" s="204"/>
      <c r="CLR30" s="204"/>
      <c r="CLS30" s="204"/>
      <c r="CLT30" s="204"/>
      <c r="CLU30" s="204"/>
      <c r="CLV30" s="204"/>
      <c r="CLW30" s="204"/>
      <c r="CLX30" s="204"/>
      <c r="CLY30" s="204"/>
      <c r="CLZ30" s="204"/>
      <c r="CMA30" s="204"/>
      <c r="CMB30" s="204"/>
      <c r="CMC30" s="204"/>
      <c r="CMD30" s="204"/>
      <c r="CME30" s="204"/>
      <c r="CMF30" s="204"/>
      <c r="CMG30" s="204"/>
      <c r="CMH30" s="204"/>
      <c r="CMI30" s="204"/>
      <c r="CMJ30" s="204"/>
      <c r="CMK30" s="204"/>
      <c r="CML30" s="204"/>
      <c r="CMM30" s="204"/>
      <c r="CMN30" s="204"/>
      <c r="CMO30" s="204"/>
      <c r="CMP30" s="204"/>
      <c r="CMQ30" s="204"/>
      <c r="CMR30" s="204"/>
      <c r="CMS30" s="204"/>
      <c r="CMT30" s="204"/>
      <c r="CMU30" s="204"/>
      <c r="CMV30" s="204"/>
      <c r="CMW30" s="204"/>
      <c r="CMX30" s="204"/>
      <c r="CMY30" s="204"/>
      <c r="CMZ30" s="204"/>
      <c r="CNA30" s="204"/>
      <c r="CNB30" s="204"/>
      <c r="CNC30" s="204"/>
      <c r="CND30" s="204"/>
      <c r="CNE30" s="204"/>
      <c r="CNF30" s="204"/>
      <c r="CNG30" s="204"/>
      <c r="CNH30" s="204"/>
      <c r="CNI30" s="204"/>
      <c r="CNJ30" s="204"/>
      <c r="CNK30" s="204"/>
      <c r="CNL30" s="204"/>
      <c r="CNM30" s="204"/>
      <c r="CNN30" s="204"/>
      <c r="CNO30" s="204"/>
      <c r="CNP30" s="204"/>
      <c r="CNQ30" s="204"/>
      <c r="CNR30" s="204"/>
      <c r="CNS30" s="204"/>
      <c r="CNT30" s="204"/>
      <c r="CNU30" s="204"/>
      <c r="CNV30" s="204"/>
      <c r="CNW30" s="204"/>
      <c r="CNX30" s="204"/>
      <c r="CNY30" s="204"/>
      <c r="CNZ30" s="204"/>
      <c r="COA30" s="204"/>
      <c r="COB30" s="204"/>
      <c r="COC30" s="204"/>
      <c r="COD30" s="204"/>
      <c r="COE30" s="204"/>
      <c r="COF30" s="204"/>
      <c r="COG30" s="204"/>
      <c r="COH30" s="204"/>
      <c r="COI30" s="204"/>
      <c r="COJ30" s="204"/>
      <c r="COK30" s="204"/>
      <c r="COL30" s="204"/>
      <c r="COM30" s="204"/>
      <c r="CON30" s="204"/>
      <c r="COO30" s="204"/>
      <c r="COP30" s="204"/>
      <c r="COQ30" s="204"/>
      <c r="COR30" s="204"/>
      <c r="COS30" s="204"/>
      <c r="COT30" s="204"/>
      <c r="COU30" s="204"/>
      <c r="COV30" s="204"/>
      <c r="COW30" s="204"/>
      <c r="COX30" s="204"/>
      <c r="COY30" s="204"/>
      <c r="COZ30" s="204"/>
      <c r="CPA30" s="204"/>
      <c r="CPB30" s="204"/>
      <c r="CPC30" s="204"/>
      <c r="CPD30" s="204"/>
      <c r="CPE30" s="204"/>
      <c r="CPF30" s="204"/>
      <c r="CPG30" s="204"/>
      <c r="CPH30" s="204"/>
      <c r="CPI30" s="204"/>
      <c r="CPJ30" s="204"/>
      <c r="CPK30" s="204"/>
      <c r="CPL30" s="204"/>
      <c r="CPM30" s="204"/>
      <c r="CPN30" s="204"/>
      <c r="CPO30" s="204"/>
      <c r="CPP30" s="204"/>
      <c r="CPQ30" s="204"/>
      <c r="CPR30" s="204"/>
      <c r="CPS30" s="204"/>
      <c r="CPT30" s="204"/>
      <c r="CPU30" s="204"/>
      <c r="CPV30" s="204"/>
      <c r="CPW30" s="204"/>
      <c r="CPX30" s="204"/>
      <c r="CPY30" s="204"/>
      <c r="CPZ30" s="204"/>
      <c r="CQA30" s="204"/>
      <c r="CQB30" s="204"/>
      <c r="CQC30" s="204"/>
      <c r="CQD30" s="204"/>
      <c r="CQE30" s="204"/>
      <c r="CQF30" s="204"/>
      <c r="CQG30" s="204"/>
      <c r="CQH30" s="204"/>
      <c r="CQI30" s="204"/>
      <c r="CQJ30" s="204"/>
      <c r="CQK30" s="204"/>
      <c r="CQL30" s="204"/>
      <c r="CQM30" s="204"/>
      <c r="CQN30" s="204"/>
      <c r="CQO30" s="204"/>
      <c r="CQP30" s="204"/>
      <c r="CQQ30" s="204"/>
      <c r="CQR30" s="204"/>
      <c r="CQS30" s="204"/>
      <c r="CQT30" s="204"/>
      <c r="CQU30" s="204"/>
      <c r="CQV30" s="204"/>
      <c r="CQW30" s="204"/>
      <c r="CQX30" s="204"/>
      <c r="CQY30" s="204"/>
      <c r="CQZ30" s="204"/>
      <c r="CRA30" s="204"/>
      <c r="CRB30" s="204"/>
      <c r="CRC30" s="204"/>
      <c r="CRD30" s="204"/>
      <c r="CRE30" s="204"/>
      <c r="CRF30" s="204"/>
      <c r="CRG30" s="204"/>
      <c r="CRH30" s="204"/>
      <c r="CRI30" s="204"/>
      <c r="CRJ30" s="204"/>
      <c r="CRK30" s="204"/>
      <c r="CRL30" s="204"/>
      <c r="CRM30" s="204"/>
      <c r="CRN30" s="204"/>
      <c r="CRO30" s="204"/>
      <c r="CRP30" s="204"/>
      <c r="CRQ30" s="204"/>
      <c r="CRR30" s="204"/>
      <c r="CRS30" s="204"/>
      <c r="CRT30" s="204"/>
      <c r="CRU30" s="204"/>
      <c r="CRV30" s="204"/>
      <c r="CRW30" s="204"/>
      <c r="CRX30" s="204"/>
      <c r="CRY30" s="204"/>
      <c r="CRZ30" s="204"/>
      <c r="CSA30" s="204"/>
      <c r="CSB30" s="204"/>
      <c r="CSC30" s="204"/>
      <c r="CSD30" s="204"/>
      <c r="CSE30" s="204"/>
      <c r="CSF30" s="204"/>
      <c r="CSG30" s="204"/>
      <c r="CSH30" s="204"/>
      <c r="CSI30" s="204"/>
      <c r="CSJ30" s="204"/>
      <c r="CSK30" s="204"/>
      <c r="CSL30" s="204"/>
      <c r="CSM30" s="204"/>
      <c r="CSN30" s="204"/>
      <c r="CSO30" s="204"/>
      <c r="CSP30" s="204"/>
      <c r="CSQ30" s="204"/>
      <c r="CSR30" s="204"/>
      <c r="CSS30" s="204"/>
      <c r="CST30" s="204"/>
      <c r="CSU30" s="204"/>
      <c r="CSV30" s="204"/>
      <c r="CSW30" s="204"/>
      <c r="CSX30" s="204"/>
      <c r="CSY30" s="204"/>
      <c r="CSZ30" s="204"/>
      <c r="CTA30" s="204"/>
      <c r="CTB30" s="204"/>
      <c r="CTC30" s="204"/>
      <c r="CTD30" s="204"/>
      <c r="CTE30" s="204"/>
      <c r="CTF30" s="204"/>
      <c r="CTG30" s="204"/>
      <c r="CTH30" s="204"/>
      <c r="CTI30" s="204"/>
      <c r="CTJ30" s="204"/>
      <c r="CTK30" s="204"/>
      <c r="CTL30" s="204"/>
      <c r="CTM30" s="204"/>
      <c r="CTN30" s="204"/>
      <c r="CTO30" s="204"/>
      <c r="CTP30" s="204"/>
      <c r="CTQ30" s="204"/>
      <c r="CTR30" s="204"/>
      <c r="CTS30" s="204"/>
      <c r="CTT30" s="204"/>
      <c r="CTU30" s="204"/>
      <c r="CTV30" s="204"/>
      <c r="CTW30" s="204"/>
      <c r="CTX30" s="204"/>
      <c r="CTY30" s="204"/>
      <c r="CTZ30" s="204"/>
      <c r="CUA30" s="204"/>
      <c r="CUB30" s="204"/>
      <c r="CUC30" s="204"/>
      <c r="CUD30" s="204"/>
      <c r="CUE30" s="204"/>
      <c r="CUF30" s="204"/>
      <c r="CUG30" s="204"/>
      <c r="CUH30" s="204"/>
      <c r="CUI30" s="204"/>
      <c r="CUJ30" s="204"/>
      <c r="CUK30" s="204"/>
      <c r="CUL30" s="204"/>
      <c r="CUM30" s="204"/>
      <c r="CUN30" s="204"/>
      <c r="CUO30" s="204"/>
      <c r="CUP30" s="204"/>
      <c r="CUQ30" s="204"/>
      <c r="CUR30" s="204"/>
      <c r="CUS30" s="204"/>
      <c r="CUT30" s="204"/>
      <c r="CUU30" s="204"/>
      <c r="CUV30" s="204"/>
      <c r="CUW30" s="204"/>
      <c r="CUX30" s="204"/>
      <c r="CUY30" s="204"/>
      <c r="CUZ30" s="204"/>
      <c r="CVA30" s="204"/>
      <c r="CVB30" s="204"/>
      <c r="CVC30" s="204"/>
      <c r="CVD30" s="204"/>
      <c r="CVE30" s="204"/>
      <c r="CVF30" s="204"/>
      <c r="CVG30" s="204"/>
      <c r="CVH30" s="204"/>
      <c r="CVI30" s="204"/>
      <c r="CVJ30" s="204"/>
      <c r="CVK30" s="204"/>
      <c r="CVL30" s="204"/>
      <c r="CVM30" s="204"/>
      <c r="CVN30" s="204"/>
      <c r="CVO30" s="204"/>
      <c r="CVP30" s="204"/>
      <c r="CVQ30" s="204"/>
      <c r="CVR30" s="204"/>
      <c r="CVS30" s="204"/>
      <c r="CVT30" s="204"/>
      <c r="CVU30" s="204"/>
      <c r="CVV30" s="204"/>
      <c r="CVW30" s="204"/>
      <c r="CVX30" s="204"/>
      <c r="CVY30" s="204"/>
      <c r="CVZ30" s="204"/>
      <c r="CWA30" s="204"/>
      <c r="CWB30" s="204"/>
      <c r="CWC30" s="204"/>
      <c r="CWD30" s="204"/>
      <c r="CWE30" s="204"/>
      <c r="CWF30" s="204"/>
      <c r="CWG30" s="204"/>
      <c r="CWH30" s="204"/>
      <c r="CWI30" s="204"/>
      <c r="CWJ30" s="204"/>
      <c r="CWK30" s="204"/>
      <c r="CWL30" s="204"/>
      <c r="CWM30" s="204"/>
      <c r="CWN30" s="204"/>
      <c r="CWO30" s="204"/>
      <c r="CWP30" s="204"/>
      <c r="CWQ30" s="204"/>
      <c r="CWR30" s="204"/>
      <c r="CWS30" s="204"/>
      <c r="CWT30" s="204"/>
      <c r="CWU30" s="204"/>
      <c r="CWV30" s="204"/>
      <c r="CWW30" s="204"/>
      <c r="CWX30" s="204"/>
      <c r="CWY30" s="204"/>
      <c r="CWZ30" s="204"/>
      <c r="CXA30" s="204"/>
      <c r="CXB30" s="204"/>
      <c r="CXC30" s="204"/>
      <c r="CXD30" s="204"/>
      <c r="CXE30" s="204"/>
      <c r="CXF30" s="204"/>
      <c r="CXG30" s="204"/>
      <c r="CXH30" s="204"/>
      <c r="CXI30" s="204"/>
      <c r="CXJ30" s="204"/>
      <c r="CXK30" s="204"/>
      <c r="CXL30" s="204"/>
      <c r="CXM30" s="204"/>
      <c r="CXN30" s="204"/>
      <c r="CXO30" s="204"/>
      <c r="CXP30" s="204"/>
      <c r="CXQ30" s="204"/>
      <c r="CXR30" s="204"/>
      <c r="CXS30" s="204"/>
      <c r="CXT30" s="204"/>
      <c r="CXU30" s="204"/>
      <c r="CXV30" s="204"/>
      <c r="CXW30" s="204"/>
      <c r="CXX30" s="204"/>
      <c r="CXY30" s="204"/>
      <c r="CXZ30" s="204"/>
      <c r="CYA30" s="204"/>
      <c r="CYB30" s="204"/>
      <c r="CYC30" s="204"/>
      <c r="CYD30" s="204"/>
      <c r="CYE30" s="204"/>
      <c r="CYF30" s="204"/>
      <c r="CYG30" s="204"/>
      <c r="CYH30" s="204"/>
      <c r="CYI30" s="204"/>
      <c r="CYJ30" s="204"/>
      <c r="CYK30" s="204"/>
      <c r="CYL30" s="204"/>
      <c r="CYM30" s="204"/>
      <c r="CYN30" s="204"/>
      <c r="CYO30" s="204"/>
      <c r="CYP30" s="204"/>
      <c r="CYQ30" s="204"/>
      <c r="CYR30" s="204"/>
      <c r="CYS30" s="204"/>
      <c r="CYT30" s="204"/>
      <c r="CYU30" s="204"/>
      <c r="CYV30" s="204"/>
      <c r="CYW30" s="204"/>
      <c r="CYX30" s="204"/>
      <c r="CYY30" s="204"/>
      <c r="CYZ30" s="204"/>
      <c r="CZA30" s="204"/>
      <c r="CZB30" s="204"/>
      <c r="CZC30" s="204"/>
      <c r="CZD30" s="204"/>
      <c r="CZE30" s="204"/>
      <c r="CZF30" s="204"/>
      <c r="CZG30" s="204"/>
      <c r="CZH30" s="204"/>
      <c r="CZI30" s="204"/>
      <c r="CZJ30" s="204"/>
      <c r="CZK30" s="204"/>
      <c r="CZL30" s="204"/>
      <c r="CZM30" s="204"/>
      <c r="CZN30" s="204"/>
      <c r="CZO30" s="204"/>
      <c r="CZP30" s="204"/>
      <c r="CZQ30" s="204"/>
      <c r="CZR30" s="204"/>
      <c r="CZS30" s="204"/>
      <c r="CZT30" s="204"/>
      <c r="CZU30" s="204"/>
      <c r="CZV30" s="204"/>
      <c r="CZW30" s="204"/>
      <c r="CZX30" s="204"/>
      <c r="CZY30" s="204"/>
      <c r="CZZ30" s="204"/>
      <c r="DAA30" s="204"/>
      <c r="DAB30" s="204"/>
      <c r="DAC30" s="204"/>
      <c r="DAD30" s="204"/>
      <c r="DAE30" s="204"/>
      <c r="DAF30" s="204"/>
      <c r="DAG30" s="204"/>
      <c r="DAH30" s="204"/>
      <c r="DAI30" s="204"/>
      <c r="DAJ30" s="204"/>
      <c r="DAK30" s="204"/>
      <c r="DAL30" s="204"/>
      <c r="DAM30" s="204"/>
      <c r="DAN30" s="204"/>
      <c r="DAO30" s="204"/>
      <c r="DAP30" s="204"/>
      <c r="DAQ30" s="204"/>
      <c r="DAR30" s="204"/>
      <c r="DAS30" s="204"/>
      <c r="DAT30" s="204"/>
      <c r="DAU30" s="204"/>
      <c r="DAV30" s="204"/>
      <c r="DAW30" s="204"/>
      <c r="DAX30" s="204"/>
      <c r="DAY30" s="204"/>
      <c r="DAZ30" s="204"/>
      <c r="DBA30" s="204"/>
      <c r="DBB30" s="204"/>
      <c r="DBC30" s="204"/>
      <c r="DBD30" s="204"/>
      <c r="DBE30" s="204"/>
      <c r="DBF30" s="204"/>
      <c r="DBG30" s="204"/>
      <c r="DBH30" s="204"/>
      <c r="DBI30" s="204"/>
      <c r="DBJ30" s="204"/>
      <c r="DBK30" s="204"/>
      <c r="DBL30" s="204"/>
      <c r="DBM30" s="204"/>
      <c r="DBN30" s="204"/>
      <c r="DBO30" s="204"/>
      <c r="DBP30" s="204"/>
      <c r="DBQ30" s="204"/>
      <c r="DBR30" s="204"/>
      <c r="DBS30" s="204"/>
      <c r="DBT30" s="204"/>
      <c r="DBU30" s="204"/>
      <c r="DBV30" s="204"/>
      <c r="DBW30" s="204"/>
      <c r="DBX30" s="204"/>
      <c r="DBY30" s="204"/>
      <c r="DBZ30" s="204"/>
      <c r="DCA30" s="204"/>
      <c r="DCB30" s="204"/>
      <c r="DCC30" s="204"/>
      <c r="DCD30" s="204"/>
      <c r="DCE30" s="204"/>
      <c r="DCF30" s="204"/>
      <c r="DCG30" s="204"/>
      <c r="DCH30" s="204"/>
      <c r="DCI30" s="204"/>
      <c r="DCJ30" s="204"/>
      <c r="DCK30" s="204"/>
      <c r="DCL30" s="204"/>
      <c r="DCM30" s="204"/>
      <c r="DCN30" s="204"/>
      <c r="DCO30" s="204"/>
      <c r="DCP30" s="204"/>
      <c r="DCQ30" s="204"/>
      <c r="DCR30" s="204"/>
      <c r="DCS30" s="204"/>
      <c r="DCT30" s="204"/>
      <c r="DCU30" s="204"/>
      <c r="DCV30" s="204"/>
      <c r="DCW30" s="204"/>
      <c r="DCX30" s="204"/>
      <c r="DCY30" s="204"/>
      <c r="DCZ30" s="204"/>
      <c r="DDA30" s="204"/>
      <c r="DDB30" s="204"/>
      <c r="DDC30" s="204"/>
      <c r="DDD30" s="204"/>
      <c r="DDE30" s="204"/>
      <c r="DDF30" s="204"/>
      <c r="DDG30" s="204"/>
      <c r="DDH30" s="204"/>
      <c r="DDI30" s="204"/>
      <c r="DDJ30" s="204"/>
      <c r="DDK30" s="204"/>
      <c r="DDL30" s="204"/>
      <c r="DDM30" s="204"/>
      <c r="DDN30" s="204"/>
      <c r="DDO30" s="204"/>
      <c r="DDP30" s="204"/>
      <c r="DDQ30" s="204"/>
      <c r="DDR30" s="204"/>
      <c r="DDS30" s="204"/>
      <c r="DDT30" s="204"/>
      <c r="DDU30" s="204"/>
      <c r="DDV30" s="204"/>
      <c r="DDW30" s="204"/>
      <c r="DDX30" s="204"/>
      <c r="DDY30" s="204"/>
      <c r="DDZ30" s="204"/>
      <c r="DEA30" s="204"/>
      <c r="DEB30" s="204"/>
      <c r="DEC30" s="204"/>
      <c r="DED30" s="204"/>
      <c r="DEE30" s="204"/>
      <c r="DEF30" s="204"/>
      <c r="DEG30" s="204"/>
      <c r="DEH30" s="204"/>
      <c r="DEI30" s="204"/>
      <c r="DEJ30" s="204"/>
      <c r="DEK30" s="204"/>
      <c r="DEL30" s="204"/>
      <c r="DEM30" s="204"/>
      <c r="DEN30" s="204"/>
      <c r="DEO30" s="204"/>
      <c r="DEP30" s="204"/>
      <c r="DEQ30" s="204"/>
      <c r="DER30" s="204"/>
      <c r="DES30" s="204"/>
      <c r="DET30" s="204"/>
      <c r="DEU30" s="204"/>
      <c r="DEV30" s="204"/>
      <c r="DEW30" s="204"/>
      <c r="DEX30" s="204"/>
      <c r="DEY30" s="204"/>
      <c r="DEZ30" s="204"/>
      <c r="DFA30" s="204"/>
      <c r="DFB30" s="204"/>
      <c r="DFC30" s="204"/>
      <c r="DFD30" s="204"/>
      <c r="DFE30" s="204"/>
      <c r="DFF30" s="204"/>
      <c r="DFG30" s="204"/>
      <c r="DFH30" s="204"/>
      <c r="DFI30" s="204"/>
      <c r="DFJ30" s="204"/>
      <c r="DFK30" s="204"/>
      <c r="DFL30" s="204"/>
      <c r="DFM30" s="204"/>
      <c r="DFN30" s="204"/>
      <c r="DFO30" s="204"/>
      <c r="DFP30" s="204"/>
      <c r="DFQ30" s="204"/>
      <c r="DFR30" s="204"/>
      <c r="DFS30" s="204"/>
      <c r="DFT30" s="204"/>
      <c r="DFU30" s="204"/>
      <c r="DFV30" s="204"/>
      <c r="DFW30" s="204"/>
      <c r="DFX30" s="204"/>
      <c r="DFY30" s="204"/>
      <c r="DFZ30" s="204"/>
      <c r="DGA30" s="204"/>
      <c r="DGB30" s="204"/>
      <c r="DGC30" s="204"/>
      <c r="DGD30" s="204"/>
      <c r="DGE30" s="204"/>
      <c r="DGF30" s="204"/>
      <c r="DGG30" s="204"/>
      <c r="DGH30" s="204"/>
      <c r="DGI30" s="204"/>
      <c r="DGJ30" s="204"/>
      <c r="DGK30" s="204"/>
      <c r="DGL30" s="204"/>
      <c r="DGM30" s="204"/>
      <c r="DGN30" s="204"/>
      <c r="DGO30" s="204"/>
      <c r="DGP30" s="204"/>
      <c r="DGQ30" s="204"/>
      <c r="DGR30" s="204"/>
      <c r="DGS30" s="204"/>
      <c r="DGT30" s="204"/>
      <c r="DGU30" s="204"/>
      <c r="DGV30" s="204"/>
      <c r="DGW30" s="204"/>
      <c r="DGX30" s="204"/>
      <c r="DGY30" s="204"/>
      <c r="DGZ30" s="204"/>
      <c r="DHA30" s="204"/>
      <c r="DHB30" s="204"/>
      <c r="DHC30" s="204"/>
      <c r="DHD30" s="204"/>
      <c r="DHE30" s="204"/>
      <c r="DHF30" s="204"/>
      <c r="DHG30" s="204"/>
      <c r="DHH30" s="204"/>
      <c r="DHI30" s="204"/>
      <c r="DHJ30" s="204"/>
      <c r="DHK30" s="204"/>
      <c r="DHL30" s="204"/>
      <c r="DHM30" s="204"/>
      <c r="DHN30" s="204"/>
      <c r="DHO30" s="204"/>
      <c r="DHP30" s="204"/>
      <c r="DHQ30" s="204"/>
      <c r="DHR30" s="204"/>
      <c r="DHS30" s="204"/>
      <c r="DHT30" s="204"/>
      <c r="DHU30" s="204"/>
      <c r="DHV30" s="204"/>
      <c r="DHW30" s="204"/>
      <c r="DHX30" s="204"/>
      <c r="DHY30" s="204"/>
      <c r="DHZ30" s="204"/>
      <c r="DIA30" s="204"/>
      <c r="DIB30" s="204"/>
      <c r="DIC30" s="204"/>
      <c r="DID30" s="204"/>
      <c r="DIE30" s="204"/>
      <c r="DIF30" s="204"/>
      <c r="DIG30" s="204"/>
      <c r="DIH30" s="204"/>
      <c r="DII30" s="204"/>
      <c r="DIJ30" s="204"/>
      <c r="DIK30" s="204"/>
      <c r="DIL30" s="204"/>
      <c r="DIM30" s="204"/>
      <c r="DIN30" s="204"/>
      <c r="DIO30" s="204"/>
      <c r="DIP30" s="204"/>
      <c r="DIQ30" s="204"/>
      <c r="DIR30" s="204"/>
      <c r="DIS30" s="204"/>
      <c r="DIT30" s="204"/>
      <c r="DIU30" s="204"/>
      <c r="DIV30" s="204"/>
      <c r="DIW30" s="204"/>
      <c r="DIX30" s="204"/>
      <c r="DIY30" s="204"/>
      <c r="DIZ30" s="204"/>
      <c r="DJA30" s="204"/>
      <c r="DJB30" s="204"/>
      <c r="DJC30" s="204"/>
      <c r="DJD30" s="204"/>
      <c r="DJE30" s="204"/>
      <c r="DJF30" s="204"/>
      <c r="DJG30" s="204"/>
      <c r="DJH30" s="204"/>
      <c r="DJI30" s="204"/>
      <c r="DJJ30" s="204"/>
      <c r="DJK30" s="204"/>
      <c r="DJL30" s="204"/>
      <c r="DJM30" s="204"/>
      <c r="DJN30" s="204"/>
      <c r="DJO30" s="204"/>
      <c r="DJP30" s="204"/>
      <c r="DJQ30" s="204"/>
      <c r="DJR30" s="204"/>
      <c r="DJS30" s="204"/>
      <c r="DJT30" s="204"/>
      <c r="DJU30" s="204"/>
      <c r="DJV30" s="204"/>
      <c r="DJW30" s="204"/>
      <c r="DJX30" s="204"/>
      <c r="DJY30" s="204"/>
      <c r="DJZ30" s="204"/>
      <c r="DKA30" s="204"/>
      <c r="DKB30" s="204"/>
      <c r="DKC30" s="204"/>
      <c r="DKD30" s="204"/>
      <c r="DKE30" s="204"/>
      <c r="DKF30" s="204"/>
      <c r="DKG30" s="204"/>
      <c r="DKH30" s="204"/>
      <c r="DKI30" s="204"/>
      <c r="DKJ30" s="204"/>
      <c r="DKK30" s="204"/>
      <c r="DKL30" s="204"/>
      <c r="DKM30" s="204"/>
      <c r="DKN30" s="204"/>
      <c r="DKO30" s="204"/>
      <c r="DKP30" s="204"/>
      <c r="DKQ30" s="204"/>
      <c r="DKR30" s="204"/>
      <c r="DKS30" s="204"/>
      <c r="DKT30" s="204"/>
      <c r="DKU30" s="204"/>
      <c r="DKV30" s="204"/>
      <c r="DKW30" s="204"/>
      <c r="DKX30" s="204"/>
      <c r="DKY30" s="204"/>
      <c r="DKZ30" s="204"/>
      <c r="DLA30" s="204"/>
      <c r="DLB30" s="204"/>
      <c r="DLC30" s="204"/>
      <c r="DLD30" s="204"/>
      <c r="DLE30" s="204"/>
      <c r="DLF30" s="204"/>
      <c r="DLG30" s="204"/>
      <c r="DLH30" s="204"/>
      <c r="DLI30" s="204"/>
      <c r="DLJ30" s="204"/>
      <c r="DLK30" s="204"/>
      <c r="DLL30" s="204"/>
      <c r="DLM30" s="204"/>
      <c r="DLN30" s="204"/>
      <c r="DLO30" s="204"/>
      <c r="DLP30" s="204"/>
      <c r="DLQ30" s="204"/>
      <c r="DLR30" s="204"/>
      <c r="DLS30" s="204"/>
      <c r="DLT30" s="204"/>
      <c r="DLU30" s="204"/>
      <c r="DLV30" s="204"/>
      <c r="DLW30" s="204"/>
      <c r="DLX30" s="204"/>
      <c r="DLY30" s="204"/>
      <c r="DLZ30" s="204"/>
      <c r="DMA30" s="204"/>
      <c r="DMB30" s="204"/>
      <c r="DMC30" s="204"/>
      <c r="DMD30" s="204"/>
      <c r="DME30" s="204"/>
      <c r="DMF30" s="204"/>
      <c r="DMG30" s="204"/>
      <c r="DMH30" s="204"/>
      <c r="DMI30" s="204"/>
      <c r="DMJ30" s="204"/>
      <c r="DMK30" s="204"/>
      <c r="DML30" s="204"/>
      <c r="DMM30" s="204"/>
      <c r="DMN30" s="204"/>
      <c r="DMO30" s="204"/>
      <c r="DMP30" s="204"/>
      <c r="DMQ30" s="204"/>
      <c r="DMR30" s="204"/>
      <c r="DMS30" s="204"/>
      <c r="DMT30" s="204"/>
      <c r="DMU30" s="204"/>
      <c r="DMV30" s="204"/>
      <c r="DMW30" s="204"/>
      <c r="DMX30" s="204"/>
      <c r="DMY30" s="204"/>
      <c r="DMZ30" s="204"/>
      <c r="DNA30" s="204"/>
      <c r="DNB30" s="204"/>
      <c r="DNC30" s="204"/>
      <c r="DND30" s="204"/>
      <c r="DNE30" s="204"/>
      <c r="DNF30" s="204"/>
      <c r="DNG30" s="204"/>
      <c r="DNH30" s="204"/>
      <c r="DNI30" s="204"/>
      <c r="DNJ30" s="204"/>
      <c r="DNK30" s="204"/>
      <c r="DNL30" s="204"/>
      <c r="DNM30" s="204"/>
      <c r="DNN30" s="204"/>
      <c r="DNO30" s="204"/>
      <c r="DNP30" s="204"/>
      <c r="DNQ30" s="204"/>
      <c r="DNR30" s="204"/>
      <c r="DNS30" s="204"/>
      <c r="DNT30" s="204"/>
      <c r="DNU30" s="204"/>
      <c r="DNV30" s="204"/>
      <c r="DNW30" s="204"/>
      <c r="DNX30" s="204"/>
      <c r="DNY30" s="204"/>
      <c r="DNZ30" s="204"/>
      <c r="DOA30" s="204"/>
      <c r="DOB30" s="204"/>
      <c r="DOC30" s="204"/>
      <c r="DOD30" s="204"/>
      <c r="DOE30" s="204"/>
      <c r="DOF30" s="204"/>
      <c r="DOG30" s="204"/>
      <c r="DOH30" s="204"/>
      <c r="DOI30" s="204"/>
      <c r="DOJ30" s="204"/>
      <c r="DOK30" s="204"/>
      <c r="DOL30" s="204"/>
      <c r="DOM30" s="204"/>
      <c r="DON30" s="204"/>
      <c r="DOO30" s="204"/>
      <c r="DOP30" s="204"/>
      <c r="DOQ30" s="204"/>
      <c r="DOR30" s="204"/>
      <c r="DOS30" s="204"/>
      <c r="DOT30" s="204"/>
      <c r="DOU30" s="204"/>
      <c r="DOV30" s="204"/>
      <c r="DOW30" s="204"/>
      <c r="DOX30" s="204"/>
      <c r="DOY30" s="204"/>
      <c r="DOZ30" s="204"/>
      <c r="DPA30" s="204"/>
      <c r="DPB30" s="204"/>
      <c r="DPC30" s="204"/>
      <c r="DPD30" s="204"/>
      <c r="DPE30" s="204"/>
      <c r="DPF30" s="204"/>
      <c r="DPG30" s="204"/>
      <c r="DPH30" s="204"/>
      <c r="DPI30" s="204"/>
      <c r="DPJ30" s="204"/>
      <c r="DPK30" s="204"/>
      <c r="DPL30" s="204"/>
      <c r="DPM30" s="204"/>
      <c r="DPN30" s="204"/>
      <c r="DPO30" s="204"/>
      <c r="DPP30" s="204"/>
      <c r="DPQ30" s="204"/>
      <c r="DPR30" s="204"/>
      <c r="DPS30" s="204"/>
      <c r="DPT30" s="204"/>
      <c r="DPU30" s="204"/>
      <c r="DPV30" s="204"/>
      <c r="DPW30" s="204"/>
      <c r="DPX30" s="204"/>
      <c r="DPY30" s="204"/>
      <c r="DPZ30" s="204"/>
      <c r="DQA30" s="204"/>
      <c r="DQB30" s="204"/>
      <c r="DQC30" s="204"/>
      <c r="DQD30" s="204"/>
      <c r="DQE30" s="204"/>
      <c r="DQF30" s="204"/>
      <c r="DQG30" s="204"/>
      <c r="DQH30" s="204"/>
      <c r="DQI30" s="204"/>
      <c r="DQJ30" s="204"/>
      <c r="DQK30" s="204"/>
      <c r="DQL30" s="204"/>
      <c r="DQM30" s="204"/>
      <c r="DQN30" s="204"/>
      <c r="DQO30" s="204"/>
      <c r="DQP30" s="204"/>
      <c r="DQQ30" s="204"/>
      <c r="DQR30" s="204"/>
      <c r="DQS30" s="204"/>
      <c r="DQT30" s="204"/>
      <c r="DQU30" s="204"/>
      <c r="DQV30" s="204"/>
      <c r="DQW30" s="204"/>
      <c r="DQX30" s="204"/>
      <c r="DQY30" s="204"/>
      <c r="DQZ30" s="204"/>
      <c r="DRA30" s="204"/>
      <c r="DRB30" s="204"/>
      <c r="DRC30" s="204"/>
      <c r="DRD30" s="204"/>
      <c r="DRE30" s="204"/>
      <c r="DRF30" s="204"/>
      <c r="DRG30" s="204"/>
      <c r="DRH30" s="204"/>
      <c r="DRI30" s="204"/>
      <c r="DRJ30" s="204"/>
      <c r="DRK30" s="204"/>
      <c r="DRL30" s="204"/>
      <c r="DRM30" s="204"/>
      <c r="DRN30" s="204"/>
      <c r="DRO30" s="204"/>
      <c r="DRP30" s="204"/>
      <c r="DRQ30" s="204"/>
      <c r="DRR30" s="204"/>
      <c r="DRS30" s="204"/>
      <c r="DRT30" s="204"/>
      <c r="DRU30" s="204"/>
      <c r="DRV30" s="204"/>
      <c r="DRW30" s="204"/>
      <c r="DRX30" s="204"/>
      <c r="DRY30" s="204"/>
      <c r="DRZ30" s="204"/>
      <c r="DSA30" s="204"/>
      <c r="DSB30" s="204"/>
      <c r="DSC30" s="204"/>
      <c r="DSD30" s="204"/>
      <c r="DSE30" s="204"/>
      <c r="DSF30" s="204"/>
      <c r="DSG30" s="204"/>
      <c r="DSH30" s="204"/>
      <c r="DSI30" s="204"/>
      <c r="DSJ30" s="204"/>
      <c r="DSK30" s="204"/>
      <c r="DSL30" s="204"/>
      <c r="DSM30" s="204"/>
      <c r="DSN30" s="204"/>
      <c r="DSO30" s="204"/>
      <c r="DSP30" s="204"/>
      <c r="DSQ30" s="204"/>
      <c r="DSR30" s="204"/>
      <c r="DSS30" s="204"/>
      <c r="DST30" s="204"/>
      <c r="DSU30" s="204"/>
      <c r="DSV30" s="204"/>
      <c r="DSW30" s="204"/>
      <c r="DSX30" s="204"/>
      <c r="DSY30" s="204"/>
      <c r="DSZ30" s="204"/>
      <c r="DTA30" s="204"/>
      <c r="DTB30" s="204"/>
      <c r="DTC30" s="204"/>
      <c r="DTD30" s="204"/>
      <c r="DTE30" s="204"/>
      <c r="DTF30" s="204"/>
      <c r="DTG30" s="204"/>
      <c r="DTH30" s="204"/>
      <c r="DTI30" s="204"/>
      <c r="DTJ30" s="204"/>
      <c r="DTK30" s="204"/>
      <c r="DTL30" s="204"/>
      <c r="DTM30" s="204"/>
      <c r="DTN30" s="204"/>
      <c r="DTO30" s="204"/>
      <c r="DTP30" s="204"/>
      <c r="DTQ30" s="204"/>
      <c r="DTR30" s="204"/>
      <c r="DTS30" s="204"/>
      <c r="DTT30" s="204"/>
      <c r="DTU30" s="204"/>
      <c r="DTV30" s="204"/>
      <c r="DTW30" s="204"/>
      <c r="DTX30" s="204"/>
      <c r="DTY30" s="204"/>
      <c r="DTZ30" s="204"/>
      <c r="DUA30" s="204"/>
      <c r="DUB30" s="204"/>
      <c r="DUC30" s="204"/>
      <c r="DUD30" s="204"/>
      <c r="DUE30" s="204"/>
      <c r="DUF30" s="204"/>
      <c r="DUG30" s="204"/>
      <c r="DUH30" s="204"/>
      <c r="DUI30" s="204"/>
      <c r="DUJ30" s="204"/>
      <c r="DUK30" s="204"/>
      <c r="DUL30" s="204"/>
      <c r="DUM30" s="204"/>
      <c r="DUN30" s="204"/>
      <c r="DUO30" s="204"/>
      <c r="DUP30" s="204"/>
      <c r="DUQ30" s="204"/>
      <c r="DUR30" s="204"/>
      <c r="DUS30" s="204"/>
      <c r="DUT30" s="204"/>
      <c r="DUU30" s="204"/>
      <c r="DUV30" s="204"/>
      <c r="DUW30" s="204"/>
      <c r="DUX30" s="204"/>
      <c r="DUY30" s="204"/>
      <c r="DUZ30" s="204"/>
      <c r="DVA30" s="204"/>
      <c r="DVB30" s="204"/>
      <c r="DVC30" s="204"/>
      <c r="DVD30" s="204"/>
      <c r="DVE30" s="204"/>
      <c r="DVF30" s="204"/>
      <c r="DVG30" s="204"/>
      <c r="DVH30" s="204"/>
      <c r="DVI30" s="204"/>
      <c r="DVJ30" s="204"/>
      <c r="DVK30" s="204"/>
      <c r="DVL30" s="204"/>
      <c r="DVM30" s="204"/>
      <c r="DVN30" s="204"/>
      <c r="DVO30" s="204"/>
      <c r="DVP30" s="204"/>
      <c r="DVQ30" s="204"/>
      <c r="DVR30" s="204"/>
      <c r="DVS30" s="204"/>
      <c r="DVT30" s="204"/>
      <c r="DVU30" s="204"/>
      <c r="DVV30" s="204"/>
      <c r="DVW30" s="204"/>
      <c r="DVX30" s="204"/>
      <c r="DVY30" s="204"/>
      <c r="DVZ30" s="204"/>
      <c r="DWA30" s="204"/>
      <c r="DWB30" s="204"/>
      <c r="DWC30" s="204"/>
      <c r="DWD30" s="204"/>
      <c r="DWE30" s="204"/>
      <c r="DWF30" s="204"/>
      <c r="DWG30" s="204"/>
      <c r="DWH30" s="204"/>
      <c r="DWI30" s="204"/>
      <c r="DWJ30" s="204"/>
      <c r="DWK30" s="204"/>
      <c r="DWL30" s="204"/>
      <c r="DWM30" s="204"/>
      <c r="DWN30" s="204"/>
      <c r="DWO30" s="204"/>
      <c r="DWP30" s="204"/>
      <c r="DWQ30" s="204"/>
      <c r="DWR30" s="204"/>
      <c r="DWS30" s="204"/>
      <c r="DWT30" s="204"/>
      <c r="DWU30" s="204"/>
      <c r="DWV30" s="204"/>
      <c r="DWW30" s="204"/>
      <c r="DWX30" s="204"/>
      <c r="DWY30" s="204"/>
      <c r="DWZ30" s="204"/>
      <c r="DXA30" s="204"/>
      <c r="DXB30" s="204"/>
      <c r="DXC30" s="204"/>
      <c r="DXD30" s="204"/>
      <c r="DXE30" s="204"/>
      <c r="DXF30" s="204"/>
      <c r="DXG30" s="204"/>
      <c r="DXH30" s="204"/>
      <c r="DXI30" s="204"/>
      <c r="DXJ30" s="204"/>
      <c r="DXK30" s="204"/>
      <c r="DXL30" s="204"/>
      <c r="DXM30" s="204"/>
      <c r="DXN30" s="204"/>
      <c r="DXO30" s="204"/>
      <c r="DXP30" s="204"/>
      <c r="DXQ30" s="204"/>
      <c r="DXR30" s="204"/>
      <c r="DXS30" s="204"/>
      <c r="DXT30" s="204"/>
      <c r="DXU30" s="204"/>
      <c r="DXV30" s="204"/>
      <c r="DXW30" s="204"/>
      <c r="DXX30" s="204"/>
      <c r="DXY30" s="204"/>
      <c r="DXZ30" s="204"/>
      <c r="DYA30" s="204"/>
      <c r="DYB30" s="204"/>
      <c r="DYC30" s="204"/>
      <c r="DYD30" s="204"/>
      <c r="DYE30" s="204"/>
      <c r="DYF30" s="204"/>
      <c r="DYG30" s="204"/>
      <c r="DYH30" s="204"/>
      <c r="DYI30" s="204"/>
      <c r="DYJ30" s="204"/>
      <c r="DYK30" s="204"/>
      <c r="DYL30" s="204"/>
      <c r="DYM30" s="204"/>
      <c r="DYN30" s="204"/>
      <c r="DYO30" s="204"/>
      <c r="DYP30" s="204"/>
      <c r="DYQ30" s="204"/>
      <c r="DYR30" s="204"/>
      <c r="DYS30" s="204"/>
      <c r="DYT30" s="204"/>
      <c r="DYU30" s="204"/>
      <c r="DYV30" s="204"/>
      <c r="DYW30" s="204"/>
      <c r="DYX30" s="204"/>
      <c r="DYY30" s="204"/>
      <c r="DYZ30" s="204"/>
      <c r="DZA30" s="204"/>
      <c r="DZB30" s="204"/>
      <c r="DZC30" s="204"/>
      <c r="DZD30" s="204"/>
      <c r="DZE30" s="204"/>
      <c r="DZF30" s="204"/>
      <c r="DZG30" s="204"/>
      <c r="DZH30" s="204"/>
      <c r="DZI30" s="204"/>
      <c r="DZJ30" s="204"/>
      <c r="DZK30" s="204"/>
      <c r="DZL30" s="204"/>
      <c r="DZM30" s="204"/>
      <c r="DZN30" s="204"/>
      <c r="DZO30" s="204"/>
      <c r="DZP30" s="204"/>
      <c r="DZQ30" s="204"/>
      <c r="DZR30" s="204"/>
      <c r="DZS30" s="204"/>
      <c r="DZT30" s="204"/>
      <c r="DZU30" s="204"/>
      <c r="DZV30" s="204"/>
      <c r="DZW30" s="204"/>
      <c r="DZX30" s="204"/>
      <c r="DZY30" s="204"/>
      <c r="DZZ30" s="204"/>
      <c r="EAA30" s="204"/>
      <c r="EAB30" s="204"/>
      <c r="EAC30" s="204"/>
      <c r="EAD30" s="204"/>
      <c r="EAE30" s="204"/>
      <c r="EAF30" s="204"/>
      <c r="EAG30" s="204"/>
      <c r="EAH30" s="204"/>
      <c r="EAI30" s="204"/>
      <c r="EAJ30" s="204"/>
      <c r="EAK30" s="204"/>
      <c r="EAL30" s="204"/>
      <c r="EAM30" s="204"/>
      <c r="EAN30" s="204"/>
      <c r="EAO30" s="204"/>
      <c r="EAP30" s="204"/>
      <c r="EAQ30" s="204"/>
      <c r="EAR30" s="204"/>
      <c r="EAS30" s="204"/>
      <c r="EAT30" s="204"/>
      <c r="EAU30" s="204"/>
      <c r="EAV30" s="204"/>
      <c r="EAW30" s="204"/>
      <c r="EAX30" s="204"/>
      <c r="EAY30" s="204"/>
      <c r="EAZ30" s="204"/>
      <c r="EBA30" s="204"/>
      <c r="EBB30" s="204"/>
      <c r="EBC30" s="204"/>
      <c r="EBD30" s="204"/>
      <c r="EBE30" s="204"/>
      <c r="EBF30" s="204"/>
      <c r="EBG30" s="204"/>
      <c r="EBH30" s="204"/>
      <c r="EBI30" s="204"/>
      <c r="EBJ30" s="204"/>
      <c r="EBK30" s="204"/>
      <c r="EBL30" s="204"/>
      <c r="EBM30" s="204"/>
      <c r="EBN30" s="204"/>
      <c r="EBO30" s="204"/>
      <c r="EBP30" s="204"/>
      <c r="EBQ30" s="204"/>
      <c r="EBR30" s="204"/>
      <c r="EBS30" s="204"/>
      <c r="EBT30" s="204"/>
      <c r="EBU30" s="204"/>
      <c r="EBV30" s="204"/>
      <c r="EBW30" s="204"/>
      <c r="EBX30" s="204"/>
      <c r="EBY30" s="204"/>
      <c r="EBZ30" s="204"/>
      <c r="ECA30" s="204"/>
      <c r="ECB30" s="204"/>
      <c r="ECC30" s="204"/>
      <c r="ECD30" s="204"/>
      <c r="ECE30" s="204"/>
      <c r="ECF30" s="204"/>
      <c r="ECG30" s="204"/>
      <c r="ECH30" s="204"/>
      <c r="ECI30" s="204"/>
      <c r="ECJ30" s="204"/>
      <c r="ECK30" s="204"/>
      <c r="ECL30" s="204"/>
      <c r="ECM30" s="204"/>
      <c r="ECN30" s="204"/>
      <c r="ECO30" s="204"/>
      <c r="ECP30" s="204"/>
      <c r="ECQ30" s="204"/>
      <c r="ECR30" s="204"/>
      <c r="ECS30" s="204"/>
      <c r="ECT30" s="204"/>
      <c r="ECU30" s="204"/>
      <c r="ECV30" s="204"/>
      <c r="ECW30" s="204"/>
      <c r="ECX30" s="204"/>
      <c r="ECY30" s="204"/>
      <c r="ECZ30" s="204"/>
      <c r="EDA30" s="204"/>
      <c r="EDB30" s="204"/>
      <c r="EDC30" s="204"/>
      <c r="EDD30" s="204"/>
      <c r="EDE30" s="204"/>
      <c r="EDF30" s="204"/>
      <c r="EDG30" s="204"/>
      <c r="EDH30" s="204"/>
      <c r="EDI30" s="204"/>
      <c r="EDJ30" s="204"/>
      <c r="EDK30" s="204"/>
      <c r="EDL30" s="204"/>
      <c r="EDM30" s="204"/>
      <c r="EDN30" s="204"/>
      <c r="EDO30" s="204"/>
      <c r="EDP30" s="204"/>
      <c r="EDQ30" s="204"/>
      <c r="EDR30" s="204"/>
      <c r="EDS30" s="204"/>
      <c r="EDT30" s="204"/>
      <c r="EDU30" s="204"/>
      <c r="EDV30" s="204"/>
      <c r="EDW30" s="204"/>
      <c r="EDX30" s="204"/>
      <c r="EDY30" s="204"/>
      <c r="EDZ30" s="204"/>
      <c r="EEA30" s="204"/>
      <c r="EEB30" s="204"/>
      <c r="EEC30" s="204"/>
      <c r="EED30" s="204"/>
      <c r="EEE30" s="204"/>
      <c r="EEF30" s="204"/>
      <c r="EEG30" s="204"/>
      <c r="EEH30" s="204"/>
      <c r="EEI30" s="204"/>
      <c r="EEJ30" s="204"/>
      <c r="EEK30" s="204"/>
      <c r="EEL30" s="204"/>
      <c r="EEM30" s="204"/>
      <c r="EEN30" s="204"/>
      <c r="EEO30" s="204"/>
      <c r="EEP30" s="204"/>
      <c r="EEQ30" s="204"/>
      <c r="EER30" s="204"/>
      <c r="EES30" s="204"/>
      <c r="EET30" s="204"/>
      <c r="EEU30" s="204"/>
      <c r="EEV30" s="204"/>
      <c r="EEW30" s="204"/>
      <c r="EEX30" s="204"/>
      <c r="EEY30" s="204"/>
      <c r="EEZ30" s="204"/>
      <c r="EFA30" s="204"/>
      <c r="EFB30" s="204"/>
      <c r="EFC30" s="204"/>
      <c r="EFD30" s="204"/>
      <c r="EFE30" s="204"/>
      <c r="EFF30" s="204"/>
      <c r="EFG30" s="204"/>
      <c r="EFH30" s="204"/>
      <c r="EFI30" s="204"/>
      <c r="EFJ30" s="204"/>
      <c r="EFK30" s="204"/>
      <c r="EFL30" s="204"/>
      <c r="EFM30" s="204"/>
      <c r="EFN30" s="204"/>
      <c r="EFO30" s="204"/>
      <c r="EFP30" s="204"/>
      <c r="EFQ30" s="204"/>
      <c r="EFR30" s="204"/>
      <c r="EFS30" s="204"/>
      <c r="EFT30" s="204"/>
      <c r="EFU30" s="204"/>
      <c r="EFV30" s="204"/>
      <c r="EFW30" s="204"/>
      <c r="EFX30" s="204"/>
      <c r="EFY30" s="204"/>
      <c r="EFZ30" s="204"/>
      <c r="EGA30" s="204"/>
      <c r="EGB30" s="204"/>
      <c r="EGC30" s="204"/>
      <c r="EGD30" s="204"/>
      <c r="EGE30" s="204"/>
      <c r="EGF30" s="204"/>
      <c r="EGG30" s="204"/>
      <c r="EGH30" s="204"/>
      <c r="EGI30" s="204"/>
      <c r="EGJ30" s="204"/>
      <c r="EGK30" s="204"/>
      <c r="EGL30" s="204"/>
      <c r="EGM30" s="204"/>
      <c r="EGN30" s="204"/>
      <c r="EGO30" s="204"/>
      <c r="EGP30" s="204"/>
      <c r="EGQ30" s="204"/>
      <c r="EGR30" s="204"/>
      <c r="EGS30" s="204"/>
      <c r="EGT30" s="204"/>
      <c r="EGU30" s="204"/>
      <c r="EGV30" s="204"/>
      <c r="EGW30" s="204"/>
      <c r="EGX30" s="204"/>
      <c r="EGY30" s="204"/>
      <c r="EGZ30" s="204"/>
      <c r="EHA30" s="204"/>
      <c r="EHB30" s="204"/>
      <c r="EHC30" s="204"/>
      <c r="EHD30" s="204"/>
      <c r="EHE30" s="204"/>
      <c r="EHF30" s="204"/>
      <c r="EHG30" s="204"/>
      <c r="EHH30" s="204"/>
      <c r="EHI30" s="204"/>
      <c r="EHJ30" s="204"/>
      <c r="EHK30" s="204"/>
      <c r="EHL30" s="204"/>
      <c r="EHM30" s="204"/>
      <c r="EHN30" s="204"/>
      <c r="EHO30" s="204"/>
      <c r="EHP30" s="204"/>
      <c r="EHQ30" s="204"/>
      <c r="EHR30" s="204"/>
      <c r="EHS30" s="204"/>
      <c r="EHT30" s="204"/>
      <c r="EHU30" s="204"/>
      <c r="EHV30" s="204"/>
      <c r="EHW30" s="204"/>
      <c r="EHX30" s="204"/>
      <c r="EHY30" s="204"/>
      <c r="EHZ30" s="204"/>
      <c r="EIA30" s="204"/>
      <c r="EIB30" s="204"/>
      <c r="EIC30" s="204"/>
      <c r="EID30" s="204"/>
      <c r="EIE30" s="204"/>
      <c r="EIF30" s="204"/>
      <c r="EIG30" s="204"/>
      <c r="EIH30" s="204"/>
      <c r="EII30" s="204"/>
      <c r="EIJ30" s="204"/>
      <c r="EIK30" s="204"/>
      <c r="EIL30" s="204"/>
      <c r="EIM30" s="204"/>
      <c r="EIN30" s="204"/>
      <c r="EIO30" s="204"/>
      <c r="EIP30" s="204"/>
      <c r="EIQ30" s="204"/>
      <c r="EIR30" s="204"/>
      <c r="EIS30" s="204"/>
      <c r="EIT30" s="204"/>
      <c r="EIU30" s="204"/>
      <c r="EIV30" s="204"/>
      <c r="EIW30" s="204"/>
      <c r="EIX30" s="204"/>
      <c r="EIY30" s="204"/>
      <c r="EIZ30" s="204"/>
      <c r="EJA30" s="204"/>
      <c r="EJB30" s="204"/>
      <c r="EJC30" s="204"/>
      <c r="EJD30" s="204"/>
      <c r="EJE30" s="204"/>
      <c r="EJF30" s="204"/>
      <c r="EJG30" s="204"/>
      <c r="EJH30" s="204"/>
      <c r="EJI30" s="204"/>
      <c r="EJJ30" s="204"/>
      <c r="EJK30" s="204"/>
      <c r="EJL30" s="204"/>
      <c r="EJM30" s="204"/>
      <c r="EJN30" s="204"/>
      <c r="EJO30" s="204"/>
      <c r="EJP30" s="204"/>
      <c r="EJQ30" s="204"/>
      <c r="EJR30" s="204"/>
      <c r="EJS30" s="204"/>
      <c r="EJT30" s="204"/>
      <c r="EJU30" s="204"/>
      <c r="EJV30" s="204"/>
      <c r="EJW30" s="204"/>
      <c r="EJX30" s="204"/>
      <c r="EJY30" s="204"/>
      <c r="EJZ30" s="204"/>
      <c r="EKA30" s="204"/>
      <c r="EKB30" s="204"/>
      <c r="EKC30" s="204"/>
      <c r="EKD30" s="204"/>
      <c r="EKE30" s="204"/>
      <c r="EKF30" s="204"/>
      <c r="EKG30" s="204"/>
      <c r="EKH30" s="204"/>
      <c r="EKI30" s="204"/>
      <c r="EKJ30" s="204"/>
      <c r="EKK30" s="204"/>
      <c r="EKL30" s="204"/>
      <c r="EKM30" s="204"/>
      <c r="EKN30" s="204"/>
      <c r="EKO30" s="204"/>
      <c r="EKP30" s="204"/>
      <c r="EKQ30" s="204"/>
      <c r="EKR30" s="204"/>
      <c r="EKS30" s="204"/>
      <c r="EKT30" s="204"/>
      <c r="EKU30" s="204"/>
      <c r="EKV30" s="204"/>
      <c r="EKW30" s="204"/>
      <c r="EKX30" s="204"/>
      <c r="EKY30" s="204"/>
      <c r="EKZ30" s="204"/>
      <c r="ELA30" s="204"/>
      <c r="ELB30" s="204"/>
      <c r="ELC30" s="204"/>
      <c r="ELD30" s="204"/>
      <c r="ELE30" s="204"/>
      <c r="ELF30" s="204"/>
      <c r="ELG30" s="204"/>
      <c r="ELH30" s="204"/>
      <c r="ELI30" s="204"/>
      <c r="ELJ30" s="204"/>
      <c r="ELK30" s="204"/>
      <c r="ELL30" s="204"/>
      <c r="ELM30" s="204"/>
      <c r="ELN30" s="204"/>
      <c r="ELO30" s="204"/>
      <c r="ELP30" s="204"/>
      <c r="ELQ30" s="204"/>
      <c r="ELR30" s="204"/>
      <c r="ELS30" s="204"/>
      <c r="ELT30" s="204"/>
      <c r="ELU30" s="204"/>
      <c r="ELV30" s="204"/>
      <c r="ELW30" s="204"/>
      <c r="ELX30" s="204"/>
      <c r="ELY30" s="204"/>
      <c r="ELZ30" s="204"/>
      <c r="EMA30" s="204"/>
      <c r="EMB30" s="204"/>
      <c r="EMC30" s="204"/>
      <c r="EMD30" s="204"/>
      <c r="EME30" s="204"/>
      <c r="EMF30" s="204"/>
      <c r="EMG30" s="204"/>
      <c r="EMH30" s="204"/>
      <c r="EMI30" s="204"/>
      <c r="EMJ30" s="204"/>
      <c r="EMK30" s="204"/>
      <c r="EML30" s="204"/>
      <c r="EMM30" s="204"/>
      <c r="EMN30" s="204"/>
      <c r="EMO30" s="204"/>
      <c r="EMP30" s="204"/>
      <c r="EMQ30" s="204"/>
      <c r="EMR30" s="204"/>
      <c r="EMS30" s="204"/>
      <c r="EMT30" s="204"/>
      <c r="EMU30" s="204"/>
      <c r="EMV30" s="204"/>
      <c r="EMW30" s="204"/>
      <c r="EMX30" s="204"/>
      <c r="EMY30" s="204"/>
      <c r="EMZ30" s="204"/>
      <c r="ENA30" s="204"/>
      <c r="ENB30" s="204"/>
      <c r="ENC30" s="204"/>
      <c r="END30" s="204"/>
      <c r="ENE30" s="204"/>
      <c r="ENF30" s="204"/>
      <c r="ENG30" s="204"/>
      <c r="ENH30" s="204"/>
      <c r="ENI30" s="204"/>
      <c r="ENJ30" s="204"/>
      <c r="ENK30" s="204"/>
      <c r="ENL30" s="204"/>
      <c r="ENM30" s="204"/>
      <c r="ENN30" s="204"/>
      <c r="ENO30" s="204"/>
      <c r="ENP30" s="204"/>
      <c r="ENQ30" s="204"/>
      <c r="ENR30" s="204"/>
      <c r="ENS30" s="204"/>
      <c r="ENT30" s="204"/>
      <c r="ENU30" s="204"/>
      <c r="ENV30" s="204"/>
      <c r="ENW30" s="204"/>
      <c r="ENX30" s="204"/>
      <c r="ENY30" s="204"/>
      <c r="ENZ30" s="204"/>
      <c r="EOA30" s="204"/>
      <c r="EOB30" s="204"/>
      <c r="EOC30" s="204"/>
      <c r="EOD30" s="204"/>
      <c r="EOE30" s="204"/>
      <c r="EOF30" s="204"/>
      <c r="EOG30" s="204"/>
      <c r="EOH30" s="204"/>
      <c r="EOI30" s="204"/>
      <c r="EOJ30" s="204"/>
      <c r="EOK30" s="204"/>
      <c r="EOL30" s="204"/>
      <c r="EOM30" s="204"/>
      <c r="EON30" s="204"/>
      <c r="EOO30" s="204"/>
      <c r="EOP30" s="204"/>
      <c r="EOQ30" s="204"/>
      <c r="EOR30" s="204"/>
      <c r="EOS30" s="204"/>
      <c r="EOT30" s="204"/>
      <c r="EOU30" s="204"/>
      <c r="EOV30" s="204"/>
      <c r="EOW30" s="204"/>
      <c r="EOX30" s="204"/>
      <c r="EOY30" s="204"/>
      <c r="EOZ30" s="204"/>
      <c r="EPA30" s="204"/>
      <c r="EPB30" s="204"/>
      <c r="EPC30" s="204"/>
      <c r="EPD30" s="204"/>
      <c r="EPE30" s="204"/>
      <c r="EPF30" s="204"/>
      <c r="EPG30" s="204"/>
      <c r="EPH30" s="204"/>
      <c r="EPI30" s="204"/>
      <c r="EPJ30" s="204"/>
      <c r="EPK30" s="204"/>
      <c r="EPL30" s="204"/>
      <c r="EPM30" s="204"/>
      <c r="EPN30" s="204"/>
      <c r="EPO30" s="204"/>
      <c r="EPP30" s="204"/>
      <c r="EPQ30" s="204"/>
      <c r="EPR30" s="204"/>
      <c r="EPS30" s="204"/>
      <c r="EPT30" s="204"/>
      <c r="EPU30" s="204"/>
      <c r="EPV30" s="204"/>
      <c r="EPW30" s="204"/>
      <c r="EPX30" s="204"/>
      <c r="EPY30" s="204"/>
      <c r="EPZ30" s="204"/>
      <c r="EQA30" s="204"/>
      <c r="EQB30" s="204"/>
      <c r="EQC30" s="204"/>
      <c r="EQD30" s="204"/>
      <c r="EQE30" s="204"/>
      <c r="EQF30" s="204"/>
      <c r="EQG30" s="204"/>
      <c r="EQH30" s="204"/>
      <c r="EQI30" s="204"/>
      <c r="EQJ30" s="204"/>
      <c r="EQK30" s="204"/>
      <c r="EQL30" s="204"/>
      <c r="EQM30" s="204"/>
      <c r="EQN30" s="204"/>
      <c r="EQO30" s="204"/>
      <c r="EQP30" s="204"/>
      <c r="EQQ30" s="204"/>
      <c r="EQR30" s="204"/>
      <c r="EQS30" s="204"/>
      <c r="EQT30" s="204"/>
      <c r="EQU30" s="204"/>
      <c r="EQV30" s="204"/>
      <c r="EQW30" s="204"/>
      <c r="EQX30" s="204"/>
      <c r="EQY30" s="204"/>
      <c r="EQZ30" s="204"/>
      <c r="ERA30" s="204"/>
      <c r="ERB30" s="204"/>
      <c r="ERC30" s="204"/>
      <c r="ERD30" s="204"/>
      <c r="ERE30" s="204"/>
      <c r="ERF30" s="204"/>
      <c r="ERG30" s="204"/>
      <c r="ERH30" s="204"/>
      <c r="ERI30" s="204"/>
      <c r="ERJ30" s="204"/>
      <c r="ERK30" s="204"/>
      <c r="ERL30" s="204"/>
      <c r="ERM30" s="204"/>
      <c r="ERN30" s="204"/>
      <c r="ERO30" s="204"/>
      <c r="ERP30" s="204"/>
      <c r="ERQ30" s="204"/>
      <c r="ERR30" s="204"/>
      <c r="ERS30" s="204"/>
      <c r="ERT30" s="204"/>
      <c r="ERU30" s="204"/>
      <c r="ERV30" s="204"/>
      <c r="ERW30" s="204"/>
      <c r="ERX30" s="204"/>
      <c r="ERY30" s="204"/>
      <c r="ERZ30" s="204"/>
      <c r="ESA30" s="204"/>
      <c r="ESB30" s="204"/>
      <c r="ESC30" s="204"/>
      <c r="ESD30" s="204"/>
      <c r="ESE30" s="204"/>
      <c r="ESF30" s="204"/>
      <c r="ESG30" s="204"/>
      <c r="ESH30" s="204"/>
      <c r="ESI30" s="204"/>
      <c r="ESJ30" s="204"/>
      <c r="ESK30" s="204"/>
      <c r="ESL30" s="204"/>
      <c r="ESM30" s="204"/>
      <c r="ESN30" s="204"/>
      <c r="ESO30" s="204"/>
      <c r="ESP30" s="204"/>
      <c r="ESQ30" s="204"/>
      <c r="ESR30" s="204"/>
      <c r="ESS30" s="204"/>
      <c r="EST30" s="204"/>
      <c r="ESU30" s="204"/>
      <c r="ESV30" s="204"/>
      <c r="ESW30" s="204"/>
      <c r="ESX30" s="204"/>
      <c r="ESY30" s="204"/>
      <c r="ESZ30" s="204"/>
      <c r="ETA30" s="204"/>
      <c r="ETB30" s="204"/>
      <c r="ETC30" s="204"/>
      <c r="ETD30" s="204"/>
      <c r="ETE30" s="204"/>
      <c r="ETF30" s="204"/>
      <c r="ETG30" s="204"/>
      <c r="ETH30" s="204"/>
      <c r="ETI30" s="204"/>
      <c r="ETJ30" s="204"/>
      <c r="ETK30" s="204"/>
      <c r="ETL30" s="204"/>
      <c r="ETM30" s="204"/>
      <c r="ETN30" s="204"/>
      <c r="ETO30" s="204"/>
      <c r="ETP30" s="204"/>
      <c r="ETQ30" s="204"/>
      <c r="ETR30" s="204"/>
      <c r="ETS30" s="204"/>
      <c r="ETT30" s="204"/>
      <c r="ETU30" s="204"/>
      <c r="ETV30" s="204"/>
      <c r="ETW30" s="204"/>
      <c r="ETX30" s="204"/>
      <c r="ETY30" s="204"/>
      <c r="ETZ30" s="204"/>
      <c r="EUA30" s="204"/>
      <c r="EUB30" s="204"/>
      <c r="EUC30" s="204"/>
      <c r="EUD30" s="204"/>
      <c r="EUE30" s="204"/>
      <c r="EUF30" s="204"/>
      <c r="EUG30" s="204"/>
      <c r="EUH30" s="204"/>
      <c r="EUI30" s="204"/>
      <c r="EUJ30" s="204"/>
      <c r="EUK30" s="204"/>
      <c r="EUL30" s="204"/>
      <c r="EUM30" s="204"/>
      <c r="EUN30" s="204"/>
      <c r="EUO30" s="204"/>
      <c r="EUP30" s="204"/>
      <c r="EUQ30" s="204"/>
      <c r="EUR30" s="204"/>
      <c r="EUS30" s="204"/>
      <c r="EUT30" s="204"/>
      <c r="EUU30" s="204"/>
      <c r="EUV30" s="204"/>
      <c r="EUW30" s="204"/>
      <c r="EUX30" s="204"/>
      <c r="EUY30" s="204"/>
      <c r="EUZ30" s="204"/>
      <c r="EVA30" s="204"/>
      <c r="EVB30" s="204"/>
      <c r="EVC30" s="204"/>
      <c r="EVD30" s="204"/>
      <c r="EVE30" s="204"/>
      <c r="EVF30" s="204"/>
      <c r="EVG30" s="204"/>
      <c r="EVH30" s="204"/>
      <c r="EVI30" s="204"/>
      <c r="EVJ30" s="204"/>
      <c r="EVK30" s="204"/>
      <c r="EVL30" s="204"/>
      <c r="EVM30" s="204"/>
      <c r="EVN30" s="204"/>
      <c r="EVO30" s="204"/>
      <c r="EVP30" s="204"/>
      <c r="EVQ30" s="204"/>
      <c r="EVR30" s="204"/>
      <c r="EVS30" s="204"/>
      <c r="EVT30" s="204"/>
      <c r="EVU30" s="204"/>
      <c r="EVV30" s="204"/>
      <c r="EVW30" s="204"/>
      <c r="EVX30" s="204"/>
      <c r="EVY30" s="204"/>
      <c r="EVZ30" s="204"/>
      <c r="EWA30" s="204"/>
      <c r="EWB30" s="204"/>
      <c r="EWC30" s="204"/>
      <c r="EWD30" s="204"/>
      <c r="EWE30" s="204"/>
      <c r="EWF30" s="204"/>
      <c r="EWG30" s="204"/>
      <c r="EWH30" s="204"/>
      <c r="EWI30" s="204"/>
      <c r="EWJ30" s="204"/>
      <c r="EWK30" s="204"/>
      <c r="EWL30" s="204"/>
      <c r="EWM30" s="204"/>
      <c r="EWN30" s="204"/>
      <c r="EWO30" s="204"/>
      <c r="EWP30" s="204"/>
      <c r="EWQ30" s="204"/>
      <c r="EWR30" s="204"/>
      <c r="EWS30" s="204"/>
      <c r="EWT30" s="204"/>
      <c r="EWU30" s="204"/>
      <c r="EWV30" s="204"/>
      <c r="EWW30" s="204"/>
      <c r="EWX30" s="204"/>
      <c r="EWY30" s="204"/>
      <c r="EWZ30" s="204"/>
      <c r="EXA30" s="204"/>
      <c r="EXB30" s="204"/>
      <c r="EXC30" s="204"/>
      <c r="EXD30" s="204"/>
      <c r="EXE30" s="204"/>
      <c r="EXF30" s="204"/>
      <c r="EXG30" s="204"/>
      <c r="EXH30" s="204"/>
      <c r="EXI30" s="204"/>
      <c r="EXJ30" s="204"/>
      <c r="EXK30" s="204"/>
      <c r="EXL30" s="204"/>
      <c r="EXM30" s="204"/>
      <c r="EXN30" s="204"/>
      <c r="EXO30" s="204"/>
      <c r="EXP30" s="204"/>
      <c r="EXQ30" s="204"/>
      <c r="EXR30" s="204"/>
      <c r="EXS30" s="204"/>
      <c r="EXT30" s="204"/>
      <c r="EXU30" s="204"/>
      <c r="EXV30" s="204"/>
      <c r="EXW30" s="204"/>
      <c r="EXX30" s="204"/>
      <c r="EXY30" s="204"/>
      <c r="EXZ30" s="204"/>
      <c r="EYA30" s="204"/>
      <c r="EYB30" s="204"/>
      <c r="EYC30" s="204"/>
      <c r="EYD30" s="204"/>
      <c r="EYE30" s="204"/>
      <c r="EYF30" s="204"/>
      <c r="EYG30" s="204"/>
      <c r="EYH30" s="204"/>
      <c r="EYI30" s="204"/>
      <c r="EYJ30" s="204"/>
      <c r="EYK30" s="204"/>
      <c r="EYL30" s="204"/>
      <c r="EYM30" s="204"/>
      <c r="EYN30" s="204"/>
      <c r="EYO30" s="204"/>
      <c r="EYP30" s="204"/>
      <c r="EYQ30" s="204"/>
      <c r="EYR30" s="204"/>
      <c r="EYS30" s="204"/>
      <c r="EYT30" s="204"/>
      <c r="EYU30" s="204"/>
      <c r="EYV30" s="204"/>
      <c r="EYW30" s="204"/>
      <c r="EYX30" s="204"/>
      <c r="EYY30" s="204"/>
      <c r="EYZ30" s="204"/>
      <c r="EZA30" s="204"/>
      <c r="EZB30" s="204"/>
      <c r="EZC30" s="204"/>
      <c r="EZD30" s="204"/>
      <c r="EZE30" s="204"/>
      <c r="EZF30" s="204"/>
      <c r="EZG30" s="204"/>
      <c r="EZH30" s="204"/>
      <c r="EZI30" s="204"/>
      <c r="EZJ30" s="204"/>
      <c r="EZK30" s="204"/>
      <c r="EZL30" s="204"/>
      <c r="EZM30" s="204"/>
      <c r="EZN30" s="204"/>
      <c r="EZO30" s="204"/>
      <c r="EZP30" s="204"/>
      <c r="EZQ30" s="204"/>
      <c r="EZR30" s="204"/>
      <c r="EZS30" s="204"/>
      <c r="EZT30" s="204"/>
      <c r="EZU30" s="204"/>
      <c r="EZV30" s="204"/>
      <c r="EZW30" s="204"/>
      <c r="EZX30" s="204"/>
      <c r="EZY30" s="204"/>
      <c r="EZZ30" s="204"/>
      <c r="FAA30" s="204"/>
      <c r="FAB30" s="204"/>
      <c r="FAC30" s="204"/>
      <c r="FAD30" s="204"/>
      <c r="FAE30" s="204"/>
      <c r="FAF30" s="204"/>
      <c r="FAG30" s="204"/>
      <c r="FAH30" s="204"/>
      <c r="FAI30" s="204"/>
      <c r="FAJ30" s="204"/>
      <c r="FAK30" s="204"/>
      <c r="FAL30" s="204"/>
      <c r="FAM30" s="204"/>
      <c r="FAN30" s="204"/>
      <c r="FAO30" s="204"/>
      <c r="FAP30" s="204"/>
      <c r="FAQ30" s="204"/>
      <c r="FAR30" s="204"/>
      <c r="FAS30" s="204"/>
      <c r="FAT30" s="204"/>
      <c r="FAU30" s="204"/>
      <c r="FAV30" s="204"/>
      <c r="FAW30" s="204"/>
      <c r="FAX30" s="204"/>
      <c r="FAY30" s="204"/>
      <c r="FAZ30" s="204"/>
      <c r="FBA30" s="204"/>
      <c r="FBB30" s="204"/>
      <c r="FBC30" s="204"/>
      <c r="FBD30" s="204"/>
      <c r="FBE30" s="204"/>
      <c r="FBF30" s="204"/>
      <c r="FBG30" s="204"/>
      <c r="FBH30" s="204"/>
      <c r="FBI30" s="204"/>
      <c r="FBJ30" s="204"/>
      <c r="FBK30" s="204"/>
      <c r="FBL30" s="204"/>
      <c r="FBM30" s="204"/>
      <c r="FBN30" s="204"/>
      <c r="FBO30" s="204"/>
      <c r="FBP30" s="204"/>
      <c r="FBQ30" s="204"/>
      <c r="FBR30" s="204"/>
      <c r="FBS30" s="204"/>
      <c r="FBT30" s="204"/>
      <c r="FBU30" s="204"/>
      <c r="FBV30" s="204"/>
      <c r="FBW30" s="204"/>
      <c r="FBX30" s="204"/>
      <c r="FBY30" s="204"/>
      <c r="FBZ30" s="204"/>
      <c r="FCA30" s="204"/>
      <c r="FCB30" s="204"/>
      <c r="FCC30" s="204"/>
      <c r="FCD30" s="204"/>
      <c r="FCE30" s="204"/>
      <c r="FCF30" s="204"/>
      <c r="FCG30" s="204"/>
      <c r="FCH30" s="204"/>
      <c r="FCI30" s="204"/>
      <c r="FCJ30" s="204"/>
      <c r="FCK30" s="204"/>
      <c r="FCL30" s="204"/>
      <c r="FCM30" s="204"/>
      <c r="FCN30" s="204"/>
      <c r="FCO30" s="204"/>
      <c r="FCP30" s="204"/>
      <c r="FCQ30" s="204"/>
      <c r="FCR30" s="204"/>
      <c r="FCS30" s="204"/>
      <c r="FCT30" s="204"/>
      <c r="FCU30" s="204"/>
      <c r="FCV30" s="204"/>
      <c r="FCW30" s="204"/>
      <c r="FCX30" s="204"/>
      <c r="FCY30" s="204"/>
      <c r="FCZ30" s="204"/>
      <c r="FDA30" s="204"/>
      <c r="FDB30" s="204"/>
      <c r="FDC30" s="204"/>
      <c r="FDD30" s="204"/>
      <c r="FDE30" s="204"/>
      <c r="FDF30" s="204"/>
      <c r="FDG30" s="204"/>
      <c r="FDH30" s="204"/>
      <c r="FDI30" s="204"/>
      <c r="FDJ30" s="204"/>
      <c r="FDK30" s="204"/>
      <c r="FDL30" s="204"/>
      <c r="FDM30" s="204"/>
      <c r="FDN30" s="204"/>
      <c r="FDO30" s="204"/>
      <c r="FDP30" s="204"/>
      <c r="FDQ30" s="204"/>
      <c r="FDR30" s="204"/>
      <c r="FDS30" s="204"/>
      <c r="FDT30" s="204"/>
      <c r="FDU30" s="204"/>
      <c r="FDV30" s="204"/>
      <c r="FDW30" s="204"/>
      <c r="FDX30" s="204"/>
      <c r="FDY30" s="204"/>
      <c r="FDZ30" s="204"/>
      <c r="FEA30" s="204"/>
      <c r="FEB30" s="204"/>
      <c r="FEC30" s="204"/>
      <c r="FED30" s="204"/>
      <c r="FEE30" s="204"/>
      <c r="FEF30" s="204"/>
      <c r="FEG30" s="204"/>
      <c r="FEH30" s="204"/>
      <c r="FEI30" s="204"/>
      <c r="FEJ30" s="204"/>
      <c r="FEK30" s="204"/>
      <c r="FEL30" s="204"/>
      <c r="FEM30" s="204"/>
      <c r="FEN30" s="204"/>
      <c r="FEO30" s="204"/>
      <c r="FEP30" s="204"/>
      <c r="FEQ30" s="204"/>
      <c r="FER30" s="204"/>
      <c r="FES30" s="204"/>
      <c r="FET30" s="204"/>
      <c r="FEU30" s="204"/>
      <c r="FEV30" s="204"/>
      <c r="FEW30" s="204"/>
      <c r="FEX30" s="204"/>
      <c r="FEY30" s="204"/>
      <c r="FEZ30" s="204"/>
      <c r="FFA30" s="204"/>
      <c r="FFB30" s="204"/>
      <c r="FFC30" s="204"/>
      <c r="FFD30" s="204"/>
      <c r="FFE30" s="204"/>
      <c r="FFF30" s="204"/>
      <c r="FFG30" s="204"/>
      <c r="FFH30" s="204"/>
      <c r="FFI30" s="204"/>
      <c r="FFJ30" s="204"/>
      <c r="FFK30" s="204"/>
      <c r="FFL30" s="204"/>
      <c r="FFM30" s="204"/>
      <c r="FFN30" s="204"/>
      <c r="FFO30" s="204"/>
      <c r="FFP30" s="204"/>
      <c r="FFQ30" s="204"/>
      <c r="FFR30" s="204"/>
      <c r="FFS30" s="204"/>
      <c r="FFT30" s="204"/>
      <c r="FFU30" s="204"/>
      <c r="FFV30" s="204"/>
      <c r="FFW30" s="204"/>
      <c r="FFX30" s="204"/>
      <c r="FFY30" s="204"/>
      <c r="FFZ30" s="204"/>
      <c r="FGA30" s="204"/>
      <c r="FGB30" s="204"/>
      <c r="FGC30" s="204"/>
      <c r="FGD30" s="204"/>
      <c r="FGE30" s="204"/>
      <c r="FGF30" s="204"/>
      <c r="FGG30" s="204"/>
      <c r="FGH30" s="204"/>
      <c r="FGI30" s="204"/>
      <c r="FGJ30" s="204"/>
      <c r="FGK30" s="204"/>
      <c r="FGL30" s="204"/>
      <c r="FGM30" s="204"/>
      <c r="FGN30" s="204"/>
      <c r="FGO30" s="204"/>
      <c r="FGP30" s="204"/>
      <c r="FGQ30" s="204"/>
      <c r="FGR30" s="204"/>
      <c r="FGS30" s="204"/>
      <c r="FGT30" s="204"/>
      <c r="FGU30" s="204"/>
      <c r="FGV30" s="204"/>
      <c r="FGW30" s="204"/>
      <c r="FGX30" s="204"/>
      <c r="FGY30" s="204"/>
      <c r="FGZ30" s="204"/>
      <c r="FHA30" s="204"/>
      <c r="FHB30" s="204"/>
      <c r="FHC30" s="204"/>
      <c r="FHD30" s="204"/>
      <c r="FHE30" s="204"/>
      <c r="FHF30" s="204"/>
      <c r="FHG30" s="204"/>
      <c r="FHH30" s="204"/>
      <c r="FHI30" s="204"/>
      <c r="FHJ30" s="204"/>
      <c r="FHK30" s="204"/>
      <c r="FHL30" s="204"/>
      <c r="FHM30" s="204"/>
      <c r="FHN30" s="204"/>
      <c r="FHO30" s="204"/>
      <c r="FHP30" s="204"/>
      <c r="FHQ30" s="204"/>
      <c r="FHR30" s="204"/>
      <c r="FHS30" s="204"/>
      <c r="FHT30" s="204"/>
      <c r="FHU30" s="204"/>
      <c r="FHV30" s="204"/>
      <c r="FHW30" s="204"/>
      <c r="FHX30" s="204"/>
      <c r="FHY30" s="204"/>
      <c r="FHZ30" s="204"/>
      <c r="FIA30" s="204"/>
      <c r="FIB30" s="204"/>
      <c r="FIC30" s="204"/>
      <c r="FID30" s="204"/>
      <c r="FIE30" s="204"/>
      <c r="FIF30" s="204"/>
      <c r="FIG30" s="204"/>
      <c r="FIH30" s="204"/>
      <c r="FII30" s="204"/>
      <c r="FIJ30" s="204"/>
      <c r="FIK30" s="204"/>
      <c r="FIL30" s="204"/>
      <c r="FIM30" s="204"/>
      <c r="FIN30" s="204"/>
      <c r="FIO30" s="204"/>
      <c r="FIP30" s="204"/>
      <c r="FIQ30" s="204"/>
      <c r="FIR30" s="204"/>
      <c r="FIS30" s="204"/>
      <c r="FIT30" s="204"/>
      <c r="FIU30" s="204"/>
      <c r="FIV30" s="204"/>
      <c r="FIW30" s="204"/>
      <c r="FIX30" s="204"/>
      <c r="FIY30" s="204"/>
      <c r="FIZ30" s="204"/>
      <c r="FJA30" s="204"/>
      <c r="FJB30" s="204"/>
      <c r="FJC30" s="204"/>
      <c r="FJD30" s="204"/>
      <c r="FJE30" s="204"/>
      <c r="FJF30" s="204"/>
      <c r="FJG30" s="204"/>
      <c r="FJH30" s="204"/>
      <c r="FJI30" s="204"/>
      <c r="FJJ30" s="204"/>
      <c r="FJK30" s="204"/>
      <c r="FJL30" s="204"/>
      <c r="FJM30" s="204"/>
      <c r="FJN30" s="204"/>
      <c r="FJO30" s="204"/>
      <c r="FJP30" s="204"/>
      <c r="FJQ30" s="204"/>
      <c r="FJR30" s="204"/>
      <c r="FJS30" s="204"/>
      <c r="FJT30" s="204"/>
      <c r="FJU30" s="204"/>
      <c r="FJV30" s="204"/>
      <c r="FJW30" s="204"/>
      <c r="FJX30" s="204"/>
      <c r="FJY30" s="204"/>
      <c r="FJZ30" s="204"/>
      <c r="FKA30" s="204"/>
      <c r="FKB30" s="204"/>
      <c r="FKC30" s="204"/>
      <c r="FKD30" s="204"/>
      <c r="FKE30" s="204"/>
      <c r="FKF30" s="204"/>
      <c r="FKG30" s="204"/>
      <c r="FKH30" s="204"/>
      <c r="FKI30" s="204"/>
      <c r="FKJ30" s="204"/>
      <c r="FKK30" s="204"/>
      <c r="FKL30" s="204"/>
      <c r="FKM30" s="204"/>
      <c r="FKN30" s="204"/>
      <c r="FKO30" s="204"/>
      <c r="FKP30" s="204"/>
      <c r="FKQ30" s="204"/>
      <c r="FKR30" s="204"/>
      <c r="FKS30" s="204"/>
      <c r="FKT30" s="204"/>
      <c r="FKU30" s="204"/>
      <c r="FKV30" s="204"/>
      <c r="FKW30" s="204"/>
      <c r="FKX30" s="204"/>
      <c r="FKY30" s="204"/>
      <c r="FKZ30" s="204"/>
      <c r="FLA30" s="204"/>
      <c r="FLB30" s="204"/>
      <c r="FLC30" s="204"/>
      <c r="FLD30" s="204"/>
      <c r="FLE30" s="204"/>
      <c r="FLF30" s="204"/>
      <c r="FLG30" s="204"/>
      <c r="FLH30" s="204"/>
      <c r="FLI30" s="204"/>
      <c r="FLJ30" s="204"/>
      <c r="FLK30" s="204"/>
      <c r="FLL30" s="204"/>
      <c r="FLM30" s="204"/>
      <c r="FLN30" s="204"/>
      <c r="FLO30" s="204"/>
      <c r="FLP30" s="204"/>
      <c r="FLQ30" s="204"/>
      <c r="FLR30" s="204"/>
      <c r="FLS30" s="204"/>
      <c r="FLT30" s="204"/>
      <c r="FLU30" s="204"/>
      <c r="FLV30" s="204"/>
      <c r="FLW30" s="204"/>
      <c r="FLX30" s="204"/>
      <c r="FLY30" s="204"/>
      <c r="FLZ30" s="204"/>
      <c r="FMA30" s="204"/>
      <c r="FMB30" s="204"/>
      <c r="FMC30" s="204"/>
      <c r="FMD30" s="204"/>
      <c r="FME30" s="204"/>
      <c r="FMF30" s="204"/>
      <c r="FMG30" s="204"/>
      <c r="FMH30" s="204"/>
      <c r="FMI30" s="204"/>
      <c r="FMJ30" s="204"/>
      <c r="FMK30" s="204"/>
      <c r="FML30" s="204"/>
      <c r="FMM30" s="204"/>
      <c r="FMN30" s="204"/>
      <c r="FMO30" s="204"/>
      <c r="FMP30" s="204"/>
      <c r="FMQ30" s="204"/>
      <c r="FMR30" s="204"/>
      <c r="FMS30" s="204"/>
      <c r="FMT30" s="204"/>
      <c r="FMU30" s="204"/>
      <c r="FMV30" s="204"/>
      <c r="FMW30" s="204"/>
      <c r="FMX30" s="204"/>
      <c r="FMY30" s="204"/>
      <c r="FMZ30" s="204"/>
      <c r="FNA30" s="204"/>
      <c r="FNB30" s="204"/>
      <c r="FNC30" s="204"/>
      <c r="FND30" s="204"/>
      <c r="FNE30" s="204"/>
      <c r="FNF30" s="204"/>
      <c r="FNG30" s="204"/>
      <c r="FNH30" s="204"/>
      <c r="FNI30" s="204"/>
      <c r="FNJ30" s="204"/>
      <c r="FNK30" s="204"/>
      <c r="FNL30" s="204"/>
      <c r="FNM30" s="204"/>
      <c r="FNN30" s="204"/>
      <c r="FNO30" s="204"/>
      <c r="FNP30" s="204"/>
      <c r="FNQ30" s="204"/>
      <c r="FNR30" s="204"/>
      <c r="FNS30" s="204"/>
      <c r="FNT30" s="204"/>
      <c r="FNU30" s="204"/>
      <c r="FNV30" s="204"/>
      <c r="FNW30" s="204"/>
      <c r="FNX30" s="204"/>
      <c r="FNY30" s="204"/>
      <c r="FNZ30" s="204"/>
      <c r="FOA30" s="204"/>
      <c r="FOB30" s="204"/>
      <c r="FOC30" s="204"/>
      <c r="FOD30" s="204"/>
      <c r="FOE30" s="204"/>
      <c r="FOF30" s="204"/>
      <c r="FOG30" s="204"/>
      <c r="FOH30" s="204"/>
      <c r="FOI30" s="204"/>
      <c r="FOJ30" s="204"/>
      <c r="FOK30" s="204"/>
      <c r="FOL30" s="204"/>
      <c r="FOM30" s="204"/>
      <c r="FON30" s="204"/>
      <c r="FOO30" s="204"/>
      <c r="FOP30" s="204"/>
      <c r="FOQ30" s="204"/>
      <c r="FOR30" s="204"/>
      <c r="FOS30" s="204"/>
      <c r="FOT30" s="204"/>
      <c r="FOU30" s="204"/>
      <c r="FOV30" s="204"/>
      <c r="FOW30" s="204"/>
      <c r="FOX30" s="204"/>
      <c r="FOY30" s="204"/>
      <c r="FOZ30" s="204"/>
      <c r="FPA30" s="204"/>
      <c r="FPB30" s="204"/>
      <c r="FPC30" s="204"/>
      <c r="FPD30" s="204"/>
      <c r="FPE30" s="204"/>
      <c r="FPF30" s="204"/>
      <c r="FPG30" s="204"/>
      <c r="FPH30" s="204"/>
      <c r="FPI30" s="204"/>
      <c r="FPJ30" s="204"/>
      <c r="FPK30" s="204"/>
      <c r="FPL30" s="204"/>
      <c r="FPM30" s="204"/>
      <c r="FPN30" s="204"/>
      <c r="FPO30" s="204"/>
      <c r="FPP30" s="204"/>
      <c r="FPQ30" s="204"/>
      <c r="FPR30" s="204"/>
      <c r="FPS30" s="204"/>
      <c r="FPT30" s="204"/>
      <c r="FPU30" s="204"/>
      <c r="FPV30" s="204"/>
      <c r="FPW30" s="204"/>
      <c r="FPX30" s="204"/>
      <c r="FPY30" s="204"/>
      <c r="FPZ30" s="204"/>
      <c r="FQA30" s="204"/>
      <c r="FQB30" s="204"/>
      <c r="FQC30" s="204"/>
      <c r="FQD30" s="204"/>
      <c r="FQE30" s="204"/>
      <c r="FQF30" s="204"/>
      <c r="FQG30" s="204"/>
      <c r="FQH30" s="204"/>
      <c r="FQI30" s="204"/>
      <c r="FQJ30" s="204"/>
      <c r="FQK30" s="204"/>
      <c r="FQL30" s="204"/>
      <c r="FQM30" s="204"/>
      <c r="FQN30" s="204"/>
      <c r="FQO30" s="204"/>
      <c r="FQP30" s="204"/>
      <c r="FQQ30" s="204"/>
      <c r="FQR30" s="204"/>
      <c r="FQS30" s="204"/>
      <c r="FQT30" s="204"/>
      <c r="FQU30" s="204"/>
      <c r="FQV30" s="204"/>
      <c r="FQW30" s="204"/>
      <c r="FQX30" s="204"/>
      <c r="FQY30" s="204"/>
      <c r="FQZ30" s="204"/>
      <c r="FRA30" s="204"/>
      <c r="FRB30" s="204"/>
      <c r="FRC30" s="204"/>
      <c r="FRD30" s="204"/>
      <c r="FRE30" s="204"/>
      <c r="FRF30" s="204"/>
      <c r="FRG30" s="204"/>
      <c r="FRH30" s="204"/>
      <c r="FRI30" s="204"/>
      <c r="FRJ30" s="204"/>
      <c r="FRK30" s="204"/>
      <c r="FRL30" s="204"/>
      <c r="FRM30" s="204"/>
      <c r="FRN30" s="204"/>
      <c r="FRO30" s="204"/>
      <c r="FRP30" s="204"/>
      <c r="FRQ30" s="204"/>
      <c r="FRR30" s="204"/>
      <c r="FRS30" s="204"/>
      <c r="FRT30" s="204"/>
      <c r="FRU30" s="204"/>
      <c r="FRV30" s="204"/>
      <c r="FRW30" s="204"/>
      <c r="FRX30" s="204"/>
      <c r="FRY30" s="204"/>
      <c r="FRZ30" s="204"/>
      <c r="FSA30" s="204"/>
      <c r="FSB30" s="204"/>
      <c r="FSC30" s="204"/>
      <c r="FSD30" s="204"/>
      <c r="FSE30" s="204"/>
      <c r="FSF30" s="204"/>
      <c r="FSG30" s="204"/>
      <c r="FSH30" s="204"/>
      <c r="FSI30" s="204"/>
      <c r="FSJ30" s="204"/>
      <c r="FSK30" s="204"/>
      <c r="FSL30" s="204"/>
      <c r="FSM30" s="204"/>
      <c r="FSN30" s="204"/>
      <c r="FSO30" s="204"/>
      <c r="FSP30" s="204"/>
      <c r="FSQ30" s="204"/>
      <c r="FSR30" s="204"/>
      <c r="FSS30" s="204"/>
      <c r="FST30" s="204"/>
      <c r="FSU30" s="204"/>
      <c r="FSV30" s="204"/>
      <c r="FSW30" s="204"/>
      <c r="FSX30" s="204"/>
      <c r="FSY30" s="204"/>
      <c r="FSZ30" s="204"/>
      <c r="FTA30" s="204"/>
      <c r="FTB30" s="204"/>
      <c r="FTC30" s="204"/>
      <c r="FTD30" s="204"/>
      <c r="FTE30" s="204"/>
      <c r="FTF30" s="204"/>
      <c r="FTG30" s="204"/>
      <c r="FTH30" s="204"/>
      <c r="FTI30" s="204"/>
      <c r="FTJ30" s="204"/>
      <c r="FTK30" s="204"/>
      <c r="FTL30" s="204"/>
      <c r="FTM30" s="204"/>
      <c r="FTN30" s="204"/>
      <c r="FTO30" s="204"/>
      <c r="FTP30" s="204"/>
      <c r="FTQ30" s="204"/>
      <c r="FTR30" s="204"/>
      <c r="FTS30" s="204"/>
      <c r="FTT30" s="204"/>
      <c r="FTU30" s="204"/>
      <c r="FTV30" s="204"/>
      <c r="FTW30" s="204"/>
      <c r="FTX30" s="204"/>
      <c r="FTY30" s="204"/>
      <c r="FTZ30" s="204"/>
      <c r="FUA30" s="204"/>
      <c r="FUB30" s="204"/>
      <c r="FUC30" s="204"/>
      <c r="FUD30" s="204"/>
      <c r="FUE30" s="204"/>
      <c r="FUF30" s="204"/>
      <c r="FUG30" s="204"/>
      <c r="FUH30" s="204"/>
      <c r="FUI30" s="204"/>
      <c r="FUJ30" s="204"/>
      <c r="FUK30" s="204"/>
      <c r="FUL30" s="204"/>
      <c r="FUM30" s="204"/>
      <c r="FUN30" s="204"/>
      <c r="FUO30" s="204"/>
      <c r="FUP30" s="204"/>
      <c r="FUQ30" s="204"/>
      <c r="FUR30" s="204"/>
      <c r="FUS30" s="204"/>
      <c r="FUT30" s="204"/>
      <c r="FUU30" s="204"/>
      <c r="FUV30" s="204"/>
      <c r="FUW30" s="204"/>
      <c r="FUX30" s="204"/>
      <c r="FUY30" s="204"/>
      <c r="FUZ30" s="204"/>
      <c r="FVA30" s="204"/>
      <c r="FVB30" s="204"/>
      <c r="FVC30" s="204"/>
      <c r="FVD30" s="204"/>
      <c r="FVE30" s="204"/>
      <c r="FVF30" s="204"/>
      <c r="FVG30" s="204"/>
      <c r="FVH30" s="204"/>
      <c r="FVI30" s="204"/>
      <c r="FVJ30" s="204"/>
      <c r="FVK30" s="204"/>
      <c r="FVL30" s="204"/>
      <c r="FVM30" s="204"/>
      <c r="FVN30" s="204"/>
      <c r="FVO30" s="204"/>
      <c r="FVP30" s="204"/>
      <c r="FVQ30" s="204"/>
      <c r="FVR30" s="204"/>
      <c r="FVS30" s="204"/>
      <c r="FVT30" s="204"/>
      <c r="FVU30" s="204"/>
      <c r="FVV30" s="204"/>
      <c r="FVW30" s="204"/>
      <c r="FVX30" s="204"/>
      <c r="FVY30" s="204"/>
      <c r="FVZ30" s="204"/>
      <c r="FWA30" s="204"/>
      <c r="FWB30" s="204"/>
      <c r="FWC30" s="204"/>
      <c r="FWD30" s="204"/>
      <c r="FWE30" s="204"/>
      <c r="FWF30" s="204"/>
      <c r="FWG30" s="204"/>
      <c r="FWH30" s="204"/>
      <c r="FWI30" s="204"/>
      <c r="FWJ30" s="204"/>
      <c r="FWK30" s="204"/>
      <c r="FWL30" s="204"/>
      <c r="FWM30" s="204"/>
      <c r="FWN30" s="204"/>
      <c r="FWO30" s="204"/>
      <c r="FWP30" s="204"/>
      <c r="FWQ30" s="204"/>
      <c r="FWR30" s="204"/>
      <c r="FWS30" s="204"/>
      <c r="FWT30" s="204"/>
      <c r="FWU30" s="204"/>
      <c r="FWV30" s="204"/>
      <c r="FWW30" s="204"/>
      <c r="FWX30" s="204"/>
      <c r="FWY30" s="204"/>
      <c r="FWZ30" s="204"/>
      <c r="FXA30" s="204"/>
      <c r="FXB30" s="204"/>
      <c r="FXC30" s="204"/>
      <c r="FXD30" s="204"/>
      <c r="FXE30" s="204"/>
      <c r="FXF30" s="204"/>
      <c r="FXG30" s="204"/>
      <c r="FXH30" s="204"/>
      <c r="FXI30" s="204"/>
      <c r="FXJ30" s="204"/>
      <c r="FXK30" s="204"/>
      <c r="FXL30" s="204"/>
      <c r="FXM30" s="204"/>
      <c r="FXN30" s="204"/>
      <c r="FXO30" s="204"/>
      <c r="FXP30" s="204"/>
      <c r="FXQ30" s="204"/>
      <c r="FXR30" s="204"/>
      <c r="FXS30" s="204"/>
      <c r="FXT30" s="204"/>
      <c r="FXU30" s="204"/>
      <c r="FXV30" s="204"/>
      <c r="FXW30" s="204"/>
      <c r="FXX30" s="204"/>
      <c r="FXY30" s="204"/>
      <c r="FXZ30" s="204"/>
      <c r="FYA30" s="204"/>
      <c r="FYB30" s="204"/>
      <c r="FYC30" s="204"/>
      <c r="FYD30" s="204"/>
      <c r="FYE30" s="204"/>
      <c r="FYF30" s="204"/>
      <c r="FYG30" s="204"/>
      <c r="FYH30" s="204"/>
      <c r="FYI30" s="204"/>
      <c r="FYJ30" s="204"/>
      <c r="FYK30" s="204"/>
      <c r="FYL30" s="204"/>
      <c r="FYM30" s="204"/>
      <c r="FYN30" s="204"/>
      <c r="FYO30" s="204"/>
      <c r="FYP30" s="204"/>
      <c r="FYQ30" s="204"/>
      <c r="FYR30" s="204"/>
      <c r="FYS30" s="204"/>
      <c r="FYT30" s="204"/>
      <c r="FYU30" s="204"/>
      <c r="FYV30" s="204"/>
      <c r="FYW30" s="204"/>
      <c r="FYX30" s="204"/>
      <c r="FYY30" s="204"/>
      <c r="FYZ30" s="204"/>
      <c r="FZA30" s="204"/>
      <c r="FZB30" s="204"/>
      <c r="FZC30" s="204"/>
      <c r="FZD30" s="204"/>
      <c r="FZE30" s="204"/>
      <c r="FZF30" s="204"/>
      <c r="FZG30" s="204"/>
      <c r="FZH30" s="204"/>
      <c r="FZI30" s="204"/>
      <c r="FZJ30" s="204"/>
      <c r="FZK30" s="204"/>
      <c r="FZL30" s="204"/>
      <c r="FZM30" s="204"/>
      <c r="FZN30" s="204"/>
      <c r="FZO30" s="204"/>
      <c r="FZP30" s="204"/>
      <c r="FZQ30" s="204"/>
      <c r="FZR30" s="204"/>
      <c r="FZS30" s="204"/>
      <c r="FZT30" s="204"/>
      <c r="FZU30" s="204"/>
      <c r="FZV30" s="204"/>
      <c r="FZW30" s="204"/>
      <c r="FZX30" s="204"/>
      <c r="FZY30" s="204"/>
      <c r="FZZ30" s="204"/>
      <c r="GAA30" s="204"/>
      <c r="GAB30" s="204"/>
      <c r="GAC30" s="204"/>
      <c r="GAD30" s="204"/>
      <c r="GAE30" s="204"/>
      <c r="GAF30" s="204"/>
      <c r="GAG30" s="204"/>
      <c r="GAH30" s="204"/>
      <c r="GAI30" s="204"/>
      <c r="GAJ30" s="204"/>
      <c r="GAK30" s="204"/>
      <c r="GAL30" s="204"/>
      <c r="GAM30" s="204"/>
      <c r="GAN30" s="204"/>
      <c r="GAO30" s="204"/>
      <c r="GAP30" s="204"/>
      <c r="GAQ30" s="204"/>
      <c r="GAR30" s="204"/>
      <c r="GAS30" s="204"/>
      <c r="GAT30" s="204"/>
      <c r="GAU30" s="204"/>
      <c r="GAV30" s="204"/>
      <c r="GAW30" s="204"/>
      <c r="GAX30" s="204"/>
      <c r="GAY30" s="204"/>
      <c r="GAZ30" s="204"/>
      <c r="GBA30" s="204"/>
      <c r="GBB30" s="204"/>
      <c r="GBC30" s="204"/>
      <c r="GBD30" s="204"/>
      <c r="GBE30" s="204"/>
      <c r="GBF30" s="204"/>
      <c r="GBG30" s="204"/>
      <c r="GBH30" s="204"/>
      <c r="GBI30" s="204"/>
      <c r="GBJ30" s="204"/>
      <c r="GBK30" s="204"/>
      <c r="GBL30" s="204"/>
      <c r="GBM30" s="204"/>
      <c r="GBN30" s="204"/>
      <c r="GBO30" s="204"/>
      <c r="GBP30" s="204"/>
      <c r="GBQ30" s="204"/>
      <c r="GBR30" s="204"/>
      <c r="GBS30" s="204"/>
      <c r="GBT30" s="204"/>
      <c r="GBU30" s="204"/>
      <c r="GBV30" s="204"/>
      <c r="GBW30" s="204"/>
      <c r="GBX30" s="204"/>
      <c r="GBY30" s="204"/>
      <c r="GBZ30" s="204"/>
      <c r="GCA30" s="204"/>
      <c r="GCB30" s="204"/>
      <c r="GCC30" s="204"/>
      <c r="GCD30" s="204"/>
      <c r="GCE30" s="204"/>
      <c r="GCF30" s="204"/>
      <c r="GCG30" s="204"/>
      <c r="GCH30" s="204"/>
      <c r="GCI30" s="204"/>
      <c r="GCJ30" s="204"/>
      <c r="GCK30" s="204"/>
      <c r="GCL30" s="204"/>
      <c r="GCM30" s="204"/>
      <c r="GCN30" s="204"/>
      <c r="GCO30" s="204"/>
      <c r="GCP30" s="204"/>
      <c r="GCQ30" s="204"/>
      <c r="GCR30" s="204"/>
      <c r="GCS30" s="204"/>
      <c r="GCT30" s="204"/>
      <c r="GCU30" s="204"/>
      <c r="GCV30" s="204"/>
      <c r="GCW30" s="204"/>
      <c r="GCX30" s="204"/>
      <c r="GCY30" s="204"/>
      <c r="GCZ30" s="204"/>
      <c r="GDA30" s="204"/>
      <c r="GDB30" s="204"/>
      <c r="GDC30" s="204"/>
      <c r="GDD30" s="204"/>
      <c r="GDE30" s="204"/>
      <c r="GDF30" s="204"/>
      <c r="GDG30" s="204"/>
      <c r="GDH30" s="204"/>
      <c r="GDI30" s="204"/>
      <c r="GDJ30" s="204"/>
      <c r="GDK30" s="204"/>
      <c r="GDL30" s="204"/>
      <c r="GDM30" s="204"/>
      <c r="GDN30" s="204"/>
      <c r="GDO30" s="204"/>
      <c r="GDP30" s="204"/>
      <c r="GDQ30" s="204"/>
      <c r="GDR30" s="204"/>
      <c r="GDS30" s="204"/>
      <c r="GDT30" s="204"/>
      <c r="GDU30" s="204"/>
      <c r="GDV30" s="204"/>
      <c r="GDW30" s="204"/>
      <c r="GDX30" s="204"/>
      <c r="GDY30" s="204"/>
      <c r="GDZ30" s="204"/>
      <c r="GEA30" s="204"/>
      <c r="GEB30" s="204"/>
      <c r="GEC30" s="204"/>
      <c r="GED30" s="204"/>
      <c r="GEE30" s="204"/>
      <c r="GEF30" s="204"/>
      <c r="GEG30" s="204"/>
      <c r="GEH30" s="204"/>
      <c r="GEI30" s="204"/>
      <c r="GEJ30" s="204"/>
      <c r="GEK30" s="204"/>
      <c r="GEL30" s="204"/>
      <c r="GEM30" s="204"/>
      <c r="GEN30" s="204"/>
      <c r="GEO30" s="204"/>
      <c r="GEP30" s="204"/>
      <c r="GEQ30" s="204"/>
      <c r="GER30" s="204"/>
      <c r="GES30" s="204"/>
      <c r="GET30" s="204"/>
      <c r="GEU30" s="204"/>
      <c r="GEV30" s="204"/>
      <c r="GEW30" s="204"/>
      <c r="GEX30" s="204"/>
      <c r="GEY30" s="204"/>
      <c r="GEZ30" s="204"/>
      <c r="GFA30" s="204"/>
      <c r="GFB30" s="204"/>
      <c r="GFC30" s="204"/>
      <c r="GFD30" s="204"/>
      <c r="GFE30" s="204"/>
      <c r="GFF30" s="204"/>
      <c r="GFG30" s="204"/>
      <c r="GFH30" s="204"/>
      <c r="GFI30" s="204"/>
      <c r="GFJ30" s="204"/>
      <c r="GFK30" s="204"/>
      <c r="GFL30" s="204"/>
      <c r="GFM30" s="204"/>
      <c r="GFN30" s="204"/>
      <c r="GFO30" s="204"/>
      <c r="GFP30" s="204"/>
      <c r="GFQ30" s="204"/>
      <c r="GFR30" s="204"/>
      <c r="GFS30" s="204"/>
      <c r="GFT30" s="204"/>
      <c r="GFU30" s="204"/>
      <c r="GFV30" s="204"/>
      <c r="GFW30" s="204"/>
      <c r="GFX30" s="204"/>
      <c r="GFY30" s="204"/>
      <c r="GFZ30" s="204"/>
      <c r="GGA30" s="204"/>
      <c r="GGB30" s="204"/>
      <c r="GGC30" s="204"/>
      <c r="GGD30" s="204"/>
      <c r="GGE30" s="204"/>
      <c r="GGF30" s="204"/>
      <c r="GGG30" s="204"/>
      <c r="GGH30" s="204"/>
      <c r="GGI30" s="204"/>
      <c r="GGJ30" s="204"/>
      <c r="GGK30" s="204"/>
      <c r="GGL30" s="204"/>
      <c r="GGM30" s="204"/>
      <c r="GGN30" s="204"/>
      <c r="GGO30" s="204"/>
      <c r="GGP30" s="204"/>
      <c r="GGQ30" s="204"/>
      <c r="GGR30" s="204"/>
      <c r="GGS30" s="204"/>
      <c r="GGT30" s="204"/>
      <c r="GGU30" s="204"/>
      <c r="GGV30" s="204"/>
      <c r="GGW30" s="204"/>
      <c r="GGX30" s="204"/>
      <c r="GGY30" s="204"/>
      <c r="GGZ30" s="204"/>
      <c r="GHA30" s="204"/>
      <c r="GHB30" s="204"/>
      <c r="GHC30" s="204"/>
      <c r="GHD30" s="204"/>
      <c r="GHE30" s="204"/>
      <c r="GHF30" s="204"/>
      <c r="GHG30" s="204"/>
      <c r="GHH30" s="204"/>
      <c r="GHI30" s="204"/>
      <c r="GHJ30" s="204"/>
      <c r="GHK30" s="204"/>
      <c r="GHL30" s="204"/>
      <c r="GHM30" s="204"/>
      <c r="GHN30" s="204"/>
      <c r="GHO30" s="204"/>
      <c r="GHP30" s="204"/>
      <c r="GHQ30" s="204"/>
      <c r="GHR30" s="204"/>
      <c r="GHS30" s="204"/>
      <c r="GHT30" s="204"/>
      <c r="GHU30" s="204"/>
      <c r="GHV30" s="204"/>
      <c r="GHW30" s="204"/>
      <c r="GHX30" s="204"/>
      <c r="GHY30" s="204"/>
      <c r="GHZ30" s="204"/>
      <c r="GIA30" s="204"/>
      <c r="GIB30" s="204"/>
      <c r="GIC30" s="204"/>
      <c r="GID30" s="204"/>
      <c r="GIE30" s="204"/>
      <c r="GIF30" s="204"/>
      <c r="GIG30" s="204"/>
      <c r="GIH30" s="204"/>
      <c r="GII30" s="204"/>
      <c r="GIJ30" s="204"/>
      <c r="GIK30" s="204"/>
      <c r="GIL30" s="204"/>
      <c r="GIM30" s="204"/>
      <c r="GIN30" s="204"/>
      <c r="GIO30" s="204"/>
      <c r="GIP30" s="204"/>
      <c r="GIQ30" s="204"/>
      <c r="GIR30" s="204"/>
      <c r="GIS30" s="204"/>
      <c r="GIT30" s="204"/>
      <c r="GIU30" s="204"/>
      <c r="GIV30" s="204"/>
      <c r="GIW30" s="204"/>
      <c r="GIX30" s="204"/>
      <c r="GIY30" s="204"/>
      <c r="GIZ30" s="204"/>
      <c r="GJA30" s="204"/>
      <c r="GJB30" s="204"/>
      <c r="GJC30" s="204"/>
      <c r="GJD30" s="204"/>
      <c r="GJE30" s="204"/>
      <c r="GJF30" s="204"/>
      <c r="GJG30" s="204"/>
      <c r="GJH30" s="204"/>
      <c r="GJI30" s="204"/>
      <c r="GJJ30" s="204"/>
      <c r="GJK30" s="204"/>
      <c r="GJL30" s="204"/>
      <c r="GJM30" s="204"/>
      <c r="GJN30" s="204"/>
      <c r="GJO30" s="204"/>
      <c r="GJP30" s="204"/>
      <c r="GJQ30" s="204"/>
      <c r="GJR30" s="204"/>
      <c r="GJS30" s="204"/>
      <c r="GJT30" s="204"/>
      <c r="GJU30" s="204"/>
      <c r="GJV30" s="204"/>
      <c r="GJW30" s="204"/>
      <c r="GJX30" s="204"/>
      <c r="GJY30" s="204"/>
      <c r="GJZ30" s="204"/>
      <c r="GKA30" s="204"/>
      <c r="GKB30" s="204"/>
      <c r="GKC30" s="204"/>
      <c r="GKD30" s="204"/>
      <c r="GKE30" s="204"/>
      <c r="GKF30" s="204"/>
      <c r="GKG30" s="204"/>
      <c r="GKH30" s="204"/>
      <c r="GKI30" s="204"/>
      <c r="GKJ30" s="204"/>
      <c r="GKK30" s="204"/>
      <c r="GKL30" s="204"/>
      <c r="GKM30" s="204"/>
      <c r="GKN30" s="204"/>
      <c r="GKO30" s="204"/>
      <c r="GKP30" s="204"/>
      <c r="GKQ30" s="204"/>
      <c r="GKR30" s="204"/>
      <c r="GKS30" s="204"/>
      <c r="GKT30" s="204"/>
      <c r="GKU30" s="204"/>
      <c r="GKV30" s="204"/>
      <c r="GKW30" s="204"/>
      <c r="GKX30" s="204"/>
      <c r="GKY30" s="204"/>
      <c r="GKZ30" s="204"/>
      <c r="GLA30" s="204"/>
      <c r="GLB30" s="204"/>
      <c r="GLC30" s="204"/>
      <c r="GLD30" s="204"/>
      <c r="GLE30" s="204"/>
      <c r="GLF30" s="204"/>
      <c r="GLG30" s="204"/>
      <c r="GLH30" s="204"/>
      <c r="GLI30" s="204"/>
      <c r="GLJ30" s="204"/>
      <c r="GLK30" s="204"/>
      <c r="GLL30" s="204"/>
      <c r="GLM30" s="204"/>
      <c r="GLN30" s="204"/>
      <c r="GLO30" s="204"/>
      <c r="GLP30" s="204"/>
      <c r="GLQ30" s="204"/>
      <c r="GLR30" s="204"/>
      <c r="GLS30" s="204"/>
      <c r="GLT30" s="204"/>
      <c r="GLU30" s="204"/>
      <c r="GLV30" s="204"/>
      <c r="GLW30" s="204"/>
      <c r="GLX30" s="204"/>
      <c r="GLY30" s="204"/>
      <c r="GLZ30" s="204"/>
      <c r="GMA30" s="204"/>
      <c r="GMB30" s="204"/>
      <c r="GMC30" s="204"/>
      <c r="GMD30" s="204"/>
      <c r="GME30" s="204"/>
      <c r="GMF30" s="204"/>
      <c r="GMG30" s="204"/>
      <c r="GMH30" s="204"/>
      <c r="GMI30" s="204"/>
      <c r="GMJ30" s="204"/>
      <c r="GMK30" s="204"/>
      <c r="GML30" s="204"/>
      <c r="GMM30" s="204"/>
      <c r="GMN30" s="204"/>
      <c r="GMO30" s="204"/>
      <c r="GMP30" s="204"/>
      <c r="GMQ30" s="204"/>
      <c r="GMR30" s="204"/>
      <c r="GMS30" s="204"/>
      <c r="GMT30" s="204"/>
      <c r="GMU30" s="204"/>
      <c r="GMV30" s="204"/>
      <c r="GMW30" s="204"/>
      <c r="GMX30" s="204"/>
      <c r="GMY30" s="204"/>
      <c r="GMZ30" s="204"/>
      <c r="GNA30" s="204"/>
      <c r="GNB30" s="204"/>
      <c r="GNC30" s="204"/>
      <c r="GND30" s="204"/>
      <c r="GNE30" s="204"/>
      <c r="GNF30" s="204"/>
      <c r="GNG30" s="204"/>
      <c r="GNH30" s="204"/>
      <c r="GNI30" s="204"/>
      <c r="GNJ30" s="204"/>
      <c r="GNK30" s="204"/>
      <c r="GNL30" s="204"/>
      <c r="GNM30" s="204"/>
      <c r="GNN30" s="204"/>
      <c r="GNO30" s="204"/>
      <c r="GNP30" s="204"/>
      <c r="GNQ30" s="204"/>
      <c r="GNR30" s="204"/>
      <c r="GNS30" s="204"/>
      <c r="GNT30" s="204"/>
      <c r="GNU30" s="204"/>
      <c r="GNV30" s="204"/>
      <c r="GNW30" s="204"/>
      <c r="GNX30" s="204"/>
      <c r="GNY30" s="204"/>
      <c r="GNZ30" s="204"/>
      <c r="GOA30" s="204"/>
      <c r="GOB30" s="204"/>
      <c r="GOC30" s="204"/>
      <c r="GOD30" s="204"/>
      <c r="GOE30" s="204"/>
      <c r="GOF30" s="204"/>
      <c r="GOG30" s="204"/>
      <c r="GOH30" s="204"/>
      <c r="GOI30" s="204"/>
      <c r="GOJ30" s="204"/>
      <c r="GOK30" s="204"/>
      <c r="GOL30" s="204"/>
      <c r="GOM30" s="204"/>
      <c r="GON30" s="204"/>
      <c r="GOO30" s="204"/>
      <c r="GOP30" s="204"/>
      <c r="GOQ30" s="204"/>
      <c r="GOR30" s="204"/>
      <c r="GOS30" s="204"/>
      <c r="GOT30" s="204"/>
      <c r="GOU30" s="204"/>
      <c r="GOV30" s="204"/>
      <c r="GOW30" s="204"/>
      <c r="GOX30" s="204"/>
      <c r="GOY30" s="204"/>
      <c r="GOZ30" s="204"/>
      <c r="GPA30" s="204"/>
      <c r="GPB30" s="204"/>
      <c r="GPC30" s="204"/>
      <c r="GPD30" s="204"/>
      <c r="GPE30" s="204"/>
      <c r="GPF30" s="204"/>
      <c r="GPG30" s="204"/>
      <c r="GPH30" s="204"/>
      <c r="GPI30" s="204"/>
      <c r="GPJ30" s="204"/>
      <c r="GPK30" s="204"/>
      <c r="GPL30" s="204"/>
      <c r="GPM30" s="204"/>
      <c r="GPN30" s="204"/>
      <c r="GPO30" s="204"/>
      <c r="GPP30" s="204"/>
      <c r="GPQ30" s="204"/>
      <c r="GPR30" s="204"/>
      <c r="GPS30" s="204"/>
      <c r="GPT30" s="204"/>
      <c r="GPU30" s="204"/>
      <c r="GPV30" s="204"/>
      <c r="GPW30" s="204"/>
      <c r="GPX30" s="204"/>
      <c r="GPY30" s="204"/>
      <c r="GPZ30" s="204"/>
      <c r="GQA30" s="204"/>
      <c r="GQB30" s="204"/>
      <c r="GQC30" s="204"/>
      <c r="GQD30" s="204"/>
      <c r="GQE30" s="204"/>
      <c r="GQF30" s="204"/>
      <c r="GQG30" s="204"/>
      <c r="GQH30" s="204"/>
      <c r="GQI30" s="204"/>
      <c r="GQJ30" s="204"/>
      <c r="GQK30" s="204"/>
      <c r="GQL30" s="204"/>
      <c r="GQM30" s="204"/>
      <c r="GQN30" s="204"/>
      <c r="GQO30" s="204"/>
      <c r="GQP30" s="204"/>
      <c r="GQQ30" s="204"/>
      <c r="GQR30" s="204"/>
      <c r="GQS30" s="204"/>
      <c r="GQT30" s="204"/>
      <c r="GQU30" s="204"/>
      <c r="GQV30" s="204"/>
      <c r="GQW30" s="204"/>
      <c r="GQX30" s="204"/>
      <c r="GQY30" s="204"/>
      <c r="GQZ30" s="204"/>
      <c r="GRA30" s="204"/>
      <c r="GRB30" s="204"/>
      <c r="GRC30" s="204"/>
      <c r="GRD30" s="204"/>
      <c r="GRE30" s="204"/>
      <c r="GRF30" s="204"/>
      <c r="GRG30" s="204"/>
      <c r="GRH30" s="204"/>
      <c r="GRI30" s="204"/>
      <c r="GRJ30" s="204"/>
      <c r="GRK30" s="204"/>
      <c r="GRL30" s="204"/>
      <c r="GRM30" s="204"/>
      <c r="GRN30" s="204"/>
      <c r="GRO30" s="204"/>
      <c r="GRP30" s="204"/>
      <c r="GRQ30" s="204"/>
      <c r="GRR30" s="204"/>
      <c r="GRS30" s="204"/>
      <c r="GRT30" s="204"/>
      <c r="GRU30" s="204"/>
      <c r="GRV30" s="204"/>
      <c r="GRW30" s="204"/>
      <c r="GRX30" s="204"/>
      <c r="GRY30" s="204"/>
      <c r="GRZ30" s="204"/>
      <c r="GSA30" s="204"/>
      <c r="GSB30" s="204"/>
      <c r="GSC30" s="204"/>
      <c r="GSD30" s="204"/>
      <c r="GSE30" s="204"/>
      <c r="GSF30" s="204"/>
      <c r="GSG30" s="204"/>
      <c r="GSH30" s="204"/>
      <c r="GSI30" s="204"/>
      <c r="GSJ30" s="204"/>
      <c r="GSK30" s="204"/>
      <c r="GSL30" s="204"/>
      <c r="GSM30" s="204"/>
      <c r="GSN30" s="204"/>
      <c r="GSO30" s="204"/>
      <c r="GSP30" s="204"/>
      <c r="GSQ30" s="204"/>
      <c r="GSR30" s="204"/>
      <c r="GSS30" s="204"/>
      <c r="GST30" s="204"/>
      <c r="GSU30" s="204"/>
      <c r="GSV30" s="204"/>
      <c r="GSW30" s="204"/>
      <c r="GSX30" s="204"/>
      <c r="GSY30" s="204"/>
      <c r="GSZ30" s="204"/>
      <c r="GTA30" s="204"/>
      <c r="GTB30" s="204"/>
      <c r="GTC30" s="204"/>
      <c r="GTD30" s="204"/>
      <c r="GTE30" s="204"/>
      <c r="GTF30" s="204"/>
      <c r="GTG30" s="204"/>
      <c r="GTH30" s="204"/>
      <c r="GTI30" s="204"/>
      <c r="GTJ30" s="204"/>
      <c r="GTK30" s="204"/>
      <c r="GTL30" s="204"/>
      <c r="GTM30" s="204"/>
      <c r="GTN30" s="204"/>
      <c r="GTO30" s="204"/>
      <c r="GTP30" s="204"/>
      <c r="GTQ30" s="204"/>
      <c r="GTR30" s="204"/>
      <c r="GTS30" s="204"/>
      <c r="GTT30" s="204"/>
      <c r="GTU30" s="204"/>
      <c r="GTV30" s="204"/>
      <c r="GTW30" s="204"/>
      <c r="GTX30" s="204"/>
      <c r="GTY30" s="204"/>
      <c r="GTZ30" s="204"/>
      <c r="GUA30" s="204"/>
      <c r="GUB30" s="204"/>
      <c r="GUC30" s="204"/>
      <c r="GUD30" s="204"/>
      <c r="GUE30" s="204"/>
      <c r="GUF30" s="204"/>
      <c r="GUG30" s="204"/>
      <c r="GUH30" s="204"/>
      <c r="GUI30" s="204"/>
      <c r="GUJ30" s="204"/>
      <c r="GUK30" s="204"/>
      <c r="GUL30" s="204"/>
      <c r="GUM30" s="204"/>
      <c r="GUN30" s="204"/>
      <c r="GUO30" s="204"/>
      <c r="GUP30" s="204"/>
      <c r="GUQ30" s="204"/>
      <c r="GUR30" s="204"/>
      <c r="GUS30" s="204"/>
      <c r="GUT30" s="204"/>
      <c r="GUU30" s="204"/>
      <c r="GUV30" s="204"/>
      <c r="GUW30" s="204"/>
      <c r="GUX30" s="204"/>
      <c r="GUY30" s="204"/>
      <c r="GUZ30" s="204"/>
      <c r="GVA30" s="204"/>
      <c r="GVB30" s="204"/>
      <c r="GVC30" s="204"/>
      <c r="GVD30" s="204"/>
      <c r="GVE30" s="204"/>
      <c r="GVF30" s="204"/>
      <c r="GVG30" s="204"/>
      <c r="GVH30" s="204"/>
      <c r="GVI30" s="204"/>
      <c r="GVJ30" s="204"/>
      <c r="GVK30" s="204"/>
      <c r="GVL30" s="204"/>
      <c r="GVM30" s="204"/>
      <c r="GVN30" s="204"/>
      <c r="GVO30" s="204"/>
      <c r="GVP30" s="204"/>
      <c r="GVQ30" s="204"/>
      <c r="GVR30" s="204"/>
      <c r="GVS30" s="204"/>
      <c r="GVT30" s="204"/>
      <c r="GVU30" s="204"/>
      <c r="GVV30" s="204"/>
      <c r="GVW30" s="204"/>
      <c r="GVX30" s="204"/>
      <c r="GVY30" s="204"/>
      <c r="GVZ30" s="204"/>
      <c r="GWA30" s="204"/>
      <c r="GWB30" s="204"/>
      <c r="GWC30" s="204"/>
      <c r="GWD30" s="204"/>
      <c r="GWE30" s="204"/>
      <c r="GWF30" s="204"/>
      <c r="GWG30" s="204"/>
      <c r="GWH30" s="204"/>
      <c r="GWI30" s="204"/>
      <c r="GWJ30" s="204"/>
      <c r="GWK30" s="204"/>
      <c r="GWL30" s="204"/>
      <c r="GWM30" s="204"/>
      <c r="GWN30" s="204"/>
      <c r="GWO30" s="204"/>
      <c r="GWP30" s="204"/>
      <c r="GWQ30" s="204"/>
      <c r="GWR30" s="204"/>
      <c r="GWS30" s="204"/>
      <c r="GWT30" s="204"/>
      <c r="GWU30" s="204"/>
      <c r="GWV30" s="204"/>
      <c r="GWW30" s="204"/>
      <c r="GWX30" s="204"/>
      <c r="GWY30" s="204"/>
      <c r="GWZ30" s="204"/>
      <c r="GXA30" s="204"/>
      <c r="GXB30" s="204"/>
      <c r="GXC30" s="204"/>
      <c r="GXD30" s="204"/>
      <c r="GXE30" s="204"/>
      <c r="GXF30" s="204"/>
      <c r="GXG30" s="204"/>
      <c r="GXH30" s="204"/>
      <c r="GXI30" s="204"/>
      <c r="GXJ30" s="204"/>
      <c r="GXK30" s="204"/>
      <c r="GXL30" s="204"/>
      <c r="GXM30" s="204"/>
      <c r="GXN30" s="204"/>
      <c r="GXO30" s="204"/>
      <c r="GXP30" s="204"/>
      <c r="GXQ30" s="204"/>
      <c r="GXR30" s="204"/>
      <c r="GXS30" s="204"/>
      <c r="GXT30" s="204"/>
      <c r="GXU30" s="204"/>
      <c r="GXV30" s="204"/>
      <c r="GXW30" s="204"/>
      <c r="GXX30" s="204"/>
      <c r="GXY30" s="204"/>
      <c r="GXZ30" s="204"/>
      <c r="GYA30" s="204"/>
      <c r="GYB30" s="204"/>
      <c r="GYC30" s="204"/>
      <c r="GYD30" s="204"/>
      <c r="GYE30" s="204"/>
      <c r="GYF30" s="204"/>
      <c r="GYG30" s="204"/>
      <c r="GYH30" s="204"/>
      <c r="GYI30" s="204"/>
      <c r="GYJ30" s="204"/>
      <c r="GYK30" s="204"/>
      <c r="GYL30" s="204"/>
      <c r="GYM30" s="204"/>
      <c r="GYN30" s="204"/>
      <c r="GYO30" s="204"/>
      <c r="GYP30" s="204"/>
      <c r="GYQ30" s="204"/>
      <c r="GYR30" s="204"/>
      <c r="GYS30" s="204"/>
      <c r="GYT30" s="204"/>
      <c r="GYU30" s="204"/>
      <c r="GYV30" s="204"/>
      <c r="GYW30" s="204"/>
      <c r="GYX30" s="204"/>
      <c r="GYY30" s="204"/>
      <c r="GYZ30" s="204"/>
      <c r="GZA30" s="204"/>
      <c r="GZB30" s="204"/>
      <c r="GZC30" s="204"/>
      <c r="GZD30" s="204"/>
      <c r="GZE30" s="204"/>
      <c r="GZF30" s="204"/>
      <c r="GZG30" s="204"/>
      <c r="GZH30" s="204"/>
      <c r="GZI30" s="204"/>
      <c r="GZJ30" s="204"/>
      <c r="GZK30" s="204"/>
      <c r="GZL30" s="204"/>
      <c r="GZM30" s="204"/>
      <c r="GZN30" s="204"/>
      <c r="GZO30" s="204"/>
      <c r="GZP30" s="204"/>
      <c r="GZQ30" s="204"/>
      <c r="GZR30" s="204"/>
      <c r="GZS30" s="204"/>
      <c r="GZT30" s="204"/>
      <c r="GZU30" s="204"/>
      <c r="GZV30" s="204"/>
      <c r="GZW30" s="204"/>
      <c r="GZX30" s="204"/>
      <c r="GZY30" s="204"/>
      <c r="GZZ30" s="204"/>
      <c r="HAA30" s="204"/>
      <c r="HAB30" s="204"/>
      <c r="HAC30" s="204"/>
      <c r="HAD30" s="204"/>
      <c r="HAE30" s="204"/>
      <c r="HAF30" s="204"/>
      <c r="HAG30" s="204"/>
      <c r="HAH30" s="204"/>
      <c r="HAI30" s="204"/>
      <c r="HAJ30" s="204"/>
      <c r="HAK30" s="204"/>
      <c r="HAL30" s="204"/>
      <c r="HAM30" s="204"/>
      <c r="HAN30" s="204"/>
      <c r="HAO30" s="204"/>
      <c r="HAP30" s="204"/>
      <c r="HAQ30" s="204"/>
      <c r="HAR30" s="204"/>
      <c r="HAS30" s="204"/>
      <c r="HAT30" s="204"/>
      <c r="HAU30" s="204"/>
      <c r="HAV30" s="204"/>
      <c r="HAW30" s="204"/>
      <c r="HAX30" s="204"/>
      <c r="HAY30" s="204"/>
      <c r="HAZ30" s="204"/>
      <c r="HBA30" s="204"/>
      <c r="HBB30" s="204"/>
      <c r="HBC30" s="204"/>
      <c r="HBD30" s="204"/>
      <c r="HBE30" s="204"/>
      <c r="HBF30" s="204"/>
      <c r="HBG30" s="204"/>
      <c r="HBH30" s="204"/>
      <c r="HBI30" s="204"/>
      <c r="HBJ30" s="204"/>
      <c r="HBK30" s="204"/>
      <c r="HBL30" s="204"/>
      <c r="HBM30" s="204"/>
      <c r="HBN30" s="204"/>
      <c r="HBO30" s="204"/>
      <c r="HBP30" s="204"/>
      <c r="HBQ30" s="204"/>
      <c r="HBR30" s="204"/>
      <c r="HBS30" s="204"/>
      <c r="HBT30" s="204"/>
      <c r="HBU30" s="204"/>
      <c r="HBV30" s="204"/>
      <c r="HBW30" s="204"/>
      <c r="HBX30" s="204"/>
      <c r="HBY30" s="204"/>
      <c r="HBZ30" s="204"/>
      <c r="HCA30" s="204"/>
      <c r="HCB30" s="204"/>
      <c r="HCC30" s="204"/>
      <c r="HCD30" s="204"/>
      <c r="HCE30" s="204"/>
      <c r="HCF30" s="204"/>
      <c r="HCG30" s="204"/>
      <c r="HCH30" s="204"/>
      <c r="HCI30" s="204"/>
      <c r="HCJ30" s="204"/>
      <c r="HCK30" s="204"/>
      <c r="HCL30" s="204"/>
      <c r="HCM30" s="204"/>
      <c r="HCN30" s="204"/>
      <c r="HCO30" s="204"/>
      <c r="HCP30" s="204"/>
      <c r="HCQ30" s="204"/>
      <c r="HCR30" s="204"/>
      <c r="HCS30" s="204"/>
      <c r="HCT30" s="204"/>
      <c r="HCU30" s="204"/>
      <c r="HCV30" s="204"/>
      <c r="HCW30" s="204"/>
      <c r="HCX30" s="204"/>
      <c r="HCY30" s="204"/>
      <c r="HCZ30" s="204"/>
      <c r="HDA30" s="204"/>
      <c r="HDB30" s="204"/>
      <c r="HDC30" s="204"/>
      <c r="HDD30" s="204"/>
      <c r="HDE30" s="204"/>
      <c r="HDF30" s="204"/>
      <c r="HDG30" s="204"/>
      <c r="HDH30" s="204"/>
      <c r="HDI30" s="204"/>
      <c r="HDJ30" s="204"/>
      <c r="HDK30" s="204"/>
      <c r="HDL30" s="204"/>
      <c r="HDM30" s="204"/>
      <c r="HDN30" s="204"/>
      <c r="HDO30" s="204"/>
      <c r="HDP30" s="204"/>
      <c r="HDQ30" s="204"/>
      <c r="HDR30" s="204"/>
      <c r="HDS30" s="204"/>
      <c r="HDT30" s="204"/>
      <c r="HDU30" s="204"/>
      <c r="HDV30" s="204"/>
      <c r="HDW30" s="204"/>
      <c r="HDX30" s="204"/>
      <c r="HDY30" s="204"/>
      <c r="HDZ30" s="204"/>
      <c r="HEA30" s="204"/>
      <c r="HEB30" s="204"/>
      <c r="HEC30" s="204"/>
      <c r="HED30" s="204"/>
      <c r="HEE30" s="204"/>
      <c r="HEF30" s="204"/>
      <c r="HEG30" s="204"/>
      <c r="HEH30" s="204"/>
      <c r="HEI30" s="204"/>
      <c r="HEJ30" s="204"/>
      <c r="HEK30" s="204"/>
      <c r="HEL30" s="204"/>
      <c r="HEM30" s="204"/>
      <c r="HEN30" s="204"/>
      <c r="HEO30" s="204"/>
      <c r="HEP30" s="204"/>
      <c r="HEQ30" s="204"/>
      <c r="HER30" s="204"/>
      <c r="HES30" s="204"/>
      <c r="HET30" s="204"/>
      <c r="HEU30" s="204"/>
      <c r="HEV30" s="204"/>
      <c r="HEW30" s="204"/>
      <c r="HEX30" s="204"/>
      <c r="HEY30" s="204"/>
      <c r="HEZ30" s="204"/>
      <c r="HFA30" s="204"/>
      <c r="HFB30" s="204"/>
      <c r="HFC30" s="204"/>
      <c r="HFD30" s="204"/>
      <c r="HFE30" s="204"/>
      <c r="HFF30" s="204"/>
      <c r="HFG30" s="204"/>
      <c r="HFH30" s="204"/>
      <c r="HFI30" s="204"/>
      <c r="HFJ30" s="204"/>
      <c r="HFK30" s="204"/>
      <c r="HFL30" s="204"/>
      <c r="HFM30" s="204"/>
      <c r="HFN30" s="204"/>
      <c r="HFO30" s="204"/>
      <c r="HFP30" s="204"/>
      <c r="HFQ30" s="204"/>
      <c r="HFR30" s="204"/>
      <c r="HFS30" s="204"/>
      <c r="HFT30" s="204"/>
      <c r="HFU30" s="204"/>
      <c r="HFV30" s="204"/>
      <c r="HFW30" s="204"/>
      <c r="HFX30" s="204"/>
      <c r="HFY30" s="204"/>
      <c r="HFZ30" s="204"/>
      <c r="HGA30" s="204"/>
      <c r="HGB30" s="204"/>
      <c r="HGC30" s="204"/>
      <c r="HGD30" s="204"/>
      <c r="HGE30" s="204"/>
      <c r="HGF30" s="204"/>
      <c r="HGG30" s="204"/>
      <c r="HGH30" s="204"/>
      <c r="HGI30" s="204"/>
      <c r="HGJ30" s="204"/>
      <c r="HGK30" s="204"/>
      <c r="HGL30" s="204"/>
      <c r="HGM30" s="204"/>
      <c r="HGN30" s="204"/>
      <c r="HGO30" s="204"/>
      <c r="HGP30" s="204"/>
      <c r="HGQ30" s="204"/>
      <c r="HGR30" s="204"/>
      <c r="HGS30" s="204"/>
      <c r="HGT30" s="204"/>
      <c r="HGU30" s="204"/>
      <c r="HGV30" s="204"/>
      <c r="HGW30" s="204"/>
      <c r="HGX30" s="204"/>
      <c r="HGY30" s="204"/>
      <c r="HGZ30" s="204"/>
      <c r="HHA30" s="204"/>
      <c r="HHB30" s="204"/>
      <c r="HHC30" s="204"/>
      <c r="HHD30" s="204"/>
      <c r="HHE30" s="204"/>
      <c r="HHF30" s="204"/>
      <c r="HHG30" s="204"/>
      <c r="HHH30" s="204"/>
      <c r="HHI30" s="204"/>
      <c r="HHJ30" s="204"/>
      <c r="HHK30" s="204"/>
      <c r="HHL30" s="204"/>
      <c r="HHM30" s="204"/>
      <c r="HHN30" s="204"/>
      <c r="HHO30" s="204"/>
      <c r="HHP30" s="204"/>
      <c r="HHQ30" s="204"/>
      <c r="HHR30" s="204"/>
      <c r="HHS30" s="204"/>
      <c r="HHT30" s="204"/>
      <c r="HHU30" s="204"/>
      <c r="HHV30" s="204"/>
      <c r="HHW30" s="204"/>
      <c r="HHX30" s="204"/>
      <c r="HHY30" s="204"/>
      <c r="HHZ30" s="204"/>
      <c r="HIA30" s="204"/>
      <c r="HIB30" s="204"/>
      <c r="HIC30" s="204"/>
      <c r="HID30" s="204"/>
      <c r="HIE30" s="204"/>
      <c r="HIF30" s="204"/>
      <c r="HIG30" s="204"/>
      <c r="HIH30" s="204"/>
      <c r="HII30" s="204"/>
      <c r="HIJ30" s="204"/>
      <c r="HIK30" s="204"/>
      <c r="HIL30" s="204"/>
      <c r="HIM30" s="204"/>
      <c r="HIN30" s="204"/>
      <c r="HIO30" s="204"/>
      <c r="HIP30" s="204"/>
      <c r="HIQ30" s="204"/>
      <c r="HIR30" s="204"/>
      <c r="HIS30" s="204"/>
      <c r="HIT30" s="204"/>
      <c r="HIU30" s="204"/>
      <c r="HIV30" s="204"/>
      <c r="HIW30" s="204"/>
      <c r="HIX30" s="204"/>
      <c r="HIY30" s="204"/>
      <c r="HIZ30" s="204"/>
      <c r="HJA30" s="204"/>
      <c r="HJB30" s="204"/>
      <c r="HJC30" s="204"/>
      <c r="HJD30" s="204"/>
      <c r="HJE30" s="204"/>
      <c r="HJF30" s="204"/>
      <c r="HJG30" s="204"/>
      <c r="HJH30" s="204"/>
      <c r="HJI30" s="204"/>
      <c r="HJJ30" s="204"/>
      <c r="HJK30" s="204"/>
      <c r="HJL30" s="204"/>
      <c r="HJM30" s="204"/>
      <c r="HJN30" s="204"/>
      <c r="HJO30" s="204"/>
      <c r="HJP30" s="204"/>
      <c r="HJQ30" s="204"/>
      <c r="HJR30" s="204"/>
      <c r="HJS30" s="204"/>
      <c r="HJT30" s="204"/>
      <c r="HJU30" s="204"/>
      <c r="HJV30" s="204"/>
      <c r="HJW30" s="204"/>
      <c r="HJX30" s="204"/>
      <c r="HJY30" s="204"/>
      <c r="HJZ30" s="204"/>
      <c r="HKA30" s="204"/>
      <c r="HKB30" s="204"/>
      <c r="HKC30" s="204"/>
      <c r="HKD30" s="204"/>
      <c r="HKE30" s="204"/>
      <c r="HKF30" s="204"/>
      <c r="HKG30" s="204"/>
      <c r="HKH30" s="204"/>
      <c r="HKI30" s="204"/>
      <c r="HKJ30" s="204"/>
      <c r="HKK30" s="204"/>
      <c r="HKL30" s="204"/>
      <c r="HKM30" s="204"/>
      <c r="HKN30" s="204"/>
      <c r="HKO30" s="204"/>
      <c r="HKP30" s="204"/>
      <c r="HKQ30" s="204"/>
      <c r="HKR30" s="204"/>
      <c r="HKS30" s="204"/>
      <c r="HKT30" s="204"/>
      <c r="HKU30" s="204"/>
      <c r="HKV30" s="204"/>
      <c r="HKW30" s="204"/>
      <c r="HKX30" s="204"/>
      <c r="HKY30" s="204"/>
      <c r="HKZ30" s="204"/>
      <c r="HLA30" s="204"/>
      <c r="HLB30" s="204"/>
      <c r="HLC30" s="204"/>
      <c r="HLD30" s="204"/>
      <c r="HLE30" s="204"/>
      <c r="HLF30" s="204"/>
      <c r="HLG30" s="204"/>
      <c r="HLH30" s="204"/>
      <c r="HLI30" s="204"/>
      <c r="HLJ30" s="204"/>
      <c r="HLK30" s="204"/>
      <c r="HLL30" s="204"/>
      <c r="HLM30" s="204"/>
      <c r="HLN30" s="204"/>
      <c r="HLO30" s="204"/>
      <c r="HLP30" s="204"/>
      <c r="HLQ30" s="204"/>
      <c r="HLR30" s="204"/>
      <c r="HLS30" s="204"/>
      <c r="HLT30" s="204"/>
      <c r="HLU30" s="204"/>
      <c r="HLV30" s="204"/>
      <c r="HLW30" s="204"/>
      <c r="HLX30" s="204"/>
      <c r="HLY30" s="204"/>
      <c r="HLZ30" s="204"/>
      <c r="HMA30" s="204"/>
      <c r="HMB30" s="204"/>
      <c r="HMC30" s="204"/>
      <c r="HMD30" s="204"/>
      <c r="HME30" s="204"/>
      <c r="HMF30" s="204"/>
      <c r="HMG30" s="204"/>
      <c r="HMH30" s="204"/>
      <c r="HMI30" s="204"/>
      <c r="HMJ30" s="204"/>
      <c r="HMK30" s="204"/>
      <c r="HML30" s="204"/>
      <c r="HMM30" s="204"/>
      <c r="HMN30" s="204"/>
      <c r="HMO30" s="204"/>
      <c r="HMP30" s="204"/>
      <c r="HMQ30" s="204"/>
      <c r="HMR30" s="204"/>
      <c r="HMS30" s="204"/>
      <c r="HMT30" s="204"/>
      <c r="HMU30" s="204"/>
      <c r="HMV30" s="204"/>
      <c r="HMW30" s="204"/>
      <c r="HMX30" s="204"/>
      <c r="HMY30" s="204"/>
      <c r="HMZ30" s="204"/>
      <c r="HNA30" s="204"/>
      <c r="HNB30" s="204"/>
      <c r="HNC30" s="204"/>
      <c r="HND30" s="204"/>
      <c r="HNE30" s="204"/>
      <c r="HNF30" s="204"/>
      <c r="HNG30" s="204"/>
      <c r="HNH30" s="204"/>
      <c r="HNI30" s="204"/>
      <c r="HNJ30" s="204"/>
      <c r="HNK30" s="204"/>
      <c r="HNL30" s="204"/>
      <c r="HNM30" s="204"/>
      <c r="HNN30" s="204"/>
      <c r="HNO30" s="204"/>
      <c r="HNP30" s="204"/>
      <c r="HNQ30" s="204"/>
      <c r="HNR30" s="204"/>
      <c r="HNS30" s="204"/>
      <c r="HNT30" s="204"/>
      <c r="HNU30" s="204"/>
      <c r="HNV30" s="204"/>
      <c r="HNW30" s="204"/>
      <c r="HNX30" s="204"/>
      <c r="HNY30" s="204"/>
      <c r="HNZ30" s="204"/>
      <c r="HOA30" s="204"/>
      <c r="HOB30" s="204"/>
      <c r="HOC30" s="204"/>
      <c r="HOD30" s="204"/>
      <c r="HOE30" s="204"/>
      <c r="HOF30" s="204"/>
      <c r="HOG30" s="204"/>
      <c r="HOH30" s="204"/>
      <c r="HOI30" s="204"/>
      <c r="HOJ30" s="204"/>
      <c r="HOK30" s="204"/>
      <c r="HOL30" s="204"/>
      <c r="HOM30" s="204"/>
      <c r="HON30" s="204"/>
      <c r="HOO30" s="204"/>
      <c r="HOP30" s="204"/>
      <c r="HOQ30" s="204"/>
      <c r="HOR30" s="204"/>
      <c r="HOS30" s="204"/>
      <c r="HOT30" s="204"/>
      <c r="HOU30" s="204"/>
      <c r="HOV30" s="204"/>
      <c r="HOW30" s="204"/>
      <c r="HOX30" s="204"/>
      <c r="HOY30" s="204"/>
      <c r="HOZ30" s="204"/>
      <c r="HPA30" s="204"/>
      <c r="HPB30" s="204"/>
      <c r="HPC30" s="204"/>
      <c r="HPD30" s="204"/>
      <c r="HPE30" s="204"/>
      <c r="HPF30" s="204"/>
      <c r="HPG30" s="204"/>
      <c r="HPH30" s="204"/>
      <c r="HPI30" s="204"/>
      <c r="HPJ30" s="204"/>
      <c r="HPK30" s="204"/>
      <c r="HPL30" s="204"/>
      <c r="HPM30" s="204"/>
      <c r="HPN30" s="204"/>
      <c r="HPO30" s="204"/>
      <c r="HPP30" s="204"/>
      <c r="HPQ30" s="204"/>
      <c r="HPR30" s="204"/>
      <c r="HPS30" s="204"/>
      <c r="HPT30" s="204"/>
      <c r="HPU30" s="204"/>
      <c r="HPV30" s="204"/>
      <c r="HPW30" s="204"/>
      <c r="HPX30" s="204"/>
      <c r="HPY30" s="204"/>
      <c r="HPZ30" s="204"/>
      <c r="HQA30" s="204"/>
      <c r="HQB30" s="204"/>
      <c r="HQC30" s="204"/>
      <c r="HQD30" s="204"/>
      <c r="HQE30" s="204"/>
      <c r="HQF30" s="204"/>
      <c r="HQG30" s="204"/>
      <c r="HQH30" s="204"/>
      <c r="HQI30" s="204"/>
      <c r="HQJ30" s="204"/>
      <c r="HQK30" s="204"/>
      <c r="HQL30" s="204"/>
      <c r="HQM30" s="204"/>
      <c r="HQN30" s="204"/>
      <c r="HQO30" s="204"/>
      <c r="HQP30" s="204"/>
      <c r="HQQ30" s="204"/>
      <c r="HQR30" s="204"/>
      <c r="HQS30" s="204"/>
      <c r="HQT30" s="204"/>
      <c r="HQU30" s="204"/>
      <c r="HQV30" s="204"/>
      <c r="HQW30" s="204"/>
      <c r="HQX30" s="204"/>
      <c r="HQY30" s="204"/>
      <c r="HQZ30" s="204"/>
      <c r="HRA30" s="204"/>
      <c r="HRB30" s="204"/>
      <c r="HRC30" s="204"/>
      <c r="HRD30" s="204"/>
      <c r="HRE30" s="204"/>
      <c r="HRF30" s="204"/>
      <c r="HRG30" s="204"/>
      <c r="HRH30" s="204"/>
      <c r="HRI30" s="204"/>
      <c r="HRJ30" s="204"/>
      <c r="HRK30" s="204"/>
      <c r="HRL30" s="204"/>
      <c r="HRM30" s="204"/>
      <c r="HRN30" s="204"/>
      <c r="HRO30" s="204"/>
      <c r="HRP30" s="204"/>
      <c r="HRQ30" s="204"/>
      <c r="HRR30" s="204"/>
      <c r="HRS30" s="204"/>
      <c r="HRT30" s="204"/>
      <c r="HRU30" s="204"/>
      <c r="HRV30" s="204"/>
      <c r="HRW30" s="204"/>
      <c r="HRX30" s="204"/>
      <c r="HRY30" s="204"/>
      <c r="HRZ30" s="204"/>
      <c r="HSA30" s="204"/>
      <c r="HSB30" s="204"/>
      <c r="HSC30" s="204"/>
      <c r="HSD30" s="204"/>
      <c r="HSE30" s="204"/>
      <c r="HSF30" s="204"/>
      <c r="HSG30" s="204"/>
      <c r="HSH30" s="204"/>
      <c r="HSI30" s="204"/>
      <c r="HSJ30" s="204"/>
      <c r="HSK30" s="204"/>
      <c r="HSL30" s="204"/>
      <c r="HSM30" s="204"/>
      <c r="HSN30" s="204"/>
      <c r="HSO30" s="204"/>
      <c r="HSP30" s="204"/>
      <c r="HSQ30" s="204"/>
      <c r="HSR30" s="204"/>
      <c r="HSS30" s="204"/>
      <c r="HST30" s="204"/>
      <c r="HSU30" s="204"/>
      <c r="HSV30" s="204"/>
      <c r="HSW30" s="204"/>
      <c r="HSX30" s="204"/>
      <c r="HSY30" s="204"/>
      <c r="HSZ30" s="204"/>
      <c r="HTA30" s="204"/>
      <c r="HTB30" s="204"/>
      <c r="HTC30" s="204"/>
      <c r="HTD30" s="204"/>
      <c r="HTE30" s="204"/>
      <c r="HTF30" s="204"/>
      <c r="HTG30" s="204"/>
      <c r="HTH30" s="204"/>
      <c r="HTI30" s="204"/>
      <c r="HTJ30" s="204"/>
      <c r="HTK30" s="204"/>
      <c r="HTL30" s="204"/>
      <c r="HTM30" s="204"/>
      <c r="HTN30" s="204"/>
      <c r="HTO30" s="204"/>
      <c r="HTP30" s="204"/>
      <c r="HTQ30" s="204"/>
      <c r="HTR30" s="204"/>
      <c r="HTS30" s="204"/>
      <c r="HTT30" s="204"/>
      <c r="HTU30" s="204"/>
      <c r="HTV30" s="204"/>
      <c r="HTW30" s="204"/>
      <c r="HTX30" s="204"/>
      <c r="HTY30" s="204"/>
      <c r="HTZ30" s="204"/>
      <c r="HUA30" s="204"/>
      <c r="HUB30" s="204"/>
      <c r="HUC30" s="204"/>
      <c r="HUD30" s="204"/>
      <c r="HUE30" s="204"/>
      <c r="HUF30" s="204"/>
      <c r="HUG30" s="204"/>
      <c r="HUH30" s="204"/>
      <c r="HUI30" s="204"/>
      <c r="HUJ30" s="204"/>
      <c r="HUK30" s="204"/>
      <c r="HUL30" s="204"/>
      <c r="HUM30" s="204"/>
      <c r="HUN30" s="204"/>
      <c r="HUO30" s="204"/>
      <c r="HUP30" s="204"/>
      <c r="HUQ30" s="204"/>
      <c r="HUR30" s="204"/>
      <c r="HUS30" s="204"/>
      <c r="HUT30" s="204"/>
      <c r="HUU30" s="204"/>
      <c r="HUV30" s="204"/>
      <c r="HUW30" s="204"/>
      <c r="HUX30" s="204"/>
      <c r="HUY30" s="204"/>
      <c r="HUZ30" s="204"/>
      <c r="HVA30" s="204"/>
      <c r="HVB30" s="204"/>
      <c r="HVC30" s="204"/>
      <c r="HVD30" s="204"/>
      <c r="HVE30" s="204"/>
      <c r="HVF30" s="204"/>
      <c r="HVG30" s="204"/>
      <c r="HVH30" s="204"/>
      <c r="HVI30" s="204"/>
      <c r="HVJ30" s="204"/>
      <c r="HVK30" s="204"/>
      <c r="HVL30" s="204"/>
      <c r="HVM30" s="204"/>
      <c r="HVN30" s="204"/>
      <c r="HVO30" s="204"/>
      <c r="HVP30" s="204"/>
      <c r="HVQ30" s="204"/>
      <c r="HVR30" s="204"/>
      <c r="HVS30" s="204"/>
      <c r="HVT30" s="204"/>
      <c r="HVU30" s="204"/>
      <c r="HVV30" s="204"/>
      <c r="HVW30" s="204"/>
      <c r="HVX30" s="204"/>
      <c r="HVY30" s="204"/>
      <c r="HVZ30" s="204"/>
      <c r="HWA30" s="204"/>
      <c r="HWB30" s="204"/>
      <c r="HWC30" s="204"/>
      <c r="HWD30" s="204"/>
      <c r="HWE30" s="204"/>
      <c r="HWF30" s="204"/>
      <c r="HWG30" s="204"/>
      <c r="HWH30" s="204"/>
      <c r="HWI30" s="204"/>
      <c r="HWJ30" s="204"/>
      <c r="HWK30" s="204"/>
      <c r="HWL30" s="204"/>
      <c r="HWM30" s="204"/>
      <c r="HWN30" s="204"/>
      <c r="HWO30" s="204"/>
      <c r="HWP30" s="204"/>
      <c r="HWQ30" s="204"/>
      <c r="HWR30" s="204"/>
      <c r="HWS30" s="204"/>
      <c r="HWT30" s="204"/>
      <c r="HWU30" s="204"/>
      <c r="HWV30" s="204"/>
      <c r="HWW30" s="204"/>
      <c r="HWX30" s="204"/>
      <c r="HWY30" s="204"/>
      <c r="HWZ30" s="204"/>
      <c r="HXA30" s="204"/>
      <c r="HXB30" s="204"/>
      <c r="HXC30" s="204"/>
      <c r="HXD30" s="204"/>
      <c r="HXE30" s="204"/>
      <c r="HXF30" s="204"/>
      <c r="HXG30" s="204"/>
      <c r="HXH30" s="204"/>
      <c r="HXI30" s="204"/>
      <c r="HXJ30" s="204"/>
      <c r="HXK30" s="204"/>
      <c r="HXL30" s="204"/>
      <c r="HXM30" s="204"/>
      <c r="HXN30" s="204"/>
      <c r="HXO30" s="204"/>
      <c r="HXP30" s="204"/>
      <c r="HXQ30" s="204"/>
      <c r="HXR30" s="204"/>
      <c r="HXS30" s="204"/>
      <c r="HXT30" s="204"/>
      <c r="HXU30" s="204"/>
      <c r="HXV30" s="204"/>
      <c r="HXW30" s="204"/>
      <c r="HXX30" s="204"/>
      <c r="HXY30" s="204"/>
      <c r="HXZ30" s="204"/>
      <c r="HYA30" s="204"/>
      <c r="HYB30" s="204"/>
      <c r="HYC30" s="204"/>
      <c r="HYD30" s="204"/>
      <c r="HYE30" s="204"/>
      <c r="HYF30" s="204"/>
      <c r="HYG30" s="204"/>
      <c r="HYH30" s="204"/>
      <c r="HYI30" s="204"/>
      <c r="HYJ30" s="204"/>
      <c r="HYK30" s="204"/>
      <c r="HYL30" s="204"/>
      <c r="HYM30" s="204"/>
      <c r="HYN30" s="204"/>
      <c r="HYO30" s="204"/>
      <c r="HYP30" s="204"/>
      <c r="HYQ30" s="204"/>
      <c r="HYR30" s="204"/>
      <c r="HYS30" s="204"/>
      <c r="HYT30" s="204"/>
      <c r="HYU30" s="204"/>
      <c r="HYV30" s="204"/>
      <c r="HYW30" s="204"/>
      <c r="HYX30" s="204"/>
      <c r="HYY30" s="204"/>
      <c r="HYZ30" s="204"/>
      <c r="HZA30" s="204"/>
      <c r="HZB30" s="204"/>
      <c r="HZC30" s="204"/>
      <c r="HZD30" s="204"/>
      <c r="HZE30" s="204"/>
      <c r="HZF30" s="204"/>
      <c r="HZG30" s="204"/>
      <c r="HZH30" s="204"/>
      <c r="HZI30" s="204"/>
      <c r="HZJ30" s="204"/>
      <c r="HZK30" s="204"/>
      <c r="HZL30" s="204"/>
      <c r="HZM30" s="204"/>
      <c r="HZN30" s="204"/>
      <c r="HZO30" s="204"/>
      <c r="HZP30" s="204"/>
      <c r="HZQ30" s="204"/>
      <c r="HZR30" s="204"/>
      <c r="HZS30" s="204"/>
      <c r="HZT30" s="204"/>
      <c r="HZU30" s="204"/>
      <c r="HZV30" s="204"/>
      <c r="HZW30" s="204"/>
      <c r="HZX30" s="204"/>
      <c r="HZY30" s="204"/>
      <c r="HZZ30" s="204"/>
      <c r="IAA30" s="204"/>
      <c r="IAB30" s="204"/>
      <c r="IAC30" s="204"/>
      <c r="IAD30" s="204"/>
      <c r="IAE30" s="204"/>
      <c r="IAF30" s="204"/>
      <c r="IAG30" s="204"/>
      <c r="IAH30" s="204"/>
      <c r="IAI30" s="204"/>
      <c r="IAJ30" s="204"/>
      <c r="IAK30" s="204"/>
      <c r="IAL30" s="204"/>
      <c r="IAM30" s="204"/>
      <c r="IAN30" s="204"/>
      <c r="IAO30" s="204"/>
      <c r="IAP30" s="204"/>
      <c r="IAQ30" s="204"/>
      <c r="IAR30" s="204"/>
      <c r="IAS30" s="204"/>
      <c r="IAT30" s="204"/>
      <c r="IAU30" s="204"/>
      <c r="IAV30" s="204"/>
      <c r="IAW30" s="204"/>
      <c r="IAX30" s="204"/>
      <c r="IAY30" s="204"/>
      <c r="IAZ30" s="204"/>
      <c r="IBA30" s="204"/>
      <c r="IBB30" s="204"/>
      <c r="IBC30" s="204"/>
      <c r="IBD30" s="204"/>
      <c r="IBE30" s="204"/>
      <c r="IBF30" s="204"/>
      <c r="IBG30" s="204"/>
      <c r="IBH30" s="204"/>
      <c r="IBI30" s="204"/>
      <c r="IBJ30" s="204"/>
      <c r="IBK30" s="204"/>
      <c r="IBL30" s="204"/>
      <c r="IBM30" s="204"/>
      <c r="IBN30" s="204"/>
      <c r="IBO30" s="204"/>
      <c r="IBP30" s="204"/>
      <c r="IBQ30" s="204"/>
      <c r="IBR30" s="204"/>
      <c r="IBS30" s="204"/>
      <c r="IBT30" s="204"/>
      <c r="IBU30" s="204"/>
      <c r="IBV30" s="204"/>
      <c r="IBW30" s="204"/>
      <c r="IBX30" s="204"/>
      <c r="IBY30" s="204"/>
      <c r="IBZ30" s="204"/>
      <c r="ICA30" s="204"/>
      <c r="ICB30" s="204"/>
      <c r="ICC30" s="204"/>
      <c r="ICD30" s="204"/>
      <c r="ICE30" s="204"/>
      <c r="ICF30" s="204"/>
      <c r="ICG30" s="204"/>
      <c r="ICH30" s="204"/>
      <c r="ICI30" s="204"/>
      <c r="ICJ30" s="204"/>
      <c r="ICK30" s="204"/>
      <c r="ICL30" s="204"/>
      <c r="ICM30" s="204"/>
      <c r="ICN30" s="204"/>
      <c r="ICO30" s="204"/>
      <c r="ICP30" s="204"/>
      <c r="ICQ30" s="204"/>
      <c r="ICR30" s="204"/>
      <c r="ICS30" s="204"/>
      <c r="ICT30" s="204"/>
      <c r="ICU30" s="204"/>
      <c r="ICV30" s="204"/>
      <c r="ICW30" s="204"/>
      <c r="ICX30" s="204"/>
      <c r="ICY30" s="204"/>
      <c r="ICZ30" s="204"/>
      <c r="IDA30" s="204"/>
      <c r="IDB30" s="204"/>
      <c r="IDC30" s="204"/>
      <c r="IDD30" s="204"/>
      <c r="IDE30" s="204"/>
      <c r="IDF30" s="204"/>
      <c r="IDG30" s="204"/>
      <c r="IDH30" s="204"/>
      <c r="IDI30" s="204"/>
      <c r="IDJ30" s="204"/>
      <c r="IDK30" s="204"/>
      <c r="IDL30" s="204"/>
      <c r="IDM30" s="204"/>
      <c r="IDN30" s="204"/>
      <c r="IDO30" s="204"/>
      <c r="IDP30" s="204"/>
      <c r="IDQ30" s="204"/>
      <c r="IDR30" s="204"/>
      <c r="IDS30" s="204"/>
      <c r="IDT30" s="204"/>
      <c r="IDU30" s="204"/>
      <c r="IDV30" s="204"/>
      <c r="IDW30" s="204"/>
      <c r="IDX30" s="204"/>
      <c r="IDY30" s="204"/>
      <c r="IDZ30" s="204"/>
      <c r="IEA30" s="204"/>
      <c r="IEB30" s="204"/>
      <c r="IEC30" s="204"/>
      <c r="IED30" s="204"/>
      <c r="IEE30" s="204"/>
      <c r="IEF30" s="204"/>
      <c r="IEG30" s="204"/>
      <c r="IEH30" s="204"/>
      <c r="IEI30" s="204"/>
      <c r="IEJ30" s="204"/>
      <c r="IEK30" s="204"/>
      <c r="IEL30" s="204"/>
      <c r="IEM30" s="204"/>
      <c r="IEN30" s="204"/>
      <c r="IEO30" s="204"/>
      <c r="IEP30" s="204"/>
      <c r="IEQ30" s="204"/>
      <c r="IER30" s="204"/>
      <c r="IES30" s="204"/>
      <c r="IET30" s="204"/>
      <c r="IEU30" s="204"/>
      <c r="IEV30" s="204"/>
      <c r="IEW30" s="204"/>
      <c r="IEX30" s="204"/>
      <c r="IEY30" s="204"/>
      <c r="IEZ30" s="204"/>
      <c r="IFA30" s="204"/>
      <c r="IFB30" s="204"/>
      <c r="IFC30" s="204"/>
      <c r="IFD30" s="204"/>
      <c r="IFE30" s="204"/>
      <c r="IFF30" s="204"/>
      <c r="IFG30" s="204"/>
      <c r="IFH30" s="204"/>
      <c r="IFI30" s="204"/>
      <c r="IFJ30" s="204"/>
      <c r="IFK30" s="204"/>
      <c r="IFL30" s="204"/>
      <c r="IFM30" s="204"/>
      <c r="IFN30" s="204"/>
      <c r="IFO30" s="204"/>
      <c r="IFP30" s="204"/>
      <c r="IFQ30" s="204"/>
      <c r="IFR30" s="204"/>
      <c r="IFS30" s="204"/>
      <c r="IFT30" s="204"/>
      <c r="IFU30" s="204"/>
      <c r="IFV30" s="204"/>
      <c r="IFW30" s="204"/>
      <c r="IFX30" s="204"/>
      <c r="IFY30" s="204"/>
      <c r="IFZ30" s="204"/>
      <c r="IGA30" s="204"/>
      <c r="IGB30" s="204"/>
      <c r="IGC30" s="204"/>
      <c r="IGD30" s="204"/>
      <c r="IGE30" s="204"/>
      <c r="IGF30" s="204"/>
      <c r="IGG30" s="204"/>
      <c r="IGH30" s="204"/>
      <c r="IGI30" s="204"/>
      <c r="IGJ30" s="204"/>
      <c r="IGK30" s="204"/>
      <c r="IGL30" s="204"/>
      <c r="IGM30" s="204"/>
      <c r="IGN30" s="204"/>
      <c r="IGO30" s="204"/>
      <c r="IGP30" s="204"/>
      <c r="IGQ30" s="204"/>
      <c r="IGR30" s="204"/>
      <c r="IGS30" s="204"/>
      <c r="IGT30" s="204"/>
      <c r="IGU30" s="204"/>
      <c r="IGV30" s="204"/>
      <c r="IGW30" s="204"/>
      <c r="IGX30" s="204"/>
      <c r="IGY30" s="204"/>
      <c r="IGZ30" s="204"/>
      <c r="IHA30" s="204"/>
      <c r="IHB30" s="204"/>
      <c r="IHC30" s="204"/>
      <c r="IHD30" s="204"/>
      <c r="IHE30" s="204"/>
      <c r="IHF30" s="204"/>
      <c r="IHG30" s="204"/>
      <c r="IHH30" s="204"/>
      <c r="IHI30" s="204"/>
      <c r="IHJ30" s="204"/>
      <c r="IHK30" s="204"/>
      <c r="IHL30" s="204"/>
      <c r="IHM30" s="204"/>
      <c r="IHN30" s="204"/>
      <c r="IHO30" s="204"/>
      <c r="IHP30" s="204"/>
      <c r="IHQ30" s="204"/>
      <c r="IHR30" s="204"/>
      <c r="IHS30" s="204"/>
      <c r="IHT30" s="204"/>
      <c r="IHU30" s="204"/>
      <c r="IHV30" s="204"/>
      <c r="IHW30" s="204"/>
      <c r="IHX30" s="204"/>
      <c r="IHY30" s="204"/>
      <c r="IHZ30" s="204"/>
      <c r="IIA30" s="204"/>
      <c r="IIB30" s="204"/>
      <c r="IIC30" s="204"/>
      <c r="IID30" s="204"/>
      <c r="IIE30" s="204"/>
      <c r="IIF30" s="204"/>
      <c r="IIG30" s="204"/>
      <c r="IIH30" s="204"/>
      <c r="III30" s="204"/>
      <c r="IIJ30" s="204"/>
      <c r="IIK30" s="204"/>
      <c r="IIL30" s="204"/>
      <c r="IIM30" s="204"/>
      <c r="IIN30" s="204"/>
      <c r="IIO30" s="204"/>
      <c r="IIP30" s="204"/>
      <c r="IIQ30" s="204"/>
      <c r="IIR30" s="204"/>
      <c r="IIS30" s="204"/>
      <c r="IIT30" s="204"/>
      <c r="IIU30" s="204"/>
      <c r="IIV30" s="204"/>
      <c r="IIW30" s="204"/>
      <c r="IIX30" s="204"/>
      <c r="IIY30" s="204"/>
      <c r="IIZ30" s="204"/>
      <c r="IJA30" s="204"/>
      <c r="IJB30" s="204"/>
      <c r="IJC30" s="204"/>
      <c r="IJD30" s="204"/>
      <c r="IJE30" s="204"/>
      <c r="IJF30" s="204"/>
      <c r="IJG30" s="204"/>
      <c r="IJH30" s="204"/>
      <c r="IJI30" s="204"/>
      <c r="IJJ30" s="204"/>
      <c r="IJK30" s="204"/>
      <c r="IJL30" s="204"/>
      <c r="IJM30" s="204"/>
      <c r="IJN30" s="204"/>
      <c r="IJO30" s="204"/>
      <c r="IJP30" s="204"/>
      <c r="IJQ30" s="204"/>
      <c r="IJR30" s="204"/>
      <c r="IJS30" s="204"/>
      <c r="IJT30" s="204"/>
      <c r="IJU30" s="204"/>
      <c r="IJV30" s="204"/>
      <c r="IJW30" s="204"/>
      <c r="IJX30" s="204"/>
      <c r="IJY30" s="204"/>
      <c r="IJZ30" s="204"/>
      <c r="IKA30" s="204"/>
      <c r="IKB30" s="204"/>
      <c r="IKC30" s="204"/>
      <c r="IKD30" s="204"/>
      <c r="IKE30" s="204"/>
      <c r="IKF30" s="204"/>
      <c r="IKG30" s="204"/>
      <c r="IKH30" s="204"/>
      <c r="IKI30" s="204"/>
      <c r="IKJ30" s="204"/>
      <c r="IKK30" s="204"/>
      <c r="IKL30" s="204"/>
      <c r="IKM30" s="204"/>
      <c r="IKN30" s="204"/>
      <c r="IKO30" s="204"/>
      <c r="IKP30" s="204"/>
      <c r="IKQ30" s="204"/>
      <c r="IKR30" s="204"/>
      <c r="IKS30" s="204"/>
      <c r="IKT30" s="204"/>
      <c r="IKU30" s="204"/>
      <c r="IKV30" s="204"/>
      <c r="IKW30" s="204"/>
      <c r="IKX30" s="204"/>
      <c r="IKY30" s="204"/>
      <c r="IKZ30" s="204"/>
      <c r="ILA30" s="204"/>
      <c r="ILB30" s="204"/>
      <c r="ILC30" s="204"/>
      <c r="ILD30" s="204"/>
      <c r="ILE30" s="204"/>
      <c r="ILF30" s="204"/>
      <c r="ILG30" s="204"/>
      <c r="ILH30" s="204"/>
      <c r="ILI30" s="204"/>
      <c r="ILJ30" s="204"/>
      <c r="ILK30" s="204"/>
      <c r="ILL30" s="204"/>
      <c r="ILM30" s="204"/>
      <c r="ILN30" s="204"/>
      <c r="ILO30" s="204"/>
      <c r="ILP30" s="204"/>
      <c r="ILQ30" s="204"/>
      <c r="ILR30" s="204"/>
      <c r="ILS30" s="204"/>
      <c r="ILT30" s="204"/>
      <c r="ILU30" s="204"/>
      <c r="ILV30" s="204"/>
      <c r="ILW30" s="204"/>
      <c r="ILX30" s="204"/>
      <c r="ILY30" s="204"/>
      <c r="ILZ30" s="204"/>
      <c r="IMA30" s="204"/>
      <c r="IMB30" s="204"/>
      <c r="IMC30" s="204"/>
      <c r="IMD30" s="204"/>
      <c r="IME30" s="204"/>
      <c r="IMF30" s="204"/>
      <c r="IMG30" s="204"/>
      <c r="IMH30" s="204"/>
      <c r="IMI30" s="204"/>
      <c r="IMJ30" s="204"/>
      <c r="IMK30" s="204"/>
      <c r="IML30" s="204"/>
      <c r="IMM30" s="204"/>
      <c r="IMN30" s="204"/>
      <c r="IMO30" s="204"/>
      <c r="IMP30" s="204"/>
      <c r="IMQ30" s="204"/>
      <c r="IMR30" s="204"/>
      <c r="IMS30" s="204"/>
      <c r="IMT30" s="204"/>
      <c r="IMU30" s="204"/>
      <c r="IMV30" s="204"/>
      <c r="IMW30" s="204"/>
      <c r="IMX30" s="204"/>
      <c r="IMY30" s="204"/>
      <c r="IMZ30" s="204"/>
      <c r="INA30" s="204"/>
      <c r="INB30" s="204"/>
      <c r="INC30" s="204"/>
      <c r="IND30" s="204"/>
      <c r="INE30" s="204"/>
      <c r="INF30" s="204"/>
      <c r="ING30" s="204"/>
      <c r="INH30" s="204"/>
      <c r="INI30" s="204"/>
      <c r="INJ30" s="204"/>
      <c r="INK30" s="204"/>
      <c r="INL30" s="204"/>
      <c r="INM30" s="204"/>
      <c r="INN30" s="204"/>
      <c r="INO30" s="204"/>
      <c r="INP30" s="204"/>
      <c r="INQ30" s="204"/>
      <c r="INR30" s="204"/>
      <c r="INS30" s="204"/>
      <c r="INT30" s="204"/>
      <c r="INU30" s="204"/>
      <c r="INV30" s="204"/>
      <c r="INW30" s="204"/>
      <c r="INX30" s="204"/>
      <c r="INY30" s="204"/>
      <c r="INZ30" s="204"/>
      <c r="IOA30" s="204"/>
      <c r="IOB30" s="204"/>
      <c r="IOC30" s="204"/>
      <c r="IOD30" s="204"/>
      <c r="IOE30" s="204"/>
      <c r="IOF30" s="204"/>
      <c r="IOG30" s="204"/>
      <c r="IOH30" s="204"/>
      <c r="IOI30" s="204"/>
      <c r="IOJ30" s="204"/>
      <c r="IOK30" s="204"/>
      <c r="IOL30" s="204"/>
      <c r="IOM30" s="204"/>
      <c r="ION30" s="204"/>
      <c r="IOO30" s="204"/>
      <c r="IOP30" s="204"/>
      <c r="IOQ30" s="204"/>
      <c r="IOR30" s="204"/>
      <c r="IOS30" s="204"/>
      <c r="IOT30" s="204"/>
      <c r="IOU30" s="204"/>
      <c r="IOV30" s="204"/>
      <c r="IOW30" s="204"/>
      <c r="IOX30" s="204"/>
      <c r="IOY30" s="204"/>
      <c r="IOZ30" s="204"/>
      <c r="IPA30" s="204"/>
      <c r="IPB30" s="204"/>
      <c r="IPC30" s="204"/>
      <c r="IPD30" s="204"/>
      <c r="IPE30" s="204"/>
      <c r="IPF30" s="204"/>
      <c r="IPG30" s="204"/>
      <c r="IPH30" s="204"/>
      <c r="IPI30" s="204"/>
      <c r="IPJ30" s="204"/>
      <c r="IPK30" s="204"/>
      <c r="IPL30" s="204"/>
      <c r="IPM30" s="204"/>
      <c r="IPN30" s="204"/>
      <c r="IPO30" s="204"/>
      <c r="IPP30" s="204"/>
      <c r="IPQ30" s="204"/>
      <c r="IPR30" s="204"/>
      <c r="IPS30" s="204"/>
      <c r="IPT30" s="204"/>
      <c r="IPU30" s="204"/>
      <c r="IPV30" s="204"/>
      <c r="IPW30" s="204"/>
      <c r="IPX30" s="204"/>
      <c r="IPY30" s="204"/>
      <c r="IPZ30" s="204"/>
      <c r="IQA30" s="204"/>
      <c r="IQB30" s="204"/>
      <c r="IQC30" s="204"/>
      <c r="IQD30" s="204"/>
      <c r="IQE30" s="204"/>
      <c r="IQF30" s="204"/>
      <c r="IQG30" s="204"/>
      <c r="IQH30" s="204"/>
      <c r="IQI30" s="204"/>
      <c r="IQJ30" s="204"/>
      <c r="IQK30" s="204"/>
      <c r="IQL30" s="204"/>
      <c r="IQM30" s="204"/>
      <c r="IQN30" s="204"/>
      <c r="IQO30" s="204"/>
      <c r="IQP30" s="204"/>
      <c r="IQQ30" s="204"/>
      <c r="IQR30" s="204"/>
      <c r="IQS30" s="204"/>
      <c r="IQT30" s="204"/>
      <c r="IQU30" s="204"/>
      <c r="IQV30" s="204"/>
      <c r="IQW30" s="204"/>
      <c r="IQX30" s="204"/>
      <c r="IQY30" s="204"/>
      <c r="IQZ30" s="204"/>
      <c r="IRA30" s="204"/>
      <c r="IRB30" s="204"/>
      <c r="IRC30" s="204"/>
      <c r="IRD30" s="204"/>
      <c r="IRE30" s="204"/>
      <c r="IRF30" s="204"/>
      <c r="IRG30" s="204"/>
      <c r="IRH30" s="204"/>
      <c r="IRI30" s="204"/>
      <c r="IRJ30" s="204"/>
      <c r="IRK30" s="204"/>
      <c r="IRL30" s="204"/>
      <c r="IRM30" s="204"/>
      <c r="IRN30" s="204"/>
      <c r="IRO30" s="204"/>
      <c r="IRP30" s="204"/>
      <c r="IRQ30" s="204"/>
      <c r="IRR30" s="204"/>
      <c r="IRS30" s="204"/>
      <c r="IRT30" s="204"/>
      <c r="IRU30" s="204"/>
      <c r="IRV30" s="204"/>
      <c r="IRW30" s="204"/>
      <c r="IRX30" s="204"/>
      <c r="IRY30" s="204"/>
      <c r="IRZ30" s="204"/>
      <c r="ISA30" s="204"/>
      <c r="ISB30" s="204"/>
      <c r="ISC30" s="204"/>
      <c r="ISD30" s="204"/>
      <c r="ISE30" s="204"/>
      <c r="ISF30" s="204"/>
      <c r="ISG30" s="204"/>
      <c r="ISH30" s="204"/>
      <c r="ISI30" s="204"/>
      <c r="ISJ30" s="204"/>
      <c r="ISK30" s="204"/>
      <c r="ISL30" s="204"/>
      <c r="ISM30" s="204"/>
      <c r="ISN30" s="204"/>
      <c r="ISO30" s="204"/>
      <c r="ISP30" s="204"/>
      <c r="ISQ30" s="204"/>
      <c r="ISR30" s="204"/>
      <c r="ISS30" s="204"/>
      <c r="IST30" s="204"/>
      <c r="ISU30" s="204"/>
      <c r="ISV30" s="204"/>
      <c r="ISW30" s="204"/>
      <c r="ISX30" s="204"/>
      <c r="ISY30" s="204"/>
      <c r="ISZ30" s="204"/>
      <c r="ITA30" s="204"/>
      <c r="ITB30" s="204"/>
      <c r="ITC30" s="204"/>
      <c r="ITD30" s="204"/>
      <c r="ITE30" s="204"/>
      <c r="ITF30" s="204"/>
      <c r="ITG30" s="204"/>
      <c r="ITH30" s="204"/>
      <c r="ITI30" s="204"/>
      <c r="ITJ30" s="204"/>
      <c r="ITK30" s="204"/>
      <c r="ITL30" s="204"/>
      <c r="ITM30" s="204"/>
      <c r="ITN30" s="204"/>
      <c r="ITO30" s="204"/>
      <c r="ITP30" s="204"/>
      <c r="ITQ30" s="204"/>
      <c r="ITR30" s="204"/>
      <c r="ITS30" s="204"/>
      <c r="ITT30" s="204"/>
      <c r="ITU30" s="204"/>
      <c r="ITV30" s="204"/>
      <c r="ITW30" s="204"/>
      <c r="ITX30" s="204"/>
      <c r="ITY30" s="204"/>
      <c r="ITZ30" s="204"/>
      <c r="IUA30" s="204"/>
      <c r="IUB30" s="204"/>
      <c r="IUC30" s="204"/>
      <c r="IUD30" s="204"/>
      <c r="IUE30" s="204"/>
      <c r="IUF30" s="204"/>
      <c r="IUG30" s="204"/>
      <c r="IUH30" s="204"/>
      <c r="IUI30" s="204"/>
      <c r="IUJ30" s="204"/>
      <c r="IUK30" s="204"/>
      <c r="IUL30" s="204"/>
      <c r="IUM30" s="204"/>
      <c r="IUN30" s="204"/>
      <c r="IUO30" s="204"/>
      <c r="IUP30" s="204"/>
      <c r="IUQ30" s="204"/>
      <c r="IUR30" s="204"/>
      <c r="IUS30" s="204"/>
      <c r="IUT30" s="204"/>
      <c r="IUU30" s="204"/>
      <c r="IUV30" s="204"/>
      <c r="IUW30" s="204"/>
      <c r="IUX30" s="204"/>
      <c r="IUY30" s="204"/>
      <c r="IUZ30" s="204"/>
      <c r="IVA30" s="204"/>
      <c r="IVB30" s="204"/>
      <c r="IVC30" s="204"/>
      <c r="IVD30" s="204"/>
      <c r="IVE30" s="204"/>
      <c r="IVF30" s="204"/>
      <c r="IVG30" s="204"/>
      <c r="IVH30" s="204"/>
      <c r="IVI30" s="204"/>
      <c r="IVJ30" s="204"/>
      <c r="IVK30" s="204"/>
      <c r="IVL30" s="204"/>
      <c r="IVM30" s="204"/>
      <c r="IVN30" s="204"/>
      <c r="IVO30" s="204"/>
      <c r="IVP30" s="204"/>
      <c r="IVQ30" s="204"/>
      <c r="IVR30" s="204"/>
      <c r="IVS30" s="204"/>
      <c r="IVT30" s="204"/>
      <c r="IVU30" s="204"/>
      <c r="IVV30" s="204"/>
      <c r="IVW30" s="204"/>
      <c r="IVX30" s="204"/>
      <c r="IVY30" s="204"/>
      <c r="IVZ30" s="204"/>
      <c r="IWA30" s="204"/>
      <c r="IWB30" s="204"/>
      <c r="IWC30" s="204"/>
      <c r="IWD30" s="204"/>
      <c r="IWE30" s="204"/>
      <c r="IWF30" s="204"/>
      <c r="IWG30" s="204"/>
      <c r="IWH30" s="204"/>
      <c r="IWI30" s="204"/>
      <c r="IWJ30" s="204"/>
      <c r="IWK30" s="204"/>
      <c r="IWL30" s="204"/>
      <c r="IWM30" s="204"/>
      <c r="IWN30" s="204"/>
      <c r="IWO30" s="204"/>
      <c r="IWP30" s="204"/>
      <c r="IWQ30" s="204"/>
      <c r="IWR30" s="204"/>
      <c r="IWS30" s="204"/>
      <c r="IWT30" s="204"/>
      <c r="IWU30" s="204"/>
      <c r="IWV30" s="204"/>
      <c r="IWW30" s="204"/>
      <c r="IWX30" s="204"/>
      <c r="IWY30" s="204"/>
      <c r="IWZ30" s="204"/>
      <c r="IXA30" s="204"/>
      <c r="IXB30" s="204"/>
      <c r="IXC30" s="204"/>
      <c r="IXD30" s="204"/>
      <c r="IXE30" s="204"/>
      <c r="IXF30" s="204"/>
      <c r="IXG30" s="204"/>
      <c r="IXH30" s="204"/>
      <c r="IXI30" s="204"/>
      <c r="IXJ30" s="204"/>
      <c r="IXK30" s="204"/>
      <c r="IXL30" s="204"/>
      <c r="IXM30" s="204"/>
      <c r="IXN30" s="204"/>
      <c r="IXO30" s="204"/>
      <c r="IXP30" s="204"/>
      <c r="IXQ30" s="204"/>
      <c r="IXR30" s="204"/>
      <c r="IXS30" s="204"/>
      <c r="IXT30" s="204"/>
      <c r="IXU30" s="204"/>
      <c r="IXV30" s="204"/>
      <c r="IXW30" s="204"/>
      <c r="IXX30" s="204"/>
      <c r="IXY30" s="204"/>
      <c r="IXZ30" s="204"/>
      <c r="IYA30" s="204"/>
      <c r="IYB30" s="204"/>
      <c r="IYC30" s="204"/>
      <c r="IYD30" s="204"/>
      <c r="IYE30" s="204"/>
      <c r="IYF30" s="204"/>
      <c r="IYG30" s="204"/>
      <c r="IYH30" s="204"/>
      <c r="IYI30" s="204"/>
      <c r="IYJ30" s="204"/>
      <c r="IYK30" s="204"/>
      <c r="IYL30" s="204"/>
      <c r="IYM30" s="204"/>
      <c r="IYN30" s="204"/>
      <c r="IYO30" s="204"/>
      <c r="IYP30" s="204"/>
      <c r="IYQ30" s="204"/>
      <c r="IYR30" s="204"/>
      <c r="IYS30" s="204"/>
      <c r="IYT30" s="204"/>
      <c r="IYU30" s="204"/>
      <c r="IYV30" s="204"/>
      <c r="IYW30" s="204"/>
      <c r="IYX30" s="204"/>
      <c r="IYY30" s="204"/>
      <c r="IYZ30" s="204"/>
      <c r="IZA30" s="204"/>
      <c r="IZB30" s="204"/>
      <c r="IZC30" s="204"/>
      <c r="IZD30" s="204"/>
      <c r="IZE30" s="204"/>
      <c r="IZF30" s="204"/>
      <c r="IZG30" s="204"/>
      <c r="IZH30" s="204"/>
      <c r="IZI30" s="204"/>
      <c r="IZJ30" s="204"/>
      <c r="IZK30" s="204"/>
      <c r="IZL30" s="204"/>
      <c r="IZM30" s="204"/>
      <c r="IZN30" s="204"/>
      <c r="IZO30" s="204"/>
      <c r="IZP30" s="204"/>
      <c r="IZQ30" s="204"/>
      <c r="IZR30" s="204"/>
      <c r="IZS30" s="204"/>
      <c r="IZT30" s="204"/>
      <c r="IZU30" s="204"/>
      <c r="IZV30" s="204"/>
      <c r="IZW30" s="204"/>
      <c r="IZX30" s="204"/>
      <c r="IZY30" s="204"/>
      <c r="IZZ30" s="204"/>
      <c r="JAA30" s="204"/>
      <c r="JAB30" s="204"/>
      <c r="JAC30" s="204"/>
      <c r="JAD30" s="204"/>
      <c r="JAE30" s="204"/>
      <c r="JAF30" s="204"/>
      <c r="JAG30" s="204"/>
      <c r="JAH30" s="204"/>
      <c r="JAI30" s="204"/>
      <c r="JAJ30" s="204"/>
      <c r="JAK30" s="204"/>
      <c r="JAL30" s="204"/>
      <c r="JAM30" s="204"/>
      <c r="JAN30" s="204"/>
      <c r="JAO30" s="204"/>
      <c r="JAP30" s="204"/>
      <c r="JAQ30" s="204"/>
      <c r="JAR30" s="204"/>
      <c r="JAS30" s="204"/>
      <c r="JAT30" s="204"/>
      <c r="JAU30" s="204"/>
      <c r="JAV30" s="204"/>
      <c r="JAW30" s="204"/>
      <c r="JAX30" s="204"/>
      <c r="JAY30" s="204"/>
      <c r="JAZ30" s="204"/>
      <c r="JBA30" s="204"/>
      <c r="JBB30" s="204"/>
      <c r="JBC30" s="204"/>
      <c r="JBD30" s="204"/>
      <c r="JBE30" s="204"/>
      <c r="JBF30" s="204"/>
      <c r="JBG30" s="204"/>
      <c r="JBH30" s="204"/>
      <c r="JBI30" s="204"/>
      <c r="JBJ30" s="204"/>
      <c r="JBK30" s="204"/>
      <c r="JBL30" s="204"/>
      <c r="JBM30" s="204"/>
      <c r="JBN30" s="204"/>
      <c r="JBO30" s="204"/>
      <c r="JBP30" s="204"/>
      <c r="JBQ30" s="204"/>
      <c r="JBR30" s="204"/>
      <c r="JBS30" s="204"/>
      <c r="JBT30" s="204"/>
      <c r="JBU30" s="204"/>
      <c r="JBV30" s="204"/>
      <c r="JBW30" s="204"/>
      <c r="JBX30" s="204"/>
      <c r="JBY30" s="204"/>
      <c r="JBZ30" s="204"/>
      <c r="JCA30" s="204"/>
      <c r="JCB30" s="204"/>
      <c r="JCC30" s="204"/>
      <c r="JCD30" s="204"/>
      <c r="JCE30" s="204"/>
      <c r="JCF30" s="204"/>
      <c r="JCG30" s="204"/>
      <c r="JCH30" s="204"/>
      <c r="JCI30" s="204"/>
      <c r="JCJ30" s="204"/>
      <c r="JCK30" s="204"/>
      <c r="JCL30" s="204"/>
      <c r="JCM30" s="204"/>
      <c r="JCN30" s="204"/>
      <c r="JCO30" s="204"/>
      <c r="JCP30" s="204"/>
      <c r="JCQ30" s="204"/>
      <c r="JCR30" s="204"/>
      <c r="JCS30" s="204"/>
      <c r="JCT30" s="204"/>
      <c r="JCU30" s="204"/>
      <c r="JCV30" s="204"/>
      <c r="JCW30" s="204"/>
      <c r="JCX30" s="204"/>
      <c r="JCY30" s="204"/>
      <c r="JCZ30" s="204"/>
      <c r="JDA30" s="204"/>
      <c r="JDB30" s="204"/>
      <c r="JDC30" s="204"/>
      <c r="JDD30" s="204"/>
      <c r="JDE30" s="204"/>
      <c r="JDF30" s="204"/>
      <c r="JDG30" s="204"/>
      <c r="JDH30" s="204"/>
      <c r="JDI30" s="204"/>
      <c r="JDJ30" s="204"/>
      <c r="JDK30" s="204"/>
      <c r="JDL30" s="204"/>
      <c r="JDM30" s="204"/>
      <c r="JDN30" s="204"/>
      <c r="JDO30" s="204"/>
      <c r="JDP30" s="204"/>
      <c r="JDQ30" s="204"/>
      <c r="JDR30" s="204"/>
      <c r="JDS30" s="204"/>
      <c r="JDT30" s="204"/>
      <c r="JDU30" s="204"/>
      <c r="JDV30" s="204"/>
      <c r="JDW30" s="204"/>
      <c r="JDX30" s="204"/>
      <c r="JDY30" s="204"/>
      <c r="JDZ30" s="204"/>
      <c r="JEA30" s="204"/>
      <c r="JEB30" s="204"/>
      <c r="JEC30" s="204"/>
      <c r="JED30" s="204"/>
      <c r="JEE30" s="204"/>
      <c r="JEF30" s="204"/>
      <c r="JEG30" s="204"/>
      <c r="JEH30" s="204"/>
      <c r="JEI30" s="204"/>
      <c r="JEJ30" s="204"/>
      <c r="JEK30" s="204"/>
      <c r="JEL30" s="204"/>
      <c r="JEM30" s="204"/>
      <c r="JEN30" s="204"/>
      <c r="JEO30" s="204"/>
      <c r="JEP30" s="204"/>
      <c r="JEQ30" s="204"/>
      <c r="JER30" s="204"/>
      <c r="JES30" s="204"/>
      <c r="JET30" s="204"/>
      <c r="JEU30" s="204"/>
      <c r="JEV30" s="204"/>
      <c r="JEW30" s="204"/>
      <c r="JEX30" s="204"/>
      <c r="JEY30" s="204"/>
      <c r="JEZ30" s="204"/>
      <c r="JFA30" s="204"/>
      <c r="JFB30" s="204"/>
      <c r="JFC30" s="204"/>
      <c r="JFD30" s="204"/>
      <c r="JFE30" s="204"/>
      <c r="JFF30" s="204"/>
      <c r="JFG30" s="204"/>
      <c r="JFH30" s="204"/>
      <c r="JFI30" s="204"/>
      <c r="JFJ30" s="204"/>
      <c r="JFK30" s="204"/>
      <c r="JFL30" s="204"/>
      <c r="JFM30" s="204"/>
      <c r="JFN30" s="204"/>
      <c r="JFO30" s="204"/>
      <c r="JFP30" s="204"/>
      <c r="JFQ30" s="204"/>
      <c r="JFR30" s="204"/>
      <c r="JFS30" s="204"/>
      <c r="JFT30" s="204"/>
      <c r="JFU30" s="204"/>
      <c r="JFV30" s="204"/>
      <c r="JFW30" s="204"/>
      <c r="JFX30" s="204"/>
      <c r="JFY30" s="204"/>
      <c r="JFZ30" s="204"/>
      <c r="JGA30" s="204"/>
      <c r="JGB30" s="204"/>
      <c r="JGC30" s="204"/>
      <c r="JGD30" s="204"/>
      <c r="JGE30" s="204"/>
      <c r="JGF30" s="204"/>
      <c r="JGG30" s="204"/>
      <c r="JGH30" s="204"/>
      <c r="JGI30" s="204"/>
      <c r="JGJ30" s="204"/>
      <c r="JGK30" s="204"/>
      <c r="JGL30" s="204"/>
      <c r="JGM30" s="204"/>
      <c r="JGN30" s="204"/>
      <c r="JGO30" s="204"/>
      <c r="JGP30" s="204"/>
      <c r="JGQ30" s="204"/>
      <c r="JGR30" s="204"/>
      <c r="JGS30" s="204"/>
      <c r="JGT30" s="204"/>
      <c r="JGU30" s="204"/>
      <c r="JGV30" s="204"/>
      <c r="JGW30" s="204"/>
      <c r="JGX30" s="204"/>
      <c r="JGY30" s="204"/>
      <c r="JGZ30" s="204"/>
      <c r="JHA30" s="204"/>
      <c r="JHB30" s="204"/>
      <c r="JHC30" s="204"/>
      <c r="JHD30" s="204"/>
      <c r="JHE30" s="204"/>
      <c r="JHF30" s="204"/>
      <c r="JHG30" s="204"/>
      <c r="JHH30" s="204"/>
      <c r="JHI30" s="204"/>
      <c r="JHJ30" s="204"/>
      <c r="JHK30" s="204"/>
      <c r="JHL30" s="204"/>
      <c r="JHM30" s="204"/>
      <c r="JHN30" s="204"/>
      <c r="JHO30" s="204"/>
      <c r="JHP30" s="204"/>
      <c r="JHQ30" s="204"/>
      <c r="JHR30" s="204"/>
      <c r="JHS30" s="204"/>
      <c r="JHT30" s="204"/>
      <c r="JHU30" s="204"/>
      <c r="JHV30" s="204"/>
      <c r="JHW30" s="204"/>
      <c r="JHX30" s="204"/>
      <c r="JHY30" s="204"/>
      <c r="JHZ30" s="204"/>
      <c r="JIA30" s="204"/>
      <c r="JIB30" s="204"/>
      <c r="JIC30" s="204"/>
      <c r="JID30" s="204"/>
      <c r="JIE30" s="204"/>
      <c r="JIF30" s="204"/>
      <c r="JIG30" s="204"/>
      <c r="JIH30" s="204"/>
      <c r="JII30" s="204"/>
      <c r="JIJ30" s="204"/>
      <c r="JIK30" s="204"/>
      <c r="JIL30" s="204"/>
      <c r="JIM30" s="204"/>
      <c r="JIN30" s="204"/>
      <c r="JIO30" s="204"/>
      <c r="JIP30" s="204"/>
      <c r="JIQ30" s="204"/>
      <c r="JIR30" s="204"/>
      <c r="JIS30" s="204"/>
      <c r="JIT30" s="204"/>
      <c r="JIU30" s="204"/>
      <c r="JIV30" s="204"/>
      <c r="JIW30" s="204"/>
      <c r="JIX30" s="204"/>
      <c r="JIY30" s="204"/>
      <c r="JIZ30" s="204"/>
      <c r="JJA30" s="204"/>
      <c r="JJB30" s="204"/>
      <c r="JJC30" s="204"/>
      <c r="JJD30" s="204"/>
      <c r="JJE30" s="204"/>
      <c r="JJF30" s="204"/>
      <c r="JJG30" s="204"/>
      <c r="JJH30" s="204"/>
      <c r="JJI30" s="204"/>
      <c r="JJJ30" s="204"/>
      <c r="JJK30" s="204"/>
      <c r="JJL30" s="204"/>
      <c r="JJM30" s="204"/>
      <c r="JJN30" s="204"/>
      <c r="JJO30" s="204"/>
      <c r="JJP30" s="204"/>
      <c r="JJQ30" s="204"/>
      <c r="JJR30" s="204"/>
      <c r="JJS30" s="204"/>
      <c r="JJT30" s="204"/>
      <c r="JJU30" s="204"/>
      <c r="JJV30" s="204"/>
      <c r="JJW30" s="204"/>
      <c r="JJX30" s="204"/>
      <c r="JJY30" s="204"/>
      <c r="JJZ30" s="204"/>
      <c r="JKA30" s="204"/>
      <c r="JKB30" s="204"/>
      <c r="JKC30" s="204"/>
      <c r="JKD30" s="204"/>
      <c r="JKE30" s="204"/>
      <c r="JKF30" s="204"/>
      <c r="JKG30" s="204"/>
      <c r="JKH30" s="204"/>
      <c r="JKI30" s="204"/>
      <c r="JKJ30" s="204"/>
      <c r="JKK30" s="204"/>
      <c r="JKL30" s="204"/>
      <c r="JKM30" s="204"/>
      <c r="JKN30" s="204"/>
      <c r="JKO30" s="204"/>
      <c r="JKP30" s="204"/>
      <c r="JKQ30" s="204"/>
      <c r="JKR30" s="204"/>
      <c r="JKS30" s="204"/>
      <c r="JKT30" s="204"/>
      <c r="JKU30" s="204"/>
      <c r="JKV30" s="204"/>
      <c r="JKW30" s="204"/>
      <c r="JKX30" s="204"/>
      <c r="JKY30" s="204"/>
      <c r="JKZ30" s="204"/>
      <c r="JLA30" s="204"/>
      <c r="JLB30" s="204"/>
      <c r="JLC30" s="204"/>
      <c r="JLD30" s="204"/>
      <c r="JLE30" s="204"/>
      <c r="JLF30" s="204"/>
      <c r="JLG30" s="204"/>
      <c r="JLH30" s="204"/>
      <c r="JLI30" s="204"/>
      <c r="JLJ30" s="204"/>
      <c r="JLK30" s="204"/>
      <c r="JLL30" s="204"/>
      <c r="JLM30" s="204"/>
      <c r="JLN30" s="204"/>
      <c r="JLO30" s="204"/>
      <c r="JLP30" s="204"/>
      <c r="JLQ30" s="204"/>
      <c r="JLR30" s="204"/>
      <c r="JLS30" s="204"/>
      <c r="JLT30" s="204"/>
      <c r="JLU30" s="204"/>
      <c r="JLV30" s="204"/>
      <c r="JLW30" s="204"/>
      <c r="JLX30" s="204"/>
      <c r="JLY30" s="204"/>
      <c r="JLZ30" s="204"/>
      <c r="JMA30" s="204"/>
      <c r="JMB30" s="204"/>
      <c r="JMC30" s="204"/>
      <c r="JMD30" s="204"/>
      <c r="JME30" s="204"/>
      <c r="JMF30" s="204"/>
      <c r="JMG30" s="204"/>
      <c r="JMH30" s="204"/>
      <c r="JMI30" s="204"/>
      <c r="JMJ30" s="204"/>
      <c r="JMK30" s="204"/>
      <c r="JML30" s="204"/>
      <c r="JMM30" s="204"/>
      <c r="JMN30" s="204"/>
      <c r="JMO30" s="204"/>
      <c r="JMP30" s="204"/>
      <c r="JMQ30" s="204"/>
      <c r="JMR30" s="204"/>
      <c r="JMS30" s="204"/>
      <c r="JMT30" s="204"/>
      <c r="JMU30" s="204"/>
      <c r="JMV30" s="204"/>
      <c r="JMW30" s="204"/>
      <c r="JMX30" s="204"/>
      <c r="JMY30" s="204"/>
      <c r="JMZ30" s="204"/>
      <c r="JNA30" s="204"/>
      <c r="JNB30" s="204"/>
      <c r="JNC30" s="204"/>
      <c r="JND30" s="204"/>
      <c r="JNE30" s="204"/>
      <c r="JNF30" s="204"/>
      <c r="JNG30" s="204"/>
      <c r="JNH30" s="204"/>
      <c r="JNI30" s="204"/>
      <c r="JNJ30" s="204"/>
      <c r="JNK30" s="204"/>
      <c r="JNL30" s="204"/>
      <c r="JNM30" s="204"/>
      <c r="JNN30" s="204"/>
      <c r="JNO30" s="204"/>
      <c r="JNP30" s="204"/>
      <c r="JNQ30" s="204"/>
      <c r="JNR30" s="204"/>
      <c r="JNS30" s="204"/>
      <c r="JNT30" s="204"/>
      <c r="JNU30" s="204"/>
      <c r="JNV30" s="204"/>
      <c r="JNW30" s="204"/>
      <c r="JNX30" s="204"/>
      <c r="JNY30" s="204"/>
      <c r="JNZ30" s="204"/>
      <c r="JOA30" s="204"/>
      <c r="JOB30" s="204"/>
      <c r="JOC30" s="204"/>
      <c r="JOD30" s="204"/>
      <c r="JOE30" s="204"/>
      <c r="JOF30" s="204"/>
      <c r="JOG30" s="204"/>
      <c r="JOH30" s="204"/>
      <c r="JOI30" s="204"/>
      <c r="JOJ30" s="204"/>
      <c r="JOK30" s="204"/>
      <c r="JOL30" s="204"/>
      <c r="JOM30" s="204"/>
      <c r="JON30" s="204"/>
      <c r="JOO30" s="204"/>
      <c r="JOP30" s="204"/>
      <c r="JOQ30" s="204"/>
      <c r="JOR30" s="204"/>
      <c r="JOS30" s="204"/>
      <c r="JOT30" s="204"/>
      <c r="JOU30" s="204"/>
      <c r="JOV30" s="204"/>
      <c r="JOW30" s="204"/>
      <c r="JOX30" s="204"/>
      <c r="JOY30" s="204"/>
      <c r="JOZ30" s="204"/>
      <c r="JPA30" s="204"/>
      <c r="JPB30" s="204"/>
      <c r="JPC30" s="204"/>
      <c r="JPD30" s="204"/>
      <c r="JPE30" s="204"/>
      <c r="JPF30" s="204"/>
      <c r="JPG30" s="204"/>
      <c r="JPH30" s="204"/>
      <c r="JPI30" s="204"/>
      <c r="JPJ30" s="204"/>
      <c r="JPK30" s="204"/>
      <c r="JPL30" s="204"/>
      <c r="JPM30" s="204"/>
      <c r="JPN30" s="204"/>
      <c r="JPO30" s="204"/>
      <c r="JPP30" s="204"/>
      <c r="JPQ30" s="204"/>
      <c r="JPR30" s="204"/>
      <c r="JPS30" s="204"/>
      <c r="JPT30" s="204"/>
      <c r="JPU30" s="204"/>
      <c r="JPV30" s="204"/>
      <c r="JPW30" s="204"/>
      <c r="JPX30" s="204"/>
      <c r="JPY30" s="204"/>
      <c r="JPZ30" s="204"/>
      <c r="JQA30" s="204"/>
      <c r="JQB30" s="204"/>
      <c r="JQC30" s="204"/>
      <c r="JQD30" s="204"/>
      <c r="JQE30" s="204"/>
      <c r="JQF30" s="204"/>
      <c r="JQG30" s="204"/>
      <c r="JQH30" s="204"/>
      <c r="JQI30" s="204"/>
      <c r="JQJ30" s="204"/>
      <c r="JQK30" s="204"/>
      <c r="JQL30" s="204"/>
      <c r="JQM30" s="204"/>
      <c r="JQN30" s="204"/>
      <c r="JQO30" s="204"/>
      <c r="JQP30" s="204"/>
      <c r="JQQ30" s="204"/>
      <c r="JQR30" s="204"/>
      <c r="JQS30" s="204"/>
      <c r="JQT30" s="204"/>
      <c r="JQU30" s="204"/>
      <c r="JQV30" s="204"/>
      <c r="JQW30" s="204"/>
      <c r="JQX30" s="204"/>
      <c r="JQY30" s="204"/>
      <c r="JQZ30" s="204"/>
      <c r="JRA30" s="204"/>
      <c r="JRB30" s="204"/>
      <c r="JRC30" s="204"/>
      <c r="JRD30" s="204"/>
      <c r="JRE30" s="204"/>
      <c r="JRF30" s="204"/>
      <c r="JRG30" s="204"/>
      <c r="JRH30" s="204"/>
      <c r="JRI30" s="204"/>
      <c r="JRJ30" s="204"/>
      <c r="JRK30" s="204"/>
      <c r="JRL30" s="204"/>
      <c r="JRM30" s="204"/>
      <c r="JRN30" s="204"/>
      <c r="JRO30" s="204"/>
      <c r="JRP30" s="204"/>
      <c r="JRQ30" s="204"/>
      <c r="JRR30" s="204"/>
      <c r="JRS30" s="204"/>
      <c r="JRT30" s="204"/>
      <c r="JRU30" s="204"/>
      <c r="JRV30" s="204"/>
      <c r="JRW30" s="204"/>
      <c r="JRX30" s="204"/>
      <c r="JRY30" s="204"/>
      <c r="JRZ30" s="204"/>
      <c r="JSA30" s="204"/>
      <c r="JSB30" s="204"/>
      <c r="JSC30" s="204"/>
      <c r="JSD30" s="204"/>
      <c r="JSE30" s="204"/>
      <c r="JSF30" s="204"/>
      <c r="JSG30" s="204"/>
      <c r="JSH30" s="204"/>
      <c r="JSI30" s="204"/>
      <c r="JSJ30" s="204"/>
      <c r="JSK30" s="204"/>
      <c r="JSL30" s="204"/>
      <c r="JSM30" s="204"/>
      <c r="JSN30" s="204"/>
      <c r="JSO30" s="204"/>
      <c r="JSP30" s="204"/>
      <c r="JSQ30" s="204"/>
      <c r="JSR30" s="204"/>
      <c r="JSS30" s="204"/>
      <c r="JST30" s="204"/>
      <c r="JSU30" s="204"/>
      <c r="JSV30" s="204"/>
      <c r="JSW30" s="204"/>
      <c r="JSX30" s="204"/>
      <c r="JSY30" s="204"/>
      <c r="JSZ30" s="204"/>
      <c r="JTA30" s="204"/>
      <c r="JTB30" s="204"/>
      <c r="JTC30" s="204"/>
      <c r="JTD30" s="204"/>
      <c r="JTE30" s="204"/>
      <c r="JTF30" s="204"/>
      <c r="JTG30" s="204"/>
      <c r="JTH30" s="204"/>
      <c r="JTI30" s="204"/>
      <c r="JTJ30" s="204"/>
      <c r="JTK30" s="204"/>
      <c r="JTL30" s="204"/>
      <c r="JTM30" s="204"/>
      <c r="JTN30" s="204"/>
      <c r="JTO30" s="204"/>
      <c r="JTP30" s="204"/>
      <c r="JTQ30" s="204"/>
      <c r="JTR30" s="204"/>
      <c r="JTS30" s="204"/>
      <c r="JTT30" s="204"/>
      <c r="JTU30" s="204"/>
      <c r="JTV30" s="204"/>
      <c r="JTW30" s="204"/>
      <c r="JTX30" s="204"/>
      <c r="JTY30" s="204"/>
      <c r="JTZ30" s="204"/>
      <c r="JUA30" s="204"/>
      <c r="JUB30" s="204"/>
      <c r="JUC30" s="204"/>
      <c r="JUD30" s="204"/>
      <c r="JUE30" s="204"/>
      <c r="JUF30" s="204"/>
      <c r="JUG30" s="204"/>
      <c r="JUH30" s="204"/>
      <c r="JUI30" s="204"/>
      <c r="JUJ30" s="204"/>
      <c r="JUK30" s="204"/>
      <c r="JUL30" s="204"/>
      <c r="JUM30" s="204"/>
      <c r="JUN30" s="204"/>
      <c r="JUO30" s="204"/>
      <c r="JUP30" s="204"/>
      <c r="JUQ30" s="204"/>
      <c r="JUR30" s="204"/>
      <c r="JUS30" s="204"/>
      <c r="JUT30" s="204"/>
      <c r="JUU30" s="204"/>
      <c r="JUV30" s="204"/>
      <c r="JUW30" s="204"/>
      <c r="JUX30" s="204"/>
      <c r="JUY30" s="204"/>
      <c r="JUZ30" s="204"/>
      <c r="JVA30" s="204"/>
      <c r="JVB30" s="204"/>
      <c r="JVC30" s="204"/>
      <c r="JVD30" s="204"/>
      <c r="JVE30" s="204"/>
      <c r="JVF30" s="204"/>
      <c r="JVG30" s="204"/>
      <c r="JVH30" s="204"/>
      <c r="JVI30" s="204"/>
      <c r="JVJ30" s="204"/>
      <c r="JVK30" s="204"/>
      <c r="JVL30" s="204"/>
      <c r="JVM30" s="204"/>
      <c r="JVN30" s="204"/>
      <c r="JVO30" s="204"/>
      <c r="JVP30" s="204"/>
      <c r="JVQ30" s="204"/>
      <c r="JVR30" s="204"/>
      <c r="JVS30" s="204"/>
      <c r="JVT30" s="204"/>
      <c r="JVU30" s="204"/>
      <c r="JVV30" s="204"/>
      <c r="JVW30" s="204"/>
      <c r="JVX30" s="204"/>
      <c r="JVY30" s="204"/>
      <c r="JVZ30" s="204"/>
      <c r="JWA30" s="204"/>
      <c r="JWB30" s="204"/>
      <c r="JWC30" s="204"/>
      <c r="JWD30" s="204"/>
      <c r="JWE30" s="204"/>
      <c r="JWF30" s="204"/>
      <c r="JWG30" s="204"/>
      <c r="JWH30" s="204"/>
      <c r="JWI30" s="204"/>
      <c r="JWJ30" s="204"/>
      <c r="JWK30" s="204"/>
      <c r="JWL30" s="204"/>
      <c r="JWM30" s="204"/>
      <c r="JWN30" s="204"/>
      <c r="JWO30" s="204"/>
      <c r="JWP30" s="204"/>
      <c r="JWQ30" s="204"/>
      <c r="JWR30" s="204"/>
      <c r="JWS30" s="204"/>
      <c r="JWT30" s="204"/>
      <c r="JWU30" s="204"/>
      <c r="JWV30" s="204"/>
      <c r="JWW30" s="204"/>
      <c r="JWX30" s="204"/>
      <c r="JWY30" s="204"/>
      <c r="JWZ30" s="204"/>
      <c r="JXA30" s="204"/>
      <c r="JXB30" s="204"/>
      <c r="JXC30" s="204"/>
      <c r="JXD30" s="204"/>
      <c r="JXE30" s="204"/>
      <c r="JXF30" s="204"/>
      <c r="JXG30" s="204"/>
      <c r="JXH30" s="204"/>
      <c r="JXI30" s="204"/>
      <c r="JXJ30" s="204"/>
      <c r="JXK30" s="204"/>
      <c r="JXL30" s="204"/>
      <c r="JXM30" s="204"/>
      <c r="JXN30" s="204"/>
      <c r="JXO30" s="204"/>
      <c r="JXP30" s="204"/>
      <c r="JXQ30" s="204"/>
      <c r="JXR30" s="204"/>
      <c r="JXS30" s="204"/>
      <c r="JXT30" s="204"/>
      <c r="JXU30" s="204"/>
      <c r="JXV30" s="204"/>
      <c r="JXW30" s="204"/>
      <c r="JXX30" s="204"/>
      <c r="JXY30" s="204"/>
      <c r="JXZ30" s="204"/>
      <c r="JYA30" s="204"/>
      <c r="JYB30" s="204"/>
      <c r="JYC30" s="204"/>
      <c r="JYD30" s="204"/>
      <c r="JYE30" s="204"/>
      <c r="JYF30" s="204"/>
      <c r="JYG30" s="204"/>
      <c r="JYH30" s="204"/>
      <c r="JYI30" s="204"/>
      <c r="JYJ30" s="204"/>
      <c r="JYK30" s="204"/>
      <c r="JYL30" s="204"/>
      <c r="JYM30" s="204"/>
      <c r="JYN30" s="204"/>
      <c r="JYO30" s="204"/>
      <c r="JYP30" s="204"/>
      <c r="JYQ30" s="204"/>
      <c r="JYR30" s="204"/>
      <c r="JYS30" s="204"/>
      <c r="JYT30" s="204"/>
      <c r="JYU30" s="204"/>
      <c r="JYV30" s="204"/>
      <c r="JYW30" s="204"/>
      <c r="JYX30" s="204"/>
      <c r="JYY30" s="204"/>
      <c r="JYZ30" s="204"/>
      <c r="JZA30" s="204"/>
      <c r="JZB30" s="204"/>
      <c r="JZC30" s="204"/>
      <c r="JZD30" s="204"/>
      <c r="JZE30" s="204"/>
      <c r="JZF30" s="204"/>
      <c r="JZG30" s="204"/>
      <c r="JZH30" s="204"/>
      <c r="JZI30" s="204"/>
      <c r="JZJ30" s="204"/>
      <c r="JZK30" s="204"/>
      <c r="JZL30" s="204"/>
      <c r="JZM30" s="204"/>
      <c r="JZN30" s="204"/>
      <c r="JZO30" s="204"/>
      <c r="JZP30" s="204"/>
      <c r="JZQ30" s="204"/>
      <c r="JZR30" s="204"/>
      <c r="JZS30" s="204"/>
      <c r="JZT30" s="204"/>
      <c r="JZU30" s="204"/>
      <c r="JZV30" s="204"/>
      <c r="JZW30" s="204"/>
      <c r="JZX30" s="204"/>
      <c r="JZY30" s="204"/>
      <c r="JZZ30" s="204"/>
      <c r="KAA30" s="204"/>
      <c r="KAB30" s="204"/>
      <c r="KAC30" s="204"/>
      <c r="KAD30" s="204"/>
      <c r="KAE30" s="204"/>
      <c r="KAF30" s="204"/>
      <c r="KAG30" s="204"/>
      <c r="KAH30" s="204"/>
      <c r="KAI30" s="204"/>
      <c r="KAJ30" s="204"/>
      <c r="KAK30" s="204"/>
      <c r="KAL30" s="204"/>
      <c r="KAM30" s="204"/>
      <c r="KAN30" s="204"/>
      <c r="KAO30" s="204"/>
      <c r="KAP30" s="204"/>
      <c r="KAQ30" s="204"/>
      <c r="KAR30" s="204"/>
      <c r="KAS30" s="204"/>
      <c r="KAT30" s="204"/>
      <c r="KAU30" s="204"/>
      <c r="KAV30" s="204"/>
      <c r="KAW30" s="204"/>
      <c r="KAX30" s="204"/>
      <c r="KAY30" s="204"/>
      <c r="KAZ30" s="204"/>
      <c r="KBA30" s="204"/>
      <c r="KBB30" s="204"/>
      <c r="KBC30" s="204"/>
      <c r="KBD30" s="204"/>
      <c r="KBE30" s="204"/>
      <c r="KBF30" s="204"/>
      <c r="KBG30" s="204"/>
      <c r="KBH30" s="204"/>
      <c r="KBI30" s="204"/>
      <c r="KBJ30" s="204"/>
      <c r="KBK30" s="204"/>
      <c r="KBL30" s="204"/>
      <c r="KBM30" s="204"/>
      <c r="KBN30" s="204"/>
      <c r="KBO30" s="204"/>
      <c r="KBP30" s="204"/>
      <c r="KBQ30" s="204"/>
      <c r="KBR30" s="204"/>
      <c r="KBS30" s="204"/>
      <c r="KBT30" s="204"/>
      <c r="KBU30" s="204"/>
      <c r="KBV30" s="204"/>
      <c r="KBW30" s="204"/>
      <c r="KBX30" s="204"/>
      <c r="KBY30" s="204"/>
      <c r="KBZ30" s="204"/>
      <c r="KCA30" s="204"/>
      <c r="KCB30" s="204"/>
      <c r="KCC30" s="204"/>
      <c r="KCD30" s="204"/>
      <c r="KCE30" s="204"/>
      <c r="KCF30" s="204"/>
      <c r="KCG30" s="204"/>
      <c r="KCH30" s="204"/>
      <c r="KCI30" s="204"/>
      <c r="KCJ30" s="204"/>
      <c r="KCK30" s="204"/>
      <c r="KCL30" s="204"/>
      <c r="KCM30" s="204"/>
      <c r="KCN30" s="204"/>
      <c r="KCO30" s="204"/>
      <c r="KCP30" s="204"/>
      <c r="KCQ30" s="204"/>
      <c r="KCR30" s="204"/>
      <c r="KCS30" s="204"/>
      <c r="KCT30" s="204"/>
      <c r="KCU30" s="204"/>
      <c r="KCV30" s="204"/>
      <c r="KCW30" s="204"/>
      <c r="KCX30" s="204"/>
      <c r="KCY30" s="204"/>
      <c r="KCZ30" s="204"/>
      <c r="KDA30" s="204"/>
      <c r="KDB30" s="204"/>
      <c r="KDC30" s="204"/>
      <c r="KDD30" s="204"/>
      <c r="KDE30" s="204"/>
      <c r="KDF30" s="204"/>
      <c r="KDG30" s="204"/>
      <c r="KDH30" s="204"/>
      <c r="KDI30" s="204"/>
      <c r="KDJ30" s="204"/>
      <c r="KDK30" s="204"/>
      <c r="KDL30" s="204"/>
      <c r="KDM30" s="204"/>
      <c r="KDN30" s="204"/>
      <c r="KDO30" s="204"/>
      <c r="KDP30" s="204"/>
      <c r="KDQ30" s="204"/>
      <c r="KDR30" s="204"/>
      <c r="KDS30" s="204"/>
      <c r="KDT30" s="204"/>
      <c r="KDU30" s="204"/>
      <c r="KDV30" s="204"/>
      <c r="KDW30" s="204"/>
      <c r="KDX30" s="204"/>
      <c r="KDY30" s="204"/>
      <c r="KDZ30" s="204"/>
      <c r="KEA30" s="204"/>
      <c r="KEB30" s="204"/>
      <c r="KEC30" s="204"/>
      <c r="KED30" s="204"/>
      <c r="KEE30" s="204"/>
      <c r="KEF30" s="204"/>
      <c r="KEG30" s="204"/>
      <c r="KEH30" s="204"/>
      <c r="KEI30" s="204"/>
      <c r="KEJ30" s="204"/>
      <c r="KEK30" s="204"/>
      <c r="KEL30" s="204"/>
      <c r="KEM30" s="204"/>
      <c r="KEN30" s="204"/>
      <c r="KEO30" s="204"/>
      <c r="KEP30" s="204"/>
      <c r="KEQ30" s="204"/>
      <c r="KER30" s="204"/>
      <c r="KES30" s="204"/>
      <c r="KET30" s="204"/>
      <c r="KEU30" s="204"/>
      <c r="KEV30" s="204"/>
      <c r="KEW30" s="204"/>
      <c r="KEX30" s="204"/>
      <c r="KEY30" s="204"/>
      <c r="KEZ30" s="204"/>
      <c r="KFA30" s="204"/>
      <c r="KFB30" s="204"/>
      <c r="KFC30" s="204"/>
      <c r="KFD30" s="204"/>
      <c r="KFE30" s="204"/>
      <c r="KFF30" s="204"/>
      <c r="KFG30" s="204"/>
      <c r="KFH30" s="204"/>
      <c r="KFI30" s="204"/>
      <c r="KFJ30" s="204"/>
      <c r="KFK30" s="204"/>
      <c r="KFL30" s="204"/>
      <c r="KFM30" s="204"/>
      <c r="KFN30" s="204"/>
      <c r="KFO30" s="204"/>
      <c r="KFP30" s="204"/>
      <c r="KFQ30" s="204"/>
      <c r="KFR30" s="204"/>
      <c r="KFS30" s="204"/>
      <c r="KFT30" s="204"/>
      <c r="KFU30" s="204"/>
      <c r="KFV30" s="204"/>
      <c r="KFW30" s="204"/>
      <c r="KFX30" s="204"/>
      <c r="KFY30" s="204"/>
      <c r="KFZ30" s="204"/>
      <c r="KGA30" s="204"/>
      <c r="KGB30" s="204"/>
      <c r="KGC30" s="204"/>
      <c r="KGD30" s="204"/>
      <c r="KGE30" s="204"/>
      <c r="KGF30" s="204"/>
      <c r="KGG30" s="204"/>
      <c r="KGH30" s="204"/>
      <c r="KGI30" s="204"/>
      <c r="KGJ30" s="204"/>
      <c r="KGK30" s="204"/>
      <c r="KGL30" s="204"/>
      <c r="KGM30" s="204"/>
      <c r="KGN30" s="204"/>
      <c r="KGO30" s="204"/>
      <c r="KGP30" s="204"/>
      <c r="KGQ30" s="204"/>
      <c r="KGR30" s="204"/>
      <c r="KGS30" s="204"/>
      <c r="KGT30" s="204"/>
      <c r="KGU30" s="204"/>
      <c r="KGV30" s="204"/>
      <c r="KGW30" s="204"/>
      <c r="KGX30" s="204"/>
      <c r="KGY30" s="204"/>
      <c r="KGZ30" s="204"/>
      <c r="KHA30" s="204"/>
      <c r="KHB30" s="204"/>
      <c r="KHC30" s="204"/>
      <c r="KHD30" s="204"/>
      <c r="KHE30" s="204"/>
      <c r="KHF30" s="204"/>
      <c r="KHG30" s="204"/>
      <c r="KHH30" s="204"/>
      <c r="KHI30" s="204"/>
      <c r="KHJ30" s="204"/>
      <c r="KHK30" s="204"/>
      <c r="KHL30" s="204"/>
      <c r="KHM30" s="204"/>
      <c r="KHN30" s="204"/>
      <c r="KHO30" s="204"/>
      <c r="KHP30" s="204"/>
      <c r="KHQ30" s="204"/>
      <c r="KHR30" s="204"/>
      <c r="KHS30" s="204"/>
      <c r="KHT30" s="204"/>
      <c r="KHU30" s="204"/>
      <c r="KHV30" s="204"/>
      <c r="KHW30" s="204"/>
      <c r="KHX30" s="204"/>
      <c r="KHY30" s="204"/>
      <c r="KHZ30" s="204"/>
      <c r="KIA30" s="204"/>
      <c r="KIB30" s="204"/>
      <c r="KIC30" s="204"/>
      <c r="KID30" s="204"/>
      <c r="KIE30" s="204"/>
      <c r="KIF30" s="204"/>
      <c r="KIG30" s="204"/>
      <c r="KIH30" s="204"/>
      <c r="KII30" s="204"/>
      <c r="KIJ30" s="204"/>
      <c r="KIK30" s="204"/>
      <c r="KIL30" s="204"/>
      <c r="KIM30" s="204"/>
      <c r="KIN30" s="204"/>
      <c r="KIO30" s="204"/>
      <c r="KIP30" s="204"/>
      <c r="KIQ30" s="204"/>
      <c r="KIR30" s="204"/>
      <c r="KIS30" s="204"/>
      <c r="KIT30" s="204"/>
      <c r="KIU30" s="204"/>
      <c r="KIV30" s="204"/>
      <c r="KIW30" s="204"/>
      <c r="KIX30" s="204"/>
      <c r="KIY30" s="204"/>
      <c r="KIZ30" s="204"/>
      <c r="KJA30" s="204"/>
      <c r="KJB30" s="204"/>
      <c r="KJC30" s="204"/>
      <c r="KJD30" s="204"/>
      <c r="KJE30" s="204"/>
      <c r="KJF30" s="204"/>
      <c r="KJG30" s="204"/>
      <c r="KJH30" s="204"/>
      <c r="KJI30" s="204"/>
      <c r="KJJ30" s="204"/>
      <c r="KJK30" s="204"/>
      <c r="KJL30" s="204"/>
      <c r="KJM30" s="204"/>
      <c r="KJN30" s="204"/>
      <c r="KJO30" s="204"/>
      <c r="KJP30" s="204"/>
      <c r="KJQ30" s="204"/>
      <c r="KJR30" s="204"/>
      <c r="KJS30" s="204"/>
      <c r="KJT30" s="204"/>
      <c r="KJU30" s="204"/>
      <c r="KJV30" s="204"/>
      <c r="KJW30" s="204"/>
      <c r="KJX30" s="204"/>
      <c r="KJY30" s="204"/>
      <c r="KJZ30" s="204"/>
      <c r="KKA30" s="204"/>
      <c r="KKB30" s="204"/>
      <c r="KKC30" s="204"/>
      <c r="KKD30" s="204"/>
      <c r="KKE30" s="204"/>
      <c r="KKF30" s="204"/>
      <c r="KKG30" s="204"/>
      <c r="KKH30" s="204"/>
      <c r="KKI30" s="204"/>
      <c r="KKJ30" s="204"/>
      <c r="KKK30" s="204"/>
      <c r="KKL30" s="204"/>
      <c r="KKM30" s="204"/>
      <c r="KKN30" s="204"/>
      <c r="KKO30" s="204"/>
      <c r="KKP30" s="204"/>
      <c r="KKQ30" s="204"/>
      <c r="KKR30" s="204"/>
      <c r="KKS30" s="204"/>
      <c r="KKT30" s="204"/>
      <c r="KKU30" s="204"/>
      <c r="KKV30" s="204"/>
      <c r="KKW30" s="204"/>
      <c r="KKX30" s="204"/>
      <c r="KKY30" s="204"/>
      <c r="KKZ30" s="204"/>
      <c r="KLA30" s="204"/>
      <c r="KLB30" s="204"/>
      <c r="KLC30" s="204"/>
      <c r="KLD30" s="204"/>
      <c r="KLE30" s="204"/>
      <c r="KLF30" s="204"/>
      <c r="KLG30" s="204"/>
      <c r="KLH30" s="204"/>
      <c r="KLI30" s="204"/>
      <c r="KLJ30" s="204"/>
      <c r="KLK30" s="204"/>
      <c r="KLL30" s="204"/>
      <c r="KLM30" s="204"/>
      <c r="KLN30" s="204"/>
      <c r="KLO30" s="204"/>
      <c r="KLP30" s="204"/>
      <c r="KLQ30" s="204"/>
      <c r="KLR30" s="204"/>
      <c r="KLS30" s="204"/>
      <c r="KLT30" s="204"/>
      <c r="KLU30" s="204"/>
      <c r="KLV30" s="204"/>
      <c r="KLW30" s="204"/>
      <c r="KLX30" s="204"/>
      <c r="KLY30" s="204"/>
      <c r="KLZ30" s="204"/>
      <c r="KMA30" s="204"/>
      <c r="KMB30" s="204"/>
      <c r="KMC30" s="204"/>
      <c r="KMD30" s="204"/>
      <c r="KME30" s="204"/>
      <c r="KMF30" s="204"/>
      <c r="KMG30" s="204"/>
      <c r="KMH30" s="204"/>
      <c r="KMI30" s="204"/>
      <c r="KMJ30" s="204"/>
      <c r="KMK30" s="204"/>
      <c r="KML30" s="204"/>
      <c r="KMM30" s="204"/>
      <c r="KMN30" s="204"/>
      <c r="KMO30" s="204"/>
      <c r="KMP30" s="204"/>
      <c r="KMQ30" s="204"/>
      <c r="KMR30" s="204"/>
      <c r="KMS30" s="204"/>
      <c r="KMT30" s="204"/>
      <c r="KMU30" s="204"/>
      <c r="KMV30" s="204"/>
      <c r="KMW30" s="204"/>
      <c r="KMX30" s="204"/>
      <c r="KMY30" s="204"/>
      <c r="KMZ30" s="204"/>
      <c r="KNA30" s="204"/>
      <c r="KNB30" s="204"/>
      <c r="KNC30" s="204"/>
      <c r="KND30" s="204"/>
      <c r="KNE30" s="204"/>
      <c r="KNF30" s="204"/>
      <c r="KNG30" s="204"/>
      <c r="KNH30" s="204"/>
      <c r="KNI30" s="204"/>
      <c r="KNJ30" s="204"/>
      <c r="KNK30" s="204"/>
      <c r="KNL30" s="204"/>
      <c r="KNM30" s="204"/>
      <c r="KNN30" s="204"/>
      <c r="KNO30" s="204"/>
      <c r="KNP30" s="204"/>
      <c r="KNQ30" s="204"/>
      <c r="KNR30" s="204"/>
      <c r="KNS30" s="204"/>
      <c r="KNT30" s="204"/>
      <c r="KNU30" s="204"/>
      <c r="KNV30" s="204"/>
      <c r="KNW30" s="204"/>
      <c r="KNX30" s="204"/>
      <c r="KNY30" s="204"/>
      <c r="KNZ30" s="204"/>
      <c r="KOA30" s="204"/>
      <c r="KOB30" s="204"/>
      <c r="KOC30" s="204"/>
      <c r="KOD30" s="204"/>
      <c r="KOE30" s="204"/>
      <c r="KOF30" s="204"/>
      <c r="KOG30" s="204"/>
      <c r="KOH30" s="204"/>
      <c r="KOI30" s="204"/>
      <c r="KOJ30" s="204"/>
      <c r="KOK30" s="204"/>
      <c r="KOL30" s="204"/>
      <c r="KOM30" s="204"/>
      <c r="KON30" s="204"/>
      <c r="KOO30" s="204"/>
      <c r="KOP30" s="204"/>
      <c r="KOQ30" s="204"/>
      <c r="KOR30" s="204"/>
      <c r="KOS30" s="204"/>
      <c r="KOT30" s="204"/>
      <c r="KOU30" s="204"/>
      <c r="KOV30" s="204"/>
      <c r="KOW30" s="204"/>
      <c r="KOX30" s="204"/>
      <c r="KOY30" s="204"/>
      <c r="KOZ30" s="204"/>
      <c r="KPA30" s="204"/>
      <c r="KPB30" s="204"/>
      <c r="KPC30" s="204"/>
      <c r="KPD30" s="204"/>
      <c r="KPE30" s="204"/>
      <c r="KPF30" s="204"/>
      <c r="KPG30" s="204"/>
      <c r="KPH30" s="204"/>
      <c r="KPI30" s="204"/>
      <c r="KPJ30" s="204"/>
      <c r="KPK30" s="204"/>
      <c r="KPL30" s="204"/>
      <c r="KPM30" s="204"/>
      <c r="KPN30" s="204"/>
      <c r="KPO30" s="204"/>
      <c r="KPP30" s="204"/>
      <c r="KPQ30" s="204"/>
      <c r="KPR30" s="204"/>
      <c r="KPS30" s="204"/>
      <c r="KPT30" s="204"/>
      <c r="KPU30" s="204"/>
      <c r="KPV30" s="204"/>
      <c r="KPW30" s="204"/>
      <c r="KPX30" s="204"/>
      <c r="KPY30" s="204"/>
      <c r="KPZ30" s="204"/>
      <c r="KQA30" s="204"/>
      <c r="KQB30" s="204"/>
      <c r="KQC30" s="204"/>
      <c r="KQD30" s="204"/>
      <c r="KQE30" s="204"/>
      <c r="KQF30" s="204"/>
      <c r="KQG30" s="204"/>
      <c r="KQH30" s="204"/>
      <c r="KQI30" s="204"/>
      <c r="KQJ30" s="204"/>
      <c r="KQK30" s="204"/>
      <c r="KQL30" s="204"/>
      <c r="KQM30" s="204"/>
      <c r="KQN30" s="204"/>
      <c r="KQO30" s="204"/>
      <c r="KQP30" s="204"/>
      <c r="KQQ30" s="204"/>
      <c r="KQR30" s="204"/>
      <c r="KQS30" s="204"/>
      <c r="KQT30" s="204"/>
      <c r="KQU30" s="204"/>
      <c r="KQV30" s="204"/>
      <c r="KQW30" s="204"/>
      <c r="KQX30" s="204"/>
      <c r="KQY30" s="204"/>
      <c r="KQZ30" s="204"/>
      <c r="KRA30" s="204"/>
      <c r="KRB30" s="204"/>
      <c r="KRC30" s="204"/>
      <c r="KRD30" s="204"/>
      <c r="KRE30" s="204"/>
      <c r="KRF30" s="204"/>
      <c r="KRG30" s="204"/>
      <c r="KRH30" s="204"/>
      <c r="KRI30" s="204"/>
      <c r="KRJ30" s="204"/>
      <c r="KRK30" s="204"/>
      <c r="KRL30" s="204"/>
      <c r="KRM30" s="204"/>
      <c r="KRN30" s="204"/>
      <c r="KRO30" s="204"/>
      <c r="KRP30" s="204"/>
      <c r="KRQ30" s="204"/>
      <c r="KRR30" s="204"/>
      <c r="KRS30" s="204"/>
      <c r="KRT30" s="204"/>
      <c r="KRU30" s="204"/>
      <c r="KRV30" s="204"/>
      <c r="KRW30" s="204"/>
      <c r="KRX30" s="204"/>
      <c r="KRY30" s="204"/>
      <c r="KRZ30" s="204"/>
      <c r="KSA30" s="204"/>
      <c r="KSB30" s="204"/>
      <c r="KSC30" s="204"/>
      <c r="KSD30" s="204"/>
      <c r="KSE30" s="204"/>
      <c r="KSF30" s="204"/>
      <c r="KSG30" s="204"/>
      <c r="KSH30" s="204"/>
      <c r="KSI30" s="204"/>
      <c r="KSJ30" s="204"/>
      <c r="KSK30" s="204"/>
      <c r="KSL30" s="204"/>
      <c r="KSM30" s="204"/>
      <c r="KSN30" s="204"/>
      <c r="KSO30" s="204"/>
      <c r="KSP30" s="204"/>
      <c r="KSQ30" s="204"/>
      <c r="KSR30" s="204"/>
      <c r="KSS30" s="204"/>
      <c r="KST30" s="204"/>
      <c r="KSU30" s="204"/>
      <c r="KSV30" s="204"/>
      <c r="KSW30" s="204"/>
      <c r="KSX30" s="204"/>
      <c r="KSY30" s="204"/>
      <c r="KSZ30" s="204"/>
      <c r="KTA30" s="204"/>
      <c r="KTB30" s="204"/>
      <c r="KTC30" s="204"/>
      <c r="KTD30" s="204"/>
      <c r="KTE30" s="204"/>
      <c r="KTF30" s="204"/>
      <c r="KTG30" s="204"/>
      <c r="KTH30" s="204"/>
      <c r="KTI30" s="204"/>
      <c r="KTJ30" s="204"/>
      <c r="KTK30" s="204"/>
      <c r="KTL30" s="204"/>
      <c r="KTM30" s="204"/>
      <c r="KTN30" s="204"/>
      <c r="KTO30" s="204"/>
      <c r="KTP30" s="204"/>
      <c r="KTQ30" s="204"/>
      <c r="KTR30" s="204"/>
      <c r="KTS30" s="204"/>
      <c r="KTT30" s="204"/>
      <c r="KTU30" s="204"/>
      <c r="KTV30" s="204"/>
      <c r="KTW30" s="204"/>
      <c r="KTX30" s="204"/>
      <c r="KTY30" s="204"/>
      <c r="KTZ30" s="204"/>
      <c r="KUA30" s="204"/>
      <c r="KUB30" s="204"/>
      <c r="KUC30" s="204"/>
      <c r="KUD30" s="204"/>
      <c r="KUE30" s="204"/>
      <c r="KUF30" s="204"/>
      <c r="KUG30" s="204"/>
      <c r="KUH30" s="204"/>
      <c r="KUI30" s="204"/>
      <c r="KUJ30" s="204"/>
      <c r="KUK30" s="204"/>
      <c r="KUL30" s="204"/>
      <c r="KUM30" s="204"/>
      <c r="KUN30" s="204"/>
      <c r="KUO30" s="204"/>
      <c r="KUP30" s="204"/>
      <c r="KUQ30" s="204"/>
      <c r="KUR30" s="204"/>
      <c r="KUS30" s="204"/>
      <c r="KUT30" s="204"/>
      <c r="KUU30" s="204"/>
      <c r="KUV30" s="204"/>
      <c r="KUW30" s="204"/>
      <c r="KUX30" s="204"/>
      <c r="KUY30" s="204"/>
      <c r="KUZ30" s="204"/>
      <c r="KVA30" s="204"/>
      <c r="KVB30" s="204"/>
      <c r="KVC30" s="204"/>
      <c r="KVD30" s="204"/>
      <c r="KVE30" s="204"/>
      <c r="KVF30" s="204"/>
      <c r="KVG30" s="204"/>
      <c r="KVH30" s="204"/>
      <c r="KVI30" s="204"/>
      <c r="KVJ30" s="204"/>
      <c r="KVK30" s="204"/>
      <c r="KVL30" s="204"/>
      <c r="KVM30" s="204"/>
      <c r="KVN30" s="204"/>
      <c r="KVO30" s="204"/>
      <c r="KVP30" s="204"/>
      <c r="KVQ30" s="204"/>
      <c r="KVR30" s="204"/>
      <c r="KVS30" s="204"/>
      <c r="KVT30" s="204"/>
      <c r="KVU30" s="204"/>
      <c r="KVV30" s="204"/>
      <c r="KVW30" s="204"/>
      <c r="KVX30" s="204"/>
      <c r="KVY30" s="204"/>
      <c r="KVZ30" s="204"/>
      <c r="KWA30" s="204"/>
      <c r="KWB30" s="204"/>
      <c r="KWC30" s="204"/>
      <c r="KWD30" s="204"/>
      <c r="KWE30" s="204"/>
      <c r="KWF30" s="204"/>
      <c r="KWG30" s="204"/>
      <c r="KWH30" s="204"/>
      <c r="KWI30" s="204"/>
      <c r="KWJ30" s="204"/>
      <c r="KWK30" s="204"/>
      <c r="KWL30" s="204"/>
      <c r="KWM30" s="204"/>
      <c r="KWN30" s="204"/>
      <c r="KWO30" s="204"/>
      <c r="KWP30" s="204"/>
      <c r="KWQ30" s="204"/>
      <c r="KWR30" s="204"/>
      <c r="KWS30" s="204"/>
      <c r="KWT30" s="204"/>
      <c r="KWU30" s="204"/>
      <c r="KWV30" s="204"/>
      <c r="KWW30" s="204"/>
      <c r="KWX30" s="204"/>
      <c r="KWY30" s="204"/>
      <c r="KWZ30" s="204"/>
      <c r="KXA30" s="204"/>
      <c r="KXB30" s="204"/>
      <c r="KXC30" s="204"/>
      <c r="KXD30" s="204"/>
      <c r="KXE30" s="204"/>
      <c r="KXF30" s="204"/>
      <c r="KXG30" s="204"/>
      <c r="KXH30" s="204"/>
      <c r="KXI30" s="204"/>
      <c r="KXJ30" s="204"/>
      <c r="KXK30" s="204"/>
      <c r="KXL30" s="204"/>
      <c r="KXM30" s="204"/>
      <c r="KXN30" s="204"/>
      <c r="KXO30" s="204"/>
      <c r="KXP30" s="204"/>
      <c r="KXQ30" s="204"/>
      <c r="KXR30" s="204"/>
      <c r="KXS30" s="204"/>
      <c r="KXT30" s="204"/>
      <c r="KXU30" s="204"/>
      <c r="KXV30" s="204"/>
      <c r="KXW30" s="204"/>
      <c r="KXX30" s="204"/>
      <c r="KXY30" s="204"/>
      <c r="KXZ30" s="204"/>
      <c r="KYA30" s="204"/>
      <c r="KYB30" s="204"/>
      <c r="KYC30" s="204"/>
      <c r="KYD30" s="204"/>
      <c r="KYE30" s="204"/>
      <c r="KYF30" s="204"/>
      <c r="KYG30" s="204"/>
      <c r="KYH30" s="204"/>
      <c r="KYI30" s="204"/>
      <c r="KYJ30" s="204"/>
      <c r="KYK30" s="204"/>
      <c r="KYL30" s="204"/>
      <c r="KYM30" s="204"/>
      <c r="KYN30" s="204"/>
      <c r="KYO30" s="204"/>
      <c r="KYP30" s="204"/>
      <c r="KYQ30" s="204"/>
      <c r="KYR30" s="204"/>
      <c r="KYS30" s="204"/>
      <c r="KYT30" s="204"/>
      <c r="KYU30" s="204"/>
      <c r="KYV30" s="204"/>
      <c r="KYW30" s="204"/>
      <c r="KYX30" s="204"/>
      <c r="KYY30" s="204"/>
      <c r="KYZ30" s="204"/>
      <c r="KZA30" s="204"/>
      <c r="KZB30" s="204"/>
      <c r="KZC30" s="204"/>
      <c r="KZD30" s="204"/>
      <c r="KZE30" s="204"/>
      <c r="KZF30" s="204"/>
      <c r="KZG30" s="204"/>
      <c r="KZH30" s="204"/>
      <c r="KZI30" s="204"/>
      <c r="KZJ30" s="204"/>
      <c r="KZK30" s="204"/>
      <c r="KZL30" s="204"/>
      <c r="KZM30" s="204"/>
      <c r="KZN30" s="204"/>
      <c r="KZO30" s="204"/>
      <c r="KZP30" s="204"/>
      <c r="KZQ30" s="204"/>
      <c r="KZR30" s="204"/>
      <c r="KZS30" s="204"/>
      <c r="KZT30" s="204"/>
      <c r="KZU30" s="204"/>
      <c r="KZV30" s="204"/>
      <c r="KZW30" s="204"/>
      <c r="KZX30" s="204"/>
      <c r="KZY30" s="204"/>
      <c r="KZZ30" s="204"/>
      <c r="LAA30" s="204"/>
      <c r="LAB30" s="204"/>
      <c r="LAC30" s="204"/>
      <c r="LAD30" s="204"/>
      <c r="LAE30" s="204"/>
      <c r="LAF30" s="204"/>
      <c r="LAG30" s="204"/>
      <c r="LAH30" s="204"/>
      <c r="LAI30" s="204"/>
      <c r="LAJ30" s="204"/>
      <c r="LAK30" s="204"/>
      <c r="LAL30" s="204"/>
      <c r="LAM30" s="204"/>
      <c r="LAN30" s="204"/>
      <c r="LAO30" s="204"/>
      <c r="LAP30" s="204"/>
      <c r="LAQ30" s="204"/>
      <c r="LAR30" s="204"/>
      <c r="LAS30" s="204"/>
      <c r="LAT30" s="204"/>
      <c r="LAU30" s="204"/>
      <c r="LAV30" s="204"/>
      <c r="LAW30" s="204"/>
      <c r="LAX30" s="204"/>
      <c r="LAY30" s="204"/>
      <c r="LAZ30" s="204"/>
      <c r="LBA30" s="204"/>
      <c r="LBB30" s="204"/>
      <c r="LBC30" s="204"/>
      <c r="LBD30" s="204"/>
      <c r="LBE30" s="204"/>
      <c r="LBF30" s="204"/>
      <c r="LBG30" s="204"/>
      <c r="LBH30" s="204"/>
      <c r="LBI30" s="204"/>
      <c r="LBJ30" s="204"/>
      <c r="LBK30" s="204"/>
      <c r="LBL30" s="204"/>
      <c r="LBM30" s="204"/>
      <c r="LBN30" s="204"/>
      <c r="LBO30" s="204"/>
      <c r="LBP30" s="204"/>
      <c r="LBQ30" s="204"/>
      <c r="LBR30" s="204"/>
      <c r="LBS30" s="204"/>
      <c r="LBT30" s="204"/>
      <c r="LBU30" s="204"/>
      <c r="LBV30" s="204"/>
      <c r="LBW30" s="204"/>
      <c r="LBX30" s="204"/>
      <c r="LBY30" s="204"/>
      <c r="LBZ30" s="204"/>
      <c r="LCA30" s="204"/>
      <c r="LCB30" s="204"/>
      <c r="LCC30" s="204"/>
      <c r="LCD30" s="204"/>
      <c r="LCE30" s="204"/>
      <c r="LCF30" s="204"/>
      <c r="LCG30" s="204"/>
      <c r="LCH30" s="204"/>
      <c r="LCI30" s="204"/>
      <c r="LCJ30" s="204"/>
      <c r="LCK30" s="204"/>
      <c r="LCL30" s="204"/>
      <c r="LCM30" s="204"/>
      <c r="LCN30" s="204"/>
      <c r="LCO30" s="204"/>
      <c r="LCP30" s="204"/>
      <c r="LCQ30" s="204"/>
      <c r="LCR30" s="204"/>
      <c r="LCS30" s="204"/>
      <c r="LCT30" s="204"/>
      <c r="LCU30" s="204"/>
      <c r="LCV30" s="204"/>
      <c r="LCW30" s="204"/>
      <c r="LCX30" s="204"/>
      <c r="LCY30" s="204"/>
      <c r="LCZ30" s="204"/>
      <c r="LDA30" s="204"/>
      <c r="LDB30" s="204"/>
      <c r="LDC30" s="204"/>
      <c r="LDD30" s="204"/>
      <c r="LDE30" s="204"/>
      <c r="LDF30" s="204"/>
      <c r="LDG30" s="204"/>
      <c r="LDH30" s="204"/>
      <c r="LDI30" s="204"/>
      <c r="LDJ30" s="204"/>
      <c r="LDK30" s="204"/>
      <c r="LDL30" s="204"/>
      <c r="LDM30" s="204"/>
      <c r="LDN30" s="204"/>
      <c r="LDO30" s="204"/>
      <c r="LDP30" s="204"/>
      <c r="LDQ30" s="204"/>
      <c r="LDR30" s="204"/>
      <c r="LDS30" s="204"/>
      <c r="LDT30" s="204"/>
      <c r="LDU30" s="204"/>
      <c r="LDV30" s="204"/>
      <c r="LDW30" s="204"/>
      <c r="LDX30" s="204"/>
      <c r="LDY30" s="204"/>
      <c r="LDZ30" s="204"/>
      <c r="LEA30" s="204"/>
      <c r="LEB30" s="204"/>
      <c r="LEC30" s="204"/>
      <c r="LED30" s="204"/>
      <c r="LEE30" s="204"/>
      <c r="LEF30" s="204"/>
      <c r="LEG30" s="204"/>
      <c r="LEH30" s="204"/>
      <c r="LEI30" s="204"/>
      <c r="LEJ30" s="204"/>
      <c r="LEK30" s="204"/>
      <c r="LEL30" s="204"/>
      <c r="LEM30" s="204"/>
      <c r="LEN30" s="204"/>
      <c r="LEO30" s="204"/>
      <c r="LEP30" s="204"/>
      <c r="LEQ30" s="204"/>
      <c r="LER30" s="204"/>
      <c r="LES30" s="204"/>
      <c r="LET30" s="204"/>
      <c r="LEU30" s="204"/>
      <c r="LEV30" s="204"/>
      <c r="LEW30" s="204"/>
      <c r="LEX30" s="204"/>
      <c r="LEY30" s="204"/>
      <c r="LEZ30" s="204"/>
      <c r="LFA30" s="204"/>
      <c r="LFB30" s="204"/>
      <c r="LFC30" s="204"/>
      <c r="LFD30" s="204"/>
      <c r="LFE30" s="204"/>
      <c r="LFF30" s="204"/>
      <c r="LFG30" s="204"/>
      <c r="LFH30" s="204"/>
      <c r="LFI30" s="204"/>
      <c r="LFJ30" s="204"/>
      <c r="LFK30" s="204"/>
      <c r="LFL30" s="204"/>
      <c r="LFM30" s="204"/>
      <c r="LFN30" s="204"/>
      <c r="LFO30" s="204"/>
      <c r="LFP30" s="204"/>
      <c r="LFQ30" s="204"/>
      <c r="LFR30" s="204"/>
      <c r="LFS30" s="204"/>
      <c r="LFT30" s="204"/>
      <c r="LFU30" s="204"/>
      <c r="LFV30" s="204"/>
      <c r="LFW30" s="204"/>
      <c r="LFX30" s="204"/>
      <c r="LFY30" s="204"/>
      <c r="LFZ30" s="204"/>
      <c r="LGA30" s="204"/>
      <c r="LGB30" s="204"/>
      <c r="LGC30" s="204"/>
      <c r="LGD30" s="204"/>
      <c r="LGE30" s="204"/>
      <c r="LGF30" s="204"/>
      <c r="LGG30" s="204"/>
      <c r="LGH30" s="204"/>
      <c r="LGI30" s="204"/>
      <c r="LGJ30" s="204"/>
      <c r="LGK30" s="204"/>
      <c r="LGL30" s="204"/>
      <c r="LGM30" s="204"/>
      <c r="LGN30" s="204"/>
      <c r="LGO30" s="204"/>
      <c r="LGP30" s="204"/>
      <c r="LGQ30" s="204"/>
      <c r="LGR30" s="204"/>
      <c r="LGS30" s="204"/>
      <c r="LGT30" s="204"/>
      <c r="LGU30" s="204"/>
      <c r="LGV30" s="204"/>
      <c r="LGW30" s="204"/>
      <c r="LGX30" s="204"/>
      <c r="LGY30" s="204"/>
      <c r="LGZ30" s="204"/>
      <c r="LHA30" s="204"/>
      <c r="LHB30" s="204"/>
      <c r="LHC30" s="204"/>
      <c r="LHD30" s="204"/>
      <c r="LHE30" s="204"/>
      <c r="LHF30" s="204"/>
      <c r="LHG30" s="204"/>
      <c r="LHH30" s="204"/>
      <c r="LHI30" s="204"/>
      <c r="LHJ30" s="204"/>
      <c r="LHK30" s="204"/>
      <c r="LHL30" s="204"/>
      <c r="LHM30" s="204"/>
      <c r="LHN30" s="204"/>
      <c r="LHO30" s="204"/>
      <c r="LHP30" s="204"/>
      <c r="LHQ30" s="204"/>
      <c r="LHR30" s="204"/>
      <c r="LHS30" s="204"/>
      <c r="LHT30" s="204"/>
      <c r="LHU30" s="204"/>
      <c r="LHV30" s="204"/>
      <c r="LHW30" s="204"/>
      <c r="LHX30" s="204"/>
      <c r="LHY30" s="204"/>
      <c r="LHZ30" s="204"/>
      <c r="LIA30" s="204"/>
      <c r="LIB30" s="204"/>
      <c r="LIC30" s="204"/>
      <c r="LID30" s="204"/>
      <c r="LIE30" s="204"/>
      <c r="LIF30" s="204"/>
      <c r="LIG30" s="204"/>
      <c r="LIH30" s="204"/>
      <c r="LII30" s="204"/>
      <c r="LIJ30" s="204"/>
      <c r="LIK30" s="204"/>
      <c r="LIL30" s="204"/>
      <c r="LIM30" s="204"/>
      <c r="LIN30" s="204"/>
      <c r="LIO30" s="204"/>
      <c r="LIP30" s="204"/>
      <c r="LIQ30" s="204"/>
      <c r="LIR30" s="204"/>
      <c r="LIS30" s="204"/>
      <c r="LIT30" s="204"/>
      <c r="LIU30" s="204"/>
      <c r="LIV30" s="204"/>
      <c r="LIW30" s="204"/>
      <c r="LIX30" s="204"/>
      <c r="LIY30" s="204"/>
      <c r="LIZ30" s="204"/>
      <c r="LJA30" s="204"/>
      <c r="LJB30" s="204"/>
      <c r="LJC30" s="204"/>
      <c r="LJD30" s="204"/>
      <c r="LJE30" s="204"/>
      <c r="LJF30" s="204"/>
      <c r="LJG30" s="204"/>
      <c r="LJH30" s="204"/>
      <c r="LJI30" s="204"/>
      <c r="LJJ30" s="204"/>
      <c r="LJK30" s="204"/>
      <c r="LJL30" s="204"/>
      <c r="LJM30" s="204"/>
      <c r="LJN30" s="204"/>
      <c r="LJO30" s="204"/>
      <c r="LJP30" s="204"/>
      <c r="LJQ30" s="204"/>
      <c r="LJR30" s="204"/>
      <c r="LJS30" s="204"/>
      <c r="LJT30" s="204"/>
      <c r="LJU30" s="204"/>
      <c r="LJV30" s="204"/>
      <c r="LJW30" s="204"/>
      <c r="LJX30" s="204"/>
      <c r="LJY30" s="204"/>
      <c r="LJZ30" s="204"/>
      <c r="LKA30" s="204"/>
      <c r="LKB30" s="204"/>
      <c r="LKC30" s="204"/>
      <c r="LKD30" s="204"/>
      <c r="LKE30" s="204"/>
      <c r="LKF30" s="204"/>
      <c r="LKG30" s="204"/>
      <c r="LKH30" s="204"/>
      <c r="LKI30" s="204"/>
      <c r="LKJ30" s="204"/>
      <c r="LKK30" s="204"/>
      <c r="LKL30" s="204"/>
      <c r="LKM30" s="204"/>
      <c r="LKN30" s="204"/>
      <c r="LKO30" s="204"/>
      <c r="LKP30" s="204"/>
      <c r="LKQ30" s="204"/>
      <c r="LKR30" s="204"/>
      <c r="LKS30" s="204"/>
      <c r="LKT30" s="204"/>
      <c r="LKU30" s="204"/>
      <c r="LKV30" s="204"/>
      <c r="LKW30" s="204"/>
      <c r="LKX30" s="204"/>
      <c r="LKY30" s="204"/>
      <c r="LKZ30" s="204"/>
      <c r="LLA30" s="204"/>
      <c r="LLB30" s="204"/>
      <c r="LLC30" s="204"/>
      <c r="LLD30" s="204"/>
      <c r="LLE30" s="204"/>
      <c r="LLF30" s="204"/>
      <c r="LLG30" s="204"/>
      <c r="LLH30" s="204"/>
      <c r="LLI30" s="204"/>
      <c r="LLJ30" s="204"/>
      <c r="LLK30" s="204"/>
      <c r="LLL30" s="204"/>
      <c r="LLM30" s="204"/>
      <c r="LLN30" s="204"/>
      <c r="LLO30" s="204"/>
      <c r="LLP30" s="204"/>
      <c r="LLQ30" s="204"/>
      <c r="LLR30" s="204"/>
      <c r="LLS30" s="204"/>
      <c r="LLT30" s="204"/>
      <c r="LLU30" s="204"/>
      <c r="LLV30" s="204"/>
      <c r="LLW30" s="204"/>
      <c r="LLX30" s="204"/>
      <c r="LLY30" s="204"/>
      <c r="LLZ30" s="204"/>
      <c r="LMA30" s="204"/>
      <c r="LMB30" s="204"/>
      <c r="LMC30" s="204"/>
      <c r="LMD30" s="204"/>
      <c r="LME30" s="204"/>
      <c r="LMF30" s="204"/>
      <c r="LMG30" s="204"/>
      <c r="LMH30" s="204"/>
      <c r="LMI30" s="204"/>
      <c r="LMJ30" s="204"/>
      <c r="LMK30" s="204"/>
      <c r="LML30" s="204"/>
      <c r="LMM30" s="204"/>
      <c r="LMN30" s="204"/>
      <c r="LMO30" s="204"/>
      <c r="LMP30" s="204"/>
      <c r="LMQ30" s="204"/>
      <c r="LMR30" s="204"/>
      <c r="LMS30" s="204"/>
      <c r="LMT30" s="204"/>
      <c r="LMU30" s="204"/>
      <c r="LMV30" s="204"/>
      <c r="LMW30" s="204"/>
      <c r="LMX30" s="204"/>
      <c r="LMY30" s="204"/>
      <c r="LMZ30" s="204"/>
      <c r="LNA30" s="204"/>
      <c r="LNB30" s="204"/>
      <c r="LNC30" s="204"/>
      <c r="LND30" s="204"/>
      <c r="LNE30" s="204"/>
      <c r="LNF30" s="204"/>
      <c r="LNG30" s="204"/>
      <c r="LNH30" s="204"/>
      <c r="LNI30" s="204"/>
      <c r="LNJ30" s="204"/>
      <c r="LNK30" s="204"/>
      <c r="LNL30" s="204"/>
      <c r="LNM30" s="204"/>
      <c r="LNN30" s="204"/>
      <c r="LNO30" s="204"/>
      <c r="LNP30" s="204"/>
      <c r="LNQ30" s="204"/>
      <c r="LNR30" s="204"/>
      <c r="LNS30" s="204"/>
      <c r="LNT30" s="204"/>
      <c r="LNU30" s="204"/>
      <c r="LNV30" s="204"/>
      <c r="LNW30" s="204"/>
      <c r="LNX30" s="204"/>
      <c r="LNY30" s="204"/>
      <c r="LNZ30" s="204"/>
      <c r="LOA30" s="204"/>
      <c r="LOB30" s="204"/>
      <c r="LOC30" s="204"/>
      <c r="LOD30" s="204"/>
      <c r="LOE30" s="204"/>
      <c r="LOF30" s="204"/>
      <c r="LOG30" s="204"/>
      <c r="LOH30" s="204"/>
      <c r="LOI30" s="204"/>
      <c r="LOJ30" s="204"/>
      <c r="LOK30" s="204"/>
      <c r="LOL30" s="204"/>
      <c r="LOM30" s="204"/>
      <c r="LON30" s="204"/>
      <c r="LOO30" s="204"/>
      <c r="LOP30" s="204"/>
      <c r="LOQ30" s="204"/>
      <c r="LOR30" s="204"/>
      <c r="LOS30" s="204"/>
      <c r="LOT30" s="204"/>
      <c r="LOU30" s="204"/>
      <c r="LOV30" s="204"/>
      <c r="LOW30" s="204"/>
      <c r="LOX30" s="204"/>
      <c r="LOY30" s="204"/>
      <c r="LOZ30" s="204"/>
      <c r="LPA30" s="204"/>
      <c r="LPB30" s="204"/>
      <c r="LPC30" s="204"/>
      <c r="LPD30" s="204"/>
      <c r="LPE30" s="204"/>
      <c r="LPF30" s="204"/>
      <c r="LPG30" s="204"/>
      <c r="LPH30" s="204"/>
      <c r="LPI30" s="204"/>
      <c r="LPJ30" s="204"/>
      <c r="LPK30" s="204"/>
      <c r="LPL30" s="204"/>
      <c r="LPM30" s="204"/>
      <c r="LPN30" s="204"/>
      <c r="LPO30" s="204"/>
      <c r="LPP30" s="204"/>
      <c r="LPQ30" s="204"/>
      <c r="LPR30" s="204"/>
      <c r="LPS30" s="204"/>
      <c r="LPT30" s="204"/>
      <c r="LPU30" s="204"/>
      <c r="LPV30" s="204"/>
      <c r="LPW30" s="204"/>
      <c r="LPX30" s="204"/>
      <c r="LPY30" s="204"/>
      <c r="LPZ30" s="204"/>
      <c r="LQA30" s="204"/>
      <c r="LQB30" s="204"/>
      <c r="LQC30" s="204"/>
      <c r="LQD30" s="204"/>
      <c r="LQE30" s="204"/>
      <c r="LQF30" s="204"/>
      <c r="LQG30" s="204"/>
      <c r="LQH30" s="204"/>
      <c r="LQI30" s="204"/>
      <c r="LQJ30" s="204"/>
      <c r="LQK30" s="204"/>
      <c r="LQL30" s="204"/>
      <c r="LQM30" s="204"/>
      <c r="LQN30" s="204"/>
      <c r="LQO30" s="204"/>
      <c r="LQP30" s="204"/>
      <c r="LQQ30" s="204"/>
      <c r="LQR30" s="204"/>
      <c r="LQS30" s="204"/>
      <c r="LQT30" s="204"/>
      <c r="LQU30" s="204"/>
      <c r="LQV30" s="204"/>
      <c r="LQW30" s="204"/>
      <c r="LQX30" s="204"/>
      <c r="LQY30" s="204"/>
      <c r="LQZ30" s="204"/>
      <c r="LRA30" s="204"/>
      <c r="LRB30" s="204"/>
      <c r="LRC30" s="204"/>
      <c r="LRD30" s="204"/>
      <c r="LRE30" s="204"/>
      <c r="LRF30" s="204"/>
      <c r="LRG30" s="204"/>
      <c r="LRH30" s="204"/>
      <c r="LRI30" s="204"/>
      <c r="LRJ30" s="204"/>
      <c r="LRK30" s="204"/>
      <c r="LRL30" s="204"/>
      <c r="LRM30" s="204"/>
      <c r="LRN30" s="204"/>
      <c r="LRO30" s="204"/>
      <c r="LRP30" s="204"/>
      <c r="LRQ30" s="204"/>
      <c r="LRR30" s="204"/>
      <c r="LRS30" s="204"/>
      <c r="LRT30" s="204"/>
      <c r="LRU30" s="204"/>
      <c r="LRV30" s="204"/>
      <c r="LRW30" s="204"/>
      <c r="LRX30" s="204"/>
      <c r="LRY30" s="204"/>
      <c r="LRZ30" s="204"/>
      <c r="LSA30" s="204"/>
      <c r="LSB30" s="204"/>
      <c r="LSC30" s="204"/>
      <c r="LSD30" s="204"/>
      <c r="LSE30" s="204"/>
      <c r="LSF30" s="204"/>
      <c r="LSG30" s="204"/>
      <c r="LSH30" s="204"/>
      <c r="LSI30" s="204"/>
      <c r="LSJ30" s="204"/>
      <c r="LSK30" s="204"/>
      <c r="LSL30" s="204"/>
      <c r="LSM30" s="204"/>
      <c r="LSN30" s="204"/>
      <c r="LSO30" s="204"/>
      <c r="LSP30" s="204"/>
      <c r="LSQ30" s="204"/>
      <c r="LSR30" s="204"/>
      <c r="LSS30" s="204"/>
      <c r="LST30" s="204"/>
      <c r="LSU30" s="204"/>
      <c r="LSV30" s="204"/>
      <c r="LSW30" s="204"/>
      <c r="LSX30" s="204"/>
      <c r="LSY30" s="204"/>
      <c r="LSZ30" s="204"/>
      <c r="LTA30" s="204"/>
      <c r="LTB30" s="204"/>
      <c r="LTC30" s="204"/>
      <c r="LTD30" s="204"/>
      <c r="LTE30" s="204"/>
      <c r="LTF30" s="204"/>
      <c r="LTG30" s="204"/>
      <c r="LTH30" s="204"/>
      <c r="LTI30" s="204"/>
      <c r="LTJ30" s="204"/>
      <c r="LTK30" s="204"/>
      <c r="LTL30" s="204"/>
      <c r="LTM30" s="204"/>
      <c r="LTN30" s="204"/>
      <c r="LTO30" s="204"/>
      <c r="LTP30" s="204"/>
      <c r="LTQ30" s="204"/>
      <c r="LTR30" s="204"/>
      <c r="LTS30" s="204"/>
      <c r="LTT30" s="204"/>
      <c r="LTU30" s="204"/>
      <c r="LTV30" s="204"/>
      <c r="LTW30" s="204"/>
      <c r="LTX30" s="204"/>
      <c r="LTY30" s="204"/>
      <c r="LTZ30" s="204"/>
      <c r="LUA30" s="204"/>
      <c r="LUB30" s="204"/>
      <c r="LUC30" s="204"/>
      <c r="LUD30" s="204"/>
      <c r="LUE30" s="204"/>
      <c r="LUF30" s="204"/>
      <c r="LUG30" s="204"/>
      <c r="LUH30" s="204"/>
      <c r="LUI30" s="204"/>
      <c r="LUJ30" s="204"/>
      <c r="LUK30" s="204"/>
      <c r="LUL30" s="204"/>
      <c r="LUM30" s="204"/>
      <c r="LUN30" s="204"/>
      <c r="LUO30" s="204"/>
      <c r="LUP30" s="204"/>
      <c r="LUQ30" s="204"/>
      <c r="LUR30" s="204"/>
      <c r="LUS30" s="204"/>
      <c r="LUT30" s="204"/>
      <c r="LUU30" s="204"/>
      <c r="LUV30" s="204"/>
      <c r="LUW30" s="204"/>
      <c r="LUX30" s="204"/>
      <c r="LUY30" s="204"/>
      <c r="LUZ30" s="204"/>
      <c r="LVA30" s="204"/>
      <c r="LVB30" s="204"/>
      <c r="LVC30" s="204"/>
      <c r="LVD30" s="204"/>
      <c r="LVE30" s="204"/>
      <c r="LVF30" s="204"/>
      <c r="LVG30" s="204"/>
      <c r="LVH30" s="204"/>
      <c r="LVI30" s="204"/>
      <c r="LVJ30" s="204"/>
      <c r="LVK30" s="204"/>
      <c r="LVL30" s="204"/>
      <c r="LVM30" s="204"/>
      <c r="LVN30" s="204"/>
      <c r="LVO30" s="204"/>
      <c r="LVP30" s="204"/>
      <c r="LVQ30" s="204"/>
      <c r="LVR30" s="204"/>
      <c r="LVS30" s="204"/>
      <c r="LVT30" s="204"/>
      <c r="LVU30" s="204"/>
      <c r="LVV30" s="204"/>
      <c r="LVW30" s="204"/>
      <c r="LVX30" s="204"/>
      <c r="LVY30" s="204"/>
      <c r="LVZ30" s="204"/>
      <c r="LWA30" s="204"/>
      <c r="LWB30" s="204"/>
      <c r="LWC30" s="204"/>
      <c r="LWD30" s="204"/>
      <c r="LWE30" s="204"/>
      <c r="LWF30" s="204"/>
      <c r="LWG30" s="204"/>
      <c r="LWH30" s="204"/>
      <c r="LWI30" s="204"/>
      <c r="LWJ30" s="204"/>
      <c r="LWK30" s="204"/>
      <c r="LWL30" s="204"/>
      <c r="LWM30" s="204"/>
      <c r="LWN30" s="204"/>
      <c r="LWO30" s="204"/>
      <c r="LWP30" s="204"/>
      <c r="LWQ30" s="204"/>
      <c r="LWR30" s="204"/>
      <c r="LWS30" s="204"/>
      <c r="LWT30" s="204"/>
      <c r="LWU30" s="204"/>
      <c r="LWV30" s="204"/>
      <c r="LWW30" s="204"/>
      <c r="LWX30" s="204"/>
      <c r="LWY30" s="204"/>
      <c r="LWZ30" s="204"/>
      <c r="LXA30" s="204"/>
      <c r="LXB30" s="204"/>
      <c r="LXC30" s="204"/>
      <c r="LXD30" s="204"/>
      <c r="LXE30" s="204"/>
      <c r="LXF30" s="204"/>
      <c r="LXG30" s="204"/>
      <c r="LXH30" s="204"/>
      <c r="LXI30" s="204"/>
      <c r="LXJ30" s="204"/>
      <c r="LXK30" s="204"/>
      <c r="LXL30" s="204"/>
      <c r="LXM30" s="204"/>
      <c r="LXN30" s="204"/>
      <c r="LXO30" s="204"/>
      <c r="LXP30" s="204"/>
      <c r="LXQ30" s="204"/>
      <c r="LXR30" s="204"/>
      <c r="LXS30" s="204"/>
      <c r="LXT30" s="204"/>
      <c r="LXU30" s="204"/>
      <c r="LXV30" s="204"/>
      <c r="LXW30" s="204"/>
      <c r="LXX30" s="204"/>
      <c r="LXY30" s="204"/>
      <c r="LXZ30" s="204"/>
      <c r="LYA30" s="204"/>
      <c r="LYB30" s="204"/>
      <c r="LYC30" s="204"/>
      <c r="LYD30" s="204"/>
      <c r="LYE30" s="204"/>
      <c r="LYF30" s="204"/>
      <c r="LYG30" s="204"/>
      <c r="LYH30" s="204"/>
      <c r="LYI30" s="204"/>
      <c r="LYJ30" s="204"/>
      <c r="LYK30" s="204"/>
      <c r="LYL30" s="204"/>
      <c r="LYM30" s="204"/>
      <c r="LYN30" s="204"/>
      <c r="LYO30" s="204"/>
      <c r="LYP30" s="204"/>
      <c r="LYQ30" s="204"/>
      <c r="LYR30" s="204"/>
      <c r="LYS30" s="204"/>
      <c r="LYT30" s="204"/>
      <c r="LYU30" s="204"/>
      <c r="LYV30" s="204"/>
      <c r="LYW30" s="204"/>
      <c r="LYX30" s="204"/>
      <c r="LYY30" s="204"/>
      <c r="LYZ30" s="204"/>
      <c r="LZA30" s="204"/>
      <c r="LZB30" s="204"/>
      <c r="LZC30" s="204"/>
      <c r="LZD30" s="204"/>
      <c r="LZE30" s="204"/>
      <c r="LZF30" s="204"/>
      <c r="LZG30" s="204"/>
      <c r="LZH30" s="204"/>
      <c r="LZI30" s="204"/>
      <c r="LZJ30" s="204"/>
      <c r="LZK30" s="204"/>
      <c r="LZL30" s="204"/>
      <c r="LZM30" s="204"/>
      <c r="LZN30" s="204"/>
      <c r="LZO30" s="204"/>
      <c r="LZP30" s="204"/>
      <c r="LZQ30" s="204"/>
      <c r="LZR30" s="204"/>
      <c r="LZS30" s="204"/>
      <c r="LZT30" s="204"/>
      <c r="LZU30" s="204"/>
      <c r="LZV30" s="204"/>
      <c r="LZW30" s="204"/>
      <c r="LZX30" s="204"/>
      <c r="LZY30" s="204"/>
      <c r="LZZ30" s="204"/>
      <c r="MAA30" s="204"/>
      <c r="MAB30" s="204"/>
      <c r="MAC30" s="204"/>
      <c r="MAD30" s="204"/>
      <c r="MAE30" s="204"/>
      <c r="MAF30" s="204"/>
      <c r="MAG30" s="204"/>
      <c r="MAH30" s="204"/>
      <c r="MAI30" s="204"/>
      <c r="MAJ30" s="204"/>
      <c r="MAK30" s="204"/>
      <c r="MAL30" s="204"/>
      <c r="MAM30" s="204"/>
      <c r="MAN30" s="204"/>
      <c r="MAO30" s="204"/>
      <c r="MAP30" s="204"/>
      <c r="MAQ30" s="204"/>
      <c r="MAR30" s="204"/>
      <c r="MAS30" s="204"/>
      <c r="MAT30" s="204"/>
      <c r="MAU30" s="204"/>
      <c r="MAV30" s="204"/>
      <c r="MAW30" s="204"/>
      <c r="MAX30" s="204"/>
      <c r="MAY30" s="204"/>
      <c r="MAZ30" s="204"/>
      <c r="MBA30" s="204"/>
      <c r="MBB30" s="204"/>
      <c r="MBC30" s="204"/>
      <c r="MBD30" s="204"/>
      <c r="MBE30" s="204"/>
      <c r="MBF30" s="204"/>
      <c r="MBG30" s="204"/>
      <c r="MBH30" s="204"/>
      <c r="MBI30" s="204"/>
      <c r="MBJ30" s="204"/>
      <c r="MBK30" s="204"/>
      <c r="MBL30" s="204"/>
      <c r="MBM30" s="204"/>
      <c r="MBN30" s="204"/>
      <c r="MBO30" s="204"/>
      <c r="MBP30" s="204"/>
      <c r="MBQ30" s="204"/>
      <c r="MBR30" s="204"/>
      <c r="MBS30" s="204"/>
      <c r="MBT30" s="204"/>
      <c r="MBU30" s="204"/>
      <c r="MBV30" s="204"/>
      <c r="MBW30" s="204"/>
      <c r="MBX30" s="204"/>
      <c r="MBY30" s="204"/>
      <c r="MBZ30" s="204"/>
      <c r="MCA30" s="204"/>
      <c r="MCB30" s="204"/>
      <c r="MCC30" s="204"/>
      <c r="MCD30" s="204"/>
      <c r="MCE30" s="204"/>
      <c r="MCF30" s="204"/>
      <c r="MCG30" s="204"/>
      <c r="MCH30" s="204"/>
      <c r="MCI30" s="204"/>
      <c r="MCJ30" s="204"/>
      <c r="MCK30" s="204"/>
      <c r="MCL30" s="204"/>
      <c r="MCM30" s="204"/>
      <c r="MCN30" s="204"/>
      <c r="MCO30" s="204"/>
      <c r="MCP30" s="204"/>
      <c r="MCQ30" s="204"/>
      <c r="MCR30" s="204"/>
      <c r="MCS30" s="204"/>
      <c r="MCT30" s="204"/>
      <c r="MCU30" s="204"/>
      <c r="MCV30" s="204"/>
      <c r="MCW30" s="204"/>
      <c r="MCX30" s="204"/>
      <c r="MCY30" s="204"/>
      <c r="MCZ30" s="204"/>
      <c r="MDA30" s="204"/>
      <c r="MDB30" s="204"/>
      <c r="MDC30" s="204"/>
      <c r="MDD30" s="204"/>
      <c r="MDE30" s="204"/>
      <c r="MDF30" s="204"/>
      <c r="MDG30" s="204"/>
      <c r="MDH30" s="204"/>
      <c r="MDI30" s="204"/>
      <c r="MDJ30" s="204"/>
      <c r="MDK30" s="204"/>
      <c r="MDL30" s="204"/>
      <c r="MDM30" s="204"/>
      <c r="MDN30" s="204"/>
      <c r="MDO30" s="204"/>
      <c r="MDP30" s="204"/>
      <c r="MDQ30" s="204"/>
      <c r="MDR30" s="204"/>
      <c r="MDS30" s="204"/>
      <c r="MDT30" s="204"/>
      <c r="MDU30" s="204"/>
      <c r="MDV30" s="204"/>
      <c r="MDW30" s="204"/>
      <c r="MDX30" s="204"/>
      <c r="MDY30" s="204"/>
      <c r="MDZ30" s="204"/>
      <c r="MEA30" s="204"/>
      <c r="MEB30" s="204"/>
      <c r="MEC30" s="204"/>
      <c r="MED30" s="204"/>
      <c r="MEE30" s="204"/>
      <c r="MEF30" s="204"/>
      <c r="MEG30" s="204"/>
      <c r="MEH30" s="204"/>
      <c r="MEI30" s="204"/>
      <c r="MEJ30" s="204"/>
      <c r="MEK30" s="204"/>
      <c r="MEL30" s="204"/>
      <c r="MEM30" s="204"/>
      <c r="MEN30" s="204"/>
      <c r="MEO30" s="204"/>
      <c r="MEP30" s="204"/>
      <c r="MEQ30" s="204"/>
      <c r="MER30" s="204"/>
      <c r="MES30" s="204"/>
      <c r="MET30" s="204"/>
      <c r="MEU30" s="204"/>
      <c r="MEV30" s="204"/>
      <c r="MEW30" s="204"/>
      <c r="MEX30" s="204"/>
      <c r="MEY30" s="204"/>
      <c r="MEZ30" s="204"/>
      <c r="MFA30" s="204"/>
      <c r="MFB30" s="204"/>
      <c r="MFC30" s="204"/>
      <c r="MFD30" s="204"/>
      <c r="MFE30" s="204"/>
      <c r="MFF30" s="204"/>
      <c r="MFG30" s="204"/>
      <c r="MFH30" s="204"/>
      <c r="MFI30" s="204"/>
      <c r="MFJ30" s="204"/>
      <c r="MFK30" s="204"/>
      <c r="MFL30" s="204"/>
      <c r="MFM30" s="204"/>
      <c r="MFN30" s="204"/>
      <c r="MFO30" s="204"/>
      <c r="MFP30" s="204"/>
      <c r="MFQ30" s="204"/>
      <c r="MFR30" s="204"/>
      <c r="MFS30" s="204"/>
      <c r="MFT30" s="204"/>
      <c r="MFU30" s="204"/>
      <c r="MFV30" s="204"/>
      <c r="MFW30" s="204"/>
      <c r="MFX30" s="204"/>
      <c r="MFY30" s="204"/>
      <c r="MFZ30" s="204"/>
      <c r="MGA30" s="204"/>
      <c r="MGB30" s="204"/>
      <c r="MGC30" s="204"/>
      <c r="MGD30" s="204"/>
      <c r="MGE30" s="204"/>
      <c r="MGF30" s="204"/>
      <c r="MGG30" s="204"/>
      <c r="MGH30" s="204"/>
      <c r="MGI30" s="204"/>
      <c r="MGJ30" s="204"/>
      <c r="MGK30" s="204"/>
      <c r="MGL30" s="204"/>
      <c r="MGM30" s="204"/>
      <c r="MGN30" s="204"/>
      <c r="MGO30" s="204"/>
      <c r="MGP30" s="204"/>
      <c r="MGQ30" s="204"/>
      <c r="MGR30" s="204"/>
      <c r="MGS30" s="204"/>
      <c r="MGT30" s="204"/>
      <c r="MGU30" s="204"/>
      <c r="MGV30" s="204"/>
      <c r="MGW30" s="204"/>
      <c r="MGX30" s="204"/>
      <c r="MGY30" s="204"/>
      <c r="MGZ30" s="204"/>
      <c r="MHA30" s="204"/>
      <c r="MHB30" s="204"/>
      <c r="MHC30" s="204"/>
      <c r="MHD30" s="204"/>
      <c r="MHE30" s="204"/>
      <c r="MHF30" s="204"/>
      <c r="MHG30" s="204"/>
      <c r="MHH30" s="204"/>
      <c r="MHI30" s="204"/>
      <c r="MHJ30" s="204"/>
      <c r="MHK30" s="204"/>
      <c r="MHL30" s="204"/>
      <c r="MHM30" s="204"/>
      <c r="MHN30" s="204"/>
      <c r="MHO30" s="204"/>
      <c r="MHP30" s="204"/>
      <c r="MHQ30" s="204"/>
      <c r="MHR30" s="204"/>
      <c r="MHS30" s="204"/>
      <c r="MHT30" s="204"/>
      <c r="MHU30" s="204"/>
      <c r="MHV30" s="204"/>
      <c r="MHW30" s="204"/>
      <c r="MHX30" s="204"/>
      <c r="MHY30" s="204"/>
      <c r="MHZ30" s="204"/>
      <c r="MIA30" s="204"/>
      <c r="MIB30" s="204"/>
      <c r="MIC30" s="204"/>
      <c r="MID30" s="204"/>
      <c r="MIE30" s="204"/>
      <c r="MIF30" s="204"/>
      <c r="MIG30" s="204"/>
      <c r="MIH30" s="204"/>
      <c r="MII30" s="204"/>
      <c r="MIJ30" s="204"/>
      <c r="MIK30" s="204"/>
      <c r="MIL30" s="204"/>
      <c r="MIM30" s="204"/>
      <c r="MIN30" s="204"/>
      <c r="MIO30" s="204"/>
      <c r="MIP30" s="204"/>
      <c r="MIQ30" s="204"/>
      <c r="MIR30" s="204"/>
      <c r="MIS30" s="204"/>
      <c r="MIT30" s="204"/>
      <c r="MIU30" s="204"/>
      <c r="MIV30" s="204"/>
      <c r="MIW30" s="204"/>
      <c r="MIX30" s="204"/>
      <c r="MIY30" s="204"/>
      <c r="MIZ30" s="204"/>
      <c r="MJA30" s="204"/>
      <c r="MJB30" s="204"/>
      <c r="MJC30" s="204"/>
      <c r="MJD30" s="204"/>
      <c r="MJE30" s="204"/>
      <c r="MJF30" s="204"/>
      <c r="MJG30" s="204"/>
      <c r="MJH30" s="204"/>
      <c r="MJI30" s="204"/>
      <c r="MJJ30" s="204"/>
      <c r="MJK30" s="204"/>
      <c r="MJL30" s="204"/>
      <c r="MJM30" s="204"/>
      <c r="MJN30" s="204"/>
      <c r="MJO30" s="204"/>
      <c r="MJP30" s="204"/>
      <c r="MJQ30" s="204"/>
      <c r="MJR30" s="204"/>
      <c r="MJS30" s="204"/>
      <c r="MJT30" s="204"/>
      <c r="MJU30" s="204"/>
      <c r="MJV30" s="204"/>
      <c r="MJW30" s="204"/>
      <c r="MJX30" s="204"/>
      <c r="MJY30" s="204"/>
      <c r="MJZ30" s="204"/>
      <c r="MKA30" s="204"/>
      <c r="MKB30" s="204"/>
      <c r="MKC30" s="204"/>
      <c r="MKD30" s="204"/>
      <c r="MKE30" s="204"/>
      <c r="MKF30" s="204"/>
      <c r="MKG30" s="204"/>
      <c r="MKH30" s="204"/>
      <c r="MKI30" s="204"/>
      <c r="MKJ30" s="204"/>
      <c r="MKK30" s="204"/>
      <c r="MKL30" s="204"/>
      <c r="MKM30" s="204"/>
      <c r="MKN30" s="204"/>
      <c r="MKO30" s="204"/>
      <c r="MKP30" s="204"/>
      <c r="MKQ30" s="204"/>
      <c r="MKR30" s="204"/>
      <c r="MKS30" s="204"/>
      <c r="MKT30" s="204"/>
      <c r="MKU30" s="204"/>
      <c r="MKV30" s="204"/>
      <c r="MKW30" s="204"/>
      <c r="MKX30" s="204"/>
      <c r="MKY30" s="204"/>
      <c r="MKZ30" s="204"/>
      <c r="MLA30" s="204"/>
      <c r="MLB30" s="204"/>
      <c r="MLC30" s="204"/>
      <c r="MLD30" s="204"/>
      <c r="MLE30" s="204"/>
      <c r="MLF30" s="204"/>
      <c r="MLG30" s="204"/>
      <c r="MLH30" s="204"/>
      <c r="MLI30" s="204"/>
      <c r="MLJ30" s="204"/>
      <c r="MLK30" s="204"/>
      <c r="MLL30" s="204"/>
      <c r="MLM30" s="204"/>
      <c r="MLN30" s="204"/>
      <c r="MLO30" s="204"/>
      <c r="MLP30" s="204"/>
      <c r="MLQ30" s="204"/>
      <c r="MLR30" s="204"/>
      <c r="MLS30" s="204"/>
      <c r="MLT30" s="204"/>
      <c r="MLU30" s="204"/>
      <c r="MLV30" s="204"/>
      <c r="MLW30" s="204"/>
      <c r="MLX30" s="204"/>
      <c r="MLY30" s="204"/>
      <c r="MLZ30" s="204"/>
      <c r="MMA30" s="204"/>
      <c r="MMB30" s="204"/>
      <c r="MMC30" s="204"/>
      <c r="MMD30" s="204"/>
      <c r="MME30" s="204"/>
      <c r="MMF30" s="204"/>
      <c r="MMG30" s="204"/>
      <c r="MMH30" s="204"/>
      <c r="MMI30" s="204"/>
      <c r="MMJ30" s="204"/>
      <c r="MMK30" s="204"/>
      <c r="MML30" s="204"/>
      <c r="MMM30" s="204"/>
      <c r="MMN30" s="204"/>
      <c r="MMO30" s="204"/>
      <c r="MMP30" s="204"/>
      <c r="MMQ30" s="204"/>
      <c r="MMR30" s="204"/>
      <c r="MMS30" s="204"/>
      <c r="MMT30" s="204"/>
      <c r="MMU30" s="204"/>
      <c r="MMV30" s="204"/>
      <c r="MMW30" s="204"/>
      <c r="MMX30" s="204"/>
      <c r="MMY30" s="204"/>
      <c r="MMZ30" s="204"/>
      <c r="MNA30" s="204"/>
      <c r="MNB30" s="204"/>
      <c r="MNC30" s="204"/>
      <c r="MND30" s="204"/>
      <c r="MNE30" s="204"/>
      <c r="MNF30" s="204"/>
      <c r="MNG30" s="204"/>
      <c r="MNH30" s="204"/>
      <c r="MNI30" s="204"/>
      <c r="MNJ30" s="204"/>
      <c r="MNK30" s="204"/>
      <c r="MNL30" s="204"/>
      <c r="MNM30" s="204"/>
      <c r="MNN30" s="204"/>
      <c r="MNO30" s="204"/>
      <c r="MNP30" s="204"/>
      <c r="MNQ30" s="204"/>
      <c r="MNR30" s="204"/>
      <c r="MNS30" s="204"/>
      <c r="MNT30" s="204"/>
      <c r="MNU30" s="204"/>
      <c r="MNV30" s="204"/>
      <c r="MNW30" s="204"/>
      <c r="MNX30" s="204"/>
      <c r="MNY30" s="204"/>
      <c r="MNZ30" s="204"/>
      <c r="MOA30" s="204"/>
      <c r="MOB30" s="204"/>
      <c r="MOC30" s="204"/>
      <c r="MOD30" s="204"/>
      <c r="MOE30" s="204"/>
      <c r="MOF30" s="204"/>
      <c r="MOG30" s="204"/>
      <c r="MOH30" s="204"/>
      <c r="MOI30" s="204"/>
      <c r="MOJ30" s="204"/>
      <c r="MOK30" s="204"/>
      <c r="MOL30" s="204"/>
      <c r="MOM30" s="204"/>
      <c r="MON30" s="204"/>
      <c r="MOO30" s="204"/>
      <c r="MOP30" s="204"/>
      <c r="MOQ30" s="204"/>
      <c r="MOR30" s="204"/>
      <c r="MOS30" s="204"/>
      <c r="MOT30" s="204"/>
      <c r="MOU30" s="204"/>
      <c r="MOV30" s="204"/>
      <c r="MOW30" s="204"/>
      <c r="MOX30" s="204"/>
      <c r="MOY30" s="204"/>
      <c r="MOZ30" s="204"/>
      <c r="MPA30" s="204"/>
      <c r="MPB30" s="204"/>
      <c r="MPC30" s="204"/>
      <c r="MPD30" s="204"/>
      <c r="MPE30" s="204"/>
      <c r="MPF30" s="204"/>
      <c r="MPG30" s="204"/>
      <c r="MPH30" s="204"/>
      <c r="MPI30" s="204"/>
      <c r="MPJ30" s="204"/>
      <c r="MPK30" s="204"/>
      <c r="MPL30" s="204"/>
      <c r="MPM30" s="204"/>
      <c r="MPN30" s="204"/>
      <c r="MPO30" s="204"/>
      <c r="MPP30" s="204"/>
      <c r="MPQ30" s="204"/>
      <c r="MPR30" s="204"/>
      <c r="MPS30" s="204"/>
      <c r="MPT30" s="204"/>
      <c r="MPU30" s="204"/>
      <c r="MPV30" s="204"/>
      <c r="MPW30" s="204"/>
      <c r="MPX30" s="204"/>
      <c r="MPY30" s="204"/>
      <c r="MPZ30" s="204"/>
      <c r="MQA30" s="204"/>
      <c r="MQB30" s="204"/>
      <c r="MQC30" s="204"/>
      <c r="MQD30" s="204"/>
      <c r="MQE30" s="204"/>
      <c r="MQF30" s="204"/>
      <c r="MQG30" s="204"/>
      <c r="MQH30" s="204"/>
      <c r="MQI30" s="204"/>
      <c r="MQJ30" s="204"/>
      <c r="MQK30" s="204"/>
      <c r="MQL30" s="204"/>
      <c r="MQM30" s="204"/>
      <c r="MQN30" s="204"/>
      <c r="MQO30" s="204"/>
      <c r="MQP30" s="204"/>
      <c r="MQQ30" s="204"/>
      <c r="MQR30" s="204"/>
      <c r="MQS30" s="204"/>
      <c r="MQT30" s="204"/>
      <c r="MQU30" s="204"/>
      <c r="MQV30" s="204"/>
      <c r="MQW30" s="204"/>
      <c r="MQX30" s="204"/>
      <c r="MQY30" s="204"/>
      <c r="MQZ30" s="204"/>
      <c r="MRA30" s="204"/>
      <c r="MRB30" s="204"/>
      <c r="MRC30" s="204"/>
      <c r="MRD30" s="204"/>
      <c r="MRE30" s="204"/>
      <c r="MRF30" s="204"/>
      <c r="MRG30" s="204"/>
      <c r="MRH30" s="204"/>
      <c r="MRI30" s="204"/>
      <c r="MRJ30" s="204"/>
      <c r="MRK30" s="204"/>
      <c r="MRL30" s="204"/>
      <c r="MRM30" s="204"/>
      <c r="MRN30" s="204"/>
      <c r="MRO30" s="204"/>
      <c r="MRP30" s="204"/>
      <c r="MRQ30" s="204"/>
      <c r="MRR30" s="204"/>
      <c r="MRS30" s="204"/>
      <c r="MRT30" s="204"/>
      <c r="MRU30" s="204"/>
      <c r="MRV30" s="204"/>
      <c r="MRW30" s="204"/>
      <c r="MRX30" s="204"/>
      <c r="MRY30" s="204"/>
      <c r="MRZ30" s="204"/>
      <c r="MSA30" s="204"/>
      <c r="MSB30" s="204"/>
      <c r="MSC30" s="204"/>
      <c r="MSD30" s="204"/>
      <c r="MSE30" s="204"/>
      <c r="MSF30" s="204"/>
      <c r="MSG30" s="204"/>
      <c r="MSH30" s="204"/>
      <c r="MSI30" s="204"/>
      <c r="MSJ30" s="204"/>
      <c r="MSK30" s="204"/>
      <c r="MSL30" s="204"/>
      <c r="MSM30" s="204"/>
      <c r="MSN30" s="204"/>
      <c r="MSO30" s="204"/>
      <c r="MSP30" s="204"/>
      <c r="MSQ30" s="204"/>
      <c r="MSR30" s="204"/>
      <c r="MSS30" s="204"/>
      <c r="MST30" s="204"/>
      <c r="MSU30" s="204"/>
      <c r="MSV30" s="204"/>
      <c r="MSW30" s="204"/>
      <c r="MSX30" s="204"/>
      <c r="MSY30" s="204"/>
      <c r="MSZ30" s="204"/>
      <c r="MTA30" s="204"/>
      <c r="MTB30" s="204"/>
      <c r="MTC30" s="204"/>
      <c r="MTD30" s="204"/>
      <c r="MTE30" s="204"/>
      <c r="MTF30" s="204"/>
      <c r="MTG30" s="204"/>
      <c r="MTH30" s="204"/>
      <c r="MTI30" s="204"/>
      <c r="MTJ30" s="204"/>
      <c r="MTK30" s="204"/>
      <c r="MTL30" s="204"/>
      <c r="MTM30" s="204"/>
      <c r="MTN30" s="204"/>
      <c r="MTO30" s="204"/>
      <c r="MTP30" s="204"/>
      <c r="MTQ30" s="204"/>
      <c r="MTR30" s="204"/>
      <c r="MTS30" s="204"/>
      <c r="MTT30" s="204"/>
      <c r="MTU30" s="204"/>
      <c r="MTV30" s="204"/>
      <c r="MTW30" s="204"/>
      <c r="MTX30" s="204"/>
      <c r="MTY30" s="204"/>
      <c r="MTZ30" s="204"/>
      <c r="MUA30" s="204"/>
      <c r="MUB30" s="204"/>
      <c r="MUC30" s="204"/>
      <c r="MUD30" s="204"/>
      <c r="MUE30" s="204"/>
      <c r="MUF30" s="204"/>
      <c r="MUG30" s="204"/>
      <c r="MUH30" s="204"/>
      <c r="MUI30" s="204"/>
      <c r="MUJ30" s="204"/>
      <c r="MUK30" s="204"/>
      <c r="MUL30" s="204"/>
      <c r="MUM30" s="204"/>
      <c r="MUN30" s="204"/>
      <c r="MUO30" s="204"/>
      <c r="MUP30" s="204"/>
      <c r="MUQ30" s="204"/>
      <c r="MUR30" s="204"/>
      <c r="MUS30" s="204"/>
      <c r="MUT30" s="204"/>
      <c r="MUU30" s="204"/>
      <c r="MUV30" s="204"/>
      <c r="MUW30" s="204"/>
      <c r="MUX30" s="204"/>
      <c r="MUY30" s="204"/>
      <c r="MUZ30" s="204"/>
      <c r="MVA30" s="204"/>
      <c r="MVB30" s="204"/>
      <c r="MVC30" s="204"/>
      <c r="MVD30" s="204"/>
      <c r="MVE30" s="204"/>
      <c r="MVF30" s="204"/>
      <c r="MVG30" s="204"/>
      <c r="MVH30" s="204"/>
      <c r="MVI30" s="204"/>
      <c r="MVJ30" s="204"/>
      <c r="MVK30" s="204"/>
      <c r="MVL30" s="204"/>
      <c r="MVM30" s="204"/>
      <c r="MVN30" s="204"/>
      <c r="MVO30" s="204"/>
      <c r="MVP30" s="204"/>
      <c r="MVQ30" s="204"/>
      <c r="MVR30" s="204"/>
      <c r="MVS30" s="204"/>
      <c r="MVT30" s="204"/>
      <c r="MVU30" s="204"/>
      <c r="MVV30" s="204"/>
      <c r="MVW30" s="204"/>
      <c r="MVX30" s="204"/>
      <c r="MVY30" s="204"/>
      <c r="MVZ30" s="204"/>
      <c r="MWA30" s="204"/>
      <c r="MWB30" s="204"/>
      <c r="MWC30" s="204"/>
      <c r="MWD30" s="204"/>
      <c r="MWE30" s="204"/>
      <c r="MWF30" s="204"/>
      <c r="MWG30" s="204"/>
      <c r="MWH30" s="204"/>
      <c r="MWI30" s="204"/>
      <c r="MWJ30" s="204"/>
      <c r="MWK30" s="204"/>
      <c r="MWL30" s="204"/>
      <c r="MWM30" s="204"/>
      <c r="MWN30" s="204"/>
      <c r="MWO30" s="204"/>
      <c r="MWP30" s="204"/>
      <c r="MWQ30" s="204"/>
      <c r="MWR30" s="204"/>
      <c r="MWS30" s="204"/>
      <c r="MWT30" s="204"/>
      <c r="MWU30" s="204"/>
      <c r="MWV30" s="204"/>
      <c r="MWW30" s="204"/>
      <c r="MWX30" s="204"/>
      <c r="MWY30" s="204"/>
      <c r="MWZ30" s="204"/>
      <c r="MXA30" s="204"/>
      <c r="MXB30" s="204"/>
      <c r="MXC30" s="204"/>
      <c r="MXD30" s="204"/>
      <c r="MXE30" s="204"/>
      <c r="MXF30" s="204"/>
      <c r="MXG30" s="204"/>
      <c r="MXH30" s="204"/>
      <c r="MXI30" s="204"/>
      <c r="MXJ30" s="204"/>
      <c r="MXK30" s="204"/>
      <c r="MXL30" s="204"/>
      <c r="MXM30" s="204"/>
      <c r="MXN30" s="204"/>
      <c r="MXO30" s="204"/>
      <c r="MXP30" s="204"/>
      <c r="MXQ30" s="204"/>
      <c r="MXR30" s="204"/>
      <c r="MXS30" s="204"/>
      <c r="MXT30" s="204"/>
      <c r="MXU30" s="204"/>
      <c r="MXV30" s="204"/>
      <c r="MXW30" s="204"/>
      <c r="MXX30" s="204"/>
      <c r="MXY30" s="204"/>
      <c r="MXZ30" s="204"/>
      <c r="MYA30" s="204"/>
      <c r="MYB30" s="204"/>
      <c r="MYC30" s="204"/>
      <c r="MYD30" s="204"/>
      <c r="MYE30" s="204"/>
      <c r="MYF30" s="204"/>
      <c r="MYG30" s="204"/>
      <c r="MYH30" s="204"/>
      <c r="MYI30" s="204"/>
      <c r="MYJ30" s="204"/>
      <c r="MYK30" s="204"/>
      <c r="MYL30" s="204"/>
      <c r="MYM30" s="204"/>
      <c r="MYN30" s="204"/>
      <c r="MYO30" s="204"/>
      <c r="MYP30" s="204"/>
      <c r="MYQ30" s="204"/>
      <c r="MYR30" s="204"/>
      <c r="MYS30" s="204"/>
      <c r="MYT30" s="204"/>
      <c r="MYU30" s="204"/>
      <c r="MYV30" s="204"/>
      <c r="MYW30" s="204"/>
      <c r="MYX30" s="204"/>
      <c r="MYY30" s="204"/>
      <c r="MYZ30" s="204"/>
      <c r="MZA30" s="204"/>
      <c r="MZB30" s="204"/>
      <c r="MZC30" s="204"/>
      <c r="MZD30" s="204"/>
      <c r="MZE30" s="204"/>
      <c r="MZF30" s="204"/>
      <c r="MZG30" s="204"/>
      <c r="MZH30" s="204"/>
      <c r="MZI30" s="204"/>
      <c r="MZJ30" s="204"/>
      <c r="MZK30" s="204"/>
      <c r="MZL30" s="204"/>
      <c r="MZM30" s="204"/>
      <c r="MZN30" s="204"/>
      <c r="MZO30" s="204"/>
      <c r="MZP30" s="204"/>
      <c r="MZQ30" s="204"/>
      <c r="MZR30" s="204"/>
      <c r="MZS30" s="204"/>
      <c r="MZT30" s="204"/>
      <c r="MZU30" s="204"/>
      <c r="MZV30" s="204"/>
      <c r="MZW30" s="204"/>
      <c r="MZX30" s="204"/>
      <c r="MZY30" s="204"/>
      <c r="MZZ30" s="204"/>
      <c r="NAA30" s="204"/>
      <c r="NAB30" s="204"/>
      <c r="NAC30" s="204"/>
      <c r="NAD30" s="204"/>
      <c r="NAE30" s="204"/>
      <c r="NAF30" s="204"/>
      <c r="NAG30" s="204"/>
      <c r="NAH30" s="204"/>
      <c r="NAI30" s="204"/>
      <c r="NAJ30" s="204"/>
      <c r="NAK30" s="204"/>
      <c r="NAL30" s="204"/>
      <c r="NAM30" s="204"/>
      <c r="NAN30" s="204"/>
      <c r="NAO30" s="204"/>
      <c r="NAP30" s="204"/>
      <c r="NAQ30" s="204"/>
      <c r="NAR30" s="204"/>
      <c r="NAS30" s="204"/>
      <c r="NAT30" s="204"/>
      <c r="NAU30" s="204"/>
      <c r="NAV30" s="204"/>
      <c r="NAW30" s="204"/>
      <c r="NAX30" s="204"/>
      <c r="NAY30" s="204"/>
      <c r="NAZ30" s="204"/>
      <c r="NBA30" s="204"/>
      <c r="NBB30" s="204"/>
      <c r="NBC30" s="204"/>
      <c r="NBD30" s="204"/>
      <c r="NBE30" s="204"/>
      <c r="NBF30" s="204"/>
      <c r="NBG30" s="204"/>
      <c r="NBH30" s="204"/>
      <c r="NBI30" s="204"/>
      <c r="NBJ30" s="204"/>
      <c r="NBK30" s="204"/>
      <c r="NBL30" s="204"/>
      <c r="NBM30" s="204"/>
      <c r="NBN30" s="204"/>
      <c r="NBO30" s="204"/>
      <c r="NBP30" s="204"/>
      <c r="NBQ30" s="204"/>
      <c r="NBR30" s="204"/>
      <c r="NBS30" s="204"/>
      <c r="NBT30" s="204"/>
      <c r="NBU30" s="204"/>
      <c r="NBV30" s="204"/>
      <c r="NBW30" s="204"/>
      <c r="NBX30" s="204"/>
      <c r="NBY30" s="204"/>
      <c r="NBZ30" s="204"/>
      <c r="NCA30" s="204"/>
      <c r="NCB30" s="204"/>
      <c r="NCC30" s="204"/>
      <c r="NCD30" s="204"/>
      <c r="NCE30" s="204"/>
      <c r="NCF30" s="204"/>
      <c r="NCG30" s="204"/>
      <c r="NCH30" s="204"/>
      <c r="NCI30" s="204"/>
      <c r="NCJ30" s="204"/>
      <c r="NCK30" s="204"/>
      <c r="NCL30" s="204"/>
      <c r="NCM30" s="204"/>
      <c r="NCN30" s="204"/>
      <c r="NCO30" s="204"/>
      <c r="NCP30" s="204"/>
      <c r="NCQ30" s="204"/>
      <c r="NCR30" s="204"/>
      <c r="NCS30" s="204"/>
      <c r="NCT30" s="204"/>
      <c r="NCU30" s="204"/>
      <c r="NCV30" s="204"/>
      <c r="NCW30" s="204"/>
      <c r="NCX30" s="204"/>
      <c r="NCY30" s="204"/>
      <c r="NCZ30" s="204"/>
      <c r="NDA30" s="204"/>
      <c r="NDB30" s="204"/>
      <c r="NDC30" s="204"/>
      <c r="NDD30" s="204"/>
      <c r="NDE30" s="204"/>
      <c r="NDF30" s="204"/>
      <c r="NDG30" s="204"/>
      <c r="NDH30" s="204"/>
      <c r="NDI30" s="204"/>
      <c r="NDJ30" s="204"/>
      <c r="NDK30" s="204"/>
      <c r="NDL30" s="204"/>
      <c r="NDM30" s="204"/>
      <c r="NDN30" s="204"/>
      <c r="NDO30" s="204"/>
      <c r="NDP30" s="204"/>
      <c r="NDQ30" s="204"/>
      <c r="NDR30" s="204"/>
      <c r="NDS30" s="204"/>
      <c r="NDT30" s="204"/>
      <c r="NDU30" s="204"/>
      <c r="NDV30" s="204"/>
      <c r="NDW30" s="204"/>
      <c r="NDX30" s="204"/>
      <c r="NDY30" s="204"/>
      <c r="NDZ30" s="204"/>
      <c r="NEA30" s="204"/>
      <c r="NEB30" s="204"/>
      <c r="NEC30" s="204"/>
      <c r="NED30" s="204"/>
      <c r="NEE30" s="204"/>
      <c r="NEF30" s="204"/>
      <c r="NEG30" s="204"/>
      <c r="NEH30" s="204"/>
      <c r="NEI30" s="204"/>
      <c r="NEJ30" s="204"/>
      <c r="NEK30" s="204"/>
      <c r="NEL30" s="204"/>
      <c r="NEM30" s="204"/>
      <c r="NEN30" s="204"/>
      <c r="NEO30" s="204"/>
      <c r="NEP30" s="204"/>
      <c r="NEQ30" s="204"/>
      <c r="NER30" s="204"/>
      <c r="NES30" s="204"/>
      <c r="NET30" s="204"/>
      <c r="NEU30" s="204"/>
      <c r="NEV30" s="204"/>
      <c r="NEW30" s="204"/>
      <c r="NEX30" s="204"/>
      <c r="NEY30" s="204"/>
      <c r="NEZ30" s="204"/>
      <c r="NFA30" s="204"/>
      <c r="NFB30" s="204"/>
      <c r="NFC30" s="204"/>
      <c r="NFD30" s="204"/>
      <c r="NFE30" s="204"/>
      <c r="NFF30" s="204"/>
      <c r="NFG30" s="204"/>
      <c r="NFH30" s="204"/>
      <c r="NFI30" s="204"/>
      <c r="NFJ30" s="204"/>
      <c r="NFK30" s="204"/>
      <c r="NFL30" s="204"/>
      <c r="NFM30" s="204"/>
      <c r="NFN30" s="204"/>
      <c r="NFO30" s="204"/>
      <c r="NFP30" s="204"/>
      <c r="NFQ30" s="204"/>
      <c r="NFR30" s="204"/>
      <c r="NFS30" s="204"/>
      <c r="NFT30" s="204"/>
      <c r="NFU30" s="204"/>
      <c r="NFV30" s="204"/>
      <c r="NFW30" s="204"/>
      <c r="NFX30" s="204"/>
      <c r="NFY30" s="204"/>
      <c r="NFZ30" s="204"/>
      <c r="NGA30" s="204"/>
      <c r="NGB30" s="204"/>
      <c r="NGC30" s="204"/>
      <c r="NGD30" s="204"/>
      <c r="NGE30" s="204"/>
      <c r="NGF30" s="204"/>
      <c r="NGG30" s="204"/>
      <c r="NGH30" s="204"/>
      <c r="NGI30" s="204"/>
      <c r="NGJ30" s="204"/>
      <c r="NGK30" s="204"/>
      <c r="NGL30" s="204"/>
      <c r="NGM30" s="204"/>
      <c r="NGN30" s="204"/>
      <c r="NGO30" s="204"/>
      <c r="NGP30" s="204"/>
      <c r="NGQ30" s="204"/>
      <c r="NGR30" s="204"/>
      <c r="NGS30" s="204"/>
      <c r="NGT30" s="204"/>
      <c r="NGU30" s="204"/>
      <c r="NGV30" s="204"/>
      <c r="NGW30" s="204"/>
      <c r="NGX30" s="204"/>
      <c r="NGY30" s="204"/>
      <c r="NGZ30" s="204"/>
      <c r="NHA30" s="204"/>
      <c r="NHB30" s="204"/>
      <c r="NHC30" s="204"/>
      <c r="NHD30" s="204"/>
      <c r="NHE30" s="204"/>
      <c r="NHF30" s="204"/>
      <c r="NHG30" s="204"/>
      <c r="NHH30" s="204"/>
      <c r="NHI30" s="204"/>
      <c r="NHJ30" s="204"/>
      <c r="NHK30" s="204"/>
      <c r="NHL30" s="204"/>
      <c r="NHM30" s="204"/>
      <c r="NHN30" s="204"/>
      <c r="NHO30" s="204"/>
      <c r="NHP30" s="204"/>
      <c r="NHQ30" s="204"/>
      <c r="NHR30" s="204"/>
      <c r="NHS30" s="204"/>
      <c r="NHT30" s="204"/>
      <c r="NHU30" s="204"/>
      <c r="NHV30" s="204"/>
      <c r="NHW30" s="204"/>
      <c r="NHX30" s="204"/>
      <c r="NHY30" s="204"/>
      <c r="NHZ30" s="204"/>
      <c r="NIA30" s="204"/>
      <c r="NIB30" s="204"/>
      <c r="NIC30" s="204"/>
      <c r="NID30" s="204"/>
      <c r="NIE30" s="204"/>
      <c r="NIF30" s="204"/>
      <c r="NIG30" s="204"/>
      <c r="NIH30" s="204"/>
      <c r="NII30" s="204"/>
      <c r="NIJ30" s="204"/>
      <c r="NIK30" s="204"/>
      <c r="NIL30" s="204"/>
      <c r="NIM30" s="204"/>
      <c r="NIN30" s="204"/>
      <c r="NIO30" s="204"/>
      <c r="NIP30" s="204"/>
      <c r="NIQ30" s="204"/>
      <c r="NIR30" s="204"/>
      <c r="NIS30" s="204"/>
      <c r="NIT30" s="204"/>
      <c r="NIU30" s="204"/>
      <c r="NIV30" s="204"/>
      <c r="NIW30" s="204"/>
      <c r="NIX30" s="204"/>
      <c r="NIY30" s="204"/>
      <c r="NIZ30" s="204"/>
      <c r="NJA30" s="204"/>
      <c r="NJB30" s="204"/>
      <c r="NJC30" s="204"/>
      <c r="NJD30" s="204"/>
      <c r="NJE30" s="204"/>
      <c r="NJF30" s="204"/>
      <c r="NJG30" s="204"/>
      <c r="NJH30" s="204"/>
      <c r="NJI30" s="204"/>
      <c r="NJJ30" s="204"/>
      <c r="NJK30" s="204"/>
      <c r="NJL30" s="204"/>
      <c r="NJM30" s="204"/>
      <c r="NJN30" s="204"/>
      <c r="NJO30" s="204"/>
      <c r="NJP30" s="204"/>
      <c r="NJQ30" s="204"/>
      <c r="NJR30" s="204"/>
      <c r="NJS30" s="204"/>
      <c r="NJT30" s="204"/>
      <c r="NJU30" s="204"/>
      <c r="NJV30" s="204"/>
      <c r="NJW30" s="204"/>
      <c r="NJX30" s="204"/>
      <c r="NJY30" s="204"/>
      <c r="NJZ30" s="204"/>
      <c r="NKA30" s="204"/>
      <c r="NKB30" s="204"/>
      <c r="NKC30" s="204"/>
      <c r="NKD30" s="204"/>
      <c r="NKE30" s="204"/>
      <c r="NKF30" s="204"/>
      <c r="NKG30" s="204"/>
      <c r="NKH30" s="204"/>
      <c r="NKI30" s="204"/>
      <c r="NKJ30" s="204"/>
      <c r="NKK30" s="204"/>
      <c r="NKL30" s="204"/>
      <c r="NKM30" s="204"/>
      <c r="NKN30" s="204"/>
      <c r="NKO30" s="204"/>
      <c r="NKP30" s="204"/>
      <c r="NKQ30" s="204"/>
      <c r="NKR30" s="204"/>
      <c r="NKS30" s="204"/>
      <c r="NKT30" s="204"/>
      <c r="NKU30" s="204"/>
      <c r="NKV30" s="204"/>
      <c r="NKW30" s="204"/>
      <c r="NKX30" s="204"/>
      <c r="NKY30" s="204"/>
      <c r="NKZ30" s="204"/>
      <c r="NLA30" s="204"/>
      <c r="NLB30" s="204"/>
      <c r="NLC30" s="204"/>
      <c r="NLD30" s="204"/>
      <c r="NLE30" s="204"/>
      <c r="NLF30" s="204"/>
      <c r="NLG30" s="204"/>
      <c r="NLH30" s="204"/>
      <c r="NLI30" s="204"/>
      <c r="NLJ30" s="204"/>
      <c r="NLK30" s="204"/>
      <c r="NLL30" s="204"/>
      <c r="NLM30" s="204"/>
      <c r="NLN30" s="204"/>
      <c r="NLO30" s="204"/>
      <c r="NLP30" s="204"/>
      <c r="NLQ30" s="204"/>
      <c r="NLR30" s="204"/>
      <c r="NLS30" s="204"/>
      <c r="NLT30" s="204"/>
      <c r="NLU30" s="204"/>
      <c r="NLV30" s="204"/>
      <c r="NLW30" s="204"/>
      <c r="NLX30" s="204"/>
      <c r="NLY30" s="204"/>
      <c r="NLZ30" s="204"/>
      <c r="NMA30" s="204"/>
      <c r="NMB30" s="204"/>
      <c r="NMC30" s="204"/>
      <c r="NMD30" s="204"/>
      <c r="NME30" s="204"/>
      <c r="NMF30" s="204"/>
      <c r="NMG30" s="204"/>
      <c r="NMH30" s="204"/>
      <c r="NMI30" s="204"/>
      <c r="NMJ30" s="204"/>
      <c r="NMK30" s="204"/>
      <c r="NML30" s="204"/>
      <c r="NMM30" s="204"/>
      <c r="NMN30" s="204"/>
      <c r="NMO30" s="204"/>
      <c r="NMP30" s="204"/>
      <c r="NMQ30" s="204"/>
      <c r="NMR30" s="204"/>
      <c r="NMS30" s="204"/>
      <c r="NMT30" s="204"/>
      <c r="NMU30" s="204"/>
      <c r="NMV30" s="204"/>
      <c r="NMW30" s="204"/>
      <c r="NMX30" s="204"/>
      <c r="NMY30" s="204"/>
      <c r="NMZ30" s="204"/>
      <c r="NNA30" s="204"/>
      <c r="NNB30" s="204"/>
      <c r="NNC30" s="204"/>
      <c r="NND30" s="204"/>
      <c r="NNE30" s="204"/>
      <c r="NNF30" s="204"/>
      <c r="NNG30" s="204"/>
      <c r="NNH30" s="204"/>
      <c r="NNI30" s="204"/>
      <c r="NNJ30" s="204"/>
      <c r="NNK30" s="204"/>
      <c r="NNL30" s="204"/>
      <c r="NNM30" s="204"/>
      <c r="NNN30" s="204"/>
      <c r="NNO30" s="204"/>
      <c r="NNP30" s="204"/>
      <c r="NNQ30" s="204"/>
      <c r="NNR30" s="204"/>
      <c r="NNS30" s="204"/>
      <c r="NNT30" s="204"/>
      <c r="NNU30" s="204"/>
      <c r="NNV30" s="204"/>
      <c r="NNW30" s="204"/>
      <c r="NNX30" s="204"/>
      <c r="NNY30" s="204"/>
      <c r="NNZ30" s="204"/>
      <c r="NOA30" s="204"/>
      <c r="NOB30" s="204"/>
      <c r="NOC30" s="204"/>
      <c r="NOD30" s="204"/>
      <c r="NOE30" s="204"/>
      <c r="NOF30" s="204"/>
      <c r="NOG30" s="204"/>
      <c r="NOH30" s="204"/>
      <c r="NOI30" s="204"/>
      <c r="NOJ30" s="204"/>
      <c r="NOK30" s="204"/>
      <c r="NOL30" s="204"/>
      <c r="NOM30" s="204"/>
      <c r="NON30" s="204"/>
      <c r="NOO30" s="204"/>
      <c r="NOP30" s="204"/>
      <c r="NOQ30" s="204"/>
      <c r="NOR30" s="204"/>
      <c r="NOS30" s="204"/>
      <c r="NOT30" s="204"/>
      <c r="NOU30" s="204"/>
      <c r="NOV30" s="204"/>
      <c r="NOW30" s="204"/>
      <c r="NOX30" s="204"/>
      <c r="NOY30" s="204"/>
      <c r="NOZ30" s="204"/>
      <c r="NPA30" s="204"/>
      <c r="NPB30" s="204"/>
      <c r="NPC30" s="204"/>
      <c r="NPD30" s="204"/>
      <c r="NPE30" s="204"/>
      <c r="NPF30" s="204"/>
      <c r="NPG30" s="204"/>
      <c r="NPH30" s="204"/>
      <c r="NPI30" s="204"/>
      <c r="NPJ30" s="204"/>
      <c r="NPK30" s="204"/>
      <c r="NPL30" s="204"/>
      <c r="NPM30" s="204"/>
      <c r="NPN30" s="204"/>
      <c r="NPO30" s="204"/>
      <c r="NPP30" s="204"/>
      <c r="NPQ30" s="204"/>
      <c r="NPR30" s="204"/>
      <c r="NPS30" s="204"/>
      <c r="NPT30" s="204"/>
      <c r="NPU30" s="204"/>
      <c r="NPV30" s="204"/>
      <c r="NPW30" s="204"/>
      <c r="NPX30" s="204"/>
      <c r="NPY30" s="204"/>
      <c r="NPZ30" s="204"/>
      <c r="NQA30" s="204"/>
      <c r="NQB30" s="204"/>
      <c r="NQC30" s="204"/>
      <c r="NQD30" s="204"/>
      <c r="NQE30" s="204"/>
      <c r="NQF30" s="204"/>
      <c r="NQG30" s="204"/>
      <c r="NQH30" s="204"/>
      <c r="NQI30" s="204"/>
      <c r="NQJ30" s="204"/>
      <c r="NQK30" s="204"/>
      <c r="NQL30" s="204"/>
      <c r="NQM30" s="204"/>
      <c r="NQN30" s="204"/>
      <c r="NQO30" s="204"/>
      <c r="NQP30" s="204"/>
      <c r="NQQ30" s="204"/>
      <c r="NQR30" s="204"/>
      <c r="NQS30" s="204"/>
      <c r="NQT30" s="204"/>
      <c r="NQU30" s="204"/>
      <c r="NQV30" s="204"/>
      <c r="NQW30" s="204"/>
      <c r="NQX30" s="204"/>
      <c r="NQY30" s="204"/>
      <c r="NQZ30" s="204"/>
      <c r="NRA30" s="204"/>
      <c r="NRB30" s="204"/>
      <c r="NRC30" s="204"/>
      <c r="NRD30" s="204"/>
      <c r="NRE30" s="204"/>
      <c r="NRF30" s="204"/>
      <c r="NRG30" s="204"/>
      <c r="NRH30" s="204"/>
      <c r="NRI30" s="204"/>
      <c r="NRJ30" s="204"/>
      <c r="NRK30" s="204"/>
      <c r="NRL30" s="204"/>
      <c r="NRM30" s="204"/>
      <c r="NRN30" s="204"/>
      <c r="NRO30" s="204"/>
      <c r="NRP30" s="204"/>
      <c r="NRQ30" s="204"/>
      <c r="NRR30" s="204"/>
      <c r="NRS30" s="204"/>
      <c r="NRT30" s="204"/>
      <c r="NRU30" s="204"/>
      <c r="NRV30" s="204"/>
      <c r="NRW30" s="204"/>
      <c r="NRX30" s="204"/>
      <c r="NRY30" s="204"/>
      <c r="NRZ30" s="204"/>
      <c r="NSA30" s="204"/>
      <c r="NSB30" s="204"/>
      <c r="NSC30" s="204"/>
      <c r="NSD30" s="204"/>
      <c r="NSE30" s="204"/>
      <c r="NSF30" s="204"/>
      <c r="NSG30" s="204"/>
      <c r="NSH30" s="204"/>
      <c r="NSI30" s="204"/>
      <c r="NSJ30" s="204"/>
      <c r="NSK30" s="204"/>
      <c r="NSL30" s="204"/>
      <c r="NSM30" s="204"/>
      <c r="NSN30" s="204"/>
      <c r="NSO30" s="204"/>
      <c r="NSP30" s="204"/>
      <c r="NSQ30" s="204"/>
      <c r="NSR30" s="204"/>
      <c r="NSS30" s="204"/>
      <c r="NST30" s="204"/>
      <c r="NSU30" s="204"/>
      <c r="NSV30" s="204"/>
      <c r="NSW30" s="204"/>
      <c r="NSX30" s="204"/>
      <c r="NSY30" s="204"/>
      <c r="NSZ30" s="204"/>
      <c r="NTA30" s="204"/>
      <c r="NTB30" s="204"/>
      <c r="NTC30" s="204"/>
      <c r="NTD30" s="204"/>
      <c r="NTE30" s="204"/>
      <c r="NTF30" s="204"/>
      <c r="NTG30" s="204"/>
      <c r="NTH30" s="204"/>
      <c r="NTI30" s="204"/>
      <c r="NTJ30" s="204"/>
      <c r="NTK30" s="204"/>
      <c r="NTL30" s="204"/>
      <c r="NTM30" s="204"/>
      <c r="NTN30" s="204"/>
      <c r="NTO30" s="204"/>
      <c r="NTP30" s="204"/>
      <c r="NTQ30" s="204"/>
      <c r="NTR30" s="204"/>
      <c r="NTS30" s="204"/>
      <c r="NTT30" s="204"/>
      <c r="NTU30" s="204"/>
      <c r="NTV30" s="204"/>
      <c r="NTW30" s="204"/>
      <c r="NTX30" s="204"/>
      <c r="NTY30" s="204"/>
      <c r="NTZ30" s="204"/>
      <c r="NUA30" s="204"/>
      <c r="NUB30" s="204"/>
      <c r="NUC30" s="204"/>
      <c r="NUD30" s="204"/>
      <c r="NUE30" s="204"/>
      <c r="NUF30" s="204"/>
      <c r="NUG30" s="204"/>
      <c r="NUH30" s="204"/>
      <c r="NUI30" s="204"/>
      <c r="NUJ30" s="204"/>
      <c r="NUK30" s="204"/>
      <c r="NUL30" s="204"/>
      <c r="NUM30" s="204"/>
      <c r="NUN30" s="204"/>
      <c r="NUO30" s="204"/>
      <c r="NUP30" s="204"/>
      <c r="NUQ30" s="204"/>
      <c r="NUR30" s="204"/>
      <c r="NUS30" s="204"/>
      <c r="NUT30" s="204"/>
      <c r="NUU30" s="204"/>
      <c r="NUV30" s="204"/>
      <c r="NUW30" s="204"/>
      <c r="NUX30" s="204"/>
      <c r="NUY30" s="204"/>
      <c r="NUZ30" s="204"/>
      <c r="NVA30" s="204"/>
      <c r="NVB30" s="204"/>
      <c r="NVC30" s="204"/>
      <c r="NVD30" s="204"/>
      <c r="NVE30" s="204"/>
      <c r="NVF30" s="204"/>
      <c r="NVG30" s="204"/>
      <c r="NVH30" s="204"/>
      <c r="NVI30" s="204"/>
      <c r="NVJ30" s="204"/>
      <c r="NVK30" s="204"/>
      <c r="NVL30" s="204"/>
      <c r="NVM30" s="204"/>
      <c r="NVN30" s="204"/>
      <c r="NVO30" s="204"/>
      <c r="NVP30" s="204"/>
      <c r="NVQ30" s="204"/>
      <c r="NVR30" s="204"/>
      <c r="NVS30" s="204"/>
      <c r="NVT30" s="204"/>
      <c r="NVU30" s="204"/>
      <c r="NVV30" s="204"/>
      <c r="NVW30" s="204"/>
      <c r="NVX30" s="204"/>
      <c r="NVY30" s="204"/>
      <c r="NVZ30" s="204"/>
      <c r="NWA30" s="204"/>
      <c r="NWB30" s="204"/>
      <c r="NWC30" s="204"/>
      <c r="NWD30" s="204"/>
      <c r="NWE30" s="204"/>
      <c r="NWF30" s="204"/>
      <c r="NWG30" s="204"/>
      <c r="NWH30" s="204"/>
      <c r="NWI30" s="204"/>
      <c r="NWJ30" s="204"/>
      <c r="NWK30" s="204"/>
      <c r="NWL30" s="204"/>
      <c r="NWM30" s="204"/>
      <c r="NWN30" s="204"/>
      <c r="NWO30" s="204"/>
      <c r="NWP30" s="204"/>
      <c r="NWQ30" s="204"/>
      <c r="NWR30" s="204"/>
      <c r="NWS30" s="204"/>
      <c r="NWT30" s="204"/>
      <c r="NWU30" s="204"/>
      <c r="NWV30" s="204"/>
      <c r="NWW30" s="204"/>
      <c r="NWX30" s="204"/>
      <c r="NWY30" s="204"/>
      <c r="NWZ30" s="204"/>
      <c r="NXA30" s="204"/>
      <c r="NXB30" s="204"/>
      <c r="NXC30" s="204"/>
      <c r="NXD30" s="204"/>
      <c r="NXE30" s="204"/>
      <c r="NXF30" s="204"/>
      <c r="NXG30" s="204"/>
      <c r="NXH30" s="204"/>
      <c r="NXI30" s="204"/>
      <c r="NXJ30" s="204"/>
      <c r="NXK30" s="204"/>
      <c r="NXL30" s="204"/>
      <c r="NXM30" s="204"/>
      <c r="NXN30" s="204"/>
      <c r="NXO30" s="204"/>
      <c r="NXP30" s="204"/>
      <c r="NXQ30" s="204"/>
      <c r="NXR30" s="204"/>
      <c r="NXS30" s="204"/>
      <c r="NXT30" s="204"/>
      <c r="NXU30" s="204"/>
      <c r="NXV30" s="204"/>
      <c r="NXW30" s="204"/>
      <c r="NXX30" s="204"/>
      <c r="NXY30" s="204"/>
      <c r="NXZ30" s="204"/>
      <c r="NYA30" s="204"/>
      <c r="NYB30" s="204"/>
      <c r="NYC30" s="204"/>
      <c r="NYD30" s="204"/>
      <c r="NYE30" s="204"/>
      <c r="NYF30" s="204"/>
      <c r="NYG30" s="204"/>
      <c r="NYH30" s="204"/>
      <c r="NYI30" s="204"/>
      <c r="NYJ30" s="204"/>
      <c r="NYK30" s="204"/>
      <c r="NYL30" s="204"/>
      <c r="NYM30" s="204"/>
      <c r="NYN30" s="204"/>
      <c r="NYO30" s="204"/>
      <c r="NYP30" s="204"/>
      <c r="NYQ30" s="204"/>
      <c r="NYR30" s="204"/>
      <c r="NYS30" s="204"/>
      <c r="NYT30" s="204"/>
      <c r="NYU30" s="204"/>
      <c r="NYV30" s="204"/>
      <c r="NYW30" s="204"/>
      <c r="NYX30" s="204"/>
      <c r="NYY30" s="204"/>
      <c r="NYZ30" s="204"/>
      <c r="NZA30" s="204"/>
      <c r="NZB30" s="204"/>
      <c r="NZC30" s="204"/>
      <c r="NZD30" s="204"/>
      <c r="NZE30" s="204"/>
      <c r="NZF30" s="204"/>
      <c r="NZG30" s="204"/>
      <c r="NZH30" s="204"/>
      <c r="NZI30" s="204"/>
      <c r="NZJ30" s="204"/>
      <c r="NZK30" s="204"/>
      <c r="NZL30" s="204"/>
      <c r="NZM30" s="204"/>
      <c r="NZN30" s="204"/>
      <c r="NZO30" s="204"/>
      <c r="NZP30" s="204"/>
      <c r="NZQ30" s="204"/>
      <c r="NZR30" s="204"/>
      <c r="NZS30" s="204"/>
      <c r="NZT30" s="204"/>
      <c r="NZU30" s="204"/>
      <c r="NZV30" s="204"/>
      <c r="NZW30" s="204"/>
      <c r="NZX30" s="204"/>
      <c r="NZY30" s="204"/>
      <c r="NZZ30" s="204"/>
      <c r="OAA30" s="204"/>
      <c r="OAB30" s="204"/>
      <c r="OAC30" s="204"/>
      <c r="OAD30" s="204"/>
      <c r="OAE30" s="204"/>
      <c r="OAF30" s="204"/>
      <c r="OAG30" s="204"/>
      <c r="OAH30" s="204"/>
      <c r="OAI30" s="204"/>
      <c r="OAJ30" s="204"/>
      <c r="OAK30" s="204"/>
      <c r="OAL30" s="204"/>
      <c r="OAM30" s="204"/>
      <c r="OAN30" s="204"/>
      <c r="OAO30" s="204"/>
      <c r="OAP30" s="204"/>
      <c r="OAQ30" s="204"/>
      <c r="OAR30" s="204"/>
      <c r="OAS30" s="204"/>
      <c r="OAT30" s="204"/>
      <c r="OAU30" s="204"/>
      <c r="OAV30" s="204"/>
      <c r="OAW30" s="204"/>
      <c r="OAX30" s="204"/>
      <c r="OAY30" s="204"/>
      <c r="OAZ30" s="204"/>
      <c r="OBA30" s="204"/>
      <c r="OBB30" s="204"/>
      <c r="OBC30" s="204"/>
      <c r="OBD30" s="204"/>
      <c r="OBE30" s="204"/>
      <c r="OBF30" s="204"/>
      <c r="OBG30" s="204"/>
      <c r="OBH30" s="204"/>
      <c r="OBI30" s="204"/>
      <c r="OBJ30" s="204"/>
      <c r="OBK30" s="204"/>
      <c r="OBL30" s="204"/>
      <c r="OBM30" s="204"/>
      <c r="OBN30" s="204"/>
      <c r="OBO30" s="204"/>
      <c r="OBP30" s="204"/>
      <c r="OBQ30" s="204"/>
      <c r="OBR30" s="204"/>
      <c r="OBS30" s="204"/>
      <c r="OBT30" s="204"/>
      <c r="OBU30" s="204"/>
      <c r="OBV30" s="204"/>
      <c r="OBW30" s="204"/>
      <c r="OBX30" s="204"/>
      <c r="OBY30" s="204"/>
      <c r="OBZ30" s="204"/>
      <c r="OCA30" s="204"/>
      <c r="OCB30" s="204"/>
      <c r="OCC30" s="204"/>
      <c r="OCD30" s="204"/>
      <c r="OCE30" s="204"/>
      <c r="OCF30" s="204"/>
      <c r="OCG30" s="204"/>
      <c r="OCH30" s="204"/>
      <c r="OCI30" s="204"/>
      <c r="OCJ30" s="204"/>
      <c r="OCK30" s="204"/>
      <c r="OCL30" s="204"/>
      <c r="OCM30" s="204"/>
      <c r="OCN30" s="204"/>
      <c r="OCO30" s="204"/>
      <c r="OCP30" s="204"/>
      <c r="OCQ30" s="204"/>
      <c r="OCR30" s="204"/>
      <c r="OCS30" s="204"/>
      <c r="OCT30" s="204"/>
      <c r="OCU30" s="204"/>
      <c r="OCV30" s="204"/>
      <c r="OCW30" s="204"/>
      <c r="OCX30" s="204"/>
      <c r="OCY30" s="204"/>
      <c r="OCZ30" s="204"/>
      <c r="ODA30" s="204"/>
      <c r="ODB30" s="204"/>
      <c r="ODC30" s="204"/>
      <c r="ODD30" s="204"/>
      <c r="ODE30" s="204"/>
      <c r="ODF30" s="204"/>
      <c r="ODG30" s="204"/>
      <c r="ODH30" s="204"/>
      <c r="ODI30" s="204"/>
      <c r="ODJ30" s="204"/>
      <c r="ODK30" s="204"/>
      <c r="ODL30" s="204"/>
      <c r="ODM30" s="204"/>
      <c r="ODN30" s="204"/>
      <c r="ODO30" s="204"/>
      <c r="ODP30" s="204"/>
      <c r="ODQ30" s="204"/>
      <c r="ODR30" s="204"/>
      <c r="ODS30" s="204"/>
      <c r="ODT30" s="204"/>
      <c r="ODU30" s="204"/>
      <c r="ODV30" s="204"/>
      <c r="ODW30" s="204"/>
      <c r="ODX30" s="204"/>
      <c r="ODY30" s="204"/>
      <c r="ODZ30" s="204"/>
      <c r="OEA30" s="204"/>
      <c r="OEB30" s="204"/>
      <c r="OEC30" s="204"/>
      <c r="OED30" s="204"/>
      <c r="OEE30" s="204"/>
      <c r="OEF30" s="204"/>
      <c r="OEG30" s="204"/>
      <c r="OEH30" s="204"/>
      <c r="OEI30" s="204"/>
      <c r="OEJ30" s="204"/>
      <c r="OEK30" s="204"/>
      <c r="OEL30" s="204"/>
      <c r="OEM30" s="204"/>
      <c r="OEN30" s="204"/>
      <c r="OEO30" s="204"/>
      <c r="OEP30" s="204"/>
      <c r="OEQ30" s="204"/>
      <c r="OER30" s="204"/>
      <c r="OES30" s="204"/>
      <c r="OET30" s="204"/>
      <c r="OEU30" s="204"/>
      <c r="OEV30" s="204"/>
      <c r="OEW30" s="204"/>
      <c r="OEX30" s="204"/>
      <c r="OEY30" s="204"/>
      <c r="OEZ30" s="204"/>
      <c r="OFA30" s="204"/>
      <c r="OFB30" s="204"/>
      <c r="OFC30" s="204"/>
      <c r="OFD30" s="204"/>
      <c r="OFE30" s="204"/>
      <c r="OFF30" s="204"/>
      <c r="OFG30" s="204"/>
      <c r="OFH30" s="204"/>
      <c r="OFI30" s="204"/>
      <c r="OFJ30" s="204"/>
      <c r="OFK30" s="204"/>
      <c r="OFL30" s="204"/>
      <c r="OFM30" s="204"/>
      <c r="OFN30" s="204"/>
      <c r="OFO30" s="204"/>
      <c r="OFP30" s="204"/>
      <c r="OFQ30" s="204"/>
      <c r="OFR30" s="204"/>
      <c r="OFS30" s="204"/>
      <c r="OFT30" s="204"/>
      <c r="OFU30" s="204"/>
      <c r="OFV30" s="204"/>
      <c r="OFW30" s="204"/>
      <c r="OFX30" s="204"/>
      <c r="OFY30" s="204"/>
      <c r="OFZ30" s="204"/>
      <c r="OGA30" s="204"/>
      <c r="OGB30" s="204"/>
      <c r="OGC30" s="204"/>
      <c r="OGD30" s="204"/>
      <c r="OGE30" s="204"/>
      <c r="OGF30" s="204"/>
      <c r="OGG30" s="204"/>
      <c r="OGH30" s="204"/>
      <c r="OGI30" s="204"/>
      <c r="OGJ30" s="204"/>
      <c r="OGK30" s="204"/>
      <c r="OGL30" s="204"/>
      <c r="OGM30" s="204"/>
      <c r="OGN30" s="204"/>
      <c r="OGO30" s="204"/>
      <c r="OGP30" s="204"/>
      <c r="OGQ30" s="204"/>
      <c r="OGR30" s="204"/>
      <c r="OGS30" s="204"/>
      <c r="OGT30" s="204"/>
      <c r="OGU30" s="204"/>
      <c r="OGV30" s="204"/>
      <c r="OGW30" s="204"/>
      <c r="OGX30" s="204"/>
      <c r="OGY30" s="204"/>
      <c r="OGZ30" s="204"/>
      <c r="OHA30" s="204"/>
      <c r="OHB30" s="204"/>
      <c r="OHC30" s="204"/>
      <c r="OHD30" s="204"/>
      <c r="OHE30" s="204"/>
      <c r="OHF30" s="204"/>
      <c r="OHG30" s="204"/>
      <c r="OHH30" s="204"/>
      <c r="OHI30" s="204"/>
      <c r="OHJ30" s="204"/>
      <c r="OHK30" s="204"/>
      <c r="OHL30" s="204"/>
      <c r="OHM30" s="204"/>
      <c r="OHN30" s="204"/>
      <c r="OHO30" s="204"/>
      <c r="OHP30" s="204"/>
      <c r="OHQ30" s="204"/>
      <c r="OHR30" s="204"/>
      <c r="OHS30" s="204"/>
      <c r="OHT30" s="204"/>
      <c r="OHU30" s="204"/>
      <c r="OHV30" s="204"/>
      <c r="OHW30" s="204"/>
      <c r="OHX30" s="204"/>
      <c r="OHY30" s="204"/>
      <c r="OHZ30" s="204"/>
      <c r="OIA30" s="204"/>
      <c r="OIB30" s="204"/>
      <c r="OIC30" s="204"/>
      <c r="OID30" s="204"/>
      <c r="OIE30" s="204"/>
      <c r="OIF30" s="204"/>
      <c r="OIG30" s="204"/>
      <c r="OIH30" s="204"/>
      <c r="OII30" s="204"/>
      <c r="OIJ30" s="204"/>
      <c r="OIK30" s="204"/>
      <c r="OIL30" s="204"/>
      <c r="OIM30" s="204"/>
      <c r="OIN30" s="204"/>
      <c r="OIO30" s="204"/>
      <c r="OIP30" s="204"/>
      <c r="OIQ30" s="204"/>
      <c r="OIR30" s="204"/>
      <c r="OIS30" s="204"/>
      <c r="OIT30" s="204"/>
      <c r="OIU30" s="204"/>
      <c r="OIV30" s="204"/>
      <c r="OIW30" s="204"/>
      <c r="OIX30" s="204"/>
      <c r="OIY30" s="204"/>
      <c r="OIZ30" s="204"/>
      <c r="OJA30" s="204"/>
      <c r="OJB30" s="204"/>
      <c r="OJC30" s="204"/>
      <c r="OJD30" s="204"/>
      <c r="OJE30" s="204"/>
      <c r="OJF30" s="204"/>
      <c r="OJG30" s="204"/>
      <c r="OJH30" s="204"/>
      <c r="OJI30" s="204"/>
      <c r="OJJ30" s="204"/>
      <c r="OJK30" s="204"/>
      <c r="OJL30" s="204"/>
      <c r="OJM30" s="204"/>
      <c r="OJN30" s="204"/>
      <c r="OJO30" s="204"/>
      <c r="OJP30" s="204"/>
      <c r="OJQ30" s="204"/>
      <c r="OJR30" s="204"/>
      <c r="OJS30" s="204"/>
      <c r="OJT30" s="204"/>
      <c r="OJU30" s="204"/>
      <c r="OJV30" s="204"/>
      <c r="OJW30" s="204"/>
      <c r="OJX30" s="204"/>
      <c r="OJY30" s="204"/>
      <c r="OJZ30" s="204"/>
      <c r="OKA30" s="204"/>
      <c r="OKB30" s="204"/>
      <c r="OKC30" s="204"/>
      <c r="OKD30" s="204"/>
      <c r="OKE30" s="204"/>
      <c r="OKF30" s="204"/>
      <c r="OKG30" s="204"/>
      <c r="OKH30" s="204"/>
      <c r="OKI30" s="204"/>
      <c r="OKJ30" s="204"/>
      <c r="OKK30" s="204"/>
      <c r="OKL30" s="204"/>
      <c r="OKM30" s="204"/>
      <c r="OKN30" s="204"/>
      <c r="OKO30" s="204"/>
      <c r="OKP30" s="204"/>
      <c r="OKQ30" s="204"/>
      <c r="OKR30" s="204"/>
      <c r="OKS30" s="204"/>
      <c r="OKT30" s="204"/>
      <c r="OKU30" s="204"/>
      <c r="OKV30" s="204"/>
      <c r="OKW30" s="204"/>
      <c r="OKX30" s="204"/>
      <c r="OKY30" s="204"/>
      <c r="OKZ30" s="204"/>
      <c r="OLA30" s="204"/>
      <c r="OLB30" s="204"/>
      <c r="OLC30" s="204"/>
      <c r="OLD30" s="204"/>
      <c r="OLE30" s="204"/>
      <c r="OLF30" s="204"/>
      <c r="OLG30" s="204"/>
      <c r="OLH30" s="204"/>
      <c r="OLI30" s="204"/>
      <c r="OLJ30" s="204"/>
      <c r="OLK30" s="204"/>
      <c r="OLL30" s="204"/>
      <c r="OLM30" s="204"/>
      <c r="OLN30" s="204"/>
      <c r="OLO30" s="204"/>
      <c r="OLP30" s="204"/>
      <c r="OLQ30" s="204"/>
      <c r="OLR30" s="204"/>
      <c r="OLS30" s="204"/>
      <c r="OLT30" s="204"/>
      <c r="OLU30" s="204"/>
      <c r="OLV30" s="204"/>
      <c r="OLW30" s="204"/>
      <c r="OLX30" s="204"/>
      <c r="OLY30" s="204"/>
      <c r="OLZ30" s="204"/>
      <c r="OMA30" s="204"/>
      <c r="OMB30" s="204"/>
      <c r="OMC30" s="204"/>
      <c r="OMD30" s="204"/>
      <c r="OME30" s="204"/>
      <c r="OMF30" s="204"/>
      <c r="OMG30" s="204"/>
      <c r="OMH30" s="204"/>
      <c r="OMI30" s="204"/>
      <c r="OMJ30" s="204"/>
      <c r="OMK30" s="204"/>
      <c r="OML30" s="204"/>
      <c r="OMM30" s="204"/>
      <c r="OMN30" s="204"/>
      <c r="OMO30" s="204"/>
      <c r="OMP30" s="204"/>
      <c r="OMQ30" s="204"/>
      <c r="OMR30" s="204"/>
      <c r="OMS30" s="204"/>
      <c r="OMT30" s="204"/>
      <c r="OMU30" s="204"/>
      <c r="OMV30" s="204"/>
      <c r="OMW30" s="204"/>
      <c r="OMX30" s="204"/>
      <c r="OMY30" s="204"/>
      <c r="OMZ30" s="204"/>
      <c r="ONA30" s="204"/>
      <c r="ONB30" s="204"/>
      <c r="ONC30" s="204"/>
      <c r="OND30" s="204"/>
      <c r="ONE30" s="204"/>
      <c r="ONF30" s="204"/>
      <c r="ONG30" s="204"/>
      <c r="ONH30" s="204"/>
      <c r="ONI30" s="204"/>
      <c r="ONJ30" s="204"/>
      <c r="ONK30" s="204"/>
      <c r="ONL30" s="204"/>
      <c r="ONM30" s="204"/>
      <c r="ONN30" s="204"/>
      <c r="ONO30" s="204"/>
      <c r="ONP30" s="204"/>
      <c r="ONQ30" s="204"/>
      <c r="ONR30" s="204"/>
      <c r="ONS30" s="204"/>
      <c r="ONT30" s="204"/>
      <c r="ONU30" s="204"/>
      <c r="ONV30" s="204"/>
      <c r="ONW30" s="204"/>
      <c r="ONX30" s="204"/>
      <c r="ONY30" s="204"/>
      <c r="ONZ30" s="204"/>
      <c r="OOA30" s="204"/>
      <c r="OOB30" s="204"/>
      <c r="OOC30" s="204"/>
      <c r="OOD30" s="204"/>
      <c r="OOE30" s="204"/>
      <c r="OOF30" s="204"/>
      <c r="OOG30" s="204"/>
      <c r="OOH30" s="204"/>
      <c r="OOI30" s="204"/>
      <c r="OOJ30" s="204"/>
      <c r="OOK30" s="204"/>
      <c r="OOL30" s="204"/>
      <c r="OOM30" s="204"/>
      <c r="OON30" s="204"/>
      <c r="OOO30" s="204"/>
      <c r="OOP30" s="204"/>
      <c r="OOQ30" s="204"/>
      <c r="OOR30" s="204"/>
      <c r="OOS30" s="204"/>
      <c r="OOT30" s="204"/>
      <c r="OOU30" s="204"/>
      <c r="OOV30" s="204"/>
      <c r="OOW30" s="204"/>
      <c r="OOX30" s="204"/>
      <c r="OOY30" s="204"/>
      <c r="OOZ30" s="204"/>
      <c r="OPA30" s="204"/>
      <c r="OPB30" s="204"/>
      <c r="OPC30" s="204"/>
      <c r="OPD30" s="204"/>
      <c r="OPE30" s="204"/>
      <c r="OPF30" s="204"/>
      <c r="OPG30" s="204"/>
      <c r="OPH30" s="204"/>
      <c r="OPI30" s="204"/>
      <c r="OPJ30" s="204"/>
      <c r="OPK30" s="204"/>
      <c r="OPL30" s="204"/>
      <c r="OPM30" s="204"/>
      <c r="OPN30" s="204"/>
      <c r="OPO30" s="204"/>
      <c r="OPP30" s="204"/>
      <c r="OPQ30" s="204"/>
      <c r="OPR30" s="204"/>
      <c r="OPS30" s="204"/>
      <c r="OPT30" s="204"/>
      <c r="OPU30" s="204"/>
      <c r="OPV30" s="204"/>
      <c r="OPW30" s="204"/>
      <c r="OPX30" s="204"/>
      <c r="OPY30" s="204"/>
      <c r="OPZ30" s="204"/>
      <c r="OQA30" s="204"/>
      <c r="OQB30" s="204"/>
      <c r="OQC30" s="204"/>
      <c r="OQD30" s="204"/>
      <c r="OQE30" s="204"/>
      <c r="OQF30" s="204"/>
      <c r="OQG30" s="204"/>
      <c r="OQH30" s="204"/>
      <c r="OQI30" s="204"/>
      <c r="OQJ30" s="204"/>
      <c r="OQK30" s="204"/>
      <c r="OQL30" s="204"/>
      <c r="OQM30" s="204"/>
      <c r="OQN30" s="204"/>
      <c r="OQO30" s="204"/>
      <c r="OQP30" s="204"/>
      <c r="OQQ30" s="204"/>
      <c r="OQR30" s="204"/>
      <c r="OQS30" s="204"/>
      <c r="OQT30" s="204"/>
      <c r="OQU30" s="204"/>
      <c r="OQV30" s="204"/>
      <c r="OQW30" s="204"/>
      <c r="OQX30" s="204"/>
      <c r="OQY30" s="204"/>
      <c r="OQZ30" s="204"/>
      <c r="ORA30" s="204"/>
      <c r="ORB30" s="204"/>
      <c r="ORC30" s="204"/>
      <c r="ORD30" s="204"/>
      <c r="ORE30" s="204"/>
      <c r="ORF30" s="204"/>
      <c r="ORG30" s="204"/>
      <c r="ORH30" s="204"/>
      <c r="ORI30" s="204"/>
      <c r="ORJ30" s="204"/>
      <c r="ORK30" s="204"/>
      <c r="ORL30" s="204"/>
      <c r="ORM30" s="204"/>
      <c r="ORN30" s="204"/>
      <c r="ORO30" s="204"/>
      <c r="ORP30" s="204"/>
      <c r="ORQ30" s="204"/>
      <c r="ORR30" s="204"/>
      <c r="ORS30" s="204"/>
      <c r="ORT30" s="204"/>
      <c r="ORU30" s="204"/>
      <c r="ORV30" s="204"/>
      <c r="ORW30" s="204"/>
      <c r="ORX30" s="204"/>
      <c r="ORY30" s="204"/>
      <c r="ORZ30" s="204"/>
      <c r="OSA30" s="204"/>
      <c r="OSB30" s="204"/>
      <c r="OSC30" s="204"/>
      <c r="OSD30" s="204"/>
      <c r="OSE30" s="204"/>
      <c r="OSF30" s="204"/>
      <c r="OSG30" s="204"/>
      <c r="OSH30" s="204"/>
      <c r="OSI30" s="204"/>
      <c r="OSJ30" s="204"/>
      <c r="OSK30" s="204"/>
      <c r="OSL30" s="204"/>
      <c r="OSM30" s="204"/>
      <c r="OSN30" s="204"/>
      <c r="OSO30" s="204"/>
      <c r="OSP30" s="204"/>
      <c r="OSQ30" s="204"/>
      <c r="OSR30" s="204"/>
      <c r="OSS30" s="204"/>
      <c r="OST30" s="204"/>
      <c r="OSU30" s="204"/>
      <c r="OSV30" s="204"/>
      <c r="OSW30" s="204"/>
      <c r="OSX30" s="204"/>
      <c r="OSY30" s="204"/>
      <c r="OSZ30" s="204"/>
      <c r="OTA30" s="204"/>
      <c r="OTB30" s="204"/>
      <c r="OTC30" s="204"/>
      <c r="OTD30" s="204"/>
      <c r="OTE30" s="204"/>
      <c r="OTF30" s="204"/>
      <c r="OTG30" s="204"/>
      <c r="OTH30" s="204"/>
      <c r="OTI30" s="204"/>
      <c r="OTJ30" s="204"/>
      <c r="OTK30" s="204"/>
      <c r="OTL30" s="204"/>
      <c r="OTM30" s="204"/>
      <c r="OTN30" s="204"/>
      <c r="OTO30" s="204"/>
      <c r="OTP30" s="204"/>
      <c r="OTQ30" s="204"/>
      <c r="OTR30" s="204"/>
      <c r="OTS30" s="204"/>
      <c r="OTT30" s="204"/>
      <c r="OTU30" s="204"/>
      <c r="OTV30" s="204"/>
      <c r="OTW30" s="204"/>
      <c r="OTX30" s="204"/>
      <c r="OTY30" s="204"/>
      <c r="OTZ30" s="204"/>
      <c r="OUA30" s="204"/>
      <c r="OUB30" s="204"/>
      <c r="OUC30" s="204"/>
      <c r="OUD30" s="204"/>
      <c r="OUE30" s="204"/>
      <c r="OUF30" s="204"/>
      <c r="OUG30" s="204"/>
      <c r="OUH30" s="204"/>
      <c r="OUI30" s="204"/>
      <c r="OUJ30" s="204"/>
      <c r="OUK30" s="204"/>
      <c r="OUL30" s="204"/>
      <c r="OUM30" s="204"/>
      <c r="OUN30" s="204"/>
      <c r="OUO30" s="204"/>
      <c r="OUP30" s="204"/>
      <c r="OUQ30" s="204"/>
      <c r="OUR30" s="204"/>
      <c r="OUS30" s="204"/>
      <c r="OUT30" s="204"/>
      <c r="OUU30" s="204"/>
      <c r="OUV30" s="204"/>
      <c r="OUW30" s="204"/>
      <c r="OUX30" s="204"/>
      <c r="OUY30" s="204"/>
      <c r="OUZ30" s="204"/>
      <c r="OVA30" s="204"/>
      <c r="OVB30" s="204"/>
      <c r="OVC30" s="204"/>
      <c r="OVD30" s="204"/>
      <c r="OVE30" s="204"/>
      <c r="OVF30" s="204"/>
      <c r="OVG30" s="204"/>
      <c r="OVH30" s="204"/>
      <c r="OVI30" s="204"/>
      <c r="OVJ30" s="204"/>
      <c r="OVK30" s="204"/>
      <c r="OVL30" s="204"/>
      <c r="OVM30" s="204"/>
      <c r="OVN30" s="204"/>
      <c r="OVO30" s="204"/>
      <c r="OVP30" s="204"/>
      <c r="OVQ30" s="204"/>
      <c r="OVR30" s="204"/>
      <c r="OVS30" s="204"/>
      <c r="OVT30" s="204"/>
      <c r="OVU30" s="204"/>
      <c r="OVV30" s="204"/>
      <c r="OVW30" s="204"/>
      <c r="OVX30" s="204"/>
      <c r="OVY30" s="204"/>
      <c r="OVZ30" s="204"/>
      <c r="OWA30" s="204"/>
      <c r="OWB30" s="204"/>
      <c r="OWC30" s="204"/>
      <c r="OWD30" s="204"/>
      <c r="OWE30" s="204"/>
      <c r="OWF30" s="204"/>
      <c r="OWG30" s="204"/>
      <c r="OWH30" s="204"/>
      <c r="OWI30" s="204"/>
      <c r="OWJ30" s="204"/>
      <c r="OWK30" s="204"/>
      <c r="OWL30" s="204"/>
      <c r="OWM30" s="204"/>
      <c r="OWN30" s="204"/>
      <c r="OWO30" s="204"/>
      <c r="OWP30" s="204"/>
      <c r="OWQ30" s="204"/>
      <c r="OWR30" s="204"/>
      <c r="OWS30" s="204"/>
      <c r="OWT30" s="204"/>
      <c r="OWU30" s="204"/>
      <c r="OWV30" s="204"/>
      <c r="OWW30" s="204"/>
      <c r="OWX30" s="204"/>
      <c r="OWY30" s="204"/>
      <c r="OWZ30" s="204"/>
      <c r="OXA30" s="204"/>
      <c r="OXB30" s="204"/>
      <c r="OXC30" s="204"/>
      <c r="OXD30" s="204"/>
      <c r="OXE30" s="204"/>
      <c r="OXF30" s="204"/>
      <c r="OXG30" s="204"/>
      <c r="OXH30" s="204"/>
      <c r="OXI30" s="204"/>
      <c r="OXJ30" s="204"/>
      <c r="OXK30" s="204"/>
      <c r="OXL30" s="204"/>
      <c r="OXM30" s="204"/>
      <c r="OXN30" s="204"/>
      <c r="OXO30" s="204"/>
      <c r="OXP30" s="204"/>
      <c r="OXQ30" s="204"/>
      <c r="OXR30" s="204"/>
      <c r="OXS30" s="204"/>
      <c r="OXT30" s="204"/>
      <c r="OXU30" s="204"/>
      <c r="OXV30" s="204"/>
      <c r="OXW30" s="204"/>
      <c r="OXX30" s="204"/>
      <c r="OXY30" s="204"/>
      <c r="OXZ30" s="204"/>
      <c r="OYA30" s="204"/>
      <c r="OYB30" s="204"/>
      <c r="OYC30" s="204"/>
      <c r="OYD30" s="204"/>
      <c r="OYE30" s="204"/>
      <c r="OYF30" s="204"/>
      <c r="OYG30" s="204"/>
      <c r="OYH30" s="204"/>
      <c r="OYI30" s="204"/>
      <c r="OYJ30" s="204"/>
      <c r="OYK30" s="204"/>
      <c r="OYL30" s="204"/>
      <c r="OYM30" s="204"/>
      <c r="OYN30" s="204"/>
      <c r="OYO30" s="204"/>
      <c r="OYP30" s="204"/>
      <c r="OYQ30" s="204"/>
      <c r="OYR30" s="204"/>
      <c r="OYS30" s="204"/>
      <c r="OYT30" s="204"/>
      <c r="OYU30" s="204"/>
      <c r="OYV30" s="204"/>
      <c r="OYW30" s="204"/>
      <c r="OYX30" s="204"/>
      <c r="OYY30" s="204"/>
      <c r="OYZ30" s="204"/>
      <c r="OZA30" s="204"/>
      <c r="OZB30" s="204"/>
      <c r="OZC30" s="204"/>
      <c r="OZD30" s="204"/>
      <c r="OZE30" s="204"/>
      <c r="OZF30" s="204"/>
      <c r="OZG30" s="204"/>
      <c r="OZH30" s="204"/>
      <c r="OZI30" s="204"/>
      <c r="OZJ30" s="204"/>
      <c r="OZK30" s="204"/>
      <c r="OZL30" s="204"/>
      <c r="OZM30" s="204"/>
      <c r="OZN30" s="204"/>
      <c r="OZO30" s="204"/>
      <c r="OZP30" s="204"/>
      <c r="OZQ30" s="204"/>
      <c r="OZR30" s="204"/>
      <c r="OZS30" s="204"/>
      <c r="OZT30" s="204"/>
      <c r="OZU30" s="204"/>
      <c r="OZV30" s="204"/>
      <c r="OZW30" s="204"/>
      <c r="OZX30" s="204"/>
      <c r="OZY30" s="204"/>
      <c r="OZZ30" s="204"/>
      <c r="PAA30" s="204"/>
      <c r="PAB30" s="204"/>
      <c r="PAC30" s="204"/>
      <c r="PAD30" s="204"/>
      <c r="PAE30" s="204"/>
      <c r="PAF30" s="204"/>
      <c r="PAG30" s="204"/>
      <c r="PAH30" s="204"/>
      <c r="PAI30" s="204"/>
      <c r="PAJ30" s="204"/>
      <c r="PAK30" s="204"/>
      <c r="PAL30" s="204"/>
      <c r="PAM30" s="204"/>
      <c r="PAN30" s="204"/>
      <c r="PAO30" s="204"/>
      <c r="PAP30" s="204"/>
      <c r="PAQ30" s="204"/>
      <c r="PAR30" s="204"/>
      <c r="PAS30" s="204"/>
      <c r="PAT30" s="204"/>
      <c r="PAU30" s="204"/>
      <c r="PAV30" s="204"/>
      <c r="PAW30" s="204"/>
      <c r="PAX30" s="204"/>
      <c r="PAY30" s="204"/>
      <c r="PAZ30" s="204"/>
      <c r="PBA30" s="204"/>
      <c r="PBB30" s="204"/>
      <c r="PBC30" s="204"/>
      <c r="PBD30" s="204"/>
      <c r="PBE30" s="204"/>
      <c r="PBF30" s="204"/>
      <c r="PBG30" s="204"/>
      <c r="PBH30" s="204"/>
      <c r="PBI30" s="204"/>
      <c r="PBJ30" s="204"/>
      <c r="PBK30" s="204"/>
      <c r="PBL30" s="204"/>
      <c r="PBM30" s="204"/>
      <c r="PBN30" s="204"/>
      <c r="PBO30" s="204"/>
      <c r="PBP30" s="204"/>
      <c r="PBQ30" s="204"/>
      <c r="PBR30" s="204"/>
      <c r="PBS30" s="204"/>
      <c r="PBT30" s="204"/>
      <c r="PBU30" s="204"/>
      <c r="PBV30" s="204"/>
      <c r="PBW30" s="204"/>
      <c r="PBX30" s="204"/>
      <c r="PBY30" s="204"/>
      <c r="PBZ30" s="204"/>
      <c r="PCA30" s="204"/>
      <c r="PCB30" s="204"/>
      <c r="PCC30" s="204"/>
      <c r="PCD30" s="204"/>
      <c r="PCE30" s="204"/>
      <c r="PCF30" s="204"/>
      <c r="PCG30" s="204"/>
      <c r="PCH30" s="204"/>
      <c r="PCI30" s="204"/>
      <c r="PCJ30" s="204"/>
      <c r="PCK30" s="204"/>
      <c r="PCL30" s="204"/>
      <c r="PCM30" s="204"/>
      <c r="PCN30" s="204"/>
      <c r="PCO30" s="204"/>
      <c r="PCP30" s="204"/>
      <c r="PCQ30" s="204"/>
      <c r="PCR30" s="204"/>
      <c r="PCS30" s="204"/>
      <c r="PCT30" s="204"/>
      <c r="PCU30" s="204"/>
      <c r="PCV30" s="204"/>
      <c r="PCW30" s="204"/>
      <c r="PCX30" s="204"/>
      <c r="PCY30" s="204"/>
      <c r="PCZ30" s="204"/>
      <c r="PDA30" s="204"/>
      <c r="PDB30" s="204"/>
      <c r="PDC30" s="204"/>
      <c r="PDD30" s="204"/>
      <c r="PDE30" s="204"/>
      <c r="PDF30" s="204"/>
      <c r="PDG30" s="204"/>
      <c r="PDH30" s="204"/>
      <c r="PDI30" s="204"/>
      <c r="PDJ30" s="204"/>
      <c r="PDK30" s="204"/>
      <c r="PDL30" s="204"/>
      <c r="PDM30" s="204"/>
      <c r="PDN30" s="204"/>
      <c r="PDO30" s="204"/>
      <c r="PDP30" s="204"/>
      <c r="PDQ30" s="204"/>
      <c r="PDR30" s="204"/>
      <c r="PDS30" s="204"/>
      <c r="PDT30" s="204"/>
      <c r="PDU30" s="204"/>
      <c r="PDV30" s="204"/>
      <c r="PDW30" s="204"/>
      <c r="PDX30" s="204"/>
      <c r="PDY30" s="204"/>
      <c r="PDZ30" s="204"/>
      <c r="PEA30" s="204"/>
      <c r="PEB30" s="204"/>
      <c r="PEC30" s="204"/>
      <c r="PED30" s="204"/>
      <c r="PEE30" s="204"/>
      <c r="PEF30" s="204"/>
      <c r="PEG30" s="204"/>
      <c r="PEH30" s="204"/>
      <c r="PEI30" s="204"/>
      <c r="PEJ30" s="204"/>
      <c r="PEK30" s="204"/>
      <c r="PEL30" s="204"/>
      <c r="PEM30" s="204"/>
      <c r="PEN30" s="204"/>
      <c r="PEO30" s="204"/>
      <c r="PEP30" s="204"/>
      <c r="PEQ30" s="204"/>
      <c r="PER30" s="204"/>
      <c r="PES30" s="204"/>
      <c r="PET30" s="204"/>
      <c r="PEU30" s="204"/>
      <c r="PEV30" s="204"/>
      <c r="PEW30" s="204"/>
      <c r="PEX30" s="204"/>
      <c r="PEY30" s="204"/>
      <c r="PEZ30" s="204"/>
      <c r="PFA30" s="204"/>
      <c r="PFB30" s="204"/>
      <c r="PFC30" s="204"/>
      <c r="PFD30" s="204"/>
      <c r="PFE30" s="204"/>
      <c r="PFF30" s="204"/>
      <c r="PFG30" s="204"/>
      <c r="PFH30" s="204"/>
      <c r="PFI30" s="204"/>
      <c r="PFJ30" s="204"/>
      <c r="PFK30" s="204"/>
      <c r="PFL30" s="204"/>
      <c r="PFM30" s="204"/>
      <c r="PFN30" s="204"/>
      <c r="PFO30" s="204"/>
      <c r="PFP30" s="204"/>
      <c r="PFQ30" s="204"/>
      <c r="PFR30" s="204"/>
      <c r="PFS30" s="204"/>
      <c r="PFT30" s="204"/>
      <c r="PFU30" s="204"/>
      <c r="PFV30" s="204"/>
      <c r="PFW30" s="204"/>
      <c r="PFX30" s="204"/>
      <c r="PFY30" s="204"/>
      <c r="PFZ30" s="204"/>
      <c r="PGA30" s="204"/>
      <c r="PGB30" s="204"/>
      <c r="PGC30" s="204"/>
      <c r="PGD30" s="204"/>
      <c r="PGE30" s="204"/>
      <c r="PGF30" s="204"/>
      <c r="PGG30" s="204"/>
      <c r="PGH30" s="204"/>
      <c r="PGI30" s="204"/>
      <c r="PGJ30" s="204"/>
      <c r="PGK30" s="204"/>
      <c r="PGL30" s="204"/>
      <c r="PGM30" s="204"/>
      <c r="PGN30" s="204"/>
      <c r="PGO30" s="204"/>
      <c r="PGP30" s="204"/>
      <c r="PGQ30" s="204"/>
      <c r="PGR30" s="204"/>
      <c r="PGS30" s="204"/>
      <c r="PGT30" s="204"/>
      <c r="PGU30" s="204"/>
      <c r="PGV30" s="204"/>
      <c r="PGW30" s="204"/>
      <c r="PGX30" s="204"/>
      <c r="PGY30" s="204"/>
      <c r="PGZ30" s="204"/>
      <c r="PHA30" s="204"/>
      <c r="PHB30" s="204"/>
      <c r="PHC30" s="204"/>
      <c r="PHD30" s="204"/>
      <c r="PHE30" s="204"/>
      <c r="PHF30" s="204"/>
      <c r="PHG30" s="204"/>
      <c r="PHH30" s="204"/>
      <c r="PHI30" s="204"/>
      <c r="PHJ30" s="204"/>
      <c r="PHK30" s="204"/>
      <c r="PHL30" s="204"/>
      <c r="PHM30" s="204"/>
      <c r="PHN30" s="204"/>
      <c r="PHO30" s="204"/>
      <c r="PHP30" s="204"/>
      <c r="PHQ30" s="204"/>
      <c r="PHR30" s="204"/>
      <c r="PHS30" s="204"/>
      <c r="PHT30" s="204"/>
      <c r="PHU30" s="204"/>
      <c r="PHV30" s="204"/>
      <c r="PHW30" s="204"/>
      <c r="PHX30" s="204"/>
      <c r="PHY30" s="204"/>
      <c r="PHZ30" s="204"/>
      <c r="PIA30" s="204"/>
      <c r="PIB30" s="204"/>
      <c r="PIC30" s="204"/>
      <c r="PID30" s="204"/>
      <c r="PIE30" s="204"/>
      <c r="PIF30" s="204"/>
      <c r="PIG30" s="204"/>
      <c r="PIH30" s="204"/>
      <c r="PII30" s="204"/>
      <c r="PIJ30" s="204"/>
      <c r="PIK30" s="204"/>
      <c r="PIL30" s="204"/>
      <c r="PIM30" s="204"/>
      <c r="PIN30" s="204"/>
      <c r="PIO30" s="204"/>
      <c r="PIP30" s="204"/>
      <c r="PIQ30" s="204"/>
      <c r="PIR30" s="204"/>
      <c r="PIS30" s="204"/>
      <c r="PIT30" s="204"/>
      <c r="PIU30" s="204"/>
      <c r="PIV30" s="204"/>
      <c r="PIW30" s="204"/>
      <c r="PIX30" s="204"/>
      <c r="PIY30" s="204"/>
      <c r="PIZ30" s="204"/>
      <c r="PJA30" s="204"/>
      <c r="PJB30" s="204"/>
      <c r="PJC30" s="204"/>
      <c r="PJD30" s="204"/>
      <c r="PJE30" s="204"/>
      <c r="PJF30" s="204"/>
      <c r="PJG30" s="204"/>
      <c r="PJH30" s="204"/>
      <c r="PJI30" s="204"/>
      <c r="PJJ30" s="204"/>
      <c r="PJK30" s="204"/>
      <c r="PJL30" s="204"/>
      <c r="PJM30" s="204"/>
      <c r="PJN30" s="204"/>
      <c r="PJO30" s="204"/>
      <c r="PJP30" s="204"/>
      <c r="PJQ30" s="204"/>
      <c r="PJR30" s="204"/>
      <c r="PJS30" s="204"/>
      <c r="PJT30" s="204"/>
      <c r="PJU30" s="204"/>
      <c r="PJV30" s="204"/>
      <c r="PJW30" s="204"/>
      <c r="PJX30" s="204"/>
      <c r="PJY30" s="204"/>
      <c r="PJZ30" s="204"/>
      <c r="PKA30" s="204"/>
      <c r="PKB30" s="204"/>
      <c r="PKC30" s="204"/>
      <c r="PKD30" s="204"/>
      <c r="PKE30" s="204"/>
      <c r="PKF30" s="204"/>
      <c r="PKG30" s="204"/>
      <c r="PKH30" s="204"/>
      <c r="PKI30" s="204"/>
      <c r="PKJ30" s="204"/>
      <c r="PKK30" s="204"/>
      <c r="PKL30" s="204"/>
      <c r="PKM30" s="204"/>
      <c r="PKN30" s="204"/>
      <c r="PKO30" s="204"/>
      <c r="PKP30" s="204"/>
      <c r="PKQ30" s="204"/>
      <c r="PKR30" s="204"/>
      <c r="PKS30" s="204"/>
      <c r="PKT30" s="204"/>
      <c r="PKU30" s="204"/>
      <c r="PKV30" s="204"/>
      <c r="PKW30" s="204"/>
      <c r="PKX30" s="204"/>
      <c r="PKY30" s="204"/>
      <c r="PKZ30" s="204"/>
      <c r="PLA30" s="204"/>
      <c r="PLB30" s="204"/>
      <c r="PLC30" s="204"/>
      <c r="PLD30" s="204"/>
      <c r="PLE30" s="204"/>
      <c r="PLF30" s="204"/>
      <c r="PLG30" s="204"/>
      <c r="PLH30" s="204"/>
      <c r="PLI30" s="204"/>
      <c r="PLJ30" s="204"/>
      <c r="PLK30" s="204"/>
      <c r="PLL30" s="204"/>
      <c r="PLM30" s="204"/>
      <c r="PLN30" s="204"/>
      <c r="PLO30" s="204"/>
      <c r="PLP30" s="204"/>
      <c r="PLQ30" s="204"/>
      <c r="PLR30" s="204"/>
      <c r="PLS30" s="204"/>
      <c r="PLT30" s="204"/>
      <c r="PLU30" s="204"/>
      <c r="PLV30" s="204"/>
      <c r="PLW30" s="204"/>
      <c r="PLX30" s="204"/>
      <c r="PLY30" s="204"/>
      <c r="PLZ30" s="204"/>
      <c r="PMA30" s="204"/>
      <c r="PMB30" s="204"/>
      <c r="PMC30" s="204"/>
      <c r="PMD30" s="204"/>
      <c r="PME30" s="204"/>
      <c r="PMF30" s="204"/>
      <c r="PMG30" s="204"/>
      <c r="PMH30" s="204"/>
      <c r="PMI30" s="204"/>
      <c r="PMJ30" s="204"/>
      <c r="PMK30" s="204"/>
      <c r="PML30" s="204"/>
      <c r="PMM30" s="204"/>
      <c r="PMN30" s="204"/>
      <c r="PMO30" s="204"/>
      <c r="PMP30" s="204"/>
      <c r="PMQ30" s="204"/>
      <c r="PMR30" s="204"/>
      <c r="PMS30" s="204"/>
      <c r="PMT30" s="204"/>
      <c r="PMU30" s="204"/>
      <c r="PMV30" s="204"/>
      <c r="PMW30" s="204"/>
      <c r="PMX30" s="204"/>
      <c r="PMY30" s="204"/>
      <c r="PMZ30" s="204"/>
      <c r="PNA30" s="204"/>
      <c r="PNB30" s="204"/>
      <c r="PNC30" s="204"/>
      <c r="PND30" s="204"/>
      <c r="PNE30" s="204"/>
      <c r="PNF30" s="204"/>
      <c r="PNG30" s="204"/>
      <c r="PNH30" s="204"/>
      <c r="PNI30" s="204"/>
      <c r="PNJ30" s="204"/>
      <c r="PNK30" s="204"/>
      <c r="PNL30" s="204"/>
      <c r="PNM30" s="204"/>
      <c r="PNN30" s="204"/>
      <c r="PNO30" s="204"/>
      <c r="PNP30" s="204"/>
      <c r="PNQ30" s="204"/>
      <c r="PNR30" s="204"/>
      <c r="PNS30" s="204"/>
      <c r="PNT30" s="204"/>
      <c r="PNU30" s="204"/>
      <c r="PNV30" s="204"/>
      <c r="PNW30" s="204"/>
      <c r="PNX30" s="204"/>
      <c r="PNY30" s="204"/>
      <c r="PNZ30" s="204"/>
      <c r="POA30" s="204"/>
      <c r="POB30" s="204"/>
      <c r="POC30" s="204"/>
      <c r="POD30" s="204"/>
      <c r="POE30" s="204"/>
      <c r="POF30" s="204"/>
      <c r="POG30" s="204"/>
      <c r="POH30" s="204"/>
      <c r="POI30" s="204"/>
      <c r="POJ30" s="204"/>
      <c r="POK30" s="204"/>
      <c r="POL30" s="204"/>
      <c r="POM30" s="204"/>
      <c r="PON30" s="204"/>
      <c r="POO30" s="204"/>
      <c r="POP30" s="204"/>
      <c r="POQ30" s="204"/>
      <c r="POR30" s="204"/>
      <c r="POS30" s="204"/>
      <c r="POT30" s="204"/>
      <c r="POU30" s="204"/>
      <c r="POV30" s="204"/>
      <c r="POW30" s="204"/>
      <c r="POX30" s="204"/>
      <c r="POY30" s="204"/>
      <c r="POZ30" s="204"/>
      <c r="PPA30" s="204"/>
      <c r="PPB30" s="204"/>
      <c r="PPC30" s="204"/>
      <c r="PPD30" s="204"/>
      <c r="PPE30" s="204"/>
      <c r="PPF30" s="204"/>
      <c r="PPG30" s="204"/>
      <c r="PPH30" s="204"/>
      <c r="PPI30" s="204"/>
      <c r="PPJ30" s="204"/>
      <c r="PPK30" s="204"/>
      <c r="PPL30" s="204"/>
      <c r="PPM30" s="204"/>
      <c r="PPN30" s="204"/>
      <c r="PPO30" s="204"/>
      <c r="PPP30" s="204"/>
      <c r="PPQ30" s="204"/>
      <c r="PPR30" s="204"/>
      <c r="PPS30" s="204"/>
      <c r="PPT30" s="204"/>
      <c r="PPU30" s="204"/>
      <c r="PPV30" s="204"/>
      <c r="PPW30" s="204"/>
      <c r="PPX30" s="204"/>
      <c r="PPY30" s="204"/>
      <c r="PPZ30" s="204"/>
      <c r="PQA30" s="204"/>
      <c r="PQB30" s="204"/>
      <c r="PQC30" s="204"/>
      <c r="PQD30" s="204"/>
      <c r="PQE30" s="204"/>
      <c r="PQF30" s="204"/>
      <c r="PQG30" s="204"/>
      <c r="PQH30" s="204"/>
      <c r="PQI30" s="204"/>
      <c r="PQJ30" s="204"/>
      <c r="PQK30" s="204"/>
      <c r="PQL30" s="204"/>
      <c r="PQM30" s="204"/>
      <c r="PQN30" s="204"/>
      <c r="PQO30" s="204"/>
      <c r="PQP30" s="204"/>
      <c r="PQQ30" s="204"/>
      <c r="PQR30" s="204"/>
      <c r="PQS30" s="204"/>
      <c r="PQT30" s="204"/>
      <c r="PQU30" s="204"/>
      <c r="PQV30" s="204"/>
      <c r="PQW30" s="204"/>
      <c r="PQX30" s="204"/>
      <c r="PQY30" s="204"/>
      <c r="PQZ30" s="204"/>
      <c r="PRA30" s="204"/>
      <c r="PRB30" s="204"/>
      <c r="PRC30" s="204"/>
      <c r="PRD30" s="204"/>
      <c r="PRE30" s="204"/>
      <c r="PRF30" s="204"/>
      <c r="PRG30" s="204"/>
      <c r="PRH30" s="204"/>
      <c r="PRI30" s="204"/>
      <c r="PRJ30" s="204"/>
      <c r="PRK30" s="204"/>
      <c r="PRL30" s="204"/>
      <c r="PRM30" s="204"/>
      <c r="PRN30" s="204"/>
      <c r="PRO30" s="204"/>
      <c r="PRP30" s="204"/>
      <c r="PRQ30" s="204"/>
      <c r="PRR30" s="204"/>
      <c r="PRS30" s="204"/>
      <c r="PRT30" s="204"/>
      <c r="PRU30" s="204"/>
      <c r="PRV30" s="204"/>
      <c r="PRW30" s="204"/>
      <c r="PRX30" s="204"/>
      <c r="PRY30" s="204"/>
      <c r="PRZ30" s="204"/>
      <c r="PSA30" s="204"/>
      <c r="PSB30" s="204"/>
      <c r="PSC30" s="204"/>
      <c r="PSD30" s="204"/>
      <c r="PSE30" s="204"/>
      <c r="PSF30" s="204"/>
      <c r="PSG30" s="204"/>
      <c r="PSH30" s="204"/>
      <c r="PSI30" s="204"/>
      <c r="PSJ30" s="204"/>
      <c r="PSK30" s="204"/>
      <c r="PSL30" s="204"/>
      <c r="PSM30" s="204"/>
      <c r="PSN30" s="204"/>
      <c r="PSO30" s="204"/>
      <c r="PSP30" s="204"/>
      <c r="PSQ30" s="204"/>
      <c r="PSR30" s="204"/>
      <c r="PSS30" s="204"/>
      <c r="PST30" s="204"/>
      <c r="PSU30" s="204"/>
      <c r="PSV30" s="204"/>
      <c r="PSW30" s="204"/>
      <c r="PSX30" s="204"/>
      <c r="PSY30" s="204"/>
      <c r="PSZ30" s="204"/>
      <c r="PTA30" s="204"/>
      <c r="PTB30" s="204"/>
      <c r="PTC30" s="204"/>
      <c r="PTD30" s="204"/>
      <c r="PTE30" s="204"/>
      <c r="PTF30" s="204"/>
      <c r="PTG30" s="204"/>
      <c r="PTH30" s="204"/>
      <c r="PTI30" s="204"/>
      <c r="PTJ30" s="204"/>
      <c r="PTK30" s="204"/>
      <c r="PTL30" s="204"/>
      <c r="PTM30" s="204"/>
      <c r="PTN30" s="204"/>
      <c r="PTO30" s="204"/>
      <c r="PTP30" s="204"/>
      <c r="PTQ30" s="204"/>
      <c r="PTR30" s="204"/>
      <c r="PTS30" s="204"/>
      <c r="PTT30" s="204"/>
      <c r="PTU30" s="204"/>
      <c r="PTV30" s="204"/>
      <c r="PTW30" s="204"/>
      <c r="PTX30" s="204"/>
      <c r="PTY30" s="204"/>
      <c r="PTZ30" s="204"/>
      <c r="PUA30" s="204"/>
      <c r="PUB30" s="204"/>
      <c r="PUC30" s="204"/>
      <c r="PUD30" s="204"/>
      <c r="PUE30" s="204"/>
      <c r="PUF30" s="204"/>
      <c r="PUG30" s="204"/>
      <c r="PUH30" s="204"/>
      <c r="PUI30" s="204"/>
      <c r="PUJ30" s="204"/>
      <c r="PUK30" s="204"/>
      <c r="PUL30" s="204"/>
      <c r="PUM30" s="204"/>
      <c r="PUN30" s="204"/>
      <c r="PUO30" s="204"/>
      <c r="PUP30" s="204"/>
      <c r="PUQ30" s="204"/>
      <c r="PUR30" s="204"/>
      <c r="PUS30" s="204"/>
      <c r="PUT30" s="204"/>
      <c r="PUU30" s="204"/>
      <c r="PUV30" s="204"/>
      <c r="PUW30" s="204"/>
      <c r="PUX30" s="204"/>
      <c r="PUY30" s="204"/>
      <c r="PUZ30" s="204"/>
      <c r="PVA30" s="204"/>
      <c r="PVB30" s="204"/>
      <c r="PVC30" s="204"/>
      <c r="PVD30" s="204"/>
      <c r="PVE30" s="204"/>
      <c r="PVF30" s="204"/>
      <c r="PVG30" s="204"/>
      <c r="PVH30" s="204"/>
      <c r="PVI30" s="204"/>
      <c r="PVJ30" s="204"/>
      <c r="PVK30" s="204"/>
      <c r="PVL30" s="204"/>
      <c r="PVM30" s="204"/>
      <c r="PVN30" s="204"/>
      <c r="PVO30" s="204"/>
      <c r="PVP30" s="204"/>
      <c r="PVQ30" s="204"/>
      <c r="PVR30" s="204"/>
      <c r="PVS30" s="204"/>
      <c r="PVT30" s="204"/>
      <c r="PVU30" s="204"/>
      <c r="PVV30" s="204"/>
      <c r="PVW30" s="204"/>
      <c r="PVX30" s="204"/>
      <c r="PVY30" s="204"/>
      <c r="PVZ30" s="204"/>
      <c r="PWA30" s="204"/>
      <c r="PWB30" s="204"/>
      <c r="PWC30" s="204"/>
      <c r="PWD30" s="204"/>
      <c r="PWE30" s="204"/>
      <c r="PWF30" s="204"/>
      <c r="PWG30" s="204"/>
      <c r="PWH30" s="204"/>
      <c r="PWI30" s="204"/>
      <c r="PWJ30" s="204"/>
      <c r="PWK30" s="204"/>
      <c r="PWL30" s="204"/>
      <c r="PWM30" s="204"/>
      <c r="PWN30" s="204"/>
      <c r="PWO30" s="204"/>
      <c r="PWP30" s="204"/>
      <c r="PWQ30" s="204"/>
      <c r="PWR30" s="204"/>
      <c r="PWS30" s="204"/>
      <c r="PWT30" s="204"/>
      <c r="PWU30" s="204"/>
      <c r="PWV30" s="204"/>
      <c r="PWW30" s="204"/>
      <c r="PWX30" s="204"/>
      <c r="PWY30" s="204"/>
      <c r="PWZ30" s="204"/>
      <c r="PXA30" s="204"/>
      <c r="PXB30" s="204"/>
      <c r="PXC30" s="204"/>
      <c r="PXD30" s="204"/>
      <c r="PXE30" s="204"/>
      <c r="PXF30" s="204"/>
      <c r="PXG30" s="204"/>
      <c r="PXH30" s="204"/>
      <c r="PXI30" s="204"/>
      <c r="PXJ30" s="204"/>
      <c r="PXK30" s="204"/>
      <c r="PXL30" s="204"/>
      <c r="PXM30" s="204"/>
      <c r="PXN30" s="204"/>
      <c r="PXO30" s="204"/>
      <c r="PXP30" s="204"/>
      <c r="PXQ30" s="204"/>
      <c r="PXR30" s="204"/>
      <c r="PXS30" s="204"/>
      <c r="PXT30" s="204"/>
      <c r="PXU30" s="204"/>
      <c r="PXV30" s="204"/>
      <c r="PXW30" s="204"/>
      <c r="PXX30" s="204"/>
      <c r="PXY30" s="204"/>
      <c r="PXZ30" s="204"/>
      <c r="PYA30" s="204"/>
      <c r="PYB30" s="204"/>
      <c r="PYC30" s="204"/>
      <c r="PYD30" s="204"/>
      <c r="PYE30" s="204"/>
      <c r="PYF30" s="204"/>
      <c r="PYG30" s="204"/>
      <c r="PYH30" s="204"/>
      <c r="PYI30" s="204"/>
      <c r="PYJ30" s="204"/>
      <c r="PYK30" s="204"/>
      <c r="PYL30" s="204"/>
      <c r="PYM30" s="204"/>
      <c r="PYN30" s="204"/>
      <c r="PYO30" s="204"/>
      <c r="PYP30" s="204"/>
      <c r="PYQ30" s="204"/>
      <c r="PYR30" s="204"/>
      <c r="PYS30" s="204"/>
      <c r="PYT30" s="204"/>
      <c r="PYU30" s="204"/>
      <c r="PYV30" s="204"/>
      <c r="PYW30" s="204"/>
      <c r="PYX30" s="204"/>
      <c r="PYY30" s="204"/>
      <c r="PYZ30" s="204"/>
      <c r="PZA30" s="204"/>
      <c r="PZB30" s="204"/>
      <c r="PZC30" s="204"/>
      <c r="PZD30" s="204"/>
      <c r="PZE30" s="204"/>
      <c r="PZF30" s="204"/>
      <c r="PZG30" s="204"/>
      <c r="PZH30" s="204"/>
      <c r="PZI30" s="204"/>
      <c r="PZJ30" s="204"/>
      <c r="PZK30" s="204"/>
      <c r="PZL30" s="204"/>
      <c r="PZM30" s="204"/>
      <c r="PZN30" s="204"/>
      <c r="PZO30" s="204"/>
      <c r="PZP30" s="204"/>
      <c r="PZQ30" s="204"/>
      <c r="PZR30" s="204"/>
      <c r="PZS30" s="204"/>
      <c r="PZT30" s="204"/>
      <c r="PZU30" s="204"/>
      <c r="PZV30" s="204"/>
      <c r="PZW30" s="204"/>
      <c r="PZX30" s="204"/>
      <c r="PZY30" s="204"/>
      <c r="PZZ30" s="204"/>
      <c r="QAA30" s="204"/>
      <c r="QAB30" s="204"/>
      <c r="QAC30" s="204"/>
      <c r="QAD30" s="204"/>
      <c r="QAE30" s="204"/>
      <c r="QAF30" s="204"/>
      <c r="QAG30" s="204"/>
      <c r="QAH30" s="204"/>
      <c r="QAI30" s="204"/>
      <c r="QAJ30" s="204"/>
      <c r="QAK30" s="204"/>
      <c r="QAL30" s="204"/>
      <c r="QAM30" s="204"/>
      <c r="QAN30" s="204"/>
      <c r="QAO30" s="204"/>
      <c r="QAP30" s="204"/>
      <c r="QAQ30" s="204"/>
      <c r="QAR30" s="204"/>
      <c r="QAS30" s="204"/>
      <c r="QAT30" s="204"/>
      <c r="QAU30" s="204"/>
      <c r="QAV30" s="204"/>
      <c r="QAW30" s="204"/>
      <c r="QAX30" s="204"/>
      <c r="QAY30" s="204"/>
      <c r="QAZ30" s="204"/>
      <c r="QBA30" s="204"/>
      <c r="QBB30" s="204"/>
      <c r="QBC30" s="204"/>
      <c r="QBD30" s="204"/>
      <c r="QBE30" s="204"/>
      <c r="QBF30" s="204"/>
      <c r="QBG30" s="204"/>
      <c r="QBH30" s="204"/>
      <c r="QBI30" s="204"/>
      <c r="QBJ30" s="204"/>
      <c r="QBK30" s="204"/>
      <c r="QBL30" s="204"/>
      <c r="QBM30" s="204"/>
      <c r="QBN30" s="204"/>
      <c r="QBO30" s="204"/>
      <c r="QBP30" s="204"/>
      <c r="QBQ30" s="204"/>
      <c r="QBR30" s="204"/>
      <c r="QBS30" s="204"/>
      <c r="QBT30" s="204"/>
      <c r="QBU30" s="204"/>
      <c r="QBV30" s="204"/>
      <c r="QBW30" s="204"/>
      <c r="QBX30" s="204"/>
      <c r="QBY30" s="204"/>
      <c r="QBZ30" s="204"/>
      <c r="QCA30" s="204"/>
      <c r="QCB30" s="204"/>
      <c r="QCC30" s="204"/>
      <c r="QCD30" s="204"/>
      <c r="QCE30" s="204"/>
      <c r="QCF30" s="204"/>
      <c r="QCG30" s="204"/>
      <c r="QCH30" s="204"/>
      <c r="QCI30" s="204"/>
      <c r="QCJ30" s="204"/>
      <c r="QCK30" s="204"/>
      <c r="QCL30" s="204"/>
      <c r="QCM30" s="204"/>
      <c r="QCN30" s="204"/>
      <c r="QCO30" s="204"/>
      <c r="QCP30" s="204"/>
      <c r="QCQ30" s="204"/>
      <c r="QCR30" s="204"/>
      <c r="QCS30" s="204"/>
      <c r="QCT30" s="204"/>
      <c r="QCU30" s="204"/>
      <c r="QCV30" s="204"/>
      <c r="QCW30" s="204"/>
      <c r="QCX30" s="204"/>
      <c r="QCY30" s="204"/>
      <c r="QCZ30" s="204"/>
      <c r="QDA30" s="204"/>
      <c r="QDB30" s="204"/>
      <c r="QDC30" s="204"/>
      <c r="QDD30" s="204"/>
      <c r="QDE30" s="204"/>
      <c r="QDF30" s="204"/>
      <c r="QDG30" s="204"/>
      <c r="QDH30" s="204"/>
      <c r="QDI30" s="204"/>
      <c r="QDJ30" s="204"/>
      <c r="QDK30" s="204"/>
      <c r="QDL30" s="204"/>
      <c r="QDM30" s="204"/>
      <c r="QDN30" s="204"/>
      <c r="QDO30" s="204"/>
      <c r="QDP30" s="204"/>
      <c r="QDQ30" s="204"/>
      <c r="QDR30" s="204"/>
      <c r="QDS30" s="204"/>
      <c r="QDT30" s="204"/>
      <c r="QDU30" s="204"/>
      <c r="QDV30" s="204"/>
      <c r="QDW30" s="204"/>
      <c r="QDX30" s="204"/>
      <c r="QDY30" s="204"/>
      <c r="QDZ30" s="204"/>
      <c r="QEA30" s="204"/>
      <c r="QEB30" s="204"/>
      <c r="QEC30" s="204"/>
      <c r="QED30" s="204"/>
      <c r="QEE30" s="204"/>
      <c r="QEF30" s="204"/>
      <c r="QEG30" s="204"/>
      <c r="QEH30" s="204"/>
      <c r="QEI30" s="204"/>
      <c r="QEJ30" s="204"/>
      <c r="QEK30" s="204"/>
      <c r="QEL30" s="204"/>
      <c r="QEM30" s="204"/>
      <c r="QEN30" s="204"/>
      <c r="QEO30" s="204"/>
      <c r="QEP30" s="204"/>
      <c r="QEQ30" s="204"/>
      <c r="QER30" s="204"/>
      <c r="QES30" s="204"/>
      <c r="QET30" s="204"/>
      <c r="QEU30" s="204"/>
      <c r="QEV30" s="204"/>
      <c r="QEW30" s="204"/>
      <c r="QEX30" s="204"/>
      <c r="QEY30" s="204"/>
      <c r="QEZ30" s="204"/>
      <c r="QFA30" s="204"/>
      <c r="QFB30" s="204"/>
      <c r="QFC30" s="204"/>
      <c r="QFD30" s="204"/>
      <c r="QFE30" s="204"/>
      <c r="QFF30" s="204"/>
      <c r="QFG30" s="204"/>
      <c r="QFH30" s="204"/>
      <c r="QFI30" s="204"/>
      <c r="QFJ30" s="204"/>
      <c r="QFK30" s="204"/>
      <c r="QFL30" s="204"/>
      <c r="QFM30" s="204"/>
      <c r="QFN30" s="204"/>
      <c r="QFO30" s="204"/>
      <c r="QFP30" s="204"/>
      <c r="QFQ30" s="204"/>
      <c r="QFR30" s="204"/>
      <c r="QFS30" s="204"/>
      <c r="QFT30" s="204"/>
      <c r="QFU30" s="204"/>
      <c r="QFV30" s="204"/>
      <c r="QFW30" s="204"/>
      <c r="QFX30" s="204"/>
      <c r="QFY30" s="204"/>
      <c r="QFZ30" s="204"/>
      <c r="QGA30" s="204"/>
      <c r="QGB30" s="204"/>
      <c r="QGC30" s="204"/>
      <c r="QGD30" s="204"/>
      <c r="QGE30" s="204"/>
      <c r="QGF30" s="204"/>
      <c r="QGG30" s="204"/>
      <c r="QGH30" s="204"/>
      <c r="QGI30" s="204"/>
      <c r="QGJ30" s="204"/>
      <c r="QGK30" s="204"/>
      <c r="QGL30" s="204"/>
      <c r="QGM30" s="204"/>
      <c r="QGN30" s="204"/>
      <c r="QGO30" s="204"/>
      <c r="QGP30" s="204"/>
      <c r="QGQ30" s="204"/>
      <c r="QGR30" s="204"/>
      <c r="QGS30" s="204"/>
      <c r="QGT30" s="204"/>
      <c r="QGU30" s="204"/>
      <c r="QGV30" s="204"/>
      <c r="QGW30" s="204"/>
      <c r="QGX30" s="204"/>
      <c r="QGY30" s="204"/>
      <c r="QGZ30" s="204"/>
      <c r="QHA30" s="204"/>
      <c r="QHB30" s="204"/>
      <c r="QHC30" s="204"/>
      <c r="QHD30" s="204"/>
      <c r="QHE30" s="204"/>
      <c r="QHF30" s="204"/>
      <c r="QHG30" s="204"/>
      <c r="QHH30" s="204"/>
      <c r="QHI30" s="204"/>
      <c r="QHJ30" s="204"/>
      <c r="QHK30" s="204"/>
      <c r="QHL30" s="204"/>
      <c r="QHM30" s="204"/>
      <c r="QHN30" s="204"/>
      <c r="QHO30" s="204"/>
      <c r="QHP30" s="204"/>
      <c r="QHQ30" s="204"/>
      <c r="QHR30" s="204"/>
      <c r="QHS30" s="204"/>
      <c r="QHT30" s="204"/>
      <c r="QHU30" s="204"/>
      <c r="QHV30" s="204"/>
      <c r="QHW30" s="204"/>
      <c r="QHX30" s="204"/>
      <c r="QHY30" s="204"/>
      <c r="QHZ30" s="204"/>
      <c r="QIA30" s="204"/>
      <c r="QIB30" s="204"/>
      <c r="QIC30" s="204"/>
      <c r="QID30" s="204"/>
      <c r="QIE30" s="204"/>
      <c r="QIF30" s="204"/>
      <c r="QIG30" s="204"/>
      <c r="QIH30" s="204"/>
      <c r="QII30" s="204"/>
      <c r="QIJ30" s="204"/>
      <c r="QIK30" s="204"/>
      <c r="QIL30" s="204"/>
      <c r="QIM30" s="204"/>
      <c r="QIN30" s="204"/>
      <c r="QIO30" s="204"/>
      <c r="QIP30" s="204"/>
      <c r="QIQ30" s="204"/>
      <c r="QIR30" s="204"/>
      <c r="QIS30" s="204"/>
      <c r="QIT30" s="204"/>
      <c r="QIU30" s="204"/>
      <c r="QIV30" s="204"/>
      <c r="QIW30" s="204"/>
      <c r="QIX30" s="204"/>
      <c r="QIY30" s="204"/>
      <c r="QIZ30" s="204"/>
      <c r="QJA30" s="204"/>
      <c r="QJB30" s="204"/>
      <c r="QJC30" s="204"/>
      <c r="QJD30" s="204"/>
      <c r="QJE30" s="204"/>
      <c r="QJF30" s="204"/>
      <c r="QJG30" s="204"/>
      <c r="QJH30" s="204"/>
      <c r="QJI30" s="204"/>
      <c r="QJJ30" s="204"/>
      <c r="QJK30" s="204"/>
      <c r="QJL30" s="204"/>
      <c r="QJM30" s="204"/>
      <c r="QJN30" s="204"/>
      <c r="QJO30" s="204"/>
      <c r="QJP30" s="204"/>
      <c r="QJQ30" s="204"/>
      <c r="QJR30" s="204"/>
      <c r="QJS30" s="204"/>
      <c r="QJT30" s="204"/>
      <c r="QJU30" s="204"/>
      <c r="QJV30" s="204"/>
      <c r="QJW30" s="204"/>
      <c r="QJX30" s="204"/>
      <c r="QJY30" s="204"/>
      <c r="QJZ30" s="204"/>
      <c r="QKA30" s="204"/>
      <c r="QKB30" s="204"/>
      <c r="QKC30" s="204"/>
      <c r="QKD30" s="204"/>
      <c r="QKE30" s="204"/>
      <c r="QKF30" s="204"/>
      <c r="QKG30" s="204"/>
      <c r="QKH30" s="204"/>
      <c r="QKI30" s="204"/>
      <c r="QKJ30" s="204"/>
      <c r="QKK30" s="204"/>
      <c r="QKL30" s="204"/>
      <c r="QKM30" s="204"/>
      <c r="QKN30" s="204"/>
      <c r="QKO30" s="204"/>
      <c r="QKP30" s="204"/>
      <c r="QKQ30" s="204"/>
      <c r="QKR30" s="204"/>
      <c r="QKS30" s="204"/>
      <c r="QKT30" s="204"/>
      <c r="QKU30" s="204"/>
      <c r="QKV30" s="204"/>
      <c r="QKW30" s="204"/>
      <c r="QKX30" s="204"/>
      <c r="QKY30" s="204"/>
      <c r="QKZ30" s="204"/>
      <c r="QLA30" s="204"/>
      <c r="QLB30" s="204"/>
      <c r="QLC30" s="204"/>
      <c r="QLD30" s="204"/>
      <c r="QLE30" s="204"/>
      <c r="QLF30" s="204"/>
      <c r="QLG30" s="204"/>
      <c r="QLH30" s="204"/>
      <c r="QLI30" s="204"/>
      <c r="QLJ30" s="204"/>
      <c r="QLK30" s="204"/>
      <c r="QLL30" s="204"/>
      <c r="QLM30" s="204"/>
      <c r="QLN30" s="204"/>
      <c r="QLO30" s="204"/>
      <c r="QLP30" s="204"/>
      <c r="QLQ30" s="204"/>
      <c r="QLR30" s="204"/>
      <c r="QLS30" s="204"/>
      <c r="QLT30" s="204"/>
      <c r="QLU30" s="204"/>
      <c r="QLV30" s="204"/>
      <c r="QLW30" s="204"/>
      <c r="QLX30" s="204"/>
      <c r="QLY30" s="204"/>
      <c r="QLZ30" s="204"/>
      <c r="QMA30" s="204"/>
      <c r="QMB30" s="204"/>
      <c r="QMC30" s="204"/>
      <c r="QMD30" s="204"/>
      <c r="QME30" s="204"/>
      <c r="QMF30" s="204"/>
      <c r="QMG30" s="204"/>
      <c r="QMH30" s="204"/>
      <c r="QMI30" s="204"/>
      <c r="QMJ30" s="204"/>
      <c r="QMK30" s="204"/>
      <c r="QML30" s="204"/>
      <c r="QMM30" s="204"/>
      <c r="QMN30" s="204"/>
      <c r="QMO30" s="204"/>
      <c r="QMP30" s="204"/>
      <c r="QMQ30" s="204"/>
      <c r="QMR30" s="204"/>
      <c r="QMS30" s="204"/>
      <c r="QMT30" s="204"/>
      <c r="QMU30" s="204"/>
      <c r="QMV30" s="204"/>
      <c r="QMW30" s="204"/>
      <c r="QMX30" s="204"/>
      <c r="QMY30" s="204"/>
      <c r="QMZ30" s="204"/>
      <c r="QNA30" s="204"/>
      <c r="QNB30" s="204"/>
      <c r="QNC30" s="204"/>
      <c r="QND30" s="204"/>
      <c r="QNE30" s="204"/>
      <c r="QNF30" s="204"/>
      <c r="QNG30" s="204"/>
      <c r="QNH30" s="204"/>
      <c r="QNI30" s="204"/>
      <c r="QNJ30" s="204"/>
      <c r="QNK30" s="204"/>
      <c r="QNL30" s="204"/>
      <c r="QNM30" s="204"/>
      <c r="QNN30" s="204"/>
      <c r="QNO30" s="204"/>
      <c r="QNP30" s="204"/>
      <c r="QNQ30" s="204"/>
      <c r="QNR30" s="204"/>
      <c r="QNS30" s="204"/>
      <c r="QNT30" s="204"/>
      <c r="QNU30" s="204"/>
      <c r="QNV30" s="204"/>
      <c r="QNW30" s="204"/>
      <c r="QNX30" s="204"/>
      <c r="QNY30" s="204"/>
      <c r="QNZ30" s="204"/>
      <c r="QOA30" s="204"/>
      <c r="QOB30" s="204"/>
      <c r="QOC30" s="204"/>
      <c r="QOD30" s="204"/>
      <c r="QOE30" s="204"/>
      <c r="QOF30" s="204"/>
      <c r="QOG30" s="204"/>
      <c r="QOH30" s="204"/>
      <c r="QOI30" s="204"/>
      <c r="QOJ30" s="204"/>
      <c r="QOK30" s="204"/>
      <c r="QOL30" s="204"/>
      <c r="QOM30" s="204"/>
      <c r="QON30" s="204"/>
      <c r="QOO30" s="204"/>
      <c r="QOP30" s="204"/>
      <c r="QOQ30" s="204"/>
      <c r="QOR30" s="204"/>
      <c r="QOS30" s="204"/>
      <c r="QOT30" s="204"/>
      <c r="QOU30" s="204"/>
      <c r="QOV30" s="204"/>
      <c r="QOW30" s="204"/>
      <c r="QOX30" s="204"/>
      <c r="QOY30" s="204"/>
      <c r="QOZ30" s="204"/>
      <c r="QPA30" s="204"/>
      <c r="QPB30" s="204"/>
      <c r="QPC30" s="204"/>
      <c r="QPD30" s="204"/>
      <c r="QPE30" s="204"/>
      <c r="QPF30" s="204"/>
      <c r="QPG30" s="204"/>
      <c r="QPH30" s="204"/>
      <c r="QPI30" s="204"/>
      <c r="QPJ30" s="204"/>
      <c r="QPK30" s="204"/>
      <c r="QPL30" s="204"/>
      <c r="QPM30" s="204"/>
      <c r="QPN30" s="204"/>
      <c r="QPO30" s="204"/>
      <c r="QPP30" s="204"/>
      <c r="QPQ30" s="204"/>
      <c r="QPR30" s="204"/>
      <c r="QPS30" s="204"/>
      <c r="QPT30" s="204"/>
      <c r="QPU30" s="204"/>
      <c r="QPV30" s="204"/>
      <c r="QPW30" s="204"/>
      <c r="QPX30" s="204"/>
      <c r="QPY30" s="204"/>
      <c r="QPZ30" s="204"/>
      <c r="QQA30" s="204"/>
      <c r="QQB30" s="204"/>
      <c r="QQC30" s="204"/>
      <c r="QQD30" s="204"/>
      <c r="QQE30" s="204"/>
      <c r="QQF30" s="204"/>
      <c r="QQG30" s="204"/>
      <c r="QQH30" s="204"/>
      <c r="QQI30" s="204"/>
      <c r="QQJ30" s="204"/>
      <c r="QQK30" s="204"/>
      <c r="QQL30" s="204"/>
      <c r="QQM30" s="204"/>
      <c r="QQN30" s="204"/>
      <c r="QQO30" s="204"/>
      <c r="QQP30" s="204"/>
      <c r="QQQ30" s="204"/>
      <c r="QQR30" s="204"/>
      <c r="QQS30" s="204"/>
      <c r="QQT30" s="204"/>
      <c r="QQU30" s="204"/>
      <c r="QQV30" s="204"/>
      <c r="QQW30" s="204"/>
      <c r="QQX30" s="204"/>
      <c r="QQY30" s="204"/>
      <c r="QQZ30" s="204"/>
      <c r="QRA30" s="204"/>
      <c r="QRB30" s="204"/>
      <c r="QRC30" s="204"/>
      <c r="QRD30" s="204"/>
      <c r="QRE30" s="204"/>
      <c r="QRF30" s="204"/>
      <c r="QRG30" s="204"/>
      <c r="QRH30" s="204"/>
      <c r="QRI30" s="204"/>
      <c r="QRJ30" s="204"/>
      <c r="QRK30" s="204"/>
      <c r="QRL30" s="204"/>
      <c r="QRM30" s="204"/>
      <c r="QRN30" s="204"/>
      <c r="QRO30" s="204"/>
      <c r="QRP30" s="204"/>
      <c r="QRQ30" s="204"/>
      <c r="QRR30" s="204"/>
      <c r="QRS30" s="204"/>
      <c r="QRT30" s="204"/>
      <c r="QRU30" s="204"/>
      <c r="QRV30" s="204"/>
      <c r="QRW30" s="204"/>
      <c r="QRX30" s="204"/>
      <c r="QRY30" s="204"/>
      <c r="QRZ30" s="204"/>
      <c r="QSA30" s="204"/>
      <c r="QSB30" s="204"/>
      <c r="QSC30" s="204"/>
      <c r="QSD30" s="204"/>
      <c r="QSE30" s="204"/>
      <c r="QSF30" s="204"/>
      <c r="QSG30" s="204"/>
      <c r="QSH30" s="204"/>
      <c r="QSI30" s="204"/>
      <c r="QSJ30" s="204"/>
      <c r="QSK30" s="204"/>
      <c r="QSL30" s="204"/>
      <c r="QSM30" s="204"/>
      <c r="QSN30" s="204"/>
      <c r="QSO30" s="204"/>
      <c r="QSP30" s="204"/>
      <c r="QSQ30" s="204"/>
      <c r="QSR30" s="204"/>
      <c r="QSS30" s="204"/>
      <c r="QST30" s="204"/>
      <c r="QSU30" s="204"/>
      <c r="QSV30" s="204"/>
      <c r="QSW30" s="204"/>
      <c r="QSX30" s="204"/>
      <c r="QSY30" s="204"/>
      <c r="QSZ30" s="204"/>
      <c r="QTA30" s="204"/>
      <c r="QTB30" s="204"/>
      <c r="QTC30" s="204"/>
      <c r="QTD30" s="204"/>
      <c r="QTE30" s="204"/>
      <c r="QTF30" s="204"/>
      <c r="QTG30" s="204"/>
      <c r="QTH30" s="204"/>
      <c r="QTI30" s="204"/>
      <c r="QTJ30" s="204"/>
      <c r="QTK30" s="204"/>
      <c r="QTL30" s="204"/>
      <c r="QTM30" s="204"/>
      <c r="QTN30" s="204"/>
      <c r="QTO30" s="204"/>
      <c r="QTP30" s="204"/>
      <c r="QTQ30" s="204"/>
      <c r="QTR30" s="204"/>
      <c r="QTS30" s="204"/>
      <c r="QTT30" s="204"/>
      <c r="QTU30" s="204"/>
      <c r="QTV30" s="204"/>
      <c r="QTW30" s="204"/>
      <c r="QTX30" s="204"/>
      <c r="QTY30" s="204"/>
      <c r="QTZ30" s="204"/>
      <c r="QUA30" s="204"/>
      <c r="QUB30" s="204"/>
      <c r="QUC30" s="204"/>
      <c r="QUD30" s="204"/>
      <c r="QUE30" s="204"/>
      <c r="QUF30" s="204"/>
      <c r="QUG30" s="204"/>
      <c r="QUH30" s="204"/>
      <c r="QUI30" s="204"/>
      <c r="QUJ30" s="204"/>
      <c r="QUK30" s="204"/>
      <c r="QUL30" s="204"/>
      <c r="QUM30" s="204"/>
      <c r="QUN30" s="204"/>
      <c r="QUO30" s="204"/>
      <c r="QUP30" s="204"/>
      <c r="QUQ30" s="204"/>
      <c r="QUR30" s="204"/>
      <c r="QUS30" s="204"/>
      <c r="QUT30" s="204"/>
      <c r="QUU30" s="204"/>
      <c r="QUV30" s="204"/>
      <c r="QUW30" s="204"/>
      <c r="QUX30" s="204"/>
      <c r="QUY30" s="204"/>
      <c r="QUZ30" s="204"/>
      <c r="QVA30" s="204"/>
      <c r="QVB30" s="204"/>
      <c r="QVC30" s="204"/>
      <c r="QVD30" s="204"/>
      <c r="QVE30" s="204"/>
      <c r="QVF30" s="204"/>
      <c r="QVG30" s="204"/>
      <c r="QVH30" s="204"/>
      <c r="QVI30" s="204"/>
      <c r="QVJ30" s="204"/>
      <c r="QVK30" s="204"/>
      <c r="QVL30" s="204"/>
      <c r="QVM30" s="204"/>
      <c r="QVN30" s="204"/>
      <c r="QVO30" s="204"/>
      <c r="QVP30" s="204"/>
      <c r="QVQ30" s="204"/>
      <c r="QVR30" s="204"/>
      <c r="QVS30" s="204"/>
      <c r="QVT30" s="204"/>
      <c r="QVU30" s="204"/>
      <c r="QVV30" s="204"/>
      <c r="QVW30" s="204"/>
      <c r="QVX30" s="204"/>
      <c r="QVY30" s="204"/>
      <c r="QVZ30" s="204"/>
      <c r="QWA30" s="204"/>
      <c r="QWB30" s="204"/>
      <c r="QWC30" s="204"/>
      <c r="QWD30" s="204"/>
      <c r="QWE30" s="204"/>
      <c r="QWF30" s="204"/>
      <c r="QWG30" s="204"/>
      <c r="QWH30" s="204"/>
      <c r="QWI30" s="204"/>
      <c r="QWJ30" s="204"/>
      <c r="QWK30" s="204"/>
      <c r="QWL30" s="204"/>
      <c r="QWM30" s="204"/>
      <c r="QWN30" s="204"/>
      <c r="QWO30" s="204"/>
      <c r="QWP30" s="204"/>
      <c r="QWQ30" s="204"/>
      <c r="QWR30" s="204"/>
      <c r="QWS30" s="204"/>
      <c r="QWT30" s="204"/>
      <c r="QWU30" s="204"/>
      <c r="QWV30" s="204"/>
      <c r="QWW30" s="204"/>
      <c r="QWX30" s="204"/>
      <c r="QWY30" s="204"/>
      <c r="QWZ30" s="204"/>
      <c r="QXA30" s="204"/>
      <c r="QXB30" s="204"/>
      <c r="QXC30" s="204"/>
      <c r="QXD30" s="204"/>
      <c r="QXE30" s="204"/>
      <c r="QXF30" s="204"/>
      <c r="QXG30" s="204"/>
      <c r="QXH30" s="204"/>
      <c r="QXI30" s="204"/>
      <c r="QXJ30" s="204"/>
      <c r="QXK30" s="204"/>
      <c r="QXL30" s="204"/>
      <c r="QXM30" s="204"/>
      <c r="QXN30" s="204"/>
      <c r="QXO30" s="204"/>
      <c r="QXP30" s="204"/>
      <c r="QXQ30" s="204"/>
      <c r="QXR30" s="204"/>
      <c r="QXS30" s="204"/>
      <c r="QXT30" s="204"/>
      <c r="QXU30" s="204"/>
      <c r="QXV30" s="204"/>
      <c r="QXW30" s="204"/>
      <c r="QXX30" s="204"/>
      <c r="QXY30" s="204"/>
      <c r="QXZ30" s="204"/>
      <c r="QYA30" s="204"/>
      <c r="QYB30" s="204"/>
      <c r="QYC30" s="204"/>
      <c r="QYD30" s="204"/>
      <c r="QYE30" s="204"/>
      <c r="QYF30" s="204"/>
      <c r="QYG30" s="204"/>
      <c r="QYH30" s="204"/>
      <c r="QYI30" s="204"/>
      <c r="QYJ30" s="204"/>
      <c r="QYK30" s="204"/>
      <c r="QYL30" s="204"/>
      <c r="QYM30" s="204"/>
      <c r="QYN30" s="204"/>
      <c r="QYO30" s="204"/>
      <c r="QYP30" s="204"/>
      <c r="QYQ30" s="204"/>
      <c r="QYR30" s="204"/>
      <c r="QYS30" s="204"/>
      <c r="QYT30" s="204"/>
      <c r="QYU30" s="204"/>
      <c r="QYV30" s="204"/>
      <c r="QYW30" s="204"/>
      <c r="QYX30" s="204"/>
      <c r="QYY30" s="204"/>
      <c r="QYZ30" s="204"/>
      <c r="QZA30" s="204"/>
      <c r="QZB30" s="204"/>
      <c r="QZC30" s="204"/>
      <c r="QZD30" s="204"/>
      <c r="QZE30" s="204"/>
      <c r="QZF30" s="204"/>
      <c r="QZG30" s="204"/>
      <c r="QZH30" s="204"/>
      <c r="QZI30" s="204"/>
      <c r="QZJ30" s="204"/>
      <c r="QZK30" s="204"/>
      <c r="QZL30" s="204"/>
      <c r="QZM30" s="204"/>
      <c r="QZN30" s="204"/>
      <c r="QZO30" s="204"/>
      <c r="QZP30" s="204"/>
      <c r="QZQ30" s="204"/>
      <c r="QZR30" s="204"/>
      <c r="QZS30" s="204"/>
      <c r="QZT30" s="204"/>
      <c r="QZU30" s="204"/>
      <c r="QZV30" s="204"/>
      <c r="QZW30" s="204"/>
      <c r="QZX30" s="204"/>
      <c r="QZY30" s="204"/>
      <c r="QZZ30" s="204"/>
      <c r="RAA30" s="204"/>
      <c r="RAB30" s="204"/>
      <c r="RAC30" s="204"/>
      <c r="RAD30" s="204"/>
      <c r="RAE30" s="204"/>
      <c r="RAF30" s="204"/>
      <c r="RAG30" s="204"/>
      <c r="RAH30" s="204"/>
      <c r="RAI30" s="204"/>
      <c r="RAJ30" s="204"/>
      <c r="RAK30" s="204"/>
      <c r="RAL30" s="204"/>
      <c r="RAM30" s="204"/>
      <c r="RAN30" s="204"/>
      <c r="RAO30" s="204"/>
      <c r="RAP30" s="204"/>
      <c r="RAQ30" s="204"/>
      <c r="RAR30" s="204"/>
      <c r="RAS30" s="204"/>
      <c r="RAT30" s="204"/>
      <c r="RAU30" s="204"/>
      <c r="RAV30" s="204"/>
      <c r="RAW30" s="204"/>
      <c r="RAX30" s="204"/>
      <c r="RAY30" s="204"/>
      <c r="RAZ30" s="204"/>
      <c r="RBA30" s="204"/>
      <c r="RBB30" s="204"/>
      <c r="RBC30" s="204"/>
      <c r="RBD30" s="204"/>
      <c r="RBE30" s="204"/>
      <c r="RBF30" s="204"/>
      <c r="RBG30" s="204"/>
      <c r="RBH30" s="204"/>
      <c r="RBI30" s="204"/>
      <c r="RBJ30" s="204"/>
      <c r="RBK30" s="204"/>
      <c r="RBL30" s="204"/>
      <c r="RBM30" s="204"/>
      <c r="RBN30" s="204"/>
      <c r="RBO30" s="204"/>
      <c r="RBP30" s="204"/>
      <c r="RBQ30" s="204"/>
      <c r="RBR30" s="204"/>
      <c r="RBS30" s="204"/>
      <c r="RBT30" s="204"/>
      <c r="RBU30" s="204"/>
      <c r="RBV30" s="204"/>
      <c r="RBW30" s="204"/>
      <c r="RBX30" s="204"/>
      <c r="RBY30" s="204"/>
      <c r="RBZ30" s="204"/>
      <c r="RCA30" s="204"/>
      <c r="RCB30" s="204"/>
      <c r="RCC30" s="204"/>
      <c r="RCD30" s="204"/>
      <c r="RCE30" s="204"/>
      <c r="RCF30" s="204"/>
      <c r="RCG30" s="204"/>
      <c r="RCH30" s="204"/>
      <c r="RCI30" s="204"/>
      <c r="RCJ30" s="204"/>
      <c r="RCK30" s="204"/>
      <c r="RCL30" s="204"/>
      <c r="RCM30" s="204"/>
      <c r="RCN30" s="204"/>
      <c r="RCO30" s="204"/>
      <c r="RCP30" s="204"/>
      <c r="RCQ30" s="204"/>
      <c r="RCR30" s="204"/>
      <c r="RCS30" s="204"/>
      <c r="RCT30" s="204"/>
      <c r="RCU30" s="204"/>
      <c r="RCV30" s="204"/>
      <c r="RCW30" s="204"/>
      <c r="RCX30" s="204"/>
      <c r="RCY30" s="204"/>
      <c r="RCZ30" s="204"/>
      <c r="RDA30" s="204"/>
      <c r="RDB30" s="204"/>
      <c r="RDC30" s="204"/>
      <c r="RDD30" s="204"/>
      <c r="RDE30" s="204"/>
      <c r="RDF30" s="204"/>
      <c r="RDG30" s="204"/>
      <c r="RDH30" s="204"/>
      <c r="RDI30" s="204"/>
      <c r="RDJ30" s="204"/>
      <c r="RDK30" s="204"/>
      <c r="RDL30" s="204"/>
      <c r="RDM30" s="204"/>
      <c r="RDN30" s="204"/>
      <c r="RDO30" s="204"/>
      <c r="RDP30" s="204"/>
      <c r="RDQ30" s="204"/>
      <c r="RDR30" s="204"/>
      <c r="RDS30" s="204"/>
      <c r="RDT30" s="204"/>
      <c r="RDU30" s="204"/>
      <c r="RDV30" s="204"/>
      <c r="RDW30" s="204"/>
      <c r="RDX30" s="204"/>
      <c r="RDY30" s="204"/>
      <c r="RDZ30" s="204"/>
      <c r="REA30" s="204"/>
      <c r="REB30" s="204"/>
      <c r="REC30" s="204"/>
      <c r="RED30" s="204"/>
      <c r="REE30" s="204"/>
      <c r="REF30" s="204"/>
      <c r="REG30" s="204"/>
      <c r="REH30" s="204"/>
      <c r="REI30" s="204"/>
      <c r="REJ30" s="204"/>
      <c r="REK30" s="204"/>
      <c r="REL30" s="204"/>
      <c r="REM30" s="204"/>
      <c r="REN30" s="204"/>
      <c r="REO30" s="204"/>
      <c r="REP30" s="204"/>
      <c r="REQ30" s="204"/>
      <c r="RER30" s="204"/>
      <c r="RES30" s="204"/>
      <c r="RET30" s="204"/>
      <c r="REU30" s="204"/>
      <c r="REV30" s="204"/>
      <c r="REW30" s="204"/>
      <c r="REX30" s="204"/>
      <c r="REY30" s="204"/>
      <c r="REZ30" s="204"/>
      <c r="RFA30" s="204"/>
      <c r="RFB30" s="204"/>
      <c r="RFC30" s="204"/>
      <c r="RFD30" s="204"/>
      <c r="RFE30" s="204"/>
      <c r="RFF30" s="204"/>
      <c r="RFG30" s="204"/>
      <c r="RFH30" s="204"/>
      <c r="RFI30" s="204"/>
      <c r="RFJ30" s="204"/>
      <c r="RFK30" s="204"/>
      <c r="RFL30" s="204"/>
      <c r="RFM30" s="204"/>
      <c r="RFN30" s="204"/>
      <c r="RFO30" s="204"/>
      <c r="RFP30" s="204"/>
      <c r="RFQ30" s="204"/>
      <c r="RFR30" s="204"/>
      <c r="RFS30" s="204"/>
      <c r="RFT30" s="204"/>
      <c r="RFU30" s="204"/>
      <c r="RFV30" s="204"/>
      <c r="RFW30" s="204"/>
      <c r="RFX30" s="204"/>
      <c r="RFY30" s="204"/>
      <c r="RFZ30" s="204"/>
      <c r="RGA30" s="204"/>
      <c r="RGB30" s="204"/>
      <c r="RGC30" s="204"/>
      <c r="RGD30" s="204"/>
      <c r="RGE30" s="204"/>
      <c r="RGF30" s="204"/>
      <c r="RGG30" s="204"/>
      <c r="RGH30" s="204"/>
      <c r="RGI30" s="204"/>
      <c r="RGJ30" s="204"/>
      <c r="RGK30" s="204"/>
      <c r="RGL30" s="204"/>
      <c r="RGM30" s="204"/>
      <c r="RGN30" s="204"/>
      <c r="RGO30" s="204"/>
      <c r="RGP30" s="204"/>
      <c r="RGQ30" s="204"/>
      <c r="RGR30" s="204"/>
      <c r="RGS30" s="204"/>
      <c r="RGT30" s="204"/>
      <c r="RGU30" s="204"/>
      <c r="RGV30" s="204"/>
      <c r="RGW30" s="204"/>
      <c r="RGX30" s="204"/>
      <c r="RGY30" s="204"/>
      <c r="RGZ30" s="204"/>
      <c r="RHA30" s="204"/>
      <c r="RHB30" s="204"/>
      <c r="RHC30" s="204"/>
      <c r="RHD30" s="204"/>
      <c r="RHE30" s="204"/>
      <c r="RHF30" s="204"/>
      <c r="RHG30" s="204"/>
      <c r="RHH30" s="204"/>
      <c r="RHI30" s="204"/>
      <c r="RHJ30" s="204"/>
      <c r="RHK30" s="204"/>
      <c r="RHL30" s="204"/>
      <c r="RHM30" s="204"/>
      <c r="RHN30" s="204"/>
      <c r="RHO30" s="204"/>
      <c r="RHP30" s="204"/>
      <c r="RHQ30" s="204"/>
      <c r="RHR30" s="204"/>
      <c r="RHS30" s="204"/>
      <c r="RHT30" s="204"/>
      <c r="RHU30" s="204"/>
      <c r="RHV30" s="204"/>
      <c r="RHW30" s="204"/>
      <c r="RHX30" s="204"/>
      <c r="RHY30" s="204"/>
      <c r="RHZ30" s="204"/>
      <c r="RIA30" s="204"/>
      <c r="RIB30" s="204"/>
      <c r="RIC30" s="204"/>
      <c r="RID30" s="204"/>
      <c r="RIE30" s="204"/>
      <c r="RIF30" s="204"/>
      <c r="RIG30" s="204"/>
      <c r="RIH30" s="204"/>
      <c r="RII30" s="204"/>
      <c r="RIJ30" s="204"/>
      <c r="RIK30" s="204"/>
      <c r="RIL30" s="204"/>
      <c r="RIM30" s="204"/>
      <c r="RIN30" s="204"/>
      <c r="RIO30" s="204"/>
      <c r="RIP30" s="204"/>
      <c r="RIQ30" s="204"/>
      <c r="RIR30" s="204"/>
      <c r="RIS30" s="204"/>
      <c r="RIT30" s="204"/>
      <c r="RIU30" s="204"/>
      <c r="RIV30" s="204"/>
      <c r="RIW30" s="204"/>
      <c r="RIX30" s="204"/>
      <c r="RIY30" s="204"/>
      <c r="RIZ30" s="204"/>
      <c r="RJA30" s="204"/>
      <c r="RJB30" s="204"/>
      <c r="RJC30" s="204"/>
      <c r="RJD30" s="204"/>
      <c r="RJE30" s="204"/>
      <c r="RJF30" s="204"/>
      <c r="RJG30" s="204"/>
      <c r="RJH30" s="204"/>
      <c r="RJI30" s="204"/>
      <c r="RJJ30" s="204"/>
      <c r="RJK30" s="204"/>
      <c r="RJL30" s="204"/>
      <c r="RJM30" s="204"/>
      <c r="RJN30" s="204"/>
      <c r="RJO30" s="204"/>
      <c r="RJP30" s="204"/>
      <c r="RJQ30" s="204"/>
      <c r="RJR30" s="204"/>
      <c r="RJS30" s="204"/>
      <c r="RJT30" s="204"/>
      <c r="RJU30" s="204"/>
      <c r="RJV30" s="204"/>
      <c r="RJW30" s="204"/>
      <c r="RJX30" s="204"/>
      <c r="RJY30" s="204"/>
      <c r="RJZ30" s="204"/>
      <c r="RKA30" s="204"/>
      <c r="RKB30" s="204"/>
      <c r="RKC30" s="204"/>
      <c r="RKD30" s="204"/>
      <c r="RKE30" s="204"/>
      <c r="RKF30" s="204"/>
      <c r="RKG30" s="204"/>
      <c r="RKH30" s="204"/>
      <c r="RKI30" s="204"/>
      <c r="RKJ30" s="204"/>
      <c r="RKK30" s="204"/>
      <c r="RKL30" s="204"/>
      <c r="RKM30" s="204"/>
      <c r="RKN30" s="204"/>
      <c r="RKO30" s="204"/>
      <c r="RKP30" s="204"/>
      <c r="RKQ30" s="204"/>
      <c r="RKR30" s="204"/>
      <c r="RKS30" s="204"/>
      <c r="RKT30" s="204"/>
      <c r="RKU30" s="204"/>
      <c r="RKV30" s="204"/>
      <c r="RKW30" s="204"/>
      <c r="RKX30" s="204"/>
      <c r="RKY30" s="204"/>
      <c r="RKZ30" s="204"/>
      <c r="RLA30" s="204"/>
      <c r="RLB30" s="204"/>
      <c r="RLC30" s="204"/>
      <c r="RLD30" s="204"/>
      <c r="RLE30" s="204"/>
      <c r="RLF30" s="204"/>
      <c r="RLG30" s="204"/>
      <c r="RLH30" s="204"/>
      <c r="RLI30" s="204"/>
      <c r="RLJ30" s="204"/>
      <c r="RLK30" s="204"/>
      <c r="RLL30" s="204"/>
      <c r="RLM30" s="204"/>
      <c r="RLN30" s="204"/>
      <c r="RLO30" s="204"/>
      <c r="RLP30" s="204"/>
      <c r="RLQ30" s="204"/>
      <c r="RLR30" s="204"/>
      <c r="RLS30" s="204"/>
      <c r="RLT30" s="204"/>
      <c r="RLU30" s="204"/>
      <c r="RLV30" s="204"/>
      <c r="RLW30" s="204"/>
      <c r="RLX30" s="204"/>
      <c r="RLY30" s="204"/>
      <c r="RLZ30" s="204"/>
      <c r="RMA30" s="204"/>
      <c r="RMB30" s="204"/>
      <c r="RMC30" s="204"/>
      <c r="RMD30" s="204"/>
      <c r="RME30" s="204"/>
      <c r="RMF30" s="204"/>
      <c r="RMG30" s="204"/>
      <c r="RMH30" s="204"/>
      <c r="RMI30" s="204"/>
      <c r="RMJ30" s="204"/>
      <c r="RMK30" s="204"/>
      <c r="RML30" s="204"/>
      <c r="RMM30" s="204"/>
      <c r="RMN30" s="204"/>
      <c r="RMO30" s="204"/>
      <c r="RMP30" s="204"/>
      <c r="RMQ30" s="204"/>
      <c r="RMR30" s="204"/>
      <c r="RMS30" s="204"/>
      <c r="RMT30" s="204"/>
      <c r="RMU30" s="204"/>
      <c r="RMV30" s="204"/>
      <c r="RMW30" s="204"/>
      <c r="RMX30" s="204"/>
      <c r="RMY30" s="204"/>
      <c r="RMZ30" s="204"/>
      <c r="RNA30" s="204"/>
      <c r="RNB30" s="204"/>
      <c r="RNC30" s="204"/>
      <c r="RND30" s="204"/>
      <c r="RNE30" s="204"/>
      <c r="RNF30" s="204"/>
      <c r="RNG30" s="204"/>
      <c r="RNH30" s="204"/>
      <c r="RNI30" s="204"/>
      <c r="RNJ30" s="204"/>
      <c r="RNK30" s="204"/>
      <c r="RNL30" s="204"/>
      <c r="RNM30" s="204"/>
      <c r="RNN30" s="204"/>
      <c r="RNO30" s="204"/>
      <c r="RNP30" s="204"/>
      <c r="RNQ30" s="204"/>
      <c r="RNR30" s="204"/>
      <c r="RNS30" s="204"/>
      <c r="RNT30" s="204"/>
      <c r="RNU30" s="204"/>
      <c r="RNV30" s="204"/>
      <c r="RNW30" s="204"/>
      <c r="RNX30" s="204"/>
      <c r="RNY30" s="204"/>
      <c r="RNZ30" s="204"/>
      <c r="ROA30" s="204"/>
      <c r="ROB30" s="204"/>
      <c r="ROC30" s="204"/>
      <c r="ROD30" s="204"/>
      <c r="ROE30" s="204"/>
      <c r="ROF30" s="204"/>
      <c r="ROG30" s="204"/>
      <c r="ROH30" s="204"/>
      <c r="ROI30" s="204"/>
      <c r="ROJ30" s="204"/>
      <c r="ROK30" s="204"/>
      <c r="ROL30" s="204"/>
      <c r="ROM30" s="204"/>
      <c r="RON30" s="204"/>
      <c r="ROO30" s="204"/>
      <c r="ROP30" s="204"/>
      <c r="ROQ30" s="204"/>
      <c r="ROR30" s="204"/>
      <c r="ROS30" s="204"/>
      <c r="ROT30" s="204"/>
      <c r="ROU30" s="204"/>
      <c r="ROV30" s="204"/>
      <c r="ROW30" s="204"/>
      <c r="ROX30" s="204"/>
      <c r="ROY30" s="204"/>
      <c r="ROZ30" s="204"/>
      <c r="RPA30" s="204"/>
      <c r="RPB30" s="204"/>
      <c r="RPC30" s="204"/>
      <c r="RPD30" s="204"/>
      <c r="RPE30" s="204"/>
      <c r="RPF30" s="204"/>
      <c r="RPG30" s="204"/>
      <c r="RPH30" s="204"/>
      <c r="RPI30" s="204"/>
      <c r="RPJ30" s="204"/>
      <c r="RPK30" s="204"/>
      <c r="RPL30" s="204"/>
      <c r="RPM30" s="204"/>
      <c r="RPN30" s="204"/>
      <c r="RPO30" s="204"/>
      <c r="RPP30" s="204"/>
      <c r="RPQ30" s="204"/>
      <c r="RPR30" s="204"/>
      <c r="RPS30" s="204"/>
      <c r="RPT30" s="204"/>
      <c r="RPU30" s="204"/>
      <c r="RPV30" s="204"/>
      <c r="RPW30" s="204"/>
      <c r="RPX30" s="204"/>
      <c r="RPY30" s="204"/>
      <c r="RPZ30" s="204"/>
      <c r="RQA30" s="204"/>
      <c r="RQB30" s="204"/>
      <c r="RQC30" s="204"/>
      <c r="RQD30" s="204"/>
      <c r="RQE30" s="204"/>
      <c r="RQF30" s="204"/>
      <c r="RQG30" s="204"/>
      <c r="RQH30" s="204"/>
      <c r="RQI30" s="204"/>
      <c r="RQJ30" s="204"/>
      <c r="RQK30" s="204"/>
      <c r="RQL30" s="204"/>
      <c r="RQM30" s="204"/>
      <c r="RQN30" s="204"/>
      <c r="RQO30" s="204"/>
      <c r="RQP30" s="204"/>
      <c r="RQQ30" s="204"/>
      <c r="RQR30" s="204"/>
      <c r="RQS30" s="204"/>
      <c r="RQT30" s="204"/>
      <c r="RQU30" s="204"/>
      <c r="RQV30" s="204"/>
      <c r="RQW30" s="204"/>
      <c r="RQX30" s="204"/>
      <c r="RQY30" s="204"/>
      <c r="RQZ30" s="204"/>
      <c r="RRA30" s="204"/>
      <c r="RRB30" s="204"/>
      <c r="RRC30" s="204"/>
      <c r="RRD30" s="204"/>
      <c r="RRE30" s="204"/>
      <c r="RRF30" s="204"/>
      <c r="RRG30" s="204"/>
      <c r="RRH30" s="204"/>
      <c r="RRI30" s="204"/>
      <c r="RRJ30" s="204"/>
      <c r="RRK30" s="204"/>
      <c r="RRL30" s="204"/>
      <c r="RRM30" s="204"/>
      <c r="RRN30" s="204"/>
      <c r="RRO30" s="204"/>
      <c r="RRP30" s="204"/>
      <c r="RRQ30" s="204"/>
      <c r="RRR30" s="204"/>
      <c r="RRS30" s="204"/>
      <c r="RRT30" s="204"/>
      <c r="RRU30" s="204"/>
      <c r="RRV30" s="204"/>
      <c r="RRW30" s="204"/>
      <c r="RRX30" s="204"/>
      <c r="RRY30" s="204"/>
      <c r="RRZ30" s="204"/>
      <c r="RSA30" s="204"/>
      <c r="RSB30" s="204"/>
      <c r="RSC30" s="204"/>
      <c r="RSD30" s="204"/>
      <c r="RSE30" s="204"/>
      <c r="RSF30" s="204"/>
      <c r="RSG30" s="204"/>
      <c r="RSH30" s="204"/>
      <c r="RSI30" s="204"/>
      <c r="RSJ30" s="204"/>
      <c r="RSK30" s="204"/>
      <c r="RSL30" s="204"/>
      <c r="RSM30" s="204"/>
      <c r="RSN30" s="204"/>
      <c r="RSO30" s="204"/>
      <c r="RSP30" s="204"/>
      <c r="RSQ30" s="204"/>
      <c r="RSR30" s="204"/>
      <c r="RSS30" s="204"/>
      <c r="RST30" s="204"/>
      <c r="RSU30" s="204"/>
      <c r="RSV30" s="204"/>
      <c r="RSW30" s="204"/>
      <c r="RSX30" s="204"/>
      <c r="RSY30" s="204"/>
      <c r="RSZ30" s="204"/>
      <c r="RTA30" s="204"/>
      <c r="RTB30" s="204"/>
      <c r="RTC30" s="204"/>
      <c r="RTD30" s="204"/>
      <c r="RTE30" s="204"/>
      <c r="RTF30" s="204"/>
      <c r="RTG30" s="204"/>
      <c r="RTH30" s="204"/>
      <c r="RTI30" s="204"/>
      <c r="RTJ30" s="204"/>
      <c r="RTK30" s="204"/>
      <c r="RTL30" s="204"/>
      <c r="RTM30" s="204"/>
      <c r="RTN30" s="204"/>
      <c r="RTO30" s="204"/>
      <c r="RTP30" s="204"/>
      <c r="RTQ30" s="204"/>
      <c r="RTR30" s="204"/>
      <c r="RTS30" s="204"/>
      <c r="RTT30" s="204"/>
      <c r="RTU30" s="204"/>
      <c r="RTV30" s="204"/>
      <c r="RTW30" s="204"/>
      <c r="RTX30" s="204"/>
      <c r="RTY30" s="204"/>
      <c r="RTZ30" s="204"/>
      <c r="RUA30" s="204"/>
      <c r="RUB30" s="204"/>
      <c r="RUC30" s="204"/>
      <c r="RUD30" s="204"/>
      <c r="RUE30" s="204"/>
      <c r="RUF30" s="204"/>
      <c r="RUG30" s="204"/>
      <c r="RUH30" s="204"/>
      <c r="RUI30" s="204"/>
      <c r="RUJ30" s="204"/>
      <c r="RUK30" s="204"/>
      <c r="RUL30" s="204"/>
      <c r="RUM30" s="204"/>
      <c r="RUN30" s="204"/>
      <c r="RUO30" s="204"/>
      <c r="RUP30" s="204"/>
      <c r="RUQ30" s="204"/>
      <c r="RUR30" s="204"/>
      <c r="RUS30" s="204"/>
      <c r="RUT30" s="204"/>
      <c r="RUU30" s="204"/>
      <c r="RUV30" s="204"/>
      <c r="RUW30" s="204"/>
      <c r="RUX30" s="204"/>
      <c r="RUY30" s="204"/>
      <c r="RUZ30" s="204"/>
      <c r="RVA30" s="204"/>
      <c r="RVB30" s="204"/>
      <c r="RVC30" s="204"/>
      <c r="RVD30" s="204"/>
      <c r="RVE30" s="204"/>
      <c r="RVF30" s="204"/>
      <c r="RVG30" s="204"/>
      <c r="RVH30" s="204"/>
      <c r="RVI30" s="204"/>
      <c r="RVJ30" s="204"/>
      <c r="RVK30" s="204"/>
      <c r="RVL30" s="204"/>
      <c r="RVM30" s="204"/>
      <c r="RVN30" s="204"/>
      <c r="RVO30" s="204"/>
      <c r="RVP30" s="204"/>
      <c r="RVQ30" s="204"/>
      <c r="RVR30" s="204"/>
      <c r="RVS30" s="204"/>
      <c r="RVT30" s="204"/>
      <c r="RVU30" s="204"/>
      <c r="RVV30" s="204"/>
      <c r="RVW30" s="204"/>
      <c r="RVX30" s="204"/>
      <c r="RVY30" s="204"/>
      <c r="RVZ30" s="204"/>
      <c r="RWA30" s="204"/>
      <c r="RWB30" s="204"/>
      <c r="RWC30" s="204"/>
      <c r="RWD30" s="204"/>
      <c r="RWE30" s="204"/>
      <c r="RWF30" s="204"/>
      <c r="RWG30" s="204"/>
      <c r="RWH30" s="204"/>
      <c r="RWI30" s="204"/>
      <c r="RWJ30" s="204"/>
      <c r="RWK30" s="204"/>
      <c r="RWL30" s="204"/>
      <c r="RWM30" s="204"/>
      <c r="RWN30" s="204"/>
      <c r="RWO30" s="204"/>
      <c r="RWP30" s="204"/>
      <c r="RWQ30" s="204"/>
      <c r="RWR30" s="204"/>
      <c r="RWS30" s="204"/>
      <c r="RWT30" s="204"/>
      <c r="RWU30" s="204"/>
      <c r="RWV30" s="204"/>
      <c r="RWW30" s="204"/>
      <c r="RWX30" s="204"/>
      <c r="RWY30" s="204"/>
      <c r="RWZ30" s="204"/>
      <c r="RXA30" s="204"/>
      <c r="RXB30" s="204"/>
      <c r="RXC30" s="204"/>
      <c r="RXD30" s="204"/>
      <c r="RXE30" s="204"/>
      <c r="RXF30" s="204"/>
      <c r="RXG30" s="204"/>
      <c r="RXH30" s="204"/>
      <c r="RXI30" s="204"/>
      <c r="RXJ30" s="204"/>
      <c r="RXK30" s="204"/>
      <c r="RXL30" s="204"/>
      <c r="RXM30" s="204"/>
      <c r="RXN30" s="204"/>
      <c r="RXO30" s="204"/>
      <c r="RXP30" s="204"/>
      <c r="RXQ30" s="204"/>
      <c r="RXR30" s="204"/>
      <c r="RXS30" s="204"/>
      <c r="RXT30" s="204"/>
      <c r="RXU30" s="204"/>
      <c r="RXV30" s="204"/>
      <c r="RXW30" s="204"/>
      <c r="RXX30" s="204"/>
      <c r="RXY30" s="204"/>
      <c r="RXZ30" s="204"/>
      <c r="RYA30" s="204"/>
      <c r="RYB30" s="204"/>
      <c r="RYC30" s="204"/>
      <c r="RYD30" s="204"/>
      <c r="RYE30" s="204"/>
      <c r="RYF30" s="204"/>
      <c r="RYG30" s="204"/>
      <c r="RYH30" s="204"/>
      <c r="RYI30" s="204"/>
      <c r="RYJ30" s="204"/>
      <c r="RYK30" s="204"/>
      <c r="RYL30" s="204"/>
      <c r="RYM30" s="204"/>
      <c r="RYN30" s="204"/>
      <c r="RYO30" s="204"/>
      <c r="RYP30" s="204"/>
      <c r="RYQ30" s="204"/>
      <c r="RYR30" s="204"/>
      <c r="RYS30" s="204"/>
      <c r="RYT30" s="204"/>
      <c r="RYU30" s="204"/>
      <c r="RYV30" s="204"/>
      <c r="RYW30" s="204"/>
      <c r="RYX30" s="204"/>
      <c r="RYY30" s="204"/>
      <c r="RYZ30" s="204"/>
      <c r="RZA30" s="204"/>
      <c r="RZB30" s="204"/>
      <c r="RZC30" s="204"/>
      <c r="RZD30" s="204"/>
      <c r="RZE30" s="204"/>
      <c r="RZF30" s="204"/>
      <c r="RZG30" s="204"/>
      <c r="RZH30" s="204"/>
      <c r="RZI30" s="204"/>
      <c r="RZJ30" s="204"/>
      <c r="RZK30" s="204"/>
      <c r="RZL30" s="204"/>
      <c r="RZM30" s="204"/>
      <c r="RZN30" s="204"/>
      <c r="RZO30" s="204"/>
      <c r="RZP30" s="204"/>
      <c r="RZQ30" s="204"/>
      <c r="RZR30" s="204"/>
      <c r="RZS30" s="204"/>
      <c r="RZT30" s="204"/>
      <c r="RZU30" s="204"/>
      <c r="RZV30" s="204"/>
      <c r="RZW30" s="204"/>
      <c r="RZX30" s="204"/>
      <c r="RZY30" s="204"/>
      <c r="RZZ30" s="204"/>
      <c r="SAA30" s="204"/>
      <c r="SAB30" s="204"/>
      <c r="SAC30" s="204"/>
      <c r="SAD30" s="204"/>
      <c r="SAE30" s="204"/>
      <c r="SAF30" s="204"/>
      <c r="SAG30" s="204"/>
      <c r="SAH30" s="204"/>
      <c r="SAI30" s="204"/>
      <c r="SAJ30" s="204"/>
      <c r="SAK30" s="204"/>
      <c r="SAL30" s="204"/>
      <c r="SAM30" s="204"/>
      <c r="SAN30" s="204"/>
      <c r="SAO30" s="204"/>
      <c r="SAP30" s="204"/>
      <c r="SAQ30" s="204"/>
      <c r="SAR30" s="204"/>
      <c r="SAS30" s="204"/>
      <c r="SAT30" s="204"/>
      <c r="SAU30" s="204"/>
      <c r="SAV30" s="204"/>
      <c r="SAW30" s="204"/>
      <c r="SAX30" s="204"/>
      <c r="SAY30" s="204"/>
      <c r="SAZ30" s="204"/>
      <c r="SBA30" s="204"/>
      <c r="SBB30" s="204"/>
      <c r="SBC30" s="204"/>
      <c r="SBD30" s="204"/>
      <c r="SBE30" s="204"/>
      <c r="SBF30" s="204"/>
      <c r="SBG30" s="204"/>
      <c r="SBH30" s="204"/>
      <c r="SBI30" s="204"/>
      <c r="SBJ30" s="204"/>
      <c r="SBK30" s="204"/>
      <c r="SBL30" s="204"/>
      <c r="SBM30" s="204"/>
      <c r="SBN30" s="204"/>
      <c r="SBO30" s="204"/>
      <c r="SBP30" s="204"/>
      <c r="SBQ30" s="204"/>
      <c r="SBR30" s="204"/>
      <c r="SBS30" s="204"/>
      <c r="SBT30" s="204"/>
      <c r="SBU30" s="204"/>
      <c r="SBV30" s="204"/>
      <c r="SBW30" s="204"/>
      <c r="SBX30" s="204"/>
      <c r="SBY30" s="204"/>
      <c r="SBZ30" s="204"/>
      <c r="SCA30" s="204"/>
      <c r="SCB30" s="204"/>
      <c r="SCC30" s="204"/>
      <c r="SCD30" s="204"/>
      <c r="SCE30" s="204"/>
      <c r="SCF30" s="204"/>
      <c r="SCG30" s="204"/>
      <c r="SCH30" s="204"/>
      <c r="SCI30" s="204"/>
      <c r="SCJ30" s="204"/>
      <c r="SCK30" s="204"/>
      <c r="SCL30" s="204"/>
      <c r="SCM30" s="204"/>
      <c r="SCN30" s="204"/>
      <c r="SCO30" s="204"/>
      <c r="SCP30" s="204"/>
      <c r="SCQ30" s="204"/>
      <c r="SCR30" s="204"/>
      <c r="SCS30" s="204"/>
      <c r="SCT30" s="204"/>
      <c r="SCU30" s="204"/>
      <c r="SCV30" s="204"/>
      <c r="SCW30" s="204"/>
      <c r="SCX30" s="204"/>
      <c r="SCY30" s="204"/>
      <c r="SCZ30" s="204"/>
      <c r="SDA30" s="204"/>
      <c r="SDB30" s="204"/>
      <c r="SDC30" s="204"/>
      <c r="SDD30" s="204"/>
      <c r="SDE30" s="204"/>
      <c r="SDF30" s="204"/>
      <c r="SDG30" s="204"/>
      <c r="SDH30" s="204"/>
      <c r="SDI30" s="204"/>
      <c r="SDJ30" s="204"/>
      <c r="SDK30" s="204"/>
      <c r="SDL30" s="204"/>
      <c r="SDM30" s="204"/>
      <c r="SDN30" s="204"/>
      <c r="SDO30" s="204"/>
      <c r="SDP30" s="204"/>
      <c r="SDQ30" s="204"/>
      <c r="SDR30" s="204"/>
      <c r="SDS30" s="204"/>
      <c r="SDT30" s="204"/>
      <c r="SDU30" s="204"/>
      <c r="SDV30" s="204"/>
      <c r="SDW30" s="204"/>
      <c r="SDX30" s="204"/>
      <c r="SDY30" s="204"/>
      <c r="SDZ30" s="204"/>
      <c r="SEA30" s="204"/>
      <c r="SEB30" s="204"/>
      <c r="SEC30" s="204"/>
      <c r="SED30" s="204"/>
      <c r="SEE30" s="204"/>
      <c r="SEF30" s="204"/>
      <c r="SEG30" s="204"/>
      <c r="SEH30" s="204"/>
      <c r="SEI30" s="204"/>
      <c r="SEJ30" s="204"/>
      <c r="SEK30" s="204"/>
      <c r="SEL30" s="204"/>
      <c r="SEM30" s="204"/>
      <c r="SEN30" s="204"/>
      <c r="SEO30" s="204"/>
      <c r="SEP30" s="204"/>
      <c r="SEQ30" s="204"/>
      <c r="SER30" s="204"/>
      <c r="SES30" s="204"/>
      <c r="SET30" s="204"/>
      <c r="SEU30" s="204"/>
      <c r="SEV30" s="204"/>
      <c r="SEW30" s="204"/>
      <c r="SEX30" s="204"/>
      <c r="SEY30" s="204"/>
      <c r="SEZ30" s="204"/>
      <c r="SFA30" s="204"/>
      <c r="SFB30" s="204"/>
      <c r="SFC30" s="204"/>
      <c r="SFD30" s="204"/>
      <c r="SFE30" s="204"/>
      <c r="SFF30" s="204"/>
      <c r="SFG30" s="204"/>
      <c r="SFH30" s="204"/>
      <c r="SFI30" s="204"/>
      <c r="SFJ30" s="204"/>
      <c r="SFK30" s="204"/>
      <c r="SFL30" s="204"/>
      <c r="SFM30" s="204"/>
      <c r="SFN30" s="204"/>
      <c r="SFO30" s="204"/>
      <c r="SFP30" s="204"/>
      <c r="SFQ30" s="204"/>
      <c r="SFR30" s="204"/>
      <c r="SFS30" s="204"/>
      <c r="SFT30" s="204"/>
      <c r="SFU30" s="204"/>
      <c r="SFV30" s="204"/>
      <c r="SFW30" s="204"/>
      <c r="SFX30" s="204"/>
      <c r="SFY30" s="204"/>
      <c r="SFZ30" s="204"/>
      <c r="SGA30" s="204"/>
      <c r="SGB30" s="204"/>
      <c r="SGC30" s="204"/>
      <c r="SGD30" s="204"/>
      <c r="SGE30" s="204"/>
      <c r="SGF30" s="204"/>
      <c r="SGG30" s="204"/>
      <c r="SGH30" s="204"/>
      <c r="SGI30" s="204"/>
      <c r="SGJ30" s="204"/>
      <c r="SGK30" s="204"/>
      <c r="SGL30" s="204"/>
      <c r="SGM30" s="204"/>
      <c r="SGN30" s="204"/>
      <c r="SGO30" s="204"/>
      <c r="SGP30" s="204"/>
      <c r="SGQ30" s="204"/>
      <c r="SGR30" s="204"/>
      <c r="SGS30" s="204"/>
      <c r="SGT30" s="204"/>
      <c r="SGU30" s="204"/>
      <c r="SGV30" s="204"/>
      <c r="SGW30" s="204"/>
      <c r="SGX30" s="204"/>
      <c r="SGY30" s="204"/>
      <c r="SGZ30" s="204"/>
      <c r="SHA30" s="204"/>
      <c r="SHB30" s="204"/>
      <c r="SHC30" s="204"/>
      <c r="SHD30" s="204"/>
      <c r="SHE30" s="204"/>
      <c r="SHF30" s="204"/>
      <c r="SHG30" s="204"/>
      <c r="SHH30" s="204"/>
      <c r="SHI30" s="204"/>
      <c r="SHJ30" s="204"/>
      <c r="SHK30" s="204"/>
      <c r="SHL30" s="204"/>
      <c r="SHM30" s="204"/>
      <c r="SHN30" s="204"/>
      <c r="SHO30" s="204"/>
      <c r="SHP30" s="204"/>
      <c r="SHQ30" s="204"/>
      <c r="SHR30" s="204"/>
      <c r="SHS30" s="204"/>
      <c r="SHT30" s="204"/>
      <c r="SHU30" s="204"/>
      <c r="SHV30" s="204"/>
      <c r="SHW30" s="204"/>
      <c r="SHX30" s="204"/>
      <c r="SHY30" s="204"/>
      <c r="SHZ30" s="204"/>
      <c r="SIA30" s="204"/>
      <c r="SIB30" s="204"/>
      <c r="SIC30" s="204"/>
      <c r="SID30" s="204"/>
      <c r="SIE30" s="204"/>
      <c r="SIF30" s="204"/>
      <c r="SIG30" s="204"/>
      <c r="SIH30" s="204"/>
      <c r="SII30" s="204"/>
      <c r="SIJ30" s="204"/>
      <c r="SIK30" s="204"/>
      <c r="SIL30" s="204"/>
      <c r="SIM30" s="204"/>
      <c r="SIN30" s="204"/>
      <c r="SIO30" s="204"/>
      <c r="SIP30" s="204"/>
      <c r="SIQ30" s="204"/>
      <c r="SIR30" s="204"/>
      <c r="SIS30" s="204"/>
      <c r="SIT30" s="204"/>
      <c r="SIU30" s="204"/>
      <c r="SIV30" s="204"/>
      <c r="SIW30" s="204"/>
      <c r="SIX30" s="204"/>
      <c r="SIY30" s="204"/>
      <c r="SIZ30" s="204"/>
      <c r="SJA30" s="204"/>
      <c r="SJB30" s="204"/>
      <c r="SJC30" s="204"/>
      <c r="SJD30" s="204"/>
      <c r="SJE30" s="204"/>
      <c r="SJF30" s="204"/>
      <c r="SJG30" s="204"/>
      <c r="SJH30" s="204"/>
      <c r="SJI30" s="204"/>
      <c r="SJJ30" s="204"/>
      <c r="SJK30" s="204"/>
      <c r="SJL30" s="204"/>
      <c r="SJM30" s="204"/>
      <c r="SJN30" s="204"/>
      <c r="SJO30" s="204"/>
      <c r="SJP30" s="204"/>
      <c r="SJQ30" s="204"/>
      <c r="SJR30" s="204"/>
      <c r="SJS30" s="204"/>
      <c r="SJT30" s="204"/>
      <c r="SJU30" s="204"/>
      <c r="SJV30" s="204"/>
      <c r="SJW30" s="204"/>
      <c r="SJX30" s="204"/>
      <c r="SJY30" s="204"/>
      <c r="SJZ30" s="204"/>
      <c r="SKA30" s="204"/>
      <c r="SKB30" s="204"/>
      <c r="SKC30" s="204"/>
      <c r="SKD30" s="204"/>
      <c r="SKE30" s="204"/>
      <c r="SKF30" s="204"/>
      <c r="SKG30" s="204"/>
      <c r="SKH30" s="204"/>
      <c r="SKI30" s="204"/>
      <c r="SKJ30" s="204"/>
      <c r="SKK30" s="204"/>
      <c r="SKL30" s="204"/>
      <c r="SKM30" s="204"/>
      <c r="SKN30" s="204"/>
      <c r="SKO30" s="204"/>
      <c r="SKP30" s="204"/>
      <c r="SKQ30" s="204"/>
      <c r="SKR30" s="204"/>
      <c r="SKS30" s="204"/>
      <c r="SKT30" s="204"/>
      <c r="SKU30" s="204"/>
      <c r="SKV30" s="204"/>
      <c r="SKW30" s="204"/>
      <c r="SKX30" s="204"/>
      <c r="SKY30" s="204"/>
      <c r="SKZ30" s="204"/>
      <c r="SLA30" s="204"/>
      <c r="SLB30" s="204"/>
      <c r="SLC30" s="204"/>
      <c r="SLD30" s="204"/>
      <c r="SLE30" s="204"/>
      <c r="SLF30" s="204"/>
      <c r="SLG30" s="204"/>
      <c r="SLH30" s="204"/>
      <c r="SLI30" s="204"/>
      <c r="SLJ30" s="204"/>
      <c r="SLK30" s="204"/>
      <c r="SLL30" s="204"/>
      <c r="SLM30" s="204"/>
      <c r="SLN30" s="204"/>
      <c r="SLO30" s="204"/>
      <c r="SLP30" s="204"/>
      <c r="SLQ30" s="204"/>
      <c r="SLR30" s="204"/>
      <c r="SLS30" s="204"/>
      <c r="SLT30" s="204"/>
      <c r="SLU30" s="204"/>
      <c r="SLV30" s="204"/>
      <c r="SLW30" s="204"/>
      <c r="SLX30" s="204"/>
      <c r="SLY30" s="204"/>
      <c r="SLZ30" s="204"/>
      <c r="SMA30" s="204"/>
      <c r="SMB30" s="204"/>
      <c r="SMC30" s="204"/>
      <c r="SMD30" s="204"/>
      <c r="SME30" s="204"/>
      <c r="SMF30" s="204"/>
      <c r="SMG30" s="204"/>
      <c r="SMH30" s="204"/>
      <c r="SMI30" s="204"/>
      <c r="SMJ30" s="204"/>
      <c r="SMK30" s="204"/>
      <c r="SML30" s="204"/>
      <c r="SMM30" s="204"/>
      <c r="SMN30" s="204"/>
      <c r="SMO30" s="204"/>
      <c r="SMP30" s="204"/>
      <c r="SMQ30" s="204"/>
      <c r="SMR30" s="204"/>
      <c r="SMS30" s="204"/>
      <c r="SMT30" s="204"/>
      <c r="SMU30" s="204"/>
      <c r="SMV30" s="204"/>
      <c r="SMW30" s="204"/>
      <c r="SMX30" s="204"/>
      <c r="SMY30" s="204"/>
      <c r="SMZ30" s="204"/>
      <c r="SNA30" s="204"/>
      <c r="SNB30" s="204"/>
      <c r="SNC30" s="204"/>
      <c r="SND30" s="204"/>
      <c r="SNE30" s="204"/>
      <c r="SNF30" s="204"/>
      <c r="SNG30" s="204"/>
      <c r="SNH30" s="204"/>
      <c r="SNI30" s="204"/>
      <c r="SNJ30" s="204"/>
      <c r="SNK30" s="204"/>
      <c r="SNL30" s="204"/>
      <c r="SNM30" s="204"/>
      <c r="SNN30" s="204"/>
      <c r="SNO30" s="204"/>
      <c r="SNP30" s="204"/>
      <c r="SNQ30" s="204"/>
      <c r="SNR30" s="204"/>
      <c r="SNS30" s="204"/>
      <c r="SNT30" s="204"/>
      <c r="SNU30" s="204"/>
      <c r="SNV30" s="204"/>
      <c r="SNW30" s="204"/>
      <c r="SNX30" s="204"/>
      <c r="SNY30" s="204"/>
      <c r="SNZ30" s="204"/>
      <c r="SOA30" s="204"/>
      <c r="SOB30" s="204"/>
      <c r="SOC30" s="204"/>
      <c r="SOD30" s="204"/>
      <c r="SOE30" s="204"/>
      <c r="SOF30" s="204"/>
      <c r="SOG30" s="204"/>
      <c r="SOH30" s="204"/>
      <c r="SOI30" s="204"/>
      <c r="SOJ30" s="204"/>
      <c r="SOK30" s="204"/>
      <c r="SOL30" s="204"/>
      <c r="SOM30" s="204"/>
      <c r="SON30" s="204"/>
      <c r="SOO30" s="204"/>
      <c r="SOP30" s="204"/>
      <c r="SOQ30" s="204"/>
      <c r="SOR30" s="204"/>
      <c r="SOS30" s="204"/>
      <c r="SOT30" s="204"/>
      <c r="SOU30" s="204"/>
      <c r="SOV30" s="204"/>
      <c r="SOW30" s="204"/>
      <c r="SOX30" s="204"/>
      <c r="SOY30" s="204"/>
      <c r="SOZ30" s="204"/>
      <c r="SPA30" s="204"/>
      <c r="SPB30" s="204"/>
      <c r="SPC30" s="204"/>
      <c r="SPD30" s="204"/>
      <c r="SPE30" s="204"/>
      <c r="SPF30" s="204"/>
      <c r="SPG30" s="204"/>
      <c r="SPH30" s="204"/>
      <c r="SPI30" s="204"/>
      <c r="SPJ30" s="204"/>
      <c r="SPK30" s="204"/>
      <c r="SPL30" s="204"/>
      <c r="SPM30" s="204"/>
      <c r="SPN30" s="204"/>
      <c r="SPO30" s="204"/>
      <c r="SPP30" s="204"/>
      <c r="SPQ30" s="204"/>
      <c r="SPR30" s="204"/>
      <c r="SPS30" s="204"/>
      <c r="SPT30" s="204"/>
      <c r="SPU30" s="204"/>
      <c r="SPV30" s="204"/>
      <c r="SPW30" s="204"/>
      <c r="SPX30" s="204"/>
      <c r="SPY30" s="204"/>
      <c r="SPZ30" s="204"/>
      <c r="SQA30" s="204"/>
      <c r="SQB30" s="204"/>
      <c r="SQC30" s="204"/>
      <c r="SQD30" s="204"/>
      <c r="SQE30" s="204"/>
      <c r="SQF30" s="204"/>
      <c r="SQG30" s="204"/>
      <c r="SQH30" s="204"/>
      <c r="SQI30" s="204"/>
      <c r="SQJ30" s="204"/>
      <c r="SQK30" s="204"/>
      <c r="SQL30" s="204"/>
      <c r="SQM30" s="204"/>
      <c r="SQN30" s="204"/>
      <c r="SQO30" s="204"/>
      <c r="SQP30" s="204"/>
      <c r="SQQ30" s="204"/>
      <c r="SQR30" s="204"/>
      <c r="SQS30" s="204"/>
      <c r="SQT30" s="204"/>
      <c r="SQU30" s="204"/>
      <c r="SQV30" s="204"/>
      <c r="SQW30" s="204"/>
      <c r="SQX30" s="204"/>
      <c r="SQY30" s="204"/>
      <c r="SQZ30" s="204"/>
      <c r="SRA30" s="204"/>
      <c r="SRB30" s="204"/>
      <c r="SRC30" s="204"/>
      <c r="SRD30" s="204"/>
      <c r="SRE30" s="204"/>
      <c r="SRF30" s="204"/>
      <c r="SRG30" s="204"/>
      <c r="SRH30" s="204"/>
      <c r="SRI30" s="204"/>
      <c r="SRJ30" s="204"/>
      <c r="SRK30" s="204"/>
      <c r="SRL30" s="204"/>
      <c r="SRM30" s="204"/>
      <c r="SRN30" s="204"/>
      <c r="SRO30" s="204"/>
      <c r="SRP30" s="204"/>
      <c r="SRQ30" s="204"/>
      <c r="SRR30" s="204"/>
      <c r="SRS30" s="204"/>
      <c r="SRT30" s="204"/>
      <c r="SRU30" s="204"/>
      <c r="SRV30" s="204"/>
      <c r="SRW30" s="204"/>
      <c r="SRX30" s="204"/>
      <c r="SRY30" s="204"/>
      <c r="SRZ30" s="204"/>
      <c r="SSA30" s="204"/>
      <c r="SSB30" s="204"/>
      <c r="SSC30" s="204"/>
      <c r="SSD30" s="204"/>
      <c r="SSE30" s="204"/>
      <c r="SSF30" s="204"/>
      <c r="SSG30" s="204"/>
      <c r="SSH30" s="204"/>
      <c r="SSI30" s="204"/>
      <c r="SSJ30" s="204"/>
      <c r="SSK30" s="204"/>
      <c r="SSL30" s="204"/>
      <c r="SSM30" s="204"/>
      <c r="SSN30" s="204"/>
      <c r="SSO30" s="204"/>
      <c r="SSP30" s="204"/>
      <c r="SSQ30" s="204"/>
      <c r="SSR30" s="204"/>
      <c r="SSS30" s="204"/>
      <c r="SST30" s="204"/>
      <c r="SSU30" s="204"/>
      <c r="SSV30" s="204"/>
      <c r="SSW30" s="204"/>
      <c r="SSX30" s="204"/>
      <c r="SSY30" s="204"/>
      <c r="SSZ30" s="204"/>
      <c r="STA30" s="204"/>
      <c r="STB30" s="204"/>
      <c r="STC30" s="204"/>
      <c r="STD30" s="204"/>
      <c r="STE30" s="204"/>
      <c r="STF30" s="204"/>
      <c r="STG30" s="204"/>
      <c r="STH30" s="204"/>
      <c r="STI30" s="204"/>
      <c r="STJ30" s="204"/>
      <c r="STK30" s="204"/>
      <c r="STL30" s="204"/>
      <c r="STM30" s="204"/>
      <c r="STN30" s="204"/>
      <c r="STO30" s="204"/>
      <c r="STP30" s="204"/>
      <c r="STQ30" s="204"/>
      <c r="STR30" s="204"/>
      <c r="STS30" s="204"/>
      <c r="STT30" s="204"/>
      <c r="STU30" s="204"/>
      <c r="STV30" s="204"/>
      <c r="STW30" s="204"/>
      <c r="STX30" s="204"/>
      <c r="STY30" s="204"/>
      <c r="STZ30" s="204"/>
      <c r="SUA30" s="204"/>
      <c r="SUB30" s="204"/>
      <c r="SUC30" s="204"/>
      <c r="SUD30" s="204"/>
      <c r="SUE30" s="204"/>
      <c r="SUF30" s="204"/>
      <c r="SUG30" s="204"/>
      <c r="SUH30" s="204"/>
      <c r="SUI30" s="204"/>
      <c r="SUJ30" s="204"/>
      <c r="SUK30" s="204"/>
      <c r="SUL30" s="204"/>
      <c r="SUM30" s="204"/>
      <c r="SUN30" s="204"/>
      <c r="SUO30" s="204"/>
      <c r="SUP30" s="204"/>
      <c r="SUQ30" s="204"/>
      <c r="SUR30" s="204"/>
      <c r="SUS30" s="204"/>
      <c r="SUT30" s="204"/>
      <c r="SUU30" s="204"/>
      <c r="SUV30" s="204"/>
      <c r="SUW30" s="204"/>
      <c r="SUX30" s="204"/>
      <c r="SUY30" s="204"/>
      <c r="SUZ30" s="204"/>
      <c r="SVA30" s="204"/>
      <c r="SVB30" s="204"/>
      <c r="SVC30" s="204"/>
      <c r="SVD30" s="204"/>
      <c r="SVE30" s="204"/>
      <c r="SVF30" s="204"/>
      <c r="SVG30" s="204"/>
      <c r="SVH30" s="204"/>
      <c r="SVI30" s="204"/>
      <c r="SVJ30" s="204"/>
      <c r="SVK30" s="204"/>
      <c r="SVL30" s="204"/>
      <c r="SVM30" s="204"/>
      <c r="SVN30" s="204"/>
      <c r="SVO30" s="204"/>
      <c r="SVP30" s="204"/>
      <c r="SVQ30" s="204"/>
      <c r="SVR30" s="204"/>
      <c r="SVS30" s="204"/>
      <c r="SVT30" s="204"/>
      <c r="SVU30" s="204"/>
      <c r="SVV30" s="204"/>
      <c r="SVW30" s="204"/>
      <c r="SVX30" s="204"/>
      <c r="SVY30" s="204"/>
      <c r="SVZ30" s="204"/>
      <c r="SWA30" s="204"/>
      <c r="SWB30" s="204"/>
      <c r="SWC30" s="204"/>
      <c r="SWD30" s="204"/>
      <c r="SWE30" s="204"/>
      <c r="SWF30" s="204"/>
      <c r="SWG30" s="204"/>
      <c r="SWH30" s="204"/>
      <c r="SWI30" s="204"/>
      <c r="SWJ30" s="204"/>
      <c r="SWK30" s="204"/>
      <c r="SWL30" s="204"/>
      <c r="SWM30" s="204"/>
      <c r="SWN30" s="204"/>
      <c r="SWO30" s="204"/>
      <c r="SWP30" s="204"/>
      <c r="SWQ30" s="204"/>
      <c r="SWR30" s="204"/>
      <c r="SWS30" s="204"/>
      <c r="SWT30" s="204"/>
      <c r="SWU30" s="204"/>
      <c r="SWV30" s="204"/>
      <c r="SWW30" s="204"/>
      <c r="SWX30" s="204"/>
      <c r="SWY30" s="204"/>
      <c r="SWZ30" s="204"/>
      <c r="SXA30" s="204"/>
      <c r="SXB30" s="204"/>
      <c r="SXC30" s="204"/>
      <c r="SXD30" s="204"/>
      <c r="SXE30" s="204"/>
      <c r="SXF30" s="204"/>
      <c r="SXG30" s="204"/>
      <c r="SXH30" s="204"/>
      <c r="SXI30" s="204"/>
      <c r="SXJ30" s="204"/>
      <c r="SXK30" s="204"/>
      <c r="SXL30" s="204"/>
      <c r="SXM30" s="204"/>
      <c r="SXN30" s="204"/>
      <c r="SXO30" s="204"/>
      <c r="SXP30" s="204"/>
      <c r="SXQ30" s="204"/>
      <c r="SXR30" s="204"/>
      <c r="SXS30" s="204"/>
      <c r="SXT30" s="204"/>
      <c r="SXU30" s="204"/>
      <c r="SXV30" s="204"/>
      <c r="SXW30" s="204"/>
      <c r="SXX30" s="204"/>
      <c r="SXY30" s="204"/>
      <c r="SXZ30" s="204"/>
      <c r="SYA30" s="204"/>
      <c r="SYB30" s="204"/>
      <c r="SYC30" s="204"/>
      <c r="SYD30" s="204"/>
      <c r="SYE30" s="204"/>
      <c r="SYF30" s="204"/>
      <c r="SYG30" s="204"/>
      <c r="SYH30" s="204"/>
      <c r="SYI30" s="204"/>
      <c r="SYJ30" s="204"/>
      <c r="SYK30" s="204"/>
      <c r="SYL30" s="204"/>
      <c r="SYM30" s="204"/>
      <c r="SYN30" s="204"/>
      <c r="SYO30" s="204"/>
      <c r="SYP30" s="204"/>
      <c r="SYQ30" s="204"/>
      <c r="SYR30" s="204"/>
      <c r="SYS30" s="204"/>
      <c r="SYT30" s="204"/>
      <c r="SYU30" s="204"/>
      <c r="SYV30" s="204"/>
      <c r="SYW30" s="204"/>
      <c r="SYX30" s="204"/>
      <c r="SYY30" s="204"/>
      <c r="SYZ30" s="204"/>
      <c r="SZA30" s="204"/>
      <c r="SZB30" s="204"/>
      <c r="SZC30" s="204"/>
      <c r="SZD30" s="204"/>
      <c r="SZE30" s="204"/>
      <c r="SZF30" s="204"/>
      <c r="SZG30" s="204"/>
      <c r="SZH30" s="204"/>
      <c r="SZI30" s="204"/>
      <c r="SZJ30" s="204"/>
      <c r="SZK30" s="204"/>
      <c r="SZL30" s="204"/>
      <c r="SZM30" s="204"/>
      <c r="SZN30" s="204"/>
      <c r="SZO30" s="204"/>
      <c r="SZP30" s="204"/>
      <c r="SZQ30" s="204"/>
      <c r="SZR30" s="204"/>
      <c r="SZS30" s="204"/>
      <c r="SZT30" s="204"/>
      <c r="SZU30" s="204"/>
      <c r="SZV30" s="204"/>
      <c r="SZW30" s="204"/>
      <c r="SZX30" s="204"/>
      <c r="SZY30" s="204"/>
      <c r="SZZ30" s="204"/>
      <c r="TAA30" s="204"/>
      <c r="TAB30" s="204"/>
      <c r="TAC30" s="204"/>
      <c r="TAD30" s="204"/>
      <c r="TAE30" s="204"/>
      <c r="TAF30" s="204"/>
      <c r="TAG30" s="204"/>
      <c r="TAH30" s="204"/>
      <c r="TAI30" s="204"/>
      <c r="TAJ30" s="204"/>
      <c r="TAK30" s="204"/>
      <c r="TAL30" s="204"/>
      <c r="TAM30" s="204"/>
      <c r="TAN30" s="204"/>
      <c r="TAO30" s="204"/>
      <c r="TAP30" s="204"/>
      <c r="TAQ30" s="204"/>
      <c r="TAR30" s="204"/>
      <c r="TAS30" s="204"/>
      <c r="TAT30" s="204"/>
      <c r="TAU30" s="204"/>
      <c r="TAV30" s="204"/>
      <c r="TAW30" s="204"/>
      <c r="TAX30" s="204"/>
      <c r="TAY30" s="204"/>
      <c r="TAZ30" s="204"/>
      <c r="TBA30" s="204"/>
      <c r="TBB30" s="204"/>
      <c r="TBC30" s="204"/>
      <c r="TBD30" s="204"/>
      <c r="TBE30" s="204"/>
      <c r="TBF30" s="204"/>
      <c r="TBG30" s="204"/>
      <c r="TBH30" s="204"/>
      <c r="TBI30" s="204"/>
      <c r="TBJ30" s="204"/>
      <c r="TBK30" s="204"/>
      <c r="TBL30" s="204"/>
      <c r="TBM30" s="204"/>
      <c r="TBN30" s="204"/>
      <c r="TBO30" s="204"/>
      <c r="TBP30" s="204"/>
      <c r="TBQ30" s="204"/>
      <c r="TBR30" s="204"/>
      <c r="TBS30" s="204"/>
      <c r="TBT30" s="204"/>
      <c r="TBU30" s="204"/>
      <c r="TBV30" s="204"/>
      <c r="TBW30" s="204"/>
      <c r="TBX30" s="204"/>
      <c r="TBY30" s="204"/>
      <c r="TBZ30" s="204"/>
      <c r="TCA30" s="204"/>
      <c r="TCB30" s="204"/>
      <c r="TCC30" s="204"/>
      <c r="TCD30" s="204"/>
      <c r="TCE30" s="204"/>
      <c r="TCF30" s="204"/>
      <c r="TCG30" s="204"/>
      <c r="TCH30" s="204"/>
      <c r="TCI30" s="204"/>
      <c r="TCJ30" s="204"/>
      <c r="TCK30" s="204"/>
      <c r="TCL30" s="204"/>
      <c r="TCM30" s="204"/>
      <c r="TCN30" s="204"/>
      <c r="TCO30" s="204"/>
      <c r="TCP30" s="204"/>
      <c r="TCQ30" s="204"/>
      <c r="TCR30" s="204"/>
      <c r="TCS30" s="204"/>
      <c r="TCT30" s="204"/>
      <c r="TCU30" s="204"/>
      <c r="TCV30" s="204"/>
      <c r="TCW30" s="204"/>
      <c r="TCX30" s="204"/>
      <c r="TCY30" s="204"/>
      <c r="TCZ30" s="204"/>
      <c r="TDA30" s="204"/>
      <c r="TDB30" s="204"/>
      <c r="TDC30" s="204"/>
      <c r="TDD30" s="204"/>
      <c r="TDE30" s="204"/>
      <c r="TDF30" s="204"/>
      <c r="TDG30" s="204"/>
      <c r="TDH30" s="204"/>
      <c r="TDI30" s="204"/>
      <c r="TDJ30" s="204"/>
      <c r="TDK30" s="204"/>
      <c r="TDL30" s="204"/>
      <c r="TDM30" s="204"/>
      <c r="TDN30" s="204"/>
      <c r="TDO30" s="204"/>
      <c r="TDP30" s="204"/>
      <c r="TDQ30" s="204"/>
      <c r="TDR30" s="204"/>
      <c r="TDS30" s="204"/>
      <c r="TDT30" s="204"/>
      <c r="TDU30" s="204"/>
      <c r="TDV30" s="204"/>
      <c r="TDW30" s="204"/>
      <c r="TDX30" s="204"/>
      <c r="TDY30" s="204"/>
      <c r="TDZ30" s="204"/>
      <c r="TEA30" s="204"/>
      <c r="TEB30" s="204"/>
      <c r="TEC30" s="204"/>
      <c r="TED30" s="204"/>
      <c r="TEE30" s="204"/>
      <c r="TEF30" s="204"/>
      <c r="TEG30" s="204"/>
      <c r="TEH30" s="204"/>
      <c r="TEI30" s="204"/>
      <c r="TEJ30" s="204"/>
      <c r="TEK30" s="204"/>
      <c r="TEL30" s="204"/>
      <c r="TEM30" s="204"/>
      <c r="TEN30" s="204"/>
      <c r="TEO30" s="204"/>
      <c r="TEP30" s="204"/>
      <c r="TEQ30" s="204"/>
      <c r="TER30" s="204"/>
      <c r="TES30" s="204"/>
      <c r="TET30" s="204"/>
      <c r="TEU30" s="204"/>
      <c r="TEV30" s="204"/>
      <c r="TEW30" s="204"/>
      <c r="TEX30" s="204"/>
      <c r="TEY30" s="204"/>
      <c r="TEZ30" s="204"/>
      <c r="TFA30" s="204"/>
      <c r="TFB30" s="204"/>
      <c r="TFC30" s="204"/>
      <c r="TFD30" s="204"/>
      <c r="TFE30" s="204"/>
      <c r="TFF30" s="204"/>
      <c r="TFG30" s="204"/>
      <c r="TFH30" s="204"/>
      <c r="TFI30" s="204"/>
      <c r="TFJ30" s="204"/>
      <c r="TFK30" s="204"/>
      <c r="TFL30" s="204"/>
      <c r="TFM30" s="204"/>
      <c r="TFN30" s="204"/>
      <c r="TFO30" s="204"/>
      <c r="TFP30" s="204"/>
      <c r="TFQ30" s="204"/>
      <c r="TFR30" s="204"/>
      <c r="TFS30" s="204"/>
      <c r="TFT30" s="204"/>
      <c r="TFU30" s="204"/>
      <c r="TFV30" s="204"/>
      <c r="TFW30" s="204"/>
      <c r="TFX30" s="204"/>
      <c r="TFY30" s="204"/>
      <c r="TFZ30" s="204"/>
      <c r="TGA30" s="204"/>
      <c r="TGB30" s="204"/>
      <c r="TGC30" s="204"/>
      <c r="TGD30" s="204"/>
      <c r="TGE30" s="204"/>
      <c r="TGF30" s="204"/>
      <c r="TGG30" s="204"/>
      <c r="TGH30" s="204"/>
      <c r="TGI30" s="204"/>
      <c r="TGJ30" s="204"/>
      <c r="TGK30" s="204"/>
      <c r="TGL30" s="204"/>
      <c r="TGM30" s="204"/>
      <c r="TGN30" s="204"/>
      <c r="TGO30" s="204"/>
      <c r="TGP30" s="204"/>
      <c r="TGQ30" s="204"/>
      <c r="TGR30" s="204"/>
      <c r="TGS30" s="204"/>
      <c r="TGT30" s="204"/>
      <c r="TGU30" s="204"/>
      <c r="TGV30" s="204"/>
      <c r="TGW30" s="204"/>
      <c r="TGX30" s="204"/>
      <c r="TGY30" s="204"/>
      <c r="TGZ30" s="204"/>
      <c r="THA30" s="204"/>
      <c r="THB30" s="204"/>
      <c r="THC30" s="204"/>
      <c r="THD30" s="204"/>
      <c r="THE30" s="204"/>
      <c r="THF30" s="204"/>
      <c r="THG30" s="204"/>
      <c r="THH30" s="204"/>
      <c r="THI30" s="204"/>
      <c r="THJ30" s="204"/>
      <c r="THK30" s="204"/>
      <c r="THL30" s="204"/>
      <c r="THM30" s="204"/>
      <c r="THN30" s="204"/>
      <c r="THO30" s="204"/>
      <c r="THP30" s="204"/>
      <c r="THQ30" s="204"/>
      <c r="THR30" s="204"/>
      <c r="THS30" s="204"/>
      <c r="THT30" s="204"/>
      <c r="THU30" s="204"/>
      <c r="THV30" s="204"/>
      <c r="THW30" s="204"/>
      <c r="THX30" s="204"/>
      <c r="THY30" s="204"/>
      <c r="THZ30" s="204"/>
      <c r="TIA30" s="204"/>
      <c r="TIB30" s="204"/>
      <c r="TIC30" s="204"/>
      <c r="TID30" s="204"/>
      <c r="TIE30" s="204"/>
      <c r="TIF30" s="204"/>
      <c r="TIG30" s="204"/>
      <c r="TIH30" s="204"/>
      <c r="TII30" s="204"/>
      <c r="TIJ30" s="204"/>
      <c r="TIK30" s="204"/>
      <c r="TIL30" s="204"/>
      <c r="TIM30" s="204"/>
      <c r="TIN30" s="204"/>
      <c r="TIO30" s="204"/>
      <c r="TIP30" s="204"/>
      <c r="TIQ30" s="204"/>
      <c r="TIR30" s="204"/>
      <c r="TIS30" s="204"/>
      <c r="TIT30" s="204"/>
      <c r="TIU30" s="204"/>
      <c r="TIV30" s="204"/>
      <c r="TIW30" s="204"/>
      <c r="TIX30" s="204"/>
      <c r="TIY30" s="204"/>
      <c r="TIZ30" s="204"/>
      <c r="TJA30" s="204"/>
      <c r="TJB30" s="204"/>
      <c r="TJC30" s="204"/>
      <c r="TJD30" s="204"/>
      <c r="TJE30" s="204"/>
      <c r="TJF30" s="204"/>
      <c r="TJG30" s="204"/>
      <c r="TJH30" s="204"/>
      <c r="TJI30" s="204"/>
      <c r="TJJ30" s="204"/>
      <c r="TJK30" s="204"/>
      <c r="TJL30" s="204"/>
      <c r="TJM30" s="204"/>
      <c r="TJN30" s="204"/>
      <c r="TJO30" s="204"/>
      <c r="TJP30" s="204"/>
      <c r="TJQ30" s="204"/>
      <c r="TJR30" s="204"/>
      <c r="TJS30" s="204"/>
      <c r="TJT30" s="204"/>
      <c r="TJU30" s="204"/>
      <c r="TJV30" s="204"/>
      <c r="TJW30" s="204"/>
      <c r="TJX30" s="204"/>
      <c r="TJY30" s="204"/>
      <c r="TJZ30" s="204"/>
      <c r="TKA30" s="204"/>
      <c r="TKB30" s="204"/>
      <c r="TKC30" s="204"/>
      <c r="TKD30" s="204"/>
      <c r="TKE30" s="204"/>
      <c r="TKF30" s="204"/>
      <c r="TKG30" s="204"/>
      <c r="TKH30" s="204"/>
      <c r="TKI30" s="204"/>
      <c r="TKJ30" s="204"/>
      <c r="TKK30" s="204"/>
      <c r="TKL30" s="204"/>
      <c r="TKM30" s="204"/>
      <c r="TKN30" s="204"/>
      <c r="TKO30" s="204"/>
      <c r="TKP30" s="204"/>
      <c r="TKQ30" s="204"/>
      <c r="TKR30" s="204"/>
      <c r="TKS30" s="204"/>
      <c r="TKT30" s="204"/>
      <c r="TKU30" s="204"/>
      <c r="TKV30" s="204"/>
      <c r="TKW30" s="204"/>
      <c r="TKX30" s="204"/>
      <c r="TKY30" s="204"/>
      <c r="TKZ30" s="204"/>
      <c r="TLA30" s="204"/>
      <c r="TLB30" s="204"/>
      <c r="TLC30" s="204"/>
      <c r="TLD30" s="204"/>
      <c r="TLE30" s="204"/>
      <c r="TLF30" s="204"/>
      <c r="TLG30" s="204"/>
      <c r="TLH30" s="204"/>
      <c r="TLI30" s="204"/>
      <c r="TLJ30" s="204"/>
      <c r="TLK30" s="204"/>
      <c r="TLL30" s="204"/>
      <c r="TLM30" s="204"/>
      <c r="TLN30" s="204"/>
      <c r="TLO30" s="204"/>
      <c r="TLP30" s="204"/>
      <c r="TLQ30" s="204"/>
      <c r="TLR30" s="204"/>
      <c r="TLS30" s="204"/>
      <c r="TLT30" s="204"/>
      <c r="TLU30" s="204"/>
      <c r="TLV30" s="204"/>
      <c r="TLW30" s="204"/>
      <c r="TLX30" s="204"/>
      <c r="TLY30" s="204"/>
      <c r="TLZ30" s="204"/>
      <c r="TMA30" s="204"/>
      <c r="TMB30" s="204"/>
      <c r="TMC30" s="204"/>
      <c r="TMD30" s="204"/>
      <c r="TME30" s="204"/>
      <c r="TMF30" s="204"/>
      <c r="TMG30" s="204"/>
      <c r="TMH30" s="204"/>
      <c r="TMI30" s="204"/>
      <c r="TMJ30" s="204"/>
      <c r="TMK30" s="204"/>
      <c r="TML30" s="204"/>
      <c r="TMM30" s="204"/>
      <c r="TMN30" s="204"/>
      <c r="TMO30" s="204"/>
      <c r="TMP30" s="204"/>
      <c r="TMQ30" s="204"/>
      <c r="TMR30" s="204"/>
      <c r="TMS30" s="204"/>
      <c r="TMT30" s="204"/>
      <c r="TMU30" s="204"/>
      <c r="TMV30" s="204"/>
      <c r="TMW30" s="204"/>
      <c r="TMX30" s="204"/>
      <c r="TMY30" s="204"/>
      <c r="TMZ30" s="204"/>
      <c r="TNA30" s="204"/>
      <c r="TNB30" s="204"/>
      <c r="TNC30" s="204"/>
      <c r="TND30" s="204"/>
      <c r="TNE30" s="204"/>
      <c r="TNF30" s="204"/>
      <c r="TNG30" s="204"/>
      <c r="TNH30" s="204"/>
      <c r="TNI30" s="204"/>
      <c r="TNJ30" s="204"/>
      <c r="TNK30" s="204"/>
      <c r="TNL30" s="204"/>
      <c r="TNM30" s="204"/>
      <c r="TNN30" s="204"/>
      <c r="TNO30" s="204"/>
      <c r="TNP30" s="204"/>
      <c r="TNQ30" s="204"/>
      <c r="TNR30" s="204"/>
      <c r="TNS30" s="204"/>
      <c r="TNT30" s="204"/>
      <c r="TNU30" s="204"/>
      <c r="TNV30" s="204"/>
      <c r="TNW30" s="204"/>
      <c r="TNX30" s="204"/>
      <c r="TNY30" s="204"/>
      <c r="TNZ30" s="204"/>
      <c r="TOA30" s="204"/>
      <c r="TOB30" s="204"/>
      <c r="TOC30" s="204"/>
      <c r="TOD30" s="204"/>
      <c r="TOE30" s="204"/>
      <c r="TOF30" s="204"/>
      <c r="TOG30" s="204"/>
      <c r="TOH30" s="204"/>
      <c r="TOI30" s="204"/>
      <c r="TOJ30" s="204"/>
      <c r="TOK30" s="204"/>
      <c r="TOL30" s="204"/>
      <c r="TOM30" s="204"/>
      <c r="TON30" s="204"/>
      <c r="TOO30" s="204"/>
      <c r="TOP30" s="204"/>
      <c r="TOQ30" s="204"/>
      <c r="TOR30" s="204"/>
      <c r="TOS30" s="204"/>
      <c r="TOT30" s="204"/>
      <c r="TOU30" s="204"/>
      <c r="TOV30" s="204"/>
      <c r="TOW30" s="204"/>
      <c r="TOX30" s="204"/>
      <c r="TOY30" s="204"/>
      <c r="TOZ30" s="204"/>
      <c r="TPA30" s="204"/>
      <c r="TPB30" s="204"/>
      <c r="TPC30" s="204"/>
      <c r="TPD30" s="204"/>
      <c r="TPE30" s="204"/>
      <c r="TPF30" s="204"/>
      <c r="TPG30" s="204"/>
      <c r="TPH30" s="204"/>
      <c r="TPI30" s="204"/>
      <c r="TPJ30" s="204"/>
      <c r="TPK30" s="204"/>
      <c r="TPL30" s="204"/>
      <c r="TPM30" s="204"/>
      <c r="TPN30" s="204"/>
      <c r="TPO30" s="204"/>
      <c r="TPP30" s="204"/>
      <c r="TPQ30" s="204"/>
      <c r="TPR30" s="204"/>
      <c r="TPS30" s="204"/>
      <c r="TPT30" s="204"/>
      <c r="TPU30" s="204"/>
      <c r="TPV30" s="204"/>
      <c r="TPW30" s="204"/>
      <c r="TPX30" s="204"/>
      <c r="TPY30" s="204"/>
      <c r="TPZ30" s="204"/>
      <c r="TQA30" s="204"/>
      <c r="TQB30" s="204"/>
      <c r="TQC30" s="204"/>
      <c r="TQD30" s="204"/>
      <c r="TQE30" s="204"/>
      <c r="TQF30" s="204"/>
      <c r="TQG30" s="204"/>
      <c r="TQH30" s="204"/>
      <c r="TQI30" s="204"/>
      <c r="TQJ30" s="204"/>
      <c r="TQK30" s="204"/>
      <c r="TQL30" s="204"/>
      <c r="TQM30" s="204"/>
      <c r="TQN30" s="204"/>
      <c r="TQO30" s="204"/>
      <c r="TQP30" s="204"/>
      <c r="TQQ30" s="204"/>
      <c r="TQR30" s="204"/>
      <c r="TQS30" s="204"/>
      <c r="TQT30" s="204"/>
      <c r="TQU30" s="204"/>
      <c r="TQV30" s="204"/>
      <c r="TQW30" s="204"/>
      <c r="TQX30" s="204"/>
      <c r="TQY30" s="204"/>
      <c r="TQZ30" s="204"/>
      <c r="TRA30" s="204"/>
      <c r="TRB30" s="204"/>
      <c r="TRC30" s="204"/>
      <c r="TRD30" s="204"/>
      <c r="TRE30" s="204"/>
      <c r="TRF30" s="204"/>
      <c r="TRG30" s="204"/>
      <c r="TRH30" s="204"/>
      <c r="TRI30" s="204"/>
      <c r="TRJ30" s="204"/>
      <c r="TRK30" s="204"/>
      <c r="TRL30" s="204"/>
      <c r="TRM30" s="204"/>
      <c r="TRN30" s="204"/>
      <c r="TRO30" s="204"/>
      <c r="TRP30" s="204"/>
      <c r="TRQ30" s="204"/>
      <c r="TRR30" s="204"/>
      <c r="TRS30" s="204"/>
      <c r="TRT30" s="204"/>
      <c r="TRU30" s="204"/>
      <c r="TRV30" s="204"/>
      <c r="TRW30" s="204"/>
      <c r="TRX30" s="204"/>
      <c r="TRY30" s="204"/>
      <c r="TRZ30" s="204"/>
      <c r="TSA30" s="204"/>
      <c r="TSB30" s="204"/>
      <c r="TSC30" s="204"/>
      <c r="TSD30" s="204"/>
      <c r="TSE30" s="204"/>
      <c r="TSF30" s="204"/>
      <c r="TSG30" s="204"/>
      <c r="TSH30" s="204"/>
      <c r="TSI30" s="204"/>
      <c r="TSJ30" s="204"/>
      <c r="TSK30" s="204"/>
      <c r="TSL30" s="204"/>
      <c r="TSM30" s="204"/>
      <c r="TSN30" s="204"/>
      <c r="TSO30" s="204"/>
      <c r="TSP30" s="204"/>
      <c r="TSQ30" s="204"/>
      <c r="TSR30" s="204"/>
      <c r="TSS30" s="204"/>
      <c r="TST30" s="204"/>
      <c r="TSU30" s="204"/>
      <c r="TSV30" s="204"/>
      <c r="TSW30" s="204"/>
      <c r="TSX30" s="204"/>
      <c r="TSY30" s="204"/>
      <c r="TSZ30" s="204"/>
      <c r="TTA30" s="204"/>
      <c r="TTB30" s="204"/>
      <c r="TTC30" s="204"/>
      <c r="TTD30" s="204"/>
      <c r="TTE30" s="204"/>
      <c r="TTF30" s="204"/>
      <c r="TTG30" s="204"/>
      <c r="TTH30" s="204"/>
      <c r="TTI30" s="204"/>
      <c r="TTJ30" s="204"/>
      <c r="TTK30" s="204"/>
      <c r="TTL30" s="204"/>
      <c r="TTM30" s="204"/>
      <c r="TTN30" s="204"/>
      <c r="TTO30" s="204"/>
      <c r="TTP30" s="204"/>
      <c r="TTQ30" s="204"/>
      <c r="TTR30" s="204"/>
      <c r="TTS30" s="204"/>
      <c r="TTT30" s="204"/>
      <c r="TTU30" s="204"/>
      <c r="TTV30" s="204"/>
      <c r="TTW30" s="204"/>
      <c r="TTX30" s="204"/>
      <c r="TTY30" s="204"/>
      <c r="TTZ30" s="204"/>
      <c r="TUA30" s="204"/>
      <c r="TUB30" s="204"/>
      <c r="TUC30" s="204"/>
      <c r="TUD30" s="204"/>
      <c r="TUE30" s="204"/>
      <c r="TUF30" s="204"/>
      <c r="TUG30" s="204"/>
      <c r="TUH30" s="204"/>
      <c r="TUI30" s="204"/>
      <c r="TUJ30" s="204"/>
      <c r="TUK30" s="204"/>
      <c r="TUL30" s="204"/>
      <c r="TUM30" s="204"/>
      <c r="TUN30" s="204"/>
      <c r="TUO30" s="204"/>
      <c r="TUP30" s="204"/>
      <c r="TUQ30" s="204"/>
      <c r="TUR30" s="204"/>
      <c r="TUS30" s="204"/>
      <c r="TUT30" s="204"/>
      <c r="TUU30" s="204"/>
      <c r="TUV30" s="204"/>
      <c r="TUW30" s="204"/>
      <c r="TUX30" s="204"/>
      <c r="TUY30" s="204"/>
      <c r="TUZ30" s="204"/>
      <c r="TVA30" s="204"/>
      <c r="TVB30" s="204"/>
      <c r="TVC30" s="204"/>
      <c r="TVD30" s="204"/>
      <c r="TVE30" s="204"/>
      <c r="TVF30" s="204"/>
      <c r="TVG30" s="204"/>
      <c r="TVH30" s="204"/>
      <c r="TVI30" s="204"/>
      <c r="TVJ30" s="204"/>
      <c r="TVK30" s="204"/>
      <c r="TVL30" s="204"/>
      <c r="TVM30" s="204"/>
      <c r="TVN30" s="204"/>
      <c r="TVO30" s="204"/>
      <c r="TVP30" s="204"/>
      <c r="TVQ30" s="204"/>
      <c r="TVR30" s="204"/>
      <c r="TVS30" s="204"/>
      <c r="TVT30" s="204"/>
      <c r="TVU30" s="204"/>
      <c r="TVV30" s="204"/>
      <c r="TVW30" s="204"/>
      <c r="TVX30" s="204"/>
      <c r="TVY30" s="204"/>
      <c r="TVZ30" s="204"/>
      <c r="TWA30" s="204"/>
      <c r="TWB30" s="204"/>
      <c r="TWC30" s="204"/>
      <c r="TWD30" s="204"/>
      <c r="TWE30" s="204"/>
      <c r="TWF30" s="204"/>
      <c r="TWG30" s="204"/>
      <c r="TWH30" s="204"/>
      <c r="TWI30" s="204"/>
      <c r="TWJ30" s="204"/>
      <c r="TWK30" s="204"/>
      <c r="TWL30" s="204"/>
      <c r="TWM30" s="204"/>
      <c r="TWN30" s="204"/>
      <c r="TWO30" s="204"/>
      <c r="TWP30" s="204"/>
      <c r="TWQ30" s="204"/>
      <c r="TWR30" s="204"/>
      <c r="TWS30" s="204"/>
      <c r="TWT30" s="204"/>
      <c r="TWU30" s="204"/>
      <c r="TWV30" s="204"/>
      <c r="TWW30" s="204"/>
      <c r="TWX30" s="204"/>
      <c r="TWY30" s="204"/>
      <c r="TWZ30" s="204"/>
      <c r="TXA30" s="204"/>
      <c r="TXB30" s="204"/>
      <c r="TXC30" s="204"/>
      <c r="TXD30" s="204"/>
      <c r="TXE30" s="204"/>
      <c r="TXF30" s="204"/>
      <c r="TXG30" s="204"/>
      <c r="TXH30" s="204"/>
      <c r="TXI30" s="204"/>
      <c r="TXJ30" s="204"/>
      <c r="TXK30" s="204"/>
      <c r="TXL30" s="204"/>
      <c r="TXM30" s="204"/>
      <c r="TXN30" s="204"/>
      <c r="TXO30" s="204"/>
      <c r="TXP30" s="204"/>
      <c r="TXQ30" s="204"/>
      <c r="TXR30" s="204"/>
      <c r="TXS30" s="204"/>
      <c r="TXT30" s="204"/>
      <c r="TXU30" s="204"/>
      <c r="TXV30" s="204"/>
      <c r="TXW30" s="204"/>
      <c r="TXX30" s="204"/>
      <c r="TXY30" s="204"/>
      <c r="TXZ30" s="204"/>
      <c r="TYA30" s="204"/>
      <c r="TYB30" s="204"/>
      <c r="TYC30" s="204"/>
      <c r="TYD30" s="204"/>
      <c r="TYE30" s="204"/>
      <c r="TYF30" s="204"/>
      <c r="TYG30" s="204"/>
      <c r="TYH30" s="204"/>
      <c r="TYI30" s="204"/>
      <c r="TYJ30" s="204"/>
      <c r="TYK30" s="204"/>
      <c r="TYL30" s="204"/>
      <c r="TYM30" s="204"/>
      <c r="TYN30" s="204"/>
      <c r="TYO30" s="204"/>
      <c r="TYP30" s="204"/>
      <c r="TYQ30" s="204"/>
      <c r="TYR30" s="204"/>
      <c r="TYS30" s="204"/>
      <c r="TYT30" s="204"/>
      <c r="TYU30" s="204"/>
      <c r="TYV30" s="204"/>
      <c r="TYW30" s="204"/>
      <c r="TYX30" s="204"/>
      <c r="TYY30" s="204"/>
      <c r="TYZ30" s="204"/>
      <c r="TZA30" s="204"/>
      <c r="TZB30" s="204"/>
      <c r="TZC30" s="204"/>
      <c r="TZD30" s="204"/>
      <c r="TZE30" s="204"/>
      <c r="TZF30" s="204"/>
      <c r="TZG30" s="204"/>
      <c r="TZH30" s="204"/>
      <c r="TZI30" s="204"/>
      <c r="TZJ30" s="204"/>
      <c r="TZK30" s="204"/>
      <c r="TZL30" s="204"/>
      <c r="TZM30" s="204"/>
      <c r="TZN30" s="204"/>
      <c r="TZO30" s="204"/>
      <c r="TZP30" s="204"/>
      <c r="TZQ30" s="204"/>
      <c r="TZR30" s="204"/>
      <c r="TZS30" s="204"/>
      <c r="TZT30" s="204"/>
      <c r="TZU30" s="204"/>
      <c r="TZV30" s="204"/>
      <c r="TZW30" s="204"/>
      <c r="TZX30" s="204"/>
      <c r="TZY30" s="204"/>
      <c r="TZZ30" s="204"/>
      <c r="UAA30" s="204"/>
      <c r="UAB30" s="204"/>
      <c r="UAC30" s="204"/>
      <c r="UAD30" s="204"/>
      <c r="UAE30" s="204"/>
      <c r="UAF30" s="204"/>
      <c r="UAG30" s="204"/>
      <c r="UAH30" s="204"/>
      <c r="UAI30" s="204"/>
      <c r="UAJ30" s="204"/>
      <c r="UAK30" s="204"/>
      <c r="UAL30" s="204"/>
      <c r="UAM30" s="204"/>
      <c r="UAN30" s="204"/>
      <c r="UAO30" s="204"/>
      <c r="UAP30" s="204"/>
      <c r="UAQ30" s="204"/>
      <c r="UAR30" s="204"/>
      <c r="UAS30" s="204"/>
      <c r="UAT30" s="204"/>
      <c r="UAU30" s="204"/>
      <c r="UAV30" s="204"/>
      <c r="UAW30" s="204"/>
      <c r="UAX30" s="204"/>
      <c r="UAY30" s="204"/>
      <c r="UAZ30" s="204"/>
      <c r="UBA30" s="204"/>
      <c r="UBB30" s="204"/>
      <c r="UBC30" s="204"/>
      <c r="UBD30" s="204"/>
      <c r="UBE30" s="204"/>
      <c r="UBF30" s="204"/>
      <c r="UBG30" s="204"/>
      <c r="UBH30" s="204"/>
      <c r="UBI30" s="204"/>
      <c r="UBJ30" s="204"/>
      <c r="UBK30" s="204"/>
      <c r="UBL30" s="204"/>
      <c r="UBM30" s="204"/>
      <c r="UBN30" s="204"/>
      <c r="UBO30" s="204"/>
      <c r="UBP30" s="204"/>
      <c r="UBQ30" s="204"/>
      <c r="UBR30" s="204"/>
      <c r="UBS30" s="204"/>
      <c r="UBT30" s="204"/>
      <c r="UBU30" s="204"/>
      <c r="UBV30" s="204"/>
      <c r="UBW30" s="204"/>
      <c r="UBX30" s="204"/>
      <c r="UBY30" s="204"/>
      <c r="UBZ30" s="204"/>
      <c r="UCA30" s="204"/>
      <c r="UCB30" s="204"/>
      <c r="UCC30" s="204"/>
      <c r="UCD30" s="204"/>
      <c r="UCE30" s="204"/>
      <c r="UCF30" s="204"/>
      <c r="UCG30" s="204"/>
      <c r="UCH30" s="204"/>
      <c r="UCI30" s="204"/>
      <c r="UCJ30" s="204"/>
      <c r="UCK30" s="204"/>
      <c r="UCL30" s="204"/>
      <c r="UCM30" s="204"/>
      <c r="UCN30" s="204"/>
      <c r="UCO30" s="204"/>
      <c r="UCP30" s="204"/>
      <c r="UCQ30" s="204"/>
      <c r="UCR30" s="204"/>
      <c r="UCS30" s="204"/>
      <c r="UCT30" s="204"/>
      <c r="UCU30" s="204"/>
      <c r="UCV30" s="204"/>
      <c r="UCW30" s="204"/>
      <c r="UCX30" s="204"/>
      <c r="UCY30" s="204"/>
      <c r="UCZ30" s="204"/>
      <c r="UDA30" s="204"/>
      <c r="UDB30" s="204"/>
      <c r="UDC30" s="204"/>
      <c r="UDD30" s="204"/>
      <c r="UDE30" s="204"/>
      <c r="UDF30" s="204"/>
      <c r="UDG30" s="204"/>
      <c r="UDH30" s="204"/>
      <c r="UDI30" s="204"/>
      <c r="UDJ30" s="204"/>
      <c r="UDK30" s="204"/>
      <c r="UDL30" s="204"/>
      <c r="UDM30" s="204"/>
      <c r="UDN30" s="204"/>
      <c r="UDO30" s="204"/>
      <c r="UDP30" s="204"/>
      <c r="UDQ30" s="204"/>
      <c r="UDR30" s="204"/>
      <c r="UDS30" s="204"/>
      <c r="UDT30" s="204"/>
      <c r="UDU30" s="204"/>
      <c r="UDV30" s="204"/>
      <c r="UDW30" s="204"/>
      <c r="UDX30" s="204"/>
      <c r="UDY30" s="204"/>
      <c r="UDZ30" s="204"/>
      <c r="UEA30" s="204"/>
      <c r="UEB30" s="204"/>
      <c r="UEC30" s="204"/>
      <c r="UED30" s="204"/>
      <c r="UEE30" s="204"/>
      <c r="UEF30" s="204"/>
      <c r="UEG30" s="204"/>
      <c r="UEH30" s="204"/>
      <c r="UEI30" s="204"/>
      <c r="UEJ30" s="204"/>
      <c r="UEK30" s="204"/>
      <c r="UEL30" s="204"/>
      <c r="UEM30" s="204"/>
      <c r="UEN30" s="204"/>
      <c r="UEO30" s="204"/>
      <c r="UEP30" s="204"/>
      <c r="UEQ30" s="204"/>
      <c r="UER30" s="204"/>
      <c r="UES30" s="204"/>
      <c r="UET30" s="204"/>
      <c r="UEU30" s="204"/>
      <c r="UEV30" s="204"/>
      <c r="UEW30" s="204"/>
      <c r="UEX30" s="204"/>
      <c r="UEY30" s="204"/>
      <c r="UEZ30" s="204"/>
      <c r="UFA30" s="204"/>
      <c r="UFB30" s="204"/>
      <c r="UFC30" s="204"/>
      <c r="UFD30" s="204"/>
      <c r="UFE30" s="204"/>
      <c r="UFF30" s="204"/>
      <c r="UFG30" s="204"/>
      <c r="UFH30" s="204"/>
      <c r="UFI30" s="204"/>
      <c r="UFJ30" s="204"/>
      <c r="UFK30" s="204"/>
      <c r="UFL30" s="204"/>
      <c r="UFM30" s="204"/>
      <c r="UFN30" s="204"/>
      <c r="UFO30" s="204"/>
      <c r="UFP30" s="204"/>
      <c r="UFQ30" s="204"/>
      <c r="UFR30" s="204"/>
      <c r="UFS30" s="204"/>
      <c r="UFT30" s="204"/>
      <c r="UFU30" s="204"/>
      <c r="UFV30" s="204"/>
      <c r="UFW30" s="204"/>
      <c r="UFX30" s="204"/>
      <c r="UFY30" s="204"/>
      <c r="UFZ30" s="204"/>
      <c r="UGA30" s="204"/>
      <c r="UGB30" s="204"/>
      <c r="UGC30" s="204"/>
      <c r="UGD30" s="204"/>
      <c r="UGE30" s="204"/>
      <c r="UGF30" s="204"/>
      <c r="UGG30" s="204"/>
      <c r="UGH30" s="204"/>
      <c r="UGI30" s="204"/>
      <c r="UGJ30" s="204"/>
      <c r="UGK30" s="204"/>
      <c r="UGL30" s="204"/>
      <c r="UGM30" s="204"/>
      <c r="UGN30" s="204"/>
      <c r="UGO30" s="204"/>
      <c r="UGP30" s="204"/>
      <c r="UGQ30" s="204"/>
      <c r="UGR30" s="204"/>
      <c r="UGS30" s="204"/>
      <c r="UGT30" s="204"/>
      <c r="UGU30" s="204"/>
      <c r="UGV30" s="204"/>
      <c r="UGW30" s="204"/>
      <c r="UGX30" s="204"/>
      <c r="UGY30" s="204"/>
      <c r="UGZ30" s="204"/>
      <c r="UHA30" s="204"/>
      <c r="UHB30" s="204"/>
      <c r="UHC30" s="204"/>
      <c r="UHD30" s="204"/>
      <c r="UHE30" s="204"/>
      <c r="UHF30" s="204"/>
      <c r="UHG30" s="204"/>
      <c r="UHH30" s="204"/>
      <c r="UHI30" s="204"/>
      <c r="UHJ30" s="204"/>
      <c r="UHK30" s="204"/>
      <c r="UHL30" s="204"/>
      <c r="UHM30" s="204"/>
      <c r="UHN30" s="204"/>
      <c r="UHO30" s="204"/>
      <c r="UHP30" s="204"/>
      <c r="UHQ30" s="204"/>
      <c r="UHR30" s="204"/>
      <c r="UHS30" s="204"/>
      <c r="UHT30" s="204"/>
      <c r="UHU30" s="204"/>
      <c r="UHV30" s="204"/>
      <c r="UHW30" s="204"/>
      <c r="UHX30" s="204"/>
      <c r="UHY30" s="204"/>
      <c r="UHZ30" s="204"/>
      <c r="UIA30" s="204"/>
      <c r="UIB30" s="204"/>
      <c r="UIC30" s="204"/>
      <c r="UID30" s="204"/>
      <c r="UIE30" s="204"/>
      <c r="UIF30" s="204"/>
      <c r="UIG30" s="204"/>
      <c r="UIH30" s="204"/>
      <c r="UII30" s="204"/>
      <c r="UIJ30" s="204"/>
      <c r="UIK30" s="204"/>
      <c r="UIL30" s="204"/>
      <c r="UIM30" s="204"/>
      <c r="UIN30" s="204"/>
      <c r="UIO30" s="204"/>
      <c r="UIP30" s="204"/>
      <c r="UIQ30" s="204"/>
      <c r="UIR30" s="204"/>
      <c r="UIS30" s="204"/>
      <c r="UIT30" s="204"/>
      <c r="UIU30" s="204"/>
      <c r="UIV30" s="204"/>
      <c r="UIW30" s="204"/>
      <c r="UIX30" s="204"/>
      <c r="UIY30" s="204"/>
      <c r="UIZ30" s="204"/>
      <c r="UJA30" s="204"/>
      <c r="UJB30" s="204"/>
      <c r="UJC30" s="204"/>
      <c r="UJD30" s="204"/>
      <c r="UJE30" s="204"/>
      <c r="UJF30" s="204"/>
      <c r="UJG30" s="204"/>
      <c r="UJH30" s="204"/>
      <c r="UJI30" s="204"/>
      <c r="UJJ30" s="204"/>
      <c r="UJK30" s="204"/>
      <c r="UJL30" s="204"/>
      <c r="UJM30" s="204"/>
      <c r="UJN30" s="204"/>
      <c r="UJO30" s="204"/>
      <c r="UJP30" s="204"/>
      <c r="UJQ30" s="204"/>
      <c r="UJR30" s="204"/>
      <c r="UJS30" s="204"/>
      <c r="UJT30" s="204"/>
      <c r="UJU30" s="204"/>
      <c r="UJV30" s="204"/>
      <c r="UJW30" s="204"/>
      <c r="UJX30" s="204"/>
      <c r="UJY30" s="204"/>
      <c r="UJZ30" s="204"/>
      <c r="UKA30" s="204"/>
      <c r="UKB30" s="204"/>
      <c r="UKC30" s="204"/>
      <c r="UKD30" s="204"/>
      <c r="UKE30" s="204"/>
      <c r="UKF30" s="204"/>
      <c r="UKG30" s="204"/>
      <c r="UKH30" s="204"/>
      <c r="UKI30" s="204"/>
      <c r="UKJ30" s="204"/>
      <c r="UKK30" s="204"/>
      <c r="UKL30" s="204"/>
      <c r="UKM30" s="204"/>
      <c r="UKN30" s="204"/>
      <c r="UKO30" s="204"/>
      <c r="UKP30" s="204"/>
      <c r="UKQ30" s="204"/>
      <c r="UKR30" s="204"/>
      <c r="UKS30" s="204"/>
      <c r="UKT30" s="204"/>
      <c r="UKU30" s="204"/>
      <c r="UKV30" s="204"/>
      <c r="UKW30" s="204"/>
      <c r="UKX30" s="204"/>
      <c r="UKY30" s="204"/>
      <c r="UKZ30" s="204"/>
      <c r="ULA30" s="204"/>
      <c r="ULB30" s="204"/>
      <c r="ULC30" s="204"/>
      <c r="ULD30" s="204"/>
      <c r="ULE30" s="204"/>
      <c r="ULF30" s="204"/>
      <c r="ULG30" s="204"/>
      <c r="ULH30" s="204"/>
      <c r="ULI30" s="204"/>
      <c r="ULJ30" s="204"/>
      <c r="ULK30" s="204"/>
      <c r="ULL30" s="204"/>
      <c r="ULM30" s="204"/>
      <c r="ULN30" s="204"/>
      <c r="ULO30" s="204"/>
      <c r="ULP30" s="204"/>
      <c r="ULQ30" s="204"/>
      <c r="ULR30" s="204"/>
      <c r="ULS30" s="204"/>
      <c r="ULT30" s="204"/>
      <c r="ULU30" s="204"/>
      <c r="ULV30" s="204"/>
      <c r="ULW30" s="204"/>
      <c r="ULX30" s="204"/>
      <c r="ULY30" s="204"/>
      <c r="ULZ30" s="204"/>
      <c r="UMA30" s="204"/>
      <c r="UMB30" s="204"/>
      <c r="UMC30" s="204"/>
      <c r="UMD30" s="204"/>
      <c r="UME30" s="204"/>
      <c r="UMF30" s="204"/>
      <c r="UMG30" s="204"/>
      <c r="UMH30" s="204"/>
      <c r="UMI30" s="204"/>
      <c r="UMJ30" s="204"/>
      <c r="UMK30" s="204"/>
      <c r="UML30" s="204"/>
      <c r="UMM30" s="204"/>
      <c r="UMN30" s="204"/>
      <c r="UMO30" s="204"/>
      <c r="UMP30" s="204"/>
      <c r="UMQ30" s="204"/>
      <c r="UMR30" s="204"/>
      <c r="UMS30" s="204"/>
      <c r="UMT30" s="204"/>
      <c r="UMU30" s="204"/>
      <c r="UMV30" s="204"/>
      <c r="UMW30" s="204"/>
      <c r="UMX30" s="204"/>
      <c r="UMY30" s="204"/>
      <c r="UMZ30" s="204"/>
      <c r="UNA30" s="204"/>
      <c r="UNB30" s="204"/>
      <c r="UNC30" s="204"/>
      <c r="UND30" s="204"/>
      <c r="UNE30" s="204"/>
      <c r="UNF30" s="204"/>
      <c r="UNG30" s="204"/>
      <c r="UNH30" s="204"/>
      <c r="UNI30" s="204"/>
      <c r="UNJ30" s="204"/>
      <c r="UNK30" s="204"/>
      <c r="UNL30" s="204"/>
      <c r="UNM30" s="204"/>
      <c r="UNN30" s="204"/>
      <c r="UNO30" s="204"/>
      <c r="UNP30" s="204"/>
      <c r="UNQ30" s="204"/>
      <c r="UNR30" s="204"/>
      <c r="UNS30" s="204"/>
      <c r="UNT30" s="204"/>
      <c r="UNU30" s="204"/>
      <c r="UNV30" s="204"/>
      <c r="UNW30" s="204"/>
      <c r="UNX30" s="204"/>
      <c r="UNY30" s="204"/>
      <c r="UNZ30" s="204"/>
      <c r="UOA30" s="204"/>
      <c r="UOB30" s="204"/>
      <c r="UOC30" s="204"/>
      <c r="UOD30" s="204"/>
      <c r="UOE30" s="204"/>
      <c r="UOF30" s="204"/>
      <c r="UOG30" s="204"/>
      <c r="UOH30" s="204"/>
      <c r="UOI30" s="204"/>
      <c r="UOJ30" s="204"/>
      <c r="UOK30" s="204"/>
      <c r="UOL30" s="204"/>
      <c r="UOM30" s="204"/>
      <c r="UON30" s="204"/>
      <c r="UOO30" s="204"/>
      <c r="UOP30" s="204"/>
      <c r="UOQ30" s="204"/>
      <c r="UOR30" s="204"/>
      <c r="UOS30" s="204"/>
      <c r="UOT30" s="204"/>
      <c r="UOU30" s="204"/>
      <c r="UOV30" s="204"/>
      <c r="UOW30" s="204"/>
      <c r="UOX30" s="204"/>
      <c r="UOY30" s="204"/>
      <c r="UOZ30" s="204"/>
      <c r="UPA30" s="204"/>
      <c r="UPB30" s="204"/>
      <c r="UPC30" s="204"/>
      <c r="UPD30" s="204"/>
      <c r="UPE30" s="204"/>
      <c r="UPF30" s="204"/>
      <c r="UPG30" s="204"/>
      <c r="UPH30" s="204"/>
      <c r="UPI30" s="204"/>
      <c r="UPJ30" s="204"/>
      <c r="UPK30" s="204"/>
      <c r="UPL30" s="204"/>
      <c r="UPM30" s="204"/>
      <c r="UPN30" s="204"/>
      <c r="UPO30" s="204"/>
      <c r="UPP30" s="204"/>
      <c r="UPQ30" s="204"/>
      <c r="UPR30" s="204"/>
      <c r="UPS30" s="204"/>
      <c r="UPT30" s="204"/>
      <c r="UPU30" s="204"/>
      <c r="UPV30" s="204"/>
      <c r="UPW30" s="204"/>
      <c r="UPX30" s="204"/>
      <c r="UPY30" s="204"/>
      <c r="UPZ30" s="204"/>
      <c r="UQA30" s="204"/>
      <c r="UQB30" s="204"/>
      <c r="UQC30" s="204"/>
      <c r="UQD30" s="204"/>
      <c r="UQE30" s="204"/>
      <c r="UQF30" s="204"/>
      <c r="UQG30" s="204"/>
      <c r="UQH30" s="204"/>
      <c r="UQI30" s="204"/>
      <c r="UQJ30" s="204"/>
      <c r="UQK30" s="204"/>
      <c r="UQL30" s="204"/>
      <c r="UQM30" s="204"/>
      <c r="UQN30" s="204"/>
      <c r="UQO30" s="204"/>
      <c r="UQP30" s="204"/>
      <c r="UQQ30" s="204"/>
      <c r="UQR30" s="204"/>
      <c r="UQS30" s="204"/>
      <c r="UQT30" s="204"/>
      <c r="UQU30" s="204"/>
      <c r="UQV30" s="204"/>
      <c r="UQW30" s="204"/>
      <c r="UQX30" s="204"/>
      <c r="UQY30" s="204"/>
      <c r="UQZ30" s="204"/>
      <c r="URA30" s="204"/>
      <c r="URB30" s="204"/>
      <c r="URC30" s="204"/>
      <c r="URD30" s="204"/>
      <c r="URE30" s="204"/>
      <c r="URF30" s="204"/>
      <c r="URG30" s="204"/>
      <c r="URH30" s="204"/>
      <c r="URI30" s="204"/>
      <c r="URJ30" s="204"/>
      <c r="URK30" s="204"/>
      <c r="URL30" s="204"/>
      <c r="URM30" s="204"/>
      <c r="URN30" s="204"/>
      <c r="URO30" s="204"/>
      <c r="URP30" s="204"/>
      <c r="URQ30" s="204"/>
      <c r="URR30" s="204"/>
      <c r="URS30" s="204"/>
      <c r="URT30" s="204"/>
      <c r="URU30" s="204"/>
      <c r="URV30" s="204"/>
      <c r="URW30" s="204"/>
      <c r="URX30" s="204"/>
      <c r="URY30" s="204"/>
      <c r="URZ30" s="204"/>
      <c r="USA30" s="204"/>
      <c r="USB30" s="204"/>
      <c r="USC30" s="204"/>
      <c r="USD30" s="204"/>
      <c r="USE30" s="204"/>
      <c r="USF30" s="204"/>
      <c r="USG30" s="204"/>
      <c r="USH30" s="204"/>
      <c r="USI30" s="204"/>
      <c r="USJ30" s="204"/>
      <c r="USK30" s="204"/>
      <c r="USL30" s="204"/>
      <c r="USM30" s="204"/>
      <c r="USN30" s="204"/>
      <c r="USO30" s="204"/>
      <c r="USP30" s="204"/>
      <c r="USQ30" s="204"/>
      <c r="USR30" s="204"/>
      <c r="USS30" s="204"/>
      <c r="UST30" s="204"/>
      <c r="USU30" s="204"/>
      <c r="USV30" s="204"/>
      <c r="USW30" s="204"/>
      <c r="USX30" s="204"/>
      <c r="USY30" s="204"/>
      <c r="USZ30" s="204"/>
      <c r="UTA30" s="204"/>
      <c r="UTB30" s="204"/>
      <c r="UTC30" s="204"/>
      <c r="UTD30" s="204"/>
      <c r="UTE30" s="204"/>
      <c r="UTF30" s="204"/>
      <c r="UTG30" s="204"/>
      <c r="UTH30" s="204"/>
      <c r="UTI30" s="204"/>
      <c r="UTJ30" s="204"/>
      <c r="UTK30" s="204"/>
      <c r="UTL30" s="204"/>
      <c r="UTM30" s="204"/>
      <c r="UTN30" s="204"/>
      <c r="UTO30" s="204"/>
      <c r="UTP30" s="204"/>
      <c r="UTQ30" s="204"/>
      <c r="UTR30" s="204"/>
      <c r="UTS30" s="204"/>
      <c r="UTT30" s="204"/>
      <c r="UTU30" s="204"/>
      <c r="UTV30" s="204"/>
      <c r="UTW30" s="204"/>
      <c r="UTX30" s="204"/>
      <c r="UTY30" s="204"/>
      <c r="UTZ30" s="204"/>
      <c r="UUA30" s="204"/>
      <c r="UUB30" s="204"/>
      <c r="UUC30" s="204"/>
      <c r="UUD30" s="204"/>
      <c r="UUE30" s="204"/>
      <c r="UUF30" s="204"/>
      <c r="UUG30" s="204"/>
      <c r="UUH30" s="204"/>
      <c r="UUI30" s="204"/>
      <c r="UUJ30" s="204"/>
      <c r="UUK30" s="204"/>
      <c r="UUL30" s="204"/>
      <c r="UUM30" s="204"/>
      <c r="UUN30" s="204"/>
      <c r="UUO30" s="204"/>
      <c r="UUP30" s="204"/>
      <c r="UUQ30" s="204"/>
      <c r="UUR30" s="204"/>
      <c r="UUS30" s="204"/>
      <c r="UUT30" s="204"/>
      <c r="UUU30" s="204"/>
      <c r="UUV30" s="204"/>
      <c r="UUW30" s="204"/>
      <c r="UUX30" s="204"/>
      <c r="UUY30" s="204"/>
      <c r="UUZ30" s="204"/>
      <c r="UVA30" s="204"/>
      <c r="UVB30" s="204"/>
      <c r="UVC30" s="204"/>
      <c r="UVD30" s="204"/>
      <c r="UVE30" s="204"/>
      <c r="UVF30" s="204"/>
      <c r="UVG30" s="204"/>
      <c r="UVH30" s="204"/>
      <c r="UVI30" s="204"/>
      <c r="UVJ30" s="204"/>
      <c r="UVK30" s="204"/>
      <c r="UVL30" s="204"/>
      <c r="UVM30" s="204"/>
      <c r="UVN30" s="204"/>
      <c r="UVO30" s="204"/>
      <c r="UVP30" s="204"/>
      <c r="UVQ30" s="204"/>
      <c r="UVR30" s="204"/>
      <c r="UVS30" s="204"/>
      <c r="UVT30" s="204"/>
      <c r="UVU30" s="204"/>
      <c r="UVV30" s="204"/>
      <c r="UVW30" s="204"/>
      <c r="UVX30" s="204"/>
      <c r="UVY30" s="204"/>
      <c r="UVZ30" s="204"/>
      <c r="UWA30" s="204"/>
      <c r="UWB30" s="204"/>
      <c r="UWC30" s="204"/>
      <c r="UWD30" s="204"/>
      <c r="UWE30" s="204"/>
      <c r="UWF30" s="204"/>
      <c r="UWG30" s="204"/>
      <c r="UWH30" s="204"/>
      <c r="UWI30" s="204"/>
      <c r="UWJ30" s="204"/>
      <c r="UWK30" s="204"/>
      <c r="UWL30" s="204"/>
      <c r="UWM30" s="204"/>
      <c r="UWN30" s="204"/>
      <c r="UWO30" s="204"/>
      <c r="UWP30" s="204"/>
      <c r="UWQ30" s="204"/>
      <c r="UWR30" s="204"/>
      <c r="UWS30" s="204"/>
      <c r="UWT30" s="204"/>
      <c r="UWU30" s="204"/>
      <c r="UWV30" s="204"/>
      <c r="UWW30" s="204"/>
      <c r="UWX30" s="204"/>
      <c r="UWY30" s="204"/>
      <c r="UWZ30" s="204"/>
      <c r="UXA30" s="204"/>
      <c r="UXB30" s="204"/>
      <c r="UXC30" s="204"/>
      <c r="UXD30" s="204"/>
      <c r="UXE30" s="204"/>
      <c r="UXF30" s="204"/>
      <c r="UXG30" s="204"/>
      <c r="UXH30" s="204"/>
      <c r="UXI30" s="204"/>
      <c r="UXJ30" s="204"/>
      <c r="UXK30" s="204"/>
      <c r="UXL30" s="204"/>
      <c r="UXM30" s="204"/>
      <c r="UXN30" s="204"/>
      <c r="UXO30" s="204"/>
      <c r="UXP30" s="204"/>
      <c r="UXQ30" s="204"/>
      <c r="UXR30" s="204"/>
      <c r="UXS30" s="204"/>
      <c r="UXT30" s="204"/>
      <c r="UXU30" s="204"/>
      <c r="UXV30" s="204"/>
      <c r="UXW30" s="204"/>
      <c r="UXX30" s="204"/>
      <c r="UXY30" s="204"/>
      <c r="UXZ30" s="204"/>
      <c r="UYA30" s="204"/>
      <c r="UYB30" s="204"/>
      <c r="UYC30" s="204"/>
      <c r="UYD30" s="204"/>
      <c r="UYE30" s="204"/>
      <c r="UYF30" s="204"/>
      <c r="UYG30" s="204"/>
      <c r="UYH30" s="204"/>
      <c r="UYI30" s="204"/>
      <c r="UYJ30" s="204"/>
      <c r="UYK30" s="204"/>
      <c r="UYL30" s="204"/>
      <c r="UYM30" s="204"/>
      <c r="UYN30" s="204"/>
      <c r="UYO30" s="204"/>
      <c r="UYP30" s="204"/>
      <c r="UYQ30" s="204"/>
      <c r="UYR30" s="204"/>
      <c r="UYS30" s="204"/>
      <c r="UYT30" s="204"/>
      <c r="UYU30" s="204"/>
      <c r="UYV30" s="204"/>
      <c r="UYW30" s="204"/>
      <c r="UYX30" s="204"/>
      <c r="UYY30" s="204"/>
      <c r="UYZ30" s="204"/>
      <c r="UZA30" s="204"/>
      <c r="UZB30" s="204"/>
      <c r="UZC30" s="204"/>
      <c r="UZD30" s="204"/>
      <c r="UZE30" s="204"/>
      <c r="UZF30" s="204"/>
      <c r="UZG30" s="204"/>
      <c r="UZH30" s="204"/>
      <c r="UZI30" s="204"/>
      <c r="UZJ30" s="204"/>
      <c r="UZK30" s="204"/>
      <c r="UZL30" s="204"/>
      <c r="UZM30" s="204"/>
      <c r="UZN30" s="204"/>
      <c r="UZO30" s="204"/>
      <c r="UZP30" s="204"/>
      <c r="UZQ30" s="204"/>
      <c r="UZR30" s="204"/>
      <c r="UZS30" s="204"/>
      <c r="UZT30" s="204"/>
      <c r="UZU30" s="204"/>
      <c r="UZV30" s="204"/>
      <c r="UZW30" s="204"/>
      <c r="UZX30" s="204"/>
      <c r="UZY30" s="204"/>
      <c r="UZZ30" s="204"/>
      <c r="VAA30" s="204"/>
      <c r="VAB30" s="204"/>
      <c r="VAC30" s="204"/>
      <c r="VAD30" s="204"/>
      <c r="VAE30" s="204"/>
      <c r="VAF30" s="204"/>
      <c r="VAG30" s="204"/>
      <c r="VAH30" s="204"/>
      <c r="VAI30" s="204"/>
      <c r="VAJ30" s="204"/>
      <c r="VAK30" s="204"/>
      <c r="VAL30" s="204"/>
      <c r="VAM30" s="204"/>
      <c r="VAN30" s="204"/>
      <c r="VAO30" s="204"/>
      <c r="VAP30" s="204"/>
      <c r="VAQ30" s="204"/>
      <c r="VAR30" s="204"/>
      <c r="VAS30" s="204"/>
      <c r="VAT30" s="204"/>
      <c r="VAU30" s="204"/>
      <c r="VAV30" s="204"/>
      <c r="VAW30" s="204"/>
      <c r="VAX30" s="204"/>
      <c r="VAY30" s="204"/>
      <c r="VAZ30" s="204"/>
      <c r="VBA30" s="204"/>
      <c r="VBB30" s="204"/>
      <c r="VBC30" s="204"/>
      <c r="VBD30" s="204"/>
      <c r="VBE30" s="204"/>
      <c r="VBF30" s="204"/>
      <c r="VBG30" s="204"/>
      <c r="VBH30" s="204"/>
      <c r="VBI30" s="204"/>
      <c r="VBJ30" s="204"/>
      <c r="VBK30" s="204"/>
      <c r="VBL30" s="204"/>
      <c r="VBM30" s="204"/>
      <c r="VBN30" s="204"/>
      <c r="VBO30" s="204"/>
      <c r="VBP30" s="204"/>
      <c r="VBQ30" s="204"/>
      <c r="VBR30" s="204"/>
      <c r="VBS30" s="204"/>
      <c r="VBT30" s="204"/>
      <c r="VBU30" s="204"/>
      <c r="VBV30" s="204"/>
      <c r="VBW30" s="204"/>
      <c r="VBX30" s="204"/>
      <c r="VBY30" s="204"/>
      <c r="VBZ30" s="204"/>
      <c r="VCA30" s="204"/>
      <c r="VCB30" s="204"/>
      <c r="VCC30" s="204"/>
      <c r="VCD30" s="204"/>
      <c r="VCE30" s="204"/>
      <c r="VCF30" s="204"/>
      <c r="VCG30" s="204"/>
      <c r="VCH30" s="204"/>
      <c r="VCI30" s="204"/>
      <c r="VCJ30" s="204"/>
      <c r="VCK30" s="204"/>
      <c r="VCL30" s="204"/>
      <c r="VCM30" s="204"/>
      <c r="VCN30" s="204"/>
      <c r="VCO30" s="204"/>
      <c r="VCP30" s="204"/>
      <c r="VCQ30" s="204"/>
      <c r="VCR30" s="204"/>
      <c r="VCS30" s="204"/>
      <c r="VCT30" s="204"/>
      <c r="VCU30" s="204"/>
      <c r="VCV30" s="204"/>
      <c r="VCW30" s="204"/>
      <c r="VCX30" s="204"/>
      <c r="VCY30" s="204"/>
      <c r="VCZ30" s="204"/>
      <c r="VDA30" s="204"/>
      <c r="VDB30" s="204"/>
      <c r="VDC30" s="204"/>
      <c r="VDD30" s="204"/>
      <c r="VDE30" s="204"/>
      <c r="VDF30" s="204"/>
      <c r="VDG30" s="204"/>
      <c r="VDH30" s="204"/>
      <c r="VDI30" s="204"/>
      <c r="VDJ30" s="204"/>
      <c r="VDK30" s="204"/>
      <c r="VDL30" s="204"/>
      <c r="VDM30" s="204"/>
      <c r="VDN30" s="204"/>
      <c r="VDO30" s="204"/>
      <c r="VDP30" s="204"/>
      <c r="VDQ30" s="204"/>
      <c r="VDR30" s="204"/>
      <c r="VDS30" s="204"/>
      <c r="VDT30" s="204"/>
      <c r="VDU30" s="204"/>
      <c r="VDV30" s="204"/>
      <c r="VDW30" s="204"/>
      <c r="VDX30" s="204"/>
      <c r="VDY30" s="204"/>
      <c r="VDZ30" s="204"/>
      <c r="VEA30" s="204"/>
      <c r="VEB30" s="204"/>
      <c r="VEC30" s="204"/>
      <c r="VED30" s="204"/>
      <c r="VEE30" s="204"/>
      <c r="VEF30" s="204"/>
      <c r="VEG30" s="204"/>
      <c r="VEH30" s="204"/>
      <c r="VEI30" s="204"/>
      <c r="VEJ30" s="204"/>
      <c r="VEK30" s="204"/>
      <c r="VEL30" s="204"/>
      <c r="VEM30" s="204"/>
      <c r="VEN30" s="204"/>
      <c r="VEO30" s="204"/>
      <c r="VEP30" s="204"/>
      <c r="VEQ30" s="204"/>
      <c r="VER30" s="204"/>
      <c r="VES30" s="204"/>
      <c r="VET30" s="204"/>
      <c r="VEU30" s="204"/>
      <c r="VEV30" s="204"/>
      <c r="VEW30" s="204"/>
      <c r="VEX30" s="204"/>
      <c r="VEY30" s="204"/>
      <c r="VEZ30" s="204"/>
      <c r="VFA30" s="204"/>
      <c r="VFB30" s="204"/>
      <c r="VFC30" s="204"/>
      <c r="VFD30" s="204"/>
      <c r="VFE30" s="204"/>
      <c r="VFF30" s="204"/>
      <c r="VFG30" s="204"/>
      <c r="VFH30" s="204"/>
      <c r="VFI30" s="204"/>
      <c r="VFJ30" s="204"/>
      <c r="VFK30" s="204"/>
      <c r="VFL30" s="204"/>
      <c r="VFM30" s="204"/>
      <c r="VFN30" s="204"/>
      <c r="VFO30" s="204"/>
      <c r="VFP30" s="204"/>
      <c r="VFQ30" s="204"/>
      <c r="VFR30" s="204"/>
      <c r="VFS30" s="204"/>
      <c r="VFT30" s="204"/>
      <c r="VFU30" s="204"/>
      <c r="VFV30" s="204"/>
      <c r="VFW30" s="204"/>
      <c r="VFX30" s="204"/>
      <c r="VFY30" s="204"/>
      <c r="VFZ30" s="204"/>
      <c r="VGA30" s="204"/>
      <c r="VGB30" s="204"/>
      <c r="VGC30" s="204"/>
      <c r="VGD30" s="204"/>
      <c r="VGE30" s="204"/>
      <c r="VGF30" s="204"/>
      <c r="VGG30" s="204"/>
      <c r="VGH30" s="204"/>
      <c r="VGI30" s="204"/>
      <c r="VGJ30" s="204"/>
      <c r="VGK30" s="204"/>
      <c r="VGL30" s="204"/>
      <c r="VGM30" s="204"/>
      <c r="VGN30" s="204"/>
      <c r="VGO30" s="204"/>
      <c r="VGP30" s="204"/>
      <c r="VGQ30" s="204"/>
      <c r="VGR30" s="204"/>
      <c r="VGS30" s="204"/>
      <c r="VGT30" s="204"/>
      <c r="VGU30" s="204"/>
      <c r="VGV30" s="204"/>
      <c r="VGW30" s="204"/>
      <c r="VGX30" s="204"/>
      <c r="VGY30" s="204"/>
      <c r="VGZ30" s="204"/>
      <c r="VHA30" s="204"/>
      <c r="VHB30" s="204"/>
      <c r="VHC30" s="204"/>
      <c r="VHD30" s="204"/>
      <c r="VHE30" s="204"/>
      <c r="VHF30" s="204"/>
      <c r="VHG30" s="204"/>
      <c r="VHH30" s="204"/>
      <c r="VHI30" s="204"/>
      <c r="VHJ30" s="204"/>
      <c r="VHK30" s="204"/>
      <c r="VHL30" s="204"/>
      <c r="VHM30" s="204"/>
      <c r="VHN30" s="204"/>
      <c r="VHO30" s="204"/>
      <c r="VHP30" s="204"/>
      <c r="VHQ30" s="204"/>
      <c r="VHR30" s="204"/>
      <c r="VHS30" s="204"/>
      <c r="VHT30" s="204"/>
      <c r="VHU30" s="204"/>
      <c r="VHV30" s="204"/>
      <c r="VHW30" s="204"/>
      <c r="VHX30" s="204"/>
      <c r="VHY30" s="204"/>
      <c r="VHZ30" s="204"/>
      <c r="VIA30" s="204"/>
      <c r="VIB30" s="204"/>
      <c r="VIC30" s="204"/>
      <c r="VID30" s="204"/>
      <c r="VIE30" s="204"/>
      <c r="VIF30" s="204"/>
      <c r="VIG30" s="204"/>
      <c r="VIH30" s="204"/>
      <c r="VII30" s="204"/>
      <c r="VIJ30" s="204"/>
      <c r="VIK30" s="204"/>
      <c r="VIL30" s="204"/>
      <c r="VIM30" s="204"/>
      <c r="VIN30" s="204"/>
      <c r="VIO30" s="204"/>
      <c r="VIP30" s="204"/>
      <c r="VIQ30" s="204"/>
      <c r="VIR30" s="204"/>
      <c r="VIS30" s="204"/>
      <c r="VIT30" s="204"/>
      <c r="VIU30" s="204"/>
      <c r="VIV30" s="204"/>
      <c r="VIW30" s="204"/>
      <c r="VIX30" s="204"/>
      <c r="VIY30" s="204"/>
      <c r="VIZ30" s="204"/>
      <c r="VJA30" s="204"/>
      <c r="VJB30" s="204"/>
      <c r="VJC30" s="204"/>
      <c r="VJD30" s="204"/>
      <c r="VJE30" s="204"/>
      <c r="VJF30" s="204"/>
      <c r="VJG30" s="204"/>
      <c r="VJH30" s="204"/>
      <c r="VJI30" s="204"/>
      <c r="VJJ30" s="204"/>
      <c r="VJK30" s="204"/>
      <c r="VJL30" s="204"/>
      <c r="VJM30" s="204"/>
      <c r="VJN30" s="204"/>
      <c r="VJO30" s="204"/>
      <c r="VJP30" s="204"/>
      <c r="VJQ30" s="204"/>
      <c r="VJR30" s="204"/>
      <c r="VJS30" s="204"/>
      <c r="VJT30" s="204"/>
      <c r="VJU30" s="204"/>
      <c r="VJV30" s="204"/>
      <c r="VJW30" s="204"/>
      <c r="VJX30" s="204"/>
      <c r="VJY30" s="204"/>
      <c r="VJZ30" s="204"/>
      <c r="VKA30" s="204"/>
      <c r="VKB30" s="204"/>
      <c r="VKC30" s="204"/>
      <c r="VKD30" s="204"/>
      <c r="VKE30" s="204"/>
      <c r="VKF30" s="204"/>
      <c r="VKG30" s="204"/>
      <c r="VKH30" s="204"/>
      <c r="VKI30" s="204"/>
      <c r="VKJ30" s="204"/>
      <c r="VKK30" s="204"/>
      <c r="VKL30" s="204"/>
      <c r="VKM30" s="204"/>
      <c r="VKN30" s="204"/>
      <c r="VKO30" s="204"/>
      <c r="VKP30" s="204"/>
      <c r="VKQ30" s="204"/>
      <c r="VKR30" s="204"/>
      <c r="VKS30" s="204"/>
      <c r="VKT30" s="204"/>
      <c r="VKU30" s="204"/>
      <c r="VKV30" s="204"/>
      <c r="VKW30" s="204"/>
      <c r="VKX30" s="204"/>
      <c r="VKY30" s="204"/>
      <c r="VKZ30" s="204"/>
      <c r="VLA30" s="204"/>
      <c r="VLB30" s="204"/>
      <c r="VLC30" s="204"/>
      <c r="VLD30" s="204"/>
      <c r="VLE30" s="204"/>
      <c r="VLF30" s="204"/>
      <c r="VLG30" s="204"/>
      <c r="VLH30" s="204"/>
      <c r="VLI30" s="204"/>
      <c r="VLJ30" s="204"/>
      <c r="VLK30" s="204"/>
      <c r="VLL30" s="204"/>
      <c r="VLM30" s="204"/>
      <c r="VLN30" s="204"/>
      <c r="VLO30" s="204"/>
      <c r="VLP30" s="204"/>
      <c r="VLQ30" s="204"/>
      <c r="VLR30" s="204"/>
      <c r="VLS30" s="204"/>
      <c r="VLT30" s="204"/>
      <c r="VLU30" s="204"/>
      <c r="VLV30" s="204"/>
      <c r="VLW30" s="204"/>
      <c r="VLX30" s="204"/>
      <c r="VLY30" s="204"/>
      <c r="VLZ30" s="204"/>
      <c r="VMA30" s="204"/>
      <c r="VMB30" s="204"/>
      <c r="VMC30" s="204"/>
      <c r="VMD30" s="204"/>
      <c r="VME30" s="204"/>
      <c r="VMF30" s="204"/>
      <c r="VMG30" s="204"/>
      <c r="VMH30" s="204"/>
      <c r="VMI30" s="204"/>
      <c r="VMJ30" s="204"/>
      <c r="VMK30" s="204"/>
      <c r="VML30" s="204"/>
      <c r="VMM30" s="204"/>
      <c r="VMN30" s="204"/>
      <c r="VMO30" s="204"/>
      <c r="VMP30" s="204"/>
      <c r="VMQ30" s="204"/>
      <c r="VMR30" s="204"/>
      <c r="VMS30" s="204"/>
      <c r="VMT30" s="204"/>
      <c r="VMU30" s="204"/>
      <c r="VMV30" s="204"/>
      <c r="VMW30" s="204"/>
      <c r="VMX30" s="204"/>
      <c r="VMY30" s="204"/>
      <c r="VMZ30" s="204"/>
      <c r="VNA30" s="204"/>
      <c r="VNB30" s="204"/>
      <c r="VNC30" s="204"/>
      <c r="VND30" s="204"/>
      <c r="VNE30" s="204"/>
      <c r="VNF30" s="204"/>
      <c r="VNG30" s="204"/>
      <c r="VNH30" s="204"/>
      <c r="VNI30" s="204"/>
      <c r="VNJ30" s="204"/>
      <c r="VNK30" s="204"/>
      <c r="VNL30" s="204"/>
      <c r="VNM30" s="204"/>
      <c r="VNN30" s="204"/>
      <c r="VNO30" s="204"/>
      <c r="VNP30" s="204"/>
      <c r="VNQ30" s="204"/>
      <c r="VNR30" s="204"/>
      <c r="VNS30" s="204"/>
      <c r="VNT30" s="204"/>
      <c r="VNU30" s="204"/>
      <c r="VNV30" s="204"/>
      <c r="VNW30" s="204"/>
      <c r="VNX30" s="204"/>
      <c r="VNY30" s="204"/>
      <c r="VNZ30" s="204"/>
      <c r="VOA30" s="204"/>
      <c r="VOB30" s="204"/>
      <c r="VOC30" s="204"/>
      <c r="VOD30" s="204"/>
      <c r="VOE30" s="204"/>
      <c r="VOF30" s="204"/>
      <c r="VOG30" s="204"/>
      <c r="VOH30" s="204"/>
      <c r="VOI30" s="204"/>
      <c r="VOJ30" s="204"/>
      <c r="VOK30" s="204"/>
      <c r="VOL30" s="204"/>
      <c r="VOM30" s="204"/>
      <c r="VON30" s="204"/>
      <c r="VOO30" s="204"/>
      <c r="VOP30" s="204"/>
      <c r="VOQ30" s="204"/>
      <c r="VOR30" s="204"/>
      <c r="VOS30" s="204"/>
      <c r="VOT30" s="204"/>
      <c r="VOU30" s="204"/>
      <c r="VOV30" s="204"/>
      <c r="VOW30" s="204"/>
      <c r="VOX30" s="204"/>
      <c r="VOY30" s="204"/>
      <c r="VOZ30" s="204"/>
      <c r="VPA30" s="204"/>
      <c r="VPB30" s="204"/>
      <c r="VPC30" s="204"/>
      <c r="VPD30" s="204"/>
      <c r="VPE30" s="204"/>
      <c r="VPF30" s="204"/>
      <c r="VPG30" s="204"/>
      <c r="VPH30" s="204"/>
      <c r="VPI30" s="204"/>
      <c r="VPJ30" s="204"/>
      <c r="VPK30" s="204"/>
      <c r="VPL30" s="204"/>
      <c r="VPM30" s="204"/>
      <c r="VPN30" s="204"/>
      <c r="VPO30" s="204"/>
      <c r="VPP30" s="204"/>
      <c r="VPQ30" s="204"/>
      <c r="VPR30" s="204"/>
      <c r="VPS30" s="204"/>
      <c r="VPT30" s="204"/>
      <c r="VPU30" s="204"/>
      <c r="VPV30" s="204"/>
      <c r="VPW30" s="204"/>
      <c r="VPX30" s="204"/>
      <c r="VPY30" s="204"/>
      <c r="VPZ30" s="204"/>
      <c r="VQA30" s="204"/>
      <c r="VQB30" s="204"/>
      <c r="VQC30" s="204"/>
      <c r="VQD30" s="204"/>
      <c r="VQE30" s="204"/>
      <c r="VQF30" s="204"/>
      <c r="VQG30" s="204"/>
      <c r="VQH30" s="204"/>
      <c r="VQI30" s="204"/>
      <c r="VQJ30" s="204"/>
      <c r="VQK30" s="204"/>
      <c r="VQL30" s="204"/>
      <c r="VQM30" s="204"/>
      <c r="VQN30" s="204"/>
      <c r="VQO30" s="204"/>
      <c r="VQP30" s="204"/>
      <c r="VQQ30" s="204"/>
      <c r="VQR30" s="204"/>
      <c r="VQS30" s="204"/>
      <c r="VQT30" s="204"/>
      <c r="VQU30" s="204"/>
      <c r="VQV30" s="204"/>
      <c r="VQW30" s="204"/>
      <c r="VQX30" s="204"/>
      <c r="VQY30" s="204"/>
      <c r="VQZ30" s="204"/>
      <c r="VRA30" s="204"/>
      <c r="VRB30" s="204"/>
      <c r="VRC30" s="204"/>
      <c r="VRD30" s="204"/>
      <c r="VRE30" s="204"/>
      <c r="VRF30" s="204"/>
      <c r="VRG30" s="204"/>
      <c r="VRH30" s="204"/>
      <c r="VRI30" s="204"/>
      <c r="VRJ30" s="204"/>
      <c r="VRK30" s="204"/>
      <c r="VRL30" s="204"/>
      <c r="VRM30" s="204"/>
      <c r="VRN30" s="204"/>
      <c r="VRO30" s="204"/>
      <c r="VRP30" s="204"/>
      <c r="VRQ30" s="204"/>
      <c r="VRR30" s="204"/>
      <c r="VRS30" s="204"/>
      <c r="VRT30" s="204"/>
      <c r="VRU30" s="204"/>
      <c r="VRV30" s="204"/>
      <c r="VRW30" s="204"/>
      <c r="VRX30" s="204"/>
      <c r="VRY30" s="204"/>
      <c r="VRZ30" s="204"/>
      <c r="VSA30" s="204"/>
      <c r="VSB30" s="204"/>
      <c r="VSC30" s="204"/>
      <c r="VSD30" s="204"/>
      <c r="VSE30" s="204"/>
      <c r="VSF30" s="204"/>
      <c r="VSG30" s="204"/>
      <c r="VSH30" s="204"/>
      <c r="VSI30" s="204"/>
      <c r="VSJ30" s="204"/>
      <c r="VSK30" s="204"/>
      <c r="VSL30" s="204"/>
      <c r="VSM30" s="204"/>
      <c r="VSN30" s="204"/>
      <c r="VSO30" s="204"/>
      <c r="VSP30" s="204"/>
      <c r="VSQ30" s="204"/>
      <c r="VSR30" s="204"/>
      <c r="VSS30" s="204"/>
      <c r="VST30" s="204"/>
      <c r="VSU30" s="204"/>
      <c r="VSV30" s="204"/>
      <c r="VSW30" s="204"/>
      <c r="VSX30" s="204"/>
      <c r="VSY30" s="204"/>
      <c r="VSZ30" s="204"/>
      <c r="VTA30" s="204"/>
      <c r="VTB30" s="204"/>
      <c r="VTC30" s="204"/>
      <c r="VTD30" s="204"/>
      <c r="VTE30" s="204"/>
      <c r="VTF30" s="204"/>
      <c r="VTG30" s="204"/>
      <c r="VTH30" s="204"/>
      <c r="VTI30" s="204"/>
      <c r="VTJ30" s="204"/>
      <c r="VTK30" s="204"/>
      <c r="VTL30" s="204"/>
      <c r="VTM30" s="204"/>
      <c r="VTN30" s="204"/>
      <c r="VTO30" s="204"/>
      <c r="VTP30" s="204"/>
      <c r="VTQ30" s="204"/>
      <c r="VTR30" s="204"/>
      <c r="VTS30" s="204"/>
      <c r="VTT30" s="204"/>
      <c r="VTU30" s="204"/>
      <c r="VTV30" s="204"/>
      <c r="VTW30" s="204"/>
      <c r="VTX30" s="204"/>
      <c r="VTY30" s="204"/>
      <c r="VTZ30" s="204"/>
      <c r="VUA30" s="204"/>
      <c r="VUB30" s="204"/>
      <c r="VUC30" s="204"/>
      <c r="VUD30" s="204"/>
      <c r="VUE30" s="204"/>
      <c r="VUF30" s="204"/>
      <c r="VUG30" s="204"/>
      <c r="VUH30" s="204"/>
      <c r="VUI30" s="204"/>
      <c r="VUJ30" s="204"/>
      <c r="VUK30" s="204"/>
      <c r="VUL30" s="204"/>
      <c r="VUM30" s="204"/>
      <c r="VUN30" s="204"/>
      <c r="VUO30" s="204"/>
      <c r="VUP30" s="204"/>
      <c r="VUQ30" s="204"/>
      <c r="VUR30" s="204"/>
      <c r="VUS30" s="204"/>
      <c r="VUT30" s="204"/>
      <c r="VUU30" s="204"/>
      <c r="VUV30" s="204"/>
      <c r="VUW30" s="204"/>
      <c r="VUX30" s="204"/>
      <c r="VUY30" s="204"/>
      <c r="VUZ30" s="204"/>
      <c r="VVA30" s="204"/>
      <c r="VVB30" s="204"/>
      <c r="VVC30" s="204"/>
      <c r="VVD30" s="204"/>
      <c r="VVE30" s="204"/>
      <c r="VVF30" s="204"/>
      <c r="VVG30" s="204"/>
      <c r="VVH30" s="204"/>
      <c r="VVI30" s="204"/>
      <c r="VVJ30" s="204"/>
      <c r="VVK30" s="204"/>
      <c r="VVL30" s="204"/>
      <c r="VVM30" s="204"/>
      <c r="VVN30" s="204"/>
      <c r="VVO30" s="204"/>
      <c r="VVP30" s="204"/>
      <c r="VVQ30" s="204"/>
      <c r="VVR30" s="204"/>
      <c r="VVS30" s="204"/>
      <c r="VVT30" s="204"/>
      <c r="VVU30" s="204"/>
      <c r="VVV30" s="204"/>
      <c r="VVW30" s="204"/>
      <c r="VVX30" s="204"/>
      <c r="VVY30" s="204"/>
      <c r="VVZ30" s="204"/>
      <c r="VWA30" s="204"/>
      <c r="VWB30" s="204"/>
      <c r="VWC30" s="204"/>
      <c r="VWD30" s="204"/>
      <c r="VWE30" s="204"/>
      <c r="VWF30" s="204"/>
      <c r="VWG30" s="204"/>
      <c r="VWH30" s="204"/>
      <c r="VWI30" s="204"/>
      <c r="VWJ30" s="204"/>
      <c r="VWK30" s="204"/>
      <c r="VWL30" s="204"/>
      <c r="VWM30" s="204"/>
      <c r="VWN30" s="204"/>
      <c r="VWO30" s="204"/>
      <c r="VWP30" s="204"/>
      <c r="VWQ30" s="204"/>
      <c r="VWR30" s="204"/>
      <c r="VWS30" s="204"/>
      <c r="VWT30" s="204"/>
      <c r="VWU30" s="204"/>
      <c r="VWV30" s="204"/>
      <c r="VWW30" s="204"/>
      <c r="VWX30" s="204"/>
      <c r="VWY30" s="204"/>
      <c r="VWZ30" s="204"/>
      <c r="VXA30" s="204"/>
      <c r="VXB30" s="204"/>
      <c r="VXC30" s="204"/>
      <c r="VXD30" s="204"/>
      <c r="VXE30" s="204"/>
      <c r="VXF30" s="204"/>
      <c r="VXG30" s="204"/>
      <c r="VXH30" s="204"/>
      <c r="VXI30" s="204"/>
      <c r="VXJ30" s="204"/>
      <c r="VXK30" s="204"/>
      <c r="VXL30" s="204"/>
      <c r="VXM30" s="204"/>
      <c r="VXN30" s="204"/>
      <c r="VXO30" s="204"/>
      <c r="VXP30" s="204"/>
      <c r="VXQ30" s="204"/>
      <c r="VXR30" s="204"/>
      <c r="VXS30" s="204"/>
      <c r="VXT30" s="204"/>
      <c r="VXU30" s="204"/>
      <c r="VXV30" s="204"/>
      <c r="VXW30" s="204"/>
      <c r="VXX30" s="204"/>
      <c r="VXY30" s="204"/>
      <c r="VXZ30" s="204"/>
      <c r="VYA30" s="204"/>
      <c r="VYB30" s="204"/>
      <c r="VYC30" s="204"/>
      <c r="VYD30" s="204"/>
      <c r="VYE30" s="204"/>
      <c r="VYF30" s="204"/>
      <c r="VYG30" s="204"/>
      <c r="VYH30" s="204"/>
      <c r="VYI30" s="204"/>
      <c r="VYJ30" s="204"/>
      <c r="VYK30" s="204"/>
      <c r="VYL30" s="204"/>
      <c r="VYM30" s="204"/>
      <c r="VYN30" s="204"/>
      <c r="VYO30" s="204"/>
      <c r="VYP30" s="204"/>
      <c r="VYQ30" s="204"/>
      <c r="VYR30" s="204"/>
      <c r="VYS30" s="204"/>
      <c r="VYT30" s="204"/>
      <c r="VYU30" s="204"/>
      <c r="VYV30" s="204"/>
      <c r="VYW30" s="204"/>
      <c r="VYX30" s="204"/>
      <c r="VYY30" s="204"/>
      <c r="VYZ30" s="204"/>
      <c r="VZA30" s="204"/>
      <c r="VZB30" s="204"/>
      <c r="VZC30" s="204"/>
      <c r="VZD30" s="204"/>
      <c r="VZE30" s="204"/>
      <c r="VZF30" s="204"/>
      <c r="VZG30" s="204"/>
      <c r="VZH30" s="204"/>
      <c r="VZI30" s="204"/>
      <c r="VZJ30" s="204"/>
      <c r="VZK30" s="204"/>
      <c r="VZL30" s="204"/>
      <c r="VZM30" s="204"/>
      <c r="VZN30" s="204"/>
      <c r="VZO30" s="204"/>
      <c r="VZP30" s="204"/>
      <c r="VZQ30" s="204"/>
      <c r="VZR30" s="204"/>
      <c r="VZS30" s="204"/>
      <c r="VZT30" s="204"/>
      <c r="VZU30" s="204"/>
      <c r="VZV30" s="204"/>
      <c r="VZW30" s="204"/>
      <c r="VZX30" s="204"/>
      <c r="VZY30" s="204"/>
      <c r="VZZ30" s="204"/>
      <c r="WAA30" s="204"/>
      <c r="WAB30" s="204"/>
      <c r="WAC30" s="204"/>
      <c r="WAD30" s="204"/>
      <c r="WAE30" s="204"/>
      <c r="WAF30" s="204"/>
      <c r="WAG30" s="204"/>
      <c r="WAH30" s="204"/>
      <c r="WAI30" s="204"/>
      <c r="WAJ30" s="204"/>
      <c r="WAK30" s="204"/>
      <c r="WAL30" s="204"/>
      <c r="WAM30" s="204"/>
      <c r="WAN30" s="204"/>
      <c r="WAO30" s="204"/>
      <c r="WAP30" s="204"/>
      <c r="WAQ30" s="204"/>
      <c r="WAR30" s="204"/>
      <c r="WAS30" s="204"/>
      <c r="WAT30" s="204"/>
      <c r="WAU30" s="204"/>
      <c r="WAV30" s="204"/>
      <c r="WAW30" s="204"/>
      <c r="WAX30" s="204"/>
      <c r="WAY30" s="204"/>
      <c r="WAZ30" s="204"/>
      <c r="WBA30" s="204"/>
      <c r="WBB30" s="204"/>
      <c r="WBC30" s="204"/>
      <c r="WBD30" s="204"/>
      <c r="WBE30" s="204"/>
      <c r="WBF30" s="204"/>
      <c r="WBG30" s="204"/>
      <c r="WBH30" s="204"/>
      <c r="WBI30" s="204"/>
      <c r="WBJ30" s="204"/>
      <c r="WBK30" s="204"/>
      <c r="WBL30" s="204"/>
      <c r="WBM30" s="204"/>
      <c r="WBN30" s="204"/>
      <c r="WBO30" s="204"/>
      <c r="WBP30" s="204"/>
      <c r="WBQ30" s="204"/>
      <c r="WBR30" s="204"/>
      <c r="WBS30" s="204"/>
      <c r="WBT30" s="204"/>
      <c r="WBU30" s="204"/>
      <c r="WBV30" s="204"/>
      <c r="WBW30" s="204"/>
      <c r="WBX30" s="204"/>
      <c r="WBY30" s="204"/>
      <c r="WBZ30" s="204"/>
      <c r="WCA30" s="204"/>
      <c r="WCB30" s="204"/>
      <c r="WCC30" s="204"/>
      <c r="WCD30" s="204"/>
      <c r="WCE30" s="204"/>
      <c r="WCF30" s="204"/>
      <c r="WCG30" s="204"/>
      <c r="WCH30" s="204"/>
      <c r="WCI30" s="204"/>
      <c r="WCJ30" s="204"/>
      <c r="WCK30" s="204"/>
      <c r="WCL30" s="204"/>
      <c r="WCM30" s="204"/>
      <c r="WCN30" s="204"/>
      <c r="WCO30" s="204"/>
      <c r="WCP30" s="204"/>
      <c r="WCQ30" s="204"/>
      <c r="WCR30" s="204"/>
      <c r="WCS30" s="204"/>
      <c r="WCT30" s="204"/>
      <c r="WCU30" s="204"/>
      <c r="WCV30" s="204"/>
      <c r="WCW30" s="204"/>
      <c r="WCX30" s="204"/>
      <c r="WCY30" s="204"/>
      <c r="WCZ30" s="204"/>
      <c r="WDA30" s="204"/>
      <c r="WDB30" s="204"/>
      <c r="WDC30" s="204"/>
      <c r="WDD30" s="204"/>
      <c r="WDE30" s="204"/>
      <c r="WDF30" s="204"/>
      <c r="WDG30" s="204"/>
      <c r="WDH30" s="204"/>
      <c r="WDI30" s="204"/>
      <c r="WDJ30" s="204"/>
      <c r="WDK30" s="204"/>
      <c r="WDL30" s="204"/>
      <c r="WDM30" s="204"/>
      <c r="WDN30" s="204"/>
      <c r="WDO30" s="204"/>
      <c r="WDP30" s="204"/>
      <c r="WDQ30" s="204"/>
      <c r="WDR30" s="204"/>
      <c r="WDS30" s="204"/>
      <c r="WDT30" s="204"/>
      <c r="WDU30" s="204"/>
      <c r="WDV30" s="204"/>
      <c r="WDW30" s="204"/>
      <c r="WDX30" s="204"/>
      <c r="WDY30" s="204"/>
      <c r="WDZ30" s="204"/>
      <c r="WEA30" s="204"/>
      <c r="WEB30" s="204"/>
      <c r="WEC30" s="204"/>
      <c r="WED30" s="204"/>
      <c r="WEE30" s="204"/>
      <c r="WEF30" s="204"/>
      <c r="WEG30" s="204"/>
      <c r="WEH30" s="204"/>
      <c r="WEI30" s="204"/>
      <c r="WEJ30" s="204"/>
      <c r="WEK30" s="204"/>
      <c r="WEL30" s="204"/>
      <c r="WEM30" s="204"/>
      <c r="WEN30" s="204"/>
      <c r="WEO30" s="204"/>
      <c r="WEP30" s="204"/>
      <c r="WEQ30" s="204"/>
      <c r="WER30" s="204"/>
      <c r="WES30" s="204"/>
      <c r="WET30" s="204"/>
      <c r="WEU30" s="204"/>
      <c r="WEV30" s="204"/>
      <c r="WEW30" s="204"/>
      <c r="WEX30" s="204"/>
      <c r="WEY30" s="204"/>
      <c r="WEZ30" s="204"/>
      <c r="WFA30" s="204"/>
      <c r="WFB30" s="204"/>
      <c r="WFC30" s="204"/>
      <c r="WFD30" s="204"/>
      <c r="WFE30" s="204"/>
      <c r="WFF30" s="204"/>
      <c r="WFG30" s="204"/>
      <c r="WFH30" s="204"/>
      <c r="WFI30" s="204"/>
      <c r="WFJ30" s="204"/>
      <c r="WFK30" s="204"/>
      <c r="WFL30" s="204"/>
      <c r="WFM30" s="204"/>
      <c r="WFN30" s="204"/>
      <c r="WFO30" s="204"/>
      <c r="WFP30" s="204"/>
      <c r="WFQ30" s="204"/>
      <c r="WFR30" s="204"/>
      <c r="WFS30" s="204"/>
      <c r="WFT30" s="204"/>
      <c r="WFU30" s="204"/>
      <c r="WFV30" s="204"/>
      <c r="WFW30" s="204"/>
      <c r="WFX30" s="204"/>
      <c r="WFY30" s="204"/>
      <c r="WFZ30" s="204"/>
      <c r="WGA30" s="204"/>
      <c r="WGB30" s="204"/>
      <c r="WGC30" s="204"/>
      <c r="WGD30" s="204"/>
      <c r="WGE30" s="204"/>
      <c r="WGF30" s="204"/>
      <c r="WGG30" s="204"/>
      <c r="WGH30" s="204"/>
      <c r="WGI30" s="204"/>
      <c r="WGJ30" s="204"/>
      <c r="WGK30" s="204"/>
      <c r="WGL30" s="204"/>
      <c r="WGM30" s="204"/>
      <c r="WGN30" s="204"/>
      <c r="WGO30" s="204"/>
      <c r="WGP30" s="204"/>
      <c r="WGQ30" s="204"/>
      <c r="WGR30" s="204"/>
      <c r="WGS30" s="204"/>
      <c r="WGT30" s="204"/>
      <c r="WGU30" s="204"/>
      <c r="WGV30" s="204"/>
      <c r="WGW30" s="204"/>
      <c r="WGX30" s="204"/>
      <c r="WGY30" s="204"/>
      <c r="WGZ30" s="204"/>
      <c r="WHA30" s="204"/>
      <c r="WHB30" s="204"/>
      <c r="WHC30" s="204"/>
      <c r="WHD30" s="204"/>
      <c r="WHE30" s="204"/>
      <c r="WHF30" s="204"/>
      <c r="WHG30" s="204"/>
      <c r="WHH30" s="204"/>
      <c r="WHI30" s="204"/>
      <c r="WHJ30" s="204"/>
      <c r="WHK30" s="204"/>
      <c r="WHL30" s="204"/>
      <c r="WHM30" s="204"/>
      <c r="WHN30" s="204"/>
      <c r="WHO30" s="204"/>
      <c r="WHP30" s="204"/>
      <c r="WHQ30" s="204"/>
      <c r="WHR30" s="204"/>
      <c r="WHS30" s="204"/>
      <c r="WHT30" s="204"/>
      <c r="WHU30" s="204"/>
      <c r="WHV30" s="204"/>
      <c r="WHW30" s="204"/>
      <c r="WHX30" s="204"/>
      <c r="WHY30" s="204"/>
      <c r="WHZ30" s="204"/>
      <c r="WIA30" s="204"/>
      <c r="WIB30" s="204"/>
      <c r="WIC30" s="204"/>
      <c r="WID30" s="204"/>
      <c r="WIE30" s="204"/>
      <c r="WIF30" s="204"/>
      <c r="WIG30" s="204"/>
      <c r="WIH30" s="204"/>
      <c r="WII30" s="204"/>
      <c r="WIJ30" s="204"/>
      <c r="WIK30" s="204"/>
      <c r="WIL30" s="204"/>
      <c r="WIM30" s="204"/>
      <c r="WIN30" s="204"/>
      <c r="WIO30" s="204"/>
      <c r="WIP30" s="204"/>
      <c r="WIQ30" s="204"/>
      <c r="WIR30" s="204"/>
      <c r="WIS30" s="204"/>
      <c r="WIT30" s="204"/>
      <c r="WIU30" s="204"/>
      <c r="WIV30" s="204"/>
      <c r="WIW30" s="204"/>
      <c r="WIX30" s="204"/>
      <c r="WIY30" s="204"/>
      <c r="WIZ30" s="204"/>
      <c r="WJA30" s="204"/>
      <c r="WJB30" s="204"/>
      <c r="WJC30" s="204"/>
      <c r="WJD30" s="204"/>
      <c r="WJE30" s="204"/>
      <c r="WJF30" s="204"/>
      <c r="WJG30" s="204"/>
      <c r="WJH30" s="204"/>
      <c r="WJI30" s="204"/>
      <c r="WJJ30" s="204"/>
      <c r="WJK30" s="204"/>
      <c r="WJL30" s="204"/>
      <c r="WJM30" s="204"/>
      <c r="WJN30" s="204"/>
      <c r="WJO30" s="204"/>
      <c r="WJP30" s="204"/>
      <c r="WJQ30" s="204"/>
      <c r="WJR30" s="204"/>
      <c r="WJS30" s="204"/>
      <c r="WJT30" s="204"/>
      <c r="WJU30" s="204"/>
      <c r="WJV30" s="204"/>
      <c r="WJW30" s="204"/>
      <c r="WJX30" s="204"/>
      <c r="WJY30" s="204"/>
      <c r="WJZ30" s="204"/>
      <c r="WKA30" s="204"/>
      <c r="WKB30" s="204"/>
      <c r="WKC30" s="204"/>
      <c r="WKD30" s="204"/>
      <c r="WKE30" s="204"/>
      <c r="WKF30" s="204"/>
      <c r="WKG30" s="204"/>
      <c r="WKH30" s="204"/>
      <c r="WKI30" s="204"/>
      <c r="WKJ30" s="204"/>
      <c r="WKK30" s="204"/>
      <c r="WKL30" s="204"/>
      <c r="WKM30" s="204"/>
      <c r="WKN30" s="204"/>
      <c r="WKO30" s="204"/>
      <c r="WKP30" s="204"/>
      <c r="WKQ30" s="204"/>
      <c r="WKR30" s="204"/>
      <c r="WKS30" s="204"/>
      <c r="WKT30" s="204"/>
      <c r="WKU30" s="204"/>
      <c r="WKV30" s="204"/>
      <c r="WKW30" s="204"/>
      <c r="WKX30" s="204"/>
      <c r="WKY30" s="204"/>
      <c r="WKZ30" s="204"/>
      <c r="WLA30" s="204"/>
      <c r="WLB30" s="204"/>
      <c r="WLC30" s="204"/>
      <c r="WLD30" s="204"/>
      <c r="WLE30" s="204"/>
      <c r="WLF30" s="204"/>
      <c r="WLG30" s="204"/>
      <c r="WLH30" s="204"/>
      <c r="WLI30" s="204"/>
      <c r="WLJ30" s="204"/>
      <c r="WLK30" s="204"/>
      <c r="WLL30" s="204"/>
      <c r="WLM30" s="204"/>
      <c r="WLN30" s="204"/>
      <c r="WLO30" s="204"/>
      <c r="WLP30" s="204"/>
      <c r="WLQ30" s="204"/>
      <c r="WLR30" s="204"/>
      <c r="WLS30" s="204"/>
      <c r="WLT30" s="204"/>
      <c r="WLU30" s="204"/>
      <c r="WLV30" s="204"/>
      <c r="WLW30" s="204"/>
      <c r="WLX30" s="204"/>
      <c r="WLY30" s="204"/>
      <c r="WLZ30" s="204"/>
      <c r="WMA30" s="204"/>
      <c r="WMB30" s="204"/>
      <c r="WMC30" s="204"/>
      <c r="WMD30" s="204"/>
      <c r="WME30" s="204"/>
      <c r="WMF30" s="204"/>
      <c r="WMG30" s="204"/>
      <c r="WMH30" s="204"/>
      <c r="WMI30" s="204"/>
      <c r="WMJ30" s="204"/>
      <c r="WMK30" s="204"/>
      <c r="WML30" s="204"/>
      <c r="WMM30" s="204"/>
      <c r="WMN30" s="204"/>
      <c r="WMO30" s="204"/>
      <c r="WMP30" s="204"/>
      <c r="WMQ30" s="204"/>
      <c r="WMR30" s="204"/>
      <c r="WMS30" s="204"/>
      <c r="WMT30" s="204"/>
      <c r="WMU30" s="204"/>
      <c r="WMV30" s="204"/>
      <c r="WMW30" s="204"/>
      <c r="WMX30" s="204"/>
      <c r="WMY30" s="204"/>
      <c r="WMZ30" s="204"/>
      <c r="WNA30" s="204"/>
      <c r="WNB30" s="204"/>
      <c r="WNC30" s="204"/>
      <c r="WND30" s="204"/>
      <c r="WNE30" s="204"/>
      <c r="WNF30" s="204"/>
      <c r="WNG30" s="204"/>
      <c r="WNH30" s="204"/>
      <c r="WNI30" s="204"/>
      <c r="WNJ30" s="204"/>
      <c r="WNK30" s="204"/>
      <c r="WNL30" s="204"/>
      <c r="WNM30" s="204"/>
      <c r="WNN30" s="204"/>
      <c r="WNO30" s="204"/>
      <c r="WNP30" s="204"/>
      <c r="WNQ30" s="204"/>
      <c r="WNR30" s="204"/>
      <c r="WNS30" s="204"/>
      <c r="WNT30" s="204"/>
      <c r="WNU30" s="204"/>
      <c r="WNV30" s="204"/>
      <c r="WNW30" s="204"/>
      <c r="WNX30" s="204"/>
      <c r="WNY30" s="204"/>
      <c r="WNZ30" s="204"/>
      <c r="WOA30" s="204"/>
      <c r="WOB30" s="204"/>
      <c r="WOC30" s="204"/>
      <c r="WOD30" s="204"/>
      <c r="WOE30" s="204"/>
      <c r="WOF30" s="204"/>
      <c r="WOG30" s="204"/>
      <c r="WOH30" s="204"/>
      <c r="WOI30" s="204"/>
      <c r="WOJ30" s="204"/>
      <c r="WOK30" s="204"/>
      <c r="WOL30" s="204"/>
      <c r="WOM30" s="204"/>
      <c r="WON30" s="204"/>
      <c r="WOO30" s="204"/>
      <c r="WOP30" s="204"/>
      <c r="WOQ30" s="204"/>
      <c r="WOR30" s="204"/>
      <c r="WOS30" s="204"/>
      <c r="WOT30" s="204"/>
      <c r="WOU30" s="204"/>
      <c r="WOV30" s="204"/>
      <c r="WOW30" s="204"/>
      <c r="WOX30" s="204"/>
      <c r="WOY30" s="204"/>
      <c r="WOZ30" s="204"/>
      <c r="WPA30" s="204"/>
      <c r="WPB30" s="204"/>
      <c r="WPC30" s="204"/>
      <c r="WPD30" s="204"/>
      <c r="WPE30" s="204"/>
      <c r="WPF30" s="204"/>
      <c r="WPG30" s="204"/>
      <c r="WPH30" s="204"/>
      <c r="WPI30" s="204"/>
      <c r="WPJ30" s="204"/>
      <c r="WPK30" s="204"/>
      <c r="WPL30" s="204"/>
      <c r="WPM30" s="204"/>
      <c r="WPN30" s="204"/>
      <c r="WPO30" s="204"/>
      <c r="WPP30" s="204"/>
      <c r="WPQ30" s="204"/>
      <c r="WPR30" s="204"/>
      <c r="WPS30" s="204"/>
      <c r="WPT30" s="204"/>
      <c r="WPU30" s="204"/>
      <c r="WPV30" s="204"/>
      <c r="WPW30" s="204"/>
      <c r="WPX30" s="204"/>
      <c r="WPY30" s="204"/>
      <c r="WPZ30" s="204"/>
      <c r="WQA30" s="204"/>
      <c r="WQB30" s="204"/>
      <c r="WQC30" s="204"/>
      <c r="WQD30" s="204"/>
      <c r="WQE30" s="204"/>
      <c r="WQF30" s="204"/>
      <c r="WQG30" s="204"/>
      <c r="WQH30" s="204"/>
      <c r="WQI30" s="204"/>
      <c r="WQJ30" s="204"/>
      <c r="WQK30" s="204"/>
      <c r="WQL30" s="204"/>
      <c r="WQM30" s="204"/>
      <c r="WQN30" s="204"/>
      <c r="WQO30" s="204"/>
      <c r="WQP30" s="204"/>
      <c r="WQQ30" s="204"/>
      <c r="WQR30" s="204"/>
      <c r="WQS30" s="204"/>
      <c r="WQT30" s="204"/>
      <c r="WQU30" s="204"/>
      <c r="WQV30" s="204"/>
      <c r="WQW30" s="204"/>
      <c r="WQX30" s="204"/>
      <c r="WQY30" s="204"/>
      <c r="WQZ30" s="204"/>
      <c r="WRA30" s="204"/>
      <c r="WRB30" s="204"/>
      <c r="WRC30" s="204"/>
      <c r="WRD30" s="204"/>
      <c r="WRE30" s="204"/>
      <c r="WRF30" s="204"/>
      <c r="WRG30" s="204"/>
      <c r="WRH30" s="204"/>
      <c r="WRI30" s="204"/>
      <c r="WRJ30" s="204"/>
      <c r="WRK30" s="204"/>
      <c r="WRL30" s="204"/>
      <c r="WRM30" s="204"/>
      <c r="WRN30" s="204"/>
      <c r="WRO30" s="204"/>
      <c r="WRP30" s="204"/>
      <c r="WRQ30" s="204"/>
      <c r="WRR30" s="204"/>
      <c r="WRS30" s="204"/>
      <c r="WRT30" s="204"/>
      <c r="WRU30" s="204"/>
      <c r="WRV30" s="204"/>
      <c r="WRW30" s="204"/>
      <c r="WRX30" s="204"/>
      <c r="WRY30" s="204"/>
      <c r="WRZ30" s="204"/>
      <c r="WSA30" s="204"/>
      <c r="WSB30" s="204"/>
      <c r="WSC30" s="204"/>
      <c r="WSD30" s="204"/>
      <c r="WSE30" s="204"/>
      <c r="WSF30" s="204"/>
      <c r="WSG30" s="204"/>
      <c r="WSH30" s="204"/>
      <c r="WSI30" s="204"/>
      <c r="WSJ30" s="204"/>
      <c r="WSK30" s="204"/>
      <c r="WSL30" s="204"/>
      <c r="WSM30" s="204"/>
      <c r="WSN30" s="204"/>
      <c r="WSO30" s="204"/>
      <c r="WSP30" s="204"/>
      <c r="WSQ30" s="204"/>
      <c r="WSR30" s="204"/>
      <c r="WSS30" s="204"/>
      <c r="WST30" s="204"/>
      <c r="WSU30" s="204"/>
      <c r="WSV30" s="204"/>
      <c r="WSW30" s="204"/>
      <c r="WSX30" s="204"/>
      <c r="WSY30" s="204"/>
      <c r="WSZ30" s="204"/>
      <c r="WTA30" s="204"/>
      <c r="WTB30" s="204"/>
      <c r="WTC30" s="204"/>
      <c r="WTD30" s="204"/>
      <c r="WTE30" s="204"/>
      <c r="WTF30" s="204"/>
      <c r="WTG30" s="204"/>
      <c r="WTH30" s="204"/>
      <c r="WTI30" s="204"/>
      <c r="WTJ30" s="204"/>
      <c r="WTK30" s="204"/>
      <c r="WTL30" s="204"/>
      <c r="WTM30" s="204"/>
      <c r="WTN30" s="204"/>
      <c r="WTO30" s="204"/>
      <c r="WTP30" s="204"/>
      <c r="WTQ30" s="204"/>
      <c r="WTR30" s="204"/>
      <c r="WTS30" s="204"/>
      <c r="WTT30" s="204"/>
      <c r="WTU30" s="204"/>
      <c r="WTV30" s="204"/>
      <c r="WTW30" s="204"/>
      <c r="WTX30" s="204"/>
      <c r="WTY30" s="204"/>
      <c r="WTZ30" s="204"/>
      <c r="WUA30" s="204"/>
      <c r="WUB30" s="204"/>
      <c r="WUC30" s="204"/>
      <c r="WUD30" s="204"/>
      <c r="WUE30" s="204"/>
      <c r="WUF30" s="204"/>
      <c r="WUG30" s="204"/>
      <c r="WUH30" s="204"/>
      <c r="WUI30" s="204"/>
      <c r="WUJ30" s="204"/>
      <c r="WUK30" s="204"/>
      <c r="WUL30" s="204"/>
      <c r="WUM30" s="204"/>
      <c r="WUN30" s="204"/>
      <c r="WUO30" s="204"/>
      <c r="WUP30" s="204"/>
      <c r="WUQ30" s="204"/>
      <c r="WUR30" s="204"/>
      <c r="WUS30" s="204"/>
      <c r="WUT30" s="204"/>
      <c r="WUU30" s="204"/>
      <c r="WUV30" s="204"/>
      <c r="WUW30" s="204"/>
      <c r="WUX30" s="204"/>
      <c r="WUY30" s="204"/>
      <c r="WUZ30" s="204"/>
      <c r="WVA30" s="204"/>
      <c r="WVB30" s="204"/>
      <c r="WVC30" s="204"/>
      <c r="WVD30" s="204"/>
      <c r="WVE30" s="204"/>
      <c r="WVF30" s="204"/>
      <c r="WVG30" s="204"/>
      <c r="WVH30" s="204"/>
      <c r="WVI30" s="204"/>
      <c r="WVJ30" s="204"/>
      <c r="WVK30" s="204"/>
      <c r="WVL30" s="204"/>
      <c r="WVM30" s="204"/>
      <c r="WVN30" s="204"/>
      <c r="WVO30" s="204"/>
      <c r="WVP30" s="204"/>
      <c r="WVQ30" s="204"/>
      <c r="WVR30" s="204"/>
      <c r="WVS30" s="204"/>
      <c r="WVT30" s="204"/>
      <c r="WVU30" s="204"/>
      <c r="WVV30" s="204"/>
      <c r="WVW30" s="204"/>
      <c r="WVX30" s="204"/>
      <c r="WVY30" s="204"/>
      <c r="WVZ30" s="204"/>
      <c r="WWA30" s="204"/>
      <c r="WWB30" s="204"/>
      <c r="WWC30" s="204"/>
      <c r="WWD30" s="204"/>
      <c r="WWE30" s="204"/>
      <c r="WWF30" s="204"/>
      <c r="WWG30" s="204"/>
      <c r="WWH30" s="204"/>
      <c r="WWI30" s="204"/>
      <c r="WWJ30" s="204"/>
      <c r="WWK30" s="204"/>
      <c r="WWL30" s="204"/>
      <c r="WWM30" s="204"/>
      <c r="WWN30" s="204"/>
      <c r="WWO30" s="204"/>
      <c r="WWP30" s="204"/>
      <c r="WWQ30" s="204"/>
      <c r="WWR30" s="204"/>
      <c r="WWS30" s="204"/>
      <c r="WWT30" s="204"/>
      <c r="WWU30" s="204"/>
      <c r="WWV30" s="204"/>
      <c r="WWW30" s="204"/>
      <c r="WWX30" s="204"/>
      <c r="WWY30" s="204"/>
      <c r="WWZ30" s="204"/>
      <c r="WXA30" s="204"/>
      <c r="WXB30" s="204"/>
      <c r="WXC30" s="204"/>
      <c r="WXD30" s="204"/>
      <c r="WXE30" s="204"/>
      <c r="WXF30" s="204"/>
      <c r="WXG30" s="204"/>
      <c r="WXH30" s="204"/>
      <c r="WXI30" s="204"/>
      <c r="WXJ30" s="204"/>
      <c r="WXK30" s="204"/>
      <c r="WXL30" s="204"/>
      <c r="WXM30" s="204"/>
      <c r="WXN30" s="204"/>
      <c r="WXO30" s="204"/>
      <c r="WXP30" s="204"/>
      <c r="WXQ30" s="204"/>
      <c r="WXR30" s="204"/>
      <c r="WXS30" s="204"/>
      <c r="WXT30" s="204"/>
      <c r="WXU30" s="204"/>
      <c r="WXV30" s="204"/>
      <c r="WXW30" s="204"/>
      <c r="WXX30" s="204"/>
      <c r="WXY30" s="204"/>
      <c r="WXZ30" s="204"/>
      <c r="WYA30" s="204"/>
      <c r="WYB30" s="204"/>
      <c r="WYC30" s="204"/>
      <c r="WYD30" s="204"/>
      <c r="WYE30" s="204"/>
      <c r="WYF30" s="204"/>
      <c r="WYG30" s="204"/>
      <c r="WYH30" s="204"/>
      <c r="WYI30" s="204"/>
      <c r="WYJ30" s="204"/>
      <c r="WYK30" s="204"/>
      <c r="WYL30" s="204"/>
      <c r="WYM30" s="204"/>
      <c r="WYN30" s="204"/>
      <c r="WYO30" s="204"/>
      <c r="WYP30" s="204"/>
      <c r="WYQ30" s="204"/>
      <c r="WYR30" s="204"/>
      <c r="WYS30" s="204"/>
      <c r="WYT30" s="204"/>
      <c r="WYU30" s="204"/>
      <c r="WYV30" s="204"/>
      <c r="WYW30" s="204"/>
      <c r="WYX30" s="204"/>
      <c r="WYY30" s="204"/>
      <c r="WYZ30" s="204"/>
      <c r="WZA30" s="204"/>
      <c r="WZB30" s="204"/>
      <c r="WZC30" s="204"/>
      <c r="WZD30" s="204"/>
      <c r="WZE30" s="204"/>
      <c r="WZF30" s="204"/>
      <c r="WZG30" s="204"/>
      <c r="WZH30" s="204"/>
      <c r="WZI30" s="204"/>
      <c r="WZJ30" s="204"/>
      <c r="WZK30" s="204"/>
      <c r="WZL30" s="204"/>
      <c r="WZM30" s="204"/>
      <c r="WZN30" s="204"/>
      <c r="WZO30" s="204"/>
      <c r="WZP30" s="204"/>
      <c r="WZQ30" s="204"/>
      <c r="WZR30" s="204"/>
      <c r="WZS30" s="204"/>
      <c r="WZT30" s="204"/>
      <c r="WZU30" s="204"/>
      <c r="WZV30" s="204"/>
      <c r="WZW30" s="204"/>
      <c r="WZX30" s="204"/>
      <c r="WZY30" s="204"/>
      <c r="WZZ30" s="204"/>
      <c r="XAA30" s="204"/>
      <c r="XAB30" s="204"/>
      <c r="XAC30" s="204"/>
      <c r="XAD30" s="204"/>
      <c r="XAE30" s="204"/>
      <c r="XAF30" s="204"/>
      <c r="XAG30" s="204"/>
      <c r="XAH30" s="204"/>
      <c r="XAI30" s="204"/>
      <c r="XAJ30" s="204"/>
      <c r="XAK30" s="204"/>
      <c r="XAL30" s="204"/>
      <c r="XAM30" s="204"/>
      <c r="XAN30" s="204"/>
      <c r="XAO30" s="204"/>
      <c r="XAP30" s="204"/>
      <c r="XAQ30" s="204"/>
      <c r="XAR30" s="204"/>
      <c r="XAS30" s="204"/>
      <c r="XAT30" s="204"/>
      <c r="XAU30" s="204"/>
      <c r="XAV30" s="204"/>
      <c r="XAW30" s="204"/>
      <c r="XAX30" s="204"/>
      <c r="XAY30" s="204"/>
      <c r="XAZ30" s="204"/>
      <c r="XBA30" s="204"/>
      <c r="XBB30" s="204"/>
      <c r="XBC30" s="204"/>
      <c r="XBD30" s="204"/>
      <c r="XBE30" s="204"/>
      <c r="XBF30" s="204"/>
      <c r="XBG30" s="204"/>
      <c r="XBH30" s="204"/>
      <c r="XBI30" s="204"/>
      <c r="XBJ30" s="204"/>
      <c r="XBK30" s="204"/>
      <c r="XBL30" s="204"/>
      <c r="XBM30" s="204"/>
      <c r="XBN30" s="204"/>
      <c r="XBO30" s="204"/>
      <c r="XBP30" s="204"/>
      <c r="XBQ30" s="204"/>
      <c r="XBR30" s="204"/>
      <c r="XBS30" s="204"/>
      <c r="XBT30" s="204"/>
      <c r="XBU30" s="204"/>
      <c r="XBV30" s="204"/>
      <c r="XBW30" s="204"/>
      <c r="XBX30" s="204"/>
      <c r="XBY30" s="204"/>
      <c r="XBZ30" s="204"/>
      <c r="XCA30" s="204"/>
      <c r="XCB30" s="204"/>
      <c r="XCC30" s="204"/>
      <c r="XCD30" s="204"/>
      <c r="XCE30" s="204"/>
      <c r="XCF30" s="204"/>
      <c r="XCG30" s="204"/>
      <c r="XCH30" s="204"/>
      <c r="XCI30" s="204"/>
      <c r="XCJ30" s="204"/>
      <c r="XCK30" s="204"/>
      <c r="XCL30" s="204"/>
      <c r="XCM30" s="204"/>
      <c r="XCN30" s="204"/>
      <c r="XCO30" s="204"/>
      <c r="XCP30" s="204"/>
      <c r="XCQ30" s="204"/>
      <c r="XCR30" s="204"/>
      <c r="XCS30" s="204"/>
      <c r="XCT30" s="204"/>
      <c r="XCU30" s="204"/>
      <c r="XCV30" s="204"/>
      <c r="XCW30" s="204"/>
      <c r="XCX30" s="204"/>
      <c r="XCY30" s="204"/>
      <c r="XCZ30" s="204"/>
      <c r="XDA30" s="204"/>
      <c r="XDB30" s="204"/>
      <c r="XDC30" s="204"/>
      <c r="XDD30" s="204"/>
      <c r="XDE30" s="204"/>
      <c r="XDF30" s="204"/>
      <c r="XDG30" s="204"/>
      <c r="XDH30" s="204"/>
      <c r="XDI30" s="204"/>
      <c r="XDJ30" s="204"/>
      <c r="XDK30" s="204"/>
      <c r="XDL30" s="204"/>
      <c r="XDM30" s="204"/>
      <c r="XDN30" s="204"/>
      <c r="XDO30" s="204"/>
      <c r="XDP30" s="204"/>
      <c r="XDQ30" s="204"/>
      <c r="XDR30" s="204"/>
      <c r="XDS30" s="204"/>
      <c r="XDT30" s="204"/>
      <c r="XDU30" s="204"/>
      <c r="XDV30" s="204"/>
      <c r="XDW30" s="204"/>
      <c r="XDX30" s="204"/>
      <c r="XDY30" s="204"/>
      <c r="XDZ30" s="204"/>
      <c r="XEA30" s="204"/>
      <c r="XEB30" s="204"/>
      <c r="XEC30" s="204"/>
      <c r="XED30" s="204"/>
      <c r="XEE30" s="204"/>
      <c r="XEF30" s="204"/>
      <c r="XEG30" s="204"/>
      <c r="XEH30" s="204"/>
      <c r="XEI30" s="204"/>
      <c r="XEJ30" s="204"/>
      <c r="XEK30" s="204"/>
      <c r="XEL30" s="204"/>
      <c r="XEM30" s="204"/>
      <c r="XEN30" s="204"/>
      <c r="XEO30" s="204"/>
      <c r="XEP30" s="204"/>
      <c r="XEQ30" s="204"/>
      <c r="XER30" s="204"/>
      <c r="XES30" s="204"/>
      <c r="XET30" s="204"/>
      <c r="XEU30" s="204"/>
      <c r="XEV30" s="204"/>
      <c r="XEW30" s="204"/>
      <c r="XEX30" s="204"/>
      <c r="XEY30" s="204"/>
      <c r="XEZ30" s="204"/>
      <c r="XFA30" s="204"/>
      <c r="XFB30" s="204"/>
      <c r="XFC30" s="204"/>
      <c r="XFD30" s="204"/>
    </row>
    <row r="31" spans="1:16384" ht="12.75" customHeight="1" x14ac:dyDescent="0.2">
      <c r="A31" s="203"/>
      <c r="B31" s="2"/>
      <c r="C31" s="3"/>
      <c r="D31" s="53"/>
      <c r="E31" s="231"/>
      <c r="F31" s="231"/>
      <c r="G31" s="231"/>
      <c r="H31" s="231"/>
      <c r="I31" s="232"/>
      <c r="J31" s="232"/>
      <c r="K31" s="232"/>
      <c r="L31" s="232"/>
      <c r="M31" s="203"/>
      <c r="N31" s="203"/>
      <c r="O31" s="203"/>
      <c r="P31" s="203"/>
      <c r="Q31" s="203"/>
      <c r="R31" s="203"/>
      <c r="S31" s="203"/>
      <c r="T31" s="18" t="s">
        <v>2607</v>
      </c>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04"/>
      <c r="CI31" s="204"/>
      <c r="CJ31" s="204"/>
      <c r="CK31" s="204"/>
      <c r="CL31" s="204"/>
      <c r="CM31" s="204"/>
      <c r="CN31" s="204"/>
      <c r="CO31" s="204"/>
      <c r="CP31" s="204"/>
      <c r="CQ31" s="204"/>
      <c r="CR31" s="204"/>
      <c r="CS31" s="204"/>
      <c r="CT31" s="204"/>
      <c r="CU31" s="204"/>
      <c r="CV31" s="204"/>
      <c r="CW31" s="204"/>
      <c r="CX31" s="204"/>
      <c r="CY31" s="204"/>
      <c r="CZ31" s="204"/>
      <c r="DA31" s="204"/>
      <c r="DB31" s="204"/>
      <c r="DC31" s="204"/>
      <c r="DD31" s="204"/>
      <c r="DE31" s="204"/>
      <c r="DF31" s="204"/>
      <c r="DG31" s="204"/>
      <c r="DH31" s="204"/>
      <c r="DI31" s="204"/>
      <c r="DJ31" s="204"/>
      <c r="DK31" s="204"/>
      <c r="DL31" s="204"/>
      <c r="DM31" s="204"/>
      <c r="DN31" s="204"/>
      <c r="DO31" s="204"/>
      <c r="DP31" s="204"/>
      <c r="DQ31" s="204"/>
      <c r="DR31" s="204"/>
      <c r="DS31" s="204"/>
      <c r="DT31" s="204"/>
      <c r="DU31" s="204"/>
      <c r="DV31" s="204"/>
      <c r="DW31" s="204"/>
      <c r="DX31" s="204"/>
      <c r="DY31" s="204"/>
      <c r="DZ31" s="204"/>
      <c r="EA31" s="204"/>
      <c r="EB31" s="204"/>
      <c r="EC31" s="204"/>
      <c r="ED31" s="204"/>
      <c r="EE31" s="204"/>
      <c r="EF31" s="204"/>
      <c r="EG31" s="204"/>
      <c r="EH31" s="204"/>
      <c r="EI31" s="204"/>
      <c r="EJ31" s="204"/>
      <c r="EK31" s="204"/>
      <c r="EL31" s="204"/>
      <c r="EM31" s="204"/>
      <c r="EN31" s="204"/>
      <c r="EO31" s="204"/>
      <c r="EP31" s="204"/>
      <c r="EQ31" s="204"/>
      <c r="ER31" s="204"/>
      <c r="ES31" s="204"/>
      <c r="ET31" s="204"/>
      <c r="EU31" s="204"/>
      <c r="EV31" s="204"/>
      <c r="EW31" s="204"/>
      <c r="EX31" s="204"/>
      <c r="EY31" s="204"/>
      <c r="EZ31" s="204"/>
      <c r="FA31" s="204"/>
      <c r="FB31" s="204"/>
      <c r="FC31" s="204"/>
      <c r="FD31" s="204"/>
      <c r="FE31" s="204"/>
      <c r="FF31" s="204"/>
      <c r="FG31" s="204"/>
      <c r="FH31" s="204"/>
      <c r="FI31" s="204"/>
      <c r="FJ31" s="204"/>
      <c r="FK31" s="204"/>
      <c r="FL31" s="204"/>
      <c r="FM31" s="204"/>
      <c r="FN31" s="204"/>
      <c r="FO31" s="204"/>
      <c r="FP31" s="204"/>
      <c r="FQ31" s="204"/>
      <c r="FR31" s="204"/>
      <c r="FS31" s="204"/>
      <c r="FT31" s="204"/>
      <c r="FU31" s="204"/>
      <c r="FV31" s="204"/>
      <c r="FW31" s="204"/>
      <c r="FX31" s="204"/>
      <c r="FY31" s="204"/>
      <c r="FZ31" s="204"/>
      <c r="GA31" s="204"/>
      <c r="GB31" s="204"/>
      <c r="GC31" s="204"/>
      <c r="GD31" s="204"/>
      <c r="GE31" s="204"/>
      <c r="GF31" s="204"/>
      <c r="GG31" s="204"/>
      <c r="GH31" s="204"/>
      <c r="GI31" s="204"/>
      <c r="GJ31" s="204"/>
      <c r="GK31" s="204"/>
      <c r="GL31" s="204"/>
      <c r="GM31" s="204"/>
      <c r="GN31" s="204"/>
      <c r="GO31" s="204"/>
      <c r="GP31" s="204"/>
      <c r="GQ31" s="204"/>
      <c r="GR31" s="204"/>
      <c r="GS31" s="204"/>
      <c r="GT31" s="204"/>
      <c r="GU31" s="204"/>
      <c r="GV31" s="204"/>
      <c r="GW31" s="204"/>
      <c r="GX31" s="204"/>
      <c r="GY31" s="204"/>
      <c r="GZ31" s="204"/>
      <c r="HA31" s="204"/>
      <c r="HB31" s="204"/>
      <c r="HC31" s="204"/>
      <c r="HD31" s="204"/>
      <c r="HE31" s="204"/>
      <c r="HF31" s="204"/>
      <c r="HG31" s="204"/>
      <c r="HH31" s="204"/>
      <c r="HI31" s="204"/>
      <c r="HJ31" s="204"/>
      <c r="HK31" s="204"/>
      <c r="HL31" s="204"/>
      <c r="HM31" s="204"/>
      <c r="HN31" s="204"/>
      <c r="HO31" s="204"/>
      <c r="HP31" s="204"/>
      <c r="HQ31" s="204"/>
      <c r="HR31" s="204"/>
      <c r="HS31" s="204"/>
      <c r="HT31" s="204"/>
      <c r="HU31" s="204"/>
      <c r="HV31" s="204"/>
      <c r="HW31" s="204"/>
      <c r="HX31" s="204"/>
      <c r="HY31" s="204"/>
      <c r="HZ31" s="204"/>
      <c r="IA31" s="204"/>
      <c r="IB31" s="204"/>
      <c r="IC31" s="204"/>
      <c r="ID31" s="204"/>
      <c r="IE31" s="204"/>
      <c r="IF31" s="204"/>
      <c r="IG31" s="204"/>
      <c r="IH31" s="204"/>
      <c r="II31" s="204"/>
      <c r="IJ31" s="204"/>
      <c r="IK31" s="204"/>
      <c r="IL31" s="204"/>
      <c r="IM31" s="204"/>
      <c r="IN31" s="204"/>
      <c r="IO31" s="204"/>
      <c r="IP31" s="204"/>
      <c r="IQ31" s="204"/>
      <c r="IR31" s="204"/>
      <c r="IS31" s="204"/>
      <c r="IT31" s="204"/>
      <c r="IU31" s="204"/>
      <c r="IV31" s="204"/>
      <c r="IW31" s="204"/>
      <c r="IX31" s="204"/>
      <c r="IY31" s="204"/>
      <c r="IZ31" s="204"/>
      <c r="JA31" s="204"/>
      <c r="JB31" s="204"/>
      <c r="JC31" s="204"/>
      <c r="JD31" s="204"/>
      <c r="JE31" s="204"/>
      <c r="JF31" s="204"/>
      <c r="JG31" s="204"/>
      <c r="JH31" s="204"/>
      <c r="JI31" s="204"/>
      <c r="JJ31" s="204"/>
      <c r="JK31" s="204"/>
      <c r="JL31" s="204"/>
      <c r="JM31" s="204"/>
      <c r="JN31" s="204"/>
      <c r="JO31" s="204"/>
      <c r="JP31" s="204"/>
      <c r="JQ31" s="204"/>
      <c r="JR31" s="204"/>
      <c r="JS31" s="204"/>
      <c r="JT31" s="204"/>
      <c r="JU31" s="204"/>
      <c r="JV31" s="204"/>
      <c r="JW31" s="204"/>
      <c r="JX31" s="204"/>
      <c r="JY31" s="204"/>
      <c r="JZ31" s="204"/>
      <c r="KA31" s="204"/>
      <c r="KB31" s="204"/>
      <c r="KC31" s="204"/>
      <c r="KD31" s="204"/>
      <c r="KE31" s="204"/>
      <c r="KF31" s="204"/>
      <c r="KG31" s="204"/>
      <c r="KH31" s="204"/>
      <c r="KI31" s="204"/>
      <c r="KJ31" s="204"/>
      <c r="KK31" s="204"/>
      <c r="KL31" s="204"/>
      <c r="KM31" s="204"/>
      <c r="KN31" s="204"/>
      <c r="KO31" s="204"/>
      <c r="KP31" s="204"/>
      <c r="KQ31" s="204"/>
      <c r="KR31" s="204"/>
      <c r="KS31" s="204"/>
      <c r="KT31" s="204"/>
      <c r="KU31" s="204"/>
      <c r="KV31" s="204"/>
      <c r="KW31" s="204"/>
      <c r="KX31" s="204"/>
      <c r="KY31" s="204"/>
      <c r="KZ31" s="204"/>
      <c r="LA31" s="204"/>
      <c r="LB31" s="204"/>
      <c r="LC31" s="204"/>
      <c r="LD31" s="204"/>
      <c r="LE31" s="204"/>
      <c r="LF31" s="204"/>
      <c r="LG31" s="204"/>
      <c r="LH31" s="204"/>
      <c r="LI31" s="204"/>
      <c r="LJ31" s="204"/>
      <c r="LK31" s="204"/>
      <c r="LL31" s="204"/>
      <c r="LM31" s="204"/>
      <c r="LN31" s="204"/>
      <c r="LO31" s="204"/>
      <c r="LP31" s="204"/>
      <c r="LQ31" s="204"/>
      <c r="LR31" s="204"/>
      <c r="LS31" s="204"/>
      <c r="LT31" s="204"/>
      <c r="LU31" s="204"/>
      <c r="LV31" s="204"/>
      <c r="LW31" s="204"/>
      <c r="LX31" s="204"/>
      <c r="LY31" s="204"/>
      <c r="LZ31" s="204"/>
      <c r="MA31" s="204"/>
      <c r="MB31" s="204"/>
      <c r="MC31" s="204"/>
      <c r="MD31" s="204"/>
      <c r="ME31" s="204"/>
      <c r="MF31" s="204"/>
      <c r="MG31" s="204"/>
      <c r="MH31" s="204"/>
      <c r="MI31" s="204"/>
      <c r="MJ31" s="204"/>
      <c r="MK31" s="204"/>
      <c r="ML31" s="204"/>
      <c r="MM31" s="204"/>
      <c r="MN31" s="204"/>
      <c r="MO31" s="204"/>
      <c r="MP31" s="204"/>
      <c r="MQ31" s="204"/>
      <c r="MR31" s="204"/>
      <c r="MS31" s="204"/>
      <c r="MT31" s="204"/>
      <c r="MU31" s="204"/>
      <c r="MV31" s="204"/>
      <c r="MW31" s="204"/>
      <c r="MX31" s="204"/>
      <c r="MY31" s="204"/>
      <c r="MZ31" s="204"/>
      <c r="NA31" s="204"/>
      <c r="NB31" s="204"/>
      <c r="NC31" s="204"/>
      <c r="ND31" s="204"/>
      <c r="NE31" s="204"/>
      <c r="NF31" s="204"/>
      <c r="NG31" s="204"/>
      <c r="NH31" s="204"/>
      <c r="NI31" s="204"/>
      <c r="NJ31" s="204"/>
      <c r="NK31" s="204"/>
      <c r="NL31" s="204"/>
      <c r="NM31" s="204"/>
      <c r="NN31" s="204"/>
      <c r="NO31" s="204"/>
      <c r="NP31" s="204"/>
      <c r="NQ31" s="204"/>
      <c r="NR31" s="204"/>
      <c r="NS31" s="204"/>
      <c r="NT31" s="204"/>
      <c r="NU31" s="204"/>
      <c r="NV31" s="204"/>
      <c r="NW31" s="204"/>
      <c r="NX31" s="204"/>
      <c r="NY31" s="204"/>
      <c r="NZ31" s="204"/>
      <c r="OA31" s="204"/>
      <c r="OB31" s="204"/>
      <c r="OC31" s="204"/>
      <c r="OD31" s="204"/>
      <c r="OE31" s="204"/>
      <c r="OF31" s="204"/>
      <c r="OG31" s="204"/>
      <c r="OH31" s="204"/>
      <c r="OI31" s="204"/>
      <c r="OJ31" s="204"/>
      <c r="OK31" s="204"/>
      <c r="OL31" s="204"/>
      <c r="OM31" s="204"/>
      <c r="ON31" s="204"/>
      <c r="OO31" s="204"/>
      <c r="OP31" s="204"/>
      <c r="OQ31" s="204"/>
      <c r="OR31" s="204"/>
      <c r="OS31" s="204"/>
      <c r="OT31" s="204"/>
      <c r="OU31" s="204"/>
      <c r="OV31" s="204"/>
      <c r="OW31" s="204"/>
      <c r="OX31" s="204"/>
      <c r="OY31" s="204"/>
      <c r="OZ31" s="204"/>
      <c r="PA31" s="204"/>
      <c r="PB31" s="204"/>
      <c r="PC31" s="204"/>
      <c r="PD31" s="204"/>
      <c r="PE31" s="204"/>
      <c r="PF31" s="204"/>
      <c r="PG31" s="204"/>
      <c r="PH31" s="204"/>
      <c r="PI31" s="204"/>
      <c r="PJ31" s="204"/>
      <c r="PK31" s="204"/>
      <c r="PL31" s="204"/>
      <c r="PM31" s="204"/>
      <c r="PN31" s="204"/>
      <c r="PO31" s="204"/>
      <c r="PP31" s="204"/>
      <c r="PQ31" s="204"/>
      <c r="PR31" s="204"/>
      <c r="PS31" s="204"/>
      <c r="PT31" s="204"/>
      <c r="PU31" s="204"/>
      <c r="PV31" s="204"/>
      <c r="PW31" s="204"/>
      <c r="PX31" s="204"/>
      <c r="PY31" s="204"/>
      <c r="PZ31" s="204"/>
      <c r="QA31" s="204"/>
      <c r="QB31" s="204"/>
      <c r="QC31" s="204"/>
      <c r="QD31" s="204"/>
      <c r="QE31" s="204"/>
      <c r="QF31" s="204"/>
      <c r="QG31" s="204"/>
      <c r="QH31" s="204"/>
      <c r="QI31" s="204"/>
      <c r="QJ31" s="204"/>
      <c r="QK31" s="204"/>
      <c r="QL31" s="204"/>
      <c r="QM31" s="204"/>
      <c r="QN31" s="204"/>
      <c r="QO31" s="204"/>
      <c r="QP31" s="204"/>
      <c r="QQ31" s="204"/>
      <c r="QR31" s="204"/>
      <c r="QS31" s="204"/>
      <c r="QT31" s="204"/>
      <c r="QU31" s="204"/>
      <c r="QV31" s="204"/>
      <c r="QW31" s="204"/>
      <c r="QX31" s="204"/>
      <c r="QY31" s="204"/>
      <c r="QZ31" s="204"/>
      <c r="RA31" s="204"/>
      <c r="RB31" s="204"/>
      <c r="RC31" s="204"/>
      <c r="RD31" s="204"/>
      <c r="RE31" s="204"/>
      <c r="RF31" s="204"/>
      <c r="RG31" s="204"/>
      <c r="RH31" s="204"/>
      <c r="RI31" s="204"/>
      <c r="RJ31" s="204"/>
      <c r="RK31" s="204"/>
      <c r="RL31" s="204"/>
      <c r="RM31" s="204"/>
      <c r="RN31" s="204"/>
      <c r="RO31" s="204"/>
      <c r="RP31" s="204"/>
      <c r="RQ31" s="204"/>
      <c r="RR31" s="204"/>
      <c r="RS31" s="204"/>
      <c r="RT31" s="204"/>
      <c r="RU31" s="204"/>
      <c r="RV31" s="204"/>
      <c r="RW31" s="204"/>
      <c r="RX31" s="204"/>
      <c r="RY31" s="204"/>
      <c r="RZ31" s="204"/>
      <c r="SA31" s="204"/>
      <c r="SB31" s="204"/>
      <c r="SC31" s="204"/>
      <c r="SD31" s="204"/>
      <c r="SE31" s="204"/>
      <c r="SF31" s="204"/>
      <c r="SG31" s="204"/>
      <c r="SH31" s="204"/>
      <c r="SI31" s="204"/>
      <c r="SJ31" s="204"/>
      <c r="SK31" s="204"/>
      <c r="SL31" s="204"/>
      <c r="SM31" s="204"/>
      <c r="SN31" s="204"/>
      <c r="SO31" s="204"/>
      <c r="SP31" s="204"/>
      <c r="SQ31" s="204"/>
      <c r="SR31" s="204"/>
      <c r="SS31" s="204"/>
      <c r="ST31" s="204"/>
      <c r="SU31" s="204"/>
      <c r="SV31" s="204"/>
      <c r="SW31" s="204"/>
      <c r="SX31" s="204"/>
      <c r="SY31" s="204"/>
      <c r="SZ31" s="204"/>
      <c r="TA31" s="204"/>
      <c r="TB31" s="204"/>
      <c r="TC31" s="204"/>
      <c r="TD31" s="204"/>
      <c r="TE31" s="204"/>
      <c r="TF31" s="204"/>
      <c r="TG31" s="204"/>
      <c r="TH31" s="204"/>
      <c r="TI31" s="204"/>
      <c r="TJ31" s="204"/>
      <c r="TK31" s="204"/>
      <c r="TL31" s="204"/>
      <c r="TM31" s="204"/>
      <c r="TN31" s="204"/>
      <c r="TO31" s="204"/>
      <c r="TP31" s="204"/>
      <c r="TQ31" s="204"/>
      <c r="TR31" s="204"/>
      <c r="TS31" s="204"/>
      <c r="TT31" s="204"/>
      <c r="TU31" s="204"/>
      <c r="TV31" s="204"/>
      <c r="TW31" s="204"/>
      <c r="TX31" s="204"/>
      <c r="TY31" s="204"/>
      <c r="TZ31" s="204"/>
      <c r="UA31" s="204"/>
      <c r="UB31" s="204"/>
      <c r="UC31" s="204"/>
      <c r="UD31" s="204"/>
      <c r="UE31" s="204"/>
      <c r="UF31" s="204"/>
      <c r="UG31" s="204"/>
      <c r="UH31" s="204"/>
      <c r="UI31" s="204"/>
      <c r="UJ31" s="204"/>
      <c r="UK31" s="204"/>
      <c r="UL31" s="204"/>
      <c r="UM31" s="204"/>
      <c r="UN31" s="204"/>
      <c r="UO31" s="204"/>
      <c r="UP31" s="204"/>
      <c r="UQ31" s="204"/>
      <c r="UR31" s="204"/>
      <c r="US31" s="204"/>
      <c r="UT31" s="204"/>
      <c r="UU31" s="204"/>
      <c r="UV31" s="204"/>
      <c r="UW31" s="204"/>
      <c r="UX31" s="204"/>
      <c r="UY31" s="204"/>
      <c r="UZ31" s="204"/>
      <c r="VA31" s="204"/>
      <c r="VB31" s="204"/>
      <c r="VC31" s="204"/>
      <c r="VD31" s="204"/>
      <c r="VE31" s="204"/>
      <c r="VF31" s="204"/>
      <c r="VG31" s="204"/>
      <c r="VH31" s="204"/>
      <c r="VI31" s="204"/>
      <c r="VJ31" s="204"/>
      <c r="VK31" s="204"/>
      <c r="VL31" s="204"/>
      <c r="VM31" s="204"/>
      <c r="VN31" s="204"/>
      <c r="VO31" s="204"/>
      <c r="VP31" s="204"/>
      <c r="VQ31" s="204"/>
      <c r="VR31" s="204"/>
      <c r="VS31" s="204"/>
      <c r="VT31" s="204"/>
      <c r="VU31" s="204"/>
      <c r="VV31" s="204"/>
      <c r="VW31" s="204"/>
      <c r="VX31" s="204"/>
      <c r="VY31" s="204"/>
      <c r="VZ31" s="204"/>
      <c r="WA31" s="204"/>
      <c r="WB31" s="204"/>
      <c r="WC31" s="204"/>
      <c r="WD31" s="204"/>
      <c r="WE31" s="204"/>
      <c r="WF31" s="204"/>
      <c r="WG31" s="204"/>
      <c r="WH31" s="204"/>
      <c r="WI31" s="204"/>
      <c r="WJ31" s="204"/>
      <c r="WK31" s="204"/>
      <c r="WL31" s="204"/>
      <c r="WM31" s="204"/>
      <c r="WN31" s="204"/>
      <c r="WO31" s="204"/>
      <c r="WP31" s="204"/>
      <c r="WQ31" s="204"/>
      <c r="WR31" s="204"/>
      <c r="WS31" s="204"/>
      <c r="WT31" s="204"/>
      <c r="WU31" s="204"/>
      <c r="WV31" s="204"/>
      <c r="WW31" s="204"/>
      <c r="WX31" s="204"/>
      <c r="WY31" s="204"/>
      <c r="WZ31" s="204"/>
      <c r="XA31" s="204"/>
      <c r="XB31" s="204"/>
      <c r="XC31" s="204"/>
      <c r="XD31" s="204"/>
      <c r="XE31" s="204"/>
      <c r="XF31" s="204"/>
      <c r="XG31" s="204"/>
      <c r="XH31" s="204"/>
      <c r="XI31" s="204"/>
      <c r="XJ31" s="204"/>
      <c r="XK31" s="204"/>
      <c r="XL31" s="204"/>
      <c r="XM31" s="204"/>
      <c r="XN31" s="204"/>
      <c r="XO31" s="204"/>
      <c r="XP31" s="204"/>
      <c r="XQ31" s="204"/>
      <c r="XR31" s="204"/>
      <c r="XS31" s="204"/>
      <c r="XT31" s="204"/>
      <c r="XU31" s="204"/>
      <c r="XV31" s="204"/>
      <c r="XW31" s="204"/>
      <c r="XX31" s="204"/>
      <c r="XY31" s="204"/>
      <c r="XZ31" s="204"/>
      <c r="YA31" s="204"/>
      <c r="YB31" s="204"/>
      <c r="YC31" s="204"/>
      <c r="YD31" s="204"/>
      <c r="YE31" s="204"/>
      <c r="YF31" s="204"/>
      <c r="YG31" s="204"/>
      <c r="YH31" s="204"/>
      <c r="YI31" s="204"/>
      <c r="YJ31" s="204"/>
      <c r="YK31" s="204"/>
      <c r="YL31" s="204"/>
      <c r="YM31" s="204"/>
      <c r="YN31" s="204"/>
      <c r="YO31" s="204"/>
      <c r="YP31" s="204"/>
      <c r="YQ31" s="204"/>
      <c r="YR31" s="204"/>
      <c r="YS31" s="204"/>
      <c r="YT31" s="204"/>
      <c r="YU31" s="204"/>
      <c r="YV31" s="204"/>
      <c r="YW31" s="204"/>
      <c r="YX31" s="204"/>
      <c r="YY31" s="204"/>
      <c r="YZ31" s="204"/>
      <c r="ZA31" s="204"/>
      <c r="ZB31" s="204"/>
      <c r="ZC31" s="204"/>
      <c r="ZD31" s="204"/>
      <c r="ZE31" s="204"/>
      <c r="ZF31" s="204"/>
      <c r="ZG31" s="204"/>
      <c r="ZH31" s="204"/>
      <c r="ZI31" s="204"/>
      <c r="ZJ31" s="204"/>
      <c r="ZK31" s="204"/>
      <c r="ZL31" s="204"/>
      <c r="ZM31" s="204"/>
      <c r="ZN31" s="204"/>
      <c r="ZO31" s="204"/>
      <c r="ZP31" s="204"/>
      <c r="ZQ31" s="204"/>
      <c r="ZR31" s="204"/>
      <c r="ZS31" s="204"/>
      <c r="ZT31" s="204"/>
      <c r="ZU31" s="204"/>
      <c r="ZV31" s="204"/>
      <c r="ZW31" s="204"/>
      <c r="ZX31" s="204"/>
      <c r="ZY31" s="204"/>
      <c r="ZZ31" s="204"/>
      <c r="AAA31" s="204"/>
      <c r="AAB31" s="204"/>
      <c r="AAC31" s="204"/>
      <c r="AAD31" s="204"/>
      <c r="AAE31" s="204"/>
      <c r="AAF31" s="204"/>
      <c r="AAG31" s="204"/>
      <c r="AAH31" s="204"/>
      <c r="AAI31" s="204"/>
      <c r="AAJ31" s="204"/>
      <c r="AAK31" s="204"/>
      <c r="AAL31" s="204"/>
      <c r="AAM31" s="204"/>
      <c r="AAN31" s="204"/>
      <c r="AAO31" s="204"/>
      <c r="AAP31" s="204"/>
      <c r="AAQ31" s="204"/>
      <c r="AAR31" s="204"/>
      <c r="AAS31" s="204"/>
      <c r="AAT31" s="204"/>
      <c r="AAU31" s="204"/>
      <c r="AAV31" s="204"/>
      <c r="AAW31" s="204"/>
      <c r="AAX31" s="204"/>
      <c r="AAY31" s="204"/>
      <c r="AAZ31" s="204"/>
      <c r="ABA31" s="204"/>
      <c r="ABB31" s="204"/>
      <c r="ABC31" s="204"/>
      <c r="ABD31" s="204"/>
      <c r="ABE31" s="204"/>
      <c r="ABF31" s="204"/>
      <c r="ABG31" s="204"/>
      <c r="ABH31" s="204"/>
      <c r="ABI31" s="204"/>
      <c r="ABJ31" s="204"/>
      <c r="ABK31" s="204"/>
      <c r="ABL31" s="204"/>
      <c r="ABM31" s="204"/>
      <c r="ABN31" s="204"/>
      <c r="ABO31" s="204"/>
      <c r="ABP31" s="204"/>
      <c r="ABQ31" s="204"/>
      <c r="ABR31" s="204"/>
      <c r="ABS31" s="204"/>
      <c r="ABT31" s="204"/>
      <c r="ABU31" s="204"/>
      <c r="ABV31" s="204"/>
      <c r="ABW31" s="204"/>
      <c r="ABX31" s="204"/>
      <c r="ABY31" s="204"/>
      <c r="ABZ31" s="204"/>
      <c r="ACA31" s="204"/>
      <c r="ACB31" s="204"/>
      <c r="ACC31" s="204"/>
      <c r="ACD31" s="204"/>
      <c r="ACE31" s="204"/>
      <c r="ACF31" s="204"/>
      <c r="ACG31" s="204"/>
      <c r="ACH31" s="204"/>
      <c r="ACI31" s="204"/>
      <c r="ACJ31" s="204"/>
      <c r="ACK31" s="204"/>
      <c r="ACL31" s="204"/>
      <c r="ACM31" s="204"/>
      <c r="ACN31" s="204"/>
      <c r="ACO31" s="204"/>
      <c r="ACP31" s="204"/>
      <c r="ACQ31" s="204"/>
      <c r="ACR31" s="204"/>
      <c r="ACS31" s="204"/>
      <c r="ACT31" s="204"/>
      <c r="ACU31" s="204"/>
      <c r="ACV31" s="204"/>
      <c r="ACW31" s="204"/>
      <c r="ACX31" s="204"/>
      <c r="ACY31" s="204"/>
      <c r="ACZ31" s="204"/>
      <c r="ADA31" s="204"/>
      <c r="ADB31" s="204"/>
      <c r="ADC31" s="204"/>
      <c r="ADD31" s="204"/>
      <c r="ADE31" s="204"/>
      <c r="ADF31" s="204"/>
      <c r="ADG31" s="204"/>
      <c r="ADH31" s="204"/>
      <c r="ADI31" s="204"/>
      <c r="ADJ31" s="204"/>
      <c r="ADK31" s="204"/>
      <c r="ADL31" s="204"/>
      <c r="ADM31" s="204"/>
      <c r="ADN31" s="204"/>
      <c r="ADO31" s="204"/>
      <c r="ADP31" s="204"/>
      <c r="ADQ31" s="204"/>
      <c r="ADR31" s="204"/>
      <c r="ADS31" s="204"/>
      <c r="ADT31" s="204"/>
      <c r="ADU31" s="204"/>
      <c r="ADV31" s="204"/>
      <c r="ADW31" s="204"/>
      <c r="ADX31" s="204"/>
      <c r="ADY31" s="204"/>
      <c r="ADZ31" s="204"/>
      <c r="AEA31" s="204"/>
      <c r="AEB31" s="204"/>
      <c r="AEC31" s="204"/>
      <c r="AED31" s="204"/>
      <c r="AEE31" s="204"/>
      <c r="AEF31" s="204"/>
      <c r="AEG31" s="204"/>
      <c r="AEH31" s="204"/>
      <c r="AEI31" s="204"/>
      <c r="AEJ31" s="204"/>
      <c r="AEK31" s="204"/>
      <c r="AEL31" s="204"/>
      <c r="AEM31" s="204"/>
      <c r="AEN31" s="204"/>
      <c r="AEO31" s="204"/>
      <c r="AEP31" s="204"/>
      <c r="AEQ31" s="204"/>
      <c r="AER31" s="204"/>
      <c r="AES31" s="204"/>
      <c r="AET31" s="204"/>
      <c r="AEU31" s="204"/>
      <c r="AEV31" s="204"/>
      <c r="AEW31" s="204"/>
      <c r="AEX31" s="204"/>
      <c r="AEY31" s="204"/>
      <c r="AEZ31" s="204"/>
      <c r="AFA31" s="204"/>
      <c r="AFB31" s="204"/>
      <c r="AFC31" s="204"/>
      <c r="AFD31" s="204"/>
      <c r="AFE31" s="204"/>
      <c r="AFF31" s="204"/>
      <c r="AFG31" s="204"/>
      <c r="AFH31" s="204"/>
      <c r="AFI31" s="204"/>
      <c r="AFJ31" s="204"/>
      <c r="AFK31" s="204"/>
      <c r="AFL31" s="204"/>
      <c r="AFM31" s="204"/>
      <c r="AFN31" s="204"/>
      <c r="AFO31" s="204"/>
      <c r="AFP31" s="204"/>
      <c r="AFQ31" s="204"/>
      <c r="AFR31" s="204"/>
      <c r="AFS31" s="204"/>
      <c r="AFT31" s="204"/>
      <c r="AFU31" s="204"/>
      <c r="AFV31" s="204"/>
      <c r="AFW31" s="204"/>
      <c r="AFX31" s="204"/>
      <c r="AFY31" s="204"/>
      <c r="AFZ31" s="204"/>
      <c r="AGA31" s="204"/>
      <c r="AGB31" s="204"/>
      <c r="AGC31" s="204"/>
      <c r="AGD31" s="204"/>
      <c r="AGE31" s="204"/>
      <c r="AGF31" s="204"/>
      <c r="AGG31" s="204"/>
      <c r="AGH31" s="204"/>
      <c r="AGI31" s="204"/>
      <c r="AGJ31" s="204"/>
      <c r="AGK31" s="204"/>
      <c r="AGL31" s="204"/>
      <c r="AGM31" s="204"/>
      <c r="AGN31" s="204"/>
      <c r="AGO31" s="204"/>
      <c r="AGP31" s="204"/>
      <c r="AGQ31" s="204"/>
      <c r="AGR31" s="204"/>
      <c r="AGS31" s="204"/>
      <c r="AGT31" s="204"/>
      <c r="AGU31" s="204"/>
      <c r="AGV31" s="204"/>
      <c r="AGW31" s="204"/>
      <c r="AGX31" s="204"/>
      <c r="AGY31" s="204"/>
      <c r="AGZ31" s="204"/>
      <c r="AHA31" s="204"/>
      <c r="AHB31" s="204"/>
      <c r="AHC31" s="204"/>
      <c r="AHD31" s="204"/>
      <c r="AHE31" s="204"/>
      <c r="AHF31" s="204"/>
      <c r="AHG31" s="204"/>
      <c r="AHH31" s="204"/>
      <c r="AHI31" s="204"/>
      <c r="AHJ31" s="204"/>
      <c r="AHK31" s="204"/>
      <c r="AHL31" s="204"/>
      <c r="AHM31" s="204"/>
      <c r="AHN31" s="204"/>
      <c r="AHO31" s="204"/>
      <c r="AHP31" s="204"/>
      <c r="AHQ31" s="204"/>
      <c r="AHR31" s="204"/>
      <c r="AHS31" s="204"/>
      <c r="AHT31" s="204"/>
      <c r="AHU31" s="204"/>
      <c r="AHV31" s="204"/>
      <c r="AHW31" s="204"/>
      <c r="AHX31" s="204"/>
      <c r="AHY31" s="204"/>
      <c r="AHZ31" s="204"/>
      <c r="AIA31" s="204"/>
      <c r="AIB31" s="204"/>
      <c r="AIC31" s="204"/>
      <c r="AID31" s="204"/>
      <c r="AIE31" s="204"/>
      <c r="AIF31" s="204"/>
      <c r="AIG31" s="204"/>
      <c r="AIH31" s="204"/>
      <c r="AII31" s="204"/>
      <c r="AIJ31" s="204"/>
      <c r="AIK31" s="204"/>
      <c r="AIL31" s="204"/>
      <c r="AIM31" s="204"/>
      <c r="AIN31" s="204"/>
      <c r="AIO31" s="204"/>
      <c r="AIP31" s="204"/>
      <c r="AIQ31" s="204"/>
      <c r="AIR31" s="204"/>
      <c r="AIS31" s="204"/>
      <c r="AIT31" s="204"/>
      <c r="AIU31" s="204"/>
      <c r="AIV31" s="204"/>
      <c r="AIW31" s="204"/>
      <c r="AIX31" s="204"/>
      <c r="AIY31" s="204"/>
      <c r="AIZ31" s="204"/>
      <c r="AJA31" s="204"/>
      <c r="AJB31" s="204"/>
      <c r="AJC31" s="204"/>
      <c r="AJD31" s="204"/>
      <c r="AJE31" s="204"/>
      <c r="AJF31" s="204"/>
      <c r="AJG31" s="204"/>
      <c r="AJH31" s="204"/>
      <c r="AJI31" s="204"/>
      <c r="AJJ31" s="204"/>
      <c r="AJK31" s="204"/>
      <c r="AJL31" s="204"/>
      <c r="AJM31" s="204"/>
      <c r="AJN31" s="204"/>
      <c r="AJO31" s="204"/>
      <c r="AJP31" s="204"/>
      <c r="AJQ31" s="204"/>
      <c r="AJR31" s="204"/>
      <c r="AJS31" s="204"/>
      <c r="AJT31" s="204"/>
      <c r="AJU31" s="204"/>
      <c r="AJV31" s="204"/>
      <c r="AJW31" s="204"/>
      <c r="AJX31" s="204"/>
      <c r="AJY31" s="204"/>
      <c r="AJZ31" s="204"/>
      <c r="AKA31" s="204"/>
      <c r="AKB31" s="204"/>
      <c r="AKC31" s="204"/>
      <c r="AKD31" s="204"/>
      <c r="AKE31" s="204"/>
      <c r="AKF31" s="204"/>
      <c r="AKG31" s="204"/>
      <c r="AKH31" s="204"/>
      <c r="AKI31" s="204"/>
      <c r="AKJ31" s="204"/>
      <c r="AKK31" s="204"/>
      <c r="AKL31" s="204"/>
      <c r="AKM31" s="204"/>
      <c r="AKN31" s="204"/>
      <c r="AKO31" s="204"/>
      <c r="AKP31" s="204"/>
      <c r="AKQ31" s="204"/>
      <c r="AKR31" s="204"/>
      <c r="AKS31" s="204"/>
      <c r="AKT31" s="204"/>
      <c r="AKU31" s="204"/>
      <c r="AKV31" s="204"/>
      <c r="AKW31" s="204"/>
      <c r="AKX31" s="204"/>
      <c r="AKY31" s="204"/>
      <c r="AKZ31" s="204"/>
      <c r="ALA31" s="204"/>
      <c r="ALB31" s="204"/>
      <c r="ALC31" s="204"/>
      <c r="ALD31" s="204"/>
      <c r="ALE31" s="204"/>
      <c r="ALF31" s="204"/>
      <c r="ALG31" s="204"/>
      <c r="ALH31" s="204"/>
      <c r="ALI31" s="204"/>
      <c r="ALJ31" s="204"/>
      <c r="ALK31" s="204"/>
      <c r="ALL31" s="204"/>
      <c r="ALM31" s="204"/>
      <c r="ALN31" s="204"/>
      <c r="ALO31" s="204"/>
      <c r="ALP31" s="204"/>
      <c r="ALQ31" s="204"/>
      <c r="ALR31" s="204"/>
      <c r="ALS31" s="204"/>
      <c r="ALT31" s="204"/>
      <c r="ALU31" s="204"/>
      <c r="ALV31" s="204"/>
      <c r="ALW31" s="204"/>
      <c r="ALX31" s="204"/>
      <c r="ALY31" s="204"/>
      <c r="ALZ31" s="204"/>
      <c r="AMA31" s="204"/>
      <c r="AMB31" s="204"/>
      <c r="AMC31" s="204"/>
      <c r="AMD31" s="204"/>
      <c r="AME31" s="204"/>
      <c r="AMF31" s="204"/>
      <c r="AMG31" s="204"/>
      <c r="AMH31" s="204"/>
      <c r="AMI31" s="204"/>
      <c r="AMJ31" s="204"/>
      <c r="AMK31" s="204"/>
      <c r="AML31" s="204"/>
      <c r="AMM31" s="204"/>
      <c r="AMN31" s="204"/>
      <c r="AMO31" s="204"/>
      <c r="AMP31" s="204"/>
      <c r="AMQ31" s="204"/>
      <c r="AMR31" s="204"/>
      <c r="AMS31" s="204"/>
      <c r="AMT31" s="204"/>
      <c r="AMU31" s="204"/>
      <c r="AMV31" s="204"/>
      <c r="AMW31" s="204"/>
      <c r="AMX31" s="204"/>
      <c r="AMY31" s="204"/>
      <c r="AMZ31" s="204"/>
      <c r="ANA31" s="204"/>
      <c r="ANB31" s="204"/>
      <c r="ANC31" s="204"/>
      <c r="AND31" s="204"/>
      <c r="ANE31" s="204"/>
      <c r="ANF31" s="204"/>
      <c r="ANG31" s="204"/>
      <c r="ANH31" s="204"/>
      <c r="ANI31" s="204"/>
      <c r="ANJ31" s="204"/>
      <c r="ANK31" s="204"/>
      <c r="ANL31" s="204"/>
      <c r="ANM31" s="204"/>
      <c r="ANN31" s="204"/>
      <c r="ANO31" s="204"/>
      <c r="ANP31" s="204"/>
      <c r="ANQ31" s="204"/>
      <c r="ANR31" s="204"/>
      <c r="ANS31" s="204"/>
      <c r="ANT31" s="204"/>
      <c r="ANU31" s="204"/>
      <c r="ANV31" s="204"/>
      <c r="ANW31" s="204"/>
      <c r="ANX31" s="204"/>
      <c r="ANY31" s="204"/>
      <c r="ANZ31" s="204"/>
      <c r="AOA31" s="204"/>
      <c r="AOB31" s="204"/>
      <c r="AOC31" s="204"/>
      <c r="AOD31" s="204"/>
      <c r="AOE31" s="204"/>
      <c r="AOF31" s="204"/>
      <c r="AOG31" s="204"/>
      <c r="AOH31" s="204"/>
      <c r="AOI31" s="204"/>
      <c r="AOJ31" s="204"/>
      <c r="AOK31" s="204"/>
      <c r="AOL31" s="204"/>
      <c r="AOM31" s="204"/>
      <c r="AON31" s="204"/>
      <c r="AOO31" s="204"/>
      <c r="AOP31" s="204"/>
      <c r="AOQ31" s="204"/>
      <c r="AOR31" s="204"/>
      <c r="AOS31" s="204"/>
      <c r="AOT31" s="204"/>
      <c r="AOU31" s="204"/>
      <c r="AOV31" s="204"/>
      <c r="AOW31" s="204"/>
      <c r="AOX31" s="204"/>
      <c r="AOY31" s="204"/>
      <c r="AOZ31" s="204"/>
      <c r="APA31" s="204"/>
      <c r="APB31" s="204"/>
      <c r="APC31" s="204"/>
      <c r="APD31" s="204"/>
      <c r="APE31" s="204"/>
      <c r="APF31" s="204"/>
      <c r="APG31" s="204"/>
      <c r="APH31" s="204"/>
      <c r="API31" s="204"/>
      <c r="APJ31" s="204"/>
      <c r="APK31" s="204"/>
      <c r="APL31" s="204"/>
      <c r="APM31" s="204"/>
      <c r="APN31" s="204"/>
      <c r="APO31" s="204"/>
      <c r="APP31" s="204"/>
      <c r="APQ31" s="204"/>
      <c r="APR31" s="204"/>
      <c r="APS31" s="204"/>
      <c r="APT31" s="204"/>
      <c r="APU31" s="204"/>
      <c r="APV31" s="204"/>
      <c r="APW31" s="204"/>
      <c r="APX31" s="204"/>
      <c r="APY31" s="204"/>
      <c r="APZ31" s="204"/>
      <c r="AQA31" s="204"/>
      <c r="AQB31" s="204"/>
      <c r="AQC31" s="204"/>
      <c r="AQD31" s="204"/>
      <c r="AQE31" s="204"/>
      <c r="AQF31" s="204"/>
      <c r="AQG31" s="204"/>
      <c r="AQH31" s="204"/>
      <c r="AQI31" s="204"/>
      <c r="AQJ31" s="204"/>
      <c r="AQK31" s="204"/>
      <c r="AQL31" s="204"/>
      <c r="AQM31" s="204"/>
      <c r="AQN31" s="204"/>
      <c r="AQO31" s="204"/>
      <c r="AQP31" s="204"/>
      <c r="AQQ31" s="204"/>
      <c r="AQR31" s="204"/>
      <c r="AQS31" s="204"/>
      <c r="AQT31" s="204"/>
      <c r="AQU31" s="204"/>
      <c r="AQV31" s="204"/>
      <c r="AQW31" s="204"/>
      <c r="AQX31" s="204"/>
      <c r="AQY31" s="204"/>
      <c r="AQZ31" s="204"/>
      <c r="ARA31" s="204"/>
      <c r="ARB31" s="204"/>
      <c r="ARC31" s="204"/>
      <c r="ARD31" s="204"/>
      <c r="ARE31" s="204"/>
      <c r="ARF31" s="204"/>
      <c r="ARG31" s="204"/>
      <c r="ARH31" s="204"/>
      <c r="ARI31" s="204"/>
      <c r="ARJ31" s="204"/>
      <c r="ARK31" s="204"/>
      <c r="ARL31" s="204"/>
      <c r="ARM31" s="204"/>
      <c r="ARN31" s="204"/>
      <c r="ARO31" s="204"/>
      <c r="ARP31" s="204"/>
      <c r="ARQ31" s="204"/>
      <c r="ARR31" s="204"/>
      <c r="ARS31" s="204"/>
      <c r="ART31" s="204"/>
      <c r="ARU31" s="204"/>
      <c r="ARV31" s="204"/>
      <c r="ARW31" s="204"/>
      <c r="ARX31" s="204"/>
      <c r="ARY31" s="204"/>
      <c r="ARZ31" s="204"/>
      <c r="ASA31" s="204"/>
      <c r="ASB31" s="204"/>
      <c r="ASC31" s="204"/>
      <c r="ASD31" s="204"/>
      <c r="ASE31" s="204"/>
      <c r="ASF31" s="204"/>
      <c r="ASG31" s="204"/>
      <c r="ASH31" s="204"/>
      <c r="ASI31" s="204"/>
      <c r="ASJ31" s="204"/>
      <c r="ASK31" s="204"/>
      <c r="ASL31" s="204"/>
      <c r="ASM31" s="204"/>
      <c r="ASN31" s="204"/>
      <c r="ASO31" s="204"/>
      <c r="ASP31" s="204"/>
      <c r="ASQ31" s="204"/>
      <c r="ASR31" s="204"/>
      <c r="ASS31" s="204"/>
      <c r="AST31" s="204"/>
      <c r="ASU31" s="204"/>
      <c r="ASV31" s="204"/>
      <c r="ASW31" s="204"/>
      <c r="ASX31" s="204"/>
      <c r="ASY31" s="204"/>
      <c r="ASZ31" s="204"/>
      <c r="ATA31" s="204"/>
      <c r="ATB31" s="204"/>
      <c r="ATC31" s="204"/>
      <c r="ATD31" s="204"/>
      <c r="ATE31" s="204"/>
      <c r="ATF31" s="204"/>
      <c r="ATG31" s="204"/>
      <c r="ATH31" s="204"/>
      <c r="ATI31" s="204"/>
      <c r="ATJ31" s="204"/>
      <c r="ATK31" s="204"/>
      <c r="ATL31" s="204"/>
      <c r="ATM31" s="204"/>
      <c r="ATN31" s="204"/>
      <c r="ATO31" s="204"/>
      <c r="ATP31" s="204"/>
      <c r="ATQ31" s="204"/>
      <c r="ATR31" s="204"/>
      <c r="ATS31" s="204"/>
      <c r="ATT31" s="204"/>
      <c r="ATU31" s="204"/>
      <c r="ATV31" s="204"/>
      <c r="ATW31" s="204"/>
      <c r="ATX31" s="204"/>
      <c r="ATY31" s="204"/>
      <c r="ATZ31" s="204"/>
      <c r="AUA31" s="204"/>
      <c r="AUB31" s="204"/>
      <c r="AUC31" s="204"/>
      <c r="AUD31" s="204"/>
      <c r="AUE31" s="204"/>
      <c r="AUF31" s="204"/>
      <c r="AUG31" s="204"/>
      <c r="AUH31" s="204"/>
      <c r="AUI31" s="204"/>
      <c r="AUJ31" s="204"/>
      <c r="AUK31" s="204"/>
      <c r="AUL31" s="204"/>
      <c r="AUM31" s="204"/>
      <c r="AUN31" s="204"/>
      <c r="AUO31" s="204"/>
      <c r="AUP31" s="204"/>
      <c r="AUQ31" s="204"/>
      <c r="AUR31" s="204"/>
      <c r="AUS31" s="204"/>
      <c r="AUT31" s="204"/>
      <c r="AUU31" s="204"/>
      <c r="AUV31" s="204"/>
      <c r="AUW31" s="204"/>
      <c r="AUX31" s="204"/>
      <c r="AUY31" s="204"/>
      <c r="AUZ31" s="204"/>
      <c r="AVA31" s="204"/>
      <c r="AVB31" s="204"/>
      <c r="AVC31" s="204"/>
      <c r="AVD31" s="204"/>
      <c r="AVE31" s="204"/>
      <c r="AVF31" s="204"/>
      <c r="AVG31" s="204"/>
      <c r="AVH31" s="204"/>
      <c r="AVI31" s="204"/>
      <c r="AVJ31" s="204"/>
      <c r="AVK31" s="204"/>
      <c r="AVL31" s="204"/>
      <c r="AVM31" s="204"/>
      <c r="AVN31" s="204"/>
      <c r="AVO31" s="204"/>
      <c r="AVP31" s="204"/>
      <c r="AVQ31" s="204"/>
      <c r="AVR31" s="204"/>
      <c r="AVS31" s="204"/>
      <c r="AVT31" s="204"/>
      <c r="AVU31" s="204"/>
      <c r="AVV31" s="204"/>
      <c r="AVW31" s="204"/>
      <c r="AVX31" s="204"/>
      <c r="AVY31" s="204"/>
      <c r="AVZ31" s="204"/>
      <c r="AWA31" s="204"/>
      <c r="AWB31" s="204"/>
      <c r="AWC31" s="204"/>
      <c r="AWD31" s="204"/>
      <c r="AWE31" s="204"/>
      <c r="AWF31" s="204"/>
      <c r="AWG31" s="204"/>
      <c r="AWH31" s="204"/>
      <c r="AWI31" s="204"/>
      <c r="AWJ31" s="204"/>
      <c r="AWK31" s="204"/>
      <c r="AWL31" s="204"/>
      <c r="AWM31" s="204"/>
      <c r="AWN31" s="204"/>
      <c r="AWO31" s="204"/>
      <c r="AWP31" s="204"/>
      <c r="AWQ31" s="204"/>
      <c r="AWR31" s="204"/>
      <c r="AWS31" s="204"/>
      <c r="AWT31" s="204"/>
      <c r="AWU31" s="204"/>
      <c r="AWV31" s="204"/>
      <c r="AWW31" s="204"/>
      <c r="AWX31" s="204"/>
      <c r="AWY31" s="204"/>
      <c r="AWZ31" s="204"/>
      <c r="AXA31" s="204"/>
      <c r="AXB31" s="204"/>
      <c r="AXC31" s="204"/>
      <c r="AXD31" s="204"/>
      <c r="AXE31" s="204"/>
      <c r="AXF31" s="204"/>
      <c r="AXG31" s="204"/>
      <c r="AXH31" s="204"/>
      <c r="AXI31" s="204"/>
      <c r="AXJ31" s="204"/>
      <c r="AXK31" s="204"/>
      <c r="AXL31" s="204"/>
      <c r="AXM31" s="204"/>
      <c r="AXN31" s="204"/>
      <c r="AXO31" s="204"/>
      <c r="AXP31" s="204"/>
      <c r="AXQ31" s="204"/>
      <c r="AXR31" s="204"/>
      <c r="AXS31" s="204"/>
      <c r="AXT31" s="204"/>
      <c r="AXU31" s="204"/>
      <c r="AXV31" s="204"/>
      <c r="AXW31" s="204"/>
      <c r="AXX31" s="204"/>
      <c r="AXY31" s="204"/>
      <c r="AXZ31" s="204"/>
      <c r="AYA31" s="204"/>
      <c r="AYB31" s="204"/>
      <c r="AYC31" s="204"/>
      <c r="AYD31" s="204"/>
      <c r="AYE31" s="204"/>
      <c r="AYF31" s="204"/>
      <c r="AYG31" s="204"/>
      <c r="AYH31" s="204"/>
      <c r="AYI31" s="204"/>
      <c r="AYJ31" s="204"/>
      <c r="AYK31" s="204"/>
      <c r="AYL31" s="204"/>
      <c r="AYM31" s="204"/>
      <c r="AYN31" s="204"/>
      <c r="AYO31" s="204"/>
      <c r="AYP31" s="204"/>
      <c r="AYQ31" s="204"/>
      <c r="AYR31" s="204"/>
      <c r="AYS31" s="204"/>
      <c r="AYT31" s="204"/>
      <c r="AYU31" s="204"/>
      <c r="AYV31" s="204"/>
      <c r="AYW31" s="204"/>
      <c r="AYX31" s="204"/>
      <c r="AYY31" s="204"/>
      <c r="AYZ31" s="204"/>
      <c r="AZA31" s="204"/>
      <c r="AZB31" s="204"/>
      <c r="AZC31" s="204"/>
      <c r="AZD31" s="204"/>
      <c r="AZE31" s="204"/>
      <c r="AZF31" s="204"/>
      <c r="AZG31" s="204"/>
      <c r="AZH31" s="204"/>
      <c r="AZI31" s="204"/>
      <c r="AZJ31" s="204"/>
      <c r="AZK31" s="204"/>
      <c r="AZL31" s="204"/>
      <c r="AZM31" s="204"/>
      <c r="AZN31" s="204"/>
      <c r="AZO31" s="204"/>
      <c r="AZP31" s="204"/>
      <c r="AZQ31" s="204"/>
      <c r="AZR31" s="204"/>
      <c r="AZS31" s="204"/>
      <c r="AZT31" s="204"/>
      <c r="AZU31" s="204"/>
      <c r="AZV31" s="204"/>
      <c r="AZW31" s="204"/>
      <c r="AZX31" s="204"/>
      <c r="AZY31" s="204"/>
      <c r="AZZ31" s="204"/>
      <c r="BAA31" s="204"/>
      <c r="BAB31" s="204"/>
      <c r="BAC31" s="204"/>
      <c r="BAD31" s="204"/>
      <c r="BAE31" s="204"/>
      <c r="BAF31" s="204"/>
      <c r="BAG31" s="204"/>
      <c r="BAH31" s="204"/>
      <c r="BAI31" s="204"/>
      <c r="BAJ31" s="204"/>
      <c r="BAK31" s="204"/>
      <c r="BAL31" s="204"/>
      <c r="BAM31" s="204"/>
      <c r="BAN31" s="204"/>
      <c r="BAO31" s="204"/>
      <c r="BAP31" s="204"/>
      <c r="BAQ31" s="204"/>
      <c r="BAR31" s="204"/>
      <c r="BAS31" s="204"/>
      <c r="BAT31" s="204"/>
      <c r="BAU31" s="204"/>
      <c r="BAV31" s="204"/>
      <c r="BAW31" s="204"/>
      <c r="BAX31" s="204"/>
      <c r="BAY31" s="204"/>
      <c r="BAZ31" s="204"/>
      <c r="BBA31" s="204"/>
      <c r="BBB31" s="204"/>
      <c r="BBC31" s="204"/>
      <c r="BBD31" s="204"/>
      <c r="BBE31" s="204"/>
      <c r="BBF31" s="204"/>
      <c r="BBG31" s="204"/>
      <c r="BBH31" s="204"/>
      <c r="BBI31" s="204"/>
      <c r="BBJ31" s="204"/>
      <c r="BBK31" s="204"/>
      <c r="BBL31" s="204"/>
      <c r="BBM31" s="204"/>
      <c r="BBN31" s="204"/>
      <c r="BBO31" s="204"/>
      <c r="BBP31" s="204"/>
      <c r="BBQ31" s="204"/>
      <c r="BBR31" s="204"/>
      <c r="BBS31" s="204"/>
      <c r="BBT31" s="204"/>
      <c r="BBU31" s="204"/>
      <c r="BBV31" s="204"/>
      <c r="BBW31" s="204"/>
      <c r="BBX31" s="204"/>
      <c r="BBY31" s="204"/>
      <c r="BBZ31" s="204"/>
      <c r="BCA31" s="204"/>
      <c r="BCB31" s="204"/>
      <c r="BCC31" s="204"/>
      <c r="BCD31" s="204"/>
      <c r="BCE31" s="204"/>
      <c r="BCF31" s="204"/>
      <c r="BCG31" s="204"/>
      <c r="BCH31" s="204"/>
      <c r="BCI31" s="204"/>
      <c r="BCJ31" s="204"/>
      <c r="BCK31" s="204"/>
      <c r="BCL31" s="204"/>
      <c r="BCM31" s="204"/>
      <c r="BCN31" s="204"/>
      <c r="BCO31" s="204"/>
      <c r="BCP31" s="204"/>
      <c r="BCQ31" s="204"/>
      <c r="BCR31" s="204"/>
      <c r="BCS31" s="204"/>
      <c r="BCT31" s="204"/>
      <c r="BCU31" s="204"/>
      <c r="BCV31" s="204"/>
      <c r="BCW31" s="204"/>
      <c r="BCX31" s="204"/>
      <c r="BCY31" s="204"/>
      <c r="BCZ31" s="204"/>
      <c r="BDA31" s="204"/>
      <c r="BDB31" s="204"/>
      <c r="BDC31" s="204"/>
      <c r="BDD31" s="204"/>
      <c r="BDE31" s="204"/>
      <c r="BDF31" s="204"/>
      <c r="BDG31" s="204"/>
      <c r="BDH31" s="204"/>
      <c r="BDI31" s="204"/>
      <c r="BDJ31" s="204"/>
      <c r="BDK31" s="204"/>
      <c r="BDL31" s="204"/>
      <c r="BDM31" s="204"/>
      <c r="BDN31" s="204"/>
      <c r="BDO31" s="204"/>
      <c r="BDP31" s="204"/>
      <c r="BDQ31" s="204"/>
      <c r="BDR31" s="204"/>
      <c r="BDS31" s="204"/>
      <c r="BDT31" s="204"/>
      <c r="BDU31" s="204"/>
      <c r="BDV31" s="204"/>
      <c r="BDW31" s="204"/>
      <c r="BDX31" s="204"/>
      <c r="BDY31" s="204"/>
      <c r="BDZ31" s="204"/>
      <c r="BEA31" s="204"/>
      <c r="BEB31" s="204"/>
      <c r="BEC31" s="204"/>
      <c r="BED31" s="204"/>
      <c r="BEE31" s="204"/>
      <c r="BEF31" s="204"/>
      <c r="BEG31" s="204"/>
      <c r="BEH31" s="204"/>
      <c r="BEI31" s="204"/>
      <c r="BEJ31" s="204"/>
      <c r="BEK31" s="204"/>
      <c r="BEL31" s="204"/>
      <c r="BEM31" s="204"/>
      <c r="BEN31" s="204"/>
      <c r="BEO31" s="204"/>
      <c r="BEP31" s="204"/>
      <c r="BEQ31" s="204"/>
      <c r="BER31" s="204"/>
      <c r="BES31" s="204"/>
      <c r="BET31" s="204"/>
      <c r="BEU31" s="204"/>
      <c r="BEV31" s="204"/>
      <c r="BEW31" s="204"/>
      <c r="BEX31" s="204"/>
      <c r="BEY31" s="204"/>
      <c r="BEZ31" s="204"/>
      <c r="BFA31" s="204"/>
      <c r="BFB31" s="204"/>
      <c r="BFC31" s="204"/>
      <c r="BFD31" s="204"/>
      <c r="BFE31" s="204"/>
      <c r="BFF31" s="204"/>
      <c r="BFG31" s="204"/>
      <c r="BFH31" s="204"/>
      <c r="BFI31" s="204"/>
      <c r="BFJ31" s="204"/>
      <c r="BFK31" s="204"/>
      <c r="BFL31" s="204"/>
      <c r="BFM31" s="204"/>
      <c r="BFN31" s="204"/>
      <c r="BFO31" s="204"/>
      <c r="BFP31" s="204"/>
      <c r="BFQ31" s="204"/>
      <c r="BFR31" s="204"/>
      <c r="BFS31" s="204"/>
      <c r="BFT31" s="204"/>
      <c r="BFU31" s="204"/>
      <c r="BFV31" s="204"/>
      <c r="BFW31" s="204"/>
      <c r="BFX31" s="204"/>
      <c r="BFY31" s="204"/>
      <c r="BFZ31" s="204"/>
      <c r="BGA31" s="204"/>
      <c r="BGB31" s="204"/>
      <c r="BGC31" s="204"/>
      <c r="BGD31" s="204"/>
      <c r="BGE31" s="204"/>
      <c r="BGF31" s="204"/>
      <c r="BGG31" s="204"/>
      <c r="BGH31" s="204"/>
      <c r="BGI31" s="204"/>
      <c r="BGJ31" s="204"/>
      <c r="BGK31" s="204"/>
      <c r="BGL31" s="204"/>
      <c r="BGM31" s="204"/>
      <c r="BGN31" s="204"/>
      <c r="BGO31" s="204"/>
      <c r="BGP31" s="204"/>
      <c r="BGQ31" s="204"/>
      <c r="BGR31" s="204"/>
      <c r="BGS31" s="204"/>
      <c r="BGT31" s="204"/>
      <c r="BGU31" s="204"/>
      <c r="BGV31" s="204"/>
      <c r="BGW31" s="204"/>
      <c r="BGX31" s="204"/>
      <c r="BGY31" s="204"/>
      <c r="BGZ31" s="204"/>
      <c r="BHA31" s="204"/>
      <c r="BHB31" s="204"/>
      <c r="BHC31" s="204"/>
      <c r="BHD31" s="204"/>
      <c r="BHE31" s="204"/>
      <c r="BHF31" s="204"/>
      <c r="BHG31" s="204"/>
      <c r="BHH31" s="204"/>
      <c r="BHI31" s="204"/>
      <c r="BHJ31" s="204"/>
      <c r="BHK31" s="204"/>
      <c r="BHL31" s="204"/>
      <c r="BHM31" s="204"/>
      <c r="BHN31" s="204"/>
      <c r="BHO31" s="204"/>
      <c r="BHP31" s="204"/>
      <c r="BHQ31" s="204"/>
      <c r="BHR31" s="204"/>
      <c r="BHS31" s="204"/>
      <c r="BHT31" s="204"/>
      <c r="BHU31" s="204"/>
      <c r="BHV31" s="204"/>
      <c r="BHW31" s="204"/>
      <c r="BHX31" s="204"/>
      <c r="BHY31" s="204"/>
      <c r="BHZ31" s="204"/>
      <c r="BIA31" s="204"/>
      <c r="BIB31" s="204"/>
      <c r="BIC31" s="204"/>
      <c r="BID31" s="204"/>
      <c r="BIE31" s="204"/>
      <c r="BIF31" s="204"/>
      <c r="BIG31" s="204"/>
      <c r="BIH31" s="204"/>
      <c r="BII31" s="204"/>
      <c r="BIJ31" s="204"/>
      <c r="BIK31" s="204"/>
      <c r="BIL31" s="204"/>
      <c r="BIM31" s="204"/>
      <c r="BIN31" s="204"/>
      <c r="BIO31" s="204"/>
      <c r="BIP31" s="204"/>
      <c r="BIQ31" s="204"/>
      <c r="BIR31" s="204"/>
      <c r="BIS31" s="204"/>
      <c r="BIT31" s="204"/>
      <c r="BIU31" s="204"/>
      <c r="BIV31" s="204"/>
      <c r="BIW31" s="204"/>
      <c r="BIX31" s="204"/>
      <c r="BIY31" s="204"/>
      <c r="BIZ31" s="204"/>
      <c r="BJA31" s="204"/>
      <c r="BJB31" s="204"/>
      <c r="BJC31" s="204"/>
      <c r="BJD31" s="204"/>
      <c r="BJE31" s="204"/>
      <c r="BJF31" s="204"/>
      <c r="BJG31" s="204"/>
      <c r="BJH31" s="204"/>
      <c r="BJI31" s="204"/>
      <c r="BJJ31" s="204"/>
      <c r="BJK31" s="204"/>
      <c r="BJL31" s="204"/>
      <c r="BJM31" s="204"/>
      <c r="BJN31" s="204"/>
      <c r="BJO31" s="204"/>
      <c r="BJP31" s="204"/>
      <c r="BJQ31" s="204"/>
      <c r="BJR31" s="204"/>
      <c r="BJS31" s="204"/>
      <c r="BJT31" s="204"/>
      <c r="BJU31" s="204"/>
      <c r="BJV31" s="204"/>
      <c r="BJW31" s="204"/>
      <c r="BJX31" s="204"/>
      <c r="BJY31" s="204"/>
      <c r="BJZ31" s="204"/>
      <c r="BKA31" s="204"/>
      <c r="BKB31" s="204"/>
      <c r="BKC31" s="204"/>
      <c r="BKD31" s="204"/>
      <c r="BKE31" s="204"/>
      <c r="BKF31" s="204"/>
      <c r="BKG31" s="204"/>
      <c r="BKH31" s="204"/>
      <c r="BKI31" s="204"/>
      <c r="BKJ31" s="204"/>
      <c r="BKK31" s="204"/>
      <c r="BKL31" s="204"/>
      <c r="BKM31" s="204"/>
      <c r="BKN31" s="204"/>
      <c r="BKO31" s="204"/>
      <c r="BKP31" s="204"/>
      <c r="BKQ31" s="204"/>
      <c r="BKR31" s="204"/>
      <c r="BKS31" s="204"/>
      <c r="BKT31" s="204"/>
      <c r="BKU31" s="204"/>
      <c r="BKV31" s="204"/>
      <c r="BKW31" s="204"/>
      <c r="BKX31" s="204"/>
      <c r="BKY31" s="204"/>
      <c r="BKZ31" s="204"/>
      <c r="BLA31" s="204"/>
      <c r="BLB31" s="204"/>
      <c r="BLC31" s="204"/>
      <c r="BLD31" s="204"/>
      <c r="BLE31" s="204"/>
      <c r="BLF31" s="204"/>
      <c r="BLG31" s="204"/>
      <c r="BLH31" s="204"/>
      <c r="BLI31" s="204"/>
      <c r="BLJ31" s="204"/>
      <c r="BLK31" s="204"/>
      <c r="BLL31" s="204"/>
      <c r="BLM31" s="204"/>
      <c r="BLN31" s="204"/>
      <c r="BLO31" s="204"/>
      <c r="BLP31" s="204"/>
      <c r="BLQ31" s="204"/>
      <c r="BLR31" s="204"/>
      <c r="BLS31" s="204"/>
      <c r="BLT31" s="204"/>
      <c r="BLU31" s="204"/>
      <c r="BLV31" s="204"/>
      <c r="BLW31" s="204"/>
      <c r="BLX31" s="204"/>
      <c r="BLY31" s="204"/>
      <c r="BLZ31" s="204"/>
      <c r="BMA31" s="204"/>
      <c r="BMB31" s="204"/>
      <c r="BMC31" s="204"/>
      <c r="BMD31" s="204"/>
      <c r="BME31" s="204"/>
      <c r="BMF31" s="204"/>
      <c r="BMG31" s="204"/>
      <c r="BMH31" s="204"/>
      <c r="BMI31" s="204"/>
      <c r="BMJ31" s="204"/>
      <c r="BMK31" s="204"/>
      <c r="BML31" s="204"/>
      <c r="BMM31" s="204"/>
      <c r="BMN31" s="204"/>
      <c r="BMO31" s="204"/>
      <c r="BMP31" s="204"/>
      <c r="BMQ31" s="204"/>
      <c r="BMR31" s="204"/>
      <c r="BMS31" s="204"/>
      <c r="BMT31" s="204"/>
      <c r="BMU31" s="204"/>
      <c r="BMV31" s="204"/>
      <c r="BMW31" s="204"/>
      <c r="BMX31" s="204"/>
      <c r="BMY31" s="204"/>
      <c r="BMZ31" s="204"/>
      <c r="BNA31" s="204"/>
      <c r="BNB31" s="204"/>
      <c r="BNC31" s="204"/>
      <c r="BND31" s="204"/>
      <c r="BNE31" s="204"/>
      <c r="BNF31" s="204"/>
      <c r="BNG31" s="204"/>
      <c r="BNH31" s="204"/>
      <c r="BNI31" s="204"/>
      <c r="BNJ31" s="204"/>
      <c r="BNK31" s="204"/>
      <c r="BNL31" s="204"/>
      <c r="BNM31" s="204"/>
      <c r="BNN31" s="204"/>
      <c r="BNO31" s="204"/>
      <c r="BNP31" s="204"/>
      <c r="BNQ31" s="204"/>
      <c r="BNR31" s="204"/>
      <c r="BNS31" s="204"/>
      <c r="BNT31" s="204"/>
      <c r="BNU31" s="204"/>
      <c r="BNV31" s="204"/>
      <c r="BNW31" s="204"/>
      <c r="BNX31" s="204"/>
      <c r="BNY31" s="204"/>
      <c r="BNZ31" s="204"/>
      <c r="BOA31" s="204"/>
      <c r="BOB31" s="204"/>
      <c r="BOC31" s="204"/>
      <c r="BOD31" s="204"/>
      <c r="BOE31" s="204"/>
      <c r="BOF31" s="204"/>
      <c r="BOG31" s="204"/>
      <c r="BOH31" s="204"/>
      <c r="BOI31" s="204"/>
      <c r="BOJ31" s="204"/>
      <c r="BOK31" s="204"/>
      <c r="BOL31" s="204"/>
      <c r="BOM31" s="204"/>
      <c r="BON31" s="204"/>
      <c r="BOO31" s="204"/>
      <c r="BOP31" s="204"/>
      <c r="BOQ31" s="204"/>
      <c r="BOR31" s="204"/>
      <c r="BOS31" s="204"/>
      <c r="BOT31" s="204"/>
      <c r="BOU31" s="204"/>
      <c r="BOV31" s="204"/>
      <c r="BOW31" s="204"/>
      <c r="BOX31" s="204"/>
      <c r="BOY31" s="204"/>
      <c r="BOZ31" s="204"/>
      <c r="BPA31" s="204"/>
      <c r="BPB31" s="204"/>
      <c r="BPC31" s="204"/>
      <c r="BPD31" s="204"/>
      <c r="BPE31" s="204"/>
      <c r="BPF31" s="204"/>
      <c r="BPG31" s="204"/>
      <c r="BPH31" s="204"/>
      <c r="BPI31" s="204"/>
      <c r="BPJ31" s="204"/>
      <c r="BPK31" s="204"/>
      <c r="BPL31" s="204"/>
      <c r="BPM31" s="204"/>
      <c r="BPN31" s="204"/>
      <c r="BPO31" s="204"/>
      <c r="BPP31" s="204"/>
      <c r="BPQ31" s="204"/>
      <c r="BPR31" s="204"/>
      <c r="BPS31" s="204"/>
      <c r="BPT31" s="204"/>
      <c r="BPU31" s="204"/>
      <c r="BPV31" s="204"/>
      <c r="BPW31" s="204"/>
      <c r="BPX31" s="204"/>
      <c r="BPY31" s="204"/>
      <c r="BPZ31" s="204"/>
      <c r="BQA31" s="204"/>
      <c r="BQB31" s="204"/>
      <c r="BQC31" s="204"/>
      <c r="BQD31" s="204"/>
      <c r="BQE31" s="204"/>
      <c r="BQF31" s="204"/>
      <c r="BQG31" s="204"/>
      <c r="BQH31" s="204"/>
      <c r="BQI31" s="204"/>
      <c r="BQJ31" s="204"/>
      <c r="BQK31" s="204"/>
      <c r="BQL31" s="204"/>
      <c r="BQM31" s="204"/>
      <c r="BQN31" s="204"/>
      <c r="BQO31" s="204"/>
      <c r="BQP31" s="204"/>
      <c r="BQQ31" s="204"/>
      <c r="BQR31" s="204"/>
      <c r="BQS31" s="204"/>
      <c r="BQT31" s="204"/>
      <c r="BQU31" s="204"/>
      <c r="BQV31" s="204"/>
      <c r="BQW31" s="204"/>
      <c r="BQX31" s="204"/>
      <c r="BQY31" s="204"/>
      <c r="BQZ31" s="204"/>
      <c r="BRA31" s="204"/>
      <c r="BRB31" s="204"/>
      <c r="BRC31" s="204"/>
      <c r="BRD31" s="204"/>
      <c r="BRE31" s="204"/>
      <c r="BRF31" s="204"/>
      <c r="BRG31" s="204"/>
      <c r="BRH31" s="204"/>
      <c r="BRI31" s="204"/>
      <c r="BRJ31" s="204"/>
      <c r="BRK31" s="204"/>
      <c r="BRL31" s="204"/>
      <c r="BRM31" s="204"/>
      <c r="BRN31" s="204"/>
      <c r="BRO31" s="204"/>
      <c r="BRP31" s="204"/>
      <c r="BRQ31" s="204"/>
      <c r="BRR31" s="204"/>
      <c r="BRS31" s="204"/>
      <c r="BRT31" s="204"/>
      <c r="BRU31" s="204"/>
      <c r="BRV31" s="204"/>
      <c r="BRW31" s="204"/>
      <c r="BRX31" s="204"/>
      <c r="BRY31" s="204"/>
      <c r="BRZ31" s="204"/>
      <c r="BSA31" s="204"/>
      <c r="BSB31" s="204"/>
      <c r="BSC31" s="204"/>
      <c r="BSD31" s="204"/>
      <c r="BSE31" s="204"/>
      <c r="BSF31" s="204"/>
      <c r="BSG31" s="204"/>
      <c r="BSH31" s="204"/>
      <c r="BSI31" s="204"/>
      <c r="BSJ31" s="204"/>
      <c r="BSK31" s="204"/>
      <c r="BSL31" s="204"/>
      <c r="BSM31" s="204"/>
      <c r="BSN31" s="204"/>
      <c r="BSO31" s="204"/>
      <c r="BSP31" s="204"/>
      <c r="BSQ31" s="204"/>
      <c r="BSR31" s="204"/>
      <c r="BSS31" s="204"/>
      <c r="BST31" s="204"/>
      <c r="BSU31" s="204"/>
      <c r="BSV31" s="204"/>
      <c r="BSW31" s="204"/>
      <c r="BSX31" s="204"/>
      <c r="BSY31" s="204"/>
      <c r="BSZ31" s="204"/>
      <c r="BTA31" s="204"/>
      <c r="BTB31" s="204"/>
      <c r="BTC31" s="204"/>
      <c r="BTD31" s="204"/>
      <c r="BTE31" s="204"/>
      <c r="BTF31" s="204"/>
      <c r="BTG31" s="204"/>
      <c r="BTH31" s="204"/>
      <c r="BTI31" s="204"/>
      <c r="BTJ31" s="204"/>
      <c r="BTK31" s="204"/>
      <c r="BTL31" s="204"/>
      <c r="BTM31" s="204"/>
      <c r="BTN31" s="204"/>
      <c r="BTO31" s="204"/>
      <c r="BTP31" s="204"/>
      <c r="BTQ31" s="204"/>
      <c r="BTR31" s="204"/>
      <c r="BTS31" s="204"/>
      <c r="BTT31" s="204"/>
      <c r="BTU31" s="204"/>
      <c r="BTV31" s="204"/>
      <c r="BTW31" s="204"/>
      <c r="BTX31" s="204"/>
      <c r="BTY31" s="204"/>
      <c r="BTZ31" s="204"/>
      <c r="BUA31" s="204"/>
      <c r="BUB31" s="204"/>
      <c r="BUC31" s="204"/>
      <c r="BUD31" s="204"/>
      <c r="BUE31" s="204"/>
      <c r="BUF31" s="204"/>
      <c r="BUG31" s="204"/>
      <c r="BUH31" s="204"/>
      <c r="BUI31" s="204"/>
      <c r="BUJ31" s="204"/>
      <c r="BUK31" s="204"/>
      <c r="BUL31" s="204"/>
      <c r="BUM31" s="204"/>
      <c r="BUN31" s="204"/>
      <c r="BUO31" s="204"/>
      <c r="BUP31" s="204"/>
      <c r="BUQ31" s="204"/>
      <c r="BUR31" s="204"/>
      <c r="BUS31" s="204"/>
      <c r="BUT31" s="204"/>
      <c r="BUU31" s="204"/>
      <c r="BUV31" s="204"/>
      <c r="BUW31" s="204"/>
      <c r="BUX31" s="204"/>
      <c r="BUY31" s="204"/>
      <c r="BUZ31" s="204"/>
      <c r="BVA31" s="204"/>
      <c r="BVB31" s="204"/>
      <c r="BVC31" s="204"/>
      <c r="BVD31" s="204"/>
      <c r="BVE31" s="204"/>
      <c r="BVF31" s="204"/>
      <c r="BVG31" s="204"/>
      <c r="BVH31" s="204"/>
      <c r="BVI31" s="204"/>
      <c r="BVJ31" s="204"/>
      <c r="BVK31" s="204"/>
      <c r="BVL31" s="204"/>
      <c r="BVM31" s="204"/>
      <c r="BVN31" s="204"/>
      <c r="BVO31" s="204"/>
      <c r="BVP31" s="204"/>
      <c r="BVQ31" s="204"/>
      <c r="BVR31" s="204"/>
      <c r="BVS31" s="204"/>
      <c r="BVT31" s="204"/>
      <c r="BVU31" s="204"/>
      <c r="BVV31" s="204"/>
      <c r="BVW31" s="204"/>
      <c r="BVX31" s="204"/>
      <c r="BVY31" s="204"/>
      <c r="BVZ31" s="204"/>
      <c r="BWA31" s="204"/>
      <c r="BWB31" s="204"/>
      <c r="BWC31" s="204"/>
      <c r="BWD31" s="204"/>
      <c r="BWE31" s="204"/>
      <c r="BWF31" s="204"/>
      <c r="BWG31" s="204"/>
      <c r="BWH31" s="204"/>
      <c r="BWI31" s="204"/>
      <c r="BWJ31" s="204"/>
      <c r="BWK31" s="204"/>
      <c r="BWL31" s="204"/>
      <c r="BWM31" s="204"/>
      <c r="BWN31" s="204"/>
      <c r="BWO31" s="204"/>
      <c r="BWP31" s="204"/>
      <c r="BWQ31" s="204"/>
      <c r="BWR31" s="204"/>
      <c r="BWS31" s="204"/>
      <c r="BWT31" s="204"/>
      <c r="BWU31" s="204"/>
      <c r="BWV31" s="204"/>
      <c r="BWW31" s="204"/>
      <c r="BWX31" s="204"/>
      <c r="BWY31" s="204"/>
      <c r="BWZ31" s="204"/>
      <c r="BXA31" s="204"/>
      <c r="BXB31" s="204"/>
      <c r="BXC31" s="204"/>
      <c r="BXD31" s="204"/>
      <c r="BXE31" s="204"/>
      <c r="BXF31" s="204"/>
      <c r="BXG31" s="204"/>
      <c r="BXH31" s="204"/>
      <c r="BXI31" s="204"/>
      <c r="BXJ31" s="204"/>
      <c r="BXK31" s="204"/>
      <c r="BXL31" s="204"/>
      <c r="BXM31" s="204"/>
      <c r="BXN31" s="204"/>
      <c r="BXO31" s="204"/>
      <c r="BXP31" s="204"/>
      <c r="BXQ31" s="204"/>
      <c r="BXR31" s="204"/>
      <c r="BXS31" s="204"/>
      <c r="BXT31" s="204"/>
      <c r="BXU31" s="204"/>
      <c r="BXV31" s="204"/>
      <c r="BXW31" s="204"/>
      <c r="BXX31" s="204"/>
      <c r="BXY31" s="204"/>
      <c r="BXZ31" s="204"/>
      <c r="BYA31" s="204"/>
      <c r="BYB31" s="204"/>
      <c r="BYC31" s="204"/>
      <c r="BYD31" s="204"/>
      <c r="BYE31" s="204"/>
      <c r="BYF31" s="204"/>
      <c r="BYG31" s="204"/>
      <c r="BYH31" s="204"/>
      <c r="BYI31" s="204"/>
      <c r="BYJ31" s="204"/>
      <c r="BYK31" s="204"/>
      <c r="BYL31" s="204"/>
      <c r="BYM31" s="204"/>
      <c r="BYN31" s="204"/>
      <c r="BYO31" s="204"/>
      <c r="BYP31" s="204"/>
      <c r="BYQ31" s="204"/>
      <c r="BYR31" s="204"/>
      <c r="BYS31" s="204"/>
      <c r="BYT31" s="204"/>
      <c r="BYU31" s="204"/>
      <c r="BYV31" s="204"/>
      <c r="BYW31" s="204"/>
      <c r="BYX31" s="204"/>
      <c r="BYY31" s="204"/>
      <c r="BYZ31" s="204"/>
      <c r="BZA31" s="204"/>
      <c r="BZB31" s="204"/>
      <c r="BZC31" s="204"/>
      <c r="BZD31" s="204"/>
      <c r="BZE31" s="204"/>
      <c r="BZF31" s="204"/>
      <c r="BZG31" s="204"/>
      <c r="BZH31" s="204"/>
      <c r="BZI31" s="204"/>
      <c r="BZJ31" s="204"/>
      <c r="BZK31" s="204"/>
      <c r="BZL31" s="204"/>
      <c r="BZM31" s="204"/>
      <c r="BZN31" s="204"/>
      <c r="BZO31" s="204"/>
      <c r="BZP31" s="204"/>
      <c r="BZQ31" s="204"/>
      <c r="BZR31" s="204"/>
      <c r="BZS31" s="204"/>
      <c r="BZT31" s="204"/>
      <c r="BZU31" s="204"/>
      <c r="BZV31" s="204"/>
      <c r="BZW31" s="204"/>
      <c r="BZX31" s="204"/>
      <c r="BZY31" s="204"/>
      <c r="BZZ31" s="204"/>
      <c r="CAA31" s="204"/>
      <c r="CAB31" s="204"/>
      <c r="CAC31" s="204"/>
      <c r="CAD31" s="204"/>
      <c r="CAE31" s="204"/>
      <c r="CAF31" s="204"/>
      <c r="CAG31" s="204"/>
      <c r="CAH31" s="204"/>
      <c r="CAI31" s="204"/>
      <c r="CAJ31" s="204"/>
      <c r="CAK31" s="204"/>
      <c r="CAL31" s="204"/>
      <c r="CAM31" s="204"/>
      <c r="CAN31" s="204"/>
      <c r="CAO31" s="204"/>
      <c r="CAP31" s="204"/>
      <c r="CAQ31" s="204"/>
      <c r="CAR31" s="204"/>
      <c r="CAS31" s="204"/>
      <c r="CAT31" s="204"/>
      <c r="CAU31" s="204"/>
      <c r="CAV31" s="204"/>
      <c r="CAW31" s="204"/>
      <c r="CAX31" s="204"/>
      <c r="CAY31" s="204"/>
      <c r="CAZ31" s="204"/>
      <c r="CBA31" s="204"/>
      <c r="CBB31" s="204"/>
      <c r="CBC31" s="204"/>
      <c r="CBD31" s="204"/>
      <c r="CBE31" s="204"/>
      <c r="CBF31" s="204"/>
      <c r="CBG31" s="204"/>
      <c r="CBH31" s="204"/>
      <c r="CBI31" s="204"/>
      <c r="CBJ31" s="204"/>
      <c r="CBK31" s="204"/>
      <c r="CBL31" s="204"/>
      <c r="CBM31" s="204"/>
      <c r="CBN31" s="204"/>
      <c r="CBO31" s="204"/>
      <c r="CBP31" s="204"/>
      <c r="CBQ31" s="204"/>
      <c r="CBR31" s="204"/>
      <c r="CBS31" s="204"/>
      <c r="CBT31" s="204"/>
      <c r="CBU31" s="204"/>
      <c r="CBV31" s="204"/>
      <c r="CBW31" s="204"/>
      <c r="CBX31" s="204"/>
      <c r="CBY31" s="204"/>
      <c r="CBZ31" s="204"/>
      <c r="CCA31" s="204"/>
      <c r="CCB31" s="204"/>
      <c r="CCC31" s="204"/>
      <c r="CCD31" s="204"/>
      <c r="CCE31" s="204"/>
      <c r="CCF31" s="204"/>
      <c r="CCG31" s="204"/>
      <c r="CCH31" s="204"/>
      <c r="CCI31" s="204"/>
      <c r="CCJ31" s="204"/>
      <c r="CCK31" s="204"/>
      <c r="CCL31" s="204"/>
      <c r="CCM31" s="204"/>
      <c r="CCN31" s="204"/>
      <c r="CCO31" s="204"/>
      <c r="CCP31" s="204"/>
      <c r="CCQ31" s="204"/>
      <c r="CCR31" s="204"/>
      <c r="CCS31" s="204"/>
      <c r="CCT31" s="204"/>
      <c r="CCU31" s="204"/>
      <c r="CCV31" s="204"/>
      <c r="CCW31" s="204"/>
      <c r="CCX31" s="204"/>
      <c r="CCY31" s="204"/>
      <c r="CCZ31" s="204"/>
      <c r="CDA31" s="204"/>
      <c r="CDB31" s="204"/>
      <c r="CDC31" s="204"/>
      <c r="CDD31" s="204"/>
      <c r="CDE31" s="204"/>
      <c r="CDF31" s="204"/>
      <c r="CDG31" s="204"/>
      <c r="CDH31" s="204"/>
      <c r="CDI31" s="204"/>
      <c r="CDJ31" s="204"/>
      <c r="CDK31" s="204"/>
      <c r="CDL31" s="204"/>
      <c r="CDM31" s="204"/>
      <c r="CDN31" s="204"/>
      <c r="CDO31" s="204"/>
      <c r="CDP31" s="204"/>
      <c r="CDQ31" s="204"/>
      <c r="CDR31" s="204"/>
      <c r="CDS31" s="204"/>
      <c r="CDT31" s="204"/>
      <c r="CDU31" s="204"/>
      <c r="CDV31" s="204"/>
      <c r="CDW31" s="204"/>
      <c r="CDX31" s="204"/>
      <c r="CDY31" s="204"/>
      <c r="CDZ31" s="204"/>
      <c r="CEA31" s="204"/>
      <c r="CEB31" s="204"/>
      <c r="CEC31" s="204"/>
      <c r="CED31" s="204"/>
      <c r="CEE31" s="204"/>
      <c r="CEF31" s="204"/>
      <c r="CEG31" s="204"/>
      <c r="CEH31" s="204"/>
      <c r="CEI31" s="204"/>
      <c r="CEJ31" s="204"/>
      <c r="CEK31" s="204"/>
      <c r="CEL31" s="204"/>
      <c r="CEM31" s="204"/>
      <c r="CEN31" s="204"/>
      <c r="CEO31" s="204"/>
      <c r="CEP31" s="204"/>
      <c r="CEQ31" s="204"/>
      <c r="CER31" s="204"/>
      <c r="CES31" s="204"/>
      <c r="CET31" s="204"/>
      <c r="CEU31" s="204"/>
      <c r="CEV31" s="204"/>
      <c r="CEW31" s="204"/>
      <c r="CEX31" s="204"/>
      <c r="CEY31" s="204"/>
      <c r="CEZ31" s="204"/>
      <c r="CFA31" s="204"/>
      <c r="CFB31" s="204"/>
      <c r="CFC31" s="204"/>
      <c r="CFD31" s="204"/>
      <c r="CFE31" s="204"/>
      <c r="CFF31" s="204"/>
      <c r="CFG31" s="204"/>
      <c r="CFH31" s="204"/>
      <c r="CFI31" s="204"/>
      <c r="CFJ31" s="204"/>
      <c r="CFK31" s="204"/>
      <c r="CFL31" s="204"/>
      <c r="CFM31" s="204"/>
      <c r="CFN31" s="204"/>
      <c r="CFO31" s="204"/>
      <c r="CFP31" s="204"/>
      <c r="CFQ31" s="204"/>
      <c r="CFR31" s="204"/>
      <c r="CFS31" s="204"/>
      <c r="CFT31" s="204"/>
      <c r="CFU31" s="204"/>
      <c r="CFV31" s="204"/>
      <c r="CFW31" s="204"/>
      <c r="CFX31" s="204"/>
      <c r="CFY31" s="204"/>
      <c r="CFZ31" s="204"/>
      <c r="CGA31" s="204"/>
      <c r="CGB31" s="204"/>
      <c r="CGC31" s="204"/>
      <c r="CGD31" s="204"/>
      <c r="CGE31" s="204"/>
      <c r="CGF31" s="204"/>
      <c r="CGG31" s="204"/>
      <c r="CGH31" s="204"/>
      <c r="CGI31" s="204"/>
      <c r="CGJ31" s="204"/>
      <c r="CGK31" s="204"/>
      <c r="CGL31" s="204"/>
      <c r="CGM31" s="204"/>
      <c r="CGN31" s="204"/>
      <c r="CGO31" s="204"/>
      <c r="CGP31" s="204"/>
      <c r="CGQ31" s="204"/>
      <c r="CGR31" s="204"/>
      <c r="CGS31" s="204"/>
      <c r="CGT31" s="204"/>
      <c r="CGU31" s="204"/>
      <c r="CGV31" s="204"/>
      <c r="CGW31" s="204"/>
      <c r="CGX31" s="204"/>
      <c r="CGY31" s="204"/>
      <c r="CGZ31" s="204"/>
      <c r="CHA31" s="204"/>
      <c r="CHB31" s="204"/>
      <c r="CHC31" s="204"/>
      <c r="CHD31" s="204"/>
      <c r="CHE31" s="204"/>
      <c r="CHF31" s="204"/>
      <c r="CHG31" s="204"/>
      <c r="CHH31" s="204"/>
      <c r="CHI31" s="204"/>
      <c r="CHJ31" s="204"/>
      <c r="CHK31" s="204"/>
      <c r="CHL31" s="204"/>
      <c r="CHM31" s="204"/>
      <c r="CHN31" s="204"/>
      <c r="CHO31" s="204"/>
      <c r="CHP31" s="204"/>
      <c r="CHQ31" s="204"/>
      <c r="CHR31" s="204"/>
      <c r="CHS31" s="204"/>
      <c r="CHT31" s="204"/>
      <c r="CHU31" s="204"/>
      <c r="CHV31" s="204"/>
      <c r="CHW31" s="204"/>
      <c r="CHX31" s="204"/>
      <c r="CHY31" s="204"/>
      <c r="CHZ31" s="204"/>
      <c r="CIA31" s="204"/>
      <c r="CIB31" s="204"/>
      <c r="CIC31" s="204"/>
      <c r="CID31" s="204"/>
      <c r="CIE31" s="204"/>
      <c r="CIF31" s="204"/>
      <c r="CIG31" s="204"/>
      <c r="CIH31" s="204"/>
      <c r="CII31" s="204"/>
      <c r="CIJ31" s="204"/>
      <c r="CIK31" s="204"/>
      <c r="CIL31" s="204"/>
      <c r="CIM31" s="204"/>
      <c r="CIN31" s="204"/>
      <c r="CIO31" s="204"/>
      <c r="CIP31" s="204"/>
      <c r="CIQ31" s="204"/>
      <c r="CIR31" s="204"/>
      <c r="CIS31" s="204"/>
      <c r="CIT31" s="204"/>
      <c r="CIU31" s="204"/>
      <c r="CIV31" s="204"/>
      <c r="CIW31" s="204"/>
      <c r="CIX31" s="204"/>
      <c r="CIY31" s="204"/>
      <c r="CIZ31" s="204"/>
      <c r="CJA31" s="204"/>
      <c r="CJB31" s="204"/>
      <c r="CJC31" s="204"/>
      <c r="CJD31" s="204"/>
      <c r="CJE31" s="204"/>
      <c r="CJF31" s="204"/>
      <c r="CJG31" s="204"/>
      <c r="CJH31" s="204"/>
      <c r="CJI31" s="204"/>
      <c r="CJJ31" s="204"/>
      <c r="CJK31" s="204"/>
      <c r="CJL31" s="204"/>
      <c r="CJM31" s="204"/>
      <c r="CJN31" s="204"/>
      <c r="CJO31" s="204"/>
      <c r="CJP31" s="204"/>
      <c r="CJQ31" s="204"/>
      <c r="CJR31" s="204"/>
      <c r="CJS31" s="204"/>
      <c r="CJT31" s="204"/>
      <c r="CJU31" s="204"/>
      <c r="CJV31" s="204"/>
      <c r="CJW31" s="204"/>
      <c r="CJX31" s="204"/>
      <c r="CJY31" s="204"/>
      <c r="CJZ31" s="204"/>
      <c r="CKA31" s="204"/>
      <c r="CKB31" s="204"/>
      <c r="CKC31" s="204"/>
      <c r="CKD31" s="204"/>
      <c r="CKE31" s="204"/>
      <c r="CKF31" s="204"/>
      <c r="CKG31" s="204"/>
      <c r="CKH31" s="204"/>
      <c r="CKI31" s="204"/>
      <c r="CKJ31" s="204"/>
      <c r="CKK31" s="204"/>
      <c r="CKL31" s="204"/>
      <c r="CKM31" s="204"/>
      <c r="CKN31" s="204"/>
      <c r="CKO31" s="204"/>
      <c r="CKP31" s="204"/>
      <c r="CKQ31" s="204"/>
      <c r="CKR31" s="204"/>
      <c r="CKS31" s="204"/>
      <c r="CKT31" s="204"/>
      <c r="CKU31" s="204"/>
      <c r="CKV31" s="204"/>
      <c r="CKW31" s="204"/>
      <c r="CKX31" s="204"/>
      <c r="CKY31" s="204"/>
      <c r="CKZ31" s="204"/>
      <c r="CLA31" s="204"/>
      <c r="CLB31" s="204"/>
      <c r="CLC31" s="204"/>
      <c r="CLD31" s="204"/>
      <c r="CLE31" s="204"/>
      <c r="CLF31" s="204"/>
      <c r="CLG31" s="204"/>
      <c r="CLH31" s="204"/>
      <c r="CLI31" s="204"/>
      <c r="CLJ31" s="204"/>
      <c r="CLK31" s="204"/>
      <c r="CLL31" s="204"/>
      <c r="CLM31" s="204"/>
      <c r="CLN31" s="204"/>
      <c r="CLO31" s="204"/>
      <c r="CLP31" s="204"/>
      <c r="CLQ31" s="204"/>
      <c r="CLR31" s="204"/>
      <c r="CLS31" s="204"/>
      <c r="CLT31" s="204"/>
      <c r="CLU31" s="204"/>
      <c r="CLV31" s="204"/>
      <c r="CLW31" s="204"/>
      <c r="CLX31" s="204"/>
      <c r="CLY31" s="204"/>
      <c r="CLZ31" s="204"/>
      <c r="CMA31" s="204"/>
      <c r="CMB31" s="204"/>
      <c r="CMC31" s="204"/>
      <c r="CMD31" s="204"/>
      <c r="CME31" s="204"/>
      <c r="CMF31" s="204"/>
      <c r="CMG31" s="204"/>
      <c r="CMH31" s="204"/>
      <c r="CMI31" s="204"/>
      <c r="CMJ31" s="204"/>
      <c r="CMK31" s="204"/>
      <c r="CML31" s="204"/>
      <c r="CMM31" s="204"/>
      <c r="CMN31" s="204"/>
      <c r="CMO31" s="204"/>
      <c r="CMP31" s="204"/>
      <c r="CMQ31" s="204"/>
      <c r="CMR31" s="204"/>
      <c r="CMS31" s="204"/>
      <c r="CMT31" s="204"/>
      <c r="CMU31" s="204"/>
      <c r="CMV31" s="204"/>
      <c r="CMW31" s="204"/>
      <c r="CMX31" s="204"/>
      <c r="CMY31" s="204"/>
      <c r="CMZ31" s="204"/>
      <c r="CNA31" s="204"/>
      <c r="CNB31" s="204"/>
      <c r="CNC31" s="204"/>
      <c r="CND31" s="204"/>
      <c r="CNE31" s="204"/>
      <c r="CNF31" s="204"/>
      <c r="CNG31" s="204"/>
      <c r="CNH31" s="204"/>
      <c r="CNI31" s="204"/>
      <c r="CNJ31" s="204"/>
      <c r="CNK31" s="204"/>
      <c r="CNL31" s="204"/>
      <c r="CNM31" s="204"/>
      <c r="CNN31" s="204"/>
      <c r="CNO31" s="204"/>
      <c r="CNP31" s="204"/>
      <c r="CNQ31" s="204"/>
      <c r="CNR31" s="204"/>
      <c r="CNS31" s="204"/>
      <c r="CNT31" s="204"/>
      <c r="CNU31" s="204"/>
      <c r="CNV31" s="204"/>
      <c r="CNW31" s="204"/>
      <c r="CNX31" s="204"/>
      <c r="CNY31" s="204"/>
      <c r="CNZ31" s="204"/>
      <c r="COA31" s="204"/>
      <c r="COB31" s="204"/>
      <c r="COC31" s="204"/>
      <c r="COD31" s="204"/>
      <c r="COE31" s="204"/>
      <c r="COF31" s="204"/>
      <c r="COG31" s="204"/>
      <c r="COH31" s="204"/>
      <c r="COI31" s="204"/>
      <c r="COJ31" s="204"/>
      <c r="COK31" s="204"/>
      <c r="COL31" s="204"/>
      <c r="COM31" s="204"/>
      <c r="CON31" s="204"/>
      <c r="COO31" s="204"/>
      <c r="COP31" s="204"/>
      <c r="COQ31" s="204"/>
      <c r="COR31" s="204"/>
      <c r="COS31" s="204"/>
      <c r="COT31" s="204"/>
      <c r="COU31" s="204"/>
      <c r="COV31" s="204"/>
      <c r="COW31" s="204"/>
      <c r="COX31" s="204"/>
      <c r="COY31" s="204"/>
      <c r="COZ31" s="204"/>
      <c r="CPA31" s="204"/>
      <c r="CPB31" s="204"/>
      <c r="CPC31" s="204"/>
      <c r="CPD31" s="204"/>
      <c r="CPE31" s="204"/>
      <c r="CPF31" s="204"/>
      <c r="CPG31" s="204"/>
      <c r="CPH31" s="204"/>
      <c r="CPI31" s="204"/>
      <c r="CPJ31" s="204"/>
      <c r="CPK31" s="204"/>
      <c r="CPL31" s="204"/>
      <c r="CPM31" s="204"/>
      <c r="CPN31" s="204"/>
      <c r="CPO31" s="204"/>
      <c r="CPP31" s="204"/>
      <c r="CPQ31" s="204"/>
      <c r="CPR31" s="204"/>
      <c r="CPS31" s="204"/>
      <c r="CPT31" s="204"/>
      <c r="CPU31" s="204"/>
      <c r="CPV31" s="204"/>
      <c r="CPW31" s="204"/>
      <c r="CPX31" s="204"/>
      <c r="CPY31" s="204"/>
      <c r="CPZ31" s="204"/>
      <c r="CQA31" s="204"/>
      <c r="CQB31" s="204"/>
      <c r="CQC31" s="204"/>
      <c r="CQD31" s="204"/>
      <c r="CQE31" s="204"/>
      <c r="CQF31" s="204"/>
      <c r="CQG31" s="204"/>
      <c r="CQH31" s="204"/>
      <c r="CQI31" s="204"/>
      <c r="CQJ31" s="204"/>
      <c r="CQK31" s="204"/>
      <c r="CQL31" s="204"/>
      <c r="CQM31" s="204"/>
      <c r="CQN31" s="204"/>
      <c r="CQO31" s="204"/>
      <c r="CQP31" s="204"/>
      <c r="CQQ31" s="204"/>
      <c r="CQR31" s="204"/>
      <c r="CQS31" s="204"/>
      <c r="CQT31" s="204"/>
      <c r="CQU31" s="204"/>
      <c r="CQV31" s="204"/>
      <c r="CQW31" s="204"/>
      <c r="CQX31" s="204"/>
      <c r="CQY31" s="204"/>
      <c r="CQZ31" s="204"/>
      <c r="CRA31" s="204"/>
      <c r="CRB31" s="204"/>
      <c r="CRC31" s="204"/>
      <c r="CRD31" s="204"/>
      <c r="CRE31" s="204"/>
      <c r="CRF31" s="204"/>
      <c r="CRG31" s="204"/>
      <c r="CRH31" s="204"/>
      <c r="CRI31" s="204"/>
      <c r="CRJ31" s="204"/>
      <c r="CRK31" s="204"/>
      <c r="CRL31" s="204"/>
      <c r="CRM31" s="204"/>
      <c r="CRN31" s="204"/>
      <c r="CRO31" s="204"/>
      <c r="CRP31" s="204"/>
      <c r="CRQ31" s="204"/>
      <c r="CRR31" s="204"/>
      <c r="CRS31" s="204"/>
      <c r="CRT31" s="204"/>
      <c r="CRU31" s="204"/>
      <c r="CRV31" s="204"/>
      <c r="CRW31" s="204"/>
      <c r="CRX31" s="204"/>
      <c r="CRY31" s="204"/>
      <c r="CRZ31" s="204"/>
      <c r="CSA31" s="204"/>
      <c r="CSB31" s="204"/>
      <c r="CSC31" s="204"/>
      <c r="CSD31" s="204"/>
      <c r="CSE31" s="204"/>
      <c r="CSF31" s="204"/>
      <c r="CSG31" s="204"/>
      <c r="CSH31" s="204"/>
      <c r="CSI31" s="204"/>
      <c r="CSJ31" s="204"/>
      <c r="CSK31" s="204"/>
      <c r="CSL31" s="204"/>
      <c r="CSM31" s="204"/>
      <c r="CSN31" s="204"/>
      <c r="CSO31" s="204"/>
      <c r="CSP31" s="204"/>
      <c r="CSQ31" s="204"/>
      <c r="CSR31" s="204"/>
      <c r="CSS31" s="204"/>
      <c r="CST31" s="204"/>
      <c r="CSU31" s="204"/>
      <c r="CSV31" s="204"/>
      <c r="CSW31" s="204"/>
      <c r="CSX31" s="204"/>
      <c r="CSY31" s="204"/>
      <c r="CSZ31" s="204"/>
      <c r="CTA31" s="204"/>
      <c r="CTB31" s="204"/>
      <c r="CTC31" s="204"/>
      <c r="CTD31" s="204"/>
      <c r="CTE31" s="204"/>
      <c r="CTF31" s="204"/>
      <c r="CTG31" s="204"/>
      <c r="CTH31" s="204"/>
      <c r="CTI31" s="204"/>
      <c r="CTJ31" s="204"/>
      <c r="CTK31" s="204"/>
      <c r="CTL31" s="204"/>
      <c r="CTM31" s="204"/>
      <c r="CTN31" s="204"/>
      <c r="CTO31" s="204"/>
      <c r="CTP31" s="204"/>
      <c r="CTQ31" s="204"/>
      <c r="CTR31" s="204"/>
      <c r="CTS31" s="204"/>
      <c r="CTT31" s="204"/>
      <c r="CTU31" s="204"/>
      <c r="CTV31" s="204"/>
      <c r="CTW31" s="204"/>
      <c r="CTX31" s="204"/>
      <c r="CTY31" s="204"/>
      <c r="CTZ31" s="204"/>
      <c r="CUA31" s="204"/>
      <c r="CUB31" s="204"/>
      <c r="CUC31" s="204"/>
      <c r="CUD31" s="204"/>
      <c r="CUE31" s="204"/>
      <c r="CUF31" s="204"/>
      <c r="CUG31" s="204"/>
      <c r="CUH31" s="204"/>
      <c r="CUI31" s="204"/>
      <c r="CUJ31" s="204"/>
      <c r="CUK31" s="204"/>
      <c r="CUL31" s="204"/>
      <c r="CUM31" s="204"/>
      <c r="CUN31" s="204"/>
      <c r="CUO31" s="204"/>
      <c r="CUP31" s="204"/>
      <c r="CUQ31" s="204"/>
      <c r="CUR31" s="204"/>
      <c r="CUS31" s="204"/>
      <c r="CUT31" s="204"/>
      <c r="CUU31" s="204"/>
      <c r="CUV31" s="204"/>
      <c r="CUW31" s="204"/>
      <c r="CUX31" s="204"/>
      <c r="CUY31" s="204"/>
      <c r="CUZ31" s="204"/>
      <c r="CVA31" s="204"/>
      <c r="CVB31" s="204"/>
      <c r="CVC31" s="204"/>
      <c r="CVD31" s="204"/>
      <c r="CVE31" s="204"/>
      <c r="CVF31" s="204"/>
      <c r="CVG31" s="204"/>
      <c r="CVH31" s="204"/>
      <c r="CVI31" s="204"/>
      <c r="CVJ31" s="204"/>
      <c r="CVK31" s="204"/>
      <c r="CVL31" s="204"/>
      <c r="CVM31" s="204"/>
      <c r="CVN31" s="204"/>
      <c r="CVO31" s="204"/>
      <c r="CVP31" s="204"/>
      <c r="CVQ31" s="204"/>
      <c r="CVR31" s="204"/>
      <c r="CVS31" s="204"/>
      <c r="CVT31" s="204"/>
      <c r="CVU31" s="204"/>
      <c r="CVV31" s="204"/>
      <c r="CVW31" s="204"/>
      <c r="CVX31" s="204"/>
      <c r="CVY31" s="204"/>
      <c r="CVZ31" s="204"/>
      <c r="CWA31" s="204"/>
      <c r="CWB31" s="204"/>
      <c r="CWC31" s="204"/>
      <c r="CWD31" s="204"/>
      <c r="CWE31" s="204"/>
      <c r="CWF31" s="204"/>
      <c r="CWG31" s="204"/>
      <c r="CWH31" s="204"/>
      <c r="CWI31" s="204"/>
      <c r="CWJ31" s="204"/>
      <c r="CWK31" s="204"/>
      <c r="CWL31" s="204"/>
      <c r="CWM31" s="204"/>
      <c r="CWN31" s="204"/>
      <c r="CWO31" s="204"/>
      <c r="CWP31" s="204"/>
      <c r="CWQ31" s="204"/>
      <c r="CWR31" s="204"/>
      <c r="CWS31" s="204"/>
      <c r="CWT31" s="204"/>
      <c r="CWU31" s="204"/>
      <c r="CWV31" s="204"/>
      <c r="CWW31" s="204"/>
      <c r="CWX31" s="204"/>
      <c r="CWY31" s="204"/>
      <c r="CWZ31" s="204"/>
      <c r="CXA31" s="204"/>
      <c r="CXB31" s="204"/>
      <c r="CXC31" s="204"/>
      <c r="CXD31" s="204"/>
      <c r="CXE31" s="204"/>
      <c r="CXF31" s="204"/>
      <c r="CXG31" s="204"/>
      <c r="CXH31" s="204"/>
      <c r="CXI31" s="204"/>
      <c r="CXJ31" s="204"/>
      <c r="CXK31" s="204"/>
      <c r="CXL31" s="204"/>
      <c r="CXM31" s="204"/>
      <c r="CXN31" s="204"/>
      <c r="CXO31" s="204"/>
      <c r="CXP31" s="204"/>
      <c r="CXQ31" s="204"/>
      <c r="CXR31" s="204"/>
      <c r="CXS31" s="204"/>
      <c r="CXT31" s="204"/>
      <c r="CXU31" s="204"/>
      <c r="CXV31" s="204"/>
      <c r="CXW31" s="204"/>
      <c r="CXX31" s="204"/>
      <c r="CXY31" s="204"/>
      <c r="CXZ31" s="204"/>
      <c r="CYA31" s="204"/>
      <c r="CYB31" s="204"/>
      <c r="CYC31" s="204"/>
      <c r="CYD31" s="204"/>
      <c r="CYE31" s="204"/>
      <c r="CYF31" s="204"/>
      <c r="CYG31" s="204"/>
      <c r="CYH31" s="204"/>
      <c r="CYI31" s="204"/>
      <c r="CYJ31" s="204"/>
      <c r="CYK31" s="204"/>
      <c r="CYL31" s="204"/>
      <c r="CYM31" s="204"/>
      <c r="CYN31" s="204"/>
      <c r="CYO31" s="204"/>
      <c r="CYP31" s="204"/>
      <c r="CYQ31" s="204"/>
      <c r="CYR31" s="204"/>
      <c r="CYS31" s="204"/>
      <c r="CYT31" s="204"/>
      <c r="CYU31" s="204"/>
      <c r="CYV31" s="204"/>
      <c r="CYW31" s="204"/>
      <c r="CYX31" s="204"/>
      <c r="CYY31" s="204"/>
      <c r="CYZ31" s="204"/>
      <c r="CZA31" s="204"/>
      <c r="CZB31" s="204"/>
      <c r="CZC31" s="204"/>
      <c r="CZD31" s="204"/>
      <c r="CZE31" s="204"/>
      <c r="CZF31" s="204"/>
      <c r="CZG31" s="204"/>
      <c r="CZH31" s="204"/>
      <c r="CZI31" s="204"/>
      <c r="CZJ31" s="204"/>
      <c r="CZK31" s="204"/>
      <c r="CZL31" s="204"/>
      <c r="CZM31" s="204"/>
      <c r="CZN31" s="204"/>
      <c r="CZO31" s="204"/>
      <c r="CZP31" s="204"/>
      <c r="CZQ31" s="204"/>
      <c r="CZR31" s="204"/>
      <c r="CZS31" s="204"/>
      <c r="CZT31" s="204"/>
      <c r="CZU31" s="204"/>
      <c r="CZV31" s="204"/>
      <c r="CZW31" s="204"/>
      <c r="CZX31" s="204"/>
      <c r="CZY31" s="204"/>
      <c r="CZZ31" s="204"/>
      <c r="DAA31" s="204"/>
      <c r="DAB31" s="204"/>
      <c r="DAC31" s="204"/>
      <c r="DAD31" s="204"/>
      <c r="DAE31" s="204"/>
      <c r="DAF31" s="204"/>
      <c r="DAG31" s="204"/>
      <c r="DAH31" s="204"/>
      <c r="DAI31" s="204"/>
      <c r="DAJ31" s="204"/>
      <c r="DAK31" s="204"/>
      <c r="DAL31" s="204"/>
      <c r="DAM31" s="204"/>
      <c r="DAN31" s="204"/>
      <c r="DAO31" s="204"/>
      <c r="DAP31" s="204"/>
      <c r="DAQ31" s="204"/>
      <c r="DAR31" s="204"/>
      <c r="DAS31" s="204"/>
      <c r="DAT31" s="204"/>
      <c r="DAU31" s="204"/>
      <c r="DAV31" s="204"/>
      <c r="DAW31" s="204"/>
      <c r="DAX31" s="204"/>
      <c r="DAY31" s="204"/>
      <c r="DAZ31" s="204"/>
      <c r="DBA31" s="204"/>
      <c r="DBB31" s="204"/>
      <c r="DBC31" s="204"/>
      <c r="DBD31" s="204"/>
      <c r="DBE31" s="204"/>
      <c r="DBF31" s="204"/>
      <c r="DBG31" s="204"/>
      <c r="DBH31" s="204"/>
      <c r="DBI31" s="204"/>
      <c r="DBJ31" s="204"/>
      <c r="DBK31" s="204"/>
      <c r="DBL31" s="204"/>
      <c r="DBM31" s="204"/>
      <c r="DBN31" s="204"/>
      <c r="DBO31" s="204"/>
      <c r="DBP31" s="204"/>
      <c r="DBQ31" s="204"/>
      <c r="DBR31" s="204"/>
      <c r="DBS31" s="204"/>
      <c r="DBT31" s="204"/>
      <c r="DBU31" s="204"/>
      <c r="DBV31" s="204"/>
      <c r="DBW31" s="204"/>
      <c r="DBX31" s="204"/>
      <c r="DBY31" s="204"/>
      <c r="DBZ31" s="204"/>
      <c r="DCA31" s="204"/>
      <c r="DCB31" s="204"/>
      <c r="DCC31" s="204"/>
      <c r="DCD31" s="204"/>
      <c r="DCE31" s="204"/>
      <c r="DCF31" s="204"/>
      <c r="DCG31" s="204"/>
      <c r="DCH31" s="204"/>
      <c r="DCI31" s="204"/>
      <c r="DCJ31" s="204"/>
      <c r="DCK31" s="204"/>
      <c r="DCL31" s="204"/>
      <c r="DCM31" s="204"/>
      <c r="DCN31" s="204"/>
      <c r="DCO31" s="204"/>
      <c r="DCP31" s="204"/>
      <c r="DCQ31" s="204"/>
      <c r="DCR31" s="204"/>
      <c r="DCS31" s="204"/>
      <c r="DCT31" s="204"/>
      <c r="DCU31" s="204"/>
      <c r="DCV31" s="204"/>
      <c r="DCW31" s="204"/>
      <c r="DCX31" s="204"/>
      <c r="DCY31" s="204"/>
      <c r="DCZ31" s="204"/>
      <c r="DDA31" s="204"/>
      <c r="DDB31" s="204"/>
      <c r="DDC31" s="204"/>
      <c r="DDD31" s="204"/>
      <c r="DDE31" s="204"/>
      <c r="DDF31" s="204"/>
      <c r="DDG31" s="204"/>
      <c r="DDH31" s="204"/>
      <c r="DDI31" s="204"/>
      <c r="DDJ31" s="204"/>
      <c r="DDK31" s="204"/>
      <c r="DDL31" s="204"/>
      <c r="DDM31" s="204"/>
      <c r="DDN31" s="204"/>
      <c r="DDO31" s="204"/>
      <c r="DDP31" s="204"/>
      <c r="DDQ31" s="204"/>
      <c r="DDR31" s="204"/>
      <c r="DDS31" s="204"/>
      <c r="DDT31" s="204"/>
      <c r="DDU31" s="204"/>
      <c r="DDV31" s="204"/>
      <c r="DDW31" s="204"/>
      <c r="DDX31" s="204"/>
      <c r="DDY31" s="204"/>
      <c r="DDZ31" s="204"/>
      <c r="DEA31" s="204"/>
      <c r="DEB31" s="204"/>
      <c r="DEC31" s="204"/>
      <c r="DED31" s="204"/>
      <c r="DEE31" s="204"/>
      <c r="DEF31" s="204"/>
      <c r="DEG31" s="204"/>
      <c r="DEH31" s="204"/>
      <c r="DEI31" s="204"/>
      <c r="DEJ31" s="204"/>
      <c r="DEK31" s="204"/>
      <c r="DEL31" s="204"/>
      <c r="DEM31" s="204"/>
      <c r="DEN31" s="204"/>
      <c r="DEO31" s="204"/>
      <c r="DEP31" s="204"/>
      <c r="DEQ31" s="204"/>
      <c r="DER31" s="204"/>
      <c r="DES31" s="204"/>
      <c r="DET31" s="204"/>
      <c r="DEU31" s="204"/>
      <c r="DEV31" s="204"/>
      <c r="DEW31" s="204"/>
      <c r="DEX31" s="204"/>
      <c r="DEY31" s="204"/>
      <c r="DEZ31" s="204"/>
      <c r="DFA31" s="204"/>
      <c r="DFB31" s="204"/>
      <c r="DFC31" s="204"/>
      <c r="DFD31" s="204"/>
      <c r="DFE31" s="204"/>
      <c r="DFF31" s="204"/>
      <c r="DFG31" s="204"/>
      <c r="DFH31" s="204"/>
      <c r="DFI31" s="204"/>
      <c r="DFJ31" s="204"/>
      <c r="DFK31" s="204"/>
      <c r="DFL31" s="204"/>
      <c r="DFM31" s="204"/>
      <c r="DFN31" s="204"/>
      <c r="DFO31" s="204"/>
      <c r="DFP31" s="204"/>
      <c r="DFQ31" s="204"/>
      <c r="DFR31" s="204"/>
      <c r="DFS31" s="204"/>
      <c r="DFT31" s="204"/>
      <c r="DFU31" s="204"/>
      <c r="DFV31" s="204"/>
      <c r="DFW31" s="204"/>
      <c r="DFX31" s="204"/>
      <c r="DFY31" s="204"/>
      <c r="DFZ31" s="204"/>
      <c r="DGA31" s="204"/>
      <c r="DGB31" s="204"/>
      <c r="DGC31" s="204"/>
      <c r="DGD31" s="204"/>
      <c r="DGE31" s="204"/>
      <c r="DGF31" s="204"/>
      <c r="DGG31" s="204"/>
      <c r="DGH31" s="204"/>
      <c r="DGI31" s="204"/>
      <c r="DGJ31" s="204"/>
      <c r="DGK31" s="204"/>
      <c r="DGL31" s="204"/>
      <c r="DGM31" s="204"/>
      <c r="DGN31" s="204"/>
      <c r="DGO31" s="204"/>
      <c r="DGP31" s="204"/>
      <c r="DGQ31" s="204"/>
      <c r="DGR31" s="204"/>
      <c r="DGS31" s="204"/>
      <c r="DGT31" s="204"/>
      <c r="DGU31" s="204"/>
      <c r="DGV31" s="204"/>
      <c r="DGW31" s="204"/>
      <c r="DGX31" s="204"/>
      <c r="DGY31" s="204"/>
      <c r="DGZ31" s="204"/>
      <c r="DHA31" s="204"/>
      <c r="DHB31" s="204"/>
      <c r="DHC31" s="204"/>
      <c r="DHD31" s="204"/>
      <c r="DHE31" s="204"/>
      <c r="DHF31" s="204"/>
      <c r="DHG31" s="204"/>
      <c r="DHH31" s="204"/>
      <c r="DHI31" s="204"/>
      <c r="DHJ31" s="204"/>
      <c r="DHK31" s="204"/>
      <c r="DHL31" s="204"/>
      <c r="DHM31" s="204"/>
      <c r="DHN31" s="204"/>
      <c r="DHO31" s="204"/>
      <c r="DHP31" s="204"/>
      <c r="DHQ31" s="204"/>
      <c r="DHR31" s="204"/>
      <c r="DHS31" s="204"/>
      <c r="DHT31" s="204"/>
      <c r="DHU31" s="204"/>
      <c r="DHV31" s="204"/>
      <c r="DHW31" s="204"/>
      <c r="DHX31" s="204"/>
      <c r="DHY31" s="204"/>
      <c r="DHZ31" s="204"/>
      <c r="DIA31" s="204"/>
      <c r="DIB31" s="204"/>
      <c r="DIC31" s="204"/>
      <c r="DID31" s="204"/>
      <c r="DIE31" s="204"/>
      <c r="DIF31" s="204"/>
      <c r="DIG31" s="204"/>
      <c r="DIH31" s="204"/>
      <c r="DII31" s="204"/>
      <c r="DIJ31" s="204"/>
      <c r="DIK31" s="204"/>
      <c r="DIL31" s="204"/>
      <c r="DIM31" s="204"/>
      <c r="DIN31" s="204"/>
      <c r="DIO31" s="204"/>
      <c r="DIP31" s="204"/>
      <c r="DIQ31" s="204"/>
      <c r="DIR31" s="204"/>
      <c r="DIS31" s="204"/>
      <c r="DIT31" s="204"/>
      <c r="DIU31" s="204"/>
      <c r="DIV31" s="204"/>
      <c r="DIW31" s="204"/>
      <c r="DIX31" s="204"/>
      <c r="DIY31" s="204"/>
      <c r="DIZ31" s="204"/>
      <c r="DJA31" s="204"/>
      <c r="DJB31" s="204"/>
      <c r="DJC31" s="204"/>
      <c r="DJD31" s="204"/>
      <c r="DJE31" s="204"/>
      <c r="DJF31" s="204"/>
      <c r="DJG31" s="204"/>
      <c r="DJH31" s="204"/>
      <c r="DJI31" s="204"/>
      <c r="DJJ31" s="204"/>
      <c r="DJK31" s="204"/>
      <c r="DJL31" s="204"/>
      <c r="DJM31" s="204"/>
      <c r="DJN31" s="204"/>
      <c r="DJO31" s="204"/>
      <c r="DJP31" s="204"/>
      <c r="DJQ31" s="204"/>
      <c r="DJR31" s="204"/>
      <c r="DJS31" s="204"/>
      <c r="DJT31" s="204"/>
      <c r="DJU31" s="204"/>
      <c r="DJV31" s="204"/>
      <c r="DJW31" s="204"/>
      <c r="DJX31" s="204"/>
      <c r="DJY31" s="204"/>
      <c r="DJZ31" s="204"/>
      <c r="DKA31" s="204"/>
      <c r="DKB31" s="204"/>
      <c r="DKC31" s="204"/>
      <c r="DKD31" s="204"/>
      <c r="DKE31" s="204"/>
      <c r="DKF31" s="204"/>
      <c r="DKG31" s="204"/>
      <c r="DKH31" s="204"/>
      <c r="DKI31" s="204"/>
      <c r="DKJ31" s="204"/>
      <c r="DKK31" s="204"/>
      <c r="DKL31" s="204"/>
      <c r="DKM31" s="204"/>
      <c r="DKN31" s="204"/>
      <c r="DKO31" s="204"/>
      <c r="DKP31" s="204"/>
      <c r="DKQ31" s="204"/>
      <c r="DKR31" s="204"/>
      <c r="DKS31" s="204"/>
      <c r="DKT31" s="204"/>
      <c r="DKU31" s="204"/>
      <c r="DKV31" s="204"/>
      <c r="DKW31" s="204"/>
      <c r="DKX31" s="204"/>
      <c r="DKY31" s="204"/>
      <c r="DKZ31" s="204"/>
      <c r="DLA31" s="204"/>
      <c r="DLB31" s="204"/>
      <c r="DLC31" s="204"/>
      <c r="DLD31" s="204"/>
      <c r="DLE31" s="204"/>
      <c r="DLF31" s="204"/>
      <c r="DLG31" s="204"/>
      <c r="DLH31" s="204"/>
      <c r="DLI31" s="204"/>
      <c r="DLJ31" s="204"/>
      <c r="DLK31" s="204"/>
      <c r="DLL31" s="204"/>
      <c r="DLM31" s="204"/>
      <c r="DLN31" s="204"/>
      <c r="DLO31" s="204"/>
      <c r="DLP31" s="204"/>
      <c r="DLQ31" s="204"/>
      <c r="DLR31" s="204"/>
      <c r="DLS31" s="204"/>
      <c r="DLT31" s="204"/>
      <c r="DLU31" s="204"/>
      <c r="DLV31" s="204"/>
      <c r="DLW31" s="204"/>
      <c r="DLX31" s="204"/>
      <c r="DLY31" s="204"/>
      <c r="DLZ31" s="204"/>
      <c r="DMA31" s="204"/>
      <c r="DMB31" s="204"/>
      <c r="DMC31" s="204"/>
      <c r="DMD31" s="204"/>
      <c r="DME31" s="204"/>
      <c r="DMF31" s="204"/>
      <c r="DMG31" s="204"/>
      <c r="DMH31" s="204"/>
      <c r="DMI31" s="204"/>
      <c r="DMJ31" s="204"/>
      <c r="DMK31" s="204"/>
      <c r="DML31" s="204"/>
      <c r="DMM31" s="204"/>
      <c r="DMN31" s="204"/>
      <c r="DMO31" s="204"/>
      <c r="DMP31" s="204"/>
      <c r="DMQ31" s="204"/>
      <c r="DMR31" s="204"/>
      <c r="DMS31" s="204"/>
      <c r="DMT31" s="204"/>
      <c r="DMU31" s="204"/>
      <c r="DMV31" s="204"/>
      <c r="DMW31" s="204"/>
      <c r="DMX31" s="204"/>
      <c r="DMY31" s="204"/>
      <c r="DMZ31" s="204"/>
      <c r="DNA31" s="204"/>
      <c r="DNB31" s="204"/>
      <c r="DNC31" s="204"/>
      <c r="DND31" s="204"/>
      <c r="DNE31" s="204"/>
      <c r="DNF31" s="204"/>
      <c r="DNG31" s="204"/>
      <c r="DNH31" s="204"/>
      <c r="DNI31" s="204"/>
      <c r="DNJ31" s="204"/>
      <c r="DNK31" s="204"/>
      <c r="DNL31" s="204"/>
      <c r="DNM31" s="204"/>
      <c r="DNN31" s="204"/>
      <c r="DNO31" s="204"/>
      <c r="DNP31" s="204"/>
      <c r="DNQ31" s="204"/>
      <c r="DNR31" s="204"/>
      <c r="DNS31" s="204"/>
      <c r="DNT31" s="204"/>
      <c r="DNU31" s="204"/>
      <c r="DNV31" s="204"/>
      <c r="DNW31" s="204"/>
      <c r="DNX31" s="204"/>
      <c r="DNY31" s="204"/>
      <c r="DNZ31" s="204"/>
      <c r="DOA31" s="204"/>
      <c r="DOB31" s="204"/>
      <c r="DOC31" s="204"/>
      <c r="DOD31" s="204"/>
      <c r="DOE31" s="204"/>
      <c r="DOF31" s="204"/>
      <c r="DOG31" s="204"/>
      <c r="DOH31" s="204"/>
      <c r="DOI31" s="204"/>
      <c r="DOJ31" s="204"/>
      <c r="DOK31" s="204"/>
      <c r="DOL31" s="204"/>
      <c r="DOM31" s="204"/>
      <c r="DON31" s="204"/>
      <c r="DOO31" s="204"/>
      <c r="DOP31" s="204"/>
      <c r="DOQ31" s="204"/>
      <c r="DOR31" s="204"/>
      <c r="DOS31" s="204"/>
      <c r="DOT31" s="204"/>
      <c r="DOU31" s="204"/>
      <c r="DOV31" s="204"/>
      <c r="DOW31" s="204"/>
      <c r="DOX31" s="204"/>
      <c r="DOY31" s="204"/>
      <c r="DOZ31" s="204"/>
      <c r="DPA31" s="204"/>
      <c r="DPB31" s="204"/>
      <c r="DPC31" s="204"/>
      <c r="DPD31" s="204"/>
      <c r="DPE31" s="204"/>
      <c r="DPF31" s="204"/>
      <c r="DPG31" s="204"/>
      <c r="DPH31" s="204"/>
      <c r="DPI31" s="204"/>
      <c r="DPJ31" s="204"/>
      <c r="DPK31" s="204"/>
      <c r="DPL31" s="204"/>
      <c r="DPM31" s="204"/>
      <c r="DPN31" s="204"/>
      <c r="DPO31" s="204"/>
      <c r="DPP31" s="204"/>
      <c r="DPQ31" s="204"/>
      <c r="DPR31" s="204"/>
      <c r="DPS31" s="204"/>
      <c r="DPT31" s="204"/>
      <c r="DPU31" s="204"/>
      <c r="DPV31" s="204"/>
      <c r="DPW31" s="204"/>
      <c r="DPX31" s="204"/>
      <c r="DPY31" s="204"/>
      <c r="DPZ31" s="204"/>
      <c r="DQA31" s="204"/>
      <c r="DQB31" s="204"/>
      <c r="DQC31" s="204"/>
      <c r="DQD31" s="204"/>
      <c r="DQE31" s="204"/>
      <c r="DQF31" s="204"/>
      <c r="DQG31" s="204"/>
      <c r="DQH31" s="204"/>
      <c r="DQI31" s="204"/>
      <c r="DQJ31" s="204"/>
      <c r="DQK31" s="204"/>
      <c r="DQL31" s="204"/>
      <c r="DQM31" s="204"/>
      <c r="DQN31" s="204"/>
      <c r="DQO31" s="204"/>
      <c r="DQP31" s="204"/>
      <c r="DQQ31" s="204"/>
      <c r="DQR31" s="204"/>
      <c r="DQS31" s="204"/>
      <c r="DQT31" s="204"/>
      <c r="DQU31" s="204"/>
      <c r="DQV31" s="204"/>
      <c r="DQW31" s="204"/>
      <c r="DQX31" s="204"/>
      <c r="DQY31" s="204"/>
      <c r="DQZ31" s="204"/>
      <c r="DRA31" s="204"/>
      <c r="DRB31" s="204"/>
      <c r="DRC31" s="204"/>
      <c r="DRD31" s="204"/>
      <c r="DRE31" s="204"/>
      <c r="DRF31" s="204"/>
      <c r="DRG31" s="204"/>
      <c r="DRH31" s="204"/>
      <c r="DRI31" s="204"/>
      <c r="DRJ31" s="204"/>
      <c r="DRK31" s="204"/>
      <c r="DRL31" s="204"/>
      <c r="DRM31" s="204"/>
      <c r="DRN31" s="204"/>
      <c r="DRO31" s="204"/>
      <c r="DRP31" s="204"/>
      <c r="DRQ31" s="204"/>
      <c r="DRR31" s="204"/>
      <c r="DRS31" s="204"/>
      <c r="DRT31" s="204"/>
      <c r="DRU31" s="204"/>
      <c r="DRV31" s="204"/>
      <c r="DRW31" s="204"/>
      <c r="DRX31" s="204"/>
      <c r="DRY31" s="204"/>
      <c r="DRZ31" s="204"/>
      <c r="DSA31" s="204"/>
      <c r="DSB31" s="204"/>
      <c r="DSC31" s="204"/>
      <c r="DSD31" s="204"/>
      <c r="DSE31" s="204"/>
      <c r="DSF31" s="204"/>
      <c r="DSG31" s="204"/>
      <c r="DSH31" s="204"/>
      <c r="DSI31" s="204"/>
      <c r="DSJ31" s="204"/>
      <c r="DSK31" s="204"/>
      <c r="DSL31" s="204"/>
      <c r="DSM31" s="204"/>
      <c r="DSN31" s="204"/>
      <c r="DSO31" s="204"/>
      <c r="DSP31" s="204"/>
      <c r="DSQ31" s="204"/>
      <c r="DSR31" s="204"/>
      <c r="DSS31" s="204"/>
      <c r="DST31" s="204"/>
      <c r="DSU31" s="204"/>
      <c r="DSV31" s="204"/>
      <c r="DSW31" s="204"/>
      <c r="DSX31" s="204"/>
      <c r="DSY31" s="204"/>
      <c r="DSZ31" s="204"/>
      <c r="DTA31" s="204"/>
      <c r="DTB31" s="204"/>
      <c r="DTC31" s="204"/>
      <c r="DTD31" s="204"/>
      <c r="DTE31" s="204"/>
      <c r="DTF31" s="204"/>
      <c r="DTG31" s="204"/>
      <c r="DTH31" s="204"/>
      <c r="DTI31" s="204"/>
      <c r="DTJ31" s="204"/>
      <c r="DTK31" s="204"/>
      <c r="DTL31" s="204"/>
      <c r="DTM31" s="204"/>
      <c r="DTN31" s="204"/>
      <c r="DTO31" s="204"/>
      <c r="DTP31" s="204"/>
      <c r="DTQ31" s="204"/>
      <c r="DTR31" s="204"/>
      <c r="DTS31" s="204"/>
      <c r="DTT31" s="204"/>
      <c r="DTU31" s="204"/>
      <c r="DTV31" s="204"/>
      <c r="DTW31" s="204"/>
      <c r="DTX31" s="204"/>
      <c r="DTY31" s="204"/>
      <c r="DTZ31" s="204"/>
      <c r="DUA31" s="204"/>
      <c r="DUB31" s="204"/>
      <c r="DUC31" s="204"/>
      <c r="DUD31" s="204"/>
      <c r="DUE31" s="204"/>
      <c r="DUF31" s="204"/>
      <c r="DUG31" s="204"/>
      <c r="DUH31" s="204"/>
      <c r="DUI31" s="204"/>
      <c r="DUJ31" s="204"/>
      <c r="DUK31" s="204"/>
      <c r="DUL31" s="204"/>
      <c r="DUM31" s="204"/>
      <c r="DUN31" s="204"/>
      <c r="DUO31" s="204"/>
      <c r="DUP31" s="204"/>
      <c r="DUQ31" s="204"/>
      <c r="DUR31" s="204"/>
      <c r="DUS31" s="204"/>
      <c r="DUT31" s="204"/>
      <c r="DUU31" s="204"/>
      <c r="DUV31" s="204"/>
      <c r="DUW31" s="204"/>
      <c r="DUX31" s="204"/>
      <c r="DUY31" s="204"/>
      <c r="DUZ31" s="204"/>
      <c r="DVA31" s="204"/>
      <c r="DVB31" s="204"/>
      <c r="DVC31" s="204"/>
      <c r="DVD31" s="204"/>
      <c r="DVE31" s="204"/>
      <c r="DVF31" s="204"/>
      <c r="DVG31" s="204"/>
      <c r="DVH31" s="204"/>
      <c r="DVI31" s="204"/>
      <c r="DVJ31" s="204"/>
      <c r="DVK31" s="204"/>
      <c r="DVL31" s="204"/>
      <c r="DVM31" s="204"/>
      <c r="DVN31" s="204"/>
      <c r="DVO31" s="204"/>
      <c r="DVP31" s="204"/>
      <c r="DVQ31" s="204"/>
      <c r="DVR31" s="204"/>
      <c r="DVS31" s="204"/>
      <c r="DVT31" s="204"/>
      <c r="DVU31" s="204"/>
      <c r="DVV31" s="204"/>
      <c r="DVW31" s="204"/>
      <c r="DVX31" s="204"/>
      <c r="DVY31" s="204"/>
      <c r="DVZ31" s="204"/>
      <c r="DWA31" s="204"/>
      <c r="DWB31" s="204"/>
      <c r="DWC31" s="204"/>
      <c r="DWD31" s="204"/>
      <c r="DWE31" s="204"/>
      <c r="DWF31" s="204"/>
      <c r="DWG31" s="204"/>
      <c r="DWH31" s="204"/>
      <c r="DWI31" s="204"/>
      <c r="DWJ31" s="204"/>
      <c r="DWK31" s="204"/>
      <c r="DWL31" s="204"/>
      <c r="DWM31" s="204"/>
      <c r="DWN31" s="204"/>
      <c r="DWO31" s="204"/>
      <c r="DWP31" s="204"/>
      <c r="DWQ31" s="204"/>
      <c r="DWR31" s="204"/>
      <c r="DWS31" s="204"/>
      <c r="DWT31" s="204"/>
      <c r="DWU31" s="204"/>
      <c r="DWV31" s="204"/>
      <c r="DWW31" s="204"/>
      <c r="DWX31" s="204"/>
      <c r="DWY31" s="204"/>
      <c r="DWZ31" s="204"/>
      <c r="DXA31" s="204"/>
      <c r="DXB31" s="204"/>
      <c r="DXC31" s="204"/>
      <c r="DXD31" s="204"/>
      <c r="DXE31" s="204"/>
      <c r="DXF31" s="204"/>
      <c r="DXG31" s="204"/>
      <c r="DXH31" s="204"/>
      <c r="DXI31" s="204"/>
      <c r="DXJ31" s="204"/>
      <c r="DXK31" s="204"/>
      <c r="DXL31" s="204"/>
      <c r="DXM31" s="204"/>
      <c r="DXN31" s="204"/>
      <c r="DXO31" s="204"/>
      <c r="DXP31" s="204"/>
      <c r="DXQ31" s="204"/>
      <c r="DXR31" s="204"/>
      <c r="DXS31" s="204"/>
      <c r="DXT31" s="204"/>
      <c r="DXU31" s="204"/>
      <c r="DXV31" s="204"/>
      <c r="DXW31" s="204"/>
      <c r="DXX31" s="204"/>
      <c r="DXY31" s="204"/>
      <c r="DXZ31" s="204"/>
      <c r="DYA31" s="204"/>
      <c r="DYB31" s="204"/>
      <c r="DYC31" s="204"/>
      <c r="DYD31" s="204"/>
      <c r="DYE31" s="204"/>
      <c r="DYF31" s="204"/>
      <c r="DYG31" s="204"/>
      <c r="DYH31" s="204"/>
      <c r="DYI31" s="204"/>
      <c r="DYJ31" s="204"/>
      <c r="DYK31" s="204"/>
      <c r="DYL31" s="204"/>
      <c r="DYM31" s="204"/>
      <c r="DYN31" s="204"/>
      <c r="DYO31" s="204"/>
      <c r="DYP31" s="204"/>
      <c r="DYQ31" s="204"/>
      <c r="DYR31" s="204"/>
      <c r="DYS31" s="204"/>
      <c r="DYT31" s="204"/>
      <c r="DYU31" s="204"/>
      <c r="DYV31" s="204"/>
      <c r="DYW31" s="204"/>
      <c r="DYX31" s="204"/>
      <c r="DYY31" s="204"/>
      <c r="DYZ31" s="204"/>
      <c r="DZA31" s="204"/>
      <c r="DZB31" s="204"/>
      <c r="DZC31" s="204"/>
      <c r="DZD31" s="204"/>
      <c r="DZE31" s="204"/>
      <c r="DZF31" s="204"/>
      <c r="DZG31" s="204"/>
      <c r="DZH31" s="204"/>
      <c r="DZI31" s="204"/>
      <c r="DZJ31" s="204"/>
      <c r="DZK31" s="204"/>
      <c r="DZL31" s="204"/>
      <c r="DZM31" s="204"/>
      <c r="DZN31" s="204"/>
      <c r="DZO31" s="204"/>
      <c r="DZP31" s="204"/>
      <c r="DZQ31" s="204"/>
      <c r="DZR31" s="204"/>
      <c r="DZS31" s="204"/>
      <c r="DZT31" s="204"/>
      <c r="DZU31" s="204"/>
      <c r="DZV31" s="204"/>
      <c r="DZW31" s="204"/>
      <c r="DZX31" s="204"/>
      <c r="DZY31" s="204"/>
      <c r="DZZ31" s="204"/>
      <c r="EAA31" s="204"/>
      <c r="EAB31" s="204"/>
      <c r="EAC31" s="204"/>
      <c r="EAD31" s="204"/>
      <c r="EAE31" s="204"/>
      <c r="EAF31" s="204"/>
      <c r="EAG31" s="204"/>
      <c r="EAH31" s="204"/>
      <c r="EAI31" s="204"/>
      <c r="EAJ31" s="204"/>
      <c r="EAK31" s="204"/>
      <c r="EAL31" s="204"/>
      <c r="EAM31" s="204"/>
      <c r="EAN31" s="204"/>
      <c r="EAO31" s="204"/>
      <c r="EAP31" s="204"/>
      <c r="EAQ31" s="204"/>
      <c r="EAR31" s="204"/>
      <c r="EAS31" s="204"/>
      <c r="EAT31" s="204"/>
      <c r="EAU31" s="204"/>
      <c r="EAV31" s="204"/>
      <c r="EAW31" s="204"/>
      <c r="EAX31" s="204"/>
      <c r="EAY31" s="204"/>
      <c r="EAZ31" s="204"/>
      <c r="EBA31" s="204"/>
      <c r="EBB31" s="204"/>
      <c r="EBC31" s="204"/>
      <c r="EBD31" s="204"/>
      <c r="EBE31" s="204"/>
      <c r="EBF31" s="204"/>
      <c r="EBG31" s="204"/>
      <c r="EBH31" s="204"/>
      <c r="EBI31" s="204"/>
      <c r="EBJ31" s="204"/>
      <c r="EBK31" s="204"/>
      <c r="EBL31" s="204"/>
      <c r="EBM31" s="204"/>
      <c r="EBN31" s="204"/>
      <c r="EBO31" s="204"/>
      <c r="EBP31" s="204"/>
      <c r="EBQ31" s="204"/>
      <c r="EBR31" s="204"/>
      <c r="EBS31" s="204"/>
      <c r="EBT31" s="204"/>
      <c r="EBU31" s="204"/>
      <c r="EBV31" s="204"/>
      <c r="EBW31" s="204"/>
      <c r="EBX31" s="204"/>
      <c r="EBY31" s="204"/>
      <c r="EBZ31" s="204"/>
      <c r="ECA31" s="204"/>
      <c r="ECB31" s="204"/>
      <c r="ECC31" s="204"/>
      <c r="ECD31" s="204"/>
      <c r="ECE31" s="204"/>
      <c r="ECF31" s="204"/>
      <c r="ECG31" s="204"/>
      <c r="ECH31" s="204"/>
      <c r="ECI31" s="204"/>
      <c r="ECJ31" s="204"/>
      <c r="ECK31" s="204"/>
      <c r="ECL31" s="204"/>
      <c r="ECM31" s="204"/>
      <c r="ECN31" s="204"/>
      <c r="ECO31" s="204"/>
      <c r="ECP31" s="204"/>
      <c r="ECQ31" s="204"/>
      <c r="ECR31" s="204"/>
      <c r="ECS31" s="204"/>
      <c r="ECT31" s="204"/>
      <c r="ECU31" s="204"/>
      <c r="ECV31" s="204"/>
      <c r="ECW31" s="204"/>
      <c r="ECX31" s="204"/>
      <c r="ECY31" s="204"/>
      <c r="ECZ31" s="204"/>
      <c r="EDA31" s="204"/>
      <c r="EDB31" s="204"/>
      <c r="EDC31" s="204"/>
      <c r="EDD31" s="204"/>
      <c r="EDE31" s="204"/>
      <c r="EDF31" s="204"/>
      <c r="EDG31" s="204"/>
      <c r="EDH31" s="204"/>
      <c r="EDI31" s="204"/>
      <c r="EDJ31" s="204"/>
      <c r="EDK31" s="204"/>
      <c r="EDL31" s="204"/>
      <c r="EDM31" s="204"/>
      <c r="EDN31" s="204"/>
      <c r="EDO31" s="204"/>
      <c r="EDP31" s="204"/>
      <c r="EDQ31" s="204"/>
      <c r="EDR31" s="204"/>
      <c r="EDS31" s="204"/>
      <c r="EDT31" s="204"/>
      <c r="EDU31" s="204"/>
      <c r="EDV31" s="204"/>
      <c r="EDW31" s="204"/>
      <c r="EDX31" s="204"/>
      <c r="EDY31" s="204"/>
      <c r="EDZ31" s="204"/>
      <c r="EEA31" s="204"/>
      <c r="EEB31" s="204"/>
      <c r="EEC31" s="204"/>
      <c r="EED31" s="204"/>
      <c r="EEE31" s="204"/>
      <c r="EEF31" s="204"/>
      <c r="EEG31" s="204"/>
      <c r="EEH31" s="204"/>
      <c r="EEI31" s="204"/>
      <c r="EEJ31" s="204"/>
      <c r="EEK31" s="204"/>
      <c r="EEL31" s="204"/>
      <c r="EEM31" s="204"/>
      <c r="EEN31" s="204"/>
      <c r="EEO31" s="204"/>
      <c r="EEP31" s="204"/>
      <c r="EEQ31" s="204"/>
      <c r="EER31" s="204"/>
      <c r="EES31" s="204"/>
      <c r="EET31" s="204"/>
      <c r="EEU31" s="204"/>
      <c r="EEV31" s="204"/>
      <c r="EEW31" s="204"/>
      <c r="EEX31" s="204"/>
      <c r="EEY31" s="204"/>
      <c r="EEZ31" s="204"/>
      <c r="EFA31" s="204"/>
      <c r="EFB31" s="204"/>
      <c r="EFC31" s="204"/>
      <c r="EFD31" s="204"/>
      <c r="EFE31" s="204"/>
      <c r="EFF31" s="204"/>
      <c r="EFG31" s="204"/>
      <c r="EFH31" s="204"/>
      <c r="EFI31" s="204"/>
      <c r="EFJ31" s="204"/>
      <c r="EFK31" s="204"/>
      <c r="EFL31" s="204"/>
      <c r="EFM31" s="204"/>
      <c r="EFN31" s="204"/>
      <c r="EFO31" s="204"/>
      <c r="EFP31" s="204"/>
      <c r="EFQ31" s="204"/>
      <c r="EFR31" s="204"/>
      <c r="EFS31" s="204"/>
      <c r="EFT31" s="204"/>
      <c r="EFU31" s="204"/>
      <c r="EFV31" s="204"/>
      <c r="EFW31" s="204"/>
      <c r="EFX31" s="204"/>
      <c r="EFY31" s="204"/>
      <c r="EFZ31" s="204"/>
      <c r="EGA31" s="204"/>
      <c r="EGB31" s="204"/>
      <c r="EGC31" s="204"/>
      <c r="EGD31" s="204"/>
      <c r="EGE31" s="204"/>
      <c r="EGF31" s="204"/>
      <c r="EGG31" s="204"/>
      <c r="EGH31" s="204"/>
      <c r="EGI31" s="204"/>
      <c r="EGJ31" s="204"/>
      <c r="EGK31" s="204"/>
      <c r="EGL31" s="204"/>
      <c r="EGM31" s="204"/>
      <c r="EGN31" s="204"/>
      <c r="EGO31" s="204"/>
      <c r="EGP31" s="204"/>
      <c r="EGQ31" s="204"/>
      <c r="EGR31" s="204"/>
      <c r="EGS31" s="204"/>
      <c r="EGT31" s="204"/>
      <c r="EGU31" s="204"/>
      <c r="EGV31" s="204"/>
      <c r="EGW31" s="204"/>
      <c r="EGX31" s="204"/>
      <c r="EGY31" s="204"/>
      <c r="EGZ31" s="204"/>
      <c r="EHA31" s="204"/>
      <c r="EHB31" s="204"/>
      <c r="EHC31" s="204"/>
      <c r="EHD31" s="204"/>
      <c r="EHE31" s="204"/>
      <c r="EHF31" s="204"/>
      <c r="EHG31" s="204"/>
      <c r="EHH31" s="204"/>
      <c r="EHI31" s="204"/>
      <c r="EHJ31" s="204"/>
      <c r="EHK31" s="204"/>
      <c r="EHL31" s="204"/>
      <c r="EHM31" s="204"/>
      <c r="EHN31" s="204"/>
      <c r="EHO31" s="204"/>
      <c r="EHP31" s="204"/>
      <c r="EHQ31" s="204"/>
      <c r="EHR31" s="204"/>
      <c r="EHS31" s="204"/>
      <c r="EHT31" s="204"/>
      <c r="EHU31" s="204"/>
      <c r="EHV31" s="204"/>
      <c r="EHW31" s="204"/>
      <c r="EHX31" s="204"/>
      <c r="EHY31" s="204"/>
      <c r="EHZ31" s="204"/>
      <c r="EIA31" s="204"/>
      <c r="EIB31" s="204"/>
      <c r="EIC31" s="204"/>
      <c r="EID31" s="204"/>
      <c r="EIE31" s="204"/>
      <c r="EIF31" s="204"/>
      <c r="EIG31" s="204"/>
      <c r="EIH31" s="204"/>
      <c r="EII31" s="204"/>
      <c r="EIJ31" s="204"/>
      <c r="EIK31" s="204"/>
      <c r="EIL31" s="204"/>
      <c r="EIM31" s="204"/>
      <c r="EIN31" s="204"/>
      <c r="EIO31" s="204"/>
      <c r="EIP31" s="204"/>
      <c r="EIQ31" s="204"/>
      <c r="EIR31" s="204"/>
      <c r="EIS31" s="204"/>
      <c r="EIT31" s="204"/>
      <c r="EIU31" s="204"/>
      <c r="EIV31" s="204"/>
      <c r="EIW31" s="204"/>
      <c r="EIX31" s="204"/>
      <c r="EIY31" s="204"/>
      <c r="EIZ31" s="204"/>
      <c r="EJA31" s="204"/>
      <c r="EJB31" s="204"/>
      <c r="EJC31" s="204"/>
      <c r="EJD31" s="204"/>
      <c r="EJE31" s="204"/>
      <c r="EJF31" s="204"/>
      <c r="EJG31" s="204"/>
      <c r="EJH31" s="204"/>
      <c r="EJI31" s="204"/>
      <c r="EJJ31" s="204"/>
      <c r="EJK31" s="204"/>
      <c r="EJL31" s="204"/>
      <c r="EJM31" s="204"/>
      <c r="EJN31" s="204"/>
      <c r="EJO31" s="204"/>
      <c r="EJP31" s="204"/>
      <c r="EJQ31" s="204"/>
      <c r="EJR31" s="204"/>
      <c r="EJS31" s="204"/>
      <c r="EJT31" s="204"/>
      <c r="EJU31" s="204"/>
      <c r="EJV31" s="204"/>
      <c r="EJW31" s="204"/>
      <c r="EJX31" s="204"/>
      <c r="EJY31" s="204"/>
      <c r="EJZ31" s="204"/>
      <c r="EKA31" s="204"/>
      <c r="EKB31" s="204"/>
      <c r="EKC31" s="204"/>
      <c r="EKD31" s="204"/>
      <c r="EKE31" s="204"/>
      <c r="EKF31" s="204"/>
      <c r="EKG31" s="204"/>
      <c r="EKH31" s="204"/>
      <c r="EKI31" s="204"/>
      <c r="EKJ31" s="204"/>
      <c r="EKK31" s="204"/>
      <c r="EKL31" s="204"/>
      <c r="EKM31" s="204"/>
      <c r="EKN31" s="204"/>
      <c r="EKO31" s="204"/>
      <c r="EKP31" s="204"/>
      <c r="EKQ31" s="204"/>
      <c r="EKR31" s="204"/>
      <c r="EKS31" s="204"/>
      <c r="EKT31" s="204"/>
      <c r="EKU31" s="204"/>
      <c r="EKV31" s="204"/>
      <c r="EKW31" s="204"/>
      <c r="EKX31" s="204"/>
      <c r="EKY31" s="204"/>
      <c r="EKZ31" s="204"/>
      <c r="ELA31" s="204"/>
      <c r="ELB31" s="204"/>
      <c r="ELC31" s="204"/>
      <c r="ELD31" s="204"/>
      <c r="ELE31" s="204"/>
      <c r="ELF31" s="204"/>
      <c r="ELG31" s="204"/>
      <c r="ELH31" s="204"/>
      <c r="ELI31" s="204"/>
      <c r="ELJ31" s="204"/>
      <c r="ELK31" s="204"/>
      <c r="ELL31" s="204"/>
      <c r="ELM31" s="204"/>
      <c r="ELN31" s="204"/>
      <c r="ELO31" s="204"/>
      <c r="ELP31" s="204"/>
      <c r="ELQ31" s="204"/>
      <c r="ELR31" s="204"/>
      <c r="ELS31" s="204"/>
      <c r="ELT31" s="204"/>
      <c r="ELU31" s="204"/>
      <c r="ELV31" s="204"/>
      <c r="ELW31" s="204"/>
      <c r="ELX31" s="204"/>
      <c r="ELY31" s="204"/>
      <c r="ELZ31" s="204"/>
      <c r="EMA31" s="204"/>
      <c r="EMB31" s="204"/>
      <c r="EMC31" s="204"/>
      <c r="EMD31" s="204"/>
      <c r="EME31" s="204"/>
      <c r="EMF31" s="204"/>
      <c r="EMG31" s="204"/>
      <c r="EMH31" s="204"/>
      <c r="EMI31" s="204"/>
      <c r="EMJ31" s="204"/>
      <c r="EMK31" s="204"/>
      <c r="EML31" s="204"/>
      <c r="EMM31" s="204"/>
      <c r="EMN31" s="204"/>
      <c r="EMO31" s="204"/>
      <c r="EMP31" s="204"/>
      <c r="EMQ31" s="204"/>
      <c r="EMR31" s="204"/>
      <c r="EMS31" s="204"/>
      <c r="EMT31" s="204"/>
      <c r="EMU31" s="204"/>
      <c r="EMV31" s="204"/>
      <c r="EMW31" s="204"/>
      <c r="EMX31" s="204"/>
      <c r="EMY31" s="204"/>
      <c r="EMZ31" s="204"/>
      <c r="ENA31" s="204"/>
      <c r="ENB31" s="204"/>
      <c r="ENC31" s="204"/>
      <c r="END31" s="204"/>
      <c r="ENE31" s="204"/>
      <c r="ENF31" s="204"/>
      <c r="ENG31" s="204"/>
      <c r="ENH31" s="204"/>
      <c r="ENI31" s="204"/>
      <c r="ENJ31" s="204"/>
      <c r="ENK31" s="204"/>
      <c r="ENL31" s="204"/>
      <c r="ENM31" s="204"/>
      <c r="ENN31" s="204"/>
      <c r="ENO31" s="204"/>
      <c r="ENP31" s="204"/>
      <c r="ENQ31" s="204"/>
      <c r="ENR31" s="204"/>
      <c r="ENS31" s="204"/>
      <c r="ENT31" s="204"/>
      <c r="ENU31" s="204"/>
      <c r="ENV31" s="204"/>
      <c r="ENW31" s="204"/>
      <c r="ENX31" s="204"/>
      <c r="ENY31" s="204"/>
      <c r="ENZ31" s="204"/>
      <c r="EOA31" s="204"/>
      <c r="EOB31" s="204"/>
      <c r="EOC31" s="204"/>
      <c r="EOD31" s="204"/>
      <c r="EOE31" s="204"/>
      <c r="EOF31" s="204"/>
      <c r="EOG31" s="204"/>
      <c r="EOH31" s="204"/>
      <c r="EOI31" s="204"/>
      <c r="EOJ31" s="204"/>
      <c r="EOK31" s="204"/>
      <c r="EOL31" s="204"/>
      <c r="EOM31" s="204"/>
      <c r="EON31" s="204"/>
      <c r="EOO31" s="204"/>
      <c r="EOP31" s="204"/>
      <c r="EOQ31" s="204"/>
      <c r="EOR31" s="204"/>
      <c r="EOS31" s="204"/>
      <c r="EOT31" s="204"/>
      <c r="EOU31" s="204"/>
      <c r="EOV31" s="204"/>
      <c r="EOW31" s="204"/>
      <c r="EOX31" s="204"/>
      <c r="EOY31" s="204"/>
      <c r="EOZ31" s="204"/>
      <c r="EPA31" s="204"/>
      <c r="EPB31" s="204"/>
      <c r="EPC31" s="204"/>
      <c r="EPD31" s="204"/>
      <c r="EPE31" s="204"/>
      <c r="EPF31" s="204"/>
      <c r="EPG31" s="204"/>
      <c r="EPH31" s="204"/>
      <c r="EPI31" s="204"/>
      <c r="EPJ31" s="204"/>
      <c r="EPK31" s="204"/>
      <c r="EPL31" s="204"/>
      <c r="EPM31" s="204"/>
      <c r="EPN31" s="204"/>
      <c r="EPO31" s="204"/>
      <c r="EPP31" s="204"/>
      <c r="EPQ31" s="204"/>
      <c r="EPR31" s="204"/>
      <c r="EPS31" s="204"/>
      <c r="EPT31" s="204"/>
      <c r="EPU31" s="204"/>
      <c r="EPV31" s="204"/>
      <c r="EPW31" s="204"/>
      <c r="EPX31" s="204"/>
      <c r="EPY31" s="204"/>
      <c r="EPZ31" s="204"/>
      <c r="EQA31" s="204"/>
      <c r="EQB31" s="204"/>
      <c r="EQC31" s="204"/>
      <c r="EQD31" s="204"/>
      <c r="EQE31" s="204"/>
      <c r="EQF31" s="204"/>
      <c r="EQG31" s="204"/>
      <c r="EQH31" s="204"/>
      <c r="EQI31" s="204"/>
      <c r="EQJ31" s="204"/>
      <c r="EQK31" s="204"/>
      <c r="EQL31" s="204"/>
      <c r="EQM31" s="204"/>
      <c r="EQN31" s="204"/>
      <c r="EQO31" s="204"/>
      <c r="EQP31" s="204"/>
      <c r="EQQ31" s="204"/>
      <c r="EQR31" s="204"/>
      <c r="EQS31" s="204"/>
      <c r="EQT31" s="204"/>
      <c r="EQU31" s="204"/>
      <c r="EQV31" s="204"/>
      <c r="EQW31" s="204"/>
      <c r="EQX31" s="204"/>
      <c r="EQY31" s="204"/>
      <c r="EQZ31" s="204"/>
      <c r="ERA31" s="204"/>
      <c r="ERB31" s="204"/>
      <c r="ERC31" s="204"/>
      <c r="ERD31" s="204"/>
      <c r="ERE31" s="204"/>
      <c r="ERF31" s="204"/>
      <c r="ERG31" s="204"/>
      <c r="ERH31" s="204"/>
      <c r="ERI31" s="204"/>
      <c r="ERJ31" s="204"/>
      <c r="ERK31" s="204"/>
      <c r="ERL31" s="204"/>
      <c r="ERM31" s="204"/>
      <c r="ERN31" s="204"/>
      <c r="ERO31" s="204"/>
      <c r="ERP31" s="204"/>
      <c r="ERQ31" s="204"/>
      <c r="ERR31" s="204"/>
      <c r="ERS31" s="204"/>
      <c r="ERT31" s="204"/>
      <c r="ERU31" s="204"/>
      <c r="ERV31" s="204"/>
      <c r="ERW31" s="204"/>
      <c r="ERX31" s="204"/>
      <c r="ERY31" s="204"/>
      <c r="ERZ31" s="204"/>
      <c r="ESA31" s="204"/>
      <c r="ESB31" s="204"/>
      <c r="ESC31" s="204"/>
      <c r="ESD31" s="204"/>
      <c r="ESE31" s="204"/>
      <c r="ESF31" s="204"/>
      <c r="ESG31" s="204"/>
      <c r="ESH31" s="204"/>
      <c r="ESI31" s="204"/>
      <c r="ESJ31" s="204"/>
      <c r="ESK31" s="204"/>
      <c r="ESL31" s="204"/>
      <c r="ESM31" s="204"/>
      <c r="ESN31" s="204"/>
      <c r="ESO31" s="204"/>
      <c r="ESP31" s="204"/>
      <c r="ESQ31" s="204"/>
      <c r="ESR31" s="204"/>
      <c r="ESS31" s="204"/>
      <c r="EST31" s="204"/>
      <c r="ESU31" s="204"/>
      <c r="ESV31" s="204"/>
      <c r="ESW31" s="204"/>
      <c r="ESX31" s="204"/>
      <c r="ESY31" s="204"/>
      <c r="ESZ31" s="204"/>
      <c r="ETA31" s="204"/>
      <c r="ETB31" s="204"/>
      <c r="ETC31" s="204"/>
      <c r="ETD31" s="204"/>
      <c r="ETE31" s="204"/>
      <c r="ETF31" s="204"/>
      <c r="ETG31" s="204"/>
      <c r="ETH31" s="204"/>
      <c r="ETI31" s="204"/>
      <c r="ETJ31" s="204"/>
      <c r="ETK31" s="204"/>
      <c r="ETL31" s="204"/>
      <c r="ETM31" s="204"/>
      <c r="ETN31" s="204"/>
      <c r="ETO31" s="204"/>
      <c r="ETP31" s="204"/>
      <c r="ETQ31" s="204"/>
      <c r="ETR31" s="204"/>
      <c r="ETS31" s="204"/>
      <c r="ETT31" s="204"/>
      <c r="ETU31" s="204"/>
      <c r="ETV31" s="204"/>
      <c r="ETW31" s="204"/>
      <c r="ETX31" s="204"/>
      <c r="ETY31" s="204"/>
      <c r="ETZ31" s="204"/>
      <c r="EUA31" s="204"/>
      <c r="EUB31" s="204"/>
      <c r="EUC31" s="204"/>
      <c r="EUD31" s="204"/>
      <c r="EUE31" s="204"/>
      <c r="EUF31" s="204"/>
      <c r="EUG31" s="204"/>
      <c r="EUH31" s="204"/>
      <c r="EUI31" s="204"/>
      <c r="EUJ31" s="204"/>
      <c r="EUK31" s="204"/>
      <c r="EUL31" s="204"/>
      <c r="EUM31" s="204"/>
      <c r="EUN31" s="204"/>
      <c r="EUO31" s="204"/>
      <c r="EUP31" s="204"/>
      <c r="EUQ31" s="204"/>
      <c r="EUR31" s="204"/>
      <c r="EUS31" s="204"/>
      <c r="EUT31" s="204"/>
      <c r="EUU31" s="204"/>
      <c r="EUV31" s="204"/>
      <c r="EUW31" s="204"/>
      <c r="EUX31" s="204"/>
      <c r="EUY31" s="204"/>
      <c r="EUZ31" s="204"/>
      <c r="EVA31" s="204"/>
      <c r="EVB31" s="204"/>
      <c r="EVC31" s="204"/>
      <c r="EVD31" s="204"/>
      <c r="EVE31" s="204"/>
      <c r="EVF31" s="204"/>
      <c r="EVG31" s="204"/>
      <c r="EVH31" s="204"/>
      <c r="EVI31" s="204"/>
      <c r="EVJ31" s="204"/>
      <c r="EVK31" s="204"/>
      <c r="EVL31" s="204"/>
      <c r="EVM31" s="204"/>
      <c r="EVN31" s="204"/>
      <c r="EVO31" s="204"/>
      <c r="EVP31" s="204"/>
      <c r="EVQ31" s="204"/>
      <c r="EVR31" s="204"/>
      <c r="EVS31" s="204"/>
      <c r="EVT31" s="204"/>
      <c r="EVU31" s="204"/>
      <c r="EVV31" s="204"/>
      <c r="EVW31" s="204"/>
      <c r="EVX31" s="204"/>
      <c r="EVY31" s="204"/>
      <c r="EVZ31" s="204"/>
      <c r="EWA31" s="204"/>
      <c r="EWB31" s="204"/>
      <c r="EWC31" s="204"/>
      <c r="EWD31" s="204"/>
      <c r="EWE31" s="204"/>
      <c r="EWF31" s="204"/>
      <c r="EWG31" s="204"/>
      <c r="EWH31" s="204"/>
      <c r="EWI31" s="204"/>
      <c r="EWJ31" s="204"/>
      <c r="EWK31" s="204"/>
      <c r="EWL31" s="204"/>
      <c r="EWM31" s="204"/>
      <c r="EWN31" s="204"/>
      <c r="EWO31" s="204"/>
      <c r="EWP31" s="204"/>
      <c r="EWQ31" s="204"/>
      <c r="EWR31" s="204"/>
      <c r="EWS31" s="204"/>
      <c r="EWT31" s="204"/>
      <c r="EWU31" s="204"/>
      <c r="EWV31" s="204"/>
      <c r="EWW31" s="204"/>
      <c r="EWX31" s="204"/>
      <c r="EWY31" s="204"/>
      <c r="EWZ31" s="204"/>
      <c r="EXA31" s="204"/>
      <c r="EXB31" s="204"/>
      <c r="EXC31" s="204"/>
      <c r="EXD31" s="204"/>
      <c r="EXE31" s="204"/>
      <c r="EXF31" s="204"/>
      <c r="EXG31" s="204"/>
      <c r="EXH31" s="204"/>
      <c r="EXI31" s="204"/>
      <c r="EXJ31" s="204"/>
      <c r="EXK31" s="204"/>
      <c r="EXL31" s="204"/>
      <c r="EXM31" s="204"/>
      <c r="EXN31" s="204"/>
      <c r="EXO31" s="204"/>
      <c r="EXP31" s="204"/>
      <c r="EXQ31" s="204"/>
      <c r="EXR31" s="204"/>
      <c r="EXS31" s="204"/>
      <c r="EXT31" s="204"/>
      <c r="EXU31" s="204"/>
      <c r="EXV31" s="204"/>
      <c r="EXW31" s="204"/>
      <c r="EXX31" s="204"/>
      <c r="EXY31" s="204"/>
      <c r="EXZ31" s="204"/>
      <c r="EYA31" s="204"/>
      <c r="EYB31" s="204"/>
      <c r="EYC31" s="204"/>
      <c r="EYD31" s="204"/>
      <c r="EYE31" s="204"/>
      <c r="EYF31" s="204"/>
      <c r="EYG31" s="204"/>
      <c r="EYH31" s="204"/>
      <c r="EYI31" s="204"/>
      <c r="EYJ31" s="204"/>
      <c r="EYK31" s="204"/>
      <c r="EYL31" s="204"/>
      <c r="EYM31" s="204"/>
      <c r="EYN31" s="204"/>
      <c r="EYO31" s="204"/>
      <c r="EYP31" s="204"/>
      <c r="EYQ31" s="204"/>
      <c r="EYR31" s="204"/>
      <c r="EYS31" s="204"/>
      <c r="EYT31" s="204"/>
      <c r="EYU31" s="204"/>
      <c r="EYV31" s="204"/>
      <c r="EYW31" s="204"/>
      <c r="EYX31" s="204"/>
      <c r="EYY31" s="204"/>
      <c r="EYZ31" s="204"/>
      <c r="EZA31" s="204"/>
      <c r="EZB31" s="204"/>
      <c r="EZC31" s="204"/>
      <c r="EZD31" s="204"/>
      <c r="EZE31" s="204"/>
      <c r="EZF31" s="204"/>
      <c r="EZG31" s="204"/>
      <c r="EZH31" s="204"/>
      <c r="EZI31" s="204"/>
      <c r="EZJ31" s="204"/>
      <c r="EZK31" s="204"/>
      <c r="EZL31" s="204"/>
      <c r="EZM31" s="204"/>
      <c r="EZN31" s="204"/>
      <c r="EZO31" s="204"/>
      <c r="EZP31" s="204"/>
      <c r="EZQ31" s="204"/>
      <c r="EZR31" s="204"/>
      <c r="EZS31" s="204"/>
      <c r="EZT31" s="204"/>
      <c r="EZU31" s="204"/>
      <c r="EZV31" s="204"/>
      <c r="EZW31" s="204"/>
      <c r="EZX31" s="204"/>
      <c r="EZY31" s="204"/>
      <c r="EZZ31" s="204"/>
      <c r="FAA31" s="204"/>
      <c r="FAB31" s="204"/>
      <c r="FAC31" s="204"/>
      <c r="FAD31" s="204"/>
      <c r="FAE31" s="204"/>
      <c r="FAF31" s="204"/>
      <c r="FAG31" s="204"/>
      <c r="FAH31" s="204"/>
      <c r="FAI31" s="204"/>
      <c r="FAJ31" s="204"/>
      <c r="FAK31" s="204"/>
      <c r="FAL31" s="204"/>
      <c r="FAM31" s="204"/>
      <c r="FAN31" s="204"/>
      <c r="FAO31" s="204"/>
      <c r="FAP31" s="204"/>
      <c r="FAQ31" s="204"/>
      <c r="FAR31" s="204"/>
      <c r="FAS31" s="204"/>
      <c r="FAT31" s="204"/>
      <c r="FAU31" s="204"/>
      <c r="FAV31" s="204"/>
      <c r="FAW31" s="204"/>
      <c r="FAX31" s="204"/>
      <c r="FAY31" s="204"/>
      <c r="FAZ31" s="204"/>
      <c r="FBA31" s="204"/>
      <c r="FBB31" s="204"/>
      <c r="FBC31" s="204"/>
      <c r="FBD31" s="204"/>
      <c r="FBE31" s="204"/>
      <c r="FBF31" s="204"/>
      <c r="FBG31" s="204"/>
      <c r="FBH31" s="204"/>
      <c r="FBI31" s="204"/>
      <c r="FBJ31" s="204"/>
      <c r="FBK31" s="204"/>
      <c r="FBL31" s="204"/>
      <c r="FBM31" s="204"/>
      <c r="FBN31" s="204"/>
      <c r="FBO31" s="204"/>
      <c r="FBP31" s="204"/>
      <c r="FBQ31" s="204"/>
      <c r="FBR31" s="204"/>
      <c r="FBS31" s="204"/>
      <c r="FBT31" s="204"/>
      <c r="FBU31" s="204"/>
      <c r="FBV31" s="204"/>
      <c r="FBW31" s="204"/>
      <c r="FBX31" s="204"/>
      <c r="FBY31" s="204"/>
      <c r="FBZ31" s="204"/>
      <c r="FCA31" s="204"/>
      <c r="FCB31" s="204"/>
      <c r="FCC31" s="204"/>
      <c r="FCD31" s="204"/>
      <c r="FCE31" s="204"/>
      <c r="FCF31" s="204"/>
      <c r="FCG31" s="204"/>
      <c r="FCH31" s="204"/>
      <c r="FCI31" s="204"/>
      <c r="FCJ31" s="204"/>
      <c r="FCK31" s="204"/>
      <c r="FCL31" s="204"/>
      <c r="FCM31" s="204"/>
      <c r="FCN31" s="204"/>
      <c r="FCO31" s="204"/>
      <c r="FCP31" s="204"/>
      <c r="FCQ31" s="204"/>
      <c r="FCR31" s="204"/>
      <c r="FCS31" s="204"/>
      <c r="FCT31" s="204"/>
      <c r="FCU31" s="204"/>
      <c r="FCV31" s="204"/>
      <c r="FCW31" s="204"/>
      <c r="FCX31" s="204"/>
      <c r="FCY31" s="204"/>
      <c r="FCZ31" s="204"/>
      <c r="FDA31" s="204"/>
      <c r="FDB31" s="204"/>
      <c r="FDC31" s="204"/>
      <c r="FDD31" s="204"/>
      <c r="FDE31" s="204"/>
      <c r="FDF31" s="204"/>
      <c r="FDG31" s="204"/>
      <c r="FDH31" s="204"/>
      <c r="FDI31" s="204"/>
      <c r="FDJ31" s="204"/>
      <c r="FDK31" s="204"/>
      <c r="FDL31" s="204"/>
      <c r="FDM31" s="204"/>
      <c r="FDN31" s="204"/>
      <c r="FDO31" s="204"/>
      <c r="FDP31" s="204"/>
      <c r="FDQ31" s="204"/>
      <c r="FDR31" s="204"/>
      <c r="FDS31" s="204"/>
      <c r="FDT31" s="204"/>
      <c r="FDU31" s="204"/>
      <c r="FDV31" s="204"/>
      <c r="FDW31" s="204"/>
      <c r="FDX31" s="204"/>
      <c r="FDY31" s="204"/>
      <c r="FDZ31" s="204"/>
      <c r="FEA31" s="204"/>
      <c r="FEB31" s="204"/>
      <c r="FEC31" s="204"/>
      <c r="FED31" s="204"/>
      <c r="FEE31" s="204"/>
      <c r="FEF31" s="204"/>
      <c r="FEG31" s="204"/>
      <c r="FEH31" s="204"/>
      <c r="FEI31" s="204"/>
      <c r="FEJ31" s="204"/>
      <c r="FEK31" s="204"/>
      <c r="FEL31" s="204"/>
      <c r="FEM31" s="204"/>
      <c r="FEN31" s="204"/>
      <c r="FEO31" s="204"/>
      <c r="FEP31" s="204"/>
      <c r="FEQ31" s="204"/>
      <c r="FER31" s="204"/>
      <c r="FES31" s="204"/>
      <c r="FET31" s="204"/>
      <c r="FEU31" s="204"/>
      <c r="FEV31" s="204"/>
      <c r="FEW31" s="204"/>
      <c r="FEX31" s="204"/>
      <c r="FEY31" s="204"/>
      <c r="FEZ31" s="204"/>
      <c r="FFA31" s="204"/>
      <c r="FFB31" s="204"/>
      <c r="FFC31" s="204"/>
      <c r="FFD31" s="204"/>
      <c r="FFE31" s="204"/>
      <c r="FFF31" s="204"/>
      <c r="FFG31" s="204"/>
      <c r="FFH31" s="204"/>
      <c r="FFI31" s="204"/>
      <c r="FFJ31" s="204"/>
      <c r="FFK31" s="204"/>
      <c r="FFL31" s="204"/>
      <c r="FFM31" s="204"/>
      <c r="FFN31" s="204"/>
      <c r="FFO31" s="204"/>
      <c r="FFP31" s="204"/>
      <c r="FFQ31" s="204"/>
      <c r="FFR31" s="204"/>
      <c r="FFS31" s="204"/>
      <c r="FFT31" s="204"/>
      <c r="FFU31" s="204"/>
      <c r="FFV31" s="204"/>
      <c r="FFW31" s="204"/>
      <c r="FFX31" s="204"/>
      <c r="FFY31" s="204"/>
      <c r="FFZ31" s="204"/>
      <c r="FGA31" s="204"/>
      <c r="FGB31" s="204"/>
      <c r="FGC31" s="204"/>
      <c r="FGD31" s="204"/>
      <c r="FGE31" s="204"/>
      <c r="FGF31" s="204"/>
      <c r="FGG31" s="204"/>
      <c r="FGH31" s="204"/>
      <c r="FGI31" s="204"/>
      <c r="FGJ31" s="204"/>
      <c r="FGK31" s="204"/>
      <c r="FGL31" s="204"/>
      <c r="FGM31" s="204"/>
      <c r="FGN31" s="204"/>
      <c r="FGO31" s="204"/>
      <c r="FGP31" s="204"/>
      <c r="FGQ31" s="204"/>
      <c r="FGR31" s="204"/>
      <c r="FGS31" s="204"/>
      <c r="FGT31" s="204"/>
      <c r="FGU31" s="204"/>
      <c r="FGV31" s="204"/>
      <c r="FGW31" s="204"/>
      <c r="FGX31" s="204"/>
      <c r="FGY31" s="204"/>
      <c r="FGZ31" s="204"/>
      <c r="FHA31" s="204"/>
      <c r="FHB31" s="204"/>
      <c r="FHC31" s="204"/>
      <c r="FHD31" s="204"/>
      <c r="FHE31" s="204"/>
      <c r="FHF31" s="204"/>
      <c r="FHG31" s="204"/>
      <c r="FHH31" s="204"/>
      <c r="FHI31" s="204"/>
      <c r="FHJ31" s="204"/>
      <c r="FHK31" s="204"/>
      <c r="FHL31" s="204"/>
      <c r="FHM31" s="204"/>
      <c r="FHN31" s="204"/>
      <c r="FHO31" s="204"/>
      <c r="FHP31" s="204"/>
      <c r="FHQ31" s="204"/>
      <c r="FHR31" s="204"/>
      <c r="FHS31" s="204"/>
      <c r="FHT31" s="204"/>
      <c r="FHU31" s="204"/>
      <c r="FHV31" s="204"/>
      <c r="FHW31" s="204"/>
      <c r="FHX31" s="204"/>
      <c r="FHY31" s="204"/>
      <c r="FHZ31" s="204"/>
      <c r="FIA31" s="204"/>
      <c r="FIB31" s="204"/>
      <c r="FIC31" s="204"/>
      <c r="FID31" s="204"/>
      <c r="FIE31" s="204"/>
      <c r="FIF31" s="204"/>
      <c r="FIG31" s="204"/>
      <c r="FIH31" s="204"/>
      <c r="FII31" s="204"/>
      <c r="FIJ31" s="204"/>
      <c r="FIK31" s="204"/>
      <c r="FIL31" s="204"/>
      <c r="FIM31" s="204"/>
      <c r="FIN31" s="204"/>
      <c r="FIO31" s="204"/>
      <c r="FIP31" s="204"/>
      <c r="FIQ31" s="204"/>
      <c r="FIR31" s="204"/>
      <c r="FIS31" s="204"/>
      <c r="FIT31" s="204"/>
      <c r="FIU31" s="204"/>
      <c r="FIV31" s="204"/>
      <c r="FIW31" s="204"/>
      <c r="FIX31" s="204"/>
      <c r="FIY31" s="204"/>
      <c r="FIZ31" s="204"/>
      <c r="FJA31" s="204"/>
      <c r="FJB31" s="204"/>
      <c r="FJC31" s="204"/>
      <c r="FJD31" s="204"/>
      <c r="FJE31" s="204"/>
      <c r="FJF31" s="204"/>
      <c r="FJG31" s="204"/>
      <c r="FJH31" s="204"/>
      <c r="FJI31" s="204"/>
      <c r="FJJ31" s="204"/>
      <c r="FJK31" s="204"/>
      <c r="FJL31" s="204"/>
      <c r="FJM31" s="204"/>
      <c r="FJN31" s="204"/>
      <c r="FJO31" s="204"/>
      <c r="FJP31" s="204"/>
      <c r="FJQ31" s="204"/>
      <c r="FJR31" s="204"/>
      <c r="FJS31" s="204"/>
      <c r="FJT31" s="204"/>
      <c r="FJU31" s="204"/>
      <c r="FJV31" s="204"/>
      <c r="FJW31" s="204"/>
      <c r="FJX31" s="204"/>
      <c r="FJY31" s="204"/>
      <c r="FJZ31" s="204"/>
      <c r="FKA31" s="204"/>
      <c r="FKB31" s="204"/>
      <c r="FKC31" s="204"/>
      <c r="FKD31" s="204"/>
      <c r="FKE31" s="204"/>
      <c r="FKF31" s="204"/>
      <c r="FKG31" s="204"/>
      <c r="FKH31" s="204"/>
      <c r="FKI31" s="204"/>
      <c r="FKJ31" s="204"/>
      <c r="FKK31" s="204"/>
      <c r="FKL31" s="204"/>
      <c r="FKM31" s="204"/>
      <c r="FKN31" s="204"/>
      <c r="FKO31" s="204"/>
      <c r="FKP31" s="204"/>
      <c r="FKQ31" s="204"/>
      <c r="FKR31" s="204"/>
      <c r="FKS31" s="204"/>
      <c r="FKT31" s="204"/>
      <c r="FKU31" s="204"/>
      <c r="FKV31" s="204"/>
      <c r="FKW31" s="204"/>
      <c r="FKX31" s="204"/>
      <c r="FKY31" s="204"/>
      <c r="FKZ31" s="204"/>
      <c r="FLA31" s="204"/>
      <c r="FLB31" s="204"/>
      <c r="FLC31" s="204"/>
      <c r="FLD31" s="204"/>
      <c r="FLE31" s="204"/>
      <c r="FLF31" s="204"/>
      <c r="FLG31" s="204"/>
      <c r="FLH31" s="204"/>
      <c r="FLI31" s="204"/>
      <c r="FLJ31" s="204"/>
      <c r="FLK31" s="204"/>
      <c r="FLL31" s="204"/>
      <c r="FLM31" s="204"/>
      <c r="FLN31" s="204"/>
      <c r="FLO31" s="204"/>
      <c r="FLP31" s="204"/>
      <c r="FLQ31" s="204"/>
      <c r="FLR31" s="204"/>
      <c r="FLS31" s="204"/>
      <c r="FLT31" s="204"/>
      <c r="FLU31" s="204"/>
      <c r="FLV31" s="204"/>
      <c r="FLW31" s="204"/>
      <c r="FLX31" s="204"/>
      <c r="FLY31" s="204"/>
      <c r="FLZ31" s="204"/>
      <c r="FMA31" s="204"/>
      <c r="FMB31" s="204"/>
      <c r="FMC31" s="204"/>
      <c r="FMD31" s="204"/>
      <c r="FME31" s="204"/>
      <c r="FMF31" s="204"/>
      <c r="FMG31" s="204"/>
      <c r="FMH31" s="204"/>
      <c r="FMI31" s="204"/>
      <c r="FMJ31" s="204"/>
      <c r="FMK31" s="204"/>
      <c r="FML31" s="204"/>
      <c r="FMM31" s="204"/>
      <c r="FMN31" s="204"/>
      <c r="FMO31" s="204"/>
      <c r="FMP31" s="204"/>
      <c r="FMQ31" s="204"/>
      <c r="FMR31" s="204"/>
      <c r="FMS31" s="204"/>
      <c r="FMT31" s="204"/>
      <c r="FMU31" s="204"/>
      <c r="FMV31" s="204"/>
      <c r="FMW31" s="204"/>
      <c r="FMX31" s="204"/>
      <c r="FMY31" s="204"/>
      <c r="FMZ31" s="204"/>
      <c r="FNA31" s="204"/>
      <c r="FNB31" s="204"/>
      <c r="FNC31" s="204"/>
      <c r="FND31" s="204"/>
      <c r="FNE31" s="204"/>
      <c r="FNF31" s="204"/>
      <c r="FNG31" s="204"/>
      <c r="FNH31" s="204"/>
      <c r="FNI31" s="204"/>
      <c r="FNJ31" s="204"/>
      <c r="FNK31" s="204"/>
      <c r="FNL31" s="204"/>
      <c r="FNM31" s="204"/>
      <c r="FNN31" s="204"/>
      <c r="FNO31" s="204"/>
      <c r="FNP31" s="204"/>
      <c r="FNQ31" s="204"/>
      <c r="FNR31" s="204"/>
      <c r="FNS31" s="204"/>
      <c r="FNT31" s="204"/>
      <c r="FNU31" s="204"/>
      <c r="FNV31" s="204"/>
      <c r="FNW31" s="204"/>
      <c r="FNX31" s="204"/>
      <c r="FNY31" s="204"/>
      <c r="FNZ31" s="204"/>
      <c r="FOA31" s="204"/>
      <c r="FOB31" s="204"/>
      <c r="FOC31" s="204"/>
      <c r="FOD31" s="204"/>
      <c r="FOE31" s="204"/>
      <c r="FOF31" s="204"/>
      <c r="FOG31" s="204"/>
      <c r="FOH31" s="204"/>
      <c r="FOI31" s="204"/>
      <c r="FOJ31" s="204"/>
      <c r="FOK31" s="204"/>
      <c r="FOL31" s="204"/>
      <c r="FOM31" s="204"/>
      <c r="FON31" s="204"/>
      <c r="FOO31" s="204"/>
      <c r="FOP31" s="204"/>
      <c r="FOQ31" s="204"/>
      <c r="FOR31" s="204"/>
      <c r="FOS31" s="204"/>
      <c r="FOT31" s="204"/>
      <c r="FOU31" s="204"/>
      <c r="FOV31" s="204"/>
      <c r="FOW31" s="204"/>
      <c r="FOX31" s="204"/>
      <c r="FOY31" s="204"/>
      <c r="FOZ31" s="204"/>
      <c r="FPA31" s="204"/>
      <c r="FPB31" s="204"/>
      <c r="FPC31" s="204"/>
      <c r="FPD31" s="204"/>
      <c r="FPE31" s="204"/>
      <c r="FPF31" s="204"/>
      <c r="FPG31" s="204"/>
      <c r="FPH31" s="204"/>
      <c r="FPI31" s="204"/>
      <c r="FPJ31" s="204"/>
      <c r="FPK31" s="204"/>
      <c r="FPL31" s="204"/>
      <c r="FPM31" s="204"/>
      <c r="FPN31" s="204"/>
      <c r="FPO31" s="204"/>
      <c r="FPP31" s="204"/>
      <c r="FPQ31" s="204"/>
      <c r="FPR31" s="204"/>
      <c r="FPS31" s="204"/>
      <c r="FPT31" s="204"/>
      <c r="FPU31" s="204"/>
      <c r="FPV31" s="204"/>
      <c r="FPW31" s="204"/>
      <c r="FPX31" s="204"/>
      <c r="FPY31" s="204"/>
      <c r="FPZ31" s="204"/>
      <c r="FQA31" s="204"/>
      <c r="FQB31" s="204"/>
      <c r="FQC31" s="204"/>
      <c r="FQD31" s="204"/>
      <c r="FQE31" s="204"/>
      <c r="FQF31" s="204"/>
      <c r="FQG31" s="204"/>
      <c r="FQH31" s="204"/>
      <c r="FQI31" s="204"/>
      <c r="FQJ31" s="204"/>
      <c r="FQK31" s="204"/>
      <c r="FQL31" s="204"/>
      <c r="FQM31" s="204"/>
      <c r="FQN31" s="204"/>
      <c r="FQO31" s="204"/>
      <c r="FQP31" s="204"/>
      <c r="FQQ31" s="204"/>
      <c r="FQR31" s="204"/>
      <c r="FQS31" s="204"/>
      <c r="FQT31" s="204"/>
      <c r="FQU31" s="204"/>
      <c r="FQV31" s="204"/>
      <c r="FQW31" s="204"/>
      <c r="FQX31" s="204"/>
      <c r="FQY31" s="204"/>
      <c r="FQZ31" s="204"/>
      <c r="FRA31" s="204"/>
      <c r="FRB31" s="204"/>
      <c r="FRC31" s="204"/>
      <c r="FRD31" s="204"/>
      <c r="FRE31" s="204"/>
      <c r="FRF31" s="204"/>
      <c r="FRG31" s="204"/>
      <c r="FRH31" s="204"/>
      <c r="FRI31" s="204"/>
      <c r="FRJ31" s="204"/>
      <c r="FRK31" s="204"/>
      <c r="FRL31" s="204"/>
      <c r="FRM31" s="204"/>
      <c r="FRN31" s="204"/>
      <c r="FRO31" s="204"/>
      <c r="FRP31" s="204"/>
      <c r="FRQ31" s="204"/>
      <c r="FRR31" s="204"/>
      <c r="FRS31" s="204"/>
      <c r="FRT31" s="204"/>
      <c r="FRU31" s="204"/>
      <c r="FRV31" s="204"/>
      <c r="FRW31" s="204"/>
      <c r="FRX31" s="204"/>
      <c r="FRY31" s="204"/>
      <c r="FRZ31" s="204"/>
      <c r="FSA31" s="204"/>
      <c r="FSB31" s="204"/>
      <c r="FSC31" s="204"/>
      <c r="FSD31" s="204"/>
      <c r="FSE31" s="204"/>
      <c r="FSF31" s="204"/>
      <c r="FSG31" s="204"/>
      <c r="FSH31" s="204"/>
      <c r="FSI31" s="204"/>
      <c r="FSJ31" s="204"/>
      <c r="FSK31" s="204"/>
      <c r="FSL31" s="204"/>
      <c r="FSM31" s="204"/>
      <c r="FSN31" s="204"/>
      <c r="FSO31" s="204"/>
      <c r="FSP31" s="204"/>
      <c r="FSQ31" s="204"/>
      <c r="FSR31" s="204"/>
      <c r="FSS31" s="204"/>
      <c r="FST31" s="204"/>
      <c r="FSU31" s="204"/>
      <c r="FSV31" s="204"/>
      <c r="FSW31" s="204"/>
      <c r="FSX31" s="204"/>
      <c r="FSY31" s="204"/>
      <c r="FSZ31" s="204"/>
      <c r="FTA31" s="204"/>
      <c r="FTB31" s="204"/>
      <c r="FTC31" s="204"/>
      <c r="FTD31" s="204"/>
      <c r="FTE31" s="204"/>
      <c r="FTF31" s="204"/>
      <c r="FTG31" s="204"/>
      <c r="FTH31" s="204"/>
      <c r="FTI31" s="204"/>
      <c r="FTJ31" s="204"/>
      <c r="FTK31" s="204"/>
      <c r="FTL31" s="204"/>
      <c r="FTM31" s="204"/>
      <c r="FTN31" s="204"/>
      <c r="FTO31" s="204"/>
      <c r="FTP31" s="204"/>
      <c r="FTQ31" s="204"/>
      <c r="FTR31" s="204"/>
      <c r="FTS31" s="204"/>
      <c r="FTT31" s="204"/>
      <c r="FTU31" s="204"/>
      <c r="FTV31" s="204"/>
      <c r="FTW31" s="204"/>
      <c r="FTX31" s="204"/>
      <c r="FTY31" s="204"/>
      <c r="FTZ31" s="204"/>
      <c r="FUA31" s="204"/>
      <c r="FUB31" s="204"/>
      <c r="FUC31" s="204"/>
      <c r="FUD31" s="204"/>
      <c r="FUE31" s="204"/>
      <c r="FUF31" s="204"/>
      <c r="FUG31" s="204"/>
      <c r="FUH31" s="204"/>
      <c r="FUI31" s="204"/>
      <c r="FUJ31" s="204"/>
      <c r="FUK31" s="204"/>
      <c r="FUL31" s="204"/>
      <c r="FUM31" s="204"/>
      <c r="FUN31" s="204"/>
      <c r="FUO31" s="204"/>
      <c r="FUP31" s="204"/>
      <c r="FUQ31" s="204"/>
      <c r="FUR31" s="204"/>
      <c r="FUS31" s="204"/>
      <c r="FUT31" s="204"/>
      <c r="FUU31" s="204"/>
      <c r="FUV31" s="204"/>
      <c r="FUW31" s="204"/>
      <c r="FUX31" s="204"/>
      <c r="FUY31" s="204"/>
      <c r="FUZ31" s="204"/>
      <c r="FVA31" s="204"/>
      <c r="FVB31" s="204"/>
      <c r="FVC31" s="204"/>
      <c r="FVD31" s="204"/>
      <c r="FVE31" s="204"/>
      <c r="FVF31" s="204"/>
      <c r="FVG31" s="204"/>
      <c r="FVH31" s="204"/>
      <c r="FVI31" s="204"/>
      <c r="FVJ31" s="204"/>
      <c r="FVK31" s="204"/>
      <c r="FVL31" s="204"/>
      <c r="FVM31" s="204"/>
      <c r="FVN31" s="204"/>
      <c r="FVO31" s="204"/>
      <c r="FVP31" s="204"/>
      <c r="FVQ31" s="204"/>
      <c r="FVR31" s="204"/>
      <c r="FVS31" s="204"/>
      <c r="FVT31" s="204"/>
      <c r="FVU31" s="204"/>
      <c r="FVV31" s="204"/>
      <c r="FVW31" s="204"/>
      <c r="FVX31" s="204"/>
      <c r="FVY31" s="204"/>
      <c r="FVZ31" s="204"/>
      <c r="FWA31" s="204"/>
      <c r="FWB31" s="204"/>
      <c r="FWC31" s="204"/>
      <c r="FWD31" s="204"/>
      <c r="FWE31" s="204"/>
      <c r="FWF31" s="204"/>
      <c r="FWG31" s="204"/>
      <c r="FWH31" s="204"/>
      <c r="FWI31" s="204"/>
      <c r="FWJ31" s="204"/>
      <c r="FWK31" s="204"/>
      <c r="FWL31" s="204"/>
      <c r="FWM31" s="204"/>
      <c r="FWN31" s="204"/>
      <c r="FWO31" s="204"/>
      <c r="FWP31" s="204"/>
      <c r="FWQ31" s="204"/>
      <c r="FWR31" s="204"/>
      <c r="FWS31" s="204"/>
      <c r="FWT31" s="204"/>
      <c r="FWU31" s="204"/>
      <c r="FWV31" s="204"/>
      <c r="FWW31" s="204"/>
      <c r="FWX31" s="204"/>
      <c r="FWY31" s="204"/>
      <c r="FWZ31" s="204"/>
      <c r="FXA31" s="204"/>
      <c r="FXB31" s="204"/>
      <c r="FXC31" s="204"/>
      <c r="FXD31" s="204"/>
      <c r="FXE31" s="204"/>
      <c r="FXF31" s="204"/>
      <c r="FXG31" s="204"/>
      <c r="FXH31" s="204"/>
      <c r="FXI31" s="204"/>
      <c r="FXJ31" s="204"/>
      <c r="FXK31" s="204"/>
      <c r="FXL31" s="204"/>
      <c r="FXM31" s="204"/>
      <c r="FXN31" s="204"/>
      <c r="FXO31" s="204"/>
      <c r="FXP31" s="204"/>
      <c r="FXQ31" s="204"/>
      <c r="FXR31" s="204"/>
      <c r="FXS31" s="204"/>
      <c r="FXT31" s="204"/>
      <c r="FXU31" s="204"/>
      <c r="FXV31" s="204"/>
      <c r="FXW31" s="204"/>
      <c r="FXX31" s="204"/>
      <c r="FXY31" s="204"/>
      <c r="FXZ31" s="204"/>
      <c r="FYA31" s="204"/>
      <c r="FYB31" s="204"/>
      <c r="FYC31" s="204"/>
      <c r="FYD31" s="204"/>
      <c r="FYE31" s="204"/>
      <c r="FYF31" s="204"/>
      <c r="FYG31" s="204"/>
      <c r="FYH31" s="204"/>
      <c r="FYI31" s="204"/>
      <c r="FYJ31" s="204"/>
      <c r="FYK31" s="204"/>
      <c r="FYL31" s="204"/>
      <c r="FYM31" s="204"/>
      <c r="FYN31" s="204"/>
      <c r="FYO31" s="204"/>
      <c r="FYP31" s="204"/>
      <c r="FYQ31" s="204"/>
      <c r="FYR31" s="204"/>
      <c r="FYS31" s="204"/>
      <c r="FYT31" s="204"/>
      <c r="FYU31" s="204"/>
      <c r="FYV31" s="204"/>
      <c r="FYW31" s="204"/>
      <c r="FYX31" s="204"/>
      <c r="FYY31" s="204"/>
      <c r="FYZ31" s="204"/>
      <c r="FZA31" s="204"/>
      <c r="FZB31" s="204"/>
      <c r="FZC31" s="204"/>
      <c r="FZD31" s="204"/>
      <c r="FZE31" s="204"/>
      <c r="FZF31" s="204"/>
      <c r="FZG31" s="204"/>
      <c r="FZH31" s="204"/>
      <c r="FZI31" s="204"/>
      <c r="FZJ31" s="204"/>
      <c r="FZK31" s="204"/>
      <c r="FZL31" s="204"/>
      <c r="FZM31" s="204"/>
      <c r="FZN31" s="204"/>
      <c r="FZO31" s="204"/>
      <c r="FZP31" s="204"/>
      <c r="FZQ31" s="204"/>
      <c r="FZR31" s="204"/>
      <c r="FZS31" s="204"/>
      <c r="FZT31" s="204"/>
      <c r="FZU31" s="204"/>
      <c r="FZV31" s="204"/>
      <c r="FZW31" s="204"/>
      <c r="FZX31" s="204"/>
      <c r="FZY31" s="204"/>
      <c r="FZZ31" s="204"/>
      <c r="GAA31" s="204"/>
      <c r="GAB31" s="204"/>
      <c r="GAC31" s="204"/>
      <c r="GAD31" s="204"/>
      <c r="GAE31" s="204"/>
      <c r="GAF31" s="204"/>
      <c r="GAG31" s="204"/>
      <c r="GAH31" s="204"/>
      <c r="GAI31" s="204"/>
      <c r="GAJ31" s="204"/>
      <c r="GAK31" s="204"/>
      <c r="GAL31" s="204"/>
      <c r="GAM31" s="204"/>
      <c r="GAN31" s="204"/>
      <c r="GAO31" s="204"/>
      <c r="GAP31" s="204"/>
      <c r="GAQ31" s="204"/>
      <c r="GAR31" s="204"/>
      <c r="GAS31" s="204"/>
      <c r="GAT31" s="204"/>
      <c r="GAU31" s="204"/>
      <c r="GAV31" s="204"/>
      <c r="GAW31" s="204"/>
      <c r="GAX31" s="204"/>
      <c r="GAY31" s="204"/>
      <c r="GAZ31" s="204"/>
      <c r="GBA31" s="204"/>
      <c r="GBB31" s="204"/>
      <c r="GBC31" s="204"/>
      <c r="GBD31" s="204"/>
      <c r="GBE31" s="204"/>
      <c r="GBF31" s="204"/>
      <c r="GBG31" s="204"/>
      <c r="GBH31" s="204"/>
      <c r="GBI31" s="204"/>
      <c r="GBJ31" s="204"/>
      <c r="GBK31" s="204"/>
      <c r="GBL31" s="204"/>
      <c r="GBM31" s="204"/>
      <c r="GBN31" s="204"/>
      <c r="GBO31" s="204"/>
      <c r="GBP31" s="204"/>
      <c r="GBQ31" s="204"/>
      <c r="GBR31" s="204"/>
      <c r="GBS31" s="204"/>
      <c r="GBT31" s="204"/>
      <c r="GBU31" s="204"/>
      <c r="GBV31" s="204"/>
      <c r="GBW31" s="204"/>
      <c r="GBX31" s="204"/>
      <c r="GBY31" s="204"/>
      <c r="GBZ31" s="204"/>
      <c r="GCA31" s="204"/>
      <c r="GCB31" s="204"/>
      <c r="GCC31" s="204"/>
      <c r="GCD31" s="204"/>
      <c r="GCE31" s="204"/>
      <c r="GCF31" s="204"/>
      <c r="GCG31" s="204"/>
      <c r="GCH31" s="204"/>
      <c r="GCI31" s="204"/>
      <c r="GCJ31" s="204"/>
      <c r="GCK31" s="204"/>
      <c r="GCL31" s="204"/>
      <c r="GCM31" s="204"/>
      <c r="GCN31" s="204"/>
      <c r="GCO31" s="204"/>
      <c r="GCP31" s="204"/>
      <c r="GCQ31" s="204"/>
      <c r="GCR31" s="204"/>
      <c r="GCS31" s="204"/>
      <c r="GCT31" s="204"/>
      <c r="GCU31" s="204"/>
      <c r="GCV31" s="204"/>
      <c r="GCW31" s="204"/>
      <c r="GCX31" s="204"/>
      <c r="GCY31" s="204"/>
      <c r="GCZ31" s="204"/>
      <c r="GDA31" s="204"/>
      <c r="GDB31" s="204"/>
      <c r="GDC31" s="204"/>
      <c r="GDD31" s="204"/>
      <c r="GDE31" s="204"/>
      <c r="GDF31" s="204"/>
      <c r="GDG31" s="204"/>
      <c r="GDH31" s="204"/>
      <c r="GDI31" s="204"/>
      <c r="GDJ31" s="204"/>
      <c r="GDK31" s="204"/>
      <c r="GDL31" s="204"/>
      <c r="GDM31" s="204"/>
      <c r="GDN31" s="204"/>
      <c r="GDO31" s="204"/>
      <c r="GDP31" s="204"/>
      <c r="GDQ31" s="204"/>
      <c r="GDR31" s="204"/>
      <c r="GDS31" s="204"/>
      <c r="GDT31" s="204"/>
      <c r="GDU31" s="204"/>
      <c r="GDV31" s="204"/>
      <c r="GDW31" s="204"/>
      <c r="GDX31" s="204"/>
      <c r="GDY31" s="204"/>
      <c r="GDZ31" s="204"/>
      <c r="GEA31" s="204"/>
      <c r="GEB31" s="204"/>
      <c r="GEC31" s="204"/>
      <c r="GED31" s="204"/>
      <c r="GEE31" s="204"/>
      <c r="GEF31" s="204"/>
      <c r="GEG31" s="204"/>
      <c r="GEH31" s="204"/>
      <c r="GEI31" s="204"/>
      <c r="GEJ31" s="204"/>
      <c r="GEK31" s="204"/>
      <c r="GEL31" s="204"/>
      <c r="GEM31" s="204"/>
      <c r="GEN31" s="204"/>
      <c r="GEO31" s="204"/>
      <c r="GEP31" s="204"/>
      <c r="GEQ31" s="204"/>
      <c r="GER31" s="204"/>
      <c r="GES31" s="204"/>
      <c r="GET31" s="204"/>
      <c r="GEU31" s="204"/>
      <c r="GEV31" s="204"/>
      <c r="GEW31" s="204"/>
      <c r="GEX31" s="204"/>
      <c r="GEY31" s="204"/>
      <c r="GEZ31" s="204"/>
      <c r="GFA31" s="204"/>
      <c r="GFB31" s="204"/>
      <c r="GFC31" s="204"/>
      <c r="GFD31" s="204"/>
      <c r="GFE31" s="204"/>
      <c r="GFF31" s="204"/>
      <c r="GFG31" s="204"/>
      <c r="GFH31" s="204"/>
      <c r="GFI31" s="204"/>
      <c r="GFJ31" s="204"/>
      <c r="GFK31" s="204"/>
      <c r="GFL31" s="204"/>
      <c r="GFM31" s="204"/>
      <c r="GFN31" s="204"/>
      <c r="GFO31" s="204"/>
      <c r="GFP31" s="204"/>
      <c r="GFQ31" s="204"/>
      <c r="GFR31" s="204"/>
      <c r="GFS31" s="204"/>
      <c r="GFT31" s="204"/>
      <c r="GFU31" s="204"/>
      <c r="GFV31" s="204"/>
      <c r="GFW31" s="204"/>
      <c r="GFX31" s="204"/>
      <c r="GFY31" s="204"/>
      <c r="GFZ31" s="204"/>
      <c r="GGA31" s="204"/>
      <c r="GGB31" s="204"/>
      <c r="GGC31" s="204"/>
      <c r="GGD31" s="204"/>
      <c r="GGE31" s="204"/>
      <c r="GGF31" s="204"/>
      <c r="GGG31" s="204"/>
      <c r="GGH31" s="204"/>
      <c r="GGI31" s="204"/>
      <c r="GGJ31" s="204"/>
      <c r="GGK31" s="204"/>
      <c r="GGL31" s="204"/>
      <c r="GGM31" s="204"/>
      <c r="GGN31" s="204"/>
      <c r="GGO31" s="204"/>
      <c r="GGP31" s="204"/>
      <c r="GGQ31" s="204"/>
      <c r="GGR31" s="204"/>
      <c r="GGS31" s="204"/>
      <c r="GGT31" s="204"/>
      <c r="GGU31" s="204"/>
      <c r="GGV31" s="204"/>
      <c r="GGW31" s="204"/>
      <c r="GGX31" s="204"/>
      <c r="GGY31" s="204"/>
      <c r="GGZ31" s="204"/>
      <c r="GHA31" s="204"/>
      <c r="GHB31" s="204"/>
      <c r="GHC31" s="204"/>
      <c r="GHD31" s="204"/>
      <c r="GHE31" s="204"/>
      <c r="GHF31" s="204"/>
      <c r="GHG31" s="204"/>
      <c r="GHH31" s="204"/>
      <c r="GHI31" s="204"/>
      <c r="GHJ31" s="204"/>
      <c r="GHK31" s="204"/>
      <c r="GHL31" s="204"/>
      <c r="GHM31" s="204"/>
      <c r="GHN31" s="204"/>
      <c r="GHO31" s="204"/>
      <c r="GHP31" s="204"/>
      <c r="GHQ31" s="204"/>
      <c r="GHR31" s="204"/>
      <c r="GHS31" s="204"/>
      <c r="GHT31" s="204"/>
      <c r="GHU31" s="204"/>
      <c r="GHV31" s="204"/>
      <c r="GHW31" s="204"/>
      <c r="GHX31" s="204"/>
      <c r="GHY31" s="204"/>
      <c r="GHZ31" s="204"/>
      <c r="GIA31" s="204"/>
      <c r="GIB31" s="204"/>
      <c r="GIC31" s="204"/>
      <c r="GID31" s="204"/>
      <c r="GIE31" s="204"/>
      <c r="GIF31" s="204"/>
      <c r="GIG31" s="204"/>
      <c r="GIH31" s="204"/>
      <c r="GII31" s="204"/>
      <c r="GIJ31" s="204"/>
      <c r="GIK31" s="204"/>
      <c r="GIL31" s="204"/>
      <c r="GIM31" s="204"/>
      <c r="GIN31" s="204"/>
      <c r="GIO31" s="204"/>
      <c r="GIP31" s="204"/>
      <c r="GIQ31" s="204"/>
      <c r="GIR31" s="204"/>
      <c r="GIS31" s="204"/>
      <c r="GIT31" s="204"/>
      <c r="GIU31" s="204"/>
      <c r="GIV31" s="204"/>
      <c r="GIW31" s="204"/>
      <c r="GIX31" s="204"/>
      <c r="GIY31" s="204"/>
      <c r="GIZ31" s="204"/>
      <c r="GJA31" s="204"/>
      <c r="GJB31" s="204"/>
      <c r="GJC31" s="204"/>
      <c r="GJD31" s="204"/>
      <c r="GJE31" s="204"/>
      <c r="GJF31" s="204"/>
      <c r="GJG31" s="204"/>
      <c r="GJH31" s="204"/>
      <c r="GJI31" s="204"/>
      <c r="GJJ31" s="204"/>
      <c r="GJK31" s="204"/>
      <c r="GJL31" s="204"/>
      <c r="GJM31" s="204"/>
      <c r="GJN31" s="204"/>
      <c r="GJO31" s="204"/>
      <c r="GJP31" s="204"/>
      <c r="GJQ31" s="204"/>
      <c r="GJR31" s="204"/>
      <c r="GJS31" s="204"/>
      <c r="GJT31" s="204"/>
      <c r="GJU31" s="204"/>
      <c r="GJV31" s="204"/>
      <c r="GJW31" s="204"/>
      <c r="GJX31" s="204"/>
      <c r="GJY31" s="204"/>
      <c r="GJZ31" s="204"/>
      <c r="GKA31" s="204"/>
      <c r="GKB31" s="204"/>
      <c r="GKC31" s="204"/>
      <c r="GKD31" s="204"/>
      <c r="GKE31" s="204"/>
      <c r="GKF31" s="204"/>
      <c r="GKG31" s="204"/>
      <c r="GKH31" s="204"/>
      <c r="GKI31" s="204"/>
      <c r="GKJ31" s="204"/>
      <c r="GKK31" s="204"/>
      <c r="GKL31" s="204"/>
      <c r="GKM31" s="204"/>
      <c r="GKN31" s="204"/>
      <c r="GKO31" s="204"/>
      <c r="GKP31" s="204"/>
      <c r="GKQ31" s="204"/>
      <c r="GKR31" s="204"/>
      <c r="GKS31" s="204"/>
      <c r="GKT31" s="204"/>
      <c r="GKU31" s="204"/>
      <c r="GKV31" s="204"/>
      <c r="GKW31" s="204"/>
      <c r="GKX31" s="204"/>
      <c r="GKY31" s="204"/>
      <c r="GKZ31" s="204"/>
      <c r="GLA31" s="204"/>
      <c r="GLB31" s="204"/>
      <c r="GLC31" s="204"/>
      <c r="GLD31" s="204"/>
      <c r="GLE31" s="204"/>
      <c r="GLF31" s="204"/>
      <c r="GLG31" s="204"/>
      <c r="GLH31" s="204"/>
      <c r="GLI31" s="204"/>
      <c r="GLJ31" s="204"/>
      <c r="GLK31" s="204"/>
      <c r="GLL31" s="204"/>
      <c r="GLM31" s="204"/>
      <c r="GLN31" s="204"/>
      <c r="GLO31" s="204"/>
      <c r="GLP31" s="204"/>
      <c r="GLQ31" s="204"/>
      <c r="GLR31" s="204"/>
      <c r="GLS31" s="204"/>
      <c r="GLT31" s="204"/>
      <c r="GLU31" s="204"/>
      <c r="GLV31" s="204"/>
      <c r="GLW31" s="204"/>
      <c r="GLX31" s="204"/>
      <c r="GLY31" s="204"/>
      <c r="GLZ31" s="204"/>
      <c r="GMA31" s="204"/>
      <c r="GMB31" s="204"/>
      <c r="GMC31" s="204"/>
      <c r="GMD31" s="204"/>
      <c r="GME31" s="204"/>
      <c r="GMF31" s="204"/>
      <c r="GMG31" s="204"/>
      <c r="GMH31" s="204"/>
      <c r="GMI31" s="204"/>
      <c r="GMJ31" s="204"/>
      <c r="GMK31" s="204"/>
      <c r="GML31" s="204"/>
      <c r="GMM31" s="204"/>
      <c r="GMN31" s="204"/>
      <c r="GMO31" s="204"/>
      <c r="GMP31" s="204"/>
      <c r="GMQ31" s="204"/>
      <c r="GMR31" s="204"/>
      <c r="GMS31" s="204"/>
      <c r="GMT31" s="204"/>
      <c r="GMU31" s="204"/>
      <c r="GMV31" s="204"/>
      <c r="GMW31" s="204"/>
      <c r="GMX31" s="204"/>
      <c r="GMY31" s="204"/>
      <c r="GMZ31" s="204"/>
      <c r="GNA31" s="204"/>
      <c r="GNB31" s="204"/>
      <c r="GNC31" s="204"/>
      <c r="GND31" s="204"/>
      <c r="GNE31" s="204"/>
      <c r="GNF31" s="204"/>
      <c r="GNG31" s="204"/>
      <c r="GNH31" s="204"/>
      <c r="GNI31" s="204"/>
      <c r="GNJ31" s="204"/>
      <c r="GNK31" s="204"/>
      <c r="GNL31" s="204"/>
      <c r="GNM31" s="204"/>
      <c r="GNN31" s="204"/>
      <c r="GNO31" s="204"/>
      <c r="GNP31" s="204"/>
      <c r="GNQ31" s="204"/>
      <c r="GNR31" s="204"/>
      <c r="GNS31" s="204"/>
      <c r="GNT31" s="204"/>
      <c r="GNU31" s="204"/>
      <c r="GNV31" s="204"/>
      <c r="GNW31" s="204"/>
      <c r="GNX31" s="204"/>
      <c r="GNY31" s="204"/>
      <c r="GNZ31" s="204"/>
      <c r="GOA31" s="204"/>
      <c r="GOB31" s="204"/>
      <c r="GOC31" s="204"/>
      <c r="GOD31" s="204"/>
      <c r="GOE31" s="204"/>
      <c r="GOF31" s="204"/>
      <c r="GOG31" s="204"/>
      <c r="GOH31" s="204"/>
      <c r="GOI31" s="204"/>
      <c r="GOJ31" s="204"/>
      <c r="GOK31" s="204"/>
      <c r="GOL31" s="204"/>
      <c r="GOM31" s="204"/>
      <c r="GON31" s="204"/>
      <c r="GOO31" s="204"/>
      <c r="GOP31" s="204"/>
      <c r="GOQ31" s="204"/>
      <c r="GOR31" s="204"/>
      <c r="GOS31" s="204"/>
      <c r="GOT31" s="204"/>
      <c r="GOU31" s="204"/>
      <c r="GOV31" s="204"/>
      <c r="GOW31" s="204"/>
      <c r="GOX31" s="204"/>
      <c r="GOY31" s="204"/>
      <c r="GOZ31" s="204"/>
      <c r="GPA31" s="204"/>
      <c r="GPB31" s="204"/>
      <c r="GPC31" s="204"/>
      <c r="GPD31" s="204"/>
      <c r="GPE31" s="204"/>
      <c r="GPF31" s="204"/>
      <c r="GPG31" s="204"/>
      <c r="GPH31" s="204"/>
      <c r="GPI31" s="204"/>
      <c r="GPJ31" s="204"/>
      <c r="GPK31" s="204"/>
      <c r="GPL31" s="204"/>
      <c r="GPM31" s="204"/>
      <c r="GPN31" s="204"/>
      <c r="GPO31" s="204"/>
      <c r="GPP31" s="204"/>
      <c r="GPQ31" s="204"/>
      <c r="GPR31" s="204"/>
      <c r="GPS31" s="204"/>
      <c r="GPT31" s="204"/>
      <c r="GPU31" s="204"/>
      <c r="GPV31" s="204"/>
      <c r="GPW31" s="204"/>
      <c r="GPX31" s="204"/>
      <c r="GPY31" s="204"/>
      <c r="GPZ31" s="204"/>
      <c r="GQA31" s="204"/>
      <c r="GQB31" s="204"/>
      <c r="GQC31" s="204"/>
      <c r="GQD31" s="204"/>
      <c r="GQE31" s="204"/>
      <c r="GQF31" s="204"/>
      <c r="GQG31" s="204"/>
      <c r="GQH31" s="204"/>
      <c r="GQI31" s="204"/>
      <c r="GQJ31" s="204"/>
      <c r="GQK31" s="204"/>
      <c r="GQL31" s="204"/>
      <c r="GQM31" s="204"/>
      <c r="GQN31" s="204"/>
      <c r="GQO31" s="204"/>
      <c r="GQP31" s="204"/>
      <c r="GQQ31" s="204"/>
      <c r="GQR31" s="204"/>
      <c r="GQS31" s="204"/>
      <c r="GQT31" s="204"/>
      <c r="GQU31" s="204"/>
      <c r="GQV31" s="204"/>
      <c r="GQW31" s="204"/>
      <c r="GQX31" s="204"/>
      <c r="GQY31" s="204"/>
      <c r="GQZ31" s="204"/>
      <c r="GRA31" s="204"/>
      <c r="GRB31" s="204"/>
      <c r="GRC31" s="204"/>
      <c r="GRD31" s="204"/>
      <c r="GRE31" s="204"/>
      <c r="GRF31" s="204"/>
      <c r="GRG31" s="204"/>
      <c r="GRH31" s="204"/>
      <c r="GRI31" s="204"/>
      <c r="GRJ31" s="204"/>
      <c r="GRK31" s="204"/>
      <c r="GRL31" s="204"/>
      <c r="GRM31" s="204"/>
      <c r="GRN31" s="204"/>
      <c r="GRO31" s="204"/>
      <c r="GRP31" s="204"/>
      <c r="GRQ31" s="204"/>
      <c r="GRR31" s="204"/>
      <c r="GRS31" s="204"/>
      <c r="GRT31" s="204"/>
      <c r="GRU31" s="204"/>
      <c r="GRV31" s="204"/>
      <c r="GRW31" s="204"/>
      <c r="GRX31" s="204"/>
      <c r="GRY31" s="204"/>
      <c r="GRZ31" s="204"/>
      <c r="GSA31" s="204"/>
      <c r="GSB31" s="204"/>
      <c r="GSC31" s="204"/>
      <c r="GSD31" s="204"/>
      <c r="GSE31" s="204"/>
      <c r="GSF31" s="204"/>
      <c r="GSG31" s="204"/>
      <c r="GSH31" s="204"/>
      <c r="GSI31" s="204"/>
      <c r="GSJ31" s="204"/>
      <c r="GSK31" s="204"/>
      <c r="GSL31" s="204"/>
      <c r="GSM31" s="204"/>
      <c r="GSN31" s="204"/>
      <c r="GSO31" s="204"/>
      <c r="GSP31" s="204"/>
      <c r="GSQ31" s="204"/>
      <c r="GSR31" s="204"/>
      <c r="GSS31" s="204"/>
      <c r="GST31" s="204"/>
      <c r="GSU31" s="204"/>
      <c r="GSV31" s="204"/>
      <c r="GSW31" s="204"/>
      <c r="GSX31" s="204"/>
      <c r="GSY31" s="204"/>
      <c r="GSZ31" s="204"/>
      <c r="GTA31" s="204"/>
      <c r="GTB31" s="204"/>
      <c r="GTC31" s="204"/>
      <c r="GTD31" s="204"/>
      <c r="GTE31" s="204"/>
      <c r="GTF31" s="204"/>
      <c r="GTG31" s="204"/>
      <c r="GTH31" s="204"/>
      <c r="GTI31" s="204"/>
      <c r="GTJ31" s="204"/>
      <c r="GTK31" s="204"/>
      <c r="GTL31" s="204"/>
      <c r="GTM31" s="204"/>
      <c r="GTN31" s="204"/>
      <c r="GTO31" s="204"/>
      <c r="GTP31" s="204"/>
      <c r="GTQ31" s="204"/>
      <c r="GTR31" s="204"/>
      <c r="GTS31" s="204"/>
      <c r="GTT31" s="204"/>
      <c r="GTU31" s="204"/>
      <c r="GTV31" s="204"/>
      <c r="GTW31" s="204"/>
      <c r="GTX31" s="204"/>
      <c r="GTY31" s="204"/>
      <c r="GTZ31" s="204"/>
      <c r="GUA31" s="204"/>
      <c r="GUB31" s="204"/>
      <c r="GUC31" s="204"/>
      <c r="GUD31" s="204"/>
      <c r="GUE31" s="204"/>
      <c r="GUF31" s="204"/>
      <c r="GUG31" s="204"/>
      <c r="GUH31" s="204"/>
      <c r="GUI31" s="204"/>
      <c r="GUJ31" s="204"/>
      <c r="GUK31" s="204"/>
      <c r="GUL31" s="204"/>
      <c r="GUM31" s="204"/>
      <c r="GUN31" s="204"/>
      <c r="GUO31" s="204"/>
      <c r="GUP31" s="204"/>
      <c r="GUQ31" s="204"/>
      <c r="GUR31" s="204"/>
      <c r="GUS31" s="204"/>
      <c r="GUT31" s="204"/>
      <c r="GUU31" s="204"/>
      <c r="GUV31" s="204"/>
      <c r="GUW31" s="204"/>
      <c r="GUX31" s="204"/>
      <c r="GUY31" s="204"/>
      <c r="GUZ31" s="204"/>
      <c r="GVA31" s="204"/>
      <c r="GVB31" s="204"/>
      <c r="GVC31" s="204"/>
      <c r="GVD31" s="204"/>
      <c r="GVE31" s="204"/>
      <c r="GVF31" s="204"/>
      <c r="GVG31" s="204"/>
      <c r="GVH31" s="204"/>
      <c r="GVI31" s="204"/>
      <c r="GVJ31" s="204"/>
      <c r="GVK31" s="204"/>
      <c r="GVL31" s="204"/>
      <c r="GVM31" s="204"/>
      <c r="GVN31" s="204"/>
      <c r="GVO31" s="204"/>
      <c r="GVP31" s="204"/>
      <c r="GVQ31" s="204"/>
      <c r="GVR31" s="204"/>
      <c r="GVS31" s="204"/>
      <c r="GVT31" s="204"/>
      <c r="GVU31" s="204"/>
      <c r="GVV31" s="204"/>
      <c r="GVW31" s="204"/>
      <c r="GVX31" s="204"/>
      <c r="GVY31" s="204"/>
      <c r="GVZ31" s="204"/>
      <c r="GWA31" s="204"/>
      <c r="GWB31" s="204"/>
      <c r="GWC31" s="204"/>
      <c r="GWD31" s="204"/>
      <c r="GWE31" s="204"/>
      <c r="GWF31" s="204"/>
      <c r="GWG31" s="204"/>
      <c r="GWH31" s="204"/>
      <c r="GWI31" s="204"/>
      <c r="GWJ31" s="204"/>
      <c r="GWK31" s="204"/>
      <c r="GWL31" s="204"/>
      <c r="GWM31" s="204"/>
      <c r="GWN31" s="204"/>
      <c r="GWO31" s="204"/>
      <c r="GWP31" s="204"/>
      <c r="GWQ31" s="204"/>
      <c r="GWR31" s="204"/>
      <c r="GWS31" s="204"/>
      <c r="GWT31" s="204"/>
      <c r="GWU31" s="204"/>
      <c r="GWV31" s="204"/>
      <c r="GWW31" s="204"/>
      <c r="GWX31" s="204"/>
      <c r="GWY31" s="204"/>
      <c r="GWZ31" s="204"/>
      <c r="GXA31" s="204"/>
      <c r="GXB31" s="204"/>
      <c r="GXC31" s="204"/>
      <c r="GXD31" s="204"/>
      <c r="GXE31" s="204"/>
      <c r="GXF31" s="204"/>
      <c r="GXG31" s="204"/>
      <c r="GXH31" s="204"/>
      <c r="GXI31" s="204"/>
      <c r="GXJ31" s="204"/>
      <c r="GXK31" s="204"/>
      <c r="GXL31" s="204"/>
      <c r="GXM31" s="204"/>
      <c r="GXN31" s="204"/>
      <c r="GXO31" s="204"/>
      <c r="GXP31" s="204"/>
      <c r="GXQ31" s="204"/>
      <c r="GXR31" s="204"/>
      <c r="GXS31" s="204"/>
      <c r="GXT31" s="204"/>
      <c r="GXU31" s="204"/>
      <c r="GXV31" s="204"/>
      <c r="GXW31" s="204"/>
      <c r="GXX31" s="204"/>
      <c r="GXY31" s="204"/>
      <c r="GXZ31" s="204"/>
      <c r="GYA31" s="204"/>
      <c r="GYB31" s="204"/>
      <c r="GYC31" s="204"/>
      <c r="GYD31" s="204"/>
      <c r="GYE31" s="204"/>
      <c r="GYF31" s="204"/>
      <c r="GYG31" s="204"/>
      <c r="GYH31" s="204"/>
      <c r="GYI31" s="204"/>
      <c r="GYJ31" s="204"/>
      <c r="GYK31" s="204"/>
      <c r="GYL31" s="204"/>
      <c r="GYM31" s="204"/>
      <c r="GYN31" s="204"/>
      <c r="GYO31" s="204"/>
      <c r="GYP31" s="204"/>
      <c r="GYQ31" s="204"/>
      <c r="GYR31" s="204"/>
      <c r="GYS31" s="204"/>
      <c r="GYT31" s="204"/>
      <c r="GYU31" s="204"/>
      <c r="GYV31" s="204"/>
      <c r="GYW31" s="204"/>
      <c r="GYX31" s="204"/>
      <c r="GYY31" s="204"/>
      <c r="GYZ31" s="204"/>
      <c r="GZA31" s="204"/>
      <c r="GZB31" s="204"/>
      <c r="GZC31" s="204"/>
      <c r="GZD31" s="204"/>
      <c r="GZE31" s="204"/>
      <c r="GZF31" s="204"/>
      <c r="GZG31" s="204"/>
      <c r="GZH31" s="204"/>
      <c r="GZI31" s="204"/>
      <c r="GZJ31" s="204"/>
      <c r="GZK31" s="204"/>
      <c r="GZL31" s="204"/>
      <c r="GZM31" s="204"/>
      <c r="GZN31" s="204"/>
      <c r="GZO31" s="204"/>
      <c r="GZP31" s="204"/>
      <c r="GZQ31" s="204"/>
      <c r="GZR31" s="204"/>
      <c r="GZS31" s="204"/>
      <c r="GZT31" s="204"/>
      <c r="GZU31" s="204"/>
      <c r="GZV31" s="204"/>
      <c r="GZW31" s="204"/>
      <c r="GZX31" s="204"/>
      <c r="GZY31" s="204"/>
      <c r="GZZ31" s="204"/>
      <c r="HAA31" s="204"/>
      <c r="HAB31" s="204"/>
      <c r="HAC31" s="204"/>
      <c r="HAD31" s="204"/>
      <c r="HAE31" s="204"/>
      <c r="HAF31" s="204"/>
      <c r="HAG31" s="204"/>
      <c r="HAH31" s="204"/>
      <c r="HAI31" s="204"/>
      <c r="HAJ31" s="204"/>
      <c r="HAK31" s="204"/>
      <c r="HAL31" s="204"/>
      <c r="HAM31" s="204"/>
      <c r="HAN31" s="204"/>
      <c r="HAO31" s="204"/>
      <c r="HAP31" s="204"/>
      <c r="HAQ31" s="204"/>
      <c r="HAR31" s="204"/>
      <c r="HAS31" s="204"/>
      <c r="HAT31" s="204"/>
      <c r="HAU31" s="204"/>
      <c r="HAV31" s="204"/>
      <c r="HAW31" s="204"/>
      <c r="HAX31" s="204"/>
      <c r="HAY31" s="204"/>
      <c r="HAZ31" s="204"/>
      <c r="HBA31" s="204"/>
      <c r="HBB31" s="204"/>
      <c r="HBC31" s="204"/>
      <c r="HBD31" s="204"/>
      <c r="HBE31" s="204"/>
      <c r="HBF31" s="204"/>
      <c r="HBG31" s="204"/>
      <c r="HBH31" s="204"/>
      <c r="HBI31" s="204"/>
      <c r="HBJ31" s="204"/>
      <c r="HBK31" s="204"/>
      <c r="HBL31" s="204"/>
      <c r="HBM31" s="204"/>
      <c r="HBN31" s="204"/>
      <c r="HBO31" s="204"/>
      <c r="HBP31" s="204"/>
      <c r="HBQ31" s="204"/>
      <c r="HBR31" s="204"/>
      <c r="HBS31" s="204"/>
      <c r="HBT31" s="204"/>
      <c r="HBU31" s="204"/>
      <c r="HBV31" s="204"/>
      <c r="HBW31" s="204"/>
      <c r="HBX31" s="204"/>
      <c r="HBY31" s="204"/>
      <c r="HBZ31" s="204"/>
      <c r="HCA31" s="204"/>
      <c r="HCB31" s="204"/>
      <c r="HCC31" s="204"/>
      <c r="HCD31" s="204"/>
      <c r="HCE31" s="204"/>
      <c r="HCF31" s="204"/>
      <c r="HCG31" s="204"/>
      <c r="HCH31" s="204"/>
      <c r="HCI31" s="204"/>
      <c r="HCJ31" s="204"/>
      <c r="HCK31" s="204"/>
      <c r="HCL31" s="204"/>
      <c r="HCM31" s="204"/>
      <c r="HCN31" s="204"/>
      <c r="HCO31" s="204"/>
      <c r="HCP31" s="204"/>
      <c r="HCQ31" s="204"/>
      <c r="HCR31" s="204"/>
      <c r="HCS31" s="204"/>
      <c r="HCT31" s="204"/>
      <c r="HCU31" s="204"/>
      <c r="HCV31" s="204"/>
      <c r="HCW31" s="204"/>
      <c r="HCX31" s="204"/>
      <c r="HCY31" s="204"/>
      <c r="HCZ31" s="204"/>
      <c r="HDA31" s="204"/>
      <c r="HDB31" s="204"/>
      <c r="HDC31" s="204"/>
      <c r="HDD31" s="204"/>
      <c r="HDE31" s="204"/>
      <c r="HDF31" s="204"/>
      <c r="HDG31" s="204"/>
      <c r="HDH31" s="204"/>
      <c r="HDI31" s="204"/>
      <c r="HDJ31" s="204"/>
      <c r="HDK31" s="204"/>
      <c r="HDL31" s="204"/>
      <c r="HDM31" s="204"/>
      <c r="HDN31" s="204"/>
      <c r="HDO31" s="204"/>
      <c r="HDP31" s="204"/>
      <c r="HDQ31" s="204"/>
      <c r="HDR31" s="204"/>
      <c r="HDS31" s="204"/>
      <c r="HDT31" s="204"/>
      <c r="HDU31" s="204"/>
      <c r="HDV31" s="204"/>
      <c r="HDW31" s="204"/>
      <c r="HDX31" s="204"/>
      <c r="HDY31" s="204"/>
      <c r="HDZ31" s="204"/>
      <c r="HEA31" s="204"/>
      <c r="HEB31" s="204"/>
      <c r="HEC31" s="204"/>
      <c r="HED31" s="204"/>
      <c r="HEE31" s="204"/>
      <c r="HEF31" s="204"/>
      <c r="HEG31" s="204"/>
      <c r="HEH31" s="204"/>
      <c r="HEI31" s="204"/>
      <c r="HEJ31" s="204"/>
      <c r="HEK31" s="204"/>
      <c r="HEL31" s="204"/>
      <c r="HEM31" s="204"/>
      <c r="HEN31" s="204"/>
      <c r="HEO31" s="204"/>
      <c r="HEP31" s="204"/>
      <c r="HEQ31" s="204"/>
      <c r="HER31" s="204"/>
      <c r="HES31" s="204"/>
      <c r="HET31" s="204"/>
      <c r="HEU31" s="204"/>
      <c r="HEV31" s="204"/>
      <c r="HEW31" s="204"/>
      <c r="HEX31" s="204"/>
      <c r="HEY31" s="204"/>
      <c r="HEZ31" s="204"/>
      <c r="HFA31" s="204"/>
      <c r="HFB31" s="204"/>
      <c r="HFC31" s="204"/>
      <c r="HFD31" s="204"/>
      <c r="HFE31" s="204"/>
      <c r="HFF31" s="204"/>
      <c r="HFG31" s="204"/>
      <c r="HFH31" s="204"/>
      <c r="HFI31" s="204"/>
      <c r="HFJ31" s="204"/>
      <c r="HFK31" s="204"/>
      <c r="HFL31" s="204"/>
      <c r="HFM31" s="204"/>
      <c r="HFN31" s="204"/>
      <c r="HFO31" s="204"/>
      <c r="HFP31" s="204"/>
      <c r="HFQ31" s="204"/>
      <c r="HFR31" s="204"/>
      <c r="HFS31" s="204"/>
      <c r="HFT31" s="204"/>
      <c r="HFU31" s="204"/>
      <c r="HFV31" s="204"/>
      <c r="HFW31" s="204"/>
      <c r="HFX31" s="204"/>
      <c r="HFY31" s="204"/>
      <c r="HFZ31" s="204"/>
      <c r="HGA31" s="204"/>
      <c r="HGB31" s="204"/>
      <c r="HGC31" s="204"/>
      <c r="HGD31" s="204"/>
      <c r="HGE31" s="204"/>
      <c r="HGF31" s="204"/>
      <c r="HGG31" s="204"/>
      <c r="HGH31" s="204"/>
      <c r="HGI31" s="204"/>
      <c r="HGJ31" s="204"/>
      <c r="HGK31" s="204"/>
      <c r="HGL31" s="204"/>
      <c r="HGM31" s="204"/>
      <c r="HGN31" s="204"/>
      <c r="HGO31" s="204"/>
      <c r="HGP31" s="204"/>
      <c r="HGQ31" s="204"/>
      <c r="HGR31" s="204"/>
      <c r="HGS31" s="204"/>
      <c r="HGT31" s="204"/>
      <c r="HGU31" s="204"/>
      <c r="HGV31" s="204"/>
      <c r="HGW31" s="204"/>
      <c r="HGX31" s="204"/>
      <c r="HGY31" s="204"/>
      <c r="HGZ31" s="204"/>
      <c r="HHA31" s="204"/>
      <c r="HHB31" s="204"/>
      <c r="HHC31" s="204"/>
      <c r="HHD31" s="204"/>
      <c r="HHE31" s="204"/>
      <c r="HHF31" s="204"/>
      <c r="HHG31" s="204"/>
      <c r="HHH31" s="204"/>
      <c r="HHI31" s="204"/>
      <c r="HHJ31" s="204"/>
      <c r="HHK31" s="204"/>
      <c r="HHL31" s="204"/>
      <c r="HHM31" s="204"/>
      <c r="HHN31" s="204"/>
      <c r="HHO31" s="204"/>
      <c r="HHP31" s="204"/>
      <c r="HHQ31" s="204"/>
      <c r="HHR31" s="204"/>
      <c r="HHS31" s="204"/>
      <c r="HHT31" s="204"/>
      <c r="HHU31" s="204"/>
      <c r="HHV31" s="204"/>
      <c r="HHW31" s="204"/>
      <c r="HHX31" s="204"/>
      <c r="HHY31" s="204"/>
      <c r="HHZ31" s="204"/>
      <c r="HIA31" s="204"/>
      <c r="HIB31" s="204"/>
      <c r="HIC31" s="204"/>
      <c r="HID31" s="204"/>
      <c r="HIE31" s="204"/>
      <c r="HIF31" s="204"/>
      <c r="HIG31" s="204"/>
      <c r="HIH31" s="204"/>
      <c r="HII31" s="204"/>
      <c r="HIJ31" s="204"/>
      <c r="HIK31" s="204"/>
      <c r="HIL31" s="204"/>
      <c r="HIM31" s="204"/>
      <c r="HIN31" s="204"/>
      <c r="HIO31" s="204"/>
      <c r="HIP31" s="204"/>
      <c r="HIQ31" s="204"/>
      <c r="HIR31" s="204"/>
      <c r="HIS31" s="204"/>
      <c r="HIT31" s="204"/>
      <c r="HIU31" s="204"/>
      <c r="HIV31" s="204"/>
      <c r="HIW31" s="204"/>
      <c r="HIX31" s="204"/>
      <c r="HIY31" s="204"/>
      <c r="HIZ31" s="204"/>
      <c r="HJA31" s="204"/>
      <c r="HJB31" s="204"/>
      <c r="HJC31" s="204"/>
      <c r="HJD31" s="204"/>
      <c r="HJE31" s="204"/>
      <c r="HJF31" s="204"/>
      <c r="HJG31" s="204"/>
      <c r="HJH31" s="204"/>
      <c r="HJI31" s="204"/>
      <c r="HJJ31" s="204"/>
      <c r="HJK31" s="204"/>
      <c r="HJL31" s="204"/>
      <c r="HJM31" s="204"/>
      <c r="HJN31" s="204"/>
      <c r="HJO31" s="204"/>
      <c r="HJP31" s="204"/>
      <c r="HJQ31" s="204"/>
      <c r="HJR31" s="204"/>
      <c r="HJS31" s="204"/>
      <c r="HJT31" s="204"/>
      <c r="HJU31" s="204"/>
      <c r="HJV31" s="204"/>
      <c r="HJW31" s="204"/>
      <c r="HJX31" s="204"/>
      <c r="HJY31" s="204"/>
      <c r="HJZ31" s="204"/>
      <c r="HKA31" s="204"/>
      <c r="HKB31" s="204"/>
      <c r="HKC31" s="204"/>
      <c r="HKD31" s="204"/>
      <c r="HKE31" s="204"/>
      <c r="HKF31" s="204"/>
      <c r="HKG31" s="204"/>
      <c r="HKH31" s="204"/>
      <c r="HKI31" s="204"/>
      <c r="HKJ31" s="204"/>
      <c r="HKK31" s="204"/>
      <c r="HKL31" s="204"/>
      <c r="HKM31" s="204"/>
      <c r="HKN31" s="204"/>
      <c r="HKO31" s="204"/>
      <c r="HKP31" s="204"/>
      <c r="HKQ31" s="204"/>
      <c r="HKR31" s="204"/>
      <c r="HKS31" s="204"/>
      <c r="HKT31" s="204"/>
      <c r="HKU31" s="204"/>
      <c r="HKV31" s="204"/>
      <c r="HKW31" s="204"/>
      <c r="HKX31" s="204"/>
      <c r="HKY31" s="204"/>
      <c r="HKZ31" s="204"/>
      <c r="HLA31" s="204"/>
      <c r="HLB31" s="204"/>
      <c r="HLC31" s="204"/>
      <c r="HLD31" s="204"/>
      <c r="HLE31" s="204"/>
      <c r="HLF31" s="204"/>
      <c r="HLG31" s="204"/>
      <c r="HLH31" s="204"/>
      <c r="HLI31" s="204"/>
      <c r="HLJ31" s="204"/>
      <c r="HLK31" s="204"/>
      <c r="HLL31" s="204"/>
      <c r="HLM31" s="204"/>
      <c r="HLN31" s="204"/>
      <c r="HLO31" s="204"/>
      <c r="HLP31" s="204"/>
      <c r="HLQ31" s="204"/>
      <c r="HLR31" s="204"/>
      <c r="HLS31" s="204"/>
      <c r="HLT31" s="204"/>
      <c r="HLU31" s="204"/>
      <c r="HLV31" s="204"/>
      <c r="HLW31" s="204"/>
      <c r="HLX31" s="204"/>
      <c r="HLY31" s="204"/>
      <c r="HLZ31" s="204"/>
      <c r="HMA31" s="204"/>
      <c r="HMB31" s="204"/>
      <c r="HMC31" s="204"/>
      <c r="HMD31" s="204"/>
      <c r="HME31" s="204"/>
      <c r="HMF31" s="204"/>
      <c r="HMG31" s="204"/>
      <c r="HMH31" s="204"/>
      <c r="HMI31" s="204"/>
      <c r="HMJ31" s="204"/>
      <c r="HMK31" s="204"/>
      <c r="HML31" s="204"/>
      <c r="HMM31" s="204"/>
      <c r="HMN31" s="204"/>
      <c r="HMO31" s="204"/>
      <c r="HMP31" s="204"/>
      <c r="HMQ31" s="204"/>
      <c r="HMR31" s="204"/>
      <c r="HMS31" s="204"/>
      <c r="HMT31" s="204"/>
      <c r="HMU31" s="204"/>
      <c r="HMV31" s="204"/>
      <c r="HMW31" s="204"/>
      <c r="HMX31" s="204"/>
      <c r="HMY31" s="204"/>
      <c r="HMZ31" s="204"/>
      <c r="HNA31" s="204"/>
      <c r="HNB31" s="204"/>
      <c r="HNC31" s="204"/>
      <c r="HND31" s="204"/>
      <c r="HNE31" s="204"/>
      <c r="HNF31" s="204"/>
      <c r="HNG31" s="204"/>
      <c r="HNH31" s="204"/>
      <c r="HNI31" s="204"/>
      <c r="HNJ31" s="204"/>
      <c r="HNK31" s="204"/>
      <c r="HNL31" s="204"/>
      <c r="HNM31" s="204"/>
      <c r="HNN31" s="204"/>
      <c r="HNO31" s="204"/>
      <c r="HNP31" s="204"/>
      <c r="HNQ31" s="204"/>
      <c r="HNR31" s="204"/>
      <c r="HNS31" s="204"/>
      <c r="HNT31" s="204"/>
      <c r="HNU31" s="204"/>
      <c r="HNV31" s="204"/>
      <c r="HNW31" s="204"/>
      <c r="HNX31" s="204"/>
      <c r="HNY31" s="204"/>
      <c r="HNZ31" s="204"/>
      <c r="HOA31" s="204"/>
      <c r="HOB31" s="204"/>
      <c r="HOC31" s="204"/>
      <c r="HOD31" s="204"/>
      <c r="HOE31" s="204"/>
      <c r="HOF31" s="204"/>
      <c r="HOG31" s="204"/>
      <c r="HOH31" s="204"/>
      <c r="HOI31" s="204"/>
      <c r="HOJ31" s="204"/>
      <c r="HOK31" s="204"/>
      <c r="HOL31" s="204"/>
      <c r="HOM31" s="204"/>
      <c r="HON31" s="204"/>
      <c r="HOO31" s="204"/>
      <c r="HOP31" s="204"/>
      <c r="HOQ31" s="204"/>
      <c r="HOR31" s="204"/>
      <c r="HOS31" s="204"/>
      <c r="HOT31" s="204"/>
      <c r="HOU31" s="204"/>
      <c r="HOV31" s="204"/>
      <c r="HOW31" s="204"/>
      <c r="HOX31" s="204"/>
      <c r="HOY31" s="204"/>
      <c r="HOZ31" s="204"/>
      <c r="HPA31" s="204"/>
      <c r="HPB31" s="204"/>
      <c r="HPC31" s="204"/>
      <c r="HPD31" s="204"/>
      <c r="HPE31" s="204"/>
      <c r="HPF31" s="204"/>
      <c r="HPG31" s="204"/>
      <c r="HPH31" s="204"/>
      <c r="HPI31" s="204"/>
      <c r="HPJ31" s="204"/>
      <c r="HPK31" s="204"/>
      <c r="HPL31" s="204"/>
      <c r="HPM31" s="204"/>
      <c r="HPN31" s="204"/>
      <c r="HPO31" s="204"/>
      <c r="HPP31" s="204"/>
      <c r="HPQ31" s="204"/>
      <c r="HPR31" s="204"/>
      <c r="HPS31" s="204"/>
      <c r="HPT31" s="204"/>
      <c r="HPU31" s="204"/>
      <c r="HPV31" s="204"/>
      <c r="HPW31" s="204"/>
      <c r="HPX31" s="204"/>
      <c r="HPY31" s="204"/>
      <c r="HPZ31" s="204"/>
      <c r="HQA31" s="204"/>
      <c r="HQB31" s="204"/>
      <c r="HQC31" s="204"/>
      <c r="HQD31" s="204"/>
      <c r="HQE31" s="204"/>
      <c r="HQF31" s="204"/>
      <c r="HQG31" s="204"/>
      <c r="HQH31" s="204"/>
      <c r="HQI31" s="204"/>
      <c r="HQJ31" s="204"/>
      <c r="HQK31" s="204"/>
      <c r="HQL31" s="204"/>
      <c r="HQM31" s="204"/>
      <c r="HQN31" s="204"/>
      <c r="HQO31" s="204"/>
      <c r="HQP31" s="204"/>
      <c r="HQQ31" s="204"/>
      <c r="HQR31" s="204"/>
      <c r="HQS31" s="204"/>
      <c r="HQT31" s="204"/>
      <c r="HQU31" s="204"/>
      <c r="HQV31" s="204"/>
      <c r="HQW31" s="204"/>
      <c r="HQX31" s="204"/>
      <c r="HQY31" s="204"/>
      <c r="HQZ31" s="204"/>
      <c r="HRA31" s="204"/>
      <c r="HRB31" s="204"/>
      <c r="HRC31" s="204"/>
      <c r="HRD31" s="204"/>
      <c r="HRE31" s="204"/>
      <c r="HRF31" s="204"/>
      <c r="HRG31" s="204"/>
      <c r="HRH31" s="204"/>
      <c r="HRI31" s="204"/>
      <c r="HRJ31" s="204"/>
      <c r="HRK31" s="204"/>
      <c r="HRL31" s="204"/>
      <c r="HRM31" s="204"/>
      <c r="HRN31" s="204"/>
      <c r="HRO31" s="204"/>
      <c r="HRP31" s="204"/>
      <c r="HRQ31" s="204"/>
      <c r="HRR31" s="204"/>
      <c r="HRS31" s="204"/>
      <c r="HRT31" s="204"/>
      <c r="HRU31" s="204"/>
      <c r="HRV31" s="204"/>
      <c r="HRW31" s="204"/>
      <c r="HRX31" s="204"/>
      <c r="HRY31" s="204"/>
      <c r="HRZ31" s="204"/>
      <c r="HSA31" s="204"/>
      <c r="HSB31" s="204"/>
      <c r="HSC31" s="204"/>
      <c r="HSD31" s="204"/>
      <c r="HSE31" s="204"/>
      <c r="HSF31" s="204"/>
      <c r="HSG31" s="204"/>
      <c r="HSH31" s="204"/>
      <c r="HSI31" s="204"/>
      <c r="HSJ31" s="204"/>
      <c r="HSK31" s="204"/>
      <c r="HSL31" s="204"/>
      <c r="HSM31" s="204"/>
      <c r="HSN31" s="204"/>
      <c r="HSO31" s="204"/>
      <c r="HSP31" s="204"/>
      <c r="HSQ31" s="204"/>
      <c r="HSR31" s="204"/>
      <c r="HSS31" s="204"/>
      <c r="HST31" s="204"/>
      <c r="HSU31" s="204"/>
      <c r="HSV31" s="204"/>
      <c r="HSW31" s="204"/>
      <c r="HSX31" s="204"/>
      <c r="HSY31" s="204"/>
      <c r="HSZ31" s="204"/>
      <c r="HTA31" s="204"/>
      <c r="HTB31" s="204"/>
      <c r="HTC31" s="204"/>
      <c r="HTD31" s="204"/>
      <c r="HTE31" s="204"/>
      <c r="HTF31" s="204"/>
      <c r="HTG31" s="204"/>
      <c r="HTH31" s="204"/>
      <c r="HTI31" s="204"/>
      <c r="HTJ31" s="204"/>
      <c r="HTK31" s="204"/>
      <c r="HTL31" s="204"/>
      <c r="HTM31" s="204"/>
      <c r="HTN31" s="204"/>
      <c r="HTO31" s="204"/>
      <c r="HTP31" s="204"/>
      <c r="HTQ31" s="204"/>
      <c r="HTR31" s="204"/>
      <c r="HTS31" s="204"/>
      <c r="HTT31" s="204"/>
      <c r="HTU31" s="204"/>
      <c r="HTV31" s="204"/>
      <c r="HTW31" s="204"/>
      <c r="HTX31" s="204"/>
      <c r="HTY31" s="204"/>
      <c r="HTZ31" s="204"/>
      <c r="HUA31" s="204"/>
      <c r="HUB31" s="204"/>
      <c r="HUC31" s="204"/>
      <c r="HUD31" s="204"/>
      <c r="HUE31" s="204"/>
      <c r="HUF31" s="204"/>
      <c r="HUG31" s="204"/>
      <c r="HUH31" s="204"/>
      <c r="HUI31" s="204"/>
      <c r="HUJ31" s="204"/>
      <c r="HUK31" s="204"/>
      <c r="HUL31" s="204"/>
      <c r="HUM31" s="204"/>
      <c r="HUN31" s="204"/>
      <c r="HUO31" s="204"/>
      <c r="HUP31" s="204"/>
      <c r="HUQ31" s="204"/>
      <c r="HUR31" s="204"/>
      <c r="HUS31" s="204"/>
      <c r="HUT31" s="204"/>
      <c r="HUU31" s="204"/>
      <c r="HUV31" s="204"/>
      <c r="HUW31" s="204"/>
      <c r="HUX31" s="204"/>
      <c r="HUY31" s="204"/>
      <c r="HUZ31" s="204"/>
      <c r="HVA31" s="204"/>
      <c r="HVB31" s="204"/>
      <c r="HVC31" s="204"/>
      <c r="HVD31" s="204"/>
      <c r="HVE31" s="204"/>
      <c r="HVF31" s="204"/>
      <c r="HVG31" s="204"/>
      <c r="HVH31" s="204"/>
      <c r="HVI31" s="204"/>
      <c r="HVJ31" s="204"/>
      <c r="HVK31" s="204"/>
      <c r="HVL31" s="204"/>
      <c r="HVM31" s="204"/>
      <c r="HVN31" s="204"/>
      <c r="HVO31" s="204"/>
      <c r="HVP31" s="204"/>
      <c r="HVQ31" s="204"/>
      <c r="HVR31" s="204"/>
      <c r="HVS31" s="204"/>
      <c r="HVT31" s="204"/>
      <c r="HVU31" s="204"/>
      <c r="HVV31" s="204"/>
      <c r="HVW31" s="204"/>
      <c r="HVX31" s="204"/>
      <c r="HVY31" s="204"/>
      <c r="HVZ31" s="204"/>
      <c r="HWA31" s="204"/>
      <c r="HWB31" s="204"/>
      <c r="HWC31" s="204"/>
      <c r="HWD31" s="204"/>
      <c r="HWE31" s="204"/>
      <c r="HWF31" s="204"/>
      <c r="HWG31" s="204"/>
      <c r="HWH31" s="204"/>
      <c r="HWI31" s="204"/>
      <c r="HWJ31" s="204"/>
      <c r="HWK31" s="204"/>
      <c r="HWL31" s="204"/>
      <c r="HWM31" s="204"/>
      <c r="HWN31" s="204"/>
      <c r="HWO31" s="204"/>
      <c r="HWP31" s="204"/>
      <c r="HWQ31" s="204"/>
      <c r="HWR31" s="204"/>
      <c r="HWS31" s="204"/>
      <c r="HWT31" s="204"/>
      <c r="HWU31" s="204"/>
      <c r="HWV31" s="204"/>
      <c r="HWW31" s="204"/>
      <c r="HWX31" s="204"/>
      <c r="HWY31" s="204"/>
      <c r="HWZ31" s="204"/>
      <c r="HXA31" s="204"/>
      <c r="HXB31" s="204"/>
      <c r="HXC31" s="204"/>
      <c r="HXD31" s="204"/>
      <c r="HXE31" s="204"/>
      <c r="HXF31" s="204"/>
      <c r="HXG31" s="204"/>
      <c r="HXH31" s="204"/>
      <c r="HXI31" s="204"/>
      <c r="HXJ31" s="204"/>
      <c r="HXK31" s="204"/>
      <c r="HXL31" s="204"/>
      <c r="HXM31" s="204"/>
      <c r="HXN31" s="204"/>
      <c r="HXO31" s="204"/>
      <c r="HXP31" s="204"/>
      <c r="HXQ31" s="204"/>
      <c r="HXR31" s="204"/>
      <c r="HXS31" s="204"/>
      <c r="HXT31" s="204"/>
      <c r="HXU31" s="204"/>
      <c r="HXV31" s="204"/>
      <c r="HXW31" s="204"/>
      <c r="HXX31" s="204"/>
      <c r="HXY31" s="204"/>
      <c r="HXZ31" s="204"/>
      <c r="HYA31" s="204"/>
      <c r="HYB31" s="204"/>
      <c r="HYC31" s="204"/>
      <c r="HYD31" s="204"/>
      <c r="HYE31" s="204"/>
      <c r="HYF31" s="204"/>
      <c r="HYG31" s="204"/>
      <c r="HYH31" s="204"/>
      <c r="HYI31" s="204"/>
      <c r="HYJ31" s="204"/>
      <c r="HYK31" s="204"/>
      <c r="HYL31" s="204"/>
      <c r="HYM31" s="204"/>
      <c r="HYN31" s="204"/>
      <c r="HYO31" s="204"/>
      <c r="HYP31" s="204"/>
      <c r="HYQ31" s="204"/>
      <c r="HYR31" s="204"/>
      <c r="HYS31" s="204"/>
      <c r="HYT31" s="204"/>
      <c r="HYU31" s="204"/>
      <c r="HYV31" s="204"/>
      <c r="HYW31" s="204"/>
      <c r="HYX31" s="204"/>
      <c r="HYY31" s="204"/>
      <c r="HYZ31" s="204"/>
      <c r="HZA31" s="204"/>
      <c r="HZB31" s="204"/>
      <c r="HZC31" s="204"/>
      <c r="HZD31" s="204"/>
      <c r="HZE31" s="204"/>
      <c r="HZF31" s="204"/>
      <c r="HZG31" s="204"/>
      <c r="HZH31" s="204"/>
      <c r="HZI31" s="204"/>
      <c r="HZJ31" s="204"/>
      <c r="HZK31" s="204"/>
      <c r="HZL31" s="204"/>
      <c r="HZM31" s="204"/>
      <c r="HZN31" s="204"/>
      <c r="HZO31" s="204"/>
      <c r="HZP31" s="204"/>
      <c r="HZQ31" s="204"/>
      <c r="HZR31" s="204"/>
      <c r="HZS31" s="204"/>
      <c r="HZT31" s="204"/>
      <c r="HZU31" s="204"/>
      <c r="HZV31" s="204"/>
      <c r="HZW31" s="204"/>
      <c r="HZX31" s="204"/>
      <c r="HZY31" s="204"/>
      <c r="HZZ31" s="204"/>
      <c r="IAA31" s="204"/>
      <c r="IAB31" s="204"/>
      <c r="IAC31" s="204"/>
      <c r="IAD31" s="204"/>
      <c r="IAE31" s="204"/>
      <c r="IAF31" s="204"/>
      <c r="IAG31" s="204"/>
      <c r="IAH31" s="204"/>
      <c r="IAI31" s="204"/>
      <c r="IAJ31" s="204"/>
      <c r="IAK31" s="204"/>
      <c r="IAL31" s="204"/>
      <c r="IAM31" s="204"/>
      <c r="IAN31" s="204"/>
      <c r="IAO31" s="204"/>
      <c r="IAP31" s="204"/>
      <c r="IAQ31" s="204"/>
      <c r="IAR31" s="204"/>
      <c r="IAS31" s="204"/>
      <c r="IAT31" s="204"/>
      <c r="IAU31" s="204"/>
      <c r="IAV31" s="204"/>
      <c r="IAW31" s="204"/>
      <c r="IAX31" s="204"/>
      <c r="IAY31" s="204"/>
      <c r="IAZ31" s="204"/>
      <c r="IBA31" s="204"/>
      <c r="IBB31" s="204"/>
      <c r="IBC31" s="204"/>
      <c r="IBD31" s="204"/>
      <c r="IBE31" s="204"/>
      <c r="IBF31" s="204"/>
      <c r="IBG31" s="204"/>
      <c r="IBH31" s="204"/>
      <c r="IBI31" s="204"/>
      <c r="IBJ31" s="204"/>
      <c r="IBK31" s="204"/>
      <c r="IBL31" s="204"/>
      <c r="IBM31" s="204"/>
      <c r="IBN31" s="204"/>
      <c r="IBO31" s="204"/>
      <c r="IBP31" s="204"/>
      <c r="IBQ31" s="204"/>
      <c r="IBR31" s="204"/>
      <c r="IBS31" s="204"/>
      <c r="IBT31" s="204"/>
      <c r="IBU31" s="204"/>
      <c r="IBV31" s="204"/>
      <c r="IBW31" s="204"/>
      <c r="IBX31" s="204"/>
      <c r="IBY31" s="204"/>
      <c r="IBZ31" s="204"/>
      <c r="ICA31" s="204"/>
      <c r="ICB31" s="204"/>
      <c r="ICC31" s="204"/>
      <c r="ICD31" s="204"/>
      <c r="ICE31" s="204"/>
      <c r="ICF31" s="204"/>
      <c r="ICG31" s="204"/>
      <c r="ICH31" s="204"/>
      <c r="ICI31" s="204"/>
      <c r="ICJ31" s="204"/>
      <c r="ICK31" s="204"/>
      <c r="ICL31" s="204"/>
      <c r="ICM31" s="204"/>
      <c r="ICN31" s="204"/>
      <c r="ICO31" s="204"/>
      <c r="ICP31" s="204"/>
      <c r="ICQ31" s="204"/>
      <c r="ICR31" s="204"/>
      <c r="ICS31" s="204"/>
      <c r="ICT31" s="204"/>
      <c r="ICU31" s="204"/>
      <c r="ICV31" s="204"/>
      <c r="ICW31" s="204"/>
      <c r="ICX31" s="204"/>
      <c r="ICY31" s="204"/>
      <c r="ICZ31" s="204"/>
      <c r="IDA31" s="204"/>
      <c r="IDB31" s="204"/>
      <c r="IDC31" s="204"/>
      <c r="IDD31" s="204"/>
      <c r="IDE31" s="204"/>
      <c r="IDF31" s="204"/>
      <c r="IDG31" s="204"/>
      <c r="IDH31" s="204"/>
      <c r="IDI31" s="204"/>
      <c r="IDJ31" s="204"/>
      <c r="IDK31" s="204"/>
      <c r="IDL31" s="204"/>
      <c r="IDM31" s="204"/>
      <c r="IDN31" s="204"/>
      <c r="IDO31" s="204"/>
      <c r="IDP31" s="204"/>
      <c r="IDQ31" s="204"/>
      <c r="IDR31" s="204"/>
      <c r="IDS31" s="204"/>
      <c r="IDT31" s="204"/>
      <c r="IDU31" s="204"/>
      <c r="IDV31" s="204"/>
      <c r="IDW31" s="204"/>
      <c r="IDX31" s="204"/>
      <c r="IDY31" s="204"/>
      <c r="IDZ31" s="204"/>
      <c r="IEA31" s="204"/>
      <c r="IEB31" s="204"/>
      <c r="IEC31" s="204"/>
      <c r="IED31" s="204"/>
      <c r="IEE31" s="204"/>
      <c r="IEF31" s="204"/>
      <c r="IEG31" s="204"/>
      <c r="IEH31" s="204"/>
      <c r="IEI31" s="204"/>
      <c r="IEJ31" s="204"/>
      <c r="IEK31" s="204"/>
      <c r="IEL31" s="204"/>
      <c r="IEM31" s="204"/>
      <c r="IEN31" s="204"/>
      <c r="IEO31" s="204"/>
      <c r="IEP31" s="204"/>
      <c r="IEQ31" s="204"/>
      <c r="IER31" s="204"/>
      <c r="IES31" s="204"/>
      <c r="IET31" s="204"/>
      <c r="IEU31" s="204"/>
      <c r="IEV31" s="204"/>
      <c r="IEW31" s="204"/>
      <c r="IEX31" s="204"/>
      <c r="IEY31" s="204"/>
      <c r="IEZ31" s="204"/>
      <c r="IFA31" s="204"/>
      <c r="IFB31" s="204"/>
      <c r="IFC31" s="204"/>
      <c r="IFD31" s="204"/>
      <c r="IFE31" s="204"/>
      <c r="IFF31" s="204"/>
      <c r="IFG31" s="204"/>
      <c r="IFH31" s="204"/>
      <c r="IFI31" s="204"/>
      <c r="IFJ31" s="204"/>
      <c r="IFK31" s="204"/>
      <c r="IFL31" s="204"/>
      <c r="IFM31" s="204"/>
      <c r="IFN31" s="204"/>
      <c r="IFO31" s="204"/>
      <c r="IFP31" s="204"/>
      <c r="IFQ31" s="204"/>
      <c r="IFR31" s="204"/>
      <c r="IFS31" s="204"/>
      <c r="IFT31" s="204"/>
      <c r="IFU31" s="204"/>
      <c r="IFV31" s="204"/>
      <c r="IFW31" s="204"/>
      <c r="IFX31" s="204"/>
      <c r="IFY31" s="204"/>
      <c r="IFZ31" s="204"/>
      <c r="IGA31" s="204"/>
      <c r="IGB31" s="204"/>
      <c r="IGC31" s="204"/>
      <c r="IGD31" s="204"/>
      <c r="IGE31" s="204"/>
      <c r="IGF31" s="204"/>
      <c r="IGG31" s="204"/>
      <c r="IGH31" s="204"/>
      <c r="IGI31" s="204"/>
      <c r="IGJ31" s="204"/>
      <c r="IGK31" s="204"/>
      <c r="IGL31" s="204"/>
      <c r="IGM31" s="204"/>
      <c r="IGN31" s="204"/>
      <c r="IGO31" s="204"/>
      <c r="IGP31" s="204"/>
      <c r="IGQ31" s="204"/>
      <c r="IGR31" s="204"/>
      <c r="IGS31" s="204"/>
      <c r="IGT31" s="204"/>
      <c r="IGU31" s="204"/>
      <c r="IGV31" s="204"/>
      <c r="IGW31" s="204"/>
      <c r="IGX31" s="204"/>
      <c r="IGY31" s="204"/>
      <c r="IGZ31" s="204"/>
      <c r="IHA31" s="204"/>
      <c r="IHB31" s="204"/>
      <c r="IHC31" s="204"/>
      <c r="IHD31" s="204"/>
      <c r="IHE31" s="204"/>
      <c r="IHF31" s="204"/>
      <c r="IHG31" s="204"/>
      <c r="IHH31" s="204"/>
      <c r="IHI31" s="204"/>
      <c r="IHJ31" s="204"/>
      <c r="IHK31" s="204"/>
      <c r="IHL31" s="204"/>
      <c r="IHM31" s="204"/>
      <c r="IHN31" s="204"/>
      <c r="IHO31" s="204"/>
      <c r="IHP31" s="204"/>
      <c r="IHQ31" s="204"/>
      <c r="IHR31" s="204"/>
      <c r="IHS31" s="204"/>
      <c r="IHT31" s="204"/>
      <c r="IHU31" s="204"/>
      <c r="IHV31" s="204"/>
      <c r="IHW31" s="204"/>
      <c r="IHX31" s="204"/>
      <c r="IHY31" s="204"/>
      <c r="IHZ31" s="204"/>
      <c r="IIA31" s="204"/>
      <c r="IIB31" s="204"/>
      <c r="IIC31" s="204"/>
      <c r="IID31" s="204"/>
      <c r="IIE31" s="204"/>
      <c r="IIF31" s="204"/>
      <c r="IIG31" s="204"/>
      <c r="IIH31" s="204"/>
      <c r="III31" s="204"/>
      <c r="IIJ31" s="204"/>
      <c r="IIK31" s="204"/>
      <c r="IIL31" s="204"/>
      <c r="IIM31" s="204"/>
      <c r="IIN31" s="204"/>
      <c r="IIO31" s="204"/>
      <c r="IIP31" s="204"/>
      <c r="IIQ31" s="204"/>
      <c r="IIR31" s="204"/>
      <c r="IIS31" s="204"/>
      <c r="IIT31" s="204"/>
      <c r="IIU31" s="204"/>
      <c r="IIV31" s="204"/>
      <c r="IIW31" s="204"/>
      <c r="IIX31" s="204"/>
      <c r="IIY31" s="204"/>
      <c r="IIZ31" s="204"/>
      <c r="IJA31" s="204"/>
      <c r="IJB31" s="204"/>
      <c r="IJC31" s="204"/>
      <c r="IJD31" s="204"/>
      <c r="IJE31" s="204"/>
      <c r="IJF31" s="204"/>
      <c r="IJG31" s="204"/>
      <c r="IJH31" s="204"/>
      <c r="IJI31" s="204"/>
      <c r="IJJ31" s="204"/>
      <c r="IJK31" s="204"/>
      <c r="IJL31" s="204"/>
      <c r="IJM31" s="204"/>
      <c r="IJN31" s="204"/>
      <c r="IJO31" s="204"/>
      <c r="IJP31" s="204"/>
      <c r="IJQ31" s="204"/>
      <c r="IJR31" s="204"/>
      <c r="IJS31" s="204"/>
      <c r="IJT31" s="204"/>
      <c r="IJU31" s="204"/>
      <c r="IJV31" s="204"/>
      <c r="IJW31" s="204"/>
      <c r="IJX31" s="204"/>
      <c r="IJY31" s="204"/>
      <c r="IJZ31" s="204"/>
      <c r="IKA31" s="204"/>
      <c r="IKB31" s="204"/>
      <c r="IKC31" s="204"/>
      <c r="IKD31" s="204"/>
      <c r="IKE31" s="204"/>
      <c r="IKF31" s="204"/>
      <c r="IKG31" s="204"/>
      <c r="IKH31" s="204"/>
      <c r="IKI31" s="204"/>
      <c r="IKJ31" s="204"/>
      <c r="IKK31" s="204"/>
      <c r="IKL31" s="204"/>
      <c r="IKM31" s="204"/>
      <c r="IKN31" s="204"/>
      <c r="IKO31" s="204"/>
      <c r="IKP31" s="204"/>
      <c r="IKQ31" s="204"/>
      <c r="IKR31" s="204"/>
      <c r="IKS31" s="204"/>
      <c r="IKT31" s="204"/>
      <c r="IKU31" s="204"/>
      <c r="IKV31" s="204"/>
      <c r="IKW31" s="204"/>
      <c r="IKX31" s="204"/>
      <c r="IKY31" s="204"/>
      <c r="IKZ31" s="204"/>
      <c r="ILA31" s="204"/>
      <c r="ILB31" s="204"/>
      <c r="ILC31" s="204"/>
      <c r="ILD31" s="204"/>
      <c r="ILE31" s="204"/>
      <c r="ILF31" s="204"/>
      <c r="ILG31" s="204"/>
      <c r="ILH31" s="204"/>
      <c r="ILI31" s="204"/>
      <c r="ILJ31" s="204"/>
      <c r="ILK31" s="204"/>
      <c r="ILL31" s="204"/>
      <c r="ILM31" s="204"/>
      <c r="ILN31" s="204"/>
      <c r="ILO31" s="204"/>
      <c r="ILP31" s="204"/>
      <c r="ILQ31" s="204"/>
      <c r="ILR31" s="204"/>
      <c r="ILS31" s="204"/>
      <c r="ILT31" s="204"/>
      <c r="ILU31" s="204"/>
      <c r="ILV31" s="204"/>
      <c r="ILW31" s="204"/>
      <c r="ILX31" s="204"/>
      <c r="ILY31" s="204"/>
      <c r="ILZ31" s="204"/>
      <c r="IMA31" s="204"/>
      <c r="IMB31" s="204"/>
      <c r="IMC31" s="204"/>
      <c r="IMD31" s="204"/>
      <c r="IME31" s="204"/>
      <c r="IMF31" s="204"/>
      <c r="IMG31" s="204"/>
      <c r="IMH31" s="204"/>
      <c r="IMI31" s="204"/>
      <c r="IMJ31" s="204"/>
      <c r="IMK31" s="204"/>
      <c r="IML31" s="204"/>
      <c r="IMM31" s="204"/>
      <c r="IMN31" s="204"/>
      <c r="IMO31" s="204"/>
      <c r="IMP31" s="204"/>
      <c r="IMQ31" s="204"/>
      <c r="IMR31" s="204"/>
      <c r="IMS31" s="204"/>
      <c r="IMT31" s="204"/>
      <c r="IMU31" s="204"/>
      <c r="IMV31" s="204"/>
      <c r="IMW31" s="204"/>
      <c r="IMX31" s="204"/>
      <c r="IMY31" s="204"/>
      <c r="IMZ31" s="204"/>
      <c r="INA31" s="204"/>
      <c r="INB31" s="204"/>
      <c r="INC31" s="204"/>
      <c r="IND31" s="204"/>
      <c r="INE31" s="204"/>
      <c r="INF31" s="204"/>
      <c r="ING31" s="204"/>
      <c r="INH31" s="204"/>
      <c r="INI31" s="204"/>
      <c r="INJ31" s="204"/>
      <c r="INK31" s="204"/>
      <c r="INL31" s="204"/>
      <c r="INM31" s="204"/>
      <c r="INN31" s="204"/>
      <c r="INO31" s="204"/>
      <c r="INP31" s="204"/>
      <c r="INQ31" s="204"/>
      <c r="INR31" s="204"/>
      <c r="INS31" s="204"/>
      <c r="INT31" s="204"/>
      <c r="INU31" s="204"/>
      <c r="INV31" s="204"/>
      <c r="INW31" s="204"/>
      <c r="INX31" s="204"/>
      <c r="INY31" s="204"/>
      <c r="INZ31" s="204"/>
      <c r="IOA31" s="204"/>
      <c r="IOB31" s="204"/>
      <c r="IOC31" s="204"/>
      <c r="IOD31" s="204"/>
      <c r="IOE31" s="204"/>
      <c r="IOF31" s="204"/>
      <c r="IOG31" s="204"/>
      <c r="IOH31" s="204"/>
      <c r="IOI31" s="204"/>
      <c r="IOJ31" s="204"/>
      <c r="IOK31" s="204"/>
      <c r="IOL31" s="204"/>
      <c r="IOM31" s="204"/>
      <c r="ION31" s="204"/>
      <c r="IOO31" s="204"/>
      <c r="IOP31" s="204"/>
      <c r="IOQ31" s="204"/>
      <c r="IOR31" s="204"/>
      <c r="IOS31" s="204"/>
      <c r="IOT31" s="204"/>
      <c r="IOU31" s="204"/>
      <c r="IOV31" s="204"/>
      <c r="IOW31" s="204"/>
      <c r="IOX31" s="204"/>
      <c r="IOY31" s="204"/>
      <c r="IOZ31" s="204"/>
      <c r="IPA31" s="204"/>
      <c r="IPB31" s="204"/>
      <c r="IPC31" s="204"/>
      <c r="IPD31" s="204"/>
      <c r="IPE31" s="204"/>
      <c r="IPF31" s="204"/>
      <c r="IPG31" s="204"/>
      <c r="IPH31" s="204"/>
      <c r="IPI31" s="204"/>
      <c r="IPJ31" s="204"/>
      <c r="IPK31" s="204"/>
      <c r="IPL31" s="204"/>
      <c r="IPM31" s="204"/>
      <c r="IPN31" s="204"/>
      <c r="IPO31" s="204"/>
      <c r="IPP31" s="204"/>
      <c r="IPQ31" s="204"/>
      <c r="IPR31" s="204"/>
      <c r="IPS31" s="204"/>
      <c r="IPT31" s="204"/>
      <c r="IPU31" s="204"/>
      <c r="IPV31" s="204"/>
      <c r="IPW31" s="204"/>
      <c r="IPX31" s="204"/>
      <c r="IPY31" s="204"/>
      <c r="IPZ31" s="204"/>
      <c r="IQA31" s="204"/>
      <c r="IQB31" s="204"/>
      <c r="IQC31" s="204"/>
      <c r="IQD31" s="204"/>
      <c r="IQE31" s="204"/>
      <c r="IQF31" s="204"/>
      <c r="IQG31" s="204"/>
      <c r="IQH31" s="204"/>
      <c r="IQI31" s="204"/>
      <c r="IQJ31" s="204"/>
      <c r="IQK31" s="204"/>
      <c r="IQL31" s="204"/>
      <c r="IQM31" s="204"/>
      <c r="IQN31" s="204"/>
      <c r="IQO31" s="204"/>
      <c r="IQP31" s="204"/>
      <c r="IQQ31" s="204"/>
      <c r="IQR31" s="204"/>
      <c r="IQS31" s="204"/>
      <c r="IQT31" s="204"/>
      <c r="IQU31" s="204"/>
      <c r="IQV31" s="204"/>
      <c r="IQW31" s="204"/>
      <c r="IQX31" s="204"/>
      <c r="IQY31" s="204"/>
      <c r="IQZ31" s="204"/>
      <c r="IRA31" s="204"/>
      <c r="IRB31" s="204"/>
      <c r="IRC31" s="204"/>
      <c r="IRD31" s="204"/>
      <c r="IRE31" s="204"/>
      <c r="IRF31" s="204"/>
      <c r="IRG31" s="204"/>
      <c r="IRH31" s="204"/>
      <c r="IRI31" s="204"/>
      <c r="IRJ31" s="204"/>
      <c r="IRK31" s="204"/>
      <c r="IRL31" s="204"/>
      <c r="IRM31" s="204"/>
      <c r="IRN31" s="204"/>
      <c r="IRO31" s="204"/>
      <c r="IRP31" s="204"/>
      <c r="IRQ31" s="204"/>
      <c r="IRR31" s="204"/>
      <c r="IRS31" s="204"/>
      <c r="IRT31" s="204"/>
      <c r="IRU31" s="204"/>
      <c r="IRV31" s="204"/>
      <c r="IRW31" s="204"/>
      <c r="IRX31" s="204"/>
      <c r="IRY31" s="204"/>
      <c r="IRZ31" s="204"/>
      <c r="ISA31" s="204"/>
      <c r="ISB31" s="204"/>
      <c r="ISC31" s="204"/>
      <c r="ISD31" s="204"/>
      <c r="ISE31" s="204"/>
      <c r="ISF31" s="204"/>
      <c r="ISG31" s="204"/>
      <c r="ISH31" s="204"/>
      <c r="ISI31" s="204"/>
      <c r="ISJ31" s="204"/>
      <c r="ISK31" s="204"/>
      <c r="ISL31" s="204"/>
      <c r="ISM31" s="204"/>
      <c r="ISN31" s="204"/>
      <c r="ISO31" s="204"/>
      <c r="ISP31" s="204"/>
      <c r="ISQ31" s="204"/>
      <c r="ISR31" s="204"/>
      <c r="ISS31" s="204"/>
      <c r="IST31" s="204"/>
      <c r="ISU31" s="204"/>
      <c r="ISV31" s="204"/>
      <c r="ISW31" s="204"/>
      <c r="ISX31" s="204"/>
      <c r="ISY31" s="204"/>
      <c r="ISZ31" s="204"/>
      <c r="ITA31" s="204"/>
      <c r="ITB31" s="204"/>
      <c r="ITC31" s="204"/>
      <c r="ITD31" s="204"/>
      <c r="ITE31" s="204"/>
      <c r="ITF31" s="204"/>
      <c r="ITG31" s="204"/>
      <c r="ITH31" s="204"/>
      <c r="ITI31" s="204"/>
      <c r="ITJ31" s="204"/>
      <c r="ITK31" s="204"/>
      <c r="ITL31" s="204"/>
      <c r="ITM31" s="204"/>
      <c r="ITN31" s="204"/>
      <c r="ITO31" s="204"/>
      <c r="ITP31" s="204"/>
      <c r="ITQ31" s="204"/>
      <c r="ITR31" s="204"/>
      <c r="ITS31" s="204"/>
      <c r="ITT31" s="204"/>
      <c r="ITU31" s="204"/>
      <c r="ITV31" s="204"/>
      <c r="ITW31" s="204"/>
      <c r="ITX31" s="204"/>
      <c r="ITY31" s="204"/>
      <c r="ITZ31" s="204"/>
      <c r="IUA31" s="204"/>
      <c r="IUB31" s="204"/>
      <c r="IUC31" s="204"/>
      <c r="IUD31" s="204"/>
      <c r="IUE31" s="204"/>
      <c r="IUF31" s="204"/>
      <c r="IUG31" s="204"/>
      <c r="IUH31" s="204"/>
      <c r="IUI31" s="204"/>
      <c r="IUJ31" s="204"/>
      <c r="IUK31" s="204"/>
      <c r="IUL31" s="204"/>
      <c r="IUM31" s="204"/>
      <c r="IUN31" s="204"/>
      <c r="IUO31" s="204"/>
      <c r="IUP31" s="204"/>
      <c r="IUQ31" s="204"/>
      <c r="IUR31" s="204"/>
      <c r="IUS31" s="204"/>
      <c r="IUT31" s="204"/>
      <c r="IUU31" s="204"/>
      <c r="IUV31" s="204"/>
      <c r="IUW31" s="204"/>
      <c r="IUX31" s="204"/>
      <c r="IUY31" s="204"/>
      <c r="IUZ31" s="204"/>
      <c r="IVA31" s="204"/>
      <c r="IVB31" s="204"/>
      <c r="IVC31" s="204"/>
      <c r="IVD31" s="204"/>
      <c r="IVE31" s="204"/>
      <c r="IVF31" s="204"/>
      <c r="IVG31" s="204"/>
      <c r="IVH31" s="204"/>
      <c r="IVI31" s="204"/>
      <c r="IVJ31" s="204"/>
      <c r="IVK31" s="204"/>
      <c r="IVL31" s="204"/>
      <c r="IVM31" s="204"/>
      <c r="IVN31" s="204"/>
      <c r="IVO31" s="204"/>
      <c r="IVP31" s="204"/>
      <c r="IVQ31" s="204"/>
      <c r="IVR31" s="204"/>
      <c r="IVS31" s="204"/>
      <c r="IVT31" s="204"/>
      <c r="IVU31" s="204"/>
      <c r="IVV31" s="204"/>
      <c r="IVW31" s="204"/>
      <c r="IVX31" s="204"/>
      <c r="IVY31" s="204"/>
      <c r="IVZ31" s="204"/>
      <c r="IWA31" s="204"/>
      <c r="IWB31" s="204"/>
      <c r="IWC31" s="204"/>
      <c r="IWD31" s="204"/>
      <c r="IWE31" s="204"/>
      <c r="IWF31" s="204"/>
      <c r="IWG31" s="204"/>
      <c r="IWH31" s="204"/>
      <c r="IWI31" s="204"/>
      <c r="IWJ31" s="204"/>
      <c r="IWK31" s="204"/>
      <c r="IWL31" s="204"/>
      <c r="IWM31" s="204"/>
      <c r="IWN31" s="204"/>
      <c r="IWO31" s="204"/>
      <c r="IWP31" s="204"/>
      <c r="IWQ31" s="204"/>
      <c r="IWR31" s="204"/>
      <c r="IWS31" s="204"/>
      <c r="IWT31" s="204"/>
      <c r="IWU31" s="204"/>
      <c r="IWV31" s="204"/>
      <c r="IWW31" s="204"/>
      <c r="IWX31" s="204"/>
      <c r="IWY31" s="204"/>
      <c r="IWZ31" s="204"/>
      <c r="IXA31" s="204"/>
      <c r="IXB31" s="204"/>
      <c r="IXC31" s="204"/>
      <c r="IXD31" s="204"/>
      <c r="IXE31" s="204"/>
      <c r="IXF31" s="204"/>
      <c r="IXG31" s="204"/>
      <c r="IXH31" s="204"/>
      <c r="IXI31" s="204"/>
      <c r="IXJ31" s="204"/>
      <c r="IXK31" s="204"/>
      <c r="IXL31" s="204"/>
      <c r="IXM31" s="204"/>
      <c r="IXN31" s="204"/>
      <c r="IXO31" s="204"/>
      <c r="IXP31" s="204"/>
      <c r="IXQ31" s="204"/>
      <c r="IXR31" s="204"/>
      <c r="IXS31" s="204"/>
      <c r="IXT31" s="204"/>
      <c r="IXU31" s="204"/>
      <c r="IXV31" s="204"/>
      <c r="IXW31" s="204"/>
      <c r="IXX31" s="204"/>
      <c r="IXY31" s="204"/>
      <c r="IXZ31" s="204"/>
      <c r="IYA31" s="204"/>
      <c r="IYB31" s="204"/>
      <c r="IYC31" s="204"/>
      <c r="IYD31" s="204"/>
      <c r="IYE31" s="204"/>
      <c r="IYF31" s="204"/>
      <c r="IYG31" s="204"/>
      <c r="IYH31" s="204"/>
      <c r="IYI31" s="204"/>
      <c r="IYJ31" s="204"/>
      <c r="IYK31" s="204"/>
      <c r="IYL31" s="204"/>
      <c r="IYM31" s="204"/>
      <c r="IYN31" s="204"/>
      <c r="IYO31" s="204"/>
      <c r="IYP31" s="204"/>
      <c r="IYQ31" s="204"/>
      <c r="IYR31" s="204"/>
      <c r="IYS31" s="204"/>
      <c r="IYT31" s="204"/>
      <c r="IYU31" s="204"/>
      <c r="IYV31" s="204"/>
      <c r="IYW31" s="204"/>
      <c r="IYX31" s="204"/>
      <c r="IYY31" s="204"/>
      <c r="IYZ31" s="204"/>
      <c r="IZA31" s="204"/>
      <c r="IZB31" s="204"/>
      <c r="IZC31" s="204"/>
      <c r="IZD31" s="204"/>
      <c r="IZE31" s="204"/>
      <c r="IZF31" s="204"/>
      <c r="IZG31" s="204"/>
      <c r="IZH31" s="204"/>
      <c r="IZI31" s="204"/>
      <c r="IZJ31" s="204"/>
      <c r="IZK31" s="204"/>
      <c r="IZL31" s="204"/>
      <c r="IZM31" s="204"/>
      <c r="IZN31" s="204"/>
      <c r="IZO31" s="204"/>
      <c r="IZP31" s="204"/>
      <c r="IZQ31" s="204"/>
      <c r="IZR31" s="204"/>
      <c r="IZS31" s="204"/>
      <c r="IZT31" s="204"/>
      <c r="IZU31" s="204"/>
      <c r="IZV31" s="204"/>
      <c r="IZW31" s="204"/>
      <c r="IZX31" s="204"/>
      <c r="IZY31" s="204"/>
      <c r="IZZ31" s="204"/>
      <c r="JAA31" s="204"/>
      <c r="JAB31" s="204"/>
      <c r="JAC31" s="204"/>
      <c r="JAD31" s="204"/>
      <c r="JAE31" s="204"/>
      <c r="JAF31" s="204"/>
      <c r="JAG31" s="204"/>
      <c r="JAH31" s="204"/>
      <c r="JAI31" s="204"/>
      <c r="JAJ31" s="204"/>
      <c r="JAK31" s="204"/>
      <c r="JAL31" s="204"/>
      <c r="JAM31" s="204"/>
      <c r="JAN31" s="204"/>
      <c r="JAO31" s="204"/>
      <c r="JAP31" s="204"/>
      <c r="JAQ31" s="204"/>
      <c r="JAR31" s="204"/>
      <c r="JAS31" s="204"/>
      <c r="JAT31" s="204"/>
      <c r="JAU31" s="204"/>
      <c r="JAV31" s="204"/>
      <c r="JAW31" s="204"/>
      <c r="JAX31" s="204"/>
      <c r="JAY31" s="204"/>
      <c r="JAZ31" s="204"/>
      <c r="JBA31" s="204"/>
      <c r="JBB31" s="204"/>
      <c r="JBC31" s="204"/>
      <c r="JBD31" s="204"/>
      <c r="JBE31" s="204"/>
      <c r="JBF31" s="204"/>
      <c r="JBG31" s="204"/>
      <c r="JBH31" s="204"/>
      <c r="JBI31" s="204"/>
      <c r="JBJ31" s="204"/>
      <c r="JBK31" s="204"/>
      <c r="JBL31" s="204"/>
      <c r="JBM31" s="204"/>
      <c r="JBN31" s="204"/>
      <c r="JBO31" s="204"/>
      <c r="JBP31" s="204"/>
      <c r="JBQ31" s="204"/>
      <c r="JBR31" s="204"/>
      <c r="JBS31" s="204"/>
      <c r="JBT31" s="204"/>
      <c r="JBU31" s="204"/>
      <c r="JBV31" s="204"/>
      <c r="JBW31" s="204"/>
      <c r="JBX31" s="204"/>
      <c r="JBY31" s="204"/>
      <c r="JBZ31" s="204"/>
      <c r="JCA31" s="204"/>
      <c r="JCB31" s="204"/>
      <c r="JCC31" s="204"/>
      <c r="JCD31" s="204"/>
      <c r="JCE31" s="204"/>
      <c r="JCF31" s="204"/>
      <c r="JCG31" s="204"/>
      <c r="JCH31" s="204"/>
      <c r="JCI31" s="204"/>
      <c r="JCJ31" s="204"/>
      <c r="JCK31" s="204"/>
      <c r="JCL31" s="204"/>
      <c r="JCM31" s="204"/>
      <c r="JCN31" s="204"/>
      <c r="JCO31" s="204"/>
      <c r="JCP31" s="204"/>
      <c r="JCQ31" s="204"/>
      <c r="JCR31" s="204"/>
      <c r="JCS31" s="204"/>
      <c r="JCT31" s="204"/>
      <c r="JCU31" s="204"/>
      <c r="JCV31" s="204"/>
      <c r="JCW31" s="204"/>
      <c r="JCX31" s="204"/>
      <c r="JCY31" s="204"/>
      <c r="JCZ31" s="204"/>
      <c r="JDA31" s="204"/>
      <c r="JDB31" s="204"/>
      <c r="JDC31" s="204"/>
      <c r="JDD31" s="204"/>
      <c r="JDE31" s="204"/>
      <c r="JDF31" s="204"/>
      <c r="JDG31" s="204"/>
      <c r="JDH31" s="204"/>
      <c r="JDI31" s="204"/>
      <c r="JDJ31" s="204"/>
      <c r="JDK31" s="204"/>
      <c r="JDL31" s="204"/>
      <c r="JDM31" s="204"/>
      <c r="JDN31" s="204"/>
      <c r="JDO31" s="204"/>
      <c r="JDP31" s="204"/>
      <c r="JDQ31" s="204"/>
      <c r="JDR31" s="204"/>
      <c r="JDS31" s="204"/>
      <c r="JDT31" s="204"/>
      <c r="JDU31" s="204"/>
      <c r="JDV31" s="204"/>
      <c r="JDW31" s="204"/>
      <c r="JDX31" s="204"/>
      <c r="JDY31" s="204"/>
      <c r="JDZ31" s="204"/>
      <c r="JEA31" s="204"/>
      <c r="JEB31" s="204"/>
      <c r="JEC31" s="204"/>
      <c r="JED31" s="204"/>
      <c r="JEE31" s="204"/>
      <c r="JEF31" s="204"/>
      <c r="JEG31" s="204"/>
      <c r="JEH31" s="204"/>
      <c r="JEI31" s="204"/>
      <c r="JEJ31" s="204"/>
      <c r="JEK31" s="204"/>
      <c r="JEL31" s="204"/>
      <c r="JEM31" s="204"/>
      <c r="JEN31" s="204"/>
      <c r="JEO31" s="204"/>
      <c r="JEP31" s="204"/>
      <c r="JEQ31" s="204"/>
      <c r="JER31" s="204"/>
      <c r="JES31" s="204"/>
      <c r="JET31" s="204"/>
      <c r="JEU31" s="204"/>
      <c r="JEV31" s="204"/>
      <c r="JEW31" s="204"/>
      <c r="JEX31" s="204"/>
      <c r="JEY31" s="204"/>
      <c r="JEZ31" s="204"/>
      <c r="JFA31" s="204"/>
      <c r="JFB31" s="204"/>
      <c r="JFC31" s="204"/>
      <c r="JFD31" s="204"/>
      <c r="JFE31" s="204"/>
      <c r="JFF31" s="204"/>
      <c r="JFG31" s="204"/>
      <c r="JFH31" s="204"/>
      <c r="JFI31" s="204"/>
      <c r="JFJ31" s="204"/>
      <c r="JFK31" s="204"/>
      <c r="JFL31" s="204"/>
      <c r="JFM31" s="204"/>
      <c r="JFN31" s="204"/>
      <c r="JFO31" s="204"/>
      <c r="JFP31" s="204"/>
      <c r="JFQ31" s="204"/>
      <c r="JFR31" s="204"/>
      <c r="JFS31" s="204"/>
      <c r="JFT31" s="204"/>
      <c r="JFU31" s="204"/>
      <c r="JFV31" s="204"/>
      <c r="JFW31" s="204"/>
      <c r="JFX31" s="204"/>
      <c r="JFY31" s="204"/>
      <c r="JFZ31" s="204"/>
      <c r="JGA31" s="204"/>
      <c r="JGB31" s="204"/>
      <c r="JGC31" s="204"/>
      <c r="JGD31" s="204"/>
      <c r="JGE31" s="204"/>
      <c r="JGF31" s="204"/>
      <c r="JGG31" s="204"/>
      <c r="JGH31" s="204"/>
      <c r="JGI31" s="204"/>
      <c r="JGJ31" s="204"/>
      <c r="JGK31" s="204"/>
      <c r="JGL31" s="204"/>
      <c r="JGM31" s="204"/>
      <c r="JGN31" s="204"/>
      <c r="JGO31" s="204"/>
      <c r="JGP31" s="204"/>
      <c r="JGQ31" s="204"/>
      <c r="JGR31" s="204"/>
      <c r="JGS31" s="204"/>
      <c r="JGT31" s="204"/>
      <c r="JGU31" s="204"/>
      <c r="JGV31" s="204"/>
      <c r="JGW31" s="204"/>
      <c r="JGX31" s="204"/>
      <c r="JGY31" s="204"/>
      <c r="JGZ31" s="204"/>
      <c r="JHA31" s="204"/>
      <c r="JHB31" s="204"/>
      <c r="JHC31" s="204"/>
      <c r="JHD31" s="204"/>
      <c r="JHE31" s="204"/>
      <c r="JHF31" s="204"/>
      <c r="JHG31" s="204"/>
      <c r="JHH31" s="204"/>
      <c r="JHI31" s="204"/>
      <c r="JHJ31" s="204"/>
      <c r="JHK31" s="204"/>
      <c r="JHL31" s="204"/>
      <c r="JHM31" s="204"/>
      <c r="JHN31" s="204"/>
      <c r="JHO31" s="204"/>
      <c r="JHP31" s="204"/>
      <c r="JHQ31" s="204"/>
      <c r="JHR31" s="204"/>
      <c r="JHS31" s="204"/>
      <c r="JHT31" s="204"/>
      <c r="JHU31" s="204"/>
      <c r="JHV31" s="204"/>
      <c r="JHW31" s="204"/>
      <c r="JHX31" s="204"/>
      <c r="JHY31" s="204"/>
      <c r="JHZ31" s="204"/>
      <c r="JIA31" s="204"/>
      <c r="JIB31" s="204"/>
      <c r="JIC31" s="204"/>
      <c r="JID31" s="204"/>
      <c r="JIE31" s="204"/>
      <c r="JIF31" s="204"/>
      <c r="JIG31" s="204"/>
      <c r="JIH31" s="204"/>
      <c r="JII31" s="204"/>
      <c r="JIJ31" s="204"/>
      <c r="JIK31" s="204"/>
      <c r="JIL31" s="204"/>
      <c r="JIM31" s="204"/>
      <c r="JIN31" s="204"/>
      <c r="JIO31" s="204"/>
      <c r="JIP31" s="204"/>
      <c r="JIQ31" s="204"/>
      <c r="JIR31" s="204"/>
      <c r="JIS31" s="204"/>
      <c r="JIT31" s="204"/>
      <c r="JIU31" s="204"/>
      <c r="JIV31" s="204"/>
      <c r="JIW31" s="204"/>
      <c r="JIX31" s="204"/>
      <c r="JIY31" s="204"/>
      <c r="JIZ31" s="204"/>
      <c r="JJA31" s="204"/>
      <c r="JJB31" s="204"/>
      <c r="JJC31" s="204"/>
      <c r="JJD31" s="204"/>
      <c r="JJE31" s="204"/>
      <c r="JJF31" s="204"/>
      <c r="JJG31" s="204"/>
      <c r="JJH31" s="204"/>
      <c r="JJI31" s="204"/>
      <c r="JJJ31" s="204"/>
      <c r="JJK31" s="204"/>
      <c r="JJL31" s="204"/>
      <c r="JJM31" s="204"/>
      <c r="JJN31" s="204"/>
      <c r="JJO31" s="204"/>
      <c r="JJP31" s="204"/>
      <c r="JJQ31" s="204"/>
      <c r="JJR31" s="204"/>
      <c r="JJS31" s="204"/>
      <c r="JJT31" s="204"/>
      <c r="JJU31" s="204"/>
      <c r="JJV31" s="204"/>
      <c r="JJW31" s="204"/>
      <c r="JJX31" s="204"/>
      <c r="JJY31" s="204"/>
      <c r="JJZ31" s="204"/>
      <c r="JKA31" s="204"/>
      <c r="JKB31" s="204"/>
      <c r="JKC31" s="204"/>
      <c r="JKD31" s="204"/>
      <c r="JKE31" s="204"/>
      <c r="JKF31" s="204"/>
      <c r="JKG31" s="204"/>
      <c r="JKH31" s="204"/>
      <c r="JKI31" s="204"/>
      <c r="JKJ31" s="204"/>
      <c r="JKK31" s="204"/>
      <c r="JKL31" s="204"/>
      <c r="JKM31" s="204"/>
      <c r="JKN31" s="204"/>
      <c r="JKO31" s="204"/>
      <c r="JKP31" s="204"/>
      <c r="JKQ31" s="204"/>
      <c r="JKR31" s="204"/>
      <c r="JKS31" s="204"/>
      <c r="JKT31" s="204"/>
      <c r="JKU31" s="204"/>
      <c r="JKV31" s="204"/>
      <c r="JKW31" s="204"/>
      <c r="JKX31" s="204"/>
      <c r="JKY31" s="204"/>
      <c r="JKZ31" s="204"/>
      <c r="JLA31" s="204"/>
      <c r="JLB31" s="204"/>
      <c r="JLC31" s="204"/>
      <c r="JLD31" s="204"/>
      <c r="JLE31" s="204"/>
      <c r="JLF31" s="204"/>
      <c r="JLG31" s="204"/>
      <c r="JLH31" s="204"/>
      <c r="JLI31" s="204"/>
      <c r="JLJ31" s="204"/>
      <c r="JLK31" s="204"/>
      <c r="JLL31" s="204"/>
      <c r="JLM31" s="204"/>
      <c r="JLN31" s="204"/>
      <c r="JLO31" s="204"/>
      <c r="JLP31" s="204"/>
      <c r="JLQ31" s="204"/>
      <c r="JLR31" s="204"/>
      <c r="JLS31" s="204"/>
      <c r="JLT31" s="204"/>
      <c r="JLU31" s="204"/>
      <c r="JLV31" s="204"/>
      <c r="JLW31" s="204"/>
      <c r="JLX31" s="204"/>
      <c r="JLY31" s="204"/>
      <c r="JLZ31" s="204"/>
      <c r="JMA31" s="204"/>
      <c r="JMB31" s="204"/>
      <c r="JMC31" s="204"/>
      <c r="JMD31" s="204"/>
      <c r="JME31" s="204"/>
      <c r="JMF31" s="204"/>
      <c r="JMG31" s="204"/>
      <c r="JMH31" s="204"/>
      <c r="JMI31" s="204"/>
      <c r="JMJ31" s="204"/>
      <c r="JMK31" s="204"/>
      <c r="JML31" s="204"/>
      <c r="JMM31" s="204"/>
      <c r="JMN31" s="204"/>
      <c r="JMO31" s="204"/>
      <c r="JMP31" s="204"/>
      <c r="JMQ31" s="204"/>
      <c r="JMR31" s="204"/>
      <c r="JMS31" s="204"/>
      <c r="JMT31" s="204"/>
      <c r="JMU31" s="204"/>
      <c r="JMV31" s="204"/>
      <c r="JMW31" s="204"/>
      <c r="JMX31" s="204"/>
      <c r="JMY31" s="204"/>
      <c r="JMZ31" s="204"/>
      <c r="JNA31" s="204"/>
      <c r="JNB31" s="204"/>
      <c r="JNC31" s="204"/>
      <c r="JND31" s="204"/>
      <c r="JNE31" s="204"/>
      <c r="JNF31" s="204"/>
      <c r="JNG31" s="204"/>
      <c r="JNH31" s="204"/>
      <c r="JNI31" s="204"/>
      <c r="JNJ31" s="204"/>
      <c r="JNK31" s="204"/>
      <c r="JNL31" s="204"/>
      <c r="JNM31" s="204"/>
      <c r="JNN31" s="204"/>
      <c r="JNO31" s="204"/>
      <c r="JNP31" s="204"/>
      <c r="JNQ31" s="204"/>
      <c r="JNR31" s="204"/>
      <c r="JNS31" s="204"/>
      <c r="JNT31" s="204"/>
      <c r="JNU31" s="204"/>
      <c r="JNV31" s="204"/>
      <c r="JNW31" s="204"/>
      <c r="JNX31" s="204"/>
      <c r="JNY31" s="204"/>
      <c r="JNZ31" s="204"/>
      <c r="JOA31" s="204"/>
      <c r="JOB31" s="204"/>
      <c r="JOC31" s="204"/>
      <c r="JOD31" s="204"/>
      <c r="JOE31" s="204"/>
      <c r="JOF31" s="204"/>
      <c r="JOG31" s="204"/>
      <c r="JOH31" s="204"/>
      <c r="JOI31" s="204"/>
      <c r="JOJ31" s="204"/>
      <c r="JOK31" s="204"/>
      <c r="JOL31" s="204"/>
      <c r="JOM31" s="204"/>
      <c r="JON31" s="204"/>
      <c r="JOO31" s="204"/>
      <c r="JOP31" s="204"/>
      <c r="JOQ31" s="204"/>
      <c r="JOR31" s="204"/>
      <c r="JOS31" s="204"/>
      <c r="JOT31" s="204"/>
      <c r="JOU31" s="204"/>
      <c r="JOV31" s="204"/>
      <c r="JOW31" s="204"/>
      <c r="JOX31" s="204"/>
      <c r="JOY31" s="204"/>
      <c r="JOZ31" s="204"/>
      <c r="JPA31" s="204"/>
      <c r="JPB31" s="204"/>
      <c r="JPC31" s="204"/>
      <c r="JPD31" s="204"/>
      <c r="JPE31" s="204"/>
      <c r="JPF31" s="204"/>
      <c r="JPG31" s="204"/>
      <c r="JPH31" s="204"/>
      <c r="JPI31" s="204"/>
      <c r="JPJ31" s="204"/>
      <c r="JPK31" s="204"/>
      <c r="JPL31" s="204"/>
      <c r="JPM31" s="204"/>
      <c r="JPN31" s="204"/>
      <c r="JPO31" s="204"/>
      <c r="JPP31" s="204"/>
      <c r="JPQ31" s="204"/>
      <c r="JPR31" s="204"/>
      <c r="JPS31" s="204"/>
      <c r="JPT31" s="204"/>
      <c r="JPU31" s="204"/>
      <c r="JPV31" s="204"/>
      <c r="JPW31" s="204"/>
      <c r="JPX31" s="204"/>
      <c r="JPY31" s="204"/>
      <c r="JPZ31" s="204"/>
      <c r="JQA31" s="204"/>
      <c r="JQB31" s="204"/>
      <c r="JQC31" s="204"/>
      <c r="JQD31" s="204"/>
      <c r="JQE31" s="204"/>
      <c r="JQF31" s="204"/>
      <c r="JQG31" s="204"/>
      <c r="JQH31" s="204"/>
      <c r="JQI31" s="204"/>
      <c r="JQJ31" s="204"/>
      <c r="JQK31" s="204"/>
      <c r="JQL31" s="204"/>
      <c r="JQM31" s="204"/>
      <c r="JQN31" s="204"/>
      <c r="JQO31" s="204"/>
      <c r="JQP31" s="204"/>
      <c r="JQQ31" s="204"/>
      <c r="JQR31" s="204"/>
      <c r="JQS31" s="204"/>
      <c r="JQT31" s="204"/>
      <c r="JQU31" s="204"/>
      <c r="JQV31" s="204"/>
      <c r="JQW31" s="204"/>
      <c r="JQX31" s="204"/>
      <c r="JQY31" s="204"/>
      <c r="JQZ31" s="204"/>
      <c r="JRA31" s="204"/>
      <c r="JRB31" s="204"/>
      <c r="JRC31" s="204"/>
      <c r="JRD31" s="204"/>
      <c r="JRE31" s="204"/>
      <c r="JRF31" s="204"/>
      <c r="JRG31" s="204"/>
      <c r="JRH31" s="204"/>
      <c r="JRI31" s="204"/>
      <c r="JRJ31" s="204"/>
      <c r="JRK31" s="204"/>
      <c r="JRL31" s="204"/>
      <c r="JRM31" s="204"/>
      <c r="JRN31" s="204"/>
      <c r="JRO31" s="204"/>
      <c r="JRP31" s="204"/>
      <c r="JRQ31" s="204"/>
      <c r="JRR31" s="204"/>
      <c r="JRS31" s="204"/>
      <c r="JRT31" s="204"/>
      <c r="JRU31" s="204"/>
      <c r="JRV31" s="204"/>
      <c r="JRW31" s="204"/>
      <c r="JRX31" s="204"/>
      <c r="JRY31" s="204"/>
      <c r="JRZ31" s="204"/>
      <c r="JSA31" s="204"/>
      <c r="JSB31" s="204"/>
      <c r="JSC31" s="204"/>
      <c r="JSD31" s="204"/>
      <c r="JSE31" s="204"/>
      <c r="JSF31" s="204"/>
      <c r="JSG31" s="204"/>
      <c r="JSH31" s="204"/>
      <c r="JSI31" s="204"/>
      <c r="JSJ31" s="204"/>
      <c r="JSK31" s="204"/>
      <c r="JSL31" s="204"/>
      <c r="JSM31" s="204"/>
      <c r="JSN31" s="204"/>
      <c r="JSO31" s="204"/>
      <c r="JSP31" s="204"/>
      <c r="JSQ31" s="204"/>
      <c r="JSR31" s="204"/>
      <c r="JSS31" s="204"/>
      <c r="JST31" s="204"/>
      <c r="JSU31" s="204"/>
      <c r="JSV31" s="204"/>
      <c r="JSW31" s="204"/>
      <c r="JSX31" s="204"/>
      <c r="JSY31" s="204"/>
      <c r="JSZ31" s="204"/>
      <c r="JTA31" s="204"/>
      <c r="JTB31" s="204"/>
      <c r="JTC31" s="204"/>
      <c r="JTD31" s="204"/>
      <c r="JTE31" s="204"/>
      <c r="JTF31" s="204"/>
      <c r="JTG31" s="204"/>
      <c r="JTH31" s="204"/>
      <c r="JTI31" s="204"/>
      <c r="JTJ31" s="204"/>
      <c r="JTK31" s="204"/>
      <c r="JTL31" s="204"/>
      <c r="JTM31" s="204"/>
      <c r="JTN31" s="204"/>
      <c r="JTO31" s="204"/>
      <c r="JTP31" s="204"/>
      <c r="JTQ31" s="204"/>
      <c r="JTR31" s="204"/>
      <c r="JTS31" s="204"/>
      <c r="JTT31" s="204"/>
      <c r="JTU31" s="204"/>
      <c r="JTV31" s="204"/>
      <c r="JTW31" s="204"/>
      <c r="JTX31" s="204"/>
      <c r="JTY31" s="204"/>
      <c r="JTZ31" s="204"/>
      <c r="JUA31" s="204"/>
      <c r="JUB31" s="204"/>
      <c r="JUC31" s="204"/>
      <c r="JUD31" s="204"/>
      <c r="JUE31" s="204"/>
      <c r="JUF31" s="204"/>
      <c r="JUG31" s="204"/>
      <c r="JUH31" s="204"/>
      <c r="JUI31" s="204"/>
      <c r="JUJ31" s="204"/>
      <c r="JUK31" s="204"/>
      <c r="JUL31" s="204"/>
      <c r="JUM31" s="204"/>
      <c r="JUN31" s="204"/>
      <c r="JUO31" s="204"/>
      <c r="JUP31" s="204"/>
      <c r="JUQ31" s="204"/>
      <c r="JUR31" s="204"/>
      <c r="JUS31" s="204"/>
      <c r="JUT31" s="204"/>
      <c r="JUU31" s="204"/>
      <c r="JUV31" s="204"/>
      <c r="JUW31" s="204"/>
      <c r="JUX31" s="204"/>
      <c r="JUY31" s="204"/>
      <c r="JUZ31" s="204"/>
      <c r="JVA31" s="204"/>
      <c r="JVB31" s="204"/>
      <c r="JVC31" s="204"/>
      <c r="JVD31" s="204"/>
      <c r="JVE31" s="204"/>
      <c r="JVF31" s="204"/>
      <c r="JVG31" s="204"/>
      <c r="JVH31" s="204"/>
      <c r="JVI31" s="204"/>
      <c r="JVJ31" s="204"/>
      <c r="JVK31" s="204"/>
      <c r="JVL31" s="204"/>
      <c r="JVM31" s="204"/>
      <c r="JVN31" s="204"/>
      <c r="JVO31" s="204"/>
      <c r="JVP31" s="204"/>
      <c r="JVQ31" s="204"/>
      <c r="JVR31" s="204"/>
      <c r="JVS31" s="204"/>
      <c r="JVT31" s="204"/>
      <c r="JVU31" s="204"/>
      <c r="JVV31" s="204"/>
      <c r="JVW31" s="204"/>
      <c r="JVX31" s="204"/>
      <c r="JVY31" s="204"/>
      <c r="JVZ31" s="204"/>
      <c r="JWA31" s="204"/>
      <c r="JWB31" s="204"/>
      <c r="JWC31" s="204"/>
      <c r="JWD31" s="204"/>
      <c r="JWE31" s="204"/>
      <c r="JWF31" s="204"/>
      <c r="JWG31" s="204"/>
      <c r="JWH31" s="204"/>
      <c r="JWI31" s="204"/>
      <c r="JWJ31" s="204"/>
      <c r="JWK31" s="204"/>
      <c r="JWL31" s="204"/>
      <c r="JWM31" s="204"/>
      <c r="JWN31" s="204"/>
      <c r="JWO31" s="204"/>
      <c r="JWP31" s="204"/>
      <c r="JWQ31" s="204"/>
      <c r="JWR31" s="204"/>
      <c r="JWS31" s="204"/>
      <c r="JWT31" s="204"/>
      <c r="JWU31" s="204"/>
      <c r="JWV31" s="204"/>
      <c r="JWW31" s="204"/>
      <c r="JWX31" s="204"/>
      <c r="JWY31" s="204"/>
      <c r="JWZ31" s="204"/>
      <c r="JXA31" s="204"/>
      <c r="JXB31" s="204"/>
      <c r="JXC31" s="204"/>
      <c r="JXD31" s="204"/>
      <c r="JXE31" s="204"/>
      <c r="JXF31" s="204"/>
      <c r="JXG31" s="204"/>
      <c r="JXH31" s="204"/>
      <c r="JXI31" s="204"/>
      <c r="JXJ31" s="204"/>
      <c r="JXK31" s="204"/>
      <c r="JXL31" s="204"/>
      <c r="JXM31" s="204"/>
      <c r="JXN31" s="204"/>
      <c r="JXO31" s="204"/>
      <c r="JXP31" s="204"/>
      <c r="JXQ31" s="204"/>
      <c r="JXR31" s="204"/>
      <c r="JXS31" s="204"/>
      <c r="JXT31" s="204"/>
      <c r="JXU31" s="204"/>
      <c r="JXV31" s="204"/>
      <c r="JXW31" s="204"/>
      <c r="JXX31" s="204"/>
      <c r="JXY31" s="204"/>
      <c r="JXZ31" s="204"/>
      <c r="JYA31" s="204"/>
      <c r="JYB31" s="204"/>
      <c r="JYC31" s="204"/>
      <c r="JYD31" s="204"/>
      <c r="JYE31" s="204"/>
      <c r="JYF31" s="204"/>
      <c r="JYG31" s="204"/>
      <c r="JYH31" s="204"/>
      <c r="JYI31" s="204"/>
      <c r="JYJ31" s="204"/>
      <c r="JYK31" s="204"/>
      <c r="JYL31" s="204"/>
      <c r="JYM31" s="204"/>
      <c r="JYN31" s="204"/>
      <c r="JYO31" s="204"/>
      <c r="JYP31" s="204"/>
      <c r="JYQ31" s="204"/>
      <c r="JYR31" s="204"/>
      <c r="JYS31" s="204"/>
      <c r="JYT31" s="204"/>
      <c r="JYU31" s="204"/>
      <c r="JYV31" s="204"/>
      <c r="JYW31" s="204"/>
      <c r="JYX31" s="204"/>
      <c r="JYY31" s="204"/>
      <c r="JYZ31" s="204"/>
      <c r="JZA31" s="204"/>
      <c r="JZB31" s="204"/>
      <c r="JZC31" s="204"/>
      <c r="JZD31" s="204"/>
      <c r="JZE31" s="204"/>
      <c r="JZF31" s="204"/>
      <c r="JZG31" s="204"/>
      <c r="JZH31" s="204"/>
      <c r="JZI31" s="204"/>
      <c r="JZJ31" s="204"/>
      <c r="JZK31" s="204"/>
      <c r="JZL31" s="204"/>
      <c r="JZM31" s="204"/>
      <c r="JZN31" s="204"/>
      <c r="JZO31" s="204"/>
      <c r="JZP31" s="204"/>
      <c r="JZQ31" s="204"/>
      <c r="JZR31" s="204"/>
      <c r="JZS31" s="204"/>
      <c r="JZT31" s="204"/>
      <c r="JZU31" s="204"/>
      <c r="JZV31" s="204"/>
      <c r="JZW31" s="204"/>
      <c r="JZX31" s="204"/>
      <c r="JZY31" s="204"/>
      <c r="JZZ31" s="204"/>
      <c r="KAA31" s="204"/>
      <c r="KAB31" s="204"/>
      <c r="KAC31" s="204"/>
      <c r="KAD31" s="204"/>
      <c r="KAE31" s="204"/>
      <c r="KAF31" s="204"/>
      <c r="KAG31" s="204"/>
      <c r="KAH31" s="204"/>
      <c r="KAI31" s="204"/>
      <c r="KAJ31" s="204"/>
      <c r="KAK31" s="204"/>
      <c r="KAL31" s="204"/>
      <c r="KAM31" s="204"/>
      <c r="KAN31" s="204"/>
      <c r="KAO31" s="204"/>
      <c r="KAP31" s="204"/>
      <c r="KAQ31" s="204"/>
      <c r="KAR31" s="204"/>
      <c r="KAS31" s="204"/>
      <c r="KAT31" s="204"/>
      <c r="KAU31" s="204"/>
      <c r="KAV31" s="204"/>
      <c r="KAW31" s="204"/>
      <c r="KAX31" s="204"/>
      <c r="KAY31" s="204"/>
      <c r="KAZ31" s="204"/>
      <c r="KBA31" s="204"/>
      <c r="KBB31" s="204"/>
      <c r="KBC31" s="204"/>
      <c r="KBD31" s="204"/>
      <c r="KBE31" s="204"/>
      <c r="KBF31" s="204"/>
      <c r="KBG31" s="204"/>
      <c r="KBH31" s="204"/>
      <c r="KBI31" s="204"/>
      <c r="KBJ31" s="204"/>
      <c r="KBK31" s="204"/>
      <c r="KBL31" s="204"/>
      <c r="KBM31" s="204"/>
      <c r="KBN31" s="204"/>
      <c r="KBO31" s="204"/>
      <c r="KBP31" s="204"/>
      <c r="KBQ31" s="204"/>
      <c r="KBR31" s="204"/>
      <c r="KBS31" s="204"/>
      <c r="KBT31" s="204"/>
      <c r="KBU31" s="204"/>
      <c r="KBV31" s="204"/>
      <c r="KBW31" s="204"/>
      <c r="KBX31" s="204"/>
      <c r="KBY31" s="204"/>
      <c r="KBZ31" s="204"/>
      <c r="KCA31" s="204"/>
      <c r="KCB31" s="204"/>
      <c r="KCC31" s="204"/>
      <c r="KCD31" s="204"/>
      <c r="KCE31" s="204"/>
      <c r="KCF31" s="204"/>
      <c r="KCG31" s="204"/>
      <c r="KCH31" s="204"/>
      <c r="KCI31" s="204"/>
      <c r="KCJ31" s="204"/>
      <c r="KCK31" s="204"/>
      <c r="KCL31" s="204"/>
      <c r="KCM31" s="204"/>
      <c r="KCN31" s="204"/>
      <c r="KCO31" s="204"/>
      <c r="KCP31" s="204"/>
      <c r="KCQ31" s="204"/>
      <c r="KCR31" s="204"/>
      <c r="KCS31" s="204"/>
      <c r="KCT31" s="204"/>
      <c r="KCU31" s="204"/>
      <c r="KCV31" s="204"/>
      <c r="KCW31" s="204"/>
      <c r="KCX31" s="204"/>
      <c r="KCY31" s="204"/>
      <c r="KCZ31" s="204"/>
      <c r="KDA31" s="204"/>
      <c r="KDB31" s="204"/>
      <c r="KDC31" s="204"/>
      <c r="KDD31" s="204"/>
      <c r="KDE31" s="204"/>
      <c r="KDF31" s="204"/>
      <c r="KDG31" s="204"/>
      <c r="KDH31" s="204"/>
      <c r="KDI31" s="204"/>
      <c r="KDJ31" s="204"/>
      <c r="KDK31" s="204"/>
      <c r="KDL31" s="204"/>
      <c r="KDM31" s="204"/>
      <c r="KDN31" s="204"/>
      <c r="KDO31" s="204"/>
      <c r="KDP31" s="204"/>
      <c r="KDQ31" s="204"/>
      <c r="KDR31" s="204"/>
      <c r="KDS31" s="204"/>
      <c r="KDT31" s="204"/>
      <c r="KDU31" s="204"/>
      <c r="KDV31" s="204"/>
      <c r="KDW31" s="204"/>
      <c r="KDX31" s="204"/>
      <c r="KDY31" s="204"/>
      <c r="KDZ31" s="204"/>
      <c r="KEA31" s="204"/>
      <c r="KEB31" s="204"/>
      <c r="KEC31" s="204"/>
      <c r="KED31" s="204"/>
      <c r="KEE31" s="204"/>
      <c r="KEF31" s="204"/>
      <c r="KEG31" s="204"/>
      <c r="KEH31" s="204"/>
      <c r="KEI31" s="204"/>
      <c r="KEJ31" s="204"/>
      <c r="KEK31" s="204"/>
      <c r="KEL31" s="204"/>
      <c r="KEM31" s="204"/>
      <c r="KEN31" s="204"/>
      <c r="KEO31" s="204"/>
      <c r="KEP31" s="204"/>
      <c r="KEQ31" s="204"/>
      <c r="KER31" s="204"/>
      <c r="KES31" s="204"/>
      <c r="KET31" s="204"/>
      <c r="KEU31" s="204"/>
      <c r="KEV31" s="204"/>
      <c r="KEW31" s="204"/>
      <c r="KEX31" s="204"/>
      <c r="KEY31" s="204"/>
      <c r="KEZ31" s="204"/>
      <c r="KFA31" s="204"/>
      <c r="KFB31" s="204"/>
      <c r="KFC31" s="204"/>
      <c r="KFD31" s="204"/>
      <c r="KFE31" s="204"/>
      <c r="KFF31" s="204"/>
      <c r="KFG31" s="204"/>
      <c r="KFH31" s="204"/>
      <c r="KFI31" s="204"/>
      <c r="KFJ31" s="204"/>
      <c r="KFK31" s="204"/>
      <c r="KFL31" s="204"/>
      <c r="KFM31" s="204"/>
      <c r="KFN31" s="204"/>
      <c r="KFO31" s="204"/>
      <c r="KFP31" s="204"/>
      <c r="KFQ31" s="204"/>
      <c r="KFR31" s="204"/>
      <c r="KFS31" s="204"/>
      <c r="KFT31" s="204"/>
      <c r="KFU31" s="204"/>
      <c r="KFV31" s="204"/>
      <c r="KFW31" s="204"/>
      <c r="KFX31" s="204"/>
      <c r="KFY31" s="204"/>
      <c r="KFZ31" s="204"/>
      <c r="KGA31" s="204"/>
      <c r="KGB31" s="204"/>
      <c r="KGC31" s="204"/>
      <c r="KGD31" s="204"/>
      <c r="KGE31" s="204"/>
      <c r="KGF31" s="204"/>
      <c r="KGG31" s="204"/>
      <c r="KGH31" s="204"/>
      <c r="KGI31" s="204"/>
      <c r="KGJ31" s="204"/>
      <c r="KGK31" s="204"/>
      <c r="KGL31" s="204"/>
      <c r="KGM31" s="204"/>
      <c r="KGN31" s="204"/>
      <c r="KGO31" s="204"/>
      <c r="KGP31" s="204"/>
      <c r="KGQ31" s="204"/>
      <c r="KGR31" s="204"/>
      <c r="KGS31" s="204"/>
      <c r="KGT31" s="204"/>
      <c r="KGU31" s="204"/>
      <c r="KGV31" s="204"/>
      <c r="KGW31" s="204"/>
      <c r="KGX31" s="204"/>
      <c r="KGY31" s="204"/>
      <c r="KGZ31" s="204"/>
      <c r="KHA31" s="204"/>
      <c r="KHB31" s="204"/>
      <c r="KHC31" s="204"/>
      <c r="KHD31" s="204"/>
      <c r="KHE31" s="204"/>
      <c r="KHF31" s="204"/>
      <c r="KHG31" s="204"/>
      <c r="KHH31" s="204"/>
      <c r="KHI31" s="204"/>
      <c r="KHJ31" s="204"/>
      <c r="KHK31" s="204"/>
      <c r="KHL31" s="204"/>
      <c r="KHM31" s="204"/>
      <c r="KHN31" s="204"/>
      <c r="KHO31" s="204"/>
      <c r="KHP31" s="204"/>
      <c r="KHQ31" s="204"/>
      <c r="KHR31" s="204"/>
      <c r="KHS31" s="204"/>
      <c r="KHT31" s="204"/>
      <c r="KHU31" s="204"/>
      <c r="KHV31" s="204"/>
      <c r="KHW31" s="204"/>
      <c r="KHX31" s="204"/>
      <c r="KHY31" s="204"/>
      <c r="KHZ31" s="204"/>
      <c r="KIA31" s="204"/>
      <c r="KIB31" s="204"/>
      <c r="KIC31" s="204"/>
      <c r="KID31" s="204"/>
      <c r="KIE31" s="204"/>
      <c r="KIF31" s="204"/>
      <c r="KIG31" s="204"/>
      <c r="KIH31" s="204"/>
      <c r="KII31" s="204"/>
      <c r="KIJ31" s="204"/>
      <c r="KIK31" s="204"/>
      <c r="KIL31" s="204"/>
      <c r="KIM31" s="204"/>
      <c r="KIN31" s="204"/>
      <c r="KIO31" s="204"/>
      <c r="KIP31" s="204"/>
      <c r="KIQ31" s="204"/>
      <c r="KIR31" s="204"/>
      <c r="KIS31" s="204"/>
      <c r="KIT31" s="204"/>
      <c r="KIU31" s="204"/>
      <c r="KIV31" s="204"/>
      <c r="KIW31" s="204"/>
      <c r="KIX31" s="204"/>
      <c r="KIY31" s="204"/>
      <c r="KIZ31" s="204"/>
      <c r="KJA31" s="204"/>
      <c r="KJB31" s="204"/>
      <c r="KJC31" s="204"/>
      <c r="KJD31" s="204"/>
      <c r="KJE31" s="204"/>
      <c r="KJF31" s="204"/>
      <c r="KJG31" s="204"/>
      <c r="KJH31" s="204"/>
      <c r="KJI31" s="204"/>
      <c r="KJJ31" s="204"/>
      <c r="KJK31" s="204"/>
      <c r="KJL31" s="204"/>
      <c r="KJM31" s="204"/>
      <c r="KJN31" s="204"/>
      <c r="KJO31" s="204"/>
      <c r="KJP31" s="204"/>
      <c r="KJQ31" s="204"/>
      <c r="KJR31" s="204"/>
      <c r="KJS31" s="204"/>
      <c r="KJT31" s="204"/>
      <c r="KJU31" s="204"/>
      <c r="KJV31" s="204"/>
      <c r="KJW31" s="204"/>
      <c r="KJX31" s="204"/>
      <c r="KJY31" s="204"/>
      <c r="KJZ31" s="204"/>
      <c r="KKA31" s="204"/>
      <c r="KKB31" s="204"/>
      <c r="KKC31" s="204"/>
      <c r="KKD31" s="204"/>
      <c r="KKE31" s="204"/>
      <c r="KKF31" s="204"/>
      <c r="KKG31" s="204"/>
      <c r="KKH31" s="204"/>
      <c r="KKI31" s="204"/>
      <c r="KKJ31" s="204"/>
      <c r="KKK31" s="204"/>
      <c r="KKL31" s="204"/>
      <c r="KKM31" s="204"/>
      <c r="KKN31" s="204"/>
      <c r="KKO31" s="204"/>
      <c r="KKP31" s="204"/>
      <c r="KKQ31" s="204"/>
      <c r="KKR31" s="204"/>
      <c r="KKS31" s="204"/>
      <c r="KKT31" s="204"/>
      <c r="KKU31" s="204"/>
      <c r="KKV31" s="204"/>
      <c r="KKW31" s="204"/>
      <c r="KKX31" s="204"/>
      <c r="KKY31" s="204"/>
      <c r="KKZ31" s="204"/>
      <c r="KLA31" s="204"/>
      <c r="KLB31" s="204"/>
      <c r="KLC31" s="204"/>
      <c r="KLD31" s="204"/>
      <c r="KLE31" s="204"/>
      <c r="KLF31" s="204"/>
      <c r="KLG31" s="204"/>
      <c r="KLH31" s="204"/>
      <c r="KLI31" s="204"/>
      <c r="KLJ31" s="204"/>
      <c r="KLK31" s="204"/>
      <c r="KLL31" s="204"/>
      <c r="KLM31" s="204"/>
      <c r="KLN31" s="204"/>
      <c r="KLO31" s="204"/>
      <c r="KLP31" s="204"/>
      <c r="KLQ31" s="204"/>
      <c r="KLR31" s="204"/>
      <c r="KLS31" s="204"/>
      <c r="KLT31" s="204"/>
      <c r="KLU31" s="204"/>
      <c r="KLV31" s="204"/>
      <c r="KLW31" s="204"/>
      <c r="KLX31" s="204"/>
      <c r="KLY31" s="204"/>
      <c r="KLZ31" s="204"/>
      <c r="KMA31" s="204"/>
      <c r="KMB31" s="204"/>
      <c r="KMC31" s="204"/>
      <c r="KMD31" s="204"/>
      <c r="KME31" s="204"/>
      <c r="KMF31" s="204"/>
      <c r="KMG31" s="204"/>
      <c r="KMH31" s="204"/>
      <c r="KMI31" s="204"/>
      <c r="KMJ31" s="204"/>
      <c r="KMK31" s="204"/>
      <c r="KML31" s="204"/>
      <c r="KMM31" s="204"/>
      <c r="KMN31" s="204"/>
      <c r="KMO31" s="204"/>
      <c r="KMP31" s="204"/>
      <c r="KMQ31" s="204"/>
      <c r="KMR31" s="204"/>
      <c r="KMS31" s="204"/>
      <c r="KMT31" s="204"/>
      <c r="KMU31" s="204"/>
      <c r="KMV31" s="204"/>
      <c r="KMW31" s="204"/>
      <c r="KMX31" s="204"/>
      <c r="KMY31" s="204"/>
      <c r="KMZ31" s="204"/>
      <c r="KNA31" s="204"/>
      <c r="KNB31" s="204"/>
      <c r="KNC31" s="204"/>
      <c r="KND31" s="204"/>
      <c r="KNE31" s="204"/>
      <c r="KNF31" s="204"/>
      <c r="KNG31" s="204"/>
      <c r="KNH31" s="204"/>
      <c r="KNI31" s="204"/>
      <c r="KNJ31" s="204"/>
      <c r="KNK31" s="204"/>
      <c r="KNL31" s="204"/>
      <c r="KNM31" s="204"/>
      <c r="KNN31" s="204"/>
      <c r="KNO31" s="204"/>
      <c r="KNP31" s="204"/>
      <c r="KNQ31" s="204"/>
      <c r="KNR31" s="204"/>
      <c r="KNS31" s="204"/>
      <c r="KNT31" s="204"/>
      <c r="KNU31" s="204"/>
      <c r="KNV31" s="204"/>
      <c r="KNW31" s="204"/>
      <c r="KNX31" s="204"/>
      <c r="KNY31" s="204"/>
      <c r="KNZ31" s="204"/>
      <c r="KOA31" s="204"/>
      <c r="KOB31" s="204"/>
      <c r="KOC31" s="204"/>
      <c r="KOD31" s="204"/>
      <c r="KOE31" s="204"/>
      <c r="KOF31" s="204"/>
      <c r="KOG31" s="204"/>
      <c r="KOH31" s="204"/>
      <c r="KOI31" s="204"/>
      <c r="KOJ31" s="204"/>
      <c r="KOK31" s="204"/>
      <c r="KOL31" s="204"/>
      <c r="KOM31" s="204"/>
      <c r="KON31" s="204"/>
      <c r="KOO31" s="204"/>
      <c r="KOP31" s="204"/>
      <c r="KOQ31" s="204"/>
      <c r="KOR31" s="204"/>
      <c r="KOS31" s="204"/>
      <c r="KOT31" s="204"/>
      <c r="KOU31" s="204"/>
      <c r="KOV31" s="204"/>
      <c r="KOW31" s="204"/>
      <c r="KOX31" s="204"/>
      <c r="KOY31" s="204"/>
      <c r="KOZ31" s="204"/>
      <c r="KPA31" s="204"/>
      <c r="KPB31" s="204"/>
      <c r="KPC31" s="204"/>
      <c r="KPD31" s="204"/>
      <c r="KPE31" s="204"/>
      <c r="KPF31" s="204"/>
      <c r="KPG31" s="204"/>
      <c r="KPH31" s="204"/>
      <c r="KPI31" s="204"/>
      <c r="KPJ31" s="204"/>
      <c r="KPK31" s="204"/>
      <c r="KPL31" s="204"/>
      <c r="KPM31" s="204"/>
      <c r="KPN31" s="204"/>
      <c r="KPO31" s="204"/>
      <c r="KPP31" s="204"/>
      <c r="KPQ31" s="204"/>
      <c r="KPR31" s="204"/>
      <c r="KPS31" s="204"/>
      <c r="KPT31" s="204"/>
      <c r="KPU31" s="204"/>
      <c r="KPV31" s="204"/>
      <c r="KPW31" s="204"/>
      <c r="KPX31" s="204"/>
      <c r="KPY31" s="204"/>
      <c r="KPZ31" s="204"/>
      <c r="KQA31" s="204"/>
      <c r="KQB31" s="204"/>
      <c r="KQC31" s="204"/>
      <c r="KQD31" s="204"/>
      <c r="KQE31" s="204"/>
      <c r="KQF31" s="204"/>
      <c r="KQG31" s="204"/>
      <c r="KQH31" s="204"/>
      <c r="KQI31" s="204"/>
      <c r="KQJ31" s="204"/>
      <c r="KQK31" s="204"/>
      <c r="KQL31" s="204"/>
      <c r="KQM31" s="204"/>
      <c r="KQN31" s="204"/>
      <c r="KQO31" s="204"/>
      <c r="KQP31" s="204"/>
      <c r="KQQ31" s="204"/>
      <c r="KQR31" s="204"/>
      <c r="KQS31" s="204"/>
      <c r="KQT31" s="204"/>
      <c r="KQU31" s="204"/>
      <c r="KQV31" s="204"/>
      <c r="KQW31" s="204"/>
      <c r="KQX31" s="204"/>
      <c r="KQY31" s="204"/>
      <c r="KQZ31" s="204"/>
      <c r="KRA31" s="204"/>
      <c r="KRB31" s="204"/>
      <c r="KRC31" s="204"/>
      <c r="KRD31" s="204"/>
      <c r="KRE31" s="204"/>
      <c r="KRF31" s="204"/>
      <c r="KRG31" s="204"/>
      <c r="KRH31" s="204"/>
      <c r="KRI31" s="204"/>
      <c r="KRJ31" s="204"/>
      <c r="KRK31" s="204"/>
      <c r="KRL31" s="204"/>
      <c r="KRM31" s="204"/>
      <c r="KRN31" s="204"/>
      <c r="KRO31" s="204"/>
      <c r="KRP31" s="204"/>
      <c r="KRQ31" s="204"/>
      <c r="KRR31" s="204"/>
      <c r="KRS31" s="204"/>
      <c r="KRT31" s="204"/>
      <c r="KRU31" s="204"/>
      <c r="KRV31" s="204"/>
      <c r="KRW31" s="204"/>
      <c r="KRX31" s="204"/>
      <c r="KRY31" s="204"/>
      <c r="KRZ31" s="204"/>
      <c r="KSA31" s="204"/>
      <c r="KSB31" s="204"/>
      <c r="KSC31" s="204"/>
      <c r="KSD31" s="204"/>
      <c r="KSE31" s="204"/>
      <c r="KSF31" s="204"/>
      <c r="KSG31" s="204"/>
      <c r="KSH31" s="204"/>
      <c r="KSI31" s="204"/>
      <c r="KSJ31" s="204"/>
      <c r="KSK31" s="204"/>
      <c r="KSL31" s="204"/>
      <c r="KSM31" s="204"/>
      <c r="KSN31" s="204"/>
      <c r="KSO31" s="204"/>
      <c r="KSP31" s="204"/>
      <c r="KSQ31" s="204"/>
      <c r="KSR31" s="204"/>
      <c r="KSS31" s="204"/>
      <c r="KST31" s="204"/>
      <c r="KSU31" s="204"/>
      <c r="KSV31" s="204"/>
      <c r="KSW31" s="204"/>
      <c r="KSX31" s="204"/>
      <c r="KSY31" s="204"/>
      <c r="KSZ31" s="204"/>
      <c r="KTA31" s="204"/>
      <c r="KTB31" s="204"/>
      <c r="KTC31" s="204"/>
      <c r="KTD31" s="204"/>
      <c r="KTE31" s="204"/>
      <c r="KTF31" s="204"/>
      <c r="KTG31" s="204"/>
      <c r="KTH31" s="204"/>
      <c r="KTI31" s="204"/>
      <c r="KTJ31" s="204"/>
      <c r="KTK31" s="204"/>
      <c r="KTL31" s="204"/>
      <c r="KTM31" s="204"/>
      <c r="KTN31" s="204"/>
      <c r="KTO31" s="204"/>
      <c r="KTP31" s="204"/>
      <c r="KTQ31" s="204"/>
      <c r="KTR31" s="204"/>
      <c r="KTS31" s="204"/>
      <c r="KTT31" s="204"/>
      <c r="KTU31" s="204"/>
      <c r="KTV31" s="204"/>
      <c r="KTW31" s="204"/>
      <c r="KTX31" s="204"/>
      <c r="KTY31" s="204"/>
      <c r="KTZ31" s="204"/>
      <c r="KUA31" s="204"/>
      <c r="KUB31" s="204"/>
      <c r="KUC31" s="204"/>
      <c r="KUD31" s="204"/>
      <c r="KUE31" s="204"/>
      <c r="KUF31" s="204"/>
      <c r="KUG31" s="204"/>
      <c r="KUH31" s="204"/>
      <c r="KUI31" s="204"/>
      <c r="KUJ31" s="204"/>
      <c r="KUK31" s="204"/>
      <c r="KUL31" s="204"/>
      <c r="KUM31" s="204"/>
      <c r="KUN31" s="204"/>
      <c r="KUO31" s="204"/>
      <c r="KUP31" s="204"/>
      <c r="KUQ31" s="204"/>
      <c r="KUR31" s="204"/>
      <c r="KUS31" s="204"/>
      <c r="KUT31" s="204"/>
      <c r="KUU31" s="204"/>
      <c r="KUV31" s="204"/>
      <c r="KUW31" s="204"/>
      <c r="KUX31" s="204"/>
      <c r="KUY31" s="204"/>
      <c r="KUZ31" s="204"/>
      <c r="KVA31" s="204"/>
      <c r="KVB31" s="204"/>
      <c r="KVC31" s="204"/>
      <c r="KVD31" s="204"/>
      <c r="KVE31" s="204"/>
      <c r="KVF31" s="204"/>
      <c r="KVG31" s="204"/>
      <c r="KVH31" s="204"/>
      <c r="KVI31" s="204"/>
      <c r="KVJ31" s="204"/>
      <c r="KVK31" s="204"/>
      <c r="KVL31" s="204"/>
      <c r="KVM31" s="204"/>
      <c r="KVN31" s="204"/>
      <c r="KVO31" s="204"/>
      <c r="KVP31" s="204"/>
      <c r="KVQ31" s="204"/>
      <c r="KVR31" s="204"/>
      <c r="KVS31" s="204"/>
      <c r="KVT31" s="204"/>
      <c r="KVU31" s="204"/>
      <c r="KVV31" s="204"/>
      <c r="KVW31" s="204"/>
      <c r="KVX31" s="204"/>
      <c r="KVY31" s="204"/>
      <c r="KVZ31" s="204"/>
      <c r="KWA31" s="204"/>
      <c r="KWB31" s="204"/>
      <c r="KWC31" s="204"/>
      <c r="KWD31" s="204"/>
      <c r="KWE31" s="204"/>
      <c r="KWF31" s="204"/>
      <c r="KWG31" s="204"/>
      <c r="KWH31" s="204"/>
      <c r="KWI31" s="204"/>
      <c r="KWJ31" s="204"/>
      <c r="KWK31" s="204"/>
      <c r="KWL31" s="204"/>
      <c r="KWM31" s="204"/>
      <c r="KWN31" s="204"/>
      <c r="KWO31" s="204"/>
      <c r="KWP31" s="204"/>
      <c r="KWQ31" s="204"/>
      <c r="KWR31" s="204"/>
      <c r="KWS31" s="204"/>
      <c r="KWT31" s="204"/>
      <c r="KWU31" s="204"/>
      <c r="KWV31" s="204"/>
      <c r="KWW31" s="204"/>
      <c r="KWX31" s="204"/>
      <c r="KWY31" s="204"/>
      <c r="KWZ31" s="204"/>
      <c r="KXA31" s="204"/>
      <c r="KXB31" s="204"/>
      <c r="KXC31" s="204"/>
      <c r="KXD31" s="204"/>
      <c r="KXE31" s="204"/>
      <c r="KXF31" s="204"/>
      <c r="KXG31" s="204"/>
      <c r="KXH31" s="204"/>
      <c r="KXI31" s="204"/>
      <c r="KXJ31" s="204"/>
      <c r="KXK31" s="204"/>
      <c r="KXL31" s="204"/>
      <c r="KXM31" s="204"/>
      <c r="KXN31" s="204"/>
      <c r="KXO31" s="204"/>
      <c r="KXP31" s="204"/>
      <c r="KXQ31" s="204"/>
      <c r="KXR31" s="204"/>
      <c r="KXS31" s="204"/>
      <c r="KXT31" s="204"/>
      <c r="KXU31" s="204"/>
      <c r="KXV31" s="204"/>
      <c r="KXW31" s="204"/>
      <c r="KXX31" s="204"/>
      <c r="KXY31" s="204"/>
      <c r="KXZ31" s="204"/>
      <c r="KYA31" s="204"/>
      <c r="KYB31" s="204"/>
      <c r="KYC31" s="204"/>
      <c r="KYD31" s="204"/>
      <c r="KYE31" s="204"/>
      <c r="KYF31" s="204"/>
      <c r="KYG31" s="204"/>
      <c r="KYH31" s="204"/>
      <c r="KYI31" s="204"/>
      <c r="KYJ31" s="204"/>
      <c r="KYK31" s="204"/>
      <c r="KYL31" s="204"/>
      <c r="KYM31" s="204"/>
      <c r="KYN31" s="204"/>
      <c r="KYO31" s="204"/>
      <c r="KYP31" s="204"/>
      <c r="KYQ31" s="204"/>
      <c r="KYR31" s="204"/>
      <c r="KYS31" s="204"/>
      <c r="KYT31" s="204"/>
      <c r="KYU31" s="204"/>
      <c r="KYV31" s="204"/>
      <c r="KYW31" s="204"/>
      <c r="KYX31" s="204"/>
      <c r="KYY31" s="204"/>
      <c r="KYZ31" s="204"/>
      <c r="KZA31" s="204"/>
      <c r="KZB31" s="204"/>
      <c r="KZC31" s="204"/>
      <c r="KZD31" s="204"/>
      <c r="KZE31" s="204"/>
      <c r="KZF31" s="204"/>
      <c r="KZG31" s="204"/>
      <c r="KZH31" s="204"/>
      <c r="KZI31" s="204"/>
      <c r="KZJ31" s="204"/>
      <c r="KZK31" s="204"/>
      <c r="KZL31" s="204"/>
      <c r="KZM31" s="204"/>
      <c r="KZN31" s="204"/>
      <c r="KZO31" s="204"/>
      <c r="KZP31" s="204"/>
      <c r="KZQ31" s="204"/>
      <c r="KZR31" s="204"/>
      <c r="KZS31" s="204"/>
      <c r="KZT31" s="204"/>
      <c r="KZU31" s="204"/>
      <c r="KZV31" s="204"/>
      <c r="KZW31" s="204"/>
      <c r="KZX31" s="204"/>
      <c r="KZY31" s="204"/>
      <c r="KZZ31" s="204"/>
      <c r="LAA31" s="204"/>
      <c r="LAB31" s="204"/>
      <c r="LAC31" s="204"/>
      <c r="LAD31" s="204"/>
      <c r="LAE31" s="204"/>
      <c r="LAF31" s="204"/>
      <c r="LAG31" s="204"/>
      <c r="LAH31" s="204"/>
      <c r="LAI31" s="204"/>
      <c r="LAJ31" s="204"/>
      <c r="LAK31" s="204"/>
      <c r="LAL31" s="204"/>
      <c r="LAM31" s="204"/>
      <c r="LAN31" s="204"/>
      <c r="LAO31" s="204"/>
      <c r="LAP31" s="204"/>
      <c r="LAQ31" s="204"/>
      <c r="LAR31" s="204"/>
      <c r="LAS31" s="204"/>
      <c r="LAT31" s="204"/>
      <c r="LAU31" s="204"/>
      <c r="LAV31" s="204"/>
      <c r="LAW31" s="204"/>
      <c r="LAX31" s="204"/>
      <c r="LAY31" s="204"/>
      <c r="LAZ31" s="204"/>
      <c r="LBA31" s="204"/>
      <c r="LBB31" s="204"/>
      <c r="LBC31" s="204"/>
      <c r="LBD31" s="204"/>
      <c r="LBE31" s="204"/>
      <c r="LBF31" s="204"/>
      <c r="LBG31" s="204"/>
      <c r="LBH31" s="204"/>
      <c r="LBI31" s="204"/>
      <c r="LBJ31" s="204"/>
      <c r="LBK31" s="204"/>
      <c r="LBL31" s="204"/>
      <c r="LBM31" s="204"/>
      <c r="LBN31" s="204"/>
      <c r="LBO31" s="204"/>
      <c r="LBP31" s="204"/>
      <c r="LBQ31" s="204"/>
      <c r="LBR31" s="204"/>
      <c r="LBS31" s="204"/>
      <c r="LBT31" s="204"/>
      <c r="LBU31" s="204"/>
      <c r="LBV31" s="204"/>
      <c r="LBW31" s="204"/>
      <c r="LBX31" s="204"/>
      <c r="LBY31" s="204"/>
      <c r="LBZ31" s="204"/>
      <c r="LCA31" s="204"/>
      <c r="LCB31" s="204"/>
      <c r="LCC31" s="204"/>
      <c r="LCD31" s="204"/>
      <c r="LCE31" s="204"/>
      <c r="LCF31" s="204"/>
      <c r="LCG31" s="204"/>
      <c r="LCH31" s="204"/>
      <c r="LCI31" s="204"/>
      <c r="LCJ31" s="204"/>
      <c r="LCK31" s="204"/>
      <c r="LCL31" s="204"/>
      <c r="LCM31" s="204"/>
      <c r="LCN31" s="204"/>
      <c r="LCO31" s="204"/>
      <c r="LCP31" s="204"/>
      <c r="LCQ31" s="204"/>
      <c r="LCR31" s="204"/>
      <c r="LCS31" s="204"/>
      <c r="LCT31" s="204"/>
      <c r="LCU31" s="204"/>
      <c r="LCV31" s="204"/>
      <c r="LCW31" s="204"/>
      <c r="LCX31" s="204"/>
      <c r="LCY31" s="204"/>
      <c r="LCZ31" s="204"/>
      <c r="LDA31" s="204"/>
      <c r="LDB31" s="204"/>
      <c r="LDC31" s="204"/>
      <c r="LDD31" s="204"/>
      <c r="LDE31" s="204"/>
      <c r="LDF31" s="204"/>
      <c r="LDG31" s="204"/>
      <c r="LDH31" s="204"/>
      <c r="LDI31" s="204"/>
      <c r="LDJ31" s="204"/>
      <c r="LDK31" s="204"/>
      <c r="LDL31" s="204"/>
      <c r="LDM31" s="204"/>
      <c r="LDN31" s="204"/>
      <c r="LDO31" s="204"/>
      <c r="LDP31" s="204"/>
      <c r="LDQ31" s="204"/>
      <c r="LDR31" s="204"/>
      <c r="LDS31" s="204"/>
      <c r="LDT31" s="204"/>
      <c r="LDU31" s="204"/>
      <c r="LDV31" s="204"/>
      <c r="LDW31" s="204"/>
      <c r="LDX31" s="204"/>
      <c r="LDY31" s="204"/>
      <c r="LDZ31" s="204"/>
      <c r="LEA31" s="204"/>
      <c r="LEB31" s="204"/>
      <c r="LEC31" s="204"/>
      <c r="LED31" s="204"/>
      <c r="LEE31" s="204"/>
      <c r="LEF31" s="204"/>
      <c r="LEG31" s="204"/>
      <c r="LEH31" s="204"/>
      <c r="LEI31" s="204"/>
      <c r="LEJ31" s="204"/>
      <c r="LEK31" s="204"/>
      <c r="LEL31" s="204"/>
      <c r="LEM31" s="204"/>
      <c r="LEN31" s="204"/>
      <c r="LEO31" s="204"/>
      <c r="LEP31" s="204"/>
      <c r="LEQ31" s="204"/>
      <c r="LER31" s="204"/>
      <c r="LES31" s="204"/>
      <c r="LET31" s="204"/>
      <c r="LEU31" s="204"/>
      <c r="LEV31" s="204"/>
      <c r="LEW31" s="204"/>
      <c r="LEX31" s="204"/>
      <c r="LEY31" s="204"/>
      <c r="LEZ31" s="204"/>
      <c r="LFA31" s="204"/>
      <c r="LFB31" s="204"/>
      <c r="LFC31" s="204"/>
      <c r="LFD31" s="204"/>
      <c r="LFE31" s="204"/>
      <c r="LFF31" s="204"/>
      <c r="LFG31" s="204"/>
      <c r="LFH31" s="204"/>
      <c r="LFI31" s="204"/>
      <c r="LFJ31" s="204"/>
      <c r="LFK31" s="204"/>
      <c r="LFL31" s="204"/>
      <c r="LFM31" s="204"/>
      <c r="LFN31" s="204"/>
      <c r="LFO31" s="204"/>
      <c r="LFP31" s="204"/>
      <c r="LFQ31" s="204"/>
      <c r="LFR31" s="204"/>
      <c r="LFS31" s="204"/>
      <c r="LFT31" s="204"/>
      <c r="LFU31" s="204"/>
      <c r="LFV31" s="204"/>
      <c r="LFW31" s="204"/>
      <c r="LFX31" s="204"/>
      <c r="LFY31" s="204"/>
      <c r="LFZ31" s="204"/>
      <c r="LGA31" s="204"/>
      <c r="LGB31" s="204"/>
      <c r="LGC31" s="204"/>
      <c r="LGD31" s="204"/>
      <c r="LGE31" s="204"/>
      <c r="LGF31" s="204"/>
      <c r="LGG31" s="204"/>
      <c r="LGH31" s="204"/>
      <c r="LGI31" s="204"/>
      <c r="LGJ31" s="204"/>
      <c r="LGK31" s="204"/>
      <c r="LGL31" s="204"/>
      <c r="LGM31" s="204"/>
      <c r="LGN31" s="204"/>
      <c r="LGO31" s="204"/>
      <c r="LGP31" s="204"/>
      <c r="LGQ31" s="204"/>
      <c r="LGR31" s="204"/>
      <c r="LGS31" s="204"/>
      <c r="LGT31" s="204"/>
      <c r="LGU31" s="204"/>
      <c r="LGV31" s="204"/>
      <c r="LGW31" s="204"/>
      <c r="LGX31" s="204"/>
      <c r="LGY31" s="204"/>
      <c r="LGZ31" s="204"/>
      <c r="LHA31" s="204"/>
      <c r="LHB31" s="204"/>
      <c r="LHC31" s="204"/>
      <c r="LHD31" s="204"/>
      <c r="LHE31" s="204"/>
      <c r="LHF31" s="204"/>
      <c r="LHG31" s="204"/>
      <c r="LHH31" s="204"/>
      <c r="LHI31" s="204"/>
      <c r="LHJ31" s="204"/>
      <c r="LHK31" s="204"/>
      <c r="LHL31" s="204"/>
      <c r="LHM31" s="204"/>
      <c r="LHN31" s="204"/>
      <c r="LHO31" s="204"/>
      <c r="LHP31" s="204"/>
      <c r="LHQ31" s="204"/>
      <c r="LHR31" s="204"/>
      <c r="LHS31" s="204"/>
      <c r="LHT31" s="204"/>
      <c r="LHU31" s="204"/>
      <c r="LHV31" s="204"/>
      <c r="LHW31" s="204"/>
      <c r="LHX31" s="204"/>
      <c r="LHY31" s="204"/>
      <c r="LHZ31" s="204"/>
      <c r="LIA31" s="204"/>
      <c r="LIB31" s="204"/>
      <c r="LIC31" s="204"/>
      <c r="LID31" s="204"/>
      <c r="LIE31" s="204"/>
      <c r="LIF31" s="204"/>
      <c r="LIG31" s="204"/>
      <c r="LIH31" s="204"/>
      <c r="LII31" s="204"/>
      <c r="LIJ31" s="204"/>
      <c r="LIK31" s="204"/>
      <c r="LIL31" s="204"/>
      <c r="LIM31" s="204"/>
      <c r="LIN31" s="204"/>
      <c r="LIO31" s="204"/>
      <c r="LIP31" s="204"/>
      <c r="LIQ31" s="204"/>
      <c r="LIR31" s="204"/>
      <c r="LIS31" s="204"/>
      <c r="LIT31" s="204"/>
      <c r="LIU31" s="204"/>
      <c r="LIV31" s="204"/>
      <c r="LIW31" s="204"/>
      <c r="LIX31" s="204"/>
      <c r="LIY31" s="204"/>
      <c r="LIZ31" s="204"/>
      <c r="LJA31" s="204"/>
      <c r="LJB31" s="204"/>
      <c r="LJC31" s="204"/>
      <c r="LJD31" s="204"/>
      <c r="LJE31" s="204"/>
      <c r="LJF31" s="204"/>
      <c r="LJG31" s="204"/>
      <c r="LJH31" s="204"/>
      <c r="LJI31" s="204"/>
      <c r="LJJ31" s="204"/>
      <c r="LJK31" s="204"/>
      <c r="LJL31" s="204"/>
      <c r="LJM31" s="204"/>
      <c r="LJN31" s="204"/>
      <c r="LJO31" s="204"/>
      <c r="LJP31" s="204"/>
      <c r="LJQ31" s="204"/>
      <c r="LJR31" s="204"/>
      <c r="LJS31" s="204"/>
      <c r="LJT31" s="204"/>
      <c r="LJU31" s="204"/>
      <c r="LJV31" s="204"/>
      <c r="LJW31" s="204"/>
      <c r="LJX31" s="204"/>
      <c r="LJY31" s="204"/>
      <c r="LJZ31" s="204"/>
      <c r="LKA31" s="204"/>
      <c r="LKB31" s="204"/>
      <c r="LKC31" s="204"/>
      <c r="LKD31" s="204"/>
      <c r="LKE31" s="204"/>
      <c r="LKF31" s="204"/>
      <c r="LKG31" s="204"/>
      <c r="LKH31" s="204"/>
      <c r="LKI31" s="204"/>
      <c r="LKJ31" s="204"/>
      <c r="LKK31" s="204"/>
      <c r="LKL31" s="204"/>
      <c r="LKM31" s="204"/>
      <c r="LKN31" s="204"/>
      <c r="LKO31" s="204"/>
      <c r="LKP31" s="204"/>
      <c r="LKQ31" s="204"/>
      <c r="LKR31" s="204"/>
      <c r="LKS31" s="204"/>
      <c r="LKT31" s="204"/>
      <c r="LKU31" s="204"/>
      <c r="LKV31" s="204"/>
      <c r="LKW31" s="204"/>
      <c r="LKX31" s="204"/>
      <c r="LKY31" s="204"/>
      <c r="LKZ31" s="204"/>
      <c r="LLA31" s="204"/>
      <c r="LLB31" s="204"/>
      <c r="LLC31" s="204"/>
      <c r="LLD31" s="204"/>
      <c r="LLE31" s="204"/>
      <c r="LLF31" s="204"/>
      <c r="LLG31" s="204"/>
      <c r="LLH31" s="204"/>
      <c r="LLI31" s="204"/>
      <c r="LLJ31" s="204"/>
      <c r="LLK31" s="204"/>
      <c r="LLL31" s="204"/>
      <c r="LLM31" s="204"/>
      <c r="LLN31" s="204"/>
      <c r="LLO31" s="204"/>
      <c r="LLP31" s="204"/>
      <c r="LLQ31" s="204"/>
      <c r="LLR31" s="204"/>
      <c r="LLS31" s="204"/>
      <c r="LLT31" s="204"/>
      <c r="LLU31" s="204"/>
      <c r="LLV31" s="204"/>
      <c r="LLW31" s="204"/>
      <c r="LLX31" s="204"/>
      <c r="LLY31" s="204"/>
      <c r="LLZ31" s="204"/>
      <c r="LMA31" s="204"/>
      <c r="LMB31" s="204"/>
      <c r="LMC31" s="204"/>
      <c r="LMD31" s="204"/>
      <c r="LME31" s="204"/>
      <c r="LMF31" s="204"/>
      <c r="LMG31" s="204"/>
      <c r="LMH31" s="204"/>
      <c r="LMI31" s="204"/>
      <c r="LMJ31" s="204"/>
      <c r="LMK31" s="204"/>
      <c r="LML31" s="204"/>
      <c r="LMM31" s="204"/>
      <c r="LMN31" s="204"/>
      <c r="LMO31" s="204"/>
      <c r="LMP31" s="204"/>
      <c r="LMQ31" s="204"/>
      <c r="LMR31" s="204"/>
      <c r="LMS31" s="204"/>
      <c r="LMT31" s="204"/>
      <c r="LMU31" s="204"/>
      <c r="LMV31" s="204"/>
      <c r="LMW31" s="204"/>
      <c r="LMX31" s="204"/>
      <c r="LMY31" s="204"/>
      <c r="LMZ31" s="204"/>
      <c r="LNA31" s="204"/>
      <c r="LNB31" s="204"/>
      <c r="LNC31" s="204"/>
      <c r="LND31" s="204"/>
      <c r="LNE31" s="204"/>
      <c r="LNF31" s="204"/>
      <c r="LNG31" s="204"/>
      <c r="LNH31" s="204"/>
      <c r="LNI31" s="204"/>
      <c r="LNJ31" s="204"/>
      <c r="LNK31" s="204"/>
      <c r="LNL31" s="204"/>
      <c r="LNM31" s="204"/>
      <c r="LNN31" s="204"/>
      <c r="LNO31" s="204"/>
      <c r="LNP31" s="204"/>
      <c r="LNQ31" s="204"/>
      <c r="LNR31" s="204"/>
      <c r="LNS31" s="204"/>
      <c r="LNT31" s="204"/>
      <c r="LNU31" s="204"/>
      <c r="LNV31" s="204"/>
      <c r="LNW31" s="204"/>
      <c r="LNX31" s="204"/>
      <c r="LNY31" s="204"/>
      <c r="LNZ31" s="204"/>
      <c r="LOA31" s="204"/>
      <c r="LOB31" s="204"/>
      <c r="LOC31" s="204"/>
      <c r="LOD31" s="204"/>
      <c r="LOE31" s="204"/>
      <c r="LOF31" s="204"/>
      <c r="LOG31" s="204"/>
      <c r="LOH31" s="204"/>
      <c r="LOI31" s="204"/>
      <c r="LOJ31" s="204"/>
      <c r="LOK31" s="204"/>
      <c r="LOL31" s="204"/>
      <c r="LOM31" s="204"/>
      <c r="LON31" s="204"/>
      <c r="LOO31" s="204"/>
      <c r="LOP31" s="204"/>
      <c r="LOQ31" s="204"/>
      <c r="LOR31" s="204"/>
      <c r="LOS31" s="204"/>
      <c r="LOT31" s="204"/>
      <c r="LOU31" s="204"/>
      <c r="LOV31" s="204"/>
      <c r="LOW31" s="204"/>
      <c r="LOX31" s="204"/>
      <c r="LOY31" s="204"/>
      <c r="LOZ31" s="204"/>
      <c r="LPA31" s="204"/>
      <c r="LPB31" s="204"/>
      <c r="LPC31" s="204"/>
      <c r="LPD31" s="204"/>
      <c r="LPE31" s="204"/>
      <c r="LPF31" s="204"/>
      <c r="LPG31" s="204"/>
      <c r="LPH31" s="204"/>
      <c r="LPI31" s="204"/>
      <c r="LPJ31" s="204"/>
      <c r="LPK31" s="204"/>
      <c r="LPL31" s="204"/>
      <c r="LPM31" s="204"/>
      <c r="LPN31" s="204"/>
      <c r="LPO31" s="204"/>
      <c r="LPP31" s="204"/>
      <c r="LPQ31" s="204"/>
      <c r="LPR31" s="204"/>
      <c r="LPS31" s="204"/>
      <c r="LPT31" s="204"/>
      <c r="LPU31" s="204"/>
      <c r="LPV31" s="204"/>
      <c r="LPW31" s="204"/>
      <c r="LPX31" s="204"/>
      <c r="LPY31" s="204"/>
      <c r="LPZ31" s="204"/>
      <c r="LQA31" s="204"/>
      <c r="LQB31" s="204"/>
      <c r="LQC31" s="204"/>
      <c r="LQD31" s="204"/>
      <c r="LQE31" s="204"/>
      <c r="LQF31" s="204"/>
      <c r="LQG31" s="204"/>
      <c r="LQH31" s="204"/>
      <c r="LQI31" s="204"/>
      <c r="LQJ31" s="204"/>
      <c r="LQK31" s="204"/>
      <c r="LQL31" s="204"/>
      <c r="LQM31" s="204"/>
      <c r="LQN31" s="204"/>
      <c r="LQO31" s="204"/>
      <c r="LQP31" s="204"/>
      <c r="LQQ31" s="204"/>
      <c r="LQR31" s="204"/>
      <c r="LQS31" s="204"/>
      <c r="LQT31" s="204"/>
      <c r="LQU31" s="204"/>
      <c r="LQV31" s="204"/>
      <c r="LQW31" s="204"/>
      <c r="LQX31" s="204"/>
      <c r="LQY31" s="204"/>
      <c r="LQZ31" s="204"/>
      <c r="LRA31" s="204"/>
      <c r="LRB31" s="204"/>
      <c r="LRC31" s="204"/>
      <c r="LRD31" s="204"/>
      <c r="LRE31" s="204"/>
      <c r="LRF31" s="204"/>
      <c r="LRG31" s="204"/>
      <c r="LRH31" s="204"/>
      <c r="LRI31" s="204"/>
      <c r="LRJ31" s="204"/>
      <c r="LRK31" s="204"/>
      <c r="LRL31" s="204"/>
      <c r="LRM31" s="204"/>
      <c r="LRN31" s="204"/>
      <c r="LRO31" s="204"/>
      <c r="LRP31" s="204"/>
      <c r="LRQ31" s="204"/>
      <c r="LRR31" s="204"/>
      <c r="LRS31" s="204"/>
      <c r="LRT31" s="204"/>
      <c r="LRU31" s="204"/>
      <c r="LRV31" s="204"/>
      <c r="LRW31" s="204"/>
      <c r="LRX31" s="204"/>
      <c r="LRY31" s="204"/>
      <c r="LRZ31" s="204"/>
      <c r="LSA31" s="204"/>
      <c r="LSB31" s="204"/>
      <c r="LSC31" s="204"/>
      <c r="LSD31" s="204"/>
      <c r="LSE31" s="204"/>
      <c r="LSF31" s="204"/>
      <c r="LSG31" s="204"/>
      <c r="LSH31" s="204"/>
      <c r="LSI31" s="204"/>
      <c r="LSJ31" s="204"/>
      <c r="LSK31" s="204"/>
      <c r="LSL31" s="204"/>
      <c r="LSM31" s="204"/>
      <c r="LSN31" s="204"/>
      <c r="LSO31" s="204"/>
      <c r="LSP31" s="204"/>
      <c r="LSQ31" s="204"/>
      <c r="LSR31" s="204"/>
      <c r="LSS31" s="204"/>
      <c r="LST31" s="204"/>
      <c r="LSU31" s="204"/>
      <c r="LSV31" s="204"/>
      <c r="LSW31" s="204"/>
      <c r="LSX31" s="204"/>
      <c r="LSY31" s="204"/>
      <c r="LSZ31" s="204"/>
      <c r="LTA31" s="204"/>
      <c r="LTB31" s="204"/>
      <c r="LTC31" s="204"/>
      <c r="LTD31" s="204"/>
      <c r="LTE31" s="204"/>
      <c r="LTF31" s="204"/>
      <c r="LTG31" s="204"/>
      <c r="LTH31" s="204"/>
      <c r="LTI31" s="204"/>
      <c r="LTJ31" s="204"/>
      <c r="LTK31" s="204"/>
      <c r="LTL31" s="204"/>
      <c r="LTM31" s="204"/>
      <c r="LTN31" s="204"/>
      <c r="LTO31" s="204"/>
      <c r="LTP31" s="204"/>
      <c r="LTQ31" s="204"/>
      <c r="LTR31" s="204"/>
      <c r="LTS31" s="204"/>
      <c r="LTT31" s="204"/>
      <c r="LTU31" s="204"/>
      <c r="LTV31" s="204"/>
      <c r="LTW31" s="204"/>
      <c r="LTX31" s="204"/>
      <c r="LTY31" s="204"/>
      <c r="LTZ31" s="204"/>
      <c r="LUA31" s="204"/>
      <c r="LUB31" s="204"/>
      <c r="LUC31" s="204"/>
      <c r="LUD31" s="204"/>
      <c r="LUE31" s="204"/>
      <c r="LUF31" s="204"/>
      <c r="LUG31" s="204"/>
      <c r="LUH31" s="204"/>
      <c r="LUI31" s="204"/>
      <c r="LUJ31" s="204"/>
      <c r="LUK31" s="204"/>
      <c r="LUL31" s="204"/>
      <c r="LUM31" s="204"/>
      <c r="LUN31" s="204"/>
      <c r="LUO31" s="204"/>
      <c r="LUP31" s="204"/>
      <c r="LUQ31" s="204"/>
      <c r="LUR31" s="204"/>
      <c r="LUS31" s="204"/>
      <c r="LUT31" s="204"/>
      <c r="LUU31" s="204"/>
      <c r="LUV31" s="204"/>
      <c r="LUW31" s="204"/>
      <c r="LUX31" s="204"/>
      <c r="LUY31" s="204"/>
      <c r="LUZ31" s="204"/>
      <c r="LVA31" s="204"/>
      <c r="LVB31" s="204"/>
      <c r="LVC31" s="204"/>
      <c r="LVD31" s="204"/>
      <c r="LVE31" s="204"/>
      <c r="LVF31" s="204"/>
      <c r="LVG31" s="204"/>
      <c r="LVH31" s="204"/>
      <c r="LVI31" s="204"/>
      <c r="LVJ31" s="204"/>
      <c r="LVK31" s="204"/>
      <c r="LVL31" s="204"/>
      <c r="LVM31" s="204"/>
      <c r="LVN31" s="204"/>
      <c r="LVO31" s="204"/>
      <c r="LVP31" s="204"/>
      <c r="LVQ31" s="204"/>
      <c r="LVR31" s="204"/>
      <c r="LVS31" s="204"/>
      <c r="LVT31" s="204"/>
      <c r="LVU31" s="204"/>
      <c r="LVV31" s="204"/>
      <c r="LVW31" s="204"/>
      <c r="LVX31" s="204"/>
      <c r="LVY31" s="204"/>
      <c r="LVZ31" s="204"/>
      <c r="LWA31" s="204"/>
      <c r="LWB31" s="204"/>
      <c r="LWC31" s="204"/>
      <c r="LWD31" s="204"/>
      <c r="LWE31" s="204"/>
      <c r="LWF31" s="204"/>
      <c r="LWG31" s="204"/>
      <c r="LWH31" s="204"/>
      <c r="LWI31" s="204"/>
      <c r="LWJ31" s="204"/>
      <c r="LWK31" s="204"/>
      <c r="LWL31" s="204"/>
      <c r="LWM31" s="204"/>
      <c r="LWN31" s="204"/>
      <c r="LWO31" s="204"/>
      <c r="LWP31" s="204"/>
      <c r="LWQ31" s="204"/>
      <c r="LWR31" s="204"/>
      <c r="LWS31" s="204"/>
      <c r="LWT31" s="204"/>
      <c r="LWU31" s="204"/>
      <c r="LWV31" s="204"/>
      <c r="LWW31" s="204"/>
      <c r="LWX31" s="204"/>
      <c r="LWY31" s="204"/>
      <c r="LWZ31" s="204"/>
      <c r="LXA31" s="204"/>
      <c r="LXB31" s="204"/>
      <c r="LXC31" s="204"/>
      <c r="LXD31" s="204"/>
      <c r="LXE31" s="204"/>
      <c r="LXF31" s="204"/>
      <c r="LXG31" s="204"/>
      <c r="LXH31" s="204"/>
      <c r="LXI31" s="204"/>
      <c r="LXJ31" s="204"/>
      <c r="LXK31" s="204"/>
      <c r="LXL31" s="204"/>
      <c r="LXM31" s="204"/>
      <c r="LXN31" s="204"/>
      <c r="LXO31" s="204"/>
      <c r="LXP31" s="204"/>
      <c r="LXQ31" s="204"/>
      <c r="LXR31" s="204"/>
      <c r="LXS31" s="204"/>
      <c r="LXT31" s="204"/>
      <c r="LXU31" s="204"/>
      <c r="LXV31" s="204"/>
      <c r="LXW31" s="204"/>
      <c r="LXX31" s="204"/>
      <c r="LXY31" s="204"/>
      <c r="LXZ31" s="204"/>
      <c r="LYA31" s="204"/>
      <c r="LYB31" s="204"/>
      <c r="LYC31" s="204"/>
      <c r="LYD31" s="204"/>
      <c r="LYE31" s="204"/>
      <c r="LYF31" s="204"/>
      <c r="LYG31" s="204"/>
      <c r="LYH31" s="204"/>
      <c r="LYI31" s="204"/>
      <c r="LYJ31" s="204"/>
      <c r="LYK31" s="204"/>
      <c r="LYL31" s="204"/>
      <c r="LYM31" s="204"/>
      <c r="LYN31" s="204"/>
      <c r="LYO31" s="204"/>
      <c r="LYP31" s="204"/>
      <c r="LYQ31" s="204"/>
      <c r="LYR31" s="204"/>
      <c r="LYS31" s="204"/>
      <c r="LYT31" s="204"/>
      <c r="LYU31" s="204"/>
      <c r="LYV31" s="204"/>
      <c r="LYW31" s="204"/>
      <c r="LYX31" s="204"/>
      <c r="LYY31" s="204"/>
      <c r="LYZ31" s="204"/>
      <c r="LZA31" s="204"/>
      <c r="LZB31" s="204"/>
      <c r="LZC31" s="204"/>
      <c r="LZD31" s="204"/>
      <c r="LZE31" s="204"/>
      <c r="LZF31" s="204"/>
      <c r="LZG31" s="204"/>
      <c r="LZH31" s="204"/>
      <c r="LZI31" s="204"/>
      <c r="LZJ31" s="204"/>
      <c r="LZK31" s="204"/>
      <c r="LZL31" s="204"/>
      <c r="LZM31" s="204"/>
      <c r="LZN31" s="204"/>
      <c r="LZO31" s="204"/>
      <c r="LZP31" s="204"/>
      <c r="LZQ31" s="204"/>
      <c r="LZR31" s="204"/>
      <c r="LZS31" s="204"/>
      <c r="LZT31" s="204"/>
      <c r="LZU31" s="204"/>
      <c r="LZV31" s="204"/>
      <c r="LZW31" s="204"/>
      <c r="LZX31" s="204"/>
      <c r="LZY31" s="204"/>
      <c r="LZZ31" s="204"/>
      <c r="MAA31" s="204"/>
      <c r="MAB31" s="204"/>
      <c r="MAC31" s="204"/>
      <c r="MAD31" s="204"/>
      <c r="MAE31" s="204"/>
      <c r="MAF31" s="204"/>
      <c r="MAG31" s="204"/>
      <c r="MAH31" s="204"/>
      <c r="MAI31" s="204"/>
      <c r="MAJ31" s="204"/>
      <c r="MAK31" s="204"/>
      <c r="MAL31" s="204"/>
      <c r="MAM31" s="204"/>
      <c r="MAN31" s="204"/>
      <c r="MAO31" s="204"/>
      <c r="MAP31" s="204"/>
      <c r="MAQ31" s="204"/>
      <c r="MAR31" s="204"/>
      <c r="MAS31" s="204"/>
      <c r="MAT31" s="204"/>
      <c r="MAU31" s="204"/>
      <c r="MAV31" s="204"/>
      <c r="MAW31" s="204"/>
      <c r="MAX31" s="204"/>
      <c r="MAY31" s="204"/>
      <c r="MAZ31" s="204"/>
      <c r="MBA31" s="204"/>
      <c r="MBB31" s="204"/>
      <c r="MBC31" s="204"/>
      <c r="MBD31" s="204"/>
      <c r="MBE31" s="204"/>
      <c r="MBF31" s="204"/>
      <c r="MBG31" s="204"/>
      <c r="MBH31" s="204"/>
      <c r="MBI31" s="204"/>
      <c r="MBJ31" s="204"/>
      <c r="MBK31" s="204"/>
      <c r="MBL31" s="204"/>
      <c r="MBM31" s="204"/>
      <c r="MBN31" s="204"/>
      <c r="MBO31" s="204"/>
      <c r="MBP31" s="204"/>
      <c r="MBQ31" s="204"/>
      <c r="MBR31" s="204"/>
      <c r="MBS31" s="204"/>
      <c r="MBT31" s="204"/>
      <c r="MBU31" s="204"/>
      <c r="MBV31" s="204"/>
      <c r="MBW31" s="204"/>
      <c r="MBX31" s="204"/>
      <c r="MBY31" s="204"/>
      <c r="MBZ31" s="204"/>
      <c r="MCA31" s="204"/>
      <c r="MCB31" s="204"/>
      <c r="MCC31" s="204"/>
      <c r="MCD31" s="204"/>
      <c r="MCE31" s="204"/>
      <c r="MCF31" s="204"/>
      <c r="MCG31" s="204"/>
      <c r="MCH31" s="204"/>
      <c r="MCI31" s="204"/>
      <c r="MCJ31" s="204"/>
      <c r="MCK31" s="204"/>
      <c r="MCL31" s="204"/>
      <c r="MCM31" s="204"/>
      <c r="MCN31" s="204"/>
      <c r="MCO31" s="204"/>
      <c r="MCP31" s="204"/>
      <c r="MCQ31" s="204"/>
      <c r="MCR31" s="204"/>
      <c r="MCS31" s="204"/>
      <c r="MCT31" s="204"/>
      <c r="MCU31" s="204"/>
      <c r="MCV31" s="204"/>
      <c r="MCW31" s="204"/>
      <c r="MCX31" s="204"/>
      <c r="MCY31" s="204"/>
      <c r="MCZ31" s="204"/>
      <c r="MDA31" s="204"/>
      <c r="MDB31" s="204"/>
      <c r="MDC31" s="204"/>
      <c r="MDD31" s="204"/>
      <c r="MDE31" s="204"/>
      <c r="MDF31" s="204"/>
      <c r="MDG31" s="204"/>
      <c r="MDH31" s="204"/>
      <c r="MDI31" s="204"/>
      <c r="MDJ31" s="204"/>
      <c r="MDK31" s="204"/>
      <c r="MDL31" s="204"/>
      <c r="MDM31" s="204"/>
      <c r="MDN31" s="204"/>
      <c r="MDO31" s="204"/>
      <c r="MDP31" s="204"/>
      <c r="MDQ31" s="204"/>
      <c r="MDR31" s="204"/>
      <c r="MDS31" s="204"/>
      <c r="MDT31" s="204"/>
      <c r="MDU31" s="204"/>
      <c r="MDV31" s="204"/>
      <c r="MDW31" s="204"/>
      <c r="MDX31" s="204"/>
      <c r="MDY31" s="204"/>
      <c r="MDZ31" s="204"/>
      <c r="MEA31" s="204"/>
      <c r="MEB31" s="204"/>
      <c r="MEC31" s="204"/>
      <c r="MED31" s="204"/>
      <c r="MEE31" s="204"/>
      <c r="MEF31" s="204"/>
      <c r="MEG31" s="204"/>
      <c r="MEH31" s="204"/>
      <c r="MEI31" s="204"/>
      <c r="MEJ31" s="204"/>
      <c r="MEK31" s="204"/>
      <c r="MEL31" s="204"/>
      <c r="MEM31" s="204"/>
      <c r="MEN31" s="204"/>
      <c r="MEO31" s="204"/>
      <c r="MEP31" s="204"/>
      <c r="MEQ31" s="204"/>
      <c r="MER31" s="204"/>
      <c r="MES31" s="204"/>
      <c r="MET31" s="204"/>
      <c r="MEU31" s="204"/>
      <c r="MEV31" s="204"/>
      <c r="MEW31" s="204"/>
      <c r="MEX31" s="204"/>
      <c r="MEY31" s="204"/>
      <c r="MEZ31" s="204"/>
      <c r="MFA31" s="204"/>
      <c r="MFB31" s="204"/>
      <c r="MFC31" s="204"/>
      <c r="MFD31" s="204"/>
      <c r="MFE31" s="204"/>
      <c r="MFF31" s="204"/>
      <c r="MFG31" s="204"/>
      <c r="MFH31" s="204"/>
      <c r="MFI31" s="204"/>
      <c r="MFJ31" s="204"/>
      <c r="MFK31" s="204"/>
      <c r="MFL31" s="204"/>
      <c r="MFM31" s="204"/>
      <c r="MFN31" s="204"/>
      <c r="MFO31" s="204"/>
      <c r="MFP31" s="204"/>
      <c r="MFQ31" s="204"/>
      <c r="MFR31" s="204"/>
      <c r="MFS31" s="204"/>
      <c r="MFT31" s="204"/>
      <c r="MFU31" s="204"/>
      <c r="MFV31" s="204"/>
      <c r="MFW31" s="204"/>
      <c r="MFX31" s="204"/>
      <c r="MFY31" s="204"/>
      <c r="MFZ31" s="204"/>
      <c r="MGA31" s="204"/>
      <c r="MGB31" s="204"/>
      <c r="MGC31" s="204"/>
      <c r="MGD31" s="204"/>
      <c r="MGE31" s="204"/>
      <c r="MGF31" s="204"/>
      <c r="MGG31" s="204"/>
      <c r="MGH31" s="204"/>
      <c r="MGI31" s="204"/>
      <c r="MGJ31" s="204"/>
      <c r="MGK31" s="204"/>
      <c r="MGL31" s="204"/>
      <c r="MGM31" s="204"/>
      <c r="MGN31" s="204"/>
      <c r="MGO31" s="204"/>
      <c r="MGP31" s="204"/>
      <c r="MGQ31" s="204"/>
      <c r="MGR31" s="204"/>
      <c r="MGS31" s="204"/>
      <c r="MGT31" s="204"/>
      <c r="MGU31" s="204"/>
      <c r="MGV31" s="204"/>
      <c r="MGW31" s="204"/>
      <c r="MGX31" s="204"/>
      <c r="MGY31" s="204"/>
      <c r="MGZ31" s="204"/>
      <c r="MHA31" s="204"/>
      <c r="MHB31" s="204"/>
      <c r="MHC31" s="204"/>
      <c r="MHD31" s="204"/>
      <c r="MHE31" s="204"/>
      <c r="MHF31" s="204"/>
      <c r="MHG31" s="204"/>
      <c r="MHH31" s="204"/>
      <c r="MHI31" s="204"/>
      <c r="MHJ31" s="204"/>
      <c r="MHK31" s="204"/>
      <c r="MHL31" s="204"/>
      <c r="MHM31" s="204"/>
      <c r="MHN31" s="204"/>
      <c r="MHO31" s="204"/>
      <c r="MHP31" s="204"/>
      <c r="MHQ31" s="204"/>
      <c r="MHR31" s="204"/>
      <c r="MHS31" s="204"/>
      <c r="MHT31" s="204"/>
      <c r="MHU31" s="204"/>
      <c r="MHV31" s="204"/>
      <c r="MHW31" s="204"/>
      <c r="MHX31" s="204"/>
      <c r="MHY31" s="204"/>
      <c r="MHZ31" s="204"/>
      <c r="MIA31" s="204"/>
      <c r="MIB31" s="204"/>
      <c r="MIC31" s="204"/>
      <c r="MID31" s="204"/>
      <c r="MIE31" s="204"/>
      <c r="MIF31" s="204"/>
      <c r="MIG31" s="204"/>
      <c r="MIH31" s="204"/>
      <c r="MII31" s="204"/>
      <c r="MIJ31" s="204"/>
      <c r="MIK31" s="204"/>
      <c r="MIL31" s="204"/>
      <c r="MIM31" s="204"/>
      <c r="MIN31" s="204"/>
      <c r="MIO31" s="204"/>
      <c r="MIP31" s="204"/>
      <c r="MIQ31" s="204"/>
      <c r="MIR31" s="204"/>
      <c r="MIS31" s="204"/>
      <c r="MIT31" s="204"/>
      <c r="MIU31" s="204"/>
      <c r="MIV31" s="204"/>
      <c r="MIW31" s="204"/>
      <c r="MIX31" s="204"/>
      <c r="MIY31" s="204"/>
      <c r="MIZ31" s="204"/>
      <c r="MJA31" s="204"/>
      <c r="MJB31" s="204"/>
      <c r="MJC31" s="204"/>
      <c r="MJD31" s="204"/>
      <c r="MJE31" s="204"/>
      <c r="MJF31" s="204"/>
      <c r="MJG31" s="204"/>
      <c r="MJH31" s="204"/>
      <c r="MJI31" s="204"/>
      <c r="MJJ31" s="204"/>
      <c r="MJK31" s="204"/>
      <c r="MJL31" s="204"/>
      <c r="MJM31" s="204"/>
      <c r="MJN31" s="204"/>
      <c r="MJO31" s="204"/>
      <c r="MJP31" s="204"/>
      <c r="MJQ31" s="204"/>
      <c r="MJR31" s="204"/>
      <c r="MJS31" s="204"/>
      <c r="MJT31" s="204"/>
      <c r="MJU31" s="204"/>
      <c r="MJV31" s="204"/>
      <c r="MJW31" s="204"/>
      <c r="MJX31" s="204"/>
      <c r="MJY31" s="204"/>
      <c r="MJZ31" s="204"/>
      <c r="MKA31" s="204"/>
      <c r="MKB31" s="204"/>
      <c r="MKC31" s="204"/>
      <c r="MKD31" s="204"/>
      <c r="MKE31" s="204"/>
      <c r="MKF31" s="204"/>
      <c r="MKG31" s="204"/>
      <c r="MKH31" s="204"/>
      <c r="MKI31" s="204"/>
      <c r="MKJ31" s="204"/>
      <c r="MKK31" s="204"/>
      <c r="MKL31" s="204"/>
      <c r="MKM31" s="204"/>
      <c r="MKN31" s="204"/>
      <c r="MKO31" s="204"/>
      <c r="MKP31" s="204"/>
      <c r="MKQ31" s="204"/>
      <c r="MKR31" s="204"/>
      <c r="MKS31" s="204"/>
      <c r="MKT31" s="204"/>
      <c r="MKU31" s="204"/>
      <c r="MKV31" s="204"/>
      <c r="MKW31" s="204"/>
      <c r="MKX31" s="204"/>
      <c r="MKY31" s="204"/>
      <c r="MKZ31" s="204"/>
      <c r="MLA31" s="204"/>
      <c r="MLB31" s="204"/>
      <c r="MLC31" s="204"/>
      <c r="MLD31" s="204"/>
      <c r="MLE31" s="204"/>
      <c r="MLF31" s="204"/>
      <c r="MLG31" s="204"/>
      <c r="MLH31" s="204"/>
      <c r="MLI31" s="204"/>
      <c r="MLJ31" s="204"/>
      <c r="MLK31" s="204"/>
      <c r="MLL31" s="204"/>
      <c r="MLM31" s="204"/>
      <c r="MLN31" s="204"/>
      <c r="MLO31" s="204"/>
      <c r="MLP31" s="204"/>
      <c r="MLQ31" s="204"/>
      <c r="MLR31" s="204"/>
      <c r="MLS31" s="204"/>
      <c r="MLT31" s="204"/>
      <c r="MLU31" s="204"/>
      <c r="MLV31" s="204"/>
      <c r="MLW31" s="204"/>
      <c r="MLX31" s="204"/>
      <c r="MLY31" s="204"/>
      <c r="MLZ31" s="204"/>
      <c r="MMA31" s="204"/>
      <c r="MMB31" s="204"/>
      <c r="MMC31" s="204"/>
      <c r="MMD31" s="204"/>
      <c r="MME31" s="204"/>
      <c r="MMF31" s="204"/>
      <c r="MMG31" s="204"/>
      <c r="MMH31" s="204"/>
      <c r="MMI31" s="204"/>
      <c r="MMJ31" s="204"/>
      <c r="MMK31" s="204"/>
      <c r="MML31" s="204"/>
      <c r="MMM31" s="204"/>
      <c r="MMN31" s="204"/>
      <c r="MMO31" s="204"/>
      <c r="MMP31" s="204"/>
      <c r="MMQ31" s="204"/>
      <c r="MMR31" s="204"/>
      <c r="MMS31" s="204"/>
      <c r="MMT31" s="204"/>
      <c r="MMU31" s="204"/>
      <c r="MMV31" s="204"/>
      <c r="MMW31" s="204"/>
      <c r="MMX31" s="204"/>
      <c r="MMY31" s="204"/>
      <c r="MMZ31" s="204"/>
      <c r="MNA31" s="204"/>
      <c r="MNB31" s="204"/>
      <c r="MNC31" s="204"/>
      <c r="MND31" s="204"/>
      <c r="MNE31" s="204"/>
      <c r="MNF31" s="204"/>
      <c r="MNG31" s="204"/>
      <c r="MNH31" s="204"/>
      <c r="MNI31" s="204"/>
      <c r="MNJ31" s="204"/>
      <c r="MNK31" s="204"/>
      <c r="MNL31" s="204"/>
      <c r="MNM31" s="204"/>
      <c r="MNN31" s="204"/>
      <c r="MNO31" s="204"/>
      <c r="MNP31" s="204"/>
      <c r="MNQ31" s="204"/>
      <c r="MNR31" s="204"/>
      <c r="MNS31" s="204"/>
      <c r="MNT31" s="204"/>
      <c r="MNU31" s="204"/>
      <c r="MNV31" s="204"/>
      <c r="MNW31" s="204"/>
      <c r="MNX31" s="204"/>
      <c r="MNY31" s="204"/>
      <c r="MNZ31" s="204"/>
      <c r="MOA31" s="204"/>
      <c r="MOB31" s="204"/>
      <c r="MOC31" s="204"/>
      <c r="MOD31" s="204"/>
      <c r="MOE31" s="204"/>
      <c r="MOF31" s="204"/>
      <c r="MOG31" s="204"/>
      <c r="MOH31" s="204"/>
      <c r="MOI31" s="204"/>
      <c r="MOJ31" s="204"/>
      <c r="MOK31" s="204"/>
      <c r="MOL31" s="204"/>
      <c r="MOM31" s="204"/>
      <c r="MON31" s="204"/>
      <c r="MOO31" s="204"/>
      <c r="MOP31" s="204"/>
      <c r="MOQ31" s="204"/>
      <c r="MOR31" s="204"/>
      <c r="MOS31" s="204"/>
      <c r="MOT31" s="204"/>
      <c r="MOU31" s="204"/>
      <c r="MOV31" s="204"/>
      <c r="MOW31" s="204"/>
      <c r="MOX31" s="204"/>
      <c r="MOY31" s="204"/>
      <c r="MOZ31" s="204"/>
      <c r="MPA31" s="204"/>
      <c r="MPB31" s="204"/>
      <c r="MPC31" s="204"/>
      <c r="MPD31" s="204"/>
      <c r="MPE31" s="204"/>
      <c r="MPF31" s="204"/>
      <c r="MPG31" s="204"/>
      <c r="MPH31" s="204"/>
      <c r="MPI31" s="204"/>
      <c r="MPJ31" s="204"/>
      <c r="MPK31" s="204"/>
      <c r="MPL31" s="204"/>
      <c r="MPM31" s="204"/>
      <c r="MPN31" s="204"/>
      <c r="MPO31" s="204"/>
      <c r="MPP31" s="204"/>
      <c r="MPQ31" s="204"/>
      <c r="MPR31" s="204"/>
      <c r="MPS31" s="204"/>
      <c r="MPT31" s="204"/>
      <c r="MPU31" s="204"/>
      <c r="MPV31" s="204"/>
      <c r="MPW31" s="204"/>
      <c r="MPX31" s="204"/>
      <c r="MPY31" s="204"/>
      <c r="MPZ31" s="204"/>
      <c r="MQA31" s="204"/>
      <c r="MQB31" s="204"/>
      <c r="MQC31" s="204"/>
      <c r="MQD31" s="204"/>
      <c r="MQE31" s="204"/>
      <c r="MQF31" s="204"/>
      <c r="MQG31" s="204"/>
      <c r="MQH31" s="204"/>
      <c r="MQI31" s="204"/>
      <c r="MQJ31" s="204"/>
      <c r="MQK31" s="204"/>
      <c r="MQL31" s="204"/>
      <c r="MQM31" s="204"/>
      <c r="MQN31" s="204"/>
      <c r="MQO31" s="204"/>
      <c r="MQP31" s="204"/>
      <c r="MQQ31" s="204"/>
      <c r="MQR31" s="204"/>
      <c r="MQS31" s="204"/>
      <c r="MQT31" s="204"/>
      <c r="MQU31" s="204"/>
      <c r="MQV31" s="204"/>
      <c r="MQW31" s="204"/>
      <c r="MQX31" s="204"/>
      <c r="MQY31" s="204"/>
      <c r="MQZ31" s="204"/>
      <c r="MRA31" s="204"/>
      <c r="MRB31" s="204"/>
      <c r="MRC31" s="204"/>
      <c r="MRD31" s="204"/>
      <c r="MRE31" s="204"/>
      <c r="MRF31" s="204"/>
      <c r="MRG31" s="204"/>
      <c r="MRH31" s="204"/>
      <c r="MRI31" s="204"/>
      <c r="MRJ31" s="204"/>
      <c r="MRK31" s="204"/>
      <c r="MRL31" s="204"/>
      <c r="MRM31" s="204"/>
      <c r="MRN31" s="204"/>
      <c r="MRO31" s="204"/>
      <c r="MRP31" s="204"/>
      <c r="MRQ31" s="204"/>
      <c r="MRR31" s="204"/>
      <c r="MRS31" s="204"/>
      <c r="MRT31" s="204"/>
      <c r="MRU31" s="204"/>
      <c r="MRV31" s="204"/>
      <c r="MRW31" s="204"/>
      <c r="MRX31" s="204"/>
      <c r="MRY31" s="204"/>
      <c r="MRZ31" s="204"/>
      <c r="MSA31" s="204"/>
      <c r="MSB31" s="204"/>
      <c r="MSC31" s="204"/>
      <c r="MSD31" s="204"/>
      <c r="MSE31" s="204"/>
      <c r="MSF31" s="204"/>
      <c r="MSG31" s="204"/>
      <c r="MSH31" s="204"/>
      <c r="MSI31" s="204"/>
      <c r="MSJ31" s="204"/>
      <c r="MSK31" s="204"/>
      <c r="MSL31" s="204"/>
      <c r="MSM31" s="204"/>
      <c r="MSN31" s="204"/>
      <c r="MSO31" s="204"/>
      <c r="MSP31" s="204"/>
      <c r="MSQ31" s="204"/>
      <c r="MSR31" s="204"/>
      <c r="MSS31" s="204"/>
      <c r="MST31" s="204"/>
      <c r="MSU31" s="204"/>
      <c r="MSV31" s="204"/>
      <c r="MSW31" s="204"/>
      <c r="MSX31" s="204"/>
      <c r="MSY31" s="204"/>
      <c r="MSZ31" s="204"/>
      <c r="MTA31" s="204"/>
      <c r="MTB31" s="204"/>
      <c r="MTC31" s="204"/>
      <c r="MTD31" s="204"/>
      <c r="MTE31" s="204"/>
      <c r="MTF31" s="204"/>
      <c r="MTG31" s="204"/>
      <c r="MTH31" s="204"/>
      <c r="MTI31" s="204"/>
      <c r="MTJ31" s="204"/>
      <c r="MTK31" s="204"/>
      <c r="MTL31" s="204"/>
      <c r="MTM31" s="204"/>
      <c r="MTN31" s="204"/>
      <c r="MTO31" s="204"/>
      <c r="MTP31" s="204"/>
      <c r="MTQ31" s="204"/>
      <c r="MTR31" s="204"/>
      <c r="MTS31" s="204"/>
      <c r="MTT31" s="204"/>
      <c r="MTU31" s="204"/>
      <c r="MTV31" s="204"/>
      <c r="MTW31" s="204"/>
      <c r="MTX31" s="204"/>
      <c r="MTY31" s="204"/>
      <c r="MTZ31" s="204"/>
      <c r="MUA31" s="204"/>
      <c r="MUB31" s="204"/>
      <c r="MUC31" s="204"/>
      <c r="MUD31" s="204"/>
      <c r="MUE31" s="204"/>
      <c r="MUF31" s="204"/>
      <c r="MUG31" s="204"/>
      <c r="MUH31" s="204"/>
      <c r="MUI31" s="204"/>
      <c r="MUJ31" s="204"/>
      <c r="MUK31" s="204"/>
      <c r="MUL31" s="204"/>
      <c r="MUM31" s="204"/>
      <c r="MUN31" s="204"/>
      <c r="MUO31" s="204"/>
      <c r="MUP31" s="204"/>
      <c r="MUQ31" s="204"/>
      <c r="MUR31" s="204"/>
      <c r="MUS31" s="204"/>
      <c r="MUT31" s="204"/>
      <c r="MUU31" s="204"/>
      <c r="MUV31" s="204"/>
      <c r="MUW31" s="204"/>
      <c r="MUX31" s="204"/>
      <c r="MUY31" s="204"/>
      <c r="MUZ31" s="204"/>
      <c r="MVA31" s="204"/>
      <c r="MVB31" s="204"/>
      <c r="MVC31" s="204"/>
      <c r="MVD31" s="204"/>
      <c r="MVE31" s="204"/>
      <c r="MVF31" s="204"/>
      <c r="MVG31" s="204"/>
      <c r="MVH31" s="204"/>
      <c r="MVI31" s="204"/>
      <c r="MVJ31" s="204"/>
      <c r="MVK31" s="204"/>
      <c r="MVL31" s="204"/>
      <c r="MVM31" s="204"/>
      <c r="MVN31" s="204"/>
      <c r="MVO31" s="204"/>
      <c r="MVP31" s="204"/>
      <c r="MVQ31" s="204"/>
      <c r="MVR31" s="204"/>
      <c r="MVS31" s="204"/>
      <c r="MVT31" s="204"/>
      <c r="MVU31" s="204"/>
      <c r="MVV31" s="204"/>
      <c r="MVW31" s="204"/>
      <c r="MVX31" s="204"/>
      <c r="MVY31" s="204"/>
      <c r="MVZ31" s="204"/>
      <c r="MWA31" s="204"/>
      <c r="MWB31" s="204"/>
      <c r="MWC31" s="204"/>
      <c r="MWD31" s="204"/>
      <c r="MWE31" s="204"/>
      <c r="MWF31" s="204"/>
      <c r="MWG31" s="204"/>
      <c r="MWH31" s="204"/>
      <c r="MWI31" s="204"/>
      <c r="MWJ31" s="204"/>
      <c r="MWK31" s="204"/>
      <c r="MWL31" s="204"/>
      <c r="MWM31" s="204"/>
      <c r="MWN31" s="204"/>
      <c r="MWO31" s="204"/>
      <c r="MWP31" s="204"/>
      <c r="MWQ31" s="204"/>
      <c r="MWR31" s="204"/>
      <c r="MWS31" s="204"/>
      <c r="MWT31" s="204"/>
      <c r="MWU31" s="204"/>
      <c r="MWV31" s="204"/>
      <c r="MWW31" s="204"/>
      <c r="MWX31" s="204"/>
      <c r="MWY31" s="204"/>
      <c r="MWZ31" s="204"/>
      <c r="MXA31" s="204"/>
      <c r="MXB31" s="204"/>
      <c r="MXC31" s="204"/>
      <c r="MXD31" s="204"/>
      <c r="MXE31" s="204"/>
      <c r="MXF31" s="204"/>
      <c r="MXG31" s="204"/>
      <c r="MXH31" s="204"/>
      <c r="MXI31" s="204"/>
      <c r="MXJ31" s="204"/>
      <c r="MXK31" s="204"/>
      <c r="MXL31" s="204"/>
      <c r="MXM31" s="204"/>
      <c r="MXN31" s="204"/>
      <c r="MXO31" s="204"/>
      <c r="MXP31" s="204"/>
      <c r="MXQ31" s="204"/>
      <c r="MXR31" s="204"/>
      <c r="MXS31" s="204"/>
      <c r="MXT31" s="204"/>
      <c r="MXU31" s="204"/>
      <c r="MXV31" s="204"/>
      <c r="MXW31" s="204"/>
      <c r="MXX31" s="204"/>
      <c r="MXY31" s="204"/>
      <c r="MXZ31" s="204"/>
      <c r="MYA31" s="204"/>
      <c r="MYB31" s="204"/>
      <c r="MYC31" s="204"/>
      <c r="MYD31" s="204"/>
      <c r="MYE31" s="204"/>
      <c r="MYF31" s="204"/>
      <c r="MYG31" s="204"/>
      <c r="MYH31" s="204"/>
      <c r="MYI31" s="204"/>
      <c r="MYJ31" s="204"/>
      <c r="MYK31" s="204"/>
      <c r="MYL31" s="204"/>
      <c r="MYM31" s="204"/>
      <c r="MYN31" s="204"/>
      <c r="MYO31" s="204"/>
      <c r="MYP31" s="204"/>
      <c r="MYQ31" s="204"/>
      <c r="MYR31" s="204"/>
      <c r="MYS31" s="204"/>
      <c r="MYT31" s="204"/>
      <c r="MYU31" s="204"/>
      <c r="MYV31" s="204"/>
      <c r="MYW31" s="204"/>
      <c r="MYX31" s="204"/>
      <c r="MYY31" s="204"/>
      <c r="MYZ31" s="204"/>
      <c r="MZA31" s="204"/>
      <c r="MZB31" s="204"/>
      <c r="MZC31" s="204"/>
      <c r="MZD31" s="204"/>
      <c r="MZE31" s="204"/>
      <c r="MZF31" s="204"/>
      <c r="MZG31" s="204"/>
      <c r="MZH31" s="204"/>
      <c r="MZI31" s="204"/>
      <c r="MZJ31" s="204"/>
      <c r="MZK31" s="204"/>
      <c r="MZL31" s="204"/>
      <c r="MZM31" s="204"/>
      <c r="MZN31" s="204"/>
      <c r="MZO31" s="204"/>
      <c r="MZP31" s="204"/>
      <c r="MZQ31" s="204"/>
      <c r="MZR31" s="204"/>
      <c r="MZS31" s="204"/>
      <c r="MZT31" s="204"/>
      <c r="MZU31" s="204"/>
      <c r="MZV31" s="204"/>
      <c r="MZW31" s="204"/>
      <c r="MZX31" s="204"/>
      <c r="MZY31" s="204"/>
      <c r="MZZ31" s="204"/>
      <c r="NAA31" s="204"/>
      <c r="NAB31" s="204"/>
      <c r="NAC31" s="204"/>
      <c r="NAD31" s="204"/>
      <c r="NAE31" s="204"/>
      <c r="NAF31" s="204"/>
      <c r="NAG31" s="204"/>
      <c r="NAH31" s="204"/>
      <c r="NAI31" s="204"/>
      <c r="NAJ31" s="204"/>
      <c r="NAK31" s="204"/>
      <c r="NAL31" s="204"/>
      <c r="NAM31" s="204"/>
      <c r="NAN31" s="204"/>
      <c r="NAO31" s="204"/>
      <c r="NAP31" s="204"/>
      <c r="NAQ31" s="204"/>
      <c r="NAR31" s="204"/>
      <c r="NAS31" s="204"/>
      <c r="NAT31" s="204"/>
      <c r="NAU31" s="204"/>
      <c r="NAV31" s="204"/>
      <c r="NAW31" s="204"/>
      <c r="NAX31" s="204"/>
      <c r="NAY31" s="204"/>
      <c r="NAZ31" s="204"/>
      <c r="NBA31" s="204"/>
      <c r="NBB31" s="204"/>
      <c r="NBC31" s="204"/>
      <c r="NBD31" s="204"/>
      <c r="NBE31" s="204"/>
      <c r="NBF31" s="204"/>
      <c r="NBG31" s="204"/>
      <c r="NBH31" s="204"/>
      <c r="NBI31" s="204"/>
      <c r="NBJ31" s="204"/>
      <c r="NBK31" s="204"/>
      <c r="NBL31" s="204"/>
      <c r="NBM31" s="204"/>
      <c r="NBN31" s="204"/>
      <c r="NBO31" s="204"/>
      <c r="NBP31" s="204"/>
      <c r="NBQ31" s="204"/>
      <c r="NBR31" s="204"/>
      <c r="NBS31" s="204"/>
      <c r="NBT31" s="204"/>
      <c r="NBU31" s="204"/>
      <c r="NBV31" s="204"/>
      <c r="NBW31" s="204"/>
      <c r="NBX31" s="204"/>
      <c r="NBY31" s="204"/>
      <c r="NBZ31" s="204"/>
      <c r="NCA31" s="204"/>
      <c r="NCB31" s="204"/>
      <c r="NCC31" s="204"/>
      <c r="NCD31" s="204"/>
      <c r="NCE31" s="204"/>
      <c r="NCF31" s="204"/>
      <c r="NCG31" s="204"/>
      <c r="NCH31" s="204"/>
      <c r="NCI31" s="204"/>
      <c r="NCJ31" s="204"/>
      <c r="NCK31" s="204"/>
      <c r="NCL31" s="204"/>
      <c r="NCM31" s="204"/>
      <c r="NCN31" s="204"/>
      <c r="NCO31" s="204"/>
      <c r="NCP31" s="204"/>
      <c r="NCQ31" s="204"/>
      <c r="NCR31" s="204"/>
      <c r="NCS31" s="204"/>
      <c r="NCT31" s="204"/>
      <c r="NCU31" s="204"/>
      <c r="NCV31" s="204"/>
      <c r="NCW31" s="204"/>
      <c r="NCX31" s="204"/>
      <c r="NCY31" s="204"/>
      <c r="NCZ31" s="204"/>
      <c r="NDA31" s="204"/>
      <c r="NDB31" s="204"/>
      <c r="NDC31" s="204"/>
      <c r="NDD31" s="204"/>
      <c r="NDE31" s="204"/>
      <c r="NDF31" s="204"/>
      <c r="NDG31" s="204"/>
      <c r="NDH31" s="204"/>
      <c r="NDI31" s="204"/>
      <c r="NDJ31" s="204"/>
      <c r="NDK31" s="204"/>
      <c r="NDL31" s="204"/>
      <c r="NDM31" s="204"/>
      <c r="NDN31" s="204"/>
      <c r="NDO31" s="204"/>
      <c r="NDP31" s="204"/>
      <c r="NDQ31" s="204"/>
      <c r="NDR31" s="204"/>
      <c r="NDS31" s="204"/>
      <c r="NDT31" s="204"/>
      <c r="NDU31" s="204"/>
      <c r="NDV31" s="204"/>
      <c r="NDW31" s="204"/>
      <c r="NDX31" s="204"/>
      <c r="NDY31" s="204"/>
      <c r="NDZ31" s="204"/>
      <c r="NEA31" s="204"/>
      <c r="NEB31" s="204"/>
      <c r="NEC31" s="204"/>
      <c r="NED31" s="204"/>
      <c r="NEE31" s="204"/>
      <c r="NEF31" s="204"/>
      <c r="NEG31" s="204"/>
      <c r="NEH31" s="204"/>
      <c r="NEI31" s="204"/>
      <c r="NEJ31" s="204"/>
      <c r="NEK31" s="204"/>
      <c r="NEL31" s="204"/>
      <c r="NEM31" s="204"/>
      <c r="NEN31" s="204"/>
      <c r="NEO31" s="204"/>
      <c r="NEP31" s="204"/>
      <c r="NEQ31" s="204"/>
      <c r="NER31" s="204"/>
      <c r="NES31" s="204"/>
      <c r="NET31" s="204"/>
      <c r="NEU31" s="204"/>
      <c r="NEV31" s="204"/>
      <c r="NEW31" s="204"/>
      <c r="NEX31" s="204"/>
      <c r="NEY31" s="204"/>
      <c r="NEZ31" s="204"/>
      <c r="NFA31" s="204"/>
      <c r="NFB31" s="204"/>
      <c r="NFC31" s="204"/>
      <c r="NFD31" s="204"/>
      <c r="NFE31" s="204"/>
      <c r="NFF31" s="204"/>
      <c r="NFG31" s="204"/>
      <c r="NFH31" s="204"/>
      <c r="NFI31" s="204"/>
      <c r="NFJ31" s="204"/>
      <c r="NFK31" s="204"/>
      <c r="NFL31" s="204"/>
      <c r="NFM31" s="204"/>
      <c r="NFN31" s="204"/>
      <c r="NFO31" s="204"/>
      <c r="NFP31" s="204"/>
      <c r="NFQ31" s="204"/>
      <c r="NFR31" s="204"/>
      <c r="NFS31" s="204"/>
      <c r="NFT31" s="204"/>
      <c r="NFU31" s="204"/>
      <c r="NFV31" s="204"/>
      <c r="NFW31" s="204"/>
      <c r="NFX31" s="204"/>
      <c r="NFY31" s="204"/>
      <c r="NFZ31" s="204"/>
      <c r="NGA31" s="204"/>
      <c r="NGB31" s="204"/>
      <c r="NGC31" s="204"/>
      <c r="NGD31" s="204"/>
      <c r="NGE31" s="204"/>
      <c r="NGF31" s="204"/>
      <c r="NGG31" s="204"/>
      <c r="NGH31" s="204"/>
      <c r="NGI31" s="204"/>
      <c r="NGJ31" s="204"/>
      <c r="NGK31" s="204"/>
      <c r="NGL31" s="204"/>
      <c r="NGM31" s="204"/>
      <c r="NGN31" s="204"/>
      <c r="NGO31" s="204"/>
      <c r="NGP31" s="204"/>
      <c r="NGQ31" s="204"/>
      <c r="NGR31" s="204"/>
      <c r="NGS31" s="204"/>
      <c r="NGT31" s="204"/>
      <c r="NGU31" s="204"/>
      <c r="NGV31" s="204"/>
      <c r="NGW31" s="204"/>
      <c r="NGX31" s="204"/>
      <c r="NGY31" s="204"/>
      <c r="NGZ31" s="204"/>
      <c r="NHA31" s="204"/>
      <c r="NHB31" s="204"/>
      <c r="NHC31" s="204"/>
      <c r="NHD31" s="204"/>
      <c r="NHE31" s="204"/>
      <c r="NHF31" s="204"/>
      <c r="NHG31" s="204"/>
      <c r="NHH31" s="204"/>
      <c r="NHI31" s="204"/>
      <c r="NHJ31" s="204"/>
      <c r="NHK31" s="204"/>
      <c r="NHL31" s="204"/>
      <c r="NHM31" s="204"/>
      <c r="NHN31" s="204"/>
      <c r="NHO31" s="204"/>
      <c r="NHP31" s="204"/>
      <c r="NHQ31" s="204"/>
      <c r="NHR31" s="204"/>
      <c r="NHS31" s="204"/>
      <c r="NHT31" s="204"/>
      <c r="NHU31" s="204"/>
      <c r="NHV31" s="204"/>
      <c r="NHW31" s="204"/>
      <c r="NHX31" s="204"/>
      <c r="NHY31" s="204"/>
      <c r="NHZ31" s="204"/>
      <c r="NIA31" s="204"/>
      <c r="NIB31" s="204"/>
      <c r="NIC31" s="204"/>
      <c r="NID31" s="204"/>
      <c r="NIE31" s="204"/>
      <c r="NIF31" s="204"/>
      <c r="NIG31" s="204"/>
      <c r="NIH31" s="204"/>
      <c r="NII31" s="204"/>
      <c r="NIJ31" s="204"/>
      <c r="NIK31" s="204"/>
      <c r="NIL31" s="204"/>
      <c r="NIM31" s="204"/>
      <c r="NIN31" s="204"/>
      <c r="NIO31" s="204"/>
      <c r="NIP31" s="204"/>
      <c r="NIQ31" s="204"/>
      <c r="NIR31" s="204"/>
      <c r="NIS31" s="204"/>
      <c r="NIT31" s="204"/>
      <c r="NIU31" s="204"/>
      <c r="NIV31" s="204"/>
      <c r="NIW31" s="204"/>
      <c r="NIX31" s="204"/>
      <c r="NIY31" s="204"/>
      <c r="NIZ31" s="204"/>
      <c r="NJA31" s="204"/>
      <c r="NJB31" s="204"/>
      <c r="NJC31" s="204"/>
      <c r="NJD31" s="204"/>
      <c r="NJE31" s="204"/>
      <c r="NJF31" s="204"/>
      <c r="NJG31" s="204"/>
      <c r="NJH31" s="204"/>
      <c r="NJI31" s="204"/>
      <c r="NJJ31" s="204"/>
      <c r="NJK31" s="204"/>
      <c r="NJL31" s="204"/>
      <c r="NJM31" s="204"/>
      <c r="NJN31" s="204"/>
      <c r="NJO31" s="204"/>
      <c r="NJP31" s="204"/>
      <c r="NJQ31" s="204"/>
      <c r="NJR31" s="204"/>
      <c r="NJS31" s="204"/>
      <c r="NJT31" s="204"/>
      <c r="NJU31" s="204"/>
      <c r="NJV31" s="204"/>
      <c r="NJW31" s="204"/>
      <c r="NJX31" s="204"/>
      <c r="NJY31" s="204"/>
      <c r="NJZ31" s="204"/>
      <c r="NKA31" s="204"/>
      <c r="NKB31" s="204"/>
      <c r="NKC31" s="204"/>
      <c r="NKD31" s="204"/>
      <c r="NKE31" s="204"/>
      <c r="NKF31" s="204"/>
      <c r="NKG31" s="204"/>
      <c r="NKH31" s="204"/>
      <c r="NKI31" s="204"/>
      <c r="NKJ31" s="204"/>
      <c r="NKK31" s="204"/>
      <c r="NKL31" s="204"/>
      <c r="NKM31" s="204"/>
      <c r="NKN31" s="204"/>
      <c r="NKO31" s="204"/>
      <c r="NKP31" s="204"/>
      <c r="NKQ31" s="204"/>
      <c r="NKR31" s="204"/>
      <c r="NKS31" s="204"/>
      <c r="NKT31" s="204"/>
      <c r="NKU31" s="204"/>
      <c r="NKV31" s="204"/>
      <c r="NKW31" s="204"/>
      <c r="NKX31" s="204"/>
      <c r="NKY31" s="204"/>
      <c r="NKZ31" s="204"/>
      <c r="NLA31" s="204"/>
      <c r="NLB31" s="204"/>
      <c r="NLC31" s="204"/>
      <c r="NLD31" s="204"/>
      <c r="NLE31" s="204"/>
      <c r="NLF31" s="204"/>
      <c r="NLG31" s="204"/>
      <c r="NLH31" s="204"/>
      <c r="NLI31" s="204"/>
      <c r="NLJ31" s="204"/>
      <c r="NLK31" s="204"/>
      <c r="NLL31" s="204"/>
      <c r="NLM31" s="204"/>
      <c r="NLN31" s="204"/>
      <c r="NLO31" s="204"/>
      <c r="NLP31" s="204"/>
      <c r="NLQ31" s="204"/>
      <c r="NLR31" s="204"/>
      <c r="NLS31" s="204"/>
      <c r="NLT31" s="204"/>
      <c r="NLU31" s="204"/>
      <c r="NLV31" s="204"/>
      <c r="NLW31" s="204"/>
      <c r="NLX31" s="204"/>
      <c r="NLY31" s="204"/>
      <c r="NLZ31" s="204"/>
      <c r="NMA31" s="204"/>
      <c r="NMB31" s="204"/>
      <c r="NMC31" s="204"/>
      <c r="NMD31" s="204"/>
      <c r="NME31" s="204"/>
      <c r="NMF31" s="204"/>
      <c r="NMG31" s="204"/>
      <c r="NMH31" s="204"/>
      <c r="NMI31" s="204"/>
      <c r="NMJ31" s="204"/>
      <c r="NMK31" s="204"/>
      <c r="NML31" s="204"/>
      <c r="NMM31" s="204"/>
      <c r="NMN31" s="204"/>
      <c r="NMO31" s="204"/>
      <c r="NMP31" s="204"/>
      <c r="NMQ31" s="204"/>
      <c r="NMR31" s="204"/>
      <c r="NMS31" s="204"/>
      <c r="NMT31" s="204"/>
      <c r="NMU31" s="204"/>
      <c r="NMV31" s="204"/>
      <c r="NMW31" s="204"/>
      <c r="NMX31" s="204"/>
      <c r="NMY31" s="204"/>
      <c r="NMZ31" s="204"/>
      <c r="NNA31" s="204"/>
      <c r="NNB31" s="204"/>
      <c r="NNC31" s="204"/>
      <c r="NND31" s="204"/>
      <c r="NNE31" s="204"/>
      <c r="NNF31" s="204"/>
      <c r="NNG31" s="204"/>
      <c r="NNH31" s="204"/>
      <c r="NNI31" s="204"/>
      <c r="NNJ31" s="204"/>
      <c r="NNK31" s="204"/>
      <c r="NNL31" s="204"/>
      <c r="NNM31" s="204"/>
      <c r="NNN31" s="204"/>
      <c r="NNO31" s="204"/>
      <c r="NNP31" s="204"/>
      <c r="NNQ31" s="204"/>
      <c r="NNR31" s="204"/>
      <c r="NNS31" s="204"/>
      <c r="NNT31" s="204"/>
      <c r="NNU31" s="204"/>
      <c r="NNV31" s="204"/>
      <c r="NNW31" s="204"/>
      <c r="NNX31" s="204"/>
      <c r="NNY31" s="204"/>
      <c r="NNZ31" s="204"/>
      <c r="NOA31" s="204"/>
      <c r="NOB31" s="204"/>
      <c r="NOC31" s="204"/>
      <c r="NOD31" s="204"/>
      <c r="NOE31" s="204"/>
      <c r="NOF31" s="204"/>
      <c r="NOG31" s="204"/>
      <c r="NOH31" s="204"/>
      <c r="NOI31" s="204"/>
      <c r="NOJ31" s="204"/>
      <c r="NOK31" s="204"/>
      <c r="NOL31" s="204"/>
      <c r="NOM31" s="204"/>
      <c r="NON31" s="204"/>
      <c r="NOO31" s="204"/>
      <c r="NOP31" s="204"/>
      <c r="NOQ31" s="204"/>
      <c r="NOR31" s="204"/>
      <c r="NOS31" s="204"/>
      <c r="NOT31" s="204"/>
      <c r="NOU31" s="204"/>
      <c r="NOV31" s="204"/>
      <c r="NOW31" s="204"/>
      <c r="NOX31" s="204"/>
      <c r="NOY31" s="204"/>
      <c r="NOZ31" s="204"/>
      <c r="NPA31" s="204"/>
      <c r="NPB31" s="204"/>
      <c r="NPC31" s="204"/>
      <c r="NPD31" s="204"/>
      <c r="NPE31" s="204"/>
      <c r="NPF31" s="204"/>
      <c r="NPG31" s="204"/>
      <c r="NPH31" s="204"/>
      <c r="NPI31" s="204"/>
      <c r="NPJ31" s="204"/>
      <c r="NPK31" s="204"/>
      <c r="NPL31" s="204"/>
      <c r="NPM31" s="204"/>
      <c r="NPN31" s="204"/>
      <c r="NPO31" s="204"/>
      <c r="NPP31" s="204"/>
      <c r="NPQ31" s="204"/>
      <c r="NPR31" s="204"/>
      <c r="NPS31" s="204"/>
      <c r="NPT31" s="204"/>
      <c r="NPU31" s="204"/>
      <c r="NPV31" s="204"/>
      <c r="NPW31" s="204"/>
      <c r="NPX31" s="204"/>
      <c r="NPY31" s="204"/>
      <c r="NPZ31" s="204"/>
      <c r="NQA31" s="204"/>
      <c r="NQB31" s="204"/>
      <c r="NQC31" s="204"/>
      <c r="NQD31" s="204"/>
      <c r="NQE31" s="204"/>
      <c r="NQF31" s="204"/>
      <c r="NQG31" s="204"/>
      <c r="NQH31" s="204"/>
      <c r="NQI31" s="204"/>
      <c r="NQJ31" s="204"/>
      <c r="NQK31" s="204"/>
      <c r="NQL31" s="204"/>
      <c r="NQM31" s="204"/>
      <c r="NQN31" s="204"/>
      <c r="NQO31" s="204"/>
      <c r="NQP31" s="204"/>
      <c r="NQQ31" s="204"/>
      <c r="NQR31" s="204"/>
      <c r="NQS31" s="204"/>
      <c r="NQT31" s="204"/>
      <c r="NQU31" s="204"/>
      <c r="NQV31" s="204"/>
      <c r="NQW31" s="204"/>
      <c r="NQX31" s="204"/>
      <c r="NQY31" s="204"/>
      <c r="NQZ31" s="204"/>
      <c r="NRA31" s="204"/>
      <c r="NRB31" s="204"/>
      <c r="NRC31" s="204"/>
      <c r="NRD31" s="204"/>
      <c r="NRE31" s="204"/>
      <c r="NRF31" s="204"/>
      <c r="NRG31" s="204"/>
      <c r="NRH31" s="204"/>
      <c r="NRI31" s="204"/>
      <c r="NRJ31" s="204"/>
      <c r="NRK31" s="204"/>
      <c r="NRL31" s="204"/>
      <c r="NRM31" s="204"/>
      <c r="NRN31" s="204"/>
      <c r="NRO31" s="204"/>
      <c r="NRP31" s="204"/>
      <c r="NRQ31" s="204"/>
      <c r="NRR31" s="204"/>
      <c r="NRS31" s="204"/>
      <c r="NRT31" s="204"/>
      <c r="NRU31" s="204"/>
      <c r="NRV31" s="204"/>
      <c r="NRW31" s="204"/>
      <c r="NRX31" s="204"/>
      <c r="NRY31" s="204"/>
      <c r="NRZ31" s="204"/>
      <c r="NSA31" s="204"/>
      <c r="NSB31" s="204"/>
      <c r="NSC31" s="204"/>
      <c r="NSD31" s="204"/>
      <c r="NSE31" s="204"/>
      <c r="NSF31" s="204"/>
      <c r="NSG31" s="204"/>
      <c r="NSH31" s="204"/>
      <c r="NSI31" s="204"/>
      <c r="NSJ31" s="204"/>
      <c r="NSK31" s="204"/>
      <c r="NSL31" s="204"/>
      <c r="NSM31" s="204"/>
      <c r="NSN31" s="204"/>
      <c r="NSO31" s="204"/>
      <c r="NSP31" s="204"/>
      <c r="NSQ31" s="204"/>
      <c r="NSR31" s="204"/>
      <c r="NSS31" s="204"/>
      <c r="NST31" s="204"/>
      <c r="NSU31" s="204"/>
      <c r="NSV31" s="204"/>
      <c r="NSW31" s="204"/>
      <c r="NSX31" s="204"/>
      <c r="NSY31" s="204"/>
      <c r="NSZ31" s="204"/>
      <c r="NTA31" s="204"/>
      <c r="NTB31" s="204"/>
      <c r="NTC31" s="204"/>
      <c r="NTD31" s="204"/>
      <c r="NTE31" s="204"/>
      <c r="NTF31" s="204"/>
      <c r="NTG31" s="204"/>
      <c r="NTH31" s="204"/>
      <c r="NTI31" s="204"/>
      <c r="NTJ31" s="204"/>
      <c r="NTK31" s="204"/>
      <c r="NTL31" s="204"/>
      <c r="NTM31" s="204"/>
      <c r="NTN31" s="204"/>
      <c r="NTO31" s="204"/>
      <c r="NTP31" s="204"/>
      <c r="NTQ31" s="204"/>
      <c r="NTR31" s="204"/>
      <c r="NTS31" s="204"/>
      <c r="NTT31" s="204"/>
      <c r="NTU31" s="204"/>
      <c r="NTV31" s="204"/>
      <c r="NTW31" s="204"/>
      <c r="NTX31" s="204"/>
      <c r="NTY31" s="204"/>
      <c r="NTZ31" s="204"/>
      <c r="NUA31" s="204"/>
      <c r="NUB31" s="204"/>
      <c r="NUC31" s="204"/>
      <c r="NUD31" s="204"/>
      <c r="NUE31" s="204"/>
      <c r="NUF31" s="204"/>
      <c r="NUG31" s="204"/>
      <c r="NUH31" s="204"/>
      <c r="NUI31" s="204"/>
      <c r="NUJ31" s="204"/>
      <c r="NUK31" s="204"/>
      <c r="NUL31" s="204"/>
      <c r="NUM31" s="204"/>
      <c r="NUN31" s="204"/>
      <c r="NUO31" s="204"/>
      <c r="NUP31" s="204"/>
      <c r="NUQ31" s="204"/>
      <c r="NUR31" s="204"/>
      <c r="NUS31" s="204"/>
      <c r="NUT31" s="204"/>
      <c r="NUU31" s="204"/>
      <c r="NUV31" s="204"/>
      <c r="NUW31" s="204"/>
      <c r="NUX31" s="204"/>
      <c r="NUY31" s="204"/>
      <c r="NUZ31" s="204"/>
      <c r="NVA31" s="204"/>
      <c r="NVB31" s="204"/>
      <c r="NVC31" s="204"/>
      <c r="NVD31" s="204"/>
      <c r="NVE31" s="204"/>
      <c r="NVF31" s="204"/>
      <c r="NVG31" s="204"/>
      <c r="NVH31" s="204"/>
      <c r="NVI31" s="204"/>
      <c r="NVJ31" s="204"/>
      <c r="NVK31" s="204"/>
      <c r="NVL31" s="204"/>
      <c r="NVM31" s="204"/>
      <c r="NVN31" s="204"/>
      <c r="NVO31" s="204"/>
      <c r="NVP31" s="204"/>
      <c r="NVQ31" s="204"/>
      <c r="NVR31" s="204"/>
      <c r="NVS31" s="204"/>
      <c r="NVT31" s="204"/>
      <c r="NVU31" s="204"/>
      <c r="NVV31" s="204"/>
      <c r="NVW31" s="204"/>
      <c r="NVX31" s="204"/>
      <c r="NVY31" s="204"/>
      <c r="NVZ31" s="204"/>
      <c r="NWA31" s="204"/>
      <c r="NWB31" s="204"/>
      <c r="NWC31" s="204"/>
      <c r="NWD31" s="204"/>
      <c r="NWE31" s="204"/>
      <c r="NWF31" s="204"/>
      <c r="NWG31" s="204"/>
      <c r="NWH31" s="204"/>
      <c r="NWI31" s="204"/>
      <c r="NWJ31" s="204"/>
      <c r="NWK31" s="204"/>
      <c r="NWL31" s="204"/>
      <c r="NWM31" s="204"/>
      <c r="NWN31" s="204"/>
      <c r="NWO31" s="204"/>
      <c r="NWP31" s="204"/>
      <c r="NWQ31" s="204"/>
      <c r="NWR31" s="204"/>
      <c r="NWS31" s="204"/>
      <c r="NWT31" s="204"/>
      <c r="NWU31" s="204"/>
      <c r="NWV31" s="204"/>
      <c r="NWW31" s="204"/>
      <c r="NWX31" s="204"/>
      <c r="NWY31" s="204"/>
      <c r="NWZ31" s="204"/>
      <c r="NXA31" s="204"/>
      <c r="NXB31" s="204"/>
      <c r="NXC31" s="204"/>
      <c r="NXD31" s="204"/>
      <c r="NXE31" s="204"/>
      <c r="NXF31" s="204"/>
      <c r="NXG31" s="204"/>
      <c r="NXH31" s="204"/>
      <c r="NXI31" s="204"/>
      <c r="NXJ31" s="204"/>
      <c r="NXK31" s="204"/>
      <c r="NXL31" s="204"/>
      <c r="NXM31" s="204"/>
      <c r="NXN31" s="204"/>
      <c r="NXO31" s="204"/>
      <c r="NXP31" s="204"/>
      <c r="NXQ31" s="204"/>
      <c r="NXR31" s="204"/>
      <c r="NXS31" s="204"/>
      <c r="NXT31" s="204"/>
      <c r="NXU31" s="204"/>
      <c r="NXV31" s="204"/>
      <c r="NXW31" s="204"/>
      <c r="NXX31" s="204"/>
      <c r="NXY31" s="204"/>
      <c r="NXZ31" s="204"/>
      <c r="NYA31" s="204"/>
      <c r="NYB31" s="204"/>
      <c r="NYC31" s="204"/>
      <c r="NYD31" s="204"/>
      <c r="NYE31" s="204"/>
      <c r="NYF31" s="204"/>
      <c r="NYG31" s="204"/>
      <c r="NYH31" s="204"/>
      <c r="NYI31" s="204"/>
      <c r="NYJ31" s="204"/>
      <c r="NYK31" s="204"/>
      <c r="NYL31" s="204"/>
      <c r="NYM31" s="204"/>
      <c r="NYN31" s="204"/>
      <c r="NYO31" s="204"/>
      <c r="NYP31" s="204"/>
      <c r="NYQ31" s="204"/>
      <c r="NYR31" s="204"/>
      <c r="NYS31" s="204"/>
      <c r="NYT31" s="204"/>
      <c r="NYU31" s="204"/>
      <c r="NYV31" s="204"/>
      <c r="NYW31" s="204"/>
      <c r="NYX31" s="204"/>
      <c r="NYY31" s="204"/>
      <c r="NYZ31" s="204"/>
      <c r="NZA31" s="204"/>
      <c r="NZB31" s="204"/>
      <c r="NZC31" s="204"/>
      <c r="NZD31" s="204"/>
      <c r="NZE31" s="204"/>
      <c r="NZF31" s="204"/>
      <c r="NZG31" s="204"/>
      <c r="NZH31" s="204"/>
      <c r="NZI31" s="204"/>
      <c r="NZJ31" s="204"/>
      <c r="NZK31" s="204"/>
      <c r="NZL31" s="204"/>
      <c r="NZM31" s="204"/>
      <c r="NZN31" s="204"/>
      <c r="NZO31" s="204"/>
      <c r="NZP31" s="204"/>
      <c r="NZQ31" s="204"/>
      <c r="NZR31" s="204"/>
      <c r="NZS31" s="204"/>
      <c r="NZT31" s="204"/>
      <c r="NZU31" s="204"/>
      <c r="NZV31" s="204"/>
      <c r="NZW31" s="204"/>
      <c r="NZX31" s="204"/>
      <c r="NZY31" s="204"/>
      <c r="NZZ31" s="204"/>
      <c r="OAA31" s="204"/>
      <c r="OAB31" s="204"/>
      <c r="OAC31" s="204"/>
      <c r="OAD31" s="204"/>
      <c r="OAE31" s="204"/>
      <c r="OAF31" s="204"/>
      <c r="OAG31" s="204"/>
      <c r="OAH31" s="204"/>
      <c r="OAI31" s="204"/>
      <c r="OAJ31" s="204"/>
      <c r="OAK31" s="204"/>
      <c r="OAL31" s="204"/>
      <c r="OAM31" s="204"/>
      <c r="OAN31" s="204"/>
      <c r="OAO31" s="204"/>
      <c r="OAP31" s="204"/>
      <c r="OAQ31" s="204"/>
      <c r="OAR31" s="204"/>
      <c r="OAS31" s="204"/>
      <c r="OAT31" s="204"/>
      <c r="OAU31" s="204"/>
      <c r="OAV31" s="204"/>
      <c r="OAW31" s="204"/>
      <c r="OAX31" s="204"/>
      <c r="OAY31" s="204"/>
      <c r="OAZ31" s="204"/>
      <c r="OBA31" s="204"/>
      <c r="OBB31" s="204"/>
      <c r="OBC31" s="204"/>
      <c r="OBD31" s="204"/>
      <c r="OBE31" s="204"/>
      <c r="OBF31" s="204"/>
      <c r="OBG31" s="204"/>
      <c r="OBH31" s="204"/>
      <c r="OBI31" s="204"/>
      <c r="OBJ31" s="204"/>
      <c r="OBK31" s="204"/>
      <c r="OBL31" s="204"/>
      <c r="OBM31" s="204"/>
      <c r="OBN31" s="204"/>
      <c r="OBO31" s="204"/>
      <c r="OBP31" s="204"/>
      <c r="OBQ31" s="204"/>
      <c r="OBR31" s="204"/>
      <c r="OBS31" s="204"/>
      <c r="OBT31" s="204"/>
      <c r="OBU31" s="204"/>
      <c r="OBV31" s="204"/>
      <c r="OBW31" s="204"/>
      <c r="OBX31" s="204"/>
      <c r="OBY31" s="204"/>
      <c r="OBZ31" s="204"/>
      <c r="OCA31" s="204"/>
      <c r="OCB31" s="204"/>
      <c r="OCC31" s="204"/>
      <c r="OCD31" s="204"/>
      <c r="OCE31" s="204"/>
      <c r="OCF31" s="204"/>
      <c r="OCG31" s="204"/>
      <c r="OCH31" s="204"/>
      <c r="OCI31" s="204"/>
      <c r="OCJ31" s="204"/>
      <c r="OCK31" s="204"/>
      <c r="OCL31" s="204"/>
      <c r="OCM31" s="204"/>
      <c r="OCN31" s="204"/>
      <c r="OCO31" s="204"/>
      <c r="OCP31" s="204"/>
      <c r="OCQ31" s="204"/>
      <c r="OCR31" s="204"/>
      <c r="OCS31" s="204"/>
      <c r="OCT31" s="204"/>
      <c r="OCU31" s="204"/>
      <c r="OCV31" s="204"/>
      <c r="OCW31" s="204"/>
      <c r="OCX31" s="204"/>
      <c r="OCY31" s="204"/>
      <c r="OCZ31" s="204"/>
      <c r="ODA31" s="204"/>
      <c r="ODB31" s="204"/>
      <c r="ODC31" s="204"/>
      <c r="ODD31" s="204"/>
      <c r="ODE31" s="204"/>
      <c r="ODF31" s="204"/>
      <c r="ODG31" s="204"/>
      <c r="ODH31" s="204"/>
      <c r="ODI31" s="204"/>
      <c r="ODJ31" s="204"/>
      <c r="ODK31" s="204"/>
      <c r="ODL31" s="204"/>
      <c r="ODM31" s="204"/>
      <c r="ODN31" s="204"/>
      <c r="ODO31" s="204"/>
      <c r="ODP31" s="204"/>
      <c r="ODQ31" s="204"/>
      <c r="ODR31" s="204"/>
      <c r="ODS31" s="204"/>
      <c r="ODT31" s="204"/>
      <c r="ODU31" s="204"/>
      <c r="ODV31" s="204"/>
      <c r="ODW31" s="204"/>
      <c r="ODX31" s="204"/>
      <c r="ODY31" s="204"/>
      <c r="ODZ31" s="204"/>
      <c r="OEA31" s="204"/>
      <c r="OEB31" s="204"/>
      <c r="OEC31" s="204"/>
      <c r="OED31" s="204"/>
      <c r="OEE31" s="204"/>
      <c r="OEF31" s="204"/>
      <c r="OEG31" s="204"/>
      <c r="OEH31" s="204"/>
      <c r="OEI31" s="204"/>
      <c r="OEJ31" s="204"/>
      <c r="OEK31" s="204"/>
      <c r="OEL31" s="204"/>
      <c r="OEM31" s="204"/>
      <c r="OEN31" s="204"/>
      <c r="OEO31" s="204"/>
      <c r="OEP31" s="204"/>
      <c r="OEQ31" s="204"/>
      <c r="OER31" s="204"/>
      <c r="OES31" s="204"/>
      <c r="OET31" s="204"/>
      <c r="OEU31" s="204"/>
      <c r="OEV31" s="204"/>
      <c r="OEW31" s="204"/>
      <c r="OEX31" s="204"/>
      <c r="OEY31" s="204"/>
      <c r="OEZ31" s="204"/>
      <c r="OFA31" s="204"/>
      <c r="OFB31" s="204"/>
      <c r="OFC31" s="204"/>
      <c r="OFD31" s="204"/>
      <c r="OFE31" s="204"/>
      <c r="OFF31" s="204"/>
      <c r="OFG31" s="204"/>
      <c r="OFH31" s="204"/>
      <c r="OFI31" s="204"/>
      <c r="OFJ31" s="204"/>
      <c r="OFK31" s="204"/>
      <c r="OFL31" s="204"/>
      <c r="OFM31" s="204"/>
      <c r="OFN31" s="204"/>
      <c r="OFO31" s="204"/>
      <c r="OFP31" s="204"/>
      <c r="OFQ31" s="204"/>
      <c r="OFR31" s="204"/>
      <c r="OFS31" s="204"/>
      <c r="OFT31" s="204"/>
      <c r="OFU31" s="204"/>
      <c r="OFV31" s="204"/>
      <c r="OFW31" s="204"/>
      <c r="OFX31" s="204"/>
      <c r="OFY31" s="204"/>
      <c r="OFZ31" s="204"/>
      <c r="OGA31" s="204"/>
      <c r="OGB31" s="204"/>
      <c r="OGC31" s="204"/>
      <c r="OGD31" s="204"/>
      <c r="OGE31" s="204"/>
      <c r="OGF31" s="204"/>
      <c r="OGG31" s="204"/>
      <c r="OGH31" s="204"/>
      <c r="OGI31" s="204"/>
      <c r="OGJ31" s="204"/>
      <c r="OGK31" s="204"/>
      <c r="OGL31" s="204"/>
      <c r="OGM31" s="204"/>
      <c r="OGN31" s="204"/>
      <c r="OGO31" s="204"/>
      <c r="OGP31" s="204"/>
      <c r="OGQ31" s="204"/>
      <c r="OGR31" s="204"/>
      <c r="OGS31" s="204"/>
      <c r="OGT31" s="204"/>
      <c r="OGU31" s="204"/>
      <c r="OGV31" s="204"/>
      <c r="OGW31" s="204"/>
      <c r="OGX31" s="204"/>
      <c r="OGY31" s="204"/>
      <c r="OGZ31" s="204"/>
      <c r="OHA31" s="204"/>
      <c r="OHB31" s="204"/>
      <c r="OHC31" s="204"/>
      <c r="OHD31" s="204"/>
      <c r="OHE31" s="204"/>
      <c r="OHF31" s="204"/>
      <c r="OHG31" s="204"/>
      <c r="OHH31" s="204"/>
      <c r="OHI31" s="204"/>
      <c r="OHJ31" s="204"/>
      <c r="OHK31" s="204"/>
      <c r="OHL31" s="204"/>
      <c r="OHM31" s="204"/>
      <c r="OHN31" s="204"/>
      <c r="OHO31" s="204"/>
      <c r="OHP31" s="204"/>
      <c r="OHQ31" s="204"/>
      <c r="OHR31" s="204"/>
      <c r="OHS31" s="204"/>
      <c r="OHT31" s="204"/>
      <c r="OHU31" s="204"/>
      <c r="OHV31" s="204"/>
      <c r="OHW31" s="204"/>
      <c r="OHX31" s="204"/>
      <c r="OHY31" s="204"/>
      <c r="OHZ31" s="204"/>
      <c r="OIA31" s="204"/>
      <c r="OIB31" s="204"/>
      <c r="OIC31" s="204"/>
      <c r="OID31" s="204"/>
      <c r="OIE31" s="204"/>
      <c r="OIF31" s="204"/>
      <c r="OIG31" s="204"/>
      <c r="OIH31" s="204"/>
      <c r="OII31" s="204"/>
      <c r="OIJ31" s="204"/>
      <c r="OIK31" s="204"/>
      <c r="OIL31" s="204"/>
      <c r="OIM31" s="204"/>
      <c r="OIN31" s="204"/>
      <c r="OIO31" s="204"/>
      <c r="OIP31" s="204"/>
      <c r="OIQ31" s="204"/>
      <c r="OIR31" s="204"/>
      <c r="OIS31" s="204"/>
      <c r="OIT31" s="204"/>
      <c r="OIU31" s="204"/>
      <c r="OIV31" s="204"/>
      <c r="OIW31" s="204"/>
      <c r="OIX31" s="204"/>
      <c r="OIY31" s="204"/>
      <c r="OIZ31" s="204"/>
      <c r="OJA31" s="204"/>
      <c r="OJB31" s="204"/>
      <c r="OJC31" s="204"/>
      <c r="OJD31" s="204"/>
      <c r="OJE31" s="204"/>
      <c r="OJF31" s="204"/>
      <c r="OJG31" s="204"/>
      <c r="OJH31" s="204"/>
      <c r="OJI31" s="204"/>
      <c r="OJJ31" s="204"/>
      <c r="OJK31" s="204"/>
      <c r="OJL31" s="204"/>
      <c r="OJM31" s="204"/>
      <c r="OJN31" s="204"/>
      <c r="OJO31" s="204"/>
      <c r="OJP31" s="204"/>
      <c r="OJQ31" s="204"/>
      <c r="OJR31" s="204"/>
      <c r="OJS31" s="204"/>
      <c r="OJT31" s="204"/>
      <c r="OJU31" s="204"/>
      <c r="OJV31" s="204"/>
      <c r="OJW31" s="204"/>
      <c r="OJX31" s="204"/>
      <c r="OJY31" s="204"/>
      <c r="OJZ31" s="204"/>
      <c r="OKA31" s="204"/>
      <c r="OKB31" s="204"/>
      <c r="OKC31" s="204"/>
      <c r="OKD31" s="204"/>
      <c r="OKE31" s="204"/>
      <c r="OKF31" s="204"/>
      <c r="OKG31" s="204"/>
      <c r="OKH31" s="204"/>
      <c r="OKI31" s="204"/>
      <c r="OKJ31" s="204"/>
      <c r="OKK31" s="204"/>
      <c r="OKL31" s="204"/>
      <c r="OKM31" s="204"/>
      <c r="OKN31" s="204"/>
      <c r="OKO31" s="204"/>
      <c r="OKP31" s="204"/>
      <c r="OKQ31" s="204"/>
      <c r="OKR31" s="204"/>
      <c r="OKS31" s="204"/>
      <c r="OKT31" s="204"/>
      <c r="OKU31" s="204"/>
      <c r="OKV31" s="204"/>
      <c r="OKW31" s="204"/>
      <c r="OKX31" s="204"/>
      <c r="OKY31" s="204"/>
      <c r="OKZ31" s="204"/>
      <c r="OLA31" s="204"/>
      <c r="OLB31" s="204"/>
      <c r="OLC31" s="204"/>
      <c r="OLD31" s="204"/>
      <c r="OLE31" s="204"/>
      <c r="OLF31" s="204"/>
      <c r="OLG31" s="204"/>
      <c r="OLH31" s="204"/>
      <c r="OLI31" s="204"/>
      <c r="OLJ31" s="204"/>
      <c r="OLK31" s="204"/>
      <c r="OLL31" s="204"/>
      <c r="OLM31" s="204"/>
      <c r="OLN31" s="204"/>
      <c r="OLO31" s="204"/>
      <c r="OLP31" s="204"/>
      <c r="OLQ31" s="204"/>
      <c r="OLR31" s="204"/>
      <c r="OLS31" s="204"/>
      <c r="OLT31" s="204"/>
      <c r="OLU31" s="204"/>
      <c r="OLV31" s="204"/>
      <c r="OLW31" s="204"/>
      <c r="OLX31" s="204"/>
      <c r="OLY31" s="204"/>
      <c r="OLZ31" s="204"/>
      <c r="OMA31" s="204"/>
      <c r="OMB31" s="204"/>
      <c r="OMC31" s="204"/>
      <c r="OMD31" s="204"/>
      <c r="OME31" s="204"/>
      <c r="OMF31" s="204"/>
      <c r="OMG31" s="204"/>
      <c r="OMH31" s="204"/>
      <c r="OMI31" s="204"/>
      <c r="OMJ31" s="204"/>
      <c r="OMK31" s="204"/>
      <c r="OML31" s="204"/>
      <c r="OMM31" s="204"/>
      <c r="OMN31" s="204"/>
      <c r="OMO31" s="204"/>
      <c r="OMP31" s="204"/>
      <c r="OMQ31" s="204"/>
      <c r="OMR31" s="204"/>
      <c r="OMS31" s="204"/>
      <c r="OMT31" s="204"/>
      <c r="OMU31" s="204"/>
      <c r="OMV31" s="204"/>
      <c r="OMW31" s="204"/>
      <c r="OMX31" s="204"/>
      <c r="OMY31" s="204"/>
      <c r="OMZ31" s="204"/>
      <c r="ONA31" s="204"/>
      <c r="ONB31" s="204"/>
      <c r="ONC31" s="204"/>
      <c r="OND31" s="204"/>
      <c r="ONE31" s="204"/>
      <c r="ONF31" s="204"/>
      <c r="ONG31" s="204"/>
      <c r="ONH31" s="204"/>
      <c r="ONI31" s="204"/>
      <c r="ONJ31" s="204"/>
      <c r="ONK31" s="204"/>
      <c r="ONL31" s="204"/>
      <c r="ONM31" s="204"/>
      <c r="ONN31" s="204"/>
      <c r="ONO31" s="204"/>
      <c r="ONP31" s="204"/>
      <c r="ONQ31" s="204"/>
      <c r="ONR31" s="204"/>
      <c r="ONS31" s="204"/>
      <c r="ONT31" s="204"/>
      <c r="ONU31" s="204"/>
      <c r="ONV31" s="204"/>
      <c r="ONW31" s="204"/>
      <c r="ONX31" s="204"/>
      <c r="ONY31" s="204"/>
      <c r="ONZ31" s="204"/>
      <c r="OOA31" s="204"/>
      <c r="OOB31" s="204"/>
      <c r="OOC31" s="204"/>
      <c r="OOD31" s="204"/>
      <c r="OOE31" s="204"/>
      <c r="OOF31" s="204"/>
      <c r="OOG31" s="204"/>
      <c r="OOH31" s="204"/>
      <c r="OOI31" s="204"/>
      <c r="OOJ31" s="204"/>
      <c r="OOK31" s="204"/>
      <c r="OOL31" s="204"/>
      <c r="OOM31" s="204"/>
      <c r="OON31" s="204"/>
      <c r="OOO31" s="204"/>
      <c r="OOP31" s="204"/>
      <c r="OOQ31" s="204"/>
      <c r="OOR31" s="204"/>
      <c r="OOS31" s="204"/>
      <c r="OOT31" s="204"/>
      <c r="OOU31" s="204"/>
      <c r="OOV31" s="204"/>
      <c r="OOW31" s="204"/>
      <c r="OOX31" s="204"/>
      <c r="OOY31" s="204"/>
      <c r="OOZ31" s="204"/>
      <c r="OPA31" s="204"/>
      <c r="OPB31" s="204"/>
      <c r="OPC31" s="204"/>
      <c r="OPD31" s="204"/>
      <c r="OPE31" s="204"/>
      <c r="OPF31" s="204"/>
      <c r="OPG31" s="204"/>
      <c r="OPH31" s="204"/>
      <c r="OPI31" s="204"/>
      <c r="OPJ31" s="204"/>
      <c r="OPK31" s="204"/>
      <c r="OPL31" s="204"/>
      <c r="OPM31" s="204"/>
      <c r="OPN31" s="204"/>
      <c r="OPO31" s="204"/>
      <c r="OPP31" s="204"/>
      <c r="OPQ31" s="204"/>
      <c r="OPR31" s="204"/>
      <c r="OPS31" s="204"/>
      <c r="OPT31" s="204"/>
      <c r="OPU31" s="204"/>
      <c r="OPV31" s="204"/>
      <c r="OPW31" s="204"/>
      <c r="OPX31" s="204"/>
      <c r="OPY31" s="204"/>
      <c r="OPZ31" s="204"/>
      <c r="OQA31" s="204"/>
      <c r="OQB31" s="204"/>
      <c r="OQC31" s="204"/>
      <c r="OQD31" s="204"/>
      <c r="OQE31" s="204"/>
      <c r="OQF31" s="204"/>
      <c r="OQG31" s="204"/>
      <c r="OQH31" s="204"/>
      <c r="OQI31" s="204"/>
      <c r="OQJ31" s="204"/>
      <c r="OQK31" s="204"/>
      <c r="OQL31" s="204"/>
      <c r="OQM31" s="204"/>
      <c r="OQN31" s="204"/>
      <c r="OQO31" s="204"/>
      <c r="OQP31" s="204"/>
      <c r="OQQ31" s="204"/>
      <c r="OQR31" s="204"/>
      <c r="OQS31" s="204"/>
      <c r="OQT31" s="204"/>
      <c r="OQU31" s="204"/>
      <c r="OQV31" s="204"/>
      <c r="OQW31" s="204"/>
      <c r="OQX31" s="204"/>
      <c r="OQY31" s="204"/>
      <c r="OQZ31" s="204"/>
      <c r="ORA31" s="204"/>
      <c r="ORB31" s="204"/>
      <c r="ORC31" s="204"/>
      <c r="ORD31" s="204"/>
      <c r="ORE31" s="204"/>
      <c r="ORF31" s="204"/>
      <c r="ORG31" s="204"/>
      <c r="ORH31" s="204"/>
      <c r="ORI31" s="204"/>
      <c r="ORJ31" s="204"/>
      <c r="ORK31" s="204"/>
      <c r="ORL31" s="204"/>
      <c r="ORM31" s="204"/>
      <c r="ORN31" s="204"/>
      <c r="ORO31" s="204"/>
      <c r="ORP31" s="204"/>
      <c r="ORQ31" s="204"/>
      <c r="ORR31" s="204"/>
      <c r="ORS31" s="204"/>
      <c r="ORT31" s="204"/>
      <c r="ORU31" s="204"/>
      <c r="ORV31" s="204"/>
      <c r="ORW31" s="204"/>
      <c r="ORX31" s="204"/>
      <c r="ORY31" s="204"/>
      <c r="ORZ31" s="204"/>
      <c r="OSA31" s="204"/>
      <c r="OSB31" s="204"/>
      <c r="OSC31" s="204"/>
      <c r="OSD31" s="204"/>
      <c r="OSE31" s="204"/>
      <c r="OSF31" s="204"/>
      <c r="OSG31" s="204"/>
      <c r="OSH31" s="204"/>
      <c r="OSI31" s="204"/>
      <c r="OSJ31" s="204"/>
      <c r="OSK31" s="204"/>
      <c r="OSL31" s="204"/>
      <c r="OSM31" s="204"/>
      <c r="OSN31" s="204"/>
      <c r="OSO31" s="204"/>
      <c r="OSP31" s="204"/>
      <c r="OSQ31" s="204"/>
      <c r="OSR31" s="204"/>
      <c r="OSS31" s="204"/>
      <c r="OST31" s="204"/>
      <c r="OSU31" s="204"/>
      <c r="OSV31" s="204"/>
      <c r="OSW31" s="204"/>
      <c r="OSX31" s="204"/>
      <c r="OSY31" s="204"/>
      <c r="OSZ31" s="204"/>
      <c r="OTA31" s="204"/>
      <c r="OTB31" s="204"/>
      <c r="OTC31" s="204"/>
      <c r="OTD31" s="204"/>
      <c r="OTE31" s="204"/>
      <c r="OTF31" s="204"/>
      <c r="OTG31" s="204"/>
      <c r="OTH31" s="204"/>
      <c r="OTI31" s="204"/>
      <c r="OTJ31" s="204"/>
      <c r="OTK31" s="204"/>
      <c r="OTL31" s="204"/>
      <c r="OTM31" s="204"/>
      <c r="OTN31" s="204"/>
      <c r="OTO31" s="204"/>
      <c r="OTP31" s="204"/>
      <c r="OTQ31" s="204"/>
      <c r="OTR31" s="204"/>
      <c r="OTS31" s="204"/>
      <c r="OTT31" s="204"/>
      <c r="OTU31" s="204"/>
      <c r="OTV31" s="204"/>
      <c r="OTW31" s="204"/>
      <c r="OTX31" s="204"/>
      <c r="OTY31" s="204"/>
      <c r="OTZ31" s="204"/>
      <c r="OUA31" s="204"/>
      <c r="OUB31" s="204"/>
      <c r="OUC31" s="204"/>
      <c r="OUD31" s="204"/>
      <c r="OUE31" s="204"/>
      <c r="OUF31" s="204"/>
      <c r="OUG31" s="204"/>
      <c r="OUH31" s="204"/>
      <c r="OUI31" s="204"/>
      <c r="OUJ31" s="204"/>
      <c r="OUK31" s="204"/>
      <c r="OUL31" s="204"/>
      <c r="OUM31" s="204"/>
      <c r="OUN31" s="204"/>
      <c r="OUO31" s="204"/>
      <c r="OUP31" s="204"/>
      <c r="OUQ31" s="204"/>
      <c r="OUR31" s="204"/>
      <c r="OUS31" s="204"/>
      <c r="OUT31" s="204"/>
      <c r="OUU31" s="204"/>
      <c r="OUV31" s="204"/>
      <c r="OUW31" s="204"/>
      <c r="OUX31" s="204"/>
      <c r="OUY31" s="204"/>
      <c r="OUZ31" s="204"/>
      <c r="OVA31" s="204"/>
      <c r="OVB31" s="204"/>
      <c r="OVC31" s="204"/>
      <c r="OVD31" s="204"/>
      <c r="OVE31" s="204"/>
      <c r="OVF31" s="204"/>
      <c r="OVG31" s="204"/>
      <c r="OVH31" s="204"/>
      <c r="OVI31" s="204"/>
      <c r="OVJ31" s="204"/>
      <c r="OVK31" s="204"/>
      <c r="OVL31" s="204"/>
      <c r="OVM31" s="204"/>
      <c r="OVN31" s="204"/>
      <c r="OVO31" s="204"/>
      <c r="OVP31" s="204"/>
      <c r="OVQ31" s="204"/>
      <c r="OVR31" s="204"/>
      <c r="OVS31" s="204"/>
      <c r="OVT31" s="204"/>
      <c r="OVU31" s="204"/>
      <c r="OVV31" s="204"/>
      <c r="OVW31" s="204"/>
      <c r="OVX31" s="204"/>
      <c r="OVY31" s="204"/>
      <c r="OVZ31" s="204"/>
      <c r="OWA31" s="204"/>
      <c r="OWB31" s="204"/>
      <c r="OWC31" s="204"/>
      <c r="OWD31" s="204"/>
      <c r="OWE31" s="204"/>
      <c r="OWF31" s="204"/>
      <c r="OWG31" s="204"/>
      <c r="OWH31" s="204"/>
      <c r="OWI31" s="204"/>
      <c r="OWJ31" s="204"/>
      <c r="OWK31" s="204"/>
      <c r="OWL31" s="204"/>
      <c r="OWM31" s="204"/>
      <c r="OWN31" s="204"/>
      <c r="OWO31" s="204"/>
      <c r="OWP31" s="204"/>
      <c r="OWQ31" s="204"/>
      <c r="OWR31" s="204"/>
      <c r="OWS31" s="204"/>
      <c r="OWT31" s="204"/>
      <c r="OWU31" s="204"/>
      <c r="OWV31" s="204"/>
      <c r="OWW31" s="204"/>
      <c r="OWX31" s="204"/>
      <c r="OWY31" s="204"/>
      <c r="OWZ31" s="204"/>
      <c r="OXA31" s="204"/>
      <c r="OXB31" s="204"/>
      <c r="OXC31" s="204"/>
      <c r="OXD31" s="204"/>
      <c r="OXE31" s="204"/>
      <c r="OXF31" s="204"/>
      <c r="OXG31" s="204"/>
      <c r="OXH31" s="204"/>
      <c r="OXI31" s="204"/>
      <c r="OXJ31" s="204"/>
      <c r="OXK31" s="204"/>
      <c r="OXL31" s="204"/>
      <c r="OXM31" s="204"/>
      <c r="OXN31" s="204"/>
      <c r="OXO31" s="204"/>
      <c r="OXP31" s="204"/>
      <c r="OXQ31" s="204"/>
      <c r="OXR31" s="204"/>
      <c r="OXS31" s="204"/>
      <c r="OXT31" s="204"/>
      <c r="OXU31" s="204"/>
      <c r="OXV31" s="204"/>
      <c r="OXW31" s="204"/>
      <c r="OXX31" s="204"/>
      <c r="OXY31" s="204"/>
      <c r="OXZ31" s="204"/>
      <c r="OYA31" s="204"/>
      <c r="OYB31" s="204"/>
      <c r="OYC31" s="204"/>
      <c r="OYD31" s="204"/>
      <c r="OYE31" s="204"/>
      <c r="OYF31" s="204"/>
      <c r="OYG31" s="204"/>
      <c r="OYH31" s="204"/>
      <c r="OYI31" s="204"/>
      <c r="OYJ31" s="204"/>
      <c r="OYK31" s="204"/>
      <c r="OYL31" s="204"/>
      <c r="OYM31" s="204"/>
      <c r="OYN31" s="204"/>
      <c r="OYO31" s="204"/>
      <c r="OYP31" s="204"/>
      <c r="OYQ31" s="204"/>
      <c r="OYR31" s="204"/>
      <c r="OYS31" s="204"/>
      <c r="OYT31" s="204"/>
      <c r="OYU31" s="204"/>
      <c r="OYV31" s="204"/>
      <c r="OYW31" s="204"/>
      <c r="OYX31" s="204"/>
      <c r="OYY31" s="204"/>
      <c r="OYZ31" s="204"/>
      <c r="OZA31" s="204"/>
      <c r="OZB31" s="204"/>
      <c r="OZC31" s="204"/>
      <c r="OZD31" s="204"/>
      <c r="OZE31" s="204"/>
      <c r="OZF31" s="204"/>
      <c r="OZG31" s="204"/>
      <c r="OZH31" s="204"/>
      <c r="OZI31" s="204"/>
      <c r="OZJ31" s="204"/>
      <c r="OZK31" s="204"/>
      <c r="OZL31" s="204"/>
      <c r="OZM31" s="204"/>
      <c r="OZN31" s="204"/>
      <c r="OZO31" s="204"/>
      <c r="OZP31" s="204"/>
      <c r="OZQ31" s="204"/>
      <c r="OZR31" s="204"/>
      <c r="OZS31" s="204"/>
      <c r="OZT31" s="204"/>
      <c r="OZU31" s="204"/>
      <c r="OZV31" s="204"/>
      <c r="OZW31" s="204"/>
      <c r="OZX31" s="204"/>
      <c r="OZY31" s="204"/>
      <c r="OZZ31" s="204"/>
      <c r="PAA31" s="204"/>
      <c r="PAB31" s="204"/>
      <c r="PAC31" s="204"/>
      <c r="PAD31" s="204"/>
      <c r="PAE31" s="204"/>
      <c r="PAF31" s="204"/>
      <c r="PAG31" s="204"/>
      <c r="PAH31" s="204"/>
      <c r="PAI31" s="204"/>
      <c r="PAJ31" s="204"/>
      <c r="PAK31" s="204"/>
      <c r="PAL31" s="204"/>
      <c r="PAM31" s="204"/>
      <c r="PAN31" s="204"/>
      <c r="PAO31" s="204"/>
      <c r="PAP31" s="204"/>
      <c r="PAQ31" s="204"/>
      <c r="PAR31" s="204"/>
      <c r="PAS31" s="204"/>
      <c r="PAT31" s="204"/>
      <c r="PAU31" s="204"/>
      <c r="PAV31" s="204"/>
      <c r="PAW31" s="204"/>
      <c r="PAX31" s="204"/>
      <c r="PAY31" s="204"/>
      <c r="PAZ31" s="204"/>
      <c r="PBA31" s="204"/>
      <c r="PBB31" s="204"/>
      <c r="PBC31" s="204"/>
      <c r="PBD31" s="204"/>
      <c r="PBE31" s="204"/>
      <c r="PBF31" s="204"/>
      <c r="PBG31" s="204"/>
      <c r="PBH31" s="204"/>
      <c r="PBI31" s="204"/>
      <c r="PBJ31" s="204"/>
      <c r="PBK31" s="204"/>
      <c r="PBL31" s="204"/>
      <c r="PBM31" s="204"/>
      <c r="PBN31" s="204"/>
      <c r="PBO31" s="204"/>
      <c r="PBP31" s="204"/>
      <c r="PBQ31" s="204"/>
      <c r="PBR31" s="204"/>
      <c r="PBS31" s="204"/>
      <c r="PBT31" s="204"/>
      <c r="PBU31" s="204"/>
      <c r="PBV31" s="204"/>
      <c r="PBW31" s="204"/>
      <c r="PBX31" s="204"/>
      <c r="PBY31" s="204"/>
      <c r="PBZ31" s="204"/>
      <c r="PCA31" s="204"/>
      <c r="PCB31" s="204"/>
      <c r="PCC31" s="204"/>
      <c r="PCD31" s="204"/>
      <c r="PCE31" s="204"/>
      <c r="PCF31" s="204"/>
      <c r="PCG31" s="204"/>
      <c r="PCH31" s="204"/>
      <c r="PCI31" s="204"/>
      <c r="PCJ31" s="204"/>
      <c r="PCK31" s="204"/>
      <c r="PCL31" s="204"/>
      <c r="PCM31" s="204"/>
      <c r="PCN31" s="204"/>
      <c r="PCO31" s="204"/>
      <c r="PCP31" s="204"/>
      <c r="PCQ31" s="204"/>
      <c r="PCR31" s="204"/>
      <c r="PCS31" s="204"/>
      <c r="PCT31" s="204"/>
      <c r="PCU31" s="204"/>
      <c r="PCV31" s="204"/>
      <c r="PCW31" s="204"/>
      <c r="PCX31" s="204"/>
      <c r="PCY31" s="204"/>
      <c r="PCZ31" s="204"/>
      <c r="PDA31" s="204"/>
      <c r="PDB31" s="204"/>
      <c r="PDC31" s="204"/>
      <c r="PDD31" s="204"/>
      <c r="PDE31" s="204"/>
      <c r="PDF31" s="204"/>
      <c r="PDG31" s="204"/>
      <c r="PDH31" s="204"/>
      <c r="PDI31" s="204"/>
      <c r="PDJ31" s="204"/>
      <c r="PDK31" s="204"/>
      <c r="PDL31" s="204"/>
      <c r="PDM31" s="204"/>
      <c r="PDN31" s="204"/>
      <c r="PDO31" s="204"/>
      <c r="PDP31" s="204"/>
      <c r="PDQ31" s="204"/>
      <c r="PDR31" s="204"/>
      <c r="PDS31" s="204"/>
      <c r="PDT31" s="204"/>
      <c r="PDU31" s="204"/>
      <c r="PDV31" s="204"/>
      <c r="PDW31" s="204"/>
      <c r="PDX31" s="204"/>
      <c r="PDY31" s="204"/>
      <c r="PDZ31" s="204"/>
      <c r="PEA31" s="204"/>
      <c r="PEB31" s="204"/>
      <c r="PEC31" s="204"/>
      <c r="PED31" s="204"/>
      <c r="PEE31" s="204"/>
      <c r="PEF31" s="204"/>
      <c r="PEG31" s="204"/>
      <c r="PEH31" s="204"/>
      <c r="PEI31" s="204"/>
      <c r="PEJ31" s="204"/>
      <c r="PEK31" s="204"/>
      <c r="PEL31" s="204"/>
      <c r="PEM31" s="204"/>
      <c r="PEN31" s="204"/>
      <c r="PEO31" s="204"/>
      <c r="PEP31" s="204"/>
      <c r="PEQ31" s="204"/>
      <c r="PER31" s="204"/>
      <c r="PES31" s="204"/>
      <c r="PET31" s="204"/>
      <c r="PEU31" s="204"/>
      <c r="PEV31" s="204"/>
      <c r="PEW31" s="204"/>
      <c r="PEX31" s="204"/>
      <c r="PEY31" s="204"/>
      <c r="PEZ31" s="204"/>
      <c r="PFA31" s="204"/>
      <c r="PFB31" s="204"/>
      <c r="PFC31" s="204"/>
      <c r="PFD31" s="204"/>
      <c r="PFE31" s="204"/>
      <c r="PFF31" s="204"/>
      <c r="PFG31" s="204"/>
      <c r="PFH31" s="204"/>
      <c r="PFI31" s="204"/>
      <c r="PFJ31" s="204"/>
      <c r="PFK31" s="204"/>
      <c r="PFL31" s="204"/>
      <c r="PFM31" s="204"/>
      <c r="PFN31" s="204"/>
      <c r="PFO31" s="204"/>
      <c r="PFP31" s="204"/>
      <c r="PFQ31" s="204"/>
      <c r="PFR31" s="204"/>
      <c r="PFS31" s="204"/>
      <c r="PFT31" s="204"/>
      <c r="PFU31" s="204"/>
      <c r="PFV31" s="204"/>
      <c r="PFW31" s="204"/>
      <c r="PFX31" s="204"/>
      <c r="PFY31" s="204"/>
      <c r="PFZ31" s="204"/>
      <c r="PGA31" s="204"/>
      <c r="PGB31" s="204"/>
      <c r="PGC31" s="204"/>
      <c r="PGD31" s="204"/>
      <c r="PGE31" s="204"/>
      <c r="PGF31" s="204"/>
      <c r="PGG31" s="204"/>
      <c r="PGH31" s="204"/>
      <c r="PGI31" s="204"/>
      <c r="PGJ31" s="204"/>
      <c r="PGK31" s="204"/>
      <c r="PGL31" s="204"/>
      <c r="PGM31" s="204"/>
      <c r="PGN31" s="204"/>
      <c r="PGO31" s="204"/>
      <c r="PGP31" s="204"/>
      <c r="PGQ31" s="204"/>
      <c r="PGR31" s="204"/>
      <c r="PGS31" s="204"/>
      <c r="PGT31" s="204"/>
      <c r="PGU31" s="204"/>
      <c r="PGV31" s="204"/>
      <c r="PGW31" s="204"/>
      <c r="PGX31" s="204"/>
      <c r="PGY31" s="204"/>
      <c r="PGZ31" s="204"/>
      <c r="PHA31" s="204"/>
      <c r="PHB31" s="204"/>
      <c r="PHC31" s="204"/>
      <c r="PHD31" s="204"/>
      <c r="PHE31" s="204"/>
      <c r="PHF31" s="204"/>
      <c r="PHG31" s="204"/>
      <c r="PHH31" s="204"/>
      <c r="PHI31" s="204"/>
      <c r="PHJ31" s="204"/>
      <c r="PHK31" s="204"/>
      <c r="PHL31" s="204"/>
      <c r="PHM31" s="204"/>
      <c r="PHN31" s="204"/>
      <c r="PHO31" s="204"/>
      <c r="PHP31" s="204"/>
      <c r="PHQ31" s="204"/>
      <c r="PHR31" s="204"/>
      <c r="PHS31" s="204"/>
      <c r="PHT31" s="204"/>
      <c r="PHU31" s="204"/>
      <c r="PHV31" s="204"/>
      <c r="PHW31" s="204"/>
      <c r="PHX31" s="204"/>
      <c r="PHY31" s="204"/>
      <c r="PHZ31" s="204"/>
      <c r="PIA31" s="204"/>
      <c r="PIB31" s="204"/>
      <c r="PIC31" s="204"/>
      <c r="PID31" s="204"/>
      <c r="PIE31" s="204"/>
      <c r="PIF31" s="204"/>
      <c r="PIG31" s="204"/>
      <c r="PIH31" s="204"/>
      <c r="PII31" s="204"/>
      <c r="PIJ31" s="204"/>
      <c r="PIK31" s="204"/>
      <c r="PIL31" s="204"/>
      <c r="PIM31" s="204"/>
      <c r="PIN31" s="204"/>
      <c r="PIO31" s="204"/>
      <c r="PIP31" s="204"/>
      <c r="PIQ31" s="204"/>
      <c r="PIR31" s="204"/>
      <c r="PIS31" s="204"/>
      <c r="PIT31" s="204"/>
      <c r="PIU31" s="204"/>
      <c r="PIV31" s="204"/>
      <c r="PIW31" s="204"/>
      <c r="PIX31" s="204"/>
      <c r="PIY31" s="204"/>
      <c r="PIZ31" s="204"/>
      <c r="PJA31" s="204"/>
      <c r="PJB31" s="204"/>
      <c r="PJC31" s="204"/>
      <c r="PJD31" s="204"/>
      <c r="PJE31" s="204"/>
      <c r="PJF31" s="204"/>
      <c r="PJG31" s="204"/>
      <c r="PJH31" s="204"/>
      <c r="PJI31" s="204"/>
      <c r="PJJ31" s="204"/>
      <c r="PJK31" s="204"/>
      <c r="PJL31" s="204"/>
      <c r="PJM31" s="204"/>
      <c r="PJN31" s="204"/>
      <c r="PJO31" s="204"/>
      <c r="PJP31" s="204"/>
      <c r="PJQ31" s="204"/>
      <c r="PJR31" s="204"/>
      <c r="PJS31" s="204"/>
      <c r="PJT31" s="204"/>
      <c r="PJU31" s="204"/>
      <c r="PJV31" s="204"/>
      <c r="PJW31" s="204"/>
      <c r="PJX31" s="204"/>
      <c r="PJY31" s="204"/>
      <c r="PJZ31" s="204"/>
      <c r="PKA31" s="204"/>
      <c r="PKB31" s="204"/>
      <c r="PKC31" s="204"/>
      <c r="PKD31" s="204"/>
      <c r="PKE31" s="204"/>
      <c r="PKF31" s="204"/>
      <c r="PKG31" s="204"/>
      <c r="PKH31" s="204"/>
      <c r="PKI31" s="204"/>
      <c r="PKJ31" s="204"/>
      <c r="PKK31" s="204"/>
      <c r="PKL31" s="204"/>
      <c r="PKM31" s="204"/>
      <c r="PKN31" s="204"/>
      <c r="PKO31" s="204"/>
      <c r="PKP31" s="204"/>
      <c r="PKQ31" s="204"/>
      <c r="PKR31" s="204"/>
      <c r="PKS31" s="204"/>
      <c r="PKT31" s="204"/>
      <c r="PKU31" s="204"/>
      <c r="PKV31" s="204"/>
      <c r="PKW31" s="204"/>
      <c r="PKX31" s="204"/>
      <c r="PKY31" s="204"/>
      <c r="PKZ31" s="204"/>
      <c r="PLA31" s="204"/>
      <c r="PLB31" s="204"/>
      <c r="PLC31" s="204"/>
      <c r="PLD31" s="204"/>
      <c r="PLE31" s="204"/>
      <c r="PLF31" s="204"/>
      <c r="PLG31" s="204"/>
      <c r="PLH31" s="204"/>
      <c r="PLI31" s="204"/>
      <c r="PLJ31" s="204"/>
      <c r="PLK31" s="204"/>
      <c r="PLL31" s="204"/>
      <c r="PLM31" s="204"/>
      <c r="PLN31" s="204"/>
      <c r="PLO31" s="204"/>
      <c r="PLP31" s="204"/>
      <c r="PLQ31" s="204"/>
      <c r="PLR31" s="204"/>
      <c r="PLS31" s="204"/>
      <c r="PLT31" s="204"/>
      <c r="PLU31" s="204"/>
      <c r="PLV31" s="204"/>
      <c r="PLW31" s="204"/>
      <c r="PLX31" s="204"/>
      <c r="PLY31" s="204"/>
      <c r="PLZ31" s="204"/>
      <c r="PMA31" s="204"/>
      <c r="PMB31" s="204"/>
      <c r="PMC31" s="204"/>
      <c r="PMD31" s="204"/>
      <c r="PME31" s="204"/>
      <c r="PMF31" s="204"/>
      <c r="PMG31" s="204"/>
      <c r="PMH31" s="204"/>
      <c r="PMI31" s="204"/>
      <c r="PMJ31" s="204"/>
      <c r="PMK31" s="204"/>
      <c r="PML31" s="204"/>
      <c r="PMM31" s="204"/>
      <c r="PMN31" s="204"/>
      <c r="PMO31" s="204"/>
      <c r="PMP31" s="204"/>
      <c r="PMQ31" s="204"/>
      <c r="PMR31" s="204"/>
      <c r="PMS31" s="204"/>
      <c r="PMT31" s="204"/>
      <c r="PMU31" s="204"/>
      <c r="PMV31" s="204"/>
      <c r="PMW31" s="204"/>
      <c r="PMX31" s="204"/>
      <c r="PMY31" s="204"/>
      <c r="PMZ31" s="204"/>
      <c r="PNA31" s="204"/>
      <c r="PNB31" s="204"/>
      <c r="PNC31" s="204"/>
      <c r="PND31" s="204"/>
      <c r="PNE31" s="204"/>
      <c r="PNF31" s="204"/>
      <c r="PNG31" s="204"/>
      <c r="PNH31" s="204"/>
      <c r="PNI31" s="204"/>
      <c r="PNJ31" s="204"/>
      <c r="PNK31" s="204"/>
      <c r="PNL31" s="204"/>
      <c r="PNM31" s="204"/>
      <c r="PNN31" s="204"/>
      <c r="PNO31" s="204"/>
      <c r="PNP31" s="204"/>
      <c r="PNQ31" s="204"/>
      <c r="PNR31" s="204"/>
      <c r="PNS31" s="204"/>
      <c r="PNT31" s="204"/>
      <c r="PNU31" s="204"/>
      <c r="PNV31" s="204"/>
      <c r="PNW31" s="204"/>
      <c r="PNX31" s="204"/>
      <c r="PNY31" s="204"/>
      <c r="PNZ31" s="204"/>
      <c r="POA31" s="204"/>
      <c r="POB31" s="204"/>
      <c r="POC31" s="204"/>
      <c r="POD31" s="204"/>
      <c r="POE31" s="204"/>
      <c r="POF31" s="204"/>
      <c r="POG31" s="204"/>
      <c r="POH31" s="204"/>
      <c r="POI31" s="204"/>
      <c r="POJ31" s="204"/>
      <c r="POK31" s="204"/>
      <c r="POL31" s="204"/>
      <c r="POM31" s="204"/>
      <c r="PON31" s="204"/>
      <c r="POO31" s="204"/>
      <c r="POP31" s="204"/>
      <c r="POQ31" s="204"/>
      <c r="POR31" s="204"/>
      <c r="POS31" s="204"/>
      <c r="POT31" s="204"/>
      <c r="POU31" s="204"/>
      <c r="POV31" s="204"/>
      <c r="POW31" s="204"/>
      <c r="POX31" s="204"/>
      <c r="POY31" s="204"/>
      <c r="POZ31" s="204"/>
      <c r="PPA31" s="204"/>
      <c r="PPB31" s="204"/>
      <c r="PPC31" s="204"/>
      <c r="PPD31" s="204"/>
      <c r="PPE31" s="204"/>
      <c r="PPF31" s="204"/>
      <c r="PPG31" s="204"/>
      <c r="PPH31" s="204"/>
      <c r="PPI31" s="204"/>
      <c r="PPJ31" s="204"/>
      <c r="PPK31" s="204"/>
      <c r="PPL31" s="204"/>
      <c r="PPM31" s="204"/>
      <c r="PPN31" s="204"/>
      <c r="PPO31" s="204"/>
      <c r="PPP31" s="204"/>
      <c r="PPQ31" s="204"/>
      <c r="PPR31" s="204"/>
      <c r="PPS31" s="204"/>
      <c r="PPT31" s="204"/>
      <c r="PPU31" s="204"/>
      <c r="PPV31" s="204"/>
      <c r="PPW31" s="204"/>
      <c r="PPX31" s="204"/>
      <c r="PPY31" s="204"/>
      <c r="PPZ31" s="204"/>
      <c r="PQA31" s="204"/>
      <c r="PQB31" s="204"/>
      <c r="PQC31" s="204"/>
      <c r="PQD31" s="204"/>
      <c r="PQE31" s="204"/>
      <c r="PQF31" s="204"/>
      <c r="PQG31" s="204"/>
      <c r="PQH31" s="204"/>
      <c r="PQI31" s="204"/>
      <c r="PQJ31" s="204"/>
      <c r="PQK31" s="204"/>
      <c r="PQL31" s="204"/>
      <c r="PQM31" s="204"/>
      <c r="PQN31" s="204"/>
      <c r="PQO31" s="204"/>
      <c r="PQP31" s="204"/>
      <c r="PQQ31" s="204"/>
      <c r="PQR31" s="204"/>
      <c r="PQS31" s="204"/>
      <c r="PQT31" s="204"/>
      <c r="PQU31" s="204"/>
      <c r="PQV31" s="204"/>
      <c r="PQW31" s="204"/>
      <c r="PQX31" s="204"/>
      <c r="PQY31" s="204"/>
      <c r="PQZ31" s="204"/>
      <c r="PRA31" s="204"/>
      <c r="PRB31" s="204"/>
      <c r="PRC31" s="204"/>
      <c r="PRD31" s="204"/>
      <c r="PRE31" s="204"/>
      <c r="PRF31" s="204"/>
      <c r="PRG31" s="204"/>
      <c r="PRH31" s="204"/>
      <c r="PRI31" s="204"/>
      <c r="PRJ31" s="204"/>
      <c r="PRK31" s="204"/>
      <c r="PRL31" s="204"/>
      <c r="PRM31" s="204"/>
      <c r="PRN31" s="204"/>
      <c r="PRO31" s="204"/>
      <c r="PRP31" s="204"/>
      <c r="PRQ31" s="204"/>
      <c r="PRR31" s="204"/>
      <c r="PRS31" s="204"/>
      <c r="PRT31" s="204"/>
      <c r="PRU31" s="204"/>
      <c r="PRV31" s="204"/>
      <c r="PRW31" s="204"/>
      <c r="PRX31" s="204"/>
      <c r="PRY31" s="204"/>
      <c r="PRZ31" s="204"/>
      <c r="PSA31" s="204"/>
      <c r="PSB31" s="204"/>
      <c r="PSC31" s="204"/>
      <c r="PSD31" s="204"/>
      <c r="PSE31" s="204"/>
      <c r="PSF31" s="204"/>
      <c r="PSG31" s="204"/>
      <c r="PSH31" s="204"/>
      <c r="PSI31" s="204"/>
      <c r="PSJ31" s="204"/>
      <c r="PSK31" s="204"/>
      <c r="PSL31" s="204"/>
      <c r="PSM31" s="204"/>
      <c r="PSN31" s="204"/>
      <c r="PSO31" s="204"/>
      <c r="PSP31" s="204"/>
      <c r="PSQ31" s="204"/>
      <c r="PSR31" s="204"/>
      <c r="PSS31" s="204"/>
      <c r="PST31" s="204"/>
      <c r="PSU31" s="204"/>
      <c r="PSV31" s="204"/>
      <c r="PSW31" s="204"/>
      <c r="PSX31" s="204"/>
      <c r="PSY31" s="204"/>
      <c r="PSZ31" s="204"/>
      <c r="PTA31" s="204"/>
      <c r="PTB31" s="204"/>
      <c r="PTC31" s="204"/>
      <c r="PTD31" s="204"/>
      <c r="PTE31" s="204"/>
      <c r="PTF31" s="204"/>
      <c r="PTG31" s="204"/>
      <c r="PTH31" s="204"/>
      <c r="PTI31" s="204"/>
      <c r="PTJ31" s="204"/>
      <c r="PTK31" s="204"/>
      <c r="PTL31" s="204"/>
      <c r="PTM31" s="204"/>
      <c r="PTN31" s="204"/>
      <c r="PTO31" s="204"/>
      <c r="PTP31" s="204"/>
      <c r="PTQ31" s="204"/>
      <c r="PTR31" s="204"/>
      <c r="PTS31" s="204"/>
      <c r="PTT31" s="204"/>
      <c r="PTU31" s="204"/>
      <c r="PTV31" s="204"/>
      <c r="PTW31" s="204"/>
      <c r="PTX31" s="204"/>
      <c r="PTY31" s="204"/>
      <c r="PTZ31" s="204"/>
      <c r="PUA31" s="204"/>
      <c r="PUB31" s="204"/>
      <c r="PUC31" s="204"/>
      <c r="PUD31" s="204"/>
      <c r="PUE31" s="204"/>
      <c r="PUF31" s="204"/>
      <c r="PUG31" s="204"/>
      <c r="PUH31" s="204"/>
      <c r="PUI31" s="204"/>
      <c r="PUJ31" s="204"/>
      <c r="PUK31" s="204"/>
      <c r="PUL31" s="204"/>
      <c r="PUM31" s="204"/>
      <c r="PUN31" s="204"/>
      <c r="PUO31" s="204"/>
      <c r="PUP31" s="204"/>
      <c r="PUQ31" s="204"/>
      <c r="PUR31" s="204"/>
      <c r="PUS31" s="204"/>
      <c r="PUT31" s="204"/>
      <c r="PUU31" s="204"/>
      <c r="PUV31" s="204"/>
      <c r="PUW31" s="204"/>
      <c r="PUX31" s="204"/>
      <c r="PUY31" s="204"/>
      <c r="PUZ31" s="204"/>
      <c r="PVA31" s="204"/>
      <c r="PVB31" s="204"/>
      <c r="PVC31" s="204"/>
      <c r="PVD31" s="204"/>
      <c r="PVE31" s="204"/>
      <c r="PVF31" s="204"/>
      <c r="PVG31" s="204"/>
      <c r="PVH31" s="204"/>
      <c r="PVI31" s="204"/>
      <c r="PVJ31" s="204"/>
      <c r="PVK31" s="204"/>
      <c r="PVL31" s="204"/>
      <c r="PVM31" s="204"/>
      <c r="PVN31" s="204"/>
      <c r="PVO31" s="204"/>
      <c r="PVP31" s="204"/>
      <c r="PVQ31" s="204"/>
      <c r="PVR31" s="204"/>
      <c r="PVS31" s="204"/>
      <c r="PVT31" s="204"/>
      <c r="PVU31" s="204"/>
      <c r="PVV31" s="204"/>
      <c r="PVW31" s="204"/>
      <c r="PVX31" s="204"/>
      <c r="PVY31" s="204"/>
      <c r="PVZ31" s="204"/>
      <c r="PWA31" s="204"/>
      <c r="PWB31" s="204"/>
      <c r="PWC31" s="204"/>
      <c r="PWD31" s="204"/>
      <c r="PWE31" s="204"/>
      <c r="PWF31" s="204"/>
      <c r="PWG31" s="204"/>
      <c r="PWH31" s="204"/>
      <c r="PWI31" s="204"/>
      <c r="PWJ31" s="204"/>
      <c r="PWK31" s="204"/>
      <c r="PWL31" s="204"/>
      <c r="PWM31" s="204"/>
      <c r="PWN31" s="204"/>
      <c r="PWO31" s="204"/>
      <c r="PWP31" s="204"/>
      <c r="PWQ31" s="204"/>
      <c r="PWR31" s="204"/>
      <c r="PWS31" s="204"/>
      <c r="PWT31" s="204"/>
      <c r="PWU31" s="204"/>
      <c r="PWV31" s="204"/>
      <c r="PWW31" s="204"/>
      <c r="PWX31" s="204"/>
      <c r="PWY31" s="204"/>
      <c r="PWZ31" s="204"/>
      <c r="PXA31" s="204"/>
      <c r="PXB31" s="204"/>
      <c r="PXC31" s="204"/>
      <c r="PXD31" s="204"/>
      <c r="PXE31" s="204"/>
      <c r="PXF31" s="204"/>
      <c r="PXG31" s="204"/>
      <c r="PXH31" s="204"/>
      <c r="PXI31" s="204"/>
      <c r="PXJ31" s="204"/>
      <c r="PXK31" s="204"/>
      <c r="PXL31" s="204"/>
      <c r="PXM31" s="204"/>
      <c r="PXN31" s="204"/>
      <c r="PXO31" s="204"/>
      <c r="PXP31" s="204"/>
      <c r="PXQ31" s="204"/>
      <c r="PXR31" s="204"/>
      <c r="PXS31" s="204"/>
      <c r="PXT31" s="204"/>
      <c r="PXU31" s="204"/>
      <c r="PXV31" s="204"/>
      <c r="PXW31" s="204"/>
      <c r="PXX31" s="204"/>
      <c r="PXY31" s="204"/>
      <c r="PXZ31" s="204"/>
      <c r="PYA31" s="204"/>
      <c r="PYB31" s="204"/>
      <c r="PYC31" s="204"/>
      <c r="PYD31" s="204"/>
      <c r="PYE31" s="204"/>
      <c r="PYF31" s="204"/>
      <c r="PYG31" s="204"/>
      <c r="PYH31" s="204"/>
      <c r="PYI31" s="204"/>
      <c r="PYJ31" s="204"/>
      <c r="PYK31" s="204"/>
      <c r="PYL31" s="204"/>
      <c r="PYM31" s="204"/>
      <c r="PYN31" s="204"/>
      <c r="PYO31" s="204"/>
      <c r="PYP31" s="204"/>
      <c r="PYQ31" s="204"/>
      <c r="PYR31" s="204"/>
      <c r="PYS31" s="204"/>
      <c r="PYT31" s="204"/>
      <c r="PYU31" s="204"/>
      <c r="PYV31" s="204"/>
      <c r="PYW31" s="204"/>
      <c r="PYX31" s="204"/>
      <c r="PYY31" s="204"/>
      <c r="PYZ31" s="204"/>
      <c r="PZA31" s="204"/>
      <c r="PZB31" s="204"/>
      <c r="PZC31" s="204"/>
      <c r="PZD31" s="204"/>
      <c r="PZE31" s="204"/>
      <c r="PZF31" s="204"/>
      <c r="PZG31" s="204"/>
      <c r="PZH31" s="204"/>
      <c r="PZI31" s="204"/>
      <c r="PZJ31" s="204"/>
      <c r="PZK31" s="204"/>
      <c r="PZL31" s="204"/>
      <c r="PZM31" s="204"/>
      <c r="PZN31" s="204"/>
      <c r="PZO31" s="204"/>
      <c r="PZP31" s="204"/>
      <c r="PZQ31" s="204"/>
      <c r="PZR31" s="204"/>
      <c r="PZS31" s="204"/>
      <c r="PZT31" s="204"/>
      <c r="PZU31" s="204"/>
      <c r="PZV31" s="204"/>
      <c r="PZW31" s="204"/>
      <c r="PZX31" s="204"/>
      <c r="PZY31" s="204"/>
      <c r="PZZ31" s="204"/>
      <c r="QAA31" s="204"/>
      <c r="QAB31" s="204"/>
      <c r="QAC31" s="204"/>
      <c r="QAD31" s="204"/>
      <c r="QAE31" s="204"/>
      <c r="QAF31" s="204"/>
      <c r="QAG31" s="204"/>
      <c r="QAH31" s="204"/>
      <c r="QAI31" s="204"/>
      <c r="QAJ31" s="204"/>
      <c r="QAK31" s="204"/>
      <c r="QAL31" s="204"/>
      <c r="QAM31" s="204"/>
      <c r="QAN31" s="204"/>
      <c r="QAO31" s="204"/>
      <c r="QAP31" s="204"/>
      <c r="QAQ31" s="204"/>
      <c r="QAR31" s="204"/>
      <c r="QAS31" s="204"/>
      <c r="QAT31" s="204"/>
      <c r="QAU31" s="204"/>
      <c r="QAV31" s="204"/>
      <c r="QAW31" s="204"/>
      <c r="QAX31" s="204"/>
      <c r="QAY31" s="204"/>
      <c r="QAZ31" s="204"/>
      <c r="QBA31" s="204"/>
      <c r="QBB31" s="204"/>
      <c r="QBC31" s="204"/>
      <c r="QBD31" s="204"/>
      <c r="QBE31" s="204"/>
      <c r="QBF31" s="204"/>
      <c r="QBG31" s="204"/>
      <c r="QBH31" s="204"/>
      <c r="QBI31" s="204"/>
      <c r="QBJ31" s="204"/>
      <c r="QBK31" s="204"/>
      <c r="QBL31" s="204"/>
      <c r="QBM31" s="204"/>
      <c r="QBN31" s="204"/>
      <c r="QBO31" s="204"/>
      <c r="QBP31" s="204"/>
      <c r="QBQ31" s="204"/>
      <c r="QBR31" s="204"/>
      <c r="QBS31" s="204"/>
      <c r="QBT31" s="204"/>
      <c r="QBU31" s="204"/>
      <c r="QBV31" s="204"/>
      <c r="QBW31" s="204"/>
      <c r="QBX31" s="204"/>
      <c r="QBY31" s="204"/>
      <c r="QBZ31" s="204"/>
      <c r="QCA31" s="204"/>
      <c r="QCB31" s="204"/>
      <c r="QCC31" s="204"/>
      <c r="QCD31" s="204"/>
      <c r="QCE31" s="204"/>
      <c r="QCF31" s="204"/>
      <c r="QCG31" s="204"/>
      <c r="QCH31" s="204"/>
      <c r="QCI31" s="204"/>
      <c r="QCJ31" s="204"/>
      <c r="QCK31" s="204"/>
      <c r="QCL31" s="204"/>
      <c r="QCM31" s="204"/>
      <c r="QCN31" s="204"/>
      <c r="QCO31" s="204"/>
      <c r="QCP31" s="204"/>
      <c r="QCQ31" s="204"/>
      <c r="QCR31" s="204"/>
      <c r="QCS31" s="204"/>
      <c r="QCT31" s="204"/>
      <c r="QCU31" s="204"/>
      <c r="QCV31" s="204"/>
      <c r="QCW31" s="204"/>
      <c r="QCX31" s="204"/>
      <c r="QCY31" s="204"/>
      <c r="QCZ31" s="204"/>
      <c r="QDA31" s="204"/>
      <c r="QDB31" s="204"/>
      <c r="QDC31" s="204"/>
      <c r="QDD31" s="204"/>
      <c r="QDE31" s="204"/>
      <c r="QDF31" s="204"/>
      <c r="QDG31" s="204"/>
      <c r="QDH31" s="204"/>
      <c r="QDI31" s="204"/>
      <c r="QDJ31" s="204"/>
      <c r="QDK31" s="204"/>
      <c r="QDL31" s="204"/>
      <c r="QDM31" s="204"/>
      <c r="QDN31" s="204"/>
      <c r="QDO31" s="204"/>
      <c r="QDP31" s="204"/>
      <c r="QDQ31" s="204"/>
      <c r="QDR31" s="204"/>
      <c r="QDS31" s="204"/>
      <c r="QDT31" s="204"/>
      <c r="QDU31" s="204"/>
      <c r="QDV31" s="204"/>
      <c r="QDW31" s="204"/>
      <c r="QDX31" s="204"/>
      <c r="QDY31" s="204"/>
      <c r="QDZ31" s="204"/>
      <c r="QEA31" s="204"/>
      <c r="QEB31" s="204"/>
      <c r="QEC31" s="204"/>
      <c r="QED31" s="204"/>
      <c r="QEE31" s="204"/>
      <c r="QEF31" s="204"/>
      <c r="QEG31" s="204"/>
      <c r="QEH31" s="204"/>
      <c r="QEI31" s="204"/>
      <c r="QEJ31" s="204"/>
      <c r="QEK31" s="204"/>
      <c r="QEL31" s="204"/>
      <c r="QEM31" s="204"/>
      <c r="QEN31" s="204"/>
      <c r="QEO31" s="204"/>
      <c r="QEP31" s="204"/>
      <c r="QEQ31" s="204"/>
      <c r="QER31" s="204"/>
      <c r="QES31" s="204"/>
      <c r="QET31" s="204"/>
      <c r="QEU31" s="204"/>
      <c r="QEV31" s="204"/>
      <c r="QEW31" s="204"/>
      <c r="QEX31" s="204"/>
      <c r="QEY31" s="204"/>
      <c r="QEZ31" s="204"/>
      <c r="QFA31" s="204"/>
      <c r="QFB31" s="204"/>
      <c r="QFC31" s="204"/>
      <c r="QFD31" s="204"/>
      <c r="QFE31" s="204"/>
      <c r="QFF31" s="204"/>
      <c r="QFG31" s="204"/>
      <c r="QFH31" s="204"/>
      <c r="QFI31" s="204"/>
      <c r="QFJ31" s="204"/>
      <c r="QFK31" s="204"/>
      <c r="QFL31" s="204"/>
      <c r="QFM31" s="204"/>
      <c r="QFN31" s="204"/>
      <c r="QFO31" s="204"/>
      <c r="QFP31" s="204"/>
      <c r="QFQ31" s="204"/>
      <c r="QFR31" s="204"/>
      <c r="QFS31" s="204"/>
      <c r="QFT31" s="204"/>
      <c r="QFU31" s="204"/>
      <c r="QFV31" s="204"/>
      <c r="QFW31" s="204"/>
      <c r="QFX31" s="204"/>
      <c r="QFY31" s="204"/>
      <c r="QFZ31" s="204"/>
      <c r="QGA31" s="204"/>
      <c r="QGB31" s="204"/>
      <c r="QGC31" s="204"/>
      <c r="QGD31" s="204"/>
      <c r="QGE31" s="204"/>
      <c r="QGF31" s="204"/>
      <c r="QGG31" s="204"/>
      <c r="QGH31" s="204"/>
      <c r="QGI31" s="204"/>
      <c r="QGJ31" s="204"/>
      <c r="QGK31" s="204"/>
      <c r="QGL31" s="204"/>
      <c r="QGM31" s="204"/>
      <c r="QGN31" s="204"/>
      <c r="QGO31" s="204"/>
      <c r="QGP31" s="204"/>
      <c r="QGQ31" s="204"/>
      <c r="QGR31" s="204"/>
      <c r="QGS31" s="204"/>
      <c r="QGT31" s="204"/>
      <c r="QGU31" s="204"/>
      <c r="QGV31" s="204"/>
      <c r="QGW31" s="204"/>
      <c r="QGX31" s="204"/>
      <c r="QGY31" s="204"/>
      <c r="QGZ31" s="204"/>
      <c r="QHA31" s="204"/>
      <c r="QHB31" s="204"/>
      <c r="QHC31" s="204"/>
      <c r="QHD31" s="204"/>
      <c r="QHE31" s="204"/>
      <c r="QHF31" s="204"/>
      <c r="QHG31" s="204"/>
      <c r="QHH31" s="204"/>
      <c r="QHI31" s="204"/>
      <c r="QHJ31" s="204"/>
      <c r="QHK31" s="204"/>
      <c r="QHL31" s="204"/>
      <c r="QHM31" s="204"/>
      <c r="QHN31" s="204"/>
      <c r="QHO31" s="204"/>
      <c r="QHP31" s="204"/>
      <c r="QHQ31" s="204"/>
      <c r="QHR31" s="204"/>
      <c r="QHS31" s="204"/>
      <c r="QHT31" s="204"/>
      <c r="QHU31" s="204"/>
      <c r="QHV31" s="204"/>
      <c r="QHW31" s="204"/>
      <c r="QHX31" s="204"/>
      <c r="QHY31" s="204"/>
      <c r="QHZ31" s="204"/>
      <c r="QIA31" s="204"/>
      <c r="QIB31" s="204"/>
      <c r="QIC31" s="204"/>
      <c r="QID31" s="204"/>
      <c r="QIE31" s="204"/>
      <c r="QIF31" s="204"/>
      <c r="QIG31" s="204"/>
      <c r="QIH31" s="204"/>
      <c r="QII31" s="204"/>
      <c r="QIJ31" s="204"/>
      <c r="QIK31" s="204"/>
      <c r="QIL31" s="204"/>
      <c r="QIM31" s="204"/>
      <c r="QIN31" s="204"/>
      <c r="QIO31" s="204"/>
      <c r="QIP31" s="204"/>
      <c r="QIQ31" s="204"/>
      <c r="QIR31" s="204"/>
      <c r="QIS31" s="204"/>
      <c r="QIT31" s="204"/>
      <c r="QIU31" s="204"/>
      <c r="QIV31" s="204"/>
      <c r="QIW31" s="204"/>
      <c r="QIX31" s="204"/>
      <c r="QIY31" s="204"/>
      <c r="QIZ31" s="204"/>
      <c r="QJA31" s="204"/>
      <c r="QJB31" s="204"/>
      <c r="QJC31" s="204"/>
      <c r="QJD31" s="204"/>
      <c r="QJE31" s="204"/>
      <c r="QJF31" s="204"/>
      <c r="QJG31" s="204"/>
      <c r="QJH31" s="204"/>
      <c r="QJI31" s="204"/>
      <c r="QJJ31" s="204"/>
      <c r="QJK31" s="204"/>
      <c r="QJL31" s="204"/>
      <c r="QJM31" s="204"/>
      <c r="QJN31" s="204"/>
      <c r="QJO31" s="204"/>
      <c r="QJP31" s="204"/>
      <c r="QJQ31" s="204"/>
      <c r="QJR31" s="204"/>
      <c r="QJS31" s="204"/>
      <c r="QJT31" s="204"/>
      <c r="QJU31" s="204"/>
      <c r="QJV31" s="204"/>
      <c r="QJW31" s="204"/>
      <c r="QJX31" s="204"/>
      <c r="QJY31" s="204"/>
      <c r="QJZ31" s="204"/>
      <c r="QKA31" s="204"/>
      <c r="QKB31" s="204"/>
      <c r="QKC31" s="204"/>
      <c r="QKD31" s="204"/>
      <c r="QKE31" s="204"/>
      <c r="QKF31" s="204"/>
      <c r="QKG31" s="204"/>
      <c r="QKH31" s="204"/>
      <c r="QKI31" s="204"/>
      <c r="QKJ31" s="204"/>
      <c r="QKK31" s="204"/>
      <c r="QKL31" s="204"/>
      <c r="QKM31" s="204"/>
      <c r="QKN31" s="204"/>
      <c r="QKO31" s="204"/>
      <c r="QKP31" s="204"/>
      <c r="QKQ31" s="204"/>
      <c r="QKR31" s="204"/>
      <c r="QKS31" s="204"/>
      <c r="QKT31" s="204"/>
      <c r="QKU31" s="204"/>
      <c r="QKV31" s="204"/>
      <c r="QKW31" s="204"/>
      <c r="QKX31" s="204"/>
      <c r="QKY31" s="204"/>
      <c r="QKZ31" s="204"/>
      <c r="QLA31" s="204"/>
      <c r="QLB31" s="204"/>
      <c r="QLC31" s="204"/>
      <c r="QLD31" s="204"/>
      <c r="QLE31" s="204"/>
      <c r="QLF31" s="204"/>
      <c r="QLG31" s="204"/>
      <c r="QLH31" s="204"/>
      <c r="QLI31" s="204"/>
      <c r="QLJ31" s="204"/>
      <c r="QLK31" s="204"/>
      <c r="QLL31" s="204"/>
      <c r="QLM31" s="204"/>
      <c r="QLN31" s="204"/>
      <c r="QLO31" s="204"/>
      <c r="QLP31" s="204"/>
      <c r="QLQ31" s="204"/>
      <c r="QLR31" s="204"/>
      <c r="QLS31" s="204"/>
      <c r="QLT31" s="204"/>
      <c r="QLU31" s="204"/>
      <c r="QLV31" s="204"/>
      <c r="QLW31" s="204"/>
      <c r="QLX31" s="204"/>
      <c r="QLY31" s="204"/>
      <c r="QLZ31" s="204"/>
      <c r="QMA31" s="204"/>
      <c r="QMB31" s="204"/>
      <c r="QMC31" s="204"/>
      <c r="QMD31" s="204"/>
      <c r="QME31" s="204"/>
      <c r="QMF31" s="204"/>
      <c r="QMG31" s="204"/>
      <c r="QMH31" s="204"/>
      <c r="QMI31" s="204"/>
      <c r="QMJ31" s="204"/>
      <c r="QMK31" s="204"/>
      <c r="QML31" s="204"/>
      <c r="QMM31" s="204"/>
      <c r="QMN31" s="204"/>
      <c r="QMO31" s="204"/>
      <c r="QMP31" s="204"/>
      <c r="QMQ31" s="204"/>
      <c r="QMR31" s="204"/>
      <c r="QMS31" s="204"/>
      <c r="QMT31" s="204"/>
      <c r="QMU31" s="204"/>
      <c r="QMV31" s="204"/>
      <c r="QMW31" s="204"/>
      <c r="QMX31" s="204"/>
      <c r="QMY31" s="204"/>
      <c r="QMZ31" s="204"/>
      <c r="QNA31" s="204"/>
      <c r="QNB31" s="204"/>
      <c r="QNC31" s="204"/>
      <c r="QND31" s="204"/>
      <c r="QNE31" s="204"/>
      <c r="QNF31" s="204"/>
      <c r="QNG31" s="204"/>
      <c r="QNH31" s="204"/>
      <c r="QNI31" s="204"/>
      <c r="QNJ31" s="204"/>
      <c r="QNK31" s="204"/>
      <c r="QNL31" s="204"/>
      <c r="QNM31" s="204"/>
      <c r="QNN31" s="204"/>
      <c r="QNO31" s="204"/>
      <c r="QNP31" s="204"/>
      <c r="QNQ31" s="204"/>
      <c r="QNR31" s="204"/>
      <c r="QNS31" s="204"/>
      <c r="QNT31" s="204"/>
      <c r="QNU31" s="204"/>
      <c r="QNV31" s="204"/>
      <c r="QNW31" s="204"/>
      <c r="QNX31" s="204"/>
      <c r="QNY31" s="204"/>
      <c r="QNZ31" s="204"/>
      <c r="QOA31" s="204"/>
      <c r="QOB31" s="204"/>
      <c r="QOC31" s="204"/>
      <c r="QOD31" s="204"/>
      <c r="QOE31" s="204"/>
      <c r="QOF31" s="204"/>
      <c r="QOG31" s="204"/>
      <c r="QOH31" s="204"/>
      <c r="QOI31" s="204"/>
      <c r="QOJ31" s="204"/>
      <c r="QOK31" s="204"/>
      <c r="QOL31" s="204"/>
      <c r="QOM31" s="204"/>
      <c r="QON31" s="204"/>
      <c r="QOO31" s="204"/>
      <c r="QOP31" s="204"/>
      <c r="QOQ31" s="204"/>
      <c r="QOR31" s="204"/>
      <c r="QOS31" s="204"/>
      <c r="QOT31" s="204"/>
      <c r="QOU31" s="204"/>
      <c r="QOV31" s="204"/>
      <c r="QOW31" s="204"/>
      <c r="QOX31" s="204"/>
      <c r="QOY31" s="204"/>
      <c r="QOZ31" s="204"/>
      <c r="QPA31" s="204"/>
      <c r="QPB31" s="204"/>
      <c r="QPC31" s="204"/>
      <c r="QPD31" s="204"/>
      <c r="QPE31" s="204"/>
      <c r="QPF31" s="204"/>
      <c r="QPG31" s="204"/>
      <c r="QPH31" s="204"/>
      <c r="QPI31" s="204"/>
      <c r="QPJ31" s="204"/>
      <c r="QPK31" s="204"/>
      <c r="QPL31" s="204"/>
      <c r="QPM31" s="204"/>
      <c r="QPN31" s="204"/>
      <c r="QPO31" s="204"/>
      <c r="QPP31" s="204"/>
      <c r="QPQ31" s="204"/>
      <c r="QPR31" s="204"/>
      <c r="QPS31" s="204"/>
      <c r="QPT31" s="204"/>
      <c r="QPU31" s="204"/>
      <c r="QPV31" s="204"/>
      <c r="QPW31" s="204"/>
      <c r="QPX31" s="204"/>
      <c r="QPY31" s="204"/>
      <c r="QPZ31" s="204"/>
      <c r="QQA31" s="204"/>
      <c r="QQB31" s="204"/>
      <c r="QQC31" s="204"/>
      <c r="QQD31" s="204"/>
      <c r="QQE31" s="204"/>
      <c r="QQF31" s="204"/>
      <c r="QQG31" s="204"/>
      <c r="QQH31" s="204"/>
      <c r="QQI31" s="204"/>
      <c r="QQJ31" s="204"/>
      <c r="QQK31" s="204"/>
      <c r="QQL31" s="204"/>
      <c r="QQM31" s="204"/>
      <c r="QQN31" s="204"/>
      <c r="QQO31" s="204"/>
      <c r="QQP31" s="204"/>
      <c r="QQQ31" s="204"/>
      <c r="QQR31" s="204"/>
      <c r="QQS31" s="204"/>
      <c r="QQT31" s="204"/>
      <c r="QQU31" s="204"/>
      <c r="QQV31" s="204"/>
      <c r="QQW31" s="204"/>
      <c r="QQX31" s="204"/>
      <c r="QQY31" s="204"/>
      <c r="QQZ31" s="204"/>
      <c r="QRA31" s="204"/>
      <c r="QRB31" s="204"/>
      <c r="QRC31" s="204"/>
      <c r="QRD31" s="204"/>
      <c r="QRE31" s="204"/>
      <c r="QRF31" s="204"/>
      <c r="QRG31" s="204"/>
      <c r="QRH31" s="204"/>
      <c r="QRI31" s="204"/>
      <c r="QRJ31" s="204"/>
      <c r="QRK31" s="204"/>
      <c r="QRL31" s="204"/>
      <c r="QRM31" s="204"/>
      <c r="QRN31" s="204"/>
      <c r="QRO31" s="204"/>
      <c r="QRP31" s="204"/>
      <c r="QRQ31" s="204"/>
      <c r="QRR31" s="204"/>
      <c r="QRS31" s="204"/>
      <c r="QRT31" s="204"/>
      <c r="QRU31" s="204"/>
      <c r="QRV31" s="204"/>
      <c r="QRW31" s="204"/>
      <c r="QRX31" s="204"/>
      <c r="QRY31" s="204"/>
      <c r="QRZ31" s="204"/>
      <c r="QSA31" s="204"/>
      <c r="QSB31" s="204"/>
      <c r="QSC31" s="204"/>
      <c r="QSD31" s="204"/>
      <c r="QSE31" s="204"/>
      <c r="QSF31" s="204"/>
      <c r="QSG31" s="204"/>
      <c r="QSH31" s="204"/>
      <c r="QSI31" s="204"/>
      <c r="QSJ31" s="204"/>
      <c r="QSK31" s="204"/>
      <c r="QSL31" s="204"/>
      <c r="QSM31" s="204"/>
      <c r="QSN31" s="204"/>
      <c r="QSO31" s="204"/>
      <c r="QSP31" s="204"/>
      <c r="QSQ31" s="204"/>
      <c r="QSR31" s="204"/>
      <c r="QSS31" s="204"/>
      <c r="QST31" s="204"/>
      <c r="QSU31" s="204"/>
      <c r="QSV31" s="204"/>
      <c r="QSW31" s="204"/>
      <c r="QSX31" s="204"/>
      <c r="QSY31" s="204"/>
      <c r="QSZ31" s="204"/>
      <c r="QTA31" s="204"/>
      <c r="QTB31" s="204"/>
      <c r="QTC31" s="204"/>
      <c r="QTD31" s="204"/>
      <c r="QTE31" s="204"/>
      <c r="QTF31" s="204"/>
      <c r="QTG31" s="204"/>
      <c r="QTH31" s="204"/>
      <c r="QTI31" s="204"/>
      <c r="QTJ31" s="204"/>
      <c r="QTK31" s="204"/>
      <c r="QTL31" s="204"/>
      <c r="QTM31" s="204"/>
      <c r="QTN31" s="204"/>
      <c r="QTO31" s="204"/>
      <c r="QTP31" s="204"/>
      <c r="QTQ31" s="204"/>
      <c r="QTR31" s="204"/>
      <c r="QTS31" s="204"/>
      <c r="QTT31" s="204"/>
      <c r="QTU31" s="204"/>
      <c r="QTV31" s="204"/>
      <c r="QTW31" s="204"/>
      <c r="QTX31" s="204"/>
      <c r="QTY31" s="204"/>
      <c r="QTZ31" s="204"/>
      <c r="QUA31" s="204"/>
      <c r="QUB31" s="204"/>
      <c r="QUC31" s="204"/>
      <c r="QUD31" s="204"/>
      <c r="QUE31" s="204"/>
      <c r="QUF31" s="204"/>
      <c r="QUG31" s="204"/>
      <c r="QUH31" s="204"/>
      <c r="QUI31" s="204"/>
      <c r="QUJ31" s="204"/>
      <c r="QUK31" s="204"/>
      <c r="QUL31" s="204"/>
      <c r="QUM31" s="204"/>
      <c r="QUN31" s="204"/>
      <c r="QUO31" s="204"/>
      <c r="QUP31" s="204"/>
      <c r="QUQ31" s="204"/>
      <c r="QUR31" s="204"/>
      <c r="QUS31" s="204"/>
      <c r="QUT31" s="204"/>
      <c r="QUU31" s="204"/>
      <c r="QUV31" s="204"/>
      <c r="QUW31" s="204"/>
      <c r="QUX31" s="204"/>
      <c r="QUY31" s="204"/>
      <c r="QUZ31" s="204"/>
      <c r="QVA31" s="204"/>
      <c r="QVB31" s="204"/>
      <c r="QVC31" s="204"/>
      <c r="QVD31" s="204"/>
      <c r="QVE31" s="204"/>
      <c r="QVF31" s="204"/>
      <c r="QVG31" s="204"/>
      <c r="QVH31" s="204"/>
      <c r="QVI31" s="204"/>
      <c r="QVJ31" s="204"/>
      <c r="QVK31" s="204"/>
      <c r="QVL31" s="204"/>
      <c r="QVM31" s="204"/>
      <c r="QVN31" s="204"/>
      <c r="QVO31" s="204"/>
      <c r="QVP31" s="204"/>
      <c r="QVQ31" s="204"/>
      <c r="QVR31" s="204"/>
      <c r="QVS31" s="204"/>
      <c r="QVT31" s="204"/>
      <c r="QVU31" s="204"/>
      <c r="QVV31" s="204"/>
      <c r="QVW31" s="204"/>
      <c r="QVX31" s="204"/>
      <c r="QVY31" s="204"/>
      <c r="QVZ31" s="204"/>
      <c r="QWA31" s="204"/>
      <c r="QWB31" s="204"/>
      <c r="QWC31" s="204"/>
      <c r="QWD31" s="204"/>
      <c r="QWE31" s="204"/>
      <c r="QWF31" s="204"/>
      <c r="QWG31" s="204"/>
      <c r="QWH31" s="204"/>
      <c r="QWI31" s="204"/>
      <c r="QWJ31" s="204"/>
      <c r="QWK31" s="204"/>
      <c r="QWL31" s="204"/>
      <c r="QWM31" s="204"/>
      <c r="QWN31" s="204"/>
      <c r="QWO31" s="204"/>
      <c r="QWP31" s="204"/>
      <c r="QWQ31" s="204"/>
      <c r="QWR31" s="204"/>
      <c r="QWS31" s="204"/>
      <c r="QWT31" s="204"/>
      <c r="QWU31" s="204"/>
      <c r="QWV31" s="204"/>
      <c r="QWW31" s="204"/>
      <c r="QWX31" s="204"/>
      <c r="QWY31" s="204"/>
      <c r="QWZ31" s="204"/>
      <c r="QXA31" s="204"/>
      <c r="QXB31" s="204"/>
      <c r="QXC31" s="204"/>
      <c r="QXD31" s="204"/>
      <c r="QXE31" s="204"/>
      <c r="QXF31" s="204"/>
      <c r="QXG31" s="204"/>
      <c r="QXH31" s="204"/>
      <c r="QXI31" s="204"/>
      <c r="QXJ31" s="204"/>
      <c r="QXK31" s="204"/>
      <c r="QXL31" s="204"/>
      <c r="QXM31" s="204"/>
      <c r="QXN31" s="204"/>
      <c r="QXO31" s="204"/>
      <c r="QXP31" s="204"/>
      <c r="QXQ31" s="204"/>
      <c r="QXR31" s="204"/>
      <c r="QXS31" s="204"/>
      <c r="QXT31" s="204"/>
      <c r="QXU31" s="204"/>
      <c r="QXV31" s="204"/>
      <c r="QXW31" s="204"/>
      <c r="QXX31" s="204"/>
      <c r="QXY31" s="204"/>
      <c r="QXZ31" s="204"/>
      <c r="QYA31" s="204"/>
      <c r="QYB31" s="204"/>
      <c r="QYC31" s="204"/>
      <c r="QYD31" s="204"/>
      <c r="QYE31" s="204"/>
      <c r="QYF31" s="204"/>
      <c r="QYG31" s="204"/>
      <c r="QYH31" s="204"/>
      <c r="QYI31" s="204"/>
      <c r="QYJ31" s="204"/>
      <c r="QYK31" s="204"/>
      <c r="QYL31" s="204"/>
      <c r="QYM31" s="204"/>
      <c r="QYN31" s="204"/>
      <c r="QYO31" s="204"/>
      <c r="QYP31" s="204"/>
      <c r="QYQ31" s="204"/>
      <c r="QYR31" s="204"/>
      <c r="QYS31" s="204"/>
      <c r="QYT31" s="204"/>
      <c r="QYU31" s="204"/>
      <c r="QYV31" s="204"/>
      <c r="QYW31" s="204"/>
      <c r="QYX31" s="204"/>
      <c r="QYY31" s="204"/>
      <c r="QYZ31" s="204"/>
      <c r="QZA31" s="204"/>
      <c r="QZB31" s="204"/>
      <c r="QZC31" s="204"/>
      <c r="QZD31" s="204"/>
      <c r="QZE31" s="204"/>
      <c r="QZF31" s="204"/>
      <c r="QZG31" s="204"/>
      <c r="QZH31" s="204"/>
      <c r="QZI31" s="204"/>
      <c r="QZJ31" s="204"/>
      <c r="QZK31" s="204"/>
      <c r="QZL31" s="204"/>
      <c r="QZM31" s="204"/>
      <c r="QZN31" s="204"/>
      <c r="QZO31" s="204"/>
      <c r="QZP31" s="204"/>
      <c r="QZQ31" s="204"/>
      <c r="QZR31" s="204"/>
      <c r="QZS31" s="204"/>
      <c r="QZT31" s="204"/>
      <c r="QZU31" s="204"/>
      <c r="QZV31" s="204"/>
      <c r="QZW31" s="204"/>
      <c r="QZX31" s="204"/>
      <c r="QZY31" s="204"/>
      <c r="QZZ31" s="204"/>
      <c r="RAA31" s="204"/>
      <c r="RAB31" s="204"/>
      <c r="RAC31" s="204"/>
      <c r="RAD31" s="204"/>
      <c r="RAE31" s="204"/>
      <c r="RAF31" s="204"/>
      <c r="RAG31" s="204"/>
      <c r="RAH31" s="204"/>
      <c r="RAI31" s="204"/>
      <c r="RAJ31" s="204"/>
      <c r="RAK31" s="204"/>
      <c r="RAL31" s="204"/>
      <c r="RAM31" s="204"/>
      <c r="RAN31" s="204"/>
      <c r="RAO31" s="204"/>
      <c r="RAP31" s="204"/>
      <c r="RAQ31" s="204"/>
      <c r="RAR31" s="204"/>
      <c r="RAS31" s="204"/>
      <c r="RAT31" s="204"/>
      <c r="RAU31" s="204"/>
      <c r="RAV31" s="204"/>
      <c r="RAW31" s="204"/>
      <c r="RAX31" s="204"/>
      <c r="RAY31" s="204"/>
      <c r="RAZ31" s="204"/>
      <c r="RBA31" s="204"/>
      <c r="RBB31" s="204"/>
      <c r="RBC31" s="204"/>
      <c r="RBD31" s="204"/>
      <c r="RBE31" s="204"/>
      <c r="RBF31" s="204"/>
      <c r="RBG31" s="204"/>
      <c r="RBH31" s="204"/>
      <c r="RBI31" s="204"/>
      <c r="RBJ31" s="204"/>
      <c r="RBK31" s="204"/>
      <c r="RBL31" s="204"/>
      <c r="RBM31" s="204"/>
      <c r="RBN31" s="204"/>
      <c r="RBO31" s="204"/>
      <c r="RBP31" s="204"/>
      <c r="RBQ31" s="204"/>
      <c r="RBR31" s="204"/>
      <c r="RBS31" s="204"/>
      <c r="RBT31" s="204"/>
      <c r="RBU31" s="204"/>
      <c r="RBV31" s="204"/>
      <c r="RBW31" s="204"/>
      <c r="RBX31" s="204"/>
      <c r="RBY31" s="204"/>
      <c r="RBZ31" s="204"/>
      <c r="RCA31" s="204"/>
      <c r="RCB31" s="204"/>
      <c r="RCC31" s="204"/>
      <c r="RCD31" s="204"/>
      <c r="RCE31" s="204"/>
      <c r="RCF31" s="204"/>
      <c r="RCG31" s="204"/>
      <c r="RCH31" s="204"/>
      <c r="RCI31" s="204"/>
      <c r="RCJ31" s="204"/>
      <c r="RCK31" s="204"/>
      <c r="RCL31" s="204"/>
      <c r="RCM31" s="204"/>
      <c r="RCN31" s="204"/>
      <c r="RCO31" s="204"/>
      <c r="RCP31" s="204"/>
      <c r="RCQ31" s="204"/>
      <c r="RCR31" s="204"/>
      <c r="RCS31" s="204"/>
      <c r="RCT31" s="204"/>
      <c r="RCU31" s="204"/>
      <c r="RCV31" s="204"/>
      <c r="RCW31" s="204"/>
      <c r="RCX31" s="204"/>
      <c r="RCY31" s="204"/>
      <c r="RCZ31" s="204"/>
      <c r="RDA31" s="204"/>
      <c r="RDB31" s="204"/>
      <c r="RDC31" s="204"/>
      <c r="RDD31" s="204"/>
      <c r="RDE31" s="204"/>
      <c r="RDF31" s="204"/>
      <c r="RDG31" s="204"/>
      <c r="RDH31" s="204"/>
      <c r="RDI31" s="204"/>
      <c r="RDJ31" s="204"/>
      <c r="RDK31" s="204"/>
      <c r="RDL31" s="204"/>
      <c r="RDM31" s="204"/>
      <c r="RDN31" s="204"/>
      <c r="RDO31" s="204"/>
      <c r="RDP31" s="204"/>
      <c r="RDQ31" s="204"/>
      <c r="RDR31" s="204"/>
      <c r="RDS31" s="204"/>
      <c r="RDT31" s="204"/>
      <c r="RDU31" s="204"/>
      <c r="RDV31" s="204"/>
      <c r="RDW31" s="204"/>
      <c r="RDX31" s="204"/>
      <c r="RDY31" s="204"/>
      <c r="RDZ31" s="204"/>
      <c r="REA31" s="204"/>
      <c r="REB31" s="204"/>
      <c r="REC31" s="204"/>
      <c r="RED31" s="204"/>
      <c r="REE31" s="204"/>
      <c r="REF31" s="204"/>
      <c r="REG31" s="204"/>
      <c r="REH31" s="204"/>
      <c r="REI31" s="204"/>
      <c r="REJ31" s="204"/>
      <c r="REK31" s="204"/>
      <c r="REL31" s="204"/>
      <c r="REM31" s="204"/>
      <c r="REN31" s="204"/>
      <c r="REO31" s="204"/>
      <c r="REP31" s="204"/>
      <c r="REQ31" s="204"/>
      <c r="RER31" s="204"/>
      <c r="RES31" s="204"/>
      <c r="RET31" s="204"/>
      <c r="REU31" s="204"/>
      <c r="REV31" s="204"/>
      <c r="REW31" s="204"/>
      <c r="REX31" s="204"/>
      <c r="REY31" s="204"/>
      <c r="REZ31" s="204"/>
      <c r="RFA31" s="204"/>
      <c r="RFB31" s="204"/>
      <c r="RFC31" s="204"/>
      <c r="RFD31" s="204"/>
      <c r="RFE31" s="204"/>
      <c r="RFF31" s="204"/>
      <c r="RFG31" s="204"/>
      <c r="RFH31" s="204"/>
      <c r="RFI31" s="204"/>
      <c r="RFJ31" s="204"/>
      <c r="RFK31" s="204"/>
      <c r="RFL31" s="204"/>
      <c r="RFM31" s="204"/>
      <c r="RFN31" s="204"/>
      <c r="RFO31" s="204"/>
      <c r="RFP31" s="204"/>
      <c r="RFQ31" s="204"/>
      <c r="RFR31" s="204"/>
      <c r="RFS31" s="204"/>
      <c r="RFT31" s="204"/>
      <c r="RFU31" s="204"/>
      <c r="RFV31" s="204"/>
      <c r="RFW31" s="204"/>
      <c r="RFX31" s="204"/>
      <c r="RFY31" s="204"/>
      <c r="RFZ31" s="204"/>
      <c r="RGA31" s="204"/>
      <c r="RGB31" s="204"/>
      <c r="RGC31" s="204"/>
      <c r="RGD31" s="204"/>
      <c r="RGE31" s="204"/>
      <c r="RGF31" s="204"/>
      <c r="RGG31" s="204"/>
      <c r="RGH31" s="204"/>
      <c r="RGI31" s="204"/>
      <c r="RGJ31" s="204"/>
      <c r="RGK31" s="204"/>
      <c r="RGL31" s="204"/>
      <c r="RGM31" s="204"/>
      <c r="RGN31" s="204"/>
      <c r="RGO31" s="204"/>
      <c r="RGP31" s="204"/>
      <c r="RGQ31" s="204"/>
      <c r="RGR31" s="204"/>
      <c r="RGS31" s="204"/>
      <c r="RGT31" s="204"/>
      <c r="RGU31" s="204"/>
      <c r="RGV31" s="204"/>
      <c r="RGW31" s="204"/>
      <c r="RGX31" s="204"/>
      <c r="RGY31" s="204"/>
      <c r="RGZ31" s="204"/>
      <c r="RHA31" s="204"/>
      <c r="RHB31" s="204"/>
      <c r="RHC31" s="204"/>
      <c r="RHD31" s="204"/>
      <c r="RHE31" s="204"/>
      <c r="RHF31" s="204"/>
      <c r="RHG31" s="204"/>
      <c r="RHH31" s="204"/>
      <c r="RHI31" s="204"/>
      <c r="RHJ31" s="204"/>
      <c r="RHK31" s="204"/>
      <c r="RHL31" s="204"/>
      <c r="RHM31" s="204"/>
      <c r="RHN31" s="204"/>
      <c r="RHO31" s="204"/>
      <c r="RHP31" s="204"/>
      <c r="RHQ31" s="204"/>
      <c r="RHR31" s="204"/>
      <c r="RHS31" s="204"/>
      <c r="RHT31" s="204"/>
      <c r="RHU31" s="204"/>
      <c r="RHV31" s="204"/>
      <c r="RHW31" s="204"/>
      <c r="RHX31" s="204"/>
      <c r="RHY31" s="204"/>
      <c r="RHZ31" s="204"/>
      <c r="RIA31" s="204"/>
      <c r="RIB31" s="204"/>
      <c r="RIC31" s="204"/>
      <c r="RID31" s="204"/>
      <c r="RIE31" s="204"/>
      <c r="RIF31" s="204"/>
      <c r="RIG31" s="204"/>
      <c r="RIH31" s="204"/>
      <c r="RII31" s="204"/>
      <c r="RIJ31" s="204"/>
      <c r="RIK31" s="204"/>
      <c r="RIL31" s="204"/>
      <c r="RIM31" s="204"/>
      <c r="RIN31" s="204"/>
      <c r="RIO31" s="204"/>
      <c r="RIP31" s="204"/>
      <c r="RIQ31" s="204"/>
      <c r="RIR31" s="204"/>
      <c r="RIS31" s="204"/>
      <c r="RIT31" s="204"/>
      <c r="RIU31" s="204"/>
      <c r="RIV31" s="204"/>
      <c r="RIW31" s="204"/>
      <c r="RIX31" s="204"/>
      <c r="RIY31" s="204"/>
      <c r="RIZ31" s="204"/>
      <c r="RJA31" s="204"/>
      <c r="RJB31" s="204"/>
      <c r="RJC31" s="204"/>
      <c r="RJD31" s="204"/>
      <c r="RJE31" s="204"/>
      <c r="RJF31" s="204"/>
      <c r="RJG31" s="204"/>
      <c r="RJH31" s="204"/>
      <c r="RJI31" s="204"/>
      <c r="RJJ31" s="204"/>
      <c r="RJK31" s="204"/>
      <c r="RJL31" s="204"/>
      <c r="RJM31" s="204"/>
      <c r="RJN31" s="204"/>
      <c r="RJO31" s="204"/>
      <c r="RJP31" s="204"/>
      <c r="RJQ31" s="204"/>
      <c r="RJR31" s="204"/>
      <c r="RJS31" s="204"/>
      <c r="RJT31" s="204"/>
      <c r="RJU31" s="204"/>
      <c r="RJV31" s="204"/>
      <c r="RJW31" s="204"/>
      <c r="RJX31" s="204"/>
      <c r="RJY31" s="204"/>
      <c r="RJZ31" s="204"/>
      <c r="RKA31" s="204"/>
      <c r="RKB31" s="204"/>
      <c r="RKC31" s="204"/>
      <c r="RKD31" s="204"/>
      <c r="RKE31" s="204"/>
      <c r="RKF31" s="204"/>
      <c r="RKG31" s="204"/>
      <c r="RKH31" s="204"/>
      <c r="RKI31" s="204"/>
      <c r="RKJ31" s="204"/>
      <c r="RKK31" s="204"/>
      <c r="RKL31" s="204"/>
      <c r="RKM31" s="204"/>
      <c r="RKN31" s="204"/>
      <c r="RKO31" s="204"/>
      <c r="RKP31" s="204"/>
      <c r="RKQ31" s="204"/>
      <c r="RKR31" s="204"/>
      <c r="RKS31" s="204"/>
      <c r="RKT31" s="204"/>
      <c r="RKU31" s="204"/>
      <c r="RKV31" s="204"/>
      <c r="RKW31" s="204"/>
      <c r="RKX31" s="204"/>
      <c r="RKY31" s="204"/>
      <c r="RKZ31" s="204"/>
      <c r="RLA31" s="204"/>
      <c r="RLB31" s="204"/>
      <c r="RLC31" s="204"/>
      <c r="RLD31" s="204"/>
      <c r="RLE31" s="204"/>
      <c r="RLF31" s="204"/>
      <c r="RLG31" s="204"/>
      <c r="RLH31" s="204"/>
      <c r="RLI31" s="204"/>
      <c r="RLJ31" s="204"/>
      <c r="RLK31" s="204"/>
      <c r="RLL31" s="204"/>
      <c r="RLM31" s="204"/>
      <c r="RLN31" s="204"/>
      <c r="RLO31" s="204"/>
      <c r="RLP31" s="204"/>
      <c r="RLQ31" s="204"/>
      <c r="RLR31" s="204"/>
      <c r="RLS31" s="204"/>
      <c r="RLT31" s="204"/>
      <c r="RLU31" s="204"/>
      <c r="RLV31" s="204"/>
      <c r="RLW31" s="204"/>
      <c r="RLX31" s="204"/>
      <c r="RLY31" s="204"/>
      <c r="RLZ31" s="204"/>
      <c r="RMA31" s="204"/>
      <c r="RMB31" s="204"/>
      <c r="RMC31" s="204"/>
      <c r="RMD31" s="204"/>
      <c r="RME31" s="204"/>
      <c r="RMF31" s="204"/>
      <c r="RMG31" s="204"/>
      <c r="RMH31" s="204"/>
      <c r="RMI31" s="204"/>
      <c r="RMJ31" s="204"/>
      <c r="RMK31" s="204"/>
      <c r="RML31" s="204"/>
      <c r="RMM31" s="204"/>
      <c r="RMN31" s="204"/>
      <c r="RMO31" s="204"/>
      <c r="RMP31" s="204"/>
      <c r="RMQ31" s="204"/>
      <c r="RMR31" s="204"/>
      <c r="RMS31" s="204"/>
      <c r="RMT31" s="204"/>
      <c r="RMU31" s="204"/>
      <c r="RMV31" s="204"/>
      <c r="RMW31" s="204"/>
      <c r="RMX31" s="204"/>
      <c r="RMY31" s="204"/>
      <c r="RMZ31" s="204"/>
      <c r="RNA31" s="204"/>
      <c r="RNB31" s="204"/>
      <c r="RNC31" s="204"/>
      <c r="RND31" s="204"/>
      <c r="RNE31" s="204"/>
      <c r="RNF31" s="204"/>
      <c r="RNG31" s="204"/>
      <c r="RNH31" s="204"/>
      <c r="RNI31" s="204"/>
      <c r="RNJ31" s="204"/>
      <c r="RNK31" s="204"/>
      <c r="RNL31" s="204"/>
      <c r="RNM31" s="204"/>
      <c r="RNN31" s="204"/>
      <c r="RNO31" s="204"/>
      <c r="RNP31" s="204"/>
      <c r="RNQ31" s="204"/>
      <c r="RNR31" s="204"/>
      <c r="RNS31" s="204"/>
      <c r="RNT31" s="204"/>
      <c r="RNU31" s="204"/>
      <c r="RNV31" s="204"/>
      <c r="RNW31" s="204"/>
      <c r="RNX31" s="204"/>
      <c r="RNY31" s="204"/>
      <c r="RNZ31" s="204"/>
      <c r="ROA31" s="204"/>
      <c r="ROB31" s="204"/>
      <c r="ROC31" s="204"/>
      <c r="ROD31" s="204"/>
      <c r="ROE31" s="204"/>
      <c r="ROF31" s="204"/>
      <c r="ROG31" s="204"/>
      <c r="ROH31" s="204"/>
      <c r="ROI31" s="204"/>
      <c r="ROJ31" s="204"/>
      <c r="ROK31" s="204"/>
      <c r="ROL31" s="204"/>
      <c r="ROM31" s="204"/>
      <c r="RON31" s="204"/>
      <c r="ROO31" s="204"/>
      <c r="ROP31" s="204"/>
      <c r="ROQ31" s="204"/>
      <c r="ROR31" s="204"/>
      <c r="ROS31" s="204"/>
      <c r="ROT31" s="204"/>
      <c r="ROU31" s="204"/>
      <c r="ROV31" s="204"/>
      <c r="ROW31" s="204"/>
      <c r="ROX31" s="204"/>
      <c r="ROY31" s="204"/>
      <c r="ROZ31" s="204"/>
      <c r="RPA31" s="204"/>
      <c r="RPB31" s="204"/>
      <c r="RPC31" s="204"/>
      <c r="RPD31" s="204"/>
      <c r="RPE31" s="204"/>
      <c r="RPF31" s="204"/>
      <c r="RPG31" s="204"/>
      <c r="RPH31" s="204"/>
      <c r="RPI31" s="204"/>
      <c r="RPJ31" s="204"/>
      <c r="RPK31" s="204"/>
      <c r="RPL31" s="204"/>
      <c r="RPM31" s="204"/>
      <c r="RPN31" s="204"/>
      <c r="RPO31" s="204"/>
      <c r="RPP31" s="204"/>
      <c r="RPQ31" s="204"/>
      <c r="RPR31" s="204"/>
      <c r="RPS31" s="204"/>
      <c r="RPT31" s="204"/>
      <c r="RPU31" s="204"/>
      <c r="RPV31" s="204"/>
      <c r="RPW31" s="204"/>
      <c r="RPX31" s="204"/>
      <c r="RPY31" s="204"/>
      <c r="RPZ31" s="204"/>
      <c r="RQA31" s="204"/>
      <c r="RQB31" s="204"/>
      <c r="RQC31" s="204"/>
      <c r="RQD31" s="204"/>
      <c r="RQE31" s="204"/>
      <c r="RQF31" s="204"/>
      <c r="RQG31" s="204"/>
      <c r="RQH31" s="204"/>
      <c r="RQI31" s="204"/>
      <c r="RQJ31" s="204"/>
      <c r="RQK31" s="204"/>
      <c r="RQL31" s="204"/>
      <c r="RQM31" s="204"/>
      <c r="RQN31" s="204"/>
      <c r="RQO31" s="204"/>
      <c r="RQP31" s="204"/>
      <c r="RQQ31" s="204"/>
      <c r="RQR31" s="204"/>
      <c r="RQS31" s="204"/>
      <c r="RQT31" s="204"/>
      <c r="RQU31" s="204"/>
      <c r="RQV31" s="204"/>
      <c r="RQW31" s="204"/>
      <c r="RQX31" s="204"/>
      <c r="RQY31" s="204"/>
      <c r="RQZ31" s="204"/>
      <c r="RRA31" s="204"/>
      <c r="RRB31" s="204"/>
      <c r="RRC31" s="204"/>
      <c r="RRD31" s="204"/>
      <c r="RRE31" s="204"/>
      <c r="RRF31" s="204"/>
      <c r="RRG31" s="204"/>
      <c r="RRH31" s="204"/>
      <c r="RRI31" s="204"/>
      <c r="RRJ31" s="204"/>
      <c r="RRK31" s="204"/>
      <c r="RRL31" s="204"/>
      <c r="RRM31" s="204"/>
      <c r="RRN31" s="204"/>
      <c r="RRO31" s="204"/>
      <c r="RRP31" s="204"/>
      <c r="RRQ31" s="204"/>
      <c r="RRR31" s="204"/>
      <c r="RRS31" s="204"/>
      <c r="RRT31" s="204"/>
      <c r="RRU31" s="204"/>
      <c r="RRV31" s="204"/>
      <c r="RRW31" s="204"/>
      <c r="RRX31" s="204"/>
      <c r="RRY31" s="204"/>
      <c r="RRZ31" s="204"/>
      <c r="RSA31" s="204"/>
      <c r="RSB31" s="204"/>
      <c r="RSC31" s="204"/>
      <c r="RSD31" s="204"/>
      <c r="RSE31" s="204"/>
      <c r="RSF31" s="204"/>
      <c r="RSG31" s="204"/>
      <c r="RSH31" s="204"/>
      <c r="RSI31" s="204"/>
      <c r="RSJ31" s="204"/>
      <c r="RSK31" s="204"/>
      <c r="RSL31" s="204"/>
      <c r="RSM31" s="204"/>
      <c r="RSN31" s="204"/>
      <c r="RSO31" s="204"/>
      <c r="RSP31" s="204"/>
      <c r="RSQ31" s="204"/>
      <c r="RSR31" s="204"/>
      <c r="RSS31" s="204"/>
      <c r="RST31" s="204"/>
      <c r="RSU31" s="204"/>
      <c r="RSV31" s="204"/>
      <c r="RSW31" s="204"/>
      <c r="RSX31" s="204"/>
      <c r="RSY31" s="204"/>
      <c r="RSZ31" s="204"/>
      <c r="RTA31" s="204"/>
      <c r="RTB31" s="204"/>
      <c r="RTC31" s="204"/>
      <c r="RTD31" s="204"/>
      <c r="RTE31" s="204"/>
      <c r="RTF31" s="204"/>
      <c r="RTG31" s="204"/>
      <c r="RTH31" s="204"/>
      <c r="RTI31" s="204"/>
      <c r="RTJ31" s="204"/>
      <c r="RTK31" s="204"/>
      <c r="RTL31" s="204"/>
      <c r="RTM31" s="204"/>
      <c r="RTN31" s="204"/>
      <c r="RTO31" s="204"/>
      <c r="RTP31" s="204"/>
      <c r="RTQ31" s="204"/>
      <c r="RTR31" s="204"/>
      <c r="RTS31" s="204"/>
      <c r="RTT31" s="204"/>
      <c r="RTU31" s="204"/>
      <c r="RTV31" s="204"/>
      <c r="RTW31" s="204"/>
      <c r="RTX31" s="204"/>
      <c r="RTY31" s="204"/>
      <c r="RTZ31" s="204"/>
      <c r="RUA31" s="204"/>
      <c r="RUB31" s="204"/>
      <c r="RUC31" s="204"/>
      <c r="RUD31" s="204"/>
      <c r="RUE31" s="204"/>
      <c r="RUF31" s="204"/>
      <c r="RUG31" s="204"/>
      <c r="RUH31" s="204"/>
      <c r="RUI31" s="204"/>
      <c r="RUJ31" s="204"/>
      <c r="RUK31" s="204"/>
      <c r="RUL31" s="204"/>
      <c r="RUM31" s="204"/>
      <c r="RUN31" s="204"/>
      <c r="RUO31" s="204"/>
      <c r="RUP31" s="204"/>
      <c r="RUQ31" s="204"/>
      <c r="RUR31" s="204"/>
      <c r="RUS31" s="204"/>
      <c r="RUT31" s="204"/>
      <c r="RUU31" s="204"/>
      <c r="RUV31" s="204"/>
      <c r="RUW31" s="204"/>
      <c r="RUX31" s="204"/>
      <c r="RUY31" s="204"/>
      <c r="RUZ31" s="204"/>
      <c r="RVA31" s="204"/>
      <c r="RVB31" s="204"/>
      <c r="RVC31" s="204"/>
      <c r="RVD31" s="204"/>
      <c r="RVE31" s="204"/>
      <c r="RVF31" s="204"/>
      <c r="RVG31" s="204"/>
      <c r="RVH31" s="204"/>
      <c r="RVI31" s="204"/>
      <c r="RVJ31" s="204"/>
      <c r="RVK31" s="204"/>
      <c r="RVL31" s="204"/>
      <c r="RVM31" s="204"/>
      <c r="RVN31" s="204"/>
      <c r="RVO31" s="204"/>
      <c r="RVP31" s="204"/>
      <c r="RVQ31" s="204"/>
      <c r="RVR31" s="204"/>
      <c r="RVS31" s="204"/>
      <c r="RVT31" s="204"/>
      <c r="RVU31" s="204"/>
      <c r="RVV31" s="204"/>
      <c r="RVW31" s="204"/>
      <c r="RVX31" s="204"/>
      <c r="RVY31" s="204"/>
      <c r="RVZ31" s="204"/>
      <c r="RWA31" s="204"/>
      <c r="RWB31" s="204"/>
      <c r="RWC31" s="204"/>
      <c r="RWD31" s="204"/>
      <c r="RWE31" s="204"/>
      <c r="RWF31" s="204"/>
      <c r="RWG31" s="204"/>
      <c r="RWH31" s="204"/>
      <c r="RWI31" s="204"/>
      <c r="RWJ31" s="204"/>
      <c r="RWK31" s="204"/>
      <c r="RWL31" s="204"/>
      <c r="RWM31" s="204"/>
      <c r="RWN31" s="204"/>
      <c r="RWO31" s="204"/>
      <c r="RWP31" s="204"/>
      <c r="RWQ31" s="204"/>
      <c r="RWR31" s="204"/>
      <c r="RWS31" s="204"/>
      <c r="RWT31" s="204"/>
      <c r="RWU31" s="204"/>
      <c r="RWV31" s="204"/>
      <c r="RWW31" s="204"/>
      <c r="RWX31" s="204"/>
      <c r="RWY31" s="204"/>
      <c r="RWZ31" s="204"/>
      <c r="RXA31" s="204"/>
      <c r="RXB31" s="204"/>
      <c r="RXC31" s="204"/>
      <c r="RXD31" s="204"/>
      <c r="RXE31" s="204"/>
      <c r="RXF31" s="204"/>
      <c r="RXG31" s="204"/>
      <c r="RXH31" s="204"/>
      <c r="RXI31" s="204"/>
      <c r="RXJ31" s="204"/>
      <c r="RXK31" s="204"/>
      <c r="RXL31" s="204"/>
      <c r="RXM31" s="204"/>
      <c r="RXN31" s="204"/>
      <c r="RXO31" s="204"/>
      <c r="RXP31" s="204"/>
      <c r="RXQ31" s="204"/>
      <c r="RXR31" s="204"/>
      <c r="RXS31" s="204"/>
      <c r="RXT31" s="204"/>
      <c r="RXU31" s="204"/>
      <c r="RXV31" s="204"/>
      <c r="RXW31" s="204"/>
      <c r="RXX31" s="204"/>
      <c r="RXY31" s="204"/>
      <c r="RXZ31" s="204"/>
      <c r="RYA31" s="204"/>
      <c r="RYB31" s="204"/>
      <c r="RYC31" s="204"/>
      <c r="RYD31" s="204"/>
      <c r="RYE31" s="204"/>
      <c r="RYF31" s="204"/>
      <c r="RYG31" s="204"/>
      <c r="RYH31" s="204"/>
      <c r="RYI31" s="204"/>
      <c r="RYJ31" s="204"/>
      <c r="RYK31" s="204"/>
      <c r="RYL31" s="204"/>
      <c r="RYM31" s="204"/>
      <c r="RYN31" s="204"/>
      <c r="RYO31" s="204"/>
      <c r="RYP31" s="204"/>
      <c r="RYQ31" s="204"/>
      <c r="RYR31" s="204"/>
      <c r="RYS31" s="204"/>
      <c r="RYT31" s="204"/>
      <c r="RYU31" s="204"/>
      <c r="RYV31" s="204"/>
      <c r="RYW31" s="204"/>
      <c r="RYX31" s="204"/>
      <c r="RYY31" s="204"/>
      <c r="RYZ31" s="204"/>
      <c r="RZA31" s="204"/>
      <c r="RZB31" s="204"/>
      <c r="RZC31" s="204"/>
      <c r="RZD31" s="204"/>
      <c r="RZE31" s="204"/>
      <c r="RZF31" s="204"/>
      <c r="RZG31" s="204"/>
      <c r="RZH31" s="204"/>
      <c r="RZI31" s="204"/>
      <c r="RZJ31" s="204"/>
      <c r="RZK31" s="204"/>
      <c r="RZL31" s="204"/>
      <c r="RZM31" s="204"/>
      <c r="RZN31" s="204"/>
      <c r="RZO31" s="204"/>
      <c r="RZP31" s="204"/>
      <c r="RZQ31" s="204"/>
      <c r="RZR31" s="204"/>
      <c r="RZS31" s="204"/>
      <c r="RZT31" s="204"/>
      <c r="RZU31" s="204"/>
      <c r="RZV31" s="204"/>
      <c r="RZW31" s="204"/>
      <c r="RZX31" s="204"/>
      <c r="RZY31" s="204"/>
      <c r="RZZ31" s="204"/>
      <c r="SAA31" s="204"/>
      <c r="SAB31" s="204"/>
      <c r="SAC31" s="204"/>
      <c r="SAD31" s="204"/>
      <c r="SAE31" s="204"/>
      <c r="SAF31" s="204"/>
      <c r="SAG31" s="204"/>
      <c r="SAH31" s="204"/>
      <c r="SAI31" s="204"/>
      <c r="SAJ31" s="204"/>
      <c r="SAK31" s="204"/>
      <c r="SAL31" s="204"/>
      <c r="SAM31" s="204"/>
      <c r="SAN31" s="204"/>
      <c r="SAO31" s="204"/>
      <c r="SAP31" s="204"/>
      <c r="SAQ31" s="204"/>
      <c r="SAR31" s="204"/>
      <c r="SAS31" s="204"/>
      <c r="SAT31" s="204"/>
      <c r="SAU31" s="204"/>
      <c r="SAV31" s="204"/>
      <c r="SAW31" s="204"/>
      <c r="SAX31" s="204"/>
      <c r="SAY31" s="204"/>
      <c r="SAZ31" s="204"/>
      <c r="SBA31" s="204"/>
      <c r="SBB31" s="204"/>
      <c r="SBC31" s="204"/>
      <c r="SBD31" s="204"/>
      <c r="SBE31" s="204"/>
      <c r="SBF31" s="204"/>
      <c r="SBG31" s="204"/>
      <c r="SBH31" s="204"/>
      <c r="SBI31" s="204"/>
      <c r="SBJ31" s="204"/>
      <c r="SBK31" s="204"/>
      <c r="SBL31" s="204"/>
      <c r="SBM31" s="204"/>
      <c r="SBN31" s="204"/>
      <c r="SBO31" s="204"/>
      <c r="SBP31" s="204"/>
      <c r="SBQ31" s="204"/>
      <c r="SBR31" s="204"/>
      <c r="SBS31" s="204"/>
      <c r="SBT31" s="204"/>
      <c r="SBU31" s="204"/>
      <c r="SBV31" s="204"/>
      <c r="SBW31" s="204"/>
      <c r="SBX31" s="204"/>
      <c r="SBY31" s="204"/>
      <c r="SBZ31" s="204"/>
      <c r="SCA31" s="204"/>
      <c r="SCB31" s="204"/>
      <c r="SCC31" s="204"/>
      <c r="SCD31" s="204"/>
      <c r="SCE31" s="204"/>
      <c r="SCF31" s="204"/>
      <c r="SCG31" s="204"/>
      <c r="SCH31" s="204"/>
      <c r="SCI31" s="204"/>
      <c r="SCJ31" s="204"/>
      <c r="SCK31" s="204"/>
      <c r="SCL31" s="204"/>
      <c r="SCM31" s="204"/>
      <c r="SCN31" s="204"/>
      <c r="SCO31" s="204"/>
      <c r="SCP31" s="204"/>
      <c r="SCQ31" s="204"/>
      <c r="SCR31" s="204"/>
      <c r="SCS31" s="204"/>
      <c r="SCT31" s="204"/>
      <c r="SCU31" s="204"/>
      <c r="SCV31" s="204"/>
      <c r="SCW31" s="204"/>
      <c r="SCX31" s="204"/>
      <c r="SCY31" s="204"/>
      <c r="SCZ31" s="204"/>
      <c r="SDA31" s="204"/>
      <c r="SDB31" s="204"/>
      <c r="SDC31" s="204"/>
      <c r="SDD31" s="204"/>
      <c r="SDE31" s="204"/>
      <c r="SDF31" s="204"/>
      <c r="SDG31" s="204"/>
      <c r="SDH31" s="204"/>
      <c r="SDI31" s="204"/>
      <c r="SDJ31" s="204"/>
      <c r="SDK31" s="204"/>
      <c r="SDL31" s="204"/>
      <c r="SDM31" s="204"/>
      <c r="SDN31" s="204"/>
      <c r="SDO31" s="204"/>
      <c r="SDP31" s="204"/>
      <c r="SDQ31" s="204"/>
      <c r="SDR31" s="204"/>
      <c r="SDS31" s="204"/>
      <c r="SDT31" s="204"/>
      <c r="SDU31" s="204"/>
      <c r="SDV31" s="204"/>
      <c r="SDW31" s="204"/>
      <c r="SDX31" s="204"/>
      <c r="SDY31" s="204"/>
      <c r="SDZ31" s="204"/>
      <c r="SEA31" s="204"/>
      <c r="SEB31" s="204"/>
      <c r="SEC31" s="204"/>
      <c r="SED31" s="204"/>
      <c r="SEE31" s="204"/>
      <c r="SEF31" s="204"/>
      <c r="SEG31" s="204"/>
      <c r="SEH31" s="204"/>
      <c r="SEI31" s="204"/>
      <c r="SEJ31" s="204"/>
      <c r="SEK31" s="204"/>
      <c r="SEL31" s="204"/>
      <c r="SEM31" s="204"/>
      <c r="SEN31" s="204"/>
      <c r="SEO31" s="204"/>
      <c r="SEP31" s="204"/>
      <c r="SEQ31" s="204"/>
      <c r="SER31" s="204"/>
      <c r="SES31" s="204"/>
      <c r="SET31" s="204"/>
      <c r="SEU31" s="204"/>
      <c r="SEV31" s="204"/>
      <c r="SEW31" s="204"/>
      <c r="SEX31" s="204"/>
      <c r="SEY31" s="204"/>
      <c r="SEZ31" s="204"/>
      <c r="SFA31" s="204"/>
      <c r="SFB31" s="204"/>
      <c r="SFC31" s="204"/>
      <c r="SFD31" s="204"/>
      <c r="SFE31" s="204"/>
      <c r="SFF31" s="204"/>
      <c r="SFG31" s="204"/>
      <c r="SFH31" s="204"/>
      <c r="SFI31" s="204"/>
      <c r="SFJ31" s="204"/>
      <c r="SFK31" s="204"/>
      <c r="SFL31" s="204"/>
      <c r="SFM31" s="204"/>
      <c r="SFN31" s="204"/>
      <c r="SFO31" s="204"/>
      <c r="SFP31" s="204"/>
      <c r="SFQ31" s="204"/>
      <c r="SFR31" s="204"/>
      <c r="SFS31" s="204"/>
      <c r="SFT31" s="204"/>
      <c r="SFU31" s="204"/>
      <c r="SFV31" s="204"/>
      <c r="SFW31" s="204"/>
      <c r="SFX31" s="204"/>
      <c r="SFY31" s="204"/>
      <c r="SFZ31" s="204"/>
      <c r="SGA31" s="204"/>
      <c r="SGB31" s="204"/>
      <c r="SGC31" s="204"/>
      <c r="SGD31" s="204"/>
      <c r="SGE31" s="204"/>
      <c r="SGF31" s="204"/>
      <c r="SGG31" s="204"/>
      <c r="SGH31" s="204"/>
      <c r="SGI31" s="204"/>
      <c r="SGJ31" s="204"/>
      <c r="SGK31" s="204"/>
      <c r="SGL31" s="204"/>
      <c r="SGM31" s="204"/>
      <c r="SGN31" s="204"/>
      <c r="SGO31" s="204"/>
      <c r="SGP31" s="204"/>
      <c r="SGQ31" s="204"/>
      <c r="SGR31" s="204"/>
      <c r="SGS31" s="204"/>
      <c r="SGT31" s="204"/>
      <c r="SGU31" s="204"/>
      <c r="SGV31" s="204"/>
      <c r="SGW31" s="204"/>
      <c r="SGX31" s="204"/>
      <c r="SGY31" s="204"/>
      <c r="SGZ31" s="204"/>
      <c r="SHA31" s="204"/>
      <c r="SHB31" s="204"/>
      <c r="SHC31" s="204"/>
      <c r="SHD31" s="204"/>
      <c r="SHE31" s="204"/>
      <c r="SHF31" s="204"/>
      <c r="SHG31" s="204"/>
      <c r="SHH31" s="204"/>
      <c r="SHI31" s="204"/>
      <c r="SHJ31" s="204"/>
      <c r="SHK31" s="204"/>
      <c r="SHL31" s="204"/>
      <c r="SHM31" s="204"/>
      <c r="SHN31" s="204"/>
      <c r="SHO31" s="204"/>
      <c r="SHP31" s="204"/>
      <c r="SHQ31" s="204"/>
      <c r="SHR31" s="204"/>
      <c r="SHS31" s="204"/>
      <c r="SHT31" s="204"/>
      <c r="SHU31" s="204"/>
      <c r="SHV31" s="204"/>
      <c r="SHW31" s="204"/>
      <c r="SHX31" s="204"/>
      <c r="SHY31" s="204"/>
      <c r="SHZ31" s="204"/>
      <c r="SIA31" s="204"/>
      <c r="SIB31" s="204"/>
      <c r="SIC31" s="204"/>
      <c r="SID31" s="204"/>
      <c r="SIE31" s="204"/>
      <c r="SIF31" s="204"/>
      <c r="SIG31" s="204"/>
      <c r="SIH31" s="204"/>
      <c r="SII31" s="204"/>
      <c r="SIJ31" s="204"/>
      <c r="SIK31" s="204"/>
      <c r="SIL31" s="204"/>
      <c r="SIM31" s="204"/>
      <c r="SIN31" s="204"/>
      <c r="SIO31" s="204"/>
      <c r="SIP31" s="204"/>
      <c r="SIQ31" s="204"/>
      <c r="SIR31" s="204"/>
      <c r="SIS31" s="204"/>
      <c r="SIT31" s="204"/>
      <c r="SIU31" s="204"/>
      <c r="SIV31" s="204"/>
      <c r="SIW31" s="204"/>
      <c r="SIX31" s="204"/>
      <c r="SIY31" s="204"/>
      <c r="SIZ31" s="204"/>
      <c r="SJA31" s="204"/>
      <c r="SJB31" s="204"/>
      <c r="SJC31" s="204"/>
      <c r="SJD31" s="204"/>
      <c r="SJE31" s="204"/>
      <c r="SJF31" s="204"/>
      <c r="SJG31" s="204"/>
      <c r="SJH31" s="204"/>
      <c r="SJI31" s="204"/>
      <c r="SJJ31" s="204"/>
      <c r="SJK31" s="204"/>
      <c r="SJL31" s="204"/>
      <c r="SJM31" s="204"/>
      <c r="SJN31" s="204"/>
      <c r="SJO31" s="204"/>
      <c r="SJP31" s="204"/>
      <c r="SJQ31" s="204"/>
      <c r="SJR31" s="204"/>
      <c r="SJS31" s="204"/>
      <c r="SJT31" s="204"/>
      <c r="SJU31" s="204"/>
      <c r="SJV31" s="204"/>
      <c r="SJW31" s="204"/>
      <c r="SJX31" s="204"/>
      <c r="SJY31" s="204"/>
      <c r="SJZ31" s="204"/>
      <c r="SKA31" s="204"/>
      <c r="SKB31" s="204"/>
      <c r="SKC31" s="204"/>
      <c r="SKD31" s="204"/>
      <c r="SKE31" s="204"/>
      <c r="SKF31" s="204"/>
      <c r="SKG31" s="204"/>
      <c r="SKH31" s="204"/>
      <c r="SKI31" s="204"/>
      <c r="SKJ31" s="204"/>
      <c r="SKK31" s="204"/>
      <c r="SKL31" s="204"/>
      <c r="SKM31" s="204"/>
      <c r="SKN31" s="204"/>
      <c r="SKO31" s="204"/>
      <c r="SKP31" s="204"/>
      <c r="SKQ31" s="204"/>
      <c r="SKR31" s="204"/>
      <c r="SKS31" s="204"/>
      <c r="SKT31" s="204"/>
      <c r="SKU31" s="204"/>
      <c r="SKV31" s="204"/>
      <c r="SKW31" s="204"/>
      <c r="SKX31" s="204"/>
      <c r="SKY31" s="204"/>
      <c r="SKZ31" s="204"/>
      <c r="SLA31" s="204"/>
      <c r="SLB31" s="204"/>
      <c r="SLC31" s="204"/>
      <c r="SLD31" s="204"/>
      <c r="SLE31" s="204"/>
      <c r="SLF31" s="204"/>
      <c r="SLG31" s="204"/>
      <c r="SLH31" s="204"/>
      <c r="SLI31" s="204"/>
      <c r="SLJ31" s="204"/>
      <c r="SLK31" s="204"/>
      <c r="SLL31" s="204"/>
      <c r="SLM31" s="204"/>
      <c r="SLN31" s="204"/>
      <c r="SLO31" s="204"/>
      <c r="SLP31" s="204"/>
      <c r="SLQ31" s="204"/>
      <c r="SLR31" s="204"/>
      <c r="SLS31" s="204"/>
      <c r="SLT31" s="204"/>
      <c r="SLU31" s="204"/>
      <c r="SLV31" s="204"/>
      <c r="SLW31" s="204"/>
      <c r="SLX31" s="204"/>
      <c r="SLY31" s="204"/>
      <c r="SLZ31" s="204"/>
      <c r="SMA31" s="204"/>
      <c r="SMB31" s="204"/>
      <c r="SMC31" s="204"/>
      <c r="SMD31" s="204"/>
      <c r="SME31" s="204"/>
      <c r="SMF31" s="204"/>
      <c r="SMG31" s="204"/>
      <c r="SMH31" s="204"/>
      <c r="SMI31" s="204"/>
      <c r="SMJ31" s="204"/>
      <c r="SMK31" s="204"/>
      <c r="SML31" s="204"/>
      <c r="SMM31" s="204"/>
      <c r="SMN31" s="204"/>
      <c r="SMO31" s="204"/>
      <c r="SMP31" s="204"/>
      <c r="SMQ31" s="204"/>
      <c r="SMR31" s="204"/>
      <c r="SMS31" s="204"/>
      <c r="SMT31" s="204"/>
      <c r="SMU31" s="204"/>
      <c r="SMV31" s="204"/>
      <c r="SMW31" s="204"/>
      <c r="SMX31" s="204"/>
      <c r="SMY31" s="204"/>
      <c r="SMZ31" s="204"/>
      <c r="SNA31" s="204"/>
      <c r="SNB31" s="204"/>
      <c r="SNC31" s="204"/>
      <c r="SND31" s="204"/>
      <c r="SNE31" s="204"/>
      <c r="SNF31" s="204"/>
      <c r="SNG31" s="204"/>
      <c r="SNH31" s="204"/>
      <c r="SNI31" s="204"/>
      <c r="SNJ31" s="204"/>
      <c r="SNK31" s="204"/>
      <c r="SNL31" s="204"/>
      <c r="SNM31" s="204"/>
      <c r="SNN31" s="204"/>
      <c r="SNO31" s="204"/>
      <c r="SNP31" s="204"/>
      <c r="SNQ31" s="204"/>
      <c r="SNR31" s="204"/>
      <c r="SNS31" s="204"/>
      <c r="SNT31" s="204"/>
      <c r="SNU31" s="204"/>
      <c r="SNV31" s="204"/>
      <c r="SNW31" s="204"/>
      <c r="SNX31" s="204"/>
      <c r="SNY31" s="204"/>
      <c r="SNZ31" s="204"/>
      <c r="SOA31" s="204"/>
      <c r="SOB31" s="204"/>
      <c r="SOC31" s="204"/>
      <c r="SOD31" s="204"/>
      <c r="SOE31" s="204"/>
      <c r="SOF31" s="204"/>
      <c r="SOG31" s="204"/>
      <c r="SOH31" s="204"/>
      <c r="SOI31" s="204"/>
      <c r="SOJ31" s="204"/>
      <c r="SOK31" s="204"/>
      <c r="SOL31" s="204"/>
      <c r="SOM31" s="204"/>
      <c r="SON31" s="204"/>
      <c r="SOO31" s="204"/>
      <c r="SOP31" s="204"/>
      <c r="SOQ31" s="204"/>
      <c r="SOR31" s="204"/>
      <c r="SOS31" s="204"/>
      <c r="SOT31" s="204"/>
      <c r="SOU31" s="204"/>
      <c r="SOV31" s="204"/>
      <c r="SOW31" s="204"/>
      <c r="SOX31" s="204"/>
      <c r="SOY31" s="204"/>
      <c r="SOZ31" s="204"/>
      <c r="SPA31" s="204"/>
      <c r="SPB31" s="204"/>
      <c r="SPC31" s="204"/>
      <c r="SPD31" s="204"/>
      <c r="SPE31" s="204"/>
      <c r="SPF31" s="204"/>
      <c r="SPG31" s="204"/>
      <c r="SPH31" s="204"/>
      <c r="SPI31" s="204"/>
      <c r="SPJ31" s="204"/>
      <c r="SPK31" s="204"/>
      <c r="SPL31" s="204"/>
      <c r="SPM31" s="204"/>
      <c r="SPN31" s="204"/>
      <c r="SPO31" s="204"/>
      <c r="SPP31" s="204"/>
      <c r="SPQ31" s="204"/>
      <c r="SPR31" s="204"/>
      <c r="SPS31" s="204"/>
      <c r="SPT31" s="204"/>
      <c r="SPU31" s="204"/>
      <c r="SPV31" s="204"/>
      <c r="SPW31" s="204"/>
      <c r="SPX31" s="204"/>
      <c r="SPY31" s="204"/>
      <c r="SPZ31" s="204"/>
      <c r="SQA31" s="204"/>
      <c r="SQB31" s="204"/>
      <c r="SQC31" s="204"/>
      <c r="SQD31" s="204"/>
      <c r="SQE31" s="204"/>
      <c r="SQF31" s="204"/>
      <c r="SQG31" s="204"/>
      <c r="SQH31" s="204"/>
      <c r="SQI31" s="204"/>
      <c r="SQJ31" s="204"/>
      <c r="SQK31" s="204"/>
      <c r="SQL31" s="204"/>
      <c r="SQM31" s="204"/>
      <c r="SQN31" s="204"/>
      <c r="SQO31" s="204"/>
      <c r="SQP31" s="204"/>
      <c r="SQQ31" s="204"/>
      <c r="SQR31" s="204"/>
      <c r="SQS31" s="204"/>
      <c r="SQT31" s="204"/>
      <c r="SQU31" s="204"/>
      <c r="SQV31" s="204"/>
      <c r="SQW31" s="204"/>
      <c r="SQX31" s="204"/>
      <c r="SQY31" s="204"/>
      <c r="SQZ31" s="204"/>
      <c r="SRA31" s="204"/>
      <c r="SRB31" s="204"/>
      <c r="SRC31" s="204"/>
      <c r="SRD31" s="204"/>
      <c r="SRE31" s="204"/>
      <c r="SRF31" s="204"/>
      <c r="SRG31" s="204"/>
      <c r="SRH31" s="204"/>
      <c r="SRI31" s="204"/>
      <c r="SRJ31" s="204"/>
      <c r="SRK31" s="204"/>
      <c r="SRL31" s="204"/>
      <c r="SRM31" s="204"/>
      <c r="SRN31" s="204"/>
      <c r="SRO31" s="204"/>
      <c r="SRP31" s="204"/>
      <c r="SRQ31" s="204"/>
      <c r="SRR31" s="204"/>
      <c r="SRS31" s="204"/>
      <c r="SRT31" s="204"/>
      <c r="SRU31" s="204"/>
      <c r="SRV31" s="204"/>
      <c r="SRW31" s="204"/>
      <c r="SRX31" s="204"/>
      <c r="SRY31" s="204"/>
      <c r="SRZ31" s="204"/>
      <c r="SSA31" s="204"/>
      <c r="SSB31" s="204"/>
      <c r="SSC31" s="204"/>
      <c r="SSD31" s="204"/>
      <c r="SSE31" s="204"/>
      <c r="SSF31" s="204"/>
      <c r="SSG31" s="204"/>
      <c r="SSH31" s="204"/>
      <c r="SSI31" s="204"/>
      <c r="SSJ31" s="204"/>
      <c r="SSK31" s="204"/>
      <c r="SSL31" s="204"/>
      <c r="SSM31" s="204"/>
      <c r="SSN31" s="204"/>
      <c r="SSO31" s="204"/>
      <c r="SSP31" s="204"/>
      <c r="SSQ31" s="204"/>
      <c r="SSR31" s="204"/>
      <c r="SSS31" s="204"/>
      <c r="SST31" s="204"/>
      <c r="SSU31" s="204"/>
      <c r="SSV31" s="204"/>
      <c r="SSW31" s="204"/>
      <c r="SSX31" s="204"/>
      <c r="SSY31" s="204"/>
      <c r="SSZ31" s="204"/>
      <c r="STA31" s="204"/>
      <c r="STB31" s="204"/>
      <c r="STC31" s="204"/>
      <c r="STD31" s="204"/>
      <c r="STE31" s="204"/>
      <c r="STF31" s="204"/>
      <c r="STG31" s="204"/>
      <c r="STH31" s="204"/>
      <c r="STI31" s="204"/>
      <c r="STJ31" s="204"/>
      <c r="STK31" s="204"/>
      <c r="STL31" s="204"/>
      <c r="STM31" s="204"/>
      <c r="STN31" s="204"/>
      <c r="STO31" s="204"/>
      <c r="STP31" s="204"/>
      <c r="STQ31" s="204"/>
      <c r="STR31" s="204"/>
      <c r="STS31" s="204"/>
      <c r="STT31" s="204"/>
      <c r="STU31" s="204"/>
      <c r="STV31" s="204"/>
      <c r="STW31" s="204"/>
      <c r="STX31" s="204"/>
      <c r="STY31" s="204"/>
      <c r="STZ31" s="204"/>
      <c r="SUA31" s="204"/>
      <c r="SUB31" s="204"/>
      <c r="SUC31" s="204"/>
      <c r="SUD31" s="204"/>
      <c r="SUE31" s="204"/>
      <c r="SUF31" s="204"/>
      <c r="SUG31" s="204"/>
      <c r="SUH31" s="204"/>
      <c r="SUI31" s="204"/>
      <c r="SUJ31" s="204"/>
      <c r="SUK31" s="204"/>
      <c r="SUL31" s="204"/>
      <c r="SUM31" s="204"/>
      <c r="SUN31" s="204"/>
      <c r="SUO31" s="204"/>
      <c r="SUP31" s="204"/>
      <c r="SUQ31" s="204"/>
      <c r="SUR31" s="204"/>
      <c r="SUS31" s="204"/>
      <c r="SUT31" s="204"/>
      <c r="SUU31" s="204"/>
      <c r="SUV31" s="204"/>
      <c r="SUW31" s="204"/>
      <c r="SUX31" s="204"/>
      <c r="SUY31" s="204"/>
      <c r="SUZ31" s="204"/>
      <c r="SVA31" s="204"/>
      <c r="SVB31" s="204"/>
      <c r="SVC31" s="204"/>
      <c r="SVD31" s="204"/>
      <c r="SVE31" s="204"/>
      <c r="SVF31" s="204"/>
      <c r="SVG31" s="204"/>
      <c r="SVH31" s="204"/>
      <c r="SVI31" s="204"/>
      <c r="SVJ31" s="204"/>
      <c r="SVK31" s="204"/>
      <c r="SVL31" s="204"/>
      <c r="SVM31" s="204"/>
      <c r="SVN31" s="204"/>
      <c r="SVO31" s="204"/>
      <c r="SVP31" s="204"/>
      <c r="SVQ31" s="204"/>
      <c r="SVR31" s="204"/>
      <c r="SVS31" s="204"/>
      <c r="SVT31" s="204"/>
      <c r="SVU31" s="204"/>
      <c r="SVV31" s="204"/>
      <c r="SVW31" s="204"/>
      <c r="SVX31" s="204"/>
      <c r="SVY31" s="204"/>
      <c r="SVZ31" s="204"/>
      <c r="SWA31" s="204"/>
      <c r="SWB31" s="204"/>
      <c r="SWC31" s="204"/>
      <c r="SWD31" s="204"/>
      <c r="SWE31" s="204"/>
      <c r="SWF31" s="204"/>
      <c r="SWG31" s="204"/>
      <c r="SWH31" s="204"/>
      <c r="SWI31" s="204"/>
      <c r="SWJ31" s="204"/>
      <c r="SWK31" s="204"/>
      <c r="SWL31" s="204"/>
      <c r="SWM31" s="204"/>
      <c r="SWN31" s="204"/>
      <c r="SWO31" s="204"/>
      <c r="SWP31" s="204"/>
      <c r="SWQ31" s="204"/>
      <c r="SWR31" s="204"/>
      <c r="SWS31" s="204"/>
      <c r="SWT31" s="204"/>
      <c r="SWU31" s="204"/>
      <c r="SWV31" s="204"/>
      <c r="SWW31" s="204"/>
      <c r="SWX31" s="204"/>
      <c r="SWY31" s="204"/>
      <c r="SWZ31" s="204"/>
      <c r="SXA31" s="204"/>
      <c r="SXB31" s="204"/>
      <c r="SXC31" s="204"/>
      <c r="SXD31" s="204"/>
      <c r="SXE31" s="204"/>
      <c r="SXF31" s="204"/>
      <c r="SXG31" s="204"/>
      <c r="SXH31" s="204"/>
      <c r="SXI31" s="204"/>
      <c r="SXJ31" s="204"/>
      <c r="SXK31" s="204"/>
      <c r="SXL31" s="204"/>
      <c r="SXM31" s="204"/>
      <c r="SXN31" s="204"/>
      <c r="SXO31" s="204"/>
      <c r="SXP31" s="204"/>
      <c r="SXQ31" s="204"/>
      <c r="SXR31" s="204"/>
      <c r="SXS31" s="204"/>
      <c r="SXT31" s="204"/>
      <c r="SXU31" s="204"/>
      <c r="SXV31" s="204"/>
      <c r="SXW31" s="204"/>
      <c r="SXX31" s="204"/>
      <c r="SXY31" s="204"/>
      <c r="SXZ31" s="204"/>
      <c r="SYA31" s="204"/>
      <c r="SYB31" s="204"/>
      <c r="SYC31" s="204"/>
      <c r="SYD31" s="204"/>
      <c r="SYE31" s="204"/>
      <c r="SYF31" s="204"/>
      <c r="SYG31" s="204"/>
      <c r="SYH31" s="204"/>
      <c r="SYI31" s="204"/>
      <c r="SYJ31" s="204"/>
      <c r="SYK31" s="204"/>
      <c r="SYL31" s="204"/>
      <c r="SYM31" s="204"/>
      <c r="SYN31" s="204"/>
      <c r="SYO31" s="204"/>
      <c r="SYP31" s="204"/>
      <c r="SYQ31" s="204"/>
      <c r="SYR31" s="204"/>
      <c r="SYS31" s="204"/>
      <c r="SYT31" s="204"/>
      <c r="SYU31" s="204"/>
      <c r="SYV31" s="204"/>
      <c r="SYW31" s="204"/>
      <c r="SYX31" s="204"/>
      <c r="SYY31" s="204"/>
      <c r="SYZ31" s="204"/>
      <c r="SZA31" s="204"/>
      <c r="SZB31" s="204"/>
      <c r="SZC31" s="204"/>
      <c r="SZD31" s="204"/>
      <c r="SZE31" s="204"/>
      <c r="SZF31" s="204"/>
      <c r="SZG31" s="204"/>
      <c r="SZH31" s="204"/>
      <c r="SZI31" s="204"/>
      <c r="SZJ31" s="204"/>
      <c r="SZK31" s="204"/>
      <c r="SZL31" s="204"/>
      <c r="SZM31" s="204"/>
      <c r="SZN31" s="204"/>
      <c r="SZO31" s="204"/>
      <c r="SZP31" s="204"/>
      <c r="SZQ31" s="204"/>
      <c r="SZR31" s="204"/>
      <c r="SZS31" s="204"/>
      <c r="SZT31" s="204"/>
      <c r="SZU31" s="204"/>
      <c r="SZV31" s="204"/>
      <c r="SZW31" s="204"/>
      <c r="SZX31" s="204"/>
      <c r="SZY31" s="204"/>
      <c r="SZZ31" s="204"/>
      <c r="TAA31" s="204"/>
      <c r="TAB31" s="204"/>
      <c r="TAC31" s="204"/>
      <c r="TAD31" s="204"/>
      <c r="TAE31" s="204"/>
      <c r="TAF31" s="204"/>
      <c r="TAG31" s="204"/>
      <c r="TAH31" s="204"/>
      <c r="TAI31" s="204"/>
      <c r="TAJ31" s="204"/>
      <c r="TAK31" s="204"/>
      <c r="TAL31" s="204"/>
      <c r="TAM31" s="204"/>
      <c r="TAN31" s="204"/>
      <c r="TAO31" s="204"/>
      <c r="TAP31" s="204"/>
      <c r="TAQ31" s="204"/>
      <c r="TAR31" s="204"/>
      <c r="TAS31" s="204"/>
      <c r="TAT31" s="204"/>
      <c r="TAU31" s="204"/>
      <c r="TAV31" s="204"/>
      <c r="TAW31" s="204"/>
      <c r="TAX31" s="204"/>
      <c r="TAY31" s="204"/>
      <c r="TAZ31" s="204"/>
      <c r="TBA31" s="204"/>
      <c r="TBB31" s="204"/>
      <c r="TBC31" s="204"/>
      <c r="TBD31" s="204"/>
      <c r="TBE31" s="204"/>
      <c r="TBF31" s="204"/>
      <c r="TBG31" s="204"/>
      <c r="TBH31" s="204"/>
      <c r="TBI31" s="204"/>
      <c r="TBJ31" s="204"/>
      <c r="TBK31" s="204"/>
      <c r="TBL31" s="204"/>
      <c r="TBM31" s="204"/>
      <c r="TBN31" s="204"/>
      <c r="TBO31" s="204"/>
      <c r="TBP31" s="204"/>
      <c r="TBQ31" s="204"/>
      <c r="TBR31" s="204"/>
      <c r="TBS31" s="204"/>
      <c r="TBT31" s="204"/>
      <c r="TBU31" s="204"/>
      <c r="TBV31" s="204"/>
      <c r="TBW31" s="204"/>
      <c r="TBX31" s="204"/>
      <c r="TBY31" s="204"/>
      <c r="TBZ31" s="204"/>
      <c r="TCA31" s="204"/>
      <c r="TCB31" s="204"/>
      <c r="TCC31" s="204"/>
      <c r="TCD31" s="204"/>
      <c r="TCE31" s="204"/>
      <c r="TCF31" s="204"/>
      <c r="TCG31" s="204"/>
      <c r="TCH31" s="204"/>
      <c r="TCI31" s="204"/>
      <c r="TCJ31" s="204"/>
      <c r="TCK31" s="204"/>
      <c r="TCL31" s="204"/>
      <c r="TCM31" s="204"/>
      <c r="TCN31" s="204"/>
      <c r="TCO31" s="204"/>
      <c r="TCP31" s="204"/>
      <c r="TCQ31" s="204"/>
      <c r="TCR31" s="204"/>
      <c r="TCS31" s="204"/>
      <c r="TCT31" s="204"/>
      <c r="TCU31" s="204"/>
      <c r="TCV31" s="204"/>
      <c r="TCW31" s="204"/>
      <c r="TCX31" s="204"/>
      <c r="TCY31" s="204"/>
      <c r="TCZ31" s="204"/>
      <c r="TDA31" s="204"/>
      <c r="TDB31" s="204"/>
      <c r="TDC31" s="204"/>
      <c r="TDD31" s="204"/>
      <c r="TDE31" s="204"/>
      <c r="TDF31" s="204"/>
      <c r="TDG31" s="204"/>
      <c r="TDH31" s="204"/>
      <c r="TDI31" s="204"/>
      <c r="TDJ31" s="204"/>
      <c r="TDK31" s="204"/>
      <c r="TDL31" s="204"/>
      <c r="TDM31" s="204"/>
      <c r="TDN31" s="204"/>
      <c r="TDO31" s="204"/>
      <c r="TDP31" s="204"/>
      <c r="TDQ31" s="204"/>
      <c r="TDR31" s="204"/>
      <c r="TDS31" s="204"/>
      <c r="TDT31" s="204"/>
      <c r="TDU31" s="204"/>
      <c r="TDV31" s="204"/>
      <c r="TDW31" s="204"/>
      <c r="TDX31" s="204"/>
      <c r="TDY31" s="204"/>
      <c r="TDZ31" s="204"/>
      <c r="TEA31" s="204"/>
      <c r="TEB31" s="204"/>
      <c r="TEC31" s="204"/>
      <c r="TED31" s="204"/>
      <c r="TEE31" s="204"/>
      <c r="TEF31" s="204"/>
      <c r="TEG31" s="204"/>
      <c r="TEH31" s="204"/>
      <c r="TEI31" s="204"/>
      <c r="TEJ31" s="204"/>
      <c r="TEK31" s="204"/>
      <c r="TEL31" s="204"/>
      <c r="TEM31" s="204"/>
      <c r="TEN31" s="204"/>
      <c r="TEO31" s="204"/>
      <c r="TEP31" s="204"/>
      <c r="TEQ31" s="204"/>
      <c r="TER31" s="204"/>
      <c r="TES31" s="204"/>
      <c r="TET31" s="204"/>
      <c r="TEU31" s="204"/>
      <c r="TEV31" s="204"/>
      <c r="TEW31" s="204"/>
      <c r="TEX31" s="204"/>
      <c r="TEY31" s="204"/>
      <c r="TEZ31" s="204"/>
      <c r="TFA31" s="204"/>
      <c r="TFB31" s="204"/>
      <c r="TFC31" s="204"/>
      <c r="TFD31" s="204"/>
      <c r="TFE31" s="204"/>
      <c r="TFF31" s="204"/>
      <c r="TFG31" s="204"/>
      <c r="TFH31" s="204"/>
      <c r="TFI31" s="204"/>
      <c r="TFJ31" s="204"/>
      <c r="TFK31" s="204"/>
      <c r="TFL31" s="204"/>
      <c r="TFM31" s="204"/>
      <c r="TFN31" s="204"/>
      <c r="TFO31" s="204"/>
      <c r="TFP31" s="204"/>
      <c r="TFQ31" s="204"/>
      <c r="TFR31" s="204"/>
      <c r="TFS31" s="204"/>
      <c r="TFT31" s="204"/>
      <c r="TFU31" s="204"/>
      <c r="TFV31" s="204"/>
      <c r="TFW31" s="204"/>
      <c r="TFX31" s="204"/>
      <c r="TFY31" s="204"/>
      <c r="TFZ31" s="204"/>
      <c r="TGA31" s="204"/>
      <c r="TGB31" s="204"/>
      <c r="TGC31" s="204"/>
      <c r="TGD31" s="204"/>
      <c r="TGE31" s="204"/>
      <c r="TGF31" s="204"/>
      <c r="TGG31" s="204"/>
      <c r="TGH31" s="204"/>
      <c r="TGI31" s="204"/>
      <c r="TGJ31" s="204"/>
      <c r="TGK31" s="204"/>
      <c r="TGL31" s="204"/>
      <c r="TGM31" s="204"/>
      <c r="TGN31" s="204"/>
      <c r="TGO31" s="204"/>
      <c r="TGP31" s="204"/>
      <c r="TGQ31" s="204"/>
      <c r="TGR31" s="204"/>
      <c r="TGS31" s="204"/>
      <c r="TGT31" s="204"/>
      <c r="TGU31" s="204"/>
      <c r="TGV31" s="204"/>
      <c r="TGW31" s="204"/>
      <c r="TGX31" s="204"/>
      <c r="TGY31" s="204"/>
      <c r="TGZ31" s="204"/>
      <c r="THA31" s="204"/>
      <c r="THB31" s="204"/>
      <c r="THC31" s="204"/>
      <c r="THD31" s="204"/>
      <c r="THE31" s="204"/>
      <c r="THF31" s="204"/>
      <c r="THG31" s="204"/>
      <c r="THH31" s="204"/>
      <c r="THI31" s="204"/>
      <c r="THJ31" s="204"/>
      <c r="THK31" s="204"/>
      <c r="THL31" s="204"/>
      <c r="THM31" s="204"/>
      <c r="THN31" s="204"/>
      <c r="THO31" s="204"/>
      <c r="THP31" s="204"/>
      <c r="THQ31" s="204"/>
      <c r="THR31" s="204"/>
      <c r="THS31" s="204"/>
      <c r="THT31" s="204"/>
      <c r="THU31" s="204"/>
      <c r="THV31" s="204"/>
      <c r="THW31" s="204"/>
      <c r="THX31" s="204"/>
      <c r="THY31" s="204"/>
      <c r="THZ31" s="204"/>
      <c r="TIA31" s="204"/>
      <c r="TIB31" s="204"/>
      <c r="TIC31" s="204"/>
      <c r="TID31" s="204"/>
      <c r="TIE31" s="204"/>
      <c r="TIF31" s="204"/>
      <c r="TIG31" s="204"/>
      <c r="TIH31" s="204"/>
      <c r="TII31" s="204"/>
      <c r="TIJ31" s="204"/>
      <c r="TIK31" s="204"/>
      <c r="TIL31" s="204"/>
      <c r="TIM31" s="204"/>
      <c r="TIN31" s="204"/>
      <c r="TIO31" s="204"/>
      <c r="TIP31" s="204"/>
      <c r="TIQ31" s="204"/>
      <c r="TIR31" s="204"/>
      <c r="TIS31" s="204"/>
      <c r="TIT31" s="204"/>
      <c r="TIU31" s="204"/>
      <c r="TIV31" s="204"/>
      <c r="TIW31" s="204"/>
      <c r="TIX31" s="204"/>
      <c r="TIY31" s="204"/>
      <c r="TIZ31" s="204"/>
      <c r="TJA31" s="204"/>
      <c r="TJB31" s="204"/>
      <c r="TJC31" s="204"/>
      <c r="TJD31" s="204"/>
      <c r="TJE31" s="204"/>
      <c r="TJF31" s="204"/>
      <c r="TJG31" s="204"/>
      <c r="TJH31" s="204"/>
      <c r="TJI31" s="204"/>
      <c r="TJJ31" s="204"/>
      <c r="TJK31" s="204"/>
      <c r="TJL31" s="204"/>
      <c r="TJM31" s="204"/>
      <c r="TJN31" s="204"/>
      <c r="TJO31" s="204"/>
      <c r="TJP31" s="204"/>
      <c r="TJQ31" s="204"/>
      <c r="TJR31" s="204"/>
      <c r="TJS31" s="204"/>
      <c r="TJT31" s="204"/>
      <c r="TJU31" s="204"/>
      <c r="TJV31" s="204"/>
      <c r="TJW31" s="204"/>
      <c r="TJX31" s="204"/>
      <c r="TJY31" s="204"/>
      <c r="TJZ31" s="204"/>
      <c r="TKA31" s="204"/>
      <c r="TKB31" s="204"/>
      <c r="TKC31" s="204"/>
      <c r="TKD31" s="204"/>
      <c r="TKE31" s="204"/>
      <c r="TKF31" s="204"/>
      <c r="TKG31" s="204"/>
      <c r="TKH31" s="204"/>
      <c r="TKI31" s="204"/>
      <c r="TKJ31" s="204"/>
      <c r="TKK31" s="204"/>
      <c r="TKL31" s="204"/>
      <c r="TKM31" s="204"/>
      <c r="TKN31" s="204"/>
      <c r="TKO31" s="204"/>
      <c r="TKP31" s="204"/>
      <c r="TKQ31" s="204"/>
      <c r="TKR31" s="204"/>
      <c r="TKS31" s="204"/>
      <c r="TKT31" s="204"/>
      <c r="TKU31" s="204"/>
      <c r="TKV31" s="204"/>
      <c r="TKW31" s="204"/>
      <c r="TKX31" s="204"/>
      <c r="TKY31" s="204"/>
      <c r="TKZ31" s="204"/>
      <c r="TLA31" s="204"/>
      <c r="TLB31" s="204"/>
      <c r="TLC31" s="204"/>
      <c r="TLD31" s="204"/>
      <c r="TLE31" s="204"/>
      <c r="TLF31" s="204"/>
      <c r="TLG31" s="204"/>
      <c r="TLH31" s="204"/>
      <c r="TLI31" s="204"/>
      <c r="TLJ31" s="204"/>
      <c r="TLK31" s="204"/>
      <c r="TLL31" s="204"/>
      <c r="TLM31" s="204"/>
      <c r="TLN31" s="204"/>
      <c r="TLO31" s="204"/>
      <c r="TLP31" s="204"/>
      <c r="TLQ31" s="204"/>
      <c r="TLR31" s="204"/>
      <c r="TLS31" s="204"/>
      <c r="TLT31" s="204"/>
      <c r="TLU31" s="204"/>
      <c r="TLV31" s="204"/>
      <c r="TLW31" s="204"/>
      <c r="TLX31" s="204"/>
      <c r="TLY31" s="204"/>
      <c r="TLZ31" s="204"/>
      <c r="TMA31" s="204"/>
      <c r="TMB31" s="204"/>
      <c r="TMC31" s="204"/>
      <c r="TMD31" s="204"/>
      <c r="TME31" s="204"/>
      <c r="TMF31" s="204"/>
      <c r="TMG31" s="204"/>
      <c r="TMH31" s="204"/>
      <c r="TMI31" s="204"/>
      <c r="TMJ31" s="204"/>
      <c r="TMK31" s="204"/>
      <c r="TML31" s="204"/>
      <c r="TMM31" s="204"/>
      <c r="TMN31" s="204"/>
      <c r="TMO31" s="204"/>
      <c r="TMP31" s="204"/>
      <c r="TMQ31" s="204"/>
      <c r="TMR31" s="204"/>
      <c r="TMS31" s="204"/>
      <c r="TMT31" s="204"/>
      <c r="TMU31" s="204"/>
      <c r="TMV31" s="204"/>
      <c r="TMW31" s="204"/>
      <c r="TMX31" s="204"/>
      <c r="TMY31" s="204"/>
      <c r="TMZ31" s="204"/>
      <c r="TNA31" s="204"/>
      <c r="TNB31" s="204"/>
      <c r="TNC31" s="204"/>
      <c r="TND31" s="204"/>
      <c r="TNE31" s="204"/>
      <c r="TNF31" s="204"/>
      <c r="TNG31" s="204"/>
      <c r="TNH31" s="204"/>
      <c r="TNI31" s="204"/>
      <c r="TNJ31" s="204"/>
      <c r="TNK31" s="204"/>
      <c r="TNL31" s="204"/>
      <c r="TNM31" s="204"/>
      <c r="TNN31" s="204"/>
      <c r="TNO31" s="204"/>
      <c r="TNP31" s="204"/>
      <c r="TNQ31" s="204"/>
      <c r="TNR31" s="204"/>
      <c r="TNS31" s="204"/>
      <c r="TNT31" s="204"/>
      <c r="TNU31" s="204"/>
      <c r="TNV31" s="204"/>
      <c r="TNW31" s="204"/>
      <c r="TNX31" s="204"/>
      <c r="TNY31" s="204"/>
      <c r="TNZ31" s="204"/>
      <c r="TOA31" s="204"/>
      <c r="TOB31" s="204"/>
      <c r="TOC31" s="204"/>
      <c r="TOD31" s="204"/>
      <c r="TOE31" s="204"/>
      <c r="TOF31" s="204"/>
      <c r="TOG31" s="204"/>
      <c r="TOH31" s="204"/>
      <c r="TOI31" s="204"/>
      <c r="TOJ31" s="204"/>
      <c r="TOK31" s="204"/>
      <c r="TOL31" s="204"/>
      <c r="TOM31" s="204"/>
      <c r="TON31" s="204"/>
      <c r="TOO31" s="204"/>
      <c r="TOP31" s="204"/>
      <c r="TOQ31" s="204"/>
      <c r="TOR31" s="204"/>
      <c r="TOS31" s="204"/>
      <c r="TOT31" s="204"/>
      <c r="TOU31" s="204"/>
      <c r="TOV31" s="204"/>
      <c r="TOW31" s="204"/>
      <c r="TOX31" s="204"/>
      <c r="TOY31" s="204"/>
      <c r="TOZ31" s="204"/>
      <c r="TPA31" s="204"/>
      <c r="TPB31" s="204"/>
      <c r="TPC31" s="204"/>
      <c r="TPD31" s="204"/>
      <c r="TPE31" s="204"/>
      <c r="TPF31" s="204"/>
      <c r="TPG31" s="204"/>
      <c r="TPH31" s="204"/>
      <c r="TPI31" s="204"/>
      <c r="TPJ31" s="204"/>
      <c r="TPK31" s="204"/>
      <c r="TPL31" s="204"/>
      <c r="TPM31" s="204"/>
      <c r="TPN31" s="204"/>
      <c r="TPO31" s="204"/>
      <c r="TPP31" s="204"/>
      <c r="TPQ31" s="204"/>
      <c r="TPR31" s="204"/>
      <c r="TPS31" s="204"/>
      <c r="TPT31" s="204"/>
      <c r="TPU31" s="204"/>
      <c r="TPV31" s="204"/>
      <c r="TPW31" s="204"/>
      <c r="TPX31" s="204"/>
      <c r="TPY31" s="204"/>
      <c r="TPZ31" s="204"/>
      <c r="TQA31" s="204"/>
      <c r="TQB31" s="204"/>
      <c r="TQC31" s="204"/>
      <c r="TQD31" s="204"/>
      <c r="TQE31" s="204"/>
      <c r="TQF31" s="204"/>
      <c r="TQG31" s="204"/>
      <c r="TQH31" s="204"/>
      <c r="TQI31" s="204"/>
      <c r="TQJ31" s="204"/>
      <c r="TQK31" s="204"/>
      <c r="TQL31" s="204"/>
      <c r="TQM31" s="204"/>
      <c r="TQN31" s="204"/>
      <c r="TQO31" s="204"/>
      <c r="TQP31" s="204"/>
      <c r="TQQ31" s="204"/>
      <c r="TQR31" s="204"/>
      <c r="TQS31" s="204"/>
      <c r="TQT31" s="204"/>
      <c r="TQU31" s="204"/>
      <c r="TQV31" s="204"/>
      <c r="TQW31" s="204"/>
      <c r="TQX31" s="204"/>
      <c r="TQY31" s="204"/>
      <c r="TQZ31" s="204"/>
      <c r="TRA31" s="204"/>
      <c r="TRB31" s="204"/>
      <c r="TRC31" s="204"/>
      <c r="TRD31" s="204"/>
      <c r="TRE31" s="204"/>
      <c r="TRF31" s="204"/>
      <c r="TRG31" s="204"/>
      <c r="TRH31" s="204"/>
      <c r="TRI31" s="204"/>
      <c r="TRJ31" s="204"/>
      <c r="TRK31" s="204"/>
      <c r="TRL31" s="204"/>
      <c r="TRM31" s="204"/>
      <c r="TRN31" s="204"/>
      <c r="TRO31" s="204"/>
      <c r="TRP31" s="204"/>
      <c r="TRQ31" s="204"/>
      <c r="TRR31" s="204"/>
      <c r="TRS31" s="204"/>
      <c r="TRT31" s="204"/>
      <c r="TRU31" s="204"/>
      <c r="TRV31" s="204"/>
      <c r="TRW31" s="204"/>
      <c r="TRX31" s="204"/>
      <c r="TRY31" s="204"/>
      <c r="TRZ31" s="204"/>
      <c r="TSA31" s="204"/>
      <c r="TSB31" s="204"/>
      <c r="TSC31" s="204"/>
      <c r="TSD31" s="204"/>
      <c r="TSE31" s="204"/>
      <c r="TSF31" s="204"/>
      <c r="TSG31" s="204"/>
      <c r="TSH31" s="204"/>
      <c r="TSI31" s="204"/>
      <c r="TSJ31" s="204"/>
      <c r="TSK31" s="204"/>
      <c r="TSL31" s="204"/>
      <c r="TSM31" s="204"/>
      <c r="TSN31" s="204"/>
      <c r="TSO31" s="204"/>
      <c r="TSP31" s="204"/>
      <c r="TSQ31" s="204"/>
      <c r="TSR31" s="204"/>
      <c r="TSS31" s="204"/>
      <c r="TST31" s="204"/>
      <c r="TSU31" s="204"/>
      <c r="TSV31" s="204"/>
      <c r="TSW31" s="204"/>
      <c r="TSX31" s="204"/>
      <c r="TSY31" s="204"/>
      <c r="TSZ31" s="204"/>
      <c r="TTA31" s="204"/>
      <c r="TTB31" s="204"/>
      <c r="TTC31" s="204"/>
      <c r="TTD31" s="204"/>
      <c r="TTE31" s="204"/>
      <c r="TTF31" s="204"/>
      <c r="TTG31" s="204"/>
      <c r="TTH31" s="204"/>
      <c r="TTI31" s="204"/>
      <c r="TTJ31" s="204"/>
      <c r="TTK31" s="204"/>
      <c r="TTL31" s="204"/>
      <c r="TTM31" s="204"/>
      <c r="TTN31" s="204"/>
      <c r="TTO31" s="204"/>
      <c r="TTP31" s="204"/>
      <c r="TTQ31" s="204"/>
      <c r="TTR31" s="204"/>
      <c r="TTS31" s="204"/>
      <c r="TTT31" s="204"/>
      <c r="TTU31" s="204"/>
      <c r="TTV31" s="204"/>
      <c r="TTW31" s="204"/>
      <c r="TTX31" s="204"/>
      <c r="TTY31" s="204"/>
      <c r="TTZ31" s="204"/>
      <c r="TUA31" s="204"/>
      <c r="TUB31" s="204"/>
      <c r="TUC31" s="204"/>
      <c r="TUD31" s="204"/>
      <c r="TUE31" s="204"/>
      <c r="TUF31" s="204"/>
      <c r="TUG31" s="204"/>
      <c r="TUH31" s="204"/>
      <c r="TUI31" s="204"/>
      <c r="TUJ31" s="204"/>
      <c r="TUK31" s="204"/>
      <c r="TUL31" s="204"/>
      <c r="TUM31" s="204"/>
      <c r="TUN31" s="204"/>
      <c r="TUO31" s="204"/>
      <c r="TUP31" s="204"/>
      <c r="TUQ31" s="204"/>
      <c r="TUR31" s="204"/>
      <c r="TUS31" s="204"/>
      <c r="TUT31" s="204"/>
      <c r="TUU31" s="204"/>
      <c r="TUV31" s="204"/>
      <c r="TUW31" s="204"/>
      <c r="TUX31" s="204"/>
      <c r="TUY31" s="204"/>
      <c r="TUZ31" s="204"/>
      <c r="TVA31" s="204"/>
      <c r="TVB31" s="204"/>
      <c r="TVC31" s="204"/>
      <c r="TVD31" s="204"/>
      <c r="TVE31" s="204"/>
      <c r="TVF31" s="204"/>
      <c r="TVG31" s="204"/>
      <c r="TVH31" s="204"/>
      <c r="TVI31" s="204"/>
      <c r="TVJ31" s="204"/>
      <c r="TVK31" s="204"/>
      <c r="TVL31" s="204"/>
      <c r="TVM31" s="204"/>
      <c r="TVN31" s="204"/>
      <c r="TVO31" s="204"/>
      <c r="TVP31" s="204"/>
      <c r="TVQ31" s="204"/>
      <c r="TVR31" s="204"/>
      <c r="TVS31" s="204"/>
      <c r="TVT31" s="204"/>
      <c r="TVU31" s="204"/>
      <c r="TVV31" s="204"/>
      <c r="TVW31" s="204"/>
      <c r="TVX31" s="204"/>
      <c r="TVY31" s="204"/>
      <c r="TVZ31" s="204"/>
      <c r="TWA31" s="204"/>
      <c r="TWB31" s="204"/>
      <c r="TWC31" s="204"/>
      <c r="TWD31" s="204"/>
      <c r="TWE31" s="204"/>
      <c r="TWF31" s="204"/>
      <c r="TWG31" s="204"/>
      <c r="TWH31" s="204"/>
      <c r="TWI31" s="204"/>
      <c r="TWJ31" s="204"/>
      <c r="TWK31" s="204"/>
      <c r="TWL31" s="204"/>
      <c r="TWM31" s="204"/>
      <c r="TWN31" s="204"/>
      <c r="TWO31" s="204"/>
      <c r="TWP31" s="204"/>
      <c r="TWQ31" s="204"/>
      <c r="TWR31" s="204"/>
      <c r="TWS31" s="204"/>
      <c r="TWT31" s="204"/>
      <c r="TWU31" s="204"/>
      <c r="TWV31" s="204"/>
      <c r="TWW31" s="204"/>
      <c r="TWX31" s="204"/>
      <c r="TWY31" s="204"/>
      <c r="TWZ31" s="204"/>
      <c r="TXA31" s="204"/>
      <c r="TXB31" s="204"/>
      <c r="TXC31" s="204"/>
      <c r="TXD31" s="204"/>
      <c r="TXE31" s="204"/>
      <c r="TXF31" s="204"/>
      <c r="TXG31" s="204"/>
      <c r="TXH31" s="204"/>
      <c r="TXI31" s="204"/>
      <c r="TXJ31" s="204"/>
      <c r="TXK31" s="204"/>
      <c r="TXL31" s="204"/>
      <c r="TXM31" s="204"/>
      <c r="TXN31" s="204"/>
      <c r="TXO31" s="204"/>
      <c r="TXP31" s="204"/>
      <c r="TXQ31" s="204"/>
      <c r="TXR31" s="204"/>
      <c r="TXS31" s="204"/>
      <c r="TXT31" s="204"/>
      <c r="TXU31" s="204"/>
      <c r="TXV31" s="204"/>
      <c r="TXW31" s="204"/>
      <c r="TXX31" s="204"/>
      <c r="TXY31" s="204"/>
      <c r="TXZ31" s="204"/>
      <c r="TYA31" s="204"/>
      <c r="TYB31" s="204"/>
      <c r="TYC31" s="204"/>
      <c r="TYD31" s="204"/>
      <c r="TYE31" s="204"/>
      <c r="TYF31" s="204"/>
      <c r="TYG31" s="204"/>
      <c r="TYH31" s="204"/>
      <c r="TYI31" s="204"/>
      <c r="TYJ31" s="204"/>
      <c r="TYK31" s="204"/>
      <c r="TYL31" s="204"/>
      <c r="TYM31" s="204"/>
      <c r="TYN31" s="204"/>
      <c r="TYO31" s="204"/>
      <c r="TYP31" s="204"/>
      <c r="TYQ31" s="204"/>
      <c r="TYR31" s="204"/>
      <c r="TYS31" s="204"/>
      <c r="TYT31" s="204"/>
      <c r="TYU31" s="204"/>
      <c r="TYV31" s="204"/>
      <c r="TYW31" s="204"/>
      <c r="TYX31" s="204"/>
      <c r="TYY31" s="204"/>
      <c r="TYZ31" s="204"/>
      <c r="TZA31" s="204"/>
      <c r="TZB31" s="204"/>
      <c r="TZC31" s="204"/>
      <c r="TZD31" s="204"/>
      <c r="TZE31" s="204"/>
      <c r="TZF31" s="204"/>
      <c r="TZG31" s="204"/>
      <c r="TZH31" s="204"/>
      <c r="TZI31" s="204"/>
      <c r="TZJ31" s="204"/>
      <c r="TZK31" s="204"/>
      <c r="TZL31" s="204"/>
      <c r="TZM31" s="204"/>
      <c r="TZN31" s="204"/>
      <c r="TZO31" s="204"/>
      <c r="TZP31" s="204"/>
      <c r="TZQ31" s="204"/>
      <c r="TZR31" s="204"/>
      <c r="TZS31" s="204"/>
      <c r="TZT31" s="204"/>
      <c r="TZU31" s="204"/>
      <c r="TZV31" s="204"/>
      <c r="TZW31" s="204"/>
      <c r="TZX31" s="204"/>
      <c r="TZY31" s="204"/>
      <c r="TZZ31" s="204"/>
      <c r="UAA31" s="204"/>
      <c r="UAB31" s="204"/>
      <c r="UAC31" s="204"/>
      <c r="UAD31" s="204"/>
      <c r="UAE31" s="204"/>
      <c r="UAF31" s="204"/>
      <c r="UAG31" s="204"/>
      <c r="UAH31" s="204"/>
      <c r="UAI31" s="204"/>
      <c r="UAJ31" s="204"/>
      <c r="UAK31" s="204"/>
      <c r="UAL31" s="204"/>
      <c r="UAM31" s="204"/>
      <c r="UAN31" s="204"/>
      <c r="UAO31" s="204"/>
      <c r="UAP31" s="204"/>
      <c r="UAQ31" s="204"/>
      <c r="UAR31" s="204"/>
      <c r="UAS31" s="204"/>
      <c r="UAT31" s="204"/>
      <c r="UAU31" s="204"/>
      <c r="UAV31" s="204"/>
      <c r="UAW31" s="204"/>
      <c r="UAX31" s="204"/>
      <c r="UAY31" s="204"/>
      <c r="UAZ31" s="204"/>
      <c r="UBA31" s="204"/>
      <c r="UBB31" s="204"/>
      <c r="UBC31" s="204"/>
      <c r="UBD31" s="204"/>
      <c r="UBE31" s="204"/>
      <c r="UBF31" s="204"/>
      <c r="UBG31" s="204"/>
      <c r="UBH31" s="204"/>
      <c r="UBI31" s="204"/>
      <c r="UBJ31" s="204"/>
      <c r="UBK31" s="204"/>
      <c r="UBL31" s="204"/>
      <c r="UBM31" s="204"/>
      <c r="UBN31" s="204"/>
      <c r="UBO31" s="204"/>
      <c r="UBP31" s="204"/>
      <c r="UBQ31" s="204"/>
      <c r="UBR31" s="204"/>
      <c r="UBS31" s="204"/>
      <c r="UBT31" s="204"/>
      <c r="UBU31" s="204"/>
      <c r="UBV31" s="204"/>
      <c r="UBW31" s="204"/>
      <c r="UBX31" s="204"/>
      <c r="UBY31" s="204"/>
      <c r="UBZ31" s="204"/>
      <c r="UCA31" s="204"/>
      <c r="UCB31" s="204"/>
      <c r="UCC31" s="204"/>
      <c r="UCD31" s="204"/>
      <c r="UCE31" s="204"/>
      <c r="UCF31" s="204"/>
      <c r="UCG31" s="204"/>
      <c r="UCH31" s="204"/>
      <c r="UCI31" s="204"/>
      <c r="UCJ31" s="204"/>
      <c r="UCK31" s="204"/>
      <c r="UCL31" s="204"/>
      <c r="UCM31" s="204"/>
      <c r="UCN31" s="204"/>
      <c r="UCO31" s="204"/>
      <c r="UCP31" s="204"/>
      <c r="UCQ31" s="204"/>
      <c r="UCR31" s="204"/>
      <c r="UCS31" s="204"/>
      <c r="UCT31" s="204"/>
      <c r="UCU31" s="204"/>
      <c r="UCV31" s="204"/>
      <c r="UCW31" s="204"/>
      <c r="UCX31" s="204"/>
      <c r="UCY31" s="204"/>
      <c r="UCZ31" s="204"/>
      <c r="UDA31" s="204"/>
      <c r="UDB31" s="204"/>
      <c r="UDC31" s="204"/>
      <c r="UDD31" s="204"/>
      <c r="UDE31" s="204"/>
      <c r="UDF31" s="204"/>
      <c r="UDG31" s="204"/>
      <c r="UDH31" s="204"/>
      <c r="UDI31" s="204"/>
      <c r="UDJ31" s="204"/>
      <c r="UDK31" s="204"/>
      <c r="UDL31" s="204"/>
      <c r="UDM31" s="204"/>
      <c r="UDN31" s="204"/>
      <c r="UDO31" s="204"/>
      <c r="UDP31" s="204"/>
      <c r="UDQ31" s="204"/>
      <c r="UDR31" s="204"/>
      <c r="UDS31" s="204"/>
      <c r="UDT31" s="204"/>
      <c r="UDU31" s="204"/>
      <c r="UDV31" s="204"/>
      <c r="UDW31" s="204"/>
      <c r="UDX31" s="204"/>
      <c r="UDY31" s="204"/>
      <c r="UDZ31" s="204"/>
      <c r="UEA31" s="204"/>
      <c r="UEB31" s="204"/>
      <c r="UEC31" s="204"/>
      <c r="UED31" s="204"/>
      <c r="UEE31" s="204"/>
      <c r="UEF31" s="204"/>
      <c r="UEG31" s="204"/>
      <c r="UEH31" s="204"/>
      <c r="UEI31" s="204"/>
      <c r="UEJ31" s="204"/>
      <c r="UEK31" s="204"/>
      <c r="UEL31" s="204"/>
      <c r="UEM31" s="204"/>
      <c r="UEN31" s="204"/>
      <c r="UEO31" s="204"/>
      <c r="UEP31" s="204"/>
      <c r="UEQ31" s="204"/>
      <c r="UER31" s="204"/>
      <c r="UES31" s="204"/>
      <c r="UET31" s="204"/>
      <c r="UEU31" s="204"/>
      <c r="UEV31" s="204"/>
      <c r="UEW31" s="204"/>
      <c r="UEX31" s="204"/>
      <c r="UEY31" s="204"/>
      <c r="UEZ31" s="204"/>
      <c r="UFA31" s="204"/>
      <c r="UFB31" s="204"/>
      <c r="UFC31" s="204"/>
      <c r="UFD31" s="204"/>
      <c r="UFE31" s="204"/>
      <c r="UFF31" s="204"/>
      <c r="UFG31" s="204"/>
      <c r="UFH31" s="204"/>
      <c r="UFI31" s="204"/>
      <c r="UFJ31" s="204"/>
      <c r="UFK31" s="204"/>
      <c r="UFL31" s="204"/>
      <c r="UFM31" s="204"/>
      <c r="UFN31" s="204"/>
      <c r="UFO31" s="204"/>
      <c r="UFP31" s="204"/>
      <c r="UFQ31" s="204"/>
      <c r="UFR31" s="204"/>
      <c r="UFS31" s="204"/>
      <c r="UFT31" s="204"/>
      <c r="UFU31" s="204"/>
      <c r="UFV31" s="204"/>
      <c r="UFW31" s="204"/>
      <c r="UFX31" s="204"/>
      <c r="UFY31" s="204"/>
      <c r="UFZ31" s="204"/>
      <c r="UGA31" s="204"/>
      <c r="UGB31" s="204"/>
      <c r="UGC31" s="204"/>
      <c r="UGD31" s="204"/>
      <c r="UGE31" s="204"/>
      <c r="UGF31" s="204"/>
      <c r="UGG31" s="204"/>
      <c r="UGH31" s="204"/>
      <c r="UGI31" s="204"/>
      <c r="UGJ31" s="204"/>
      <c r="UGK31" s="204"/>
      <c r="UGL31" s="204"/>
      <c r="UGM31" s="204"/>
      <c r="UGN31" s="204"/>
      <c r="UGO31" s="204"/>
      <c r="UGP31" s="204"/>
      <c r="UGQ31" s="204"/>
      <c r="UGR31" s="204"/>
      <c r="UGS31" s="204"/>
      <c r="UGT31" s="204"/>
      <c r="UGU31" s="204"/>
      <c r="UGV31" s="204"/>
      <c r="UGW31" s="204"/>
      <c r="UGX31" s="204"/>
      <c r="UGY31" s="204"/>
      <c r="UGZ31" s="204"/>
      <c r="UHA31" s="204"/>
      <c r="UHB31" s="204"/>
      <c r="UHC31" s="204"/>
      <c r="UHD31" s="204"/>
      <c r="UHE31" s="204"/>
      <c r="UHF31" s="204"/>
      <c r="UHG31" s="204"/>
      <c r="UHH31" s="204"/>
      <c r="UHI31" s="204"/>
      <c r="UHJ31" s="204"/>
      <c r="UHK31" s="204"/>
      <c r="UHL31" s="204"/>
      <c r="UHM31" s="204"/>
      <c r="UHN31" s="204"/>
      <c r="UHO31" s="204"/>
      <c r="UHP31" s="204"/>
      <c r="UHQ31" s="204"/>
      <c r="UHR31" s="204"/>
      <c r="UHS31" s="204"/>
      <c r="UHT31" s="204"/>
      <c r="UHU31" s="204"/>
      <c r="UHV31" s="204"/>
      <c r="UHW31" s="204"/>
      <c r="UHX31" s="204"/>
      <c r="UHY31" s="204"/>
      <c r="UHZ31" s="204"/>
      <c r="UIA31" s="204"/>
      <c r="UIB31" s="204"/>
      <c r="UIC31" s="204"/>
      <c r="UID31" s="204"/>
      <c r="UIE31" s="204"/>
      <c r="UIF31" s="204"/>
      <c r="UIG31" s="204"/>
      <c r="UIH31" s="204"/>
      <c r="UII31" s="204"/>
      <c r="UIJ31" s="204"/>
      <c r="UIK31" s="204"/>
      <c r="UIL31" s="204"/>
      <c r="UIM31" s="204"/>
      <c r="UIN31" s="204"/>
      <c r="UIO31" s="204"/>
      <c r="UIP31" s="204"/>
      <c r="UIQ31" s="204"/>
      <c r="UIR31" s="204"/>
      <c r="UIS31" s="204"/>
      <c r="UIT31" s="204"/>
      <c r="UIU31" s="204"/>
      <c r="UIV31" s="204"/>
      <c r="UIW31" s="204"/>
      <c r="UIX31" s="204"/>
      <c r="UIY31" s="204"/>
      <c r="UIZ31" s="204"/>
      <c r="UJA31" s="204"/>
      <c r="UJB31" s="204"/>
      <c r="UJC31" s="204"/>
      <c r="UJD31" s="204"/>
      <c r="UJE31" s="204"/>
      <c r="UJF31" s="204"/>
      <c r="UJG31" s="204"/>
      <c r="UJH31" s="204"/>
      <c r="UJI31" s="204"/>
      <c r="UJJ31" s="204"/>
      <c r="UJK31" s="204"/>
      <c r="UJL31" s="204"/>
      <c r="UJM31" s="204"/>
      <c r="UJN31" s="204"/>
      <c r="UJO31" s="204"/>
      <c r="UJP31" s="204"/>
      <c r="UJQ31" s="204"/>
      <c r="UJR31" s="204"/>
      <c r="UJS31" s="204"/>
      <c r="UJT31" s="204"/>
      <c r="UJU31" s="204"/>
      <c r="UJV31" s="204"/>
      <c r="UJW31" s="204"/>
      <c r="UJX31" s="204"/>
      <c r="UJY31" s="204"/>
      <c r="UJZ31" s="204"/>
      <c r="UKA31" s="204"/>
      <c r="UKB31" s="204"/>
      <c r="UKC31" s="204"/>
      <c r="UKD31" s="204"/>
      <c r="UKE31" s="204"/>
      <c r="UKF31" s="204"/>
      <c r="UKG31" s="204"/>
      <c r="UKH31" s="204"/>
      <c r="UKI31" s="204"/>
      <c r="UKJ31" s="204"/>
      <c r="UKK31" s="204"/>
      <c r="UKL31" s="204"/>
      <c r="UKM31" s="204"/>
      <c r="UKN31" s="204"/>
      <c r="UKO31" s="204"/>
      <c r="UKP31" s="204"/>
      <c r="UKQ31" s="204"/>
      <c r="UKR31" s="204"/>
      <c r="UKS31" s="204"/>
      <c r="UKT31" s="204"/>
      <c r="UKU31" s="204"/>
      <c r="UKV31" s="204"/>
      <c r="UKW31" s="204"/>
      <c r="UKX31" s="204"/>
      <c r="UKY31" s="204"/>
      <c r="UKZ31" s="204"/>
      <c r="ULA31" s="204"/>
      <c r="ULB31" s="204"/>
      <c r="ULC31" s="204"/>
      <c r="ULD31" s="204"/>
      <c r="ULE31" s="204"/>
      <c r="ULF31" s="204"/>
      <c r="ULG31" s="204"/>
      <c r="ULH31" s="204"/>
      <c r="ULI31" s="204"/>
      <c r="ULJ31" s="204"/>
      <c r="ULK31" s="204"/>
      <c r="ULL31" s="204"/>
      <c r="ULM31" s="204"/>
      <c r="ULN31" s="204"/>
      <c r="ULO31" s="204"/>
      <c r="ULP31" s="204"/>
      <c r="ULQ31" s="204"/>
      <c r="ULR31" s="204"/>
      <c r="ULS31" s="204"/>
      <c r="ULT31" s="204"/>
      <c r="ULU31" s="204"/>
      <c r="ULV31" s="204"/>
      <c r="ULW31" s="204"/>
      <c r="ULX31" s="204"/>
      <c r="ULY31" s="204"/>
      <c r="ULZ31" s="204"/>
      <c r="UMA31" s="204"/>
      <c r="UMB31" s="204"/>
      <c r="UMC31" s="204"/>
      <c r="UMD31" s="204"/>
      <c r="UME31" s="204"/>
      <c r="UMF31" s="204"/>
      <c r="UMG31" s="204"/>
      <c r="UMH31" s="204"/>
      <c r="UMI31" s="204"/>
      <c r="UMJ31" s="204"/>
      <c r="UMK31" s="204"/>
      <c r="UML31" s="204"/>
      <c r="UMM31" s="204"/>
      <c r="UMN31" s="204"/>
      <c r="UMO31" s="204"/>
      <c r="UMP31" s="204"/>
      <c r="UMQ31" s="204"/>
      <c r="UMR31" s="204"/>
      <c r="UMS31" s="204"/>
      <c r="UMT31" s="204"/>
      <c r="UMU31" s="204"/>
      <c r="UMV31" s="204"/>
      <c r="UMW31" s="204"/>
      <c r="UMX31" s="204"/>
      <c r="UMY31" s="204"/>
      <c r="UMZ31" s="204"/>
      <c r="UNA31" s="204"/>
      <c r="UNB31" s="204"/>
      <c r="UNC31" s="204"/>
      <c r="UND31" s="204"/>
      <c r="UNE31" s="204"/>
      <c r="UNF31" s="204"/>
      <c r="UNG31" s="204"/>
      <c r="UNH31" s="204"/>
      <c r="UNI31" s="204"/>
      <c r="UNJ31" s="204"/>
      <c r="UNK31" s="204"/>
      <c r="UNL31" s="204"/>
      <c r="UNM31" s="204"/>
      <c r="UNN31" s="204"/>
      <c r="UNO31" s="204"/>
      <c r="UNP31" s="204"/>
      <c r="UNQ31" s="204"/>
      <c r="UNR31" s="204"/>
      <c r="UNS31" s="204"/>
      <c r="UNT31" s="204"/>
      <c r="UNU31" s="204"/>
      <c r="UNV31" s="204"/>
      <c r="UNW31" s="204"/>
      <c r="UNX31" s="204"/>
      <c r="UNY31" s="204"/>
      <c r="UNZ31" s="204"/>
      <c r="UOA31" s="204"/>
      <c r="UOB31" s="204"/>
      <c r="UOC31" s="204"/>
      <c r="UOD31" s="204"/>
      <c r="UOE31" s="204"/>
      <c r="UOF31" s="204"/>
      <c r="UOG31" s="204"/>
      <c r="UOH31" s="204"/>
      <c r="UOI31" s="204"/>
      <c r="UOJ31" s="204"/>
      <c r="UOK31" s="204"/>
      <c r="UOL31" s="204"/>
      <c r="UOM31" s="204"/>
      <c r="UON31" s="204"/>
      <c r="UOO31" s="204"/>
      <c r="UOP31" s="204"/>
      <c r="UOQ31" s="204"/>
      <c r="UOR31" s="204"/>
      <c r="UOS31" s="204"/>
      <c r="UOT31" s="204"/>
      <c r="UOU31" s="204"/>
      <c r="UOV31" s="204"/>
      <c r="UOW31" s="204"/>
      <c r="UOX31" s="204"/>
      <c r="UOY31" s="204"/>
      <c r="UOZ31" s="204"/>
      <c r="UPA31" s="204"/>
      <c r="UPB31" s="204"/>
      <c r="UPC31" s="204"/>
      <c r="UPD31" s="204"/>
      <c r="UPE31" s="204"/>
      <c r="UPF31" s="204"/>
      <c r="UPG31" s="204"/>
      <c r="UPH31" s="204"/>
      <c r="UPI31" s="204"/>
      <c r="UPJ31" s="204"/>
      <c r="UPK31" s="204"/>
      <c r="UPL31" s="204"/>
      <c r="UPM31" s="204"/>
      <c r="UPN31" s="204"/>
      <c r="UPO31" s="204"/>
      <c r="UPP31" s="204"/>
      <c r="UPQ31" s="204"/>
      <c r="UPR31" s="204"/>
      <c r="UPS31" s="204"/>
      <c r="UPT31" s="204"/>
      <c r="UPU31" s="204"/>
      <c r="UPV31" s="204"/>
      <c r="UPW31" s="204"/>
      <c r="UPX31" s="204"/>
      <c r="UPY31" s="204"/>
      <c r="UPZ31" s="204"/>
      <c r="UQA31" s="204"/>
      <c r="UQB31" s="204"/>
      <c r="UQC31" s="204"/>
      <c r="UQD31" s="204"/>
      <c r="UQE31" s="204"/>
      <c r="UQF31" s="204"/>
      <c r="UQG31" s="204"/>
      <c r="UQH31" s="204"/>
      <c r="UQI31" s="204"/>
      <c r="UQJ31" s="204"/>
      <c r="UQK31" s="204"/>
      <c r="UQL31" s="204"/>
      <c r="UQM31" s="204"/>
      <c r="UQN31" s="204"/>
      <c r="UQO31" s="204"/>
      <c r="UQP31" s="204"/>
      <c r="UQQ31" s="204"/>
      <c r="UQR31" s="204"/>
      <c r="UQS31" s="204"/>
      <c r="UQT31" s="204"/>
      <c r="UQU31" s="204"/>
      <c r="UQV31" s="204"/>
      <c r="UQW31" s="204"/>
      <c r="UQX31" s="204"/>
      <c r="UQY31" s="204"/>
      <c r="UQZ31" s="204"/>
      <c r="URA31" s="204"/>
      <c r="URB31" s="204"/>
      <c r="URC31" s="204"/>
      <c r="URD31" s="204"/>
      <c r="URE31" s="204"/>
      <c r="URF31" s="204"/>
      <c r="URG31" s="204"/>
      <c r="URH31" s="204"/>
      <c r="URI31" s="204"/>
      <c r="URJ31" s="204"/>
      <c r="URK31" s="204"/>
      <c r="URL31" s="204"/>
      <c r="URM31" s="204"/>
      <c r="URN31" s="204"/>
      <c r="URO31" s="204"/>
      <c r="URP31" s="204"/>
      <c r="URQ31" s="204"/>
      <c r="URR31" s="204"/>
      <c r="URS31" s="204"/>
      <c r="URT31" s="204"/>
      <c r="URU31" s="204"/>
      <c r="URV31" s="204"/>
      <c r="URW31" s="204"/>
      <c r="URX31" s="204"/>
      <c r="URY31" s="204"/>
      <c r="URZ31" s="204"/>
      <c r="USA31" s="204"/>
      <c r="USB31" s="204"/>
      <c r="USC31" s="204"/>
      <c r="USD31" s="204"/>
      <c r="USE31" s="204"/>
      <c r="USF31" s="204"/>
      <c r="USG31" s="204"/>
      <c r="USH31" s="204"/>
      <c r="USI31" s="204"/>
      <c r="USJ31" s="204"/>
      <c r="USK31" s="204"/>
      <c r="USL31" s="204"/>
      <c r="USM31" s="204"/>
      <c r="USN31" s="204"/>
      <c r="USO31" s="204"/>
      <c r="USP31" s="204"/>
      <c r="USQ31" s="204"/>
      <c r="USR31" s="204"/>
      <c r="USS31" s="204"/>
      <c r="UST31" s="204"/>
      <c r="USU31" s="204"/>
      <c r="USV31" s="204"/>
      <c r="USW31" s="204"/>
      <c r="USX31" s="204"/>
      <c r="USY31" s="204"/>
      <c r="USZ31" s="204"/>
      <c r="UTA31" s="204"/>
      <c r="UTB31" s="204"/>
      <c r="UTC31" s="204"/>
      <c r="UTD31" s="204"/>
      <c r="UTE31" s="204"/>
      <c r="UTF31" s="204"/>
      <c r="UTG31" s="204"/>
      <c r="UTH31" s="204"/>
      <c r="UTI31" s="204"/>
      <c r="UTJ31" s="204"/>
      <c r="UTK31" s="204"/>
      <c r="UTL31" s="204"/>
      <c r="UTM31" s="204"/>
      <c r="UTN31" s="204"/>
      <c r="UTO31" s="204"/>
      <c r="UTP31" s="204"/>
      <c r="UTQ31" s="204"/>
      <c r="UTR31" s="204"/>
      <c r="UTS31" s="204"/>
      <c r="UTT31" s="204"/>
      <c r="UTU31" s="204"/>
      <c r="UTV31" s="204"/>
      <c r="UTW31" s="204"/>
      <c r="UTX31" s="204"/>
      <c r="UTY31" s="204"/>
      <c r="UTZ31" s="204"/>
      <c r="UUA31" s="204"/>
      <c r="UUB31" s="204"/>
      <c r="UUC31" s="204"/>
      <c r="UUD31" s="204"/>
      <c r="UUE31" s="204"/>
      <c r="UUF31" s="204"/>
      <c r="UUG31" s="204"/>
      <c r="UUH31" s="204"/>
      <c r="UUI31" s="204"/>
      <c r="UUJ31" s="204"/>
      <c r="UUK31" s="204"/>
      <c r="UUL31" s="204"/>
      <c r="UUM31" s="204"/>
      <c r="UUN31" s="204"/>
      <c r="UUO31" s="204"/>
      <c r="UUP31" s="204"/>
      <c r="UUQ31" s="204"/>
      <c r="UUR31" s="204"/>
      <c r="UUS31" s="204"/>
      <c r="UUT31" s="204"/>
      <c r="UUU31" s="204"/>
      <c r="UUV31" s="204"/>
      <c r="UUW31" s="204"/>
      <c r="UUX31" s="204"/>
      <c r="UUY31" s="204"/>
      <c r="UUZ31" s="204"/>
      <c r="UVA31" s="204"/>
      <c r="UVB31" s="204"/>
      <c r="UVC31" s="204"/>
      <c r="UVD31" s="204"/>
      <c r="UVE31" s="204"/>
      <c r="UVF31" s="204"/>
      <c r="UVG31" s="204"/>
      <c r="UVH31" s="204"/>
      <c r="UVI31" s="204"/>
      <c r="UVJ31" s="204"/>
      <c r="UVK31" s="204"/>
      <c r="UVL31" s="204"/>
      <c r="UVM31" s="204"/>
      <c r="UVN31" s="204"/>
      <c r="UVO31" s="204"/>
      <c r="UVP31" s="204"/>
      <c r="UVQ31" s="204"/>
      <c r="UVR31" s="204"/>
      <c r="UVS31" s="204"/>
      <c r="UVT31" s="204"/>
      <c r="UVU31" s="204"/>
      <c r="UVV31" s="204"/>
      <c r="UVW31" s="204"/>
      <c r="UVX31" s="204"/>
      <c r="UVY31" s="204"/>
      <c r="UVZ31" s="204"/>
      <c r="UWA31" s="204"/>
      <c r="UWB31" s="204"/>
      <c r="UWC31" s="204"/>
      <c r="UWD31" s="204"/>
      <c r="UWE31" s="204"/>
      <c r="UWF31" s="204"/>
      <c r="UWG31" s="204"/>
      <c r="UWH31" s="204"/>
      <c r="UWI31" s="204"/>
      <c r="UWJ31" s="204"/>
      <c r="UWK31" s="204"/>
      <c r="UWL31" s="204"/>
      <c r="UWM31" s="204"/>
      <c r="UWN31" s="204"/>
      <c r="UWO31" s="204"/>
      <c r="UWP31" s="204"/>
      <c r="UWQ31" s="204"/>
      <c r="UWR31" s="204"/>
      <c r="UWS31" s="204"/>
      <c r="UWT31" s="204"/>
      <c r="UWU31" s="204"/>
      <c r="UWV31" s="204"/>
      <c r="UWW31" s="204"/>
      <c r="UWX31" s="204"/>
      <c r="UWY31" s="204"/>
      <c r="UWZ31" s="204"/>
      <c r="UXA31" s="204"/>
      <c r="UXB31" s="204"/>
      <c r="UXC31" s="204"/>
      <c r="UXD31" s="204"/>
      <c r="UXE31" s="204"/>
      <c r="UXF31" s="204"/>
      <c r="UXG31" s="204"/>
      <c r="UXH31" s="204"/>
      <c r="UXI31" s="204"/>
      <c r="UXJ31" s="204"/>
      <c r="UXK31" s="204"/>
      <c r="UXL31" s="204"/>
      <c r="UXM31" s="204"/>
      <c r="UXN31" s="204"/>
      <c r="UXO31" s="204"/>
      <c r="UXP31" s="204"/>
      <c r="UXQ31" s="204"/>
      <c r="UXR31" s="204"/>
      <c r="UXS31" s="204"/>
      <c r="UXT31" s="204"/>
      <c r="UXU31" s="204"/>
      <c r="UXV31" s="204"/>
      <c r="UXW31" s="204"/>
      <c r="UXX31" s="204"/>
      <c r="UXY31" s="204"/>
      <c r="UXZ31" s="204"/>
      <c r="UYA31" s="204"/>
      <c r="UYB31" s="204"/>
      <c r="UYC31" s="204"/>
      <c r="UYD31" s="204"/>
      <c r="UYE31" s="204"/>
      <c r="UYF31" s="204"/>
      <c r="UYG31" s="204"/>
      <c r="UYH31" s="204"/>
      <c r="UYI31" s="204"/>
      <c r="UYJ31" s="204"/>
      <c r="UYK31" s="204"/>
      <c r="UYL31" s="204"/>
      <c r="UYM31" s="204"/>
      <c r="UYN31" s="204"/>
      <c r="UYO31" s="204"/>
      <c r="UYP31" s="204"/>
      <c r="UYQ31" s="204"/>
      <c r="UYR31" s="204"/>
      <c r="UYS31" s="204"/>
      <c r="UYT31" s="204"/>
      <c r="UYU31" s="204"/>
      <c r="UYV31" s="204"/>
      <c r="UYW31" s="204"/>
      <c r="UYX31" s="204"/>
      <c r="UYY31" s="204"/>
      <c r="UYZ31" s="204"/>
      <c r="UZA31" s="204"/>
      <c r="UZB31" s="204"/>
      <c r="UZC31" s="204"/>
      <c r="UZD31" s="204"/>
      <c r="UZE31" s="204"/>
      <c r="UZF31" s="204"/>
      <c r="UZG31" s="204"/>
      <c r="UZH31" s="204"/>
      <c r="UZI31" s="204"/>
      <c r="UZJ31" s="204"/>
      <c r="UZK31" s="204"/>
      <c r="UZL31" s="204"/>
      <c r="UZM31" s="204"/>
      <c r="UZN31" s="204"/>
      <c r="UZO31" s="204"/>
      <c r="UZP31" s="204"/>
      <c r="UZQ31" s="204"/>
      <c r="UZR31" s="204"/>
      <c r="UZS31" s="204"/>
      <c r="UZT31" s="204"/>
      <c r="UZU31" s="204"/>
      <c r="UZV31" s="204"/>
      <c r="UZW31" s="204"/>
      <c r="UZX31" s="204"/>
      <c r="UZY31" s="204"/>
      <c r="UZZ31" s="204"/>
      <c r="VAA31" s="204"/>
      <c r="VAB31" s="204"/>
      <c r="VAC31" s="204"/>
      <c r="VAD31" s="204"/>
      <c r="VAE31" s="204"/>
      <c r="VAF31" s="204"/>
      <c r="VAG31" s="204"/>
      <c r="VAH31" s="204"/>
      <c r="VAI31" s="204"/>
      <c r="VAJ31" s="204"/>
      <c r="VAK31" s="204"/>
      <c r="VAL31" s="204"/>
      <c r="VAM31" s="204"/>
      <c r="VAN31" s="204"/>
      <c r="VAO31" s="204"/>
      <c r="VAP31" s="204"/>
      <c r="VAQ31" s="204"/>
      <c r="VAR31" s="204"/>
      <c r="VAS31" s="204"/>
      <c r="VAT31" s="204"/>
      <c r="VAU31" s="204"/>
      <c r="VAV31" s="204"/>
      <c r="VAW31" s="204"/>
      <c r="VAX31" s="204"/>
      <c r="VAY31" s="204"/>
      <c r="VAZ31" s="204"/>
      <c r="VBA31" s="204"/>
      <c r="VBB31" s="204"/>
      <c r="VBC31" s="204"/>
      <c r="VBD31" s="204"/>
      <c r="VBE31" s="204"/>
      <c r="VBF31" s="204"/>
      <c r="VBG31" s="204"/>
      <c r="VBH31" s="204"/>
      <c r="VBI31" s="204"/>
      <c r="VBJ31" s="204"/>
      <c r="VBK31" s="204"/>
      <c r="VBL31" s="204"/>
      <c r="VBM31" s="204"/>
      <c r="VBN31" s="204"/>
      <c r="VBO31" s="204"/>
      <c r="VBP31" s="204"/>
      <c r="VBQ31" s="204"/>
      <c r="VBR31" s="204"/>
      <c r="VBS31" s="204"/>
      <c r="VBT31" s="204"/>
      <c r="VBU31" s="204"/>
      <c r="VBV31" s="204"/>
      <c r="VBW31" s="204"/>
      <c r="VBX31" s="204"/>
      <c r="VBY31" s="204"/>
      <c r="VBZ31" s="204"/>
      <c r="VCA31" s="204"/>
      <c r="VCB31" s="204"/>
      <c r="VCC31" s="204"/>
      <c r="VCD31" s="204"/>
      <c r="VCE31" s="204"/>
      <c r="VCF31" s="204"/>
      <c r="VCG31" s="204"/>
      <c r="VCH31" s="204"/>
      <c r="VCI31" s="204"/>
      <c r="VCJ31" s="204"/>
      <c r="VCK31" s="204"/>
      <c r="VCL31" s="204"/>
      <c r="VCM31" s="204"/>
      <c r="VCN31" s="204"/>
      <c r="VCO31" s="204"/>
      <c r="VCP31" s="204"/>
      <c r="VCQ31" s="204"/>
      <c r="VCR31" s="204"/>
      <c r="VCS31" s="204"/>
      <c r="VCT31" s="204"/>
      <c r="VCU31" s="204"/>
      <c r="VCV31" s="204"/>
      <c r="VCW31" s="204"/>
      <c r="VCX31" s="204"/>
      <c r="VCY31" s="204"/>
      <c r="VCZ31" s="204"/>
      <c r="VDA31" s="204"/>
      <c r="VDB31" s="204"/>
      <c r="VDC31" s="204"/>
      <c r="VDD31" s="204"/>
      <c r="VDE31" s="204"/>
      <c r="VDF31" s="204"/>
      <c r="VDG31" s="204"/>
      <c r="VDH31" s="204"/>
      <c r="VDI31" s="204"/>
      <c r="VDJ31" s="204"/>
      <c r="VDK31" s="204"/>
      <c r="VDL31" s="204"/>
      <c r="VDM31" s="204"/>
      <c r="VDN31" s="204"/>
      <c r="VDO31" s="204"/>
      <c r="VDP31" s="204"/>
      <c r="VDQ31" s="204"/>
      <c r="VDR31" s="204"/>
      <c r="VDS31" s="204"/>
      <c r="VDT31" s="204"/>
      <c r="VDU31" s="204"/>
      <c r="VDV31" s="204"/>
      <c r="VDW31" s="204"/>
      <c r="VDX31" s="204"/>
      <c r="VDY31" s="204"/>
      <c r="VDZ31" s="204"/>
      <c r="VEA31" s="204"/>
      <c r="VEB31" s="204"/>
      <c r="VEC31" s="204"/>
      <c r="VED31" s="204"/>
      <c r="VEE31" s="204"/>
      <c r="VEF31" s="204"/>
      <c r="VEG31" s="204"/>
      <c r="VEH31" s="204"/>
      <c r="VEI31" s="204"/>
      <c r="VEJ31" s="204"/>
      <c r="VEK31" s="204"/>
      <c r="VEL31" s="204"/>
      <c r="VEM31" s="204"/>
      <c r="VEN31" s="204"/>
      <c r="VEO31" s="204"/>
      <c r="VEP31" s="204"/>
      <c r="VEQ31" s="204"/>
      <c r="VER31" s="204"/>
      <c r="VES31" s="204"/>
      <c r="VET31" s="204"/>
      <c r="VEU31" s="204"/>
      <c r="VEV31" s="204"/>
      <c r="VEW31" s="204"/>
      <c r="VEX31" s="204"/>
      <c r="VEY31" s="204"/>
      <c r="VEZ31" s="204"/>
      <c r="VFA31" s="204"/>
      <c r="VFB31" s="204"/>
      <c r="VFC31" s="204"/>
      <c r="VFD31" s="204"/>
      <c r="VFE31" s="204"/>
      <c r="VFF31" s="204"/>
      <c r="VFG31" s="204"/>
      <c r="VFH31" s="204"/>
      <c r="VFI31" s="204"/>
      <c r="VFJ31" s="204"/>
      <c r="VFK31" s="204"/>
      <c r="VFL31" s="204"/>
      <c r="VFM31" s="204"/>
      <c r="VFN31" s="204"/>
      <c r="VFO31" s="204"/>
      <c r="VFP31" s="204"/>
      <c r="VFQ31" s="204"/>
      <c r="VFR31" s="204"/>
      <c r="VFS31" s="204"/>
      <c r="VFT31" s="204"/>
      <c r="VFU31" s="204"/>
      <c r="VFV31" s="204"/>
      <c r="VFW31" s="204"/>
      <c r="VFX31" s="204"/>
      <c r="VFY31" s="204"/>
      <c r="VFZ31" s="204"/>
      <c r="VGA31" s="204"/>
      <c r="VGB31" s="204"/>
      <c r="VGC31" s="204"/>
      <c r="VGD31" s="204"/>
      <c r="VGE31" s="204"/>
      <c r="VGF31" s="204"/>
      <c r="VGG31" s="204"/>
      <c r="VGH31" s="204"/>
      <c r="VGI31" s="204"/>
      <c r="VGJ31" s="204"/>
      <c r="VGK31" s="204"/>
      <c r="VGL31" s="204"/>
      <c r="VGM31" s="204"/>
      <c r="VGN31" s="204"/>
      <c r="VGO31" s="204"/>
      <c r="VGP31" s="204"/>
      <c r="VGQ31" s="204"/>
      <c r="VGR31" s="204"/>
      <c r="VGS31" s="204"/>
      <c r="VGT31" s="204"/>
      <c r="VGU31" s="204"/>
      <c r="VGV31" s="204"/>
      <c r="VGW31" s="204"/>
      <c r="VGX31" s="204"/>
      <c r="VGY31" s="204"/>
      <c r="VGZ31" s="204"/>
      <c r="VHA31" s="204"/>
      <c r="VHB31" s="204"/>
      <c r="VHC31" s="204"/>
      <c r="VHD31" s="204"/>
      <c r="VHE31" s="204"/>
      <c r="VHF31" s="204"/>
      <c r="VHG31" s="204"/>
      <c r="VHH31" s="204"/>
      <c r="VHI31" s="204"/>
      <c r="VHJ31" s="204"/>
      <c r="VHK31" s="204"/>
      <c r="VHL31" s="204"/>
      <c r="VHM31" s="204"/>
      <c r="VHN31" s="204"/>
      <c r="VHO31" s="204"/>
      <c r="VHP31" s="204"/>
      <c r="VHQ31" s="204"/>
      <c r="VHR31" s="204"/>
      <c r="VHS31" s="204"/>
      <c r="VHT31" s="204"/>
      <c r="VHU31" s="204"/>
      <c r="VHV31" s="204"/>
      <c r="VHW31" s="204"/>
      <c r="VHX31" s="204"/>
      <c r="VHY31" s="204"/>
      <c r="VHZ31" s="204"/>
      <c r="VIA31" s="204"/>
      <c r="VIB31" s="204"/>
      <c r="VIC31" s="204"/>
      <c r="VID31" s="204"/>
      <c r="VIE31" s="204"/>
      <c r="VIF31" s="204"/>
      <c r="VIG31" s="204"/>
      <c r="VIH31" s="204"/>
      <c r="VII31" s="204"/>
      <c r="VIJ31" s="204"/>
      <c r="VIK31" s="204"/>
      <c r="VIL31" s="204"/>
      <c r="VIM31" s="204"/>
      <c r="VIN31" s="204"/>
      <c r="VIO31" s="204"/>
      <c r="VIP31" s="204"/>
      <c r="VIQ31" s="204"/>
      <c r="VIR31" s="204"/>
      <c r="VIS31" s="204"/>
      <c r="VIT31" s="204"/>
      <c r="VIU31" s="204"/>
      <c r="VIV31" s="204"/>
      <c r="VIW31" s="204"/>
      <c r="VIX31" s="204"/>
      <c r="VIY31" s="204"/>
      <c r="VIZ31" s="204"/>
      <c r="VJA31" s="204"/>
      <c r="VJB31" s="204"/>
      <c r="VJC31" s="204"/>
      <c r="VJD31" s="204"/>
      <c r="VJE31" s="204"/>
      <c r="VJF31" s="204"/>
      <c r="VJG31" s="204"/>
      <c r="VJH31" s="204"/>
      <c r="VJI31" s="204"/>
      <c r="VJJ31" s="204"/>
      <c r="VJK31" s="204"/>
      <c r="VJL31" s="204"/>
      <c r="VJM31" s="204"/>
      <c r="VJN31" s="204"/>
      <c r="VJO31" s="204"/>
      <c r="VJP31" s="204"/>
      <c r="VJQ31" s="204"/>
      <c r="VJR31" s="204"/>
      <c r="VJS31" s="204"/>
      <c r="VJT31" s="204"/>
      <c r="VJU31" s="204"/>
      <c r="VJV31" s="204"/>
      <c r="VJW31" s="204"/>
      <c r="VJX31" s="204"/>
      <c r="VJY31" s="204"/>
      <c r="VJZ31" s="204"/>
      <c r="VKA31" s="204"/>
      <c r="VKB31" s="204"/>
      <c r="VKC31" s="204"/>
      <c r="VKD31" s="204"/>
      <c r="VKE31" s="204"/>
      <c r="VKF31" s="204"/>
      <c r="VKG31" s="204"/>
      <c r="VKH31" s="204"/>
      <c r="VKI31" s="204"/>
      <c r="VKJ31" s="204"/>
      <c r="VKK31" s="204"/>
      <c r="VKL31" s="204"/>
      <c r="VKM31" s="204"/>
      <c r="VKN31" s="204"/>
      <c r="VKO31" s="204"/>
      <c r="VKP31" s="204"/>
      <c r="VKQ31" s="204"/>
      <c r="VKR31" s="204"/>
      <c r="VKS31" s="204"/>
      <c r="VKT31" s="204"/>
      <c r="VKU31" s="204"/>
      <c r="VKV31" s="204"/>
      <c r="VKW31" s="204"/>
      <c r="VKX31" s="204"/>
      <c r="VKY31" s="204"/>
      <c r="VKZ31" s="204"/>
      <c r="VLA31" s="204"/>
      <c r="VLB31" s="204"/>
      <c r="VLC31" s="204"/>
      <c r="VLD31" s="204"/>
      <c r="VLE31" s="204"/>
      <c r="VLF31" s="204"/>
      <c r="VLG31" s="204"/>
      <c r="VLH31" s="204"/>
      <c r="VLI31" s="204"/>
      <c r="VLJ31" s="204"/>
      <c r="VLK31" s="204"/>
      <c r="VLL31" s="204"/>
      <c r="VLM31" s="204"/>
      <c r="VLN31" s="204"/>
      <c r="VLO31" s="204"/>
      <c r="VLP31" s="204"/>
      <c r="VLQ31" s="204"/>
      <c r="VLR31" s="204"/>
      <c r="VLS31" s="204"/>
      <c r="VLT31" s="204"/>
      <c r="VLU31" s="204"/>
      <c r="VLV31" s="204"/>
      <c r="VLW31" s="204"/>
      <c r="VLX31" s="204"/>
      <c r="VLY31" s="204"/>
      <c r="VLZ31" s="204"/>
      <c r="VMA31" s="204"/>
      <c r="VMB31" s="204"/>
      <c r="VMC31" s="204"/>
      <c r="VMD31" s="204"/>
      <c r="VME31" s="204"/>
      <c r="VMF31" s="204"/>
      <c r="VMG31" s="204"/>
      <c r="VMH31" s="204"/>
      <c r="VMI31" s="204"/>
      <c r="VMJ31" s="204"/>
      <c r="VMK31" s="204"/>
      <c r="VML31" s="204"/>
      <c r="VMM31" s="204"/>
      <c r="VMN31" s="204"/>
      <c r="VMO31" s="204"/>
      <c r="VMP31" s="204"/>
      <c r="VMQ31" s="204"/>
      <c r="VMR31" s="204"/>
      <c r="VMS31" s="204"/>
      <c r="VMT31" s="204"/>
      <c r="VMU31" s="204"/>
      <c r="VMV31" s="204"/>
      <c r="VMW31" s="204"/>
      <c r="VMX31" s="204"/>
      <c r="VMY31" s="204"/>
      <c r="VMZ31" s="204"/>
      <c r="VNA31" s="204"/>
      <c r="VNB31" s="204"/>
      <c r="VNC31" s="204"/>
      <c r="VND31" s="204"/>
      <c r="VNE31" s="204"/>
      <c r="VNF31" s="204"/>
      <c r="VNG31" s="204"/>
      <c r="VNH31" s="204"/>
      <c r="VNI31" s="204"/>
      <c r="VNJ31" s="204"/>
      <c r="VNK31" s="204"/>
      <c r="VNL31" s="204"/>
      <c r="VNM31" s="204"/>
      <c r="VNN31" s="204"/>
      <c r="VNO31" s="204"/>
      <c r="VNP31" s="204"/>
      <c r="VNQ31" s="204"/>
      <c r="VNR31" s="204"/>
      <c r="VNS31" s="204"/>
      <c r="VNT31" s="204"/>
      <c r="VNU31" s="204"/>
      <c r="VNV31" s="204"/>
      <c r="VNW31" s="204"/>
      <c r="VNX31" s="204"/>
      <c r="VNY31" s="204"/>
      <c r="VNZ31" s="204"/>
      <c r="VOA31" s="204"/>
      <c r="VOB31" s="204"/>
      <c r="VOC31" s="204"/>
      <c r="VOD31" s="204"/>
      <c r="VOE31" s="204"/>
      <c r="VOF31" s="204"/>
      <c r="VOG31" s="204"/>
      <c r="VOH31" s="204"/>
      <c r="VOI31" s="204"/>
      <c r="VOJ31" s="204"/>
      <c r="VOK31" s="204"/>
      <c r="VOL31" s="204"/>
      <c r="VOM31" s="204"/>
      <c r="VON31" s="204"/>
      <c r="VOO31" s="204"/>
      <c r="VOP31" s="204"/>
      <c r="VOQ31" s="204"/>
      <c r="VOR31" s="204"/>
      <c r="VOS31" s="204"/>
      <c r="VOT31" s="204"/>
      <c r="VOU31" s="204"/>
      <c r="VOV31" s="204"/>
      <c r="VOW31" s="204"/>
      <c r="VOX31" s="204"/>
      <c r="VOY31" s="204"/>
      <c r="VOZ31" s="204"/>
      <c r="VPA31" s="204"/>
      <c r="VPB31" s="204"/>
      <c r="VPC31" s="204"/>
      <c r="VPD31" s="204"/>
      <c r="VPE31" s="204"/>
      <c r="VPF31" s="204"/>
      <c r="VPG31" s="204"/>
      <c r="VPH31" s="204"/>
      <c r="VPI31" s="204"/>
      <c r="VPJ31" s="204"/>
      <c r="VPK31" s="204"/>
      <c r="VPL31" s="204"/>
      <c r="VPM31" s="204"/>
      <c r="VPN31" s="204"/>
      <c r="VPO31" s="204"/>
      <c r="VPP31" s="204"/>
      <c r="VPQ31" s="204"/>
      <c r="VPR31" s="204"/>
      <c r="VPS31" s="204"/>
      <c r="VPT31" s="204"/>
      <c r="VPU31" s="204"/>
      <c r="VPV31" s="204"/>
      <c r="VPW31" s="204"/>
      <c r="VPX31" s="204"/>
      <c r="VPY31" s="204"/>
      <c r="VPZ31" s="204"/>
      <c r="VQA31" s="204"/>
      <c r="VQB31" s="204"/>
      <c r="VQC31" s="204"/>
      <c r="VQD31" s="204"/>
      <c r="VQE31" s="204"/>
      <c r="VQF31" s="204"/>
      <c r="VQG31" s="204"/>
      <c r="VQH31" s="204"/>
      <c r="VQI31" s="204"/>
      <c r="VQJ31" s="204"/>
      <c r="VQK31" s="204"/>
      <c r="VQL31" s="204"/>
      <c r="VQM31" s="204"/>
      <c r="VQN31" s="204"/>
      <c r="VQO31" s="204"/>
      <c r="VQP31" s="204"/>
      <c r="VQQ31" s="204"/>
      <c r="VQR31" s="204"/>
      <c r="VQS31" s="204"/>
      <c r="VQT31" s="204"/>
      <c r="VQU31" s="204"/>
      <c r="VQV31" s="204"/>
      <c r="VQW31" s="204"/>
      <c r="VQX31" s="204"/>
      <c r="VQY31" s="204"/>
      <c r="VQZ31" s="204"/>
      <c r="VRA31" s="204"/>
      <c r="VRB31" s="204"/>
      <c r="VRC31" s="204"/>
      <c r="VRD31" s="204"/>
      <c r="VRE31" s="204"/>
      <c r="VRF31" s="204"/>
      <c r="VRG31" s="204"/>
      <c r="VRH31" s="204"/>
      <c r="VRI31" s="204"/>
      <c r="VRJ31" s="204"/>
      <c r="VRK31" s="204"/>
      <c r="VRL31" s="204"/>
      <c r="VRM31" s="204"/>
      <c r="VRN31" s="204"/>
      <c r="VRO31" s="204"/>
      <c r="VRP31" s="204"/>
      <c r="VRQ31" s="204"/>
      <c r="VRR31" s="204"/>
      <c r="VRS31" s="204"/>
      <c r="VRT31" s="204"/>
      <c r="VRU31" s="204"/>
      <c r="VRV31" s="204"/>
      <c r="VRW31" s="204"/>
      <c r="VRX31" s="204"/>
      <c r="VRY31" s="204"/>
      <c r="VRZ31" s="204"/>
      <c r="VSA31" s="204"/>
      <c r="VSB31" s="204"/>
      <c r="VSC31" s="204"/>
      <c r="VSD31" s="204"/>
      <c r="VSE31" s="204"/>
      <c r="VSF31" s="204"/>
      <c r="VSG31" s="204"/>
      <c r="VSH31" s="204"/>
      <c r="VSI31" s="204"/>
      <c r="VSJ31" s="204"/>
      <c r="VSK31" s="204"/>
      <c r="VSL31" s="204"/>
      <c r="VSM31" s="204"/>
      <c r="VSN31" s="204"/>
      <c r="VSO31" s="204"/>
      <c r="VSP31" s="204"/>
      <c r="VSQ31" s="204"/>
      <c r="VSR31" s="204"/>
      <c r="VSS31" s="204"/>
      <c r="VST31" s="204"/>
      <c r="VSU31" s="204"/>
      <c r="VSV31" s="204"/>
      <c r="VSW31" s="204"/>
      <c r="VSX31" s="204"/>
      <c r="VSY31" s="204"/>
      <c r="VSZ31" s="204"/>
      <c r="VTA31" s="204"/>
      <c r="VTB31" s="204"/>
      <c r="VTC31" s="204"/>
      <c r="VTD31" s="204"/>
      <c r="VTE31" s="204"/>
      <c r="VTF31" s="204"/>
      <c r="VTG31" s="204"/>
      <c r="VTH31" s="204"/>
      <c r="VTI31" s="204"/>
      <c r="VTJ31" s="204"/>
      <c r="VTK31" s="204"/>
      <c r="VTL31" s="204"/>
      <c r="VTM31" s="204"/>
      <c r="VTN31" s="204"/>
      <c r="VTO31" s="204"/>
      <c r="VTP31" s="204"/>
      <c r="VTQ31" s="204"/>
      <c r="VTR31" s="204"/>
      <c r="VTS31" s="204"/>
      <c r="VTT31" s="204"/>
      <c r="VTU31" s="204"/>
      <c r="VTV31" s="204"/>
      <c r="VTW31" s="204"/>
      <c r="VTX31" s="204"/>
      <c r="VTY31" s="204"/>
      <c r="VTZ31" s="204"/>
      <c r="VUA31" s="204"/>
      <c r="VUB31" s="204"/>
      <c r="VUC31" s="204"/>
      <c r="VUD31" s="204"/>
      <c r="VUE31" s="204"/>
      <c r="VUF31" s="204"/>
      <c r="VUG31" s="204"/>
      <c r="VUH31" s="204"/>
      <c r="VUI31" s="204"/>
      <c r="VUJ31" s="204"/>
      <c r="VUK31" s="204"/>
      <c r="VUL31" s="204"/>
      <c r="VUM31" s="204"/>
      <c r="VUN31" s="204"/>
      <c r="VUO31" s="204"/>
      <c r="VUP31" s="204"/>
      <c r="VUQ31" s="204"/>
      <c r="VUR31" s="204"/>
      <c r="VUS31" s="204"/>
      <c r="VUT31" s="204"/>
      <c r="VUU31" s="204"/>
      <c r="VUV31" s="204"/>
      <c r="VUW31" s="204"/>
      <c r="VUX31" s="204"/>
      <c r="VUY31" s="204"/>
      <c r="VUZ31" s="204"/>
      <c r="VVA31" s="204"/>
      <c r="VVB31" s="204"/>
      <c r="VVC31" s="204"/>
      <c r="VVD31" s="204"/>
      <c r="VVE31" s="204"/>
      <c r="VVF31" s="204"/>
      <c r="VVG31" s="204"/>
      <c r="VVH31" s="204"/>
      <c r="VVI31" s="204"/>
      <c r="VVJ31" s="204"/>
      <c r="VVK31" s="204"/>
      <c r="VVL31" s="204"/>
      <c r="VVM31" s="204"/>
      <c r="VVN31" s="204"/>
      <c r="VVO31" s="204"/>
      <c r="VVP31" s="204"/>
      <c r="VVQ31" s="204"/>
      <c r="VVR31" s="204"/>
      <c r="VVS31" s="204"/>
      <c r="VVT31" s="204"/>
      <c r="VVU31" s="204"/>
      <c r="VVV31" s="204"/>
      <c r="VVW31" s="204"/>
      <c r="VVX31" s="204"/>
      <c r="VVY31" s="204"/>
      <c r="VVZ31" s="204"/>
      <c r="VWA31" s="204"/>
      <c r="VWB31" s="204"/>
      <c r="VWC31" s="204"/>
      <c r="VWD31" s="204"/>
      <c r="VWE31" s="204"/>
      <c r="VWF31" s="204"/>
      <c r="VWG31" s="204"/>
      <c r="VWH31" s="204"/>
      <c r="VWI31" s="204"/>
      <c r="VWJ31" s="204"/>
      <c r="VWK31" s="204"/>
      <c r="VWL31" s="204"/>
      <c r="VWM31" s="204"/>
      <c r="VWN31" s="204"/>
      <c r="VWO31" s="204"/>
      <c r="VWP31" s="204"/>
      <c r="VWQ31" s="204"/>
      <c r="VWR31" s="204"/>
      <c r="VWS31" s="204"/>
      <c r="VWT31" s="204"/>
      <c r="VWU31" s="204"/>
      <c r="VWV31" s="204"/>
      <c r="VWW31" s="204"/>
      <c r="VWX31" s="204"/>
      <c r="VWY31" s="204"/>
      <c r="VWZ31" s="204"/>
      <c r="VXA31" s="204"/>
      <c r="VXB31" s="204"/>
      <c r="VXC31" s="204"/>
      <c r="VXD31" s="204"/>
      <c r="VXE31" s="204"/>
      <c r="VXF31" s="204"/>
      <c r="VXG31" s="204"/>
      <c r="VXH31" s="204"/>
      <c r="VXI31" s="204"/>
      <c r="VXJ31" s="204"/>
      <c r="VXK31" s="204"/>
      <c r="VXL31" s="204"/>
      <c r="VXM31" s="204"/>
      <c r="VXN31" s="204"/>
      <c r="VXO31" s="204"/>
      <c r="VXP31" s="204"/>
      <c r="VXQ31" s="204"/>
      <c r="VXR31" s="204"/>
      <c r="VXS31" s="204"/>
      <c r="VXT31" s="204"/>
      <c r="VXU31" s="204"/>
      <c r="VXV31" s="204"/>
      <c r="VXW31" s="204"/>
      <c r="VXX31" s="204"/>
      <c r="VXY31" s="204"/>
      <c r="VXZ31" s="204"/>
      <c r="VYA31" s="204"/>
      <c r="VYB31" s="204"/>
      <c r="VYC31" s="204"/>
      <c r="VYD31" s="204"/>
      <c r="VYE31" s="204"/>
      <c r="VYF31" s="204"/>
      <c r="VYG31" s="204"/>
      <c r="VYH31" s="204"/>
      <c r="VYI31" s="204"/>
      <c r="VYJ31" s="204"/>
      <c r="VYK31" s="204"/>
      <c r="VYL31" s="204"/>
      <c r="VYM31" s="204"/>
      <c r="VYN31" s="204"/>
      <c r="VYO31" s="204"/>
      <c r="VYP31" s="204"/>
      <c r="VYQ31" s="204"/>
      <c r="VYR31" s="204"/>
      <c r="VYS31" s="204"/>
      <c r="VYT31" s="204"/>
      <c r="VYU31" s="204"/>
      <c r="VYV31" s="204"/>
      <c r="VYW31" s="204"/>
      <c r="VYX31" s="204"/>
      <c r="VYY31" s="204"/>
      <c r="VYZ31" s="204"/>
      <c r="VZA31" s="204"/>
      <c r="VZB31" s="204"/>
      <c r="VZC31" s="204"/>
      <c r="VZD31" s="204"/>
      <c r="VZE31" s="204"/>
      <c r="VZF31" s="204"/>
      <c r="VZG31" s="204"/>
      <c r="VZH31" s="204"/>
      <c r="VZI31" s="204"/>
      <c r="VZJ31" s="204"/>
      <c r="VZK31" s="204"/>
      <c r="VZL31" s="204"/>
      <c r="VZM31" s="204"/>
      <c r="VZN31" s="204"/>
      <c r="VZO31" s="204"/>
      <c r="VZP31" s="204"/>
      <c r="VZQ31" s="204"/>
      <c r="VZR31" s="204"/>
      <c r="VZS31" s="204"/>
      <c r="VZT31" s="204"/>
      <c r="VZU31" s="204"/>
      <c r="VZV31" s="204"/>
      <c r="VZW31" s="204"/>
      <c r="VZX31" s="204"/>
      <c r="VZY31" s="204"/>
      <c r="VZZ31" s="204"/>
      <c r="WAA31" s="204"/>
      <c r="WAB31" s="204"/>
      <c r="WAC31" s="204"/>
      <c r="WAD31" s="204"/>
      <c r="WAE31" s="204"/>
      <c r="WAF31" s="204"/>
      <c r="WAG31" s="204"/>
      <c r="WAH31" s="204"/>
      <c r="WAI31" s="204"/>
      <c r="WAJ31" s="204"/>
      <c r="WAK31" s="204"/>
      <c r="WAL31" s="204"/>
      <c r="WAM31" s="204"/>
      <c r="WAN31" s="204"/>
      <c r="WAO31" s="204"/>
      <c r="WAP31" s="204"/>
      <c r="WAQ31" s="204"/>
      <c r="WAR31" s="204"/>
      <c r="WAS31" s="204"/>
      <c r="WAT31" s="204"/>
      <c r="WAU31" s="204"/>
      <c r="WAV31" s="204"/>
      <c r="WAW31" s="204"/>
      <c r="WAX31" s="204"/>
      <c r="WAY31" s="204"/>
      <c r="WAZ31" s="204"/>
      <c r="WBA31" s="204"/>
      <c r="WBB31" s="204"/>
      <c r="WBC31" s="204"/>
      <c r="WBD31" s="204"/>
      <c r="WBE31" s="204"/>
      <c r="WBF31" s="204"/>
      <c r="WBG31" s="204"/>
      <c r="WBH31" s="204"/>
      <c r="WBI31" s="204"/>
      <c r="WBJ31" s="204"/>
      <c r="WBK31" s="204"/>
      <c r="WBL31" s="204"/>
      <c r="WBM31" s="204"/>
      <c r="WBN31" s="204"/>
      <c r="WBO31" s="204"/>
      <c r="WBP31" s="204"/>
      <c r="WBQ31" s="204"/>
      <c r="WBR31" s="204"/>
      <c r="WBS31" s="204"/>
      <c r="WBT31" s="204"/>
      <c r="WBU31" s="204"/>
      <c r="WBV31" s="204"/>
      <c r="WBW31" s="204"/>
      <c r="WBX31" s="204"/>
      <c r="WBY31" s="204"/>
      <c r="WBZ31" s="204"/>
      <c r="WCA31" s="204"/>
      <c r="WCB31" s="204"/>
      <c r="WCC31" s="204"/>
      <c r="WCD31" s="204"/>
      <c r="WCE31" s="204"/>
      <c r="WCF31" s="204"/>
      <c r="WCG31" s="204"/>
      <c r="WCH31" s="204"/>
      <c r="WCI31" s="204"/>
      <c r="WCJ31" s="204"/>
      <c r="WCK31" s="204"/>
      <c r="WCL31" s="204"/>
      <c r="WCM31" s="204"/>
      <c r="WCN31" s="204"/>
      <c r="WCO31" s="204"/>
      <c r="WCP31" s="204"/>
      <c r="WCQ31" s="204"/>
      <c r="WCR31" s="204"/>
      <c r="WCS31" s="204"/>
      <c r="WCT31" s="204"/>
      <c r="WCU31" s="204"/>
      <c r="WCV31" s="204"/>
      <c r="WCW31" s="204"/>
      <c r="WCX31" s="204"/>
      <c r="WCY31" s="204"/>
      <c r="WCZ31" s="204"/>
      <c r="WDA31" s="204"/>
      <c r="WDB31" s="204"/>
      <c r="WDC31" s="204"/>
      <c r="WDD31" s="204"/>
      <c r="WDE31" s="204"/>
      <c r="WDF31" s="204"/>
      <c r="WDG31" s="204"/>
      <c r="WDH31" s="204"/>
      <c r="WDI31" s="204"/>
      <c r="WDJ31" s="204"/>
      <c r="WDK31" s="204"/>
      <c r="WDL31" s="204"/>
      <c r="WDM31" s="204"/>
      <c r="WDN31" s="204"/>
      <c r="WDO31" s="204"/>
      <c r="WDP31" s="204"/>
      <c r="WDQ31" s="204"/>
      <c r="WDR31" s="204"/>
      <c r="WDS31" s="204"/>
      <c r="WDT31" s="204"/>
      <c r="WDU31" s="204"/>
      <c r="WDV31" s="204"/>
      <c r="WDW31" s="204"/>
      <c r="WDX31" s="204"/>
      <c r="WDY31" s="204"/>
      <c r="WDZ31" s="204"/>
      <c r="WEA31" s="204"/>
      <c r="WEB31" s="204"/>
      <c r="WEC31" s="204"/>
      <c r="WED31" s="204"/>
      <c r="WEE31" s="204"/>
      <c r="WEF31" s="204"/>
      <c r="WEG31" s="204"/>
      <c r="WEH31" s="204"/>
      <c r="WEI31" s="204"/>
      <c r="WEJ31" s="204"/>
      <c r="WEK31" s="204"/>
      <c r="WEL31" s="204"/>
      <c r="WEM31" s="204"/>
      <c r="WEN31" s="204"/>
      <c r="WEO31" s="204"/>
      <c r="WEP31" s="204"/>
      <c r="WEQ31" s="204"/>
      <c r="WER31" s="204"/>
      <c r="WES31" s="204"/>
      <c r="WET31" s="204"/>
      <c r="WEU31" s="204"/>
      <c r="WEV31" s="204"/>
      <c r="WEW31" s="204"/>
      <c r="WEX31" s="204"/>
      <c r="WEY31" s="204"/>
      <c r="WEZ31" s="204"/>
      <c r="WFA31" s="204"/>
      <c r="WFB31" s="204"/>
      <c r="WFC31" s="204"/>
      <c r="WFD31" s="204"/>
      <c r="WFE31" s="204"/>
      <c r="WFF31" s="204"/>
      <c r="WFG31" s="204"/>
      <c r="WFH31" s="204"/>
      <c r="WFI31" s="204"/>
      <c r="WFJ31" s="204"/>
      <c r="WFK31" s="204"/>
      <c r="WFL31" s="204"/>
      <c r="WFM31" s="204"/>
      <c r="WFN31" s="204"/>
      <c r="WFO31" s="204"/>
      <c r="WFP31" s="204"/>
      <c r="WFQ31" s="204"/>
      <c r="WFR31" s="204"/>
      <c r="WFS31" s="204"/>
      <c r="WFT31" s="204"/>
      <c r="WFU31" s="204"/>
      <c r="WFV31" s="204"/>
      <c r="WFW31" s="204"/>
      <c r="WFX31" s="204"/>
      <c r="WFY31" s="204"/>
      <c r="WFZ31" s="204"/>
      <c r="WGA31" s="204"/>
      <c r="WGB31" s="204"/>
      <c r="WGC31" s="204"/>
      <c r="WGD31" s="204"/>
      <c r="WGE31" s="204"/>
      <c r="WGF31" s="204"/>
      <c r="WGG31" s="204"/>
      <c r="WGH31" s="204"/>
      <c r="WGI31" s="204"/>
      <c r="WGJ31" s="204"/>
      <c r="WGK31" s="204"/>
      <c r="WGL31" s="204"/>
      <c r="WGM31" s="204"/>
      <c r="WGN31" s="204"/>
      <c r="WGO31" s="204"/>
      <c r="WGP31" s="204"/>
      <c r="WGQ31" s="204"/>
      <c r="WGR31" s="204"/>
      <c r="WGS31" s="204"/>
      <c r="WGT31" s="204"/>
      <c r="WGU31" s="204"/>
      <c r="WGV31" s="204"/>
      <c r="WGW31" s="204"/>
      <c r="WGX31" s="204"/>
      <c r="WGY31" s="204"/>
      <c r="WGZ31" s="204"/>
      <c r="WHA31" s="204"/>
      <c r="WHB31" s="204"/>
      <c r="WHC31" s="204"/>
      <c r="WHD31" s="204"/>
      <c r="WHE31" s="204"/>
      <c r="WHF31" s="204"/>
      <c r="WHG31" s="204"/>
      <c r="WHH31" s="204"/>
      <c r="WHI31" s="204"/>
      <c r="WHJ31" s="204"/>
      <c r="WHK31" s="204"/>
      <c r="WHL31" s="204"/>
      <c r="WHM31" s="204"/>
      <c r="WHN31" s="204"/>
      <c r="WHO31" s="204"/>
      <c r="WHP31" s="204"/>
      <c r="WHQ31" s="204"/>
      <c r="WHR31" s="204"/>
      <c r="WHS31" s="204"/>
      <c r="WHT31" s="204"/>
      <c r="WHU31" s="204"/>
      <c r="WHV31" s="204"/>
      <c r="WHW31" s="204"/>
      <c r="WHX31" s="204"/>
      <c r="WHY31" s="204"/>
      <c r="WHZ31" s="204"/>
      <c r="WIA31" s="204"/>
      <c r="WIB31" s="204"/>
      <c r="WIC31" s="204"/>
      <c r="WID31" s="204"/>
      <c r="WIE31" s="204"/>
      <c r="WIF31" s="204"/>
      <c r="WIG31" s="204"/>
      <c r="WIH31" s="204"/>
      <c r="WII31" s="204"/>
      <c r="WIJ31" s="204"/>
      <c r="WIK31" s="204"/>
      <c r="WIL31" s="204"/>
      <c r="WIM31" s="204"/>
      <c r="WIN31" s="204"/>
      <c r="WIO31" s="204"/>
      <c r="WIP31" s="204"/>
      <c r="WIQ31" s="204"/>
      <c r="WIR31" s="204"/>
      <c r="WIS31" s="204"/>
      <c r="WIT31" s="204"/>
      <c r="WIU31" s="204"/>
      <c r="WIV31" s="204"/>
      <c r="WIW31" s="204"/>
      <c r="WIX31" s="204"/>
      <c r="WIY31" s="204"/>
      <c r="WIZ31" s="204"/>
      <c r="WJA31" s="204"/>
      <c r="WJB31" s="204"/>
      <c r="WJC31" s="204"/>
      <c r="WJD31" s="204"/>
      <c r="WJE31" s="204"/>
      <c r="WJF31" s="204"/>
      <c r="WJG31" s="204"/>
      <c r="WJH31" s="204"/>
      <c r="WJI31" s="204"/>
      <c r="WJJ31" s="204"/>
      <c r="WJK31" s="204"/>
      <c r="WJL31" s="204"/>
      <c r="WJM31" s="204"/>
      <c r="WJN31" s="204"/>
      <c r="WJO31" s="204"/>
      <c r="WJP31" s="204"/>
      <c r="WJQ31" s="204"/>
      <c r="WJR31" s="204"/>
      <c r="WJS31" s="204"/>
      <c r="WJT31" s="204"/>
      <c r="WJU31" s="204"/>
      <c r="WJV31" s="204"/>
      <c r="WJW31" s="204"/>
      <c r="WJX31" s="204"/>
      <c r="WJY31" s="204"/>
      <c r="WJZ31" s="204"/>
      <c r="WKA31" s="204"/>
      <c r="WKB31" s="204"/>
      <c r="WKC31" s="204"/>
      <c r="WKD31" s="204"/>
      <c r="WKE31" s="204"/>
      <c r="WKF31" s="204"/>
      <c r="WKG31" s="204"/>
      <c r="WKH31" s="204"/>
      <c r="WKI31" s="204"/>
      <c r="WKJ31" s="204"/>
      <c r="WKK31" s="204"/>
      <c r="WKL31" s="204"/>
      <c r="WKM31" s="204"/>
      <c r="WKN31" s="204"/>
      <c r="WKO31" s="204"/>
      <c r="WKP31" s="204"/>
      <c r="WKQ31" s="204"/>
      <c r="WKR31" s="204"/>
      <c r="WKS31" s="204"/>
      <c r="WKT31" s="204"/>
      <c r="WKU31" s="204"/>
      <c r="WKV31" s="204"/>
      <c r="WKW31" s="204"/>
      <c r="WKX31" s="204"/>
      <c r="WKY31" s="204"/>
      <c r="WKZ31" s="204"/>
      <c r="WLA31" s="204"/>
      <c r="WLB31" s="204"/>
      <c r="WLC31" s="204"/>
      <c r="WLD31" s="204"/>
      <c r="WLE31" s="204"/>
      <c r="WLF31" s="204"/>
      <c r="WLG31" s="204"/>
      <c r="WLH31" s="204"/>
      <c r="WLI31" s="204"/>
      <c r="WLJ31" s="204"/>
      <c r="WLK31" s="204"/>
      <c r="WLL31" s="204"/>
      <c r="WLM31" s="204"/>
      <c r="WLN31" s="204"/>
      <c r="WLO31" s="204"/>
      <c r="WLP31" s="204"/>
      <c r="WLQ31" s="204"/>
      <c r="WLR31" s="204"/>
      <c r="WLS31" s="204"/>
      <c r="WLT31" s="204"/>
      <c r="WLU31" s="204"/>
      <c r="WLV31" s="204"/>
      <c r="WLW31" s="204"/>
      <c r="WLX31" s="204"/>
      <c r="WLY31" s="204"/>
      <c r="WLZ31" s="204"/>
      <c r="WMA31" s="204"/>
      <c r="WMB31" s="204"/>
      <c r="WMC31" s="204"/>
      <c r="WMD31" s="204"/>
      <c r="WME31" s="204"/>
      <c r="WMF31" s="204"/>
      <c r="WMG31" s="204"/>
      <c r="WMH31" s="204"/>
      <c r="WMI31" s="204"/>
      <c r="WMJ31" s="204"/>
      <c r="WMK31" s="204"/>
      <c r="WML31" s="204"/>
      <c r="WMM31" s="204"/>
      <c r="WMN31" s="204"/>
      <c r="WMO31" s="204"/>
      <c r="WMP31" s="204"/>
      <c r="WMQ31" s="204"/>
      <c r="WMR31" s="204"/>
      <c r="WMS31" s="204"/>
      <c r="WMT31" s="204"/>
      <c r="WMU31" s="204"/>
      <c r="WMV31" s="204"/>
      <c r="WMW31" s="204"/>
      <c r="WMX31" s="204"/>
      <c r="WMY31" s="204"/>
      <c r="WMZ31" s="204"/>
      <c r="WNA31" s="204"/>
      <c r="WNB31" s="204"/>
      <c r="WNC31" s="204"/>
      <c r="WND31" s="204"/>
      <c r="WNE31" s="204"/>
      <c r="WNF31" s="204"/>
      <c r="WNG31" s="204"/>
      <c r="WNH31" s="204"/>
      <c r="WNI31" s="204"/>
      <c r="WNJ31" s="204"/>
      <c r="WNK31" s="204"/>
      <c r="WNL31" s="204"/>
      <c r="WNM31" s="204"/>
      <c r="WNN31" s="204"/>
      <c r="WNO31" s="204"/>
      <c r="WNP31" s="204"/>
      <c r="WNQ31" s="204"/>
      <c r="WNR31" s="204"/>
      <c r="WNS31" s="204"/>
      <c r="WNT31" s="204"/>
      <c r="WNU31" s="204"/>
      <c r="WNV31" s="204"/>
      <c r="WNW31" s="204"/>
      <c r="WNX31" s="204"/>
      <c r="WNY31" s="204"/>
      <c r="WNZ31" s="204"/>
      <c r="WOA31" s="204"/>
      <c r="WOB31" s="204"/>
      <c r="WOC31" s="204"/>
      <c r="WOD31" s="204"/>
      <c r="WOE31" s="204"/>
      <c r="WOF31" s="204"/>
      <c r="WOG31" s="204"/>
      <c r="WOH31" s="204"/>
      <c r="WOI31" s="204"/>
      <c r="WOJ31" s="204"/>
      <c r="WOK31" s="204"/>
      <c r="WOL31" s="204"/>
      <c r="WOM31" s="204"/>
      <c r="WON31" s="204"/>
      <c r="WOO31" s="204"/>
      <c r="WOP31" s="204"/>
      <c r="WOQ31" s="204"/>
      <c r="WOR31" s="204"/>
      <c r="WOS31" s="204"/>
      <c r="WOT31" s="204"/>
      <c r="WOU31" s="204"/>
      <c r="WOV31" s="204"/>
      <c r="WOW31" s="204"/>
      <c r="WOX31" s="204"/>
      <c r="WOY31" s="204"/>
      <c r="WOZ31" s="204"/>
      <c r="WPA31" s="204"/>
      <c r="WPB31" s="204"/>
      <c r="WPC31" s="204"/>
      <c r="WPD31" s="204"/>
      <c r="WPE31" s="204"/>
      <c r="WPF31" s="204"/>
      <c r="WPG31" s="204"/>
      <c r="WPH31" s="204"/>
      <c r="WPI31" s="204"/>
      <c r="WPJ31" s="204"/>
      <c r="WPK31" s="204"/>
      <c r="WPL31" s="204"/>
      <c r="WPM31" s="204"/>
      <c r="WPN31" s="204"/>
      <c r="WPO31" s="204"/>
      <c r="WPP31" s="204"/>
      <c r="WPQ31" s="204"/>
      <c r="WPR31" s="204"/>
      <c r="WPS31" s="204"/>
      <c r="WPT31" s="204"/>
      <c r="WPU31" s="204"/>
      <c r="WPV31" s="204"/>
      <c r="WPW31" s="204"/>
      <c r="WPX31" s="204"/>
      <c r="WPY31" s="204"/>
      <c r="WPZ31" s="204"/>
      <c r="WQA31" s="204"/>
      <c r="WQB31" s="204"/>
      <c r="WQC31" s="204"/>
      <c r="WQD31" s="204"/>
      <c r="WQE31" s="204"/>
      <c r="WQF31" s="204"/>
      <c r="WQG31" s="204"/>
      <c r="WQH31" s="204"/>
      <c r="WQI31" s="204"/>
      <c r="WQJ31" s="204"/>
      <c r="WQK31" s="204"/>
      <c r="WQL31" s="204"/>
      <c r="WQM31" s="204"/>
      <c r="WQN31" s="204"/>
      <c r="WQO31" s="204"/>
      <c r="WQP31" s="204"/>
      <c r="WQQ31" s="204"/>
      <c r="WQR31" s="204"/>
      <c r="WQS31" s="204"/>
      <c r="WQT31" s="204"/>
      <c r="WQU31" s="204"/>
      <c r="WQV31" s="204"/>
      <c r="WQW31" s="204"/>
      <c r="WQX31" s="204"/>
      <c r="WQY31" s="204"/>
      <c r="WQZ31" s="204"/>
      <c r="WRA31" s="204"/>
      <c r="WRB31" s="204"/>
      <c r="WRC31" s="204"/>
      <c r="WRD31" s="204"/>
      <c r="WRE31" s="204"/>
      <c r="WRF31" s="204"/>
      <c r="WRG31" s="204"/>
      <c r="WRH31" s="204"/>
      <c r="WRI31" s="204"/>
      <c r="WRJ31" s="204"/>
      <c r="WRK31" s="204"/>
      <c r="WRL31" s="204"/>
      <c r="WRM31" s="204"/>
      <c r="WRN31" s="204"/>
      <c r="WRO31" s="204"/>
      <c r="WRP31" s="204"/>
      <c r="WRQ31" s="204"/>
      <c r="WRR31" s="204"/>
      <c r="WRS31" s="204"/>
      <c r="WRT31" s="204"/>
      <c r="WRU31" s="204"/>
      <c r="WRV31" s="204"/>
      <c r="WRW31" s="204"/>
      <c r="WRX31" s="204"/>
      <c r="WRY31" s="204"/>
      <c r="WRZ31" s="204"/>
      <c r="WSA31" s="204"/>
      <c r="WSB31" s="204"/>
      <c r="WSC31" s="204"/>
      <c r="WSD31" s="204"/>
      <c r="WSE31" s="204"/>
      <c r="WSF31" s="204"/>
      <c r="WSG31" s="204"/>
      <c r="WSH31" s="204"/>
      <c r="WSI31" s="204"/>
      <c r="WSJ31" s="204"/>
      <c r="WSK31" s="204"/>
      <c r="WSL31" s="204"/>
      <c r="WSM31" s="204"/>
      <c r="WSN31" s="204"/>
      <c r="WSO31" s="204"/>
      <c r="WSP31" s="204"/>
      <c r="WSQ31" s="204"/>
      <c r="WSR31" s="204"/>
      <c r="WSS31" s="204"/>
      <c r="WST31" s="204"/>
      <c r="WSU31" s="204"/>
      <c r="WSV31" s="204"/>
      <c r="WSW31" s="204"/>
      <c r="WSX31" s="204"/>
      <c r="WSY31" s="204"/>
      <c r="WSZ31" s="204"/>
      <c r="WTA31" s="204"/>
      <c r="WTB31" s="204"/>
      <c r="WTC31" s="204"/>
      <c r="WTD31" s="204"/>
      <c r="WTE31" s="204"/>
      <c r="WTF31" s="204"/>
      <c r="WTG31" s="204"/>
      <c r="WTH31" s="204"/>
      <c r="WTI31" s="204"/>
      <c r="WTJ31" s="204"/>
      <c r="WTK31" s="204"/>
      <c r="WTL31" s="204"/>
      <c r="WTM31" s="204"/>
      <c r="WTN31" s="204"/>
      <c r="WTO31" s="204"/>
      <c r="WTP31" s="204"/>
      <c r="WTQ31" s="204"/>
      <c r="WTR31" s="204"/>
      <c r="WTS31" s="204"/>
      <c r="WTT31" s="204"/>
      <c r="WTU31" s="204"/>
      <c r="WTV31" s="204"/>
      <c r="WTW31" s="204"/>
      <c r="WTX31" s="204"/>
      <c r="WTY31" s="204"/>
      <c r="WTZ31" s="204"/>
      <c r="WUA31" s="204"/>
      <c r="WUB31" s="204"/>
      <c r="WUC31" s="204"/>
      <c r="WUD31" s="204"/>
      <c r="WUE31" s="204"/>
      <c r="WUF31" s="204"/>
      <c r="WUG31" s="204"/>
      <c r="WUH31" s="204"/>
      <c r="WUI31" s="204"/>
      <c r="WUJ31" s="204"/>
      <c r="WUK31" s="204"/>
      <c r="WUL31" s="204"/>
      <c r="WUM31" s="204"/>
      <c r="WUN31" s="204"/>
      <c r="WUO31" s="204"/>
      <c r="WUP31" s="204"/>
      <c r="WUQ31" s="204"/>
      <c r="WUR31" s="204"/>
      <c r="WUS31" s="204"/>
      <c r="WUT31" s="204"/>
      <c r="WUU31" s="204"/>
      <c r="WUV31" s="204"/>
      <c r="WUW31" s="204"/>
      <c r="WUX31" s="204"/>
      <c r="WUY31" s="204"/>
      <c r="WUZ31" s="204"/>
      <c r="WVA31" s="204"/>
      <c r="WVB31" s="204"/>
      <c r="WVC31" s="204"/>
      <c r="WVD31" s="204"/>
      <c r="WVE31" s="204"/>
      <c r="WVF31" s="204"/>
      <c r="WVG31" s="204"/>
      <c r="WVH31" s="204"/>
      <c r="WVI31" s="204"/>
      <c r="WVJ31" s="204"/>
      <c r="WVK31" s="204"/>
      <c r="WVL31" s="204"/>
      <c r="WVM31" s="204"/>
      <c r="WVN31" s="204"/>
      <c r="WVO31" s="204"/>
      <c r="WVP31" s="204"/>
      <c r="WVQ31" s="204"/>
      <c r="WVR31" s="204"/>
      <c r="WVS31" s="204"/>
      <c r="WVT31" s="204"/>
      <c r="WVU31" s="204"/>
      <c r="WVV31" s="204"/>
      <c r="WVW31" s="204"/>
      <c r="WVX31" s="204"/>
      <c r="WVY31" s="204"/>
      <c r="WVZ31" s="204"/>
      <c r="WWA31" s="204"/>
      <c r="WWB31" s="204"/>
      <c r="WWC31" s="204"/>
      <c r="WWD31" s="204"/>
      <c r="WWE31" s="204"/>
      <c r="WWF31" s="204"/>
      <c r="WWG31" s="204"/>
      <c r="WWH31" s="204"/>
      <c r="WWI31" s="204"/>
      <c r="WWJ31" s="204"/>
      <c r="WWK31" s="204"/>
      <c r="WWL31" s="204"/>
      <c r="WWM31" s="204"/>
      <c r="WWN31" s="204"/>
      <c r="WWO31" s="204"/>
      <c r="WWP31" s="204"/>
      <c r="WWQ31" s="204"/>
      <c r="WWR31" s="204"/>
      <c r="WWS31" s="204"/>
      <c r="WWT31" s="204"/>
      <c r="WWU31" s="204"/>
      <c r="WWV31" s="204"/>
      <c r="WWW31" s="204"/>
      <c r="WWX31" s="204"/>
      <c r="WWY31" s="204"/>
      <c r="WWZ31" s="204"/>
      <c r="WXA31" s="204"/>
      <c r="WXB31" s="204"/>
      <c r="WXC31" s="204"/>
      <c r="WXD31" s="204"/>
      <c r="WXE31" s="204"/>
      <c r="WXF31" s="204"/>
      <c r="WXG31" s="204"/>
      <c r="WXH31" s="204"/>
      <c r="WXI31" s="204"/>
      <c r="WXJ31" s="204"/>
      <c r="WXK31" s="204"/>
      <c r="WXL31" s="204"/>
      <c r="WXM31" s="204"/>
      <c r="WXN31" s="204"/>
      <c r="WXO31" s="204"/>
      <c r="WXP31" s="204"/>
      <c r="WXQ31" s="204"/>
      <c r="WXR31" s="204"/>
      <c r="WXS31" s="204"/>
      <c r="WXT31" s="204"/>
      <c r="WXU31" s="204"/>
      <c r="WXV31" s="204"/>
      <c r="WXW31" s="204"/>
      <c r="WXX31" s="204"/>
      <c r="WXY31" s="204"/>
      <c r="WXZ31" s="204"/>
      <c r="WYA31" s="204"/>
      <c r="WYB31" s="204"/>
      <c r="WYC31" s="204"/>
      <c r="WYD31" s="204"/>
      <c r="WYE31" s="204"/>
      <c r="WYF31" s="204"/>
      <c r="WYG31" s="204"/>
      <c r="WYH31" s="204"/>
      <c r="WYI31" s="204"/>
      <c r="WYJ31" s="204"/>
      <c r="WYK31" s="204"/>
      <c r="WYL31" s="204"/>
      <c r="WYM31" s="204"/>
      <c r="WYN31" s="204"/>
      <c r="WYO31" s="204"/>
      <c r="WYP31" s="204"/>
      <c r="WYQ31" s="204"/>
      <c r="WYR31" s="204"/>
      <c r="WYS31" s="204"/>
      <c r="WYT31" s="204"/>
      <c r="WYU31" s="204"/>
      <c r="WYV31" s="204"/>
      <c r="WYW31" s="204"/>
      <c r="WYX31" s="204"/>
      <c r="WYY31" s="204"/>
      <c r="WYZ31" s="204"/>
      <c r="WZA31" s="204"/>
      <c r="WZB31" s="204"/>
      <c r="WZC31" s="204"/>
      <c r="WZD31" s="204"/>
      <c r="WZE31" s="204"/>
      <c r="WZF31" s="204"/>
      <c r="WZG31" s="204"/>
      <c r="WZH31" s="204"/>
      <c r="WZI31" s="204"/>
      <c r="WZJ31" s="204"/>
      <c r="WZK31" s="204"/>
      <c r="WZL31" s="204"/>
      <c r="WZM31" s="204"/>
      <c r="WZN31" s="204"/>
      <c r="WZO31" s="204"/>
      <c r="WZP31" s="204"/>
      <c r="WZQ31" s="204"/>
      <c r="WZR31" s="204"/>
      <c r="WZS31" s="204"/>
      <c r="WZT31" s="204"/>
      <c r="WZU31" s="204"/>
      <c r="WZV31" s="204"/>
      <c r="WZW31" s="204"/>
      <c r="WZX31" s="204"/>
      <c r="WZY31" s="204"/>
      <c r="WZZ31" s="204"/>
      <c r="XAA31" s="204"/>
      <c r="XAB31" s="204"/>
      <c r="XAC31" s="204"/>
      <c r="XAD31" s="204"/>
      <c r="XAE31" s="204"/>
      <c r="XAF31" s="204"/>
      <c r="XAG31" s="204"/>
      <c r="XAH31" s="204"/>
      <c r="XAI31" s="204"/>
      <c r="XAJ31" s="204"/>
      <c r="XAK31" s="204"/>
      <c r="XAL31" s="204"/>
      <c r="XAM31" s="204"/>
      <c r="XAN31" s="204"/>
      <c r="XAO31" s="204"/>
      <c r="XAP31" s="204"/>
      <c r="XAQ31" s="204"/>
      <c r="XAR31" s="204"/>
      <c r="XAS31" s="204"/>
      <c r="XAT31" s="204"/>
      <c r="XAU31" s="204"/>
      <c r="XAV31" s="204"/>
      <c r="XAW31" s="204"/>
      <c r="XAX31" s="204"/>
      <c r="XAY31" s="204"/>
      <c r="XAZ31" s="204"/>
      <c r="XBA31" s="204"/>
      <c r="XBB31" s="204"/>
      <c r="XBC31" s="204"/>
      <c r="XBD31" s="204"/>
      <c r="XBE31" s="204"/>
      <c r="XBF31" s="204"/>
      <c r="XBG31" s="204"/>
      <c r="XBH31" s="204"/>
      <c r="XBI31" s="204"/>
      <c r="XBJ31" s="204"/>
      <c r="XBK31" s="204"/>
      <c r="XBL31" s="204"/>
      <c r="XBM31" s="204"/>
      <c r="XBN31" s="204"/>
      <c r="XBO31" s="204"/>
      <c r="XBP31" s="204"/>
      <c r="XBQ31" s="204"/>
      <c r="XBR31" s="204"/>
      <c r="XBS31" s="204"/>
      <c r="XBT31" s="204"/>
      <c r="XBU31" s="204"/>
      <c r="XBV31" s="204"/>
      <c r="XBW31" s="204"/>
      <c r="XBX31" s="204"/>
      <c r="XBY31" s="204"/>
      <c r="XBZ31" s="204"/>
      <c r="XCA31" s="204"/>
      <c r="XCB31" s="204"/>
      <c r="XCC31" s="204"/>
      <c r="XCD31" s="204"/>
      <c r="XCE31" s="204"/>
      <c r="XCF31" s="204"/>
      <c r="XCG31" s="204"/>
      <c r="XCH31" s="204"/>
      <c r="XCI31" s="204"/>
      <c r="XCJ31" s="204"/>
      <c r="XCK31" s="204"/>
      <c r="XCL31" s="204"/>
      <c r="XCM31" s="204"/>
      <c r="XCN31" s="204"/>
      <c r="XCO31" s="204"/>
      <c r="XCP31" s="204"/>
      <c r="XCQ31" s="204"/>
      <c r="XCR31" s="204"/>
      <c r="XCS31" s="204"/>
      <c r="XCT31" s="204"/>
      <c r="XCU31" s="204"/>
      <c r="XCV31" s="204"/>
      <c r="XCW31" s="204"/>
      <c r="XCX31" s="204"/>
      <c r="XCY31" s="204"/>
      <c r="XCZ31" s="204"/>
      <c r="XDA31" s="204"/>
      <c r="XDB31" s="204"/>
      <c r="XDC31" s="204"/>
      <c r="XDD31" s="204"/>
      <c r="XDE31" s="204"/>
      <c r="XDF31" s="204"/>
      <c r="XDG31" s="204"/>
      <c r="XDH31" s="204"/>
      <c r="XDI31" s="204"/>
      <c r="XDJ31" s="204"/>
      <c r="XDK31" s="204"/>
      <c r="XDL31" s="204"/>
      <c r="XDM31" s="204"/>
      <c r="XDN31" s="204"/>
      <c r="XDO31" s="204"/>
      <c r="XDP31" s="204"/>
      <c r="XDQ31" s="204"/>
      <c r="XDR31" s="204"/>
      <c r="XDS31" s="204"/>
      <c r="XDT31" s="204"/>
      <c r="XDU31" s="204"/>
      <c r="XDV31" s="204"/>
      <c r="XDW31" s="204"/>
      <c r="XDX31" s="204"/>
      <c r="XDY31" s="204"/>
      <c r="XDZ31" s="204"/>
      <c r="XEA31" s="204"/>
      <c r="XEB31" s="204"/>
      <c r="XEC31" s="204"/>
      <c r="XED31" s="204"/>
      <c r="XEE31" s="204"/>
      <c r="XEF31" s="204"/>
      <c r="XEG31" s="204"/>
      <c r="XEH31" s="204"/>
      <c r="XEI31" s="204"/>
      <c r="XEJ31" s="204"/>
      <c r="XEK31" s="204"/>
      <c r="XEL31" s="204"/>
      <c r="XEM31" s="204"/>
      <c r="XEN31" s="204"/>
      <c r="XEO31" s="204"/>
      <c r="XEP31" s="204"/>
      <c r="XEQ31" s="204"/>
      <c r="XER31" s="204"/>
      <c r="XES31" s="204"/>
      <c r="XET31" s="204"/>
      <c r="XEU31" s="204"/>
      <c r="XEV31" s="204"/>
      <c r="XEW31" s="204"/>
      <c r="XEX31" s="204"/>
      <c r="XEY31" s="204"/>
      <c r="XEZ31" s="204"/>
      <c r="XFA31" s="204"/>
      <c r="XFB31" s="204"/>
      <c r="XFC31" s="204"/>
      <c r="XFD31" s="204"/>
    </row>
    <row r="32" spans="1:16384" ht="12.75" customHeight="1" x14ac:dyDescent="0.2">
      <c r="A32" s="203"/>
      <c r="B32" s="2"/>
      <c r="C32" s="3"/>
      <c r="D32" s="53"/>
      <c r="E32" s="231"/>
      <c r="F32" s="231"/>
      <c r="G32" s="231"/>
      <c r="H32" s="231"/>
      <c r="I32" s="232"/>
      <c r="J32" s="232"/>
      <c r="K32" s="232"/>
      <c r="L32" s="232"/>
      <c r="M32" s="203"/>
      <c r="N32" s="203"/>
      <c r="O32" s="203"/>
      <c r="P32" s="203"/>
      <c r="Q32" s="203"/>
      <c r="R32" s="203"/>
      <c r="S32" s="203"/>
      <c r="T32" s="63"/>
      <c r="U32" s="203"/>
      <c r="V32" s="203"/>
      <c r="W32" s="203"/>
      <c r="X32" s="203"/>
      <c r="Y32" s="203"/>
      <c r="Z32" s="203"/>
      <c r="AA32" s="203"/>
      <c r="AB32" s="203"/>
      <c r="AC32" s="203"/>
      <c r="AD32" s="203"/>
      <c r="AE32" s="203"/>
      <c r="AF32" s="203"/>
      <c r="AG32" s="203"/>
      <c r="AH32" s="203"/>
      <c r="AI32" s="203"/>
      <c r="AJ32" s="203"/>
      <c r="AK32" s="203"/>
      <c r="AL32" s="203"/>
      <c r="AM32" s="203"/>
      <c r="AN32" s="203"/>
      <c r="AO32" s="203"/>
      <c r="AP32" s="203"/>
      <c r="AQ32" s="203"/>
      <c r="AR32" s="203"/>
      <c r="AS32" s="203"/>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04"/>
      <c r="CI32" s="204"/>
      <c r="CJ32" s="204"/>
      <c r="CK32" s="204"/>
      <c r="CL32" s="204"/>
      <c r="CM32" s="204"/>
      <c r="CN32" s="204"/>
      <c r="CO32" s="204"/>
      <c r="CP32" s="204"/>
      <c r="CQ32" s="204"/>
      <c r="CR32" s="204"/>
      <c r="CS32" s="204"/>
      <c r="CT32" s="204"/>
      <c r="CU32" s="204"/>
      <c r="CV32" s="204"/>
      <c r="CW32" s="204"/>
      <c r="CX32" s="204"/>
      <c r="CY32" s="204"/>
      <c r="CZ32" s="204"/>
      <c r="DA32" s="204"/>
      <c r="DB32" s="204"/>
      <c r="DC32" s="204"/>
      <c r="DD32" s="204"/>
      <c r="DE32" s="204"/>
      <c r="DF32" s="204"/>
      <c r="DG32" s="204"/>
      <c r="DH32" s="204"/>
      <c r="DI32" s="204"/>
      <c r="DJ32" s="204"/>
      <c r="DK32" s="204"/>
      <c r="DL32" s="204"/>
      <c r="DM32" s="204"/>
      <c r="DN32" s="204"/>
      <c r="DO32" s="204"/>
      <c r="DP32" s="204"/>
      <c r="DQ32" s="204"/>
      <c r="DR32" s="204"/>
      <c r="DS32" s="204"/>
      <c r="DT32" s="204"/>
      <c r="DU32" s="204"/>
      <c r="DV32" s="204"/>
      <c r="DW32" s="204"/>
      <c r="DX32" s="204"/>
      <c r="DY32" s="204"/>
      <c r="DZ32" s="204"/>
      <c r="EA32" s="204"/>
      <c r="EB32" s="204"/>
      <c r="EC32" s="204"/>
      <c r="ED32" s="204"/>
      <c r="EE32" s="204"/>
      <c r="EF32" s="204"/>
      <c r="EG32" s="204"/>
      <c r="EH32" s="204"/>
      <c r="EI32" s="204"/>
      <c r="EJ32" s="204"/>
      <c r="EK32" s="204"/>
      <c r="EL32" s="204"/>
      <c r="EM32" s="204"/>
      <c r="EN32" s="204"/>
      <c r="EO32" s="204"/>
      <c r="EP32" s="204"/>
      <c r="EQ32" s="204"/>
      <c r="ER32" s="204"/>
      <c r="ES32" s="204"/>
      <c r="ET32" s="204"/>
      <c r="EU32" s="204"/>
      <c r="EV32" s="204"/>
      <c r="EW32" s="204"/>
      <c r="EX32" s="204"/>
      <c r="EY32" s="204"/>
      <c r="EZ32" s="204"/>
      <c r="FA32" s="204"/>
      <c r="FB32" s="204"/>
      <c r="FC32" s="204"/>
      <c r="FD32" s="204"/>
      <c r="FE32" s="204"/>
      <c r="FF32" s="204"/>
      <c r="FG32" s="204"/>
      <c r="FH32" s="204"/>
      <c r="FI32" s="204"/>
      <c r="FJ32" s="204"/>
      <c r="FK32" s="204"/>
      <c r="FL32" s="204"/>
      <c r="FM32" s="204"/>
      <c r="FN32" s="204"/>
      <c r="FO32" s="204"/>
      <c r="FP32" s="204"/>
      <c r="FQ32" s="204"/>
      <c r="FR32" s="204"/>
      <c r="FS32" s="204"/>
      <c r="FT32" s="204"/>
      <c r="FU32" s="204"/>
      <c r="FV32" s="204"/>
      <c r="FW32" s="204"/>
      <c r="FX32" s="204"/>
      <c r="FY32" s="204"/>
      <c r="FZ32" s="204"/>
      <c r="GA32" s="204"/>
      <c r="GB32" s="204"/>
      <c r="GC32" s="204"/>
      <c r="GD32" s="204"/>
      <c r="GE32" s="204"/>
      <c r="GF32" s="204"/>
      <c r="GG32" s="204"/>
      <c r="GH32" s="204"/>
      <c r="GI32" s="204"/>
      <c r="GJ32" s="204"/>
      <c r="GK32" s="204"/>
      <c r="GL32" s="204"/>
      <c r="GM32" s="204"/>
      <c r="GN32" s="204"/>
      <c r="GO32" s="204"/>
      <c r="GP32" s="204"/>
      <c r="GQ32" s="204"/>
      <c r="GR32" s="204"/>
      <c r="GS32" s="204"/>
      <c r="GT32" s="204"/>
      <c r="GU32" s="204"/>
      <c r="GV32" s="204"/>
      <c r="GW32" s="204"/>
      <c r="GX32" s="204"/>
      <c r="GY32" s="204"/>
      <c r="GZ32" s="204"/>
      <c r="HA32" s="204"/>
      <c r="HB32" s="204"/>
      <c r="HC32" s="204"/>
      <c r="HD32" s="204"/>
      <c r="HE32" s="204"/>
      <c r="HF32" s="204"/>
      <c r="HG32" s="204"/>
      <c r="HH32" s="204"/>
      <c r="HI32" s="204"/>
      <c r="HJ32" s="204"/>
      <c r="HK32" s="204"/>
      <c r="HL32" s="204"/>
      <c r="HM32" s="204"/>
      <c r="HN32" s="204"/>
      <c r="HO32" s="204"/>
      <c r="HP32" s="204"/>
      <c r="HQ32" s="204"/>
      <c r="HR32" s="204"/>
      <c r="HS32" s="204"/>
      <c r="HT32" s="204"/>
      <c r="HU32" s="204"/>
      <c r="HV32" s="204"/>
      <c r="HW32" s="204"/>
      <c r="HX32" s="204"/>
      <c r="HY32" s="204"/>
      <c r="HZ32" s="204"/>
      <c r="IA32" s="204"/>
      <c r="IB32" s="204"/>
      <c r="IC32" s="204"/>
      <c r="ID32" s="204"/>
      <c r="IE32" s="204"/>
      <c r="IF32" s="204"/>
      <c r="IG32" s="204"/>
      <c r="IH32" s="204"/>
      <c r="II32" s="204"/>
      <c r="IJ32" s="204"/>
      <c r="IK32" s="204"/>
      <c r="IL32" s="204"/>
      <c r="IM32" s="204"/>
      <c r="IN32" s="204"/>
      <c r="IO32" s="204"/>
      <c r="IP32" s="204"/>
      <c r="IQ32" s="204"/>
      <c r="IR32" s="204"/>
      <c r="IS32" s="204"/>
      <c r="IT32" s="204"/>
      <c r="IU32" s="204"/>
      <c r="IV32" s="204"/>
      <c r="IW32" s="204"/>
      <c r="IX32" s="204"/>
      <c r="IY32" s="204"/>
      <c r="IZ32" s="204"/>
      <c r="JA32" s="204"/>
      <c r="JB32" s="204"/>
      <c r="JC32" s="204"/>
      <c r="JD32" s="204"/>
      <c r="JE32" s="204"/>
      <c r="JF32" s="204"/>
      <c r="JG32" s="204"/>
      <c r="JH32" s="204"/>
      <c r="JI32" s="204"/>
      <c r="JJ32" s="204"/>
      <c r="JK32" s="204"/>
      <c r="JL32" s="204"/>
      <c r="JM32" s="204"/>
      <c r="JN32" s="204"/>
      <c r="JO32" s="204"/>
      <c r="JP32" s="204"/>
      <c r="JQ32" s="204"/>
      <c r="JR32" s="204"/>
      <c r="JS32" s="204"/>
      <c r="JT32" s="204"/>
      <c r="JU32" s="204"/>
      <c r="JV32" s="204"/>
      <c r="JW32" s="204"/>
      <c r="JX32" s="204"/>
      <c r="JY32" s="204"/>
      <c r="JZ32" s="204"/>
      <c r="KA32" s="204"/>
      <c r="KB32" s="204"/>
      <c r="KC32" s="204"/>
      <c r="KD32" s="204"/>
      <c r="KE32" s="204"/>
      <c r="KF32" s="204"/>
      <c r="KG32" s="204"/>
      <c r="KH32" s="204"/>
      <c r="KI32" s="204"/>
      <c r="KJ32" s="204"/>
      <c r="KK32" s="204"/>
      <c r="KL32" s="204"/>
      <c r="KM32" s="204"/>
      <c r="KN32" s="204"/>
      <c r="KO32" s="204"/>
      <c r="KP32" s="204"/>
      <c r="KQ32" s="204"/>
      <c r="KR32" s="204"/>
      <c r="KS32" s="204"/>
      <c r="KT32" s="204"/>
      <c r="KU32" s="204"/>
      <c r="KV32" s="204"/>
      <c r="KW32" s="204"/>
      <c r="KX32" s="204"/>
      <c r="KY32" s="204"/>
      <c r="KZ32" s="204"/>
      <c r="LA32" s="204"/>
      <c r="LB32" s="204"/>
      <c r="LC32" s="204"/>
      <c r="LD32" s="204"/>
      <c r="LE32" s="204"/>
      <c r="LF32" s="204"/>
      <c r="LG32" s="204"/>
      <c r="LH32" s="204"/>
      <c r="LI32" s="204"/>
      <c r="LJ32" s="204"/>
      <c r="LK32" s="204"/>
      <c r="LL32" s="204"/>
      <c r="LM32" s="204"/>
      <c r="LN32" s="204"/>
      <c r="LO32" s="204"/>
      <c r="LP32" s="204"/>
      <c r="LQ32" s="204"/>
      <c r="LR32" s="204"/>
      <c r="LS32" s="204"/>
      <c r="LT32" s="204"/>
      <c r="LU32" s="204"/>
      <c r="LV32" s="204"/>
      <c r="LW32" s="204"/>
      <c r="LX32" s="204"/>
      <c r="LY32" s="204"/>
      <c r="LZ32" s="204"/>
      <c r="MA32" s="204"/>
      <c r="MB32" s="204"/>
      <c r="MC32" s="204"/>
      <c r="MD32" s="204"/>
      <c r="ME32" s="204"/>
      <c r="MF32" s="204"/>
      <c r="MG32" s="204"/>
      <c r="MH32" s="204"/>
      <c r="MI32" s="204"/>
      <c r="MJ32" s="204"/>
      <c r="MK32" s="204"/>
      <c r="ML32" s="204"/>
      <c r="MM32" s="204"/>
      <c r="MN32" s="204"/>
      <c r="MO32" s="204"/>
      <c r="MP32" s="204"/>
      <c r="MQ32" s="204"/>
      <c r="MR32" s="204"/>
      <c r="MS32" s="204"/>
      <c r="MT32" s="204"/>
      <c r="MU32" s="204"/>
      <c r="MV32" s="204"/>
      <c r="MW32" s="204"/>
      <c r="MX32" s="204"/>
      <c r="MY32" s="204"/>
      <c r="MZ32" s="204"/>
      <c r="NA32" s="204"/>
      <c r="NB32" s="204"/>
      <c r="NC32" s="204"/>
      <c r="ND32" s="204"/>
      <c r="NE32" s="204"/>
      <c r="NF32" s="204"/>
      <c r="NG32" s="204"/>
      <c r="NH32" s="204"/>
      <c r="NI32" s="204"/>
      <c r="NJ32" s="204"/>
      <c r="NK32" s="204"/>
      <c r="NL32" s="204"/>
      <c r="NM32" s="204"/>
      <c r="NN32" s="204"/>
      <c r="NO32" s="204"/>
      <c r="NP32" s="204"/>
      <c r="NQ32" s="204"/>
      <c r="NR32" s="204"/>
      <c r="NS32" s="204"/>
      <c r="NT32" s="204"/>
      <c r="NU32" s="204"/>
      <c r="NV32" s="204"/>
      <c r="NW32" s="204"/>
      <c r="NX32" s="204"/>
      <c r="NY32" s="204"/>
      <c r="NZ32" s="204"/>
      <c r="OA32" s="204"/>
      <c r="OB32" s="204"/>
      <c r="OC32" s="204"/>
      <c r="OD32" s="204"/>
      <c r="OE32" s="204"/>
      <c r="OF32" s="204"/>
      <c r="OG32" s="204"/>
      <c r="OH32" s="204"/>
      <c r="OI32" s="204"/>
      <c r="OJ32" s="204"/>
      <c r="OK32" s="204"/>
      <c r="OL32" s="204"/>
      <c r="OM32" s="204"/>
      <c r="ON32" s="204"/>
      <c r="OO32" s="204"/>
      <c r="OP32" s="204"/>
      <c r="OQ32" s="204"/>
      <c r="OR32" s="204"/>
      <c r="OS32" s="204"/>
      <c r="OT32" s="204"/>
      <c r="OU32" s="204"/>
      <c r="OV32" s="204"/>
      <c r="OW32" s="204"/>
      <c r="OX32" s="204"/>
      <c r="OY32" s="204"/>
      <c r="OZ32" s="204"/>
      <c r="PA32" s="204"/>
      <c r="PB32" s="204"/>
      <c r="PC32" s="204"/>
      <c r="PD32" s="204"/>
      <c r="PE32" s="204"/>
      <c r="PF32" s="204"/>
      <c r="PG32" s="204"/>
      <c r="PH32" s="204"/>
      <c r="PI32" s="204"/>
      <c r="PJ32" s="204"/>
      <c r="PK32" s="204"/>
      <c r="PL32" s="204"/>
      <c r="PM32" s="204"/>
      <c r="PN32" s="204"/>
      <c r="PO32" s="204"/>
      <c r="PP32" s="204"/>
      <c r="PQ32" s="204"/>
      <c r="PR32" s="204"/>
      <c r="PS32" s="204"/>
      <c r="PT32" s="204"/>
      <c r="PU32" s="204"/>
      <c r="PV32" s="204"/>
      <c r="PW32" s="204"/>
      <c r="PX32" s="204"/>
      <c r="PY32" s="204"/>
      <c r="PZ32" s="204"/>
      <c r="QA32" s="204"/>
      <c r="QB32" s="204"/>
      <c r="QC32" s="204"/>
      <c r="QD32" s="204"/>
      <c r="QE32" s="204"/>
      <c r="QF32" s="204"/>
      <c r="QG32" s="204"/>
      <c r="QH32" s="204"/>
      <c r="QI32" s="204"/>
      <c r="QJ32" s="204"/>
      <c r="QK32" s="204"/>
      <c r="QL32" s="204"/>
      <c r="QM32" s="204"/>
      <c r="QN32" s="204"/>
      <c r="QO32" s="204"/>
      <c r="QP32" s="204"/>
      <c r="QQ32" s="204"/>
      <c r="QR32" s="204"/>
      <c r="QS32" s="204"/>
      <c r="QT32" s="204"/>
      <c r="QU32" s="204"/>
      <c r="QV32" s="204"/>
      <c r="QW32" s="204"/>
      <c r="QX32" s="204"/>
      <c r="QY32" s="204"/>
      <c r="QZ32" s="204"/>
      <c r="RA32" s="204"/>
      <c r="RB32" s="204"/>
      <c r="RC32" s="204"/>
      <c r="RD32" s="204"/>
      <c r="RE32" s="204"/>
      <c r="RF32" s="204"/>
      <c r="RG32" s="204"/>
      <c r="RH32" s="204"/>
      <c r="RI32" s="204"/>
      <c r="RJ32" s="204"/>
      <c r="RK32" s="204"/>
      <c r="RL32" s="204"/>
      <c r="RM32" s="204"/>
      <c r="RN32" s="204"/>
      <c r="RO32" s="204"/>
      <c r="RP32" s="204"/>
      <c r="RQ32" s="204"/>
      <c r="RR32" s="204"/>
      <c r="RS32" s="204"/>
      <c r="RT32" s="204"/>
      <c r="RU32" s="204"/>
      <c r="RV32" s="204"/>
      <c r="RW32" s="204"/>
      <c r="RX32" s="204"/>
      <c r="RY32" s="204"/>
      <c r="RZ32" s="204"/>
      <c r="SA32" s="204"/>
      <c r="SB32" s="204"/>
      <c r="SC32" s="204"/>
      <c r="SD32" s="204"/>
      <c r="SE32" s="204"/>
      <c r="SF32" s="204"/>
      <c r="SG32" s="204"/>
      <c r="SH32" s="204"/>
      <c r="SI32" s="204"/>
      <c r="SJ32" s="204"/>
      <c r="SK32" s="204"/>
      <c r="SL32" s="204"/>
      <c r="SM32" s="204"/>
      <c r="SN32" s="204"/>
      <c r="SO32" s="204"/>
      <c r="SP32" s="204"/>
      <c r="SQ32" s="204"/>
      <c r="SR32" s="204"/>
      <c r="SS32" s="204"/>
      <c r="ST32" s="204"/>
      <c r="SU32" s="204"/>
      <c r="SV32" s="204"/>
      <c r="SW32" s="204"/>
      <c r="SX32" s="204"/>
      <c r="SY32" s="204"/>
      <c r="SZ32" s="204"/>
      <c r="TA32" s="204"/>
      <c r="TB32" s="204"/>
      <c r="TC32" s="204"/>
      <c r="TD32" s="204"/>
      <c r="TE32" s="204"/>
      <c r="TF32" s="204"/>
      <c r="TG32" s="204"/>
      <c r="TH32" s="204"/>
      <c r="TI32" s="204"/>
      <c r="TJ32" s="204"/>
      <c r="TK32" s="204"/>
      <c r="TL32" s="204"/>
      <c r="TM32" s="204"/>
      <c r="TN32" s="204"/>
      <c r="TO32" s="204"/>
      <c r="TP32" s="204"/>
      <c r="TQ32" s="204"/>
      <c r="TR32" s="204"/>
      <c r="TS32" s="204"/>
      <c r="TT32" s="204"/>
      <c r="TU32" s="204"/>
      <c r="TV32" s="204"/>
      <c r="TW32" s="204"/>
      <c r="TX32" s="204"/>
      <c r="TY32" s="204"/>
      <c r="TZ32" s="204"/>
      <c r="UA32" s="204"/>
      <c r="UB32" s="204"/>
      <c r="UC32" s="204"/>
      <c r="UD32" s="204"/>
      <c r="UE32" s="204"/>
      <c r="UF32" s="204"/>
      <c r="UG32" s="204"/>
      <c r="UH32" s="204"/>
      <c r="UI32" s="204"/>
      <c r="UJ32" s="204"/>
      <c r="UK32" s="204"/>
      <c r="UL32" s="204"/>
      <c r="UM32" s="204"/>
      <c r="UN32" s="204"/>
      <c r="UO32" s="204"/>
      <c r="UP32" s="204"/>
      <c r="UQ32" s="204"/>
      <c r="UR32" s="204"/>
      <c r="US32" s="204"/>
      <c r="UT32" s="204"/>
      <c r="UU32" s="204"/>
      <c r="UV32" s="204"/>
      <c r="UW32" s="204"/>
      <c r="UX32" s="204"/>
      <c r="UY32" s="204"/>
      <c r="UZ32" s="204"/>
      <c r="VA32" s="204"/>
      <c r="VB32" s="204"/>
      <c r="VC32" s="204"/>
      <c r="VD32" s="204"/>
      <c r="VE32" s="204"/>
      <c r="VF32" s="204"/>
      <c r="VG32" s="204"/>
      <c r="VH32" s="204"/>
      <c r="VI32" s="204"/>
      <c r="VJ32" s="204"/>
      <c r="VK32" s="204"/>
      <c r="VL32" s="204"/>
      <c r="VM32" s="204"/>
      <c r="VN32" s="204"/>
      <c r="VO32" s="204"/>
      <c r="VP32" s="204"/>
      <c r="VQ32" s="204"/>
      <c r="VR32" s="204"/>
      <c r="VS32" s="204"/>
      <c r="VT32" s="204"/>
      <c r="VU32" s="204"/>
      <c r="VV32" s="204"/>
      <c r="VW32" s="204"/>
      <c r="VX32" s="204"/>
      <c r="VY32" s="204"/>
      <c r="VZ32" s="204"/>
      <c r="WA32" s="204"/>
      <c r="WB32" s="204"/>
      <c r="WC32" s="204"/>
      <c r="WD32" s="204"/>
      <c r="WE32" s="204"/>
      <c r="WF32" s="204"/>
      <c r="WG32" s="204"/>
      <c r="WH32" s="204"/>
      <c r="WI32" s="204"/>
      <c r="WJ32" s="204"/>
      <c r="WK32" s="204"/>
      <c r="WL32" s="204"/>
      <c r="WM32" s="204"/>
      <c r="WN32" s="204"/>
      <c r="WO32" s="204"/>
      <c r="WP32" s="204"/>
      <c r="WQ32" s="204"/>
      <c r="WR32" s="204"/>
      <c r="WS32" s="204"/>
      <c r="WT32" s="204"/>
      <c r="WU32" s="204"/>
      <c r="WV32" s="204"/>
      <c r="WW32" s="204"/>
      <c r="WX32" s="204"/>
      <c r="WY32" s="204"/>
      <c r="WZ32" s="204"/>
      <c r="XA32" s="204"/>
      <c r="XB32" s="204"/>
      <c r="XC32" s="204"/>
      <c r="XD32" s="204"/>
      <c r="XE32" s="204"/>
      <c r="XF32" s="204"/>
      <c r="XG32" s="204"/>
      <c r="XH32" s="204"/>
      <c r="XI32" s="204"/>
      <c r="XJ32" s="204"/>
      <c r="XK32" s="204"/>
      <c r="XL32" s="204"/>
      <c r="XM32" s="204"/>
      <c r="XN32" s="204"/>
      <c r="XO32" s="204"/>
      <c r="XP32" s="204"/>
      <c r="XQ32" s="204"/>
      <c r="XR32" s="204"/>
      <c r="XS32" s="204"/>
      <c r="XT32" s="204"/>
      <c r="XU32" s="204"/>
      <c r="XV32" s="204"/>
      <c r="XW32" s="204"/>
      <c r="XX32" s="204"/>
      <c r="XY32" s="204"/>
      <c r="XZ32" s="204"/>
      <c r="YA32" s="204"/>
      <c r="YB32" s="204"/>
      <c r="YC32" s="204"/>
      <c r="YD32" s="204"/>
      <c r="YE32" s="204"/>
      <c r="YF32" s="204"/>
      <c r="YG32" s="204"/>
      <c r="YH32" s="204"/>
      <c r="YI32" s="204"/>
      <c r="YJ32" s="204"/>
      <c r="YK32" s="204"/>
      <c r="YL32" s="204"/>
      <c r="YM32" s="204"/>
      <c r="YN32" s="204"/>
      <c r="YO32" s="204"/>
      <c r="YP32" s="204"/>
      <c r="YQ32" s="204"/>
      <c r="YR32" s="204"/>
      <c r="YS32" s="204"/>
      <c r="YT32" s="204"/>
      <c r="YU32" s="204"/>
      <c r="YV32" s="204"/>
      <c r="YW32" s="204"/>
      <c r="YX32" s="204"/>
      <c r="YY32" s="204"/>
      <c r="YZ32" s="204"/>
      <c r="ZA32" s="204"/>
      <c r="ZB32" s="204"/>
      <c r="ZC32" s="204"/>
      <c r="ZD32" s="204"/>
      <c r="ZE32" s="204"/>
      <c r="ZF32" s="204"/>
      <c r="ZG32" s="204"/>
      <c r="ZH32" s="204"/>
      <c r="ZI32" s="204"/>
      <c r="ZJ32" s="204"/>
      <c r="ZK32" s="204"/>
      <c r="ZL32" s="204"/>
      <c r="ZM32" s="204"/>
      <c r="ZN32" s="204"/>
      <c r="ZO32" s="204"/>
      <c r="ZP32" s="204"/>
      <c r="ZQ32" s="204"/>
      <c r="ZR32" s="204"/>
      <c r="ZS32" s="204"/>
      <c r="ZT32" s="204"/>
      <c r="ZU32" s="204"/>
      <c r="ZV32" s="204"/>
      <c r="ZW32" s="204"/>
      <c r="ZX32" s="204"/>
      <c r="ZY32" s="204"/>
      <c r="ZZ32" s="204"/>
      <c r="AAA32" s="204"/>
      <c r="AAB32" s="204"/>
      <c r="AAC32" s="204"/>
      <c r="AAD32" s="204"/>
      <c r="AAE32" s="204"/>
      <c r="AAF32" s="204"/>
      <c r="AAG32" s="204"/>
      <c r="AAH32" s="204"/>
      <c r="AAI32" s="204"/>
      <c r="AAJ32" s="204"/>
      <c r="AAK32" s="204"/>
      <c r="AAL32" s="204"/>
      <c r="AAM32" s="204"/>
      <c r="AAN32" s="204"/>
      <c r="AAO32" s="204"/>
      <c r="AAP32" s="204"/>
      <c r="AAQ32" s="204"/>
      <c r="AAR32" s="204"/>
      <c r="AAS32" s="204"/>
      <c r="AAT32" s="204"/>
      <c r="AAU32" s="204"/>
      <c r="AAV32" s="204"/>
      <c r="AAW32" s="204"/>
      <c r="AAX32" s="204"/>
      <c r="AAY32" s="204"/>
      <c r="AAZ32" s="204"/>
      <c r="ABA32" s="204"/>
      <c r="ABB32" s="204"/>
      <c r="ABC32" s="204"/>
      <c r="ABD32" s="204"/>
      <c r="ABE32" s="204"/>
      <c r="ABF32" s="204"/>
      <c r="ABG32" s="204"/>
      <c r="ABH32" s="204"/>
      <c r="ABI32" s="204"/>
      <c r="ABJ32" s="204"/>
      <c r="ABK32" s="204"/>
      <c r="ABL32" s="204"/>
      <c r="ABM32" s="204"/>
      <c r="ABN32" s="204"/>
      <c r="ABO32" s="204"/>
      <c r="ABP32" s="204"/>
      <c r="ABQ32" s="204"/>
      <c r="ABR32" s="204"/>
      <c r="ABS32" s="204"/>
      <c r="ABT32" s="204"/>
      <c r="ABU32" s="204"/>
      <c r="ABV32" s="204"/>
      <c r="ABW32" s="204"/>
      <c r="ABX32" s="204"/>
      <c r="ABY32" s="204"/>
      <c r="ABZ32" s="204"/>
      <c r="ACA32" s="204"/>
      <c r="ACB32" s="204"/>
      <c r="ACC32" s="204"/>
      <c r="ACD32" s="204"/>
      <c r="ACE32" s="204"/>
      <c r="ACF32" s="204"/>
      <c r="ACG32" s="204"/>
      <c r="ACH32" s="204"/>
      <c r="ACI32" s="204"/>
      <c r="ACJ32" s="204"/>
      <c r="ACK32" s="204"/>
      <c r="ACL32" s="204"/>
      <c r="ACM32" s="204"/>
      <c r="ACN32" s="204"/>
      <c r="ACO32" s="204"/>
      <c r="ACP32" s="204"/>
      <c r="ACQ32" s="204"/>
      <c r="ACR32" s="204"/>
      <c r="ACS32" s="204"/>
      <c r="ACT32" s="204"/>
      <c r="ACU32" s="204"/>
      <c r="ACV32" s="204"/>
      <c r="ACW32" s="204"/>
      <c r="ACX32" s="204"/>
      <c r="ACY32" s="204"/>
      <c r="ACZ32" s="204"/>
      <c r="ADA32" s="204"/>
      <c r="ADB32" s="204"/>
      <c r="ADC32" s="204"/>
      <c r="ADD32" s="204"/>
      <c r="ADE32" s="204"/>
      <c r="ADF32" s="204"/>
      <c r="ADG32" s="204"/>
      <c r="ADH32" s="204"/>
      <c r="ADI32" s="204"/>
      <c r="ADJ32" s="204"/>
      <c r="ADK32" s="204"/>
      <c r="ADL32" s="204"/>
      <c r="ADM32" s="204"/>
      <c r="ADN32" s="204"/>
      <c r="ADO32" s="204"/>
      <c r="ADP32" s="204"/>
      <c r="ADQ32" s="204"/>
      <c r="ADR32" s="204"/>
      <c r="ADS32" s="204"/>
      <c r="ADT32" s="204"/>
      <c r="ADU32" s="204"/>
      <c r="ADV32" s="204"/>
      <c r="ADW32" s="204"/>
      <c r="ADX32" s="204"/>
      <c r="ADY32" s="204"/>
      <c r="ADZ32" s="204"/>
      <c r="AEA32" s="204"/>
      <c r="AEB32" s="204"/>
      <c r="AEC32" s="204"/>
      <c r="AED32" s="204"/>
      <c r="AEE32" s="204"/>
      <c r="AEF32" s="204"/>
      <c r="AEG32" s="204"/>
      <c r="AEH32" s="204"/>
      <c r="AEI32" s="204"/>
      <c r="AEJ32" s="204"/>
      <c r="AEK32" s="204"/>
      <c r="AEL32" s="204"/>
      <c r="AEM32" s="204"/>
      <c r="AEN32" s="204"/>
      <c r="AEO32" s="204"/>
      <c r="AEP32" s="204"/>
      <c r="AEQ32" s="204"/>
      <c r="AER32" s="204"/>
      <c r="AES32" s="204"/>
      <c r="AET32" s="204"/>
      <c r="AEU32" s="204"/>
      <c r="AEV32" s="204"/>
      <c r="AEW32" s="204"/>
      <c r="AEX32" s="204"/>
      <c r="AEY32" s="204"/>
      <c r="AEZ32" s="204"/>
      <c r="AFA32" s="204"/>
      <c r="AFB32" s="204"/>
      <c r="AFC32" s="204"/>
      <c r="AFD32" s="204"/>
      <c r="AFE32" s="204"/>
      <c r="AFF32" s="204"/>
      <c r="AFG32" s="204"/>
      <c r="AFH32" s="204"/>
      <c r="AFI32" s="204"/>
      <c r="AFJ32" s="204"/>
      <c r="AFK32" s="204"/>
      <c r="AFL32" s="204"/>
      <c r="AFM32" s="204"/>
      <c r="AFN32" s="204"/>
      <c r="AFO32" s="204"/>
      <c r="AFP32" s="204"/>
      <c r="AFQ32" s="204"/>
      <c r="AFR32" s="204"/>
      <c r="AFS32" s="204"/>
      <c r="AFT32" s="204"/>
      <c r="AFU32" s="204"/>
      <c r="AFV32" s="204"/>
      <c r="AFW32" s="204"/>
      <c r="AFX32" s="204"/>
      <c r="AFY32" s="204"/>
      <c r="AFZ32" s="204"/>
      <c r="AGA32" s="204"/>
      <c r="AGB32" s="204"/>
      <c r="AGC32" s="204"/>
      <c r="AGD32" s="204"/>
      <c r="AGE32" s="204"/>
      <c r="AGF32" s="204"/>
      <c r="AGG32" s="204"/>
      <c r="AGH32" s="204"/>
      <c r="AGI32" s="204"/>
      <c r="AGJ32" s="204"/>
      <c r="AGK32" s="204"/>
      <c r="AGL32" s="204"/>
      <c r="AGM32" s="204"/>
      <c r="AGN32" s="204"/>
      <c r="AGO32" s="204"/>
      <c r="AGP32" s="204"/>
      <c r="AGQ32" s="204"/>
      <c r="AGR32" s="204"/>
      <c r="AGS32" s="204"/>
      <c r="AGT32" s="204"/>
      <c r="AGU32" s="204"/>
      <c r="AGV32" s="204"/>
      <c r="AGW32" s="204"/>
      <c r="AGX32" s="204"/>
      <c r="AGY32" s="204"/>
      <c r="AGZ32" s="204"/>
      <c r="AHA32" s="204"/>
      <c r="AHB32" s="204"/>
      <c r="AHC32" s="204"/>
      <c r="AHD32" s="204"/>
      <c r="AHE32" s="204"/>
      <c r="AHF32" s="204"/>
      <c r="AHG32" s="204"/>
      <c r="AHH32" s="204"/>
      <c r="AHI32" s="204"/>
      <c r="AHJ32" s="204"/>
      <c r="AHK32" s="204"/>
      <c r="AHL32" s="204"/>
      <c r="AHM32" s="204"/>
      <c r="AHN32" s="204"/>
      <c r="AHO32" s="204"/>
      <c r="AHP32" s="204"/>
      <c r="AHQ32" s="204"/>
      <c r="AHR32" s="204"/>
      <c r="AHS32" s="204"/>
      <c r="AHT32" s="204"/>
      <c r="AHU32" s="204"/>
      <c r="AHV32" s="204"/>
      <c r="AHW32" s="204"/>
      <c r="AHX32" s="204"/>
      <c r="AHY32" s="204"/>
      <c r="AHZ32" s="204"/>
      <c r="AIA32" s="204"/>
      <c r="AIB32" s="204"/>
      <c r="AIC32" s="204"/>
      <c r="AID32" s="204"/>
      <c r="AIE32" s="204"/>
      <c r="AIF32" s="204"/>
      <c r="AIG32" s="204"/>
      <c r="AIH32" s="204"/>
      <c r="AII32" s="204"/>
      <c r="AIJ32" s="204"/>
      <c r="AIK32" s="204"/>
      <c r="AIL32" s="204"/>
      <c r="AIM32" s="204"/>
      <c r="AIN32" s="204"/>
      <c r="AIO32" s="204"/>
      <c r="AIP32" s="204"/>
      <c r="AIQ32" s="204"/>
      <c r="AIR32" s="204"/>
      <c r="AIS32" s="204"/>
      <c r="AIT32" s="204"/>
      <c r="AIU32" s="204"/>
      <c r="AIV32" s="204"/>
      <c r="AIW32" s="204"/>
      <c r="AIX32" s="204"/>
      <c r="AIY32" s="204"/>
      <c r="AIZ32" s="204"/>
      <c r="AJA32" s="204"/>
      <c r="AJB32" s="204"/>
      <c r="AJC32" s="204"/>
      <c r="AJD32" s="204"/>
      <c r="AJE32" s="204"/>
      <c r="AJF32" s="204"/>
      <c r="AJG32" s="204"/>
      <c r="AJH32" s="204"/>
      <c r="AJI32" s="204"/>
      <c r="AJJ32" s="204"/>
      <c r="AJK32" s="204"/>
      <c r="AJL32" s="204"/>
      <c r="AJM32" s="204"/>
      <c r="AJN32" s="204"/>
      <c r="AJO32" s="204"/>
      <c r="AJP32" s="204"/>
      <c r="AJQ32" s="204"/>
      <c r="AJR32" s="204"/>
      <c r="AJS32" s="204"/>
      <c r="AJT32" s="204"/>
      <c r="AJU32" s="204"/>
      <c r="AJV32" s="204"/>
      <c r="AJW32" s="204"/>
      <c r="AJX32" s="204"/>
      <c r="AJY32" s="204"/>
      <c r="AJZ32" s="204"/>
      <c r="AKA32" s="204"/>
      <c r="AKB32" s="204"/>
      <c r="AKC32" s="204"/>
      <c r="AKD32" s="204"/>
      <c r="AKE32" s="204"/>
      <c r="AKF32" s="204"/>
      <c r="AKG32" s="204"/>
      <c r="AKH32" s="204"/>
      <c r="AKI32" s="204"/>
      <c r="AKJ32" s="204"/>
      <c r="AKK32" s="204"/>
      <c r="AKL32" s="204"/>
      <c r="AKM32" s="204"/>
      <c r="AKN32" s="204"/>
      <c r="AKO32" s="204"/>
      <c r="AKP32" s="204"/>
      <c r="AKQ32" s="204"/>
      <c r="AKR32" s="204"/>
      <c r="AKS32" s="204"/>
      <c r="AKT32" s="204"/>
      <c r="AKU32" s="204"/>
      <c r="AKV32" s="204"/>
      <c r="AKW32" s="204"/>
      <c r="AKX32" s="204"/>
      <c r="AKY32" s="204"/>
      <c r="AKZ32" s="204"/>
      <c r="ALA32" s="204"/>
      <c r="ALB32" s="204"/>
      <c r="ALC32" s="204"/>
      <c r="ALD32" s="204"/>
      <c r="ALE32" s="204"/>
      <c r="ALF32" s="204"/>
      <c r="ALG32" s="204"/>
      <c r="ALH32" s="204"/>
      <c r="ALI32" s="204"/>
      <c r="ALJ32" s="204"/>
      <c r="ALK32" s="204"/>
      <c r="ALL32" s="204"/>
      <c r="ALM32" s="204"/>
      <c r="ALN32" s="204"/>
      <c r="ALO32" s="204"/>
      <c r="ALP32" s="204"/>
      <c r="ALQ32" s="204"/>
      <c r="ALR32" s="204"/>
      <c r="ALS32" s="204"/>
      <c r="ALT32" s="204"/>
      <c r="ALU32" s="204"/>
      <c r="ALV32" s="204"/>
      <c r="ALW32" s="204"/>
      <c r="ALX32" s="204"/>
      <c r="ALY32" s="204"/>
      <c r="ALZ32" s="204"/>
      <c r="AMA32" s="204"/>
      <c r="AMB32" s="204"/>
      <c r="AMC32" s="204"/>
      <c r="AMD32" s="204"/>
      <c r="AME32" s="204"/>
      <c r="AMF32" s="204"/>
      <c r="AMG32" s="204"/>
      <c r="AMH32" s="204"/>
      <c r="AMI32" s="204"/>
      <c r="AMJ32" s="204"/>
      <c r="AMK32" s="204"/>
      <c r="AML32" s="204"/>
      <c r="AMM32" s="204"/>
      <c r="AMN32" s="204"/>
      <c r="AMO32" s="204"/>
      <c r="AMP32" s="204"/>
      <c r="AMQ32" s="204"/>
      <c r="AMR32" s="204"/>
      <c r="AMS32" s="204"/>
      <c r="AMT32" s="204"/>
      <c r="AMU32" s="204"/>
      <c r="AMV32" s="204"/>
      <c r="AMW32" s="204"/>
      <c r="AMX32" s="204"/>
      <c r="AMY32" s="204"/>
      <c r="AMZ32" s="204"/>
      <c r="ANA32" s="204"/>
      <c r="ANB32" s="204"/>
      <c r="ANC32" s="204"/>
      <c r="AND32" s="204"/>
      <c r="ANE32" s="204"/>
      <c r="ANF32" s="204"/>
      <c r="ANG32" s="204"/>
      <c r="ANH32" s="204"/>
      <c r="ANI32" s="204"/>
      <c r="ANJ32" s="204"/>
      <c r="ANK32" s="204"/>
      <c r="ANL32" s="204"/>
      <c r="ANM32" s="204"/>
      <c r="ANN32" s="204"/>
      <c r="ANO32" s="204"/>
      <c r="ANP32" s="204"/>
      <c r="ANQ32" s="204"/>
      <c r="ANR32" s="204"/>
      <c r="ANS32" s="204"/>
      <c r="ANT32" s="204"/>
      <c r="ANU32" s="204"/>
      <c r="ANV32" s="204"/>
      <c r="ANW32" s="204"/>
      <c r="ANX32" s="204"/>
      <c r="ANY32" s="204"/>
      <c r="ANZ32" s="204"/>
      <c r="AOA32" s="204"/>
      <c r="AOB32" s="204"/>
      <c r="AOC32" s="204"/>
      <c r="AOD32" s="204"/>
      <c r="AOE32" s="204"/>
      <c r="AOF32" s="204"/>
      <c r="AOG32" s="204"/>
      <c r="AOH32" s="204"/>
      <c r="AOI32" s="204"/>
      <c r="AOJ32" s="204"/>
      <c r="AOK32" s="204"/>
      <c r="AOL32" s="204"/>
      <c r="AOM32" s="204"/>
      <c r="AON32" s="204"/>
      <c r="AOO32" s="204"/>
      <c r="AOP32" s="204"/>
      <c r="AOQ32" s="204"/>
      <c r="AOR32" s="204"/>
      <c r="AOS32" s="204"/>
      <c r="AOT32" s="204"/>
      <c r="AOU32" s="204"/>
      <c r="AOV32" s="204"/>
      <c r="AOW32" s="204"/>
      <c r="AOX32" s="204"/>
      <c r="AOY32" s="204"/>
      <c r="AOZ32" s="204"/>
      <c r="APA32" s="204"/>
      <c r="APB32" s="204"/>
      <c r="APC32" s="204"/>
      <c r="APD32" s="204"/>
      <c r="APE32" s="204"/>
      <c r="APF32" s="204"/>
      <c r="APG32" s="204"/>
      <c r="APH32" s="204"/>
      <c r="API32" s="204"/>
      <c r="APJ32" s="204"/>
      <c r="APK32" s="204"/>
      <c r="APL32" s="204"/>
      <c r="APM32" s="204"/>
      <c r="APN32" s="204"/>
      <c r="APO32" s="204"/>
      <c r="APP32" s="204"/>
      <c r="APQ32" s="204"/>
      <c r="APR32" s="204"/>
      <c r="APS32" s="204"/>
      <c r="APT32" s="204"/>
      <c r="APU32" s="204"/>
      <c r="APV32" s="204"/>
      <c r="APW32" s="204"/>
      <c r="APX32" s="204"/>
      <c r="APY32" s="204"/>
      <c r="APZ32" s="204"/>
      <c r="AQA32" s="204"/>
      <c r="AQB32" s="204"/>
      <c r="AQC32" s="204"/>
      <c r="AQD32" s="204"/>
      <c r="AQE32" s="204"/>
      <c r="AQF32" s="204"/>
      <c r="AQG32" s="204"/>
      <c r="AQH32" s="204"/>
      <c r="AQI32" s="204"/>
      <c r="AQJ32" s="204"/>
      <c r="AQK32" s="204"/>
      <c r="AQL32" s="204"/>
      <c r="AQM32" s="204"/>
      <c r="AQN32" s="204"/>
      <c r="AQO32" s="204"/>
      <c r="AQP32" s="204"/>
      <c r="AQQ32" s="204"/>
      <c r="AQR32" s="204"/>
      <c r="AQS32" s="204"/>
      <c r="AQT32" s="204"/>
      <c r="AQU32" s="204"/>
      <c r="AQV32" s="204"/>
      <c r="AQW32" s="204"/>
      <c r="AQX32" s="204"/>
      <c r="AQY32" s="204"/>
      <c r="AQZ32" s="204"/>
      <c r="ARA32" s="204"/>
      <c r="ARB32" s="204"/>
      <c r="ARC32" s="204"/>
      <c r="ARD32" s="204"/>
      <c r="ARE32" s="204"/>
      <c r="ARF32" s="204"/>
      <c r="ARG32" s="204"/>
      <c r="ARH32" s="204"/>
      <c r="ARI32" s="204"/>
      <c r="ARJ32" s="204"/>
      <c r="ARK32" s="204"/>
      <c r="ARL32" s="204"/>
      <c r="ARM32" s="204"/>
      <c r="ARN32" s="204"/>
      <c r="ARO32" s="204"/>
      <c r="ARP32" s="204"/>
      <c r="ARQ32" s="204"/>
      <c r="ARR32" s="204"/>
      <c r="ARS32" s="204"/>
      <c r="ART32" s="204"/>
      <c r="ARU32" s="204"/>
      <c r="ARV32" s="204"/>
      <c r="ARW32" s="204"/>
      <c r="ARX32" s="204"/>
      <c r="ARY32" s="204"/>
      <c r="ARZ32" s="204"/>
      <c r="ASA32" s="204"/>
      <c r="ASB32" s="204"/>
      <c r="ASC32" s="204"/>
      <c r="ASD32" s="204"/>
      <c r="ASE32" s="204"/>
      <c r="ASF32" s="204"/>
      <c r="ASG32" s="204"/>
      <c r="ASH32" s="204"/>
      <c r="ASI32" s="204"/>
      <c r="ASJ32" s="204"/>
      <c r="ASK32" s="204"/>
      <c r="ASL32" s="204"/>
      <c r="ASM32" s="204"/>
      <c r="ASN32" s="204"/>
      <c r="ASO32" s="204"/>
      <c r="ASP32" s="204"/>
      <c r="ASQ32" s="204"/>
      <c r="ASR32" s="204"/>
      <c r="ASS32" s="204"/>
      <c r="AST32" s="204"/>
      <c r="ASU32" s="204"/>
      <c r="ASV32" s="204"/>
      <c r="ASW32" s="204"/>
      <c r="ASX32" s="204"/>
      <c r="ASY32" s="204"/>
      <c r="ASZ32" s="204"/>
      <c r="ATA32" s="204"/>
      <c r="ATB32" s="204"/>
      <c r="ATC32" s="204"/>
      <c r="ATD32" s="204"/>
      <c r="ATE32" s="204"/>
      <c r="ATF32" s="204"/>
      <c r="ATG32" s="204"/>
      <c r="ATH32" s="204"/>
      <c r="ATI32" s="204"/>
      <c r="ATJ32" s="204"/>
      <c r="ATK32" s="204"/>
      <c r="ATL32" s="204"/>
      <c r="ATM32" s="204"/>
      <c r="ATN32" s="204"/>
      <c r="ATO32" s="204"/>
      <c r="ATP32" s="204"/>
      <c r="ATQ32" s="204"/>
      <c r="ATR32" s="204"/>
      <c r="ATS32" s="204"/>
      <c r="ATT32" s="204"/>
      <c r="ATU32" s="204"/>
      <c r="ATV32" s="204"/>
      <c r="ATW32" s="204"/>
      <c r="ATX32" s="204"/>
      <c r="ATY32" s="204"/>
      <c r="ATZ32" s="204"/>
      <c r="AUA32" s="204"/>
      <c r="AUB32" s="204"/>
      <c r="AUC32" s="204"/>
      <c r="AUD32" s="204"/>
      <c r="AUE32" s="204"/>
      <c r="AUF32" s="204"/>
      <c r="AUG32" s="204"/>
      <c r="AUH32" s="204"/>
      <c r="AUI32" s="204"/>
      <c r="AUJ32" s="204"/>
      <c r="AUK32" s="204"/>
      <c r="AUL32" s="204"/>
      <c r="AUM32" s="204"/>
      <c r="AUN32" s="204"/>
      <c r="AUO32" s="204"/>
      <c r="AUP32" s="204"/>
      <c r="AUQ32" s="204"/>
      <c r="AUR32" s="204"/>
      <c r="AUS32" s="204"/>
      <c r="AUT32" s="204"/>
      <c r="AUU32" s="204"/>
      <c r="AUV32" s="204"/>
      <c r="AUW32" s="204"/>
      <c r="AUX32" s="204"/>
      <c r="AUY32" s="204"/>
      <c r="AUZ32" s="204"/>
      <c r="AVA32" s="204"/>
      <c r="AVB32" s="204"/>
      <c r="AVC32" s="204"/>
      <c r="AVD32" s="204"/>
      <c r="AVE32" s="204"/>
      <c r="AVF32" s="204"/>
      <c r="AVG32" s="204"/>
      <c r="AVH32" s="204"/>
      <c r="AVI32" s="204"/>
      <c r="AVJ32" s="204"/>
      <c r="AVK32" s="204"/>
      <c r="AVL32" s="204"/>
      <c r="AVM32" s="204"/>
      <c r="AVN32" s="204"/>
      <c r="AVO32" s="204"/>
      <c r="AVP32" s="204"/>
      <c r="AVQ32" s="204"/>
      <c r="AVR32" s="204"/>
      <c r="AVS32" s="204"/>
      <c r="AVT32" s="204"/>
      <c r="AVU32" s="204"/>
      <c r="AVV32" s="204"/>
      <c r="AVW32" s="204"/>
      <c r="AVX32" s="204"/>
      <c r="AVY32" s="204"/>
      <c r="AVZ32" s="204"/>
      <c r="AWA32" s="204"/>
      <c r="AWB32" s="204"/>
      <c r="AWC32" s="204"/>
      <c r="AWD32" s="204"/>
      <c r="AWE32" s="204"/>
      <c r="AWF32" s="204"/>
      <c r="AWG32" s="204"/>
      <c r="AWH32" s="204"/>
      <c r="AWI32" s="204"/>
      <c r="AWJ32" s="204"/>
      <c r="AWK32" s="204"/>
      <c r="AWL32" s="204"/>
      <c r="AWM32" s="204"/>
      <c r="AWN32" s="204"/>
      <c r="AWO32" s="204"/>
      <c r="AWP32" s="204"/>
      <c r="AWQ32" s="204"/>
      <c r="AWR32" s="204"/>
      <c r="AWS32" s="204"/>
      <c r="AWT32" s="204"/>
      <c r="AWU32" s="204"/>
      <c r="AWV32" s="204"/>
      <c r="AWW32" s="204"/>
      <c r="AWX32" s="204"/>
      <c r="AWY32" s="204"/>
      <c r="AWZ32" s="204"/>
      <c r="AXA32" s="204"/>
      <c r="AXB32" s="204"/>
      <c r="AXC32" s="204"/>
      <c r="AXD32" s="204"/>
      <c r="AXE32" s="204"/>
      <c r="AXF32" s="204"/>
      <c r="AXG32" s="204"/>
      <c r="AXH32" s="204"/>
      <c r="AXI32" s="204"/>
      <c r="AXJ32" s="204"/>
      <c r="AXK32" s="204"/>
      <c r="AXL32" s="204"/>
      <c r="AXM32" s="204"/>
      <c r="AXN32" s="204"/>
      <c r="AXO32" s="204"/>
      <c r="AXP32" s="204"/>
      <c r="AXQ32" s="204"/>
      <c r="AXR32" s="204"/>
      <c r="AXS32" s="204"/>
      <c r="AXT32" s="204"/>
      <c r="AXU32" s="204"/>
      <c r="AXV32" s="204"/>
      <c r="AXW32" s="204"/>
      <c r="AXX32" s="204"/>
      <c r="AXY32" s="204"/>
      <c r="AXZ32" s="204"/>
      <c r="AYA32" s="204"/>
      <c r="AYB32" s="204"/>
      <c r="AYC32" s="204"/>
      <c r="AYD32" s="204"/>
      <c r="AYE32" s="204"/>
      <c r="AYF32" s="204"/>
      <c r="AYG32" s="204"/>
      <c r="AYH32" s="204"/>
      <c r="AYI32" s="204"/>
      <c r="AYJ32" s="204"/>
      <c r="AYK32" s="204"/>
      <c r="AYL32" s="204"/>
      <c r="AYM32" s="204"/>
      <c r="AYN32" s="204"/>
      <c r="AYO32" s="204"/>
      <c r="AYP32" s="204"/>
      <c r="AYQ32" s="204"/>
      <c r="AYR32" s="204"/>
      <c r="AYS32" s="204"/>
      <c r="AYT32" s="204"/>
      <c r="AYU32" s="204"/>
      <c r="AYV32" s="204"/>
      <c r="AYW32" s="204"/>
      <c r="AYX32" s="204"/>
      <c r="AYY32" s="204"/>
      <c r="AYZ32" s="204"/>
      <c r="AZA32" s="204"/>
      <c r="AZB32" s="204"/>
      <c r="AZC32" s="204"/>
      <c r="AZD32" s="204"/>
      <c r="AZE32" s="204"/>
      <c r="AZF32" s="204"/>
      <c r="AZG32" s="204"/>
      <c r="AZH32" s="204"/>
      <c r="AZI32" s="204"/>
      <c r="AZJ32" s="204"/>
      <c r="AZK32" s="204"/>
      <c r="AZL32" s="204"/>
      <c r="AZM32" s="204"/>
      <c r="AZN32" s="204"/>
      <c r="AZO32" s="204"/>
      <c r="AZP32" s="204"/>
      <c r="AZQ32" s="204"/>
      <c r="AZR32" s="204"/>
      <c r="AZS32" s="204"/>
      <c r="AZT32" s="204"/>
      <c r="AZU32" s="204"/>
      <c r="AZV32" s="204"/>
      <c r="AZW32" s="204"/>
      <c r="AZX32" s="204"/>
      <c r="AZY32" s="204"/>
      <c r="AZZ32" s="204"/>
      <c r="BAA32" s="204"/>
      <c r="BAB32" s="204"/>
      <c r="BAC32" s="204"/>
      <c r="BAD32" s="204"/>
      <c r="BAE32" s="204"/>
      <c r="BAF32" s="204"/>
      <c r="BAG32" s="204"/>
      <c r="BAH32" s="204"/>
      <c r="BAI32" s="204"/>
      <c r="BAJ32" s="204"/>
      <c r="BAK32" s="204"/>
      <c r="BAL32" s="204"/>
      <c r="BAM32" s="204"/>
      <c r="BAN32" s="204"/>
      <c r="BAO32" s="204"/>
      <c r="BAP32" s="204"/>
      <c r="BAQ32" s="204"/>
      <c r="BAR32" s="204"/>
      <c r="BAS32" s="204"/>
      <c r="BAT32" s="204"/>
      <c r="BAU32" s="204"/>
      <c r="BAV32" s="204"/>
      <c r="BAW32" s="204"/>
      <c r="BAX32" s="204"/>
      <c r="BAY32" s="204"/>
      <c r="BAZ32" s="204"/>
      <c r="BBA32" s="204"/>
      <c r="BBB32" s="204"/>
      <c r="BBC32" s="204"/>
      <c r="BBD32" s="204"/>
      <c r="BBE32" s="204"/>
      <c r="BBF32" s="204"/>
      <c r="BBG32" s="204"/>
      <c r="BBH32" s="204"/>
      <c r="BBI32" s="204"/>
      <c r="BBJ32" s="204"/>
      <c r="BBK32" s="204"/>
      <c r="BBL32" s="204"/>
      <c r="BBM32" s="204"/>
      <c r="BBN32" s="204"/>
      <c r="BBO32" s="204"/>
      <c r="BBP32" s="204"/>
      <c r="BBQ32" s="204"/>
      <c r="BBR32" s="204"/>
      <c r="BBS32" s="204"/>
      <c r="BBT32" s="204"/>
      <c r="BBU32" s="204"/>
      <c r="BBV32" s="204"/>
      <c r="BBW32" s="204"/>
      <c r="BBX32" s="204"/>
      <c r="BBY32" s="204"/>
      <c r="BBZ32" s="204"/>
      <c r="BCA32" s="204"/>
      <c r="BCB32" s="204"/>
      <c r="BCC32" s="204"/>
      <c r="BCD32" s="204"/>
      <c r="BCE32" s="204"/>
      <c r="BCF32" s="204"/>
      <c r="BCG32" s="204"/>
      <c r="BCH32" s="204"/>
      <c r="BCI32" s="204"/>
      <c r="BCJ32" s="204"/>
      <c r="BCK32" s="204"/>
      <c r="BCL32" s="204"/>
      <c r="BCM32" s="204"/>
      <c r="BCN32" s="204"/>
      <c r="BCO32" s="204"/>
      <c r="BCP32" s="204"/>
      <c r="BCQ32" s="204"/>
      <c r="BCR32" s="204"/>
      <c r="BCS32" s="204"/>
      <c r="BCT32" s="204"/>
      <c r="BCU32" s="204"/>
      <c r="BCV32" s="204"/>
      <c r="BCW32" s="204"/>
      <c r="BCX32" s="204"/>
      <c r="BCY32" s="204"/>
      <c r="BCZ32" s="204"/>
      <c r="BDA32" s="204"/>
      <c r="BDB32" s="204"/>
      <c r="BDC32" s="204"/>
      <c r="BDD32" s="204"/>
      <c r="BDE32" s="204"/>
      <c r="BDF32" s="204"/>
      <c r="BDG32" s="204"/>
      <c r="BDH32" s="204"/>
      <c r="BDI32" s="204"/>
      <c r="BDJ32" s="204"/>
      <c r="BDK32" s="204"/>
      <c r="BDL32" s="204"/>
      <c r="BDM32" s="204"/>
      <c r="BDN32" s="204"/>
      <c r="BDO32" s="204"/>
      <c r="BDP32" s="204"/>
      <c r="BDQ32" s="204"/>
      <c r="BDR32" s="204"/>
      <c r="BDS32" s="204"/>
      <c r="BDT32" s="204"/>
      <c r="BDU32" s="204"/>
      <c r="BDV32" s="204"/>
      <c r="BDW32" s="204"/>
      <c r="BDX32" s="204"/>
      <c r="BDY32" s="204"/>
      <c r="BDZ32" s="204"/>
      <c r="BEA32" s="204"/>
      <c r="BEB32" s="204"/>
      <c r="BEC32" s="204"/>
      <c r="BED32" s="204"/>
      <c r="BEE32" s="204"/>
      <c r="BEF32" s="204"/>
      <c r="BEG32" s="204"/>
      <c r="BEH32" s="204"/>
      <c r="BEI32" s="204"/>
      <c r="BEJ32" s="204"/>
      <c r="BEK32" s="204"/>
      <c r="BEL32" s="204"/>
      <c r="BEM32" s="204"/>
      <c r="BEN32" s="204"/>
      <c r="BEO32" s="204"/>
      <c r="BEP32" s="204"/>
      <c r="BEQ32" s="204"/>
      <c r="BER32" s="204"/>
      <c r="BES32" s="204"/>
      <c r="BET32" s="204"/>
      <c r="BEU32" s="204"/>
      <c r="BEV32" s="204"/>
      <c r="BEW32" s="204"/>
      <c r="BEX32" s="204"/>
      <c r="BEY32" s="204"/>
      <c r="BEZ32" s="204"/>
      <c r="BFA32" s="204"/>
      <c r="BFB32" s="204"/>
      <c r="BFC32" s="204"/>
      <c r="BFD32" s="204"/>
      <c r="BFE32" s="204"/>
      <c r="BFF32" s="204"/>
      <c r="BFG32" s="204"/>
      <c r="BFH32" s="204"/>
      <c r="BFI32" s="204"/>
      <c r="BFJ32" s="204"/>
      <c r="BFK32" s="204"/>
      <c r="BFL32" s="204"/>
      <c r="BFM32" s="204"/>
      <c r="BFN32" s="204"/>
      <c r="BFO32" s="204"/>
      <c r="BFP32" s="204"/>
      <c r="BFQ32" s="204"/>
      <c r="BFR32" s="204"/>
      <c r="BFS32" s="204"/>
      <c r="BFT32" s="204"/>
      <c r="BFU32" s="204"/>
      <c r="BFV32" s="204"/>
      <c r="BFW32" s="204"/>
      <c r="BFX32" s="204"/>
      <c r="BFY32" s="204"/>
      <c r="BFZ32" s="204"/>
      <c r="BGA32" s="204"/>
      <c r="BGB32" s="204"/>
      <c r="BGC32" s="204"/>
      <c r="BGD32" s="204"/>
      <c r="BGE32" s="204"/>
      <c r="BGF32" s="204"/>
      <c r="BGG32" s="204"/>
      <c r="BGH32" s="204"/>
      <c r="BGI32" s="204"/>
      <c r="BGJ32" s="204"/>
      <c r="BGK32" s="204"/>
      <c r="BGL32" s="204"/>
      <c r="BGM32" s="204"/>
      <c r="BGN32" s="204"/>
      <c r="BGO32" s="204"/>
      <c r="BGP32" s="204"/>
      <c r="BGQ32" s="204"/>
      <c r="BGR32" s="204"/>
      <c r="BGS32" s="204"/>
      <c r="BGT32" s="204"/>
      <c r="BGU32" s="204"/>
      <c r="BGV32" s="204"/>
      <c r="BGW32" s="204"/>
      <c r="BGX32" s="204"/>
      <c r="BGY32" s="204"/>
      <c r="BGZ32" s="204"/>
      <c r="BHA32" s="204"/>
      <c r="BHB32" s="204"/>
      <c r="BHC32" s="204"/>
      <c r="BHD32" s="204"/>
      <c r="BHE32" s="204"/>
      <c r="BHF32" s="204"/>
      <c r="BHG32" s="204"/>
      <c r="BHH32" s="204"/>
      <c r="BHI32" s="204"/>
      <c r="BHJ32" s="204"/>
      <c r="BHK32" s="204"/>
      <c r="BHL32" s="204"/>
      <c r="BHM32" s="204"/>
      <c r="BHN32" s="204"/>
      <c r="BHO32" s="204"/>
      <c r="BHP32" s="204"/>
      <c r="BHQ32" s="204"/>
      <c r="BHR32" s="204"/>
      <c r="BHS32" s="204"/>
      <c r="BHT32" s="204"/>
      <c r="BHU32" s="204"/>
      <c r="BHV32" s="204"/>
      <c r="BHW32" s="204"/>
      <c r="BHX32" s="204"/>
      <c r="BHY32" s="204"/>
      <c r="BHZ32" s="204"/>
      <c r="BIA32" s="204"/>
      <c r="BIB32" s="204"/>
      <c r="BIC32" s="204"/>
      <c r="BID32" s="204"/>
      <c r="BIE32" s="204"/>
      <c r="BIF32" s="204"/>
      <c r="BIG32" s="204"/>
      <c r="BIH32" s="204"/>
      <c r="BII32" s="204"/>
      <c r="BIJ32" s="204"/>
      <c r="BIK32" s="204"/>
      <c r="BIL32" s="204"/>
      <c r="BIM32" s="204"/>
      <c r="BIN32" s="204"/>
      <c r="BIO32" s="204"/>
      <c r="BIP32" s="204"/>
      <c r="BIQ32" s="204"/>
      <c r="BIR32" s="204"/>
      <c r="BIS32" s="204"/>
      <c r="BIT32" s="204"/>
      <c r="BIU32" s="204"/>
      <c r="BIV32" s="204"/>
      <c r="BIW32" s="204"/>
      <c r="BIX32" s="204"/>
      <c r="BIY32" s="204"/>
      <c r="BIZ32" s="204"/>
      <c r="BJA32" s="204"/>
      <c r="BJB32" s="204"/>
      <c r="BJC32" s="204"/>
      <c r="BJD32" s="204"/>
      <c r="BJE32" s="204"/>
      <c r="BJF32" s="204"/>
      <c r="BJG32" s="204"/>
      <c r="BJH32" s="204"/>
      <c r="BJI32" s="204"/>
      <c r="BJJ32" s="204"/>
      <c r="BJK32" s="204"/>
      <c r="BJL32" s="204"/>
      <c r="BJM32" s="204"/>
      <c r="BJN32" s="204"/>
      <c r="BJO32" s="204"/>
      <c r="BJP32" s="204"/>
      <c r="BJQ32" s="204"/>
      <c r="BJR32" s="204"/>
      <c r="BJS32" s="204"/>
      <c r="BJT32" s="204"/>
      <c r="BJU32" s="204"/>
      <c r="BJV32" s="204"/>
      <c r="BJW32" s="204"/>
      <c r="BJX32" s="204"/>
      <c r="BJY32" s="204"/>
      <c r="BJZ32" s="204"/>
      <c r="BKA32" s="204"/>
      <c r="BKB32" s="204"/>
      <c r="BKC32" s="204"/>
      <c r="BKD32" s="204"/>
      <c r="BKE32" s="204"/>
      <c r="BKF32" s="204"/>
      <c r="BKG32" s="204"/>
      <c r="BKH32" s="204"/>
      <c r="BKI32" s="204"/>
      <c r="BKJ32" s="204"/>
      <c r="BKK32" s="204"/>
      <c r="BKL32" s="204"/>
      <c r="BKM32" s="204"/>
      <c r="BKN32" s="204"/>
      <c r="BKO32" s="204"/>
      <c r="BKP32" s="204"/>
      <c r="BKQ32" s="204"/>
      <c r="BKR32" s="204"/>
      <c r="BKS32" s="204"/>
      <c r="BKT32" s="204"/>
      <c r="BKU32" s="204"/>
      <c r="BKV32" s="204"/>
      <c r="BKW32" s="204"/>
      <c r="BKX32" s="204"/>
      <c r="BKY32" s="204"/>
      <c r="BKZ32" s="204"/>
      <c r="BLA32" s="204"/>
      <c r="BLB32" s="204"/>
      <c r="BLC32" s="204"/>
      <c r="BLD32" s="204"/>
      <c r="BLE32" s="204"/>
      <c r="BLF32" s="204"/>
      <c r="BLG32" s="204"/>
      <c r="BLH32" s="204"/>
      <c r="BLI32" s="204"/>
      <c r="BLJ32" s="204"/>
      <c r="BLK32" s="204"/>
      <c r="BLL32" s="204"/>
      <c r="BLM32" s="204"/>
      <c r="BLN32" s="204"/>
      <c r="BLO32" s="204"/>
      <c r="BLP32" s="204"/>
      <c r="BLQ32" s="204"/>
      <c r="BLR32" s="204"/>
      <c r="BLS32" s="204"/>
      <c r="BLT32" s="204"/>
      <c r="BLU32" s="204"/>
      <c r="BLV32" s="204"/>
      <c r="BLW32" s="204"/>
      <c r="BLX32" s="204"/>
      <c r="BLY32" s="204"/>
      <c r="BLZ32" s="204"/>
      <c r="BMA32" s="204"/>
      <c r="BMB32" s="204"/>
      <c r="BMC32" s="204"/>
      <c r="BMD32" s="204"/>
      <c r="BME32" s="204"/>
      <c r="BMF32" s="204"/>
      <c r="BMG32" s="204"/>
      <c r="BMH32" s="204"/>
      <c r="BMI32" s="204"/>
      <c r="BMJ32" s="204"/>
      <c r="BMK32" s="204"/>
      <c r="BML32" s="204"/>
      <c r="BMM32" s="204"/>
      <c r="BMN32" s="204"/>
      <c r="BMO32" s="204"/>
      <c r="BMP32" s="204"/>
      <c r="BMQ32" s="204"/>
      <c r="BMR32" s="204"/>
      <c r="BMS32" s="204"/>
      <c r="BMT32" s="204"/>
      <c r="BMU32" s="204"/>
      <c r="BMV32" s="204"/>
      <c r="BMW32" s="204"/>
      <c r="BMX32" s="204"/>
      <c r="BMY32" s="204"/>
      <c r="BMZ32" s="204"/>
      <c r="BNA32" s="204"/>
      <c r="BNB32" s="204"/>
      <c r="BNC32" s="204"/>
      <c r="BND32" s="204"/>
      <c r="BNE32" s="204"/>
      <c r="BNF32" s="204"/>
      <c r="BNG32" s="204"/>
      <c r="BNH32" s="204"/>
      <c r="BNI32" s="204"/>
      <c r="BNJ32" s="204"/>
      <c r="BNK32" s="204"/>
      <c r="BNL32" s="204"/>
      <c r="BNM32" s="204"/>
      <c r="BNN32" s="204"/>
      <c r="BNO32" s="204"/>
      <c r="BNP32" s="204"/>
      <c r="BNQ32" s="204"/>
      <c r="BNR32" s="204"/>
      <c r="BNS32" s="204"/>
      <c r="BNT32" s="204"/>
      <c r="BNU32" s="204"/>
      <c r="BNV32" s="204"/>
      <c r="BNW32" s="204"/>
      <c r="BNX32" s="204"/>
      <c r="BNY32" s="204"/>
      <c r="BNZ32" s="204"/>
      <c r="BOA32" s="204"/>
      <c r="BOB32" s="204"/>
      <c r="BOC32" s="204"/>
      <c r="BOD32" s="204"/>
      <c r="BOE32" s="204"/>
      <c r="BOF32" s="204"/>
      <c r="BOG32" s="204"/>
      <c r="BOH32" s="204"/>
      <c r="BOI32" s="204"/>
      <c r="BOJ32" s="204"/>
      <c r="BOK32" s="204"/>
      <c r="BOL32" s="204"/>
      <c r="BOM32" s="204"/>
      <c r="BON32" s="204"/>
      <c r="BOO32" s="204"/>
      <c r="BOP32" s="204"/>
      <c r="BOQ32" s="204"/>
      <c r="BOR32" s="204"/>
      <c r="BOS32" s="204"/>
      <c r="BOT32" s="204"/>
      <c r="BOU32" s="204"/>
      <c r="BOV32" s="204"/>
      <c r="BOW32" s="204"/>
      <c r="BOX32" s="204"/>
      <c r="BOY32" s="204"/>
      <c r="BOZ32" s="204"/>
      <c r="BPA32" s="204"/>
      <c r="BPB32" s="204"/>
      <c r="BPC32" s="204"/>
      <c r="BPD32" s="204"/>
      <c r="BPE32" s="204"/>
      <c r="BPF32" s="204"/>
      <c r="BPG32" s="204"/>
      <c r="BPH32" s="204"/>
      <c r="BPI32" s="204"/>
      <c r="BPJ32" s="204"/>
      <c r="BPK32" s="204"/>
      <c r="BPL32" s="204"/>
      <c r="BPM32" s="204"/>
      <c r="BPN32" s="204"/>
      <c r="BPO32" s="204"/>
      <c r="BPP32" s="204"/>
      <c r="BPQ32" s="204"/>
      <c r="BPR32" s="204"/>
      <c r="BPS32" s="204"/>
      <c r="BPT32" s="204"/>
      <c r="BPU32" s="204"/>
      <c r="BPV32" s="204"/>
      <c r="BPW32" s="204"/>
      <c r="BPX32" s="204"/>
      <c r="BPY32" s="204"/>
      <c r="BPZ32" s="204"/>
      <c r="BQA32" s="204"/>
      <c r="BQB32" s="204"/>
      <c r="BQC32" s="204"/>
      <c r="BQD32" s="204"/>
      <c r="BQE32" s="204"/>
      <c r="BQF32" s="204"/>
      <c r="BQG32" s="204"/>
      <c r="BQH32" s="204"/>
      <c r="BQI32" s="204"/>
      <c r="BQJ32" s="204"/>
      <c r="BQK32" s="204"/>
      <c r="BQL32" s="204"/>
      <c r="BQM32" s="204"/>
      <c r="BQN32" s="204"/>
      <c r="BQO32" s="204"/>
      <c r="BQP32" s="204"/>
      <c r="BQQ32" s="204"/>
      <c r="BQR32" s="204"/>
      <c r="BQS32" s="204"/>
      <c r="BQT32" s="204"/>
      <c r="BQU32" s="204"/>
      <c r="BQV32" s="204"/>
      <c r="BQW32" s="204"/>
      <c r="BQX32" s="204"/>
      <c r="BQY32" s="204"/>
      <c r="BQZ32" s="204"/>
      <c r="BRA32" s="204"/>
      <c r="BRB32" s="204"/>
      <c r="BRC32" s="204"/>
      <c r="BRD32" s="204"/>
      <c r="BRE32" s="204"/>
      <c r="BRF32" s="204"/>
      <c r="BRG32" s="204"/>
      <c r="BRH32" s="204"/>
      <c r="BRI32" s="204"/>
      <c r="BRJ32" s="204"/>
      <c r="BRK32" s="204"/>
      <c r="BRL32" s="204"/>
      <c r="BRM32" s="204"/>
      <c r="BRN32" s="204"/>
      <c r="BRO32" s="204"/>
      <c r="BRP32" s="204"/>
      <c r="BRQ32" s="204"/>
      <c r="BRR32" s="204"/>
      <c r="BRS32" s="204"/>
      <c r="BRT32" s="204"/>
      <c r="BRU32" s="204"/>
      <c r="BRV32" s="204"/>
      <c r="BRW32" s="204"/>
      <c r="BRX32" s="204"/>
      <c r="BRY32" s="204"/>
      <c r="BRZ32" s="204"/>
      <c r="BSA32" s="204"/>
      <c r="BSB32" s="204"/>
      <c r="BSC32" s="204"/>
      <c r="BSD32" s="204"/>
      <c r="BSE32" s="204"/>
      <c r="BSF32" s="204"/>
      <c r="BSG32" s="204"/>
      <c r="BSH32" s="204"/>
      <c r="BSI32" s="204"/>
      <c r="BSJ32" s="204"/>
      <c r="BSK32" s="204"/>
      <c r="BSL32" s="204"/>
      <c r="BSM32" s="204"/>
      <c r="BSN32" s="204"/>
      <c r="BSO32" s="204"/>
      <c r="BSP32" s="204"/>
      <c r="BSQ32" s="204"/>
      <c r="BSR32" s="204"/>
      <c r="BSS32" s="204"/>
      <c r="BST32" s="204"/>
      <c r="BSU32" s="204"/>
      <c r="BSV32" s="204"/>
      <c r="BSW32" s="204"/>
      <c r="BSX32" s="204"/>
      <c r="BSY32" s="204"/>
      <c r="BSZ32" s="204"/>
      <c r="BTA32" s="204"/>
      <c r="BTB32" s="204"/>
      <c r="BTC32" s="204"/>
      <c r="BTD32" s="204"/>
      <c r="BTE32" s="204"/>
      <c r="BTF32" s="204"/>
      <c r="BTG32" s="204"/>
      <c r="BTH32" s="204"/>
      <c r="BTI32" s="204"/>
      <c r="BTJ32" s="204"/>
      <c r="BTK32" s="204"/>
      <c r="BTL32" s="204"/>
      <c r="BTM32" s="204"/>
      <c r="BTN32" s="204"/>
      <c r="BTO32" s="204"/>
      <c r="BTP32" s="204"/>
      <c r="BTQ32" s="204"/>
      <c r="BTR32" s="204"/>
      <c r="BTS32" s="204"/>
      <c r="BTT32" s="204"/>
      <c r="BTU32" s="204"/>
      <c r="BTV32" s="204"/>
      <c r="BTW32" s="204"/>
      <c r="BTX32" s="204"/>
      <c r="BTY32" s="204"/>
      <c r="BTZ32" s="204"/>
      <c r="BUA32" s="204"/>
      <c r="BUB32" s="204"/>
      <c r="BUC32" s="204"/>
      <c r="BUD32" s="204"/>
      <c r="BUE32" s="204"/>
      <c r="BUF32" s="204"/>
      <c r="BUG32" s="204"/>
      <c r="BUH32" s="204"/>
      <c r="BUI32" s="204"/>
      <c r="BUJ32" s="204"/>
      <c r="BUK32" s="204"/>
      <c r="BUL32" s="204"/>
      <c r="BUM32" s="204"/>
      <c r="BUN32" s="204"/>
      <c r="BUO32" s="204"/>
      <c r="BUP32" s="204"/>
      <c r="BUQ32" s="204"/>
      <c r="BUR32" s="204"/>
      <c r="BUS32" s="204"/>
      <c r="BUT32" s="204"/>
      <c r="BUU32" s="204"/>
      <c r="BUV32" s="204"/>
      <c r="BUW32" s="204"/>
      <c r="BUX32" s="204"/>
      <c r="BUY32" s="204"/>
      <c r="BUZ32" s="204"/>
      <c r="BVA32" s="204"/>
      <c r="BVB32" s="204"/>
      <c r="BVC32" s="204"/>
      <c r="BVD32" s="204"/>
      <c r="BVE32" s="204"/>
      <c r="BVF32" s="204"/>
      <c r="BVG32" s="204"/>
      <c r="BVH32" s="204"/>
      <c r="BVI32" s="204"/>
      <c r="BVJ32" s="204"/>
      <c r="BVK32" s="204"/>
      <c r="BVL32" s="204"/>
      <c r="BVM32" s="204"/>
      <c r="BVN32" s="204"/>
      <c r="BVO32" s="204"/>
      <c r="BVP32" s="204"/>
      <c r="BVQ32" s="204"/>
      <c r="BVR32" s="204"/>
      <c r="BVS32" s="204"/>
      <c r="BVT32" s="204"/>
      <c r="BVU32" s="204"/>
      <c r="BVV32" s="204"/>
      <c r="BVW32" s="204"/>
      <c r="BVX32" s="204"/>
      <c r="BVY32" s="204"/>
      <c r="BVZ32" s="204"/>
      <c r="BWA32" s="204"/>
      <c r="BWB32" s="204"/>
      <c r="BWC32" s="204"/>
      <c r="BWD32" s="204"/>
      <c r="BWE32" s="204"/>
      <c r="BWF32" s="204"/>
      <c r="BWG32" s="204"/>
      <c r="BWH32" s="204"/>
      <c r="BWI32" s="204"/>
      <c r="BWJ32" s="204"/>
      <c r="BWK32" s="204"/>
      <c r="BWL32" s="204"/>
      <c r="BWM32" s="204"/>
      <c r="BWN32" s="204"/>
      <c r="BWO32" s="204"/>
      <c r="BWP32" s="204"/>
      <c r="BWQ32" s="204"/>
      <c r="BWR32" s="204"/>
      <c r="BWS32" s="204"/>
      <c r="BWT32" s="204"/>
      <c r="BWU32" s="204"/>
      <c r="BWV32" s="204"/>
      <c r="BWW32" s="204"/>
      <c r="BWX32" s="204"/>
      <c r="BWY32" s="204"/>
      <c r="BWZ32" s="204"/>
      <c r="BXA32" s="204"/>
      <c r="BXB32" s="204"/>
      <c r="BXC32" s="204"/>
      <c r="BXD32" s="204"/>
      <c r="BXE32" s="204"/>
      <c r="BXF32" s="204"/>
      <c r="BXG32" s="204"/>
      <c r="BXH32" s="204"/>
      <c r="BXI32" s="204"/>
      <c r="BXJ32" s="204"/>
      <c r="BXK32" s="204"/>
      <c r="BXL32" s="204"/>
      <c r="BXM32" s="204"/>
      <c r="BXN32" s="204"/>
      <c r="BXO32" s="204"/>
      <c r="BXP32" s="204"/>
      <c r="BXQ32" s="204"/>
      <c r="BXR32" s="204"/>
      <c r="BXS32" s="204"/>
      <c r="BXT32" s="204"/>
      <c r="BXU32" s="204"/>
      <c r="BXV32" s="204"/>
      <c r="BXW32" s="204"/>
      <c r="BXX32" s="204"/>
      <c r="BXY32" s="204"/>
      <c r="BXZ32" s="204"/>
      <c r="BYA32" s="204"/>
      <c r="BYB32" s="204"/>
      <c r="BYC32" s="204"/>
      <c r="BYD32" s="204"/>
      <c r="BYE32" s="204"/>
      <c r="BYF32" s="204"/>
      <c r="BYG32" s="204"/>
      <c r="BYH32" s="204"/>
      <c r="BYI32" s="204"/>
      <c r="BYJ32" s="204"/>
      <c r="BYK32" s="204"/>
      <c r="BYL32" s="204"/>
      <c r="BYM32" s="204"/>
      <c r="BYN32" s="204"/>
      <c r="BYO32" s="204"/>
      <c r="BYP32" s="204"/>
      <c r="BYQ32" s="204"/>
      <c r="BYR32" s="204"/>
      <c r="BYS32" s="204"/>
      <c r="BYT32" s="204"/>
      <c r="BYU32" s="204"/>
      <c r="BYV32" s="204"/>
      <c r="BYW32" s="204"/>
      <c r="BYX32" s="204"/>
      <c r="BYY32" s="204"/>
      <c r="BYZ32" s="204"/>
      <c r="BZA32" s="204"/>
      <c r="BZB32" s="204"/>
      <c r="BZC32" s="204"/>
      <c r="BZD32" s="204"/>
      <c r="BZE32" s="204"/>
      <c r="BZF32" s="204"/>
      <c r="BZG32" s="204"/>
      <c r="BZH32" s="204"/>
      <c r="BZI32" s="204"/>
      <c r="BZJ32" s="204"/>
      <c r="BZK32" s="204"/>
      <c r="BZL32" s="204"/>
      <c r="BZM32" s="204"/>
      <c r="BZN32" s="204"/>
      <c r="BZO32" s="204"/>
      <c r="BZP32" s="204"/>
      <c r="BZQ32" s="204"/>
      <c r="BZR32" s="204"/>
      <c r="BZS32" s="204"/>
      <c r="BZT32" s="204"/>
      <c r="BZU32" s="204"/>
      <c r="BZV32" s="204"/>
      <c r="BZW32" s="204"/>
      <c r="BZX32" s="204"/>
      <c r="BZY32" s="204"/>
      <c r="BZZ32" s="204"/>
      <c r="CAA32" s="204"/>
      <c r="CAB32" s="204"/>
      <c r="CAC32" s="204"/>
      <c r="CAD32" s="204"/>
      <c r="CAE32" s="204"/>
      <c r="CAF32" s="204"/>
      <c r="CAG32" s="204"/>
      <c r="CAH32" s="204"/>
      <c r="CAI32" s="204"/>
      <c r="CAJ32" s="204"/>
      <c r="CAK32" s="204"/>
      <c r="CAL32" s="204"/>
      <c r="CAM32" s="204"/>
      <c r="CAN32" s="204"/>
      <c r="CAO32" s="204"/>
      <c r="CAP32" s="204"/>
      <c r="CAQ32" s="204"/>
      <c r="CAR32" s="204"/>
      <c r="CAS32" s="204"/>
      <c r="CAT32" s="204"/>
      <c r="CAU32" s="204"/>
      <c r="CAV32" s="204"/>
      <c r="CAW32" s="204"/>
      <c r="CAX32" s="204"/>
      <c r="CAY32" s="204"/>
      <c r="CAZ32" s="204"/>
      <c r="CBA32" s="204"/>
      <c r="CBB32" s="204"/>
      <c r="CBC32" s="204"/>
      <c r="CBD32" s="204"/>
      <c r="CBE32" s="204"/>
      <c r="CBF32" s="204"/>
      <c r="CBG32" s="204"/>
      <c r="CBH32" s="204"/>
      <c r="CBI32" s="204"/>
      <c r="CBJ32" s="204"/>
      <c r="CBK32" s="204"/>
      <c r="CBL32" s="204"/>
      <c r="CBM32" s="204"/>
      <c r="CBN32" s="204"/>
      <c r="CBO32" s="204"/>
      <c r="CBP32" s="204"/>
      <c r="CBQ32" s="204"/>
      <c r="CBR32" s="204"/>
      <c r="CBS32" s="204"/>
      <c r="CBT32" s="204"/>
      <c r="CBU32" s="204"/>
      <c r="CBV32" s="204"/>
      <c r="CBW32" s="204"/>
      <c r="CBX32" s="204"/>
      <c r="CBY32" s="204"/>
      <c r="CBZ32" s="204"/>
      <c r="CCA32" s="204"/>
      <c r="CCB32" s="204"/>
      <c r="CCC32" s="204"/>
      <c r="CCD32" s="204"/>
      <c r="CCE32" s="204"/>
      <c r="CCF32" s="204"/>
      <c r="CCG32" s="204"/>
      <c r="CCH32" s="204"/>
      <c r="CCI32" s="204"/>
      <c r="CCJ32" s="204"/>
      <c r="CCK32" s="204"/>
      <c r="CCL32" s="204"/>
      <c r="CCM32" s="204"/>
      <c r="CCN32" s="204"/>
      <c r="CCO32" s="204"/>
      <c r="CCP32" s="204"/>
      <c r="CCQ32" s="204"/>
      <c r="CCR32" s="204"/>
      <c r="CCS32" s="204"/>
      <c r="CCT32" s="204"/>
      <c r="CCU32" s="204"/>
      <c r="CCV32" s="204"/>
      <c r="CCW32" s="204"/>
      <c r="CCX32" s="204"/>
      <c r="CCY32" s="204"/>
      <c r="CCZ32" s="204"/>
      <c r="CDA32" s="204"/>
      <c r="CDB32" s="204"/>
      <c r="CDC32" s="204"/>
      <c r="CDD32" s="204"/>
      <c r="CDE32" s="204"/>
      <c r="CDF32" s="204"/>
      <c r="CDG32" s="204"/>
      <c r="CDH32" s="204"/>
      <c r="CDI32" s="204"/>
      <c r="CDJ32" s="204"/>
      <c r="CDK32" s="204"/>
      <c r="CDL32" s="204"/>
      <c r="CDM32" s="204"/>
      <c r="CDN32" s="204"/>
      <c r="CDO32" s="204"/>
      <c r="CDP32" s="204"/>
      <c r="CDQ32" s="204"/>
      <c r="CDR32" s="204"/>
      <c r="CDS32" s="204"/>
      <c r="CDT32" s="204"/>
      <c r="CDU32" s="204"/>
      <c r="CDV32" s="204"/>
      <c r="CDW32" s="204"/>
      <c r="CDX32" s="204"/>
      <c r="CDY32" s="204"/>
      <c r="CDZ32" s="204"/>
      <c r="CEA32" s="204"/>
      <c r="CEB32" s="204"/>
      <c r="CEC32" s="204"/>
      <c r="CED32" s="204"/>
      <c r="CEE32" s="204"/>
      <c r="CEF32" s="204"/>
      <c r="CEG32" s="204"/>
      <c r="CEH32" s="204"/>
      <c r="CEI32" s="204"/>
      <c r="CEJ32" s="204"/>
      <c r="CEK32" s="204"/>
      <c r="CEL32" s="204"/>
      <c r="CEM32" s="204"/>
      <c r="CEN32" s="204"/>
      <c r="CEO32" s="204"/>
      <c r="CEP32" s="204"/>
      <c r="CEQ32" s="204"/>
      <c r="CER32" s="204"/>
      <c r="CES32" s="204"/>
      <c r="CET32" s="204"/>
      <c r="CEU32" s="204"/>
      <c r="CEV32" s="204"/>
      <c r="CEW32" s="204"/>
      <c r="CEX32" s="204"/>
      <c r="CEY32" s="204"/>
      <c r="CEZ32" s="204"/>
      <c r="CFA32" s="204"/>
      <c r="CFB32" s="204"/>
      <c r="CFC32" s="204"/>
      <c r="CFD32" s="204"/>
      <c r="CFE32" s="204"/>
      <c r="CFF32" s="204"/>
      <c r="CFG32" s="204"/>
      <c r="CFH32" s="204"/>
      <c r="CFI32" s="204"/>
      <c r="CFJ32" s="204"/>
      <c r="CFK32" s="204"/>
      <c r="CFL32" s="204"/>
      <c r="CFM32" s="204"/>
      <c r="CFN32" s="204"/>
      <c r="CFO32" s="204"/>
      <c r="CFP32" s="204"/>
      <c r="CFQ32" s="204"/>
      <c r="CFR32" s="204"/>
      <c r="CFS32" s="204"/>
      <c r="CFT32" s="204"/>
      <c r="CFU32" s="204"/>
      <c r="CFV32" s="204"/>
      <c r="CFW32" s="204"/>
      <c r="CFX32" s="204"/>
      <c r="CFY32" s="204"/>
      <c r="CFZ32" s="204"/>
      <c r="CGA32" s="204"/>
      <c r="CGB32" s="204"/>
      <c r="CGC32" s="204"/>
      <c r="CGD32" s="204"/>
      <c r="CGE32" s="204"/>
      <c r="CGF32" s="204"/>
      <c r="CGG32" s="204"/>
      <c r="CGH32" s="204"/>
      <c r="CGI32" s="204"/>
      <c r="CGJ32" s="204"/>
      <c r="CGK32" s="204"/>
      <c r="CGL32" s="204"/>
      <c r="CGM32" s="204"/>
      <c r="CGN32" s="204"/>
      <c r="CGO32" s="204"/>
      <c r="CGP32" s="204"/>
      <c r="CGQ32" s="204"/>
      <c r="CGR32" s="204"/>
      <c r="CGS32" s="204"/>
      <c r="CGT32" s="204"/>
      <c r="CGU32" s="204"/>
      <c r="CGV32" s="204"/>
      <c r="CGW32" s="204"/>
      <c r="CGX32" s="204"/>
      <c r="CGY32" s="204"/>
      <c r="CGZ32" s="204"/>
      <c r="CHA32" s="204"/>
      <c r="CHB32" s="204"/>
      <c r="CHC32" s="204"/>
      <c r="CHD32" s="204"/>
      <c r="CHE32" s="204"/>
      <c r="CHF32" s="204"/>
      <c r="CHG32" s="204"/>
      <c r="CHH32" s="204"/>
      <c r="CHI32" s="204"/>
      <c r="CHJ32" s="204"/>
      <c r="CHK32" s="204"/>
      <c r="CHL32" s="204"/>
      <c r="CHM32" s="204"/>
      <c r="CHN32" s="204"/>
      <c r="CHO32" s="204"/>
      <c r="CHP32" s="204"/>
      <c r="CHQ32" s="204"/>
      <c r="CHR32" s="204"/>
      <c r="CHS32" s="204"/>
      <c r="CHT32" s="204"/>
      <c r="CHU32" s="204"/>
      <c r="CHV32" s="204"/>
      <c r="CHW32" s="204"/>
      <c r="CHX32" s="204"/>
      <c r="CHY32" s="204"/>
      <c r="CHZ32" s="204"/>
      <c r="CIA32" s="204"/>
      <c r="CIB32" s="204"/>
      <c r="CIC32" s="204"/>
      <c r="CID32" s="204"/>
      <c r="CIE32" s="204"/>
      <c r="CIF32" s="204"/>
      <c r="CIG32" s="204"/>
      <c r="CIH32" s="204"/>
      <c r="CII32" s="204"/>
      <c r="CIJ32" s="204"/>
      <c r="CIK32" s="204"/>
      <c r="CIL32" s="204"/>
      <c r="CIM32" s="204"/>
      <c r="CIN32" s="204"/>
      <c r="CIO32" s="204"/>
      <c r="CIP32" s="204"/>
      <c r="CIQ32" s="204"/>
      <c r="CIR32" s="204"/>
      <c r="CIS32" s="204"/>
      <c r="CIT32" s="204"/>
      <c r="CIU32" s="204"/>
      <c r="CIV32" s="204"/>
      <c r="CIW32" s="204"/>
      <c r="CIX32" s="204"/>
      <c r="CIY32" s="204"/>
      <c r="CIZ32" s="204"/>
      <c r="CJA32" s="204"/>
      <c r="CJB32" s="204"/>
      <c r="CJC32" s="204"/>
      <c r="CJD32" s="204"/>
      <c r="CJE32" s="204"/>
      <c r="CJF32" s="204"/>
      <c r="CJG32" s="204"/>
      <c r="CJH32" s="204"/>
      <c r="CJI32" s="204"/>
      <c r="CJJ32" s="204"/>
      <c r="CJK32" s="204"/>
      <c r="CJL32" s="204"/>
      <c r="CJM32" s="204"/>
      <c r="CJN32" s="204"/>
      <c r="CJO32" s="204"/>
      <c r="CJP32" s="204"/>
      <c r="CJQ32" s="204"/>
      <c r="CJR32" s="204"/>
      <c r="CJS32" s="204"/>
      <c r="CJT32" s="204"/>
      <c r="CJU32" s="204"/>
      <c r="CJV32" s="204"/>
      <c r="CJW32" s="204"/>
      <c r="CJX32" s="204"/>
      <c r="CJY32" s="204"/>
      <c r="CJZ32" s="204"/>
      <c r="CKA32" s="204"/>
      <c r="CKB32" s="204"/>
      <c r="CKC32" s="204"/>
      <c r="CKD32" s="204"/>
      <c r="CKE32" s="204"/>
      <c r="CKF32" s="204"/>
      <c r="CKG32" s="204"/>
      <c r="CKH32" s="204"/>
      <c r="CKI32" s="204"/>
      <c r="CKJ32" s="204"/>
      <c r="CKK32" s="204"/>
      <c r="CKL32" s="204"/>
      <c r="CKM32" s="204"/>
      <c r="CKN32" s="204"/>
      <c r="CKO32" s="204"/>
      <c r="CKP32" s="204"/>
      <c r="CKQ32" s="204"/>
      <c r="CKR32" s="204"/>
      <c r="CKS32" s="204"/>
      <c r="CKT32" s="204"/>
      <c r="CKU32" s="204"/>
      <c r="CKV32" s="204"/>
      <c r="CKW32" s="204"/>
      <c r="CKX32" s="204"/>
      <c r="CKY32" s="204"/>
      <c r="CKZ32" s="204"/>
      <c r="CLA32" s="204"/>
      <c r="CLB32" s="204"/>
      <c r="CLC32" s="204"/>
      <c r="CLD32" s="204"/>
      <c r="CLE32" s="204"/>
      <c r="CLF32" s="204"/>
      <c r="CLG32" s="204"/>
      <c r="CLH32" s="204"/>
      <c r="CLI32" s="204"/>
      <c r="CLJ32" s="204"/>
      <c r="CLK32" s="204"/>
      <c r="CLL32" s="204"/>
      <c r="CLM32" s="204"/>
      <c r="CLN32" s="204"/>
      <c r="CLO32" s="204"/>
      <c r="CLP32" s="204"/>
      <c r="CLQ32" s="204"/>
      <c r="CLR32" s="204"/>
      <c r="CLS32" s="204"/>
      <c r="CLT32" s="204"/>
      <c r="CLU32" s="204"/>
      <c r="CLV32" s="204"/>
      <c r="CLW32" s="204"/>
      <c r="CLX32" s="204"/>
      <c r="CLY32" s="204"/>
      <c r="CLZ32" s="204"/>
      <c r="CMA32" s="204"/>
      <c r="CMB32" s="204"/>
      <c r="CMC32" s="204"/>
      <c r="CMD32" s="204"/>
      <c r="CME32" s="204"/>
      <c r="CMF32" s="204"/>
      <c r="CMG32" s="204"/>
      <c r="CMH32" s="204"/>
      <c r="CMI32" s="204"/>
      <c r="CMJ32" s="204"/>
      <c r="CMK32" s="204"/>
      <c r="CML32" s="204"/>
      <c r="CMM32" s="204"/>
      <c r="CMN32" s="204"/>
      <c r="CMO32" s="204"/>
      <c r="CMP32" s="204"/>
      <c r="CMQ32" s="204"/>
      <c r="CMR32" s="204"/>
      <c r="CMS32" s="204"/>
      <c r="CMT32" s="204"/>
      <c r="CMU32" s="204"/>
      <c r="CMV32" s="204"/>
      <c r="CMW32" s="204"/>
      <c r="CMX32" s="204"/>
      <c r="CMY32" s="204"/>
      <c r="CMZ32" s="204"/>
      <c r="CNA32" s="204"/>
      <c r="CNB32" s="204"/>
      <c r="CNC32" s="204"/>
      <c r="CND32" s="204"/>
      <c r="CNE32" s="204"/>
      <c r="CNF32" s="204"/>
      <c r="CNG32" s="204"/>
      <c r="CNH32" s="204"/>
      <c r="CNI32" s="204"/>
      <c r="CNJ32" s="204"/>
      <c r="CNK32" s="204"/>
      <c r="CNL32" s="204"/>
      <c r="CNM32" s="204"/>
      <c r="CNN32" s="204"/>
      <c r="CNO32" s="204"/>
      <c r="CNP32" s="204"/>
      <c r="CNQ32" s="204"/>
      <c r="CNR32" s="204"/>
      <c r="CNS32" s="204"/>
      <c r="CNT32" s="204"/>
      <c r="CNU32" s="204"/>
      <c r="CNV32" s="204"/>
      <c r="CNW32" s="204"/>
      <c r="CNX32" s="204"/>
      <c r="CNY32" s="204"/>
      <c r="CNZ32" s="204"/>
      <c r="COA32" s="204"/>
      <c r="COB32" s="204"/>
      <c r="COC32" s="204"/>
      <c r="COD32" s="204"/>
      <c r="COE32" s="204"/>
      <c r="COF32" s="204"/>
      <c r="COG32" s="204"/>
      <c r="COH32" s="204"/>
      <c r="COI32" s="204"/>
      <c r="COJ32" s="204"/>
      <c r="COK32" s="204"/>
      <c r="COL32" s="204"/>
      <c r="COM32" s="204"/>
      <c r="CON32" s="204"/>
      <c r="COO32" s="204"/>
      <c r="COP32" s="204"/>
      <c r="COQ32" s="204"/>
      <c r="COR32" s="204"/>
      <c r="COS32" s="204"/>
      <c r="COT32" s="204"/>
      <c r="COU32" s="204"/>
      <c r="COV32" s="204"/>
      <c r="COW32" s="204"/>
      <c r="COX32" s="204"/>
      <c r="COY32" s="204"/>
      <c r="COZ32" s="204"/>
      <c r="CPA32" s="204"/>
      <c r="CPB32" s="204"/>
      <c r="CPC32" s="204"/>
      <c r="CPD32" s="204"/>
      <c r="CPE32" s="204"/>
      <c r="CPF32" s="204"/>
      <c r="CPG32" s="204"/>
      <c r="CPH32" s="204"/>
      <c r="CPI32" s="204"/>
      <c r="CPJ32" s="204"/>
      <c r="CPK32" s="204"/>
      <c r="CPL32" s="204"/>
      <c r="CPM32" s="204"/>
      <c r="CPN32" s="204"/>
      <c r="CPO32" s="204"/>
      <c r="CPP32" s="204"/>
      <c r="CPQ32" s="204"/>
      <c r="CPR32" s="204"/>
      <c r="CPS32" s="204"/>
      <c r="CPT32" s="204"/>
      <c r="CPU32" s="204"/>
      <c r="CPV32" s="204"/>
      <c r="CPW32" s="204"/>
      <c r="CPX32" s="204"/>
      <c r="CPY32" s="204"/>
      <c r="CPZ32" s="204"/>
      <c r="CQA32" s="204"/>
      <c r="CQB32" s="204"/>
      <c r="CQC32" s="204"/>
      <c r="CQD32" s="204"/>
      <c r="CQE32" s="204"/>
      <c r="CQF32" s="204"/>
      <c r="CQG32" s="204"/>
      <c r="CQH32" s="204"/>
      <c r="CQI32" s="204"/>
      <c r="CQJ32" s="204"/>
      <c r="CQK32" s="204"/>
      <c r="CQL32" s="204"/>
      <c r="CQM32" s="204"/>
      <c r="CQN32" s="204"/>
      <c r="CQO32" s="204"/>
      <c r="CQP32" s="204"/>
      <c r="CQQ32" s="204"/>
      <c r="CQR32" s="204"/>
      <c r="CQS32" s="204"/>
      <c r="CQT32" s="204"/>
      <c r="CQU32" s="204"/>
      <c r="CQV32" s="204"/>
      <c r="CQW32" s="204"/>
      <c r="CQX32" s="204"/>
      <c r="CQY32" s="204"/>
      <c r="CQZ32" s="204"/>
      <c r="CRA32" s="204"/>
      <c r="CRB32" s="204"/>
      <c r="CRC32" s="204"/>
      <c r="CRD32" s="204"/>
      <c r="CRE32" s="204"/>
      <c r="CRF32" s="204"/>
      <c r="CRG32" s="204"/>
      <c r="CRH32" s="204"/>
      <c r="CRI32" s="204"/>
      <c r="CRJ32" s="204"/>
      <c r="CRK32" s="204"/>
      <c r="CRL32" s="204"/>
      <c r="CRM32" s="204"/>
      <c r="CRN32" s="204"/>
      <c r="CRO32" s="204"/>
      <c r="CRP32" s="204"/>
      <c r="CRQ32" s="204"/>
      <c r="CRR32" s="204"/>
      <c r="CRS32" s="204"/>
      <c r="CRT32" s="204"/>
      <c r="CRU32" s="204"/>
      <c r="CRV32" s="204"/>
      <c r="CRW32" s="204"/>
      <c r="CRX32" s="204"/>
      <c r="CRY32" s="204"/>
      <c r="CRZ32" s="204"/>
      <c r="CSA32" s="204"/>
      <c r="CSB32" s="204"/>
      <c r="CSC32" s="204"/>
      <c r="CSD32" s="204"/>
      <c r="CSE32" s="204"/>
      <c r="CSF32" s="204"/>
      <c r="CSG32" s="204"/>
      <c r="CSH32" s="204"/>
      <c r="CSI32" s="204"/>
      <c r="CSJ32" s="204"/>
      <c r="CSK32" s="204"/>
      <c r="CSL32" s="204"/>
      <c r="CSM32" s="204"/>
      <c r="CSN32" s="204"/>
      <c r="CSO32" s="204"/>
      <c r="CSP32" s="204"/>
      <c r="CSQ32" s="204"/>
      <c r="CSR32" s="204"/>
      <c r="CSS32" s="204"/>
      <c r="CST32" s="204"/>
      <c r="CSU32" s="204"/>
      <c r="CSV32" s="204"/>
      <c r="CSW32" s="204"/>
      <c r="CSX32" s="204"/>
      <c r="CSY32" s="204"/>
      <c r="CSZ32" s="204"/>
      <c r="CTA32" s="204"/>
      <c r="CTB32" s="204"/>
      <c r="CTC32" s="204"/>
      <c r="CTD32" s="204"/>
      <c r="CTE32" s="204"/>
      <c r="CTF32" s="204"/>
      <c r="CTG32" s="204"/>
      <c r="CTH32" s="204"/>
      <c r="CTI32" s="204"/>
      <c r="CTJ32" s="204"/>
      <c r="CTK32" s="204"/>
      <c r="CTL32" s="204"/>
      <c r="CTM32" s="204"/>
      <c r="CTN32" s="204"/>
      <c r="CTO32" s="204"/>
      <c r="CTP32" s="204"/>
      <c r="CTQ32" s="204"/>
      <c r="CTR32" s="204"/>
      <c r="CTS32" s="204"/>
      <c r="CTT32" s="204"/>
      <c r="CTU32" s="204"/>
      <c r="CTV32" s="204"/>
      <c r="CTW32" s="204"/>
      <c r="CTX32" s="204"/>
      <c r="CTY32" s="204"/>
      <c r="CTZ32" s="204"/>
      <c r="CUA32" s="204"/>
      <c r="CUB32" s="204"/>
      <c r="CUC32" s="204"/>
      <c r="CUD32" s="204"/>
      <c r="CUE32" s="204"/>
      <c r="CUF32" s="204"/>
      <c r="CUG32" s="204"/>
      <c r="CUH32" s="204"/>
      <c r="CUI32" s="204"/>
      <c r="CUJ32" s="204"/>
      <c r="CUK32" s="204"/>
      <c r="CUL32" s="204"/>
      <c r="CUM32" s="204"/>
      <c r="CUN32" s="204"/>
      <c r="CUO32" s="204"/>
      <c r="CUP32" s="204"/>
      <c r="CUQ32" s="204"/>
      <c r="CUR32" s="204"/>
      <c r="CUS32" s="204"/>
      <c r="CUT32" s="204"/>
      <c r="CUU32" s="204"/>
      <c r="CUV32" s="204"/>
      <c r="CUW32" s="204"/>
      <c r="CUX32" s="204"/>
      <c r="CUY32" s="204"/>
      <c r="CUZ32" s="204"/>
      <c r="CVA32" s="204"/>
      <c r="CVB32" s="204"/>
      <c r="CVC32" s="204"/>
      <c r="CVD32" s="204"/>
      <c r="CVE32" s="204"/>
      <c r="CVF32" s="204"/>
      <c r="CVG32" s="204"/>
      <c r="CVH32" s="204"/>
      <c r="CVI32" s="204"/>
      <c r="CVJ32" s="204"/>
      <c r="CVK32" s="204"/>
      <c r="CVL32" s="204"/>
      <c r="CVM32" s="204"/>
      <c r="CVN32" s="204"/>
      <c r="CVO32" s="204"/>
      <c r="CVP32" s="204"/>
      <c r="CVQ32" s="204"/>
      <c r="CVR32" s="204"/>
      <c r="CVS32" s="204"/>
      <c r="CVT32" s="204"/>
      <c r="CVU32" s="204"/>
      <c r="CVV32" s="204"/>
      <c r="CVW32" s="204"/>
      <c r="CVX32" s="204"/>
      <c r="CVY32" s="204"/>
      <c r="CVZ32" s="204"/>
      <c r="CWA32" s="204"/>
      <c r="CWB32" s="204"/>
      <c r="CWC32" s="204"/>
      <c r="CWD32" s="204"/>
      <c r="CWE32" s="204"/>
      <c r="CWF32" s="204"/>
      <c r="CWG32" s="204"/>
      <c r="CWH32" s="204"/>
      <c r="CWI32" s="204"/>
      <c r="CWJ32" s="204"/>
      <c r="CWK32" s="204"/>
      <c r="CWL32" s="204"/>
      <c r="CWM32" s="204"/>
      <c r="CWN32" s="204"/>
      <c r="CWO32" s="204"/>
      <c r="CWP32" s="204"/>
      <c r="CWQ32" s="204"/>
      <c r="CWR32" s="204"/>
      <c r="CWS32" s="204"/>
      <c r="CWT32" s="204"/>
      <c r="CWU32" s="204"/>
      <c r="CWV32" s="204"/>
      <c r="CWW32" s="204"/>
      <c r="CWX32" s="204"/>
      <c r="CWY32" s="204"/>
      <c r="CWZ32" s="204"/>
      <c r="CXA32" s="204"/>
      <c r="CXB32" s="204"/>
      <c r="CXC32" s="204"/>
      <c r="CXD32" s="204"/>
      <c r="CXE32" s="204"/>
      <c r="CXF32" s="204"/>
      <c r="CXG32" s="204"/>
      <c r="CXH32" s="204"/>
      <c r="CXI32" s="204"/>
      <c r="CXJ32" s="204"/>
      <c r="CXK32" s="204"/>
      <c r="CXL32" s="204"/>
      <c r="CXM32" s="204"/>
      <c r="CXN32" s="204"/>
      <c r="CXO32" s="204"/>
      <c r="CXP32" s="204"/>
      <c r="CXQ32" s="204"/>
      <c r="CXR32" s="204"/>
      <c r="CXS32" s="204"/>
      <c r="CXT32" s="204"/>
      <c r="CXU32" s="204"/>
      <c r="CXV32" s="204"/>
      <c r="CXW32" s="204"/>
      <c r="CXX32" s="204"/>
      <c r="CXY32" s="204"/>
      <c r="CXZ32" s="204"/>
      <c r="CYA32" s="204"/>
      <c r="CYB32" s="204"/>
      <c r="CYC32" s="204"/>
      <c r="CYD32" s="204"/>
      <c r="CYE32" s="204"/>
      <c r="CYF32" s="204"/>
      <c r="CYG32" s="204"/>
      <c r="CYH32" s="204"/>
      <c r="CYI32" s="204"/>
      <c r="CYJ32" s="204"/>
      <c r="CYK32" s="204"/>
      <c r="CYL32" s="204"/>
      <c r="CYM32" s="204"/>
      <c r="CYN32" s="204"/>
      <c r="CYO32" s="204"/>
      <c r="CYP32" s="204"/>
      <c r="CYQ32" s="204"/>
      <c r="CYR32" s="204"/>
      <c r="CYS32" s="204"/>
      <c r="CYT32" s="204"/>
      <c r="CYU32" s="204"/>
      <c r="CYV32" s="204"/>
      <c r="CYW32" s="204"/>
      <c r="CYX32" s="204"/>
      <c r="CYY32" s="204"/>
      <c r="CYZ32" s="204"/>
      <c r="CZA32" s="204"/>
      <c r="CZB32" s="204"/>
      <c r="CZC32" s="204"/>
      <c r="CZD32" s="204"/>
      <c r="CZE32" s="204"/>
      <c r="CZF32" s="204"/>
      <c r="CZG32" s="204"/>
      <c r="CZH32" s="204"/>
      <c r="CZI32" s="204"/>
      <c r="CZJ32" s="204"/>
      <c r="CZK32" s="204"/>
      <c r="CZL32" s="204"/>
      <c r="CZM32" s="204"/>
      <c r="CZN32" s="204"/>
      <c r="CZO32" s="204"/>
      <c r="CZP32" s="204"/>
      <c r="CZQ32" s="204"/>
      <c r="CZR32" s="204"/>
      <c r="CZS32" s="204"/>
      <c r="CZT32" s="204"/>
      <c r="CZU32" s="204"/>
      <c r="CZV32" s="204"/>
      <c r="CZW32" s="204"/>
      <c r="CZX32" s="204"/>
      <c r="CZY32" s="204"/>
      <c r="CZZ32" s="204"/>
      <c r="DAA32" s="204"/>
      <c r="DAB32" s="204"/>
      <c r="DAC32" s="204"/>
      <c r="DAD32" s="204"/>
      <c r="DAE32" s="204"/>
      <c r="DAF32" s="204"/>
      <c r="DAG32" s="204"/>
      <c r="DAH32" s="204"/>
      <c r="DAI32" s="204"/>
      <c r="DAJ32" s="204"/>
      <c r="DAK32" s="204"/>
      <c r="DAL32" s="204"/>
      <c r="DAM32" s="204"/>
      <c r="DAN32" s="204"/>
      <c r="DAO32" s="204"/>
      <c r="DAP32" s="204"/>
      <c r="DAQ32" s="204"/>
      <c r="DAR32" s="204"/>
      <c r="DAS32" s="204"/>
      <c r="DAT32" s="204"/>
      <c r="DAU32" s="204"/>
      <c r="DAV32" s="204"/>
      <c r="DAW32" s="204"/>
      <c r="DAX32" s="204"/>
      <c r="DAY32" s="204"/>
      <c r="DAZ32" s="204"/>
      <c r="DBA32" s="204"/>
      <c r="DBB32" s="204"/>
      <c r="DBC32" s="204"/>
      <c r="DBD32" s="204"/>
      <c r="DBE32" s="204"/>
      <c r="DBF32" s="204"/>
      <c r="DBG32" s="204"/>
      <c r="DBH32" s="204"/>
      <c r="DBI32" s="204"/>
      <c r="DBJ32" s="204"/>
      <c r="DBK32" s="204"/>
      <c r="DBL32" s="204"/>
      <c r="DBM32" s="204"/>
      <c r="DBN32" s="204"/>
      <c r="DBO32" s="204"/>
      <c r="DBP32" s="204"/>
      <c r="DBQ32" s="204"/>
      <c r="DBR32" s="204"/>
      <c r="DBS32" s="204"/>
      <c r="DBT32" s="204"/>
      <c r="DBU32" s="204"/>
      <c r="DBV32" s="204"/>
      <c r="DBW32" s="204"/>
      <c r="DBX32" s="204"/>
      <c r="DBY32" s="204"/>
      <c r="DBZ32" s="204"/>
      <c r="DCA32" s="204"/>
      <c r="DCB32" s="204"/>
      <c r="DCC32" s="204"/>
      <c r="DCD32" s="204"/>
      <c r="DCE32" s="204"/>
      <c r="DCF32" s="204"/>
      <c r="DCG32" s="204"/>
      <c r="DCH32" s="204"/>
      <c r="DCI32" s="204"/>
      <c r="DCJ32" s="204"/>
      <c r="DCK32" s="204"/>
      <c r="DCL32" s="204"/>
      <c r="DCM32" s="204"/>
      <c r="DCN32" s="204"/>
      <c r="DCO32" s="204"/>
      <c r="DCP32" s="204"/>
      <c r="DCQ32" s="204"/>
      <c r="DCR32" s="204"/>
      <c r="DCS32" s="204"/>
      <c r="DCT32" s="204"/>
      <c r="DCU32" s="204"/>
      <c r="DCV32" s="204"/>
      <c r="DCW32" s="204"/>
      <c r="DCX32" s="204"/>
      <c r="DCY32" s="204"/>
      <c r="DCZ32" s="204"/>
      <c r="DDA32" s="204"/>
      <c r="DDB32" s="204"/>
      <c r="DDC32" s="204"/>
      <c r="DDD32" s="204"/>
      <c r="DDE32" s="204"/>
      <c r="DDF32" s="204"/>
      <c r="DDG32" s="204"/>
      <c r="DDH32" s="204"/>
      <c r="DDI32" s="204"/>
      <c r="DDJ32" s="204"/>
      <c r="DDK32" s="204"/>
      <c r="DDL32" s="204"/>
      <c r="DDM32" s="204"/>
      <c r="DDN32" s="204"/>
      <c r="DDO32" s="204"/>
      <c r="DDP32" s="204"/>
      <c r="DDQ32" s="204"/>
      <c r="DDR32" s="204"/>
      <c r="DDS32" s="204"/>
      <c r="DDT32" s="204"/>
      <c r="DDU32" s="204"/>
      <c r="DDV32" s="204"/>
      <c r="DDW32" s="204"/>
      <c r="DDX32" s="204"/>
      <c r="DDY32" s="204"/>
      <c r="DDZ32" s="204"/>
      <c r="DEA32" s="204"/>
      <c r="DEB32" s="204"/>
      <c r="DEC32" s="204"/>
      <c r="DED32" s="204"/>
      <c r="DEE32" s="204"/>
      <c r="DEF32" s="204"/>
      <c r="DEG32" s="204"/>
      <c r="DEH32" s="204"/>
      <c r="DEI32" s="204"/>
      <c r="DEJ32" s="204"/>
      <c r="DEK32" s="204"/>
      <c r="DEL32" s="204"/>
      <c r="DEM32" s="204"/>
      <c r="DEN32" s="204"/>
      <c r="DEO32" s="204"/>
      <c r="DEP32" s="204"/>
      <c r="DEQ32" s="204"/>
      <c r="DER32" s="204"/>
      <c r="DES32" s="204"/>
      <c r="DET32" s="204"/>
      <c r="DEU32" s="204"/>
      <c r="DEV32" s="204"/>
      <c r="DEW32" s="204"/>
      <c r="DEX32" s="204"/>
      <c r="DEY32" s="204"/>
      <c r="DEZ32" s="204"/>
      <c r="DFA32" s="204"/>
      <c r="DFB32" s="204"/>
      <c r="DFC32" s="204"/>
      <c r="DFD32" s="204"/>
      <c r="DFE32" s="204"/>
      <c r="DFF32" s="204"/>
      <c r="DFG32" s="204"/>
      <c r="DFH32" s="204"/>
      <c r="DFI32" s="204"/>
      <c r="DFJ32" s="204"/>
      <c r="DFK32" s="204"/>
      <c r="DFL32" s="204"/>
      <c r="DFM32" s="204"/>
      <c r="DFN32" s="204"/>
      <c r="DFO32" s="204"/>
      <c r="DFP32" s="204"/>
      <c r="DFQ32" s="204"/>
      <c r="DFR32" s="204"/>
      <c r="DFS32" s="204"/>
      <c r="DFT32" s="204"/>
      <c r="DFU32" s="204"/>
      <c r="DFV32" s="204"/>
      <c r="DFW32" s="204"/>
      <c r="DFX32" s="204"/>
      <c r="DFY32" s="204"/>
      <c r="DFZ32" s="204"/>
      <c r="DGA32" s="204"/>
      <c r="DGB32" s="204"/>
      <c r="DGC32" s="204"/>
      <c r="DGD32" s="204"/>
      <c r="DGE32" s="204"/>
      <c r="DGF32" s="204"/>
      <c r="DGG32" s="204"/>
      <c r="DGH32" s="204"/>
      <c r="DGI32" s="204"/>
      <c r="DGJ32" s="204"/>
      <c r="DGK32" s="204"/>
      <c r="DGL32" s="204"/>
      <c r="DGM32" s="204"/>
      <c r="DGN32" s="204"/>
      <c r="DGO32" s="204"/>
      <c r="DGP32" s="204"/>
      <c r="DGQ32" s="204"/>
      <c r="DGR32" s="204"/>
      <c r="DGS32" s="204"/>
      <c r="DGT32" s="204"/>
      <c r="DGU32" s="204"/>
      <c r="DGV32" s="204"/>
      <c r="DGW32" s="204"/>
      <c r="DGX32" s="204"/>
      <c r="DGY32" s="204"/>
      <c r="DGZ32" s="204"/>
      <c r="DHA32" s="204"/>
      <c r="DHB32" s="204"/>
      <c r="DHC32" s="204"/>
      <c r="DHD32" s="204"/>
      <c r="DHE32" s="204"/>
      <c r="DHF32" s="204"/>
      <c r="DHG32" s="204"/>
      <c r="DHH32" s="204"/>
      <c r="DHI32" s="204"/>
      <c r="DHJ32" s="204"/>
      <c r="DHK32" s="204"/>
      <c r="DHL32" s="204"/>
      <c r="DHM32" s="204"/>
      <c r="DHN32" s="204"/>
      <c r="DHO32" s="204"/>
      <c r="DHP32" s="204"/>
      <c r="DHQ32" s="204"/>
      <c r="DHR32" s="204"/>
      <c r="DHS32" s="204"/>
      <c r="DHT32" s="204"/>
      <c r="DHU32" s="204"/>
      <c r="DHV32" s="204"/>
      <c r="DHW32" s="204"/>
      <c r="DHX32" s="204"/>
      <c r="DHY32" s="204"/>
      <c r="DHZ32" s="204"/>
      <c r="DIA32" s="204"/>
      <c r="DIB32" s="204"/>
      <c r="DIC32" s="204"/>
      <c r="DID32" s="204"/>
      <c r="DIE32" s="204"/>
      <c r="DIF32" s="204"/>
      <c r="DIG32" s="204"/>
      <c r="DIH32" s="204"/>
      <c r="DII32" s="204"/>
      <c r="DIJ32" s="204"/>
      <c r="DIK32" s="204"/>
      <c r="DIL32" s="204"/>
      <c r="DIM32" s="204"/>
      <c r="DIN32" s="204"/>
      <c r="DIO32" s="204"/>
      <c r="DIP32" s="204"/>
      <c r="DIQ32" s="204"/>
      <c r="DIR32" s="204"/>
      <c r="DIS32" s="204"/>
      <c r="DIT32" s="204"/>
      <c r="DIU32" s="204"/>
      <c r="DIV32" s="204"/>
      <c r="DIW32" s="204"/>
      <c r="DIX32" s="204"/>
      <c r="DIY32" s="204"/>
      <c r="DIZ32" s="204"/>
      <c r="DJA32" s="204"/>
      <c r="DJB32" s="204"/>
      <c r="DJC32" s="204"/>
      <c r="DJD32" s="204"/>
      <c r="DJE32" s="204"/>
      <c r="DJF32" s="204"/>
      <c r="DJG32" s="204"/>
      <c r="DJH32" s="204"/>
      <c r="DJI32" s="204"/>
      <c r="DJJ32" s="204"/>
      <c r="DJK32" s="204"/>
      <c r="DJL32" s="204"/>
      <c r="DJM32" s="204"/>
      <c r="DJN32" s="204"/>
      <c r="DJO32" s="204"/>
      <c r="DJP32" s="204"/>
      <c r="DJQ32" s="204"/>
      <c r="DJR32" s="204"/>
      <c r="DJS32" s="204"/>
      <c r="DJT32" s="204"/>
      <c r="DJU32" s="204"/>
      <c r="DJV32" s="204"/>
      <c r="DJW32" s="204"/>
      <c r="DJX32" s="204"/>
      <c r="DJY32" s="204"/>
      <c r="DJZ32" s="204"/>
      <c r="DKA32" s="204"/>
      <c r="DKB32" s="204"/>
      <c r="DKC32" s="204"/>
      <c r="DKD32" s="204"/>
      <c r="DKE32" s="204"/>
      <c r="DKF32" s="204"/>
      <c r="DKG32" s="204"/>
      <c r="DKH32" s="204"/>
      <c r="DKI32" s="204"/>
      <c r="DKJ32" s="204"/>
      <c r="DKK32" s="204"/>
      <c r="DKL32" s="204"/>
      <c r="DKM32" s="204"/>
      <c r="DKN32" s="204"/>
      <c r="DKO32" s="204"/>
      <c r="DKP32" s="204"/>
      <c r="DKQ32" s="204"/>
      <c r="DKR32" s="204"/>
      <c r="DKS32" s="204"/>
      <c r="DKT32" s="204"/>
      <c r="DKU32" s="204"/>
      <c r="DKV32" s="204"/>
      <c r="DKW32" s="204"/>
      <c r="DKX32" s="204"/>
      <c r="DKY32" s="204"/>
      <c r="DKZ32" s="204"/>
      <c r="DLA32" s="204"/>
      <c r="DLB32" s="204"/>
      <c r="DLC32" s="204"/>
      <c r="DLD32" s="204"/>
      <c r="DLE32" s="204"/>
      <c r="DLF32" s="204"/>
      <c r="DLG32" s="204"/>
      <c r="DLH32" s="204"/>
      <c r="DLI32" s="204"/>
      <c r="DLJ32" s="204"/>
      <c r="DLK32" s="204"/>
      <c r="DLL32" s="204"/>
      <c r="DLM32" s="204"/>
      <c r="DLN32" s="204"/>
      <c r="DLO32" s="204"/>
      <c r="DLP32" s="204"/>
      <c r="DLQ32" s="204"/>
      <c r="DLR32" s="204"/>
      <c r="DLS32" s="204"/>
      <c r="DLT32" s="204"/>
      <c r="DLU32" s="204"/>
      <c r="DLV32" s="204"/>
      <c r="DLW32" s="204"/>
      <c r="DLX32" s="204"/>
      <c r="DLY32" s="204"/>
      <c r="DLZ32" s="204"/>
      <c r="DMA32" s="204"/>
      <c r="DMB32" s="204"/>
      <c r="DMC32" s="204"/>
      <c r="DMD32" s="204"/>
      <c r="DME32" s="204"/>
      <c r="DMF32" s="204"/>
      <c r="DMG32" s="204"/>
      <c r="DMH32" s="204"/>
      <c r="DMI32" s="204"/>
      <c r="DMJ32" s="204"/>
      <c r="DMK32" s="204"/>
      <c r="DML32" s="204"/>
      <c r="DMM32" s="204"/>
      <c r="DMN32" s="204"/>
      <c r="DMO32" s="204"/>
      <c r="DMP32" s="204"/>
      <c r="DMQ32" s="204"/>
      <c r="DMR32" s="204"/>
      <c r="DMS32" s="204"/>
      <c r="DMT32" s="204"/>
      <c r="DMU32" s="204"/>
      <c r="DMV32" s="204"/>
      <c r="DMW32" s="204"/>
      <c r="DMX32" s="204"/>
      <c r="DMY32" s="204"/>
      <c r="DMZ32" s="204"/>
      <c r="DNA32" s="204"/>
      <c r="DNB32" s="204"/>
      <c r="DNC32" s="204"/>
      <c r="DND32" s="204"/>
      <c r="DNE32" s="204"/>
      <c r="DNF32" s="204"/>
      <c r="DNG32" s="204"/>
      <c r="DNH32" s="204"/>
      <c r="DNI32" s="204"/>
      <c r="DNJ32" s="204"/>
      <c r="DNK32" s="204"/>
      <c r="DNL32" s="204"/>
      <c r="DNM32" s="204"/>
      <c r="DNN32" s="204"/>
      <c r="DNO32" s="204"/>
      <c r="DNP32" s="204"/>
      <c r="DNQ32" s="204"/>
      <c r="DNR32" s="204"/>
      <c r="DNS32" s="204"/>
      <c r="DNT32" s="204"/>
      <c r="DNU32" s="204"/>
      <c r="DNV32" s="204"/>
      <c r="DNW32" s="204"/>
      <c r="DNX32" s="204"/>
      <c r="DNY32" s="204"/>
      <c r="DNZ32" s="204"/>
      <c r="DOA32" s="204"/>
      <c r="DOB32" s="204"/>
      <c r="DOC32" s="204"/>
      <c r="DOD32" s="204"/>
      <c r="DOE32" s="204"/>
      <c r="DOF32" s="204"/>
      <c r="DOG32" s="204"/>
      <c r="DOH32" s="204"/>
      <c r="DOI32" s="204"/>
      <c r="DOJ32" s="204"/>
      <c r="DOK32" s="204"/>
      <c r="DOL32" s="204"/>
      <c r="DOM32" s="204"/>
      <c r="DON32" s="204"/>
      <c r="DOO32" s="204"/>
      <c r="DOP32" s="204"/>
      <c r="DOQ32" s="204"/>
      <c r="DOR32" s="204"/>
      <c r="DOS32" s="204"/>
      <c r="DOT32" s="204"/>
      <c r="DOU32" s="204"/>
      <c r="DOV32" s="204"/>
      <c r="DOW32" s="204"/>
      <c r="DOX32" s="204"/>
      <c r="DOY32" s="204"/>
      <c r="DOZ32" s="204"/>
      <c r="DPA32" s="204"/>
      <c r="DPB32" s="204"/>
      <c r="DPC32" s="204"/>
      <c r="DPD32" s="204"/>
      <c r="DPE32" s="204"/>
      <c r="DPF32" s="204"/>
      <c r="DPG32" s="204"/>
      <c r="DPH32" s="204"/>
      <c r="DPI32" s="204"/>
      <c r="DPJ32" s="204"/>
      <c r="DPK32" s="204"/>
      <c r="DPL32" s="204"/>
      <c r="DPM32" s="204"/>
      <c r="DPN32" s="204"/>
      <c r="DPO32" s="204"/>
      <c r="DPP32" s="204"/>
      <c r="DPQ32" s="204"/>
      <c r="DPR32" s="204"/>
      <c r="DPS32" s="204"/>
      <c r="DPT32" s="204"/>
      <c r="DPU32" s="204"/>
      <c r="DPV32" s="204"/>
      <c r="DPW32" s="204"/>
      <c r="DPX32" s="204"/>
      <c r="DPY32" s="204"/>
      <c r="DPZ32" s="204"/>
      <c r="DQA32" s="204"/>
      <c r="DQB32" s="204"/>
      <c r="DQC32" s="204"/>
      <c r="DQD32" s="204"/>
      <c r="DQE32" s="204"/>
      <c r="DQF32" s="204"/>
      <c r="DQG32" s="204"/>
      <c r="DQH32" s="204"/>
      <c r="DQI32" s="204"/>
      <c r="DQJ32" s="204"/>
      <c r="DQK32" s="204"/>
      <c r="DQL32" s="204"/>
      <c r="DQM32" s="204"/>
      <c r="DQN32" s="204"/>
      <c r="DQO32" s="204"/>
      <c r="DQP32" s="204"/>
      <c r="DQQ32" s="204"/>
      <c r="DQR32" s="204"/>
      <c r="DQS32" s="204"/>
      <c r="DQT32" s="204"/>
      <c r="DQU32" s="204"/>
      <c r="DQV32" s="204"/>
      <c r="DQW32" s="204"/>
      <c r="DQX32" s="204"/>
      <c r="DQY32" s="204"/>
      <c r="DQZ32" s="204"/>
      <c r="DRA32" s="204"/>
      <c r="DRB32" s="204"/>
      <c r="DRC32" s="204"/>
      <c r="DRD32" s="204"/>
      <c r="DRE32" s="204"/>
      <c r="DRF32" s="204"/>
      <c r="DRG32" s="204"/>
      <c r="DRH32" s="204"/>
      <c r="DRI32" s="204"/>
      <c r="DRJ32" s="204"/>
      <c r="DRK32" s="204"/>
      <c r="DRL32" s="204"/>
      <c r="DRM32" s="204"/>
      <c r="DRN32" s="204"/>
      <c r="DRO32" s="204"/>
      <c r="DRP32" s="204"/>
      <c r="DRQ32" s="204"/>
      <c r="DRR32" s="204"/>
      <c r="DRS32" s="204"/>
      <c r="DRT32" s="204"/>
      <c r="DRU32" s="204"/>
      <c r="DRV32" s="204"/>
      <c r="DRW32" s="204"/>
      <c r="DRX32" s="204"/>
      <c r="DRY32" s="204"/>
      <c r="DRZ32" s="204"/>
      <c r="DSA32" s="204"/>
      <c r="DSB32" s="204"/>
      <c r="DSC32" s="204"/>
      <c r="DSD32" s="204"/>
      <c r="DSE32" s="204"/>
      <c r="DSF32" s="204"/>
      <c r="DSG32" s="204"/>
      <c r="DSH32" s="204"/>
      <c r="DSI32" s="204"/>
      <c r="DSJ32" s="204"/>
      <c r="DSK32" s="204"/>
      <c r="DSL32" s="204"/>
      <c r="DSM32" s="204"/>
      <c r="DSN32" s="204"/>
      <c r="DSO32" s="204"/>
      <c r="DSP32" s="204"/>
      <c r="DSQ32" s="204"/>
      <c r="DSR32" s="204"/>
      <c r="DSS32" s="204"/>
      <c r="DST32" s="204"/>
      <c r="DSU32" s="204"/>
      <c r="DSV32" s="204"/>
      <c r="DSW32" s="204"/>
      <c r="DSX32" s="204"/>
      <c r="DSY32" s="204"/>
      <c r="DSZ32" s="204"/>
      <c r="DTA32" s="204"/>
      <c r="DTB32" s="204"/>
      <c r="DTC32" s="204"/>
      <c r="DTD32" s="204"/>
      <c r="DTE32" s="204"/>
      <c r="DTF32" s="204"/>
      <c r="DTG32" s="204"/>
      <c r="DTH32" s="204"/>
      <c r="DTI32" s="204"/>
      <c r="DTJ32" s="204"/>
      <c r="DTK32" s="204"/>
      <c r="DTL32" s="204"/>
      <c r="DTM32" s="204"/>
      <c r="DTN32" s="204"/>
      <c r="DTO32" s="204"/>
      <c r="DTP32" s="204"/>
      <c r="DTQ32" s="204"/>
      <c r="DTR32" s="204"/>
      <c r="DTS32" s="204"/>
      <c r="DTT32" s="204"/>
      <c r="DTU32" s="204"/>
      <c r="DTV32" s="204"/>
      <c r="DTW32" s="204"/>
      <c r="DTX32" s="204"/>
      <c r="DTY32" s="204"/>
      <c r="DTZ32" s="204"/>
      <c r="DUA32" s="204"/>
      <c r="DUB32" s="204"/>
      <c r="DUC32" s="204"/>
      <c r="DUD32" s="204"/>
      <c r="DUE32" s="204"/>
      <c r="DUF32" s="204"/>
      <c r="DUG32" s="204"/>
      <c r="DUH32" s="204"/>
      <c r="DUI32" s="204"/>
      <c r="DUJ32" s="204"/>
      <c r="DUK32" s="204"/>
      <c r="DUL32" s="204"/>
      <c r="DUM32" s="204"/>
      <c r="DUN32" s="204"/>
      <c r="DUO32" s="204"/>
      <c r="DUP32" s="204"/>
      <c r="DUQ32" s="204"/>
      <c r="DUR32" s="204"/>
      <c r="DUS32" s="204"/>
      <c r="DUT32" s="204"/>
      <c r="DUU32" s="204"/>
      <c r="DUV32" s="204"/>
      <c r="DUW32" s="204"/>
      <c r="DUX32" s="204"/>
      <c r="DUY32" s="204"/>
      <c r="DUZ32" s="204"/>
      <c r="DVA32" s="204"/>
      <c r="DVB32" s="204"/>
      <c r="DVC32" s="204"/>
      <c r="DVD32" s="204"/>
      <c r="DVE32" s="204"/>
      <c r="DVF32" s="204"/>
      <c r="DVG32" s="204"/>
      <c r="DVH32" s="204"/>
      <c r="DVI32" s="204"/>
      <c r="DVJ32" s="204"/>
      <c r="DVK32" s="204"/>
      <c r="DVL32" s="204"/>
      <c r="DVM32" s="204"/>
      <c r="DVN32" s="204"/>
      <c r="DVO32" s="204"/>
      <c r="DVP32" s="204"/>
      <c r="DVQ32" s="204"/>
      <c r="DVR32" s="204"/>
      <c r="DVS32" s="204"/>
      <c r="DVT32" s="204"/>
      <c r="DVU32" s="204"/>
      <c r="DVV32" s="204"/>
      <c r="DVW32" s="204"/>
      <c r="DVX32" s="204"/>
      <c r="DVY32" s="204"/>
      <c r="DVZ32" s="204"/>
      <c r="DWA32" s="204"/>
      <c r="DWB32" s="204"/>
      <c r="DWC32" s="204"/>
      <c r="DWD32" s="204"/>
      <c r="DWE32" s="204"/>
      <c r="DWF32" s="204"/>
      <c r="DWG32" s="204"/>
      <c r="DWH32" s="204"/>
      <c r="DWI32" s="204"/>
      <c r="DWJ32" s="204"/>
      <c r="DWK32" s="204"/>
      <c r="DWL32" s="204"/>
      <c r="DWM32" s="204"/>
      <c r="DWN32" s="204"/>
      <c r="DWO32" s="204"/>
      <c r="DWP32" s="204"/>
      <c r="DWQ32" s="204"/>
      <c r="DWR32" s="204"/>
      <c r="DWS32" s="204"/>
      <c r="DWT32" s="204"/>
      <c r="DWU32" s="204"/>
      <c r="DWV32" s="204"/>
      <c r="DWW32" s="204"/>
      <c r="DWX32" s="204"/>
      <c r="DWY32" s="204"/>
      <c r="DWZ32" s="204"/>
      <c r="DXA32" s="204"/>
      <c r="DXB32" s="204"/>
      <c r="DXC32" s="204"/>
      <c r="DXD32" s="204"/>
      <c r="DXE32" s="204"/>
      <c r="DXF32" s="204"/>
      <c r="DXG32" s="204"/>
      <c r="DXH32" s="204"/>
      <c r="DXI32" s="204"/>
      <c r="DXJ32" s="204"/>
      <c r="DXK32" s="204"/>
      <c r="DXL32" s="204"/>
      <c r="DXM32" s="204"/>
      <c r="DXN32" s="204"/>
      <c r="DXO32" s="204"/>
      <c r="DXP32" s="204"/>
      <c r="DXQ32" s="204"/>
      <c r="DXR32" s="204"/>
      <c r="DXS32" s="204"/>
      <c r="DXT32" s="204"/>
      <c r="DXU32" s="204"/>
      <c r="DXV32" s="204"/>
      <c r="DXW32" s="204"/>
      <c r="DXX32" s="204"/>
      <c r="DXY32" s="204"/>
      <c r="DXZ32" s="204"/>
      <c r="DYA32" s="204"/>
      <c r="DYB32" s="204"/>
      <c r="DYC32" s="204"/>
      <c r="DYD32" s="204"/>
      <c r="DYE32" s="204"/>
      <c r="DYF32" s="204"/>
      <c r="DYG32" s="204"/>
      <c r="DYH32" s="204"/>
      <c r="DYI32" s="204"/>
      <c r="DYJ32" s="204"/>
      <c r="DYK32" s="204"/>
      <c r="DYL32" s="204"/>
      <c r="DYM32" s="204"/>
      <c r="DYN32" s="204"/>
      <c r="DYO32" s="204"/>
      <c r="DYP32" s="204"/>
      <c r="DYQ32" s="204"/>
      <c r="DYR32" s="204"/>
      <c r="DYS32" s="204"/>
      <c r="DYT32" s="204"/>
      <c r="DYU32" s="204"/>
      <c r="DYV32" s="204"/>
      <c r="DYW32" s="204"/>
      <c r="DYX32" s="204"/>
      <c r="DYY32" s="204"/>
      <c r="DYZ32" s="204"/>
      <c r="DZA32" s="204"/>
      <c r="DZB32" s="204"/>
      <c r="DZC32" s="204"/>
      <c r="DZD32" s="204"/>
      <c r="DZE32" s="204"/>
      <c r="DZF32" s="204"/>
      <c r="DZG32" s="204"/>
      <c r="DZH32" s="204"/>
      <c r="DZI32" s="204"/>
      <c r="DZJ32" s="204"/>
      <c r="DZK32" s="204"/>
      <c r="DZL32" s="204"/>
      <c r="DZM32" s="204"/>
      <c r="DZN32" s="204"/>
      <c r="DZO32" s="204"/>
      <c r="DZP32" s="204"/>
      <c r="DZQ32" s="204"/>
      <c r="DZR32" s="204"/>
      <c r="DZS32" s="204"/>
      <c r="DZT32" s="204"/>
      <c r="DZU32" s="204"/>
      <c r="DZV32" s="204"/>
      <c r="DZW32" s="204"/>
      <c r="DZX32" s="204"/>
      <c r="DZY32" s="204"/>
      <c r="DZZ32" s="204"/>
      <c r="EAA32" s="204"/>
      <c r="EAB32" s="204"/>
      <c r="EAC32" s="204"/>
      <c r="EAD32" s="204"/>
      <c r="EAE32" s="204"/>
      <c r="EAF32" s="204"/>
      <c r="EAG32" s="204"/>
      <c r="EAH32" s="204"/>
      <c r="EAI32" s="204"/>
      <c r="EAJ32" s="204"/>
      <c r="EAK32" s="204"/>
      <c r="EAL32" s="204"/>
      <c r="EAM32" s="204"/>
      <c r="EAN32" s="204"/>
      <c r="EAO32" s="204"/>
      <c r="EAP32" s="204"/>
      <c r="EAQ32" s="204"/>
      <c r="EAR32" s="204"/>
      <c r="EAS32" s="204"/>
      <c r="EAT32" s="204"/>
      <c r="EAU32" s="204"/>
      <c r="EAV32" s="204"/>
      <c r="EAW32" s="204"/>
      <c r="EAX32" s="204"/>
      <c r="EAY32" s="204"/>
      <c r="EAZ32" s="204"/>
      <c r="EBA32" s="204"/>
      <c r="EBB32" s="204"/>
      <c r="EBC32" s="204"/>
      <c r="EBD32" s="204"/>
      <c r="EBE32" s="204"/>
      <c r="EBF32" s="204"/>
      <c r="EBG32" s="204"/>
      <c r="EBH32" s="204"/>
      <c r="EBI32" s="204"/>
      <c r="EBJ32" s="204"/>
      <c r="EBK32" s="204"/>
      <c r="EBL32" s="204"/>
      <c r="EBM32" s="204"/>
      <c r="EBN32" s="204"/>
      <c r="EBO32" s="204"/>
      <c r="EBP32" s="204"/>
      <c r="EBQ32" s="204"/>
      <c r="EBR32" s="204"/>
      <c r="EBS32" s="204"/>
      <c r="EBT32" s="204"/>
      <c r="EBU32" s="204"/>
      <c r="EBV32" s="204"/>
      <c r="EBW32" s="204"/>
      <c r="EBX32" s="204"/>
      <c r="EBY32" s="204"/>
      <c r="EBZ32" s="204"/>
      <c r="ECA32" s="204"/>
      <c r="ECB32" s="204"/>
      <c r="ECC32" s="204"/>
      <c r="ECD32" s="204"/>
      <c r="ECE32" s="204"/>
      <c r="ECF32" s="204"/>
      <c r="ECG32" s="204"/>
      <c r="ECH32" s="204"/>
      <c r="ECI32" s="204"/>
      <c r="ECJ32" s="204"/>
      <c r="ECK32" s="204"/>
      <c r="ECL32" s="204"/>
      <c r="ECM32" s="204"/>
      <c r="ECN32" s="204"/>
      <c r="ECO32" s="204"/>
      <c r="ECP32" s="204"/>
      <c r="ECQ32" s="204"/>
      <c r="ECR32" s="204"/>
      <c r="ECS32" s="204"/>
      <c r="ECT32" s="204"/>
      <c r="ECU32" s="204"/>
      <c r="ECV32" s="204"/>
      <c r="ECW32" s="204"/>
      <c r="ECX32" s="204"/>
      <c r="ECY32" s="204"/>
      <c r="ECZ32" s="204"/>
      <c r="EDA32" s="204"/>
      <c r="EDB32" s="204"/>
      <c r="EDC32" s="204"/>
      <c r="EDD32" s="204"/>
      <c r="EDE32" s="204"/>
      <c r="EDF32" s="204"/>
      <c r="EDG32" s="204"/>
      <c r="EDH32" s="204"/>
      <c r="EDI32" s="204"/>
      <c r="EDJ32" s="204"/>
      <c r="EDK32" s="204"/>
      <c r="EDL32" s="204"/>
      <c r="EDM32" s="204"/>
      <c r="EDN32" s="204"/>
      <c r="EDO32" s="204"/>
      <c r="EDP32" s="204"/>
      <c r="EDQ32" s="204"/>
      <c r="EDR32" s="204"/>
      <c r="EDS32" s="204"/>
      <c r="EDT32" s="204"/>
      <c r="EDU32" s="204"/>
      <c r="EDV32" s="204"/>
      <c r="EDW32" s="204"/>
      <c r="EDX32" s="204"/>
      <c r="EDY32" s="204"/>
      <c r="EDZ32" s="204"/>
      <c r="EEA32" s="204"/>
      <c r="EEB32" s="204"/>
      <c r="EEC32" s="204"/>
      <c r="EED32" s="204"/>
      <c r="EEE32" s="204"/>
      <c r="EEF32" s="204"/>
      <c r="EEG32" s="204"/>
      <c r="EEH32" s="204"/>
      <c r="EEI32" s="204"/>
      <c r="EEJ32" s="204"/>
      <c r="EEK32" s="204"/>
      <c r="EEL32" s="204"/>
      <c r="EEM32" s="204"/>
      <c r="EEN32" s="204"/>
      <c r="EEO32" s="204"/>
      <c r="EEP32" s="204"/>
      <c r="EEQ32" s="204"/>
      <c r="EER32" s="204"/>
      <c r="EES32" s="204"/>
      <c r="EET32" s="204"/>
      <c r="EEU32" s="204"/>
      <c r="EEV32" s="204"/>
      <c r="EEW32" s="204"/>
      <c r="EEX32" s="204"/>
      <c r="EEY32" s="204"/>
      <c r="EEZ32" s="204"/>
      <c r="EFA32" s="204"/>
      <c r="EFB32" s="204"/>
      <c r="EFC32" s="204"/>
      <c r="EFD32" s="204"/>
      <c r="EFE32" s="204"/>
      <c r="EFF32" s="204"/>
      <c r="EFG32" s="204"/>
      <c r="EFH32" s="204"/>
      <c r="EFI32" s="204"/>
      <c r="EFJ32" s="204"/>
      <c r="EFK32" s="204"/>
      <c r="EFL32" s="204"/>
      <c r="EFM32" s="204"/>
      <c r="EFN32" s="204"/>
      <c r="EFO32" s="204"/>
      <c r="EFP32" s="204"/>
      <c r="EFQ32" s="204"/>
      <c r="EFR32" s="204"/>
      <c r="EFS32" s="204"/>
      <c r="EFT32" s="204"/>
      <c r="EFU32" s="204"/>
      <c r="EFV32" s="204"/>
      <c r="EFW32" s="204"/>
      <c r="EFX32" s="204"/>
      <c r="EFY32" s="204"/>
      <c r="EFZ32" s="204"/>
      <c r="EGA32" s="204"/>
      <c r="EGB32" s="204"/>
      <c r="EGC32" s="204"/>
      <c r="EGD32" s="204"/>
      <c r="EGE32" s="204"/>
      <c r="EGF32" s="204"/>
      <c r="EGG32" s="204"/>
      <c r="EGH32" s="204"/>
      <c r="EGI32" s="204"/>
      <c r="EGJ32" s="204"/>
      <c r="EGK32" s="204"/>
      <c r="EGL32" s="204"/>
      <c r="EGM32" s="204"/>
      <c r="EGN32" s="204"/>
      <c r="EGO32" s="204"/>
      <c r="EGP32" s="204"/>
      <c r="EGQ32" s="204"/>
      <c r="EGR32" s="204"/>
      <c r="EGS32" s="204"/>
      <c r="EGT32" s="204"/>
      <c r="EGU32" s="204"/>
      <c r="EGV32" s="204"/>
      <c r="EGW32" s="204"/>
      <c r="EGX32" s="204"/>
      <c r="EGY32" s="204"/>
      <c r="EGZ32" s="204"/>
      <c r="EHA32" s="204"/>
      <c r="EHB32" s="204"/>
      <c r="EHC32" s="204"/>
      <c r="EHD32" s="204"/>
      <c r="EHE32" s="204"/>
      <c r="EHF32" s="204"/>
      <c r="EHG32" s="204"/>
      <c r="EHH32" s="204"/>
      <c r="EHI32" s="204"/>
      <c r="EHJ32" s="204"/>
      <c r="EHK32" s="204"/>
      <c r="EHL32" s="204"/>
      <c r="EHM32" s="204"/>
      <c r="EHN32" s="204"/>
      <c r="EHO32" s="204"/>
      <c r="EHP32" s="204"/>
      <c r="EHQ32" s="204"/>
      <c r="EHR32" s="204"/>
      <c r="EHS32" s="204"/>
      <c r="EHT32" s="204"/>
      <c r="EHU32" s="204"/>
      <c r="EHV32" s="204"/>
      <c r="EHW32" s="204"/>
      <c r="EHX32" s="204"/>
      <c r="EHY32" s="204"/>
      <c r="EHZ32" s="204"/>
      <c r="EIA32" s="204"/>
      <c r="EIB32" s="204"/>
      <c r="EIC32" s="204"/>
      <c r="EID32" s="204"/>
      <c r="EIE32" s="204"/>
      <c r="EIF32" s="204"/>
      <c r="EIG32" s="204"/>
      <c r="EIH32" s="204"/>
      <c r="EII32" s="204"/>
      <c r="EIJ32" s="204"/>
      <c r="EIK32" s="204"/>
      <c r="EIL32" s="204"/>
      <c r="EIM32" s="204"/>
      <c r="EIN32" s="204"/>
      <c r="EIO32" s="204"/>
      <c r="EIP32" s="204"/>
      <c r="EIQ32" s="204"/>
      <c r="EIR32" s="204"/>
      <c r="EIS32" s="204"/>
      <c r="EIT32" s="204"/>
      <c r="EIU32" s="204"/>
      <c r="EIV32" s="204"/>
      <c r="EIW32" s="204"/>
      <c r="EIX32" s="204"/>
      <c r="EIY32" s="204"/>
      <c r="EIZ32" s="204"/>
      <c r="EJA32" s="204"/>
      <c r="EJB32" s="204"/>
      <c r="EJC32" s="204"/>
      <c r="EJD32" s="204"/>
      <c r="EJE32" s="204"/>
      <c r="EJF32" s="204"/>
      <c r="EJG32" s="204"/>
      <c r="EJH32" s="204"/>
      <c r="EJI32" s="204"/>
      <c r="EJJ32" s="204"/>
      <c r="EJK32" s="204"/>
      <c r="EJL32" s="204"/>
      <c r="EJM32" s="204"/>
      <c r="EJN32" s="204"/>
      <c r="EJO32" s="204"/>
      <c r="EJP32" s="204"/>
      <c r="EJQ32" s="204"/>
      <c r="EJR32" s="204"/>
      <c r="EJS32" s="204"/>
      <c r="EJT32" s="204"/>
      <c r="EJU32" s="204"/>
      <c r="EJV32" s="204"/>
      <c r="EJW32" s="204"/>
      <c r="EJX32" s="204"/>
      <c r="EJY32" s="204"/>
      <c r="EJZ32" s="204"/>
      <c r="EKA32" s="204"/>
      <c r="EKB32" s="204"/>
      <c r="EKC32" s="204"/>
      <c r="EKD32" s="204"/>
      <c r="EKE32" s="204"/>
      <c r="EKF32" s="204"/>
      <c r="EKG32" s="204"/>
      <c r="EKH32" s="204"/>
      <c r="EKI32" s="204"/>
      <c r="EKJ32" s="204"/>
      <c r="EKK32" s="204"/>
      <c r="EKL32" s="204"/>
      <c r="EKM32" s="204"/>
      <c r="EKN32" s="204"/>
      <c r="EKO32" s="204"/>
      <c r="EKP32" s="204"/>
      <c r="EKQ32" s="204"/>
      <c r="EKR32" s="204"/>
      <c r="EKS32" s="204"/>
      <c r="EKT32" s="204"/>
      <c r="EKU32" s="204"/>
      <c r="EKV32" s="204"/>
      <c r="EKW32" s="204"/>
      <c r="EKX32" s="204"/>
      <c r="EKY32" s="204"/>
      <c r="EKZ32" s="204"/>
      <c r="ELA32" s="204"/>
      <c r="ELB32" s="204"/>
      <c r="ELC32" s="204"/>
      <c r="ELD32" s="204"/>
      <c r="ELE32" s="204"/>
      <c r="ELF32" s="204"/>
      <c r="ELG32" s="204"/>
      <c r="ELH32" s="204"/>
      <c r="ELI32" s="204"/>
      <c r="ELJ32" s="204"/>
      <c r="ELK32" s="204"/>
      <c r="ELL32" s="204"/>
      <c r="ELM32" s="204"/>
      <c r="ELN32" s="204"/>
      <c r="ELO32" s="204"/>
      <c r="ELP32" s="204"/>
      <c r="ELQ32" s="204"/>
      <c r="ELR32" s="204"/>
      <c r="ELS32" s="204"/>
      <c r="ELT32" s="204"/>
      <c r="ELU32" s="204"/>
      <c r="ELV32" s="204"/>
      <c r="ELW32" s="204"/>
      <c r="ELX32" s="204"/>
      <c r="ELY32" s="204"/>
      <c r="ELZ32" s="204"/>
      <c r="EMA32" s="204"/>
      <c r="EMB32" s="204"/>
      <c r="EMC32" s="204"/>
      <c r="EMD32" s="204"/>
      <c r="EME32" s="204"/>
      <c r="EMF32" s="204"/>
      <c r="EMG32" s="204"/>
      <c r="EMH32" s="204"/>
      <c r="EMI32" s="204"/>
      <c r="EMJ32" s="204"/>
      <c r="EMK32" s="204"/>
      <c r="EML32" s="204"/>
      <c r="EMM32" s="204"/>
      <c r="EMN32" s="204"/>
      <c r="EMO32" s="204"/>
      <c r="EMP32" s="204"/>
      <c r="EMQ32" s="204"/>
      <c r="EMR32" s="204"/>
      <c r="EMS32" s="204"/>
      <c r="EMT32" s="204"/>
      <c r="EMU32" s="204"/>
      <c r="EMV32" s="204"/>
      <c r="EMW32" s="204"/>
      <c r="EMX32" s="204"/>
      <c r="EMY32" s="204"/>
      <c r="EMZ32" s="204"/>
      <c r="ENA32" s="204"/>
      <c r="ENB32" s="204"/>
      <c r="ENC32" s="204"/>
      <c r="END32" s="204"/>
      <c r="ENE32" s="204"/>
      <c r="ENF32" s="204"/>
      <c r="ENG32" s="204"/>
      <c r="ENH32" s="204"/>
      <c r="ENI32" s="204"/>
      <c r="ENJ32" s="204"/>
      <c r="ENK32" s="204"/>
      <c r="ENL32" s="204"/>
      <c r="ENM32" s="204"/>
      <c r="ENN32" s="204"/>
      <c r="ENO32" s="204"/>
      <c r="ENP32" s="204"/>
      <c r="ENQ32" s="204"/>
      <c r="ENR32" s="204"/>
      <c r="ENS32" s="204"/>
      <c r="ENT32" s="204"/>
      <c r="ENU32" s="204"/>
      <c r="ENV32" s="204"/>
      <c r="ENW32" s="204"/>
      <c r="ENX32" s="204"/>
      <c r="ENY32" s="204"/>
      <c r="ENZ32" s="204"/>
      <c r="EOA32" s="204"/>
      <c r="EOB32" s="204"/>
      <c r="EOC32" s="204"/>
      <c r="EOD32" s="204"/>
      <c r="EOE32" s="204"/>
      <c r="EOF32" s="204"/>
      <c r="EOG32" s="204"/>
      <c r="EOH32" s="204"/>
      <c r="EOI32" s="204"/>
      <c r="EOJ32" s="204"/>
      <c r="EOK32" s="204"/>
      <c r="EOL32" s="204"/>
      <c r="EOM32" s="204"/>
      <c r="EON32" s="204"/>
      <c r="EOO32" s="204"/>
      <c r="EOP32" s="204"/>
      <c r="EOQ32" s="204"/>
      <c r="EOR32" s="204"/>
      <c r="EOS32" s="204"/>
      <c r="EOT32" s="204"/>
      <c r="EOU32" s="204"/>
      <c r="EOV32" s="204"/>
      <c r="EOW32" s="204"/>
      <c r="EOX32" s="204"/>
      <c r="EOY32" s="204"/>
      <c r="EOZ32" s="204"/>
      <c r="EPA32" s="204"/>
      <c r="EPB32" s="204"/>
      <c r="EPC32" s="204"/>
      <c r="EPD32" s="204"/>
      <c r="EPE32" s="204"/>
      <c r="EPF32" s="204"/>
      <c r="EPG32" s="204"/>
      <c r="EPH32" s="204"/>
      <c r="EPI32" s="204"/>
      <c r="EPJ32" s="204"/>
      <c r="EPK32" s="204"/>
      <c r="EPL32" s="204"/>
      <c r="EPM32" s="204"/>
      <c r="EPN32" s="204"/>
      <c r="EPO32" s="204"/>
      <c r="EPP32" s="204"/>
      <c r="EPQ32" s="204"/>
      <c r="EPR32" s="204"/>
      <c r="EPS32" s="204"/>
      <c r="EPT32" s="204"/>
      <c r="EPU32" s="204"/>
      <c r="EPV32" s="204"/>
      <c r="EPW32" s="204"/>
      <c r="EPX32" s="204"/>
      <c r="EPY32" s="204"/>
      <c r="EPZ32" s="204"/>
      <c r="EQA32" s="204"/>
      <c r="EQB32" s="204"/>
      <c r="EQC32" s="204"/>
      <c r="EQD32" s="204"/>
      <c r="EQE32" s="204"/>
      <c r="EQF32" s="204"/>
      <c r="EQG32" s="204"/>
      <c r="EQH32" s="204"/>
      <c r="EQI32" s="204"/>
      <c r="EQJ32" s="204"/>
      <c r="EQK32" s="204"/>
      <c r="EQL32" s="204"/>
      <c r="EQM32" s="204"/>
      <c r="EQN32" s="204"/>
      <c r="EQO32" s="204"/>
      <c r="EQP32" s="204"/>
      <c r="EQQ32" s="204"/>
      <c r="EQR32" s="204"/>
      <c r="EQS32" s="204"/>
      <c r="EQT32" s="204"/>
      <c r="EQU32" s="204"/>
      <c r="EQV32" s="204"/>
      <c r="EQW32" s="204"/>
      <c r="EQX32" s="204"/>
      <c r="EQY32" s="204"/>
      <c r="EQZ32" s="204"/>
      <c r="ERA32" s="204"/>
      <c r="ERB32" s="204"/>
      <c r="ERC32" s="204"/>
      <c r="ERD32" s="204"/>
      <c r="ERE32" s="204"/>
      <c r="ERF32" s="204"/>
      <c r="ERG32" s="204"/>
      <c r="ERH32" s="204"/>
      <c r="ERI32" s="204"/>
      <c r="ERJ32" s="204"/>
      <c r="ERK32" s="204"/>
      <c r="ERL32" s="204"/>
      <c r="ERM32" s="204"/>
      <c r="ERN32" s="204"/>
      <c r="ERO32" s="204"/>
      <c r="ERP32" s="204"/>
      <c r="ERQ32" s="204"/>
      <c r="ERR32" s="204"/>
      <c r="ERS32" s="204"/>
      <c r="ERT32" s="204"/>
      <c r="ERU32" s="204"/>
      <c r="ERV32" s="204"/>
      <c r="ERW32" s="204"/>
      <c r="ERX32" s="204"/>
      <c r="ERY32" s="204"/>
      <c r="ERZ32" s="204"/>
      <c r="ESA32" s="204"/>
      <c r="ESB32" s="204"/>
      <c r="ESC32" s="204"/>
      <c r="ESD32" s="204"/>
      <c r="ESE32" s="204"/>
      <c r="ESF32" s="204"/>
      <c r="ESG32" s="204"/>
      <c r="ESH32" s="204"/>
      <c r="ESI32" s="204"/>
      <c r="ESJ32" s="204"/>
      <c r="ESK32" s="204"/>
      <c r="ESL32" s="204"/>
      <c r="ESM32" s="204"/>
      <c r="ESN32" s="204"/>
      <c r="ESO32" s="204"/>
      <c r="ESP32" s="204"/>
      <c r="ESQ32" s="204"/>
      <c r="ESR32" s="204"/>
      <c r="ESS32" s="204"/>
      <c r="EST32" s="204"/>
      <c r="ESU32" s="204"/>
      <c r="ESV32" s="204"/>
      <c r="ESW32" s="204"/>
      <c r="ESX32" s="204"/>
      <c r="ESY32" s="204"/>
      <c r="ESZ32" s="204"/>
      <c r="ETA32" s="204"/>
      <c r="ETB32" s="204"/>
      <c r="ETC32" s="204"/>
      <c r="ETD32" s="204"/>
      <c r="ETE32" s="204"/>
      <c r="ETF32" s="204"/>
      <c r="ETG32" s="204"/>
      <c r="ETH32" s="204"/>
      <c r="ETI32" s="204"/>
      <c r="ETJ32" s="204"/>
      <c r="ETK32" s="204"/>
      <c r="ETL32" s="204"/>
      <c r="ETM32" s="204"/>
      <c r="ETN32" s="204"/>
      <c r="ETO32" s="204"/>
      <c r="ETP32" s="204"/>
      <c r="ETQ32" s="204"/>
      <c r="ETR32" s="204"/>
      <c r="ETS32" s="204"/>
      <c r="ETT32" s="204"/>
      <c r="ETU32" s="204"/>
      <c r="ETV32" s="204"/>
      <c r="ETW32" s="204"/>
      <c r="ETX32" s="204"/>
      <c r="ETY32" s="204"/>
      <c r="ETZ32" s="204"/>
      <c r="EUA32" s="204"/>
      <c r="EUB32" s="204"/>
      <c r="EUC32" s="204"/>
      <c r="EUD32" s="204"/>
      <c r="EUE32" s="204"/>
      <c r="EUF32" s="204"/>
      <c r="EUG32" s="204"/>
      <c r="EUH32" s="204"/>
      <c r="EUI32" s="204"/>
      <c r="EUJ32" s="204"/>
      <c r="EUK32" s="204"/>
      <c r="EUL32" s="204"/>
      <c r="EUM32" s="204"/>
      <c r="EUN32" s="204"/>
      <c r="EUO32" s="204"/>
      <c r="EUP32" s="204"/>
      <c r="EUQ32" s="204"/>
      <c r="EUR32" s="204"/>
      <c r="EUS32" s="204"/>
      <c r="EUT32" s="204"/>
      <c r="EUU32" s="204"/>
      <c r="EUV32" s="204"/>
      <c r="EUW32" s="204"/>
      <c r="EUX32" s="204"/>
      <c r="EUY32" s="204"/>
      <c r="EUZ32" s="204"/>
      <c r="EVA32" s="204"/>
      <c r="EVB32" s="204"/>
      <c r="EVC32" s="204"/>
      <c r="EVD32" s="204"/>
      <c r="EVE32" s="204"/>
      <c r="EVF32" s="204"/>
      <c r="EVG32" s="204"/>
      <c r="EVH32" s="204"/>
      <c r="EVI32" s="204"/>
      <c r="EVJ32" s="204"/>
      <c r="EVK32" s="204"/>
      <c r="EVL32" s="204"/>
      <c r="EVM32" s="204"/>
      <c r="EVN32" s="204"/>
      <c r="EVO32" s="204"/>
      <c r="EVP32" s="204"/>
      <c r="EVQ32" s="204"/>
      <c r="EVR32" s="204"/>
      <c r="EVS32" s="204"/>
      <c r="EVT32" s="204"/>
      <c r="EVU32" s="204"/>
      <c r="EVV32" s="204"/>
      <c r="EVW32" s="204"/>
      <c r="EVX32" s="204"/>
      <c r="EVY32" s="204"/>
      <c r="EVZ32" s="204"/>
      <c r="EWA32" s="204"/>
      <c r="EWB32" s="204"/>
      <c r="EWC32" s="204"/>
      <c r="EWD32" s="204"/>
      <c r="EWE32" s="204"/>
      <c r="EWF32" s="204"/>
      <c r="EWG32" s="204"/>
      <c r="EWH32" s="204"/>
      <c r="EWI32" s="204"/>
      <c r="EWJ32" s="204"/>
      <c r="EWK32" s="204"/>
      <c r="EWL32" s="204"/>
      <c r="EWM32" s="204"/>
      <c r="EWN32" s="204"/>
      <c r="EWO32" s="204"/>
      <c r="EWP32" s="204"/>
      <c r="EWQ32" s="204"/>
      <c r="EWR32" s="204"/>
      <c r="EWS32" s="204"/>
      <c r="EWT32" s="204"/>
      <c r="EWU32" s="204"/>
      <c r="EWV32" s="204"/>
      <c r="EWW32" s="204"/>
      <c r="EWX32" s="204"/>
      <c r="EWY32" s="204"/>
      <c r="EWZ32" s="204"/>
      <c r="EXA32" s="204"/>
      <c r="EXB32" s="204"/>
      <c r="EXC32" s="204"/>
      <c r="EXD32" s="204"/>
      <c r="EXE32" s="204"/>
      <c r="EXF32" s="204"/>
      <c r="EXG32" s="204"/>
      <c r="EXH32" s="204"/>
      <c r="EXI32" s="204"/>
      <c r="EXJ32" s="204"/>
      <c r="EXK32" s="204"/>
      <c r="EXL32" s="204"/>
      <c r="EXM32" s="204"/>
      <c r="EXN32" s="204"/>
      <c r="EXO32" s="204"/>
      <c r="EXP32" s="204"/>
      <c r="EXQ32" s="204"/>
      <c r="EXR32" s="204"/>
      <c r="EXS32" s="204"/>
      <c r="EXT32" s="204"/>
      <c r="EXU32" s="204"/>
      <c r="EXV32" s="204"/>
      <c r="EXW32" s="204"/>
      <c r="EXX32" s="204"/>
      <c r="EXY32" s="204"/>
      <c r="EXZ32" s="204"/>
      <c r="EYA32" s="204"/>
      <c r="EYB32" s="204"/>
      <c r="EYC32" s="204"/>
      <c r="EYD32" s="204"/>
      <c r="EYE32" s="204"/>
      <c r="EYF32" s="204"/>
      <c r="EYG32" s="204"/>
      <c r="EYH32" s="204"/>
      <c r="EYI32" s="204"/>
      <c r="EYJ32" s="204"/>
      <c r="EYK32" s="204"/>
      <c r="EYL32" s="204"/>
      <c r="EYM32" s="204"/>
      <c r="EYN32" s="204"/>
      <c r="EYO32" s="204"/>
      <c r="EYP32" s="204"/>
      <c r="EYQ32" s="204"/>
      <c r="EYR32" s="204"/>
      <c r="EYS32" s="204"/>
      <c r="EYT32" s="204"/>
      <c r="EYU32" s="204"/>
      <c r="EYV32" s="204"/>
      <c r="EYW32" s="204"/>
      <c r="EYX32" s="204"/>
      <c r="EYY32" s="204"/>
      <c r="EYZ32" s="204"/>
      <c r="EZA32" s="204"/>
      <c r="EZB32" s="204"/>
      <c r="EZC32" s="204"/>
      <c r="EZD32" s="204"/>
      <c r="EZE32" s="204"/>
      <c r="EZF32" s="204"/>
      <c r="EZG32" s="204"/>
      <c r="EZH32" s="204"/>
      <c r="EZI32" s="204"/>
      <c r="EZJ32" s="204"/>
      <c r="EZK32" s="204"/>
      <c r="EZL32" s="204"/>
      <c r="EZM32" s="204"/>
      <c r="EZN32" s="204"/>
      <c r="EZO32" s="204"/>
      <c r="EZP32" s="204"/>
      <c r="EZQ32" s="204"/>
      <c r="EZR32" s="204"/>
      <c r="EZS32" s="204"/>
      <c r="EZT32" s="204"/>
      <c r="EZU32" s="204"/>
      <c r="EZV32" s="204"/>
      <c r="EZW32" s="204"/>
      <c r="EZX32" s="204"/>
      <c r="EZY32" s="204"/>
      <c r="EZZ32" s="204"/>
      <c r="FAA32" s="204"/>
      <c r="FAB32" s="204"/>
      <c r="FAC32" s="204"/>
      <c r="FAD32" s="204"/>
      <c r="FAE32" s="204"/>
      <c r="FAF32" s="204"/>
      <c r="FAG32" s="204"/>
      <c r="FAH32" s="204"/>
      <c r="FAI32" s="204"/>
      <c r="FAJ32" s="204"/>
      <c r="FAK32" s="204"/>
      <c r="FAL32" s="204"/>
      <c r="FAM32" s="204"/>
      <c r="FAN32" s="204"/>
      <c r="FAO32" s="204"/>
      <c r="FAP32" s="204"/>
      <c r="FAQ32" s="204"/>
      <c r="FAR32" s="204"/>
      <c r="FAS32" s="204"/>
      <c r="FAT32" s="204"/>
      <c r="FAU32" s="204"/>
      <c r="FAV32" s="204"/>
      <c r="FAW32" s="204"/>
      <c r="FAX32" s="204"/>
      <c r="FAY32" s="204"/>
      <c r="FAZ32" s="204"/>
      <c r="FBA32" s="204"/>
      <c r="FBB32" s="204"/>
      <c r="FBC32" s="204"/>
      <c r="FBD32" s="204"/>
      <c r="FBE32" s="204"/>
      <c r="FBF32" s="204"/>
      <c r="FBG32" s="204"/>
      <c r="FBH32" s="204"/>
      <c r="FBI32" s="204"/>
      <c r="FBJ32" s="204"/>
      <c r="FBK32" s="204"/>
      <c r="FBL32" s="204"/>
      <c r="FBM32" s="204"/>
      <c r="FBN32" s="204"/>
      <c r="FBO32" s="204"/>
      <c r="FBP32" s="204"/>
      <c r="FBQ32" s="204"/>
      <c r="FBR32" s="204"/>
      <c r="FBS32" s="204"/>
      <c r="FBT32" s="204"/>
      <c r="FBU32" s="204"/>
      <c r="FBV32" s="204"/>
      <c r="FBW32" s="204"/>
      <c r="FBX32" s="204"/>
      <c r="FBY32" s="204"/>
      <c r="FBZ32" s="204"/>
      <c r="FCA32" s="204"/>
      <c r="FCB32" s="204"/>
      <c r="FCC32" s="204"/>
      <c r="FCD32" s="204"/>
      <c r="FCE32" s="204"/>
      <c r="FCF32" s="204"/>
      <c r="FCG32" s="204"/>
      <c r="FCH32" s="204"/>
      <c r="FCI32" s="204"/>
      <c r="FCJ32" s="204"/>
      <c r="FCK32" s="204"/>
      <c r="FCL32" s="204"/>
      <c r="FCM32" s="204"/>
      <c r="FCN32" s="204"/>
      <c r="FCO32" s="204"/>
      <c r="FCP32" s="204"/>
      <c r="FCQ32" s="204"/>
      <c r="FCR32" s="204"/>
      <c r="FCS32" s="204"/>
      <c r="FCT32" s="204"/>
      <c r="FCU32" s="204"/>
      <c r="FCV32" s="204"/>
      <c r="FCW32" s="204"/>
      <c r="FCX32" s="204"/>
      <c r="FCY32" s="204"/>
      <c r="FCZ32" s="204"/>
      <c r="FDA32" s="204"/>
      <c r="FDB32" s="204"/>
      <c r="FDC32" s="204"/>
      <c r="FDD32" s="204"/>
      <c r="FDE32" s="204"/>
      <c r="FDF32" s="204"/>
      <c r="FDG32" s="204"/>
      <c r="FDH32" s="204"/>
      <c r="FDI32" s="204"/>
      <c r="FDJ32" s="204"/>
      <c r="FDK32" s="204"/>
      <c r="FDL32" s="204"/>
      <c r="FDM32" s="204"/>
      <c r="FDN32" s="204"/>
      <c r="FDO32" s="204"/>
      <c r="FDP32" s="204"/>
      <c r="FDQ32" s="204"/>
      <c r="FDR32" s="204"/>
      <c r="FDS32" s="204"/>
      <c r="FDT32" s="204"/>
      <c r="FDU32" s="204"/>
      <c r="FDV32" s="204"/>
      <c r="FDW32" s="204"/>
      <c r="FDX32" s="204"/>
      <c r="FDY32" s="204"/>
      <c r="FDZ32" s="204"/>
      <c r="FEA32" s="204"/>
      <c r="FEB32" s="204"/>
      <c r="FEC32" s="204"/>
      <c r="FED32" s="204"/>
      <c r="FEE32" s="204"/>
      <c r="FEF32" s="204"/>
      <c r="FEG32" s="204"/>
      <c r="FEH32" s="204"/>
      <c r="FEI32" s="204"/>
      <c r="FEJ32" s="204"/>
      <c r="FEK32" s="204"/>
      <c r="FEL32" s="204"/>
      <c r="FEM32" s="204"/>
      <c r="FEN32" s="204"/>
      <c r="FEO32" s="204"/>
      <c r="FEP32" s="204"/>
      <c r="FEQ32" s="204"/>
      <c r="FER32" s="204"/>
      <c r="FES32" s="204"/>
      <c r="FET32" s="204"/>
      <c r="FEU32" s="204"/>
      <c r="FEV32" s="204"/>
      <c r="FEW32" s="204"/>
      <c r="FEX32" s="204"/>
      <c r="FEY32" s="204"/>
      <c r="FEZ32" s="204"/>
      <c r="FFA32" s="204"/>
      <c r="FFB32" s="204"/>
      <c r="FFC32" s="204"/>
      <c r="FFD32" s="204"/>
      <c r="FFE32" s="204"/>
      <c r="FFF32" s="204"/>
      <c r="FFG32" s="204"/>
      <c r="FFH32" s="204"/>
      <c r="FFI32" s="204"/>
      <c r="FFJ32" s="204"/>
      <c r="FFK32" s="204"/>
      <c r="FFL32" s="204"/>
      <c r="FFM32" s="204"/>
      <c r="FFN32" s="204"/>
      <c r="FFO32" s="204"/>
      <c r="FFP32" s="204"/>
      <c r="FFQ32" s="204"/>
      <c r="FFR32" s="204"/>
      <c r="FFS32" s="204"/>
      <c r="FFT32" s="204"/>
      <c r="FFU32" s="204"/>
      <c r="FFV32" s="204"/>
      <c r="FFW32" s="204"/>
      <c r="FFX32" s="204"/>
      <c r="FFY32" s="204"/>
      <c r="FFZ32" s="204"/>
      <c r="FGA32" s="204"/>
      <c r="FGB32" s="204"/>
      <c r="FGC32" s="204"/>
      <c r="FGD32" s="204"/>
      <c r="FGE32" s="204"/>
      <c r="FGF32" s="204"/>
      <c r="FGG32" s="204"/>
      <c r="FGH32" s="204"/>
      <c r="FGI32" s="204"/>
      <c r="FGJ32" s="204"/>
      <c r="FGK32" s="204"/>
      <c r="FGL32" s="204"/>
      <c r="FGM32" s="204"/>
      <c r="FGN32" s="204"/>
      <c r="FGO32" s="204"/>
      <c r="FGP32" s="204"/>
      <c r="FGQ32" s="204"/>
      <c r="FGR32" s="204"/>
      <c r="FGS32" s="204"/>
      <c r="FGT32" s="204"/>
      <c r="FGU32" s="204"/>
      <c r="FGV32" s="204"/>
      <c r="FGW32" s="204"/>
      <c r="FGX32" s="204"/>
      <c r="FGY32" s="204"/>
      <c r="FGZ32" s="204"/>
      <c r="FHA32" s="204"/>
      <c r="FHB32" s="204"/>
      <c r="FHC32" s="204"/>
      <c r="FHD32" s="204"/>
      <c r="FHE32" s="204"/>
      <c r="FHF32" s="204"/>
      <c r="FHG32" s="204"/>
      <c r="FHH32" s="204"/>
      <c r="FHI32" s="204"/>
      <c r="FHJ32" s="204"/>
      <c r="FHK32" s="204"/>
      <c r="FHL32" s="204"/>
      <c r="FHM32" s="204"/>
      <c r="FHN32" s="204"/>
      <c r="FHO32" s="204"/>
      <c r="FHP32" s="204"/>
      <c r="FHQ32" s="204"/>
      <c r="FHR32" s="204"/>
      <c r="FHS32" s="204"/>
      <c r="FHT32" s="204"/>
      <c r="FHU32" s="204"/>
      <c r="FHV32" s="204"/>
      <c r="FHW32" s="204"/>
      <c r="FHX32" s="204"/>
      <c r="FHY32" s="204"/>
      <c r="FHZ32" s="204"/>
      <c r="FIA32" s="204"/>
      <c r="FIB32" s="204"/>
      <c r="FIC32" s="204"/>
      <c r="FID32" s="204"/>
      <c r="FIE32" s="204"/>
      <c r="FIF32" s="204"/>
      <c r="FIG32" s="204"/>
      <c r="FIH32" s="204"/>
      <c r="FII32" s="204"/>
      <c r="FIJ32" s="204"/>
      <c r="FIK32" s="204"/>
      <c r="FIL32" s="204"/>
      <c r="FIM32" s="204"/>
      <c r="FIN32" s="204"/>
      <c r="FIO32" s="204"/>
      <c r="FIP32" s="204"/>
      <c r="FIQ32" s="204"/>
      <c r="FIR32" s="204"/>
      <c r="FIS32" s="204"/>
      <c r="FIT32" s="204"/>
      <c r="FIU32" s="204"/>
      <c r="FIV32" s="204"/>
      <c r="FIW32" s="204"/>
      <c r="FIX32" s="204"/>
      <c r="FIY32" s="204"/>
      <c r="FIZ32" s="204"/>
      <c r="FJA32" s="204"/>
      <c r="FJB32" s="204"/>
      <c r="FJC32" s="204"/>
      <c r="FJD32" s="204"/>
      <c r="FJE32" s="204"/>
      <c r="FJF32" s="204"/>
      <c r="FJG32" s="204"/>
      <c r="FJH32" s="204"/>
      <c r="FJI32" s="204"/>
      <c r="FJJ32" s="204"/>
      <c r="FJK32" s="204"/>
      <c r="FJL32" s="204"/>
      <c r="FJM32" s="204"/>
      <c r="FJN32" s="204"/>
      <c r="FJO32" s="204"/>
      <c r="FJP32" s="204"/>
      <c r="FJQ32" s="204"/>
      <c r="FJR32" s="204"/>
      <c r="FJS32" s="204"/>
      <c r="FJT32" s="204"/>
      <c r="FJU32" s="204"/>
      <c r="FJV32" s="204"/>
      <c r="FJW32" s="204"/>
      <c r="FJX32" s="204"/>
      <c r="FJY32" s="204"/>
      <c r="FJZ32" s="204"/>
      <c r="FKA32" s="204"/>
      <c r="FKB32" s="204"/>
      <c r="FKC32" s="204"/>
      <c r="FKD32" s="204"/>
      <c r="FKE32" s="204"/>
      <c r="FKF32" s="204"/>
      <c r="FKG32" s="204"/>
      <c r="FKH32" s="204"/>
      <c r="FKI32" s="204"/>
      <c r="FKJ32" s="204"/>
      <c r="FKK32" s="204"/>
      <c r="FKL32" s="204"/>
      <c r="FKM32" s="204"/>
      <c r="FKN32" s="204"/>
      <c r="FKO32" s="204"/>
      <c r="FKP32" s="204"/>
      <c r="FKQ32" s="204"/>
      <c r="FKR32" s="204"/>
      <c r="FKS32" s="204"/>
      <c r="FKT32" s="204"/>
      <c r="FKU32" s="204"/>
      <c r="FKV32" s="204"/>
      <c r="FKW32" s="204"/>
      <c r="FKX32" s="204"/>
      <c r="FKY32" s="204"/>
      <c r="FKZ32" s="204"/>
      <c r="FLA32" s="204"/>
      <c r="FLB32" s="204"/>
      <c r="FLC32" s="204"/>
      <c r="FLD32" s="204"/>
      <c r="FLE32" s="204"/>
      <c r="FLF32" s="204"/>
      <c r="FLG32" s="204"/>
      <c r="FLH32" s="204"/>
      <c r="FLI32" s="204"/>
      <c r="FLJ32" s="204"/>
      <c r="FLK32" s="204"/>
      <c r="FLL32" s="204"/>
      <c r="FLM32" s="204"/>
      <c r="FLN32" s="204"/>
      <c r="FLO32" s="204"/>
      <c r="FLP32" s="204"/>
      <c r="FLQ32" s="204"/>
      <c r="FLR32" s="204"/>
      <c r="FLS32" s="204"/>
      <c r="FLT32" s="204"/>
      <c r="FLU32" s="204"/>
      <c r="FLV32" s="204"/>
      <c r="FLW32" s="204"/>
      <c r="FLX32" s="204"/>
      <c r="FLY32" s="204"/>
      <c r="FLZ32" s="204"/>
      <c r="FMA32" s="204"/>
      <c r="FMB32" s="204"/>
      <c r="FMC32" s="204"/>
      <c r="FMD32" s="204"/>
      <c r="FME32" s="204"/>
      <c r="FMF32" s="204"/>
      <c r="FMG32" s="204"/>
      <c r="FMH32" s="204"/>
      <c r="FMI32" s="204"/>
      <c r="FMJ32" s="204"/>
      <c r="FMK32" s="204"/>
      <c r="FML32" s="204"/>
      <c r="FMM32" s="204"/>
      <c r="FMN32" s="204"/>
      <c r="FMO32" s="204"/>
      <c r="FMP32" s="204"/>
      <c r="FMQ32" s="204"/>
      <c r="FMR32" s="204"/>
      <c r="FMS32" s="204"/>
      <c r="FMT32" s="204"/>
      <c r="FMU32" s="204"/>
      <c r="FMV32" s="204"/>
      <c r="FMW32" s="204"/>
      <c r="FMX32" s="204"/>
      <c r="FMY32" s="204"/>
      <c r="FMZ32" s="204"/>
      <c r="FNA32" s="204"/>
      <c r="FNB32" s="204"/>
      <c r="FNC32" s="204"/>
      <c r="FND32" s="204"/>
      <c r="FNE32" s="204"/>
      <c r="FNF32" s="204"/>
      <c r="FNG32" s="204"/>
      <c r="FNH32" s="204"/>
      <c r="FNI32" s="204"/>
      <c r="FNJ32" s="204"/>
      <c r="FNK32" s="204"/>
      <c r="FNL32" s="204"/>
      <c r="FNM32" s="204"/>
      <c r="FNN32" s="204"/>
      <c r="FNO32" s="204"/>
      <c r="FNP32" s="204"/>
      <c r="FNQ32" s="204"/>
      <c r="FNR32" s="204"/>
      <c r="FNS32" s="204"/>
      <c r="FNT32" s="204"/>
      <c r="FNU32" s="204"/>
      <c r="FNV32" s="204"/>
      <c r="FNW32" s="204"/>
      <c r="FNX32" s="204"/>
      <c r="FNY32" s="204"/>
      <c r="FNZ32" s="204"/>
      <c r="FOA32" s="204"/>
      <c r="FOB32" s="204"/>
      <c r="FOC32" s="204"/>
      <c r="FOD32" s="204"/>
      <c r="FOE32" s="204"/>
      <c r="FOF32" s="204"/>
      <c r="FOG32" s="204"/>
      <c r="FOH32" s="204"/>
      <c r="FOI32" s="204"/>
      <c r="FOJ32" s="204"/>
      <c r="FOK32" s="204"/>
      <c r="FOL32" s="204"/>
      <c r="FOM32" s="204"/>
      <c r="FON32" s="204"/>
      <c r="FOO32" s="204"/>
      <c r="FOP32" s="204"/>
      <c r="FOQ32" s="204"/>
      <c r="FOR32" s="204"/>
      <c r="FOS32" s="204"/>
      <c r="FOT32" s="204"/>
      <c r="FOU32" s="204"/>
      <c r="FOV32" s="204"/>
      <c r="FOW32" s="204"/>
      <c r="FOX32" s="204"/>
      <c r="FOY32" s="204"/>
      <c r="FOZ32" s="204"/>
      <c r="FPA32" s="204"/>
      <c r="FPB32" s="204"/>
      <c r="FPC32" s="204"/>
      <c r="FPD32" s="204"/>
      <c r="FPE32" s="204"/>
      <c r="FPF32" s="204"/>
      <c r="FPG32" s="204"/>
      <c r="FPH32" s="204"/>
      <c r="FPI32" s="204"/>
      <c r="FPJ32" s="204"/>
      <c r="FPK32" s="204"/>
      <c r="FPL32" s="204"/>
      <c r="FPM32" s="204"/>
      <c r="FPN32" s="204"/>
      <c r="FPO32" s="204"/>
      <c r="FPP32" s="204"/>
      <c r="FPQ32" s="204"/>
      <c r="FPR32" s="204"/>
      <c r="FPS32" s="204"/>
      <c r="FPT32" s="204"/>
      <c r="FPU32" s="204"/>
      <c r="FPV32" s="204"/>
      <c r="FPW32" s="204"/>
      <c r="FPX32" s="204"/>
      <c r="FPY32" s="204"/>
      <c r="FPZ32" s="204"/>
      <c r="FQA32" s="204"/>
      <c r="FQB32" s="204"/>
      <c r="FQC32" s="204"/>
      <c r="FQD32" s="204"/>
      <c r="FQE32" s="204"/>
      <c r="FQF32" s="204"/>
      <c r="FQG32" s="204"/>
      <c r="FQH32" s="204"/>
      <c r="FQI32" s="204"/>
      <c r="FQJ32" s="204"/>
      <c r="FQK32" s="204"/>
      <c r="FQL32" s="204"/>
      <c r="FQM32" s="204"/>
      <c r="FQN32" s="204"/>
      <c r="FQO32" s="204"/>
      <c r="FQP32" s="204"/>
      <c r="FQQ32" s="204"/>
      <c r="FQR32" s="204"/>
      <c r="FQS32" s="204"/>
      <c r="FQT32" s="204"/>
      <c r="FQU32" s="204"/>
      <c r="FQV32" s="204"/>
      <c r="FQW32" s="204"/>
      <c r="FQX32" s="204"/>
      <c r="FQY32" s="204"/>
      <c r="FQZ32" s="204"/>
      <c r="FRA32" s="204"/>
      <c r="FRB32" s="204"/>
      <c r="FRC32" s="204"/>
      <c r="FRD32" s="204"/>
      <c r="FRE32" s="204"/>
      <c r="FRF32" s="204"/>
      <c r="FRG32" s="204"/>
      <c r="FRH32" s="204"/>
      <c r="FRI32" s="204"/>
      <c r="FRJ32" s="204"/>
      <c r="FRK32" s="204"/>
      <c r="FRL32" s="204"/>
      <c r="FRM32" s="204"/>
      <c r="FRN32" s="204"/>
      <c r="FRO32" s="204"/>
      <c r="FRP32" s="204"/>
      <c r="FRQ32" s="204"/>
      <c r="FRR32" s="204"/>
      <c r="FRS32" s="204"/>
      <c r="FRT32" s="204"/>
      <c r="FRU32" s="204"/>
      <c r="FRV32" s="204"/>
      <c r="FRW32" s="204"/>
      <c r="FRX32" s="204"/>
      <c r="FRY32" s="204"/>
      <c r="FRZ32" s="204"/>
      <c r="FSA32" s="204"/>
      <c r="FSB32" s="204"/>
      <c r="FSC32" s="204"/>
      <c r="FSD32" s="204"/>
      <c r="FSE32" s="204"/>
      <c r="FSF32" s="204"/>
      <c r="FSG32" s="204"/>
      <c r="FSH32" s="204"/>
      <c r="FSI32" s="204"/>
      <c r="FSJ32" s="204"/>
      <c r="FSK32" s="204"/>
      <c r="FSL32" s="204"/>
      <c r="FSM32" s="204"/>
      <c r="FSN32" s="204"/>
      <c r="FSO32" s="204"/>
      <c r="FSP32" s="204"/>
      <c r="FSQ32" s="204"/>
      <c r="FSR32" s="204"/>
      <c r="FSS32" s="204"/>
      <c r="FST32" s="204"/>
      <c r="FSU32" s="204"/>
      <c r="FSV32" s="204"/>
      <c r="FSW32" s="204"/>
      <c r="FSX32" s="204"/>
      <c r="FSY32" s="204"/>
      <c r="FSZ32" s="204"/>
      <c r="FTA32" s="204"/>
      <c r="FTB32" s="204"/>
      <c r="FTC32" s="204"/>
      <c r="FTD32" s="204"/>
      <c r="FTE32" s="204"/>
      <c r="FTF32" s="204"/>
      <c r="FTG32" s="204"/>
      <c r="FTH32" s="204"/>
      <c r="FTI32" s="204"/>
      <c r="FTJ32" s="204"/>
      <c r="FTK32" s="204"/>
      <c r="FTL32" s="204"/>
      <c r="FTM32" s="204"/>
      <c r="FTN32" s="204"/>
      <c r="FTO32" s="204"/>
      <c r="FTP32" s="204"/>
      <c r="FTQ32" s="204"/>
      <c r="FTR32" s="204"/>
      <c r="FTS32" s="204"/>
      <c r="FTT32" s="204"/>
      <c r="FTU32" s="204"/>
      <c r="FTV32" s="204"/>
      <c r="FTW32" s="204"/>
      <c r="FTX32" s="204"/>
      <c r="FTY32" s="204"/>
      <c r="FTZ32" s="204"/>
      <c r="FUA32" s="204"/>
      <c r="FUB32" s="204"/>
      <c r="FUC32" s="204"/>
      <c r="FUD32" s="204"/>
      <c r="FUE32" s="204"/>
      <c r="FUF32" s="204"/>
      <c r="FUG32" s="204"/>
      <c r="FUH32" s="204"/>
      <c r="FUI32" s="204"/>
      <c r="FUJ32" s="204"/>
      <c r="FUK32" s="204"/>
      <c r="FUL32" s="204"/>
      <c r="FUM32" s="204"/>
      <c r="FUN32" s="204"/>
      <c r="FUO32" s="204"/>
      <c r="FUP32" s="204"/>
      <c r="FUQ32" s="204"/>
      <c r="FUR32" s="204"/>
      <c r="FUS32" s="204"/>
      <c r="FUT32" s="204"/>
      <c r="FUU32" s="204"/>
      <c r="FUV32" s="204"/>
      <c r="FUW32" s="204"/>
      <c r="FUX32" s="204"/>
      <c r="FUY32" s="204"/>
      <c r="FUZ32" s="204"/>
      <c r="FVA32" s="204"/>
      <c r="FVB32" s="204"/>
      <c r="FVC32" s="204"/>
      <c r="FVD32" s="204"/>
      <c r="FVE32" s="204"/>
      <c r="FVF32" s="204"/>
      <c r="FVG32" s="204"/>
      <c r="FVH32" s="204"/>
      <c r="FVI32" s="204"/>
      <c r="FVJ32" s="204"/>
      <c r="FVK32" s="204"/>
      <c r="FVL32" s="204"/>
      <c r="FVM32" s="204"/>
      <c r="FVN32" s="204"/>
      <c r="FVO32" s="204"/>
      <c r="FVP32" s="204"/>
      <c r="FVQ32" s="204"/>
      <c r="FVR32" s="204"/>
      <c r="FVS32" s="204"/>
      <c r="FVT32" s="204"/>
      <c r="FVU32" s="204"/>
      <c r="FVV32" s="204"/>
      <c r="FVW32" s="204"/>
      <c r="FVX32" s="204"/>
      <c r="FVY32" s="204"/>
      <c r="FVZ32" s="204"/>
      <c r="FWA32" s="204"/>
      <c r="FWB32" s="204"/>
      <c r="FWC32" s="204"/>
      <c r="FWD32" s="204"/>
      <c r="FWE32" s="204"/>
      <c r="FWF32" s="204"/>
      <c r="FWG32" s="204"/>
      <c r="FWH32" s="204"/>
      <c r="FWI32" s="204"/>
      <c r="FWJ32" s="204"/>
      <c r="FWK32" s="204"/>
      <c r="FWL32" s="204"/>
      <c r="FWM32" s="204"/>
      <c r="FWN32" s="204"/>
      <c r="FWO32" s="204"/>
      <c r="FWP32" s="204"/>
      <c r="FWQ32" s="204"/>
      <c r="FWR32" s="204"/>
      <c r="FWS32" s="204"/>
      <c r="FWT32" s="204"/>
      <c r="FWU32" s="204"/>
      <c r="FWV32" s="204"/>
      <c r="FWW32" s="204"/>
      <c r="FWX32" s="204"/>
      <c r="FWY32" s="204"/>
      <c r="FWZ32" s="204"/>
      <c r="FXA32" s="204"/>
      <c r="FXB32" s="204"/>
      <c r="FXC32" s="204"/>
      <c r="FXD32" s="204"/>
      <c r="FXE32" s="204"/>
      <c r="FXF32" s="204"/>
      <c r="FXG32" s="204"/>
      <c r="FXH32" s="204"/>
      <c r="FXI32" s="204"/>
      <c r="FXJ32" s="204"/>
      <c r="FXK32" s="204"/>
      <c r="FXL32" s="204"/>
      <c r="FXM32" s="204"/>
      <c r="FXN32" s="204"/>
      <c r="FXO32" s="204"/>
      <c r="FXP32" s="204"/>
      <c r="FXQ32" s="204"/>
      <c r="FXR32" s="204"/>
      <c r="FXS32" s="204"/>
      <c r="FXT32" s="204"/>
      <c r="FXU32" s="204"/>
      <c r="FXV32" s="204"/>
      <c r="FXW32" s="204"/>
      <c r="FXX32" s="204"/>
      <c r="FXY32" s="204"/>
      <c r="FXZ32" s="204"/>
      <c r="FYA32" s="204"/>
      <c r="FYB32" s="204"/>
      <c r="FYC32" s="204"/>
      <c r="FYD32" s="204"/>
      <c r="FYE32" s="204"/>
      <c r="FYF32" s="204"/>
      <c r="FYG32" s="204"/>
      <c r="FYH32" s="204"/>
      <c r="FYI32" s="204"/>
      <c r="FYJ32" s="204"/>
      <c r="FYK32" s="204"/>
      <c r="FYL32" s="204"/>
      <c r="FYM32" s="204"/>
      <c r="FYN32" s="204"/>
      <c r="FYO32" s="204"/>
      <c r="FYP32" s="204"/>
      <c r="FYQ32" s="204"/>
      <c r="FYR32" s="204"/>
      <c r="FYS32" s="204"/>
      <c r="FYT32" s="204"/>
      <c r="FYU32" s="204"/>
      <c r="FYV32" s="204"/>
      <c r="FYW32" s="204"/>
      <c r="FYX32" s="204"/>
      <c r="FYY32" s="204"/>
      <c r="FYZ32" s="204"/>
      <c r="FZA32" s="204"/>
      <c r="FZB32" s="204"/>
      <c r="FZC32" s="204"/>
      <c r="FZD32" s="204"/>
      <c r="FZE32" s="204"/>
      <c r="FZF32" s="204"/>
      <c r="FZG32" s="204"/>
      <c r="FZH32" s="204"/>
      <c r="FZI32" s="204"/>
      <c r="FZJ32" s="204"/>
      <c r="FZK32" s="204"/>
      <c r="FZL32" s="204"/>
      <c r="FZM32" s="204"/>
      <c r="FZN32" s="204"/>
      <c r="FZO32" s="204"/>
      <c r="FZP32" s="204"/>
      <c r="FZQ32" s="204"/>
      <c r="FZR32" s="204"/>
      <c r="FZS32" s="204"/>
      <c r="FZT32" s="204"/>
      <c r="FZU32" s="204"/>
      <c r="FZV32" s="204"/>
      <c r="FZW32" s="204"/>
      <c r="FZX32" s="204"/>
      <c r="FZY32" s="204"/>
      <c r="FZZ32" s="204"/>
      <c r="GAA32" s="204"/>
      <c r="GAB32" s="204"/>
      <c r="GAC32" s="204"/>
      <c r="GAD32" s="204"/>
      <c r="GAE32" s="204"/>
      <c r="GAF32" s="204"/>
      <c r="GAG32" s="204"/>
      <c r="GAH32" s="204"/>
      <c r="GAI32" s="204"/>
      <c r="GAJ32" s="204"/>
      <c r="GAK32" s="204"/>
      <c r="GAL32" s="204"/>
      <c r="GAM32" s="204"/>
      <c r="GAN32" s="204"/>
      <c r="GAO32" s="204"/>
      <c r="GAP32" s="204"/>
      <c r="GAQ32" s="204"/>
      <c r="GAR32" s="204"/>
      <c r="GAS32" s="204"/>
      <c r="GAT32" s="204"/>
      <c r="GAU32" s="204"/>
      <c r="GAV32" s="204"/>
      <c r="GAW32" s="204"/>
      <c r="GAX32" s="204"/>
      <c r="GAY32" s="204"/>
      <c r="GAZ32" s="204"/>
      <c r="GBA32" s="204"/>
      <c r="GBB32" s="204"/>
      <c r="GBC32" s="204"/>
      <c r="GBD32" s="204"/>
      <c r="GBE32" s="204"/>
      <c r="GBF32" s="204"/>
      <c r="GBG32" s="204"/>
      <c r="GBH32" s="204"/>
      <c r="GBI32" s="204"/>
      <c r="GBJ32" s="204"/>
      <c r="GBK32" s="204"/>
      <c r="GBL32" s="204"/>
      <c r="GBM32" s="204"/>
      <c r="GBN32" s="204"/>
      <c r="GBO32" s="204"/>
      <c r="GBP32" s="204"/>
      <c r="GBQ32" s="204"/>
      <c r="GBR32" s="204"/>
      <c r="GBS32" s="204"/>
      <c r="GBT32" s="204"/>
      <c r="GBU32" s="204"/>
      <c r="GBV32" s="204"/>
      <c r="GBW32" s="204"/>
      <c r="GBX32" s="204"/>
      <c r="GBY32" s="204"/>
      <c r="GBZ32" s="204"/>
      <c r="GCA32" s="204"/>
      <c r="GCB32" s="204"/>
      <c r="GCC32" s="204"/>
      <c r="GCD32" s="204"/>
      <c r="GCE32" s="204"/>
      <c r="GCF32" s="204"/>
      <c r="GCG32" s="204"/>
      <c r="GCH32" s="204"/>
      <c r="GCI32" s="204"/>
      <c r="GCJ32" s="204"/>
      <c r="GCK32" s="204"/>
      <c r="GCL32" s="204"/>
      <c r="GCM32" s="204"/>
      <c r="GCN32" s="204"/>
      <c r="GCO32" s="204"/>
      <c r="GCP32" s="204"/>
      <c r="GCQ32" s="204"/>
      <c r="GCR32" s="204"/>
      <c r="GCS32" s="204"/>
      <c r="GCT32" s="204"/>
      <c r="GCU32" s="204"/>
      <c r="GCV32" s="204"/>
      <c r="GCW32" s="204"/>
      <c r="GCX32" s="204"/>
      <c r="GCY32" s="204"/>
      <c r="GCZ32" s="204"/>
      <c r="GDA32" s="204"/>
      <c r="GDB32" s="204"/>
      <c r="GDC32" s="204"/>
      <c r="GDD32" s="204"/>
      <c r="GDE32" s="204"/>
      <c r="GDF32" s="204"/>
      <c r="GDG32" s="204"/>
      <c r="GDH32" s="204"/>
      <c r="GDI32" s="204"/>
      <c r="GDJ32" s="204"/>
      <c r="GDK32" s="204"/>
      <c r="GDL32" s="204"/>
      <c r="GDM32" s="204"/>
      <c r="GDN32" s="204"/>
      <c r="GDO32" s="204"/>
      <c r="GDP32" s="204"/>
      <c r="GDQ32" s="204"/>
      <c r="GDR32" s="204"/>
      <c r="GDS32" s="204"/>
      <c r="GDT32" s="204"/>
      <c r="GDU32" s="204"/>
      <c r="GDV32" s="204"/>
      <c r="GDW32" s="204"/>
      <c r="GDX32" s="204"/>
      <c r="GDY32" s="204"/>
      <c r="GDZ32" s="204"/>
      <c r="GEA32" s="204"/>
      <c r="GEB32" s="204"/>
      <c r="GEC32" s="204"/>
      <c r="GED32" s="204"/>
      <c r="GEE32" s="204"/>
      <c r="GEF32" s="204"/>
      <c r="GEG32" s="204"/>
      <c r="GEH32" s="204"/>
      <c r="GEI32" s="204"/>
      <c r="GEJ32" s="204"/>
      <c r="GEK32" s="204"/>
      <c r="GEL32" s="204"/>
      <c r="GEM32" s="204"/>
      <c r="GEN32" s="204"/>
      <c r="GEO32" s="204"/>
      <c r="GEP32" s="204"/>
      <c r="GEQ32" s="204"/>
      <c r="GER32" s="204"/>
      <c r="GES32" s="204"/>
      <c r="GET32" s="204"/>
      <c r="GEU32" s="204"/>
      <c r="GEV32" s="204"/>
      <c r="GEW32" s="204"/>
      <c r="GEX32" s="204"/>
      <c r="GEY32" s="204"/>
      <c r="GEZ32" s="204"/>
      <c r="GFA32" s="204"/>
      <c r="GFB32" s="204"/>
      <c r="GFC32" s="204"/>
      <c r="GFD32" s="204"/>
      <c r="GFE32" s="204"/>
      <c r="GFF32" s="204"/>
      <c r="GFG32" s="204"/>
      <c r="GFH32" s="204"/>
      <c r="GFI32" s="204"/>
      <c r="GFJ32" s="204"/>
      <c r="GFK32" s="204"/>
      <c r="GFL32" s="204"/>
      <c r="GFM32" s="204"/>
      <c r="GFN32" s="204"/>
      <c r="GFO32" s="204"/>
      <c r="GFP32" s="204"/>
      <c r="GFQ32" s="204"/>
      <c r="GFR32" s="204"/>
      <c r="GFS32" s="204"/>
      <c r="GFT32" s="204"/>
      <c r="GFU32" s="204"/>
      <c r="GFV32" s="204"/>
      <c r="GFW32" s="204"/>
      <c r="GFX32" s="204"/>
      <c r="GFY32" s="204"/>
      <c r="GFZ32" s="204"/>
      <c r="GGA32" s="204"/>
      <c r="GGB32" s="204"/>
      <c r="GGC32" s="204"/>
      <c r="GGD32" s="204"/>
      <c r="GGE32" s="204"/>
      <c r="GGF32" s="204"/>
      <c r="GGG32" s="204"/>
      <c r="GGH32" s="204"/>
      <c r="GGI32" s="204"/>
      <c r="GGJ32" s="204"/>
      <c r="GGK32" s="204"/>
      <c r="GGL32" s="204"/>
      <c r="GGM32" s="204"/>
      <c r="GGN32" s="204"/>
      <c r="GGO32" s="204"/>
      <c r="GGP32" s="204"/>
      <c r="GGQ32" s="204"/>
      <c r="GGR32" s="204"/>
      <c r="GGS32" s="204"/>
      <c r="GGT32" s="204"/>
      <c r="GGU32" s="204"/>
      <c r="GGV32" s="204"/>
      <c r="GGW32" s="204"/>
      <c r="GGX32" s="204"/>
      <c r="GGY32" s="204"/>
      <c r="GGZ32" s="204"/>
      <c r="GHA32" s="204"/>
      <c r="GHB32" s="204"/>
      <c r="GHC32" s="204"/>
      <c r="GHD32" s="204"/>
      <c r="GHE32" s="204"/>
      <c r="GHF32" s="204"/>
      <c r="GHG32" s="204"/>
      <c r="GHH32" s="204"/>
      <c r="GHI32" s="204"/>
      <c r="GHJ32" s="204"/>
      <c r="GHK32" s="204"/>
      <c r="GHL32" s="204"/>
      <c r="GHM32" s="204"/>
      <c r="GHN32" s="204"/>
      <c r="GHO32" s="204"/>
      <c r="GHP32" s="204"/>
      <c r="GHQ32" s="204"/>
      <c r="GHR32" s="204"/>
      <c r="GHS32" s="204"/>
      <c r="GHT32" s="204"/>
      <c r="GHU32" s="204"/>
      <c r="GHV32" s="204"/>
      <c r="GHW32" s="204"/>
      <c r="GHX32" s="204"/>
      <c r="GHY32" s="204"/>
      <c r="GHZ32" s="204"/>
      <c r="GIA32" s="204"/>
      <c r="GIB32" s="204"/>
      <c r="GIC32" s="204"/>
      <c r="GID32" s="204"/>
      <c r="GIE32" s="204"/>
      <c r="GIF32" s="204"/>
      <c r="GIG32" s="204"/>
      <c r="GIH32" s="204"/>
      <c r="GII32" s="204"/>
      <c r="GIJ32" s="204"/>
      <c r="GIK32" s="204"/>
      <c r="GIL32" s="204"/>
      <c r="GIM32" s="204"/>
      <c r="GIN32" s="204"/>
      <c r="GIO32" s="204"/>
      <c r="GIP32" s="204"/>
      <c r="GIQ32" s="204"/>
      <c r="GIR32" s="204"/>
      <c r="GIS32" s="204"/>
      <c r="GIT32" s="204"/>
      <c r="GIU32" s="204"/>
      <c r="GIV32" s="204"/>
      <c r="GIW32" s="204"/>
      <c r="GIX32" s="204"/>
      <c r="GIY32" s="204"/>
      <c r="GIZ32" s="204"/>
      <c r="GJA32" s="204"/>
      <c r="GJB32" s="204"/>
      <c r="GJC32" s="204"/>
      <c r="GJD32" s="204"/>
      <c r="GJE32" s="204"/>
      <c r="GJF32" s="204"/>
      <c r="GJG32" s="204"/>
      <c r="GJH32" s="204"/>
      <c r="GJI32" s="204"/>
      <c r="GJJ32" s="204"/>
      <c r="GJK32" s="204"/>
      <c r="GJL32" s="204"/>
      <c r="GJM32" s="204"/>
      <c r="GJN32" s="204"/>
      <c r="GJO32" s="204"/>
      <c r="GJP32" s="204"/>
      <c r="GJQ32" s="204"/>
      <c r="GJR32" s="204"/>
      <c r="GJS32" s="204"/>
      <c r="GJT32" s="204"/>
      <c r="GJU32" s="204"/>
      <c r="GJV32" s="204"/>
      <c r="GJW32" s="204"/>
      <c r="GJX32" s="204"/>
      <c r="GJY32" s="204"/>
      <c r="GJZ32" s="204"/>
      <c r="GKA32" s="204"/>
      <c r="GKB32" s="204"/>
      <c r="GKC32" s="204"/>
      <c r="GKD32" s="204"/>
      <c r="GKE32" s="204"/>
      <c r="GKF32" s="204"/>
      <c r="GKG32" s="204"/>
      <c r="GKH32" s="204"/>
      <c r="GKI32" s="204"/>
      <c r="GKJ32" s="204"/>
      <c r="GKK32" s="204"/>
      <c r="GKL32" s="204"/>
      <c r="GKM32" s="204"/>
      <c r="GKN32" s="204"/>
      <c r="GKO32" s="204"/>
      <c r="GKP32" s="204"/>
      <c r="GKQ32" s="204"/>
      <c r="GKR32" s="204"/>
      <c r="GKS32" s="204"/>
      <c r="GKT32" s="204"/>
      <c r="GKU32" s="204"/>
      <c r="GKV32" s="204"/>
      <c r="GKW32" s="204"/>
      <c r="GKX32" s="204"/>
      <c r="GKY32" s="204"/>
      <c r="GKZ32" s="204"/>
      <c r="GLA32" s="204"/>
      <c r="GLB32" s="204"/>
      <c r="GLC32" s="204"/>
      <c r="GLD32" s="204"/>
      <c r="GLE32" s="204"/>
      <c r="GLF32" s="204"/>
      <c r="GLG32" s="204"/>
      <c r="GLH32" s="204"/>
      <c r="GLI32" s="204"/>
      <c r="GLJ32" s="204"/>
      <c r="GLK32" s="204"/>
      <c r="GLL32" s="204"/>
      <c r="GLM32" s="204"/>
      <c r="GLN32" s="204"/>
      <c r="GLO32" s="204"/>
      <c r="GLP32" s="204"/>
      <c r="GLQ32" s="204"/>
      <c r="GLR32" s="204"/>
      <c r="GLS32" s="204"/>
      <c r="GLT32" s="204"/>
      <c r="GLU32" s="204"/>
      <c r="GLV32" s="204"/>
      <c r="GLW32" s="204"/>
      <c r="GLX32" s="204"/>
      <c r="GLY32" s="204"/>
      <c r="GLZ32" s="204"/>
      <c r="GMA32" s="204"/>
      <c r="GMB32" s="204"/>
      <c r="GMC32" s="204"/>
      <c r="GMD32" s="204"/>
      <c r="GME32" s="204"/>
      <c r="GMF32" s="204"/>
      <c r="GMG32" s="204"/>
      <c r="GMH32" s="204"/>
      <c r="GMI32" s="204"/>
      <c r="GMJ32" s="204"/>
      <c r="GMK32" s="204"/>
      <c r="GML32" s="204"/>
      <c r="GMM32" s="204"/>
      <c r="GMN32" s="204"/>
      <c r="GMO32" s="204"/>
      <c r="GMP32" s="204"/>
      <c r="GMQ32" s="204"/>
      <c r="GMR32" s="204"/>
      <c r="GMS32" s="204"/>
      <c r="GMT32" s="204"/>
      <c r="GMU32" s="204"/>
      <c r="GMV32" s="204"/>
      <c r="GMW32" s="204"/>
      <c r="GMX32" s="204"/>
      <c r="GMY32" s="204"/>
      <c r="GMZ32" s="204"/>
      <c r="GNA32" s="204"/>
      <c r="GNB32" s="204"/>
      <c r="GNC32" s="204"/>
      <c r="GND32" s="204"/>
      <c r="GNE32" s="204"/>
      <c r="GNF32" s="204"/>
      <c r="GNG32" s="204"/>
      <c r="GNH32" s="204"/>
      <c r="GNI32" s="204"/>
      <c r="GNJ32" s="204"/>
      <c r="GNK32" s="204"/>
      <c r="GNL32" s="204"/>
      <c r="GNM32" s="204"/>
      <c r="GNN32" s="204"/>
      <c r="GNO32" s="204"/>
      <c r="GNP32" s="204"/>
      <c r="GNQ32" s="204"/>
      <c r="GNR32" s="204"/>
      <c r="GNS32" s="204"/>
      <c r="GNT32" s="204"/>
      <c r="GNU32" s="204"/>
      <c r="GNV32" s="204"/>
      <c r="GNW32" s="204"/>
      <c r="GNX32" s="204"/>
      <c r="GNY32" s="204"/>
      <c r="GNZ32" s="204"/>
      <c r="GOA32" s="204"/>
      <c r="GOB32" s="204"/>
      <c r="GOC32" s="204"/>
      <c r="GOD32" s="204"/>
      <c r="GOE32" s="204"/>
      <c r="GOF32" s="204"/>
      <c r="GOG32" s="204"/>
      <c r="GOH32" s="204"/>
      <c r="GOI32" s="204"/>
      <c r="GOJ32" s="204"/>
      <c r="GOK32" s="204"/>
      <c r="GOL32" s="204"/>
      <c r="GOM32" s="204"/>
      <c r="GON32" s="204"/>
      <c r="GOO32" s="204"/>
      <c r="GOP32" s="204"/>
      <c r="GOQ32" s="204"/>
      <c r="GOR32" s="204"/>
      <c r="GOS32" s="204"/>
      <c r="GOT32" s="204"/>
      <c r="GOU32" s="204"/>
      <c r="GOV32" s="204"/>
      <c r="GOW32" s="204"/>
      <c r="GOX32" s="204"/>
      <c r="GOY32" s="204"/>
      <c r="GOZ32" s="204"/>
      <c r="GPA32" s="204"/>
      <c r="GPB32" s="204"/>
      <c r="GPC32" s="204"/>
      <c r="GPD32" s="204"/>
      <c r="GPE32" s="204"/>
      <c r="GPF32" s="204"/>
      <c r="GPG32" s="204"/>
      <c r="GPH32" s="204"/>
      <c r="GPI32" s="204"/>
      <c r="GPJ32" s="204"/>
      <c r="GPK32" s="204"/>
      <c r="GPL32" s="204"/>
      <c r="GPM32" s="204"/>
      <c r="GPN32" s="204"/>
      <c r="GPO32" s="204"/>
      <c r="GPP32" s="204"/>
      <c r="GPQ32" s="204"/>
      <c r="GPR32" s="204"/>
      <c r="GPS32" s="204"/>
      <c r="GPT32" s="204"/>
      <c r="GPU32" s="204"/>
      <c r="GPV32" s="204"/>
      <c r="GPW32" s="204"/>
      <c r="GPX32" s="204"/>
      <c r="GPY32" s="204"/>
      <c r="GPZ32" s="204"/>
      <c r="GQA32" s="204"/>
      <c r="GQB32" s="204"/>
      <c r="GQC32" s="204"/>
      <c r="GQD32" s="204"/>
      <c r="GQE32" s="204"/>
      <c r="GQF32" s="204"/>
      <c r="GQG32" s="204"/>
      <c r="GQH32" s="204"/>
      <c r="GQI32" s="204"/>
      <c r="GQJ32" s="204"/>
      <c r="GQK32" s="204"/>
      <c r="GQL32" s="204"/>
      <c r="GQM32" s="204"/>
      <c r="GQN32" s="204"/>
      <c r="GQO32" s="204"/>
      <c r="GQP32" s="204"/>
      <c r="GQQ32" s="204"/>
      <c r="GQR32" s="204"/>
      <c r="GQS32" s="204"/>
      <c r="GQT32" s="204"/>
      <c r="GQU32" s="204"/>
      <c r="GQV32" s="204"/>
      <c r="GQW32" s="204"/>
      <c r="GQX32" s="204"/>
      <c r="GQY32" s="204"/>
      <c r="GQZ32" s="204"/>
      <c r="GRA32" s="204"/>
      <c r="GRB32" s="204"/>
      <c r="GRC32" s="204"/>
      <c r="GRD32" s="204"/>
      <c r="GRE32" s="204"/>
      <c r="GRF32" s="204"/>
      <c r="GRG32" s="204"/>
      <c r="GRH32" s="204"/>
      <c r="GRI32" s="204"/>
      <c r="GRJ32" s="204"/>
      <c r="GRK32" s="204"/>
      <c r="GRL32" s="204"/>
      <c r="GRM32" s="204"/>
      <c r="GRN32" s="204"/>
      <c r="GRO32" s="204"/>
      <c r="GRP32" s="204"/>
      <c r="GRQ32" s="204"/>
      <c r="GRR32" s="204"/>
      <c r="GRS32" s="204"/>
      <c r="GRT32" s="204"/>
      <c r="GRU32" s="204"/>
      <c r="GRV32" s="204"/>
      <c r="GRW32" s="204"/>
      <c r="GRX32" s="204"/>
      <c r="GRY32" s="204"/>
      <c r="GRZ32" s="204"/>
      <c r="GSA32" s="204"/>
      <c r="GSB32" s="204"/>
      <c r="GSC32" s="204"/>
      <c r="GSD32" s="204"/>
      <c r="GSE32" s="204"/>
      <c r="GSF32" s="204"/>
      <c r="GSG32" s="204"/>
      <c r="GSH32" s="204"/>
      <c r="GSI32" s="204"/>
      <c r="GSJ32" s="204"/>
      <c r="GSK32" s="204"/>
      <c r="GSL32" s="204"/>
      <c r="GSM32" s="204"/>
      <c r="GSN32" s="204"/>
      <c r="GSO32" s="204"/>
      <c r="GSP32" s="204"/>
      <c r="GSQ32" s="204"/>
      <c r="GSR32" s="204"/>
      <c r="GSS32" s="204"/>
      <c r="GST32" s="204"/>
      <c r="GSU32" s="204"/>
      <c r="GSV32" s="204"/>
      <c r="GSW32" s="204"/>
      <c r="GSX32" s="204"/>
      <c r="GSY32" s="204"/>
      <c r="GSZ32" s="204"/>
      <c r="GTA32" s="204"/>
      <c r="GTB32" s="204"/>
      <c r="GTC32" s="204"/>
      <c r="GTD32" s="204"/>
      <c r="GTE32" s="204"/>
      <c r="GTF32" s="204"/>
      <c r="GTG32" s="204"/>
      <c r="GTH32" s="204"/>
      <c r="GTI32" s="204"/>
      <c r="GTJ32" s="204"/>
      <c r="GTK32" s="204"/>
      <c r="GTL32" s="204"/>
      <c r="GTM32" s="204"/>
      <c r="GTN32" s="204"/>
      <c r="GTO32" s="204"/>
      <c r="GTP32" s="204"/>
      <c r="GTQ32" s="204"/>
      <c r="GTR32" s="204"/>
      <c r="GTS32" s="204"/>
      <c r="GTT32" s="204"/>
      <c r="GTU32" s="204"/>
      <c r="GTV32" s="204"/>
      <c r="GTW32" s="204"/>
      <c r="GTX32" s="204"/>
      <c r="GTY32" s="204"/>
      <c r="GTZ32" s="204"/>
      <c r="GUA32" s="204"/>
      <c r="GUB32" s="204"/>
      <c r="GUC32" s="204"/>
      <c r="GUD32" s="204"/>
      <c r="GUE32" s="204"/>
      <c r="GUF32" s="204"/>
      <c r="GUG32" s="204"/>
      <c r="GUH32" s="204"/>
      <c r="GUI32" s="204"/>
      <c r="GUJ32" s="204"/>
      <c r="GUK32" s="204"/>
      <c r="GUL32" s="204"/>
      <c r="GUM32" s="204"/>
      <c r="GUN32" s="204"/>
      <c r="GUO32" s="204"/>
      <c r="GUP32" s="204"/>
      <c r="GUQ32" s="204"/>
      <c r="GUR32" s="204"/>
      <c r="GUS32" s="204"/>
      <c r="GUT32" s="204"/>
      <c r="GUU32" s="204"/>
      <c r="GUV32" s="204"/>
      <c r="GUW32" s="204"/>
      <c r="GUX32" s="204"/>
      <c r="GUY32" s="204"/>
      <c r="GUZ32" s="204"/>
      <c r="GVA32" s="204"/>
      <c r="GVB32" s="204"/>
      <c r="GVC32" s="204"/>
      <c r="GVD32" s="204"/>
      <c r="GVE32" s="204"/>
      <c r="GVF32" s="204"/>
      <c r="GVG32" s="204"/>
      <c r="GVH32" s="204"/>
      <c r="GVI32" s="204"/>
      <c r="GVJ32" s="204"/>
      <c r="GVK32" s="204"/>
      <c r="GVL32" s="204"/>
      <c r="GVM32" s="204"/>
      <c r="GVN32" s="204"/>
      <c r="GVO32" s="204"/>
      <c r="GVP32" s="204"/>
      <c r="GVQ32" s="204"/>
      <c r="GVR32" s="204"/>
      <c r="GVS32" s="204"/>
      <c r="GVT32" s="204"/>
      <c r="GVU32" s="204"/>
      <c r="GVV32" s="204"/>
      <c r="GVW32" s="204"/>
      <c r="GVX32" s="204"/>
      <c r="GVY32" s="204"/>
      <c r="GVZ32" s="204"/>
      <c r="GWA32" s="204"/>
      <c r="GWB32" s="204"/>
      <c r="GWC32" s="204"/>
      <c r="GWD32" s="204"/>
      <c r="GWE32" s="204"/>
      <c r="GWF32" s="204"/>
      <c r="GWG32" s="204"/>
      <c r="GWH32" s="204"/>
      <c r="GWI32" s="204"/>
      <c r="GWJ32" s="204"/>
      <c r="GWK32" s="204"/>
      <c r="GWL32" s="204"/>
      <c r="GWM32" s="204"/>
      <c r="GWN32" s="204"/>
      <c r="GWO32" s="204"/>
      <c r="GWP32" s="204"/>
      <c r="GWQ32" s="204"/>
      <c r="GWR32" s="204"/>
      <c r="GWS32" s="204"/>
      <c r="GWT32" s="204"/>
      <c r="GWU32" s="204"/>
      <c r="GWV32" s="204"/>
      <c r="GWW32" s="204"/>
      <c r="GWX32" s="204"/>
      <c r="GWY32" s="204"/>
      <c r="GWZ32" s="204"/>
      <c r="GXA32" s="204"/>
      <c r="GXB32" s="204"/>
      <c r="GXC32" s="204"/>
      <c r="GXD32" s="204"/>
      <c r="GXE32" s="204"/>
      <c r="GXF32" s="204"/>
      <c r="GXG32" s="204"/>
      <c r="GXH32" s="204"/>
      <c r="GXI32" s="204"/>
      <c r="GXJ32" s="204"/>
      <c r="GXK32" s="204"/>
      <c r="GXL32" s="204"/>
      <c r="GXM32" s="204"/>
      <c r="GXN32" s="204"/>
      <c r="GXO32" s="204"/>
      <c r="GXP32" s="204"/>
      <c r="GXQ32" s="204"/>
      <c r="GXR32" s="204"/>
      <c r="GXS32" s="204"/>
      <c r="GXT32" s="204"/>
      <c r="GXU32" s="204"/>
      <c r="GXV32" s="204"/>
      <c r="GXW32" s="204"/>
      <c r="GXX32" s="204"/>
      <c r="GXY32" s="204"/>
      <c r="GXZ32" s="204"/>
      <c r="GYA32" s="204"/>
      <c r="GYB32" s="204"/>
      <c r="GYC32" s="204"/>
      <c r="GYD32" s="204"/>
      <c r="GYE32" s="204"/>
      <c r="GYF32" s="204"/>
      <c r="GYG32" s="204"/>
      <c r="GYH32" s="204"/>
      <c r="GYI32" s="204"/>
      <c r="GYJ32" s="204"/>
      <c r="GYK32" s="204"/>
      <c r="GYL32" s="204"/>
      <c r="GYM32" s="204"/>
      <c r="GYN32" s="204"/>
      <c r="GYO32" s="204"/>
      <c r="GYP32" s="204"/>
      <c r="GYQ32" s="204"/>
      <c r="GYR32" s="204"/>
      <c r="GYS32" s="204"/>
      <c r="GYT32" s="204"/>
      <c r="GYU32" s="204"/>
      <c r="GYV32" s="204"/>
      <c r="GYW32" s="204"/>
      <c r="GYX32" s="204"/>
      <c r="GYY32" s="204"/>
      <c r="GYZ32" s="204"/>
      <c r="GZA32" s="204"/>
      <c r="GZB32" s="204"/>
      <c r="GZC32" s="204"/>
      <c r="GZD32" s="204"/>
      <c r="GZE32" s="204"/>
      <c r="GZF32" s="204"/>
      <c r="GZG32" s="204"/>
      <c r="GZH32" s="204"/>
      <c r="GZI32" s="204"/>
      <c r="GZJ32" s="204"/>
      <c r="GZK32" s="204"/>
      <c r="GZL32" s="204"/>
      <c r="GZM32" s="204"/>
      <c r="GZN32" s="204"/>
      <c r="GZO32" s="204"/>
      <c r="GZP32" s="204"/>
      <c r="GZQ32" s="204"/>
      <c r="GZR32" s="204"/>
      <c r="GZS32" s="204"/>
      <c r="GZT32" s="204"/>
      <c r="GZU32" s="204"/>
      <c r="GZV32" s="204"/>
      <c r="GZW32" s="204"/>
      <c r="GZX32" s="204"/>
      <c r="GZY32" s="204"/>
      <c r="GZZ32" s="204"/>
      <c r="HAA32" s="204"/>
      <c r="HAB32" s="204"/>
      <c r="HAC32" s="204"/>
      <c r="HAD32" s="204"/>
      <c r="HAE32" s="204"/>
      <c r="HAF32" s="204"/>
      <c r="HAG32" s="204"/>
      <c r="HAH32" s="204"/>
      <c r="HAI32" s="204"/>
      <c r="HAJ32" s="204"/>
      <c r="HAK32" s="204"/>
      <c r="HAL32" s="204"/>
      <c r="HAM32" s="204"/>
      <c r="HAN32" s="204"/>
      <c r="HAO32" s="204"/>
      <c r="HAP32" s="204"/>
      <c r="HAQ32" s="204"/>
      <c r="HAR32" s="204"/>
      <c r="HAS32" s="204"/>
      <c r="HAT32" s="204"/>
      <c r="HAU32" s="204"/>
      <c r="HAV32" s="204"/>
      <c r="HAW32" s="204"/>
      <c r="HAX32" s="204"/>
      <c r="HAY32" s="204"/>
      <c r="HAZ32" s="204"/>
      <c r="HBA32" s="204"/>
      <c r="HBB32" s="204"/>
      <c r="HBC32" s="204"/>
      <c r="HBD32" s="204"/>
      <c r="HBE32" s="204"/>
      <c r="HBF32" s="204"/>
      <c r="HBG32" s="204"/>
      <c r="HBH32" s="204"/>
      <c r="HBI32" s="204"/>
      <c r="HBJ32" s="204"/>
      <c r="HBK32" s="204"/>
      <c r="HBL32" s="204"/>
      <c r="HBM32" s="204"/>
      <c r="HBN32" s="204"/>
      <c r="HBO32" s="204"/>
      <c r="HBP32" s="204"/>
      <c r="HBQ32" s="204"/>
      <c r="HBR32" s="204"/>
      <c r="HBS32" s="204"/>
      <c r="HBT32" s="204"/>
      <c r="HBU32" s="204"/>
      <c r="HBV32" s="204"/>
      <c r="HBW32" s="204"/>
      <c r="HBX32" s="204"/>
      <c r="HBY32" s="204"/>
      <c r="HBZ32" s="204"/>
      <c r="HCA32" s="204"/>
      <c r="HCB32" s="204"/>
      <c r="HCC32" s="204"/>
      <c r="HCD32" s="204"/>
      <c r="HCE32" s="204"/>
      <c r="HCF32" s="204"/>
      <c r="HCG32" s="204"/>
      <c r="HCH32" s="204"/>
      <c r="HCI32" s="204"/>
      <c r="HCJ32" s="204"/>
      <c r="HCK32" s="204"/>
      <c r="HCL32" s="204"/>
      <c r="HCM32" s="204"/>
      <c r="HCN32" s="204"/>
      <c r="HCO32" s="204"/>
      <c r="HCP32" s="204"/>
      <c r="HCQ32" s="204"/>
      <c r="HCR32" s="204"/>
      <c r="HCS32" s="204"/>
      <c r="HCT32" s="204"/>
      <c r="HCU32" s="204"/>
      <c r="HCV32" s="204"/>
      <c r="HCW32" s="204"/>
      <c r="HCX32" s="204"/>
      <c r="HCY32" s="204"/>
      <c r="HCZ32" s="204"/>
      <c r="HDA32" s="204"/>
      <c r="HDB32" s="204"/>
      <c r="HDC32" s="204"/>
      <c r="HDD32" s="204"/>
      <c r="HDE32" s="204"/>
      <c r="HDF32" s="204"/>
      <c r="HDG32" s="204"/>
      <c r="HDH32" s="204"/>
      <c r="HDI32" s="204"/>
      <c r="HDJ32" s="204"/>
      <c r="HDK32" s="204"/>
      <c r="HDL32" s="204"/>
      <c r="HDM32" s="204"/>
      <c r="HDN32" s="204"/>
      <c r="HDO32" s="204"/>
      <c r="HDP32" s="204"/>
      <c r="HDQ32" s="204"/>
      <c r="HDR32" s="204"/>
      <c r="HDS32" s="204"/>
      <c r="HDT32" s="204"/>
      <c r="HDU32" s="204"/>
      <c r="HDV32" s="204"/>
      <c r="HDW32" s="204"/>
      <c r="HDX32" s="204"/>
      <c r="HDY32" s="204"/>
      <c r="HDZ32" s="204"/>
      <c r="HEA32" s="204"/>
      <c r="HEB32" s="204"/>
      <c r="HEC32" s="204"/>
      <c r="HED32" s="204"/>
      <c r="HEE32" s="204"/>
      <c r="HEF32" s="204"/>
      <c r="HEG32" s="204"/>
      <c r="HEH32" s="204"/>
      <c r="HEI32" s="204"/>
      <c r="HEJ32" s="204"/>
      <c r="HEK32" s="204"/>
      <c r="HEL32" s="204"/>
      <c r="HEM32" s="204"/>
      <c r="HEN32" s="204"/>
      <c r="HEO32" s="204"/>
      <c r="HEP32" s="204"/>
      <c r="HEQ32" s="204"/>
      <c r="HER32" s="204"/>
      <c r="HES32" s="204"/>
      <c r="HET32" s="204"/>
      <c r="HEU32" s="204"/>
      <c r="HEV32" s="204"/>
      <c r="HEW32" s="204"/>
      <c r="HEX32" s="204"/>
      <c r="HEY32" s="204"/>
      <c r="HEZ32" s="204"/>
      <c r="HFA32" s="204"/>
      <c r="HFB32" s="204"/>
      <c r="HFC32" s="204"/>
      <c r="HFD32" s="204"/>
      <c r="HFE32" s="204"/>
      <c r="HFF32" s="204"/>
      <c r="HFG32" s="204"/>
      <c r="HFH32" s="204"/>
      <c r="HFI32" s="204"/>
      <c r="HFJ32" s="204"/>
      <c r="HFK32" s="204"/>
      <c r="HFL32" s="204"/>
      <c r="HFM32" s="204"/>
      <c r="HFN32" s="204"/>
      <c r="HFO32" s="204"/>
      <c r="HFP32" s="204"/>
      <c r="HFQ32" s="204"/>
      <c r="HFR32" s="204"/>
      <c r="HFS32" s="204"/>
      <c r="HFT32" s="204"/>
      <c r="HFU32" s="204"/>
      <c r="HFV32" s="204"/>
      <c r="HFW32" s="204"/>
      <c r="HFX32" s="204"/>
      <c r="HFY32" s="204"/>
      <c r="HFZ32" s="204"/>
      <c r="HGA32" s="204"/>
      <c r="HGB32" s="204"/>
      <c r="HGC32" s="204"/>
      <c r="HGD32" s="204"/>
      <c r="HGE32" s="204"/>
      <c r="HGF32" s="204"/>
      <c r="HGG32" s="204"/>
      <c r="HGH32" s="204"/>
      <c r="HGI32" s="204"/>
      <c r="HGJ32" s="204"/>
      <c r="HGK32" s="204"/>
      <c r="HGL32" s="204"/>
      <c r="HGM32" s="204"/>
      <c r="HGN32" s="204"/>
      <c r="HGO32" s="204"/>
      <c r="HGP32" s="204"/>
      <c r="HGQ32" s="204"/>
      <c r="HGR32" s="204"/>
      <c r="HGS32" s="204"/>
      <c r="HGT32" s="204"/>
      <c r="HGU32" s="204"/>
      <c r="HGV32" s="204"/>
      <c r="HGW32" s="204"/>
      <c r="HGX32" s="204"/>
      <c r="HGY32" s="204"/>
      <c r="HGZ32" s="204"/>
      <c r="HHA32" s="204"/>
      <c r="HHB32" s="204"/>
      <c r="HHC32" s="204"/>
      <c r="HHD32" s="204"/>
      <c r="HHE32" s="204"/>
      <c r="HHF32" s="204"/>
      <c r="HHG32" s="204"/>
      <c r="HHH32" s="204"/>
      <c r="HHI32" s="204"/>
      <c r="HHJ32" s="204"/>
      <c r="HHK32" s="204"/>
      <c r="HHL32" s="204"/>
      <c r="HHM32" s="204"/>
      <c r="HHN32" s="204"/>
      <c r="HHO32" s="204"/>
      <c r="HHP32" s="204"/>
      <c r="HHQ32" s="204"/>
      <c r="HHR32" s="204"/>
      <c r="HHS32" s="204"/>
      <c r="HHT32" s="204"/>
      <c r="HHU32" s="204"/>
      <c r="HHV32" s="204"/>
      <c r="HHW32" s="204"/>
      <c r="HHX32" s="204"/>
      <c r="HHY32" s="204"/>
      <c r="HHZ32" s="204"/>
      <c r="HIA32" s="204"/>
      <c r="HIB32" s="204"/>
      <c r="HIC32" s="204"/>
      <c r="HID32" s="204"/>
      <c r="HIE32" s="204"/>
      <c r="HIF32" s="204"/>
      <c r="HIG32" s="204"/>
      <c r="HIH32" s="204"/>
      <c r="HII32" s="204"/>
      <c r="HIJ32" s="204"/>
      <c r="HIK32" s="204"/>
      <c r="HIL32" s="204"/>
      <c r="HIM32" s="204"/>
      <c r="HIN32" s="204"/>
      <c r="HIO32" s="204"/>
      <c r="HIP32" s="204"/>
      <c r="HIQ32" s="204"/>
      <c r="HIR32" s="204"/>
      <c r="HIS32" s="204"/>
      <c r="HIT32" s="204"/>
      <c r="HIU32" s="204"/>
      <c r="HIV32" s="204"/>
      <c r="HIW32" s="204"/>
      <c r="HIX32" s="204"/>
      <c r="HIY32" s="204"/>
      <c r="HIZ32" s="204"/>
      <c r="HJA32" s="204"/>
      <c r="HJB32" s="204"/>
      <c r="HJC32" s="204"/>
      <c r="HJD32" s="204"/>
      <c r="HJE32" s="204"/>
      <c r="HJF32" s="204"/>
      <c r="HJG32" s="204"/>
      <c r="HJH32" s="204"/>
      <c r="HJI32" s="204"/>
      <c r="HJJ32" s="204"/>
      <c r="HJK32" s="204"/>
      <c r="HJL32" s="204"/>
      <c r="HJM32" s="204"/>
      <c r="HJN32" s="204"/>
      <c r="HJO32" s="204"/>
      <c r="HJP32" s="204"/>
      <c r="HJQ32" s="204"/>
      <c r="HJR32" s="204"/>
      <c r="HJS32" s="204"/>
      <c r="HJT32" s="204"/>
      <c r="HJU32" s="204"/>
      <c r="HJV32" s="204"/>
      <c r="HJW32" s="204"/>
      <c r="HJX32" s="204"/>
      <c r="HJY32" s="204"/>
      <c r="HJZ32" s="204"/>
      <c r="HKA32" s="204"/>
      <c r="HKB32" s="204"/>
      <c r="HKC32" s="204"/>
      <c r="HKD32" s="204"/>
      <c r="HKE32" s="204"/>
      <c r="HKF32" s="204"/>
      <c r="HKG32" s="204"/>
      <c r="HKH32" s="204"/>
      <c r="HKI32" s="204"/>
      <c r="HKJ32" s="204"/>
      <c r="HKK32" s="204"/>
      <c r="HKL32" s="204"/>
      <c r="HKM32" s="204"/>
      <c r="HKN32" s="204"/>
      <c r="HKO32" s="204"/>
      <c r="HKP32" s="204"/>
      <c r="HKQ32" s="204"/>
      <c r="HKR32" s="204"/>
      <c r="HKS32" s="204"/>
      <c r="HKT32" s="204"/>
      <c r="HKU32" s="204"/>
      <c r="HKV32" s="204"/>
      <c r="HKW32" s="204"/>
      <c r="HKX32" s="204"/>
      <c r="HKY32" s="204"/>
      <c r="HKZ32" s="204"/>
      <c r="HLA32" s="204"/>
      <c r="HLB32" s="204"/>
      <c r="HLC32" s="204"/>
      <c r="HLD32" s="204"/>
      <c r="HLE32" s="204"/>
      <c r="HLF32" s="204"/>
      <c r="HLG32" s="204"/>
      <c r="HLH32" s="204"/>
      <c r="HLI32" s="204"/>
      <c r="HLJ32" s="204"/>
      <c r="HLK32" s="204"/>
      <c r="HLL32" s="204"/>
      <c r="HLM32" s="204"/>
      <c r="HLN32" s="204"/>
      <c r="HLO32" s="204"/>
      <c r="HLP32" s="204"/>
      <c r="HLQ32" s="204"/>
      <c r="HLR32" s="204"/>
      <c r="HLS32" s="204"/>
      <c r="HLT32" s="204"/>
      <c r="HLU32" s="204"/>
      <c r="HLV32" s="204"/>
      <c r="HLW32" s="204"/>
      <c r="HLX32" s="204"/>
      <c r="HLY32" s="204"/>
      <c r="HLZ32" s="204"/>
      <c r="HMA32" s="204"/>
      <c r="HMB32" s="204"/>
      <c r="HMC32" s="204"/>
      <c r="HMD32" s="204"/>
      <c r="HME32" s="204"/>
      <c r="HMF32" s="204"/>
      <c r="HMG32" s="204"/>
      <c r="HMH32" s="204"/>
      <c r="HMI32" s="204"/>
      <c r="HMJ32" s="204"/>
      <c r="HMK32" s="204"/>
      <c r="HML32" s="204"/>
      <c r="HMM32" s="204"/>
      <c r="HMN32" s="204"/>
      <c r="HMO32" s="204"/>
      <c r="HMP32" s="204"/>
      <c r="HMQ32" s="204"/>
      <c r="HMR32" s="204"/>
      <c r="HMS32" s="204"/>
      <c r="HMT32" s="204"/>
      <c r="HMU32" s="204"/>
      <c r="HMV32" s="204"/>
      <c r="HMW32" s="204"/>
      <c r="HMX32" s="204"/>
      <c r="HMY32" s="204"/>
      <c r="HMZ32" s="204"/>
      <c r="HNA32" s="204"/>
      <c r="HNB32" s="204"/>
      <c r="HNC32" s="204"/>
      <c r="HND32" s="204"/>
      <c r="HNE32" s="204"/>
      <c r="HNF32" s="204"/>
      <c r="HNG32" s="204"/>
      <c r="HNH32" s="204"/>
      <c r="HNI32" s="204"/>
      <c r="HNJ32" s="204"/>
      <c r="HNK32" s="204"/>
      <c r="HNL32" s="204"/>
      <c r="HNM32" s="204"/>
      <c r="HNN32" s="204"/>
      <c r="HNO32" s="204"/>
      <c r="HNP32" s="204"/>
      <c r="HNQ32" s="204"/>
      <c r="HNR32" s="204"/>
      <c r="HNS32" s="204"/>
      <c r="HNT32" s="204"/>
      <c r="HNU32" s="204"/>
      <c r="HNV32" s="204"/>
      <c r="HNW32" s="204"/>
      <c r="HNX32" s="204"/>
      <c r="HNY32" s="204"/>
      <c r="HNZ32" s="204"/>
      <c r="HOA32" s="204"/>
      <c r="HOB32" s="204"/>
      <c r="HOC32" s="204"/>
      <c r="HOD32" s="204"/>
      <c r="HOE32" s="204"/>
      <c r="HOF32" s="204"/>
      <c r="HOG32" s="204"/>
      <c r="HOH32" s="204"/>
      <c r="HOI32" s="204"/>
      <c r="HOJ32" s="204"/>
      <c r="HOK32" s="204"/>
      <c r="HOL32" s="204"/>
      <c r="HOM32" s="204"/>
      <c r="HON32" s="204"/>
      <c r="HOO32" s="204"/>
      <c r="HOP32" s="204"/>
      <c r="HOQ32" s="204"/>
      <c r="HOR32" s="204"/>
      <c r="HOS32" s="204"/>
      <c r="HOT32" s="204"/>
      <c r="HOU32" s="204"/>
      <c r="HOV32" s="204"/>
      <c r="HOW32" s="204"/>
      <c r="HOX32" s="204"/>
      <c r="HOY32" s="204"/>
      <c r="HOZ32" s="204"/>
      <c r="HPA32" s="204"/>
      <c r="HPB32" s="204"/>
      <c r="HPC32" s="204"/>
      <c r="HPD32" s="204"/>
      <c r="HPE32" s="204"/>
      <c r="HPF32" s="204"/>
      <c r="HPG32" s="204"/>
      <c r="HPH32" s="204"/>
      <c r="HPI32" s="204"/>
      <c r="HPJ32" s="204"/>
      <c r="HPK32" s="204"/>
      <c r="HPL32" s="204"/>
      <c r="HPM32" s="204"/>
      <c r="HPN32" s="204"/>
      <c r="HPO32" s="204"/>
      <c r="HPP32" s="204"/>
      <c r="HPQ32" s="204"/>
      <c r="HPR32" s="204"/>
      <c r="HPS32" s="204"/>
      <c r="HPT32" s="204"/>
      <c r="HPU32" s="204"/>
      <c r="HPV32" s="204"/>
      <c r="HPW32" s="204"/>
      <c r="HPX32" s="204"/>
      <c r="HPY32" s="204"/>
      <c r="HPZ32" s="204"/>
      <c r="HQA32" s="204"/>
      <c r="HQB32" s="204"/>
      <c r="HQC32" s="204"/>
      <c r="HQD32" s="204"/>
      <c r="HQE32" s="204"/>
      <c r="HQF32" s="204"/>
      <c r="HQG32" s="204"/>
      <c r="HQH32" s="204"/>
      <c r="HQI32" s="204"/>
      <c r="HQJ32" s="204"/>
      <c r="HQK32" s="204"/>
      <c r="HQL32" s="204"/>
      <c r="HQM32" s="204"/>
      <c r="HQN32" s="204"/>
      <c r="HQO32" s="204"/>
      <c r="HQP32" s="204"/>
      <c r="HQQ32" s="204"/>
      <c r="HQR32" s="204"/>
      <c r="HQS32" s="204"/>
      <c r="HQT32" s="204"/>
      <c r="HQU32" s="204"/>
      <c r="HQV32" s="204"/>
      <c r="HQW32" s="204"/>
      <c r="HQX32" s="204"/>
      <c r="HQY32" s="204"/>
      <c r="HQZ32" s="204"/>
      <c r="HRA32" s="204"/>
      <c r="HRB32" s="204"/>
      <c r="HRC32" s="204"/>
      <c r="HRD32" s="204"/>
      <c r="HRE32" s="204"/>
      <c r="HRF32" s="204"/>
      <c r="HRG32" s="204"/>
      <c r="HRH32" s="204"/>
      <c r="HRI32" s="204"/>
      <c r="HRJ32" s="204"/>
      <c r="HRK32" s="204"/>
      <c r="HRL32" s="204"/>
      <c r="HRM32" s="204"/>
      <c r="HRN32" s="204"/>
      <c r="HRO32" s="204"/>
      <c r="HRP32" s="204"/>
      <c r="HRQ32" s="204"/>
      <c r="HRR32" s="204"/>
      <c r="HRS32" s="204"/>
      <c r="HRT32" s="204"/>
      <c r="HRU32" s="204"/>
      <c r="HRV32" s="204"/>
      <c r="HRW32" s="204"/>
      <c r="HRX32" s="204"/>
      <c r="HRY32" s="204"/>
      <c r="HRZ32" s="204"/>
      <c r="HSA32" s="204"/>
      <c r="HSB32" s="204"/>
      <c r="HSC32" s="204"/>
      <c r="HSD32" s="204"/>
      <c r="HSE32" s="204"/>
      <c r="HSF32" s="204"/>
      <c r="HSG32" s="204"/>
      <c r="HSH32" s="204"/>
      <c r="HSI32" s="204"/>
      <c r="HSJ32" s="204"/>
      <c r="HSK32" s="204"/>
      <c r="HSL32" s="204"/>
      <c r="HSM32" s="204"/>
      <c r="HSN32" s="204"/>
      <c r="HSO32" s="204"/>
      <c r="HSP32" s="204"/>
      <c r="HSQ32" s="204"/>
      <c r="HSR32" s="204"/>
      <c r="HSS32" s="204"/>
      <c r="HST32" s="204"/>
      <c r="HSU32" s="204"/>
      <c r="HSV32" s="204"/>
      <c r="HSW32" s="204"/>
      <c r="HSX32" s="204"/>
      <c r="HSY32" s="204"/>
      <c r="HSZ32" s="204"/>
      <c r="HTA32" s="204"/>
      <c r="HTB32" s="204"/>
      <c r="HTC32" s="204"/>
      <c r="HTD32" s="204"/>
      <c r="HTE32" s="204"/>
      <c r="HTF32" s="204"/>
      <c r="HTG32" s="204"/>
      <c r="HTH32" s="204"/>
      <c r="HTI32" s="204"/>
      <c r="HTJ32" s="204"/>
      <c r="HTK32" s="204"/>
      <c r="HTL32" s="204"/>
      <c r="HTM32" s="204"/>
      <c r="HTN32" s="204"/>
      <c r="HTO32" s="204"/>
      <c r="HTP32" s="204"/>
      <c r="HTQ32" s="204"/>
      <c r="HTR32" s="204"/>
      <c r="HTS32" s="204"/>
      <c r="HTT32" s="204"/>
      <c r="HTU32" s="204"/>
      <c r="HTV32" s="204"/>
      <c r="HTW32" s="204"/>
      <c r="HTX32" s="204"/>
      <c r="HTY32" s="204"/>
      <c r="HTZ32" s="204"/>
      <c r="HUA32" s="204"/>
      <c r="HUB32" s="204"/>
      <c r="HUC32" s="204"/>
      <c r="HUD32" s="204"/>
      <c r="HUE32" s="204"/>
      <c r="HUF32" s="204"/>
      <c r="HUG32" s="204"/>
      <c r="HUH32" s="204"/>
      <c r="HUI32" s="204"/>
      <c r="HUJ32" s="204"/>
      <c r="HUK32" s="204"/>
      <c r="HUL32" s="204"/>
      <c r="HUM32" s="204"/>
      <c r="HUN32" s="204"/>
      <c r="HUO32" s="204"/>
      <c r="HUP32" s="204"/>
      <c r="HUQ32" s="204"/>
      <c r="HUR32" s="204"/>
      <c r="HUS32" s="204"/>
      <c r="HUT32" s="204"/>
      <c r="HUU32" s="204"/>
      <c r="HUV32" s="204"/>
      <c r="HUW32" s="204"/>
      <c r="HUX32" s="204"/>
      <c r="HUY32" s="204"/>
      <c r="HUZ32" s="204"/>
      <c r="HVA32" s="204"/>
      <c r="HVB32" s="204"/>
      <c r="HVC32" s="204"/>
      <c r="HVD32" s="204"/>
      <c r="HVE32" s="204"/>
      <c r="HVF32" s="204"/>
      <c r="HVG32" s="204"/>
      <c r="HVH32" s="204"/>
      <c r="HVI32" s="204"/>
      <c r="HVJ32" s="204"/>
      <c r="HVK32" s="204"/>
      <c r="HVL32" s="204"/>
      <c r="HVM32" s="204"/>
      <c r="HVN32" s="204"/>
      <c r="HVO32" s="204"/>
      <c r="HVP32" s="204"/>
      <c r="HVQ32" s="204"/>
      <c r="HVR32" s="204"/>
      <c r="HVS32" s="204"/>
      <c r="HVT32" s="204"/>
      <c r="HVU32" s="204"/>
      <c r="HVV32" s="204"/>
      <c r="HVW32" s="204"/>
      <c r="HVX32" s="204"/>
      <c r="HVY32" s="204"/>
      <c r="HVZ32" s="204"/>
      <c r="HWA32" s="204"/>
      <c r="HWB32" s="204"/>
      <c r="HWC32" s="204"/>
      <c r="HWD32" s="204"/>
      <c r="HWE32" s="204"/>
      <c r="HWF32" s="204"/>
      <c r="HWG32" s="204"/>
      <c r="HWH32" s="204"/>
      <c r="HWI32" s="204"/>
      <c r="HWJ32" s="204"/>
      <c r="HWK32" s="204"/>
      <c r="HWL32" s="204"/>
      <c r="HWM32" s="204"/>
      <c r="HWN32" s="204"/>
      <c r="HWO32" s="204"/>
      <c r="HWP32" s="204"/>
      <c r="HWQ32" s="204"/>
      <c r="HWR32" s="204"/>
      <c r="HWS32" s="204"/>
      <c r="HWT32" s="204"/>
      <c r="HWU32" s="204"/>
      <c r="HWV32" s="204"/>
      <c r="HWW32" s="204"/>
      <c r="HWX32" s="204"/>
      <c r="HWY32" s="204"/>
      <c r="HWZ32" s="204"/>
      <c r="HXA32" s="204"/>
      <c r="HXB32" s="204"/>
      <c r="HXC32" s="204"/>
      <c r="HXD32" s="204"/>
      <c r="HXE32" s="204"/>
      <c r="HXF32" s="204"/>
      <c r="HXG32" s="204"/>
      <c r="HXH32" s="204"/>
      <c r="HXI32" s="204"/>
      <c r="HXJ32" s="204"/>
      <c r="HXK32" s="204"/>
      <c r="HXL32" s="204"/>
      <c r="HXM32" s="204"/>
      <c r="HXN32" s="204"/>
      <c r="HXO32" s="204"/>
      <c r="HXP32" s="204"/>
      <c r="HXQ32" s="204"/>
      <c r="HXR32" s="204"/>
      <c r="HXS32" s="204"/>
      <c r="HXT32" s="204"/>
      <c r="HXU32" s="204"/>
      <c r="HXV32" s="204"/>
      <c r="HXW32" s="204"/>
      <c r="HXX32" s="204"/>
      <c r="HXY32" s="204"/>
      <c r="HXZ32" s="204"/>
      <c r="HYA32" s="204"/>
      <c r="HYB32" s="204"/>
      <c r="HYC32" s="204"/>
      <c r="HYD32" s="204"/>
      <c r="HYE32" s="204"/>
      <c r="HYF32" s="204"/>
      <c r="HYG32" s="204"/>
      <c r="HYH32" s="204"/>
      <c r="HYI32" s="204"/>
      <c r="HYJ32" s="204"/>
      <c r="HYK32" s="204"/>
      <c r="HYL32" s="204"/>
      <c r="HYM32" s="204"/>
      <c r="HYN32" s="204"/>
      <c r="HYO32" s="204"/>
      <c r="HYP32" s="204"/>
      <c r="HYQ32" s="204"/>
      <c r="HYR32" s="204"/>
      <c r="HYS32" s="204"/>
      <c r="HYT32" s="204"/>
      <c r="HYU32" s="204"/>
      <c r="HYV32" s="204"/>
      <c r="HYW32" s="204"/>
      <c r="HYX32" s="204"/>
      <c r="HYY32" s="204"/>
      <c r="HYZ32" s="204"/>
      <c r="HZA32" s="204"/>
      <c r="HZB32" s="204"/>
      <c r="HZC32" s="204"/>
      <c r="HZD32" s="204"/>
      <c r="HZE32" s="204"/>
      <c r="HZF32" s="204"/>
      <c r="HZG32" s="204"/>
      <c r="HZH32" s="204"/>
      <c r="HZI32" s="204"/>
      <c r="HZJ32" s="204"/>
      <c r="HZK32" s="204"/>
      <c r="HZL32" s="204"/>
      <c r="HZM32" s="204"/>
      <c r="HZN32" s="204"/>
      <c r="HZO32" s="204"/>
      <c r="HZP32" s="204"/>
      <c r="HZQ32" s="204"/>
      <c r="HZR32" s="204"/>
      <c r="HZS32" s="204"/>
      <c r="HZT32" s="204"/>
      <c r="HZU32" s="204"/>
      <c r="HZV32" s="204"/>
      <c r="HZW32" s="204"/>
      <c r="HZX32" s="204"/>
      <c r="HZY32" s="204"/>
      <c r="HZZ32" s="204"/>
      <c r="IAA32" s="204"/>
      <c r="IAB32" s="204"/>
      <c r="IAC32" s="204"/>
      <c r="IAD32" s="204"/>
      <c r="IAE32" s="204"/>
      <c r="IAF32" s="204"/>
      <c r="IAG32" s="204"/>
      <c r="IAH32" s="204"/>
      <c r="IAI32" s="204"/>
      <c r="IAJ32" s="204"/>
      <c r="IAK32" s="204"/>
      <c r="IAL32" s="204"/>
      <c r="IAM32" s="204"/>
      <c r="IAN32" s="204"/>
      <c r="IAO32" s="204"/>
      <c r="IAP32" s="204"/>
      <c r="IAQ32" s="204"/>
      <c r="IAR32" s="204"/>
      <c r="IAS32" s="204"/>
      <c r="IAT32" s="204"/>
      <c r="IAU32" s="204"/>
      <c r="IAV32" s="204"/>
      <c r="IAW32" s="204"/>
      <c r="IAX32" s="204"/>
      <c r="IAY32" s="204"/>
      <c r="IAZ32" s="204"/>
      <c r="IBA32" s="204"/>
      <c r="IBB32" s="204"/>
      <c r="IBC32" s="204"/>
      <c r="IBD32" s="204"/>
      <c r="IBE32" s="204"/>
      <c r="IBF32" s="204"/>
      <c r="IBG32" s="204"/>
      <c r="IBH32" s="204"/>
      <c r="IBI32" s="204"/>
      <c r="IBJ32" s="204"/>
      <c r="IBK32" s="204"/>
      <c r="IBL32" s="204"/>
      <c r="IBM32" s="204"/>
      <c r="IBN32" s="204"/>
      <c r="IBO32" s="204"/>
      <c r="IBP32" s="204"/>
      <c r="IBQ32" s="204"/>
      <c r="IBR32" s="204"/>
      <c r="IBS32" s="204"/>
      <c r="IBT32" s="204"/>
      <c r="IBU32" s="204"/>
      <c r="IBV32" s="204"/>
      <c r="IBW32" s="204"/>
      <c r="IBX32" s="204"/>
      <c r="IBY32" s="204"/>
      <c r="IBZ32" s="204"/>
      <c r="ICA32" s="204"/>
      <c r="ICB32" s="204"/>
      <c r="ICC32" s="204"/>
      <c r="ICD32" s="204"/>
      <c r="ICE32" s="204"/>
      <c r="ICF32" s="204"/>
      <c r="ICG32" s="204"/>
      <c r="ICH32" s="204"/>
      <c r="ICI32" s="204"/>
      <c r="ICJ32" s="204"/>
      <c r="ICK32" s="204"/>
      <c r="ICL32" s="204"/>
      <c r="ICM32" s="204"/>
      <c r="ICN32" s="204"/>
      <c r="ICO32" s="204"/>
      <c r="ICP32" s="204"/>
      <c r="ICQ32" s="204"/>
      <c r="ICR32" s="204"/>
      <c r="ICS32" s="204"/>
      <c r="ICT32" s="204"/>
      <c r="ICU32" s="204"/>
      <c r="ICV32" s="204"/>
      <c r="ICW32" s="204"/>
      <c r="ICX32" s="204"/>
      <c r="ICY32" s="204"/>
      <c r="ICZ32" s="204"/>
      <c r="IDA32" s="204"/>
      <c r="IDB32" s="204"/>
      <c r="IDC32" s="204"/>
      <c r="IDD32" s="204"/>
      <c r="IDE32" s="204"/>
      <c r="IDF32" s="204"/>
      <c r="IDG32" s="204"/>
      <c r="IDH32" s="204"/>
      <c r="IDI32" s="204"/>
      <c r="IDJ32" s="204"/>
      <c r="IDK32" s="204"/>
      <c r="IDL32" s="204"/>
      <c r="IDM32" s="204"/>
      <c r="IDN32" s="204"/>
      <c r="IDO32" s="204"/>
      <c r="IDP32" s="204"/>
      <c r="IDQ32" s="204"/>
      <c r="IDR32" s="204"/>
      <c r="IDS32" s="204"/>
      <c r="IDT32" s="204"/>
      <c r="IDU32" s="204"/>
      <c r="IDV32" s="204"/>
      <c r="IDW32" s="204"/>
      <c r="IDX32" s="204"/>
      <c r="IDY32" s="204"/>
      <c r="IDZ32" s="204"/>
      <c r="IEA32" s="204"/>
      <c r="IEB32" s="204"/>
      <c r="IEC32" s="204"/>
      <c r="IED32" s="204"/>
      <c r="IEE32" s="204"/>
      <c r="IEF32" s="204"/>
      <c r="IEG32" s="204"/>
      <c r="IEH32" s="204"/>
      <c r="IEI32" s="204"/>
      <c r="IEJ32" s="204"/>
      <c r="IEK32" s="204"/>
      <c r="IEL32" s="204"/>
      <c r="IEM32" s="204"/>
      <c r="IEN32" s="204"/>
      <c r="IEO32" s="204"/>
      <c r="IEP32" s="204"/>
      <c r="IEQ32" s="204"/>
      <c r="IER32" s="204"/>
      <c r="IES32" s="204"/>
      <c r="IET32" s="204"/>
      <c r="IEU32" s="204"/>
      <c r="IEV32" s="204"/>
      <c r="IEW32" s="204"/>
      <c r="IEX32" s="204"/>
      <c r="IEY32" s="204"/>
      <c r="IEZ32" s="204"/>
      <c r="IFA32" s="204"/>
      <c r="IFB32" s="204"/>
      <c r="IFC32" s="204"/>
      <c r="IFD32" s="204"/>
      <c r="IFE32" s="204"/>
      <c r="IFF32" s="204"/>
      <c r="IFG32" s="204"/>
      <c r="IFH32" s="204"/>
      <c r="IFI32" s="204"/>
      <c r="IFJ32" s="204"/>
      <c r="IFK32" s="204"/>
      <c r="IFL32" s="204"/>
      <c r="IFM32" s="204"/>
      <c r="IFN32" s="204"/>
      <c r="IFO32" s="204"/>
      <c r="IFP32" s="204"/>
      <c r="IFQ32" s="204"/>
      <c r="IFR32" s="204"/>
      <c r="IFS32" s="204"/>
      <c r="IFT32" s="204"/>
      <c r="IFU32" s="204"/>
      <c r="IFV32" s="204"/>
      <c r="IFW32" s="204"/>
      <c r="IFX32" s="204"/>
      <c r="IFY32" s="204"/>
      <c r="IFZ32" s="204"/>
      <c r="IGA32" s="204"/>
      <c r="IGB32" s="204"/>
      <c r="IGC32" s="204"/>
      <c r="IGD32" s="204"/>
      <c r="IGE32" s="204"/>
      <c r="IGF32" s="204"/>
      <c r="IGG32" s="204"/>
      <c r="IGH32" s="204"/>
      <c r="IGI32" s="204"/>
      <c r="IGJ32" s="204"/>
      <c r="IGK32" s="204"/>
      <c r="IGL32" s="204"/>
      <c r="IGM32" s="204"/>
      <c r="IGN32" s="204"/>
      <c r="IGO32" s="204"/>
      <c r="IGP32" s="204"/>
      <c r="IGQ32" s="204"/>
      <c r="IGR32" s="204"/>
      <c r="IGS32" s="204"/>
      <c r="IGT32" s="204"/>
      <c r="IGU32" s="204"/>
      <c r="IGV32" s="204"/>
      <c r="IGW32" s="204"/>
      <c r="IGX32" s="204"/>
      <c r="IGY32" s="204"/>
      <c r="IGZ32" s="204"/>
      <c r="IHA32" s="204"/>
      <c r="IHB32" s="204"/>
      <c r="IHC32" s="204"/>
      <c r="IHD32" s="204"/>
      <c r="IHE32" s="204"/>
      <c r="IHF32" s="204"/>
      <c r="IHG32" s="204"/>
      <c r="IHH32" s="204"/>
      <c r="IHI32" s="204"/>
      <c r="IHJ32" s="204"/>
      <c r="IHK32" s="204"/>
      <c r="IHL32" s="204"/>
      <c r="IHM32" s="204"/>
      <c r="IHN32" s="204"/>
      <c r="IHO32" s="204"/>
      <c r="IHP32" s="204"/>
      <c r="IHQ32" s="204"/>
      <c r="IHR32" s="204"/>
      <c r="IHS32" s="204"/>
      <c r="IHT32" s="204"/>
      <c r="IHU32" s="204"/>
      <c r="IHV32" s="204"/>
      <c r="IHW32" s="204"/>
      <c r="IHX32" s="204"/>
      <c r="IHY32" s="204"/>
      <c r="IHZ32" s="204"/>
      <c r="IIA32" s="204"/>
      <c r="IIB32" s="204"/>
      <c r="IIC32" s="204"/>
      <c r="IID32" s="204"/>
      <c r="IIE32" s="204"/>
      <c r="IIF32" s="204"/>
      <c r="IIG32" s="204"/>
      <c r="IIH32" s="204"/>
      <c r="III32" s="204"/>
      <c r="IIJ32" s="204"/>
      <c r="IIK32" s="204"/>
      <c r="IIL32" s="204"/>
      <c r="IIM32" s="204"/>
      <c r="IIN32" s="204"/>
      <c r="IIO32" s="204"/>
      <c r="IIP32" s="204"/>
      <c r="IIQ32" s="204"/>
      <c r="IIR32" s="204"/>
      <c r="IIS32" s="204"/>
      <c r="IIT32" s="204"/>
      <c r="IIU32" s="204"/>
      <c r="IIV32" s="204"/>
      <c r="IIW32" s="204"/>
      <c r="IIX32" s="204"/>
      <c r="IIY32" s="204"/>
      <c r="IIZ32" s="204"/>
      <c r="IJA32" s="204"/>
      <c r="IJB32" s="204"/>
      <c r="IJC32" s="204"/>
      <c r="IJD32" s="204"/>
      <c r="IJE32" s="204"/>
      <c r="IJF32" s="204"/>
      <c r="IJG32" s="204"/>
      <c r="IJH32" s="204"/>
      <c r="IJI32" s="204"/>
      <c r="IJJ32" s="204"/>
      <c r="IJK32" s="204"/>
      <c r="IJL32" s="204"/>
      <c r="IJM32" s="204"/>
      <c r="IJN32" s="204"/>
      <c r="IJO32" s="204"/>
      <c r="IJP32" s="204"/>
      <c r="IJQ32" s="204"/>
      <c r="IJR32" s="204"/>
      <c r="IJS32" s="204"/>
      <c r="IJT32" s="204"/>
      <c r="IJU32" s="204"/>
      <c r="IJV32" s="204"/>
      <c r="IJW32" s="204"/>
      <c r="IJX32" s="204"/>
      <c r="IJY32" s="204"/>
      <c r="IJZ32" s="204"/>
      <c r="IKA32" s="204"/>
      <c r="IKB32" s="204"/>
      <c r="IKC32" s="204"/>
      <c r="IKD32" s="204"/>
      <c r="IKE32" s="204"/>
      <c r="IKF32" s="204"/>
      <c r="IKG32" s="204"/>
      <c r="IKH32" s="204"/>
      <c r="IKI32" s="204"/>
      <c r="IKJ32" s="204"/>
      <c r="IKK32" s="204"/>
      <c r="IKL32" s="204"/>
      <c r="IKM32" s="204"/>
      <c r="IKN32" s="204"/>
      <c r="IKO32" s="204"/>
      <c r="IKP32" s="204"/>
      <c r="IKQ32" s="204"/>
      <c r="IKR32" s="204"/>
      <c r="IKS32" s="204"/>
      <c r="IKT32" s="204"/>
      <c r="IKU32" s="204"/>
      <c r="IKV32" s="204"/>
      <c r="IKW32" s="204"/>
      <c r="IKX32" s="204"/>
      <c r="IKY32" s="204"/>
      <c r="IKZ32" s="204"/>
      <c r="ILA32" s="204"/>
      <c r="ILB32" s="204"/>
      <c r="ILC32" s="204"/>
      <c r="ILD32" s="204"/>
      <c r="ILE32" s="204"/>
      <c r="ILF32" s="204"/>
      <c r="ILG32" s="204"/>
      <c r="ILH32" s="204"/>
      <c r="ILI32" s="204"/>
      <c r="ILJ32" s="204"/>
      <c r="ILK32" s="204"/>
      <c r="ILL32" s="204"/>
      <c r="ILM32" s="204"/>
      <c r="ILN32" s="204"/>
      <c r="ILO32" s="204"/>
      <c r="ILP32" s="204"/>
      <c r="ILQ32" s="204"/>
      <c r="ILR32" s="204"/>
      <c r="ILS32" s="204"/>
      <c r="ILT32" s="204"/>
      <c r="ILU32" s="204"/>
      <c r="ILV32" s="204"/>
      <c r="ILW32" s="204"/>
      <c r="ILX32" s="204"/>
      <c r="ILY32" s="204"/>
      <c r="ILZ32" s="204"/>
      <c r="IMA32" s="204"/>
      <c r="IMB32" s="204"/>
      <c r="IMC32" s="204"/>
      <c r="IMD32" s="204"/>
      <c r="IME32" s="204"/>
      <c r="IMF32" s="204"/>
      <c r="IMG32" s="204"/>
      <c r="IMH32" s="204"/>
      <c r="IMI32" s="204"/>
      <c r="IMJ32" s="204"/>
      <c r="IMK32" s="204"/>
      <c r="IML32" s="204"/>
      <c r="IMM32" s="204"/>
      <c r="IMN32" s="204"/>
      <c r="IMO32" s="204"/>
      <c r="IMP32" s="204"/>
      <c r="IMQ32" s="204"/>
      <c r="IMR32" s="204"/>
      <c r="IMS32" s="204"/>
      <c r="IMT32" s="204"/>
      <c r="IMU32" s="204"/>
      <c r="IMV32" s="204"/>
      <c r="IMW32" s="204"/>
      <c r="IMX32" s="204"/>
      <c r="IMY32" s="204"/>
      <c r="IMZ32" s="204"/>
      <c r="INA32" s="204"/>
      <c r="INB32" s="204"/>
      <c r="INC32" s="204"/>
      <c r="IND32" s="204"/>
      <c r="INE32" s="204"/>
      <c r="INF32" s="204"/>
      <c r="ING32" s="204"/>
      <c r="INH32" s="204"/>
      <c r="INI32" s="204"/>
      <c r="INJ32" s="204"/>
      <c r="INK32" s="204"/>
      <c r="INL32" s="204"/>
      <c r="INM32" s="204"/>
      <c r="INN32" s="204"/>
      <c r="INO32" s="204"/>
      <c r="INP32" s="204"/>
      <c r="INQ32" s="204"/>
      <c r="INR32" s="204"/>
      <c r="INS32" s="204"/>
      <c r="INT32" s="204"/>
      <c r="INU32" s="204"/>
      <c r="INV32" s="204"/>
      <c r="INW32" s="204"/>
      <c r="INX32" s="204"/>
      <c r="INY32" s="204"/>
      <c r="INZ32" s="204"/>
      <c r="IOA32" s="204"/>
      <c r="IOB32" s="204"/>
      <c r="IOC32" s="204"/>
      <c r="IOD32" s="204"/>
      <c r="IOE32" s="204"/>
      <c r="IOF32" s="204"/>
      <c r="IOG32" s="204"/>
      <c r="IOH32" s="204"/>
      <c r="IOI32" s="204"/>
      <c r="IOJ32" s="204"/>
      <c r="IOK32" s="204"/>
      <c r="IOL32" s="204"/>
      <c r="IOM32" s="204"/>
      <c r="ION32" s="204"/>
      <c r="IOO32" s="204"/>
      <c r="IOP32" s="204"/>
      <c r="IOQ32" s="204"/>
      <c r="IOR32" s="204"/>
      <c r="IOS32" s="204"/>
      <c r="IOT32" s="204"/>
      <c r="IOU32" s="204"/>
      <c r="IOV32" s="204"/>
      <c r="IOW32" s="204"/>
      <c r="IOX32" s="204"/>
      <c r="IOY32" s="204"/>
      <c r="IOZ32" s="204"/>
      <c r="IPA32" s="204"/>
      <c r="IPB32" s="204"/>
      <c r="IPC32" s="204"/>
      <c r="IPD32" s="204"/>
      <c r="IPE32" s="204"/>
      <c r="IPF32" s="204"/>
      <c r="IPG32" s="204"/>
      <c r="IPH32" s="204"/>
      <c r="IPI32" s="204"/>
      <c r="IPJ32" s="204"/>
      <c r="IPK32" s="204"/>
      <c r="IPL32" s="204"/>
      <c r="IPM32" s="204"/>
      <c r="IPN32" s="204"/>
      <c r="IPO32" s="204"/>
      <c r="IPP32" s="204"/>
      <c r="IPQ32" s="204"/>
      <c r="IPR32" s="204"/>
      <c r="IPS32" s="204"/>
      <c r="IPT32" s="204"/>
      <c r="IPU32" s="204"/>
      <c r="IPV32" s="204"/>
      <c r="IPW32" s="204"/>
      <c r="IPX32" s="204"/>
      <c r="IPY32" s="204"/>
      <c r="IPZ32" s="204"/>
      <c r="IQA32" s="204"/>
      <c r="IQB32" s="204"/>
      <c r="IQC32" s="204"/>
      <c r="IQD32" s="204"/>
      <c r="IQE32" s="204"/>
      <c r="IQF32" s="204"/>
      <c r="IQG32" s="204"/>
      <c r="IQH32" s="204"/>
      <c r="IQI32" s="204"/>
      <c r="IQJ32" s="204"/>
      <c r="IQK32" s="204"/>
      <c r="IQL32" s="204"/>
      <c r="IQM32" s="204"/>
      <c r="IQN32" s="204"/>
      <c r="IQO32" s="204"/>
      <c r="IQP32" s="204"/>
      <c r="IQQ32" s="204"/>
      <c r="IQR32" s="204"/>
      <c r="IQS32" s="204"/>
      <c r="IQT32" s="204"/>
      <c r="IQU32" s="204"/>
      <c r="IQV32" s="204"/>
      <c r="IQW32" s="204"/>
      <c r="IQX32" s="204"/>
      <c r="IQY32" s="204"/>
      <c r="IQZ32" s="204"/>
      <c r="IRA32" s="204"/>
      <c r="IRB32" s="204"/>
      <c r="IRC32" s="204"/>
      <c r="IRD32" s="204"/>
      <c r="IRE32" s="204"/>
      <c r="IRF32" s="204"/>
      <c r="IRG32" s="204"/>
      <c r="IRH32" s="204"/>
      <c r="IRI32" s="204"/>
      <c r="IRJ32" s="204"/>
      <c r="IRK32" s="204"/>
      <c r="IRL32" s="204"/>
      <c r="IRM32" s="204"/>
      <c r="IRN32" s="204"/>
      <c r="IRO32" s="204"/>
      <c r="IRP32" s="204"/>
      <c r="IRQ32" s="204"/>
      <c r="IRR32" s="204"/>
      <c r="IRS32" s="204"/>
      <c r="IRT32" s="204"/>
      <c r="IRU32" s="204"/>
      <c r="IRV32" s="204"/>
      <c r="IRW32" s="204"/>
      <c r="IRX32" s="204"/>
      <c r="IRY32" s="204"/>
      <c r="IRZ32" s="204"/>
      <c r="ISA32" s="204"/>
      <c r="ISB32" s="204"/>
      <c r="ISC32" s="204"/>
      <c r="ISD32" s="204"/>
      <c r="ISE32" s="204"/>
      <c r="ISF32" s="204"/>
      <c r="ISG32" s="204"/>
      <c r="ISH32" s="204"/>
      <c r="ISI32" s="204"/>
      <c r="ISJ32" s="204"/>
      <c r="ISK32" s="204"/>
      <c r="ISL32" s="204"/>
      <c r="ISM32" s="204"/>
      <c r="ISN32" s="204"/>
      <c r="ISO32" s="204"/>
      <c r="ISP32" s="204"/>
      <c r="ISQ32" s="204"/>
      <c r="ISR32" s="204"/>
      <c r="ISS32" s="204"/>
      <c r="IST32" s="204"/>
      <c r="ISU32" s="204"/>
      <c r="ISV32" s="204"/>
      <c r="ISW32" s="204"/>
      <c r="ISX32" s="204"/>
      <c r="ISY32" s="204"/>
      <c r="ISZ32" s="204"/>
      <c r="ITA32" s="204"/>
      <c r="ITB32" s="204"/>
      <c r="ITC32" s="204"/>
      <c r="ITD32" s="204"/>
      <c r="ITE32" s="204"/>
      <c r="ITF32" s="204"/>
      <c r="ITG32" s="204"/>
      <c r="ITH32" s="204"/>
      <c r="ITI32" s="204"/>
      <c r="ITJ32" s="204"/>
      <c r="ITK32" s="204"/>
      <c r="ITL32" s="204"/>
      <c r="ITM32" s="204"/>
      <c r="ITN32" s="204"/>
      <c r="ITO32" s="204"/>
      <c r="ITP32" s="204"/>
      <c r="ITQ32" s="204"/>
      <c r="ITR32" s="204"/>
      <c r="ITS32" s="204"/>
      <c r="ITT32" s="204"/>
      <c r="ITU32" s="204"/>
      <c r="ITV32" s="204"/>
      <c r="ITW32" s="204"/>
      <c r="ITX32" s="204"/>
      <c r="ITY32" s="204"/>
      <c r="ITZ32" s="204"/>
      <c r="IUA32" s="204"/>
      <c r="IUB32" s="204"/>
      <c r="IUC32" s="204"/>
      <c r="IUD32" s="204"/>
      <c r="IUE32" s="204"/>
      <c r="IUF32" s="204"/>
      <c r="IUG32" s="204"/>
      <c r="IUH32" s="204"/>
      <c r="IUI32" s="204"/>
      <c r="IUJ32" s="204"/>
      <c r="IUK32" s="204"/>
      <c r="IUL32" s="204"/>
      <c r="IUM32" s="204"/>
      <c r="IUN32" s="204"/>
      <c r="IUO32" s="204"/>
      <c r="IUP32" s="204"/>
      <c r="IUQ32" s="204"/>
      <c r="IUR32" s="204"/>
      <c r="IUS32" s="204"/>
      <c r="IUT32" s="204"/>
      <c r="IUU32" s="204"/>
      <c r="IUV32" s="204"/>
      <c r="IUW32" s="204"/>
      <c r="IUX32" s="204"/>
      <c r="IUY32" s="204"/>
      <c r="IUZ32" s="204"/>
      <c r="IVA32" s="204"/>
      <c r="IVB32" s="204"/>
      <c r="IVC32" s="204"/>
      <c r="IVD32" s="204"/>
      <c r="IVE32" s="204"/>
      <c r="IVF32" s="204"/>
      <c r="IVG32" s="204"/>
      <c r="IVH32" s="204"/>
      <c r="IVI32" s="204"/>
      <c r="IVJ32" s="204"/>
      <c r="IVK32" s="204"/>
      <c r="IVL32" s="204"/>
      <c r="IVM32" s="204"/>
      <c r="IVN32" s="204"/>
      <c r="IVO32" s="204"/>
      <c r="IVP32" s="204"/>
      <c r="IVQ32" s="204"/>
      <c r="IVR32" s="204"/>
      <c r="IVS32" s="204"/>
      <c r="IVT32" s="204"/>
      <c r="IVU32" s="204"/>
      <c r="IVV32" s="204"/>
      <c r="IVW32" s="204"/>
      <c r="IVX32" s="204"/>
      <c r="IVY32" s="204"/>
      <c r="IVZ32" s="204"/>
      <c r="IWA32" s="204"/>
      <c r="IWB32" s="204"/>
      <c r="IWC32" s="204"/>
      <c r="IWD32" s="204"/>
      <c r="IWE32" s="204"/>
      <c r="IWF32" s="204"/>
      <c r="IWG32" s="204"/>
      <c r="IWH32" s="204"/>
      <c r="IWI32" s="204"/>
      <c r="IWJ32" s="204"/>
      <c r="IWK32" s="204"/>
      <c r="IWL32" s="204"/>
      <c r="IWM32" s="204"/>
      <c r="IWN32" s="204"/>
      <c r="IWO32" s="204"/>
      <c r="IWP32" s="204"/>
      <c r="IWQ32" s="204"/>
      <c r="IWR32" s="204"/>
      <c r="IWS32" s="204"/>
      <c r="IWT32" s="204"/>
      <c r="IWU32" s="204"/>
      <c r="IWV32" s="204"/>
      <c r="IWW32" s="204"/>
      <c r="IWX32" s="204"/>
      <c r="IWY32" s="204"/>
      <c r="IWZ32" s="204"/>
      <c r="IXA32" s="204"/>
      <c r="IXB32" s="204"/>
      <c r="IXC32" s="204"/>
      <c r="IXD32" s="204"/>
      <c r="IXE32" s="204"/>
      <c r="IXF32" s="204"/>
      <c r="IXG32" s="204"/>
      <c r="IXH32" s="204"/>
      <c r="IXI32" s="204"/>
      <c r="IXJ32" s="204"/>
      <c r="IXK32" s="204"/>
      <c r="IXL32" s="204"/>
      <c r="IXM32" s="204"/>
      <c r="IXN32" s="204"/>
      <c r="IXO32" s="204"/>
      <c r="IXP32" s="204"/>
      <c r="IXQ32" s="204"/>
      <c r="IXR32" s="204"/>
      <c r="IXS32" s="204"/>
      <c r="IXT32" s="204"/>
      <c r="IXU32" s="204"/>
      <c r="IXV32" s="204"/>
      <c r="IXW32" s="204"/>
      <c r="IXX32" s="204"/>
      <c r="IXY32" s="204"/>
      <c r="IXZ32" s="204"/>
      <c r="IYA32" s="204"/>
      <c r="IYB32" s="204"/>
      <c r="IYC32" s="204"/>
      <c r="IYD32" s="204"/>
      <c r="IYE32" s="204"/>
      <c r="IYF32" s="204"/>
      <c r="IYG32" s="204"/>
      <c r="IYH32" s="204"/>
      <c r="IYI32" s="204"/>
      <c r="IYJ32" s="204"/>
      <c r="IYK32" s="204"/>
      <c r="IYL32" s="204"/>
      <c r="IYM32" s="204"/>
      <c r="IYN32" s="204"/>
      <c r="IYO32" s="204"/>
      <c r="IYP32" s="204"/>
      <c r="IYQ32" s="204"/>
      <c r="IYR32" s="204"/>
      <c r="IYS32" s="204"/>
      <c r="IYT32" s="204"/>
      <c r="IYU32" s="204"/>
      <c r="IYV32" s="204"/>
      <c r="IYW32" s="204"/>
      <c r="IYX32" s="204"/>
      <c r="IYY32" s="204"/>
      <c r="IYZ32" s="204"/>
      <c r="IZA32" s="204"/>
      <c r="IZB32" s="204"/>
      <c r="IZC32" s="204"/>
      <c r="IZD32" s="204"/>
      <c r="IZE32" s="204"/>
      <c r="IZF32" s="204"/>
      <c r="IZG32" s="204"/>
      <c r="IZH32" s="204"/>
      <c r="IZI32" s="204"/>
      <c r="IZJ32" s="204"/>
      <c r="IZK32" s="204"/>
      <c r="IZL32" s="204"/>
      <c r="IZM32" s="204"/>
      <c r="IZN32" s="204"/>
      <c r="IZO32" s="204"/>
      <c r="IZP32" s="204"/>
      <c r="IZQ32" s="204"/>
      <c r="IZR32" s="204"/>
      <c r="IZS32" s="204"/>
      <c r="IZT32" s="204"/>
      <c r="IZU32" s="204"/>
      <c r="IZV32" s="204"/>
      <c r="IZW32" s="204"/>
      <c r="IZX32" s="204"/>
      <c r="IZY32" s="204"/>
      <c r="IZZ32" s="204"/>
      <c r="JAA32" s="204"/>
      <c r="JAB32" s="204"/>
      <c r="JAC32" s="204"/>
      <c r="JAD32" s="204"/>
      <c r="JAE32" s="204"/>
      <c r="JAF32" s="204"/>
      <c r="JAG32" s="204"/>
      <c r="JAH32" s="204"/>
      <c r="JAI32" s="204"/>
      <c r="JAJ32" s="204"/>
      <c r="JAK32" s="204"/>
      <c r="JAL32" s="204"/>
      <c r="JAM32" s="204"/>
      <c r="JAN32" s="204"/>
      <c r="JAO32" s="204"/>
      <c r="JAP32" s="204"/>
      <c r="JAQ32" s="204"/>
      <c r="JAR32" s="204"/>
      <c r="JAS32" s="204"/>
      <c r="JAT32" s="204"/>
      <c r="JAU32" s="204"/>
      <c r="JAV32" s="204"/>
      <c r="JAW32" s="204"/>
      <c r="JAX32" s="204"/>
      <c r="JAY32" s="204"/>
      <c r="JAZ32" s="204"/>
      <c r="JBA32" s="204"/>
      <c r="JBB32" s="204"/>
      <c r="JBC32" s="204"/>
      <c r="JBD32" s="204"/>
      <c r="JBE32" s="204"/>
      <c r="JBF32" s="204"/>
      <c r="JBG32" s="204"/>
      <c r="JBH32" s="204"/>
      <c r="JBI32" s="204"/>
      <c r="JBJ32" s="204"/>
      <c r="JBK32" s="204"/>
      <c r="JBL32" s="204"/>
      <c r="JBM32" s="204"/>
      <c r="JBN32" s="204"/>
      <c r="JBO32" s="204"/>
      <c r="JBP32" s="204"/>
      <c r="JBQ32" s="204"/>
      <c r="JBR32" s="204"/>
      <c r="JBS32" s="204"/>
      <c r="JBT32" s="204"/>
      <c r="JBU32" s="204"/>
      <c r="JBV32" s="204"/>
      <c r="JBW32" s="204"/>
      <c r="JBX32" s="204"/>
      <c r="JBY32" s="204"/>
      <c r="JBZ32" s="204"/>
      <c r="JCA32" s="204"/>
      <c r="JCB32" s="204"/>
      <c r="JCC32" s="204"/>
      <c r="JCD32" s="204"/>
      <c r="JCE32" s="204"/>
      <c r="JCF32" s="204"/>
      <c r="JCG32" s="204"/>
      <c r="JCH32" s="204"/>
      <c r="JCI32" s="204"/>
      <c r="JCJ32" s="204"/>
      <c r="JCK32" s="204"/>
      <c r="JCL32" s="204"/>
      <c r="JCM32" s="204"/>
      <c r="JCN32" s="204"/>
      <c r="JCO32" s="204"/>
      <c r="JCP32" s="204"/>
      <c r="JCQ32" s="204"/>
      <c r="JCR32" s="204"/>
      <c r="JCS32" s="204"/>
      <c r="JCT32" s="204"/>
      <c r="JCU32" s="204"/>
      <c r="JCV32" s="204"/>
      <c r="JCW32" s="204"/>
      <c r="JCX32" s="204"/>
      <c r="JCY32" s="204"/>
      <c r="JCZ32" s="204"/>
      <c r="JDA32" s="204"/>
      <c r="JDB32" s="204"/>
      <c r="JDC32" s="204"/>
      <c r="JDD32" s="204"/>
      <c r="JDE32" s="204"/>
      <c r="JDF32" s="204"/>
      <c r="JDG32" s="204"/>
      <c r="JDH32" s="204"/>
      <c r="JDI32" s="204"/>
      <c r="JDJ32" s="204"/>
      <c r="JDK32" s="204"/>
      <c r="JDL32" s="204"/>
      <c r="JDM32" s="204"/>
      <c r="JDN32" s="204"/>
      <c r="JDO32" s="204"/>
      <c r="JDP32" s="204"/>
      <c r="JDQ32" s="204"/>
      <c r="JDR32" s="204"/>
      <c r="JDS32" s="204"/>
      <c r="JDT32" s="204"/>
      <c r="JDU32" s="204"/>
      <c r="JDV32" s="204"/>
      <c r="JDW32" s="204"/>
      <c r="JDX32" s="204"/>
      <c r="JDY32" s="204"/>
      <c r="JDZ32" s="204"/>
      <c r="JEA32" s="204"/>
      <c r="JEB32" s="204"/>
      <c r="JEC32" s="204"/>
      <c r="JED32" s="204"/>
      <c r="JEE32" s="204"/>
      <c r="JEF32" s="204"/>
      <c r="JEG32" s="204"/>
      <c r="JEH32" s="204"/>
      <c r="JEI32" s="204"/>
      <c r="JEJ32" s="204"/>
      <c r="JEK32" s="204"/>
      <c r="JEL32" s="204"/>
      <c r="JEM32" s="204"/>
      <c r="JEN32" s="204"/>
      <c r="JEO32" s="204"/>
      <c r="JEP32" s="204"/>
      <c r="JEQ32" s="204"/>
      <c r="JER32" s="204"/>
      <c r="JES32" s="204"/>
      <c r="JET32" s="204"/>
      <c r="JEU32" s="204"/>
      <c r="JEV32" s="204"/>
      <c r="JEW32" s="204"/>
      <c r="JEX32" s="204"/>
      <c r="JEY32" s="204"/>
      <c r="JEZ32" s="204"/>
      <c r="JFA32" s="204"/>
      <c r="JFB32" s="204"/>
      <c r="JFC32" s="204"/>
      <c r="JFD32" s="204"/>
      <c r="JFE32" s="204"/>
      <c r="JFF32" s="204"/>
      <c r="JFG32" s="204"/>
      <c r="JFH32" s="204"/>
      <c r="JFI32" s="204"/>
      <c r="JFJ32" s="204"/>
      <c r="JFK32" s="204"/>
      <c r="JFL32" s="204"/>
      <c r="JFM32" s="204"/>
      <c r="JFN32" s="204"/>
      <c r="JFO32" s="204"/>
      <c r="JFP32" s="204"/>
      <c r="JFQ32" s="204"/>
      <c r="JFR32" s="204"/>
      <c r="JFS32" s="204"/>
      <c r="JFT32" s="204"/>
      <c r="JFU32" s="204"/>
      <c r="JFV32" s="204"/>
      <c r="JFW32" s="204"/>
      <c r="JFX32" s="204"/>
      <c r="JFY32" s="204"/>
      <c r="JFZ32" s="204"/>
      <c r="JGA32" s="204"/>
      <c r="JGB32" s="204"/>
      <c r="JGC32" s="204"/>
      <c r="JGD32" s="204"/>
      <c r="JGE32" s="204"/>
      <c r="JGF32" s="204"/>
      <c r="JGG32" s="204"/>
      <c r="JGH32" s="204"/>
      <c r="JGI32" s="204"/>
      <c r="JGJ32" s="204"/>
      <c r="JGK32" s="204"/>
      <c r="JGL32" s="204"/>
      <c r="JGM32" s="204"/>
      <c r="JGN32" s="204"/>
      <c r="JGO32" s="204"/>
      <c r="JGP32" s="204"/>
      <c r="JGQ32" s="204"/>
      <c r="JGR32" s="204"/>
      <c r="JGS32" s="204"/>
      <c r="JGT32" s="204"/>
      <c r="JGU32" s="204"/>
      <c r="JGV32" s="204"/>
      <c r="JGW32" s="204"/>
      <c r="JGX32" s="204"/>
      <c r="JGY32" s="204"/>
      <c r="JGZ32" s="204"/>
      <c r="JHA32" s="204"/>
      <c r="JHB32" s="204"/>
      <c r="JHC32" s="204"/>
      <c r="JHD32" s="204"/>
      <c r="JHE32" s="204"/>
      <c r="JHF32" s="204"/>
      <c r="JHG32" s="204"/>
      <c r="JHH32" s="204"/>
      <c r="JHI32" s="204"/>
      <c r="JHJ32" s="204"/>
      <c r="JHK32" s="204"/>
      <c r="JHL32" s="204"/>
      <c r="JHM32" s="204"/>
      <c r="JHN32" s="204"/>
      <c r="JHO32" s="204"/>
      <c r="JHP32" s="204"/>
      <c r="JHQ32" s="204"/>
      <c r="JHR32" s="204"/>
      <c r="JHS32" s="204"/>
      <c r="JHT32" s="204"/>
      <c r="JHU32" s="204"/>
      <c r="JHV32" s="204"/>
      <c r="JHW32" s="204"/>
      <c r="JHX32" s="204"/>
      <c r="JHY32" s="204"/>
      <c r="JHZ32" s="204"/>
      <c r="JIA32" s="204"/>
      <c r="JIB32" s="204"/>
      <c r="JIC32" s="204"/>
      <c r="JID32" s="204"/>
      <c r="JIE32" s="204"/>
      <c r="JIF32" s="204"/>
      <c r="JIG32" s="204"/>
      <c r="JIH32" s="204"/>
      <c r="JII32" s="204"/>
      <c r="JIJ32" s="204"/>
      <c r="JIK32" s="204"/>
      <c r="JIL32" s="204"/>
      <c r="JIM32" s="204"/>
      <c r="JIN32" s="204"/>
      <c r="JIO32" s="204"/>
      <c r="JIP32" s="204"/>
      <c r="JIQ32" s="204"/>
      <c r="JIR32" s="204"/>
      <c r="JIS32" s="204"/>
      <c r="JIT32" s="204"/>
      <c r="JIU32" s="204"/>
      <c r="JIV32" s="204"/>
      <c r="JIW32" s="204"/>
      <c r="JIX32" s="204"/>
      <c r="JIY32" s="204"/>
      <c r="JIZ32" s="204"/>
      <c r="JJA32" s="204"/>
      <c r="JJB32" s="204"/>
      <c r="JJC32" s="204"/>
      <c r="JJD32" s="204"/>
      <c r="JJE32" s="204"/>
      <c r="JJF32" s="204"/>
      <c r="JJG32" s="204"/>
      <c r="JJH32" s="204"/>
      <c r="JJI32" s="204"/>
      <c r="JJJ32" s="204"/>
      <c r="JJK32" s="204"/>
      <c r="JJL32" s="204"/>
      <c r="JJM32" s="204"/>
      <c r="JJN32" s="204"/>
      <c r="JJO32" s="204"/>
      <c r="JJP32" s="204"/>
      <c r="JJQ32" s="204"/>
      <c r="JJR32" s="204"/>
      <c r="JJS32" s="204"/>
      <c r="JJT32" s="204"/>
      <c r="JJU32" s="204"/>
      <c r="JJV32" s="204"/>
      <c r="JJW32" s="204"/>
      <c r="JJX32" s="204"/>
      <c r="JJY32" s="204"/>
      <c r="JJZ32" s="204"/>
      <c r="JKA32" s="204"/>
      <c r="JKB32" s="204"/>
      <c r="JKC32" s="204"/>
      <c r="JKD32" s="204"/>
      <c r="JKE32" s="204"/>
      <c r="JKF32" s="204"/>
      <c r="JKG32" s="204"/>
      <c r="JKH32" s="204"/>
      <c r="JKI32" s="204"/>
      <c r="JKJ32" s="204"/>
      <c r="JKK32" s="204"/>
      <c r="JKL32" s="204"/>
      <c r="JKM32" s="204"/>
      <c r="JKN32" s="204"/>
      <c r="JKO32" s="204"/>
      <c r="JKP32" s="204"/>
      <c r="JKQ32" s="204"/>
      <c r="JKR32" s="204"/>
      <c r="JKS32" s="204"/>
      <c r="JKT32" s="204"/>
      <c r="JKU32" s="204"/>
      <c r="JKV32" s="204"/>
      <c r="JKW32" s="204"/>
      <c r="JKX32" s="204"/>
      <c r="JKY32" s="204"/>
      <c r="JKZ32" s="204"/>
      <c r="JLA32" s="204"/>
      <c r="JLB32" s="204"/>
      <c r="JLC32" s="204"/>
      <c r="JLD32" s="204"/>
      <c r="JLE32" s="204"/>
      <c r="JLF32" s="204"/>
      <c r="JLG32" s="204"/>
      <c r="JLH32" s="204"/>
      <c r="JLI32" s="204"/>
      <c r="JLJ32" s="204"/>
      <c r="JLK32" s="204"/>
      <c r="JLL32" s="204"/>
      <c r="JLM32" s="204"/>
      <c r="JLN32" s="204"/>
      <c r="JLO32" s="204"/>
      <c r="JLP32" s="204"/>
      <c r="JLQ32" s="204"/>
      <c r="JLR32" s="204"/>
      <c r="JLS32" s="204"/>
      <c r="JLT32" s="204"/>
      <c r="JLU32" s="204"/>
      <c r="JLV32" s="204"/>
      <c r="JLW32" s="204"/>
      <c r="JLX32" s="204"/>
      <c r="JLY32" s="204"/>
      <c r="JLZ32" s="204"/>
      <c r="JMA32" s="204"/>
      <c r="JMB32" s="204"/>
      <c r="JMC32" s="204"/>
      <c r="JMD32" s="204"/>
      <c r="JME32" s="204"/>
      <c r="JMF32" s="204"/>
      <c r="JMG32" s="204"/>
      <c r="JMH32" s="204"/>
      <c r="JMI32" s="204"/>
      <c r="JMJ32" s="204"/>
      <c r="JMK32" s="204"/>
      <c r="JML32" s="204"/>
      <c r="JMM32" s="204"/>
      <c r="JMN32" s="204"/>
      <c r="JMO32" s="204"/>
      <c r="JMP32" s="204"/>
      <c r="JMQ32" s="204"/>
      <c r="JMR32" s="204"/>
      <c r="JMS32" s="204"/>
      <c r="JMT32" s="204"/>
      <c r="JMU32" s="204"/>
      <c r="JMV32" s="204"/>
      <c r="JMW32" s="204"/>
      <c r="JMX32" s="204"/>
      <c r="JMY32" s="204"/>
      <c r="JMZ32" s="204"/>
      <c r="JNA32" s="204"/>
      <c r="JNB32" s="204"/>
      <c r="JNC32" s="204"/>
      <c r="JND32" s="204"/>
      <c r="JNE32" s="204"/>
      <c r="JNF32" s="204"/>
      <c r="JNG32" s="204"/>
      <c r="JNH32" s="204"/>
      <c r="JNI32" s="204"/>
      <c r="JNJ32" s="204"/>
      <c r="JNK32" s="204"/>
      <c r="JNL32" s="204"/>
      <c r="JNM32" s="204"/>
      <c r="JNN32" s="204"/>
      <c r="JNO32" s="204"/>
      <c r="JNP32" s="204"/>
      <c r="JNQ32" s="204"/>
      <c r="JNR32" s="204"/>
      <c r="JNS32" s="204"/>
      <c r="JNT32" s="204"/>
      <c r="JNU32" s="204"/>
      <c r="JNV32" s="204"/>
      <c r="JNW32" s="204"/>
      <c r="JNX32" s="204"/>
      <c r="JNY32" s="204"/>
      <c r="JNZ32" s="204"/>
      <c r="JOA32" s="204"/>
      <c r="JOB32" s="204"/>
      <c r="JOC32" s="204"/>
      <c r="JOD32" s="204"/>
      <c r="JOE32" s="204"/>
      <c r="JOF32" s="204"/>
      <c r="JOG32" s="204"/>
      <c r="JOH32" s="204"/>
      <c r="JOI32" s="204"/>
      <c r="JOJ32" s="204"/>
      <c r="JOK32" s="204"/>
      <c r="JOL32" s="204"/>
      <c r="JOM32" s="204"/>
      <c r="JON32" s="204"/>
      <c r="JOO32" s="204"/>
      <c r="JOP32" s="204"/>
      <c r="JOQ32" s="204"/>
      <c r="JOR32" s="204"/>
      <c r="JOS32" s="204"/>
      <c r="JOT32" s="204"/>
      <c r="JOU32" s="204"/>
      <c r="JOV32" s="204"/>
      <c r="JOW32" s="204"/>
      <c r="JOX32" s="204"/>
      <c r="JOY32" s="204"/>
      <c r="JOZ32" s="204"/>
      <c r="JPA32" s="204"/>
      <c r="JPB32" s="204"/>
      <c r="JPC32" s="204"/>
      <c r="JPD32" s="204"/>
      <c r="JPE32" s="204"/>
      <c r="JPF32" s="204"/>
      <c r="JPG32" s="204"/>
      <c r="JPH32" s="204"/>
      <c r="JPI32" s="204"/>
      <c r="JPJ32" s="204"/>
      <c r="JPK32" s="204"/>
      <c r="JPL32" s="204"/>
      <c r="JPM32" s="204"/>
      <c r="JPN32" s="204"/>
      <c r="JPO32" s="204"/>
      <c r="JPP32" s="204"/>
      <c r="JPQ32" s="204"/>
      <c r="JPR32" s="204"/>
      <c r="JPS32" s="204"/>
      <c r="JPT32" s="204"/>
      <c r="JPU32" s="204"/>
      <c r="JPV32" s="204"/>
      <c r="JPW32" s="204"/>
      <c r="JPX32" s="204"/>
      <c r="JPY32" s="204"/>
      <c r="JPZ32" s="204"/>
      <c r="JQA32" s="204"/>
      <c r="JQB32" s="204"/>
      <c r="JQC32" s="204"/>
      <c r="JQD32" s="204"/>
      <c r="JQE32" s="204"/>
      <c r="JQF32" s="204"/>
      <c r="JQG32" s="204"/>
      <c r="JQH32" s="204"/>
      <c r="JQI32" s="204"/>
      <c r="JQJ32" s="204"/>
      <c r="JQK32" s="204"/>
      <c r="JQL32" s="204"/>
      <c r="JQM32" s="204"/>
      <c r="JQN32" s="204"/>
      <c r="JQO32" s="204"/>
      <c r="JQP32" s="204"/>
      <c r="JQQ32" s="204"/>
      <c r="JQR32" s="204"/>
      <c r="JQS32" s="204"/>
      <c r="JQT32" s="204"/>
      <c r="JQU32" s="204"/>
      <c r="JQV32" s="204"/>
      <c r="JQW32" s="204"/>
      <c r="JQX32" s="204"/>
      <c r="JQY32" s="204"/>
      <c r="JQZ32" s="204"/>
      <c r="JRA32" s="204"/>
      <c r="JRB32" s="204"/>
      <c r="JRC32" s="204"/>
      <c r="JRD32" s="204"/>
      <c r="JRE32" s="204"/>
      <c r="JRF32" s="204"/>
      <c r="JRG32" s="204"/>
      <c r="JRH32" s="204"/>
      <c r="JRI32" s="204"/>
      <c r="JRJ32" s="204"/>
      <c r="JRK32" s="204"/>
      <c r="JRL32" s="204"/>
      <c r="JRM32" s="204"/>
      <c r="JRN32" s="204"/>
      <c r="JRO32" s="204"/>
      <c r="JRP32" s="204"/>
      <c r="JRQ32" s="204"/>
      <c r="JRR32" s="204"/>
      <c r="JRS32" s="204"/>
      <c r="JRT32" s="204"/>
      <c r="JRU32" s="204"/>
      <c r="JRV32" s="204"/>
      <c r="JRW32" s="204"/>
      <c r="JRX32" s="204"/>
      <c r="JRY32" s="204"/>
      <c r="JRZ32" s="204"/>
      <c r="JSA32" s="204"/>
      <c r="JSB32" s="204"/>
      <c r="JSC32" s="204"/>
      <c r="JSD32" s="204"/>
      <c r="JSE32" s="204"/>
      <c r="JSF32" s="204"/>
      <c r="JSG32" s="204"/>
      <c r="JSH32" s="204"/>
      <c r="JSI32" s="204"/>
      <c r="JSJ32" s="204"/>
      <c r="JSK32" s="204"/>
      <c r="JSL32" s="204"/>
      <c r="JSM32" s="204"/>
      <c r="JSN32" s="204"/>
      <c r="JSO32" s="204"/>
      <c r="JSP32" s="204"/>
      <c r="JSQ32" s="204"/>
      <c r="JSR32" s="204"/>
      <c r="JSS32" s="204"/>
      <c r="JST32" s="204"/>
      <c r="JSU32" s="204"/>
      <c r="JSV32" s="204"/>
      <c r="JSW32" s="204"/>
      <c r="JSX32" s="204"/>
      <c r="JSY32" s="204"/>
      <c r="JSZ32" s="204"/>
      <c r="JTA32" s="204"/>
      <c r="JTB32" s="204"/>
      <c r="JTC32" s="204"/>
      <c r="JTD32" s="204"/>
      <c r="JTE32" s="204"/>
      <c r="JTF32" s="204"/>
      <c r="JTG32" s="204"/>
      <c r="JTH32" s="204"/>
      <c r="JTI32" s="204"/>
      <c r="JTJ32" s="204"/>
      <c r="JTK32" s="204"/>
      <c r="JTL32" s="204"/>
      <c r="JTM32" s="204"/>
      <c r="JTN32" s="204"/>
      <c r="JTO32" s="204"/>
      <c r="JTP32" s="204"/>
      <c r="JTQ32" s="204"/>
      <c r="JTR32" s="204"/>
      <c r="JTS32" s="204"/>
      <c r="JTT32" s="204"/>
      <c r="JTU32" s="204"/>
      <c r="JTV32" s="204"/>
      <c r="JTW32" s="204"/>
      <c r="JTX32" s="204"/>
      <c r="JTY32" s="204"/>
      <c r="JTZ32" s="204"/>
      <c r="JUA32" s="204"/>
      <c r="JUB32" s="204"/>
      <c r="JUC32" s="204"/>
      <c r="JUD32" s="204"/>
      <c r="JUE32" s="204"/>
      <c r="JUF32" s="204"/>
      <c r="JUG32" s="204"/>
      <c r="JUH32" s="204"/>
      <c r="JUI32" s="204"/>
      <c r="JUJ32" s="204"/>
      <c r="JUK32" s="204"/>
      <c r="JUL32" s="204"/>
      <c r="JUM32" s="204"/>
      <c r="JUN32" s="204"/>
      <c r="JUO32" s="204"/>
      <c r="JUP32" s="204"/>
      <c r="JUQ32" s="204"/>
      <c r="JUR32" s="204"/>
      <c r="JUS32" s="204"/>
      <c r="JUT32" s="204"/>
      <c r="JUU32" s="204"/>
      <c r="JUV32" s="204"/>
      <c r="JUW32" s="204"/>
      <c r="JUX32" s="204"/>
      <c r="JUY32" s="204"/>
      <c r="JUZ32" s="204"/>
      <c r="JVA32" s="204"/>
      <c r="JVB32" s="204"/>
      <c r="JVC32" s="204"/>
      <c r="JVD32" s="204"/>
      <c r="JVE32" s="204"/>
      <c r="JVF32" s="204"/>
      <c r="JVG32" s="204"/>
      <c r="JVH32" s="204"/>
      <c r="JVI32" s="204"/>
      <c r="JVJ32" s="204"/>
      <c r="JVK32" s="204"/>
      <c r="JVL32" s="204"/>
      <c r="JVM32" s="204"/>
      <c r="JVN32" s="204"/>
      <c r="JVO32" s="204"/>
      <c r="JVP32" s="204"/>
      <c r="JVQ32" s="204"/>
      <c r="JVR32" s="204"/>
      <c r="JVS32" s="204"/>
      <c r="JVT32" s="204"/>
      <c r="JVU32" s="204"/>
      <c r="JVV32" s="204"/>
      <c r="JVW32" s="204"/>
      <c r="JVX32" s="204"/>
      <c r="JVY32" s="204"/>
      <c r="JVZ32" s="204"/>
      <c r="JWA32" s="204"/>
      <c r="JWB32" s="204"/>
      <c r="JWC32" s="204"/>
      <c r="JWD32" s="204"/>
      <c r="JWE32" s="204"/>
      <c r="JWF32" s="204"/>
      <c r="JWG32" s="204"/>
      <c r="JWH32" s="204"/>
      <c r="JWI32" s="204"/>
      <c r="JWJ32" s="204"/>
      <c r="JWK32" s="204"/>
      <c r="JWL32" s="204"/>
      <c r="JWM32" s="204"/>
      <c r="JWN32" s="204"/>
      <c r="JWO32" s="204"/>
      <c r="JWP32" s="204"/>
      <c r="JWQ32" s="204"/>
      <c r="JWR32" s="204"/>
      <c r="JWS32" s="204"/>
      <c r="JWT32" s="204"/>
      <c r="JWU32" s="204"/>
      <c r="JWV32" s="204"/>
      <c r="JWW32" s="204"/>
      <c r="JWX32" s="204"/>
      <c r="JWY32" s="204"/>
      <c r="JWZ32" s="204"/>
      <c r="JXA32" s="204"/>
      <c r="JXB32" s="204"/>
      <c r="JXC32" s="204"/>
      <c r="JXD32" s="204"/>
      <c r="JXE32" s="204"/>
      <c r="JXF32" s="204"/>
      <c r="JXG32" s="204"/>
      <c r="JXH32" s="204"/>
      <c r="JXI32" s="204"/>
      <c r="JXJ32" s="204"/>
      <c r="JXK32" s="204"/>
      <c r="JXL32" s="204"/>
      <c r="JXM32" s="204"/>
      <c r="JXN32" s="204"/>
      <c r="JXO32" s="204"/>
      <c r="JXP32" s="204"/>
      <c r="JXQ32" s="204"/>
      <c r="JXR32" s="204"/>
      <c r="JXS32" s="204"/>
      <c r="JXT32" s="204"/>
      <c r="JXU32" s="204"/>
      <c r="JXV32" s="204"/>
      <c r="JXW32" s="204"/>
      <c r="JXX32" s="204"/>
      <c r="JXY32" s="204"/>
      <c r="JXZ32" s="204"/>
      <c r="JYA32" s="204"/>
      <c r="JYB32" s="204"/>
      <c r="JYC32" s="204"/>
      <c r="JYD32" s="204"/>
      <c r="JYE32" s="204"/>
      <c r="JYF32" s="204"/>
      <c r="JYG32" s="204"/>
      <c r="JYH32" s="204"/>
      <c r="JYI32" s="204"/>
      <c r="JYJ32" s="204"/>
      <c r="JYK32" s="204"/>
      <c r="JYL32" s="204"/>
      <c r="JYM32" s="204"/>
      <c r="JYN32" s="204"/>
      <c r="JYO32" s="204"/>
      <c r="JYP32" s="204"/>
      <c r="JYQ32" s="204"/>
      <c r="JYR32" s="204"/>
      <c r="JYS32" s="204"/>
      <c r="JYT32" s="204"/>
      <c r="JYU32" s="204"/>
      <c r="JYV32" s="204"/>
      <c r="JYW32" s="204"/>
      <c r="JYX32" s="204"/>
      <c r="JYY32" s="204"/>
      <c r="JYZ32" s="204"/>
      <c r="JZA32" s="204"/>
      <c r="JZB32" s="204"/>
      <c r="JZC32" s="204"/>
      <c r="JZD32" s="204"/>
      <c r="JZE32" s="204"/>
      <c r="JZF32" s="204"/>
      <c r="JZG32" s="204"/>
      <c r="JZH32" s="204"/>
      <c r="JZI32" s="204"/>
      <c r="JZJ32" s="204"/>
      <c r="JZK32" s="204"/>
      <c r="JZL32" s="204"/>
      <c r="JZM32" s="204"/>
      <c r="JZN32" s="204"/>
      <c r="JZO32" s="204"/>
      <c r="JZP32" s="204"/>
      <c r="JZQ32" s="204"/>
      <c r="JZR32" s="204"/>
      <c r="JZS32" s="204"/>
      <c r="JZT32" s="204"/>
      <c r="JZU32" s="204"/>
      <c r="JZV32" s="204"/>
      <c r="JZW32" s="204"/>
      <c r="JZX32" s="204"/>
      <c r="JZY32" s="204"/>
      <c r="JZZ32" s="204"/>
      <c r="KAA32" s="204"/>
      <c r="KAB32" s="204"/>
      <c r="KAC32" s="204"/>
      <c r="KAD32" s="204"/>
      <c r="KAE32" s="204"/>
      <c r="KAF32" s="204"/>
      <c r="KAG32" s="204"/>
      <c r="KAH32" s="204"/>
      <c r="KAI32" s="204"/>
      <c r="KAJ32" s="204"/>
      <c r="KAK32" s="204"/>
      <c r="KAL32" s="204"/>
      <c r="KAM32" s="204"/>
      <c r="KAN32" s="204"/>
      <c r="KAO32" s="204"/>
      <c r="KAP32" s="204"/>
      <c r="KAQ32" s="204"/>
      <c r="KAR32" s="204"/>
      <c r="KAS32" s="204"/>
      <c r="KAT32" s="204"/>
      <c r="KAU32" s="204"/>
      <c r="KAV32" s="204"/>
      <c r="KAW32" s="204"/>
      <c r="KAX32" s="204"/>
      <c r="KAY32" s="204"/>
      <c r="KAZ32" s="204"/>
      <c r="KBA32" s="204"/>
      <c r="KBB32" s="204"/>
      <c r="KBC32" s="204"/>
      <c r="KBD32" s="204"/>
      <c r="KBE32" s="204"/>
      <c r="KBF32" s="204"/>
      <c r="KBG32" s="204"/>
      <c r="KBH32" s="204"/>
      <c r="KBI32" s="204"/>
      <c r="KBJ32" s="204"/>
      <c r="KBK32" s="204"/>
      <c r="KBL32" s="204"/>
      <c r="KBM32" s="204"/>
      <c r="KBN32" s="204"/>
      <c r="KBO32" s="204"/>
      <c r="KBP32" s="204"/>
      <c r="KBQ32" s="204"/>
      <c r="KBR32" s="204"/>
      <c r="KBS32" s="204"/>
      <c r="KBT32" s="204"/>
      <c r="KBU32" s="204"/>
      <c r="KBV32" s="204"/>
      <c r="KBW32" s="204"/>
      <c r="KBX32" s="204"/>
      <c r="KBY32" s="204"/>
      <c r="KBZ32" s="204"/>
      <c r="KCA32" s="204"/>
      <c r="KCB32" s="204"/>
      <c r="KCC32" s="204"/>
      <c r="KCD32" s="204"/>
      <c r="KCE32" s="204"/>
      <c r="KCF32" s="204"/>
      <c r="KCG32" s="204"/>
      <c r="KCH32" s="204"/>
      <c r="KCI32" s="204"/>
      <c r="KCJ32" s="204"/>
      <c r="KCK32" s="204"/>
      <c r="KCL32" s="204"/>
      <c r="KCM32" s="204"/>
      <c r="KCN32" s="204"/>
      <c r="KCO32" s="204"/>
      <c r="KCP32" s="204"/>
      <c r="KCQ32" s="204"/>
      <c r="KCR32" s="204"/>
      <c r="KCS32" s="204"/>
      <c r="KCT32" s="204"/>
      <c r="KCU32" s="204"/>
      <c r="KCV32" s="204"/>
      <c r="KCW32" s="204"/>
      <c r="KCX32" s="204"/>
      <c r="KCY32" s="204"/>
      <c r="KCZ32" s="204"/>
      <c r="KDA32" s="204"/>
      <c r="KDB32" s="204"/>
      <c r="KDC32" s="204"/>
      <c r="KDD32" s="204"/>
      <c r="KDE32" s="204"/>
      <c r="KDF32" s="204"/>
      <c r="KDG32" s="204"/>
      <c r="KDH32" s="204"/>
      <c r="KDI32" s="204"/>
      <c r="KDJ32" s="204"/>
      <c r="KDK32" s="204"/>
      <c r="KDL32" s="204"/>
      <c r="KDM32" s="204"/>
      <c r="KDN32" s="204"/>
      <c r="KDO32" s="204"/>
      <c r="KDP32" s="204"/>
      <c r="KDQ32" s="204"/>
      <c r="KDR32" s="204"/>
      <c r="KDS32" s="204"/>
      <c r="KDT32" s="204"/>
      <c r="KDU32" s="204"/>
      <c r="KDV32" s="204"/>
      <c r="KDW32" s="204"/>
      <c r="KDX32" s="204"/>
      <c r="KDY32" s="204"/>
      <c r="KDZ32" s="204"/>
      <c r="KEA32" s="204"/>
      <c r="KEB32" s="204"/>
      <c r="KEC32" s="204"/>
      <c r="KED32" s="204"/>
      <c r="KEE32" s="204"/>
      <c r="KEF32" s="204"/>
      <c r="KEG32" s="204"/>
      <c r="KEH32" s="204"/>
      <c r="KEI32" s="204"/>
      <c r="KEJ32" s="204"/>
      <c r="KEK32" s="204"/>
      <c r="KEL32" s="204"/>
      <c r="KEM32" s="204"/>
      <c r="KEN32" s="204"/>
      <c r="KEO32" s="204"/>
      <c r="KEP32" s="204"/>
      <c r="KEQ32" s="204"/>
      <c r="KER32" s="204"/>
      <c r="KES32" s="204"/>
      <c r="KET32" s="204"/>
      <c r="KEU32" s="204"/>
      <c r="KEV32" s="204"/>
      <c r="KEW32" s="204"/>
      <c r="KEX32" s="204"/>
      <c r="KEY32" s="204"/>
      <c r="KEZ32" s="204"/>
      <c r="KFA32" s="204"/>
      <c r="KFB32" s="204"/>
      <c r="KFC32" s="204"/>
      <c r="KFD32" s="204"/>
      <c r="KFE32" s="204"/>
      <c r="KFF32" s="204"/>
      <c r="KFG32" s="204"/>
      <c r="KFH32" s="204"/>
      <c r="KFI32" s="204"/>
      <c r="KFJ32" s="204"/>
      <c r="KFK32" s="204"/>
      <c r="KFL32" s="204"/>
      <c r="KFM32" s="204"/>
      <c r="KFN32" s="204"/>
      <c r="KFO32" s="204"/>
      <c r="KFP32" s="204"/>
      <c r="KFQ32" s="204"/>
      <c r="KFR32" s="204"/>
      <c r="KFS32" s="204"/>
      <c r="KFT32" s="204"/>
      <c r="KFU32" s="204"/>
      <c r="KFV32" s="204"/>
      <c r="KFW32" s="204"/>
      <c r="KFX32" s="204"/>
      <c r="KFY32" s="204"/>
      <c r="KFZ32" s="204"/>
      <c r="KGA32" s="204"/>
      <c r="KGB32" s="204"/>
      <c r="KGC32" s="204"/>
      <c r="KGD32" s="204"/>
      <c r="KGE32" s="204"/>
      <c r="KGF32" s="204"/>
      <c r="KGG32" s="204"/>
      <c r="KGH32" s="204"/>
      <c r="KGI32" s="204"/>
      <c r="KGJ32" s="204"/>
      <c r="KGK32" s="204"/>
      <c r="KGL32" s="204"/>
      <c r="KGM32" s="204"/>
      <c r="KGN32" s="204"/>
      <c r="KGO32" s="204"/>
      <c r="KGP32" s="204"/>
      <c r="KGQ32" s="204"/>
      <c r="KGR32" s="204"/>
      <c r="KGS32" s="204"/>
      <c r="KGT32" s="204"/>
      <c r="KGU32" s="204"/>
      <c r="KGV32" s="204"/>
      <c r="KGW32" s="204"/>
      <c r="KGX32" s="204"/>
      <c r="KGY32" s="204"/>
      <c r="KGZ32" s="204"/>
      <c r="KHA32" s="204"/>
      <c r="KHB32" s="204"/>
      <c r="KHC32" s="204"/>
      <c r="KHD32" s="204"/>
      <c r="KHE32" s="204"/>
      <c r="KHF32" s="204"/>
      <c r="KHG32" s="204"/>
      <c r="KHH32" s="204"/>
      <c r="KHI32" s="204"/>
      <c r="KHJ32" s="204"/>
      <c r="KHK32" s="204"/>
      <c r="KHL32" s="204"/>
      <c r="KHM32" s="204"/>
      <c r="KHN32" s="204"/>
      <c r="KHO32" s="204"/>
      <c r="KHP32" s="204"/>
      <c r="KHQ32" s="204"/>
      <c r="KHR32" s="204"/>
      <c r="KHS32" s="204"/>
      <c r="KHT32" s="204"/>
      <c r="KHU32" s="204"/>
      <c r="KHV32" s="204"/>
      <c r="KHW32" s="204"/>
      <c r="KHX32" s="204"/>
      <c r="KHY32" s="204"/>
      <c r="KHZ32" s="204"/>
      <c r="KIA32" s="204"/>
      <c r="KIB32" s="204"/>
      <c r="KIC32" s="204"/>
      <c r="KID32" s="204"/>
      <c r="KIE32" s="204"/>
      <c r="KIF32" s="204"/>
      <c r="KIG32" s="204"/>
      <c r="KIH32" s="204"/>
      <c r="KII32" s="204"/>
      <c r="KIJ32" s="204"/>
      <c r="KIK32" s="204"/>
      <c r="KIL32" s="204"/>
      <c r="KIM32" s="204"/>
      <c r="KIN32" s="204"/>
      <c r="KIO32" s="204"/>
      <c r="KIP32" s="204"/>
      <c r="KIQ32" s="204"/>
      <c r="KIR32" s="204"/>
      <c r="KIS32" s="204"/>
      <c r="KIT32" s="204"/>
      <c r="KIU32" s="204"/>
      <c r="KIV32" s="204"/>
      <c r="KIW32" s="204"/>
      <c r="KIX32" s="204"/>
      <c r="KIY32" s="204"/>
      <c r="KIZ32" s="204"/>
      <c r="KJA32" s="204"/>
      <c r="KJB32" s="204"/>
      <c r="KJC32" s="204"/>
      <c r="KJD32" s="204"/>
      <c r="KJE32" s="204"/>
      <c r="KJF32" s="204"/>
      <c r="KJG32" s="204"/>
      <c r="KJH32" s="204"/>
      <c r="KJI32" s="204"/>
      <c r="KJJ32" s="204"/>
      <c r="KJK32" s="204"/>
      <c r="KJL32" s="204"/>
      <c r="KJM32" s="204"/>
      <c r="KJN32" s="204"/>
      <c r="KJO32" s="204"/>
      <c r="KJP32" s="204"/>
      <c r="KJQ32" s="204"/>
      <c r="KJR32" s="204"/>
      <c r="KJS32" s="204"/>
      <c r="KJT32" s="204"/>
      <c r="KJU32" s="204"/>
      <c r="KJV32" s="204"/>
      <c r="KJW32" s="204"/>
      <c r="KJX32" s="204"/>
      <c r="KJY32" s="204"/>
      <c r="KJZ32" s="204"/>
      <c r="KKA32" s="204"/>
      <c r="KKB32" s="204"/>
      <c r="KKC32" s="204"/>
      <c r="KKD32" s="204"/>
      <c r="KKE32" s="204"/>
      <c r="KKF32" s="204"/>
      <c r="KKG32" s="204"/>
      <c r="KKH32" s="204"/>
      <c r="KKI32" s="204"/>
      <c r="KKJ32" s="204"/>
      <c r="KKK32" s="204"/>
      <c r="KKL32" s="204"/>
      <c r="KKM32" s="204"/>
      <c r="KKN32" s="204"/>
      <c r="KKO32" s="204"/>
      <c r="KKP32" s="204"/>
      <c r="KKQ32" s="204"/>
      <c r="KKR32" s="204"/>
      <c r="KKS32" s="204"/>
      <c r="KKT32" s="204"/>
      <c r="KKU32" s="204"/>
      <c r="KKV32" s="204"/>
      <c r="KKW32" s="204"/>
      <c r="KKX32" s="204"/>
      <c r="KKY32" s="204"/>
      <c r="KKZ32" s="204"/>
      <c r="KLA32" s="204"/>
      <c r="KLB32" s="204"/>
      <c r="KLC32" s="204"/>
      <c r="KLD32" s="204"/>
      <c r="KLE32" s="204"/>
      <c r="KLF32" s="204"/>
      <c r="KLG32" s="204"/>
      <c r="KLH32" s="204"/>
      <c r="KLI32" s="204"/>
      <c r="KLJ32" s="204"/>
      <c r="KLK32" s="204"/>
      <c r="KLL32" s="204"/>
      <c r="KLM32" s="204"/>
      <c r="KLN32" s="204"/>
      <c r="KLO32" s="204"/>
      <c r="KLP32" s="204"/>
      <c r="KLQ32" s="204"/>
      <c r="KLR32" s="204"/>
      <c r="KLS32" s="204"/>
      <c r="KLT32" s="204"/>
      <c r="KLU32" s="204"/>
      <c r="KLV32" s="204"/>
      <c r="KLW32" s="204"/>
      <c r="KLX32" s="204"/>
      <c r="KLY32" s="204"/>
      <c r="KLZ32" s="204"/>
      <c r="KMA32" s="204"/>
      <c r="KMB32" s="204"/>
      <c r="KMC32" s="204"/>
      <c r="KMD32" s="204"/>
      <c r="KME32" s="204"/>
      <c r="KMF32" s="204"/>
      <c r="KMG32" s="204"/>
      <c r="KMH32" s="204"/>
      <c r="KMI32" s="204"/>
      <c r="KMJ32" s="204"/>
      <c r="KMK32" s="204"/>
      <c r="KML32" s="204"/>
      <c r="KMM32" s="204"/>
      <c r="KMN32" s="204"/>
      <c r="KMO32" s="204"/>
      <c r="KMP32" s="204"/>
      <c r="KMQ32" s="204"/>
      <c r="KMR32" s="204"/>
      <c r="KMS32" s="204"/>
      <c r="KMT32" s="204"/>
      <c r="KMU32" s="204"/>
      <c r="KMV32" s="204"/>
      <c r="KMW32" s="204"/>
      <c r="KMX32" s="204"/>
      <c r="KMY32" s="204"/>
      <c r="KMZ32" s="204"/>
      <c r="KNA32" s="204"/>
      <c r="KNB32" s="204"/>
      <c r="KNC32" s="204"/>
      <c r="KND32" s="204"/>
      <c r="KNE32" s="204"/>
      <c r="KNF32" s="204"/>
      <c r="KNG32" s="204"/>
      <c r="KNH32" s="204"/>
      <c r="KNI32" s="204"/>
      <c r="KNJ32" s="204"/>
      <c r="KNK32" s="204"/>
      <c r="KNL32" s="204"/>
      <c r="KNM32" s="204"/>
      <c r="KNN32" s="204"/>
      <c r="KNO32" s="204"/>
      <c r="KNP32" s="204"/>
      <c r="KNQ32" s="204"/>
      <c r="KNR32" s="204"/>
      <c r="KNS32" s="204"/>
      <c r="KNT32" s="204"/>
      <c r="KNU32" s="204"/>
      <c r="KNV32" s="204"/>
      <c r="KNW32" s="204"/>
      <c r="KNX32" s="204"/>
      <c r="KNY32" s="204"/>
      <c r="KNZ32" s="204"/>
      <c r="KOA32" s="204"/>
      <c r="KOB32" s="204"/>
      <c r="KOC32" s="204"/>
      <c r="KOD32" s="204"/>
      <c r="KOE32" s="204"/>
      <c r="KOF32" s="204"/>
      <c r="KOG32" s="204"/>
      <c r="KOH32" s="204"/>
      <c r="KOI32" s="204"/>
      <c r="KOJ32" s="204"/>
      <c r="KOK32" s="204"/>
      <c r="KOL32" s="204"/>
      <c r="KOM32" s="204"/>
      <c r="KON32" s="204"/>
      <c r="KOO32" s="204"/>
      <c r="KOP32" s="204"/>
      <c r="KOQ32" s="204"/>
      <c r="KOR32" s="204"/>
      <c r="KOS32" s="204"/>
      <c r="KOT32" s="204"/>
      <c r="KOU32" s="204"/>
      <c r="KOV32" s="204"/>
      <c r="KOW32" s="204"/>
      <c r="KOX32" s="204"/>
      <c r="KOY32" s="204"/>
      <c r="KOZ32" s="204"/>
      <c r="KPA32" s="204"/>
      <c r="KPB32" s="204"/>
      <c r="KPC32" s="204"/>
      <c r="KPD32" s="204"/>
      <c r="KPE32" s="204"/>
      <c r="KPF32" s="204"/>
      <c r="KPG32" s="204"/>
      <c r="KPH32" s="204"/>
      <c r="KPI32" s="204"/>
      <c r="KPJ32" s="204"/>
      <c r="KPK32" s="204"/>
      <c r="KPL32" s="204"/>
      <c r="KPM32" s="204"/>
      <c r="KPN32" s="204"/>
      <c r="KPO32" s="204"/>
      <c r="KPP32" s="204"/>
      <c r="KPQ32" s="204"/>
      <c r="KPR32" s="204"/>
      <c r="KPS32" s="204"/>
      <c r="KPT32" s="204"/>
      <c r="KPU32" s="204"/>
      <c r="KPV32" s="204"/>
      <c r="KPW32" s="204"/>
      <c r="KPX32" s="204"/>
      <c r="KPY32" s="204"/>
      <c r="KPZ32" s="204"/>
      <c r="KQA32" s="204"/>
      <c r="KQB32" s="204"/>
      <c r="KQC32" s="204"/>
      <c r="KQD32" s="204"/>
      <c r="KQE32" s="204"/>
      <c r="KQF32" s="204"/>
      <c r="KQG32" s="204"/>
      <c r="KQH32" s="204"/>
      <c r="KQI32" s="204"/>
      <c r="KQJ32" s="204"/>
      <c r="KQK32" s="204"/>
      <c r="KQL32" s="204"/>
      <c r="KQM32" s="204"/>
      <c r="KQN32" s="204"/>
      <c r="KQO32" s="204"/>
      <c r="KQP32" s="204"/>
      <c r="KQQ32" s="204"/>
      <c r="KQR32" s="204"/>
      <c r="KQS32" s="204"/>
      <c r="KQT32" s="204"/>
      <c r="KQU32" s="204"/>
      <c r="KQV32" s="204"/>
      <c r="KQW32" s="204"/>
      <c r="KQX32" s="204"/>
      <c r="KQY32" s="204"/>
      <c r="KQZ32" s="204"/>
      <c r="KRA32" s="204"/>
      <c r="KRB32" s="204"/>
      <c r="KRC32" s="204"/>
      <c r="KRD32" s="204"/>
      <c r="KRE32" s="204"/>
      <c r="KRF32" s="204"/>
      <c r="KRG32" s="204"/>
      <c r="KRH32" s="204"/>
      <c r="KRI32" s="204"/>
      <c r="KRJ32" s="204"/>
      <c r="KRK32" s="204"/>
      <c r="KRL32" s="204"/>
      <c r="KRM32" s="204"/>
      <c r="KRN32" s="204"/>
      <c r="KRO32" s="204"/>
      <c r="KRP32" s="204"/>
      <c r="KRQ32" s="204"/>
      <c r="KRR32" s="204"/>
      <c r="KRS32" s="204"/>
      <c r="KRT32" s="204"/>
      <c r="KRU32" s="204"/>
      <c r="KRV32" s="204"/>
      <c r="KRW32" s="204"/>
      <c r="KRX32" s="204"/>
      <c r="KRY32" s="204"/>
      <c r="KRZ32" s="204"/>
      <c r="KSA32" s="204"/>
      <c r="KSB32" s="204"/>
      <c r="KSC32" s="204"/>
      <c r="KSD32" s="204"/>
      <c r="KSE32" s="204"/>
      <c r="KSF32" s="204"/>
      <c r="KSG32" s="204"/>
      <c r="KSH32" s="204"/>
      <c r="KSI32" s="204"/>
      <c r="KSJ32" s="204"/>
      <c r="KSK32" s="204"/>
      <c r="KSL32" s="204"/>
      <c r="KSM32" s="204"/>
      <c r="KSN32" s="204"/>
      <c r="KSO32" s="204"/>
      <c r="KSP32" s="204"/>
      <c r="KSQ32" s="204"/>
      <c r="KSR32" s="204"/>
      <c r="KSS32" s="204"/>
      <c r="KST32" s="204"/>
      <c r="KSU32" s="204"/>
      <c r="KSV32" s="204"/>
      <c r="KSW32" s="204"/>
      <c r="KSX32" s="204"/>
      <c r="KSY32" s="204"/>
      <c r="KSZ32" s="204"/>
      <c r="KTA32" s="204"/>
      <c r="KTB32" s="204"/>
      <c r="KTC32" s="204"/>
      <c r="KTD32" s="204"/>
      <c r="KTE32" s="204"/>
      <c r="KTF32" s="204"/>
      <c r="KTG32" s="204"/>
      <c r="KTH32" s="204"/>
      <c r="KTI32" s="204"/>
      <c r="KTJ32" s="204"/>
      <c r="KTK32" s="204"/>
      <c r="KTL32" s="204"/>
      <c r="KTM32" s="204"/>
      <c r="KTN32" s="204"/>
      <c r="KTO32" s="204"/>
      <c r="KTP32" s="204"/>
      <c r="KTQ32" s="204"/>
      <c r="KTR32" s="204"/>
      <c r="KTS32" s="204"/>
      <c r="KTT32" s="204"/>
      <c r="KTU32" s="204"/>
      <c r="KTV32" s="204"/>
      <c r="KTW32" s="204"/>
      <c r="KTX32" s="204"/>
      <c r="KTY32" s="204"/>
      <c r="KTZ32" s="204"/>
      <c r="KUA32" s="204"/>
      <c r="KUB32" s="204"/>
      <c r="KUC32" s="204"/>
      <c r="KUD32" s="204"/>
      <c r="KUE32" s="204"/>
      <c r="KUF32" s="204"/>
      <c r="KUG32" s="204"/>
      <c r="KUH32" s="204"/>
      <c r="KUI32" s="204"/>
      <c r="KUJ32" s="204"/>
      <c r="KUK32" s="204"/>
      <c r="KUL32" s="204"/>
      <c r="KUM32" s="204"/>
      <c r="KUN32" s="204"/>
      <c r="KUO32" s="204"/>
      <c r="KUP32" s="204"/>
      <c r="KUQ32" s="204"/>
      <c r="KUR32" s="204"/>
      <c r="KUS32" s="204"/>
      <c r="KUT32" s="204"/>
      <c r="KUU32" s="204"/>
      <c r="KUV32" s="204"/>
      <c r="KUW32" s="204"/>
      <c r="KUX32" s="204"/>
      <c r="KUY32" s="204"/>
      <c r="KUZ32" s="204"/>
      <c r="KVA32" s="204"/>
      <c r="KVB32" s="204"/>
      <c r="KVC32" s="204"/>
      <c r="KVD32" s="204"/>
      <c r="KVE32" s="204"/>
      <c r="KVF32" s="204"/>
      <c r="KVG32" s="204"/>
      <c r="KVH32" s="204"/>
      <c r="KVI32" s="204"/>
      <c r="KVJ32" s="204"/>
      <c r="KVK32" s="204"/>
      <c r="KVL32" s="204"/>
      <c r="KVM32" s="204"/>
      <c r="KVN32" s="204"/>
      <c r="KVO32" s="204"/>
      <c r="KVP32" s="204"/>
      <c r="KVQ32" s="204"/>
      <c r="KVR32" s="204"/>
      <c r="KVS32" s="204"/>
      <c r="KVT32" s="204"/>
      <c r="KVU32" s="204"/>
      <c r="KVV32" s="204"/>
      <c r="KVW32" s="204"/>
      <c r="KVX32" s="204"/>
      <c r="KVY32" s="204"/>
      <c r="KVZ32" s="204"/>
      <c r="KWA32" s="204"/>
      <c r="KWB32" s="204"/>
      <c r="KWC32" s="204"/>
      <c r="KWD32" s="204"/>
      <c r="KWE32" s="204"/>
      <c r="KWF32" s="204"/>
      <c r="KWG32" s="204"/>
      <c r="KWH32" s="204"/>
      <c r="KWI32" s="204"/>
      <c r="KWJ32" s="204"/>
      <c r="KWK32" s="204"/>
      <c r="KWL32" s="204"/>
      <c r="KWM32" s="204"/>
      <c r="KWN32" s="204"/>
      <c r="KWO32" s="204"/>
      <c r="KWP32" s="204"/>
      <c r="KWQ32" s="204"/>
      <c r="KWR32" s="204"/>
      <c r="KWS32" s="204"/>
      <c r="KWT32" s="204"/>
      <c r="KWU32" s="204"/>
      <c r="KWV32" s="204"/>
      <c r="KWW32" s="204"/>
      <c r="KWX32" s="204"/>
      <c r="KWY32" s="204"/>
      <c r="KWZ32" s="204"/>
      <c r="KXA32" s="204"/>
      <c r="KXB32" s="204"/>
      <c r="KXC32" s="204"/>
      <c r="KXD32" s="204"/>
      <c r="KXE32" s="204"/>
      <c r="KXF32" s="204"/>
      <c r="KXG32" s="204"/>
      <c r="KXH32" s="204"/>
      <c r="KXI32" s="204"/>
      <c r="KXJ32" s="204"/>
      <c r="KXK32" s="204"/>
      <c r="KXL32" s="204"/>
      <c r="KXM32" s="204"/>
      <c r="KXN32" s="204"/>
      <c r="KXO32" s="204"/>
      <c r="KXP32" s="204"/>
      <c r="KXQ32" s="204"/>
      <c r="KXR32" s="204"/>
      <c r="KXS32" s="204"/>
      <c r="KXT32" s="204"/>
      <c r="KXU32" s="204"/>
      <c r="KXV32" s="204"/>
      <c r="KXW32" s="204"/>
      <c r="KXX32" s="204"/>
      <c r="KXY32" s="204"/>
      <c r="KXZ32" s="204"/>
      <c r="KYA32" s="204"/>
      <c r="KYB32" s="204"/>
      <c r="KYC32" s="204"/>
      <c r="KYD32" s="204"/>
      <c r="KYE32" s="204"/>
      <c r="KYF32" s="204"/>
      <c r="KYG32" s="204"/>
      <c r="KYH32" s="204"/>
      <c r="KYI32" s="204"/>
      <c r="KYJ32" s="204"/>
      <c r="KYK32" s="204"/>
      <c r="KYL32" s="204"/>
      <c r="KYM32" s="204"/>
      <c r="KYN32" s="204"/>
      <c r="KYO32" s="204"/>
      <c r="KYP32" s="204"/>
      <c r="KYQ32" s="204"/>
      <c r="KYR32" s="204"/>
      <c r="KYS32" s="204"/>
      <c r="KYT32" s="204"/>
      <c r="KYU32" s="204"/>
      <c r="KYV32" s="204"/>
      <c r="KYW32" s="204"/>
      <c r="KYX32" s="204"/>
      <c r="KYY32" s="204"/>
      <c r="KYZ32" s="204"/>
      <c r="KZA32" s="204"/>
      <c r="KZB32" s="204"/>
      <c r="KZC32" s="204"/>
      <c r="KZD32" s="204"/>
      <c r="KZE32" s="204"/>
      <c r="KZF32" s="204"/>
      <c r="KZG32" s="204"/>
      <c r="KZH32" s="204"/>
      <c r="KZI32" s="204"/>
      <c r="KZJ32" s="204"/>
      <c r="KZK32" s="204"/>
      <c r="KZL32" s="204"/>
      <c r="KZM32" s="204"/>
      <c r="KZN32" s="204"/>
      <c r="KZO32" s="204"/>
      <c r="KZP32" s="204"/>
      <c r="KZQ32" s="204"/>
      <c r="KZR32" s="204"/>
      <c r="KZS32" s="204"/>
      <c r="KZT32" s="204"/>
      <c r="KZU32" s="204"/>
      <c r="KZV32" s="204"/>
      <c r="KZW32" s="204"/>
      <c r="KZX32" s="204"/>
      <c r="KZY32" s="204"/>
      <c r="KZZ32" s="204"/>
      <c r="LAA32" s="204"/>
      <c r="LAB32" s="204"/>
      <c r="LAC32" s="204"/>
      <c r="LAD32" s="204"/>
      <c r="LAE32" s="204"/>
      <c r="LAF32" s="204"/>
      <c r="LAG32" s="204"/>
      <c r="LAH32" s="204"/>
      <c r="LAI32" s="204"/>
      <c r="LAJ32" s="204"/>
      <c r="LAK32" s="204"/>
      <c r="LAL32" s="204"/>
      <c r="LAM32" s="204"/>
      <c r="LAN32" s="204"/>
      <c r="LAO32" s="204"/>
      <c r="LAP32" s="204"/>
      <c r="LAQ32" s="204"/>
      <c r="LAR32" s="204"/>
      <c r="LAS32" s="204"/>
      <c r="LAT32" s="204"/>
      <c r="LAU32" s="204"/>
      <c r="LAV32" s="204"/>
      <c r="LAW32" s="204"/>
      <c r="LAX32" s="204"/>
      <c r="LAY32" s="204"/>
      <c r="LAZ32" s="204"/>
      <c r="LBA32" s="204"/>
      <c r="LBB32" s="204"/>
      <c r="LBC32" s="204"/>
      <c r="LBD32" s="204"/>
      <c r="LBE32" s="204"/>
      <c r="LBF32" s="204"/>
      <c r="LBG32" s="204"/>
      <c r="LBH32" s="204"/>
      <c r="LBI32" s="204"/>
      <c r="LBJ32" s="204"/>
      <c r="LBK32" s="204"/>
      <c r="LBL32" s="204"/>
      <c r="LBM32" s="204"/>
      <c r="LBN32" s="204"/>
      <c r="LBO32" s="204"/>
      <c r="LBP32" s="204"/>
      <c r="LBQ32" s="204"/>
      <c r="LBR32" s="204"/>
      <c r="LBS32" s="204"/>
      <c r="LBT32" s="204"/>
      <c r="LBU32" s="204"/>
      <c r="LBV32" s="204"/>
      <c r="LBW32" s="204"/>
      <c r="LBX32" s="204"/>
      <c r="LBY32" s="204"/>
      <c r="LBZ32" s="204"/>
      <c r="LCA32" s="204"/>
      <c r="LCB32" s="204"/>
      <c r="LCC32" s="204"/>
      <c r="LCD32" s="204"/>
      <c r="LCE32" s="204"/>
      <c r="LCF32" s="204"/>
      <c r="LCG32" s="204"/>
      <c r="LCH32" s="204"/>
      <c r="LCI32" s="204"/>
      <c r="LCJ32" s="204"/>
      <c r="LCK32" s="204"/>
      <c r="LCL32" s="204"/>
      <c r="LCM32" s="204"/>
      <c r="LCN32" s="204"/>
      <c r="LCO32" s="204"/>
      <c r="LCP32" s="204"/>
      <c r="LCQ32" s="204"/>
      <c r="LCR32" s="204"/>
      <c r="LCS32" s="204"/>
      <c r="LCT32" s="204"/>
      <c r="LCU32" s="204"/>
      <c r="LCV32" s="204"/>
      <c r="LCW32" s="204"/>
      <c r="LCX32" s="204"/>
      <c r="LCY32" s="204"/>
      <c r="LCZ32" s="204"/>
      <c r="LDA32" s="204"/>
      <c r="LDB32" s="204"/>
      <c r="LDC32" s="204"/>
      <c r="LDD32" s="204"/>
      <c r="LDE32" s="204"/>
      <c r="LDF32" s="204"/>
      <c r="LDG32" s="204"/>
      <c r="LDH32" s="204"/>
      <c r="LDI32" s="204"/>
      <c r="LDJ32" s="204"/>
      <c r="LDK32" s="204"/>
      <c r="LDL32" s="204"/>
      <c r="LDM32" s="204"/>
      <c r="LDN32" s="204"/>
      <c r="LDO32" s="204"/>
      <c r="LDP32" s="204"/>
      <c r="LDQ32" s="204"/>
      <c r="LDR32" s="204"/>
      <c r="LDS32" s="204"/>
      <c r="LDT32" s="204"/>
      <c r="LDU32" s="204"/>
      <c r="LDV32" s="204"/>
      <c r="LDW32" s="204"/>
      <c r="LDX32" s="204"/>
      <c r="LDY32" s="204"/>
      <c r="LDZ32" s="204"/>
      <c r="LEA32" s="204"/>
      <c r="LEB32" s="204"/>
      <c r="LEC32" s="204"/>
      <c r="LED32" s="204"/>
      <c r="LEE32" s="204"/>
      <c r="LEF32" s="204"/>
      <c r="LEG32" s="204"/>
      <c r="LEH32" s="204"/>
      <c r="LEI32" s="204"/>
      <c r="LEJ32" s="204"/>
      <c r="LEK32" s="204"/>
      <c r="LEL32" s="204"/>
      <c r="LEM32" s="204"/>
      <c r="LEN32" s="204"/>
      <c r="LEO32" s="204"/>
      <c r="LEP32" s="204"/>
      <c r="LEQ32" s="204"/>
      <c r="LER32" s="204"/>
      <c r="LES32" s="204"/>
      <c r="LET32" s="204"/>
      <c r="LEU32" s="204"/>
      <c r="LEV32" s="204"/>
      <c r="LEW32" s="204"/>
      <c r="LEX32" s="204"/>
      <c r="LEY32" s="204"/>
      <c r="LEZ32" s="204"/>
      <c r="LFA32" s="204"/>
      <c r="LFB32" s="204"/>
      <c r="LFC32" s="204"/>
      <c r="LFD32" s="204"/>
      <c r="LFE32" s="204"/>
      <c r="LFF32" s="204"/>
      <c r="LFG32" s="204"/>
      <c r="LFH32" s="204"/>
      <c r="LFI32" s="204"/>
      <c r="LFJ32" s="204"/>
      <c r="LFK32" s="204"/>
      <c r="LFL32" s="204"/>
      <c r="LFM32" s="204"/>
      <c r="LFN32" s="204"/>
      <c r="LFO32" s="204"/>
      <c r="LFP32" s="204"/>
      <c r="LFQ32" s="204"/>
      <c r="LFR32" s="204"/>
      <c r="LFS32" s="204"/>
      <c r="LFT32" s="204"/>
      <c r="LFU32" s="204"/>
      <c r="LFV32" s="204"/>
      <c r="LFW32" s="204"/>
      <c r="LFX32" s="204"/>
      <c r="LFY32" s="204"/>
      <c r="LFZ32" s="204"/>
      <c r="LGA32" s="204"/>
      <c r="LGB32" s="204"/>
      <c r="LGC32" s="204"/>
      <c r="LGD32" s="204"/>
      <c r="LGE32" s="204"/>
      <c r="LGF32" s="204"/>
      <c r="LGG32" s="204"/>
      <c r="LGH32" s="204"/>
      <c r="LGI32" s="204"/>
      <c r="LGJ32" s="204"/>
      <c r="LGK32" s="204"/>
      <c r="LGL32" s="204"/>
      <c r="LGM32" s="204"/>
      <c r="LGN32" s="204"/>
      <c r="LGO32" s="204"/>
      <c r="LGP32" s="204"/>
      <c r="LGQ32" s="204"/>
      <c r="LGR32" s="204"/>
      <c r="LGS32" s="204"/>
      <c r="LGT32" s="204"/>
      <c r="LGU32" s="204"/>
      <c r="LGV32" s="204"/>
      <c r="LGW32" s="204"/>
      <c r="LGX32" s="204"/>
      <c r="LGY32" s="204"/>
      <c r="LGZ32" s="204"/>
      <c r="LHA32" s="204"/>
      <c r="LHB32" s="204"/>
      <c r="LHC32" s="204"/>
      <c r="LHD32" s="204"/>
      <c r="LHE32" s="204"/>
      <c r="LHF32" s="204"/>
      <c r="LHG32" s="204"/>
      <c r="LHH32" s="204"/>
      <c r="LHI32" s="204"/>
      <c r="LHJ32" s="204"/>
      <c r="LHK32" s="204"/>
      <c r="LHL32" s="204"/>
      <c r="LHM32" s="204"/>
      <c r="LHN32" s="204"/>
      <c r="LHO32" s="204"/>
      <c r="LHP32" s="204"/>
      <c r="LHQ32" s="204"/>
      <c r="LHR32" s="204"/>
      <c r="LHS32" s="204"/>
      <c r="LHT32" s="204"/>
      <c r="LHU32" s="204"/>
      <c r="LHV32" s="204"/>
      <c r="LHW32" s="204"/>
      <c r="LHX32" s="204"/>
      <c r="LHY32" s="204"/>
      <c r="LHZ32" s="204"/>
      <c r="LIA32" s="204"/>
      <c r="LIB32" s="204"/>
      <c r="LIC32" s="204"/>
      <c r="LID32" s="204"/>
      <c r="LIE32" s="204"/>
      <c r="LIF32" s="204"/>
      <c r="LIG32" s="204"/>
      <c r="LIH32" s="204"/>
      <c r="LII32" s="204"/>
      <c r="LIJ32" s="204"/>
      <c r="LIK32" s="204"/>
      <c r="LIL32" s="204"/>
      <c r="LIM32" s="204"/>
      <c r="LIN32" s="204"/>
      <c r="LIO32" s="204"/>
      <c r="LIP32" s="204"/>
      <c r="LIQ32" s="204"/>
      <c r="LIR32" s="204"/>
      <c r="LIS32" s="204"/>
      <c r="LIT32" s="204"/>
      <c r="LIU32" s="204"/>
      <c r="LIV32" s="204"/>
      <c r="LIW32" s="204"/>
      <c r="LIX32" s="204"/>
      <c r="LIY32" s="204"/>
      <c r="LIZ32" s="204"/>
      <c r="LJA32" s="204"/>
      <c r="LJB32" s="204"/>
      <c r="LJC32" s="204"/>
      <c r="LJD32" s="204"/>
      <c r="LJE32" s="204"/>
      <c r="LJF32" s="204"/>
      <c r="LJG32" s="204"/>
      <c r="LJH32" s="204"/>
      <c r="LJI32" s="204"/>
      <c r="LJJ32" s="204"/>
      <c r="LJK32" s="204"/>
      <c r="LJL32" s="204"/>
      <c r="LJM32" s="204"/>
      <c r="LJN32" s="204"/>
      <c r="LJO32" s="204"/>
      <c r="LJP32" s="204"/>
      <c r="LJQ32" s="204"/>
      <c r="LJR32" s="204"/>
      <c r="LJS32" s="204"/>
      <c r="LJT32" s="204"/>
      <c r="LJU32" s="204"/>
      <c r="LJV32" s="204"/>
      <c r="LJW32" s="204"/>
      <c r="LJX32" s="204"/>
      <c r="LJY32" s="204"/>
      <c r="LJZ32" s="204"/>
      <c r="LKA32" s="204"/>
      <c r="LKB32" s="204"/>
      <c r="LKC32" s="204"/>
      <c r="LKD32" s="204"/>
      <c r="LKE32" s="204"/>
      <c r="LKF32" s="204"/>
      <c r="LKG32" s="204"/>
      <c r="LKH32" s="204"/>
      <c r="LKI32" s="204"/>
      <c r="LKJ32" s="204"/>
      <c r="LKK32" s="204"/>
      <c r="LKL32" s="204"/>
      <c r="LKM32" s="204"/>
      <c r="LKN32" s="204"/>
      <c r="LKO32" s="204"/>
      <c r="LKP32" s="204"/>
      <c r="LKQ32" s="204"/>
      <c r="LKR32" s="204"/>
      <c r="LKS32" s="204"/>
      <c r="LKT32" s="204"/>
      <c r="LKU32" s="204"/>
      <c r="LKV32" s="204"/>
      <c r="LKW32" s="204"/>
      <c r="LKX32" s="204"/>
      <c r="LKY32" s="204"/>
      <c r="LKZ32" s="204"/>
      <c r="LLA32" s="204"/>
      <c r="LLB32" s="204"/>
      <c r="LLC32" s="204"/>
      <c r="LLD32" s="204"/>
      <c r="LLE32" s="204"/>
      <c r="LLF32" s="204"/>
      <c r="LLG32" s="204"/>
      <c r="LLH32" s="204"/>
      <c r="LLI32" s="204"/>
      <c r="LLJ32" s="204"/>
      <c r="LLK32" s="204"/>
      <c r="LLL32" s="204"/>
      <c r="LLM32" s="204"/>
      <c r="LLN32" s="204"/>
      <c r="LLO32" s="204"/>
      <c r="LLP32" s="204"/>
      <c r="LLQ32" s="204"/>
      <c r="LLR32" s="204"/>
      <c r="LLS32" s="204"/>
      <c r="LLT32" s="204"/>
      <c r="LLU32" s="204"/>
      <c r="LLV32" s="204"/>
      <c r="LLW32" s="204"/>
      <c r="LLX32" s="204"/>
      <c r="LLY32" s="204"/>
      <c r="LLZ32" s="204"/>
      <c r="LMA32" s="204"/>
      <c r="LMB32" s="204"/>
      <c r="LMC32" s="204"/>
      <c r="LMD32" s="204"/>
      <c r="LME32" s="204"/>
      <c r="LMF32" s="204"/>
      <c r="LMG32" s="204"/>
      <c r="LMH32" s="204"/>
      <c r="LMI32" s="204"/>
      <c r="LMJ32" s="204"/>
      <c r="LMK32" s="204"/>
      <c r="LML32" s="204"/>
      <c r="LMM32" s="204"/>
      <c r="LMN32" s="204"/>
      <c r="LMO32" s="204"/>
      <c r="LMP32" s="204"/>
      <c r="LMQ32" s="204"/>
      <c r="LMR32" s="204"/>
      <c r="LMS32" s="204"/>
      <c r="LMT32" s="204"/>
      <c r="LMU32" s="204"/>
      <c r="LMV32" s="204"/>
      <c r="LMW32" s="204"/>
      <c r="LMX32" s="204"/>
      <c r="LMY32" s="204"/>
      <c r="LMZ32" s="204"/>
      <c r="LNA32" s="204"/>
      <c r="LNB32" s="204"/>
      <c r="LNC32" s="204"/>
      <c r="LND32" s="204"/>
      <c r="LNE32" s="204"/>
      <c r="LNF32" s="204"/>
      <c r="LNG32" s="204"/>
      <c r="LNH32" s="204"/>
      <c r="LNI32" s="204"/>
      <c r="LNJ32" s="204"/>
      <c r="LNK32" s="204"/>
      <c r="LNL32" s="204"/>
      <c r="LNM32" s="204"/>
      <c r="LNN32" s="204"/>
      <c r="LNO32" s="204"/>
      <c r="LNP32" s="204"/>
      <c r="LNQ32" s="204"/>
      <c r="LNR32" s="204"/>
      <c r="LNS32" s="204"/>
      <c r="LNT32" s="204"/>
      <c r="LNU32" s="204"/>
      <c r="LNV32" s="204"/>
      <c r="LNW32" s="204"/>
      <c r="LNX32" s="204"/>
      <c r="LNY32" s="204"/>
      <c r="LNZ32" s="204"/>
      <c r="LOA32" s="204"/>
      <c r="LOB32" s="204"/>
      <c r="LOC32" s="204"/>
      <c r="LOD32" s="204"/>
      <c r="LOE32" s="204"/>
      <c r="LOF32" s="204"/>
      <c r="LOG32" s="204"/>
      <c r="LOH32" s="204"/>
      <c r="LOI32" s="204"/>
      <c r="LOJ32" s="204"/>
      <c r="LOK32" s="204"/>
      <c r="LOL32" s="204"/>
      <c r="LOM32" s="204"/>
      <c r="LON32" s="204"/>
      <c r="LOO32" s="204"/>
      <c r="LOP32" s="204"/>
      <c r="LOQ32" s="204"/>
      <c r="LOR32" s="204"/>
      <c r="LOS32" s="204"/>
      <c r="LOT32" s="204"/>
      <c r="LOU32" s="204"/>
      <c r="LOV32" s="204"/>
      <c r="LOW32" s="204"/>
      <c r="LOX32" s="204"/>
      <c r="LOY32" s="204"/>
      <c r="LOZ32" s="204"/>
      <c r="LPA32" s="204"/>
      <c r="LPB32" s="204"/>
      <c r="LPC32" s="204"/>
      <c r="LPD32" s="204"/>
      <c r="LPE32" s="204"/>
      <c r="LPF32" s="204"/>
      <c r="LPG32" s="204"/>
      <c r="LPH32" s="204"/>
      <c r="LPI32" s="204"/>
      <c r="LPJ32" s="204"/>
      <c r="LPK32" s="204"/>
      <c r="LPL32" s="204"/>
      <c r="LPM32" s="204"/>
      <c r="LPN32" s="204"/>
      <c r="LPO32" s="204"/>
      <c r="LPP32" s="204"/>
      <c r="LPQ32" s="204"/>
      <c r="LPR32" s="204"/>
      <c r="LPS32" s="204"/>
      <c r="LPT32" s="204"/>
      <c r="LPU32" s="204"/>
      <c r="LPV32" s="204"/>
      <c r="LPW32" s="204"/>
      <c r="LPX32" s="204"/>
      <c r="LPY32" s="204"/>
      <c r="LPZ32" s="204"/>
      <c r="LQA32" s="204"/>
      <c r="LQB32" s="204"/>
      <c r="LQC32" s="204"/>
      <c r="LQD32" s="204"/>
      <c r="LQE32" s="204"/>
      <c r="LQF32" s="204"/>
      <c r="LQG32" s="204"/>
      <c r="LQH32" s="204"/>
      <c r="LQI32" s="204"/>
      <c r="LQJ32" s="204"/>
      <c r="LQK32" s="204"/>
      <c r="LQL32" s="204"/>
      <c r="LQM32" s="204"/>
      <c r="LQN32" s="204"/>
      <c r="LQO32" s="204"/>
      <c r="LQP32" s="204"/>
      <c r="LQQ32" s="204"/>
      <c r="LQR32" s="204"/>
      <c r="LQS32" s="204"/>
      <c r="LQT32" s="204"/>
      <c r="LQU32" s="204"/>
      <c r="LQV32" s="204"/>
      <c r="LQW32" s="204"/>
      <c r="LQX32" s="204"/>
      <c r="LQY32" s="204"/>
      <c r="LQZ32" s="204"/>
      <c r="LRA32" s="204"/>
      <c r="LRB32" s="204"/>
      <c r="LRC32" s="204"/>
      <c r="LRD32" s="204"/>
      <c r="LRE32" s="204"/>
      <c r="LRF32" s="204"/>
      <c r="LRG32" s="204"/>
      <c r="LRH32" s="204"/>
      <c r="LRI32" s="204"/>
      <c r="LRJ32" s="204"/>
      <c r="LRK32" s="204"/>
      <c r="LRL32" s="204"/>
      <c r="LRM32" s="204"/>
      <c r="LRN32" s="204"/>
      <c r="LRO32" s="204"/>
      <c r="LRP32" s="204"/>
      <c r="LRQ32" s="204"/>
      <c r="LRR32" s="204"/>
      <c r="LRS32" s="204"/>
      <c r="LRT32" s="204"/>
      <c r="LRU32" s="204"/>
      <c r="LRV32" s="204"/>
      <c r="LRW32" s="204"/>
      <c r="LRX32" s="204"/>
      <c r="LRY32" s="204"/>
      <c r="LRZ32" s="204"/>
      <c r="LSA32" s="204"/>
      <c r="LSB32" s="204"/>
      <c r="LSC32" s="204"/>
      <c r="LSD32" s="204"/>
      <c r="LSE32" s="204"/>
      <c r="LSF32" s="204"/>
      <c r="LSG32" s="204"/>
      <c r="LSH32" s="204"/>
      <c r="LSI32" s="204"/>
      <c r="LSJ32" s="204"/>
      <c r="LSK32" s="204"/>
      <c r="LSL32" s="204"/>
      <c r="LSM32" s="204"/>
      <c r="LSN32" s="204"/>
      <c r="LSO32" s="204"/>
      <c r="LSP32" s="204"/>
      <c r="LSQ32" s="204"/>
      <c r="LSR32" s="204"/>
      <c r="LSS32" s="204"/>
      <c r="LST32" s="204"/>
      <c r="LSU32" s="204"/>
      <c r="LSV32" s="204"/>
      <c r="LSW32" s="204"/>
      <c r="LSX32" s="204"/>
      <c r="LSY32" s="204"/>
      <c r="LSZ32" s="204"/>
      <c r="LTA32" s="204"/>
      <c r="LTB32" s="204"/>
      <c r="LTC32" s="204"/>
      <c r="LTD32" s="204"/>
      <c r="LTE32" s="204"/>
      <c r="LTF32" s="204"/>
      <c r="LTG32" s="204"/>
      <c r="LTH32" s="204"/>
      <c r="LTI32" s="204"/>
      <c r="LTJ32" s="204"/>
      <c r="LTK32" s="204"/>
      <c r="LTL32" s="204"/>
      <c r="LTM32" s="204"/>
      <c r="LTN32" s="204"/>
      <c r="LTO32" s="204"/>
      <c r="LTP32" s="204"/>
      <c r="LTQ32" s="204"/>
      <c r="LTR32" s="204"/>
      <c r="LTS32" s="204"/>
      <c r="LTT32" s="204"/>
      <c r="LTU32" s="204"/>
      <c r="LTV32" s="204"/>
      <c r="LTW32" s="204"/>
      <c r="LTX32" s="204"/>
      <c r="LTY32" s="204"/>
      <c r="LTZ32" s="204"/>
      <c r="LUA32" s="204"/>
      <c r="LUB32" s="204"/>
      <c r="LUC32" s="204"/>
      <c r="LUD32" s="204"/>
      <c r="LUE32" s="204"/>
      <c r="LUF32" s="204"/>
      <c r="LUG32" s="204"/>
      <c r="LUH32" s="204"/>
      <c r="LUI32" s="204"/>
      <c r="LUJ32" s="204"/>
      <c r="LUK32" s="204"/>
      <c r="LUL32" s="204"/>
      <c r="LUM32" s="204"/>
      <c r="LUN32" s="204"/>
      <c r="LUO32" s="204"/>
      <c r="LUP32" s="204"/>
      <c r="LUQ32" s="204"/>
      <c r="LUR32" s="204"/>
      <c r="LUS32" s="204"/>
      <c r="LUT32" s="204"/>
      <c r="LUU32" s="204"/>
      <c r="LUV32" s="204"/>
      <c r="LUW32" s="204"/>
      <c r="LUX32" s="204"/>
      <c r="LUY32" s="204"/>
      <c r="LUZ32" s="204"/>
      <c r="LVA32" s="204"/>
      <c r="LVB32" s="204"/>
      <c r="LVC32" s="204"/>
      <c r="LVD32" s="204"/>
      <c r="LVE32" s="204"/>
      <c r="LVF32" s="204"/>
      <c r="LVG32" s="204"/>
      <c r="LVH32" s="204"/>
      <c r="LVI32" s="204"/>
      <c r="LVJ32" s="204"/>
      <c r="LVK32" s="204"/>
      <c r="LVL32" s="204"/>
      <c r="LVM32" s="204"/>
      <c r="LVN32" s="204"/>
      <c r="LVO32" s="204"/>
      <c r="LVP32" s="204"/>
      <c r="LVQ32" s="204"/>
      <c r="LVR32" s="204"/>
      <c r="LVS32" s="204"/>
      <c r="LVT32" s="204"/>
      <c r="LVU32" s="204"/>
      <c r="LVV32" s="204"/>
      <c r="LVW32" s="204"/>
      <c r="LVX32" s="204"/>
      <c r="LVY32" s="204"/>
      <c r="LVZ32" s="204"/>
      <c r="LWA32" s="204"/>
      <c r="LWB32" s="204"/>
      <c r="LWC32" s="204"/>
      <c r="LWD32" s="204"/>
      <c r="LWE32" s="204"/>
      <c r="LWF32" s="204"/>
      <c r="LWG32" s="204"/>
      <c r="LWH32" s="204"/>
      <c r="LWI32" s="204"/>
      <c r="LWJ32" s="204"/>
      <c r="LWK32" s="204"/>
      <c r="LWL32" s="204"/>
      <c r="LWM32" s="204"/>
      <c r="LWN32" s="204"/>
      <c r="LWO32" s="204"/>
      <c r="LWP32" s="204"/>
      <c r="LWQ32" s="204"/>
      <c r="LWR32" s="204"/>
      <c r="LWS32" s="204"/>
      <c r="LWT32" s="204"/>
      <c r="LWU32" s="204"/>
      <c r="LWV32" s="204"/>
      <c r="LWW32" s="204"/>
      <c r="LWX32" s="204"/>
      <c r="LWY32" s="204"/>
      <c r="LWZ32" s="204"/>
      <c r="LXA32" s="204"/>
      <c r="LXB32" s="204"/>
      <c r="LXC32" s="204"/>
      <c r="LXD32" s="204"/>
      <c r="LXE32" s="204"/>
      <c r="LXF32" s="204"/>
      <c r="LXG32" s="204"/>
      <c r="LXH32" s="204"/>
      <c r="LXI32" s="204"/>
      <c r="LXJ32" s="204"/>
      <c r="LXK32" s="204"/>
      <c r="LXL32" s="204"/>
      <c r="LXM32" s="204"/>
      <c r="LXN32" s="204"/>
      <c r="LXO32" s="204"/>
      <c r="LXP32" s="204"/>
      <c r="LXQ32" s="204"/>
      <c r="LXR32" s="204"/>
      <c r="LXS32" s="204"/>
      <c r="LXT32" s="204"/>
      <c r="LXU32" s="204"/>
      <c r="LXV32" s="204"/>
      <c r="LXW32" s="204"/>
      <c r="LXX32" s="204"/>
      <c r="LXY32" s="204"/>
      <c r="LXZ32" s="204"/>
      <c r="LYA32" s="204"/>
      <c r="LYB32" s="204"/>
      <c r="LYC32" s="204"/>
      <c r="LYD32" s="204"/>
      <c r="LYE32" s="204"/>
      <c r="LYF32" s="204"/>
      <c r="LYG32" s="204"/>
      <c r="LYH32" s="204"/>
      <c r="LYI32" s="204"/>
      <c r="LYJ32" s="204"/>
      <c r="LYK32" s="204"/>
      <c r="LYL32" s="204"/>
      <c r="LYM32" s="204"/>
      <c r="LYN32" s="204"/>
      <c r="LYO32" s="204"/>
      <c r="LYP32" s="204"/>
      <c r="LYQ32" s="204"/>
      <c r="LYR32" s="204"/>
      <c r="LYS32" s="204"/>
      <c r="LYT32" s="204"/>
      <c r="LYU32" s="204"/>
      <c r="LYV32" s="204"/>
      <c r="LYW32" s="204"/>
      <c r="LYX32" s="204"/>
      <c r="LYY32" s="204"/>
      <c r="LYZ32" s="204"/>
      <c r="LZA32" s="204"/>
      <c r="LZB32" s="204"/>
      <c r="LZC32" s="204"/>
      <c r="LZD32" s="204"/>
      <c r="LZE32" s="204"/>
      <c r="LZF32" s="204"/>
      <c r="LZG32" s="204"/>
      <c r="LZH32" s="204"/>
      <c r="LZI32" s="204"/>
      <c r="LZJ32" s="204"/>
      <c r="LZK32" s="204"/>
      <c r="LZL32" s="204"/>
      <c r="LZM32" s="204"/>
      <c r="LZN32" s="204"/>
      <c r="LZO32" s="204"/>
      <c r="LZP32" s="204"/>
      <c r="LZQ32" s="204"/>
      <c r="LZR32" s="204"/>
      <c r="LZS32" s="204"/>
      <c r="LZT32" s="204"/>
      <c r="LZU32" s="204"/>
      <c r="LZV32" s="204"/>
      <c r="LZW32" s="204"/>
      <c r="LZX32" s="204"/>
      <c r="LZY32" s="204"/>
      <c r="LZZ32" s="204"/>
      <c r="MAA32" s="204"/>
      <c r="MAB32" s="204"/>
      <c r="MAC32" s="204"/>
      <c r="MAD32" s="204"/>
      <c r="MAE32" s="204"/>
      <c r="MAF32" s="204"/>
      <c r="MAG32" s="204"/>
      <c r="MAH32" s="204"/>
      <c r="MAI32" s="204"/>
      <c r="MAJ32" s="204"/>
      <c r="MAK32" s="204"/>
      <c r="MAL32" s="204"/>
      <c r="MAM32" s="204"/>
      <c r="MAN32" s="204"/>
      <c r="MAO32" s="204"/>
      <c r="MAP32" s="204"/>
      <c r="MAQ32" s="204"/>
      <c r="MAR32" s="204"/>
      <c r="MAS32" s="204"/>
      <c r="MAT32" s="204"/>
      <c r="MAU32" s="204"/>
      <c r="MAV32" s="204"/>
      <c r="MAW32" s="204"/>
      <c r="MAX32" s="204"/>
      <c r="MAY32" s="204"/>
      <c r="MAZ32" s="204"/>
      <c r="MBA32" s="204"/>
      <c r="MBB32" s="204"/>
      <c r="MBC32" s="204"/>
      <c r="MBD32" s="204"/>
      <c r="MBE32" s="204"/>
      <c r="MBF32" s="204"/>
      <c r="MBG32" s="204"/>
      <c r="MBH32" s="204"/>
      <c r="MBI32" s="204"/>
      <c r="MBJ32" s="204"/>
      <c r="MBK32" s="204"/>
      <c r="MBL32" s="204"/>
      <c r="MBM32" s="204"/>
      <c r="MBN32" s="204"/>
      <c r="MBO32" s="204"/>
      <c r="MBP32" s="204"/>
      <c r="MBQ32" s="204"/>
      <c r="MBR32" s="204"/>
      <c r="MBS32" s="204"/>
      <c r="MBT32" s="204"/>
      <c r="MBU32" s="204"/>
      <c r="MBV32" s="204"/>
      <c r="MBW32" s="204"/>
      <c r="MBX32" s="204"/>
      <c r="MBY32" s="204"/>
      <c r="MBZ32" s="204"/>
      <c r="MCA32" s="204"/>
      <c r="MCB32" s="204"/>
      <c r="MCC32" s="204"/>
      <c r="MCD32" s="204"/>
      <c r="MCE32" s="204"/>
      <c r="MCF32" s="204"/>
      <c r="MCG32" s="204"/>
      <c r="MCH32" s="204"/>
      <c r="MCI32" s="204"/>
      <c r="MCJ32" s="204"/>
      <c r="MCK32" s="204"/>
      <c r="MCL32" s="204"/>
      <c r="MCM32" s="204"/>
      <c r="MCN32" s="204"/>
      <c r="MCO32" s="204"/>
      <c r="MCP32" s="204"/>
      <c r="MCQ32" s="204"/>
      <c r="MCR32" s="204"/>
      <c r="MCS32" s="204"/>
      <c r="MCT32" s="204"/>
      <c r="MCU32" s="204"/>
      <c r="MCV32" s="204"/>
      <c r="MCW32" s="204"/>
      <c r="MCX32" s="204"/>
      <c r="MCY32" s="204"/>
      <c r="MCZ32" s="204"/>
      <c r="MDA32" s="204"/>
      <c r="MDB32" s="204"/>
      <c r="MDC32" s="204"/>
      <c r="MDD32" s="204"/>
      <c r="MDE32" s="204"/>
      <c r="MDF32" s="204"/>
      <c r="MDG32" s="204"/>
      <c r="MDH32" s="204"/>
      <c r="MDI32" s="204"/>
      <c r="MDJ32" s="204"/>
      <c r="MDK32" s="204"/>
      <c r="MDL32" s="204"/>
      <c r="MDM32" s="204"/>
      <c r="MDN32" s="204"/>
      <c r="MDO32" s="204"/>
      <c r="MDP32" s="204"/>
      <c r="MDQ32" s="204"/>
      <c r="MDR32" s="204"/>
      <c r="MDS32" s="204"/>
      <c r="MDT32" s="204"/>
      <c r="MDU32" s="204"/>
      <c r="MDV32" s="204"/>
      <c r="MDW32" s="204"/>
      <c r="MDX32" s="204"/>
      <c r="MDY32" s="204"/>
      <c r="MDZ32" s="204"/>
      <c r="MEA32" s="204"/>
      <c r="MEB32" s="204"/>
      <c r="MEC32" s="204"/>
      <c r="MED32" s="204"/>
      <c r="MEE32" s="204"/>
      <c r="MEF32" s="204"/>
      <c r="MEG32" s="204"/>
      <c r="MEH32" s="204"/>
      <c r="MEI32" s="204"/>
      <c r="MEJ32" s="204"/>
      <c r="MEK32" s="204"/>
      <c r="MEL32" s="204"/>
      <c r="MEM32" s="204"/>
      <c r="MEN32" s="204"/>
      <c r="MEO32" s="204"/>
      <c r="MEP32" s="204"/>
      <c r="MEQ32" s="204"/>
      <c r="MER32" s="204"/>
      <c r="MES32" s="204"/>
      <c r="MET32" s="204"/>
      <c r="MEU32" s="204"/>
      <c r="MEV32" s="204"/>
      <c r="MEW32" s="204"/>
      <c r="MEX32" s="204"/>
      <c r="MEY32" s="204"/>
      <c r="MEZ32" s="204"/>
      <c r="MFA32" s="204"/>
      <c r="MFB32" s="204"/>
      <c r="MFC32" s="204"/>
      <c r="MFD32" s="204"/>
      <c r="MFE32" s="204"/>
      <c r="MFF32" s="204"/>
      <c r="MFG32" s="204"/>
      <c r="MFH32" s="204"/>
      <c r="MFI32" s="204"/>
      <c r="MFJ32" s="204"/>
      <c r="MFK32" s="204"/>
      <c r="MFL32" s="204"/>
      <c r="MFM32" s="204"/>
      <c r="MFN32" s="204"/>
      <c r="MFO32" s="204"/>
      <c r="MFP32" s="204"/>
      <c r="MFQ32" s="204"/>
      <c r="MFR32" s="204"/>
      <c r="MFS32" s="204"/>
      <c r="MFT32" s="204"/>
      <c r="MFU32" s="204"/>
      <c r="MFV32" s="204"/>
      <c r="MFW32" s="204"/>
      <c r="MFX32" s="204"/>
      <c r="MFY32" s="204"/>
      <c r="MFZ32" s="204"/>
      <c r="MGA32" s="204"/>
      <c r="MGB32" s="204"/>
      <c r="MGC32" s="204"/>
      <c r="MGD32" s="204"/>
      <c r="MGE32" s="204"/>
      <c r="MGF32" s="204"/>
      <c r="MGG32" s="204"/>
      <c r="MGH32" s="204"/>
      <c r="MGI32" s="204"/>
      <c r="MGJ32" s="204"/>
      <c r="MGK32" s="204"/>
      <c r="MGL32" s="204"/>
      <c r="MGM32" s="204"/>
      <c r="MGN32" s="204"/>
      <c r="MGO32" s="204"/>
      <c r="MGP32" s="204"/>
      <c r="MGQ32" s="204"/>
      <c r="MGR32" s="204"/>
      <c r="MGS32" s="204"/>
      <c r="MGT32" s="204"/>
      <c r="MGU32" s="204"/>
      <c r="MGV32" s="204"/>
      <c r="MGW32" s="204"/>
      <c r="MGX32" s="204"/>
      <c r="MGY32" s="204"/>
      <c r="MGZ32" s="204"/>
      <c r="MHA32" s="204"/>
      <c r="MHB32" s="204"/>
      <c r="MHC32" s="204"/>
      <c r="MHD32" s="204"/>
      <c r="MHE32" s="204"/>
      <c r="MHF32" s="204"/>
      <c r="MHG32" s="204"/>
      <c r="MHH32" s="204"/>
      <c r="MHI32" s="204"/>
      <c r="MHJ32" s="204"/>
      <c r="MHK32" s="204"/>
      <c r="MHL32" s="204"/>
      <c r="MHM32" s="204"/>
      <c r="MHN32" s="204"/>
      <c r="MHO32" s="204"/>
      <c r="MHP32" s="204"/>
      <c r="MHQ32" s="204"/>
      <c r="MHR32" s="204"/>
      <c r="MHS32" s="204"/>
      <c r="MHT32" s="204"/>
      <c r="MHU32" s="204"/>
      <c r="MHV32" s="204"/>
      <c r="MHW32" s="204"/>
      <c r="MHX32" s="204"/>
      <c r="MHY32" s="204"/>
      <c r="MHZ32" s="204"/>
      <c r="MIA32" s="204"/>
      <c r="MIB32" s="204"/>
      <c r="MIC32" s="204"/>
      <c r="MID32" s="204"/>
      <c r="MIE32" s="204"/>
      <c r="MIF32" s="204"/>
      <c r="MIG32" s="204"/>
      <c r="MIH32" s="204"/>
      <c r="MII32" s="204"/>
      <c r="MIJ32" s="204"/>
      <c r="MIK32" s="204"/>
      <c r="MIL32" s="204"/>
      <c r="MIM32" s="204"/>
      <c r="MIN32" s="204"/>
      <c r="MIO32" s="204"/>
      <c r="MIP32" s="204"/>
      <c r="MIQ32" s="204"/>
      <c r="MIR32" s="204"/>
      <c r="MIS32" s="204"/>
      <c r="MIT32" s="204"/>
      <c r="MIU32" s="204"/>
      <c r="MIV32" s="204"/>
      <c r="MIW32" s="204"/>
      <c r="MIX32" s="204"/>
      <c r="MIY32" s="204"/>
      <c r="MIZ32" s="204"/>
      <c r="MJA32" s="204"/>
      <c r="MJB32" s="204"/>
      <c r="MJC32" s="204"/>
      <c r="MJD32" s="204"/>
      <c r="MJE32" s="204"/>
      <c r="MJF32" s="204"/>
      <c r="MJG32" s="204"/>
      <c r="MJH32" s="204"/>
      <c r="MJI32" s="204"/>
      <c r="MJJ32" s="204"/>
      <c r="MJK32" s="204"/>
      <c r="MJL32" s="204"/>
      <c r="MJM32" s="204"/>
      <c r="MJN32" s="204"/>
      <c r="MJO32" s="204"/>
      <c r="MJP32" s="204"/>
      <c r="MJQ32" s="204"/>
      <c r="MJR32" s="204"/>
      <c r="MJS32" s="204"/>
      <c r="MJT32" s="204"/>
      <c r="MJU32" s="204"/>
      <c r="MJV32" s="204"/>
      <c r="MJW32" s="204"/>
      <c r="MJX32" s="204"/>
      <c r="MJY32" s="204"/>
      <c r="MJZ32" s="204"/>
      <c r="MKA32" s="204"/>
      <c r="MKB32" s="204"/>
      <c r="MKC32" s="204"/>
      <c r="MKD32" s="204"/>
      <c r="MKE32" s="204"/>
      <c r="MKF32" s="204"/>
      <c r="MKG32" s="204"/>
      <c r="MKH32" s="204"/>
      <c r="MKI32" s="204"/>
      <c r="MKJ32" s="204"/>
      <c r="MKK32" s="204"/>
      <c r="MKL32" s="204"/>
      <c r="MKM32" s="204"/>
      <c r="MKN32" s="204"/>
      <c r="MKO32" s="204"/>
      <c r="MKP32" s="204"/>
      <c r="MKQ32" s="204"/>
      <c r="MKR32" s="204"/>
      <c r="MKS32" s="204"/>
      <c r="MKT32" s="204"/>
      <c r="MKU32" s="204"/>
      <c r="MKV32" s="204"/>
      <c r="MKW32" s="204"/>
      <c r="MKX32" s="204"/>
      <c r="MKY32" s="204"/>
      <c r="MKZ32" s="204"/>
      <c r="MLA32" s="204"/>
      <c r="MLB32" s="204"/>
      <c r="MLC32" s="204"/>
      <c r="MLD32" s="204"/>
      <c r="MLE32" s="204"/>
      <c r="MLF32" s="204"/>
      <c r="MLG32" s="204"/>
      <c r="MLH32" s="204"/>
      <c r="MLI32" s="204"/>
      <c r="MLJ32" s="204"/>
      <c r="MLK32" s="204"/>
      <c r="MLL32" s="204"/>
      <c r="MLM32" s="204"/>
      <c r="MLN32" s="204"/>
      <c r="MLO32" s="204"/>
      <c r="MLP32" s="204"/>
      <c r="MLQ32" s="204"/>
      <c r="MLR32" s="204"/>
      <c r="MLS32" s="204"/>
      <c r="MLT32" s="204"/>
      <c r="MLU32" s="204"/>
      <c r="MLV32" s="204"/>
      <c r="MLW32" s="204"/>
      <c r="MLX32" s="204"/>
      <c r="MLY32" s="204"/>
      <c r="MLZ32" s="204"/>
      <c r="MMA32" s="204"/>
      <c r="MMB32" s="204"/>
      <c r="MMC32" s="204"/>
      <c r="MMD32" s="204"/>
      <c r="MME32" s="204"/>
      <c r="MMF32" s="204"/>
      <c r="MMG32" s="204"/>
      <c r="MMH32" s="204"/>
      <c r="MMI32" s="204"/>
      <c r="MMJ32" s="204"/>
      <c r="MMK32" s="204"/>
      <c r="MML32" s="204"/>
      <c r="MMM32" s="204"/>
      <c r="MMN32" s="204"/>
      <c r="MMO32" s="204"/>
      <c r="MMP32" s="204"/>
      <c r="MMQ32" s="204"/>
      <c r="MMR32" s="204"/>
      <c r="MMS32" s="204"/>
      <c r="MMT32" s="204"/>
      <c r="MMU32" s="204"/>
      <c r="MMV32" s="204"/>
      <c r="MMW32" s="204"/>
      <c r="MMX32" s="204"/>
      <c r="MMY32" s="204"/>
      <c r="MMZ32" s="204"/>
      <c r="MNA32" s="204"/>
      <c r="MNB32" s="204"/>
      <c r="MNC32" s="204"/>
      <c r="MND32" s="204"/>
      <c r="MNE32" s="204"/>
      <c r="MNF32" s="204"/>
      <c r="MNG32" s="204"/>
      <c r="MNH32" s="204"/>
      <c r="MNI32" s="204"/>
      <c r="MNJ32" s="204"/>
      <c r="MNK32" s="204"/>
      <c r="MNL32" s="204"/>
      <c r="MNM32" s="204"/>
      <c r="MNN32" s="204"/>
      <c r="MNO32" s="204"/>
      <c r="MNP32" s="204"/>
      <c r="MNQ32" s="204"/>
      <c r="MNR32" s="204"/>
      <c r="MNS32" s="204"/>
      <c r="MNT32" s="204"/>
      <c r="MNU32" s="204"/>
      <c r="MNV32" s="204"/>
      <c r="MNW32" s="204"/>
      <c r="MNX32" s="204"/>
      <c r="MNY32" s="204"/>
      <c r="MNZ32" s="204"/>
      <c r="MOA32" s="204"/>
      <c r="MOB32" s="204"/>
      <c r="MOC32" s="204"/>
      <c r="MOD32" s="204"/>
      <c r="MOE32" s="204"/>
      <c r="MOF32" s="204"/>
      <c r="MOG32" s="204"/>
      <c r="MOH32" s="204"/>
      <c r="MOI32" s="204"/>
      <c r="MOJ32" s="204"/>
      <c r="MOK32" s="204"/>
      <c r="MOL32" s="204"/>
      <c r="MOM32" s="204"/>
      <c r="MON32" s="204"/>
      <c r="MOO32" s="204"/>
      <c r="MOP32" s="204"/>
      <c r="MOQ32" s="204"/>
      <c r="MOR32" s="204"/>
      <c r="MOS32" s="204"/>
      <c r="MOT32" s="204"/>
      <c r="MOU32" s="204"/>
      <c r="MOV32" s="204"/>
      <c r="MOW32" s="204"/>
      <c r="MOX32" s="204"/>
      <c r="MOY32" s="204"/>
      <c r="MOZ32" s="204"/>
      <c r="MPA32" s="204"/>
      <c r="MPB32" s="204"/>
      <c r="MPC32" s="204"/>
      <c r="MPD32" s="204"/>
      <c r="MPE32" s="204"/>
      <c r="MPF32" s="204"/>
      <c r="MPG32" s="204"/>
      <c r="MPH32" s="204"/>
      <c r="MPI32" s="204"/>
      <c r="MPJ32" s="204"/>
      <c r="MPK32" s="204"/>
      <c r="MPL32" s="204"/>
      <c r="MPM32" s="204"/>
      <c r="MPN32" s="204"/>
      <c r="MPO32" s="204"/>
      <c r="MPP32" s="204"/>
      <c r="MPQ32" s="204"/>
      <c r="MPR32" s="204"/>
      <c r="MPS32" s="204"/>
      <c r="MPT32" s="204"/>
      <c r="MPU32" s="204"/>
      <c r="MPV32" s="204"/>
      <c r="MPW32" s="204"/>
      <c r="MPX32" s="204"/>
      <c r="MPY32" s="204"/>
      <c r="MPZ32" s="204"/>
      <c r="MQA32" s="204"/>
      <c r="MQB32" s="204"/>
      <c r="MQC32" s="204"/>
      <c r="MQD32" s="204"/>
      <c r="MQE32" s="204"/>
      <c r="MQF32" s="204"/>
      <c r="MQG32" s="204"/>
      <c r="MQH32" s="204"/>
      <c r="MQI32" s="204"/>
      <c r="MQJ32" s="204"/>
      <c r="MQK32" s="204"/>
      <c r="MQL32" s="204"/>
      <c r="MQM32" s="204"/>
      <c r="MQN32" s="204"/>
      <c r="MQO32" s="204"/>
      <c r="MQP32" s="204"/>
      <c r="MQQ32" s="204"/>
      <c r="MQR32" s="204"/>
      <c r="MQS32" s="204"/>
      <c r="MQT32" s="204"/>
      <c r="MQU32" s="204"/>
      <c r="MQV32" s="204"/>
      <c r="MQW32" s="204"/>
      <c r="MQX32" s="204"/>
      <c r="MQY32" s="204"/>
      <c r="MQZ32" s="204"/>
      <c r="MRA32" s="204"/>
      <c r="MRB32" s="204"/>
      <c r="MRC32" s="204"/>
      <c r="MRD32" s="204"/>
      <c r="MRE32" s="204"/>
      <c r="MRF32" s="204"/>
      <c r="MRG32" s="204"/>
      <c r="MRH32" s="204"/>
      <c r="MRI32" s="204"/>
      <c r="MRJ32" s="204"/>
      <c r="MRK32" s="204"/>
      <c r="MRL32" s="204"/>
      <c r="MRM32" s="204"/>
      <c r="MRN32" s="204"/>
      <c r="MRO32" s="204"/>
      <c r="MRP32" s="204"/>
      <c r="MRQ32" s="204"/>
      <c r="MRR32" s="204"/>
      <c r="MRS32" s="204"/>
      <c r="MRT32" s="204"/>
      <c r="MRU32" s="204"/>
      <c r="MRV32" s="204"/>
      <c r="MRW32" s="204"/>
      <c r="MRX32" s="204"/>
      <c r="MRY32" s="204"/>
      <c r="MRZ32" s="204"/>
      <c r="MSA32" s="204"/>
      <c r="MSB32" s="204"/>
      <c r="MSC32" s="204"/>
      <c r="MSD32" s="204"/>
      <c r="MSE32" s="204"/>
      <c r="MSF32" s="204"/>
      <c r="MSG32" s="204"/>
      <c r="MSH32" s="204"/>
      <c r="MSI32" s="204"/>
      <c r="MSJ32" s="204"/>
      <c r="MSK32" s="204"/>
      <c r="MSL32" s="204"/>
      <c r="MSM32" s="204"/>
      <c r="MSN32" s="204"/>
      <c r="MSO32" s="204"/>
      <c r="MSP32" s="204"/>
      <c r="MSQ32" s="204"/>
      <c r="MSR32" s="204"/>
      <c r="MSS32" s="204"/>
      <c r="MST32" s="204"/>
      <c r="MSU32" s="204"/>
      <c r="MSV32" s="204"/>
      <c r="MSW32" s="204"/>
      <c r="MSX32" s="204"/>
      <c r="MSY32" s="204"/>
      <c r="MSZ32" s="204"/>
      <c r="MTA32" s="204"/>
      <c r="MTB32" s="204"/>
      <c r="MTC32" s="204"/>
      <c r="MTD32" s="204"/>
      <c r="MTE32" s="204"/>
      <c r="MTF32" s="204"/>
      <c r="MTG32" s="204"/>
      <c r="MTH32" s="204"/>
      <c r="MTI32" s="204"/>
      <c r="MTJ32" s="204"/>
      <c r="MTK32" s="204"/>
      <c r="MTL32" s="204"/>
      <c r="MTM32" s="204"/>
      <c r="MTN32" s="204"/>
      <c r="MTO32" s="204"/>
      <c r="MTP32" s="204"/>
      <c r="MTQ32" s="204"/>
      <c r="MTR32" s="204"/>
      <c r="MTS32" s="204"/>
      <c r="MTT32" s="204"/>
      <c r="MTU32" s="204"/>
      <c r="MTV32" s="204"/>
      <c r="MTW32" s="204"/>
      <c r="MTX32" s="204"/>
      <c r="MTY32" s="204"/>
      <c r="MTZ32" s="204"/>
      <c r="MUA32" s="204"/>
      <c r="MUB32" s="204"/>
      <c r="MUC32" s="204"/>
      <c r="MUD32" s="204"/>
      <c r="MUE32" s="204"/>
      <c r="MUF32" s="204"/>
      <c r="MUG32" s="204"/>
      <c r="MUH32" s="204"/>
      <c r="MUI32" s="204"/>
      <c r="MUJ32" s="204"/>
      <c r="MUK32" s="204"/>
      <c r="MUL32" s="204"/>
      <c r="MUM32" s="204"/>
      <c r="MUN32" s="204"/>
      <c r="MUO32" s="204"/>
      <c r="MUP32" s="204"/>
      <c r="MUQ32" s="204"/>
      <c r="MUR32" s="204"/>
      <c r="MUS32" s="204"/>
      <c r="MUT32" s="204"/>
      <c r="MUU32" s="204"/>
      <c r="MUV32" s="204"/>
      <c r="MUW32" s="204"/>
      <c r="MUX32" s="204"/>
      <c r="MUY32" s="204"/>
      <c r="MUZ32" s="204"/>
      <c r="MVA32" s="204"/>
      <c r="MVB32" s="204"/>
      <c r="MVC32" s="204"/>
      <c r="MVD32" s="204"/>
      <c r="MVE32" s="204"/>
      <c r="MVF32" s="204"/>
      <c r="MVG32" s="204"/>
      <c r="MVH32" s="204"/>
      <c r="MVI32" s="204"/>
      <c r="MVJ32" s="204"/>
      <c r="MVK32" s="204"/>
      <c r="MVL32" s="204"/>
      <c r="MVM32" s="204"/>
      <c r="MVN32" s="204"/>
      <c r="MVO32" s="204"/>
      <c r="MVP32" s="204"/>
      <c r="MVQ32" s="204"/>
      <c r="MVR32" s="204"/>
      <c r="MVS32" s="204"/>
      <c r="MVT32" s="204"/>
      <c r="MVU32" s="204"/>
      <c r="MVV32" s="204"/>
      <c r="MVW32" s="204"/>
      <c r="MVX32" s="204"/>
      <c r="MVY32" s="204"/>
      <c r="MVZ32" s="204"/>
      <c r="MWA32" s="204"/>
      <c r="MWB32" s="204"/>
      <c r="MWC32" s="204"/>
      <c r="MWD32" s="204"/>
      <c r="MWE32" s="204"/>
      <c r="MWF32" s="204"/>
      <c r="MWG32" s="204"/>
      <c r="MWH32" s="204"/>
      <c r="MWI32" s="204"/>
      <c r="MWJ32" s="204"/>
      <c r="MWK32" s="204"/>
      <c r="MWL32" s="204"/>
      <c r="MWM32" s="204"/>
      <c r="MWN32" s="204"/>
      <c r="MWO32" s="204"/>
      <c r="MWP32" s="204"/>
      <c r="MWQ32" s="204"/>
      <c r="MWR32" s="204"/>
      <c r="MWS32" s="204"/>
      <c r="MWT32" s="204"/>
      <c r="MWU32" s="204"/>
      <c r="MWV32" s="204"/>
      <c r="MWW32" s="204"/>
      <c r="MWX32" s="204"/>
      <c r="MWY32" s="204"/>
      <c r="MWZ32" s="204"/>
      <c r="MXA32" s="204"/>
      <c r="MXB32" s="204"/>
      <c r="MXC32" s="204"/>
      <c r="MXD32" s="204"/>
      <c r="MXE32" s="204"/>
      <c r="MXF32" s="204"/>
      <c r="MXG32" s="204"/>
      <c r="MXH32" s="204"/>
      <c r="MXI32" s="204"/>
      <c r="MXJ32" s="204"/>
      <c r="MXK32" s="204"/>
      <c r="MXL32" s="204"/>
      <c r="MXM32" s="204"/>
      <c r="MXN32" s="204"/>
      <c r="MXO32" s="204"/>
      <c r="MXP32" s="204"/>
      <c r="MXQ32" s="204"/>
      <c r="MXR32" s="204"/>
      <c r="MXS32" s="204"/>
      <c r="MXT32" s="204"/>
      <c r="MXU32" s="204"/>
      <c r="MXV32" s="204"/>
      <c r="MXW32" s="204"/>
      <c r="MXX32" s="204"/>
      <c r="MXY32" s="204"/>
      <c r="MXZ32" s="204"/>
      <c r="MYA32" s="204"/>
      <c r="MYB32" s="204"/>
      <c r="MYC32" s="204"/>
      <c r="MYD32" s="204"/>
      <c r="MYE32" s="204"/>
      <c r="MYF32" s="204"/>
      <c r="MYG32" s="204"/>
      <c r="MYH32" s="204"/>
      <c r="MYI32" s="204"/>
      <c r="MYJ32" s="204"/>
      <c r="MYK32" s="204"/>
      <c r="MYL32" s="204"/>
      <c r="MYM32" s="204"/>
      <c r="MYN32" s="204"/>
      <c r="MYO32" s="204"/>
      <c r="MYP32" s="204"/>
      <c r="MYQ32" s="204"/>
      <c r="MYR32" s="204"/>
      <c r="MYS32" s="204"/>
      <c r="MYT32" s="204"/>
      <c r="MYU32" s="204"/>
      <c r="MYV32" s="204"/>
      <c r="MYW32" s="204"/>
      <c r="MYX32" s="204"/>
      <c r="MYY32" s="204"/>
      <c r="MYZ32" s="204"/>
      <c r="MZA32" s="204"/>
      <c r="MZB32" s="204"/>
      <c r="MZC32" s="204"/>
      <c r="MZD32" s="204"/>
      <c r="MZE32" s="204"/>
      <c r="MZF32" s="204"/>
      <c r="MZG32" s="204"/>
      <c r="MZH32" s="204"/>
      <c r="MZI32" s="204"/>
      <c r="MZJ32" s="204"/>
      <c r="MZK32" s="204"/>
      <c r="MZL32" s="204"/>
      <c r="MZM32" s="204"/>
      <c r="MZN32" s="204"/>
      <c r="MZO32" s="204"/>
      <c r="MZP32" s="204"/>
      <c r="MZQ32" s="204"/>
      <c r="MZR32" s="204"/>
      <c r="MZS32" s="204"/>
      <c r="MZT32" s="204"/>
      <c r="MZU32" s="204"/>
      <c r="MZV32" s="204"/>
      <c r="MZW32" s="204"/>
      <c r="MZX32" s="204"/>
      <c r="MZY32" s="204"/>
      <c r="MZZ32" s="204"/>
      <c r="NAA32" s="204"/>
      <c r="NAB32" s="204"/>
      <c r="NAC32" s="204"/>
      <c r="NAD32" s="204"/>
      <c r="NAE32" s="204"/>
      <c r="NAF32" s="204"/>
      <c r="NAG32" s="204"/>
      <c r="NAH32" s="204"/>
      <c r="NAI32" s="204"/>
      <c r="NAJ32" s="204"/>
      <c r="NAK32" s="204"/>
      <c r="NAL32" s="204"/>
      <c r="NAM32" s="204"/>
      <c r="NAN32" s="204"/>
      <c r="NAO32" s="204"/>
      <c r="NAP32" s="204"/>
      <c r="NAQ32" s="204"/>
      <c r="NAR32" s="204"/>
      <c r="NAS32" s="204"/>
      <c r="NAT32" s="204"/>
      <c r="NAU32" s="204"/>
      <c r="NAV32" s="204"/>
      <c r="NAW32" s="204"/>
      <c r="NAX32" s="204"/>
      <c r="NAY32" s="204"/>
      <c r="NAZ32" s="204"/>
      <c r="NBA32" s="204"/>
      <c r="NBB32" s="204"/>
      <c r="NBC32" s="204"/>
      <c r="NBD32" s="204"/>
      <c r="NBE32" s="204"/>
      <c r="NBF32" s="204"/>
      <c r="NBG32" s="204"/>
      <c r="NBH32" s="204"/>
      <c r="NBI32" s="204"/>
      <c r="NBJ32" s="204"/>
      <c r="NBK32" s="204"/>
      <c r="NBL32" s="204"/>
      <c r="NBM32" s="204"/>
      <c r="NBN32" s="204"/>
      <c r="NBO32" s="204"/>
      <c r="NBP32" s="204"/>
      <c r="NBQ32" s="204"/>
      <c r="NBR32" s="204"/>
      <c r="NBS32" s="204"/>
      <c r="NBT32" s="204"/>
      <c r="NBU32" s="204"/>
      <c r="NBV32" s="204"/>
      <c r="NBW32" s="204"/>
      <c r="NBX32" s="204"/>
      <c r="NBY32" s="204"/>
      <c r="NBZ32" s="204"/>
      <c r="NCA32" s="204"/>
      <c r="NCB32" s="204"/>
      <c r="NCC32" s="204"/>
      <c r="NCD32" s="204"/>
      <c r="NCE32" s="204"/>
      <c r="NCF32" s="204"/>
      <c r="NCG32" s="204"/>
      <c r="NCH32" s="204"/>
      <c r="NCI32" s="204"/>
      <c r="NCJ32" s="204"/>
      <c r="NCK32" s="204"/>
      <c r="NCL32" s="204"/>
      <c r="NCM32" s="204"/>
      <c r="NCN32" s="204"/>
      <c r="NCO32" s="204"/>
      <c r="NCP32" s="204"/>
      <c r="NCQ32" s="204"/>
      <c r="NCR32" s="204"/>
      <c r="NCS32" s="204"/>
      <c r="NCT32" s="204"/>
      <c r="NCU32" s="204"/>
      <c r="NCV32" s="204"/>
      <c r="NCW32" s="204"/>
      <c r="NCX32" s="204"/>
      <c r="NCY32" s="204"/>
      <c r="NCZ32" s="204"/>
      <c r="NDA32" s="204"/>
      <c r="NDB32" s="204"/>
      <c r="NDC32" s="204"/>
      <c r="NDD32" s="204"/>
      <c r="NDE32" s="204"/>
      <c r="NDF32" s="204"/>
      <c r="NDG32" s="204"/>
      <c r="NDH32" s="204"/>
      <c r="NDI32" s="204"/>
      <c r="NDJ32" s="204"/>
      <c r="NDK32" s="204"/>
      <c r="NDL32" s="204"/>
      <c r="NDM32" s="204"/>
      <c r="NDN32" s="204"/>
      <c r="NDO32" s="204"/>
      <c r="NDP32" s="204"/>
      <c r="NDQ32" s="204"/>
      <c r="NDR32" s="204"/>
      <c r="NDS32" s="204"/>
      <c r="NDT32" s="204"/>
      <c r="NDU32" s="204"/>
      <c r="NDV32" s="204"/>
      <c r="NDW32" s="204"/>
      <c r="NDX32" s="204"/>
      <c r="NDY32" s="204"/>
      <c r="NDZ32" s="204"/>
      <c r="NEA32" s="204"/>
      <c r="NEB32" s="204"/>
      <c r="NEC32" s="204"/>
      <c r="NED32" s="204"/>
      <c r="NEE32" s="204"/>
      <c r="NEF32" s="204"/>
      <c r="NEG32" s="204"/>
      <c r="NEH32" s="204"/>
      <c r="NEI32" s="204"/>
      <c r="NEJ32" s="204"/>
      <c r="NEK32" s="204"/>
      <c r="NEL32" s="204"/>
      <c r="NEM32" s="204"/>
      <c r="NEN32" s="204"/>
      <c r="NEO32" s="204"/>
      <c r="NEP32" s="204"/>
      <c r="NEQ32" s="204"/>
      <c r="NER32" s="204"/>
      <c r="NES32" s="204"/>
      <c r="NET32" s="204"/>
      <c r="NEU32" s="204"/>
      <c r="NEV32" s="204"/>
      <c r="NEW32" s="204"/>
      <c r="NEX32" s="204"/>
      <c r="NEY32" s="204"/>
      <c r="NEZ32" s="204"/>
      <c r="NFA32" s="204"/>
      <c r="NFB32" s="204"/>
      <c r="NFC32" s="204"/>
      <c r="NFD32" s="204"/>
      <c r="NFE32" s="204"/>
      <c r="NFF32" s="204"/>
      <c r="NFG32" s="204"/>
      <c r="NFH32" s="204"/>
      <c r="NFI32" s="204"/>
      <c r="NFJ32" s="204"/>
      <c r="NFK32" s="204"/>
      <c r="NFL32" s="204"/>
      <c r="NFM32" s="204"/>
      <c r="NFN32" s="204"/>
      <c r="NFO32" s="204"/>
      <c r="NFP32" s="204"/>
      <c r="NFQ32" s="204"/>
      <c r="NFR32" s="204"/>
      <c r="NFS32" s="204"/>
      <c r="NFT32" s="204"/>
      <c r="NFU32" s="204"/>
      <c r="NFV32" s="204"/>
      <c r="NFW32" s="204"/>
      <c r="NFX32" s="204"/>
      <c r="NFY32" s="204"/>
      <c r="NFZ32" s="204"/>
      <c r="NGA32" s="204"/>
      <c r="NGB32" s="204"/>
      <c r="NGC32" s="204"/>
      <c r="NGD32" s="204"/>
      <c r="NGE32" s="204"/>
      <c r="NGF32" s="204"/>
      <c r="NGG32" s="204"/>
      <c r="NGH32" s="204"/>
      <c r="NGI32" s="204"/>
      <c r="NGJ32" s="204"/>
      <c r="NGK32" s="204"/>
      <c r="NGL32" s="204"/>
      <c r="NGM32" s="204"/>
      <c r="NGN32" s="204"/>
      <c r="NGO32" s="204"/>
      <c r="NGP32" s="204"/>
      <c r="NGQ32" s="204"/>
      <c r="NGR32" s="204"/>
      <c r="NGS32" s="204"/>
      <c r="NGT32" s="204"/>
      <c r="NGU32" s="204"/>
      <c r="NGV32" s="204"/>
      <c r="NGW32" s="204"/>
      <c r="NGX32" s="204"/>
      <c r="NGY32" s="204"/>
      <c r="NGZ32" s="204"/>
      <c r="NHA32" s="204"/>
      <c r="NHB32" s="204"/>
      <c r="NHC32" s="204"/>
      <c r="NHD32" s="204"/>
      <c r="NHE32" s="204"/>
      <c r="NHF32" s="204"/>
      <c r="NHG32" s="204"/>
      <c r="NHH32" s="204"/>
      <c r="NHI32" s="204"/>
      <c r="NHJ32" s="204"/>
      <c r="NHK32" s="204"/>
      <c r="NHL32" s="204"/>
      <c r="NHM32" s="204"/>
      <c r="NHN32" s="204"/>
      <c r="NHO32" s="204"/>
      <c r="NHP32" s="204"/>
      <c r="NHQ32" s="204"/>
      <c r="NHR32" s="204"/>
      <c r="NHS32" s="204"/>
      <c r="NHT32" s="204"/>
      <c r="NHU32" s="204"/>
      <c r="NHV32" s="204"/>
      <c r="NHW32" s="204"/>
      <c r="NHX32" s="204"/>
      <c r="NHY32" s="204"/>
      <c r="NHZ32" s="204"/>
      <c r="NIA32" s="204"/>
      <c r="NIB32" s="204"/>
      <c r="NIC32" s="204"/>
      <c r="NID32" s="204"/>
      <c r="NIE32" s="204"/>
      <c r="NIF32" s="204"/>
      <c r="NIG32" s="204"/>
      <c r="NIH32" s="204"/>
      <c r="NII32" s="204"/>
      <c r="NIJ32" s="204"/>
      <c r="NIK32" s="204"/>
      <c r="NIL32" s="204"/>
      <c r="NIM32" s="204"/>
      <c r="NIN32" s="204"/>
      <c r="NIO32" s="204"/>
      <c r="NIP32" s="204"/>
      <c r="NIQ32" s="204"/>
      <c r="NIR32" s="204"/>
      <c r="NIS32" s="204"/>
      <c r="NIT32" s="204"/>
      <c r="NIU32" s="204"/>
      <c r="NIV32" s="204"/>
      <c r="NIW32" s="204"/>
      <c r="NIX32" s="204"/>
      <c r="NIY32" s="204"/>
      <c r="NIZ32" s="204"/>
      <c r="NJA32" s="204"/>
      <c r="NJB32" s="204"/>
      <c r="NJC32" s="204"/>
      <c r="NJD32" s="204"/>
      <c r="NJE32" s="204"/>
      <c r="NJF32" s="204"/>
      <c r="NJG32" s="204"/>
      <c r="NJH32" s="204"/>
      <c r="NJI32" s="204"/>
      <c r="NJJ32" s="204"/>
      <c r="NJK32" s="204"/>
      <c r="NJL32" s="204"/>
      <c r="NJM32" s="204"/>
      <c r="NJN32" s="204"/>
      <c r="NJO32" s="204"/>
      <c r="NJP32" s="204"/>
      <c r="NJQ32" s="204"/>
      <c r="NJR32" s="204"/>
      <c r="NJS32" s="204"/>
      <c r="NJT32" s="204"/>
      <c r="NJU32" s="204"/>
      <c r="NJV32" s="204"/>
      <c r="NJW32" s="204"/>
      <c r="NJX32" s="204"/>
      <c r="NJY32" s="204"/>
      <c r="NJZ32" s="204"/>
      <c r="NKA32" s="204"/>
      <c r="NKB32" s="204"/>
      <c r="NKC32" s="204"/>
      <c r="NKD32" s="204"/>
      <c r="NKE32" s="204"/>
      <c r="NKF32" s="204"/>
      <c r="NKG32" s="204"/>
      <c r="NKH32" s="204"/>
      <c r="NKI32" s="204"/>
      <c r="NKJ32" s="204"/>
      <c r="NKK32" s="204"/>
      <c r="NKL32" s="204"/>
      <c r="NKM32" s="204"/>
      <c r="NKN32" s="204"/>
      <c r="NKO32" s="204"/>
      <c r="NKP32" s="204"/>
      <c r="NKQ32" s="204"/>
      <c r="NKR32" s="204"/>
      <c r="NKS32" s="204"/>
      <c r="NKT32" s="204"/>
      <c r="NKU32" s="204"/>
      <c r="NKV32" s="204"/>
      <c r="NKW32" s="204"/>
      <c r="NKX32" s="204"/>
      <c r="NKY32" s="204"/>
      <c r="NKZ32" s="204"/>
      <c r="NLA32" s="204"/>
      <c r="NLB32" s="204"/>
      <c r="NLC32" s="204"/>
      <c r="NLD32" s="204"/>
      <c r="NLE32" s="204"/>
      <c r="NLF32" s="204"/>
      <c r="NLG32" s="204"/>
      <c r="NLH32" s="204"/>
      <c r="NLI32" s="204"/>
      <c r="NLJ32" s="204"/>
      <c r="NLK32" s="204"/>
      <c r="NLL32" s="204"/>
      <c r="NLM32" s="204"/>
      <c r="NLN32" s="204"/>
      <c r="NLO32" s="204"/>
      <c r="NLP32" s="204"/>
      <c r="NLQ32" s="204"/>
      <c r="NLR32" s="204"/>
      <c r="NLS32" s="204"/>
      <c r="NLT32" s="204"/>
      <c r="NLU32" s="204"/>
      <c r="NLV32" s="204"/>
      <c r="NLW32" s="204"/>
      <c r="NLX32" s="204"/>
      <c r="NLY32" s="204"/>
      <c r="NLZ32" s="204"/>
      <c r="NMA32" s="204"/>
      <c r="NMB32" s="204"/>
      <c r="NMC32" s="204"/>
      <c r="NMD32" s="204"/>
      <c r="NME32" s="204"/>
      <c r="NMF32" s="204"/>
      <c r="NMG32" s="204"/>
      <c r="NMH32" s="204"/>
      <c r="NMI32" s="204"/>
      <c r="NMJ32" s="204"/>
      <c r="NMK32" s="204"/>
      <c r="NML32" s="204"/>
      <c r="NMM32" s="204"/>
      <c r="NMN32" s="204"/>
      <c r="NMO32" s="204"/>
      <c r="NMP32" s="204"/>
      <c r="NMQ32" s="204"/>
      <c r="NMR32" s="204"/>
      <c r="NMS32" s="204"/>
      <c r="NMT32" s="204"/>
      <c r="NMU32" s="204"/>
      <c r="NMV32" s="204"/>
      <c r="NMW32" s="204"/>
      <c r="NMX32" s="204"/>
      <c r="NMY32" s="204"/>
      <c r="NMZ32" s="204"/>
      <c r="NNA32" s="204"/>
      <c r="NNB32" s="204"/>
      <c r="NNC32" s="204"/>
      <c r="NND32" s="204"/>
      <c r="NNE32" s="204"/>
      <c r="NNF32" s="204"/>
      <c r="NNG32" s="204"/>
      <c r="NNH32" s="204"/>
      <c r="NNI32" s="204"/>
      <c r="NNJ32" s="204"/>
      <c r="NNK32" s="204"/>
      <c r="NNL32" s="204"/>
      <c r="NNM32" s="204"/>
      <c r="NNN32" s="204"/>
      <c r="NNO32" s="204"/>
      <c r="NNP32" s="204"/>
      <c r="NNQ32" s="204"/>
      <c r="NNR32" s="204"/>
      <c r="NNS32" s="204"/>
      <c r="NNT32" s="204"/>
      <c r="NNU32" s="204"/>
      <c r="NNV32" s="204"/>
      <c r="NNW32" s="204"/>
      <c r="NNX32" s="204"/>
      <c r="NNY32" s="204"/>
      <c r="NNZ32" s="204"/>
      <c r="NOA32" s="204"/>
      <c r="NOB32" s="204"/>
      <c r="NOC32" s="204"/>
      <c r="NOD32" s="204"/>
      <c r="NOE32" s="204"/>
      <c r="NOF32" s="204"/>
      <c r="NOG32" s="204"/>
      <c r="NOH32" s="204"/>
      <c r="NOI32" s="204"/>
      <c r="NOJ32" s="204"/>
      <c r="NOK32" s="204"/>
      <c r="NOL32" s="204"/>
      <c r="NOM32" s="204"/>
      <c r="NON32" s="204"/>
      <c r="NOO32" s="204"/>
      <c r="NOP32" s="204"/>
      <c r="NOQ32" s="204"/>
      <c r="NOR32" s="204"/>
      <c r="NOS32" s="204"/>
      <c r="NOT32" s="204"/>
      <c r="NOU32" s="204"/>
      <c r="NOV32" s="204"/>
      <c r="NOW32" s="204"/>
      <c r="NOX32" s="204"/>
      <c r="NOY32" s="204"/>
      <c r="NOZ32" s="204"/>
      <c r="NPA32" s="204"/>
      <c r="NPB32" s="204"/>
      <c r="NPC32" s="204"/>
      <c r="NPD32" s="204"/>
      <c r="NPE32" s="204"/>
      <c r="NPF32" s="204"/>
      <c r="NPG32" s="204"/>
      <c r="NPH32" s="204"/>
      <c r="NPI32" s="204"/>
      <c r="NPJ32" s="204"/>
      <c r="NPK32" s="204"/>
      <c r="NPL32" s="204"/>
      <c r="NPM32" s="204"/>
      <c r="NPN32" s="204"/>
      <c r="NPO32" s="204"/>
      <c r="NPP32" s="204"/>
      <c r="NPQ32" s="204"/>
      <c r="NPR32" s="204"/>
      <c r="NPS32" s="204"/>
      <c r="NPT32" s="204"/>
      <c r="NPU32" s="204"/>
      <c r="NPV32" s="204"/>
      <c r="NPW32" s="204"/>
      <c r="NPX32" s="204"/>
      <c r="NPY32" s="204"/>
      <c r="NPZ32" s="204"/>
      <c r="NQA32" s="204"/>
      <c r="NQB32" s="204"/>
      <c r="NQC32" s="204"/>
      <c r="NQD32" s="204"/>
      <c r="NQE32" s="204"/>
      <c r="NQF32" s="204"/>
      <c r="NQG32" s="204"/>
      <c r="NQH32" s="204"/>
      <c r="NQI32" s="204"/>
      <c r="NQJ32" s="204"/>
      <c r="NQK32" s="204"/>
      <c r="NQL32" s="204"/>
      <c r="NQM32" s="204"/>
      <c r="NQN32" s="204"/>
      <c r="NQO32" s="204"/>
      <c r="NQP32" s="204"/>
      <c r="NQQ32" s="204"/>
      <c r="NQR32" s="204"/>
      <c r="NQS32" s="204"/>
      <c r="NQT32" s="204"/>
      <c r="NQU32" s="204"/>
      <c r="NQV32" s="204"/>
      <c r="NQW32" s="204"/>
      <c r="NQX32" s="204"/>
      <c r="NQY32" s="204"/>
      <c r="NQZ32" s="204"/>
      <c r="NRA32" s="204"/>
      <c r="NRB32" s="204"/>
      <c r="NRC32" s="204"/>
      <c r="NRD32" s="204"/>
      <c r="NRE32" s="204"/>
      <c r="NRF32" s="204"/>
      <c r="NRG32" s="204"/>
      <c r="NRH32" s="204"/>
      <c r="NRI32" s="204"/>
      <c r="NRJ32" s="204"/>
      <c r="NRK32" s="204"/>
      <c r="NRL32" s="204"/>
      <c r="NRM32" s="204"/>
      <c r="NRN32" s="204"/>
      <c r="NRO32" s="204"/>
      <c r="NRP32" s="204"/>
      <c r="NRQ32" s="204"/>
      <c r="NRR32" s="204"/>
      <c r="NRS32" s="204"/>
      <c r="NRT32" s="204"/>
      <c r="NRU32" s="204"/>
      <c r="NRV32" s="204"/>
      <c r="NRW32" s="204"/>
      <c r="NRX32" s="204"/>
      <c r="NRY32" s="204"/>
      <c r="NRZ32" s="204"/>
      <c r="NSA32" s="204"/>
      <c r="NSB32" s="204"/>
      <c r="NSC32" s="204"/>
      <c r="NSD32" s="204"/>
      <c r="NSE32" s="204"/>
      <c r="NSF32" s="204"/>
      <c r="NSG32" s="204"/>
      <c r="NSH32" s="204"/>
      <c r="NSI32" s="204"/>
      <c r="NSJ32" s="204"/>
      <c r="NSK32" s="204"/>
      <c r="NSL32" s="204"/>
      <c r="NSM32" s="204"/>
      <c r="NSN32" s="204"/>
      <c r="NSO32" s="204"/>
      <c r="NSP32" s="204"/>
      <c r="NSQ32" s="204"/>
      <c r="NSR32" s="204"/>
      <c r="NSS32" s="204"/>
      <c r="NST32" s="204"/>
      <c r="NSU32" s="204"/>
      <c r="NSV32" s="204"/>
      <c r="NSW32" s="204"/>
      <c r="NSX32" s="204"/>
      <c r="NSY32" s="204"/>
      <c r="NSZ32" s="204"/>
      <c r="NTA32" s="204"/>
      <c r="NTB32" s="204"/>
      <c r="NTC32" s="204"/>
      <c r="NTD32" s="204"/>
      <c r="NTE32" s="204"/>
      <c r="NTF32" s="204"/>
      <c r="NTG32" s="204"/>
      <c r="NTH32" s="204"/>
      <c r="NTI32" s="204"/>
      <c r="NTJ32" s="204"/>
      <c r="NTK32" s="204"/>
      <c r="NTL32" s="204"/>
      <c r="NTM32" s="204"/>
      <c r="NTN32" s="204"/>
      <c r="NTO32" s="204"/>
      <c r="NTP32" s="204"/>
      <c r="NTQ32" s="204"/>
      <c r="NTR32" s="204"/>
      <c r="NTS32" s="204"/>
      <c r="NTT32" s="204"/>
      <c r="NTU32" s="204"/>
      <c r="NTV32" s="204"/>
      <c r="NTW32" s="204"/>
      <c r="NTX32" s="204"/>
      <c r="NTY32" s="204"/>
      <c r="NTZ32" s="204"/>
      <c r="NUA32" s="204"/>
      <c r="NUB32" s="204"/>
      <c r="NUC32" s="204"/>
      <c r="NUD32" s="204"/>
      <c r="NUE32" s="204"/>
      <c r="NUF32" s="204"/>
      <c r="NUG32" s="204"/>
      <c r="NUH32" s="204"/>
      <c r="NUI32" s="204"/>
      <c r="NUJ32" s="204"/>
      <c r="NUK32" s="204"/>
      <c r="NUL32" s="204"/>
      <c r="NUM32" s="204"/>
      <c r="NUN32" s="204"/>
      <c r="NUO32" s="204"/>
      <c r="NUP32" s="204"/>
      <c r="NUQ32" s="204"/>
      <c r="NUR32" s="204"/>
      <c r="NUS32" s="204"/>
      <c r="NUT32" s="204"/>
      <c r="NUU32" s="204"/>
      <c r="NUV32" s="204"/>
      <c r="NUW32" s="204"/>
      <c r="NUX32" s="204"/>
      <c r="NUY32" s="204"/>
      <c r="NUZ32" s="204"/>
      <c r="NVA32" s="204"/>
      <c r="NVB32" s="204"/>
      <c r="NVC32" s="204"/>
      <c r="NVD32" s="204"/>
      <c r="NVE32" s="204"/>
      <c r="NVF32" s="204"/>
      <c r="NVG32" s="204"/>
      <c r="NVH32" s="204"/>
      <c r="NVI32" s="204"/>
      <c r="NVJ32" s="204"/>
      <c r="NVK32" s="204"/>
      <c r="NVL32" s="204"/>
      <c r="NVM32" s="204"/>
      <c r="NVN32" s="204"/>
      <c r="NVO32" s="204"/>
      <c r="NVP32" s="204"/>
      <c r="NVQ32" s="204"/>
      <c r="NVR32" s="204"/>
      <c r="NVS32" s="204"/>
      <c r="NVT32" s="204"/>
      <c r="NVU32" s="204"/>
      <c r="NVV32" s="204"/>
      <c r="NVW32" s="204"/>
      <c r="NVX32" s="204"/>
      <c r="NVY32" s="204"/>
      <c r="NVZ32" s="204"/>
      <c r="NWA32" s="204"/>
      <c r="NWB32" s="204"/>
      <c r="NWC32" s="204"/>
      <c r="NWD32" s="204"/>
      <c r="NWE32" s="204"/>
      <c r="NWF32" s="204"/>
      <c r="NWG32" s="204"/>
      <c r="NWH32" s="204"/>
      <c r="NWI32" s="204"/>
      <c r="NWJ32" s="204"/>
      <c r="NWK32" s="204"/>
      <c r="NWL32" s="204"/>
      <c r="NWM32" s="204"/>
      <c r="NWN32" s="204"/>
      <c r="NWO32" s="204"/>
      <c r="NWP32" s="204"/>
      <c r="NWQ32" s="204"/>
      <c r="NWR32" s="204"/>
      <c r="NWS32" s="204"/>
      <c r="NWT32" s="204"/>
      <c r="NWU32" s="204"/>
      <c r="NWV32" s="204"/>
      <c r="NWW32" s="204"/>
      <c r="NWX32" s="204"/>
      <c r="NWY32" s="204"/>
      <c r="NWZ32" s="204"/>
      <c r="NXA32" s="204"/>
      <c r="NXB32" s="204"/>
      <c r="NXC32" s="204"/>
      <c r="NXD32" s="204"/>
      <c r="NXE32" s="204"/>
      <c r="NXF32" s="204"/>
      <c r="NXG32" s="204"/>
      <c r="NXH32" s="204"/>
      <c r="NXI32" s="204"/>
      <c r="NXJ32" s="204"/>
      <c r="NXK32" s="204"/>
      <c r="NXL32" s="204"/>
      <c r="NXM32" s="204"/>
      <c r="NXN32" s="204"/>
      <c r="NXO32" s="204"/>
      <c r="NXP32" s="204"/>
      <c r="NXQ32" s="204"/>
      <c r="NXR32" s="204"/>
      <c r="NXS32" s="204"/>
      <c r="NXT32" s="204"/>
      <c r="NXU32" s="204"/>
      <c r="NXV32" s="204"/>
      <c r="NXW32" s="204"/>
      <c r="NXX32" s="204"/>
      <c r="NXY32" s="204"/>
      <c r="NXZ32" s="204"/>
      <c r="NYA32" s="204"/>
      <c r="NYB32" s="204"/>
      <c r="NYC32" s="204"/>
      <c r="NYD32" s="204"/>
      <c r="NYE32" s="204"/>
      <c r="NYF32" s="204"/>
      <c r="NYG32" s="204"/>
      <c r="NYH32" s="204"/>
      <c r="NYI32" s="204"/>
      <c r="NYJ32" s="204"/>
      <c r="NYK32" s="204"/>
      <c r="NYL32" s="204"/>
      <c r="NYM32" s="204"/>
      <c r="NYN32" s="204"/>
      <c r="NYO32" s="204"/>
      <c r="NYP32" s="204"/>
      <c r="NYQ32" s="204"/>
      <c r="NYR32" s="204"/>
      <c r="NYS32" s="204"/>
      <c r="NYT32" s="204"/>
      <c r="NYU32" s="204"/>
      <c r="NYV32" s="204"/>
      <c r="NYW32" s="204"/>
      <c r="NYX32" s="204"/>
      <c r="NYY32" s="204"/>
      <c r="NYZ32" s="204"/>
      <c r="NZA32" s="204"/>
      <c r="NZB32" s="204"/>
      <c r="NZC32" s="204"/>
      <c r="NZD32" s="204"/>
      <c r="NZE32" s="204"/>
      <c r="NZF32" s="204"/>
      <c r="NZG32" s="204"/>
      <c r="NZH32" s="204"/>
      <c r="NZI32" s="204"/>
      <c r="NZJ32" s="204"/>
      <c r="NZK32" s="204"/>
      <c r="NZL32" s="204"/>
      <c r="NZM32" s="204"/>
      <c r="NZN32" s="204"/>
      <c r="NZO32" s="204"/>
      <c r="NZP32" s="204"/>
      <c r="NZQ32" s="204"/>
      <c r="NZR32" s="204"/>
      <c r="NZS32" s="204"/>
      <c r="NZT32" s="204"/>
      <c r="NZU32" s="204"/>
      <c r="NZV32" s="204"/>
      <c r="NZW32" s="204"/>
      <c r="NZX32" s="204"/>
      <c r="NZY32" s="204"/>
      <c r="NZZ32" s="204"/>
      <c r="OAA32" s="204"/>
      <c r="OAB32" s="204"/>
      <c r="OAC32" s="204"/>
      <c r="OAD32" s="204"/>
      <c r="OAE32" s="204"/>
      <c r="OAF32" s="204"/>
      <c r="OAG32" s="204"/>
      <c r="OAH32" s="204"/>
      <c r="OAI32" s="204"/>
      <c r="OAJ32" s="204"/>
      <c r="OAK32" s="204"/>
      <c r="OAL32" s="204"/>
      <c r="OAM32" s="204"/>
      <c r="OAN32" s="204"/>
      <c r="OAO32" s="204"/>
      <c r="OAP32" s="204"/>
      <c r="OAQ32" s="204"/>
      <c r="OAR32" s="204"/>
      <c r="OAS32" s="204"/>
      <c r="OAT32" s="204"/>
      <c r="OAU32" s="204"/>
      <c r="OAV32" s="204"/>
      <c r="OAW32" s="204"/>
      <c r="OAX32" s="204"/>
      <c r="OAY32" s="204"/>
      <c r="OAZ32" s="204"/>
      <c r="OBA32" s="204"/>
      <c r="OBB32" s="204"/>
      <c r="OBC32" s="204"/>
      <c r="OBD32" s="204"/>
      <c r="OBE32" s="204"/>
      <c r="OBF32" s="204"/>
      <c r="OBG32" s="204"/>
      <c r="OBH32" s="204"/>
      <c r="OBI32" s="204"/>
      <c r="OBJ32" s="204"/>
      <c r="OBK32" s="204"/>
      <c r="OBL32" s="204"/>
      <c r="OBM32" s="204"/>
      <c r="OBN32" s="204"/>
      <c r="OBO32" s="204"/>
      <c r="OBP32" s="204"/>
      <c r="OBQ32" s="204"/>
      <c r="OBR32" s="204"/>
      <c r="OBS32" s="204"/>
      <c r="OBT32" s="204"/>
      <c r="OBU32" s="204"/>
      <c r="OBV32" s="204"/>
      <c r="OBW32" s="204"/>
      <c r="OBX32" s="204"/>
      <c r="OBY32" s="204"/>
      <c r="OBZ32" s="204"/>
      <c r="OCA32" s="204"/>
      <c r="OCB32" s="204"/>
      <c r="OCC32" s="204"/>
      <c r="OCD32" s="204"/>
      <c r="OCE32" s="204"/>
      <c r="OCF32" s="204"/>
      <c r="OCG32" s="204"/>
      <c r="OCH32" s="204"/>
      <c r="OCI32" s="204"/>
      <c r="OCJ32" s="204"/>
      <c r="OCK32" s="204"/>
      <c r="OCL32" s="204"/>
      <c r="OCM32" s="204"/>
      <c r="OCN32" s="204"/>
      <c r="OCO32" s="204"/>
      <c r="OCP32" s="204"/>
      <c r="OCQ32" s="204"/>
      <c r="OCR32" s="204"/>
      <c r="OCS32" s="204"/>
      <c r="OCT32" s="204"/>
      <c r="OCU32" s="204"/>
      <c r="OCV32" s="204"/>
      <c r="OCW32" s="204"/>
      <c r="OCX32" s="204"/>
      <c r="OCY32" s="204"/>
      <c r="OCZ32" s="204"/>
      <c r="ODA32" s="204"/>
      <c r="ODB32" s="204"/>
      <c r="ODC32" s="204"/>
      <c r="ODD32" s="204"/>
      <c r="ODE32" s="204"/>
      <c r="ODF32" s="204"/>
      <c r="ODG32" s="204"/>
      <c r="ODH32" s="204"/>
      <c r="ODI32" s="204"/>
      <c r="ODJ32" s="204"/>
      <c r="ODK32" s="204"/>
      <c r="ODL32" s="204"/>
      <c r="ODM32" s="204"/>
      <c r="ODN32" s="204"/>
      <c r="ODO32" s="204"/>
      <c r="ODP32" s="204"/>
      <c r="ODQ32" s="204"/>
      <c r="ODR32" s="204"/>
      <c r="ODS32" s="204"/>
      <c r="ODT32" s="204"/>
      <c r="ODU32" s="204"/>
      <c r="ODV32" s="204"/>
      <c r="ODW32" s="204"/>
      <c r="ODX32" s="204"/>
      <c r="ODY32" s="204"/>
      <c r="ODZ32" s="204"/>
      <c r="OEA32" s="204"/>
      <c r="OEB32" s="204"/>
      <c r="OEC32" s="204"/>
      <c r="OED32" s="204"/>
      <c r="OEE32" s="204"/>
      <c r="OEF32" s="204"/>
      <c r="OEG32" s="204"/>
      <c r="OEH32" s="204"/>
      <c r="OEI32" s="204"/>
      <c r="OEJ32" s="204"/>
      <c r="OEK32" s="204"/>
      <c r="OEL32" s="204"/>
      <c r="OEM32" s="204"/>
      <c r="OEN32" s="204"/>
      <c r="OEO32" s="204"/>
      <c r="OEP32" s="204"/>
      <c r="OEQ32" s="204"/>
      <c r="OER32" s="204"/>
      <c r="OES32" s="204"/>
      <c r="OET32" s="204"/>
      <c r="OEU32" s="204"/>
      <c r="OEV32" s="204"/>
      <c r="OEW32" s="204"/>
      <c r="OEX32" s="204"/>
      <c r="OEY32" s="204"/>
      <c r="OEZ32" s="204"/>
      <c r="OFA32" s="204"/>
      <c r="OFB32" s="204"/>
      <c r="OFC32" s="204"/>
      <c r="OFD32" s="204"/>
      <c r="OFE32" s="204"/>
      <c r="OFF32" s="204"/>
      <c r="OFG32" s="204"/>
      <c r="OFH32" s="204"/>
      <c r="OFI32" s="204"/>
      <c r="OFJ32" s="204"/>
      <c r="OFK32" s="204"/>
      <c r="OFL32" s="204"/>
      <c r="OFM32" s="204"/>
      <c r="OFN32" s="204"/>
      <c r="OFO32" s="204"/>
      <c r="OFP32" s="204"/>
      <c r="OFQ32" s="204"/>
      <c r="OFR32" s="204"/>
      <c r="OFS32" s="204"/>
      <c r="OFT32" s="204"/>
      <c r="OFU32" s="204"/>
      <c r="OFV32" s="204"/>
      <c r="OFW32" s="204"/>
      <c r="OFX32" s="204"/>
      <c r="OFY32" s="204"/>
      <c r="OFZ32" s="204"/>
      <c r="OGA32" s="204"/>
      <c r="OGB32" s="204"/>
      <c r="OGC32" s="204"/>
      <c r="OGD32" s="204"/>
      <c r="OGE32" s="204"/>
      <c r="OGF32" s="204"/>
      <c r="OGG32" s="204"/>
      <c r="OGH32" s="204"/>
      <c r="OGI32" s="204"/>
      <c r="OGJ32" s="204"/>
      <c r="OGK32" s="204"/>
      <c r="OGL32" s="204"/>
      <c r="OGM32" s="204"/>
      <c r="OGN32" s="204"/>
      <c r="OGO32" s="204"/>
      <c r="OGP32" s="204"/>
      <c r="OGQ32" s="204"/>
      <c r="OGR32" s="204"/>
      <c r="OGS32" s="204"/>
      <c r="OGT32" s="204"/>
      <c r="OGU32" s="204"/>
      <c r="OGV32" s="204"/>
      <c r="OGW32" s="204"/>
      <c r="OGX32" s="204"/>
      <c r="OGY32" s="204"/>
      <c r="OGZ32" s="204"/>
      <c r="OHA32" s="204"/>
      <c r="OHB32" s="204"/>
      <c r="OHC32" s="204"/>
      <c r="OHD32" s="204"/>
      <c r="OHE32" s="204"/>
      <c r="OHF32" s="204"/>
      <c r="OHG32" s="204"/>
      <c r="OHH32" s="204"/>
      <c r="OHI32" s="204"/>
      <c r="OHJ32" s="204"/>
      <c r="OHK32" s="204"/>
      <c r="OHL32" s="204"/>
      <c r="OHM32" s="204"/>
      <c r="OHN32" s="204"/>
      <c r="OHO32" s="204"/>
      <c r="OHP32" s="204"/>
      <c r="OHQ32" s="204"/>
      <c r="OHR32" s="204"/>
      <c r="OHS32" s="204"/>
      <c r="OHT32" s="204"/>
      <c r="OHU32" s="204"/>
      <c r="OHV32" s="204"/>
      <c r="OHW32" s="204"/>
      <c r="OHX32" s="204"/>
      <c r="OHY32" s="204"/>
      <c r="OHZ32" s="204"/>
      <c r="OIA32" s="204"/>
      <c r="OIB32" s="204"/>
      <c r="OIC32" s="204"/>
      <c r="OID32" s="204"/>
      <c r="OIE32" s="204"/>
      <c r="OIF32" s="204"/>
      <c r="OIG32" s="204"/>
      <c r="OIH32" s="204"/>
      <c r="OII32" s="204"/>
      <c r="OIJ32" s="204"/>
      <c r="OIK32" s="204"/>
      <c r="OIL32" s="204"/>
      <c r="OIM32" s="204"/>
      <c r="OIN32" s="204"/>
      <c r="OIO32" s="204"/>
      <c r="OIP32" s="204"/>
      <c r="OIQ32" s="204"/>
      <c r="OIR32" s="204"/>
      <c r="OIS32" s="204"/>
      <c r="OIT32" s="204"/>
      <c r="OIU32" s="204"/>
      <c r="OIV32" s="204"/>
      <c r="OIW32" s="204"/>
      <c r="OIX32" s="204"/>
      <c r="OIY32" s="204"/>
      <c r="OIZ32" s="204"/>
      <c r="OJA32" s="204"/>
      <c r="OJB32" s="204"/>
      <c r="OJC32" s="204"/>
      <c r="OJD32" s="204"/>
      <c r="OJE32" s="204"/>
      <c r="OJF32" s="204"/>
      <c r="OJG32" s="204"/>
      <c r="OJH32" s="204"/>
      <c r="OJI32" s="204"/>
      <c r="OJJ32" s="204"/>
      <c r="OJK32" s="204"/>
      <c r="OJL32" s="204"/>
      <c r="OJM32" s="204"/>
      <c r="OJN32" s="204"/>
      <c r="OJO32" s="204"/>
      <c r="OJP32" s="204"/>
      <c r="OJQ32" s="204"/>
      <c r="OJR32" s="204"/>
      <c r="OJS32" s="204"/>
      <c r="OJT32" s="204"/>
      <c r="OJU32" s="204"/>
      <c r="OJV32" s="204"/>
      <c r="OJW32" s="204"/>
      <c r="OJX32" s="204"/>
      <c r="OJY32" s="204"/>
      <c r="OJZ32" s="204"/>
      <c r="OKA32" s="204"/>
      <c r="OKB32" s="204"/>
      <c r="OKC32" s="204"/>
      <c r="OKD32" s="204"/>
      <c r="OKE32" s="204"/>
      <c r="OKF32" s="204"/>
      <c r="OKG32" s="204"/>
      <c r="OKH32" s="204"/>
      <c r="OKI32" s="204"/>
      <c r="OKJ32" s="204"/>
      <c r="OKK32" s="204"/>
      <c r="OKL32" s="204"/>
      <c r="OKM32" s="204"/>
      <c r="OKN32" s="204"/>
      <c r="OKO32" s="204"/>
      <c r="OKP32" s="204"/>
      <c r="OKQ32" s="204"/>
      <c r="OKR32" s="204"/>
      <c r="OKS32" s="204"/>
      <c r="OKT32" s="204"/>
      <c r="OKU32" s="204"/>
      <c r="OKV32" s="204"/>
      <c r="OKW32" s="204"/>
      <c r="OKX32" s="204"/>
      <c r="OKY32" s="204"/>
      <c r="OKZ32" s="204"/>
      <c r="OLA32" s="204"/>
      <c r="OLB32" s="204"/>
      <c r="OLC32" s="204"/>
      <c r="OLD32" s="204"/>
      <c r="OLE32" s="204"/>
      <c r="OLF32" s="204"/>
      <c r="OLG32" s="204"/>
      <c r="OLH32" s="204"/>
      <c r="OLI32" s="204"/>
      <c r="OLJ32" s="204"/>
      <c r="OLK32" s="204"/>
      <c r="OLL32" s="204"/>
      <c r="OLM32" s="204"/>
      <c r="OLN32" s="204"/>
      <c r="OLO32" s="204"/>
      <c r="OLP32" s="204"/>
      <c r="OLQ32" s="204"/>
      <c r="OLR32" s="204"/>
      <c r="OLS32" s="204"/>
      <c r="OLT32" s="204"/>
      <c r="OLU32" s="204"/>
      <c r="OLV32" s="204"/>
      <c r="OLW32" s="204"/>
      <c r="OLX32" s="204"/>
      <c r="OLY32" s="204"/>
      <c r="OLZ32" s="204"/>
      <c r="OMA32" s="204"/>
      <c r="OMB32" s="204"/>
      <c r="OMC32" s="204"/>
      <c r="OMD32" s="204"/>
      <c r="OME32" s="204"/>
      <c r="OMF32" s="204"/>
      <c r="OMG32" s="204"/>
      <c r="OMH32" s="204"/>
      <c r="OMI32" s="204"/>
      <c r="OMJ32" s="204"/>
      <c r="OMK32" s="204"/>
      <c r="OML32" s="204"/>
      <c r="OMM32" s="204"/>
      <c r="OMN32" s="204"/>
      <c r="OMO32" s="204"/>
      <c r="OMP32" s="204"/>
      <c r="OMQ32" s="204"/>
      <c r="OMR32" s="204"/>
      <c r="OMS32" s="204"/>
      <c r="OMT32" s="204"/>
      <c r="OMU32" s="204"/>
      <c r="OMV32" s="204"/>
      <c r="OMW32" s="204"/>
      <c r="OMX32" s="204"/>
      <c r="OMY32" s="204"/>
      <c r="OMZ32" s="204"/>
      <c r="ONA32" s="204"/>
      <c r="ONB32" s="204"/>
      <c r="ONC32" s="204"/>
      <c r="OND32" s="204"/>
      <c r="ONE32" s="204"/>
      <c r="ONF32" s="204"/>
      <c r="ONG32" s="204"/>
      <c r="ONH32" s="204"/>
      <c r="ONI32" s="204"/>
      <c r="ONJ32" s="204"/>
      <c r="ONK32" s="204"/>
      <c r="ONL32" s="204"/>
      <c r="ONM32" s="204"/>
      <c r="ONN32" s="204"/>
      <c r="ONO32" s="204"/>
      <c r="ONP32" s="204"/>
      <c r="ONQ32" s="204"/>
      <c r="ONR32" s="204"/>
      <c r="ONS32" s="204"/>
      <c r="ONT32" s="204"/>
      <c r="ONU32" s="204"/>
      <c r="ONV32" s="204"/>
      <c r="ONW32" s="204"/>
      <c r="ONX32" s="204"/>
      <c r="ONY32" s="204"/>
      <c r="ONZ32" s="204"/>
      <c r="OOA32" s="204"/>
      <c r="OOB32" s="204"/>
      <c r="OOC32" s="204"/>
      <c r="OOD32" s="204"/>
      <c r="OOE32" s="204"/>
      <c r="OOF32" s="204"/>
      <c r="OOG32" s="204"/>
      <c r="OOH32" s="204"/>
      <c r="OOI32" s="204"/>
      <c r="OOJ32" s="204"/>
      <c r="OOK32" s="204"/>
      <c r="OOL32" s="204"/>
      <c r="OOM32" s="204"/>
      <c r="OON32" s="204"/>
      <c r="OOO32" s="204"/>
      <c r="OOP32" s="204"/>
      <c r="OOQ32" s="204"/>
      <c r="OOR32" s="204"/>
      <c r="OOS32" s="204"/>
      <c r="OOT32" s="204"/>
      <c r="OOU32" s="204"/>
      <c r="OOV32" s="204"/>
      <c r="OOW32" s="204"/>
      <c r="OOX32" s="204"/>
      <c r="OOY32" s="204"/>
      <c r="OOZ32" s="204"/>
      <c r="OPA32" s="204"/>
      <c r="OPB32" s="204"/>
      <c r="OPC32" s="204"/>
      <c r="OPD32" s="204"/>
      <c r="OPE32" s="204"/>
      <c r="OPF32" s="204"/>
      <c r="OPG32" s="204"/>
      <c r="OPH32" s="204"/>
      <c r="OPI32" s="204"/>
      <c r="OPJ32" s="204"/>
      <c r="OPK32" s="204"/>
      <c r="OPL32" s="204"/>
      <c r="OPM32" s="204"/>
      <c r="OPN32" s="204"/>
      <c r="OPO32" s="204"/>
      <c r="OPP32" s="204"/>
      <c r="OPQ32" s="204"/>
      <c r="OPR32" s="204"/>
      <c r="OPS32" s="204"/>
      <c r="OPT32" s="204"/>
      <c r="OPU32" s="204"/>
      <c r="OPV32" s="204"/>
      <c r="OPW32" s="204"/>
      <c r="OPX32" s="204"/>
      <c r="OPY32" s="204"/>
      <c r="OPZ32" s="204"/>
      <c r="OQA32" s="204"/>
      <c r="OQB32" s="204"/>
      <c r="OQC32" s="204"/>
      <c r="OQD32" s="204"/>
      <c r="OQE32" s="204"/>
      <c r="OQF32" s="204"/>
      <c r="OQG32" s="204"/>
      <c r="OQH32" s="204"/>
      <c r="OQI32" s="204"/>
      <c r="OQJ32" s="204"/>
      <c r="OQK32" s="204"/>
      <c r="OQL32" s="204"/>
      <c r="OQM32" s="204"/>
      <c r="OQN32" s="204"/>
      <c r="OQO32" s="204"/>
      <c r="OQP32" s="204"/>
      <c r="OQQ32" s="204"/>
      <c r="OQR32" s="204"/>
      <c r="OQS32" s="204"/>
      <c r="OQT32" s="204"/>
      <c r="OQU32" s="204"/>
      <c r="OQV32" s="204"/>
      <c r="OQW32" s="204"/>
      <c r="OQX32" s="204"/>
      <c r="OQY32" s="204"/>
      <c r="OQZ32" s="204"/>
      <c r="ORA32" s="204"/>
      <c r="ORB32" s="204"/>
      <c r="ORC32" s="204"/>
      <c r="ORD32" s="204"/>
      <c r="ORE32" s="204"/>
      <c r="ORF32" s="204"/>
      <c r="ORG32" s="204"/>
      <c r="ORH32" s="204"/>
      <c r="ORI32" s="204"/>
      <c r="ORJ32" s="204"/>
      <c r="ORK32" s="204"/>
      <c r="ORL32" s="204"/>
      <c r="ORM32" s="204"/>
      <c r="ORN32" s="204"/>
      <c r="ORO32" s="204"/>
      <c r="ORP32" s="204"/>
      <c r="ORQ32" s="204"/>
      <c r="ORR32" s="204"/>
      <c r="ORS32" s="204"/>
      <c r="ORT32" s="204"/>
      <c r="ORU32" s="204"/>
      <c r="ORV32" s="204"/>
      <c r="ORW32" s="204"/>
      <c r="ORX32" s="204"/>
      <c r="ORY32" s="204"/>
      <c r="ORZ32" s="204"/>
      <c r="OSA32" s="204"/>
      <c r="OSB32" s="204"/>
      <c r="OSC32" s="204"/>
      <c r="OSD32" s="204"/>
      <c r="OSE32" s="204"/>
      <c r="OSF32" s="204"/>
      <c r="OSG32" s="204"/>
      <c r="OSH32" s="204"/>
      <c r="OSI32" s="204"/>
      <c r="OSJ32" s="204"/>
      <c r="OSK32" s="204"/>
      <c r="OSL32" s="204"/>
      <c r="OSM32" s="204"/>
      <c r="OSN32" s="204"/>
      <c r="OSO32" s="204"/>
      <c r="OSP32" s="204"/>
      <c r="OSQ32" s="204"/>
      <c r="OSR32" s="204"/>
      <c r="OSS32" s="204"/>
      <c r="OST32" s="204"/>
      <c r="OSU32" s="204"/>
      <c r="OSV32" s="204"/>
      <c r="OSW32" s="204"/>
      <c r="OSX32" s="204"/>
      <c r="OSY32" s="204"/>
      <c r="OSZ32" s="204"/>
      <c r="OTA32" s="204"/>
      <c r="OTB32" s="204"/>
      <c r="OTC32" s="204"/>
      <c r="OTD32" s="204"/>
      <c r="OTE32" s="204"/>
      <c r="OTF32" s="204"/>
      <c r="OTG32" s="204"/>
      <c r="OTH32" s="204"/>
      <c r="OTI32" s="204"/>
      <c r="OTJ32" s="204"/>
      <c r="OTK32" s="204"/>
      <c r="OTL32" s="204"/>
      <c r="OTM32" s="204"/>
      <c r="OTN32" s="204"/>
      <c r="OTO32" s="204"/>
      <c r="OTP32" s="204"/>
      <c r="OTQ32" s="204"/>
      <c r="OTR32" s="204"/>
      <c r="OTS32" s="204"/>
      <c r="OTT32" s="204"/>
      <c r="OTU32" s="204"/>
      <c r="OTV32" s="204"/>
      <c r="OTW32" s="204"/>
      <c r="OTX32" s="204"/>
      <c r="OTY32" s="204"/>
      <c r="OTZ32" s="204"/>
      <c r="OUA32" s="204"/>
      <c r="OUB32" s="204"/>
      <c r="OUC32" s="204"/>
      <c r="OUD32" s="204"/>
      <c r="OUE32" s="204"/>
      <c r="OUF32" s="204"/>
      <c r="OUG32" s="204"/>
      <c r="OUH32" s="204"/>
      <c r="OUI32" s="204"/>
      <c r="OUJ32" s="204"/>
      <c r="OUK32" s="204"/>
      <c r="OUL32" s="204"/>
      <c r="OUM32" s="204"/>
      <c r="OUN32" s="204"/>
      <c r="OUO32" s="204"/>
      <c r="OUP32" s="204"/>
      <c r="OUQ32" s="204"/>
      <c r="OUR32" s="204"/>
      <c r="OUS32" s="204"/>
      <c r="OUT32" s="204"/>
      <c r="OUU32" s="204"/>
      <c r="OUV32" s="204"/>
      <c r="OUW32" s="204"/>
      <c r="OUX32" s="204"/>
      <c r="OUY32" s="204"/>
      <c r="OUZ32" s="204"/>
      <c r="OVA32" s="204"/>
      <c r="OVB32" s="204"/>
      <c r="OVC32" s="204"/>
      <c r="OVD32" s="204"/>
      <c r="OVE32" s="204"/>
      <c r="OVF32" s="204"/>
      <c r="OVG32" s="204"/>
      <c r="OVH32" s="204"/>
      <c r="OVI32" s="204"/>
      <c r="OVJ32" s="204"/>
      <c r="OVK32" s="204"/>
      <c r="OVL32" s="204"/>
      <c r="OVM32" s="204"/>
      <c r="OVN32" s="204"/>
      <c r="OVO32" s="204"/>
      <c r="OVP32" s="204"/>
      <c r="OVQ32" s="204"/>
      <c r="OVR32" s="204"/>
      <c r="OVS32" s="204"/>
      <c r="OVT32" s="204"/>
      <c r="OVU32" s="204"/>
      <c r="OVV32" s="204"/>
      <c r="OVW32" s="204"/>
      <c r="OVX32" s="204"/>
      <c r="OVY32" s="204"/>
      <c r="OVZ32" s="204"/>
      <c r="OWA32" s="204"/>
      <c r="OWB32" s="204"/>
      <c r="OWC32" s="204"/>
      <c r="OWD32" s="204"/>
      <c r="OWE32" s="204"/>
      <c r="OWF32" s="204"/>
      <c r="OWG32" s="204"/>
      <c r="OWH32" s="204"/>
      <c r="OWI32" s="204"/>
      <c r="OWJ32" s="204"/>
      <c r="OWK32" s="204"/>
      <c r="OWL32" s="204"/>
      <c r="OWM32" s="204"/>
      <c r="OWN32" s="204"/>
      <c r="OWO32" s="204"/>
      <c r="OWP32" s="204"/>
      <c r="OWQ32" s="204"/>
      <c r="OWR32" s="204"/>
      <c r="OWS32" s="204"/>
      <c r="OWT32" s="204"/>
      <c r="OWU32" s="204"/>
      <c r="OWV32" s="204"/>
      <c r="OWW32" s="204"/>
      <c r="OWX32" s="204"/>
      <c r="OWY32" s="204"/>
      <c r="OWZ32" s="204"/>
      <c r="OXA32" s="204"/>
      <c r="OXB32" s="204"/>
      <c r="OXC32" s="204"/>
      <c r="OXD32" s="204"/>
      <c r="OXE32" s="204"/>
      <c r="OXF32" s="204"/>
      <c r="OXG32" s="204"/>
      <c r="OXH32" s="204"/>
      <c r="OXI32" s="204"/>
      <c r="OXJ32" s="204"/>
      <c r="OXK32" s="204"/>
      <c r="OXL32" s="204"/>
      <c r="OXM32" s="204"/>
      <c r="OXN32" s="204"/>
      <c r="OXO32" s="204"/>
      <c r="OXP32" s="204"/>
      <c r="OXQ32" s="204"/>
      <c r="OXR32" s="204"/>
      <c r="OXS32" s="204"/>
      <c r="OXT32" s="204"/>
      <c r="OXU32" s="204"/>
      <c r="OXV32" s="204"/>
      <c r="OXW32" s="204"/>
      <c r="OXX32" s="204"/>
      <c r="OXY32" s="204"/>
      <c r="OXZ32" s="204"/>
      <c r="OYA32" s="204"/>
      <c r="OYB32" s="204"/>
      <c r="OYC32" s="204"/>
      <c r="OYD32" s="204"/>
      <c r="OYE32" s="204"/>
      <c r="OYF32" s="204"/>
      <c r="OYG32" s="204"/>
      <c r="OYH32" s="204"/>
      <c r="OYI32" s="204"/>
      <c r="OYJ32" s="204"/>
      <c r="OYK32" s="204"/>
      <c r="OYL32" s="204"/>
      <c r="OYM32" s="204"/>
      <c r="OYN32" s="204"/>
      <c r="OYO32" s="204"/>
      <c r="OYP32" s="204"/>
      <c r="OYQ32" s="204"/>
      <c r="OYR32" s="204"/>
      <c r="OYS32" s="204"/>
      <c r="OYT32" s="204"/>
      <c r="OYU32" s="204"/>
      <c r="OYV32" s="204"/>
      <c r="OYW32" s="204"/>
      <c r="OYX32" s="204"/>
      <c r="OYY32" s="204"/>
      <c r="OYZ32" s="204"/>
      <c r="OZA32" s="204"/>
      <c r="OZB32" s="204"/>
      <c r="OZC32" s="204"/>
      <c r="OZD32" s="204"/>
      <c r="OZE32" s="204"/>
      <c r="OZF32" s="204"/>
      <c r="OZG32" s="204"/>
      <c r="OZH32" s="204"/>
      <c r="OZI32" s="204"/>
      <c r="OZJ32" s="204"/>
      <c r="OZK32" s="204"/>
      <c r="OZL32" s="204"/>
      <c r="OZM32" s="204"/>
      <c r="OZN32" s="204"/>
      <c r="OZO32" s="204"/>
      <c r="OZP32" s="204"/>
      <c r="OZQ32" s="204"/>
      <c r="OZR32" s="204"/>
      <c r="OZS32" s="204"/>
      <c r="OZT32" s="204"/>
      <c r="OZU32" s="204"/>
      <c r="OZV32" s="204"/>
      <c r="OZW32" s="204"/>
      <c r="OZX32" s="204"/>
      <c r="OZY32" s="204"/>
      <c r="OZZ32" s="204"/>
      <c r="PAA32" s="204"/>
      <c r="PAB32" s="204"/>
      <c r="PAC32" s="204"/>
      <c r="PAD32" s="204"/>
      <c r="PAE32" s="204"/>
      <c r="PAF32" s="204"/>
      <c r="PAG32" s="204"/>
      <c r="PAH32" s="204"/>
      <c r="PAI32" s="204"/>
      <c r="PAJ32" s="204"/>
      <c r="PAK32" s="204"/>
      <c r="PAL32" s="204"/>
      <c r="PAM32" s="204"/>
      <c r="PAN32" s="204"/>
      <c r="PAO32" s="204"/>
      <c r="PAP32" s="204"/>
      <c r="PAQ32" s="204"/>
      <c r="PAR32" s="204"/>
      <c r="PAS32" s="204"/>
      <c r="PAT32" s="204"/>
      <c r="PAU32" s="204"/>
      <c r="PAV32" s="204"/>
      <c r="PAW32" s="204"/>
      <c r="PAX32" s="204"/>
      <c r="PAY32" s="204"/>
      <c r="PAZ32" s="204"/>
      <c r="PBA32" s="204"/>
      <c r="PBB32" s="204"/>
      <c r="PBC32" s="204"/>
      <c r="PBD32" s="204"/>
      <c r="PBE32" s="204"/>
      <c r="PBF32" s="204"/>
      <c r="PBG32" s="204"/>
      <c r="PBH32" s="204"/>
      <c r="PBI32" s="204"/>
      <c r="PBJ32" s="204"/>
      <c r="PBK32" s="204"/>
      <c r="PBL32" s="204"/>
      <c r="PBM32" s="204"/>
      <c r="PBN32" s="204"/>
      <c r="PBO32" s="204"/>
      <c r="PBP32" s="204"/>
      <c r="PBQ32" s="204"/>
      <c r="PBR32" s="204"/>
      <c r="PBS32" s="204"/>
      <c r="PBT32" s="204"/>
      <c r="PBU32" s="204"/>
      <c r="PBV32" s="204"/>
      <c r="PBW32" s="204"/>
      <c r="PBX32" s="204"/>
      <c r="PBY32" s="204"/>
      <c r="PBZ32" s="204"/>
      <c r="PCA32" s="204"/>
      <c r="PCB32" s="204"/>
      <c r="PCC32" s="204"/>
      <c r="PCD32" s="204"/>
      <c r="PCE32" s="204"/>
      <c r="PCF32" s="204"/>
      <c r="PCG32" s="204"/>
      <c r="PCH32" s="204"/>
      <c r="PCI32" s="204"/>
      <c r="PCJ32" s="204"/>
      <c r="PCK32" s="204"/>
      <c r="PCL32" s="204"/>
      <c r="PCM32" s="204"/>
      <c r="PCN32" s="204"/>
      <c r="PCO32" s="204"/>
      <c r="PCP32" s="204"/>
      <c r="PCQ32" s="204"/>
      <c r="PCR32" s="204"/>
      <c r="PCS32" s="204"/>
      <c r="PCT32" s="204"/>
      <c r="PCU32" s="204"/>
      <c r="PCV32" s="204"/>
      <c r="PCW32" s="204"/>
      <c r="PCX32" s="204"/>
      <c r="PCY32" s="204"/>
      <c r="PCZ32" s="204"/>
      <c r="PDA32" s="204"/>
      <c r="PDB32" s="204"/>
      <c r="PDC32" s="204"/>
      <c r="PDD32" s="204"/>
      <c r="PDE32" s="204"/>
      <c r="PDF32" s="204"/>
      <c r="PDG32" s="204"/>
      <c r="PDH32" s="204"/>
      <c r="PDI32" s="204"/>
      <c r="PDJ32" s="204"/>
      <c r="PDK32" s="204"/>
      <c r="PDL32" s="204"/>
      <c r="PDM32" s="204"/>
      <c r="PDN32" s="204"/>
      <c r="PDO32" s="204"/>
      <c r="PDP32" s="204"/>
      <c r="PDQ32" s="204"/>
      <c r="PDR32" s="204"/>
      <c r="PDS32" s="204"/>
      <c r="PDT32" s="204"/>
      <c r="PDU32" s="204"/>
      <c r="PDV32" s="204"/>
      <c r="PDW32" s="204"/>
      <c r="PDX32" s="204"/>
      <c r="PDY32" s="204"/>
      <c r="PDZ32" s="204"/>
      <c r="PEA32" s="204"/>
      <c r="PEB32" s="204"/>
      <c r="PEC32" s="204"/>
      <c r="PED32" s="204"/>
      <c r="PEE32" s="204"/>
      <c r="PEF32" s="204"/>
      <c r="PEG32" s="204"/>
      <c r="PEH32" s="204"/>
      <c r="PEI32" s="204"/>
      <c r="PEJ32" s="204"/>
      <c r="PEK32" s="204"/>
      <c r="PEL32" s="204"/>
      <c r="PEM32" s="204"/>
      <c r="PEN32" s="204"/>
      <c r="PEO32" s="204"/>
      <c r="PEP32" s="204"/>
      <c r="PEQ32" s="204"/>
      <c r="PER32" s="204"/>
      <c r="PES32" s="204"/>
      <c r="PET32" s="204"/>
      <c r="PEU32" s="204"/>
      <c r="PEV32" s="204"/>
      <c r="PEW32" s="204"/>
      <c r="PEX32" s="204"/>
      <c r="PEY32" s="204"/>
      <c r="PEZ32" s="204"/>
      <c r="PFA32" s="204"/>
      <c r="PFB32" s="204"/>
      <c r="PFC32" s="204"/>
      <c r="PFD32" s="204"/>
      <c r="PFE32" s="204"/>
      <c r="PFF32" s="204"/>
      <c r="PFG32" s="204"/>
      <c r="PFH32" s="204"/>
      <c r="PFI32" s="204"/>
      <c r="PFJ32" s="204"/>
      <c r="PFK32" s="204"/>
      <c r="PFL32" s="204"/>
      <c r="PFM32" s="204"/>
      <c r="PFN32" s="204"/>
      <c r="PFO32" s="204"/>
      <c r="PFP32" s="204"/>
      <c r="PFQ32" s="204"/>
      <c r="PFR32" s="204"/>
      <c r="PFS32" s="204"/>
      <c r="PFT32" s="204"/>
      <c r="PFU32" s="204"/>
      <c r="PFV32" s="204"/>
      <c r="PFW32" s="204"/>
      <c r="PFX32" s="204"/>
      <c r="PFY32" s="204"/>
      <c r="PFZ32" s="204"/>
      <c r="PGA32" s="204"/>
      <c r="PGB32" s="204"/>
      <c r="PGC32" s="204"/>
      <c r="PGD32" s="204"/>
      <c r="PGE32" s="204"/>
      <c r="PGF32" s="204"/>
      <c r="PGG32" s="204"/>
      <c r="PGH32" s="204"/>
      <c r="PGI32" s="204"/>
      <c r="PGJ32" s="204"/>
      <c r="PGK32" s="204"/>
      <c r="PGL32" s="204"/>
      <c r="PGM32" s="204"/>
      <c r="PGN32" s="204"/>
      <c r="PGO32" s="204"/>
      <c r="PGP32" s="204"/>
      <c r="PGQ32" s="204"/>
      <c r="PGR32" s="204"/>
      <c r="PGS32" s="204"/>
      <c r="PGT32" s="204"/>
      <c r="PGU32" s="204"/>
      <c r="PGV32" s="204"/>
      <c r="PGW32" s="204"/>
      <c r="PGX32" s="204"/>
      <c r="PGY32" s="204"/>
      <c r="PGZ32" s="204"/>
      <c r="PHA32" s="204"/>
      <c r="PHB32" s="204"/>
      <c r="PHC32" s="204"/>
      <c r="PHD32" s="204"/>
      <c r="PHE32" s="204"/>
      <c r="PHF32" s="204"/>
      <c r="PHG32" s="204"/>
      <c r="PHH32" s="204"/>
      <c r="PHI32" s="204"/>
      <c r="PHJ32" s="204"/>
      <c r="PHK32" s="204"/>
      <c r="PHL32" s="204"/>
      <c r="PHM32" s="204"/>
      <c r="PHN32" s="204"/>
      <c r="PHO32" s="204"/>
      <c r="PHP32" s="204"/>
      <c r="PHQ32" s="204"/>
      <c r="PHR32" s="204"/>
      <c r="PHS32" s="204"/>
      <c r="PHT32" s="204"/>
      <c r="PHU32" s="204"/>
      <c r="PHV32" s="204"/>
      <c r="PHW32" s="204"/>
      <c r="PHX32" s="204"/>
      <c r="PHY32" s="204"/>
      <c r="PHZ32" s="204"/>
      <c r="PIA32" s="204"/>
      <c r="PIB32" s="204"/>
      <c r="PIC32" s="204"/>
      <c r="PID32" s="204"/>
      <c r="PIE32" s="204"/>
      <c r="PIF32" s="204"/>
      <c r="PIG32" s="204"/>
      <c r="PIH32" s="204"/>
      <c r="PII32" s="204"/>
      <c r="PIJ32" s="204"/>
      <c r="PIK32" s="204"/>
      <c r="PIL32" s="204"/>
      <c r="PIM32" s="204"/>
      <c r="PIN32" s="204"/>
      <c r="PIO32" s="204"/>
      <c r="PIP32" s="204"/>
      <c r="PIQ32" s="204"/>
      <c r="PIR32" s="204"/>
      <c r="PIS32" s="204"/>
      <c r="PIT32" s="204"/>
      <c r="PIU32" s="204"/>
      <c r="PIV32" s="204"/>
      <c r="PIW32" s="204"/>
      <c r="PIX32" s="204"/>
      <c r="PIY32" s="204"/>
      <c r="PIZ32" s="204"/>
      <c r="PJA32" s="204"/>
      <c r="PJB32" s="204"/>
      <c r="PJC32" s="204"/>
      <c r="PJD32" s="204"/>
      <c r="PJE32" s="204"/>
      <c r="PJF32" s="204"/>
      <c r="PJG32" s="204"/>
      <c r="PJH32" s="204"/>
      <c r="PJI32" s="204"/>
      <c r="PJJ32" s="204"/>
      <c r="PJK32" s="204"/>
      <c r="PJL32" s="204"/>
      <c r="PJM32" s="204"/>
      <c r="PJN32" s="204"/>
      <c r="PJO32" s="204"/>
      <c r="PJP32" s="204"/>
      <c r="PJQ32" s="204"/>
      <c r="PJR32" s="204"/>
      <c r="PJS32" s="204"/>
      <c r="PJT32" s="204"/>
      <c r="PJU32" s="204"/>
      <c r="PJV32" s="204"/>
      <c r="PJW32" s="204"/>
      <c r="PJX32" s="204"/>
      <c r="PJY32" s="204"/>
      <c r="PJZ32" s="204"/>
      <c r="PKA32" s="204"/>
      <c r="PKB32" s="204"/>
      <c r="PKC32" s="204"/>
      <c r="PKD32" s="204"/>
      <c r="PKE32" s="204"/>
      <c r="PKF32" s="204"/>
      <c r="PKG32" s="204"/>
      <c r="PKH32" s="204"/>
      <c r="PKI32" s="204"/>
      <c r="PKJ32" s="204"/>
      <c r="PKK32" s="204"/>
      <c r="PKL32" s="204"/>
      <c r="PKM32" s="204"/>
      <c r="PKN32" s="204"/>
      <c r="PKO32" s="204"/>
      <c r="PKP32" s="204"/>
      <c r="PKQ32" s="204"/>
      <c r="PKR32" s="204"/>
      <c r="PKS32" s="204"/>
      <c r="PKT32" s="204"/>
      <c r="PKU32" s="204"/>
      <c r="PKV32" s="204"/>
      <c r="PKW32" s="204"/>
      <c r="PKX32" s="204"/>
      <c r="PKY32" s="204"/>
      <c r="PKZ32" s="204"/>
      <c r="PLA32" s="204"/>
      <c r="PLB32" s="204"/>
      <c r="PLC32" s="204"/>
      <c r="PLD32" s="204"/>
      <c r="PLE32" s="204"/>
      <c r="PLF32" s="204"/>
      <c r="PLG32" s="204"/>
      <c r="PLH32" s="204"/>
      <c r="PLI32" s="204"/>
      <c r="PLJ32" s="204"/>
      <c r="PLK32" s="204"/>
      <c r="PLL32" s="204"/>
      <c r="PLM32" s="204"/>
      <c r="PLN32" s="204"/>
      <c r="PLO32" s="204"/>
      <c r="PLP32" s="204"/>
      <c r="PLQ32" s="204"/>
      <c r="PLR32" s="204"/>
      <c r="PLS32" s="204"/>
      <c r="PLT32" s="204"/>
      <c r="PLU32" s="204"/>
      <c r="PLV32" s="204"/>
      <c r="PLW32" s="204"/>
      <c r="PLX32" s="204"/>
      <c r="PLY32" s="204"/>
      <c r="PLZ32" s="204"/>
      <c r="PMA32" s="204"/>
      <c r="PMB32" s="204"/>
      <c r="PMC32" s="204"/>
      <c r="PMD32" s="204"/>
      <c r="PME32" s="204"/>
      <c r="PMF32" s="204"/>
      <c r="PMG32" s="204"/>
      <c r="PMH32" s="204"/>
      <c r="PMI32" s="204"/>
      <c r="PMJ32" s="204"/>
      <c r="PMK32" s="204"/>
      <c r="PML32" s="204"/>
      <c r="PMM32" s="204"/>
      <c r="PMN32" s="204"/>
      <c r="PMO32" s="204"/>
      <c r="PMP32" s="204"/>
      <c r="PMQ32" s="204"/>
      <c r="PMR32" s="204"/>
      <c r="PMS32" s="204"/>
      <c r="PMT32" s="204"/>
      <c r="PMU32" s="204"/>
      <c r="PMV32" s="204"/>
      <c r="PMW32" s="204"/>
      <c r="PMX32" s="204"/>
      <c r="PMY32" s="204"/>
      <c r="PMZ32" s="204"/>
      <c r="PNA32" s="204"/>
      <c r="PNB32" s="204"/>
      <c r="PNC32" s="204"/>
      <c r="PND32" s="204"/>
      <c r="PNE32" s="204"/>
      <c r="PNF32" s="204"/>
      <c r="PNG32" s="204"/>
      <c r="PNH32" s="204"/>
      <c r="PNI32" s="204"/>
      <c r="PNJ32" s="204"/>
      <c r="PNK32" s="204"/>
      <c r="PNL32" s="204"/>
      <c r="PNM32" s="204"/>
      <c r="PNN32" s="204"/>
      <c r="PNO32" s="204"/>
      <c r="PNP32" s="204"/>
      <c r="PNQ32" s="204"/>
      <c r="PNR32" s="204"/>
      <c r="PNS32" s="204"/>
      <c r="PNT32" s="204"/>
      <c r="PNU32" s="204"/>
      <c r="PNV32" s="204"/>
      <c r="PNW32" s="204"/>
      <c r="PNX32" s="204"/>
      <c r="PNY32" s="204"/>
      <c r="PNZ32" s="204"/>
      <c r="POA32" s="204"/>
      <c r="POB32" s="204"/>
      <c r="POC32" s="204"/>
      <c r="POD32" s="204"/>
      <c r="POE32" s="204"/>
      <c r="POF32" s="204"/>
      <c r="POG32" s="204"/>
      <c r="POH32" s="204"/>
      <c r="POI32" s="204"/>
      <c r="POJ32" s="204"/>
      <c r="POK32" s="204"/>
      <c r="POL32" s="204"/>
      <c r="POM32" s="204"/>
      <c r="PON32" s="204"/>
      <c r="POO32" s="204"/>
      <c r="POP32" s="204"/>
      <c r="POQ32" s="204"/>
      <c r="POR32" s="204"/>
      <c r="POS32" s="204"/>
      <c r="POT32" s="204"/>
      <c r="POU32" s="204"/>
      <c r="POV32" s="204"/>
      <c r="POW32" s="204"/>
      <c r="POX32" s="204"/>
      <c r="POY32" s="204"/>
      <c r="POZ32" s="204"/>
      <c r="PPA32" s="204"/>
      <c r="PPB32" s="204"/>
      <c r="PPC32" s="204"/>
      <c r="PPD32" s="204"/>
      <c r="PPE32" s="204"/>
      <c r="PPF32" s="204"/>
      <c r="PPG32" s="204"/>
      <c r="PPH32" s="204"/>
      <c r="PPI32" s="204"/>
      <c r="PPJ32" s="204"/>
      <c r="PPK32" s="204"/>
      <c r="PPL32" s="204"/>
      <c r="PPM32" s="204"/>
      <c r="PPN32" s="204"/>
      <c r="PPO32" s="204"/>
      <c r="PPP32" s="204"/>
      <c r="PPQ32" s="204"/>
      <c r="PPR32" s="204"/>
      <c r="PPS32" s="204"/>
      <c r="PPT32" s="204"/>
      <c r="PPU32" s="204"/>
      <c r="PPV32" s="204"/>
      <c r="PPW32" s="204"/>
      <c r="PPX32" s="204"/>
      <c r="PPY32" s="204"/>
      <c r="PPZ32" s="204"/>
      <c r="PQA32" s="204"/>
      <c r="PQB32" s="204"/>
      <c r="PQC32" s="204"/>
      <c r="PQD32" s="204"/>
      <c r="PQE32" s="204"/>
      <c r="PQF32" s="204"/>
      <c r="PQG32" s="204"/>
      <c r="PQH32" s="204"/>
      <c r="PQI32" s="204"/>
      <c r="PQJ32" s="204"/>
      <c r="PQK32" s="204"/>
      <c r="PQL32" s="204"/>
      <c r="PQM32" s="204"/>
      <c r="PQN32" s="204"/>
      <c r="PQO32" s="204"/>
      <c r="PQP32" s="204"/>
      <c r="PQQ32" s="204"/>
      <c r="PQR32" s="204"/>
      <c r="PQS32" s="204"/>
      <c r="PQT32" s="204"/>
      <c r="PQU32" s="204"/>
      <c r="PQV32" s="204"/>
      <c r="PQW32" s="204"/>
      <c r="PQX32" s="204"/>
      <c r="PQY32" s="204"/>
      <c r="PQZ32" s="204"/>
      <c r="PRA32" s="204"/>
      <c r="PRB32" s="204"/>
      <c r="PRC32" s="204"/>
      <c r="PRD32" s="204"/>
      <c r="PRE32" s="204"/>
      <c r="PRF32" s="204"/>
      <c r="PRG32" s="204"/>
      <c r="PRH32" s="204"/>
      <c r="PRI32" s="204"/>
      <c r="PRJ32" s="204"/>
      <c r="PRK32" s="204"/>
      <c r="PRL32" s="204"/>
      <c r="PRM32" s="204"/>
      <c r="PRN32" s="204"/>
      <c r="PRO32" s="204"/>
      <c r="PRP32" s="204"/>
      <c r="PRQ32" s="204"/>
      <c r="PRR32" s="204"/>
      <c r="PRS32" s="204"/>
      <c r="PRT32" s="204"/>
      <c r="PRU32" s="204"/>
      <c r="PRV32" s="204"/>
      <c r="PRW32" s="204"/>
      <c r="PRX32" s="204"/>
      <c r="PRY32" s="204"/>
      <c r="PRZ32" s="204"/>
      <c r="PSA32" s="204"/>
      <c r="PSB32" s="204"/>
      <c r="PSC32" s="204"/>
      <c r="PSD32" s="204"/>
      <c r="PSE32" s="204"/>
      <c r="PSF32" s="204"/>
      <c r="PSG32" s="204"/>
      <c r="PSH32" s="204"/>
      <c r="PSI32" s="204"/>
      <c r="PSJ32" s="204"/>
      <c r="PSK32" s="204"/>
      <c r="PSL32" s="204"/>
      <c r="PSM32" s="204"/>
      <c r="PSN32" s="204"/>
      <c r="PSO32" s="204"/>
      <c r="PSP32" s="204"/>
      <c r="PSQ32" s="204"/>
      <c r="PSR32" s="204"/>
      <c r="PSS32" s="204"/>
      <c r="PST32" s="204"/>
      <c r="PSU32" s="204"/>
      <c r="PSV32" s="204"/>
      <c r="PSW32" s="204"/>
      <c r="PSX32" s="204"/>
      <c r="PSY32" s="204"/>
      <c r="PSZ32" s="204"/>
      <c r="PTA32" s="204"/>
      <c r="PTB32" s="204"/>
      <c r="PTC32" s="204"/>
      <c r="PTD32" s="204"/>
      <c r="PTE32" s="204"/>
      <c r="PTF32" s="204"/>
      <c r="PTG32" s="204"/>
      <c r="PTH32" s="204"/>
      <c r="PTI32" s="204"/>
      <c r="PTJ32" s="204"/>
      <c r="PTK32" s="204"/>
      <c r="PTL32" s="204"/>
      <c r="PTM32" s="204"/>
      <c r="PTN32" s="204"/>
      <c r="PTO32" s="204"/>
      <c r="PTP32" s="204"/>
      <c r="PTQ32" s="204"/>
      <c r="PTR32" s="204"/>
      <c r="PTS32" s="204"/>
      <c r="PTT32" s="204"/>
      <c r="PTU32" s="204"/>
      <c r="PTV32" s="204"/>
      <c r="PTW32" s="204"/>
      <c r="PTX32" s="204"/>
      <c r="PTY32" s="204"/>
      <c r="PTZ32" s="204"/>
      <c r="PUA32" s="204"/>
      <c r="PUB32" s="204"/>
      <c r="PUC32" s="204"/>
      <c r="PUD32" s="204"/>
      <c r="PUE32" s="204"/>
      <c r="PUF32" s="204"/>
      <c r="PUG32" s="204"/>
      <c r="PUH32" s="204"/>
      <c r="PUI32" s="204"/>
      <c r="PUJ32" s="204"/>
      <c r="PUK32" s="204"/>
      <c r="PUL32" s="204"/>
      <c r="PUM32" s="204"/>
      <c r="PUN32" s="204"/>
      <c r="PUO32" s="204"/>
      <c r="PUP32" s="204"/>
      <c r="PUQ32" s="204"/>
      <c r="PUR32" s="204"/>
      <c r="PUS32" s="204"/>
      <c r="PUT32" s="204"/>
      <c r="PUU32" s="204"/>
      <c r="PUV32" s="204"/>
      <c r="PUW32" s="204"/>
      <c r="PUX32" s="204"/>
      <c r="PUY32" s="204"/>
      <c r="PUZ32" s="204"/>
      <c r="PVA32" s="204"/>
      <c r="PVB32" s="204"/>
      <c r="PVC32" s="204"/>
      <c r="PVD32" s="204"/>
      <c r="PVE32" s="204"/>
      <c r="PVF32" s="204"/>
      <c r="PVG32" s="204"/>
      <c r="PVH32" s="204"/>
      <c r="PVI32" s="204"/>
      <c r="PVJ32" s="204"/>
      <c r="PVK32" s="204"/>
      <c r="PVL32" s="204"/>
      <c r="PVM32" s="204"/>
      <c r="PVN32" s="204"/>
      <c r="PVO32" s="204"/>
      <c r="PVP32" s="204"/>
      <c r="PVQ32" s="204"/>
      <c r="PVR32" s="204"/>
      <c r="PVS32" s="204"/>
      <c r="PVT32" s="204"/>
      <c r="PVU32" s="204"/>
      <c r="PVV32" s="204"/>
      <c r="PVW32" s="204"/>
      <c r="PVX32" s="204"/>
      <c r="PVY32" s="204"/>
      <c r="PVZ32" s="204"/>
      <c r="PWA32" s="204"/>
      <c r="PWB32" s="204"/>
      <c r="PWC32" s="204"/>
      <c r="PWD32" s="204"/>
      <c r="PWE32" s="204"/>
      <c r="PWF32" s="204"/>
      <c r="PWG32" s="204"/>
      <c r="PWH32" s="204"/>
      <c r="PWI32" s="204"/>
      <c r="PWJ32" s="204"/>
      <c r="PWK32" s="204"/>
      <c r="PWL32" s="204"/>
      <c r="PWM32" s="204"/>
      <c r="PWN32" s="204"/>
      <c r="PWO32" s="204"/>
      <c r="PWP32" s="204"/>
      <c r="PWQ32" s="204"/>
      <c r="PWR32" s="204"/>
      <c r="PWS32" s="204"/>
      <c r="PWT32" s="204"/>
      <c r="PWU32" s="204"/>
      <c r="PWV32" s="204"/>
      <c r="PWW32" s="204"/>
      <c r="PWX32" s="204"/>
      <c r="PWY32" s="204"/>
      <c r="PWZ32" s="204"/>
      <c r="PXA32" s="204"/>
      <c r="PXB32" s="204"/>
      <c r="PXC32" s="204"/>
      <c r="PXD32" s="204"/>
      <c r="PXE32" s="204"/>
      <c r="PXF32" s="204"/>
      <c r="PXG32" s="204"/>
      <c r="PXH32" s="204"/>
      <c r="PXI32" s="204"/>
      <c r="PXJ32" s="204"/>
      <c r="PXK32" s="204"/>
      <c r="PXL32" s="204"/>
      <c r="PXM32" s="204"/>
      <c r="PXN32" s="204"/>
      <c r="PXO32" s="204"/>
      <c r="PXP32" s="204"/>
      <c r="PXQ32" s="204"/>
      <c r="PXR32" s="204"/>
      <c r="PXS32" s="204"/>
      <c r="PXT32" s="204"/>
      <c r="PXU32" s="204"/>
      <c r="PXV32" s="204"/>
      <c r="PXW32" s="204"/>
      <c r="PXX32" s="204"/>
      <c r="PXY32" s="204"/>
      <c r="PXZ32" s="204"/>
      <c r="PYA32" s="204"/>
      <c r="PYB32" s="204"/>
      <c r="PYC32" s="204"/>
      <c r="PYD32" s="204"/>
      <c r="PYE32" s="204"/>
      <c r="PYF32" s="204"/>
      <c r="PYG32" s="204"/>
      <c r="PYH32" s="204"/>
      <c r="PYI32" s="204"/>
      <c r="PYJ32" s="204"/>
      <c r="PYK32" s="204"/>
      <c r="PYL32" s="204"/>
      <c r="PYM32" s="204"/>
      <c r="PYN32" s="204"/>
      <c r="PYO32" s="204"/>
      <c r="PYP32" s="204"/>
      <c r="PYQ32" s="204"/>
      <c r="PYR32" s="204"/>
      <c r="PYS32" s="204"/>
      <c r="PYT32" s="204"/>
      <c r="PYU32" s="204"/>
      <c r="PYV32" s="204"/>
      <c r="PYW32" s="204"/>
      <c r="PYX32" s="204"/>
      <c r="PYY32" s="204"/>
      <c r="PYZ32" s="204"/>
      <c r="PZA32" s="204"/>
      <c r="PZB32" s="204"/>
      <c r="PZC32" s="204"/>
      <c r="PZD32" s="204"/>
      <c r="PZE32" s="204"/>
      <c r="PZF32" s="204"/>
      <c r="PZG32" s="204"/>
      <c r="PZH32" s="204"/>
      <c r="PZI32" s="204"/>
      <c r="PZJ32" s="204"/>
      <c r="PZK32" s="204"/>
      <c r="PZL32" s="204"/>
      <c r="PZM32" s="204"/>
      <c r="PZN32" s="204"/>
      <c r="PZO32" s="204"/>
      <c r="PZP32" s="204"/>
      <c r="PZQ32" s="204"/>
      <c r="PZR32" s="204"/>
      <c r="PZS32" s="204"/>
      <c r="PZT32" s="204"/>
      <c r="PZU32" s="204"/>
      <c r="PZV32" s="204"/>
      <c r="PZW32" s="204"/>
      <c r="PZX32" s="204"/>
      <c r="PZY32" s="204"/>
      <c r="PZZ32" s="204"/>
      <c r="QAA32" s="204"/>
      <c r="QAB32" s="204"/>
      <c r="QAC32" s="204"/>
      <c r="QAD32" s="204"/>
      <c r="QAE32" s="204"/>
      <c r="QAF32" s="204"/>
      <c r="QAG32" s="204"/>
      <c r="QAH32" s="204"/>
      <c r="QAI32" s="204"/>
      <c r="QAJ32" s="204"/>
      <c r="QAK32" s="204"/>
      <c r="QAL32" s="204"/>
      <c r="QAM32" s="204"/>
      <c r="QAN32" s="204"/>
      <c r="QAO32" s="204"/>
      <c r="QAP32" s="204"/>
      <c r="QAQ32" s="204"/>
      <c r="QAR32" s="204"/>
      <c r="QAS32" s="204"/>
      <c r="QAT32" s="204"/>
      <c r="QAU32" s="204"/>
      <c r="QAV32" s="204"/>
      <c r="QAW32" s="204"/>
      <c r="QAX32" s="204"/>
      <c r="QAY32" s="204"/>
      <c r="QAZ32" s="204"/>
      <c r="QBA32" s="204"/>
      <c r="QBB32" s="204"/>
      <c r="QBC32" s="204"/>
      <c r="QBD32" s="204"/>
      <c r="QBE32" s="204"/>
      <c r="QBF32" s="204"/>
      <c r="QBG32" s="204"/>
      <c r="QBH32" s="204"/>
      <c r="QBI32" s="204"/>
      <c r="QBJ32" s="204"/>
      <c r="QBK32" s="204"/>
      <c r="QBL32" s="204"/>
      <c r="QBM32" s="204"/>
      <c r="QBN32" s="204"/>
      <c r="QBO32" s="204"/>
      <c r="QBP32" s="204"/>
      <c r="QBQ32" s="204"/>
      <c r="QBR32" s="204"/>
      <c r="QBS32" s="204"/>
      <c r="QBT32" s="204"/>
      <c r="QBU32" s="204"/>
      <c r="QBV32" s="204"/>
      <c r="QBW32" s="204"/>
      <c r="QBX32" s="204"/>
      <c r="QBY32" s="204"/>
      <c r="QBZ32" s="204"/>
      <c r="QCA32" s="204"/>
      <c r="QCB32" s="204"/>
      <c r="QCC32" s="204"/>
      <c r="QCD32" s="204"/>
      <c r="QCE32" s="204"/>
      <c r="QCF32" s="204"/>
      <c r="QCG32" s="204"/>
      <c r="QCH32" s="204"/>
      <c r="QCI32" s="204"/>
      <c r="QCJ32" s="204"/>
      <c r="QCK32" s="204"/>
      <c r="QCL32" s="204"/>
      <c r="QCM32" s="204"/>
      <c r="QCN32" s="204"/>
      <c r="QCO32" s="204"/>
      <c r="QCP32" s="204"/>
      <c r="QCQ32" s="204"/>
      <c r="QCR32" s="204"/>
      <c r="QCS32" s="204"/>
      <c r="QCT32" s="204"/>
      <c r="QCU32" s="204"/>
      <c r="QCV32" s="204"/>
      <c r="QCW32" s="204"/>
      <c r="QCX32" s="204"/>
      <c r="QCY32" s="204"/>
      <c r="QCZ32" s="204"/>
      <c r="QDA32" s="204"/>
      <c r="QDB32" s="204"/>
      <c r="QDC32" s="204"/>
      <c r="QDD32" s="204"/>
      <c r="QDE32" s="204"/>
      <c r="QDF32" s="204"/>
      <c r="QDG32" s="204"/>
      <c r="QDH32" s="204"/>
      <c r="QDI32" s="204"/>
      <c r="QDJ32" s="204"/>
      <c r="QDK32" s="204"/>
      <c r="QDL32" s="204"/>
      <c r="QDM32" s="204"/>
      <c r="QDN32" s="204"/>
      <c r="QDO32" s="204"/>
      <c r="QDP32" s="204"/>
      <c r="QDQ32" s="204"/>
      <c r="QDR32" s="204"/>
      <c r="QDS32" s="204"/>
      <c r="QDT32" s="204"/>
      <c r="QDU32" s="204"/>
      <c r="QDV32" s="204"/>
      <c r="QDW32" s="204"/>
      <c r="QDX32" s="204"/>
      <c r="QDY32" s="204"/>
      <c r="QDZ32" s="204"/>
      <c r="QEA32" s="204"/>
      <c r="QEB32" s="204"/>
      <c r="QEC32" s="204"/>
      <c r="QED32" s="204"/>
      <c r="QEE32" s="204"/>
      <c r="QEF32" s="204"/>
      <c r="QEG32" s="204"/>
      <c r="QEH32" s="204"/>
      <c r="QEI32" s="204"/>
      <c r="QEJ32" s="204"/>
      <c r="QEK32" s="204"/>
      <c r="QEL32" s="204"/>
      <c r="QEM32" s="204"/>
      <c r="QEN32" s="204"/>
      <c r="QEO32" s="204"/>
      <c r="QEP32" s="204"/>
      <c r="QEQ32" s="204"/>
      <c r="QER32" s="204"/>
      <c r="QES32" s="204"/>
      <c r="QET32" s="204"/>
      <c r="QEU32" s="204"/>
      <c r="QEV32" s="204"/>
      <c r="QEW32" s="204"/>
      <c r="QEX32" s="204"/>
      <c r="QEY32" s="204"/>
      <c r="QEZ32" s="204"/>
      <c r="QFA32" s="204"/>
      <c r="QFB32" s="204"/>
      <c r="QFC32" s="204"/>
      <c r="QFD32" s="204"/>
      <c r="QFE32" s="204"/>
      <c r="QFF32" s="204"/>
      <c r="QFG32" s="204"/>
      <c r="QFH32" s="204"/>
      <c r="QFI32" s="204"/>
      <c r="QFJ32" s="204"/>
      <c r="QFK32" s="204"/>
      <c r="QFL32" s="204"/>
      <c r="QFM32" s="204"/>
      <c r="QFN32" s="204"/>
      <c r="QFO32" s="204"/>
      <c r="QFP32" s="204"/>
      <c r="QFQ32" s="204"/>
      <c r="QFR32" s="204"/>
      <c r="QFS32" s="204"/>
      <c r="QFT32" s="204"/>
      <c r="QFU32" s="204"/>
      <c r="QFV32" s="204"/>
      <c r="QFW32" s="204"/>
      <c r="QFX32" s="204"/>
      <c r="QFY32" s="204"/>
      <c r="QFZ32" s="204"/>
      <c r="QGA32" s="204"/>
      <c r="QGB32" s="204"/>
      <c r="QGC32" s="204"/>
      <c r="QGD32" s="204"/>
      <c r="QGE32" s="204"/>
      <c r="QGF32" s="204"/>
      <c r="QGG32" s="204"/>
      <c r="QGH32" s="204"/>
      <c r="QGI32" s="204"/>
      <c r="QGJ32" s="204"/>
      <c r="QGK32" s="204"/>
      <c r="QGL32" s="204"/>
      <c r="QGM32" s="204"/>
      <c r="QGN32" s="204"/>
      <c r="QGO32" s="204"/>
      <c r="QGP32" s="204"/>
      <c r="QGQ32" s="204"/>
      <c r="QGR32" s="204"/>
      <c r="QGS32" s="204"/>
      <c r="QGT32" s="204"/>
      <c r="QGU32" s="204"/>
      <c r="QGV32" s="204"/>
      <c r="QGW32" s="204"/>
      <c r="QGX32" s="204"/>
      <c r="QGY32" s="204"/>
      <c r="QGZ32" s="204"/>
      <c r="QHA32" s="204"/>
      <c r="QHB32" s="204"/>
      <c r="QHC32" s="204"/>
      <c r="QHD32" s="204"/>
      <c r="QHE32" s="204"/>
      <c r="QHF32" s="204"/>
      <c r="QHG32" s="204"/>
      <c r="QHH32" s="204"/>
      <c r="QHI32" s="204"/>
      <c r="QHJ32" s="204"/>
      <c r="QHK32" s="204"/>
      <c r="QHL32" s="204"/>
      <c r="QHM32" s="204"/>
      <c r="QHN32" s="204"/>
      <c r="QHO32" s="204"/>
      <c r="QHP32" s="204"/>
      <c r="QHQ32" s="204"/>
      <c r="QHR32" s="204"/>
      <c r="QHS32" s="204"/>
      <c r="QHT32" s="204"/>
      <c r="QHU32" s="204"/>
      <c r="QHV32" s="204"/>
      <c r="QHW32" s="204"/>
      <c r="QHX32" s="204"/>
      <c r="QHY32" s="204"/>
      <c r="QHZ32" s="204"/>
      <c r="QIA32" s="204"/>
      <c r="QIB32" s="204"/>
      <c r="QIC32" s="204"/>
      <c r="QID32" s="204"/>
      <c r="QIE32" s="204"/>
      <c r="QIF32" s="204"/>
      <c r="QIG32" s="204"/>
      <c r="QIH32" s="204"/>
      <c r="QII32" s="204"/>
      <c r="QIJ32" s="204"/>
      <c r="QIK32" s="204"/>
      <c r="QIL32" s="204"/>
      <c r="QIM32" s="204"/>
      <c r="QIN32" s="204"/>
      <c r="QIO32" s="204"/>
      <c r="QIP32" s="204"/>
      <c r="QIQ32" s="204"/>
      <c r="QIR32" s="204"/>
      <c r="QIS32" s="204"/>
      <c r="QIT32" s="204"/>
      <c r="QIU32" s="204"/>
      <c r="QIV32" s="204"/>
      <c r="QIW32" s="204"/>
      <c r="QIX32" s="204"/>
      <c r="QIY32" s="204"/>
      <c r="QIZ32" s="204"/>
      <c r="QJA32" s="204"/>
      <c r="QJB32" s="204"/>
      <c r="QJC32" s="204"/>
      <c r="QJD32" s="204"/>
      <c r="QJE32" s="204"/>
      <c r="QJF32" s="204"/>
      <c r="QJG32" s="204"/>
      <c r="QJH32" s="204"/>
      <c r="QJI32" s="204"/>
      <c r="QJJ32" s="204"/>
      <c r="QJK32" s="204"/>
      <c r="QJL32" s="204"/>
      <c r="QJM32" s="204"/>
      <c r="QJN32" s="204"/>
      <c r="QJO32" s="204"/>
      <c r="QJP32" s="204"/>
      <c r="QJQ32" s="204"/>
      <c r="QJR32" s="204"/>
      <c r="QJS32" s="204"/>
      <c r="QJT32" s="204"/>
      <c r="QJU32" s="204"/>
      <c r="QJV32" s="204"/>
      <c r="QJW32" s="204"/>
      <c r="QJX32" s="204"/>
      <c r="QJY32" s="204"/>
      <c r="QJZ32" s="204"/>
      <c r="QKA32" s="204"/>
      <c r="QKB32" s="204"/>
      <c r="QKC32" s="204"/>
      <c r="QKD32" s="204"/>
      <c r="QKE32" s="204"/>
      <c r="QKF32" s="204"/>
      <c r="QKG32" s="204"/>
      <c r="QKH32" s="204"/>
      <c r="QKI32" s="204"/>
      <c r="QKJ32" s="204"/>
      <c r="QKK32" s="204"/>
      <c r="QKL32" s="204"/>
      <c r="QKM32" s="204"/>
      <c r="QKN32" s="204"/>
      <c r="QKO32" s="204"/>
      <c r="QKP32" s="204"/>
      <c r="QKQ32" s="204"/>
      <c r="QKR32" s="204"/>
      <c r="QKS32" s="204"/>
      <c r="QKT32" s="204"/>
      <c r="QKU32" s="204"/>
      <c r="QKV32" s="204"/>
      <c r="QKW32" s="204"/>
      <c r="QKX32" s="204"/>
      <c r="QKY32" s="204"/>
      <c r="QKZ32" s="204"/>
      <c r="QLA32" s="204"/>
      <c r="QLB32" s="204"/>
      <c r="QLC32" s="204"/>
      <c r="QLD32" s="204"/>
      <c r="QLE32" s="204"/>
      <c r="QLF32" s="204"/>
      <c r="QLG32" s="204"/>
      <c r="QLH32" s="204"/>
      <c r="QLI32" s="204"/>
      <c r="QLJ32" s="204"/>
      <c r="QLK32" s="204"/>
      <c r="QLL32" s="204"/>
      <c r="QLM32" s="204"/>
      <c r="QLN32" s="204"/>
      <c r="QLO32" s="204"/>
      <c r="QLP32" s="204"/>
      <c r="QLQ32" s="204"/>
      <c r="QLR32" s="204"/>
      <c r="QLS32" s="204"/>
      <c r="QLT32" s="204"/>
      <c r="QLU32" s="204"/>
      <c r="QLV32" s="204"/>
      <c r="QLW32" s="204"/>
      <c r="QLX32" s="204"/>
      <c r="QLY32" s="204"/>
      <c r="QLZ32" s="204"/>
      <c r="QMA32" s="204"/>
      <c r="QMB32" s="204"/>
      <c r="QMC32" s="204"/>
      <c r="QMD32" s="204"/>
      <c r="QME32" s="204"/>
      <c r="QMF32" s="204"/>
      <c r="QMG32" s="204"/>
      <c r="QMH32" s="204"/>
      <c r="QMI32" s="204"/>
      <c r="QMJ32" s="204"/>
      <c r="QMK32" s="204"/>
      <c r="QML32" s="204"/>
      <c r="QMM32" s="204"/>
      <c r="QMN32" s="204"/>
      <c r="QMO32" s="204"/>
      <c r="QMP32" s="204"/>
      <c r="QMQ32" s="204"/>
      <c r="QMR32" s="204"/>
      <c r="QMS32" s="204"/>
      <c r="QMT32" s="204"/>
      <c r="QMU32" s="204"/>
      <c r="QMV32" s="204"/>
      <c r="QMW32" s="204"/>
      <c r="QMX32" s="204"/>
      <c r="QMY32" s="204"/>
      <c r="QMZ32" s="204"/>
      <c r="QNA32" s="204"/>
      <c r="QNB32" s="204"/>
      <c r="QNC32" s="204"/>
      <c r="QND32" s="204"/>
      <c r="QNE32" s="204"/>
      <c r="QNF32" s="204"/>
      <c r="QNG32" s="204"/>
      <c r="QNH32" s="204"/>
      <c r="QNI32" s="204"/>
      <c r="QNJ32" s="204"/>
      <c r="QNK32" s="204"/>
      <c r="QNL32" s="204"/>
      <c r="QNM32" s="204"/>
      <c r="QNN32" s="204"/>
      <c r="QNO32" s="204"/>
      <c r="QNP32" s="204"/>
      <c r="QNQ32" s="204"/>
      <c r="QNR32" s="204"/>
      <c r="QNS32" s="204"/>
      <c r="QNT32" s="204"/>
      <c r="QNU32" s="204"/>
      <c r="QNV32" s="204"/>
      <c r="QNW32" s="204"/>
      <c r="QNX32" s="204"/>
      <c r="QNY32" s="204"/>
      <c r="QNZ32" s="204"/>
      <c r="QOA32" s="204"/>
      <c r="QOB32" s="204"/>
      <c r="QOC32" s="204"/>
      <c r="QOD32" s="204"/>
      <c r="QOE32" s="204"/>
      <c r="QOF32" s="204"/>
      <c r="QOG32" s="204"/>
      <c r="QOH32" s="204"/>
      <c r="QOI32" s="204"/>
      <c r="QOJ32" s="204"/>
      <c r="QOK32" s="204"/>
      <c r="QOL32" s="204"/>
      <c r="QOM32" s="204"/>
      <c r="QON32" s="204"/>
      <c r="QOO32" s="204"/>
      <c r="QOP32" s="204"/>
      <c r="QOQ32" s="204"/>
      <c r="QOR32" s="204"/>
      <c r="QOS32" s="204"/>
      <c r="QOT32" s="204"/>
      <c r="QOU32" s="204"/>
      <c r="QOV32" s="204"/>
      <c r="QOW32" s="204"/>
      <c r="QOX32" s="204"/>
      <c r="QOY32" s="204"/>
      <c r="QOZ32" s="204"/>
      <c r="QPA32" s="204"/>
      <c r="QPB32" s="204"/>
      <c r="QPC32" s="204"/>
      <c r="QPD32" s="204"/>
      <c r="QPE32" s="204"/>
      <c r="QPF32" s="204"/>
      <c r="QPG32" s="204"/>
      <c r="QPH32" s="204"/>
      <c r="QPI32" s="204"/>
      <c r="QPJ32" s="204"/>
      <c r="QPK32" s="204"/>
      <c r="QPL32" s="204"/>
      <c r="QPM32" s="204"/>
      <c r="QPN32" s="204"/>
      <c r="QPO32" s="204"/>
      <c r="QPP32" s="204"/>
      <c r="QPQ32" s="204"/>
      <c r="QPR32" s="204"/>
      <c r="QPS32" s="204"/>
      <c r="QPT32" s="204"/>
      <c r="QPU32" s="204"/>
      <c r="QPV32" s="204"/>
      <c r="QPW32" s="204"/>
      <c r="QPX32" s="204"/>
      <c r="QPY32" s="204"/>
      <c r="QPZ32" s="204"/>
      <c r="QQA32" s="204"/>
      <c r="QQB32" s="204"/>
      <c r="QQC32" s="204"/>
      <c r="QQD32" s="204"/>
      <c r="QQE32" s="204"/>
      <c r="QQF32" s="204"/>
      <c r="QQG32" s="204"/>
      <c r="QQH32" s="204"/>
      <c r="QQI32" s="204"/>
      <c r="QQJ32" s="204"/>
      <c r="QQK32" s="204"/>
      <c r="QQL32" s="204"/>
      <c r="QQM32" s="204"/>
      <c r="QQN32" s="204"/>
      <c r="QQO32" s="204"/>
      <c r="QQP32" s="204"/>
      <c r="QQQ32" s="204"/>
      <c r="QQR32" s="204"/>
      <c r="QQS32" s="204"/>
      <c r="QQT32" s="204"/>
      <c r="QQU32" s="204"/>
      <c r="QQV32" s="204"/>
      <c r="QQW32" s="204"/>
      <c r="QQX32" s="204"/>
      <c r="QQY32" s="204"/>
      <c r="QQZ32" s="204"/>
      <c r="QRA32" s="204"/>
      <c r="QRB32" s="204"/>
      <c r="QRC32" s="204"/>
      <c r="QRD32" s="204"/>
      <c r="QRE32" s="204"/>
      <c r="QRF32" s="204"/>
      <c r="QRG32" s="204"/>
      <c r="QRH32" s="204"/>
      <c r="QRI32" s="204"/>
      <c r="QRJ32" s="204"/>
      <c r="QRK32" s="204"/>
      <c r="QRL32" s="204"/>
      <c r="QRM32" s="204"/>
      <c r="QRN32" s="204"/>
      <c r="QRO32" s="204"/>
      <c r="QRP32" s="204"/>
      <c r="QRQ32" s="204"/>
      <c r="QRR32" s="204"/>
      <c r="QRS32" s="204"/>
      <c r="QRT32" s="204"/>
      <c r="QRU32" s="204"/>
      <c r="QRV32" s="204"/>
      <c r="QRW32" s="204"/>
      <c r="QRX32" s="204"/>
      <c r="QRY32" s="204"/>
      <c r="QRZ32" s="204"/>
      <c r="QSA32" s="204"/>
      <c r="QSB32" s="204"/>
      <c r="QSC32" s="204"/>
      <c r="QSD32" s="204"/>
      <c r="QSE32" s="204"/>
      <c r="QSF32" s="204"/>
      <c r="QSG32" s="204"/>
      <c r="QSH32" s="204"/>
      <c r="QSI32" s="204"/>
      <c r="QSJ32" s="204"/>
      <c r="QSK32" s="204"/>
      <c r="QSL32" s="204"/>
      <c r="QSM32" s="204"/>
      <c r="QSN32" s="204"/>
      <c r="QSO32" s="204"/>
      <c r="QSP32" s="204"/>
      <c r="QSQ32" s="204"/>
      <c r="QSR32" s="204"/>
      <c r="QSS32" s="204"/>
      <c r="QST32" s="204"/>
      <c r="QSU32" s="204"/>
      <c r="QSV32" s="204"/>
      <c r="QSW32" s="204"/>
      <c r="QSX32" s="204"/>
      <c r="QSY32" s="204"/>
      <c r="QSZ32" s="204"/>
      <c r="QTA32" s="204"/>
      <c r="QTB32" s="204"/>
      <c r="QTC32" s="204"/>
      <c r="QTD32" s="204"/>
      <c r="QTE32" s="204"/>
      <c r="QTF32" s="204"/>
      <c r="QTG32" s="204"/>
      <c r="QTH32" s="204"/>
      <c r="QTI32" s="204"/>
      <c r="QTJ32" s="204"/>
      <c r="QTK32" s="204"/>
      <c r="QTL32" s="204"/>
      <c r="QTM32" s="204"/>
      <c r="QTN32" s="204"/>
      <c r="QTO32" s="204"/>
      <c r="QTP32" s="204"/>
      <c r="QTQ32" s="204"/>
      <c r="QTR32" s="204"/>
      <c r="QTS32" s="204"/>
      <c r="QTT32" s="204"/>
      <c r="QTU32" s="204"/>
      <c r="QTV32" s="204"/>
      <c r="QTW32" s="204"/>
      <c r="QTX32" s="204"/>
      <c r="QTY32" s="204"/>
      <c r="QTZ32" s="204"/>
      <c r="QUA32" s="204"/>
      <c r="QUB32" s="204"/>
      <c r="QUC32" s="204"/>
      <c r="QUD32" s="204"/>
      <c r="QUE32" s="204"/>
      <c r="QUF32" s="204"/>
      <c r="QUG32" s="204"/>
      <c r="QUH32" s="204"/>
      <c r="QUI32" s="204"/>
      <c r="QUJ32" s="204"/>
      <c r="QUK32" s="204"/>
      <c r="QUL32" s="204"/>
      <c r="QUM32" s="204"/>
      <c r="QUN32" s="204"/>
      <c r="QUO32" s="204"/>
      <c r="QUP32" s="204"/>
      <c r="QUQ32" s="204"/>
      <c r="QUR32" s="204"/>
      <c r="QUS32" s="204"/>
      <c r="QUT32" s="204"/>
      <c r="QUU32" s="204"/>
      <c r="QUV32" s="204"/>
      <c r="QUW32" s="204"/>
      <c r="QUX32" s="204"/>
      <c r="QUY32" s="204"/>
      <c r="QUZ32" s="204"/>
      <c r="QVA32" s="204"/>
      <c r="QVB32" s="204"/>
      <c r="QVC32" s="204"/>
      <c r="QVD32" s="204"/>
      <c r="QVE32" s="204"/>
      <c r="QVF32" s="204"/>
      <c r="QVG32" s="204"/>
      <c r="QVH32" s="204"/>
      <c r="QVI32" s="204"/>
      <c r="QVJ32" s="204"/>
      <c r="QVK32" s="204"/>
      <c r="QVL32" s="204"/>
      <c r="QVM32" s="204"/>
      <c r="QVN32" s="204"/>
      <c r="QVO32" s="204"/>
      <c r="QVP32" s="204"/>
      <c r="QVQ32" s="204"/>
      <c r="QVR32" s="204"/>
      <c r="QVS32" s="204"/>
      <c r="QVT32" s="204"/>
      <c r="QVU32" s="204"/>
      <c r="QVV32" s="204"/>
      <c r="QVW32" s="204"/>
      <c r="QVX32" s="204"/>
      <c r="QVY32" s="204"/>
      <c r="QVZ32" s="204"/>
      <c r="QWA32" s="204"/>
      <c r="QWB32" s="204"/>
      <c r="QWC32" s="204"/>
      <c r="QWD32" s="204"/>
      <c r="QWE32" s="204"/>
      <c r="QWF32" s="204"/>
      <c r="QWG32" s="204"/>
      <c r="QWH32" s="204"/>
      <c r="QWI32" s="204"/>
      <c r="QWJ32" s="204"/>
      <c r="QWK32" s="204"/>
      <c r="QWL32" s="204"/>
      <c r="QWM32" s="204"/>
      <c r="QWN32" s="204"/>
      <c r="QWO32" s="204"/>
      <c r="QWP32" s="204"/>
      <c r="QWQ32" s="204"/>
      <c r="QWR32" s="204"/>
      <c r="QWS32" s="204"/>
      <c r="QWT32" s="204"/>
      <c r="QWU32" s="204"/>
      <c r="QWV32" s="204"/>
      <c r="QWW32" s="204"/>
      <c r="QWX32" s="204"/>
      <c r="QWY32" s="204"/>
      <c r="QWZ32" s="204"/>
      <c r="QXA32" s="204"/>
      <c r="QXB32" s="204"/>
      <c r="QXC32" s="204"/>
      <c r="QXD32" s="204"/>
      <c r="QXE32" s="204"/>
      <c r="QXF32" s="204"/>
      <c r="QXG32" s="204"/>
      <c r="QXH32" s="204"/>
      <c r="QXI32" s="204"/>
      <c r="QXJ32" s="204"/>
      <c r="QXK32" s="204"/>
      <c r="QXL32" s="204"/>
      <c r="QXM32" s="204"/>
      <c r="QXN32" s="204"/>
      <c r="QXO32" s="204"/>
      <c r="QXP32" s="204"/>
      <c r="QXQ32" s="204"/>
      <c r="QXR32" s="204"/>
      <c r="QXS32" s="204"/>
      <c r="QXT32" s="204"/>
      <c r="QXU32" s="204"/>
      <c r="QXV32" s="204"/>
      <c r="QXW32" s="204"/>
      <c r="QXX32" s="204"/>
      <c r="QXY32" s="204"/>
      <c r="QXZ32" s="204"/>
      <c r="QYA32" s="204"/>
      <c r="QYB32" s="204"/>
      <c r="QYC32" s="204"/>
      <c r="QYD32" s="204"/>
      <c r="QYE32" s="204"/>
      <c r="QYF32" s="204"/>
      <c r="QYG32" s="204"/>
      <c r="QYH32" s="204"/>
      <c r="QYI32" s="204"/>
      <c r="QYJ32" s="204"/>
      <c r="QYK32" s="204"/>
      <c r="QYL32" s="204"/>
      <c r="QYM32" s="204"/>
      <c r="QYN32" s="204"/>
      <c r="QYO32" s="204"/>
      <c r="QYP32" s="204"/>
      <c r="QYQ32" s="204"/>
      <c r="QYR32" s="204"/>
      <c r="QYS32" s="204"/>
      <c r="QYT32" s="204"/>
      <c r="QYU32" s="204"/>
      <c r="QYV32" s="204"/>
      <c r="QYW32" s="204"/>
      <c r="QYX32" s="204"/>
      <c r="QYY32" s="204"/>
      <c r="QYZ32" s="204"/>
      <c r="QZA32" s="204"/>
      <c r="QZB32" s="204"/>
      <c r="QZC32" s="204"/>
      <c r="QZD32" s="204"/>
      <c r="QZE32" s="204"/>
      <c r="QZF32" s="204"/>
      <c r="QZG32" s="204"/>
      <c r="QZH32" s="204"/>
      <c r="QZI32" s="204"/>
      <c r="QZJ32" s="204"/>
      <c r="QZK32" s="204"/>
      <c r="QZL32" s="204"/>
      <c r="QZM32" s="204"/>
      <c r="QZN32" s="204"/>
      <c r="QZO32" s="204"/>
      <c r="QZP32" s="204"/>
      <c r="QZQ32" s="204"/>
      <c r="QZR32" s="204"/>
      <c r="QZS32" s="204"/>
      <c r="QZT32" s="204"/>
      <c r="QZU32" s="204"/>
      <c r="QZV32" s="204"/>
      <c r="QZW32" s="204"/>
      <c r="QZX32" s="204"/>
      <c r="QZY32" s="204"/>
      <c r="QZZ32" s="204"/>
      <c r="RAA32" s="204"/>
      <c r="RAB32" s="204"/>
      <c r="RAC32" s="204"/>
      <c r="RAD32" s="204"/>
      <c r="RAE32" s="204"/>
      <c r="RAF32" s="204"/>
      <c r="RAG32" s="204"/>
      <c r="RAH32" s="204"/>
      <c r="RAI32" s="204"/>
      <c r="RAJ32" s="204"/>
      <c r="RAK32" s="204"/>
      <c r="RAL32" s="204"/>
      <c r="RAM32" s="204"/>
      <c r="RAN32" s="204"/>
      <c r="RAO32" s="204"/>
      <c r="RAP32" s="204"/>
      <c r="RAQ32" s="204"/>
      <c r="RAR32" s="204"/>
      <c r="RAS32" s="204"/>
      <c r="RAT32" s="204"/>
      <c r="RAU32" s="204"/>
      <c r="RAV32" s="204"/>
      <c r="RAW32" s="204"/>
      <c r="RAX32" s="204"/>
      <c r="RAY32" s="204"/>
      <c r="RAZ32" s="204"/>
      <c r="RBA32" s="204"/>
      <c r="RBB32" s="204"/>
      <c r="RBC32" s="204"/>
      <c r="RBD32" s="204"/>
      <c r="RBE32" s="204"/>
      <c r="RBF32" s="204"/>
      <c r="RBG32" s="204"/>
      <c r="RBH32" s="204"/>
      <c r="RBI32" s="204"/>
      <c r="RBJ32" s="204"/>
      <c r="RBK32" s="204"/>
      <c r="RBL32" s="204"/>
      <c r="RBM32" s="204"/>
      <c r="RBN32" s="204"/>
      <c r="RBO32" s="204"/>
      <c r="RBP32" s="204"/>
      <c r="RBQ32" s="204"/>
      <c r="RBR32" s="204"/>
      <c r="RBS32" s="204"/>
      <c r="RBT32" s="204"/>
      <c r="RBU32" s="204"/>
      <c r="RBV32" s="204"/>
      <c r="RBW32" s="204"/>
      <c r="RBX32" s="204"/>
      <c r="RBY32" s="204"/>
      <c r="RBZ32" s="204"/>
      <c r="RCA32" s="204"/>
      <c r="RCB32" s="204"/>
      <c r="RCC32" s="204"/>
      <c r="RCD32" s="204"/>
      <c r="RCE32" s="204"/>
      <c r="RCF32" s="204"/>
      <c r="RCG32" s="204"/>
      <c r="RCH32" s="204"/>
      <c r="RCI32" s="204"/>
      <c r="RCJ32" s="204"/>
      <c r="RCK32" s="204"/>
      <c r="RCL32" s="204"/>
      <c r="RCM32" s="204"/>
      <c r="RCN32" s="204"/>
      <c r="RCO32" s="204"/>
      <c r="RCP32" s="204"/>
      <c r="RCQ32" s="204"/>
      <c r="RCR32" s="204"/>
      <c r="RCS32" s="204"/>
      <c r="RCT32" s="204"/>
      <c r="RCU32" s="204"/>
      <c r="RCV32" s="204"/>
      <c r="RCW32" s="204"/>
      <c r="RCX32" s="204"/>
      <c r="RCY32" s="204"/>
      <c r="RCZ32" s="204"/>
      <c r="RDA32" s="204"/>
      <c r="RDB32" s="204"/>
      <c r="RDC32" s="204"/>
      <c r="RDD32" s="204"/>
      <c r="RDE32" s="204"/>
      <c r="RDF32" s="204"/>
      <c r="RDG32" s="204"/>
      <c r="RDH32" s="204"/>
      <c r="RDI32" s="204"/>
      <c r="RDJ32" s="204"/>
      <c r="RDK32" s="204"/>
      <c r="RDL32" s="204"/>
      <c r="RDM32" s="204"/>
      <c r="RDN32" s="204"/>
      <c r="RDO32" s="204"/>
      <c r="RDP32" s="204"/>
      <c r="RDQ32" s="204"/>
      <c r="RDR32" s="204"/>
      <c r="RDS32" s="204"/>
      <c r="RDT32" s="204"/>
      <c r="RDU32" s="204"/>
      <c r="RDV32" s="204"/>
      <c r="RDW32" s="204"/>
      <c r="RDX32" s="204"/>
      <c r="RDY32" s="204"/>
      <c r="RDZ32" s="204"/>
      <c r="REA32" s="204"/>
      <c r="REB32" s="204"/>
      <c r="REC32" s="204"/>
      <c r="RED32" s="204"/>
      <c r="REE32" s="204"/>
      <c r="REF32" s="204"/>
      <c r="REG32" s="204"/>
      <c r="REH32" s="204"/>
      <c r="REI32" s="204"/>
      <c r="REJ32" s="204"/>
      <c r="REK32" s="204"/>
      <c r="REL32" s="204"/>
      <c r="REM32" s="204"/>
      <c r="REN32" s="204"/>
      <c r="REO32" s="204"/>
      <c r="REP32" s="204"/>
      <c r="REQ32" s="204"/>
      <c r="RER32" s="204"/>
      <c r="RES32" s="204"/>
      <c r="RET32" s="204"/>
      <c r="REU32" s="204"/>
      <c r="REV32" s="204"/>
      <c r="REW32" s="204"/>
      <c r="REX32" s="204"/>
      <c r="REY32" s="204"/>
      <c r="REZ32" s="204"/>
      <c r="RFA32" s="204"/>
      <c r="RFB32" s="204"/>
      <c r="RFC32" s="204"/>
      <c r="RFD32" s="204"/>
      <c r="RFE32" s="204"/>
      <c r="RFF32" s="204"/>
      <c r="RFG32" s="204"/>
      <c r="RFH32" s="204"/>
      <c r="RFI32" s="204"/>
      <c r="RFJ32" s="204"/>
      <c r="RFK32" s="204"/>
      <c r="RFL32" s="204"/>
      <c r="RFM32" s="204"/>
      <c r="RFN32" s="204"/>
      <c r="RFO32" s="204"/>
      <c r="RFP32" s="204"/>
      <c r="RFQ32" s="204"/>
      <c r="RFR32" s="204"/>
      <c r="RFS32" s="204"/>
      <c r="RFT32" s="204"/>
      <c r="RFU32" s="204"/>
      <c r="RFV32" s="204"/>
      <c r="RFW32" s="204"/>
      <c r="RFX32" s="204"/>
      <c r="RFY32" s="204"/>
      <c r="RFZ32" s="204"/>
      <c r="RGA32" s="204"/>
      <c r="RGB32" s="204"/>
      <c r="RGC32" s="204"/>
      <c r="RGD32" s="204"/>
      <c r="RGE32" s="204"/>
      <c r="RGF32" s="204"/>
      <c r="RGG32" s="204"/>
      <c r="RGH32" s="204"/>
      <c r="RGI32" s="204"/>
      <c r="RGJ32" s="204"/>
      <c r="RGK32" s="204"/>
      <c r="RGL32" s="204"/>
      <c r="RGM32" s="204"/>
      <c r="RGN32" s="204"/>
      <c r="RGO32" s="204"/>
      <c r="RGP32" s="204"/>
      <c r="RGQ32" s="204"/>
      <c r="RGR32" s="204"/>
      <c r="RGS32" s="204"/>
      <c r="RGT32" s="204"/>
      <c r="RGU32" s="204"/>
      <c r="RGV32" s="204"/>
      <c r="RGW32" s="204"/>
      <c r="RGX32" s="204"/>
      <c r="RGY32" s="204"/>
      <c r="RGZ32" s="204"/>
      <c r="RHA32" s="204"/>
      <c r="RHB32" s="204"/>
      <c r="RHC32" s="204"/>
      <c r="RHD32" s="204"/>
      <c r="RHE32" s="204"/>
      <c r="RHF32" s="204"/>
      <c r="RHG32" s="204"/>
      <c r="RHH32" s="204"/>
      <c r="RHI32" s="204"/>
      <c r="RHJ32" s="204"/>
      <c r="RHK32" s="204"/>
      <c r="RHL32" s="204"/>
      <c r="RHM32" s="204"/>
      <c r="RHN32" s="204"/>
      <c r="RHO32" s="204"/>
      <c r="RHP32" s="204"/>
      <c r="RHQ32" s="204"/>
      <c r="RHR32" s="204"/>
      <c r="RHS32" s="204"/>
      <c r="RHT32" s="204"/>
      <c r="RHU32" s="204"/>
      <c r="RHV32" s="204"/>
      <c r="RHW32" s="204"/>
      <c r="RHX32" s="204"/>
      <c r="RHY32" s="204"/>
      <c r="RHZ32" s="204"/>
      <c r="RIA32" s="204"/>
      <c r="RIB32" s="204"/>
      <c r="RIC32" s="204"/>
      <c r="RID32" s="204"/>
      <c r="RIE32" s="204"/>
      <c r="RIF32" s="204"/>
      <c r="RIG32" s="204"/>
      <c r="RIH32" s="204"/>
      <c r="RII32" s="204"/>
      <c r="RIJ32" s="204"/>
      <c r="RIK32" s="204"/>
      <c r="RIL32" s="204"/>
      <c r="RIM32" s="204"/>
      <c r="RIN32" s="204"/>
      <c r="RIO32" s="204"/>
      <c r="RIP32" s="204"/>
      <c r="RIQ32" s="204"/>
      <c r="RIR32" s="204"/>
      <c r="RIS32" s="204"/>
      <c r="RIT32" s="204"/>
      <c r="RIU32" s="204"/>
      <c r="RIV32" s="204"/>
      <c r="RIW32" s="204"/>
      <c r="RIX32" s="204"/>
      <c r="RIY32" s="204"/>
      <c r="RIZ32" s="204"/>
      <c r="RJA32" s="204"/>
      <c r="RJB32" s="204"/>
      <c r="RJC32" s="204"/>
      <c r="RJD32" s="204"/>
      <c r="RJE32" s="204"/>
      <c r="RJF32" s="204"/>
      <c r="RJG32" s="204"/>
      <c r="RJH32" s="204"/>
      <c r="RJI32" s="204"/>
      <c r="RJJ32" s="204"/>
      <c r="RJK32" s="204"/>
      <c r="RJL32" s="204"/>
      <c r="RJM32" s="204"/>
      <c r="RJN32" s="204"/>
      <c r="RJO32" s="204"/>
      <c r="RJP32" s="204"/>
      <c r="RJQ32" s="204"/>
      <c r="RJR32" s="204"/>
      <c r="RJS32" s="204"/>
      <c r="RJT32" s="204"/>
      <c r="RJU32" s="204"/>
      <c r="RJV32" s="204"/>
      <c r="RJW32" s="204"/>
      <c r="RJX32" s="204"/>
      <c r="RJY32" s="204"/>
      <c r="RJZ32" s="204"/>
      <c r="RKA32" s="204"/>
      <c r="RKB32" s="204"/>
      <c r="RKC32" s="204"/>
      <c r="RKD32" s="204"/>
      <c r="RKE32" s="204"/>
      <c r="RKF32" s="204"/>
      <c r="RKG32" s="204"/>
      <c r="RKH32" s="204"/>
      <c r="RKI32" s="204"/>
      <c r="RKJ32" s="204"/>
      <c r="RKK32" s="204"/>
      <c r="RKL32" s="204"/>
      <c r="RKM32" s="204"/>
      <c r="RKN32" s="204"/>
      <c r="RKO32" s="204"/>
      <c r="RKP32" s="204"/>
      <c r="RKQ32" s="204"/>
      <c r="RKR32" s="204"/>
      <c r="RKS32" s="204"/>
      <c r="RKT32" s="204"/>
      <c r="RKU32" s="204"/>
      <c r="RKV32" s="204"/>
      <c r="RKW32" s="204"/>
      <c r="RKX32" s="204"/>
      <c r="RKY32" s="204"/>
      <c r="RKZ32" s="204"/>
      <c r="RLA32" s="204"/>
      <c r="RLB32" s="204"/>
      <c r="RLC32" s="204"/>
      <c r="RLD32" s="204"/>
      <c r="RLE32" s="204"/>
      <c r="RLF32" s="204"/>
      <c r="RLG32" s="204"/>
      <c r="RLH32" s="204"/>
      <c r="RLI32" s="204"/>
      <c r="RLJ32" s="204"/>
      <c r="RLK32" s="204"/>
      <c r="RLL32" s="204"/>
      <c r="RLM32" s="204"/>
      <c r="RLN32" s="204"/>
      <c r="RLO32" s="204"/>
      <c r="RLP32" s="204"/>
      <c r="RLQ32" s="204"/>
      <c r="RLR32" s="204"/>
      <c r="RLS32" s="204"/>
      <c r="RLT32" s="204"/>
      <c r="RLU32" s="204"/>
      <c r="RLV32" s="204"/>
      <c r="RLW32" s="204"/>
      <c r="RLX32" s="204"/>
      <c r="RLY32" s="204"/>
      <c r="RLZ32" s="204"/>
      <c r="RMA32" s="204"/>
      <c r="RMB32" s="204"/>
      <c r="RMC32" s="204"/>
      <c r="RMD32" s="204"/>
      <c r="RME32" s="204"/>
      <c r="RMF32" s="204"/>
      <c r="RMG32" s="204"/>
      <c r="RMH32" s="204"/>
      <c r="RMI32" s="204"/>
      <c r="RMJ32" s="204"/>
      <c r="RMK32" s="204"/>
      <c r="RML32" s="204"/>
      <c r="RMM32" s="204"/>
      <c r="RMN32" s="204"/>
      <c r="RMO32" s="204"/>
      <c r="RMP32" s="204"/>
      <c r="RMQ32" s="204"/>
      <c r="RMR32" s="204"/>
      <c r="RMS32" s="204"/>
      <c r="RMT32" s="204"/>
      <c r="RMU32" s="204"/>
      <c r="RMV32" s="204"/>
      <c r="RMW32" s="204"/>
      <c r="RMX32" s="204"/>
      <c r="RMY32" s="204"/>
      <c r="RMZ32" s="204"/>
      <c r="RNA32" s="204"/>
      <c r="RNB32" s="204"/>
      <c r="RNC32" s="204"/>
      <c r="RND32" s="204"/>
      <c r="RNE32" s="204"/>
      <c r="RNF32" s="204"/>
      <c r="RNG32" s="204"/>
      <c r="RNH32" s="204"/>
      <c r="RNI32" s="204"/>
      <c r="RNJ32" s="204"/>
      <c r="RNK32" s="204"/>
      <c r="RNL32" s="204"/>
      <c r="RNM32" s="204"/>
      <c r="RNN32" s="204"/>
      <c r="RNO32" s="204"/>
      <c r="RNP32" s="204"/>
      <c r="RNQ32" s="204"/>
      <c r="RNR32" s="204"/>
      <c r="RNS32" s="204"/>
      <c r="RNT32" s="204"/>
      <c r="RNU32" s="204"/>
      <c r="RNV32" s="204"/>
      <c r="RNW32" s="204"/>
      <c r="RNX32" s="204"/>
      <c r="RNY32" s="204"/>
      <c r="RNZ32" s="204"/>
      <c r="ROA32" s="204"/>
      <c r="ROB32" s="204"/>
      <c r="ROC32" s="204"/>
      <c r="ROD32" s="204"/>
      <c r="ROE32" s="204"/>
      <c r="ROF32" s="204"/>
      <c r="ROG32" s="204"/>
      <c r="ROH32" s="204"/>
      <c r="ROI32" s="204"/>
      <c r="ROJ32" s="204"/>
      <c r="ROK32" s="204"/>
      <c r="ROL32" s="204"/>
      <c r="ROM32" s="204"/>
      <c r="RON32" s="204"/>
      <c r="ROO32" s="204"/>
      <c r="ROP32" s="204"/>
      <c r="ROQ32" s="204"/>
      <c r="ROR32" s="204"/>
      <c r="ROS32" s="204"/>
      <c r="ROT32" s="204"/>
      <c r="ROU32" s="204"/>
      <c r="ROV32" s="204"/>
      <c r="ROW32" s="204"/>
      <c r="ROX32" s="204"/>
      <c r="ROY32" s="204"/>
      <c r="ROZ32" s="204"/>
      <c r="RPA32" s="204"/>
      <c r="RPB32" s="204"/>
      <c r="RPC32" s="204"/>
      <c r="RPD32" s="204"/>
      <c r="RPE32" s="204"/>
      <c r="RPF32" s="204"/>
      <c r="RPG32" s="204"/>
      <c r="RPH32" s="204"/>
      <c r="RPI32" s="204"/>
      <c r="RPJ32" s="204"/>
      <c r="RPK32" s="204"/>
      <c r="RPL32" s="204"/>
      <c r="RPM32" s="204"/>
      <c r="RPN32" s="204"/>
      <c r="RPO32" s="204"/>
      <c r="RPP32" s="204"/>
      <c r="RPQ32" s="204"/>
      <c r="RPR32" s="204"/>
      <c r="RPS32" s="204"/>
      <c r="RPT32" s="204"/>
      <c r="RPU32" s="204"/>
      <c r="RPV32" s="204"/>
      <c r="RPW32" s="204"/>
      <c r="RPX32" s="204"/>
      <c r="RPY32" s="204"/>
      <c r="RPZ32" s="204"/>
      <c r="RQA32" s="204"/>
      <c r="RQB32" s="204"/>
      <c r="RQC32" s="204"/>
      <c r="RQD32" s="204"/>
      <c r="RQE32" s="204"/>
      <c r="RQF32" s="204"/>
      <c r="RQG32" s="204"/>
      <c r="RQH32" s="204"/>
      <c r="RQI32" s="204"/>
      <c r="RQJ32" s="204"/>
      <c r="RQK32" s="204"/>
      <c r="RQL32" s="204"/>
      <c r="RQM32" s="204"/>
      <c r="RQN32" s="204"/>
      <c r="RQO32" s="204"/>
      <c r="RQP32" s="204"/>
      <c r="RQQ32" s="204"/>
      <c r="RQR32" s="204"/>
      <c r="RQS32" s="204"/>
      <c r="RQT32" s="204"/>
      <c r="RQU32" s="204"/>
      <c r="RQV32" s="204"/>
      <c r="RQW32" s="204"/>
      <c r="RQX32" s="204"/>
      <c r="RQY32" s="204"/>
      <c r="RQZ32" s="204"/>
      <c r="RRA32" s="204"/>
      <c r="RRB32" s="204"/>
      <c r="RRC32" s="204"/>
      <c r="RRD32" s="204"/>
      <c r="RRE32" s="204"/>
      <c r="RRF32" s="204"/>
      <c r="RRG32" s="204"/>
      <c r="RRH32" s="204"/>
      <c r="RRI32" s="204"/>
      <c r="RRJ32" s="204"/>
      <c r="RRK32" s="204"/>
      <c r="RRL32" s="204"/>
      <c r="RRM32" s="204"/>
      <c r="RRN32" s="204"/>
      <c r="RRO32" s="204"/>
      <c r="RRP32" s="204"/>
      <c r="RRQ32" s="204"/>
      <c r="RRR32" s="204"/>
      <c r="RRS32" s="204"/>
      <c r="RRT32" s="204"/>
      <c r="RRU32" s="204"/>
      <c r="RRV32" s="204"/>
      <c r="RRW32" s="204"/>
      <c r="RRX32" s="204"/>
      <c r="RRY32" s="204"/>
      <c r="RRZ32" s="204"/>
      <c r="RSA32" s="204"/>
      <c r="RSB32" s="204"/>
      <c r="RSC32" s="204"/>
      <c r="RSD32" s="204"/>
      <c r="RSE32" s="204"/>
      <c r="RSF32" s="204"/>
      <c r="RSG32" s="204"/>
      <c r="RSH32" s="204"/>
      <c r="RSI32" s="204"/>
      <c r="RSJ32" s="204"/>
      <c r="RSK32" s="204"/>
      <c r="RSL32" s="204"/>
      <c r="RSM32" s="204"/>
      <c r="RSN32" s="204"/>
      <c r="RSO32" s="204"/>
      <c r="RSP32" s="204"/>
      <c r="RSQ32" s="204"/>
      <c r="RSR32" s="204"/>
      <c r="RSS32" s="204"/>
      <c r="RST32" s="204"/>
      <c r="RSU32" s="204"/>
      <c r="RSV32" s="204"/>
      <c r="RSW32" s="204"/>
      <c r="RSX32" s="204"/>
      <c r="RSY32" s="204"/>
      <c r="RSZ32" s="204"/>
      <c r="RTA32" s="204"/>
      <c r="RTB32" s="204"/>
      <c r="RTC32" s="204"/>
      <c r="RTD32" s="204"/>
      <c r="RTE32" s="204"/>
      <c r="RTF32" s="204"/>
      <c r="RTG32" s="204"/>
      <c r="RTH32" s="204"/>
      <c r="RTI32" s="204"/>
      <c r="RTJ32" s="204"/>
      <c r="RTK32" s="204"/>
      <c r="RTL32" s="204"/>
      <c r="RTM32" s="204"/>
      <c r="RTN32" s="204"/>
      <c r="RTO32" s="204"/>
      <c r="RTP32" s="204"/>
      <c r="RTQ32" s="204"/>
      <c r="RTR32" s="204"/>
      <c r="RTS32" s="204"/>
      <c r="RTT32" s="204"/>
      <c r="RTU32" s="204"/>
      <c r="RTV32" s="204"/>
      <c r="RTW32" s="204"/>
      <c r="RTX32" s="204"/>
      <c r="RTY32" s="204"/>
      <c r="RTZ32" s="204"/>
      <c r="RUA32" s="204"/>
      <c r="RUB32" s="204"/>
      <c r="RUC32" s="204"/>
      <c r="RUD32" s="204"/>
      <c r="RUE32" s="204"/>
      <c r="RUF32" s="204"/>
      <c r="RUG32" s="204"/>
      <c r="RUH32" s="204"/>
      <c r="RUI32" s="204"/>
      <c r="RUJ32" s="204"/>
      <c r="RUK32" s="204"/>
      <c r="RUL32" s="204"/>
      <c r="RUM32" s="204"/>
      <c r="RUN32" s="204"/>
      <c r="RUO32" s="204"/>
      <c r="RUP32" s="204"/>
      <c r="RUQ32" s="204"/>
      <c r="RUR32" s="204"/>
      <c r="RUS32" s="204"/>
      <c r="RUT32" s="204"/>
      <c r="RUU32" s="204"/>
      <c r="RUV32" s="204"/>
      <c r="RUW32" s="204"/>
      <c r="RUX32" s="204"/>
      <c r="RUY32" s="204"/>
      <c r="RUZ32" s="204"/>
      <c r="RVA32" s="204"/>
      <c r="RVB32" s="204"/>
      <c r="RVC32" s="204"/>
      <c r="RVD32" s="204"/>
      <c r="RVE32" s="204"/>
      <c r="RVF32" s="204"/>
      <c r="RVG32" s="204"/>
      <c r="RVH32" s="204"/>
      <c r="RVI32" s="204"/>
      <c r="RVJ32" s="204"/>
      <c r="RVK32" s="204"/>
      <c r="RVL32" s="204"/>
      <c r="RVM32" s="204"/>
      <c r="RVN32" s="204"/>
      <c r="RVO32" s="204"/>
      <c r="RVP32" s="204"/>
      <c r="RVQ32" s="204"/>
      <c r="RVR32" s="204"/>
      <c r="RVS32" s="204"/>
      <c r="RVT32" s="204"/>
      <c r="RVU32" s="204"/>
      <c r="RVV32" s="204"/>
      <c r="RVW32" s="204"/>
      <c r="RVX32" s="204"/>
      <c r="RVY32" s="204"/>
      <c r="RVZ32" s="204"/>
      <c r="RWA32" s="204"/>
      <c r="RWB32" s="204"/>
      <c r="RWC32" s="204"/>
      <c r="RWD32" s="204"/>
      <c r="RWE32" s="204"/>
      <c r="RWF32" s="204"/>
      <c r="RWG32" s="204"/>
      <c r="RWH32" s="204"/>
      <c r="RWI32" s="204"/>
      <c r="RWJ32" s="204"/>
      <c r="RWK32" s="204"/>
      <c r="RWL32" s="204"/>
      <c r="RWM32" s="204"/>
      <c r="RWN32" s="204"/>
      <c r="RWO32" s="204"/>
      <c r="RWP32" s="204"/>
      <c r="RWQ32" s="204"/>
      <c r="RWR32" s="204"/>
      <c r="RWS32" s="204"/>
      <c r="RWT32" s="204"/>
      <c r="RWU32" s="204"/>
      <c r="RWV32" s="204"/>
      <c r="RWW32" s="204"/>
      <c r="RWX32" s="204"/>
      <c r="RWY32" s="204"/>
      <c r="RWZ32" s="204"/>
      <c r="RXA32" s="204"/>
      <c r="RXB32" s="204"/>
      <c r="RXC32" s="204"/>
      <c r="RXD32" s="204"/>
      <c r="RXE32" s="204"/>
      <c r="RXF32" s="204"/>
      <c r="RXG32" s="204"/>
      <c r="RXH32" s="204"/>
      <c r="RXI32" s="204"/>
      <c r="RXJ32" s="204"/>
      <c r="RXK32" s="204"/>
      <c r="RXL32" s="204"/>
      <c r="RXM32" s="204"/>
      <c r="RXN32" s="204"/>
      <c r="RXO32" s="204"/>
      <c r="RXP32" s="204"/>
      <c r="RXQ32" s="204"/>
      <c r="RXR32" s="204"/>
      <c r="RXS32" s="204"/>
      <c r="RXT32" s="204"/>
      <c r="RXU32" s="204"/>
      <c r="RXV32" s="204"/>
      <c r="RXW32" s="204"/>
      <c r="RXX32" s="204"/>
      <c r="RXY32" s="204"/>
      <c r="RXZ32" s="204"/>
      <c r="RYA32" s="204"/>
      <c r="RYB32" s="204"/>
      <c r="RYC32" s="204"/>
      <c r="RYD32" s="204"/>
      <c r="RYE32" s="204"/>
      <c r="RYF32" s="204"/>
      <c r="RYG32" s="204"/>
      <c r="RYH32" s="204"/>
      <c r="RYI32" s="204"/>
      <c r="RYJ32" s="204"/>
      <c r="RYK32" s="204"/>
      <c r="RYL32" s="204"/>
      <c r="RYM32" s="204"/>
      <c r="RYN32" s="204"/>
      <c r="RYO32" s="204"/>
      <c r="RYP32" s="204"/>
      <c r="RYQ32" s="204"/>
      <c r="RYR32" s="204"/>
      <c r="RYS32" s="204"/>
      <c r="RYT32" s="204"/>
      <c r="RYU32" s="204"/>
      <c r="RYV32" s="204"/>
      <c r="RYW32" s="204"/>
      <c r="RYX32" s="204"/>
      <c r="RYY32" s="204"/>
      <c r="RYZ32" s="204"/>
      <c r="RZA32" s="204"/>
      <c r="RZB32" s="204"/>
      <c r="RZC32" s="204"/>
      <c r="RZD32" s="204"/>
      <c r="RZE32" s="204"/>
      <c r="RZF32" s="204"/>
      <c r="RZG32" s="204"/>
      <c r="RZH32" s="204"/>
      <c r="RZI32" s="204"/>
      <c r="RZJ32" s="204"/>
      <c r="RZK32" s="204"/>
      <c r="RZL32" s="204"/>
      <c r="RZM32" s="204"/>
      <c r="RZN32" s="204"/>
      <c r="RZO32" s="204"/>
      <c r="RZP32" s="204"/>
      <c r="RZQ32" s="204"/>
      <c r="RZR32" s="204"/>
      <c r="RZS32" s="204"/>
      <c r="RZT32" s="204"/>
      <c r="RZU32" s="204"/>
      <c r="RZV32" s="204"/>
      <c r="RZW32" s="204"/>
      <c r="RZX32" s="204"/>
      <c r="RZY32" s="204"/>
      <c r="RZZ32" s="204"/>
      <c r="SAA32" s="204"/>
      <c r="SAB32" s="204"/>
      <c r="SAC32" s="204"/>
      <c r="SAD32" s="204"/>
      <c r="SAE32" s="204"/>
      <c r="SAF32" s="204"/>
      <c r="SAG32" s="204"/>
      <c r="SAH32" s="204"/>
      <c r="SAI32" s="204"/>
      <c r="SAJ32" s="204"/>
      <c r="SAK32" s="204"/>
      <c r="SAL32" s="204"/>
      <c r="SAM32" s="204"/>
      <c r="SAN32" s="204"/>
      <c r="SAO32" s="204"/>
      <c r="SAP32" s="204"/>
      <c r="SAQ32" s="204"/>
      <c r="SAR32" s="204"/>
      <c r="SAS32" s="204"/>
      <c r="SAT32" s="204"/>
      <c r="SAU32" s="204"/>
      <c r="SAV32" s="204"/>
      <c r="SAW32" s="204"/>
      <c r="SAX32" s="204"/>
      <c r="SAY32" s="204"/>
      <c r="SAZ32" s="204"/>
      <c r="SBA32" s="204"/>
      <c r="SBB32" s="204"/>
      <c r="SBC32" s="204"/>
      <c r="SBD32" s="204"/>
      <c r="SBE32" s="204"/>
      <c r="SBF32" s="204"/>
      <c r="SBG32" s="204"/>
      <c r="SBH32" s="204"/>
      <c r="SBI32" s="204"/>
      <c r="SBJ32" s="204"/>
      <c r="SBK32" s="204"/>
      <c r="SBL32" s="204"/>
      <c r="SBM32" s="204"/>
      <c r="SBN32" s="204"/>
      <c r="SBO32" s="204"/>
      <c r="SBP32" s="204"/>
      <c r="SBQ32" s="204"/>
      <c r="SBR32" s="204"/>
      <c r="SBS32" s="204"/>
      <c r="SBT32" s="204"/>
      <c r="SBU32" s="204"/>
      <c r="SBV32" s="204"/>
      <c r="SBW32" s="204"/>
      <c r="SBX32" s="204"/>
      <c r="SBY32" s="204"/>
      <c r="SBZ32" s="204"/>
      <c r="SCA32" s="204"/>
      <c r="SCB32" s="204"/>
      <c r="SCC32" s="204"/>
      <c r="SCD32" s="204"/>
      <c r="SCE32" s="204"/>
      <c r="SCF32" s="204"/>
      <c r="SCG32" s="204"/>
      <c r="SCH32" s="204"/>
      <c r="SCI32" s="204"/>
      <c r="SCJ32" s="204"/>
      <c r="SCK32" s="204"/>
      <c r="SCL32" s="204"/>
      <c r="SCM32" s="204"/>
      <c r="SCN32" s="204"/>
      <c r="SCO32" s="204"/>
      <c r="SCP32" s="204"/>
      <c r="SCQ32" s="204"/>
      <c r="SCR32" s="204"/>
      <c r="SCS32" s="204"/>
      <c r="SCT32" s="204"/>
      <c r="SCU32" s="204"/>
      <c r="SCV32" s="204"/>
      <c r="SCW32" s="204"/>
      <c r="SCX32" s="204"/>
      <c r="SCY32" s="204"/>
      <c r="SCZ32" s="204"/>
      <c r="SDA32" s="204"/>
      <c r="SDB32" s="204"/>
      <c r="SDC32" s="204"/>
      <c r="SDD32" s="204"/>
      <c r="SDE32" s="204"/>
      <c r="SDF32" s="204"/>
      <c r="SDG32" s="204"/>
      <c r="SDH32" s="204"/>
      <c r="SDI32" s="204"/>
      <c r="SDJ32" s="204"/>
      <c r="SDK32" s="204"/>
      <c r="SDL32" s="204"/>
      <c r="SDM32" s="204"/>
      <c r="SDN32" s="204"/>
      <c r="SDO32" s="204"/>
      <c r="SDP32" s="204"/>
      <c r="SDQ32" s="204"/>
      <c r="SDR32" s="204"/>
      <c r="SDS32" s="204"/>
      <c r="SDT32" s="204"/>
      <c r="SDU32" s="204"/>
      <c r="SDV32" s="204"/>
      <c r="SDW32" s="204"/>
      <c r="SDX32" s="204"/>
      <c r="SDY32" s="204"/>
      <c r="SDZ32" s="204"/>
      <c r="SEA32" s="204"/>
      <c r="SEB32" s="204"/>
      <c r="SEC32" s="204"/>
      <c r="SED32" s="204"/>
      <c r="SEE32" s="204"/>
      <c r="SEF32" s="204"/>
      <c r="SEG32" s="204"/>
      <c r="SEH32" s="204"/>
      <c r="SEI32" s="204"/>
      <c r="SEJ32" s="204"/>
      <c r="SEK32" s="204"/>
      <c r="SEL32" s="204"/>
      <c r="SEM32" s="204"/>
      <c r="SEN32" s="204"/>
      <c r="SEO32" s="204"/>
      <c r="SEP32" s="204"/>
      <c r="SEQ32" s="204"/>
      <c r="SER32" s="204"/>
      <c r="SES32" s="204"/>
      <c r="SET32" s="204"/>
      <c r="SEU32" s="204"/>
      <c r="SEV32" s="204"/>
      <c r="SEW32" s="204"/>
      <c r="SEX32" s="204"/>
      <c r="SEY32" s="204"/>
      <c r="SEZ32" s="204"/>
      <c r="SFA32" s="204"/>
      <c r="SFB32" s="204"/>
      <c r="SFC32" s="204"/>
      <c r="SFD32" s="204"/>
      <c r="SFE32" s="204"/>
      <c r="SFF32" s="204"/>
      <c r="SFG32" s="204"/>
      <c r="SFH32" s="204"/>
      <c r="SFI32" s="204"/>
      <c r="SFJ32" s="204"/>
      <c r="SFK32" s="204"/>
      <c r="SFL32" s="204"/>
      <c r="SFM32" s="204"/>
      <c r="SFN32" s="204"/>
      <c r="SFO32" s="204"/>
      <c r="SFP32" s="204"/>
      <c r="SFQ32" s="204"/>
      <c r="SFR32" s="204"/>
      <c r="SFS32" s="204"/>
      <c r="SFT32" s="204"/>
      <c r="SFU32" s="204"/>
      <c r="SFV32" s="204"/>
      <c r="SFW32" s="204"/>
      <c r="SFX32" s="204"/>
      <c r="SFY32" s="204"/>
      <c r="SFZ32" s="204"/>
      <c r="SGA32" s="204"/>
      <c r="SGB32" s="204"/>
      <c r="SGC32" s="204"/>
      <c r="SGD32" s="204"/>
      <c r="SGE32" s="204"/>
      <c r="SGF32" s="204"/>
      <c r="SGG32" s="204"/>
      <c r="SGH32" s="204"/>
      <c r="SGI32" s="204"/>
      <c r="SGJ32" s="204"/>
      <c r="SGK32" s="204"/>
      <c r="SGL32" s="204"/>
      <c r="SGM32" s="204"/>
      <c r="SGN32" s="204"/>
      <c r="SGO32" s="204"/>
      <c r="SGP32" s="204"/>
      <c r="SGQ32" s="204"/>
      <c r="SGR32" s="204"/>
      <c r="SGS32" s="204"/>
      <c r="SGT32" s="204"/>
      <c r="SGU32" s="204"/>
      <c r="SGV32" s="204"/>
      <c r="SGW32" s="204"/>
      <c r="SGX32" s="204"/>
      <c r="SGY32" s="204"/>
      <c r="SGZ32" s="204"/>
      <c r="SHA32" s="204"/>
      <c r="SHB32" s="204"/>
      <c r="SHC32" s="204"/>
      <c r="SHD32" s="204"/>
      <c r="SHE32" s="204"/>
      <c r="SHF32" s="204"/>
      <c r="SHG32" s="204"/>
      <c r="SHH32" s="204"/>
      <c r="SHI32" s="204"/>
      <c r="SHJ32" s="204"/>
      <c r="SHK32" s="204"/>
      <c r="SHL32" s="204"/>
      <c r="SHM32" s="204"/>
      <c r="SHN32" s="204"/>
      <c r="SHO32" s="204"/>
      <c r="SHP32" s="204"/>
      <c r="SHQ32" s="204"/>
      <c r="SHR32" s="204"/>
      <c r="SHS32" s="204"/>
      <c r="SHT32" s="204"/>
      <c r="SHU32" s="204"/>
      <c r="SHV32" s="204"/>
      <c r="SHW32" s="204"/>
      <c r="SHX32" s="204"/>
      <c r="SHY32" s="204"/>
      <c r="SHZ32" s="204"/>
      <c r="SIA32" s="204"/>
      <c r="SIB32" s="204"/>
      <c r="SIC32" s="204"/>
      <c r="SID32" s="204"/>
      <c r="SIE32" s="204"/>
      <c r="SIF32" s="204"/>
      <c r="SIG32" s="204"/>
      <c r="SIH32" s="204"/>
      <c r="SII32" s="204"/>
      <c r="SIJ32" s="204"/>
      <c r="SIK32" s="204"/>
      <c r="SIL32" s="204"/>
      <c r="SIM32" s="204"/>
      <c r="SIN32" s="204"/>
      <c r="SIO32" s="204"/>
      <c r="SIP32" s="204"/>
      <c r="SIQ32" s="204"/>
      <c r="SIR32" s="204"/>
      <c r="SIS32" s="204"/>
      <c r="SIT32" s="204"/>
      <c r="SIU32" s="204"/>
      <c r="SIV32" s="204"/>
      <c r="SIW32" s="204"/>
      <c r="SIX32" s="204"/>
      <c r="SIY32" s="204"/>
      <c r="SIZ32" s="204"/>
      <c r="SJA32" s="204"/>
      <c r="SJB32" s="204"/>
      <c r="SJC32" s="204"/>
      <c r="SJD32" s="204"/>
      <c r="SJE32" s="204"/>
      <c r="SJF32" s="204"/>
      <c r="SJG32" s="204"/>
      <c r="SJH32" s="204"/>
      <c r="SJI32" s="204"/>
      <c r="SJJ32" s="204"/>
      <c r="SJK32" s="204"/>
      <c r="SJL32" s="204"/>
      <c r="SJM32" s="204"/>
      <c r="SJN32" s="204"/>
      <c r="SJO32" s="204"/>
      <c r="SJP32" s="204"/>
      <c r="SJQ32" s="204"/>
      <c r="SJR32" s="204"/>
      <c r="SJS32" s="204"/>
      <c r="SJT32" s="204"/>
      <c r="SJU32" s="204"/>
      <c r="SJV32" s="204"/>
      <c r="SJW32" s="204"/>
      <c r="SJX32" s="204"/>
      <c r="SJY32" s="204"/>
      <c r="SJZ32" s="204"/>
      <c r="SKA32" s="204"/>
      <c r="SKB32" s="204"/>
      <c r="SKC32" s="204"/>
      <c r="SKD32" s="204"/>
      <c r="SKE32" s="204"/>
      <c r="SKF32" s="204"/>
      <c r="SKG32" s="204"/>
      <c r="SKH32" s="204"/>
      <c r="SKI32" s="204"/>
      <c r="SKJ32" s="204"/>
      <c r="SKK32" s="204"/>
      <c r="SKL32" s="204"/>
      <c r="SKM32" s="204"/>
      <c r="SKN32" s="204"/>
      <c r="SKO32" s="204"/>
      <c r="SKP32" s="204"/>
      <c r="SKQ32" s="204"/>
      <c r="SKR32" s="204"/>
      <c r="SKS32" s="204"/>
      <c r="SKT32" s="204"/>
      <c r="SKU32" s="204"/>
      <c r="SKV32" s="204"/>
      <c r="SKW32" s="204"/>
      <c r="SKX32" s="204"/>
      <c r="SKY32" s="204"/>
      <c r="SKZ32" s="204"/>
      <c r="SLA32" s="204"/>
      <c r="SLB32" s="204"/>
      <c r="SLC32" s="204"/>
      <c r="SLD32" s="204"/>
      <c r="SLE32" s="204"/>
      <c r="SLF32" s="204"/>
      <c r="SLG32" s="204"/>
      <c r="SLH32" s="204"/>
      <c r="SLI32" s="204"/>
      <c r="SLJ32" s="204"/>
      <c r="SLK32" s="204"/>
      <c r="SLL32" s="204"/>
      <c r="SLM32" s="204"/>
      <c r="SLN32" s="204"/>
      <c r="SLO32" s="204"/>
      <c r="SLP32" s="204"/>
      <c r="SLQ32" s="204"/>
      <c r="SLR32" s="204"/>
      <c r="SLS32" s="204"/>
      <c r="SLT32" s="204"/>
      <c r="SLU32" s="204"/>
      <c r="SLV32" s="204"/>
      <c r="SLW32" s="204"/>
      <c r="SLX32" s="204"/>
      <c r="SLY32" s="204"/>
      <c r="SLZ32" s="204"/>
      <c r="SMA32" s="204"/>
      <c r="SMB32" s="204"/>
      <c r="SMC32" s="204"/>
      <c r="SMD32" s="204"/>
      <c r="SME32" s="204"/>
      <c r="SMF32" s="204"/>
      <c r="SMG32" s="204"/>
      <c r="SMH32" s="204"/>
      <c r="SMI32" s="204"/>
      <c r="SMJ32" s="204"/>
      <c r="SMK32" s="204"/>
      <c r="SML32" s="204"/>
      <c r="SMM32" s="204"/>
      <c r="SMN32" s="204"/>
      <c r="SMO32" s="204"/>
      <c r="SMP32" s="204"/>
      <c r="SMQ32" s="204"/>
      <c r="SMR32" s="204"/>
      <c r="SMS32" s="204"/>
      <c r="SMT32" s="204"/>
      <c r="SMU32" s="204"/>
      <c r="SMV32" s="204"/>
      <c r="SMW32" s="204"/>
      <c r="SMX32" s="204"/>
      <c r="SMY32" s="204"/>
      <c r="SMZ32" s="204"/>
      <c r="SNA32" s="204"/>
      <c r="SNB32" s="204"/>
      <c r="SNC32" s="204"/>
      <c r="SND32" s="204"/>
      <c r="SNE32" s="204"/>
      <c r="SNF32" s="204"/>
      <c r="SNG32" s="204"/>
      <c r="SNH32" s="204"/>
      <c r="SNI32" s="204"/>
      <c r="SNJ32" s="204"/>
      <c r="SNK32" s="204"/>
      <c r="SNL32" s="204"/>
      <c r="SNM32" s="204"/>
      <c r="SNN32" s="204"/>
      <c r="SNO32" s="204"/>
      <c r="SNP32" s="204"/>
      <c r="SNQ32" s="204"/>
      <c r="SNR32" s="204"/>
      <c r="SNS32" s="204"/>
      <c r="SNT32" s="204"/>
      <c r="SNU32" s="204"/>
      <c r="SNV32" s="204"/>
      <c r="SNW32" s="204"/>
      <c r="SNX32" s="204"/>
      <c r="SNY32" s="204"/>
      <c r="SNZ32" s="204"/>
      <c r="SOA32" s="204"/>
      <c r="SOB32" s="204"/>
      <c r="SOC32" s="204"/>
      <c r="SOD32" s="204"/>
      <c r="SOE32" s="204"/>
      <c r="SOF32" s="204"/>
      <c r="SOG32" s="204"/>
      <c r="SOH32" s="204"/>
      <c r="SOI32" s="204"/>
      <c r="SOJ32" s="204"/>
      <c r="SOK32" s="204"/>
      <c r="SOL32" s="204"/>
      <c r="SOM32" s="204"/>
      <c r="SON32" s="204"/>
      <c r="SOO32" s="204"/>
      <c r="SOP32" s="204"/>
      <c r="SOQ32" s="204"/>
      <c r="SOR32" s="204"/>
      <c r="SOS32" s="204"/>
      <c r="SOT32" s="204"/>
      <c r="SOU32" s="204"/>
      <c r="SOV32" s="204"/>
      <c r="SOW32" s="204"/>
      <c r="SOX32" s="204"/>
      <c r="SOY32" s="204"/>
      <c r="SOZ32" s="204"/>
      <c r="SPA32" s="204"/>
      <c r="SPB32" s="204"/>
      <c r="SPC32" s="204"/>
      <c r="SPD32" s="204"/>
      <c r="SPE32" s="204"/>
      <c r="SPF32" s="204"/>
      <c r="SPG32" s="204"/>
      <c r="SPH32" s="204"/>
      <c r="SPI32" s="204"/>
      <c r="SPJ32" s="204"/>
      <c r="SPK32" s="204"/>
      <c r="SPL32" s="204"/>
      <c r="SPM32" s="204"/>
      <c r="SPN32" s="204"/>
      <c r="SPO32" s="204"/>
      <c r="SPP32" s="204"/>
      <c r="SPQ32" s="204"/>
      <c r="SPR32" s="204"/>
      <c r="SPS32" s="204"/>
      <c r="SPT32" s="204"/>
      <c r="SPU32" s="204"/>
      <c r="SPV32" s="204"/>
      <c r="SPW32" s="204"/>
      <c r="SPX32" s="204"/>
      <c r="SPY32" s="204"/>
      <c r="SPZ32" s="204"/>
      <c r="SQA32" s="204"/>
      <c r="SQB32" s="204"/>
      <c r="SQC32" s="204"/>
      <c r="SQD32" s="204"/>
      <c r="SQE32" s="204"/>
      <c r="SQF32" s="204"/>
      <c r="SQG32" s="204"/>
      <c r="SQH32" s="204"/>
      <c r="SQI32" s="204"/>
      <c r="SQJ32" s="204"/>
      <c r="SQK32" s="204"/>
      <c r="SQL32" s="204"/>
      <c r="SQM32" s="204"/>
      <c r="SQN32" s="204"/>
      <c r="SQO32" s="204"/>
      <c r="SQP32" s="204"/>
      <c r="SQQ32" s="204"/>
      <c r="SQR32" s="204"/>
      <c r="SQS32" s="204"/>
      <c r="SQT32" s="204"/>
      <c r="SQU32" s="204"/>
      <c r="SQV32" s="204"/>
      <c r="SQW32" s="204"/>
      <c r="SQX32" s="204"/>
      <c r="SQY32" s="204"/>
      <c r="SQZ32" s="204"/>
      <c r="SRA32" s="204"/>
      <c r="SRB32" s="204"/>
      <c r="SRC32" s="204"/>
      <c r="SRD32" s="204"/>
      <c r="SRE32" s="204"/>
      <c r="SRF32" s="204"/>
      <c r="SRG32" s="204"/>
      <c r="SRH32" s="204"/>
      <c r="SRI32" s="204"/>
      <c r="SRJ32" s="204"/>
      <c r="SRK32" s="204"/>
      <c r="SRL32" s="204"/>
      <c r="SRM32" s="204"/>
      <c r="SRN32" s="204"/>
      <c r="SRO32" s="204"/>
      <c r="SRP32" s="204"/>
      <c r="SRQ32" s="204"/>
      <c r="SRR32" s="204"/>
      <c r="SRS32" s="204"/>
      <c r="SRT32" s="204"/>
      <c r="SRU32" s="204"/>
      <c r="SRV32" s="204"/>
      <c r="SRW32" s="204"/>
      <c r="SRX32" s="204"/>
      <c r="SRY32" s="204"/>
      <c r="SRZ32" s="204"/>
      <c r="SSA32" s="204"/>
      <c r="SSB32" s="204"/>
      <c r="SSC32" s="204"/>
      <c r="SSD32" s="204"/>
      <c r="SSE32" s="204"/>
      <c r="SSF32" s="204"/>
      <c r="SSG32" s="204"/>
      <c r="SSH32" s="204"/>
      <c r="SSI32" s="204"/>
      <c r="SSJ32" s="204"/>
      <c r="SSK32" s="204"/>
      <c r="SSL32" s="204"/>
      <c r="SSM32" s="204"/>
      <c r="SSN32" s="204"/>
      <c r="SSO32" s="204"/>
      <c r="SSP32" s="204"/>
      <c r="SSQ32" s="204"/>
      <c r="SSR32" s="204"/>
      <c r="SSS32" s="204"/>
      <c r="SST32" s="204"/>
      <c r="SSU32" s="204"/>
      <c r="SSV32" s="204"/>
      <c r="SSW32" s="204"/>
      <c r="SSX32" s="204"/>
      <c r="SSY32" s="204"/>
      <c r="SSZ32" s="204"/>
      <c r="STA32" s="204"/>
      <c r="STB32" s="204"/>
      <c r="STC32" s="204"/>
      <c r="STD32" s="204"/>
      <c r="STE32" s="204"/>
      <c r="STF32" s="204"/>
      <c r="STG32" s="204"/>
      <c r="STH32" s="204"/>
      <c r="STI32" s="204"/>
      <c r="STJ32" s="204"/>
      <c r="STK32" s="204"/>
      <c r="STL32" s="204"/>
      <c r="STM32" s="204"/>
      <c r="STN32" s="204"/>
      <c r="STO32" s="204"/>
      <c r="STP32" s="204"/>
      <c r="STQ32" s="204"/>
      <c r="STR32" s="204"/>
      <c r="STS32" s="204"/>
      <c r="STT32" s="204"/>
      <c r="STU32" s="204"/>
      <c r="STV32" s="204"/>
      <c r="STW32" s="204"/>
      <c r="STX32" s="204"/>
      <c r="STY32" s="204"/>
      <c r="STZ32" s="204"/>
      <c r="SUA32" s="204"/>
      <c r="SUB32" s="204"/>
      <c r="SUC32" s="204"/>
      <c r="SUD32" s="204"/>
      <c r="SUE32" s="204"/>
      <c r="SUF32" s="204"/>
      <c r="SUG32" s="204"/>
      <c r="SUH32" s="204"/>
      <c r="SUI32" s="204"/>
      <c r="SUJ32" s="204"/>
      <c r="SUK32" s="204"/>
      <c r="SUL32" s="204"/>
      <c r="SUM32" s="204"/>
      <c r="SUN32" s="204"/>
      <c r="SUO32" s="204"/>
      <c r="SUP32" s="204"/>
      <c r="SUQ32" s="204"/>
      <c r="SUR32" s="204"/>
      <c r="SUS32" s="204"/>
      <c r="SUT32" s="204"/>
      <c r="SUU32" s="204"/>
      <c r="SUV32" s="204"/>
      <c r="SUW32" s="204"/>
      <c r="SUX32" s="204"/>
      <c r="SUY32" s="204"/>
      <c r="SUZ32" s="204"/>
      <c r="SVA32" s="204"/>
      <c r="SVB32" s="204"/>
      <c r="SVC32" s="204"/>
      <c r="SVD32" s="204"/>
      <c r="SVE32" s="204"/>
      <c r="SVF32" s="204"/>
      <c r="SVG32" s="204"/>
      <c r="SVH32" s="204"/>
      <c r="SVI32" s="204"/>
      <c r="SVJ32" s="204"/>
      <c r="SVK32" s="204"/>
      <c r="SVL32" s="204"/>
      <c r="SVM32" s="204"/>
      <c r="SVN32" s="204"/>
      <c r="SVO32" s="204"/>
      <c r="SVP32" s="204"/>
      <c r="SVQ32" s="204"/>
      <c r="SVR32" s="204"/>
      <c r="SVS32" s="204"/>
      <c r="SVT32" s="204"/>
      <c r="SVU32" s="204"/>
      <c r="SVV32" s="204"/>
      <c r="SVW32" s="204"/>
      <c r="SVX32" s="204"/>
      <c r="SVY32" s="204"/>
      <c r="SVZ32" s="204"/>
      <c r="SWA32" s="204"/>
      <c r="SWB32" s="204"/>
      <c r="SWC32" s="204"/>
      <c r="SWD32" s="204"/>
      <c r="SWE32" s="204"/>
      <c r="SWF32" s="204"/>
      <c r="SWG32" s="204"/>
      <c r="SWH32" s="204"/>
      <c r="SWI32" s="204"/>
      <c r="SWJ32" s="204"/>
      <c r="SWK32" s="204"/>
      <c r="SWL32" s="204"/>
      <c r="SWM32" s="204"/>
      <c r="SWN32" s="204"/>
      <c r="SWO32" s="204"/>
      <c r="SWP32" s="204"/>
      <c r="SWQ32" s="204"/>
      <c r="SWR32" s="204"/>
      <c r="SWS32" s="204"/>
      <c r="SWT32" s="204"/>
      <c r="SWU32" s="204"/>
      <c r="SWV32" s="204"/>
      <c r="SWW32" s="204"/>
      <c r="SWX32" s="204"/>
      <c r="SWY32" s="204"/>
      <c r="SWZ32" s="204"/>
      <c r="SXA32" s="204"/>
      <c r="SXB32" s="204"/>
      <c r="SXC32" s="204"/>
      <c r="SXD32" s="204"/>
      <c r="SXE32" s="204"/>
      <c r="SXF32" s="204"/>
      <c r="SXG32" s="204"/>
      <c r="SXH32" s="204"/>
      <c r="SXI32" s="204"/>
      <c r="SXJ32" s="204"/>
      <c r="SXK32" s="204"/>
      <c r="SXL32" s="204"/>
      <c r="SXM32" s="204"/>
      <c r="SXN32" s="204"/>
      <c r="SXO32" s="204"/>
      <c r="SXP32" s="204"/>
      <c r="SXQ32" s="204"/>
      <c r="SXR32" s="204"/>
      <c r="SXS32" s="204"/>
      <c r="SXT32" s="204"/>
      <c r="SXU32" s="204"/>
      <c r="SXV32" s="204"/>
      <c r="SXW32" s="204"/>
      <c r="SXX32" s="204"/>
      <c r="SXY32" s="204"/>
      <c r="SXZ32" s="204"/>
      <c r="SYA32" s="204"/>
      <c r="SYB32" s="204"/>
      <c r="SYC32" s="204"/>
      <c r="SYD32" s="204"/>
      <c r="SYE32" s="204"/>
      <c r="SYF32" s="204"/>
      <c r="SYG32" s="204"/>
      <c r="SYH32" s="204"/>
      <c r="SYI32" s="204"/>
      <c r="SYJ32" s="204"/>
      <c r="SYK32" s="204"/>
      <c r="SYL32" s="204"/>
      <c r="SYM32" s="204"/>
      <c r="SYN32" s="204"/>
      <c r="SYO32" s="204"/>
      <c r="SYP32" s="204"/>
      <c r="SYQ32" s="204"/>
      <c r="SYR32" s="204"/>
      <c r="SYS32" s="204"/>
      <c r="SYT32" s="204"/>
      <c r="SYU32" s="204"/>
      <c r="SYV32" s="204"/>
      <c r="SYW32" s="204"/>
      <c r="SYX32" s="204"/>
      <c r="SYY32" s="204"/>
      <c r="SYZ32" s="204"/>
      <c r="SZA32" s="204"/>
      <c r="SZB32" s="204"/>
      <c r="SZC32" s="204"/>
      <c r="SZD32" s="204"/>
      <c r="SZE32" s="204"/>
      <c r="SZF32" s="204"/>
      <c r="SZG32" s="204"/>
      <c r="SZH32" s="204"/>
      <c r="SZI32" s="204"/>
      <c r="SZJ32" s="204"/>
      <c r="SZK32" s="204"/>
      <c r="SZL32" s="204"/>
      <c r="SZM32" s="204"/>
      <c r="SZN32" s="204"/>
      <c r="SZO32" s="204"/>
      <c r="SZP32" s="204"/>
      <c r="SZQ32" s="204"/>
      <c r="SZR32" s="204"/>
      <c r="SZS32" s="204"/>
      <c r="SZT32" s="204"/>
      <c r="SZU32" s="204"/>
      <c r="SZV32" s="204"/>
      <c r="SZW32" s="204"/>
      <c r="SZX32" s="204"/>
      <c r="SZY32" s="204"/>
      <c r="SZZ32" s="204"/>
      <c r="TAA32" s="204"/>
      <c r="TAB32" s="204"/>
      <c r="TAC32" s="204"/>
      <c r="TAD32" s="204"/>
      <c r="TAE32" s="204"/>
      <c r="TAF32" s="204"/>
      <c r="TAG32" s="204"/>
      <c r="TAH32" s="204"/>
      <c r="TAI32" s="204"/>
      <c r="TAJ32" s="204"/>
      <c r="TAK32" s="204"/>
      <c r="TAL32" s="204"/>
      <c r="TAM32" s="204"/>
      <c r="TAN32" s="204"/>
      <c r="TAO32" s="204"/>
      <c r="TAP32" s="204"/>
      <c r="TAQ32" s="204"/>
      <c r="TAR32" s="204"/>
      <c r="TAS32" s="204"/>
      <c r="TAT32" s="204"/>
      <c r="TAU32" s="204"/>
      <c r="TAV32" s="204"/>
      <c r="TAW32" s="204"/>
      <c r="TAX32" s="204"/>
      <c r="TAY32" s="204"/>
      <c r="TAZ32" s="204"/>
      <c r="TBA32" s="204"/>
      <c r="TBB32" s="204"/>
      <c r="TBC32" s="204"/>
      <c r="TBD32" s="204"/>
      <c r="TBE32" s="204"/>
      <c r="TBF32" s="204"/>
      <c r="TBG32" s="204"/>
      <c r="TBH32" s="204"/>
      <c r="TBI32" s="204"/>
      <c r="TBJ32" s="204"/>
      <c r="TBK32" s="204"/>
      <c r="TBL32" s="204"/>
      <c r="TBM32" s="204"/>
      <c r="TBN32" s="204"/>
      <c r="TBO32" s="204"/>
      <c r="TBP32" s="204"/>
      <c r="TBQ32" s="204"/>
      <c r="TBR32" s="204"/>
      <c r="TBS32" s="204"/>
      <c r="TBT32" s="204"/>
      <c r="TBU32" s="204"/>
      <c r="TBV32" s="204"/>
      <c r="TBW32" s="204"/>
      <c r="TBX32" s="204"/>
      <c r="TBY32" s="204"/>
      <c r="TBZ32" s="204"/>
      <c r="TCA32" s="204"/>
      <c r="TCB32" s="204"/>
      <c r="TCC32" s="204"/>
      <c r="TCD32" s="204"/>
      <c r="TCE32" s="204"/>
      <c r="TCF32" s="204"/>
      <c r="TCG32" s="204"/>
      <c r="TCH32" s="204"/>
      <c r="TCI32" s="204"/>
      <c r="TCJ32" s="204"/>
      <c r="TCK32" s="204"/>
      <c r="TCL32" s="204"/>
      <c r="TCM32" s="204"/>
      <c r="TCN32" s="204"/>
      <c r="TCO32" s="204"/>
      <c r="TCP32" s="204"/>
      <c r="TCQ32" s="204"/>
      <c r="TCR32" s="204"/>
      <c r="TCS32" s="204"/>
      <c r="TCT32" s="204"/>
      <c r="TCU32" s="204"/>
      <c r="TCV32" s="204"/>
      <c r="TCW32" s="204"/>
      <c r="TCX32" s="204"/>
      <c r="TCY32" s="204"/>
      <c r="TCZ32" s="204"/>
      <c r="TDA32" s="204"/>
      <c r="TDB32" s="204"/>
      <c r="TDC32" s="204"/>
      <c r="TDD32" s="204"/>
      <c r="TDE32" s="204"/>
      <c r="TDF32" s="204"/>
      <c r="TDG32" s="204"/>
      <c r="TDH32" s="204"/>
      <c r="TDI32" s="204"/>
      <c r="TDJ32" s="204"/>
      <c r="TDK32" s="204"/>
      <c r="TDL32" s="204"/>
      <c r="TDM32" s="204"/>
      <c r="TDN32" s="204"/>
      <c r="TDO32" s="204"/>
      <c r="TDP32" s="204"/>
      <c r="TDQ32" s="204"/>
      <c r="TDR32" s="204"/>
      <c r="TDS32" s="204"/>
      <c r="TDT32" s="204"/>
      <c r="TDU32" s="204"/>
      <c r="TDV32" s="204"/>
      <c r="TDW32" s="204"/>
      <c r="TDX32" s="204"/>
      <c r="TDY32" s="204"/>
      <c r="TDZ32" s="204"/>
      <c r="TEA32" s="204"/>
      <c r="TEB32" s="204"/>
      <c r="TEC32" s="204"/>
      <c r="TED32" s="204"/>
      <c r="TEE32" s="204"/>
      <c r="TEF32" s="204"/>
      <c r="TEG32" s="204"/>
      <c r="TEH32" s="204"/>
      <c r="TEI32" s="204"/>
      <c r="TEJ32" s="204"/>
      <c r="TEK32" s="204"/>
      <c r="TEL32" s="204"/>
      <c r="TEM32" s="204"/>
      <c r="TEN32" s="204"/>
      <c r="TEO32" s="204"/>
      <c r="TEP32" s="204"/>
      <c r="TEQ32" s="204"/>
      <c r="TER32" s="204"/>
      <c r="TES32" s="204"/>
      <c r="TET32" s="204"/>
      <c r="TEU32" s="204"/>
      <c r="TEV32" s="204"/>
      <c r="TEW32" s="204"/>
      <c r="TEX32" s="204"/>
      <c r="TEY32" s="204"/>
      <c r="TEZ32" s="204"/>
      <c r="TFA32" s="204"/>
      <c r="TFB32" s="204"/>
      <c r="TFC32" s="204"/>
      <c r="TFD32" s="204"/>
      <c r="TFE32" s="204"/>
      <c r="TFF32" s="204"/>
      <c r="TFG32" s="204"/>
      <c r="TFH32" s="204"/>
      <c r="TFI32" s="204"/>
      <c r="TFJ32" s="204"/>
      <c r="TFK32" s="204"/>
      <c r="TFL32" s="204"/>
      <c r="TFM32" s="204"/>
      <c r="TFN32" s="204"/>
      <c r="TFO32" s="204"/>
      <c r="TFP32" s="204"/>
      <c r="TFQ32" s="204"/>
      <c r="TFR32" s="204"/>
      <c r="TFS32" s="204"/>
      <c r="TFT32" s="204"/>
      <c r="TFU32" s="204"/>
      <c r="TFV32" s="204"/>
      <c r="TFW32" s="204"/>
      <c r="TFX32" s="204"/>
      <c r="TFY32" s="204"/>
      <c r="TFZ32" s="204"/>
      <c r="TGA32" s="204"/>
      <c r="TGB32" s="204"/>
      <c r="TGC32" s="204"/>
      <c r="TGD32" s="204"/>
      <c r="TGE32" s="204"/>
      <c r="TGF32" s="204"/>
      <c r="TGG32" s="204"/>
      <c r="TGH32" s="204"/>
      <c r="TGI32" s="204"/>
      <c r="TGJ32" s="204"/>
      <c r="TGK32" s="204"/>
      <c r="TGL32" s="204"/>
      <c r="TGM32" s="204"/>
      <c r="TGN32" s="204"/>
      <c r="TGO32" s="204"/>
      <c r="TGP32" s="204"/>
      <c r="TGQ32" s="204"/>
      <c r="TGR32" s="204"/>
      <c r="TGS32" s="204"/>
      <c r="TGT32" s="204"/>
      <c r="TGU32" s="204"/>
      <c r="TGV32" s="204"/>
      <c r="TGW32" s="204"/>
      <c r="TGX32" s="204"/>
      <c r="TGY32" s="204"/>
      <c r="TGZ32" s="204"/>
      <c r="THA32" s="204"/>
      <c r="THB32" s="204"/>
      <c r="THC32" s="204"/>
      <c r="THD32" s="204"/>
      <c r="THE32" s="204"/>
      <c r="THF32" s="204"/>
      <c r="THG32" s="204"/>
      <c r="THH32" s="204"/>
      <c r="THI32" s="204"/>
      <c r="THJ32" s="204"/>
      <c r="THK32" s="204"/>
      <c r="THL32" s="204"/>
      <c r="THM32" s="204"/>
      <c r="THN32" s="204"/>
      <c r="THO32" s="204"/>
      <c r="THP32" s="204"/>
      <c r="THQ32" s="204"/>
      <c r="THR32" s="204"/>
      <c r="THS32" s="204"/>
      <c r="THT32" s="204"/>
      <c r="THU32" s="204"/>
      <c r="THV32" s="204"/>
      <c r="THW32" s="204"/>
      <c r="THX32" s="204"/>
      <c r="THY32" s="204"/>
      <c r="THZ32" s="204"/>
      <c r="TIA32" s="204"/>
      <c r="TIB32" s="204"/>
      <c r="TIC32" s="204"/>
      <c r="TID32" s="204"/>
      <c r="TIE32" s="204"/>
      <c r="TIF32" s="204"/>
      <c r="TIG32" s="204"/>
      <c r="TIH32" s="204"/>
      <c r="TII32" s="204"/>
      <c r="TIJ32" s="204"/>
      <c r="TIK32" s="204"/>
      <c r="TIL32" s="204"/>
      <c r="TIM32" s="204"/>
      <c r="TIN32" s="204"/>
      <c r="TIO32" s="204"/>
      <c r="TIP32" s="204"/>
      <c r="TIQ32" s="204"/>
      <c r="TIR32" s="204"/>
      <c r="TIS32" s="204"/>
      <c r="TIT32" s="204"/>
      <c r="TIU32" s="204"/>
      <c r="TIV32" s="204"/>
      <c r="TIW32" s="204"/>
      <c r="TIX32" s="204"/>
      <c r="TIY32" s="204"/>
      <c r="TIZ32" s="204"/>
      <c r="TJA32" s="204"/>
      <c r="TJB32" s="204"/>
      <c r="TJC32" s="204"/>
      <c r="TJD32" s="204"/>
      <c r="TJE32" s="204"/>
      <c r="TJF32" s="204"/>
      <c r="TJG32" s="204"/>
      <c r="TJH32" s="204"/>
      <c r="TJI32" s="204"/>
      <c r="TJJ32" s="204"/>
      <c r="TJK32" s="204"/>
      <c r="TJL32" s="204"/>
      <c r="TJM32" s="204"/>
      <c r="TJN32" s="204"/>
      <c r="TJO32" s="204"/>
      <c r="TJP32" s="204"/>
      <c r="TJQ32" s="204"/>
      <c r="TJR32" s="204"/>
      <c r="TJS32" s="204"/>
      <c r="TJT32" s="204"/>
      <c r="TJU32" s="204"/>
      <c r="TJV32" s="204"/>
      <c r="TJW32" s="204"/>
      <c r="TJX32" s="204"/>
      <c r="TJY32" s="204"/>
      <c r="TJZ32" s="204"/>
      <c r="TKA32" s="204"/>
      <c r="TKB32" s="204"/>
      <c r="TKC32" s="204"/>
      <c r="TKD32" s="204"/>
      <c r="TKE32" s="204"/>
      <c r="TKF32" s="204"/>
      <c r="TKG32" s="204"/>
      <c r="TKH32" s="204"/>
      <c r="TKI32" s="204"/>
      <c r="TKJ32" s="204"/>
      <c r="TKK32" s="204"/>
      <c r="TKL32" s="204"/>
      <c r="TKM32" s="204"/>
      <c r="TKN32" s="204"/>
      <c r="TKO32" s="204"/>
      <c r="TKP32" s="204"/>
      <c r="TKQ32" s="204"/>
      <c r="TKR32" s="204"/>
      <c r="TKS32" s="204"/>
      <c r="TKT32" s="204"/>
      <c r="TKU32" s="204"/>
      <c r="TKV32" s="204"/>
      <c r="TKW32" s="204"/>
      <c r="TKX32" s="204"/>
      <c r="TKY32" s="204"/>
      <c r="TKZ32" s="204"/>
      <c r="TLA32" s="204"/>
      <c r="TLB32" s="204"/>
      <c r="TLC32" s="204"/>
      <c r="TLD32" s="204"/>
      <c r="TLE32" s="204"/>
      <c r="TLF32" s="204"/>
      <c r="TLG32" s="204"/>
      <c r="TLH32" s="204"/>
      <c r="TLI32" s="204"/>
      <c r="TLJ32" s="204"/>
      <c r="TLK32" s="204"/>
      <c r="TLL32" s="204"/>
      <c r="TLM32" s="204"/>
      <c r="TLN32" s="204"/>
      <c r="TLO32" s="204"/>
      <c r="TLP32" s="204"/>
      <c r="TLQ32" s="204"/>
      <c r="TLR32" s="204"/>
      <c r="TLS32" s="204"/>
      <c r="TLT32" s="204"/>
      <c r="TLU32" s="204"/>
      <c r="TLV32" s="204"/>
      <c r="TLW32" s="204"/>
      <c r="TLX32" s="204"/>
      <c r="TLY32" s="204"/>
      <c r="TLZ32" s="204"/>
      <c r="TMA32" s="204"/>
      <c r="TMB32" s="204"/>
      <c r="TMC32" s="204"/>
      <c r="TMD32" s="204"/>
      <c r="TME32" s="204"/>
      <c r="TMF32" s="204"/>
      <c r="TMG32" s="204"/>
      <c r="TMH32" s="204"/>
      <c r="TMI32" s="204"/>
      <c r="TMJ32" s="204"/>
      <c r="TMK32" s="204"/>
      <c r="TML32" s="204"/>
      <c r="TMM32" s="204"/>
      <c r="TMN32" s="204"/>
      <c r="TMO32" s="204"/>
      <c r="TMP32" s="204"/>
      <c r="TMQ32" s="204"/>
      <c r="TMR32" s="204"/>
      <c r="TMS32" s="204"/>
      <c r="TMT32" s="204"/>
      <c r="TMU32" s="204"/>
      <c r="TMV32" s="204"/>
      <c r="TMW32" s="204"/>
      <c r="TMX32" s="204"/>
      <c r="TMY32" s="204"/>
      <c r="TMZ32" s="204"/>
      <c r="TNA32" s="204"/>
      <c r="TNB32" s="204"/>
      <c r="TNC32" s="204"/>
      <c r="TND32" s="204"/>
      <c r="TNE32" s="204"/>
      <c r="TNF32" s="204"/>
      <c r="TNG32" s="204"/>
      <c r="TNH32" s="204"/>
      <c r="TNI32" s="204"/>
      <c r="TNJ32" s="204"/>
      <c r="TNK32" s="204"/>
      <c r="TNL32" s="204"/>
      <c r="TNM32" s="204"/>
      <c r="TNN32" s="204"/>
      <c r="TNO32" s="204"/>
      <c r="TNP32" s="204"/>
      <c r="TNQ32" s="204"/>
      <c r="TNR32" s="204"/>
      <c r="TNS32" s="204"/>
      <c r="TNT32" s="204"/>
      <c r="TNU32" s="204"/>
      <c r="TNV32" s="204"/>
      <c r="TNW32" s="204"/>
      <c r="TNX32" s="204"/>
      <c r="TNY32" s="204"/>
      <c r="TNZ32" s="204"/>
      <c r="TOA32" s="204"/>
      <c r="TOB32" s="204"/>
      <c r="TOC32" s="204"/>
      <c r="TOD32" s="204"/>
      <c r="TOE32" s="204"/>
      <c r="TOF32" s="204"/>
      <c r="TOG32" s="204"/>
      <c r="TOH32" s="204"/>
      <c r="TOI32" s="204"/>
      <c r="TOJ32" s="204"/>
      <c r="TOK32" s="204"/>
      <c r="TOL32" s="204"/>
      <c r="TOM32" s="204"/>
      <c r="TON32" s="204"/>
      <c r="TOO32" s="204"/>
      <c r="TOP32" s="204"/>
      <c r="TOQ32" s="204"/>
      <c r="TOR32" s="204"/>
      <c r="TOS32" s="204"/>
      <c r="TOT32" s="204"/>
      <c r="TOU32" s="204"/>
      <c r="TOV32" s="204"/>
      <c r="TOW32" s="204"/>
      <c r="TOX32" s="204"/>
      <c r="TOY32" s="204"/>
      <c r="TOZ32" s="204"/>
      <c r="TPA32" s="204"/>
      <c r="TPB32" s="204"/>
      <c r="TPC32" s="204"/>
      <c r="TPD32" s="204"/>
      <c r="TPE32" s="204"/>
      <c r="TPF32" s="204"/>
      <c r="TPG32" s="204"/>
      <c r="TPH32" s="204"/>
      <c r="TPI32" s="204"/>
      <c r="TPJ32" s="204"/>
      <c r="TPK32" s="204"/>
      <c r="TPL32" s="204"/>
      <c r="TPM32" s="204"/>
      <c r="TPN32" s="204"/>
      <c r="TPO32" s="204"/>
      <c r="TPP32" s="204"/>
      <c r="TPQ32" s="204"/>
      <c r="TPR32" s="204"/>
      <c r="TPS32" s="204"/>
      <c r="TPT32" s="204"/>
      <c r="TPU32" s="204"/>
      <c r="TPV32" s="204"/>
      <c r="TPW32" s="204"/>
      <c r="TPX32" s="204"/>
      <c r="TPY32" s="204"/>
      <c r="TPZ32" s="204"/>
      <c r="TQA32" s="204"/>
      <c r="TQB32" s="204"/>
      <c r="TQC32" s="204"/>
      <c r="TQD32" s="204"/>
      <c r="TQE32" s="204"/>
      <c r="TQF32" s="204"/>
      <c r="TQG32" s="204"/>
      <c r="TQH32" s="204"/>
      <c r="TQI32" s="204"/>
      <c r="TQJ32" s="204"/>
      <c r="TQK32" s="204"/>
      <c r="TQL32" s="204"/>
      <c r="TQM32" s="204"/>
      <c r="TQN32" s="204"/>
      <c r="TQO32" s="204"/>
      <c r="TQP32" s="204"/>
      <c r="TQQ32" s="204"/>
      <c r="TQR32" s="204"/>
      <c r="TQS32" s="204"/>
      <c r="TQT32" s="204"/>
      <c r="TQU32" s="204"/>
      <c r="TQV32" s="204"/>
      <c r="TQW32" s="204"/>
      <c r="TQX32" s="204"/>
      <c r="TQY32" s="204"/>
      <c r="TQZ32" s="204"/>
      <c r="TRA32" s="204"/>
      <c r="TRB32" s="204"/>
      <c r="TRC32" s="204"/>
      <c r="TRD32" s="204"/>
      <c r="TRE32" s="204"/>
      <c r="TRF32" s="204"/>
      <c r="TRG32" s="204"/>
      <c r="TRH32" s="204"/>
      <c r="TRI32" s="204"/>
      <c r="TRJ32" s="204"/>
      <c r="TRK32" s="204"/>
      <c r="TRL32" s="204"/>
      <c r="TRM32" s="204"/>
      <c r="TRN32" s="204"/>
      <c r="TRO32" s="204"/>
      <c r="TRP32" s="204"/>
      <c r="TRQ32" s="204"/>
      <c r="TRR32" s="204"/>
      <c r="TRS32" s="204"/>
      <c r="TRT32" s="204"/>
      <c r="TRU32" s="204"/>
      <c r="TRV32" s="204"/>
      <c r="TRW32" s="204"/>
      <c r="TRX32" s="204"/>
      <c r="TRY32" s="204"/>
      <c r="TRZ32" s="204"/>
      <c r="TSA32" s="204"/>
      <c r="TSB32" s="204"/>
      <c r="TSC32" s="204"/>
      <c r="TSD32" s="204"/>
      <c r="TSE32" s="204"/>
      <c r="TSF32" s="204"/>
      <c r="TSG32" s="204"/>
      <c r="TSH32" s="204"/>
      <c r="TSI32" s="204"/>
      <c r="TSJ32" s="204"/>
      <c r="TSK32" s="204"/>
      <c r="TSL32" s="204"/>
      <c r="TSM32" s="204"/>
      <c r="TSN32" s="204"/>
      <c r="TSO32" s="204"/>
      <c r="TSP32" s="204"/>
      <c r="TSQ32" s="204"/>
      <c r="TSR32" s="204"/>
      <c r="TSS32" s="204"/>
      <c r="TST32" s="204"/>
      <c r="TSU32" s="204"/>
      <c r="TSV32" s="204"/>
      <c r="TSW32" s="204"/>
      <c r="TSX32" s="204"/>
      <c r="TSY32" s="204"/>
      <c r="TSZ32" s="204"/>
      <c r="TTA32" s="204"/>
      <c r="TTB32" s="204"/>
      <c r="TTC32" s="204"/>
      <c r="TTD32" s="204"/>
      <c r="TTE32" s="204"/>
      <c r="TTF32" s="204"/>
      <c r="TTG32" s="204"/>
      <c r="TTH32" s="204"/>
      <c r="TTI32" s="204"/>
      <c r="TTJ32" s="204"/>
      <c r="TTK32" s="204"/>
      <c r="TTL32" s="204"/>
      <c r="TTM32" s="204"/>
      <c r="TTN32" s="204"/>
      <c r="TTO32" s="204"/>
      <c r="TTP32" s="204"/>
      <c r="TTQ32" s="204"/>
      <c r="TTR32" s="204"/>
      <c r="TTS32" s="204"/>
      <c r="TTT32" s="204"/>
      <c r="TTU32" s="204"/>
      <c r="TTV32" s="204"/>
      <c r="TTW32" s="204"/>
      <c r="TTX32" s="204"/>
      <c r="TTY32" s="204"/>
      <c r="TTZ32" s="204"/>
      <c r="TUA32" s="204"/>
      <c r="TUB32" s="204"/>
      <c r="TUC32" s="204"/>
      <c r="TUD32" s="204"/>
      <c r="TUE32" s="204"/>
      <c r="TUF32" s="204"/>
      <c r="TUG32" s="204"/>
      <c r="TUH32" s="204"/>
      <c r="TUI32" s="204"/>
      <c r="TUJ32" s="204"/>
      <c r="TUK32" s="204"/>
      <c r="TUL32" s="204"/>
      <c r="TUM32" s="204"/>
      <c r="TUN32" s="204"/>
      <c r="TUO32" s="204"/>
      <c r="TUP32" s="204"/>
      <c r="TUQ32" s="204"/>
      <c r="TUR32" s="204"/>
      <c r="TUS32" s="204"/>
      <c r="TUT32" s="204"/>
      <c r="TUU32" s="204"/>
      <c r="TUV32" s="204"/>
      <c r="TUW32" s="204"/>
      <c r="TUX32" s="204"/>
      <c r="TUY32" s="204"/>
      <c r="TUZ32" s="204"/>
      <c r="TVA32" s="204"/>
      <c r="TVB32" s="204"/>
      <c r="TVC32" s="204"/>
      <c r="TVD32" s="204"/>
      <c r="TVE32" s="204"/>
      <c r="TVF32" s="204"/>
      <c r="TVG32" s="204"/>
      <c r="TVH32" s="204"/>
      <c r="TVI32" s="204"/>
      <c r="TVJ32" s="204"/>
      <c r="TVK32" s="204"/>
      <c r="TVL32" s="204"/>
      <c r="TVM32" s="204"/>
      <c r="TVN32" s="204"/>
      <c r="TVO32" s="204"/>
      <c r="TVP32" s="204"/>
      <c r="TVQ32" s="204"/>
      <c r="TVR32" s="204"/>
      <c r="TVS32" s="204"/>
      <c r="TVT32" s="204"/>
      <c r="TVU32" s="204"/>
      <c r="TVV32" s="204"/>
      <c r="TVW32" s="204"/>
      <c r="TVX32" s="204"/>
      <c r="TVY32" s="204"/>
      <c r="TVZ32" s="204"/>
      <c r="TWA32" s="204"/>
      <c r="TWB32" s="204"/>
      <c r="TWC32" s="204"/>
      <c r="TWD32" s="204"/>
      <c r="TWE32" s="204"/>
      <c r="TWF32" s="204"/>
      <c r="TWG32" s="204"/>
      <c r="TWH32" s="204"/>
      <c r="TWI32" s="204"/>
      <c r="TWJ32" s="204"/>
      <c r="TWK32" s="204"/>
      <c r="TWL32" s="204"/>
      <c r="TWM32" s="204"/>
      <c r="TWN32" s="204"/>
      <c r="TWO32" s="204"/>
      <c r="TWP32" s="204"/>
      <c r="TWQ32" s="204"/>
      <c r="TWR32" s="204"/>
      <c r="TWS32" s="204"/>
      <c r="TWT32" s="204"/>
      <c r="TWU32" s="204"/>
      <c r="TWV32" s="204"/>
      <c r="TWW32" s="204"/>
      <c r="TWX32" s="204"/>
      <c r="TWY32" s="204"/>
      <c r="TWZ32" s="204"/>
      <c r="TXA32" s="204"/>
      <c r="TXB32" s="204"/>
      <c r="TXC32" s="204"/>
      <c r="TXD32" s="204"/>
      <c r="TXE32" s="204"/>
      <c r="TXF32" s="204"/>
      <c r="TXG32" s="204"/>
      <c r="TXH32" s="204"/>
      <c r="TXI32" s="204"/>
      <c r="TXJ32" s="204"/>
      <c r="TXK32" s="204"/>
      <c r="TXL32" s="204"/>
      <c r="TXM32" s="204"/>
      <c r="TXN32" s="204"/>
      <c r="TXO32" s="204"/>
      <c r="TXP32" s="204"/>
      <c r="TXQ32" s="204"/>
      <c r="TXR32" s="204"/>
      <c r="TXS32" s="204"/>
      <c r="TXT32" s="204"/>
      <c r="TXU32" s="204"/>
      <c r="TXV32" s="204"/>
      <c r="TXW32" s="204"/>
      <c r="TXX32" s="204"/>
      <c r="TXY32" s="204"/>
      <c r="TXZ32" s="204"/>
      <c r="TYA32" s="204"/>
      <c r="TYB32" s="204"/>
      <c r="TYC32" s="204"/>
      <c r="TYD32" s="204"/>
      <c r="TYE32" s="204"/>
      <c r="TYF32" s="204"/>
      <c r="TYG32" s="204"/>
      <c r="TYH32" s="204"/>
      <c r="TYI32" s="204"/>
      <c r="TYJ32" s="204"/>
      <c r="TYK32" s="204"/>
      <c r="TYL32" s="204"/>
      <c r="TYM32" s="204"/>
      <c r="TYN32" s="204"/>
      <c r="TYO32" s="204"/>
      <c r="TYP32" s="204"/>
      <c r="TYQ32" s="204"/>
      <c r="TYR32" s="204"/>
      <c r="TYS32" s="204"/>
      <c r="TYT32" s="204"/>
      <c r="TYU32" s="204"/>
      <c r="TYV32" s="204"/>
      <c r="TYW32" s="204"/>
      <c r="TYX32" s="204"/>
      <c r="TYY32" s="204"/>
      <c r="TYZ32" s="204"/>
      <c r="TZA32" s="204"/>
      <c r="TZB32" s="204"/>
      <c r="TZC32" s="204"/>
      <c r="TZD32" s="204"/>
      <c r="TZE32" s="204"/>
      <c r="TZF32" s="204"/>
      <c r="TZG32" s="204"/>
      <c r="TZH32" s="204"/>
      <c r="TZI32" s="204"/>
      <c r="TZJ32" s="204"/>
      <c r="TZK32" s="204"/>
      <c r="TZL32" s="204"/>
      <c r="TZM32" s="204"/>
      <c r="TZN32" s="204"/>
      <c r="TZO32" s="204"/>
      <c r="TZP32" s="204"/>
      <c r="TZQ32" s="204"/>
      <c r="TZR32" s="204"/>
      <c r="TZS32" s="204"/>
      <c r="TZT32" s="204"/>
      <c r="TZU32" s="204"/>
      <c r="TZV32" s="204"/>
      <c r="TZW32" s="204"/>
      <c r="TZX32" s="204"/>
      <c r="TZY32" s="204"/>
      <c r="TZZ32" s="204"/>
      <c r="UAA32" s="204"/>
      <c r="UAB32" s="204"/>
      <c r="UAC32" s="204"/>
      <c r="UAD32" s="204"/>
      <c r="UAE32" s="204"/>
      <c r="UAF32" s="204"/>
      <c r="UAG32" s="204"/>
      <c r="UAH32" s="204"/>
      <c r="UAI32" s="204"/>
      <c r="UAJ32" s="204"/>
      <c r="UAK32" s="204"/>
      <c r="UAL32" s="204"/>
      <c r="UAM32" s="204"/>
      <c r="UAN32" s="204"/>
      <c r="UAO32" s="204"/>
      <c r="UAP32" s="204"/>
      <c r="UAQ32" s="204"/>
      <c r="UAR32" s="204"/>
      <c r="UAS32" s="204"/>
      <c r="UAT32" s="204"/>
      <c r="UAU32" s="204"/>
      <c r="UAV32" s="204"/>
      <c r="UAW32" s="204"/>
      <c r="UAX32" s="204"/>
      <c r="UAY32" s="204"/>
      <c r="UAZ32" s="204"/>
      <c r="UBA32" s="204"/>
      <c r="UBB32" s="204"/>
      <c r="UBC32" s="204"/>
      <c r="UBD32" s="204"/>
      <c r="UBE32" s="204"/>
      <c r="UBF32" s="204"/>
      <c r="UBG32" s="204"/>
      <c r="UBH32" s="204"/>
      <c r="UBI32" s="204"/>
      <c r="UBJ32" s="204"/>
      <c r="UBK32" s="204"/>
      <c r="UBL32" s="204"/>
      <c r="UBM32" s="204"/>
      <c r="UBN32" s="204"/>
      <c r="UBO32" s="204"/>
      <c r="UBP32" s="204"/>
      <c r="UBQ32" s="204"/>
      <c r="UBR32" s="204"/>
      <c r="UBS32" s="204"/>
      <c r="UBT32" s="204"/>
      <c r="UBU32" s="204"/>
      <c r="UBV32" s="204"/>
      <c r="UBW32" s="204"/>
      <c r="UBX32" s="204"/>
      <c r="UBY32" s="204"/>
      <c r="UBZ32" s="204"/>
      <c r="UCA32" s="204"/>
      <c r="UCB32" s="204"/>
      <c r="UCC32" s="204"/>
      <c r="UCD32" s="204"/>
      <c r="UCE32" s="204"/>
      <c r="UCF32" s="204"/>
      <c r="UCG32" s="204"/>
      <c r="UCH32" s="204"/>
      <c r="UCI32" s="204"/>
      <c r="UCJ32" s="204"/>
      <c r="UCK32" s="204"/>
      <c r="UCL32" s="204"/>
      <c r="UCM32" s="204"/>
      <c r="UCN32" s="204"/>
      <c r="UCO32" s="204"/>
      <c r="UCP32" s="204"/>
      <c r="UCQ32" s="204"/>
      <c r="UCR32" s="204"/>
      <c r="UCS32" s="204"/>
      <c r="UCT32" s="204"/>
      <c r="UCU32" s="204"/>
      <c r="UCV32" s="204"/>
      <c r="UCW32" s="204"/>
      <c r="UCX32" s="204"/>
      <c r="UCY32" s="204"/>
      <c r="UCZ32" s="204"/>
      <c r="UDA32" s="204"/>
      <c r="UDB32" s="204"/>
      <c r="UDC32" s="204"/>
      <c r="UDD32" s="204"/>
      <c r="UDE32" s="204"/>
      <c r="UDF32" s="204"/>
      <c r="UDG32" s="204"/>
      <c r="UDH32" s="204"/>
      <c r="UDI32" s="204"/>
      <c r="UDJ32" s="204"/>
      <c r="UDK32" s="204"/>
      <c r="UDL32" s="204"/>
      <c r="UDM32" s="204"/>
      <c r="UDN32" s="204"/>
      <c r="UDO32" s="204"/>
      <c r="UDP32" s="204"/>
      <c r="UDQ32" s="204"/>
      <c r="UDR32" s="204"/>
      <c r="UDS32" s="204"/>
      <c r="UDT32" s="204"/>
      <c r="UDU32" s="204"/>
      <c r="UDV32" s="204"/>
      <c r="UDW32" s="204"/>
      <c r="UDX32" s="204"/>
      <c r="UDY32" s="204"/>
      <c r="UDZ32" s="204"/>
      <c r="UEA32" s="204"/>
      <c r="UEB32" s="204"/>
      <c r="UEC32" s="204"/>
      <c r="UED32" s="204"/>
      <c r="UEE32" s="204"/>
      <c r="UEF32" s="204"/>
      <c r="UEG32" s="204"/>
      <c r="UEH32" s="204"/>
      <c r="UEI32" s="204"/>
      <c r="UEJ32" s="204"/>
      <c r="UEK32" s="204"/>
      <c r="UEL32" s="204"/>
      <c r="UEM32" s="204"/>
      <c r="UEN32" s="204"/>
      <c r="UEO32" s="204"/>
      <c r="UEP32" s="204"/>
      <c r="UEQ32" s="204"/>
      <c r="UER32" s="204"/>
      <c r="UES32" s="204"/>
      <c r="UET32" s="204"/>
      <c r="UEU32" s="204"/>
      <c r="UEV32" s="204"/>
      <c r="UEW32" s="204"/>
      <c r="UEX32" s="204"/>
      <c r="UEY32" s="204"/>
      <c r="UEZ32" s="204"/>
      <c r="UFA32" s="204"/>
      <c r="UFB32" s="204"/>
      <c r="UFC32" s="204"/>
      <c r="UFD32" s="204"/>
      <c r="UFE32" s="204"/>
      <c r="UFF32" s="204"/>
      <c r="UFG32" s="204"/>
      <c r="UFH32" s="204"/>
      <c r="UFI32" s="204"/>
      <c r="UFJ32" s="204"/>
      <c r="UFK32" s="204"/>
      <c r="UFL32" s="204"/>
      <c r="UFM32" s="204"/>
      <c r="UFN32" s="204"/>
      <c r="UFO32" s="204"/>
      <c r="UFP32" s="204"/>
      <c r="UFQ32" s="204"/>
      <c r="UFR32" s="204"/>
      <c r="UFS32" s="204"/>
      <c r="UFT32" s="204"/>
      <c r="UFU32" s="204"/>
      <c r="UFV32" s="204"/>
      <c r="UFW32" s="204"/>
      <c r="UFX32" s="204"/>
      <c r="UFY32" s="204"/>
      <c r="UFZ32" s="204"/>
      <c r="UGA32" s="204"/>
      <c r="UGB32" s="204"/>
      <c r="UGC32" s="204"/>
      <c r="UGD32" s="204"/>
      <c r="UGE32" s="204"/>
      <c r="UGF32" s="204"/>
      <c r="UGG32" s="204"/>
      <c r="UGH32" s="204"/>
      <c r="UGI32" s="204"/>
      <c r="UGJ32" s="204"/>
      <c r="UGK32" s="204"/>
      <c r="UGL32" s="204"/>
      <c r="UGM32" s="204"/>
      <c r="UGN32" s="204"/>
      <c r="UGO32" s="204"/>
      <c r="UGP32" s="204"/>
      <c r="UGQ32" s="204"/>
      <c r="UGR32" s="204"/>
      <c r="UGS32" s="204"/>
      <c r="UGT32" s="204"/>
      <c r="UGU32" s="204"/>
      <c r="UGV32" s="204"/>
      <c r="UGW32" s="204"/>
      <c r="UGX32" s="204"/>
      <c r="UGY32" s="204"/>
      <c r="UGZ32" s="204"/>
      <c r="UHA32" s="204"/>
      <c r="UHB32" s="204"/>
      <c r="UHC32" s="204"/>
      <c r="UHD32" s="204"/>
      <c r="UHE32" s="204"/>
      <c r="UHF32" s="204"/>
      <c r="UHG32" s="204"/>
      <c r="UHH32" s="204"/>
      <c r="UHI32" s="204"/>
      <c r="UHJ32" s="204"/>
      <c r="UHK32" s="204"/>
      <c r="UHL32" s="204"/>
      <c r="UHM32" s="204"/>
      <c r="UHN32" s="204"/>
      <c r="UHO32" s="204"/>
      <c r="UHP32" s="204"/>
      <c r="UHQ32" s="204"/>
      <c r="UHR32" s="204"/>
      <c r="UHS32" s="204"/>
      <c r="UHT32" s="204"/>
      <c r="UHU32" s="204"/>
      <c r="UHV32" s="204"/>
      <c r="UHW32" s="204"/>
      <c r="UHX32" s="204"/>
      <c r="UHY32" s="204"/>
      <c r="UHZ32" s="204"/>
      <c r="UIA32" s="204"/>
      <c r="UIB32" s="204"/>
      <c r="UIC32" s="204"/>
      <c r="UID32" s="204"/>
      <c r="UIE32" s="204"/>
      <c r="UIF32" s="204"/>
      <c r="UIG32" s="204"/>
      <c r="UIH32" s="204"/>
      <c r="UII32" s="204"/>
      <c r="UIJ32" s="204"/>
      <c r="UIK32" s="204"/>
      <c r="UIL32" s="204"/>
      <c r="UIM32" s="204"/>
      <c r="UIN32" s="204"/>
      <c r="UIO32" s="204"/>
      <c r="UIP32" s="204"/>
      <c r="UIQ32" s="204"/>
      <c r="UIR32" s="204"/>
      <c r="UIS32" s="204"/>
      <c r="UIT32" s="204"/>
      <c r="UIU32" s="204"/>
      <c r="UIV32" s="204"/>
      <c r="UIW32" s="204"/>
      <c r="UIX32" s="204"/>
      <c r="UIY32" s="204"/>
      <c r="UIZ32" s="204"/>
      <c r="UJA32" s="204"/>
      <c r="UJB32" s="204"/>
      <c r="UJC32" s="204"/>
      <c r="UJD32" s="204"/>
      <c r="UJE32" s="204"/>
      <c r="UJF32" s="204"/>
      <c r="UJG32" s="204"/>
      <c r="UJH32" s="204"/>
      <c r="UJI32" s="204"/>
      <c r="UJJ32" s="204"/>
      <c r="UJK32" s="204"/>
      <c r="UJL32" s="204"/>
      <c r="UJM32" s="204"/>
      <c r="UJN32" s="204"/>
      <c r="UJO32" s="204"/>
      <c r="UJP32" s="204"/>
      <c r="UJQ32" s="204"/>
      <c r="UJR32" s="204"/>
      <c r="UJS32" s="204"/>
      <c r="UJT32" s="204"/>
      <c r="UJU32" s="204"/>
      <c r="UJV32" s="204"/>
      <c r="UJW32" s="204"/>
      <c r="UJX32" s="204"/>
      <c r="UJY32" s="204"/>
      <c r="UJZ32" s="204"/>
      <c r="UKA32" s="204"/>
      <c r="UKB32" s="204"/>
      <c r="UKC32" s="204"/>
      <c r="UKD32" s="204"/>
      <c r="UKE32" s="204"/>
      <c r="UKF32" s="204"/>
      <c r="UKG32" s="204"/>
      <c r="UKH32" s="204"/>
      <c r="UKI32" s="204"/>
      <c r="UKJ32" s="204"/>
      <c r="UKK32" s="204"/>
      <c r="UKL32" s="204"/>
      <c r="UKM32" s="204"/>
      <c r="UKN32" s="204"/>
      <c r="UKO32" s="204"/>
      <c r="UKP32" s="204"/>
      <c r="UKQ32" s="204"/>
      <c r="UKR32" s="204"/>
      <c r="UKS32" s="204"/>
      <c r="UKT32" s="204"/>
      <c r="UKU32" s="204"/>
      <c r="UKV32" s="204"/>
      <c r="UKW32" s="204"/>
      <c r="UKX32" s="204"/>
      <c r="UKY32" s="204"/>
      <c r="UKZ32" s="204"/>
      <c r="ULA32" s="204"/>
      <c r="ULB32" s="204"/>
      <c r="ULC32" s="204"/>
      <c r="ULD32" s="204"/>
      <c r="ULE32" s="204"/>
      <c r="ULF32" s="204"/>
      <c r="ULG32" s="204"/>
      <c r="ULH32" s="204"/>
      <c r="ULI32" s="204"/>
      <c r="ULJ32" s="204"/>
      <c r="ULK32" s="204"/>
      <c r="ULL32" s="204"/>
      <c r="ULM32" s="204"/>
      <c r="ULN32" s="204"/>
      <c r="ULO32" s="204"/>
      <c r="ULP32" s="204"/>
      <c r="ULQ32" s="204"/>
      <c r="ULR32" s="204"/>
      <c r="ULS32" s="204"/>
      <c r="ULT32" s="204"/>
      <c r="ULU32" s="204"/>
      <c r="ULV32" s="204"/>
      <c r="ULW32" s="204"/>
      <c r="ULX32" s="204"/>
      <c r="ULY32" s="204"/>
      <c r="ULZ32" s="204"/>
      <c r="UMA32" s="204"/>
      <c r="UMB32" s="204"/>
      <c r="UMC32" s="204"/>
      <c r="UMD32" s="204"/>
      <c r="UME32" s="204"/>
      <c r="UMF32" s="204"/>
      <c r="UMG32" s="204"/>
      <c r="UMH32" s="204"/>
      <c r="UMI32" s="204"/>
      <c r="UMJ32" s="204"/>
      <c r="UMK32" s="204"/>
      <c r="UML32" s="204"/>
      <c r="UMM32" s="204"/>
      <c r="UMN32" s="204"/>
      <c r="UMO32" s="204"/>
      <c r="UMP32" s="204"/>
      <c r="UMQ32" s="204"/>
      <c r="UMR32" s="204"/>
      <c r="UMS32" s="204"/>
      <c r="UMT32" s="204"/>
      <c r="UMU32" s="204"/>
      <c r="UMV32" s="204"/>
      <c r="UMW32" s="204"/>
      <c r="UMX32" s="204"/>
      <c r="UMY32" s="204"/>
      <c r="UMZ32" s="204"/>
      <c r="UNA32" s="204"/>
      <c r="UNB32" s="204"/>
      <c r="UNC32" s="204"/>
      <c r="UND32" s="204"/>
      <c r="UNE32" s="204"/>
      <c r="UNF32" s="204"/>
      <c r="UNG32" s="204"/>
      <c r="UNH32" s="204"/>
      <c r="UNI32" s="204"/>
      <c r="UNJ32" s="204"/>
      <c r="UNK32" s="204"/>
      <c r="UNL32" s="204"/>
      <c r="UNM32" s="204"/>
      <c r="UNN32" s="204"/>
      <c r="UNO32" s="204"/>
      <c r="UNP32" s="204"/>
      <c r="UNQ32" s="204"/>
      <c r="UNR32" s="204"/>
      <c r="UNS32" s="204"/>
      <c r="UNT32" s="204"/>
      <c r="UNU32" s="204"/>
      <c r="UNV32" s="204"/>
      <c r="UNW32" s="204"/>
      <c r="UNX32" s="204"/>
      <c r="UNY32" s="204"/>
      <c r="UNZ32" s="204"/>
      <c r="UOA32" s="204"/>
      <c r="UOB32" s="204"/>
      <c r="UOC32" s="204"/>
      <c r="UOD32" s="204"/>
      <c r="UOE32" s="204"/>
      <c r="UOF32" s="204"/>
      <c r="UOG32" s="204"/>
      <c r="UOH32" s="204"/>
      <c r="UOI32" s="204"/>
      <c r="UOJ32" s="204"/>
      <c r="UOK32" s="204"/>
      <c r="UOL32" s="204"/>
      <c r="UOM32" s="204"/>
      <c r="UON32" s="204"/>
      <c r="UOO32" s="204"/>
      <c r="UOP32" s="204"/>
      <c r="UOQ32" s="204"/>
      <c r="UOR32" s="204"/>
      <c r="UOS32" s="204"/>
      <c r="UOT32" s="204"/>
      <c r="UOU32" s="204"/>
      <c r="UOV32" s="204"/>
      <c r="UOW32" s="204"/>
      <c r="UOX32" s="204"/>
      <c r="UOY32" s="204"/>
      <c r="UOZ32" s="204"/>
      <c r="UPA32" s="204"/>
      <c r="UPB32" s="204"/>
      <c r="UPC32" s="204"/>
      <c r="UPD32" s="204"/>
      <c r="UPE32" s="204"/>
      <c r="UPF32" s="204"/>
      <c r="UPG32" s="204"/>
      <c r="UPH32" s="204"/>
      <c r="UPI32" s="204"/>
      <c r="UPJ32" s="204"/>
      <c r="UPK32" s="204"/>
      <c r="UPL32" s="204"/>
      <c r="UPM32" s="204"/>
      <c r="UPN32" s="204"/>
      <c r="UPO32" s="204"/>
      <c r="UPP32" s="204"/>
      <c r="UPQ32" s="204"/>
      <c r="UPR32" s="204"/>
      <c r="UPS32" s="204"/>
      <c r="UPT32" s="204"/>
      <c r="UPU32" s="204"/>
      <c r="UPV32" s="204"/>
      <c r="UPW32" s="204"/>
      <c r="UPX32" s="204"/>
      <c r="UPY32" s="204"/>
      <c r="UPZ32" s="204"/>
      <c r="UQA32" s="204"/>
      <c r="UQB32" s="204"/>
      <c r="UQC32" s="204"/>
      <c r="UQD32" s="204"/>
      <c r="UQE32" s="204"/>
      <c r="UQF32" s="204"/>
      <c r="UQG32" s="204"/>
      <c r="UQH32" s="204"/>
      <c r="UQI32" s="204"/>
      <c r="UQJ32" s="204"/>
      <c r="UQK32" s="204"/>
      <c r="UQL32" s="204"/>
      <c r="UQM32" s="204"/>
      <c r="UQN32" s="204"/>
      <c r="UQO32" s="204"/>
      <c r="UQP32" s="204"/>
      <c r="UQQ32" s="204"/>
      <c r="UQR32" s="204"/>
      <c r="UQS32" s="204"/>
      <c r="UQT32" s="204"/>
      <c r="UQU32" s="204"/>
      <c r="UQV32" s="204"/>
      <c r="UQW32" s="204"/>
      <c r="UQX32" s="204"/>
      <c r="UQY32" s="204"/>
      <c r="UQZ32" s="204"/>
      <c r="URA32" s="204"/>
      <c r="URB32" s="204"/>
      <c r="URC32" s="204"/>
      <c r="URD32" s="204"/>
      <c r="URE32" s="204"/>
      <c r="URF32" s="204"/>
      <c r="URG32" s="204"/>
      <c r="URH32" s="204"/>
      <c r="URI32" s="204"/>
      <c r="URJ32" s="204"/>
      <c r="URK32" s="204"/>
      <c r="URL32" s="204"/>
      <c r="URM32" s="204"/>
      <c r="URN32" s="204"/>
      <c r="URO32" s="204"/>
      <c r="URP32" s="204"/>
      <c r="URQ32" s="204"/>
      <c r="URR32" s="204"/>
      <c r="URS32" s="204"/>
      <c r="URT32" s="204"/>
      <c r="URU32" s="204"/>
      <c r="URV32" s="204"/>
      <c r="URW32" s="204"/>
      <c r="URX32" s="204"/>
      <c r="URY32" s="204"/>
      <c r="URZ32" s="204"/>
      <c r="USA32" s="204"/>
      <c r="USB32" s="204"/>
      <c r="USC32" s="204"/>
      <c r="USD32" s="204"/>
      <c r="USE32" s="204"/>
      <c r="USF32" s="204"/>
      <c r="USG32" s="204"/>
      <c r="USH32" s="204"/>
      <c r="USI32" s="204"/>
      <c r="USJ32" s="204"/>
      <c r="USK32" s="204"/>
      <c r="USL32" s="204"/>
      <c r="USM32" s="204"/>
      <c r="USN32" s="204"/>
      <c r="USO32" s="204"/>
      <c r="USP32" s="204"/>
      <c r="USQ32" s="204"/>
      <c r="USR32" s="204"/>
      <c r="USS32" s="204"/>
      <c r="UST32" s="204"/>
      <c r="USU32" s="204"/>
      <c r="USV32" s="204"/>
      <c r="USW32" s="204"/>
      <c r="USX32" s="204"/>
      <c r="USY32" s="204"/>
      <c r="USZ32" s="204"/>
      <c r="UTA32" s="204"/>
      <c r="UTB32" s="204"/>
      <c r="UTC32" s="204"/>
      <c r="UTD32" s="204"/>
      <c r="UTE32" s="204"/>
      <c r="UTF32" s="204"/>
      <c r="UTG32" s="204"/>
      <c r="UTH32" s="204"/>
      <c r="UTI32" s="204"/>
      <c r="UTJ32" s="204"/>
      <c r="UTK32" s="204"/>
      <c r="UTL32" s="204"/>
      <c r="UTM32" s="204"/>
      <c r="UTN32" s="204"/>
      <c r="UTO32" s="204"/>
      <c r="UTP32" s="204"/>
      <c r="UTQ32" s="204"/>
      <c r="UTR32" s="204"/>
      <c r="UTS32" s="204"/>
      <c r="UTT32" s="204"/>
      <c r="UTU32" s="204"/>
      <c r="UTV32" s="204"/>
      <c r="UTW32" s="204"/>
      <c r="UTX32" s="204"/>
      <c r="UTY32" s="204"/>
      <c r="UTZ32" s="204"/>
      <c r="UUA32" s="204"/>
      <c r="UUB32" s="204"/>
      <c r="UUC32" s="204"/>
      <c r="UUD32" s="204"/>
      <c r="UUE32" s="204"/>
      <c r="UUF32" s="204"/>
      <c r="UUG32" s="204"/>
      <c r="UUH32" s="204"/>
      <c r="UUI32" s="204"/>
      <c r="UUJ32" s="204"/>
      <c r="UUK32" s="204"/>
      <c r="UUL32" s="204"/>
      <c r="UUM32" s="204"/>
      <c r="UUN32" s="204"/>
      <c r="UUO32" s="204"/>
      <c r="UUP32" s="204"/>
      <c r="UUQ32" s="204"/>
      <c r="UUR32" s="204"/>
      <c r="UUS32" s="204"/>
      <c r="UUT32" s="204"/>
      <c r="UUU32" s="204"/>
      <c r="UUV32" s="204"/>
      <c r="UUW32" s="204"/>
      <c r="UUX32" s="204"/>
      <c r="UUY32" s="204"/>
      <c r="UUZ32" s="204"/>
      <c r="UVA32" s="204"/>
      <c r="UVB32" s="204"/>
      <c r="UVC32" s="204"/>
      <c r="UVD32" s="204"/>
      <c r="UVE32" s="204"/>
      <c r="UVF32" s="204"/>
      <c r="UVG32" s="204"/>
      <c r="UVH32" s="204"/>
      <c r="UVI32" s="204"/>
      <c r="UVJ32" s="204"/>
      <c r="UVK32" s="204"/>
      <c r="UVL32" s="204"/>
      <c r="UVM32" s="204"/>
      <c r="UVN32" s="204"/>
      <c r="UVO32" s="204"/>
      <c r="UVP32" s="204"/>
      <c r="UVQ32" s="204"/>
      <c r="UVR32" s="204"/>
      <c r="UVS32" s="204"/>
      <c r="UVT32" s="204"/>
      <c r="UVU32" s="204"/>
      <c r="UVV32" s="204"/>
      <c r="UVW32" s="204"/>
      <c r="UVX32" s="204"/>
      <c r="UVY32" s="204"/>
      <c r="UVZ32" s="204"/>
      <c r="UWA32" s="204"/>
      <c r="UWB32" s="204"/>
      <c r="UWC32" s="204"/>
      <c r="UWD32" s="204"/>
      <c r="UWE32" s="204"/>
      <c r="UWF32" s="204"/>
      <c r="UWG32" s="204"/>
      <c r="UWH32" s="204"/>
      <c r="UWI32" s="204"/>
      <c r="UWJ32" s="204"/>
      <c r="UWK32" s="204"/>
      <c r="UWL32" s="204"/>
      <c r="UWM32" s="204"/>
      <c r="UWN32" s="204"/>
      <c r="UWO32" s="204"/>
      <c r="UWP32" s="204"/>
      <c r="UWQ32" s="204"/>
      <c r="UWR32" s="204"/>
      <c r="UWS32" s="204"/>
      <c r="UWT32" s="204"/>
      <c r="UWU32" s="204"/>
      <c r="UWV32" s="204"/>
      <c r="UWW32" s="204"/>
      <c r="UWX32" s="204"/>
      <c r="UWY32" s="204"/>
      <c r="UWZ32" s="204"/>
      <c r="UXA32" s="204"/>
      <c r="UXB32" s="204"/>
      <c r="UXC32" s="204"/>
      <c r="UXD32" s="204"/>
      <c r="UXE32" s="204"/>
      <c r="UXF32" s="204"/>
      <c r="UXG32" s="204"/>
      <c r="UXH32" s="204"/>
      <c r="UXI32" s="204"/>
      <c r="UXJ32" s="204"/>
      <c r="UXK32" s="204"/>
      <c r="UXL32" s="204"/>
      <c r="UXM32" s="204"/>
      <c r="UXN32" s="204"/>
      <c r="UXO32" s="204"/>
      <c r="UXP32" s="204"/>
      <c r="UXQ32" s="204"/>
      <c r="UXR32" s="204"/>
      <c r="UXS32" s="204"/>
      <c r="UXT32" s="204"/>
      <c r="UXU32" s="204"/>
      <c r="UXV32" s="204"/>
      <c r="UXW32" s="204"/>
      <c r="UXX32" s="204"/>
      <c r="UXY32" s="204"/>
      <c r="UXZ32" s="204"/>
      <c r="UYA32" s="204"/>
      <c r="UYB32" s="204"/>
      <c r="UYC32" s="204"/>
      <c r="UYD32" s="204"/>
      <c r="UYE32" s="204"/>
      <c r="UYF32" s="204"/>
      <c r="UYG32" s="204"/>
      <c r="UYH32" s="204"/>
      <c r="UYI32" s="204"/>
      <c r="UYJ32" s="204"/>
      <c r="UYK32" s="204"/>
      <c r="UYL32" s="204"/>
      <c r="UYM32" s="204"/>
      <c r="UYN32" s="204"/>
      <c r="UYO32" s="204"/>
      <c r="UYP32" s="204"/>
      <c r="UYQ32" s="204"/>
      <c r="UYR32" s="204"/>
      <c r="UYS32" s="204"/>
      <c r="UYT32" s="204"/>
      <c r="UYU32" s="204"/>
      <c r="UYV32" s="204"/>
      <c r="UYW32" s="204"/>
      <c r="UYX32" s="204"/>
      <c r="UYY32" s="204"/>
      <c r="UYZ32" s="204"/>
      <c r="UZA32" s="204"/>
      <c r="UZB32" s="204"/>
      <c r="UZC32" s="204"/>
      <c r="UZD32" s="204"/>
      <c r="UZE32" s="204"/>
      <c r="UZF32" s="204"/>
      <c r="UZG32" s="204"/>
      <c r="UZH32" s="204"/>
      <c r="UZI32" s="204"/>
      <c r="UZJ32" s="204"/>
      <c r="UZK32" s="204"/>
      <c r="UZL32" s="204"/>
      <c r="UZM32" s="204"/>
      <c r="UZN32" s="204"/>
      <c r="UZO32" s="204"/>
      <c r="UZP32" s="204"/>
      <c r="UZQ32" s="204"/>
      <c r="UZR32" s="204"/>
      <c r="UZS32" s="204"/>
      <c r="UZT32" s="204"/>
      <c r="UZU32" s="204"/>
      <c r="UZV32" s="204"/>
      <c r="UZW32" s="204"/>
      <c r="UZX32" s="204"/>
      <c r="UZY32" s="204"/>
      <c r="UZZ32" s="204"/>
      <c r="VAA32" s="204"/>
      <c r="VAB32" s="204"/>
      <c r="VAC32" s="204"/>
      <c r="VAD32" s="204"/>
      <c r="VAE32" s="204"/>
      <c r="VAF32" s="204"/>
      <c r="VAG32" s="204"/>
      <c r="VAH32" s="204"/>
      <c r="VAI32" s="204"/>
      <c r="VAJ32" s="204"/>
      <c r="VAK32" s="204"/>
      <c r="VAL32" s="204"/>
      <c r="VAM32" s="204"/>
      <c r="VAN32" s="204"/>
      <c r="VAO32" s="204"/>
      <c r="VAP32" s="204"/>
      <c r="VAQ32" s="204"/>
      <c r="VAR32" s="204"/>
      <c r="VAS32" s="204"/>
      <c r="VAT32" s="204"/>
      <c r="VAU32" s="204"/>
      <c r="VAV32" s="204"/>
      <c r="VAW32" s="204"/>
      <c r="VAX32" s="204"/>
      <c r="VAY32" s="204"/>
      <c r="VAZ32" s="204"/>
      <c r="VBA32" s="204"/>
      <c r="VBB32" s="204"/>
      <c r="VBC32" s="204"/>
      <c r="VBD32" s="204"/>
      <c r="VBE32" s="204"/>
      <c r="VBF32" s="204"/>
      <c r="VBG32" s="204"/>
      <c r="VBH32" s="204"/>
      <c r="VBI32" s="204"/>
      <c r="VBJ32" s="204"/>
      <c r="VBK32" s="204"/>
      <c r="VBL32" s="204"/>
      <c r="VBM32" s="204"/>
      <c r="VBN32" s="204"/>
      <c r="VBO32" s="204"/>
      <c r="VBP32" s="204"/>
      <c r="VBQ32" s="204"/>
      <c r="VBR32" s="204"/>
      <c r="VBS32" s="204"/>
      <c r="VBT32" s="204"/>
      <c r="VBU32" s="204"/>
      <c r="VBV32" s="204"/>
      <c r="VBW32" s="204"/>
      <c r="VBX32" s="204"/>
      <c r="VBY32" s="204"/>
      <c r="VBZ32" s="204"/>
      <c r="VCA32" s="204"/>
      <c r="VCB32" s="204"/>
      <c r="VCC32" s="204"/>
      <c r="VCD32" s="204"/>
      <c r="VCE32" s="204"/>
      <c r="VCF32" s="204"/>
      <c r="VCG32" s="204"/>
      <c r="VCH32" s="204"/>
      <c r="VCI32" s="204"/>
      <c r="VCJ32" s="204"/>
      <c r="VCK32" s="204"/>
      <c r="VCL32" s="204"/>
      <c r="VCM32" s="204"/>
      <c r="VCN32" s="204"/>
      <c r="VCO32" s="204"/>
      <c r="VCP32" s="204"/>
      <c r="VCQ32" s="204"/>
      <c r="VCR32" s="204"/>
      <c r="VCS32" s="204"/>
      <c r="VCT32" s="204"/>
      <c r="VCU32" s="204"/>
      <c r="VCV32" s="204"/>
      <c r="VCW32" s="204"/>
      <c r="VCX32" s="204"/>
      <c r="VCY32" s="204"/>
      <c r="VCZ32" s="204"/>
      <c r="VDA32" s="204"/>
      <c r="VDB32" s="204"/>
      <c r="VDC32" s="204"/>
      <c r="VDD32" s="204"/>
      <c r="VDE32" s="204"/>
      <c r="VDF32" s="204"/>
      <c r="VDG32" s="204"/>
      <c r="VDH32" s="204"/>
      <c r="VDI32" s="204"/>
      <c r="VDJ32" s="204"/>
      <c r="VDK32" s="204"/>
      <c r="VDL32" s="204"/>
      <c r="VDM32" s="204"/>
      <c r="VDN32" s="204"/>
      <c r="VDO32" s="204"/>
      <c r="VDP32" s="204"/>
      <c r="VDQ32" s="204"/>
      <c r="VDR32" s="204"/>
      <c r="VDS32" s="204"/>
      <c r="VDT32" s="204"/>
      <c r="VDU32" s="204"/>
      <c r="VDV32" s="204"/>
      <c r="VDW32" s="204"/>
      <c r="VDX32" s="204"/>
      <c r="VDY32" s="204"/>
      <c r="VDZ32" s="204"/>
      <c r="VEA32" s="204"/>
      <c r="VEB32" s="204"/>
      <c r="VEC32" s="204"/>
      <c r="VED32" s="204"/>
      <c r="VEE32" s="204"/>
      <c r="VEF32" s="204"/>
      <c r="VEG32" s="204"/>
      <c r="VEH32" s="204"/>
      <c r="VEI32" s="204"/>
      <c r="VEJ32" s="204"/>
      <c r="VEK32" s="204"/>
      <c r="VEL32" s="204"/>
      <c r="VEM32" s="204"/>
      <c r="VEN32" s="204"/>
      <c r="VEO32" s="204"/>
      <c r="VEP32" s="204"/>
      <c r="VEQ32" s="204"/>
      <c r="VER32" s="204"/>
      <c r="VES32" s="204"/>
      <c r="VET32" s="204"/>
      <c r="VEU32" s="204"/>
      <c r="VEV32" s="204"/>
      <c r="VEW32" s="204"/>
      <c r="VEX32" s="204"/>
      <c r="VEY32" s="204"/>
      <c r="VEZ32" s="204"/>
      <c r="VFA32" s="204"/>
      <c r="VFB32" s="204"/>
      <c r="VFC32" s="204"/>
      <c r="VFD32" s="204"/>
      <c r="VFE32" s="204"/>
      <c r="VFF32" s="204"/>
      <c r="VFG32" s="204"/>
      <c r="VFH32" s="204"/>
      <c r="VFI32" s="204"/>
      <c r="VFJ32" s="204"/>
      <c r="VFK32" s="204"/>
      <c r="VFL32" s="204"/>
      <c r="VFM32" s="204"/>
      <c r="VFN32" s="204"/>
      <c r="VFO32" s="204"/>
      <c r="VFP32" s="204"/>
      <c r="VFQ32" s="204"/>
      <c r="VFR32" s="204"/>
      <c r="VFS32" s="204"/>
      <c r="VFT32" s="204"/>
      <c r="VFU32" s="204"/>
      <c r="VFV32" s="204"/>
      <c r="VFW32" s="204"/>
      <c r="VFX32" s="204"/>
      <c r="VFY32" s="204"/>
      <c r="VFZ32" s="204"/>
      <c r="VGA32" s="204"/>
      <c r="VGB32" s="204"/>
      <c r="VGC32" s="204"/>
      <c r="VGD32" s="204"/>
      <c r="VGE32" s="204"/>
      <c r="VGF32" s="204"/>
      <c r="VGG32" s="204"/>
      <c r="VGH32" s="204"/>
      <c r="VGI32" s="204"/>
      <c r="VGJ32" s="204"/>
      <c r="VGK32" s="204"/>
      <c r="VGL32" s="204"/>
      <c r="VGM32" s="204"/>
      <c r="VGN32" s="204"/>
      <c r="VGO32" s="204"/>
      <c r="VGP32" s="204"/>
      <c r="VGQ32" s="204"/>
      <c r="VGR32" s="204"/>
      <c r="VGS32" s="204"/>
      <c r="VGT32" s="204"/>
      <c r="VGU32" s="204"/>
      <c r="VGV32" s="204"/>
      <c r="VGW32" s="204"/>
      <c r="VGX32" s="204"/>
      <c r="VGY32" s="204"/>
      <c r="VGZ32" s="204"/>
      <c r="VHA32" s="204"/>
      <c r="VHB32" s="204"/>
      <c r="VHC32" s="204"/>
      <c r="VHD32" s="204"/>
      <c r="VHE32" s="204"/>
      <c r="VHF32" s="204"/>
      <c r="VHG32" s="204"/>
      <c r="VHH32" s="204"/>
      <c r="VHI32" s="204"/>
      <c r="VHJ32" s="204"/>
      <c r="VHK32" s="204"/>
      <c r="VHL32" s="204"/>
      <c r="VHM32" s="204"/>
      <c r="VHN32" s="204"/>
      <c r="VHO32" s="204"/>
      <c r="VHP32" s="204"/>
      <c r="VHQ32" s="204"/>
      <c r="VHR32" s="204"/>
      <c r="VHS32" s="204"/>
      <c r="VHT32" s="204"/>
      <c r="VHU32" s="204"/>
      <c r="VHV32" s="204"/>
      <c r="VHW32" s="204"/>
      <c r="VHX32" s="204"/>
      <c r="VHY32" s="204"/>
      <c r="VHZ32" s="204"/>
      <c r="VIA32" s="204"/>
      <c r="VIB32" s="204"/>
      <c r="VIC32" s="204"/>
      <c r="VID32" s="204"/>
      <c r="VIE32" s="204"/>
      <c r="VIF32" s="204"/>
      <c r="VIG32" s="204"/>
      <c r="VIH32" s="204"/>
      <c r="VII32" s="204"/>
      <c r="VIJ32" s="204"/>
      <c r="VIK32" s="204"/>
      <c r="VIL32" s="204"/>
      <c r="VIM32" s="204"/>
      <c r="VIN32" s="204"/>
      <c r="VIO32" s="204"/>
      <c r="VIP32" s="204"/>
      <c r="VIQ32" s="204"/>
      <c r="VIR32" s="204"/>
      <c r="VIS32" s="204"/>
      <c r="VIT32" s="204"/>
      <c r="VIU32" s="204"/>
      <c r="VIV32" s="204"/>
      <c r="VIW32" s="204"/>
      <c r="VIX32" s="204"/>
      <c r="VIY32" s="204"/>
      <c r="VIZ32" s="204"/>
      <c r="VJA32" s="204"/>
      <c r="VJB32" s="204"/>
      <c r="VJC32" s="204"/>
      <c r="VJD32" s="204"/>
      <c r="VJE32" s="204"/>
      <c r="VJF32" s="204"/>
      <c r="VJG32" s="204"/>
      <c r="VJH32" s="204"/>
      <c r="VJI32" s="204"/>
      <c r="VJJ32" s="204"/>
      <c r="VJK32" s="204"/>
      <c r="VJL32" s="204"/>
      <c r="VJM32" s="204"/>
      <c r="VJN32" s="204"/>
      <c r="VJO32" s="204"/>
      <c r="VJP32" s="204"/>
      <c r="VJQ32" s="204"/>
      <c r="VJR32" s="204"/>
      <c r="VJS32" s="204"/>
      <c r="VJT32" s="204"/>
      <c r="VJU32" s="204"/>
      <c r="VJV32" s="204"/>
      <c r="VJW32" s="204"/>
      <c r="VJX32" s="204"/>
      <c r="VJY32" s="204"/>
      <c r="VJZ32" s="204"/>
      <c r="VKA32" s="204"/>
      <c r="VKB32" s="204"/>
      <c r="VKC32" s="204"/>
      <c r="VKD32" s="204"/>
      <c r="VKE32" s="204"/>
      <c r="VKF32" s="204"/>
      <c r="VKG32" s="204"/>
      <c r="VKH32" s="204"/>
      <c r="VKI32" s="204"/>
      <c r="VKJ32" s="204"/>
      <c r="VKK32" s="204"/>
      <c r="VKL32" s="204"/>
      <c r="VKM32" s="204"/>
      <c r="VKN32" s="204"/>
      <c r="VKO32" s="204"/>
      <c r="VKP32" s="204"/>
      <c r="VKQ32" s="204"/>
      <c r="VKR32" s="204"/>
      <c r="VKS32" s="204"/>
      <c r="VKT32" s="204"/>
      <c r="VKU32" s="204"/>
      <c r="VKV32" s="204"/>
      <c r="VKW32" s="204"/>
      <c r="VKX32" s="204"/>
      <c r="VKY32" s="204"/>
      <c r="VKZ32" s="204"/>
      <c r="VLA32" s="204"/>
      <c r="VLB32" s="204"/>
      <c r="VLC32" s="204"/>
      <c r="VLD32" s="204"/>
      <c r="VLE32" s="204"/>
      <c r="VLF32" s="204"/>
      <c r="VLG32" s="204"/>
      <c r="VLH32" s="204"/>
      <c r="VLI32" s="204"/>
      <c r="VLJ32" s="204"/>
      <c r="VLK32" s="204"/>
      <c r="VLL32" s="204"/>
      <c r="VLM32" s="204"/>
      <c r="VLN32" s="204"/>
      <c r="VLO32" s="204"/>
      <c r="VLP32" s="204"/>
      <c r="VLQ32" s="204"/>
      <c r="VLR32" s="204"/>
      <c r="VLS32" s="204"/>
      <c r="VLT32" s="204"/>
      <c r="VLU32" s="204"/>
      <c r="VLV32" s="204"/>
      <c r="VLW32" s="204"/>
      <c r="VLX32" s="204"/>
      <c r="VLY32" s="204"/>
      <c r="VLZ32" s="204"/>
      <c r="VMA32" s="204"/>
      <c r="VMB32" s="204"/>
      <c r="VMC32" s="204"/>
      <c r="VMD32" s="204"/>
      <c r="VME32" s="204"/>
      <c r="VMF32" s="204"/>
      <c r="VMG32" s="204"/>
      <c r="VMH32" s="204"/>
      <c r="VMI32" s="204"/>
      <c r="VMJ32" s="204"/>
      <c r="VMK32" s="204"/>
      <c r="VML32" s="204"/>
      <c r="VMM32" s="204"/>
      <c r="VMN32" s="204"/>
      <c r="VMO32" s="204"/>
      <c r="VMP32" s="204"/>
      <c r="VMQ32" s="204"/>
      <c r="VMR32" s="204"/>
      <c r="VMS32" s="204"/>
      <c r="VMT32" s="204"/>
      <c r="VMU32" s="204"/>
      <c r="VMV32" s="204"/>
      <c r="VMW32" s="204"/>
      <c r="VMX32" s="204"/>
      <c r="VMY32" s="204"/>
      <c r="VMZ32" s="204"/>
      <c r="VNA32" s="204"/>
      <c r="VNB32" s="204"/>
      <c r="VNC32" s="204"/>
      <c r="VND32" s="204"/>
      <c r="VNE32" s="204"/>
      <c r="VNF32" s="204"/>
      <c r="VNG32" s="204"/>
      <c r="VNH32" s="204"/>
      <c r="VNI32" s="204"/>
      <c r="VNJ32" s="204"/>
      <c r="VNK32" s="204"/>
      <c r="VNL32" s="204"/>
      <c r="VNM32" s="204"/>
      <c r="VNN32" s="204"/>
      <c r="VNO32" s="204"/>
      <c r="VNP32" s="204"/>
      <c r="VNQ32" s="204"/>
      <c r="VNR32" s="204"/>
      <c r="VNS32" s="204"/>
      <c r="VNT32" s="204"/>
      <c r="VNU32" s="204"/>
      <c r="VNV32" s="204"/>
      <c r="VNW32" s="204"/>
      <c r="VNX32" s="204"/>
      <c r="VNY32" s="204"/>
      <c r="VNZ32" s="204"/>
      <c r="VOA32" s="204"/>
      <c r="VOB32" s="204"/>
      <c r="VOC32" s="204"/>
      <c r="VOD32" s="204"/>
      <c r="VOE32" s="204"/>
      <c r="VOF32" s="204"/>
      <c r="VOG32" s="204"/>
      <c r="VOH32" s="204"/>
      <c r="VOI32" s="204"/>
      <c r="VOJ32" s="204"/>
      <c r="VOK32" s="204"/>
      <c r="VOL32" s="204"/>
      <c r="VOM32" s="204"/>
      <c r="VON32" s="204"/>
      <c r="VOO32" s="204"/>
      <c r="VOP32" s="204"/>
      <c r="VOQ32" s="204"/>
      <c r="VOR32" s="204"/>
      <c r="VOS32" s="204"/>
      <c r="VOT32" s="204"/>
      <c r="VOU32" s="204"/>
      <c r="VOV32" s="204"/>
      <c r="VOW32" s="204"/>
      <c r="VOX32" s="204"/>
      <c r="VOY32" s="204"/>
      <c r="VOZ32" s="204"/>
      <c r="VPA32" s="204"/>
      <c r="VPB32" s="204"/>
      <c r="VPC32" s="204"/>
      <c r="VPD32" s="204"/>
      <c r="VPE32" s="204"/>
      <c r="VPF32" s="204"/>
      <c r="VPG32" s="204"/>
      <c r="VPH32" s="204"/>
      <c r="VPI32" s="204"/>
      <c r="VPJ32" s="204"/>
      <c r="VPK32" s="204"/>
      <c r="VPL32" s="204"/>
      <c r="VPM32" s="204"/>
      <c r="VPN32" s="204"/>
      <c r="VPO32" s="204"/>
      <c r="VPP32" s="204"/>
      <c r="VPQ32" s="204"/>
      <c r="VPR32" s="204"/>
      <c r="VPS32" s="204"/>
      <c r="VPT32" s="204"/>
      <c r="VPU32" s="204"/>
      <c r="VPV32" s="204"/>
      <c r="VPW32" s="204"/>
      <c r="VPX32" s="204"/>
      <c r="VPY32" s="204"/>
      <c r="VPZ32" s="204"/>
      <c r="VQA32" s="204"/>
      <c r="VQB32" s="204"/>
      <c r="VQC32" s="204"/>
      <c r="VQD32" s="204"/>
      <c r="VQE32" s="204"/>
      <c r="VQF32" s="204"/>
      <c r="VQG32" s="204"/>
      <c r="VQH32" s="204"/>
      <c r="VQI32" s="204"/>
      <c r="VQJ32" s="204"/>
      <c r="VQK32" s="204"/>
      <c r="VQL32" s="204"/>
      <c r="VQM32" s="204"/>
      <c r="VQN32" s="204"/>
      <c r="VQO32" s="204"/>
      <c r="VQP32" s="204"/>
      <c r="VQQ32" s="204"/>
      <c r="VQR32" s="204"/>
      <c r="VQS32" s="204"/>
      <c r="VQT32" s="204"/>
      <c r="VQU32" s="204"/>
      <c r="VQV32" s="204"/>
      <c r="VQW32" s="204"/>
      <c r="VQX32" s="204"/>
      <c r="VQY32" s="204"/>
      <c r="VQZ32" s="204"/>
      <c r="VRA32" s="204"/>
      <c r="VRB32" s="204"/>
      <c r="VRC32" s="204"/>
      <c r="VRD32" s="204"/>
      <c r="VRE32" s="204"/>
      <c r="VRF32" s="204"/>
      <c r="VRG32" s="204"/>
      <c r="VRH32" s="204"/>
      <c r="VRI32" s="204"/>
      <c r="VRJ32" s="204"/>
      <c r="VRK32" s="204"/>
      <c r="VRL32" s="204"/>
      <c r="VRM32" s="204"/>
      <c r="VRN32" s="204"/>
      <c r="VRO32" s="204"/>
      <c r="VRP32" s="204"/>
      <c r="VRQ32" s="204"/>
      <c r="VRR32" s="204"/>
      <c r="VRS32" s="204"/>
      <c r="VRT32" s="204"/>
      <c r="VRU32" s="204"/>
      <c r="VRV32" s="204"/>
      <c r="VRW32" s="204"/>
      <c r="VRX32" s="204"/>
      <c r="VRY32" s="204"/>
      <c r="VRZ32" s="204"/>
      <c r="VSA32" s="204"/>
      <c r="VSB32" s="204"/>
      <c r="VSC32" s="204"/>
      <c r="VSD32" s="204"/>
      <c r="VSE32" s="204"/>
      <c r="VSF32" s="204"/>
      <c r="VSG32" s="204"/>
      <c r="VSH32" s="204"/>
      <c r="VSI32" s="204"/>
      <c r="VSJ32" s="204"/>
      <c r="VSK32" s="204"/>
      <c r="VSL32" s="204"/>
      <c r="VSM32" s="204"/>
      <c r="VSN32" s="204"/>
      <c r="VSO32" s="204"/>
      <c r="VSP32" s="204"/>
      <c r="VSQ32" s="204"/>
      <c r="VSR32" s="204"/>
      <c r="VSS32" s="204"/>
      <c r="VST32" s="204"/>
      <c r="VSU32" s="204"/>
      <c r="VSV32" s="204"/>
      <c r="VSW32" s="204"/>
      <c r="VSX32" s="204"/>
      <c r="VSY32" s="204"/>
      <c r="VSZ32" s="204"/>
      <c r="VTA32" s="204"/>
      <c r="VTB32" s="204"/>
      <c r="VTC32" s="204"/>
      <c r="VTD32" s="204"/>
      <c r="VTE32" s="204"/>
      <c r="VTF32" s="204"/>
      <c r="VTG32" s="204"/>
      <c r="VTH32" s="204"/>
      <c r="VTI32" s="204"/>
      <c r="VTJ32" s="204"/>
      <c r="VTK32" s="204"/>
      <c r="VTL32" s="204"/>
      <c r="VTM32" s="204"/>
      <c r="VTN32" s="204"/>
      <c r="VTO32" s="204"/>
      <c r="VTP32" s="204"/>
      <c r="VTQ32" s="204"/>
      <c r="VTR32" s="204"/>
      <c r="VTS32" s="204"/>
      <c r="VTT32" s="204"/>
      <c r="VTU32" s="204"/>
      <c r="VTV32" s="204"/>
      <c r="VTW32" s="204"/>
      <c r="VTX32" s="204"/>
      <c r="VTY32" s="204"/>
      <c r="VTZ32" s="204"/>
      <c r="VUA32" s="204"/>
      <c r="VUB32" s="204"/>
      <c r="VUC32" s="204"/>
      <c r="VUD32" s="204"/>
      <c r="VUE32" s="204"/>
      <c r="VUF32" s="204"/>
      <c r="VUG32" s="204"/>
      <c r="VUH32" s="204"/>
      <c r="VUI32" s="204"/>
      <c r="VUJ32" s="204"/>
      <c r="VUK32" s="204"/>
      <c r="VUL32" s="204"/>
      <c r="VUM32" s="204"/>
      <c r="VUN32" s="204"/>
      <c r="VUO32" s="204"/>
      <c r="VUP32" s="204"/>
      <c r="VUQ32" s="204"/>
      <c r="VUR32" s="204"/>
      <c r="VUS32" s="204"/>
      <c r="VUT32" s="204"/>
      <c r="VUU32" s="204"/>
      <c r="VUV32" s="204"/>
      <c r="VUW32" s="204"/>
      <c r="VUX32" s="204"/>
      <c r="VUY32" s="204"/>
      <c r="VUZ32" s="204"/>
      <c r="VVA32" s="204"/>
      <c r="VVB32" s="204"/>
      <c r="VVC32" s="204"/>
      <c r="VVD32" s="204"/>
      <c r="VVE32" s="204"/>
      <c r="VVF32" s="204"/>
      <c r="VVG32" s="204"/>
      <c r="VVH32" s="204"/>
      <c r="VVI32" s="204"/>
      <c r="VVJ32" s="204"/>
      <c r="VVK32" s="204"/>
      <c r="VVL32" s="204"/>
      <c r="VVM32" s="204"/>
      <c r="VVN32" s="204"/>
      <c r="VVO32" s="204"/>
      <c r="VVP32" s="204"/>
      <c r="VVQ32" s="204"/>
      <c r="VVR32" s="204"/>
      <c r="VVS32" s="204"/>
      <c r="VVT32" s="204"/>
      <c r="VVU32" s="204"/>
      <c r="VVV32" s="204"/>
      <c r="VVW32" s="204"/>
      <c r="VVX32" s="204"/>
      <c r="VVY32" s="204"/>
      <c r="VVZ32" s="204"/>
      <c r="VWA32" s="204"/>
      <c r="VWB32" s="204"/>
      <c r="VWC32" s="204"/>
      <c r="VWD32" s="204"/>
      <c r="VWE32" s="204"/>
      <c r="VWF32" s="204"/>
      <c r="VWG32" s="204"/>
      <c r="VWH32" s="204"/>
      <c r="VWI32" s="204"/>
      <c r="VWJ32" s="204"/>
      <c r="VWK32" s="204"/>
      <c r="VWL32" s="204"/>
      <c r="VWM32" s="204"/>
      <c r="VWN32" s="204"/>
      <c r="VWO32" s="204"/>
      <c r="VWP32" s="204"/>
      <c r="VWQ32" s="204"/>
      <c r="VWR32" s="204"/>
      <c r="VWS32" s="204"/>
      <c r="VWT32" s="204"/>
      <c r="VWU32" s="204"/>
      <c r="VWV32" s="204"/>
      <c r="VWW32" s="204"/>
      <c r="VWX32" s="204"/>
      <c r="VWY32" s="204"/>
      <c r="VWZ32" s="204"/>
      <c r="VXA32" s="204"/>
      <c r="VXB32" s="204"/>
      <c r="VXC32" s="204"/>
      <c r="VXD32" s="204"/>
      <c r="VXE32" s="204"/>
      <c r="VXF32" s="204"/>
      <c r="VXG32" s="204"/>
      <c r="VXH32" s="204"/>
      <c r="VXI32" s="204"/>
      <c r="VXJ32" s="204"/>
      <c r="VXK32" s="204"/>
      <c r="VXL32" s="204"/>
      <c r="VXM32" s="204"/>
      <c r="VXN32" s="204"/>
      <c r="VXO32" s="204"/>
      <c r="VXP32" s="204"/>
      <c r="VXQ32" s="204"/>
      <c r="VXR32" s="204"/>
      <c r="VXS32" s="204"/>
      <c r="VXT32" s="204"/>
      <c r="VXU32" s="204"/>
      <c r="VXV32" s="204"/>
      <c r="VXW32" s="204"/>
      <c r="VXX32" s="204"/>
      <c r="VXY32" s="204"/>
      <c r="VXZ32" s="204"/>
      <c r="VYA32" s="204"/>
      <c r="VYB32" s="204"/>
      <c r="VYC32" s="204"/>
      <c r="VYD32" s="204"/>
      <c r="VYE32" s="204"/>
      <c r="VYF32" s="204"/>
      <c r="VYG32" s="204"/>
      <c r="VYH32" s="204"/>
      <c r="VYI32" s="204"/>
      <c r="VYJ32" s="204"/>
      <c r="VYK32" s="204"/>
      <c r="VYL32" s="204"/>
      <c r="VYM32" s="204"/>
      <c r="VYN32" s="204"/>
      <c r="VYO32" s="204"/>
      <c r="VYP32" s="204"/>
      <c r="VYQ32" s="204"/>
      <c r="VYR32" s="204"/>
      <c r="VYS32" s="204"/>
      <c r="VYT32" s="204"/>
      <c r="VYU32" s="204"/>
      <c r="VYV32" s="204"/>
      <c r="VYW32" s="204"/>
      <c r="VYX32" s="204"/>
      <c r="VYY32" s="204"/>
      <c r="VYZ32" s="204"/>
      <c r="VZA32" s="204"/>
      <c r="VZB32" s="204"/>
      <c r="VZC32" s="204"/>
      <c r="VZD32" s="204"/>
      <c r="VZE32" s="204"/>
      <c r="VZF32" s="204"/>
      <c r="VZG32" s="204"/>
      <c r="VZH32" s="204"/>
      <c r="VZI32" s="204"/>
      <c r="VZJ32" s="204"/>
      <c r="VZK32" s="204"/>
      <c r="VZL32" s="204"/>
      <c r="VZM32" s="204"/>
      <c r="VZN32" s="204"/>
      <c r="VZO32" s="204"/>
      <c r="VZP32" s="204"/>
      <c r="VZQ32" s="204"/>
      <c r="VZR32" s="204"/>
      <c r="VZS32" s="204"/>
      <c r="VZT32" s="204"/>
      <c r="VZU32" s="204"/>
      <c r="VZV32" s="204"/>
      <c r="VZW32" s="204"/>
      <c r="VZX32" s="204"/>
      <c r="VZY32" s="204"/>
      <c r="VZZ32" s="204"/>
      <c r="WAA32" s="204"/>
      <c r="WAB32" s="204"/>
      <c r="WAC32" s="204"/>
      <c r="WAD32" s="204"/>
      <c r="WAE32" s="204"/>
      <c r="WAF32" s="204"/>
      <c r="WAG32" s="204"/>
      <c r="WAH32" s="204"/>
      <c r="WAI32" s="204"/>
      <c r="WAJ32" s="204"/>
      <c r="WAK32" s="204"/>
      <c r="WAL32" s="204"/>
      <c r="WAM32" s="204"/>
      <c r="WAN32" s="204"/>
      <c r="WAO32" s="204"/>
      <c r="WAP32" s="204"/>
      <c r="WAQ32" s="204"/>
      <c r="WAR32" s="204"/>
      <c r="WAS32" s="204"/>
      <c r="WAT32" s="204"/>
      <c r="WAU32" s="204"/>
      <c r="WAV32" s="204"/>
      <c r="WAW32" s="204"/>
      <c r="WAX32" s="204"/>
      <c r="WAY32" s="204"/>
      <c r="WAZ32" s="204"/>
      <c r="WBA32" s="204"/>
      <c r="WBB32" s="204"/>
      <c r="WBC32" s="204"/>
      <c r="WBD32" s="204"/>
      <c r="WBE32" s="204"/>
      <c r="WBF32" s="204"/>
      <c r="WBG32" s="204"/>
      <c r="WBH32" s="204"/>
      <c r="WBI32" s="204"/>
      <c r="WBJ32" s="204"/>
      <c r="WBK32" s="204"/>
      <c r="WBL32" s="204"/>
      <c r="WBM32" s="204"/>
      <c r="WBN32" s="204"/>
      <c r="WBO32" s="204"/>
      <c r="WBP32" s="204"/>
      <c r="WBQ32" s="204"/>
      <c r="WBR32" s="204"/>
      <c r="WBS32" s="204"/>
      <c r="WBT32" s="204"/>
      <c r="WBU32" s="204"/>
      <c r="WBV32" s="204"/>
      <c r="WBW32" s="204"/>
      <c r="WBX32" s="204"/>
      <c r="WBY32" s="204"/>
      <c r="WBZ32" s="204"/>
      <c r="WCA32" s="204"/>
      <c r="WCB32" s="204"/>
      <c r="WCC32" s="204"/>
      <c r="WCD32" s="204"/>
      <c r="WCE32" s="204"/>
      <c r="WCF32" s="204"/>
      <c r="WCG32" s="204"/>
      <c r="WCH32" s="204"/>
      <c r="WCI32" s="204"/>
      <c r="WCJ32" s="204"/>
      <c r="WCK32" s="204"/>
      <c r="WCL32" s="204"/>
      <c r="WCM32" s="204"/>
      <c r="WCN32" s="204"/>
      <c r="WCO32" s="204"/>
      <c r="WCP32" s="204"/>
      <c r="WCQ32" s="204"/>
      <c r="WCR32" s="204"/>
      <c r="WCS32" s="204"/>
      <c r="WCT32" s="204"/>
      <c r="WCU32" s="204"/>
      <c r="WCV32" s="204"/>
      <c r="WCW32" s="204"/>
      <c r="WCX32" s="204"/>
      <c r="WCY32" s="204"/>
      <c r="WCZ32" s="204"/>
      <c r="WDA32" s="204"/>
      <c r="WDB32" s="204"/>
      <c r="WDC32" s="204"/>
      <c r="WDD32" s="204"/>
      <c r="WDE32" s="204"/>
      <c r="WDF32" s="204"/>
      <c r="WDG32" s="204"/>
      <c r="WDH32" s="204"/>
      <c r="WDI32" s="204"/>
      <c r="WDJ32" s="204"/>
      <c r="WDK32" s="204"/>
      <c r="WDL32" s="204"/>
      <c r="WDM32" s="204"/>
      <c r="WDN32" s="204"/>
      <c r="WDO32" s="204"/>
      <c r="WDP32" s="204"/>
      <c r="WDQ32" s="204"/>
      <c r="WDR32" s="204"/>
      <c r="WDS32" s="204"/>
      <c r="WDT32" s="204"/>
      <c r="WDU32" s="204"/>
      <c r="WDV32" s="204"/>
      <c r="WDW32" s="204"/>
      <c r="WDX32" s="204"/>
      <c r="WDY32" s="204"/>
      <c r="WDZ32" s="204"/>
      <c r="WEA32" s="204"/>
      <c r="WEB32" s="204"/>
      <c r="WEC32" s="204"/>
      <c r="WED32" s="204"/>
      <c r="WEE32" s="204"/>
      <c r="WEF32" s="204"/>
      <c r="WEG32" s="204"/>
      <c r="WEH32" s="204"/>
      <c r="WEI32" s="204"/>
      <c r="WEJ32" s="204"/>
      <c r="WEK32" s="204"/>
      <c r="WEL32" s="204"/>
      <c r="WEM32" s="204"/>
      <c r="WEN32" s="204"/>
      <c r="WEO32" s="204"/>
      <c r="WEP32" s="204"/>
      <c r="WEQ32" s="204"/>
      <c r="WER32" s="204"/>
      <c r="WES32" s="204"/>
      <c r="WET32" s="204"/>
      <c r="WEU32" s="204"/>
      <c r="WEV32" s="204"/>
      <c r="WEW32" s="204"/>
      <c r="WEX32" s="204"/>
      <c r="WEY32" s="204"/>
      <c r="WEZ32" s="204"/>
      <c r="WFA32" s="204"/>
      <c r="WFB32" s="204"/>
      <c r="WFC32" s="204"/>
      <c r="WFD32" s="204"/>
      <c r="WFE32" s="204"/>
      <c r="WFF32" s="204"/>
      <c r="WFG32" s="204"/>
      <c r="WFH32" s="204"/>
      <c r="WFI32" s="204"/>
      <c r="WFJ32" s="204"/>
      <c r="WFK32" s="204"/>
      <c r="WFL32" s="204"/>
      <c r="WFM32" s="204"/>
      <c r="WFN32" s="204"/>
      <c r="WFO32" s="204"/>
      <c r="WFP32" s="204"/>
      <c r="WFQ32" s="204"/>
      <c r="WFR32" s="204"/>
      <c r="WFS32" s="204"/>
      <c r="WFT32" s="204"/>
      <c r="WFU32" s="204"/>
      <c r="WFV32" s="204"/>
      <c r="WFW32" s="204"/>
      <c r="WFX32" s="204"/>
      <c r="WFY32" s="204"/>
      <c r="WFZ32" s="204"/>
      <c r="WGA32" s="204"/>
      <c r="WGB32" s="204"/>
      <c r="WGC32" s="204"/>
      <c r="WGD32" s="204"/>
      <c r="WGE32" s="204"/>
      <c r="WGF32" s="204"/>
      <c r="WGG32" s="204"/>
      <c r="WGH32" s="204"/>
      <c r="WGI32" s="204"/>
      <c r="WGJ32" s="204"/>
      <c r="WGK32" s="204"/>
      <c r="WGL32" s="204"/>
      <c r="WGM32" s="204"/>
      <c r="WGN32" s="204"/>
      <c r="WGO32" s="204"/>
      <c r="WGP32" s="204"/>
      <c r="WGQ32" s="204"/>
      <c r="WGR32" s="204"/>
      <c r="WGS32" s="204"/>
      <c r="WGT32" s="204"/>
      <c r="WGU32" s="204"/>
      <c r="WGV32" s="204"/>
      <c r="WGW32" s="204"/>
      <c r="WGX32" s="204"/>
      <c r="WGY32" s="204"/>
      <c r="WGZ32" s="204"/>
      <c r="WHA32" s="204"/>
      <c r="WHB32" s="204"/>
      <c r="WHC32" s="204"/>
      <c r="WHD32" s="204"/>
      <c r="WHE32" s="204"/>
      <c r="WHF32" s="204"/>
      <c r="WHG32" s="204"/>
      <c r="WHH32" s="204"/>
      <c r="WHI32" s="204"/>
      <c r="WHJ32" s="204"/>
      <c r="WHK32" s="204"/>
      <c r="WHL32" s="204"/>
      <c r="WHM32" s="204"/>
      <c r="WHN32" s="204"/>
      <c r="WHO32" s="204"/>
      <c r="WHP32" s="204"/>
      <c r="WHQ32" s="204"/>
      <c r="WHR32" s="204"/>
      <c r="WHS32" s="204"/>
      <c r="WHT32" s="204"/>
      <c r="WHU32" s="204"/>
      <c r="WHV32" s="204"/>
      <c r="WHW32" s="204"/>
      <c r="WHX32" s="204"/>
      <c r="WHY32" s="204"/>
      <c r="WHZ32" s="204"/>
      <c r="WIA32" s="204"/>
      <c r="WIB32" s="204"/>
      <c r="WIC32" s="204"/>
      <c r="WID32" s="204"/>
      <c r="WIE32" s="204"/>
      <c r="WIF32" s="204"/>
      <c r="WIG32" s="204"/>
      <c r="WIH32" s="204"/>
      <c r="WII32" s="204"/>
      <c r="WIJ32" s="204"/>
      <c r="WIK32" s="204"/>
      <c r="WIL32" s="204"/>
      <c r="WIM32" s="204"/>
      <c r="WIN32" s="204"/>
      <c r="WIO32" s="204"/>
      <c r="WIP32" s="204"/>
      <c r="WIQ32" s="204"/>
      <c r="WIR32" s="204"/>
      <c r="WIS32" s="204"/>
      <c r="WIT32" s="204"/>
      <c r="WIU32" s="204"/>
      <c r="WIV32" s="204"/>
      <c r="WIW32" s="204"/>
      <c r="WIX32" s="204"/>
      <c r="WIY32" s="204"/>
      <c r="WIZ32" s="204"/>
      <c r="WJA32" s="204"/>
      <c r="WJB32" s="204"/>
      <c r="WJC32" s="204"/>
      <c r="WJD32" s="204"/>
      <c r="WJE32" s="204"/>
      <c r="WJF32" s="204"/>
      <c r="WJG32" s="204"/>
      <c r="WJH32" s="204"/>
      <c r="WJI32" s="204"/>
      <c r="WJJ32" s="204"/>
      <c r="WJK32" s="204"/>
      <c r="WJL32" s="204"/>
      <c r="WJM32" s="204"/>
      <c r="WJN32" s="204"/>
      <c r="WJO32" s="204"/>
      <c r="WJP32" s="204"/>
      <c r="WJQ32" s="204"/>
      <c r="WJR32" s="204"/>
      <c r="WJS32" s="204"/>
      <c r="WJT32" s="204"/>
      <c r="WJU32" s="204"/>
      <c r="WJV32" s="204"/>
      <c r="WJW32" s="204"/>
      <c r="WJX32" s="204"/>
      <c r="WJY32" s="204"/>
      <c r="WJZ32" s="204"/>
      <c r="WKA32" s="204"/>
      <c r="WKB32" s="204"/>
      <c r="WKC32" s="204"/>
      <c r="WKD32" s="204"/>
      <c r="WKE32" s="204"/>
      <c r="WKF32" s="204"/>
      <c r="WKG32" s="204"/>
      <c r="WKH32" s="204"/>
      <c r="WKI32" s="204"/>
      <c r="WKJ32" s="204"/>
      <c r="WKK32" s="204"/>
      <c r="WKL32" s="204"/>
      <c r="WKM32" s="204"/>
      <c r="WKN32" s="204"/>
      <c r="WKO32" s="204"/>
      <c r="WKP32" s="204"/>
      <c r="WKQ32" s="204"/>
      <c r="WKR32" s="204"/>
      <c r="WKS32" s="204"/>
      <c r="WKT32" s="204"/>
      <c r="WKU32" s="204"/>
      <c r="WKV32" s="204"/>
      <c r="WKW32" s="204"/>
      <c r="WKX32" s="204"/>
      <c r="WKY32" s="204"/>
      <c r="WKZ32" s="204"/>
      <c r="WLA32" s="204"/>
      <c r="WLB32" s="204"/>
      <c r="WLC32" s="204"/>
      <c r="WLD32" s="204"/>
      <c r="WLE32" s="204"/>
      <c r="WLF32" s="204"/>
      <c r="WLG32" s="204"/>
      <c r="WLH32" s="204"/>
      <c r="WLI32" s="204"/>
      <c r="WLJ32" s="204"/>
      <c r="WLK32" s="204"/>
      <c r="WLL32" s="204"/>
      <c r="WLM32" s="204"/>
      <c r="WLN32" s="204"/>
      <c r="WLO32" s="204"/>
      <c r="WLP32" s="204"/>
      <c r="WLQ32" s="204"/>
      <c r="WLR32" s="204"/>
      <c r="WLS32" s="204"/>
      <c r="WLT32" s="204"/>
      <c r="WLU32" s="204"/>
      <c r="WLV32" s="204"/>
      <c r="WLW32" s="204"/>
      <c r="WLX32" s="204"/>
      <c r="WLY32" s="204"/>
      <c r="WLZ32" s="204"/>
      <c r="WMA32" s="204"/>
      <c r="WMB32" s="204"/>
      <c r="WMC32" s="204"/>
      <c r="WMD32" s="204"/>
      <c r="WME32" s="204"/>
      <c r="WMF32" s="204"/>
      <c r="WMG32" s="204"/>
      <c r="WMH32" s="204"/>
      <c r="WMI32" s="204"/>
      <c r="WMJ32" s="204"/>
      <c r="WMK32" s="204"/>
      <c r="WML32" s="204"/>
      <c r="WMM32" s="204"/>
      <c r="WMN32" s="204"/>
      <c r="WMO32" s="204"/>
      <c r="WMP32" s="204"/>
      <c r="WMQ32" s="204"/>
      <c r="WMR32" s="204"/>
      <c r="WMS32" s="204"/>
      <c r="WMT32" s="204"/>
      <c r="WMU32" s="204"/>
      <c r="WMV32" s="204"/>
      <c r="WMW32" s="204"/>
      <c r="WMX32" s="204"/>
      <c r="WMY32" s="204"/>
      <c r="WMZ32" s="204"/>
      <c r="WNA32" s="204"/>
      <c r="WNB32" s="204"/>
      <c r="WNC32" s="204"/>
      <c r="WND32" s="204"/>
      <c r="WNE32" s="204"/>
      <c r="WNF32" s="204"/>
      <c r="WNG32" s="204"/>
      <c r="WNH32" s="204"/>
      <c r="WNI32" s="204"/>
      <c r="WNJ32" s="204"/>
      <c r="WNK32" s="204"/>
      <c r="WNL32" s="204"/>
      <c r="WNM32" s="204"/>
      <c r="WNN32" s="204"/>
      <c r="WNO32" s="204"/>
      <c r="WNP32" s="204"/>
      <c r="WNQ32" s="204"/>
      <c r="WNR32" s="204"/>
      <c r="WNS32" s="204"/>
      <c r="WNT32" s="204"/>
      <c r="WNU32" s="204"/>
      <c r="WNV32" s="204"/>
      <c r="WNW32" s="204"/>
      <c r="WNX32" s="204"/>
      <c r="WNY32" s="204"/>
      <c r="WNZ32" s="204"/>
      <c r="WOA32" s="204"/>
      <c r="WOB32" s="204"/>
      <c r="WOC32" s="204"/>
      <c r="WOD32" s="204"/>
      <c r="WOE32" s="204"/>
      <c r="WOF32" s="204"/>
      <c r="WOG32" s="204"/>
      <c r="WOH32" s="204"/>
      <c r="WOI32" s="204"/>
      <c r="WOJ32" s="204"/>
      <c r="WOK32" s="204"/>
      <c r="WOL32" s="204"/>
      <c r="WOM32" s="204"/>
      <c r="WON32" s="204"/>
      <c r="WOO32" s="204"/>
      <c r="WOP32" s="204"/>
      <c r="WOQ32" s="204"/>
      <c r="WOR32" s="204"/>
      <c r="WOS32" s="204"/>
      <c r="WOT32" s="204"/>
      <c r="WOU32" s="204"/>
      <c r="WOV32" s="204"/>
      <c r="WOW32" s="204"/>
      <c r="WOX32" s="204"/>
      <c r="WOY32" s="204"/>
      <c r="WOZ32" s="204"/>
      <c r="WPA32" s="204"/>
      <c r="WPB32" s="204"/>
      <c r="WPC32" s="204"/>
      <c r="WPD32" s="204"/>
      <c r="WPE32" s="204"/>
      <c r="WPF32" s="204"/>
      <c r="WPG32" s="204"/>
      <c r="WPH32" s="204"/>
      <c r="WPI32" s="204"/>
      <c r="WPJ32" s="204"/>
      <c r="WPK32" s="204"/>
      <c r="WPL32" s="204"/>
      <c r="WPM32" s="204"/>
      <c r="WPN32" s="204"/>
      <c r="WPO32" s="204"/>
      <c r="WPP32" s="204"/>
      <c r="WPQ32" s="204"/>
      <c r="WPR32" s="204"/>
      <c r="WPS32" s="204"/>
      <c r="WPT32" s="204"/>
      <c r="WPU32" s="204"/>
      <c r="WPV32" s="204"/>
      <c r="WPW32" s="204"/>
      <c r="WPX32" s="204"/>
      <c r="WPY32" s="204"/>
      <c r="WPZ32" s="204"/>
      <c r="WQA32" s="204"/>
      <c r="WQB32" s="204"/>
      <c r="WQC32" s="204"/>
      <c r="WQD32" s="204"/>
      <c r="WQE32" s="204"/>
      <c r="WQF32" s="204"/>
      <c r="WQG32" s="204"/>
      <c r="WQH32" s="204"/>
      <c r="WQI32" s="204"/>
      <c r="WQJ32" s="204"/>
      <c r="WQK32" s="204"/>
      <c r="WQL32" s="204"/>
      <c r="WQM32" s="204"/>
      <c r="WQN32" s="204"/>
      <c r="WQO32" s="204"/>
      <c r="WQP32" s="204"/>
      <c r="WQQ32" s="204"/>
      <c r="WQR32" s="204"/>
      <c r="WQS32" s="204"/>
      <c r="WQT32" s="204"/>
      <c r="WQU32" s="204"/>
      <c r="WQV32" s="204"/>
      <c r="WQW32" s="204"/>
      <c r="WQX32" s="204"/>
      <c r="WQY32" s="204"/>
      <c r="WQZ32" s="204"/>
      <c r="WRA32" s="204"/>
      <c r="WRB32" s="204"/>
      <c r="WRC32" s="204"/>
      <c r="WRD32" s="204"/>
      <c r="WRE32" s="204"/>
      <c r="WRF32" s="204"/>
      <c r="WRG32" s="204"/>
      <c r="WRH32" s="204"/>
      <c r="WRI32" s="204"/>
      <c r="WRJ32" s="204"/>
      <c r="WRK32" s="204"/>
      <c r="WRL32" s="204"/>
      <c r="WRM32" s="204"/>
      <c r="WRN32" s="204"/>
      <c r="WRO32" s="204"/>
      <c r="WRP32" s="204"/>
      <c r="WRQ32" s="204"/>
      <c r="WRR32" s="204"/>
      <c r="WRS32" s="204"/>
      <c r="WRT32" s="204"/>
      <c r="WRU32" s="204"/>
      <c r="WRV32" s="204"/>
      <c r="WRW32" s="204"/>
      <c r="WRX32" s="204"/>
      <c r="WRY32" s="204"/>
      <c r="WRZ32" s="204"/>
      <c r="WSA32" s="204"/>
      <c r="WSB32" s="204"/>
      <c r="WSC32" s="204"/>
      <c r="WSD32" s="204"/>
      <c r="WSE32" s="204"/>
      <c r="WSF32" s="204"/>
      <c r="WSG32" s="204"/>
      <c r="WSH32" s="204"/>
      <c r="WSI32" s="204"/>
      <c r="WSJ32" s="204"/>
      <c r="WSK32" s="204"/>
      <c r="WSL32" s="204"/>
      <c r="WSM32" s="204"/>
      <c r="WSN32" s="204"/>
      <c r="WSO32" s="204"/>
      <c r="WSP32" s="204"/>
      <c r="WSQ32" s="204"/>
      <c r="WSR32" s="204"/>
      <c r="WSS32" s="204"/>
      <c r="WST32" s="204"/>
      <c r="WSU32" s="204"/>
      <c r="WSV32" s="204"/>
      <c r="WSW32" s="204"/>
      <c r="WSX32" s="204"/>
      <c r="WSY32" s="204"/>
      <c r="WSZ32" s="204"/>
      <c r="WTA32" s="204"/>
      <c r="WTB32" s="204"/>
      <c r="WTC32" s="204"/>
      <c r="WTD32" s="204"/>
      <c r="WTE32" s="204"/>
      <c r="WTF32" s="204"/>
      <c r="WTG32" s="204"/>
      <c r="WTH32" s="204"/>
      <c r="WTI32" s="204"/>
      <c r="WTJ32" s="204"/>
      <c r="WTK32" s="204"/>
      <c r="WTL32" s="204"/>
      <c r="WTM32" s="204"/>
      <c r="WTN32" s="204"/>
      <c r="WTO32" s="204"/>
      <c r="WTP32" s="204"/>
      <c r="WTQ32" s="204"/>
      <c r="WTR32" s="204"/>
      <c r="WTS32" s="204"/>
      <c r="WTT32" s="204"/>
      <c r="WTU32" s="204"/>
      <c r="WTV32" s="204"/>
      <c r="WTW32" s="204"/>
      <c r="WTX32" s="204"/>
      <c r="WTY32" s="204"/>
      <c r="WTZ32" s="204"/>
      <c r="WUA32" s="204"/>
      <c r="WUB32" s="204"/>
      <c r="WUC32" s="204"/>
      <c r="WUD32" s="204"/>
      <c r="WUE32" s="204"/>
      <c r="WUF32" s="204"/>
      <c r="WUG32" s="204"/>
      <c r="WUH32" s="204"/>
      <c r="WUI32" s="204"/>
      <c r="WUJ32" s="204"/>
      <c r="WUK32" s="204"/>
      <c r="WUL32" s="204"/>
      <c r="WUM32" s="204"/>
      <c r="WUN32" s="204"/>
      <c r="WUO32" s="204"/>
      <c r="WUP32" s="204"/>
      <c r="WUQ32" s="204"/>
      <c r="WUR32" s="204"/>
      <c r="WUS32" s="204"/>
      <c r="WUT32" s="204"/>
      <c r="WUU32" s="204"/>
      <c r="WUV32" s="204"/>
      <c r="WUW32" s="204"/>
      <c r="WUX32" s="204"/>
      <c r="WUY32" s="204"/>
      <c r="WUZ32" s="204"/>
      <c r="WVA32" s="204"/>
      <c r="WVB32" s="204"/>
      <c r="WVC32" s="204"/>
      <c r="WVD32" s="204"/>
      <c r="WVE32" s="204"/>
      <c r="WVF32" s="204"/>
      <c r="WVG32" s="204"/>
      <c r="WVH32" s="204"/>
      <c r="WVI32" s="204"/>
      <c r="WVJ32" s="204"/>
      <c r="WVK32" s="204"/>
      <c r="WVL32" s="204"/>
      <c r="WVM32" s="204"/>
      <c r="WVN32" s="204"/>
      <c r="WVO32" s="204"/>
      <c r="WVP32" s="204"/>
      <c r="WVQ32" s="204"/>
      <c r="WVR32" s="204"/>
      <c r="WVS32" s="204"/>
      <c r="WVT32" s="204"/>
      <c r="WVU32" s="204"/>
      <c r="WVV32" s="204"/>
      <c r="WVW32" s="204"/>
      <c r="WVX32" s="204"/>
      <c r="WVY32" s="204"/>
      <c r="WVZ32" s="204"/>
      <c r="WWA32" s="204"/>
      <c r="WWB32" s="204"/>
      <c r="WWC32" s="204"/>
      <c r="WWD32" s="204"/>
      <c r="WWE32" s="204"/>
      <c r="WWF32" s="204"/>
      <c r="WWG32" s="204"/>
      <c r="WWH32" s="204"/>
      <c r="WWI32" s="204"/>
      <c r="WWJ32" s="204"/>
      <c r="WWK32" s="204"/>
      <c r="WWL32" s="204"/>
      <c r="WWM32" s="204"/>
      <c r="WWN32" s="204"/>
      <c r="WWO32" s="204"/>
      <c r="WWP32" s="204"/>
      <c r="WWQ32" s="204"/>
      <c r="WWR32" s="204"/>
      <c r="WWS32" s="204"/>
      <c r="WWT32" s="204"/>
      <c r="WWU32" s="204"/>
      <c r="WWV32" s="204"/>
      <c r="WWW32" s="204"/>
      <c r="WWX32" s="204"/>
      <c r="WWY32" s="204"/>
      <c r="WWZ32" s="204"/>
      <c r="WXA32" s="204"/>
      <c r="WXB32" s="204"/>
      <c r="WXC32" s="204"/>
      <c r="WXD32" s="204"/>
      <c r="WXE32" s="204"/>
      <c r="WXF32" s="204"/>
      <c r="WXG32" s="204"/>
      <c r="WXH32" s="204"/>
      <c r="WXI32" s="204"/>
      <c r="WXJ32" s="204"/>
      <c r="WXK32" s="204"/>
      <c r="WXL32" s="204"/>
      <c r="WXM32" s="204"/>
      <c r="WXN32" s="204"/>
      <c r="WXO32" s="204"/>
      <c r="WXP32" s="204"/>
      <c r="WXQ32" s="204"/>
      <c r="WXR32" s="204"/>
      <c r="WXS32" s="204"/>
      <c r="WXT32" s="204"/>
      <c r="WXU32" s="204"/>
      <c r="WXV32" s="204"/>
      <c r="WXW32" s="204"/>
      <c r="WXX32" s="204"/>
      <c r="WXY32" s="204"/>
      <c r="WXZ32" s="204"/>
      <c r="WYA32" s="204"/>
      <c r="WYB32" s="204"/>
      <c r="WYC32" s="204"/>
      <c r="WYD32" s="204"/>
      <c r="WYE32" s="204"/>
      <c r="WYF32" s="204"/>
      <c r="WYG32" s="204"/>
      <c r="WYH32" s="204"/>
      <c r="WYI32" s="204"/>
      <c r="WYJ32" s="204"/>
      <c r="WYK32" s="204"/>
      <c r="WYL32" s="204"/>
      <c r="WYM32" s="204"/>
      <c r="WYN32" s="204"/>
      <c r="WYO32" s="204"/>
      <c r="WYP32" s="204"/>
      <c r="WYQ32" s="204"/>
      <c r="WYR32" s="204"/>
      <c r="WYS32" s="204"/>
      <c r="WYT32" s="204"/>
      <c r="WYU32" s="204"/>
      <c r="WYV32" s="204"/>
      <c r="WYW32" s="204"/>
      <c r="WYX32" s="204"/>
      <c r="WYY32" s="204"/>
      <c r="WYZ32" s="204"/>
      <c r="WZA32" s="204"/>
      <c r="WZB32" s="204"/>
      <c r="WZC32" s="204"/>
      <c r="WZD32" s="204"/>
      <c r="WZE32" s="204"/>
      <c r="WZF32" s="204"/>
      <c r="WZG32" s="204"/>
      <c r="WZH32" s="204"/>
      <c r="WZI32" s="204"/>
      <c r="WZJ32" s="204"/>
      <c r="WZK32" s="204"/>
      <c r="WZL32" s="204"/>
      <c r="WZM32" s="204"/>
      <c r="WZN32" s="204"/>
      <c r="WZO32" s="204"/>
      <c r="WZP32" s="204"/>
      <c r="WZQ32" s="204"/>
      <c r="WZR32" s="204"/>
      <c r="WZS32" s="204"/>
      <c r="WZT32" s="204"/>
      <c r="WZU32" s="204"/>
      <c r="WZV32" s="204"/>
      <c r="WZW32" s="204"/>
      <c r="WZX32" s="204"/>
      <c r="WZY32" s="204"/>
      <c r="WZZ32" s="204"/>
      <c r="XAA32" s="204"/>
      <c r="XAB32" s="204"/>
      <c r="XAC32" s="204"/>
      <c r="XAD32" s="204"/>
      <c r="XAE32" s="204"/>
      <c r="XAF32" s="204"/>
      <c r="XAG32" s="204"/>
      <c r="XAH32" s="204"/>
      <c r="XAI32" s="204"/>
      <c r="XAJ32" s="204"/>
      <c r="XAK32" s="204"/>
      <c r="XAL32" s="204"/>
      <c r="XAM32" s="204"/>
      <c r="XAN32" s="204"/>
      <c r="XAO32" s="204"/>
      <c r="XAP32" s="204"/>
      <c r="XAQ32" s="204"/>
      <c r="XAR32" s="204"/>
      <c r="XAS32" s="204"/>
      <c r="XAT32" s="204"/>
      <c r="XAU32" s="204"/>
      <c r="XAV32" s="204"/>
      <c r="XAW32" s="204"/>
      <c r="XAX32" s="204"/>
      <c r="XAY32" s="204"/>
      <c r="XAZ32" s="204"/>
      <c r="XBA32" s="204"/>
      <c r="XBB32" s="204"/>
      <c r="XBC32" s="204"/>
      <c r="XBD32" s="204"/>
      <c r="XBE32" s="204"/>
      <c r="XBF32" s="204"/>
      <c r="XBG32" s="204"/>
      <c r="XBH32" s="204"/>
      <c r="XBI32" s="204"/>
      <c r="XBJ32" s="204"/>
      <c r="XBK32" s="204"/>
      <c r="XBL32" s="204"/>
      <c r="XBM32" s="204"/>
      <c r="XBN32" s="204"/>
      <c r="XBO32" s="204"/>
      <c r="XBP32" s="204"/>
      <c r="XBQ32" s="204"/>
      <c r="XBR32" s="204"/>
      <c r="XBS32" s="204"/>
      <c r="XBT32" s="204"/>
      <c r="XBU32" s="204"/>
      <c r="XBV32" s="204"/>
      <c r="XBW32" s="204"/>
      <c r="XBX32" s="204"/>
      <c r="XBY32" s="204"/>
      <c r="XBZ32" s="204"/>
      <c r="XCA32" s="204"/>
      <c r="XCB32" s="204"/>
      <c r="XCC32" s="204"/>
      <c r="XCD32" s="204"/>
      <c r="XCE32" s="204"/>
      <c r="XCF32" s="204"/>
      <c r="XCG32" s="204"/>
      <c r="XCH32" s="204"/>
      <c r="XCI32" s="204"/>
      <c r="XCJ32" s="204"/>
      <c r="XCK32" s="204"/>
      <c r="XCL32" s="204"/>
      <c r="XCM32" s="204"/>
      <c r="XCN32" s="204"/>
      <c r="XCO32" s="204"/>
      <c r="XCP32" s="204"/>
      <c r="XCQ32" s="204"/>
      <c r="XCR32" s="204"/>
      <c r="XCS32" s="204"/>
      <c r="XCT32" s="204"/>
      <c r="XCU32" s="204"/>
      <c r="XCV32" s="204"/>
      <c r="XCW32" s="204"/>
      <c r="XCX32" s="204"/>
      <c r="XCY32" s="204"/>
      <c r="XCZ32" s="204"/>
      <c r="XDA32" s="204"/>
      <c r="XDB32" s="204"/>
      <c r="XDC32" s="204"/>
      <c r="XDD32" s="204"/>
      <c r="XDE32" s="204"/>
      <c r="XDF32" s="204"/>
      <c r="XDG32" s="204"/>
      <c r="XDH32" s="204"/>
      <c r="XDI32" s="204"/>
      <c r="XDJ32" s="204"/>
      <c r="XDK32" s="204"/>
      <c r="XDL32" s="204"/>
      <c r="XDM32" s="204"/>
      <c r="XDN32" s="204"/>
      <c r="XDO32" s="204"/>
      <c r="XDP32" s="204"/>
      <c r="XDQ32" s="204"/>
      <c r="XDR32" s="204"/>
      <c r="XDS32" s="204"/>
      <c r="XDT32" s="204"/>
      <c r="XDU32" s="204"/>
      <c r="XDV32" s="204"/>
      <c r="XDW32" s="204"/>
      <c r="XDX32" s="204"/>
      <c r="XDY32" s="204"/>
      <c r="XDZ32" s="204"/>
      <c r="XEA32" s="204"/>
      <c r="XEB32" s="204"/>
      <c r="XEC32" s="204"/>
      <c r="XED32" s="204"/>
      <c r="XEE32" s="204"/>
      <c r="XEF32" s="204"/>
      <c r="XEG32" s="204"/>
      <c r="XEH32" s="204"/>
      <c r="XEI32" s="204"/>
      <c r="XEJ32" s="204"/>
      <c r="XEK32" s="204"/>
      <c r="XEL32" s="204"/>
      <c r="XEM32" s="204"/>
      <c r="XEN32" s="204"/>
      <c r="XEO32" s="204"/>
      <c r="XEP32" s="204"/>
      <c r="XEQ32" s="204"/>
      <c r="XER32" s="204"/>
      <c r="XES32" s="204"/>
      <c r="XET32" s="204"/>
      <c r="XEU32" s="204"/>
      <c r="XEV32" s="204"/>
      <c r="XEW32" s="204"/>
      <c r="XEX32" s="204"/>
      <c r="XEY32" s="204"/>
      <c r="XEZ32" s="204"/>
      <c r="XFA32" s="204"/>
      <c r="XFB32" s="204"/>
      <c r="XFC32" s="204"/>
      <c r="XFD32" s="204"/>
    </row>
    <row r="33" spans="1:16384" s="289" customFormat="1" ht="12.75" customHeight="1" x14ac:dyDescent="0.2">
      <c r="A33" s="295"/>
      <c r="B33" s="298" t="s">
        <v>2611</v>
      </c>
      <c r="C33" s="294"/>
      <c r="D33" s="293"/>
      <c r="E33" s="292"/>
      <c r="F33" s="292"/>
      <c r="G33" s="292"/>
      <c r="H33" s="292"/>
      <c r="I33" s="291"/>
      <c r="J33" s="291"/>
      <c r="K33" s="291"/>
      <c r="L33" s="291"/>
      <c r="M33" s="295"/>
      <c r="N33" s="295"/>
      <c r="O33" s="295"/>
      <c r="P33" s="295"/>
      <c r="Q33" s="295"/>
      <c r="R33" s="295"/>
      <c r="S33" s="295"/>
      <c r="T33" s="290"/>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row>
    <row r="34" spans="1:16384" ht="12.75" customHeight="1" x14ac:dyDescent="0.2">
      <c r="A34" s="203"/>
      <c r="B34" s="368" t="s">
        <v>3700</v>
      </c>
      <c r="C34" s="369"/>
      <c r="D34" s="369"/>
      <c r="E34" s="369"/>
      <c r="F34" s="369"/>
      <c r="G34" s="369"/>
      <c r="H34" s="369"/>
      <c r="I34" s="369"/>
      <c r="J34" s="369"/>
      <c r="K34" s="369"/>
      <c r="L34" s="369"/>
      <c r="M34" s="369"/>
      <c r="N34" s="369"/>
      <c r="O34" s="369"/>
      <c r="P34" s="203"/>
      <c r="Q34" s="203"/>
      <c r="R34" s="203"/>
      <c r="S34" s="203"/>
      <c r="T34" s="63"/>
      <c r="U34" s="203"/>
      <c r="V34" s="203"/>
      <c r="W34" s="203"/>
      <c r="X34" s="203"/>
      <c r="Y34" s="203"/>
      <c r="Z34" s="203"/>
      <c r="AA34" s="203"/>
      <c r="AB34" s="203"/>
      <c r="AC34" s="203"/>
      <c r="AD34" s="203"/>
      <c r="AE34" s="203"/>
      <c r="AF34" s="203"/>
      <c r="AG34" s="203"/>
      <c r="AH34" s="203"/>
      <c r="AI34" s="203"/>
      <c r="AJ34" s="203"/>
      <c r="AK34" s="203"/>
      <c r="AL34" s="203"/>
      <c r="AM34" s="203"/>
      <c r="AN34" s="203"/>
      <c r="AO34" s="203"/>
      <c r="AP34" s="203"/>
      <c r="AQ34" s="203"/>
      <c r="AR34" s="203"/>
      <c r="AS34" s="203"/>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04"/>
      <c r="CI34" s="204"/>
      <c r="CJ34" s="204"/>
      <c r="CK34" s="204"/>
      <c r="CL34" s="204"/>
      <c r="CM34" s="204"/>
      <c r="CN34" s="204"/>
      <c r="CO34" s="204"/>
      <c r="CP34" s="204"/>
      <c r="CQ34" s="204"/>
      <c r="CR34" s="204"/>
      <c r="CS34" s="204"/>
      <c r="CT34" s="204"/>
      <c r="CU34" s="204"/>
      <c r="CV34" s="204"/>
      <c r="CW34" s="204"/>
      <c r="CX34" s="204"/>
      <c r="CY34" s="204"/>
      <c r="CZ34" s="204"/>
      <c r="DA34" s="204"/>
      <c r="DB34" s="204"/>
      <c r="DC34" s="204"/>
      <c r="DD34" s="204"/>
      <c r="DE34" s="204"/>
      <c r="DF34" s="204"/>
      <c r="DG34" s="204"/>
      <c r="DH34" s="204"/>
      <c r="DI34" s="204"/>
      <c r="DJ34" s="204"/>
      <c r="DK34" s="204"/>
      <c r="DL34" s="204"/>
      <c r="DM34" s="204"/>
      <c r="DN34" s="204"/>
      <c r="DO34" s="204"/>
      <c r="DP34" s="204"/>
      <c r="DQ34" s="204"/>
      <c r="DR34" s="204"/>
      <c r="DS34" s="204"/>
      <c r="DT34" s="204"/>
      <c r="DU34" s="204"/>
      <c r="DV34" s="204"/>
      <c r="DW34" s="204"/>
      <c r="DX34" s="204"/>
      <c r="DY34" s="204"/>
      <c r="DZ34" s="204"/>
      <c r="EA34" s="204"/>
      <c r="EB34" s="204"/>
      <c r="EC34" s="204"/>
      <c r="ED34" s="204"/>
      <c r="EE34" s="204"/>
      <c r="EF34" s="204"/>
      <c r="EG34" s="204"/>
      <c r="EH34" s="204"/>
      <c r="EI34" s="204"/>
      <c r="EJ34" s="204"/>
      <c r="EK34" s="204"/>
      <c r="EL34" s="204"/>
      <c r="EM34" s="204"/>
      <c r="EN34" s="204"/>
      <c r="EO34" s="204"/>
      <c r="EP34" s="204"/>
      <c r="EQ34" s="204"/>
      <c r="ER34" s="204"/>
      <c r="ES34" s="204"/>
      <c r="ET34" s="204"/>
      <c r="EU34" s="204"/>
      <c r="EV34" s="204"/>
      <c r="EW34" s="204"/>
      <c r="EX34" s="204"/>
      <c r="EY34" s="204"/>
      <c r="EZ34" s="204"/>
      <c r="FA34" s="204"/>
      <c r="FB34" s="204"/>
      <c r="FC34" s="204"/>
      <c r="FD34" s="204"/>
      <c r="FE34" s="204"/>
      <c r="FF34" s="204"/>
      <c r="FG34" s="204"/>
      <c r="FH34" s="204"/>
      <c r="FI34" s="204"/>
      <c r="FJ34" s="204"/>
      <c r="FK34" s="204"/>
      <c r="FL34" s="204"/>
      <c r="FM34" s="204"/>
      <c r="FN34" s="204"/>
      <c r="FO34" s="204"/>
      <c r="FP34" s="204"/>
      <c r="FQ34" s="204"/>
      <c r="FR34" s="204"/>
      <c r="FS34" s="204"/>
      <c r="FT34" s="204"/>
      <c r="FU34" s="204"/>
      <c r="FV34" s="204"/>
      <c r="FW34" s="204"/>
      <c r="FX34" s="204"/>
      <c r="FY34" s="204"/>
      <c r="FZ34" s="204"/>
      <c r="GA34" s="204"/>
      <c r="GB34" s="204"/>
      <c r="GC34" s="204"/>
      <c r="GD34" s="204"/>
      <c r="GE34" s="204"/>
      <c r="GF34" s="204"/>
      <c r="GG34" s="204"/>
      <c r="GH34" s="204"/>
      <c r="GI34" s="204"/>
      <c r="GJ34" s="204"/>
      <c r="GK34" s="204"/>
      <c r="GL34" s="204"/>
      <c r="GM34" s="204"/>
      <c r="GN34" s="204"/>
      <c r="GO34" s="204"/>
      <c r="GP34" s="204"/>
      <c r="GQ34" s="204"/>
      <c r="GR34" s="204"/>
      <c r="GS34" s="204"/>
      <c r="GT34" s="204"/>
      <c r="GU34" s="204"/>
      <c r="GV34" s="204"/>
      <c r="GW34" s="204"/>
      <c r="GX34" s="204"/>
      <c r="GY34" s="204"/>
      <c r="GZ34" s="204"/>
      <c r="HA34" s="204"/>
      <c r="HB34" s="204"/>
      <c r="HC34" s="204"/>
      <c r="HD34" s="204"/>
      <c r="HE34" s="204"/>
      <c r="HF34" s="204"/>
      <c r="HG34" s="204"/>
      <c r="HH34" s="204"/>
      <c r="HI34" s="204"/>
      <c r="HJ34" s="204"/>
      <c r="HK34" s="204"/>
      <c r="HL34" s="204"/>
      <c r="HM34" s="204"/>
      <c r="HN34" s="204"/>
      <c r="HO34" s="204"/>
      <c r="HP34" s="204"/>
      <c r="HQ34" s="204"/>
      <c r="HR34" s="204"/>
      <c r="HS34" s="204"/>
      <c r="HT34" s="204"/>
      <c r="HU34" s="204"/>
      <c r="HV34" s="204"/>
      <c r="HW34" s="204"/>
      <c r="HX34" s="204"/>
      <c r="HY34" s="204"/>
      <c r="HZ34" s="204"/>
      <c r="IA34" s="204"/>
      <c r="IB34" s="204"/>
      <c r="IC34" s="204"/>
      <c r="ID34" s="204"/>
      <c r="IE34" s="204"/>
      <c r="IF34" s="204"/>
      <c r="IG34" s="204"/>
      <c r="IH34" s="204"/>
      <c r="II34" s="204"/>
      <c r="IJ34" s="204"/>
      <c r="IK34" s="204"/>
      <c r="IL34" s="204"/>
      <c r="IM34" s="204"/>
      <c r="IN34" s="204"/>
      <c r="IO34" s="204"/>
      <c r="IP34" s="204"/>
      <c r="IQ34" s="204"/>
      <c r="IR34" s="204"/>
      <c r="IS34" s="204"/>
      <c r="IT34" s="204"/>
      <c r="IU34" s="204"/>
      <c r="IV34" s="204"/>
      <c r="IW34" s="204"/>
      <c r="IX34" s="204"/>
      <c r="IY34" s="204"/>
      <c r="IZ34" s="204"/>
      <c r="JA34" s="204"/>
      <c r="JB34" s="204"/>
      <c r="JC34" s="204"/>
      <c r="JD34" s="204"/>
      <c r="JE34" s="204"/>
      <c r="JF34" s="204"/>
      <c r="JG34" s="204"/>
      <c r="JH34" s="204"/>
      <c r="JI34" s="204"/>
      <c r="JJ34" s="204"/>
      <c r="JK34" s="204"/>
      <c r="JL34" s="204"/>
      <c r="JM34" s="204"/>
      <c r="JN34" s="204"/>
      <c r="JO34" s="204"/>
      <c r="JP34" s="204"/>
      <c r="JQ34" s="204"/>
      <c r="JR34" s="204"/>
      <c r="JS34" s="204"/>
      <c r="JT34" s="204"/>
      <c r="JU34" s="204"/>
      <c r="JV34" s="204"/>
      <c r="JW34" s="204"/>
      <c r="JX34" s="204"/>
      <c r="JY34" s="204"/>
      <c r="JZ34" s="204"/>
      <c r="KA34" s="204"/>
      <c r="KB34" s="204"/>
      <c r="KC34" s="204"/>
      <c r="KD34" s="204"/>
      <c r="KE34" s="204"/>
      <c r="KF34" s="204"/>
      <c r="KG34" s="204"/>
      <c r="KH34" s="204"/>
      <c r="KI34" s="204"/>
      <c r="KJ34" s="204"/>
      <c r="KK34" s="204"/>
      <c r="KL34" s="204"/>
      <c r="KM34" s="204"/>
      <c r="KN34" s="204"/>
      <c r="KO34" s="204"/>
      <c r="KP34" s="204"/>
      <c r="KQ34" s="204"/>
      <c r="KR34" s="204"/>
      <c r="KS34" s="204"/>
      <c r="KT34" s="204"/>
      <c r="KU34" s="204"/>
      <c r="KV34" s="204"/>
      <c r="KW34" s="204"/>
      <c r="KX34" s="204"/>
      <c r="KY34" s="204"/>
      <c r="KZ34" s="204"/>
      <c r="LA34" s="204"/>
      <c r="LB34" s="204"/>
      <c r="LC34" s="204"/>
      <c r="LD34" s="204"/>
      <c r="LE34" s="204"/>
      <c r="LF34" s="204"/>
      <c r="LG34" s="204"/>
      <c r="LH34" s="204"/>
      <c r="LI34" s="204"/>
      <c r="LJ34" s="204"/>
      <c r="LK34" s="204"/>
      <c r="LL34" s="204"/>
      <c r="LM34" s="204"/>
      <c r="LN34" s="204"/>
      <c r="LO34" s="204"/>
      <c r="LP34" s="204"/>
      <c r="LQ34" s="204"/>
      <c r="LR34" s="204"/>
      <c r="LS34" s="204"/>
      <c r="LT34" s="204"/>
      <c r="LU34" s="204"/>
      <c r="LV34" s="204"/>
      <c r="LW34" s="204"/>
      <c r="LX34" s="204"/>
      <c r="LY34" s="204"/>
      <c r="LZ34" s="204"/>
      <c r="MA34" s="204"/>
      <c r="MB34" s="204"/>
      <c r="MC34" s="204"/>
      <c r="MD34" s="204"/>
      <c r="ME34" s="204"/>
      <c r="MF34" s="204"/>
      <c r="MG34" s="204"/>
      <c r="MH34" s="204"/>
      <c r="MI34" s="204"/>
      <c r="MJ34" s="204"/>
      <c r="MK34" s="204"/>
      <c r="ML34" s="204"/>
      <c r="MM34" s="204"/>
      <c r="MN34" s="204"/>
      <c r="MO34" s="204"/>
      <c r="MP34" s="204"/>
      <c r="MQ34" s="204"/>
      <c r="MR34" s="204"/>
      <c r="MS34" s="204"/>
      <c r="MT34" s="204"/>
      <c r="MU34" s="204"/>
      <c r="MV34" s="204"/>
      <c r="MW34" s="204"/>
      <c r="MX34" s="204"/>
      <c r="MY34" s="204"/>
      <c r="MZ34" s="204"/>
      <c r="NA34" s="204"/>
      <c r="NB34" s="204"/>
      <c r="NC34" s="204"/>
      <c r="ND34" s="204"/>
      <c r="NE34" s="204"/>
      <c r="NF34" s="204"/>
      <c r="NG34" s="204"/>
      <c r="NH34" s="204"/>
      <c r="NI34" s="204"/>
      <c r="NJ34" s="204"/>
      <c r="NK34" s="204"/>
      <c r="NL34" s="204"/>
      <c r="NM34" s="204"/>
      <c r="NN34" s="204"/>
      <c r="NO34" s="204"/>
      <c r="NP34" s="204"/>
      <c r="NQ34" s="204"/>
      <c r="NR34" s="204"/>
      <c r="NS34" s="204"/>
      <c r="NT34" s="204"/>
      <c r="NU34" s="204"/>
      <c r="NV34" s="204"/>
      <c r="NW34" s="204"/>
      <c r="NX34" s="204"/>
      <c r="NY34" s="204"/>
      <c r="NZ34" s="204"/>
      <c r="OA34" s="204"/>
      <c r="OB34" s="204"/>
      <c r="OC34" s="204"/>
      <c r="OD34" s="204"/>
      <c r="OE34" s="204"/>
      <c r="OF34" s="204"/>
      <c r="OG34" s="204"/>
      <c r="OH34" s="204"/>
      <c r="OI34" s="204"/>
      <c r="OJ34" s="204"/>
      <c r="OK34" s="204"/>
      <c r="OL34" s="204"/>
      <c r="OM34" s="204"/>
      <c r="ON34" s="204"/>
      <c r="OO34" s="204"/>
      <c r="OP34" s="204"/>
      <c r="OQ34" s="204"/>
      <c r="OR34" s="204"/>
      <c r="OS34" s="204"/>
      <c r="OT34" s="204"/>
      <c r="OU34" s="204"/>
      <c r="OV34" s="204"/>
      <c r="OW34" s="204"/>
      <c r="OX34" s="204"/>
      <c r="OY34" s="204"/>
      <c r="OZ34" s="204"/>
      <c r="PA34" s="204"/>
      <c r="PB34" s="204"/>
      <c r="PC34" s="204"/>
      <c r="PD34" s="204"/>
      <c r="PE34" s="204"/>
      <c r="PF34" s="204"/>
      <c r="PG34" s="204"/>
      <c r="PH34" s="204"/>
      <c r="PI34" s="204"/>
      <c r="PJ34" s="204"/>
      <c r="PK34" s="204"/>
      <c r="PL34" s="204"/>
      <c r="PM34" s="204"/>
      <c r="PN34" s="204"/>
      <c r="PO34" s="204"/>
      <c r="PP34" s="204"/>
      <c r="PQ34" s="204"/>
      <c r="PR34" s="204"/>
      <c r="PS34" s="204"/>
      <c r="PT34" s="204"/>
      <c r="PU34" s="204"/>
      <c r="PV34" s="204"/>
      <c r="PW34" s="204"/>
      <c r="PX34" s="204"/>
      <c r="PY34" s="204"/>
      <c r="PZ34" s="204"/>
      <c r="QA34" s="204"/>
      <c r="QB34" s="204"/>
      <c r="QC34" s="204"/>
      <c r="QD34" s="204"/>
      <c r="QE34" s="204"/>
      <c r="QF34" s="204"/>
      <c r="QG34" s="204"/>
      <c r="QH34" s="204"/>
      <c r="QI34" s="204"/>
      <c r="QJ34" s="204"/>
      <c r="QK34" s="204"/>
      <c r="QL34" s="204"/>
      <c r="QM34" s="204"/>
      <c r="QN34" s="204"/>
      <c r="QO34" s="204"/>
      <c r="QP34" s="204"/>
      <c r="QQ34" s="204"/>
      <c r="QR34" s="204"/>
      <c r="QS34" s="204"/>
      <c r="QT34" s="204"/>
      <c r="QU34" s="204"/>
      <c r="QV34" s="204"/>
      <c r="QW34" s="204"/>
      <c r="QX34" s="204"/>
      <c r="QY34" s="204"/>
      <c r="QZ34" s="204"/>
      <c r="RA34" s="204"/>
      <c r="RB34" s="204"/>
      <c r="RC34" s="204"/>
      <c r="RD34" s="204"/>
      <c r="RE34" s="204"/>
      <c r="RF34" s="204"/>
      <c r="RG34" s="204"/>
      <c r="RH34" s="204"/>
      <c r="RI34" s="204"/>
      <c r="RJ34" s="204"/>
      <c r="RK34" s="204"/>
      <c r="RL34" s="204"/>
      <c r="RM34" s="204"/>
      <c r="RN34" s="204"/>
      <c r="RO34" s="204"/>
      <c r="RP34" s="204"/>
      <c r="RQ34" s="204"/>
      <c r="RR34" s="204"/>
      <c r="RS34" s="204"/>
      <c r="RT34" s="204"/>
      <c r="RU34" s="204"/>
      <c r="RV34" s="204"/>
      <c r="RW34" s="204"/>
      <c r="RX34" s="204"/>
      <c r="RY34" s="204"/>
      <c r="RZ34" s="204"/>
      <c r="SA34" s="204"/>
      <c r="SB34" s="204"/>
      <c r="SC34" s="204"/>
      <c r="SD34" s="204"/>
      <c r="SE34" s="204"/>
      <c r="SF34" s="204"/>
      <c r="SG34" s="204"/>
      <c r="SH34" s="204"/>
      <c r="SI34" s="204"/>
      <c r="SJ34" s="204"/>
      <c r="SK34" s="204"/>
      <c r="SL34" s="204"/>
      <c r="SM34" s="204"/>
      <c r="SN34" s="204"/>
      <c r="SO34" s="204"/>
      <c r="SP34" s="204"/>
      <c r="SQ34" s="204"/>
      <c r="SR34" s="204"/>
      <c r="SS34" s="204"/>
      <c r="ST34" s="204"/>
      <c r="SU34" s="204"/>
      <c r="SV34" s="204"/>
      <c r="SW34" s="204"/>
      <c r="SX34" s="204"/>
      <c r="SY34" s="204"/>
      <c r="SZ34" s="204"/>
      <c r="TA34" s="204"/>
      <c r="TB34" s="204"/>
      <c r="TC34" s="204"/>
      <c r="TD34" s="204"/>
      <c r="TE34" s="204"/>
      <c r="TF34" s="204"/>
      <c r="TG34" s="204"/>
      <c r="TH34" s="204"/>
      <c r="TI34" s="204"/>
      <c r="TJ34" s="204"/>
      <c r="TK34" s="204"/>
      <c r="TL34" s="204"/>
      <c r="TM34" s="204"/>
      <c r="TN34" s="204"/>
      <c r="TO34" s="204"/>
      <c r="TP34" s="204"/>
      <c r="TQ34" s="204"/>
      <c r="TR34" s="204"/>
      <c r="TS34" s="204"/>
      <c r="TT34" s="204"/>
      <c r="TU34" s="204"/>
      <c r="TV34" s="204"/>
      <c r="TW34" s="204"/>
      <c r="TX34" s="204"/>
      <c r="TY34" s="204"/>
      <c r="TZ34" s="204"/>
      <c r="UA34" s="204"/>
      <c r="UB34" s="204"/>
      <c r="UC34" s="204"/>
      <c r="UD34" s="204"/>
      <c r="UE34" s="204"/>
      <c r="UF34" s="204"/>
      <c r="UG34" s="204"/>
      <c r="UH34" s="204"/>
      <c r="UI34" s="204"/>
      <c r="UJ34" s="204"/>
      <c r="UK34" s="204"/>
      <c r="UL34" s="204"/>
      <c r="UM34" s="204"/>
      <c r="UN34" s="204"/>
      <c r="UO34" s="204"/>
      <c r="UP34" s="204"/>
      <c r="UQ34" s="204"/>
      <c r="UR34" s="204"/>
      <c r="US34" s="204"/>
      <c r="UT34" s="204"/>
      <c r="UU34" s="204"/>
      <c r="UV34" s="204"/>
      <c r="UW34" s="204"/>
      <c r="UX34" s="204"/>
      <c r="UY34" s="204"/>
      <c r="UZ34" s="204"/>
      <c r="VA34" s="204"/>
      <c r="VB34" s="204"/>
      <c r="VC34" s="204"/>
      <c r="VD34" s="204"/>
      <c r="VE34" s="204"/>
      <c r="VF34" s="204"/>
      <c r="VG34" s="204"/>
      <c r="VH34" s="204"/>
      <c r="VI34" s="204"/>
      <c r="VJ34" s="204"/>
      <c r="VK34" s="204"/>
      <c r="VL34" s="204"/>
      <c r="VM34" s="204"/>
      <c r="VN34" s="204"/>
      <c r="VO34" s="204"/>
      <c r="VP34" s="204"/>
      <c r="VQ34" s="204"/>
      <c r="VR34" s="204"/>
      <c r="VS34" s="204"/>
      <c r="VT34" s="204"/>
      <c r="VU34" s="204"/>
      <c r="VV34" s="204"/>
      <c r="VW34" s="204"/>
      <c r="VX34" s="204"/>
      <c r="VY34" s="204"/>
      <c r="VZ34" s="204"/>
      <c r="WA34" s="204"/>
      <c r="WB34" s="204"/>
      <c r="WC34" s="204"/>
      <c r="WD34" s="204"/>
      <c r="WE34" s="204"/>
      <c r="WF34" s="204"/>
      <c r="WG34" s="204"/>
      <c r="WH34" s="204"/>
      <c r="WI34" s="204"/>
      <c r="WJ34" s="204"/>
      <c r="WK34" s="204"/>
      <c r="WL34" s="204"/>
      <c r="WM34" s="204"/>
      <c r="WN34" s="204"/>
      <c r="WO34" s="204"/>
      <c r="WP34" s="204"/>
      <c r="WQ34" s="204"/>
      <c r="WR34" s="204"/>
      <c r="WS34" s="204"/>
      <c r="WT34" s="204"/>
      <c r="WU34" s="204"/>
      <c r="WV34" s="204"/>
      <c r="WW34" s="204"/>
      <c r="WX34" s="204"/>
      <c r="WY34" s="204"/>
      <c r="WZ34" s="204"/>
      <c r="XA34" s="204"/>
      <c r="XB34" s="204"/>
      <c r="XC34" s="204"/>
      <c r="XD34" s="204"/>
      <c r="XE34" s="204"/>
      <c r="XF34" s="204"/>
      <c r="XG34" s="204"/>
      <c r="XH34" s="204"/>
      <c r="XI34" s="204"/>
      <c r="XJ34" s="204"/>
      <c r="XK34" s="204"/>
      <c r="XL34" s="204"/>
      <c r="XM34" s="204"/>
      <c r="XN34" s="204"/>
      <c r="XO34" s="204"/>
      <c r="XP34" s="204"/>
      <c r="XQ34" s="204"/>
      <c r="XR34" s="204"/>
      <c r="XS34" s="204"/>
      <c r="XT34" s="204"/>
      <c r="XU34" s="204"/>
      <c r="XV34" s="204"/>
      <c r="XW34" s="204"/>
      <c r="XX34" s="204"/>
      <c r="XY34" s="204"/>
      <c r="XZ34" s="204"/>
      <c r="YA34" s="204"/>
      <c r="YB34" s="204"/>
      <c r="YC34" s="204"/>
      <c r="YD34" s="204"/>
      <c r="YE34" s="204"/>
      <c r="YF34" s="204"/>
      <c r="YG34" s="204"/>
      <c r="YH34" s="204"/>
      <c r="YI34" s="204"/>
      <c r="YJ34" s="204"/>
      <c r="YK34" s="204"/>
      <c r="YL34" s="204"/>
      <c r="YM34" s="204"/>
      <c r="YN34" s="204"/>
      <c r="YO34" s="204"/>
      <c r="YP34" s="204"/>
      <c r="YQ34" s="204"/>
      <c r="YR34" s="204"/>
      <c r="YS34" s="204"/>
      <c r="YT34" s="204"/>
      <c r="YU34" s="204"/>
      <c r="YV34" s="204"/>
      <c r="YW34" s="204"/>
      <c r="YX34" s="204"/>
      <c r="YY34" s="204"/>
      <c r="YZ34" s="204"/>
      <c r="ZA34" s="204"/>
      <c r="ZB34" s="204"/>
      <c r="ZC34" s="204"/>
      <c r="ZD34" s="204"/>
      <c r="ZE34" s="204"/>
      <c r="ZF34" s="204"/>
      <c r="ZG34" s="204"/>
      <c r="ZH34" s="204"/>
      <c r="ZI34" s="204"/>
      <c r="ZJ34" s="204"/>
      <c r="ZK34" s="204"/>
      <c r="ZL34" s="204"/>
      <c r="ZM34" s="204"/>
      <c r="ZN34" s="204"/>
      <c r="ZO34" s="204"/>
      <c r="ZP34" s="204"/>
      <c r="ZQ34" s="204"/>
      <c r="ZR34" s="204"/>
      <c r="ZS34" s="204"/>
      <c r="ZT34" s="204"/>
      <c r="ZU34" s="204"/>
      <c r="ZV34" s="204"/>
      <c r="ZW34" s="204"/>
      <c r="ZX34" s="204"/>
      <c r="ZY34" s="204"/>
      <c r="ZZ34" s="204"/>
      <c r="AAA34" s="204"/>
      <c r="AAB34" s="204"/>
      <c r="AAC34" s="204"/>
      <c r="AAD34" s="204"/>
      <c r="AAE34" s="204"/>
      <c r="AAF34" s="204"/>
      <c r="AAG34" s="204"/>
      <c r="AAH34" s="204"/>
      <c r="AAI34" s="204"/>
      <c r="AAJ34" s="204"/>
      <c r="AAK34" s="204"/>
      <c r="AAL34" s="204"/>
      <c r="AAM34" s="204"/>
      <c r="AAN34" s="204"/>
      <c r="AAO34" s="204"/>
      <c r="AAP34" s="204"/>
      <c r="AAQ34" s="204"/>
      <c r="AAR34" s="204"/>
      <c r="AAS34" s="204"/>
      <c r="AAT34" s="204"/>
      <c r="AAU34" s="204"/>
      <c r="AAV34" s="204"/>
      <c r="AAW34" s="204"/>
      <c r="AAX34" s="204"/>
      <c r="AAY34" s="204"/>
      <c r="AAZ34" s="204"/>
      <c r="ABA34" s="204"/>
      <c r="ABB34" s="204"/>
      <c r="ABC34" s="204"/>
      <c r="ABD34" s="204"/>
      <c r="ABE34" s="204"/>
      <c r="ABF34" s="204"/>
      <c r="ABG34" s="204"/>
      <c r="ABH34" s="204"/>
      <c r="ABI34" s="204"/>
      <c r="ABJ34" s="204"/>
      <c r="ABK34" s="204"/>
      <c r="ABL34" s="204"/>
      <c r="ABM34" s="204"/>
      <c r="ABN34" s="204"/>
      <c r="ABO34" s="204"/>
      <c r="ABP34" s="204"/>
      <c r="ABQ34" s="204"/>
      <c r="ABR34" s="204"/>
      <c r="ABS34" s="204"/>
      <c r="ABT34" s="204"/>
      <c r="ABU34" s="204"/>
      <c r="ABV34" s="204"/>
      <c r="ABW34" s="204"/>
      <c r="ABX34" s="204"/>
      <c r="ABY34" s="204"/>
      <c r="ABZ34" s="204"/>
      <c r="ACA34" s="204"/>
      <c r="ACB34" s="204"/>
      <c r="ACC34" s="204"/>
      <c r="ACD34" s="204"/>
      <c r="ACE34" s="204"/>
      <c r="ACF34" s="204"/>
      <c r="ACG34" s="204"/>
      <c r="ACH34" s="204"/>
      <c r="ACI34" s="204"/>
      <c r="ACJ34" s="204"/>
      <c r="ACK34" s="204"/>
      <c r="ACL34" s="204"/>
      <c r="ACM34" s="204"/>
      <c r="ACN34" s="204"/>
      <c r="ACO34" s="204"/>
      <c r="ACP34" s="204"/>
      <c r="ACQ34" s="204"/>
      <c r="ACR34" s="204"/>
      <c r="ACS34" s="204"/>
      <c r="ACT34" s="204"/>
      <c r="ACU34" s="204"/>
      <c r="ACV34" s="204"/>
      <c r="ACW34" s="204"/>
      <c r="ACX34" s="204"/>
      <c r="ACY34" s="204"/>
      <c r="ACZ34" s="204"/>
      <c r="ADA34" s="204"/>
      <c r="ADB34" s="204"/>
      <c r="ADC34" s="204"/>
      <c r="ADD34" s="204"/>
      <c r="ADE34" s="204"/>
      <c r="ADF34" s="204"/>
      <c r="ADG34" s="204"/>
      <c r="ADH34" s="204"/>
      <c r="ADI34" s="204"/>
      <c r="ADJ34" s="204"/>
      <c r="ADK34" s="204"/>
      <c r="ADL34" s="204"/>
      <c r="ADM34" s="204"/>
      <c r="ADN34" s="204"/>
      <c r="ADO34" s="204"/>
      <c r="ADP34" s="204"/>
      <c r="ADQ34" s="204"/>
      <c r="ADR34" s="204"/>
      <c r="ADS34" s="204"/>
      <c r="ADT34" s="204"/>
      <c r="ADU34" s="204"/>
      <c r="ADV34" s="204"/>
      <c r="ADW34" s="204"/>
      <c r="ADX34" s="204"/>
      <c r="ADY34" s="204"/>
      <c r="ADZ34" s="204"/>
      <c r="AEA34" s="204"/>
      <c r="AEB34" s="204"/>
      <c r="AEC34" s="204"/>
      <c r="AED34" s="204"/>
      <c r="AEE34" s="204"/>
      <c r="AEF34" s="204"/>
      <c r="AEG34" s="204"/>
      <c r="AEH34" s="204"/>
      <c r="AEI34" s="204"/>
      <c r="AEJ34" s="204"/>
      <c r="AEK34" s="204"/>
      <c r="AEL34" s="204"/>
      <c r="AEM34" s="204"/>
      <c r="AEN34" s="204"/>
      <c r="AEO34" s="204"/>
      <c r="AEP34" s="204"/>
      <c r="AEQ34" s="204"/>
      <c r="AER34" s="204"/>
      <c r="AES34" s="204"/>
      <c r="AET34" s="204"/>
      <c r="AEU34" s="204"/>
      <c r="AEV34" s="204"/>
      <c r="AEW34" s="204"/>
      <c r="AEX34" s="204"/>
      <c r="AEY34" s="204"/>
      <c r="AEZ34" s="204"/>
      <c r="AFA34" s="204"/>
      <c r="AFB34" s="204"/>
      <c r="AFC34" s="204"/>
      <c r="AFD34" s="204"/>
      <c r="AFE34" s="204"/>
      <c r="AFF34" s="204"/>
      <c r="AFG34" s="204"/>
      <c r="AFH34" s="204"/>
      <c r="AFI34" s="204"/>
      <c r="AFJ34" s="204"/>
      <c r="AFK34" s="204"/>
      <c r="AFL34" s="204"/>
      <c r="AFM34" s="204"/>
      <c r="AFN34" s="204"/>
      <c r="AFO34" s="204"/>
      <c r="AFP34" s="204"/>
      <c r="AFQ34" s="204"/>
      <c r="AFR34" s="204"/>
      <c r="AFS34" s="204"/>
      <c r="AFT34" s="204"/>
      <c r="AFU34" s="204"/>
      <c r="AFV34" s="204"/>
      <c r="AFW34" s="204"/>
      <c r="AFX34" s="204"/>
      <c r="AFY34" s="204"/>
      <c r="AFZ34" s="204"/>
      <c r="AGA34" s="204"/>
      <c r="AGB34" s="204"/>
      <c r="AGC34" s="204"/>
      <c r="AGD34" s="204"/>
      <c r="AGE34" s="204"/>
      <c r="AGF34" s="204"/>
      <c r="AGG34" s="204"/>
      <c r="AGH34" s="204"/>
      <c r="AGI34" s="204"/>
      <c r="AGJ34" s="204"/>
      <c r="AGK34" s="204"/>
      <c r="AGL34" s="204"/>
      <c r="AGM34" s="204"/>
      <c r="AGN34" s="204"/>
      <c r="AGO34" s="204"/>
      <c r="AGP34" s="204"/>
      <c r="AGQ34" s="204"/>
      <c r="AGR34" s="204"/>
      <c r="AGS34" s="204"/>
      <c r="AGT34" s="204"/>
      <c r="AGU34" s="204"/>
      <c r="AGV34" s="204"/>
      <c r="AGW34" s="204"/>
      <c r="AGX34" s="204"/>
      <c r="AGY34" s="204"/>
      <c r="AGZ34" s="204"/>
      <c r="AHA34" s="204"/>
      <c r="AHB34" s="204"/>
      <c r="AHC34" s="204"/>
      <c r="AHD34" s="204"/>
      <c r="AHE34" s="204"/>
      <c r="AHF34" s="204"/>
      <c r="AHG34" s="204"/>
      <c r="AHH34" s="204"/>
      <c r="AHI34" s="204"/>
      <c r="AHJ34" s="204"/>
      <c r="AHK34" s="204"/>
      <c r="AHL34" s="204"/>
      <c r="AHM34" s="204"/>
      <c r="AHN34" s="204"/>
      <c r="AHO34" s="204"/>
      <c r="AHP34" s="204"/>
      <c r="AHQ34" s="204"/>
      <c r="AHR34" s="204"/>
      <c r="AHS34" s="204"/>
      <c r="AHT34" s="204"/>
      <c r="AHU34" s="204"/>
      <c r="AHV34" s="204"/>
      <c r="AHW34" s="204"/>
      <c r="AHX34" s="204"/>
      <c r="AHY34" s="204"/>
      <c r="AHZ34" s="204"/>
      <c r="AIA34" s="204"/>
      <c r="AIB34" s="204"/>
      <c r="AIC34" s="204"/>
      <c r="AID34" s="204"/>
      <c r="AIE34" s="204"/>
      <c r="AIF34" s="204"/>
      <c r="AIG34" s="204"/>
      <c r="AIH34" s="204"/>
      <c r="AII34" s="204"/>
      <c r="AIJ34" s="204"/>
      <c r="AIK34" s="204"/>
      <c r="AIL34" s="204"/>
      <c r="AIM34" s="204"/>
      <c r="AIN34" s="204"/>
      <c r="AIO34" s="204"/>
      <c r="AIP34" s="204"/>
      <c r="AIQ34" s="204"/>
      <c r="AIR34" s="204"/>
      <c r="AIS34" s="204"/>
      <c r="AIT34" s="204"/>
      <c r="AIU34" s="204"/>
      <c r="AIV34" s="204"/>
      <c r="AIW34" s="204"/>
      <c r="AIX34" s="204"/>
      <c r="AIY34" s="204"/>
      <c r="AIZ34" s="204"/>
      <c r="AJA34" s="204"/>
      <c r="AJB34" s="204"/>
      <c r="AJC34" s="204"/>
      <c r="AJD34" s="204"/>
      <c r="AJE34" s="204"/>
      <c r="AJF34" s="204"/>
      <c r="AJG34" s="204"/>
      <c r="AJH34" s="204"/>
      <c r="AJI34" s="204"/>
      <c r="AJJ34" s="204"/>
      <c r="AJK34" s="204"/>
      <c r="AJL34" s="204"/>
      <c r="AJM34" s="204"/>
      <c r="AJN34" s="204"/>
      <c r="AJO34" s="204"/>
      <c r="AJP34" s="204"/>
      <c r="AJQ34" s="204"/>
      <c r="AJR34" s="204"/>
      <c r="AJS34" s="204"/>
      <c r="AJT34" s="204"/>
      <c r="AJU34" s="204"/>
      <c r="AJV34" s="204"/>
      <c r="AJW34" s="204"/>
      <c r="AJX34" s="204"/>
      <c r="AJY34" s="204"/>
      <c r="AJZ34" s="204"/>
      <c r="AKA34" s="204"/>
      <c r="AKB34" s="204"/>
      <c r="AKC34" s="204"/>
      <c r="AKD34" s="204"/>
      <c r="AKE34" s="204"/>
      <c r="AKF34" s="204"/>
      <c r="AKG34" s="204"/>
      <c r="AKH34" s="204"/>
      <c r="AKI34" s="204"/>
      <c r="AKJ34" s="204"/>
      <c r="AKK34" s="204"/>
      <c r="AKL34" s="204"/>
      <c r="AKM34" s="204"/>
      <c r="AKN34" s="204"/>
      <c r="AKO34" s="204"/>
      <c r="AKP34" s="204"/>
      <c r="AKQ34" s="204"/>
      <c r="AKR34" s="204"/>
      <c r="AKS34" s="204"/>
      <c r="AKT34" s="204"/>
      <c r="AKU34" s="204"/>
      <c r="AKV34" s="204"/>
      <c r="AKW34" s="204"/>
      <c r="AKX34" s="204"/>
      <c r="AKY34" s="204"/>
      <c r="AKZ34" s="204"/>
      <c r="ALA34" s="204"/>
      <c r="ALB34" s="204"/>
      <c r="ALC34" s="204"/>
      <c r="ALD34" s="204"/>
      <c r="ALE34" s="204"/>
      <c r="ALF34" s="204"/>
      <c r="ALG34" s="204"/>
      <c r="ALH34" s="204"/>
      <c r="ALI34" s="204"/>
      <c r="ALJ34" s="204"/>
      <c r="ALK34" s="204"/>
      <c r="ALL34" s="204"/>
      <c r="ALM34" s="204"/>
      <c r="ALN34" s="204"/>
      <c r="ALO34" s="204"/>
      <c r="ALP34" s="204"/>
      <c r="ALQ34" s="204"/>
      <c r="ALR34" s="204"/>
      <c r="ALS34" s="204"/>
      <c r="ALT34" s="204"/>
      <c r="ALU34" s="204"/>
      <c r="ALV34" s="204"/>
      <c r="ALW34" s="204"/>
      <c r="ALX34" s="204"/>
      <c r="ALY34" s="204"/>
      <c r="ALZ34" s="204"/>
      <c r="AMA34" s="204"/>
      <c r="AMB34" s="204"/>
      <c r="AMC34" s="204"/>
      <c r="AMD34" s="204"/>
      <c r="AME34" s="204"/>
      <c r="AMF34" s="204"/>
      <c r="AMG34" s="204"/>
      <c r="AMH34" s="204"/>
      <c r="AMI34" s="204"/>
      <c r="AMJ34" s="204"/>
      <c r="AMK34" s="204"/>
      <c r="AML34" s="204"/>
      <c r="AMM34" s="204"/>
      <c r="AMN34" s="204"/>
      <c r="AMO34" s="204"/>
      <c r="AMP34" s="204"/>
      <c r="AMQ34" s="204"/>
      <c r="AMR34" s="204"/>
      <c r="AMS34" s="204"/>
      <c r="AMT34" s="204"/>
      <c r="AMU34" s="204"/>
      <c r="AMV34" s="204"/>
      <c r="AMW34" s="204"/>
      <c r="AMX34" s="204"/>
      <c r="AMY34" s="204"/>
      <c r="AMZ34" s="204"/>
      <c r="ANA34" s="204"/>
      <c r="ANB34" s="204"/>
      <c r="ANC34" s="204"/>
      <c r="AND34" s="204"/>
      <c r="ANE34" s="204"/>
      <c r="ANF34" s="204"/>
      <c r="ANG34" s="204"/>
      <c r="ANH34" s="204"/>
      <c r="ANI34" s="204"/>
      <c r="ANJ34" s="204"/>
      <c r="ANK34" s="204"/>
      <c r="ANL34" s="204"/>
      <c r="ANM34" s="204"/>
      <c r="ANN34" s="204"/>
      <c r="ANO34" s="204"/>
      <c r="ANP34" s="204"/>
      <c r="ANQ34" s="204"/>
      <c r="ANR34" s="204"/>
      <c r="ANS34" s="204"/>
      <c r="ANT34" s="204"/>
      <c r="ANU34" s="204"/>
      <c r="ANV34" s="204"/>
      <c r="ANW34" s="204"/>
      <c r="ANX34" s="204"/>
      <c r="ANY34" s="204"/>
      <c r="ANZ34" s="204"/>
      <c r="AOA34" s="204"/>
      <c r="AOB34" s="204"/>
      <c r="AOC34" s="204"/>
      <c r="AOD34" s="204"/>
      <c r="AOE34" s="204"/>
      <c r="AOF34" s="204"/>
      <c r="AOG34" s="204"/>
      <c r="AOH34" s="204"/>
      <c r="AOI34" s="204"/>
      <c r="AOJ34" s="204"/>
      <c r="AOK34" s="204"/>
      <c r="AOL34" s="204"/>
      <c r="AOM34" s="204"/>
      <c r="AON34" s="204"/>
      <c r="AOO34" s="204"/>
      <c r="AOP34" s="204"/>
      <c r="AOQ34" s="204"/>
      <c r="AOR34" s="204"/>
      <c r="AOS34" s="204"/>
      <c r="AOT34" s="204"/>
      <c r="AOU34" s="204"/>
      <c r="AOV34" s="204"/>
      <c r="AOW34" s="204"/>
      <c r="AOX34" s="204"/>
      <c r="AOY34" s="204"/>
      <c r="AOZ34" s="204"/>
      <c r="APA34" s="204"/>
      <c r="APB34" s="204"/>
      <c r="APC34" s="204"/>
      <c r="APD34" s="204"/>
      <c r="APE34" s="204"/>
      <c r="APF34" s="204"/>
      <c r="APG34" s="204"/>
      <c r="APH34" s="204"/>
      <c r="API34" s="204"/>
      <c r="APJ34" s="204"/>
      <c r="APK34" s="204"/>
      <c r="APL34" s="204"/>
      <c r="APM34" s="204"/>
      <c r="APN34" s="204"/>
      <c r="APO34" s="204"/>
      <c r="APP34" s="204"/>
      <c r="APQ34" s="204"/>
      <c r="APR34" s="204"/>
      <c r="APS34" s="204"/>
      <c r="APT34" s="204"/>
      <c r="APU34" s="204"/>
      <c r="APV34" s="204"/>
      <c r="APW34" s="204"/>
      <c r="APX34" s="204"/>
      <c r="APY34" s="204"/>
      <c r="APZ34" s="204"/>
      <c r="AQA34" s="204"/>
      <c r="AQB34" s="204"/>
      <c r="AQC34" s="204"/>
      <c r="AQD34" s="204"/>
      <c r="AQE34" s="204"/>
      <c r="AQF34" s="204"/>
      <c r="AQG34" s="204"/>
      <c r="AQH34" s="204"/>
      <c r="AQI34" s="204"/>
      <c r="AQJ34" s="204"/>
      <c r="AQK34" s="204"/>
      <c r="AQL34" s="204"/>
      <c r="AQM34" s="204"/>
      <c r="AQN34" s="204"/>
      <c r="AQO34" s="204"/>
      <c r="AQP34" s="204"/>
      <c r="AQQ34" s="204"/>
      <c r="AQR34" s="204"/>
      <c r="AQS34" s="204"/>
      <c r="AQT34" s="204"/>
      <c r="AQU34" s="204"/>
      <c r="AQV34" s="204"/>
      <c r="AQW34" s="204"/>
      <c r="AQX34" s="204"/>
      <c r="AQY34" s="204"/>
      <c r="AQZ34" s="204"/>
      <c r="ARA34" s="204"/>
      <c r="ARB34" s="204"/>
      <c r="ARC34" s="204"/>
      <c r="ARD34" s="204"/>
      <c r="ARE34" s="204"/>
      <c r="ARF34" s="204"/>
      <c r="ARG34" s="204"/>
      <c r="ARH34" s="204"/>
      <c r="ARI34" s="204"/>
      <c r="ARJ34" s="204"/>
      <c r="ARK34" s="204"/>
      <c r="ARL34" s="204"/>
      <c r="ARM34" s="204"/>
      <c r="ARN34" s="204"/>
      <c r="ARO34" s="204"/>
      <c r="ARP34" s="204"/>
      <c r="ARQ34" s="204"/>
      <c r="ARR34" s="204"/>
      <c r="ARS34" s="204"/>
      <c r="ART34" s="204"/>
      <c r="ARU34" s="204"/>
      <c r="ARV34" s="204"/>
      <c r="ARW34" s="204"/>
      <c r="ARX34" s="204"/>
      <c r="ARY34" s="204"/>
      <c r="ARZ34" s="204"/>
      <c r="ASA34" s="204"/>
      <c r="ASB34" s="204"/>
      <c r="ASC34" s="204"/>
      <c r="ASD34" s="204"/>
      <c r="ASE34" s="204"/>
      <c r="ASF34" s="204"/>
      <c r="ASG34" s="204"/>
      <c r="ASH34" s="204"/>
      <c r="ASI34" s="204"/>
      <c r="ASJ34" s="204"/>
      <c r="ASK34" s="204"/>
      <c r="ASL34" s="204"/>
      <c r="ASM34" s="204"/>
      <c r="ASN34" s="204"/>
      <c r="ASO34" s="204"/>
      <c r="ASP34" s="204"/>
      <c r="ASQ34" s="204"/>
      <c r="ASR34" s="204"/>
      <c r="ASS34" s="204"/>
      <c r="AST34" s="204"/>
      <c r="ASU34" s="204"/>
      <c r="ASV34" s="204"/>
      <c r="ASW34" s="204"/>
      <c r="ASX34" s="204"/>
      <c r="ASY34" s="204"/>
      <c r="ASZ34" s="204"/>
      <c r="ATA34" s="204"/>
      <c r="ATB34" s="204"/>
      <c r="ATC34" s="204"/>
      <c r="ATD34" s="204"/>
      <c r="ATE34" s="204"/>
      <c r="ATF34" s="204"/>
      <c r="ATG34" s="204"/>
      <c r="ATH34" s="204"/>
      <c r="ATI34" s="204"/>
      <c r="ATJ34" s="204"/>
      <c r="ATK34" s="204"/>
      <c r="ATL34" s="204"/>
      <c r="ATM34" s="204"/>
      <c r="ATN34" s="204"/>
      <c r="ATO34" s="204"/>
      <c r="ATP34" s="204"/>
      <c r="ATQ34" s="204"/>
      <c r="ATR34" s="204"/>
      <c r="ATS34" s="204"/>
      <c r="ATT34" s="204"/>
      <c r="ATU34" s="204"/>
      <c r="ATV34" s="204"/>
      <c r="ATW34" s="204"/>
      <c r="ATX34" s="204"/>
      <c r="ATY34" s="204"/>
      <c r="ATZ34" s="204"/>
      <c r="AUA34" s="204"/>
      <c r="AUB34" s="204"/>
      <c r="AUC34" s="204"/>
      <c r="AUD34" s="204"/>
      <c r="AUE34" s="204"/>
      <c r="AUF34" s="204"/>
      <c r="AUG34" s="204"/>
      <c r="AUH34" s="204"/>
      <c r="AUI34" s="204"/>
      <c r="AUJ34" s="204"/>
      <c r="AUK34" s="204"/>
      <c r="AUL34" s="204"/>
      <c r="AUM34" s="204"/>
      <c r="AUN34" s="204"/>
      <c r="AUO34" s="204"/>
      <c r="AUP34" s="204"/>
      <c r="AUQ34" s="204"/>
      <c r="AUR34" s="204"/>
      <c r="AUS34" s="204"/>
      <c r="AUT34" s="204"/>
      <c r="AUU34" s="204"/>
      <c r="AUV34" s="204"/>
      <c r="AUW34" s="204"/>
      <c r="AUX34" s="204"/>
      <c r="AUY34" s="204"/>
      <c r="AUZ34" s="204"/>
      <c r="AVA34" s="204"/>
      <c r="AVB34" s="204"/>
      <c r="AVC34" s="204"/>
      <c r="AVD34" s="204"/>
      <c r="AVE34" s="204"/>
      <c r="AVF34" s="204"/>
      <c r="AVG34" s="204"/>
      <c r="AVH34" s="204"/>
      <c r="AVI34" s="204"/>
      <c r="AVJ34" s="204"/>
      <c r="AVK34" s="204"/>
      <c r="AVL34" s="204"/>
      <c r="AVM34" s="204"/>
      <c r="AVN34" s="204"/>
      <c r="AVO34" s="204"/>
      <c r="AVP34" s="204"/>
      <c r="AVQ34" s="204"/>
      <c r="AVR34" s="204"/>
      <c r="AVS34" s="204"/>
      <c r="AVT34" s="204"/>
      <c r="AVU34" s="204"/>
      <c r="AVV34" s="204"/>
      <c r="AVW34" s="204"/>
      <c r="AVX34" s="204"/>
      <c r="AVY34" s="204"/>
      <c r="AVZ34" s="204"/>
      <c r="AWA34" s="204"/>
      <c r="AWB34" s="204"/>
      <c r="AWC34" s="204"/>
      <c r="AWD34" s="204"/>
      <c r="AWE34" s="204"/>
      <c r="AWF34" s="204"/>
      <c r="AWG34" s="204"/>
      <c r="AWH34" s="204"/>
      <c r="AWI34" s="204"/>
      <c r="AWJ34" s="204"/>
      <c r="AWK34" s="204"/>
      <c r="AWL34" s="204"/>
      <c r="AWM34" s="204"/>
      <c r="AWN34" s="204"/>
      <c r="AWO34" s="204"/>
      <c r="AWP34" s="204"/>
      <c r="AWQ34" s="204"/>
      <c r="AWR34" s="204"/>
      <c r="AWS34" s="204"/>
      <c r="AWT34" s="204"/>
      <c r="AWU34" s="204"/>
      <c r="AWV34" s="204"/>
      <c r="AWW34" s="204"/>
      <c r="AWX34" s="204"/>
      <c r="AWY34" s="204"/>
      <c r="AWZ34" s="204"/>
      <c r="AXA34" s="204"/>
      <c r="AXB34" s="204"/>
      <c r="AXC34" s="204"/>
      <c r="AXD34" s="204"/>
      <c r="AXE34" s="204"/>
      <c r="AXF34" s="204"/>
      <c r="AXG34" s="204"/>
      <c r="AXH34" s="204"/>
      <c r="AXI34" s="204"/>
      <c r="AXJ34" s="204"/>
      <c r="AXK34" s="204"/>
      <c r="AXL34" s="204"/>
      <c r="AXM34" s="204"/>
      <c r="AXN34" s="204"/>
      <c r="AXO34" s="204"/>
      <c r="AXP34" s="204"/>
      <c r="AXQ34" s="204"/>
      <c r="AXR34" s="204"/>
      <c r="AXS34" s="204"/>
      <c r="AXT34" s="204"/>
      <c r="AXU34" s="204"/>
      <c r="AXV34" s="204"/>
      <c r="AXW34" s="204"/>
      <c r="AXX34" s="204"/>
      <c r="AXY34" s="204"/>
      <c r="AXZ34" s="204"/>
      <c r="AYA34" s="204"/>
      <c r="AYB34" s="204"/>
      <c r="AYC34" s="204"/>
      <c r="AYD34" s="204"/>
      <c r="AYE34" s="204"/>
      <c r="AYF34" s="204"/>
      <c r="AYG34" s="204"/>
      <c r="AYH34" s="204"/>
      <c r="AYI34" s="204"/>
      <c r="AYJ34" s="204"/>
      <c r="AYK34" s="204"/>
      <c r="AYL34" s="204"/>
      <c r="AYM34" s="204"/>
      <c r="AYN34" s="204"/>
      <c r="AYO34" s="204"/>
      <c r="AYP34" s="204"/>
      <c r="AYQ34" s="204"/>
      <c r="AYR34" s="204"/>
      <c r="AYS34" s="204"/>
      <c r="AYT34" s="204"/>
      <c r="AYU34" s="204"/>
      <c r="AYV34" s="204"/>
      <c r="AYW34" s="204"/>
      <c r="AYX34" s="204"/>
      <c r="AYY34" s="204"/>
      <c r="AYZ34" s="204"/>
      <c r="AZA34" s="204"/>
      <c r="AZB34" s="204"/>
      <c r="AZC34" s="204"/>
      <c r="AZD34" s="204"/>
      <c r="AZE34" s="204"/>
      <c r="AZF34" s="204"/>
      <c r="AZG34" s="204"/>
      <c r="AZH34" s="204"/>
      <c r="AZI34" s="204"/>
      <c r="AZJ34" s="204"/>
      <c r="AZK34" s="204"/>
      <c r="AZL34" s="204"/>
      <c r="AZM34" s="204"/>
      <c r="AZN34" s="204"/>
      <c r="AZO34" s="204"/>
      <c r="AZP34" s="204"/>
      <c r="AZQ34" s="204"/>
      <c r="AZR34" s="204"/>
      <c r="AZS34" s="204"/>
      <c r="AZT34" s="204"/>
      <c r="AZU34" s="204"/>
      <c r="AZV34" s="204"/>
      <c r="AZW34" s="204"/>
      <c r="AZX34" s="204"/>
      <c r="AZY34" s="204"/>
      <c r="AZZ34" s="204"/>
      <c r="BAA34" s="204"/>
      <c r="BAB34" s="204"/>
      <c r="BAC34" s="204"/>
      <c r="BAD34" s="204"/>
      <c r="BAE34" s="204"/>
      <c r="BAF34" s="204"/>
      <c r="BAG34" s="204"/>
      <c r="BAH34" s="204"/>
      <c r="BAI34" s="204"/>
      <c r="BAJ34" s="204"/>
      <c r="BAK34" s="204"/>
      <c r="BAL34" s="204"/>
      <c r="BAM34" s="204"/>
      <c r="BAN34" s="204"/>
      <c r="BAO34" s="204"/>
      <c r="BAP34" s="204"/>
      <c r="BAQ34" s="204"/>
      <c r="BAR34" s="204"/>
      <c r="BAS34" s="204"/>
      <c r="BAT34" s="204"/>
      <c r="BAU34" s="204"/>
      <c r="BAV34" s="204"/>
      <c r="BAW34" s="204"/>
      <c r="BAX34" s="204"/>
      <c r="BAY34" s="204"/>
      <c r="BAZ34" s="204"/>
      <c r="BBA34" s="204"/>
      <c r="BBB34" s="204"/>
      <c r="BBC34" s="204"/>
      <c r="BBD34" s="204"/>
      <c r="BBE34" s="204"/>
      <c r="BBF34" s="204"/>
      <c r="BBG34" s="204"/>
      <c r="BBH34" s="204"/>
      <c r="BBI34" s="204"/>
      <c r="BBJ34" s="204"/>
      <c r="BBK34" s="204"/>
      <c r="BBL34" s="204"/>
      <c r="BBM34" s="204"/>
      <c r="BBN34" s="204"/>
      <c r="BBO34" s="204"/>
      <c r="BBP34" s="204"/>
      <c r="BBQ34" s="204"/>
      <c r="BBR34" s="204"/>
      <c r="BBS34" s="204"/>
      <c r="BBT34" s="204"/>
      <c r="BBU34" s="204"/>
      <c r="BBV34" s="204"/>
      <c r="BBW34" s="204"/>
      <c r="BBX34" s="204"/>
      <c r="BBY34" s="204"/>
      <c r="BBZ34" s="204"/>
      <c r="BCA34" s="204"/>
      <c r="BCB34" s="204"/>
      <c r="BCC34" s="204"/>
      <c r="BCD34" s="204"/>
      <c r="BCE34" s="204"/>
      <c r="BCF34" s="204"/>
      <c r="BCG34" s="204"/>
      <c r="BCH34" s="204"/>
      <c r="BCI34" s="204"/>
      <c r="BCJ34" s="204"/>
      <c r="BCK34" s="204"/>
      <c r="BCL34" s="204"/>
      <c r="BCM34" s="204"/>
      <c r="BCN34" s="204"/>
      <c r="BCO34" s="204"/>
      <c r="BCP34" s="204"/>
      <c r="BCQ34" s="204"/>
      <c r="BCR34" s="204"/>
      <c r="BCS34" s="204"/>
      <c r="BCT34" s="204"/>
      <c r="BCU34" s="204"/>
      <c r="BCV34" s="204"/>
      <c r="BCW34" s="204"/>
      <c r="BCX34" s="204"/>
      <c r="BCY34" s="204"/>
      <c r="BCZ34" s="204"/>
      <c r="BDA34" s="204"/>
      <c r="BDB34" s="204"/>
      <c r="BDC34" s="204"/>
      <c r="BDD34" s="204"/>
      <c r="BDE34" s="204"/>
      <c r="BDF34" s="204"/>
      <c r="BDG34" s="204"/>
      <c r="BDH34" s="204"/>
      <c r="BDI34" s="204"/>
      <c r="BDJ34" s="204"/>
      <c r="BDK34" s="204"/>
      <c r="BDL34" s="204"/>
      <c r="BDM34" s="204"/>
      <c r="BDN34" s="204"/>
      <c r="BDO34" s="204"/>
      <c r="BDP34" s="204"/>
      <c r="BDQ34" s="204"/>
      <c r="BDR34" s="204"/>
      <c r="BDS34" s="204"/>
      <c r="BDT34" s="204"/>
      <c r="BDU34" s="204"/>
      <c r="BDV34" s="204"/>
      <c r="BDW34" s="204"/>
      <c r="BDX34" s="204"/>
      <c r="BDY34" s="204"/>
      <c r="BDZ34" s="204"/>
      <c r="BEA34" s="204"/>
      <c r="BEB34" s="204"/>
      <c r="BEC34" s="204"/>
      <c r="BED34" s="204"/>
      <c r="BEE34" s="204"/>
      <c r="BEF34" s="204"/>
      <c r="BEG34" s="204"/>
      <c r="BEH34" s="204"/>
      <c r="BEI34" s="204"/>
      <c r="BEJ34" s="204"/>
      <c r="BEK34" s="204"/>
      <c r="BEL34" s="204"/>
      <c r="BEM34" s="204"/>
      <c r="BEN34" s="204"/>
      <c r="BEO34" s="204"/>
      <c r="BEP34" s="204"/>
      <c r="BEQ34" s="204"/>
      <c r="BER34" s="204"/>
      <c r="BES34" s="204"/>
      <c r="BET34" s="204"/>
      <c r="BEU34" s="204"/>
      <c r="BEV34" s="204"/>
      <c r="BEW34" s="204"/>
      <c r="BEX34" s="204"/>
      <c r="BEY34" s="204"/>
      <c r="BEZ34" s="204"/>
      <c r="BFA34" s="204"/>
      <c r="BFB34" s="204"/>
      <c r="BFC34" s="204"/>
      <c r="BFD34" s="204"/>
      <c r="BFE34" s="204"/>
      <c r="BFF34" s="204"/>
      <c r="BFG34" s="204"/>
      <c r="BFH34" s="204"/>
      <c r="BFI34" s="204"/>
      <c r="BFJ34" s="204"/>
      <c r="BFK34" s="204"/>
      <c r="BFL34" s="204"/>
      <c r="BFM34" s="204"/>
      <c r="BFN34" s="204"/>
      <c r="BFO34" s="204"/>
      <c r="BFP34" s="204"/>
      <c r="BFQ34" s="204"/>
      <c r="BFR34" s="204"/>
      <c r="BFS34" s="204"/>
      <c r="BFT34" s="204"/>
      <c r="BFU34" s="204"/>
      <c r="BFV34" s="204"/>
      <c r="BFW34" s="204"/>
      <c r="BFX34" s="204"/>
      <c r="BFY34" s="204"/>
      <c r="BFZ34" s="204"/>
      <c r="BGA34" s="204"/>
      <c r="BGB34" s="204"/>
      <c r="BGC34" s="204"/>
      <c r="BGD34" s="204"/>
      <c r="BGE34" s="204"/>
      <c r="BGF34" s="204"/>
      <c r="BGG34" s="204"/>
      <c r="BGH34" s="204"/>
      <c r="BGI34" s="204"/>
      <c r="BGJ34" s="204"/>
      <c r="BGK34" s="204"/>
      <c r="BGL34" s="204"/>
      <c r="BGM34" s="204"/>
      <c r="BGN34" s="204"/>
      <c r="BGO34" s="204"/>
      <c r="BGP34" s="204"/>
      <c r="BGQ34" s="204"/>
      <c r="BGR34" s="204"/>
      <c r="BGS34" s="204"/>
      <c r="BGT34" s="204"/>
      <c r="BGU34" s="204"/>
      <c r="BGV34" s="204"/>
      <c r="BGW34" s="204"/>
      <c r="BGX34" s="204"/>
      <c r="BGY34" s="204"/>
      <c r="BGZ34" s="204"/>
      <c r="BHA34" s="204"/>
      <c r="BHB34" s="204"/>
      <c r="BHC34" s="204"/>
      <c r="BHD34" s="204"/>
      <c r="BHE34" s="204"/>
      <c r="BHF34" s="204"/>
      <c r="BHG34" s="204"/>
      <c r="BHH34" s="204"/>
      <c r="BHI34" s="204"/>
      <c r="BHJ34" s="204"/>
      <c r="BHK34" s="204"/>
      <c r="BHL34" s="204"/>
      <c r="BHM34" s="204"/>
      <c r="BHN34" s="204"/>
      <c r="BHO34" s="204"/>
      <c r="BHP34" s="204"/>
      <c r="BHQ34" s="204"/>
      <c r="BHR34" s="204"/>
      <c r="BHS34" s="204"/>
      <c r="BHT34" s="204"/>
      <c r="BHU34" s="204"/>
      <c r="BHV34" s="204"/>
      <c r="BHW34" s="204"/>
      <c r="BHX34" s="204"/>
      <c r="BHY34" s="204"/>
      <c r="BHZ34" s="204"/>
      <c r="BIA34" s="204"/>
      <c r="BIB34" s="204"/>
      <c r="BIC34" s="204"/>
      <c r="BID34" s="204"/>
      <c r="BIE34" s="204"/>
      <c r="BIF34" s="204"/>
      <c r="BIG34" s="204"/>
      <c r="BIH34" s="204"/>
      <c r="BII34" s="204"/>
      <c r="BIJ34" s="204"/>
      <c r="BIK34" s="204"/>
      <c r="BIL34" s="204"/>
      <c r="BIM34" s="204"/>
      <c r="BIN34" s="204"/>
      <c r="BIO34" s="204"/>
      <c r="BIP34" s="204"/>
      <c r="BIQ34" s="204"/>
      <c r="BIR34" s="204"/>
      <c r="BIS34" s="204"/>
      <c r="BIT34" s="204"/>
      <c r="BIU34" s="204"/>
      <c r="BIV34" s="204"/>
      <c r="BIW34" s="204"/>
      <c r="BIX34" s="204"/>
      <c r="BIY34" s="204"/>
      <c r="BIZ34" s="204"/>
      <c r="BJA34" s="204"/>
      <c r="BJB34" s="204"/>
      <c r="BJC34" s="204"/>
      <c r="BJD34" s="204"/>
      <c r="BJE34" s="204"/>
      <c r="BJF34" s="204"/>
      <c r="BJG34" s="204"/>
      <c r="BJH34" s="204"/>
      <c r="BJI34" s="204"/>
      <c r="BJJ34" s="204"/>
      <c r="BJK34" s="204"/>
      <c r="BJL34" s="204"/>
      <c r="BJM34" s="204"/>
      <c r="BJN34" s="204"/>
      <c r="BJO34" s="204"/>
      <c r="BJP34" s="204"/>
      <c r="BJQ34" s="204"/>
      <c r="BJR34" s="204"/>
      <c r="BJS34" s="204"/>
      <c r="BJT34" s="204"/>
      <c r="BJU34" s="204"/>
      <c r="BJV34" s="204"/>
      <c r="BJW34" s="204"/>
      <c r="BJX34" s="204"/>
      <c r="BJY34" s="204"/>
      <c r="BJZ34" s="204"/>
      <c r="BKA34" s="204"/>
      <c r="BKB34" s="204"/>
      <c r="BKC34" s="204"/>
      <c r="BKD34" s="204"/>
      <c r="BKE34" s="204"/>
      <c r="BKF34" s="204"/>
      <c r="BKG34" s="204"/>
      <c r="BKH34" s="204"/>
      <c r="BKI34" s="204"/>
      <c r="BKJ34" s="204"/>
      <c r="BKK34" s="204"/>
      <c r="BKL34" s="204"/>
      <c r="BKM34" s="204"/>
      <c r="BKN34" s="204"/>
      <c r="BKO34" s="204"/>
      <c r="BKP34" s="204"/>
      <c r="BKQ34" s="204"/>
      <c r="BKR34" s="204"/>
      <c r="BKS34" s="204"/>
      <c r="BKT34" s="204"/>
      <c r="BKU34" s="204"/>
      <c r="BKV34" s="204"/>
      <c r="BKW34" s="204"/>
      <c r="BKX34" s="204"/>
      <c r="BKY34" s="204"/>
      <c r="BKZ34" s="204"/>
      <c r="BLA34" s="204"/>
      <c r="BLB34" s="204"/>
      <c r="BLC34" s="204"/>
      <c r="BLD34" s="204"/>
      <c r="BLE34" s="204"/>
      <c r="BLF34" s="204"/>
      <c r="BLG34" s="204"/>
      <c r="BLH34" s="204"/>
      <c r="BLI34" s="204"/>
      <c r="BLJ34" s="204"/>
      <c r="BLK34" s="204"/>
      <c r="BLL34" s="204"/>
      <c r="BLM34" s="204"/>
      <c r="BLN34" s="204"/>
      <c r="BLO34" s="204"/>
      <c r="BLP34" s="204"/>
      <c r="BLQ34" s="204"/>
      <c r="BLR34" s="204"/>
      <c r="BLS34" s="204"/>
      <c r="BLT34" s="204"/>
      <c r="BLU34" s="204"/>
      <c r="BLV34" s="204"/>
      <c r="BLW34" s="204"/>
      <c r="BLX34" s="204"/>
      <c r="BLY34" s="204"/>
      <c r="BLZ34" s="204"/>
      <c r="BMA34" s="204"/>
      <c r="BMB34" s="204"/>
      <c r="BMC34" s="204"/>
      <c r="BMD34" s="204"/>
      <c r="BME34" s="204"/>
      <c r="BMF34" s="204"/>
      <c r="BMG34" s="204"/>
      <c r="BMH34" s="204"/>
      <c r="BMI34" s="204"/>
      <c r="BMJ34" s="204"/>
      <c r="BMK34" s="204"/>
      <c r="BML34" s="204"/>
      <c r="BMM34" s="204"/>
      <c r="BMN34" s="204"/>
      <c r="BMO34" s="204"/>
      <c r="BMP34" s="204"/>
      <c r="BMQ34" s="204"/>
      <c r="BMR34" s="204"/>
      <c r="BMS34" s="204"/>
      <c r="BMT34" s="204"/>
      <c r="BMU34" s="204"/>
      <c r="BMV34" s="204"/>
      <c r="BMW34" s="204"/>
      <c r="BMX34" s="204"/>
      <c r="BMY34" s="204"/>
      <c r="BMZ34" s="204"/>
      <c r="BNA34" s="204"/>
      <c r="BNB34" s="204"/>
      <c r="BNC34" s="204"/>
      <c r="BND34" s="204"/>
      <c r="BNE34" s="204"/>
      <c r="BNF34" s="204"/>
      <c r="BNG34" s="204"/>
      <c r="BNH34" s="204"/>
      <c r="BNI34" s="204"/>
      <c r="BNJ34" s="204"/>
      <c r="BNK34" s="204"/>
      <c r="BNL34" s="204"/>
      <c r="BNM34" s="204"/>
      <c r="BNN34" s="204"/>
      <c r="BNO34" s="204"/>
      <c r="BNP34" s="204"/>
      <c r="BNQ34" s="204"/>
      <c r="BNR34" s="204"/>
      <c r="BNS34" s="204"/>
      <c r="BNT34" s="204"/>
      <c r="BNU34" s="204"/>
      <c r="BNV34" s="204"/>
      <c r="BNW34" s="204"/>
      <c r="BNX34" s="204"/>
      <c r="BNY34" s="204"/>
      <c r="BNZ34" s="204"/>
      <c r="BOA34" s="204"/>
      <c r="BOB34" s="204"/>
      <c r="BOC34" s="204"/>
      <c r="BOD34" s="204"/>
      <c r="BOE34" s="204"/>
      <c r="BOF34" s="204"/>
      <c r="BOG34" s="204"/>
      <c r="BOH34" s="204"/>
      <c r="BOI34" s="204"/>
      <c r="BOJ34" s="204"/>
      <c r="BOK34" s="204"/>
      <c r="BOL34" s="204"/>
      <c r="BOM34" s="204"/>
      <c r="BON34" s="204"/>
      <c r="BOO34" s="204"/>
      <c r="BOP34" s="204"/>
      <c r="BOQ34" s="204"/>
      <c r="BOR34" s="204"/>
      <c r="BOS34" s="204"/>
      <c r="BOT34" s="204"/>
      <c r="BOU34" s="204"/>
      <c r="BOV34" s="204"/>
      <c r="BOW34" s="204"/>
      <c r="BOX34" s="204"/>
      <c r="BOY34" s="204"/>
      <c r="BOZ34" s="204"/>
      <c r="BPA34" s="204"/>
      <c r="BPB34" s="204"/>
      <c r="BPC34" s="204"/>
      <c r="BPD34" s="204"/>
      <c r="BPE34" s="204"/>
      <c r="BPF34" s="204"/>
      <c r="BPG34" s="204"/>
      <c r="BPH34" s="204"/>
      <c r="BPI34" s="204"/>
      <c r="BPJ34" s="204"/>
      <c r="BPK34" s="204"/>
      <c r="BPL34" s="204"/>
      <c r="BPM34" s="204"/>
      <c r="BPN34" s="204"/>
      <c r="BPO34" s="204"/>
      <c r="BPP34" s="204"/>
      <c r="BPQ34" s="204"/>
      <c r="BPR34" s="204"/>
      <c r="BPS34" s="204"/>
      <c r="BPT34" s="204"/>
      <c r="BPU34" s="204"/>
      <c r="BPV34" s="204"/>
      <c r="BPW34" s="204"/>
      <c r="BPX34" s="204"/>
      <c r="BPY34" s="204"/>
      <c r="BPZ34" s="204"/>
      <c r="BQA34" s="204"/>
      <c r="BQB34" s="204"/>
      <c r="BQC34" s="204"/>
      <c r="BQD34" s="204"/>
      <c r="BQE34" s="204"/>
      <c r="BQF34" s="204"/>
      <c r="BQG34" s="204"/>
      <c r="BQH34" s="204"/>
      <c r="BQI34" s="204"/>
      <c r="BQJ34" s="204"/>
      <c r="BQK34" s="204"/>
      <c r="BQL34" s="204"/>
      <c r="BQM34" s="204"/>
      <c r="BQN34" s="204"/>
      <c r="BQO34" s="204"/>
      <c r="BQP34" s="204"/>
      <c r="BQQ34" s="204"/>
      <c r="BQR34" s="204"/>
      <c r="BQS34" s="204"/>
      <c r="BQT34" s="204"/>
      <c r="BQU34" s="204"/>
      <c r="BQV34" s="204"/>
      <c r="BQW34" s="204"/>
      <c r="BQX34" s="204"/>
      <c r="BQY34" s="204"/>
      <c r="BQZ34" s="204"/>
      <c r="BRA34" s="204"/>
      <c r="BRB34" s="204"/>
      <c r="BRC34" s="204"/>
      <c r="BRD34" s="204"/>
      <c r="BRE34" s="204"/>
      <c r="BRF34" s="204"/>
      <c r="BRG34" s="204"/>
      <c r="BRH34" s="204"/>
      <c r="BRI34" s="204"/>
      <c r="BRJ34" s="204"/>
      <c r="BRK34" s="204"/>
      <c r="BRL34" s="204"/>
      <c r="BRM34" s="204"/>
      <c r="BRN34" s="204"/>
      <c r="BRO34" s="204"/>
      <c r="BRP34" s="204"/>
      <c r="BRQ34" s="204"/>
      <c r="BRR34" s="204"/>
      <c r="BRS34" s="204"/>
      <c r="BRT34" s="204"/>
      <c r="BRU34" s="204"/>
      <c r="BRV34" s="204"/>
      <c r="BRW34" s="204"/>
      <c r="BRX34" s="204"/>
      <c r="BRY34" s="204"/>
      <c r="BRZ34" s="204"/>
      <c r="BSA34" s="204"/>
      <c r="BSB34" s="204"/>
      <c r="BSC34" s="204"/>
      <c r="BSD34" s="204"/>
      <c r="BSE34" s="204"/>
      <c r="BSF34" s="204"/>
      <c r="BSG34" s="204"/>
      <c r="BSH34" s="204"/>
      <c r="BSI34" s="204"/>
      <c r="BSJ34" s="204"/>
      <c r="BSK34" s="204"/>
      <c r="BSL34" s="204"/>
      <c r="BSM34" s="204"/>
      <c r="BSN34" s="204"/>
      <c r="BSO34" s="204"/>
      <c r="BSP34" s="204"/>
      <c r="BSQ34" s="204"/>
      <c r="BSR34" s="204"/>
      <c r="BSS34" s="204"/>
      <c r="BST34" s="204"/>
      <c r="BSU34" s="204"/>
      <c r="BSV34" s="204"/>
      <c r="BSW34" s="204"/>
      <c r="BSX34" s="204"/>
      <c r="BSY34" s="204"/>
      <c r="BSZ34" s="204"/>
      <c r="BTA34" s="204"/>
      <c r="BTB34" s="204"/>
      <c r="BTC34" s="204"/>
      <c r="BTD34" s="204"/>
      <c r="BTE34" s="204"/>
      <c r="BTF34" s="204"/>
      <c r="BTG34" s="204"/>
      <c r="BTH34" s="204"/>
      <c r="BTI34" s="204"/>
      <c r="BTJ34" s="204"/>
      <c r="BTK34" s="204"/>
      <c r="BTL34" s="204"/>
      <c r="BTM34" s="204"/>
      <c r="BTN34" s="204"/>
      <c r="BTO34" s="204"/>
      <c r="BTP34" s="204"/>
      <c r="BTQ34" s="204"/>
      <c r="BTR34" s="204"/>
      <c r="BTS34" s="204"/>
      <c r="BTT34" s="204"/>
      <c r="BTU34" s="204"/>
      <c r="BTV34" s="204"/>
      <c r="BTW34" s="204"/>
      <c r="BTX34" s="204"/>
      <c r="BTY34" s="204"/>
      <c r="BTZ34" s="204"/>
      <c r="BUA34" s="204"/>
      <c r="BUB34" s="204"/>
      <c r="BUC34" s="204"/>
      <c r="BUD34" s="204"/>
      <c r="BUE34" s="204"/>
      <c r="BUF34" s="204"/>
      <c r="BUG34" s="204"/>
      <c r="BUH34" s="204"/>
      <c r="BUI34" s="204"/>
      <c r="BUJ34" s="204"/>
      <c r="BUK34" s="204"/>
      <c r="BUL34" s="204"/>
      <c r="BUM34" s="204"/>
      <c r="BUN34" s="204"/>
      <c r="BUO34" s="204"/>
      <c r="BUP34" s="204"/>
      <c r="BUQ34" s="204"/>
      <c r="BUR34" s="204"/>
      <c r="BUS34" s="204"/>
      <c r="BUT34" s="204"/>
      <c r="BUU34" s="204"/>
      <c r="BUV34" s="204"/>
      <c r="BUW34" s="204"/>
      <c r="BUX34" s="204"/>
      <c r="BUY34" s="204"/>
      <c r="BUZ34" s="204"/>
      <c r="BVA34" s="204"/>
      <c r="BVB34" s="204"/>
      <c r="BVC34" s="204"/>
      <c r="BVD34" s="204"/>
      <c r="BVE34" s="204"/>
      <c r="BVF34" s="204"/>
      <c r="BVG34" s="204"/>
      <c r="BVH34" s="204"/>
      <c r="BVI34" s="204"/>
      <c r="BVJ34" s="204"/>
      <c r="BVK34" s="204"/>
      <c r="BVL34" s="204"/>
      <c r="BVM34" s="204"/>
      <c r="BVN34" s="204"/>
      <c r="BVO34" s="204"/>
      <c r="BVP34" s="204"/>
      <c r="BVQ34" s="204"/>
      <c r="BVR34" s="204"/>
      <c r="BVS34" s="204"/>
      <c r="BVT34" s="204"/>
      <c r="BVU34" s="204"/>
      <c r="BVV34" s="204"/>
      <c r="BVW34" s="204"/>
      <c r="BVX34" s="204"/>
      <c r="BVY34" s="204"/>
      <c r="BVZ34" s="204"/>
      <c r="BWA34" s="204"/>
      <c r="BWB34" s="204"/>
      <c r="BWC34" s="204"/>
      <c r="BWD34" s="204"/>
      <c r="BWE34" s="204"/>
      <c r="BWF34" s="204"/>
      <c r="BWG34" s="204"/>
      <c r="BWH34" s="204"/>
      <c r="BWI34" s="204"/>
      <c r="BWJ34" s="204"/>
      <c r="BWK34" s="204"/>
      <c r="BWL34" s="204"/>
      <c r="BWM34" s="204"/>
      <c r="BWN34" s="204"/>
      <c r="BWO34" s="204"/>
      <c r="BWP34" s="204"/>
      <c r="BWQ34" s="204"/>
      <c r="BWR34" s="204"/>
      <c r="BWS34" s="204"/>
      <c r="BWT34" s="204"/>
      <c r="BWU34" s="204"/>
      <c r="BWV34" s="204"/>
      <c r="BWW34" s="204"/>
      <c r="BWX34" s="204"/>
      <c r="BWY34" s="204"/>
      <c r="BWZ34" s="204"/>
      <c r="BXA34" s="204"/>
      <c r="BXB34" s="204"/>
      <c r="BXC34" s="204"/>
      <c r="BXD34" s="204"/>
      <c r="BXE34" s="204"/>
      <c r="BXF34" s="204"/>
      <c r="BXG34" s="204"/>
      <c r="BXH34" s="204"/>
      <c r="BXI34" s="204"/>
      <c r="BXJ34" s="204"/>
      <c r="BXK34" s="204"/>
      <c r="BXL34" s="204"/>
      <c r="BXM34" s="204"/>
      <c r="BXN34" s="204"/>
      <c r="BXO34" s="204"/>
      <c r="BXP34" s="204"/>
      <c r="BXQ34" s="204"/>
      <c r="BXR34" s="204"/>
      <c r="BXS34" s="204"/>
      <c r="BXT34" s="204"/>
      <c r="BXU34" s="204"/>
      <c r="BXV34" s="204"/>
      <c r="BXW34" s="204"/>
      <c r="BXX34" s="204"/>
      <c r="BXY34" s="204"/>
      <c r="BXZ34" s="204"/>
      <c r="BYA34" s="204"/>
      <c r="BYB34" s="204"/>
      <c r="BYC34" s="204"/>
      <c r="BYD34" s="204"/>
      <c r="BYE34" s="204"/>
      <c r="BYF34" s="204"/>
      <c r="BYG34" s="204"/>
      <c r="BYH34" s="204"/>
      <c r="BYI34" s="204"/>
      <c r="BYJ34" s="204"/>
      <c r="BYK34" s="204"/>
      <c r="BYL34" s="204"/>
      <c r="BYM34" s="204"/>
      <c r="BYN34" s="204"/>
      <c r="BYO34" s="204"/>
      <c r="BYP34" s="204"/>
      <c r="BYQ34" s="204"/>
      <c r="BYR34" s="204"/>
      <c r="BYS34" s="204"/>
      <c r="BYT34" s="204"/>
      <c r="BYU34" s="204"/>
      <c r="BYV34" s="204"/>
      <c r="BYW34" s="204"/>
      <c r="BYX34" s="204"/>
      <c r="BYY34" s="204"/>
      <c r="BYZ34" s="204"/>
      <c r="BZA34" s="204"/>
      <c r="BZB34" s="204"/>
      <c r="BZC34" s="204"/>
      <c r="BZD34" s="204"/>
      <c r="BZE34" s="204"/>
      <c r="BZF34" s="204"/>
      <c r="BZG34" s="204"/>
      <c r="BZH34" s="204"/>
      <c r="BZI34" s="204"/>
      <c r="BZJ34" s="204"/>
      <c r="BZK34" s="204"/>
      <c r="BZL34" s="204"/>
      <c r="BZM34" s="204"/>
      <c r="BZN34" s="204"/>
      <c r="BZO34" s="204"/>
      <c r="BZP34" s="204"/>
      <c r="BZQ34" s="204"/>
      <c r="BZR34" s="204"/>
      <c r="BZS34" s="204"/>
      <c r="BZT34" s="204"/>
      <c r="BZU34" s="204"/>
      <c r="BZV34" s="204"/>
      <c r="BZW34" s="204"/>
      <c r="BZX34" s="204"/>
      <c r="BZY34" s="204"/>
      <c r="BZZ34" s="204"/>
      <c r="CAA34" s="204"/>
      <c r="CAB34" s="204"/>
      <c r="CAC34" s="204"/>
      <c r="CAD34" s="204"/>
      <c r="CAE34" s="204"/>
      <c r="CAF34" s="204"/>
      <c r="CAG34" s="204"/>
      <c r="CAH34" s="204"/>
      <c r="CAI34" s="204"/>
      <c r="CAJ34" s="204"/>
      <c r="CAK34" s="204"/>
      <c r="CAL34" s="204"/>
      <c r="CAM34" s="204"/>
      <c r="CAN34" s="204"/>
      <c r="CAO34" s="204"/>
      <c r="CAP34" s="204"/>
      <c r="CAQ34" s="204"/>
      <c r="CAR34" s="204"/>
      <c r="CAS34" s="204"/>
      <c r="CAT34" s="204"/>
      <c r="CAU34" s="204"/>
      <c r="CAV34" s="204"/>
      <c r="CAW34" s="204"/>
      <c r="CAX34" s="204"/>
      <c r="CAY34" s="204"/>
      <c r="CAZ34" s="204"/>
      <c r="CBA34" s="204"/>
      <c r="CBB34" s="204"/>
      <c r="CBC34" s="204"/>
      <c r="CBD34" s="204"/>
      <c r="CBE34" s="204"/>
      <c r="CBF34" s="204"/>
      <c r="CBG34" s="204"/>
      <c r="CBH34" s="204"/>
      <c r="CBI34" s="204"/>
      <c r="CBJ34" s="204"/>
      <c r="CBK34" s="204"/>
      <c r="CBL34" s="204"/>
      <c r="CBM34" s="204"/>
      <c r="CBN34" s="204"/>
      <c r="CBO34" s="204"/>
      <c r="CBP34" s="204"/>
      <c r="CBQ34" s="204"/>
      <c r="CBR34" s="204"/>
      <c r="CBS34" s="204"/>
      <c r="CBT34" s="204"/>
      <c r="CBU34" s="204"/>
      <c r="CBV34" s="204"/>
      <c r="CBW34" s="204"/>
      <c r="CBX34" s="204"/>
      <c r="CBY34" s="204"/>
      <c r="CBZ34" s="204"/>
      <c r="CCA34" s="204"/>
      <c r="CCB34" s="204"/>
      <c r="CCC34" s="204"/>
      <c r="CCD34" s="204"/>
      <c r="CCE34" s="204"/>
      <c r="CCF34" s="204"/>
      <c r="CCG34" s="204"/>
      <c r="CCH34" s="204"/>
      <c r="CCI34" s="204"/>
      <c r="CCJ34" s="204"/>
      <c r="CCK34" s="204"/>
      <c r="CCL34" s="204"/>
      <c r="CCM34" s="204"/>
      <c r="CCN34" s="204"/>
      <c r="CCO34" s="204"/>
      <c r="CCP34" s="204"/>
      <c r="CCQ34" s="204"/>
      <c r="CCR34" s="204"/>
      <c r="CCS34" s="204"/>
      <c r="CCT34" s="204"/>
      <c r="CCU34" s="204"/>
      <c r="CCV34" s="204"/>
      <c r="CCW34" s="204"/>
      <c r="CCX34" s="204"/>
      <c r="CCY34" s="204"/>
      <c r="CCZ34" s="204"/>
      <c r="CDA34" s="204"/>
      <c r="CDB34" s="204"/>
      <c r="CDC34" s="204"/>
      <c r="CDD34" s="204"/>
      <c r="CDE34" s="204"/>
      <c r="CDF34" s="204"/>
      <c r="CDG34" s="204"/>
      <c r="CDH34" s="204"/>
      <c r="CDI34" s="204"/>
      <c r="CDJ34" s="204"/>
      <c r="CDK34" s="204"/>
      <c r="CDL34" s="204"/>
      <c r="CDM34" s="204"/>
      <c r="CDN34" s="204"/>
      <c r="CDO34" s="204"/>
      <c r="CDP34" s="204"/>
      <c r="CDQ34" s="204"/>
      <c r="CDR34" s="204"/>
      <c r="CDS34" s="204"/>
      <c r="CDT34" s="204"/>
      <c r="CDU34" s="204"/>
      <c r="CDV34" s="204"/>
      <c r="CDW34" s="204"/>
      <c r="CDX34" s="204"/>
      <c r="CDY34" s="204"/>
      <c r="CDZ34" s="204"/>
      <c r="CEA34" s="204"/>
      <c r="CEB34" s="204"/>
      <c r="CEC34" s="204"/>
      <c r="CED34" s="204"/>
      <c r="CEE34" s="204"/>
      <c r="CEF34" s="204"/>
      <c r="CEG34" s="204"/>
      <c r="CEH34" s="204"/>
      <c r="CEI34" s="204"/>
      <c r="CEJ34" s="204"/>
      <c r="CEK34" s="204"/>
      <c r="CEL34" s="204"/>
      <c r="CEM34" s="204"/>
      <c r="CEN34" s="204"/>
      <c r="CEO34" s="204"/>
      <c r="CEP34" s="204"/>
      <c r="CEQ34" s="204"/>
      <c r="CER34" s="204"/>
      <c r="CES34" s="204"/>
      <c r="CET34" s="204"/>
      <c r="CEU34" s="204"/>
      <c r="CEV34" s="204"/>
      <c r="CEW34" s="204"/>
      <c r="CEX34" s="204"/>
      <c r="CEY34" s="204"/>
      <c r="CEZ34" s="204"/>
      <c r="CFA34" s="204"/>
      <c r="CFB34" s="204"/>
      <c r="CFC34" s="204"/>
      <c r="CFD34" s="204"/>
      <c r="CFE34" s="204"/>
      <c r="CFF34" s="204"/>
      <c r="CFG34" s="204"/>
      <c r="CFH34" s="204"/>
      <c r="CFI34" s="204"/>
      <c r="CFJ34" s="204"/>
      <c r="CFK34" s="204"/>
      <c r="CFL34" s="204"/>
      <c r="CFM34" s="204"/>
      <c r="CFN34" s="204"/>
      <c r="CFO34" s="204"/>
      <c r="CFP34" s="204"/>
      <c r="CFQ34" s="204"/>
      <c r="CFR34" s="204"/>
      <c r="CFS34" s="204"/>
      <c r="CFT34" s="204"/>
      <c r="CFU34" s="204"/>
      <c r="CFV34" s="204"/>
      <c r="CFW34" s="204"/>
      <c r="CFX34" s="204"/>
      <c r="CFY34" s="204"/>
      <c r="CFZ34" s="204"/>
      <c r="CGA34" s="204"/>
      <c r="CGB34" s="204"/>
      <c r="CGC34" s="204"/>
      <c r="CGD34" s="204"/>
      <c r="CGE34" s="204"/>
      <c r="CGF34" s="204"/>
      <c r="CGG34" s="204"/>
      <c r="CGH34" s="204"/>
      <c r="CGI34" s="204"/>
      <c r="CGJ34" s="204"/>
      <c r="CGK34" s="204"/>
      <c r="CGL34" s="204"/>
      <c r="CGM34" s="204"/>
      <c r="CGN34" s="204"/>
      <c r="CGO34" s="204"/>
      <c r="CGP34" s="204"/>
      <c r="CGQ34" s="204"/>
      <c r="CGR34" s="204"/>
      <c r="CGS34" s="204"/>
      <c r="CGT34" s="204"/>
      <c r="CGU34" s="204"/>
      <c r="CGV34" s="204"/>
      <c r="CGW34" s="204"/>
      <c r="CGX34" s="204"/>
      <c r="CGY34" s="204"/>
      <c r="CGZ34" s="204"/>
      <c r="CHA34" s="204"/>
      <c r="CHB34" s="204"/>
      <c r="CHC34" s="204"/>
      <c r="CHD34" s="204"/>
      <c r="CHE34" s="204"/>
      <c r="CHF34" s="204"/>
      <c r="CHG34" s="204"/>
      <c r="CHH34" s="204"/>
      <c r="CHI34" s="204"/>
      <c r="CHJ34" s="204"/>
      <c r="CHK34" s="204"/>
      <c r="CHL34" s="204"/>
      <c r="CHM34" s="204"/>
      <c r="CHN34" s="204"/>
      <c r="CHO34" s="204"/>
      <c r="CHP34" s="204"/>
      <c r="CHQ34" s="204"/>
      <c r="CHR34" s="204"/>
      <c r="CHS34" s="204"/>
      <c r="CHT34" s="204"/>
      <c r="CHU34" s="204"/>
      <c r="CHV34" s="204"/>
      <c r="CHW34" s="204"/>
      <c r="CHX34" s="204"/>
      <c r="CHY34" s="204"/>
      <c r="CHZ34" s="204"/>
      <c r="CIA34" s="204"/>
      <c r="CIB34" s="204"/>
      <c r="CIC34" s="204"/>
      <c r="CID34" s="204"/>
      <c r="CIE34" s="204"/>
      <c r="CIF34" s="204"/>
      <c r="CIG34" s="204"/>
      <c r="CIH34" s="204"/>
      <c r="CII34" s="204"/>
      <c r="CIJ34" s="204"/>
      <c r="CIK34" s="204"/>
      <c r="CIL34" s="204"/>
      <c r="CIM34" s="204"/>
      <c r="CIN34" s="204"/>
      <c r="CIO34" s="204"/>
      <c r="CIP34" s="204"/>
      <c r="CIQ34" s="204"/>
      <c r="CIR34" s="204"/>
      <c r="CIS34" s="204"/>
      <c r="CIT34" s="204"/>
      <c r="CIU34" s="204"/>
      <c r="CIV34" s="204"/>
      <c r="CIW34" s="204"/>
      <c r="CIX34" s="204"/>
      <c r="CIY34" s="204"/>
      <c r="CIZ34" s="204"/>
      <c r="CJA34" s="204"/>
      <c r="CJB34" s="204"/>
      <c r="CJC34" s="204"/>
      <c r="CJD34" s="204"/>
      <c r="CJE34" s="204"/>
      <c r="CJF34" s="204"/>
      <c r="CJG34" s="204"/>
      <c r="CJH34" s="204"/>
      <c r="CJI34" s="204"/>
      <c r="CJJ34" s="204"/>
      <c r="CJK34" s="204"/>
      <c r="CJL34" s="204"/>
      <c r="CJM34" s="204"/>
      <c r="CJN34" s="204"/>
      <c r="CJO34" s="204"/>
      <c r="CJP34" s="204"/>
      <c r="CJQ34" s="204"/>
      <c r="CJR34" s="204"/>
      <c r="CJS34" s="204"/>
      <c r="CJT34" s="204"/>
      <c r="CJU34" s="204"/>
      <c r="CJV34" s="204"/>
      <c r="CJW34" s="204"/>
      <c r="CJX34" s="204"/>
      <c r="CJY34" s="204"/>
      <c r="CJZ34" s="204"/>
      <c r="CKA34" s="204"/>
      <c r="CKB34" s="204"/>
      <c r="CKC34" s="204"/>
      <c r="CKD34" s="204"/>
      <c r="CKE34" s="204"/>
      <c r="CKF34" s="204"/>
      <c r="CKG34" s="204"/>
      <c r="CKH34" s="204"/>
      <c r="CKI34" s="204"/>
      <c r="CKJ34" s="204"/>
      <c r="CKK34" s="204"/>
      <c r="CKL34" s="204"/>
      <c r="CKM34" s="204"/>
      <c r="CKN34" s="204"/>
      <c r="CKO34" s="204"/>
      <c r="CKP34" s="204"/>
      <c r="CKQ34" s="204"/>
      <c r="CKR34" s="204"/>
      <c r="CKS34" s="204"/>
      <c r="CKT34" s="204"/>
      <c r="CKU34" s="204"/>
      <c r="CKV34" s="204"/>
      <c r="CKW34" s="204"/>
      <c r="CKX34" s="204"/>
      <c r="CKY34" s="204"/>
      <c r="CKZ34" s="204"/>
      <c r="CLA34" s="204"/>
      <c r="CLB34" s="204"/>
      <c r="CLC34" s="204"/>
      <c r="CLD34" s="204"/>
      <c r="CLE34" s="204"/>
      <c r="CLF34" s="204"/>
      <c r="CLG34" s="204"/>
      <c r="CLH34" s="204"/>
      <c r="CLI34" s="204"/>
      <c r="CLJ34" s="204"/>
      <c r="CLK34" s="204"/>
      <c r="CLL34" s="204"/>
      <c r="CLM34" s="204"/>
      <c r="CLN34" s="204"/>
      <c r="CLO34" s="204"/>
      <c r="CLP34" s="204"/>
      <c r="CLQ34" s="204"/>
      <c r="CLR34" s="204"/>
      <c r="CLS34" s="204"/>
      <c r="CLT34" s="204"/>
      <c r="CLU34" s="204"/>
      <c r="CLV34" s="204"/>
      <c r="CLW34" s="204"/>
      <c r="CLX34" s="204"/>
      <c r="CLY34" s="204"/>
      <c r="CLZ34" s="204"/>
      <c r="CMA34" s="204"/>
      <c r="CMB34" s="204"/>
      <c r="CMC34" s="204"/>
      <c r="CMD34" s="204"/>
      <c r="CME34" s="204"/>
      <c r="CMF34" s="204"/>
      <c r="CMG34" s="204"/>
      <c r="CMH34" s="204"/>
      <c r="CMI34" s="204"/>
      <c r="CMJ34" s="204"/>
      <c r="CMK34" s="204"/>
      <c r="CML34" s="204"/>
      <c r="CMM34" s="204"/>
      <c r="CMN34" s="204"/>
      <c r="CMO34" s="204"/>
      <c r="CMP34" s="204"/>
      <c r="CMQ34" s="204"/>
      <c r="CMR34" s="204"/>
      <c r="CMS34" s="204"/>
      <c r="CMT34" s="204"/>
      <c r="CMU34" s="204"/>
      <c r="CMV34" s="204"/>
      <c r="CMW34" s="204"/>
      <c r="CMX34" s="204"/>
      <c r="CMY34" s="204"/>
      <c r="CMZ34" s="204"/>
      <c r="CNA34" s="204"/>
      <c r="CNB34" s="204"/>
      <c r="CNC34" s="204"/>
      <c r="CND34" s="204"/>
      <c r="CNE34" s="204"/>
      <c r="CNF34" s="204"/>
      <c r="CNG34" s="204"/>
      <c r="CNH34" s="204"/>
      <c r="CNI34" s="204"/>
      <c r="CNJ34" s="204"/>
      <c r="CNK34" s="204"/>
      <c r="CNL34" s="204"/>
      <c r="CNM34" s="204"/>
      <c r="CNN34" s="204"/>
      <c r="CNO34" s="204"/>
      <c r="CNP34" s="204"/>
      <c r="CNQ34" s="204"/>
      <c r="CNR34" s="204"/>
      <c r="CNS34" s="204"/>
      <c r="CNT34" s="204"/>
      <c r="CNU34" s="204"/>
      <c r="CNV34" s="204"/>
      <c r="CNW34" s="204"/>
      <c r="CNX34" s="204"/>
      <c r="CNY34" s="204"/>
      <c r="CNZ34" s="204"/>
      <c r="COA34" s="204"/>
      <c r="COB34" s="204"/>
      <c r="COC34" s="204"/>
      <c r="COD34" s="204"/>
      <c r="COE34" s="204"/>
      <c r="COF34" s="204"/>
      <c r="COG34" s="204"/>
      <c r="COH34" s="204"/>
      <c r="COI34" s="204"/>
      <c r="COJ34" s="204"/>
      <c r="COK34" s="204"/>
      <c r="COL34" s="204"/>
      <c r="COM34" s="204"/>
      <c r="CON34" s="204"/>
      <c r="COO34" s="204"/>
      <c r="COP34" s="204"/>
      <c r="COQ34" s="204"/>
      <c r="COR34" s="204"/>
      <c r="COS34" s="204"/>
      <c r="COT34" s="204"/>
      <c r="COU34" s="204"/>
      <c r="COV34" s="204"/>
      <c r="COW34" s="204"/>
      <c r="COX34" s="204"/>
      <c r="COY34" s="204"/>
      <c r="COZ34" s="204"/>
      <c r="CPA34" s="204"/>
      <c r="CPB34" s="204"/>
      <c r="CPC34" s="204"/>
      <c r="CPD34" s="204"/>
      <c r="CPE34" s="204"/>
      <c r="CPF34" s="204"/>
      <c r="CPG34" s="204"/>
      <c r="CPH34" s="204"/>
      <c r="CPI34" s="204"/>
      <c r="CPJ34" s="204"/>
      <c r="CPK34" s="204"/>
      <c r="CPL34" s="204"/>
      <c r="CPM34" s="204"/>
      <c r="CPN34" s="204"/>
      <c r="CPO34" s="204"/>
      <c r="CPP34" s="204"/>
      <c r="CPQ34" s="204"/>
      <c r="CPR34" s="204"/>
      <c r="CPS34" s="204"/>
      <c r="CPT34" s="204"/>
      <c r="CPU34" s="204"/>
      <c r="CPV34" s="204"/>
      <c r="CPW34" s="204"/>
      <c r="CPX34" s="204"/>
      <c r="CPY34" s="204"/>
      <c r="CPZ34" s="204"/>
      <c r="CQA34" s="204"/>
      <c r="CQB34" s="204"/>
      <c r="CQC34" s="204"/>
      <c r="CQD34" s="204"/>
      <c r="CQE34" s="204"/>
      <c r="CQF34" s="204"/>
      <c r="CQG34" s="204"/>
      <c r="CQH34" s="204"/>
      <c r="CQI34" s="204"/>
      <c r="CQJ34" s="204"/>
      <c r="CQK34" s="204"/>
      <c r="CQL34" s="204"/>
      <c r="CQM34" s="204"/>
      <c r="CQN34" s="204"/>
      <c r="CQO34" s="204"/>
      <c r="CQP34" s="204"/>
      <c r="CQQ34" s="204"/>
      <c r="CQR34" s="204"/>
      <c r="CQS34" s="204"/>
      <c r="CQT34" s="204"/>
      <c r="CQU34" s="204"/>
      <c r="CQV34" s="204"/>
      <c r="CQW34" s="204"/>
      <c r="CQX34" s="204"/>
      <c r="CQY34" s="204"/>
      <c r="CQZ34" s="204"/>
      <c r="CRA34" s="204"/>
      <c r="CRB34" s="204"/>
      <c r="CRC34" s="204"/>
      <c r="CRD34" s="204"/>
      <c r="CRE34" s="204"/>
      <c r="CRF34" s="204"/>
      <c r="CRG34" s="204"/>
      <c r="CRH34" s="204"/>
      <c r="CRI34" s="204"/>
      <c r="CRJ34" s="204"/>
      <c r="CRK34" s="204"/>
      <c r="CRL34" s="204"/>
      <c r="CRM34" s="204"/>
      <c r="CRN34" s="204"/>
      <c r="CRO34" s="204"/>
      <c r="CRP34" s="204"/>
      <c r="CRQ34" s="204"/>
      <c r="CRR34" s="204"/>
      <c r="CRS34" s="204"/>
      <c r="CRT34" s="204"/>
      <c r="CRU34" s="204"/>
      <c r="CRV34" s="204"/>
      <c r="CRW34" s="204"/>
      <c r="CRX34" s="204"/>
      <c r="CRY34" s="204"/>
      <c r="CRZ34" s="204"/>
      <c r="CSA34" s="204"/>
      <c r="CSB34" s="204"/>
      <c r="CSC34" s="204"/>
      <c r="CSD34" s="204"/>
      <c r="CSE34" s="204"/>
      <c r="CSF34" s="204"/>
      <c r="CSG34" s="204"/>
      <c r="CSH34" s="204"/>
      <c r="CSI34" s="204"/>
      <c r="CSJ34" s="204"/>
      <c r="CSK34" s="204"/>
      <c r="CSL34" s="204"/>
      <c r="CSM34" s="204"/>
      <c r="CSN34" s="204"/>
      <c r="CSO34" s="204"/>
      <c r="CSP34" s="204"/>
      <c r="CSQ34" s="204"/>
      <c r="CSR34" s="204"/>
      <c r="CSS34" s="204"/>
      <c r="CST34" s="204"/>
      <c r="CSU34" s="204"/>
      <c r="CSV34" s="204"/>
      <c r="CSW34" s="204"/>
      <c r="CSX34" s="204"/>
      <c r="CSY34" s="204"/>
      <c r="CSZ34" s="204"/>
      <c r="CTA34" s="204"/>
      <c r="CTB34" s="204"/>
      <c r="CTC34" s="204"/>
      <c r="CTD34" s="204"/>
      <c r="CTE34" s="204"/>
      <c r="CTF34" s="204"/>
      <c r="CTG34" s="204"/>
      <c r="CTH34" s="204"/>
      <c r="CTI34" s="204"/>
      <c r="CTJ34" s="204"/>
      <c r="CTK34" s="204"/>
      <c r="CTL34" s="204"/>
      <c r="CTM34" s="204"/>
      <c r="CTN34" s="204"/>
      <c r="CTO34" s="204"/>
      <c r="CTP34" s="204"/>
      <c r="CTQ34" s="204"/>
      <c r="CTR34" s="204"/>
      <c r="CTS34" s="204"/>
      <c r="CTT34" s="204"/>
      <c r="CTU34" s="204"/>
      <c r="CTV34" s="204"/>
      <c r="CTW34" s="204"/>
      <c r="CTX34" s="204"/>
      <c r="CTY34" s="204"/>
      <c r="CTZ34" s="204"/>
      <c r="CUA34" s="204"/>
      <c r="CUB34" s="204"/>
      <c r="CUC34" s="204"/>
      <c r="CUD34" s="204"/>
      <c r="CUE34" s="204"/>
      <c r="CUF34" s="204"/>
      <c r="CUG34" s="204"/>
      <c r="CUH34" s="204"/>
      <c r="CUI34" s="204"/>
      <c r="CUJ34" s="204"/>
      <c r="CUK34" s="204"/>
      <c r="CUL34" s="204"/>
      <c r="CUM34" s="204"/>
      <c r="CUN34" s="204"/>
      <c r="CUO34" s="204"/>
      <c r="CUP34" s="204"/>
      <c r="CUQ34" s="204"/>
      <c r="CUR34" s="204"/>
      <c r="CUS34" s="204"/>
      <c r="CUT34" s="204"/>
      <c r="CUU34" s="204"/>
      <c r="CUV34" s="204"/>
      <c r="CUW34" s="204"/>
      <c r="CUX34" s="204"/>
      <c r="CUY34" s="204"/>
      <c r="CUZ34" s="204"/>
      <c r="CVA34" s="204"/>
      <c r="CVB34" s="204"/>
      <c r="CVC34" s="204"/>
      <c r="CVD34" s="204"/>
      <c r="CVE34" s="204"/>
      <c r="CVF34" s="204"/>
      <c r="CVG34" s="204"/>
      <c r="CVH34" s="204"/>
      <c r="CVI34" s="204"/>
      <c r="CVJ34" s="204"/>
      <c r="CVK34" s="204"/>
      <c r="CVL34" s="204"/>
      <c r="CVM34" s="204"/>
      <c r="CVN34" s="204"/>
      <c r="CVO34" s="204"/>
      <c r="CVP34" s="204"/>
      <c r="CVQ34" s="204"/>
      <c r="CVR34" s="204"/>
      <c r="CVS34" s="204"/>
      <c r="CVT34" s="204"/>
      <c r="CVU34" s="204"/>
      <c r="CVV34" s="204"/>
      <c r="CVW34" s="204"/>
      <c r="CVX34" s="204"/>
      <c r="CVY34" s="204"/>
      <c r="CVZ34" s="204"/>
      <c r="CWA34" s="204"/>
      <c r="CWB34" s="204"/>
      <c r="CWC34" s="204"/>
      <c r="CWD34" s="204"/>
      <c r="CWE34" s="204"/>
      <c r="CWF34" s="204"/>
      <c r="CWG34" s="204"/>
      <c r="CWH34" s="204"/>
      <c r="CWI34" s="204"/>
      <c r="CWJ34" s="204"/>
      <c r="CWK34" s="204"/>
      <c r="CWL34" s="204"/>
      <c r="CWM34" s="204"/>
      <c r="CWN34" s="204"/>
      <c r="CWO34" s="204"/>
      <c r="CWP34" s="204"/>
      <c r="CWQ34" s="204"/>
      <c r="CWR34" s="204"/>
      <c r="CWS34" s="204"/>
      <c r="CWT34" s="204"/>
      <c r="CWU34" s="204"/>
      <c r="CWV34" s="204"/>
      <c r="CWW34" s="204"/>
      <c r="CWX34" s="204"/>
      <c r="CWY34" s="204"/>
      <c r="CWZ34" s="204"/>
      <c r="CXA34" s="204"/>
      <c r="CXB34" s="204"/>
      <c r="CXC34" s="204"/>
      <c r="CXD34" s="204"/>
      <c r="CXE34" s="204"/>
      <c r="CXF34" s="204"/>
      <c r="CXG34" s="204"/>
      <c r="CXH34" s="204"/>
      <c r="CXI34" s="204"/>
      <c r="CXJ34" s="204"/>
      <c r="CXK34" s="204"/>
      <c r="CXL34" s="204"/>
      <c r="CXM34" s="204"/>
      <c r="CXN34" s="204"/>
      <c r="CXO34" s="204"/>
      <c r="CXP34" s="204"/>
      <c r="CXQ34" s="204"/>
      <c r="CXR34" s="204"/>
      <c r="CXS34" s="204"/>
      <c r="CXT34" s="204"/>
      <c r="CXU34" s="204"/>
      <c r="CXV34" s="204"/>
      <c r="CXW34" s="204"/>
      <c r="CXX34" s="204"/>
      <c r="CXY34" s="204"/>
      <c r="CXZ34" s="204"/>
      <c r="CYA34" s="204"/>
      <c r="CYB34" s="204"/>
      <c r="CYC34" s="204"/>
      <c r="CYD34" s="204"/>
      <c r="CYE34" s="204"/>
      <c r="CYF34" s="204"/>
      <c r="CYG34" s="204"/>
      <c r="CYH34" s="204"/>
      <c r="CYI34" s="204"/>
      <c r="CYJ34" s="204"/>
      <c r="CYK34" s="204"/>
      <c r="CYL34" s="204"/>
      <c r="CYM34" s="204"/>
      <c r="CYN34" s="204"/>
      <c r="CYO34" s="204"/>
      <c r="CYP34" s="204"/>
      <c r="CYQ34" s="204"/>
      <c r="CYR34" s="204"/>
      <c r="CYS34" s="204"/>
      <c r="CYT34" s="204"/>
      <c r="CYU34" s="204"/>
      <c r="CYV34" s="204"/>
      <c r="CYW34" s="204"/>
      <c r="CYX34" s="204"/>
      <c r="CYY34" s="204"/>
      <c r="CYZ34" s="204"/>
      <c r="CZA34" s="204"/>
      <c r="CZB34" s="204"/>
      <c r="CZC34" s="204"/>
      <c r="CZD34" s="204"/>
      <c r="CZE34" s="204"/>
      <c r="CZF34" s="204"/>
      <c r="CZG34" s="204"/>
      <c r="CZH34" s="204"/>
      <c r="CZI34" s="204"/>
      <c r="CZJ34" s="204"/>
      <c r="CZK34" s="204"/>
      <c r="CZL34" s="204"/>
      <c r="CZM34" s="204"/>
      <c r="CZN34" s="204"/>
      <c r="CZO34" s="204"/>
      <c r="CZP34" s="204"/>
      <c r="CZQ34" s="204"/>
      <c r="CZR34" s="204"/>
      <c r="CZS34" s="204"/>
      <c r="CZT34" s="204"/>
      <c r="CZU34" s="204"/>
      <c r="CZV34" s="204"/>
      <c r="CZW34" s="204"/>
      <c r="CZX34" s="204"/>
      <c r="CZY34" s="204"/>
      <c r="CZZ34" s="204"/>
      <c r="DAA34" s="204"/>
      <c r="DAB34" s="204"/>
      <c r="DAC34" s="204"/>
      <c r="DAD34" s="204"/>
      <c r="DAE34" s="204"/>
      <c r="DAF34" s="204"/>
      <c r="DAG34" s="204"/>
      <c r="DAH34" s="204"/>
      <c r="DAI34" s="204"/>
      <c r="DAJ34" s="204"/>
      <c r="DAK34" s="204"/>
      <c r="DAL34" s="204"/>
      <c r="DAM34" s="204"/>
      <c r="DAN34" s="204"/>
      <c r="DAO34" s="204"/>
      <c r="DAP34" s="204"/>
      <c r="DAQ34" s="204"/>
      <c r="DAR34" s="204"/>
      <c r="DAS34" s="204"/>
      <c r="DAT34" s="204"/>
      <c r="DAU34" s="204"/>
      <c r="DAV34" s="204"/>
      <c r="DAW34" s="204"/>
      <c r="DAX34" s="204"/>
      <c r="DAY34" s="204"/>
      <c r="DAZ34" s="204"/>
      <c r="DBA34" s="204"/>
      <c r="DBB34" s="204"/>
      <c r="DBC34" s="204"/>
      <c r="DBD34" s="204"/>
      <c r="DBE34" s="204"/>
      <c r="DBF34" s="204"/>
      <c r="DBG34" s="204"/>
      <c r="DBH34" s="204"/>
      <c r="DBI34" s="204"/>
      <c r="DBJ34" s="204"/>
      <c r="DBK34" s="204"/>
      <c r="DBL34" s="204"/>
      <c r="DBM34" s="204"/>
      <c r="DBN34" s="204"/>
      <c r="DBO34" s="204"/>
      <c r="DBP34" s="204"/>
      <c r="DBQ34" s="204"/>
      <c r="DBR34" s="204"/>
      <c r="DBS34" s="204"/>
      <c r="DBT34" s="204"/>
      <c r="DBU34" s="204"/>
      <c r="DBV34" s="204"/>
      <c r="DBW34" s="204"/>
      <c r="DBX34" s="204"/>
      <c r="DBY34" s="204"/>
      <c r="DBZ34" s="204"/>
      <c r="DCA34" s="204"/>
      <c r="DCB34" s="204"/>
      <c r="DCC34" s="204"/>
      <c r="DCD34" s="204"/>
      <c r="DCE34" s="204"/>
      <c r="DCF34" s="204"/>
      <c r="DCG34" s="204"/>
      <c r="DCH34" s="204"/>
      <c r="DCI34" s="204"/>
      <c r="DCJ34" s="204"/>
      <c r="DCK34" s="204"/>
      <c r="DCL34" s="204"/>
      <c r="DCM34" s="204"/>
      <c r="DCN34" s="204"/>
      <c r="DCO34" s="204"/>
      <c r="DCP34" s="204"/>
      <c r="DCQ34" s="204"/>
      <c r="DCR34" s="204"/>
      <c r="DCS34" s="204"/>
      <c r="DCT34" s="204"/>
      <c r="DCU34" s="204"/>
      <c r="DCV34" s="204"/>
      <c r="DCW34" s="204"/>
      <c r="DCX34" s="204"/>
      <c r="DCY34" s="204"/>
      <c r="DCZ34" s="204"/>
      <c r="DDA34" s="204"/>
      <c r="DDB34" s="204"/>
      <c r="DDC34" s="204"/>
      <c r="DDD34" s="204"/>
      <c r="DDE34" s="204"/>
      <c r="DDF34" s="204"/>
      <c r="DDG34" s="204"/>
      <c r="DDH34" s="204"/>
      <c r="DDI34" s="204"/>
      <c r="DDJ34" s="204"/>
      <c r="DDK34" s="204"/>
      <c r="DDL34" s="204"/>
      <c r="DDM34" s="204"/>
      <c r="DDN34" s="204"/>
      <c r="DDO34" s="204"/>
      <c r="DDP34" s="204"/>
      <c r="DDQ34" s="204"/>
      <c r="DDR34" s="204"/>
      <c r="DDS34" s="204"/>
      <c r="DDT34" s="204"/>
      <c r="DDU34" s="204"/>
      <c r="DDV34" s="204"/>
      <c r="DDW34" s="204"/>
      <c r="DDX34" s="204"/>
      <c r="DDY34" s="204"/>
      <c r="DDZ34" s="204"/>
      <c r="DEA34" s="204"/>
      <c r="DEB34" s="204"/>
      <c r="DEC34" s="204"/>
      <c r="DED34" s="204"/>
      <c r="DEE34" s="204"/>
      <c r="DEF34" s="204"/>
      <c r="DEG34" s="204"/>
      <c r="DEH34" s="204"/>
      <c r="DEI34" s="204"/>
      <c r="DEJ34" s="204"/>
      <c r="DEK34" s="204"/>
      <c r="DEL34" s="204"/>
      <c r="DEM34" s="204"/>
      <c r="DEN34" s="204"/>
      <c r="DEO34" s="204"/>
      <c r="DEP34" s="204"/>
      <c r="DEQ34" s="204"/>
      <c r="DER34" s="204"/>
      <c r="DES34" s="204"/>
      <c r="DET34" s="204"/>
      <c r="DEU34" s="204"/>
      <c r="DEV34" s="204"/>
      <c r="DEW34" s="204"/>
      <c r="DEX34" s="204"/>
      <c r="DEY34" s="204"/>
      <c r="DEZ34" s="204"/>
      <c r="DFA34" s="204"/>
      <c r="DFB34" s="204"/>
      <c r="DFC34" s="204"/>
      <c r="DFD34" s="204"/>
      <c r="DFE34" s="204"/>
      <c r="DFF34" s="204"/>
      <c r="DFG34" s="204"/>
      <c r="DFH34" s="204"/>
      <c r="DFI34" s="204"/>
      <c r="DFJ34" s="204"/>
      <c r="DFK34" s="204"/>
      <c r="DFL34" s="204"/>
      <c r="DFM34" s="204"/>
      <c r="DFN34" s="204"/>
      <c r="DFO34" s="204"/>
      <c r="DFP34" s="204"/>
      <c r="DFQ34" s="204"/>
      <c r="DFR34" s="204"/>
      <c r="DFS34" s="204"/>
      <c r="DFT34" s="204"/>
      <c r="DFU34" s="204"/>
      <c r="DFV34" s="204"/>
      <c r="DFW34" s="204"/>
      <c r="DFX34" s="204"/>
      <c r="DFY34" s="204"/>
      <c r="DFZ34" s="204"/>
      <c r="DGA34" s="204"/>
      <c r="DGB34" s="204"/>
      <c r="DGC34" s="204"/>
      <c r="DGD34" s="204"/>
      <c r="DGE34" s="204"/>
      <c r="DGF34" s="204"/>
      <c r="DGG34" s="204"/>
      <c r="DGH34" s="204"/>
      <c r="DGI34" s="204"/>
      <c r="DGJ34" s="204"/>
      <c r="DGK34" s="204"/>
      <c r="DGL34" s="204"/>
      <c r="DGM34" s="204"/>
      <c r="DGN34" s="204"/>
      <c r="DGO34" s="204"/>
      <c r="DGP34" s="204"/>
      <c r="DGQ34" s="204"/>
      <c r="DGR34" s="204"/>
      <c r="DGS34" s="204"/>
      <c r="DGT34" s="204"/>
      <c r="DGU34" s="204"/>
      <c r="DGV34" s="204"/>
      <c r="DGW34" s="204"/>
      <c r="DGX34" s="204"/>
      <c r="DGY34" s="204"/>
      <c r="DGZ34" s="204"/>
      <c r="DHA34" s="204"/>
      <c r="DHB34" s="204"/>
      <c r="DHC34" s="204"/>
      <c r="DHD34" s="204"/>
      <c r="DHE34" s="204"/>
      <c r="DHF34" s="204"/>
      <c r="DHG34" s="204"/>
      <c r="DHH34" s="204"/>
      <c r="DHI34" s="204"/>
      <c r="DHJ34" s="204"/>
      <c r="DHK34" s="204"/>
      <c r="DHL34" s="204"/>
      <c r="DHM34" s="204"/>
      <c r="DHN34" s="204"/>
      <c r="DHO34" s="204"/>
      <c r="DHP34" s="204"/>
      <c r="DHQ34" s="204"/>
      <c r="DHR34" s="204"/>
      <c r="DHS34" s="204"/>
      <c r="DHT34" s="204"/>
      <c r="DHU34" s="204"/>
      <c r="DHV34" s="204"/>
      <c r="DHW34" s="204"/>
      <c r="DHX34" s="204"/>
      <c r="DHY34" s="204"/>
      <c r="DHZ34" s="204"/>
      <c r="DIA34" s="204"/>
      <c r="DIB34" s="204"/>
      <c r="DIC34" s="204"/>
      <c r="DID34" s="204"/>
      <c r="DIE34" s="204"/>
      <c r="DIF34" s="204"/>
      <c r="DIG34" s="204"/>
      <c r="DIH34" s="204"/>
      <c r="DII34" s="204"/>
      <c r="DIJ34" s="204"/>
      <c r="DIK34" s="204"/>
      <c r="DIL34" s="204"/>
      <c r="DIM34" s="204"/>
      <c r="DIN34" s="204"/>
      <c r="DIO34" s="204"/>
      <c r="DIP34" s="204"/>
      <c r="DIQ34" s="204"/>
      <c r="DIR34" s="204"/>
      <c r="DIS34" s="204"/>
      <c r="DIT34" s="204"/>
      <c r="DIU34" s="204"/>
      <c r="DIV34" s="204"/>
      <c r="DIW34" s="204"/>
      <c r="DIX34" s="204"/>
      <c r="DIY34" s="204"/>
      <c r="DIZ34" s="204"/>
      <c r="DJA34" s="204"/>
      <c r="DJB34" s="204"/>
      <c r="DJC34" s="204"/>
      <c r="DJD34" s="204"/>
      <c r="DJE34" s="204"/>
      <c r="DJF34" s="204"/>
      <c r="DJG34" s="204"/>
      <c r="DJH34" s="204"/>
      <c r="DJI34" s="204"/>
      <c r="DJJ34" s="204"/>
      <c r="DJK34" s="204"/>
      <c r="DJL34" s="204"/>
      <c r="DJM34" s="204"/>
      <c r="DJN34" s="204"/>
      <c r="DJO34" s="204"/>
      <c r="DJP34" s="204"/>
      <c r="DJQ34" s="204"/>
      <c r="DJR34" s="204"/>
      <c r="DJS34" s="204"/>
      <c r="DJT34" s="204"/>
      <c r="DJU34" s="204"/>
      <c r="DJV34" s="204"/>
      <c r="DJW34" s="204"/>
      <c r="DJX34" s="204"/>
      <c r="DJY34" s="204"/>
      <c r="DJZ34" s="204"/>
      <c r="DKA34" s="204"/>
      <c r="DKB34" s="204"/>
      <c r="DKC34" s="204"/>
      <c r="DKD34" s="204"/>
      <c r="DKE34" s="204"/>
      <c r="DKF34" s="204"/>
      <c r="DKG34" s="204"/>
      <c r="DKH34" s="204"/>
      <c r="DKI34" s="204"/>
      <c r="DKJ34" s="204"/>
      <c r="DKK34" s="204"/>
      <c r="DKL34" s="204"/>
      <c r="DKM34" s="204"/>
      <c r="DKN34" s="204"/>
      <c r="DKO34" s="204"/>
      <c r="DKP34" s="204"/>
      <c r="DKQ34" s="204"/>
      <c r="DKR34" s="204"/>
      <c r="DKS34" s="204"/>
      <c r="DKT34" s="204"/>
      <c r="DKU34" s="204"/>
      <c r="DKV34" s="204"/>
      <c r="DKW34" s="204"/>
      <c r="DKX34" s="204"/>
      <c r="DKY34" s="204"/>
      <c r="DKZ34" s="204"/>
      <c r="DLA34" s="204"/>
      <c r="DLB34" s="204"/>
      <c r="DLC34" s="204"/>
      <c r="DLD34" s="204"/>
      <c r="DLE34" s="204"/>
      <c r="DLF34" s="204"/>
      <c r="DLG34" s="204"/>
      <c r="DLH34" s="204"/>
      <c r="DLI34" s="204"/>
      <c r="DLJ34" s="204"/>
      <c r="DLK34" s="204"/>
      <c r="DLL34" s="204"/>
      <c r="DLM34" s="204"/>
      <c r="DLN34" s="204"/>
      <c r="DLO34" s="204"/>
      <c r="DLP34" s="204"/>
      <c r="DLQ34" s="204"/>
      <c r="DLR34" s="204"/>
      <c r="DLS34" s="204"/>
      <c r="DLT34" s="204"/>
      <c r="DLU34" s="204"/>
      <c r="DLV34" s="204"/>
      <c r="DLW34" s="204"/>
      <c r="DLX34" s="204"/>
      <c r="DLY34" s="204"/>
      <c r="DLZ34" s="204"/>
      <c r="DMA34" s="204"/>
      <c r="DMB34" s="204"/>
      <c r="DMC34" s="204"/>
      <c r="DMD34" s="204"/>
      <c r="DME34" s="204"/>
      <c r="DMF34" s="204"/>
      <c r="DMG34" s="204"/>
      <c r="DMH34" s="204"/>
      <c r="DMI34" s="204"/>
      <c r="DMJ34" s="204"/>
      <c r="DMK34" s="204"/>
      <c r="DML34" s="204"/>
      <c r="DMM34" s="204"/>
      <c r="DMN34" s="204"/>
      <c r="DMO34" s="204"/>
      <c r="DMP34" s="204"/>
      <c r="DMQ34" s="204"/>
      <c r="DMR34" s="204"/>
      <c r="DMS34" s="204"/>
      <c r="DMT34" s="204"/>
      <c r="DMU34" s="204"/>
      <c r="DMV34" s="204"/>
      <c r="DMW34" s="204"/>
      <c r="DMX34" s="204"/>
      <c r="DMY34" s="204"/>
      <c r="DMZ34" s="204"/>
      <c r="DNA34" s="204"/>
      <c r="DNB34" s="204"/>
      <c r="DNC34" s="204"/>
      <c r="DND34" s="204"/>
      <c r="DNE34" s="204"/>
      <c r="DNF34" s="204"/>
      <c r="DNG34" s="204"/>
      <c r="DNH34" s="204"/>
      <c r="DNI34" s="204"/>
      <c r="DNJ34" s="204"/>
      <c r="DNK34" s="204"/>
      <c r="DNL34" s="204"/>
      <c r="DNM34" s="204"/>
      <c r="DNN34" s="204"/>
      <c r="DNO34" s="204"/>
      <c r="DNP34" s="204"/>
      <c r="DNQ34" s="204"/>
      <c r="DNR34" s="204"/>
      <c r="DNS34" s="204"/>
      <c r="DNT34" s="204"/>
      <c r="DNU34" s="204"/>
      <c r="DNV34" s="204"/>
      <c r="DNW34" s="204"/>
      <c r="DNX34" s="204"/>
      <c r="DNY34" s="204"/>
      <c r="DNZ34" s="204"/>
      <c r="DOA34" s="204"/>
      <c r="DOB34" s="204"/>
      <c r="DOC34" s="204"/>
      <c r="DOD34" s="204"/>
      <c r="DOE34" s="204"/>
      <c r="DOF34" s="204"/>
      <c r="DOG34" s="204"/>
      <c r="DOH34" s="204"/>
      <c r="DOI34" s="204"/>
      <c r="DOJ34" s="204"/>
      <c r="DOK34" s="204"/>
      <c r="DOL34" s="204"/>
      <c r="DOM34" s="204"/>
      <c r="DON34" s="204"/>
      <c r="DOO34" s="204"/>
      <c r="DOP34" s="204"/>
      <c r="DOQ34" s="204"/>
      <c r="DOR34" s="204"/>
      <c r="DOS34" s="204"/>
      <c r="DOT34" s="204"/>
      <c r="DOU34" s="204"/>
      <c r="DOV34" s="204"/>
      <c r="DOW34" s="204"/>
      <c r="DOX34" s="204"/>
      <c r="DOY34" s="204"/>
      <c r="DOZ34" s="204"/>
      <c r="DPA34" s="204"/>
      <c r="DPB34" s="204"/>
      <c r="DPC34" s="204"/>
      <c r="DPD34" s="204"/>
      <c r="DPE34" s="204"/>
      <c r="DPF34" s="204"/>
      <c r="DPG34" s="204"/>
      <c r="DPH34" s="204"/>
      <c r="DPI34" s="204"/>
      <c r="DPJ34" s="204"/>
      <c r="DPK34" s="204"/>
      <c r="DPL34" s="204"/>
      <c r="DPM34" s="204"/>
      <c r="DPN34" s="204"/>
      <c r="DPO34" s="204"/>
      <c r="DPP34" s="204"/>
      <c r="DPQ34" s="204"/>
      <c r="DPR34" s="204"/>
      <c r="DPS34" s="204"/>
      <c r="DPT34" s="204"/>
      <c r="DPU34" s="204"/>
      <c r="DPV34" s="204"/>
      <c r="DPW34" s="204"/>
      <c r="DPX34" s="204"/>
      <c r="DPY34" s="204"/>
      <c r="DPZ34" s="204"/>
      <c r="DQA34" s="204"/>
      <c r="DQB34" s="204"/>
      <c r="DQC34" s="204"/>
      <c r="DQD34" s="204"/>
      <c r="DQE34" s="204"/>
      <c r="DQF34" s="204"/>
      <c r="DQG34" s="204"/>
      <c r="DQH34" s="204"/>
      <c r="DQI34" s="204"/>
      <c r="DQJ34" s="204"/>
      <c r="DQK34" s="204"/>
      <c r="DQL34" s="204"/>
      <c r="DQM34" s="204"/>
      <c r="DQN34" s="204"/>
      <c r="DQO34" s="204"/>
      <c r="DQP34" s="204"/>
      <c r="DQQ34" s="204"/>
      <c r="DQR34" s="204"/>
      <c r="DQS34" s="204"/>
      <c r="DQT34" s="204"/>
      <c r="DQU34" s="204"/>
      <c r="DQV34" s="204"/>
      <c r="DQW34" s="204"/>
      <c r="DQX34" s="204"/>
      <c r="DQY34" s="204"/>
      <c r="DQZ34" s="204"/>
      <c r="DRA34" s="204"/>
      <c r="DRB34" s="204"/>
      <c r="DRC34" s="204"/>
      <c r="DRD34" s="204"/>
      <c r="DRE34" s="204"/>
      <c r="DRF34" s="204"/>
      <c r="DRG34" s="204"/>
      <c r="DRH34" s="204"/>
      <c r="DRI34" s="204"/>
      <c r="DRJ34" s="204"/>
      <c r="DRK34" s="204"/>
      <c r="DRL34" s="204"/>
      <c r="DRM34" s="204"/>
      <c r="DRN34" s="204"/>
      <c r="DRO34" s="204"/>
      <c r="DRP34" s="204"/>
      <c r="DRQ34" s="204"/>
      <c r="DRR34" s="204"/>
      <c r="DRS34" s="204"/>
      <c r="DRT34" s="204"/>
      <c r="DRU34" s="204"/>
      <c r="DRV34" s="204"/>
      <c r="DRW34" s="204"/>
      <c r="DRX34" s="204"/>
      <c r="DRY34" s="204"/>
      <c r="DRZ34" s="204"/>
      <c r="DSA34" s="204"/>
      <c r="DSB34" s="204"/>
      <c r="DSC34" s="204"/>
      <c r="DSD34" s="204"/>
      <c r="DSE34" s="204"/>
      <c r="DSF34" s="204"/>
      <c r="DSG34" s="204"/>
      <c r="DSH34" s="204"/>
      <c r="DSI34" s="204"/>
      <c r="DSJ34" s="204"/>
      <c r="DSK34" s="204"/>
      <c r="DSL34" s="204"/>
      <c r="DSM34" s="204"/>
      <c r="DSN34" s="204"/>
      <c r="DSO34" s="204"/>
      <c r="DSP34" s="204"/>
      <c r="DSQ34" s="204"/>
      <c r="DSR34" s="204"/>
      <c r="DSS34" s="204"/>
      <c r="DST34" s="204"/>
      <c r="DSU34" s="204"/>
      <c r="DSV34" s="204"/>
      <c r="DSW34" s="204"/>
      <c r="DSX34" s="204"/>
      <c r="DSY34" s="204"/>
      <c r="DSZ34" s="204"/>
      <c r="DTA34" s="204"/>
      <c r="DTB34" s="204"/>
      <c r="DTC34" s="204"/>
      <c r="DTD34" s="204"/>
      <c r="DTE34" s="204"/>
      <c r="DTF34" s="204"/>
      <c r="DTG34" s="204"/>
      <c r="DTH34" s="204"/>
      <c r="DTI34" s="204"/>
      <c r="DTJ34" s="204"/>
      <c r="DTK34" s="204"/>
      <c r="DTL34" s="204"/>
      <c r="DTM34" s="204"/>
      <c r="DTN34" s="204"/>
      <c r="DTO34" s="204"/>
      <c r="DTP34" s="204"/>
      <c r="DTQ34" s="204"/>
      <c r="DTR34" s="204"/>
      <c r="DTS34" s="204"/>
      <c r="DTT34" s="204"/>
      <c r="DTU34" s="204"/>
      <c r="DTV34" s="204"/>
      <c r="DTW34" s="204"/>
      <c r="DTX34" s="204"/>
      <c r="DTY34" s="204"/>
      <c r="DTZ34" s="204"/>
      <c r="DUA34" s="204"/>
      <c r="DUB34" s="204"/>
      <c r="DUC34" s="204"/>
      <c r="DUD34" s="204"/>
      <c r="DUE34" s="204"/>
      <c r="DUF34" s="204"/>
      <c r="DUG34" s="204"/>
      <c r="DUH34" s="204"/>
      <c r="DUI34" s="204"/>
      <c r="DUJ34" s="204"/>
      <c r="DUK34" s="204"/>
      <c r="DUL34" s="204"/>
      <c r="DUM34" s="204"/>
      <c r="DUN34" s="204"/>
      <c r="DUO34" s="204"/>
      <c r="DUP34" s="204"/>
      <c r="DUQ34" s="204"/>
      <c r="DUR34" s="204"/>
      <c r="DUS34" s="204"/>
      <c r="DUT34" s="204"/>
      <c r="DUU34" s="204"/>
      <c r="DUV34" s="204"/>
      <c r="DUW34" s="204"/>
      <c r="DUX34" s="204"/>
      <c r="DUY34" s="204"/>
      <c r="DUZ34" s="204"/>
      <c r="DVA34" s="204"/>
      <c r="DVB34" s="204"/>
      <c r="DVC34" s="204"/>
      <c r="DVD34" s="204"/>
      <c r="DVE34" s="204"/>
      <c r="DVF34" s="204"/>
      <c r="DVG34" s="204"/>
      <c r="DVH34" s="204"/>
      <c r="DVI34" s="204"/>
      <c r="DVJ34" s="204"/>
      <c r="DVK34" s="204"/>
      <c r="DVL34" s="204"/>
      <c r="DVM34" s="204"/>
      <c r="DVN34" s="204"/>
      <c r="DVO34" s="204"/>
      <c r="DVP34" s="204"/>
      <c r="DVQ34" s="204"/>
      <c r="DVR34" s="204"/>
      <c r="DVS34" s="204"/>
      <c r="DVT34" s="204"/>
      <c r="DVU34" s="204"/>
      <c r="DVV34" s="204"/>
      <c r="DVW34" s="204"/>
      <c r="DVX34" s="204"/>
      <c r="DVY34" s="204"/>
      <c r="DVZ34" s="204"/>
      <c r="DWA34" s="204"/>
      <c r="DWB34" s="204"/>
      <c r="DWC34" s="204"/>
      <c r="DWD34" s="204"/>
      <c r="DWE34" s="204"/>
      <c r="DWF34" s="204"/>
      <c r="DWG34" s="204"/>
      <c r="DWH34" s="204"/>
      <c r="DWI34" s="204"/>
      <c r="DWJ34" s="204"/>
      <c r="DWK34" s="204"/>
      <c r="DWL34" s="204"/>
      <c r="DWM34" s="204"/>
      <c r="DWN34" s="204"/>
      <c r="DWO34" s="204"/>
      <c r="DWP34" s="204"/>
      <c r="DWQ34" s="204"/>
      <c r="DWR34" s="204"/>
      <c r="DWS34" s="204"/>
      <c r="DWT34" s="204"/>
      <c r="DWU34" s="204"/>
      <c r="DWV34" s="204"/>
      <c r="DWW34" s="204"/>
      <c r="DWX34" s="204"/>
      <c r="DWY34" s="204"/>
      <c r="DWZ34" s="204"/>
      <c r="DXA34" s="204"/>
      <c r="DXB34" s="204"/>
      <c r="DXC34" s="204"/>
      <c r="DXD34" s="204"/>
      <c r="DXE34" s="204"/>
      <c r="DXF34" s="204"/>
      <c r="DXG34" s="204"/>
      <c r="DXH34" s="204"/>
      <c r="DXI34" s="204"/>
      <c r="DXJ34" s="204"/>
      <c r="DXK34" s="204"/>
      <c r="DXL34" s="204"/>
      <c r="DXM34" s="204"/>
      <c r="DXN34" s="204"/>
      <c r="DXO34" s="204"/>
      <c r="DXP34" s="204"/>
      <c r="DXQ34" s="204"/>
      <c r="DXR34" s="204"/>
      <c r="DXS34" s="204"/>
      <c r="DXT34" s="204"/>
      <c r="DXU34" s="204"/>
      <c r="DXV34" s="204"/>
      <c r="DXW34" s="204"/>
      <c r="DXX34" s="204"/>
      <c r="DXY34" s="204"/>
      <c r="DXZ34" s="204"/>
      <c r="DYA34" s="204"/>
      <c r="DYB34" s="204"/>
      <c r="DYC34" s="204"/>
      <c r="DYD34" s="204"/>
      <c r="DYE34" s="204"/>
      <c r="DYF34" s="204"/>
      <c r="DYG34" s="204"/>
      <c r="DYH34" s="204"/>
      <c r="DYI34" s="204"/>
      <c r="DYJ34" s="204"/>
      <c r="DYK34" s="204"/>
      <c r="DYL34" s="204"/>
      <c r="DYM34" s="204"/>
      <c r="DYN34" s="204"/>
      <c r="DYO34" s="204"/>
      <c r="DYP34" s="204"/>
      <c r="DYQ34" s="204"/>
      <c r="DYR34" s="204"/>
      <c r="DYS34" s="204"/>
      <c r="DYT34" s="204"/>
      <c r="DYU34" s="204"/>
      <c r="DYV34" s="204"/>
      <c r="DYW34" s="204"/>
      <c r="DYX34" s="204"/>
      <c r="DYY34" s="204"/>
      <c r="DYZ34" s="204"/>
      <c r="DZA34" s="204"/>
      <c r="DZB34" s="204"/>
      <c r="DZC34" s="204"/>
      <c r="DZD34" s="204"/>
      <c r="DZE34" s="204"/>
      <c r="DZF34" s="204"/>
      <c r="DZG34" s="204"/>
      <c r="DZH34" s="204"/>
      <c r="DZI34" s="204"/>
      <c r="DZJ34" s="204"/>
      <c r="DZK34" s="204"/>
      <c r="DZL34" s="204"/>
      <c r="DZM34" s="204"/>
      <c r="DZN34" s="204"/>
      <c r="DZO34" s="204"/>
      <c r="DZP34" s="204"/>
      <c r="DZQ34" s="204"/>
      <c r="DZR34" s="204"/>
      <c r="DZS34" s="204"/>
      <c r="DZT34" s="204"/>
      <c r="DZU34" s="204"/>
      <c r="DZV34" s="204"/>
      <c r="DZW34" s="204"/>
      <c r="DZX34" s="204"/>
      <c r="DZY34" s="204"/>
      <c r="DZZ34" s="204"/>
      <c r="EAA34" s="204"/>
      <c r="EAB34" s="204"/>
      <c r="EAC34" s="204"/>
      <c r="EAD34" s="204"/>
      <c r="EAE34" s="204"/>
      <c r="EAF34" s="204"/>
      <c r="EAG34" s="204"/>
      <c r="EAH34" s="204"/>
      <c r="EAI34" s="204"/>
      <c r="EAJ34" s="204"/>
      <c r="EAK34" s="204"/>
      <c r="EAL34" s="204"/>
      <c r="EAM34" s="204"/>
      <c r="EAN34" s="204"/>
      <c r="EAO34" s="204"/>
      <c r="EAP34" s="204"/>
      <c r="EAQ34" s="204"/>
      <c r="EAR34" s="204"/>
      <c r="EAS34" s="204"/>
      <c r="EAT34" s="204"/>
      <c r="EAU34" s="204"/>
      <c r="EAV34" s="204"/>
      <c r="EAW34" s="204"/>
      <c r="EAX34" s="204"/>
      <c r="EAY34" s="204"/>
      <c r="EAZ34" s="204"/>
      <c r="EBA34" s="204"/>
      <c r="EBB34" s="204"/>
      <c r="EBC34" s="204"/>
      <c r="EBD34" s="204"/>
      <c r="EBE34" s="204"/>
      <c r="EBF34" s="204"/>
      <c r="EBG34" s="204"/>
      <c r="EBH34" s="204"/>
      <c r="EBI34" s="204"/>
      <c r="EBJ34" s="204"/>
      <c r="EBK34" s="204"/>
      <c r="EBL34" s="204"/>
      <c r="EBM34" s="204"/>
      <c r="EBN34" s="204"/>
      <c r="EBO34" s="204"/>
      <c r="EBP34" s="204"/>
      <c r="EBQ34" s="204"/>
      <c r="EBR34" s="204"/>
      <c r="EBS34" s="204"/>
      <c r="EBT34" s="204"/>
      <c r="EBU34" s="204"/>
      <c r="EBV34" s="204"/>
      <c r="EBW34" s="204"/>
      <c r="EBX34" s="204"/>
      <c r="EBY34" s="204"/>
      <c r="EBZ34" s="204"/>
      <c r="ECA34" s="204"/>
      <c r="ECB34" s="204"/>
      <c r="ECC34" s="204"/>
      <c r="ECD34" s="204"/>
      <c r="ECE34" s="204"/>
      <c r="ECF34" s="204"/>
      <c r="ECG34" s="204"/>
      <c r="ECH34" s="204"/>
      <c r="ECI34" s="204"/>
      <c r="ECJ34" s="204"/>
      <c r="ECK34" s="204"/>
      <c r="ECL34" s="204"/>
      <c r="ECM34" s="204"/>
      <c r="ECN34" s="204"/>
      <c r="ECO34" s="204"/>
      <c r="ECP34" s="204"/>
      <c r="ECQ34" s="204"/>
      <c r="ECR34" s="204"/>
      <c r="ECS34" s="204"/>
      <c r="ECT34" s="204"/>
      <c r="ECU34" s="204"/>
      <c r="ECV34" s="204"/>
      <c r="ECW34" s="204"/>
      <c r="ECX34" s="204"/>
      <c r="ECY34" s="204"/>
      <c r="ECZ34" s="204"/>
      <c r="EDA34" s="204"/>
      <c r="EDB34" s="204"/>
      <c r="EDC34" s="204"/>
      <c r="EDD34" s="204"/>
      <c r="EDE34" s="204"/>
      <c r="EDF34" s="204"/>
      <c r="EDG34" s="204"/>
      <c r="EDH34" s="204"/>
      <c r="EDI34" s="204"/>
      <c r="EDJ34" s="204"/>
      <c r="EDK34" s="204"/>
      <c r="EDL34" s="204"/>
      <c r="EDM34" s="204"/>
      <c r="EDN34" s="204"/>
      <c r="EDO34" s="204"/>
      <c r="EDP34" s="204"/>
      <c r="EDQ34" s="204"/>
      <c r="EDR34" s="204"/>
      <c r="EDS34" s="204"/>
      <c r="EDT34" s="204"/>
      <c r="EDU34" s="204"/>
      <c r="EDV34" s="204"/>
      <c r="EDW34" s="204"/>
      <c r="EDX34" s="204"/>
      <c r="EDY34" s="204"/>
      <c r="EDZ34" s="204"/>
      <c r="EEA34" s="204"/>
      <c r="EEB34" s="204"/>
      <c r="EEC34" s="204"/>
      <c r="EED34" s="204"/>
      <c r="EEE34" s="204"/>
      <c r="EEF34" s="204"/>
      <c r="EEG34" s="204"/>
      <c r="EEH34" s="204"/>
      <c r="EEI34" s="204"/>
      <c r="EEJ34" s="204"/>
      <c r="EEK34" s="204"/>
      <c r="EEL34" s="204"/>
      <c r="EEM34" s="204"/>
      <c r="EEN34" s="204"/>
      <c r="EEO34" s="204"/>
      <c r="EEP34" s="204"/>
      <c r="EEQ34" s="204"/>
      <c r="EER34" s="204"/>
      <c r="EES34" s="204"/>
      <c r="EET34" s="204"/>
      <c r="EEU34" s="204"/>
      <c r="EEV34" s="204"/>
      <c r="EEW34" s="204"/>
      <c r="EEX34" s="204"/>
      <c r="EEY34" s="204"/>
      <c r="EEZ34" s="204"/>
      <c r="EFA34" s="204"/>
      <c r="EFB34" s="204"/>
      <c r="EFC34" s="204"/>
      <c r="EFD34" s="204"/>
      <c r="EFE34" s="204"/>
      <c r="EFF34" s="204"/>
      <c r="EFG34" s="204"/>
      <c r="EFH34" s="204"/>
      <c r="EFI34" s="204"/>
      <c r="EFJ34" s="204"/>
      <c r="EFK34" s="204"/>
      <c r="EFL34" s="204"/>
      <c r="EFM34" s="204"/>
      <c r="EFN34" s="204"/>
      <c r="EFO34" s="204"/>
      <c r="EFP34" s="204"/>
      <c r="EFQ34" s="204"/>
      <c r="EFR34" s="204"/>
      <c r="EFS34" s="204"/>
      <c r="EFT34" s="204"/>
      <c r="EFU34" s="204"/>
      <c r="EFV34" s="204"/>
      <c r="EFW34" s="204"/>
      <c r="EFX34" s="204"/>
      <c r="EFY34" s="204"/>
      <c r="EFZ34" s="204"/>
      <c r="EGA34" s="204"/>
      <c r="EGB34" s="204"/>
      <c r="EGC34" s="204"/>
      <c r="EGD34" s="204"/>
      <c r="EGE34" s="204"/>
      <c r="EGF34" s="204"/>
      <c r="EGG34" s="204"/>
      <c r="EGH34" s="204"/>
      <c r="EGI34" s="204"/>
      <c r="EGJ34" s="204"/>
      <c r="EGK34" s="204"/>
      <c r="EGL34" s="204"/>
      <c r="EGM34" s="204"/>
      <c r="EGN34" s="204"/>
      <c r="EGO34" s="204"/>
      <c r="EGP34" s="204"/>
      <c r="EGQ34" s="204"/>
      <c r="EGR34" s="204"/>
      <c r="EGS34" s="204"/>
      <c r="EGT34" s="204"/>
      <c r="EGU34" s="204"/>
      <c r="EGV34" s="204"/>
      <c r="EGW34" s="204"/>
      <c r="EGX34" s="204"/>
      <c r="EGY34" s="204"/>
      <c r="EGZ34" s="204"/>
      <c r="EHA34" s="204"/>
      <c r="EHB34" s="204"/>
      <c r="EHC34" s="204"/>
      <c r="EHD34" s="204"/>
      <c r="EHE34" s="204"/>
      <c r="EHF34" s="204"/>
      <c r="EHG34" s="204"/>
      <c r="EHH34" s="204"/>
      <c r="EHI34" s="204"/>
      <c r="EHJ34" s="204"/>
      <c r="EHK34" s="204"/>
      <c r="EHL34" s="204"/>
      <c r="EHM34" s="204"/>
      <c r="EHN34" s="204"/>
      <c r="EHO34" s="204"/>
      <c r="EHP34" s="204"/>
      <c r="EHQ34" s="204"/>
      <c r="EHR34" s="204"/>
      <c r="EHS34" s="204"/>
      <c r="EHT34" s="204"/>
      <c r="EHU34" s="204"/>
      <c r="EHV34" s="204"/>
      <c r="EHW34" s="204"/>
      <c r="EHX34" s="204"/>
      <c r="EHY34" s="204"/>
      <c r="EHZ34" s="204"/>
      <c r="EIA34" s="204"/>
      <c r="EIB34" s="204"/>
      <c r="EIC34" s="204"/>
      <c r="EID34" s="204"/>
      <c r="EIE34" s="204"/>
      <c r="EIF34" s="204"/>
      <c r="EIG34" s="204"/>
      <c r="EIH34" s="204"/>
      <c r="EII34" s="204"/>
      <c r="EIJ34" s="204"/>
      <c r="EIK34" s="204"/>
      <c r="EIL34" s="204"/>
      <c r="EIM34" s="204"/>
      <c r="EIN34" s="204"/>
      <c r="EIO34" s="204"/>
      <c r="EIP34" s="204"/>
      <c r="EIQ34" s="204"/>
      <c r="EIR34" s="204"/>
      <c r="EIS34" s="204"/>
      <c r="EIT34" s="204"/>
      <c r="EIU34" s="204"/>
      <c r="EIV34" s="204"/>
      <c r="EIW34" s="204"/>
      <c r="EIX34" s="204"/>
      <c r="EIY34" s="204"/>
      <c r="EIZ34" s="204"/>
      <c r="EJA34" s="204"/>
      <c r="EJB34" s="204"/>
      <c r="EJC34" s="204"/>
      <c r="EJD34" s="204"/>
      <c r="EJE34" s="204"/>
      <c r="EJF34" s="204"/>
      <c r="EJG34" s="204"/>
      <c r="EJH34" s="204"/>
      <c r="EJI34" s="204"/>
      <c r="EJJ34" s="204"/>
      <c r="EJK34" s="204"/>
      <c r="EJL34" s="204"/>
      <c r="EJM34" s="204"/>
      <c r="EJN34" s="204"/>
      <c r="EJO34" s="204"/>
      <c r="EJP34" s="204"/>
      <c r="EJQ34" s="204"/>
      <c r="EJR34" s="204"/>
      <c r="EJS34" s="204"/>
      <c r="EJT34" s="204"/>
      <c r="EJU34" s="204"/>
      <c r="EJV34" s="204"/>
      <c r="EJW34" s="204"/>
      <c r="EJX34" s="204"/>
      <c r="EJY34" s="204"/>
      <c r="EJZ34" s="204"/>
      <c r="EKA34" s="204"/>
      <c r="EKB34" s="204"/>
      <c r="EKC34" s="204"/>
      <c r="EKD34" s="204"/>
      <c r="EKE34" s="204"/>
      <c r="EKF34" s="204"/>
      <c r="EKG34" s="204"/>
      <c r="EKH34" s="204"/>
      <c r="EKI34" s="204"/>
      <c r="EKJ34" s="204"/>
      <c r="EKK34" s="204"/>
      <c r="EKL34" s="204"/>
      <c r="EKM34" s="204"/>
      <c r="EKN34" s="204"/>
      <c r="EKO34" s="204"/>
      <c r="EKP34" s="204"/>
      <c r="EKQ34" s="204"/>
      <c r="EKR34" s="204"/>
      <c r="EKS34" s="204"/>
      <c r="EKT34" s="204"/>
      <c r="EKU34" s="204"/>
      <c r="EKV34" s="204"/>
      <c r="EKW34" s="204"/>
      <c r="EKX34" s="204"/>
      <c r="EKY34" s="204"/>
      <c r="EKZ34" s="204"/>
      <c r="ELA34" s="204"/>
      <c r="ELB34" s="204"/>
      <c r="ELC34" s="204"/>
      <c r="ELD34" s="204"/>
      <c r="ELE34" s="204"/>
      <c r="ELF34" s="204"/>
      <c r="ELG34" s="204"/>
      <c r="ELH34" s="204"/>
      <c r="ELI34" s="204"/>
      <c r="ELJ34" s="204"/>
      <c r="ELK34" s="204"/>
      <c r="ELL34" s="204"/>
      <c r="ELM34" s="204"/>
      <c r="ELN34" s="204"/>
      <c r="ELO34" s="204"/>
      <c r="ELP34" s="204"/>
      <c r="ELQ34" s="204"/>
      <c r="ELR34" s="204"/>
      <c r="ELS34" s="204"/>
      <c r="ELT34" s="204"/>
      <c r="ELU34" s="204"/>
      <c r="ELV34" s="204"/>
      <c r="ELW34" s="204"/>
      <c r="ELX34" s="204"/>
      <c r="ELY34" s="204"/>
      <c r="ELZ34" s="204"/>
      <c r="EMA34" s="204"/>
      <c r="EMB34" s="204"/>
      <c r="EMC34" s="204"/>
      <c r="EMD34" s="204"/>
      <c r="EME34" s="204"/>
      <c r="EMF34" s="204"/>
      <c r="EMG34" s="204"/>
      <c r="EMH34" s="204"/>
      <c r="EMI34" s="204"/>
      <c r="EMJ34" s="204"/>
      <c r="EMK34" s="204"/>
      <c r="EML34" s="204"/>
      <c r="EMM34" s="204"/>
      <c r="EMN34" s="204"/>
      <c r="EMO34" s="204"/>
      <c r="EMP34" s="204"/>
      <c r="EMQ34" s="204"/>
      <c r="EMR34" s="204"/>
      <c r="EMS34" s="204"/>
      <c r="EMT34" s="204"/>
      <c r="EMU34" s="204"/>
      <c r="EMV34" s="204"/>
      <c r="EMW34" s="204"/>
      <c r="EMX34" s="204"/>
      <c r="EMY34" s="204"/>
      <c r="EMZ34" s="204"/>
      <c r="ENA34" s="204"/>
      <c r="ENB34" s="204"/>
      <c r="ENC34" s="204"/>
      <c r="END34" s="204"/>
      <c r="ENE34" s="204"/>
      <c r="ENF34" s="204"/>
      <c r="ENG34" s="204"/>
      <c r="ENH34" s="204"/>
      <c r="ENI34" s="204"/>
      <c r="ENJ34" s="204"/>
      <c r="ENK34" s="204"/>
      <c r="ENL34" s="204"/>
      <c r="ENM34" s="204"/>
      <c r="ENN34" s="204"/>
      <c r="ENO34" s="204"/>
      <c r="ENP34" s="204"/>
      <c r="ENQ34" s="204"/>
      <c r="ENR34" s="204"/>
      <c r="ENS34" s="204"/>
      <c r="ENT34" s="204"/>
      <c r="ENU34" s="204"/>
      <c r="ENV34" s="204"/>
      <c r="ENW34" s="204"/>
      <c r="ENX34" s="204"/>
      <c r="ENY34" s="204"/>
      <c r="ENZ34" s="204"/>
      <c r="EOA34" s="204"/>
      <c r="EOB34" s="204"/>
      <c r="EOC34" s="204"/>
      <c r="EOD34" s="204"/>
      <c r="EOE34" s="204"/>
      <c r="EOF34" s="204"/>
      <c r="EOG34" s="204"/>
      <c r="EOH34" s="204"/>
      <c r="EOI34" s="204"/>
      <c r="EOJ34" s="204"/>
      <c r="EOK34" s="204"/>
      <c r="EOL34" s="204"/>
      <c r="EOM34" s="204"/>
      <c r="EON34" s="204"/>
      <c r="EOO34" s="204"/>
      <c r="EOP34" s="204"/>
      <c r="EOQ34" s="204"/>
      <c r="EOR34" s="204"/>
      <c r="EOS34" s="204"/>
      <c r="EOT34" s="204"/>
      <c r="EOU34" s="204"/>
      <c r="EOV34" s="204"/>
      <c r="EOW34" s="204"/>
      <c r="EOX34" s="204"/>
      <c r="EOY34" s="204"/>
      <c r="EOZ34" s="204"/>
      <c r="EPA34" s="204"/>
      <c r="EPB34" s="204"/>
      <c r="EPC34" s="204"/>
      <c r="EPD34" s="204"/>
      <c r="EPE34" s="204"/>
      <c r="EPF34" s="204"/>
      <c r="EPG34" s="204"/>
      <c r="EPH34" s="204"/>
      <c r="EPI34" s="204"/>
      <c r="EPJ34" s="204"/>
      <c r="EPK34" s="204"/>
      <c r="EPL34" s="204"/>
      <c r="EPM34" s="204"/>
      <c r="EPN34" s="204"/>
      <c r="EPO34" s="204"/>
      <c r="EPP34" s="204"/>
      <c r="EPQ34" s="204"/>
      <c r="EPR34" s="204"/>
      <c r="EPS34" s="204"/>
      <c r="EPT34" s="204"/>
      <c r="EPU34" s="204"/>
      <c r="EPV34" s="204"/>
      <c r="EPW34" s="204"/>
      <c r="EPX34" s="204"/>
      <c r="EPY34" s="204"/>
      <c r="EPZ34" s="204"/>
      <c r="EQA34" s="204"/>
      <c r="EQB34" s="204"/>
      <c r="EQC34" s="204"/>
      <c r="EQD34" s="204"/>
      <c r="EQE34" s="204"/>
      <c r="EQF34" s="204"/>
      <c r="EQG34" s="204"/>
      <c r="EQH34" s="204"/>
      <c r="EQI34" s="204"/>
      <c r="EQJ34" s="204"/>
      <c r="EQK34" s="204"/>
      <c r="EQL34" s="204"/>
      <c r="EQM34" s="204"/>
      <c r="EQN34" s="204"/>
      <c r="EQO34" s="204"/>
      <c r="EQP34" s="204"/>
      <c r="EQQ34" s="204"/>
      <c r="EQR34" s="204"/>
      <c r="EQS34" s="204"/>
      <c r="EQT34" s="204"/>
      <c r="EQU34" s="204"/>
      <c r="EQV34" s="204"/>
      <c r="EQW34" s="204"/>
      <c r="EQX34" s="204"/>
      <c r="EQY34" s="204"/>
      <c r="EQZ34" s="204"/>
      <c r="ERA34" s="204"/>
      <c r="ERB34" s="204"/>
      <c r="ERC34" s="204"/>
      <c r="ERD34" s="204"/>
      <c r="ERE34" s="204"/>
      <c r="ERF34" s="204"/>
      <c r="ERG34" s="204"/>
      <c r="ERH34" s="204"/>
      <c r="ERI34" s="204"/>
      <c r="ERJ34" s="204"/>
      <c r="ERK34" s="204"/>
      <c r="ERL34" s="204"/>
      <c r="ERM34" s="204"/>
      <c r="ERN34" s="204"/>
      <c r="ERO34" s="204"/>
      <c r="ERP34" s="204"/>
      <c r="ERQ34" s="204"/>
      <c r="ERR34" s="204"/>
      <c r="ERS34" s="204"/>
      <c r="ERT34" s="204"/>
      <c r="ERU34" s="204"/>
      <c r="ERV34" s="204"/>
      <c r="ERW34" s="204"/>
      <c r="ERX34" s="204"/>
      <c r="ERY34" s="204"/>
      <c r="ERZ34" s="204"/>
      <c r="ESA34" s="204"/>
      <c r="ESB34" s="204"/>
      <c r="ESC34" s="204"/>
      <c r="ESD34" s="204"/>
      <c r="ESE34" s="204"/>
      <c r="ESF34" s="204"/>
      <c r="ESG34" s="204"/>
      <c r="ESH34" s="204"/>
      <c r="ESI34" s="204"/>
      <c r="ESJ34" s="204"/>
      <c r="ESK34" s="204"/>
      <c r="ESL34" s="204"/>
      <c r="ESM34" s="204"/>
      <c r="ESN34" s="204"/>
      <c r="ESO34" s="204"/>
      <c r="ESP34" s="204"/>
      <c r="ESQ34" s="204"/>
      <c r="ESR34" s="204"/>
      <c r="ESS34" s="204"/>
      <c r="EST34" s="204"/>
      <c r="ESU34" s="204"/>
      <c r="ESV34" s="204"/>
      <c r="ESW34" s="204"/>
      <c r="ESX34" s="204"/>
      <c r="ESY34" s="204"/>
      <c r="ESZ34" s="204"/>
      <c r="ETA34" s="204"/>
      <c r="ETB34" s="204"/>
      <c r="ETC34" s="204"/>
      <c r="ETD34" s="204"/>
      <c r="ETE34" s="204"/>
      <c r="ETF34" s="204"/>
      <c r="ETG34" s="204"/>
      <c r="ETH34" s="204"/>
      <c r="ETI34" s="204"/>
      <c r="ETJ34" s="204"/>
      <c r="ETK34" s="204"/>
      <c r="ETL34" s="204"/>
      <c r="ETM34" s="204"/>
      <c r="ETN34" s="204"/>
      <c r="ETO34" s="204"/>
      <c r="ETP34" s="204"/>
      <c r="ETQ34" s="204"/>
      <c r="ETR34" s="204"/>
      <c r="ETS34" s="204"/>
      <c r="ETT34" s="204"/>
      <c r="ETU34" s="204"/>
      <c r="ETV34" s="204"/>
      <c r="ETW34" s="204"/>
      <c r="ETX34" s="204"/>
      <c r="ETY34" s="204"/>
      <c r="ETZ34" s="204"/>
      <c r="EUA34" s="204"/>
      <c r="EUB34" s="204"/>
      <c r="EUC34" s="204"/>
      <c r="EUD34" s="204"/>
      <c r="EUE34" s="204"/>
      <c r="EUF34" s="204"/>
      <c r="EUG34" s="204"/>
      <c r="EUH34" s="204"/>
      <c r="EUI34" s="204"/>
      <c r="EUJ34" s="204"/>
      <c r="EUK34" s="204"/>
      <c r="EUL34" s="204"/>
      <c r="EUM34" s="204"/>
      <c r="EUN34" s="204"/>
      <c r="EUO34" s="204"/>
      <c r="EUP34" s="204"/>
      <c r="EUQ34" s="204"/>
      <c r="EUR34" s="204"/>
      <c r="EUS34" s="204"/>
      <c r="EUT34" s="204"/>
      <c r="EUU34" s="204"/>
      <c r="EUV34" s="204"/>
      <c r="EUW34" s="204"/>
      <c r="EUX34" s="204"/>
      <c r="EUY34" s="204"/>
      <c r="EUZ34" s="204"/>
      <c r="EVA34" s="204"/>
      <c r="EVB34" s="204"/>
      <c r="EVC34" s="204"/>
      <c r="EVD34" s="204"/>
      <c r="EVE34" s="204"/>
      <c r="EVF34" s="204"/>
      <c r="EVG34" s="204"/>
      <c r="EVH34" s="204"/>
      <c r="EVI34" s="204"/>
      <c r="EVJ34" s="204"/>
      <c r="EVK34" s="204"/>
      <c r="EVL34" s="204"/>
      <c r="EVM34" s="204"/>
      <c r="EVN34" s="204"/>
      <c r="EVO34" s="204"/>
      <c r="EVP34" s="204"/>
      <c r="EVQ34" s="204"/>
      <c r="EVR34" s="204"/>
      <c r="EVS34" s="204"/>
      <c r="EVT34" s="204"/>
      <c r="EVU34" s="204"/>
      <c r="EVV34" s="204"/>
      <c r="EVW34" s="204"/>
      <c r="EVX34" s="204"/>
      <c r="EVY34" s="204"/>
      <c r="EVZ34" s="204"/>
      <c r="EWA34" s="204"/>
      <c r="EWB34" s="204"/>
      <c r="EWC34" s="204"/>
      <c r="EWD34" s="204"/>
      <c r="EWE34" s="204"/>
      <c r="EWF34" s="204"/>
      <c r="EWG34" s="204"/>
      <c r="EWH34" s="204"/>
      <c r="EWI34" s="204"/>
      <c r="EWJ34" s="204"/>
      <c r="EWK34" s="204"/>
      <c r="EWL34" s="204"/>
      <c r="EWM34" s="204"/>
      <c r="EWN34" s="204"/>
      <c r="EWO34" s="204"/>
      <c r="EWP34" s="204"/>
      <c r="EWQ34" s="204"/>
      <c r="EWR34" s="204"/>
      <c r="EWS34" s="204"/>
      <c r="EWT34" s="204"/>
      <c r="EWU34" s="204"/>
      <c r="EWV34" s="204"/>
      <c r="EWW34" s="204"/>
      <c r="EWX34" s="204"/>
      <c r="EWY34" s="204"/>
      <c r="EWZ34" s="204"/>
      <c r="EXA34" s="204"/>
      <c r="EXB34" s="204"/>
      <c r="EXC34" s="204"/>
      <c r="EXD34" s="204"/>
      <c r="EXE34" s="204"/>
      <c r="EXF34" s="204"/>
      <c r="EXG34" s="204"/>
      <c r="EXH34" s="204"/>
      <c r="EXI34" s="204"/>
      <c r="EXJ34" s="204"/>
      <c r="EXK34" s="204"/>
      <c r="EXL34" s="204"/>
      <c r="EXM34" s="204"/>
      <c r="EXN34" s="204"/>
      <c r="EXO34" s="204"/>
      <c r="EXP34" s="204"/>
      <c r="EXQ34" s="204"/>
      <c r="EXR34" s="204"/>
      <c r="EXS34" s="204"/>
      <c r="EXT34" s="204"/>
      <c r="EXU34" s="204"/>
      <c r="EXV34" s="204"/>
      <c r="EXW34" s="204"/>
      <c r="EXX34" s="204"/>
      <c r="EXY34" s="204"/>
      <c r="EXZ34" s="204"/>
      <c r="EYA34" s="204"/>
      <c r="EYB34" s="204"/>
      <c r="EYC34" s="204"/>
      <c r="EYD34" s="204"/>
      <c r="EYE34" s="204"/>
      <c r="EYF34" s="204"/>
      <c r="EYG34" s="204"/>
      <c r="EYH34" s="204"/>
      <c r="EYI34" s="204"/>
      <c r="EYJ34" s="204"/>
      <c r="EYK34" s="204"/>
      <c r="EYL34" s="204"/>
      <c r="EYM34" s="204"/>
      <c r="EYN34" s="204"/>
      <c r="EYO34" s="204"/>
      <c r="EYP34" s="204"/>
      <c r="EYQ34" s="204"/>
      <c r="EYR34" s="204"/>
      <c r="EYS34" s="204"/>
      <c r="EYT34" s="204"/>
      <c r="EYU34" s="204"/>
      <c r="EYV34" s="204"/>
      <c r="EYW34" s="204"/>
      <c r="EYX34" s="204"/>
      <c r="EYY34" s="204"/>
      <c r="EYZ34" s="204"/>
      <c r="EZA34" s="204"/>
      <c r="EZB34" s="204"/>
      <c r="EZC34" s="204"/>
      <c r="EZD34" s="204"/>
      <c r="EZE34" s="204"/>
      <c r="EZF34" s="204"/>
      <c r="EZG34" s="204"/>
      <c r="EZH34" s="204"/>
      <c r="EZI34" s="204"/>
      <c r="EZJ34" s="204"/>
      <c r="EZK34" s="204"/>
      <c r="EZL34" s="204"/>
      <c r="EZM34" s="204"/>
      <c r="EZN34" s="204"/>
      <c r="EZO34" s="204"/>
      <c r="EZP34" s="204"/>
      <c r="EZQ34" s="204"/>
      <c r="EZR34" s="204"/>
      <c r="EZS34" s="204"/>
      <c r="EZT34" s="204"/>
      <c r="EZU34" s="204"/>
      <c r="EZV34" s="204"/>
      <c r="EZW34" s="204"/>
      <c r="EZX34" s="204"/>
      <c r="EZY34" s="204"/>
      <c r="EZZ34" s="204"/>
      <c r="FAA34" s="204"/>
      <c r="FAB34" s="204"/>
      <c r="FAC34" s="204"/>
      <c r="FAD34" s="204"/>
      <c r="FAE34" s="204"/>
      <c r="FAF34" s="204"/>
      <c r="FAG34" s="204"/>
      <c r="FAH34" s="204"/>
      <c r="FAI34" s="204"/>
      <c r="FAJ34" s="204"/>
      <c r="FAK34" s="204"/>
      <c r="FAL34" s="204"/>
      <c r="FAM34" s="204"/>
      <c r="FAN34" s="204"/>
      <c r="FAO34" s="204"/>
      <c r="FAP34" s="204"/>
      <c r="FAQ34" s="204"/>
      <c r="FAR34" s="204"/>
      <c r="FAS34" s="204"/>
      <c r="FAT34" s="204"/>
      <c r="FAU34" s="204"/>
      <c r="FAV34" s="204"/>
      <c r="FAW34" s="204"/>
      <c r="FAX34" s="204"/>
      <c r="FAY34" s="204"/>
      <c r="FAZ34" s="204"/>
      <c r="FBA34" s="204"/>
      <c r="FBB34" s="204"/>
      <c r="FBC34" s="204"/>
      <c r="FBD34" s="204"/>
      <c r="FBE34" s="204"/>
      <c r="FBF34" s="204"/>
      <c r="FBG34" s="204"/>
      <c r="FBH34" s="204"/>
      <c r="FBI34" s="204"/>
      <c r="FBJ34" s="204"/>
      <c r="FBK34" s="204"/>
      <c r="FBL34" s="204"/>
      <c r="FBM34" s="204"/>
      <c r="FBN34" s="204"/>
      <c r="FBO34" s="204"/>
      <c r="FBP34" s="204"/>
      <c r="FBQ34" s="204"/>
      <c r="FBR34" s="204"/>
      <c r="FBS34" s="204"/>
      <c r="FBT34" s="204"/>
      <c r="FBU34" s="204"/>
      <c r="FBV34" s="204"/>
      <c r="FBW34" s="204"/>
      <c r="FBX34" s="204"/>
      <c r="FBY34" s="204"/>
      <c r="FBZ34" s="204"/>
      <c r="FCA34" s="204"/>
      <c r="FCB34" s="204"/>
      <c r="FCC34" s="204"/>
      <c r="FCD34" s="204"/>
      <c r="FCE34" s="204"/>
      <c r="FCF34" s="204"/>
      <c r="FCG34" s="204"/>
      <c r="FCH34" s="204"/>
      <c r="FCI34" s="204"/>
      <c r="FCJ34" s="204"/>
      <c r="FCK34" s="204"/>
      <c r="FCL34" s="204"/>
      <c r="FCM34" s="204"/>
      <c r="FCN34" s="204"/>
      <c r="FCO34" s="204"/>
      <c r="FCP34" s="204"/>
      <c r="FCQ34" s="204"/>
      <c r="FCR34" s="204"/>
      <c r="FCS34" s="204"/>
      <c r="FCT34" s="204"/>
      <c r="FCU34" s="204"/>
      <c r="FCV34" s="204"/>
      <c r="FCW34" s="204"/>
      <c r="FCX34" s="204"/>
      <c r="FCY34" s="204"/>
      <c r="FCZ34" s="204"/>
      <c r="FDA34" s="204"/>
      <c r="FDB34" s="204"/>
      <c r="FDC34" s="204"/>
      <c r="FDD34" s="204"/>
      <c r="FDE34" s="204"/>
      <c r="FDF34" s="204"/>
      <c r="FDG34" s="204"/>
      <c r="FDH34" s="204"/>
      <c r="FDI34" s="204"/>
      <c r="FDJ34" s="204"/>
      <c r="FDK34" s="204"/>
      <c r="FDL34" s="204"/>
      <c r="FDM34" s="204"/>
      <c r="FDN34" s="204"/>
      <c r="FDO34" s="204"/>
      <c r="FDP34" s="204"/>
      <c r="FDQ34" s="204"/>
      <c r="FDR34" s="204"/>
      <c r="FDS34" s="204"/>
      <c r="FDT34" s="204"/>
      <c r="FDU34" s="204"/>
      <c r="FDV34" s="204"/>
      <c r="FDW34" s="204"/>
      <c r="FDX34" s="204"/>
      <c r="FDY34" s="204"/>
      <c r="FDZ34" s="204"/>
      <c r="FEA34" s="204"/>
      <c r="FEB34" s="204"/>
      <c r="FEC34" s="204"/>
      <c r="FED34" s="204"/>
      <c r="FEE34" s="204"/>
      <c r="FEF34" s="204"/>
      <c r="FEG34" s="204"/>
      <c r="FEH34" s="204"/>
      <c r="FEI34" s="204"/>
      <c r="FEJ34" s="204"/>
      <c r="FEK34" s="204"/>
      <c r="FEL34" s="204"/>
      <c r="FEM34" s="204"/>
      <c r="FEN34" s="204"/>
      <c r="FEO34" s="204"/>
      <c r="FEP34" s="204"/>
      <c r="FEQ34" s="204"/>
      <c r="FER34" s="204"/>
      <c r="FES34" s="204"/>
      <c r="FET34" s="204"/>
      <c r="FEU34" s="204"/>
      <c r="FEV34" s="204"/>
      <c r="FEW34" s="204"/>
      <c r="FEX34" s="204"/>
      <c r="FEY34" s="204"/>
      <c r="FEZ34" s="204"/>
      <c r="FFA34" s="204"/>
      <c r="FFB34" s="204"/>
      <c r="FFC34" s="204"/>
      <c r="FFD34" s="204"/>
      <c r="FFE34" s="204"/>
      <c r="FFF34" s="204"/>
      <c r="FFG34" s="204"/>
      <c r="FFH34" s="204"/>
      <c r="FFI34" s="204"/>
      <c r="FFJ34" s="204"/>
      <c r="FFK34" s="204"/>
      <c r="FFL34" s="204"/>
      <c r="FFM34" s="204"/>
      <c r="FFN34" s="204"/>
      <c r="FFO34" s="204"/>
      <c r="FFP34" s="204"/>
      <c r="FFQ34" s="204"/>
      <c r="FFR34" s="204"/>
      <c r="FFS34" s="204"/>
      <c r="FFT34" s="204"/>
      <c r="FFU34" s="204"/>
      <c r="FFV34" s="204"/>
      <c r="FFW34" s="204"/>
      <c r="FFX34" s="204"/>
      <c r="FFY34" s="204"/>
      <c r="FFZ34" s="204"/>
      <c r="FGA34" s="204"/>
      <c r="FGB34" s="204"/>
      <c r="FGC34" s="204"/>
      <c r="FGD34" s="204"/>
      <c r="FGE34" s="204"/>
      <c r="FGF34" s="204"/>
      <c r="FGG34" s="204"/>
      <c r="FGH34" s="204"/>
      <c r="FGI34" s="204"/>
      <c r="FGJ34" s="204"/>
      <c r="FGK34" s="204"/>
      <c r="FGL34" s="204"/>
      <c r="FGM34" s="204"/>
      <c r="FGN34" s="204"/>
      <c r="FGO34" s="204"/>
      <c r="FGP34" s="204"/>
      <c r="FGQ34" s="204"/>
      <c r="FGR34" s="204"/>
      <c r="FGS34" s="204"/>
      <c r="FGT34" s="204"/>
      <c r="FGU34" s="204"/>
      <c r="FGV34" s="204"/>
      <c r="FGW34" s="204"/>
      <c r="FGX34" s="204"/>
      <c r="FGY34" s="204"/>
      <c r="FGZ34" s="204"/>
      <c r="FHA34" s="204"/>
      <c r="FHB34" s="204"/>
      <c r="FHC34" s="204"/>
      <c r="FHD34" s="204"/>
      <c r="FHE34" s="204"/>
      <c r="FHF34" s="204"/>
      <c r="FHG34" s="204"/>
      <c r="FHH34" s="204"/>
      <c r="FHI34" s="204"/>
      <c r="FHJ34" s="204"/>
      <c r="FHK34" s="204"/>
      <c r="FHL34" s="204"/>
      <c r="FHM34" s="204"/>
      <c r="FHN34" s="204"/>
      <c r="FHO34" s="204"/>
      <c r="FHP34" s="204"/>
      <c r="FHQ34" s="204"/>
      <c r="FHR34" s="204"/>
      <c r="FHS34" s="204"/>
      <c r="FHT34" s="204"/>
      <c r="FHU34" s="204"/>
      <c r="FHV34" s="204"/>
      <c r="FHW34" s="204"/>
      <c r="FHX34" s="204"/>
      <c r="FHY34" s="204"/>
      <c r="FHZ34" s="204"/>
      <c r="FIA34" s="204"/>
      <c r="FIB34" s="204"/>
      <c r="FIC34" s="204"/>
      <c r="FID34" s="204"/>
      <c r="FIE34" s="204"/>
      <c r="FIF34" s="204"/>
      <c r="FIG34" s="204"/>
      <c r="FIH34" s="204"/>
      <c r="FII34" s="204"/>
      <c r="FIJ34" s="204"/>
      <c r="FIK34" s="204"/>
      <c r="FIL34" s="204"/>
      <c r="FIM34" s="204"/>
      <c r="FIN34" s="204"/>
      <c r="FIO34" s="204"/>
      <c r="FIP34" s="204"/>
      <c r="FIQ34" s="204"/>
      <c r="FIR34" s="204"/>
      <c r="FIS34" s="204"/>
      <c r="FIT34" s="204"/>
      <c r="FIU34" s="204"/>
      <c r="FIV34" s="204"/>
      <c r="FIW34" s="204"/>
      <c r="FIX34" s="204"/>
      <c r="FIY34" s="204"/>
      <c r="FIZ34" s="204"/>
      <c r="FJA34" s="204"/>
      <c r="FJB34" s="204"/>
      <c r="FJC34" s="204"/>
      <c r="FJD34" s="204"/>
      <c r="FJE34" s="204"/>
      <c r="FJF34" s="204"/>
      <c r="FJG34" s="204"/>
      <c r="FJH34" s="204"/>
      <c r="FJI34" s="204"/>
      <c r="FJJ34" s="204"/>
      <c r="FJK34" s="204"/>
      <c r="FJL34" s="204"/>
      <c r="FJM34" s="204"/>
      <c r="FJN34" s="204"/>
      <c r="FJO34" s="204"/>
      <c r="FJP34" s="204"/>
      <c r="FJQ34" s="204"/>
      <c r="FJR34" s="204"/>
      <c r="FJS34" s="204"/>
      <c r="FJT34" s="204"/>
      <c r="FJU34" s="204"/>
      <c r="FJV34" s="204"/>
      <c r="FJW34" s="204"/>
      <c r="FJX34" s="204"/>
      <c r="FJY34" s="204"/>
      <c r="FJZ34" s="204"/>
      <c r="FKA34" s="204"/>
      <c r="FKB34" s="204"/>
      <c r="FKC34" s="204"/>
      <c r="FKD34" s="204"/>
      <c r="FKE34" s="204"/>
      <c r="FKF34" s="204"/>
      <c r="FKG34" s="204"/>
      <c r="FKH34" s="204"/>
      <c r="FKI34" s="204"/>
      <c r="FKJ34" s="204"/>
      <c r="FKK34" s="204"/>
      <c r="FKL34" s="204"/>
      <c r="FKM34" s="204"/>
      <c r="FKN34" s="204"/>
      <c r="FKO34" s="204"/>
      <c r="FKP34" s="204"/>
      <c r="FKQ34" s="204"/>
      <c r="FKR34" s="204"/>
      <c r="FKS34" s="204"/>
      <c r="FKT34" s="204"/>
      <c r="FKU34" s="204"/>
      <c r="FKV34" s="204"/>
      <c r="FKW34" s="204"/>
      <c r="FKX34" s="204"/>
      <c r="FKY34" s="204"/>
      <c r="FKZ34" s="204"/>
      <c r="FLA34" s="204"/>
      <c r="FLB34" s="204"/>
      <c r="FLC34" s="204"/>
      <c r="FLD34" s="204"/>
      <c r="FLE34" s="204"/>
      <c r="FLF34" s="204"/>
      <c r="FLG34" s="204"/>
      <c r="FLH34" s="204"/>
      <c r="FLI34" s="204"/>
      <c r="FLJ34" s="204"/>
      <c r="FLK34" s="204"/>
      <c r="FLL34" s="204"/>
      <c r="FLM34" s="204"/>
      <c r="FLN34" s="204"/>
      <c r="FLO34" s="204"/>
      <c r="FLP34" s="204"/>
      <c r="FLQ34" s="204"/>
      <c r="FLR34" s="204"/>
      <c r="FLS34" s="204"/>
      <c r="FLT34" s="204"/>
      <c r="FLU34" s="204"/>
      <c r="FLV34" s="204"/>
      <c r="FLW34" s="204"/>
      <c r="FLX34" s="204"/>
      <c r="FLY34" s="204"/>
      <c r="FLZ34" s="204"/>
      <c r="FMA34" s="204"/>
      <c r="FMB34" s="204"/>
      <c r="FMC34" s="204"/>
      <c r="FMD34" s="204"/>
      <c r="FME34" s="204"/>
      <c r="FMF34" s="204"/>
      <c r="FMG34" s="204"/>
      <c r="FMH34" s="204"/>
      <c r="FMI34" s="204"/>
      <c r="FMJ34" s="204"/>
      <c r="FMK34" s="204"/>
      <c r="FML34" s="204"/>
      <c r="FMM34" s="204"/>
      <c r="FMN34" s="204"/>
      <c r="FMO34" s="204"/>
      <c r="FMP34" s="204"/>
      <c r="FMQ34" s="204"/>
      <c r="FMR34" s="204"/>
      <c r="FMS34" s="204"/>
      <c r="FMT34" s="204"/>
      <c r="FMU34" s="204"/>
      <c r="FMV34" s="204"/>
      <c r="FMW34" s="204"/>
      <c r="FMX34" s="204"/>
      <c r="FMY34" s="204"/>
      <c r="FMZ34" s="204"/>
      <c r="FNA34" s="204"/>
      <c r="FNB34" s="204"/>
      <c r="FNC34" s="204"/>
      <c r="FND34" s="204"/>
      <c r="FNE34" s="204"/>
      <c r="FNF34" s="204"/>
      <c r="FNG34" s="204"/>
      <c r="FNH34" s="204"/>
      <c r="FNI34" s="204"/>
      <c r="FNJ34" s="204"/>
      <c r="FNK34" s="204"/>
      <c r="FNL34" s="204"/>
      <c r="FNM34" s="204"/>
      <c r="FNN34" s="204"/>
      <c r="FNO34" s="204"/>
      <c r="FNP34" s="204"/>
      <c r="FNQ34" s="204"/>
      <c r="FNR34" s="204"/>
      <c r="FNS34" s="204"/>
      <c r="FNT34" s="204"/>
      <c r="FNU34" s="204"/>
      <c r="FNV34" s="204"/>
      <c r="FNW34" s="204"/>
      <c r="FNX34" s="204"/>
      <c r="FNY34" s="204"/>
      <c r="FNZ34" s="204"/>
      <c r="FOA34" s="204"/>
      <c r="FOB34" s="204"/>
      <c r="FOC34" s="204"/>
      <c r="FOD34" s="204"/>
      <c r="FOE34" s="204"/>
      <c r="FOF34" s="204"/>
      <c r="FOG34" s="204"/>
      <c r="FOH34" s="204"/>
      <c r="FOI34" s="204"/>
      <c r="FOJ34" s="204"/>
      <c r="FOK34" s="204"/>
      <c r="FOL34" s="204"/>
      <c r="FOM34" s="204"/>
      <c r="FON34" s="204"/>
      <c r="FOO34" s="204"/>
      <c r="FOP34" s="204"/>
      <c r="FOQ34" s="204"/>
      <c r="FOR34" s="204"/>
      <c r="FOS34" s="204"/>
      <c r="FOT34" s="204"/>
      <c r="FOU34" s="204"/>
      <c r="FOV34" s="204"/>
      <c r="FOW34" s="204"/>
      <c r="FOX34" s="204"/>
      <c r="FOY34" s="204"/>
      <c r="FOZ34" s="204"/>
      <c r="FPA34" s="204"/>
      <c r="FPB34" s="204"/>
      <c r="FPC34" s="204"/>
      <c r="FPD34" s="204"/>
      <c r="FPE34" s="204"/>
      <c r="FPF34" s="204"/>
      <c r="FPG34" s="204"/>
      <c r="FPH34" s="204"/>
      <c r="FPI34" s="204"/>
      <c r="FPJ34" s="204"/>
      <c r="FPK34" s="204"/>
      <c r="FPL34" s="204"/>
      <c r="FPM34" s="204"/>
      <c r="FPN34" s="204"/>
      <c r="FPO34" s="204"/>
      <c r="FPP34" s="204"/>
      <c r="FPQ34" s="204"/>
      <c r="FPR34" s="204"/>
      <c r="FPS34" s="204"/>
      <c r="FPT34" s="204"/>
      <c r="FPU34" s="204"/>
      <c r="FPV34" s="204"/>
      <c r="FPW34" s="204"/>
      <c r="FPX34" s="204"/>
      <c r="FPY34" s="204"/>
      <c r="FPZ34" s="204"/>
      <c r="FQA34" s="204"/>
      <c r="FQB34" s="204"/>
      <c r="FQC34" s="204"/>
      <c r="FQD34" s="204"/>
      <c r="FQE34" s="204"/>
      <c r="FQF34" s="204"/>
      <c r="FQG34" s="204"/>
      <c r="FQH34" s="204"/>
      <c r="FQI34" s="204"/>
      <c r="FQJ34" s="204"/>
      <c r="FQK34" s="204"/>
      <c r="FQL34" s="204"/>
      <c r="FQM34" s="204"/>
      <c r="FQN34" s="204"/>
      <c r="FQO34" s="204"/>
      <c r="FQP34" s="204"/>
      <c r="FQQ34" s="204"/>
      <c r="FQR34" s="204"/>
      <c r="FQS34" s="204"/>
      <c r="FQT34" s="204"/>
      <c r="FQU34" s="204"/>
      <c r="FQV34" s="204"/>
      <c r="FQW34" s="204"/>
      <c r="FQX34" s="204"/>
      <c r="FQY34" s="204"/>
      <c r="FQZ34" s="204"/>
      <c r="FRA34" s="204"/>
      <c r="FRB34" s="204"/>
      <c r="FRC34" s="204"/>
      <c r="FRD34" s="204"/>
      <c r="FRE34" s="204"/>
      <c r="FRF34" s="204"/>
      <c r="FRG34" s="204"/>
      <c r="FRH34" s="204"/>
      <c r="FRI34" s="204"/>
      <c r="FRJ34" s="204"/>
      <c r="FRK34" s="204"/>
      <c r="FRL34" s="204"/>
      <c r="FRM34" s="204"/>
      <c r="FRN34" s="204"/>
      <c r="FRO34" s="204"/>
      <c r="FRP34" s="204"/>
      <c r="FRQ34" s="204"/>
      <c r="FRR34" s="204"/>
      <c r="FRS34" s="204"/>
      <c r="FRT34" s="204"/>
      <c r="FRU34" s="204"/>
      <c r="FRV34" s="204"/>
      <c r="FRW34" s="204"/>
      <c r="FRX34" s="204"/>
      <c r="FRY34" s="204"/>
      <c r="FRZ34" s="204"/>
      <c r="FSA34" s="204"/>
      <c r="FSB34" s="204"/>
      <c r="FSC34" s="204"/>
      <c r="FSD34" s="204"/>
      <c r="FSE34" s="204"/>
      <c r="FSF34" s="204"/>
      <c r="FSG34" s="204"/>
      <c r="FSH34" s="204"/>
      <c r="FSI34" s="204"/>
      <c r="FSJ34" s="204"/>
      <c r="FSK34" s="204"/>
      <c r="FSL34" s="204"/>
      <c r="FSM34" s="204"/>
      <c r="FSN34" s="204"/>
      <c r="FSO34" s="204"/>
      <c r="FSP34" s="204"/>
      <c r="FSQ34" s="204"/>
      <c r="FSR34" s="204"/>
      <c r="FSS34" s="204"/>
      <c r="FST34" s="204"/>
      <c r="FSU34" s="204"/>
      <c r="FSV34" s="204"/>
      <c r="FSW34" s="204"/>
      <c r="FSX34" s="204"/>
      <c r="FSY34" s="204"/>
      <c r="FSZ34" s="204"/>
      <c r="FTA34" s="204"/>
      <c r="FTB34" s="204"/>
      <c r="FTC34" s="204"/>
      <c r="FTD34" s="204"/>
      <c r="FTE34" s="204"/>
      <c r="FTF34" s="204"/>
      <c r="FTG34" s="204"/>
      <c r="FTH34" s="204"/>
      <c r="FTI34" s="204"/>
      <c r="FTJ34" s="204"/>
      <c r="FTK34" s="204"/>
      <c r="FTL34" s="204"/>
      <c r="FTM34" s="204"/>
      <c r="FTN34" s="204"/>
      <c r="FTO34" s="204"/>
      <c r="FTP34" s="204"/>
      <c r="FTQ34" s="204"/>
      <c r="FTR34" s="204"/>
      <c r="FTS34" s="204"/>
      <c r="FTT34" s="204"/>
      <c r="FTU34" s="204"/>
      <c r="FTV34" s="204"/>
      <c r="FTW34" s="204"/>
      <c r="FTX34" s="204"/>
      <c r="FTY34" s="204"/>
      <c r="FTZ34" s="204"/>
      <c r="FUA34" s="204"/>
      <c r="FUB34" s="204"/>
      <c r="FUC34" s="204"/>
      <c r="FUD34" s="204"/>
      <c r="FUE34" s="204"/>
      <c r="FUF34" s="204"/>
      <c r="FUG34" s="204"/>
      <c r="FUH34" s="204"/>
      <c r="FUI34" s="204"/>
      <c r="FUJ34" s="204"/>
      <c r="FUK34" s="204"/>
      <c r="FUL34" s="204"/>
      <c r="FUM34" s="204"/>
      <c r="FUN34" s="204"/>
      <c r="FUO34" s="204"/>
      <c r="FUP34" s="204"/>
      <c r="FUQ34" s="204"/>
      <c r="FUR34" s="204"/>
      <c r="FUS34" s="204"/>
      <c r="FUT34" s="204"/>
      <c r="FUU34" s="204"/>
      <c r="FUV34" s="204"/>
      <c r="FUW34" s="204"/>
      <c r="FUX34" s="204"/>
      <c r="FUY34" s="204"/>
      <c r="FUZ34" s="204"/>
      <c r="FVA34" s="204"/>
      <c r="FVB34" s="204"/>
      <c r="FVC34" s="204"/>
      <c r="FVD34" s="204"/>
      <c r="FVE34" s="204"/>
      <c r="FVF34" s="204"/>
      <c r="FVG34" s="204"/>
      <c r="FVH34" s="204"/>
      <c r="FVI34" s="204"/>
      <c r="FVJ34" s="204"/>
      <c r="FVK34" s="204"/>
      <c r="FVL34" s="204"/>
      <c r="FVM34" s="204"/>
      <c r="FVN34" s="204"/>
      <c r="FVO34" s="204"/>
      <c r="FVP34" s="204"/>
      <c r="FVQ34" s="204"/>
      <c r="FVR34" s="204"/>
      <c r="FVS34" s="204"/>
      <c r="FVT34" s="204"/>
      <c r="FVU34" s="204"/>
      <c r="FVV34" s="204"/>
      <c r="FVW34" s="204"/>
      <c r="FVX34" s="204"/>
      <c r="FVY34" s="204"/>
      <c r="FVZ34" s="204"/>
      <c r="FWA34" s="204"/>
      <c r="FWB34" s="204"/>
      <c r="FWC34" s="204"/>
      <c r="FWD34" s="204"/>
      <c r="FWE34" s="204"/>
      <c r="FWF34" s="204"/>
      <c r="FWG34" s="204"/>
      <c r="FWH34" s="204"/>
      <c r="FWI34" s="204"/>
      <c r="FWJ34" s="204"/>
      <c r="FWK34" s="204"/>
      <c r="FWL34" s="204"/>
      <c r="FWM34" s="204"/>
      <c r="FWN34" s="204"/>
      <c r="FWO34" s="204"/>
      <c r="FWP34" s="204"/>
      <c r="FWQ34" s="204"/>
      <c r="FWR34" s="204"/>
      <c r="FWS34" s="204"/>
      <c r="FWT34" s="204"/>
      <c r="FWU34" s="204"/>
      <c r="FWV34" s="204"/>
      <c r="FWW34" s="204"/>
      <c r="FWX34" s="204"/>
      <c r="FWY34" s="204"/>
      <c r="FWZ34" s="204"/>
      <c r="FXA34" s="204"/>
      <c r="FXB34" s="204"/>
      <c r="FXC34" s="204"/>
      <c r="FXD34" s="204"/>
      <c r="FXE34" s="204"/>
      <c r="FXF34" s="204"/>
      <c r="FXG34" s="204"/>
      <c r="FXH34" s="204"/>
      <c r="FXI34" s="204"/>
      <c r="FXJ34" s="204"/>
      <c r="FXK34" s="204"/>
      <c r="FXL34" s="204"/>
      <c r="FXM34" s="204"/>
      <c r="FXN34" s="204"/>
      <c r="FXO34" s="204"/>
      <c r="FXP34" s="204"/>
      <c r="FXQ34" s="204"/>
      <c r="FXR34" s="204"/>
      <c r="FXS34" s="204"/>
      <c r="FXT34" s="204"/>
      <c r="FXU34" s="204"/>
      <c r="FXV34" s="204"/>
      <c r="FXW34" s="204"/>
      <c r="FXX34" s="204"/>
      <c r="FXY34" s="204"/>
      <c r="FXZ34" s="204"/>
      <c r="FYA34" s="204"/>
      <c r="FYB34" s="204"/>
      <c r="FYC34" s="204"/>
      <c r="FYD34" s="204"/>
      <c r="FYE34" s="204"/>
      <c r="FYF34" s="204"/>
      <c r="FYG34" s="204"/>
      <c r="FYH34" s="204"/>
      <c r="FYI34" s="204"/>
      <c r="FYJ34" s="204"/>
      <c r="FYK34" s="204"/>
      <c r="FYL34" s="204"/>
      <c r="FYM34" s="204"/>
      <c r="FYN34" s="204"/>
      <c r="FYO34" s="204"/>
      <c r="FYP34" s="204"/>
      <c r="FYQ34" s="204"/>
      <c r="FYR34" s="204"/>
      <c r="FYS34" s="204"/>
      <c r="FYT34" s="204"/>
      <c r="FYU34" s="204"/>
      <c r="FYV34" s="204"/>
      <c r="FYW34" s="204"/>
      <c r="FYX34" s="204"/>
      <c r="FYY34" s="204"/>
      <c r="FYZ34" s="204"/>
      <c r="FZA34" s="204"/>
      <c r="FZB34" s="204"/>
      <c r="FZC34" s="204"/>
      <c r="FZD34" s="204"/>
      <c r="FZE34" s="204"/>
      <c r="FZF34" s="204"/>
      <c r="FZG34" s="204"/>
      <c r="FZH34" s="204"/>
      <c r="FZI34" s="204"/>
      <c r="FZJ34" s="204"/>
      <c r="FZK34" s="204"/>
      <c r="FZL34" s="204"/>
      <c r="FZM34" s="204"/>
      <c r="FZN34" s="204"/>
      <c r="FZO34" s="204"/>
      <c r="FZP34" s="204"/>
      <c r="FZQ34" s="204"/>
      <c r="FZR34" s="204"/>
      <c r="FZS34" s="204"/>
      <c r="FZT34" s="204"/>
      <c r="FZU34" s="204"/>
      <c r="FZV34" s="204"/>
      <c r="FZW34" s="204"/>
      <c r="FZX34" s="204"/>
      <c r="FZY34" s="204"/>
      <c r="FZZ34" s="204"/>
      <c r="GAA34" s="204"/>
      <c r="GAB34" s="204"/>
      <c r="GAC34" s="204"/>
      <c r="GAD34" s="204"/>
      <c r="GAE34" s="204"/>
      <c r="GAF34" s="204"/>
      <c r="GAG34" s="204"/>
      <c r="GAH34" s="204"/>
      <c r="GAI34" s="204"/>
      <c r="GAJ34" s="204"/>
      <c r="GAK34" s="204"/>
      <c r="GAL34" s="204"/>
      <c r="GAM34" s="204"/>
      <c r="GAN34" s="204"/>
      <c r="GAO34" s="204"/>
      <c r="GAP34" s="204"/>
      <c r="GAQ34" s="204"/>
      <c r="GAR34" s="204"/>
      <c r="GAS34" s="204"/>
      <c r="GAT34" s="204"/>
      <c r="GAU34" s="204"/>
      <c r="GAV34" s="204"/>
      <c r="GAW34" s="204"/>
      <c r="GAX34" s="204"/>
      <c r="GAY34" s="204"/>
      <c r="GAZ34" s="204"/>
      <c r="GBA34" s="204"/>
      <c r="GBB34" s="204"/>
      <c r="GBC34" s="204"/>
      <c r="GBD34" s="204"/>
      <c r="GBE34" s="204"/>
      <c r="GBF34" s="204"/>
      <c r="GBG34" s="204"/>
      <c r="GBH34" s="204"/>
      <c r="GBI34" s="204"/>
      <c r="GBJ34" s="204"/>
      <c r="GBK34" s="204"/>
      <c r="GBL34" s="204"/>
      <c r="GBM34" s="204"/>
      <c r="GBN34" s="204"/>
      <c r="GBO34" s="204"/>
      <c r="GBP34" s="204"/>
      <c r="GBQ34" s="204"/>
      <c r="GBR34" s="204"/>
      <c r="GBS34" s="204"/>
      <c r="GBT34" s="204"/>
      <c r="GBU34" s="204"/>
      <c r="GBV34" s="204"/>
      <c r="GBW34" s="204"/>
      <c r="GBX34" s="204"/>
      <c r="GBY34" s="204"/>
      <c r="GBZ34" s="204"/>
      <c r="GCA34" s="204"/>
      <c r="GCB34" s="204"/>
      <c r="GCC34" s="204"/>
      <c r="GCD34" s="204"/>
      <c r="GCE34" s="204"/>
      <c r="GCF34" s="204"/>
      <c r="GCG34" s="204"/>
      <c r="GCH34" s="204"/>
      <c r="GCI34" s="204"/>
      <c r="GCJ34" s="204"/>
      <c r="GCK34" s="204"/>
      <c r="GCL34" s="204"/>
      <c r="GCM34" s="204"/>
      <c r="GCN34" s="204"/>
      <c r="GCO34" s="204"/>
      <c r="GCP34" s="204"/>
      <c r="GCQ34" s="204"/>
      <c r="GCR34" s="204"/>
      <c r="GCS34" s="204"/>
      <c r="GCT34" s="204"/>
      <c r="GCU34" s="204"/>
      <c r="GCV34" s="204"/>
      <c r="GCW34" s="204"/>
      <c r="GCX34" s="204"/>
      <c r="GCY34" s="204"/>
      <c r="GCZ34" s="204"/>
      <c r="GDA34" s="204"/>
      <c r="GDB34" s="204"/>
      <c r="GDC34" s="204"/>
      <c r="GDD34" s="204"/>
      <c r="GDE34" s="204"/>
      <c r="GDF34" s="204"/>
      <c r="GDG34" s="204"/>
      <c r="GDH34" s="204"/>
      <c r="GDI34" s="204"/>
      <c r="GDJ34" s="204"/>
      <c r="GDK34" s="204"/>
      <c r="GDL34" s="204"/>
      <c r="GDM34" s="204"/>
      <c r="GDN34" s="204"/>
      <c r="GDO34" s="204"/>
      <c r="GDP34" s="204"/>
      <c r="GDQ34" s="204"/>
      <c r="GDR34" s="204"/>
      <c r="GDS34" s="204"/>
      <c r="GDT34" s="204"/>
      <c r="GDU34" s="204"/>
      <c r="GDV34" s="204"/>
      <c r="GDW34" s="204"/>
      <c r="GDX34" s="204"/>
      <c r="GDY34" s="204"/>
      <c r="GDZ34" s="204"/>
      <c r="GEA34" s="204"/>
      <c r="GEB34" s="204"/>
      <c r="GEC34" s="204"/>
      <c r="GED34" s="204"/>
      <c r="GEE34" s="204"/>
      <c r="GEF34" s="204"/>
      <c r="GEG34" s="204"/>
      <c r="GEH34" s="204"/>
      <c r="GEI34" s="204"/>
      <c r="GEJ34" s="204"/>
      <c r="GEK34" s="204"/>
      <c r="GEL34" s="204"/>
      <c r="GEM34" s="204"/>
      <c r="GEN34" s="204"/>
      <c r="GEO34" s="204"/>
      <c r="GEP34" s="204"/>
      <c r="GEQ34" s="204"/>
      <c r="GER34" s="204"/>
      <c r="GES34" s="204"/>
      <c r="GET34" s="204"/>
      <c r="GEU34" s="204"/>
      <c r="GEV34" s="204"/>
      <c r="GEW34" s="204"/>
      <c r="GEX34" s="204"/>
      <c r="GEY34" s="204"/>
      <c r="GEZ34" s="204"/>
      <c r="GFA34" s="204"/>
      <c r="GFB34" s="204"/>
      <c r="GFC34" s="204"/>
      <c r="GFD34" s="204"/>
      <c r="GFE34" s="204"/>
      <c r="GFF34" s="204"/>
      <c r="GFG34" s="204"/>
      <c r="GFH34" s="204"/>
      <c r="GFI34" s="204"/>
      <c r="GFJ34" s="204"/>
      <c r="GFK34" s="204"/>
      <c r="GFL34" s="204"/>
      <c r="GFM34" s="204"/>
      <c r="GFN34" s="204"/>
      <c r="GFO34" s="204"/>
      <c r="GFP34" s="204"/>
      <c r="GFQ34" s="204"/>
      <c r="GFR34" s="204"/>
      <c r="GFS34" s="204"/>
      <c r="GFT34" s="204"/>
      <c r="GFU34" s="204"/>
      <c r="GFV34" s="204"/>
      <c r="GFW34" s="204"/>
      <c r="GFX34" s="204"/>
      <c r="GFY34" s="204"/>
      <c r="GFZ34" s="204"/>
      <c r="GGA34" s="204"/>
      <c r="GGB34" s="204"/>
      <c r="GGC34" s="204"/>
      <c r="GGD34" s="204"/>
      <c r="GGE34" s="204"/>
      <c r="GGF34" s="204"/>
      <c r="GGG34" s="204"/>
      <c r="GGH34" s="204"/>
      <c r="GGI34" s="204"/>
      <c r="GGJ34" s="204"/>
      <c r="GGK34" s="204"/>
      <c r="GGL34" s="204"/>
      <c r="GGM34" s="204"/>
      <c r="GGN34" s="204"/>
      <c r="GGO34" s="204"/>
      <c r="GGP34" s="204"/>
      <c r="GGQ34" s="204"/>
      <c r="GGR34" s="204"/>
      <c r="GGS34" s="204"/>
      <c r="GGT34" s="204"/>
      <c r="GGU34" s="204"/>
      <c r="GGV34" s="204"/>
      <c r="GGW34" s="204"/>
      <c r="GGX34" s="204"/>
      <c r="GGY34" s="204"/>
      <c r="GGZ34" s="204"/>
      <c r="GHA34" s="204"/>
      <c r="GHB34" s="204"/>
      <c r="GHC34" s="204"/>
      <c r="GHD34" s="204"/>
      <c r="GHE34" s="204"/>
      <c r="GHF34" s="204"/>
      <c r="GHG34" s="204"/>
      <c r="GHH34" s="204"/>
      <c r="GHI34" s="204"/>
      <c r="GHJ34" s="204"/>
      <c r="GHK34" s="204"/>
      <c r="GHL34" s="204"/>
      <c r="GHM34" s="204"/>
      <c r="GHN34" s="204"/>
      <c r="GHO34" s="204"/>
      <c r="GHP34" s="204"/>
      <c r="GHQ34" s="204"/>
      <c r="GHR34" s="204"/>
      <c r="GHS34" s="204"/>
      <c r="GHT34" s="204"/>
      <c r="GHU34" s="204"/>
      <c r="GHV34" s="204"/>
      <c r="GHW34" s="204"/>
      <c r="GHX34" s="204"/>
      <c r="GHY34" s="204"/>
      <c r="GHZ34" s="204"/>
      <c r="GIA34" s="204"/>
      <c r="GIB34" s="204"/>
      <c r="GIC34" s="204"/>
      <c r="GID34" s="204"/>
      <c r="GIE34" s="204"/>
      <c r="GIF34" s="204"/>
      <c r="GIG34" s="204"/>
      <c r="GIH34" s="204"/>
      <c r="GII34" s="204"/>
      <c r="GIJ34" s="204"/>
      <c r="GIK34" s="204"/>
      <c r="GIL34" s="204"/>
      <c r="GIM34" s="204"/>
      <c r="GIN34" s="204"/>
      <c r="GIO34" s="204"/>
      <c r="GIP34" s="204"/>
      <c r="GIQ34" s="204"/>
      <c r="GIR34" s="204"/>
      <c r="GIS34" s="204"/>
      <c r="GIT34" s="204"/>
      <c r="GIU34" s="204"/>
      <c r="GIV34" s="204"/>
      <c r="GIW34" s="204"/>
      <c r="GIX34" s="204"/>
      <c r="GIY34" s="204"/>
      <c r="GIZ34" s="204"/>
      <c r="GJA34" s="204"/>
      <c r="GJB34" s="204"/>
      <c r="GJC34" s="204"/>
      <c r="GJD34" s="204"/>
      <c r="GJE34" s="204"/>
      <c r="GJF34" s="204"/>
      <c r="GJG34" s="204"/>
      <c r="GJH34" s="204"/>
      <c r="GJI34" s="204"/>
      <c r="GJJ34" s="204"/>
      <c r="GJK34" s="204"/>
      <c r="GJL34" s="204"/>
      <c r="GJM34" s="204"/>
      <c r="GJN34" s="204"/>
      <c r="GJO34" s="204"/>
      <c r="GJP34" s="204"/>
      <c r="GJQ34" s="204"/>
      <c r="GJR34" s="204"/>
      <c r="GJS34" s="204"/>
      <c r="GJT34" s="204"/>
      <c r="GJU34" s="204"/>
      <c r="GJV34" s="204"/>
      <c r="GJW34" s="204"/>
      <c r="GJX34" s="204"/>
      <c r="GJY34" s="204"/>
      <c r="GJZ34" s="204"/>
      <c r="GKA34" s="204"/>
      <c r="GKB34" s="204"/>
      <c r="GKC34" s="204"/>
      <c r="GKD34" s="204"/>
      <c r="GKE34" s="204"/>
      <c r="GKF34" s="204"/>
      <c r="GKG34" s="204"/>
      <c r="GKH34" s="204"/>
      <c r="GKI34" s="204"/>
      <c r="GKJ34" s="204"/>
      <c r="GKK34" s="204"/>
      <c r="GKL34" s="204"/>
      <c r="GKM34" s="204"/>
      <c r="GKN34" s="204"/>
      <c r="GKO34" s="204"/>
      <c r="GKP34" s="204"/>
      <c r="GKQ34" s="204"/>
      <c r="GKR34" s="204"/>
      <c r="GKS34" s="204"/>
      <c r="GKT34" s="204"/>
      <c r="GKU34" s="204"/>
      <c r="GKV34" s="204"/>
      <c r="GKW34" s="204"/>
      <c r="GKX34" s="204"/>
      <c r="GKY34" s="204"/>
      <c r="GKZ34" s="204"/>
      <c r="GLA34" s="204"/>
      <c r="GLB34" s="204"/>
      <c r="GLC34" s="204"/>
      <c r="GLD34" s="204"/>
      <c r="GLE34" s="204"/>
      <c r="GLF34" s="204"/>
      <c r="GLG34" s="204"/>
      <c r="GLH34" s="204"/>
      <c r="GLI34" s="204"/>
      <c r="GLJ34" s="204"/>
      <c r="GLK34" s="204"/>
      <c r="GLL34" s="204"/>
      <c r="GLM34" s="204"/>
      <c r="GLN34" s="204"/>
      <c r="GLO34" s="204"/>
      <c r="GLP34" s="204"/>
      <c r="GLQ34" s="204"/>
      <c r="GLR34" s="204"/>
      <c r="GLS34" s="204"/>
      <c r="GLT34" s="204"/>
      <c r="GLU34" s="204"/>
      <c r="GLV34" s="204"/>
      <c r="GLW34" s="204"/>
      <c r="GLX34" s="204"/>
      <c r="GLY34" s="204"/>
      <c r="GLZ34" s="204"/>
      <c r="GMA34" s="204"/>
      <c r="GMB34" s="204"/>
      <c r="GMC34" s="204"/>
      <c r="GMD34" s="204"/>
      <c r="GME34" s="204"/>
      <c r="GMF34" s="204"/>
      <c r="GMG34" s="204"/>
      <c r="GMH34" s="204"/>
      <c r="GMI34" s="204"/>
      <c r="GMJ34" s="204"/>
      <c r="GMK34" s="204"/>
      <c r="GML34" s="204"/>
      <c r="GMM34" s="204"/>
      <c r="GMN34" s="204"/>
      <c r="GMO34" s="204"/>
      <c r="GMP34" s="204"/>
      <c r="GMQ34" s="204"/>
      <c r="GMR34" s="204"/>
      <c r="GMS34" s="204"/>
      <c r="GMT34" s="204"/>
      <c r="GMU34" s="204"/>
      <c r="GMV34" s="204"/>
      <c r="GMW34" s="204"/>
      <c r="GMX34" s="204"/>
      <c r="GMY34" s="204"/>
      <c r="GMZ34" s="204"/>
      <c r="GNA34" s="204"/>
      <c r="GNB34" s="204"/>
      <c r="GNC34" s="204"/>
      <c r="GND34" s="204"/>
      <c r="GNE34" s="204"/>
      <c r="GNF34" s="204"/>
      <c r="GNG34" s="204"/>
      <c r="GNH34" s="204"/>
      <c r="GNI34" s="204"/>
      <c r="GNJ34" s="204"/>
      <c r="GNK34" s="204"/>
      <c r="GNL34" s="204"/>
      <c r="GNM34" s="204"/>
      <c r="GNN34" s="204"/>
      <c r="GNO34" s="204"/>
      <c r="GNP34" s="204"/>
      <c r="GNQ34" s="204"/>
      <c r="GNR34" s="204"/>
      <c r="GNS34" s="204"/>
      <c r="GNT34" s="204"/>
      <c r="GNU34" s="204"/>
      <c r="GNV34" s="204"/>
      <c r="GNW34" s="204"/>
      <c r="GNX34" s="204"/>
      <c r="GNY34" s="204"/>
      <c r="GNZ34" s="204"/>
      <c r="GOA34" s="204"/>
      <c r="GOB34" s="204"/>
      <c r="GOC34" s="204"/>
      <c r="GOD34" s="204"/>
      <c r="GOE34" s="204"/>
      <c r="GOF34" s="204"/>
      <c r="GOG34" s="204"/>
      <c r="GOH34" s="204"/>
      <c r="GOI34" s="204"/>
      <c r="GOJ34" s="204"/>
      <c r="GOK34" s="204"/>
      <c r="GOL34" s="204"/>
      <c r="GOM34" s="204"/>
      <c r="GON34" s="204"/>
      <c r="GOO34" s="204"/>
      <c r="GOP34" s="204"/>
      <c r="GOQ34" s="204"/>
      <c r="GOR34" s="204"/>
      <c r="GOS34" s="204"/>
      <c r="GOT34" s="204"/>
      <c r="GOU34" s="204"/>
      <c r="GOV34" s="204"/>
      <c r="GOW34" s="204"/>
      <c r="GOX34" s="204"/>
      <c r="GOY34" s="204"/>
      <c r="GOZ34" s="204"/>
      <c r="GPA34" s="204"/>
      <c r="GPB34" s="204"/>
      <c r="GPC34" s="204"/>
      <c r="GPD34" s="204"/>
      <c r="GPE34" s="204"/>
      <c r="GPF34" s="204"/>
      <c r="GPG34" s="204"/>
      <c r="GPH34" s="204"/>
      <c r="GPI34" s="204"/>
      <c r="GPJ34" s="204"/>
      <c r="GPK34" s="204"/>
      <c r="GPL34" s="204"/>
      <c r="GPM34" s="204"/>
      <c r="GPN34" s="204"/>
      <c r="GPO34" s="204"/>
      <c r="GPP34" s="204"/>
      <c r="GPQ34" s="204"/>
      <c r="GPR34" s="204"/>
      <c r="GPS34" s="204"/>
      <c r="GPT34" s="204"/>
      <c r="GPU34" s="204"/>
      <c r="GPV34" s="204"/>
      <c r="GPW34" s="204"/>
      <c r="GPX34" s="204"/>
      <c r="GPY34" s="204"/>
      <c r="GPZ34" s="204"/>
      <c r="GQA34" s="204"/>
      <c r="GQB34" s="204"/>
      <c r="GQC34" s="204"/>
      <c r="GQD34" s="204"/>
      <c r="GQE34" s="204"/>
      <c r="GQF34" s="204"/>
      <c r="GQG34" s="204"/>
      <c r="GQH34" s="204"/>
      <c r="GQI34" s="204"/>
      <c r="GQJ34" s="204"/>
      <c r="GQK34" s="204"/>
      <c r="GQL34" s="204"/>
      <c r="GQM34" s="204"/>
      <c r="GQN34" s="204"/>
      <c r="GQO34" s="204"/>
      <c r="GQP34" s="204"/>
      <c r="GQQ34" s="204"/>
      <c r="GQR34" s="204"/>
      <c r="GQS34" s="204"/>
      <c r="GQT34" s="204"/>
      <c r="GQU34" s="204"/>
      <c r="GQV34" s="204"/>
      <c r="GQW34" s="204"/>
      <c r="GQX34" s="204"/>
      <c r="GQY34" s="204"/>
      <c r="GQZ34" s="204"/>
      <c r="GRA34" s="204"/>
      <c r="GRB34" s="204"/>
      <c r="GRC34" s="204"/>
      <c r="GRD34" s="204"/>
      <c r="GRE34" s="204"/>
      <c r="GRF34" s="204"/>
      <c r="GRG34" s="204"/>
      <c r="GRH34" s="204"/>
      <c r="GRI34" s="204"/>
      <c r="GRJ34" s="204"/>
      <c r="GRK34" s="204"/>
      <c r="GRL34" s="204"/>
      <c r="GRM34" s="204"/>
      <c r="GRN34" s="204"/>
      <c r="GRO34" s="204"/>
      <c r="GRP34" s="204"/>
      <c r="GRQ34" s="204"/>
      <c r="GRR34" s="204"/>
      <c r="GRS34" s="204"/>
      <c r="GRT34" s="204"/>
      <c r="GRU34" s="204"/>
      <c r="GRV34" s="204"/>
      <c r="GRW34" s="204"/>
      <c r="GRX34" s="204"/>
      <c r="GRY34" s="204"/>
      <c r="GRZ34" s="204"/>
      <c r="GSA34" s="204"/>
      <c r="GSB34" s="204"/>
      <c r="GSC34" s="204"/>
      <c r="GSD34" s="204"/>
      <c r="GSE34" s="204"/>
      <c r="GSF34" s="204"/>
      <c r="GSG34" s="204"/>
      <c r="GSH34" s="204"/>
      <c r="GSI34" s="204"/>
      <c r="GSJ34" s="204"/>
      <c r="GSK34" s="204"/>
      <c r="GSL34" s="204"/>
      <c r="GSM34" s="204"/>
      <c r="GSN34" s="204"/>
      <c r="GSO34" s="204"/>
      <c r="GSP34" s="204"/>
      <c r="GSQ34" s="204"/>
      <c r="GSR34" s="204"/>
      <c r="GSS34" s="204"/>
      <c r="GST34" s="204"/>
      <c r="GSU34" s="204"/>
      <c r="GSV34" s="204"/>
      <c r="GSW34" s="204"/>
      <c r="GSX34" s="204"/>
      <c r="GSY34" s="204"/>
      <c r="GSZ34" s="204"/>
      <c r="GTA34" s="204"/>
      <c r="GTB34" s="204"/>
      <c r="GTC34" s="204"/>
      <c r="GTD34" s="204"/>
      <c r="GTE34" s="204"/>
      <c r="GTF34" s="204"/>
      <c r="GTG34" s="204"/>
      <c r="GTH34" s="204"/>
      <c r="GTI34" s="204"/>
      <c r="GTJ34" s="204"/>
      <c r="GTK34" s="204"/>
      <c r="GTL34" s="204"/>
      <c r="GTM34" s="204"/>
      <c r="GTN34" s="204"/>
      <c r="GTO34" s="204"/>
      <c r="GTP34" s="204"/>
      <c r="GTQ34" s="204"/>
      <c r="GTR34" s="204"/>
      <c r="GTS34" s="204"/>
      <c r="GTT34" s="204"/>
      <c r="GTU34" s="204"/>
      <c r="GTV34" s="204"/>
      <c r="GTW34" s="204"/>
      <c r="GTX34" s="204"/>
      <c r="GTY34" s="204"/>
      <c r="GTZ34" s="204"/>
      <c r="GUA34" s="204"/>
      <c r="GUB34" s="204"/>
      <c r="GUC34" s="204"/>
      <c r="GUD34" s="204"/>
      <c r="GUE34" s="204"/>
      <c r="GUF34" s="204"/>
      <c r="GUG34" s="204"/>
      <c r="GUH34" s="204"/>
      <c r="GUI34" s="204"/>
      <c r="GUJ34" s="204"/>
      <c r="GUK34" s="204"/>
      <c r="GUL34" s="204"/>
      <c r="GUM34" s="204"/>
      <c r="GUN34" s="204"/>
      <c r="GUO34" s="204"/>
      <c r="GUP34" s="204"/>
      <c r="GUQ34" s="204"/>
      <c r="GUR34" s="204"/>
      <c r="GUS34" s="204"/>
      <c r="GUT34" s="204"/>
      <c r="GUU34" s="204"/>
      <c r="GUV34" s="204"/>
      <c r="GUW34" s="204"/>
      <c r="GUX34" s="204"/>
      <c r="GUY34" s="204"/>
      <c r="GUZ34" s="204"/>
      <c r="GVA34" s="204"/>
      <c r="GVB34" s="204"/>
      <c r="GVC34" s="204"/>
      <c r="GVD34" s="204"/>
      <c r="GVE34" s="204"/>
      <c r="GVF34" s="204"/>
      <c r="GVG34" s="204"/>
      <c r="GVH34" s="204"/>
      <c r="GVI34" s="204"/>
      <c r="GVJ34" s="204"/>
      <c r="GVK34" s="204"/>
      <c r="GVL34" s="204"/>
      <c r="GVM34" s="204"/>
      <c r="GVN34" s="204"/>
      <c r="GVO34" s="204"/>
      <c r="GVP34" s="204"/>
      <c r="GVQ34" s="204"/>
      <c r="GVR34" s="204"/>
      <c r="GVS34" s="204"/>
      <c r="GVT34" s="204"/>
      <c r="GVU34" s="204"/>
      <c r="GVV34" s="204"/>
      <c r="GVW34" s="204"/>
      <c r="GVX34" s="204"/>
      <c r="GVY34" s="204"/>
      <c r="GVZ34" s="204"/>
      <c r="GWA34" s="204"/>
      <c r="GWB34" s="204"/>
      <c r="GWC34" s="204"/>
      <c r="GWD34" s="204"/>
      <c r="GWE34" s="204"/>
      <c r="GWF34" s="204"/>
      <c r="GWG34" s="204"/>
      <c r="GWH34" s="204"/>
      <c r="GWI34" s="204"/>
      <c r="GWJ34" s="204"/>
      <c r="GWK34" s="204"/>
      <c r="GWL34" s="204"/>
      <c r="GWM34" s="204"/>
      <c r="GWN34" s="204"/>
      <c r="GWO34" s="204"/>
      <c r="GWP34" s="204"/>
      <c r="GWQ34" s="204"/>
      <c r="GWR34" s="204"/>
      <c r="GWS34" s="204"/>
      <c r="GWT34" s="204"/>
      <c r="GWU34" s="204"/>
      <c r="GWV34" s="204"/>
      <c r="GWW34" s="204"/>
      <c r="GWX34" s="204"/>
      <c r="GWY34" s="204"/>
      <c r="GWZ34" s="204"/>
      <c r="GXA34" s="204"/>
      <c r="GXB34" s="204"/>
      <c r="GXC34" s="204"/>
      <c r="GXD34" s="204"/>
      <c r="GXE34" s="204"/>
      <c r="GXF34" s="204"/>
      <c r="GXG34" s="204"/>
      <c r="GXH34" s="204"/>
      <c r="GXI34" s="204"/>
      <c r="GXJ34" s="204"/>
      <c r="GXK34" s="204"/>
      <c r="GXL34" s="204"/>
      <c r="GXM34" s="204"/>
      <c r="GXN34" s="204"/>
      <c r="GXO34" s="204"/>
      <c r="GXP34" s="204"/>
      <c r="GXQ34" s="204"/>
      <c r="GXR34" s="204"/>
      <c r="GXS34" s="204"/>
      <c r="GXT34" s="204"/>
      <c r="GXU34" s="204"/>
      <c r="GXV34" s="204"/>
      <c r="GXW34" s="204"/>
      <c r="GXX34" s="204"/>
      <c r="GXY34" s="204"/>
      <c r="GXZ34" s="204"/>
      <c r="GYA34" s="204"/>
      <c r="GYB34" s="204"/>
      <c r="GYC34" s="204"/>
      <c r="GYD34" s="204"/>
      <c r="GYE34" s="204"/>
      <c r="GYF34" s="204"/>
      <c r="GYG34" s="204"/>
      <c r="GYH34" s="204"/>
      <c r="GYI34" s="204"/>
      <c r="GYJ34" s="204"/>
      <c r="GYK34" s="204"/>
      <c r="GYL34" s="204"/>
      <c r="GYM34" s="204"/>
      <c r="GYN34" s="204"/>
      <c r="GYO34" s="204"/>
      <c r="GYP34" s="204"/>
      <c r="GYQ34" s="204"/>
      <c r="GYR34" s="204"/>
      <c r="GYS34" s="204"/>
      <c r="GYT34" s="204"/>
      <c r="GYU34" s="204"/>
      <c r="GYV34" s="204"/>
      <c r="GYW34" s="204"/>
      <c r="GYX34" s="204"/>
      <c r="GYY34" s="204"/>
      <c r="GYZ34" s="204"/>
      <c r="GZA34" s="204"/>
      <c r="GZB34" s="204"/>
      <c r="GZC34" s="204"/>
      <c r="GZD34" s="204"/>
      <c r="GZE34" s="204"/>
      <c r="GZF34" s="204"/>
      <c r="GZG34" s="204"/>
      <c r="GZH34" s="204"/>
      <c r="GZI34" s="204"/>
      <c r="GZJ34" s="204"/>
      <c r="GZK34" s="204"/>
      <c r="GZL34" s="204"/>
      <c r="GZM34" s="204"/>
      <c r="GZN34" s="204"/>
      <c r="GZO34" s="204"/>
      <c r="GZP34" s="204"/>
      <c r="GZQ34" s="204"/>
      <c r="GZR34" s="204"/>
      <c r="GZS34" s="204"/>
      <c r="GZT34" s="204"/>
      <c r="GZU34" s="204"/>
      <c r="GZV34" s="204"/>
      <c r="GZW34" s="204"/>
      <c r="GZX34" s="204"/>
      <c r="GZY34" s="204"/>
      <c r="GZZ34" s="204"/>
      <c r="HAA34" s="204"/>
      <c r="HAB34" s="204"/>
      <c r="HAC34" s="204"/>
      <c r="HAD34" s="204"/>
      <c r="HAE34" s="204"/>
      <c r="HAF34" s="204"/>
      <c r="HAG34" s="204"/>
      <c r="HAH34" s="204"/>
      <c r="HAI34" s="204"/>
      <c r="HAJ34" s="204"/>
      <c r="HAK34" s="204"/>
      <c r="HAL34" s="204"/>
      <c r="HAM34" s="204"/>
      <c r="HAN34" s="204"/>
      <c r="HAO34" s="204"/>
      <c r="HAP34" s="204"/>
      <c r="HAQ34" s="204"/>
      <c r="HAR34" s="204"/>
      <c r="HAS34" s="204"/>
      <c r="HAT34" s="204"/>
      <c r="HAU34" s="204"/>
      <c r="HAV34" s="204"/>
      <c r="HAW34" s="204"/>
      <c r="HAX34" s="204"/>
      <c r="HAY34" s="204"/>
      <c r="HAZ34" s="204"/>
      <c r="HBA34" s="204"/>
      <c r="HBB34" s="204"/>
      <c r="HBC34" s="204"/>
      <c r="HBD34" s="204"/>
      <c r="HBE34" s="204"/>
      <c r="HBF34" s="204"/>
      <c r="HBG34" s="204"/>
      <c r="HBH34" s="204"/>
      <c r="HBI34" s="204"/>
      <c r="HBJ34" s="204"/>
      <c r="HBK34" s="204"/>
      <c r="HBL34" s="204"/>
      <c r="HBM34" s="204"/>
      <c r="HBN34" s="204"/>
      <c r="HBO34" s="204"/>
      <c r="HBP34" s="204"/>
      <c r="HBQ34" s="204"/>
      <c r="HBR34" s="204"/>
      <c r="HBS34" s="204"/>
      <c r="HBT34" s="204"/>
      <c r="HBU34" s="204"/>
      <c r="HBV34" s="204"/>
      <c r="HBW34" s="204"/>
      <c r="HBX34" s="204"/>
      <c r="HBY34" s="204"/>
      <c r="HBZ34" s="204"/>
      <c r="HCA34" s="204"/>
      <c r="HCB34" s="204"/>
      <c r="HCC34" s="204"/>
      <c r="HCD34" s="204"/>
      <c r="HCE34" s="204"/>
      <c r="HCF34" s="204"/>
      <c r="HCG34" s="204"/>
      <c r="HCH34" s="204"/>
      <c r="HCI34" s="204"/>
      <c r="HCJ34" s="204"/>
      <c r="HCK34" s="204"/>
      <c r="HCL34" s="204"/>
      <c r="HCM34" s="204"/>
      <c r="HCN34" s="204"/>
      <c r="HCO34" s="204"/>
      <c r="HCP34" s="204"/>
      <c r="HCQ34" s="204"/>
      <c r="HCR34" s="204"/>
      <c r="HCS34" s="204"/>
      <c r="HCT34" s="204"/>
      <c r="HCU34" s="204"/>
      <c r="HCV34" s="204"/>
      <c r="HCW34" s="204"/>
      <c r="HCX34" s="204"/>
      <c r="HCY34" s="204"/>
      <c r="HCZ34" s="204"/>
      <c r="HDA34" s="204"/>
      <c r="HDB34" s="204"/>
      <c r="HDC34" s="204"/>
      <c r="HDD34" s="204"/>
      <c r="HDE34" s="204"/>
      <c r="HDF34" s="204"/>
      <c r="HDG34" s="204"/>
      <c r="HDH34" s="204"/>
      <c r="HDI34" s="204"/>
      <c r="HDJ34" s="204"/>
      <c r="HDK34" s="204"/>
      <c r="HDL34" s="204"/>
      <c r="HDM34" s="204"/>
      <c r="HDN34" s="204"/>
      <c r="HDO34" s="204"/>
      <c r="HDP34" s="204"/>
      <c r="HDQ34" s="204"/>
      <c r="HDR34" s="204"/>
      <c r="HDS34" s="204"/>
      <c r="HDT34" s="204"/>
      <c r="HDU34" s="204"/>
      <c r="HDV34" s="204"/>
      <c r="HDW34" s="204"/>
      <c r="HDX34" s="204"/>
      <c r="HDY34" s="204"/>
      <c r="HDZ34" s="204"/>
      <c r="HEA34" s="204"/>
      <c r="HEB34" s="204"/>
      <c r="HEC34" s="204"/>
      <c r="HED34" s="204"/>
      <c r="HEE34" s="204"/>
      <c r="HEF34" s="204"/>
      <c r="HEG34" s="204"/>
      <c r="HEH34" s="204"/>
      <c r="HEI34" s="204"/>
      <c r="HEJ34" s="204"/>
      <c r="HEK34" s="204"/>
      <c r="HEL34" s="204"/>
      <c r="HEM34" s="204"/>
      <c r="HEN34" s="204"/>
      <c r="HEO34" s="204"/>
      <c r="HEP34" s="204"/>
      <c r="HEQ34" s="204"/>
      <c r="HER34" s="204"/>
      <c r="HES34" s="204"/>
      <c r="HET34" s="204"/>
      <c r="HEU34" s="204"/>
      <c r="HEV34" s="204"/>
      <c r="HEW34" s="204"/>
      <c r="HEX34" s="204"/>
      <c r="HEY34" s="204"/>
      <c r="HEZ34" s="204"/>
      <c r="HFA34" s="204"/>
      <c r="HFB34" s="204"/>
      <c r="HFC34" s="204"/>
      <c r="HFD34" s="204"/>
      <c r="HFE34" s="204"/>
      <c r="HFF34" s="204"/>
      <c r="HFG34" s="204"/>
      <c r="HFH34" s="204"/>
      <c r="HFI34" s="204"/>
      <c r="HFJ34" s="204"/>
      <c r="HFK34" s="204"/>
      <c r="HFL34" s="204"/>
      <c r="HFM34" s="204"/>
      <c r="HFN34" s="204"/>
      <c r="HFO34" s="204"/>
      <c r="HFP34" s="204"/>
      <c r="HFQ34" s="204"/>
      <c r="HFR34" s="204"/>
      <c r="HFS34" s="204"/>
      <c r="HFT34" s="204"/>
      <c r="HFU34" s="204"/>
      <c r="HFV34" s="204"/>
      <c r="HFW34" s="204"/>
      <c r="HFX34" s="204"/>
      <c r="HFY34" s="204"/>
      <c r="HFZ34" s="204"/>
      <c r="HGA34" s="204"/>
      <c r="HGB34" s="204"/>
      <c r="HGC34" s="204"/>
      <c r="HGD34" s="204"/>
      <c r="HGE34" s="204"/>
      <c r="HGF34" s="204"/>
      <c r="HGG34" s="204"/>
      <c r="HGH34" s="204"/>
      <c r="HGI34" s="204"/>
      <c r="HGJ34" s="204"/>
      <c r="HGK34" s="204"/>
      <c r="HGL34" s="204"/>
      <c r="HGM34" s="204"/>
      <c r="HGN34" s="204"/>
      <c r="HGO34" s="204"/>
      <c r="HGP34" s="204"/>
      <c r="HGQ34" s="204"/>
      <c r="HGR34" s="204"/>
      <c r="HGS34" s="204"/>
      <c r="HGT34" s="204"/>
      <c r="HGU34" s="204"/>
      <c r="HGV34" s="204"/>
      <c r="HGW34" s="204"/>
      <c r="HGX34" s="204"/>
      <c r="HGY34" s="204"/>
      <c r="HGZ34" s="204"/>
      <c r="HHA34" s="204"/>
      <c r="HHB34" s="204"/>
      <c r="HHC34" s="204"/>
      <c r="HHD34" s="204"/>
      <c r="HHE34" s="204"/>
      <c r="HHF34" s="204"/>
      <c r="HHG34" s="204"/>
      <c r="HHH34" s="204"/>
      <c r="HHI34" s="204"/>
      <c r="HHJ34" s="204"/>
      <c r="HHK34" s="204"/>
      <c r="HHL34" s="204"/>
      <c r="HHM34" s="204"/>
      <c r="HHN34" s="204"/>
      <c r="HHO34" s="204"/>
      <c r="HHP34" s="204"/>
      <c r="HHQ34" s="204"/>
      <c r="HHR34" s="204"/>
      <c r="HHS34" s="204"/>
      <c r="HHT34" s="204"/>
      <c r="HHU34" s="204"/>
      <c r="HHV34" s="204"/>
      <c r="HHW34" s="204"/>
      <c r="HHX34" s="204"/>
      <c r="HHY34" s="204"/>
      <c r="HHZ34" s="204"/>
      <c r="HIA34" s="204"/>
      <c r="HIB34" s="204"/>
      <c r="HIC34" s="204"/>
      <c r="HID34" s="204"/>
      <c r="HIE34" s="204"/>
      <c r="HIF34" s="204"/>
      <c r="HIG34" s="204"/>
      <c r="HIH34" s="204"/>
      <c r="HII34" s="204"/>
      <c r="HIJ34" s="204"/>
      <c r="HIK34" s="204"/>
      <c r="HIL34" s="204"/>
      <c r="HIM34" s="204"/>
      <c r="HIN34" s="204"/>
      <c r="HIO34" s="204"/>
      <c r="HIP34" s="204"/>
      <c r="HIQ34" s="204"/>
      <c r="HIR34" s="204"/>
      <c r="HIS34" s="204"/>
      <c r="HIT34" s="204"/>
      <c r="HIU34" s="204"/>
      <c r="HIV34" s="204"/>
      <c r="HIW34" s="204"/>
      <c r="HIX34" s="204"/>
      <c r="HIY34" s="204"/>
      <c r="HIZ34" s="204"/>
      <c r="HJA34" s="204"/>
      <c r="HJB34" s="204"/>
      <c r="HJC34" s="204"/>
      <c r="HJD34" s="204"/>
      <c r="HJE34" s="204"/>
      <c r="HJF34" s="204"/>
      <c r="HJG34" s="204"/>
      <c r="HJH34" s="204"/>
      <c r="HJI34" s="204"/>
      <c r="HJJ34" s="204"/>
      <c r="HJK34" s="204"/>
      <c r="HJL34" s="204"/>
      <c r="HJM34" s="204"/>
      <c r="HJN34" s="204"/>
      <c r="HJO34" s="204"/>
      <c r="HJP34" s="204"/>
      <c r="HJQ34" s="204"/>
      <c r="HJR34" s="204"/>
      <c r="HJS34" s="204"/>
      <c r="HJT34" s="204"/>
      <c r="HJU34" s="204"/>
      <c r="HJV34" s="204"/>
      <c r="HJW34" s="204"/>
      <c r="HJX34" s="204"/>
      <c r="HJY34" s="204"/>
      <c r="HJZ34" s="204"/>
      <c r="HKA34" s="204"/>
      <c r="HKB34" s="204"/>
      <c r="HKC34" s="204"/>
      <c r="HKD34" s="204"/>
      <c r="HKE34" s="204"/>
      <c r="HKF34" s="204"/>
      <c r="HKG34" s="204"/>
      <c r="HKH34" s="204"/>
      <c r="HKI34" s="204"/>
      <c r="HKJ34" s="204"/>
      <c r="HKK34" s="204"/>
      <c r="HKL34" s="204"/>
      <c r="HKM34" s="204"/>
      <c r="HKN34" s="204"/>
      <c r="HKO34" s="204"/>
      <c r="HKP34" s="204"/>
      <c r="HKQ34" s="204"/>
      <c r="HKR34" s="204"/>
      <c r="HKS34" s="204"/>
      <c r="HKT34" s="204"/>
      <c r="HKU34" s="204"/>
      <c r="HKV34" s="204"/>
      <c r="HKW34" s="204"/>
      <c r="HKX34" s="204"/>
      <c r="HKY34" s="204"/>
      <c r="HKZ34" s="204"/>
      <c r="HLA34" s="204"/>
      <c r="HLB34" s="204"/>
      <c r="HLC34" s="204"/>
      <c r="HLD34" s="204"/>
      <c r="HLE34" s="204"/>
      <c r="HLF34" s="204"/>
      <c r="HLG34" s="204"/>
      <c r="HLH34" s="204"/>
      <c r="HLI34" s="204"/>
      <c r="HLJ34" s="204"/>
      <c r="HLK34" s="204"/>
      <c r="HLL34" s="204"/>
      <c r="HLM34" s="204"/>
      <c r="HLN34" s="204"/>
      <c r="HLO34" s="204"/>
      <c r="HLP34" s="204"/>
      <c r="HLQ34" s="204"/>
      <c r="HLR34" s="204"/>
      <c r="HLS34" s="204"/>
      <c r="HLT34" s="204"/>
      <c r="HLU34" s="204"/>
      <c r="HLV34" s="204"/>
      <c r="HLW34" s="204"/>
      <c r="HLX34" s="204"/>
      <c r="HLY34" s="204"/>
      <c r="HLZ34" s="204"/>
      <c r="HMA34" s="204"/>
      <c r="HMB34" s="204"/>
      <c r="HMC34" s="204"/>
      <c r="HMD34" s="204"/>
      <c r="HME34" s="204"/>
      <c r="HMF34" s="204"/>
      <c r="HMG34" s="204"/>
      <c r="HMH34" s="204"/>
      <c r="HMI34" s="204"/>
      <c r="HMJ34" s="204"/>
      <c r="HMK34" s="204"/>
      <c r="HML34" s="204"/>
      <c r="HMM34" s="204"/>
      <c r="HMN34" s="204"/>
      <c r="HMO34" s="204"/>
      <c r="HMP34" s="204"/>
      <c r="HMQ34" s="204"/>
      <c r="HMR34" s="204"/>
      <c r="HMS34" s="204"/>
      <c r="HMT34" s="204"/>
      <c r="HMU34" s="204"/>
      <c r="HMV34" s="204"/>
      <c r="HMW34" s="204"/>
      <c r="HMX34" s="204"/>
      <c r="HMY34" s="204"/>
      <c r="HMZ34" s="204"/>
      <c r="HNA34" s="204"/>
      <c r="HNB34" s="204"/>
      <c r="HNC34" s="204"/>
      <c r="HND34" s="204"/>
      <c r="HNE34" s="204"/>
      <c r="HNF34" s="204"/>
      <c r="HNG34" s="204"/>
      <c r="HNH34" s="204"/>
      <c r="HNI34" s="204"/>
      <c r="HNJ34" s="204"/>
      <c r="HNK34" s="204"/>
      <c r="HNL34" s="204"/>
      <c r="HNM34" s="204"/>
      <c r="HNN34" s="204"/>
      <c r="HNO34" s="204"/>
      <c r="HNP34" s="204"/>
      <c r="HNQ34" s="204"/>
      <c r="HNR34" s="204"/>
      <c r="HNS34" s="204"/>
      <c r="HNT34" s="204"/>
      <c r="HNU34" s="204"/>
      <c r="HNV34" s="204"/>
      <c r="HNW34" s="204"/>
      <c r="HNX34" s="204"/>
      <c r="HNY34" s="204"/>
      <c r="HNZ34" s="204"/>
      <c r="HOA34" s="204"/>
      <c r="HOB34" s="204"/>
      <c r="HOC34" s="204"/>
      <c r="HOD34" s="204"/>
      <c r="HOE34" s="204"/>
      <c r="HOF34" s="204"/>
      <c r="HOG34" s="204"/>
      <c r="HOH34" s="204"/>
      <c r="HOI34" s="204"/>
      <c r="HOJ34" s="204"/>
      <c r="HOK34" s="204"/>
      <c r="HOL34" s="204"/>
      <c r="HOM34" s="204"/>
      <c r="HON34" s="204"/>
      <c r="HOO34" s="204"/>
      <c r="HOP34" s="204"/>
      <c r="HOQ34" s="204"/>
      <c r="HOR34" s="204"/>
      <c r="HOS34" s="204"/>
      <c r="HOT34" s="204"/>
      <c r="HOU34" s="204"/>
      <c r="HOV34" s="204"/>
      <c r="HOW34" s="204"/>
      <c r="HOX34" s="204"/>
      <c r="HOY34" s="204"/>
      <c r="HOZ34" s="204"/>
      <c r="HPA34" s="204"/>
      <c r="HPB34" s="204"/>
      <c r="HPC34" s="204"/>
      <c r="HPD34" s="204"/>
      <c r="HPE34" s="204"/>
      <c r="HPF34" s="204"/>
      <c r="HPG34" s="204"/>
      <c r="HPH34" s="204"/>
      <c r="HPI34" s="204"/>
      <c r="HPJ34" s="204"/>
      <c r="HPK34" s="204"/>
      <c r="HPL34" s="204"/>
      <c r="HPM34" s="204"/>
      <c r="HPN34" s="204"/>
      <c r="HPO34" s="204"/>
      <c r="HPP34" s="204"/>
      <c r="HPQ34" s="204"/>
      <c r="HPR34" s="204"/>
      <c r="HPS34" s="204"/>
      <c r="HPT34" s="204"/>
      <c r="HPU34" s="204"/>
      <c r="HPV34" s="204"/>
      <c r="HPW34" s="204"/>
      <c r="HPX34" s="204"/>
      <c r="HPY34" s="204"/>
      <c r="HPZ34" s="204"/>
      <c r="HQA34" s="204"/>
      <c r="HQB34" s="204"/>
      <c r="HQC34" s="204"/>
      <c r="HQD34" s="204"/>
      <c r="HQE34" s="204"/>
      <c r="HQF34" s="204"/>
      <c r="HQG34" s="204"/>
      <c r="HQH34" s="204"/>
      <c r="HQI34" s="204"/>
      <c r="HQJ34" s="204"/>
      <c r="HQK34" s="204"/>
      <c r="HQL34" s="204"/>
      <c r="HQM34" s="204"/>
      <c r="HQN34" s="204"/>
      <c r="HQO34" s="204"/>
      <c r="HQP34" s="204"/>
      <c r="HQQ34" s="204"/>
      <c r="HQR34" s="204"/>
      <c r="HQS34" s="204"/>
      <c r="HQT34" s="204"/>
      <c r="HQU34" s="204"/>
      <c r="HQV34" s="204"/>
      <c r="HQW34" s="204"/>
      <c r="HQX34" s="204"/>
      <c r="HQY34" s="204"/>
      <c r="HQZ34" s="204"/>
      <c r="HRA34" s="204"/>
      <c r="HRB34" s="204"/>
      <c r="HRC34" s="204"/>
      <c r="HRD34" s="204"/>
      <c r="HRE34" s="204"/>
      <c r="HRF34" s="204"/>
      <c r="HRG34" s="204"/>
      <c r="HRH34" s="204"/>
      <c r="HRI34" s="204"/>
      <c r="HRJ34" s="204"/>
      <c r="HRK34" s="204"/>
      <c r="HRL34" s="204"/>
      <c r="HRM34" s="204"/>
      <c r="HRN34" s="204"/>
      <c r="HRO34" s="204"/>
      <c r="HRP34" s="204"/>
      <c r="HRQ34" s="204"/>
      <c r="HRR34" s="204"/>
      <c r="HRS34" s="204"/>
      <c r="HRT34" s="204"/>
      <c r="HRU34" s="204"/>
      <c r="HRV34" s="204"/>
      <c r="HRW34" s="204"/>
      <c r="HRX34" s="204"/>
      <c r="HRY34" s="204"/>
      <c r="HRZ34" s="204"/>
      <c r="HSA34" s="204"/>
      <c r="HSB34" s="204"/>
      <c r="HSC34" s="204"/>
      <c r="HSD34" s="204"/>
      <c r="HSE34" s="204"/>
      <c r="HSF34" s="204"/>
      <c r="HSG34" s="204"/>
      <c r="HSH34" s="204"/>
      <c r="HSI34" s="204"/>
      <c r="HSJ34" s="204"/>
      <c r="HSK34" s="204"/>
      <c r="HSL34" s="204"/>
      <c r="HSM34" s="204"/>
      <c r="HSN34" s="204"/>
      <c r="HSO34" s="204"/>
      <c r="HSP34" s="204"/>
      <c r="HSQ34" s="204"/>
      <c r="HSR34" s="204"/>
      <c r="HSS34" s="204"/>
      <c r="HST34" s="204"/>
      <c r="HSU34" s="204"/>
      <c r="HSV34" s="204"/>
      <c r="HSW34" s="204"/>
      <c r="HSX34" s="204"/>
      <c r="HSY34" s="204"/>
      <c r="HSZ34" s="204"/>
      <c r="HTA34" s="204"/>
      <c r="HTB34" s="204"/>
      <c r="HTC34" s="204"/>
      <c r="HTD34" s="204"/>
      <c r="HTE34" s="204"/>
      <c r="HTF34" s="204"/>
      <c r="HTG34" s="204"/>
      <c r="HTH34" s="204"/>
      <c r="HTI34" s="204"/>
      <c r="HTJ34" s="204"/>
      <c r="HTK34" s="204"/>
      <c r="HTL34" s="204"/>
      <c r="HTM34" s="204"/>
      <c r="HTN34" s="204"/>
      <c r="HTO34" s="204"/>
      <c r="HTP34" s="204"/>
      <c r="HTQ34" s="204"/>
      <c r="HTR34" s="204"/>
      <c r="HTS34" s="204"/>
      <c r="HTT34" s="204"/>
      <c r="HTU34" s="204"/>
      <c r="HTV34" s="204"/>
      <c r="HTW34" s="204"/>
      <c r="HTX34" s="204"/>
      <c r="HTY34" s="204"/>
      <c r="HTZ34" s="204"/>
      <c r="HUA34" s="204"/>
      <c r="HUB34" s="204"/>
      <c r="HUC34" s="204"/>
      <c r="HUD34" s="204"/>
      <c r="HUE34" s="204"/>
      <c r="HUF34" s="204"/>
      <c r="HUG34" s="204"/>
      <c r="HUH34" s="204"/>
      <c r="HUI34" s="204"/>
      <c r="HUJ34" s="204"/>
      <c r="HUK34" s="204"/>
      <c r="HUL34" s="204"/>
      <c r="HUM34" s="204"/>
      <c r="HUN34" s="204"/>
      <c r="HUO34" s="204"/>
      <c r="HUP34" s="204"/>
      <c r="HUQ34" s="204"/>
      <c r="HUR34" s="204"/>
      <c r="HUS34" s="204"/>
      <c r="HUT34" s="204"/>
      <c r="HUU34" s="204"/>
      <c r="HUV34" s="204"/>
      <c r="HUW34" s="204"/>
      <c r="HUX34" s="204"/>
      <c r="HUY34" s="204"/>
      <c r="HUZ34" s="204"/>
      <c r="HVA34" s="204"/>
      <c r="HVB34" s="204"/>
      <c r="HVC34" s="204"/>
      <c r="HVD34" s="204"/>
      <c r="HVE34" s="204"/>
      <c r="HVF34" s="204"/>
      <c r="HVG34" s="204"/>
      <c r="HVH34" s="204"/>
      <c r="HVI34" s="204"/>
      <c r="HVJ34" s="204"/>
      <c r="HVK34" s="204"/>
      <c r="HVL34" s="204"/>
      <c r="HVM34" s="204"/>
      <c r="HVN34" s="204"/>
      <c r="HVO34" s="204"/>
      <c r="HVP34" s="204"/>
      <c r="HVQ34" s="204"/>
      <c r="HVR34" s="204"/>
      <c r="HVS34" s="204"/>
      <c r="HVT34" s="204"/>
      <c r="HVU34" s="204"/>
      <c r="HVV34" s="204"/>
      <c r="HVW34" s="204"/>
      <c r="HVX34" s="204"/>
      <c r="HVY34" s="204"/>
      <c r="HVZ34" s="204"/>
      <c r="HWA34" s="204"/>
      <c r="HWB34" s="204"/>
      <c r="HWC34" s="204"/>
      <c r="HWD34" s="204"/>
      <c r="HWE34" s="204"/>
      <c r="HWF34" s="204"/>
      <c r="HWG34" s="204"/>
      <c r="HWH34" s="204"/>
      <c r="HWI34" s="204"/>
      <c r="HWJ34" s="204"/>
      <c r="HWK34" s="204"/>
      <c r="HWL34" s="204"/>
      <c r="HWM34" s="204"/>
      <c r="HWN34" s="204"/>
      <c r="HWO34" s="204"/>
      <c r="HWP34" s="204"/>
      <c r="HWQ34" s="204"/>
      <c r="HWR34" s="204"/>
      <c r="HWS34" s="204"/>
      <c r="HWT34" s="204"/>
      <c r="HWU34" s="204"/>
      <c r="HWV34" s="204"/>
      <c r="HWW34" s="204"/>
      <c r="HWX34" s="204"/>
      <c r="HWY34" s="204"/>
      <c r="HWZ34" s="204"/>
      <c r="HXA34" s="204"/>
      <c r="HXB34" s="204"/>
      <c r="HXC34" s="204"/>
      <c r="HXD34" s="204"/>
      <c r="HXE34" s="204"/>
      <c r="HXF34" s="204"/>
      <c r="HXG34" s="204"/>
      <c r="HXH34" s="204"/>
      <c r="HXI34" s="204"/>
      <c r="HXJ34" s="204"/>
      <c r="HXK34" s="204"/>
      <c r="HXL34" s="204"/>
      <c r="HXM34" s="204"/>
      <c r="HXN34" s="204"/>
      <c r="HXO34" s="204"/>
      <c r="HXP34" s="204"/>
      <c r="HXQ34" s="204"/>
      <c r="HXR34" s="204"/>
      <c r="HXS34" s="204"/>
      <c r="HXT34" s="204"/>
      <c r="HXU34" s="204"/>
      <c r="HXV34" s="204"/>
      <c r="HXW34" s="204"/>
      <c r="HXX34" s="204"/>
      <c r="HXY34" s="204"/>
      <c r="HXZ34" s="204"/>
      <c r="HYA34" s="204"/>
      <c r="HYB34" s="204"/>
      <c r="HYC34" s="204"/>
      <c r="HYD34" s="204"/>
      <c r="HYE34" s="204"/>
      <c r="HYF34" s="204"/>
      <c r="HYG34" s="204"/>
      <c r="HYH34" s="204"/>
      <c r="HYI34" s="204"/>
      <c r="HYJ34" s="204"/>
      <c r="HYK34" s="204"/>
      <c r="HYL34" s="204"/>
      <c r="HYM34" s="204"/>
      <c r="HYN34" s="204"/>
      <c r="HYO34" s="204"/>
      <c r="HYP34" s="204"/>
      <c r="HYQ34" s="204"/>
      <c r="HYR34" s="204"/>
      <c r="HYS34" s="204"/>
      <c r="HYT34" s="204"/>
      <c r="HYU34" s="204"/>
      <c r="HYV34" s="204"/>
      <c r="HYW34" s="204"/>
      <c r="HYX34" s="204"/>
      <c r="HYY34" s="204"/>
      <c r="HYZ34" s="204"/>
      <c r="HZA34" s="204"/>
      <c r="HZB34" s="204"/>
      <c r="HZC34" s="204"/>
      <c r="HZD34" s="204"/>
      <c r="HZE34" s="204"/>
      <c r="HZF34" s="204"/>
      <c r="HZG34" s="204"/>
      <c r="HZH34" s="204"/>
      <c r="HZI34" s="204"/>
      <c r="HZJ34" s="204"/>
      <c r="HZK34" s="204"/>
      <c r="HZL34" s="204"/>
      <c r="HZM34" s="204"/>
      <c r="HZN34" s="204"/>
      <c r="HZO34" s="204"/>
      <c r="HZP34" s="204"/>
      <c r="HZQ34" s="204"/>
      <c r="HZR34" s="204"/>
      <c r="HZS34" s="204"/>
      <c r="HZT34" s="204"/>
      <c r="HZU34" s="204"/>
      <c r="HZV34" s="204"/>
      <c r="HZW34" s="204"/>
      <c r="HZX34" s="204"/>
      <c r="HZY34" s="204"/>
      <c r="HZZ34" s="204"/>
      <c r="IAA34" s="204"/>
      <c r="IAB34" s="204"/>
      <c r="IAC34" s="204"/>
      <c r="IAD34" s="204"/>
      <c r="IAE34" s="204"/>
      <c r="IAF34" s="204"/>
      <c r="IAG34" s="204"/>
      <c r="IAH34" s="204"/>
      <c r="IAI34" s="204"/>
      <c r="IAJ34" s="204"/>
      <c r="IAK34" s="204"/>
      <c r="IAL34" s="204"/>
      <c r="IAM34" s="204"/>
      <c r="IAN34" s="204"/>
      <c r="IAO34" s="204"/>
      <c r="IAP34" s="204"/>
      <c r="IAQ34" s="204"/>
      <c r="IAR34" s="204"/>
      <c r="IAS34" s="204"/>
      <c r="IAT34" s="204"/>
      <c r="IAU34" s="204"/>
      <c r="IAV34" s="204"/>
      <c r="IAW34" s="204"/>
      <c r="IAX34" s="204"/>
      <c r="IAY34" s="204"/>
      <c r="IAZ34" s="204"/>
      <c r="IBA34" s="204"/>
      <c r="IBB34" s="204"/>
      <c r="IBC34" s="204"/>
      <c r="IBD34" s="204"/>
      <c r="IBE34" s="204"/>
      <c r="IBF34" s="204"/>
      <c r="IBG34" s="204"/>
      <c r="IBH34" s="204"/>
      <c r="IBI34" s="204"/>
      <c r="IBJ34" s="204"/>
      <c r="IBK34" s="204"/>
      <c r="IBL34" s="204"/>
      <c r="IBM34" s="204"/>
      <c r="IBN34" s="204"/>
      <c r="IBO34" s="204"/>
      <c r="IBP34" s="204"/>
      <c r="IBQ34" s="204"/>
      <c r="IBR34" s="204"/>
      <c r="IBS34" s="204"/>
      <c r="IBT34" s="204"/>
      <c r="IBU34" s="204"/>
      <c r="IBV34" s="204"/>
      <c r="IBW34" s="204"/>
      <c r="IBX34" s="204"/>
      <c r="IBY34" s="204"/>
      <c r="IBZ34" s="204"/>
      <c r="ICA34" s="204"/>
      <c r="ICB34" s="204"/>
      <c r="ICC34" s="204"/>
      <c r="ICD34" s="204"/>
      <c r="ICE34" s="204"/>
      <c r="ICF34" s="204"/>
      <c r="ICG34" s="204"/>
      <c r="ICH34" s="204"/>
      <c r="ICI34" s="204"/>
      <c r="ICJ34" s="204"/>
      <c r="ICK34" s="204"/>
      <c r="ICL34" s="204"/>
      <c r="ICM34" s="204"/>
      <c r="ICN34" s="204"/>
      <c r="ICO34" s="204"/>
      <c r="ICP34" s="204"/>
      <c r="ICQ34" s="204"/>
      <c r="ICR34" s="204"/>
      <c r="ICS34" s="204"/>
      <c r="ICT34" s="204"/>
      <c r="ICU34" s="204"/>
      <c r="ICV34" s="204"/>
      <c r="ICW34" s="204"/>
      <c r="ICX34" s="204"/>
      <c r="ICY34" s="204"/>
      <c r="ICZ34" s="204"/>
      <c r="IDA34" s="204"/>
      <c r="IDB34" s="204"/>
      <c r="IDC34" s="204"/>
      <c r="IDD34" s="204"/>
      <c r="IDE34" s="204"/>
      <c r="IDF34" s="204"/>
      <c r="IDG34" s="204"/>
      <c r="IDH34" s="204"/>
      <c r="IDI34" s="204"/>
      <c r="IDJ34" s="204"/>
      <c r="IDK34" s="204"/>
      <c r="IDL34" s="204"/>
      <c r="IDM34" s="204"/>
      <c r="IDN34" s="204"/>
      <c r="IDO34" s="204"/>
      <c r="IDP34" s="204"/>
      <c r="IDQ34" s="204"/>
      <c r="IDR34" s="204"/>
      <c r="IDS34" s="204"/>
      <c r="IDT34" s="204"/>
      <c r="IDU34" s="204"/>
      <c r="IDV34" s="204"/>
      <c r="IDW34" s="204"/>
      <c r="IDX34" s="204"/>
      <c r="IDY34" s="204"/>
      <c r="IDZ34" s="204"/>
      <c r="IEA34" s="204"/>
      <c r="IEB34" s="204"/>
      <c r="IEC34" s="204"/>
      <c r="IED34" s="204"/>
      <c r="IEE34" s="204"/>
      <c r="IEF34" s="204"/>
      <c r="IEG34" s="204"/>
      <c r="IEH34" s="204"/>
      <c r="IEI34" s="204"/>
      <c r="IEJ34" s="204"/>
      <c r="IEK34" s="204"/>
      <c r="IEL34" s="204"/>
      <c r="IEM34" s="204"/>
      <c r="IEN34" s="204"/>
      <c r="IEO34" s="204"/>
      <c r="IEP34" s="204"/>
      <c r="IEQ34" s="204"/>
      <c r="IER34" s="204"/>
      <c r="IES34" s="204"/>
      <c r="IET34" s="204"/>
      <c r="IEU34" s="204"/>
      <c r="IEV34" s="204"/>
      <c r="IEW34" s="204"/>
      <c r="IEX34" s="204"/>
      <c r="IEY34" s="204"/>
      <c r="IEZ34" s="204"/>
      <c r="IFA34" s="204"/>
      <c r="IFB34" s="204"/>
      <c r="IFC34" s="204"/>
      <c r="IFD34" s="204"/>
      <c r="IFE34" s="204"/>
      <c r="IFF34" s="204"/>
      <c r="IFG34" s="204"/>
      <c r="IFH34" s="204"/>
      <c r="IFI34" s="204"/>
      <c r="IFJ34" s="204"/>
      <c r="IFK34" s="204"/>
      <c r="IFL34" s="204"/>
      <c r="IFM34" s="204"/>
      <c r="IFN34" s="204"/>
      <c r="IFO34" s="204"/>
      <c r="IFP34" s="204"/>
      <c r="IFQ34" s="204"/>
      <c r="IFR34" s="204"/>
      <c r="IFS34" s="204"/>
      <c r="IFT34" s="204"/>
      <c r="IFU34" s="204"/>
      <c r="IFV34" s="204"/>
      <c r="IFW34" s="204"/>
      <c r="IFX34" s="204"/>
      <c r="IFY34" s="204"/>
      <c r="IFZ34" s="204"/>
      <c r="IGA34" s="204"/>
      <c r="IGB34" s="204"/>
      <c r="IGC34" s="204"/>
      <c r="IGD34" s="204"/>
      <c r="IGE34" s="204"/>
      <c r="IGF34" s="204"/>
      <c r="IGG34" s="204"/>
      <c r="IGH34" s="204"/>
      <c r="IGI34" s="204"/>
      <c r="IGJ34" s="204"/>
      <c r="IGK34" s="204"/>
      <c r="IGL34" s="204"/>
      <c r="IGM34" s="204"/>
      <c r="IGN34" s="204"/>
      <c r="IGO34" s="204"/>
      <c r="IGP34" s="204"/>
      <c r="IGQ34" s="204"/>
      <c r="IGR34" s="204"/>
      <c r="IGS34" s="204"/>
      <c r="IGT34" s="204"/>
      <c r="IGU34" s="204"/>
      <c r="IGV34" s="204"/>
      <c r="IGW34" s="204"/>
      <c r="IGX34" s="204"/>
      <c r="IGY34" s="204"/>
      <c r="IGZ34" s="204"/>
      <c r="IHA34" s="204"/>
      <c r="IHB34" s="204"/>
      <c r="IHC34" s="204"/>
      <c r="IHD34" s="204"/>
      <c r="IHE34" s="204"/>
      <c r="IHF34" s="204"/>
      <c r="IHG34" s="204"/>
      <c r="IHH34" s="204"/>
      <c r="IHI34" s="204"/>
      <c r="IHJ34" s="204"/>
      <c r="IHK34" s="204"/>
      <c r="IHL34" s="204"/>
      <c r="IHM34" s="204"/>
      <c r="IHN34" s="204"/>
      <c r="IHO34" s="204"/>
      <c r="IHP34" s="204"/>
      <c r="IHQ34" s="204"/>
      <c r="IHR34" s="204"/>
      <c r="IHS34" s="204"/>
      <c r="IHT34" s="204"/>
      <c r="IHU34" s="204"/>
      <c r="IHV34" s="204"/>
      <c r="IHW34" s="204"/>
      <c r="IHX34" s="204"/>
      <c r="IHY34" s="204"/>
      <c r="IHZ34" s="204"/>
      <c r="IIA34" s="204"/>
      <c r="IIB34" s="204"/>
      <c r="IIC34" s="204"/>
      <c r="IID34" s="204"/>
      <c r="IIE34" s="204"/>
      <c r="IIF34" s="204"/>
      <c r="IIG34" s="204"/>
      <c r="IIH34" s="204"/>
      <c r="III34" s="204"/>
      <c r="IIJ34" s="204"/>
      <c r="IIK34" s="204"/>
      <c r="IIL34" s="204"/>
      <c r="IIM34" s="204"/>
      <c r="IIN34" s="204"/>
      <c r="IIO34" s="204"/>
      <c r="IIP34" s="204"/>
      <c r="IIQ34" s="204"/>
      <c r="IIR34" s="204"/>
      <c r="IIS34" s="204"/>
      <c r="IIT34" s="204"/>
      <c r="IIU34" s="204"/>
      <c r="IIV34" s="204"/>
      <c r="IIW34" s="204"/>
      <c r="IIX34" s="204"/>
      <c r="IIY34" s="204"/>
      <c r="IIZ34" s="204"/>
      <c r="IJA34" s="204"/>
      <c r="IJB34" s="204"/>
      <c r="IJC34" s="204"/>
      <c r="IJD34" s="204"/>
      <c r="IJE34" s="204"/>
      <c r="IJF34" s="204"/>
      <c r="IJG34" s="204"/>
      <c r="IJH34" s="204"/>
      <c r="IJI34" s="204"/>
      <c r="IJJ34" s="204"/>
      <c r="IJK34" s="204"/>
      <c r="IJL34" s="204"/>
      <c r="IJM34" s="204"/>
      <c r="IJN34" s="204"/>
      <c r="IJO34" s="204"/>
      <c r="IJP34" s="204"/>
      <c r="IJQ34" s="204"/>
      <c r="IJR34" s="204"/>
      <c r="IJS34" s="204"/>
      <c r="IJT34" s="204"/>
      <c r="IJU34" s="204"/>
      <c r="IJV34" s="204"/>
      <c r="IJW34" s="204"/>
      <c r="IJX34" s="204"/>
      <c r="IJY34" s="204"/>
      <c r="IJZ34" s="204"/>
      <c r="IKA34" s="204"/>
      <c r="IKB34" s="204"/>
      <c r="IKC34" s="204"/>
      <c r="IKD34" s="204"/>
      <c r="IKE34" s="204"/>
      <c r="IKF34" s="204"/>
      <c r="IKG34" s="204"/>
      <c r="IKH34" s="204"/>
      <c r="IKI34" s="204"/>
      <c r="IKJ34" s="204"/>
      <c r="IKK34" s="204"/>
      <c r="IKL34" s="204"/>
      <c r="IKM34" s="204"/>
      <c r="IKN34" s="204"/>
      <c r="IKO34" s="204"/>
      <c r="IKP34" s="204"/>
      <c r="IKQ34" s="204"/>
      <c r="IKR34" s="204"/>
      <c r="IKS34" s="204"/>
      <c r="IKT34" s="204"/>
      <c r="IKU34" s="204"/>
      <c r="IKV34" s="204"/>
      <c r="IKW34" s="204"/>
      <c r="IKX34" s="204"/>
      <c r="IKY34" s="204"/>
      <c r="IKZ34" s="204"/>
      <c r="ILA34" s="204"/>
      <c r="ILB34" s="204"/>
      <c r="ILC34" s="204"/>
      <c r="ILD34" s="204"/>
      <c r="ILE34" s="204"/>
      <c r="ILF34" s="204"/>
      <c r="ILG34" s="204"/>
      <c r="ILH34" s="204"/>
      <c r="ILI34" s="204"/>
      <c r="ILJ34" s="204"/>
      <c r="ILK34" s="204"/>
      <c r="ILL34" s="204"/>
      <c r="ILM34" s="204"/>
      <c r="ILN34" s="204"/>
      <c r="ILO34" s="204"/>
      <c r="ILP34" s="204"/>
      <c r="ILQ34" s="204"/>
      <c r="ILR34" s="204"/>
      <c r="ILS34" s="204"/>
      <c r="ILT34" s="204"/>
      <c r="ILU34" s="204"/>
      <c r="ILV34" s="204"/>
      <c r="ILW34" s="204"/>
      <c r="ILX34" s="204"/>
      <c r="ILY34" s="204"/>
      <c r="ILZ34" s="204"/>
      <c r="IMA34" s="204"/>
      <c r="IMB34" s="204"/>
      <c r="IMC34" s="204"/>
      <c r="IMD34" s="204"/>
      <c r="IME34" s="204"/>
      <c r="IMF34" s="204"/>
      <c r="IMG34" s="204"/>
      <c r="IMH34" s="204"/>
      <c r="IMI34" s="204"/>
      <c r="IMJ34" s="204"/>
      <c r="IMK34" s="204"/>
      <c r="IML34" s="204"/>
      <c r="IMM34" s="204"/>
      <c r="IMN34" s="204"/>
      <c r="IMO34" s="204"/>
      <c r="IMP34" s="204"/>
      <c r="IMQ34" s="204"/>
      <c r="IMR34" s="204"/>
      <c r="IMS34" s="204"/>
      <c r="IMT34" s="204"/>
      <c r="IMU34" s="204"/>
      <c r="IMV34" s="204"/>
      <c r="IMW34" s="204"/>
      <c r="IMX34" s="204"/>
      <c r="IMY34" s="204"/>
      <c r="IMZ34" s="204"/>
      <c r="INA34" s="204"/>
      <c r="INB34" s="204"/>
      <c r="INC34" s="204"/>
      <c r="IND34" s="204"/>
      <c r="INE34" s="204"/>
      <c r="INF34" s="204"/>
      <c r="ING34" s="204"/>
      <c r="INH34" s="204"/>
      <c r="INI34" s="204"/>
      <c r="INJ34" s="204"/>
      <c r="INK34" s="204"/>
      <c r="INL34" s="204"/>
      <c r="INM34" s="204"/>
      <c r="INN34" s="204"/>
      <c r="INO34" s="204"/>
      <c r="INP34" s="204"/>
      <c r="INQ34" s="204"/>
      <c r="INR34" s="204"/>
      <c r="INS34" s="204"/>
      <c r="INT34" s="204"/>
      <c r="INU34" s="204"/>
      <c r="INV34" s="204"/>
      <c r="INW34" s="204"/>
      <c r="INX34" s="204"/>
      <c r="INY34" s="204"/>
      <c r="INZ34" s="204"/>
      <c r="IOA34" s="204"/>
      <c r="IOB34" s="204"/>
      <c r="IOC34" s="204"/>
      <c r="IOD34" s="204"/>
      <c r="IOE34" s="204"/>
      <c r="IOF34" s="204"/>
      <c r="IOG34" s="204"/>
      <c r="IOH34" s="204"/>
      <c r="IOI34" s="204"/>
      <c r="IOJ34" s="204"/>
      <c r="IOK34" s="204"/>
      <c r="IOL34" s="204"/>
      <c r="IOM34" s="204"/>
      <c r="ION34" s="204"/>
      <c r="IOO34" s="204"/>
      <c r="IOP34" s="204"/>
      <c r="IOQ34" s="204"/>
      <c r="IOR34" s="204"/>
      <c r="IOS34" s="204"/>
      <c r="IOT34" s="204"/>
      <c r="IOU34" s="204"/>
      <c r="IOV34" s="204"/>
      <c r="IOW34" s="204"/>
      <c r="IOX34" s="204"/>
      <c r="IOY34" s="204"/>
      <c r="IOZ34" s="204"/>
      <c r="IPA34" s="204"/>
      <c r="IPB34" s="204"/>
      <c r="IPC34" s="204"/>
      <c r="IPD34" s="204"/>
      <c r="IPE34" s="204"/>
      <c r="IPF34" s="204"/>
      <c r="IPG34" s="204"/>
      <c r="IPH34" s="204"/>
      <c r="IPI34" s="204"/>
      <c r="IPJ34" s="204"/>
      <c r="IPK34" s="204"/>
      <c r="IPL34" s="204"/>
      <c r="IPM34" s="204"/>
      <c r="IPN34" s="204"/>
      <c r="IPO34" s="204"/>
      <c r="IPP34" s="204"/>
      <c r="IPQ34" s="204"/>
      <c r="IPR34" s="204"/>
      <c r="IPS34" s="204"/>
      <c r="IPT34" s="204"/>
      <c r="IPU34" s="204"/>
      <c r="IPV34" s="204"/>
      <c r="IPW34" s="204"/>
      <c r="IPX34" s="204"/>
      <c r="IPY34" s="204"/>
      <c r="IPZ34" s="204"/>
      <c r="IQA34" s="204"/>
      <c r="IQB34" s="204"/>
      <c r="IQC34" s="204"/>
      <c r="IQD34" s="204"/>
      <c r="IQE34" s="204"/>
      <c r="IQF34" s="204"/>
      <c r="IQG34" s="204"/>
      <c r="IQH34" s="204"/>
      <c r="IQI34" s="204"/>
      <c r="IQJ34" s="204"/>
      <c r="IQK34" s="204"/>
      <c r="IQL34" s="204"/>
      <c r="IQM34" s="204"/>
      <c r="IQN34" s="204"/>
      <c r="IQO34" s="204"/>
      <c r="IQP34" s="204"/>
      <c r="IQQ34" s="204"/>
      <c r="IQR34" s="204"/>
      <c r="IQS34" s="204"/>
      <c r="IQT34" s="204"/>
      <c r="IQU34" s="204"/>
      <c r="IQV34" s="204"/>
      <c r="IQW34" s="204"/>
      <c r="IQX34" s="204"/>
      <c r="IQY34" s="204"/>
      <c r="IQZ34" s="204"/>
      <c r="IRA34" s="204"/>
      <c r="IRB34" s="204"/>
      <c r="IRC34" s="204"/>
      <c r="IRD34" s="204"/>
      <c r="IRE34" s="204"/>
      <c r="IRF34" s="204"/>
      <c r="IRG34" s="204"/>
      <c r="IRH34" s="204"/>
      <c r="IRI34" s="204"/>
      <c r="IRJ34" s="204"/>
      <c r="IRK34" s="204"/>
      <c r="IRL34" s="204"/>
      <c r="IRM34" s="204"/>
      <c r="IRN34" s="204"/>
      <c r="IRO34" s="204"/>
      <c r="IRP34" s="204"/>
      <c r="IRQ34" s="204"/>
      <c r="IRR34" s="204"/>
      <c r="IRS34" s="204"/>
      <c r="IRT34" s="204"/>
      <c r="IRU34" s="204"/>
      <c r="IRV34" s="204"/>
      <c r="IRW34" s="204"/>
      <c r="IRX34" s="204"/>
      <c r="IRY34" s="204"/>
      <c r="IRZ34" s="204"/>
      <c r="ISA34" s="204"/>
      <c r="ISB34" s="204"/>
      <c r="ISC34" s="204"/>
      <c r="ISD34" s="204"/>
      <c r="ISE34" s="204"/>
      <c r="ISF34" s="204"/>
      <c r="ISG34" s="204"/>
      <c r="ISH34" s="204"/>
      <c r="ISI34" s="204"/>
      <c r="ISJ34" s="204"/>
      <c r="ISK34" s="204"/>
      <c r="ISL34" s="204"/>
      <c r="ISM34" s="204"/>
      <c r="ISN34" s="204"/>
      <c r="ISO34" s="204"/>
      <c r="ISP34" s="204"/>
      <c r="ISQ34" s="204"/>
      <c r="ISR34" s="204"/>
      <c r="ISS34" s="204"/>
      <c r="IST34" s="204"/>
      <c r="ISU34" s="204"/>
      <c r="ISV34" s="204"/>
      <c r="ISW34" s="204"/>
      <c r="ISX34" s="204"/>
      <c r="ISY34" s="204"/>
      <c r="ISZ34" s="204"/>
      <c r="ITA34" s="204"/>
      <c r="ITB34" s="204"/>
      <c r="ITC34" s="204"/>
      <c r="ITD34" s="204"/>
      <c r="ITE34" s="204"/>
      <c r="ITF34" s="204"/>
      <c r="ITG34" s="204"/>
      <c r="ITH34" s="204"/>
      <c r="ITI34" s="204"/>
      <c r="ITJ34" s="204"/>
      <c r="ITK34" s="204"/>
      <c r="ITL34" s="204"/>
      <c r="ITM34" s="204"/>
      <c r="ITN34" s="204"/>
      <c r="ITO34" s="204"/>
      <c r="ITP34" s="204"/>
      <c r="ITQ34" s="204"/>
      <c r="ITR34" s="204"/>
      <c r="ITS34" s="204"/>
      <c r="ITT34" s="204"/>
      <c r="ITU34" s="204"/>
      <c r="ITV34" s="204"/>
      <c r="ITW34" s="204"/>
      <c r="ITX34" s="204"/>
      <c r="ITY34" s="204"/>
      <c r="ITZ34" s="204"/>
      <c r="IUA34" s="204"/>
      <c r="IUB34" s="204"/>
      <c r="IUC34" s="204"/>
      <c r="IUD34" s="204"/>
      <c r="IUE34" s="204"/>
      <c r="IUF34" s="204"/>
      <c r="IUG34" s="204"/>
      <c r="IUH34" s="204"/>
      <c r="IUI34" s="204"/>
      <c r="IUJ34" s="204"/>
      <c r="IUK34" s="204"/>
      <c r="IUL34" s="204"/>
      <c r="IUM34" s="204"/>
      <c r="IUN34" s="204"/>
      <c r="IUO34" s="204"/>
      <c r="IUP34" s="204"/>
      <c r="IUQ34" s="204"/>
      <c r="IUR34" s="204"/>
      <c r="IUS34" s="204"/>
      <c r="IUT34" s="204"/>
      <c r="IUU34" s="204"/>
      <c r="IUV34" s="204"/>
      <c r="IUW34" s="204"/>
      <c r="IUX34" s="204"/>
      <c r="IUY34" s="204"/>
      <c r="IUZ34" s="204"/>
      <c r="IVA34" s="204"/>
      <c r="IVB34" s="204"/>
      <c r="IVC34" s="204"/>
      <c r="IVD34" s="204"/>
      <c r="IVE34" s="204"/>
      <c r="IVF34" s="204"/>
      <c r="IVG34" s="204"/>
      <c r="IVH34" s="204"/>
      <c r="IVI34" s="204"/>
      <c r="IVJ34" s="204"/>
      <c r="IVK34" s="204"/>
      <c r="IVL34" s="204"/>
      <c r="IVM34" s="204"/>
      <c r="IVN34" s="204"/>
      <c r="IVO34" s="204"/>
      <c r="IVP34" s="204"/>
      <c r="IVQ34" s="204"/>
      <c r="IVR34" s="204"/>
      <c r="IVS34" s="204"/>
      <c r="IVT34" s="204"/>
      <c r="IVU34" s="204"/>
      <c r="IVV34" s="204"/>
      <c r="IVW34" s="204"/>
      <c r="IVX34" s="204"/>
      <c r="IVY34" s="204"/>
      <c r="IVZ34" s="204"/>
      <c r="IWA34" s="204"/>
      <c r="IWB34" s="204"/>
      <c r="IWC34" s="204"/>
      <c r="IWD34" s="204"/>
      <c r="IWE34" s="204"/>
      <c r="IWF34" s="204"/>
      <c r="IWG34" s="204"/>
      <c r="IWH34" s="204"/>
      <c r="IWI34" s="204"/>
      <c r="IWJ34" s="204"/>
      <c r="IWK34" s="204"/>
      <c r="IWL34" s="204"/>
      <c r="IWM34" s="204"/>
      <c r="IWN34" s="204"/>
      <c r="IWO34" s="204"/>
      <c r="IWP34" s="204"/>
      <c r="IWQ34" s="204"/>
      <c r="IWR34" s="204"/>
      <c r="IWS34" s="204"/>
      <c r="IWT34" s="204"/>
      <c r="IWU34" s="204"/>
      <c r="IWV34" s="204"/>
      <c r="IWW34" s="204"/>
      <c r="IWX34" s="204"/>
      <c r="IWY34" s="204"/>
      <c r="IWZ34" s="204"/>
      <c r="IXA34" s="204"/>
      <c r="IXB34" s="204"/>
      <c r="IXC34" s="204"/>
      <c r="IXD34" s="204"/>
      <c r="IXE34" s="204"/>
      <c r="IXF34" s="204"/>
      <c r="IXG34" s="204"/>
      <c r="IXH34" s="204"/>
      <c r="IXI34" s="204"/>
      <c r="IXJ34" s="204"/>
      <c r="IXK34" s="204"/>
      <c r="IXL34" s="204"/>
      <c r="IXM34" s="204"/>
      <c r="IXN34" s="204"/>
      <c r="IXO34" s="204"/>
      <c r="IXP34" s="204"/>
      <c r="IXQ34" s="204"/>
      <c r="IXR34" s="204"/>
      <c r="IXS34" s="204"/>
      <c r="IXT34" s="204"/>
      <c r="IXU34" s="204"/>
      <c r="IXV34" s="204"/>
      <c r="IXW34" s="204"/>
      <c r="IXX34" s="204"/>
      <c r="IXY34" s="204"/>
      <c r="IXZ34" s="204"/>
      <c r="IYA34" s="204"/>
      <c r="IYB34" s="204"/>
      <c r="IYC34" s="204"/>
      <c r="IYD34" s="204"/>
      <c r="IYE34" s="204"/>
      <c r="IYF34" s="204"/>
      <c r="IYG34" s="204"/>
      <c r="IYH34" s="204"/>
      <c r="IYI34" s="204"/>
      <c r="IYJ34" s="204"/>
      <c r="IYK34" s="204"/>
      <c r="IYL34" s="204"/>
      <c r="IYM34" s="204"/>
      <c r="IYN34" s="204"/>
      <c r="IYO34" s="204"/>
      <c r="IYP34" s="204"/>
      <c r="IYQ34" s="204"/>
      <c r="IYR34" s="204"/>
      <c r="IYS34" s="204"/>
      <c r="IYT34" s="204"/>
      <c r="IYU34" s="204"/>
      <c r="IYV34" s="204"/>
      <c r="IYW34" s="204"/>
      <c r="IYX34" s="204"/>
      <c r="IYY34" s="204"/>
      <c r="IYZ34" s="204"/>
      <c r="IZA34" s="204"/>
      <c r="IZB34" s="204"/>
      <c r="IZC34" s="204"/>
      <c r="IZD34" s="204"/>
      <c r="IZE34" s="204"/>
      <c r="IZF34" s="204"/>
      <c r="IZG34" s="204"/>
      <c r="IZH34" s="204"/>
      <c r="IZI34" s="204"/>
      <c r="IZJ34" s="204"/>
      <c r="IZK34" s="204"/>
      <c r="IZL34" s="204"/>
      <c r="IZM34" s="204"/>
      <c r="IZN34" s="204"/>
      <c r="IZO34" s="204"/>
      <c r="IZP34" s="204"/>
      <c r="IZQ34" s="204"/>
      <c r="IZR34" s="204"/>
      <c r="IZS34" s="204"/>
      <c r="IZT34" s="204"/>
      <c r="IZU34" s="204"/>
      <c r="IZV34" s="204"/>
      <c r="IZW34" s="204"/>
      <c r="IZX34" s="204"/>
      <c r="IZY34" s="204"/>
      <c r="IZZ34" s="204"/>
      <c r="JAA34" s="204"/>
      <c r="JAB34" s="204"/>
      <c r="JAC34" s="204"/>
      <c r="JAD34" s="204"/>
      <c r="JAE34" s="204"/>
      <c r="JAF34" s="204"/>
      <c r="JAG34" s="204"/>
      <c r="JAH34" s="204"/>
      <c r="JAI34" s="204"/>
      <c r="JAJ34" s="204"/>
      <c r="JAK34" s="204"/>
      <c r="JAL34" s="204"/>
      <c r="JAM34" s="204"/>
      <c r="JAN34" s="204"/>
      <c r="JAO34" s="204"/>
      <c r="JAP34" s="204"/>
      <c r="JAQ34" s="204"/>
      <c r="JAR34" s="204"/>
      <c r="JAS34" s="204"/>
      <c r="JAT34" s="204"/>
      <c r="JAU34" s="204"/>
      <c r="JAV34" s="204"/>
      <c r="JAW34" s="204"/>
      <c r="JAX34" s="204"/>
      <c r="JAY34" s="204"/>
      <c r="JAZ34" s="204"/>
      <c r="JBA34" s="204"/>
      <c r="JBB34" s="204"/>
      <c r="JBC34" s="204"/>
      <c r="JBD34" s="204"/>
      <c r="JBE34" s="204"/>
      <c r="JBF34" s="204"/>
      <c r="JBG34" s="204"/>
      <c r="JBH34" s="204"/>
      <c r="JBI34" s="204"/>
      <c r="JBJ34" s="204"/>
      <c r="JBK34" s="204"/>
      <c r="JBL34" s="204"/>
      <c r="JBM34" s="204"/>
      <c r="JBN34" s="204"/>
      <c r="JBO34" s="204"/>
      <c r="JBP34" s="204"/>
      <c r="JBQ34" s="204"/>
      <c r="JBR34" s="204"/>
      <c r="JBS34" s="204"/>
      <c r="JBT34" s="204"/>
      <c r="JBU34" s="204"/>
      <c r="JBV34" s="204"/>
      <c r="JBW34" s="204"/>
      <c r="JBX34" s="204"/>
      <c r="JBY34" s="204"/>
      <c r="JBZ34" s="204"/>
      <c r="JCA34" s="204"/>
      <c r="JCB34" s="204"/>
      <c r="JCC34" s="204"/>
      <c r="JCD34" s="204"/>
      <c r="JCE34" s="204"/>
      <c r="JCF34" s="204"/>
      <c r="JCG34" s="204"/>
      <c r="JCH34" s="204"/>
      <c r="JCI34" s="204"/>
      <c r="JCJ34" s="204"/>
      <c r="JCK34" s="204"/>
      <c r="JCL34" s="204"/>
      <c r="JCM34" s="204"/>
      <c r="JCN34" s="204"/>
      <c r="JCO34" s="204"/>
      <c r="JCP34" s="204"/>
      <c r="JCQ34" s="204"/>
      <c r="JCR34" s="204"/>
      <c r="JCS34" s="204"/>
      <c r="JCT34" s="204"/>
      <c r="JCU34" s="204"/>
      <c r="JCV34" s="204"/>
      <c r="JCW34" s="204"/>
      <c r="JCX34" s="204"/>
      <c r="JCY34" s="204"/>
      <c r="JCZ34" s="204"/>
      <c r="JDA34" s="204"/>
      <c r="JDB34" s="204"/>
      <c r="JDC34" s="204"/>
      <c r="JDD34" s="204"/>
      <c r="JDE34" s="204"/>
      <c r="JDF34" s="204"/>
      <c r="JDG34" s="204"/>
      <c r="JDH34" s="204"/>
      <c r="JDI34" s="204"/>
      <c r="JDJ34" s="204"/>
      <c r="JDK34" s="204"/>
      <c r="JDL34" s="204"/>
      <c r="JDM34" s="204"/>
      <c r="JDN34" s="204"/>
      <c r="JDO34" s="204"/>
      <c r="JDP34" s="204"/>
      <c r="JDQ34" s="204"/>
      <c r="JDR34" s="204"/>
      <c r="JDS34" s="204"/>
      <c r="JDT34" s="204"/>
      <c r="JDU34" s="204"/>
      <c r="JDV34" s="204"/>
      <c r="JDW34" s="204"/>
      <c r="JDX34" s="204"/>
      <c r="JDY34" s="204"/>
      <c r="JDZ34" s="204"/>
      <c r="JEA34" s="204"/>
      <c r="JEB34" s="204"/>
      <c r="JEC34" s="204"/>
      <c r="JED34" s="204"/>
      <c r="JEE34" s="204"/>
      <c r="JEF34" s="204"/>
      <c r="JEG34" s="204"/>
      <c r="JEH34" s="204"/>
      <c r="JEI34" s="204"/>
      <c r="JEJ34" s="204"/>
      <c r="JEK34" s="204"/>
      <c r="JEL34" s="204"/>
      <c r="JEM34" s="204"/>
      <c r="JEN34" s="204"/>
      <c r="JEO34" s="204"/>
      <c r="JEP34" s="204"/>
      <c r="JEQ34" s="204"/>
      <c r="JER34" s="204"/>
      <c r="JES34" s="204"/>
      <c r="JET34" s="204"/>
      <c r="JEU34" s="204"/>
      <c r="JEV34" s="204"/>
      <c r="JEW34" s="204"/>
      <c r="JEX34" s="204"/>
      <c r="JEY34" s="204"/>
      <c r="JEZ34" s="204"/>
      <c r="JFA34" s="204"/>
      <c r="JFB34" s="204"/>
      <c r="JFC34" s="204"/>
      <c r="JFD34" s="204"/>
      <c r="JFE34" s="204"/>
      <c r="JFF34" s="204"/>
      <c r="JFG34" s="204"/>
      <c r="JFH34" s="204"/>
      <c r="JFI34" s="204"/>
      <c r="JFJ34" s="204"/>
      <c r="JFK34" s="204"/>
      <c r="JFL34" s="204"/>
      <c r="JFM34" s="204"/>
      <c r="JFN34" s="204"/>
      <c r="JFO34" s="204"/>
      <c r="JFP34" s="204"/>
      <c r="JFQ34" s="204"/>
      <c r="JFR34" s="204"/>
      <c r="JFS34" s="204"/>
      <c r="JFT34" s="204"/>
      <c r="JFU34" s="204"/>
      <c r="JFV34" s="204"/>
      <c r="JFW34" s="204"/>
      <c r="JFX34" s="204"/>
      <c r="JFY34" s="204"/>
      <c r="JFZ34" s="204"/>
      <c r="JGA34" s="204"/>
      <c r="JGB34" s="204"/>
      <c r="JGC34" s="204"/>
      <c r="JGD34" s="204"/>
      <c r="JGE34" s="204"/>
      <c r="JGF34" s="204"/>
      <c r="JGG34" s="204"/>
      <c r="JGH34" s="204"/>
      <c r="JGI34" s="204"/>
      <c r="JGJ34" s="204"/>
      <c r="JGK34" s="204"/>
      <c r="JGL34" s="204"/>
      <c r="JGM34" s="204"/>
      <c r="JGN34" s="204"/>
      <c r="JGO34" s="204"/>
      <c r="JGP34" s="204"/>
      <c r="JGQ34" s="204"/>
      <c r="JGR34" s="204"/>
      <c r="JGS34" s="204"/>
      <c r="JGT34" s="204"/>
      <c r="JGU34" s="204"/>
      <c r="JGV34" s="204"/>
      <c r="JGW34" s="204"/>
      <c r="JGX34" s="204"/>
      <c r="JGY34" s="204"/>
      <c r="JGZ34" s="204"/>
      <c r="JHA34" s="204"/>
      <c r="JHB34" s="204"/>
      <c r="JHC34" s="204"/>
      <c r="JHD34" s="204"/>
      <c r="JHE34" s="204"/>
      <c r="JHF34" s="204"/>
      <c r="JHG34" s="204"/>
      <c r="JHH34" s="204"/>
      <c r="JHI34" s="204"/>
      <c r="JHJ34" s="204"/>
      <c r="JHK34" s="204"/>
      <c r="JHL34" s="204"/>
      <c r="JHM34" s="204"/>
      <c r="JHN34" s="204"/>
      <c r="JHO34" s="204"/>
      <c r="JHP34" s="204"/>
      <c r="JHQ34" s="204"/>
      <c r="JHR34" s="204"/>
      <c r="JHS34" s="204"/>
      <c r="JHT34" s="204"/>
      <c r="JHU34" s="204"/>
      <c r="JHV34" s="204"/>
      <c r="JHW34" s="204"/>
      <c r="JHX34" s="204"/>
      <c r="JHY34" s="204"/>
      <c r="JHZ34" s="204"/>
      <c r="JIA34" s="204"/>
      <c r="JIB34" s="204"/>
      <c r="JIC34" s="204"/>
      <c r="JID34" s="204"/>
      <c r="JIE34" s="204"/>
      <c r="JIF34" s="204"/>
      <c r="JIG34" s="204"/>
      <c r="JIH34" s="204"/>
      <c r="JII34" s="204"/>
      <c r="JIJ34" s="204"/>
      <c r="JIK34" s="204"/>
      <c r="JIL34" s="204"/>
      <c r="JIM34" s="204"/>
      <c r="JIN34" s="204"/>
      <c r="JIO34" s="204"/>
      <c r="JIP34" s="204"/>
      <c r="JIQ34" s="204"/>
      <c r="JIR34" s="204"/>
      <c r="JIS34" s="204"/>
      <c r="JIT34" s="204"/>
      <c r="JIU34" s="204"/>
      <c r="JIV34" s="204"/>
      <c r="JIW34" s="204"/>
      <c r="JIX34" s="204"/>
      <c r="JIY34" s="204"/>
      <c r="JIZ34" s="204"/>
      <c r="JJA34" s="204"/>
      <c r="JJB34" s="204"/>
      <c r="JJC34" s="204"/>
      <c r="JJD34" s="204"/>
      <c r="JJE34" s="204"/>
      <c r="JJF34" s="204"/>
      <c r="JJG34" s="204"/>
      <c r="JJH34" s="204"/>
      <c r="JJI34" s="204"/>
      <c r="JJJ34" s="204"/>
      <c r="JJK34" s="204"/>
      <c r="JJL34" s="204"/>
      <c r="JJM34" s="204"/>
      <c r="JJN34" s="204"/>
      <c r="JJO34" s="204"/>
      <c r="JJP34" s="204"/>
      <c r="JJQ34" s="204"/>
      <c r="JJR34" s="204"/>
      <c r="JJS34" s="204"/>
      <c r="JJT34" s="204"/>
      <c r="JJU34" s="204"/>
      <c r="JJV34" s="204"/>
      <c r="JJW34" s="204"/>
      <c r="JJX34" s="204"/>
      <c r="JJY34" s="204"/>
      <c r="JJZ34" s="204"/>
      <c r="JKA34" s="204"/>
      <c r="JKB34" s="204"/>
      <c r="JKC34" s="204"/>
      <c r="JKD34" s="204"/>
      <c r="JKE34" s="204"/>
      <c r="JKF34" s="204"/>
      <c r="JKG34" s="204"/>
      <c r="JKH34" s="204"/>
      <c r="JKI34" s="204"/>
      <c r="JKJ34" s="204"/>
      <c r="JKK34" s="204"/>
      <c r="JKL34" s="204"/>
      <c r="JKM34" s="204"/>
      <c r="JKN34" s="204"/>
      <c r="JKO34" s="204"/>
      <c r="JKP34" s="204"/>
      <c r="JKQ34" s="204"/>
      <c r="JKR34" s="204"/>
      <c r="JKS34" s="204"/>
      <c r="JKT34" s="204"/>
      <c r="JKU34" s="204"/>
      <c r="JKV34" s="204"/>
      <c r="JKW34" s="204"/>
      <c r="JKX34" s="204"/>
      <c r="JKY34" s="204"/>
      <c r="JKZ34" s="204"/>
      <c r="JLA34" s="204"/>
      <c r="JLB34" s="204"/>
      <c r="JLC34" s="204"/>
      <c r="JLD34" s="204"/>
      <c r="JLE34" s="204"/>
      <c r="JLF34" s="204"/>
      <c r="JLG34" s="204"/>
      <c r="JLH34" s="204"/>
      <c r="JLI34" s="204"/>
      <c r="JLJ34" s="204"/>
      <c r="JLK34" s="204"/>
      <c r="JLL34" s="204"/>
      <c r="JLM34" s="204"/>
      <c r="JLN34" s="204"/>
      <c r="JLO34" s="204"/>
      <c r="JLP34" s="204"/>
      <c r="JLQ34" s="204"/>
      <c r="JLR34" s="204"/>
      <c r="JLS34" s="204"/>
      <c r="JLT34" s="204"/>
      <c r="JLU34" s="204"/>
      <c r="JLV34" s="204"/>
      <c r="JLW34" s="204"/>
      <c r="JLX34" s="204"/>
      <c r="JLY34" s="204"/>
      <c r="JLZ34" s="204"/>
      <c r="JMA34" s="204"/>
      <c r="JMB34" s="204"/>
      <c r="JMC34" s="204"/>
      <c r="JMD34" s="204"/>
      <c r="JME34" s="204"/>
      <c r="JMF34" s="204"/>
      <c r="JMG34" s="204"/>
      <c r="JMH34" s="204"/>
      <c r="JMI34" s="204"/>
      <c r="JMJ34" s="204"/>
      <c r="JMK34" s="204"/>
      <c r="JML34" s="204"/>
      <c r="JMM34" s="204"/>
      <c r="JMN34" s="204"/>
      <c r="JMO34" s="204"/>
      <c r="JMP34" s="204"/>
      <c r="JMQ34" s="204"/>
      <c r="JMR34" s="204"/>
      <c r="JMS34" s="204"/>
      <c r="JMT34" s="204"/>
      <c r="JMU34" s="204"/>
      <c r="JMV34" s="204"/>
      <c r="JMW34" s="204"/>
      <c r="JMX34" s="204"/>
      <c r="JMY34" s="204"/>
      <c r="JMZ34" s="204"/>
      <c r="JNA34" s="204"/>
      <c r="JNB34" s="204"/>
      <c r="JNC34" s="204"/>
      <c r="JND34" s="204"/>
      <c r="JNE34" s="204"/>
      <c r="JNF34" s="204"/>
      <c r="JNG34" s="204"/>
      <c r="JNH34" s="204"/>
      <c r="JNI34" s="204"/>
      <c r="JNJ34" s="204"/>
      <c r="JNK34" s="204"/>
      <c r="JNL34" s="204"/>
      <c r="JNM34" s="204"/>
      <c r="JNN34" s="204"/>
      <c r="JNO34" s="204"/>
      <c r="JNP34" s="204"/>
      <c r="JNQ34" s="204"/>
      <c r="JNR34" s="204"/>
      <c r="JNS34" s="204"/>
      <c r="JNT34" s="204"/>
      <c r="JNU34" s="204"/>
      <c r="JNV34" s="204"/>
      <c r="JNW34" s="204"/>
      <c r="JNX34" s="204"/>
      <c r="JNY34" s="204"/>
      <c r="JNZ34" s="204"/>
      <c r="JOA34" s="204"/>
      <c r="JOB34" s="204"/>
      <c r="JOC34" s="204"/>
      <c r="JOD34" s="204"/>
      <c r="JOE34" s="204"/>
      <c r="JOF34" s="204"/>
      <c r="JOG34" s="204"/>
      <c r="JOH34" s="204"/>
      <c r="JOI34" s="204"/>
      <c r="JOJ34" s="204"/>
      <c r="JOK34" s="204"/>
      <c r="JOL34" s="204"/>
      <c r="JOM34" s="204"/>
      <c r="JON34" s="204"/>
      <c r="JOO34" s="204"/>
      <c r="JOP34" s="204"/>
      <c r="JOQ34" s="204"/>
      <c r="JOR34" s="204"/>
      <c r="JOS34" s="204"/>
      <c r="JOT34" s="204"/>
      <c r="JOU34" s="204"/>
      <c r="JOV34" s="204"/>
      <c r="JOW34" s="204"/>
      <c r="JOX34" s="204"/>
      <c r="JOY34" s="204"/>
      <c r="JOZ34" s="204"/>
      <c r="JPA34" s="204"/>
      <c r="JPB34" s="204"/>
      <c r="JPC34" s="204"/>
      <c r="JPD34" s="204"/>
      <c r="JPE34" s="204"/>
      <c r="JPF34" s="204"/>
      <c r="JPG34" s="204"/>
      <c r="JPH34" s="204"/>
      <c r="JPI34" s="204"/>
      <c r="JPJ34" s="204"/>
      <c r="JPK34" s="204"/>
      <c r="JPL34" s="204"/>
      <c r="JPM34" s="204"/>
      <c r="JPN34" s="204"/>
      <c r="JPO34" s="204"/>
      <c r="JPP34" s="204"/>
      <c r="JPQ34" s="204"/>
      <c r="JPR34" s="204"/>
      <c r="JPS34" s="204"/>
      <c r="JPT34" s="204"/>
      <c r="JPU34" s="204"/>
      <c r="JPV34" s="204"/>
      <c r="JPW34" s="204"/>
      <c r="JPX34" s="204"/>
      <c r="JPY34" s="204"/>
      <c r="JPZ34" s="204"/>
      <c r="JQA34" s="204"/>
      <c r="JQB34" s="204"/>
      <c r="JQC34" s="204"/>
      <c r="JQD34" s="204"/>
      <c r="JQE34" s="204"/>
      <c r="JQF34" s="204"/>
      <c r="JQG34" s="204"/>
      <c r="JQH34" s="204"/>
      <c r="JQI34" s="204"/>
      <c r="JQJ34" s="204"/>
      <c r="JQK34" s="204"/>
      <c r="JQL34" s="204"/>
      <c r="JQM34" s="204"/>
      <c r="JQN34" s="204"/>
      <c r="JQO34" s="204"/>
      <c r="JQP34" s="204"/>
      <c r="JQQ34" s="204"/>
      <c r="JQR34" s="204"/>
      <c r="JQS34" s="204"/>
      <c r="JQT34" s="204"/>
      <c r="JQU34" s="204"/>
      <c r="JQV34" s="204"/>
      <c r="JQW34" s="204"/>
      <c r="JQX34" s="204"/>
      <c r="JQY34" s="204"/>
      <c r="JQZ34" s="204"/>
      <c r="JRA34" s="204"/>
      <c r="JRB34" s="204"/>
      <c r="JRC34" s="204"/>
      <c r="JRD34" s="204"/>
      <c r="JRE34" s="204"/>
      <c r="JRF34" s="204"/>
      <c r="JRG34" s="204"/>
      <c r="JRH34" s="204"/>
      <c r="JRI34" s="204"/>
      <c r="JRJ34" s="204"/>
      <c r="JRK34" s="204"/>
      <c r="JRL34" s="204"/>
      <c r="JRM34" s="204"/>
      <c r="JRN34" s="204"/>
      <c r="JRO34" s="204"/>
      <c r="JRP34" s="204"/>
      <c r="JRQ34" s="204"/>
      <c r="JRR34" s="204"/>
      <c r="JRS34" s="204"/>
      <c r="JRT34" s="204"/>
      <c r="JRU34" s="204"/>
      <c r="JRV34" s="204"/>
      <c r="JRW34" s="204"/>
      <c r="JRX34" s="204"/>
      <c r="JRY34" s="204"/>
      <c r="JRZ34" s="204"/>
      <c r="JSA34" s="204"/>
      <c r="JSB34" s="204"/>
      <c r="JSC34" s="204"/>
      <c r="JSD34" s="204"/>
      <c r="JSE34" s="204"/>
      <c r="JSF34" s="204"/>
      <c r="JSG34" s="204"/>
      <c r="JSH34" s="204"/>
      <c r="JSI34" s="204"/>
      <c r="JSJ34" s="204"/>
      <c r="JSK34" s="204"/>
      <c r="JSL34" s="204"/>
      <c r="JSM34" s="204"/>
      <c r="JSN34" s="204"/>
      <c r="JSO34" s="204"/>
      <c r="JSP34" s="204"/>
      <c r="JSQ34" s="204"/>
      <c r="JSR34" s="204"/>
      <c r="JSS34" s="204"/>
      <c r="JST34" s="204"/>
      <c r="JSU34" s="204"/>
      <c r="JSV34" s="204"/>
      <c r="JSW34" s="204"/>
      <c r="JSX34" s="204"/>
      <c r="JSY34" s="204"/>
      <c r="JSZ34" s="204"/>
      <c r="JTA34" s="204"/>
      <c r="JTB34" s="204"/>
      <c r="JTC34" s="204"/>
      <c r="JTD34" s="204"/>
      <c r="JTE34" s="204"/>
      <c r="JTF34" s="204"/>
      <c r="JTG34" s="204"/>
      <c r="JTH34" s="204"/>
      <c r="JTI34" s="204"/>
      <c r="JTJ34" s="204"/>
      <c r="JTK34" s="204"/>
      <c r="JTL34" s="204"/>
      <c r="JTM34" s="204"/>
      <c r="JTN34" s="204"/>
      <c r="JTO34" s="204"/>
      <c r="JTP34" s="204"/>
      <c r="JTQ34" s="204"/>
      <c r="JTR34" s="204"/>
      <c r="JTS34" s="204"/>
      <c r="JTT34" s="204"/>
      <c r="JTU34" s="204"/>
      <c r="JTV34" s="204"/>
      <c r="JTW34" s="204"/>
      <c r="JTX34" s="204"/>
      <c r="JTY34" s="204"/>
      <c r="JTZ34" s="204"/>
      <c r="JUA34" s="204"/>
      <c r="JUB34" s="204"/>
      <c r="JUC34" s="204"/>
      <c r="JUD34" s="204"/>
      <c r="JUE34" s="204"/>
      <c r="JUF34" s="204"/>
      <c r="JUG34" s="204"/>
      <c r="JUH34" s="204"/>
      <c r="JUI34" s="204"/>
      <c r="JUJ34" s="204"/>
      <c r="JUK34" s="204"/>
      <c r="JUL34" s="204"/>
      <c r="JUM34" s="204"/>
      <c r="JUN34" s="204"/>
      <c r="JUO34" s="204"/>
      <c r="JUP34" s="204"/>
      <c r="JUQ34" s="204"/>
      <c r="JUR34" s="204"/>
      <c r="JUS34" s="204"/>
      <c r="JUT34" s="204"/>
      <c r="JUU34" s="204"/>
      <c r="JUV34" s="204"/>
      <c r="JUW34" s="204"/>
      <c r="JUX34" s="204"/>
      <c r="JUY34" s="204"/>
      <c r="JUZ34" s="204"/>
      <c r="JVA34" s="204"/>
      <c r="JVB34" s="204"/>
      <c r="JVC34" s="204"/>
      <c r="JVD34" s="204"/>
      <c r="JVE34" s="204"/>
      <c r="JVF34" s="204"/>
      <c r="JVG34" s="204"/>
      <c r="JVH34" s="204"/>
      <c r="JVI34" s="204"/>
      <c r="JVJ34" s="204"/>
      <c r="JVK34" s="204"/>
      <c r="JVL34" s="204"/>
      <c r="JVM34" s="204"/>
      <c r="JVN34" s="204"/>
      <c r="JVO34" s="204"/>
      <c r="JVP34" s="204"/>
      <c r="JVQ34" s="204"/>
      <c r="JVR34" s="204"/>
      <c r="JVS34" s="204"/>
      <c r="JVT34" s="204"/>
      <c r="JVU34" s="204"/>
      <c r="JVV34" s="204"/>
      <c r="JVW34" s="204"/>
      <c r="JVX34" s="204"/>
      <c r="JVY34" s="204"/>
      <c r="JVZ34" s="204"/>
      <c r="JWA34" s="204"/>
      <c r="JWB34" s="204"/>
      <c r="JWC34" s="204"/>
      <c r="JWD34" s="204"/>
      <c r="JWE34" s="204"/>
      <c r="JWF34" s="204"/>
      <c r="JWG34" s="204"/>
      <c r="JWH34" s="204"/>
      <c r="JWI34" s="204"/>
      <c r="JWJ34" s="204"/>
      <c r="JWK34" s="204"/>
      <c r="JWL34" s="204"/>
      <c r="JWM34" s="204"/>
      <c r="JWN34" s="204"/>
      <c r="JWO34" s="204"/>
      <c r="JWP34" s="204"/>
      <c r="JWQ34" s="204"/>
      <c r="JWR34" s="204"/>
      <c r="JWS34" s="204"/>
      <c r="JWT34" s="204"/>
      <c r="JWU34" s="204"/>
      <c r="JWV34" s="204"/>
      <c r="JWW34" s="204"/>
      <c r="JWX34" s="204"/>
      <c r="JWY34" s="204"/>
      <c r="JWZ34" s="204"/>
      <c r="JXA34" s="204"/>
      <c r="JXB34" s="204"/>
      <c r="JXC34" s="204"/>
      <c r="JXD34" s="204"/>
      <c r="JXE34" s="204"/>
      <c r="JXF34" s="204"/>
      <c r="JXG34" s="204"/>
      <c r="JXH34" s="204"/>
      <c r="JXI34" s="204"/>
      <c r="JXJ34" s="204"/>
      <c r="JXK34" s="204"/>
      <c r="JXL34" s="204"/>
      <c r="JXM34" s="204"/>
      <c r="JXN34" s="204"/>
      <c r="JXO34" s="204"/>
      <c r="JXP34" s="204"/>
      <c r="JXQ34" s="204"/>
      <c r="JXR34" s="204"/>
      <c r="JXS34" s="204"/>
      <c r="JXT34" s="204"/>
      <c r="JXU34" s="204"/>
      <c r="JXV34" s="204"/>
      <c r="JXW34" s="204"/>
      <c r="JXX34" s="204"/>
      <c r="JXY34" s="204"/>
      <c r="JXZ34" s="204"/>
      <c r="JYA34" s="204"/>
      <c r="JYB34" s="204"/>
      <c r="JYC34" s="204"/>
      <c r="JYD34" s="204"/>
      <c r="JYE34" s="204"/>
      <c r="JYF34" s="204"/>
      <c r="JYG34" s="204"/>
      <c r="JYH34" s="204"/>
      <c r="JYI34" s="204"/>
      <c r="JYJ34" s="204"/>
      <c r="JYK34" s="204"/>
      <c r="JYL34" s="204"/>
      <c r="JYM34" s="204"/>
      <c r="JYN34" s="204"/>
      <c r="JYO34" s="204"/>
      <c r="JYP34" s="204"/>
      <c r="JYQ34" s="204"/>
      <c r="JYR34" s="204"/>
      <c r="JYS34" s="204"/>
      <c r="JYT34" s="204"/>
      <c r="JYU34" s="204"/>
      <c r="JYV34" s="204"/>
      <c r="JYW34" s="204"/>
      <c r="JYX34" s="204"/>
      <c r="JYY34" s="204"/>
      <c r="JYZ34" s="204"/>
      <c r="JZA34" s="204"/>
      <c r="JZB34" s="204"/>
      <c r="JZC34" s="204"/>
      <c r="JZD34" s="204"/>
      <c r="JZE34" s="204"/>
      <c r="JZF34" s="204"/>
      <c r="JZG34" s="204"/>
      <c r="JZH34" s="204"/>
      <c r="JZI34" s="204"/>
      <c r="JZJ34" s="204"/>
      <c r="JZK34" s="204"/>
      <c r="JZL34" s="204"/>
      <c r="JZM34" s="204"/>
      <c r="JZN34" s="204"/>
      <c r="JZO34" s="204"/>
      <c r="JZP34" s="204"/>
      <c r="JZQ34" s="204"/>
      <c r="JZR34" s="204"/>
      <c r="JZS34" s="204"/>
      <c r="JZT34" s="204"/>
      <c r="JZU34" s="204"/>
      <c r="JZV34" s="204"/>
      <c r="JZW34" s="204"/>
      <c r="JZX34" s="204"/>
      <c r="JZY34" s="204"/>
      <c r="JZZ34" s="204"/>
      <c r="KAA34" s="204"/>
      <c r="KAB34" s="204"/>
      <c r="KAC34" s="204"/>
      <c r="KAD34" s="204"/>
      <c r="KAE34" s="204"/>
      <c r="KAF34" s="204"/>
      <c r="KAG34" s="204"/>
      <c r="KAH34" s="204"/>
      <c r="KAI34" s="204"/>
      <c r="KAJ34" s="204"/>
      <c r="KAK34" s="204"/>
      <c r="KAL34" s="204"/>
      <c r="KAM34" s="204"/>
      <c r="KAN34" s="204"/>
      <c r="KAO34" s="204"/>
      <c r="KAP34" s="204"/>
      <c r="KAQ34" s="204"/>
      <c r="KAR34" s="204"/>
      <c r="KAS34" s="204"/>
      <c r="KAT34" s="204"/>
      <c r="KAU34" s="204"/>
      <c r="KAV34" s="204"/>
      <c r="KAW34" s="204"/>
      <c r="KAX34" s="204"/>
      <c r="KAY34" s="204"/>
      <c r="KAZ34" s="204"/>
      <c r="KBA34" s="204"/>
      <c r="KBB34" s="204"/>
      <c r="KBC34" s="204"/>
      <c r="KBD34" s="204"/>
      <c r="KBE34" s="204"/>
      <c r="KBF34" s="204"/>
      <c r="KBG34" s="204"/>
      <c r="KBH34" s="204"/>
      <c r="KBI34" s="204"/>
      <c r="KBJ34" s="204"/>
      <c r="KBK34" s="204"/>
      <c r="KBL34" s="204"/>
      <c r="KBM34" s="204"/>
      <c r="KBN34" s="204"/>
      <c r="KBO34" s="204"/>
      <c r="KBP34" s="204"/>
      <c r="KBQ34" s="204"/>
      <c r="KBR34" s="204"/>
      <c r="KBS34" s="204"/>
      <c r="KBT34" s="204"/>
      <c r="KBU34" s="204"/>
      <c r="KBV34" s="204"/>
      <c r="KBW34" s="204"/>
      <c r="KBX34" s="204"/>
      <c r="KBY34" s="204"/>
      <c r="KBZ34" s="204"/>
      <c r="KCA34" s="204"/>
      <c r="KCB34" s="204"/>
      <c r="KCC34" s="204"/>
      <c r="KCD34" s="204"/>
      <c r="KCE34" s="204"/>
      <c r="KCF34" s="204"/>
      <c r="KCG34" s="204"/>
      <c r="KCH34" s="204"/>
      <c r="KCI34" s="204"/>
      <c r="KCJ34" s="204"/>
      <c r="KCK34" s="204"/>
      <c r="KCL34" s="204"/>
      <c r="KCM34" s="204"/>
      <c r="KCN34" s="204"/>
      <c r="KCO34" s="204"/>
      <c r="KCP34" s="204"/>
      <c r="KCQ34" s="204"/>
      <c r="KCR34" s="204"/>
      <c r="KCS34" s="204"/>
      <c r="KCT34" s="204"/>
      <c r="KCU34" s="204"/>
      <c r="KCV34" s="204"/>
      <c r="KCW34" s="204"/>
      <c r="KCX34" s="204"/>
      <c r="KCY34" s="204"/>
      <c r="KCZ34" s="204"/>
      <c r="KDA34" s="204"/>
      <c r="KDB34" s="204"/>
      <c r="KDC34" s="204"/>
      <c r="KDD34" s="204"/>
      <c r="KDE34" s="204"/>
      <c r="KDF34" s="204"/>
      <c r="KDG34" s="204"/>
      <c r="KDH34" s="204"/>
      <c r="KDI34" s="204"/>
      <c r="KDJ34" s="204"/>
      <c r="KDK34" s="204"/>
      <c r="KDL34" s="204"/>
      <c r="KDM34" s="204"/>
      <c r="KDN34" s="204"/>
      <c r="KDO34" s="204"/>
      <c r="KDP34" s="204"/>
      <c r="KDQ34" s="204"/>
      <c r="KDR34" s="204"/>
      <c r="KDS34" s="204"/>
      <c r="KDT34" s="204"/>
      <c r="KDU34" s="204"/>
      <c r="KDV34" s="204"/>
      <c r="KDW34" s="204"/>
      <c r="KDX34" s="204"/>
      <c r="KDY34" s="204"/>
      <c r="KDZ34" s="204"/>
      <c r="KEA34" s="204"/>
      <c r="KEB34" s="204"/>
      <c r="KEC34" s="204"/>
      <c r="KED34" s="204"/>
      <c r="KEE34" s="204"/>
      <c r="KEF34" s="204"/>
      <c r="KEG34" s="204"/>
      <c r="KEH34" s="204"/>
      <c r="KEI34" s="204"/>
      <c r="KEJ34" s="204"/>
      <c r="KEK34" s="204"/>
      <c r="KEL34" s="204"/>
      <c r="KEM34" s="204"/>
      <c r="KEN34" s="204"/>
      <c r="KEO34" s="204"/>
      <c r="KEP34" s="204"/>
      <c r="KEQ34" s="204"/>
      <c r="KER34" s="204"/>
      <c r="KES34" s="204"/>
      <c r="KET34" s="204"/>
      <c r="KEU34" s="204"/>
      <c r="KEV34" s="204"/>
      <c r="KEW34" s="204"/>
      <c r="KEX34" s="204"/>
      <c r="KEY34" s="204"/>
      <c r="KEZ34" s="204"/>
      <c r="KFA34" s="204"/>
      <c r="KFB34" s="204"/>
      <c r="KFC34" s="204"/>
      <c r="KFD34" s="204"/>
      <c r="KFE34" s="204"/>
      <c r="KFF34" s="204"/>
      <c r="KFG34" s="204"/>
      <c r="KFH34" s="204"/>
      <c r="KFI34" s="204"/>
      <c r="KFJ34" s="204"/>
      <c r="KFK34" s="204"/>
      <c r="KFL34" s="204"/>
      <c r="KFM34" s="204"/>
      <c r="KFN34" s="204"/>
      <c r="KFO34" s="204"/>
      <c r="KFP34" s="204"/>
      <c r="KFQ34" s="204"/>
      <c r="KFR34" s="204"/>
      <c r="KFS34" s="204"/>
      <c r="KFT34" s="204"/>
      <c r="KFU34" s="204"/>
      <c r="KFV34" s="204"/>
      <c r="KFW34" s="204"/>
      <c r="KFX34" s="204"/>
      <c r="KFY34" s="204"/>
      <c r="KFZ34" s="204"/>
      <c r="KGA34" s="204"/>
      <c r="KGB34" s="204"/>
      <c r="KGC34" s="204"/>
      <c r="KGD34" s="204"/>
      <c r="KGE34" s="204"/>
      <c r="KGF34" s="204"/>
      <c r="KGG34" s="204"/>
      <c r="KGH34" s="204"/>
      <c r="KGI34" s="204"/>
      <c r="KGJ34" s="204"/>
      <c r="KGK34" s="204"/>
      <c r="KGL34" s="204"/>
      <c r="KGM34" s="204"/>
      <c r="KGN34" s="204"/>
      <c r="KGO34" s="204"/>
      <c r="KGP34" s="204"/>
      <c r="KGQ34" s="204"/>
      <c r="KGR34" s="204"/>
      <c r="KGS34" s="204"/>
      <c r="KGT34" s="204"/>
      <c r="KGU34" s="204"/>
      <c r="KGV34" s="204"/>
      <c r="KGW34" s="204"/>
      <c r="KGX34" s="204"/>
      <c r="KGY34" s="204"/>
      <c r="KGZ34" s="204"/>
      <c r="KHA34" s="204"/>
      <c r="KHB34" s="204"/>
      <c r="KHC34" s="204"/>
      <c r="KHD34" s="204"/>
      <c r="KHE34" s="204"/>
      <c r="KHF34" s="204"/>
      <c r="KHG34" s="204"/>
      <c r="KHH34" s="204"/>
      <c r="KHI34" s="204"/>
      <c r="KHJ34" s="204"/>
      <c r="KHK34" s="204"/>
      <c r="KHL34" s="204"/>
      <c r="KHM34" s="204"/>
      <c r="KHN34" s="204"/>
      <c r="KHO34" s="204"/>
      <c r="KHP34" s="204"/>
      <c r="KHQ34" s="204"/>
      <c r="KHR34" s="204"/>
      <c r="KHS34" s="204"/>
      <c r="KHT34" s="204"/>
      <c r="KHU34" s="204"/>
      <c r="KHV34" s="204"/>
      <c r="KHW34" s="204"/>
      <c r="KHX34" s="204"/>
      <c r="KHY34" s="204"/>
      <c r="KHZ34" s="204"/>
      <c r="KIA34" s="204"/>
      <c r="KIB34" s="204"/>
      <c r="KIC34" s="204"/>
      <c r="KID34" s="204"/>
      <c r="KIE34" s="204"/>
      <c r="KIF34" s="204"/>
      <c r="KIG34" s="204"/>
      <c r="KIH34" s="204"/>
      <c r="KII34" s="204"/>
      <c r="KIJ34" s="204"/>
      <c r="KIK34" s="204"/>
      <c r="KIL34" s="204"/>
      <c r="KIM34" s="204"/>
      <c r="KIN34" s="204"/>
      <c r="KIO34" s="204"/>
      <c r="KIP34" s="204"/>
      <c r="KIQ34" s="204"/>
      <c r="KIR34" s="204"/>
      <c r="KIS34" s="204"/>
      <c r="KIT34" s="204"/>
      <c r="KIU34" s="204"/>
      <c r="KIV34" s="204"/>
      <c r="KIW34" s="204"/>
      <c r="KIX34" s="204"/>
      <c r="KIY34" s="204"/>
      <c r="KIZ34" s="204"/>
      <c r="KJA34" s="204"/>
      <c r="KJB34" s="204"/>
      <c r="KJC34" s="204"/>
      <c r="KJD34" s="204"/>
      <c r="KJE34" s="204"/>
      <c r="KJF34" s="204"/>
      <c r="KJG34" s="204"/>
      <c r="KJH34" s="204"/>
      <c r="KJI34" s="204"/>
      <c r="KJJ34" s="204"/>
      <c r="KJK34" s="204"/>
      <c r="KJL34" s="204"/>
      <c r="KJM34" s="204"/>
      <c r="KJN34" s="204"/>
      <c r="KJO34" s="204"/>
      <c r="KJP34" s="204"/>
      <c r="KJQ34" s="204"/>
      <c r="KJR34" s="204"/>
      <c r="KJS34" s="204"/>
      <c r="KJT34" s="204"/>
      <c r="KJU34" s="204"/>
      <c r="KJV34" s="204"/>
      <c r="KJW34" s="204"/>
      <c r="KJX34" s="204"/>
      <c r="KJY34" s="204"/>
      <c r="KJZ34" s="204"/>
      <c r="KKA34" s="204"/>
      <c r="KKB34" s="204"/>
      <c r="KKC34" s="204"/>
      <c r="KKD34" s="204"/>
      <c r="KKE34" s="204"/>
      <c r="KKF34" s="204"/>
      <c r="KKG34" s="204"/>
      <c r="KKH34" s="204"/>
      <c r="KKI34" s="204"/>
      <c r="KKJ34" s="204"/>
      <c r="KKK34" s="204"/>
      <c r="KKL34" s="204"/>
      <c r="KKM34" s="204"/>
      <c r="KKN34" s="204"/>
      <c r="KKO34" s="204"/>
      <c r="KKP34" s="204"/>
      <c r="KKQ34" s="204"/>
      <c r="KKR34" s="204"/>
      <c r="KKS34" s="204"/>
      <c r="KKT34" s="204"/>
      <c r="KKU34" s="204"/>
      <c r="KKV34" s="204"/>
      <c r="KKW34" s="204"/>
      <c r="KKX34" s="204"/>
      <c r="KKY34" s="204"/>
      <c r="KKZ34" s="204"/>
      <c r="KLA34" s="204"/>
      <c r="KLB34" s="204"/>
      <c r="KLC34" s="204"/>
      <c r="KLD34" s="204"/>
      <c r="KLE34" s="204"/>
      <c r="KLF34" s="204"/>
      <c r="KLG34" s="204"/>
      <c r="KLH34" s="204"/>
      <c r="KLI34" s="204"/>
      <c r="KLJ34" s="204"/>
      <c r="KLK34" s="204"/>
      <c r="KLL34" s="204"/>
      <c r="KLM34" s="204"/>
      <c r="KLN34" s="204"/>
      <c r="KLO34" s="204"/>
      <c r="KLP34" s="204"/>
      <c r="KLQ34" s="204"/>
      <c r="KLR34" s="204"/>
      <c r="KLS34" s="204"/>
      <c r="KLT34" s="204"/>
      <c r="KLU34" s="204"/>
      <c r="KLV34" s="204"/>
      <c r="KLW34" s="204"/>
      <c r="KLX34" s="204"/>
      <c r="KLY34" s="204"/>
      <c r="KLZ34" s="204"/>
      <c r="KMA34" s="204"/>
      <c r="KMB34" s="204"/>
      <c r="KMC34" s="204"/>
      <c r="KMD34" s="204"/>
      <c r="KME34" s="204"/>
      <c r="KMF34" s="204"/>
      <c r="KMG34" s="204"/>
      <c r="KMH34" s="204"/>
      <c r="KMI34" s="204"/>
      <c r="KMJ34" s="204"/>
      <c r="KMK34" s="204"/>
      <c r="KML34" s="204"/>
      <c r="KMM34" s="204"/>
      <c r="KMN34" s="204"/>
      <c r="KMO34" s="204"/>
      <c r="KMP34" s="204"/>
      <c r="KMQ34" s="204"/>
      <c r="KMR34" s="204"/>
      <c r="KMS34" s="204"/>
      <c r="KMT34" s="204"/>
      <c r="KMU34" s="204"/>
      <c r="KMV34" s="204"/>
      <c r="KMW34" s="204"/>
      <c r="KMX34" s="204"/>
      <c r="KMY34" s="204"/>
      <c r="KMZ34" s="204"/>
      <c r="KNA34" s="204"/>
      <c r="KNB34" s="204"/>
      <c r="KNC34" s="204"/>
      <c r="KND34" s="204"/>
      <c r="KNE34" s="204"/>
      <c r="KNF34" s="204"/>
      <c r="KNG34" s="204"/>
      <c r="KNH34" s="204"/>
      <c r="KNI34" s="204"/>
      <c r="KNJ34" s="204"/>
      <c r="KNK34" s="204"/>
      <c r="KNL34" s="204"/>
      <c r="KNM34" s="204"/>
      <c r="KNN34" s="204"/>
      <c r="KNO34" s="204"/>
      <c r="KNP34" s="204"/>
      <c r="KNQ34" s="204"/>
      <c r="KNR34" s="204"/>
      <c r="KNS34" s="204"/>
      <c r="KNT34" s="204"/>
      <c r="KNU34" s="204"/>
      <c r="KNV34" s="204"/>
      <c r="KNW34" s="204"/>
      <c r="KNX34" s="204"/>
      <c r="KNY34" s="204"/>
      <c r="KNZ34" s="204"/>
      <c r="KOA34" s="204"/>
      <c r="KOB34" s="204"/>
      <c r="KOC34" s="204"/>
      <c r="KOD34" s="204"/>
      <c r="KOE34" s="204"/>
      <c r="KOF34" s="204"/>
      <c r="KOG34" s="204"/>
      <c r="KOH34" s="204"/>
      <c r="KOI34" s="204"/>
      <c r="KOJ34" s="204"/>
      <c r="KOK34" s="204"/>
      <c r="KOL34" s="204"/>
      <c r="KOM34" s="204"/>
      <c r="KON34" s="204"/>
      <c r="KOO34" s="204"/>
      <c r="KOP34" s="204"/>
      <c r="KOQ34" s="204"/>
      <c r="KOR34" s="204"/>
      <c r="KOS34" s="204"/>
      <c r="KOT34" s="204"/>
      <c r="KOU34" s="204"/>
      <c r="KOV34" s="204"/>
      <c r="KOW34" s="204"/>
      <c r="KOX34" s="204"/>
      <c r="KOY34" s="204"/>
      <c r="KOZ34" s="204"/>
      <c r="KPA34" s="204"/>
      <c r="KPB34" s="204"/>
      <c r="KPC34" s="204"/>
      <c r="KPD34" s="204"/>
      <c r="KPE34" s="204"/>
      <c r="KPF34" s="204"/>
      <c r="KPG34" s="204"/>
      <c r="KPH34" s="204"/>
      <c r="KPI34" s="204"/>
      <c r="KPJ34" s="204"/>
      <c r="KPK34" s="204"/>
      <c r="KPL34" s="204"/>
      <c r="KPM34" s="204"/>
      <c r="KPN34" s="204"/>
      <c r="KPO34" s="204"/>
      <c r="KPP34" s="204"/>
      <c r="KPQ34" s="204"/>
      <c r="KPR34" s="204"/>
      <c r="KPS34" s="204"/>
      <c r="KPT34" s="204"/>
      <c r="KPU34" s="204"/>
      <c r="KPV34" s="204"/>
      <c r="KPW34" s="204"/>
      <c r="KPX34" s="204"/>
      <c r="KPY34" s="204"/>
      <c r="KPZ34" s="204"/>
      <c r="KQA34" s="204"/>
      <c r="KQB34" s="204"/>
      <c r="KQC34" s="204"/>
      <c r="KQD34" s="204"/>
      <c r="KQE34" s="204"/>
      <c r="KQF34" s="204"/>
      <c r="KQG34" s="204"/>
      <c r="KQH34" s="204"/>
      <c r="KQI34" s="204"/>
      <c r="KQJ34" s="204"/>
      <c r="KQK34" s="204"/>
      <c r="KQL34" s="204"/>
      <c r="KQM34" s="204"/>
      <c r="KQN34" s="204"/>
      <c r="KQO34" s="204"/>
      <c r="KQP34" s="204"/>
      <c r="KQQ34" s="204"/>
      <c r="KQR34" s="204"/>
      <c r="KQS34" s="204"/>
      <c r="KQT34" s="204"/>
      <c r="KQU34" s="204"/>
      <c r="KQV34" s="204"/>
      <c r="KQW34" s="204"/>
      <c r="KQX34" s="204"/>
      <c r="KQY34" s="204"/>
      <c r="KQZ34" s="204"/>
      <c r="KRA34" s="204"/>
      <c r="KRB34" s="204"/>
      <c r="KRC34" s="204"/>
      <c r="KRD34" s="204"/>
      <c r="KRE34" s="204"/>
      <c r="KRF34" s="204"/>
      <c r="KRG34" s="204"/>
      <c r="KRH34" s="204"/>
      <c r="KRI34" s="204"/>
      <c r="KRJ34" s="204"/>
      <c r="KRK34" s="204"/>
      <c r="KRL34" s="204"/>
      <c r="KRM34" s="204"/>
      <c r="KRN34" s="204"/>
      <c r="KRO34" s="204"/>
      <c r="KRP34" s="204"/>
      <c r="KRQ34" s="204"/>
      <c r="KRR34" s="204"/>
      <c r="KRS34" s="204"/>
      <c r="KRT34" s="204"/>
      <c r="KRU34" s="204"/>
      <c r="KRV34" s="204"/>
      <c r="KRW34" s="204"/>
      <c r="KRX34" s="204"/>
      <c r="KRY34" s="204"/>
      <c r="KRZ34" s="204"/>
      <c r="KSA34" s="204"/>
      <c r="KSB34" s="204"/>
      <c r="KSC34" s="204"/>
      <c r="KSD34" s="204"/>
      <c r="KSE34" s="204"/>
      <c r="KSF34" s="204"/>
      <c r="KSG34" s="204"/>
      <c r="KSH34" s="204"/>
      <c r="KSI34" s="204"/>
      <c r="KSJ34" s="204"/>
      <c r="KSK34" s="204"/>
      <c r="KSL34" s="204"/>
      <c r="KSM34" s="204"/>
      <c r="KSN34" s="204"/>
      <c r="KSO34" s="204"/>
      <c r="KSP34" s="204"/>
      <c r="KSQ34" s="204"/>
      <c r="KSR34" s="204"/>
      <c r="KSS34" s="204"/>
      <c r="KST34" s="204"/>
      <c r="KSU34" s="204"/>
      <c r="KSV34" s="204"/>
      <c r="KSW34" s="204"/>
      <c r="KSX34" s="204"/>
      <c r="KSY34" s="204"/>
      <c r="KSZ34" s="204"/>
      <c r="KTA34" s="204"/>
      <c r="KTB34" s="204"/>
      <c r="KTC34" s="204"/>
      <c r="KTD34" s="204"/>
      <c r="KTE34" s="204"/>
      <c r="KTF34" s="204"/>
      <c r="KTG34" s="204"/>
      <c r="KTH34" s="204"/>
      <c r="KTI34" s="204"/>
      <c r="KTJ34" s="204"/>
      <c r="KTK34" s="204"/>
      <c r="KTL34" s="204"/>
      <c r="KTM34" s="204"/>
      <c r="KTN34" s="204"/>
      <c r="KTO34" s="204"/>
      <c r="KTP34" s="204"/>
      <c r="KTQ34" s="204"/>
      <c r="KTR34" s="204"/>
      <c r="KTS34" s="204"/>
      <c r="KTT34" s="204"/>
      <c r="KTU34" s="204"/>
      <c r="KTV34" s="204"/>
      <c r="KTW34" s="204"/>
      <c r="KTX34" s="204"/>
      <c r="KTY34" s="204"/>
      <c r="KTZ34" s="204"/>
      <c r="KUA34" s="204"/>
      <c r="KUB34" s="204"/>
      <c r="KUC34" s="204"/>
      <c r="KUD34" s="204"/>
      <c r="KUE34" s="204"/>
      <c r="KUF34" s="204"/>
      <c r="KUG34" s="204"/>
      <c r="KUH34" s="204"/>
      <c r="KUI34" s="204"/>
      <c r="KUJ34" s="204"/>
      <c r="KUK34" s="204"/>
      <c r="KUL34" s="204"/>
      <c r="KUM34" s="204"/>
      <c r="KUN34" s="204"/>
      <c r="KUO34" s="204"/>
      <c r="KUP34" s="204"/>
      <c r="KUQ34" s="204"/>
      <c r="KUR34" s="204"/>
      <c r="KUS34" s="204"/>
      <c r="KUT34" s="204"/>
      <c r="KUU34" s="204"/>
      <c r="KUV34" s="204"/>
      <c r="KUW34" s="204"/>
      <c r="KUX34" s="204"/>
      <c r="KUY34" s="204"/>
      <c r="KUZ34" s="204"/>
      <c r="KVA34" s="204"/>
      <c r="KVB34" s="204"/>
      <c r="KVC34" s="204"/>
      <c r="KVD34" s="204"/>
      <c r="KVE34" s="204"/>
      <c r="KVF34" s="204"/>
      <c r="KVG34" s="204"/>
      <c r="KVH34" s="204"/>
      <c r="KVI34" s="204"/>
      <c r="KVJ34" s="204"/>
      <c r="KVK34" s="204"/>
      <c r="KVL34" s="204"/>
      <c r="KVM34" s="204"/>
      <c r="KVN34" s="204"/>
      <c r="KVO34" s="204"/>
      <c r="KVP34" s="204"/>
      <c r="KVQ34" s="204"/>
      <c r="KVR34" s="204"/>
      <c r="KVS34" s="204"/>
      <c r="KVT34" s="204"/>
      <c r="KVU34" s="204"/>
      <c r="KVV34" s="204"/>
      <c r="KVW34" s="204"/>
      <c r="KVX34" s="204"/>
      <c r="KVY34" s="204"/>
      <c r="KVZ34" s="204"/>
      <c r="KWA34" s="204"/>
      <c r="KWB34" s="204"/>
      <c r="KWC34" s="204"/>
      <c r="KWD34" s="204"/>
      <c r="KWE34" s="204"/>
      <c r="KWF34" s="204"/>
      <c r="KWG34" s="204"/>
      <c r="KWH34" s="204"/>
      <c r="KWI34" s="204"/>
      <c r="KWJ34" s="204"/>
      <c r="KWK34" s="204"/>
      <c r="KWL34" s="204"/>
      <c r="KWM34" s="204"/>
      <c r="KWN34" s="204"/>
      <c r="KWO34" s="204"/>
      <c r="KWP34" s="204"/>
      <c r="KWQ34" s="204"/>
      <c r="KWR34" s="204"/>
      <c r="KWS34" s="204"/>
      <c r="KWT34" s="204"/>
      <c r="KWU34" s="204"/>
      <c r="KWV34" s="204"/>
      <c r="KWW34" s="204"/>
      <c r="KWX34" s="204"/>
      <c r="KWY34" s="204"/>
      <c r="KWZ34" s="204"/>
      <c r="KXA34" s="204"/>
      <c r="KXB34" s="204"/>
      <c r="KXC34" s="204"/>
      <c r="KXD34" s="204"/>
      <c r="KXE34" s="204"/>
      <c r="KXF34" s="204"/>
      <c r="KXG34" s="204"/>
      <c r="KXH34" s="204"/>
      <c r="KXI34" s="204"/>
      <c r="KXJ34" s="204"/>
      <c r="KXK34" s="204"/>
      <c r="KXL34" s="204"/>
      <c r="KXM34" s="204"/>
      <c r="KXN34" s="204"/>
      <c r="KXO34" s="204"/>
      <c r="KXP34" s="204"/>
      <c r="KXQ34" s="204"/>
      <c r="KXR34" s="204"/>
      <c r="KXS34" s="204"/>
      <c r="KXT34" s="204"/>
      <c r="KXU34" s="204"/>
      <c r="KXV34" s="204"/>
      <c r="KXW34" s="204"/>
      <c r="KXX34" s="204"/>
      <c r="KXY34" s="204"/>
      <c r="KXZ34" s="204"/>
      <c r="KYA34" s="204"/>
      <c r="KYB34" s="204"/>
      <c r="KYC34" s="204"/>
      <c r="KYD34" s="204"/>
      <c r="KYE34" s="204"/>
      <c r="KYF34" s="204"/>
      <c r="KYG34" s="204"/>
      <c r="KYH34" s="204"/>
      <c r="KYI34" s="204"/>
      <c r="KYJ34" s="204"/>
      <c r="KYK34" s="204"/>
      <c r="KYL34" s="204"/>
      <c r="KYM34" s="204"/>
      <c r="KYN34" s="204"/>
      <c r="KYO34" s="204"/>
      <c r="KYP34" s="204"/>
      <c r="KYQ34" s="204"/>
      <c r="KYR34" s="204"/>
      <c r="KYS34" s="204"/>
      <c r="KYT34" s="204"/>
      <c r="KYU34" s="204"/>
      <c r="KYV34" s="204"/>
      <c r="KYW34" s="204"/>
      <c r="KYX34" s="204"/>
      <c r="KYY34" s="204"/>
      <c r="KYZ34" s="204"/>
      <c r="KZA34" s="204"/>
      <c r="KZB34" s="204"/>
      <c r="KZC34" s="204"/>
      <c r="KZD34" s="204"/>
      <c r="KZE34" s="204"/>
      <c r="KZF34" s="204"/>
      <c r="KZG34" s="204"/>
      <c r="KZH34" s="204"/>
      <c r="KZI34" s="204"/>
      <c r="KZJ34" s="204"/>
      <c r="KZK34" s="204"/>
      <c r="KZL34" s="204"/>
      <c r="KZM34" s="204"/>
      <c r="KZN34" s="204"/>
      <c r="KZO34" s="204"/>
      <c r="KZP34" s="204"/>
      <c r="KZQ34" s="204"/>
      <c r="KZR34" s="204"/>
      <c r="KZS34" s="204"/>
      <c r="KZT34" s="204"/>
      <c r="KZU34" s="204"/>
      <c r="KZV34" s="204"/>
      <c r="KZW34" s="204"/>
      <c r="KZX34" s="204"/>
      <c r="KZY34" s="204"/>
      <c r="KZZ34" s="204"/>
      <c r="LAA34" s="204"/>
      <c r="LAB34" s="204"/>
      <c r="LAC34" s="204"/>
      <c r="LAD34" s="204"/>
      <c r="LAE34" s="204"/>
      <c r="LAF34" s="204"/>
      <c r="LAG34" s="204"/>
      <c r="LAH34" s="204"/>
      <c r="LAI34" s="204"/>
      <c r="LAJ34" s="204"/>
      <c r="LAK34" s="204"/>
      <c r="LAL34" s="204"/>
      <c r="LAM34" s="204"/>
      <c r="LAN34" s="204"/>
      <c r="LAO34" s="204"/>
      <c r="LAP34" s="204"/>
      <c r="LAQ34" s="204"/>
      <c r="LAR34" s="204"/>
      <c r="LAS34" s="204"/>
      <c r="LAT34" s="204"/>
      <c r="LAU34" s="204"/>
      <c r="LAV34" s="204"/>
      <c r="LAW34" s="204"/>
      <c r="LAX34" s="204"/>
      <c r="LAY34" s="204"/>
      <c r="LAZ34" s="204"/>
      <c r="LBA34" s="204"/>
      <c r="LBB34" s="204"/>
      <c r="LBC34" s="204"/>
      <c r="LBD34" s="204"/>
      <c r="LBE34" s="204"/>
      <c r="LBF34" s="204"/>
      <c r="LBG34" s="204"/>
      <c r="LBH34" s="204"/>
      <c r="LBI34" s="204"/>
      <c r="LBJ34" s="204"/>
      <c r="LBK34" s="204"/>
      <c r="LBL34" s="204"/>
      <c r="LBM34" s="204"/>
      <c r="LBN34" s="204"/>
      <c r="LBO34" s="204"/>
      <c r="LBP34" s="204"/>
      <c r="LBQ34" s="204"/>
      <c r="LBR34" s="204"/>
      <c r="LBS34" s="204"/>
      <c r="LBT34" s="204"/>
      <c r="LBU34" s="204"/>
      <c r="LBV34" s="204"/>
      <c r="LBW34" s="204"/>
      <c r="LBX34" s="204"/>
      <c r="LBY34" s="204"/>
      <c r="LBZ34" s="204"/>
      <c r="LCA34" s="204"/>
      <c r="LCB34" s="204"/>
      <c r="LCC34" s="204"/>
      <c r="LCD34" s="204"/>
      <c r="LCE34" s="204"/>
      <c r="LCF34" s="204"/>
      <c r="LCG34" s="204"/>
      <c r="LCH34" s="204"/>
      <c r="LCI34" s="204"/>
      <c r="LCJ34" s="204"/>
      <c r="LCK34" s="204"/>
      <c r="LCL34" s="204"/>
      <c r="LCM34" s="204"/>
      <c r="LCN34" s="204"/>
      <c r="LCO34" s="204"/>
      <c r="LCP34" s="204"/>
      <c r="LCQ34" s="204"/>
      <c r="LCR34" s="204"/>
      <c r="LCS34" s="204"/>
      <c r="LCT34" s="204"/>
      <c r="LCU34" s="204"/>
      <c r="LCV34" s="204"/>
      <c r="LCW34" s="204"/>
      <c r="LCX34" s="204"/>
      <c r="LCY34" s="204"/>
      <c r="LCZ34" s="204"/>
      <c r="LDA34" s="204"/>
      <c r="LDB34" s="204"/>
      <c r="LDC34" s="204"/>
      <c r="LDD34" s="204"/>
      <c r="LDE34" s="204"/>
      <c r="LDF34" s="204"/>
      <c r="LDG34" s="204"/>
      <c r="LDH34" s="204"/>
      <c r="LDI34" s="204"/>
      <c r="LDJ34" s="204"/>
      <c r="LDK34" s="204"/>
      <c r="LDL34" s="204"/>
      <c r="LDM34" s="204"/>
      <c r="LDN34" s="204"/>
      <c r="LDO34" s="204"/>
      <c r="LDP34" s="204"/>
      <c r="LDQ34" s="204"/>
      <c r="LDR34" s="204"/>
      <c r="LDS34" s="204"/>
      <c r="LDT34" s="204"/>
      <c r="LDU34" s="204"/>
      <c r="LDV34" s="204"/>
      <c r="LDW34" s="204"/>
      <c r="LDX34" s="204"/>
      <c r="LDY34" s="204"/>
      <c r="LDZ34" s="204"/>
      <c r="LEA34" s="204"/>
      <c r="LEB34" s="204"/>
      <c r="LEC34" s="204"/>
      <c r="LED34" s="204"/>
      <c r="LEE34" s="204"/>
      <c r="LEF34" s="204"/>
      <c r="LEG34" s="204"/>
      <c r="LEH34" s="204"/>
      <c r="LEI34" s="204"/>
      <c r="LEJ34" s="204"/>
      <c r="LEK34" s="204"/>
      <c r="LEL34" s="204"/>
      <c r="LEM34" s="204"/>
      <c r="LEN34" s="204"/>
      <c r="LEO34" s="204"/>
      <c r="LEP34" s="204"/>
      <c r="LEQ34" s="204"/>
      <c r="LER34" s="204"/>
      <c r="LES34" s="204"/>
      <c r="LET34" s="204"/>
      <c r="LEU34" s="204"/>
      <c r="LEV34" s="204"/>
      <c r="LEW34" s="204"/>
      <c r="LEX34" s="204"/>
      <c r="LEY34" s="204"/>
      <c r="LEZ34" s="204"/>
      <c r="LFA34" s="204"/>
      <c r="LFB34" s="204"/>
      <c r="LFC34" s="204"/>
      <c r="LFD34" s="204"/>
      <c r="LFE34" s="204"/>
      <c r="LFF34" s="204"/>
      <c r="LFG34" s="204"/>
      <c r="LFH34" s="204"/>
      <c r="LFI34" s="204"/>
      <c r="LFJ34" s="204"/>
      <c r="LFK34" s="204"/>
      <c r="LFL34" s="204"/>
      <c r="LFM34" s="204"/>
      <c r="LFN34" s="204"/>
      <c r="LFO34" s="204"/>
      <c r="LFP34" s="204"/>
      <c r="LFQ34" s="204"/>
      <c r="LFR34" s="204"/>
      <c r="LFS34" s="204"/>
      <c r="LFT34" s="204"/>
      <c r="LFU34" s="204"/>
      <c r="LFV34" s="204"/>
      <c r="LFW34" s="204"/>
      <c r="LFX34" s="204"/>
      <c r="LFY34" s="204"/>
      <c r="LFZ34" s="204"/>
      <c r="LGA34" s="204"/>
      <c r="LGB34" s="204"/>
      <c r="LGC34" s="204"/>
      <c r="LGD34" s="204"/>
      <c r="LGE34" s="204"/>
      <c r="LGF34" s="204"/>
      <c r="LGG34" s="204"/>
      <c r="LGH34" s="204"/>
      <c r="LGI34" s="204"/>
      <c r="LGJ34" s="204"/>
      <c r="LGK34" s="204"/>
      <c r="LGL34" s="204"/>
      <c r="LGM34" s="204"/>
      <c r="LGN34" s="204"/>
      <c r="LGO34" s="204"/>
      <c r="LGP34" s="204"/>
      <c r="LGQ34" s="204"/>
      <c r="LGR34" s="204"/>
      <c r="LGS34" s="204"/>
      <c r="LGT34" s="204"/>
      <c r="LGU34" s="204"/>
      <c r="LGV34" s="204"/>
      <c r="LGW34" s="204"/>
      <c r="LGX34" s="204"/>
      <c r="LGY34" s="204"/>
      <c r="LGZ34" s="204"/>
      <c r="LHA34" s="204"/>
      <c r="LHB34" s="204"/>
      <c r="LHC34" s="204"/>
      <c r="LHD34" s="204"/>
      <c r="LHE34" s="204"/>
      <c r="LHF34" s="204"/>
      <c r="LHG34" s="204"/>
      <c r="LHH34" s="204"/>
      <c r="LHI34" s="204"/>
      <c r="LHJ34" s="204"/>
      <c r="LHK34" s="204"/>
      <c r="LHL34" s="204"/>
      <c r="LHM34" s="204"/>
      <c r="LHN34" s="204"/>
      <c r="LHO34" s="204"/>
      <c r="LHP34" s="204"/>
      <c r="LHQ34" s="204"/>
      <c r="LHR34" s="204"/>
      <c r="LHS34" s="204"/>
      <c r="LHT34" s="204"/>
      <c r="LHU34" s="204"/>
      <c r="LHV34" s="204"/>
      <c r="LHW34" s="204"/>
      <c r="LHX34" s="204"/>
      <c r="LHY34" s="204"/>
      <c r="LHZ34" s="204"/>
      <c r="LIA34" s="204"/>
      <c r="LIB34" s="204"/>
      <c r="LIC34" s="204"/>
      <c r="LID34" s="204"/>
      <c r="LIE34" s="204"/>
      <c r="LIF34" s="204"/>
      <c r="LIG34" s="204"/>
      <c r="LIH34" s="204"/>
      <c r="LII34" s="204"/>
      <c r="LIJ34" s="204"/>
      <c r="LIK34" s="204"/>
      <c r="LIL34" s="204"/>
      <c r="LIM34" s="204"/>
      <c r="LIN34" s="204"/>
      <c r="LIO34" s="204"/>
      <c r="LIP34" s="204"/>
      <c r="LIQ34" s="204"/>
      <c r="LIR34" s="204"/>
      <c r="LIS34" s="204"/>
      <c r="LIT34" s="204"/>
      <c r="LIU34" s="204"/>
      <c r="LIV34" s="204"/>
      <c r="LIW34" s="204"/>
      <c r="LIX34" s="204"/>
      <c r="LIY34" s="204"/>
      <c r="LIZ34" s="204"/>
      <c r="LJA34" s="204"/>
      <c r="LJB34" s="204"/>
      <c r="LJC34" s="204"/>
      <c r="LJD34" s="204"/>
      <c r="LJE34" s="204"/>
      <c r="LJF34" s="204"/>
      <c r="LJG34" s="204"/>
      <c r="LJH34" s="204"/>
      <c r="LJI34" s="204"/>
      <c r="LJJ34" s="204"/>
      <c r="LJK34" s="204"/>
      <c r="LJL34" s="204"/>
      <c r="LJM34" s="204"/>
      <c r="LJN34" s="204"/>
      <c r="LJO34" s="204"/>
      <c r="LJP34" s="204"/>
      <c r="LJQ34" s="204"/>
      <c r="LJR34" s="204"/>
      <c r="LJS34" s="204"/>
      <c r="LJT34" s="204"/>
      <c r="LJU34" s="204"/>
      <c r="LJV34" s="204"/>
      <c r="LJW34" s="204"/>
      <c r="LJX34" s="204"/>
      <c r="LJY34" s="204"/>
      <c r="LJZ34" s="204"/>
      <c r="LKA34" s="204"/>
      <c r="LKB34" s="204"/>
      <c r="LKC34" s="204"/>
      <c r="LKD34" s="204"/>
      <c r="LKE34" s="204"/>
      <c r="LKF34" s="204"/>
      <c r="LKG34" s="204"/>
      <c r="LKH34" s="204"/>
      <c r="LKI34" s="204"/>
      <c r="LKJ34" s="204"/>
      <c r="LKK34" s="204"/>
      <c r="LKL34" s="204"/>
      <c r="LKM34" s="204"/>
      <c r="LKN34" s="204"/>
      <c r="LKO34" s="204"/>
      <c r="LKP34" s="204"/>
      <c r="LKQ34" s="204"/>
      <c r="LKR34" s="204"/>
      <c r="LKS34" s="204"/>
      <c r="LKT34" s="204"/>
      <c r="LKU34" s="204"/>
      <c r="LKV34" s="204"/>
      <c r="LKW34" s="204"/>
      <c r="LKX34" s="204"/>
      <c r="LKY34" s="204"/>
      <c r="LKZ34" s="204"/>
      <c r="LLA34" s="204"/>
      <c r="LLB34" s="204"/>
      <c r="LLC34" s="204"/>
      <c r="LLD34" s="204"/>
      <c r="LLE34" s="204"/>
      <c r="LLF34" s="204"/>
      <c r="LLG34" s="204"/>
      <c r="LLH34" s="204"/>
      <c r="LLI34" s="204"/>
      <c r="LLJ34" s="204"/>
      <c r="LLK34" s="204"/>
      <c r="LLL34" s="204"/>
      <c r="LLM34" s="204"/>
      <c r="LLN34" s="204"/>
      <c r="LLO34" s="204"/>
      <c r="LLP34" s="204"/>
      <c r="LLQ34" s="204"/>
      <c r="LLR34" s="204"/>
      <c r="LLS34" s="204"/>
      <c r="LLT34" s="204"/>
      <c r="LLU34" s="204"/>
      <c r="LLV34" s="204"/>
      <c r="LLW34" s="204"/>
      <c r="LLX34" s="204"/>
      <c r="LLY34" s="204"/>
      <c r="LLZ34" s="204"/>
      <c r="LMA34" s="204"/>
      <c r="LMB34" s="204"/>
      <c r="LMC34" s="204"/>
      <c r="LMD34" s="204"/>
      <c r="LME34" s="204"/>
      <c r="LMF34" s="204"/>
      <c r="LMG34" s="204"/>
      <c r="LMH34" s="204"/>
      <c r="LMI34" s="204"/>
      <c r="LMJ34" s="204"/>
      <c r="LMK34" s="204"/>
      <c r="LML34" s="204"/>
      <c r="LMM34" s="204"/>
      <c r="LMN34" s="204"/>
      <c r="LMO34" s="204"/>
      <c r="LMP34" s="204"/>
      <c r="LMQ34" s="204"/>
      <c r="LMR34" s="204"/>
      <c r="LMS34" s="204"/>
      <c r="LMT34" s="204"/>
      <c r="LMU34" s="204"/>
      <c r="LMV34" s="204"/>
      <c r="LMW34" s="204"/>
      <c r="LMX34" s="204"/>
      <c r="LMY34" s="204"/>
      <c r="LMZ34" s="204"/>
      <c r="LNA34" s="204"/>
      <c r="LNB34" s="204"/>
      <c r="LNC34" s="204"/>
      <c r="LND34" s="204"/>
      <c r="LNE34" s="204"/>
      <c r="LNF34" s="204"/>
      <c r="LNG34" s="204"/>
      <c r="LNH34" s="204"/>
      <c r="LNI34" s="204"/>
      <c r="LNJ34" s="204"/>
      <c r="LNK34" s="204"/>
      <c r="LNL34" s="204"/>
      <c r="LNM34" s="204"/>
      <c r="LNN34" s="204"/>
      <c r="LNO34" s="204"/>
      <c r="LNP34" s="204"/>
      <c r="LNQ34" s="204"/>
      <c r="LNR34" s="204"/>
      <c r="LNS34" s="204"/>
      <c r="LNT34" s="204"/>
      <c r="LNU34" s="204"/>
      <c r="LNV34" s="204"/>
      <c r="LNW34" s="204"/>
      <c r="LNX34" s="204"/>
      <c r="LNY34" s="204"/>
      <c r="LNZ34" s="204"/>
      <c r="LOA34" s="204"/>
      <c r="LOB34" s="204"/>
      <c r="LOC34" s="204"/>
      <c r="LOD34" s="204"/>
      <c r="LOE34" s="204"/>
      <c r="LOF34" s="204"/>
      <c r="LOG34" s="204"/>
      <c r="LOH34" s="204"/>
      <c r="LOI34" s="204"/>
      <c r="LOJ34" s="204"/>
      <c r="LOK34" s="204"/>
      <c r="LOL34" s="204"/>
      <c r="LOM34" s="204"/>
      <c r="LON34" s="204"/>
      <c r="LOO34" s="204"/>
      <c r="LOP34" s="204"/>
      <c r="LOQ34" s="204"/>
      <c r="LOR34" s="204"/>
      <c r="LOS34" s="204"/>
      <c r="LOT34" s="204"/>
      <c r="LOU34" s="204"/>
      <c r="LOV34" s="204"/>
      <c r="LOW34" s="204"/>
      <c r="LOX34" s="204"/>
      <c r="LOY34" s="204"/>
      <c r="LOZ34" s="204"/>
      <c r="LPA34" s="204"/>
      <c r="LPB34" s="204"/>
      <c r="LPC34" s="204"/>
      <c r="LPD34" s="204"/>
      <c r="LPE34" s="204"/>
      <c r="LPF34" s="204"/>
      <c r="LPG34" s="204"/>
      <c r="LPH34" s="204"/>
      <c r="LPI34" s="204"/>
      <c r="LPJ34" s="204"/>
      <c r="LPK34" s="204"/>
      <c r="LPL34" s="204"/>
      <c r="LPM34" s="204"/>
      <c r="LPN34" s="204"/>
      <c r="LPO34" s="204"/>
      <c r="LPP34" s="204"/>
      <c r="LPQ34" s="204"/>
      <c r="LPR34" s="204"/>
      <c r="LPS34" s="204"/>
      <c r="LPT34" s="204"/>
      <c r="LPU34" s="204"/>
      <c r="LPV34" s="204"/>
      <c r="LPW34" s="204"/>
      <c r="LPX34" s="204"/>
      <c r="LPY34" s="204"/>
      <c r="LPZ34" s="204"/>
      <c r="LQA34" s="204"/>
      <c r="LQB34" s="204"/>
      <c r="LQC34" s="204"/>
      <c r="LQD34" s="204"/>
      <c r="LQE34" s="204"/>
      <c r="LQF34" s="204"/>
      <c r="LQG34" s="204"/>
      <c r="LQH34" s="204"/>
      <c r="LQI34" s="204"/>
      <c r="LQJ34" s="204"/>
      <c r="LQK34" s="204"/>
      <c r="LQL34" s="204"/>
      <c r="LQM34" s="204"/>
      <c r="LQN34" s="204"/>
      <c r="LQO34" s="204"/>
      <c r="LQP34" s="204"/>
      <c r="LQQ34" s="204"/>
      <c r="LQR34" s="204"/>
      <c r="LQS34" s="204"/>
      <c r="LQT34" s="204"/>
      <c r="LQU34" s="204"/>
      <c r="LQV34" s="204"/>
      <c r="LQW34" s="204"/>
      <c r="LQX34" s="204"/>
      <c r="LQY34" s="204"/>
      <c r="LQZ34" s="204"/>
      <c r="LRA34" s="204"/>
      <c r="LRB34" s="204"/>
      <c r="LRC34" s="204"/>
      <c r="LRD34" s="204"/>
      <c r="LRE34" s="204"/>
      <c r="LRF34" s="204"/>
      <c r="LRG34" s="204"/>
      <c r="LRH34" s="204"/>
      <c r="LRI34" s="204"/>
      <c r="LRJ34" s="204"/>
      <c r="LRK34" s="204"/>
      <c r="LRL34" s="204"/>
      <c r="LRM34" s="204"/>
      <c r="LRN34" s="204"/>
      <c r="LRO34" s="204"/>
      <c r="LRP34" s="204"/>
      <c r="LRQ34" s="204"/>
      <c r="LRR34" s="204"/>
      <c r="LRS34" s="204"/>
      <c r="LRT34" s="204"/>
      <c r="LRU34" s="204"/>
      <c r="LRV34" s="204"/>
      <c r="LRW34" s="204"/>
      <c r="LRX34" s="204"/>
      <c r="LRY34" s="204"/>
      <c r="LRZ34" s="204"/>
      <c r="LSA34" s="204"/>
      <c r="LSB34" s="204"/>
      <c r="LSC34" s="204"/>
      <c r="LSD34" s="204"/>
      <c r="LSE34" s="204"/>
      <c r="LSF34" s="204"/>
      <c r="LSG34" s="204"/>
      <c r="LSH34" s="204"/>
      <c r="LSI34" s="204"/>
      <c r="LSJ34" s="204"/>
      <c r="LSK34" s="204"/>
      <c r="LSL34" s="204"/>
      <c r="LSM34" s="204"/>
      <c r="LSN34" s="204"/>
      <c r="LSO34" s="204"/>
      <c r="LSP34" s="204"/>
      <c r="LSQ34" s="204"/>
      <c r="LSR34" s="204"/>
      <c r="LSS34" s="204"/>
      <c r="LST34" s="204"/>
      <c r="LSU34" s="204"/>
      <c r="LSV34" s="204"/>
      <c r="LSW34" s="204"/>
      <c r="LSX34" s="204"/>
      <c r="LSY34" s="204"/>
      <c r="LSZ34" s="204"/>
      <c r="LTA34" s="204"/>
      <c r="LTB34" s="204"/>
      <c r="LTC34" s="204"/>
      <c r="LTD34" s="204"/>
      <c r="LTE34" s="204"/>
      <c r="LTF34" s="204"/>
      <c r="LTG34" s="204"/>
      <c r="LTH34" s="204"/>
      <c r="LTI34" s="204"/>
      <c r="LTJ34" s="204"/>
      <c r="LTK34" s="204"/>
      <c r="LTL34" s="204"/>
      <c r="LTM34" s="204"/>
      <c r="LTN34" s="204"/>
      <c r="LTO34" s="204"/>
      <c r="LTP34" s="204"/>
      <c r="LTQ34" s="204"/>
      <c r="LTR34" s="204"/>
      <c r="LTS34" s="204"/>
      <c r="LTT34" s="204"/>
      <c r="LTU34" s="204"/>
      <c r="LTV34" s="204"/>
      <c r="LTW34" s="204"/>
      <c r="LTX34" s="204"/>
      <c r="LTY34" s="204"/>
      <c r="LTZ34" s="204"/>
      <c r="LUA34" s="204"/>
      <c r="LUB34" s="204"/>
      <c r="LUC34" s="204"/>
      <c r="LUD34" s="204"/>
      <c r="LUE34" s="204"/>
      <c r="LUF34" s="204"/>
      <c r="LUG34" s="204"/>
      <c r="LUH34" s="204"/>
      <c r="LUI34" s="204"/>
      <c r="LUJ34" s="204"/>
      <c r="LUK34" s="204"/>
      <c r="LUL34" s="204"/>
      <c r="LUM34" s="204"/>
      <c r="LUN34" s="204"/>
      <c r="LUO34" s="204"/>
      <c r="LUP34" s="204"/>
      <c r="LUQ34" s="204"/>
      <c r="LUR34" s="204"/>
      <c r="LUS34" s="204"/>
      <c r="LUT34" s="204"/>
      <c r="LUU34" s="204"/>
      <c r="LUV34" s="204"/>
      <c r="LUW34" s="204"/>
      <c r="LUX34" s="204"/>
      <c r="LUY34" s="204"/>
      <c r="LUZ34" s="204"/>
      <c r="LVA34" s="204"/>
      <c r="LVB34" s="204"/>
      <c r="LVC34" s="204"/>
      <c r="LVD34" s="204"/>
      <c r="LVE34" s="204"/>
      <c r="LVF34" s="204"/>
      <c r="LVG34" s="204"/>
      <c r="LVH34" s="204"/>
      <c r="LVI34" s="204"/>
      <c r="LVJ34" s="204"/>
      <c r="LVK34" s="204"/>
      <c r="LVL34" s="204"/>
      <c r="LVM34" s="204"/>
      <c r="LVN34" s="204"/>
      <c r="LVO34" s="204"/>
      <c r="LVP34" s="204"/>
      <c r="LVQ34" s="204"/>
      <c r="LVR34" s="204"/>
      <c r="LVS34" s="204"/>
      <c r="LVT34" s="204"/>
      <c r="LVU34" s="204"/>
      <c r="LVV34" s="204"/>
      <c r="LVW34" s="204"/>
      <c r="LVX34" s="204"/>
      <c r="LVY34" s="204"/>
      <c r="LVZ34" s="204"/>
      <c r="LWA34" s="204"/>
      <c r="LWB34" s="204"/>
      <c r="LWC34" s="204"/>
      <c r="LWD34" s="204"/>
      <c r="LWE34" s="204"/>
      <c r="LWF34" s="204"/>
      <c r="LWG34" s="204"/>
      <c r="LWH34" s="204"/>
      <c r="LWI34" s="204"/>
      <c r="LWJ34" s="204"/>
      <c r="LWK34" s="204"/>
      <c r="LWL34" s="204"/>
      <c r="LWM34" s="204"/>
      <c r="LWN34" s="204"/>
      <c r="LWO34" s="204"/>
      <c r="LWP34" s="204"/>
      <c r="LWQ34" s="204"/>
      <c r="LWR34" s="204"/>
      <c r="LWS34" s="204"/>
      <c r="LWT34" s="204"/>
      <c r="LWU34" s="204"/>
      <c r="LWV34" s="204"/>
      <c r="LWW34" s="204"/>
      <c r="LWX34" s="204"/>
      <c r="LWY34" s="204"/>
      <c r="LWZ34" s="204"/>
      <c r="LXA34" s="204"/>
      <c r="LXB34" s="204"/>
      <c r="LXC34" s="204"/>
      <c r="LXD34" s="204"/>
      <c r="LXE34" s="204"/>
      <c r="LXF34" s="204"/>
      <c r="LXG34" s="204"/>
      <c r="LXH34" s="204"/>
      <c r="LXI34" s="204"/>
      <c r="LXJ34" s="204"/>
      <c r="LXK34" s="204"/>
      <c r="LXL34" s="204"/>
      <c r="LXM34" s="204"/>
      <c r="LXN34" s="204"/>
      <c r="LXO34" s="204"/>
      <c r="LXP34" s="204"/>
      <c r="LXQ34" s="204"/>
      <c r="LXR34" s="204"/>
      <c r="LXS34" s="204"/>
      <c r="LXT34" s="204"/>
      <c r="LXU34" s="204"/>
      <c r="LXV34" s="204"/>
      <c r="LXW34" s="204"/>
      <c r="LXX34" s="204"/>
      <c r="LXY34" s="204"/>
      <c r="LXZ34" s="204"/>
      <c r="LYA34" s="204"/>
      <c r="LYB34" s="204"/>
      <c r="LYC34" s="204"/>
      <c r="LYD34" s="204"/>
      <c r="LYE34" s="204"/>
      <c r="LYF34" s="204"/>
      <c r="LYG34" s="204"/>
      <c r="LYH34" s="204"/>
      <c r="LYI34" s="204"/>
      <c r="LYJ34" s="204"/>
      <c r="LYK34" s="204"/>
      <c r="LYL34" s="204"/>
      <c r="LYM34" s="204"/>
      <c r="LYN34" s="204"/>
      <c r="LYO34" s="204"/>
      <c r="LYP34" s="204"/>
      <c r="LYQ34" s="204"/>
      <c r="LYR34" s="204"/>
      <c r="LYS34" s="204"/>
      <c r="LYT34" s="204"/>
      <c r="LYU34" s="204"/>
      <c r="LYV34" s="204"/>
      <c r="LYW34" s="204"/>
      <c r="LYX34" s="204"/>
      <c r="LYY34" s="204"/>
      <c r="LYZ34" s="204"/>
      <c r="LZA34" s="204"/>
      <c r="LZB34" s="204"/>
      <c r="LZC34" s="204"/>
      <c r="LZD34" s="204"/>
      <c r="LZE34" s="204"/>
      <c r="LZF34" s="204"/>
      <c r="LZG34" s="204"/>
      <c r="LZH34" s="204"/>
      <c r="LZI34" s="204"/>
      <c r="LZJ34" s="204"/>
      <c r="LZK34" s="204"/>
      <c r="LZL34" s="204"/>
      <c r="LZM34" s="204"/>
      <c r="LZN34" s="204"/>
      <c r="LZO34" s="204"/>
      <c r="LZP34" s="204"/>
      <c r="LZQ34" s="204"/>
      <c r="LZR34" s="204"/>
      <c r="LZS34" s="204"/>
      <c r="LZT34" s="204"/>
      <c r="LZU34" s="204"/>
      <c r="LZV34" s="204"/>
      <c r="LZW34" s="204"/>
      <c r="LZX34" s="204"/>
      <c r="LZY34" s="204"/>
      <c r="LZZ34" s="204"/>
      <c r="MAA34" s="204"/>
      <c r="MAB34" s="204"/>
      <c r="MAC34" s="204"/>
      <c r="MAD34" s="204"/>
      <c r="MAE34" s="204"/>
      <c r="MAF34" s="204"/>
      <c r="MAG34" s="204"/>
      <c r="MAH34" s="204"/>
      <c r="MAI34" s="204"/>
      <c r="MAJ34" s="204"/>
      <c r="MAK34" s="204"/>
      <c r="MAL34" s="204"/>
      <c r="MAM34" s="204"/>
      <c r="MAN34" s="204"/>
      <c r="MAO34" s="204"/>
      <c r="MAP34" s="204"/>
      <c r="MAQ34" s="204"/>
      <c r="MAR34" s="204"/>
      <c r="MAS34" s="204"/>
      <c r="MAT34" s="204"/>
      <c r="MAU34" s="204"/>
      <c r="MAV34" s="204"/>
      <c r="MAW34" s="204"/>
      <c r="MAX34" s="204"/>
      <c r="MAY34" s="204"/>
      <c r="MAZ34" s="204"/>
      <c r="MBA34" s="204"/>
      <c r="MBB34" s="204"/>
      <c r="MBC34" s="204"/>
      <c r="MBD34" s="204"/>
      <c r="MBE34" s="204"/>
      <c r="MBF34" s="204"/>
      <c r="MBG34" s="204"/>
      <c r="MBH34" s="204"/>
      <c r="MBI34" s="204"/>
      <c r="MBJ34" s="204"/>
      <c r="MBK34" s="204"/>
      <c r="MBL34" s="204"/>
      <c r="MBM34" s="204"/>
      <c r="MBN34" s="204"/>
      <c r="MBO34" s="204"/>
      <c r="MBP34" s="204"/>
      <c r="MBQ34" s="204"/>
      <c r="MBR34" s="204"/>
      <c r="MBS34" s="204"/>
      <c r="MBT34" s="204"/>
      <c r="MBU34" s="204"/>
      <c r="MBV34" s="204"/>
      <c r="MBW34" s="204"/>
      <c r="MBX34" s="204"/>
      <c r="MBY34" s="204"/>
      <c r="MBZ34" s="204"/>
      <c r="MCA34" s="204"/>
      <c r="MCB34" s="204"/>
      <c r="MCC34" s="204"/>
      <c r="MCD34" s="204"/>
      <c r="MCE34" s="204"/>
      <c r="MCF34" s="204"/>
      <c r="MCG34" s="204"/>
      <c r="MCH34" s="204"/>
      <c r="MCI34" s="204"/>
      <c r="MCJ34" s="204"/>
      <c r="MCK34" s="204"/>
      <c r="MCL34" s="204"/>
      <c r="MCM34" s="204"/>
      <c r="MCN34" s="204"/>
      <c r="MCO34" s="204"/>
      <c r="MCP34" s="204"/>
      <c r="MCQ34" s="204"/>
      <c r="MCR34" s="204"/>
      <c r="MCS34" s="204"/>
      <c r="MCT34" s="204"/>
      <c r="MCU34" s="204"/>
      <c r="MCV34" s="204"/>
      <c r="MCW34" s="204"/>
      <c r="MCX34" s="204"/>
      <c r="MCY34" s="204"/>
      <c r="MCZ34" s="204"/>
      <c r="MDA34" s="204"/>
      <c r="MDB34" s="204"/>
      <c r="MDC34" s="204"/>
      <c r="MDD34" s="204"/>
      <c r="MDE34" s="204"/>
      <c r="MDF34" s="204"/>
      <c r="MDG34" s="204"/>
      <c r="MDH34" s="204"/>
      <c r="MDI34" s="204"/>
      <c r="MDJ34" s="204"/>
      <c r="MDK34" s="204"/>
      <c r="MDL34" s="204"/>
      <c r="MDM34" s="204"/>
      <c r="MDN34" s="204"/>
      <c r="MDO34" s="204"/>
      <c r="MDP34" s="204"/>
      <c r="MDQ34" s="204"/>
      <c r="MDR34" s="204"/>
      <c r="MDS34" s="204"/>
      <c r="MDT34" s="204"/>
      <c r="MDU34" s="204"/>
      <c r="MDV34" s="204"/>
      <c r="MDW34" s="204"/>
      <c r="MDX34" s="204"/>
      <c r="MDY34" s="204"/>
      <c r="MDZ34" s="204"/>
      <c r="MEA34" s="204"/>
      <c r="MEB34" s="204"/>
      <c r="MEC34" s="204"/>
      <c r="MED34" s="204"/>
      <c r="MEE34" s="204"/>
      <c r="MEF34" s="204"/>
      <c r="MEG34" s="204"/>
      <c r="MEH34" s="204"/>
      <c r="MEI34" s="204"/>
      <c r="MEJ34" s="204"/>
      <c r="MEK34" s="204"/>
      <c r="MEL34" s="204"/>
      <c r="MEM34" s="204"/>
      <c r="MEN34" s="204"/>
      <c r="MEO34" s="204"/>
      <c r="MEP34" s="204"/>
      <c r="MEQ34" s="204"/>
      <c r="MER34" s="204"/>
      <c r="MES34" s="204"/>
      <c r="MET34" s="204"/>
      <c r="MEU34" s="204"/>
      <c r="MEV34" s="204"/>
      <c r="MEW34" s="204"/>
      <c r="MEX34" s="204"/>
      <c r="MEY34" s="204"/>
      <c r="MEZ34" s="204"/>
      <c r="MFA34" s="204"/>
      <c r="MFB34" s="204"/>
      <c r="MFC34" s="204"/>
      <c r="MFD34" s="204"/>
      <c r="MFE34" s="204"/>
      <c r="MFF34" s="204"/>
      <c r="MFG34" s="204"/>
      <c r="MFH34" s="204"/>
      <c r="MFI34" s="204"/>
      <c r="MFJ34" s="204"/>
      <c r="MFK34" s="204"/>
      <c r="MFL34" s="204"/>
      <c r="MFM34" s="204"/>
      <c r="MFN34" s="204"/>
      <c r="MFO34" s="204"/>
      <c r="MFP34" s="204"/>
      <c r="MFQ34" s="204"/>
      <c r="MFR34" s="204"/>
      <c r="MFS34" s="204"/>
      <c r="MFT34" s="204"/>
      <c r="MFU34" s="204"/>
      <c r="MFV34" s="204"/>
      <c r="MFW34" s="204"/>
      <c r="MFX34" s="204"/>
      <c r="MFY34" s="204"/>
      <c r="MFZ34" s="204"/>
      <c r="MGA34" s="204"/>
      <c r="MGB34" s="204"/>
      <c r="MGC34" s="204"/>
      <c r="MGD34" s="204"/>
      <c r="MGE34" s="204"/>
      <c r="MGF34" s="204"/>
      <c r="MGG34" s="204"/>
      <c r="MGH34" s="204"/>
      <c r="MGI34" s="204"/>
      <c r="MGJ34" s="204"/>
      <c r="MGK34" s="204"/>
      <c r="MGL34" s="204"/>
      <c r="MGM34" s="204"/>
      <c r="MGN34" s="204"/>
      <c r="MGO34" s="204"/>
      <c r="MGP34" s="204"/>
      <c r="MGQ34" s="204"/>
      <c r="MGR34" s="204"/>
      <c r="MGS34" s="204"/>
      <c r="MGT34" s="204"/>
      <c r="MGU34" s="204"/>
      <c r="MGV34" s="204"/>
      <c r="MGW34" s="204"/>
      <c r="MGX34" s="204"/>
      <c r="MGY34" s="204"/>
      <c r="MGZ34" s="204"/>
      <c r="MHA34" s="204"/>
      <c r="MHB34" s="204"/>
      <c r="MHC34" s="204"/>
      <c r="MHD34" s="204"/>
      <c r="MHE34" s="204"/>
      <c r="MHF34" s="204"/>
      <c r="MHG34" s="204"/>
      <c r="MHH34" s="204"/>
      <c r="MHI34" s="204"/>
      <c r="MHJ34" s="204"/>
      <c r="MHK34" s="204"/>
      <c r="MHL34" s="204"/>
      <c r="MHM34" s="204"/>
      <c r="MHN34" s="204"/>
      <c r="MHO34" s="204"/>
      <c r="MHP34" s="204"/>
      <c r="MHQ34" s="204"/>
      <c r="MHR34" s="204"/>
      <c r="MHS34" s="204"/>
      <c r="MHT34" s="204"/>
      <c r="MHU34" s="204"/>
      <c r="MHV34" s="204"/>
      <c r="MHW34" s="204"/>
      <c r="MHX34" s="204"/>
      <c r="MHY34" s="204"/>
      <c r="MHZ34" s="204"/>
      <c r="MIA34" s="204"/>
      <c r="MIB34" s="204"/>
      <c r="MIC34" s="204"/>
      <c r="MID34" s="204"/>
      <c r="MIE34" s="204"/>
      <c r="MIF34" s="204"/>
      <c r="MIG34" s="204"/>
      <c r="MIH34" s="204"/>
      <c r="MII34" s="204"/>
      <c r="MIJ34" s="204"/>
      <c r="MIK34" s="204"/>
      <c r="MIL34" s="204"/>
      <c r="MIM34" s="204"/>
      <c r="MIN34" s="204"/>
      <c r="MIO34" s="204"/>
      <c r="MIP34" s="204"/>
      <c r="MIQ34" s="204"/>
      <c r="MIR34" s="204"/>
      <c r="MIS34" s="204"/>
      <c r="MIT34" s="204"/>
      <c r="MIU34" s="204"/>
      <c r="MIV34" s="204"/>
      <c r="MIW34" s="204"/>
      <c r="MIX34" s="204"/>
      <c r="MIY34" s="204"/>
      <c r="MIZ34" s="204"/>
      <c r="MJA34" s="204"/>
      <c r="MJB34" s="204"/>
      <c r="MJC34" s="204"/>
      <c r="MJD34" s="204"/>
      <c r="MJE34" s="204"/>
      <c r="MJF34" s="204"/>
      <c r="MJG34" s="204"/>
      <c r="MJH34" s="204"/>
      <c r="MJI34" s="204"/>
      <c r="MJJ34" s="204"/>
      <c r="MJK34" s="204"/>
      <c r="MJL34" s="204"/>
      <c r="MJM34" s="204"/>
      <c r="MJN34" s="204"/>
      <c r="MJO34" s="204"/>
      <c r="MJP34" s="204"/>
      <c r="MJQ34" s="204"/>
      <c r="MJR34" s="204"/>
      <c r="MJS34" s="204"/>
      <c r="MJT34" s="204"/>
      <c r="MJU34" s="204"/>
      <c r="MJV34" s="204"/>
      <c r="MJW34" s="204"/>
      <c r="MJX34" s="204"/>
      <c r="MJY34" s="204"/>
      <c r="MJZ34" s="204"/>
      <c r="MKA34" s="204"/>
      <c r="MKB34" s="204"/>
      <c r="MKC34" s="204"/>
      <c r="MKD34" s="204"/>
      <c r="MKE34" s="204"/>
      <c r="MKF34" s="204"/>
      <c r="MKG34" s="204"/>
      <c r="MKH34" s="204"/>
      <c r="MKI34" s="204"/>
      <c r="MKJ34" s="204"/>
      <c r="MKK34" s="204"/>
      <c r="MKL34" s="204"/>
      <c r="MKM34" s="204"/>
      <c r="MKN34" s="204"/>
      <c r="MKO34" s="204"/>
      <c r="MKP34" s="204"/>
      <c r="MKQ34" s="204"/>
      <c r="MKR34" s="204"/>
      <c r="MKS34" s="204"/>
      <c r="MKT34" s="204"/>
      <c r="MKU34" s="204"/>
      <c r="MKV34" s="204"/>
      <c r="MKW34" s="204"/>
      <c r="MKX34" s="204"/>
      <c r="MKY34" s="204"/>
      <c r="MKZ34" s="204"/>
      <c r="MLA34" s="204"/>
      <c r="MLB34" s="204"/>
      <c r="MLC34" s="204"/>
      <c r="MLD34" s="204"/>
      <c r="MLE34" s="204"/>
      <c r="MLF34" s="204"/>
      <c r="MLG34" s="204"/>
      <c r="MLH34" s="204"/>
      <c r="MLI34" s="204"/>
      <c r="MLJ34" s="204"/>
      <c r="MLK34" s="204"/>
      <c r="MLL34" s="204"/>
      <c r="MLM34" s="204"/>
      <c r="MLN34" s="204"/>
      <c r="MLO34" s="204"/>
      <c r="MLP34" s="204"/>
      <c r="MLQ34" s="204"/>
      <c r="MLR34" s="204"/>
      <c r="MLS34" s="204"/>
      <c r="MLT34" s="204"/>
      <c r="MLU34" s="204"/>
      <c r="MLV34" s="204"/>
      <c r="MLW34" s="204"/>
      <c r="MLX34" s="204"/>
      <c r="MLY34" s="204"/>
      <c r="MLZ34" s="204"/>
      <c r="MMA34" s="204"/>
      <c r="MMB34" s="204"/>
      <c r="MMC34" s="204"/>
      <c r="MMD34" s="204"/>
      <c r="MME34" s="204"/>
      <c r="MMF34" s="204"/>
      <c r="MMG34" s="204"/>
      <c r="MMH34" s="204"/>
      <c r="MMI34" s="204"/>
      <c r="MMJ34" s="204"/>
      <c r="MMK34" s="204"/>
      <c r="MML34" s="204"/>
      <c r="MMM34" s="204"/>
      <c r="MMN34" s="204"/>
      <c r="MMO34" s="204"/>
      <c r="MMP34" s="204"/>
      <c r="MMQ34" s="204"/>
      <c r="MMR34" s="204"/>
      <c r="MMS34" s="204"/>
      <c r="MMT34" s="204"/>
      <c r="MMU34" s="204"/>
      <c r="MMV34" s="204"/>
      <c r="MMW34" s="204"/>
      <c r="MMX34" s="204"/>
      <c r="MMY34" s="204"/>
      <c r="MMZ34" s="204"/>
      <c r="MNA34" s="204"/>
      <c r="MNB34" s="204"/>
      <c r="MNC34" s="204"/>
      <c r="MND34" s="204"/>
      <c r="MNE34" s="204"/>
      <c r="MNF34" s="204"/>
      <c r="MNG34" s="204"/>
      <c r="MNH34" s="204"/>
      <c r="MNI34" s="204"/>
      <c r="MNJ34" s="204"/>
      <c r="MNK34" s="204"/>
      <c r="MNL34" s="204"/>
      <c r="MNM34" s="204"/>
      <c r="MNN34" s="204"/>
      <c r="MNO34" s="204"/>
      <c r="MNP34" s="204"/>
      <c r="MNQ34" s="204"/>
      <c r="MNR34" s="204"/>
      <c r="MNS34" s="204"/>
      <c r="MNT34" s="204"/>
      <c r="MNU34" s="204"/>
      <c r="MNV34" s="204"/>
      <c r="MNW34" s="204"/>
      <c r="MNX34" s="204"/>
      <c r="MNY34" s="204"/>
      <c r="MNZ34" s="204"/>
      <c r="MOA34" s="204"/>
      <c r="MOB34" s="204"/>
      <c r="MOC34" s="204"/>
      <c r="MOD34" s="204"/>
      <c r="MOE34" s="204"/>
      <c r="MOF34" s="204"/>
      <c r="MOG34" s="204"/>
      <c r="MOH34" s="204"/>
      <c r="MOI34" s="204"/>
      <c r="MOJ34" s="204"/>
      <c r="MOK34" s="204"/>
      <c r="MOL34" s="204"/>
      <c r="MOM34" s="204"/>
      <c r="MON34" s="204"/>
      <c r="MOO34" s="204"/>
      <c r="MOP34" s="204"/>
      <c r="MOQ34" s="204"/>
      <c r="MOR34" s="204"/>
      <c r="MOS34" s="204"/>
      <c r="MOT34" s="204"/>
      <c r="MOU34" s="204"/>
      <c r="MOV34" s="204"/>
      <c r="MOW34" s="204"/>
      <c r="MOX34" s="204"/>
      <c r="MOY34" s="204"/>
      <c r="MOZ34" s="204"/>
      <c r="MPA34" s="204"/>
      <c r="MPB34" s="204"/>
      <c r="MPC34" s="204"/>
      <c r="MPD34" s="204"/>
      <c r="MPE34" s="204"/>
      <c r="MPF34" s="204"/>
      <c r="MPG34" s="204"/>
      <c r="MPH34" s="204"/>
      <c r="MPI34" s="204"/>
      <c r="MPJ34" s="204"/>
      <c r="MPK34" s="204"/>
      <c r="MPL34" s="204"/>
      <c r="MPM34" s="204"/>
      <c r="MPN34" s="204"/>
      <c r="MPO34" s="204"/>
      <c r="MPP34" s="204"/>
      <c r="MPQ34" s="204"/>
      <c r="MPR34" s="204"/>
      <c r="MPS34" s="204"/>
      <c r="MPT34" s="204"/>
      <c r="MPU34" s="204"/>
      <c r="MPV34" s="204"/>
      <c r="MPW34" s="204"/>
      <c r="MPX34" s="204"/>
      <c r="MPY34" s="204"/>
      <c r="MPZ34" s="204"/>
      <c r="MQA34" s="204"/>
      <c r="MQB34" s="204"/>
      <c r="MQC34" s="204"/>
      <c r="MQD34" s="204"/>
      <c r="MQE34" s="204"/>
      <c r="MQF34" s="204"/>
      <c r="MQG34" s="204"/>
      <c r="MQH34" s="204"/>
      <c r="MQI34" s="204"/>
      <c r="MQJ34" s="204"/>
      <c r="MQK34" s="204"/>
      <c r="MQL34" s="204"/>
      <c r="MQM34" s="204"/>
      <c r="MQN34" s="204"/>
      <c r="MQO34" s="204"/>
      <c r="MQP34" s="204"/>
      <c r="MQQ34" s="204"/>
      <c r="MQR34" s="204"/>
      <c r="MQS34" s="204"/>
      <c r="MQT34" s="204"/>
      <c r="MQU34" s="204"/>
      <c r="MQV34" s="204"/>
      <c r="MQW34" s="204"/>
      <c r="MQX34" s="204"/>
      <c r="MQY34" s="204"/>
      <c r="MQZ34" s="204"/>
      <c r="MRA34" s="204"/>
      <c r="MRB34" s="204"/>
      <c r="MRC34" s="204"/>
      <c r="MRD34" s="204"/>
      <c r="MRE34" s="204"/>
      <c r="MRF34" s="204"/>
      <c r="MRG34" s="204"/>
      <c r="MRH34" s="204"/>
      <c r="MRI34" s="204"/>
      <c r="MRJ34" s="204"/>
      <c r="MRK34" s="204"/>
      <c r="MRL34" s="204"/>
      <c r="MRM34" s="204"/>
      <c r="MRN34" s="204"/>
      <c r="MRO34" s="204"/>
      <c r="MRP34" s="204"/>
      <c r="MRQ34" s="204"/>
      <c r="MRR34" s="204"/>
      <c r="MRS34" s="204"/>
      <c r="MRT34" s="204"/>
      <c r="MRU34" s="204"/>
      <c r="MRV34" s="204"/>
      <c r="MRW34" s="204"/>
      <c r="MRX34" s="204"/>
      <c r="MRY34" s="204"/>
      <c r="MRZ34" s="204"/>
      <c r="MSA34" s="204"/>
      <c r="MSB34" s="204"/>
      <c r="MSC34" s="204"/>
      <c r="MSD34" s="204"/>
      <c r="MSE34" s="204"/>
      <c r="MSF34" s="204"/>
      <c r="MSG34" s="204"/>
      <c r="MSH34" s="204"/>
      <c r="MSI34" s="204"/>
      <c r="MSJ34" s="204"/>
      <c r="MSK34" s="204"/>
      <c r="MSL34" s="204"/>
      <c r="MSM34" s="204"/>
      <c r="MSN34" s="204"/>
      <c r="MSO34" s="204"/>
      <c r="MSP34" s="204"/>
      <c r="MSQ34" s="204"/>
      <c r="MSR34" s="204"/>
      <c r="MSS34" s="204"/>
      <c r="MST34" s="204"/>
      <c r="MSU34" s="204"/>
      <c r="MSV34" s="204"/>
      <c r="MSW34" s="204"/>
      <c r="MSX34" s="204"/>
      <c r="MSY34" s="204"/>
      <c r="MSZ34" s="204"/>
      <c r="MTA34" s="204"/>
      <c r="MTB34" s="204"/>
      <c r="MTC34" s="204"/>
      <c r="MTD34" s="204"/>
      <c r="MTE34" s="204"/>
      <c r="MTF34" s="204"/>
      <c r="MTG34" s="204"/>
      <c r="MTH34" s="204"/>
      <c r="MTI34" s="204"/>
      <c r="MTJ34" s="204"/>
      <c r="MTK34" s="204"/>
      <c r="MTL34" s="204"/>
      <c r="MTM34" s="204"/>
      <c r="MTN34" s="204"/>
      <c r="MTO34" s="204"/>
      <c r="MTP34" s="204"/>
      <c r="MTQ34" s="204"/>
      <c r="MTR34" s="204"/>
      <c r="MTS34" s="204"/>
      <c r="MTT34" s="204"/>
      <c r="MTU34" s="204"/>
      <c r="MTV34" s="204"/>
      <c r="MTW34" s="204"/>
      <c r="MTX34" s="204"/>
      <c r="MTY34" s="204"/>
      <c r="MTZ34" s="204"/>
      <c r="MUA34" s="204"/>
      <c r="MUB34" s="204"/>
      <c r="MUC34" s="204"/>
      <c r="MUD34" s="204"/>
      <c r="MUE34" s="204"/>
      <c r="MUF34" s="204"/>
      <c r="MUG34" s="204"/>
      <c r="MUH34" s="204"/>
      <c r="MUI34" s="204"/>
      <c r="MUJ34" s="204"/>
      <c r="MUK34" s="204"/>
      <c r="MUL34" s="204"/>
      <c r="MUM34" s="204"/>
      <c r="MUN34" s="204"/>
      <c r="MUO34" s="204"/>
      <c r="MUP34" s="204"/>
      <c r="MUQ34" s="204"/>
      <c r="MUR34" s="204"/>
      <c r="MUS34" s="204"/>
      <c r="MUT34" s="204"/>
      <c r="MUU34" s="204"/>
      <c r="MUV34" s="204"/>
      <c r="MUW34" s="204"/>
      <c r="MUX34" s="204"/>
      <c r="MUY34" s="204"/>
      <c r="MUZ34" s="204"/>
      <c r="MVA34" s="204"/>
      <c r="MVB34" s="204"/>
      <c r="MVC34" s="204"/>
      <c r="MVD34" s="204"/>
      <c r="MVE34" s="204"/>
      <c r="MVF34" s="204"/>
      <c r="MVG34" s="204"/>
      <c r="MVH34" s="204"/>
      <c r="MVI34" s="204"/>
      <c r="MVJ34" s="204"/>
      <c r="MVK34" s="204"/>
      <c r="MVL34" s="204"/>
      <c r="MVM34" s="204"/>
      <c r="MVN34" s="204"/>
      <c r="MVO34" s="204"/>
      <c r="MVP34" s="204"/>
      <c r="MVQ34" s="204"/>
      <c r="MVR34" s="204"/>
      <c r="MVS34" s="204"/>
      <c r="MVT34" s="204"/>
      <c r="MVU34" s="204"/>
      <c r="MVV34" s="204"/>
      <c r="MVW34" s="204"/>
      <c r="MVX34" s="204"/>
      <c r="MVY34" s="204"/>
      <c r="MVZ34" s="204"/>
      <c r="MWA34" s="204"/>
      <c r="MWB34" s="204"/>
      <c r="MWC34" s="204"/>
      <c r="MWD34" s="204"/>
      <c r="MWE34" s="204"/>
      <c r="MWF34" s="204"/>
      <c r="MWG34" s="204"/>
      <c r="MWH34" s="204"/>
      <c r="MWI34" s="204"/>
      <c r="MWJ34" s="204"/>
      <c r="MWK34" s="204"/>
      <c r="MWL34" s="204"/>
      <c r="MWM34" s="204"/>
      <c r="MWN34" s="204"/>
      <c r="MWO34" s="204"/>
      <c r="MWP34" s="204"/>
      <c r="MWQ34" s="204"/>
      <c r="MWR34" s="204"/>
      <c r="MWS34" s="204"/>
      <c r="MWT34" s="204"/>
      <c r="MWU34" s="204"/>
      <c r="MWV34" s="204"/>
      <c r="MWW34" s="204"/>
      <c r="MWX34" s="204"/>
      <c r="MWY34" s="204"/>
      <c r="MWZ34" s="204"/>
      <c r="MXA34" s="204"/>
      <c r="MXB34" s="204"/>
      <c r="MXC34" s="204"/>
      <c r="MXD34" s="204"/>
      <c r="MXE34" s="204"/>
      <c r="MXF34" s="204"/>
      <c r="MXG34" s="204"/>
      <c r="MXH34" s="204"/>
      <c r="MXI34" s="204"/>
      <c r="MXJ34" s="204"/>
      <c r="MXK34" s="204"/>
      <c r="MXL34" s="204"/>
      <c r="MXM34" s="204"/>
      <c r="MXN34" s="204"/>
      <c r="MXO34" s="204"/>
      <c r="MXP34" s="204"/>
      <c r="MXQ34" s="204"/>
      <c r="MXR34" s="204"/>
      <c r="MXS34" s="204"/>
      <c r="MXT34" s="204"/>
      <c r="MXU34" s="204"/>
      <c r="MXV34" s="204"/>
      <c r="MXW34" s="204"/>
      <c r="MXX34" s="204"/>
      <c r="MXY34" s="204"/>
      <c r="MXZ34" s="204"/>
      <c r="MYA34" s="204"/>
      <c r="MYB34" s="204"/>
      <c r="MYC34" s="204"/>
      <c r="MYD34" s="204"/>
      <c r="MYE34" s="204"/>
      <c r="MYF34" s="204"/>
      <c r="MYG34" s="204"/>
      <c r="MYH34" s="204"/>
      <c r="MYI34" s="204"/>
      <c r="MYJ34" s="204"/>
      <c r="MYK34" s="204"/>
      <c r="MYL34" s="204"/>
      <c r="MYM34" s="204"/>
      <c r="MYN34" s="204"/>
      <c r="MYO34" s="204"/>
      <c r="MYP34" s="204"/>
      <c r="MYQ34" s="204"/>
      <c r="MYR34" s="204"/>
      <c r="MYS34" s="204"/>
      <c r="MYT34" s="204"/>
      <c r="MYU34" s="204"/>
      <c r="MYV34" s="204"/>
      <c r="MYW34" s="204"/>
      <c r="MYX34" s="204"/>
      <c r="MYY34" s="204"/>
      <c r="MYZ34" s="204"/>
      <c r="MZA34" s="204"/>
      <c r="MZB34" s="204"/>
      <c r="MZC34" s="204"/>
      <c r="MZD34" s="204"/>
      <c r="MZE34" s="204"/>
      <c r="MZF34" s="204"/>
      <c r="MZG34" s="204"/>
      <c r="MZH34" s="204"/>
      <c r="MZI34" s="204"/>
      <c r="MZJ34" s="204"/>
      <c r="MZK34" s="204"/>
      <c r="MZL34" s="204"/>
      <c r="MZM34" s="204"/>
      <c r="MZN34" s="204"/>
      <c r="MZO34" s="204"/>
      <c r="MZP34" s="204"/>
      <c r="MZQ34" s="204"/>
      <c r="MZR34" s="204"/>
      <c r="MZS34" s="204"/>
      <c r="MZT34" s="204"/>
      <c r="MZU34" s="204"/>
      <c r="MZV34" s="204"/>
      <c r="MZW34" s="204"/>
      <c r="MZX34" s="204"/>
      <c r="MZY34" s="204"/>
      <c r="MZZ34" s="204"/>
      <c r="NAA34" s="204"/>
      <c r="NAB34" s="204"/>
      <c r="NAC34" s="204"/>
      <c r="NAD34" s="204"/>
      <c r="NAE34" s="204"/>
      <c r="NAF34" s="204"/>
      <c r="NAG34" s="204"/>
      <c r="NAH34" s="204"/>
      <c r="NAI34" s="204"/>
      <c r="NAJ34" s="204"/>
      <c r="NAK34" s="204"/>
      <c r="NAL34" s="204"/>
      <c r="NAM34" s="204"/>
      <c r="NAN34" s="204"/>
      <c r="NAO34" s="204"/>
      <c r="NAP34" s="204"/>
      <c r="NAQ34" s="204"/>
      <c r="NAR34" s="204"/>
      <c r="NAS34" s="204"/>
      <c r="NAT34" s="204"/>
      <c r="NAU34" s="204"/>
      <c r="NAV34" s="204"/>
      <c r="NAW34" s="204"/>
      <c r="NAX34" s="204"/>
      <c r="NAY34" s="204"/>
      <c r="NAZ34" s="204"/>
      <c r="NBA34" s="204"/>
      <c r="NBB34" s="204"/>
      <c r="NBC34" s="204"/>
      <c r="NBD34" s="204"/>
      <c r="NBE34" s="204"/>
      <c r="NBF34" s="204"/>
      <c r="NBG34" s="204"/>
      <c r="NBH34" s="204"/>
      <c r="NBI34" s="204"/>
      <c r="NBJ34" s="204"/>
      <c r="NBK34" s="204"/>
      <c r="NBL34" s="204"/>
      <c r="NBM34" s="204"/>
      <c r="NBN34" s="204"/>
      <c r="NBO34" s="204"/>
      <c r="NBP34" s="204"/>
      <c r="NBQ34" s="204"/>
      <c r="NBR34" s="204"/>
      <c r="NBS34" s="204"/>
      <c r="NBT34" s="204"/>
      <c r="NBU34" s="204"/>
      <c r="NBV34" s="204"/>
      <c r="NBW34" s="204"/>
      <c r="NBX34" s="204"/>
      <c r="NBY34" s="204"/>
      <c r="NBZ34" s="204"/>
      <c r="NCA34" s="204"/>
      <c r="NCB34" s="204"/>
      <c r="NCC34" s="204"/>
      <c r="NCD34" s="204"/>
      <c r="NCE34" s="204"/>
      <c r="NCF34" s="204"/>
      <c r="NCG34" s="204"/>
      <c r="NCH34" s="204"/>
      <c r="NCI34" s="204"/>
      <c r="NCJ34" s="204"/>
      <c r="NCK34" s="204"/>
      <c r="NCL34" s="204"/>
      <c r="NCM34" s="204"/>
      <c r="NCN34" s="204"/>
      <c r="NCO34" s="204"/>
      <c r="NCP34" s="204"/>
      <c r="NCQ34" s="204"/>
      <c r="NCR34" s="204"/>
      <c r="NCS34" s="204"/>
      <c r="NCT34" s="204"/>
      <c r="NCU34" s="204"/>
      <c r="NCV34" s="204"/>
      <c r="NCW34" s="204"/>
      <c r="NCX34" s="204"/>
      <c r="NCY34" s="204"/>
      <c r="NCZ34" s="204"/>
      <c r="NDA34" s="204"/>
      <c r="NDB34" s="204"/>
      <c r="NDC34" s="204"/>
      <c r="NDD34" s="204"/>
      <c r="NDE34" s="204"/>
      <c r="NDF34" s="204"/>
      <c r="NDG34" s="204"/>
      <c r="NDH34" s="204"/>
      <c r="NDI34" s="204"/>
      <c r="NDJ34" s="204"/>
      <c r="NDK34" s="204"/>
      <c r="NDL34" s="204"/>
      <c r="NDM34" s="204"/>
      <c r="NDN34" s="204"/>
      <c r="NDO34" s="204"/>
      <c r="NDP34" s="204"/>
      <c r="NDQ34" s="204"/>
      <c r="NDR34" s="204"/>
      <c r="NDS34" s="204"/>
      <c r="NDT34" s="204"/>
      <c r="NDU34" s="204"/>
      <c r="NDV34" s="204"/>
      <c r="NDW34" s="204"/>
      <c r="NDX34" s="204"/>
      <c r="NDY34" s="204"/>
      <c r="NDZ34" s="204"/>
      <c r="NEA34" s="204"/>
      <c r="NEB34" s="204"/>
      <c r="NEC34" s="204"/>
      <c r="NED34" s="204"/>
      <c r="NEE34" s="204"/>
      <c r="NEF34" s="204"/>
      <c r="NEG34" s="204"/>
      <c r="NEH34" s="204"/>
      <c r="NEI34" s="204"/>
      <c r="NEJ34" s="204"/>
      <c r="NEK34" s="204"/>
      <c r="NEL34" s="204"/>
      <c r="NEM34" s="204"/>
      <c r="NEN34" s="204"/>
      <c r="NEO34" s="204"/>
      <c r="NEP34" s="204"/>
      <c r="NEQ34" s="204"/>
      <c r="NER34" s="204"/>
      <c r="NES34" s="204"/>
      <c r="NET34" s="204"/>
      <c r="NEU34" s="204"/>
      <c r="NEV34" s="204"/>
      <c r="NEW34" s="204"/>
      <c r="NEX34" s="204"/>
      <c r="NEY34" s="204"/>
      <c r="NEZ34" s="204"/>
      <c r="NFA34" s="204"/>
      <c r="NFB34" s="204"/>
      <c r="NFC34" s="204"/>
      <c r="NFD34" s="204"/>
      <c r="NFE34" s="204"/>
      <c r="NFF34" s="204"/>
      <c r="NFG34" s="204"/>
      <c r="NFH34" s="204"/>
      <c r="NFI34" s="204"/>
      <c r="NFJ34" s="204"/>
      <c r="NFK34" s="204"/>
      <c r="NFL34" s="204"/>
      <c r="NFM34" s="204"/>
      <c r="NFN34" s="204"/>
      <c r="NFO34" s="204"/>
      <c r="NFP34" s="204"/>
      <c r="NFQ34" s="204"/>
      <c r="NFR34" s="204"/>
      <c r="NFS34" s="204"/>
      <c r="NFT34" s="204"/>
      <c r="NFU34" s="204"/>
      <c r="NFV34" s="204"/>
      <c r="NFW34" s="204"/>
      <c r="NFX34" s="204"/>
      <c r="NFY34" s="204"/>
      <c r="NFZ34" s="204"/>
      <c r="NGA34" s="204"/>
      <c r="NGB34" s="204"/>
      <c r="NGC34" s="204"/>
      <c r="NGD34" s="204"/>
      <c r="NGE34" s="204"/>
      <c r="NGF34" s="204"/>
      <c r="NGG34" s="204"/>
      <c r="NGH34" s="204"/>
      <c r="NGI34" s="204"/>
      <c r="NGJ34" s="204"/>
      <c r="NGK34" s="204"/>
      <c r="NGL34" s="204"/>
      <c r="NGM34" s="204"/>
      <c r="NGN34" s="204"/>
      <c r="NGO34" s="204"/>
      <c r="NGP34" s="204"/>
      <c r="NGQ34" s="204"/>
      <c r="NGR34" s="204"/>
      <c r="NGS34" s="204"/>
      <c r="NGT34" s="204"/>
      <c r="NGU34" s="204"/>
      <c r="NGV34" s="204"/>
      <c r="NGW34" s="204"/>
      <c r="NGX34" s="204"/>
      <c r="NGY34" s="204"/>
      <c r="NGZ34" s="204"/>
      <c r="NHA34" s="204"/>
      <c r="NHB34" s="204"/>
      <c r="NHC34" s="204"/>
      <c r="NHD34" s="204"/>
      <c r="NHE34" s="204"/>
      <c r="NHF34" s="204"/>
      <c r="NHG34" s="204"/>
      <c r="NHH34" s="204"/>
      <c r="NHI34" s="204"/>
      <c r="NHJ34" s="204"/>
      <c r="NHK34" s="204"/>
      <c r="NHL34" s="204"/>
      <c r="NHM34" s="204"/>
      <c r="NHN34" s="204"/>
      <c r="NHO34" s="204"/>
      <c r="NHP34" s="204"/>
      <c r="NHQ34" s="204"/>
      <c r="NHR34" s="204"/>
      <c r="NHS34" s="204"/>
      <c r="NHT34" s="204"/>
      <c r="NHU34" s="204"/>
      <c r="NHV34" s="204"/>
      <c r="NHW34" s="204"/>
      <c r="NHX34" s="204"/>
      <c r="NHY34" s="204"/>
      <c r="NHZ34" s="204"/>
      <c r="NIA34" s="204"/>
      <c r="NIB34" s="204"/>
      <c r="NIC34" s="204"/>
      <c r="NID34" s="204"/>
      <c r="NIE34" s="204"/>
      <c r="NIF34" s="204"/>
      <c r="NIG34" s="204"/>
      <c r="NIH34" s="204"/>
      <c r="NII34" s="204"/>
      <c r="NIJ34" s="204"/>
      <c r="NIK34" s="204"/>
      <c r="NIL34" s="204"/>
      <c r="NIM34" s="204"/>
      <c r="NIN34" s="204"/>
      <c r="NIO34" s="204"/>
      <c r="NIP34" s="204"/>
      <c r="NIQ34" s="204"/>
      <c r="NIR34" s="204"/>
      <c r="NIS34" s="204"/>
      <c r="NIT34" s="204"/>
      <c r="NIU34" s="204"/>
      <c r="NIV34" s="204"/>
      <c r="NIW34" s="204"/>
      <c r="NIX34" s="204"/>
      <c r="NIY34" s="204"/>
      <c r="NIZ34" s="204"/>
      <c r="NJA34" s="204"/>
      <c r="NJB34" s="204"/>
      <c r="NJC34" s="204"/>
      <c r="NJD34" s="204"/>
      <c r="NJE34" s="204"/>
      <c r="NJF34" s="204"/>
      <c r="NJG34" s="204"/>
      <c r="NJH34" s="204"/>
      <c r="NJI34" s="204"/>
      <c r="NJJ34" s="204"/>
      <c r="NJK34" s="204"/>
      <c r="NJL34" s="204"/>
      <c r="NJM34" s="204"/>
      <c r="NJN34" s="204"/>
      <c r="NJO34" s="204"/>
      <c r="NJP34" s="204"/>
      <c r="NJQ34" s="204"/>
      <c r="NJR34" s="204"/>
      <c r="NJS34" s="204"/>
      <c r="NJT34" s="204"/>
      <c r="NJU34" s="204"/>
      <c r="NJV34" s="204"/>
      <c r="NJW34" s="204"/>
      <c r="NJX34" s="204"/>
      <c r="NJY34" s="204"/>
      <c r="NJZ34" s="204"/>
      <c r="NKA34" s="204"/>
      <c r="NKB34" s="204"/>
      <c r="NKC34" s="204"/>
      <c r="NKD34" s="204"/>
      <c r="NKE34" s="204"/>
      <c r="NKF34" s="204"/>
      <c r="NKG34" s="204"/>
      <c r="NKH34" s="204"/>
      <c r="NKI34" s="204"/>
      <c r="NKJ34" s="204"/>
      <c r="NKK34" s="204"/>
      <c r="NKL34" s="204"/>
      <c r="NKM34" s="204"/>
      <c r="NKN34" s="204"/>
      <c r="NKO34" s="204"/>
      <c r="NKP34" s="204"/>
      <c r="NKQ34" s="204"/>
      <c r="NKR34" s="204"/>
      <c r="NKS34" s="204"/>
      <c r="NKT34" s="204"/>
      <c r="NKU34" s="204"/>
      <c r="NKV34" s="204"/>
      <c r="NKW34" s="204"/>
      <c r="NKX34" s="204"/>
      <c r="NKY34" s="204"/>
      <c r="NKZ34" s="204"/>
      <c r="NLA34" s="204"/>
      <c r="NLB34" s="204"/>
      <c r="NLC34" s="204"/>
      <c r="NLD34" s="204"/>
      <c r="NLE34" s="204"/>
      <c r="NLF34" s="204"/>
      <c r="NLG34" s="204"/>
      <c r="NLH34" s="204"/>
      <c r="NLI34" s="204"/>
      <c r="NLJ34" s="204"/>
      <c r="NLK34" s="204"/>
      <c r="NLL34" s="204"/>
      <c r="NLM34" s="204"/>
      <c r="NLN34" s="204"/>
      <c r="NLO34" s="204"/>
      <c r="NLP34" s="204"/>
      <c r="NLQ34" s="204"/>
      <c r="NLR34" s="204"/>
      <c r="NLS34" s="204"/>
      <c r="NLT34" s="204"/>
      <c r="NLU34" s="204"/>
      <c r="NLV34" s="204"/>
      <c r="NLW34" s="204"/>
      <c r="NLX34" s="204"/>
      <c r="NLY34" s="204"/>
      <c r="NLZ34" s="204"/>
      <c r="NMA34" s="204"/>
      <c r="NMB34" s="204"/>
      <c r="NMC34" s="204"/>
      <c r="NMD34" s="204"/>
      <c r="NME34" s="204"/>
      <c r="NMF34" s="204"/>
      <c r="NMG34" s="204"/>
      <c r="NMH34" s="204"/>
      <c r="NMI34" s="204"/>
      <c r="NMJ34" s="204"/>
      <c r="NMK34" s="204"/>
      <c r="NML34" s="204"/>
      <c r="NMM34" s="204"/>
      <c r="NMN34" s="204"/>
      <c r="NMO34" s="204"/>
      <c r="NMP34" s="204"/>
      <c r="NMQ34" s="204"/>
      <c r="NMR34" s="204"/>
      <c r="NMS34" s="204"/>
      <c r="NMT34" s="204"/>
      <c r="NMU34" s="204"/>
      <c r="NMV34" s="204"/>
      <c r="NMW34" s="204"/>
      <c r="NMX34" s="204"/>
      <c r="NMY34" s="204"/>
      <c r="NMZ34" s="204"/>
      <c r="NNA34" s="204"/>
      <c r="NNB34" s="204"/>
      <c r="NNC34" s="204"/>
      <c r="NND34" s="204"/>
      <c r="NNE34" s="204"/>
      <c r="NNF34" s="204"/>
      <c r="NNG34" s="204"/>
      <c r="NNH34" s="204"/>
      <c r="NNI34" s="204"/>
      <c r="NNJ34" s="204"/>
      <c r="NNK34" s="204"/>
      <c r="NNL34" s="204"/>
      <c r="NNM34" s="204"/>
      <c r="NNN34" s="204"/>
      <c r="NNO34" s="204"/>
      <c r="NNP34" s="204"/>
      <c r="NNQ34" s="204"/>
      <c r="NNR34" s="204"/>
      <c r="NNS34" s="204"/>
      <c r="NNT34" s="204"/>
      <c r="NNU34" s="204"/>
      <c r="NNV34" s="204"/>
      <c r="NNW34" s="204"/>
      <c r="NNX34" s="204"/>
      <c r="NNY34" s="204"/>
      <c r="NNZ34" s="204"/>
      <c r="NOA34" s="204"/>
      <c r="NOB34" s="204"/>
      <c r="NOC34" s="204"/>
      <c r="NOD34" s="204"/>
      <c r="NOE34" s="204"/>
      <c r="NOF34" s="204"/>
      <c r="NOG34" s="204"/>
      <c r="NOH34" s="204"/>
      <c r="NOI34" s="204"/>
      <c r="NOJ34" s="204"/>
      <c r="NOK34" s="204"/>
      <c r="NOL34" s="204"/>
      <c r="NOM34" s="204"/>
      <c r="NON34" s="204"/>
      <c r="NOO34" s="204"/>
      <c r="NOP34" s="204"/>
      <c r="NOQ34" s="204"/>
      <c r="NOR34" s="204"/>
      <c r="NOS34" s="204"/>
      <c r="NOT34" s="204"/>
      <c r="NOU34" s="204"/>
      <c r="NOV34" s="204"/>
      <c r="NOW34" s="204"/>
      <c r="NOX34" s="204"/>
      <c r="NOY34" s="204"/>
      <c r="NOZ34" s="204"/>
      <c r="NPA34" s="204"/>
      <c r="NPB34" s="204"/>
      <c r="NPC34" s="204"/>
      <c r="NPD34" s="204"/>
      <c r="NPE34" s="204"/>
      <c r="NPF34" s="204"/>
      <c r="NPG34" s="204"/>
      <c r="NPH34" s="204"/>
      <c r="NPI34" s="204"/>
      <c r="NPJ34" s="204"/>
      <c r="NPK34" s="204"/>
      <c r="NPL34" s="204"/>
      <c r="NPM34" s="204"/>
      <c r="NPN34" s="204"/>
      <c r="NPO34" s="204"/>
      <c r="NPP34" s="204"/>
      <c r="NPQ34" s="204"/>
      <c r="NPR34" s="204"/>
      <c r="NPS34" s="204"/>
      <c r="NPT34" s="204"/>
      <c r="NPU34" s="204"/>
      <c r="NPV34" s="204"/>
      <c r="NPW34" s="204"/>
      <c r="NPX34" s="204"/>
      <c r="NPY34" s="204"/>
      <c r="NPZ34" s="204"/>
      <c r="NQA34" s="204"/>
      <c r="NQB34" s="204"/>
      <c r="NQC34" s="204"/>
      <c r="NQD34" s="204"/>
      <c r="NQE34" s="204"/>
      <c r="NQF34" s="204"/>
      <c r="NQG34" s="204"/>
      <c r="NQH34" s="204"/>
      <c r="NQI34" s="204"/>
      <c r="NQJ34" s="204"/>
      <c r="NQK34" s="204"/>
      <c r="NQL34" s="204"/>
      <c r="NQM34" s="204"/>
      <c r="NQN34" s="204"/>
      <c r="NQO34" s="204"/>
      <c r="NQP34" s="204"/>
      <c r="NQQ34" s="204"/>
      <c r="NQR34" s="204"/>
      <c r="NQS34" s="204"/>
      <c r="NQT34" s="204"/>
      <c r="NQU34" s="204"/>
      <c r="NQV34" s="204"/>
      <c r="NQW34" s="204"/>
      <c r="NQX34" s="204"/>
      <c r="NQY34" s="204"/>
      <c r="NQZ34" s="204"/>
      <c r="NRA34" s="204"/>
      <c r="NRB34" s="204"/>
      <c r="NRC34" s="204"/>
      <c r="NRD34" s="204"/>
      <c r="NRE34" s="204"/>
      <c r="NRF34" s="204"/>
      <c r="NRG34" s="204"/>
      <c r="NRH34" s="204"/>
      <c r="NRI34" s="204"/>
      <c r="NRJ34" s="204"/>
      <c r="NRK34" s="204"/>
      <c r="NRL34" s="204"/>
      <c r="NRM34" s="204"/>
      <c r="NRN34" s="204"/>
      <c r="NRO34" s="204"/>
      <c r="NRP34" s="204"/>
      <c r="NRQ34" s="204"/>
      <c r="NRR34" s="204"/>
      <c r="NRS34" s="204"/>
      <c r="NRT34" s="204"/>
      <c r="NRU34" s="204"/>
      <c r="NRV34" s="204"/>
      <c r="NRW34" s="204"/>
      <c r="NRX34" s="204"/>
      <c r="NRY34" s="204"/>
      <c r="NRZ34" s="204"/>
      <c r="NSA34" s="204"/>
      <c r="NSB34" s="204"/>
      <c r="NSC34" s="204"/>
      <c r="NSD34" s="204"/>
      <c r="NSE34" s="204"/>
      <c r="NSF34" s="204"/>
      <c r="NSG34" s="204"/>
      <c r="NSH34" s="204"/>
      <c r="NSI34" s="204"/>
      <c r="NSJ34" s="204"/>
      <c r="NSK34" s="204"/>
      <c r="NSL34" s="204"/>
      <c r="NSM34" s="204"/>
      <c r="NSN34" s="204"/>
      <c r="NSO34" s="204"/>
      <c r="NSP34" s="204"/>
      <c r="NSQ34" s="204"/>
      <c r="NSR34" s="204"/>
      <c r="NSS34" s="204"/>
      <c r="NST34" s="204"/>
      <c r="NSU34" s="204"/>
      <c r="NSV34" s="204"/>
      <c r="NSW34" s="204"/>
      <c r="NSX34" s="204"/>
      <c r="NSY34" s="204"/>
      <c r="NSZ34" s="204"/>
      <c r="NTA34" s="204"/>
      <c r="NTB34" s="204"/>
      <c r="NTC34" s="204"/>
      <c r="NTD34" s="204"/>
      <c r="NTE34" s="204"/>
      <c r="NTF34" s="204"/>
      <c r="NTG34" s="204"/>
      <c r="NTH34" s="204"/>
      <c r="NTI34" s="204"/>
      <c r="NTJ34" s="204"/>
      <c r="NTK34" s="204"/>
      <c r="NTL34" s="204"/>
      <c r="NTM34" s="204"/>
      <c r="NTN34" s="204"/>
      <c r="NTO34" s="204"/>
      <c r="NTP34" s="204"/>
      <c r="NTQ34" s="204"/>
      <c r="NTR34" s="204"/>
      <c r="NTS34" s="204"/>
      <c r="NTT34" s="204"/>
      <c r="NTU34" s="204"/>
      <c r="NTV34" s="204"/>
      <c r="NTW34" s="204"/>
      <c r="NTX34" s="204"/>
      <c r="NTY34" s="204"/>
      <c r="NTZ34" s="204"/>
      <c r="NUA34" s="204"/>
      <c r="NUB34" s="204"/>
      <c r="NUC34" s="204"/>
      <c r="NUD34" s="204"/>
      <c r="NUE34" s="204"/>
      <c r="NUF34" s="204"/>
      <c r="NUG34" s="204"/>
      <c r="NUH34" s="204"/>
      <c r="NUI34" s="204"/>
      <c r="NUJ34" s="204"/>
      <c r="NUK34" s="204"/>
      <c r="NUL34" s="204"/>
      <c r="NUM34" s="204"/>
      <c r="NUN34" s="204"/>
      <c r="NUO34" s="204"/>
      <c r="NUP34" s="204"/>
      <c r="NUQ34" s="204"/>
      <c r="NUR34" s="204"/>
      <c r="NUS34" s="204"/>
      <c r="NUT34" s="204"/>
      <c r="NUU34" s="204"/>
      <c r="NUV34" s="204"/>
      <c r="NUW34" s="204"/>
      <c r="NUX34" s="204"/>
      <c r="NUY34" s="204"/>
      <c r="NUZ34" s="204"/>
      <c r="NVA34" s="204"/>
      <c r="NVB34" s="204"/>
      <c r="NVC34" s="204"/>
      <c r="NVD34" s="204"/>
      <c r="NVE34" s="204"/>
      <c r="NVF34" s="204"/>
      <c r="NVG34" s="204"/>
      <c r="NVH34" s="204"/>
      <c r="NVI34" s="204"/>
      <c r="NVJ34" s="204"/>
      <c r="NVK34" s="204"/>
      <c r="NVL34" s="204"/>
      <c r="NVM34" s="204"/>
      <c r="NVN34" s="204"/>
      <c r="NVO34" s="204"/>
      <c r="NVP34" s="204"/>
      <c r="NVQ34" s="204"/>
      <c r="NVR34" s="204"/>
      <c r="NVS34" s="204"/>
      <c r="NVT34" s="204"/>
      <c r="NVU34" s="204"/>
      <c r="NVV34" s="204"/>
      <c r="NVW34" s="204"/>
      <c r="NVX34" s="204"/>
      <c r="NVY34" s="204"/>
      <c r="NVZ34" s="204"/>
      <c r="NWA34" s="204"/>
      <c r="NWB34" s="204"/>
      <c r="NWC34" s="204"/>
      <c r="NWD34" s="204"/>
      <c r="NWE34" s="204"/>
      <c r="NWF34" s="204"/>
      <c r="NWG34" s="204"/>
      <c r="NWH34" s="204"/>
      <c r="NWI34" s="204"/>
      <c r="NWJ34" s="204"/>
      <c r="NWK34" s="204"/>
      <c r="NWL34" s="204"/>
      <c r="NWM34" s="204"/>
      <c r="NWN34" s="204"/>
      <c r="NWO34" s="204"/>
      <c r="NWP34" s="204"/>
      <c r="NWQ34" s="204"/>
      <c r="NWR34" s="204"/>
      <c r="NWS34" s="204"/>
      <c r="NWT34" s="204"/>
      <c r="NWU34" s="204"/>
      <c r="NWV34" s="204"/>
      <c r="NWW34" s="204"/>
      <c r="NWX34" s="204"/>
      <c r="NWY34" s="204"/>
      <c r="NWZ34" s="204"/>
      <c r="NXA34" s="204"/>
      <c r="NXB34" s="204"/>
      <c r="NXC34" s="204"/>
      <c r="NXD34" s="204"/>
      <c r="NXE34" s="204"/>
      <c r="NXF34" s="204"/>
      <c r="NXG34" s="204"/>
      <c r="NXH34" s="204"/>
      <c r="NXI34" s="204"/>
      <c r="NXJ34" s="204"/>
      <c r="NXK34" s="204"/>
      <c r="NXL34" s="204"/>
      <c r="NXM34" s="204"/>
      <c r="NXN34" s="204"/>
      <c r="NXO34" s="204"/>
      <c r="NXP34" s="204"/>
      <c r="NXQ34" s="204"/>
      <c r="NXR34" s="204"/>
      <c r="NXS34" s="204"/>
      <c r="NXT34" s="204"/>
      <c r="NXU34" s="204"/>
      <c r="NXV34" s="204"/>
      <c r="NXW34" s="204"/>
      <c r="NXX34" s="204"/>
      <c r="NXY34" s="204"/>
      <c r="NXZ34" s="204"/>
      <c r="NYA34" s="204"/>
      <c r="NYB34" s="204"/>
      <c r="NYC34" s="204"/>
      <c r="NYD34" s="204"/>
      <c r="NYE34" s="204"/>
      <c r="NYF34" s="204"/>
      <c r="NYG34" s="204"/>
      <c r="NYH34" s="204"/>
      <c r="NYI34" s="204"/>
      <c r="NYJ34" s="204"/>
      <c r="NYK34" s="204"/>
      <c r="NYL34" s="204"/>
      <c r="NYM34" s="204"/>
      <c r="NYN34" s="204"/>
      <c r="NYO34" s="204"/>
      <c r="NYP34" s="204"/>
      <c r="NYQ34" s="204"/>
      <c r="NYR34" s="204"/>
      <c r="NYS34" s="204"/>
      <c r="NYT34" s="204"/>
      <c r="NYU34" s="204"/>
      <c r="NYV34" s="204"/>
      <c r="NYW34" s="204"/>
      <c r="NYX34" s="204"/>
      <c r="NYY34" s="204"/>
      <c r="NYZ34" s="204"/>
      <c r="NZA34" s="204"/>
      <c r="NZB34" s="204"/>
      <c r="NZC34" s="204"/>
      <c r="NZD34" s="204"/>
      <c r="NZE34" s="204"/>
      <c r="NZF34" s="204"/>
      <c r="NZG34" s="204"/>
      <c r="NZH34" s="204"/>
      <c r="NZI34" s="204"/>
      <c r="NZJ34" s="204"/>
      <c r="NZK34" s="204"/>
      <c r="NZL34" s="204"/>
      <c r="NZM34" s="204"/>
      <c r="NZN34" s="204"/>
      <c r="NZO34" s="204"/>
      <c r="NZP34" s="204"/>
      <c r="NZQ34" s="204"/>
      <c r="NZR34" s="204"/>
      <c r="NZS34" s="204"/>
      <c r="NZT34" s="204"/>
      <c r="NZU34" s="204"/>
      <c r="NZV34" s="204"/>
      <c r="NZW34" s="204"/>
      <c r="NZX34" s="204"/>
      <c r="NZY34" s="204"/>
      <c r="NZZ34" s="204"/>
      <c r="OAA34" s="204"/>
      <c r="OAB34" s="204"/>
      <c r="OAC34" s="204"/>
      <c r="OAD34" s="204"/>
      <c r="OAE34" s="204"/>
      <c r="OAF34" s="204"/>
      <c r="OAG34" s="204"/>
      <c r="OAH34" s="204"/>
      <c r="OAI34" s="204"/>
      <c r="OAJ34" s="204"/>
      <c r="OAK34" s="204"/>
      <c r="OAL34" s="204"/>
      <c r="OAM34" s="204"/>
      <c r="OAN34" s="204"/>
      <c r="OAO34" s="204"/>
      <c r="OAP34" s="204"/>
      <c r="OAQ34" s="204"/>
      <c r="OAR34" s="204"/>
      <c r="OAS34" s="204"/>
      <c r="OAT34" s="204"/>
      <c r="OAU34" s="204"/>
      <c r="OAV34" s="204"/>
      <c r="OAW34" s="204"/>
      <c r="OAX34" s="204"/>
      <c r="OAY34" s="204"/>
      <c r="OAZ34" s="204"/>
      <c r="OBA34" s="204"/>
      <c r="OBB34" s="204"/>
      <c r="OBC34" s="204"/>
      <c r="OBD34" s="204"/>
      <c r="OBE34" s="204"/>
      <c r="OBF34" s="204"/>
      <c r="OBG34" s="204"/>
      <c r="OBH34" s="204"/>
      <c r="OBI34" s="204"/>
      <c r="OBJ34" s="204"/>
      <c r="OBK34" s="204"/>
      <c r="OBL34" s="204"/>
      <c r="OBM34" s="204"/>
      <c r="OBN34" s="204"/>
      <c r="OBO34" s="204"/>
      <c r="OBP34" s="204"/>
      <c r="OBQ34" s="204"/>
      <c r="OBR34" s="204"/>
      <c r="OBS34" s="204"/>
      <c r="OBT34" s="204"/>
      <c r="OBU34" s="204"/>
      <c r="OBV34" s="204"/>
      <c r="OBW34" s="204"/>
      <c r="OBX34" s="204"/>
      <c r="OBY34" s="204"/>
      <c r="OBZ34" s="204"/>
      <c r="OCA34" s="204"/>
      <c r="OCB34" s="204"/>
      <c r="OCC34" s="204"/>
      <c r="OCD34" s="204"/>
      <c r="OCE34" s="204"/>
      <c r="OCF34" s="204"/>
      <c r="OCG34" s="204"/>
      <c r="OCH34" s="204"/>
      <c r="OCI34" s="204"/>
      <c r="OCJ34" s="204"/>
      <c r="OCK34" s="204"/>
      <c r="OCL34" s="204"/>
      <c r="OCM34" s="204"/>
      <c r="OCN34" s="204"/>
      <c r="OCO34" s="204"/>
      <c r="OCP34" s="204"/>
      <c r="OCQ34" s="204"/>
      <c r="OCR34" s="204"/>
      <c r="OCS34" s="204"/>
      <c r="OCT34" s="204"/>
      <c r="OCU34" s="204"/>
      <c r="OCV34" s="204"/>
      <c r="OCW34" s="204"/>
      <c r="OCX34" s="204"/>
      <c r="OCY34" s="204"/>
      <c r="OCZ34" s="204"/>
      <c r="ODA34" s="204"/>
      <c r="ODB34" s="204"/>
      <c r="ODC34" s="204"/>
      <c r="ODD34" s="204"/>
      <c r="ODE34" s="204"/>
      <c r="ODF34" s="204"/>
      <c r="ODG34" s="204"/>
      <c r="ODH34" s="204"/>
      <c r="ODI34" s="204"/>
      <c r="ODJ34" s="204"/>
      <c r="ODK34" s="204"/>
      <c r="ODL34" s="204"/>
      <c r="ODM34" s="204"/>
      <c r="ODN34" s="204"/>
      <c r="ODO34" s="204"/>
      <c r="ODP34" s="204"/>
      <c r="ODQ34" s="204"/>
      <c r="ODR34" s="204"/>
      <c r="ODS34" s="204"/>
      <c r="ODT34" s="204"/>
      <c r="ODU34" s="204"/>
      <c r="ODV34" s="204"/>
      <c r="ODW34" s="204"/>
      <c r="ODX34" s="204"/>
      <c r="ODY34" s="204"/>
      <c r="ODZ34" s="204"/>
      <c r="OEA34" s="204"/>
      <c r="OEB34" s="204"/>
      <c r="OEC34" s="204"/>
      <c r="OED34" s="204"/>
      <c r="OEE34" s="204"/>
      <c r="OEF34" s="204"/>
      <c r="OEG34" s="204"/>
      <c r="OEH34" s="204"/>
      <c r="OEI34" s="204"/>
      <c r="OEJ34" s="204"/>
      <c r="OEK34" s="204"/>
      <c r="OEL34" s="204"/>
      <c r="OEM34" s="204"/>
      <c r="OEN34" s="204"/>
      <c r="OEO34" s="204"/>
      <c r="OEP34" s="204"/>
      <c r="OEQ34" s="204"/>
      <c r="OER34" s="204"/>
      <c r="OES34" s="204"/>
      <c r="OET34" s="204"/>
      <c r="OEU34" s="204"/>
      <c r="OEV34" s="204"/>
      <c r="OEW34" s="204"/>
      <c r="OEX34" s="204"/>
      <c r="OEY34" s="204"/>
      <c r="OEZ34" s="204"/>
      <c r="OFA34" s="204"/>
      <c r="OFB34" s="204"/>
      <c r="OFC34" s="204"/>
      <c r="OFD34" s="204"/>
      <c r="OFE34" s="204"/>
      <c r="OFF34" s="204"/>
      <c r="OFG34" s="204"/>
      <c r="OFH34" s="204"/>
      <c r="OFI34" s="204"/>
      <c r="OFJ34" s="204"/>
      <c r="OFK34" s="204"/>
      <c r="OFL34" s="204"/>
      <c r="OFM34" s="204"/>
      <c r="OFN34" s="204"/>
      <c r="OFO34" s="204"/>
      <c r="OFP34" s="204"/>
      <c r="OFQ34" s="204"/>
      <c r="OFR34" s="204"/>
      <c r="OFS34" s="204"/>
      <c r="OFT34" s="204"/>
      <c r="OFU34" s="204"/>
      <c r="OFV34" s="204"/>
      <c r="OFW34" s="204"/>
      <c r="OFX34" s="204"/>
      <c r="OFY34" s="204"/>
      <c r="OFZ34" s="204"/>
      <c r="OGA34" s="204"/>
      <c r="OGB34" s="204"/>
      <c r="OGC34" s="204"/>
      <c r="OGD34" s="204"/>
      <c r="OGE34" s="204"/>
      <c r="OGF34" s="204"/>
      <c r="OGG34" s="204"/>
      <c r="OGH34" s="204"/>
      <c r="OGI34" s="204"/>
      <c r="OGJ34" s="204"/>
      <c r="OGK34" s="204"/>
      <c r="OGL34" s="204"/>
      <c r="OGM34" s="204"/>
      <c r="OGN34" s="204"/>
      <c r="OGO34" s="204"/>
      <c r="OGP34" s="204"/>
      <c r="OGQ34" s="204"/>
      <c r="OGR34" s="204"/>
      <c r="OGS34" s="204"/>
      <c r="OGT34" s="204"/>
      <c r="OGU34" s="204"/>
      <c r="OGV34" s="204"/>
      <c r="OGW34" s="204"/>
      <c r="OGX34" s="204"/>
      <c r="OGY34" s="204"/>
      <c r="OGZ34" s="204"/>
      <c r="OHA34" s="204"/>
      <c r="OHB34" s="204"/>
      <c r="OHC34" s="204"/>
      <c r="OHD34" s="204"/>
      <c r="OHE34" s="204"/>
      <c r="OHF34" s="204"/>
      <c r="OHG34" s="204"/>
      <c r="OHH34" s="204"/>
      <c r="OHI34" s="204"/>
      <c r="OHJ34" s="204"/>
      <c r="OHK34" s="204"/>
      <c r="OHL34" s="204"/>
      <c r="OHM34" s="204"/>
      <c r="OHN34" s="204"/>
      <c r="OHO34" s="204"/>
      <c r="OHP34" s="204"/>
      <c r="OHQ34" s="204"/>
      <c r="OHR34" s="204"/>
      <c r="OHS34" s="204"/>
      <c r="OHT34" s="204"/>
      <c r="OHU34" s="204"/>
      <c r="OHV34" s="204"/>
      <c r="OHW34" s="204"/>
      <c r="OHX34" s="204"/>
      <c r="OHY34" s="204"/>
      <c r="OHZ34" s="204"/>
      <c r="OIA34" s="204"/>
      <c r="OIB34" s="204"/>
      <c r="OIC34" s="204"/>
      <c r="OID34" s="204"/>
      <c r="OIE34" s="204"/>
      <c r="OIF34" s="204"/>
      <c r="OIG34" s="204"/>
      <c r="OIH34" s="204"/>
      <c r="OII34" s="204"/>
      <c r="OIJ34" s="204"/>
      <c r="OIK34" s="204"/>
      <c r="OIL34" s="204"/>
      <c r="OIM34" s="204"/>
      <c r="OIN34" s="204"/>
      <c r="OIO34" s="204"/>
      <c r="OIP34" s="204"/>
      <c r="OIQ34" s="204"/>
      <c r="OIR34" s="204"/>
      <c r="OIS34" s="204"/>
      <c r="OIT34" s="204"/>
      <c r="OIU34" s="204"/>
      <c r="OIV34" s="204"/>
      <c r="OIW34" s="204"/>
      <c r="OIX34" s="204"/>
      <c r="OIY34" s="204"/>
      <c r="OIZ34" s="204"/>
      <c r="OJA34" s="204"/>
      <c r="OJB34" s="204"/>
      <c r="OJC34" s="204"/>
      <c r="OJD34" s="204"/>
      <c r="OJE34" s="204"/>
      <c r="OJF34" s="204"/>
      <c r="OJG34" s="204"/>
      <c r="OJH34" s="204"/>
      <c r="OJI34" s="204"/>
      <c r="OJJ34" s="204"/>
      <c r="OJK34" s="204"/>
      <c r="OJL34" s="204"/>
      <c r="OJM34" s="204"/>
      <c r="OJN34" s="204"/>
      <c r="OJO34" s="204"/>
      <c r="OJP34" s="204"/>
      <c r="OJQ34" s="204"/>
      <c r="OJR34" s="204"/>
      <c r="OJS34" s="204"/>
      <c r="OJT34" s="204"/>
      <c r="OJU34" s="204"/>
      <c r="OJV34" s="204"/>
      <c r="OJW34" s="204"/>
      <c r="OJX34" s="204"/>
      <c r="OJY34" s="204"/>
      <c r="OJZ34" s="204"/>
      <c r="OKA34" s="204"/>
      <c r="OKB34" s="204"/>
      <c r="OKC34" s="204"/>
      <c r="OKD34" s="204"/>
      <c r="OKE34" s="204"/>
      <c r="OKF34" s="204"/>
      <c r="OKG34" s="204"/>
      <c r="OKH34" s="204"/>
      <c r="OKI34" s="204"/>
      <c r="OKJ34" s="204"/>
      <c r="OKK34" s="204"/>
      <c r="OKL34" s="204"/>
      <c r="OKM34" s="204"/>
      <c r="OKN34" s="204"/>
      <c r="OKO34" s="204"/>
      <c r="OKP34" s="204"/>
      <c r="OKQ34" s="204"/>
      <c r="OKR34" s="204"/>
      <c r="OKS34" s="204"/>
      <c r="OKT34" s="204"/>
      <c r="OKU34" s="204"/>
      <c r="OKV34" s="204"/>
      <c r="OKW34" s="204"/>
      <c r="OKX34" s="204"/>
      <c r="OKY34" s="204"/>
      <c r="OKZ34" s="204"/>
      <c r="OLA34" s="204"/>
      <c r="OLB34" s="204"/>
      <c r="OLC34" s="204"/>
      <c r="OLD34" s="204"/>
      <c r="OLE34" s="204"/>
      <c r="OLF34" s="204"/>
      <c r="OLG34" s="204"/>
      <c r="OLH34" s="204"/>
      <c r="OLI34" s="204"/>
      <c r="OLJ34" s="204"/>
      <c r="OLK34" s="204"/>
      <c r="OLL34" s="204"/>
      <c r="OLM34" s="204"/>
      <c r="OLN34" s="204"/>
      <c r="OLO34" s="204"/>
      <c r="OLP34" s="204"/>
      <c r="OLQ34" s="204"/>
      <c r="OLR34" s="204"/>
      <c r="OLS34" s="204"/>
      <c r="OLT34" s="204"/>
      <c r="OLU34" s="204"/>
      <c r="OLV34" s="204"/>
      <c r="OLW34" s="204"/>
      <c r="OLX34" s="204"/>
      <c r="OLY34" s="204"/>
      <c r="OLZ34" s="204"/>
      <c r="OMA34" s="204"/>
      <c r="OMB34" s="204"/>
      <c r="OMC34" s="204"/>
      <c r="OMD34" s="204"/>
      <c r="OME34" s="204"/>
      <c r="OMF34" s="204"/>
      <c r="OMG34" s="204"/>
      <c r="OMH34" s="204"/>
      <c r="OMI34" s="204"/>
      <c r="OMJ34" s="204"/>
      <c r="OMK34" s="204"/>
      <c r="OML34" s="204"/>
      <c r="OMM34" s="204"/>
      <c r="OMN34" s="204"/>
      <c r="OMO34" s="204"/>
      <c r="OMP34" s="204"/>
      <c r="OMQ34" s="204"/>
      <c r="OMR34" s="204"/>
      <c r="OMS34" s="204"/>
      <c r="OMT34" s="204"/>
      <c r="OMU34" s="204"/>
      <c r="OMV34" s="204"/>
      <c r="OMW34" s="204"/>
      <c r="OMX34" s="204"/>
      <c r="OMY34" s="204"/>
      <c r="OMZ34" s="204"/>
      <c r="ONA34" s="204"/>
      <c r="ONB34" s="204"/>
      <c r="ONC34" s="204"/>
      <c r="OND34" s="204"/>
      <c r="ONE34" s="204"/>
      <c r="ONF34" s="204"/>
      <c r="ONG34" s="204"/>
      <c r="ONH34" s="204"/>
      <c r="ONI34" s="204"/>
      <c r="ONJ34" s="204"/>
      <c r="ONK34" s="204"/>
      <c r="ONL34" s="204"/>
      <c r="ONM34" s="204"/>
      <c r="ONN34" s="204"/>
      <c r="ONO34" s="204"/>
      <c r="ONP34" s="204"/>
      <c r="ONQ34" s="204"/>
      <c r="ONR34" s="204"/>
      <c r="ONS34" s="204"/>
      <c r="ONT34" s="204"/>
      <c r="ONU34" s="204"/>
      <c r="ONV34" s="204"/>
      <c r="ONW34" s="204"/>
      <c r="ONX34" s="204"/>
      <c r="ONY34" s="204"/>
      <c r="ONZ34" s="204"/>
      <c r="OOA34" s="204"/>
      <c r="OOB34" s="204"/>
      <c r="OOC34" s="204"/>
      <c r="OOD34" s="204"/>
      <c r="OOE34" s="204"/>
      <c r="OOF34" s="204"/>
      <c r="OOG34" s="204"/>
      <c r="OOH34" s="204"/>
      <c r="OOI34" s="204"/>
      <c r="OOJ34" s="204"/>
      <c r="OOK34" s="204"/>
      <c r="OOL34" s="204"/>
      <c r="OOM34" s="204"/>
      <c r="OON34" s="204"/>
      <c r="OOO34" s="204"/>
      <c r="OOP34" s="204"/>
      <c r="OOQ34" s="204"/>
      <c r="OOR34" s="204"/>
      <c r="OOS34" s="204"/>
      <c r="OOT34" s="204"/>
      <c r="OOU34" s="204"/>
      <c r="OOV34" s="204"/>
      <c r="OOW34" s="204"/>
      <c r="OOX34" s="204"/>
      <c r="OOY34" s="204"/>
      <c r="OOZ34" s="204"/>
      <c r="OPA34" s="204"/>
      <c r="OPB34" s="204"/>
      <c r="OPC34" s="204"/>
      <c r="OPD34" s="204"/>
      <c r="OPE34" s="204"/>
      <c r="OPF34" s="204"/>
      <c r="OPG34" s="204"/>
      <c r="OPH34" s="204"/>
      <c r="OPI34" s="204"/>
      <c r="OPJ34" s="204"/>
      <c r="OPK34" s="204"/>
      <c r="OPL34" s="204"/>
      <c r="OPM34" s="204"/>
      <c r="OPN34" s="204"/>
      <c r="OPO34" s="204"/>
      <c r="OPP34" s="204"/>
      <c r="OPQ34" s="204"/>
      <c r="OPR34" s="204"/>
      <c r="OPS34" s="204"/>
      <c r="OPT34" s="204"/>
      <c r="OPU34" s="204"/>
      <c r="OPV34" s="204"/>
      <c r="OPW34" s="204"/>
      <c r="OPX34" s="204"/>
      <c r="OPY34" s="204"/>
      <c r="OPZ34" s="204"/>
      <c r="OQA34" s="204"/>
      <c r="OQB34" s="204"/>
      <c r="OQC34" s="204"/>
      <c r="OQD34" s="204"/>
      <c r="OQE34" s="204"/>
      <c r="OQF34" s="204"/>
      <c r="OQG34" s="204"/>
      <c r="OQH34" s="204"/>
      <c r="OQI34" s="204"/>
      <c r="OQJ34" s="204"/>
      <c r="OQK34" s="204"/>
      <c r="OQL34" s="204"/>
      <c r="OQM34" s="204"/>
      <c r="OQN34" s="204"/>
      <c r="OQO34" s="204"/>
      <c r="OQP34" s="204"/>
      <c r="OQQ34" s="204"/>
      <c r="OQR34" s="204"/>
      <c r="OQS34" s="204"/>
      <c r="OQT34" s="204"/>
      <c r="OQU34" s="204"/>
      <c r="OQV34" s="204"/>
      <c r="OQW34" s="204"/>
      <c r="OQX34" s="204"/>
      <c r="OQY34" s="204"/>
      <c r="OQZ34" s="204"/>
      <c r="ORA34" s="204"/>
      <c r="ORB34" s="204"/>
      <c r="ORC34" s="204"/>
      <c r="ORD34" s="204"/>
      <c r="ORE34" s="204"/>
      <c r="ORF34" s="204"/>
      <c r="ORG34" s="204"/>
      <c r="ORH34" s="204"/>
      <c r="ORI34" s="204"/>
      <c r="ORJ34" s="204"/>
      <c r="ORK34" s="204"/>
      <c r="ORL34" s="204"/>
      <c r="ORM34" s="204"/>
      <c r="ORN34" s="204"/>
      <c r="ORO34" s="204"/>
      <c r="ORP34" s="204"/>
      <c r="ORQ34" s="204"/>
      <c r="ORR34" s="204"/>
      <c r="ORS34" s="204"/>
      <c r="ORT34" s="204"/>
      <c r="ORU34" s="204"/>
      <c r="ORV34" s="204"/>
      <c r="ORW34" s="204"/>
      <c r="ORX34" s="204"/>
      <c r="ORY34" s="204"/>
      <c r="ORZ34" s="204"/>
      <c r="OSA34" s="204"/>
      <c r="OSB34" s="204"/>
      <c r="OSC34" s="204"/>
      <c r="OSD34" s="204"/>
      <c r="OSE34" s="204"/>
      <c r="OSF34" s="204"/>
      <c r="OSG34" s="204"/>
      <c r="OSH34" s="204"/>
      <c r="OSI34" s="204"/>
      <c r="OSJ34" s="204"/>
      <c r="OSK34" s="204"/>
      <c r="OSL34" s="204"/>
      <c r="OSM34" s="204"/>
      <c r="OSN34" s="204"/>
      <c r="OSO34" s="204"/>
      <c r="OSP34" s="204"/>
      <c r="OSQ34" s="204"/>
      <c r="OSR34" s="204"/>
      <c r="OSS34" s="204"/>
      <c r="OST34" s="204"/>
      <c r="OSU34" s="204"/>
      <c r="OSV34" s="204"/>
      <c r="OSW34" s="204"/>
      <c r="OSX34" s="204"/>
      <c r="OSY34" s="204"/>
      <c r="OSZ34" s="204"/>
      <c r="OTA34" s="204"/>
      <c r="OTB34" s="204"/>
      <c r="OTC34" s="204"/>
      <c r="OTD34" s="204"/>
      <c r="OTE34" s="204"/>
      <c r="OTF34" s="204"/>
      <c r="OTG34" s="204"/>
      <c r="OTH34" s="204"/>
      <c r="OTI34" s="204"/>
      <c r="OTJ34" s="204"/>
      <c r="OTK34" s="204"/>
      <c r="OTL34" s="204"/>
      <c r="OTM34" s="204"/>
      <c r="OTN34" s="204"/>
      <c r="OTO34" s="204"/>
      <c r="OTP34" s="204"/>
      <c r="OTQ34" s="204"/>
      <c r="OTR34" s="204"/>
      <c r="OTS34" s="204"/>
      <c r="OTT34" s="204"/>
      <c r="OTU34" s="204"/>
      <c r="OTV34" s="204"/>
      <c r="OTW34" s="204"/>
      <c r="OTX34" s="204"/>
      <c r="OTY34" s="204"/>
      <c r="OTZ34" s="204"/>
      <c r="OUA34" s="204"/>
      <c r="OUB34" s="204"/>
      <c r="OUC34" s="204"/>
      <c r="OUD34" s="204"/>
      <c r="OUE34" s="204"/>
      <c r="OUF34" s="204"/>
      <c r="OUG34" s="204"/>
      <c r="OUH34" s="204"/>
      <c r="OUI34" s="204"/>
      <c r="OUJ34" s="204"/>
      <c r="OUK34" s="204"/>
      <c r="OUL34" s="204"/>
      <c r="OUM34" s="204"/>
      <c r="OUN34" s="204"/>
      <c r="OUO34" s="204"/>
      <c r="OUP34" s="204"/>
      <c r="OUQ34" s="204"/>
      <c r="OUR34" s="204"/>
      <c r="OUS34" s="204"/>
      <c r="OUT34" s="204"/>
      <c r="OUU34" s="204"/>
      <c r="OUV34" s="204"/>
      <c r="OUW34" s="204"/>
      <c r="OUX34" s="204"/>
      <c r="OUY34" s="204"/>
      <c r="OUZ34" s="204"/>
      <c r="OVA34" s="204"/>
      <c r="OVB34" s="204"/>
      <c r="OVC34" s="204"/>
      <c r="OVD34" s="204"/>
      <c r="OVE34" s="204"/>
      <c r="OVF34" s="204"/>
      <c r="OVG34" s="204"/>
      <c r="OVH34" s="204"/>
      <c r="OVI34" s="204"/>
      <c r="OVJ34" s="204"/>
      <c r="OVK34" s="204"/>
      <c r="OVL34" s="204"/>
      <c r="OVM34" s="204"/>
      <c r="OVN34" s="204"/>
      <c r="OVO34" s="204"/>
      <c r="OVP34" s="204"/>
      <c r="OVQ34" s="204"/>
      <c r="OVR34" s="204"/>
      <c r="OVS34" s="204"/>
      <c r="OVT34" s="204"/>
      <c r="OVU34" s="204"/>
      <c r="OVV34" s="204"/>
      <c r="OVW34" s="204"/>
      <c r="OVX34" s="204"/>
      <c r="OVY34" s="204"/>
      <c r="OVZ34" s="204"/>
      <c r="OWA34" s="204"/>
      <c r="OWB34" s="204"/>
      <c r="OWC34" s="204"/>
      <c r="OWD34" s="204"/>
      <c r="OWE34" s="204"/>
      <c r="OWF34" s="204"/>
      <c r="OWG34" s="204"/>
      <c r="OWH34" s="204"/>
      <c r="OWI34" s="204"/>
      <c r="OWJ34" s="204"/>
      <c r="OWK34" s="204"/>
      <c r="OWL34" s="204"/>
      <c r="OWM34" s="204"/>
      <c r="OWN34" s="204"/>
      <c r="OWO34" s="204"/>
      <c r="OWP34" s="204"/>
      <c r="OWQ34" s="204"/>
      <c r="OWR34" s="204"/>
      <c r="OWS34" s="204"/>
      <c r="OWT34" s="204"/>
      <c r="OWU34" s="204"/>
      <c r="OWV34" s="204"/>
      <c r="OWW34" s="204"/>
      <c r="OWX34" s="204"/>
      <c r="OWY34" s="204"/>
      <c r="OWZ34" s="204"/>
      <c r="OXA34" s="204"/>
      <c r="OXB34" s="204"/>
      <c r="OXC34" s="204"/>
      <c r="OXD34" s="204"/>
      <c r="OXE34" s="204"/>
      <c r="OXF34" s="204"/>
      <c r="OXG34" s="204"/>
      <c r="OXH34" s="204"/>
      <c r="OXI34" s="204"/>
      <c r="OXJ34" s="204"/>
      <c r="OXK34" s="204"/>
      <c r="OXL34" s="204"/>
      <c r="OXM34" s="204"/>
      <c r="OXN34" s="204"/>
      <c r="OXO34" s="204"/>
      <c r="OXP34" s="204"/>
      <c r="OXQ34" s="204"/>
      <c r="OXR34" s="204"/>
      <c r="OXS34" s="204"/>
      <c r="OXT34" s="204"/>
      <c r="OXU34" s="204"/>
      <c r="OXV34" s="204"/>
      <c r="OXW34" s="204"/>
      <c r="OXX34" s="204"/>
      <c r="OXY34" s="204"/>
      <c r="OXZ34" s="204"/>
      <c r="OYA34" s="204"/>
      <c r="OYB34" s="204"/>
      <c r="OYC34" s="204"/>
      <c r="OYD34" s="204"/>
      <c r="OYE34" s="204"/>
      <c r="OYF34" s="204"/>
      <c r="OYG34" s="204"/>
      <c r="OYH34" s="204"/>
      <c r="OYI34" s="204"/>
      <c r="OYJ34" s="204"/>
      <c r="OYK34" s="204"/>
      <c r="OYL34" s="204"/>
      <c r="OYM34" s="204"/>
      <c r="OYN34" s="204"/>
      <c r="OYO34" s="204"/>
      <c r="OYP34" s="204"/>
      <c r="OYQ34" s="204"/>
      <c r="OYR34" s="204"/>
      <c r="OYS34" s="204"/>
      <c r="OYT34" s="204"/>
      <c r="OYU34" s="204"/>
      <c r="OYV34" s="204"/>
      <c r="OYW34" s="204"/>
      <c r="OYX34" s="204"/>
      <c r="OYY34" s="204"/>
      <c r="OYZ34" s="204"/>
      <c r="OZA34" s="204"/>
      <c r="OZB34" s="204"/>
      <c r="OZC34" s="204"/>
      <c r="OZD34" s="204"/>
      <c r="OZE34" s="204"/>
      <c r="OZF34" s="204"/>
      <c r="OZG34" s="204"/>
      <c r="OZH34" s="204"/>
      <c r="OZI34" s="204"/>
      <c r="OZJ34" s="204"/>
      <c r="OZK34" s="204"/>
      <c r="OZL34" s="204"/>
      <c r="OZM34" s="204"/>
      <c r="OZN34" s="204"/>
      <c r="OZO34" s="204"/>
      <c r="OZP34" s="204"/>
      <c r="OZQ34" s="204"/>
      <c r="OZR34" s="204"/>
      <c r="OZS34" s="204"/>
      <c r="OZT34" s="204"/>
      <c r="OZU34" s="204"/>
      <c r="OZV34" s="204"/>
      <c r="OZW34" s="204"/>
      <c r="OZX34" s="204"/>
      <c r="OZY34" s="204"/>
      <c r="OZZ34" s="204"/>
      <c r="PAA34" s="204"/>
      <c r="PAB34" s="204"/>
      <c r="PAC34" s="204"/>
      <c r="PAD34" s="204"/>
      <c r="PAE34" s="204"/>
      <c r="PAF34" s="204"/>
      <c r="PAG34" s="204"/>
      <c r="PAH34" s="204"/>
      <c r="PAI34" s="204"/>
      <c r="PAJ34" s="204"/>
      <c r="PAK34" s="204"/>
      <c r="PAL34" s="204"/>
      <c r="PAM34" s="204"/>
      <c r="PAN34" s="204"/>
      <c r="PAO34" s="204"/>
      <c r="PAP34" s="204"/>
      <c r="PAQ34" s="204"/>
      <c r="PAR34" s="204"/>
      <c r="PAS34" s="204"/>
      <c r="PAT34" s="204"/>
      <c r="PAU34" s="204"/>
      <c r="PAV34" s="204"/>
      <c r="PAW34" s="204"/>
      <c r="PAX34" s="204"/>
      <c r="PAY34" s="204"/>
      <c r="PAZ34" s="204"/>
      <c r="PBA34" s="204"/>
      <c r="PBB34" s="204"/>
      <c r="PBC34" s="204"/>
      <c r="PBD34" s="204"/>
      <c r="PBE34" s="204"/>
      <c r="PBF34" s="204"/>
      <c r="PBG34" s="204"/>
      <c r="PBH34" s="204"/>
      <c r="PBI34" s="204"/>
      <c r="PBJ34" s="204"/>
      <c r="PBK34" s="204"/>
      <c r="PBL34" s="204"/>
      <c r="PBM34" s="204"/>
      <c r="PBN34" s="204"/>
      <c r="PBO34" s="204"/>
      <c r="PBP34" s="204"/>
      <c r="PBQ34" s="204"/>
      <c r="PBR34" s="204"/>
      <c r="PBS34" s="204"/>
      <c r="PBT34" s="204"/>
      <c r="PBU34" s="204"/>
      <c r="PBV34" s="204"/>
      <c r="PBW34" s="204"/>
      <c r="PBX34" s="204"/>
      <c r="PBY34" s="204"/>
      <c r="PBZ34" s="204"/>
      <c r="PCA34" s="204"/>
      <c r="PCB34" s="204"/>
      <c r="PCC34" s="204"/>
      <c r="PCD34" s="204"/>
      <c r="PCE34" s="204"/>
      <c r="PCF34" s="204"/>
      <c r="PCG34" s="204"/>
      <c r="PCH34" s="204"/>
      <c r="PCI34" s="204"/>
      <c r="PCJ34" s="204"/>
      <c r="PCK34" s="204"/>
      <c r="PCL34" s="204"/>
      <c r="PCM34" s="204"/>
      <c r="PCN34" s="204"/>
      <c r="PCO34" s="204"/>
      <c r="PCP34" s="204"/>
      <c r="PCQ34" s="204"/>
      <c r="PCR34" s="204"/>
      <c r="PCS34" s="204"/>
      <c r="PCT34" s="204"/>
      <c r="PCU34" s="204"/>
      <c r="PCV34" s="204"/>
      <c r="PCW34" s="204"/>
      <c r="PCX34" s="204"/>
      <c r="PCY34" s="204"/>
      <c r="PCZ34" s="204"/>
      <c r="PDA34" s="204"/>
      <c r="PDB34" s="204"/>
      <c r="PDC34" s="204"/>
      <c r="PDD34" s="204"/>
      <c r="PDE34" s="204"/>
      <c r="PDF34" s="204"/>
      <c r="PDG34" s="204"/>
      <c r="PDH34" s="204"/>
      <c r="PDI34" s="204"/>
      <c r="PDJ34" s="204"/>
      <c r="PDK34" s="204"/>
      <c r="PDL34" s="204"/>
      <c r="PDM34" s="204"/>
      <c r="PDN34" s="204"/>
      <c r="PDO34" s="204"/>
      <c r="PDP34" s="204"/>
      <c r="PDQ34" s="204"/>
      <c r="PDR34" s="204"/>
      <c r="PDS34" s="204"/>
      <c r="PDT34" s="204"/>
      <c r="PDU34" s="204"/>
      <c r="PDV34" s="204"/>
      <c r="PDW34" s="204"/>
      <c r="PDX34" s="204"/>
      <c r="PDY34" s="204"/>
      <c r="PDZ34" s="204"/>
      <c r="PEA34" s="204"/>
      <c r="PEB34" s="204"/>
      <c r="PEC34" s="204"/>
      <c r="PED34" s="204"/>
      <c r="PEE34" s="204"/>
      <c r="PEF34" s="204"/>
      <c r="PEG34" s="204"/>
      <c r="PEH34" s="204"/>
      <c r="PEI34" s="204"/>
      <c r="PEJ34" s="204"/>
      <c r="PEK34" s="204"/>
      <c r="PEL34" s="204"/>
      <c r="PEM34" s="204"/>
      <c r="PEN34" s="204"/>
      <c r="PEO34" s="204"/>
      <c r="PEP34" s="204"/>
      <c r="PEQ34" s="204"/>
      <c r="PER34" s="204"/>
      <c r="PES34" s="204"/>
      <c r="PET34" s="204"/>
      <c r="PEU34" s="204"/>
      <c r="PEV34" s="204"/>
      <c r="PEW34" s="204"/>
      <c r="PEX34" s="204"/>
      <c r="PEY34" s="204"/>
      <c r="PEZ34" s="204"/>
      <c r="PFA34" s="204"/>
      <c r="PFB34" s="204"/>
      <c r="PFC34" s="204"/>
      <c r="PFD34" s="204"/>
      <c r="PFE34" s="204"/>
      <c r="PFF34" s="204"/>
      <c r="PFG34" s="204"/>
      <c r="PFH34" s="204"/>
      <c r="PFI34" s="204"/>
      <c r="PFJ34" s="204"/>
      <c r="PFK34" s="204"/>
      <c r="PFL34" s="204"/>
      <c r="PFM34" s="204"/>
      <c r="PFN34" s="204"/>
      <c r="PFO34" s="204"/>
      <c r="PFP34" s="204"/>
      <c r="PFQ34" s="204"/>
      <c r="PFR34" s="204"/>
      <c r="PFS34" s="204"/>
      <c r="PFT34" s="204"/>
      <c r="PFU34" s="204"/>
      <c r="PFV34" s="204"/>
      <c r="PFW34" s="204"/>
      <c r="PFX34" s="204"/>
      <c r="PFY34" s="204"/>
      <c r="PFZ34" s="204"/>
      <c r="PGA34" s="204"/>
      <c r="PGB34" s="204"/>
      <c r="PGC34" s="204"/>
      <c r="PGD34" s="204"/>
      <c r="PGE34" s="204"/>
      <c r="PGF34" s="204"/>
      <c r="PGG34" s="204"/>
      <c r="PGH34" s="204"/>
      <c r="PGI34" s="204"/>
      <c r="PGJ34" s="204"/>
      <c r="PGK34" s="204"/>
      <c r="PGL34" s="204"/>
      <c r="PGM34" s="204"/>
      <c r="PGN34" s="204"/>
      <c r="PGO34" s="204"/>
      <c r="PGP34" s="204"/>
      <c r="PGQ34" s="204"/>
      <c r="PGR34" s="204"/>
      <c r="PGS34" s="204"/>
      <c r="PGT34" s="204"/>
      <c r="PGU34" s="204"/>
      <c r="PGV34" s="204"/>
      <c r="PGW34" s="204"/>
      <c r="PGX34" s="204"/>
      <c r="PGY34" s="204"/>
      <c r="PGZ34" s="204"/>
      <c r="PHA34" s="204"/>
      <c r="PHB34" s="204"/>
      <c r="PHC34" s="204"/>
      <c r="PHD34" s="204"/>
      <c r="PHE34" s="204"/>
      <c r="PHF34" s="204"/>
      <c r="PHG34" s="204"/>
      <c r="PHH34" s="204"/>
      <c r="PHI34" s="204"/>
      <c r="PHJ34" s="204"/>
      <c r="PHK34" s="204"/>
      <c r="PHL34" s="204"/>
      <c r="PHM34" s="204"/>
      <c r="PHN34" s="204"/>
      <c r="PHO34" s="204"/>
      <c r="PHP34" s="204"/>
      <c r="PHQ34" s="204"/>
      <c r="PHR34" s="204"/>
      <c r="PHS34" s="204"/>
      <c r="PHT34" s="204"/>
      <c r="PHU34" s="204"/>
      <c r="PHV34" s="204"/>
      <c r="PHW34" s="204"/>
      <c r="PHX34" s="204"/>
      <c r="PHY34" s="204"/>
      <c r="PHZ34" s="204"/>
      <c r="PIA34" s="204"/>
      <c r="PIB34" s="204"/>
      <c r="PIC34" s="204"/>
      <c r="PID34" s="204"/>
      <c r="PIE34" s="204"/>
      <c r="PIF34" s="204"/>
      <c r="PIG34" s="204"/>
      <c r="PIH34" s="204"/>
      <c r="PII34" s="204"/>
      <c r="PIJ34" s="204"/>
      <c r="PIK34" s="204"/>
      <c r="PIL34" s="204"/>
      <c r="PIM34" s="204"/>
      <c r="PIN34" s="204"/>
      <c r="PIO34" s="204"/>
      <c r="PIP34" s="204"/>
      <c r="PIQ34" s="204"/>
      <c r="PIR34" s="204"/>
      <c r="PIS34" s="204"/>
      <c r="PIT34" s="204"/>
      <c r="PIU34" s="204"/>
      <c r="PIV34" s="204"/>
      <c r="PIW34" s="204"/>
      <c r="PIX34" s="204"/>
      <c r="PIY34" s="204"/>
      <c r="PIZ34" s="204"/>
      <c r="PJA34" s="204"/>
      <c r="PJB34" s="204"/>
      <c r="PJC34" s="204"/>
      <c r="PJD34" s="204"/>
      <c r="PJE34" s="204"/>
      <c r="PJF34" s="204"/>
      <c r="PJG34" s="204"/>
      <c r="PJH34" s="204"/>
      <c r="PJI34" s="204"/>
      <c r="PJJ34" s="204"/>
      <c r="PJK34" s="204"/>
      <c r="PJL34" s="204"/>
      <c r="PJM34" s="204"/>
      <c r="PJN34" s="204"/>
      <c r="PJO34" s="204"/>
      <c r="PJP34" s="204"/>
      <c r="PJQ34" s="204"/>
      <c r="PJR34" s="204"/>
      <c r="PJS34" s="204"/>
      <c r="PJT34" s="204"/>
      <c r="PJU34" s="204"/>
      <c r="PJV34" s="204"/>
      <c r="PJW34" s="204"/>
      <c r="PJX34" s="204"/>
      <c r="PJY34" s="204"/>
      <c r="PJZ34" s="204"/>
      <c r="PKA34" s="204"/>
      <c r="PKB34" s="204"/>
      <c r="PKC34" s="204"/>
      <c r="PKD34" s="204"/>
      <c r="PKE34" s="204"/>
      <c r="PKF34" s="204"/>
      <c r="PKG34" s="204"/>
      <c r="PKH34" s="204"/>
      <c r="PKI34" s="204"/>
      <c r="PKJ34" s="204"/>
      <c r="PKK34" s="204"/>
      <c r="PKL34" s="204"/>
      <c r="PKM34" s="204"/>
      <c r="PKN34" s="204"/>
      <c r="PKO34" s="204"/>
      <c r="PKP34" s="204"/>
      <c r="PKQ34" s="204"/>
      <c r="PKR34" s="204"/>
      <c r="PKS34" s="204"/>
      <c r="PKT34" s="204"/>
      <c r="PKU34" s="204"/>
      <c r="PKV34" s="204"/>
      <c r="PKW34" s="204"/>
      <c r="PKX34" s="204"/>
      <c r="PKY34" s="204"/>
      <c r="PKZ34" s="204"/>
      <c r="PLA34" s="204"/>
      <c r="PLB34" s="204"/>
      <c r="PLC34" s="204"/>
      <c r="PLD34" s="204"/>
      <c r="PLE34" s="204"/>
      <c r="PLF34" s="204"/>
      <c r="PLG34" s="204"/>
      <c r="PLH34" s="204"/>
      <c r="PLI34" s="204"/>
      <c r="PLJ34" s="204"/>
      <c r="PLK34" s="204"/>
      <c r="PLL34" s="204"/>
      <c r="PLM34" s="204"/>
      <c r="PLN34" s="204"/>
      <c r="PLO34" s="204"/>
      <c r="PLP34" s="204"/>
      <c r="PLQ34" s="204"/>
      <c r="PLR34" s="204"/>
      <c r="PLS34" s="204"/>
      <c r="PLT34" s="204"/>
      <c r="PLU34" s="204"/>
      <c r="PLV34" s="204"/>
      <c r="PLW34" s="204"/>
      <c r="PLX34" s="204"/>
      <c r="PLY34" s="204"/>
      <c r="PLZ34" s="204"/>
      <c r="PMA34" s="204"/>
      <c r="PMB34" s="204"/>
      <c r="PMC34" s="204"/>
      <c r="PMD34" s="204"/>
      <c r="PME34" s="204"/>
      <c r="PMF34" s="204"/>
      <c r="PMG34" s="204"/>
      <c r="PMH34" s="204"/>
      <c r="PMI34" s="204"/>
      <c r="PMJ34" s="204"/>
      <c r="PMK34" s="204"/>
      <c r="PML34" s="204"/>
      <c r="PMM34" s="204"/>
      <c r="PMN34" s="204"/>
      <c r="PMO34" s="204"/>
      <c r="PMP34" s="204"/>
      <c r="PMQ34" s="204"/>
      <c r="PMR34" s="204"/>
      <c r="PMS34" s="204"/>
      <c r="PMT34" s="204"/>
      <c r="PMU34" s="204"/>
      <c r="PMV34" s="204"/>
      <c r="PMW34" s="204"/>
      <c r="PMX34" s="204"/>
      <c r="PMY34" s="204"/>
      <c r="PMZ34" s="204"/>
      <c r="PNA34" s="204"/>
      <c r="PNB34" s="204"/>
      <c r="PNC34" s="204"/>
      <c r="PND34" s="204"/>
      <c r="PNE34" s="204"/>
      <c r="PNF34" s="204"/>
      <c r="PNG34" s="204"/>
      <c r="PNH34" s="204"/>
      <c r="PNI34" s="204"/>
      <c r="PNJ34" s="204"/>
      <c r="PNK34" s="204"/>
      <c r="PNL34" s="204"/>
      <c r="PNM34" s="204"/>
      <c r="PNN34" s="204"/>
      <c r="PNO34" s="204"/>
      <c r="PNP34" s="204"/>
      <c r="PNQ34" s="204"/>
      <c r="PNR34" s="204"/>
      <c r="PNS34" s="204"/>
      <c r="PNT34" s="204"/>
      <c r="PNU34" s="204"/>
      <c r="PNV34" s="204"/>
      <c r="PNW34" s="204"/>
      <c r="PNX34" s="204"/>
      <c r="PNY34" s="204"/>
      <c r="PNZ34" s="204"/>
      <c r="POA34" s="204"/>
      <c r="POB34" s="204"/>
      <c r="POC34" s="204"/>
      <c r="POD34" s="204"/>
      <c r="POE34" s="204"/>
      <c r="POF34" s="204"/>
      <c r="POG34" s="204"/>
      <c r="POH34" s="204"/>
      <c r="POI34" s="204"/>
      <c r="POJ34" s="204"/>
      <c r="POK34" s="204"/>
      <c r="POL34" s="204"/>
      <c r="POM34" s="204"/>
      <c r="PON34" s="204"/>
      <c r="POO34" s="204"/>
      <c r="POP34" s="204"/>
      <c r="POQ34" s="204"/>
      <c r="POR34" s="204"/>
      <c r="POS34" s="204"/>
      <c r="POT34" s="204"/>
      <c r="POU34" s="204"/>
      <c r="POV34" s="204"/>
      <c r="POW34" s="204"/>
      <c r="POX34" s="204"/>
      <c r="POY34" s="204"/>
      <c r="POZ34" s="204"/>
      <c r="PPA34" s="204"/>
      <c r="PPB34" s="204"/>
      <c r="PPC34" s="204"/>
      <c r="PPD34" s="204"/>
      <c r="PPE34" s="204"/>
      <c r="PPF34" s="204"/>
      <c r="PPG34" s="204"/>
      <c r="PPH34" s="204"/>
      <c r="PPI34" s="204"/>
      <c r="PPJ34" s="204"/>
      <c r="PPK34" s="204"/>
      <c r="PPL34" s="204"/>
      <c r="PPM34" s="204"/>
      <c r="PPN34" s="204"/>
      <c r="PPO34" s="204"/>
      <c r="PPP34" s="204"/>
      <c r="PPQ34" s="204"/>
      <c r="PPR34" s="204"/>
      <c r="PPS34" s="204"/>
      <c r="PPT34" s="204"/>
      <c r="PPU34" s="204"/>
      <c r="PPV34" s="204"/>
      <c r="PPW34" s="204"/>
      <c r="PPX34" s="204"/>
      <c r="PPY34" s="204"/>
      <c r="PPZ34" s="204"/>
      <c r="PQA34" s="204"/>
      <c r="PQB34" s="204"/>
      <c r="PQC34" s="204"/>
      <c r="PQD34" s="204"/>
      <c r="PQE34" s="204"/>
      <c r="PQF34" s="204"/>
      <c r="PQG34" s="204"/>
      <c r="PQH34" s="204"/>
      <c r="PQI34" s="204"/>
      <c r="PQJ34" s="204"/>
      <c r="PQK34" s="204"/>
      <c r="PQL34" s="204"/>
      <c r="PQM34" s="204"/>
      <c r="PQN34" s="204"/>
      <c r="PQO34" s="204"/>
      <c r="PQP34" s="204"/>
      <c r="PQQ34" s="204"/>
      <c r="PQR34" s="204"/>
      <c r="PQS34" s="204"/>
      <c r="PQT34" s="204"/>
      <c r="PQU34" s="204"/>
      <c r="PQV34" s="204"/>
      <c r="PQW34" s="204"/>
      <c r="PQX34" s="204"/>
      <c r="PQY34" s="204"/>
      <c r="PQZ34" s="204"/>
      <c r="PRA34" s="204"/>
      <c r="PRB34" s="204"/>
      <c r="PRC34" s="204"/>
      <c r="PRD34" s="204"/>
      <c r="PRE34" s="204"/>
      <c r="PRF34" s="204"/>
      <c r="PRG34" s="204"/>
      <c r="PRH34" s="204"/>
      <c r="PRI34" s="204"/>
      <c r="PRJ34" s="204"/>
      <c r="PRK34" s="204"/>
      <c r="PRL34" s="204"/>
      <c r="PRM34" s="204"/>
      <c r="PRN34" s="204"/>
      <c r="PRO34" s="204"/>
      <c r="PRP34" s="204"/>
      <c r="PRQ34" s="204"/>
      <c r="PRR34" s="204"/>
      <c r="PRS34" s="204"/>
      <c r="PRT34" s="204"/>
      <c r="PRU34" s="204"/>
      <c r="PRV34" s="204"/>
      <c r="PRW34" s="204"/>
      <c r="PRX34" s="204"/>
      <c r="PRY34" s="204"/>
      <c r="PRZ34" s="204"/>
      <c r="PSA34" s="204"/>
      <c r="PSB34" s="204"/>
      <c r="PSC34" s="204"/>
      <c r="PSD34" s="204"/>
      <c r="PSE34" s="204"/>
      <c r="PSF34" s="204"/>
      <c r="PSG34" s="204"/>
      <c r="PSH34" s="204"/>
      <c r="PSI34" s="204"/>
      <c r="PSJ34" s="204"/>
      <c r="PSK34" s="204"/>
      <c r="PSL34" s="204"/>
      <c r="PSM34" s="204"/>
      <c r="PSN34" s="204"/>
      <c r="PSO34" s="204"/>
      <c r="PSP34" s="204"/>
      <c r="PSQ34" s="204"/>
      <c r="PSR34" s="204"/>
      <c r="PSS34" s="204"/>
      <c r="PST34" s="204"/>
      <c r="PSU34" s="204"/>
      <c r="PSV34" s="204"/>
      <c r="PSW34" s="204"/>
      <c r="PSX34" s="204"/>
      <c r="PSY34" s="204"/>
      <c r="PSZ34" s="204"/>
      <c r="PTA34" s="204"/>
      <c r="PTB34" s="204"/>
      <c r="PTC34" s="204"/>
      <c r="PTD34" s="204"/>
      <c r="PTE34" s="204"/>
      <c r="PTF34" s="204"/>
      <c r="PTG34" s="204"/>
      <c r="PTH34" s="204"/>
      <c r="PTI34" s="204"/>
      <c r="PTJ34" s="204"/>
      <c r="PTK34" s="204"/>
      <c r="PTL34" s="204"/>
      <c r="PTM34" s="204"/>
      <c r="PTN34" s="204"/>
      <c r="PTO34" s="204"/>
      <c r="PTP34" s="204"/>
      <c r="PTQ34" s="204"/>
      <c r="PTR34" s="204"/>
      <c r="PTS34" s="204"/>
      <c r="PTT34" s="204"/>
      <c r="PTU34" s="204"/>
      <c r="PTV34" s="204"/>
      <c r="PTW34" s="204"/>
      <c r="PTX34" s="204"/>
      <c r="PTY34" s="204"/>
      <c r="PTZ34" s="204"/>
      <c r="PUA34" s="204"/>
      <c r="PUB34" s="204"/>
      <c r="PUC34" s="204"/>
      <c r="PUD34" s="204"/>
      <c r="PUE34" s="204"/>
      <c r="PUF34" s="204"/>
      <c r="PUG34" s="204"/>
      <c r="PUH34" s="204"/>
      <c r="PUI34" s="204"/>
      <c r="PUJ34" s="204"/>
      <c r="PUK34" s="204"/>
      <c r="PUL34" s="204"/>
      <c r="PUM34" s="204"/>
      <c r="PUN34" s="204"/>
      <c r="PUO34" s="204"/>
      <c r="PUP34" s="204"/>
      <c r="PUQ34" s="204"/>
      <c r="PUR34" s="204"/>
      <c r="PUS34" s="204"/>
      <c r="PUT34" s="204"/>
      <c r="PUU34" s="204"/>
      <c r="PUV34" s="204"/>
      <c r="PUW34" s="204"/>
      <c r="PUX34" s="204"/>
      <c r="PUY34" s="204"/>
      <c r="PUZ34" s="204"/>
      <c r="PVA34" s="204"/>
      <c r="PVB34" s="204"/>
      <c r="PVC34" s="204"/>
      <c r="PVD34" s="204"/>
      <c r="PVE34" s="204"/>
      <c r="PVF34" s="204"/>
      <c r="PVG34" s="204"/>
      <c r="PVH34" s="204"/>
      <c r="PVI34" s="204"/>
      <c r="PVJ34" s="204"/>
      <c r="PVK34" s="204"/>
      <c r="PVL34" s="204"/>
      <c r="PVM34" s="204"/>
      <c r="PVN34" s="204"/>
      <c r="PVO34" s="204"/>
      <c r="PVP34" s="204"/>
      <c r="PVQ34" s="204"/>
      <c r="PVR34" s="204"/>
      <c r="PVS34" s="204"/>
      <c r="PVT34" s="204"/>
      <c r="PVU34" s="204"/>
      <c r="PVV34" s="204"/>
      <c r="PVW34" s="204"/>
      <c r="PVX34" s="204"/>
      <c r="PVY34" s="204"/>
      <c r="PVZ34" s="204"/>
      <c r="PWA34" s="204"/>
      <c r="PWB34" s="204"/>
      <c r="PWC34" s="204"/>
      <c r="PWD34" s="204"/>
      <c r="PWE34" s="204"/>
      <c r="PWF34" s="204"/>
      <c r="PWG34" s="204"/>
      <c r="PWH34" s="204"/>
      <c r="PWI34" s="204"/>
      <c r="PWJ34" s="204"/>
      <c r="PWK34" s="204"/>
      <c r="PWL34" s="204"/>
      <c r="PWM34" s="204"/>
      <c r="PWN34" s="204"/>
      <c r="PWO34" s="204"/>
      <c r="PWP34" s="204"/>
      <c r="PWQ34" s="204"/>
      <c r="PWR34" s="204"/>
      <c r="PWS34" s="204"/>
      <c r="PWT34" s="204"/>
      <c r="PWU34" s="204"/>
      <c r="PWV34" s="204"/>
      <c r="PWW34" s="204"/>
      <c r="PWX34" s="204"/>
      <c r="PWY34" s="204"/>
      <c r="PWZ34" s="204"/>
      <c r="PXA34" s="204"/>
      <c r="PXB34" s="204"/>
      <c r="PXC34" s="204"/>
      <c r="PXD34" s="204"/>
      <c r="PXE34" s="204"/>
      <c r="PXF34" s="204"/>
      <c r="PXG34" s="204"/>
      <c r="PXH34" s="204"/>
      <c r="PXI34" s="204"/>
      <c r="PXJ34" s="204"/>
      <c r="PXK34" s="204"/>
      <c r="PXL34" s="204"/>
      <c r="PXM34" s="204"/>
      <c r="PXN34" s="204"/>
      <c r="PXO34" s="204"/>
      <c r="PXP34" s="204"/>
      <c r="PXQ34" s="204"/>
      <c r="PXR34" s="204"/>
      <c r="PXS34" s="204"/>
      <c r="PXT34" s="204"/>
      <c r="PXU34" s="204"/>
      <c r="PXV34" s="204"/>
      <c r="PXW34" s="204"/>
      <c r="PXX34" s="204"/>
      <c r="PXY34" s="204"/>
      <c r="PXZ34" s="204"/>
      <c r="PYA34" s="204"/>
      <c r="PYB34" s="204"/>
      <c r="PYC34" s="204"/>
      <c r="PYD34" s="204"/>
      <c r="PYE34" s="204"/>
      <c r="PYF34" s="204"/>
      <c r="PYG34" s="204"/>
      <c r="PYH34" s="204"/>
      <c r="PYI34" s="204"/>
      <c r="PYJ34" s="204"/>
      <c r="PYK34" s="204"/>
      <c r="PYL34" s="204"/>
      <c r="PYM34" s="204"/>
      <c r="PYN34" s="204"/>
      <c r="PYO34" s="204"/>
      <c r="PYP34" s="204"/>
      <c r="PYQ34" s="204"/>
      <c r="PYR34" s="204"/>
      <c r="PYS34" s="204"/>
      <c r="PYT34" s="204"/>
      <c r="PYU34" s="204"/>
      <c r="PYV34" s="204"/>
      <c r="PYW34" s="204"/>
      <c r="PYX34" s="204"/>
      <c r="PYY34" s="204"/>
      <c r="PYZ34" s="204"/>
      <c r="PZA34" s="204"/>
      <c r="PZB34" s="204"/>
      <c r="PZC34" s="204"/>
      <c r="PZD34" s="204"/>
      <c r="PZE34" s="204"/>
      <c r="PZF34" s="204"/>
      <c r="PZG34" s="204"/>
      <c r="PZH34" s="204"/>
      <c r="PZI34" s="204"/>
      <c r="PZJ34" s="204"/>
      <c r="PZK34" s="204"/>
      <c r="PZL34" s="204"/>
      <c r="PZM34" s="204"/>
      <c r="PZN34" s="204"/>
      <c r="PZO34" s="204"/>
      <c r="PZP34" s="204"/>
      <c r="PZQ34" s="204"/>
      <c r="PZR34" s="204"/>
      <c r="PZS34" s="204"/>
      <c r="PZT34" s="204"/>
      <c r="PZU34" s="204"/>
      <c r="PZV34" s="204"/>
      <c r="PZW34" s="204"/>
      <c r="PZX34" s="204"/>
      <c r="PZY34" s="204"/>
      <c r="PZZ34" s="204"/>
      <c r="QAA34" s="204"/>
      <c r="QAB34" s="204"/>
      <c r="QAC34" s="204"/>
      <c r="QAD34" s="204"/>
      <c r="QAE34" s="204"/>
      <c r="QAF34" s="204"/>
      <c r="QAG34" s="204"/>
      <c r="QAH34" s="204"/>
      <c r="QAI34" s="204"/>
      <c r="QAJ34" s="204"/>
      <c r="QAK34" s="204"/>
      <c r="QAL34" s="204"/>
      <c r="QAM34" s="204"/>
      <c r="QAN34" s="204"/>
      <c r="QAO34" s="204"/>
      <c r="QAP34" s="204"/>
      <c r="QAQ34" s="204"/>
      <c r="QAR34" s="204"/>
      <c r="QAS34" s="204"/>
      <c r="QAT34" s="204"/>
      <c r="QAU34" s="204"/>
      <c r="QAV34" s="204"/>
      <c r="QAW34" s="204"/>
      <c r="QAX34" s="204"/>
      <c r="QAY34" s="204"/>
      <c r="QAZ34" s="204"/>
      <c r="QBA34" s="204"/>
      <c r="QBB34" s="204"/>
      <c r="QBC34" s="204"/>
      <c r="QBD34" s="204"/>
      <c r="QBE34" s="204"/>
      <c r="QBF34" s="204"/>
      <c r="QBG34" s="204"/>
      <c r="QBH34" s="204"/>
      <c r="QBI34" s="204"/>
      <c r="QBJ34" s="204"/>
      <c r="QBK34" s="204"/>
      <c r="QBL34" s="204"/>
      <c r="QBM34" s="204"/>
      <c r="QBN34" s="204"/>
      <c r="QBO34" s="204"/>
      <c r="QBP34" s="204"/>
      <c r="QBQ34" s="204"/>
      <c r="QBR34" s="204"/>
      <c r="QBS34" s="204"/>
      <c r="QBT34" s="204"/>
      <c r="QBU34" s="204"/>
      <c r="QBV34" s="204"/>
      <c r="QBW34" s="204"/>
      <c r="QBX34" s="204"/>
      <c r="QBY34" s="204"/>
      <c r="QBZ34" s="204"/>
      <c r="QCA34" s="204"/>
      <c r="QCB34" s="204"/>
      <c r="QCC34" s="204"/>
      <c r="QCD34" s="204"/>
      <c r="QCE34" s="204"/>
      <c r="QCF34" s="204"/>
      <c r="QCG34" s="204"/>
      <c r="QCH34" s="204"/>
      <c r="QCI34" s="204"/>
      <c r="QCJ34" s="204"/>
      <c r="QCK34" s="204"/>
      <c r="QCL34" s="204"/>
      <c r="QCM34" s="204"/>
      <c r="QCN34" s="204"/>
      <c r="QCO34" s="204"/>
      <c r="QCP34" s="204"/>
      <c r="QCQ34" s="204"/>
      <c r="QCR34" s="204"/>
      <c r="QCS34" s="204"/>
      <c r="QCT34" s="204"/>
      <c r="QCU34" s="204"/>
      <c r="QCV34" s="204"/>
      <c r="QCW34" s="204"/>
      <c r="QCX34" s="204"/>
      <c r="QCY34" s="204"/>
      <c r="QCZ34" s="204"/>
      <c r="QDA34" s="204"/>
      <c r="QDB34" s="204"/>
      <c r="QDC34" s="204"/>
      <c r="QDD34" s="204"/>
      <c r="QDE34" s="204"/>
      <c r="QDF34" s="204"/>
      <c r="QDG34" s="204"/>
      <c r="QDH34" s="204"/>
      <c r="QDI34" s="204"/>
      <c r="QDJ34" s="204"/>
      <c r="QDK34" s="204"/>
      <c r="QDL34" s="204"/>
      <c r="QDM34" s="204"/>
      <c r="QDN34" s="204"/>
      <c r="QDO34" s="204"/>
      <c r="QDP34" s="204"/>
      <c r="QDQ34" s="204"/>
      <c r="QDR34" s="204"/>
      <c r="QDS34" s="204"/>
      <c r="QDT34" s="204"/>
      <c r="QDU34" s="204"/>
      <c r="QDV34" s="204"/>
      <c r="QDW34" s="204"/>
      <c r="QDX34" s="204"/>
      <c r="QDY34" s="204"/>
      <c r="QDZ34" s="204"/>
      <c r="QEA34" s="204"/>
      <c r="QEB34" s="204"/>
      <c r="QEC34" s="204"/>
      <c r="QED34" s="204"/>
      <c r="QEE34" s="204"/>
      <c r="QEF34" s="204"/>
      <c r="QEG34" s="204"/>
      <c r="QEH34" s="204"/>
      <c r="QEI34" s="204"/>
      <c r="QEJ34" s="204"/>
      <c r="QEK34" s="204"/>
      <c r="QEL34" s="204"/>
      <c r="QEM34" s="204"/>
      <c r="QEN34" s="204"/>
      <c r="QEO34" s="204"/>
      <c r="QEP34" s="204"/>
      <c r="QEQ34" s="204"/>
      <c r="QER34" s="204"/>
      <c r="QES34" s="204"/>
      <c r="QET34" s="204"/>
      <c r="QEU34" s="204"/>
      <c r="QEV34" s="204"/>
      <c r="QEW34" s="204"/>
      <c r="QEX34" s="204"/>
      <c r="QEY34" s="204"/>
      <c r="QEZ34" s="204"/>
      <c r="QFA34" s="204"/>
      <c r="QFB34" s="204"/>
      <c r="QFC34" s="204"/>
      <c r="QFD34" s="204"/>
      <c r="QFE34" s="204"/>
      <c r="QFF34" s="204"/>
      <c r="QFG34" s="204"/>
      <c r="QFH34" s="204"/>
      <c r="QFI34" s="204"/>
      <c r="QFJ34" s="204"/>
      <c r="QFK34" s="204"/>
      <c r="QFL34" s="204"/>
      <c r="QFM34" s="204"/>
      <c r="QFN34" s="204"/>
      <c r="QFO34" s="204"/>
      <c r="QFP34" s="204"/>
      <c r="QFQ34" s="204"/>
      <c r="QFR34" s="204"/>
      <c r="QFS34" s="204"/>
      <c r="QFT34" s="204"/>
      <c r="QFU34" s="204"/>
      <c r="QFV34" s="204"/>
      <c r="QFW34" s="204"/>
      <c r="QFX34" s="204"/>
      <c r="QFY34" s="204"/>
      <c r="QFZ34" s="204"/>
      <c r="QGA34" s="204"/>
      <c r="QGB34" s="204"/>
      <c r="QGC34" s="204"/>
      <c r="QGD34" s="204"/>
      <c r="QGE34" s="204"/>
      <c r="QGF34" s="204"/>
      <c r="QGG34" s="204"/>
      <c r="QGH34" s="204"/>
      <c r="QGI34" s="204"/>
      <c r="QGJ34" s="204"/>
      <c r="QGK34" s="204"/>
      <c r="QGL34" s="204"/>
      <c r="QGM34" s="204"/>
      <c r="QGN34" s="204"/>
      <c r="QGO34" s="204"/>
      <c r="QGP34" s="204"/>
      <c r="QGQ34" s="204"/>
      <c r="QGR34" s="204"/>
      <c r="QGS34" s="204"/>
      <c r="QGT34" s="204"/>
      <c r="QGU34" s="204"/>
      <c r="QGV34" s="204"/>
      <c r="QGW34" s="204"/>
      <c r="QGX34" s="204"/>
      <c r="QGY34" s="204"/>
      <c r="QGZ34" s="204"/>
      <c r="QHA34" s="204"/>
      <c r="QHB34" s="204"/>
      <c r="QHC34" s="204"/>
      <c r="QHD34" s="204"/>
      <c r="QHE34" s="204"/>
      <c r="QHF34" s="204"/>
      <c r="QHG34" s="204"/>
      <c r="QHH34" s="204"/>
      <c r="QHI34" s="204"/>
      <c r="QHJ34" s="204"/>
      <c r="QHK34" s="204"/>
      <c r="QHL34" s="204"/>
      <c r="QHM34" s="204"/>
      <c r="QHN34" s="204"/>
      <c r="QHO34" s="204"/>
      <c r="QHP34" s="204"/>
      <c r="QHQ34" s="204"/>
      <c r="QHR34" s="204"/>
      <c r="QHS34" s="204"/>
      <c r="QHT34" s="204"/>
      <c r="QHU34" s="204"/>
      <c r="QHV34" s="204"/>
      <c r="QHW34" s="204"/>
      <c r="QHX34" s="204"/>
      <c r="QHY34" s="204"/>
      <c r="QHZ34" s="204"/>
      <c r="QIA34" s="204"/>
      <c r="QIB34" s="204"/>
      <c r="QIC34" s="204"/>
      <c r="QID34" s="204"/>
      <c r="QIE34" s="204"/>
      <c r="QIF34" s="204"/>
      <c r="QIG34" s="204"/>
      <c r="QIH34" s="204"/>
      <c r="QII34" s="204"/>
      <c r="QIJ34" s="204"/>
      <c r="QIK34" s="204"/>
      <c r="QIL34" s="204"/>
      <c r="QIM34" s="204"/>
      <c r="QIN34" s="204"/>
      <c r="QIO34" s="204"/>
      <c r="QIP34" s="204"/>
      <c r="QIQ34" s="204"/>
      <c r="QIR34" s="204"/>
      <c r="QIS34" s="204"/>
      <c r="QIT34" s="204"/>
      <c r="QIU34" s="204"/>
      <c r="QIV34" s="204"/>
      <c r="QIW34" s="204"/>
      <c r="QIX34" s="204"/>
      <c r="QIY34" s="204"/>
      <c r="QIZ34" s="204"/>
      <c r="QJA34" s="204"/>
      <c r="QJB34" s="204"/>
      <c r="QJC34" s="204"/>
      <c r="QJD34" s="204"/>
      <c r="QJE34" s="204"/>
      <c r="QJF34" s="204"/>
      <c r="QJG34" s="204"/>
      <c r="QJH34" s="204"/>
      <c r="QJI34" s="204"/>
      <c r="QJJ34" s="204"/>
      <c r="QJK34" s="204"/>
      <c r="QJL34" s="204"/>
      <c r="QJM34" s="204"/>
      <c r="QJN34" s="204"/>
      <c r="QJO34" s="204"/>
      <c r="QJP34" s="204"/>
      <c r="QJQ34" s="204"/>
      <c r="QJR34" s="204"/>
      <c r="QJS34" s="204"/>
      <c r="QJT34" s="204"/>
      <c r="QJU34" s="204"/>
      <c r="QJV34" s="204"/>
      <c r="QJW34" s="204"/>
      <c r="QJX34" s="204"/>
      <c r="QJY34" s="204"/>
      <c r="QJZ34" s="204"/>
      <c r="QKA34" s="204"/>
      <c r="QKB34" s="204"/>
      <c r="QKC34" s="204"/>
      <c r="QKD34" s="204"/>
      <c r="QKE34" s="204"/>
      <c r="QKF34" s="204"/>
      <c r="QKG34" s="204"/>
      <c r="QKH34" s="204"/>
      <c r="QKI34" s="204"/>
      <c r="QKJ34" s="204"/>
      <c r="QKK34" s="204"/>
      <c r="QKL34" s="204"/>
      <c r="QKM34" s="204"/>
      <c r="QKN34" s="204"/>
      <c r="QKO34" s="204"/>
      <c r="QKP34" s="204"/>
      <c r="QKQ34" s="204"/>
      <c r="QKR34" s="204"/>
      <c r="QKS34" s="204"/>
      <c r="QKT34" s="204"/>
      <c r="QKU34" s="204"/>
      <c r="QKV34" s="204"/>
      <c r="QKW34" s="204"/>
      <c r="QKX34" s="204"/>
      <c r="QKY34" s="204"/>
      <c r="QKZ34" s="204"/>
      <c r="QLA34" s="204"/>
      <c r="QLB34" s="204"/>
      <c r="QLC34" s="204"/>
      <c r="QLD34" s="204"/>
      <c r="QLE34" s="204"/>
      <c r="QLF34" s="204"/>
      <c r="QLG34" s="204"/>
      <c r="QLH34" s="204"/>
      <c r="QLI34" s="204"/>
      <c r="QLJ34" s="204"/>
      <c r="QLK34" s="204"/>
      <c r="QLL34" s="204"/>
      <c r="QLM34" s="204"/>
      <c r="QLN34" s="204"/>
      <c r="QLO34" s="204"/>
      <c r="QLP34" s="204"/>
      <c r="QLQ34" s="204"/>
      <c r="QLR34" s="204"/>
      <c r="QLS34" s="204"/>
      <c r="QLT34" s="204"/>
      <c r="QLU34" s="204"/>
      <c r="QLV34" s="204"/>
      <c r="QLW34" s="204"/>
      <c r="QLX34" s="204"/>
      <c r="QLY34" s="204"/>
      <c r="QLZ34" s="204"/>
      <c r="QMA34" s="204"/>
      <c r="QMB34" s="204"/>
      <c r="QMC34" s="204"/>
      <c r="QMD34" s="204"/>
      <c r="QME34" s="204"/>
      <c r="QMF34" s="204"/>
      <c r="QMG34" s="204"/>
      <c r="QMH34" s="204"/>
      <c r="QMI34" s="204"/>
      <c r="QMJ34" s="204"/>
      <c r="QMK34" s="204"/>
      <c r="QML34" s="204"/>
      <c r="QMM34" s="204"/>
      <c r="QMN34" s="204"/>
      <c r="QMO34" s="204"/>
      <c r="QMP34" s="204"/>
      <c r="QMQ34" s="204"/>
      <c r="QMR34" s="204"/>
      <c r="QMS34" s="204"/>
      <c r="QMT34" s="204"/>
      <c r="QMU34" s="204"/>
      <c r="QMV34" s="204"/>
      <c r="QMW34" s="204"/>
      <c r="QMX34" s="204"/>
      <c r="QMY34" s="204"/>
      <c r="QMZ34" s="204"/>
      <c r="QNA34" s="204"/>
      <c r="QNB34" s="204"/>
      <c r="QNC34" s="204"/>
      <c r="QND34" s="204"/>
      <c r="QNE34" s="204"/>
      <c r="QNF34" s="204"/>
      <c r="QNG34" s="204"/>
      <c r="QNH34" s="204"/>
      <c r="QNI34" s="204"/>
      <c r="QNJ34" s="204"/>
      <c r="QNK34" s="204"/>
      <c r="QNL34" s="204"/>
      <c r="QNM34" s="204"/>
      <c r="QNN34" s="204"/>
      <c r="QNO34" s="204"/>
      <c r="QNP34" s="204"/>
      <c r="QNQ34" s="204"/>
      <c r="QNR34" s="204"/>
      <c r="QNS34" s="204"/>
      <c r="QNT34" s="204"/>
      <c r="QNU34" s="204"/>
      <c r="QNV34" s="204"/>
      <c r="QNW34" s="204"/>
      <c r="QNX34" s="204"/>
      <c r="QNY34" s="204"/>
      <c r="QNZ34" s="204"/>
      <c r="QOA34" s="204"/>
      <c r="QOB34" s="204"/>
      <c r="QOC34" s="204"/>
      <c r="QOD34" s="204"/>
      <c r="QOE34" s="204"/>
      <c r="QOF34" s="204"/>
      <c r="QOG34" s="204"/>
      <c r="QOH34" s="204"/>
      <c r="QOI34" s="204"/>
      <c r="QOJ34" s="204"/>
      <c r="QOK34" s="204"/>
      <c r="QOL34" s="204"/>
      <c r="QOM34" s="204"/>
      <c r="QON34" s="204"/>
      <c r="QOO34" s="204"/>
      <c r="QOP34" s="204"/>
      <c r="QOQ34" s="204"/>
      <c r="QOR34" s="204"/>
      <c r="QOS34" s="204"/>
      <c r="QOT34" s="204"/>
      <c r="QOU34" s="204"/>
      <c r="QOV34" s="204"/>
      <c r="QOW34" s="204"/>
      <c r="QOX34" s="204"/>
      <c r="QOY34" s="204"/>
      <c r="QOZ34" s="204"/>
      <c r="QPA34" s="204"/>
      <c r="QPB34" s="204"/>
      <c r="QPC34" s="204"/>
      <c r="QPD34" s="204"/>
      <c r="QPE34" s="204"/>
      <c r="QPF34" s="204"/>
      <c r="QPG34" s="204"/>
      <c r="QPH34" s="204"/>
      <c r="QPI34" s="204"/>
      <c r="QPJ34" s="204"/>
      <c r="QPK34" s="204"/>
      <c r="QPL34" s="204"/>
      <c r="QPM34" s="204"/>
      <c r="QPN34" s="204"/>
      <c r="QPO34" s="204"/>
      <c r="QPP34" s="204"/>
      <c r="QPQ34" s="204"/>
      <c r="QPR34" s="204"/>
      <c r="QPS34" s="204"/>
      <c r="QPT34" s="204"/>
      <c r="QPU34" s="204"/>
      <c r="QPV34" s="204"/>
      <c r="QPW34" s="204"/>
      <c r="QPX34" s="204"/>
      <c r="QPY34" s="204"/>
      <c r="QPZ34" s="204"/>
      <c r="QQA34" s="204"/>
      <c r="QQB34" s="204"/>
      <c r="QQC34" s="204"/>
      <c r="QQD34" s="204"/>
      <c r="QQE34" s="204"/>
      <c r="QQF34" s="204"/>
      <c r="QQG34" s="204"/>
      <c r="QQH34" s="204"/>
      <c r="QQI34" s="204"/>
      <c r="QQJ34" s="204"/>
      <c r="QQK34" s="204"/>
      <c r="QQL34" s="204"/>
      <c r="QQM34" s="204"/>
      <c r="QQN34" s="204"/>
      <c r="QQO34" s="204"/>
      <c r="QQP34" s="204"/>
      <c r="QQQ34" s="204"/>
      <c r="QQR34" s="204"/>
      <c r="QQS34" s="204"/>
      <c r="QQT34" s="204"/>
      <c r="QQU34" s="204"/>
      <c r="QQV34" s="204"/>
      <c r="QQW34" s="204"/>
      <c r="QQX34" s="204"/>
      <c r="QQY34" s="204"/>
      <c r="QQZ34" s="204"/>
      <c r="QRA34" s="204"/>
      <c r="QRB34" s="204"/>
      <c r="QRC34" s="204"/>
      <c r="QRD34" s="204"/>
      <c r="QRE34" s="204"/>
      <c r="QRF34" s="204"/>
      <c r="QRG34" s="204"/>
      <c r="QRH34" s="204"/>
      <c r="QRI34" s="204"/>
      <c r="QRJ34" s="204"/>
      <c r="QRK34" s="204"/>
      <c r="QRL34" s="204"/>
      <c r="QRM34" s="204"/>
      <c r="QRN34" s="204"/>
      <c r="QRO34" s="204"/>
      <c r="QRP34" s="204"/>
      <c r="QRQ34" s="204"/>
      <c r="QRR34" s="204"/>
      <c r="QRS34" s="204"/>
      <c r="QRT34" s="204"/>
      <c r="QRU34" s="204"/>
      <c r="QRV34" s="204"/>
      <c r="QRW34" s="204"/>
      <c r="QRX34" s="204"/>
      <c r="QRY34" s="204"/>
      <c r="QRZ34" s="204"/>
      <c r="QSA34" s="204"/>
      <c r="QSB34" s="204"/>
      <c r="QSC34" s="204"/>
      <c r="QSD34" s="204"/>
      <c r="QSE34" s="204"/>
      <c r="QSF34" s="204"/>
      <c r="QSG34" s="204"/>
      <c r="QSH34" s="204"/>
      <c r="QSI34" s="204"/>
      <c r="QSJ34" s="204"/>
      <c r="QSK34" s="204"/>
      <c r="QSL34" s="204"/>
      <c r="QSM34" s="204"/>
      <c r="QSN34" s="204"/>
      <c r="QSO34" s="204"/>
      <c r="QSP34" s="204"/>
      <c r="QSQ34" s="204"/>
      <c r="QSR34" s="204"/>
      <c r="QSS34" s="204"/>
      <c r="QST34" s="204"/>
      <c r="QSU34" s="204"/>
      <c r="QSV34" s="204"/>
      <c r="QSW34" s="204"/>
      <c r="QSX34" s="204"/>
      <c r="QSY34" s="204"/>
      <c r="QSZ34" s="204"/>
      <c r="QTA34" s="204"/>
      <c r="QTB34" s="204"/>
      <c r="QTC34" s="204"/>
      <c r="QTD34" s="204"/>
      <c r="QTE34" s="204"/>
      <c r="QTF34" s="204"/>
      <c r="QTG34" s="204"/>
      <c r="QTH34" s="204"/>
      <c r="QTI34" s="204"/>
      <c r="QTJ34" s="204"/>
      <c r="QTK34" s="204"/>
      <c r="QTL34" s="204"/>
      <c r="QTM34" s="204"/>
      <c r="QTN34" s="204"/>
      <c r="QTO34" s="204"/>
      <c r="QTP34" s="204"/>
      <c r="QTQ34" s="204"/>
      <c r="QTR34" s="204"/>
      <c r="QTS34" s="204"/>
      <c r="QTT34" s="204"/>
      <c r="QTU34" s="204"/>
      <c r="QTV34" s="204"/>
      <c r="QTW34" s="204"/>
      <c r="QTX34" s="204"/>
      <c r="QTY34" s="204"/>
      <c r="QTZ34" s="204"/>
      <c r="QUA34" s="204"/>
      <c r="QUB34" s="204"/>
      <c r="QUC34" s="204"/>
      <c r="QUD34" s="204"/>
      <c r="QUE34" s="204"/>
      <c r="QUF34" s="204"/>
      <c r="QUG34" s="204"/>
      <c r="QUH34" s="204"/>
      <c r="QUI34" s="204"/>
      <c r="QUJ34" s="204"/>
      <c r="QUK34" s="204"/>
      <c r="QUL34" s="204"/>
      <c r="QUM34" s="204"/>
      <c r="QUN34" s="204"/>
      <c r="QUO34" s="204"/>
      <c r="QUP34" s="204"/>
      <c r="QUQ34" s="204"/>
      <c r="QUR34" s="204"/>
      <c r="QUS34" s="204"/>
      <c r="QUT34" s="204"/>
      <c r="QUU34" s="204"/>
      <c r="QUV34" s="204"/>
      <c r="QUW34" s="204"/>
      <c r="QUX34" s="204"/>
      <c r="QUY34" s="204"/>
      <c r="QUZ34" s="204"/>
      <c r="QVA34" s="204"/>
      <c r="QVB34" s="204"/>
      <c r="QVC34" s="204"/>
      <c r="QVD34" s="204"/>
      <c r="QVE34" s="204"/>
      <c r="QVF34" s="204"/>
      <c r="QVG34" s="204"/>
      <c r="QVH34" s="204"/>
      <c r="QVI34" s="204"/>
      <c r="QVJ34" s="204"/>
      <c r="QVK34" s="204"/>
      <c r="QVL34" s="204"/>
      <c r="QVM34" s="204"/>
      <c r="QVN34" s="204"/>
      <c r="QVO34" s="204"/>
      <c r="QVP34" s="204"/>
      <c r="QVQ34" s="204"/>
      <c r="QVR34" s="204"/>
      <c r="QVS34" s="204"/>
      <c r="QVT34" s="204"/>
      <c r="QVU34" s="204"/>
      <c r="QVV34" s="204"/>
      <c r="QVW34" s="204"/>
      <c r="QVX34" s="204"/>
      <c r="QVY34" s="204"/>
      <c r="QVZ34" s="204"/>
      <c r="QWA34" s="204"/>
      <c r="QWB34" s="204"/>
      <c r="QWC34" s="204"/>
      <c r="QWD34" s="204"/>
      <c r="QWE34" s="204"/>
      <c r="QWF34" s="204"/>
      <c r="QWG34" s="204"/>
      <c r="QWH34" s="204"/>
      <c r="QWI34" s="204"/>
      <c r="QWJ34" s="204"/>
      <c r="QWK34" s="204"/>
      <c r="QWL34" s="204"/>
      <c r="QWM34" s="204"/>
      <c r="QWN34" s="204"/>
      <c r="QWO34" s="204"/>
      <c r="QWP34" s="204"/>
      <c r="QWQ34" s="204"/>
      <c r="QWR34" s="204"/>
      <c r="QWS34" s="204"/>
      <c r="QWT34" s="204"/>
      <c r="QWU34" s="204"/>
      <c r="QWV34" s="204"/>
      <c r="QWW34" s="204"/>
      <c r="QWX34" s="204"/>
      <c r="QWY34" s="204"/>
      <c r="QWZ34" s="204"/>
      <c r="QXA34" s="204"/>
      <c r="QXB34" s="204"/>
      <c r="QXC34" s="204"/>
      <c r="QXD34" s="204"/>
      <c r="QXE34" s="204"/>
      <c r="QXF34" s="204"/>
      <c r="QXG34" s="204"/>
      <c r="QXH34" s="204"/>
      <c r="QXI34" s="204"/>
      <c r="QXJ34" s="204"/>
      <c r="QXK34" s="204"/>
      <c r="QXL34" s="204"/>
      <c r="QXM34" s="204"/>
      <c r="QXN34" s="204"/>
      <c r="QXO34" s="204"/>
      <c r="QXP34" s="204"/>
      <c r="QXQ34" s="204"/>
      <c r="QXR34" s="204"/>
      <c r="QXS34" s="204"/>
      <c r="QXT34" s="204"/>
      <c r="QXU34" s="204"/>
      <c r="QXV34" s="204"/>
      <c r="QXW34" s="204"/>
      <c r="QXX34" s="204"/>
      <c r="QXY34" s="204"/>
      <c r="QXZ34" s="204"/>
      <c r="QYA34" s="204"/>
      <c r="QYB34" s="204"/>
      <c r="QYC34" s="204"/>
      <c r="QYD34" s="204"/>
      <c r="QYE34" s="204"/>
      <c r="QYF34" s="204"/>
      <c r="QYG34" s="204"/>
      <c r="QYH34" s="204"/>
      <c r="QYI34" s="204"/>
      <c r="QYJ34" s="204"/>
      <c r="QYK34" s="204"/>
      <c r="QYL34" s="204"/>
      <c r="QYM34" s="204"/>
      <c r="QYN34" s="204"/>
      <c r="QYO34" s="204"/>
      <c r="QYP34" s="204"/>
      <c r="QYQ34" s="204"/>
      <c r="QYR34" s="204"/>
      <c r="QYS34" s="204"/>
      <c r="QYT34" s="204"/>
      <c r="QYU34" s="204"/>
      <c r="QYV34" s="204"/>
      <c r="QYW34" s="204"/>
      <c r="QYX34" s="204"/>
      <c r="QYY34" s="204"/>
      <c r="QYZ34" s="204"/>
      <c r="QZA34" s="204"/>
      <c r="QZB34" s="204"/>
      <c r="QZC34" s="204"/>
      <c r="QZD34" s="204"/>
      <c r="QZE34" s="204"/>
      <c r="QZF34" s="204"/>
      <c r="QZG34" s="204"/>
      <c r="QZH34" s="204"/>
      <c r="QZI34" s="204"/>
      <c r="QZJ34" s="204"/>
      <c r="QZK34" s="204"/>
      <c r="QZL34" s="204"/>
      <c r="QZM34" s="204"/>
      <c r="QZN34" s="204"/>
      <c r="QZO34" s="204"/>
      <c r="QZP34" s="204"/>
      <c r="QZQ34" s="204"/>
      <c r="QZR34" s="204"/>
      <c r="QZS34" s="204"/>
      <c r="QZT34" s="204"/>
      <c r="QZU34" s="204"/>
      <c r="QZV34" s="204"/>
      <c r="QZW34" s="204"/>
      <c r="QZX34" s="204"/>
      <c r="QZY34" s="204"/>
      <c r="QZZ34" s="204"/>
      <c r="RAA34" s="204"/>
      <c r="RAB34" s="204"/>
      <c r="RAC34" s="204"/>
      <c r="RAD34" s="204"/>
      <c r="RAE34" s="204"/>
      <c r="RAF34" s="204"/>
      <c r="RAG34" s="204"/>
      <c r="RAH34" s="204"/>
      <c r="RAI34" s="204"/>
      <c r="RAJ34" s="204"/>
      <c r="RAK34" s="204"/>
      <c r="RAL34" s="204"/>
      <c r="RAM34" s="204"/>
      <c r="RAN34" s="204"/>
      <c r="RAO34" s="204"/>
      <c r="RAP34" s="204"/>
      <c r="RAQ34" s="204"/>
      <c r="RAR34" s="204"/>
      <c r="RAS34" s="204"/>
      <c r="RAT34" s="204"/>
      <c r="RAU34" s="204"/>
      <c r="RAV34" s="204"/>
      <c r="RAW34" s="204"/>
      <c r="RAX34" s="204"/>
      <c r="RAY34" s="204"/>
      <c r="RAZ34" s="204"/>
      <c r="RBA34" s="204"/>
      <c r="RBB34" s="204"/>
      <c r="RBC34" s="204"/>
      <c r="RBD34" s="204"/>
      <c r="RBE34" s="204"/>
      <c r="RBF34" s="204"/>
      <c r="RBG34" s="204"/>
      <c r="RBH34" s="204"/>
      <c r="RBI34" s="204"/>
      <c r="RBJ34" s="204"/>
      <c r="RBK34" s="204"/>
      <c r="RBL34" s="204"/>
      <c r="RBM34" s="204"/>
      <c r="RBN34" s="204"/>
      <c r="RBO34" s="204"/>
      <c r="RBP34" s="204"/>
      <c r="RBQ34" s="204"/>
      <c r="RBR34" s="204"/>
      <c r="RBS34" s="204"/>
      <c r="RBT34" s="204"/>
      <c r="RBU34" s="204"/>
      <c r="RBV34" s="204"/>
      <c r="RBW34" s="204"/>
      <c r="RBX34" s="204"/>
      <c r="RBY34" s="204"/>
      <c r="RBZ34" s="204"/>
      <c r="RCA34" s="204"/>
      <c r="RCB34" s="204"/>
      <c r="RCC34" s="204"/>
      <c r="RCD34" s="204"/>
      <c r="RCE34" s="204"/>
      <c r="RCF34" s="204"/>
      <c r="RCG34" s="204"/>
      <c r="RCH34" s="204"/>
      <c r="RCI34" s="204"/>
      <c r="RCJ34" s="204"/>
      <c r="RCK34" s="204"/>
      <c r="RCL34" s="204"/>
      <c r="RCM34" s="204"/>
      <c r="RCN34" s="204"/>
      <c r="RCO34" s="204"/>
      <c r="RCP34" s="204"/>
      <c r="RCQ34" s="204"/>
      <c r="RCR34" s="204"/>
      <c r="RCS34" s="204"/>
      <c r="RCT34" s="204"/>
      <c r="RCU34" s="204"/>
      <c r="RCV34" s="204"/>
      <c r="RCW34" s="204"/>
      <c r="RCX34" s="204"/>
      <c r="RCY34" s="204"/>
      <c r="RCZ34" s="204"/>
      <c r="RDA34" s="204"/>
      <c r="RDB34" s="204"/>
      <c r="RDC34" s="204"/>
      <c r="RDD34" s="204"/>
      <c r="RDE34" s="204"/>
      <c r="RDF34" s="204"/>
      <c r="RDG34" s="204"/>
      <c r="RDH34" s="204"/>
      <c r="RDI34" s="204"/>
      <c r="RDJ34" s="204"/>
      <c r="RDK34" s="204"/>
      <c r="RDL34" s="204"/>
      <c r="RDM34" s="204"/>
      <c r="RDN34" s="204"/>
      <c r="RDO34" s="204"/>
      <c r="RDP34" s="204"/>
      <c r="RDQ34" s="204"/>
      <c r="RDR34" s="204"/>
      <c r="RDS34" s="204"/>
      <c r="RDT34" s="204"/>
      <c r="RDU34" s="204"/>
      <c r="RDV34" s="204"/>
      <c r="RDW34" s="204"/>
      <c r="RDX34" s="204"/>
      <c r="RDY34" s="204"/>
      <c r="RDZ34" s="204"/>
      <c r="REA34" s="204"/>
      <c r="REB34" s="204"/>
      <c r="REC34" s="204"/>
      <c r="RED34" s="204"/>
      <c r="REE34" s="204"/>
      <c r="REF34" s="204"/>
      <c r="REG34" s="204"/>
      <c r="REH34" s="204"/>
      <c r="REI34" s="204"/>
      <c r="REJ34" s="204"/>
      <c r="REK34" s="204"/>
      <c r="REL34" s="204"/>
      <c r="REM34" s="204"/>
      <c r="REN34" s="204"/>
      <c r="REO34" s="204"/>
      <c r="REP34" s="204"/>
      <c r="REQ34" s="204"/>
      <c r="RER34" s="204"/>
      <c r="RES34" s="204"/>
      <c r="RET34" s="204"/>
      <c r="REU34" s="204"/>
      <c r="REV34" s="204"/>
      <c r="REW34" s="204"/>
      <c r="REX34" s="204"/>
      <c r="REY34" s="204"/>
      <c r="REZ34" s="204"/>
      <c r="RFA34" s="204"/>
      <c r="RFB34" s="204"/>
      <c r="RFC34" s="204"/>
      <c r="RFD34" s="204"/>
      <c r="RFE34" s="204"/>
      <c r="RFF34" s="204"/>
      <c r="RFG34" s="204"/>
      <c r="RFH34" s="204"/>
      <c r="RFI34" s="204"/>
      <c r="RFJ34" s="204"/>
      <c r="RFK34" s="204"/>
      <c r="RFL34" s="204"/>
      <c r="RFM34" s="204"/>
      <c r="RFN34" s="204"/>
      <c r="RFO34" s="204"/>
      <c r="RFP34" s="204"/>
      <c r="RFQ34" s="204"/>
      <c r="RFR34" s="204"/>
      <c r="RFS34" s="204"/>
      <c r="RFT34" s="204"/>
      <c r="RFU34" s="204"/>
      <c r="RFV34" s="204"/>
      <c r="RFW34" s="204"/>
      <c r="RFX34" s="204"/>
      <c r="RFY34" s="204"/>
      <c r="RFZ34" s="204"/>
      <c r="RGA34" s="204"/>
      <c r="RGB34" s="204"/>
      <c r="RGC34" s="204"/>
      <c r="RGD34" s="204"/>
      <c r="RGE34" s="204"/>
      <c r="RGF34" s="204"/>
      <c r="RGG34" s="204"/>
      <c r="RGH34" s="204"/>
      <c r="RGI34" s="204"/>
      <c r="RGJ34" s="204"/>
      <c r="RGK34" s="204"/>
      <c r="RGL34" s="204"/>
      <c r="RGM34" s="204"/>
      <c r="RGN34" s="204"/>
      <c r="RGO34" s="204"/>
      <c r="RGP34" s="204"/>
      <c r="RGQ34" s="204"/>
      <c r="RGR34" s="204"/>
      <c r="RGS34" s="204"/>
      <c r="RGT34" s="204"/>
      <c r="RGU34" s="204"/>
      <c r="RGV34" s="204"/>
      <c r="RGW34" s="204"/>
      <c r="RGX34" s="204"/>
      <c r="RGY34" s="204"/>
      <c r="RGZ34" s="204"/>
      <c r="RHA34" s="204"/>
      <c r="RHB34" s="204"/>
      <c r="RHC34" s="204"/>
      <c r="RHD34" s="204"/>
      <c r="RHE34" s="204"/>
      <c r="RHF34" s="204"/>
      <c r="RHG34" s="204"/>
      <c r="RHH34" s="204"/>
      <c r="RHI34" s="204"/>
      <c r="RHJ34" s="204"/>
      <c r="RHK34" s="204"/>
      <c r="RHL34" s="204"/>
      <c r="RHM34" s="204"/>
      <c r="RHN34" s="204"/>
      <c r="RHO34" s="204"/>
      <c r="RHP34" s="204"/>
      <c r="RHQ34" s="204"/>
      <c r="RHR34" s="204"/>
      <c r="RHS34" s="204"/>
      <c r="RHT34" s="204"/>
      <c r="RHU34" s="204"/>
      <c r="RHV34" s="204"/>
      <c r="RHW34" s="204"/>
      <c r="RHX34" s="204"/>
      <c r="RHY34" s="204"/>
      <c r="RHZ34" s="204"/>
      <c r="RIA34" s="204"/>
      <c r="RIB34" s="204"/>
      <c r="RIC34" s="204"/>
      <c r="RID34" s="204"/>
      <c r="RIE34" s="204"/>
      <c r="RIF34" s="204"/>
      <c r="RIG34" s="204"/>
      <c r="RIH34" s="204"/>
      <c r="RII34" s="204"/>
      <c r="RIJ34" s="204"/>
      <c r="RIK34" s="204"/>
      <c r="RIL34" s="204"/>
      <c r="RIM34" s="204"/>
      <c r="RIN34" s="204"/>
      <c r="RIO34" s="204"/>
      <c r="RIP34" s="204"/>
      <c r="RIQ34" s="204"/>
      <c r="RIR34" s="204"/>
      <c r="RIS34" s="204"/>
      <c r="RIT34" s="204"/>
      <c r="RIU34" s="204"/>
      <c r="RIV34" s="204"/>
      <c r="RIW34" s="204"/>
      <c r="RIX34" s="204"/>
      <c r="RIY34" s="204"/>
      <c r="RIZ34" s="204"/>
      <c r="RJA34" s="204"/>
      <c r="RJB34" s="204"/>
      <c r="RJC34" s="204"/>
      <c r="RJD34" s="204"/>
      <c r="RJE34" s="204"/>
      <c r="RJF34" s="204"/>
      <c r="RJG34" s="204"/>
      <c r="RJH34" s="204"/>
      <c r="RJI34" s="204"/>
      <c r="RJJ34" s="204"/>
      <c r="RJK34" s="204"/>
      <c r="RJL34" s="204"/>
      <c r="RJM34" s="204"/>
      <c r="RJN34" s="204"/>
      <c r="RJO34" s="204"/>
      <c r="RJP34" s="204"/>
      <c r="RJQ34" s="204"/>
      <c r="RJR34" s="204"/>
      <c r="RJS34" s="204"/>
      <c r="RJT34" s="204"/>
      <c r="RJU34" s="204"/>
      <c r="RJV34" s="204"/>
      <c r="RJW34" s="204"/>
      <c r="RJX34" s="204"/>
      <c r="RJY34" s="204"/>
      <c r="RJZ34" s="204"/>
      <c r="RKA34" s="204"/>
      <c r="RKB34" s="204"/>
      <c r="RKC34" s="204"/>
      <c r="RKD34" s="204"/>
      <c r="RKE34" s="204"/>
      <c r="RKF34" s="204"/>
      <c r="RKG34" s="204"/>
      <c r="RKH34" s="204"/>
      <c r="RKI34" s="204"/>
      <c r="RKJ34" s="204"/>
      <c r="RKK34" s="204"/>
      <c r="RKL34" s="204"/>
      <c r="RKM34" s="204"/>
      <c r="RKN34" s="204"/>
      <c r="RKO34" s="204"/>
      <c r="RKP34" s="204"/>
      <c r="RKQ34" s="204"/>
      <c r="RKR34" s="204"/>
      <c r="RKS34" s="204"/>
      <c r="RKT34" s="204"/>
      <c r="RKU34" s="204"/>
      <c r="RKV34" s="204"/>
      <c r="RKW34" s="204"/>
      <c r="RKX34" s="204"/>
      <c r="RKY34" s="204"/>
      <c r="RKZ34" s="204"/>
      <c r="RLA34" s="204"/>
      <c r="RLB34" s="204"/>
      <c r="RLC34" s="204"/>
      <c r="RLD34" s="204"/>
      <c r="RLE34" s="204"/>
      <c r="RLF34" s="204"/>
      <c r="RLG34" s="204"/>
      <c r="RLH34" s="204"/>
      <c r="RLI34" s="204"/>
      <c r="RLJ34" s="204"/>
      <c r="RLK34" s="204"/>
      <c r="RLL34" s="204"/>
      <c r="RLM34" s="204"/>
      <c r="RLN34" s="204"/>
      <c r="RLO34" s="204"/>
      <c r="RLP34" s="204"/>
      <c r="RLQ34" s="204"/>
      <c r="RLR34" s="204"/>
      <c r="RLS34" s="204"/>
      <c r="RLT34" s="204"/>
      <c r="RLU34" s="204"/>
      <c r="RLV34" s="204"/>
      <c r="RLW34" s="204"/>
      <c r="RLX34" s="204"/>
      <c r="RLY34" s="204"/>
      <c r="RLZ34" s="204"/>
      <c r="RMA34" s="204"/>
      <c r="RMB34" s="204"/>
      <c r="RMC34" s="204"/>
      <c r="RMD34" s="204"/>
      <c r="RME34" s="204"/>
      <c r="RMF34" s="204"/>
      <c r="RMG34" s="204"/>
      <c r="RMH34" s="204"/>
      <c r="RMI34" s="204"/>
      <c r="RMJ34" s="204"/>
      <c r="RMK34" s="204"/>
      <c r="RML34" s="204"/>
      <c r="RMM34" s="204"/>
      <c r="RMN34" s="204"/>
      <c r="RMO34" s="204"/>
      <c r="RMP34" s="204"/>
      <c r="RMQ34" s="204"/>
      <c r="RMR34" s="204"/>
      <c r="RMS34" s="204"/>
      <c r="RMT34" s="204"/>
      <c r="RMU34" s="204"/>
      <c r="RMV34" s="204"/>
      <c r="RMW34" s="204"/>
      <c r="RMX34" s="204"/>
      <c r="RMY34" s="204"/>
      <c r="RMZ34" s="204"/>
      <c r="RNA34" s="204"/>
      <c r="RNB34" s="204"/>
      <c r="RNC34" s="204"/>
      <c r="RND34" s="204"/>
      <c r="RNE34" s="204"/>
      <c r="RNF34" s="204"/>
      <c r="RNG34" s="204"/>
      <c r="RNH34" s="204"/>
      <c r="RNI34" s="204"/>
      <c r="RNJ34" s="204"/>
      <c r="RNK34" s="204"/>
      <c r="RNL34" s="204"/>
      <c r="RNM34" s="204"/>
      <c r="RNN34" s="204"/>
      <c r="RNO34" s="204"/>
      <c r="RNP34" s="204"/>
      <c r="RNQ34" s="204"/>
      <c r="RNR34" s="204"/>
      <c r="RNS34" s="204"/>
      <c r="RNT34" s="204"/>
      <c r="RNU34" s="204"/>
      <c r="RNV34" s="204"/>
      <c r="RNW34" s="204"/>
      <c r="RNX34" s="204"/>
      <c r="RNY34" s="204"/>
      <c r="RNZ34" s="204"/>
      <c r="ROA34" s="204"/>
      <c r="ROB34" s="204"/>
      <c r="ROC34" s="204"/>
      <c r="ROD34" s="204"/>
      <c r="ROE34" s="204"/>
      <c r="ROF34" s="204"/>
      <c r="ROG34" s="204"/>
      <c r="ROH34" s="204"/>
      <c r="ROI34" s="204"/>
      <c r="ROJ34" s="204"/>
      <c r="ROK34" s="204"/>
      <c r="ROL34" s="204"/>
      <c r="ROM34" s="204"/>
      <c r="RON34" s="204"/>
      <c r="ROO34" s="204"/>
      <c r="ROP34" s="204"/>
      <c r="ROQ34" s="204"/>
      <c r="ROR34" s="204"/>
      <c r="ROS34" s="204"/>
      <c r="ROT34" s="204"/>
      <c r="ROU34" s="204"/>
      <c r="ROV34" s="204"/>
      <c r="ROW34" s="204"/>
      <c r="ROX34" s="204"/>
      <c r="ROY34" s="204"/>
      <c r="ROZ34" s="204"/>
      <c r="RPA34" s="204"/>
      <c r="RPB34" s="204"/>
      <c r="RPC34" s="204"/>
      <c r="RPD34" s="204"/>
      <c r="RPE34" s="204"/>
      <c r="RPF34" s="204"/>
      <c r="RPG34" s="204"/>
      <c r="RPH34" s="204"/>
      <c r="RPI34" s="204"/>
      <c r="RPJ34" s="204"/>
      <c r="RPK34" s="204"/>
      <c r="RPL34" s="204"/>
      <c r="RPM34" s="204"/>
      <c r="RPN34" s="204"/>
      <c r="RPO34" s="204"/>
      <c r="RPP34" s="204"/>
      <c r="RPQ34" s="204"/>
      <c r="RPR34" s="204"/>
      <c r="RPS34" s="204"/>
      <c r="RPT34" s="204"/>
      <c r="RPU34" s="204"/>
      <c r="RPV34" s="204"/>
      <c r="RPW34" s="204"/>
      <c r="RPX34" s="204"/>
      <c r="RPY34" s="204"/>
      <c r="RPZ34" s="204"/>
      <c r="RQA34" s="204"/>
      <c r="RQB34" s="204"/>
      <c r="RQC34" s="204"/>
      <c r="RQD34" s="204"/>
      <c r="RQE34" s="204"/>
      <c r="RQF34" s="204"/>
      <c r="RQG34" s="204"/>
      <c r="RQH34" s="204"/>
      <c r="RQI34" s="204"/>
      <c r="RQJ34" s="204"/>
      <c r="RQK34" s="204"/>
      <c r="RQL34" s="204"/>
      <c r="RQM34" s="204"/>
      <c r="RQN34" s="204"/>
      <c r="RQO34" s="204"/>
      <c r="RQP34" s="204"/>
      <c r="RQQ34" s="204"/>
      <c r="RQR34" s="204"/>
      <c r="RQS34" s="204"/>
      <c r="RQT34" s="204"/>
      <c r="RQU34" s="204"/>
      <c r="RQV34" s="204"/>
      <c r="RQW34" s="204"/>
      <c r="RQX34" s="204"/>
      <c r="RQY34" s="204"/>
      <c r="RQZ34" s="204"/>
      <c r="RRA34" s="204"/>
      <c r="RRB34" s="204"/>
      <c r="RRC34" s="204"/>
      <c r="RRD34" s="204"/>
      <c r="RRE34" s="204"/>
      <c r="RRF34" s="204"/>
      <c r="RRG34" s="204"/>
      <c r="RRH34" s="204"/>
      <c r="RRI34" s="204"/>
      <c r="RRJ34" s="204"/>
      <c r="RRK34" s="204"/>
      <c r="RRL34" s="204"/>
      <c r="RRM34" s="204"/>
      <c r="RRN34" s="204"/>
      <c r="RRO34" s="204"/>
      <c r="RRP34" s="204"/>
      <c r="RRQ34" s="204"/>
      <c r="RRR34" s="204"/>
      <c r="RRS34" s="204"/>
      <c r="RRT34" s="204"/>
      <c r="RRU34" s="204"/>
      <c r="RRV34" s="204"/>
      <c r="RRW34" s="204"/>
      <c r="RRX34" s="204"/>
      <c r="RRY34" s="204"/>
      <c r="RRZ34" s="204"/>
      <c r="RSA34" s="204"/>
      <c r="RSB34" s="204"/>
      <c r="RSC34" s="204"/>
      <c r="RSD34" s="204"/>
      <c r="RSE34" s="204"/>
      <c r="RSF34" s="204"/>
      <c r="RSG34" s="204"/>
      <c r="RSH34" s="204"/>
      <c r="RSI34" s="204"/>
      <c r="RSJ34" s="204"/>
      <c r="RSK34" s="204"/>
      <c r="RSL34" s="204"/>
      <c r="RSM34" s="204"/>
      <c r="RSN34" s="204"/>
      <c r="RSO34" s="204"/>
      <c r="RSP34" s="204"/>
      <c r="RSQ34" s="204"/>
      <c r="RSR34" s="204"/>
      <c r="RSS34" s="204"/>
      <c r="RST34" s="204"/>
      <c r="RSU34" s="204"/>
      <c r="RSV34" s="204"/>
      <c r="RSW34" s="204"/>
      <c r="RSX34" s="204"/>
      <c r="RSY34" s="204"/>
      <c r="RSZ34" s="204"/>
      <c r="RTA34" s="204"/>
      <c r="RTB34" s="204"/>
      <c r="RTC34" s="204"/>
      <c r="RTD34" s="204"/>
      <c r="RTE34" s="204"/>
      <c r="RTF34" s="204"/>
      <c r="RTG34" s="204"/>
      <c r="RTH34" s="204"/>
      <c r="RTI34" s="204"/>
      <c r="RTJ34" s="204"/>
      <c r="RTK34" s="204"/>
      <c r="RTL34" s="204"/>
      <c r="RTM34" s="204"/>
      <c r="RTN34" s="204"/>
      <c r="RTO34" s="204"/>
      <c r="RTP34" s="204"/>
      <c r="RTQ34" s="204"/>
      <c r="RTR34" s="204"/>
      <c r="RTS34" s="204"/>
      <c r="RTT34" s="204"/>
      <c r="RTU34" s="204"/>
      <c r="RTV34" s="204"/>
      <c r="RTW34" s="204"/>
      <c r="RTX34" s="204"/>
      <c r="RTY34" s="204"/>
      <c r="RTZ34" s="204"/>
      <c r="RUA34" s="204"/>
      <c r="RUB34" s="204"/>
      <c r="RUC34" s="204"/>
      <c r="RUD34" s="204"/>
      <c r="RUE34" s="204"/>
      <c r="RUF34" s="204"/>
      <c r="RUG34" s="204"/>
      <c r="RUH34" s="204"/>
      <c r="RUI34" s="204"/>
      <c r="RUJ34" s="204"/>
      <c r="RUK34" s="204"/>
      <c r="RUL34" s="204"/>
      <c r="RUM34" s="204"/>
      <c r="RUN34" s="204"/>
      <c r="RUO34" s="204"/>
      <c r="RUP34" s="204"/>
      <c r="RUQ34" s="204"/>
      <c r="RUR34" s="204"/>
      <c r="RUS34" s="204"/>
      <c r="RUT34" s="204"/>
      <c r="RUU34" s="204"/>
      <c r="RUV34" s="204"/>
      <c r="RUW34" s="204"/>
      <c r="RUX34" s="204"/>
      <c r="RUY34" s="204"/>
      <c r="RUZ34" s="204"/>
      <c r="RVA34" s="204"/>
      <c r="RVB34" s="204"/>
      <c r="RVC34" s="204"/>
      <c r="RVD34" s="204"/>
      <c r="RVE34" s="204"/>
      <c r="RVF34" s="204"/>
      <c r="RVG34" s="204"/>
      <c r="RVH34" s="204"/>
      <c r="RVI34" s="204"/>
      <c r="RVJ34" s="204"/>
      <c r="RVK34" s="204"/>
      <c r="RVL34" s="204"/>
      <c r="RVM34" s="204"/>
      <c r="RVN34" s="204"/>
      <c r="RVO34" s="204"/>
      <c r="RVP34" s="204"/>
      <c r="RVQ34" s="204"/>
      <c r="RVR34" s="204"/>
      <c r="RVS34" s="204"/>
      <c r="RVT34" s="204"/>
      <c r="RVU34" s="204"/>
      <c r="RVV34" s="204"/>
      <c r="RVW34" s="204"/>
      <c r="RVX34" s="204"/>
      <c r="RVY34" s="204"/>
      <c r="RVZ34" s="204"/>
      <c r="RWA34" s="204"/>
      <c r="RWB34" s="204"/>
      <c r="RWC34" s="204"/>
      <c r="RWD34" s="204"/>
      <c r="RWE34" s="204"/>
      <c r="RWF34" s="204"/>
      <c r="RWG34" s="204"/>
      <c r="RWH34" s="204"/>
      <c r="RWI34" s="204"/>
      <c r="RWJ34" s="204"/>
      <c r="RWK34" s="204"/>
      <c r="RWL34" s="204"/>
      <c r="RWM34" s="204"/>
      <c r="RWN34" s="204"/>
      <c r="RWO34" s="204"/>
      <c r="RWP34" s="204"/>
      <c r="RWQ34" s="204"/>
      <c r="RWR34" s="204"/>
      <c r="RWS34" s="204"/>
      <c r="RWT34" s="204"/>
      <c r="RWU34" s="204"/>
      <c r="RWV34" s="204"/>
      <c r="RWW34" s="204"/>
      <c r="RWX34" s="204"/>
      <c r="RWY34" s="204"/>
      <c r="RWZ34" s="204"/>
      <c r="RXA34" s="204"/>
      <c r="RXB34" s="204"/>
      <c r="RXC34" s="204"/>
      <c r="RXD34" s="204"/>
      <c r="RXE34" s="204"/>
      <c r="RXF34" s="204"/>
      <c r="RXG34" s="204"/>
      <c r="RXH34" s="204"/>
      <c r="RXI34" s="204"/>
      <c r="RXJ34" s="204"/>
      <c r="RXK34" s="204"/>
      <c r="RXL34" s="204"/>
      <c r="RXM34" s="204"/>
      <c r="RXN34" s="204"/>
      <c r="RXO34" s="204"/>
      <c r="RXP34" s="204"/>
      <c r="RXQ34" s="204"/>
      <c r="RXR34" s="204"/>
      <c r="RXS34" s="204"/>
      <c r="RXT34" s="204"/>
      <c r="RXU34" s="204"/>
      <c r="RXV34" s="204"/>
      <c r="RXW34" s="204"/>
      <c r="RXX34" s="204"/>
      <c r="RXY34" s="204"/>
      <c r="RXZ34" s="204"/>
      <c r="RYA34" s="204"/>
      <c r="RYB34" s="204"/>
      <c r="RYC34" s="204"/>
      <c r="RYD34" s="204"/>
      <c r="RYE34" s="204"/>
      <c r="RYF34" s="204"/>
      <c r="RYG34" s="204"/>
      <c r="RYH34" s="204"/>
      <c r="RYI34" s="204"/>
      <c r="RYJ34" s="204"/>
      <c r="RYK34" s="204"/>
      <c r="RYL34" s="204"/>
      <c r="RYM34" s="204"/>
      <c r="RYN34" s="204"/>
      <c r="RYO34" s="204"/>
      <c r="RYP34" s="204"/>
      <c r="RYQ34" s="204"/>
      <c r="RYR34" s="204"/>
      <c r="RYS34" s="204"/>
      <c r="RYT34" s="204"/>
      <c r="RYU34" s="204"/>
      <c r="RYV34" s="204"/>
      <c r="RYW34" s="204"/>
      <c r="RYX34" s="204"/>
      <c r="RYY34" s="204"/>
      <c r="RYZ34" s="204"/>
      <c r="RZA34" s="204"/>
      <c r="RZB34" s="204"/>
      <c r="RZC34" s="204"/>
      <c r="RZD34" s="204"/>
      <c r="RZE34" s="204"/>
      <c r="RZF34" s="204"/>
      <c r="RZG34" s="204"/>
      <c r="RZH34" s="204"/>
      <c r="RZI34" s="204"/>
      <c r="RZJ34" s="204"/>
      <c r="RZK34" s="204"/>
      <c r="RZL34" s="204"/>
      <c r="RZM34" s="204"/>
      <c r="RZN34" s="204"/>
      <c r="RZO34" s="204"/>
      <c r="RZP34" s="204"/>
      <c r="RZQ34" s="204"/>
      <c r="RZR34" s="204"/>
      <c r="RZS34" s="204"/>
      <c r="RZT34" s="204"/>
      <c r="RZU34" s="204"/>
      <c r="RZV34" s="204"/>
      <c r="RZW34" s="204"/>
      <c r="RZX34" s="204"/>
      <c r="RZY34" s="204"/>
      <c r="RZZ34" s="204"/>
      <c r="SAA34" s="204"/>
      <c r="SAB34" s="204"/>
      <c r="SAC34" s="204"/>
      <c r="SAD34" s="204"/>
      <c r="SAE34" s="204"/>
      <c r="SAF34" s="204"/>
      <c r="SAG34" s="204"/>
      <c r="SAH34" s="204"/>
      <c r="SAI34" s="204"/>
      <c r="SAJ34" s="204"/>
      <c r="SAK34" s="204"/>
      <c r="SAL34" s="204"/>
      <c r="SAM34" s="204"/>
      <c r="SAN34" s="204"/>
      <c r="SAO34" s="204"/>
      <c r="SAP34" s="204"/>
      <c r="SAQ34" s="204"/>
      <c r="SAR34" s="204"/>
      <c r="SAS34" s="204"/>
      <c r="SAT34" s="204"/>
      <c r="SAU34" s="204"/>
      <c r="SAV34" s="204"/>
      <c r="SAW34" s="204"/>
      <c r="SAX34" s="204"/>
      <c r="SAY34" s="204"/>
      <c r="SAZ34" s="204"/>
      <c r="SBA34" s="204"/>
      <c r="SBB34" s="204"/>
      <c r="SBC34" s="204"/>
      <c r="SBD34" s="204"/>
      <c r="SBE34" s="204"/>
      <c r="SBF34" s="204"/>
      <c r="SBG34" s="204"/>
      <c r="SBH34" s="204"/>
      <c r="SBI34" s="204"/>
      <c r="SBJ34" s="204"/>
      <c r="SBK34" s="204"/>
      <c r="SBL34" s="204"/>
      <c r="SBM34" s="204"/>
      <c r="SBN34" s="204"/>
      <c r="SBO34" s="204"/>
      <c r="SBP34" s="204"/>
      <c r="SBQ34" s="204"/>
      <c r="SBR34" s="204"/>
      <c r="SBS34" s="204"/>
      <c r="SBT34" s="204"/>
      <c r="SBU34" s="204"/>
      <c r="SBV34" s="204"/>
      <c r="SBW34" s="204"/>
      <c r="SBX34" s="204"/>
      <c r="SBY34" s="204"/>
      <c r="SBZ34" s="204"/>
      <c r="SCA34" s="204"/>
      <c r="SCB34" s="204"/>
      <c r="SCC34" s="204"/>
      <c r="SCD34" s="204"/>
      <c r="SCE34" s="204"/>
      <c r="SCF34" s="204"/>
      <c r="SCG34" s="204"/>
      <c r="SCH34" s="204"/>
      <c r="SCI34" s="204"/>
      <c r="SCJ34" s="204"/>
      <c r="SCK34" s="204"/>
      <c r="SCL34" s="204"/>
      <c r="SCM34" s="204"/>
      <c r="SCN34" s="204"/>
      <c r="SCO34" s="204"/>
      <c r="SCP34" s="204"/>
      <c r="SCQ34" s="204"/>
      <c r="SCR34" s="204"/>
      <c r="SCS34" s="204"/>
      <c r="SCT34" s="204"/>
      <c r="SCU34" s="204"/>
      <c r="SCV34" s="204"/>
      <c r="SCW34" s="204"/>
      <c r="SCX34" s="204"/>
      <c r="SCY34" s="204"/>
      <c r="SCZ34" s="204"/>
      <c r="SDA34" s="204"/>
      <c r="SDB34" s="204"/>
      <c r="SDC34" s="204"/>
      <c r="SDD34" s="204"/>
      <c r="SDE34" s="204"/>
      <c r="SDF34" s="204"/>
      <c r="SDG34" s="204"/>
      <c r="SDH34" s="204"/>
      <c r="SDI34" s="204"/>
      <c r="SDJ34" s="204"/>
      <c r="SDK34" s="204"/>
      <c r="SDL34" s="204"/>
      <c r="SDM34" s="204"/>
      <c r="SDN34" s="204"/>
      <c r="SDO34" s="204"/>
      <c r="SDP34" s="204"/>
      <c r="SDQ34" s="204"/>
      <c r="SDR34" s="204"/>
      <c r="SDS34" s="204"/>
      <c r="SDT34" s="204"/>
      <c r="SDU34" s="204"/>
      <c r="SDV34" s="204"/>
      <c r="SDW34" s="204"/>
      <c r="SDX34" s="204"/>
      <c r="SDY34" s="204"/>
      <c r="SDZ34" s="204"/>
      <c r="SEA34" s="204"/>
      <c r="SEB34" s="204"/>
      <c r="SEC34" s="204"/>
      <c r="SED34" s="204"/>
      <c r="SEE34" s="204"/>
      <c r="SEF34" s="204"/>
      <c r="SEG34" s="204"/>
      <c r="SEH34" s="204"/>
      <c r="SEI34" s="204"/>
      <c r="SEJ34" s="204"/>
      <c r="SEK34" s="204"/>
      <c r="SEL34" s="204"/>
      <c r="SEM34" s="204"/>
      <c r="SEN34" s="204"/>
      <c r="SEO34" s="204"/>
      <c r="SEP34" s="204"/>
      <c r="SEQ34" s="204"/>
      <c r="SER34" s="204"/>
      <c r="SES34" s="204"/>
      <c r="SET34" s="204"/>
      <c r="SEU34" s="204"/>
      <c r="SEV34" s="204"/>
      <c r="SEW34" s="204"/>
      <c r="SEX34" s="204"/>
      <c r="SEY34" s="204"/>
      <c r="SEZ34" s="204"/>
      <c r="SFA34" s="204"/>
      <c r="SFB34" s="204"/>
      <c r="SFC34" s="204"/>
      <c r="SFD34" s="204"/>
      <c r="SFE34" s="204"/>
      <c r="SFF34" s="204"/>
      <c r="SFG34" s="204"/>
      <c r="SFH34" s="204"/>
      <c r="SFI34" s="204"/>
      <c r="SFJ34" s="204"/>
      <c r="SFK34" s="204"/>
      <c r="SFL34" s="204"/>
      <c r="SFM34" s="204"/>
      <c r="SFN34" s="204"/>
      <c r="SFO34" s="204"/>
      <c r="SFP34" s="204"/>
      <c r="SFQ34" s="204"/>
      <c r="SFR34" s="204"/>
      <c r="SFS34" s="204"/>
      <c r="SFT34" s="204"/>
      <c r="SFU34" s="204"/>
      <c r="SFV34" s="204"/>
      <c r="SFW34" s="204"/>
      <c r="SFX34" s="204"/>
      <c r="SFY34" s="204"/>
      <c r="SFZ34" s="204"/>
      <c r="SGA34" s="204"/>
      <c r="SGB34" s="204"/>
      <c r="SGC34" s="204"/>
      <c r="SGD34" s="204"/>
      <c r="SGE34" s="204"/>
      <c r="SGF34" s="204"/>
      <c r="SGG34" s="204"/>
      <c r="SGH34" s="204"/>
      <c r="SGI34" s="204"/>
      <c r="SGJ34" s="204"/>
      <c r="SGK34" s="204"/>
      <c r="SGL34" s="204"/>
      <c r="SGM34" s="204"/>
      <c r="SGN34" s="204"/>
      <c r="SGO34" s="204"/>
      <c r="SGP34" s="204"/>
      <c r="SGQ34" s="204"/>
      <c r="SGR34" s="204"/>
      <c r="SGS34" s="204"/>
      <c r="SGT34" s="204"/>
      <c r="SGU34" s="204"/>
      <c r="SGV34" s="204"/>
      <c r="SGW34" s="204"/>
      <c r="SGX34" s="204"/>
      <c r="SGY34" s="204"/>
      <c r="SGZ34" s="204"/>
      <c r="SHA34" s="204"/>
      <c r="SHB34" s="204"/>
      <c r="SHC34" s="204"/>
      <c r="SHD34" s="204"/>
      <c r="SHE34" s="204"/>
      <c r="SHF34" s="204"/>
      <c r="SHG34" s="204"/>
      <c r="SHH34" s="204"/>
      <c r="SHI34" s="204"/>
      <c r="SHJ34" s="204"/>
      <c r="SHK34" s="204"/>
      <c r="SHL34" s="204"/>
      <c r="SHM34" s="204"/>
      <c r="SHN34" s="204"/>
      <c r="SHO34" s="204"/>
      <c r="SHP34" s="204"/>
      <c r="SHQ34" s="204"/>
      <c r="SHR34" s="204"/>
      <c r="SHS34" s="204"/>
      <c r="SHT34" s="204"/>
      <c r="SHU34" s="204"/>
      <c r="SHV34" s="204"/>
      <c r="SHW34" s="204"/>
      <c r="SHX34" s="204"/>
      <c r="SHY34" s="204"/>
      <c r="SHZ34" s="204"/>
      <c r="SIA34" s="204"/>
      <c r="SIB34" s="204"/>
      <c r="SIC34" s="204"/>
      <c r="SID34" s="204"/>
      <c r="SIE34" s="204"/>
      <c r="SIF34" s="204"/>
      <c r="SIG34" s="204"/>
      <c r="SIH34" s="204"/>
      <c r="SII34" s="204"/>
      <c r="SIJ34" s="204"/>
      <c r="SIK34" s="204"/>
      <c r="SIL34" s="204"/>
      <c r="SIM34" s="204"/>
      <c r="SIN34" s="204"/>
      <c r="SIO34" s="204"/>
      <c r="SIP34" s="204"/>
      <c r="SIQ34" s="204"/>
      <c r="SIR34" s="204"/>
      <c r="SIS34" s="204"/>
      <c r="SIT34" s="204"/>
      <c r="SIU34" s="204"/>
      <c r="SIV34" s="204"/>
      <c r="SIW34" s="204"/>
      <c r="SIX34" s="204"/>
      <c r="SIY34" s="204"/>
      <c r="SIZ34" s="204"/>
      <c r="SJA34" s="204"/>
      <c r="SJB34" s="204"/>
      <c r="SJC34" s="204"/>
      <c r="SJD34" s="204"/>
      <c r="SJE34" s="204"/>
      <c r="SJF34" s="204"/>
      <c r="SJG34" s="204"/>
      <c r="SJH34" s="204"/>
      <c r="SJI34" s="204"/>
      <c r="SJJ34" s="204"/>
      <c r="SJK34" s="204"/>
      <c r="SJL34" s="204"/>
      <c r="SJM34" s="204"/>
      <c r="SJN34" s="204"/>
      <c r="SJO34" s="204"/>
      <c r="SJP34" s="204"/>
      <c r="SJQ34" s="204"/>
      <c r="SJR34" s="204"/>
      <c r="SJS34" s="204"/>
      <c r="SJT34" s="204"/>
      <c r="SJU34" s="204"/>
      <c r="SJV34" s="204"/>
      <c r="SJW34" s="204"/>
      <c r="SJX34" s="204"/>
      <c r="SJY34" s="204"/>
      <c r="SJZ34" s="204"/>
      <c r="SKA34" s="204"/>
      <c r="SKB34" s="204"/>
      <c r="SKC34" s="204"/>
      <c r="SKD34" s="204"/>
      <c r="SKE34" s="204"/>
      <c r="SKF34" s="204"/>
      <c r="SKG34" s="204"/>
      <c r="SKH34" s="204"/>
      <c r="SKI34" s="204"/>
      <c r="SKJ34" s="204"/>
      <c r="SKK34" s="204"/>
      <c r="SKL34" s="204"/>
      <c r="SKM34" s="204"/>
      <c r="SKN34" s="204"/>
      <c r="SKO34" s="204"/>
      <c r="SKP34" s="204"/>
      <c r="SKQ34" s="204"/>
      <c r="SKR34" s="204"/>
      <c r="SKS34" s="204"/>
      <c r="SKT34" s="204"/>
      <c r="SKU34" s="204"/>
      <c r="SKV34" s="204"/>
      <c r="SKW34" s="204"/>
      <c r="SKX34" s="204"/>
      <c r="SKY34" s="204"/>
      <c r="SKZ34" s="204"/>
      <c r="SLA34" s="204"/>
      <c r="SLB34" s="204"/>
      <c r="SLC34" s="204"/>
      <c r="SLD34" s="204"/>
      <c r="SLE34" s="204"/>
      <c r="SLF34" s="204"/>
      <c r="SLG34" s="204"/>
      <c r="SLH34" s="204"/>
      <c r="SLI34" s="204"/>
      <c r="SLJ34" s="204"/>
      <c r="SLK34" s="204"/>
      <c r="SLL34" s="204"/>
      <c r="SLM34" s="204"/>
      <c r="SLN34" s="204"/>
      <c r="SLO34" s="204"/>
      <c r="SLP34" s="204"/>
      <c r="SLQ34" s="204"/>
      <c r="SLR34" s="204"/>
      <c r="SLS34" s="204"/>
      <c r="SLT34" s="204"/>
      <c r="SLU34" s="204"/>
      <c r="SLV34" s="204"/>
      <c r="SLW34" s="204"/>
      <c r="SLX34" s="204"/>
      <c r="SLY34" s="204"/>
      <c r="SLZ34" s="204"/>
      <c r="SMA34" s="204"/>
      <c r="SMB34" s="204"/>
      <c r="SMC34" s="204"/>
      <c r="SMD34" s="204"/>
      <c r="SME34" s="204"/>
      <c r="SMF34" s="204"/>
      <c r="SMG34" s="204"/>
      <c r="SMH34" s="204"/>
      <c r="SMI34" s="204"/>
      <c r="SMJ34" s="204"/>
      <c r="SMK34" s="204"/>
      <c r="SML34" s="204"/>
      <c r="SMM34" s="204"/>
      <c r="SMN34" s="204"/>
      <c r="SMO34" s="204"/>
      <c r="SMP34" s="204"/>
      <c r="SMQ34" s="204"/>
      <c r="SMR34" s="204"/>
      <c r="SMS34" s="204"/>
      <c r="SMT34" s="204"/>
      <c r="SMU34" s="204"/>
      <c r="SMV34" s="204"/>
      <c r="SMW34" s="204"/>
      <c r="SMX34" s="204"/>
      <c r="SMY34" s="204"/>
      <c r="SMZ34" s="204"/>
      <c r="SNA34" s="204"/>
      <c r="SNB34" s="204"/>
      <c r="SNC34" s="204"/>
      <c r="SND34" s="204"/>
      <c r="SNE34" s="204"/>
      <c r="SNF34" s="204"/>
      <c r="SNG34" s="204"/>
      <c r="SNH34" s="204"/>
      <c r="SNI34" s="204"/>
      <c r="SNJ34" s="204"/>
      <c r="SNK34" s="204"/>
      <c r="SNL34" s="204"/>
      <c r="SNM34" s="204"/>
      <c r="SNN34" s="204"/>
      <c r="SNO34" s="204"/>
      <c r="SNP34" s="204"/>
      <c r="SNQ34" s="204"/>
      <c r="SNR34" s="204"/>
      <c r="SNS34" s="204"/>
      <c r="SNT34" s="204"/>
      <c r="SNU34" s="204"/>
      <c r="SNV34" s="204"/>
      <c r="SNW34" s="204"/>
      <c r="SNX34" s="204"/>
      <c r="SNY34" s="204"/>
      <c r="SNZ34" s="204"/>
      <c r="SOA34" s="204"/>
      <c r="SOB34" s="204"/>
      <c r="SOC34" s="204"/>
      <c r="SOD34" s="204"/>
      <c r="SOE34" s="204"/>
      <c r="SOF34" s="204"/>
      <c r="SOG34" s="204"/>
      <c r="SOH34" s="204"/>
      <c r="SOI34" s="204"/>
      <c r="SOJ34" s="204"/>
      <c r="SOK34" s="204"/>
      <c r="SOL34" s="204"/>
      <c r="SOM34" s="204"/>
      <c r="SON34" s="204"/>
      <c r="SOO34" s="204"/>
      <c r="SOP34" s="204"/>
      <c r="SOQ34" s="204"/>
      <c r="SOR34" s="204"/>
      <c r="SOS34" s="204"/>
      <c r="SOT34" s="204"/>
      <c r="SOU34" s="204"/>
      <c r="SOV34" s="204"/>
      <c r="SOW34" s="204"/>
      <c r="SOX34" s="204"/>
      <c r="SOY34" s="204"/>
      <c r="SOZ34" s="204"/>
      <c r="SPA34" s="204"/>
      <c r="SPB34" s="204"/>
      <c r="SPC34" s="204"/>
      <c r="SPD34" s="204"/>
      <c r="SPE34" s="204"/>
      <c r="SPF34" s="204"/>
      <c r="SPG34" s="204"/>
      <c r="SPH34" s="204"/>
      <c r="SPI34" s="204"/>
      <c r="SPJ34" s="204"/>
      <c r="SPK34" s="204"/>
      <c r="SPL34" s="204"/>
      <c r="SPM34" s="204"/>
      <c r="SPN34" s="204"/>
      <c r="SPO34" s="204"/>
      <c r="SPP34" s="204"/>
      <c r="SPQ34" s="204"/>
      <c r="SPR34" s="204"/>
      <c r="SPS34" s="204"/>
      <c r="SPT34" s="204"/>
      <c r="SPU34" s="204"/>
      <c r="SPV34" s="204"/>
      <c r="SPW34" s="204"/>
      <c r="SPX34" s="204"/>
      <c r="SPY34" s="204"/>
      <c r="SPZ34" s="204"/>
      <c r="SQA34" s="204"/>
      <c r="SQB34" s="204"/>
      <c r="SQC34" s="204"/>
      <c r="SQD34" s="204"/>
      <c r="SQE34" s="204"/>
      <c r="SQF34" s="204"/>
      <c r="SQG34" s="204"/>
      <c r="SQH34" s="204"/>
      <c r="SQI34" s="204"/>
      <c r="SQJ34" s="204"/>
      <c r="SQK34" s="204"/>
      <c r="SQL34" s="204"/>
      <c r="SQM34" s="204"/>
      <c r="SQN34" s="204"/>
      <c r="SQO34" s="204"/>
      <c r="SQP34" s="204"/>
      <c r="SQQ34" s="204"/>
      <c r="SQR34" s="204"/>
      <c r="SQS34" s="204"/>
      <c r="SQT34" s="204"/>
      <c r="SQU34" s="204"/>
      <c r="SQV34" s="204"/>
      <c r="SQW34" s="204"/>
      <c r="SQX34" s="204"/>
      <c r="SQY34" s="204"/>
      <c r="SQZ34" s="204"/>
      <c r="SRA34" s="204"/>
      <c r="SRB34" s="204"/>
      <c r="SRC34" s="204"/>
      <c r="SRD34" s="204"/>
      <c r="SRE34" s="204"/>
      <c r="SRF34" s="204"/>
      <c r="SRG34" s="204"/>
      <c r="SRH34" s="204"/>
      <c r="SRI34" s="204"/>
      <c r="SRJ34" s="204"/>
      <c r="SRK34" s="204"/>
      <c r="SRL34" s="204"/>
      <c r="SRM34" s="204"/>
      <c r="SRN34" s="204"/>
      <c r="SRO34" s="204"/>
      <c r="SRP34" s="204"/>
      <c r="SRQ34" s="204"/>
      <c r="SRR34" s="204"/>
      <c r="SRS34" s="204"/>
      <c r="SRT34" s="204"/>
      <c r="SRU34" s="204"/>
      <c r="SRV34" s="204"/>
      <c r="SRW34" s="204"/>
      <c r="SRX34" s="204"/>
      <c r="SRY34" s="204"/>
      <c r="SRZ34" s="204"/>
      <c r="SSA34" s="204"/>
      <c r="SSB34" s="204"/>
      <c r="SSC34" s="204"/>
      <c r="SSD34" s="204"/>
      <c r="SSE34" s="204"/>
      <c r="SSF34" s="204"/>
      <c r="SSG34" s="204"/>
      <c r="SSH34" s="204"/>
      <c r="SSI34" s="204"/>
      <c r="SSJ34" s="204"/>
      <c r="SSK34" s="204"/>
      <c r="SSL34" s="204"/>
      <c r="SSM34" s="204"/>
      <c r="SSN34" s="204"/>
      <c r="SSO34" s="204"/>
      <c r="SSP34" s="204"/>
      <c r="SSQ34" s="204"/>
      <c r="SSR34" s="204"/>
      <c r="SSS34" s="204"/>
      <c r="SST34" s="204"/>
      <c r="SSU34" s="204"/>
      <c r="SSV34" s="204"/>
      <c r="SSW34" s="204"/>
      <c r="SSX34" s="204"/>
      <c r="SSY34" s="204"/>
      <c r="SSZ34" s="204"/>
      <c r="STA34" s="204"/>
      <c r="STB34" s="204"/>
      <c r="STC34" s="204"/>
      <c r="STD34" s="204"/>
      <c r="STE34" s="204"/>
      <c r="STF34" s="204"/>
      <c r="STG34" s="204"/>
      <c r="STH34" s="204"/>
      <c r="STI34" s="204"/>
      <c r="STJ34" s="204"/>
      <c r="STK34" s="204"/>
      <c r="STL34" s="204"/>
      <c r="STM34" s="204"/>
      <c r="STN34" s="204"/>
      <c r="STO34" s="204"/>
      <c r="STP34" s="204"/>
      <c r="STQ34" s="204"/>
      <c r="STR34" s="204"/>
      <c r="STS34" s="204"/>
      <c r="STT34" s="204"/>
      <c r="STU34" s="204"/>
      <c r="STV34" s="204"/>
      <c r="STW34" s="204"/>
      <c r="STX34" s="204"/>
      <c r="STY34" s="204"/>
      <c r="STZ34" s="204"/>
      <c r="SUA34" s="204"/>
      <c r="SUB34" s="204"/>
      <c r="SUC34" s="204"/>
      <c r="SUD34" s="204"/>
      <c r="SUE34" s="204"/>
      <c r="SUF34" s="204"/>
      <c r="SUG34" s="204"/>
      <c r="SUH34" s="204"/>
      <c r="SUI34" s="204"/>
      <c r="SUJ34" s="204"/>
      <c r="SUK34" s="204"/>
      <c r="SUL34" s="204"/>
      <c r="SUM34" s="204"/>
      <c r="SUN34" s="204"/>
      <c r="SUO34" s="204"/>
      <c r="SUP34" s="204"/>
      <c r="SUQ34" s="204"/>
      <c r="SUR34" s="204"/>
      <c r="SUS34" s="204"/>
      <c r="SUT34" s="204"/>
      <c r="SUU34" s="204"/>
      <c r="SUV34" s="204"/>
      <c r="SUW34" s="204"/>
      <c r="SUX34" s="204"/>
      <c r="SUY34" s="204"/>
      <c r="SUZ34" s="204"/>
      <c r="SVA34" s="204"/>
      <c r="SVB34" s="204"/>
      <c r="SVC34" s="204"/>
      <c r="SVD34" s="204"/>
      <c r="SVE34" s="204"/>
      <c r="SVF34" s="204"/>
      <c r="SVG34" s="204"/>
      <c r="SVH34" s="204"/>
      <c r="SVI34" s="204"/>
      <c r="SVJ34" s="204"/>
      <c r="SVK34" s="204"/>
      <c r="SVL34" s="204"/>
      <c r="SVM34" s="204"/>
      <c r="SVN34" s="204"/>
      <c r="SVO34" s="204"/>
      <c r="SVP34" s="204"/>
      <c r="SVQ34" s="204"/>
      <c r="SVR34" s="204"/>
      <c r="SVS34" s="204"/>
      <c r="SVT34" s="204"/>
      <c r="SVU34" s="204"/>
      <c r="SVV34" s="204"/>
      <c r="SVW34" s="204"/>
      <c r="SVX34" s="204"/>
      <c r="SVY34" s="204"/>
      <c r="SVZ34" s="204"/>
      <c r="SWA34" s="204"/>
      <c r="SWB34" s="204"/>
      <c r="SWC34" s="204"/>
      <c r="SWD34" s="204"/>
      <c r="SWE34" s="204"/>
      <c r="SWF34" s="204"/>
      <c r="SWG34" s="204"/>
      <c r="SWH34" s="204"/>
      <c r="SWI34" s="204"/>
      <c r="SWJ34" s="204"/>
      <c r="SWK34" s="204"/>
      <c r="SWL34" s="204"/>
      <c r="SWM34" s="204"/>
      <c r="SWN34" s="204"/>
      <c r="SWO34" s="204"/>
      <c r="SWP34" s="204"/>
      <c r="SWQ34" s="204"/>
      <c r="SWR34" s="204"/>
      <c r="SWS34" s="204"/>
      <c r="SWT34" s="204"/>
      <c r="SWU34" s="204"/>
      <c r="SWV34" s="204"/>
      <c r="SWW34" s="204"/>
      <c r="SWX34" s="204"/>
      <c r="SWY34" s="204"/>
      <c r="SWZ34" s="204"/>
      <c r="SXA34" s="204"/>
      <c r="SXB34" s="204"/>
      <c r="SXC34" s="204"/>
      <c r="SXD34" s="204"/>
      <c r="SXE34" s="204"/>
      <c r="SXF34" s="204"/>
      <c r="SXG34" s="204"/>
      <c r="SXH34" s="204"/>
      <c r="SXI34" s="204"/>
      <c r="SXJ34" s="204"/>
      <c r="SXK34" s="204"/>
      <c r="SXL34" s="204"/>
      <c r="SXM34" s="204"/>
      <c r="SXN34" s="204"/>
      <c r="SXO34" s="204"/>
      <c r="SXP34" s="204"/>
      <c r="SXQ34" s="204"/>
      <c r="SXR34" s="204"/>
      <c r="SXS34" s="204"/>
      <c r="SXT34" s="204"/>
      <c r="SXU34" s="204"/>
      <c r="SXV34" s="204"/>
      <c r="SXW34" s="204"/>
      <c r="SXX34" s="204"/>
      <c r="SXY34" s="204"/>
      <c r="SXZ34" s="204"/>
      <c r="SYA34" s="204"/>
      <c r="SYB34" s="204"/>
      <c r="SYC34" s="204"/>
      <c r="SYD34" s="204"/>
      <c r="SYE34" s="204"/>
      <c r="SYF34" s="204"/>
      <c r="SYG34" s="204"/>
      <c r="SYH34" s="204"/>
      <c r="SYI34" s="204"/>
      <c r="SYJ34" s="204"/>
      <c r="SYK34" s="204"/>
      <c r="SYL34" s="204"/>
      <c r="SYM34" s="204"/>
      <c r="SYN34" s="204"/>
      <c r="SYO34" s="204"/>
      <c r="SYP34" s="204"/>
      <c r="SYQ34" s="204"/>
      <c r="SYR34" s="204"/>
      <c r="SYS34" s="204"/>
      <c r="SYT34" s="204"/>
      <c r="SYU34" s="204"/>
      <c r="SYV34" s="204"/>
      <c r="SYW34" s="204"/>
      <c r="SYX34" s="204"/>
      <c r="SYY34" s="204"/>
      <c r="SYZ34" s="204"/>
      <c r="SZA34" s="204"/>
      <c r="SZB34" s="204"/>
      <c r="SZC34" s="204"/>
      <c r="SZD34" s="204"/>
      <c r="SZE34" s="204"/>
      <c r="SZF34" s="204"/>
      <c r="SZG34" s="204"/>
      <c r="SZH34" s="204"/>
      <c r="SZI34" s="204"/>
      <c r="SZJ34" s="204"/>
      <c r="SZK34" s="204"/>
      <c r="SZL34" s="204"/>
      <c r="SZM34" s="204"/>
      <c r="SZN34" s="204"/>
      <c r="SZO34" s="204"/>
      <c r="SZP34" s="204"/>
      <c r="SZQ34" s="204"/>
      <c r="SZR34" s="204"/>
      <c r="SZS34" s="204"/>
      <c r="SZT34" s="204"/>
      <c r="SZU34" s="204"/>
      <c r="SZV34" s="204"/>
      <c r="SZW34" s="204"/>
      <c r="SZX34" s="204"/>
      <c r="SZY34" s="204"/>
      <c r="SZZ34" s="204"/>
      <c r="TAA34" s="204"/>
      <c r="TAB34" s="204"/>
      <c r="TAC34" s="204"/>
      <c r="TAD34" s="204"/>
      <c r="TAE34" s="204"/>
      <c r="TAF34" s="204"/>
      <c r="TAG34" s="204"/>
      <c r="TAH34" s="204"/>
      <c r="TAI34" s="204"/>
      <c r="TAJ34" s="204"/>
      <c r="TAK34" s="204"/>
      <c r="TAL34" s="204"/>
      <c r="TAM34" s="204"/>
      <c r="TAN34" s="204"/>
      <c r="TAO34" s="204"/>
      <c r="TAP34" s="204"/>
      <c r="TAQ34" s="204"/>
      <c r="TAR34" s="204"/>
      <c r="TAS34" s="204"/>
      <c r="TAT34" s="204"/>
      <c r="TAU34" s="204"/>
      <c r="TAV34" s="204"/>
      <c r="TAW34" s="204"/>
      <c r="TAX34" s="204"/>
      <c r="TAY34" s="204"/>
      <c r="TAZ34" s="204"/>
      <c r="TBA34" s="204"/>
      <c r="TBB34" s="204"/>
      <c r="TBC34" s="204"/>
      <c r="TBD34" s="204"/>
      <c r="TBE34" s="204"/>
      <c r="TBF34" s="204"/>
      <c r="TBG34" s="204"/>
      <c r="TBH34" s="204"/>
      <c r="TBI34" s="204"/>
      <c r="TBJ34" s="204"/>
      <c r="TBK34" s="204"/>
      <c r="TBL34" s="204"/>
      <c r="TBM34" s="204"/>
      <c r="TBN34" s="204"/>
      <c r="TBO34" s="204"/>
      <c r="TBP34" s="204"/>
      <c r="TBQ34" s="204"/>
      <c r="TBR34" s="204"/>
      <c r="TBS34" s="204"/>
      <c r="TBT34" s="204"/>
      <c r="TBU34" s="204"/>
      <c r="TBV34" s="204"/>
      <c r="TBW34" s="204"/>
      <c r="TBX34" s="204"/>
      <c r="TBY34" s="204"/>
      <c r="TBZ34" s="204"/>
      <c r="TCA34" s="204"/>
      <c r="TCB34" s="204"/>
      <c r="TCC34" s="204"/>
      <c r="TCD34" s="204"/>
      <c r="TCE34" s="204"/>
      <c r="TCF34" s="204"/>
      <c r="TCG34" s="204"/>
      <c r="TCH34" s="204"/>
      <c r="TCI34" s="204"/>
      <c r="TCJ34" s="204"/>
      <c r="TCK34" s="204"/>
      <c r="TCL34" s="204"/>
      <c r="TCM34" s="204"/>
      <c r="TCN34" s="204"/>
      <c r="TCO34" s="204"/>
      <c r="TCP34" s="204"/>
      <c r="TCQ34" s="204"/>
      <c r="TCR34" s="204"/>
      <c r="TCS34" s="204"/>
      <c r="TCT34" s="204"/>
      <c r="TCU34" s="204"/>
      <c r="TCV34" s="204"/>
      <c r="TCW34" s="204"/>
      <c r="TCX34" s="204"/>
      <c r="TCY34" s="204"/>
      <c r="TCZ34" s="204"/>
      <c r="TDA34" s="204"/>
      <c r="TDB34" s="204"/>
      <c r="TDC34" s="204"/>
      <c r="TDD34" s="204"/>
      <c r="TDE34" s="204"/>
      <c r="TDF34" s="204"/>
      <c r="TDG34" s="204"/>
      <c r="TDH34" s="204"/>
      <c r="TDI34" s="204"/>
      <c r="TDJ34" s="204"/>
      <c r="TDK34" s="204"/>
      <c r="TDL34" s="204"/>
      <c r="TDM34" s="204"/>
      <c r="TDN34" s="204"/>
      <c r="TDO34" s="204"/>
      <c r="TDP34" s="204"/>
      <c r="TDQ34" s="204"/>
      <c r="TDR34" s="204"/>
      <c r="TDS34" s="204"/>
      <c r="TDT34" s="204"/>
      <c r="TDU34" s="204"/>
      <c r="TDV34" s="204"/>
      <c r="TDW34" s="204"/>
      <c r="TDX34" s="204"/>
      <c r="TDY34" s="204"/>
      <c r="TDZ34" s="204"/>
      <c r="TEA34" s="204"/>
      <c r="TEB34" s="204"/>
      <c r="TEC34" s="204"/>
      <c r="TED34" s="204"/>
      <c r="TEE34" s="204"/>
      <c r="TEF34" s="204"/>
      <c r="TEG34" s="204"/>
      <c r="TEH34" s="204"/>
      <c r="TEI34" s="204"/>
      <c r="TEJ34" s="204"/>
      <c r="TEK34" s="204"/>
      <c r="TEL34" s="204"/>
      <c r="TEM34" s="204"/>
      <c r="TEN34" s="204"/>
      <c r="TEO34" s="204"/>
      <c r="TEP34" s="204"/>
      <c r="TEQ34" s="204"/>
      <c r="TER34" s="204"/>
      <c r="TES34" s="204"/>
      <c r="TET34" s="204"/>
      <c r="TEU34" s="204"/>
      <c r="TEV34" s="204"/>
      <c r="TEW34" s="204"/>
      <c r="TEX34" s="204"/>
      <c r="TEY34" s="204"/>
      <c r="TEZ34" s="204"/>
      <c r="TFA34" s="204"/>
      <c r="TFB34" s="204"/>
      <c r="TFC34" s="204"/>
      <c r="TFD34" s="204"/>
      <c r="TFE34" s="204"/>
      <c r="TFF34" s="204"/>
      <c r="TFG34" s="204"/>
      <c r="TFH34" s="204"/>
      <c r="TFI34" s="204"/>
      <c r="TFJ34" s="204"/>
      <c r="TFK34" s="204"/>
      <c r="TFL34" s="204"/>
      <c r="TFM34" s="204"/>
      <c r="TFN34" s="204"/>
      <c r="TFO34" s="204"/>
      <c r="TFP34" s="204"/>
      <c r="TFQ34" s="204"/>
      <c r="TFR34" s="204"/>
      <c r="TFS34" s="204"/>
      <c r="TFT34" s="204"/>
      <c r="TFU34" s="204"/>
      <c r="TFV34" s="204"/>
      <c r="TFW34" s="204"/>
      <c r="TFX34" s="204"/>
      <c r="TFY34" s="204"/>
      <c r="TFZ34" s="204"/>
      <c r="TGA34" s="204"/>
      <c r="TGB34" s="204"/>
      <c r="TGC34" s="204"/>
      <c r="TGD34" s="204"/>
      <c r="TGE34" s="204"/>
      <c r="TGF34" s="204"/>
      <c r="TGG34" s="204"/>
      <c r="TGH34" s="204"/>
      <c r="TGI34" s="204"/>
      <c r="TGJ34" s="204"/>
      <c r="TGK34" s="204"/>
      <c r="TGL34" s="204"/>
      <c r="TGM34" s="204"/>
      <c r="TGN34" s="204"/>
      <c r="TGO34" s="204"/>
      <c r="TGP34" s="204"/>
      <c r="TGQ34" s="204"/>
      <c r="TGR34" s="204"/>
      <c r="TGS34" s="204"/>
      <c r="TGT34" s="204"/>
      <c r="TGU34" s="204"/>
      <c r="TGV34" s="204"/>
      <c r="TGW34" s="204"/>
      <c r="TGX34" s="204"/>
      <c r="TGY34" s="204"/>
      <c r="TGZ34" s="204"/>
      <c r="THA34" s="204"/>
      <c r="THB34" s="204"/>
      <c r="THC34" s="204"/>
      <c r="THD34" s="204"/>
      <c r="THE34" s="204"/>
      <c r="THF34" s="204"/>
      <c r="THG34" s="204"/>
      <c r="THH34" s="204"/>
      <c r="THI34" s="204"/>
      <c r="THJ34" s="204"/>
      <c r="THK34" s="204"/>
      <c r="THL34" s="204"/>
      <c r="THM34" s="204"/>
      <c r="THN34" s="204"/>
      <c r="THO34" s="204"/>
      <c r="THP34" s="204"/>
      <c r="THQ34" s="204"/>
      <c r="THR34" s="204"/>
      <c r="THS34" s="204"/>
      <c r="THT34" s="204"/>
      <c r="THU34" s="204"/>
      <c r="THV34" s="204"/>
      <c r="THW34" s="204"/>
      <c r="THX34" s="204"/>
      <c r="THY34" s="204"/>
      <c r="THZ34" s="204"/>
      <c r="TIA34" s="204"/>
      <c r="TIB34" s="204"/>
      <c r="TIC34" s="204"/>
      <c r="TID34" s="204"/>
      <c r="TIE34" s="204"/>
      <c r="TIF34" s="204"/>
      <c r="TIG34" s="204"/>
      <c r="TIH34" s="204"/>
      <c r="TII34" s="204"/>
      <c r="TIJ34" s="204"/>
      <c r="TIK34" s="204"/>
      <c r="TIL34" s="204"/>
      <c r="TIM34" s="204"/>
      <c r="TIN34" s="204"/>
      <c r="TIO34" s="204"/>
      <c r="TIP34" s="204"/>
      <c r="TIQ34" s="204"/>
      <c r="TIR34" s="204"/>
      <c r="TIS34" s="204"/>
      <c r="TIT34" s="204"/>
      <c r="TIU34" s="204"/>
      <c r="TIV34" s="204"/>
      <c r="TIW34" s="204"/>
      <c r="TIX34" s="204"/>
      <c r="TIY34" s="204"/>
      <c r="TIZ34" s="204"/>
      <c r="TJA34" s="204"/>
      <c r="TJB34" s="204"/>
      <c r="TJC34" s="204"/>
      <c r="TJD34" s="204"/>
      <c r="TJE34" s="204"/>
      <c r="TJF34" s="204"/>
      <c r="TJG34" s="204"/>
      <c r="TJH34" s="204"/>
      <c r="TJI34" s="204"/>
      <c r="TJJ34" s="204"/>
      <c r="TJK34" s="204"/>
      <c r="TJL34" s="204"/>
      <c r="TJM34" s="204"/>
      <c r="TJN34" s="204"/>
      <c r="TJO34" s="204"/>
      <c r="TJP34" s="204"/>
      <c r="TJQ34" s="204"/>
      <c r="TJR34" s="204"/>
      <c r="TJS34" s="204"/>
      <c r="TJT34" s="204"/>
      <c r="TJU34" s="204"/>
      <c r="TJV34" s="204"/>
      <c r="TJW34" s="204"/>
      <c r="TJX34" s="204"/>
      <c r="TJY34" s="204"/>
      <c r="TJZ34" s="204"/>
      <c r="TKA34" s="204"/>
      <c r="TKB34" s="204"/>
      <c r="TKC34" s="204"/>
      <c r="TKD34" s="204"/>
      <c r="TKE34" s="204"/>
      <c r="TKF34" s="204"/>
      <c r="TKG34" s="204"/>
      <c r="TKH34" s="204"/>
      <c r="TKI34" s="204"/>
      <c r="TKJ34" s="204"/>
      <c r="TKK34" s="204"/>
      <c r="TKL34" s="204"/>
      <c r="TKM34" s="204"/>
      <c r="TKN34" s="204"/>
      <c r="TKO34" s="204"/>
      <c r="TKP34" s="204"/>
      <c r="TKQ34" s="204"/>
      <c r="TKR34" s="204"/>
      <c r="TKS34" s="204"/>
      <c r="TKT34" s="204"/>
      <c r="TKU34" s="204"/>
      <c r="TKV34" s="204"/>
      <c r="TKW34" s="204"/>
      <c r="TKX34" s="204"/>
      <c r="TKY34" s="204"/>
      <c r="TKZ34" s="204"/>
      <c r="TLA34" s="204"/>
      <c r="TLB34" s="204"/>
      <c r="TLC34" s="204"/>
      <c r="TLD34" s="204"/>
      <c r="TLE34" s="204"/>
      <c r="TLF34" s="204"/>
      <c r="TLG34" s="204"/>
      <c r="TLH34" s="204"/>
      <c r="TLI34" s="204"/>
      <c r="TLJ34" s="204"/>
      <c r="TLK34" s="204"/>
      <c r="TLL34" s="204"/>
      <c r="TLM34" s="204"/>
      <c r="TLN34" s="204"/>
      <c r="TLO34" s="204"/>
      <c r="TLP34" s="204"/>
      <c r="TLQ34" s="204"/>
      <c r="TLR34" s="204"/>
      <c r="TLS34" s="204"/>
      <c r="TLT34" s="204"/>
      <c r="TLU34" s="204"/>
      <c r="TLV34" s="204"/>
      <c r="TLW34" s="204"/>
      <c r="TLX34" s="204"/>
      <c r="TLY34" s="204"/>
      <c r="TLZ34" s="204"/>
      <c r="TMA34" s="204"/>
      <c r="TMB34" s="204"/>
      <c r="TMC34" s="204"/>
      <c r="TMD34" s="204"/>
      <c r="TME34" s="204"/>
      <c r="TMF34" s="204"/>
      <c r="TMG34" s="204"/>
      <c r="TMH34" s="204"/>
      <c r="TMI34" s="204"/>
      <c r="TMJ34" s="204"/>
      <c r="TMK34" s="204"/>
      <c r="TML34" s="204"/>
      <c r="TMM34" s="204"/>
      <c r="TMN34" s="204"/>
      <c r="TMO34" s="204"/>
      <c r="TMP34" s="204"/>
      <c r="TMQ34" s="204"/>
      <c r="TMR34" s="204"/>
      <c r="TMS34" s="204"/>
      <c r="TMT34" s="204"/>
      <c r="TMU34" s="204"/>
      <c r="TMV34" s="204"/>
      <c r="TMW34" s="204"/>
      <c r="TMX34" s="204"/>
      <c r="TMY34" s="204"/>
      <c r="TMZ34" s="204"/>
      <c r="TNA34" s="204"/>
      <c r="TNB34" s="204"/>
      <c r="TNC34" s="204"/>
      <c r="TND34" s="204"/>
      <c r="TNE34" s="204"/>
      <c r="TNF34" s="204"/>
      <c r="TNG34" s="204"/>
      <c r="TNH34" s="204"/>
      <c r="TNI34" s="204"/>
      <c r="TNJ34" s="204"/>
      <c r="TNK34" s="204"/>
      <c r="TNL34" s="204"/>
      <c r="TNM34" s="204"/>
      <c r="TNN34" s="204"/>
      <c r="TNO34" s="204"/>
      <c r="TNP34" s="204"/>
      <c r="TNQ34" s="204"/>
      <c r="TNR34" s="204"/>
      <c r="TNS34" s="204"/>
      <c r="TNT34" s="204"/>
      <c r="TNU34" s="204"/>
      <c r="TNV34" s="204"/>
      <c r="TNW34" s="204"/>
      <c r="TNX34" s="204"/>
      <c r="TNY34" s="204"/>
      <c r="TNZ34" s="204"/>
      <c r="TOA34" s="204"/>
      <c r="TOB34" s="204"/>
      <c r="TOC34" s="204"/>
      <c r="TOD34" s="204"/>
      <c r="TOE34" s="204"/>
      <c r="TOF34" s="204"/>
      <c r="TOG34" s="204"/>
      <c r="TOH34" s="204"/>
      <c r="TOI34" s="204"/>
      <c r="TOJ34" s="204"/>
      <c r="TOK34" s="204"/>
      <c r="TOL34" s="204"/>
      <c r="TOM34" s="204"/>
      <c r="TON34" s="204"/>
      <c r="TOO34" s="204"/>
      <c r="TOP34" s="204"/>
      <c r="TOQ34" s="204"/>
      <c r="TOR34" s="204"/>
      <c r="TOS34" s="204"/>
      <c r="TOT34" s="204"/>
      <c r="TOU34" s="204"/>
      <c r="TOV34" s="204"/>
      <c r="TOW34" s="204"/>
      <c r="TOX34" s="204"/>
      <c r="TOY34" s="204"/>
      <c r="TOZ34" s="204"/>
      <c r="TPA34" s="204"/>
      <c r="TPB34" s="204"/>
      <c r="TPC34" s="204"/>
      <c r="TPD34" s="204"/>
      <c r="TPE34" s="204"/>
      <c r="TPF34" s="204"/>
      <c r="TPG34" s="204"/>
      <c r="TPH34" s="204"/>
      <c r="TPI34" s="204"/>
      <c r="TPJ34" s="204"/>
      <c r="TPK34" s="204"/>
      <c r="TPL34" s="204"/>
      <c r="TPM34" s="204"/>
      <c r="TPN34" s="204"/>
      <c r="TPO34" s="204"/>
      <c r="TPP34" s="204"/>
      <c r="TPQ34" s="204"/>
      <c r="TPR34" s="204"/>
      <c r="TPS34" s="204"/>
      <c r="TPT34" s="204"/>
      <c r="TPU34" s="204"/>
      <c r="TPV34" s="204"/>
      <c r="TPW34" s="204"/>
      <c r="TPX34" s="204"/>
      <c r="TPY34" s="204"/>
      <c r="TPZ34" s="204"/>
      <c r="TQA34" s="204"/>
      <c r="TQB34" s="204"/>
      <c r="TQC34" s="204"/>
      <c r="TQD34" s="204"/>
      <c r="TQE34" s="204"/>
      <c r="TQF34" s="204"/>
      <c r="TQG34" s="204"/>
      <c r="TQH34" s="204"/>
      <c r="TQI34" s="204"/>
      <c r="TQJ34" s="204"/>
      <c r="TQK34" s="204"/>
      <c r="TQL34" s="204"/>
      <c r="TQM34" s="204"/>
      <c r="TQN34" s="204"/>
      <c r="TQO34" s="204"/>
      <c r="TQP34" s="204"/>
      <c r="TQQ34" s="204"/>
      <c r="TQR34" s="204"/>
      <c r="TQS34" s="204"/>
      <c r="TQT34" s="204"/>
      <c r="TQU34" s="204"/>
      <c r="TQV34" s="204"/>
      <c r="TQW34" s="204"/>
      <c r="TQX34" s="204"/>
      <c r="TQY34" s="204"/>
      <c r="TQZ34" s="204"/>
      <c r="TRA34" s="204"/>
      <c r="TRB34" s="204"/>
      <c r="TRC34" s="204"/>
      <c r="TRD34" s="204"/>
      <c r="TRE34" s="204"/>
      <c r="TRF34" s="204"/>
      <c r="TRG34" s="204"/>
      <c r="TRH34" s="204"/>
      <c r="TRI34" s="204"/>
      <c r="TRJ34" s="204"/>
      <c r="TRK34" s="204"/>
      <c r="TRL34" s="204"/>
      <c r="TRM34" s="204"/>
      <c r="TRN34" s="204"/>
      <c r="TRO34" s="204"/>
      <c r="TRP34" s="204"/>
      <c r="TRQ34" s="204"/>
      <c r="TRR34" s="204"/>
      <c r="TRS34" s="204"/>
      <c r="TRT34" s="204"/>
      <c r="TRU34" s="204"/>
      <c r="TRV34" s="204"/>
      <c r="TRW34" s="204"/>
      <c r="TRX34" s="204"/>
      <c r="TRY34" s="204"/>
      <c r="TRZ34" s="204"/>
      <c r="TSA34" s="204"/>
      <c r="TSB34" s="204"/>
      <c r="TSC34" s="204"/>
      <c r="TSD34" s="204"/>
      <c r="TSE34" s="204"/>
      <c r="TSF34" s="204"/>
      <c r="TSG34" s="204"/>
      <c r="TSH34" s="204"/>
      <c r="TSI34" s="204"/>
      <c r="TSJ34" s="204"/>
      <c r="TSK34" s="204"/>
      <c r="TSL34" s="204"/>
      <c r="TSM34" s="204"/>
      <c r="TSN34" s="204"/>
      <c r="TSO34" s="204"/>
      <c r="TSP34" s="204"/>
      <c r="TSQ34" s="204"/>
      <c r="TSR34" s="204"/>
      <c r="TSS34" s="204"/>
      <c r="TST34" s="204"/>
      <c r="TSU34" s="204"/>
      <c r="TSV34" s="204"/>
      <c r="TSW34" s="204"/>
      <c r="TSX34" s="204"/>
      <c r="TSY34" s="204"/>
      <c r="TSZ34" s="204"/>
      <c r="TTA34" s="204"/>
      <c r="TTB34" s="204"/>
      <c r="TTC34" s="204"/>
      <c r="TTD34" s="204"/>
      <c r="TTE34" s="204"/>
      <c r="TTF34" s="204"/>
      <c r="TTG34" s="204"/>
      <c r="TTH34" s="204"/>
      <c r="TTI34" s="204"/>
      <c r="TTJ34" s="204"/>
      <c r="TTK34" s="204"/>
      <c r="TTL34" s="204"/>
      <c r="TTM34" s="204"/>
      <c r="TTN34" s="204"/>
      <c r="TTO34" s="204"/>
      <c r="TTP34" s="204"/>
      <c r="TTQ34" s="204"/>
      <c r="TTR34" s="204"/>
      <c r="TTS34" s="204"/>
      <c r="TTT34" s="204"/>
      <c r="TTU34" s="204"/>
      <c r="TTV34" s="204"/>
      <c r="TTW34" s="204"/>
      <c r="TTX34" s="204"/>
      <c r="TTY34" s="204"/>
      <c r="TTZ34" s="204"/>
      <c r="TUA34" s="204"/>
      <c r="TUB34" s="204"/>
      <c r="TUC34" s="204"/>
      <c r="TUD34" s="204"/>
      <c r="TUE34" s="204"/>
      <c r="TUF34" s="204"/>
      <c r="TUG34" s="204"/>
      <c r="TUH34" s="204"/>
      <c r="TUI34" s="204"/>
      <c r="TUJ34" s="204"/>
      <c r="TUK34" s="204"/>
      <c r="TUL34" s="204"/>
      <c r="TUM34" s="204"/>
      <c r="TUN34" s="204"/>
      <c r="TUO34" s="204"/>
      <c r="TUP34" s="204"/>
      <c r="TUQ34" s="204"/>
      <c r="TUR34" s="204"/>
      <c r="TUS34" s="204"/>
      <c r="TUT34" s="204"/>
      <c r="TUU34" s="204"/>
      <c r="TUV34" s="204"/>
      <c r="TUW34" s="204"/>
      <c r="TUX34" s="204"/>
      <c r="TUY34" s="204"/>
      <c r="TUZ34" s="204"/>
      <c r="TVA34" s="204"/>
      <c r="TVB34" s="204"/>
      <c r="TVC34" s="204"/>
      <c r="TVD34" s="204"/>
      <c r="TVE34" s="204"/>
      <c r="TVF34" s="204"/>
      <c r="TVG34" s="204"/>
      <c r="TVH34" s="204"/>
      <c r="TVI34" s="204"/>
      <c r="TVJ34" s="204"/>
      <c r="TVK34" s="204"/>
      <c r="TVL34" s="204"/>
      <c r="TVM34" s="204"/>
      <c r="TVN34" s="204"/>
      <c r="TVO34" s="204"/>
      <c r="TVP34" s="204"/>
      <c r="TVQ34" s="204"/>
      <c r="TVR34" s="204"/>
      <c r="TVS34" s="204"/>
      <c r="TVT34" s="204"/>
      <c r="TVU34" s="204"/>
      <c r="TVV34" s="204"/>
      <c r="TVW34" s="204"/>
      <c r="TVX34" s="204"/>
      <c r="TVY34" s="204"/>
      <c r="TVZ34" s="204"/>
      <c r="TWA34" s="204"/>
      <c r="TWB34" s="204"/>
      <c r="TWC34" s="204"/>
      <c r="TWD34" s="204"/>
      <c r="TWE34" s="204"/>
      <c r="TWF34" s="204"/>
      <c r="TWG34" s="204"/>
      <c r="TWH34" s="204"/>
      <c r="TWI34" s="204"/>
      <c r="TWJ34" s="204"/>
      <c r="TWK34" s="204"/>
      <c r="TWL34" s="204"/>
      <c r="TWM34" s="204"/>
      <c r="TWN34" s="204"/>
      <c r="TWO34" s="204"/>
      <c r="TWP34" s="204"/>
      <c r="TWQ34" s="204"/>
      <c r="TWR34" s="204"/>
      <c r="TWS34" s="204"/>
      <c r="TWT34" s="204"/>
      <c r="TWU34" s="204"/>
      <c r="TWV34" s="204"/>
      <c r="TWW34" s="204"/>
      <c r="TWX34" s="204"/>
      <c r="TWY34" s="204"/>
      <c r="TWZ34" s="204"/>
      <c r="TXA34" s="204"/>
      <c r="TXB34" s="204"/>
      <c r="TXC34" s="204"/>
      <c r="TXD34" s="204"/>
      <c r="TXE34" s="204"/>
      <c r="TXF34" s="204"/>
      <c r="TXG34" s="204"/>
      <c r="TXH34" s="204"/>
      <c r="TXI34" s="204"/>
      <c r="TXJ34" s="204"/>
      <c r="TXK34" s="204"/>
      <c r="TXL34" s="204"/>
      <c r="TXM34" s="204"/>
      <c r="TXN34" s="204"/>
      <c r="TXO34" s="204"/>
      <c r="TXP34" s="204"/>
      <c r="TXQ34" s="204"/>
      <c r="TXR34" s="204"/>
      <c r="TXS34" s="204"/>
      <c r="TXT34" s="204"/>
      <c r="TXU34" s="204"/>
      <c r="TXV34" s="204"/>
      <c r="TXW34" s="204"/>
      <c r="TXX34" s="204"/>
      <c r="TXY34" s="204"/>
      <c r="TXZ34" s="204"/>
      <c r="TYA34" s="204"/>
      <c r="TYB34" s="204"/>
      <c r="TYC34" s="204"/>
      <c r="TYD34" s="204"/>
      <c r="TYE34" s="204"/>
      <c r="TYF34" s="204"/>
      <c r="TYG34" s="204"/>
      <c r="TYH34" s="204"/>
      <c r="TYI34" s="204"/>
      <c r="TYJ34" s="204"/>
      <c r="TYK34" s="204"/>
      <c r="TYL34" s="204"/>
      <c r="TYM34" s="204"/>
      <c r="TYN34" s="204"/>
      <c r="TYO34" s="204"/>
      <c r="TYP34" s="204"/>
      <c r="TYQ34" s="204"/>
      <c r="TYR34" s="204"/>
      <c r="TYS34" s="204"/>
      <c r="TYT34" s="204"/>
      <c r="TYU34" s="204"/>
      <c r="TYV34" s="204"/>
      <c r="TYW34" s="204"/>
      <c r="TYX34" s="204"/>
      <c r="TYY34" s="204"/>
      <c r="TYZ34" s="204"/>
      <c r="TZA34" s="204"/>
      <c r="TZB34" s="204"/>
      <c r="TZC34" s="204"/>
      <c r="TZD34" s="204"/>
      <c r="TZE34" s="204"/>
      <c r="TZF34" s="204"/>
      <c r="TZG34" s="204"/>
      <c r="TZH34" s="204"/>
      <c r="TZI34" s="204"/>
      <c r="TZJ34" s="204"/>
      <c r="TZK34" s="204"/>
      <c r="TZL34" s="204"/>
      <c r="TZM34" s="204"/>
      <c r="TZN34" s="204"/>
      <c r="TZO34" s="204"/>
      <c r="TZP34" s="204"/>
      <c r="TZQ34" s="204"/>
      <c r="TZR34" s="204"/>
      <c r="TZS34" s="204"/>
      <c r="TZT34" s="204"/>
      <c r="TZU34" s="204"/>
      <c r="TZV34" s="204"/>
      <c r="TZW34" s="204"/>
      <c r="TZX34" s="204"/>
      <c r="TZY34" s="204"/>
      <c r="TZZ34" s="204"/>
      <c r="UAA34" s="204"/>
      <c r="UAB34" s="204"/>
      <c r="UAC34" s="204"/>
      <c r="UAD34" s="204"/>
      <c r="UAE34" s="204"/>
      <c r="UAF34" s="204"/>
      <c r="UAG34" s="204"/>
      <c r="UAH34" s="204"/>
      <c r="UAI34" s="204"/>
      <c r="UAJ34" s="204"/>
      <c r="UAK34" s="204"/>
      <c r="UAL34" s="204"/>
      <c r="UAM34" s="204"/>
      <c r="UAN34" s="204"/>
      <c r="UAO34" s="204"/>
      <c r="UAP34" s="204"/>
      <c r="UAQ34" s="204"/>
      <c r="UAR34" s="204"/>
      <c r="UAS34" s="204"/>
      <c r="UAT34" s="204"/>
      <c r="UAU34" s="204"/>
      <c r="UAV34" s="204"/>
      <c r="UAW34" s="204"/>
      <c r="UAX34" s="204"/>
      <c r="UAY34" s="204"/>
      <c r="UAZ34" s="204"/>
      <c r="UBA34" s="204"/>
      <c r="UBB34" s="204"/>
      <c r="UBC34" s="204"/>
      <c r="UBD34" s="204"/>
      <c r="UBE34" s="204"/>
      <c r="UBF34" s="204"/>
      <c r="UBG34" s="204"/>
      <c r="UBH34" s="204"/>
      <c r="UBI34" s="204"/>
      <c r="UBJ34" s="204"/>
      <c r="UBK34" s="204"/>
      <c r="UBL34" s="204"/>
      <c r="UBM34" s="204"/>
      <c r="UBN34" s="204"/>
      <c r="UBO34" s="204"/>
      <c r="UBP34" s="204"/>
      <c r="UBQ34" s="204"/>
      <c r="UBR34" s="204"/>
      <c r="UBS34" s="204"/>
      <c r="UBT34" s="204"/>
      <c r="UBU34" s="204"/>
      <c r="UBV34" s="204"/>
      <c r="UBW34" s="204"/>
      <c r="UBX34" s="204"/>
      <c r="UBY34" s="204"/>
      <c r="UBZ34" s="204"/>
      <c r="UCA34" s="204"/>
      <c r="UCB34" s="204"/>
      <c r="UCC34" s="204"/>
      <c r="UCD34" s="204"/>
      <c r="UCE34" s="204"/>
      <c r="UCF34" s="204"/>
      <c r="UCG34" s="204"/>
      <c r="UCH34" s="204"/>
      <c r="UCI34" s="204"/>
      <c r="UCJ34" s="204"/>
      <c r="UCK34" s="204"/>
      <c r="UCL34" s="204"/>
      <c r="UCM34" s="204"/>
      <c r="UCN34" s="204"/>
      <c r="UCO34" s="204"/>
      <c r="UCP34" s="204"/>
      <c r="UCQ34" s="204"/>
      <c r="UCR34" s="204"/>
      <c r="UCS34" s="204"/>
      <c r="UCT34" s="204"/>
      <c r="UCU34" s="204"/>
      <c r="UCV34" s="204"/>
      <c r="UCW34" s="204"/>
      <c r="UCX34" s="204"/>
      <c r="UCY34" s="204"/>
      <c r="UCZ34" s="204"/>
      <c r="UDA34" s="204"/>
      <c r="UDB34" s="204"/>
      <c r="UDC34" s="204"/>
      <c r="UDD34" s="204"/>
      <c r="UDE34" s="204"/>
      <c r="UDF34" s="204"/>
      <c r="UDG34" s="204"/>
      <c r="UDH34" s="204"/>
      <c r="UDI34" s="204"/>
      <c r="UDJ34" s="204"/>
      <c r="UDK34" s="204"/>
      <c r="UDL34" s="204"/>
      <c r="UDM34" s="204"/>
      <c r="UDN34" s="204"/>
      <c r="UDO34" s="204"/>
      <c r="UDP34" s="204"/>
      <c r="UDQ34" s="204"/>
      <c r="UDR34" s="204"/>
      <c r="UDS34" s="204"/>
      <c r="UDT34" s="204"/>
      <c r="UDU34" s="204"/>
      <c r="UDV34" s="204"/>
      <c r="UDW34" s="204"/>
      <c r="UDX34" s="204"/>
      <c r="UDY34" s="204"/>
      <c r="UDZ34" s="204"/>
      <c r="UEA34" s="204"/>
      <c r="UEB34" s="204"/>
      <c r="UEC34" s="204"/>
      <c r="UED34" s="204"/>
      <c r="UEE34" s="204"/>
      <c r="UEF34" s="204"/>
      <c r="UEG34" s="204"/>
      <c r="UEH34" s="204"/>
      <c r="UEI34" s="204"/>
      <c r="UEJ34" s="204"/>
      <c r="UEK34" s="204"/>
      <c r="UEL34" s="204"/>
      <c r="UEM34" s="204"/>
      <c r="UEN34" s="204"/>
      <c r="UEO34" s="204"/>
      <c r="UEP34" s="204"/>
      <c r="UEQ34" s="204"/>
      <c r="UER34" s="204"/>
      <c r="UES34" s="204"/>
      <c r="UET34" s="204"/>
      <c r="UEU34" s="204"/>
      <c r="UEV34" s="204"/>
      <c r="UEW34" s="204"/>
      <c r="UEX34" s="204"/>
      <c r="UEY34" s="204"/>
      <c r="UEZ34" s="204"/>
      <c r="UFA34" s="204"/>
      <c r="UFB34" s="204"/>
      <c r="UFC34" s="204"/>
      <c r="UFD34" s="204"/>
      <c r="UFE34" s="204"/>
      <c r="UFF34" s="204"/>
      <c r="UFG34" s="204"/>
      <c r="UFH34" s="204"/>
      <c r="UFI34" s="204"/>
      <c r="UFJ34" s="204"/>
      <c r="UFK34" s="204"/>
      <c r="UFL34" s="204"/>
      <c r="UFM34" s="204"/>
      <c r="UFN34" s="204"/>
      <c r="UFO34" s="204"/>
      <c r="UFP34" s="204"/>
      <c r="UFQ34" s="204"/>
      <c r="UFR34" s="204"/>
      <c r="UFS34" s="204"/>
      <c r="UFT34" s="204"/>
      <c r="UFU34" s="204"/>
      <c r="UFV34" s="204"/>
      <c r="UFW34" s="204"/>
      <c r="UFX34" s="204"/>
      <c r="UFY34" s="204"/>
      <c r="UFZ34" s="204"/>
      <c r="UGA34" s="204"/>
      <c r="UGB34" s="204"/>
      <c r="UGC34" s="204"/>
      <c r="UGD34" s="204"/>
      <c r="UGE34" s="204"/>
      <c r="UGF34" s="204"/>
      <c r="UGG34" s="204"/>
      <c r="UGH34" s="204"/>
      <c r="UGI34" s="204"/>
      <c r="UGJ34" s="204"/>
      <c r="UGK34" s="204"/>
      <c r="UGL34" s="204"/>
      <c r="UGM34" s="204"/>
      <c r="UGN34" s="204"/>
      <c r="UGO34" s="204"/>
      <c r="UGP34" s="204"/>
      <c r="UGQ34" s="204"/>
      <c r="UGR34" s="204"/>
      <c r="UGS34" s="204"/>
      <c r="UGT34" s="204"/>
      <c r="UGU34" s="204"/>
      <c r="UGV34" s="204"/>
      <c r="UGW34" s="204"/>
      <c r="UGX34" s="204"/>
      <c r="UGY34" s="204"/>
      <c r="UGZ34" s="204"/>
      <c r="UHA34" s="204"/>
      <c r="UHB34" s="204"/>
      <c r="UHC34" s="204"/>
      <c r="UHD34" s="204"/>
      <c r="UHE34" s="204"/>
      <c r="UHF34" s="204"/>
      <c r="UHG34" s="204"/>
      <c r="UHH34" s="204"/>
      <c r="UHI34" s="204"/>
      <c r="UHJ34" s="204"/>
      <c r="UHK34" s="204"/>
      <c r="UHL34" s="204"/>
      <c r="UHM34" s="204"/>
      <c r="UHN34" s="204"/>
      <c r="UHO34" s="204"/>
      <c r="UHP34" s="204"/>
      <c r="UHQ34" s="204"/>
      <c r="UHR34" s="204"/>
      <c r="UHS34" s="204"/>
      <c r="UHT34" s="204"/>
      <c r="UHU34" s="204"/>
      <c r="UHV34" s="204"/>
      <c r="UHW34" s="204"/>
      <c r="UHX34" s="204"/>
      <c r="UHY34" s="204"/>
      <c r="UHZ34" s="204"/>
      <c r="UIA34" s="204"/>
      <c r="UIB34" s="204"/>
      <c r="UIC34" s="204"/>
      <c r="UID34" s="204"/>
      <c r="UIE34" s="204"/>
      <c r="UIF34" s="204"/>
      <c r="UIG34" s="204"/>
      <c r="UIH34" s="204"/>
      <c r="UII34" s="204"/>
      <c r="UIJ34" s="204"/>
      <c r="UIK34" s="204"/>
      <c r="UIL34" s="204"/>
      <c r="UIM34" s="204"/>
      <c r="UIN34" s="204"/>
      <c r="UIO34" s="204"/>
      <c r="UIP34" s="204"/>
      <c r="UIQ34" s="204"/>
      <c r="UIR34" s="204"/>
      <c r="UIS34" s="204"/>
      <c r="UIT34" s="204"/>
      <c r="UIU34" s="204"/>
      <c r="UIV34" s="204"/>
      <c r="UIW34" s="204"/>
      <c r="UIX34" s="204"/>
      <c r="UIY34" s="204"/>
      <c r="UIZ34" s="204"/>
      <c r="UJA34" s="204"/>
      <c r="UJB34" s="204"/>
      <c r="UJC34" s="204"/>
      <c r="UJD34" s="204"/>
      <c r="UJE34" s="204"/>
      <c r="UJF34" s="204"/>
      <c r="UJG34" s="204"/>
      <c r="UJH34" s="204"/>
      <c r="UJI34" s="204"/>
      <c r="UJJ34" s="204"/>
      <c r="UJK34" s="204"/>
      <c r="UJL34" s="204"/>
      <c r="UJM34" s="204"/>
      <c r="UJN34" s="204"/>
      <c r="UJO34" s="204"/>
      <c r="UJP34" s="204"/>
      <c r="UJQ34" s="204"/>
      <c r="UJR34" s="204"/>
      <c r="UJS34" s="204"/>
      <c r="UJT34" s="204"/>
      <c r="UJU34" s="204"/>
      <c r="UJV34" s="204"/>
      <c r="UJW34" s="204"/>
      <c r="UJX34" s="204"/>
      <c r="UJY34" s="204"/>
      <c r="UJZ34" s="204"/>
      <c r="UKA34" s="204"/>
      <c r="UKB34" s="204"/>
      <c r="UKC34" s="204"/>
      <c r="UKD34" s="204"/>
      <c r="UKE34" s="204"/>
      <c r="UKF34" s="204"/>
      <c r="UKG34" s="204"/>
      <c r="UKH34" s="204"/>
      <c r="UKI34" s="204"/>
      <c r="UKJ34" s="204"/>
      <c r="UKK34" s="204"/>
      <c r="UKL34" s="204"/>
      <c r="UKM34" s="204"/>
      <c r="UKN34" s="204"/>
      <c r="UKO34" s="204"/>
      <c r="UKP34" s="204"/>
      <c r="UKQ34" s="204"/>
      <c r="UKR34" s="204"/>
      <c r="UKS34" s="204"/>
      <c r="UKT34" s="204"/>
      <c r="UKU34" s="204"/>
      <c r="UKV34" s="204"/>
      <c r="UKW34" s="204"/>
      <c r="UKX34" s="204"/>
      <c r="UKY34" s="204"/>
      <c r="UKZ34" s="204"/>
      <c r="ULA34" s="204"/>
      <c r="ULB34" s="204"/>
      <c r="ULC34" s="204"/>
      <c r="ULD34" s="204"/>
      <c r="ULE34" s="204"/>
      <c r="ULF34" s="204"/>
      <c r="ULG34" s="204"/>
      <c r="ULH34" s="204"/>
      <c r="ULI34" s="204"/>
      <c r="ULJ34" s="204"/>
      <c r="ULK34" s="204"/>
      <c r="ULL34" s="204"/>
      <c r="ULM34" s="204"/>
      <c r="ULN34" s="204"/>
      <c r="ULO34" s="204"/>
      <c r="ULP34" s="204"/>
      <c r="ULQ34" s="204"/>
      <c r="ULR34" s="204"/>
      <c r="ULS34" s="204"/>
      <c r="ULT34" s="204"/>
      <c r="ULU34" s="204"/>
      <c r="ULV34" s="204"/>
      <c r="ULW34" s="204"/>
      <c r="ULX34" s="204"/>
      <c r="ULY34" s="204"/>
      <c r="ULZ34" s="204"/>
      <c r="UMA34" s="204"/>
      <c r="UMB34" s="204"/>
      <c r="UMC34" s="204"/>
      <c r="UMD34" s="204"/>
      <c r="UME34" s="204"/>
      <c r="UMF34" s="204"/>
      <c r="UMG34" s="204"/>
      <c r="UMH34" s="204"/>
      <c r="UMI34" s="204"/>
      <c r="UMJ34" s="204"/>
      <c r="UMK34" s="204"/>
      <c r="UML34" s="204"/>
      <c r="UMM34" s="204"/>
      <c r="UMN34" s="204"/>
      <c r="UMO34" s="204"/>
      <c r="UMP34" s="204"/>
      <c r="UMQ34" s="204"/>
      <c r="UMR34" s="204"/>
      <c r="UMS34" s="204"/>
      <c r="UMT34" s="204"/>
      <c r="UMU34" s="204"/>
      <c r="UMV34" s="204"/>
      <c r="UMW34" s="204"/>
      <c r="UMX34" s="204"/>
      <c r="UMY34" s="204"/>
      <c r="UMZ34" s="204"/>
      <c r="UNA34" s="204"/>
      <c r="UNB34" s="204"/>
      <c r="UNC34" s="204"/>
      <c r="UND34" s="204"/>
      <c r="UNE34" s="204"/>
      <c r="UNF34" s="204"/>
      <c r="UNG34" s="204"/>
      <c r="UNH34" s="204"/>
      <c r="UNI34" s="204"/>
      <c r="UNJ34" s="204"/>
      <c r="UNK34" s="204"/>
      <c r="UNL34" s="204"/>
      <c r="UNM34" s="204"/>
      <c r="UNN34" s="204"/>
      <c r="UNO34" s="204"/>
      <c r="UNP34" s="204"/>
      <c r="UNQ34" s="204"/>
      <c r="UNR34" s="204"/>
      <c r="UNS34" s="204"/>
      <c r="UNT34" s="204"/>
      <c r="UNU34" s="204"/>
      <c r="UNV34" s="204"/>
      <c r="UNW34" s="204"/>
      <c r="UNX34" s="204"/>
      <c r="UNY34" s="204"/>
      <c r="UNZ34" s="204"/>
      <c r="UOA34" s="204"/>
      <c r="UOB34" s="204"/>
      <c r="UOC34" s="204"/>
      <c r="UOD34" s="204"/>
      <c r="UOE34" s="204"/>
      <c r="UOF34" s="204"/>
      <c r="UOG34" s="204"/>
      <c r="UOH34" s="204"/>
      <c r="UOI34" s="204"/>
      <c r="UOJ34" s="204"/>
      <c r="UOK34" s="204"/>
      <c r="UOL34" s="204"/>
      <c r="UOM34" s="204"/>
      <c r="UON34" s="204"/>
      <c r="UOO34" s="204"/>
      <c r="UOP34" s="204"/>
      <c r="UOQ34" s="204"/>
      <c r="UOR34" s="204"/>
      <c r="UOS34" s="204"/>
      <c r="UOT34" s="204"/>
      <c r="UOU34" s="204"/>
      <c r="UOV34" s="204"/>
      <c r="UOW34" s="204"/>
      <c r="UOX34" s="204"/>
      <c r="UOY34" s="204"/>
      <c r="UOZ34" s="204"/>
      <c r="UPA34" s="204"/>
      <c r="UPB34" s="204"/>
      <c r="UPC34" s="204"/>
      <c r="UPD34" s="204"/>
      <c r="UPE34" s="204"/>
      <c r="UPF34" s="204"/>
      <c r="UPG34" s="204"/>
      <c r="UPH34" s="204"/>
      <c r="UPI34" s="204"/>
      <c r="UPJ34" s="204"/>
      <c r="UPK34" s="204"/>
      <c r="UPL34" s="204"/>
      <c r="UPM34" s="204"/>
      <c r="UPN34" s="204"/>
      <c r="UPO34" s="204"/>
      <c r="UPP34" s="204"/>
      <c r="UPQ34" s="204"/>
      <c r="UPR34" s="204"/>
      <c r="UPS34" s="204"/>
      <c r="UPT34" s="204"/>
      <c r="UPU34" s="204"/>
      <c r="UPV34" s="204"/>
      <c r="UPW34" s="204"/>
      <c r="UPX34" s="204"/>
      <c r="UPY34" s="204"/>
      <c r="UPZ34" s="204"/>
      <c r="UQA34" s="204"/>
      <c r="UQB34" s="204"/>
      <c r="UQC34" s="204"/>
      <c r="UQD34" s="204"/>
      <c r="UQE34" s="204"/>
      <c r="UQF34" s="204"/>
      <c r="UQG34" s="204"/>
      <c r="UQH34" s="204"/>
      <c r="UQI34" s="204"/>
      <c r="UQJ34" s="204"/>
      <c r="UQK34" s="204"/>
      <c r="UQL34" s="204"/>
      <c r="UQM34" s="204"/>
      <c r="UQN34" s="204"/>
      <c r="UQO34" s="204"/>
      <c r="UQP34" s="204"/>
      <c r="UQQ34" s="204"/>
      <c r="UQR34" s="204"/>
      <c r="UQS34" s="204"/>
      <c r="UQT34" s="204"/>
      <c r="UQU34" s="204"/>
      <c r="UQV34" s="204"/>
      <c r="UQW34" s="204"/>
      <c r="UQX34" s="204"/>
      <c r="UQY34" s="204"/>
      <c r="UQZ34" s="204"/>
      <c r="URA34" s="204"/>
      <c r="URB34" s="204"/>
      <c r="URC34" s="204"/>
      <c r="URD34" s="204"/>
      <c r="URE34" s="204"/>
      <c r="URF34" s="204"/>
      <c r="URG34" s="204"/>
      <c r="URH34" s="204"/>
      <c r="URI34" s="204"/>
      <c r="URJ34" s="204"/>
      <c r="URK34" s="204"/>
      <c r="URL34" s="204"/>
      <c r="URM34" s="204"/>
      <c r="URN34" s="204"/>
      <c r="URO34" s="204"/>
      <c r="URP34" s="204"/>
      <c r="URQ34" s="204"/>
      <c r="URR34" s="204"/>
      <c r="URS34" s="204"/>
      <c r="URT34" s="204"/>
      <c r="URU34" s="204"/>
      <c r="URV34" s="204"/>
      <c r="URW34" s="204"/>
      <c r="URX34" s="204"/>
      <c r="URY34" s="204"/>
      <c r="URZ34" s="204"/>
      <c r="USA34" s="204"/>
      <c r="USB34" s="204"/>
      <c r="USC34" s="204"/>
      <c r="USD34" s="204"/>
      <c r="USE34" s="204"/>
      <c r="USF34" s="204"/>
      <c r="USG34" s="204"/>
      <c r="USH34" s="204"/>
      <c r="USI34" s="204"/>
      <c r="USJ34" s="204"/>
      <c r="USK34" s="204"/>
      <c r="USL34" s="204"/>
      <c r="USM34" s="204"/>
      <c r="USN34" s="204"/>
      <c r="USO34" s="204"/>
      <c r="USP34" s="204"/>
      <c r="USQ34" s="204"/>
      <c r="USR34" s="204"/>
      <c r="USS34" s="204"/>
      <c r="UST34" s="204"/>
      <c r="USU34" s="204"/>
      <c r="USV34" s="204"/>
      <c r="USW34" s="204"/>
      <c r="USX34" s="204"/>
      <c r="USY34" s="204"/>
      <c r="USZ34" s="204"/>
      <c r="UTA34" s="204"/>
      <c r="UTB34" s="204"/>
      <c r="UTC34" s="204"/>
      <c r="UTD34" s="204"/>
      <c r="UTE34" s="204"/>
      <c r="UTF34" s="204"/>
      <c r="UTG34" s="204"/>
      <c r="UTH34" s="204"/>
      <c r="UTI34" s="204"/>
      <c r="UTJ34" s="204"/>
      <c r="UTK34" s="204"/>
      <c r="UTL34" s="204"/>
      <c r="UTM34" s="204"/>
      <c r="UTN34" s="204"/>
      <c r="UTO34" s="204"/>
      <c r="UTP34" s="204"/>
      <c r="UTQ34" s="204"/>
      <c r="UTR34" s="204"/>
      <c r="UTS34" s="204"/>
      <c r="UTT34" s="204"/>
      <c r="UTU34" s="204"/>
      <c r="UTV34" s="204"/>
      <c r="UTW34" s="204"/>
      <c r="UTX34" s="204"/>
      <c r="UTY34" s="204"/>
      <c r="UTZ34" s="204"/>
      <c r="UUA34" s="204"/>
      <c r="UUB34" s="204"/>
      <c r="UUC34" s="204"/>
      <c r="UUD34" s="204"/>
      <c r="UUE34" s="204"/>
      <c r="UUF34" s="204"/>
      <c r="UUG34" s="204"/>
      <c r="UUH34" s="204"/>
      <c r="UUI34" s="204"/>
      <c r="UUJ34" s="204"/>
      <c r="UUK34" s="204"/>
      <c r="UUL34" s="204"/>
      <c r="UUM34" s="204"/>
      <c r="UUN34" s="204"/>
      <c r="UUO34" s="204"/>
      <c r="UUP34" s="204"/>
      <c r="UUQ34" s="204"/>
      <c r="UUR34" s="204"/>
      <c r="UUS34" s="204"/>
      <c r="UUT34" s="204"/>
      <c r="UUU34" s="204"/>
      <c r="UUV34" s="204"/>
      <c r="UUW34" s="204"/>
      <c r="UUX34" s="204"/>
      <c r="UUY34" s="204"/>
      <c r="UUZ34" s="204"/>
      <c r="UVA34" s="204"/>
      <c r="UVB34" s="204"/>
      <c r="UVC34" s="204"/>
      <c r="UVD34" s="204"/>
      <c r="UVE34" s="204"/>
      <c r="UVF34" s="204"/>
      <c r="UVG34" s="204"/>
      <c r="UVH34" s="204"/>
      <c r="UVI34" s="204"/>
      <c r="UVJ34" s="204"/>
      <c r="UVK34" s="204"/>
      <c r="UVL34" s="204"/>
      <c r="UVM34" s="204"/>
      <c r="UVN34" s="204"/>
      <c r="UVO34" s="204"/>
      <c r="UVP34" s="204"/>
      <c r="UVQ34" s="204"/>
      <c r="UVR34" s="204"/>
      <c r="UVS34" s="204"/>
      <c r="UVT34" s="204"/>
      <c r="UVU34" s="204"/>
      <c r="UVV34" s="204"/>
      <c r="UVW34" s="204"/>
      <c r="UVX34" s="204"/>
      <c r="UVY34" s="204"/>
      <c r="UVZ34" s="204"/>
      <c r="UWA34" s="204"/>
      <c r="UWB34" s="204"/>
      <c r="UWC34" s="204"/>
      <c r="UWD34" s="204"/>
      <c r="UWE34" s="204"/>
      <c r="UWF34" s="204"/>
      <c r="UWG34" s="204"/>
      <c r="UWH34" s="204"/>
      <c r="UWI34" s="204"/>
      <c r="UWJ34" s="204"/>
      <c r="UWK34" s="204"/>
      <c r="UWL34" s="204"/>
      <c r="UWM34" s="204"/>
      <c r="UWN34" s="204"/>
      <c r="UWO34" s="204"/>
      <c r="UWP34" s="204"/>
      <c r="UWQ34" s="204"/>
      <c r="UWR34" s="204"/>
      <c r="UWS34" s="204"/>
      <c r="UWT34" s="204"/>
      <c r="UWU34" s="204"/>
      <c r="UWV34" s="204"/>
      <c r="UWW34" s="204"/>
      <c r="UWX34" s="204"/>
      <c r="UWY34" s="204"/>
      <c r="UWZ34" s="204"/>
      <c r="UXA34" s="204"/>
      <c r="UXB34" s="204"/>
      <c r="UXC34" s="204"/>
      <c r="UXD34" s="204"/>
      <c r="UXE34" s="204"/>
      <c r="UXF34" s="204"/>
      <c r="UXG34" s="204"/>
      <c r="UXH34" s="204"/>
      <c r="UXI34" s="204"/>
      <c r="UXJ34" s="204"/>
      <c r="UXK34" s="204"/>
      <c r="UXL34" s="204"/>
      <c r="UXM34" s="204"/>
      <c r="UXN34" s="204"/>
      <c r="UXO34" s="204"/>
      <c r="UXP34" s="204"/>
      <c r="UXQ34" s="204"/>
      <c r="UXR34" s="204"/>
      <c r="UXS34" s="204"/>
      <c r="UXT34" s="204"/>
      <c r="UXU34" s="204"/>
      <c r="UXV34" s="204"/>
      <c r="UXW34" s="204"/>
      <c r="UXX34" s="204"/>
      <c r="UXY34" s="204"/>
      <c r="UXZ34" s="204"/>
      <c r="UYA34" s="204"/>
      <c r="UYB34" s="204"/>
      <c r="UYC34" s="204"/>
      <c r="UYD34" s="204"/>
      <c r="UYE34" s="204"/>
      <c r="UYF34" s="204"/>
      <c r="UYG34" s="204"/>
      <c r="UYH34" s="204"/>
      <c r="UYI34" s="204"/>
      <c r="UYJ34" s="204"/>
      <c r="UYK34" s="204"/>
      <c r="UYL34" s="204"/>
      <c r="UYM34" s="204"/>
      <c r="UYN34" s="204"/>
      <c r="UYO34" s="204"/>
      <c r="UYP34" s="204"/>
      <c r="UYQ34" s="204"/>
      <c r="UYR34" s="204"/>
      <c r="UYS34" s="204"/>
      <c r="UYT34" s="204"/>
      <c r="UYU34" s="204"/>
      <c r="UYV34" s="204"/>
      <c r="UYW34" s="204"/>
      <c r="UYX34" s="204"/>
      <c r="UYY34" s="204"/>
      <c r="UYZ34" s="204"/>
      <c r="UZA34" s="204"/>
      <c r="UZB34" s="204"/>
      <c r="UZC34" s="204"/>
      <c r="UZD34" s="204"/>
      <c r="UZE34" s="204"/>
      <c r="UZF34" s="204"/>
      <c r="UZG34" s="204"/>
      <c r="UZH34" s="204"/>
      <c r="UZI34" s="204"/>
      <c r="UZJ34" s="204"/>
      <c r="UZK34" s="204"/>
      <c r="UZL34" s="204"/>
      <c r="UZM34" s="204"/>
      <c r="UZN34" s="204"/>
      <c r="UZO34" s="204"/>
      <c r="UZP34" s="204"/>
      <c r="UZQ34" s="204"/>
      <c r="UZR34" s="204"/>
      <c r="UZS34" s="204"/>
      <c r="UZT34" s="204"/>
      <c r="UZU34" s="204"/>
      <c r="UZV34" s="204"/>
      <c r="UZW34" s="204"/>
      <c r="UZX34" s="204"/>
      <c r="UZY34" s="204"/>
      <c r="UZZ34" s="204"/>
      <c r="VAA34" s="204"/>
      <c r="VAB34" s="204"/>
      <c r="VAC34" s="204"/>
      <c r="VAD34" s="204"/>
      <c r="VAE34" s="204"/>
      <c r="VAF34" s="204"/>
      <c r="VAG34" s="204"/>
      <c r="VAH34" s="204"/>
      <c r="VAI34" s="204"/>
      <c r="VAJ34" s="204"/>
      <c r="VAK34" s="204"/>
      <c r="VAL34" s="204"/>
      <c r="VAM34" s="204"/>
      <c r="VAN34" s="204"/>
      <c r="VAO34" s="204"/>
      <c r="VAP34" s="204"/>
      <c r="VAQ34" s="204"/>
      <c r="VAR34" s="204"/>
      <c r="VAS34" s="204"/>
      <c r="VAT34" s="204"/>
      <c r="VAU34" s="204"/>
      <c r="VAV34" s="204"/>
      <c r="VAW34" s="204"/>
      <c r="VAX34" s="204"/>
      <c r="VAY34" s="204"/>
      <c r="VAZ34" s="204"/>
      <c r="VBA34" s="204"/>
      <c r="VBB34" s="204"/>
      <c r="VBC34" s="204"/>
      <c r="VBD34" s="204"/>
      <c r="VBE34" s="204"/>
      <c r="VBF34" s="204"/>
      <c r="VBG34" s="204"/>
      <c r="VBH34" s="204"/>
      <c r="VBI34" s="204"/>
      <c r="VBJ34" s="204"/>
      <c r="VBK34" s="204"/>
      <c r="VBL34" s="204"/>
      <c r="VBM34" s="204"/>
      <c r="VBN34" s="204"/>
      <c r="VBO34" s="204"/>
      <c r="VBP34" s="204"/>
      <c r="VBQ34" s="204"/>
      <c r="VBR34" s="204"/>
      <c r="VBS34" s="204"/>
      <c r="VBT34" s="204"/>
      <c r="VBU34" s="204"/>
      <c r="VBV34" s="204"/>
      <c r="VBW34" s="204"/>
      <c r="VBX34" s="204"/>
      <c r="VBY34" s="204"/>
      <c r="VBZ34" s="204"/>
      <c r="VCA34" s="204"/>
      <c r="VCB34" s="204"/>
      <c r="VCC34" s="204"/>
      <c r="VCD34" s="204"/>
      <c r="VCE34" s="204"/>
      <c r="VCF34" s="204"/>
      <c r="VCG34" s="204"/>
      <c r="VCH34" s="204"/>
      <c r="VCI34" s="204"/>
      <c r="VCJ34" s="204"/>
      <c r="VCK34" s="204"/>
      <c r="VCL34" s="204"/>
      <c r="VCM34" s="204"/>
      <c r="VCN34" s="204"/>
      <c r="VCO34" s="204"/>
      <c r="VCP34" s="204"/>
      <c r="VCQ34" s="204"/>
      <c r="VCR34" s="204"/>
      <c r="VCS34" s="204"/>
      <c r="VCT34" s="204"/>
      <c r="VCU34" s="204"/>
      <c r="VCV34" s="204"/>
      <c r="VCW34" s="204"/>
      <c r="VCX34" s="204"/>
      <c r="VCY34" s="204"/>
      <c r="VCZ34" s="204"/>
      <c r="VDA34" s="204"/>
      <c r="VDB34" s="204"/>
      <c r="VDC34" s="204"/>
      <c r="VDD34" s="204"/>
      <c r="VDE34" s="204"/>
      <c r="VDF34" s="204"/>
      <c r="VDG34" s="204"/>
      <c r="VDH34" s="204"/>
      <c r="VDI34" s="204"/>
      <c r="VDJ34" s="204"/>
      <c r="VDK34" s="204"/>
      <c r="VDL34" s="204"/>
      <c r="VDM34" s="204"/>
      <c r="VDN34" s="204"/>
      <c r="VDO34" s="204"/>
      <c r="VDP34" s="204"/>
      <c r="VDQ34" s="204"/>
      <c r="VDR34" s="204"/>
      <c r="VDS34" s="204"/>
      <c r="VDT34" s="204"/>
      <c r="VDU34" s="204"/>
      <c r="VDV34" s="204"/>
      <c r="VDW34" s="204"/>
      <c r="VDX34" s="204"/>
      <c r="VDY34" s="204"/>
      <c r="VDZ34" s="204"/>
      <c r="VEA34" s="204"/>
      <c r="VEB34" s="204"/>
      <c r="VEC34" s="204"/>
      <c r="VED34" s="204"/>
      <c r="VEE34" s="204"/>
      <c r="VEF34" s="204"/>
      <c r="VEG34" s="204"/>
      <c r="VEH34" s="204"/>
      <c r="VEI34" s="204"/>
      <c r="VEJ34" s="204"/>
      <c r="VEK34" s="204"/>
      <c r="VEL34" s="204"/>
      <c r="VEM34" s="204"/>
      <c r="VEN34" s="204"/>
      <c r="VEO34" s="204"/>
      <c r="VEP34" s="204"/>
      <c r="VEQ34" s="204"/>
      <c r="VER34" s="204"/>
      <c r="VES34" s="204"/>
      <c r="VET34" s="204"/>
      <c r="VEU34" s="204"/>
      <c r="VEV34" s="204"/>
      <c r="VEW34" s="204"/>
      <c r="VEX34" s="204"/>
      <c r="VEY34" s="204"/>
      <c r="VEZ34" s="204"/>
      <c r="VFA34" s="204"/>
      <c r="VFB34" s="204"/>
      <c r="VFC34" s="204"/>
      <c r="VFD34" s="204"/>
      <c r="VFE34" s="204"/>
      <c r="VFF34" s="204"/>
      <c r="VFG34" s="204"/>
      <c r="VFH34" s="204"/>
      <c r="VFI34" s="204"/>
      <c r="VFJ34" s="204"/>
      <c r="VFK34" s="204"/>
      <c r="VFL34" s="204"/>
      <c r="VFM34" s="204"/>
      <c r="VFN34" s="204"/>
      <c r="VFO34" s="204"/>
      <c r="VFP34" s="204"/>
      <c r="VFQ34" s="204"/>
      <c r="VFR34" s="204"/>
      <c r="VFS34" s="204"/>
      <c r="VFT34" s="204"/>
      <c r="VFU34" s="204"/>
      <c r="VFV34" s="204"/>
      <c r="VFW34" s="204"/>
      <c r="VFX34" s="204"/>
      <c r="VFY34" s="204"/>
      <c r="VFZ34" s="204"/>
      <c r="VGA34" s="204"/>
      <c r="VGB34" s="204"/>
      <c r="VGC34" s="204"/>
      <c r="VGD34" s="204"/>
      <c r="VGE34" s="204"/>
      <c r="VGF34" s="204"/>
      <c r="VGG34" s="204"/>
      <c r="VGH34" s="204"/>
      <c r="VGI34" s="204"/>
      <c r="VGJ34" s="204"/>
      <c r="VGK34" s="204"/>
      <c r="VGL34" s="204"/>
      <c r="VGM34" s="204"/>
      <c r="VGN34" s="204"/>
      <c r="VGO34" s="204"/>
      <c r="VGP34" s="204"/>
      <c r="VGQ34" s="204"/>
      <c r="VGR34" s="204"/>
      <c r="VGS34" s="204"/>
      <c r="VGT34" s="204"/>
      <c r="VGU34" s="204"/>
      <c r="VGV34" s="204"/>
      <c r="VGW34" s="204"/>
      <c r="VGX34" s="204"/>
      <c r="VGY34" s="204"/>
      <c r="VGZ34" s="204"/>
      <c r="VHA34" s="204"/>
      <c r="VHB34" s="204"/>
      <c r="VHC34" s="204"/>
      <c r="VHD34" s="204"/>
      <c r="VHE34" s="204"/>
      <c r="VHF34" s="204"/>
      <c r="VHG34" s="204"/>
      <c r="VHH34" s="204"/>
      <c r="VHI34" s="204"/>
      <c r="VHJ34" s="204"/>
      <c r="VHK34" s="204"/>
      <c r="VHL34" s="204"/>
      <c r="VHM34" s="204"/>
      <c r="VHN34" s="204"/>
      <c r="VHO34" s="204"/>
      <c r="VHP34" s="204"/>
      <c r="VHQ34" s="204"/>
      <c r="VHR34" s="204"/>
      <c r="VHS34" s="204"/>
      <c r="VHT34" s="204"/>
      <c r="VHU34" s="204"/>
      <c r="VHV34" s="204"/>
      <c r="VHW34" s="204"/>
      <c r="VHX34" s="204"/>
      <c r="VHY34" s="204"/>
      <c r="VHZ34" s="204"/>
      <c r="VIA34" s="204"/>
      <c r="VIB34" s="204"/>
      <c r="VIC34" s="204"/>
      <c r="VID34" s="204"/>
      <c r="VIE34" s="204"/>
      <c r="VIF34" s="204"/>
      <c r="VIG34" s="204"/>
      <c r="VIH34" s="204"/>
      <c r="VII34" s="204"/>
      <c r="VIJ34" s="204"/>
      <c r="VIK34" s="204"/>
      <c r="VIL34" s="204"/>
      <c r="VIM34" s="204"/>
      <c r="VIN34" s="204"/>
      <c r="VIO34" s="204"/>
      <c r="VIP34" s="204"/>
      <c r="VIQ34" s="204"/>
      <c r="VIR34" s="204"/>
      <c r="VIS34" s="204"/>
      <c r="VIT34" s="204"/>
      <c r="VIU34" s="204"/>
      <c r="VIV34" s="204"/>
      <c r="VIW34" s="204"/>
      <c r="VIX34" s="204"/>
      <c r="VIY34" s="204"/>
      <c r="VIZ34" s="204"/>
      <c r="VJA34" s="204"/>
      <c r="VJB34" s="204"/>
      <c r="VJC34" s="204"/>
      <c r="VJD34" s="204"/>
      <c r="VJE34" s="204"/>
      <c r="VJF34" s="204"/>
      <c r="VJG34" s="204"/>
      <c r="VJH34" s="204"/>
      <c r="VJI34" s="204"/>
      <c r="VJJ34" s="204"/>
      <c r="VJK34" s="204"/>
      <c r="VJL34" s="204"/>
      <c r="VJM34" s="204"/>
      <c r="VJN34" s="204"/>
      <c r="VJO34" s="204"/>
      <c r="VJP34" s="204"/>
      <c r="VJQ34" s="204"/>
      <c r="VJR34" s="204"/>
      <c r="VJS34" s="204"/>
      <c r="VJT34" s="204"/>
      <c r="VJU34" s="204"/>
      <c r="VJV34" s="204"/>
      <c r="VJW34" s="204"/>
      <c r="VJX34" s="204"/>
      <c r="VJY34" s="204"/>
      <c r="VJZ34" s="204"/>
      <c r="VKA34" s="204"/>
      <c r="VKB34" s="204"/>
      <c r="VKC34" s="204"/>
      <c r="VKD34" s="204"/>
      <c r="VKE34" s="204"/>
      <c r="VKF34" s="204"/>
      <c r="VKG34" s="204"/>
      <c r="VKH34" s="204"/>
      <c r="VKI34" s="204"/>
      <c r="VKJ34" s="204"/>
      <c r="VKK34" s="204"/>
      <c r="VKL34" s="204"/>
      <c r="VKM34" s="204"/>
      <c r="VKN34" s="204"/>
      <c r="VKO34" s="204"/>
      <c r="VKP34" s="204"/>
      <c r="VKQ34" s="204"/>
      <c r="VKR34" s="204"/>
      <c r="VKS34" s="204"/>
      <c r="VKT34" s="204"/>
      <c r="VKU34" s="204"/>
      <c r="VKV34" s="204"/>
      <c r="VKW34" s="204"/>
      <c r="VKX34" s="204"/>
      <c r="VKY34" s="204"/>
      <c r="VKZ34" s="204"/>
      <c r="VLA34" s="204"/>
      <c r="VLB34" s="204"/>
      <c r="VLC34" s="204"/>
      <c r="VLD34" s="204"/>
      <c r="VLE34" s="204"/>
      <c r="VLF34" s="204"/>
      <c r="VLG34" s="204"/>
      <c r="VLH34" s="204"/>
      <c r="VLI34" s="204"/>
      <c r="VLJ34" s="204"/>
      <c r="VLK34" s="204"/>
      <c r="VLL34" s="204"/>
      <c r="VLM34" s="204"/>
      <c r="VLN34" s="204"/>
      <c r="VLO34" s="204"/>
      <c r="VLP34" s="204"/>
      <c r="VLQ34" s="204"/>
      <c r="VLR34" s="204"/>
      <c r="VLS34" s="204"/>
      <c r="VLT34" s="204"/>
      <c r="VLU34" s="204"/>
      <c r="VLV34" s="204"/>
      <c r="VLW34" s="204"/>
      <c r="VLX34" s="204"/>
      <c r="VLY34" s="204"/>
      <c r="VLZ34" s="204"/>
      <c r="VMA34" s="204"/>
      <c r="VMB34" s="204"/>
      <c r="VMC34" s="204"/>
      <c r="VMD34" s="204"/>
      <c r="VME34" s="204"/>
      <c r="VMF34" s="204"/>
      <c r="VMG34" s="204"/>
      <c r="VMH34" s="204"/>
      <c r="VMI34" s="204"/>
      <c r="VMJ34" s="204"/>
      <c r="VMK34" s="204"/>
      <c r="VML34" s="204"/>
      <c r="VMM34" s="204"/>
      <c r="VMN34" s="204"/>
      <c r="VMO34" s="204"/>
      <c r="VMP34" s="204"/>
      <c r="VMQ34" s="204"/>
      <c r="VMR34" s="204"/>
      <c r="VMS34" s="204"/>
      <c r="VMT34" s="204"/>
      <c r="VMU34" s="204"/>
      <c r="VMV34" s="204"/>
      <c r="VMW34" s="204"/>
      <c r="VMX34" s="204"/>
      <c r="VMY34" s="204"/>
      <c r="VMZ34" s="204"/>
      <c r="VNA34" s="204"/>
      <c r="VNB34" s="204"/>
      <c r="VNC34" s="204"/>
      <c r="VND34" s="204"/>
      <c r="VNE34" s="204"/>
      <c r="VNF34" s="204"/>
      <c r="VNG34" s="204"/>
      <c r="VNH34" s="204"/>
      <c r="VNI34" s="204"/>
      <c r="VNJ34" s="204"/>
      <c r="VNK34" s="204"/>
      <c r="VNL34" s="204"/>
      <c r="VNM34" s="204"/>
      <c r="VNN34" s="204"/>
      <c r="VNO34" s="204"/>
      <c r="VNP34" s="204"/>
      <c r="VNQ34" s="204"/>
      <c r="VNR34" s="204"/>
      <c r="VNS34" s="204"/>
      <c r="VNT34" s="204"/>
      <c r="VNU34" s="204"/>
      <c r="VNV34" s="204"/>
      <c r="VNW34" s="204"/>
      <c r="VNX34" s="204"/>
      <c r="VNY34" s="204"/>
      <c r="VNZ34" s="204"/>
      <c r="VOA34" s="204"/>
      <c r="VOB34" s="204"/>
      <c r="VOC34" s="204"/>
      <c r="VOD34" s="204"/>
      <c r="VOE34" s="204"/>
      <c r="VOF34" s="204"/>
      <c r="VOG34" s="204"/>
      <c r="VOH34" s="204"/>
      <c r="VOI34" s="204"/>
      <c r="VOJ34" s="204"/>
      <c r="VOK34" s="204"/>
      <c r="VOL34" s="204"/>
      <c r="VOM34" s="204"/>
      <c r="VON34" s="204"/>
      <c r="VOO34" s="204"/>
      <c r="VOP34" s="204"/>
      <c r="VOQ34" s="204"/>
      <c r="VOR34" s="204"/>
      <c r="VOS34" s="204"/>
      <c r="VOT34" s="204"/>
      <c r="VOU34" s="204"/>
      <c r="VOV34" s="204"/>
      <c r="VOW34" s="204"/>
      <c r="VOX34" s="204"/>
      <c r="VOY34" s="204"/>
      <c r="VOZ34" s="204"/>
      <c r="VPA34" s="204"/>
      <c r="VPB34" s="204"/>
      <c r="VPC34" s="204"/>
      <c r="VPD34" s="204"/>
      <c r="VPE34" s="204"/>
      <c r="VPF34" s="204"/>
      <c r="VPG34" s="204"/>
      <c r="VPH34" s="204"/>
      <c r="VPI34" s="204"/>
      <c r="VPJ34" s="204"/>
      <c r="VPK34" s="204"/>
      <c r="VPL34" s="204"/>
      <c r="VPM34" s="204"/>
      <c r="VPN34" s="204"/>
      <c r="VPO34" s="204"/>
      <c r="VPP34" s="204"/>
      <c r="VPQ34" s="204"/>
      <c r="VPR34" s="204"/>
      <c r="VPS34" s="204"/>
      <c r="VPT34" s="204"/>
      <c r="VPU34" s="204"/>
      <c r="VPV34" s="204"/>
      <c r="VPW34" s="204"/>
      <c r="VPX34" s="204"/>
      <c r="VPY34" s="204"/>
      <c r="VPZ34" s="204"/>
      <c r="VQA34" s="204"/>
      <c r="VQB34" s="204"/>
      <c r="VQC34" s="204"/>
      <c r="VQD34" s="204"/>
      <c r="VQE34" s="204"/>
      <c r="VQF34" s="204"/>
      <c r="VQG34" s="204"/>
      <c r="VQH34" s="204"/>
      <c r="VQI34" s="204"/>
      <c r="VQJ34" s="204"/>
      <c r="VQK34" s="204"/>
      <c r="VQL34" s="204"/>
      <c r="VQM34" s="204"/>
      <c r="VQN34" s="204"/>
      <c r="VQO34" s="204"/>
      <c r="VQP34" s="204"/>
      <c r="VQQ34" s="204"/>
      <c r="VQR34" s="204"/>
      <c r="VQS34" s="204"/>
      <c r="VQT34" s="204"/>
      <c r="VQU34" s="204"/>
      <c r="VQV34" s="204"/>
      <c r="VQW34" s="204"/>
      <c r="VQX34" s="204"/>
      <c r="VQY34" s="204"/>
      <c r="VQZ34" s="204"/>
      <c r="VRA34" s="204"/>
      <c r="VRB34" s="204"/>
      <c r="VRC34" s="204"/>
      <c r="VRD34" s="204"/>
      <c r="VRE34" s="204"/>
      <c r="VRF34" s="204"/>
      <c r="VRG34" s="204"/>
      <c r="VRH34" s="204"/>
      <c r="VRI34" s="204"/>
      <c r="VRJ34" s="204"/>
      <c r="VRK34" s="204"/>
      <c r="VRL34" s="204"/>
      <c r="VRM34" s="204"/>
      <c r="VRN34" s="204"/>
      <c r="VRO34" s="204"/>
      <c r="VRP34" s="204"/>
      <c r="VRQ34" s="204"/>
      <c r="VRR34" s="204"/>
      <c r="VRS34" s="204"/>
      <c r="VRT34" s="204"/>
      <c r="VRU34" s="204"/>
      <c r="VRV34" s="204"/>
      <c r="VRW34" s="204"/>
      <c r="VRX34" s="204"/>
      <c r="VRY34" s="204"/>
      <c r="VRZ34" s="204"/>
      <c r="VSA34" s="204"/>
      <c r="VSB34" s="204"/>
      <c r="VSC34" s="204"/>
      <c r="VSD34" s="204"/>
      <c r="VSE34" s="204"/>
      <c r="VSF34" s="204"/>
      <c r="VSG34" s="204"/>
      <c r="VSH34" s="204"/>
      <c r="VSI34" s="204"/>
      <c r="VSJ34" s="204"/>
      <c r="VSK34" s="204"/>
      <c r="VSL34" s="204"/>
      <c r="VSM34" s="204"/>
      <c r="VSN34" s="204"/>
      <c r="VSO34" s="204"/>
      <c r="VSP34" s="204"/>
      <c r="VSQ34" s="204"/>
      <c r="VSR34" s="204"/>
      <c r="VSS34" s="204"/>
      <c r="VST34" s="204"/>
      <c r="VSU34" s="204"/>
      <c r="VSV34" s="204"/>
      <c r="VSW34" s="204"/>
      <c r="VSX34" s="204"/>
      <c r="VSY34" s="204"/>
      <c r="VSZ34" s="204"/>
      <c r="VTA34" s="204"/>
      <c r="VTB34" s="204"/>
      <c r="VTC34" s="204"/>
      <c r="VTD34" s="204"/>
      <c r="VTE34" s="204"/>
      <c r="VTF34" s="204"/>
      <c r="VTG34" s="204"/>
      <c r="VTH34" s="204"/>
      <c r="VTI34" s="204"/>
      <c r="VTJ34" s="204"/>
      <c r="VTK34" s="204"/>
      <c r="VTL34" s="204"/>
      <c r="VTM34" s="204"/>
      <c r="VTN34" s="204"/>
      <c r="VTO34" s="204"/>
      <c r="VTP34" s="204"/>
      <c r="VTQ34" s="204"/>
      <c r="VTR34" s="204"/>
      <c r="VTS34" s="204"/>
      <c r="VTT34" s="204"/>
      <c r="VTU34" s="204"/>
      <c r="VTV34" s="204"/>
      <c r="VTW34" s="204"/>
      <c r="VTX34" s="204"/>
      <c r="VTY34" s="204"/>
      <c r="VTZ34" s="204"/>
      <c r="VUA34" s="204"/>
      <c r="VUB34" s="204"/>
      <c r="VUC34" s="204"/>
      <c r="VUD34" s="204"/>
      <c r="VUE34" s="204"/>
      <c r="VUF34" s="204"/>
      <c r="VUG34" s="204"/>
      <c r="VUH34" s="204"/>
      <c r="VUI34" s="204"/>
      <c r="VUJ34" s="204"/>
      <c r="VUK34" s="204"/>
      <c r="VUL34" s="204"/>
      <c r="VUM34" s="204"/>
      <c r="VUN34" s="204"/>
      <c r="VUO34" s="204"/>
      <c r="VUP34" s="204"/>
      <c r="VUQ34" s="204"/>
      <c r="VUR34" s="204"/>
      <c r="VUS34" s="204"/>
      <c r="VUT34" s="204"/>
      <c r="VUU34" s="204"/>
      <c r="VUV34" s="204"/>
      <c r="VUW34" s="204"/>
      <c r="VUX34" s="204"/>
      <c r="VUY34" s="204"/>
      <c r="VUZ34" s="204"/>
      <c r="VVA34" s="204"/>
      <c r="VVB34" s="204"/>
      <c r="VVC34" s="204"/>
      <c r="VVD34" s="204"/>
      <c r="VVE34" s="204"/>
      <c r="VVF34" s="204"/>
      <c r="VVG34" s="204"/>
      <c r="VVH34" s="204"/>
      <c r="VVI34" s="204"/>
      <c r="VVJ34" s="204"/>
      <c r="VVK34" s="204"/>
      <c r="VVL34" s="204"/>
      <c r="VVM34" s="204"/>
      <c r="VVN34" s="204"/>
      <c r="VVO34" s="204"/>
      <c r="VVP34" s="204"/>
      <c r="VVQ34" s="204"/>
      <c r="VVR34" s="204"/>
      <c r="VVS34" s="204"/>
      <c r="VVT34" s="204"/>
      <c r="VVU34" s="204"/>
      <c r="VVV34" s="204"/>
      <c r="VVW34" s="204"/>
      <c r="VVX34" s="204"/>
      <c r="VVY34" s="204"/>
      <c r="VVZ34" s="204"/>
      <c r="VWA34" s="204"/>
      <c r="VWB34" s="204"/>
      <c r="VWC34" s="204"/>
      <c r="VWD34" s="204"/>
      <c r="VWE34" s="204"/>
      <c r="VWF34" s="204"/>
      <c r="VWG34" s="204"/>
      <c r="VWH34" s="204"/>
      <c r="VWI34" s="204"/>
      <c r="VWJ34" s="204"/>
      <c r="VWK34" s="204"/>
      <c r="VWL34" s="204"/>
      <c r="VWM34" s="204"/>
      <c r="VWN34" s="204"/>
      <c r="VWO34" s="204"/>
      <c r="VWP34" s="204"/>
      <c r="VWQ34" s="204"/>
      <c r="VWR34" s="204"/>
      <c r="VWS34" s="204"/>
      <c r="VWT34" s="204"/>
      <c r="VWU34" s="204"/>
      <c r="VWV34" s="204"/>
      <c r="VWW34" s="204"/>
      <c r="VWX34" s="204"/>
      <c r="VWY34" s="204"/>
      <c r="VWZ34" s="204"/>
      <c r="VXA34" s="204"/>
      <c r="VXB34" s="204"/>
      <c r="VXC34" s="204"/>
      <c r="VXD34" s="204"/>
      <c r="VXE34" s="204"/>
      <c r="VXF34" s="204"/>
      <c r="VXG34" s="204"/>
      <c r="VXH34" s="204"/>
      <c r="VXI34" s="204"/>
      <c r="VXJ34" s="204"/>
      <c r="VXK34" s="204"/>
      <c r="VXL34" s="204"/>
      <c r="VXM34" s="204"/>
      <c r="VXN34" s="204"/>
      <c r="VXO34" s="204"/>
      <c r="VXP34" s="204"/>
      <c r="VXQ34" s="204"/>
      <c r="VXR34" s="204"/>
      <c r="VXS34" s="204"/>
      <c r="VXT34" s="204"/>
      <c r="VXU34" s="204"/>
      <c r="VXV34" s="204"/>
      <c r="VXW34" s="204"/>
      <c r="VXX34" s="204"/>
      <c r="VXY34" s="204"/>
      <c r="VXZ34" s="204"/>
      <c r="VYA34" s="204"/>
      <c r="VYB34" s="204"/>
      <c r="VYC34" s="204"/>
      <c r="VYD34" s="204"/>
      <c r="VYE34" s="204"/>
      <c r="VYF34" s="204"/>
      <c r="VYG34" s="204"/>
      <c r="VYH34" s="204"/>
      <c r="VYI34" s="204"/>
      <c r="VYJ34" s="204"/>
      <c r="VYK34" s="204"/>
      <c r="VYL34" s="204"/>
      <c r="VYM34" s="204"/>
      <c r="VYN34" s="204"/>
      <c r="VYO34" s="204"/>
      <c r="VYP34" s="204"/>
      <c r="VYQ34" s="204"/>
      <c r="VYR34" s="204"/>
      <c r="VYS34" s="204"/>
      <c r="VYT34" s="204"/>
      <c r="VYU34" s="204"/>
      <c r="VYV34" s="204"/>
      <c r="VYW34" s="204"/>
      <c r="VYX34" s="204"/>
      <c r="VYY34" s="204"/>
      <c r="VYZ34" s="204"/>
      <c r="VZA34" s="204"/>
      <c r="VZB34" s="204"/>
      <c r="VZC34" s="204"/>
      <c r="VZD34" s="204"/>
      <c r="VZE34" s="204"/>
      <c r="VZF34" s="204"/>
      <c r="VZG34" s="204"/>
      <c r="VZH34" s="204"/>
      <c r="VZI34" s="204"/>
      <c r="VZJ34" s="204"/>
      <c r="VZK34" s="204"/>
      <c r="VZL34" s="204"/>
      <c r="VZM34" s="204"/>
      <c r="VZN34" s="204"/>
      <c r="VZO34" s="204"/>
      <c r="VZP34" s="204"/>
      <c r="VZQ34" s="204"/>
      <c r="VZR34" s="204"/>
      <c r="VZS34" s="204"/>
      <c r="VZT34" s="204"/>
      <c r="VZU34" s="204"/>
      <c r="VZV34" s="204"/>
      <c r="VZW34" s="204"/>
      <c r="VZX34" s="204"/>
      <c r="VZY34" s="204"/>
      <c r="VZZ34" s="204"/>
      <c r="WAA34" s="204"/>
      <c r="WAB34" s="204"/>
      <c r="WAC34" s="204"/>
      <c r="WAD34" s="204"/>
      <c r="WAE34" s="204"/>
      <c r="WAF34" s="204"/>
      <c r="WAG34" s="204"/>
      <c r="WAH34" s="204"/>
      <c r="WAI34" s="204"/>
      <c r="WAJ34" s="204"/>
      <c r="WAK34" s="204"/>
      <c r="WAL34" s="204"/>
      <c r="WAM34" s="204"/>
      <c r="WAN34" s="204"/>
      <c r="WAO34" s="204"/>
      <c r="WAP34" s="204"/>
      <c r="WAQ34" s="204"/>
      <c r="WAR34" s="204"/>
      <c r="WAS34" s="204"/>
      <c r="WAT34" s="204"/>
      <c r="WAU34" s="204"/>
      <c r="WAV34" s="204"/>
      <c r="WAW34" s="204"/>
      <c r="WAX34" s="204"/>
      <c r="WAY34" s="204"/>
      <c r="WAZ34" s="204"/>
      <c r="WBA34" s="204"/>
      <c r="WBB34" s="204"/>
      <c r="WBC34" s="204"/>
      <c r="WBD34" s="204"/>
      <c r="WBE34" s="204"/>
      <c r="WBF34" s="204"/>
      <c r="WBG34" s="204"/>
      <c r="WBH34" s="204"/>
      <c r="WBI34" s="204"/>
      <c r="WBJ34" s="204"/>
      <c r="WBK34" s="204"/>
      <c r="WBL34" s="204"/>
      <c r="WBM34" s="204"/>
      <c r="WBN34" s="204"/>
      <c r="WBO34" s="204"/>
      <c r="WBP34" s="204"/>
      <c r="WBQ34" s="204"/>
      <c r="WBR34" s="204"/>
      <c r="WBS34" s="204"/>
      <c r="WBT34" s="204"/>
      <c r="WBU34" s="204"/>
      <c r="WBV34" s="204"/>
      <c r="WBW34" s="204"/>
      <c r="WBX34" s="204"/>
      <c r="WBY34" s="204"/>
      <c r="WBZ34" s="204"/>
      <c r="WCA34" s="204"/>
      <c r="WCB34" s="204"/>
      <c r="WCC34" s="204"/>
      <c r="WCD34" s="204"/>
      <c r="WCE34" s="204"/>
      <c r="WCF34" s="204"/>
      <c r="WCG34" s="204"/>
      <c r="WCH34" s="204"/>
      <c r="WCI34" s="204"/>
      <c r="WCJ34" s="204"/>
      <c r="WCK34" s="204"/>
      <c r="WCL34" s="204"/>
      <c r="WCM34" s="204"/>
      <c r="WCN34" s="204"/>
      <c r="WCO34" s="204"/>
      <c r="WCP34" s="204"/>
      <c r="WCQ34" s="204"/>
      <c r="WCR34" s="204"/>
      <c r="WCS34" s="204"/>
      <c r="WCT34" s="204"/>
      <c r="WCU34" s="204"/>
      <c r="WCV34" s="204"/>
      <c r="WCW34" s="204"/>
      <c r="WCX34" s="204"/>
      <c r="WCY34" s="204"/>
      <c r="WCZ34" s="204"/>
      <c r="WDA34" s="204"/>
      <c r="WDB34" s="204"/>
      <c r="WDC34" s="204"/>
      <c r="WDD34" s="204"/>
      <c r="WDE34" s="204"/>
      <c r="WDF34" s="204"/>
      <c r="WDG34" s="204"/>
      <c r="WDH34" s="204"/>
      <c r="WDI34" s="204"/>
      <c r="WDJ34" s="204"/>
      <c r="WDK34" s="204"/>
      <c r="WDL34" s="204"/>
      <c r="WDM34" s="204"/>
      <c r="WDN34" s="204"/>
      <c r="WDO34" s="204"/>
      <c r="WDP34" s="204"/>
      <c r="WDQ34" s="204"/>
      <c r="WDR34" s="204"/>
      <c r="WDS34" s="204"/>
      <c r="WDT34" s="204"/>
      <c r="WDU34" s="204"/>
      <c r="WDV34" s="204"/>
      <c r="WDW34" s="204"/>
      <c r="WDX34" s="204"/>
      <c r="WDY34" s="204"/>
      <c r="WDZ34" s="204"/>
      <c r="WEA34" s="204"/>
      <c r="WEB34" s="204"/>
      <c r="WEC34" s="204"/>
      <c r="WED34" s="204"/>
      <c r="WEE34" s="204"/>
      <c r="WEF34" s="204"/>
      <c r="WEG34" s="204"/>
      <c r="WEH34" s="204"/>
      <c r="WEI34" s="204"/>
      <c r="WEJ34" s="204"/>
      <c r="WEK34" s="204"/>
      <c r="WEL34" s="204"/>
      <c r="WEM34" s="204"/>
      <c r="WEN34" s="204"/>
      <c r="WEO34" s="204"/>
      <c r="WEP34" s="204"/>
      <c r="WEQ34" s="204"/>
      <c r="WER34" s="204"/>
      <c r="WES34" s="204"/>
      <c r="WET34" s="204"/>
      <c r="WEU34" s="204"/>
      <c r="WEV34" s="204"/>
      <c r="WEW34" s="204"/>
      <c r="WEX34" s="204"/>
      <c r="WEY34" s="204"/>
      <c r="WEZ34" s="204"/>
      <c r="WFA34" s="204"/>
      <c r="WFB34" s="204"/>
      <c r="WFC34" s="204"/>
      <c r="WFD34" s="204"/>
      <c r="WFE34" s="204"/>
      <c r="WFF34" s="204"/>
      <c r="WFG34" s="204"/>
      <c r="WFH34" s="204"/>
      <c r="WFI34" s="204"/>
      <c r="WFJ34" s="204"/>
      <c r="WFK34" s="204"/>
      <c r="WFL34" s="204"/>
      <c r="WFM34" s="204"/>
      <c r="WFN34" s="204"/>
      <c r="WFO34" s="204"/>
      <c r="WFP34" s="204"/>
      <c r="WFQ34" s="204"/>
      <c r="WFR34" s="204"/>
      <c r="WFS34" s="204"/>
      <c r="WFT34" s="204"/>
      <c r="WFU34" s="204"/>
      <c r="WFV34" s="204"/>
      <c r="WFW34" s="204"/>
      <c r="WFX34" s="204"/>
      <c r="WFY34" s="204"/>
      <c r="WFZ34" s="204"/>
      <c r="WGA34" s="204"/>
      <c r="WGB34" s="204"/>
      <c r="WGC34" s="204"/>
      <c r="WGD34" s="204"/>
      <c r="WGE34" s="204"/>
      <c r="WGF34" s="204"/>
      <c r="WGG34" s="204"/>
      <c r="WGH34" s="204"/>
      <c r="WGI34" s="204"/>
      <c r="WGJ34" s="204"/>
      <c r="WGK34" s="204"/>
      <c r="WGL34" s="204"/>
      <c r="WGM34" s="204"/>
      <c r="WGN34" s="204"/>
      <c r="WGO34" s="204"/>
      <c r="WGP34" s="204"/>
      <c r="WGQ34" s="204"/>
      <c r="WGR34" s="204"/>
      <c r="WGS34" s="204"/>
      <c r="WGT34" s="204"/>
      <c r="WGU34" s="204"/>
      <c r="WGV34" s="204"/>
      <c r="WGW34" s="204"/>
      <c r="WGX34" s="204"/>
      <c r="WGY34" s="204"/>
      <c r="WGZ34" s="204"/>
      <c r="WHA34" s="204"/>
      <c r="WHB34" s="204"/>
      <c r="WHC34" s="204"/>
      <c r="WHD34" s="204"/>
      <c r="WHE34" s="204"/>
      <c r="WHF34" s="204"/>
      <c r="WHG34" s="204"/>
      <c r="WHH34" s="204"/>
      <c r="WHI34" s="204"/>
      <c r="WHJ34" s="204"/>
      <c r="WHK34" s="204"/>
      <c r="WHL34" s="204"/>
      <c r="WHM34" s="204"/>
      <c r="WHN34" s="204"/>
      <c r="WHO34" s="204"/>
      <c r="WHP34" s="204"/>
      <c r="WHQ34" s="204"/>
      <c r="WHR34" s="204"/>
      <c r="WHS34" s="204"/>
      <c r="WHT34" s="204"/>
      <c r="WHU34" s="204"/>
      <c r="WHV34" s="204"/>
      <c r="WHW34" s="204"/>
      <c r="WHX34" s="204"/>
      <c r="WHY34" s="204"/>
      <c r="WHZ34" s="204"/>
      <c r="WIA34" s="204"/>
      <c r="WIB34" s="204"/>
      <c r="WIC34" s="204"/>
      <c r="WID34" s="204"/>
      <c r="WIE34" s="204"/>
      <c r="WIF34" s="204"/>
      <c r="WIG34" s="204"/>
      <c r="WIH34" s="204"/>
      <c r="WII34" s="204"/>
      <c r="WIJ34" s="204"/>
      <c r="WIK34" s="204"/>
      <c r="WIL34" s="204"/>
      <c r="WIM34" s="204"/>
      <c r="WIN34" s="204"/>
      <c r="WIO34" s="204"/>
      <c r="WIP34" s="204"/>
      <c r="WIQ34" s="204"/>
      <c r="WIR34" s="204"/>
      <c r="WIS34" s="204"/>
      <c r="WIT34" s="204"/>
      <c r="WIU34" s="204"/>
      <c r="WIV34" s="204"/>
      <c r="WIW34" s="204"/>
      <c r="WIX34" s="204"/>
      <c r="WIY34" s="204"/>
      <c r="WIZ34" s="204"/>
      <c r="WJA34" s="204"/>
      <c r="WJB34" s="204"/>
      <c r="WJC34" s="204"/>
      <c r="WJD34" s="204"/>
      <c r="WJE34" s="204"/>
      <c r="WJF34" s="204"/>
      <c r="WJG34" s="204"/>
      <c r="WJH34" s="204"/>
      <c r="WJI34" s="204"/>
      <c r="WJJ34" s="204"/>
      <c r="WJK34" s="204"/>
      <c r="WJL34" s="204"/>
      <c r="WJM34" s="204"/>
      <c r="WJN34" s="204"/>
      <c r="WJO34" s="204"/>
      <c r="WJP34" s="204"/>
      <c r="WJQ34" s="204"/>
      <c r="WJR34" s="204"/>
      <c r="WJS34" s="204"/>
      <c r="WJT34" s="204"/>
      <c r="WJU34" s="204"/>
      <c r="WJV34" s="204"/>
      <c r="WJW34" s="204"/>
      <c r="WJX34" s="204"/>
      <c r="WJY34" s="204"/>
      <c r="WJZ34" s="204"/>
      <c r="WKA34" s="204"/>
      <c r="WKB34" s="204"/>
      <c r="WKC34" s="204"/>
      <c r="WKD34" s="204"/>
      <c r="WKE34" s="204"/>
      <c r="WKF34" s="204"/>
      <c r="WKG34" s="204"/>
      <c r="WKH34" s="204"/>
      <c r="WKI34" s="204"/>
      <c r="WKJ34" s="204"/>
      <c r="WKK34" s="204"/>
      <c r="WKL34" s="204"/>
      <c r="WKM34" s="204"/>
      <c r="WKN34" s="204"/>
      <c r="WKO34" s="204"/>
      <c r="WKP34" s="204"/>
      <c r="WKQ34" s="204"/>
      <c r="WKR34" s="204"/>
      <c r="WKS34" s="204"/>
      <c r="WKT34" s="204"/>
      <c r="WKU34" s="204"/>
      <c r="WKV34" s="204"/>
      <c r="WKW34" s="204"/>
      <c r="WKX34" s="204"/>
      <c r="WKY34" s="204"/>
      <c r="WKZ34" s="204"/>
      <c r="WLA34" s="204"/>
      <c r="WLB34" s="204"/>
      <c r="WLC34" s="204"/>
      <c r="WLD34" s="204"/>
      <c r="WLE34" s="204"/>
      <c r="WLF34" s="204"/>
      <c r="WLG34" s="204"/>
      <c r="WLH34" s="204"/>
      <c r="WLI34" s="204"/>
      <c r="WLJ34" s="204"/>
      <c r="WLK34" s="204"/>
      <c r="WLL34" s="204"/>
      <c r="WLM34" s="204"/>
      <c r="WLN34" s="204"/>
      <c r="WLO34" s="204"/>
      <c r="WLP34" s="204"/>
      <c r="WLQ34" s="204"/>
      <c r="WLR34" s="204"/>
      <c r="WLS34" s="204"/>
      <c r="WLT34" s="204"/>
      <c r="WLU34" s="204"/>
      <c r="WLV34" s="204"/>
      <c r="WLW34" s="204"/>
      <c r="WLX34" s="204"/>
      <c r="WLY34" s="204"/>
      <c r="WLZ34" s="204"/>
      <c r="WMA34" s="204"/>
      <c r="WMB34" s="204"/>
      <c r="WMC34" s="204"/>
      <c r="WMD34" s="204"/>
      <c r="WME34" s="204"/>
      <c r="WMF34" s="204"/>
      <c r="WMG34" s="204"/>
      <c r="WMH34" s="204"/>
      <c r="WMI34" s="204"/>
      <c r="WMJ34" s="204"/>
      <c r="WMK34" s="204"/>
      <c r="WML34" s="204"/>
      <c r="WMM34" s="204"/>
      <c r="WMN34" s="204"/>
      <c r="WMO34" s="204"/>
      <c r="WMP34" s="204"/>
      <c r="WMQ34" s="204"/>
      <c r="WMR34" s="204"/>
      <c r="WMS34" s="204"/>
      <c r="WMT34" s="204"/>
      <c r="WMU34" s="204"/>
      <c r="WMV34" s="204"/>
      <c r="WMW34" s="204"/>
      <c r="WMX34" s="204"/>
      <c r="WMY34" s="204"/>
      <c r="WMZ34" s="204"/>
      <c r="WNA34" s="204"/>
      <c r="WNB34" s="204"/>
      <c r="WNC34" s="204"/>
      <c r="WND34" s="204"/>
      <c r="WNE34" s="204"/>
      <c r="WNF34" s="204"/>
      <c r="WNG34" s="204"/>
      <c r="WNH34" s="204"/>
      <c r="WNI34" s="204"/>
      <c r="WNJ34" s="204"/>
      <c r="WNK34" s="204"/>
      <c r="WNL34" s="204"/>
      <c r="WNM34" s="204"/>
      <c r="WNN34" s="204"/>
      <c r="WNO34" s="204"/>
      <c r="WNP34" s="204"/>
      <c r="WNQ34" s="204"/>
      <c r="WNR34" s="204"/>
      <c r="WNS34" s="204"/>
      <c r="WNT34" s="204"/>
      <c r="WNU34" s="204"/>
      <c r="WNV34" s="204"/>
      <c r="WNW34" s="204"/>
      <c r="WNX34" s="204"/>
      <c r="WNY34" s="204"/>
      <c r="WNZ34" s="204"/>
      <c r="WOA34" s="204"/>
      <c r="WOB34" s="204"/>
      <c r="WOC34" s="204"/>
      <c r="WOD34" s="204"/>
      <c r="WOE34" s="204"/>
      <c r="WOF34" s="204"/>
      <c r="WOG34" s="204"/>
      <c r="WOH34" s="204"/>
      <c r="WOI34" s="204"/>
      <c r="WOJ34" s="204"/>
      <c r="WOK34" s="204"/>
      <c r="WOL34" s="204"/>
      <c r="WOM34" s="204"/>
      <c r="WON34" s="204"/>
      <c r="WOO34" s="204"/>
      <c r="WOP34" s="204"/>
      <c r="WOQ34" s="204"/>
      <c r="WOR34" s="204"/>
      <c r="WOS34" s="204"/>
      <c r="WOT34" s="204"/>
      <c r="WOU34" s="204"/>
      <c r="WOV34" s="204"/>
      <c r="WOW34" s="204"/>
      <c r="WOX34" s="204"/>
      <c r="WOY34" s="204"/>
      <c r="WOZ34" s="204"/>
      <c r="WPA34" s="204"/>
      <c r="WPB34" s="204"/>
      <c r="WPC34" s="204"/>
      <c r="WPD34" s="204"/>
      <c r="WPE34" s="204"/>
      <c r="WPF34" s="204"/>
      <c r="WPG34" s="204"/>
      <c r="WPH34" s="204"/>
      <c r="WPI34" s="204"/>
      <c r="WPJ34" s="204"/>
      <c r="WPK34" s="204"/>
      <c r="WPL34" s="204"/>
      <c r="WPM34" s="204"/>
      <c r="WPN34" s="204"/>
      <c r="WPO34" s="204"/>
      <c r="WPP34" s="204"/>
      <c r="WPQ34" s="204"/>
      <c r="WPR34" s="204"/>
      <c r="WPS34" s="204"/>
      <c r="WPT34" s="204"/>
      <c r="WPU34" s="204"/>
      <c r="WPV34" s="204"/>
      <c r="WPW34" s="204"/>
      <c r="WPX34" s="204"/>
      <c r="WPY34" s="204"/>
      <c r="WPZ34" s="204"/>
      <c r="WQA34" s="204"/>
      <c r="WQB34" s="204"/>
      <c r="WQC34" s="204"/>
      <c r="WQD34" s="204"/>
      <c r="WQE34" s="204"/>
      <c r="WQF34" s="204"/>
      <c r="WQG34" s="204"/>
      <c r="WQH34" s="204"/>
      <c r="WQI34" s="204"/>
      <c r="WQJ34" s="204"/>
      <c r="WQK34" s="204"/>
      <c r="WQL34" s="204"/>
      <c r="WQM34" s="204"/>
      <c r="WQN34" s="204"/>
      <c r="WQO34" s="204"/>
      <c r="WQP34" s="204"/>
      <c r="WQQ34" s="204"/>
      <c r="WQR34" s="204"/>
      <c r="WQS34" s="204"/>
      <c r="WQT34" s="204"/>
      <c r="WQU34" s="204"/>
      <c r="WQV34" s="204"/>
      <c r="WQW34" s="204"/>
      <c r="WQX34" s="204"/>
      <c r="WQY34" s="204"/>
      <c r="WQZ34" s="204"/>
      <c r="WRA34" s="204"/>
      <c r="WRB34" s="204"/>
      <c r="WRC34" s="204"/>
      <c r="WRD34" s="204"/>
      <c r="WRE34" s="204"/>
      <c r="WRF34" s="204"/>
      <c r="WRG34" s="204"/>
      <c r="WRH34" s="204"/>
      <c r="WRI34" s="204"/>
      <c r="WRJ34" s="204"/>
      <c r="WRK34" s="204"/>
      <c r="WRL34" s="204"/>
      <c r="WRM34" s="204"/>
      <c r="WRN34" s="204"/>
      <c r="WRO34" s="204"/>
      <c r="WRP34" s="204"/>
      <c r="WRQ34" s="204"/>
      <c r="WRR34" s="204"/>
      <c r="WRS34" s="204"/>
      <c r="WRT34" s="204"/>
      <c r="WRU34" s="204"/>
      <c r="WRV34" s="204"/>
      <c r="WRW34" s="204"/>
      <c r="WRX34" s="204"/>
      <c r="WRY34" s="204"/>
      <c r="WRZ34" s="204"/>
      <c r="WSA34" s="204"/>
      <c r="WSB34" s="204"/>
      <c r="WSC34" s="204"/>
      <c r="WSD34" s="204"/>
      <c r="WSE34" s="204"/>
      <c r="WSF34" s="204"/>
      <c r="WSG34" s="204"/>
      <c r="WSH34" s="204"/>
      <c r="WSI34" s="204"/>
      <c r="WSJ34" s="204"/>
      <c r="WSK34" s="204"/>
      <c r="WSL34" s="204"/>
      <c r="WSM34" s="204"/>
      <c r="WSN34" s="204"/>
      <c r="WSO34" s="204"/>
      <c r="WSP34" s="204"/>
      <c r="WSQ34" s="204"/>
      <c r="WSR34" s="204"/>
      <c r="WSS34" s="204"/>
      <c r="WST34" s="204"/>
      <c r="WSU34" s="204"/>
      <c r="WSV34" s="204"/>
      <c r="WSW34" s="204"/>
      <c r="WSX34" s="204"/>
      <c r="WSY34" s="204"/>
      <c r="WSZ34" s="204"/>
      <c r="WTA34" s="204"/>
      <c r="WTB34" s="204"/>
      <c r="WTC34" s="204"/>
      <c r="WTD34" s="204"/>
      <c r="WTE34" s="204"/>
      <c r="WTF34" s="204"/>
      <c r="WTG34" s="204"/>
      <c r="WTH34" s="204"/>
      <c r="WTI34" s="204"/>
      <c r="WTJ34" s="204"/>
      <c r="WTK34" s="204"/>
      <c r="WTL34" s="204"/>
      <c r="WTM34" s="204"/>
      <c r="WTN34" s="204"/>
      <c r="WTO34" s="204"/>
      <c r="WTP34" s="204"/>
      <c r="WTQ34" s="204"/>
      <c r="WTR34" s="204"/>
      <c r="WTS34" s="204"/>
      <c r="WTT34" s="204"/>
      <c r="WTU34" s="204"/>
      <c r="WTV34" s="204"/>
      <c r="WTW34" s="204"/>
      <c r="WTX34" s="204"/>
      <c r="WTY34" s="204"/>
      <c r="WTZ34" s="204"/>
      <c r="WUA34" s="204"/>
      <c r="WUB34" s="204"/>
      <c r="WUC34" s="204"/>
      <c r="WUD34" s="204"/>
      <c r="WUE34" s="204"/>
      <c r="WUF34" s="204"/>
      <c r="WUG34" s="204"/>
      <c r="WUH34" s="204"/>
      <c r="WUI34" s="204"/>
      <c r="WUJ34" s="204"/>
      <c r="WUK34" s="204"/>
      <c r="WUL34" s="204"/>
      <c r="WUM34" s="204"/>
      <c r="WUN34" s="204"/>
      <c r="WUO34" s="204"/>
      <c r="WUP34" s="204"/>
      <c r="WUQ34" s="204"/>
      <c r="WUR34" s="204"/>
      <c r="WUS34" s="204"/>
      <c r="WUT34" s="204"/>
      <c r="WUU34" s="204"/>
      <c r="WUV34" s="204"/>
      <c r="WUW34" s="204"/>
      <c r="WUX34" s="204"/>
      <c r="WUY34" s="204"/>
      <c r="WUZ34" s="204"/>
      <c r="WVA34" s="204"/>
      <c r="WVB34" s="204"/>
      <c r="WVC34" s="204"/>
      <c r="WVD34" s="204"/>
      <c r="WVE34" s="204"/>
      <c r="WVF34" s="204"/>
      <c r="WVG34" s="204"/>
      <c r="WVH34" s="204"/>
      <c r="WVI34" s="204"/>
      <c r="WVJ34" s="204"/>
      <c r="WVK34" s="204"/>
      <c r="WVL34" s="204"/>
      <c r="WVM34" s="204"/>
      <c r="WVN34" s="204"/>
      <c r="WVO34" s="204"/>
      <c r="WVP34" s="204"/>
      <c r="WVQ34" s="204"/>
      <c r="WVR34" s="204"/>
      <c r="WVS34" s="204"/>
      <c r="WVT34" s="204"/>
      <c r="WVU34" s="204"/>
      <c r="WVV34" s="204"/>
      <c r="WVW34" s="204"/>
      <c r="WVX34" s="204"/>
      <c r="WVY34" s="204"/>
      <c r="WVZ34" s="204"/>
      <c r="WWA34" s="204"/>
      <c r="WWB34" s="204"/>
      <c r="WWC34" s="204"/>
      <c r="WWD34" s="204"/>
      <c r="WWE34" s="204"/>
      <c r="WWF34" s="204"/>
      <c r="WWG34" s="204"/>
      <c r="WWH34" s="204"/>
      <c r="WWI34" s="204"/>
      <c r="WWJ34" s="204"/>
      <c r="WWK34" s="204"/>
      <c r="WWL34" s="204"/>
      <c r="WWM34" s="204"/>
      <c r="WWN34" s="204"/>
      <c r="WWO34" s="204"/>
      <c r="WWP34" s="204"/>
      <c r="WWQ34" s="204"/>
      <c r="WWR34" s="204"/>
      <c r="WWS34" s="204"/>
      <c r="WWT34" s="204"/>
      <c r="WWU34" s="204"/>
      <c r="WWV34" s="204"/>
      <c r="WWW34" s="204"/>
      <c r="WWX34" s="204"/>
      <c r="WWY34" s="204"/>
      <c r="WWZ34" s="204"/>
      <c r="WXA34" s="204"/>
      <c r="WXB34" s="204"/>
      <c r="WXC34" s="204"/>
      <c r="WXD34" s="204"/>
      <c r="WXE34" s="204"/>
      <c r="WXF34" s="204"/>
      <c r="WXG34" s="204"/>
      <c r="WXH34" s="204"/>
      <c r="WXI34" s="204"/>
      <c r="WXJ34" s="204"/>
      <c r="WXK34" s="204"/>
      <c r="WXL34" s="204"/>
      <c r="WXM34" s="204"/>
      <c r="WXN34" s="204"/>
      <c r="WXO34" s="204"/>
      <c r="WXP34" s="204"/>
      <c r="WXQ34" s="204"/>
      <c r="WXR34" s="204"/>
      <c r="WXS34" s="204"/>
      <c r="WXT34" s="204"/>
      <c r="WXU34" s="204"/>
      <c r="WXV34" s="204"/>
      <c r="WXW34" s="204"/>
      <c r="WXX34" s="204"/>
      <c r="WXY34" s="204"/>
      <c r="WXZ34" s="204"/>
      <c r="WYA34" s="204"/>
      <c r="WYB34" s="204"/>
      <c r="WYC34" s="204"/>
      <c r="WYD34" s="204"/>
      <c r="WYE34" s="204"/>
      <c r="WYF34" s="204"/>
      <c r="WYG34" s="204"/>
      <c r="WYH34" s="204"/>
      <c r="WYI34" s="204"/>
      <c r="WYJ34" s="204"/>
      <c r="WYK34" s="204"/>
      <c r="WYL34" s="204"/>
      <c r="WYM34" s="204"/>
      <c r="WYN34" s="204"/>
      <c r="WYO34" s="204"/>
      <c r="WYP34" s="204"/>
      <c r="WYQ34" s="204"/>
      <c r="WYR34" s="204"/>
      <c r="WYS34" s="204"/>
      <c r="WYT34" s="204"/>
      <c r="WYU34" s="204"/>
      <c r="WYV34" s="204"/>
      <c r="WYW34" s="204"/>
      <c r="WYX34" s="204"/>
      <c r="WYY34" s="204"/>
      <c r="WYZ34" s="204"/>
      <c r="WZA34" s="204"/>
      <c r="WZB34" s="204"/>
      <c r="WZC34" s="204"/>
      <c r="WZD34" s="204"/>
      <c r="WZE34" s="204"/>
      <c r="WZF34" s="204"/>
      <c r="WZG34" s="204"/>
      <c r="WZH34" s="204"/>
      <c r="WZI34" s="204"/>
      <c r="WZJ34" s="204"/>
      <c r="WZK34" s="204"/>
      <c r="WZL34" s="204"/>
      <c r="WZM34" s="204"/>
      <c r="WZN34" s="204"/>
      <c r="WZO34" s="204"/>
      <c r="WZP34" s="204"/>
      <c r="WZQ34" s="204"/>
      <c r="WZR34" s="204"/>
      <c r="WZS34" s="204"/>
      <c r="WZT34" s="204"/>
      <c r="WZU34" s="204"/>
      <c r="WZV34" s="204"/>
      <c r="WZW34" s="204"/>
      <c r="WZX34" s="204"/>
      <c r="WZY34" s="204"/>
      <c r="WZZ34" s="204"/>
      <c r="XAA34" s="204"/>
      <c r="XAB34" s="204"/>
      <c r="XAC34" s="204"/>
      <c r="XAD34" s="204"/>
      <c r="XAE34" s="204"/>
      <c r="XAF34" s="204"/>
      <c r="XAG34" s="204"/>
      <c r="XAH34" s="204"/>
      <c r="XAI34" s="204"/>
      <c r="XAJ34" s="204"/>
      <c r="XAK34" s="204"/>
      <c r="XAL34" s="204"/>
      <c r="XAM34" s="204"/>
      <c r="XAN34" s="204"/>
      <c r="XAO34" s="204"/>
      <c r="XAP34" s="204"/>
      <c r="XAQ34" s="204"/>
      <c r="XAR34" s="204"/>
      <c r="XAS34" s="204"/>
      <c r="XAT34" s="204"/>
      <c r="XAU34" s="204"/>
      <c r="XAV34" s="204"/>
      <c r="XAW34" s="204"/>
      <c r="XAX34" s="204"/>
      <c r="XAY34" s="204"/>
      <c r="XAZ34" s="204"/>
      <c r="XBA34" s="204"/>
      <c r="XBB34" s="204"/>
      <c r="XBC34" s="204"/>
      <c r="XBD34" s="204"/>
      <c r="XBE34" s="204"/>
      <c r="XBF34" s="204"/>
      <c r="XBG34" s="204"/>
      <c r="XBH34" s="204"/>
      <c r="XBI34" s="204"/>
      <c r="XBJ34" s="204"/>
      <c r="XBK34" s="204"/>
      <c r="XBL34" s="204"/>
      <c r="XBM34" s="204"/>
      <c r="XBN34" s="204"/>
      <c r="XBO34" s="204"/>
      <c r="XBP34" s="204"/>
      <c r="XBQ34" s="204"/>
      <c r="XBR34" s="204"/>
      <c r="XBS34" s="204"/>
      <c r="XBT34" s="204"/>
      <c r="XBU34" s="204"/>
      <c r="XBV34" s="204"/>
      <c r="XBW34" s="204"/>
      <c r="XBX34" s="204"/>
      <c r="XBY34" s="204"/>
      <c r="XBZ34" s="204"/>
      <c r="XCA34" s="204"/>
      <c r="XCB34" s="204"/>
      <c r="XCC34" s="204"/>
      <c r="XCD34" s="204"/>
      <c r="XCE34" s="204"/>
      <c r="XCF34" s="204"/>
      <c r="XCG34" s="204"/>
      <c r="XCH34" s="204"/>
      <c r="XCI34" s="204"/>
      <c r="XCJ34" s="204"/>
      <c r="XCK34" s="204"/>
      <c r="XCL34" s="204"/>
      <c r="XCM34" s="204"/>
      <c r="XCN34" s="204"/>
      <c r="XCO34" s="204"/>
      <c r="XCP34" s="204"/>
      <c r="XCQ34" s="204"/>
      <c r="XCR34" s="204"/>
      <c r="XCS34" s="204"/>
      <c r="XCT34" s="204"/>
      <c r="XCU34" s="204"/>
      <c r="XCV34" s="204"/>
      <c r="XCW34" s="204"/>
      <c r="XCX34" s="204"/>
      <c r="XCY34" s="204"/>
      <c r="XCZ34" s="204"/>
      <c r="XDA34" s="204"/>
      <c r="XDB34" s="204"/>
      <c r="XDC34" s="204"/>
      <c r="XDD34" s="204"/>
      <c r="XDE34" s="204"/>
      <c r="XDF34" s="204"/>
      <c r="XDG34" s="204"/>
      <c r="XDH34" s="204"/>
      <c r="XDI34" s="204"/>
      <c r="XDJ34" s="204"/>
      <c r="XDK34" s="204"/>
      <c r="XDL34" s="204"/>
      <c r="XDM34" s="204"/>
      <c r="XDN34" s="204"/>
      <c r="XDO34" s="204"/>
      <c r="XDP34" s="204"/>
      <c r="XDQ34" s="204"/>
      <c r="XDR34" s="204"/>
      <c r="XDS34" s="204"/>
      <c r="XDT34" s="204"/>
      <c r="XDU34" s="204"/>
      <c r="XDV34" s="204"/>
      <c r="XDW34" s="204"/>
      <c r="XDX34" s="204"/>
      <c r="XDY34" s="204"/>
      <c r="XDZ34" s="204"/>
      <c r="XEA34" s="204"/>
      <c r="XEB34" s="204"/>
      <c r="XEC34" s="204"/>
      <c r="XED34" s="204"/>
      <c r="XEE34" s="204"/>
      <c r="XEF34" s="204"/>
      <c r="XEG34" s="204"/>
      <c r="XEH34" s="204"/>
      <c r="XEI34" s="204"/>
      <c r="XEJ34" s="204"/>
      <c r="XEK34" s="204"/>
      <c r="XEL34" s="204"/>
      <c r="XEM34" s="204"/>
      <c r="XEN34" s="204"/>
      <c r="XEO34" s="204"/>
      <c r="XEP34" s="204"/>
      <c r="XEQ34" s="204"/>
      <c r="XER34" s="204"/>
      <c r="XES34" s="204"/>
      <c r="XET34" s="204"/>
      <c r="XEU34" s="204"/>
      <c r="XEV34" s="204"/>
      <c r="XEW34" s="204"/>
      <c r="XEX34" s="204"/>
      <c r="XEY34" s="204"/>
      <c r="XEZ34" s="204"/>
      <c r="XFA34" s="204"/>
      <c r="XFB34" s="204"/>
      <c r="XFC34" s="204"/>
      <c r="XFD34" s="204"/>
    </row>
    <row r="35" spans="1:16384" s="10" customFormat="1" x14ac:dyDescent="0.2">
      <c r="A35" s="203"/>
      <c r="B35" s="237" t="s">
        <v>2612</v>
      </c>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04"/>
      <c r="CI35" s="204"/>
      <c r="CJ35" s="204"/>
      <c r="CK35" s="204"/>
      <c r="CL35" s="204"/>
      <c r="CM35" s="204"/>
      <c r="CN35" s="204"/>
      <c r="CO35" s="204"/>
      <c r="CP35" s="204"/>
      <c r="CQ35" s="204"/>
      <c r="CR35" s="204"/>
      <c r="CS35" s="204"/>
      <c r="CT35" s="204"/>
      <c r="CU35" s="204"/>
      <c r="CV35" s="204"/>
      <c r="CW35" s="204"/>
      <c r="CX35" s="204"/>
      <c r="CY35" s="204"/>
      <c r="CZ35" s="204"/>
      <c r="DA35" s="204"/>
      <c r="DB35" s="204"/>
      <c r="DC35" s="204"/>
      <c r="DD35" s="204"/>
      <c r="DE35" s="204"/>
      <c r="DF35" s="204"/>
      <c r="DG35" s="204"/>
      <c r="DH35" s="204"/>
      <c r="DI35" s="204"/>
      <c r="DJ35" s="204"/>
      <c r="DK35" s="204"/>
      <c r="DL35" s="204"/>
      <c r="DM35" s="204"/>
      <c r="DN35" s="204"/>
      <c r="DO35" s="204"/>
      <c r="DP35" s="204"/>
      <c r="DQ35" s="204"/>
      <c r="DR35" s="204"/>
      <c r="DS35" s="204"/>
      <c r="DT35" s="204"/>
      <c r="DU35" s="204"/>
      <c r="DV35" s="204"/>
      <c r="DW35" s="204"/>
      <c r="DX35" s="204"/>
      <c r="DY35" s="204"/>
      <c r="DZ35" s="204"/>
      <c r="EA35" s="204"/>
      <c r="EB35" s="204"/>
      <c r="EC35" s="204"/>
      <c r="ED35" s="204"/>
      <c r="EE35" s="204"/>
      <c r="EF35" s="204"/>
      <c r="EG35" s="204"/>
      <c r="EH35" s="204"/>
      <c r="EI35" s="204"/>
      <c r="EJ35" s="204"/>
      <c r="EK35" s="204"/>
      <c r="EL35" s="204"/>
      <c r="EM35" s="204"/>
      <c r="EN35" s="204"/>
      <c r="EO35" s="204"/>
      <c r="EP35" s="204"/>
      <c r="EQ35" s="204"/>
      <c r="ER35" s="204"/>
      <c r="ES35" s="204"/>
      <c r="ET35" s="204"/>
      <c r="EU35" s="204"/>
      <c r="EV35" s="204"/>
      <c r="EW35" s="204"/>
      <c r="EX35" s="204"/>
      <c r="EY35" s="204"/>
      <c r="EZ35" s="204"/>
      <c r="FA35" s="204"/>
      <c r="FB35" s="204"/>
      <c r="FC35" s="204"/>
      <c r="FD35" s="204"/>
      <c r="FE35" s="204"/>
      <c r="FF35" s="204"/>
      <c r="FG35" s="204"/>
      <c r="FH35" s="204"/>
      <c r="FI35" s="204"/>
      <c r="FJ35" s="204"/>
      <c r="FK35" s="204"/>
      <c r="FL35" s="204"/>
      <c r="FM35" s="204"/>
      <c r="FN35" s="204"/>
      <c r="FO35" s="204"/>
      <c r="FP35" s="204"/>
      <c r="FQ35" s="204"/>
      <c r="FR35" s="204"/>
      <c r="FS35" s="204"/>
      <c r="FT35" s="204"/>
      <c r="FU35" s="204"/>
      <c r="FV35" s="204"/>
      <c r="FW35" s="204"/>
      <c r="FX35" s="204"/>
      <c r="FY35" s="204"/>
      <c r="FZ35" s="204"/>
      <c r="GA35" s="204"/>
      <c r="GB35" s="204"/>
      <c r="GC35" s="204"/>
      <c r="GD35" s="204"/>
      <c r="GE35" s="204"/>
      <c r="GF35" s="204"/>
      <c r="GG35" s="204"/>
      <c r="GH35" s="204"/>
      <c r="GI35" s="204"/>
      <c r="GJ35" s="204"/>
      <c r="GK35" s="204"/>
      <c r="GL35" s="204"/>
      <c r="GM35" s="204"/>
      <c r="GN35" s="204"/>
      <c r="GO35" s="204"/>
      <c r="GP35" s="204"/>
      <c r="GQ35" s="204"/>
      <c r="GR35" s="204"/>
      <c r="GS35" s="204"/>
      <c r="GT35" s="204"/>
      <c r="GU35" s="204"/>
      <c r="GV35" s="204"/>
      <c r="GW35" s="204"/>
      <c r="GX35" s="204"/>
      <c r="GY35" s="204"/>
      <c r="GZ35" s="204"/>
      <c r="HA35" s="204"/>
      <c r="HB35" s="204"/>
      <c r="HC35" s="204"/>
      <c r="HD35" s="204"/>
      <c r="HE35" s="204"/>
      <c r="HF35" s="204"/>
      <c r="HG35" s="204"/>
      <c r="HH35" s="204"/>
      <c r="HI35" s="204"/>
      <c r="HJ35" s="204"/>
      <c r="HK35" s="204"/>
      <c r="HL35" s="204"/>
      <c r="HM35" s="204"/>
      <c r="HN35" s="204"/>
      <c r="HO35" s="204"/>
      <c r="HP35" s="204"/>
      <c r="HQ35" s="204"/>
      <c r="HR35" s="204"/>
      <c r="HS35" s="204"/>
      <c r="HT35" s="204"/>
      <c r="HU35" s="204"/>
      <c r="HV35" s="204"/>
      <c r="HW35" s="204"/>
      <c r="HX35" s="204"/>
      <c r="HY35" s="204"/>
      <c r="HZ35" s="204"/>
      <c r="IA35" s="204"/>
      <c r="IB35" s="204"/>
      <c r="IC35" s="204"/>
      <c r="ID35" s="204"/>
      <c r="IE35" s="204"/>
      <c r="IF35" s="204"/>
      <c r="IG35" s="204"/>
      <c r="IH35" s="204"/>
      <c r="II35" s="204"/>
      <c r="IJ35" s="204"/>
      <c r="IK35" s="204"/>
      <c r="IL35" s="204"/>
      <c r="IM35" s="204"/>
      <c r="IN35" s="204"/>
      <c r="IO35" s="204"/>
      <c r="IP35" s="204"/>
      <c r="IQ35" s="204"/>
      <c r="IR35" s="204"/>
      <c r="IS35" s="204"/>
      <c r="IT35" s="204"/>
      <c r="IU35" s="204"/>
      <c r="IV35" s="204"/>
      <c r="IW35" s="204"/>
      <c r="IX35" s="204"/>
      <c r="IY35" s="204"/>
      <c r="IZ35" s="204"/>
      <c r="JA35" s="204"/>
      <c r="JB35" s="204"/>
      <c r="JC35" s="204"/>
      <c r="JD35" s="204"/>
      <c r="JE35" s="204"/>
      <c r="JF35" s="204"/>
      <c r="JG35" s="204"/>
      <c r="JH35" s="204"/>
      <c r="JI35" s="204"/>
      <c r="JJ35" s="204"/>
      <c r="JK35" s="204"/>
      <c r="JL35" s="204"/>
      <c r="JM35" s="204"/>
      <c r="JN35" s="204"/>
      <c r="JO35" s="204"/>
      <c r="JP35" s="204"/>
      <c r="JQ35" s="204"/>
      <c r="JR35" s="204"/>
      <c r="JS35" s="204"/>
      <c r="JT35" s="204"/>
      <c r="JU35" s="204"/>
      <c r="JV35" s="204"/>
      <c r="JW35" s="204"/>
      <c r="JX35" s="204"/>
      <c r="JY35" s="204"/>
      <c r="JZ35" s="204"/>
      <c r="KA35" s="204"/>
      <c r="KB35" s="204"/>
      <c r="KC35" s="204"/>
      <c r="KD35" s="204"/>
      <c r="KE35" s="204"/>
      <c r="KF35" s="204"/>
      <c r="KG35" s="204"/>
      <c r="KH35" s="204"/>
      <c r="KI35" s="204"/>
      <c r="KJ35" s="204"/>
      <c r="KK35" s="204"/>
      <c r="KL35" s="204"/>
      <c r="KM35" s="204"/>
      <c r="KN35" s="204"/>
      <c r="KO35" s="204"/>
      <c r="KP35" s="204"/>
      <c r="KQ35" s="204"/>
      <c r="KR35" s="204"/>
      <c r="KS35" s="204"/>
      <c r="KT35" s="204"/>
      <c r="KU35" s="204"/>
      <c r="KV35" s="204"/>
      <c r="KW35" s="204"/>
      <c r="KX35" s="204"/>
      <c r="KY35" s="204"/>
      <c r="KZ35" s="204"/>
      <c r="LA35" s="204"/>
      <c r="LB35" s="204"/>
      <c r="LC35" s="204"/>
      <c r="LD35" s="204"/>
      <c r="LE35" s="204"/>
      <c r="LF35" s="204"/>
      <c r="LG35" s="204"/>
      <c r="LH35" s="204"/>
      <c r="LI35" s="204"/>
      <c r="LJ35" s="204"/>
      <c r="LK35" s="204"/>
      <c r="LL35" s="204"/>
      <c r="LM35" s="204"/>
      <c r="LN35" s="204"/>
      <c r="LO35" s="204"/>
      <c r="LP35" s="204"/>
      <c r="LQ35" s="204"/>
      <c r="LR35" s="204"/>
      <c r="LS35" s="204"/>
      <c r="LT35" s="204"/>
      <c r="LU35" s="204"/>
      <c r="LV35" s="204"/>
      <c r="LW35" s="204"/>
      <c r="LX35" s="204"/>
      <c r="LY35" s="204"/>
      <c r="LZ35" s="204"/>
      <c r="MA35" s="204"/>
      <c r="MB35" s="204"/>
      <c r="MC35" s="204"/>
      <c r="MD35" s="204"/>
      <c r="ME35" s="204"/>
      <c r="MF35" s="204"/>
      <c r="MG35" s="204"/>
      <c r="MH35" s="204"/>
      <c r="MI35" s="204"/>
      <c r="MJ35" s="204"/>
      <c r="MK35" s="204"/>
      <c r="ML35" s="204"/>
      <c r="MM35" s="204"/>
      <c r="MN35" s="204"/>
      <c r="MO35" s="204"/>
      <c r="MP35" s="204"/>
      <c r="MQ35" s="204"/>
      <c r="MR35" s="204"/>
      <c r="MS35" s="204"/>
      <c r="MT35" s="204"/>
      <c r="MU35" s="204"/>
      <c r="MV35" s="204"/>
      <c r="MW35" s="204"/>
      <c r="MX35" s="204"/>
      <c r="MY35" s="204"/>
      <c r="MZ35" s="204"/>
      <c r="NA35" s="204"/>
      <c r="NB35" s="204"/>
      <c r="NC35" s="204"/>
      <c r="ND35" s="204"/>
      <c r="NE35" s="204"/>
      <c r="NF35" s="204"/>
      <c r="NG35" s="204"/>
      <c r="NH35" s="204"/>
      <c r="NI35" s="204"/>
      <c r="NJ35" s="204"/>
      <c r="NK35" s="204"/>
      <c r="NL35" s="204"/>
      <c r="NM35" s="204"/>
      <c r="NN35" s="204"/>
      <c r="NO35" s="204"/>
      <c r="NP35" s="204"/>
      <c r="NQ35" s="204"/>
      <c r="NR35" s="204"/>
      <c r="NS35" s="204"/>
      <c r="NT35" s="204"/>
      <c r="NU35" s="204"/>
      <c r="NV35" s="204"/>
      <c r="NW35" s="204"/>
      <c r="NX35" s="204"/>
      <c r="NY35" s="204"/>
      <c r="NZ35" s="204"/>
      <c r="OA35" s="204"/>
      <c r="OB35" s="204"/>
      <c r="OC35" s="204"/>
      <c r="OD35" s="204"/>
      <c r="OE35" s="204"/>
      <c r="OF35" s="204"/>
      <c r="OG35" s="204"/>
      <c r="OH35" s="204"/>
      <c r="OI35" s="204"/>
      <c r="OJ35" s="204"/>
      <c r="OK35" s="204"/>
      <c r="OL35" s="204"/>
      <c r="OM35" s="204"/>
      <c r="ON35" s="204"/>
      <c r="OO35" s="204"/>
      <c r="OP35" s="204"/>
      <c r="OQ35" s="204"/>
      <c r="OR35" s="204"/>
      <c r="OS35" s="204"/>
      <c r="OT35" s="204"/>
      <c r="OU35" s="204"/>
      <c r="OV35" s="204"/>
      <c r="OW35" s="204"/>
      <c r="OX35" s="204"/>
      <c r="OY35" s="204"/>
      <c r="OZ35" s="204"/>
      <c r="PA35" s="204"/>
      <c r="PB35" s="204"/>
      <c r="PC35" s="204"/>
      <c r="PD35" s="204"/>
      <c r="PE35" s="204"/>
      <c r="PF35" s="204"/>
      <c r="PG35" s="204"/>
      <c r="PH35" s="204"/>
      <c r="PI35" s="204"/>
      <c r="PJ35" s="204"/>
      <c r="PK35" s="204"/>
      <c r="PL35" s="204"/>
      <c r="PM35" s="204"/>
      <c r="PN35" s="204"/>
      <c r="PO35" s="204"/>
      <c r="PP35" s="204"/>
      <c r="PQ35" s="204"/>
      <c r="PR35" s="204"/>
      <c r="PS35" s="204"/>
      <c r="PT35" s="204"/>
      <c r="PU35" s="204"/>
      <c r="PV35" s="204"/>
      <c r="PW35" s="204"/>
      <c r="PX35" s="204"/>
      <c r="PY35" s="204"/>
      <c r="PZ35" s="204"/>
      <c r="QA35" s="204"/>
      <c r="QB35" s="204"/>
      <c r="QC35" s="204"/>
      <c r="QD35" s="204"/>
      <c r="QE35" s="204"/>
      <c r="QF35" s="204"/>
      <c r="QG35" s="204"/>
      <c r="QH35" s="204"/>
      <c r="QI35" s="204"/>
      <c r="QJ35" s="204"/>
      <c r="QK35" s="204"/>
      <c r="QL35" s="204"/>
      <c r="QM35" s="204"/>
      <c r="QN35" s="204"/>
      <c r="QO35" s="204"/>
      <c r="QP35" s="204"/>
      <c r="QQ35" s="204"/>
      <c r="QR35" s="204"/>
      <c r="QS35" s="204"/>
      <c r="QT35" s="204"/>
      <c r="QU35" s="204"/>
      <c r="QV35" s="204"/>
      <c r="QW35" s="204"/>
      <c r="QX35" s="204"/>
      <c r="QY35" s="204"/>
      <c r="QZ35" s="204"/>
      <c r="RA35" s="204"/>
      <c r="RB35" s="204"/>
      <c r="RC35" s="204"/>
      <c r="RD35" s="204"/>
      <c r="RE35" s="204"/>
      <c r="RF35" s="204"/>
      <c r="RG35" s="204"/>
      <c r="RH35" s="204"/>
      <c r="RI35" s="204"/>
      <c r="RJ35" s="204"/>
      <c r="RK35" s="204"/>
      <c r="RL35" s="204"/>
      <c r="RM35" s="204"/>
      <c r="RN35" s="204"/>
      <c r="RO35" s="204"/>
      <c r="RP35" s="204"/>
      <c r="RQ35" s="204"/>
      <c r="RR35" s="204"/>
      <c r="RS35" s="204"/>
      <c r="RT35" s="204"/>
      <c r="RU35" s="204"/>
      <c r="RV35" s="204"/>
      <c r="RW35" s="204"/>
      <c r="RX35" s="204"/>
      <c r="RY35" s="204"/>
      <c r="RZ35" s="204"/>
      <c r="SA35" s="204"/>
      <c r="SB35" s="204"/>
      <c r="SC35" s="204"/>
      <c r="SD35" s="204"/>
      <c r="SE35" s="204"/>
      <c r="SF35" s="204"/>
      <c r="SG35" s="204"/>
      <c r="SH35" s="204"/>
      <c r="SI35" s="204"/>
      <c r="SJ35" s="204"/>
      <c r="SK35" s="204"/>
      <c r="SL35" s="204"/>
      <c r="SM35" s="204"/>
      <c r="SN35" s="204"/>
      <c r="SO35" s="204"/>
      <c r="SP35" s="204"/>
      <c r="SQ35" s="204"/>
      <c r="SR35" s="204"/>
      <c r="SS35" s="204"/>
      <c r="ST35" s="204"/>
      <c r="SU35" s="204"/>
      <c r="SV35" s="204"/>
      <c r="SW35" s="204"/>
      <c r="SX35" s="204"/>
      <c r="SY35" s="204"/>
      <c r="SZ35" s="204"/>
      <c r="TA35" s="204"/>
      <c r="TB35" s="204"/>
      <c r="TC35" s="204"/>
      <c r="TD35" s="204"/>
      <c r="TE35" s="204"/>
      <c r="TF35" s="204"/>
      <c r="TG35" s="204"/>
      <c r="TH35" s="204"/>
      <c r="TI35" s="204"/>
      <c r="TJ35" s="204"/>
      <c r="TK35" s="204"/>
      <c r="TL35" s="204"/>
      <c r="TM35" s="204"/>
      <c r="TN35" s="204"/>
      <c r="TO35" s="204"/>
      <c r="TP35" s="204"/>
      <c r="TQ35" s="204"/>
      <c r="TR35" s="204"/>
      <c r="TS35" s="204"/>
      <c r="TT35" s="204"/>
      <c r="TU35" s="204"/>
      <c r="TV35" s="204"/>
      <c r="TW35" s="204"/>
      <c r="TX35" s="204"/>
      <c r="TY35" s="204"/>
      <c r="TZ35" s="204"/>
      <c r="UA35" s="204"/>
      <c r="UB35" s="204"/>
      <c r="UC35" s="204"/>
      <c r="UD35" s="204"/>
      <c r="UE35" s="204"/>
      <c r="UF35" s="204"/>
      <c r="UG35" s="204"/>
      <c r="UH35" s="204"/>
      <c r="UI35" s="204"/>
      <c r="UJ35" s="204"/>
      <c r="UK35" s="204"/>
      <c r="UL35" s="204"/>
      <c r="UM35" s="204"/>
      <c r="UN35" s="204"/>
      <c r="UO35" s="204"/>
      <c r="UP35" s="204"/>
      <c r="UQ35" s="204"/>
      <c r="UR35" s="204"/>
      <c r="US35" s="204"/>
      <c r="UT35" s="204"/>
      <c r="UU35" s="204"/>
      <c r="UV35" s="204"/>
      <c r="UW35" s="204"/>
      <c r="UX35" s="204"/>
      <c r="UY35" s="204"/>
      <c r="UZ35" s="204"/>
      <c r="VA35" s="204"/>
      <c r="VB35" s="204"/>
      <c r="VC35" s="204"/>
      <c r="VD35" s="204"/>
      <c r="VE35" s="204"/>
      <c r="VF35" s="204"/>
      <c r="VG35" s="204"/>
      <c r="VH35" s="204"/>
      <c r="VI35" s="204"/>
      <c r="VJ35" s="204"/>
      <c r="VK35" s="204"/>
      <c r="VL35" s="204"/>
      <c r="VM35" s="204"/>
      <c r="VN35" s="204"/>
      <c r="VO35" s="204"/>
      <c r="VP35" s="204"/>
      <c r="VQ35" s="204"/>
      <c r="VR35" s="204"/>
      <c r="VS35" s="204"/>
      <c r="VT35" s="204"/>
      <c r="VU35" s="204"/>
      <c r="VV35" s="204"/>
      <c r="VW35" s="204"/>
      <c r="VX35" s="204"/>
      <c r="VY35" s="204"/>
      <c r="VZ35" s="204"/>
      <c r="WA35" s="204"/>
      <c r="WB35" s="204"/>
      <c r="WC35" s="204"/>
      <c r="WD35" s="204"/>
      <c r="WE35" s="204"/>
      <c r="WF35" s="204"/>
      <c r="WG35" s="204"/>
      <c r="WH35" s="204"/>
      <c r="WI35" s="204"/>
      <c r="WJ35" s="204"/>
      <c r="WK35" s="204"/>
      <c r="WL35" s="204"/>
      <c r="WM35" s="204"/>
      <c r="WN35" s="204"/>
      <c r="WO35" s="204"/>
      <c r="WP35" s="204"/>
      <c r="WQ35" s="204"/>
      <c r="WR35" s="204"/>
      <c r="WS35" s="204"/>
      <c r="WT35" s="204"/>
      <c r="WU35" s="204"/>
      <c r="WV35" s="204"/>
      <c r="WW35" s="204"/>
      <c r="WX35" s="204"/>
      <c r="WY35" s="204"/>
      <c r="WZ35" s="204"/>
      <c r="XA35" s="204"/>
      <c r="XB35" s="204"/>
      <c r="XC35" s="204"/>
      <c r="XD35" s="204"/>
      <c r="XE35" s="204"/>
      <c r="XF35" s="204"/>
      <c r="XG35" s="204"/>
      <c r="XH35" s="204"/>
      <c r="XI35" s="204"/>
      <c r="XJ35" s="204"/>
      <c r="XK35" s="204"/>
      <c r="XL35" s="204"/>
      <c r="XM35" s="204"/>
      <c r="XN35" s="204"/>
      <c r="XO35" s="204"/>
      <c r="XP35" s="204"/>
      <c r="XQ35" s="204"/>
      <c r="XR35" s="204"/>
      <c r="XS35" s="204"/>
      <c r="XT35" s="204"/>
      <c r="XU35" s="204"/>
      <c r="XV35" s="204"/>
      <c r="XW35" s="204"/>
      <c r="XX35" s="204"/>
      <c r="XY35" s="204"/>
      <c r="XZ35" s="204"/>
      <c r="YA35" s="204"/>
      <c r="YB35" s="204"/>
      <c r="YC35" s="204"/>
      <c r="YD35" s="204"/>
      <c r="YE35" s="204"/>
      <c r="YF35" s="204"/>
      <c r="YG35" s="204"/>
      <c r="YH35" s="204"/>
      <c r="YI35" s="204"/>
      <c r="YJ35" s="204"/>
      <c r="YK35" s="204"/>
      <c r="YL35" s="204"/>
      <c r="YM35" s="204"/>
      <c r="YN35" s="204"/>
      <c r="YO35" s="204"/>
      <c r="YP35" s="204"/>
      <c r="YQ35" s="204"/>
      <c r="YR35" s="204"/>
      <c r="YS35" s="204"/>
      <c r="YT35" s="204"/>
      <c r="YU35" s="204"/>
      <c r="YV35" s="204"/>
      <c r="YW35" s="204"/>
      <c r="YX35" s="204"/>
      <c r="YY35" s="204"/>
      <c r="YZ35" s="204"/>
      <c r="ZA35" s="204"/>
      <c r="ZB35" s="204"/>
      <c r="ZC35" s="204"/>
      <c r="ZD35" s="204"/>
      <c r="ZE35" s="204"/>
      <c r="ZF35" s="204"/>
      <c r="ZG35" s="204"/>
      <c r="ZH35" s="204"/>
      <c r="ZI35" s="204"/>
      <c r="ZJ35" s="204"/>
      <c r="ZK35" s="204"/>
      <c r="ZL35" s="204"/>
      <c r="ZM35" s="204"/>
      <c r="ZN35" s="204"/>
      <c r="ZO35" s="204"/>
      <c r="ZP35" s="204"/>
      <c r="ZQ35" s="204"/>
      <c r="ZR35" s="204"/>
      <c r="ZS35" s="204"/>
      <c r="ZT35" s="204"/>
      <c r="ZU35" s="204"/>
      <c r="ZV35" s="204"/>
      <c r="ZW35" s="204"/>
      <c r="ZX35" s="204"/>
      <c r="ZY35" s="204"/>
      <c r="ZZ35" s="204"/>
      <c r="AAA35" s="204"/>
      <c r="AAB35" s="204"/>
      <c r="AAC35" s="204"/>
      <c r="AAD35" s="204"/>
      <c r="AAE35" s="204"/>
      <c r="AAF35" s="204"/>
      <c r="AAG35" s="204"/>
      <c r="AAH35" s="204"/>
      <c r="AAI35" s="204"/>
      <c r="AAJ35" s="204"/>
      <c r="AAK35" s="204"/>
      <c r="AAL35" s="204"/>
      <c r="AAM35" s="204"/>
      <c r="AAN35" s="204"/>
      <c r="AAO35" s="204"/>
      <c r="AAP35" s="204"/>
      <c r="AAQ35" s="204"/>
      <c r="AAR35" s="204"/>
      <c r="AAS35" s="204"/>
      <c r="AAT35" s="204"/>
      <c r="AAU35" s="204"/>
      <c r="AAV35" s="204"/>
      <c r="AAW35" s="204"/>
      <c r="AAX35" s="204"/>
      <c r="AAY35" s="204"/>
      <c r="AAZ35" s="204"/>
      <c r="ABA35" s="204"/>
      <c r="ABB35" s="204"/>
      <c r="ABC35" s="204"/>
      <c r="ABD35" s="204"/>
      <c r="ABE35" s="204"/>
      <c r="ABF35" s="204"/>
      <c r="ABG35" s="204"/>
      <c r="ABH35" s="204"/>
      <c r="ABI35" s="204"/>
      <c r="ABJ35" s="204"/>
      <c r="ABK35" s="204"/>
      <c r="ABL35" s="204"/>
      <c r="ABM35" s="204"/>
      <c r="ABN35" s="204"/>
      <c r="ABO35" s="204"/>
      <c r="ABP35" s="204"/>
      <c r="ABQ35" s="204"/>
      <c r="ABR35" s="204"/>
      <c r="ABS35" s="204"/>
      <c r="ABT35" s="204"/>
      <c r="ABU35" s="204"/>
      <c r="ABV35" s="204"/>
      <c r="ABW35" s="204"/>
      <c r="ABX35" s="204"/>
      <c r="ABY35" s="204"/>
      <c r="ABZ35" s="204"/>
      <c r="ACA35" s="204"/>
      <c r="ACB35" s="204"/>
      <c r="ACC35" s="204"/>
      <c r="ACD35" s="204"/>
      <c r="ACE35" s="204"/>
      <c r="ACF35" s="204"/>
      <c r="ACG35" s="204"/>
      <c r="ACH35" s="204"/>
      <c r="ACI35" s="204"/>
      <c r="ACJ35" s="204"/>
      <c r="ACK35" s="204"/>
      <c r="ACL35" s="204"/>
      <c r="ACM35" s="204"/>
      <c r="ACN35" s="204"/>
      <c r="ACO35" s="204"/>
      <c r="ACP35" s="204"/>
      <c r="ACQ35" s="204"/>
      <c r="ACR35" s="204"/>
      <c r="ACS35" s="204"/>
      <c r="ACT35" s="204"/>
      <c r="ACU35" s="204"/>
      <c r="ACV35" s="204"/>
      <c r="ACW35" s="204"/>
      <c r="ACX35" s="204"/>
      <c r="ACY35" s="204"/>
      <c r="ACZ35" s="204"/>
      <c r="ADA35" s="204"/>
      <c r="ADB35" s="204"/>
      <c r="ADC35" s="204"/>
      <c r="ADD35" s="204"/>
      <c r="ADE35" s="204"/>
      <c r="ADF35" s="204"/>
      <c r="ADG35" s="204"/>
      <c r="ADH35" s="204"/>
      <c r="ADI35" s="204"/>
      <c r="ADJ35" s="204"/>
      <c r="ADK35" s="204"/>
      <c r="ADL35" s="204"/>
      <c r="ADM35" s="204"/>
      <c r="ADN35" s="204"/>
      <c r="ADO35" s="204"/>
      <c r="ADP35" s="204"/>
      <c r="ADQ35" s="204"/>
      <c r="ADR35" s="204"/>
      <c r="ADS35" s="204"/>
      <c r="ADT35" s="204"/>
      <c r="ADU35" s="204"/>
      <c r="ADV35" s="204"/>
      <c r="ADW35" s="204"/>
      <c r="ADX35" s="204"/>
      <c r="ADY35" s="204"/>
      <c r="ADZ35" s="204"/>
      <c r="AEA35" s="204"/>
      <c r="AEB35" s="204"/>
      <c r="AEC35" s="204"/>
      <c r="AED35" s="204"/>
      <c r="AEE35" s="204"/>
      <c r="AEF35" s="204"/>
      <c r="AEG35" s="204"/>
      <c r="AEH35" s="204"/>
      <c r="AEI35" s="204"/>
      <c r="AEJ35" s="204"/>
      <c r="AEK35" s="204"/>
      <c r="AEL35" s="204"/>
      <c r="AEM35" s="204"/>
      <c r="AEN35" s="204"/>
      <c r="AEO35" s="204"/>
      <c r="AEP35" s="204"/>
      <c r="AEQ35" s="204"/>
      <c r="AER35" s="204"/>
      <c r="AES35" s="204"/>
      <c r="AET35" s="204"/>
      <c r="AEU35" s="204"/>
      <c r="AEV35" s="204"/>
      <c r="AEW35" s="204"/>
      <c r="AEX35" s="204"/>
      <c r="AEY35" s="204"/>
      <c r="AEZ35" s="204"/>
      <c r="AFA35" s="204"/>
      <c r="AFB35" s="204"/>
      <c r="AFC35" s="204"/>
      <c r="AFD35" s="204"/>
      <c r="AFE35" s="204"/>
      <c r="AFF35" s="204"/>
      <c r="AFG35" s="204"/>
      <c r="AFH35" s="204"/>
      <c r="AFI35" s="204"/>
      <c r="AFJ35" s="204"/>
      <c r="AFK35" s="204"/>
      <c r="AFL35" s="204"/>
      <c r="AFM35" s="204"/>
      <c r="AFN35" s="204"/>
      <c r="AFO35" s="204"/>
      <c r="AFP35" s="204"/>
      <c r="AFQ35" s="204"/>
      <c r="AFR35" s="204"/>
      <c r="AFS35" s="204"/>
      <c r="AFT35" s="204"/>
      <c r="AFU35" s="204"/>
      <c r="AFV35" s="204"/>
      <c r="AFW35" s="204"/>
      <c r="AFX35" s="204"/>
      <c r="AFY35" s="204"/>
      <c r="AFZ35" s="204"/>
      <c r="AGA35" s="204"/>
      <c r="AGB35" s="204"/>
      <c r="AGC35" s="204"/>
      <c r="AGD35" s="204"/>
      <c r="AGE35" s="204"/>
      <c r="AGF35" s="204"/>
      <c r="AGG35" s="204"/>
      <c r="AGH35" s="204"/>
      <c r="AGI35" s="204"/>
      <c r="AGJ35" s="204"/>
      <c r="AGK35" s="204"/>
      <c r="AGL35" s="204"/>
      <c r="AGM35" s="204"/>
      <c r="AGN35" s="204"/>
      <c r="AGO35" s="204"/>
      <c r="AGP35" s="204"/>
      <c r="AGQ35" s="204"/>
      <c r="AGR35" s="204"/>
      <c r="AGS35" s="204"/>
      <c r="AGT35" s="204"/>
      <c r="AGU35" s="204"/>
      <c r="AGV35" s="204"/>
      <c r="AGW35" s="204"/>
      <c r="AGX35" s="204"/>
      <c r="AGY35" s="204"/>
      <c r="AGZ35" s="204"/>
      <c r="AHA35" s="204"/>
      <c r="AHB35" s="204"/>
      <c r="AHC35" s="204"/>
      <c r="AHD35" s="204"/>
      <c r="AHE35" s="204"/>
      <c r="AHF35" s="204"/>
      <c r="AHG35" s="204"/>
      <c r="AHH35" s="204"/>
      <c r="AHI35" s="204"/>
      <c r="AHJ35" s="204"/>
      <c r="AHK35" s="204"/>
      <c r="AHL35" s="204"/>
      <c r="AHM35" s="204"/>
      <c r="AHN35" s="204"/>
      <c r="AHO35" s="204"/>
      <c r="AHP35" s="204"/>
      <c r="AHQ35" s="204"/>
      <c r="AHR35" s="204"/>
      <c r="AHS35" s="204"/>
      <c r="AHT35" s="204"/>
      <c r="AHU35" s="204"/>
      <c r="AHV35" s="204"/>
      <c r="AHW35" s="204"/>
      <c r="AHX35" s="204"/>
      <c r="AHY35" s="204"/>
      <c r="AHZ35" s="204"/>
      <c r="AIA35" s="204"/>
      <c r="AIB35" s="204"/>
      <c r="AIC35" s="204"/>
      <c r="AID35" s="204"/>
      <c r="AIE35" s="204"/>
      <c r="AIF35" s="204"/>
      <c r="AIG35" s="204"/>
      <c r="AIH35" s="204"/>
      <c r="AII35" s="204"/>
      <c r="AIJ35" s="204"/>
      <c r="AIK35" s="204"/>
      <c r="AIL35" s="204"/>
      <c r="AIM35" s="204"/>
      <c r="AIN35" s="204"/>
      <c r="AIO35" s="204"/>
      <c r="AIP35" s="204"/>
      <c r="AIQ35" s="204"/>
      <c r="AIR35" s="204"/>
      <c r="AIS35" s="204"/>
      <c r="AIT35" s="204"/>
      <c r="AIU35" s="204"/>
      <c r="AIV35" s="204"/>
      <c r="AIW35" s="204"/>
      <c r="AIX35" s="204"/>
      <c r="AIY35" s="204"/>
      <c r="AIZ35" s="204"/>
      <c r="AJA35" s="204"/>
      <c r="AJB35" s="204"/>
      <c r="AJC35" s="204"/>
      <c r="AJD35" s="204"/>
      <c r="AJE35" s="204"/>
      <c r="AJF35" s="204"/>
      <c r="AJG35" s="204"/>
      <c r="AJH35" s="204"/>
      <c r="AJI35" s="204"/>
      <c r="AJJ35" s="204"/>
      <c r="AJK35" s="204"/>
      <c r="AJL35" s="204"/>
      <c r="AJM35" s="204"/>
      <c r="AJN35" s="204"/>
      <c r="AJO35" s="204"/>
      <c r="AJP35" s="204"/>
      <c r="AJQ35" s="204"/>
      <c r="AJR35" s="204"/>
      <c r="AJS35" s="204"/>
      <c r="AJT35" s="204"/>
      <c r="AJU35" s="204"/>
      <c r="AJV35" s="204"/>
      <c r="AJW35" s="204"/>
      <c r="AJX35" s="204"/>
      <c r="AJY35" s="204"/>
      <c r="AJZ35" s="204"/>
      <c r="AKA35" s="204"/>
      <c r="AKB35" s="204"/>
      <c r="AKC35" s="204"/>
      <c r="AKD35" s="204"/>
      <c r="AKE35" s="204"/>
      <c r="AKF35" s="204"/>
      <c r="AKG35" s="204"/>
      <c r="AKH35" s="204"/>
      <c r="AKI35" s="204"/>
      <c r="AKJ35" s="204"/>
      <c r="AKK35" s="204"/>
      <c r="AKL35" s="204"/>
      <c r="AKM35" s="204"/>
      <c r="AKN35" s="204"/>
      <c r="AKO35" s="204"/>
      <c r="AKP35" s="204"/>
      <c r="AKQ35" s="204"/>
      <c r="AKR35" s="204"/>
      <c r="AKS35" s="204"/>
      <c r="AKT35" s="204"/>
      <c r="AKU35" s="204"/>
      <c r="AKV35" s="204"/>
      <c r="AKW35" s="204"/>
      <c r="AKX35" s="204"/>
      <c r="AKY35" s="204"/>
      <c r="AKZ35" s="204"/>
      <c r="ALA35" s="204"/>
      <c r="ALB35" s="204"/>
      <c r="ALC35" s="204"/>
      <c r="ALD35" s="204"/>
      <c r="ALE35" s="204"/>
      <c r="ALF35" s="204"/>
      <c r="ALG35" s="204"/>
      <c r="ALH35" s="204"/>
      <c r="ALI35" s="204"/>
      <c r="ALJ35" s="204"/>
      <c r="ALK35" s="204"/>
      <c r="ALL35" s="204"/>
      <c r="ALM35" s="204"/>
      <c r="ALN35" s="204"/>
      <c r="ALO35" s="204"/>
      <c r="ALP35" s="204"/>
      <c r="ALQ35" s="204"/>
      <c r="ALR35" s="204"/>
      <c r="ALS35" s="204"/>
      <c r="ALT35" s="204"/>
      <c r="ALU35" s="204"/>
      <c r="ALV35" s="204"/>
      <c r="ALW35" s="204"/>
      <c r="ALX35" s="204"/>
      <c r="ALY35" s="204"/>
      <c r="ALZ35" s="204"/>
      <c r="AMA35" s="204"/>
      <c r="AMB35" s="204"/>
      <c r="AMC35" s="204"/>
      <c r="AMD35" s="204"/>
      <c r="AME35" s="204"/>
      <c r="AMF35" s="204"/>
      <c r="AMG35" s="204"/>
      <c r="AMH35" s="204"/>
      <c r="AMI35" s="204"/>
      <c r="AMJ35" s="204"/>
      <c r="AMK35" s="204"/>
      <c r="AML35" s="204"/>
      <c r="AMM35" s="204"/>
      <c r="AMN35" s="204"/>
      <c r="AMO35" s="204"/>
      <c r="AMP35" s="204"/>
      <c r="AMQ35" s="204"/>
      <c r="AMR35" s="204"/>
      <c r="AMS35" s="204"/>
      <c r="AMT35" s="204"/>
      <c r="AMU35" s="204"/>
      <c r="AMV35" s="204"/>
      <c r="AMW35" s="204"/>
      <c r="AMX35" s="204"/>
      <c r="AMY35" s="204"/>
      <c r="AMZ35" s="204"/>
      <c r="ANA35" s="204"/>
      <c r="ANB35" s="204"/>
      <c r="ANC35" s="204"/>
      <c r="AND35" s="204"/>
      <c r="ANE35" s="204"/>
      <c r="ANF35" s="204"/>
      <c r="ANG35" s="204"/>
      <c r="ANH35" s="204"/>
      <c r="ANI35" s="204"/>
      <c r="ANJ35" s="204"/>
      <c r="ANK35" s="204"/>
      <c r="ANL35" s="204"/>
      <c r="ANM35" s="204"/>
      <c r="ANN35" s="204"/>
      <c r="ANO35" s="204"/>
      <c r="ANP35" s="204"/>
      <c r="ANQ35" s="204"/>
      <c r="ANR35" s="204"/>
      <c r="ANS35" s="204"/>
      <c r="ANT35" s="204"/>
      <c r="ANU35" s="204"/>
      <c r="ANV35" s="204"/>
      <c r="ANW35" s="204"/>
      <c r="ANX35" s="204"/>
      <c r="ANY35" s="204"/>
      <c r="ANZ35" s="204"/>
      <c r="AOA35" s="204"/>
      <c r="AOB35" s="204"/>
      <c r="AOC35" s="204"/>
      <c r="AOD35" s="204"/>
      <c r="AOE35" s="204"/>
      <c r="AOF35" s="204"/>
      <c r="AOG35" s="204"/>
      <c r="AOH35" s="204"/>
      <c r="AOI35" s="204"/>
      <c r="AOJ35" s="204"/>
      <c r="AOK35" s="204"/>
      <c r="AOL35" s="204"/>
      <c r="AOM35" s="204"/>
      <c r="AON35" s="204"/>
      <c r="AOO35" s="204"/>
      <c r="AOP35" s="204"/>
      <c r="AOQ35" s="204"/>
      <c r="AOR35" s="204"/>
      <c r="AOS35" s="204"/>
      <c r="AOT35" s="204"/>
      <c r="AOU35" s="204"/>
      <c r="AOV35" s="204"/>
      <c r="AOW35" s="204"/>
      <c r="AOX35" s="204"/>
      <c r="AOY35" s="204"/>
      <c r="AOZ35" s="204"/>
      <c r="APA35" s="204"/>
      <c r="APB35" s="204"/>
      <c r="APC35" s="204"/>
      <c r="APD35" s="204"/>
      <c r="APE35" s="204"/>
      <c r="APF35" s="204"/>
      <c r="APG35" s="204"/>
      <c r="APH35" s="204"/>
      <c r="API35" s="204"/>
      <c r="APJ35" s="204"/>
      <c r="APK35" s="204"/>
      <c r="APL35" s="204"/>
      <c r="APM35" s="204"/>
      <c r="APN35" s="204"/>
      <c r="APO35" s="204"/>
      <c r="APP35" s="204"/>
      <c r="APQ35" s="204"/>
      <c r="APR35" s="204"/>
      <c r="APS35" s="204"/>
      <c r="APT35" s="204"/>
      <c r="APU35" s="204"/>
      <c r="APV35" s="204"/>
      <c r="APW35" s="204"/>
      <c r="APX35" s="204"/>
      <c r="APY35" s="204"/>
      <c r="APZ35" s="204"/>
      <c r="AQA35" s="204"/>
      <c r="AQB35" s="204"/>
      <c r="AQC35" s="204"/>
      <c r="AQD35" s="204"/>
      <c r="AQE35" s="204"/>
      <c r="AQF35" s="204"/>
      <c r="AQG35" s="204"/>
      <c r="AQH35" s="204"/>
      <c r="AQI35" s="204"/>
      <c r="AQJ35" s="204"/>
      <c r="AQK35" s="204"/>
      <c r="AQL35" s="204"/>
      <c r="AQM35" s="204"/>
      <c r="AQN35" s="204"/>
      <c r="AQO35" s="204"/>
      <c r="AQP35" s="204"/>
      <c r="AQQ35" s="204"/>
      <c r="AQR35" s="204"/>
      <c r="AQS35" s="204"/>
      <c r="AQT35" s="204"/>
      <c r="AQU35" s="204"/>
      <c r="AQV35" s="204"/>
      <c r="AQW35" s="204"/>
      <c r="AQX35" s="204"/>
      <c r="AQY35" s="204"/>
      <c r="AQZ35" s="204"/>
      <c r="ARA35" s="204"/>
      <c r="ARB35" s="204"/>
      <c r="ARC35" s="204"/>
      <c r="ARD35" s="204"/>
      <c r="ARE35" s="204"/>
      <c r="ARF35" s="204"/>
      <c r="ARG35" s="204"/>
      <c r="ARH35" s="204"/>
      <c r="ARI35" s="204"/>
      <c r="ARJ35" s="204"/>
      <c r="ARK35" s="204"/>
      <c r="ARL35" s="204"/>
      <c r="ARM35" s="204"/>
      <c r="ARN35" s="204"/>
      <c r="ARO35" s="204"/>
      <c r="ARP35" s="204"/>
      <c r="ARQ35" s="204"/>
      <c r="ARR35" s="204"/>
      <c r="ARS35" s="204"/>
      <c r="ART35" s="204"/>
      <c r="ARU35" s="204"/>
      <c r="ARV35" s="204"/>
      <c r="ARW35" s="204"/>
      <c r="ARX35" s="204"/>
      <c r="ARY35" s="204"/>
      <c r="ARZ35" s="204"/>
      <c r="ASA35" s="204"/>
      <c r="ASB35" s="204"/>
      <c r="ASC35" s="204"/>
      <c r="ASD35" s="204"/>
      <c r="ASE35" s="204"/>
      <c r="ASF35" s="204"/>
      <c r="ASG35" s="204"/>
      <c r="ASH35" s="204"/>
      <c r="ASI35" s="204"/>
      <c r="ASJ35" s="204"/>
      <c r="ASK35" s="204"/>
      <c r="ASL35" s="204"/>
      <c r="ASM35" s="204"/>
      <c r="ASN35" s="204"/>
      <c r="ASO35" s="204"/>
      <c r="ASP35" s="204"/>
      <c r="ASQ35" s="204"/>
      <c r="ASR35" s="204"/>
      <c r="ASS35" s="204"/>
      <c r="AST35" s="204"/>
      <c r="ASU35" s="204"/>
      <c r="ASV35" s="204"/>
      <c r="ASW35" s="204"/>
      <c r="ASX35" s="204"/>
      <c r="ASY35" s="204"/>
      <c r="ASZ35" s="204"/>
      <c r="ATA35" s="204"/>
      <c r="ATB35" s="204"/>
      <c r="ATC35" s="204"/>
      <c r="ATD35" s="204"/>
      <c r="ATE35" s="204"/>
      <c r="ATF35" s="204"/>
      <c r="ATG35" s="204"/>
      <c r="ATH35" s="204"/>
      <c r="ATI35" s="204"/>
      <c r="ATJ35" s="204"/>
      <c r="ATK35" s="204"/>
      <c r="ATL35" s="204"/>
      <c r="ATM35" s="204"/>
      <c r="ATN35" s="204"/>
      <c r="ATO35" s="204"/>
      <c r="ATP35" s="204"/>
      <c r="ATQ35" s="204"/>
      <c r="ATR35" s="204"/>
      <c r="ATS35" s="204"/>
      <c r="ATT35" s="204"/>
      <c r="ATU35" s="204"/>
      <c r="ATV35" s="204"/>
      <c r="ATW35" s="204"/>
      <c r="ATX35" s="204"/>
      <c r="ATY35" s="204"/>
      <c r="ATZ35" s="204"/>
      <c r="AUA35" s="204"/>
      <c r="AUB35" s="204"/>
      <c r="AUC35" s="204"/>
      <c r="AUD35" s="204"/>
      <c r="AUE35" s="204"/>
      <c r="AUF35" s="204"/>
      <c r="AUG35" s="204"/>
      <c r="AUH35" s="204"/>
      <c r="AUI35" s="204"/>
      <c r="AUJ35" s="204"/>
      <c r="AUK35" s="204"/>
      <c r="AUL35" s="204"/>
      <c r="AUM35" s="204"/>
      <c r="AUN35" s="204"/>
      <c r="AUO35" s="204"/>
      <c r="AUP35" s="204"/>
      <c r="AUQ35" s="204"/>
      <c r="AUR35" s="204"/>
      <c r="AUS35" s="204"/>
      <c r="AUT35" s="204"/>
      <c r="AUU35" s="204"/>
      <c r="AUV35" s="204"/>
      <c r="AUW35" s="204"/>
      <c r="AUX35" s="204"/>
      <c r="AUY35" s="204"/>
      <c r="AUZ35" s="204"/>
      <c r="AVA35" s="204"/>
      <c r="AVB35" s="204"/>
      <c r="AVC35" s="204"/>
      <c r="AVD35" s="204"/>
      <c r="AVE35" s="204"/>
      <c r="AVF35" s="204"/>
      <c r="AVG35" s="204"/>
      <c r="AVH35" s="204"/>
      <c r="AVI35" s="204"/>
      <c r="AVJ35" s="204"/>
      <c r="AVK35" s="204"/>
      <c r="AVL35" s="204"/>
      <c r="AVM35" s="204"/>
      <c r="AVN35" s="204"/>
      <c r="AVO35" s="204"/>
      <c r="AVP35" s="204"/>
      <c r="AVQ35" s="204"/>
      <c r="AVR35" s="204"/>
      <c r="AVS35" s="204"/>
      <c r="AVT35" s="204"/>
      <c r="AVU35" s="204"/>
      <c r="AVV35" s="204"/>
      <c r="AVW35" s="204"/>
      <c r="AVX35" s="204"/>
      <c r="AVY35" s="204"/>
      <c r="AVZ35" s="204"/>
      <c r="AWA35" s="204"/>
      <c r="AWB35" s="204"/>
      <c r="AWC35" s="204"/>
      <c r="AWD35" s="204"/>
      <c r="AWE35" s="204"/>
      <c r="AWF35" s="204"/>
      <c r="AWG35" s="204"/>
      <c r="AWH35" s="204"/>
      <c r="AWI35" s="204"/>
      <c r="AWJ35" s="204"/>
      <c r="AWK35" s="204"/>
      <c r="AWL35" s="204"/>
      <c r="AWM35" s="204"/>
      <c r="AWN35" s="204"/>
      <c r="AWO35" s="204"/>
      <c r="AWP35" s="204"/>
      <c r="AWQ35" s="204"/>
      <c r="AWR35" s="204"/>
      <c r="AWS35" s="204"/>
      <c r="AWT35" s="204"/>
      <c r="AWU35" s="204"/>
      <c r="AWV35" s="204"/>
      <c r="AWW35" s="204"/>
      <c r="AWX35" s="204"/>
      <c r="AWY35" s="204"/>
      <c r="AWZ35" s="204"/>
      <c r="AXA35" s="204"/>
      <c r="AXB35" s="204"/>
      <c r="AXC35" s="204"/>
      <c r="AXD35" s="204"/>
      <c r="AXE35" s="204"/>
      <c r="AXF35" s="204"/>
      <c r="AXG35" s="204"/>
      <c r="AXH35" s="204"/>
      <c r="AXI35" s="204"/>
      <c r="AXJ35" s="204"/>
      <c r="AXK35" s="204"/>
      <c r="AXL35" s="204"/>
      <c r="AXM35" s="204"/>
      <c r="AXN35" s="204"/>
      <c r="AXO35" s="204"/>
      <c r="AXP35" s="204"/>
      <c r="AXQ35" s="204"/>
      <c r="AXR35" s="204"/>
      <c r="AXS35" s="204"/>
      <c r="AXT35" s="204"/>
      <c r="AXU35" s="204"/>
      <c r="AXV35" s="204"/>
      <c r="AXW35" s="204"/>
      <c r="AXX35" s="204"/>
      <c r="AXY35" s="204"/>
      <c r="AXZ35" s="204"/>
      <c r="AYA35" s="204"/>
      <c r="AYB35" s="204"/>
      <c r="AYC35" s="204"/>
      <c r="AYD35" s="204"/>
      <c r="AYE35" s="204"/>
      <c r="AYF35" s="204"/>
      <c r="AYG35" s="204"/>
      <c r="AYH35" s="204"/>
      <c r="AYI35" s="204"/>
      <c r="AYJ35" s="204"/>
      <c r="AYK35" s="204"/>
      <c r="AYL35" s="204"/>
      <c r="AYM35" s="204"/>
      <c r="AYN35" s="204"/>
      <c r="AYO35" s="204"/>
      <c r="AYP35" s="204"/>
      <c r="AYQ35" s="204"/>
      <c r="AYR35" s="204"/>
      <c r="AYS35" s="204"/>
      <c r="AYT35" s="204"/>
      <c r="AYU35" s="204"/>
      <c r="AYV35" s="204"/>
      <c r="AYW35" s="204"/>
      <c r="AYX35" s="204"/>
      <c r="AYY35" s="204"/>
      <c r="AYZ35" s="204"/>
      <c r="AZA35" s="204"/>
      <c r="AZB35" s="204"/>
      <c r="AZC35" s="204"/>
      <c r="AZD35" s="204"/>
      <c r="AZE35" s="204"/>
      <c r="AZF35" s="204"/>
      <c r="AZG35" s="204"/>
      <c r="AZH35" s="204"/>
      <c r="AZI35" s="204"/>
      <c r="AZJ35" s="204"/>
      <c r="AZK35" s="204"/>
      <c r="AZL35" s="204"/>
      <c r="AZM35" s="204"/>
      <c r="AZN35" s="204"/>
      <c r="AZO35" s="204"/>
      <c r="AZP35" s="204"/>
      <c r="AZQ35" s="204"/>
      <c r="AZR35" s="204"/>
      <c r="AZS35" s="204"/>
      <c r="AZT35" s="204"/>
      <c r="AZU35" s="204"/>
      <c r="AZV35" s="204"/>
      <c r="AZW35" s="204"/>
      <c r="AZX35" s="204"/>
      <c r="AZY35" s="204"/>
      <c r="AZZ35" s="204"/>
      <c r="BAA35" s="204"/>
      <c r="BAB35" s="204"/>
      <c r="BAC35" s="204"/>
      <c r="BAD35" s="204"/>
      <c r="BAE35" s="204"/>
      <c r="BAF35" s="204"/>
      <c r="BAG35" s="204"/>
      <c r="BAH35" s="204"/>
      <c r="BAI35" s="204"/>
      <c r="BAJ35" s="204"/>
      <c r="BAK35" s="204"/>
      <c r="BAL35" s="204"/>
      <c r="BAM35" s="204"/>
      <c r="BAN35" s="204"/>
      <c r="BAO35" s="204"/>
      <c r="BAP35" s="204"/>
      <c r="BAQ35" s="204"/>
      <c r="BAR35" s="204"/>
      <c r="BAS35" s="204"/>
      <c r="BAT35" s="204"/>
      <c r="BAU35" s="204"/>
      <c r="BAV35" s="204"/>
      <c r="BAW35" s="204"/>
      <c r="BAX35" s="204"/>
      <c r="BAY35" s="204"/>
      <c r="BAZ35" s="204"/>
      <c r="BBA35" s="204"/>
      <c r="BBB35" s="204"/>
      <c r="BBC35" s="204"/>
      <c r="BBD35" s="204"/>
      <c r="BBE35" s="204"/>
      <c r="BBF35" s="204"/>
      <c r="BBG35" s="204"/>
      <c r="BBH35" s="204"/>
      <c r="BBI35" s="204"/>
      <c r="BBJ35" s="204"/>
      <c r="BBK35" s="204"/>
      <c r="BBL35" s="204"/>
      <c r="BBM35" s="204"/>
      <c r="BBN35" s="204"/>
      <c r="BBO35" s="204"/>
      <c r="BBP35" s="204"/>
      <c r="BBQ35" s="204"/>
      <c r="BBR35" s="204"/>
      <c r="BBS35" s="204"/>
      <c r="BBT35" s="204"/>
      <c r="BBU35" s="204"/>
      <c r="BBV35" s="204"/>
      <c r="BBW35" s="204"/>
      <c r="BBX35" s="204"/>
      <c r="BBY35" s="204"/>
      <c r="BBZ35" s="204"/>
      <c r="BCA35" s="204"/>
      <c r="BCB35" s="204"/>
      <c r="BCC35" s="204"/>
      <c r="BCD35" s="204"/>
      <c r="BCE35" s="204"/>
      <c r="BCF35" s="204"/>
      <c r="BCG35" s="204"/>
      <c r="BCH35" s="204"/>
      <c r="BCI35" s="204"/>
      <c r="BCJ35" s="204"/>
      <c r="BCK35" s="204"/>
      <c r="BCL35" s="204"/>
      <c r="BCM35" s="204"/>
      <c r="BCN35" s="204"/>
      <c r="BCO35" s="204"/>
      <c r="BCP35" s="204"/>
      <c r="BCQ35" s="204"/>
      <c r="BCR35" s="204"/>
      <c r="BCS35" s="204"/>
      <c r="BCT35" s="204"/>
      <c r="BCU35" s="204"/>
      <c r="BCV35" s="204"/>
      <c r="BCW35" s="204"/>
      <c r="BCX35" s="204"/>
      <c r="BCY35" s="204"/>
      <c r="BCZ35" s="204"/>
      <c r="BDA35" s="204"/>
      <c r="BDB35" s="204"/>
      <c r="BDC35" s="204"/>
      <c r="BDD35" s="204"/>
      <c r="BDE35" s="204"/>
      <c r="BDF35" s="204"/>
      <c r="BDG35" s="204"/>
      <c r="BDH35" s="204"/>
      <c r="BDI35" s="204"/>
      <c r="BDJ35" s="204"/>
      <c r="BDK35" s="204"/>
      <c r="BDL35" s="204"/>
      <c r="BDM35" s="204"/>
      <c r="BDN35" s="204"/>
      <c r="BDO35" s="204"/>
      <c r="BDP35" s="204"/>
      <c r="BDQ35" s="204"/>
      <c r="BDR35" s="204"/>
      <c r="BDS35" s="204"/>
      <c r="BDT35" s="204"/>
      <c r="BDU35" s="204"/>
      <c r="BDV35" s="204"/>
      <c r="BDW35" s="204"/>
      <c r="BDX35" s="204"/>
      <c r="BDY35" s="204"/>
      <c r="BDZ35" s="204"/>
      <c r="BEA35" s="204"/>
      <c r="BEB35" s="204"/>
      <c r="BEC35" s="204"/>
      <c r="BED35" s="204"/>
      <c r="BEE35" s="204"/>
      <c r="BEF35" s="204"/>
      <c r="BEG35" s="204"/>
      <c r="BEH35" s="204"/>
      <c r="BEI35" s="204"/>
      <c r="BEJ35" s="204"/>
      <c r="BEK35" s="204"/>
      <c r="BEL35" s="204"/>
      <c r="BEM35" s="204"/>
      <c r="BEN35" s="204"/>
      <c r="BEO35" s="204"/>
      <c r="BEP35" s="204"/>
      <c r="BEQ35" s="204"/>
      <c r="BER35" s="204"/>
      <c r="BES35" s="204"/>
      <c r="BET35" s="204"/>
      <c r="BEU35" s="204"/>
      <c r="BEV35" s="204"/>
      <c r="BEW35" s="204"/>
      <c r="BEX35" s="204"/>
      <c r="BEY35" s="204"/>
      <c r="BEZ35" s="204"/>
      <c r="BFA35" s="204"/>
      <c r="BFB35" s="204"/>
      <c r="BFC35" s="204"/>
      <c r="BFD35" s="204"/>
      <c r="BFE35" s="204"/>
      <c r="BFF35" s="204"/>
      <c r="BFG35" s="204"/>
      <c r="BFH35" s="204"/>
      <c r="BFI35" s="204"/>
      <c r="BFJ35" s="204"/>
      <c r="BFK35" s="204"/>
      <c r="BFL35" s="204"/>
      <c r="BFM35" s="204"/>
      <c r="BFN35" s="204"/>
      <c r="BFO35" s="204"/>
      <c r="BFP35" s="204"/>
      <c r="BFQ35" s="204"/>
      <c r="BFR35" s="204"/>
      <c r="BFS35" s="204"/>
      <c r="BFT35" s="204"/>
      <c r="BFU35" s="204"/>
      <c r="BFV35" s="204"/>
      <c r="BFW35" s="204"/>
      <c r="BFX35" s="204"/>
      <c r="BFY35" s="204"/>
      <c r="BFZ35" s="204"/>
      <c r="BGA35" s="204"/>
      <c r="BGB35" s="204"/>
      <c r="BGC35" s="204"/>
      <c r="BGD35" s="204"/>
      <c r="BGE35" s="204"/>
      <c r="BGF35" s="204"/>
      <c r="BGG35" s="204"/>
      <c r="BGH35" s="204"/>
      <c r="BGI35" s="204"/>
      <c r="BGJ35" s="204"/>
      <c r="BGK35" s="204"/>
      <c r="BGL35" s="204"/>
      <c r="BGM35" s="204"/>
      <c r="BGN35" s="204"/>
      <c r="BGO35" s="204"/>
      <c r="BGP35" s="204"/>
      <c r="BGQ35" s="204"/>
      <c r="BGR35" s="204"/>
      <c r="BGS35" s="204"/>
      <c r="BGT35" s="204"/>
      <c r="BGU35" s="204"/>
      <c r="BGV35" s="204"/>
      <c r="BGW35" s="204"/>
      <c r="BGX35" s="204"/>
      <c r="BGY35" s="204"/>
      <c r="BGZ35" s="204"/>
      <c r="BHA35" s="204"/>
      <c r="BHB35" s="204"/>
      <c r="BHC35" s="204"/>
      <c r="BHD35" s="204"/>
      <c r="BHE35" s="204"/>
      <c r="BHF35" s="204"/>
      <c r="BHG35" s="204"/>
      <c r="BHH35" s="204"/>
      <c r="BHI35" s="204"/>
      <c r="BHJ35" s="204"/>
      <c r="BHK35" s="204"/>
      <c r="BHL35" s="204"/>
      <c r="BHM35" s="204"/>
      <c r="BHN35" s="204"/>
      <c r="BHO35" s="204"/>
      <c r="BHP35" s="204"/>
      <c r="BHQ35" s="204"/>
      <c r="BHR35" s="204"/>
      <c r="BHS35" s="204"/>
      <c r="BHT35" s="204"/>
      <c r="BHU35" s="204"/>
      <c r="BHV35" s="204"/>
      <c r="BHW35" s="204"/>
      <c r="BHX35" s="204"/>
      <c r="BHY35" s="204"/>
      <c r="BHZ35" s="204"/>
      <c r="BIA35" s="204"/>
      <c r="BIB35" s="204"/>
      <c r="BIC35" s="204"/>
      <c r="BID35" s="204"/>
      <c r="BIE35" s="204"/>
      <c r="BIF35" s="204"/>
      <c r="BIG35" s="204"/>
      <c r="BIH35" s="204"/>
      <c r="BII35" s="204"/>
      <c r="BIJ35" s="204"/>
      <c r="BIK35" s="204"/>
      <c r="BIL35" s="204"/>
      <c r="BIM35" s="204"/>
      <c r="BIN35" s="204"/>
      <c r="BIO35" s="204"/>
      <c r="BIP35" s="204"/>
      <c r="BIQ35" s="204"/>
      <c r="BIR35" s="204"/>
      <c r="BIS35" s="204"/>
      <c r="BIT35" s="204"/>
      <c r="BIU35" s="204"/>
      <c r="BIV35" s="204"/>
      <c r="BIW35" s="204"/>
      <c r="BIX35" s="204"/>
      <c r="BIY35" s="204"/>
      <c r="BIZ35" s="204"/>
      <c r="BJA35" s="204"/>
      <c r="BJB35" s="204"/>
      <c r="BJC35" s="204"/>
      <c r="BJD35" s="204"/>
      <c r="BJE35" s="204"/>
      <c r="BJF35" s="204"/>
      <c r="BJG35" s="204"/>
      <c r="BJH35" s="204"/>
      <c r="BJI35" s="204"/>
      <c r="BJJ35" s="204"/>
      <c r="BJK35" s="204"/>
      <c r="BJL35" s="204"/>
      <c r="BJM35" s="204"/>
      <c r="BJN35" s="204"/>
      <c r="BJO35" s="204"/>
      <c r="BJP35" s="204"/>
      <c r="BJQ35" s="204"/>
      <c r="BJR35" s="204"/>
      <c r="BJS35" s="204"/>
      <c r="BJT35" s="204"/>
      <c r="BJU35" s="204"/>
      <c r="BJV35" s="204"/>
      <c r="BJW35" s="204"/>
      <c r="BJX35" s="204"/>
      <c r="BJY35" s="204"/>
      <c r="BJZ35" s="204"/>
      <c r="BKA35" s="204"/>
      <c r="BKB35" s="204"/>
      <c r="BKC35" s="204"/>
      <c r="BKD35" s="204"/>
      <c r="BKE35" s="204"/>
      <c r="BKF35" s="204"/>
      <c r="BKG35" s="204"/>
      <c r="BKH35" s="204"/>
      <c r="BKI35" s="204"/>
      <c r="BKJ35" s="204"/>
      <c r="BKK35" s="204"/>
      <c r="BKL35" s="204"/>
      <c r="BKM35" s="204"/>
      <c r="BKN35" s="204"/>
      <c r="BKO35" s="204"/>
      <c r="BKP35" s="204"/>
      <c r="BKQ35" s="204"/>
      <c r="BKR35" s="204"/>
      <c r="BKS35" s="204"/>
      <c r="BKT35" s="204"/>
      <c r="BKU35" s="204"/>
      <c r="BKV35" s="204"/>
      <c r="BKW35" s="204"/>
      <c r="BKX35" s="204"/>
      <c r="BKY35" s="204"/>
      <c r="BKZ35" s="204"/>
      <c r="BLA35" s="204"/>
      <c r="BLB35" s="204"/>
      <c r="BLC35" s="204"/>
      <c r="BLD35" s="204"/>
      <c r="BLE35" s="204"/>
      <c r="BLF35" s="204"/>
      <c r="BLG35" s="204"/>
      <c r="BLH35" s="204"/>
      <c r="BLI35" s="204"/>
      <c r="BLJ35" s="204"/>
      <c r="BLK35" s="204"/>
      <c r="BLL35" s="204"/>
      <c r="BLM35" s="204"/>
      <c r="BLN35" s="204"/>
      <c r="BLO35" s="204"/>
      <c r="BLP35" s="204"/>
      <c r="BLQ35" s="204"/>
      <c r="BLR35" s="204"/>
      <c r="BLS35" s="204"/>
      <c r="BLT35" s="204"/>
      <c r="BLU35" s="204"/>
      <c r="BLV35" s="204"/>
      <c r="BLW35" s="204"/>
      <c r="BLX35" s="204"/>
      <c r="BLY35" s="204"/>
      <c r="BLZ35" s="204"/>
      <c r="BMA35" s="204"/>
      <c r="BMB35" s="204"/>
      <c r="BMC35" s="204"/>
      <c r="BMD35" s="204"/>
      <c r="BME35" s="204"/>
      <c r="BMF35" s="204"/>
      <c r="BMG35" s="204"/>
      <c r="BMH35" s="204"/>
      <c r="BMI35" s="204"/>
      <c r="BMJ35" s="204"/>
      <c r="BMK35" s="204"/>
      <c r="BML35" s="204"/>
      <c r="BMM35" s="204"/>
      <c r="BMN35" s="204"/>
      <c r="BMO35" s="204"/>
      <c r="BMP35" s="204"/>
      <c r="BMQ35" s="204"/>
      <c r="BMR35" s="204"/>
      <c r="BMS35" s="204"/>
      <c r="BMT35" s="204"/>
      <c r="BMU35" s="204"/>
      <c r="BMV35" s="204"/>
      <c r="BMW35" s="204"/>
      <c r="BMX35" s="204"/>
      <c r="BMY35" s="204"/>
      <c r="BMZ35" s="204"/>
      <c r="BNA35" s="204"/>
      <c r="BNB35" s="204"/>
      <c r="BNC35" s="204"/>
      <c r="BND35" s="204"/>
      <c r="BNE35" s="204"/>
      <c r="BNF35" s="204"/>
      <c r="BNG35" s="204"/>
      <c r="BNH35" s="204"/>
      <c r="BNI35" s="204"/>
      <c r="BNJ35" s="204"/>
      <c r="BNK35" s="204"/>
      <c r="BNL35" s="204"/>
      <c r="BNM35" s="204"/>
      <c r="BNN35" s="204"/>
      <c r="BNO35" s="204"/>
      <c r="BNP35" s="204"/>
      <c r="BNQ35" s="204"/>
      <c r="BNR35" s="204"/>
      <c r="BNS35" s="204"/>
      <c r="BNT35" s="204"/>
      <c r="BNU35" s="204"/>
      <c r="BNV35" s="204"/>
      <c r="BNW35" s="204"/>
      <c r="BNX35" s="204"/>
      <c r="BNY35" s="204"/>
      <c r="BNZ35" s="204"/>
      <c r="BOA35" s="204"/>
      <c r="BOB35" s="204"/>
      <c r="BOC35" s="204"/>
      <c r="BOD35" s="204"/>
      <c r="BOE35" s="204"/>
      <c r="BOF35" s="204"/>
      <c r="BOG35" s="204"/>
      <c r="BOH35" s="204"/>
      <c r="BOI35" s="204"/>
      <c r="BOJ35" s="204"/>
      <c r="BOK35" s="204"/>
      <c r="BOL35" s="204"/>
      <c r="BOM35" s="204"/>
      <c r="BON35" s="204"/>
      <c r="BOO35" s="204"/>
      <c r="BOP35" s="204"/>
      <c r="BOQ35" s="204"/>
      <c r="BOR35" s="204"/>
      <c r="BOS35" s="204"/>
      <c r="BOT35" s="204"/>
      <c r="BOU35" s="204"/>
      <c r="BOV35" s="204"/>
      <c r="BOW35" s="204"/>
      <c r="BOX35" s="204"/>
      <c r="BOY35" s="204"/>
      <c r="BOZ35" s="204"/>
      <c r="BPA35" s="204"/>
      <c r="BPB35" s="204"/>
      <c r="BPC35" s="204"/>
      <c r="BPD35" s="204"/>
      <c r="BPE35" s="204"/>
      <c r="BPF35" s="204"/>
      <c r="BPG35" s="204"/>
      <c r="BPH35" s="204"/>
      <c r="BPI35" s="204"/>
      <c r="BPJ35" s="204"/>
      <c r="BPK35" s="204"/>
      <c r="BPL35" s="204"/>
      <c r="BPM35" s="204"/>
      <c r="BPN35" s="204"/>
      <c r="BPO35" s="204"/>
      <c r="BPP35" s="204"/>
      <c r="BPQ35" s="204"/>
      <c r="BPR35" s="204"/>
      <c r="BPS35" s="204"/>
      <c r="BPT35" s="204"/>
      <c r="BPU35" s="204"/>
      <c r="BPV35" s="204"/>
      <c r="BPW35" s="204"/>
      <c r="BPX35" s="204"/>
      <c r="BPY35" s="204"/>
      <c r="BPZ35" s="204"/>
      <c r="BQA35" s="204"/>
      <c r="BQB35" s="204"/>
      <c r="BQC35" s="204"/>
      <c r="BQD35" s="204"/>
      <c r="BQE35" s="204"/>
      <c r="BQF35" s="204"/>
      <c r="BQG35" s="204"/>
      <c r="BQH35" s="204"/>
      <c r="BQI35" s="204"/>
      <c r="BQJ35" s="204"/>
      <c r="BQK35" s="204"/>
      <c r="BQL35" s="204"/>
      <c r="BQM35" s="204"/>
      <c r="BQN35" s="204"/>
      <c r="BQO35" s="204"/>
      <c r="BQP35" s="204"/>
      <c r="BQQ35" s="204"/>
      <c r="BQR35" s="204"/>
      <c r="BQS35" s="204"/>
      <c r="BQT35" s="204"/>
      <c r="BQU35" s="204"/>
      <c r="BQV35" s="204"/>
      <c r="BQW35" s="204"/>
      <c r="BQX35" s="204"/>
      <c r="BQY35" s="204"/>
      <c r="BQZ35" s="204"/>
      <c r="BRA35" s="204"/>
      <c r="BRB35" s="204"/>
      <c r="BRC35" s="204"/>
      <c r="BRD35" s="204"/>
      <c r="BRE35" s="204"/>
      <c r="BRF35" s="204"/>
      <c r="BRG35" s="204"/>
      <c r="BRH35" s="204"/>
      <c r="BRI35" s="204"/>
      <c r="BRJ35" s="204"/>
      <c r="BRK35" s="204"/>
      <c r="BRL35" s="204"/>
      <c r="BRM35" s="204"/>
      <c r="BRN35" s="204"/>
      <c r="BRO35" s="204"/>
      <c r="BRP35" s="204"/>
      <c r="BRQ35" s="204"/>
      <c r="BRR35" s="204"/>
      <c r="BRS35" s="204"/>
      <c r="BRT35" s="204"/>
      <c r="BRU35" s="204"/>
      <c r="BRV35" s="204"/>
      <c r="BRW35" s="204"/>
      <c r="BRX35" s="204"/>
      <c r="BRY35" s="204"/>
      <c r="BRZ35" s="204"/>
      <c r="BSA35" s="204"/>
      <c r="BSB35" s="204"/>
      <c r="BSC35" s="204"/>
      <c r="BSD35" s="204"/>
      <c r="BSE35" s="204"/>
      <c r="BSF35" s="204"/>
      <c r="BSG35" s="204"/>
      <c r="BSH35" s="204"/>
      <c r="BSI35" s="204"/>
      <c r="BSJ35" s="204"/>
      <c r="BSK35" s="204"/>
      <c r="BSL35" s="204"/>
      <c r="BSM35" s="204"/>
      <c r="BSN35" s="204"/>
      <c r="BSO35" s="204"/>
      <c r="BSP35" s="204"/>
      <c r="BSQ35" s="204"/>
      <c r="BSR35" s="204"/>
      <c r="BSS35" s="204"/>
      <c r="BST35" s="204"/>
      <c r="BSU35" s="204"/>
      <c r="BSV35" s="204"/>
      <c r="BSW35" s="204"/>
      <c r="BSX35" s="204"/>
      <c r="BSY35" s="204"/>
      <c r="BSZ35" s="204"/>
      <c r="BTA35" s="204"/>
      <c r="BTB35" s="204"/>
      <c r="BTC35" s="204"/>
      <c r="BTD35" s="204"/>
      <c r="BTE35" s="204"/>
      <c r="BTF35" s="204"/>
      <c r="BTG35" s="204"/>
      <c r="BTH35" s="204"/>
      <c r="BTI35" s="204"/>
      <c r="BTJ35" s="204"/>
      <c r="BTK35" s="204"/>
      <c r="BTL35" s="204"/>
      <c r="BTM35" s="204"/>
      <c r="BTN35" s="204"/>
      <c r="BTO35" s="204"/>
      <c r="BTP35" s="204"/>
      <c r="BTQ35" s="204"/>
      <c r="BTR35" s="204"/>
      <c r="BTS35" s="204"/>
      <c r="BTT35" s="204"/>
      <c r="BTU35" s="204"/>
      <c r="BTV35" s="204"/>
      <c r="BTW35" s="204"/>
      <c r="BTX35" s="204"/>
      <c r="BTY35" s="204"/>
      <c r="BTZ35" s="204"/>
      <c r="BUA35" s="204"/>
      <c r="BUB35" s="204"/>
      <c r="BUC35" s="204"/>
      <c r="BUD35" s="204"/>
      <c r="BUE35" s="204"/>
      <c r="BUF35" s="204"/>
      <c r="BUG35" s="204"/>
      <c r="BUH35" s="204"/>
      <c r="BUI35" s="204"/>
      <c r="BUJ35" s="204"/>
      <c r="BUK35" s="204"/>
      <c r="BUL35" s="204"/>
      <c r="BUM35" s="204"/>
      <c r="BUN35" s="204"/>
      <c r="BUO35" s="204"/>
      <c r="BUP35" s="204"/>
      <c r="BUQ35" s="204"/>
      <c r="BUR35" s="204"/>
      <c r="BUS35" s="204"/>
      <c r="BUT35" s="204"/>
      <c r="BUU35" s="204"/>
      <c r="BUV35" s="204"/>
      <c r="BUW35" s="204"/>
      <c r="BUX35" s="204"/>
      <c r="BUY35" s="204"/>
      <c r="BUZ35" s="204"/>
      <c r="BVA35" s="204"/>
      <c r="BVB35" s="204"/>
      <c r="BVC35" s="204"/>
      <c r="BVD35" s="204"/>
      <c r="BVE35" s="204"/>
      <c r="BVF35" s="204"/>
      <c r="BVG35" s="204"/>
      <c r="BVH35" s="204"/>
      <c r="BVI35" s="204"/>
      <c r="BVJ35" s="204"/>
      <c r="BVK35" s="204"/>
      <c r="BVL35" s="204"/>
      <c r="BVM35" s="204"/>
      <c r="BVN35" s="204"/>
      <c r="BVO35" s="204"/>
      <c r="BVP35" s="204"/>
      <c r="BVQ35" s="204"/>
      <c r="BVR35" s="204"/>
      <c r="BVS35" s="204"/>
      <c r="BVT35" s="204"/>
      <c r="BVU35" s="204"/>
      <c r="BVV35" s="204"/>
      <c r="BVW35" s="204"/>
      <c r="BVX35" s="204"/>
      <c r="BVY35" s="204"/>
      <c r="BVZ35" s="204"/>
      <c r="BWA35" s="204"/>
      <c r="BWB35" s="204"/>
      <c r="BWC35" s="204"/>
      <c r="BWD35" s="204"/>
      <c r="BWE35" s="204"/>
      <c r="BWF35" s="204"/>
      <c r="BWG35" s="204"/>
      <c r="BWH35" s="204"/>
      <c r="BWI35" s="204"/>
      <c r="BWJ35" s="204"/>
      <c r="BWK35" s="204"/>
      <c r="BWL35" s="204"/>
      <c r="BWM35" s="204"/>
      <c r="BWN35" s="204"/>
      <c r="BWO35" s="204"/>
      <c r="BWP35" s="204"/>
      <c r="BWQ35" s="204"/>
      <c r="BWR35" s="204"/>
      <c r="BWS35" s="204"/>
      <c r="BWT35" s="204"/>
      <c r="BWU35" s="204"/>
      <c r="BWV35" s="204"/>
      <c r="BWW35" s="204"/>
      <c r="BWX35" s="204"/>
      <c r="BWY35" s="204"/>
      <c r="BWZ35" s="204"/>
      <c r="BXA35" s="204"/>
      <c r="BXB35" s="204"/>
      <c r="BXC35" s="204"/>
      <c r="BXD35" s="204"/>
      <c r="BXE35" s="204"/>
      <c r="BXF35" s="204"/>
      <c r="BXG35" s="204"/>
      <c r="BXH35" s="204"/>
      <c r="BXI35" s="204"/>
      <c r="BXJ35" s="204"/>
      <c r="BXK35" s="204"/>
      <c r="BXL35" s="204"/>
      <c r="BXM35" s="204"/>
      <c r="BXN35" s="204"/>
      <c r="BXO35" s="204"/>
      <c r="BXP35" s="204"/>
      <c r="BXQ35" s="204"/>
      <c r="BXR35" s="204"/>
      <c r="BXS35" s="204"/>
      <c r="BXT35" s="204"/>
      <c r="BXU35" s="204"/>
      <c r="BXV35" s="204"/>
      <c r="BXW35" s="204"/>
      <c r="BXX35" s="204"/>
      <c r="BXY35" s="204"/>
      <c r="BXZ35" s="204"/>
      <c r="BYA35" s="204"/>
      <c r="BYB35" s="204"/>
      <c r="BYC35" s="204"/>
      <c r="BYD35" s="204"/>
      <c r="BYE35" s="204"/>
      <c r="BYF35" s="204"/>
      <c r="BYG35" s="204"/>
      <c r="BYH35" s="204"/>
      <c r="BYI35" s="204"/>
      <c r="BYJ35" s="204"/>
      <c r="BYK35" s="204"/>
      <c r="BYL35" s="204"/>
      <c r="BYM35" s="204"/>
      <c r="BYN35" s="204"/>
      <c r="BYO35" s="204"/>
      <c r="BYP35" s="204"/>
      <c r="BYQ35" s="204"/>
      <c r="BYR35" s="204"/>
      <c r="BYS35" s="204"/>
      <c r="BYT35" s="204"/>
      <c r="BYU35" s="204"/>
      <c r="BYV35" s="204"/>
      <c r="BYW35" s="204"/>
      <c r="BYX35" s="204"/>
      <c r="BYY35" s="204"/>
      <c r="BYZ35" s="204"/>
      <c r="BZA35" s="204"/>
      <c r="BZB35" s="204"/>
      <c r="BZC35" s="204"/>
      <c r="BZD35" s="204"/>
      <c r="BZE35" s="204"/>
      <c r="BZF35" s="204"/>
      <c r="BZG35" s="204"/>
      <c r="BZH35" s="204"/>
      <c r="BZI35" s="204"/>
      <c r="BZJ35" s="204"/>
      <c r="BZK35" s="204"/>
      <c r="BZL35" s="204"/>
      <c r="BZM35" s="204"/>
      <c r="BZN35" s="204"/>
      <c r="BZO35" s="204"/>
      <c r="BZP35" s="204"/>
      <c r="BZQ35" s="204"/>
      <c r="BZR35" s="204"/>
      <c r="BZS35" s="204"/>
      <c r="BZT35" s="204"/>
      <c r="BZU35" s="204"/>
      <c r="BZV35" s="204"/>
      <c r="BZW35" s="204"/>
      <c r="BZX35" s="204"/>
      <c r="BZY35" s="204"/>
      <c r="BZZ35" s="204"/>
      <c r="CAA35" s="204"/>
      <c r="CAB35" s="204"/>
      <c r="CAC35" s="204"/>
      <c r="CAD35" s="204"/>
      <c r="CAE35" s="204"/>
      <c r="CAF35" s="204"/>
      <c r="CAG35" s="204"/>
      <c r="CAH35" s="204"/>
      <c r="CAI35" s="204"/>
      <c r="CAJ35" s="204"/>
      <c r="CAK35" s="204"/>
      <c r="CAL35" s="204"/>
      <c r="CAM35" s="204"/>
      <c r="CAN35" s="204"/>
      <c r="CAO35" s="204"/>
      <c r="CAP35" s="204"/>
      <c r="CAQ35" s="204"/>
      <c r="CAR35" s="204"/>
      <c r="CAS35" s="204"/>
      <c r="CAT35" s="204"/>
      <c r="CAU35" s="204"/>
      <c r="CAV35" s="204"/>
      <c r="CAW35" s="204"/>
      <c r="CAX35" s="204"/>
      <c r="CAY35" s="204"/>
      <c r="CAZ35" s="204"/>
      <c r="CBA35" s="204"/>
      <c r="CBB35" s="204"/>
      <c r="CBC35" s="204"/>
      <c r="CBD35" s="204"/>
      <c r="CBE35" s="204"/>
      <c r="CBF35" s="204"/>
      <c r="CBG35" s="204"/>
      <c r="CBH35" s="204"/>
      <c r="CBI35" s="204"/>
      <c r="CBJ35" s="204"/>
      <c r="CBK35" s="204"/>
      <c r="CBL35" s="204"/>
      <c r="CBM35" s="204"/>
      <c r="CBN35" s="204"/>
      <c r="CBO35" s="204"/>
      <c r="CBP35" s="204"/>
      <c r="CBQ35" s="204"/>
      <c r="CBR35" s="204"/>
      <c r="CBS35" s="204"/>
      <c r="CBT35" s="204"/>
      <c r="CBU35" s="204"/>
      <c r="CBV35" s="204"/>
      <c r="CBW35" s="204"/>
      <c r="CBX35" s="204"/>
      <c r="CBY35" s="204"/>
      <c r="CBZ35" s="204"/>
      <c r="CCA35" s="204"/>
      <c r="CCB35" s="204"/>
      <c r="CCC35" s="204"/>
      <c r="CCD35" s="204"/>
      <c r="CCE35" s="204"/>
      <c r="CCF35" s="204"/>
      <c r="CCG35" s="204"/>
      <c r="CCH35" s="204"/>
      <c r="CCI35" s="204"/>
      <c r="CCJ35" s="204"/>
      <c r="CCK35" s="204"/>
      <c r="CCL35" s="204"/>
      <c r="CCM35" s="204"/>
      <c r="CCN35" s="204"/>
      <c r="CCO35" s="204"/>
      <c r="CCP35" s="204"/>
      <c r="CCQ35" s="204"/>
      <c r="CCR35" s="204"/>
      <c r="CCS35" s="204"/>
      <c r="CCT35" s="204"/>
      <c r="CCU35" s="204"/>
      <c r="CCV35" s="204"/>
      <c r="CCW35" s="204"/>
      <c r="CCX35" s="204"/>
      <c r="CCY35" s="204"/>
      <c r="CCZ35" s="204"/>
      <c r="CDA35" s="204"/>
      <c r="CDB35" s="204"/>
      <c r="CDC35" s="204"/>
      <c r="CDD35" s="204"/>
      <c r="CDE35" s="204"/>
      <c r="CDF35" s="204"/>
      <c r="CDG35" s="204"/>
      <c r="CDH35" s="204"/>
      <c r="CDI35" s="204"/>
      <c r="CDJ35" s="204"/>
      <c r="CDK35" s="204"/>
      <c r="CDL35" s="204"/>
      <c r="CDM35" s="204"/>
      <c r="CDN35" s="204"/>
      <c r="CDO35" s="204"/>
      <c r="CDP35" s="204"/>
      <c r="CDQ35" s="204"/>
      <c r="CDR35" s="204"/>
      <c r="CDS35" s="204"/>
      <c r="CDT35" s="204"/>
      <c r="CDU35" s="204"/>
      <c r="CDV35" s="204"/>
      <c r="CDW35" s="204"/>
      <c r="CDX35" s="204"/>
      <c r="CDY35" s="204"/>
      <c r="CDZ35" s="204"/>
      <c r="CEA35" s="204"/>
      <c r="CEB35" s="204"/>
      <c r="CEC35" s="204"/>
      <c r="CED35" s="204"/>
      <c r="CEE35" s="204"/>
      <c r="CEF35" s="204"/>
      <c r="CEG35" s="204"/>
      <c r="CEH35" s="204"/>
      <c r="CEI35" s="204"/>
      <c r="CEJ35" s="204"/>
      <c r="CEK35" s="204"/>
      <c r="CEL35" s="204"/>
      <c r="CEM35" s="204"/>
      <c r="CEN35" s="204"/>
      <c r="CEO35" s="204"/>
      <c r="CEP35" s="204"/>
      <c r="CEQ35" s="204"/>
      <c r="CER35" s="204"/>
      <c r="CES35" s="204"/>
      <c r="CET35" s="204"/>
      <c r="CEU35" s="204"/>
      <c r="CEV35" s="204"/>
      <c r="CEW35" s="204"/>
      <c r="CEX35" s="204"/>
      <c r="CEY35" s="204"/>
      <c r="CEZ35" s="204"/>
      <c r="CFA35" s="204"/>
      <c r="CFB35" s="204"/>
      <c r="CFC35" s="204"/>
      <c r="CFD35" s="204"/>
      <c r="CFE35" s="204"/>
      <c r="CFF35" s="204"/>
      <c r="CFG35" s="204"/>
      <c r="CFH35" s="204"/>
      <c r="CFI35" s="204"/>
      <c r="CFJ35" s="204"/>
      <c r="CFK35" s="204"/>
      <c r="CFL35" s="204"/>
      <c r="CFM35" s="204"/>
      <c r="CFN35" s="204"/>
      <c r="CFO35" s="204"/>
      <c r="CFP35" s="204"/>
      <c r="CFQ35" s="204"/>
      <c r="CFR35" s="204"/>
      <c r="CFS35" s="204"/>
      <c r="CFT35" s="204"/>
      <c r="CFU35" s="204"/>
      <c r="CFV35" s="204"/>
      <c r="CFW35" s="204"/>
      <c r="CFX35" s="204"/>
      <c r="CFY35" s="204"/>
      <c r="CFZ35" s="204"/>
      <c r="CGA35" s="204"/>
      <c r="CGB35" s="204"/>
      <c r="CGC35" s="204"/>
      <c r="CGD35" s="204"/>
      <c r="CGE35" s="204"/>
      <c r="CGF35" s="204"/>
      <c r="CGG35" s="204"/>
      <c r="CGH35" s="204"/>
      <c r="CGI35" s="204"/>
      <c r="CGJ35" s="204"/>
      <c r="CGK35" s="204"/>
      <c r="CGL35" s="204"/>
      <c r="CGM35" s="204"/>
      <c r="CGN35" s="204"/>
      <c r="CGO35" s="204"/>
      <c r="CGP35" s="204"/>
      <c r="CGQ35" s="204"/>
      <c r="CGR35" s="204"/>
      <c r="CGS35" s="204"/>
      <c r="CGT35" s="204"/>
      <c r="CGU35" s="204"/>
      <c r="CGV35" s="204"/>
      <c r="CGW35" s="204"/>
      <c r="CGX35" s="204"/>
      <c r="CGY35" s="204"/>
      <c r="CGZ35" s="204"/>
      <c r="CHA35" s="204"/>
      <c r="CHB35" s="204"/>
      <c r="CHC35" s="204"/>
      <c r="CHD35" s="204"/>
      <c r="CHE35" s="204"/>
      <c r="CHF35" s="204"/>
      <c r="CHG35" s="204"/>
      <c r="CHH35" s="204"/>
      <c r="CHI35" s="204"/>
      <c r="CHJ35" s="204"/>
      <c r="CHK35" s="204"/>
      <c r="CHL35" s="204"/>
      <c r="CHM35" s="204"/>
      <c r="CHN35" s="204"/>
      <c r="CHO35" s="204"/>
      <c r="CHP35" s="204"/>
      <c r="CHQ35" s="204"/>
      <c r="CHR35" s="204"/>
      <c r="CHS35" s="204"/>
      <c r="CHT35" s="204"/>
      <c r="CHU35" s="204"/>
      <c r="CHV35" s="204"/>
      <c r="CHW35" s="204"/>
      <c r="CHX35" s="204"/>
      <c r="CHY35" s="204"/>
      <c r="CHZ35" s="204"/>
      <c r="CIA35" s="204"/>
      <c r="CIB35" s="204"/>
      <c r="CIC35" s="204"/>
      <c r="CID35" s="204"/>
      <c r="CIE35" s="204"/>
      <c r="CIF35" s="204"/>
      <c r="CIG35" s="204"/>
      <c r="CIH35" s="204"/>
      <c r="CII35" s="204"/>
      <c r="CIJ35" s="204"/>
      <c r="CIK35" s="204"/>
      <c r="CIL35" s="204"/>
      <c r="CIM35" s="204"/>
      <c r="CIN35" s="204"/>
      <c r="CIO35" s="204"/>
      <c r="CIP35" s="204"/>
      <c r="CIQ35" s="204"/>
      <c r="CIR35" s="204"/>
      <c r="CIS35" s="204"/>
      <c r="CIT35" s="204"/>
      <c r="CIU35" s="204"/>
      <c r="CIV35" s="204"/>
      <c r="CIW35" s="204"/>
      <c r="CIX35" s="204"/>
      <c r="CIY35" s="204"/>
      <c r="CIZ35" s="204"/>
      <c r="CJA35" s="204"/>
      <c r="CJB35" s="204"/>
      <c r="CJC35" s="204"/>
      <c r="CJD35" s="204"/>
      <c r="CJE35" s="204"/>
      <c r="CJF35" s="204"/>
      <c r="CJG35" s="204"/>
      <c r="CJH35" s="204"/>
      <c r="CJI35" s="204"/>
      <c r="CJJ35" s="204"/>
      <c r="CJK35" s="204"/>
      <c r="CJL35" s="204"/>
      <c r="CJM35" s="204"/>
      <c r="CJN35" s="204"/>
      <c r="CJO35" s="204"/>
      <c r="CJP35" s="204"/>
      <c r="CJQ35" s="204"/>
      <c r="CJR35" s="204"/>
      <c r="CJS35" s="204"/>
      <c r="CJT35" s="204"/>
      <c r="CJU35" s="204"/>
      <c r="CJV35" s="204"/>
      <c r="CJW35" s="204"/>
      <c r="CJX35" s="204"/>
      <c r="CJY35" s="204"/>
      <c r="CJZ35" s="204"/>
      <c r="CKA35" s="204"/>
      <c r="CKB35" s="204"/>
      <c r="CKC35" s="204"/>
      <c r="CKD35" s="204"/>
      <c r="CKE35" s="204"/>
      <c r="CKF35" s="204"/>
      <c r="CKG35" s="204"/>
      <c r="CKH35" s="204"/>
      <c r="CKI35" s="204"/>
      <c r="CKJ35" s="204"/>
      <c r="CKK35" s="204"/>
      <c r="CKL35" s="204"/>
      <c r="CKM35" s="204"/>
      <c r="CKN35" s="204"/>
      <c r="CKO35" s="204"/>
      <c r="CKP35" s="204"/>
      <c r="CKQ35" s="204"/>
      <c r="CKR35" s="204"/>
      <c r="CKS35" s="204"/>
      <c r="CKT35" s="204"/>
      <c r="CKU35" s="204"/>
      <c r="CKV35" s="204"/>
      <c r="CKW35" s="204"/>
      <c r="CKX35" s="204"/>
      <c r="CKY35" s="204"/>
      <c r="CKZ35" s="204"/>
      <c r="CLA35" s="204"/>
      <c r="CLB35" s="204"/>
      <c r="CLC35" s="204"/>
      <c r="CLD35" s="204"/>
      <c r="CLE35" s="204"/>
      <c r="CLF35" s="204"/>
      <c r="CLG35" s="204"/>
      <c r="CLH35" s="204"/>
      <c r="CLI35" s="204"/>
      <c r="CLJ35" s="204"/>
      <c r="CLK35" s="204"/>
      <c r="CLL35" s="204"/>
      <c r="CLM35" s="204"/>
      <c r="CLN35" s="204"/>
      <c r="CLO35" s="204"/>
      <c r="CLP35" s="204"/>
      <c r="CLQ35" s="204"/>
      <c r="CLR35" s="204"/>
      <c r="CLS35" s="204"/>
      <c r="CLT35" s="204"/>
      <c r="CLU35" s="204"/>
      <c r="CLV35" s="204"/>
      <c r="CLW35" s="204"/>
      <c r="CLX35" s="204"/>
      <c r="CLY35" s="204"/>
      <c r="CLZ35" s="204"/>
      <c r="CMA35" s="204"/>
      <c r="CMB35" s="204"/>
      <c r="CMC35" s="204"/>
      <c r="CMD35" s="204"/>
      <c r="CME35" s="204"/>
      <c r="CMF35" s="204"/>
      <c r="CMG35" s="204"/>
      <c r="CMH35" s="204"/>
      <c r="CMI35" s="204"/>
      <c r="CMJ35" s="204"/>
      <c r="CMK35" s="204"/>
      <c r="CML35" s="204"/>
      <c r="CMM35" s="204"/>
      <c r="CMN35" s="204"/>
      <c r="CMO35" s="204"/>
      <c r="CMP35" s="204"/>
      <c r="CMQ35" s="204"/>
      <c r="CMR35" s="204"/>
      <c r="CMS35" s="204"/>
      <c r="CMT35" s="204"/>
      <c r="CMU35" s="204"/>
      <c r="CMV35" s="204"/>
      <c r="CMW35" s="204"/>
      <c r="CMX35" s="204"/>
      <c r="CMY35" s="204"/>
      <c r="CMZ35" s="204"/>
      <c r="CNA35" s="204"/>
      <c r="CNB35" s="204"/>
      <c r="CNC35" s="204"/>
      <c r="CND35" s="204"/>
      <c r="CNE35" s="204"/>
      <c r="CNF35" s="204"/>
      <c r="CNG35" s="204"/>
      <c r="CNH35" s="204"/>
      <c r="CNI35" s="204"/>
      <c r="CNJ35" s="204"/>
      <c r="CNK35" s="204"/>
      <c r="CNL35" s="204"/>
      <c r="CNM35" s="204"/>
      <c r="CNN35" s="204"/>
      <c r="CNO35" s="204"/>
      <c r="CNP35" s="204"/>
      <c r="CNQ35" s="204"/>
      <c r="CNR35" s="204"/>
      <c r="CNS35" s="204"/>
      <c r="CNT35" s="204"/>
      <c r="CNU35" s="204"/>
      <c r="CNV35" s="204"/>
      <c r="CNW35" s="204"/>
      <c r="CNX35" s="204"/>
      <c r="CNY35" s="204"/>
      <c r="CNZ35" s="204"/>
      <c r="COA35" s="204"/>
      <c r="COB35" s="204"/>
      <c r="COC35" s="204"/>
      <c r="COD35" s="204"/>
      <c r="COE35" s="204"/>
      <c r="COF35" s="204"/>
      <c r="COG35" s="204"/>
      <c r="COH35" s="204"/>
      <c r="COI35" s="204"/>
      <c r="COJ35" s="204"/>
      <c r="COK35" s="204"/>
      <c r="COL35" s="204"/>
      <c r="COM35" s="204"/>
      <c r="CON35" s="204"/>
      <c r="COO35" s="204"/>
      <c r="COP35" s="204"/>
      <c r="COQ35" s="204"/>
      <c r="COR35" s="204"/>
      <c r="COS35" s="204"/>
      <c r="COT35" s="204"/>
      <c r="COU35" s="204"/>
      <c r="COV35" s="204"/>
      <c r="COW35" s="204"/>
      <c r="COX35" s="204"/>
      <c r="COY35" s="204"/>
      <c r="COZ35" s="204"/>
      <c r="CPA35" s="204"/>
      <c r="CPB35" s="204"/>
      <c r="CPC35" s="204"/>
      <c r="CPD35" s="204"/>
      <c r="CPE35" s="204"/>
      <c r="CPF35" s="204"/>
      <c r="CPG35" s="204"/>
      <c r="CPH35" s="204"/>
      <c r="CPI35" s="204"/>
      <c r="CPJ35" s="204"/>
      <c r="CPK35" s="204"/>
      <c r="CPL35" s="204"/>
      <c r="CPM35" s="204"/>
      <c r="CPN35" s="204"/>
      <c r="CPO35" s="204"/>
      <c r="CPP35" s="204"/>
      <c r="CPQ35" s="204"/>
      <c r="CPR35" s="204"/>
      <c r="CPS35" s="204"/>
      <c r="CPT35" s="204"/>
      <c r="CPU35" s="204"/>
      <c r="CPV35" s="204"/>
      <c r="CPW35" s="204"/>
      <c r="CPX35" s="204"/>
      <c r="CPY35" s="204"/>
      <c r="CPZ35" s="204"/>
      <c r="CQA35" s="204"/>
      <c r="CQB35" s="204"/>
      <c r="CQC35" s="204"/>
      <c r="CQD35" s="204"/>
      <c r="CQE35" s="204"/>
      <c r="CQF35" s="204"/>
      <c r="CQG35" s="204"/>
      <c r="CQH35" s="204"/>
      <c r="CQI35" s="204"/>
      <c r="CQJ35" s="204"/>
      <c r="CQK35" s="204"/>
      <c r="CQL35" s="204"/>
      <c r="CQM35" s="204"/>
      <c r="CQN35" s="204"/>
      <c r="CQO35" s="204"/>
      <c r="CQP35" s="204"/>
      <c r="CQQ35" s="204"/>
      <c r="CQR35" s="204"/>
      <c r="CQS35" s="204"/>
      <c r="CQT35" s="204"/>
      <c r="CQU35" s="204"/>
      <c r="CQV35" s="204"/>
      <c r="CQW35" s="204"/>
      <c r="CQX35" s="204"/>
      <c r="CQY35" s="204"/>
      <c r="CQZ35" s="204"/>
      <c r="CRA35" s="204"/>
      <c r="CRB35" s="204"/>
      <c r="CRC35" s="204"/>
      <c r="CRD35" s="204"/>
      <c r="CRE35" s="204"/>
      <c r="CRF35" s="204"/>
      <c r="CRG35" s="204"/>
      <c r="CRH35" s="204"/>
      <c r="CRI35" s="204"/>
      <c r="CRJ35" s="204"/>
      <c r="CRK35" s="204"/>
      <c r="CRL35" s="204"/>
      <c r="CRM35" s="204"/>
      <c r="CRN35" s="204"/>
      <c r="CRO35" s="204"/>
      <c r="CRP35" s="204"/>
      <c r="CRQ35" s="204"/>
      <c r="CRR35" s="204"/>
      <c r="CRS35" s="204"/>
      <c r="CRT35" s="204"/>
      <c r="CRU35" s="204"/>
      <c r="CRV35" s="204"/>
      <c r="CRW35" s="204"/>
      <c r="CRX35" s="204"/>
      <c r="CRY35" s="204"/>
      <c r="CRZ35" s="204"/>
      <c r="CSA35" s="204"/>
      <c r="CSB35" s="204"/>
      <c r="CSC35" s="204"/>
      <c r="CSD35" s="204"/>
      <c r="CSE35" s="204"/>
      <c r="CSF35" s="204"/>
      <c r="CSG35" s="204"/>
      <c r="CSH35" s="204"/>
      <c r="CSI35" s="204"/>
      <c r="CSJ35" s="204"/>
      <c r="CSK35" s="204"/>
      <c r="CSL35" s="204"/>
      <c r="CSM35" s="204"/>
      <c r="CSN35" s="204"/>
      <c r="CSO35" s="204"/>
      <c r="CSP35" s="204"/>
      <c r="CSQ35" s="204"/>
      <c r="CSR35" s="204"/>
      <c r="CSS35" s="204"/>
      <c r="CST35" s="204"/>
      <c r="CSU35" s="204"/>
      <c r="CSV35" s="204"/>
      <c r="CSW35" s="204"/>
      <c r="CSX35" s="204"/>
      <c r="CSY35" s="204"/>
      <c r="CSZ35" s="204"/>
      <c r="CTA35" s="204"/>
      <c r="CTB35" s="204"/>
      <c r="CTC35" s="204"/>
      <c r="CTD35" s="204"/>
      <c r="CTE35" s="204"/>
      <c r="CTF35" s="204"/>
      <c r="CTG35" s="204"/>
      <c r="CTH35" s="204"/>
      <c r="CTI35" s="204"/>
      <c r="CTJ35" s="204"/>
      <c r="CTK35" s="204"/>
      <c r="CTL35" s="204"/>
      <c r="CTM35" s="204"/>
      <c r="CTN35" s="204"/>
      <c r="CTO35" s="204"/>
      <c r="CTP35" s="204"/>
      <c r="CTQ35" s="204"/>
      <c r="CTR35" s="204"/>
      <c r="CTS35" s="204"/>
      <c r="CTT35" s="204"/>
      <c r="CTU35" s="204"/>
      <c r="CTV35" s="204"/>
      <c r="CTW35" s="204"/>
      <c r="CTX35" s="204"/>
      <c r="CTY35" s="204"/>
      <c r="CTZ35" s="204"/>
      <c r="CUA35" s="204"/>
      <c r="CUB35" s="204"/>
      <c r="CUC35" s="204"/>
      <c r="CUD35" s="204"/>
      <c r="CUE35" s="204"/>
      <c r="CUF35" s="204"/>
      <c r="CUG35" s="204"/>
      <c r="CUH35" s="204"/>
      <c r="CUI35" s="204"/>
      <c r="CUJ35" s="204"/>
      <c r="CUK35" s="204"/>
      <c r="CUL35" s="204"/>
      <c r="CUM35" s="204"/>
      <c r="CUN35" s="204"/>
      <c r="CUO35" s="204"/>
      <c r="CUP35" s="204"/>
      <c r="CUQ35" s="204"/>
      <c r="CUR35" s="204"/>
      <c r="CUS35" s="204"/>
      <c r="CUT35" s="204"/>
      <c r="CUU35" s="204"/>
      <c r="CUV35" s="204"/>
      <c r="CUW35" s="204"/>
      <c r="CUX35" s="204"/>
      <c r="CUY35" s="204"/>
      <c r="CUZ35" s="204"/>
      <c r="CVA35" s="204"/>
      <c r="CVB35" s="204"/>
      <c r="CVC35" s="204"/>
      <c r="CVD35" s="204"/>
      <c r="CVE35" s="204"/>
      <c r="CVF35" s="204"/>
      <c r="CVG35" s="204"/>
      <c r="CVH35" s="204"/>
      <c r="CVI35" s="204"/>
      <c r="CVJ35" s="204"/>
      <c r="CVK35" s="204"/>
      <c r="CVL35" s="204"/>
      <c r="CVM35" s="204"/>
      <c r="CVN35" s="204"/>
      <c r="CVO35" s="204"/>
      <c r="CVP35" s="204"/>
      <c r="CVQ35" s="204"/>
      <c r="CVR35" s="204"/>
      <c r="CVS35" s="204"/>
      <c r="CVT35" s="204"/>
      <c r="CVU35" s="204"/>
      <c r="CVV35" s="204"/>
      <c r="CVW35" s="204"/>
      <c r="CVX35" s="204"/>
      <c r="CVY35" s="204"/>
      <c r="CVZ35" s="204"/>
      <c r="CWA35" s="204"/>
      <c r="CWB35" s="204"/>
      <c r="CWC35" s="204"/>
      <c r="CWD35" s="204"/>
      <c r="CWE35" s="204"/>
      <c r="CWF35" s="204"/>
      <c r="CWG35" s="204"/>
      <c r="CWH35" s="204"/>
      <c r="CWI35" s="204"/>
      <c r="CWJ35" s="204"/>
      <c r="CWK35" s="204"/>
      <c r="CWL35" s="204"/>
      <c r="CWM35" s="204"/>
      <c r="CWN35" s="204"/>
      <c r="CWO35" s="204"/>
      <c r="CWP35" s="204"/>
      <c r="CWQ35" s="204"/>
      <c r="CWR35" s="204"/>
      <c r="CWS35" s="204"/>
      <c r="CWT35" s="204"/>
      <c r="CWU35" s="204"/>
      <c r="CWV35" s="204"/>
      <c r="CWW35" s="204"/>
      <c r="CWX35" s="204"/>
      <c r="CWY35" s="204"/>
      <c r="CWZ35" s="204"/>
      <c r="CXA35" s="204"/>
      <c r="CXB35" s="204"/>
      <c r="CXC35" s="204"/>
      <c r="CXD35" s="204"/>
      <c r="CXE35" s="204"/>
      <c r="CXF35" s="204"/>
      <c r="CXG35" s="204"/>
      <c r="CXH35" s="204"/>
      <c r="CXI35" s="204"/>
      <c r="CXJ35" s="204"/>
      <c r="CXK35" s="204"/>
      <c r="CXL35" s="204"/>
      <c r="CXM35" s="204"/>
      <c r="CXN35" s="204"/>
      <c r="CXO35" s="204"/>
      <c r="CXP35" s="204"/>
      <c r="CXQ35" s="204"/>
      <c r="CXR35" s="204"/>
      <c r="CXS35" s="204"/>
      <c r="CXT35" s="204"/>
      <c r="CXU35" s="204"/>
      <c r="CXV35" s="204"/>
      <c r="CXW35" s="204"/>
      <c r="CXX35" s="204"/>
      <c r="CXY35" s="204"/>
      <c r="CXZ35" s="204"/>
      <c r="CYA35" s="204"/>
      <c r="CYB35" s="204"/>
      <c r="CYC35" s="204"/>
      <c r="CYD35" s="204"/>
      <c r="CYE35" s="204"/>
      <c r="CYF35" s="204"/>
      <c r="CYG35" s="204"/>
      <c r="CYH35" s="204"/>
      <c r="CYI35" s="204"/>
      <c r="CYJ35" s="204"/>
      <c r="CYK35" s="204"/>
      <c r="CYL35" s="204"/>
      <c r="CYM35" s="204"/>
      <c r="CYN35" s="204"/>
      <c r="CYO35" s="204"/>
      <c r="CYP35" s="204"/>
      <c r="CYQ35" s="204"/>
      <c r="CYR35" s="204"/>
      <c r="CYS35" s="204"/>
      <c r="CYT35" s="204"/>
      <c r="CYU35" s="204"/>
      <c r="CYV35" s="204"/>
      <c r="CYW35" s="204"/>
      <c r="CYX35" s="204"/>
      <c r="CYY35" s="204"/>
      <c r="CYZ35" s="204"/>
      <c r="CZA35" s="204"/>
      <c r="CZB35" s="204"/>
      <c r="CZC35" s="204"/>
      <c r="CZD35" s="204"/>
      <c r="CZE35" s="204"/>
      <c r="CZF35" s="204"/>
      <c r="CZG35" s="204"/>
      <c r="CZH35" s="204"/>
      <c r="CZI35" s="204"/>
      <c r="CZJ35" s="204"/>
      <c r="CZK35" s="204"/>
      <c r="CZL35" s="204"/>
      <c r="CZM35" s="204"/>
      <c r="CZN35" s="204"/>
      <c r="CZO35" s="204"/>
      <c r="CZP35" s="204"/>
      <c r="CZQ35" s="204"/>
      <c r="CZR35" s="204"/>
      <c r="CZS35" s="204"/>
      <c r="CZT35" s="204"/>
      <c r="CZU35" s="204"/>
      <c r="CZV35" s="204"/>
      <c r="CZW35" s="204"/>
      <c r="CZX35" s="204"/>
      <c r="CZY35" s="204"/>
      <c r="CZZ35" s="204"/>
      <c r="DAA35" s="204"/>
      <c r="DAB35" s="204"/>
      <c r="DAC35" s="204"/>
      <c r="DAD35" s="204"/>
      <c r="DAE35" s="204"/>
      <c r="DAF35" s="204"/>
      <c r="DAG35" s="204"/>
      <c r="DAH35" s="204"/>
      <c r="DAI35" s="204"/>
      <c r="DAJ35" s="204"/>
      <c r="DAK35" s="204"/>
      <c r="DAL35" s="204"/>
      <c r="DAM35" s="204"/>
      <c r="DAN35" s="204"/>
      <c r="DAO35" s="204"/>
      <c r="DAP35" s="204"/>
      <c r="DAQ35" s="204"/>
      <c r="DAR35" s="204"/>
      <c r="DAS35" s="204"/>
      <c r="DAT35" s="204"/>
      <c r="DAU35" s="204"/>
      <c r="DAV35" s="204"/>
      <c r="DAW35" s="204"/>
      <c r="DAX35" s="204"/>
      <c r="DAY35" s="204"/>
      <c r="DAZ35" s="204"/>
      <c r="DBA35" s="204"/>
      <c r="DBB35" s="204"/>
      <c r="DBC35" s="204"/>
      <c r="DBD35" s="204"/>
      <c r="DBE35" s="204"/>
      <c r="DBF35" s="204"/>
      <c r="DBG35" s="204"/>
      <c r="DBH35" s="204"/>
      <c r="DBI35" s="204"/>
      <c r="DBJ35" s="204"/>
      <c r="DBK35" s="204"/>
      <c r="DBL35" s="204"/>
      <c r="DBM35" s="204"/>
      <c r="DBN35" s="204"/>
      <c r="DBO35" s="204"/>
      <c r="DBP35" s="204"/>
      <c r="DBQ35" s="204"/>
      <c r="DBR35" s="204"/>
      <c r="DBS35" s="204"/>
      <c r="DBT35" s="204"/>
      <c r="DBU35" s="204"/>
      <c r="DBV35" s="204"/>
      <c r="DBW35" s="204"/>
      <c r="DBX35" s="204"/>
      <c r="DBY35" s="204"/>
      <c r="DBZ35" s="204"/>
      <c r="DCA35" s="204"/>
      <c r="DCB35" s="204"/>
      <c r="DCC35" s="204"/>
      <c r="DCD35" s="204"/>
      <c r="DCE35" s="204"/>
      <c r="DCF35" s="204"/>
      <c r="DCG35" s="204"/>
      <c r="DCH35" s="204"/>
      <c r="DCI35" s="204"/>
      <c r="DCJ35" s="204"/>
      <c r="DCK35" s="204"/>
      <c r="DCL35" s="204"/>
      <c r="DCM35" s="204"/>
      <c r="DCN35" s="204"/>
      <c r="DCO35" s="204"/>
      <c r="DCP35" s="204"/>
      <c r="DCQ35" s="204"/>
      <c r="DCR35" s="204"/>
      <c r="DCS35" s="204"/>
      <c r="DCT35" s="204"/>
      <c r="DCU35" s="204"/>
      <c r="DCV35" s="204"/>
      <c r="DCW35" s="204"/>
      <c r="DCX35" s="204"/>
      <c r="DCY35" s="204"/>
      <c r="DCZ35" s="204"/>
      <c r="DDA35" s="204"/>
      <c r="DDB35" s="204"/>
      <c r="DDC35" s="204"/>
      <c r="DDD35" s="204"/>
      <c r="DDE35" s="204"/>
      <c r="DDF35" s="204"/>
      <c r="DDG35" s="204"/>
      <c r="DDH35" s="204"/>
      <c r="DDI35" s="204"/>
      <c r="DDJ35" s="204"/>
      <c r="DDK35" s="204"/>
      <c r="DDL35" s="204"/>
      <c r="DDM35" s="204"/>
      <c r="DDN35" s="204"/>
      <c r="DDO35" s="204"/>
      <c r="DDP35" s="204"/>
      <c r="DDQ35" s="204"/>
      <c r="DDR35" s="204"/>
      <c r="DDS35" s="204"/>
      <c r="DDT35" s="204"/>
      <c r="DDU35" s="204"/>
      <c r="DDV35" s="204"/>
      <c r="DDW35" s="204"/>
      <c r="DDX35" s="204"/>
      <c r="DDY35" s="204"/>
      <c r="DDZ35" s="204"/>
      <c r="DEA35" s="204"/>
      <c r="DEB35" s="204"/>
      <c r="DEC35" s="204"/>
      <c r="DED35" s="204"/>
      <c r="DEE35" s="204"/>
      <c r="DEF35" s="204"/>
      <c r="DEG35" s="204"/>
      <c r="DEH35" s="204"/>
      <c r="DEI35" s="204"/>
      <c r="DEJ35" s="204"/>
      <c r="DEK35" s="204"/>
      <c r="DEL35" s="204"/>
      <c r="DEM35" s="204"/>
      <c r="DEN35" s="204"/>
      <c r="DEO35" s="204"/>
      <c r="DEP35" s="204"/>
      <c r="DEQ35" s="204"/>
      <c r="DER35" s="204"/>
      <c r="DES35" s="204"/>
      <c r="DET35" s="204"/>
      <c r="DEU35" s="204"/>
      <c r="DEV35" s="204"/>
      <c r="DEW35" s="204"/>
      <c r="DEX35" s="204"/>
      <c r="DEY35" s="204"/>
      <c r="DEZ35" s="204"/>
      <c r="DFA35" s="204"/>
      <c r="DFB35" s="204"/>
      <c r="DFC35" s="204"/>
      <c r="DFD35" s="204"/>
      <c r="DFE35" s="204"/>
      <c r="DFF35" s="204"/>
      <c r="DFG35" s="204"/>
      <c r="DFH35" s="204"/>
      <c r="DFI35" s="204"/>
      <c r="DFJ35" s="204"/>
      <c r="DFK35" s="204"/>
      <c r="DFL35" s="204"/>
      <c r="DFM35" s="204"/>
      <c r="DFN35" s="204"/>
      <c r="DFO35" s="204"/>
      <c r="DFP35" s="204"/>
      <c r="DFQ35" s="204"/>
      <c r="DFR35" s="204"/>
      <c r="DFS35" s="204"/>
      <c r="DFT35" s="204"/>
      <c r="DFU35" s="204"/>
      <c r="DFV35" s="204"/>
      <c r="DFW35" s="204"/>
      <c r="DFX35" s="204"/>
      <c r="DFY35" s="204"/>
      <c r="DFZ35" s="204"/>
      <c r="DGA35" s="204"/>
      <c r="DGB35" s="204"/>
      <c r="DGC35" s="204"/>
      <c r="DGD35" s="204"/>
      <c r="DGE35" s="204"/>
      <c r="DGF35" s="204"/>
      <c r="DGG35" s="204"/>
      <c r="DGH35" s="204"/>
      <c r="DGI35" s="204"/>
      <c r="DGJ35" s="204"/>
      <c r="DGK35" s="204"/>
      <c r="DGL35" s="204"/>
      <c r="DGM35" s="204"/>
      <c r="DGN35" s="204"/>
      <c r="DGO35" s="204"/>
      <c r="DGP35" s="204"/>
      <c r="DGQ35" s="204"/>
      <c r="DGR35" s="204"/>
      <c r="DGS35" s="204"/>
      <c r="DGT35" s="204"/>
      <c r="DGU35" s="204"/>
      <c r="DGV35" s="204"/>
      <c r="DGW35" s="204"/>
      <c r="DGX35" s="204"/>
      <c r="DGY35" s="204"/>
      <c r="DGZ35" s="204"/>
      <c r="DHA35" s="204"/>
      <c r="DHB35" s="204"/>
      <c r="DHC35" s="204"/>
      <c r="DHD35" s="204"/>
      <c r="DHE35" s="204"/>
      <c r="DHF35" s="204"/>
      <c r="DHG35" s="204"/>
      <c r="DHH35" s="204"/>
      <c r="DHI35" s="204"/>
      <c r="DHJ35" s="204"/>
      <c r="DHK35" s="204"/>
      <c r="DHL35" s="204"/>
      <c r="DHM35" s="204"/>
      <c r="DHN35" s="204"/>
      <c r="DHO35" s="204"/>
      <c r="DHP35" s="204"/>
      <c r="DHQ35" s="204"/>
      <c r="DHR35" s="204"/>
      <c r="DHS35" s="204"/>
      <c r="DHT35" s="204"/>
      <c r="DHU35" s="204"/>
      <c r="DHV35" s="204"/>
      <c r="DHW35" s="204"/>
      <c r="DHX35" s="204"/>
      <c r="DHY35" s="204"/>
      <c r="DHZ35" s="204"/>
      <c r="DIA35" s="204"/>
      <c r="DIB35" s="204"/>
      <c r="DIC35" s="204"/>
      <c r="DID35" s="204"/>
      <c r="DIE35" s="204"/>
      <c r="DIF35" s="204"/>
      <c r="DIG35" s="204"/>
      <c r="DIH35" s="204"/>
      <c r="DII35" s="204"/>
      <c r="DIJ35" s="204"/>
      <c r="DIK35" s="204"/>
      <c r="DIL35" s="204"/>
      <c r="DIM35" s="204"/>
      <c r="DIN35" s="204"/>
      <c r="DIO35" s="204"/>
      <c r="DIP35" s="204"/>
      <c r="DIQ35" s="204"/>
      <c r="DIR35" s="204"/>
      <c r="DIS35" s="204"/>
      <c r="DIT35" s="204"/>
      <c r="DIU35" s="204"/>
      <c r="DIV35" s="204"/>
      <c r="DIW35" s="204"/>
      <c r="DIX35" s="204"/>
      <c r="DIY35" s="204"/>
      <c r="DIZ35" s="204"/>
      <c r="DJA35" s="204"/>
      <c r="DJB35" s="204"/>
      <c r="DJC35" s="204"/>
      <c r="DJD35" s="204"/>
      <c r="DJE35" s="204"/>
      <c r="DJF35" s="204"/>
      <c r="DJG35" s="204"/>
      <c r="DJH35" s="204"/>
      <c r="DJI35" s="204"/>
      <c r="DJJ35" s="204"/>
      <c r="DJK35" s="204"/>
      <c r="DJL35" s="204"/>
      <c r="DJM35" s="204"/>
      <c r="DJN35" s="204"/>
      <c r="DJO35" s="204"/>
      <c r="DJP35" s="204"/>
      <c r="DJQ35" s="204"/>
      <c r="DJR35" s="204"/>
      <c r="DJS35" s="204"/>
      <c r="DJT35" s="204"/>
      <c r="DJU35" s="204"/>
      <c r="DJV35" s="204"/>
      <c r="DJW35" s="204"/>
      <c r="DJX35" s="204"/>
      <c r="DJY35" s="204"/>
      <c r="DJZ35" s="204"/>
      <c r="DKA35" s="204"/>
      <c r="DKB35" s="204"/>
      <c r="DKC35" s="204"/>
      <c r="DKD35" s="204"/>
      <c r="DKE35" s="204"/>
      <c r="DKF35" s="204"/>
      <c r="DKG35" s="204"/>
      <c r="DKH35" s="204"/>
      <c r="DKI35" s="204"/>
      <c r="DKJ35" s="204"/>
      <c r="DKK35" s="204"/>
      <c r="DKL35" s="204"/>
      <c r="DKM35" s="204"/>
      <c r="DKN35" s="204"/>
      <c r="DKO35" s="204"/>
      <c r="DKP35" s="204"/>
      <c r="DKQ35" s="204"/>
      <c r="DKR35" s="204"/>
      <c r="DKS35" s="204"/>
      <c r="DKT35" s="204"/>
      <c r="DKU35" s="204"/>
      <c r="DKV35" s="204"/>
      <c r="DKW35" s="204"/>
      <c r="DKX35" s="204"/>
      <c r="DKY35" s="204"/>
      <c r="DKZ35" s="204"/>
      <c r="DLA35" s="204"/>
      <c r="DLB35" s="204"/>
      <c r="DLC35" s="204"/>
      <c r="DLD35" s="204"/>
      <c r="DLE35" s="204"/>
      <c r="DLF35" s="204"/>
      <c r="DLG35" s="204"/>
      <c r="DLH35" s="204"/>
      <c r="DLI35" s="204"/>
      <c r="DLJ35" s="204"/>
      <c r="DLK35" s="204"/>
      <c r="DLL35" s="204"/>
      <c r="DLM35" s="204"/>
      <c r="DLN35" s="204"/>
      <c r="DLO35" s="204"/>
      <c r="DLP35" s="204"/>
      <c r="DLQ35" s="204"/>
      <c r="DLR35" s="204"/>
      <c r="DLS35" s="204"/>
      <c r="DLT35" s="204"/>
      <c r="DLU35" s="204"/>
      <c r="DLV35" s="204"/>
      <c r="DLW35" s="204"/>
      <c r="DLX35" s="204"/>
      <c r="DLY35" s="204"/>
      <c r="DLZ35" s="204"/>
      <c r="DMA35" s="204"/>
      <c r="DMB35" s="204"/>
      <c r="DMC35" s="204"/>
      <c r="DMD35" s="204"/>
      <c r="DME35" s="204"/>
      <c r="DMF35" s="204"/>
      <c r="DMG35" s="204"/>
      <c r="DMH35" s="204"/>
      <c r="DMI35" s="204"/>
      <c r="DMJ35" s="204"/>
      <c r="DMK35" s="204"/>
      <c r="DML35" s="204"/>
      <c r="DMM35" s="204"/>
      <c r="DMN35" s="204"/>
      <c r="DMO35" s="204"/>
      <c r="DMP35" s="204"/>
      <c r="DMQ35" s="204"/>
      <c r="DMR35" s="204"/>
      <c r="DMS35" s="204"/>
      <c r="DMT35" s="204"/>
      <c r="DMU35" s="204"/>
      <c r="DMV35" s="204"/>
      <c r="DMW35" s="204"/>
      <c r="DMX35" s="204"/>
      <c r="DMY35" s="204"/>
      <c r="DMZ35" s="204"/>
      <c r="DNA35" s="204"/>
      <c r="DNB35" s="204"/>
      <c r="DNC35" s="204"/>
      <c r="DND35" s="204"/>
      <c r="DNE35" s="204"/>
      <c r="DNF35" s="204"/>
      <c r="DNG35" s="204"/>
      <c r="DNH35" s="204"/>
      <c r="DNI35" s="204"/>
      <c r="DNJ35" s="204"/>
      <c r="DNK35" s="204"/>
      <c r="DNL35" s="204"/>
      <c r="DNM35" s="204"/>
      <c r="DNN35" s="204"/>
      <c r="DNO35" s="204"/>
      <c r="DNP35" s="204"/>
      <c r="DNQ35" s="204"/>
      <c r="DNR35" s="204"/>
      <c r="DNS35" s="204"/>
      <c r="DNT35" s="204"/>
      <c r="DNU35" s="204"/>
      <c r="DNV35" s="204"/>
      <c r="DNW35" s="204"/>
      <c r="DNX35" s="204"/>
      <c r="DNY35" s="204"/>
      <c r="DNZ35" s="204"/>
      <c r="DOA35" s="204"/>
      <c r="DOB35" s="204"/>
      <c r="DOC35" s="204"/>
      <c r="DOD35" s="204"/>
      <c r="DOE35" s="204"/>
      <c r="DOF35" s="204"/>
      <c r="DOG35" s="204"/>
      <c r="DOH35" s="204"/>
      <c r="DOI35" s="204"/>
      <c r="DOJ35" s="204"/>
      <c r="DOK35" s="204"/>
      <c r="DOL35" s="204"/>
      <c r="DOM35" s="204"/>
      <c r="DON35" s="204"/>
      <c r="DOO35" s="204"/>
      <c r="DOP35" s="204"/>
      <c r="DOQ35" s="204"/>
      <c r="DOR35" s="204"/>
      <c r="DOS35" s="204"/>
      <c r="DOT35" s="204"/>
      <c r="DOU35" s="204"/>
      <c r="DOV35" s="204"/>
      <c r="DOW35" s="204"/>
      <c r="DOX35" s="204"/>
      <c r="DOY35" s="204"/>
      <c r="DOZ35" s="204"/>
      <c r="DPA35" s="204"/>
      <c r="DPB35" s="204"/>
      <c r="DPC35" s="204"/>
      <c r="DPD35" s="204"/>
      <c r="DPE35" s="204"/>
      <c r="DPF35" s="204"/>
      <c r="DPG35" s="204"/>
      <c r="DPH35" s="204"/>
      <c r="DPI35" s="204"/>
      <c r="DPJ35" s="204"/>
      <c r="DPK35" s="204"/>
      <c r="DPL35" s="204"/>
      <c r="DPM35" s="204"/>
      <c r="DPN35" s="204"/>
      <c r="DPO35" s="204"/>
      <c r="DPP35" s="204"/>
      <c r="DPQ35" s="204"/>
      <c r="DPR35" s="204"/>
      <c r="DPS35" s="204"/>
      <c r="DPT35" s="204"/>
      <c r="DPU35" s="204"/>
      <c r="DPV35" s="204"/>
      <c r="DPW35" s="204"/>
      <c r="DPX35" s="204"/>
      <c r="DPY35" s="204"/>
      <c r="DPZ35" s="204"/>
      <c r="DQA35" s="204"/>
      <c r="DQB35" s="204"/>
      <c r="DQC35" s="204"/>
      <c r="DQD35" s="204"/>
      <c r="DQE35" s="204"/>
      <c r="DQF35" s="204"/>
      <c r="DQG35" s="204"/>
      <c r="DQH35" s="204"/>
      <c r="DQI35" s="204"/>
      <c r="DQJ35" s="204"/>
      <c r="DQK35" s="204"/>
      <c r="DQL35" s="204"/>
      <c r="DQM35" s="204"/>
      <c r="DQN35" s="204"/>
      <c r="DQO35" s="204"/>
      <c r="DQP35" s="204"/>
      <c r="DQQ35" s="204"/>
      <c r="DQR35" s="204"/>
      <c r="DQS35" s="204"/>
      <c r="DQT35" s="204"/>
      <c r="DQU35" s="204"/>
      <c r="DQV35" s="204"/>
      <c r="DQW35" s="204"/>
      <c r="DQX35" s="204"/>
      <c r="DQY35" s="204"/>
      <c r="DQZ35" s="204"/>
      <c r="DRA35" s="204"/>
      <c r="DRB35" s="204"/>
      <c r="DRC35" s="204"/>
      <c r="DRD35" s="204"/>
      <c r="DRE35" s="204"/>
      <c r="DRF35" s="204"/>
      <c r="DRG35" s="204"/>
      <c r="DRH35" s="204"/>
      <c r="DRI35" s="204"/>
      <c r="DRJ35" s="204"/>
      <c r="DRK35" s="204"/>
      <c r="DRL35" s="204"/>
      <c r="DRM35" s="204"/>
      <c r="DRN35" s="204"/>
      <c r="DRO35" s="204"/>
      <c r="DRP35" s="204"/>
      <c r="DRQ35" s="204"/>
      <c r="DRR35" s="204"/>
      <c r="DRS35" s="204"/>
      <c r="DRT35" s="204"/>
      <c r="DRU35" s="204"/>
      <c r="DRV35" s="204"/>
      <c r="DRW35" s="204"/>
      <c r="DRX35" s="204"/>
      <c r="DRY35" s="204"/>
      <c r="DRZ35" s="204"/>
      <c r="DSA35" s="204"/>
      <c r="DSB35" s="204"/>
      <c r="DSC35" s="204"/>
      <c r="DSD35" s="204"/>
      <c r="DSE35" s="204"/>
      <c r="DSF35" s="204"/>
      <c r="DSG35" s="204"/>
      <c r="DSH35" s="204"/>
      <c r="DSI35" s="204"/>
      <c r="DSJ35" s="204"/>
      <c r="DSK35" s="204"/>
      <c r="DSL35" s="204"/>
      <c r="DSM35" s="204"/>
      <c r="DSN35" s="204"/>
      <c r="DSO35" s="204"/>
      <c r="DSP35" s="204"/>
      <c r="DSQ35" s="204"/>
      <c r="DSR35" s="204"/>
      <c r="DSS35" s="204"/>
      <c r="DST35" s="204"/>
      <c r="DSU35" s="204"/>
      <c r="DSV35" s="204"/>
      <c r="DSW35" s="204"/>
      <c r="DSX35" s="204"/>
      <c r="DSY35" s="204"/>
      <c r="DSZ35" s="204"/>
      <c r="DTA35" s="204"/>
      <c r="DTB35" s="204"/>
      <c r="DTC35" s="204"/>
      <c r="DTD35" s="204"/>
      <c r="DTE35" s="204"/>
      <c r="DTF35" s="204"/>
      <c r="DTG35" s="204"/>
      <c r="DTH35" s="204"/>
      <c r="DTI35" s="204"/>
      <c r="DTJ35" s="204"/>
      <c r="DTK35" s="204"/>
      <c r="DTL35" s="204"/>
      <c r="DTM35" s="204"/>
      <c r="DTN35" s="204"/>
      <c r="DTO35" s="204"/>
      <c r="DTP35" s="204"/>
      <c r="DTQ35" s="204"/>
      <c r="DTR35" s="204"/>
      <c r="DTS35" s="204"/>
      <c r="DTT35" s="204"/>
      <c r="DTU35" s="204"/>
      <c r="DTV35" s="204"/>
      <c r="DTW35" s="204"/>
      <c r="DTX35" s="204"/>
      <c r="DTY35" s="204"/>
      <c r="DTZ35" s="204"/>
      <c r="DUA35" s="204"/>
      <c r="DUB35" s="204"/>
      <c r="DUC35" s="204"/>
      <c r="DUD35" s="204"/>
      <c r="DUE35" s="204"/>
      <c r="DUF35" s="204"/>
      <c r="DUG35" s="204"/>
      <c r="DUH35" s="204"/>
      <c r="DUI35" s="204"/>
      <c r="DUJ35" s="204"/>
      <c r="DUK35" s="204"/>
      <c r="DUL35" s="204"/>
      <c r="DUM35" s="204"/>
      <c r="DUN35" s="204"/>
      <c r="DUO35" s="204"/>
      <c r="DUP35" s="204"/>
      <c r="DUQ35" s="204"/>
      <c r="DUR35" s="204"/>
      <c r="DUS35" s="204"/>
      <c r="DUT35" s="204"/>
      <c r="DUU35" s="204"/>
      <c r="DUV35" s="204"/>
      <c r="DUW35" s="204"/>
      <c r="DUX35" s="204"/>
      <c r="DUY35" s="204"/>
      <c r="DUZ35" s="204"/>
      <c r="DVA35" s="204"/>
      <c r="DVB35" s="204"/>
      <c r="DVC35" s="204"/>
      <c r="DVD35" s="204"/>
      <c r="DVE35" s="204"/>
      <c r="DVF35" s="204"/>
      <c r="DVG35" s="204"/>
      <c r="DVH35" s="204"/>
      <c r="DVI35" s="204"/>
      <c r="DVJ35" s="204"/>
      <c r="DVK35" s="204"/>
      <c r="DVL35" s="204"/>
      <c r="DVM35" s="204"/>
      <c r="DVN35" s="204"/>
      <c r="DVO35" s="204"/>
      <c r="DVP35" s="204"/>
      <c r="DVQ35" s="204"/>
      <c r="DVR35" s="204"/>
      <c r="DVS35" s="204"/>
      <c r="DVT35" s="204"/>
      <c r="DVU35" s="204"/>
      <c r="DVV35" s="204"/>
      <c r="DVW35" s="204"/>
      <c r="DVX35" s="204"/>
      <c r="DVY35" s="204"/>
      <c r="DVZ35" s="204"/>
      <c r="DWA35" s="204"/>
      <c r="DWB35" s="204"/>
      <c r="DWC35" s="204"/>
      <c r="DWD35" s="204"/>
      <c r="DWE35" s="204"/>
      <c r="DWF35" s="204"/>
      <c r="DWG35" s="204"/>
      <c r="DWH35" s="204"/>
      <c r="DWI35" s="204"/>
      <c r="DWJ35" s="204"/>
      <c r="DWK35" s="204"/>
      <c r="DWL35" s="204"/>
      <c r="DWM35" s="204"/>
      <c r="DWN35" s="204"/>
      <c r="DWO35" s="204"/>
      <c r="DWP35" s="204"/>
      <c r="DWQ35" s="204"/>
      <c r="DWR35" s="204"/>
      <c r="DWS35" s="204"/>
      <c r="DWT35" s="204"/>
      <c r="DWU35" s="204"/>
      <c r="DWV35" s="204"/>
      <c r="DWW35" s="204"/>
      <c r="DWX35" s="204"/>
      <c r="DWY35" s="204"/>
      <c r="DWZ35" s="204"/>
      <c r="DXA35" s="204"/>
      <c r="DXB35" s="204"/>
      <c r="DXC35" s="204"/>
      <c r="DXD35" s="204"/>
      <c r="DXE35" s="204"/>
      <c r="DXF35" s="204"/>
      <c r="DXG35" s="204"/>
      <c r="DXH35" s="204"/>
      <c r="DXI35" s="204"/>
      <c r="DXJ35" s="204"/>
      <c r="DXK35" s="204"/>
      <c r="DXL35" s="204"/>
      <c r="DXM35" s="204"/>
      <c r="DXN35" s="204"/>
      <c r="DXO35" s="204"/>
      <c r="DXP35" s="204"/>
      <c r="DXQ35" s="204"/>
      <c r="DXR35" s="204"/>
      <c r="DXS35" s="204"/>
      <c r="DXT35" s="204"/>
      <c r="DXU35" s="204"/>
      <c r="DXV35" s="204"/>
      <c r="DXW35" s="204"/>
      <c r="DXX35" s="204"/>
      <c r="DXY35" s="204"/>
      <c r="DXZ35" s="204"/>
      <c r="DYA35" s="204"/>
      <c r="DYB35" s="204"/>
      <c r="DYC35" s="204"/>
      <c r="DYD35" s="204"/>
      <c r="DYE35" s="204"/>
      <c r="DYF35" s="204"/>
      <c r="DYG35" s="204"/>
      <c r="DYH35" s="204"/>
      <c r="DYI35" s="204"/>
      <c r="DYJ35" s="204"/>
      <c r="DYK35" s="204"/>
      <c r="DYL35" s="204"/>
      <c r="DYM35" s="204"/>
      <c r="DYN35" s="204"/>
      <c r="DYO35" s="204"/>
      <c r="DYP35" s="204"/>
      <c r="DYQ35" s="204"/>
      <c r="DYR35" s="204"/>
      <c r="DYS35" s="204"/>
      <c r="DYT35" s="204"/>
      <c r="DYU35" s="204"/>
      <c r="DYV35" s="204"/>
      <c r="DYW35" s="204"/>
      <c r="DYX35" s="204"/>
      <c r="DYY35" s="204"/>
      <c r="DYZ35" s="204"/>
      <c r="DZA35" s="204"/>
      <c r="DZB35" s="204"/>
      <c r="DZC35" s="204"/>
      <c r="DZD35" s="204"/>
      <c r="DZE35" s="204"/>
      <c r="DZF35" s="204"/>
      <c r="DZG35" s="204"/>
      <c r="DZH35" s="204"/>
      <c r="DZI35" s="204"/>
      <c r="DZJ35" s="204"/>
      <c r="DZK35" s="204"/>
      <c r="DZL35" s="204"/>
      <c r="DZM35" s="204"/>
      <c r="DZN35" s="204"/>
      <c r="DZO35" s="204"/>
      <c r="DZP35" s="204"/>
      <c r="DZQ35" s="204"/>
      <c r="DZR35" s="204"/>
      <c r="DZS35" s="204"/>
      <c r="DZT35" s="204"/>
      <c r="DZU35" s="204"/>
      <c r="DZV35" s="204"/>
      <c r="DZW35" s="204"/>
      <c r="DZX35" s="204"/>
      <c r="DZY35" s="204"/>
      <c r="DZZ35" s="204"/>
      <c r="EAA35" s="204"/>
      <c r="EAB35" s="204"/>
      <c r="EAC35" s="204"/>
      <c r="EAD35" s="204"/>
      <c r="EAE35" s="204"/>
      <c r="EAF35" s="204"/>
      <c r="EAG35" s="204"/>
      <c r="EAH35" s="204"/>
      <c r="EAI35" s="204"/>
      <c r="EAJ35" s="204"/>
      <c r="EAK35" s="204"/>
      <c r="EAL35" s="204"/>
      <c r="EAM35" s="204"/>
      <c r="EAN35" s="204"/>
      <c r="EAO35" s="204"/>
      <c r="EAP35" s="204"/>
      <c r="EAQ35" s="204"/>
      <c r="EAR35" s="204"/>
      <c r="EAS35" s="204"/>
      <c r="EAT35" s="204"/>
      <c r="EAU35" s="204"/>
      <c r="EAV35" s="204"/>
      <c r="EAW35" s="204"/>
      <c r="EAX35" s="204"/>
      <c r="EAY35" s="204"/>
      <c r="EAZ35" s="204"/>
      <c r="EBA35" s="204"/>
      <c r="EBB35" s="204"/>
      <c r="EBC35" s="204"/>
      <c r="EBD35" s="204"/>
      <c r="EBE35" s="204"/>
      <c r="EBF35" s="204"/>
      <c r="EBG35" s="204"/>
      <c r="EBH35" s="204"/>
      <c r="EBI35" s="204"/>
      <c r="EBJ35" s="204"/>
      <c r="EBK35" s="204"/>
      <c r="EBL35" s="204"/>
      <c r="EBM35" s="204"/>
      <c r="EBN35" s="204"/>
      <c r="EBO35" s="204"/>
      <c r="EBP35" s="204"/>
      <c r="EBQ35" s="204"/>
      <c r="EBR35" s="204"/>
      <c r="EBS35" s="204"/>
      <c r="EBT35" s="204"/>
      <c r="EBU35" s="204"/>
      <c r="EBV35" s="204"/>
      <c r="EBW35" s="204"/>
      <c r="EBX35" s="204"/>
      <c r="EBY35" s="204"/>
      <c r="EBZ35" s="204"/>
      <c r="ECA35" s="204"/>
      <c r="ECB35" s="204"/>
      <c r="ECC35" s="204"/>
      <c r="ECD35" s="204"/>
      <c r="ECE35" s="204"/>
      <c r="ECF35" s="204"/>
      <c r="ECG35" s="204"/>
      <c r="ECH35" s="204"/>
      <c r="ECI35" s="204"/>
      <c r="ECJ35" s="204"/>
      <c r="ECK35" s="204"/>
      <c r="ECL35" s="204"/>
      <c r="ECM35" s="204"/>
      <c r="ECN35" s="204"/>
      <c r="ECO35" s="204"/>
      <c r="ECP35" s="204"/>
      <c r="ECQ35" s="204"/>
      <c r="ECR35" s="204"/>
      <c r="ECS35" s="204"/>
      <c r="ECT35" s="204"/>
      <c r="ECU35" s="204"/>
      <c r="ECV35" s="204"/>
      <c r="ECW35" s="204"/>
      <c r="ECX35" s="204"/>
      <c r="ECY35" s="204"/>
      <c r="ECZ35" s="204"/>
      <c r="EDA35" s="204"/>
      <c r="EDB35" s="204"/>
      <c r="EDC35" s="204"/>
      <c r="EDD35" s="204"/>
      <c r="EDE35" s="204"/>
      <c r="EDF35" s="204"/>
      <c r="EDG35" s="204"/>
      <c r="EDH35" s="204"/>
      <c r="EDI35" s="204"/>
      <c r="EDJ35" s="204"/>
      <c r="EDK35" s="204"/>
      <c r="EDL35" s="204"/>
      <c r="EDM35" s="204"/>
      <c r="EDN35" s="204"/>
      <c r="EDO35" s="204"/>
      <c r="EDP35" s="204"/>
      <c r="EDQ35" s="204"/>
      <c r="EDR35" s="204"/>
      <c r="EDS35" s="204"/>
      <c r="EDT35" s="204"/>
      <c r="EDU35" s="204"/>
      <c r="EDV35" s="204"/>
      <c r="EDW35" s="204"/>
      <c r="EDX35" s="204"/>
      <c r="EDY35" s="204"/>
      <c r="EDZ35" s="204"/>
      <c r="EEA35" s="204"/>
      <c r="EEB35" s="204"/>
      <c r="EEC35" s="204"/>
      <c r="EED35" s="204"/>
      <c r="EEE35" s="204"/>
      <c r="EEF35" s="204"/>
      <c r="EEG35" s="204"/>
      <c r="EEH35" s="204"/>
      <c r="EEI35" s="204"/>
      <c r="EEJ35" s="204"/>
      <c r="EEK35" s="204"/>
      <c r="EEL35" s="204"/>
      <c r="EEM35" s="204"/>
      <c r="EEN35" s="204"/>
      <c r="EEO35" s="204"/>
      <c r="EEP35" s="204"/>
      <c r="EEQ35" s="204"/>
      <c r="EER35" s="204"/>
      <c r="EES35" s="204"/>
      <c r="EET35" s="204"/>
      <c r="EEU35" s="204"/>
      <c r="EEV35" s="204"/>
      <c r="EEW35" s="204"/>
      <c r="EEX35" s="204"/>
      <c r="EEY35" s="204"/>
      <c r="EEZ35" s="204"/>
      <c r="EFA35" s="204"/>
      <c r="EFB35" s="204"/>
      <c r="EFC35" s="204"/>
      <c r="EFD35" s="204"/>
      <c r="EFE35" s="204"/>
      <c r="EFF35" s="204"/>
      <c r="EFG35" s="204"/>
      <c r="EFH35" s="204"/>
      <c r="EFI35" s="204"/>
      <c r="EFJ35" s="204"/>
      <c r="EFK35" s="204"/>
      <c r="EFL35" s="204"/>
      <c r="EFM35" s="204"/>
      <c r="EFN35" s="204"/>
      <c r="EFO35" s="204"/>
      <c r="EFP35" s="204"/>
      <c r="EFQ35" s="204"/>
      <c r="EFR35" s="204"/>
      <c r="EFS35" s="204"/>
      <c r="EFT35" s="204"/>
      <c r="EFU35" s="204"/>
      <c r="EFV35" s="204"/>
      <c r="EFW35" s="204"/>
      <c r="EFX35" s="204"/>
      <c r="EFY35" s="204"/>
      <c r="EFZ35" s="204"/>
      <c r="EGA35" s="204"/>
      <c r="EGB35" s="204"/>
      <c r="EGC35" s="204"/>
      <c r="EGD35" s="204"/>
      <c r="EGE35" s="204"/>
      <c r="EGF35" s="204"/>
      <c r="EGG35" s="204"/>
      <c r="EGH35" s="204"/>
      <c r="EGI35" s="204"/>
      <c r="EGJ35" s="204"/>
      <c r="EGK35" s="204"/>
      <c r="EGL35" s="204"/>
      <c r="EGM35" s="204"/>
      <c r="EGN35" s="204"/>
      <c r="EGO35" s="204"/>
      <c r="EGP35" s="204"/>
      <c r="EGQ35" s="204"/>
      <c r="EGR35" s="204"/>
      <c r="EGS35" s="204"/>
      <c r="EGT35" s="204"/>
      <c r="EGU35" s="204"/>
      <c r="EGV35" s="204"/>
      <c r="EGW35" s="204"/>
      <c r="EGX35" s="204"/>
      <c r="EGY35" s="204"/>
      <c r="EGZ35" s="204"/>
      <c r="EHA35" s="204"/>
      <c r="EHB35" s="204"/>
      <c r="EHC35" s="204"/>
      <c r="EHD35" s="204"/>
      <c r="EHE35" s="204"/>
      <c r="EHF35" s="204"/>
      <c r="EHG35" s="204"/>
      <c r="EHH35" s="204"/>
      <c r="EHI35" s="204"/>
      <c r="EHJ35" s="204"/>
      <c r="EHK35" s="204"/>
      <c r="EHL35" s="204"/>
      <c r="EHM35" s="204"/>
      <c r="EHN35" s="204"/>
      <c r="EHO35" s="204"/>
      <c r="EHP35" s="204"/>
      <c r="EHQ35" s="204"/>
      <c r="EHR35" s="204"/>
      <c r="EHS35" s="204"/>
      <c r="EHT35" s="204"/>
      <c r="EHU35" s="204"/>
      <c r="EHV35" s="204"/>
      <c r="EHW35" s="204"/>
      <c r="EHX35" s="204"/>
      <c r="EHY35" s="204"/>
      <c r="EHZ35" s="204"/>
      <c r="EIA35" s="204"/>
      <c r="EIB35" s="204"/>
      <c r="EIC35" s="204"/>
      <c r="EID35" s="204"/>
      <c r="EIE35" s="204"/>
      <c r="EIF35" s="204"/>
      <c r="EIG35" s="204"/>
      <c r="EIH35" s="204"/>
      <c r="EII35" s="204"/>
      <c r="EIJ35" s="204"/>
      <c r="EIK35" s="204"/>
      <c r="EIL35" s="204"/>
      <c r="EIM35" s="204"/>
      <c r="EIN35" s="204"/>
      <c r="EIO35" s="204"/>
      <c r="EIP35" s="204"/>
      <c r="EIQ35" s="204"/>
      <c r="EIR35" s="204"/>
      <c r="EIS35" s="204"/>
      <c r="EIT35" s="204"/>
      <c r="EIU35" s="204"/>
      <c r="EIV35" s="204"/>
      <c r="EIW35" s="204"/>
      <c r="EIX35" s="204"/>
      <c r="EIY35" s="204"/>
      <c r="EIZ35" s="204"/>
      <c r="EJA35" s="204"/>
      <c r="EJB35" s="204"/>
      <c r="EJC35" s="204"/>
      <c r="EJD35" s="204"/>
      <c r="EJE35" s="204"/>
      <c r="EJF35" s="204"/>
      <c r="EJG35" s="204"/>
      <c r="EJH35" s="204"/>
      <c r="EJI35" s="204"/>
      <c r="EJJ35" s="204"/>
      <c r="EJK35" s="204"/>
      <c r="EJL35" s="204"/>
      <c r="EJM35" s="204"/>
      <c r="EJN35" s="204"/>
      <c r="EJO35" s="204"/>
      <c r="EJP35" s="204"/>
      <c r="EJQ35" s="204"/>
      <c r="EJR35" s="204"/>
      <c r="EJS35" s="204"/>
      <c r="EJT35" s="204"/>
      <c r="EJU35" s="204"/>
      <c r="EJV35" s="204"/>
      <c r="EJW35" s="204"/>
      <c r="EJX35" s="204"/>
      <c r="EJY35" s="204"/>
      <c r="EJZ35" s="204"/>
      <c r="EKA35" s="204"/>
      <c r="EKB35" s="204"/>
      <c r="EKC35" s="204"/>
      <c r="EKD35" s="204"/>
      <c r="EKE35" s="204"/>
      <c r="EKF35" s="204"/>
      <c r="EKG35" s="204"/>
      <c r="EKH35" s="204"/>
      <c r="EKI35" s="204"/>
      <c r="EKJ35" s="204"/>
      <c r="EKK35" s="204"/>
      <c r="EKL35" s="204"/>
      <c r="EKM35" s="204"/>
      <c r="EKN35" s="204"/>
      <c r="EKO35" s="204"/>
      <c r="EKP35" s="204"/>
      <c r="EKQ35" s="204"/>
      <c r="EKR35" s="204"/>
      <c r="EKS35" s="204"/>
      <c r="EKT35" s="204"/>
      <c r="EKU35" s="204"/>
      <c r="EKV35" s="204"/>
      <c r="EKW35" s="204"/>
      <c r="EKX35" s="204"/>
      <c r="EKY35" s="204"/>
      <c r="EKZ35" s="204"/>
      <c r="ELA35" s="204"/>
      <c r="ELB35" s="204"/>
      <c r="ELC35" s="204"/>
      <c r="ELD35" s="204"/>
      <c r="ELE35" s="204"/>
      <c r="ELF35" s="204"/>
      <c r="ELG35" s="204"/>
      <c r="ELH35" s="204"/>
      <c r="ELI35" s="204"/>
      <c r="ELJ35" s="204"/>
      <c r="ELK35" s="204"/>
      <c r="ELL35" s="204"/>
      <c r="ELM35" s="204"/>
      <c r="ELN35" s="204"/>
      <c r="ELO35" s="204"/>
      <c r="ELP35" s="204"/>
      <c r="ELQ35" s="204"/>
      <c r="ELR35" s="204"/>
      <c r="ELS35" s="204"/>
      <c r="ELT35" s="204"/>
      <c r="ELU35" s="204"/>
      <c r="ELV35" s="204"/>
      <c r="ELW35" s="204"/>
      <c r="ELX35" s="204"/>
      <c r="ELY35" s="204"/>
      <c r="ELZ35" s="204"/>
      <c r="EMA35" s="204"/>
      <c r="EMB35" s="204"/>
      <c r="EMC35" s="204"/>
      <c r="EMD35" s="204"/>
      <c r="EME35" s="204"/>
      <c r="EMF35" s="204"/>
      <c r="EMG35" s="204"/>
      <c r="EMH35" s="204"/>
      <c r="EMI35" s="204"/>
      <c r="EMJ35" s="204"/>
      <c r="EMK35" s="204"/>
      <c r="EML35" s="204"/>
      <c r="EMM35" s="204"/>
      <c r="EMN35" s="204"/>
      <c r="EMO35" s="204"/>
      <c r="EMP35" s="204"/>
      <c r="EMQ35" s="204"/>
      <c r="EMR35" s="204"/>
      <c r="EMS35" s="204"/>
      <c r="EMT35" s="204"/>
      <c r="EMU35" s="204"/>
      <c r="EMV35" s="204"/>
      <c r="EMW35" s="204"/>
      <c r="EMX35" s="204"/>
      <c r="EMY35" s="204"/>
      <c r="EMZ35" s="204"/>
      <c r="ENA35" s="204"/>
      <c r="ENB35" s="204"/>
      <c r="ENC35" s="204"/>
      <c r="END35" s="204"/>
      <c r="ENE35" s="204"/>
      <c r="ENF35" s="204"/>
      <c r="ENG35" s="204"/>
      <c r="ENH35" s="204"/>
      <c r="ENI35" s="204"/>
      <c r="ENJ35" s="204"/>
      <c r="ENK35" s="204"/>
      <c r="ENL35" s="204"/>
      <c r="ENM35" s="204"/>
      <c r="ENN35" s="204"/>
      <c r="ENO35" s="204"/>
      <c r="ENP35" s="204"/>
      <c r="ENQ35" s="204"/>
      <c r="ENR35" s="204"/>
      <c r="ENS35" s="204"/>
      <c r="ENT35" s="204"/>
      <c r="ENU35" s="204"/>
      <c r="ENV35" s="204"/>
      <c r="ENW35" s="204"/>
      <c r="ENX35" s="204"/>
      <c r="ENY35" s="204"/>
      <c r="ENZ35" s="204"/>
      <c r="EOA35" s="204"/>
      <c r="EOB35" s="204"/>
      <c r="EOC35" s="204"/>
      <c r="EOD35" s="204"/>
      <c r="EOE35" s="204"/>
      <c r="EOF35" s="204"/>
      <c r="EOG35" s="204"/>
      <c r="EOH35" s="204"/>
      <c r="EOI35" s="204"/>
      <c r="EOJ35" s="204"/>
      <c r="EOK35" s="204"/>
      <c r="EOL35" s="204"/>
      <c r="EOM35" s="204"/>
      <c r="EON35" s="204"/>
      <c r="EOO35" s="204"/>
      <c r="EOP35" s="204"/>
      <c r="EOQ35" s="204"/>
      <c r="EOR35" s="204"/>
      <c r="EOS35" s="204"/>
      <c r="EOT35" s="204"/>
      <c r="EOU35" s="204"/>
      <c r="EOV35" s="204"/>
      <c r="EOW35" s="204"/>
      <c r="EOX35" s="204"/>
      <c r="EOY35" s="204"/>
      <c r="EOZ35" s="204"/>
      <c r="EPA35" s="204"/>
      <c r="EPB35" s="204"/>
      <c r="EPC35" s="204"/>
      <c r="EPD35" s="204"/>
      <c r="EPE35" s="204"/>
      <c r="EPF35" s="204"/>
      <c r="EPG35" s="204"/>
      <c r="EPH35" s="204"/>
      <c r="EPI35" s="204"/>
      <c r="EPJ35" s="204"/>
      <c r="EPK35" s="204"/>
      <c r="EPL35" s="204"/>
      <c r="EPM35" s="204"/>
      <c r="EPN35" s="204"/>
      <c r="EPO35" s="204"/>
      <c r="EPP35" s="204"/>
      <c r="EPQ35" s="204"/>
      <c r="EPR35" s="204"/>
      <c r="EPS35" s="204"/>
      <c r="EPT35" s="204"/>
      <c r="EPU35" s="204"/>
      <c r="EPV35" s="204"/>
      <c r="EPW35" s="204"/>
      <c r="EPX35" s="204"/>
      <c r="EPY35" s="204"/>
      <c r="EPZ35" s="204"/>
      <c r="EQA35" s="204"/>
      <c r="EQB35" s="204"/>
      <c r="EQC35" s="204"/>
      <c r="EQD35" s="204"/>
      <c r="EQE35" s="204"/>
      <c r="EQF35" s="204"/>
      <c r="EQG35" s="204"/>
      <c r="EQH35" s="204"/>
      <c r="EQI35" s="204"/>
      <c r="EQJ35" s="204"/>
      <c r="EQK35" s="204"/>
      <c r="EQL35" s="204"/>
      <c r="EQM35" s="204"/>
      <c r="EQN35" s="204"/>
      <c r="EQO35" s="204"/>
      <c r="EQP35" s="204"/>
      <c r="EQQ35" s="204"/>
      <c r="EQR35" s="204"/>
      <c r="EQS35" s="204"/>
      <c r="EQT35" s="204"/>
      <c r="EQU35" s="204"/>
      <c r="EQV35" s="204"/>
      <c r="EQW35" s="204"/>
      <c r="EQX35" s="204"/>
      <c r="EQY35" s="204"/>
      <c r="EQZ35" s="204"/>
      <c r="ERA35" s="204"/>
      <c r="ERB35" s="204"/>
      <c r="ERC35" s="204"/>
      <c r="ERD35" s="204"/>
      <c r="ERE35" s="204"/>
      <c r="ERF35" s="204"/>
      <c r="ERG35" s="204"/>
      <c r="ERH35" s="204"/>
      <c r="ERI35" s="204"/>
      <c r="ERJ35" s="204"/>
      <c r="ERK35" s="204"/>
      <c r="ERL35" s="204"/>
      <c r="ERM35" s="204"/>
      <c r="ERN35" s="204"/>
      <c r="ERO35" s="204"/>
      <c r="ERP35" s="204"/>
      <c r="ERQ35" s="204"/>
      <c r="ERR35" s="204"/>
      <c r="ERS35" s="204"/>
      <c r="ERT35" s="204"/>
      <c r="ERU35" s="204"/>
      <c r="ERV35" s="204"/>
      <c r="ERW35" s="204"/>
      <c r="ERX35" s="204"/>
      <c r="ERY35" s="204"/>
      <c r="ERZ35" s="204"/>
      <c r="ESA35" s="204"/>
      <c r="ESB35" s="204"/>
      <c r="ESC35" s="204"/>
      <c r="ESD35" s="204"/>
      <c r="ESE35" s="204"/>
      <c r="ESF35" s="204"/>
      <c r="ESG35" s="204"/>
      <c r="ESH35" s="204"/>
      <c r="ESI35" s="204"/>
      <c r="ESJ35" s="204"/>
      <c r="ESK35" s="204"/>
      <c r="ESL35" s="204"/>
      <c r="ESM35" s="204"/>
      <c r="ESN35" s="204"/>
      <c r="ESO35" s="204"/>
      <c r="ESP35" s="204"/>
      <c r="ESQ35" s="204"/>
      <c r="ESR35" s="204"/>
      <c r="ESS35" s="204"/>
      <c r="EST35" s="204"/>
      <c r="ESU35" s="204"/>
      <c r="ESV35" s="204"/>
      <c r="ESW35" s="204"/>
      <c r="ESX35" s="204"/>
      <c r="ESY35" s="204"/>
      <c r="ESZ35" s="204"/>
      <c r="ETA35" s="204"/>
      <c r="ETB35" s="204"/>
      <c r="ETC35" s="204"/>
      <c r="ETD35" s="204"/>
      <c r="ETE35" s="204"/>
      <c r="ETF35" s="204"/>
      <c r="ETG35" s="204"/>
      <c r="ETH35" s="204"/>
      <c r="ETI35" s="204"/>
      <c r="ETJ35" s="204"/>
      <c r="ETK35" s="204"/>
      <c r="ETL35" s="204"/>
      <c r="ETM35" s="204"/>
      <c r="ETN35" s="204"/>
      <c r="ETO35" s="204"/>
      <c r="ETP35" s="204"/>
      <c r="ETQ35" s="204"/>
      <c r="ETR35" s="204"/>
      <c r="ETS35" s="204"/>
      <c r="ETT35" s="204"/>
      <c r="ETU35" s="204"/>
      <c r="ETV35" s="204"/>
      <c r="ETW35" s="204"/>
      <c r="ETX35" s="204"/>
      <c r="ETY35" s="204"/>
      <c r="ETZ35" s="204"/>
      <c r="EUA35" s="204"/>
      <c r="EUB35" s="204"/>
      <c r="EUC35" s="204"/>
      <c r="EUD35" s="204"/>
      <c r="EUE35" s="204"/>
      <c r="EUF35" s="204"/>
      <c r="EUG35" s="204"/>
      <c r="EUH35" s="204"/>
      <c r="EUI35" s="204"/>
      <c r="EUJ35" s="204"/>
      <c r="EUK35" s="204"/>
      <c r="EUL35" s="204"/>
      <c r="EUM35" s="204"/>
      <c r="EUN35" s="204"/>
      <c r="EUO35" s="204"/>
      <c r="EUP35" s="204"/>
      <c r="EUQ35" s="204"/>
      <c r="EUR35" s="204"/>
      <c r="EUS35" s="204"/>
      <c r="EUT35" s="204"/>
      <c r="EUU35" s="204"/>
      <c r="EUV35" s="204"/>
      <c r="EUW35" s="204"/>
      <c r="EUX35" s="204"/>
      <c r="EUY35" s="204"/>
      <c r="EUZ35" s="204"/>
      <c r="EVA35" s="204"/>
      <c r="EVB35" s="204"/>
      <c r="EVC35" s="204"/>
      <c r="EVD35" s="204"/>
      <c r="EVE35" s="204"/>
      <c r="EVF35" s="204"/>
      <c r="EVG35" s="204"/>
      <c r="EVH35" s="204"/>
      <c r="EVI35" s="204"/>
      <c r="EVJ35" s="204"/>
      <c r="EVK35" s="204"/>
      <c r="EVL35" s="204"/>
      <c r="EVM35" s="204"/>
      <c r="EVN35" s="204"/>
      <c r="EVO35" s="204"/>
      <c r="EVP35" s="204"/>
      <c r="EVQ35" s="204"/>
      <c r="EVR35" s="204"/>
      <c r="EVS35" s="204"/>
      <c r="EVT35" s="204"/>
      <c r="EVU35" s="204"/>
      <c r="EVV35" s="204"/>
      <c r="EVW35" s="204"/>
      <c r="EVX35" s="204"/>
      <c r="EVY35" s="204"/>
      <c r="EVZ35" s="204"/>
      <c r="EWA35" s="204"/>
      <c r="EWB35" s="204"/>
      <c r="EWC35" s="204"/>
      <c r="EWD35" s="204"/>
      <c r="EWE35" s="204"/>
      <c r="EWF35" s="204"/>
      <c r="EWG35" s="204"/>
      <c r="EWH35" s="204"/>
      <c r="EWI35" s="204"/>
      <c r="EWJ35" s="204"/>
      <c r="EWK35" s="204"/>
      <c r="EWL35" s="204"/>
      <c r="EWM35" s="204"/>
      <c r="EWN35" s="204"/>
      <c r="EWO35" s="204"/>
      <c r="EWP35" s="204"/>
      <c r="EWQ35" s="204"/>
      <c r="EWR35" s="204"/>
      <c r="EWS35" s="204"/>
      <c r="EWT35" s="204"/>
      <c r="EWU35" s="204"/>
      <c r="EWV35" s="204"/>
      <c r="EWW35" s="204"/>
      <c r="EWX35" s="204"/>
      <c r="EWY35" s="204"/>
      <c r="EWZ35" s="204"/>
      <c r="EXA35" s="204"/>
      <c r="EXB35" s="204"/>
      <c r="EXC35" s="204"/>
      <c r="EXD35" s="204"/>
      <c r="EXE35" s="204"/>
      <c r="EXF35" s="204"/>
      <c r="EXG35" s="204"/>
      <c r="EXH35" s="204"/>
      <c r="EXI35" s="204"/>
      <c r="EXJ35" s="204"/>
      <c r="EXK35" s="204"/>
      <c r="EXL35" s="204"/>
      <c r="EXM35" s="204"/>
      <c r="EXN35" s="204"/>
      <c r="EXO35" s="204"/>
      <c r="EXP35" s="204"/>
      <c r="EXQ35" s="204"/>
      <c r="EXR35" s="204"/>
      <c r="EXS35" s="204"/>
      <c r="EXT35" s="204"/>
      <c r="EXU35" s="204"/>
      <c r="EXV35" s="204"/>
      <c r="EXW35" s="204"/>
      <c r="EXX35" s="204"/>
      <c r="EXY35" s="204"/>
      <c r="EXZ35" s="204"/>
      <c r="EYA35" s="204"/>
      <c r="EYB35" s="204"/>
      <c r="EYC35" s="204"/>
      <c r="EYD35" s="204"/>
      <c r="EYE35" s="204"/>
      <c r="EYF35" s="204"/>
      <c r="EYG35" s="204"/>
      <c r="EYH35" s="204"/>
      <c r="EYI35" s="204"/>
      <c r="EYJ35" s="204"/>
      <c r="EYK35" s="204"/>
      <c r="EYL35" s="204"/>
      <c r="EYM35" s="204"/>
      <c r="EYN35" s="204"/>
      <c r="EYO35" s="204"/>
      <c r="EYP35" s="204"/>
      <c r="EYQ35" s="204"/>
      <c r="EYR35" s="204"/>
      <c r="EYS35" s="204"/>
      <c r="EYT35" s="204"/>
      <c r="EYU35" s="204"/>
      <c r="EYV35" s="204"/>
      <c r="EYW35" s="204"/>
      <c r="EYX35" s="204"/>
      <c r="EYY35" s="204"/>
      <c r="EYZ35" s="204"/>
      <c r="EZA35" s="204"/>
      <c r="EZB35" s="204"/>
      <c r="EZC35" s="204"/>
      <c r="EZD35" s="204"/>
      <c r="EZE35" s="204"/>
      <c r="EZF35" s="204"/>
      <c r="EZG35" s="204"/>
      <c r="EZH35" s="204"/>
      <c r="EZI35" s="204"/>
      <c r="EZJ35" s="204"/>
      <c r="EZK35" s="204"/>
      <c r="EZL35" s="204"/>
      <c r="EZM35" s="204"/>
      <c r="EZN35" s="204"/>
      <c r="EZO35" s="204"/>
      <c r="EZP35" s="204"/>
      <c r="EZQ35" s="204"/>
      <c r="EZR35" s="204"/>
      <c r="EZS35" s="204"/>
      <c r="EZT35" s="204"/>
      <c r="EZU35" s="204"/>
      <c r="EZV35" s="204"/>
      <c r="EZW35" s="204"/>
      <c r="EZX35" s="204"/>
      <c r="EZY35" s="204"/>
      <c r="EZZ35" s="204"/>
      <c r="FAA35" s="204"/>
      <c r="FAB35" s="204"/>
      <c r="FAC35" s="204"/>
      <c r="FAD35" s="204"/>
      <c r="FAE35" s="204"/>
      <c r="FAF35" s="204"/>
      <c r="FAG35" s="204"/>
      <c r="FAH35" s="204"/>
      <c r="FAI35" s="204"/>
      <c r="FAJ35" s="204"/>
      <c r="FAK35" s="204"/>
      <c r="FAL35" s="204"/>
      <c r="FAM35" s="204"/>
      <c r="FAN35" s="204"/>
      <c r="FAO35" s="204"/>
      <c r="FAP35" s="204"/>
      <c r="FAQ35" s="204"/>
      <c r="FAR35" s="204"/>
      <c r="FAS35" s="204"/>
      <c r="FAT35" s="204"/>
      <c r="FAU35" s="204"/>
      <c r="FAV35" s="204"/>
      <c r="FAW35" s="204"/>
      <c r="FAX35" s="204"/>
      <c r="FAY35" s="204"/>
      <c r="FAZ35" s="204"/>
      <c r="FBA35" s="204"/>
      <c r="FBB35" s="204"/>
      <c r="FBC35" s="204"/>
      <c r="FBD35" s="204"/>
      <c r="FBE35" s="204"/>
      <c r="FBF35" s="204"/>
      <c r="FBG35" s="204"/>
      <c r="FBH35" s="204"/>
      <c r="FBI35" s="204"/>
      <c r="FBJ35" s="204"/>
      <c r="FBK35" s="204"/>
      <c r="FBL35" s="204"/>
      <c r="FBM35" s="204"/>
      <c r="FBN35" s="204"/>
      <c r="FBO35" s="204"/>
      <c r="FBP35" s="204"/>
      <c r="FBQ35" s="204"/>
      <c r="FBR35" s="204"/>
      <c r="FBS35" s="204"/>
      <c r="FBT35" s="204"/>
      <c r="FBU35" s="204"/>
      <c r="FBV35" s="204"/>
      <c r="FBW35" s="204"/>
      <c r="FBX35" s="204"/>
      <c r="FBY35" s="204"/>
      <c r="FBZ35" s="204"/>
      <c r="FCA35" s="204"/>
      <c r="FCB35" s="204"/>
      <c r="FCC35" s="204"/>
      <c r="FCD35" s="204"/>
      <c r="FCE35" s="204"/>
      <c r="FCF35" s="204"/>
      <c r="FCG35" s="204"/>
      <c r="FCH35" s="204"/>
      <c r="FCI35" s="204"/>
      <c r="FCJ35" s="204"/>
      <c r="FCK35" s="204"/>
      <c r="FCL35" s="204"/>
      <c r="FCM35" s="204"/>
      <c r="FCN35" s="204"/>
      <c r="FCO35" s="204"/>
      <c r="FCP35" s="204"/>
      <c r="FCQ35" s="204"/>
      <c r="FCR35" s="204"/>
      <c r="FCS35" s="204"/>
      <c r="FCT35" s="204"/>
      <c r="FCU35" s="204"/>
      <c r="FCV35" s="204"/>
      <c r="FCW35" s="204"/>
      <c r="FCX35" s="204"/>
      <c r="FCY35" s="204"/>
      <c r="FCZ35" s="204"/>
      <c r="FDA35" s="204"/>
      <c r="FDB35" s="204"/>
      <c r="FDC35" s="204"/>
      <c r="FDD35" s="204"/>
      <c r="FDE35" s="204"/>
      <c r="FDF35" s="204"/>
      <c r="FDG35" s="204"/>
      <c r="FDH35" s="204"/>
      <c r="FDI35" s="204"/>
      <c r="FDJ35" s="204"/>
      <c r="FDK35" s="204"/>
      <c r="FDL35" s="204"/>
      <c r="FDM35" s="204"/>
      <c r="FDN35" s="204"/>
      <c r="FDO35" s="204"/>
      <c r="FDP35" s="204"/>
      <c r="FDQ35" s="204"/>
      <c r="FDR35" s="204"/>
      <c r="FDS35" s="204"/>
      <c r="FDT35" s="204"/>
      <c r="FDU35" s="204"/>
      <c r="FDV35" s="204"/>
      <c r="FDW35" s="204"/>
      <c r="FDX35" s="204"/>
      <c r="FDY35" s="204"/>
      <c r="FDZ35" s="204"/>
      <c r="FEA35" s="204"/>
      <c r="FEB35" s="204"/>
      <c r="FEC35" s="204"/>
      <c r="FED35" s="204"/>
      <c r="FEE35" s="204"/>
      <c r="FEF35" s="204"/>
      <c r="FEG35" s="204"/>
      <c r="FEH35" s="204"/>
      <c r="FEI35" s="204"/>
      <c r="FEJ35" s="204"/>
      <c r="FEK35" s="204"/>
      <c r="FEL35" s="204"/>
      <c r="FEM35" s="204"/>
      <c r="FEN35" s="204"/>
      <c r="FEO35" s="204"/>
      <c r="FEP35" s="204"/>
      <c r="FEQ35" s="204"/>
      <c r="FER35" s="204"/>
      <c r="FES35" s="204"/>
      <c r="FET35" s="204"/>
      <c r="FEU35" s="204"/>
      <c r="FEV35" s="204"/>
      <c r="FEW35" s="204"/>
      <c r="FEX35" s="204"/>
      <c r="FEY35" s="204"/>
      <c r="FEZ35" s="204"/>
      <c r="FFA35" s="204"/>
      <c r="FFB35" s="204"/>
      <c r="FFC35" s="204"/>
      <c r="FFD35" s="204"/>
      <c r="FFE35" s="204"/>
      <c r="FFF35" s="204"/>
      <c r="FFG35" s="204"/>
      <c r="FFH35" s="204"/>
      <c r="FFI35" s="204"/>
      <c r="FFJ35" s="204"/>
      <c r="FFK35" s="204"/>
      <c r="FFL35" s="204"/>
      <c r="FFM35" s="204"/>
      <c r="FFN35" s="204"/>
      <c r="FFO35" s="204"/>
      <c r="FFP35" s="204"/>
      <c r="FFQ35" s="204"/>
      <c r="FFR35" s="204"/>
      <c r="FFS35" s="204"/>
      <c r="FFT35" s="204"/>
      <c r="FFU35" s="204"/>
      <c r="FFV35" s="204"/>
      <c r="FFW35" s="204"/>
      <c r="FFX35" s="204"/>
      <c r="FFY35" s="204"/>
      <c r="FFZ35" s="204"/>
      <c r="FGA35" s="204"/>
      <c r="FGB35" s="204"/>
      <c r="FGC35" s="204"/>
      <c r="FGD35" s="204"/>
      <c r="FGE35" s="204"/>
      <c r="FGF35" s="204"/>
      <c r="FGG35" s="204"/>
      <c r="FGH35" s="204"/>
      <c r="FGI35" s="204"/>
      <c r="FGJ35" s="204"/>
      <c r="FGK35" s="204"/>
      <c r="FGL35" s="204"/>
      <c r="FGM35" s="204"/>
      <c r="FGN35" s="204"/>
      <c r="FGO35" s="204"/>
      <c r="FGP35" s="204"/>
      <c r="FGQ35" s="204"/>
      <c r="FGR35" s="204"/>
      <c r="FGS35" s="204"/>
      <c r="FGT35" s="204"/>
      <c r="FGU35" s="204"/>
      <c r="FGV35" s="204"/>
      <c r="FGW35" s="204"/>
      <c r="FGX35" s="204"/>
      <c r="FGY35" s="204"/>
      <c r="FGZ35" s="204"/>
      <c r="FHA35" s="204"/>
      <c r="FHB35" s="204"/>
      <c r="FHC35" s="204"/>
      <c r="FHD35" s="204"/>
      <c r="FHE35" s="204"/>
      <c r="FHF35" s="204"/>
      <c r="FHG35" s="204"/>
      <c r="FHH35" s="204"/>
      <c r="FHI35" s="204"/>
      <c r="FHJ35" s="204"/>
      <c r="FHK35" s="204"/>
      <c r="FHL35" s="204"/>
      <c r="FHM35" s="204"/>
      <c r="FHN35" s="204"/>
      <c r="FHO35" s="204"/>
      <c r="FHP35" s="204"/>
      <c r="FHQ35" s="204"/>
      <c r="FHR35" s="204"/>
      <c r="FHS35" s="204"/>
      <c r="FHT35" s="204"/>
      <c r="FHU35" s="204"/>
      <c r="FHV35" s="204"/>
      <c r="FHW35" s="204"/>
      <c r="FHX35" s="204"/>
      <c r="FHY35" s="204"/>
      <c r="FHZ35" s="204"/>
      <c r="FIA35" s="204"/>
      <c r="FIB35" s="204"/>
      <c r="FIC35" s="204"/>
      <c r="FID35" s="204"/>
      <c r="FIE35" s="204"/>
      <c r="FIF35" s="204"/>
      <c r="FIG35" s="204"/>
      <c r="FIH35" s="204"/>
      <c r="FII35" s="204"/>
      <c r="FIJ35" s="204"/>
      <c r="FIK35" s="204"/>
      <c r="FIL35" s="204"/>
      <c r="FIM35" s="204"/>
      <c r="FIN35" s="204"/>
      <c r="FIO35" s="204"/>
      <c r="FIP35" s="204"/>
      <c r="FIQ35" s="204"/>
      <c r="FIR35" s="204"/>
      <c r="FIS35" s="204"/>
      <c r="FIT35" s="204"/>
      <c r="FIU35" s="204"/>
      <c r="FIV35" s="204"/>
      <c r="FIW35" s="204"/>
      <c r="FIX35" s="204"/>
      <c r="FIY35" s="204"/>
      <c r="FIZ35" s="204"/>
      <c r="FJA35" s="204"/>
      <c r="FJB35" s="204"/>
      <c r="FJC35" s="204"/>
      <c r="FJD35" s="204"/>
      <c r="FJE35" s="204"/>
      <c r="FJF35" s="204"/>
      <c r="FJG35" s="204"/>
      <c r="FJH35" s="204"/>
      <c r="FJI35" s="204"/>
      <c r="FJJ35" s="204"/>
      <c r="FJK35" s="204"/>
      <c r="FJL35" s="204"/>
      <c r="FJM35" s="204"/>
      <c r="FJN35" s="204"/>
      <c r="FJO35" s="204"/>
      <c r="FJP35" s="204"/>
      <c r="FJQ35" s="204"/>
      <c r="FJR35" s="204"/>
      <c r="FJS35" s="204"/>
      <c r="FJT35" s="204"/>
      <c r="FJU35" s="204"/>
      <c r="FJV35" s="204"/>
      <c r="FJW35" s="204"/>
      <c r="FJX35" s="204"/>
      <c r="FJY35" s="204"/>
      <c r="FJZ35" s="204"/>
      <c r="FKA35" s="204"/>
      <c r="FKB35" s="204"/>
      <c r="FKC35" s="204"/>
      <c r="FKD35" s="204"/>
      <c r="FKE35" s="204"/>
      <c r="FKF35" s="204"/>
      <c r="FKG35" s="204"/>
      <c r="FKH35" s="204"/>
      <c r="FKI35" s="204"/>
      <c r="FKJ35" s="204"/>
      <c r="FKK35" s="204"/>
      <c r="FKL35" s="204"/>
      <c r="FKM35" s="204"/>
      <c r="FKN35" s="204"/>
      <c r="FKO35" s="204"/>
      <c r="FKP35" s="204"/>
      <c r="FKQ35" s="204"/>
      <c r="FKR35" s="204"/>
      <c r="FKS35" s="204"/>
      <c r="FKT35" s="204"/>
      <c r="FKU35" s="204"/>
      <c r="FKV35" s="204"/>
      <c r="FKW35" s="204"/>
      <c r="FKX35" s="204"/>
      <c r="FKY35" s="204"/>
      <c r="FKZ35" s="204"/>
      <c r="FLA35" s="204"/>
      <c r="FLB35" s="204"/>
      <c r="FLC35" s="204"/>
      <c r="FLD35" s="204"/>
      <c r="FLE35" s="204"/>
      <c r="FLF35" s="204"/>
      <c r="FLG35" s="204"/>
      <c r="FLH35" s="204"/>
      <c r="FLI35" s="204"/>
      <c r="FLJ35" s="204"/>
      <c r="FLK35" s="204"/>
      <c r="FLL35" s="204"/>
      <c r="FLM35" s="204"/>
      <c r="FLN35" s="204"/>
      <c r="FLO35" s="204"/>
      <c r="FLP35" s="204"/>
      <c r="FLQ35" s="204"/>
      <c r="FLR35" s="204"/>
      <c r="FLS35" s="204"/>
      <c r="FLT35" s="204"/>
      <c r="FLU35" s="204"/>
      <c r="FLV35" s="204"/>
      <c r="FLW35" s="204"/>
      <c r="FLX35" s="204"/>
      <c r="FLY35" s="204"/>
      <c r="FLZ35" s="204"/>
      <c r="FMA35" s="204"/>
      <c r="FMB35" s="204"/>
      <c r="FMC35" s="204"/>
      <c r="FMD35" s="204"/>
      <c r="FME35" s="204"/>
      <c r="FMF35" s="204"/>
      <c r="FMG35" s="204"/>
      <c r="FMH35" s="204"/>
      <c r="FMI35" s="204"/>
      <c r="FMJ35" s="204"/>
      <c r="FMK35" s="204"/>
      <c r="FML35" s="204"/>
      <c r="FMM35" s="204"/>
      <c r="FMN35" s="204"/>
      <c r="FMO35" s="204"/>
      <c r="FMP35" s="204"/>
      <c r="FMQ35" s="204"/>
      <c r="FMR35" s="204"/>
      <c r="FMS35" s="204"/>
      <c r="FMT35" s="204"/>
      <c r="FMU35" s="204"/>
      <c r="FMV35" s="204"/>
      <c r="FMW35" s="204"/>
      <c r="FMX35" s="204"/>
      <c r="FMY35" s="204"/>
      <c r="FMZ35" s="204"/>
      <c r="FNA35" s="204"/>
      <c r="FNB35" s="204"/>
      <c r="FNC35" s="204"/>
      <c r="FND35" s="204"/>
      <c r="FNE35" s="204"/>
      <c r="FNF35" s="204"/>
      <c r="FNG35" s="204"/>
      <c r="FNH35" s="204"/>
      <c r="FNI35" s="204"/>
      <c r="FNJ35" s="204"/>
      <c r="FNK35" s="204"/>
      <c r="FNL35" s="204"/>
      <c r="FNM35" s="204"/>
      <c r="FNN35" s="204"/>
      <c r="FNO35" s="204"/>
      <c r="FNP35" s="204"/>
      <c r="FNQ35" s="204"/>
      <c r="FNR35" s="204"/>
      <c r="FNS35" s="204"/>
      <c r="FNT35" s="204"/>
      <c r="FNU35" s="204"/>
      <c r="FNV35" s="204"/>
      <c r="FNW35" s="204"/>
      <c r="FNX35" s="204"/>
      <c r="FNY35" s="204"/>
      <c r="FNZ35" s="204"/>
      <c r="FOA35" s="204"/>
      <c r="FOB35" s="204"/>
      <c r="FOC35" s="204"/>
      <c r="FOD35" s="204"/>
      <c r="FOE35" s="204"/>
      <c r="FOF35" s="204"/>
      <c r="FOG35" s="204"/>
      <c r="FOH35" s="204"/>
      <c r="FOI35" s="204"/>
      <c r="FOJ35" s="204"/>
      <c r="FOK35" s="204"/>
      <c r="FOL35" s="204"/>
      <c r="FOM35" s="204"/>
      <c r="FON35" s="204"/>
      <c r="FOO35" s="204"/>
      <c r="FOP35" s="204"/>
      <c r="FOQ35" s="204"/>
      <c r="FOR35" s="204"/>
      <c r="FOS35" s="204"/>
      <c r="FOT35" s="204"/>
      <c r="FOU35" s="204"/>
      <c r="FOV35" s="204"/>
      <c r="FOW35" s="204"/>
      <c r="FOX35" s="204"/>
      <c r="FOY35" s="204"/>
      <c r="FOZ35" s="204"/>
      <c r="FPA35" s="204"/>
      <c r="FPB35" s="204"/>
      <c r="FPC35" s="204"/>
      <c r="FPD35" s="204"/>
      <c r="FPE35" s="204"/>
      <c r="FPF35" s="204"/>
      <c r="FPG35" s="204"/>
      <c r="FPH35" s="204"/>
      <c r="FPI35" s="204"/>
      <c r="FPJ35" s="204"/>
      <c r="FPK35" s="204"/>
      <c r="FPL35" s="204"/>
      <c r="FPM35" s="204"/>
      <c r="FPN35" s="204"/>
      <c r="FPO35" s="204"/>
      <c r="FPP35" s="204"/>
      <c r="FPQ35" s="204"/>
      <c r="FPR35" s="204"/>
      <c r="FPS35" s="204"/>
      <c r="FPT35" s="204"/>
      <c r="FPU35" s="204"/>
      <c r="FPV35" s="204"/>
      <c r="FPW35" s="204"/>
      <c r="FPX35" s="204"/>
      <c r="FPY35" s="204"/>
      <c r="FPZ35" s="204"/>
      <c r="FQA35" s="204"/>
      <c r="FQB35" s="204"/>
      <c r="FQC35" s="204"/>
      <c r="FQD35" s="204"/>
      <c r="FQE35" s="204"/>
      <c r="FQF35" s="204"/>
      <c r="FQG35" s="204"/>
      <c r="FQH35" s="204"/>
      <c r="FQI35" s="204"/>
      <c r="FQJ35" s="204"/>
      <c r="FQK35" s="204"/>
      <c r="FQL35" s="204"/>
      <c r="FQM35" s="204"/>
      <c r="FQN35" s="204"/>
      <c r="FQO35" s="204"/>
      <c r="FQP35" s="204"/>
      <c r="FQQ35" s="204"/>
      <c r="FQR35" s="204"/>
      <c r="FQS35" s="204"/>
      <c r="FQT35" s="204"/>
      <c r="FQU35" s="204"/>
      <c r="FQV35" s="204"/>
      <c r="FQW35" s="204"/>
      <c r="FQX35" s="204"/>
      <c r="FQY35" s="204"/>
      <c r="FQZ35" s="204"/>
      <c r="FRA35" s="204"/>
      <c r="FRB35" s="204"/>
      <c r="FRC35" s="204"/>
      <c r="FRD35" s="204"/>
      <c r="FRE35" s="204"/>
      <c r="FRF35" s="204"/>
      <c r="FRG35" s="204"/>
      <c r="FRH35" s="204"/>
      <c r="FRI35" s="204"/>
      <c r="FRJ35" s="204"/>
      <c r="FRK35" s="204"/>
      <c r="FRL35" s="204"/>
      <c r="FRM35" s="204"/>
      <c r="FRN35" s="204"/>
      <c r="FRO35" s="204"/>
      <c r="FRP35" s="204"/>
      <c r="FRQ35" s="204"/>
      <c r="FRR35" s="204"/>
      <c r="FRS35" s="204"/>
      <c r="FRT35" s="204"/>
      <c r="FRU35" s="204"/>
      <c r="FRV35" s="204"/>
      <c r="FRW35" s="204"/>
      <c r="FRX35" s="204"/>
      <c r="FRY35" s="204"/>
      <c r="FRZ35" s="204"/>
      <c r="FSA35" s="204"/>
      <c r="FSB35" s="204"/>
      <c r="FSC35" s="204"/>
      <c r="FSD35" s="204"/>
      <c r="FSE35" s="204"/>
      <c r="FSF35" s="204"/>
      <c r="FSG35" s="204"/>
      <c r="FSH35" s="204"/>
      <c r="FSI35" s="204"/>
      <c r="FSJ35" s="204"/>
      <c r="FSK35" s="204"/>
      <c r="FSL35" s="204"/>
      <c r="FSM35" s="204"/>
      <c r="FSN35" s="204"/>
      <c r="FSO35" s="204"/>
      <c r="FSP35" s="204"/>
      <c r="FSQ35" s="204"/>
      <c r="FSR35" s="204"/>
      <c r="FSS35" s="204"/>
      <c r="FST35" s="204"/>
      <c r="FSU35" s="204"/>
      <c r="FSV35" s="204"/>
      <c r="FSW35" s="204"/>
      <c r="FSX35" s="204"/>
      <c r="FSY35" s="204"/>
      <c r="FSZ35" s="204"/>
      <c r="FTA35" s="204"/>
      <c r="FTB35" s="204"/>
      <c r="FTC35" s="204"/>
      <c r="FTD35" s="204"/>
      <c r="FTE35" s="204"/>
      <c r="FTF35" s="204"/>
      <c r="FTG35" s="204"/>
      <c r="FTH35" s="204"/>
      <c r="FTI35" s="204"/>
      <c r="FTJ35" s="204"/>
      <c r="FTK35" s="204"/>
      <c r="FTL35" s="204"/>
      <c r="FTM35" s="204"/>
      <c r="FTN35" s="204"/>
      <c r="FTO35" s="204"/>
      <c r="FTP35" s="204"/>
      <c r="FTQ35" s="204"/>
      <c r="FTR35" s="204"/>
      <c r="FTS35" s="204"/>
      <c r="FTT35" s="204"/>
      <c r="FTU35" s="204"/>
      <c r="FTV35" s="204"/>
      <c r="FTW35" s="204"/>
      <c r="FTX35" s="204"/>
      <c r="FTY35" s="204"/>
      <c r="FTZ35" s="204"/>
      <c r="FUA35" s="204"/>
      <c r="FUB35" s="204"/>
      <c r="FUC35" s="204"/>
      <c r="FUD35" s="204"/>
      <c r="FUE35" s="204"/>
      <c r="FUF35" s="204"/>
      <c r="FUG35" s="204"/>
      <c r="FUH35" s="204"/>
      <c r="FUI35" s="204"/>
      <c r="FUJ35" s="204"/>
      <c r="FUK35" s="204"/>
      <c r="FUL35" s="204"/>
      <c r="FUM35" s="204"/>
      <c r="FUN35" s="204"/>
      <c r="FUO35" s="204"/>
      <c r="FUP35" s="204"/>
      <c r="FUQ35" s="204"/>
      <c r="FUR35" s="204"/>
      <c r="FUS35" s="204"/>
      <c r="FUT35" s="204"/>
      <c r="FUU35" s="204"/>
      <c r="FUV35" s="204"/>
      <c r="FUW35" s="204"/>
      <c r="FUX35" s="204"/>
      <c r="FUY35" s="204"/>
      <c r="FUZ35" s="204"/>
      <c r="FVA35" s="204"/>
      <c r="FVB35" s="204"/>
      <c r="FVC35" s="204"/>
      <c r="FVD35" s="204"/>
      <c r="FVE35" s="204"/>
      <c r="FVF35" s="204"/>
      <c r="FVG35" s="204"/>
      <c r="FVH35" s="204"/>
      <c r="FVI35" s="204"/>
      <c r="FVJ35" s="204"/>
      <c r="FVK35" s="204"/>
      <c r="FVL35" s="204"/>
      <c r="FVM35" s="204"/>
      <c r="FVN35" s="204"/>
      <c r="FVO35" s="204"/>
      <c r="FVP35" s="204"/>
      <c r="FVQ35" s="204"/>
      <c r="FVR35" s="204"/>
      <c r="FVS35" s="204"/>
      <c r="FVT35" s="204"/>
      <c r="FVU35" s="204"/>
      <c r="FVV35" s="204"/>
      <c r="FVW35" s="204"/>
      <c r="FVX35" s="204"/>
      <c r="FVY35" s="204"/>
      <c r="FVZ35" s="204"/>
      <c r="FWA35" s="204"/>
      <c r="FWB35" s="204"/>
      <c r="FWC35" s="204"/>
      <c r="FWD35" s="204"/>
      <c r="FWE35" s="204"/>
      <c r="FWF35" s="204"/>
      <c r="FWG35" s="204"/>
      <c r="FWH35" s="204"/>
      <c r="FWI35" s="204"/>
      <c r="FWJ35" s="204"/>
      <c r="FWK35" s="204"/>
      <c r="FWL35" s="204"/>
      <c r="FWM35" s="204"/>
      <c r="FWN35" s="204"/>
      <c r="FWO35" s="204"/>
      <c r="FWP35" s="204"/>
      <c r="FWQ35" s="204"/>
      <c r="FWR35" s="204"/>
      <c r="FWS35" s="204"/>
      <c r="FWT35" s="204"/>
      <c r="FWU35" s="204"/>
      <c r="FWV35" s="204"/>
      <c r="FWW35" s="204"/>
      <c r="FWX35" s="204"/>
      <c r="FWY35" s="204"/>
      <c r="FWZ35" s="204"/>
      <c r="FXA35" s="204"/>
      <c r="FXB35" s="204"/>
      <c r="FXC35" s="204"/>
      <c r="FXD35" s="204"/>
      <c r="FXE35" s="204"/>
      <c r="FXF35" s="204"/>
      <c r="FXG35" s="204"/>
      <c r="FXH35" s="204"/>
      <c r="FXI35" s="204"/>
      <c r="FXJ35" s="204"/>
      <c r="FXK35" s="204"/>
      <c r="FXL35" s="204"/>
      <c r="FXM35" s="204"/>
      <c r="FXN35" s="204"/>
      <c r="FXO35" s="204"/>
      <c r="FXP35" s="204"/>
      <c r="FXQ35" s="204"/>
      <c r="FXR35" s="204"/>
      <c r="FXS35" s="204"/>
      <c r="FXT35" s="204"/>
      <c r="FXU35" s="204"/>
      <c r="FXV35" s="204"/>
      <c r="FXW35" s="204"/>
      <c r="FXX35" s="204"/>
      <c r="FXY35" s="204"/>
      <c r="FXZ35" s="204"/>
      <c r="FYA35" s="204"/>
      <c r="FYB35" s="204"/>
      <c r="FYC35" s="204"/>
      <c r="FYD35" s="204"/>
      <c r="FYE35" s="204"/>
      <c r="FYF35" s="204"/>
      <c r="FYG35" s="204"/>
      <c r="FYH35" s="204"/>
      <c r="FYI35" s="204"/>
      <c r="FYJ35" s="204"/>
      <c r="FYK35" s="204"/>
      <c r="FYL35" s="204"/>
      <c r="FYM35" s="204"/>
      <c r="FYN35" s="204"/>
      <c r="FYO35" s="204"/>
      <c r="FYP35" s="204"/>
      <c r="FYQ35" s="204"/>
      <c r="FYR35" s="204"/>
      <c r="FYS35" s="204"/>
      <c r="FYT35" s="204"/>
      <c r="FYU35" s="204"/>
      <c r="FYV35" s="204"/>
      <c r="FYW35" s="204"/>
      <c r="FYX35" s="204"/>
      <c r="FYY35" s="204"/>
      <c r="FYZ35" s="204"/>
      <c r="FZA35" s="204"/>
      <c r="FZB35" s="204"/>
      <c r="FZC35" s="204"/>
      <c r="FZD35" s="204"/>
      <c r="FZE35" s="204"/>
      <c r="FZF35" s="204"/>
      <c r="FZG35" s="204"/>
      <c r="FZH35" s="204"/>
      <c r="FZI35" s="204"/>
      <c r="FZJ35" s="204"/>
      <c r="FZK35" s="204"/>
      <c r="FZL35" s="204"/>
      <c r="FZM35" s="204"/>
      <c r="FZN35" s="204"/>
      <c r="FZO35" s="204"/>
      <c r="FZP35" s="204"/>
      <c r="FZQ35" s="204"/>
      <c r="FZR35" s="204"/>
      <c r="FZS35" s="204"/>
      <c r="FZT35" s="204"/>
      <c r="FZU35" s="204"/>
      <c r="FZV35" s="204"/>
      <c r="FZW35" s="204"/>
      <c r="FZX35" s="204"/>
      <c r="FZY35" s="204"/>
      <c r="FZZ35" s="204"/>
      <c r="GAA35" s="204"/>
      <c r="GAB35" s="204"/>
      <c r="GAC35" s="204"/>
      <c r="GAD35" s="204"/>
      <c r="GAE35" s="204"/>
      <c r="GAF35" s="204"/>
      <c r="GAG35" s="204"/>
      <c r="GAH35" s="204"/>
      <c r="GAI35" s="204"/>
      <c r="GAJ35" s="204"/>
      <c r="GAK35" s="204"/>
      <c r="GAL35" s="204"/>
      <c r="GAM35" s="204"/>
      <c r="GAN35" s="204"/>
      <c r="GAO35" s="204"/>
      <c r="GAP35" s="204"/>
      <c r="GAQ35" s="204"/>
      <c r="GAR35" s="204"/>
      <c r="GAS35" s="204"/>
      <c r="GAT35" s="204"/>
      <c r="GAU35" s="204"/>
      <c r="GAV35" s="204"/>
      <c r="GAW35" s="204"/>
      <c r="GAX35" s="204"/>
      <c r="GAY35" s="204"/>
      <c r="GAZ35" s="204"/>
      <c r="GBA35" s="204"/>
      <c r="GBB35" s="204"/>
      <c r="GBC35" s="204"/>
      <c r="GBD35" s="204"/>
      <c r="GBE35" s="204"/>
      <c r="GBF35" s="204"/>
      <c r="GBG35" s="204"/>
      <c r="GBH35" s="204"/>
      <c r="GBI35" s="204"/>
      <c r="GBJ35" s="204"/>
      <c r="GBK35" s="204"/>
      <c r="GBL35" s="204"/>
      <c r="GBM35" s="204"/>
      <c r="GBN35" s="204"/>
      <c r="GBO35" s="204"/>
      <c r="GBP35" s="204"/>
      <c r="GBQ35" s="204"/>
      <c r="GBR35" s="204"/>
      <c r="GBS35" s="204"/>
      <c r="GBT35" s="204"/>
      <c r="GBU35" s="204"/>
      <c r="GBV35" s="204"/>
      <c r="GBW35" s="204"/>
      <c r="GBX35" s="204"/>
      <c r="GBY35" s="204"/>
      <c r="GBZ35" s="204"/>
      <c r="GCA35" s="204"/>
      <c r="GCB35" s="204"/>
      <c r="GCC35" s="204"/>
      <c r="GCD35" s="204"/>
      <c r="GCE35" s="204"/>
      <c r="GCF35" s="204"/>
      <c r="GCG35" s="204"/>
      <c r="GCH35" s="204"/>
      <c r="GCI35" s="204"/>
      <c r="GCJ35" s="204"/>
      <c r="GCK35" s="204"/>
      <c r="GCL35" s="204"/>
      <c r="GCM35" s="204"/>
      <c r="GCN35" s="204"/>
      <c r="GCO35" s="204"/>
      <c r="GCP35" s="204"/>
      <c r="GCQ35" s="204"/>
      <c r="GCR35" s="204"/>
      <c r="GCS35" s="204"/>
      <c r="GCT35" s="204"/>
      <c r="GCU35" s="204"/>
      <c r="GCV35" s="204"/>
      <c r="GCW35" s="204"/>
      <c r="GCX35" s="204"/>
      <c r="GCY35" s="204"/>
      <c r="GCZ35" s="204"/>
      <c r="GDA35" s="204"/>
      <c r="GDB35" s="204"/>
      <c r="GDC35" s="204"/>
      <c r="GDD35" s="204"/>
      <c r="GDE35" s="204"/>
      <c r="GDF35" s="204"/>
      <c r="GDG35" s="204"/>
      <c r="GDH35" s="204"/>
      <c r="GDI35" s="204"/>
      <c r="GDJ35" s="204"/>
      <c r="GDK35" s="204"/>
      <c r="GDL35" s="204"/>
      <c r="GDM35" s="204"/>
      <c r="GDN35" s="204"/>
      <c r="GDO35" s="204"/>
      <c r="GDP35" s="204"/>
      <c r="GDQ35" s="204"/>
      <c r="GDR35" s="204"/>
      <c r="GDS35" s="204"/>
      <c r="GDT35" s="204"/>
      <c r="GDU35" s="204"/>
      <c r="GDV35" s="204"/>
      <c r="GDW35" s="204"/>
      <c r="GDX35" s="204"/>
      <c r="GDY35" s="204"/>
      <c r="GDZ35" s="204"/>
      <c r="GEA35" s="204"/>
      <c r="GEB35" s="204"/>
      <c r="GEC35" s="204"/>
      <c r="GED35" s="204"/>
      <c r="GEE35" s="204"/>
      <c r="GEF35" s="204"/>
      <c r="GEG35" s="204"/>
      <c r="GEH35" s="204"/>
      <c r="GEI35" s="204"/>
      <c r="GEJ35" s="204"/>
      <c r="GEK35" s="204"/>
      <c r="GEL35" s="204"/>
      <c r="GEM35" s="204"/>
      <c r="GEN35" s="204"/>
      <c r="GEO35" s="204"/>
      <c r="GEP35" s="204"/>
      <c r="GEQ35" s="204"/>
      <c r="GER35" s="204"/>
      <c r="GES35" s="204"/>
      <c r="GET35" s="204"/>
      <c r="GEU35" s="204"/>
      <c r="GEV35" s="204"/>
      <c r="GEW35" s="204"/>
      <c r="GEX35" s="204"/>
      <c r="GEY35" s="204"/>
      <c r="GEZ35" s="204"/>
      <c r="GFA35" s="204"/>
      <c r="GFB35" s="204"/>
      <c r="GFC35" s="204"/>
      <c r="GFD35" s="204"/>
      <c r="GFE35" s="204"/>
      <c r="GFF35" s="204"/>
      <c r="GFG35" s="204"/>
      <c r="GFH35" s="204"/>
      <c r="GFI35" s="204"/>
      <c r="GFJ35" s="204"/>
      <c r="GFK35" s="204"/>
      <c r="GFL35" s="204"/>
      <c r="GFM35" s="204"/>
      <c r="GFN35" s="204"/>
      <c r="GFO35" s="204"/>
      <c r="GFP35" s="204"/>
      <c r="GFQ35" s="204"/>
      <c r="GFR35" s="204"/>
      <c r="GFS35" s="204"/>
      <c r="GFT35" s="204"/>
      <c r="GFU35" s="204"/>
      <c r="GFV35" s="204"/>
      <c r="GFW35" s="204"/>
      <c r="GFX35" s="204"/>
      <c r="GFY35" s="204"/>
      <c r="GFZ35" s="204"/>
      <c r="GGA35" s="204"/>
      <c r="GGB35" s="204"/>
      <c r="GGC35" s="204"/>
      <c r="GGD35" s="204"/>
      <c r="GGE35" s="204"/>
      <c r="GGF35" s="204"/>
      <c r="GGG35" s="204"/>
      <c r="GGH35" s="204"/>
      <c r="GGI35" s="204"/>
      <c r="GGJ35" s="204"/>
      <c r="GGK35" s="204"/>
      <c r="GGL35" s="204"/>
      <c r="GGM35" s="204"/>
      <c r="GGN35" s="204"/>
      <c r="GGO35" s="204"/>
      <c r="GGP35" s="204"/>
      <c r="GGQ35" s="204"/>
      <c r="GGR35" s="204"/>
      <c r="GGS35" s="204"/>
      <c r="GGT35" s="204"/>
      <c r="GGU35" s="204"/>
      <c r="GGV35" s="204"/>
      <c r="GGW35" s="204"/>
      <c r="GGX35" s="204"/>
      <c r="GGY35" s="204"/>
      <c r="GGZ35" s="204"/>
      <c r="GHA35" s="204"/>
      <c r="GHB35" s="204"/>
      <c r="GHC35" s="204"/>
      <c r="GHD35" s="204"/>
      <c r="GHE35" s="204"/>
      <c r="GHF35" s="204"/>
      <c r="GHG35" s="204"/>
      <c r="GHH35" s="204"/>
      <c r="GHI35" s="204"/>
      <c r="GHJ35" s="204"/>
      <c r="GHK35" s="204"/>
      <c r="GHL35" s="204"/>
      <c r="GHM35" s="204"/>
      <c r="GHN35" s="204"/>
      <c r="GHO35" s="204"/>
      <c r="GHP35" s="204"/>
      <c r="GHQ35" s="204"/>
      <c r="GHR35" s="204"/>
      <c r="GHS35" s="204"/>
      <c r="GHT35" s="204"/>
      <c r="GHU35" s="204"/>
      <c r="GHV35" s="204"/>
      <c r="GHW35" s="204"/>
      <c r="GHX35" s="204"/>
      <c r="GHY35" s="204"/>
      <c r="GHZ35" s="204"/>
      <c r="GIA35" s="204"/>
      <c r="GIB35" s="204"/>
      <c r="GIC35" s="204"/>
      <c r="GID35" s="204"/>
      <c r="GIE35" s="204"/>
      <c r="GIF35" s="204"/>
      <c r="GIG35" s="204"/>
      <c r="GIH35" s="204"/>
      <c r="GII35" s="204"/>
      <c r="GIJ35" s="204"/>
      <c r="GIK35" s="204"/>
      <c r="GIL35" s="204"/>
      <c r="GIM35" s="204"/>
      <c r="GIN35" s="204"/>
      <c r="GIO35" s="204"/>
      <c r="GIP35" s="204"/>
      <c r="GIQ35" s="204"/>
      <c r="GIR35" s="204"/>
      <c r="GIS35" s="204"/>
      <c r="GIT35" s="204"/>
      <c r="GIU35" s="204"/>
      <c r="GIV35" s="204"/>
      <c r="GIW35" s="204"/>
      <c r="GIX35" s="204"/>
      <c r="GIY35" s="204"/>
      <c r="GIZ35" s="204"/>
      <c r="GJA35" s="204"/>
      <c r="GJB35" s="204"/>
      <c r="GJC35" s="204"/>
      <c r="GJD35" s="204"/>
      <c r="GJE35" s="204"/>
      <c r="GJF35" s="204"/>
      <c r="GJG35" s="204"/>
      <c r="GJH35" s="204"/>
      <c r="GJI35" s="204"/>
      <c r="GJJ35" s="204"/>
      <c r="GJK35" s="204"/>
      <c r="GJL35" s="204"/>
      <c r="GJM35" s="204"/>
      <c r="GJN35" s="204"/>
      <c r="GJO35" s="204"/>
      <c r="GJP35" s="204"/>
      <c r="GJQ35" s="204"/>
      <c r="GJR35" s="204"/>
      <c r="GJS35" s="204"/>
      <c r="GJT35" s="204"/>
      <c r="GJU35" s="204"/>
      <c r="GJV35" s="204"/>
      <c r="GJW35" s="204"/>
      <c r="GJX35" s="204"/>
      <c r="GJY35" s="204"/>
      <c r="GJZ35" s="204"/>
      <c r="GKA35" s="204"/>
      <c r="GKB35" s="204"/>
      <c r="GKC35" s="204"/>
      <c r="GKD35" s="204"/>
      <c r="GKE35" s="204"/>
      <c r="GKF35" s="204"/>
      <c r="GKG35" s="204"/>
      <c r="GKH35" s="204"/>
      <c r="GKI35" s="204"/>
      <c r="GKJ35" s="204"/>
      <c r="GKK35" s="204"/>
      <c r="GKL35" s="204"/>
      <c r="GKM35" s="204"/>
      <c r="GKN35" s="204"/>
      <c r="GKO35" s="204"/>
      <c r="GKP35" s="204"/>
      <c r="GKQ35" s="204"/>
      <c r="GKR35" s="204"/>
      <c r="GKS35" s="204"/>
      <c r="GKT35" s="204"/>
      <c r="GKU35" s="204"/>
      <c r="GKV35" s="204"/>
      <c r="GKW35" s="204"/>
      <c r="GKX35" s="204"/>
      <c r="GKY35" s="204"/>
      <c r="GKZ35" s="204"/>
      <c r="GLA35" s="204"/>
      <c r="GLB35" s="204"/>
      <c r="GLC35" s="204"/>
      <c r="GLD35" s="204"/>
      <c r="GLE35" s="204"/>
      <c r="GLF35" s="204"/>
      <c r="GLG35" s="204"/>
      <c r="GLH35" s="204"/>
      <c r="GLI35" s="204"/>
      <c r="GLJ35" s="204"/>
      <c r="GLK35" s="204"/>
      <c r="GLL35" s="204"/>
      <c r="GLM35" s="204"/>
      <c r="GLN35" s="204"/>
      <c r="GLO35" s="204"/>
      <c r="GLP35" s="204"/>
      <c r="GLQ35" s="204"/>
      <c r="GLR35" s="204"/>
      <c r="GLS35" s="204"/>
      <c r="GLT35" s="204"/>
      <c r="GLU35" s="204"/>
      <c r="GLV35" s="204"/>
      <c r="GLW35" s="204"/>
      <c r="GLX35" s="204"/>
      <c r="GLY35" s="204"/>
      <c r="GLZ35" s="204"/>
      <c r="GMA35" s="204"/>
      <c r="GMB35" s="204"/>
      <c r="GMC35" s="204"/>
      <c r="GMD35" s="204"/>
      <c r="GME35" s="204"/>
      <c r="GMF35" s="204"/>
      <c r="GMG35" s="204"/>
      <c r="GMH35" s="204"/>
      <c r="GMI35" s="204"/>
      <c r="GMJ35" s="204"/>
      <c r="GMK35" s="204"/>
      <c r="GML35" s="204"/>
      <c r="GMM35" s="204"/>
      <c r="GMN35" s="204"/>
      <c r="GMO35" s="204"/>
      <c r="GMP35" s="204"/>
      <c r="GMQ35" s="204"/>
      <c r="GMR35" s="204"/>
      <c r="GMS35" s="204"/>
      <c r="GMT35" s="204"/>
      <c r="GMU35" s="204"/>
      <c r="GMV35" s="204"/>
      <c r="GMW35" s="204"/>
      <c r="GMX35" s="204"/>
      <c r="GMY35" s="204"/>
      <c r="GMZ35" s="204"/>
      <c r="GNA35" s="204"/>
      <c r="GNB35" s="204"/>
      <c r="GNC35" s="204"/>
      <c r="GND35" s="204"/>
      <c r="GNE35" s="204"/>
      <c r="GNF35" s="204"/>
      <c r="GNG35" s="204"/>
      <c r="GNH35" s="204"/>
      <c r="GNI35" s="204"/>
      <c r="GNJ35" s="204"/>
      <c r="GNK35" s="204"/>
      <c r="GNL35" s="204"/>
      <c r="GNM35" s="204"/>
      <c r="GNN35" s="204"/>
      <c r="GNO35" s="204"/>
      <c r="GNP35" s="204"/>
      <c r="GNQ35" s="204"/>
      <c r="GNR35" s="204"/>
      <c r="GNS35" s="204"/>
      <c r="GNT35" s="204"/>
      <c r="GNU35" s="204"/>
      <c r="GNV35" s="204"/>
      <c r="GNW35" s="204"/>
      <c r="GNX35" s="204"/>
      <c r="GNY35" s="204"/>
      <c r="GNZ35" s="204"/>
      <c r="GOA35" s="204"/>
      <c r="GOB35" s="204"/>
      <c r="GOC35" s="204"/>
      <c r="GOD35" s="204"/>
      <c r="GOE35" s="204"/>
      <c r="GOF35" s="204"/>
      <c r="GOG35" s="204"/>
      <c r="GOH35" s="204"/>
      <c r="GOI35" s="204"/>
      <c r="GOJ35" s="204"/>
      <c r="GOK35" s="204"/>
      <c r="GOL35" s="204"/>
      <c r="GOM35" s="204"/>
      <c r="GON35" s="204"/>
      <c r="GOO35" s="204"/>
      <c r="GOP35" s="204"/>
      <c r="GOQ35" s="204"/>
      <c r="GOR35" s="204"/>
      <c r="GOS35" s="204"/>
      <c r="GOT35" s="204"/>
      <c r="GOU35" s="204"/>
      <c r="GOV35" s="204"/>
      <c r="GOW35" s="204"/>
      <c r="GOX35" s="204"/>
      <c r="GOY35" s="204"/>
      <c r="GOZ35" s="204"/>
      <c r="GPA35" s="204"/>
      <c r="GPB35" s="204"/>
      <c r="GPC35" s="204"/>
      <c r="GPD35" s="204"/>
      <c r="GPE35" s="204"/>
      <c r="GPF35" s="204"/>
      <c r="GPG35" s="204"/>
      <c r="GPH35" s="204"/>
      <c r="GPI35" s="204"/>
      <c r="GPJ35" s="204"/>
      <c r="GPK35" s="204"/>
      <c r="GPL35" s="204"/>
      <c r="GPM35" s="204"/>
      <c r="GPN35" s="204"/>
      <c r="GPO35" s="204"/>
      <c r="GPP35" s="204"/>
      <c r="GPQ35" s="204"/>
      <c r="GPR35" s="204"/>
      <c r="GPS35" s="204"/>
      <c r="GPT35" s="204"/>
      <c r="GPU35" s="204"/>
      <c r="GPV35" s="204"/>
      <c r="GPW35" s="204"/>
      <c r="GPX35" s="204"/>
      <c r="GPY35" s="204"/>
      <c r="GPZ35" s="204"/>
      <c r="GQA35" s="204"/>
      <c r="GQB35" s="204"/>
      <c r="GQC35" s="204"/>
      <c r="GQD35" s="204"/>
      <c r="GQE35" s="204"/>
      <c r="GQF35" s="204"/>
      <c r="GQG35" s="204"/>
      <c r="GQH35" s="204"/>
      <c r="GQI35" s="204"/>
      <c r="GQJ35" s="204"/>
      <c r="GQK35" s="204"/>
      <c r="GQL35" s="204"/>
      <c r="GQM35" s="204"/>
      <c r="GQN35" s="204"/>
      <c r="GQO35" s="204"/>
      <c r="GQP35" s="204"/>
      <c r="GQQ35" s="204"/>
      <c r="GQR35" s="204"/>
      <c r="GQS35" s="204"/>
      <c r="GQT35" s="204"/>
      <c r="GQU35" s="204"/>
      <c r="GQV35" s="204"/>
      <c r="GQW35" s="204"/>
      <c r="GQX35" s="204"/>
      <c r="GQY35" s="204"/>
      <c r="GQZ35" s="204"/>
      <c r="GRA35" s="204"/>
      <c r="GRB35" s="204"/>
      <c r="GRC35" s="204"/>
      <c r="GRD35" s="204"/>
      <c r="GRE35" s="204"/>
      <c r="GRF35" s="204"/>
      <c r="GRG35" s="204"/>
      <c r="GRH35" s="204"/>
      <c r="GRI35" s="204"/>
      <c r="GRJ35" s="204"/>
      <c r="GRK35" s="204"/>
      <c r="GRL35" s="204"/>
      <c r="GRM35" s="204"/>
      <c r="GRN35" s="204"/>
      <c r="GRO35" s="204"/>
      <c r="GRP35" s="204"/>
      <c r="GRQ35" s="204"/>
      <c r="GRR35" s="204"/>
      <c r="GRS35" s="204"/>
      <c r="GRT35" s="204"/>
      <c r="GRU35" s="204"/>
      <c r="GRV35" s="204"/>
      <c r="GRW35" s="204"/>
      <c r="GRX35" s="204"/>
      <c r="GRY35" s="204"/>
      <c r="GRZ35" s="204"/>
      <c r="GSA35" s="204"/>
      <c r="GSB35" s="204"/>
      <c r="GSC35" s="204"/>
      <c r="GSD35" s="204"/>
      <c r="GSE35" s="204"/>
      <c r="GSF35" s="204"/>
      <c r="GSG35" s="204"/>
      <c r="GSH35" s="204"/>
      <c r="GSI35" s="204"/>
      <c r="GSJ35" s="204"/>
      <c r="GSK35" s="204"/>
      <c r="GSL35" s="204"/>
      <c r="GSM35" s="204"/>
      <c r="GSN35" s="204"/>
      <c r="GSO35" s="204"/>
      <c r="GSP35" s="204"/>
      <c r="GSQ35" s="204"/>
      <c r="GSR35" s="204"/>
      <c r="GSS35" s="204"/>
      <c r="GST35" s="204"/>
      <c r="GSU35" s="204"/>
      <c r="GSV35" s="204"/>
      <c r="GSW35" s="204"/>
      <c r="GSX35" s="204"/>
      <c r="GSY35" s="204"/>
      <c r="GSZ35" s="204"/>
      <c r="GTA35" s="204"/>
      <c r="GTB35" s="204"/>
      <c r="GTC35" s="204"/>
      <c r="GTD35" s="204"/>
      <c r="GTE35" s="204"/>
      <c r="GTF35" s="204"/>
      <c r="GTG35" s="204"/>
      <c r="GTH35" s="204"/>
      <c r="GTI35" s="204"/>
      <c r="GTJ35" s="204"/>
      <c r="GTK35" s="204"/>
      <c r="GTL35" s="204"/>
      <c r="GTM35" s="204"/>
      <c r="GTN35" s="204"/>
      <c r="GTO35" s="204"/>
      <c r="GTP35" s="204"/>
      <c r="GTQ35" s="204"/>
      <c r="GTR35" s="204"/>
      <c r="GTS35" s="204"/>
      <c r="GTT35" s="204"/>
      <c r="GTU35" s="204"/>
      <c r="GTV35" s="204"/>
      <c r="GTW35" s="204"/>
      <c r="GTX35" s="204"/>
      <c r="GTY35" s="204"/>
      <c r="GTZ35" s="204"/>
      <c r="GUA35" s="204"/>
      <c r="GUB35" s="204"/>
      <c r="GUC35" s="204"/>
      <c r="GUD35" s="204"/>
      <c r="GUE35" s="204"/>
      <c r="GUF35" s="204"/>
      <c r="GUG35" s="204"/>
      <c r="GUH35" s="204"/>
      <c r="GUI35" s="204"/>
      <c r="GUJ35" s="204"/>
      <c r="GUK35" s="204"/>
      <c r="GUL35" s="204"/>
      <c r="GUM35" s="204"/>
      <c r="GUN35" s="204"/>
      <c r="GUO35" s="204"/>
      <c r="GUP35" s="204"/>
      <c r="GUQ35" s="204"/>
      <c r="GUR35" s="204"/>
      <c r="GUS35" s="204"/>
      <c r="GUT35" s="204"/>
      <c r="GUU35" s="204"/>
      <c r="GUV35" s="204"/>
      <c r="GUW35" s="204"/>
      <c r="GUX35" s="204"/>
      <c r="GUY35" s="204"/>
      <c r="GUZ35" s="204"/>
      <c r="GVA35" s="204"/>
      <c r="GVB35" s="204"/>
      <c r="GVC35" s="204"/>
      <c r="GVD35" s="204"/>
      <c r="GVE35" s="204"/>
      <c r="GVF35" s="204"/>
      <c r="GVG35" s="204"/>
      <c r="GVH35" s="204"/>
      <c r="GVI35" s="204"/>
      <c r="GVJ35" s="204"/>
      <c r="GVK35" s="204"/>
      <c r="GVL35" s="204"/>
      <c r="GVM35" s="204"/>
      <c r="GVN35" s="204"/>
      <c r="GVO35" s="204"/>
      <c r="GVP35" s="204"/>
      <c r="GVQ35" s="204"/>
      <c r="GVR35" s="204"/>
      <c r="GVS35" s="204"/>
      <c r="GVT35" s="204"/>
      <c r="GVU35" s="204"/>
      <c r="GVV35" s="204"/>
      <c r="GVW35" s="204"/>
      <c r="GVX35" s="204"/>
      <c r="GVY35" s="204"/>
      <c r="GVZ35" s="204"/>
      <c r="GWA35" s="204"/>
      <c r="GWB35" s="204"/>
      <c r="GWC35" s="204"/>
      <c r="GWD35" s="204"/>
      <c r="GWE35" s="204"/>
      <c r="GWF35" s="204"/>
      <c r="GWG35" s="204"/>
      <c r="GWH35" s="204"/>
      <c r="GWI35" s="204"/>
      <c r="GWJ35" s="204"/>
      <c r="GWK35" s="204"/>
      <c r="GWL35" s="204"/>
      <c r="GWM35" s="204"/>
      <c r="GWN35" s="204"/>
      <c r="GWO35" s="204"/>
      <c r="GWP35" s="204"/>
      <c r="GWQ35" s="204"/>
      <c r="GWR35" s="204"/>
      <c r="GWS35" s="204"/>
      <c r="GWT35" s="204"/>
      <c r="GWU35" s="204"/>
      <c r="GWV35" s="204"/>
      <c r="GWW35" s="204"/>
      <c r="GWX35" s="204"/>
      <c r="GWY35" s="204"/>
      <c r="GWZ35" s="204"/>
      <c r="GXA35" s="204"/>
      <c r="GXB35" s="204"/>
      <c r="GXC35" s="204"/>
      <c r="GXD35" s="204"/>
      <c r="GXE35" s="204"/>
      <c r="GXF35" s="204"/>
      <c r="GXG35" s="204"/>
      <c r="GXH35" s="204"/>
      <c r="GXI35" s="204"/>
      <c r="GXJ35" s="204"/>
      <c r="GXK35" s="204"/>
      <c r="GXL35" s="204"/>
      <c r="GXM35" s="204"/>
      <c r="GXN35" s="204"/>
      <c r="GXO35" s="204"/>
      <c r="GXP35" s="204"/>
      <c r="GXQ35" s="204"/>
      <c r="GXR35" s="204"/>
      <c r="GXS35" s="204"/>
      <c r="GXT35" s="204"/>
      <c r="GXU35" s="204"/>
      <c r="GXV35" s="204"/>
      <c r="GXW35" s="204"/>
      <c r="GXX35" s="204"/>
      <c r="GXY35" s="204"/>
      <c r="GXZ35" s="204"/>
      <c r="GYA35" s="204"/>
      <c r="GYB35" s="204"/>
      <c r="GYC35" s="204"/>
      <c r="GYD35" s="204"/>
      <c r="GYE35" s="204"/>
      <c r="GYF35" s="204"/>
      <c r="GYG35" s="204"/>
      <c r="GYH35" s="204"/>
      <c r="GYI35" s="204"/>
      <c r="GYJ35" s="204"/>
      <c r="GYK35" s="204"/>
      <c r="GYL35" s="204"/>
      <c r="GYM35" s="204"/>
      <c r="GYN35" s="204"/>
      <c r="GYO35" s="204"/>
      <c r="GYP35" s="204"/>
      <c r="GYQ35" s="204"/>
      <c r="GYR35" s="204"/>
      <c r="GYS35" s="204"/>
      <c r="GYT35" s="204"/>
      <c r="GYU35" s="204"/>
      <c r="GYV35" s="204"/>
      <c r="GYW35" s="204"/>
      <c r="GYX35" s="204"/>
      <c r="GYY35" s="204"/>
      <c r="GYZ35" s="204"/>
      <c r="GZA35" s="204"/>
      <c r="GZB35" s="204"/>
      <c r="GZC35" s="204"/>
      <c r="GZD35" s="204"/>
      <c r="GZE35" s="204"/>
      <c r="GZF35" s="204"/>
      <c r="GZG35" s="204"/>
      <c r="GZH35" s="204"/>
      <c r="GZI35" s="204"/>
      <c r="GZJ35" s="204"/>
      <c r="GZK35" s="204"/>
      <c r="GZL35" s="204"/>
      <c r="GZM35" s="204"/>
      <c r="GZN35" s="204"/>
      <c r="GZO35" s="204"/>
      <c r="GZP35" s="204"/>
      <c r="GZQ35" s="204"/>
      <c r="GZR35" s="204"/>
      <c r="GZS35" s="204"/>
      <c r="GZT35" s="204"/>
      <c r="GZU35" s="204"/>
      <c r="GZV35" s="204"/>
      <c r="GZW35" s="204"/>
      <c r="GZX35" s="204"/>
      <c r="GZY35" s="204"/>
      <c r="GZZ35" s="204"/>
      <c r="HAA35" s="204"/>
      <c r="HAB35" s="204"/>
      <c r="HAC35" s="204"/>
      <c r="HAD35" s="204"/>
      <c r="HAE35" s="204"/>
      <c r="HAF35" s="204"/>
      <c r="HAG35" s="204"/>
      <c r="HAH35" s="204"/>
      <c r="HAI35" s="204"/>
      <c r="HAJ35" s="204"/>
      <c r="HAK35" s="204"/>
      <c r="HAL35" s="204"/>
      <c r="HAM35" s="204"/>
      <c r="HAN35" s="204"/>
      <c r="HAO35" s="204"/>
      <c r="HAP35" s="204"/>
      <c r="HAQ35" s="204"/>
      <c r="HAR35" s="204"/>
      <c r="HAS35" s="204"/>
      <c r="HAT35" s="204"/>
      <c r="HAU35" s="204"/>
      <c r="HAV35" s="204"/>
      <c r="HAW35" s="204"/>
      <c r="HAX35" s="204"/>
      <c r="HAY35" s="204"/>
      <c r="HAZ35" s="204"/>
      <c r="HBA35" s="204"/>
      <c r="HBB35" s="204"/>
      <c r="HBC35" s="204"/>
      <c r="HBD35" s="204"/>
      <c r="HBE35" s="204"/>
      <c r="HBF35" s="204"/>
      <c r="HBG35" s="204"/>
      <c r="HBH35" s="204"/>
      <c r="HBI35" s="204"/>
      <c r="HBJ35" s="204"/>
      <c r="HBK35" s="204"/>
      <c r="HBL35" s="204"/>
      <c r="HBM35" s="204"/>
      <c r="HBN35" s="204"/>
      <c r="HBO35" s="204"/>
      <c r="HBP35" s="204"/>
      <c r="HBQ35" s="204"/>
      <c r="HBR35" s="204"/>
      <c r="HBS35" s="204"/>
      <c r="HBT35" s="204"/>
      <c r="HBU35" s="204"/>
      <c r="HBV35" s="204"/>
      <c r="HBW35" s="204"/>
      <c r="HBX35" s="204"/>
      <c r="HBY35" s="204"/>
      <c r="HBZ35" s="204"/>
      <c r="HCA35" s="204"/>
      <c r="HCB35" s="204"/>
      <c r="HCC35" s="204"/>
      <c r="HCD35" s="204"/>
      <c r="HCE35" s="204"/>
      <c r="HCF35" s="204"/>
      <c r="HCG35" s="204"/>
      <c r="HCH35" s="204"/>
      <c r="HCI35" s="204"/>
      <c r="HCJ35" s="204"/>
      <c r="HCK35" s="204"/>
      <c r="HCL35" s="204"/>
      <c r="HCM35" s="204"/>
      <c r="HCN35" s="204"/>
      <c r="HCO35" s="204"/>
      <c r="HCP35" s="204"/>
      <c r="HCQ35" s="204"/>
      <c r="HCR35" s="204"/>
      <c r="HCS35" s="204"/>
      <c r="HCT35" s="204"/>
      <c r="HCU35" s="204"/>
      <c r="HCV35" s="204"/>
      <c r="HCW35" s="204"/>
      <c r="HCX35" s="204"/>
      <c r="HCY35" s="204"/>
      <c r="HCZ35" s="204"/>
      <c r="HDA35" s="204"/>
      <c r="HDB35" s="204"/>
      <c r="HDC35" s="204"/>
      <c r="HDD35" s="204"/>
      <c r="HDE35" s="204"/>
      <c r="HDF35" s="204"/>
      <c r="HDG35" s="204"/>
      <c r="HDH35" s="204"/>
      <c r="HDI35" s="204"/>
      <c r="HDJ35" s="204"/>
      <c r="HDK35" s="204"/>
      <c r="HDL35" s="204"/>
      <c r="HDM35" s="204"/>
      <c r="HDN35" s="204"/>
      <c r="HDO35" s="204"/>
      <c r="HDP35" s="204"/>
      <c r="HDQ35" s="204"/>
      <c r="HDR35" s="204"/>
      <c r="HDS35" s="204"/>
      <c r="HDT35" s="204"/>
      <c r="HDU35" s="204"/>
      <c r="HDV35" s="204"/>
      <c r="HDW35" s="204"/>
      <c r="HDX35" s="204"/>
      <c r="HDY35" s="204"/>
      <c r="HDZ35" s="204"/>
      <c r="HEA35" s="204"/>
      <c r="HEB35" s="204"/>
      <c r="HEC35" s="204"/>
      <c r="HED35" s="204"/>
      <c r="HEE35" s="204"/>
      <c r="HEF35" s="204"/>
      <c r="HEG35" s="204"/>
      <c r="HEH35" s="204"/>
      <c r="HEI35" s="204"/>
      <c r="HEJ35" s="204"/>
      <c r="HEK35" s="204"/>
      <c r="HEL35" s="204"/>
      <c r="HEM35" s="204"/>
      <c r="HEN35" s="204"/>
      <c r="HEO35" s="204"/>
      <c r="HEP35" s="204"/>
      <c r="HEQ35" s="204"/>
      <c r="HER35" s="204"/>
      <c r="HES35" s="204"/>
      <c r="HET35" s="204"/>
      <c r="HEU35" s="204"/>
      <c r="HEV35" s="204"/>
      <c r="HEW35" s="204"/>
      <c r="HEX35" s="204"/>
      <c r="HEY35" s="204"/>
      <c r="HEZ35" s="204"/>
      <c r="HFA35" s="204"/>
      <c r="HFB35" s="204"/>
      <c r="HFC35" s="204"/>
      <c r="HFD35" s="204"/>
      <c r="HFE35" s="204"/>
      <c r="HFF35" s="204"/>
      <c r="HFG35" s="204"/>
      <c r="HFH35" s="204"/>
      <c r="HFI35" s="204"/>
      <c r="HFJ35" s="204"/>
      <c r="HFK35" s="204"/>
      <c r="HFL35" s="204"/>
      <c r="HFM35" s="204"/>
      <c r="HFN35" s="204"/>
      <c r="HFO35" s="204"/>
      <c r="HFP35" s="204"/>
      <c r="HFQ35" s="204"/>
      <c r="HFR35" s="204"/>
      <c r="HFS35" s="204"/>
      <c r="HFT35" s="204"/>
      <c r="HFU35" s="204"/>
      <c r="HFV35" s="204"/>
      <c r="HFW35" s="204"/>
      <c r="HFX35" s="204"/>
      <c r="HFY35" s="204"/>
      <c r="HFZ35" s="204"/>
      <c r="HGA35" s="204"/>
      <c r="HGB35" s="204"/>
      <c r="HGC35" s="204"/>
      <c r="HGD35" s="204"/>
      <c r="HGE35" s="204"/>
      <c r="HGF35" s="204"/>
      <c r="HGG35" s="204"/>
      <c r="HGH35" s="204"/>
      <c r="HGI35" s="204"/>
      <c r="HGJ35" s="204"/>
      <c r="HGK35" s="204"/>
      <c r="HGL35" s="204"/>
      <c r="HGM35" s="204"/>
      <c r="HGN35" s="204"/>
      <c r="HGO35" s="204"/>
      <c r="HGP35" s="204"/>
      <c r="HGQ35" s="204"/>
      <c r="HGR35" s="204"/>
      <c r="HGS35" s="204"/>
      <c r="HGT35" s="204"/>
      <c r="HGU35" s="204"/>
      <c r="HGV35" s="204"/>
      <c r="HGW35" s="204"/>
      <c r="HGX35" s="204"/>
      <c r="HGY35" s="204"/>
      <c r="HGZ35" s="204"/>
      <c r="HHA35" s="204"/>
      <c r="HHB35" s="204"/>
      <c r="HHC35" s="204"/>
      <c r="HHD35" s="204"/>
      <c r="HHE35" s="204"/>
      <c r="HHF35" s="204"/>
      <c r="HHG35" s="204"/>
      <c r="HHH35" s="204"/>
      <c r="HHI35" s="204"/>
      <c r="HHJ35" s="204"/>
      <c r="HHK35" s="204"/>
      <c r="HHL35" s="204"/>
      <c r="HHM35" s="204"/>
      <c r="HHN35" s="204"/>
      <c r="HHO35" s="204"/>
      <c r="HHP35" s="204"/>
      <c r="HHQ35" s="204"/>
      <c r="HHR35" s="204"/>
      <c r="HHS35" s="204"/>
      <c r="HHT35" s="204"/>
      <c r="HHU35" s="204"/>
      <c r="HHV35" s="204"/>
      <c r="HHW35" s="204"/>
      <c r="HHX35" s="204"/>
      <c r="HHY35" s="204"/>
      <c r="HHZ35" s="204"/>
      <c r="HIA35" s="204"/>
      <c r="HIB35" s="204"/>
      <c r="HIC35" s="204"/>
      <c r="HID35" s="204"/>
      <c r="HIE35" s="204"/>
      <c r="HIF35" s="204"/>
      <c r="HIG35" s="204"/>
      <c r="HIH35" s="204"/>
      <c r="HII35" s="204"/>
      <c r="HIJ35" s="204"/>
      <c r="HIK35" s="204"/>
      <c r="HIL35" s="204"/>
      <c r="HIM35" s="204"/>
      <c r="HIN35" s="204"/>
      <c r="HIO35" s="204"/>
      <c r="HIP35" s="204"/>
      <c r="HIQ35" s="204"/>
      <c r="HIR35" s="204"/>
      <c r="HIS35" s="204"/>
      <c r="HIT35" s="204"/>
      <c r="HIU35" s="204"/>
      <c r="HIV35" s="204"/>
      <c r="HIW35" s="204"/>
      <c r="HIX35" s="204"/>
      <c r="HIY35" s="204"/>
      <c r="HIZ35" s="204"/>
      <c r="HJA35" s="204"/>
      <c r="HJB35" s="204"/>
      <c r="HJC35" s="204"/>
      <c r="HJD35" s="204"/>
      <c r="HJE35" s="204"/>
      <c r="HJF35" s="204"/>
      <c r="HJG35" s="204"/>
      <c r="HJH35" s="204"/>
      <c r="HJI35" s="204"/>
      <c r="HJJ35" s="204"/>
      <c r="HJK35" s="204"/>
      <c r="HJL35" s="204"/>
      <c r="HJM35" s="204"/>
      <c r="HJN35" s="204"/>
      <c r="HJO35" s="204"/>
      <c r="HJP35" s="204"/>
      <c r="HJQ35" s="204"/>
      <c r="HJR35" s="204"/>
      <c r="HJS35" s="204"/>
      <c r="HJT35" s="204"/>
      <c r="HJU35" s="204"/>
      <c r="HJV35" s="204"/>
      <c r="HJW35" s="204"/>
      <c r="HJX35" s="204"/>
      <c r="HJY35" s="204"/>
      <c r="HJZ35" s="204"/>
      <c r="HKA35" s="204"/>
      <c r="HKB35" s="204"/>
      <c r="HKC35" s="204"/>
      <c r="HKD35" s="204"/>
      <c r="HKE35" s="204"/>
      <c r="HKF35" s="204"/>
      <c r="HKG35" s="204"/>
      <c r="HKH35" s="204"/>
      <c r="HKI35" s="204"/>
      <c r="HKJ35" s="204"/>
      <c r="HKK35" s="204"/>
      <c r="HKL35" s="204"/>
      <c r="HKM35" s="204"/>
      <c r="HKN35" s="204"/>
      <c r="HKO35" s="204"/>
      <c r="HKP35" s="204"/>
      <c r="HKQ35" s="204"/>
      <c r="HKR35" s="204"/>
      <c r="HKS35" s="204"/>
      <c r="HKT35" s="204"/>
      <c r="HKU35" s="204"/>
      <c r="HKV35" s="204"/>
      <c r="HKW35" s="204"/>
      <c r="HKX35" s="204"/>
      <c r="HKY35" s="204"/>
      <c r="HKZ35" s="204"/>
      <c r="HLA35" s="204"/>
      <c r="HLB35" s="204"/>
      <c r="HLC35" s="204"/>
      <c r="HLD35" s="204"/>
      <c r="HLE35" s="204"/>
      <c r="HLF35" s="204"/>
      <c r="HLG35" s="204"/>
      <c r="HLH35" s="204"/>
      <c r="HLI35" s="204"/>
      <c r="HLJ35" s="204"/>
      <c r="HLK35" s="204"/>
      <c r="HLL35" s="204"/>
      <c r="HLM35" s="204"/>
      <c r="HLN35" s="204"/>
      <c r="HLO35" s="204"/>
      <c r="HLP35" s="204"/>
      <c r="HLQ35" s="204"/>
      <c r="HLR35" s="204"/>
      <c r="HLS35" s="204"/>
      <c r="HLT35" s="204"/>
      <c r="HLU35" s="204"/>
      <c r="HLV35" s="204"/>
      <c r="HLW35" s="204"/>
      <c r="HLX35" s="204"/>
      <c r="HLY35" s="204"/>
      <c r="HLZ35" s="204"/>
      <c r="HMA35" s="204"/>
      <c r="HMB35" s="204"/>
      <c r="HMC35" s="204"/>
      <c r="HMD35" s="204"/>
      <c r="HME35" s="204"/>
      <c r="HMF35" s="204"/>
      <c r="HMG35" s="204"/>
      <c r="HMH35" s="204"/>
      <c r="HMI35" s="204"/>
      <c r="HMJ35" s="204"/>
      <c r="HMK35" s="204"/>
      <c r="HML35" s="204"/>
      <c r="HMM35" s="204"/>
      <c r="HMN35" s="204"/>
      <c r="HMO35" s="204"/>
      <c r="HMP35" s="204"/>
      <c r="HMQ35" s="204"/>
      <c r="HMR35" s="204"/>
      <c r="HMS35" s="204"/>
      <c r="HMT35" s="204"/>
      <c r="HMU35" s="204"/>
      <c r="HMV35" s="204"/>
      <c r="HMW35" s="204"/>
      <c r="HMX35" s="204"/>
      <c r="HMY35" s="204"/>
      <c r="HMZ35" s="204"/>
      <c r="HNA35" s="204"/>
      <c r="HNB35" s="204"/>
      <c r="HNC35" s="204"/>
      <c r="HND35" s="204"/>
      <c r="HNE35" s="204"/>
      <c r="HNF35" s="204"/>
      <c r="HNG35" s="204"/>
      <c r="HNH35" s="204"/>
      <c r="HNI35" s="204"/>
      <c r="HNJ35" s="204"/>
      <c r="HNK35" s="204"/>
      <c r="HNL35" s="204"/>
      <c r="HNM35" s="204"/>
      <c r="HNN35" s="204"/>
      <c r="HNO35" s="204"/>
      <c r="HNP35" s="204"/>
      <c r="HNQ35" s="204"/>
      <c r="HNR35" s="204"/>
      <c r="HNS35" s="204"/>
      <c r="HNT35" s="204"/>
      <c r="HNU35" s="204"/>
      <c r="HNV35" s="204"/>
      <c r="HNW35" s="204"/>
      <c r="HNX35" s="204"/>
      <c r="HNY35" s="204"/>
      <c r="HNZ35" s="204"/>
      <c r="HOA35" s="204"/>
      <c r="HOB35" s="204"/>
      <c r="HOC35" s="204"/>
      <c r="HOD35" s="204"/>
      <c r="HOE35" s="204"/>
      <c r="HOF35" s="204"/>
      <c r="HOG35" s="204"/>
      <c r="HOH35" s="204"/>
      <c r="HOI35" s="204"/>
      <c r="HOJ35" s="204"/>
      <c r="HOK35" s="204"/>
      <c r="HOL35" s="204"/>
      <c r="HOM35" s="204"/>
      <c r="HON35" s="204"/>
      <c r="HOO35" s="204"/>
      <c r="HOP35" s="204"/>
      <c r="HOQ35" s="204"/>
      <c r="HOR35" s="204"/>
      <c r="HOS35" s="204"/>
      <c r="HOT35" s="204"/>
      <c r="HOU35" s="204"/>
      <c r="HOV35" s="204"/>
      <c r="HOW35" s="204"/>
      <c r="HOX35" s="204"/>
      <c r="HOY35" s="204"/>
      <c r="HOZ35" s="204"/>
      <c r="HPA35" s="204"/>
      <c r="HPB35" s="204"/>
      <c r="HPC35" s="204"/>
      <c r="HPD35" s="204"/>
      <c r="HPE35" s="204"/>
      <c r="HPF35" s="204"/>
      <c r="HPG35" s="204"/>
      <c r="HPH35" s="204"/>
      <c r="HPI35" s="204"/>
      <c r="HPJ35" s="204"/>
      <c r="HPK35" s="204"/>
      <c r="HPL35" s="204"/>
      <c r="HPM35" s="204"/>
      <c r="HPN35" s="204"/>
      <c r="HPO35" s="204"/>
      <c r="HPP35" s="204"/>
      <c r="HPQ35" s="204"/>
      <c r="HPR35" s="204"/>
      <c r="HPS35" s="204"/>
      <c r="HPT35" s="204"/>
      <c r="HPU35" s="204"/>
      <c r="HPV35" s="204"/>
      <c r="HPW35" s="204"/>
      <c r="HPX35" s="204"/>
      <c r="HPY35" s="204"/>
      <c r="HPZ35" s="204"/>
      <c r="HQA35" s="204"/>
      <c r="HQB35" s="204"/>
      <c r="HQC35" s="204"/>
      <c r="HQD35" s="204"/>
      <c r="HQE35" s="204"/>
      <c r="HQF35" s="204"/>
      <c r="HQG35" s="204"/>
      <c r="HQH35" s="204"/>
      <c r="HQI35" s="204"/>
      <c r="HQJ35" s="204"/>
      <c r="HQK35" s="204"/>
      <c r="HQL35" s="204"/>
      <c r="HQM35" s="204"/>
      <c r="HQN35" s="204"/>
      <c r="HQO35" s="204"/>
      <c r="HQP35" s="204"/>
      <c r="HQQ35" s="204"/>
      <c r="HQR35" s="204"/>
      <c r="HQS35" s="204"/>
      <c r="HQT35" s="204"/>
      <c r="HQU35" s="204"/>
      <c r="HQV35" s="204"/>
      <c r="HQW35" s="204"/>
      <c r="HQX35" s="204"/>
      <c r="HQY35" s="204"/>
      <c r="HQZ35" s="204"/>
      <c r="HRA35" s="204"/>
      <c r="HRB35" s="204"/>
      <c r="HRC35" s="204"/>
      <c r="HRD35" s="204"/>
      <c r="HRE35" s="204"/>
      <c r="HRF35" s="204"/>
      <c r="HRG35" s="204"/>
      <c r="HRH35" s="204"/>
      <c r="HRI35" s="204"/>
      <c r="HRJ35" s="204"/>
      <c r="HRK35" s="204"/>
      <c r="HRL35" s="204"/>
      <c r="HRM35" s="204"/>
      <c r="HRN35" s="204"/>
      <c r="HRO35" s="204"/>
      <c r="HRP35" s="204"/>
      <c r="HRQ35" s="204"/>
      <c r="HRR35" s="204"/>
      <c r="HRS35" s="204"/>
      <c r="HRT35" s="204"/>
      <c r="HRU35" s="204"/>
      <c r="HRV35" s="204"/>
      <c r="HRW35" s="204"/>
      <c r="HRX35" s="204"/>
      <c r="HRY35" s="204"/>
      <c r="HRZ35" s="204"/>
      <c r="HSA35" s="204"/>
      <c r="HSB35" s="204"/>
      <c r="HSC35" s="204"/>
      <c r="HSD35" s="204"/>
      <c r="HSE35" s="204"/>
      <c r="HSF35" s="204"/>
      <c r="HSG35" s="204"/>
      <c r="HSH35" s="204"/>
      <c r="HSI35" s="204"/>
      <c r="HSJ35" s="204"/>
      <c r="HSK35" s="204"/>
      <c r="HSL35" s="204"/>
      <c r="HSM35" s="204"/>
      <c r="HSN35" s="204"/>
      <c r="HSO35" s="204"/>
      <c r="HSP35" s="204"/>
      <c r="HSQ35" s="204"/>
      <c r="HSR35" s="204"/>
      <c r="HSS35" s="204"/>
      <c r="HST35" s="204"/>
      <c r="HSU35" s="204"/>
      <c r="HSV35" s="204"/>
      <c r="HSW35" s="204"/>
      <c r="HSX35" s="204"/>
      <c r="HSY35" s="204"/>
      <c r="HSZ35" s="204"/>
      <c r="HTA35" s="204"/>
      <c r="HTB35" s="204"/>
      <c r="HTC35" s="204"/>
      <c r="HTD35" s="204"/>
      <c r="HTE35" s="204"/>
      <c r="HTF35" s="204"/>
      <c r="HTG35" s="204"/>
      <c r="HTH35" s="204"/>
      <c r="HTI35" s="204"/>
      <c r="HTJ35" s="204"/>
      <c r="HTK35" s="204"/>
      <c r="HTL35" s="204"/>
      <c r="HTM35" s="204"/>
      <c r="HTN35" s="204"/>
      <c r="HTO35" s="204"/>
      <c r="HTP35" s="204"/>
      <c r="HTQ35" s="204"/>
      <c r="HTR35" s="204"/>
      <c r="HTS35" s="204"/>
      <c r="HTT35" s="204"/>
      <c r="HTU35" s="204"/>
      <c r="HTV35" s="204"/>
      <c r="HTW35" s="204"/>
      <c r="HTX35" s="204"/>
      <c r="HTY35" s="204"/>
      <c r="HTZ35" s="204"/>
      <c r="HUA35" s="204"/>
      <c r="HUB35" s="204"/>
      <c r="HUC35" s="204"/>
      <c r="HUD35" s="204"/>
      <c r="HUE35" s="204"/>
      <c r="HUF35" s="204"/>
      <c r="HUG35" s="204"/>
      <c r="HUH35" s="204"/>
      <c r="HUI35" s="204"/>
      <c r="HUJ35" s="204"/>
      <c r="HUK35" s="204"/>
      <c r="HUL35" s="204"/>
      <c r="HUM35" s="204"/>
      <c r="HUN35" s="204"/>
      <c r="HUO35" s="204"/>
      <c r="HUP35" s="204"/>
      <c r="HUQ35" s="204"/>
      <c r="HUR35" s="204"/>
      <c r="HUS35" s="204"/>
      <c r="HUT35" s="204"/>
      <c r="HUU35" s="204"/>
      <c r="HUV35" s="204"/>
      <c r="HUW35" s="204"/>
      <c r="HUX35" s="204"/>
      <c r="HUY35" s="204"/>
      <c r="HUZ35" s="204"/>
      <c r="HVA35" s="204"/>
      <c r="HVB35" s="204"/>
      <c r="HVC35" s="204"/>
      <c r="HVD35" s="204"/>
      <c r="HVE35" s="204"/>
      <c r="HVF35" s="204"/>
      <c r="HVG35" s="204"/>
      <c r="HVH35" s="204"/>
      <c r="HVI35" s="204"/>
      <c r="HVJ35" s="204"/>
      <c r="HVK35" s="204"/>
      <c r="HVL35" s="204"/>
      <c r="HVM35" s="204"/>
      <c r="HVN35" s="204"/>
      <c r="HVO35" s="204"/>
      <c r="HVP35" s="204"/>
      <c r="HVQ35" s="204"/>
      <c r="HVR35" s="204"/>
      <c r="HVS35" s="204"/>
      <c r="HVT35" s="204"/>
      <c r="HVU35" s="204"/>
      <c r="HVV35" s="204"/>
      <c r="HVW35" s="204"/>
      <c r="HVX35" s="204"/>
      <c r="HVY35" s="204"/>
      <c r="HVZ35" s="204"/>
      <c r="HWA35" s="204"/>
      <c r="HWB35" s="204"/>
      <c r="HWC35" s="204"/>
      <c r="HWD35" s="204"/>
      <c r="HWE35" s="204"/>
      <c r="HWF35" s="204"/>
      <c r="HWG35" s="204"/>
      <c r="HWH35" s="204"/>
      <c r="HWI35" s="204"/>
      <c r="HWJ35" s="204"/>
      <c r="HWK35" s="204"/>
      <c r="HWL35" s="204"/>
      <c r="HWM35" s="204"/>
      <c r="HWN35" s="204"/>
      <c r="HWO35" s="204"/>
      <c r="HWP35" s="204"/>
      <c r="HWQ35" s="204"/>
      <c r="HWR35" s="204"/>
      <c r="HWS35" s="204"/>
      <c r="HWT35" s="204"/>
      <c r="HWU35" s="204"/>
      <c r="HWV35" s="204"/>
      <c r="HWW35" s="204"/>
      <c r="HWX35" s="204"/>
      <c r="HWY35" s="204"/>
      <c r="HWZ35" s="204"/>
      <c r="HXA35" s="204"/>
      <c r="HXB35" s="204"/>
      <c r="HXC35" s="204"/>
      <c r="HXD35" s="204"/>
      <c r="HXE35" s="204"/>
      <c r="HXF35" s="204"/>
      <c r="HXG35" s="204"/>
      <c r="HXH35" s="204"/>
      <c r="HXI35" s="204"/>
      <c r="HXJ35" s="204"/>
      <c r="HXK35" s="204"/>
      <c r="HXL35" s="204"/>
      <c r="HXM35" s="204"/>
      <c r="HXN35" s="204"/>
      <c r="HXO35" s="204"/>
      <c r="HXP35" s="204"/>
      <c r="HXQ35" s="204"/>
      <c r="HXR35" s="204"/>
      <c r="HXS35" s="204"/>
      <c r="HXT35" s="204"/>
      <c r="HXU35" s="204"/>
      <c r="HXV35" s="204"/>
      <c r="HXW35" s="204"/>
      <c r="HXX35" s="204"/>
      <c r="HXY35" s="204"/>
      <c r="HXZ35" s="204"/>
      <c r="HYA35" s="204"/>
      <c r="HYB35" s="204"/>
      <c r="HYC35" s="204"/>
      <c r="HYD35" s="204"/>
      <c r="HYE35" s="204"/>
      <c r="HYF35" s="204"/>
      <c r="HYG35" s="204"/>
      <c r="HYH35" s="204"/>
      <c r="HYI35" s="204"/>
      <c r="HYJ35" s="204"/>
      <c r="HYK35" s="204"/>
      <c r="HYL35" s="204"/>
      <c r="HYM35" s="204"/>
      <c r="HYN35" s="204"/>
      <c r="HYO35" s="204"/>
      <c r="HYP35" s="204"/>
      <c r="HYQ35" s="204"/>
      <c r="HYR35" s="204"/>
      <c r="HYS35" s="204"/>
      <c r="HYT35" s="204"/>
      <c r="HYU35" s="204"/>
      <c r="HYV35" s="204"/>
      <c r="HYW35" s="204"/>
      <c r="HYX35" s="204"/>
      <c r="HYY35" s="204"/>
      <c r="HYZ35" s="204"/>
      <c r="HZA35" s="204"/>
      <c r="HZB35" s="204"/>
      <c r="HZC35" s="204"/>
      <c r="HZD35" s="204"/>
      <c r="HZE35" s="204"/>
      <c r="HZF35" s="204"/>
      <c r="HZG35" s="204"/>
      <c r="HZH35" s="204"/>
      <c r="HZI35" s="204"/>
      <c r="HZJ35" s="204"/>
      <c r="HZK35" s="204"/>
      <c r="HZL35" s="204"/>
      <c r="HZM35" s="204"/>
      <c r="HZN35" s="204"/>
      <c r="HZO35" s="204"/>
      <c r="HZP35" s="204"/>
      <c r="HZQ35" s="204"/>
      <c r="HZR35" s="204"/>
      <c r="HZS35" s="204"/>
      <c r="HZT35" s="204"/>
      <c r="HZU35" s="204"/>
      <c r="HZV35" s="204"/>
      <c r="HZW35" s="204"/>
      <c r="HZX35" s="204"/>
      <c r="HZY35" s="204"/>
      <c r="HZZ35" s="204"/>
      <c r="IAA35" s="204"/>
      <c r="IAB35" s="204"/>
      <c r="IAC35" s="204"/>
      <c r="IAD35" s="204"/>
      <c r="IAE35" s="204"/>
      <c r="IAF35" s="204"/>
      <c r="IAG35" s="204"/>
      <c r="IAH35" s="204"/>
      <c r="IAI35" s="204"/>
      <c r="IAJ35" s="204"/>
      <c r="IAK35" s="204"/>
      <c r="IAL35" s="204"/>
      <c r="IAM35" s="204"/>
      <c r="IAN35" s="204"/>
      <c r="IAO35" s="204"/>
      <c r="IAP35" s="204"/>
      <c r="IAQ35" s="204"/>
      <c r="IAR35" s="204"/>
      <c r="IAS35" s="204"/>
      <c r="IAT35" s="204"/>
      <c r="IAU35" s="204"/>
      <c r="IAV35" s="204"/>
      <c r="IAW35" s="204"/>
      <c r="IAX35" s="204"/>
      <c r="IAY35" s="204"/>
      <c r="IAZ35" s="204"/>
      <c r="IBA35" s="204"/>
      <c r="IBB35" s="204"/>
      <c r="IBC35" s="204"/>
      <c r="IBD35" s="204"/>
      <c r="IBE35" s="204"/>
      <c r="IBF35" s="204"/>
      <c r="IBG35" s="204"/>
      <c r="IBH35" s="204"/>
      <c r="IBI35" s="204"/>
      <c r="IBJ35" s="204"/>
      <c r="IBK35" s="204"/>
      <c r="IBL35" s="204"/>
      <c r="IBM35" s="204"/>
      <c r="IBN35" s="204"/>
      <c r="IBO35" s="204"/>
      <c r="IBP35" s="204"/>
      <c r="IBQ35" s="204"/>
      <c r="IBR35" s="204"/>
      <c r="IBS35" s="204"/>
      <c r="IBT35" s="204"/>
      <c r="IBU35" s="204"/>
      <c r="IBV35" s="204"/>
      <c r="IBW35" s="204"/>
      <c r="IBX35" s="204"/>
      <c r="IBY35" s="204"/>
      <c r="IBZ35" s="204"/>
      <c r="ICA35" s="204"/>
      <c r="ICB35" s="204"/>
      <c r="ICC35" s="204"/>
      <c r="ICD35" s="204"/>
      <c r="ICE35" s="204"/>
      <c r="ICF35" s="204"/>
      <c r="ICG35" s="204"/>
      <c r="ICH35" s="204"/>
      <c r="ICI35" s="204"/>
      <c r="ICJ35" s="204"/>
      <c r="ICK35" s="204"/>
      <c r="ICL35" s="204"/>
      <c r="ICM35" s="204"/>
      <c r="ICN35" s="204"/>
      <c r="ICO35" s="204"/>
      <c r="ICP35" s="204"/>
      <c r="ICQ35" s="204"/>
      <c r="ICR35" s="204"/>
      <c r="ICS35" s="204"/>
      <c r="ICT35" s="204"/>
      <c r="ICU35" s="204"/>
      <c r="ICV35" s="204"/>
      <c r="ICW35" s="204"/>
      <c r="ICX35" s="204"/>
      <c r="ICY35" s="204"/>
      <c r="ICZ35" s="204"/>
      <c r="IDA35" s="204"/>
      <c r="IDB35" s="204"/>
      <c r="IDC35" s="204"/>
      <c r="IDD35" s="204"/>
      <c r="IDE35" s="204"/>
      <c r="IDF35" s="204"/>
      <c r="IDG35" s="204"/>
      <c r="IDH35" s="204"/>
      <c r="IDI35" s="204"/>
      <c r="IDJ35" s="204"/>
      <c r="IDK35" s="204"/>
      <c r="IDL35" s="204"/>
      <c r="IDM35" s="204"/>
      <c r="IDN35" s="204"/>
      <c r="IDO35" s="204"/>
      <c r="IDP35" s="204"/>
      <c r="IDQ35" s="204"/>
      <c r="IDR35" s="204"/>
      <c r="IDS35" s="204"/>
      <c r="IDT35" s="204"/>
      <c r="IDU35" s="204"/>
      <c r="IDV35" s="204"/>
      <c r="IDW35" s="204"/>
      <c r="IDX35" s="204"/>
      <c r="IDY35" s="204"/>
      <c r="IDZ35" s="204"/>
      <c r="IEA35" s="204"/>
      <c r="IEB35" s="204"/>
      <c r="IEC35" s="204"/>
      <c r="IED35" s="204"/>
      <c r="IEE35" s="204"/>
      <c r="IEF35" s="204"/>
      <c r="IEG35" s="204"/>
      <c r="IEH35" s="204"/>
      <c r="IEI35" s="204"/>
      <c r="IEJ35" s="204"/>
      <c r="IEK35" s="204"/>
      <c r="IEL35" s="204"/>
      <c r="IEM35" s="204"/>
      <c r="IEN35" s="204"/>
      <c r="IEO35" s="204"/>
      <c r="IEP35" s="204"/>
      <c r="IEQ35" s="204"/>
      <c r="IER35" s="204"/>
      <c r="IES35" s="204"/>
      <c r="IET35" s="204"/>
      <c r="IEU35" s="204"/>
      <c r="IEV35" s="204"/>
      <c r="IEW35" s="204"/>
      <c r="IEX35" s="204"/>
      <c r="IEY35" s="204"/>
      <c r="IEZ35" s="204"/>
      <c r="IFA35" s="204"/>
      <c r="IFB35" s="204"/>
      <c r="IFC35" s="204"/>
      <c r="IFD35" s="204"/>
      <c r="IFE35" s="204"/>
      <c r="IFF35" s="204"/>
      <c r="IFG35" s="204"/>
      <c r="IFH35" s="204"/>
      <c r="IFI35" s="204"/>
      <c r="IFJ35" s="204"/>
      <c r="IFK35" s="204"/>
      <c r="IFL35" s="204"/>
      <c r="IFM35" s="204"/>
      <c r="IFN35" s="204"/>
      <c r="IFO35" s="204"/>
      <c r="IFP35" s="204"/>
      <c r="IFQ35" s="204"/>
      <c r="IFR35" s="204"/>
      <c r="IFS35" s="204"/>
      <c r="IFT35" s="204"/>
      <c r="IFU35" s="204"/>
      <c r="IFV35" s="204"/>
      <c r="IFW35" s="204"/>
      <c r="IFX35" s="204"/>
      <c r="IFY35" s="204"/>
      <c r="IFZ35" s="204"/>
      <c r="IGA35" s="204"/>
      <c r="IGB35" s="204"/>
      <c r="IGC35" s="204"/>
      <c r="IGD35" s="204"/>
      <c r="IGE35" s="204"/>
      <c r="IGF35" s="204"/>
      <c r="IGG35" s="204"/>
      <c r="IGH35" s="204"/>
      <c r="IGI35" s="204"/>
      <c r="IGJ35" s="204"/>
      <c r="IGK35" s="204"/>
      <c r="IGL35" s="204"/>
      <c r="IGM35" s="204"/>
      <c r="IGN35" s="204"/>
      <c r="IGO35" s="204"/>
      <c r="IGP35" s="204"/>
      <c r="IGQ35" s="204"/>
      <c r="IGR35" s="204"/>
      <c r="IGS35" s="204"/>
      <c r="IGT35" s="204"/>
      <c r="IGU35" s="204"/>
      <c r="IGV35" s="204"/>
      <c r="IGW35" s="204"/>
      <c r="IGX35" s="204"/>
      <c r="IGY35" s="204"/>
      <c r="IGZ35" s="204"/>
      <c r="IHA35" s="204"/>
      <c r="IHB35" s="204"/>
      <c r="IHC35" s="204"/>
      <c r="IHD35" s="204"/>
      <c r="IHE35" s="204"/>
      <c r="IHF35" s="204"/>
      <c r="IHG35" s="204"/>
      <c r="IHH35" s="204"/>
      <c r="IHI35" s="204"/>
      <c r="IHJ35" s="204"/>
      <c r="IHK35" s="204"/>
      <c r="IHL35" s="204"/>
      <c r="IHM35" s="204"/>
      <c r="IHN35" s="204"/>
      <c r="IHO35" s="204"/>
      <c r="IHP35" s="204"/>
      <c r="IHQ35" s="204"/>
      <c r="IHR35" s="204"/>
      <c r="IHS35" s="204"/>
      <c r="IHT35" s="204"/>
      <c r="IHU35" s="204"/>
      <c r="IHV35" s="204"/>
      <c r="IHW35" s="204"/>
      <c r="IHX35" s="204"/>
      <c r="IHY35" s="204"/>
      <c r="IHZ35" s="204"/>
      <c r="IIA35" s="204"/>
      <c r="IIB35" s="204"/>
      <c r="IIC35" s="204"/>
      <c r="IID35" s="204"/>
      <c r="IIE35" s="204"/>
      <c r="IIF35" s="204"/>
      <c r="IIG35" s="204"/>
      <c r="IIH35" s="204"/>
      <c r="III35" s="204"/>
      <c r="IIJ35" s="204"/>
      <c r="IIK35" s="204"/>
      <c r="IIL35" s="204"/>
      <c r="IIM35" s="204"/>
      <c r="IIN35" s="204"/>
      <c r="IIO35" s="204"/>
      <c r="IIP35" s="204"/>
      <c r="IIQ35" s="204"/>
      <c r="IIR35" s="204"/>
      <c r="IIS35" s="204"/>
      <c r="IIT35" s="204"/>
      <c r="IIU35" s="204"/>
      <c r="IIV35" s="204"/>
      <c r="IIW35" s="204"/>
      <c r="IIX35" s="204"/>
      <c r="IIY35" s="204"/>
      <c r="IIZ35" s="204"/>
      <c r="IJA35" s="204"/>
      <c r="IJB35" s="204"/>
      <c r="IJC35" s="204"/>
      <c r="IJD35" s="204"/>
      <c r="IJE35" s="204"/>
      <c r="IJF35" s="204"/>
      <c r="IJG35" s="204"/>
      <c r="IJH35" s="204"/>
      <c r="IJI35" s="204"/>
      <c r="IJJ35" s="204"/>
      <c r="IJK35" s="204"/>
      <c r="IJL35" s="204"/>
      <c r="IJM35" s="204"/>
      <c r="IJN35" s="204"/>
      <c r="IJO35" s="204"/>
      <c r="IJP35" s="204"/>
      <c r="IJQ35" s="204"/>
      <c r="IJR35" s="204"/>
      <c r="IJS35" s="204"/>
      <c r="IJT35" s="204"/>
      <c r="IJU35" s="204"/>
      <c r="IJV35" s="204"/>
      <c r="IJW35" s="204"/>
      <c r="IJX35" s="204"/>
      <c r="IJY35" s="204"/>
      <c r="IJZ35" s="204"/>
      <c r="IKA35" s="204"/>
      <c r="IKB35" s="204"/>
      <c r="IKC35" s="204"/>
      <c r="IKD35" s="204"/>
      <c r="IKE35" s="204"/>
      <c r="IKF35" s="204"/>
      <c r="IKG35" s="204"/>
      <c r="IKH35" s="204"/>
      <c r="IKI35" s="204"/>
      <c r="IKJ35" s="204"/>
      <c r="IKK35" s="204"/>
      <c r="IKL35" s="204"/>
      <c r="IKM35" s="204"/>
      <c r="IKN35" s="204"/>
      <c r="IKO35" s="204"/>
      <c r="IKP35" s="204"/>
      <c r="IKQ35" s="204"/>
      <c r="IKR35" s="204"/>
      <c r="IKS35" s="204"/>
      <c r="IKT35" s="204"/>
      <c r="IKU35" s="204"/>
      <c r="IKV35" s="204"/>
      <c r="IKW35" s="204"/>
      <c r="IKX35" s="204"/>
      <c r="IKY35" s="204"/>
      <c r="IKZ35" s="204"/>
      <c r="ILA35" s="204"/>
      <c r="ILB35" s="204"/>
      <c r="ILC35" s="204"/>
      <c r="ILD35" s="204"/>
      <c r="ILE35" s="204"/>
      <c r="ILF35" s="204"/>
      <c r="ILG35" s="204"/>
      <c r="ILH35" s="204"/>
      <c r="ILI35" s="204"/>
      <c r="ILJ35" s="204"/>
      <c r="ILK35" s="204"/>
      <c r="ILL35" s="204"/>
      <c r="ILM35" s="204"/>
      <c r="ILN35" s="204"/>
      <c r="ILO35" s="204"/>
      <c r="ILP35" s="204"/>
      <c r="ILQ35" s="204"/>
      <c r="ILR35" s="204"/>
      <c r="ILS35" s="204"/>
      <c r="ILT35" s="204"/>
      <c r="ILU35" s="204"/>
      <c r="ILV35" s="204"/>
      <c r="ILW35" s="204"/>
      <c r="ILX35" s="204"/>
      <c r="ILY35" s="204"/>
      <c r="ILZ35" s="204"/>
      <c r="IMA35" s="204"/>
      <c r="IMB35" s="204"/>
      <c r="IMC35" s="204"/>
      <c r="IMD35" s="204"/>
      <c r="IME35" s="204"/>
      <c r="IMF35" s="204"/>
      <c r="IMG35" s="204"/>
      <c r="IMH35" s="204"/>
      <c r="IMI35" s="204"/>
      <c r="IMJ35" s="204"/>
      <c r="IMK35" s="204"/>
      <c r="IML35" s="204"/>
      <c r="IMM35" s="204"/>
      <c r="IMN35" s="204"/>
      <c r="IMO35" s="204"/>
      <c r="IMP35" s="204"/>
      <c r="IMQ35" s="204"/>
      <c r="IMR35" s="204"/>
      <c r="IMS35" s="204"/>
      <c r="IMT35" s="204"/>
      <c r="IMU35" s="204"/>
      <c r="IMV35" s="204"/>
      <c r="IMW35" s="204"/>
      <c r="IMX35" s="204"/>
      <c r="IMY35" s="204"/>
      <c r="IMZ35" s="204"/>
      <c r="INA35" s="204"/>
      <c r="INB35" s="204"/>
      <c r="INC35" s="204"/>
      <c r="IND35" s="204"/>
      <c r="INE35" s="204"/>
      <c r="INF35" s="204"/>
      <c r="ING35" s="204"/>
      <c r="INH35" s="204"/>
      <c r="INI35" s="204"/>
      <c r="INJ35" s="204"/>
      <c r="INK35" s="204"/>
      <c r="INL35" s="204"/>
      <c r="INM35" s="204"/>
      <c r="INN35" s="204"/>
      <c r="INO35" s="204"/>
      <c r="INP35" s="204"/>
      <c r="INQ35" s="204"/>
      <c r="INR35" s="204"/>
      <c r="INS35" s="204"/>
      <c r="INT35" s="204"/>
      <c r="INU35" s="204"/>
      <c r="INV35" s="204"/>
      <c r="INW35" s="204"/>
      <c r="INX35" s="204"/>
      <c r="INY35" s="204"/>
      <c r="INZ35" s="204"/>
      <c r="IOA35" s="204"/>
      <c r="IOB35" s="204"/>
      <c r="IOC35" s="204"/>
      <c r="IOD35" s="204"/>
      <c r="IOE35" s="204"/>
      <c r="IOF35" s="204"/>
      <c r="IOG35" s="204"/>
      <c r="IOH35" s="204"/>
      <c r="IOI35" s="204"/>
      <c r="IOJ35" s="204"/>
      <c r="IOK35" s="204"/>
      <c r="IOL35" s="204"/>
      <c r="IOM35" s="204"/>
      <c r="ION35" s="204"/>
      <c r="IOO35" s="204"/>
      <c r="IOP35" s="204"/>
      <c r="IOQ35" s="204"/>
      <c r="IOR35" s="204"/>
      <c r="IOS35" s="204"/>
      <c r="IOT35" s="204"/>
      <c r="IOU35" s="204"/>
      <c r="IOV35" s="204"/>
      <c r="IOW35" s="204"/>
      <c r="IOX35" s="204"/>
      <c r="IOY35" s="204"/>
      <c r="IOZ35" s="204"/>
      <c r="IPA35" s="204"/>
      <c r="IPB35" s="204"/>
      <c r="IPC35" s="204"/>
      <c r="IPD35" s="204"/>
      <c r="IPE35" s="204"/>
      <c r="IPF35" s="204"/>
      <c r="IPG35" s="204"/>
      <c r="IPH35" s="204"/>
      <c r="IPI35" s="204"/>
      <c r="IPJ35" s="204"/>
      <c r="IPK35" s="204"/>
      <c r="IPL35" s="204"/>
      <c r="IPM35" s="204"/>
      <c r="IPN35" s="204"/>
      <c r="IPO35" s="204"/>
      <c r="IPP35" s="204"/>
      <c r="IPQ35" s="204"/>
      <c r="IPR35" s="204"/>
      <c r="IPS35" s="204"/>
      <c r="IPT35" s="204"/>
      <c r="IPU35" s="204"/>
      <c r="IPV35" s="204"/>
      <c r="IPW35" s="204"/>
      <c r="IPX35" s="204"/>
      <c r="IPY35" s="204"/>
      <c r="IPZ35" s="204"/>
      <c r="IQA35" s="204"/>
      <c r="IQB35" s="204"/>
      <c r="IQC35" s="204"/>
      <c r="IQD35" s="204"/>
      <c r="IQE35" s="204"/>
      <c r="IQF35" s="204"/>
      <c r="IQG35" s="204"/>
      <c r="IQH35" s="204"/>
      <c r="IQI35" s="204"/>
      <c r="IQJ35" s="204"/>
      <c r="IQK35" s="204"/>
      <c r="IQL35" s="204"/>
      <c r="IQM35" s="204"/>
      <c r="IQN35" s="204"/>
      <c r="IQO35" s="204"/>
      <c r="IQP35" s="204"/>
      <c r="IQQ35" s="204"/>
      <c r="IQR35" s="204"/>
      <c r="IQS35" s="204"/>
      <c r="IQT35" s="204"/>
      <c r="IQU35" s="204"/>
      <c r="IQV35" s="204"/>
      <c r="IQW35" s="204"/>
      <c r="IQX35" s="204"/>
      <c r="IQY35" s="204"/>
      <c r="IQZ35" s="204"/>
      <c r="IRA35" s="204"/>
      <c r="IRB35" s="204"/>
      <c r="IRC35" s="204"/>
      <c r="IRD35" s="204"/>
      <c r="IRE35" s="204"/>
      <c r="IRF35" s="204"/>
      <c r="IRG35" s="204"/>
      <c r="IRH35" s="204"/>
      <c r="IRI35" s="204"/>
      <c r="IRJ35" s="204"/>
      <c r="IRK35" s="204"/>
      <c r="IRL35" s="204"/>
      <c r="IRM35" s="204"/>
      <c r="IRN35" s="204"/>
      <c r="IRO35" s="204"/>
      <c r="IRP35" s="204"/>
      <c r="IRQ35" s="204"/>
      <c r="IRR35" s="204"/>
      <c r="IRS35" s="204"/>
      <c r="IRT35" s="204"/>
      <c r="IRU35" s="204"/>
      <c r="IRV35" s="204"/>
      <c r="IRW35" s="204"/>
      <c r="IRX35" s="204"/>
      <c r="IRY35" s="204"/>
      <c r="IRZ35" s="204"/>
      <c r="ISA35" s="204"/>
      <c r="ISB35" s="204"/>
      <c r="ISC35" s="204"/>
      <c r="ISD35" s="204"/>
      <c r="ISE35" s="204"/>
      <c r="ISF35" s="204"/>
      <c r="ISG35" s="204"/>
      <c r="ISH35" s="204"/>
      <c r="ISI35" s="204"/>
      <c r="ISJ35" s="204"/>
      <c r="ISK35" s="204"/>
      <c r="ISL35" s="204"/>
      <c r="ISM35" s="204"/>
      <c r="ISN35" s="204"/>
      <c r="ISO35" s="204"/>
      <c r="ISP35" s="204"/>
      <c r="ISQ35" s="204"/>
      <c r="ISR35" s="204"/>
      <c r="ISS35" s="204"/>
      <c r="IST35" s="204"/>
      <c r="ISU35" s="204"/>
      <c r="ISV35" s="204"/>
      <c r="ISW35" s="204"/>
      <c r="ISX35" s="204"/>
      <c r="ISY35" s="204"/>
      <c r="ISZ35" s="204"/>
      <c r="ITA35" s="204"/>
      <c r="ITB35" s="204"/>
      <c r="ITC35" s="204"/>
      <c r="ITD35" s="204"/>
      <c r="ITE35" s="204"/>
      <c r="ITF35" s="204"/>
      <c r="ITG35" s="204"/>
      <c r="ITH35" s="204"/>
      <c r="ITI35" s="204"/>
      <c r="ITJ35" s="204"/>
      <c r="ITK35" s="204"/>
      <c r="ITL35" s="204"/>
      <c r="ITM35" s="204"/>
      <c r="ITN35" s="204"/>
      <c r="ITO35" s="204"/>
      <c r="ITP35" s="204"/>
      <c r="ITQ35" s="204"/>
      <c r="ITR35" s="204"/>
      <c r="ITS35" s="204"/>
      <c r="ITT35" s="204"/>
      <c r="ITU35" s="204"/>
      <c r="ITV35" s="204"/>
      <c r="ITW35" s="204"/>
      <c r="ITX35" s="204"/>
      <c r="ITY35" s="204"/>
      <c r="ITZ35" s="204"/>
      <c r="IUA35" s="204"/>
      <c r="IUB35" s="204"/>
      <c r="IUC35" s="204"/>
      <c r="IUD35" s="204"/>
      <c r="IUE35" s="204"/>
      <c r="IUF35" s="204"/>
      <c r="IUG35" s="204"/>
      <c r="IUH35" s="204"/>
      <c r="IUI35" s="204"/>
      <c r="IUJ35" s="204"/>
      <c r="IUK35" s="204"/>
      <c r="IUL35" s="204"/>
      <c r="IUM35" s="204"/>
      <c r="IUN35" s="204"/>
      <c r="IUO35" s="204"/>
      <c r="IUP35" s="204"/>
      <c r="IUQ35" s="204"/>
      <c r="IUR35" s="204"/>
      <c r="IUS35" s="204"/>
      <c r="IUT35" s="204"/>
      <c r="IUU35" s="204"/>
      <c r="IUV35" s="204"/>
      <c r="IUW35" s="204"/>
      <c r="IUX35" s="204"/>
      <c r="IUY35" s="204"/>
      <c r="IUZ35" s="204"/>
      <c r="IVA35" s="204"/>
      <c r="IVB35" s="204"/>
      <c r="IVC35" s="204"/>
      <c r="IVD35" s="204"/>
      <c r="IVE35" s="204"/>
      <c r="IVF35" s="204"/>
      <c r="IVG35" s="204"/>
      <c r="IVH35" s="204"/>
      <c r="IVI35" s="204"/>
      <c r="IVJ35" s="204"/>
      <c r="IVK35" s="204"/>
      <c r="IVL35" s="204"/>
      <c r="IVM35" s="204"/>
      <c r="IVN35" s="204"/>
      <c r="IVO35" s="204"/>
      <c r="IVP35" s="204"/>
      <c r="IVQ35" s="204"/>
      <c r="IVR35" s="204"/>
      <c r="IVS35" s="204"/>
      <c r="IVT35" s="204"/>
      <c r="IVU35" s="204"/>
      <c r="IVV35" s="204"/>
      <c r="IVW35" s="204"/>
      <c r="IVX35" s="204"/>
      <c r="IVY35" s="204"/>
      <c r="IVZ35" s="204"/>
      <c r="IWA35" s="204"/>
      <c r="IWB35" s="204"/>
      <c r="IWC35" s="204"/>
      <c r="IWD35" s="204"/>
      <c r="IWE35" s="204"/>
      <c r="IWF35" s="204"/>
      <c r="IWG35" s="204"/>
      <c r="IWH35" s="204"/>
      <c r="IWI35" s="204"/>
      <c r="IWJ35" s="204"/>
      <c r="IWK35" s="204"/>
      <c r="IWL35" s="204"/>
      <c r="IWM35" s="204"/>
      <c r="IWN35" s="204"/>
      <c r="IWO35" s="204"/>
      <c r="IWP35" s="204"/>
      <c r="IWQ35" s="204"/>
      <c r="IWR35" s="204"/>
      <c r="IWS35" s="204"/>
      <c r="IWT35" s="204"/>
      <c r="IWU35" s="204"/>
      <c r="IWV35" s="204"/>
      <c r="IWW35" s="204"/>
      <c r="IWX35" s="204"/>
      <c r="IWY35" s="204"/>
      <c r="IWZ35" s="204"/>
      <c r="IXA35" s="204"/>
      <c r="IXB35" s="204"/>
      <c r="IXC35" s="204"/>
      <c r="IXD35" s="204"/>
      <c r="IXE35" s="204"/>
      <c r="IXF35" s="204"/>
      <c r="IXG35" s="204"/>
      <c r="IXH35" s="204"/>
      <c r="IXI35" s="204"/>
      <c r="IXJ35" s="204"/>
      <c r="IXK35" s="204"/>
      <c r="IXL35" s="204"/>
      <c r="IXM35" s="204"/>
      <c r="IXN35" s="204"/>
      <c r="IXO35" s="204"/>
      <c r="IXP35" s="204"/>
      <c r="IXQ35" s="204"/>
      <c r="IXR35" s="204"/>
      <c r="IXS35" s="204"/>
      <c r="IXT35" s="204"/>
      <c r="IXU35" s="204"/>
      <c r="IXV35" s="204"/>
      <c r="IXW35" s="204"/>
      <c r="IXX35" s="204"/>
      <c r="IXY35" s="204"/>
      <c r="IXZ35" s="204"/>
      <c r="IYA35" s="204"/>
      <c r="IYB35" s="204"/>
      <c r="IYC35" s="204"/>
      <c r="IYD35" s="204"/>
      <c r="IYE35" s="204"/>
      <c r="IYF35" s="204"/>
      <c r="IYG35" s="204"/>
      <c r="IYH35" s="204"/>
      <c r="IYI35" s="204"/>
      <c r="IYJ35" s="204"/>
      <c r="IYK35" s="204"/>
      <c r="IYL35" s="204"/>
      <c r="IYM35" s="204"/>
      <c r="IYN35" s="204"/>
      <c r="IYO35" s="204"/>
      <c r="IYP35" s="204"/>
      <c r="IYQ35" s="204"/>
      <c r="IYR35" s="204"/>
      <c r="IYS35" s="204"/>
      <c r="IYT35" s="204"/>
      <c r="IYU35" s="204"/>
      <c r="IYV35" s="204"/>
      <c r="IYW35" s="204"/>
      <c r="IYX35" s="204"/>
      <c r="IYY35" s="204"/>
      <c r="IYZ35" s="204"/>
      <c r="IZA35" s="204"/>
      <c r="IZB35" s="204"/>
      <c r="IZC35" s="204"/>
      <c r="IZD35" s="204"/>
      <c r="IZE35" s="204"/>
      <c r="IZF35" s="204"/>
      <c r="IZG35" s="204"/>
      <c r="IZH35" s="204"/>
      <c r="IZI35" s="204"/>
      <c r="IZJ35" s="204"/>
      <c r="IZK35" s="204"/>
      <c r="IZL35" s="204"/>
      <c r="IZM35" s="204"/>
      <c r="IZN35" s="204"/>
      <c r="IZO35" s="204"/>
      <c r="IZP35" s="204"/>
      <c r="IZQ35" s="204"/>
      <c r="IZR35" s="204"/>
      <c r="IZS35" s="204"/>
      <c r="IZT35" s="204"/>
      <c r="IZU35" s="204"/>
      <c r="IZV35" s="204"/>
      <c r="IZW35" s="204"/>
      <c r="IZX35" s="204"/>
      <c r="IZY35" s="204"/>
      <c r="IZZ35" s="204"/>
      <c r="JAA35" s="204"/>
      <c r="JAB35" s="204"/>
      <c r="JAC35" s="204"/>
      <c r="JAD35" s="204"/>
      <c r="JAE35" s="204"/>
      <c r="JAF35" s="204"/>
      <c r="JAG35" s="204"/>
      <c r="JAH35" s="204"/>
      <c r="JAI35" s="204"/>
      <c r="JAJ35" s="204"/>
      <c r="JAK35" s="204"/>
      <c r="JAL35" s="204"/>
      <c r="JAM35" s="204"/>
      <c r="JAN35" s="204"/>
      <c r="JAO35" s="204"/>
      <c r="JAP35" s="204"/>
      <c r="JAQ35" s="204"/>
      <c r="JAR35" s="204"/>
      <c r="JAS35" s="204"/>
      <c r="JAT35" s="204"/>
      <c r="JAU35" s="204"/>
      <c r="JAV35" s="204"/>
      <c r="JAW35" s="204"/>
      <c r="JAX35" s="204"/>
      <c r="JAY35" s="204"/>
      <c r="JAZ35" s="204"/>
      <c r="JBA35" s="204"/>
      <c r="JBB35" s="204"/>
      <c r="JBC35" s="204"/>
      <c r="JBD35" s="204"/>
      <c r="JBE35" s="204"/>
      <c r="JBF35" s="204"/>
      <c r="JBG35" s="204"/>
      <c r="JBH35" s="204"/>
      <c r="JBI35" s="204"/>
      <c r="JBJ35" s="204"/>
      <c r="JBK35" s="204"/>
      <c r="JBL35" s="204"/>
      <c r="JBM35" s="204"/>
      <c r="JBN35" s="204"/>
      <c r="JBO35" s="204"/>
      <c r="JBP35" s="204"/>
      <c r="JBQ35" s="204"/>
      <c r="JBR35" s="204"/>
      <c r="JBS35" s="204"/>
      <c r="JBT35" s="204"/>
      <c r="JBU35" s="204"/>
      <c r="JBV35" s="204"/>
      <c r="JBW35" s="204"/>
      <c r="JBX35" s="204"/>
      <c r="JBY35" s="204"/>
      <c r="JBZ35" s="204"/>
      <c r="JCA35" s="204"/>
      <c r="JCB35" s="204"/>
      <c r="JCC35" s="204"/>
      <c r="JCD35" s="204"/>
      <c r="JCE35" s="204"/>
      <c r="JCF35" s="204"/>
      <c r="JCG35" s="204"/>
      <c r="JCH35" s="204"/>
      <c r="JCI35" s="204"/>
      <c r="JCJ35" s="204"/>
      <c r="JCK35" s="204"/>
      <c r="JCL35" s="204"/>
      <c r="JCM35" s="204"/>
      <c r="JCN35" s="204"/>
      <c r="JCO35" s="204"/>
      <c r="JCP35" s="204"/>
      <c r="JCQ35" s="204"/>
      <c r="JCR35" s="204"/>
      <c r="JCS35" s="204"/>
      <c r="JCT35" s="204"/>
      <c r="JCU35" s="204"/>
      <c r="JCV35" s="204"/>
      <c r="JCW35" s="204"/>
      <c r="JCX35" s="204"/>
      <c r="JCY35" s="204"/>
      <c r="JCZ35" s="204"/>
      <c r="JDA35" s="204"/>
      <c r="JDB35" s="204"/>
      <c r="JDC35" s="204"/>
      <c r="JDD35" s="204"/>
      <c r="JDE35" s="204"/>
      <c r="JDF35" s="204"/>
      <c r="JDG35" s="204"/>
      <c r="JDH35" s="204"/>
      <c r="JDI35" s="204"/>
      <c r="JDJ35" s="204"/>
      <c r="JDK35" s="204"/>
      <c r="JDL35" s="204"/>
      <c r="JDM35" s="204"/>
      <c r="JDN35" s="204"/>
      <c r="JDO35" s="204"/>
      <c r="JDP35" s="204"/>
      <c r="JDQ35" s="204"/>
      <c r="JDR35" s="204"/>
      <c r="JDS35" s="204"/>
      <c r="JDT35" s="204"/>
      <c r="JDU35" s="204"/>
      <c r="JDV35" s="204"/>
      <c r="JDW35" s="204"/>
      <c r="JDX35" s="204"/>
      <c r="JDY35" s="204"/>
      <c r="JDZ35" s="204"/>
      <c r="JEA35" s="204"/>
      <c r="JEB35" s="204"/>
      <c r="JEC35" s="204"/>
      <c r="JED35" s="204"/>
      <c r="JEE35" s="204"/>
      <c r="JEF35" s="204"/>
      <c r="JEG35" s="204"/>
      <c r="JEH35" s="204"/>
      <c r="JEI35" s="204"/>
      <c r="JEJ35" s="204"/>
      <c r="JEK35" s="204"/>
      <c r="JEL35" s="204"/>
      <c r="JEM35" s="204"/>
      <c r="JEN35" s="204"/>
      <c r="JEO35" s="204"/>
      <c r="JEP35" s="204"/>
      <c r="JEQ35" s="204"/>
      <c r="JER35" s="204"/>
      <c r="JES35" s="204"/>
      <c r="JET35" s="204"/>
      <c r="JEU35" s="204"/>
      <c r="JEV35" s="204"/>
      <c r="JEW35" s="204"/>
      <c r="JEX35" s="204"/>
      <c r="JEY35" s="204"/>
      <c r="JEZ35" s="204"/>
      <c r="JFA35" s="204"/>
      <c r="JFB35" s="204"/>
      <c r="JFC35" s="204"/>
      <c r="JFD35" s="204"/>
      <c r="JFE35" s="204"/>
      <c r="JFF35" s="204"/>
      <c r="JFG35" s="204"/>
      <c r="JFH35" s="204"/>
      <c r="JFI35" s="204"/>
      <c r="JFJ35" s="204"/>
      <c r="JFK35" s="204"/>
      <c r="JFL35" s="204"/>
      <c r="JFM35" s="204"/>
      <c r="JFN35" s="204"/>
      <c r="JFO35" s="204"/>
      <c r="JFP35" s="204"/>
      <c r="JFQ35" s="204"/>
      <c r="JFR35" s="204"/>
      <c r="JFS35" s="204"/>
      <c r="JFT35" s="204"/>
      <c r="JFU35" s="204"/>
      <c r="JFV35" s="204"/>
      <c r="JFW35" s="204"/>
      <c r="JFX35" s="204"/>
      <c r="JFY35" s="204"/>
      <c r="JFZ35" s="204"/>
      <c r="JGA35" s="204"/>
      <c r="JGB35" s="204"/>
      <c r="JGC35" s="204"/>
      <c r="JGD35" s="204"/>
      <c r="JGE35" s="204"/>
      <c r="JGF35" s="204"/>
      <c r="JGG35" s="204"/>
      <c r="JGH35" s="204"/>
      <c r="JGI35" s="204"/>
      <c r="JGJ35" s="204"/>
      <c r="JGK35" s="204"/>
      <c r="JGL35" s="204"/>
      <c r="JGM35" s="204"/>
      <c r="JGN35" s="204"/>
      <c r="JGO35" s="204"/>
      <c r="JGP35" s="204"/>
      <c r="JGQ35" s="204"/>
      <c r="JGR35" s="204"/>
      <c r="JGS35" s="204"/>
      <c r="JGT35" s="204"/>
      <c r="JGU35" s="204"/>
      <c r="JGV35" s="204"/>
      <c r="JGW35" s="204"/>
      <c r="JGX35" s="204"/>
      <c r="JGY35" s="204"/>
      <c r="JGZ35" s="204"/>
      <c r="JHA35" s="204"/>
      <c r="JHB35" s="204"/>
      <c r="JHC35" s="204"/>
      <c r="JHD35" s="204"/>
      <c r="JHE35" s="204"/>
      <c r="JHF35" s="204"/>
      <c r="JHG35" s="204"/>
      <c r="JHH35" s="204"/>
      <c r="JHI35" s="204"/>
      <c r="JHJ35" s="204"/>
      <c r="JHK35" s="204"/>
      <c r="JHL35" s="204"/>
      <c r="JHM35" s="204"/>
      <c r="JHN35" s="204"/>
      <c r="JHO35" s="204"/>
      <c r="JHP35" s="204"/>
      <c r="JHQ35" s="204"/>
      <c r="JHR35" s="204"/>
      <c r="JHS35" s="204"/>
      <c r="JHT35" s="204"/>
      <c r="JHU35" s="204"/>
      <c r="JHV35" s="204"/>
      <c r="JHW35" s="204"/>
      <c r="JHX35" s="204"/>
      <c r="JHY35" s="204"/>
      <c r="JHZ35" s="204"/>
      <c r="JIA35" s="204"/>
      <c r="JIB35" s="204"/>
      <c r="JIC35" s="204"/>
      <c r="JID35" s="204"/>
      <c r="JIE35" s="204"/>
      <c r="JIF35" s="204"/>
      <c r="JIG35" s="204"/>
      <c r="JIH35" s="204"/>
      <c r="JII35" s="204"/>
      <c r="JIJ35" s="204"/>
      <c r="JIK35" s="204"/>
      <c r="JIL35" s="204"/>
      <c r="JIM35" s="204"/>
      <c r="JIN35" s="204"/>
      <c r="JIO35" s="204"/>
      <c r="JIP35" s="204"/>
      <c r="JIQ35" s="204"/>
      <c r="JIR35" s="204"/>
      <c r="JIS35" s="204"/>
      <c r="JIT35" s="204"/>
      <c r="JIU35" s="204"/>
      <c r="JIV35" s="204"/>
      <c r="JIW35" s="204"/>
      <c r="JIX35" s="204"/>
      <c r="JIY35" s="204"/>
      <c r="JIZ35" s="204"/>
      <c r="JJA35" s="204"/>
      <c r="JJB35" s="204"/>
      <c r="JJC35" s="204"/>
      <c r="JJD35" s="204"/>
      <c r="JJE35" s="204"/>
      <c r="JJF35" s="204"/>
      <c r="JJG35" s="204"/>
      <c r="JJH35" s="204"/>
      <c r="JJI35" s="204"/>
      <c r="JJJ35" s="204"/>
      <c r="JJK35" s="204"/>
      <c r="JJL35" s="204"/>
      <c r="JJM35" s="204"/>
      <c r="JJN35" s="204"/>
      <c r="JJO35" s="204"/>
      <c r="JJP35" s="204"/>
      <c r="JJQ35" s="204"/>
      <c r="JJR35" s="204"/>
      <c r="JJS35" s="204"/>
      <c r="JJT35" s="204"/>
      <c r="JJU35" s="204"/>
      <c r="JJV35" s="204"/>
      <c r="JJW35" s="204"/>
      <c r="JJX35" s="204"/>
      <c r="JJY35" s="204"/>
      <c r="JJZ35" s="204"/>
      <c r="JKA35" s="204"/>
      <c r="JKB35" s="204"/>
      <c r="JKC35" s="204"/>
      <c r="JKD35" s="204"/>
      <c r="JKE35" s="204"/>
      <c r="JKF35" s="204"/>
      <c r="JKG35" s="204"/>
      <c r="JKH35" s="204"/>
      <c r="JKI35" s="204"/>
      <c r="JKJ35" s="204"/>
      <c r="JKK35" s="204"/>
      <c r="JKL35" s="204"/>
      <c r="JKM35" s="204"/>
      <c r="JKN35" s="204"/>
      <c r="JKO35" s="204"/>
      <c r="JKP35" s="204"/>
      <c r="JKQ35" s="204"/>
      <c r="JKR35" s="204"/>
      <c r="JKS35" s="204"/>
      <c r="JKT35" s="204"/>
      <c r="JKU35" s="204"/>
      <c r="JKV35" s="204"/>
      <c r="JKW35" s="204"/>
      <c r="JKX35" s="204"/>
      <c r="JKY35" s="204"/>
      <c r="JKZ35" s="204"/>
      <c r="JLA35" s="204"/>
      <c r="JLB35" s="204"/>
      <c r="JLC35" s="204"/>
      <c r="JLD35" s="204"/>
      <c r="JLE35" s="204"/>
      <c r="JLF35" s="204"/>
      <c r="JLG35" s="204"/>
      <c r="JLH35" s="204"/>
      <c r="JLI35" s="204"/>
      <c r="JLJ35" s="204"/>
      <c r="JLK35" s="204"/>
      <c r="JLL35" s="204"/>
      <c r="JLM35" s="204"/>
      <c r="JLN35" s="204"/>
      <c r="JLO35" s="204"/>
      <c r="JLP35" s="204"/>
      <c r="JLQ35" s="204"/>
      <c r="JLR35" s="204"/>
      <c r="JLS35" s="204"/>
      <c r="JLT35" s="204"/>
      <c r="JLU35" s="204"/>
      <c r="JLV35" s="204"/>
      <c r="JLW35" s="204"/>
      <c r="JLX35" s="204"/>
      <c r="JLY35" s="204"/>
      <c r="JLZ35" s="204"/>
      <c r="JMA35" s="204"/>
      <c r="JMB35" s="204"/>
      <c r="JMC35" s="204"/>
      <c r="JMD35" s="204"/>
      <c r="JME35" s="204"/>
      <c r="JMF35" s="204"/>
      <c r="JMG35" s="204"/>
      <c r="JMH35" s="204"/>
      <c r="JMI35" s="204"/>
      <c r="JMJ35" s="204"/>
      <c r="JMK35" s="204"/>
      <c r="JML35" s="204"/>
      <c r="JMM35" s="204"/>
      <c r="JMN35" s="204"/>
      <c r="JMO35" s="204"/>
      <c r="JMP35" s="204"/>
      <c r="JMQ35" s="204"/>
      <c r="JMR35" s="204"/>
      <c r="JMS35" s="204"/>
      <c r="JMT35" s="204"/>
      <c r="JMU35" s="204"/>
      <c r="JMV35" s="204"/>
      <c r="JMW35" s="204"/>
      <c r="JMX35" s="204"/>
      <c r="JMY35" s="204"/>
      <c r="JMZ35" s="204"/>
      <c r="JNA35" s="204"/>
      <c r="JNB35" s="204"/>
      <c r="JNC35" s="204"/>
      <c r="JND35" s="204"/>
      <c r="JNE35" s="204"/>
      <c r="JNF35" s="204"/>
      <c r="JNG35" s="204"/>
      <c r="JNH35" s="204"/>
      <c r="JNI35" s="204"/>
      <c r="JNJ35" s="204"/>
      <c r="JNK35" s="204"/>
      <c r="JNL35" s="204"/>
      <c r="JNM35" s="204"/>
      <c r="JNN35" s="204"/>
      <c r="JNO35" s="204"/>
      <c r="JNP35" s="204"/>
      <c r="JNQ35" s="204"/>
      <c r="JNR35" s="204"/>
      <c r="JNS35" s="204"/>
      <c r="JNT35" s="204"/>
      <c r="JNU35" s="204"/>
      <c r="JNV35" s="204"/>
      <c r="JNW35" s="204"/>
      <c r="JNX35" s="204"/>
      <c r="JNY35" s="204"/>
      <c r="JNZ35" s="204"/>
      <c r="JOA35" s="204"/>
      <c r="JOB35" s="204"/>
      <c r="JOC35" s="204"/>
      <c r="JOD35" s="204"/>
      <c r="JOE35" s="204"/>
      <c r="JOF35" s="204"/>
      <c r="JOG35" s="204"/>
      <c r="JOH35" s="204"/>
      <c r="JOI35" s="204"/>
      <c r="JOJ35" s="204"/>
      <c r="JOK35" s="204"/>
      <c r="JOL35" s="204"/>
      <c r="JOM35" s="204"/>
      <c r="JON35" s="204"/>
      <c r="JOO35" s="204"/>
      <c r="JOP35" s="204"/>
      <c r="JOQ35" s="204"/>
      <c r="JOR35" s="204"/>
      <c r="JOS35" s="204"/>
      <c r="JOT35" s="204"/>
      <c r="JOU35" s="204"/>
      <c r="JOV35" s="204"/>
      <c r="JOW35" s="204"/>
      <c r="JOX35" s="204"/>
      <c r="JOY35" s="204"/>
      <c r="JOZ35" s="204"/>
      <c r="JPA35" s="204"/>
      <c r="JPB35" s="204"/>
      <c r="JPC35" s="204"/>
      <c r="JPD35" s="204"/>
      <c r="JPE35" s="204"/>
      <c r="JPF35" s="204"/>
      <c r="JPG35" s="204"/>
      <c r="JPH35" s="204"/>
      <c r="JPI35" s="204"/>
      <c r="JPJ35" s="204"/>
      <c r="JPK35" s="204"/>
      <c r="JPL35" s="204"/>
      <c r="JPM35" s="204"/>
      <c r="JPN35" s="204"/>
      <c r="JPO35" s="204"/>
      <c r="JPP35" s="204"/>
      <c r="JPQ35" s="204"/>
      <c r="JPR35" s="204"/>
      <c r="JPS35" s="204"/>
      <c r="JPT35" s="204"/>
      <c r="JPU35" s="204"/>
      <c r="JPV35" s="204"/>
      <c r="JPW35" s="204"/>
      <c r="JPX35" s="204"/>
      <c r="JPY35" s="204"/>
      <c r="JPZ35" s="204"/>
      <c r="JQA35" s="204"/>
      <c r="JQB35" s="204"/>
      <c r="JQC35" s="204"/>
      <c r="JQD35" s="204"/>
      <c r="JQE35" s="204"/>
      <c r="JQF35" s="204"/>
      <c r="JQG35" s="204"/>
      <c r="JQH35" s="204"/>
      <c r="JQI35" s="204"/>
      <c r="JQJ35" s="204"/>
      <c r="JQK35" s="204"/>
      <c r="JQL35" s="204"/>
      <c r="JQM35" s="204"/>
      <c r="JQN35" s="204"/>
      <c r="JQO35" s="204"/>
      <c r="JQP35" s="204"/>
      <c r="JQQ35" s="204"/>
      <c r="JQR35" s="204"/>
      <c r="JQS35" s="204"/>
      <c r="JQT35" s="204"/>
      <c r="JQU35" s="204"/>
      <c r="JQV35" s="204"/>
      <c r="JQW35" s="204"/>
      <c r="JQX35" s="204"/>
      <c r="JQY35" s="204"/>
      <c r="JQZ35" s="204"/>
      <c r="JRA35" s="204"/>
      <c r="JRB35" s="204"/>
      <c r="JRC35" s="204"/>
      <c r="JRD35" s="204"/>
      <c r="JRE35" s="204"/>
      <c r="JRF35" s="204"/>
      <c r="JRG35" s="204"/>
      <c r="JRH35" s="204"/>
      <c r="JRI35" s="204"/>
      <c r="JRJ35" s="204"/>
      <c r="JRK35" s="204"/>
      <c r="JRL35" s="204"/>
      <c r="JRM35" s="204"/>
      <c r="JRN35" s="204"/>
      <c r="JRO35" s="204"/>
      <c r="JRP35" s="204"/>
      <c r="JRQ35" s="204"/>
      <c r="JRR35" s="204"/>
      <c r="JRS35" s="204"/>
      <c r="JRT35" s="204"/>
      <c r="JRU35" s="204"/>
      <c r="JRV35" s="204"/>
      <c r="JRW35" s="204"/>
      <c r="JRX35" s="204"/>
      <c r="JRY35" s="204"/>
      <c r="JRZ35" s="204"/>
      <c r="JSA35" s="204"/>
      <c r="JSB35" s="204"/>
      <c r="JSC35" s="204"/>
      <c r="JSD35" s="204"/>
      <c r="JSE35" s="204"/>
      <c r="JSF35" s="204"/>
      <c r="JSG35" s="204"/>
      <c r="JSH35" s="204"/>
      <c r="JSI35" s="204"/>
      <c r="JSJ35" s="204"/>
      <c r="JSK35" s="204"/>
      <c r="JSL35" s="204"/>
      <c r="JSM35" s="204"/>
      <c r="JSN35" s="204"/>
      <c r="JSO35" s="204"/>
      <c r="JSP35" s="204"/>
      <c r="JSQ35" s="204"/>
      <c r="JSR35" s="204"/>
      <c r="JSS35" s="204"/>
      <c r="JST35" s="204"/>
      <c r="JSU35" s="204"/>
      <c r="JSV35" s="204"/>
      <c r="JSW35" s="204"/>
      <c r="JSX35" s="204"/>
      <c r="JSY35" s="204"/>
      <c r="JSZ35" s="204"/>
      <c r="JTA35" s="204"/>
      <c r="JTB35" s="204"/>
      <c r="JTC35" s="204"/>
      <c r="JTD35" s="204"/>
      <c r="JTE35" s="204"/>
      <c r="JTF35" s="204"/>
      <c r="JTG35" s="204"/>
      <c r="JTH35" s="204"/>
      <c r="JTI35" s="204"/>
      <c r="JTJ35" s="204"/>
      <c r="JTK35" s="204"/>
      <c r="JTL35" s="204"/>
      <c r="JTM35" s="204"/>
      <c r="JTN35" s="204"/>
      <c r="JTO35" s="204"/>
      <c r="JTP35" s="204"/>
      <c r="JTQ35" s="204"/>
      <c r="JTR35" s="204"/>
      <c r="JTS35" s="204"/>
      <c r="JTT35" s="204"/>
      <c r="JTU35" s="204"/>
      <c r="JTV35" s="204"/>
      <c r="JTW35" s="204"/>
      <c r="JTX35" s="204"/>
      <c r="JTY35" s="204"/>
      <c r="JTZ35" s="204"/>
      <c r="JUA35" s="204"/>
      <c r="JUB35" s="204"/>
      <c r="JUC35" s="204"/>
      <c r="JUD35" s="204"/>
      <c r="JUE35" s="204"/>
      <c r="JUF35" s="204"/>
      <c r="JUG35" s="204"/>
      <c r="JUH35" s="204"/>
      <c r="JUI35" s="204"/>
      <c r="JUJ35" s="204"/>
      <c r="JUK35" s="204"/>
      <c r="JUL35" s="204"/>
      <c r="JUM35" s="204"/>
      <c r="JUN35" s="204"/>
      <c r="JUO35" s="204"/>
      <c r="JUP35" s="204"/>
      <c r="JUQ35" s="204"/>
      <c r="JUR35" s="204"/>
      <c r="JUS35" s="204"/>
      <c r="JUT35" s="204"/>
      <c r="JUU35" s="204"/>
      <c r="JUV35" s="204"/>
      <c r="JUW35" s="204"/>
      <c r="JUX35" s="204"/>
      <c r="JUY35" s="204"/>
      <c r="JUZ35" s="204"/>
      <c r="JVA35" s="204"/>
      <c r="JVB35" s="204"/>
      <c r="JVC35" s="204"/>
      <c r="JVD35" s="204"/>
      <c r="JVE35" s="204"/>
      <c r="JVF35" s="204"/>
      <c r="JVG35" s="204"/>
      <c r="JVH35" s="204"/>
      <c r="JVI35" s="204"/>
      <c r="JVJ35" s="204"/>
      <c r="JVK35" s="204"/>
      <c r="JVL35" s="204"/>
      <c r="JVM35" s="204"/>
      <c r="JVN35" s="204"/>
      <c r="JVO35" s="204"/>
      <c r="JVP35" s="204"/>
      <c r="JVQ35" s="204"/>
      <c r="JVR35" s="204"/>
      <c r="JVS35" s="204"/>
      <c r="JVT35" s="204"/>
      <c r="JVU35" s="204"/>
      <c r="JVV35" s="204"/>
      <c r="JVW35" s="204"/>
      <c r="JVX35" s="204"/>
      <c r="JVY35" s="204"/>
      <c r="JVZ35" s="204"/>
      <c r="JWA35" s="204"/>
      <c r="JWB35" s="204"/>
      <c r="JWC35" s="204"/>
      <c r="JWD35" s="204"/>
      <c r="JWE35" s="204"/>
      <c r="JWF35" s="204"/>
      <c r="JWG35" s="204"/>
      <c r="JWH35" s="204"/>
      <c r="JWI35" s="204"/>
      <c r="JWJ35" s="204"/>
      <c r="JWK35" s="204"/>
      <c r="JWL35" s="204"/>
      <c r="JWM35" s="204"/>
      <c r="JWN35" s="204"/>
      <c r="JWO35" s="204"/>
      <c r="JWP35" s="204"/>
      <c r="JWQ35" s="204"/>
      <c r="JWR35" s="204"/>
      <c r="JWS35" s="204"/>
      <c r="JWT35" s="204"/>
      <c r="JWU35" s="204"/>
      <c r="JWV35" s="204"/>
      <c r="JWW35" s="204"/>
      <c r="JWX35" s="204"/>
      <c r="JWY35" s="204"/>
      <c r="JWZ35" s="204"/>
      <c r="JXA35" s="204"/>
      <c r="JXB35" s="204"/>
      <c r="JXC35" s="204"/>
      <c r="JXD35" s="204"/>
      <c r="JXE35" s="204"/>
      <c r="JXF35" s="204"/>
      <c r="JXG35" s="204"/>
      <c r="JXH35" s="204"/>
      <c r="JXI35" s="204"/>
      <c r="JXJ35" s="204"/>
      <c r="JXK35" s="204"/>
      <c r="JXL35" s="204"/>
      <c r="JXM35" s="204"/>
      <c r="JXN35" s="204"/>
      <c r="JXO35" s="204"/>
      <c r="JXP35" s="204"/>
      <c r="JXQ35" s="204"/>
      <c r="JXR35" s="204"/>
      <c r="JXS35" s="204"/>
      <c r="JXT35" s="204"/>
      <c r="JXU35" s="204"/>
      <c r="JXV35" s="204"/>
      <c r="JXW35" s="204"/>
      <c r="JXX35" s="204"/>
      <c r="JXY35" s="204"/>
      <c r="JXZ35" s="204"/>
      <c r="JYA35" s="204"/>
      <c r="JYB35" s="204"/>
      <c r="JYC35" s="204"/>
      <c r="JYD35" s="204"/>
      <c r="JYE35" s="204"/>
      <c r="JYF35" s="204"/>
      <c r="JYG35" s="204"/>
      <c r="JYH35" s="204"/>
      <c r="JYI35" s="204"/>
      <c r="JYJ35" s="204"/>
      <c r="JYK35" s="204"/>
      <c r="JYL35" s="204"/>
      <c r="JYM35" s="204"/>
      <c r="JYN35" s="204"/>
      <c r="JYO35" s="204"/>
      <c r="JYP35" s="204"/>
      <c r="JYQ35" s="204"/>
      <c r="JYR35" s="204"/>
      <c r="JYS35" s="204"/>
      <c r="JYT35" s="204"/>
      <c r="JYU35" s="204"/>
      <c r="JYV35" s="204"/>
      <c r="JYW35" s="204"/>
      <c r="JYX35" s="204"/>
      <c r="JYY35" s="204"/>
      <c r="JYZ35" s="204"/>
      <c r="JZA35" s="204"/>
      <c r="JZB35" s="204"/>
      <c r="JZC35" s="204"/>
      <c r="JZD35" s="204"/>
      <c r="JZE35" s="204"/>
      <c r="JZF35" s="204"/>
      <c r="JZG35" s="204"/>
      <c r="JZH35" s="204"/>
      <c r="JZI35" s="204"/>
      <c r="JZJ35" s="204"/>
      <c r="JZK35" s="204"/>
      <c r="JZL35" s="204"/>
      <c r="JZM35" s="204"/>
      <c r="JZN35" s="204"/>
      <c r="JZO35" s="204"/>
      <c r="JZP35" s="204"/>
      <c r="JZQ35" s="204"/>
      <c r="JZR35" s="204"/>
      <c r="JZS35" s="204"/>
      <c r="JZT35" s="204"/>
      <c r="JZU35" s="204"/>
      <c r="JZV35" s="204"/>
      <c r="JZW35" s="204"/>
      <c r="JZX35" s="204"/>
      <c r="JZY35" s="204"/>
      <c r="JZZ35" s="204"/>
      <c r="KAA35" s="204"/>
      <c r="KAB35" s="204"/>
      <c r="KAC35" s="204"/>
      <c r="KAD35" s="204"/>
      <c r="KAE35" s="204"/>
      <c r="KAF35" s="204"/>
      <c r="KAG35" s="204"/>
      <c r="KAH35" s="204"/>
      <c r="KAI35" s="204"/>
      <c r="KAJ35" s="204"/>
      <c r="KAK35" s="204"/>
      <c r="KAL35" s="204"/>
      <c r="KAM35" s="204"/>
      <c r="KAN35" s="204"/>
      <c r="KAO35" s="204"/>
      <c r="KAP35" s="204"/>
      <c r="KAQ35" s="204"/>
      <c r="KAR35" s="204"/>
      <c r="KAS35" s="204"/>
      <c r="KAT35" s="204"/>
      <c r="KAU35" s="204"/>
      <c r="KAV35" s="204"/>
      <c r="KAW35" s="204"/>
      <c r="KAX35" s="204"/>
      <c r="KAY35" s="204"/>
      <c r="KAZ35" s="204"/>
      <c r="KBA35" s="204"/>
      <c r="KBB35" s="204"/>
      <c r="KBC35" s="204"/>
      <c r="KBD35" s="204"/>
      <c r="KBE35" s="204"/>
      <c r="KBF35" s="204"/>
      <c r="KBG35" s="204"/>
      <c r="KBH35" s="204"/>
      <c r="KBI35" s="204"/>
      <c r="KBJ35" s="204"/>
      <c r="KBK35" s="204"/>
      <c r="KBL35" s="204"/>
      <c r="KBM35" s="204"/>
      <c r="KBN35" s="204"/>
      <c r="KBO35" s="204"/>
      <c r="KBP35" s="204"/>
      <c r="KBQ35" s="204"/>
      <c r="KBR35" s="204"/>
      <c r="KBS35" s="204"/>
      <c r="KBT35" s="204"/>
      <c r="KBU35" s="204"/>
      <c r="KBV35" s="204"/>
      <c r="KBW35" s="204"/>
      <c r="KBX35" s="204"/>
      <c r="KBY35" s="204"/>
      <c r="KBZ35" s="204"/>
      <c r="KCA35" s="204"/>
      <c r="KCB35" s="204"/>
      <c r="KCC35" s="204"/>
      <c r="KCD35" s="204"/>
      <c r="KCE35" s="204"/>
      <c r="KCF35" s="204"/>
      <c r="KCG35" s="204"/>
      <c r="KCH35" s="204"/>
      <c r="KCI35" s="204"/>
      <c r="KCJ35" s="204"/>
      <c r="KCK35" s="204"/>
      <c r="KCL35" s="204"/>
      <c r="KCM35" s="204"/>
      <c r="KCN35" s="204"/>
      <c r="KCO35" s="204"/>
      <c r="KCP35" s="204"/>
      <c r="KCQ35" s="204"/>
      <c r="KCR35" s="204"/>
      <c r="KCS35" s="204"/>
      <c r="KCT35" s="204"/>
      <c r="KCU35" s="204"/>
      <c r="KCV35" s="204"/>
      <c r="KCW35" s="204"/>
      <c r="KCX35" s="204"/>
      <c r="KCY35" s="204"/>
      <c r="KCZ35" s="204"/>
      <c r="KDA35" s="204"/>
      <c r="KDB35" s="204"/>
      <c r="KDC35" s="204"/>
      <c r="KDD35" s="204"/>
      <c r="KDE35" s="204"/>
      <c r="KDF35" s="204"/>
      <c r="KDG35" s="204"/>
      <c r="KDH35" s="204"/>
      <c r="KDI35" s="204"/>
      <c r="KDJ35" s="204"/>
      <c r="KDK35" s="204"/>
      <c r="KDL35" s="204"/>
      <c r="KDM35" s="204"/>
      <c r="KDN35" s="204"/>
      <c r="KDO35" s="204"/>
      <c r="KDP35" s="204"/>
      <c r="KDQ35" s="204"/>
      <c r="KDR35" s="204"/>
      <c r="KDS35" s="204"/>
      <c r="KDT35" s="204"/>
      <c r="KDU35" s="204"/>
      <c r="KDV35" s="204"/>
      <c r="KDW35" s="204"/>
      <c r="KDX35" s="204"/>
      <c r="KDY35" s="204"/>
      <c r="KDZ35" s="204"/>
      <c r="KEA35" s="204"/>
      <c r="KEB35" s="204"/>
      <c r="KEC35" s="204"/>
      <c r="KED35" s="204"/>
      <c r="KEE35" s="204"/>
      <c r="KEF35" s="204"/>
      <c r="KEG35" s="204"/>
      <c r="KEH35" s="204"/>
      <c r="KEI35" s="204"/>
      <c r="KEJ35" s="204"/>
      <c r="KEK35" s="204"/>
      <c r="KEL35" s="204"/>
      <c r="KEM35" s="204"/>
      <c r="KEN35" s="204"/>
      <c r="KEO35" s="204"/>
      <c r="KEP35" s="204"/>
      <c r="KEQ35" s="204"/>
      <c r="KER35" s="204"/>
      <c r="KES35" s="204"/>
      <c r="KET35" s="204"/>
      <c r="KEU35" s="204"/>
      <c r="KEV35" s="204"/>
      <c r="KEW35" s="204"/>
      <c r="KEX35" s="204"/>
      <c r="KEY35" s="204"/>
      <c r="KEZ35" s="204"/>
      <c r="KFA35" s="204"/>
      <c r="KFB35" s="204"/>
      <c r="KFC35" s="204"/>
      <c r="KFD35" s="204"/>
      <c r="KFE35" s="204"/>
      <c r="KFF35" s="204"/>
      <c r="KFG35" s="204"/>
      <c r="KFH35" s="204"/>
      <c r="KFI35" s="204"/>
      <c r="KFJ35" s="204"/>
      <c r="KFK35" s="204"/>
      <c r="KFL35" s="204"/>
      <c r="KFM35" s="204"/>
      <c r="KFN35" s="204"/>
      <c r="KFO35" s="204"/>
      <c r="KFP35" s="204"/>
      <c r="KFQ35" s="204"/>
      <c r="KFR35" s="204"/>
      <c r="KFS35" s="204"/>
      <c r="KFT35" s="204"/>
      <c r="KFU35" s="204"/>
      <c r="KFV35" s="204"/>
      <c r="KFW35" s="204"/>
      <c r="KFX35" s="204"/>
      <c r="KFY35" s="204"/>
      <c r="KFZ35" s="204"/>
      <c r="KGA35" s="204"/>
      <c r="KGB35" s="204"/>
      <c r="KGC35" s="204"/>
      <c r="KGD35" s="204"/>
      <c r="KGE35" s="204"/>
      <c r="KGF35" s="204"/>
      <c r="KGG35" s="204"/>
      <c r="KGH35" s="204"/>
      <c r="KGI35" s="204"/>
      <c r="KGJ35" s="204"/>
      <c r="KGK35" s="204"/>
      <c r="KGL35" s="204"/>
      <c r="KGM35" s="204"/>
      <c r="KGN35" s="204"/>
      <c r="KGO35" s="204"/>
      <c r="KGP35" s="204"/>
      <c r="KGQ35" s="204"/>
      <c r="KGR35" s="204"/>
      <c r="KGS35" s="204"/>
      <c r="KGT35" s="204"/>
      <c r="KGU35" s="204"/>
      <c r="KGV35" s="204"/>
      <c r="KGW35" s="204"/>
      <c r="KGX35" s="204"/>
      <c r="KGY35" s="204"/>
      <c r="KGZ35" s="204"/>
      <c r="KHA35" s="204"/>
      <c r="KHB35" s="204"/>
      <c r="KHC35" s="204"/>
      <c r="KHD35" s="204"/>
      <c r="KHE35" s="204"/>
      <c r="KHF35" s="204"/>
      <c r="KHG35" s="204"/>
      <c r="KHH35" s="204"/>
      <c r="KHI35" s="204"/>
      <c r="KHJ35" s="204"/>
      <c r="KHK35" s="204"/>
      <c r="KHL35" s="204"/>
      <c r="KHM35" s="204"/>
      <c r="KHN35" s="204"/>
      <c r="KHO35" s="204"/>
      <c r="KHP35" s="204"/>
      <c r="KHQ35" s="204"/>
      <c r="KHR35" s="204"/>
      <c r="KHS35" s="204"/>
      <c r="KHT35" s="204"/>
      <c r="KHU35" s="204"/>
      <c r="KHV35" s="204"/>
      <c r="KHW35" s="204"/>
      <c r="KHX35" s="204"/>
      <c r="KHY35" s="204"/>
      <c r="KHZ35" s="204"/>
      <c r="KIA35" s="204"/>
      <c r="KIB35" s="204"/>
      <c r="KIC35" s="204"/>
      <c r="KID35" s="204"/>
      <c r="KIE35" s="204"/>
      <c r="KIF35" s="204"/>
      <c r="KIG35" s="204"/>
      <c r="KIH35" s="204"/>
      <c r="KII35" s="204"/>
      <c r="KIJ35" s="204"/>
      <c r="KIK35" s="204"/>
      <c r="KIL35" s="204"/>
      <c r="KIM35" s="204"/>
      <c r="KIN35" s="204"/>
      <c r="KIO35" s="204"/>
      <c r="KIP35" s="204"/>
      <c r="KIQ35" s="204"/>
      <c r="KIR35" s="204"/>
      <c r="KIS35" s="204"/>
      <c r="KIT35" s="204"/>
      <c r="KIU35" s="204"/>
      <c r="KIV35" s="204"/>
      <c r="KIW35" s="204"/>
      <c r="KIX35" s="204"/>
      <c r="KIY35" s="204"/>
      <c r="KIZ35" s="204"/>
      <c r="KJA35" s="204"/>
      <c r="KJB35" s="204"/>
      <c r="KJC35" s="204"/>
      <c r="KJD35" s="204"/>
      <c r="KJE35" s="204"/>
      <c r="KJF35" s="204"/>
      <c r="KJG35" s="204"/>
      <c r="KJH35" s="204"/>
      <c r="KJI35" s="204"/>
      <c r="KJJ35" s="204"/>
      <c r="KJK35" s="204"/>
      <c r="KJL35" s="204"/>
      <c r="KJM35" s="204"/>
      <c r="KJN35" s="204"/>
      <c r="KJO35" s="204"/>
      <c r="KJP35" s="204"/>
      <c r="KJQ35" s="204"/>
      <c r="KJR35" s="204"/>
      <c r="KJS35" s="204"/>
      <c r="KJT35" s="204"/>
      <c r="KJU35" s="204"/>
      <c r="KJV35" s="204"/>
      <c r="KJW35" s="204"/>
      <c r="KJX35" s="204"/>
      <c r="KJY35" s="204"/>
      <c r="KJZ35" s="204"/>
      <c r="KKA35" s="204"/>
      <c r="KKB35" s="204"/>
      <c r="KKC35" s="204"/>
      <c r="KKD35" s="204"/>
      <c r="KKE35" s="204"/>
      <c r="KKF35" s="204"/>
      <c r="KKG35" s="204"/>
      <c r="KKH35" s="204"/>
      <c r="KKI35" s="204"/>
      <c r="KKJ35" s="204"/>
      <c r="KKK35" s="204"/>
      <c r="KKL35" s="204"/>
      <c r="KKM35" s="204"/>
      <c r="KKN35" s="204"/>
      <c r="KKO35" s="204"/>
      <c r="KKP35" s="204"/>
      <c r="KKQ35" s="204"/>
      <c r="KKR35" s="204"/>
      <c r="KKS35" s="204"/>
      <c r="KKT35" s="204"/>
      <c r="KKU35" s="204"/>
      <c r="KKV35" s="204"/>
      <c r="KKW35" s="204"/>
      <c r="KKX35" s="204"/>
      <c r="KKY35" s="204"/>
      <c r="KKZ35" s="204"/>
      <c r="KLA35" s="204"/>
      <c r="KLB35" s="204"/>
      <c r="KLC35" s="204"/>
      <c r="KLD35" s="204"/>
      <c r="KLE35" s="204"/>
      <c r="KLF35" s="204"/>
      <c r="KLG35" s="204"/>
      <c r="KLH35" s="204"/>
      <c r="KLI35" s="204"/>
      <c r="KLJ35" s="204"/>
      <c r="KLK35" s="204"/>
      <c r="KLL35" s="204"/>
      <c r="KLM35" s="204"/>
      <c r="KLN35" s="204"/>
      <c r="KLO35" s="204"/>
      <c r="KLP35" s="204"/>
      <c r="KLQ35" s="204"/>
      <c r="KLR35" s="204"/>
      <c r="KLS35" s="204"/>
      <c r="KLT35" s="204"/>
      <c r="KLU35" s="204"/>
      <c r="KLV35" s="204"/>
      <c r="KLW35" s="204"/>
      <c r="KLX35" s="204"/>
      <c r="KLY35" s="204"/>
      <c r="KLZ35" s="204"/>
      <c r="KMA35" s="204"/>
      <c r="KMB35" s="204"/>
      <c r="KMC35" s="204"/>
      <c r="KMD35" s="204"/>
      <c r="KME35" s="204"/>
      <c r="KMF35" s="204"/>
      <c r="KMG35" s="204"/>
      <c r="KMH35" s="204"/>
      <c r="KMI35" s="204"/>
      <c r="KMJ35" s="204"/>
      <c r="KMK35" s="204"/>
      <c r="KML35" s="204"/>
      <c r="KMM35" s="204"/>
      <c r="KMN35" s="204"/>
      <c r="KMO35" s="204"/>
      <c r="KMP35" s="204"/>
      <c r="KMQ35" s="204"/>
      <c r="KMR35" s="204"/>
      <c r="KMS35" s="204"/>
      <c r="KMT35" s="204"/>
      <c r="KMU35" s="204"/>
      <c r="KMV35" s="204"/>
      <c r="KMW35" s="204"/>
      <c r="KMX35" s="204"/>
      <c r="KMY35" s="204"/>
      <c r="KMZ35" s="204"/>
      <c r="KNA35" s="204"/>
      <c r="KNB35" s="204"/>
      <c r="KNC35" s="204"/>
      <c r="KND35" s="204"/>
      <c r="KNE35" s="204"/>
      <c r="KNF35" s="204"/>
      <c r="KNG35" s="204"/>
      <c r="KNH35" s="204"/>
      <c r="KNI35" s="204"/>
      <c r="KNJ35" s="204"/>
      <c r="KNK35" s="204"/>
      <c r="KNL35" s="204"/>
      <c r="KNM35" s="204"/>
      <c r="KNN35" s="204"/>
      <c r="KNO35" s="204"/>
      <c r="KNP35" s="204"/>
      <c r="KNQ35" s="204"/>
      <c r="KNR35" s="204"/>
      <c r="KNS35" s="204"/>
      <c r="KNT35" s="204"/>
      <c r="KNU35" s="204"/>
      <c r="KNV35" s="204"/>
      <c r="KNW35" s="204"/>
      <c r="KNX35" s="204"/>
      <c r="KNY35" s="204"/>
      <c r="KNZ35" s="204"/>
      <c r="KOA35" s="204"/>
      <c r="KOB35" s="204"/>
      <c r="KOC35" s="204"/>
      <c r="KOD35" s="204"/>
      <c r="KOE35" s="204"/>
      <c r="KOF35" s="204"/>
      <c r="KOG35" s="204"/>
      <c r="KOH35" s="204"/>
      <c r="KOI35" s="204"/>
      <c r="KOJ35" s="204"/>
      <c r="KOK35" s="204"/>
      <c r="KOL35" s="204"/>
      <c r="KOM35" s="204"/>
      <c r="KON35" s="204"/>
      <c r="KOO35" s="204"/>
      <c r="KOP35" s="204"/>
      <c r="KOQ35" s="204"/>
      <c r="KOR35" s="204"/>
      <c r="KOS35" s="204"/>
      <c r="KOT35" s="204"/>
      <c r="KOU35" s="204"/>
      <c r="KOV35" s="204"/>
      <c r="KOW35" s="204"/>
      <c r="KOX35" s="204"/>
      <c r="KOY35" s="204"/>
      <c r="KOZ35" s="204"/>
      <c r="KPA35" s="204"/>
      <c r="KPB35" s="204"/>
      <c r="KPC35" s="204"/>
      <c r="KPD35" s="204"/>
      <c r="KPE35" s="204"/>
      <c r="KPF35" s="204"/>
      <c r="KPG35" s="204"/>
      <c r="KPH35" s="204"/>
      <c r="KPI35" s="204"/>
      <c r="KPJ35" s="204"/>
      <c r="KPK35" s="204"/>
      <c r="KPL35" s="204"/>
      <c r="KPM35" s="204"/>
      <c r="KPN35" s="204"/>
      <c r="KPO35" s="204"/>
      <c r="KPP35" s="204"/>
      <c r="KPQ35" s="204"/>
      <c r="KPR35" s="204"/>
      <c r="KPS35" s="204"/>
      <c r="KPT35" s="204"/>
      <c r="KPU35" s="204"/>
      <c r="KPV35" s="204"/>
      <c r="KPW35" s="204"/>
      <c r="KPX35" s="204"/>
      <c r="KPY35" s="204"/>
      <c r="KPZ35" s="204"/>
      <c r="KQA35" s="204"/>
      <c r="KQB35" s="204"/>
      <c r="KQC35" s="204"/>
      <c r="KQD35" s="204"/>
      <c r="KQE35" s="204"/>
      <c r="KQF35" s="204"/>
      <c r="KQG35" s="204"/>
      <c r="KQH35" s="204"/>
      <c r="KQI35" s="204"/>
      <c r="KQJ35" s="204"/>
      <c r="KQK35" s="204"/>
      <c r="KQL35" s="204"/>
      <c r="KQM35" s="204"/>
      <c r="KQN35" s="204"/>
      <c r="KQO35" s="204"/>
      <c r="KQP35" s="204"/>
      <c r="KQQ35" s="204"/>
      <c r="KQR35" s="204"/>
      <c r="KQS35" s="204"/>
      <c r="KQT35" s="204"/>
      <c r="KQU35" s="204"/>
      <c r="KQV35" s="204"/>
      <c r="KQW35" s="204"/>
      <c r="KQX35" s="204"/>
      <c r="KQY35" s="204"/>
      <c r="KQZ35" s="204"/>
      <c r="KRA35" s="204"/>
      <c r="KRB35" s="204"/>
      <c r="KRC35" s="204"/>
      <c r="KRD35" s="204"/>
      <c r="KRE35" s="204"/>
      <c r="KRF35" s="204"/>
      <c r="KRG35" s="204"/>
      <c r="KRH35" s="204"/>
      <c r="KRI35" s="204"/>
      <c r="KRJ35" s="204"/>
      <c r="KRK35" s="204"/>
      <c r="KRL35" s="204"/>
      <c r="KRM35" s="204"/>
      <c r="KRN35" s="204"/>
      <c r="KRO35" s="204"/>
      <c r="KRP35" s="204"/>
      <c r="KRQ35" s="204"/>
      <c r="KRR35" s="204"/>
      <c r="KRS35" s="204"/>
      <c r="KRT35" s="204"/>
      <c r="KRU35" s="204"/>
      <c r="KRV35" s="204"/>
      <c r="KRW35" s="204"/>
      <c r="KRX35" s="204"/>
      <c r="KRY35" s="204"/>
      <c r="KRZ35" s="204"/>
      <c r="KSA35" s="204"/>
      <c r="KSB35" s="204"/>
      <c r="KSC35" s="204"/>
      <c r="KSD35" s="204"/>
      <c r="KSE35" s="204"/>
      <c r="KSF35" s="204"/>
      <c r="KSG35" s="204"/>
      <c r="KSH35" s="204"/>
      <c r="KSI35" s="204"/>
      <c r="KSJ35" s="204"/>
      <c r="KSK35" s="204"/>
      <c r="KSL35" s="204"/>
      <c r="KSM35" s="204"/>
      <c r="KSN35" s="204"/>
      <c r="KSO35" s="204"/>
      <c r="KSP35" s="204"/>
      <c r="KSQ35" s="204"/>
      <c r="KSR35" s="204"/>
      <c r="KSS35" s="204"/>
      <c r="KST35" s="204"/>
      <c r="KSU35" s="204"/>
      <c r="KSV35" s="204"/>
      <c r="KSW35" s="204"/>
      <c r="KSX35" s="204"/>
      <c r="KSY35" s="204"/>
      <c r="KSZ35" s="204"/>
      <c r="KTA35" s="204"/>
      <c r="KTB35" s="204"/>
      <c r="KTC35" s="204"/>
      <c r="KTD35" s="204"/>
      <c r="KTE35" s="204"/>
      <c r="KTF35" s="204"/>
      <c r="KTG35" s="204"/>
      <c r="KTH35" s="204"/>
      <c r="KTI35" s="204"/>
      <c r="KTJ35" s="204"/>
      <c r="KTK35" s="204"/>
      <c r="KTL35" s="204"/>
      <c r="KTM35" s="204"/>
      <c r="KTN35" s="204"/>
      <c r="KTO35" s="204"/>
      <c r="KTP35" s="204"/>
      <c r="KTQ35" s="204"/>
      <c r="KTR35" s="204"/>
      <c r="KTS35" s="204"/>
      <c r="KTT35" s="204"/>
      <c r="KTU35" s="204"/>
      <c r="KTV35" s="204"/>
      <c r="KTW35" s="204"/>
      <c r="KTX35" s="204"/>
      <c r="KTY35" s="204"/>
      <c r="KTZ35" s="204"/>
      <c r="KUA35" s="204"/>
      <c r="KUB35" s="204"/>
      <c r="KUC35" s="204"/>
      <c r="KUD35" s="204"/>
      <c r="KUE35" s="204"/>
      <c r="KUF35" s="204"/>
      <c r="KUG35" s="204"/>
      <c r="KUH35" s="204"/>
      <c r="KUI35" s="204"/>
      <c r="KUJ35" s="204"/>
      <c r="KUK35" s="204"/>
      <c r="KUL35" s="204"/>
      <c r="KUM35" s="204"/>
      <c r="KUN35" s="204"/>
      <c r="KUO35" s="204"/>
      <c r="KUP35" s="204"/>
      <c r="KUQ35" s="204"/>
      <c r="KUR35" s="204"/>
      <c r="KUS35" s="204"/>
      <c r="KUT35" s="204"/>
      <c r="KUU35" s="204"/>
      <c r="KUV35" s="204"/>
      <c r="KUW35" s="204"/>
      <c r="KUX35" s="204"/>
      <c r="KUY35" s="204"/>
      <c r="KUZ35" s="204"/>
      <c r="KVA35" s="204"/>
      <c r="KVB35" s="204"/>
      <c r="KVC35" s="204"/>
      <c r="KVD35" s="204"/>
      <c r="KVE35" s="204"/>
      <c r="KVF35" s="204"/>
      <c r="KVG35" s="204"/>
      <c r="KVH35" s="204"/>
      <c r="KVI35" s="204"/>
      <c r="KVJ35" s="204"/>
      <c r="KVK35" s="204"/>
      <c r="KVL35" s="204"/>
      <c r="KVM35" s="204"/>
      <c r="KVN35" s="204"/>
      <c r="KVO35" s="204"/>
      <c r="KVP35" s="204"/>
      <c r="KVQ35" s="204"/>
      <c r="KVR35" s="204"/>
      <c r="KVS35" s="204"/>
      <c r="KVT35" s="204"/>
      <c r="KVU35" s="204"/>
      <c r="KVV35" s="204"/>
      <c r="KVW35" s="204"/>
      <c r="KVX35" s="204"/>
      <c r="KVY35" s="204"/>
      <c r="KVZ35" s="204"/>
      <c r="KWA35" s="204"/>
      <c r="KWB35" s="204"/>
      <c r="KWC35" s="204"/>
      <c r="KWD35" s="204"/>
      <c r="KWE35" s="204"/>
      <c r="KWF35" s="204"/>
      <c r="KWG35" s="204"/>
      <c r="KWH35" s="204"/>
      <c r="KWI35" s="204"/>
      <c r="KWJ35" s="204"/>
      <c r="KWK35" s="204"/>
      <c r="KWL35" s="204"/>
      <c r="KWM35" s="204"/>
      <c r="KWN35" s="204"/>
      <c r="KWO35" s="204"/>
      <c r="KWP35" s="204"/>
      <c r="KWQ35" s="204"/>
      <c r="KWR35" s="204"/>
      <c r="KWS35" s="204"/>
      <c r="KWT35" s="204"/>
      <c r="KWU35" s="204"/>
      <c r="KWV35" s="204"/>
      <c r="KWW35" s="204"/>
      <c r="KWX35" s="204"/>
      <c r="KWY35" s="204"/>
      <c r="KWZ35" s="204"/>
      <c r="KXA35" s="204"/>
      <c r="KXB35" s="204"/>
      <c r="KXC35" s="204"/>
      <c r="KXD35" s="204"/>
      <c r="KXE35" s="204"/>
      <c r="KXF35" s="204"/>
      <c r="KXG35" s="204"/>
      <c r="KXH35" s="204"/>
      <c r="KXI35" s="204"/>
      <c r="KXJ35" s="204"/>
      <c r="KXK35" s="204"/>
      <c r="KXL35" s="204"/>
      <c r="KXM35" s="204"/>
      <c r="KXN35" s="204"/>
      <c r="KXO35" s="204"/>
      <c r="KXP35" s="204"/>
      <c r="KXQ35" s="204"/>
      <c r="KXR35" s="204"/>
      <c r="KXS35" s="204"/>
      <c r="KXT35" s="204"/>
      <c r="KXU35" s="204"/>
      <c r="KXV35" s="204"/>
      <c r="KXW35" s="204"/>
      <c r="KXX35" s="204"/>
      <c r="KXY35" s="204"/>
      <c r="KXZ35" s="204"/>
      <c r="KYA35" s="204"/>
      <c r="KYB35" s="204"/>
      <c r="KYC35" s="204"/>
      <c r="KYD35" s="204"/>
      <c r="KYE35" s="204"/>
      <c r="KYF35" s="204"/>
      <c r="KYG35" s="204"/>
      <c r="KYH35" s="204"/>
      <c r="KYI35" s="204"/>
      <c r="KYJ35" s="204"/>
      <c r="KYK35" s="204"/>
      <c r="KYL35" s="204"/>
      <c r="KYM35" s="204"/>
      <c r="KYN35" s="204"/>
      <c r="KYO35" s="204"/>
      <c r="KYP35" s="204"/>
      <c r="KYQ35" s="204"/>
      <c r="KYR35" s="204"/>
      <c r="KYS35" s="204"/>
      <c r="KYT35" s="204"/>
      <c r="KYU35" s="204"/>
      <c r="KYV35" s="204"/>
      <c r="KYW35" s="204"/>
      <c r="KYX35" s="204"/>
      <c r="KYY35" s="204"/>
      <c r="KYZ35" s="204"/>
      <c r="KZA35" s="204"/>
      <c r="KZB35" s="204"/>
      <c r="KZC35" s="204"/>
      <c r="KZD35" s="204"/>
      <c r="KZE35" s="204"/>
      <c r="KZF35" s="204"/>
      <c r="KZG35" s="204"/>
      <c r="KZH35" s="204"/>
      <c r="KZI35" s="204"/>
      <c r="KZJ35" s="204"/>
      <c r="KZK35" s="204"/>
      <c r="KZL35" s="204"/>
      <c r="KZM35" s="204"/>
      <c r="KZN35" s="204"/>
      <c r="KZO35" s="204"/>
      <c r="KZP35" s="204"/>
      <c r="KZQ35" s="204"/>
      <c r="KZR35" s="204"/>
      <c r="KZS35" s="204"/>
      <c r="KZT35" s="204"/>
      <c r="KZU35" s="204"/>
      <c r="KZV35" s="204"/>
      <c r="KZW35" s="204"/>
      <c r="KZX35" s="204"/>
      <c r="KZY35" s="204"/>
      <c r="KZZ35" s="204"/>
      <c r="LAA35" s="204"/>
      <c r="LAB35" s="204"/>
      <c r="LAC35" s="204"/>
      <c r="LAD35" s="204"/>
      <c r="LAE35" s="204"/>
      <c r="LAF35" s="204"/>
      <c r="LAG35" s="204"/>
      <c r="LAH35" s="204"/>
      <c r="LAI35" s="204"/>
      <c r="LAJ35" s="204"/>
      <c r="LAK35" s="204"/>
      <c r="LAL35" s="204"/>
      <c r="LAM35" s="204"/>
      <c r="LAN35" s="204"/>
      <c r="LAO35" s="204"/>
      <c r="LAP35" s="204"/>
      <c r="LAQ35" s="204"/>
      <c r="LAR35" s="204"/>
      <c r="LAS35" s="204"/>
      <c r="LAT35" s="204"/>
      <c r="LAU35" s="204"/>
      <c r="LAV35" s="204"/>
      <c r="LAW35" s="204"/>
      <c r="LAX35" s="204"/>
      <c r="LAY35" s="204"/>
      <c r="LAZ35" s="204"/>
      <c r="LBA35" s="204"/>
      <c r="LBB35" s="204"/>
      <c r="LBC35" s="204"/>
      <c r="LBD35" s="204"/>
      <c r="LBE35" s="204"/>
      <c r="LBF35" s="204"/>
      <c r="LBG35" s="204"/>
      <c r="LBH35" s="204"/>
      <c r="LBI35" s="204"/>
      <c r="LBJ35" s="204"/>
      <c r="LBK35" s="204"/>
      <c r="LBL35" s="204"/>
      <c r="LBM35" s="204"/>
      <c r="LBN35" s="204"/>
      <c r="LBO35" s="204"/>
      <c r="LBP35" s="204"/>
      <c r="LBQ35" s="204"/>
      <c r="LBR35" s="204"/>
      <c r="LBS35" s="204"/>
      <c r="LBT35" s="204"/>
      <c r="LBU35" s="204"/>
      <c r="LBV35" s="204"/>
      <c r="LBW35" s="204"/>
      <c r="LBX35" s="204"/>
      <c r="LBY35" s="204"/>
      <c r="LBZ35" s="204"/>
      <c r="LCA35" s="204"/>
      <c r="LCB35" s="204"/>
      <c r="LCC35" s="204"/>
      <c r="LCD35" s="204"/>
      <c r="LCE35" s="204"/>
      <c r="LCF35" s="204"/>
      <c r="LCG35" s="204"/>
      <c r="LCH35" s="204"/>
      <c r="LCI35" s="204"/>
      <c r="LCJ35" s="204"/>
      <c r="LCK35" s="204"/>
      <c r="LCL35" s="204"/>
      <c r="LCM35" s="204"/>
      <c r="LCN35" s="204"/>
      <c r="LCO35" s="204"/>
      <c r="LCP35" s="204"/>
      <c r="LCQ35" s="204"/>
      <c r="LCR35" s="204"/>
      <c r="LCS35" s="204"/>
      <c r="LCT35" s="204"/>
      <c r="LCU35" s="204"/>
      <c r="LCV35" s="204"/>
      <c r="LCW35" s="204"/>
      <c r="LCX35" s="204"/>
      <c r="LCY35" s="204"/>
      <c r="LCZ35" s="204"/>
      <c r="LDA35" s="204"/>
      <c r="LDB35" s="204"/>
      <c r="LDC35" s="204"/>
      <c r="LDD35" s="204"/>
      <c r="LDE35" s="204"/>
      <c r="LDF35" s="204"/>
      <c r="LDG35" s="204"/>
      <c r="LDH35" s="204"/>
      <c r="LDI35" s="204"/>
      <c r="LDJ35" s="204"/>
      <c r="LDK35" s="204"/>
      <c r="LDL35" s="204"/>
      <c r="LDM35" s="204"/>
      <c r="LDN35" s="204"/>
      <c r="LDO35" s="204"/>
      <c r="LDP35" s="204"/>
      <c r="LDQ35" s="204"/>
      <c r="LDR35" s="204"/>
      <c r="LDS35" s="204"/>
      <c r="LDT35" s="204"/>
      <c r="LDU35" s="204"/>
      <c r="LDV35" s="204"/>
      <c r="LDW35" s="204"/>
      <c r="LDX35" s="204"/>
      <c r="LDY35" s="204"/>
      <c r="LDZ35" s="204"/>
      <c r="LEA35" s="204"/>
      <c r="LEB35" s="204"/>
      <c r="LEC35" s="204"/>
      <c r="LED35" s="204"/>
      <c r="LEE35" s="204"/>
      <c r="LEF35" s="204"/>
      <c r="LEG35" s="204"/>
      <c r="LEH35" s="204"/>
      <c r="LEI35" s="204"/>
      <c r="LEJ35" s="204"/>
      <c r="LEK35" s="204"/>
      <c r="LEL35" s="204"/>
      <c r="LEM35" s="204"/>
      <c r="LEN35" s="204"/>
      <c r="LEO35" s="204"/>
      <c r="LEP35" s="204"/>
      <c r="LEQ35" s="204"/>
      <c r="LER35" s="204"/>
      <c r="LES35" s="204"/>
      <c r="LET35" s="204"/>
      <c r="LEU35" s="204"/>
      <c r="LEV35" s="204"/>
      <c r="LEW35" s="204"/>
      <c r="LEX35" s="204"/>
      <c r="LEY35" s="204"/>
      <c r="LEZ35" s="204"/>
      <c r="LFA35" s="204"/>
      <c r="LFB35" s="204"/>
      <c r="LFC35" s="204"/>
      <c r="LFD35" s="204"/>
      <c r="LFE35" s="204"/>
      <c r="LFF35" s="204"/>
      <c r="LFG35" s="204"/>
      <c r="LFH35" s="204"/>
      <c r="LFI35" s="204"/>
      <c r="LFJ35" s="204"/>
      <c r="LFK35" s="204"/>
      <c r="LFL35" s="204"/>
      <c r="LFM35" s="204"/>
      <c r="LFN35" s="204"/>
      <c r="LFO35" s="204"/>
      <c r="LFP35" s="204"/>
      <c r="LFQ35" s="204"/>
      <c r="LFR35" s="204"/>
      <c r="LFS35" s="204"/>
      <c r="LFT35" s="204"/>
      <c r="LFU35" s="204"/>
      <c r="LFV35" s="204"/>
      <c r="LFW35" s="204"/>
      <c r="LFX35" s="204"/>
      <c r="LFY35" s="204"/>
      <c r="LFZ35" s="204"/>
      <c r="LGA35" s="204"/>
      <c r="LGB35" s="204"/>
      <c r="LGC35" s="204"/>
      <c r="LGD35" s="204"/>
      <c r="LGE35" s="204"/>
      <c r="LGF35" s="204"/>
      <c r="LGG35" s="204"/>
      <c r="LGH35" s="204"/>
      <c r="LGI35" s="204"/>
      <c r="LGJ35" s="204"/>
      <c r="LGK35" s="204"/>
      <c r="LGL35" s="204"/>
      <c r="LGM35" s="204"/>
      <c r="LGN35" s="204"/>
      <c r="LGO35" s="204"/>
      <c r="LGP35" s="204"/>
      <c r="LGQ35" s="204"/>
      <c r="LGR35" s="204"/>
      <c r="LGS35" s="204"/>
      <c r="LGT35" s="204"/>
      <c r="LGU35" s="204"/>
      <c r="LGV35" s="204"/>
      <c r="LGW35" s="204"/>
      <c r="LGX35" s="204"/>
      <c r="LGY35" s="204"/>
      <c r="LGZ35" s="204"/>
      <c r="LHA35" s="204"/>
      <c r="LHB35" s="204"/>
      <c r="LHC35" s="204"/>
      <c r="LHD35" s="204"/>
      <c r="LHE35" s="204"/>
      <c r="LHF35" s="204"/>
      <c r="LHG35" s="204"/>
      <c r="LHH35" s="204"/>
      <c r="LHI35" s="204"/>
      <c r="LHJ35" s="204"/>
      <c r="LHK35" s="204"/>
      <c r="LHL35" s="204"/>
      <c r="LHM35" s="204"/>
      <c r="LHN35" s="204"/>
      <c r="LHO35" s="204"/>
      <c r="LHP35" s="204"/>
      <c r="LHQ35" s="204"/>
      <c r="LHR35" s="204"/>
      <c r="LHS35" s="204"/>
      <c r="LHT35" s="204"/>
      <c r="LHU35" s="204"/>
      <c r="LHV35" s="204"/>
      <c r="LHW35" s="204"/>
      <c r="LHX35" s="204"/>
      <c r="LHY35" s="204"/>
      <c r="LHZ35" s="204"/>
      <c r="LIA35" s="204"/>
      <c r="LIB35" s="204"/>
      <c r="LIC35" s="204"/>
      <c r="LID35" s="204"/>
      <c r="LIE35" s="204"/>
      <c r="LIF35" s="204"/>
      <c r="LIG35" s="204"/>
      <c r="LIH35" s="204"/>
      <c r="LII35" s="204"/>
      <c r="LIJ35" s="204"/>
      <c r="LIK35" s="204"/>
      <c r="LIL35" s="204"/>
      <c r="LIM35" s="204"/>
      <c r="LIN35" s="204"/>
      <c r="LIO35" s="204"/>
      <c r="LIP35" s="204"/>
      <c r="LIQ35" s="204"/>
      <c r="LIR35" s="204"/>
      <c r="LIS35" s="204"/>
      <c r="LIT35" s="204"/>
      <c r="LIU35" s="204"/>
      <c r="LIV35" s="204"/>
      <c r="LIW35" s="204"/>
      <c r="LIX35" s="204"/>
      <c r="LIY35" s="204"/>
      <c r="LIZ35" s="204"/>
      <c r="LJA35" s="204"/>
      <c r="LJB35" s="204"/>
      <c r="LJC35" s="204"/>
      <c r="LJD35" s="204"/>
      <c r="LJE35" s="204"/>
      <c r="LJF35" s="204"/>
      <c r="LJG35" s="204"/>
      <c r="LJH35" s="204"/>
      <c r="LJI35" s="204"/>
      <c r="LJJ35" s="204"/>
      <c r="LJK35" s="204"/>
      <c r="LJL35" s="204"/>
      <c r="LJM35" s="204"/>
      <c r="LJN35" s="204"/>
      <c r="LJO35" s="204"/>
      <c r="LJP35" s="204"/>
      <c r="LJQ35" s="204"/>
      <c r="LJR35" s="204"/>
      <c r="LJS35" s="204"/>
      <c r="LJT35" s="204"/>
      <c r="LJU35" s="204"/>
      <c r="LJV35" s="204"/>
      <c r="LJW35" s="204"/>
      <c r="LJX35" s="204"/>
      <c r="LJY35" s="204"/>
      <c r="LJZ35" s="204"/>
      <c r="LKA35" s="204"/>
      <c r="LKB35" s="204"/>
      <c r="LKC35" s="204"/>
      <c r="LKD35" s="204"/>
      <c r="LKE35" s="204"/>
      <c r="LKF35" s="204"/>
      <c r="LKG35" s="204"/>
      <c r="LKH35" s="204"/>
      <c r="LKI35" s="204"/>
      <c r="LKJ35" s="204"/>
      <c r="LKK35" s="204"/>
      <c r="LKL35" s="204"/>
      <c r="LKM35" s="204"/>
      <c r="LKN35" s="204"/>
      <c r="LKO35" s="204"/>
      <c r="LKP35" s="204"/>
      <c r="LKQ35" s="204"/>
      <c r="LKR35" s="204"/>
      <c r="LKS35" s="204"/>
      <c r="LKT35" s="204"/>
      <c r="LKU35" s="204"/>
      <c r="LKV35" s="204"/>
      <c r="LKW35" s="204"/>
      <c r="LKX35" s="204"/>
      <c r="LKY35" s="204"/>
      <c r="LKZ35" s="204"/>
      <c r="LLA35" s="204"/>
      <c r="LLB35" s="204"/>
      <c r="LLC35" s="204"/>
      <c r="LLD35" s="204"/>
      <c r="LLE35" s="204"/>
      <c r="LLF35" s="204"/>
      <c r="LLG35" s="204"/>
      <c r="LLH35" s="204"/>
      <c r="LLI35" s="204"/>
      <c r="LLJ35" s="204"/>
      <c r="LLK35" s="204"/>
      <c r="LLL35" s="204"/>
      <c r="LLM35" s="204"/>
      <c r="LLN35" s="204"/>
      <c r="LLO35" s="204"/>
      <c r="LLP35" s="204"/>
      <c r="LLQ35" s="204"/>
      <c r="LLR35" s="204"/>
      <c r="LLS35" s="204"/>
      <c r="LLT35" s="204"/>
      <c r="LLU35" s="204"/>
      <c r="LLV35" s="204"/>
      <c r="LLW35" s="204"/>
      <c r="LLX35" s="204"/>
      <c r="LLY35" s="204"/>
      <c r="LLZ35" s="204"/>
      <c r="LMA35" s="204"/>
      <c r="LMB35" s="204"/>
      <c r="LMC35" s="204"/>
      <c r="LMD35" s="204"/>
      <c r="LME35" s="204"/>
      <c r="LMF35" s="204"/>
      <c r="LMG35" s="204"/>
      <c r="LMH35" s="204"/>
      <c r="LMI35" s="204"/>
      <c r="LMJ35" s="204"/>
      <c r="LMK35" s="204"/>
      <c r="LML35" s="204"/>
      <c r="LMM35" s="204"/>
      <c r="LMN35" s="204"/>
      <c r="LMO35" s="204"/>
      <c r="LMP35" s="204"/>
      <c r="LMQ35" s="204"/>
      <c r="LMR35" s="204"/>
      <c r="LMS35" s="204"/>
      <c r="LMT35" s="204"/>
      <c r="LMU35" s="204"/>
      <c r="LMV35" s="204"/>
      <c r="LMW35" s="204"/>
      <c r="LMX35" s="204"/>
      <c r="LMY35" s="204"/>
      <c r="LMZ35" s="204"/>
      <c r="LNA35" s="204"/>
      <c r="LNB35" s="204"/>
      <c r="LNC35" s="204"/>
      <c r="LND35" s="204"/>
      <c r="LNE35" s="204"/>
      <c r="LNF35" s="204"/>
      <c r="LNG35" s="204"/>
      <c r="LNH35" s="204"/>
      <c r="LNI35" s="204"/>
      <c r="LNJ35" s="204"/>
      <c r="LNK35" s="204"/>
      <c r="LNL35" s="204"/>
      <c r="LNM35" s="204"/>
      <c r="LNN35" s="204"/>
      <c r="LNO35" s="204"/>
      <c r="LNP35" s="204"/>
      <c r="LNQ35" s="204"/>
      <c r="LNR35" s="204"/>
      <c r="LNS35" s="204"/>
      <c r="LNT35" s="204"/>
      <c r="LNU35" s="204"/>
      <c r="LNV35" s="204"/>
      <c r="LNW35" s="204"/>
      <c r="LNX35" s="204"/>
      <c r="LNY35" s="204"/>
      <c r="LNZ35" s="204"/>
      <c r="LOA35" s="204"/>
      <c r="LOB35" s="204"/>
      <c r="LOC35" s="204"/>
      <c r="LOD35" s="204"/>
      <c r="LOE35" s="204"/>
      <c r="LOF35" s="204"/>
      <c r="LOG35" s="204"/>
      <c r="LOH35" s="204"/>
      <c r="LOI35" s="204"/>
      <c r="LOJ35" s="204"/>
      <c r="LOK35" s="204"/>
      <c r="LOL35" s="204"/>
      <c r="LOM35" s="204"/>
      <c r="LON35" s="204"/>
      <c r="LOO35" s="204"/>
      <c r="LOP35" s="204"/>
      <c r="LOQ35" s="204"/>
      <c r="LOR35" s="204"/>
      <c r="LOS35" s="204"/>
      <c r="LOT35" s="204"/>
      <c r="LOU35" s="204"/>
      <c r="LOV35" s="204"/>
      <c r="LOW35" s="204"/>
      <c r="LOX35" s="204"/>
      <c r="LOY35" s="204"/>
      <c r="LOZ35" s="204"/>
      <c r="LPA35" s="204"/>
      <c r="LPB35" s="204"/>
      <c r="LPC35" s="204"/>
      <c r="LPD35" s="204"/>
      <c r="LPE35" s="204"/>
      <c r="LPF35" s="204"/>
      <c r="LPG35" s="204"/>
      <c r="LPH35" s="204"/>
      <c r="LPI35" s="204"/>
      <c r="LPJ35" s="204"/>
      <c r="LPK35" s="204"/>
      <c r="LPL35" s="204"/>
      <c r="LPM35" s="204"/>
      <c r="LPN35" s="204"/>
      <c r="LPO35" s="204"/>
      <c r="LPP35" s="204"/>
      <c r="LPQ35" s="204"/>
      <c r="LPR35" s="204"/>
      <c r="LPS35" s="204"/>
      <c r="LPT35" s="204"/>
      <c r="LPU35" s="204"/>
      <c r="LPV35" s="204"/>
      <c r="LPW35" s="204"/>
      <c r="LPX35" s="204"/>
      <c r="LPY35" s="204"/>
      <c r="LPZ35" s="204"/>
      <c r="LQA35" s="204"/>
      <c r="LQB35" s="204"/>
      <c r="LQC35" s="204"/>
      <c r="LQD35" s="204"/>
      <c r="LQE35" s="204"/>
      <c r="LQF35" s="204"/>
      <c r="LQG35" s="204"/>
      <c r="LQH35" s="204"/>
      <c r="LQI35" s="204"/>
      <c r="LQJ35" s="204"/>
      <c r="LQK35" s="204"/>
      <c r="LQL35" s="204"/>
      <c r="LQM35" s="204"/>
      <c r="LQN35" s="204"/>
      <c r="LQO35" s="204"/>
      <c r="LQP35" s="204"/>
      <c r="LQQ35" s="204"/>
      <c r="LQR35" s="204"/>
      <c r="LQS35" s="204"/>
      <c r="LQT35" s="204"/>
      <c r="LQU35" s="204"/>
      <c r="LQV35" s="204"/>
      <c r="LQW35" s="204"/>
      <c r="LQX35" s="204"/>
      <c r="LQY35" s="204"/>
      <c r="LQZ35" s="204"/>
      <c r="LRA35" s="204"/>
      <c r="LRB35" s="204"/>
      <c r="LRC35" s="204"/>
      <c r="LRD35" s="204"/>
      <c r="LRE35" s="204"/>
      <c r="LRF35" s="204"/>
      <c r="LRG35" s="204"/>
      <c r="LRH35" s="204"/>
      <c r="LRI35" s="204"/>
      <c r="LRJ35" s="204"/>
      <c r="LRK35" s="204"/>
      <c r="LRL35" s="204"/>
      <c r="LRM35" s="204"/>
      <c r="LRN35" s="204"/>
      <c r="LRO35" s="204"/>
      <c r="LRP35" s="204"/>
      <c r="LRQ35" s="204"/>
      <c r="LRR35" s="204"/>
      <c r="LRS35" s="204"/>
      <c r="LRT35" s="204"/>
      <c r="LRU35" s="204"/>
      <c r="LRV35" s="204"/>
      <c r="LRW35" s="204"/>
      <c r="LRX35" s="204"/>
      <c r="LRY35" s="204"/>
      <c r="LRZ35" s="204"/>
      <c r="LSA35" s="204"/>
      <c r="LSB35" s="204"/>
      <c r="LSC35" s="204"/>
      <c r="LSD35" s="204"/>
      <c r="LSE35" s="204"/>
      <c r="LSF35" s="204"/>
      <c r="LSG35" s="204"/>
      <c r="LSH35" s="204"/>
      <c r="LSI35" s="204"/>
      <c r="LSJ35" s="204"/>
      <c r="LSK35" s="204"/>
      <c r="LSL35" s="204"/>
      <c r="LSM35" s="204"/>
      <c r="LSN35" s="204"/>
      <c r="LSO35" s="204"/>
      <c r="LSP35" s="204"/>
      <c r="LSQ35" s="204"/>
      <c r="LSR35" s="204"/>
      <c r="LSS35" s="204"/>
      <c r="LST35" s="204"/>
      <c r="LSU35" s="204"/>
      <c r="LSV35" s="204"/>
      <c r="LSW35" s="204"/>
      <c r="LSX35" s="204"/>
      <c r="LSY35" s="204"/>
      <c r="LSZ35" s="204"/>
      <c r="LTA35" s="204"/>
      <c r="LTB35" s="204"/>
      <c r="LTC35" s="204"/>
      <c r="LTD35" s="204"/>
      <c r="LTE35" s="204"/>
      <c r="LTF35" s="204"/>
      <c r="LTG35" s="204"/>
      <c r="LTH35" s="204"/>
      <c r="LTI35" s="204"/>
      <c r="LTJ35" s="204"/>
      <c r="LTK35" s="204"/>
      <c r="LTL35" s="204"/>
      <c r="LTM35" s="204"/>
      <c r="LTN35" s="204"/>
      <c r="LTO35" s="204"/>
      <c r="LTP35" s="204"/>
      <c r="LTQ35" s="204"/>
      <c r="LTR35" s="204"/>
      <c r="LTS35" s="204"/>
      <c r="LTT35" s="204"/>
      <c r="LTU35" s="204"/>
      <c r="LTV35" s="204"/>
      <c r="LTW35" s="204"/>
      <c r="LTX35" s="204"/>
      <c r="LTY35" s="204"/>
      <c r="LTZ35" s="204"/>
      <c r="LUA35" s="204"/>
      <c r="LUB35" s="204"/>
      <c r="LUC35" s="204"/>
      <c r="LUD35" s="204"/>
      <c r="LUE35" s="204"/>
      <c r="LUF35" s="204"/>
      <c r="LUG35" s="204"/>
      <c r="LUH35" s="204"/>
      <c r="LUI35" s="204"/>
      <c r="LUJ35" s="204"/>
      <c r="LUK35" s="204"/>
      <c r="LUL35" s="204"/>
      <c r="LUM35" s="204"/>
      <c r="LUN35" s="204"/>
      <c r="LUO35" s="204"/>
      <c r="LUP35" s="204"/>
      <c r="LUQ35" s="204"/>
      <c r="LUR35" s="204"/>
      <c r="LUS35" s="204"/>
      <c r="LUT35" s="204"/>
      <c r="LUU35" s="204"/>
      <c r="LUV35" s="204"/>
      <c r="LUW35" s="204"/>
      <c r="LUX35" s="204"/>
      <c r="LUY35" s="204"/>
      <c r="LUZ35" s="204"/>
      <c r="LVA35" s="204"/>
      <c r="LVB35" s="204"/>
      <c r="LVC35" s="204"/>
      <c r="LVD35" s="204"/>
      <c r="LVE35" s="204"/>
      <c r="LVF35" s="204"/>
      <c r="LVG35" s="204"/>
      <c r="LVH35" s="204"/>
      <c r="LVI35" s="204"/>
      <c r="LVJ35" s="204"/>
      <c r="LVK35" s="204"/>
      <c r="LVL35" s="204"/>
      <c r="LVM35" s="204"/>
      <c r="LVN35" s="204"/>
      <c r="LVO35" s="204"/>
      <c r="LVP35" s="204"/>
      <c r="LVQ35" s="204"/>
      <c r="LVR35" s="204"/>
      <c r="LVS35" s="204"/>
      <c r="LVT35" s="204"/>
      <c r="LVU35" s="204"/>
      <c r="LVV35" s="204"/>
      <c r="LVW35" s="204"/>
      <c r="LVX35" s="204"/>
      <c r="LVY35" s="204"/>
      <c r="LVZ35" s="204"/>
      <c r="LWA35" s="204"/>
      <c r="LWB35" s="204"/>
      <c r="LWC35" s="204"/>
      <c r="LWD35" s="204"/>
      <c r="LWE35" s="204"/>
      <c r="LWF35" s="204"/>
      <c r="LWG35" s="204"/>
      <c r="LWH35" s="204"/>
      <c r="LWI35" s="204"/>
      <c r="LWJ35" s="204"/>
      <c r="LWK35" s="204"/>
      <c r="LWL35" s="204"/>
      <c r="LWM35" s="204"/>
      <c r="LWN35" s="204"/>
      <c r="LWO35" s="204"/>
      <c r="LWP35" s="204"/>
      <c r="LWQ35" s="204"/>
      <c r="LWR35" s="204"/>
      <c r="LWS35" s="204"/>
      <c r="LWT35" s="204"/>
      <c r="LWU35" s="204"/>
      <c r="LWV35" s="204"/>
      <c r="LWW35" s="204"/>
      <c r="LWX35" s="204"/>
      <c r="LWY35" s="204"/>
      <c r="LWZ35" s="204"/>
      <c r="LXA35" s="204"/>
      <c r="LXB35" s="204"/>
      <c r="LXC35" s="204"/>
      <c r="LXD35" s="204"/>
      <c r="LXE35" s="204"/>
      <c r="LXF35" s="204"/>
      <c r="LXG35" s="204"/>
      <c r="LXH35" s="204"/>
      <c r="LXI35" s="204"/>
      <c r="LXJ35" s="204"/>
      <c r="LXK35" s="204"/>
      <c r="LXL35" s="204"/>
      <c r="LXM35" s="204"/>
      <c r="LXN35" s="204"/>
      <c r="LXO35" s="204"/>
      <c r="LXP35" s="204"/>
      <c r="LXQ35" s="204"/>
      <c r="LXR35" s="204"/>
      <c r="LXS35" s="204"/>
      <c r="LXT35" s="204"/>
      <c r="LXU35" s="204"/>
      <c r="LXV35" s="204"/>
      <c r="LXW35" s="204"/>
      <c r="LXX35" s="204"/>
      <c r="LXY35" s="204"/>
      <c r="LXZ35" s="204"/>
      <c r="LYA35" s="204"/>
      <c r="LYB35" s="204"/>
      <c r="LYC35" s="204"/>
      <c r="LYD35" s="204"/>
      <c r="LYE35" s="204"/>
      <c r="LYF35" s="204"/>
      <c r="LYG35" s="204"/>
      <c r="LYH35" s="204"/>
      <c r="LYI35" s="204"/>
      <c r="LYJ35" s="204"/>
      <c r="LYK35" s="204"/>
      <c r="LYL35" s="204"/>
      <c r="LYM35" s="204"/>
      <c r="LYN35" s="204"/>
      <c r="LYO35" s="204"/>
      <c r="LYP35" s="204"/>
      <c r="LYQ35" s="204"/>
      <c r="LYR35" s="204"/>
      <c r="LYS35" s="204"/>
      <c r="LYT35" s="204"/>
      <c r="LYU35" s="204"/>
      <c r="LYV35" s="204"/>
      <c r="LYW35" s="204"/>
      <c r="LYX35" s="204"/>
      <c r="LYY35" s="204"/>
      <c r="LYZ35" s="204"/>
      <c r="LZA35" s="204"/>
      <c r="LZB35" s="204"/>
      <c r="LZC35" s="204"/>
      <c r="LZD35" s="204"/>
      <c r="LZE35" s="204"/>
      <c r="LZF35" s="204"/>
      <c r="LZG35" s="204"/>
      <c r="LZH35" s="204"/>
      <c r="LZI35" s="204"/>
      <c r="LZJ35" s="204"/>
      <c r="LZK35" s="204"/>
      <c r="LZL35" s="204"/>
      <c r="LZM35" s="204"/>
      <c r="LZN35" s="204"/>
      <c r="LZO35" s="204"/>
      <c r="LZP35" s="204"/>
      <c r="LZQ35" s="204"/>
      <c r="LZR35" s="204"/>
      <c r="LZS35" s="204"/>
      <c r="LZT35" s="204"/>
      <c r="LZU35" s="204"/>
      <c r="LZV35" s="204"/>
      <c r="LZW35" s="204"/>
      <c r="LZX35" s="204"/>
      <c r="LZY35" s="204"/>
      <c r="LZZ35" s="204"/>
      <c r="MAA35" s="204"/>
      <c r="MAB35" s="204"/>
      <c r="MAC35" s="204"/>
      <c r="MAD35" s="204"/>
      <c r="MAE35" s="204"/>
      <c r="MAF35" s="204"/>
      <c r="MAG35" s="204"/>
      <c r="MAH35" s="204"/>
      <c r="MAI35" s="204"/>
      <c r="MAJ35" s="204"/>
      <c r="MAK35" s="204"/>
      <c r="MAL35" s="204"/>
      <c r="MAM35" s="204"/>
      <c r="MAN35" s="204"/>
      <c r="MAO35" s="204"/>
      <c r="MAP35" s="204"/>
      <c r="MAQ35" s="204"/>
      <c r="MAR35" s="204"/>
      <c r="MAS35" s="204"/>
      <c r="MAT35" s="204"/>
      <c r="MAU35" s="204"/>
      <c r="MAV35" s="204"/>
      <c r="MAW35" s="204"/>
      <c r="MAX35" s="204"/>
      <c r="MAY35" s="204"/>
      <c r="MAZ35" s="204"/>
      <c r="MBA35" s="204"/>
      <c r="MBB35" s="204"/>
      <c r="MBC35" s="204"/>
      <c r="MBD35" s="204"/>
      <c r="MBE35" s="204"/>
      <c r="MBF35" s="204"/>
      <c r="MBG35" s="204"/>
      <c r="MBH35" s="204"/>
      <c r="MBI35" s="204"/>
      <c r="MBJ35" s="204"/>
      <c r="MBK35" s="204"/>
      <c r="MBL35" s="204"/>
      <c r="MBM35" s="204"/>
      <c r="MBN35" s="204"/>
      <c r="MBO35" s="204"/>
      <c r="MBP35" s="204"/>
      <c r="MBQ35" s="204"/>
      <c r="MBR35" s="204"/>
      <c r="MBS35" s="204"/>
      <c r="MBT35" s="204"/>
      <c r="MBU35" s="204"/>
      <c r="MBV35" s="204"/>
      <c r="MBW35" s="204"/>
      <c r="MBX35" s="204"/>
      <c r="MBY35" s="204"/>
      <c r="MBZ35" s="204"/>
      <c r="MCA35" s="204"/>
      <c r="MCB35" s="204"/>
      <c r="MCC35" s="204"/>
      <c r="MCD35" s="204"/>
      <c r="MCE35" s="204"/>
      <c r="MCF35" s="204"/>
      <c r="MCG35" s="204"/>
      <c r="MCH35" s="204"/>
      <c r="MCI35" s="204"/>
      <c r="MCJ35" s="204"/>
      <c r="MCK35" s="204"/>
      <c r="MCL35" s="204"/>
      <c r="MCM35" s="204"/>
      <c r="MCN35" s="204"/>
      <c r="MCO35" s="204"/>
      <c r="MCP35" s="204"/>
      <c r="MCQ35" s="204"/>
      <c r="MCR35" s="204"/>
      <c r="MCS35" s="204"/>
      <c r="MCT35" s="204"/>
      <c r="MCU35" s="204"/>
      <c r="MCV35" s="204"/>
      <c r="MCW35" s="204"/>
      <c r="MCX35" s="204"/>
      <c r="MCY35" s="204"/>
      <c r="MCZ35" s="204"/>
      <c r="MDA35" s="204"/>
      <c r="MDB35" s="204"/>
      <c r="MDC35" s="204"/>
      <c r="MDD35" s="204"/>
      <c r="MDE35" s="204"/>
      <c r="MDF35" s="204"/>
      <c r="MDG35" s="204"/>
      <c r="MDH35" s="204"/>
      <c r="MDI35" s="204"/>
      <c r="MDJ35" s="204"/>
      <c r="MDK35" s="204"/>
      <c r="MDL35" s="204"/>
      <c r="MDM35" s="204"/>
      <c r="MDN35" s="204"/>
      <c r="MDO35" s="204"/>
      <c r="MDP35" s="204"/>
      <c r="MDQ35" s="204"/>
      <c r="MDR35" s="204"/>
      <c r="MDS35" s="204"/>
      <c r="MDT35" s="204"/>
      <c r="MDU35" s="204"/>
      <c r="MDV35" s="204"/>
      <c r="MDW35" s="204"/>
      <c r="MDX35" s="204"/>
      <c r="MDY35" s="204"/>
      <c r="MDZ35" s="204"/>
      <c r="MEA35" s="204"/>
      <c r="MEB35" s="204"/>
      <c r="MEC35" s="204"/>
      <c r="MED35" s="204"/>
      <c r="MEE35" s="204"/>
      <c r="MEF35" s="204"/>
      <c r="MEG35" s="204"/>
      <c r="MEH35" s="204"/>
      <c r="MEI35" s="204"/>
      <c r="MEJ35" s="204"/>
      <c r="MEK35" s="204"/>
      <c r="MEL35" s="204"/>
      <c r="MEM35" s="204"/>
      <c r="MEN35" s="204"/>
      <c r="MEO35" s="204"/>
      <c r="MEP35" s="204"/>
      <c r="MEQ35" s="204"/>
      <c r="MER35" s="204"/>
      <c r="MES35" s="204"/>
      <c r="MET35" s="204"/>
      <c r="MEU35" s="204"/>
      <c r="MEV35" s="204"/>
      <c r="MEW35" s="204"/>
      <c r="MEX35" s="204"/>
      <c r="MEY35" s="204"/>
      <c r="MEZ35" s="204"/>
      <c r="MFA35" s="204"/>
      <c r="MFB35" s="204"/>
      <c r="MFC35" s="204"/>
      <c r="MFD35" s="204"/>
      <c r="MFE35" s="204"/>
      <c r="MFF35" s="204"/>
      <c r="MFG35" s="204"/>
      <c r="MFH35" s="204"/>
      <c r="MFI35" s="204"/>
      <c r="MFJ35" s="204"/>
      <c r="MFK35" s="204"/>
      <c r="MFL35" s="204"/>
      <c r="MFM35" s="204"/>
      <c r="MFN35" s="204"/>
      <c r="MFO35" s="204"/>
      <c r="MFP35" s="204"/>
      <c r="MFQ35" s="204"/>
      <c r="MFR35" s="204"/>
      <c r="MFS35" s="204"/>
      <c r="MFT35" s="204"/>
      <c r="MFU35" s="204"/>
      <c r="MFV35" s="204"/>
      <c r="MFW35" s="204"/>
      <c r="MFX35" s="204"/>
      <c r="MFY35" s="204"/>
      <c r="MFZ35" s="204"/>
      <c r="MGA35" s="204"/>
      <c r="MGB35" s="204"/>
      <c r="MGC35" s="204"/>
      <c r="MGD35" s="204"/>
      <c r="MGE35" s="204"/>
      <c r="MGF35" s="204"/>
      <c r="MGG35" s="204"/>
      <c r="MGH35" s="204"/>
      <c r="MGI35" s="204"/>
      <c r="MGJ35" s="204"/>
      <c r="MGK35" s="204"/>
      <c r="MGL35" s="204"/>
      <c r="MGM35" s="204"/>
      <c r="MGN35" s="204"/>
      <c r="MGO35" s="204"/>
      <c r="MGP35" s="204"/>
      <c r="MGQ35" s="204"/>
      <c r="MGR35" s="204"/>
      <c r="MGS35" s="204"/>
      <c r="MGT35" s="204"/>
      <c r="MGU35" s="204"/>
      <c r="MGV35" s="204"/>
      <c r="MGW35" s="204"/>
      <c r="MGX35" s="204"/>
      <c r="MGY35" s="204"/>
      <c r="MGZ35" s="204"/>
      <c r="MHA35" s="204"/>
      <c r="MHB35" s="204"/>
      <c r="MHC35" s="204"/>
      <c r="MHD35" s="204"/>
      <c r="MHE35" s="204"/>
      <c r="MHF35" s="204"/>
      <c r="MHG35" s="204"/>
      <c r="MHH35" s="204"/>
      <c r="MHI35" s="204"/>
      <c r="MHJ35" s="204"/>
      <c r="MHK35" s="204"/>
      <c r="MHL35" s="204"/>
      <c r="MHM35" s="204"/>
      <c r="MHN35" s="204"/>
      <c r="MHO35" s="204"/>
      <c r="MHP35" s="204"/>
      <c r="MHQ35" s="204"/>
      <c r="MHR35" s="204"/>
      <c r="MHS35" s="204"/>
      <c r="MHT35" s="204"/>
      <c r="MHU35" s="204"/>
      <c r="MHV35" s="204"/>
      <c r="MHW35" s="204"/>
      <c r="MHX35" s="204"/>
      <c r="MHY35" s="204"/>
      <c r="MHZ35" s="204"/>
      <c r="MIA35" s="204"/>
      <c r="MIB35" s="204"/>
      <c r="MIC35" s="204"/>
      <c r="MID35" s="204"/>
      <c r="MIE35" s="204"/>
      <c r="MIF35" s="204"/>
      <c r="MIG35" s="204"/>
      <c r="MIH35" s="204"/>
      <c r="MII35" s="204"/>
      <c r="MIJ35" s="204"/>
      <c r="MIK35" s="204"/>
      <c r="MIL35" s="204"/>
      <c r="MIM35" s="204"/>
      <c r="MIN35" s="204"/>
      <c r="MIO35" s="204"/>
      <c r="MIP35" s="204"/>
      <c r="MIQ35" s="204"/>
      <c r="MIR35" s="204"/>
      <c r="MIS35" s="204"/>
      <c r="MIT35" s="204"/>
      <c r="MIU35" s="204"/>
      <c r="MIV35" s="204"/>
      <c r="MIW35" s="204"/>
      <c r="MIX35" s="204"/>
      <c r="MIY35" s="204"/>
      <c r="MIZ35" s="204"/>
      <c r="MJA35" s="204"/>
      <c r="MJB35" s="204"/>
      <c r="MJC35" s="204"/>
      <c r="MJD35" s="204"/>
      <c r="MJE35" s="204"/>
      <c r="MJF35" s="204"/>
      <c r="MJG35" s="204"/>
      <c r="MJH35" s="204"/>
      <c r="MJI35" s="204"/>
      <c r="MJJ35" s="204"/>
      <c r="MJK35" s="204"/>
      <c r="MJL35" s="204"/>
      <c r="MJM35" s="204"/>
      <c r="MJN35" s="204"/>
      <c r="MJO35" s="204"/>
      <c r="MJP35" s="204"/>
      <c r="MJQ35" s="204"/>
      <c r="MJR35" s="204"/>
      <c r="MJS35" s="204"/>
      <c r="MJT35" s="204"/>
      <c r="MJU35" s="204"/>
      <c r="MJV35" s="204"/>
      <c r="MJW35" s="204"/>
      <c r="MJX35" s="204"/>
      <c r="MJY35" s="204"/>
      <c r="MJZ35" s="204"/>
      <c r="MKA35" s="204"/>
      <c r="MKB35" s="204"/>
      <c r="MKC35" s="204"/>
      <c r="MKD35" s="204"/>
      <c r="MKE35" s="204"/>
      <c r="MKF35" s="204"/>
      <c r="MKG35" s="204"/>
      <c r="MKH35" s="204"/>
      <c r="MKI35" s="204"/>
      <c r="MKJ35" s="204"/>
      <c r="MKK35" s="204"/>
      <c r="MKL35" s="204"/>
      <c r="MKM35" s="204"/>
      <c r="MKN35" s="204"/>
      <c r="MKO35" s="204"/>
      <c r="MKP35" s="204"/>
      <c r="MKQ35" s="204"/>
      <c r="MKR35" s="204"/>
      <c r="MKS35" s="204"/>
      <c r="MKT35" s="204"/>
      <c r="MKU35" s="204"/>
      <c r="MKV35" s="204"/>
      <c r="MKW35" s="204"/>
      <c r="MKX35" s="204"/>
      <c r="MKY35" s="204"/>
      <c r="MKZ35" s="204"/>
      <c r="MLA35" s="204"/>
      <c r="MLB35" s="204"/>
      <c r="MLC35" s="204"/>
      <c r="MLD35" s="204"/>
      <c r="MLE35" s="204"/>
      <c r="MLF35" s="204"/>
      <c r="MLG35" s="204"/>
      <c r="MLH35" s="204"/>
      <c r="MLI35" s="204"/>
      <c r="MLJ35" s="204"/>
      <c r="MLK35" s="204"/>
      <c r="MLL35" s="204"/>
      <c r="MLM35" s="204"/>
      <c r="MLN35" s="204"/>
      <c r="MLO35" s="204"/>
      <c r="MLP35" s="204"/>
      <c r="MLQ35" s="204"/>
      <c r="MLR35" s="204"/>
      <c r="MLS35" s="204"/>
      <c r="MLT35" s="204"/>
      <c r="MLU35" s="204"/>
      <c r="MLV35" s="204"/>
      <c r="MLW35" s="204"/>
      <c r="MLX35" s="204"/>
      <c r="MLY35" s="204"/>
      <c r="MLZ35" s="204"/>
      <c r="MMA35" s="204"/>
      <c r="MMB35" s="204"/>
      <c r="MMC35" s="204"/>
      <c r="MMD35" s="204"/>
      <c r="MME35" s="204"/>
      <c r="MMF35" s="204"/>
      <c r="MMG35" s="204"/>
      <c r="MMH35" s="204"/>
      <c r="MMI35" s="204"/>
      <c r="MMJ35" s="204"/>
      <c r="MMK35" s="204"/>
      <c r="MML35" s="204"/>
      <c r="MMM35" s="204"/>
      <c r="MMN35" s="204"/>
      <c r="MMO35" s="204"/>
      <c r="MMP35" s="204"/>
      <c r="MMQ35" s="204"/>
      <c r="MMR35" s="204"/>
      <c r="MMS35" s="204"/>
      <c r="MMT35" s="204"/>
      <c r="MMU35" s="204"/>
      <c r="MMV35" s="204"/>
      <c r="MMW35" s="204"/>
      <c r="MMX35" s="204"/>
      <c r="MMY35" s="204"/>
      <c r="MMZ35" s="204"/>
      <c r="MNA35" s="204"/>
      <c r="MNB35" s="204"/>
      <c r="MNC35" s="204"/>
      <c r="MND35" s="204"/>
      <c r="MNE35" s="204"/>
      <c r="MNF35" s="204"/>
      <c r="MNG35" s="204"/>
      <c r="MNH35" s="204"/>
      <c r="MNI35" s="204"/>
      <c r="MNJ35" s="204"/>
      <c r="MNK35" s="204"/>
      <c r="MNL35" s="204"/>
      <c r="MNM35" s="204"/>
      <c r="MNN35" s="204"/>
      <c r="MNO35" s="204"/>
      <c r="MNP35" s="204"/>
      <c r="MNQ35" s="204"/>
      <c r="MNR35" s="204"/>
      <c r="MNS35" s="204"/>
      <c r="MNT35" s="204"/>
      <c r="MNU35" s="204"/>
      <c r="MNV35" s="204"/>
      <c r="MNW35" s="204"/>
      <c r="MNX35" s="204"/>
      <c r="MNY35" s="204"/>
      <c r="MNZ35" s="204"/>
      <c r="MOA35" s="204"/>
      <c r="MOB35" s="204"/>
      <c r="MOC35" s="204"/>
      <c r="MOD35" s="204"/>
      <c r="MOE35" s="204"/>
      <c r="MOF35" s="204"/>
      <c r="MOG35" s="204"/>
      <c r="MOH35" s="204"/>
      <c r="MOI35" s="204"/>
      <c r="MOJ35" s="204"/>
      <c r="MOK35" s="204"/>
      <c r="MOL35" s="204"/>
      <c r="MOM35" s="204"/>
      <c r="MON35" s="204"/>
      <c r="MOO35" s="204"/>
      <c r="MOP35" s="204"/>
      <c r="MOQ35" s="204"/>
      <c r="MOR35" s="204"/>
      <c r="MOS35" s="204"/>
      <c r="MOT35" s="204"/>
      <c r="MOU35" s="204"/>
      <c r="MOV35" s="204"/>
      <c r="MOW35" s="204"/>
      <c r="MOX35" s="204"/>
      <c r="MOY35" s="204"/>
      <c r="MOZ35" s="204"/>
      <c r="MPA35" s="204"/>
      <c r="MPB35" s="204"/>
      <c r="MPC35" s="204"/>
      <c r="MPD35" s="204"/>
      <c r="MPE35" s="204"/>
      <c r="MPF35" s="204"/>
      <c r="MPG35" s="204"/>
      <c r="MPH35" s="204"/>
      <c r="MPI35" s="204"/>
      <c r="MPJ35" s="204"/>
      <c r="MPK35" s="204"/>
      <c r="MPL35" s="204"/>
      <c r="MPM35" s="204"/>
      <c r="MPN35" s="204"/>
      <c r="MPO35" s="204"/>
      <c r="MPP35" s="204"/>
      <c r="MPQ35" s="204"/>
      <c r="MPR35" s="204"/>
      <c r="MPS35" s="204"/>
      <c r="MPT35" s="204"/>
      <c r="MPU35" s="204"/>
      <c r="MPV35" s="204"/>
      <c r="MPW35" s="204"/>
      <c r="MPX35" s="204"/>
      <c r="MPY35" s="204"/>
      <c r="MPZ35" s="204"/>
      <c r="MQA35" s="204"/>
      <c r="MQB35" s="204"/>
      <c r="MQC35" s="204"/>
      <c r="MQD35" s="204"/>
      <c r="MQE35" s="204"/>
      <c r="MQF35" s="204"/>
      <c r="MQG35" s="204"/>
      <c r="MQH35" s="204"/>
      <c r="MQI35" s="204"/>
      <c r="MQJ35" s="204"/>
      <c r="MQK35" s="204"/>
      <c r="MQL35" s="204"/>
      <c r="MQM35" s="204"/>
      <c r="MQN35" s="204"/>
      <c r="MQO35" s="204"/>
      <c r="MQP35" s="204"/>
      <c r="MQQ35" s="204"/>
      <c r="MQR35" s="204"/>
      <c r="MQS35" s="204"/>
      <c r="MQT35" s="204"/>
      <c r="MQU35" s="204"/>
      <c r="MQV35" s="204"/>
      <c r="MQW35" s="204"/>
      <c r="MQX35" s="204"/>
      <c r="MQY35" s="204"/>
      <c r="MQZ35" s="204"/>
      <c r="MRA35" s="204"/>
      <c r="MRB35" s="204"/>
      <c r="MRC35" s="204"/>
      <c r="MRD35" s="204"/>
      <c r="MRE35" s="204"/>
      <c r="MRF35" s="204"/>
      <c r="MRG35" s="204"/>
      <c r="MRH35" s="204"/>
      <c r="MRI35" s="204"/>
      <c r="MRJ35" s="204"/>
      <c r="MRK35" s="204"/>
      <c r="MRL35" s="204"/>
      <c r="MRM35" s="204"/>
      <c r="MRN35" s="204"/>
      <c r="MRO35" s="204"/>
      <c r="MRP35" s="204"/>
      <c r="MRQ35" s="204"/>
      <c r="MRR35" s="204"/>
      <c r="MRS35" s="204"/>
      <c r="MRT35" s="204"/>
      <c r="MRU35" s="204"/>
      <c r="MRV35" s="204"/>
      <c r="MRW35" s="204"/>
      <c r="MRX35" s="204"/>
      <c r="MRY35" s="204"/>
      <c r="MRZ35" s="204"/>
      <c r="MSA35" s="204"/>
      <c r="MSB35" s="204"/>
      <c r="MSC35" s="204"/>
      <c r="MSD35" s="204"/>
      <c r="MSE35" s="204"/>
      <c r="MSF35" s="204"/>
      <c r="MSG35" s="204"/>
      <c r="MSH35" s="204"/>
      <c r="MSI35" s="204"/>
      <c r="MSJ35" s="204"/>
      <c r="MSK35" s="204"/>
      <c r="MSL35" s="204"/>
      <c r="MSM35" s="204"/>
      <c r="MSN35" s="204"/>
      <c r="MSO35" s="204"/>
      <c r="MSP35" s="204"/>
      <c r="MSQ35" s="204"/>
      <c r="MSR35" s="204"/>
      <c r="MSS35" s="204"/>
      <c r="MST35" s="204"/>
      <c r="MSU35" s="204"/>
      <c r="MSV35" s="204"/>
      <c r="MSW35" s="204"/>
      <c r="MSX35" s="204"/>
      <c r="MSY35" s="204"/>
      <c r="MSZ35" s="204"/>
      <c r="MTA35" s="204"/>
      <c r="MTB35" s="204"/>
      <c r="MTC35" s="204"/>
      <c r="MTD35" s="204"/>
      <c r="MTE35" s="204"/>
      <c r="MTF35" s="204"/>
      <c r="MTG35" s="204"/>
      <c r="MTH35" s="204"/>
      <c r="MTI35" s="204"/>
      <c r="MTJ35" s="204"/>
      <c r="MTK35" s="204"/>
      <c r="MTL35" s="204"/>
      <c r="MTM35" s="204"/>
      <c r="MTN35" s="204"/>
      <c r="MTO35" s="204"/>
      <c r="MTP35" s="204"/>
      <c r="MTQ35" s="204"/>
      <c r="MTR35" s="204"/>
      <c r="MTS35" s="204"/>
      <c r="MTT35" s="204"/>
      <c r="MTU35" s="204"/>
      <c r="MTV35" s="204"/>
      <c r="MTW35" s="204"/>
      <c r="MTX35" s="204"/>
      <c r="MTY35" s="204"/>
      <c r="MTZ35" s="204"/>
      <c r="MUA35" s="204"/>
      <c r="MUB35" s="204"/>
      <c r="MUC35" s="204"/>
      <c r="MUD35" s="204"/>
      <c r="MUE35" s="204"/>
      <c r="MUF35" s="204"/>
      <c r="MUG35" s="204"/>
      <c r="MUH35" s="204"/>
      <c r="MUI35" s="204"/>
      <c r="MUJ35" s="204"/>
      <c r="MUK35" s="204"/>
      <c r="MUL35" s="204"/>
      <c r="MUM35" s="204"/>
      <c r="MUN35" s="204"/>
      <c r="MUO35" s="204"/>
      <c r="MUP35" s="204"/>
      <c r="MUQ35" s="204"/>
      <c r="MUR35" s="204"/>
      <c r="MUS35" s="204"/>
      <c r="MUT35" s="204"/>
      <c r="MUU35" s="204"/>
      <c r="MUV35" s="204"/>
      <c r="MUW35" s="204"/>
      <c r="MUX35" s="204"/>
      <c r="MUY35" s="204"/>
      <c r="MUZ35" s="204"/>
      <c r="MVA35" s="204"/>
      <c r="MVB35" s="204"/>
      <c r="MVC35" s="204"/>
      <c r="MVD35" s="204"/>
      <c r="MVE35" s="204"/>
      <c r="MVF35" s="204"/>
      <c r="MVG35" s="204"/>
      <c r="MVH35" s="204"/>
      <c r="MVI35" s="204"/>
      <c r="MVJ35" s="204"/>
      <c r="MVK35" s="204"/>
      <c r="MVL35" s="204"/>
      <c r="MVM35" s="204"/>
      <c r="MVN35" s="204"/>
      <c r="MVO35" s="204"/>
      <c r="MVP35" s="204"/>
      <c r="MVQ35" s="204"/>
      <c r="MVR35" s="204"/>
      <c r="MVS35" s="204"/>
      <c r="MVT35" s="204"/>
      <c r="MVU35" s="204"/>
      <c r="MVV35" s="204"/>
      <c r="MVW35" s="204"/>
      <c r="MVX35" s="204"/>
      <c r="MVY35" s="204"/>
      <c r="MVZ35" s="204"/>
      <c r="MWA35" s="204"/>
      <c r="MWB35" s="204"/>
      <c r="MWC35" s="204"/>
      <c r="MWD35" s="204"/>
      <c r="MWE35" s="204"/>
      <c r="MWF35" s="204"/>
      <c r="MWG35" s="204"/>
      <c r="MWH35" s="204"/>
      <c r="MWI35" s="204"/>
      <c r="MWJ35" s="204"/>
      <c r="MWK35" s="204"/>
      <c r="MWL35" s="204"/>
      <c r="MWM35" s="204"/>
      <c r="MWN35" s="204"/>
      <c r="MWO35" s="204"/>
      <c r="MWP35" s="204"/>
      <c r="MWQ35" s="204"/>
      <c r="MWR35" s="204"/>
      <c r="MWS35" s="204"/>
      <c r="MWT35" s="204"/>
      <c r="MWU35" s="204"/>
      <c r="MWV35" s="204"/>
      <c r="MWW35" s="204"/>
      <c r="MWX35" s="204"/>
      <c r="MWY35" s="204"/>
      <c r="MWZ35" s="204"/>
      <c r="MXA35" s="204"/>
      <c r="MXB35" s="204"/>
      <c r="MXC35" s="204"/>
      <c r="MXD35" s="204"/>
      <c r="MXE35" s="204"/>
      <c r="MXF35" s="204"/>
      <c r="MXG35" s="204"/>
      <c r="MXH35" s="204"/>
      <c r="MXI35" s="204"/>
      <c r="MXJ35" s="204"/>
      <c r="MXK35" s="204"/>
      <c r="MXL35" s="204"/>
      <c r="MXM35" s="204"/>
      <c r="MXN35" s="204"/>
      <c r="MXO35" s="204"/>
      <c r="MXP35" s="204"/>
      <c r="MXQ35" s="204"/>
      <c r="MXR35" s="204"/>
      <c r="MXS35" s="204"/>
      <c r="MXT35" s="204"/>
      <c r="MXU35" s="204"/>
      <c r="MXV35" s="204"/>
      <c r="MXW35" s="204"/>
      <c r="MXX35" s="204"/>
      <c r="MXY35" s="204"/>
      <c r="MXZ35" s="204"/>
      <c r="MYA35" s="204"/>
      <c r="MYB35" s="204"/>
      <c r="MYC35" s="204"/>
      <c r="MYD35" s="204"/>
      <c r="MYE35" s="204"/>
      <c r="MYF35" s="204"/>
      <c r="MYG35" s="204"/>
      <c r="MYH35" s="204"/>
      <c r="MYI35" s="204"/>
      <c r="MYJ35" s="204"/>
      <c r="MYK35" s="204"/>
      <c r="MYL35" s="204"/>
      <c r="MYM35" s="204"/>
      <c r="MYN35" s="204"/>
      <c r="MYO35" s="204"/>
      <c r="MYP35" s="204"/>
      <c r="MYQ35" s="204"/>
      <c r="MYR35" s="204"/>
      <c r="MYS35" s="204"/>
      <c r="MYT35" s="204"/>
      <c r="MYU35" s="204"/>
      <c r="MYV35" s="204"/>
      <c r="MYW35" s="204"/>
      <c r="MYX35" s="204"/>
      <c r="MYY35" s="204"/>
      <c r="MYZ35" s="204"/>
      <c r="MZA35" s="204"/>
      <c r="MZB35" s="204"/>
      <c r="MZC35" s="204"/>
      <c r="MZD35" s="204"/>
      <c r="MZE35" s="204"/>
      <c r="MZF35" s="204"/>
      <c r="MZG35" s="204"/>
      <c r="MZH35" s="204"/>
      <c r="MZI35" s="204"/>
      <c r="MZJ35" s="204"/>
      <c r="MZK35" s="204"/>
      <c r="MZL35" s="204"/>
      <c r="MZM35" s="204"/>
      <c r="MZN35" s="204"/>
      <c r="MZO35" s="204"/>
      <c r="MZP35" s="204"/>
      <c r="MZQ35" s="204"/>
      <c r="MZR35" s="204"/>
      <c r="MZS35" s="204"/>
      <c r="MZT35" s="204"/>
      <c r="MZU35" s="204"/>
      <c r="MZV35" s="204"/>
      <c r="MZW35" s="204"/>
      <c r="MZX35" s="204"/>
      <c r="MZY35" s="204"/>
      <c r="MZZ35" s="204"/>
      <c r="NAA35" s="204"/>
      <c r="NAB35" s="204"/>
      <c r="NAC35" s="204"/>
      <c r="NAD35" s="204"/>
      <c r="NAE35" s="204"/>
      <c r="NAF35" s="204"/>
      <c r="NAG35" s="204"/>
      <c r="NAH35" s="204"/>
      <c r="NAI35" s="204"/>
      <c r="NAJ35" s="204"/>
      <c r="NAK35" s="204"/>
      <c r="NAL35" s="204"/>
      <c r="NAM35" s="204"/>
      <c r="NAN35" s="204"/>
      <c r="NAO35" s="204"/>
      <c r="NAP35" s="204"/>
      <c r="NAQ35" s="204"/>
      <c r="NAR35" s="204"/>
      <c r="NAS35" s="204"/>
      <c r="NAT35" s="204"/>
      <c r="NAU35" s="204"/>
      <c r="NAV35" s="204"/>
      <c r="NAW35" s="204"/>
      <c r="NAX35" s="204"/>
      <c r="NAY35" s="204"/>
      <c r="NAZ35" s="204"/>
      <c r="NBA35" s="204"/>
      <c r="NBB35" s="204"/>
      <c r="NBC35" s="204"/>
      <c r="NBD35" s="204"/>
      <c r="NBE35" s="204"/>
      <c r="NBF35" s="204"/>
      <c r="NBG35" s="204"/>
      <c r="NBH35" s="204"/>
      <c r="NBI35" s="204"/>
      <c r="NBJ35" s="204"/>
      <c r="NBK35" s="204"/>
      <c r="NBL35" s="204"/>
      <c r="NBM35" s="204"/>
      <c r="NBN35" s="204"/>
      <c r="NBO35" s="204"/>
      <c r="NBP35" s="204"/>
      <c r="NBQ35" s="204"/>
      <c r="NBR35" s="204"/>
      <c r="NBS35" s="204"/>
      <c r="NBT35" s="204"/>
      <c r="NBU35" s="204"/>
      <c r="NBV35" s="204"/>
      <c r="NBW35" s="204"/>
      <c r="NBX35" s="204"/>
      <c r="NBY35" s="204"/>
      <c r="NBZ35" s="204"/>
      <c r="NCA35" s="204"/>
      <c r="NCB35" s="204"/>
      <c r="NCC35" s="204"/>
      <c r="NCD35" s="204"/>
      <c r="NCE35" s="204"/>
      <c r="NCF35" s="204"/>
      <c r="NCG35" s="204"/>
      <c r="NCH35" s="204"/>
      <c r="NCI35" s="204"/>
      <c r="NCJ35" s="204"/>
      <c r="NCK35" s="204"/>
      <c r="NCL35" s="204"/>
      <c r="NCM35" s="204"/>
      <c r="NCN35" s="204"/>
      <c r="NCO35" s="204"/>
      <c r="NCP35" s="204"/>
      <c r="NCQ35" s="204"/>
      <c r="NCR35" s="204"/>
      <c r="NCS35" s="204"/>
      <c r="NCT35" s="204"/>
      <c r="NCU35" s="204"/>
      <c r="NCV35" s="204"/>
      <c r="NCW35" s="204"/>
      <c r="NCX35" s="204"/>
      <c r="NCY35" s="204"/>
      <c r="NCZ35" s="204"/>
      <c r="NDA35" s="204"/>
      <c r="NDB35" s="204"/>
      <c r="NDC35" s="204"/>
      <c r="NDD35" s="204"/>
      <c r="NDE35" s="204"/>
      <c r="NDF35" s="204"/>
      <c r="NDG35" s="204"/>
      <c r="NDH35" s="204"/>
      <c r="NDI35" s="204"/>
      <c r="NDJ35" s="204"/>
      <c r="NDK35" s="204"/>
      <c r="NDL35" s="204"/>
      <c r="NDM35" s="204"/>
      <c r="NDN35" s="204"/>
      <c r="NDO35" s="204"/>
      <c r="NDP35" s="204"/>
      <c r="NDQ35" s="204"/>
      <c r="NDR35" s="204"/>
      <c r="NDS35" s="204"/>
      <c r="NDT35" s="204"/>
      <c r="NDU35" s="204"/>
      <c r="NDV35" s="204"/>
      <c r="NDW35" s="204"/>
      <c r="NDX35" s="204"/>
      <c r="NDY35" s="204"/>
      <c r="NDZ35" s="204"/>
      <c r="NEA35" s="204"/>
      <c r="NEB35" s="204"/>
      <c r="NEC35" s="204"/>
      <c r="NED35" s="204"/>
      <c r="NEE35" s="204"/>
      <c r="NEF35" s="204"/>
      <c r="NEG35" s="204"/>
      <c r="NEH35" s="204"/>
      <c r="NEI35" s="204"/>
      <c r="NEJ35" s="204"/>
      <c r="NEK35" s="204"/>
      <c r="NEL35" s="204"/>
      <c r="NEM35" s="204"/>
      <c r="NEN35" s="204"/>
      <c r="NEO35" s="204"/>
      <c r="NEP35" s="204"/>
      <c r="NEQ35" s="204"/>
      <c r="NER35" s="204"/>
      <c r="NES35" s="204"/>
      <c r="NET35" s="204"/>
      <c r="NEU35" s="204"/>
      <c r="NEV35" s="204"/>
      <c r="NEW35" s="204"/>
      <c r="NEX35" s="204"/>
      <c r="NEY35" s="204"/>
      <c r="NEZ35" s="204"/>
      <c r="NFA35" s="204"/>
      <c r="NFB35" s="204"/>
      <c r="NFC35" s="204"/>
      <c r="NFD35" s="204"/>
      <c r="NFE35" s="204"/>
      <c r="NFF35" s="204"/>
      <c r="NFG35" s="204"/>
      <c r="NFH35" s="204"/>
      <c r="NFI35" s="204"/>
      <c r="NFJ35" s="204"/>
      <c r="NFK35" s="204"/>
      <c r="NFL35" s="204"/>
      <c r="NFM35" s="204"/>
      <c r="NFN35" s="204"/>
      <c r="NFO35" s="204"/>
      <c r="NFP35" s="204"/>
      <c r="NFQ35" s="204"/>
      <c r="NFR35" s="204"/>
      <c r="NFS35" s="204"/>
      <c r="NFT35" s="204"/>
      <c r="NFU35" s="204"/>
      <c r="NFV35" s="204"/>
      <c r="NFW35" s="204"/>
      <c r="NFX35" s="204"/>
      <c r="NFY35" s="204"/>
      <c r="NFZ35" s="204"/>
      <c r="NGA35" s="204"/>
      <c r="NGB35" s="204"/>
      <c r="NGC35" s="204"/>
      <c r="NGD35" s="204"/>
      <c r="NGE35" s="204"/>
      <c r="NGF35" s="204"/>
      <c r="NGG35" s="204"/>
      <c r="NGH35" s="204"/>
      <c r="NGI35" s="204"/>
      <c r="NGJ35" s="204"/>
      <c r="NGK35" s="204"/>
      <c r="NGL35" s="204"/>
      <c r="NGM35" s="204"/>
      <c r="NGN35" s="204"/>
      <c r="NGO35" s="204"/>
      <c r="NGP35" s="204"/>
      <c r="NGQ35" s="204"/>
      <c r="NGR35" s="204"/>
      <c r="NGS35" s="204"/>
      <c r="NGT35" s="204"/>
      <c r="NGU35" s="204"/>
      <c r="NGV35" s="204"/>
      <c r="NGW35" s="204"/>
      <c r="NGX35" s="204"/>
      <c r="NGY35" s="204"/>
      <c r="NGZ35" s="204"/>
      <c r="NHA35" s="204"/>
      <c r="NHB35" s="204"/>
      <c r="NHC35" s="204"/>
      <c r="NHD35" s="204"/>
      <c r="NHE35" s="204"/>
      <c r="NHF35" s="204"/>
      <c r="NHG35" s="204"/>
      <c r="NHH35" s="204"/>
      <c r="NHI35" s="204"/>
      <c r="NHJ35" s="204"/>
      <c r="NHK35" s="204"/>
      <c r="NHL35" s="204"/>
      <c r="NHM35" s="204"/>
      <c r="NHN35" s="204"/>
      <c r="NHO35" s="204"/>
      <c r="NHP35" s="204"/>
      <c r="NHQ35" s="204"/>
      <c r="NHR35" s="204"/>
      <c r="NHS35" s="204"/>
      <c r="NHT35" s="204"/>
      <c r="NHU35" s="204"/>
      <c r="NHV35" s="204"/>
      <c r="NHW35" s="204"/>
      <c r="NHX35" s="204"/>
      <c r="NHY35" s="204"/>
      <c r="NHZ35" s="204"/>
      <c r="NIA35" s="204"/>
      <c r="NIB35" s="204"/>
      <c r="NIC35" s="204"/>
      <c r="NID35" s="204"/>
      <c r="NIE35" s="204"/>
      <c r="NIF35" s="204"/>
      <c r="NIG35" s="204"/>
      <c r="NIH35" s="204"/>
      <c r="NII35" s="204"/>
      <c r="NIJ35" s="204"/>
      <c r="NIK35" s="204"/>
      <c r="NIL35" s="204"/>
      <c r="NIM35" s="204"/>
      <c r="NIN35" s="204"/>
      <c r="NIO35" s="204"/>
      <c r="NIP35" s="204"/>
      <c r="NIQ35" s="204"/>
      <c r="NIR35" s="204"/>
      <c r="NIS35" s="204"/>
      <c r="NIT35" s="204"/>
      <c r="NIU35" s="204"/>
      <c r="NIV35" s="204"/>
      <c r="NIW35" s="204"/>
      <c r="NIX35" s="204"/>
      <c r="NIY35" s="204"/>
      <c r="NIZ35" s="204"/>
      <c r="NJA35" s="204"/>
      <c r="NJB35" s="204"/>
      <c r="NJC35" s="204"/>
      <c r="NJD35" s="204"/>
      <c r="NJE35" s="204"/>
      <c r="NJF35" s="204"/>
      <c r="NJG35" s="204"/>
      <c r="NJH35" s="204"/>
      <c r="NJI35" s="204"/>
      <c r="NJJ35" s="204"/>
      <c r="NJK35" s="204"/>
      <c r="NJL35" s="204"/>
      <c r="NJM35" s="204"/>
      <c r="NJN35" s="204"/>
      <c r="NJO35" s="204"/>
      <c r="NJP35" s="204"/>
      <c r="NJQ35" s="204"/>
      <c r="NJR35" s="204"/>
      <c r="NJS35" s="204"/>
      <c r="NJT35" s="204"/>
      <c r="NJU35" s="204"/>
      <c r="NJV35" s="204"/>
      <c r="NJW35" s="204"/>
      <c r="NJX35" s="204"/>
      <c r="NJY35" s="204"/>
      <c r="NJZ35" s="204"/>
      <c r="NKA35" s="204"/>
      <c r="NKB35" s="204"/>
      <c r="NKC35" s="204"/>
      <c r="NKD35" s="204"/>
      <c r="NKE35" s="204"/>
      <c r="NKF35" s="204"/>
      <c r="NKG35" s="204"/>
      <c r="NKH35" s="204"/>
      <c r="NKI35" s="204"/>
      <c r="NKJ35" s="204"/>
      <c r="NKK35" s="204"/>
      <c r="NKL35" s="204"/>
      <c r="NKM35" s="204"/>
      <c r="NKN35" s="204"/>
      <c r="NKO35" s="204"/>
      <c r="NKP35" s="204"/>
      <c r="NKQ35" s="204"/>
      <c r="NKR35" s="204"/>
      <c r="NKS35" s="204"/>
      <c r="NKT35" s="204"/>
      <c r="NKU35" s="204"/>
      <c r="NKV35" s="204"/>
      <c r="NKW35" s="204"/>
      <c r="NKX35" s="204"/>
      <c r="NKY35" s="204"/>
      <c r="NKZ35" s="204"/>
      <c r="NLA35" s="204"/>
      <c r="NLB35" s="204"/>
      <c r="NLC35" s="204"/>
      <c r="NLD35" s="204"/>
      <c r="NLE35" s="204"/>
      <c r="NLF35" s="204"/>
      <c r="NLG35" s="204"/>
      <c r="NLH35" s="204"/>
      <c r="NLI35" s="204"/>
      <c r="NLJ35" s="204"/>
      <c r="NLK35" s="204"/>
      <c r="NLL35" s="204"/>
      <c r="NLM35" s="204"/>
      <c r="NLN35" s="204"/>
      <c r="NLO35" s="204"/>
      <c r="NLP35" s="204"/>
      <c r="NLQ35" s="204"/>
      <c r="NLR35" s="204"/>
      <c r="NLS35" s="204"/>
      <c r="NLT35" s="204"/>
      <c r="NLU35" s="204"/>
      <c r="NLV35" s="204"/>
      <c r="NLW35" s="204"/>
      <c r="NLX35" s="204"/>
      <c r="NLY35" s="204"/>
      <c r="NLZ35" s="204"/>
      <c r="NMA35" s="204"/>
      <c r="NMB35" s="204"/>
      <c r="NMC35" s="204"/>
      <c r="NMD35" s="204"/>
      <c r="NME35" s="204"/>
      <c r="NMF35" s="204"/>
      <c r="NMG35" s="204"/>
      <c r="NMH35" s="204"/>
      <c r="NMI35" s="204"/>
      <c r="NMJ35" s="204"/>
      <c r="NMK35" s="204"/>
      <c r="NML35" s="204"/>
      <c r="NMM35" s="204"/>
      <c r="NMN35" s="204"/>
      <c r="NMO35" s="204"/>
      <c r="NMP35" s="204"/>
      <c r="NMQ35" s="204"/>
      <c r="NMR35" s="204"/>
      <c r="NMS35" s="204"/>
      <c r="NMT35" s="204"/>
      <c r="NMU35" s="204"/>
      <c r="NMV35" s="204"/>
      <c r="NMW35" s="204"/>
      <c r="NMX35" s="204"/>
      <c r="NMY35" s="204"/>
      <c r="NMZ35" s="204"/>
      <c r="NNA35" s="204"/>
      <c r="NNB35" s="204"/>
      <c r="NNC35" s="204"/>
      <c r="NND35" s="204"/>
      <c r="NNE35" s="204"/>
      <c r="NNF35" s="204"/>
      <c r="NNG35" s="204"/>
      <c r="NNH35" s="204"/>
      <c r="NNI35" s="204"/>
      <c r="NNJ35" s="204"/>
      <c r="NNK35" s="204"/>
      <c r="NNL35" s="204"/>
      <c r="NNM35" s="204"/>
      <c r="NNN35" s="204"/>
      <c r="NNO35" s="204"/>
      <c r="NNP35" s="204"/>
      <c r="NNQ35" s="204"/>
      <c r="NNR35" s="204"/>
      <c r="NNS35" s="204"/>
      <c r="NNT35" s="204"/>
      <c r="NNU35" s="204"/>
      <c r="NNV35" s="204"/>
      <c r="NNW35" s="204"/>
      <c r="NNX35" s="204"/>
      <c r="NNY35" s="204"/>
      <c r="NNZ35" s="204"/>
      <c r="NOA35" s="204"/>
      <c r="NOB35" s="204"/>
      <c r="NOC35" s="204"/>
      <c r="NOD35" s="204"/>
      <c r="NOE35" s="204"/>
      <c r="NOF35" s="204"/>
      <c r="NOG35" s="204"/>
      <c r="NOH35" s="204"/>
      <c r="NOI35" s="204"/>
      <c r="NOJ35" s="204"/>
      <c r="NOK35" s="204"/>
      <c r="NOL35" s="204"/>
      <c r="NOM35" s="204"/>
      <c r="NON35" s="204"/>
      <c r="NOO35" s="204"/>
      <c r="NOP35" s="204"/>
      <c r="NOQ35" s="204"/>
      <c r="NOR35" s="204"/>
      <c r="NOS35" s="204"/>
      <c r="NOT35" s="204"/>
      <c r="NOU35" s="204"/>
      <c r="NOV35" s="204"/>
      <c r="NOW35" s="204"/>
      <c r="NOX35" s="204"/>
      <c r="NOY35" s="204"/>
      <c r="NOZ35" s="204"/>
      <c r="NPA35" s="204"/>
      <c r="NPB35" s="204"/>
      <c r="NPC35" s="204"/>
      <c r="NPD35" s="204"/>
      <c r="NPE35" s="204"/>
      <c r="NPF35" s="204"/>
      <c r="NPG35" s="204"/>
      <c r="NPH35" s="204"/>
      <c r="NPI35" s="204"/>
      <c r="NPJ35" s="204"/>
      <c r="NPK35" s="204"/>
      <c r="NPL35" s="204"/>
      <c r="NPM35" s="204"/>
      <c r="NPN35" s="204"/>
      <c r="NPO35" s="204"/>
      <c r="NPP35" s="204"/>
      <c r="NPQ35" s="204"/>
      <c r="NPR35" s="204"/>
      <c r="NPS35" s="204"/>
      <c r="NPT35" s="204"/>
      <c r="NPU35" s="204"/>
      <c r="NPV35" s="204"/>
      <c r="NPW35" s="204"/>
      <c r="NPX35" s="204"/>
      <c r="NPY35" s="204"/>
      <c r="NPZ35" s="204"/>
      <c r="NQA35" s="204"/>
      <c r="NQB35" s="204"/>
      <c r="NQC35" s="204"/>
      <c r="NQD35" s="204"/>
      <c r="NQE35" s="204"/>
      <c r="NQF35" s="204"/>
      <c r="NQG35" s="204"/>
      <c r="NQH35" s="204"/>
      <c r="NQI35" s="204"/>
      <c r="NQJ35" s="204"/>
      <c r="NQK35" s="204"/>
      <c r="NQL35" s="204"/>
      <c r="NQM35" s="204"/>
      <c r="NQN35" s="204"/>
      <c r="NQO35" s="204"/>
      <c r="NQP35" s="204"/>
      <c r="NQQ35" s="204"/>
      <c r="NQR35" s="204"/>
      <c r="NQS35" s="204"/>
      <c r="NQT35" s="204"/>
      <c r="NQU35" s="204"/>
      <c r="NQV35" s="204"/>
      <c r="NQW35" s="204"/>
      <c r="NQX35" s="204"/>
      <c r="NQY35" s="204"/>
      <c r="NQZ35" s="204"/>
      <c r="NRA35" s="204"/>
      <c r="NRB35" s="204"/>
      <c r="NRC35" s="204"/>
      <c r="NRD35" s="204"/>
      <c r="NRE35" s="204"/>
      <c r="NRF35" s="204"/>
      <c r="NRG35" s="204"/>
      <c r="NRH35" s="204"/>
      <c r="NRI35" s="204"/>
      <c r="NRJ35" s="204"/>
      <c r="NRK35" s="204"/>
      <c r="NRL35" s="204"/>
      <c r="NRM35" s="204"/>
      <c r="NRN35" s="204"/>
      <c r="NRO35" s="204"/>
      <c r="NRP35" s="204"/>
      <c r="NRQ35" s="204"/>
      <c r="NRR35" s="204"/>
      <c r="NRS35" s="204"/>
      <c r="NRT35" s="204"/>
      <c r="NRU35" s="204"/>
      <c r="NRV35" s="204"/>
      <c r="NRW35" s="204"/>
      <c r="NRX35" s="204"/>
      <c r="NRY35" s="204"/>
      <c r="NRZ35" s="204"/>
      <c r="NSA35" s="204"/>
      <c r="NSB35" s="204"/>
      <c r="NSC35" s="204"/>
      <c r="NSD35" s="204"/>
      <c r="NSE35" s="204"/>
      <c r="NSF35" s="204"/>
      <c r="NSG35" s="204"/>
      <c r="NSH35" s="204"/>
      <c r="NSI35" s="204"/>
      <c r="NSJ35" s="204"/>
      <c r="NSK35" s="204"/>
      <c r="NSL35" s="204"/>
      <c r="NSM35" s="204"/>
      <c r="NSN35" s="204"/>
      <c r="NSO35" s="204"/>
      <c r="NSP35" s="204"/>
      <c r="NSQ35" s="204"/>
      <c r="NSR35" s="204"/>
      <c r="NSS35" s="204"/>
      <c r="NST35" s="204"/>
      <c r="NSU35" s="204"/>
      <c r="NSV35" s="204"/>
      <c r="NSW35" s="204"/>
      <c r="NSX35" s="204"/>
      <c r="NSY35" s="204"/>
      <c r="NSZ35" s="204"/>
      <c r="NTA35" s="204"/>
      <c r="NTB35" s="204"/>
      <c r="NTC35" s="204"/>
      <c r="NTD35" s="204"/>
      <c r="NTE35" s="204"/>
      <c r="NTF35" s="204"/>
      <c r="NTG35" s="204"/>
      <c r="NTH35" s="204"/>
      <c r="NTI35" s="204"/>
      <c r="NTJ35" s="204"/>
      <c r="NTK35" s="204"/>
      <c r="NTL35" s="204"/>
      <c r="NTM35" s="204"/>
      <c r="NTN35" s="204"/>
      <c r="NTO35" s="204"/>
      <c r="NTP35" s="204"/>
      <c r="NTQ35" s="204"/>
      <c r="NTR35" s="204"/>
      <c r="NTS35" s="204"/>
      <c r="NTT35" s="204"/>
      <c r="NTU35" s="204"/>
      <c r="NTV35" s="204"/>
      <c r="NTW35" s="204"/>
      <c r="NTX35" s="204"/>
      <c r="NTY35" s="204"/>
      <c r="NTZ35" s="204"/>
      <c r="NUA35" s="204"/>
      <c r="NUB35" s="204"/>
      <c r="NUC35" s="204"/>
      <c r="NUD35" s="204"/>
      <c r="NUE35" s="204"/>
      <c r="NUF35" s="204"/>
      <c r="NUG35" s="204"/>
      <c r="NUH35" s="204"/>
      <c r="NUI35" s="204"/>
      <c r="NUJ35" s="204"/>
      <c r="NUK35" s="204"/>
      <c r="NUL35" s="204"/>
      <c r="NUM35" s="204"/>
      <c r="NUN35" s="204"/>
      <c r="NUO35" s="204"/>
      <c r="NUP35" s="204"/>
      <c r="NUQ35" s="204"/>
      <c r="NUR35" s="204"/>
      <c r="NUS35" s="204"/>
      <c r="NUT35" s="204"/>
      <c r="NUU35" s="204"/>
      <c r="NUV35" s="204"/>
      <c r="NUW35" s="204"/>
      <c r="NUX35" s="204"/>
      <c r="NUY35" s="204"/>
      <c r="NUZ35" s="204"/>
      <c r="NVA35" s="204"/>
      <c r="NVB35" s="204"/>
      <c r="NVC35" s="204"/>
      <c r="NVD35" s="204"/>
      <c r="NVE35" s="204"/>
      <c r="NVF35" s="204"/>
      <c r="NVG35" s="204"/>
      <c r="NVH35" s="204"/>
      <c r="NVI35" s="204"/>
      <c r="NVJ35" s="204"/>
      <c r="NVK35" s="204"/>
      <c r="NVL35" s="204"/>
      <c r="NVM35" s="204"/>
      <c r="NVN35" s="204"/>
      <c r="NVO35" s="204"/>
      <c r="NVP35" s="204"/>
      <c r="NVQ35" s="204"/>
      <c r="NVR35" s="204"/>
      <c r="NVS35" s="204"/>
      <c r="NVT35" s="204"/>
      <c r="NVU35" s="204"/>
      <c r="NVV35" s="204"/>
      <c r="NVW35" s="204"/>
      <c r="NVX35" s="204"/>
      <c r="NVY35" s="204"/>
      <c r="NVZ35" s="204"/>
      <c r="NWA35" s="204"/>
      <c r="NWB35" s="204"/>
      <c r="NWC35" s="204"/>
      <c r="NWD35" s="204"/>
      <c r="NWE35" s="204"/>
      <c r="NWF35" s="204"/>
      <c r="NWG35" s="204"/>
      <c r="NWH35" s="204"/>
      <c r="NWI35" s="204"/>
      <c r="NWJ35" s="204"/>
      <c r="NWK35" s="204"/>
      <c r="NWL35" s="204"/>
      <c r="NWM35" s="204"/>
      <c r="NWN35" s="204"/>
      <c r="NWO35" s="204"/>
      <c r="NWP35" s="204"/>
      <c r="NWQ35" s="204"/>
      <c r="NWR35" s="204"/>
      <c r="NWS35" s="204"/>
      <c r="NWT35" s="204"/>
      <c r="NWU35" s="204"/>
      <c r="NWV35" s="204"/>
      <c r="NWW35" s="204"/>
      <c r="NWX35" s="204"/>
      <c r="NWY35" s="204"/>
      <c r="NWZ35" s="204"/>
      <c r="NXA35" s="204"/>
      <c r="NXB35" s="204"/>
      <c r="NXC35" s="204"/>
      <c r="NXD35" s="204"/>
      <c r="NXE35" s="204"/>
      <c r="NXF35" s="204"/>
      <c r="NXG35" s="204"/>
      <c r="NXH35" s="204"/>
      <c r="NXI35" s="204"/>
      <c r="NXJ35" s="204"/>
      <c r="NXK35" s="204"/>
      <c r="NXL35" s="204"/>
      <c r="NXM35" s="204"/>
      <c r="NXN35" s="204"/>
      <c r="NXO35" s="204"/>
      <c r="NXP35" s="204"/>
      <c r="NXQ35" s="204"/>
      <c r="NXR35" s="204"/>
      <c r="NXS35" s="204"/>
      <c r="NXT35" s="204"/>
      <c r="NXU35" s="204"/>
      <c r="NXV35" s="204"/>
      <c r="NXW35" s="204"/>
      <c r="NXX35" s="204"/>
      <c r="NXY35" s="204"/>
      <c r="NXZ35" s="204"/>
      <c r="NYA35" s="204"/>
      <c r="NYB35" s="204"/>
      <c r="NYC35" s="204"/>
      <c r="NYD35" s="204"/>
      <c r="NYE35" s="204"/>
      <c r="NYF35" s="204"/>
      <c r="NYG35" s="204"/>
      <c r="NYH35" s="204"/>
      <c r="NYI35" s="204"/>
      <c r="NYJ35" s="204"/>
      <c r="NYK35" s="204"/>
      <c r="NYL35" s="204"/>
      <c r="NYM35" s="204"/>
      <c r="NYN35" s="204"/>
      <c r="NYO35" s="204"/>
      <c r="NYP35" s="204"/>
      <c r="NYQ35" s="204"/>
      <c r="NYR35" s="204"/>
      <c r="NYS35" s="204"/>
      <c r="NYT35" s="204"/>
      <c r="NYU35" s="204"/>
      <c r="NYV35" s="204"/>
      <c r="NYW35" s="204"/>
      <c r="NYX35" s="204"/>
      <c r="NYY35" s="204"/>
      <c r="NYZ35" s="204"/>
      <c r="NZA35" s="204"/>
      <c r="NZB35" s="204"/>
      <c r="NZC35" s="204"/>
      <c r="NZD35" s="204"/>
      <c r="NZE35" s="204"/>
      <c r="NZF35" s="204"/>
      <c r="NZG35" s="204"/>
      <c r="NZH35" s="204"/>
      <c r="NZI35" s="204"/>
      <c r="NZJ35" s="204"/>
      <c r="NZK35" s="204"/>
      <c r="NZL35" s="204"/>
      <c r="NZM35" s="204"/>
      <c r="NZN35" s="204"/>
      <c r="NZO35" s="204"/>
      <c r="NZP35" s="204"/>
      <c r="NZQ35" s="204"/>
      <c r="NZR35" s="204"/>
      <c r="NZS35" s="204"/>
      <c r="NZT35" s="204"/>
      <c r="NZU35" s="204"/>
      <c r="NZV35" s="204"/>
      <c r="NZW35" s="204"/>
      <c r="NZX35" s="204"/>
      <c r="NZY35" s="204"/>
      <c r="NZZ35" s="204"/>
      <c r="OAA35" s="204"/>
      <c r="OAB35" s="204"/>
      <c r="OAC35" s="204"/>
      <c r="OAD35" s="204"/>
      <c r="OAE35" s="204"/>
      <c r="OAF35" s="204"/>
      <c r="OAG35" s="204"/>
      <c r="OAH35" s="204"/>
      <c r="OAI35" s="204"/>
      <c r="OAJ35" s="204"/>
      <c r="OAK35" s="204"/>
      <c r="OAL35" s="204"/>
      <c r="OAM35" s="204"/>
      <c r="OAN35" s="204"/>
      <c r="OAO35" s="204"/>
      <c r="OAP35" s="204"/>
      <c r="OAQ35" s="204"/>
      <c r="OAR35" s="204"/>
      <c r="OAS35" s="204"/>
      <c r="OAT35" s="204"/>
      <c r="OAU35" s="204"/>
      <c r="OAV35" s="204"/>
      <c r="OAW35" s="204"/>
      <c r="OAX35" s="204"/>
      <c r="OAY35" s="204"/>
      <c r="OAZ35" s="204"/>
      <c r="OBA35" s="204"/>
      <c r="OBB35" s="204"/>
      <c r="OBC35" s="204"/>
      <c r="OBD35" s="204"/>
      <c r="OBE35" s="204"/>
      <c r="OBF35" s="204"/>
      <c r="OBG35" s="204"/>
      <c r="OBH35" s="204"/>
      <c r="OBI35" s="204"/>
      <c r="OBJ35" s="204"/>
      <c r="OBK35" s="204"/>
      <c r="OBL35" s="204"/>
      <c r="OBM35" s="204"/>
      <c r="OBN35" s="204"/>
      <c r="OBO35" s="204"/>
      <c r="OBP35" s="204"/>
      <c r="OBQ35" s="204"/>
      <c r="OBR35" s="204"/>
      <c r="OBS35" s="204"/>
      <c r="OBT35" s="204"/>
      <c r="OBU35" s="204"/>
      <c r="OBV35" s="204"/>
      <c r="OBW35" s="204"/>
      <c r="OBX35" s="204"/>
      <c r="OBY35" s="204"/>
      <c r="OBZ35" s="204"/>
      <c r="OCA35" s="204"/>
      <c r="OCB35" s="204"/>
      <c r="OCC35" s="204"/>
      <c r="OCD35" s="204"/>
      <c r="OCE35" s="204"/>
      <c r="OCF35" s="204"/>
      <c r="OCG35" s="204"/>
      <c r="OCH35" s="204"/>
      <c r="OCI35" s="204"/>
      <c r="OCJ35" s="204"/>
      <c r="OCK35" s="204"/>
      <c r="OCL35" s="204"/>
      <c r="OCM35" s="204"/>
      <c r="OCN35" s="204"/>
      <c r="OCO35" s="204"/>
      <c r="OCP35" s="204"/>
      <c r="OCQ35" s="204"/>
      <c r="OCR35" s="204"/>
      <c r="OCS35" s="204"/>
      <c r="OCT35" s="204"/>
      <c r="OCU35" s="204"/>
      <c r="OCV35" s="204"/>
      <c r="OCW35" s="204"/>
      <c r="OCX35" s="204"/>
      <c r="OCY35" s="204"/>
      <c r="OCZ35" s="204"/>
      <c r="ODA35" s="204"/>
      <c r="ODB35" s="204"/>
      <c r="ODC35" s="204"/>
      <c r="ODD35" s="204"/>
      <c r="ODE35" s="204"/>
      <c r="ODF35" s="204"/>
      <c r="ODG35" s="204"/>
      <c r="ODH35" s="204"/>
      <c r="ODI35" s="204"/>
      <c r="ODJ35" s="204"/>
      <c r="ODK35" s="204"/>
      <c r="ODL35" s="204"/>
      <c r="ODM35" s="204"/>
      <c r="ODN35" s="204"/>
      <c r="ODO35" s="204"/>
      <c r="ODP35" s="204"/>
      <c r="ODQ35" s="204"/>
      <c r="ODR35" s="204"/>
      <c r="ODS35" s="204"/>
      <c r="ODT35" s="204"/>
      <c r="ODU35" s="204"/>
      <c r="ODV35" s="204"/>
      <c r="ODW35" s="204"/>
      <c r="ODX35" s="204"/>
      <c r="ODY35" s="204"/>
      <c r="ODZ35" s="204"/>
      <c r="OEA35" s="204"/>
      <c r="OEB35" s="204"/>
      <c r="OEC35" s="204"/>
      <c r="OED35" s="204"/>
      <c r="OEE35" s="204"/>
      <c r="OEF35" s="204"/>
      <c r="OEG35" s="204"/>
      <c r="OEH35" s="204"/>
      <c r="OEI35" s="204"/>
      <c r="OEJ35" s="204"/>
      <c r="OEK35" s="204"/>
      <c r="OEL35" s="204"/>
      <c r="OEM35" s="204"/>
      <c r="OEN35" s="204"/>
      <c r="OEO35" s="204"/>
      <c r="OEP35" s="204"/>
      <c r="OEQ35" s="204"/>
      <c r="OER35" s="204"/>
      <c r="OES35" s="204"/>
      <c r="OET35" s="204"/>
      <c r="OEU35" s="204"/>
      <c r="OEV35" s="204"/>
      <c r="OEW35" s="204"/>
      <c r="OEX35" s="204"/>
      <c r="OEY35" s="204"/>
      <c r="OEZ35" s="204"/>
      <c r="OFA35" s="204"/>
      <c r="OFB35" s="204"/>
      <c r="OFC35" s="204"/>
      <c r="OFD35" s="204"/>
      <c r="OFE35" s="204"/>
      <c r="OFF35" s="204"/>
      <c r="OFG35" s="204"/>
      <c r="OFH35" s="204"/>
      <c r="OFI35" s="204"/>
      <c r="OFJ35" s="204"/>
      <c r="OFK35" s="204"/>
      <c r="OFL35" s="204"/>
      <c r="OFM35" s="204"/>
      <c r="OFN35" s="204"/>
      <c r="OFO35" s="204"/>
      <c r="OFP35" s="204"/>
      <c r="OFQ35" s="204"/>
      <c r="OFR35" s="204"/>
      <c r="OFS35" s="204"/>
      <c r="OFT35" s="204"/>
      <c r="OFU35" s="204"/>
      <c r="OFV35" s="204"/>
      <c r="OFW35" s="204"/>
      <c r="OFX35" s="204"/>
      <c r="OFY35" s="204"/>
      <c r="OFZ35" s="204"/>
      <c r="OGA35" s="204"/>
      <c r="OGB35" s="204"/>
      <c r="OGC35" s="204"/>
      <c r="OGD35" s="204"/>
      <c r="OGE35" s="204"/>
      <c r="OGF35" s="204"/>
      <c r="OGG35" s="204"/>
      <c r="OGH35" s="204"/>
      <c r="OGI35" s="204"/>
      <c r="OGJ35" s="204"/>
      <c r="OGK35" s="204"/>
      <c r="OGL35" s="204"/>
      <c r="OGM35" s="204"/>
      <c r="OGN35" s="204"/>
      <c r="OGO35" s="204"/>
      <c r="OGP35" s="204"/>
      <c r="OGQ35" s="204"/>
      <c r="OGR35" s="204"/>
      <c r="OGS35" s="204"/>
      <c r="OGT35" s="204"/>
      <c r="OGU35" s="204"/>
      <c r="OGV35" s="204"/>
      <c r="OGW35" s="204"/>
      <c r="OGX35" s="204"/>
      <c r="OGY35" s="204"/>
      <c r="OGZ35" s="204"/>
      <c r="OHA35" s="204"/>
      <c r="OHB35" s="204"/>
      <c r="OHC35" s="204"/>
      <c r="OHD35" s="204"/>
      <c r="OHE35" s="204"/>
      <c r="OHF35" s="204"/>
      <c r="OHG35" s="204"/>
      <c r="OHH35" s="204"/>
      <c r="OHI35" s="204"/>
      <c r="OHJ35" s="204"/>
      <c r="OHK35" s="204"/>
      <c r="OHL35" s="204"/>
      <c r="OHM35" s="204"/>
      <c r="OHN35" s="204"/>
      <c r="OHO35" s="204"/>
      <c r="OHP35" s="204"/>
      <c r="OHQ35" s="204"/>
      <c r="OHR35" s="204"/>
      <c r="OHS35" s="204"/>
      <c r="OHT35" s="204"/>
      <c r="OHU35" s="204"/>
      <c r="OHV35" s="204"/>
      <c r="OHW35" s="204"/>
      <c r="OHX35" s="204"/>
      <c r="OHY35" s="204"/>
      <c r="OHZ35" s="204"/>
      <c r="OIA35" s="204"/>
      <c r="OIB35" s="204"/>
      <c r="OIC35" s="204"/>
      <c r="OID35" s="204"/>
      <c r="OIE35" s="204"/>
      <c r="OIF35" s="204"/>
      <c r="OIG35" s="204"/>
      <c r="OIH35" s="204"/>
      <c r="OII35" s="204"/>
      <c r="OIJ35" s="204"/>
      <c r="OIK35" s="204"/>
      <c r="OIL35" s="204"/>
      <c r="OIM35" s="204"/>
      <c r="OIN35" s="204"/>
      <c r="OIO35" s="204"/>
      <c r="OIP35" s="204"/>
      <c r="OIQ35" s="204"/>
      <c r="OIR35" s="204"/>
      <c r="OIS35" s="204"/>
      <c r="OIT35" s="204"/>
      <c r="OIU35" s="204"/>
      <c r="OIV35" s="204"/>
      <c r="OIW35" s="204"/>
      <c r="OIX35" s="204"/>
      <c r="OIY35" s="204"/>
      <c r="OIZ35" s="204"/>
      <c r="OJA35" s="204"/>
      <c r="OJB35" s="204"/>
      <c r="OJC35" s="204"/>
      <c r="OJD35" s="204"/>
      <c r="OJE35" s="204"/>
      <c r="OJF35" s="204"/>
      <c r="OJG35" s="204"/>
      <c r="OJH35" s="204"/>
      <c r="OJI35" s="204"/>
      <c r="OJJ35" s="204"/>
      <c r="OJK35" s="204"/>
      <c r="OJL35" s="204"/>
      <c r="OJM35" s="204"/>
      <c r="OJN35" s="204"/>
      <c r="OJO35" s="204"/>
      <c r="OJP35" s="204"/>
      <c r="OJQ35" s="204"/>
      <c r="OJR35" s="204"/>
      <c r="OJS35" s="204"/>
      <c r="OJT35" s="204"/>
      <c r="OJU35" s="204"/>
      <c r="OJV35" s="204"/>
      <c r="OJW35" s="204"/>
      <c r="OJX35" s="204"/>
      <c r="OJY35" s="204"/>
      <c r="OJZ35" s="204"/>
      <c r="OKA35" s="204"/>
      <c r="OKB35" s="204"/>
      <c r="OKC35" s="204"/>
      <c r="OKD35" s="204"/>
      <c r="OKE35" s="204"/>
      <c r="OKF35" s="204"/>
      <c r="OKG35" s="204"/>
      <c r="OKH35" s="204"/>
      <c r="OKI35" s="204"/>
      <c r="OKJ35" s="204"/>
      <c r="OKK35" s="204"/>
      <c r="OKL35" s="204"/>
      <c r="OKM35" s="204"/>
      <c r="OKN35" s="204"/>
      <c r="OKO35" s="204"/>
      <c r="OKP35" s="204"/>
      <c r="OKQ35" s="204"/>
      <c r="OKR35" s="204"/>
      <c r="OKS35" s="204"/>
      <c r="OKT35" s="204"/>
      <c r="OKU35" s="204"/>
      <c r="OKV35" s="204"/>
      <c r="OKW35" s="204"/>
      <c r="OKX35" s="204"/>
      <c r="OKY35" s="204"/>
      <c r="OKZ35" s="204"/>
      <c r="OLA35" s="204"/>
      <c r="OLB35" s="204"/>
      <c r="OLC35" s="204"/>
      <c r="OLD35" s="204"/>
      <c r="OLE35" s="204"/>
      <c r="OLF35" s="204"/>
      <c r="OLG35" s="204"/>
      <c r="OLH35" s="204"/>
      <c r="OLI35" s="204"/>
      <c r="OLJ35" s="204"/>
      <c r="OLK35" s="204"/>
      <c r="OLL35" s="204"/>
      <c r="OLM35" s="204"/>
      <c r="OLN35" s="204"/>
      <c r="OLO35" s="204"/>
      <c r="OLP35" s="204"/>
      <c r="OLQ35" s="204"/>
      <c r="OLR35" s="204"/>
      <c r="OLS35" s="204"/>
      <c r="OLT35" s="204"/>
      <c r="OLU35" s="204"/>
      <c r="OLV35" s="204"/>
      <c r="OLW35" s="204"/>
      <c r="OLX35" s="204"/>
      <c r="OLY35" s="204"/>
      <c r="OLZ35" s="204"/>
      <c r="OMA35" s="204"/>
      <c r="OMB35" s="204"/>
      <c r="OMC35" s="204"/>
      <c r="OMD35" s="204"/>
      <c r="OME35" s="204"/>
      <c r="OMF35" s="204"/>
      <c r="OMG35" s="204"/>
      <c r="OMH35" s="204"/>
      <c r="OMI35" s="204"/>
      <c r="OMJ35" s="204"/>
      <c r="OMK35" s="204"/>
      <c r="OML35" s="204"/>
      <c r="OMM35" s="204"/>
      <c r="OMN35" s="204"/>
      <c r="OMO35" s="204"/>
      <c r="OMP35" s="204"/>
      <c r="OMQ35" s="204"/>
      <c r="OMR35" s="204"/>
      <c r="OMS35" s="204"/>
      <c r="OMT35" s="204"/>
      <c r="OMU35" s="204"/>
      <c r="OMV35" s="204"/>
      <c r="OMW35" s="204"/>
      <c r="OMX35" s="204"/>
      <c r="OMY35" s="204"/>
      <c r="OMZ35" s="204"/>
      <c r="ONA35" s="204"/>
      <c r="ONB35" s="204"/>
      <c r="ONC35" s="204"/>
      <c r="OND35" s="204"/>
      <c r="ONE35" s="204"/>
      <c r="ONF35" s="204"/>
      <c r="ONG35" s="204"/>
      <c r="ONH35" s="204"/>
      <c r="ONI35" s="204"/>
      <c r="ONJ35" s="204"/>
      <c r="ONK35" s="204"/>
      <c r="ONL35" s="204"/>
      <c r="ONM35" s="204"/>
      <c r="ONN35" s="204"/>
      <c r="ONO35" s="204"/>
      <c r="ONP35" s="204"/>
      <c r="ONQ35" s="204"/>
      <c r="ONR35" s="204"/>
      <c r="ONS35" s="204"/>
      <c r="ONT35" s="204"/>
      <c r="ONU35" s="204"/>
      <c r="ONV35" s="204"/>
      <c r="ONW35" s="204"/>
      <c r="ONX35" s="204"/>
      <c r="ONY35" s="204"/>
      <c r="ONZ35" s="204"/>
      <c r="OOA35" s="204"/>
      <c r="OOB35" s="204"/>
      <c r="OOC35" s="204"/>
      <c r="OOD35" s="204"/>
      <c r="OOE35" s="204"/>
      <c r="OOF35" s="204"/>
      <c r="OOG35" s="204"/>
      <c r="OOH35" s="204"/>
      <c r="OOI35" s="204"/>
      <c r="OOJ35" s="204"/>
      <c r="OOK35" s="204"/>
      <c r="OOL35" s="204"/>
      <c r="OOM35" s="204"/>
      <c r="OON35" s="204"/>
      <c r="OOO35" s="204"/>
      <c r="OOP35" s="204"/>
      <c r="OOQ35" s="204"/>
      <c r="OOR35" s="204"/>
      <c r="OOS35" s="204"/>
      <c r="OOT35" s="204"/>
      <c r="OOU35" s="204"/>
      <c r="OOV35" s="204"/>
      <c r="OOW35" s="204"/>
      <c r="OOX35" s="204"/>
      <c r="OOY35" s="204"/>
      <c r="OOZ35" s="204"/>
      <c r="OPA35" s="204"/>
      <c r="OPB35" s="204"/>
      <c r="OPC35" s="204"/>
      <c r="OPD35" s="204"/>
      <c r="OPE35" s="204"/>
      <c r="OPF35" s="204"/>
      <c r="OPG35" s="204"/>
      <c r="OPH35" s="204"/>
      <c r="OPI35" s="204"/>
      <c r="OPJ35" s="204"/>
      <c r="OPK35" s="204"/>
      <c r="OPL35" s="204"/>
      <c r="OPM35" s="204"/>
      <c r="OPN35" s="204"/>
      <c r="OPO35" s="204"/>
      <c r="OPP35" s="204"/>
      <c r="OPQ35" s="204"/>
      <c r="OPR35" s="204"/>
      <c r="OPS35" s="204"/>
      <c r="OPT35" s="204"/>
      <c r="OPU35" s="204"/>
      <c r="OPV35" s="204"/>
      <c r="OPW35" s="204"/>
      <c r="OPX35" s="204"/>
      <c r="OPY35" s="204"/>
      <c r="OPZ35" s="204"/>
      <c r="OQA35" s="204"/>
      <c r="OQB35" s="204"/>
      <c r="OQC35" s="204"/>
      <c r="OQD35" s="204"/>
      <c r="OQE35" s="204"/>
      <c r="OQF35" s="204"/>
      <c r="OQG35" s="204"/>
      <c r="OQH35" s="204"/>
      <c r="OQI35" s="204"/>
      <c r="OQJ35" s="204"/>
      <c r="OQK35" s="204"/>
      <c r="OQL35" s="204"/>
      <c r="OQM35" s="204"/>
      <c r="OQN35" s="204"/>
      <c r="OQO35" s="204"/>
      <c r="OQP35" s="204"/>
      <c r="OQQ35" s="204"/>
      <c r="OQR35" s="204"/>
      <c r="OQS35" s="204"/>
      <c r="OQT35" s="204"/>
      <c r="OQU35" s="204"/>
      <c r="OQV35" s="204"/>
      <c r="OQW35" s="204"/>
      <c r="OQX35" s="204"/>
      <c r="OQY35" s="204"/>
      <c r="OQZ35" s="204"/>
      <c r="ORA35" s="204"/>
      <c r="ORB35" s="204"/>
      <c r="ORC35" s="204"/>
      <c r="ORD35" s="204"/>
      <c r="ORE35" s="204"/>
      <c r="ORF35" s="204"/>
      <c r="ORG35" s="204"/>
      <c r="ORH35" s="204"/>
      <c r="ORI35" s="204"/>
      <c r="ORJ35" s="204"/>
      <c r="ORK35" s="204"/>
      <c r="ORL35" s="204"/>
      <c r="ORM35" s="204"/>
      <c r="ORN35" s="204"/>
      <c r="ORO35" s="204"/>
      <c r="ORP35" s="204"/>
      <c r="ORQ35" s="204"/>
      <c r="ORR35" s="204"/>
      <c r="ORS35" s="204"/>
      <c r="ORT35" s="204"/>
      <c r="ORU35" s="204"/>
      <c r="ORV35" s="204"/>
      <c r="ORW35" s="204"/>
      <c r="ORX35" s="204"/>
      <c r="ORY35" s="204"/>
      <c r="ORZ35" s="204"/>
      <c r="OSA35" s="204"/>
      <c r="OSB35" s="204"/>
      <c r="OSC35" s="204"/>
      <c r="OSD35" s="204"/>
      <c r="OSE35" s="204"/>
      <c r="OSF35" s="204"/>
      <c r="OSG35" s="204"/>
      <c r="OSH35" s="204"/>
      <c r="OSI35" s="204"/>
      <c r="OSJ35" s="204"/>
      <c r="OSK35" s="204"/>
      <c r="OSL35" s="204"/>
      <c r="OSM35" s="204"/>
      <c r="OSN35" s="204"/>
      <c r="OSO35" s="204"/>
      <c r="OSP35" s="204"/>
      <c r="OSQ35" s="204"/>
      <c r="OSR35" s="204"/>
      <c r="OSS35" s="204"/>
      <c r="OST35" s="204"/>
      <c r="OSU35" s="204"/>
      <c r="OSV35" s="204"/>
      <c r="OSW35" s="204"/>
      <c r="OSX35" s="204"/>
      <c r="OSY35" s="204"/>
      <c r="OSZ35" s="204"/>
      <c r="OTA35" s="204"/>
      <c r="OTB35" s="204"/>
      <c r="OTC35" s="204"/>
      <c r="OTD35" s="204"/>
      <c r="OTE35" s="204"/>
      <c r="OTF35" s="204"/>
      <c r="OTG35" s="204"/>
      <c r="OTH35" s="204"/>
      <c r="OTI35" s="204"/>
      <c r="OTJ35" s="204"/>
      <c r="OTK35" s="204"/>
      <c r="OTL35" s="204"/>
      <c r="OTM35" s="204"/>
      <c r="OTN35" s="204"/>
      <c r="OTO35" s="204"/>
      <c r="OTP35" s="204"/>
      <c r="OTQ35" s="204"/>
      <c r="OTR35" s="204"/>
      <c r="OTS35" s="204"/>
      <c r="OTT35" s="204"/>
      <c r="OTU35" s="204"/>
      <c r="OTV35" s="204"/>
      <c r="OTW35" s="204"/>
      <c r="OTX35" s="204"/>
      <c r="OTY35" s="204"/>
      <c r="OTZ35" s="204"/>
      <c r="OUA35" s="204"/>
      <c r="OUB35" s="204"/>
      <c r="OUC35" s="204"/>
      <c r="OUD35" s="204"/>
      <c r="OUE35" s="204"/>
      <c r="OUF35" s="204"/>
      <c r="OUG35" s="204"/>
      <c r="OUH35" s="204"/>
      <c r="OUI35" s="204"/>
      <c r="OUJ35" s="204"/>
      <c r="OUK35" s="204"/>
      <c r="OUL35" s="204"/>
      <c r="OUM35" s="204"/>
      <c r="OUN35" s="204"/>
      <c r="OUO35" s="204"/>
      <c r="OUP35" s="204"/>
      <c r="OUQ35" s="204"/>
      <c r="OUR35" s="204"/>
      <c r="OUS35" s="204"/>
      <c r="OUT35" s="204"/>
      <c r="OUU35" s="204"/>
      <c r="OUV35" s="204"/>
      <c r="OUW35" s="204"/>
      <c r="OUX35" s="204"/>
      <c r="OUY35" s="204"/>
      <c r="OUZ35" s="204"/>
      <c r="OVA35" s="204"/>
      <c r="OVB35" s="204"/>
      <c r="OVC35" s="204"/>
      <c r="OVD35" s="204"/>
      <c r="OVE35" s="204"/>
      <c r="OVF35" s="204"/>
      <c r="OVG35" s="204"/>
      <c r="OVH35" s="204"/>
      <c r="OVI35" s="204"/>
      <c r="OVJ35" s="204"/>
      <c r="OVK35" s="204"/>
      <c r="OVL35" s="204"/>
      <c r="OVM35" s="204"/>
      <c r="OVN35" s="204"/>
      <c r="OVO35" s="204"/>
      <c r="OVP35" s="204"/>
      <c r="OVQ35" s="204"/>
      <c r="OVR35" s="204"/>
      <c r="OVS35" s="204"/>
      <c r="OVT35" s="204"/>
      <c r="OVU35" s="204"/>
      <c r="OVV35" s="204"/>
      <c r="OVW35" s="204"/>
      <c r="OVX35" s="204"/>
      <c r="OVY35" s="204"/>
      <c r="OVZ35" s="204"/>
      <c r="OWA35" s="204"/>
      <c r="OWB35" s="204"/>
      <c r="OWC35" s="204"/>
      <c r="OWD35" s="204"/>
      <c r="OWE35" s="204"/>
      <c r="OWF35" s="204"/>
      <c r="OWG35" s="204"/>
      <c r="OWH35" s="204"/>
      <c r="OWI35" s="204"/>
      <c r="OWJ35" s="204"/>
      <c r="OWK35" s="204"/>
      <c r="OWL35" s="204"/>
      <c r="OWM35" s="204"/>
      <c r="OWN35" s="204"/>
      <c r="OWO35" s="204"/>
      <c r="OWP35" s="204"/>
      <c r="OWQ35" s="204"/>
      <c r="OWR35" s="204"/>
      <c r="OWS35" s="204"/>
      <c r="OWT35" s="204"/>
      <c r="OWU35" s="204"/>
      <c r="OWV35" s="204"/>
      <c r="OWW35" s="204"/>
      <c r="OWX35" s="204"/>
      <c r="OWY35" s="204"/>
      <c r="OWZ35" s="204"/>
      <c r="OXA35" s="204"/>
      <c r="OXB35" s="204"/>
      <c r="OXC35" s="204"/>
      <c r="OXD35" s="204"/>
      <c r="OXE35" s="204"/>
      <c r="OXF35" s="204"/>
      <c r="OXG35" s="204"/>
      <c r="OXH35" s="204"/>
      <c r="OXI35" s="204"/>
      <c r="OXJ35" s="204"/>
      <c r="OXK35" s="204"/>
      <c r="OXL35" s="204"/>
      <c r="OXM35" s="204"/>
      <c r="OXN35" s="204"/>
      <c r="OXO35" s="204"/>
      <c r="OXP35" s="204"/>
      <c r="OXQ35" s="204"/>
      <c r="OXR35" s="204"/>
      <c r="OXS35" s="204"/>
      <c r="OXT35" s="204"/>
      <c r="OXU35" s="204"/>
      <c r="OXV35" s="204"/>
      <c r="OXW35" s="204"/>
      <c r="OXX35" s="204"/>
      <c r="OXY35" s="204"/>
      <c r="OXZ35" s="204"/>
      <c r="OYA35" s="204"/>
      <c r="OYB35" s="204"/>
      <c r="OYC35" s="204"/>
      <c r="OYD35" s="204"/>
      <c r="OYE35" s="204"/>
      <c r="OYF35" s="204"/>
      <c r="OYG35" s="204"/>
      <c r="OYH35" s="204"/>
      <c r="OYI35" s="204"/>
      <c r="OYJ35" s="204"/>
      <c r="OYK35" s="204"/>
      <c r="OYL35" s="204"/>
      <c r="OYM35" s="204"/>
      <c r="OYN35" s="204"/>
      <c r="OYO35" s="204"/>
      <c r="OYP35" s="204"/>
      <c r="OYQ35" s="204"/>
      <c r="OYR35" s="204"/>
      <c r="OYS35" s="204"/>
      <c r="OYT35" s="204"/>
      <c r="OYU35" s="204"/>
      <c r="OYV35" s="204"/>
      <c r="OYW35" s="204"/>
      <c r="OYX35" s="204"/>
      <c r="OYY35" s="204"/>
      <c r="OYZ35" s="204"/>
      <c r="OZA35" s="204"/>
      <c r="OZB35" s="204"/>
      <c r="OZC35" s="204"/>
      <c r="OZD35" s="204"/>
      <c r="OZE35" s="204"/>
      <c r="OZF35" s="204"/>
      <c r="OZG35" s="204"/>
      <c r="OZH35" s="204"/>
      <c r="OZI35" s="204"/>
      <c r="OZJ35" s="204"/>
      <c r="OZK35" s="204"/>
      <c r="OZL35" s="204"/>
      <c r="OZM35" s="204"/>
      <c r="OZN35" s="204"/>
      <c r="OZO35" s="204"/>
      <c r="OZP35" s="204"/>
      <c r="OZQ35" s="204"/>
      <c r="OZR35" s="204"/>
      <c r="OZS35" s="204"/>
      <c r="OZT35" s="204"/>
      <c r="OZU35" s="204"/>
      <c r="OZV35" s="204"/>
      <c r="OZW35" s="204"/>
      <c r="OZX35" s="204"/>
      <c r="OZY35" s="204"/>
      <c r="OZZ35" s="204"/>
      <c r="PAA35" s="204"/>
      <c r="PAB35" s="204"/>
      <c r="PAC35" s="204"/>
      <c r="PAD35" s="204"/>
      <c r="PAE35" s="204"/>
      <c r="PAF35" s="204"/>
      <c r="PAG35" s="204"/>
      <c r="PAH35" s="204"/>
      <c r="PAI35" s="204"/>
      <c r="PAJ35" s="204"/>
      <c r="PAK35" s="204"/>
      <c r="PAL35" s="204"/>
      <c r="PAM35" s="204"/>
      <c r="PAN35" s="204"/>
      <c r="PAO35" s="204"/>
      <c r="PAP35" s="204"/>
      <c r="PAQ35" s="204"/>
      <c r="PAR35" s="204"/>
      <c r="PAS35" s="204"/>
      <c r="PAT35" s="204"/>
      <c r="PAU35" s="204"/>
      <c r="PAV35" s="204"/>
      <c r="PAW35" s="204"/>
      <c r="PAX35" s="204"/>
      <c r="PAY35" s="204"/>
      <c r="PAZ35" s="204"/>
      <c r="PBA35" s="204"/>
      <c r="PBB35" s="204"/>
      <c r="PBC35" s="204"/>
      <c r="PBD35" s="204"/>
      <c r="PBE35" s="204"/>
      <c r="PBF35" s="204"/>
      <c r="PBG35" s="204"/>
      <c r="PBH35" s="204"/>
      <c r="PBI35" s="204"/>
      <c r="PBJ35" s="204"/>
      <c r="PBK35" s="204"/>
      <c r="PBL35" s="204"/>
      <c r="PBM35" s="204"/>
      <c r="PBN35" s="204"/>
      <c r="PBO35" s="204"/>
      <c r="PBP35" s="204"/>
      <c r="PBQ35" s="204"/>
      <c r="PBR35" s="204"/>
      <c r="PBS35" s="204"/>
      <c r="PBT35" s="204"/>
      <c r="PBU35" s="204"/>
      <c r="PBV35" s="204"/>
      <c r="PBW35" s="204"/>
      <c r="PBX35" s="204"/>
      <c r="PBY35" s="204"/>
      <c r="PBZ35" s="204"/>
      <c r="PCA35" s="204"/>
      <c r="PCB35" s="204"/>
      <c r="PCC35" s="204"/>
      <c r="PCD35" s="204"/>
      <c r="PCE35" s="204"/>
      <c r="PCF35" s="204"/>
      <c r="PCG35" s="204"/>
      <c r="PCH35" s="204"/>
      <c r="PCI35" s="204"/>
      <c r="PCJ35" s="204"/>
      <c r="PCK35" s="204"/>
      <c r="PCL35" s="204"/>
      <c r="PCM35" s="204"/>
      <c r="PCN35" s="204"/>
      <c r="PCO35" s="204"/>
      <c r="PCP35" s="204"/>
      <c r="PCQ35" s="204"/>
      <c r="PCR35" s="204"/>
      <c r="PCS35" s="204"/>
      <c r="PCT35" s="204"/>
      <c r="PCU35" s="204"/>
      <c r="PCV35" s="204"/>
      <c r="PCW35" s="204"/>
      <c r="PCX35" s="204"/>
      <c r="PCY35" s="204"/>
      <c r="PCZ35" s="204"/>
      <c r="PDA35" s="204"/>
      <c r="PDB35" s="204"/>
      <c r="PDC35" s="204"/>
      <c r="PDD35" s="204"/>
      <c r="PDE35" s="204"/>
      <c r="PDF35" s="204"/>
      <c r="PDG35" s="204"/>
      <c r="PDH35" s="204"/>
      <c r="PDI35" s="204"/>
      <c r="PDJ35" s="204"/>
      <c r="PDK35" s="204"/>
      <c r="PDL35" s="204"/>
      <c r="PDM35" s="204"/>
      <c r="PDN35" s="204"/>
      <c r="PDO35" s="204"/>
      <c r="PDP35" s="204"/>
      <c r="PDQ35" s="204"/>
      <c r="PDR35" s="204"/>
      <c r="PDS35" s="204"/>
      <c r="PDT35" s="204"/>
      <c r="PDU35" s="204"/>
      <c r="PDV35" s="204"/>
      <c r="PDW35" s="204"/>
      <c r="PDX35" s="204"/>
      <c r="PDY35" s="204"/>
      <c r="PDZ35" s="204"/>
      <c r="PEA35" s="204"/>
      <c r="PEB35" s="204"/>
      <c r="PEC35" s="204"/>
      <c r="PED35" s="204"/>
      <c r="PEE35" s="204"/>
      <c r="PEF35" s="204"/>
      <c r="PEG35" s="204"/>
      <c r="PEH35" s="204"/>
      <c r="PEI35" s="204"/>
      <c r="PEJ35" s="204"/>
      <c r="PEK35" s="204"/>
      <c r="PEL35" s="204"/>
      <c r="PEM35" s="204"/>
      <c r="PEN35" s="204"/>
      <c r="PEO35" s="204"/>
      <c r="PEP35" s="204"/>
      <c r="PEQ35" s="204"/>
      <c r="PER35" s="204"/>
      <c r="PES35" s="204"/>
      <c r="PET35" s="204"/>
      <c r="PEU35" s="204"/>
      <c r="PEV35" s="204"/>
      <c r="PEW35" s="204"/>
      <c r="PEX35" s="204"/>
      <c r="PEY35" s="204"/>
      <c r="PEZ35" s="204"/>
      <c r="PFA35" s="204"/>
      <c r="PFB35" s="204"/>
      <c r="PFC35" s="204"/>
      <c r="PFD35" s="204"/>
      <c r="PFE35" s="204"/>
      <c r="PFF35" s="204"/>
      <c r="PFG35" s="204"/>
      <c r="PFH35" s="204"/>
      <c r="PFI35" s="204"/>
      <c r="PFJ35" s="204"/>
      <c r="PFK35" s="204"/>
      <c r="PFL35" s="204"/>
      <c r="PFM35" s="204"/>
      <c r="PFN35" s="204"/>
      <c r="PFO35" s="204"/>
      <c r="PFP35" s="204"/>
      <c r="PFQ35" s="204"/>
      <c r="PFR35" s="204"/>
      <c r="PFS35" s="204"/>
      <c r="PFT35" s="204"/>
      <c r="PFU35" s="204"/>
      <c r="PFV35" s="204"/>
      <c r="PFW35" s="204"/>
      <c r="PFX35" s="204"/>
      <c r="PFY35" s="204"/>
      <c r="PFZ35" s="204"/>
      <c r="PGA35" s="204"/>
      <c r="PGB35" s="204"/>
      <c r="PGC35" s="204"/>
      <c r="PGD35" s="204"/>
      <c r="PGE35" s="204"/>
      <c r="PGF35" s="204"/>
      <c r="PGG35" s="204"/>
      <c r="PGH35" s="204"/>
      <c r="PGI35" s="204"/>
      <c r="PGJ35" s="204"/>
      <c r="PGK35" s="204"/>
      <c r="PGL35" s="204"/>
      <c r="PGM35" s="204"/>
      <c r="PGN35" s="204"/>
      <c r="PGO35" s="204"/>
      <c r="PGP35" s="204"/>
      <c r="PGQ35" s="204"/>
      <c r="PGR35" s="204"/>
      <c r="PGS35" s="204"/>
      <c r="PGT35" s="204"/>
      <c r="PGU35" s="204"/>
      <c r="PGV35" s="204"/>
      <c r="PGW35" s="204"/>
      <c r="PGX35" s="204"/>
      <c r="PGY35" s="204"/>
      <c r="PGZ35" s="204"/>
      <c r="PHA35" s="204"/>
      <c r="PHB35" s="204"/>
      <c r="PHC35" s="204"/>
      <c r="PHD35" s="204"/>
      <c r="PHE35" s="204"/>
      <c r="PHF35" s="204"/>
      <c r="PHG35" s="204"/>
      <c r="PHH35" s="204"/>
      <c r="PHI35" s="204"/>
      <c r="PHJ35" s="204"/>
      <c r="PHK35" s="204"/>
      <c r="PHL35" s="204"/>
      <c r="PHM35" s="204"/>
      <c r="PHN35" s="204"/>
      <c r="PHO35" s="204"/>
      <c r="PHP35" s="204"/>
      <c r="PHQ35" s="204"/>
      <c r="PHR35" s="204"/>
      <c r="PHS35" s="204"/>
      <c r="PHT35" s="204"/>
      <c r="PHU35" s="204"/>
      <c r="PHV35" s="204"/>
      <c r="PHW35" s="204"/>
      <c r="PHX35" s="204"/>
      <c r="PHY35" s="204"/>
      <c r="PHZ35" s="204"/>
      <c r="PIA35" s="204"/>
      <c r="PIB35" s="204"/>
      <c r="PIC35" s="204"/>
      <c r="PID35" s="204"/>
      <c r="PIE35" s="204"/>
      <c r="PIF35" s="204"/>
      <c r="PIG35" s="204"/>
      <c r="PIH35" s="204"/>
      <c r="PII35" s="204"/>
      <c r="PIJ35" s="204"/>
      <c r="PIK35" s="204"/>
      <c r="PIL35" s="204"/>
      <c r="PIM35" s="204"/>
      <c r="PIN35" s="204"/>
      <c r="PIO35" s="204"/>
      <c r="PIP35" s="204"/>
      <c r="PIQ35" s="204"/>
      <c r="PIR35" s="204"/>
      <c r="PIS35" s="204"/>
      <c r="PIT35" s="204"/>
      <c r="PIU35" s="204"/>
      <c r="PIV35" s="204"/>
      <c r="PIW35" s="204"/>
      <c r="PIX35" s="204"/>
      <c r="PIY35" s="204"/>
      <c r="PIZ35" s="204"/>
      <c r="PJA35" s="204"/>
      <c r="PJB35" s="204"/>
      <c r="PJC35" s="204"/>
      <c r="PJD35" s="204"/>
      <c r="PJE35" s="204"/>
      <c r="PJF35" s="204"/>
      <c r="PJG35" s="204"/>
      <c r="PJH35" s="204"/>
      <c r="PJI35" s="204"/>
      <c r="PJJ35" s="204"/>
      <c r="PJK35" s="204"/>
      <c r="PJL35" s="204"/>
      <c r="PJM35" s="204"/>
      <c r="PJN35" s="204"/>
      <c r="PJO35" s="204"/>
      <c r="PJP35" s="204"/>
      <c r="PJQ35" s="204"/>
      <c r="PJR35" s="204"/>
      <c r="PJS35" s="204"/>
      <c r="PJT35" s="204"/>
      <c r="PJU35" s="204"/>
      <c r="PJV35" s="204"/>
      <c r="PJW35" s="204"/>
      <c r="PJX35" s="204"/>
      <c r="PJY35" s="204"/>
      <c r="PJZ35" s="204"/>
      <c r="PKA35" s="204"/>
      <c r="PKB35" s="204"/>
      <c r="PKC35" s="204"/>
      <c r="PKD35" s="204"/>
      <c r="PKE35" s="204"/>
      <c r="PKF35" s="204"/>
      <c r="PKG35" s="204"/>
      <c r="PKH35" s="204"/>
      <c r="PKI35" s="204"/>
      <c r="PKJ35" s="204"/>
      <c r="PKK35" s="204"/>
      <c r="PKL35" s="204"/>
      <c r="PKM35" s="204"/>
      <c r="PKN35" s="204"/>
      <c r="PKO35" s="204"/>
      <c r="PKP35" s="204"/>
      <c r="PKQ35" s="204"/>
      <c r="PKR35" s="204"/>
      <c r="PKS35" s="204"/>
      <c r="PKT35" s="204"/>
      <c r="PKU35" s="204"/>
      <c r="PKV35" s="204"/>
      <c r="PKW35" s="204"/>
      <c r="PKX35" s="204"/>
      <c r="PKY35" s="204"/>
      <c r="PKZ35" s="204"/>
      <c r="PLA35" s="204"/>
      <c r="PLB35" s="204"/>
      <c r="PLC35" s="204"/>
      <c r="PLD35" s="204"/>
      <c r="PLE35" s="204"/>
      <c r="PLF35" s="204"/>
      <c r="PLG35" s="204"/>
      <c r="PLH35" s="204"/>
      <c r="PLI35" s="204"/>
      <c r="PLJ35" s="204"/>
      <c r="PLK35" s="204"/>
      <c r="PLL35" s="204"/>
      <c r="PLM35" s="204"/>
      <c r="PLN35" s="204"/>
      <c r="PLO35" s="204"/>
      <c r="PLP35" s="204"/>
      <c r="PLQ35" s="204"/>
      <c r="PLR35" s="204"/>
      <c r="PLS35" s="204"/>
      <c r="PLT35" s="204"/>
      <c r="PLU35" s="204"/>
      <c r="PLV35" s="204"/>
      <c r="PLW35" s="204"/>
      <c r="PLX35" s="204"/>
      <c r="PLY35" s="204"/>
      <c r="PLZ35" s="204"/>
      <c r="PMA35" s="204"/>
      <c r="PMB35" s="204"/>
      <c r="PMC35" s="204"/>
      <c r="PMD35" s="204"/>
      <c r="PME35" s="204"/>
      <c r="PMF35" s="204"/>
      <c r="PMG35" s="204"/>
      <c r="PMH35" s="204"/>
      <c r="PMI35" s="204"/>
      <c r="PMJ35" s="204"/>
      <c r="PMK35" s="204"/>
      <c r="PML35" s="204"/>
      <c r="PMM35" s="204"/>
      <c r="PMN35" s="204"/>
      <c r="PMO35" s="204"/>
      <c r="PMP35" s="204"/>
      <c r="PMQ35" s="204"/>
      <c r="PMR35" s="204"/>
      <c r="PMS35" s="204"/>
      <c r="PMT35" s="204"/>
      <c r="PMU35" s="204"/>
      <c r="PMV35" s="204"/>
      <c r="PMW35" s="204"/>
      <c r="PMX35" s="204"/>
      <c r="PMY35" s="204"/>
      <c r="PMZ35" s="204"/>
      <c r="PNA35" s="204"/>
      <c r="PNB35" s="204"/>
      <c r="PNC35" s="204"/>
      <c r="PND35" s="204"/>
      <c r="PNE35" s="204"/>
      <c r="PNF35" s="204"/>
      <c r="PNG35" s="204"/>
      <c r="PNH35" s="204"/>
      <c r="PNI35" s="204"/>
      <c r="PNJ35" s="204"/>
      <c r="PNK35" s="204"/>
      <c r="PNL35" s="204"/>
      <c r="PNM35" s="204"/>
      <c r="PNN35" s="204"/>
      <c r="PNO35" s="204"/>
      <c r="PNP35" s="204"/>
      <c r="PNQ35" s="204"/>
      <c r="PNR35" s="204"/>
      <c r="PNS35" s="204"/>
      <c r="PNT35" s="204"/>
      <c r="PNU35" s="204"/>
      <c r="PNV35" s="204"/>
      <c r="PNW35" s="204"/>
      <c r="PNX35" s="204"/>
      <c r="PNY35" s="204"/>
      <c r="PNZ35" s="204"/>
      <c r="POA35" s="204"/>
      <c r="POB35" s="204"/>
      <c r="POC35" s="204"/>
      <c r="POD35" s="204"/>
      <c r="POE35" s="204"/>
      <c r="POF35" s="204"/>
      <c r="POG35" s="204"/>
      <c r="POH35" s="204"/>
      <c r="POI35" s="204"/>
      <c r="POJ35" s="204"/>
      <c r="POK35" s="204"/>
      <c r="POL35" s="204"/>
      <c r="POM35" s="204"/>
      <c r="PON35" s="204"/>
      <c r="POO35" s="204"/>
      <c r="POP35" s="204"/>
      <c r="POQ35" s="204"/>
      <c r="POR35" s="204"/>
      <c r="POS35" s="204"/>
      <c r="POT35" s="204"/>
      <c r="POU35" s="204"/>
      <c r="POV35" s="204"/>
      <c r="POW35" s="204"/>
      <c r="POX35" s="204"/>
      <c r="POY35" s="204"/>
      <c r="POZ35" s="204"/>
      <c r="PPA35" s="204"/>
      <c r="PPB35" s="204"/>
      <c r="PPC35" s="204"/>
      <c r="PPD35" s="204"/>
      <c r="PPE35" s="204"/>
      <c r="PPF35" s="204"/>
      <c r="PPG35" s="204"/>
      <c r="PPH35" s="204"/>
      <c r="PPI35" s="204"/>
      <c r="PPJ35" s="204"/>
      <c r="PPK35" s="204"/>
      <c r="PPL35" s="204"/>
      <c r="PPM35" s="204"/>
      <c r="PPN35" s="204"/>
      <c r="PPO35" s="204"/>
      <c r="PPP35" s="204"/>
      <c r="PPQ35" s="204"/>
      <c r="PPR35" s="204"/>
      <c r="PPS35" s="204"/>
      <c r="PPT35" s="204"/>
      <c r="PPU35" s="204"/>
      <c r="PPV35" s="204"/>
      <c r="PPW35" s="204"/>
      <c r="PPX35" s="204"/>
      <c r="PPY35" s="204"/>
      <c r="PPZ35" s="204"/>
      <c r="PQA35" s="204"/>
      <c r="PQB35" s="204"/>
      <c r="PQC35" s="204"/>
      <c r="PQD35" s="204"/>
      <c r="PQE35" s="204"/>
      <c r="PQF35" s="204"/>
      <c r="PQG35" s="204"/>
      <c r="PQH35" s="204"/>
      <c r="PQI35" s="204"/>
      <c r="PQJ35" s="204"/>
      <c r="PQK35" s="204"/>
      <c r="PQL35" s="204"/>
      <c r="PQM35" s="204"/>
      <c r="PQN35" s="204"/>
      <c r="PQO35" s="204"/>
      <c r="PQP35" s="204"/>
      <c r="PQQ35" s="204"/>
      <c r="PQR35" s="204"/>
      <c r="PQS35" s="204"/>
      <c r="PQT35" s="204"/>
      <c r="PQU35" s="204"/>
      <c r="PQV35" s="204"/>
      <c r="PQW35" s="204"/>
      <c r="PQX35" s="204"/>
      <c r="PQY35" s="204"/>
      <c r="PQZ35" s="204"/>
      <c r="PRA35" s="204"/>
      <c r="PRB35" s="204"/>
      <c r="PRC35" s="204"/>
      <c r="PRD35" s="204"/>
      <c r="PRE35" s="204"/>
      <c r="PRF35" s="204"/>
      <c r="PRG35" s="204"/>
      <c r="PRH35" s="204"/>
      <c r="PRI35" s="204"/>
      <c r="PRJ35" s="204"/>
      <c r="PRK35" s="204"/>
      <c r="PRL35" s="204"/>
      <c r="PRM35" s="204"/>
      <c r="PRN35" s="204"/>
      <c r="PRO35" s="204"/>
      <c r="PRP35" s="204"/>
      <c r="PRQ35" s="204"/>
      <c r="PRR35" s="204"/>
      <c r="PRS35" s="204"/>
      <c r="PRT35" s="204"/>
      <c r="PRU35" s="204"/>
      <c r="PRV35" s="204"/>
      <c r="PRW35" s="204"/>
      <c r="PRX35" s="204"/>
      <c r="PRY35" s="204"/>
      <c r="PRZ35" s="204"/>
      <c r="PSA35" s="204"/>
      <c r="PSB35" s="204"/>
      <c r="PSC35" s="204"/>
      <c r="PSD35" s="204"/>
      <c r="PSE35" s="204"/>
      <c r="PSF35" s="204"/>
      <c r="PSG35" s="204"/>
      <c r="PSH35" s="204"/>
      <c r="PSI35" s="204"/>
      <c r="PSJ35" s="204"/>
      <c r="PSK35" s="204"/>
      <c r="PSL35" s="204"/>
      <c r="PSM35" s="204"/>
      <c r="PSN35" s="204"/>
      <c r="PSO35" s="204"/>
      <c r="PSP35" s="204"/>
      <c r="PSQ35" s="204"/>
      <c r="PSR35" s="204"/>
      <c r="PSS35" s="204"/>
      <c r="PST35" s="204"/>
      <c r="PSU35" s="204"/>
      <c r="PSV35" s="204"/>
      <c r="PSW35" s="204"/>
      <c r="PSX35" s="204"/>
      <c r="PSY35" s="204"/>
      <c r="PSZ35" s="204"/>
      <c r="PTA35" s="204"/>
      <c r="PTB35" s="204"/>
      <c r="PTC35" s="204"/>
      <c r="PTD35" s="204"/>
      <c r="PTE35" s="204"/>
      <c r="PTF35" s="204"/>
      <c r="PTG35" s="204"/>
      <c r="PTH35" s="204"/>
      <c r="PTI35" s="204"/>
      <c r="PTJ35" s="204"/>
      <c r="PTK35" s="204"/>
      <c r="PTL35" s="204"/>
      <c r="PTM35" s="204"/>
      <c r="PTN35" s="204"/>
      <c r="PTO35" s="204"/>
      <c r="PTP35" s="204"/>
      <c r="PTQ35" s="204"/>
      <c r="PTR35" s="204"/>
      <c r="PTS35" s="204"/>
      <c r="PTT35" s="204"/>
      <c r="PTU35" s="204"/>
      <c r="PTV35" s="204"/>
      <c r="PTW35" s="204"/>
      <c r="PTX35" s="204"/>
      <c r="PTY35" s="204"/>
      <c r="PTZ35" s="204"/>
      <c r="PUA35" s="204"/>
      <c r="PUB35" s="204"/>
      <c r="PUC35" s="204"/>
      <c r="PUD35" s="204"/>
      <c r="PUE35" s="204"/>
      <c r="PUF35" s="204"/>
      <c r="PUG35" s="204"/>
      <c r="PUH35" s="204"/>
      <c r="PUI35" s="204"/>
      <c r="PUJ35" s="204"/>
      <c r="PUK35" s="204"/>
      <c r="PUL35" s="204"/>
      <c r="PUM35" s="204"/>
      <c r="PUN35" s="204"/>
      <c r="PUO35" s="204"/>
      <c r="PUP35" s="204"/>
      <c r="PUQ35" s="204"/>
      <c r="PUR35" s="204"/>
      <c r="PUS35" s="204"/>
      <c r="PUT35" s="204"/>
      <c r="PUU35" s="204"/>
      <c r="PUV35" s="204"/>
      <c r="PUW35" s="204"/>
      <c r="PUX35" s="204"/>
      <c r="PUY35" s="204"/>
      <c r="PUZ35" s="204"/>
      <c r="PVA35" s="204"/>
      <c r="PVB35" s="204"/>
      <c r="PVC35" s="204"/>
      <c r="PVD35" s="204"/>
      <c r="PVE35" s="204"/>
      <c r="PVF35" s="204"/>
      <c r="PVG35" s="204"/>
      <c r="PVH35" s="204"/>
      <c r="PVI35" s="204"/>
      <c r="PVJ35" s="204"/>
      <c r="PVK35" s="204"/>
      <c r="PVL35" s="204"/>
      <c r="PVM35" s="204"/>
      <c r="PVN35" s="204"/>
      <c r="PVO35" s="204"/>
      <c r="PVP35" s="204"/>
      <c r="PVQ35" s="204"/>
      <c r="PVR35" s="204"/>
      <c r="PVS35" s="204"/>
      <c r="PVT35" s="204"/>
      <c r="PVU35" s="204"/>
      <c r="PVV35" s="204"/>
      <c r="PVW35" s="204"/>
      <c r="PVX35" s="204"/>
      <c r="PVY35" s="204"/>
      <c r="PVZ35" s="204"/>
      <c r="PWA35" s="204"/>
      <c r="PWB35" s="204"/>
      <c r="PWC35" s="204"/>
      <c r="PWD35" s="204"/>
      <c r="PWE35" s="204"/>
      <c r="PWF35" s="204"/>
      <c r="PWG35" s="204"/>
      <c r="PWH35" s="204"/>
      <c r="PWI35" s="204"/>
      <c r="PWJ35" s="204"/>
      <c r="PWK35" s="204"/>
      <c r="PWL35" s="204"/>
      <c r="PWM35" s="204"/>
      <c r="PWN35" s="204"/>
      <c r="PWO35" s="204"/>
      <c r="PWP35" s="204"/>
      <c r="PWQ35" s="204"/>
      <c r="PWR35" s="204"/>
      <c r="PWS35" s="204"/>
      <c r="PWT35" s="204"/>
      <c r="PWU35" s="204"/>
      <c r="PWV35" s="204"/>
      <c r="PWW35" s="204"/>
      <c r="PWX35" s="204"/>
      <c r="PWY35" s="204"/>
      <c r="PWZ35" s="204"/>
      <c r="PXA35" s="204"/>
      <c r="PXB35" s="204"/>
      <c r="PXC35" s="204"/>
      <c r="PXD35" s="204"/>
      <c r="PXE35" s="204"/>
      <c r="PXF35" s="204"/>
      <c r="PXG35" s="204"/>
      <c r="PXH35" s="204"/>
      <c r="PXI35" s="204"/>
      <c r="PXJ35" s="204"/>
      <c r="PXK35" s="204"/>
      <c r="PXL35" s="204"/>
      <c r="PXM35" s="204"/>
      <c r="PXN35" s="204"/>
      <c r="PXO35" s="204"/>
      <c r="PXP35" s="204"/>
      <c r="PXQ35" s="204"/>
      <c r="PXR35" s="204"/>
      <c r="PXS35" s="204"/>
      <c r="PXT35" s="204"/>
      <c r="PXU35" s="204"/>
      <c r="PXV35" s="204"/>
      <c r="PXW35" s="204"/>
      <c r="PXX35" s="204"/>
      <c r="PXY35" s="204"/>
      <c r="PXZ35" s="204"/>
      <c r="PYA35" s="204"/>
      <c r="PYB35" s="204"/>
      <c r="PYC35" s="204"/>
      <c r="PYD35" s="204"/>
      <c r="PYE35" s="204"/>
      <c r="PYF35" s="204"/>
      <c r="PYG35" s="204"/>
      <c r="PYH35" s="204"/>
      <c r="PYI35" s="204"/>
      <c r="PYJ35" s="204"/>
      <c r="PYK35" s="204"/>
      <c r="PYL35" s="204"/>
      <c r="PYM35" s="204"/>
      <c r="PYN35" s="204"/>
      <c r="PYO35" s="204"/>
      <c r="PYP35" s="204"/>
      <c r="PYQ35" s="204"/>
      <c r="PYR35" s="204"/>
      <c r="PYS35" s="204"/>
      <c r="PYT35" s="204"/>
      <c r="PYU35" s="204"/>
      <c r="PYV35" s="204"/>
      <c r="PYW35" s="204"/>
      <c r="PYX35" s="204"/>
      <c r="PYY35" s="204"/>
      <c r="PYZ35" s="204"/>
      <c r="PZA35" s="204"/>
      <c r="PZB35" s="204"/>
      <c r="PZC35" s="204"/>
      <c r="PZD35" s="204"/>
      <c r="PZE35" s="204"/>
      <c r="PZF35" s="204"/>
      <c r="PZG35" s="204"/>
      <c r="PZH35" s="204"/>
      <c r="PZI35" s="204"/>
      <c r="PZJ35" s="204"/>
      <c r="PZK35" s="204"/>
      <c r="PZL35" s="204"/>
      <c r="PZM35" s="204"/>
      <c r="PZN35" s="204"/>
      <c r="PZO35" s="204"/>
      <c r="PZP35" s="204"/>
      <c r="PZQ35" s="204"/>
      <c r="PZR35" s="204"/>
      <c r="PZS35" s="204"/>
      <c r="PZT35" s="204"/>
      <c r="PZU35" s="204"/>
      <c r="PZV35" s="204"/>
      <c r="PZW35" s="204"/>
      <c r="PZX35" s="204"/>
      <c r="PZY35" s="204"/>
      <c r="PZZ35" s="204"/>
      <c r="QAA35" s="204"/>
      <c r="QAB35" s="204"/>
      <c r="QAC35" s="204"/>
      <c r="QAD35" s="204"/>
      <c r="QAE35" s="204"/>
      <c r="QAF35" s="204"/>
      <c r="QAG35" s="204"/>
      <c r="QAH35" s="204"/>
      <c r="QAI35" s="204"/>
      <c r="QAJ35" s="204"/>
      <c r="QAK35" s="204"/>
      <c r="QAL35" s="204"/>
      <c r="QAM35" s="204"/>
      <c r="QAN35" s="204"/>
      <c r="QAO35" s="204"/>
      <c r="QAP35" s="204"/>
      <c r="QAQ35" s="204"/>
      <c r="QAR35" s="204"/>
      <c r="QAS35" s="204"/>
      <c r="QAT35" s="204"/>
      <c r="QAU35" s="204"/>
      <c r="QAV35" s="204"/>
      <c r="QAW35" s="204"/>
      <c r="QAX35" s="204"/>
      <c r="QAY35" s="204"/>
      <c r="QAZ35" s="204"/>
      <c r="QBA35" s="204"/>
      <c r="QBB35" s="204"/>
      <c r="QBC35" s="204"/>
      <c r="QBD35" s="204"/>
      <c r="QBE35" s="204"/>
      <c r="QBF35" s="204"/>
      <c r="QBG35" s="204"/>
      <c r="QBH35" s="204"/>
      <c r="QBI35" s="204"/>
      <c r="QBJ35" s="204"/>
      <c r="QBK35" s="204"/>
      <c r="QBL35" s="204"/>
      <c r="QBM35" s="204"/>
      <c r="QBN35" s="204"/>
      <c r="QBO35" s="204"/>
      <c r="QBP35" s="204"/>
      <c r="QBQ35" s="204"/>
      <c r="QBR35" s="204"/>
      <c r="QBS35" s="204"/>
      <c r="QBT35" s="204"/>
      <c r="QBU35" s="204"/>
      <c r="QBV35" s="204"/>
      <c r="QBW35" s="204"/>
      <c r="QBX35" s="204"/>
      <c r="QBY35" s="204"/>
      <c r="QBZ35" s="204"/>
      <c r="QCA35" s="204"/>
      <c r="QCB35" s="204"/>
      <c r="QCC35" s="204"/>
      <c r="QCD35" s="204"/>
      <c r="QCE35" s="204"/>
      <c r="QCF35" s="204"/>
      <c r="QCG35" s="204"/>
      <c r="QCH35" s="204"/>
      <c r="QCI35" s="204"/>
      <c r="QCJ35" s="204"/>
      <c r="QCK35" s="204"/>
      <c r="QCL35" s="204"/>
      <c r="QCM35" s="204"/>
      <c r="QCN35" s="204"/>
      <c r="QCO35" s="204"/>
      <c r="QCP35" s="204"/>
      <c r="QCQ35" s="204"/>
      <c r="QCR35" s="204"/>
      <c r="QCS35" s="204"/>
      <c r="QCT35" s="204"/>
      <c r="QCU35" s="204"/>
      <c r="QCV35" s="204"/>
      <c r="QCW35" s="204"/>
      <c r="QCX35" s="204"/>
      <c r="QCY35" s="204"/>
      <c r="QCZ35" s="204"/>
      <c r="QDA35" s="204"/>
      <c r="QDB35" s="204"/>
      <c r="QDC35" s="204"/>
      <c r="QDD35" s="204"/>
      <c r="QDE35" s="204"/>
      <c r="QDF35" s="204"/>
      <c r="QDG35" s="204"/>
      <c r="QDH35" s="204"/>
      <c r="QDI35" s="204"/>
      <c r="QDJ35" s="204"/>
      <c r="QDK35" s="204"/>
      <c r="QDL35" s="204"/>
      <c r="QDM35" s="204"/>
      <c r="QDN35" s="204"/>
      <c r="QDO35" s="204"/>
      <c r="QDP35" s="204"/>
      <c r="QDQ35" s="204"/>
      <c r="QDR35" s="204"/>
      <c r="QDS35" s="204"/>
      <c r="QDT35" s="204"/>
      <c r="QDU35" s="204"/>
      <c r="QDV35" s="204"/>
      <c r="QDW35" s="204"/>
      <c r="QDX35" s="204"/>
      <c r="QDY35" s="204"/>
      <c r="QDZ35" s="204"/>
      <c r="QEA35" s="204"/>
      <c r="QEB35" s="204"/>
      <c r="QEC35" s="204"/>
      <c r="QED35" s="204"/>
      <c r="QEE35" s="204"/>
      <c r="QEF35" s="204"/>
      <c r="QEG35" s="204"/>
      <c r="QEH35" s="204"/>
      <c r="QEI35" s="204"/>
      <c r="QEJ35" s="204"/>
      <c r="QEK35" s="204"/>
      <c r="QEL35" s="204"/>
      <c r="QEM35" s="204"/>
      <c r="QEN35" s="204"/>
      <c r="QEO35" s="204"/>
      <c r="QEP35" s="204"/>
      <c r="QEQ35" s="204"/>
      <c r="QER35" s="204"/>
      <c r="QES35" s="204"/>
      <c r="QET35" s="204"/>
      <c r="QEU35" s="204"/>
      <c r="QEV35" s="204"/>
      <c r="QEW35" s="204"/>
      <c r="QEX35" s="204"/>
      <c r="QEY35" s="204"/>
      <c r="QEZ35" s="204"/>
      <c r="QFA35" s="204"/>
      <c r="QFB35" s="204"/>
      <c r="QFC35" s="204"/>
      <c r="QFD35" s="204"/>
      <c r="QFE35" s="204"/>
      <c r="QFF35" s="204"/>
      <c r="QFG35" s="204"/>
      <c r="QFH35" s="204"/>
      <c r="QFI35" s="204"/>
      <c r="QFJ35" s="204"/>
      <c r="QFK35" s="204"/>
      <c r="QFL35" s="204"/>
      <c r="QFM35" s="204"/>
      <c r="QFN35" s="204"/>
      <c r="QFO35" s="204"/>
      <c r="QFP35" s="204"/>
      <c r="QFQ35" s="204"/>
      <c r="QFR35" s="204"/>
      <c r="QFS35" s="204"/>
      <c r="QFT35" s="204"/>
      <c r="QFU35" s="204"/>
      <c r="QFV35" s="204"/>
      <c r="QFW35" s="204"/>
      <c r="QFX35" s="204"/>
      <c r="QFY35" s="204"/>
      <c r="QFZ35" s="204"/>
      <c r="QGA35" s="204"/>
      <c r="QGB35" s="204"/>
      <c r="QGC35" s="204"/>
      <c r="QGD35" s="204"/>
      <c r="QGE35" s="204"/>
      <c r="QGF35" s="204"/>
      <c r="QGG35" s="204"/>
      <c r="QGH35" s="204"/>
      <c r="QGI35" s="204"/>
      <c r="QGJ35" s="204"/>
      <c r="QGK35" s="204"/>
      <c r="QGL35" s="204"/>
      <c r="QGM35" s="204"/>
      <c r="QGN35" s="204"/>
      <c r="QGO35" s="204"/>
      <c r="QGP35" s="204"/>
      <c r="QGQ35" s="204"/>
      <c r="QGR35" s="204"/>
      <c r="QGS35" s="204"/>
      <c r="QGT35" s="204"/>
      <c r="QGU35" s="204"/>
      <c r="QGV35" s="204"/>
      <c r="QGW35" s="204"/>
      <c r="QGX35" s="204"/>
      <c r="QGY35" s="204"/>
      <c r="QGZ35" s="204"/>
      <c r="QHA35" s="204"/>
      <c r="QHB35" s="204"/>
      <c r="QHC35" s="204"/>
      <c r="QHD35" s="204"/>
      <c r="QHE35" s="204"/>
      <c r="QHF35" s="204"/>
      <c r="QHG35" s="204"/>
      <c r="QHH35" s="204"/>
      <c r="QHI35" s="204"/>
      <c r="QHJ35" s="204"/>
      <c r="QHK35" s="204"/>
      <c r="QHL35" s="204"/>
      <c r="QHM35" s="204"/>
      <c r="QHN35" s="204"/>
      <c r="QHO35" s="204"/>
      <c r="QHP35" s="204"/>
      <c r="QHQ35" s="204"/>
      <c r="QHR35" s="204"/>
      <c r="QHS35" s="204"/>
      <c r="QHT35" s="204"/>
      <c r="QHU35" s="204"/>
      <c r="QHV35" s="204"/>
      <c r="QHW35" s="204"/>
      <c r="QHX35" s="204"/>
      <c r="QHY35" s="204"/>
      <c r="QHZ35" s="204"/>
      <c r="QIA35" s="204"/>
      <c r="QIB35" s="204"/>
      <c r="QIC35" s="204"/>
      <c r="QID35" s="204"/>
      <c r="QIE35" s="204"/>
      <c r="QIF35" s="204"/>
      <c r="QIG35" s="204"/>
      <c r="QIH35" s="204"/>
      <c r="QII35" s="204"/>
      <c r="QIJ35" s="204"/>
      <c r="QIK35" s="204"/>
      <c r="QIL35" s="204"/>
      <c r="QIM35" s="204"/>
      <c r="QIN35" s="204"/>
      <c r="QIO35" s="204"/>
      <c r="QIP35" s="204"/>
      <c r="QIQ35" s="204"/>
      <c r="QIR35" s="204"/>
      <c r="QIS35" s="204"/>
      <c r="QIT35" s="204"/>
      <c r="QIU35" s="204"/>
      <c r="QIV35" s="204"/>
      <c r="QIW35" s="204"/>
      <c r="QIX35" s="204"/>
      <c r="QIY35" s="204"/>
      <c r="QIZ35" s="204"/>
      <c r="QJA35" s="204"/>
      <c r="QJB35" s="204"/>
      <c r="QJC35" s="204"/>
      <c r="QJD35" s="204"/>
      <c r="QJE35" s="204"/>
      <c r="QJF35" s="204"/>
      <c r="QJG35" s="204"/>
      <c r="QJH35" s="204"/>
      <c r="QJI35" s="204"/>
      <c r="QJJ35" s="204"/>
      <c r="QJK35" s="204"/>
      <c r="QJL35" s="204"/>
      <c r="QJM35" s="204"/>
      <c r="QJN35" s="204"/>
      <c r="QJO35" s="204"/>
      <c r="QJP35" s="204"/>
      <c r="QJQ35" s="204"/>
      <c r="QJR35" s="204"/>
      <c r="QJS35" s="204"/>
      <c r="QJT35" s="204"/>
      <c r="QJU35" s="204"/>
      <c r="QJV35" s="204"/>
      <c r="QJW35" s="204"/>
      <c r="QJX35" s="204"/>
      <c r="QJY35" s="204"/>
      <c r="QJZ35" s="204"/>
      <c r="QKA35" s="204"/>
      <c r="QKB35" s="204"/>
      <c r="QKC35" s="204"/>
      <c r="QKD35" s="204"/>
      <c r="QKE35" s="204"/>
      <c r="QKF35" s="204"/>
      <c r="QKG35" s="204"/>
      <c r="QKH35" s="204"/>
      <c r="QKI35" s="204"/>
      <c r="QKJ35" s="204"/>
      <c r="QKK35" s="204"/>
      <c r="QKL35" s="204"/>
      <c r="QKM35" s="204"/>
      <c r="QKN35" s="204"/>
      <c r="QKO35" s="204"/>
      <c r="QKP35" s="204"/>
      <c r="QKQ35" s="204"/>
      <c r="QKR35" s="204"/>
      <c r="QKS35" s="204"/>
      <c r="QKT35" s="204"/>
      <c r="QKU35" s="204"/>
      <c r="QKV35" s="204"/>
      <c r="QKW35" s="204"/>
      <c r="QKX35" s="204"/>
      <c r="QKY35" s="204"/>
      <c r="QKZ35" s="204"/>
      <c r="QLA35" s="204"/>
      <c r="QLB35" s="204"/>
      <c r="QLC35" s="204"/>
      <c r="QLD35" s="204"/>
      <c r="QLE35" s="204"/>
      <c r="QLF35" s="204"/>
      <c r="QLG35" s="204"/>
      <c r="QLH35" s="204"/>
      <c r="QLI35" s="204"/>
      <c r="QLJ35" s="204"/>
      <c r="QLK35" s="204"/>
      <c r="QLL35" s="204"/>
      <c r="QLM35" s="204"/>
      <c r="QLN35" s="204"/>
      <c r="QLO35" s="204"/>
      <c r="QLP35" s="204"/>
      <c r="QLQ35" s="204"/>
      <c r="QLR35" s="204"/>
      <c r="QLS35" s="204"/>
      <c r="QLT35" s="204"/>
      <c r="QLU35" s="204"/>
      <c r="QLV35" s="204"/>
      <c r="QLW35" s="204"/>
      <c r="QLX35" s="204"/>
      <c r="QLY35" s="204"/>
      <c r="QLZ35" s="204"/>
      <c r="QMA35" s="204"/>
      <c r="QMB35" s="204"/>
      <c r="QMC35" s="204"/>
      <c r="QMD35" s="204"/>
      <c r="QME35" s="204"/>
      <c r="QMF35" s="204"/>
      <c r="QMG35" s="204"/>
      <c r="QMH35" s="204"/>
      <c r="QMI35" s="204"/>
      <c r="QMJ35" s="204"/>
      <c r="QMK35" s="204"/>
      <c r="QML35" s="204"/>
      <c r="QMM35" s="204"/>
      <c r="QMN35" s="204"/>
      <c r="QMO35" s="204"/>
      <c r="QMP35" s="204"/>
      <c r="QMQ35" s="204"/>
      <c r="QMR35" s="204"/>
      <c r="QMS35" s="204"/>
      <c r="QMT35" s="204"/>
      <c r="QMU35" s="204"/>
      <c r="QMV35" s="204"/>
      <c r="QMW35" s="204"/>
      <c r="QMX35" s="204"/>
      <c r="QMY35" s="204"/>
      <c r="QMZ35" s="204"/>
      <c r="QNA35" s="204"/>
      <c r="QNB35" s="204"/>
      <c r="QNC35" s="204"/>
      <c r="QND35" s="204"/>
      <c r="QNE35" s="204"/>
      <c r="QNF35" s="204"/>
      <c r="QNG35" s="204"/>
      <c r="QNH35" s="204"/>
      <c r="QNI35" s="204"/>
      <c r="QNJ35" s="204"/>
      <c r="QNK35" s="204"/>
      <c r="QNL35" s="204"/>
      <c r="QNM35" s="204"/>
      <c r="QNN35" s="204"/>
      <c r="QNO35" s="204"/>
      <c r="QNP35" s="204"/>
      <c r="QNQ35" s="204"/>
      <c r="QNR35" s="204"/>
      <c r="QNS35" s="204"/>
      <c r="QNT35" s="204"/>
      <c r="QNU35" s="204"/>
      <c r="QNV35" s="204"/>
      <c r="QNW35" s="204"/>
      <c r="QNX35" s="204"/>
      <c r="QNY35" s="204"/>
      <c r="QNZ35" s="204"/>
      <c r="QOA35" s="204"/>
      <c r="QOB35" s="204"/>
      <c r="QOC35" s="204"/>
      <c r="QOD35" s="204"/>
      <c r="QOE35" s="204"/>
      <c r="QOF35" s="204"/>
      <c r="QOG35" s="204"/>
      <c r="QOH35" s="204"/>
      <c r="QOI35" s="204"/>
      <c r="QOJ35" s="204"/>
      <c r="QOK35" s="204"/>
      <c r="QOL35" s="204"/>
      <c r="QOM35" s="204"/>
      <c r="QON35" s="204"/>
      <c r="QOO35" s="204"/>
      <c r="QOP35" s="204"/>
      <c r="QOQ35" s="204"/>
      <c r="QOR35" s="204"/>
      <c r="QOS35" s="204"/>
      <c r="QOT35" s="204"/>
      <c r="QOU35" s="204"/>
      <c r="QOV35" s="204"/>
      <c r="QOW35" s="204"/>
      <c r="QOX35" s="204"/>
      <c r="QOY35" s="204"/>
      <c r="QOZ35" s="204"/>
      <c r="QPA35" s="204"/>
      <c r="QPB35" s="204"/>
      <c r="QPC35" s="204"/>
      <c r="QPD35" s="204"/>
      <c r="QPE35" s="204"/>
      <c r="QPF35" s="204"/>
      <c r="QPG35" s="204"/>
      <c r="QPH35" s="204"/>
      <c r="QPI35" s="204"/>
      <c r="QPJ35" s="204"/>
      <c r="QPK35" s="204"/>
      <c r="QPL35" s="204"/>
      <c r="QPM35" s="204"/>
      <c r="QPN35" s="204"/>
      <c r="QPO35" s="204"/>
      <c r="QPP35" s="204"/>
      <c r="QPQ35" s="204"/>
      <c r="QPR35" s="204"/>
      <c r="QPS35" s="204"/>
      <c r="QPT35" s="204"/>
      <c r="QPU35" s="204"/>
      <c r="QPV35" s="204"/>
      <c r="QPW35" s="204"/>
      <c r="QPX35" s="204"/>
      <c r="QPY35" s="204"/>
      <c r="QPZ35" s="204"/>
      <c r="QQA35" s="204"/>
      <c r="QQB35" s="204"/>
      <c r="QQC35" s="204"/>
      <c r="QQD35" s="204"/>
      <c r="QQE35" s="204"/>
      <c r="QQF35" s="204"/>
      <c r="QQG35" s="204"/>
      <c r="QQH35" s="204"/>
      <c r="QQI35" s="204"/>
      <c r="QQJ35" s="204"/>
      <c r="QQK35" s="204"/>
      <c r="QQL35" s="204"/>
      <c r="QQM35" s="204"/>
      <c r="QQN35" s="204"/>
      <c r="QQO35" s="204"/>
      <c r="QQP35" s="204"/>
      <c r="QQQ35" s="204"/>
      <c r="QQR35" s="204"/>
      <c r="QQS35" s="204"/>
      <c r="QQT35" s="204"/>
      <c r="QQU35" s="204"/>
      <c r="QQV35" s="204"/>
      <c r="QQW35" s="204"/>
      <c r="QQX35" s="204"/>
      <c r="QQY35" s="204"/>
      <c r="QQZ35" s="204"/>
      <c r="QRA35" s="204"/>
      <c r="QRB35" s="204"/>
      <c r="QRC35" s="204"/>
      <c r="QRD35" s="204"/>
      <c r="QRE35" s="204"/>
      <c r="QRF35" s="204"/>
      <c r="QRG35" s="204"/>
      <c r="QRH35" s="204"/>
      <c r="QRI35" s="204"/>
      <c r="QRJ35" s="204"/>
      <c r="QRK35" s="204"/>
      <c r="QRL35" s="204"/>
      <c r="QRM35" s="204"/>
      <c r="QRN35" s="204"/>
      <c r="QRO35" s="204"/>
      <c r="QRP35" s="204"/>
      <c r="QRQ35" s="204"/>
      <c r="QRR35" s="204"/>
      <c r="QRS35" s="204"/>
      <c r="QRT35" s="204"/>
      <c r="QRU35" s="204"/>
      <c r="QRV35" s="204"/>
      <c r="QRW35" s="204"/>
      <c r="QRX35" s="204"/>
      <c r="QRY35" s="204"/>
      <c r="QRZ35" s="204"/>
      <c r="QSA35" s="204"/>
      <c r="QSB35" s="204"/>
      <c r="QSC35" s="204"/>
      <c r="QSD35" s="204"/>
      <c r="QSE35" s="204"/>
      <c r="QSF35" s="204"/>
      <c r="QSG35" s="204"/>
      <c r="QSH35" s="204"/>
      <c r="QSI35" s="204"/>
      <c r="QSJ35" s="204"/>
      <c r="QSK35" s="204"/>
      <c r="QSL35" s="204"/>
      <c r="QSM35" s="204"/>
      <c r="QSN35" s="204"/>
      <c r="QSO35" s="204"/>
      <c r="QSP35" s="204"/>
      <c r="QSQ35" s="204"/>
      <c r="QSR35" s="204"/>
      <c r="QSS35" s="204"/>
      <c r="QST35" s="204"/>
      <c r="QSU35" s="204"/>
      <c r="QSV35" s="204"/>
      <c r="QSW35" s="204"/>
      <c r="QSX35" s="204"/>
      <c r="QSY35" s="204"/>
      <c r="QSZ35" s="204"/>
      <c r="QTA35" s="204"/>
      <c r="QTB35" s="204"/>
      <c r="QTC35" s="204"/>
      <c r="QTD35" s="204"/>
      <c r="QTE35" s="204"/>
      <c r="QTF35" s="204"/>
      <c r="QTG35" s="204"/>
      <c r="QTH35" s="204"/>
      <c r="QTI35" s="204"/>
      <c r="QTJ35" s="204"/>
      <c r="QTK35" s="204"/>
      <c r="QTL35" s="204"/>
      <c r="QTM35" s="204"/>
      <c r="QTN35" s="204"/>
      <c r="QTO35" s="204"/>
      <c r="QTP35" s="204"/>
      <c r="QTQ35" s="204"/>
      <c r="QTR35" s="204"/>
      <c r="QTS35" s="204"/>
      <c r="QTT35" s="204"/>
      <c r="QTU35" s="204"/>
      <c r="QTV35" s="204"/>
      <c r="QTW35" s="204"/>
      <c r="QTX35" s="204"/>
      <c r="QTY35" s="204"/>
      <c r="QTZ35" s="204"/>
      <c r="QUA35" s="204"/>
      <c r="QUB35" s="204"/>
      <c r="QUC35" s="204"/>
      <c r="QUD35" s="204"/>
      <c r="QUE35" s="204"/>
      <c r="QUF35" s="204"/>
      <c r="QUG35" s="204"/>
      <c r="QUH35" s="204"/>
      <c r="QUI35" s="204"/>
      <c r="QUJ35" s="204"/>
      <c r="QUK35" s="204"/>
      <c r="QUL35" s="204"/>
      <c r="QUM35" s="204"/>
      <c r="QUN35" s="204"/>
      <c r="QUO35" s="204"/>
      <c r="QUP35" s="204"/>
      <c r="QUQ35" s="204"/>
      <c r="QUR35" s="204"/>
      <c r="QUS35" s="204"/>
      <c r="QUT35" s="204"/>
      <c r="QUU35" s="204"/>
      <c r="QUV35" s="204"/>
      <c r="QUW35" s="204"/>
      <c r="QUX35" s="204"/>
      <c r="QUY35" s="204"/>
      <c r="QUZ35" s="204"/>
      <c r="QVA35" s="204"/>
      <c r="QVB35" s="204"/>
      <c r="QVC35" s="204"/>
      <c r="QVD35" s="204"/>
      <c r="QVE35" s="204"/>
      <c r="QVF35" s="204"/>
      <c r="QVG35" s="204"/>
      <c r="QVH35" s="204"/>
      <c r="QVI35" s="204"/>
      <c r="QVJ35" s="204"/>
      <c r="QVK35" s="204"/>
      <c r="QVL35" s="204"/>
      <c r="QVM35" s="204"/>
      <c r="QVN35" s="204"/>
      <c r="QVO35" s="204"/>
      <c r="QVP35" s="204"/>
      <c r="QVQ35" s="204"/>
      <c r="QVR35" s="204"/>
      <c r="QVS35" s="204"/>
      <c r="QVT35" s="204"/>
      <c r="QVU35" s="204"/>
      <c r="QVV35" s="204"/>
      <c r="QVW35" s="204"/>
      <c r="QVX35" s="204"/>
      <c r="QVY35" s="204"/>
      <c r="QVZ35" s="204"/>
      <c r="QWA35" s="204"/>
      <c r="QWB35" s="204"/>
      <c r="QWC35" s="204"/>
      <c r="QWD35" s="204"/>
      <c r="QWE35" s="204"/>
      <c r="QWF35" s="204"/>
      <c r="QWG35" s="204"/>
      <c r="QWH35" s="204"/>
      <c r="QWI35" s="204"/>
      <c r="QWJ35" s="204"/>
      <c r="QWK35" s="204"/>
      <c r="QWL35" s="204"/>
      <c r="QWM35" s="204"/>
      <c r="QWN35" s="204"/>
      <c r="QWO35" s="204"/>
      <c r="QWP35" s="204"/>
      <c r="QWQ35" s="204"/>
      <c r="QWR35" s="204"/>
      <c r="QWS35" s="204"/>
      <c r="QWT35" s="204"/>
      <c r="QWU35" s="204"/>
      <c r="QWV35" s="204"/>
      <c r="QWW35" s="204"/>
      <c r="QWX35" s="204"/>
      <c r="QWY35" s="204"/>
      <c r="QWZ35" s="204"/>
      <c r="QXA35" s="204"/>
      <c r="QXB35" s="204"/>
      <c r="QXC35" s="204"/>
      <c r="QXD35" s="204"/>
      <c r="QXE35" s="204"/>
      <c r="QXF35" s="204"/>
      <c r="QXG35" s="204"/>
      <c r="QXH35" s="204"/>
      <c r="QXI35" s="204"/>
      <c r="QXJ35" s="204"/>
      <c r="QXK35" s="204"/>
      <c r="QXL35" s="204"/>
      <c r="QXM35" s="204"/>
      <c r="QXN35" s="204"/>
      <c r="QXO35" s="204"/>
      <c r="QXP35" s="204"/>
      <c r="QXQ35" s="204"/>
      <c r="QXR35" s="204"/>
      <c r="QXS35" s="204"/>
      <c r="QXT35" s="204"/>
      <c r="QXU35" s="204"/>
      <c r="QXV35" s="204"/>
      <c r="QXW35" s="204"/>
      <c r="QXX35" s="204"/>
      <c r="QXY35" s="204"/>
      <c r="QXZ35" s="204"/>
      <c r="QYA35" s="204"/>
      <c r="QYB35" s="204"/>
      <c r="QYC35" s="204"/>
      <c r="QYD35" s="204"/>
      <c r="QYE35" s="204"/>
      <c r="QYF35" s="204"/>
      <c r="QYG35" s="204"/>
      <c r="QYH35" s="204"/>
      <c r="QYI35" s="204"/>
      <c r="QYJ35" s="204"/>
      <c r="QYK35" s="204"/>
      <c r="QYL35" s="204"/>
      <c r="QYM35" s="204"/>
      <c r="QYN35" s="204"/>
      <c r="QYO35" s="204"/>
      <c r="QYP35" s="204"/>
      <c r="QYQ35" s="204"/>
      <c r="QYR35" s="204"/>
      <c r="QYS35" s="204"/>
      <c r="QYT35" s="204"/>
      <c r="QYU35" s="204"/>
      <c r="QYV35" s="204"/>
      <c r="QYW35" s="204"/>
      <c r="QYX35" s="204"/>
      <c r="QYY35" s="204"/>
      <c r="QYZ35" s="204"/>
      <c r="QZA35" s="204"/>
      <c r="QZB35" s="204"/>
      <c r="QZC35" s="204"/>
      <c r="QZD35" s="204"/>
      <c r="QZE35" s="204"/>
      <c r="QZF35" s="204"/>
      <c r="QZG35" s="204"/>
      <c r="QZH35" s="204"/>
      <c r="QZI35" s="204"/>
      <c r="QZJ35" s="204"/>
      <c r="QZK35" s="204"/>
      <c r="QZL35" s="204"/>
      <c r="QZM35" s="204"/>
      <c r="QZN35" s="204"/>
      <c r="QZO35" s="204"/>
      <c r="QZP35" s="204"/>
      <c r="QZQ35" s="204"/>
      <c r="QZR35" s="204"/>
      <c r="QZS35" s="204"/>
      <c r="QZT35" s="204"/>
      <c r="QZU35" s="204"/>
      <c r="QZV35" s="204"/>
      <c r="QZW35" s="204"/>
      <c r="QZX35" s="204"/>
      <c r="QZY35" s="204"/>
      <c r="QZZ35" s="204"/>
      <c r="RAA35" s="204"/>
      <c r="RAB35" s="204"/>
      <c r="RAC35" s="204"/>
      <c r="RAD35" s="204"/>
      <c r="RAE35" s="204"/>
      <c r="RAF35" s="204"/>
      <c r="RAG35" s="204"/>
      <c r="RAH35" s="204"/>
      <c r="RAI35" s="204"/>
      <c r="RAJ35" s="204"/>
      <c r="RAK35" s="204"/>
      <c r="RAL35" s="204"/>
      <c r="RAM35" s="204"/>
      <c r="RAN35" s="204"/>
      <c r="RAO35" s="204"/>
      <c r="RAP35" s="204"/>
      <c r="RAQ35" s="204"/>
      <c r="RAR35" s="204"/>
      <c r="RAS35" s="204"/>
      <c r="RAT35" s="204"/>
      <c r="RAU35" s="204"/>
      <c r="RAV35" s="204"/>
      <c r="RAW35" s="204"/>
      <c r="RAX35" s="204"/>
      <c r="RAY35" s="204"/>
      <c r="RAZ35" s="204"/>
      <c r="RBA35" s="204"/>
      <c r="RBB35" s="204"/>
      <c r="RBC35" s="204"/>
      <c r="RBD35" s="204"/>
      <c r="RBE35" s="204"/>
      <c r="RBF35" s="204"/>
      <c r="RBG35" s="204"/>
      <c r="RBH35" s="204"/>
      <c r="RBI35" s="204"/>
      <c r="RBJ35" s="204"/>
      <c r="RBK35" s="204"/>
      <c r="RBL35" s="204"/>
      <c r="RBM35" s="204"/>
      <c r="RBN35" s="204"/>
      <c r="RBO35" s="204"/>
      <c r="RBP35" s="204"/>
      <c r="RBQ35" s="204"/>
      <c r="RBR35" s="204"/>
      <c r="RBS35" s="204"/>
      <c r="RBT35" s="204"/>
      <c r="RBU35" s="204"/>
      <c r="RBV35" s="204"/>
      <c r="RBW35" s="204"/>
      <c r="RBX35" s="204"/>
      <c r="RBY35" s="204"/>
      <c r="RBZ35" s="204"/>
      <c r="RCA35" s="204"/>
      <c r="RCB35" s="204"/>
      <c r="RCC35" s="204"/>
      <c r="RCD35" s="204"/>
      <c r="RCE35" s="204"/>
      <c r="RCF35" s="204"/>
      <c r="RCG35" s="204"/>
      <c r="RCH35" s="204"/>
      <c r="RCI35" s="204"/>
      <c r="RCJ35" s="204"/>
      <c r="RCK35" s="204"/>
      <c r="RCL35" s="204"/>
      <c r="RCM35" s="204"/>
      <c r="RCN35" s="204"/>
      <c r="RCO35" s="204"/>
      <c r="RCP35" s="204"/>
      <c r="RCQ35" s="204"/>
      <c r="RCR35" s="204"/>
      <c r="RCS35" s="204"/>
      <c r="RCT35" s="204"/>
      <c r="RCU35" s="204"/>
      <c r="RCV35" s="204"/>
      <c r="RCW35" s="204"/>
      <c r="RCX35" s="204"/>
      <c r="RCY35" s="204"/>
      <c r="RCZ35" s="204"/>
      <c r="RDA35" s="204"/>
      <c r="RDB35" s="204"/>
      <c r="RDC35" s="204"/>
      <c r="RDD35" s="204"/>
      <c r="RDE35" s="204"/>
      <c r="RDF35" s="204"/>
      <c r="RDG35" s="204"/>
      <c r="RDH35" s="204"/>
      <c r="RDI35" s="204"/>
      <c r="RDJ35" s="204"/>
      <c r="RDK35" s="204"/>
      <c r="RDL35" s="204"/>
      <c r="RDM35" s="204"/>
      <c r="RDN35" s="204"/>
      <c r="RDO35" s="204"/>
      <c r="RDP35" s="204"/>
      <c r="RDQ35" s="204"/>
      <c r="RDR35" s="204"/>
      <c r="RDS35" s="204"/>
      <c r="RDT35" s="204"/>
      <c r="RDU35" s="204"/>
      <c r="RDV35" s="204"/>
      <c r="RDW35" s="204"/>
      <c r="RDX35" s="204"/>
      <c r="RDY35" s="204"/>
      <c r="RDZ35" s="204"/>
      <c r="REA35" s="204"/>
      <c r="REB35" s="204"/>
      <c r="REC35" s="204"/>
      <c r="RED35" s="204"/>
      <c r="REE35" s="204"/>
      <c r="REF35" s="204"/>
      <c r="REG35" s="204"/>
      <c r="REH35" s="204"/>
      <c r="REI35" s="204"/>
      <c r="REJ35" s="204"/>
      <c r="REK35" s="204"/>
      <c r="REL35" s="204"/>
      <c r="REM35" s="204"/>
      <c r="REN35" s="204"/>
      <c r="REO35" s="204"/>
      <c r="REP35" s="204"/>
      <c r="REQ35" s="204"/>
      <c r="RER35" s="204"/>
      <c r="RES35" s="204"/>
      <c r="RET35" s="204"/>
      <c r="REU35" s="204"/>
      <c r="REV35" s="204"/>
      <c r="REW35" s="204"/>
      <c r="REX35" s="204"/>
      <c r="REY35" s="204"/>
      <c r="REZ35" s="204"/>
      <c r="RFA35" s="204"/>
      <c r="RFB35" s="204"/>
      <c r="RFC35" s="204"/>
      <c r="RFD35" s="204"/>
      <c r="RFE35" s="204"/>
      <c r="RFF35" s="204"/>
      <c r="RFG35" s="204"/>
      <c r="RFH35" s="204"/>
      <c r="RFI35" s="204"/>
      <c r="RFJ35" s="204"/>
      <c r="RFK35" s="204"/>
      <c r="RFL35" s="204"/>
      <c r="RFM35" s="204"/>
      <c r="RFN35" s="204"/>
      <c r="RFO35" s="204"/>
      <c r="RFP35" s="204"/>
      <c r="RFQ35" s="204"/>
      <c r="RFR35" s="204"/>
      <c r="RFS35" s="204"/>
      <c r="RFT35" s="204"/>
      <c r="RFU35" s="204"/>
      <c r="RFV35" s="204"/>
      <c r="RFW35" s="204"/>
      <c r="RFX35" s="204"/>
      <c r="RFY35" s="204"/>
      <c r="RFZ35" s="204"/>
      <c r="RGA35" s="204"/>
      <c r="RGB35" s="204"/>
      <c r="RGC35" s="204"/>
      <c r="RGD35" s="204"/>
      <c r="RGE35" s="204"/>
      <c r="RGF35" s="204"/>
      <c r="RGG35" s="204"/>
      <c r="RGH35" s="204"/>
      <c r="RGI35" s="204"/>
      <c r="RGJ35" s="204"/>
      <c r="RGK35" s="204"/>
      <c r="RGL35" s="204"/>
      <c r="RGM35" s="204"/>
      <c r="RGN35" s="204"/>
      <c r="RGO35" s="204"/>
      <c r="RGP35" s="204"/>
      <c r="RGQ35" s="204"/>
      <c r="RGR35" s="204"/>
      <c r="RGS35" s="204"/>
      <c r="RGT35" s="204"/>
      <c r="RGU35" s="204"/>
      <c r="RGV35" s="204"/>
      <c r="RGW35" s="204"/>
      <c r="RGX35" s="204"/>
      <c r="RGY35" s="204"/>
      <c r="RGZ35" s="204"/>
      <c r="RHA35" s="204"/>
      <c r="RHB35" s="204"/>
      <c r="RHC35" s="204"/>
      <c r="RHD35" s="204"/>
      <c r="RHE35" s="204"/>
      <c r="RHF35" s="204"/>
      <c r="RHG35" s="204"/>
      <c r="RHH35" s="204"/>
      <c r="RHI35" s="204"/>
      <c r="RHJ35" s="204"/>
      <c r="RHK35" s="204"/>
      <c r="RHL35" s="204"/>
      <c r="RHM35" s="204"/>
      <c r="RHN35" s="204"/>
      <c r="RHO35" s="204"/>
      <c r="RHP35" s="204"/>
      <c r="RHQ35" s="204"/>
      <c r="RHR35" s="204"/>
      <c r="RHS35" s="204"/>
      <c r="RHT35" s="204"/>
      <c r="RHU35" s="204"/>
      <c r="RHV35" s="204"/>
      <c r="RHW35" s="204"/>
      <c r="RHX35" s="204"/>
      <c r="RHY35" s="204"/>
      <c r="RHZ35" s="204"/>
      <c r="RIA35" s="204"/>
      <c r="RIB35" s="204"/>
      <c r="RIC35" s="204"/>
      <c r="RID35" s="204"/>
      <c r="RIE35" s="204"/>
      <c r="RIF35" s="204"/>
      <c r="RIG35" s="204"/>
      <c r="RIH35" s="204"/>
      <c r="RII35" s="204"/>
      <c r="RIJ35" s="204"/>
      <c r="RIK35" s="204"/>
      <c r="RIL35" s="204"/>
      <c r="RIM35" s="204"/>
      <c r="RIN35" s="204"/>
      <c r="RIO35" s="204"/>
      <c r="RIP35" s="204"/>
      <c r="RIQ35" s="204"/>
      <c r="RIR35" s="204"/>
      <c r="RIS35" s="204"/>
      <c r="RIT35" s="204"/>
      <c r="RIU35" s="204"/>
      <c r="RIV35" s="204"/>
      <c r="RIW35" s="204"/>
      <c r="RIX35" s="204"/>
      <c r="RIY35" s="204"/>
      <c r="RIZ35" s="204"/>
      <c r="RJA35" s="204"/>
      <c r="RJB35" s="204"/>
      <c r="RJC35" s="204"/>
      <c r="RJD35" s="204"/>
      <c r="RJE35" s="204"/>
      <c r="RJF35" s="204"/>
      <c r="RJG35" s="204"/>
      <c r="RJH35" s="204"/>
      <c r="RJI35" s="204"/>
      <c r="RJJ35" s="204"/>
      <c r="RJK35" s="204"/>
      <c r="RJL35" s="204"/>
      <c r="RJM35" s="204"/>
      <c r="RJN35" s="204"/>
      <c r="RJO35" s="204"/>
      <c r="RJP35" s="204"/>
      <c r="RJQ35" s="204"/>
      <c r="RJR35" s="204"/>
      <c r="RJS35" s="204"/>
      <c r="RJT35" s="204"/>
      <c r="RJU35" s="204"/>
      <c r="RJV35" s="204"/>
      <c r="RJW35" s="204"/>
      <c r="RJX35" s="204"/>
      <c r="RJY35" s="204"/>
      <c r="RJZ35" s="204"/>
      <c r="RKA35" s="204"/>
      <c r="RKB35" s="204"/>
      <c r="RKC35" s="204"/>
      <c r="RKD35" s="204"/>
      <c r="RKE35" s="204"/>
      <c r="RKF35" s="204"/>
      <c r="RKG35" s="204"/>
      <c r="RKH35" s="204"/>
      <c r="RKI35" s="204"/>
      <c r="RKJ35" s="204"/>
      <c r="RKK35" s="204"/>
      <c r="RKL35" s="204"/>
      <c r="RKM35" s="204"/>
      <c r="RKN35" s="204"/>
      <c r="RKO35" s="204"/>
      <c r="RKP35" s="204"/>
      <c r="RKQ35" s="204"/>
      <c r="RKR35" s="204"/>
      <c r="RKS35" s="204"/>
      <c r="RKT35" s="204"/>
      <c r="RKU35" s="204"/>
      <c r="RKV35" s="204"/>
      <c r="RKW35" s="204"/>
      <c r="RKX35" s="204"/>
      <c r="RKY35" s="204"/>
      <c r="RKZ35" s="204"/>
      <c r="RLA35" s="204"/>
      <c r="RLB35" s="204"/>
      <c r="RLC35" s="204"/>
      <c r="RLD35" s="204"/>
      <c r="RLE35" s="204"/>
      <c r="RLF35" s="204"/>
      <c r="RLG35" s="204"/>
      <c r="RLH35" s="204"/>
      <c r="RLI35" s="204"/>
      <c r="RLJ35" s="204"/>
      <c r="RLK35" s="204"/>
      <c r="RLL35" s="204"/>
      <c r="RLM35" s="204"/>
      <c r="RLN35" s="204"/>
      <c r="RLO35" s="204"/>
      <c r="RLP35" s="204"/>
      <c r="RLQ35" s="204"/>
      <c r="RLR35" s="204"/>
      <c r="RLS35" s="204"/>
      <c r="RLT35" s="204"/>
      <c r="RLU35" s="204"/>
      <c r="RLV35" s="204"/>
      <c r="RLW35" s="204"/>
      <c r="RLX35" s="204"/>
      <c r="RLY35" s="204"/>
      <c r="RLZ35" s="204"/>
      <c r="RMA35" s="204"/>
      <c r="RMB35" s="204"/>
      <c r="RMC35" s="204"/>
      <c r="RMD35" s="204"/>
      <c r="RME35" s="204"/>
      <c r="RMF35" s="204"/>
      <c r="RMG35" s="204"/>
      <c r="RMH35" s="204"/>
      <c r="RMI35" s="204"/>
      <c r="RMJ35" s="204"/>
      <c r="RMK35" s="204"/>
      <c r="RML35" s="204"/>
      <c r="RMM35" s="204"/>
      <c r="RMN35" s="204"/>
      <c r="RMO35" s="204"/>
      <c r="RMP35" s="204"/>
      <c r="RMQ35" s="204"/>
      <c r="RMR35" s="204"/>
      <c r="RMS35" s="204"/>
      <c r="RMT35" s="204"/>
      <c r="RMU35" s="204"/>
      <c r="RMV35" s="204"/>
      <c r="RMW35" s="204"/>
      <c r="RMX35" s="204"/>
      <c r="RMY35" s="204"/>
      <c r="RMZ35" s="204"/>
      <c r="RNA35" s="204"/>
      <c r="RNB35" s="204"/>
      <c r="RNC35" s="204"/>
      <c r="RND35" s="204"/>
      <c r="RNE35" s="204"/>
      <c r="RNF35" s="204"/>
      <c r="RNG35" s="204"/>
      <c r="RNH35" s="204"/>
      <c r="RNI35" s="204"/>
      <c r="RNJ35" s="204"/>
      <c r="RNK35" s="204"/>
      <c r="RNL35" s="204"/>
      <c r="RNM35" s="204"/>
      <c r="RNN35" s="204"/>
      <c r="RNO35" s="204"/>
      <c r="RNP35" s="204"/>
      <c r="RNQ35" s="204"/>
      <c r="RNR35" s="204"/>
      <c r="RNS35" s="204"/>
      <c r="RNT35" s="204"/>
      <c r="RNU35" s="204"/>
      <c r="RNV35" s="204"/>
      <c r="RNW35" s="204"/>
      <c r="RNX35" s="204"/>
      <c r="RNY35" s="204"/>
      <c r="RNZ35" s="204"/>
      <c r="ROA35" s="204"/>
      <c r="ROB35" s="204"/>
      <c r="ROC35" s="204"/>
      <c r="ROD35" s="204"/>
      <c r="ROE35" s="204"/>
      <c r="ROF35" s="204"/>
      <c r="ROG35" s="204"/>
      <c r="ROH35" s="204"/>
      <c r="ROI35" s="204"/>
      <c r="ROJ35" s="204"/>
      <c r="ROK35" s="204"/>
      <c r="ROL35" s="204"/>
      <c r="ROM35" s="204"/>
      <c r="RON35" s="204"/>
      <c r="ROO35" s="204"/>
      <c r="ROP35" s="204"/>
      <c r="ROQ35" s="204"/>
      <c r="ROR35" s="204"/>
      <c r="ROS35" s="204"/>
      <c r="ROT35" s="204"/>
      <c r="ROU35" s="204"/>
      <c r="ROV35" s="204"/>
      <c r="ROW35" s="204"/>
      <c r="ROX35" s="204"/>
      <c r="ROY35" s="204"/>
      <c r="ROZ35" s="204"/>
      <c r="RPA35" s="204"/>
      <c r="RPB35" s="204"/>
      <c r="RPC35" s="204"/>
      <c r="RPD35" s="204"/>
      <c r="RPE35" s="204"/>
      <c r="RPF35" s="204"/>
      <c r="RPG35" s="204"/>
      <c r="RPH35" s="204"/>
      <c r="RPI35" s="204"/>
      <c r="RPJ35" s="204"/>
      <c r="RPK35" s="204"/>
      <c r="RPL35" s="204"/>
      <c r="RPM35" s="204"/>
      <c r="RPN35" s="204"/>
      <c r="RPO35" s="204"/>
      <c r="RPP35" s="204"/>
      <c r="RPQ35" s="204"/>
      <c r="RPR35" s="204"/>
      <c r="RPS35" s="204"/>
      <c r="RPT35" s="204"/>
      <c r="RPU35" s="204"/>
      <c r="RPV35" s="204"/>
      <c r="RPW35" s="204"/>
      <c r="RPX35" s="204"/>
      <c r="RPY35" s="204"/>
      <c r="RPZ35" s="204"/>
      <c r="RQA35" s="204"/>
      <c r="RQB35" s="204"/>
      <c r="RQC35" s="204"/>
      <c r="RQD35" s="204"/>
      <c r="RQE35" s="204"/>
      <c r="RQF35" s="204"/>
      <c r="RQG35" s="204"/>
      <c r="RQH35" s="204"/>
      <c r="RQI35" s="204"/>
      <c r="RQJ35" s="204"/>
      <c r="RQK35" s="204"/>
      <c r="RQL35" s="204"/>
      <c r="RQM35" s="204"/>
      <c r="RQN35" s="204"/>
      <c r="RQO35" s="204"/>
      <c r="RQP35" s="204"/>
      <c r="RQQ35" s="204"/>
      <c r="RQR35" s="204"/>
      <c r="RQS35" s="204"/>
      <c r="RQT35" s="204"/>
      <c r="RQU35" s="204"/>
      <c r="RQV35" s="204"/>
      <c r="RQW35" s="204"/>
      <c r="RQX35" s="204"/>
      <c r="RQY35" s="204"/>
      <c r="RQZ35" s="204"/>
      <c r="RRA35" s="204"/>
      <c r="RRB35" s="204"/>
      <c r="RRC35" s="204"/>
      <c r="RRD35" s="204"/>
      <c r="RRE35" s="204"/>
      <c r="RRF35" s="204"/>
      <c r="RRG35" s="204"/>
      <c r="RRH35" s="204"/>
      <c r="RRI35" s="204"/>
      <c r="RRJ35" s="204"/>
      <c r="RRK35" s="204"/>
      <c r="RRL35" s="204"/>
      <c r="RRM35" s="204"/>
      <c r="RRN35" s="204"/>
      <c r="RRO35" s="204"/>
      <c r="RRP35" s="204"/>
      <c r="RRQ35" s="204"/>
      <c r="RRR35" s="204"/>
      <c r="RRS35" s="204"/>
      <c r="RRT35" s="204"/>
      <c r="RRU35" s="204"/>
      <c r="RRV35" s="204"/>
      <c r="RRW35" s="204"/>
      <c r="RRX35" s="204"/>
      <c r="RRY35" s="204"/>
      <c r="RRZ35" s="204"/>
      <c r="RSA35" s="204"/>
      <c r="RSB35" s="204"/>
      <c r="RSC35" s="204"/>
      <c r="RSD35" s="204"/>
      <c r="RSE35" s="204"/>
      <c r="RSF35" s="204"/>
      <c r="RSG35" s="204"/>
      <c r="RSH35" s="204"/>
      <c r="RSI35" s="204"/>
      <c r="RSJ35" s="204"/>
      <c r="RSK35" s="204"/>
      <c r="RSL35" s="204"/>
      <c r="RSM35" s="204"/>
      <c r="RSN35" s="204"/>
      <c r="RSO35" s="204"/>
      <c r="RSP35" s="204"/>
      <c r="RSQ35" s="204"/>
      <c r="RSR35" s="204"/>
      <c r="RSS35" s="204"/>
      <c r="RST35" s="204"/>
      <c r="RSU35" s="204"/>
      <c r="RSV35" s="204"/>
      <c r="RSW35" s="204"/>
      <c r="RSX35" s="204"/>
      <c r="RSY35" s="204"/>
      <c r="RSZ35" s="204"/>
      <c r="RTA35" s="204"/>
      <c r="RTB35" s="204"/>
      <c r="RTC35" s="204"/>
      <c r="RTD35" s="204"/>
      <c r="RTE35" s="204"/>
      <c r="RTF35" s="204"/>
      <c r="RTG35" s="204"/>
      <c r="RTH35" s="204"/>
      <c r="RTI35" s="204"/>
      <c r="RTJ35" s="204"/>
      <c r="RTK35" s="204"/>
      <c r="RTL35" s="204"/>
      <c r="RTM35" s="204"/>
      <c r="RTN35" s="204"/>
      <c r="RTO35" s="204"/>
      <c r="RTP35" s="204"/>
      <c r="RTQ35" s="204"/>
      <c r="RTR35" s="204"/>
      <c r="RTS35" s="204"/>
      <c r="RTT35" s="204"/>
      <c r="RTU35" s="204"/>
      <c r="RTV35" s="204"/>
      <c r="RTW35" s="204"/>
      <c r="RTX35" s="204"/>
      <c r="RTY35" s="204"/>
      <c r="RTZ35" s="204"/>
      <c r="RUA35" s="204"/>
      <c r="RUB35" s="204"/>
      <c r="RUC35" s="204"/>
      <c r="RUD35" s="204"/>
      <c r="RUE35" s="204"/>
      <c r="RUF35" s="204"/>
      <c r="RUG35" s="204"/>
      <c r="RUH35" s="204"/>
      <c r="RUI35" s="204"/>
      <c r="RUJ35" s="204"/>
      <c r="RUK35" s="204"/>
      <c r="RUL35" s="204"/>
      <c r="RUM35" s="204"/>
      <c r="RUN35" s="204"/>
      <c r="RUO35" s="204"/>
      <c r="RUP35" s="204"/>
      <c r="RUQ35" s="204"/>
      <c r="RUR35" s="204"/>
      <c r="RUS35" s="204"/>
      <c r="RUT35" s="204"/>
      <c r="RUU35" s="204"/>
      <c r="RUV35" s="204"/>
      <c r="RUW35" s="204"/>
      <c r="RUX35" s="204"/>
      <c r="RUY35" s="204"/>
      <c r="RUZ35" s="204"/>
      <c r="RVA35" s="204"/>
      <c r="RVB35" s="204"/>
      <c r="RVC35" s="204"/>
      <c r="RVD35" s="204"/>
      <c r="RVE35" s="204"/>
      <c r="RVF35" s="204"/>
      <c r="RVG35" s="204"/>
      <c r="RVH35" s="204"/>
      <c r="RVI35" s="204"/>
      <c r="RVJ35" s="204"/>
      <c r="RVK35" s="204"/>
      <c r="RVL35" s="204"/>
      <c r="RVM35" s="204"/>
      <c r="RVN35" s="204"/>
      <c r="RVO35" s="204"/>
      <c r="RVP35" s="204"/>
      <c r="RVQ35" s="204"/>
      <c r="RVR35" s="204"/>
      <c r="RVS35" s="204"/>
      <c r="RVT35" s="204"/>
      <c r="RVU35" s="204"/>
      <c r="RVV35" s="204"/>
      <c r="RVW35" s="204"/>
      <c r="RVX35" s="204"/>
      <c r="RVY35" s="204"/>
      <c r="RVZ35" s="204"/>
      <c r="RWA35" s="204"/>
      <c r="RWB35" s="204"/>
      <c r="RWC35" s="204"/>
      <c r="RWD35" s="204"/>
      <c r="RWE35" s="204"/>
      <c r="RWF35" s="204"/>
      <c r="RWG35" s="204"/>
      <c r="RWH35" s="204"/>
      <c r="RWI35" s="204"/>
      <c r="RWJ35" s="204"/>
      <c r="RWK35" s="204"/>
      <c r="RWL35" s="204"/>
      <c r="RWM35" s="204"/>
      <c r="RWN35" s="204"/>
      <c r="RWO35" s="204"/>
      <c r="RWP35" s="204"/>
      <c r="RWQ35" s="204"/>
      <c r="RWR35" s="204"/>
      <c r="RWS35" s="204"/>
      <c r="RWT35" s="204"/>
      <c r="RWU35" s="204"/>
      <c r="RWV35" s="204"/>
      <c r="RWW35" s="204"/>
      <c r="RWX35" s="204"/>
      <c r="RWY35" s="204"/>
      <c r="RWZ35" s="204"/>
      <c r="RXA35" s="204"/>
      <c r="RXB35" s="204"/>
      <c r="RXC35" s="204"/>
      <c r="RXD35" s="204"/>
      <c r="RXE35" s="204"/>
      <c r="RXF35" s="204"/>
      <c r="RXG35" s="204"/>
      <c r="RXH35" s="204"/>
      <c r="RXI35" s="204"/>
      <c r="RXJ35" s="204"/>
      <c r="RXK35" s="204"/>
      <c r="RXL35" s="204"/>
      <c r="RXM35" s="204"/>
      <c r="RXN35" s="204"/>
      <c r="RXO35" s="204"/>
      <c r="RXP35" s="204"/>
      <c r="RXQ35" s="204"/>
      <c r="RXR35" s="204"/>
      <c r="RXS35" s="204"/>
      <c r="RXT35" s="204"/>
      <c r="RXU35" s="204"/>
      <c r="RXV35" s="204"/>
      <c r="RXW35" s="204"/>
      <c r="RXX35" s="204"/>
      <c r="RXY35" s="204"/>
      <c r="RXZ35" s="204"/>
      <c r="RYA35" s="204"/>
      <c r="RYB35" s="204"/>
      <c r="RYC35" s="204"/>
      <c r="RYD35" s="204"/>
      <c r="RYE35" s="204"/>
      <c r="RYF35" s="204"/>
      <c r="RYG35" s="204"/>
      <c r="RYH35" s="204"/>
      <c r="RYI35" s="204"/>
      <c r="RYJ35" s="204"/>
      <c r="RYK35" s="204"/>
      <c r="RYL35" s="204"/>
      <c r="RYM35" s="204"/>
      <c r="RYN35" s="204"/>
      <c r="RYO35" s="204"/>
      <c r="RYP35" s="204"/>
      <c r="RYQ35" s="204"/>
      <c r="RYR35" s="204"/>
      <c r="RYS35" s="204"/>
      <c r="RYT35" s="204"/>
      <c r="RYU35" s="204"/>
      <c r="RYV35" s="204"/>
      <c r="RYW35" s="204"/>
      <c r="RYX35" s="204"/>
      <c r="RYY35" s="204"/>
      <c r="RYZ35" s="204"/>
      <c r="RZA35" s="204"/>
      <c r="RZB35" s="204"/>
      <c r="RZC35" s="204"/>
      <c r="RZD35" s="204"/>
      <c r="RZE35" s="204"/>
      <c r="RZF35" s="204"/>
      <c r="RZG35" s="204"/>
      <c r="RZH35" s="204"/>
      <c r="RZI35" s="204"/>
      <c r="RZJ35" s="204"/>
      <c r="RZK35" s="204"/>
      <c r="RZL35" s="204"/>
      <c r="RZM35" s="204"/>
      <c r="RZN35" s="204"/>
      <c r="RZO35" s="204"/>
      <c r="RZP35" s="204"/>
      <c r="RZQ35" s="204"/>
      <c r="RZR35" s="204"/>
      <c r="RZS35" s="204"/>
      <c r="RZT35" s="204"/>
      <c r="RZU35" s="204"/>
      <c r="RZV35" s="204"/>
      <c r="RZW35" s="204"/>
      <c r="RZX35" s="204"/>
      <c r="RZY35" s="204"/>
      <c r="RZZ35" s="204"/>
      <c r="SAA35" s="204"/>
      <c r="SAB35" s="204"/>
      <c r="SAC35" s="204"/>
      <c r="SAD35" s="204"/>
      <c r="SAE35" s="204"/>
      <c r="SAF35" s="204"/>
      <c r="SAG35" s="204"/>
      <c r="SAH35" s="204"/>
      <c r="SAI35" s="204"/>
      <c r="SAJ35" s="204"/>
      <c r="SAK35" s="204"/>
      <c r="SAL35" s="204"/>
      <c r="SAM35" s="204"/>
      <c r="SAN35" s="204"/>
      <c r="SAO35" s="204"/>
      <c r="SAP35" s="204"/>
      <c r="SAQ35" s="204"/>
      <c r="SAR35" s="204"/>
      <c r="SAS35" s="204"/>
      <c r="SAT35" s="204"/>
      <c r="SAU35" s="204"/>
      <c r="SAV35" s="204"/>
      <c r="SAW35" s="204"/>
      <c r="SAX35" s="204"/>
      <c r="SAY35" s="204"/>
      <c r="SAZ35" s="204"/>
      <c r="SBA35" s="204"/>
      <c r="SBB35" s="204"/>
      <c r="SBC35" s="204"/>
      <c r="SBD35" s="204"/>
      <c r="SBE35" s="204"/>
      <c r="SBF35" s="204"/>
      <c r="SBG35" s="204"/>
      <c r="SBH35" s="204"/>
      <c r="SBI35" s="204"/>
      <c r="SBJ35" s="204"/>
      <c r="SBK35" s="204"/>
      <c r="SBL35" s="204"/>
      <c r="SBM35" s="204"/>
      <c r="SBN35" s="204"/>
      <c r="SBO35" s="204"/>
      <c r="SBP35" s="204"/>
      <c r="SBQ35" s="204"/>
      <c r="SBR35" s="204"/>
      <c r="SBS35" s="204"/>
      <c r="SBT35" s="204"/>
      <c r="SBU35" s="204"/>
      <c r="SBV35" s="204"/>
      <c r="SBW35" s="204"/>
      <c r="SBX35" s="204"/>
      <c r="SBY35" s="204"/>
      <c r="SBZ35" s="204"/>
      <c r="SCA35" s="204"/>
      <c r="SCB35" s="204"/>
      <c r="SCC35" s="204"/>
      <c r="SCD35" s="204"/>
      <c r="SCE35" s="204"/>
      <c r="SCF35" s="204"/>
      <c r="SCG35" s="204"/>
      <c r="SCH35" s="204"/>
      <c r="SCI35" s="204"/>
      <c r="SCJ35" s="204"/>
      <c r="SCK35" s="204"/>
      <c r="SCL35" s="204"/>
      <c r="SCM35" s="204"/>
      <c r="SCN35" s="204"/>
      <c r="SCO35" s="204"/>
      <c r="SCP35" s="204"/>
      <c r="SCQ35" s="204"/>
      <c r="SCR35" s="204"/>
      <c r="SCS35" s="204"/>
      <c r="SCT35" s="204"/>
      <c r="SCU35" s="204"/>
      <c r="SCV35" s="204"/>
      <c r="SCW35" s="204"/>
      <c r="SCX35" s="204"/>
      <c r="SCY35" s="204"/>
      <c r="SCZ35" s="204"/>
      <c r="SDA35" s="204"/>
      <c r="SDB35" s="204"/>
      <c r="SDC35" s="204"/>
      <c r="SDD35" s="204"/>
      <c r="SDE35" s="204"/>
      <c r="SDF35" s="204"/>
      <c r="SDG35" s="204"/>
      <c r="SDH35" s="204"/>
      <c r="SDI35" s="204"/>
      <c r="SDJ35" s="204"/>
      <c r="SDK35" s="204"/>
      <c r="SDL35" s="204"/>
      <c r="SDM35" s="204"/>
      <c r="SDN35" s="204"/>
      <c r="SDO35" s="204"/>
      <c r="SDP35" s="204"/>
      <c r="SDQ35" s="204"/>
      <c r="SDR35" s="204"/>
      <c r="SDS35" s="204"/>
      <c r="SDT35" s="204"/>
      <c r="SDU35" s="204"/>
      <c r="SDV35" s="204"/>
      <c r="SDW35" s="204"/>
      <c r="SDX35" s="204"/>
      <c r="SDY35" s="204"/>
      <c r="SDZ35" s="204"/>
      <c r="SEA35" s="204"/>
      <c r="SEB35" s="204"/>
      <c r="SEC35" s="204"/>
      <c r="SED35" s="204"/>
      <c r="SEE35" s="204"/>
      <c r="SEF35" s="204"/>
      <c r="SEG35" s="204"/>
      <c r="SEH35" s="204"/>
      <c r="SEI35" s="204"/>
      <c r="SEJ35" s="204"/>
      <c r="SEK35" s="204"/>
      <c r="SEL35" s="204"/>
      <c r="SEM35" s="204"/>
      <c r="SEN35" s="204"/>
      <c r="SEO35" s="204"/>
      <c r="SEP35" s="204"/>
      <c r="SEQ35" s="204"/>
      <c r="SER35" s="204"/>
      <c r="SES35" s="204"/>
      <c r="SET35" s="204"/>
      <c r="SEU35" s="204"/>
      <c r="SEV35" s="204"/>
      <c r="SEW35" s="204"/>
      <c r="SEX35" s="204"/>
      <c r="SEY35" s="204"/>
      <c r="SEZ35" s="204"/>
      <c r="SFA35" s="204"/>
      <c r="SFB35" s="204"/>
      <c r="SFC35" s="204"/>
      <c r="SFD35" s="204"/>
      <c r="SFE35" s="204"/>
      <c r="SFF35" s="204"/>
      <c r="SFG35" s="204"/>
      <c r="SFH35" s="204"/>
      <c r="SFI35" s="204"/>
      <c r="SFJ35" s="204"/>
      <c r="SFK35" s="204"/>
      <c r="SFL35" s="204"/>
      <c r="SFM35" s="204"/>
      <c r="SFN35" s="204"/>
      <c r="SFO35" s="204"/>
      <c r="SFP35" s="204"/>
      <c r="SFQ35" s="204"/>
      <c r="SFR35" s="204"/>
      <c r="SFS35" s="204"/>
      <c r="SFT35" s="204"/>
      <c r="SFU35" s="204"/>
      <c r="SFV35" s="204"/>
      <c r="SFW35" s="204"/>
      <c r="SFX35" s="204"/>
      <c r="SFY35" s="204"/>
      <c r="SFZ35" s="204"/>
      <c r="SGA35" s="204"/>
      <c r="SGB35" s="204"/>
      <c r="SGC35" s="204"/>
      <c r="SGD35" s="204"/>
      <c r="SGE35" s="204"/>
      <c r="SGF35" s="204"/>
      <c r="SGG35" s="204"/>
      <c r="SGH35" s="204"/>
      <c r="SGI35" s="204"/>
      <c r="SGJ35" s="204"/>
      <c r="SGK35" s="204"/>
      <c r="SGL35" s="204"/>
      <c r="SGM35" s="204"/>
      <c r="SGN35" s="204"/>
      <c r="SGO35" s="204"/>
      <c r="SGP35" s="204"/>
      <c r="SGQ35" s="204"/>
      <c r="SGR35" s="204"/>
      <c r="SGS35" s="204"/>
      <c r="SGT35" s="204"/>
      <c r="SGU35" s="204"/>
      <c r="SGV35" s="204"/>
      <c r="SGW35" s="204"/>
      <c r="SGX35" s="204"/>
      <c r="SGY35" s="204"/>
      <c r="SGZ35" s="204"/>
      <c r="SHA35" s="204"/>
      <c r="SHB35" s="204"/>
      <c r="SHC35" s="204"/>
      <c r="SHD35" s="204"/>
      <c r="SHE35" s="204"/>
      <c r="SHF35" s="204"/>
      <c r="SHG35" s="204"/>
      <c r="SHH35" s="204"/>
      <c r="SHI35" s="204"/>
      <c r="SHJ35" s="204"/>
      <c r="SHK35" s="204"/>
      <c r="SHL35" s="204"/>
      <c r="SHM35" s="204"/>
      <c r="SHN35" s="204"/>
      <c r="SHO35" s="204"/>
      <c r="SHP35" s="204"/>
      <c r="SHQ35" s="204"/>
      <c r="SHR35" s="204"/>
      <c r="SHS35" s="204"/>
      <c r="SHT35" s="204"/>
      <c r="SHU35" s="204"/>
      <c r="SHV35" s="204"/>
      <c r="SHW35" s="204"/>
      <c r="SHX35" s="204"/>
      <c r="SHY35" s="204"/>
      <c r="SHZ35" s="204"/>
      <c r="SIA35" s="204"/>
      <c r="SIB35" s="204"/>
      <c r="SIC35" s="204"/>
      <c r="SID35" s="204"/>
      <c r="SIE35" s="204"/>
      <c r="SIF35" s="204"/>
      <c r="SIG35" s="204"/>
      <c r="SIH35" s="204"/>
      <c r="SII35" s="204"/>
      <c r="SIJ35" s="204"/>
      <c r="SIK35" s="204"/>
      <c r="SIL35" s="204"/>
      <c r="SIM35" s="204"/>
      <c r="SIN35" s="204"/>
      <c r="SIO35" s="204"/>
      <c r="SIP35" s="204"/>
      <c r="SIQ35" s="204"/>
      <c r="SIR35" s="204"/>
      <c r="SIS35" s="204"/>
      <c r="SIT35" s="204"/>
      <c r="SIU35" s="204"/>
      <c r="SIV35" s="204"/>
      <c r="SIW35" s="204"/>
      <c r="SIX35" s="204"/>
      <c r="SIY35" s="204"/>
      <c r="SIZ35" s="204"/>
      <c r="SJA35" s="204"/>
      <c r="SJB35" s="204"/>
      <c r="SJC35" s="204"/>
      <c r="SJD35" s="204"/>
      <c r="SJE35" s="204"/>
      <c r="SJF35" s="204"/>
      <c r="SJG35" s="204"/>
      <c r="SJH35" s="204"/>
      <c r="SJI35" s="204"/>
      <c r="SJJ35" s="204"/>
      <c r="SJK35" s="204"/>
      <c r="SJL35" s="204"/>
      <c r="SJM35" s="204"/>
      <c r="SJN35" s="204"/>
      <c r="SJO35" s="204"/>
      <c r="SJP35" s="204"/>
      <c r="SJQ35" s="204"/>
      <c r="SJR35" s="204"/>
      <c r="SJS35" s="204"/>
      <c r="SJT35" s="204"/>
      <c r="SJU35" s="204"/>
      <c r="SJV35" s="204"/>
      <c r="SJW35" s="204"/>
      <c r="SJX35" s="204"/>
      <c r="SJY35" s="204"/>
      <c r="SJZ35" s="204"/>
      <c r="SKA35" s="204"/>
      <c r="SKB35" s="204"/>
      <c r="SKC35" s="204"/>
      <c r="SKD35" s="204"/>
      <c r="SKE35" s="204"/>
      <c r="SKF35" s="204"/>
      <c r="SKG35" s="204"/>
      <c r="SKH35" s="204"/>
      <c r="SKI35" s="204"/>
      <c r="SKJ35" s="204"/>
      <c r="SKK35" s="204"/>
      <c r="SKL35" s="204"/>
      <c r="SKM35" s="204"/>
      <c r="SKN35" s="204"/>
      <c r="SKO35" s="204"/>
      <c r="SKP35" s="204"/>
      <c r="SKQ35" s="204"/>
      <c r="SKR35" s="204"/>
      <c r="SKS35" s="204"/>
      <c r="SKT35" s="204"/>
      <c r="SKU35" s="204"/>
      <c r="SKV35" s="204"/>
      <c r="SKW35" s="204"/>
      <c r="SKX35" s="204"/>
      <c r="SKY35" s="204"/>
      <c r="SKZ35" s="204"/>
      <c r="SLA35" s="204"/>
      <c r="SLB35" s="204"/>
      <c r="SLC35" s="204"/>
      <c r="SLD35" s="204"/>
      <c r="SLE35" s="204"/>
      <c r="SLF35" s="204"/>
      <c r="SLG35" s="204"/>
      <c r="SLH35" s="204"/>
      <c r="SLI35" s="204"/>
      <c r="SLJ35" s="204"/>
      <c r="SLK35" s="204"/>
      <c r="SLL35" s="204"/>
      <c r="SLM35" s="204"/>
      <c r="SLN35" s="204"/>
      <c r="SLO35" s="204"/>
      <c r="SLP35" s="204"/>
      <c r="SLQ35" s="204"/>
      <c r="SLR35" s="204"/>
      <c r="SLS35" s="204"/>
      <c r="SLT35" s="204"/>
      <c r="SLU35" s="204"/>
      <c r="SLV35" s="204"/>
      <c r="SLW35" s="204"/>
      <c r="SLX35" s="204"/>
      <c r="SLY35" s="204"/>
      <c r="SLZ35" s="204"/>
      <c r="SMA35" s="204"/>
      <c r="SMB35" s="204"/>
      <c r="SMC35" s="204"/>
      <c r="SMD35" s="204"/>
      <c r="SME35" s="204"/>
      <c r="SMF35" s="204"/>
      <c r="SMG35" s="204"/>
      <c r="SMH35" s="204"/>
      <c r="SMI35" s="204"/>
      <c r="SMJ35" s="204"/>
      <c r="SMK35" s="204"/>
      <c r="SML35" s="204"/>
      <c r="SMM35" s="204"/>
      <c r="SMN35" s="204"/>
      <c r="SMO35" s="204"/>
      <c r="SMP35" s="204"/>
      <c r="SMQ35" s="204"/>
      <c r="SMR35" s="204"/>
      <c r="SMS35" s="204"/>
      <c r="SMT35" s="204"/>
      <c r="SMU35" s="204"/>
      <c r="SMV35" s="204"/>
      <c r="SMW35" s="204"/>
      <c r="SMX35" s="204"/>
      <c r="SMY35" s="204"/>
      <c r="SMZ35" s="204"/>
      <c r="SNA35" s="204"/>
      <c r="SNB35" s="204"/>
      <c r="SNC35" s="204"/>
      <c r="SND35" s="204"/>
      <c r="SNE35" s="204"/>
      <c r="SNF35" s="204"/>
      <c r="SNG35" s="204"/>
      <c r="SNH35" s="204"/>
      <c r="SNI35" s="204"/>
      <c r="SNJ35" s="204"/>
      <c r="SNK35" s="204"/>
      <c r="SNL35" s="204"/>
      <c r="SNM35" s="204"/>
      <c r="SNN35" s="204"/>
      <c r="SNO35" s="204"/>
      <c r="SNP35" s="204"/>
      <c r="SNQ35" s="204"/>
      <c r="SNR35" s="204"/>
      <c r="SNS35" s="204"/>
      <c r="SNT35" s="204"/>
      <c r="SNU35" s="204"/>
      <c r="SNV35" s="204"/>
      <c r="SNW35" s="204"/>
      <c r="SNX35" s="204"/>
      <c r="SNY35" s="204"/>
      <c r="SNZ35" s="204"/>
      <c r="SOA35" s="204"/>
      <c r="SOB35" s="204"/>
      <c r="SOC35" s="204"/>
      <c r="SOD35" s="204"/>
      <c r="SOE35" s="204"/>
      <c r="SOF35" s="204"/>
      <c r="SOG35" s="204"/>
      <c r="SOH35" s="204"/>
      <c r="SOI35" s="204"/>
      <c r="SOJ35" s="204"/>
      <c r="SOK35" s="204"/>
      <c r="SOL35" s="204"/>
      <c r="SOM35" s="204"/>
      <c r="SON35" s="204"/>
      <c r="SOO35" s="204"/>
      <c r="SOP35" s="204"/>
      <c r="SOQ35" s="204"/>
      <c r="SOR35" s="204"/>
      <c r="SOS35" s="204"/>
      <c r="SOT35" s="204"/>
      <c r="SOU35" s="204"/>
      <c r="SOV35" s="204"/>
      <c r="SOW35" s="204"/>
      <c r="SOX35" s="204"/>
      <c r="SOY35" s="204"/>
      <c r="SOZ35" s="204"/>
      <c r="SPA35" s="204"/>
      <c r="SPB35" s="204"/>
      <c r="SPC35" s="204"/>
      <c r="SPD35" s="204"/>
      <c r="SPE35" s="204"/>
      <c r="SPF35" s="204"/>
      <c r="SPG35" s="204"/>
      <c r="SPH35" s="204"/>
      <c r="SPI35" s="204"/>
      <c r="SPJ35" s="204"/>
      <c r="SPK35" s="204"/>
      <c r="SPL35" s="204"/>
      <c r="SPM35" s="204"/>
      <c r="SPN35" s="204"/>
      <c r="SPO35" s="204"/>
      <c r="SPP35" s="204"/>
      <c r="SPQ35" s="204"/>
      <c r="SPR35" s="204"/>
      <c r="SPS35" s="204"/>
      <c r="SPT35" s="204"/>
      <c r="SPU35" s="204"/>
      <c r="SPV35" s="204"/>
      <c r="SPW35" s="204"/>
      <c r="SPX35" s="204"/>
      <c r="SPY35" s="204"/>
      <c r="SPZ35" s="204"/>
      <c r="SQA35" s="204"/>
      <c r="SQB35" s="204"/>
      <c r="SQC35" s="204"/>
      <c r="SQD35" s="204"/>
      <c r="SQE35" s="204"/>
      <c r="SQF35" s="204"/>
      <c r="SQG35" s="204"/>
      <c r="SQH35" s="204"/>
      <c r="SQI35" s="204"/>
      <c r="SQJ35" s="204"/>
      <c r="SQK35" s="204"/>
      <c r="SQL35" s="204"/>
      <c r="SQM35" s="204"/>
      <c r="SQN35" s="204"/>
      <c r="SQO35" s="204"/>
      <c r="SQP35" s="204"/>
      <c r="SQQ35" s="204"/>
      <c r="SQR35" s="204"/>
      <c r="SQS35" s="204"/>
      <c r="SQT35" s="204"/>
      <c r="SQU35" s="204"/>
      <c r="SQV35" s="204"/>
      <c r="SQW35" s="204"/>
      <c r="SQX35" s="204"/>
      <c r="SQY35" s="204"/>
      <c r="SQZ35" s="204"/>
      <c r="SRA35" s="204"/>
      <c r="SRB35" s="204"/>
      <c r="SRC35" s="204"/>
      <c r="SRD35" s="204"/>
      <c r="SRE35" s="204"/>
      <c r="SRF35" s="204"/>
      <c r="SRG35" s="204"/>
      <c r="SRH35" s="204"/>
      <c r="SRI35" s="204"/>
      <c r="SRJ35" s="204"/>
      <c r="SRK35" s="204"/>
      <c r="SRL35" s="204"/>
      <c r="SRM35" s="204"/>
      <c r="SRN35" s="204"/>
      <c r="SRO35" s="204"/>
      <c r="SRP35" s="204"/>
      <c r="SRQ35" s="204"/>
      <c r="SRR35" s="204"/>
      <c r="SRS35" s="204"/>
      <c r="SRT35" s="204"/>
      <c r="SRU35" s="204"/>
      <c r="SRV35" s="204"/>
      <c r="SRW35" s="204"/>
      <c r="SRX35" s="204"/>
      <c r="SRY35" s="204"/>
      <c r="SRZ35" s="204"/>
      <c r="SSA35" s="204"/>
      <c r="SSB35" s="204"/>
      <c r="SSC35" s="204"/>
      <c r="SSD35" s="204"/>
      <c r="SSE35" s="204"/>
      <c r="SSF35" s="204"/>
      <c r="SSG35" s="204"/>
      <c r="SSH35" s="204"/>
      <c r="SSI35" s="204"/>
      <c r="SSJ35" s="204"/>
      <c r="SSK35" s="204"/>
      <c r="SSL35" s="204"/>
      <c r="SSM35" s="204"/>
      <c r="SSN35" s="204"/>
      <c r="SSO35" s="204"/>
      <c r="SSP35" s="204"/>
      <c r="SSQ35" s="204"/>
      <c r="SSR35" s="204"/>
      <c r="SSS35" s="204"/>
      <c r="SST35" s="204"/>
      <c r="SSU35" s="204"/>
      <c r="SSV35" s="204"/>
      <c r="SSW35" s="204"/>
      <c r="SSX35" s="204"/>
      <c r="SSY35" s="204"/>
      <c r="SSZ35" s="204"/>
      <c r="STA35" s="204"/>
      <c r="STB35" s="204"/>
      <c r="STC35" s="204"/>
      <c r="STD35" s="204"/>
      <c r="STE35" s="204"/>
      <c r="STF35" s="204"/>
      <c r="STG35" s="204"/>
      <c r="STH35" s="204"/>
      <c r="STI35" s="204"/>
      <c r="STJ35" s="204"/>
      <c r="STK35" s="204"/>
      <c r="STL35" s="204"/>
      <c r="STM35" s="204"/>
      <c r="STN35" s="204"/>
      <c r="STO35" s="204"/>
      <c r="STP35" s="204"/>
      <c r="STQ35" s="204"/>
      <c r="STR35" s="204"/>
      <c r="STS35" s="204"/>
      <c r="STT35" s="204"/>
      <c r="STU35" s="204"/>
      <c r="STV35" s="204"/>
      <c r="STW35" s="204"/>
      <c r="STX35" s="204"/>
      <c r="STY35" s="204"/>
      <c r="STZ35" s="204"/>
      <c r="SUA35" s="204"/>
      <c r="SUB35" s="204"/>
      <c r="SUC35" s="204"/>
      <c r="SUD35" s="204"/>
      <c r="SUE35" s="204"/>
      <c r="SUF35" s="204"/>
      <c r="SUG35" s="204"/>
      <c r="SUH35" s="204"/>
      <c r="SUI35" s="204"/>
      <c r="SUJ35" s="204"/>
      <c r="SUK35" s="204"/>
      <c r="SUL35" s="204"/>
      <c r="SUM35" s="204"/>
      <c r="SUN35" s="204"/>
      <c r="SUO35" s="204"/>
      <c r="SUP35" s="204"/>
      <c r="SUQ35" s="204"/>
      <c r="SUR35" s="204"/>
      <c r="SUS35" s="204"/>
      <c r="SUT35" s="204"/>
      <c r="SUU35" s="204"/>
      <c r="SUV35" s="204"/>
      <c r="SUW35" s="204"/>
      <c r="SUX35" s="204"/>
      <c r="SUY35" s="204"/>
      <c r="SUZ35" s="204"/>
      <c r="SVA35" s="204"/>
      <c r="SVB35" s="204"/>
      <c r="SVC35" s="204"/>
      <c r="SVD35" s="204"/>
      <c r="SVE35" s="204"/>
      <c r="SVF35" s="204"/>
      <c r="SVG35" s="204"/>
      <c r="SVH35" s="204"/>
      <c r="SVI35" s="204"/>
      <c r="SVJ35" s="204"/>
      <c r="SVK35" s="204"/>
      <c r="SVL35" s="204"/>
      <c r="SVM35" s="204"/>
      <c r="SVN35" s="204"/>
      <c r="SVO35" s="204"/>
      <c r="SVP35" s="204"/>
      <c r="SVQ35" s="204"/>
      <c r="SVR35" s="204"/>
      <c r="SVS35" s="204"/>
      <c r="SVT35" s="204"/>
      <c r="SVU35" s="204"/>
      <c r="SVV35" s="204"/>
      <c r="SVW35" s="204"/>
      <c r="SVX35" s="204"/>
      <c r="SVY35" s="204"/>
      <c r="SVZ35" s="204"/>
      <c r="SWA35" s="204"/>
      <c r="SWB35" s="204"/>
      <c r="SWC35" s="204"/>
      <c r="SWD35" s="204"/>
      <c r="SWE35" s="204"/>
      <c r="SWF35" s="204"/>
      <c r="SWG35" s="204"/>
      <c r="SWH35" s="204"/>
      <c r="SWI35" s="204"/>
      <c r="SWJ35" s="204"/>
      <c r="SWK35" s="204"/>
      <c r="SWL35" s="204"/>
      <c r="SWM35" s="204"/>
      <c r="SWN35" s="204"/>
      <c r="SWO35" s="204"/>
      <c r="SWP35" s="204"/>
      <c r="SWQ35" s="204"/>
      <c r="SWR35" s="204"/>
      <c r="SWS35" s="204"/>
      <c r="SWT35" s="204"/>
      <c r="SWU35" s="204"/>
      <c r="SWV35" s="204"/>
      <c r="SWW35" s="204"/>
      <c r="SWX35" s="204"/>
      <c r="SWY35" s="204"/>
      <c r="SWZ35" s="204"/>
      <c r="SXA35" s="204"/>
      <c r="SXB35" s="204"/>
      <c r="SXC35" s="204"/>
      <c r="SXD35" s="204"/>
      <c r="SXE35" s="204"/>
      <c r="SXF35" s="204"/>
      <c r="SXG35" s="204"/>
      <c r="SXH35" s="204"/>
      <c r="SXI35" s="204"/>
      <c r="SXJ35" s="204"/>
      <c r="SXK35" s="204"/>
      <c r="SXL35" s="204"/>
      <c r="SXM35" s="204"/>
      <c r="SXN35" s="204"/>
      <c r="SXO35" s="204"/>
      <c r="SXP35" s="204"/>
      <c r="SXQ35" s="204"/>
      <c r="SXR35" s="204"/>
      <c r="SXS35" s="204"/>
      <c r="SXT35" s="204"/>
      <c r="SXU35" s="204"/>
      <c r="SXV35" s="204"/>
      <c r="SXW35" s="204"/>
      <c r="SXX35" s="204"/>
      <c r="SXY35" s="204"/>
      <c r="SXZ35" s="204"/>
      <c r="SYA35" s="204"/>
      <c r="SYB35" s="204"/>
      <c r="SYC35" s="204"/>
      <c r="SYD35" s="204"/>
      <c r="SYE35" s="204"/>
      <c r="SYF35" s="204"/>
      <c r="SYG35" s="204"/>
      <c r="SYH35" s="204"/>
      <c r="SYI35" s="204"/>
      <c r="SYJ35" s="204"/>
      <c r="SYK35" s="204"/>
      <c r="SYL35" s="204"/>
      <c r="SYM35" s="204"/>
      <c r="SYN35" s="204"/>
      <c r="SYO35" s="204"/>
      <c r="SYP35" s="204"/>
      <c r="SYQ35" s="204"/>
      <c r="SYR35" s="204"/>
      <c r="SYS35" s="204"/>
      <c r="SYT35" s="204"/>
      <c r="SYU35" s="204"/>
      <c r="SYV35" s="204"/>
      <c r="SYW35" s="204"/>
      <c r="SYX35" s="204"/>
      <c r="SYY35" s="204"/>
      <c r="SYZ35" s="204"/>
      <c r="SZA35" s="204"/>
      <c r="SZB35" s="204"/>
      <c r="SZC35" s="204"/>
      <c r="SZD35" s="204"/>
      <c r="SZE35" s="204"/>
      <c r="SZF35" s="204"/>
      <c r="SZG35" s="204"/>
      <c r="SZH35" s="204"/>
      <c r="SZI35" s="204"/>
      <c r="SZJ35" s="204"/>
      <c r="SZK35" s="204"/>
      <c r="SZL35" s="204"/>
      <c r="SZM35" s="204"/>
      <c r="SZN35" s="204"/>
      <c r="SZO35" s="204"/>
      <c r="SZP35" s="204"/>
      <c r="SZQ35" s="204"/>
      <c r="SZR35" s="204"/>
      <c r="SZS35" s="204"/>
      <c r="SZT35" s="204"/>
      <c r="SZU35" s="204"/>
      <c r="SZV35" s="204"/>
      <c r="SZW35" s="204"/>
      <c r="SZX35" s="204"/>
      <c r="SZY35" s="204"/>
      <c r="SZZ35" s="204"/>
      <c r="TAA35" s="204"/>
      <c r="TAB35" s="204"/>
      <c r="TAC35" s="204"/>
      <c r="TAD35" s="204"/>
      <c r="TAE35" s="204"/>
      <c r="TAF35" s="204"/>
      <c r="TAG35" s="204"/>
      <c r="TAH35" s="204"/>
      <c r="TAI35" s="204"/>
      <c r="TAJ35" s="204"/>
      <c r="TAK35" s="204"/>
      <c r="TAL35" s="204"/>
      <c r="TAM35" s="204"/>
      <c r="TAN35" s="204"/>
      <c r="TAO35" s="204"/>
      <c r="TAP35" s="204"/>
      <c r="TAQ35" s="204"/>
      <c r="TAR35" s="204"/>
      <c r="TAS35" s="204"/>
      <c r="TAT35" s="204"/>
      <c r="TAU35" s="204"/>
      <c r="TAV35" s="204"/>
      <c r="TAW35" s="204"/>
      <c r="TAX35" s="204"/>
      <c r="TAY35" s="204"/>
      <c r="TAZ35" s="204"/>
      <c r="TBA35" s="204"/>
      <c r="TBB35" s="204"/>
      <c r="TBC35" s="204"/>
      <c r="TBD35" s="204"/>
      <c r="TBE35" s="204"/>
      <c r="TBF35" s="204"/>
      <c r="TBG35" s="204"/>
      <c r="TBH35" s="204"/>
      <c r="TBI35" s="204"/>
      <c r="TBJ35" s="204"/>
      <c r="TBK35" s="204"/>
      <c r="TBL35" s="204"/>
      <c r="TBM35" s="204"/>
      <c r="TBN35" s="204"/>
      <c r="TBO35" s="204"/>
      <c r="TBP35" s="204"/>
      <c r="TBQ35" s="204"/>
      <c r="TBR35" s="204"/>
      <c r="TBS35" s="204"/>
      <c r="TBT35" s="204"/>
      <c r="TBU35" s="204"/>
      <c r="TBV35" s="204"/>
      <c r="TBW35" s="204"/>
      <c r="TBX35" s="204"/>
      <c r="TBY35" s="204"/>
      <c r="TBZ35" s="204"/>
      <c r="TCA35" s="204"/>
      <c r="TCB35" s="204"/>
      <c r="TCC35" s="204"/>
      <c r="TCD35" s="204"/>
      <c r="TCE35" s="204"/>
      <c r="TCF35" s="204"/>
      <c r="TCG35" s="204"/>
      <c r="TCH35" s="204"/>
      <c r="TCI35" s="204"/>
      <c r="TCJ35" s="204"/>
      <c r="TCK35" s="204"/>
      <c r="TCL35" s="204"/>
      <c r="TCM35" s="204"/>
      <c r="TCN35" s="204"/>
      <c r="TCO35" s="204"/>
      <c r="TCP35" s="204"/>
      <c r="TCQ35" s="204"/>
      <c r="TCR35" s="204"/>
      <c r="TCS35" s="204"/>
      <c r="TCT35" s="204"/>
      <c r="TCU35" s="204"/>
      <c r="TCV35" s="204"/>
      <c r="TCW35" s="204"/>
      <c r="TCX35" s="204"/>
      <c r="TCY35" s="204"/>
      <c r="TCZ35" s="204"/>
      <c r="TDA35" s="204"/>
      <c r="TDB35" s="204"/>
      <c r="TDC35" s="204"/>
      <c r="TDD35" s="204"/>
      <c r="TDE35" s="204"/>
      <c r="TDF35" s="204"/>
      <c r="TDG35" s="204"/>
      <c r="TDH35" s="204"/>
      <c r="TDI35" s="204"/>
      <c r="TDJ35" s="204"/>
      <c r="TDK35" s="204"/>
      <c r="TDL35" s="204"/>
      <c r="TDM35" s="204"/>
      <c r="TDN35" s="204"/>
      <c r="TDO35" s="204"/>
      <c r="TDP35" s="204"/>
      <c r="TDQ35" s="204"/>
      <c r="TDR35" s="204"/>
      <c r="TDS35" s="204"/>
      <c r="TDT35" s="204"/>
      <c r="TDU35" s="204"/>
      <c r="TDV35" s="204"/>
      <c r="TDW35" s="204"/>
      <c r="TDX35" s="204"/>
      <c r="TDY35" s="204"/>
      <c r="TDZ35" s="204"/>
      <c r="TEA35" s="204"/>
      <c r="TEB35" s="204"/>
      <c r="TEC35" s="204"/>
      <c r="TED35" s="204"/>
      <c r="TEE35" s="204"/>
      <c r="TEF35" s="204"/>
      <c r="TEG35" s="204"/>
      <c r="TEH35" s="204"/>
      <c r="TEI35" s="204"/>
      <c r="TEJ35" s="204"/>
      <c r="TEK35" s="204"/>
      <c r="TEL35" s="204"/>
      <c r="TEM35" s="204"/>
      <c r="TEN35" s="204"/>
      <c r="TEO35" s="204"/>
      <c r="TEP35" s="204"/>
      <c r="TEQ35" s="204"/>
      <c r="TER35" s="204"/>
      <c r="TES35" s="204"/>
      <c r="TET35" s="204"/>
      <c r="TEU35" s="204"/>
      <c r="TEV35" s="204"/>
      <c r="TEW35" s="204"/>
      <c r="TEX35" s="204"/>
      <c r="TEY35" s="204"/>
      <c r="TEZ35" s="204"/>
      <c r="TFA35" s="204"/>
      <c r="TFB35" s="204"/>
      <c r="TFC35" s="204"/>
      <c r="TFD35" s="204"/>
      <c r="TFE35" s="204"/>
      <c r="TFF35" s="204"/>
      <c r="TFG35" s="204"/>
      <c r="TFH35" s="204"/>
      <c r="TFI35" s="204"/>
      <c r="TFJ35" s="204"/>
      <c r="TFK35" s="204"/>
      <c r="TFL35" s="204"/>
      <c r="TFM35" s="204"/>
      <c r="TFN35" s="204"/>
      <c r="TFO35" s="204"/>
      <c r="TFP35" s="204"/>
      <c r="TFQ35" s="204"/>
      <c r="TFR35" s="204"/>
      <c r="TFS35" s="204"/>
      <c r="TFT35" s="204"/>
      <c r="TFU35" s="204"/>
      <c r="TFV35" s="204"/>
      <c r="TFW35" s="204"/>
      <c r="TFX35" s="204"/>
      <c r="TFY35" s="204"/>
      <c r="TFZ35" s="204"/>
      <c r="TGA35" s="204"/>
      <c r="TGB35" s="204"/>
      <c r="TGC35" s="204"/>
      <c r="TGD35" s="204"/>
      <c r="TGE35" s="204"/>
      <c r="TGF35" s="204"/>
      <c r="TGG35" s="204"/>
      <c r="TGH35" s="204"/>
      <c r="TGI35" s="204"/>
      <c r="TGJ35" s="204"/>
      <c r="TGK35" s="204"/>
      <c r="TGL35" s="204"/>
      <c r="TGM35" s="204"/>
      <c r="TGN35" s="204"/>
      <c r="TGO35" s="204"/>
      <c r="TGP35" s="204"/>
      <c r="TGQ35" s="204"/>
      <c r="TGR35" s="204"/>
      <c r="TGS35" s="204"/>
      <c r="TGT35" s="204"/>
      <c r="TGU35" s="204"/>
      <c r="TGV35" s="204"/>
      <c r="TGW35" s="204"/>
      <c r="TGX35" s="204"/>
      <c r="TGY35" s="204"/>
      <c r="TGZ35" s="204"/>
      <c r="THA35" s="204"/>
      <c r="THB35" s="204"/>
      <c r="THC35" s="204"/>
      <c r="THD35" s="204"/>
      <c r="THE35" s="204"/>
      <c r="THF35" s="204"/>
      <c r="THG35" s="204"/>
      <c r="THH35" s="204"/>
      <c r="THI35" s="204"/>
      <c r="THJ35" s="204"/>
      <c r="THK35" s="204"/>
      <c r="THL35" s="204"/>
      <c r="THM35" s="204"/>
      <c r="THN35" s="204"/>
      <c r="THO35" s="204"/>
      <c r="THP35" s="204"/>
      <c r="THQ35" s="204"/>
      <c r="THR35" s="204"/>
      <c r="THS35" s="204"/>
      <c r="THT35" s="204"/>
      <c r="THU35" s="204"/>
      <c r="THV35" s="204"/>
      <c r="THW35" s="204"/>
      <c r="THX35" s="204"/>
      <c r="THY35" s="204"/>
      <c r="THZ35" s="204"/>
      <c r="TIA35" s="204"/>
      <c r="TIB35" s="204"/>
      <c r="TIC35" s="204"/>
      <c r="TID35" s="204"/>
      <c r="TIE35" s="204"/>
      <c r="TIF35" s="204"/>
      <c r="TIG35" s="204"/>
      <c r="TIH35" s="204"/>
      <c r="TII35" s="204"/>
      <c r="TIJ35" s="204"/>
      <c r="TIK35" s="204"/>
      <c r="TIL35" s="204"/>
      <c r="TIM35" s="204"/>
      <c r="TIN35" s="204"/>
      <c r="TIO35" s="204"/>
      <c r="TIP35" s="204"/>
      <c r="TIQ35" s="204"/>
      <c r="TIR35" s="204"/>
      <c r="TIS35" s="204"/>
      <c r="TIT35" s="204"/>
      <c r="TIU35" s="204"/>
      <c r="TIV35" s="204"/>
      <c r="TIW35" s="204"/>
      <c r="TIX35" s="204"/>
      <c r="TIY35" s="204"/>
      <c r="TIZ35" s="204"/>
      <c r="TJA35" s="204"/>
      <c r="TJB35" s="204"/>
      <c r="TJC35" s="204"/>
      <c r="TJD35" s="204"/>
      <c r="TJE35" s="204"/>
      <c r="TJF35" s="204"/>
      <c r="TJG35" s="204"/>
      <c r="TJH35" s="204"/>
      <c r="TJI35" s="204"/>
      <c r="TJJ35" s="204"/>
      <c r="TJK35" s="204"/>
      <c r="TJL35" s="204"/>
      <c r="TJM35" s="204"/>
      <c r="TJN35" s="204"/>
      <c r="TJO35" s="204"/>
      <c r="TJP35" s="204"/>
      <c r="TJQ35" s="204"/>
      <c r="TJR35" s="204"/>
      <c r="TJS35" s="204"/>
      <c r="TJT35" s="204"/>
      <c r="TJU35" s="204"/>
      <c r="TJV35" s="204"/>
      <c r="TJW35" s="204"/>
      <c r="TJX35" s="204"/>
      <c r="TJY35" s="204"/>
      <c r="TJZ35" s="204"/>
      <c r="TKA35" s="204"/>
      <c r="TKB35" s="204"/>
      <c r="TKC35" s="204"/>
      <c r="TKD35" s="204"/>
      <c r="TKE35" s="204"/>
      <c r="TKF35" s="204"/>
      <c r="TKG35" s="204"/>
      <c r="TKH35" s="204"/>
      <c r="TKI35" s="204"/>
      <c r="TKJ35" s="204"/>
      <c r="TKK35" s="204"/>
      <c r="TKL35" s="204"/>
      <c r="TKM35" s="204"/>
      <c r="TKN35" s="204"/>
      <c r="TKO35" s="204"/>
      <c r="TKP35" s="204"/>
      <c r="TKQ35" s="204"/>
      <c r="TKR35" s="204"/>
      <c r="TKS35" s="204"/>
      <c r="TKT35" s="204"/>
      <c r="TKU35" s="204"/>
      <c r="TKV35" s="204"/>
      <c r="TKW35" s="204"/>
      <c r="TKX35" s="204"/>
      <c r="TKY35" s="204"/>
      <c r="TKZ35" s="204"/>
      <c r="TLA35" s="204"/>
      <c r="TLB35" s="204"/>
      <c r="TLC35" s="204"/>
      <c r="TLD35" s="204"/>
      <c r="TLE35" s="204"/>
      <c r="TLF35" s="204"/>
      <c r="TLG35" s="204"/>
      <c r="TLH35" s="204"/>
      <c r="TLI35" s="204"/>
      <c r="TLJ35" s="204"/>
      <c r="TLK35" s="204"/>
      <c r="TLL35" s="204"/>
      <c r="TLM35" s="204"/>
      <c r="TLN35" s="204"/>
      <c r="TLO35" s="204"/>
      <c r="TLP35" s="204"/>
      <c r="TLQ35" s="204"/>
      <c r="TLR35" s="204"/>
      <c r="TLS35" s="204"/>
      <c r="TLT35" s="204"/>
      <c r="TLU35" s="204"/>
      <c r="TLV35" s="204"/>
      <c r="TLW35" s="204"/>
      <c r="TLX35" s="204"/>
      <c r="TLY35" s="204"/>
      <c r="TLZ35" s="204"/>
      <c r="TMA35" s="204"/>
      <c r="TMB35" s="204"/>
      <c r="TMC35" s="204"/>
      <c r="TMD35" s="204"/>
      <c r="TME35" s="204"/>
      <c r="TMF35" s="204"/>
      <c r="TMG35" s="204"/>
      <c r="TMH35" s="204"/>
      <c r="TMI35" s="204"/>
      <c r="TMJ35" s="204"/>
      <c r="TMK35" s="204"/>
      <c r="TML35" s="204"/>
      <c r="TMM35" s="204"/>
      <c r="TMN35" s="204"/>
      <c r="TMO35" s="204"/>
      <c r="TMP35" s="204"/>
      <c r="TMQ35" s="204"/>
      <c r="TMR35" s="204"/>
      <c r="TMS35" s="204"/>
      <c r="TMT35" s="204"/>
      <c r="TMU35" s="204"/>
      <c r="TMV35" s="204"/>
      <c r="TMW35" s="204"/>
      <c r="TMX35" s="204"/>
      <c r="TMY35" s="204"/>
      <c r="TMZ35" s="204"/>
      <c r="TNA35" s="204"/>
      <c r="TNB35" s="204"/>
      <c r="TNC35" s="204"/>
      <c r="TND35" s="204"/>
      <c r="TNE35" s="204"/>
      <c r="TNF35" s="204"/>
      <c r="TNG35" s="204"/>
      <c r="TNH35" s="204"/>
      <c r="TNI35" s="204"/>
      <c r="TNJ35" s="204"/>
      <c r="TNK35" s="204"/>
      <c r="TNL35" s="204"/>
      <c r="TNM35" s="204"/>
      <c r="TNN35" s="204"/>
      <c r="TNO35" s="204"/>
      <c r="TNP35" s="204"/>
      <c r="TNQ35" s="204"/>
      <c r="TNR35" s="204"/>
      <c r="TNS35" s="204"/>
      <c r="TNT35" s="204"/>
      <c r="TNU35" s="204"/>
      <c r="TNV35" s="204"/>
      <c r="TNW35" s="204"/>
      <c r="TNX35" s="204"/>
      <c r="TNY35" s="204"/>
      <c r="TNZ35" s="204"/>
      <c r="TOA35" s="204"/>
      <c r="TOB35" s="204"/>
      <c r="TOC35" s="204"/>
      <c r="TOD35" s="204"/>
      <c r="TOE35" s="204"/>
      <c r="TOF35" s="204"/>
      <c r="TOG35" s="204"/>
      <c r="TOH35" s="204"/>
      <c r="TOI35" s="204"/>
      <c r="TOJ35" s="204"/>
      <c r="TOK35" s="204"/>
      <c r="TOL35" s="204"/>
      <c r="TOM35" s="204"/>
      <c r="TON35" s="204"/>
      <c r="TOO35" s="204"/>
      <c r="TOP35" s="204"/>
      <c r="TOQ35" s="204"/>
      <c r="TOR35" s="204"/>
      <c r="TOS35" s="204"/>
      <c r="TOT35" s="204"/>
      <c r="TOU35" s="204"/>
      <c r="TOV35" s="204"/>
      <c r="TOW35" s="204"/>
      <c r="TOX35" s="204"/>
      <c r="TOY35" s="204"/>
      <c r="TOZ35" s="204"/>
      <c r="TPA35" s="204"/>
      <c r="TPB35" s="204"/>
      <c r="TPC35" s="204"/>
      <c r="TPD35" s="204"/>
      <c r="TPE35" s="204"/>
      <c r="TPF35" s="204"/>
      <c r="TPG35" s="204"/>
      <c r="TPH35" s="204"/>
      <c r="TPI35" s="204"/>
      <c r="TPJ35" s="204"/>
      <c r="TPK35" s="204"/>
      <c r="TPL35" s="204"/>
      <c r="TPM35" s="204"/>
      <c r="TPN35" s="204"/>
      <c r="TPO35" s="204"/>
      <c r="TPP35" s="204"/>
      <c r="TPQ35" s="204"/>
      <c r="TPR35" s="204"/>
      <c r="TPS35" s="204"/>
      <c r="TPT35" s="204"/>
      <c r="TPU35" s="204"/>
      <c r="TPV35" s="204"/>
      <c r="TPW35" s="204"/>
      <c r="TPX35" s="204"/>
      <c r="TPY35" s="204"/>
      <c r="TPZ35" s="204"/>
      <c r="TQA35" s="204"/>
      <c r="TQB35" s="204"/>
      <c r="TQC35" s="204"/>
      <c r="TQD35" s="204"/>
      <c r="TQE35" s="204"/>
      <c r="TQF35" s="204"/>
      <c r="TQG35" s="204"/>
      <c r="TQH35" s="204"/>
      <c r="TQI35" s="204"/>
      <c r="TQJ35" s="204"/>
      <c r="TQK35" s="204"/>
      <c r="TQL35" s="204"/>
      <c r="TQM35" s="204"/>
      <c r="TQN35" s="204"/>
      <c r="TQO35" s="204"/>
      <c r="TQP35" s="204"/>
      <c r="TQQ35" s="204"/>
      <c r="TQR35" s="204"/>
      <c r="TQS35" s="204"/>
      <c r="TQT35" s="204"/>
      <c r="TQU35" s="204"/>
      <c r="TQV35" s="204"/>
      <c r="TQW35" s="204"/>
      <c r="TQX35" s="204"/>
      <c r="TQY35" s="204"/>
      <c r="TQZ35" s="204"/>
      <c r="TRA35" s="204"/>
      <c r="TRB35" s="204"/>
      <c r="TRC35" s="204"/>
      <c r="TRD35" s="204"/>
      <c r="TRE35" s="204"/>
      <c r="TRF35" s="204"/>
      <c r="TRG35" s="204"/>
      <c r="TRH35" s="204"/>
      <c r="TRI35" s="204"/>
      <c r="TRJ35" s="204"/>
      <c r="TRK35" s="204"/>
      <c r="TRL35" s="204"/>
      <c r="TRM35" s="204"/>
      <c r="TRN35" s="204"/>
      <c r="TRO35" s="204"/>
      <c r="TRP35" s="204"/>
      <c r="TRQ35" s="204"/>
      <c r="TRR35" s="204"/>
      <c r="TRS35" s="204"/>
      <c r="TRT35" s="204"/>
      <c r="TRU35" s="204"/>
      <c r="TRV35" s="204"/>
      <c r="TRW35" s="204"/>
      <c r="TRX35" s="204"/>
      <c r="TRY35" s="204"/>
      <c r="TRZ35" s="204"/>
      <c r="TSA35" s="204"/>
      <c r="TSB35" s="204"/>
      <c r="TSC35" s="204"/>
      <c r="TSD35" s="204"/>
      <c r="TSE35" s="204"/>
      <c r="TSF35" s="204"/>
      <c r="TSG35" s="204"/>
      <c r="TSH35" s="204"/>
      <c r="TSI35" s="204"/>
      <c r="TSJ35" s="204"/>
      <c r="TSK35" s="204"/>
      <c r="TSL35" s="204"/>
      <c r="TSM35" s="204"/>
      <c r="TSN35" s="204"/>
      <c r="TSO35" s="204"/>
      <c r="TSP35" s="204"/>
      <c r="TSQ35" s="204"/>
      <c r="TSR35" s="204"/>
      <c r="TSS35" s="204"/>
      <c r="TST35" s="204"/>
      <c r="TSU35" s="204"/>
      <c r="TSV35" s="204"/>
      <c r="TSW35" s="204"/>
      <c r="TSX35" s="204"/>
      <c r="TSY35" s="204"/>
      <c r="TSZ35" s="204"/>
      <c r="TTA35" s="204"/>
      <c r="TTB35" s="204"/>
      <c r="TTC35" s="204"/>
      <c r="TTD35" s="204"/>
      <c r="TTE35" s="204"/>
      <c r="TTF35" s="204"/>
      <c r="TTG35" s="204"/>
      <c r="TTH35" s="204"/>
      <c r="TTI35" s="204"/>
      <c r="TTJ35" s="204"/>
      <c r="TTK35" s="204"/>
      <c r="TTL35" s="204"/>
      <c r="TTM35" s="204"/>
      <c r="TTN35" s="204"/>
      <c r="TTO35" s="204"/>
      <c r="TTP35" s="204"/>
      <c r="TTQ35" s="204"/>
      <c r="TTR35" s="204"/>
      <c r="TTS35" s="204"/>
      <c r="TTT35" s="204"/>
      <c r="TTU35" s="204"/>
      <c r="TTV35" s="204"/>
      <c r="TTW35" s="204"/>
      <c r="TTX35" s="204"/>
      <c r="TTY35" s="204"/>
      <c r="TTZ35" s="204"/>
      <c r="TUA35" s="204"/>
      <c r="TUB35" s="204"/>
      <c r="TUC35" s="204"/>
      <c r="TUD35" s="204"/>
      <c r="TUE35" s="204"/>
      <c r="TUF35" s="204"/>
      <c r="TUG35" s="204"/>
      <c r="TUH35" s="204"/>
      <c r="TUI35" s="204"/>
      <c r="TUJ35" s="204"/>
      <c r="TUK35" s="204"/>
      <c r="TUL35" s="204"/>
      <c r="TUM35" s="204"/>
      <c r="TUN35" s="204"/>
      <c r="TUO35" s="204"/>
      <c r="TUP35" s="204"/>
      <c r="TUQ35" s="204"/>
      <c r="TUR35" s="204"/>
      <c r="TUS35" s="204"/>
      <c r="TUT35" s="204"/>
      <c r="TUU35" s="204"/>
      <c r="TUV35" s="204"/>
      <c r="TUW35" s="204"/>
      <c r="TUX35" s="204"/>
      <c r="TUY35" s="204"/>
      <c r="TUZ35" s="204"/>
      <c r="TVA35" s="204"/>
      <c r="TVB35" s="204"/>
      <c r="TVC35" s="204"/>
      <c r="TVD35" s="204"/>
      <c r="TVE35" s="204"/>
      <c r="TVF35" s="204"/>
      <c r="TVG35" s="204"/>
      <c r="TVH35" s="204"/>
      <c r="TVI35" s="204"/>
      <c r="TVJ35" s="204"/>
      <c r="TVK35" s="204"/>
      <c r="TVL35" s="204"/>
      <c r="TVM35" s="204"/>
      <c r="TVN35" s="204"/>
      <c r="TVO35" s="204"/>
      <c r="TVP35" s="204"/>
      <c r="TVQ35" s="204"/>
      <c r="TVR35" s="204"/>
      <c r="TVS35" s="204"/>
      <c r="TVT35" s="204"/>
      <c r="TVU35" s="204"/>
      <c r="TVV35" s="204"/>
      <c r="TVW35" s="204"/>
      <c r="TVX35" s="204"/>
      <c r="TVY35" s="204"/>
      <c r="TVZ35" s="204"/>
      <c r="TWA35" s="204"/>
      <c r="TWB35" s="204"/>
      <c r="TWC35" s="204"/>
      <c r="TWD35" s="204"/>
      <c r="TWE35" s="204"/>
      <c r="TWF35" s="204"/>
      <c r="TWG35" s="204"/>
      <c r="TWH35" s="204"/>
      <c r="TWI35" s="204"/>
      <c r="TWJ35" s="204"/>
      <c r="TWK35" s="204"/>
      <c r="TWL35" s="204"/>
      <c r="TWM35" s="204"/>
      <c r="TWN35" s="204"/>
      <c r="TWO35" s="204"/>
      <c r="TWP35" s="204"/>
      <c r="TWQ35" s="204"/>
      <c r="TWR35" s="204"/>
      <c r="TWS35" s="204"/>
      <c r="TWT35" s="204"/>
      <c r="TWU35" s="204"/>
      <c r="TWV35" s="204"/>
      <c r="TWW35" s="204"/>
      <c r="TWX35" s="204"/>
      <c r="TWY35" s="204"/>
      <c r="TWZ35" s="204"/>
      <c r="TXA35" s="204"/>
      <c r="TXB35" s="204"/>
      <c r="TXC35" s="204"/>
      <c r="TXD35" s="204"/>
      <c r="TXE35" s="204"/>
      <c r="TXF35" s="204"/>
      <c r="TXG35" s="204"/>
      <c r="TXH35" s="204"/>
      <c r="TXI35" s="204"/>
      <c r="TXJ35" s="204"/>
      <c r="TXK35" s="204"/>
      <c r="TXL35" s="204"/>
      <c r="TXM35" s="204"/>
      <c r="TXN35" s="204"/>
      <c r="TXO35" s="204"/>
      <c r="TXP35" s="204"/>
      <c r="TXQ35" s="204"/>
      <c r="TXR35" s="204"/>
      <c r="TXS35" s="204"/>
      <c r="TXT35" s="204"/>
      <c r="TXU35" s="204"/>
      <c r="TXV35" s="204"/>
      <c r="TXW35" s="204"/>
      <c r="TXX35" s="204"/>
      <c r="TXY35" s="204"/>
      <c r="TXZ35" s="204"/>
      <c r="TYA35" s="204"/>
      <c r="TYB35" s="204"/>
      <c r="TYC35" s="204"/>
      <c r="TYD35" s="204"/>
      <c r="TYE35" s="204"/>
      <c r="TYF35" s="204"/>
      <c r="TYG35" s="204"/>
      <c r="TYH35" s="204"/>
      <c r="TYI35" s="204"/>
      <c r="TYJ35" s="204"/>
      <c r="TYK35" s="204"/>
      <c r="TYL35" s="204"/>
      <c r="TYM35" s="204"/>
      <c r="TYN35" s="204"/>
      <c r="TYO35" s="204"/>
      <c r="TYP35" s="204"/>
      <c r="TYQ35" s="204"/>
      <c r="TYR35" s="204"/>
      <c r="TYS35" s="204"/>
      <c r="TYT35" s="204"/>
      <c r="TYU35" s="204"/>
      <c r="TYV35" s="204"/>
      <c r="TYW35" s="204"/>
      <c r="TYX35" s="204"/>
      <c r="TYY35" s="204"/>
      <c r="TYZ35" s="204"/>
      <c r="TZA35" s="204"/>
      <c r="TZB35" s="204"/>
      <c r="TZC35" s="204"/>
      <c r="TZD35" s="204"/>
      <c r="TZE35" s="204"/>
      <c r="TZF35" s="204"/>
      <c r="TZG35" s="204"/>
      <c r="TZH35" s="204"/>
      <c r="TZI35" s="204"/>
      <c r="TZJ35" s="204"/>
      <c r="TZK35" s="204"/>
      <c r="TZL35" s="204"/>
      <c r="TZM35" s="204"/>
      <c r="TZN35" s="204"/>
      <c r="TZO35" s="204"/>
      <c r="TZP35" s="204"/>
      <c r="TZQ35" s="204"/>
      <c r="TZR35" s="204"/>
      <c r="TZS35" s="204"/>
      <c r="TZT35" s="204"/>
      <c r="TZU35" s="204"/>
      <c r="TZV35" s="204"/>
      <c r="TZW35" s="204"/>
      <c r="TZX35" s="204"/>
      <c r="TZY35" s="204"/>
      <c r="TZZ35" s="204"/>
      <c r="UAA35" s="204"/>
      <c r="UAB35" s="204"/>
      <c r="UAC35" s="204"/>
      <c r="UAD35" s="204"/>
      <c r="UAE35" s="204"/>
      <c r="UAF35" s="204"/>
      <c r="UAG35" s="204"/>
      <c r="UAH35" s="204"/>
      <c r="UAI35" s="204"/>
      <c r="UAJ35" s="204"/>
      <c r="UAK35" s="204"/>
      <c r="UAL35" s="204"/>
      <c r="UAM35" s="204"/>
      <c r="UAN35" s="204"/>
      <c r="UAO35" s="204"/>
      <c r="UAP35" s="204"/>
      <c r="UAQ35" s="204"/>
      <c r="UAR35" s="204"/>
      <c r="UAS35" s="204"/>
      <c r="UAT35" s="204"/>
      <c r="UAU35" s="204"/>
      <c r="UAV35" s="204"/>
      <c r="UAW35" s="204"/>
      <c r="UAX35" s="204"/>
      <c r="UAY35" s="204"/>
      <c r="UAZ35" s="204"/>
      <c r="UBA35" s="204"/>
      <c r="UBB35" s="204"/>
      <c r="UBC35" s="204"/>
      <c r="UBD35" s="204"/>
      <c r="UBE35" s="204"/>
      <c r="UBF35" s="204"/>
      <c r="UBG35" s="204"/>
      <c r="UBH35" s="204"/>
      <c r="UBI35" s="204"/>
      <c r="UBJ35" s="204"/>
      <c r="UBK35" s="204"/>
      <c r="UBL35" s="204"/>
      <c r="UBM35" s="204"/>
      <c r="UBN35" s="204"/>
      <c r="UBO35" s="204"/>
      <c r="UBP35" s="204"/>
      <c r="UBQ35" s="204"/>
      <c r="UBR35" s="204"/>
      <c r="UBS35" s="204"/>
      <c r="UBT35" s="204"/>
      <c r="UBU35" s="204"/>
      <c r="UBV35" s="204"/>
      <c r="UBW35" s="204"/>
      <c r="UBX35" s="204"/>
      <c r="UBY35" s="204"/>
      <c r="UBZ35" s="204"/>
      <c r="UCA35" s="204"/>
      <c r="UCB35" s="204"/>
      <c r="UCC35" s="204"/>
      <c r="UCD35" s="204"/>
      <c r="UCE35" s="204"/>
      <c r="UCF35" s="204"/>
      <c r="UCG35" s="204"/>
      <c r="UCH35" s="204"/>
      <c r="UCI35" s="204"/>
      <c r="UCJ35" s="204"/>
      <c r="UCK35" s="204"/>
      <c r="UCL35" s="204"/>
      <c r="UCM35" s="204"/>
      <c r="UCN35" s="204"/>
      <c r="UCO35" s="204"/>
      <c r="UCP35" s="204"/>
      <c r="UCQ35" s="204"/>
      <c r="UCR35" s="204"/>
      <c r="UCS35" s="204"/>
      <c r="UCT35" s="204"/>
      <c r="UCU35" s="204"/>
      <c r="UCV35" s="204"/>
      <c r="UCW35" s="204"/>
      <c r="UCX35" s="204"/>
      <c r="UCY35" s="204"/>
      <c r="UCZ35" s="204"/>
      <c r="UDA35" s="204"/>
      <c r="UDB35" s="204"/>
      <c r="UDC35" s="204"/>
      <c r="UDD35" s="204"/>
      <c r="UDE35" s="204"/>
      <c r="UDF35" s="204"/>
      <c r="UDG35" s="204"/>
      <c r="UDH35" s="204"/>
      <c r="UDI35" s="204"/>
      <c r="UDJ35" s="204"/>
      <c r="UDK35" s="204"/>
      <c r="UDL35" s="204"/>
      <c r="UDM35" s="204"/>
      <c r="UDN35" s="204"/>
      <c r="UDO35" s="204"/>
      <c r="UDP35" s="204"/>
      <c r="UDQ35" s="204"/>
      <c r="UDR35" s="204"/>
      <c r="UDS35" s="204"/>
      <c r="UDT35" s="204"/>
      <c r="UDU35" s="204"/>
      <c r="UDV35" s="204"/>
      <c r="UDW35" s="204"/>
      <c r="UDX35" s="204"/>
      <c r="UDY35" s="204"/>
      <c r="UDZ35" s="204"/>
      <c r="UEA35" s="204"/>
      <c r="UEB35" s="204"/>
      <c r="UEC35" s="204"/>
      <c r="UED35" s="204"/>
      <c r="UEE35" s="204"/>
      <c r="UEF35" s="204"/>
      <c r="UEG35" s="204"/>
      <c r="UEH35" s="204"/>
      <c r="UEI35" s="204"/>
      <c r="UEJ35" s="204"/>
      <c r="UEK35" s="204"/>
      <c r="UEL35" s="204"/>
      <c r="UEM35" s="204"/>
      <c r="UEN35" s="204"/>
      <c r="UEO35" s="204"/>
      <c r="UEP35" s="204"/>
      <c r="UEQ35" s="204"/>
      <c r="UER35" s="204"/>
      <c r="UES35" s="204"/>
      <c r="UET35" s="204"/>
      <c r="UEU35" s="204"/>
      <c r="UEV35" s="204"/>
      <c r="UEW35" s="204"/>
      <c r="UEX35" s="204"/>
      <c r="UEY35" s="204"/>
      <c r="UEZ35" s="204"/>
      <c r="UFA35" s="204"/>
      <c r="UFB35" s="204"/>
      <c r="UFC35" s="204"/>
      <c r="UFD35" s="204"/>
      <c r="UFE35" s="204"/>
      <c r="UFF35" s="204"/>
      <c r="UFG35" s="204"/>
      <c r="UFH35" s="204"/>
      <c r="UFI35" s="204"/>
      <c r="UFJ35" s="204"/>
      <c r="UFK35" s="204"/>
      <c r="UFL35" s="204"/>
      <c r="UFM35" s="204"/>
      <c r="UFN35" s="204"/>
      <c r="UFO35" s="204"/>
      <c r="UFP35" s="204"/>
      <c r="UFQ35" s="204"/>
      <c r="UFR35" s="204"/>
      <c r="UFS35" s="204"/>
      <c r="UFT35" s="204"/>
      <c r="UFU35" s="204"/>
      <c r="UFV35" s="204"/>
      <c r="UFW35" s="204"/>
      <c r="UFX35" s="204"/>
      <c r="UFY35" s="204"/>
      <c r="UFZ35" s="204"/>
      <c r="UGA35" s="204"/>
      <c r="UGB35" s="204"/>
      <c r="UGC35" s="204"/>
      <c r="UGD35" s="204"/>
      <c r="UGE35" s="204"/>
      <c r="UGF35" s="204"/>
      <c r="UGG35" s="204"/>
      <c r="UGH35" s="204"/>
      <c r="UGI35" s="204"/>
      <c r="UGJ35" s="204"/>
      <c r="UGK35" s="204"/>
      <c r="UGL35" s="204"/>
      <c r="UGM35" s="204"/>
      <c r="UGN35" s="204"/>
      <c r="UGO35" s="204"/>
      <c r="UGP35" s="204"/>
      <c r="UGQ35" s="204"/>
      <c r="UGR35" s="204"/>
      <c r="UGS35" s="204"/>
      <c r="UGT35" s="204"/>
      <c r="UGU35" s="204"/>
      <c r="UGV35" s="204"/>
      <c r="UGW35" s="204"/>
      <c r="UGX35" s="204"/>
      <c r="UGY35" s="204"/>
      <c r="UGZ35" s="204"/>
      <c r="UHA35" s="204"/>
      <c r="UHB35" s="204"/>
      <c r="UHC35" s="204"/>
      <c r="UHD35" s="204"/>
      <c r="UHE35" s="204"/>
      <c r="UHF35" s="204"/>
      <c r="UHG35" s="204"/>
      <c r="UHH35" s="204"/>
      <c r="UHI35" s="204"/>
      <c r="UHJ35" s="204"/>
      <c r="UHK35" s="204"/>
      <c r="UHL35" s="204"/>
      <c r="UHM35" s="204"/>
      <c r="UHN35" s="204"/>
      <c r="UHO35" s="204"/>
      <c r="UHP35" s="204"/>
      <c r="UHQ35" s="204"/>
      <c r="UHR35" s="204"/>
      <c r="UHS35" s="204"/>
      <c r="UHT35" s="204"/>
      <c r="UHU35" s="204"/>
      <c r="UHV35" s="204"/>
      <c r="UHW35" s="204"/>
      <c r="UHX35" s="204"/>
      <c r="UHY35" s="204"/>
      <c r="UHZ35" s="204"/>
      <c r="UIA35" s="204"/>
      <c r="UIB35" s="204"/>
      <c r="UIC35" s="204"/>
      <c r="UID35" s="204"/>
      <c r="UIE35" s="204"/>
      <c r="UIF35" s="204"/>
      <c r="UIG35" s="204"/>
      <c r="UIH35" s="204"/>
      <c r="UII35" s="204"/>
      <c r="UIJ35" s="204"/>
      <c r="UIK35" s="204"/>
      <c r="UIL35" s="204"/>
      <c r="UIM35" s="204"/>
      <c r="UIN35" s="204"/>
      <c r="UIO35" s="204"/>
      <c r="UIP35" s="204"/>
      <c r="UIQ35" s="204"/>
      <c r="UIR35" s="204"/>
      <c r="UIS35" s="204"/>
      <c r="UIT35" s="204"/>
      <c r="UIU35" s="204"/>
      <c r="UIV35" s="204"/>
      <c r="UIW35" s="204"/>
      <c r="UIX35" s="204"/>
      <c r="UIY35" s="204"/>
      <c r="UIZ35" s="204"/>
      <c r="UJA35" s="204"/>
      <c r="UJB35" s="204"/>
      <c r="UJC35" s="204"/>
      <c r="UJD35" s="204"/>
      <c r="UJE35" s="204"/>
      <c r="UJF35" s="204"/>
      <c r="UJG35" s="204"/>
      <c r="UJH35" s="204"/>
      <c r="UJI35" s="204"/>
      <c r="UJJ35" s="204"/>
      <c r="UJK35" s="204"/>
      <c r="UJL35" s="204"/>
      <c r="UJM35" s="204"/>
      <c r="UJN35" s="204"/>
      <c r="UJO35" s="204"/>
      <c r="UJP35" s="204"/>
      <c r="UJQ35" s="204"/>
      <c r="UJR35" s="204"/>
      <c r="UJS35" s="204"/>
      <c r="UJT35" s="204"/>
      <c r="UJU35" s="204"/>
      <c r="UJV35" s="204"/>
      <c r="UJW35" s="204"/>
      <c r="UJX35" s="204"/>
      <c r="UJY35" s="204"/>
      <c r="UJZ35" s="204"/>
      <c r="UKA35" s="204"/>
      <c r="UKB35" s="204"/>
      <c r="UKC35" s="204"/>
      <c r="UKD35" s="204"/>
      <c r="UKE35" s="204"/>
      <c r="UKF35" s="204"/>
      <c r="UKG35" s="204"/>
      <c r="UKH35" s="204"/>
      <c r="UKI35" s="204"/>
      <c r="UKJ35" s="204"/>
      <c r="UKK35" s="204"/>
      <c r="UKL35" s="204"/>
      <c r="UKM35" s="204"/>
      <c r="UKN35" s="204"/>
      <c r="UKO35" s="204"/>
      <c r="UKP35" s="204"/>
      <c r="UKQ35" s="204"/>
      <c r="UKR35" s="204"/>
      <c r="UKS35" s="204"/>
      <c r="UKT35" s="204"/>
      <c r="UKU35" s="204"/>
      <c r="UKV35" s="204"/>
      <c r="UKW35" s="204"/>
      <c r="UKX35" s="204"/>
      <c r="UKY35" s="204"/>
      <c r="UKZ35" s="204"/>
      <c r="ULA35" s="204"/>
      <c r="ULB35" s="204"/>
      <c r="ULC35" s="204"/>
      <c r="ULD35" s="204"/>
      <c r="ULE35" s="204"/>
      <c r="ULF35" s="204"/>
      <c r="ULG35" s="204"/>
      <c r="ULH35" s="204"/>
      <c r="ULI35" s="204"/>
      <c r="ULJ35" s="204"/>
      <c r="ULK35" s="204"/>
      <c r="ULL35" s="204"/>
      <c r="ULM35" s="204"/>
      <c r="ULN35" s="204"/>
      <c r="ULO35" s="204"/>
      <c r="ULP35" s="204"/>
      <c r="ULQ35" s="204"/>
      <c r="ULR35" s="204"/>
      <c r="ULS35" s="204"/>
      <c r="ULT35" s="204"/>
      <c r="ULU35" s="204"/>
      <c r="ULV35" s="204"/>
      <c r="ULW35" s="204"/>
      <c r="ULX35" s="204"/>
      <c r="ULY35" s="204"/>
      <c r="ULZ35" s="204"/>
      <c r="UMA35" s="204"/>
      <c r="UMB35" s="204"/>
      <c r="UMC35" s="204"/>
      <c r="UMD35" s="204"/>
      <c r="UME35" s="204"/>
      <c r="UMF35" s="204"/>
      <c r="UMG35" s="204"/>
      <c r="UMH35" s="204"/>
      <c r="UMI35" s="204"/>
      <c r="UMJ35" s="204"/>
      <c r="UMK35" s="204"/>
      <c r="UML35" s="204"/>
      <c r="UMM35" s="204"/>
      <c r="UMN35" s="204"/>
      <c r="UMO35" s="204"/>
      <c r="UMP35" s="204"/>
      <c r="UMQ35" s="204"/>
      <c r="UMR35" s="204"/>
      <c r="UMS35" s="204"/>
      <c r="UMT35" s="204"/>
      <c r="UMU35" s="204"/>
      <c r="UMV35" s="204"/>
      <c r="UMW35" s="204"/>
      <c r="UMX35" s="204"/>
      <c r="UMY35" s="204"/>
      <c r="UMZ35" s="204"/>
      <c r="UNA35" s="204"/>
      <c r="UNB35" s="204"/>
      <c r="UNC35" s="204"/>
      <c r="UND35" s="204"/>
      <c r="UNE35" s="204"/>
      <c r="UNF35" s="204"/>
      <c r="UNG35" s="204"/>
      <c r="UNH35" s="204"/>
      <c r="UNI35" s="204"/>
      <c r="UNJ35" s="204"/>
      <c r="UNK35" s="204"/>
      <c r="UNL35" s="204"/>
      <c r="UNM35" s="204"/>
      <c r="UNN35" s="204"/>
      <c r="UNO35" s="204"/>
      <c r="UNP35" s="204"/>
      <c r="UNQ35" s="204"/>
      <c r="UNR35" s="204"/>
      <c r="UNS35" s="204"/>
      <c r="UNT35" s="204"/>
      <c r="UNU35" s="204"/>
      <c r="UNV35" s="204"/>
      <c r="UNW35" s="204"/>
      <c r="UNX35" s="204"/>
      <c r="UNY35" s="204"/>
      <c r="UNZ35" s="204"/>
      <c r="UOA35" s="204"/>
      <c r="UOB35" s="204"/>
      <c r="UOC35" s="204"/>
      <c r="UOD35" s="204"/>
      <c r="UOE35" s="204"/>
      <c r="UOF35" s="204"/>
      <c r="UOG35" s="204"/>
      <c r="UOH35" s="204"/>
      <c r="UOI35" s="204"/>
      <c r="UOJ35" s="204"/>
      <c r="UOK35" s="204"/>
      <c r="UOL35" s="204"/>
      <c r="UOM35" s="204"/>
      <c r="UON35" s="204"/>
      <c r="UOO35" s="204"/>
      <c r="UOP35" s="204"/>
      <c r="UOQ35" s="204"/>
      <c r="UOR35" s="204"/>
      <c r="UOS35" s="204"/>
      <c r="UOT35" s="204"/>
      <c r="UOU35" s="204"/>
      <c r="UOV35" s="204"/>
      <c r="UOW35" s="204"/>
      <c r="UOX35" s="204"/>
      <c r="UOY35" s="204"/>
      <c r="UOZ35" s="204"/>
      <c r="UPA35" s="204"/>
      <c r="UPB35" s="204"/>
      <c r="UPC35" s="204"/>
      <c r="UPD35" s="204"/>
      <c r="UPE35" s="204"/>
      <c r="UPF35" s="204"/>
      <c r="UPG35" s="204"/>
      <c r="UPH35" s="204"/>
      <c r="UPI35" s="204"/>
      <c r="UPJ35" s="204"/>
      <c r="UPK35" s="204"/>
      <c r="UPL35" s="204"/>
      <c r="UPM35" s="204"/>
      <c r="UPN35" s="204"/>
      <c r="UPO35" s="204"/>
      <c r="UPP35" s="204"/>
      <c r="UPQ35" s="204"/>
      <c r="UPR35" s="204"/>
      <c r="UPS35" s="204"/>
      <c r="UPT35" s="204"/>
      <c r="UPU35" s="204"/>
      <c r="UPV35" s="204"/>
      <c r="UPW35" s="204"/>
      <c r="UPX35" s="204"/>
      <c r="UPY35" s="204"/>
      <c r="UPZ35" s="204"/>
      <c r="UQA35" s="204"/>
      <c r="UQB35" s="204"/>
      <c r="UQC35" s="204"/>
      <c r="UQD35" s="204"/>
      <c r="UQE35" s="204"/>
      <c r="UQF35" s="204"/>
      <c r="UQG35" s="204"/>
      <c r="UQH35" s="204"/>
      <c r="UQI35" s="204"/>
      <c r="UQJ35" s="204"/>
      <c r="UQK35" s="204"/>
      <c r="UQL35" s="204"/>
      <c r="UQM35" s="204"/>
      <c r="UQN35" s="204"/>
      <c r="UQO35" s="204"/>
      <c r="UQP35" s="204"/>
      <c r="UQQ35" s="204"/>
      <c r="UQR35" s="204"/>
      <c r="UQS35" s="204"/>
      <c r="UQT35" s="204"/>
      <c r="UQU35" s="204"/>
      <c r="UQV35" s="204"/>
      <c r="UQW35" s="204"/>
      <c r="UQX35" s="204"/>
      <c r="UQY35" s="204"/>
      <c r="UQZ35" s="204"/>
      <c r="URA35" s="204"/>
      <c r="URB35" s="204"/>
      <c r="URC35" s="204"/>
      <c r="URD35" s="204"/>
      <c r="URE35" s="204"/>
      <c r="URF35" s="204"/>
      <c r="URG35" s="204"/>
      <c r="URH35" s="204"/>
      <c r="URI35" s="204"/>
      <c r="URJ35" s="204"/>
      <c r="URK35" s="204"/>
      <c r="URL35" s="204"/>
      <c r="URM35" s="204"/>
      <c r="URN35" s="204"/>
      <c r="URO35" s="204"/>
      <c r="URP35" s="204"/>
      <c r="URQ35" s="204"/>
      <c r="URR35" s="204"/>
      <c r="URS35" s="204"/>
      <c r="URT35" s="204"/>
      <c r="URU35" s="204"/>
      <c r="URV35" s="204"/>
      <c r="URW35" s="204"/>
      <c r="URX35" s="204"/>
      <c r="URY35" s="204"/>
      <c r="URZ35" s="204"/>
      <c r="USA35" s="204"/>
      <c r="USB35" s="204"/>
      <c r="USC35" s="204"/>
      <c r="USD35" s="204"/>
      <c r="USE35" s="204"/>
      <c r="USF35" s="204"/>
      <c r="USG35" s="204"/>
      <c r="USH35" s="204"/>
      <c r="USI35" s="204"/>
      <c r="USJ35" s="204"/>
      <c r="USK35" s="204"/>
      <c r="USL35" s="204"/>
      <c r="USM35" s="204"/>
      <c r="USN35" s="204"/>
      <c r="USO35" s="204"/>
      <c r="USP35" s="204"/>
      <c r="USQ35" s="204"/>
      <c r="USR35" s="204"/>
      <c r="USS35" s="204"/>
      <c r="UST35" s="204"/>
      <c r="USU35" s="204"/>
      <c r="USV35" s="204"/>
      <c r="USW35" s="204"/>
      <c r="USX35" s="204"/>
      <c r="USY35" s="204"/>
      <c r="USZ35" s="204"/>
      <c r="UTA35" s="204"/>
      <c r="UTB35" s="204"/>
      <c r="UTC35" s="204"/>
      <c r="UTD35" s="204"/>
      <c r="UTE35" s="204"/>
      <c r="UTF35" s="204"/>
      <c r="UTG35" s="204"/>
      <c r="UTH35" s="204"/>
      <c r="UTI35" s="204"/>
      <c r="UTJ35" s="204"/>
      <c r="UTK35" s="204"/>
      <c r="UTL35" s="204"/>
      <c r="UTM35" s="204"/>
      <c r="UTN35" s="204"/>
      <c r="UTO35" s="204"/>
      <c r="UTP35" s="204"/>
      <c r="UTQ35" s="204"/>
      <c r="UTR35" s="204"/>
      <c r="UTS35" s="204"/>
      <c r="UTT35" s="204"/>
      <c r="UTU35" s="204"/>
      <c r="UTV35" s="204"/>
      <c r="UTW35" s="204"/>
      <c r="UTX35" s="204"/>
      <c r="UTY35" s="204"/>
      <c r="UTZ35" s="204"/>
      <c r="UUA35" s="204"/>
      <c r="UUB35" s="204"/>
      <c r="UUC35" s="204"/>
      <c r="UUD35" s="204"/>
      <c r="UUE35" s="204"/>
      <c r="UUF35" s="204"/>
      <c r="UUG35" s="204"/>
      <c r="UUH35" s="204"/>
      <c r="UUI35" s="204"/>
      <c r="UUJ35" s="204"/>
      <c r="UUK35" s="204"/>
      <c r="UUL35" s="204"/>
      <c r="UUM35" s="204"/>
      <c r="UUN35" s="204"/>
      <c r="UUO35" s="204"/>
      <c r="UUP35" s="204"/>
      <c r="UUQ35" s="204"/>
      <c r="UUR35" s="204"/>
      <c r="UUS35" s="204"/>
      <c r="UUT35" s="204"/>
      <c r="UUU35" s="204"/>
      <c r="UUV35" s="204"/>
      <c r="UUW35" s="204"/>
      <c r="UUX35" s="204"/>
      <c r="UUY35" s="204"/>
      <c r="UUZ35" s="204"/>
      <c r="UVA35" s="204"/>
      <c r="UVB35" s="204"/>
      <c r="UVC35" s="204"/>
      <c r="UVD35" s="204"/>
      <c r="UVE35" s="204"/>
      <c r="UVF35" s="204"/>
      <c r="UVG35" s="204"/>
      <c r="UVH35" s="204"/>
      <c r="UVI35" s="204"/>
      <c r="UVJ35" s="204"/>
      <c r="UVK35" s="204"/>
      <c r="UVL35" s="204"/>
      <c r="UVM35" s="204"/>
      <c r="UVN35" s="204"/>
      <c r="UVO35" s="204"/>
      <c r="UVP35" s="204"/>
      <c r="UVQ35" s="204"/>
      <c r="UVR35" s="204"/>
      <c r="UVS35" s="204"/>
      <c r="UVT35" s="204"/>
      <c r="UVU35" s="204"/>
      <c r="UVV35" s="204"/>
      <c r="UVW35" s="204"/>
      <c r="UVX35" s="204"/>
      <c r="UVY35" s="204"/>
      <c r="UVZ35" s="204"/>
      <c r="UWA35" s="204"/>
      <c r="UWB35" s="204"/>
      <c r="UWC35" s="204"/>
      <c r="UWD35" s="204"/>
      <c r="UWE35" s="204"/>
      <c r="UWF35" s="204"/>
      <c r="UWG35" s="204"/>
      <c r="UWH35" s="204"/>
      <c r="UWI35" s="204"/>
      <c r="UWJ35" s="204"/>
      <c r="UWK35" s="204"/>
      <c r="UWL35" s="204"/>
      <c r="UWM35" s="204"/>
      <c r="UWN35" s="204"/>
      <c r="UWO35" s="204"/>
      <c r="UWP35" s="204"/>
      <c r="UWQ35" s="204"/>
      <c r="UWR35" s="204"/>
      <c r="UWS35" s="204"/>
      <c r="UWT35" s="204"/>
      <c r="UWU35" s="204"/>
      <c r="UWV35" s="204"/>
      <c r="UWW35" s="204"/>
      <c r="UWX35" s="204"/>
      <c r="UWY35" s="204"/>
      <c r="UWZ35" s="204"/>
      <c r="UXA35" s="204"/>
      <c r="UXB35" s="204"/>
      <c r="UXC35" s="204"/>
      <c r="UXD35" s="204"/>
      <c r="UXE35" s="204"/>
      <c r="UXF35" s="204"/>
      <c r="UXG35" s="204"/>
      <c r="UXH35" s="204"/>
      <c r="UXI35" s="204"/>
      <c r="UXJ35" s="204"/>
      <c r="UXK35" s="204"/>
      <c r="UXL35" s="204"/>
      <c r="UXM35" s="204"/>
      <c r="UXN35" s="204"/>
      <c r="UXO35" s="204"/>
      <c r="UXP35" s="204"/>
      <c r="UXQ35" s="204"/>
      <c r="UXR35" s="204"/>
      <c r="UXS35" s="204"/>
      <c r="UXT35" s="204"/>
      <c r="UXU35" s="204"/>
      <c r="UXV35" s="204"/>
      <c r="UXW35" s="204"/>
      <c r="UXX35" s="204"/>
      <c r="UXY35" s="204"/>
      <c r="UXZ35" s="204"/>
      <c r="UYA35" s="204"/>
      <c r="UYB35" s="204"/>
      <c r="UYC35" s="204"/>
      <c r="UYD35" s="204"/>
      <c r="UYE35" s="204"/>
      <c r="UYF35" s="204"/>
      <c r="UYG35" s="204"/>
      <c r="UYH35" s="204"/>
      <c r="UYI35" s="204"/>
      <c r="UYJ35" s="204"/>
      <c r="UYK35" s="204"/>
      <c r="UYL35" s="204"/>
      <c r="UYM35" s="204"/>
      <c r="UYN35" s="204"/>
      <c r="UYO35" s="204"/>
      <c r="UYP35" s="204"/>
      <c r="UYQ35" s="204"/>
      <c r="UYR35" s="204"/>
      <c r="UYS35" s="204"/>
      <c r="UYT35" s="204"/>
      <c r="UYU35" s="204"/>
      <c r="UYV35" s="204"/>
      <c r="UYW35" s="204"/>
      <c r="UYX35" s="204"/>
      <c r="UYY35" s="204"/>
      <c r="UYZ35" s="204"/>
      <c r="UZA35" s="204"/>
      <c r="UZB35" s="204"/>
      <c r="UZC35" s="204"/>
      <c r="UZD35" s="204"/>
      <c r="UZE35" s="204"/>
      <c r="UZF35" s="204"/>
      <c r="UZG35" s="204"/>
      <c r="UZH35" s="204"/>
      <c r="UZI35" s="204"/>
      <c r="UZJ35" s="204"/>
      <c r="UZK35" s="204"/>
      <c r="UZL35" s="204"/>
      <c r="UZM35" s="204"/>
      <c r="UZN35" s="204"/>
      <c r="UZO35" s="204"/>
      <c r="UZP35" s="204"/>
      <c r="UZQ35" s="204"/>
      <c r="UZR35" s="204"/>
      <c r="UZS35" s="204"/>
      <c r="UZT35" s="204"/>
      <c r="UZU35" s="204"/>
      <c r="UZV35" s="204"/>
      <c r="UZW35" s="204"/>
      <c r="UZX35" s="204"/>
      <c r="UZY35" s="204"/>
      <c r="UZZ35" s="204"/>
      <c r="VAA35" s="204"/>
      <c r="VAB35" s="204"/>
      <c r="VAC35" s="204"/>
      <c r="VAD35" s="204"/>
      <c r="VAE35" s="204"/>
      <c r="VAF35" s="204"/>
      <c r="VAG35" s="204"/>
      <c r="VAH35" s="204"/>
      <c r="VAI35" s="204"/>
      <c r="VAJ35" s="204"/>
      <c r="VAK35" s="204"/>
      <c r="VAL35" s="204"/>
      <c r="VAM35" s="204"/>
      <c r="VAN35" s="204"/>
      <c r="VAO35" s="204"/>
      <c r="VAP35" s="204"/>
      <c r="VAQ35" s="204"/>
      <c r="VAR35" s="204"/>
      <c r="VAS35" s="204"/>
      <c r="VAT35" s="204"/>
      <c r="VAU35" s="204"/>
      <c r="VAV35" s="204"/>
      <c r="VAW35" s="204"/>
      <c r="VAX35" s="204"/>
      <c r="VAY35" s="204"/>
      <c r="VAZ35" s="204"/>
      <c r="VBA35" s="204"/>
      <c r="VBB35" s="204"/>
      <c r="VBC35" s="204"/>
      <c r="VBD35" s="204"/>
      <c r="VBE35" s="204"/>
      <c r="VBF35" s="204"/>
      <c r="VBG35" s="204"/>
      <c r="VBH35" s="204"/>
      <c r="VBI35" s="204"/>
      <c r="VBJ35" s="204"/>
      <c r="VBK35" s="204"/>
      <c r="VBL35" s="204"/>
      <c r="VBM35" s="204"/>
      <c r="VBN35" s="204"/>
      <c r="VBO35" s="204"/>
      <c r="VBP35" s="204"/>
      <c r="VBQ35" s="204"/>
      <c r="VBR35" s="204"/>
      <c r="VBS35" s="204"/>
      <c r="VBT35" s="204"/>
      <c r="VBU35" s="204"/>
      <c r="VBV35" s="204"/>
      <c r="VBW35" s="204"/>
      <c r="VBX35" s="204"/>
      <c r="VBY35" s="204"/>
      <c r="VBZ35" s="204"/>
      <c r="VCA35" s="204"/>
      <c r="VCB35" s="204"/>
      <c r="VCC35" s="204"/>
      <c r="VCD35" s="204"/>
      <c r="VCE35" s="204"/>
      <c r="VCF35" s="204"/>
      <c r="VCG35" s="204"/>
      <c r="VCH35" s="204"/>
      <c r="VCI35" s="204"/>
      <c r="VCJ35" s="204"/>
      <c r="VCK35" s="204"/>
      <c r="VCL35" s="204"/>
      <c r="VCM35" s="204"/>
      <c r="VCN35" s="204"/>
      <c r="VCO35" s="204"/>
      <c r="VCP35" s="204"/>
      <c r="VCQ35" s="204"/>
      <c r="VCR35" s="204"/>
      <c r="VCS35" s="204"/>
      <c r="VCT35" s="204"/>
      <c r="VCU35" s="204"/>
      <c r="VCV35" s="204"/>
      <c r="VCW35" s="204"/>
      <c r="VCX35" s="204"/>
      <c r="VCY35" s="204"/>
      <c r="VCZ35" s="204"/>
      <c r="VDA35" s="204"/>
      <c r="VDB35" s="204"/>
      <c r="VDC35" s="204"/>
      <c r="VDD35" s="204"/>
      <c r="VDE35" s="204"/>
      <c r="VDF35" s="204"/>
      <c r="VDG35" s="204"/>
      <c r="VDH35" s="204"/>
      <c r="VDI35" s="204"/>
      <c r="VDJ35" s="204"/>
      <c r="VDK35" s="204"/>
      <c r="VDL35" s="204"/>
      <c r="VDM35" s="204"/>
      <c r="VDN35" s="204"/>
      <c r="VDO35" s="204"/>
      <c r="VDP35" s="204"/>
      <c r="VDQ35" s="204"/>
      <c r="VDR35" s="204"/>
      <c r="VDS35" s="204"/>
      <c r="VDT35" s="204"/>
      <c r="VDU35" s="204"/>
      <c r="VDV35" s="204"/>
      <c r="VDW35" s="204"/>
      <c r="VDX35" s="204"/>
      <c r="VDY35" s="204"/>
      <c r="VDZ35" s="204"/>
      <c r="VEA35" s="204"/>
      <c r="VEB35" s="204"/>
      <c r="VEC35" s="204"/>
      <c r="VED35" s="204"/>
      <c r="VEE35" s="204"/>
      <c r="VEF35" s="204"/>
      <c r="VEG35" s="204"/>
      <c r="VEH35" s="204"/>
      <c r="VEI35" s="204"/>
      <c r="VEJ35" s="204"/>
      <c r="VEK35" s="204"/>
      <c r="VEL35" s="204"/>
      <c r="VEM35" s="204"/>
      <c r="VEN35" s="204"/>
      <c r="VEO35" s="204"/>
      <c r="VEP35" s="204"/>
      <c r="VEQ35" s="204"/>
      <c r="VER35" s="204"/>
      <c r="VES35" s="204"/>
      <c r="VET35" s="204"/>
      <c r="VEU35" s="204"/>
      <c r="VEV35" s="204"/>
      <c r="VEW35" s="204"/>
      <c r="VEX35" s="204"/>
      <c r="VEY35" s="204"/>
      <c r="VEZ35" s="204"/>
      <c r="VFA35" s="204"/>
      <c r="VFB35" s="204"/>
      <c r="VFC35" s="204"/>
      <c r="VFD35" s="204"/>
      <c r="VFE35" s="204"/>
      <c r="VFF35" s="204"/>
      <c r="VFG35" s="204"/>
      <c r="VFH35" s="204"/>
      <c r="VFI35" s="204"/>
      <c r="VFJ35" s="204"/>
      <c r="VFK35" s="204"/>
      <c r="VFL35" s="204"/>
      <c r="VFM35" s="204"/>
      <c r="VFN35" s="204"/>
      <c r="VFO35" s="204"/>
      <c r="VFP35" s="204"/>
      <c r="VFQ35" s="204"/>
      <c r="VFR35" s="204"/>
      <c r="VFS35" s="204"/>
      <c r="VFT35" s="204"/>
      <c r="VFU35" s="204"/>
      <c r="VFV35" s="204"/>
      <c r="VFW35" s="204"/>
      <c r="VFX35" s="204"/>
      <c r="VFY35" s="204"/>
      <c r="VFZ35" s="204"/>
      <c r="VGA35" s="204"/>
      <c r="VGB35" s="204"/>
      <c r="VGC35" s="204"/>
      <c r="VGD35" s="204"/>
      <c r="VGE35" s="204"/>
      <c r="VGF35" s="204"/>
      <c r="VGG35" s="204"/>
      <c r="VGH35" s="204"/>
      <c r="VGI35" s="204"/>
      <c r="VGJ35" s="204"/>
      <c r="VGK35" s="204"/>
      <c r="VGL35" s="204"/>
      <c r="VGM35" s="204"/>
      <c r="VGN35" s="204"/>
      <c r="VGO35" s="204"/>
      <c r="VGP35" s="204"/>
      <c r="VGQ35" s="204"/>
      <c r="VGR35" s="204"/>
      <c r="VGS35" s="204"/>
      <c r="VGT35" s="204"/>
      <c r="VGU35" s="204"/>
      <c r="VGV35" s="204"/>
      <c r="VGW35" s="204"/>
      <c r="VGX35" s="204"/>
      <c r="VGY35" s="204"/>
      <c r="VGZ35" s="204"/>
      <c r="VHA35" s="204"/>
      <c r="VHB35" s="204"/>
      <c r="VHC35" s="204"/>
      <c r="VHD35" s="204"/>
      <c r="VHE35" s="204"/>
      <c r="VHF35" s="204"/>
      <c r="VHG35" s="204"/>
      <c r="VHH35" s="204"/>
      <c r="VHI35" s="204"/>
      <c r="VHJ35" s="204"/>
      <c r="VHK35" s="204"/>
      <c r="VHL35" s="204"/>
      <c r="VHM35" s="204"/>
      <c r="VHN35" s="204"/>
      <c r="VHO35" s="204"/>
      <c r="VHP35" s="204"/>
      <c r="VHQ35" s="204"/>
      <c r="VHR35" s="204"/>
      <c r="VHS35" s="204"/>
      <c r="VHT35" s="204"/>
      <c r="VHU35" s="204"/>
      <c r="VHV35" s="204"/>
      <c r="VHW35" s="204"/>
      <c r="VHX35" s="204"/>
      <c r="VHY35" s="204"/>
      <c r="VHZ35" s="204"/>
      <c r="VIA35" s="204"/>
      <c r="VIB35" s="204"/>
      <c r="VIC35" s="204"/>
      <c r="VID35" s="204"/>
      <c r="VIE35" s="204"/>
      <c r="VIF35" s="204"/>
      <c r="VIG35" s="204"/>
      <c r="VIH35" s="204"/>
      <c r="VII35" s="204"/>
      <c r="VIJ35" s="204"/>
      <c r="VIK35" s="204"/>
      <c r="VIL35" s="204"/>
      <c r="VIM35" s="204"/>
      <c r="VIN35" s="204"/>
      <c r="VIO35" s="204"/>
      <c r="VIP35" s="204"/>
      <c r="VIQ35" s="204"/>
      <c r="VIR35" s="204"/>
      <c r="VIS35" s="204"/>
      <c r="VIT35" s="204"/>
      <c r="VIU35" s="204"/>
      <c r="VIV35" s="204"/>
      <c r="VIW35" s="204"/>
      <c r="VIX35" s="204"/>
      <c r="VIY35" s="204"/>
      <c r="VIZ35" s="204"/>
      <c r="VJA35" s="204"/>
      <c r="VJB35" s="204"/>
      <c r="VJC35" s="204"/>
      <c r="VJD35" s="204"/>
      <c r="VJE35" s="204"/>
      <c r="VJF35" s="204"/>
      <c r="VJG35" s="204"/>
      <c r="VJH35" s="204"/>
      <c r="VJI35" s="204"/>
      <c r="VJJ35" s="204"/>
      <c r="VJK35" s="204"/>
      <c r="VJL35" s="204"/>
      <c r="VJM35" s="204"/>
      <c r="VJN35" s="204"/>
      <c r="VJO35" s="204"/>
      <c r="VJP35" s="204"/>
      <c r="VJQ35" s="204"/>
      <c r="VJR35" s="204"/>
      <c r="VJS35" s="204"/>
      <c r="VJT35" s="204"/>
      <c r="VJU35" s="204"/>
      <c r="VJV35" s="204"/>
      <c r="VJW35" s="204"/>
      <c r="VJX35" s="204"/>
      <c r="VJY35" s="204"/>
      <c r="VJZ35" s="204"/>
      <c r="VKA35" s="204"/>
      <c r="VKB35" s="204"/>
      <c r="VKC35" s="204"/>
      <c r="VKD35" s="204"/>
      <c r="VKE35" s="204"/>
      <c r="VKF35" s="204"/>
      <c r="VKG35" s="204"/>
      <c r="VKH35" s="204"/>
      <c r="VKI35" s="204"/>
      <c r="VKJ35" s="204"/>
      <c r="VKK35" s="204"/>
      <c r="VKL35" s="204"/>
      <c r="VKM35" s="204"/>
      <c r="VKN35" s="204"/>
      <c r="VKO35" s="204"/>
      <c r="VKP35" s="204"/>
      <c r="VKQ35" s="204"/>
      <c r="VKR35" s="204"/>
      <c r="VKS35" s="204"/>
      <c r="VKT35" s="204"/>
      <c r="VKU35" s="204"/>
      <c r="VKV35" s="204"/>
      <c r="VKW35" s="204"/>
      <c r="VKX35" s="204"/>
      <c r="VKY35" s="204"/>
      <c r="VKZ35" s="204"/>
      <c r="VLA35" s="204"/>
      <c r="VLB35" s="204"/>
      <c r="VLC35" s="204"/>
      <c r="VLD35" s="204"/>
      <c r="VLE35" s="204"/>
      <c r="VLF35" s="204"/>
      <c r="VLG35" s="204"/>
      <c r="VLH35" s="204"/>
      <c r="VLI35" s="204"/>
      <c r="VLJ35" s="204"/>
      <c r="VLK35" s="204"/>
      <c r="VLL35" s="204"/>
      <c r="VLM35" s="204"/>
      <c r="VLN35" s="204"/>
      <c r="VLO35" s="204"/>
      <c r="VLP35" s="204"/>
      <c r="VLQ35" s="204"/>
      <c r="VLR35" s="204"/>
      <c r="VLS35" s="204"/>
      <c r="VLT35" s="204"/>
      <c r="VLU35" s="204"/>
      <c r="VLV35" s="204"/>
      <c r="VLW35" s="204"/>
      <c r="VLX35" s="204"/>
      <c r="VLY35" s="204"/>
      <c r="VLZ35" s="204"/>
      <c r="VMA35" s="204"/>
      <c r="VMB35" s="204"/>
      <c r="VMC35" s="204"/>
      <c r="VMD35" s="204"/>
      <c r="VME35" s="204"/>
      <c r="VMF35" s="204"/>
      <c r="VMG35" s="204"/>
      <c r="VMH35" s="204"/>
      <c r="VMI35" s="204"/>
      <c r="VMJ35" s="204"/>
      <c r="VMK35" s="204"/>
      <c r="VML35" s="204"/>
      <c r="VMM35" s="204"/>
      <c r="VMN35" s="204"/>
      <c r="VMO35" s="204"/>
      <c r="VMP35" s="204"/>
      <c r="VMQ35" s="204"/>
      <c r="VMR35" s="204"/>
      <c r="VMS35" s="204"/>
      <c r="VMT35" s="204"/>
      <c r="VMU35" s="204"/>
      <c r="VMV35" s="204"/>
      <c r="VMW35" s="204"/>
      <c r="VMX35" s="204"/>
      <c r="VMY35" s="204"/>
      <c r="VMZ35" s="204"/>
      <c r="VNA35" s="204"/>
      <c r="VNB35" s="204"/>
      <c r="VNC35" s="204"/>
      <c r="VND35" s="204"/>
      <c r="VNE35" s="204"/>
      <c r="VNF35" s="204"/>
      <c r="VNG35" s="204"/>
      <c r="VNH35" s="204"/>
      <c r="VNI35" s="204"/>
      <c r="VNJ35" s="204"/>
      <c r="VNK35" s="204"/>
      <c r="VNL35" s="204"/>
      <c r="VNM35" s="204"/>
      <c r="VNN35" s="204"/>
      <c r="VNO35" s="204"/>
      <c r="VNP35" s="204"/>
      <c r="VNQ35" s="204"/>
      <c r="VNR35" s="204"/>
      <c r="VNS35" s="204"/>
      <c r="VNT35" s="204"/>
      <c r="VNU35" s="204"/>
      <c r="VNV35" s="204"/>
      <c r="VNW35" s="204"/>
      <c r="VNX35" s="204"/>
      <c r="VNY35" s="204"/>
      <c r="VNZ35" s="204"/>
      <c r="VOA35" s="204"/>
      <c r="VOB35" s="204"/>
      <c r="VOC35" s="204"/>
      <c r="VOD35" s="204"/>
      <c r="VOE35" s="204"/>
      <c r="VOF35" s="204"/>
      <c r="VOG35" s="204"/>
      <c r="VOH35" s="204"/>
      <c r="VOI35" s="204"/>
      <c r="VOJ35" s="204"/>
      <c r="VOK35" s="204"/>
      <c r="VOL35" s="204"/>
      <c r="VOM35" s="204"/>
      <c r="VON35" s="204"/>
      <c r="VOO35" s="204"/>
      <c r="VOP35" s="204"/>
      <c r="VOQ35" s="204"/>
      <c r="VOR35" s="204"/>
      <c r="VOS35" s="204"/>
      <c r="VOT35" s="204"/>
      <c r="VOU35" s="204"/>
      <c r="VOV35" s="204"/>
      <c r="VOW35" s="204"/>
      <c r="VOX35" s="204"/>
      <c r="VOY35" s="204"/>
      <c r="VOZ35" s="204"/>
      <c r="VPA35" s="204"/>
      <c r="VPB35" s="204"/>
      <c r="VPC35" s="204"/>
      <c r="VPD35" s="204"/>
      <c r="VPE35" s="204"/>
      <c r="VPF35" s="204"/>
      <c r="VPG35" s="204"/>
      <c r="VPH35" s="204"/>
      <c r="VPI35" s="204"/>
      <c r="VPJ35" s="204"/>
      <c r="VPK35" s="204"/>
      <c r="VPL35" s="204"/>
      <c r="VPM35" s="204"/>
      <c r="VPN35" s="204"/>
      <c r="VPO35" s="204"/>
      <c r="VPP35" s="204"/>
      <c r="VPQ35" s="204"/>
      <c r="VPR35" s="204"/>
      <c r="VPS35" s="204"/>
      <c r="VPT35" s="204"/>
      <c r="VPU35" s="204"/>
      <c r="VPV35" s="204"/>
      <c r="VPW35" s="204"/>
      <c r="VPX35" s="204"/>
      <c r="VPY35" s="204"/>
      <c r="VPZ35" s="204"/>
      <c r="VQA35" s="204"/>
      <c r="VQB35" s="204"/>
      <c r="VQC35" s="204"/>
      <c r="VQD35" s="204"/>
      <c r="VQE35" s="204"/>
      <c r="VQF35" s="204"/>
      <c r="VQG35" s="204"/>
      <c r="VQH35" s="204"/>
      <c r="VQI35" s="204"/>
      <c r="VQJ35" s="204"/>
      <c r="VQK35" s="204"/>
      <c r="VQL35" s="204"/>
      <c r="VQM35" s="204"/>
      <c r="VQN35" s="204"/>
      <c r="VQO35" s="204"/>
      <c r="VQP35" s="204"/>
      <c r="VQQ35" s="204"/>
      <c r="VQR35" s="204"/>
      <c r="VQS35" s="204"/>
      <c r="VQT35" s="204"/>
      <c r="VQU35" s="204"/>
      <c r="VQV35" s="204"/>
      <c r="VQW35" s="204"/>
      <c r="VQX35" s="204"/>
      <c r="VQY35" s="204"/>
      <c r="VQZ35" s="204"/>
      <c r="VRA35" s="204"/>
      <c r="VRB35" s="204"/>
      <c r="VRC35" s="204"/>
      <c r="VRD35" s="204"/>
      <c r="VRE35" s="204"/>
      <c r="VRF35" s="204"/>
      <c r="VRG35" s="204"/>
      <c r="VRH35" s="204"/>
      <c r="VRI35" s="204"/>
      <c r="VRJ35" s="204"/>
      <c r="VRK35" s="204"/>
      <c r="VRL35" s="204"/>
      <c r="VRM35" s="204"/>
      <c r="VRN35" s="204"/>
      <c r="VRO35" s="204"/>
      <c r="VRP35" s="204"/>
      <c r="VRQ35" s="204"/>
      <c r="VRR35" s="204"/>
      <c r="VRS35" s="204"/>
      <c r="VRT35" s="204"/>
      <c r="VRU35" s="204"/>
      <c r="VRV35" s="204"/>
      <c r="VRW35" s="204"/>
      <c r="VRX35" s="204"/>
      <c r="VRY35" s="204"/>
      <c r="VRZ35" s="204"/>
      <c r="VSA35" s="204"/>
      <c r="VSB35" s="204"/>
      <c r="VSC35" s="204"/>
      <c r="VSD35" s="204"/>
      <c r="VSE35" s="204"/>
      <c r="VSF35" s="204"/>
      <c r="VSG35" s="204"/>
      <c r="VSH35" s="204"/>
      <c r="VSI35" s="204"/>
      <c r="VSJ35" s="204"/>
      <c r="VSK35" s="204"/>
      <c r="VSL35" s="204"/>
      <c r="VSM35" s="204"/>
      <c r="VSN35" s="204"/>
      <c r="VSO35" s="204"/>
      <c r="VSP35" s="204"/>
      <c r="VSQ35" s="204"/>
      <c r="VSR35" s="204"/>
      <c r="VSS35" s="204"/>
      <c r="VST35" s="204"/>
      <c r="VSU35" s="204"/>
      <c r="VSV35" s="204"/>
      <c r="VSW35" s="204"/>
      <c r="VSX35" s="204"/>
      <c r="VSY35" s="204"/>
      <c r="VSZ35" s="204"/>
      <c r="VTA35" s="204"/>
      <c r="VTB35" s="204"/>
      <c r="VTC35" s="204"/>
      <c r="VTD35" s="204"/>
      <c r="VTE35" s="204"/>
      <c r="VTF35" s="204"/>
      <c r="VTG35" s="204"/>
      <c r="VTH35" s="204"/>
      <c r="VTI35" s="204"/>
      <c r="VTJ35" s="204"/>
      <c r="VTK35" s="204"/>
      <c r="VTL35" s="204"/>
      <c r="VTM35" s="204"/>
      <c r="VTN35" s="204"/>
      <c r="VTO35" s="204"/>
      <c r="VTP35" s="204"/>
      <c r="VTQ35" s="204"/>
      <c r="VTR35" s="204"/>
      <c r="VTS35" s="204"/>
      <c r="VTT35" s="204"/>
      <c r="VTU35" s="204"/>
      <c r="VTV35" s="204"/>
      <c r="VTW35" s="204"/>
      <c r="VTX35" s="204"/>
      <c r="VTY35" s="204"/>
      <c r="VTZ35" s="204"/>
      <c r="VUA35" s="204"/>
      <c r="VUB35" s="204"/>
      <c r="VUC35" s="204"/>
      <c r="VUD35" s="204"/>
      <c r="VUE35" s="204"/>
      <c r="VUF35" s="204"/>
      <c r="VUG35" s="204"/>
      <c r="VUH35" s="204"/>
      <c r="VUI35" s="204"/>
      <c r="VUJ35" s="204"/>
      <c r="VUK35" s="204"/>
      <c r="VUL35" s="204"/>
      <c r="VUM35" s="204"/>
      <c r="VUN35" s="204"/>
      <c r="VUO35" s="204"/>
      <c r="VUP35" s="204"/>
      <c r="VUQ35" s="204"/>
      <c r="VUR35" s="204"/>
      <c r="VUS35" s="204"/>
      <c r="VUT35" s="204"/>
      <c r="VUU35" s="204"/>
      <c r="VUV35" s="204"/>
      <c r="VUW35" s="204"/>
      <c r="VUX35" s="204"/>
      <c r="VUY35" s="204"/>
      <c r="VUZ35" s="204"/>
      <c r="VVA35" s="204"/>
      <c r="VVB35" s="204"/>
      <c r="VVC35" s="204"/>
      <c r="VVD35" s="204"/>
      <c r="VVE35" s="204"/>
      <c r="VVF35" s="204"/>
      <c r="VVG35" s="204"/>
      <c r="VVH35" s="204"/>
      <c r="VVI35" s="204"/>
      <c r="VVJ35" s="204"/>
      <c r="VVK35" s="204"/>
      <c r="VVL35" s="204"/>
      <c r="VVM35" s="204"/>
      <c r="VVN35" s="204"/>
      <c r="VVO35" s="204"/>
      <c r="VVP35" s="204"/>
      <c r="VVQ35" s="204"/>
      <c r="VVR35" s="204"/>
      <c r="VVS35" s="204"/>
      <c r="VVT35" s="204"/>
      <c r="VVU35" s="204"/>
      <c r="VVV35" s="204"/>
      <c r="VVW35" s="204"/>
      <c r="VVX35" s="204"/>
      <c r="VVY35" s="204"/>
      <c r="VVZ35" s="204"/>
      <c r="VWA35" s="204"/>
      <c r="VWB35" s="204"/>
      <c r="VWC35" s="204"/>
      <c r="VWD35" s="204"/>
      <c r="VWE35" s="204"/>
      <c r="VWF35" s="204"/>
      <c r="VWG35" s="204"/>
      <c r="VWH35" s="204"/>
      <c r="VWI35" s="204"/>
      <c r="VWJ35" s="204"/>
      <c r="VWK35" s="204"/>
      <c r="VWL35" s="204"/>
      <c r="VWM35" s="204"/>
      <c r="VWN35" s="204"/>
      <c r="VWO35" s="204"/>
      <c r="VWP35" s="204"/>
      <c r="VWQ35" s="204"/>
      <c r="VWR35" s="204"/>
      <c r="VWS35" s="204"/>
      <c r="VWT35" s="204"/>
      <c r="VWU35" s="204"/>
      <c r="VWV35" s="204"/>
      <c r="VWW35" s="204"/>
      <c r="VWX35" s="204"/>
      <c r="VWY35" s="204"/>
      <c r="VWZ35" s="204"/>
      <c r="VXA35" s="204"/>
      <c r="VXB35" s="204"/>
      <c r="VXC35" s="204"/>
      <c r="VXD35" s="204"/>
      <c r="VXE35" s="204"/>
      <c r="VXF35" s="204"/>
      <c r="VXG35" s="204"/>
      <c r="VXH35" s="204"/>
      <c r="VXI35" s="204"/>
      <c r="VXJ35" s="204"/>
      <c r="VXK35" s="204"/>
      <c r="VXL35" s="204"/>
      <c r="VXM35" s="204"/>
      <c r="VXN35" s="204"/>
      <c r="VXO35" s="204"/>
      <c r="VXP35" s="204"/>
      <c r="VXQ35" s="204"/>
      <c r="VXR35" s="204"/>
      <c r="VXS35" s="204"/>
      <c r="VXT35" s="204"/>
      <c r="VXU35" s="204"/>
      <c r="VXV35" s="204"/>
      <c r="VXW35" s="204"/>
      <c r="VXX35" s="204"/>
      <c r="VXY35" s="204"/>
      <c r="VXZ35" s="204"/>
      <c r="VYA35" s="204"/>
      <c r="VYB35" s="204"/>
      <c r="VYC35" s="204"/>
      <c r="VYD35" s="204"/>
      <c r="VYE35" s="204"/>
      <c r="VYF35" s="204"/>
      <c r="VYG35" s="204"/>
      <c r="VYH35" s="204"/>
      <c r="VYI35" s="204"/>
      <c r="VYJ35" s="204"/>
      <c r="VYK35" s="204"/>
      <c r="VYL35" s="204"/>
      <c r="VYM35" s="204"/>
      <c r="VYN35" s="204"/>
      <c r="VYO35" s="204"/>
      <c r="VYP35" s="204"/>
      <c r="VYQ35" s="204"/>
      <c r="VYR35" s="204"/>
      <c r="VYS35" s="204"/>
      <c r="VYT35" s="204"/>
      <c r="VYU35" s="204"/>
      <c r="VYV35" s="204"/>
      <c r="VYW35" s="204"/>
      <c r="VYX35" s="204"/>
      <c r="VYY35" s="204"/>
      <c r="VYZ35" s="204"/>
      <c r="VZA35" s="204"/>
      <c r="VZB35" s="204"/>
      <c r="VZC35" s="204"/>
      <c r="VZD35" s="204"/>
      <c r="VZE35" s="204"/>
      <c r="VZF35" s="204"/>
      <c r="VZG35" s="204"/>
      <c r="VZH35" s="204"/>
      <c r="VZI35" s="204"/>
      <c r="VZJ35" s="204"/>
      <c r="VZK35" s="204"/>
      <c r="VZL35" s="204"/>
      <c r="VZM35" s="204"/>
      <c r="VZN35" s="204"/>
      <c r="VZO35" s="204"/>
      <c r="VZP35" s="204"/>
      <c r="VZQ35" s="204"/>
      <c r="VZR35" s="204"/>
      <c r="VZS35" s="204"/>
      <c r="VZT35" s="204"/>
      <c r="VZU35" s="204"/>
      <c r="VZV35" s="204"/>
      <c r="VZW35" s="204"/>
      <c r="VZX35" s="204"/>
      <c r="VZY35" s="204"/>
      <c r="VZZ35" s="204"/>
      <c r="WAA35" s="204"/>
      <c r="WAB35" s="204"/>
      <c r="WAC35" s="204"/>
      <c r="WAD35" s="204"/>
      <c r="WAE35" s="204"/>
      <c r="WAF35" s="204"/>
      <c r="WAG35" s="204"/>
      <c r="WAH35" s="204"/>
      <c r="WAI35" s="204"/>
      <c r="WAJ35" s="204"/>
      <c r="WAK35" s="204"/>
      <c r="WAL35" s="204"/>
      <c r="WAM35" s="204"/>
      <c r="WAN35" s="204"/>
      <c r="WAO35" s="204"/>
      <c r="WAP35" s="204"/>
      <c r="WAQ35" s="204"/>
      <c r="WAR35" s="204"/>
      <c r="WAS35" s="204"/>
      <c r="WAT35" s="204"/>
      <c r="WAU35" s="204"/>
      <c r="WAV35" s="204"/>
      <c r="WAW35" s="204"/>
      <c r="WAX35" s="204"/>
      <c r="WAY35" s="204"/>
      <c r="WAZ35" s="204"/>
      <c r="WBA35" s="204"/>
      <c r="WBB35" s="204"/>
      <c r="WBC35" s="204"/>
      <c r="WBD35" s="204"/>
      <c r="WBE35" s="204"/>
      <c r="WBF35" s="204"/>
      <c r="WBG35" s="204"/>
      <c r="WBH35" s="204"/>
      <c r="WBI35" s="204"/>
      <c r="WBJ35" s="204"/>
      <c r="WBK35" s="204"/>
      <c r="WBL35" s="204"/>
      <c r="WBM35" s="204"/>
      <c r="WBN35" s="204"/>
      <c r="WBO35" s="204"/>
      <c r="WBP35" s="204"/>
      <c r="WBQ35" s="204"/>
      <c r="WBR35" s="204"/>
      <c r="WBS35" s="204"/>
      <c r="WBT35" s="204"/>
      <c r="WBU35" s="204"/>
      <c r="WBV35" s="204"/>
      <c r="WBW35" s="204"/>
      <c r="WBX35" s="204"/>
      <c r="WBY35" s="204"/>
      <c r="WBZ35" s="204"/>
      <c r="WCA35" s="204"/>
      <c r="WCB35" s="204"/>
      <c r="WCC35" s="204"/>
      <c r="WCD35" s="204"/>
      <c r="WCE35" s="204"/>
      <c r="WCF35" s="204"/>
      <c r="WCG35" s="204"/>
      <c r="WCH35" s="204"/>
      <c r="WCI35" s="204"/>
      <c r="WCJ35" s="204"/>
      <c r="WCK35" s="204"/>
      <c r="WCL35" s="204"/>
      <c r="WCM35" s="204"/>
      <c r="WCN35" s="204"/>
      <c r="WCO35" s="204"/>
      <c r="WCP35" s="204"/>
      <c r="WCQ35" s="204"/>
      <c r="WCR35" s="204"/>
      <c r="WCS35" s="204"/>
      <c r="WCT35" s="204"/>
      <c r="WCU35" s="204"/>
      <c r="WCV35" s="204"/>
      <c r="WCW35" s="204"/>
      <c r="WCX35" s="204"/>
      <c r="WCY35" s="204"/>
      <c r="WCZ35" s="204"/>
      <c r="WDA35" s="204"/>
      <c r="WDB35" s="204"/>
      <c r="WDC35" s="204"/>
      <c r="WDD35" s="204"/>
      <c r="WDE35" s="204"/>
      <c r="WDF35" s="204"/>
      <c r="WDG35" s="204"/>
      <c r="WDH35" s="204"/>
      <c r="WDI35" s="204"/>
      <c r="WDJ35" s="204"/>
      <c r="WDK35" s="204"/>
      <c r="WDL35" s="204"/>
      <c r="WDM35" s="204"/>
      <c r="WDN35" s="204"/>
      <c r="WDO35" s="204"/>
      <c r="WDP35" s="204"/>
      <c r="WDQ35" s="204"/>
      <c r="WDR35" s="204"/>
      <c r="WDS35" s="204"/>
      <c r="WDT35" s="204"/>
      <c r="WDU35" s="204"/>
      <c r="WDV35" s="204"/>
      <c r="WDW35" s="204"/>
      <c r="WDX35" s="204"/>
      <c r="WDY35" s="204"/>
      <c r="WDZ35" s="204"/>
      <c r="WEA35" s="204"/>
      <c r="WEB35" s="204"/>
      <c r="WEC35" s="204"/>
      <c r="WED35" s="204"/>
      <c r="WEE35" s="204"/>
      <c r="WEF35" s="204"/>
      <c r="WEG35" s="204"/>
      <c r="WEH35" s="204"/>
      <c r="WEI35" s="204"/>
      <c r="WEJ35" s="204"/>
      <c r="WEK35" s="204"/>
      <c r="WEL35" s="204"/>
      <c r="WEM35" s="204"/>
      <c r="WEN35" s="204"/>
      <c r="WEO35" s="204"/>
      <c r="WEP35" s="204"/>
      <c r="WEQ35" s="204"/>
      <c r="WER35" s="204"/>
      <c r="WES35" s="204"/>
      <c r="WET35" s="204"/>
      <c r="WEU35" s="204"/>
      <c r="WEV35" s="204"/>
      <c r="WEW35" s="204"/>
      <c r="WEX35" s="204"/>
      <c r="WEY35" s="204"/>
      <c r="WEZ35" s="204"/>
      <c r="WFA35" s="204"/>
      <c r="WFB35" s="204"/>
      <c r="WFC35" s="204"/>
      <c r="WFD35" s="204"/>
      <c r="WFE35" s="204"/>
      <c r="WFF35" s="204"/>
      <c r="WFG35" s="204"/>
      <c r="WFH35" s="204"/>
      <c r="WFI35" s="204"/>
      <c r="WFJ35" s="204"/>
      <c r="WFK35" s="204"/>
      <c r="WFL35" s="204"/>
      <c r="WFM35" s="204"/>
      <c r="WFN35" s="204"/>
      <c r="WFO35" s="204"/>
      <c r="WFP35" s="204"/>
      <c r="WFQ35" s="204"/>
      <c r="WFR35" s="204"/>
      <c r="WFS35" s="204"/>
      <c r="WFT35" s="204"/>
      <c r="WFU35" s="204"/>
      <c r="WFV35" s="204"/>
      <c r="WFW35" s="204"/>
      <c r="WFX35" s="204"/>
      <c r="WFY35" s="204"/>
      <c r="WFZ35" s="204"/>
      <c r="WGA35" s="204"/>
      <c r="WGB35" s="204"/>
      <c r="WGC35" s="204"/>
      <c r="WGD35" s="204"/>
      <c r="WGE35" s="204"/>
      <c r="WGF35" s="204"/>
      <c r="WGG35" s="204"/>
      <c r="WGH35" s="204"/>
      <c r="WGI35" s="204"/>
      <c r="WGJ35" s="204"/>
      <c r="WGK35" s="204"/>
      <c r="WGL35" s="204"/>
      <c r="WGM35" s="204"/>
      <c r="WGN35" s="204"/>
      <c r="WGO35" s="204"/>
      <c r="WGP35" s="204"/>
      <c r="WGQ35" s="204"/>
      <c r="WGR35" s="204"/>
      <c r="WGS35" s="204"/>
      <c r="WGT35" s="204"/>
      <c r="WGU35" s="204"/>
      <c r="WGV35" s="204"/>
      <c r="WGW35" s="204"/>
      <c r="WGX35" s="204"/>
      <c r="WGY35" s="204"/>
      <c r="WGZ35" s="204"/>
      <c r="WHA35" s="204"/>
      <c r="WHB35" s="204"/>
      <c r="WHC35" s="204"/>
      <c r="WHD35" s="204"/>
      <c r="WHE35" s="204"/>
      <c r="WHF35" s="204"/>
      <c r="WHG35" s="204"/>
      <c r="WHH35" s="204"/>
      <c r="WHI35" s="204"/>
      <c r="WHJ35" s="204"/>
      <c r="WHK35" s="204"/>
      <c r="WHL35" s="204"/>
      <c r="WHM35" s="204"/>
      <c r="WHN35" s="204"/>
      <c r="WHO35" s="204"/>
      <c r="WHP35" s="204"/>
      <c r="WHQ35" s="204"/>
      <c r="WHR35" s="204"/>
      <c r="WHS35" s="204"/>
      <c r="WHT35" s="204"/>
      <c r="WHU35" s="204"/>
      <c r="WHV35" s="204"/>
      <c r="WHW35" s="204"/>
      <c r="WHX35" s="204"/>
      <c r="WHY35" s="204"/>
      <c r="WHZ35" s="204"/>
      <c r="WIA35" s="204"/>
      <c r="WIB35" s="204"/>
      <c r="WIC35" s="204"/>
      <c r="WID35" s="204"/>
      <c r="WIE35" s="204"/>
      <c r="WIF35" s="204"/>
      <c r="WIG35" s="204"/>
      <c r="WIH35" s="204"/>
      <c r="WII35" s="204"/>
      <c r="WIJ35" s="204"/>
      <c r="WIK35" s="204"/>
      <c r="WIL35" s="204"/>
      <c r="WIM35" s="204"/>
      <c r="WIN35" s="204"/>
      <c r="WIO35" s="204"/>
      <c r="WIP35" s="204"/>
      <c r="WIQ35" s="204"/>
      <c r="WIR35" s="204"/>
      <c r="WIS35" s="204"/>
      <c r="WIT35" s="204"/>
      <c r="WIU35" s="204"/>
      <c r="WIV35" s="204"/>
      <c r="WIW35" s="204"/>
      <c r="WIX35" s="204"/>
      <c r="WIY35" s="204"/>
      <c r="WIZ35" s="204"/>
      <c r="WJA35" s="204"/>
      <c r="WJB35" s="204"/>
      <c r="WJC35" s="204"/>
      <c r="WJD35" s="204"/>
      <c r="WJE35" s="204"/>
      <c r="WJF35" s="204"/>
      <c r="WJG35" s="204"/>
      <c r="WJH35" s="204"/>
      <c r="WJI35" s="204"/>
      <c r="WJJ35" s="204"/>
      <c r="WJK35" s="204"/>
      <c r="WJL35" s="204"/>
      <c r="WJM35" s="204"/>
      <c r="WJN35" s="204"/>
      <c r="WJO35" s="204"/>
      <c r="WJP35" s="204"/>
      <c r="WJQ35" s="204"/>
      <c r="WJR35" s="204"/>
      <c r="WJS35" s="204"/>
      <c r="WJT35" s="204"/>
      <c r="WJU35" s="204"/>
      <c r="WJV35" s="204"/>
      <c r="WJW35" s="204"/>
      <c r="WJX35" s="204"/>
      <c r="WJY35" s="204"/>
      <c r="WJZ35" s="204"/>
      <c r="WKA35" s="204"/>
      <c r="WKB35" s="204"/>
      <c r="WKC35" s="204"/>
      <c r="WKD35" s="204"/>
      <c r="WKE35" s="204"/>
      <c r="WKF35" s="204"/>
      <c r="WKG35" s="204"/>
      <c r="WKH35" s="204"/>
      <c r="WKI35" s="204"/>
      <c r="WKJ35" s="204"/>
      <c r="WKK35" s="204"/>
      <c r="WKL35" s="204"/>
      <c r="WKM35" s="204"/>
      <c r="WKN35" s="204"/>
      <c r="WKO35" s="204"/>
      <c r="WKP35" s="204"/>
      <c r="WKQ35" s="204"/>
      <c r="WKR35" s="204"/>
      <c r="WKS35" s="204"/>
      <c r="WKT35" s="204"/>
      <c r="WKU35" s="204"/>
      <c r="WKV35" s="204"/>
      <c r="WKW35" s="204"/>
      <c r="WKX35" s="204"/>
      <c r="WKY35" s="204"/>
      <c r="WKZ35" s="204"/>
      <c r="WLA35" s="204"/>
      <c r="WLB35" s="204"/>
      <c r="WLC35" s="204"/>
      <c r="WLD35" s="204"/>
      <c r="WLE35" s="204"/>
      <c r="WLF35" s="204"/>
      <c r="WLG35" s="204"/>
      <c r="WLH35" s="204"/>
      <c r="WLI35" s="204"/>
      <c r="WLJ35" s="204"/>
      <c r="WLK35" s="204"/>
      <c r="WLL35" s="204"/>
      <c r="WLM35" s="204"/>
      <c r="WLN35" s="204"/>
      <c r="WLO35" s="204"/>
      <c r="WLP35" s="204"/>
      <c r="WLQ35" s="204"/>
      <c r="WLR35" s="204"/>
      <c r="WLS35" s="204"/>
      <c r="WLT35" s="204"/>
      <c r="WLU35" s="204"/>
      <c r="WLV35" s="204"/>
      <c r="WLW35" s="204"/>
      <c r="WLX35" s="204"/>
      <c r="WLY35" s="204"/>
      <c r="WLZ35" s="204"/>
      <c r="WMA35" s="204"/>
      <c r="WMB35" s="204"/>
      <c r="WMC35" s="204"/>
      <c r="WMD35" s="204"/>
      <c r="WME35" s="204"/>
      <c r="WMF35" s="204"/>
      <c r="WMG35" s="204"/>
      <c r="WMH35" s="204"/>
      <c r="WMI35" s="204"/>
      <c r="WMJ35" s="204"/>
      <c r="WMK35" s="204"/>
      <c r="WML35" s="204"/>
      <c r="WMM35" s="204"/>
      <c r="WMN35" s="204"/>
      <c r="WMO35" s="204"/>
      <c r="WMP35" s="204"/>
      <c r="WMQ35" s="204"/>
      <c r="WMR35" s="204"/>
      <c r="WMS35" s="204"/>
      <c r="WMT35" s="204"/>
      <c r="WMU35" s="204"/>
      <c r="WMV35" s="204"/>
      <c r="WMW35" s="204"/>
      <c r="WMX35" s="204"/>
      <c r="WMY35" s="204"/>
      <c r="WMZ35" s="204"/>
      <c r="WNA35" s="204"/>
      <c r="WNB35" s="204"/>
      <c r="WNC35" s="204"/>
      <c r="WND35" s="204"/>
      <c r="WNE35" s="204"/>
      <c r="WNF35" s="204"/>
      <c r="WNG35" s="204"/>
      <c r="WNH35" s="204"/>
      <c r="WNI35" s="204"/>
      <c r="WNJ35" s="204"/>
      <c r="WNK35" s="204"/>
      <c r="WNL35" s="204"/>
      <c r="WNM35" s="204"/>
      <c r="WNN35" s="204"/>
      <c r="WNO35" s="204"/>
      <c r="WNP35" s="204"/>
      <c r="WNQ35" s="204"/>
      <c r="WNR35" s="204"/>
      <c r="WNS35" s="204"/>
      <c r="WNT35" s="204"/>
      <c r="WNU35" s="204"/>
      <c r="WNV35" s="204"/>
      <c r="WNW35" s="204"/>
      <c r="WNX35" s="204"/>
      <c r="WNY35" s="204"/>
      <c r="WNZ35" s="204"/>
      <c r="WOA35" s="204"/>
      <c r="WOB35" s="204"/>
      <c r="WOC35" s="204"/>
      <c r="WOD35" s="204"/>
      <c r="WOE35" s="204"/>
      <c r="WOF35" s="204"/>
      <c r="WOG35" s="204"/>
      <c r="WOH35" s="204"/>
      <c r="WOI35" s="204"/>
      <c r="WOJ35" s="204"/>
      <c r="WOK35" s="204"/>
      <c r="WOL35" s="204"/>
      <c r="WOM35" s="204"/>
      <c r="WON35" s="204"/>
      <c r="WOO35" s="204"/>
      <c r="WOP35" s="204"/>
      <c r="WOQ35" s="204"/>
      <c r="WOR35" s="204"/>
      <c r="WOS35" s="204"/>
      <c r="WOT35" s="204"/>
      <c r="WOU35" s="204"/>
      <c r="WOV35" s="204"/>
      <c r="WOW35" s="204"/>
      <c r="WOX35" s="204"/>
      <c r="WOY35" s="204"/>
      <c r="WOZ35" s="204"/>
      <c r="WPA35" s="204"/>
      <c r="WPB35" s="204"/>
      <c r="WPC35" s="204"/>
      <c r="WPD35" s="204"/>
      <c r="WPE35" s="204"/>
      <c r="WPF35" s="204"/>
      <c r="WPG35" s="204"/>
      <c r="WPH35" s="204"/>
      <c r="WPI35" s="204"/>
      <c r="WPJ35" s="204"/>
      <c r="WPK35" s="204"/>
      <c r="WPL35" s="204"/>
      <c r="WPM35" s="204"/>
      <c r="WPN35" s="204"/>
      <c r="WPO35" s="204"/>
      <c r="WPP35" s="204"/>
      <c r="WPQ35" s="204"/>
      <c r="WPR35" s="204"/>
      <c r="WPS35" s="204"/>
      <c r="WPT35" s="204"/>
      <c r="WPU35" s="204"/>
      <c r="WPV35" s="204"/>
      <c r="WPW35" s="204"/>
      <c r="WPX35" s="204"/>
      <c r="WPY35" s="204"/>
      <c r="WPZ35" s="204"/>
      <c r="WQA35" s="204"/>
      <c r="WQB35" s="204"/>
      <c r="WQC35" s="204"/>
      <c r="WQD35" s="204"/>
      <c r="WQE35" s="204"/>
      <c r="WQF35" s="204"/>
      <c r="WQG35" s="204"/>
      <c r="WQH35" s="204"/>
      <c r="WQI35" s="204"/>
      <c r="WQJ35" s="204"/>
      <c r="WQK35" s="204"/>
      <c r="WQL35" s="204"/>
      <c r="WQM35" s="204"/>
      <c r="WQN35" s="204"/>
      <c r="WQO35" s="204"/>
      <c r="WQP35" s="204"/>
      <c r="WQQ35" s="204"/>
      <c r="WQR35" s="204"/>
      <c r="WQS35" s="204"/>
      <c r="WQT35" s="204"/>
      <c r="WQU35" s="204"/>
      <c r="WQV35" s="204"/>
      <c r="WQW35" s="204"/>
      <c r="WQX35" s="204"/>
      <c r="WQY35" s="204"/>
      <c r="WQZ35" s="204"/>
      <c r="WRA35" s="204"/>
      <c r="WRB35" s="204"/>
      <c r="WRC35" s="204"/>
      <c r="WRD35" s="204"/>
      <c r="WRE35" s="204"/>
      <c r="WRF35" s="204"/>
      <c r="WRG35" s="204"/>
      <c r="WRH35" s="204"/>
      <c r="WRI35" s="204"/>
      <c r="WRJ35" s="204"/>
      <c r="WRK35" s="204"/>
      <c r="WRL35" s="204"/>
      <c r="WRM35" s="204"/>
      <c r="WRN35" s="204"/>
      <c r="WRO35" s="204"/>
      <c r="WRP35" s="204"/>
      <c r="WRQ35" s="204"/>
      <c r="WRR35" s="204"/>
      <c r="WRS35" s="204"/>
      <c r="WRT35" s="204"/>
      <c r="WRU35" s="204"/>
      <c r="WRV35" s="204"/>
      <c r="WRW35" s="204"/>
      <c r="WRX35" s="204"/>
      <c r="WRY35" s="204"/>
      <c r="WRZ35" s="204"/>
      <c r="WSA35" s="204"/>
      <c r="WSB35" s="204"/>
      <c r="WSC35" s="204"/>
      <c r="WSD35" s="204"/>
      <c r="WSE35" s="204"/>
      <c r="WSF35" s="204"/>
      <c r="WSG35" s="204"/>
      <c r="WSH35" s="204"/>
      <c r="WSI35" s="204"/>
      <c r="WSJ35" s="204"/>
      <c r="WSK35" s="204"/>
      <c r="WSL35" s="204"/>
      <c r="WSM35" s="204"/>
      <c r="WSN35" s="204"/>
      <c r="WSO35" s="204"/>
      <c r="WSP35" s="204"/>
      <c r="WSQ35" s="204"/>
      <c r="WSR35" s="204"/>
      <c r="WSS35" s="204"/>
      <c r="WST35" s="204"/>
      <c r="WSU35" s="204"/>
      <c r="WSV35" s="204"/>
      <c r="WSW35" s="204"/>
      <c r="WSX35" s="204"/>
      <c r="WSY35" s="204"/>
      <c r="WSZ35" s="204"/>
      <c r="WTA35" s="204"/>
      <c r="WTB35" s="204"/>
      <c r="WTC35" s="204"/>
      <c r="WTD35" s="204"/>
      <c r="WTE35" s="204"/>
      <c r="WTF35" s="204"/>
      <c r="WTG35" s="204"/>
      <c r="WTH35" s="204"/>
      <c r="WTI35" s="204"/>
      <c r="WTJ35" s="204"/>
      <c r="WTK35" s="204"/>
      <c r="WTL35" s="204"/>
      <c r="WTM35" s="204"/>
      <c r="WTN35" s="204"/>
      <c r="WTO35" s="204"/>
      <c r="WTP35" s="204"/>
      <c r="WTQ35" s="204"/>
      <c r="WTR35" s="204"/>
      <c r="WTS35" s="204"/>
      <c r="WTT35" s="204"/>
      <c r="WTU35" s="204"/>
      <c r="WTV35" s="204"/>
      <c r="WTW35" s="204"/>
      <c r="WTX35" s="204"/>
      <c r="WTY35" s="204"/>
      <c r="WTZ35" s="204"/>
      <c r="WUA35" s="204"/>
      <c r="WUB35" s="204"/>
      <c r="WUC35" s="204"/>
      <c r="WUD35" s="204"/>
      <c r="WUE35" s="204"/>
      <c r="WUF35" s="204"/>
      <c r="WUG35" s="204"/>
      <c r="WUH35" s="204"/>
      <c r="WUI35" s="204"/>
      <c r="WUJ35" s="204"/>
      <c r="WUK35" s="204"/>
      <c r="WUL35" s="204"/>
      <c r="WUM35" s="204"/>
      <c r="WUN35" s="204"/>
      <c r="WUO35" s="204"/>
      <c r="WUP35" s="204"/>
      <c r="WUQ35" s="204"/>
      <c r="WUR35" s="204"/>
      <c r="WUS35" s="204"/>
      <c r="WUT35" s="204"/>
      <c r="WUU35" s="204"/>
      <c r="WUV35" s="204"/>
      <c r="WUW35" s="204"/>
      <c r="WUX35" s="204"/>
      <c r="WUY35" s="204"/>
      <c r="WUZ35" s="204"/>
      <c r="WVA35" s="204"/>
      <c r="WVB35" s="204"/>
      <c r="WVC35" s="204"/>
      <c r="WVD35" s="204"/>
      <c r="WVE35" s="204"/>
      <c r="WVF35" s="204"/>
      <c r="WVG35" s="204"/>
      <c r="WVH35" s="204"/>
      <c r="WVI35" s="204"/>
      <c r="WVJ35" s="204"/>
      <c r="WVK35" s="204"/>
      <c r="WVL35" s="204"/>
      <c r="WVM35" s="204"/>
      <c r="WVN35" s="204"/>
      <c r="WVO35" s="204"/>
      <c r="WVP35" s="204"/>
      <c r="WVQ35" s="204"/>
      <c r="WVR35" s="204"/>
      <c r="WVS35" s="204"/>
      <c r="WVT35" s="204"/>
      <c r="WVU35" s="204"/>
      <c r="WVV35" s="204"/>
      <c r="WVW35" s="204"/>
      <c r="WVX35" s="204"/>
      <c r="WVY35" s="204"/>
      <c r="WVZ35" s="204"/>
      <c r="WWA35" s="204"/>
      <c r="WWB35" s="204"/>
      <c r="WWC35" s="204"/>
      <c r="WWD35" s="204"/>
      <c r="WWE35" s="204"/>
      <c r="WWF35" s="204"/>
      <c r="WWG35" s="204"/>
      <c r="WWH35" s="204"/>
      <c r="WWI35" s="204"/>
      <c r="WWJ35" s="204"/>
      <c r="WWK35" s="204"/>
      <c r="WWL35" s="204"/>
      <c r="WWM35" s="204"/>
      <c r="WWN35" s="204"/>
      <c r="WWO35" s="204"/>
      <c r="WWP35" s="204"/>
      <c r="WWQ35" s="204"/>
      <c r="WWR35" s="204"/>
      <c r="WWS35" s="204"/>
      <c r="WWT35" s="204"/>
      <c r="WWU35" s="204"/>
      <c r="WWV35" s="204"/>
      <c r="WWW35" s="204"/>
      <c r="WWX35" s="204"/>
      <c r="WWY35" s="204"/>
      <c r="WWZ35" s="204"/>
      <c r="WXA35" s="204"/>
      <c r="WXB35" s="204"/>
      <c r="WXC35" s="204"/>
      <c r="WXD35" s="204"/>
      <c r="WXE35" s="204"/>
      <c r="WXF35" s="204"/>
      <c r="WXG35" s="204"/>
      <c r="WXH35" s="204"/>
      <c r="WXI35" s="204"/>
      <c r="WXJ35" s="204"/>
      <c r="WXK35" s="204"/>
      <c r="WXL35" s="204"/>
      <c r="WXM35" s="204"/>
      <c r="WXN35" s="204"/>
      <c r="WXO35" s="204"/>
      <c r="WXP35" s="204"/>
      <c r="WXQ35" s="204"/>
      <c r="WXR35" s="204"/>
      <c r="WXS35" s="204"/>
      <c r="WXT35" s="204"/>
      <c r="WXU35" s="204"/>
      <c r="WXV35" s="204"/>
      <c r="WXW35" s="204"/>
      <c r="WXX35" s="204"/>
      <c r="WXY35" s="204"/>
      <c r="WXZ35" s="204"/>
      <c r="WYA35" s="204"/>
      <c r="WYB35" s="204"/>
      <c r="WYC35" s="204"/>
      <c r="WYD35" s="204"/>
      <c r="WYE35" s="204"/>
      <c r="WYF35" s="204"/>
      <c r="WYG35" s="204"/>
      <c r="WYH35" s="204"/>
      <c r="WYI35" s="204"/>
      <c r="WYJ35" s="204"/>
      <c r="WYK35" s="204"/>
      <c r="WYL35" s="204"/>
      <c r="WYM35" s="204"/>
      <c r="WYN35" s="204"/>
      <c r="WYO35" s="204"/>
      <c r="WYP35" s="204"/>
      <c r="WYQ35" s="204"/>
      <c r="WYR35" s="204"/>
      <c r="WYS35" s="204"/>
      <c r="WYT35" s="204"/>
      <c r="WYU35" s="204"/>
      <c r="WYV35" s="204"/>
      <c r="WYW35" s="204"/>
      <c r="WYX35" s="204"/>
      <c r="WYY35" s="204"/>
      <c r="WYZ35" s="204"/>
      <c r="WZA35" s="204"/>
      <c r="WZB35" s="204"/>
      <c r="WZC35" s="204"/>
      <c r="WZD35" s="204"/>
      <c r="WZE35" s="204"/>
      <c r="WZF35" s="204"/>
      <c r="WZG35" s="204"/>
      <c r="WZH35" s="204"/>
      <c r="WZI35" s="204"/>
      <c r="WZJ35" s="204"/>
      <c r="WZK35" s="204"/>
      <c r="WZL35" s="204"/>
      <c r="WZM35" s="204"/>
      <c r="WZN35" s="204"/>
      <c r="WZO35" s="204"/>
      <c r="WZP35" s="204"/>
      <c r="WZQ35" s="204"/>
      <c r="WZR35" s="204"/>
      <c r="WZS35" s="204"/>
      <c r="WZT35" s="204"/>
      <c r="WZU35" s="204"/>
      <c r="WZV35" s="204"/>
      <c r="WZW35" s="204"/>
      <c r="WZX35" s="204"/>
      <c r="WZY35" s="204"/>
      <c r="WZZ35" s="204"/>
      <c r="XAA35" s="204"/>
      <c r="XAB35" s="204"/>
      <c r="XAC35" s="204"/>
      <c r="XAD35" s="204"/>
      <c r="XAE35" s="204"/>
      <c r="XAF35" s="204"/>
      <c r="XAG35" s="204"/>
      <c r="XAH35" s="204"/>
      <c r="XAI35" s="204"/>
      <c r="XAJ35" s="204"/>
      <c r="XAK35" s="204"/>
      <c r="XAL35" s="204"/>
      <c r="XAM35" s="204"/>
      <c r="XAN35" s="204"/>
      <c r="XAO35" s="204"/>
      <c r="XAP35" s="204"/>
      <c r="XAQ35" s="204"/>
      <c r="XAR35" s="204"/>
      <c r="XAS35" s="204"/>
      <c r="XAT35" s="204"/>
      <c r="XAU35" s="204"/>
      <c r="XAV35" s="204"/>
      <c r="XAW35" s="204"/>
      <c r="XAX35" s="204"/>
      <c r="XAY35" s="204"/>
      <c r="XAZ35" s="204"/>
      <c r="XBA35" s="204"/>
      <c r="XBB35" s="204"/>
      <c r="XBC35" s="204"/>
      <c r="XBD35" s="204"/>
      <c r="XBE35" s="204"/>
      <c r="XBF35" s="204"/>
      <c r="XBG35" s="204"/>
      <c r="XBH35" s="204"/>
      <c r="XBI35" s="204"/>
      <c r="XBJ35" s="204"/>
      <c r="XBK35" s="204"/>
      <c r="XBL35" s="204"/>
      <c r="XBM35" s="204"/>
      <c r="XBN35" s="204"/>
      <c r="XBO35" s="204"/>
      <c r="XBP35" s="204"/>
      <c r="XBQ35" s="204"/>
      <c r="XBR35" s="204"/>
      <c r="XBS35" s="204"/>
      <c r="XBT35" s="204"/>
      <c r="XBU35" s="204"/>
      <c r="XBV35" s="204"/>
      <c r="XBW35" s="204"/>
      <c r="XBX35" s="204"/>
      <c r="XBY35" s="204"/>
      <c r="XBZ35" s="204"/>
      <c r="XCA35" s="204"/>
      <c r="XCB35" s="204"/>
      <c r="XCC35" s="204"/>
      <c r="XCD35" s="204"/>
      <c r="XCE35" s="204"/>
      <c r="XCF35" s="204"/>
      <c r="XCG35" s="204"/>
      <c r="XCH35" s="204"/>
      <c r="XCI35" s="204"/>
      <c r="XCJ35" s="204"/>
      <c r="XCK35" s="204"/>
      <c r="XCL35" s="204"/>
      <c r="XCM35" s="204"/>
      <c r="XCN35" s="204"/>
      <c r="XCO35" s="204"/>
      <c r="XCP35" s="204"/>
      <c r="XCQ35" s="204"/>
      <c r="XCR35" s="204"/>
      <c r="XCS35" s="204"/>
      <c r="XCT35" s="204"/>
      <c r="XCU35" s="204"/>
      <c r="XCV35" s="204"/>
      <c r="XCW35" s="204"/>
      <c r="XCX35" s="204"/>
      <c r="XCY35" s="204"/>
      <c r="XCZ35" s="204"/>
      <c r="XDA35" s="204"/>
      <c r="XDB35" s="204"/>
      <c r="XDC35" s="204"/>
      <c r="XDD35" s="204"/>
      <c r="XDE35" s="204"/>
      <c r="XDF35" s="204"/>
      <c r="XDG35" s="204"/>
      <c r="XDH35" s="204"/>
      <c r="XDI35" s="204"/>
      <c r="XDJ35" s="204"/>
      <c r="XDK35" s="204"/>
      <c r="XDL35" s="204"/>
      <c r="XDM35" s="204"/>
      <c r="XDN35" s="204"/>
      <c r="XDO35" s="204"/>
      <c r="XDP35" s="204"/>
      <c r="XDQ35" s="204"/>
      <c r="XDR35" s="204"/>
      <c r="XDS35" s="204"/>
      <c r="XDT35" s="204"/>
      <c r="XDU35" s="204"/>
      <c r="XDV35" s="204"/>
      <c r="XDW35" s="204"/>
      <c r="XDX35" s="204"/>
      <c r="XDY35" s="204"/>
      <c r="XDZ35" s="204"/>
      <c r="XEA35" s="204"/>
      <c r="XEB35" s="204"/>
      <c r="XEC35" s="204"/>
      <c r="XED35" s="204"/>
      <c r="XEE35" s="204"/>
      <c r="XEF35" s="204"/>
      <c r="XEG35" s="204"/>
      <c r="XEH35" s="204"/>
      <c r="XEI35" s="204"/>
      <c r="XEJ35" s="204"/>
      <c r="XEK35" s="204"/>
      <c r="XEL35" s="204"/>
      <c r="XEM35" s="204"/>
      <c r="XEN35" s="204"/>
      <c r="XEO35" s="204"/>
      <c r="XEP35" s="204"/>
      <c r="XEQ35" s="204"/>
      <c r="XER35" s="204"/>
      <c r="XES35" s="204"/>
      <c r="XET35" s="204"/>
      <c r="XEU35" s="204"/>
      <c r="XEV35" s="204"/>
      <c r="XEW35" s="204"/>
      <c r="XEX35" s="204"/>
      <c r="XEY35" s="204"/>
      <c r="XEZ35" s="204"/>
      <c r="XFA35" s="204"/>
      <c r="XFB35" s="204"/>
      <c r="XFC35" s="204"/>
      <c r="XFD35" s="204"/>
    </row>
    <row r="36" spans="1:16384" s="10" customFormat="1" x14ac:dyDescent="0.2">
      <c r="A36" s="203"/>
      <c r="B36" s="237" t="s">
        <v>2613</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04"/>
      <c r="CI36" s="204"/>
      <c r="CJ36" s="204"/>
      <c r="CK36" s="204"/>
      <c r="CL36" s="204"/>
      <c r="CM36" s="204"/>
      <c r="CN36" s="204"/>
      <c r="CO36" s="204"/>
      <c r="CP36" s="204"/>
      <c r="CQ36" s="204"/>
      <c r="CR36" s="204"/>
      <c r="CS36" s="204"/>
      <c r="CT36" s="204"/>
      <c r="CU36" s="204"/>
      <c r="CV36" s="204"/>
      <c r="CW36" s="204"/>
      <c r="CX36" s="204"/>
      <c r="CY36" s="204"/>
      <c r="CZ36" s="204"/>
      <c r="DA36" s="204"/>
      <c r="DB36" s="204"/>
      <c r="DC36" s="204"/>
      <c r="DD36" s="204"/>
      <c r="DE36" s="204"/>
      <c r="DF36" s="204"/>
      <c r="DG36" s="204"/>
      <c r="DH36" s="204"/>
      <c r="DI36" s="204"/>
      <c r="DJ36" s="204"/>
      <c r="DK36" s="204"/>
      <c r="DL36" s="204"/>
      <c r="DM36" s="204"/>
      <c r="DN36" s="204"/>
      <c r="DO36" s="204"/>
      <c r="DP36" s="204"/>
      <c r="DQ36" s="204"/>
      <c r="DR36" s="204"/>
      <c r="DS36" s="204"/>
      <c r="DT36" s="204"/>
      <c r="DU36" s="204"/>
      <c r="DV36" s="204"/>
      <c r="DW36" s="204"/>
      <c r="DX36" s="204"/>
      <c r="DY36" s="204"/>
      <c r="DZ36" s="204"/>
      <c r="EA36" s="204"/>
      <c r="EB36" s="204"/>
      <c r="EC36" s="204"/>
      <c r="ED36" s="204"/>
      <c r="EE36" s="204"/>
      <c r="EF36" s="204"/>
      <c r="EG36" s="204"/>
      <c r="EH36" s="204"/>
      <c r="EI36" s="204"/>
      <c r="EJ36" s="204"/>
      <c r="EK36" s="204"/>
      <c r="EL36" s="204"/>
      <c r="EM36" s="204"/>
      <c r="EN36" s="204"/>
      <c r="EO36" s="204"/>
      <c r="EP36" s="204"/>
      <c r="EQ36" s="204"/>
      <c r="ER36" s="204"/>
      <c r="ES36" s="204"/>
      <c r="ET36" s="204"/>
      <c r="EU36" s="204"/>
      <c r="EV36" s="204"/>
      <c r="EW36" s="204"/>
      <c r="EX36" s="204"/>
      <c r="EY36" s="204"/>
      <c r="EZ36" s="204"/>
      <c r="FA36" s="204"/>
      <c r="FB36" s="204"/>
      <c r="FC36" s="204"/>
      <c r="FD36" s="204"/>
      <c r="FE36" s="204"/>
      <c r="FF36" s="204"/>
      <c r="FG36" s="204"/>
      <c r="FH36" s="204"/>
      <c r="FI36" s="204"/>
      <c r="FJ36" s="204"/>
      <c r="FK36" s="204"/>
      <c r="FL36" s="204"/>
      <c r="FM36" s="204"/>
      <c r="FN36" s="204"/>
      <c r="FO36" s="204"/>
      <c r="FP36" s="204"/>
      <c r="FQ36" s="204"/>
      <c r="FR36" s="204"/>
      <c r="FS36" s="204"/>
      <c r="FT36" s="204"/>
      <c r="FU36" s="204"/>
      <c r="FV36" s="204"/>
      <c r="FW36" s="204"/>
      <c r="FX36" s="204"/>
      <c r="FY36" s="204"/>
      <c r="FZ36" s="204"/>
      <c r="GA36" s="204"/>
      <c r="GB36" s="204"/>
      <c r="GC36" s="204"/>
      <c r="GD36" s="204"/>
      <c r="GE36" s="204"/>
      <c r="GF36" s="204"/>
      <c r="GG36" s="204"/>
      <c r="GH36" s="204"/>
      <c r="GI36" s="204"/>
      <c r="GJ36" s="204"/>
      <c r="GK36" s="204"/>
      <c r="GL36" s="204"/>
      <c r="GM36" s="204"/>
      <c r="GN36" s="204"/>
      <c r="GO36" s="204"/>
      <c r="GP36" s="204"/>
      <c r="GQ36" s="204"/>
      <c r="GR36" s="204"/>
      <c r="GS36" s="204"/>
      <c r="GT36" s="204"/>
      <c r="GU36" s="204"/>
      <c r="GV36" s="204"/>
      <c r="GW36" s="204"/>
      <c r="GX36" s="204"/>
      <c r="GY36" s="204"/>
      <c r="GZ36" s="204"/>
      <c r="HA36" s="204"/>
      <c r="HB36" s="204"/>
      <c r="HC36" s="204"/>
      <c r="HD36" s="204"/>
      <c r="HE36" s="204"/>
      <c r="HF36" s="204"/>
      <c r="HG36" s="204"/>
      <c r="HH36" s="204"/>
      <c r="HI36" s="204"/>
      <c r="HJ36" s="204"/>
      <c r="HK36" s="204"/>
      <c r="HL36" s="204"/>
      <c r="HM36" s="204"/>
      <c r="HN36" s="204"/>
      <c r="HO36" s="204"/>
      <c r="HP36" s="204"/>
      <c r="HQ36" s="204"/>
      <c r="HR36" s="204"/>
      <c r="HS36" s="204"/>
      <c r="HT36" s="204"/>
      <c r="HU36" s="204"/>
      <c r="HV36" s="204"/>
      <c r="HW36" s="204"/>
      <c r="HX36" s="204"/>
      <c r="HY36" s="204"/>
      <c r="HZ36" s="204"/>
      <c r="IA36" s="204"/>
      <c r="IB36" s="204"/>
      <c r="IC36" s="204"/>
      <c r="ID36" s="204"/>
      <c r="IE36" s="204"/>
      <c r="IF36" s="204"/>
      <c r="IG36" s="204"/>
      <c r="IH36" s="204"/>
      <c r="II36" s="204"/>
      <c r="IJ36" s="204"/>
      <c r="IK36" s="204"/>
      <c r="IL36" s="204"/>
      <c r="IM36" s="204"/>
      <c r="IN36" s="204"/>
      <c r="IO36" s="204"/>
      <c r="IP36" s="204"/>
      <c r="IQ36" s="204"/>
      <c r="IR36" s="204"/>
      <c r="IS36" s="204"/>
      <c r="IT36" s="204"/>
      <c r="IU36" s="204"/>
      <c r="IV36" s="204"/>
      <c r="IW36" s="204"/>
      <c r="IX36" s="204"/>
      <c r="IY36" s="204"/>
      <c r="IZ36" s="204"/>
      <c r="JA36" s="204"/>
      <c r="JB36" s="204"/>
      <c r="JC36" s="204"/>
      <c r="JD36" s="204"/>
      <c r="JE36" s="204"/>
      <c r="JF36" s="204"/>
      <c r="JG36" s="204"/>
      <c r="JH36" s="204"/>
      <c r="JI36" s="204"/>
      <c r="JJ36" s="204"/>
      <c r="JK36" s="204"/>
      <c r="JL36" s="204"/>
      <c r="JM36" s="204"/>
      <c r="JN36" s="204"/>
      <c r="JO36" s="204"/>
      <c r="JP36" s="204"/>
      <c r="JQ36" s="204"/>
      <c r="JR36" s="204"/>
      <c r="JS36" s="204"/>
      <c r="JT36" s="204"/>
      <c r="JU36" s="204"/>
      <c r="JV36" s="204"/>
      <c r="JW36" s="204"/>
      <c r="JX36" s="204"/>
      <c r="JY36" s="204"/>
      <c r="JZ36" s="204"/>
      <c r="KA36" s="204"/>
      <c r="KB36" s="204"/>
      <c r="KC36" s="204"/>
      <c r="KD36" s="204"/>
      <c r="KE36" s="204"/>
      <c r="KF36" s="204"/>
      <c r="KG36" s="204"/>
      <c r="KH36" s="204"/>
      <c r="KI36" s="204"/>
      <c r="KJ36" s="204"/>
      <c r="KK36" s="204"/>
      <c r="KL36" s="204"/>
      <c r="KM36" s="204"/>
      <c r="KN36" s="204"/>
      <c r="KO36" s="204"/>
      <c r="KP36" s="204"/>
      <c r="KQ36" s="204"/>
      <c r="KR36" s="204"/>
      <c r="KS36" s="204"/>
      <c r="KT36" s="204"/>
      <c r="KU36" s="204"/>
      <c r="KV36" s="204"/>
      <c r="KW36" s="204"/>
      <c r="KX36" s="204"/>
      <c r="KY36" s="204"/>
      <c r="KZ36" s="204"/>
      <c r="LA36" s="204"/>
      <c r="LB36" s="204"/>
      <c r="LC36" s="204"/>
      <c r="LD36" s="204"/>
      <c r="LE36" s="204"/>
      <c r="LF36" s="204"/>
      <c r="LG36" s="204"/>
      <c r="LH36" s="204"/>
      <c r="LI36" s="204"/>
      <c r="LJ36" s="204"/>
      <c r="LK36" s="204"/>
      <c r="LL36" s="204"/>
      <c r="LM36" s="204"/>
      <c r="LN36" s="204"/>
      <c r="LO36" s="204"/>
      <c r="LP36" s="204"/>
      <c r="LQ36" s="204"/>
      <c r="LR36" s="204"/>
      <c r="LS36" s="204"/>
      <c r="LT36" s="204"/>
      <c r="LU36" s="204"/>
      <c r="LV36" s="204"/>
      <c r="LW36" s="204"/>
      <c r="LX36" s="204"/>
      <c r="LY36" s="204"/>
      <c r="LZ36" s="204"/>
      <c r="MA36" s="204"/>
      <c r="MB36" s="204"/>
      <c r="MC36" s="204"/>
      <c r="MD36" s="204"/>
      <c r="ME36" s="204"/>
      <c r="MF36" s="204"/>
      <c r="MG36" s="204"/>
      <c r="MH36" s="204"/>
      <c r="MI36" s="204"/>
      <c r="MJ36" s="204"/>
      <c r="MK36" s="204"/>
      <c r="ML36" s="204"/>
      <c r="MM36" s="204"/>
      <c r="MN36" s="204"/>
      <c r="MO36" s="204"/>
      <c r="MP36" s="204"/>
      <c r="MQ36" s="204"/>
      <c r="MR36" s="204"/>
      <c r="MS36" s="204"/>
      <c r="MT36" s="204"/>
      <c r="MU36" s="204"/>
      <c r="MV36" s="204"/>
      <c r="MW36" s="204"/>
      <c r="MX36" s="204"/>
      <c r="MY36" s="204"/>
      <c r="MZ36" s="204"/>
      <c r="NA36" s="204"/>
      <c r="NB36" s="204"/>
      <c r="NC36" s="204"/>
      <c r="ND36" s="204"/>
      <c r="NE36" s="204"/>
      <c r="NF36" s="204"/>
      <c r="NG36" s="204"/>
      <c r="NH36" s="204"/>
      <c r="NI36" s="204"/>
      <c r="NJ36" s="204"/>
      <c r="NK36" s="204"/>
      <c r="NL36" s="204"/>
      <c r="NM36" s="204"/>
      <c r="NN36" s="204"/>
      <c r="NO36" s="204"/>
      <c r="NP36" s="204"/>
      <c r="NQ36" s="204"/>
      <c r="NR36" s="204"/>
      <c r="NS36" s="204"/>
      <c r="NT36" s="204"/>
      <c r="NU36" s="204"/>
      <c r="NV36" s="204"/>
      <c r="NW36" s="204"/>
      <c r="NX36" s="204"/>
      <c r="NY36" s="204"/>
      <c r="NZ36" s="204"/>
      <c r="OA36" s="204"/>
      <c r="OB36" s="204"/>
      <c r="OC36" s="204"/>
      <c r="OD36" s="204"/>
      <c r="OE36" s="204"/>
      <c r="OF36" s="204"/>
      <c r="OG36" s="204"/>
      <c r="OH36" s="204"/>
      <c r="OI36" s="204"/>
      <c r="OJ36" s="204"/>
      <c r="OK36" s="204"/>
      <c r="OL36" s="204"/>
      <c r="OM36" s="204"/>
      <c r="ON36" s="204"/>
      <c r="OO36" s="204"/>
      <c r="OP36" s="204"/>
      <c r="OQ36" s="204"/>
      <c r="OR36" s="204"/>
      <c r="OS36" s="204"/>
      <c r="OT36" s="204"/>
      <c r="OU36" s="204"/>
      <c r="OV36" s="204"/>
      <c r="OW36" s="204"/>
      <c r="OX36" s="204"/>
      <c r="OY36" s="204"/>
      <c r="OZ36" s="204"/>
      <c r="PA36" s="204"/>
      <c r="PB36" s="204"/>
      <c r="PC36" s="204"/>
      <c r="PD36" s="204"/>
      <c r="PE36" s="204"/>
      <c r="PF36" s="204"/>
      <c r="PG36" s="204"/>
      <c r="PH36" s="204"/>
      <c r="PI36" s="204"/>
      <c r="PJ36" s="204"/>
      <c r="PK36" s="204"/>
      <c r="PL36" s="204"/>
      <c r="PM36" s="204"/>
      <c r="PN36" s="204"/>
      <c r="PO36" s="204"/>
      <c r="PP36" s="204"/>
      <c r="PQ36" s="204"/>
      <c r="PR36" s="204"/>
      <c r="PS36" s="204"/>
      <c r="PT36" s="204"/>
      <c r="PU36" s="204"/>
      <c r="PV36" s="204"/>
      <c r="PW36" s="204"/>
      <c r="PX36" s="204"/>
      <c r="PY36" s="204"/>
      <c r="PZ36" s="204"/>
      <c r="QA36" s="204"/>
      <c r="QB36" s="204"/>
      <c r="QC36" s="204"/>
      <c r="QD36" s="204"/>
      <c r="QE36" s="204"/>
      <c r="QF36" s="204"/>
      <c r="QG36" s="204"/>
      <c r="QH36" s="204"/>
      <c r="QI36" s="204"/>
      <c r="QJ36" s="204"/>
      <c r="QK36" s="204"/>
      <c r="QL36" s="204"/>
      <c r="QM36" s="204"/>
      <c r="QN36" s="204"/>
      <c r="QO36" s="204"/>
      <c r="QP36" s="204"/>
      <c r="QQ36" s="204"/>
      <c r="QR36" s="204"/>
      <c r="QS36" s="204"/>
      <c r="QT36" s="204"/>
      <c r="QU36" s="204"/>
      <c r="QV36" s="204"/>
      <c r="QW36" s="204"/>
      <c r="QX36" s="204"/>
      <c r="QY36" s="204"/>
      <c r="QZ36" s="204"/>
      <c r="RA36" s="204"/>
      <c r="RB36" s="204"/>
      <c r="RC36" s="204"/>
      <c r="RD36" s="204"/>
      <c r="RE36" s="204"/>
      <c r="RF36" s="204"/>
      <c r="RG36" s="204"/>
      <c r="RH36" s="204"/>
      <c r="RI36" s="204"/>
      <c r="RJ36" s="204"/>
      <c r="RK36" s="204"/>
      <c r="RL36" s="204"/>
      <c r="RM36" s="204"/>
      <c r="RN36" s="204"/>
      <c r="RO36" s="204"/>
      <c r="RP36" s="204"/>
      <c r="RQ36" s="204"/>
      <c r="RR36" s="204"/>
      <c r="RS36" s="204"/>
      <c r="RT36" s="204"/>
      <c r="RU36" s="204"/>
      <c r="RV36" s="204"/>
      <c r="RW36" s="204"/>
      <c r="RX36" s="204"/>
      <c r="RY36" s="204"/>
      <c r="RZ36" s="204"/>
      <c r="SA36" s="204"/>
      <c r="SB36" s="204"/>
      <c r="SC36" s="204"/>
      <c r="SD36" s="204"/>
      <c r="SE36" s="204"/>
      <c r="SF36" s="204"/>
      <c r="SG36" s="204"/>
      <c r="SH36" s="204"/>
      <c r="SI36" s="204"/>
      <c r="SJ36" s="204"/>
      <c r="SK36" s="204"/>
      <c r="SL36" s="204"/>
      <c r="SM36" s="204"/>
      <c r="SN36" s="204"/>
      <c r="SO36" s="204"/>
      <c r="SP36" s="204"/>
      <c r="SQ36" s="204"/>
      <c r="SR36" s="204"/>
      <c r="SS36" s="204"/>
      <c r="ST36" s="204"/>
      <c r="SU36" s="204"/>
      <c r="SV36" s="204"/>
      <c r="SW36" s="204"/>
      <c r="SX36" s="204"/>
      <c r="SY36" s="204"/>
      <c r="SZ36" s="204"/>
      <c r="TA36" s="204"/>
      <c r="TB36" s="204"/>
      <c r="TC36" s="204"/>
      <c r="TD36" s="204"/>
      <c r="TE36" s="204"/>
      <c r="TF36" s="204"/>
      <c r="TG36" s="204"/>
      <c r="TH36" s="204"/>
      <c r="TI36" s="204"/>
      <c r="TJ36" s="204"/>
      <c r="TK36" s="204"/>
      <c r="TL36" s="204"/>
      <c r="TM36" s="204"/>
      <c r="TN36" s="204"/>
      <c r="TO36" s="204"/>
      <c r="TP36" s="204"/>
      <c r="TQ36" s="204"/>
      <c r="TR36" s="204"/>
      <c r="TS36" s="204"/>
      <c r="TT36" s="204"/>
      <c r="TU36" s="204"/>
      <c r="TV36" s="204"/>
      <c r="TW36" s="204"/>
      <c r="TX36" s="204"/>
      <c r="TY36" s="204"/>
      <c r="TZ36" s="204"/>
      <c r="UA36" s="204"/>
      <c r="UB36" s="204"/>
      <c r="UC36" s="204"/>
      <c r="UD36" s="204"/>
      <c r="UE36" s="204"/>
      <c r="UF36" s="204"/>
      <c r="UG36" s="204"/>
      <c r="UH36" s="204"/>
      <c r="UI36" s="204"/>
      <c r="UJ36" s="204"/>
      <c r="UK36" s="204"/>
      <c r="UL36" s="204"/>
      <c r="UM36" s="204"/>
      <c r="UN36" s="204"/>
      <c r="UO36" s="204"/>
      <c r="UP36" s="204"/>
      <c r="UQ36" s="204"/>
      <c r="UR36" s="204"/>
      <c r="US36" s="204"/>
      <c r="UT36" s="204"/>
      <c r="UU36" s="204"/>
      <c r="UV36" s="204"/>
      <c r="UW36" s="204"/>
      <c r="UX36" s="204"/>
      <c r="UY36" s="204"/>
      <c r="UZ36" s="204"/>
      <c r="VA36" s="204"/>
      <c r="VB36" s="204"/>
      <c r="VC36" s="204"/>
      <c r="VD36" s="204"/>
      <c r="VE36" s="204"/>
      <c r="VF36" s="204"/>
      <c r="VG36" s="204"/>
      <c r="VH36" s="204"/>
      <c r="VI36" s="204"/>
      <c r="VJ36" s="204"/>
      <c r="VK36" s="204"/>
      <c r="VL36" s="204"/>
      <c r="VM36" s="204"/>
      <c r="VN36" s="204"/>
      <c r="VO36" s="204"/>
      <c r="VP36" s="204"/>
      <c r="VQ36" s="204"/>
      <c r="VR36" s="204"/>
      <c r="VS36" s="204"/>
      <c r="VT36" s="204"/>
      <c r="VU36" s="204"/>
      <c r="VV36" s="204"/>
      <c r="VW36" s="204"/>
      <c r="VX36" s="204"/>
      <c r="VY36" s="204"/>
      <c r="VZ36" s="204"/>
      <c r="WA36" s="204"/>
      <c r="WB36" s="204"/>
      <c r="WC36" s="204"/>
      <c r="WD36" s="204"/>
      <c r="WE36" s="204"/>
      <c r="WF36" s="204"/>
      <c r="WG36" s="204"/>
      <c r="WH36" s="204"/>
      <c r="WI36" s="204"/>
      <c r="WJ36" s="204"/>
      <c r="WK36" s="204"/>
      <c r="WL36" s="204"/>
      <c r="WM36" s="204"/>
      <c r="WN36" s="204"/>
      <c r="WO36" s="204"/>
      <c r="WP36" s="204"/>
      <c r="WQ36" s="204"/>
      <c r="WR36" s="204"/>
      <c r="WS36" s="204"/>
      <c r="WT36" s="204"/>
      <c r="WU36" s="204"/>
      <c r="WV36" s="204"/>
      <c r="WW36" s="204"/>
      <c r="WX36" s="204"/>
      <c r="WY36" s="204"/>
      <c r="WZ36" s="204"/>
      <c r="XA36" s="204"/>
      <c r="XB36" s="204"/>
      <c r="XC36" s="204"/>
      <c r="XD36" s="204"/>
      <c r="XE36" s="204"/>
      <c r="XF36" s="204"/>
      <c r="XG36" s="204"/>
      <c r="XH36" s="204"/>
      <c r="XI36" s="204"/>
      <c r="XJ36" s="204"/>
      <c r="XK36" s="204"/>
      <c r="XL36" s="204"/>
      <c r="XM36" s="204"/>
      <c r="XN36" s="204"/>
      <c r="XO36" s="204"/>
      <c r="XP36" s="204"/>
      <c r="XQ36" s="204"/>
      <c r="XR36" s="204"/>
      <c r="XS36" s="204"/>
      <c r="XT36" s="204"/>
      <c r="XU36" s="204"/>
      <c r="XV36" s="204"/>
      <c r="XW36" s="204"/>
      <c r="XX36" s="204"/>
      <c r="XY36" s="204"/>
      <c r="XZ36" s="204"/>
      <c r="YA36" s="204"/>
      <c r="YB36" s="204"/>
      <c r="YC36" s="204"/>
      <c r="YD36" s="204"/>
      <c r="YE36" s="204"/>
      <c r="YF36" s="204"/>
      <c r="YG36" s="204"/>
      <c r="YH36" s="204"/>
      <c r="YI36" s="204"/>
      <c r="YJ36" s="204"/>
      <c r="YK36" s="204"/>
      <c r="YL36" s="204"/>
      <c r="YM36" s="204"/>
      <c r="YN36" s="204"/>
      <c r="YO36" s="204"/>
      <c r="YP36" s="204"/>
      <c r="YQ36" s="204"/>
      <c r="YR36" s="204"/>
      <c r="YS36" s="204"/>
      <c r="YT36" s="204"/>
      <c r="YU36" s="204"/>
      <c r="YV36" s="204"/>
      <c r="YW36" s="204"/>
      <c r="YX36" s="204"/>
      <c r="YY36" s="204"/>
      <c r="YZ36" s="204"/>
      <c r="ZA36" s="204"/>
      <c r="ZB36" s="204"/>
      <c r="ZC36" s="204"/>
      <c r="ZD36" s="204"/>
      <c r="ZE36" s="204"/>
      <c r="ZF36" s="204"/>
      <c r="ZG36" s="204"/>
      <c r="ZH36" s="204"/>
      <c r="ZI36" s="204"/>
      <c r="ZJ36" s="204"/>
      <c r="ZK36" s="204"/>
      <c r="ZL36" s="204"/>
      <c r="ZM36" s="204"/>
      <c r="ZN36" s="204"/>
      <c r="ZO36" s="204"/>
      <c r="ZP36" s="204"/>
      <c r="ZQ36" s="204"/>
      <c r="ZR36" s="204"/>
      <c r="ZS36" s="204"/>
      <c r="ZT36" s="204"/>
      <c r="ZU36" s="204"/>
      <c r="ZV36" s="204"/>
      <c r="ZW36" s="204"/>
      <c r="ZX36" s="204"/>
      <c r="ZY36" s="204"/>
      <c r="ZZ36" s="204"/>
      <c r="AAA36" s="204"/>
      <c r="AAB36" s="204"/>
      <c r="AAC36" s="204"/>
      <c r="AAD36" s="204"/>
      <c r="AAE36" s="204"/>
      <c r="AAF36" s="204"/>
      <c r="AAG36" s="204"/>
      <c r="AAH36" s="204"/>
      <c r="AAI36" s="204"/>
      <c r="AAJ36" s="204"/>
      <c r="AAK36" s="204"/>
      <c r="AAL36" s="204"/>
      <c r="AAM36" s="204"/>
      <c r="AAN36" s="204"/>
      <c r="AAO36" s="204"/>
      <c r="AAP36" s="204"/>
      <c r="AAQ36" s="204"/>
      <c r="AAR36" s="204"/>
      <c r="AAS36" s="204"/>
      <c r="AAT36" s="204"/>
      <c r="AAU36" s="204"/>
      <c r="AAV36" s="204"/>
      <c r="AAW36" s="204"/>
      <c r="AAX36" s="204"/>
      <c r="AAY36" s="204"/>
      <c r="AAZ36" s="204"/>
      <c r="ABA36" s="204"/>
      <c r="ABB36" s="204"/>
      <c r="ABC36" s="204"/>
      <c r="ABD36" s="204"/>
      <c r="ABE36" s="204"/>
      <c r="ABF36" s="204"/>
      <c r="ABG36" s="204"/>
      <c r="ABH36" s="204"/>
      <c r="ABI36" s="204"/>
      <c r="ABJ36" s="204"/>
      <c r="ABK36" s="204"/>
      <c r="ABL36" s="204"/>
      <c r="ABM36" s="204"/>
      <c r="ABN36" s="204"/>
      <c r="ABO36" s="204"/>
      <c r="ABP36" s="204"/>
      <c r="ABQ36" s="204"/>
      <c r="ABR36" s="204"/>
      <c r="ABS36" s="204"/>
      <c r="ABT36" s="204"/>
      <c r="ABU36" s="204"/>
      <c r="ABV36" s="204"/>
      <c r="ABW36" s="204"/>
      <c r="ABX36" s="204"/>
      <c r="ABY36" s="204"/>
      <c r="ABZ36" s="204"/>
      <c r="ACA36" s="204"/>
      <c r="ACB36" s="204"/>
      <c r="ACC36" s="204"/>
      <c r="ACD36" s="204"/>
      <c r="ACE36" s="204"/>
      <c r="ACF36" s="204"/>
      <c r="ACG36" s="204"/>
      <c r="ACH36" s="204"/>
      <c r="ACI36" s="204"/>
      <c r="ACJ36" s="204"/>
      <c r="ACK36" s="204"/>
      <c r="ACL36" s="204"/>
      <c r="ACM36" s="204"/>
      <c r="ACN36" s="204"/>
      <c r="ACO36" s="204"/>
      <c r="ACP36" s="204"/>
      <c r="ACQ36" s="204"/>
      <c r="ACR36" s="204"/>
      <c r="ACS36" s="204"/>
      <c r="ACT36" s="204"/>
      <c r="ACU36" s="204"/>
      <c r="ACV36" s="204"/>
      <c r="ACW36" s="204"/>
      <c r="ACX36" s="204"/>
      <c r="ACY36" s="204"/>
      <c r="ACZ36" s="204"/>
      <c r="ADA36" s="204"/>
      <c r="ADB36" s="204"/>
      <c r="ADC36" s="204"/>
      <c r="ADD36" s="204"/>
      <c r="ADE36" s="204"/>
      <c r="ADF36" s="204"/>
      <c r="ADG36" s="204"/>
      <c r="ADH36" s="204"/>
      <c r="ADI36" s="204"/>
      <c r="ADJ36" s="204"/>
      <c r="ADK36" s="204"/>
      <c r="ADL36" s="204"/>
      <c r="ADM36" s="204"/>
      <c r="ADN36" s="204"/>
      <c r="ADO36" s="204"/>
      <c r="ADP36" s="204"/>
      <c r="ADQ36" s="204"/>
      <c r="ADR36" s="204"/>
      <c r="ADS36" s="204"/>
      <c r="ADT36" s="204"/>
      <c r="ADU36" s="204"/>
      <c r="ADV36" s="204"/>
      <c r="ADW36" s="204"/>
      <c r="ADX36" s="204"/>
      <c r="ADY36" s="204"/>
      <c r="ADZ36" s="204"/>
      <c r="AEA36" s="204"/>
      <c r="AEB36" s="204"/>
      <c r="AEC36" s="204"/>
      <c r="AED36" s="204"/>
      <c r="AEE36" s="204"/>
      <c r="AEF36" s="204"/>
      <c r="AEG36" s="204"/>
      <c r="AEH36" s="204"/>
      <c r="AEI36" s="204"/>
      <c r="AEJ36" s="204"/>
      <c r="AEK36" s="204"/>
      <c r="AEL36" s="204"/>
      <c r="AEM36" s="204"/>
      <c r="AEN36" s="204"/>
      <c r="AEO36" s="204"/>
      <c r="AEP36" s="204"/>
      <c r="AEQ36" s="204"/>
      <c r="AER36" s="204"/>
      <c r="AES36" s="204"/>
      <c r="AET36" s="204"/>
      <c r="AEU36" s="204"/>
      <c r="AEV36" s="204"/>
      <c r="AEW36" s="204"/>
      <c r="AEX36" s="204"/>
      <c r="AEY36" s="204"/>
      <c r="AEZ36" s="204"/>
      <c r="AFA36" s="204"/>
      <c r="AFB36" s="204"/>
      <c r="AFC36" s="204"/>
      <c r="AFD36" s="204"/>
      <c r="AFE36" s="204"/>
      <c r="AFF36" s="204"/>
      <c r="AFG36" s="204"/>
      <c r="AFH36" s="204"/>
      <c r="AFI36" s="204"/>
      <c r="AFJ36" s="204"/>
      <c r="AFK36" s="204"/>
      <c r="AFL36" s="204"/>
      <c r="AFM36" s="204"/>
      <c r="AFN36" s="204"/>
      <c r="AFO36" s="204"/>
      <c r="AFP36" s="204"/>
      <c r="AFQ36" s="204"/>
      <c r="AFR36" s="204"/>
      <c r="AFS36" s="204"/>
      <c r="AFT36" s="204"/>
      <c r="AFU36" s="204"/>
      <c r="AFV36" s="204"/>
      <c r="AFW36" s="204"/>
      <c r="AFX36" s="204"/>
      <c r="AFY36" s="204"/>
      <c r="AFZ36" s="204"/>
      <c r="AGA36" s="204"/>
      <c r="AGB36" s="204"/>
      <c r="AGC36" s="204"/>
      <c r="AGD36" s="204"/>
      <c r="AGE36" s="204"/>
      <c r="AGF36" s="204"/>
      <c r="AGG36" s="204"/>
      <c r="AGH36" s="204"/>
      <c r="AGI36" s="204"/>
      <c r="AGJ36" s="204"/>
      <c r="AGK36" s="204"/>
      <c r="AGL36" s="204"/>
      <c r="AGM36" s="204"/>
      <c r="AGN36" s="204"/>
      <c r="AGO36" s="204"/>
      <c r="AGP36" s="204"/>
      <c r="AGQ36" s="204"/>
      <c r="AGR36" s="204"/>
      <c r="AGS36" s="204"/>
      <c r="AGT36" s="204"/>
      <c r="AGU36" s="204"/>
      <c r="AGV36" s="204"/>
      <c r="AGW36" s="204"/>
      <c r="AGX36" s="204"/>
      <c r="AGY36" s="204"/>
      <c r="AGZ36" s="204"/>
      <c r="AHA36" s="204"/>
      <c r="AHB36" s="204"/>
      <c r="AHC36" s="204"/>
      <c r="AHD36" s="204"/>
      <c r="AHE36" s="204"/>
      <c r="AHF36" s="204"/>
      <c r="AHG36" s="204"/>
      <c r="AHH36" s="204"/>
      <c r="AHI36" s="204"/>
      <c r="AHJ36" s="204"/>
      <c r="AHK36" s="204"/>
      <c r="AHL36" s="204"/>
      <c r="AHM36" s="204"/>
      <c r="AHN36" s="204"/>
      <c r="AHO36" s="204"/>
      <c r="AHP36" s="204"/>
      <c r="AHQ36" s="204"/>
      <c r="AHR36" s="204"/>
      <c r="AHS36" s="204"/>
      <c r="AHT36" s="204"/>
      <c r="AHU36" s="204"/>
      <c r="AHV36" s="204"/>
      <c r="AHW36" s="204"/>
      <c r="AHX36" s="204"/>
      <c r="AHY36" s="204"/>
      <c r="AHZ36" s="204"/>
      <c r="AIA36" s="204"/>
      <c r="AIB36" s="204"/>
      <c r="AIC36" s="204"/>
      <c r="AID36" s="204"/>
      <c r="AIE36" s="204"/>
      <c r="AIF36" s="204"/>
      <c r="AIG36" s="204"/>
      <c r="AIH36" s="204"/>
      <c r="AII36" s="204"/>
      <c r="AIJ36" s="204"/>
      <c r="AIK36" s="204"/>
      <c r="AIL36" s="204"/>
      <c r="AIM36" s="204"/>
      <c r="AIN36" s="204"/>
      <c r="AIO36" s="204"/>
      <c r="AIP36" s="204"/>
      <c r="AIQ36" s="204"/>
      <c r="AIR36" s="204"/>
      <c r="AIS36" s="204"/>
      <c r="AIT36" s="204"/>
      <c r="AIU36" s="204"/>
      <c r="AIV36" s="204"/>
      <c r="AIW36" s="204"/>
      <c r="AIX36" s="204"/>
      <c r="AIY36" s="204"/>
      <c r="AIZ36" s="204"/>
      <c r="AJA36" s="204"/>
      <c r="AJB36" s="204"/>
      <c r="AJC36" s="204"/>
      <c r="AJD36" s="204"/>
      <c r="AJE36" s="204"/>
      <c r="AJF36" s="204"/>
      <c r="AJG36" s="204"/>
      <c r="AJH36" s="204"/>
      <c r="AJI36" s="204"/>
      <c r="AJJ36" s="204"/>
      <c r="AJK36" s="204"/>
      <c r="AJL36" s="204"/>
      <c r="AJM36" s="204"/>
      <c r="AJN36" s="204"/>
      <c r="AJO36" s="204"/>
      <c r="AJP36" s="204"/>
      <c r="AJQ36" s="204"/>
      <c r="AJR36" s="204"/>
      <c r="AJS36" s="204"/>
      <c r="AJT36" s="204"/>
      <c r="AJU36" s="204"/>
      <c r="AJV36" s="204"/>
      <c r="AJW36" s="204"/>
      <c r="AJX36" s="204"/>
      <c r="AJY36" s="204"/>
      <c r="AJZ36" s="204"/>
      <c r="AKA36" s="204"/>
      <c r="AKB36" s="204"/>
      <c r="AKC36" s="204"/>
      <c r="AKD36" s="204"/>
      <c r="AKE36" s="204"/>
      <c r="AKF36" s="204"/>
      <c r="AKG36" s="204"/>
      <c r="AKH36" s="204"/>
      <c r="AKI36" s="204"/>
      <c r="AKJ36" s="204"/>
      <c r="AKK36" s="204"/>
      <c r="AKL36" s="204"/>
      <c r="AKM36" s="204"/>
      <c r="AKN36" s="204"/>
      <c r="AKO36" s="204"/>
      <c r="AKP36" s="204"/>
      <c r="AKQ36" s="204"/>
      <c r="AKR36" s="204"/>
      <c r="AKS36" s="204"/>
      <c r="AKT36" s="204"/>
      <c r="AKU36" s="204"/>
      <c r="AKV36" s="204"/>
      <c r="AKW36" s="204"/>
      <c r="AKX36" s="204"/>
      <c r="AKY36" s="204"/>
      <c r="AKZ36" s="204"/>
      <c r="ALA36" s="204"/>
      <c r="ALB36" s="204"/>
      <c r="ALC36" s="204"/>
      <c r="ALD36" s="204"/>
      <c r="ALE36" s="204"/>
      <c r="ALF36" s="204"/>
      <c r="ALG36" s="204"/>
      <c r="ALH36" s="204"/>
      <c r="ALI36" s="204"/>
      <c r="ALJ36" s="204"/>
      <c r="ALK36" s="204"/>
      <c r="ALL36" s="204"/>
      <c r="ALM36" s="204"/>
      <c r="ALN36" s="204"/>
      <c r="ALO36" s="204"/>
      <c r="ALP36" s="204"/>
      <c r="ALQ36" s="204"/>
      <c r="ALR36" s="204"/>
      <c r="ALS36" s="204"/>
      <c r="ALT36" s="204"/>
      <c r="ALU36" s="204"/>
      <c r="ALV36" s="204"/>
      <c r="ALW36" s="204"/>
      <c r="ALX36" s="204"/>
      <c r="ALY36" s="204"/>
      <c r="ALZ36" s="204"/>
      <c r="AMA36" s="204"/>
      <c r="AMB36" s="204"/>
      <c r="AMC36" s="204"/>
      <c r="AMD36" s="204"/>
      <c r="AME36" s="204"/>
      <c r="AMF36" s="204"/>
      <c r="AMG36" s="204"/>
      <c r="AMH36" s="204"/>
      <c r="AMI36" s="204"/>
      <c r="AMJ36" s="204"/>
      <c r="AMK36" s="204"/>
      <c r="AML36" s="204"/>
      <c r="AMM36" s="204"/>
      <c r="AMN36" s="204"/>
      <c r="AMO36" s="204"/>
      <c r="AMP36" s="204"/>
      <c r="AMQ36" s="204"/>
      <c r="AMR36" s="204"/>
      <c r="AMS36" s="204"/>
      <c r="AMT36" s="204"/>
      <c r="AMU36" s="204"/>
      <c r="AMV36" s="204"/>
      <c r="AMW36" s="204"/>
      <c r="AMX36" s="204"/>
      <c r="AMY36" s="204"/>
      <c r="AMZ36" s="204"/>
      <c r="ANA36" s="204"/>
      <c r="ANB36" s="204"/>
      <c r="ANC36" s="204"/>
      <c r="AND36" s="204"/>
      <c r="ANE36" s="204"/>
      <c r="ANF36" s="204"/>
      <c r="ANG36" s="204"/>
      <c r="ANH36" s="204"/>
      <c r="ANI36" s="204"/>
      <c r="ANJ36" s="204"/>
      <c r="ANK36" s="204"/>
      <c r="ANL36" s="204"/>
      <c r="ANM36" s="204"/>
      <c r="ANN36" s="204"/>
      <c r="ANO36" s="204"/>
      <c r="ANP36" s="204"/>
      <c r="ANQ36" s="204"/>
      <c r="ANR36" s="204"/>
      <c r="ANS36" s="204"/>
      <c r="ANT36" s="204"/>
      <c r="ANU36" s="204"/>
      <c r="ANV36" s="204"/>
      <c r="ANW36" s="204"/>
      <c r="ANX36" s="204"/>
      <c r="ANY36" s="204"/>
      <c r="ANZ36" s="204"/>
      <c r="AOA36" s="204"/>
      <c r="AOB36" s="204"/>
      <c r="AOC36" s="204"/>
      <c r="AOD36" s="204"/>
      <c r="AOE36" s="204"/>
      <c r="AOF36" s="204"/>
      <c r="AOG36" s="204"/>
      <c r="AOH36" s="204"/>
      <c r="AOI36" s="204"/>
      <c r="AOJ36" s="204"/>
      <c r="AOK36" s="204"/>
      <c r="AOL36" s="204"/>
      <c r="AOM36" s="204"/>
      <c r="AON36" s="204"/>
      <c r="AOO36" s="204"/>
      <c r="AOP36" s="204"/>
      <c r="AOQ36" s="204"/>
      <c r="AOR36" s="204"/>
      <c r="AOS36" s="204"/>
      <c r="AOT36" s="204"/>
      <c r="AOU36" s="204"/>
      <c r="AOV36" s="204"/>
      <c r="AOW36" s="204"/>
      <c r="AOX36" s="204"/>
      <c r="AOY36" s="204"/>
      <c r="AOZ36" s="204"/>
      <c r="APA36" s="204"/>
      <c r="APB36" s="204"/>
      <c r="APC36" s="204"/>
      <c r="APD36" s="204"/>
      <c r="APE36" s="204"/>
      <c r="APF36" s="204"/>
      <c r="APG36" s="204"/>
      <c r="APH36" s="204"/>
      <c r="API36" s="204"/>
      <c r="APJ36" s="204"/>
      <c r="APK36" s="204"/>
      <c r="APL36" s="204"/>
      <c r="APM36" s="204"/>
      <c r="APN36" s="204"/>
      <c r="APO36" s="204"/>
      <c r="APP36" s="204"/>
      <c r="APQ36" s="204"/>
      <c r="APR36" s="204"/>
      <c r="APS36" s="204"/>
      <c r="APT36" s="204"/>
      <c r="APU36" s="204"/>
      <c r="APV36" s="204"/>
      <c r="APW36" s="204"/>
      <c r="APX36" s="204"/>
      <c r="APY36" s="204"/>
      <c r="APZ36" s="204"/>
      <c r="AQA36" s="204"/>
      <c r="AQB36" s="204"/>
      <c r="AQC36" s="204"/>
      <c r="AQD36" s="204"/>
      <c r="AQE36" s="204"/>
      <c r="AQF36" s="204"/>
      <c r="AQG36" s="204"/>
      <c r="AQH36" s="204"/>
      <c r="AQI36" s="204"/>
      <c r="AQJ36" s="204"/>
      <c r="AQK36" s="204"/>
      <c r="AQL36" s="204"/>
      <c r="AQM36" s="204"/>
      <c r="AQN36" s="204"/>
      <c r="AQO36" s="204"/>
      <c r="AQP36" s="204"/>
      <c r="AQQ36" s="204"/>
      <c r="AQR36" s="204"/>
      <c r="AQS36" s="204"/>
      <c r="AQT36" s="204"/>
      <c r="AQU36" s="204"/>
      <c r="AQV36" s="204"/>
      <c r="AQW36" s="204"/>
      <c r="AQX36" s="204"/>
      <c r="AQY36" s="204"/>
      <c r="AQZ36" s="204"/>
      <c r="ARA36" s="204"/>
      <c r="ARB36" s="204"/>
      <c r="ARC36" s="204"/>
      <c r="ARD36" s="204"/>
      <c r="ARE36" s="204"/>
      <c r="ARF36" s="204"/>
      <c r="ARG36" s="204"/>
      <c r="ARH36" s="204"/>
      <c r="ARI36" s="204"/>
      <c r="ARJ36" s="204"/>
      <c r="ARK36" s="204"/>
      <c r="ARL36" s="204"/>
      <c r="ARM36" s="204"/>
      <c r="ARN36" s="204"/>
      <c r="ARO36" s="204"/>
      <c r="ARP36" s="204"/>
      <c r="ARQ36" s="204"/>
      <c r="ARR36" s="204"/>
      <c r="ARS36" s="204"/>
      <c r="ART36" s="204"/>
      <c r="ARU36" s="204"/>
      <c r="ARV36" s="204"/>
      <c r="ARW36" s="204"/>
      <c r="ARX36" s="204"/>
      <c r="ARY36" s="204"/>
      <c r="ARZ36" s="204"/>
      <c r="ASA36" s="204"/>
      <c r="ASB36" s="204"/>
      <c r="ASC36" s="204"/>
      <c r="ASD36" s="204"/>
      <c r="ASE36" s="204"/>
      <c r="ASF36" s="204"/>
      <c r="ASG36" s="204"/>
      <c r="ASH36" s="204"/>
      <c r="ASI36" s="204"/>
      <c r="ASJ36" s="204"/>
      <c r="ASK36" s="204"/>
      <c r="ASL36" s="204"/>
      <c r="ASM36" s="204"/>
      <c r="ASN36" s="204"/>
      <c r="ASO36" s="204"/>
      <c r="ASP36" s="204"/>
      <c r="ASQ36" s="204"/>
      <c r="ASR36" s="204"/>
      <c r="ASS36" s="204"/>
      <c r="AST36" s="204"/>
      <c r="ASU36" s="204"/>
      <c r="ASV36" s="204"/>
      <c r="ASW36" s="204"/>
      <c r="ASX36" s="204"/>
      <c r="ASY36" s="204"/>
      <c r="ASZ36" s="204"/>
      <c r="ATA36" s="204"/>
      <c r="ATB36" s="204"/>
      <c r="ATC36" s="204"/>
      <c r="ATD36" s="204"/>
      <c r="ATE36" s="204"/>
      <c r="ATF36" s="204"/>
      <c r="ATG36" s="204"/>
      <c r="ATH36" s="204"/>
      <c r="ATI36" s="204"/>
      <c r="ATJ36" s="204"/>
      <c r="ATK36" s="204"/>
      <c r="ATL36" s="204"/>
      <c r="ATM36" s="204"/>
      <c r="ATN36" s="204"/>
      <c r="ATO36" s="204"/>
      <c r="ATP36" s="204"/>
      <c r="ATQ36" s="204"/>
      <c r="ATR36" s="204"/>
      <c r="ATS36" s="204"/>
      <c r="ATT36" s="204"/>
      <c r="ATU36" s="204"/>
      <c r="ATV36" s="204"/>
      <c r="ATW36" s="204"/>
      <c r="ATX36" s="204"/>
      <c r="ATY36" s="204"/>
      <c r="ATZ36" s="204"/>
      <c r="AUA36" s="204"/>
      <c r="AUB36" s="204"/>
      <c r="AUC36" s="204"/>
      <c r="AUD36" s="204"/>
      <c r="AUE36" s="204"/>
      <c r="AUF36" s="204"/>
      <c r="AUG36" s="204"/>
      <c r="AUH36" s="204"/>
      <c r="AUI36" s="204"/>
      <c r="AUJ36" s="204"/>
      <c r="AUK36" s="204"/>
      <c r="AUL36" s="204"/>
      <c r="AUM36" s="204"/>
      <c r="AUN36" s="204"/>
      <c r="AUO36" s="204"/>
      <c r="AUP36" s="204"/>
      <c r="AUQ36" s="204"/>
      <c r="AUR36" s="204"/>
      <c r="AUS36" s="204"/>
      <c r="AUT36" s="204"/>
      <c r="AUU36" s="204"/>
      <c r="AUV36" s="204"/>
      <c r="AUW36" s="204"/>
      <c r="AUX36" s="204"/>
      <c r="AUY36" s="204"/>
      <c r="AUZ36" s="204"/>
      <c r="AVA36" s="204"/>
      <c r="AVB36" s="204"/>
      <c r="AVC36" s="204"/>
      <c r="AVD36" s="204"/>
      <c r="AVE36" s="204"/>
      <c r="AVF36" s="204"/>
      <c r="AVG36" s="204"/>
      <c r="AVH36" s="204"/>
      <c r="AVI36" s="204"/>
      <c r="AVJ36" s="204"/>
      <c r="AVK36" s="204"/>
      <c r="AVL36" s="204"/>
      <c r="AVM36" s="204"/>
      <c r="AVN36" s="204"/>
      <c r="AVO36" s="204"/>
      <c r="AVP36" s="204"/>
      <c r="AVQ36" s="204"/>
      <c r="AVR36" s="204"/>
      <c r="AVS36" s="204"/>
      <c r="AVT36" s="204"/>
      <c r="AVU36" s="204"/>
      <c r="AVV36" s="204"/>
      <c r="AVW36" s="204"/>
      <c r="AVX36" s="204"/>
      <c r="AVY36" s="204"/>
      <c r="AVZ36" s="204"/>
      <c r="AWA36" s="204"/>
      <c r="AWB36" s="204"/>
      <c r="AWC36" s="204"/>
      <c r="AWD36" s="204"/>
      <c r="AWE36" s="204"/>
      <c r="AWF36" s="204"/>
      <c r="AWG36" s="204"/>
      <c r="AWH36" s="204"/>
      <c r="AWI36" s="204"/>
      <c r="AWJ36" s="204"/>
      <c r="AWK36" s="204"/>
      <c r="AWL36" s="204"/>
      <c r="AWM36" s="204"/>
      <c r="AWN36" s="204"/>
      <c r="AWO36" s="204"/>
      <c r="AWP36" s="204"/>
      <c r="AWQ36" s="204"/>
      <c r="AWR36" s="204"/>
      <c r="AWS36" s="204"/>
      <c r="AWT36" s="204"/>
      <c r="AWU36" s="204"/>
      <c r="AWV36" s="204"/>
      <c r="AWW36" s="204"/>
      <c r="AWX36" s="204"/>
      <c r="AWY36" s="204"/>
      <c r="AWZ36" s="204"/>
      <c r="AXA36" s="204"/>
      <c r="AXB36" s="204"/>
      <c r="AXC36" s="204"/>
      <c r="AXD36" s="204"/>
      <c r="AXE36" s="204"/>
      <c r="AXF36" s="204"/>
      <c r="AXG36" s="204"/>
      <c r="AXH36" s="204"/>
      <c r="AXI36" s="204"/>
      <c r="AXJ36" s="204"/>
      <c r="AXK36" s="204"/>
      <c r="AXL36" s="204"/>
      <c r="AXM36" s="204"/>
      <c r="AXN36" s="204"/>
      <c r="AXO36" s="204"/>
      <c r="AXP36" s="204"/>
      <c r="AXQ36" s="204"/>
      <c r="AXR36" s="204"/>
      <c r="AXS36" s="204"/>
      <c r="AXT36" s="204"/>
      <c r="AXU36" s="204"/>
      <c r="AXV36" s="204"/>
      <c r="AXW36" s="204"/>
      <c r="AXX36" s="204"/>
      <c r="AXY36" s="204"/>
      <c r="AXZ36" s="204"/>
      <c r="AYA36" s="204"/>
      <c r="AYB36" s="204"/>
      <c r="AYC36" s="204"/>
      <c r="AYD36" s="204"/>
      <c r="AYE36" s="204"/>
      <c r="AYF36" s="204"/>
      <c r="AYG36" s="204"/>
      <c r="AYH36" s="204"/>
      <c r="AYI36" s="204"/>
      <c r="AYJ36" s="204"/>
      <c r="AYK36" s="204"/>
      <c r="AYL36" s="204"/>
      <c r="AYM36" s="204"/>
      <c r="AYN36" s="204"/>
      <c r="AYO36" s="204"/>
      <c r="AYP36" s="204"/>
      <c r="AYQ36" s="204"/>
      <c r="AYR36" s="204"/>
      <c r="AYS36" s="204"/>
      <c r="AYT36" s="204"/>
      <c r="AYU36" s="204"/>
      <c r="AYV36" s="204"/>
      <c r="AYW36" s="204"/>
      <c r="AYX36" s="204"/>
      <c r="AYY36" s="204"/>
      <c r="AYZ36" s="204"/>
      <c r="AZA36" s="204"/>
      <c r="AZB36" s="204"/>
      <c r="AZC36" s="204"/>
      <c r="AZD36" s="204"/>
      <c r="AZE36" s="204"/>
      <c r="AZF36" s="204"/>
      <c r="AZG36" s="204"/>
      <c r="AZH36" s="204"/>
      <c r="AZI36" s="204"/>
      <c r="AZJ36" s="204"/>
      <c r="AZK36" s="204"/>
      <c r="AZL36" s="204"/>
      <c r="AZM36" s="204"/>
      <c r="AZN36" s="204"/>
      <c r="AZO36" s="204"/>
      <c r="AZP36" s="204"/>
      <c r="AZQ36" s="204"/>
      <c r="AZR36" s="204"/>
      <c r="AZS36" s="204"/>
      <c r="AZT36" s="204"/>
      <c r="AZU36" s="204"/>
      <c r="AZV36" s="204"/>
      <c r="AZW36" s="204"/>
      <c r="AZX36" s="204"/>
      <c r="AZY36" s="204"/>
      <c r="AZZ36" s="204"/>
      <c r="BAA36" s="204"/>
      <c r="BAB36" s="204"/>
      <c r="BAC36" s="204"/>
      <c r="BAD36" s="204"/>
      <c r="BAE36" s="204"/>
      <c r="BAF36" s="204"/>
      <c r="BAG36" s="204"/>
      <c r="BAH36" s="204"/>
      <c r="BAI36" s="204"/>
      <c r="BAJ36" s="204"/>
      <c r="BAK36" s="204"/>
      <c r="BAL36" s="204"/>
      <c r="BAM36" s="204"/>
      <c r="BAN36" s="204"/>
      <c r="BAO36" s="204"/>
      <c r="BAP36" s="204"/>
      <c r="BAQ36" s="204"/>
      <c r="BAR36" s="204"/>
      <c r="BAS36" s="204"/>
      <c r="BAT36" s="204"/>
      <c r="BAU36" s="204"/>
      <c r="BAV36" s="204"/>
      <c r="BAW36" s="204"/>
      <c r="BAX36" s="204"/>
      <c r="BAY36" s="204"/>
      <c r="BAZ36" s="204"/>
      <c r="BBA36" s="204"/>
      <c r="BBB36" s="204"/>
      <c r="BBC36" s="204"/>
      <c r="BBD36" s="204"/>
      <c r="BBE36" s="204"/>
      <c r="BBF36" s="204"/>
      <c r="BBG36" s="204"/>
      <c r="BBH36" s="204"/>
      <c r="BBI36" s="204"/>
      <c r="BBJ36" s="204"/>
      <c r="BBK36" s="204"/>
      <c r="BBL36" s="204"/>
      <c r="BBM36" s="204"/>
      <c r="BBN36" s="204"/>
      <c r="BBO36" s="204"/>
      <c r="BBP36" s="204"/>
      <c r="BBQ36" s="204"/>
      <c r="BBR36" s="204"/>
      <c r="BBS36" s="204"/>
      <c r="BBT36" s="204"/>
      <c r="BBU36" s="204"/>
      <c r="BBV36" s="204"/>
      <c r="BBW36" s="204"/>
      <c r="BBX36" s="204"/>
      <c r="BBY36" s="204"/>
      <c r="BBZ36" s="204"/>
      <c r="BCA36" s="204"/>
      <c r="BCB36" s="204"/>
      <c r="BCC36" s="204"/>
      <c r="BCD36" s="204"/>
      <c r="BCE36" s="204"/>
      <c r="BCF36" s="204"/>
      <c r="BCG36" s="204"/>
      <c r="BCH36" s="204"/>
      <c r="BCI36" s="204"/>
      <c r="BCJ36" s="204"/>
      <c r="BCK36" s="204"/>
      <c r="BCL36" s="204"/>
      <c r="BCM36" s="204"/>
      <c r="BCN36" s="204"/>
      <c r="BCO36" s="204"/>
      <c r="BCP36" s="204"/>
      <c r="BCQ36" s="204"/>
      <c r="BCR36" s="204"/>
      <c r="BCS36" s="204"/>
      <c r="BCT36" s="204"/>
      <c r="BCU36" s="204"/>
      <c r="BCV36" s="204"/>
      <c r="BCW36" s="204"/>
      <c r="BCX36" s="204"/>
      <c r="BCY36" s="204"/>
      <c r="BCZ36" s="204"/>
      <c r="BDA36" s="204"/>
      <c r="BDB36" s="204"/>
      <c r="BDC36" s="204"/>
      <c r="BDD36" s="204"/>
      <c r="BDE36" s="204"/>
      <c r="BDF36" s="204"/>
      <c r="BDG36" s="204"/>
      <c r="BDH36" s="204"/>
      <c r="BDI36" s="204"/>
      <c r="BDJ36" s="204"/>
      <c r="BDK36" s="204"/>
      <c r="BDL36" s="204"/>
      <c r="BDM36" s="204"/>
      <c r="BDN36" s="204"/>
      <c r="BDO36" s="204"/>
      <c r="BDP36" s="204"/>
      <c r="BDQ36" s="204"/>
      <c r="BDR36" s="204"/>
      <c r="BDS36" s="204"/>
      <c r="BDT36" s="204"/>
      <c r="BDU36" s="204"/>
      <c r="BDV36" s="204"/>
      <c r="BDW36" s="204"/>
      <c r="BDX36" s="204"/>
      <c r="BDY36" s="204"/>
      <c r="BDZ36" s="204"/>
      <c r="BEA36" s="204"/>
      <c r="BEB36" s="204"/>
      <c r="BEC36" s="204"/>
      <c r="BED36" s="204"/>
      <c r="BEE36" s="204"/>
      <c r="BEF36" s="204"/>
      <c r="BEG36" s="204"/>
      <c r="BEH36" s="204"/>
      <c r="BEI36" s="204"/>
      <c r="BEJ36" s="204"/>
      <c r="BEK36" s="204"/>
      <c r="BEL36" s="204"/>
      <c r="BEM36" s="204"/>
      <c r="BEN36" s="204"/>
      <c r="BEO36" s="204"/>
      <c r="BEP36" s="204"/>
      <c r="BEQ36" s="204"/>
      <c r="BER36" s="204"/>
      <c r="BES36" s="204"/>
      <c r="BET36" s="204"/>
      <c r="BEU36" s="204"/>
      <c r="BEV36" s="204"/>
      <c r="BEW36" s="204"/>
      <c r="BEX36" s="204"/>
      <c r="BEY36" s="204"/>
      <c r="BEZ36" s="204"/>
      <c r="BFA36" s="204"/>
      <c r="BFB36" s="204"/>
      <c r="BFC36" s="204"/>
      <c r="BFD36" s="204"/>
      <c r="BFE36" s="204"/>
      <c r="BFF36" s="204"/>
      <c r="BFG36" s="204"/>
      <c r="BFH36" s="204"/>
      <c r="BFI36" s="204"/>
      <c r="BFJ36" s="204"/>
      <c r="BFK36" s="204"/>
      <c r="BFL36" s="204"/>
      <c r="BFM36" s="204"/>
      <c r="BFN36" s="204"/>
      <c r="BFO36" s="204"/>
      <c r="BFP36" s="204"/>
      <c r="BFQ36" s="204"/>
      <c r="BFR36" s="204"/>
      <c r="BFS36" s="204"/>
      <c r="BFT36" s="204"/>
      <c r="BFU36" s="204"/>
      <c r="BFV36" s="204"/>
      <c r="BFW36" s="204"/>
      <c r="BFX36" s="204"/>
      <c r="BFY36" s="204"/>
      <c r="BFZ36" s="204"/>
      <c r="BGA36" s="204"/>
      <c r="BGB36" s="204"/>
      <c r="BGC36" s="204"/>
      <c r="BGD36" s="204"/>
      <c r="BGE36" s="204"/>
      <c r="BGF36" s="204"/>
      <c r="BGG36" s="204"/>
      <c r="BGH36" s="204"/>
      <c r="BGI36" s="204"/>
      <c r="BGJ36" s="204"/>
      <c r="BGK36" s="204"/>
      <c r="BGL36" s="204"/>
      <c r="BGM36" s="204"/>
      <c r="BGN36" s="204"/>
      <c r="BGO36" s="204"/>
      <c r="BGP36" s="204"/>
      <c r="BGQ36" s="204"/>
      <c r="BGR36" s="204"/>
      <c r="BGS36" s="204"/>
      <c r="BGT36" s="204"/>
      <c r="BGU36" s="204"/>
      <c r="BGV36" s="204"/>
      <c r="BGW36" s="204"/>
      <c r="BGX36" s="204"/>
      <c r="BGY36" s="204"/>
      <c r="BGZ36" s="204"/>
      <c r="BHA36" s="204"/>
      <c r="BHB36" s="204"/>
      <c r="BHC36" s="204"/>
      <c r="BHD36" s="204"/>
      <c r="BHE36" s="204"/>
      <c r="BHF36" s="204"/>
      <c r="BHG36" s="204"/>
      <c r="BHH36" s="204"/>
      <c r="BHI36" s="204"/>
      <c r="BHJ36" s="204"/>
      <c r="BHK36" s="204"/>
      <c r="BHL36" s="204"/>
      <c r="BHM36" s="204"/>
      <c r="BHN36" s="204"/>
      <c r="BHO36" s="204"/>
      <c r="BHP36" s="204"/>
      <c r="BHQ36" s="204"/>
      <c r="BHR36" s="204"/>
      <c r="BHS36" s="204"/>
      <c r="BHT36" s="204"/>
      <c r="BHU36" s="204"/>
      <c r="BHV36" s="204"/>
      <c r="BHW36" s="204"/>
      <c r="BHX36" s="204"/>
      <c r="BHY36" s="204"/>
      <c r="BHZ36" s="204"/>
      <c r="BIA36" s="204"/>
      <c r="BIB36" s="204"/>
      <c r="BIC36" s="204"/>
      <c r="BID36" s="204"/>
      <c r="BIE36" s="204"/>
      <c r="BIF36" s="204"/>
      <c r="BIG36" s="204"/>
      <c r="BIH36" s="204"/>
      <c r="BII36" s="204"/>
      <c r="BIJ36" s="204"/>
      <c r="BIK36" s="204"/>
      <c r="BIL36" s="204"/>
      <c r="BIM36" s="204"/>
      <c r="BIN36" s="204"/>
      <c r="BIO36" s="204"/>
      <c r="BIP36" s="204"/>
      <c r="BIQ36" s="204"/>
      <c r="BIR36" s="204"/>
      <c r="BIS36" s="204"/>
      <c r="BIT36" s="204"/>
      <c r="BIU36" s="204"/>
      <c r="BIV36" s="204"/>
      <c r="BIW36" s="204"/>
      <c r="BIX36" s="204"/>
      <c r="BIY36" s="204"/>
      <c r="BIZ36" s="204"/>
      <c r="BJA36" s="204"/>
      <c r="BJB36" s="204"/>
      <c r="BJC36" s="204"/>
      <c r="BJD36" s="204"/>
      <c r="BJE36" s="204"/>
      <c r="BJF36" s="204"/>
      <c r="BJG36" s="204"/>
      <c r="BJH36" s="204"/>
      <c r="BJI36" s="204"/>
      <c r="BJJ36" s="204"/>
      <c r="BJK36" s="204"/>
      <c r="BJL36" s="204"/>
      <c r="BJM36" s="204"/>
      <c r="BJN36" s="204"/>
      <c r="BJO36" s="204"/>
      <c r="BJP36" s="204"/>
      <c r="BJQ36" s="204"/>
      <c r="BJR36" s="204"/>
      <c r="BJS36" s="204"/>
      <c r="BJT36" s="204"/>
      <c r="BJU36" s="204"/>
      <c r="BJV36" s="204"/>
      <c r="BJW36" s="204"/>
      <c r="BJX36" s="204"/>
      <c r="BJY36" s="204"/>
      <c r="BJZ36" s="204"/>
      <c r="BKA36" s="204"/>
      <c r="BKB36" s="204"/>
      <c r="BKC36" s="204"/>
      <c r="BKD36" s="204"/>
      <c r="BKE36" s="204"/>
      <c r="BKF36" s="204"/>
      <c r="BKG36" s="204"/>
      <c r="BKH36" s="204"/>
      <c r="BKI36" s="204"/>
      <c r="BKJ36" s="204"/>
      <c r="BKK36" s="204"/>
      <c r="BKL36" s="204"/>
      <c r="BKM36" s="204"/>
      <c r="BKN36" s="204"/>
      <c r="BKO36" s="204"/>
      <c r="BKP36" s="204"/>
      <c r="BKQ36" s="204"/>
      <c r="BKR36" s="204"/>
      <c r="BKS36" s="204"/>
      <c r="BKT36" s="204"/>
      <c r="BKU36" s="204"/>
      <c r="BKV36" s="204"/>
      <c r="BKW36" s="204"/>
      <c r="BKX36" s="204"/>
      <c r="BKY36" s="204"/>
      <c r="BKZ36" s="204"/>
      <c r="BLA36" s="204"/>
      <c r="BLB36" s="204"/>
      <c r="BLC36" s="204"/>
      <c r="BLD36" s="204"/>
      <c r="BLE36" s="204"/>
      <c r="BLF36" s="204"/>
      <c r="BLG36" s="204"/>
      <c r="BLH36" s="204"/>
      <c r="BLI36" s="204"/>
      <c r="BLJ36" s="204"/>
      <c r="BLK36" s="204"/>
      <c r="BLL36" s="204"/>
      <c r="BLM36" s="204"/>
      <c r="BLN36" s="204"/>
      <c r="BLO36" s="204"/>
      <c r="BLP36" s="204"/>
      <c r="BLQ36" s="204"/>
      <c r="BLR36" s="204"/>
      <c r="BLS36" s="204"/>
      <c r="BLT36" s="204"/>
      <c r="BLU36" s="204"/>
      <c r="BLV36" s="204"/>
      <c r="BLW36" s="204"/>
      <c r="BLX36" s="204"/>
      <c r="BLY36" s="204"/>
      <c r="BLZ36" s="204"/>
      <c r="BMA36" s="204"/>
      <c r="BMB36" s="204"/>
      <c r="BMC36" s="204"/>
      <c r="BMD36" s="204"/>
      <c r="BME36" s="204"/>
      <c r="BMF36" s="204"/>
      <c r="BMG36" s="204"/>
      <c r="BMH36" s="204"/>
      <c r="BMI36" s="204"/>
      <c r="BMJ36" s="204"/>
      <c r="BMK36" s="204"/>
      <c r="BML36" s="204"/>
      <c r="BMM36" s="204"/>
      <c r="BMN36" s="204"/>
      <c r="BMO36" s="204"/>
      <c r="BMP36" s="204"/>
      <c r="BMQ36" s="204"/>
      <c r="BMR36" s="204"/>
      <c r="BMS36" s="204"/>
      <c r="BMT36" s="204"/>
      <c r="BMU36" s="204"/>
      <c r="BMV36" s="204"/>
      <c r="BMW36" s="204"/>
      <c r="BMX36" s="204"/>
      <c r="BMY36" s="204"/>
      <c r="BMZ36" s="204"/>
      <c r="BNA36" s="204"/>
      <c r="BNB36" s="204"/>
      <c r="BNC36" s="204"/>
      <c r="BND36" s="204"/>
      <c r="BNE36" s="204"/>
      <c r="BNF36" s="204"/>
      <c r="BNG36" s="204"/>
      <c r="BNH36" s="204"/>
      <c r="BNI36" s="204"/>
      <c r="BNJ36" s="204"/>
      <c r="BNK36" s="204"/>
      <c r="BNL36" s="204"/>
      <c r="BNM36" s="204"/>
      <c r="BNN36" s="204"/>
      <c r="BNO36" s="204"/>
      <c r="BNP36" s="204"/>
      <c r="BNQ36" s="204"/>
      <c r="BNR36" s="204"/>
      <c r="BNS36" s="204"/>
      <c r="BNT36" s="204"/>
      <c r="BNU36" s="204"/>
      <c r="BNV36" s="204"/>
      <c r="BNW36" s="204"/>
      <c r="BNX36" s="204"/>
      <c r="BNY36" s="204"/>
      <c r="BNZ36" s="204"/>
      <c r="BOA36" s="204"/>
      <c r="BOB36" s="204"/>
      <c r="BOC36" s="204"/>
      <c r="BOD36" s="204"/>
      <c r="BOE36" s="204"/>
      <c r="BOF36" s="204"/>
      <c r="BOG36" s="204"/>
      <c r="BOH36" s="204"/>
      <c r="BOI36" s="204"/>
      <c r="BOJ36" s="204"/>
      <c r="BOK36" s="204"/>
      <c r="BOL36" s="204"/>
      <c r="BOM36" s="204"/>
      <c r="BON36" s="204"/>
      <c r="BOO36" s="204"/>
      <c r="BOP36" s="204"/>
      <c r="BOQ36" s="204"/>
      <c r="BOR36" s="204"/>
      <c r="BOS36" s="204"/>
      <c r="BOT36" s="204"/>
      <c r="BOU36" s="204"/>
      <c r="BOV36" s="204"/>
      <c r="BOW36" s="204"/>
      <c r="BOX36" s="204"/>
      <c r="BOY36" s="204"/>
      <c r="BOZ36" s="204"/>
      <c r="BPA36" s="204"/>
      <c r="BPB36" s="204"/>
      <c r="BPC36" s="204"/>
      <c r="BPD36" s="204"/>
      <c r="BPE36" s="204"/>
      <c r="BPF36" s="204"/>
      <c r="BPG36" s="204"/>
      <c r="BPH36" s="204"/>
      <c r="BPI36" s="204"/>
      <c r="BPJ36" s="204"/>
      <c r="BPK36" s="204"/>
      <c r="BPL36" s="204"/>
      <c r="BPM36" s="204"/>
      <c r="BPN36" s="204"/>
      <c r="BPO36" s="204"/>
      <c r="BPP36" s="204"/>
      <c r="BPQ36" s="204"/>
      <c r="BPR36" s="204"/>
      <c r="BPS36" s="204"/>
      <c r="BPT36" s="204"/>
      <c r="BPU36" s="204"/>
      <c r="BPV36" s="204"/>
      <c r="BPW36" s="204"/>
      <c r="BPX36" s="204"/>
      <c r="BPY36" s="204"/>
      <c r="BPZ36" s="204"/>
      <c r="BQA36" s="204"/>
      <c r="BQB36" s="204"/>
      <c r="BQC36" s="204"/>
      <c r="BQD36" s="204"/>
      <c r="BQE36" s="204"/>
      <c r="BQF36" s="204"/>
      <c r="BQG36" s="204"/>
      <c r="BQH36" s="204"/>
      <c r="BQI36" s="204"/>
      <c r="BQJ36" s="204"/>
      <c r="BQK36" s="204"/>
      <c r="BQL36" s="204"/>
      <c r="BQM36" s="204"/>
      <c r="BQN36" s="204"/>
      <c r="BQO36" s="204"/>
      <c r="BQP36" s="204"/>
      <c r="BQQ36" s="204"/>
      <c r="BQR36" s="204"/>
      <c r="BQS36" s="204"/>
      <c r="BQT36" s="204"/>
      <c r="BQU36" s="204"/>
      <c r="BQV36" s="204"/>
      <c r="BQW36" s="204"/>
      <c r="BQX36" s="204"/>
      <c r="BQY36" s="204"/>
      <c r="BQZ36" s="204"/>
      <c r="BRA36" s="204"/>
      <c r="BRB36" s="204"/>
      <c r="BRC36" s="204"/>
      <c r="BRD36" s="204"/>
      <c r="BRE36" s="204"/>
      <c r="BRF36" s="204"/>
      <c r="BRG36" s="204"/>
      <c r="BRH36" s="204"/>
      <c r="BRI36" s="204"/>
      <c r="BRJ36" s="204"/>
      <c r="BRK36" s="204"/>
      <c r="BRL36" s="204"/>
      <c r="BRM36" s="204"/>
      <c r="BRN36" s="204"/>
      <c r="BRO36" s="204"/>
      <c r="BRP36" s="204"/>
      <c r="BRQ36" s="204"/>
      <c r="BRR36" s="204"/>
      <c r="BRS36" s="204"/>
      <c r="BRT36" s="204"/>
      <c r="BRU36" s="204"/>
      <c r="BRV36" s="204"/>
      <c r="BRW36" s="204"/>
      <c r="BRX36" s="204"/>
      <c r="BRY36" s="204"/>
      <c r="BRZ36" s="204"/>
      <c r="BSA36" s="204"/>
      <c r="BSB36" s="204"/>
      <c r="BSC36" s="204"/>
      <c r="BSD36" s="204"/>
      <c r="BSE36" s="204"/>
      <c r="BSF36" s="204"/>
      <c r="BSG36" s="204"/>
      <c r="BSH36" s="204"/>
      <c r="BSI36" s="204"/>
      <c r="BSJ36" s="204"/>
      <c r="BSK36" s="204"/>
      <c r="BSL36" s="204"/>
      <c r="BSM36" s="204"/>
      <c r="BSN36" s="204"/>
      <c r="BSO36" s="204"/>
      <c r="BSP36" s="204"/>
      <c r="BSQ36" s="204"/>
      <c r="BSR36" s="204"/>
      <c r="BSS36" s="204"/>
      <c r="BST36" s="204"/>
      <c r="BSU36" s="204"/>
      <c r="BSV36" s="204"/>
      <c r="BSW36" s="204"/>
      <c r="BSX36" s="204"/>
      <c r="BSY36" s="204"/>
      <c r="BSZ36" s="204"/>
      <c r="BTA36" s="204"/>
      <c r="BTB36" s="204"/>
      <c r="BTC36" s="204"/>
      <c r="BTD36" s="204"/>
      <c r="BTE36" s="204"/>
      <c r="BTF36" s="204"/>
      <c r="BTG36" s="204"/>
      <c r="BTH36" s="204"/>
      <c r="BTI36" s="204"/>
      <c r="BTJ36" s="204"/>
      <c r="BTK36" s="204"/>
      <c r="BTL36" s="204"/>
      <c r="BTM36" s="204"/>
      <c r="BTN36" s="204"/>
      <c r="BTO36" s="204"/>
      <c r="BTP36" s="204"/>
      <c r="BTQ36" s="204"/>
      <c r="BTR36" s="204"/>
      <c r="BTS36" s="204"/>
      <c r="BTT36" s="204"/>
      <c r="BTU36" s="204"/>
      <c r="BTV36" s="204"/>
      <c r="BTW36" s="204"/>
      <c r="BTX36" s="204"/>
      <c r="BTY36" s="204"/>
      <c r="BTZ36" s="204"/>
      <c r="BUA36" s="204"/>
      <c r="BUB36" s="204"/>
      <c r="BUC36" s="204"/>
      <c r="BUD36" s="204"/>
      <c r="BUE36" s="204"/>
      <c r="BUF36" s="204"/>
      <c r="BUG36" s="204"/>
      <c r="BUH36" s="204"/>
      <c r="BUI36" s="204"/>
      <c r="BUJ36" s="204"/>
      <c r="BUK36" s="204"/>
      <c r="BUL36" s="204"/>
      <c r="BUM36" s="204"/>
      <c r="BUN36" s="204"/>
      <c r="BUO36" s="204"/>
      <c r="BUP36" s="204"/>
      <c r="BUQ36" s="204"/>
      <c r="BUR36" s="204"/>
      <c r="BUS36" s="204"/>
      <c r="BUT36" s="204"/>
      <c r="BUU36" s="204"/>
      <c r="BUV36" s="204"/>
      <c r="BUW36" s="204"/>
      <c r="BUX36" s="204"/>
      <c r="BUY36" s="204"/>
      <c r="BUZ36" s="204"/>
      <c r="BVA36" s="204"/>
      <c r="BVB36" s="204"/>
      <c r="BVC36" s="204"/>
      <c r="BVD36" s="204"/>
      <c r="BVE36" s="204"/>
      <c r="BVF36" s="204"/>
      <c r="BVG36" s="204"/>
      <c r="BVH36" s="204"/>
      <c r="BVI36" s="204"/>
      <c r="BVJ36" s="204"/>
      <c r="BVK36" s="204"/>
      <c r="BVL36" s="204"/>
      <c r="BVM36" s="204"/>
      <c r="BVN36" s="204"/>
      <c r="BVO36" s="204"/>
      <c r="BVP36" s="204"/>
      <c r="BVQ36" s="204"/>
      <c r="BVR36" s="204"/>
      <c r="BVS36" s="204"/>
      <c r="BVT36" s="204"/>
      <c r="BVU36" s="204"/>
      <c r="BVV36" s="204"/>
      <c r="BVW36" s="204"/>
      <c r="BVX36" s="204"/>
      <c r="BVY36" s="204"/>
      <c r="BVZ36" s="204"/>
      <c r="BWA36" s="204"/>
      <c r="BWB36" s="204"/>
      <c r="BWC36" s="204"/>
      <c r="BWD36" s="204"/>
      <c r="BWE36" s="204"/>
      <c r="BWF36" s="204"/>
      <c r="BWG36" s="204"/>
      <c r="BWH36" s="204"/>
      <c r="BWI36" s="204"/>
      <c r="BWJ36" s="204"/>
      <c r="BWK36" s="204"/>
      <c r="BWL36" s="204"/>
      <c r="BWM36" s="204"/>
      <c r="BWN36" s="204"/>
      <c r="BWO36" s="204"/>
      <c r="BWP36" s="204"/>
      <c r="BWQ36" s="204"/>
      <c r="BWR36" s="204"/>
      <c r="BWS36" s="204"/>
      <c r="BWT36" s="204"/>
      <c r="BWU36" s="204"/>
      <c r="BWV36" s="204"/>
      <c r="BWW36" s="204"/>
      <c r="BWX36" s="204"/>
      <c r="BWY36" s="204"/>
      <c r="BWZ36" s="204"/>
      <c r="BXA36" s="204"/>
      <c r="BXB36" s="204"/>
      <c r="BXC36" s="204"/>
      <c r="BXD36" s="204"/>
      <c r="BXE36" s="204"/>
      <c r="BXF36" s="204"/>
      <c r="BXG36" s="204"/>
      <c r="BXH36" s="204"/>
      <c r="BXI36" s="204"/>
      <c r="BXJ36" s="204"/>
      <c r="BXK36" s="204"/>
      <c r="BXL36" s="204"/>
      <c r="BXM36" s="204"/>
      <c r="BXN36" s="204"/>
      <c r="BXO36" s="204"/>
      <c r="BXP36" s="204"/>
      <c r="BXQ36" s="204"/>
      <c r="BXR36" s="204"/>
      <c r="BXS36" s="204"/>
      <c r="BXT36" s="204"/>
      <c r="BXU36" s="204"/>
      <c r="BXV36" s="204"/>
      <c r="BXW36" s="204"/>
      <c r="BXX36" s="204"/>
      <c r="BXY36" s="204"/>
      <c r="BXZ36" s="204"/>
      <c r="BYA36" s="204"/>
      <c r="BYB36" s="204"/>
      <c r="BYC36" s="204"/>
      <c r="BYD36" s="204"/>
      <c r="BYE36" s="204"/>
      <c r="BYF36" s="204"/>
      <c r="BYG36" s="204"/>
      <c r="BYH36" s="204"/>
      <c r="BYI36" s="204"/>
      <c r="BYJ36" s="204"/>
      <c r="BYK36" s="204"/>
      <c r="BYL36" s="204"/>
      <c r="BYM36" s="204"/>
      <c r="BYN36" s="204"/>
      <c r="BYO36" s="204"/>
      <c r="BYP36" s="204"/>
      <c r="BYQ36" s="204"/>
      <c r="BYR36" s="204"/>
      <c r="BYS36" s="204"/>
      <c r="BYT36" s="204"/>
      <c r="BYU36" s="204"/>
      <c r="BYV36" s="204"/>
      <c r="BYW36" s="204"/>
      <c r="BYX36" s="204"/>
      <c r="BYY36" s="204"/>
      <c r="BYZ36" s="204"/>
      <c r="BZA36" s="204"/>
      <c r="BZB36" s="204"/>
      <c r="BZC36" s="204"/>
      <c r="BZD36" s="204"/>
      <c r="BZE36" s="204"/>
      <c r="BZF36" s="204"/>
      <c r="BZG36" s="204"/>
      <c r="BZH36" s="204"/>
      <c r="BZI36" s="204"/>
      <c r="BZJ36" s="204"/>
      <c r="BZK36" s="204"/>
      <c r="BZL36" s="204"/>
      <c r="BZM36" s="204"/>
      <c r="BZN36" s="204"/>
      <c r="BZO36" s="204"/>
      <c r="BZP36" s="204"/>
      <c r="BZQ36" s="204"/>
      <c r="BZR36" s="204"/>
      <c r="BZS36" s="204"/>
      <c r="BZT36" s="204"/>
      <c r="BZU36" s="204"/>
      <c r="BZV36" s="204"/>
      <c r="BZW36" s="204"/>
      <c r="BZX36" s="204"/>
      <c r="BZY36" s="204"/>
      <c r="BZZ36" s="204"/>
      <c r="CAA36" s="204"/>
      <c r="CAB36" s="204"/>
      <c r="CAC36" s="204"/>
      <c r="CAD36" s="204"/>
      <c r="CAE36" s="204"/>
      <c r="CAF36" s="204"/>
      <c r="CAG36" s="204"/>
      <c r="CAH36" s="204"/>
      <c r="CAI36" s="204"/>
      <c r="CAJ36" s="204"/>
      <c r="CAK36" s="204"/>
      <c r="CAL36" s="204"/>
      <c r="CAM36" s="204"/>
      <c r="CAN36" s="204"/>
      <c r="CAO36" s="204"/>
      <c r="CAP36" s="204"/>
      <c r="CAQ36" s="204"/>
      <c r="CAR36" s="204"/>
      <c r="CAS36" s="204"/>
      <c r="CAT36" s="204"/>
      <c r="CAU36" s="204"/>
      <c r="CAV36" s="204"/>
      <c r="CAW36" s="204"/>
      <c r="CAX36" s="204"/>
      <c r="CAY36" s="204"/>
      <c r="CAZ36" s="204"/>
      <c r="CBA36" s="204"/>
      <c r="CBB36" s="204"/>
      <c r="CBC36" s="204"/>
      <c r="CBD36" s="204"/>
      <c r="CBE36" s="204"/>
      <c r="CBF36" s="204"/>
      <c r="CBG36" s="204"/>
      <c r="CBH36" s="204"/>
      <c r="CBI36" s="204"/>
      <c r="CBJ36" s="204"/>
      <c r="CBK36" s="204"/>
      <c r="CBL36" s="204"/>
      <c r="CBM36" s="204"/>
      <c r="CBN36" s="204"/>
      <c r="CBO36" s="204"/>
      <c r="CBP36" s="204"/>
      <c r="CBQ36" s="204"/>
      <c r="CBR36" s="204"/>
      <c r="CBS36" s="204"/>
      <c r="CBT36" s="204"/>
      <c r="CBU36" s="204"/>
      <c r="CBV36" s="204"/>
      <c r="CBW36" s="204"/>
      <c r="CBX36" s="204"/>
      <c r="CBY36" s="204"/>
      <c r="CBZ36" s="204"/>
      <c r="CCA36" s="204"/>
      <c r="CCB36" s="204"/>
      <c r="CCC36" s="204"/>
      <c r="CCD36" s="204"/>
      <c r="CCE36" s="204"/>
      <c r="CCF36" s="204"/>
      <c r="CCG36" s="204"/>
      <c r="CCH36" s="204"/>
      <c r="CCI36" s="204"/>
      <c r="CCJ36" s="204"/>
      <c r="CCK36" s="204"/>
      <c r="CCL36" s="204"/>
      <c r="CCM36" s="204"/>
      <c r="CCN36" s="204"/>
      <c r="CCO36" s="204"/>
      <c r="CCP36" s="204"/>
      <c r="CCQ36" s="204"/>
      <c r="CCR36" s="204"/>
      <c r="CCS36" s="204"/>
      <c r="CCT36" s="204"/>
      <c r="CCU36" s="204"/>
      <c r="CCV36" s="204"/>
      <c r="CCW36" s="204"/>
      <c r="CCX36" s="204"/>
      <c r="CCY36" s="204"/>
      <c r="CCZ36" s="204"/>
      <c r="CDA36" s="204"/>
      <c r="CDB36" s="204"/>
      <c r="CDC36" s="204"/>
      <c r="CDD36" s="204"/>
      <c r="CDE36" s="204"/>
      <c r="CDF36" s="204"/>
      <c r="CDG36" s="204"/>
      <c r="CDH36" s="204"/>
      <c r="CDI36" s="204"/>
      <c r="CDJ36" s="204"/>
      <c r="CDK36" s="204"/>
      <c r="CDL36" s="204"/>
      <c r="CDM36" s="204"/>
      <c r="CDN36" s="204"/>
      <c r="CDO36" s="204"/>
      <c r="CDP36" s="204"/>
      <c r="CDQ36" s="204"/>
      <c r="CDR36" s="204"/>
      <c r="CDS36" s="204"/>
      <c r="CDT36" s="204"/>
      <c r="CDU36" s="204"/>
      <c r="CDV36" s="204"/>
      <c r="CDW36" s="204"/>
      <c r="CDX36" s="204"/>
      <c r="CDY36" s="204"/>
      <c r="CDZ36" s="204"/>
      <c r="CEA36" s="204"/>
      <c r="CEB36" s="204"/>
      <c r="CEC36" s="204"/>
      <c r="CED36" s="204"/>
      <c r="CEE36" s="204"/>
      <c r="CEF36" s="204"/>
      <c r="CEG36" s="204"/>
      <c r="CEH36" s="204"/>
      <c r="CEI36" s="204"/>
      <c r="CEJ36" s="204"/>
      <c r="CEK36" s="204"/>
      <c r="CEL36" s="204"/>
      <c r="CEM36" s="204"/>
      <c r="CEN36" s="204"/>
      <c r="CEO36" s="204"/>
      <c r="CEP36" s="204"/>
      <c r="CEQ36" s="204"/>
      <c r="CER36" s="204"/>
      <c r="CES36" s="204"/>
      <c r="CET36" s="204"/>
      <c r="CEU36" s="204"/>
      <c r="CEV36" s="204"/>
      <c r="CEW36" s="204"/>
      <c r="CEX36" s="204"/>
      <c r="CEY36" s="204"/>
      <c r="CEZ36" s="204"/>
      <c r="CFA36" s="204"/>
      <c r="CFB36" s="204"/>
      <c r="CFC36" s="204"/>
      <c r="CFD36" s="204"/>
      <c r="CFE36" s="204"/>
      <c r="CFF36" s="204"/>
      <c r="CFG36" s="204"/>
      <c r="CFH36" s="204"/>
      <c r="CFI36" s="204"/>
      <c r="CFJ36" s="204"/>
      <c r="CFK36" s="204"/>
      <c r="CFL36" s="204"/>
      <c r="CFM36" s="204"/>
      <c r="CFN36" s="204"/>
      <c r="CFO36" s="204"/>
      <c r="CFP36" s="204"/>
      <c r="CFQ36" s="204"/>
      <c r="CFR36" s="204"/>
      <c r="CFS36" s="204"/>
      <c r="CFT36" s="204"/>
      <c r="CFU36" s="204"/>
      <c r="CFV36" s="204"/>
      <c r="CFW36" s="204"/>
      <c r="CFX36" s="204"/>
      <c r="CFY36" s="204"/>
      <c r="CFZ36" s="204"/>
      <c r="CGA36" s="204"/>
      <c r="CGB36" s="204"/>
      <c r="CGC36" s="204"/>
      <c r="CGD36" s="204"/>
      <c r="CGE36" s="204"/>
      <c r="CGF36" s="204"/>
      <c r="CGG36" s="204"/>
      <c r="CGH36" s="204"/>
      <c r="CGI36" s="204"/>
      <c r="CGJ36" s="204"/>
      <c r="CGK36" s="204"/>
      <c r="CGL36" s="204"/>
      <c r="CGM36" s="204"/>
      <c r="CGN36" s="204"/>
      <c r="CGO36" s="204"/>
      <c r="CGP36" s="204"/>
      <c r="CGQ36" s="204"/>
      <c r="CGR36" s="204"/>
      <c r="CGS36" s="204"/>
      <c r="CGT36" s="204"/>
      <c r="CGU36" s="204"/>
      <c r="CGV36" s="204"/>
      <c r="CGW36" s="204"/>
      <c r="CGX36" s="204"/>
      <c r="CGY36" s="204"/>
      <c r="CGZ36" s="204"/>
      <c r="CHA36" s="204"/>
      <c r="CHB36" s="204"/>
      <c r="CHC36" s="204"/>
      <c r="CHD36" s="204"/>
      <c r="CHE36" s="204"/>
      <c r="CHF36" s="204"/>
      <c r="CHG36" s="204"/>
      <c r="CHH36" s="204"/>
      <c r="CHI36" s="204"/>
      <c r="CHJ36" s="204"/>
      <c r="CHK36" s="204"/>
      <c r="CHL36" s="204"/>
      <c r="CHM36" s="204"/>
      <c r="CHN36" s="204"/>
      <c r="CHO36" s="204"/>
      <c r="CHP36" s="204"/>
      <c r="CHQ36" s="204"/>
      <c r="CHR36" s="204"/>
      <c r="CHS36" s="204"/>
      <c r="CHT36" s="204"/>
      <c r="CHU36" s="204"/>
      <c r="CHV36" s="204"/>
      <c r="CHW36" s="204"/>
      <c r="CHX36" s="204"/>
      <c r="CHY36" s="204"/>
      <c r="CHZ36" s="204"/>
      <c r="CIA36" s="204"/>
      <c r="CIB36" s="204"/>
      <c r="CIC36" s="204"/>
      <c r="CID36" s="204"/>
      <c r="CIE36" s="204"/>
      <c r="CIF36" s="204"/>
      <c r="CIG36" s="204"/>
      <c r="CIH36" s="204"/>
      <c r="CII36" s="204"/>
      <c r="CIJ36" s="204"/>
      <c r="CIK36" s="204"/>
      <c r="CIL36" s="204"/>
      <c r="CIM36" s="204"/>
      <c r="CIN36" s="204"/>
      <c r="CIO36" s="204"/>
      <c r="CIP36" s="204"/>
      <c r="CIQ36" s="204"/>
      <c r="CIR36" s="204"/>
      <c r="CIS36" s="204"/>
      <c r="CIT36" s="204"/>
      <c r="CIU36" s="204"/>
      <c r="CIV36" s="204"/>
      <c r="CIW36" s="204"/>
      <c r="CIX36" s="204"/>
      <c r="CIY36" s="204"/>
      <c r="CIZ36" s="204"/>
      <c r="CJA36" s="204"/>
      <c r="CJB36" s="204"/>
      <c r="CJC36" s="204"/>
      <c r="CJD36" s="204"/>
      <c r="CJE36" s="204"/>
      <c r="CJF36" s="204"/>
      <c r="CJG36" s="204"/>
      <c r="CJH36" s="204"/>
      <c r="CJI36" s="204"/>
      <c r="CJJ36" s="204"/>
      <c r="CJK36" s="204"/>
      <c r="CJL36" s="204"/>
      <c r="CJM36" s="204"/>
      <c r="CJN36" s="204"/>
      <c r="CJO36" s="204"/>
      <c r="CJP36" s="204"/>
      <c r="CJQ36" s="204"/>
      <c r="CJR36" s="204"/>
      <c r="CJS36" s="204"/>
      <c r="CJT36" s="204"/>
      <c r="CJU36" s="204"/>
      <c r="CJV36" s="204"/>
      <c r="CJW36" s="204"/>
      <c r="CJX36" s="204"/>
      <c r="CJY36" s="204"/>
      <c r="CJZ36" s="204"/>
      <c r="CKA36" s="204"/>
      <c r="CKB36" s="204"/>
      <c r="CKC36" s="204"/>
      <c r="CKD36" s="204"/>
      <c r="CKE36" s="204"/>
      <c r="CKF36" s="204"/>
      <c r="CKG36" s="204"/>
      <c r="CKH36" s="204"/>
      <c r="CKI36" s="204"/>
      <c r="CKJ36" s="204"/>
      <c r="CKK36" s="204"/>
      <c r="CKL36" s="204"/>
      <c r="CKM36" s="204"/>
      <c r="CKN36" s="204"/>
      <c r="CKO36" s="204"/>
      <c r="CKP36" s="204"/>
      <c r="CKQ36" s="204"/>
      <c r="CKR36" s="204"/>
      <c r="CKS36" s="204"/>
      <c r="CKT36" s="204"/>
      <c r="CKU36" s="204"/>
      <c r="CKV36" s="204"/>
      <c r="CKW36" s="204"/>
      <c r="CKX36" s="204"/>
      <c r="CKY36" s="204"/>
      <c r="CKZ36" s="204"/>
      <c r="CLA36" s="204"/>
      <c r="CLB36" s="204"/>
      <c r="CLC36" s="204"/>
      <c r="CLD36" s="204"/>
      <c r="CLE36" s="204"/>
      <c r="CLF36" s="204"/>
      <c r="CLG36" s="204"/>
      <c r="CLH36" s="204"/>
      <c r="CLI36" s="204"/>
      <c r="CLJ36" s="204"/>
      <c r="CLK36" s="204"/>
      <c r="CLL36" s="204"/>
      <c r="CLM36" s="204"/>
      <c r="CLN36" s="204"/>
      <c r="CLO36" s="204"/>
      <c r="CLP36" s="204"/>
      <c r="CLQ36" s="204"/>
      <c r="CLR36" s="204"/>
      <c r="CLS36" s="204"/>
      <c r="CLT36" s="204"/>
      <c r="CLU36" s="204"/>
      <c r="CLV36" s="204"/>
      <c r="CLW36" s="204"/>
      <c r="CLX36" s="204"/>
      <c r="CLY36" s="204"/>
      <c r="CLZ36" s="204"/>
      <c r="CMA36" s="204"/>
      <c r="CMB36" s="204"/>
      <c r="CMC36" s="204"/>
      <c r="CMD36" s="204"/>
      <c r="CME36" s="204"/>
      <c r="CMF36" s="204"/>
      <c r="CMG36" s="204"/>
      <c r="CMH36" s="204"/>
      <c r="CMI36" s="204"/>
      <c r="CMJ36" s="204"/>
      <c r="CMK36" s="204"/>
      <c r="CML36" s="204"/>
      <c r="CMM36" s="204"/>
      <c r="CMN36" s="204"/>
      <c r="CMO36" s="204"/>
      <c r="CMP36" s="204"/>
      <c r="CMQ36" s="204"/>
      <c r="CMR36" s="204"/>
      <c r="CMS36" s="204"/>
      <c r="CMT36" s="204"/>
      <c r="CMU36" s="204"/>
      <c r="CMV36" s="204"/>
      <c r="CMW36" s="204"/>
      <c r="CMX36" s="204"/>
      <c r="CMY36" s="204"/>
      <c r="CMZ36" s="204"/>
      <c r="CNA36" s="204"/>
      <c r="CNB36" s="204"/>
      <c r="CNC36" s="204"/>
      <c r="CND36" s="204"/>
      <c r="CNE36" s="204"/>
      <c r="CNF36" s="204"/>
      <c r="CNG36" s="204"/>
      <c r="CNH36" s="204"/>
      <c r="CNI36" s="204"/>
      <c r="CNJ36" s="204"/>
      <c r="CNK36" s="204"/>
      <c r="CNL36" s="204"/>
      <c r="CNM36" s="204"/>
      <c r="CNN36" s="204"/>
      <c r="CNO36" s="204"/>
      <c r="CNP36" s="204"/>
      <c r="CNQ36" s="204"/>
      <c r="CNR36" s="204"/>
      <c r="CNS36" s="204"/>
      <c r="CNT36" s="204"/>
      <c r="CNU36" s="204"/>
      <c r="CNV36" s="204"/>
      <c r="CNW36" s="204"/>
      <c r="CNX36" s="204"/>
      <c r="CNY36" s="204"/>
      <c r="CNZ36" s="204"/>
      <c r="COA36" s="204"/>
      <c r="COB36" s="204"/>
      <c r="COC36" s="204"/>
      <c r="COD36" s="204"/>
      <c r="COE36" s="204"/>
      <c r="COF36" s="204"/>
      <c r="COG36" s="204"/>
      <c r="COH36" s="204"/>
      <c r="COI36" s="204"/>
      <c r="COJ36" s="204"/>
      <c r="COK36" s="204"/>
      <c r="COL36" s="204"/>
      <c r="COM36" s="204"/>
      <c r="CON36" s="204"/>
      <c r="COO36" s="204"/>
      <c r="COP36" s="204"/>
      <c r="COQ36" s="204"/>
      <c r="COR36" s="204"/>
      <c r="COS36" s="204"/>
      <c r="COT36" s="204"/>
      <c r="COU36" s="204"/>
      <c r="COV36" s="204"/>
      <c r="COW36" s="204"/>
      <c r="COX36" s="204"/>
      <c r="COY36" s="204"/>
      <c r="COZ36" s="204"/>
      <c r="CPA36" s="204"/>
      <c r="CPB36" s="204"/>
      <c r="CPC36" s="204"/>
      <c r="CPD36" s="204"/>
      <c r="CPE36" s="204"/>
      <c r="CPF36" s="204"/>
      <c r="CPG36" s="204"/>
      <c r="CPH36" s="204"/>
      <c r="CPI36" s="204"/>
      <c r="CPJ36" s="204"/>
      <c r="CPK36" s="204"/>
      <c r="CPL36" s="204"/>
      <c r="CPM36" s="204"/>
      <c r="CPN36" s="204"/>
      <c r="CPO36" s="204"/>
      <c r="CPP36" s="204"/>
      <c r="CPQ36" s="204"/>
      <c r="CPR36" s="204"/>
      <c r="CPS36" s="204"/>
      <c r="CPT36" s="204"/>
      <c r="CPU36" s="204"/>
      <c r="CPV36" s="204"/>
      <c r="CPW36" s="204"/>
      <c r="CPX36" s="204"/>
      <c r="CPY36" s="204"/>
      <c r="CPZ36" s="204"/>
      <c r="CQA36" s="204"/>
      <c r="CQB36" s="204"/>
      <c r="CQC36" s="204"/>
      <c r="CQD36" s="204"/>
      <c r="CQE36" s="204"/>
      <c r="CQF36" s="204"/>
      <c r="CQG36" s="204"/>
      <c r="CQH36" s="204"/>
      <c r="CQI36" s="204"/>
      <c r="CQJ36" s="204"/>
      <c r="CQK36" s="204"/>
      <c r="CQL36" s="204"/>
      <c r="CQM36" s="204"/>
      <c r="CQN36" s="204"/>
      <c r="CQO36" s="204"/>
      <c r="CQP36" s="204"/>
      <c r="CQQ36" s="204"/>
      <c r="CQR36" s="204"/>
      <c r="CQS36" s="204"/>
      <c r="CQT36" s="204"/>
      <c r="CQU36" s="204"/>
      <c r="CQV36" s="204"/>
      <c r="CQW36" s="204"/>
      <c r="CQX36" s="204"/>
      <c r="CQY36" s="204"/>
      <c r="CQZ36" s="204"/>
      <c r="CRA36" s="204"/>
      <c r="CRB36" s="204"/>
      <c r="CRC36" s="204"/>
      <c r="CRD36" s="204"/>
      <c r="CRE36" s="204"/>
      <c r="CRF36" s="204"/>
      <c r="CRG36" s="204"/>
      <c r="CRH36" s="204"/>
      <c r="CRI36" s="204"/>
      <c r="CRJ36" s="204"/>
      <c r="CRK36" s="204"/>
      <c r="CRL36" s="204"/>
      <c r="CRM36" s="204"/>
      <c r="CRN36" s="204"/>
      <c r="CRO36" s="204"/>
      <c r="CRP36" s="204"/>
      <c r="CRQ36" s="204"/>
      <c r="CRR36" s="204"/>
      <c r="CRS36" s="204"/>
      <c r="CRT36" s="204"/>
      <c r="CRU36" s="204"/>
      <c r="CRV36" s="204"/>
      <c r="CRW36" s="204"/>
      <c r="CRX36" s="204"/>
      <c r="CRY36" s="204"/>
      <c r="CRZ36" s="204"/>
      <c r="CSA36" s="204"/>
      <c r="CSB36" s="204"/>
      <c r="CSC36" s="204"/>
      <c r="CSD36" s="204"/>
      <c r="CSE36" s="204"/>
      <c r="CSF36" s="204"/>
      <c r="CSG36" s="204"/>
      <c r="CSH36" s="204"/>
      <c r="CSI36" s="204"/>
      <c r="CSJ36" s="204"/>
      <c r="CSK36" s="204"/>
      <c r="CSL36" s="204"/>
      <c r="CSM36" s="204"/>
      <c r="CSN36" s="204"/>
      <c r="CSO36" s="204"/>
      <c r="CSP36" s="204"/>
      <c r="CSQ36" s="204"/>
      <c r="CSR36" s="204"/>
      <c r="CSS36" s="204"/>
      <c r="CST36" s="204"/>
      <c r="CSU36" s="204"/>
      <c r="CSV36" s="204"/>
      <c r="CSW36" s="204"/>
      <c r="CSX36" s="204"/>
      <c r="CSY36" s="204"/>
      <c r="CSZ36" s="204"/>
      <c r="CTA36" s="204"/>
      <c r="CTB36" s="204"/>
      <c r="CTC36" s="204"/>
      <c r="CTD36" s="204"/>
      <c r="CTE36" s="204"/>
      <c r="CTF36" s="204"/>
      <c r="CTG36" s="204"/>
      <c r="CTH36" s="204"/>
      <c r="CTI36" s="204"/>
      <c r="CTJ36" s="204"/>
      <c r="CTK36" s="204"/>
      <c r="CTL36" s="204"/>
      <c r="CTM36" s="204"/>
      <c r="CTN36" s="204"/>
      <c r="CTO36" s="204"/>
      <c r="CTP36" s="204"/>
      <c r="CTQ36" s="204"/>
      <c r="CTR36" s="204"/>
      <c r="CTS36" s="204"/>
      <c r="CTT36" s="204"/>
      <c r="CTU36" s="204"/>
      <c r="CTV36" s="204"/>
      <c r="CTW36" s="204"/>
      <c r="CTX36" s="204"/>
      <c r="CTY36" s="204"/>
      <c r="CTZ36" s="204"/>
      <c r="CUA36" s="204"/>
      <c r="CUB36" s="204"/>
      <c r="CUC36" s="204"/>
      <c r="CUD36" s="204"/>
      <c r="CUE36" s="204"/>
      <c r="CUF36" s="204"/>
      <c r="CUG36" s="204"/>
      <c r="CUH36" s="204"/>
      <c r="CUI36" s="204"/>
      <c r="CUJ36" s="204"/>
      <c r="CUK36" s="204"/>
      <c r="CUL36" s="204"/>
      <c r="CUM36" s="204"/>
      <c r="CUN36" s="204"/>
      <c r="CUO36" s="204"/>
      <c r="CUP36" s="204"/>
      <c r="CUQ36" s="204"/>
      <c r="CUR36" s="204"/>
      <c r="CUS36" s="204"/>
      <c r="CUT36" s="204"/>
      <c r="CUU36" s="204"/>
      <c r="CUV36" s="204"/>
      <c r="CUW36" s="204"/>
      <c r="CUX36" s="204"/>
      <c r="CUY36" s="204"/>
      <c r="CUZ36" s="204"/>
      <c r="CVA36" s="204"/>
      <c r="CVB36" s="204"/>
      <c r="CVC36" s="204"/>
      <c r="CVD36" s="204"/>
      <c r="CVE36" s="204"/>
      <c r="CVF36" s="204"/>
      <c r="CVG36" s="204"/>
      <c r="CVH36" s="204"/>
      <c r="CVI36" s="204"/>
      <c r="CVJ36" s="204"/>
      <c r="CVK36" s="204"/>
      <c r="CVL36" s="204"/>
      <c r="CVM36" s="204"/>
      <c r="CVN36" s="204"/>
      <c r="CVO36" s="204"/>
      <c r="CVP36" s="204"/>
      <c r="CVQ36" s="204"/>
      <c r="CVR36" s="204"/>
      <c r="CVS36" s="204"/>
      <c r="CVT36" s="204"/>
      <c r="CVU36" s="204"/>
      <c r="CVV36" s="204"/>
      <c r="CVW36" s="204"/>
      <c r="CVX36" s="204"/>
      <c r="CVY36" s="204"/>
      <c r="CVZ36" s="204"/>
      <c r="CWA36" s="204"/>
      <c r="CWB36" s="204"/>
      <c r="CWC36" s="204"/>
      <c r="CWD36" s="204"/>
      <c r="CWE36" s="204"/>
      <c r="CWF36" s="204"/>
      <c r="CWG36" s="204"/>
      <c r="CWH36" s="204"/>
      <c r="CWI36" s="204"/>
      <c r="CWJ36" s="204"/>
      <c r="CWK36" s="204"/>
      <c r="CWL36" s="204"/>
      <c r="CWM36" s="204"/>
      <c r="CWN36" s="204"/>
      <c r="CWO36" s="204"/>
      <c r="CWP36" s="204"/>
      <c r="CWQ36" s="204"/>
      <c r="CWR36" s="204"/>
      <c r="CWS36" s="204"/>
      <c r="CWT36" s="204"/>
      <c r="CWU36" s="204"/>
      <c r="CWV36" s="204"/>
      <c r="CWW36" s="204"/>
      <c r="CWX36" s="204"/>
      <c r="CWY36" s="204"/>
      <c r="CWZ36" s="204"/>
      <c r="CXA36" s="204"/>
      <c r="CXB36" s="204"/>
      <c r="CXC36" s="204"/>
      <c r="CXD36" s="204"/>
      <c r="CXE36" s="204"/>
      <c r="CXF36" s="204"/>
      <c r="CXG36" s="204"/>
      <c r="CXH36" s="204"/>
      <c r="CXI36" s="204"/>
      <c r="CXJ36" s="204"/>
      <c r="CXK36" s="204"/>
      <c r="CXL36" s="204"/>
      <c r="CXM36" s="204"/>
      <c r="CXN36" s="204"/>
      <c r="CXO36" s="204"/>
      <c r="CXP36" s="204"/>
      <c r="CXQ36" s="204"/>
      <c r="CXR36" s="204"/>
      <c r="CXS36" s="204"/>
      <c r="CXT36" s="204"/>
      <c r="CXU36" s="204"/>
      <c r="CXV36" s="204"/>
      <c r="CXW36" s="204"/>
      <c r="CXX36" s="204"/>
      <c r="CXY36" s="204"/>
      <c r="CXZ36" s="204"/>
      <c r="CYA36" s="204"/>
      <c r="CYB36" s="204"/>
      <c r="CYC36" s="204"/>
      <c r="CYD36" s="204"/>
      <c r="CYE36" s="204"/>
      <c r="CYF36" s="204"/>
      <c r="CYG36" s="204"/>
      <c r="CYH36" s="204"/>
      <c r="CYI36" s="204"/>
      <c r="CYJ36" s="204"/>
      <c r="CYK36" s="204"/>
      <c r="CYL36" s="204"/>
      <c r="CYM36" s="204"/>
      <c r="CYN36" s="204"/>
      <c r="CYO36" s="204"/>
      <c r="CYP36" s="204"/>
      <c r="CYQ36" s="204"/>
      <c r="CYR36" s="204"/>
      <c r="CYS36" s="204"/>
      <c r="CYT36" s="204"/>
      <c r="CYU36" s="204"/>
      <c r="CYV36" s="204"/>
      <c r="CYW36" s="204"/>
      <c r="CYX36" s="204"/>
      <c r="CYY36" s="204"/>
      <c r="CYZ36" s="204"/>
      <c r="CZA36" s="204"/>
      <c r="CZB36" s="204"/>
      <c r="CZC36" s="204"/>
      <c r="CZD36" s="204"/>
      <c r="CZE36" s="204"/>
      <c r="CZF36" s="204"/>
      <c r="CZG36" s="204"/>
      <c r="CZH36" s="204"/>
      <c r="CZI36" s="204"/>
      <c r="CZJ36" s="204"/>
      <c r="CZK36" s="204"/>
      <c r="CZL36" s="204"/>
      <c r="CZM36" s="204"/>
      <c r="CZN36" s="204"/>
      <c r="CZO36" s="204"/>
      <c r="CZP36" s="204"/>
      <c r="CZQ36" s="204"/>
      <c r="CZR36" s="204"/>
      <c r="CZS36" s="204"/>
      <c r="CZT36" s="204"/>
      <c r="CZU36" s="204"/>
      <c r="CZV36" s="204"/>
      <c r="CZW36" s="204"/>
      <c r="CZX36" s="204"/>
      <c r="CZY36" s="204"/>
      <c r="CZZ36" s="204"/>
      <c r="DAA36" s="204"/>
      <c r="DAB36" s="204"/>
      <c r="DAC36" s="204"/>
      <c r="DAD36" s="204"/>
      <c r="DAE36" s="204"/>
      <c r="DAF36" s="204"/>
      <c r="DAG36" s="204"/>
      <c r="DAH36" s="204"/>
      <c r="DAI36" s="204"/>
      <c r="DAJ36" s="204"/>
      <c r="DAK36" s="204"/>
      <c r="DAL36" s="204"/>
      <c r="DAM36" s="204"/>
      <c r="DAN36" s="204"/>
      <c r="DAO36" s="204"/>
      <c r="DAP36" s="204"/>
      <c r="DAQ36" s="204"/>
      <c r="DAR36" s="204"/>
      <c r="DAS36" s="204"/>
      <c r="DAT36" s="204"/>
      <c r="DAU36" s="204"/>
      <c r="DAV36" s="204"/>
      <c r="DAW36" s="204"/>
      <c r="DAX36" s="204"/>
      <c r="DAY36" s="204"/>
      <c r="DAZ36" s="204"/>
      <c r="DBA36" s="204"/>
      <c r="DBB36" s="204"/>
      <c r="DBC36" s="204"/>
      <c r="DBD36" s="204"/>
      <c r="DBE36" s="204"/>
      <c r="DBF36" s="204"/>
      <c r="DBG36" s="204"/>
      <c r="DBH36" s="204"/>
      <c r="DBI36" s="204"/>
      <c r="DBJ36" s="204"/>
      <c r="DBK36" s="204"/>
      <c r="DBL36" s="204"/>
      <c r="DBM36" s="204"/>
      <c r="DBN36" s="204"/>
      <c r="DBO36" s="204"/>
      <c r="DBP36" s="204"/>
      <c r="DBQ36" s="204"/>
      <c r="DBR36" s="204"/>
      <c r="DBS36" s="204"/>
      <c r="DBT36" s="204"/>
      <c r="DBU36" s="204"/>
      <c r="DBV36" s="204"/>
      <c r="DBW36" s="204"/>
      <c r="DBX36" s="204"/>
      <c r="DBY36" s="204"/>
      <c r="DBZ36" s="204"/>
      <c r="DCA36" s="204"/>
      <c r="DCB36" s="204"/>
      <c r="DCC36" s="204"/>
      <c r="DCD36" s="204"/>
      <c r="DCE36" s="204"/>
      <c r="DCF36" s="204"/>
      <c r="DCG36" s="204"/>
      <c r="DCH36" s="204"/>
      <c r="DCI36" s="204"/>
      <c r="DCJ36" s="204"/>
      <c r="DCK36" s="204"/>
      <c r="DCL36" s="204"/>
      <c r="DCM36" s="204"/>
      <c r="DCN36" s="204"/>
      <c r="DCO36" s="204"/>
      <c r="DCP36" s="204"/>
      <c r="DCQ36" s="204"/>
      <c r="DCR36" s="204"/>
      <c r="DCS36" s="204"/>
      <c r="DCT36" s="204"/>
      <c r="DCU36" s="204"/>
      <c r="DCV36" s="204"/>
      <c r="DCW36" s="204"/>
      <c r="DCX36" s="204"/>
      <c r="DCY36" s="204"/>
      <c r="DCZ36" s="204"/>
      <c r="DDA36" s="204"/>
      <c r="DDB36" s="204"/>
      <c r="DDC36" s="204"/>
      <c r="DDD36" s="204"/>
      <c r="DDE36" s="204"/>
      <c r="DDF36" s="204"/>
      <c r="DDG36" s="204"/>
      <c r="DDH36" s="204"/>
      <c r="DDI36" s="204"/>
      <c r="DDJ36" s="204"/>
      <c r="DDK36" s="204"/>
      <c r="DDL36" s="204"/>
      <c r="DDM36" s="204"/>
      <c r="DDN36" s="204"/>
      <c r="DDO36" s="204"/>
      <c r="DDP36" s="204"/>
      <c r="DDQ36" s="204"/>
      <c r="DDR36" s="204"/>
      <c r="DDS36" s="204"/>
      <c r="DDT36" s="204"/>
      <c r="DDU36" s="204"/>
      <c r="DDV36" s="204"/>
      <c r="DDW36" s="204"/>
      <c r="DDX36" s="204"/>
      <c r="DDY36" s="204"/>
      <c r="DDZ36" s="204"/>
      <c r="DEA36" s="204"/>
      <c r="DEB36" s="204"/>
      <c r="DEC36" s="204"/>
      <c r="DED36" s="204"/>
      <c r="DEE36" s="204"/>
      <c r="DEF36" s="204"/>
      <c r="DEG36" s="204"/>
      <c r="DEH36" s="204"/>
      <c r="DEI36" s="204"/>
      <c r="DEJ36" s="204"/>
      <c r="DEK36" s="204"/>
      <c r="DEL36" s="204"/>
      <c r="DEM36" s="204"/>
      <c r="DEN36" s="204"/>
      <c r="DEO36" s="204"/>
      <c r="DEP36" s="204"/>
      <c r="DEQ36" s="204"/>
      <c r="DER36" s="204"/>
      <c r="DES36" s="204"/>
      <c r="DET36" s="204"/>
      <c r="DEU36" s="204"/>
      <c r="DEV36" s="204"/>
      <c r="DEW36" s="204"/>
      <c r="DEX36" s="204"/>
      <c r="DEY36" s="204"/>
      <c r="DEZ36" s="204"/>
      <c r="DFA36" s="204"/>
      <c r="DFB36" s="204"/>
      <c r="DFC36" s="204"/>
      <c r="DFD36" s="204"/>
      <c r="DFE36" s="204"/>
      <c r="DFF36" s="204"/>
      <c r="DFG36" s="204"/>
      <c r="DFH36" s="204"/>
      <c r="DFI36" s="204"/>
      <c r="DFJ36" s="204"/>
      <c r="DFK36" s="204"/>
      <c r="DFL36" s="204"/>
      <c r="DFM36" s="204"/>
      <c r="DFN36" s="204"/>
      <c r="DFO36" s="204"/>
      <c r="DFP36" s="204"/>
      <c r="DFQ36" s="204"/>
      <c r="DFR36" s="204"/>
      <c r="DFS36" s="204"/>
      <c r="DFT36" s="204"/>
      <c r="DFU36" s="204"/>
      <c r="DFV36" s="204"/>
      <c r="DFW36" s="204"/>
      <c r="DFX36" s="204"/>
      <c r="DFY36" s="204"/>
      <c r="DFZ36" s="204"/>
      <c r="DGA36" s="204"/>
      <c r="DGB36" s="204"/>
      <c r="DGC36" s="204"/>
      <c r="DGD36" s="204"/>
      <c r="DGE36" s="204"/>
      <c r="DGF36" s="204"/>
      <c r="DGG36" s="204"/>
      <c r="DGH36" s="204"/>
      <c r="DGI36" s="204"/>
      <c r="DGJ36" s="204"/>
      <c r="DGK36" s="204"/>
      <c r="DGL36" s="204"/>
      <c r="DGM36" s="204"/>
      <c r="DGN36" s="204"/>
      <c r="DGO36" s="204"/>
      <c r="DGP36" s="204"/>
      <c r="DGQ36" s="204"/>
      <c r="DGR36" s="204"/>
      <c r="DGS36" s="204"/>
      <c r="DGT36" s="204"/>
      <c r="DGU36" s="204"/>
      <c r="DGV36" s="204"/>
      <c r="DGW36" s="204"/>
      <c r="DGX36" s="204"/>
      <c r="DGY36" s="204"/>
      <c r="DGZ36" s="204"/>
      <c r="DHA36" s="204"/>
      <c r="DHB36" s="204"/>
      <c r="DHC36" s="204"/>
      <c r="DHD36" s="204"/>
      <c r="DHE36" s="204"/>
      <c r="DHF36" s="204"/>
      <c r="DHG36" s="204"/>
      <c r="DHH36" s="204"/>
      <c r="DHI36" s="204"/>
      <c r="DHJ36" s="204"/>
      <c r="DHK36" s="204"/>
      <c r="DHL36" s="204"/>
      <c r="DHM36" s="204"/>
      <c r="DHN36" s="204"/>
      <c r="DHO36" s="204"/>
      <c r="DHP36" s="204"/>
      <c r="DHQ36" s="204"/>
      <c r="DHR36" s="204"/>
      <c r="DHS36" s="204"/>
      <c r="DHT36" s="204"/>
      <c r="DHU36" s="204"/>
      <c r="DHV36" s="204"/>
      <c r="DHW36" s="204"/>
      <c r="DHX36" s="204"/>
      <c r="DHY36" s="204"/>
      <c r="DHZ36" s="204"/>
      <c r="DIA36" s="204"/>
      <c r="DIB36" s="204"/>
      <c r="DIC36" s="204"/>
      <c r="DID36" s="204"/>
      <c r="DIE36" s="204"/>
      <c r="DIF36" s="204"/>
      <c r="DIG36" s="204"/>
      <c r="DIH36" s="204"/>
      <c r="DII36" s="204"/>
      <c r="DIJ36" s="204"/>
      <c r="DIK36" s="204"/>
      <c r="DIL36" s="204"/>
      <c r="DIM36" s="204"/>
      <c r="DIN36" s="204"/>
      <c r="DIO36" s="204"/>
      <c r="DIP36" s="204"/>
      <c r="DIQ36" s="204"/>
      <c r="DIR36" s="204"/>
      <c r="DIS36" s="204"/>
      <c r="DIT36" s="204"/>
      <c r="DIU36" s="204"/>
      <c r="DIV36" s="204"/>
      <c r="DIW36" s="204"/>
      <c r="DIX36" s="204"/>
      <c r="DIY36" s="204"/>
      <c r="DIZ36" s="204"/>
      <c r="DJA36" s="204"/>
      <c r="DJB36" s="204"/>
      <c r="DJC36" s="204"/>
      <c r="DJD36" s="204"/>
      <c r="DJE36" s="204"/>
      <c r="DJF36" s="204"/>
      <c r="DJG36" s="204"/>
      <c r="DJH36" s="204"/>
      <c r="DJI36" s="204"/>
      <c r="DJJ36" s="204"/>
      <c r="DJK36" s="204"/>
      <c r="DJL36" s="204"/>
      <c r="DJM36" s="204"/>
      <c r="DJN36" s="204"/>
      <c r="DJO36" s="204"/>
      <c r="DJP36" s="204"/>
      <c r="DJQ36" s="204"/>
      <c r="DJR36" s="204"/>
      <c r="DJS36" s="204"/>
      <c r="DJT36" s="204"/>
      <c r="DJU36" s="204"/>
      <c r="DJV36" s="204"/>
      <c r="DJW36" s="204"/>
      <c r="DJX36" s="204"/>
      <c r="DJY36" s="204"/>
      <c r="DJZ36" s="204"/>
      <c r="DKA36" s="204"/>
      <c r="DKB36" s="204"/>
      <c r="DKC36" s="204"/>
      <c r="DKD36" s="204"/>
      <c r="DKE36" s="204"/>
      <c r="DKF36" s="204"/>
      <c r="DKG36" s="204"/>
      <c r="DKH36" s="204"/>
      <c r="DKI36" s="204"/>
      <c r="DKJ36" s="204"/>
      <c r="DKK36" s="204"/>
      <c r="DKL36" s="204"/>
      <c r="DKM36" s="204"/>
      <c r="DKN36" s="204"/>
      <c r="DKO36" s="204"/>
      <c r="DKP36" s="204"/>
      <c r="DKQ36" s="204"/>
      <c r="DKR36" s="204"/>
      <c r="DKS36" s="204"/>
      <c r="DKT36" s="204"/>
      <c r="DKU36" s="204"/>
      <c r="DKV36" s="204"/>
      <c r="DKW36" s="204"/>
      <c r="DKX36" s="204"/>
      <c r="DKY36" s="204"/>
      <c r="DKZ36" s="204"/>
      <c r="DLA36" s="204"/>
      <c r="DLB36" s="204"/>
      <c r="DLC36" s="204"/>
      <c r="DLD36" s="204"/>
      <c r="DLE36" s="204"/>
      <c r="DLF36" s="204"/>
      <c r="DLG36" s="204"/>
      <c r="DLH36" s="204"/>
      <c r="DLI36" s="204"/>
      <c r="DLJ36" s="204"/>
      <c r="DLK36" s="204"/>
      <c r="DLL36" s="204"/>
      <c r="DLM36" s="204"/>
      <c r="DLN36" s="204"/>
      <c r="DLO36" s="204"/>
      <c r="DLP36" s="204"/>
      <c r="DLQ36" s="204"/>
      <c r="DLR36" s="204"/>
      <c r="DLS36" s="204"/>
      <c r="DLT36" s="204"/>
      <c r="DLU36" s="204"/>
      <c r="DLV36" s="204"/>
      <c r="DLW36" s="204"/>
      <c r="DLX36" s="204"/>
      <c r="DLY36" s="204"/>
      <c r="DLZ36" s="204"/>
      <c r="DMA36" s="204"/>
      <c r="DMB36" s="204"/>
      <c r="DMC36" s="204"/>
      <c r="DMD36" s="204"/>
      <c r="DME36" s="204"/>
      <c r="DMF36" s="204"/>
      <c r="DMG36" s="204"/>
      <c r="DMH36" s="204"/>
      <c r="DMI36" s="204"/>
      <c r="DMJ36" s="204"/>
      <c r="DMK36" s="204"/>
      <c r="DML36" s="204"/>
      <c r="DMM36" s="204"/>
      <c r="DMN36" s="204"/>
      <c r="DMO36" s="204"/>
      <c r="DMP36" s="204"/>
      <c r="DMQ36" s="204"/>
      <c r="DMR36" s="204"/>
      <c r="DMS36" s="204"/>
      <c r="DMT36" s="204"/>
      <c r="DMU36" s="204"/>
      <c r="DMV36" s="204"/>
      <c r="DMW36" s="204"/>
      <c r="DMX36" s="204"/>
      <c r="DMY36" s="204"/>
      <c r="DMZ36" s="204"/>
      <c r="DNA36" s="204"/>
      <c r="DNB36" s="204"/>
      <c r="DNC36" s="204"/>
      <c r="DND36" s="204"/>
      <c r="DNE36" s="204"/>
      <c r="DNF36" s="204"/>
      <c r="DNG36" s="204"/>
      <c r="DNH36" s="204"/>
      <c r="DNI36" s="204"/>
      <c r="DNJ36" s="204"/>
      <c r="DNK36" s="204"/>
      <c r="DNL36" s="204"/>
      <c r="DNM36" s="204"/>
      <c r="DNN36" s="204"/>
      <c r="DNO36" s="204"/>
      <c r="DNP36" s="204"/>
      <c r="DNQ36" s="204"/>
      <c r="DNR36" s="204"/>
      <c r="DNS36" s="204"/>
      <c r="DNT36" s="204"/>
      <c r="DNU36" s="204"/>
      <c r="DNV36" s="204"/>
      <c r="DNW36" s="204"/>
      <c r="DNX36" s="204"/>
      <c r="DNY36" s="204"/>
      <c r="DNZ36" s="204"/>
      <c r="DOA36" s="204"/>
      <c r="DOB36" s="204"/>
      <c r="DOC36" s="204"/>
      <c r="DOD36" s="204"/>
      <c r="DOE36" s="204"/>
      <c r="DOF36" s="204"/>
      <c r="DOG36" s="204"/>
      <c r="DOH36" s="204"/>
      <c r="DOI36" s="204"/>
      <c r="DOJ36" s="204"/>
      <c r="DOK36" s="204"/>
      <c r="DOL36" s="204"/>
      <c r="DOM36" s="204"/>
      <c r="DON36" s="204"/>
      <c r="DOO36" s="204"/>
      <c r="DOP36" s="204"/>
      <c r="DOQ36" s="204"/>
      <c r="DOR36" s="204"/>
      <c r="DOS36" s="204"/>
      <c r="DOT36" s="204"/>
      <c r="DOU36" s="204"/>
      <c r="DOV36" s="204"/>
      <c r="DOW36" s="204"/>
      <c r="DOX36" s="204"/>
      <c r="DOY36" s="204"/>
      <c r="DOZ36" s="204"/>
      <c r="DPA36" s="204"/>
      <c r="DPB36" s="204"/>
      <c r="DPC36" s="204"/>
      <c r="DPD36" s="204"/>
      <c r="DPE36" s="204"/>
      <c r="DPF36" s="204"/>
      <c r="DPG36" s="204"/>
      <c r="DPH36" s="204"/>
      <c r="DPI36" s="204"/>
      <c r="DPJ36" s="204"/>
      <c r="DPK36" s="204"/>
      <c r="DPL36" s="204"/>
      <c r="DPM36" s="204"/>
      <c r="DPN36" s="204"/>
      <c r="DPO36" s="204"/>
      <c r="DPP36" s="204"/>
      <c r="DPQ36" s="204"/>
      <c r="DPR36" s="204"/>
      <c r="DPS36" s="204"/>
      <c r="DPT36" s="204"/>
      <c r="DPU36" s="204"/>
      <c r="DPV36" s="204"/>
      <c r="DPW36" s="204"/>
      <c r="DPX36" s="204"/>
      <c r="DPY36" s="204"/>
      <c r="DPZ36" s="204"/>
      <c r="DQA36" s="204"/>
      <c r="DQB36" s="204"/>
      <c r="DQC36" s="204"/>
      <c r="DQD36" s="204"/>
      <c r="DQE36" s="204"/>
      <c r="DQF36" s="204"/>
      <c r="DQG36" s="204"/>
      <c r="DQH36" s="204"/>
      <c r="DQI36" s="204"/>
      <c r="DQJ36" s="204"/>
      <c r="DQK36" s="204"/>
      <c r="DQL36" s="204"/>
      <c r="DQM36" s="204"/>
      <c r="DQN36" s="204"/>
      <c r="DQO36" s="204"/>
      <c r="DQP36" s="204"/>
      <c r="DQQ36" s="204"/>
      <c r="DQR36" s="204"/>
      <c r="DQS36" s="204"/>
      <c r="DQT36" s="204"/>
      <c r="DQU36" s="204"/>
      <c r="DQV36" s="204"/>
      <c r="DQW36" s="204"/>
      <c r="DQX36" s="204"/>
      <c r="DQY36" s="204"/>
      <c r="DQZ36" s="204"/>
      <c r="DRA36" s="204"/>
      <c r="DRB36" s="204"/>
      <c r="DRC36" s="204"/>
      <c r="DRD36" s="204"/>
      <c r="DRE36" s="204"/>
      <c r="DRF36" s="204"/>
      <c r="DRG36" s="204"/>
      <c r="DRH36" s="204"/>
      <c r="DRI36" s="204"/>
      <c r="DRJ36" s="204"/>
      <c r="DRK36" s="204"/>
      <c r="DRL36" s="204"/>
      <c r="DRM36" s="204"/>
      <c r="DRN36" s="204"/>
      <c r="DRO36" s="204"/>
      <c r="DRP36" s="204"/>
      <c r="DRQ36" s="204"/>
      <c r="DRR36" s="204"/>
      <c r="DRS36" s="204"/>
      <c r="DRT36" s="204"/>
      <c r="DRU36" s="204"/>
      <c r="DRV36" s="204"/>
      <c r="DRW36" s="204"/>
      <c r="DRX36" s="204"/>
      <c r="DRY36" s="204"/>
      <c r="DRZ36" s="204"/>
      <c r="DSA36" s="204"/>
      <c r="DSB36" s="204"/>
      <c r="DSC36" s="204"/>
      <c r="DSD36" s="204"/>
      <c r="DSE36" s="204"/>
      <c r="DSF36" s="204"/>
      <c r="DSG36" s="204"/>
      <c r="DSH36" s="204"/>
      <c r="DSI36" s="204"/>
      <c r="DSJ36" s="204"/>
      <c r="DSK36" s="204"/>
      <c r="DSL36" s="204"/>
      <c r="DSM36" s="204"/>
      <c r="DSN36" s="204"/>
      <c r="DSO36" s="204"/>
      <c r="DSP36" s="204"/>
      <c r="DSQ36" s="204"/>
      <c r="DSR36" s="204"/>
      <c r="DSS36" s="204"/>
      <c r="DST36" s="204"/>
      <c r="DSU36" s="204"/>
      <c r="DSV36" s="204"/>
      <c r="DSW36" s="204"/>
      <c r="DSX36" s="204"/>
      <c r="DSY36" s="204"/>
      <c r="DSZ36" s="204"/>
      <c r="DTA36" s="204"/>
      <c r="DTB36" s="204"/>
      <c r="DTC36" s="204"/>
      <c r="DTD36" s="204"/>
      <c r="DTE36" s="204"/>
      <c r="DTF36" s="204"/>
      <c r="DTG36" s="204"/>
      <c r="DTH36" s="204"/>
      <c r="DTI36" s="204"/>
      <c r="DTJ36" s="204"/>
      <c r="DTK36" s="204"/>
      <c r="DTL36" s="204"/>
      <c r="DTM36" s="204"/>
      <c r="DTN36" s="204"/>
      <c r="DTO36" s="204"/>
      <c r="DTP36" s="204"/>
      <c r="DTQ36" s="204"/>
      <c r="DTR36" s="204"/>
      <c r="DTS36" s="204"/>
      <c r="DTT36" s="204"/>
      <c r="DTU36" s="204"/>
      <c r="DTV36" s="204"/>
      <c r="DTW36" s="204"/>
      <c r="DTX36" s="204"/>
      <c r="DTY36" s="204"/>
      <c r="DTZ36" s="204"/>
      <c r="DUA36" s="204"/>
      <c r="DUB36" s="204"/>
      <c r="DUC36" s="204"/>
      <c r="DUD36" s="204"/>
      <c r="DUE36" s="204"/>
      <c r="DUF36" s="204"/>
      <c r="DUG36" s="204"/>
      <c r="DUH36" s="204"/>
      <c r="DUI36" s="204"/>
      <c r="DUJ36" s="204"/>
      <c r="DUK36" s="204"/>
      <c r="DUL36" s="204"/>
      <c r="DUM36" s="204"/>
      <c r="DUN36" s="204"/>
      <c r="DUO36" s="204"/>
      <c r="DUP36" s="204"/>
      <c r="DUQ36" s="204"/>
      <c r="DUR36" s="204"/>
      <c r="DUS36" s="204"/>
      <c r="DUT36" s="204"/>
      <c r="DUU36" s="204"/>
      <c r="DUV36" s="204"/>
      <c r="DUW36" s="204"/>
      <c r="DUX36" s="204"/>
      <c r="DUY36" s="204"/>
      <c r="DUZ36" s="204"/>
      <c r="DVA36" s="204"/>
      <c r="DVB36" s="204"/>
      <c r="DVC36" s="204"/>
      <c r="DVD36" s="204"/>
      <c r="DVE36" s="204"/>
      <c r="DVF36" s="204"/>
      <c r="DVG36" s="204"/>
      <c r="DVH36" s="204"/>
      <c r="DVI36" s="204"/>
      <c r="DVJ36" s="204"/>
      <c r="DVK36" s="204"/>
      <c r="DVL36" s="204"/>
      <c r="DVM36" s="204"/>
      <c r="DVN36" s="204"/>
      <c r="DVO36" s="204"/>
      <c r="DVP36" s="204"/>
      <c r="DVQ36" s="204"/>
      <c r="DVR36" s="204"/>
      <c r="DVS36" s="204"/>
      <c r="DVT36" s="204"/>
      <c r="DVU36" s="204"/>
      <c r="DVV36" s="204"/>
      <c r="DVW36" s="204"/>
      <c r="DVX36" s="204"/>
      <c r="DVY36" s="204"/>
      <c r="DVZ36" s="204"/>
      <c r="DWA36" s="204"/>
      <c r="DWB36" s="204"/>
      <c r="DWC36" s="204"/>
      <c r="DWD36" s="204"/>
      <c r="DWE36" s="204"/>
      <c r="DWF36" s="204"/>
      <c r="DWG36" s="204"/>
      <c r="DWH36" s="204"/>
      <c r="DWI36" s="204"/>
      <c r="DWJ36" s="204"/>
      <c r="DWK36" s="204"/>
      <c r="DWL36" s="204"/>
      <c r="DWM36" s="204"/>
      <c r="DWN36" s="204"/>
      <c r="DWO36" s="204"/>
      <c r="DWP36" s="204"/>
      <c r="DWQ36" s="204"/>
      <c r="DWR36" s="204"/>
      <c r="DWS36" s="204"/>
      <c r="DWT36" s="204"/>
      <c r="DWU36" s="204"/>
      <c r="DWV36" s="204"/>
      <c r="DWW36" s="204"/>
      <c r="DWX36" s="204"/>
      <c r="DWY36" s="204"/>
      <c r="DWZ36" s="204"/>
      <c r="DXA36" s="204"/>
      <c r="DXB36" s="204"/>
      <c r="DXC36" s="204"/>
      <c r="DXD36" s="204"/>
      <c r="DXE36" s="204"/>
      <c r="DXF36" s="204"/>
      <c r="DXG36" s="204"/>
      <c r="DXH36" s="204"/>
      <c r="DXI36" s="204"/>
      <c r="DXJ36" s="204"/>
      <c r="DXK36" s="204"/>
      <c r="DXL36" s="204"/>
      <c r="DXM36" s="204"/>
      <c r="DXN36" s="204"/>
      <c r="DXO36" s="204"/>
      <c r="DXP36" s="204"/>
      <c r="DXQ36" s="204"/>
      <c r="DXR36" s="204"/>
      <c r="DXS36" s="204"/>
      <c r="DXT36" s="204"/>
      <c r="DXU36" s="204"/>
      <c r="DXV36" s="204"/>
      <c r="DXW36" s="204"/>
      <c r="DXX36" s="204"/>
      <c r="DXY36" s="204"/>
      <c r="DXZ36" s="204"/>
      <c r="DYA36" s="204"/>
      <c r="DYB36" s="204"/>
      <c r="DYC36" s="204"/>
      <c r="DYD36" s="204"/>
      <c r="DYE36" s="204"/>
      <c r="DYF36" s="204"/>
      <c r="DYG36" s="204"/>
      <c r="DYH36" s="204"/>
      <c r="DYI36" s="204"/>
      <c r="DYJ36" s="204"/>
      <c r="DYK36" s="204"/>
      <c r="DYL36" s="204"/>
      <c r="DYM36" s="204"/>
      <c r="DYN36" s="204"/>
      <c r="DYO36" s="204"/>
      <c r="DYP36" s="204"/>
      <c r="DYQ36" s="204"/>
      <c r="DYR36" s="204"/>
      <c r="DYS36" s="204"/>
      <c r="DYT36" s="204"/>
      <c r="DYU36" s="204"/>
      <c r="DYV36" s="204"/>
      <c r="DYW36" s="204"/>
      <c r="DYX36" s="204"/>
      <c r="DYY36" s="204"/>
      <c r="DYZ36" s="204"/>
      <c r="DZA36" s="204"/>
      <c r="DZB36" s="204"/>
      <c r="DZC36" s="204"/>
      <c r="DZD36" s="204"/>
      <c r="DZE36" s="204"/>
      <c r="DZF36" s="204"/>
      <c r="DZG36" s="204"/>
      <c r="DZH36" s="204"/>
      <c r="DZI36" s="204"/>
      <c r="DZJ36" s="204"/>
      <c r="DZK36" s="204"/>
      <c r="DZL36" s="204"/>
      <c r="DZM36" s="204"/>
      <c r="DZN36" s="204"/>
      <c r="DZO36" s="204"/>
      <c r="DZP36" s="204"/>
      <c r="DZQ36" s="204"/>
      <c r="DZR36" s="204"/>
      <c r="DZS36" s="204"/>
      <c r="DZT36" s="204"/>
      <c r="DZU36" s="204"/>
      <c r="DZV36" s="204"/>
      <c r="DZW36" s="204"/>
      <c r="DZX36" s="204"/>
      <c r="DZY36" s="204"/>
      <c r="DZZ36" s="204"/>
      <c r="EAA36" s="204"/>
      <c r="EAB36" s="204"/>
      <c r="EAC36" s="204"/>
      <c r="EAD36" s="204"/>
      <c r="EAE36" s="204"/>
      <c r="EAF36" s="204"/>
      <c r="EAG36" s="204"/>
      <c r="EAH36" s="204"/>
      <c r="EAI36" s="204"/>
      <c r="EAJ36" s="204"/>
      <c r="EAK36" s="204"/>
      <c r="EAL36" s="204"/>
      <c r="EAM36" s="204"/>
      <c r="EAN36" s="204"/>
      <c r="EAO36" s="204"/>
      <c r="EAP36" s="204"/>
      <c r="EAQ36" s="204"/>
      <c r="EAR36" s="204"/>
      <c r="EAS36" s="204"/>
      <c r="EAT36" s="204"/>
      <c r="EAU36" s="204"/>
      <c r="EAV36" s="204"/>
      <c r="EAW36" s="204"/>
      <c r="EAX36" s="204"/>
      <c r="EAY36" s="204"/>
      <c r="EAZ36" s="204"/>
      <c r="EBA36" s="204"/>
      <c r="EBB36" s="204"/>
      <c r="EBC36" s="204"/>
      <c r="EBD36" s="204"/>
      <c r="EBE36" s="204"/>
      <c r="EBF36" s="204"/>
      <c r="EBG36" s="204"/>
      <c r="EBH36" s="204"/>
      <c r="EBI36" s="204"/>
      <c r="EBJ36" s="204"/>
      <c r="EBK36" s="204"/>
      <c r="EBL36" s="204"/>
      <c r="EBM36" s="204"/>
      <c r="EBN36" s="204"/>
      <c r="EBO36" s="204"/>
      <c r="EBP36" s="204"/>
      <c r="EBQ36" s="204"/>
      <c r="EBR36" s="204"/>
      <c r="EBS36" s="204"/>
      <c r="EBT36" s="204"/>
      <c r="EBU36" s="204"/>
      <c r="EBV36" s="204"/>
      <c r="EBW36" s="204"/>
      <c r="EBX36" s="204"/>
      <c r="EBY36" s="204"/>
      <c r="EBZ36" s="204"/>
      <c r="ECA36" s="204"/>
      <c r="ECB36" s="204"/>
      <c r="ECC36" s="204"/>
      <c r="ECD36" s="204"/>
      <c r="ECE36" s="204"/>
      <c r="ECF36" s="204"/>
      <c r="ECG36" s="204"/>
      <c r="ECH36" s="204"/>
      <c r="ECI36" s="204"/>
      <c r="ECJ36" s="204"/>
      <c r="ECK36" s="204"/>
      <c r="ECL36" s="204"/>
      <c r="ECM36" s="204"/>
      <c r="ECN36" s="204"/>
      <c r="ECO36" s="204"/>
      <c r="ECP36" s="204"/>
      <c r="ECQ36" s="204"/>
      <c r="ECR36" s="204"/>
      <c r="ECS36" s="204"/>
      <c r="ECT36" s="204"/>
      <c r="ECU36" s="204"/>
      <c r="ECV36" s="204"/>
      <c r="ECW36" s="204"/>
      <c r="ECX36" s="204"/>
      <c r="ECY36" s="204"/>
      <c r="ECZ36" s="204"/>
      <c r="EDA36" s="204"/>
      <c r="EDB36" s="204"/>
      <c r="EDC36" s="204"/>
      <c r="EDD36" s="204"/>
      <c r="EDE36" s="204"/>
      <c r="EDF36" s="204"/>
      <c r="EDG36" s="204"/>
      <c r="EDH36" s="204"/>
      <c r="EDI36" s="204"/>
      <c r="EDJ36" s="204"/>
      <c r="EDK36" s="204"/>
      <c r="EDL36" s="204"/>
      <c r="EDM36" s="204"/>
      <c r="EDN36" s="204"/>
      <c r="EDO36" s="204"/>
      <c r="EDP36" s="204"/>
      <c r="EDQ36" s="204"/>
      <c r="EDR36" s="204"/>
      <c r="EDS36" s="204"/>
      <c r="EDT36" s="204"/>
      <c r="EDU36" s="204"/>
      <c r="EDV36" s="204"/>
      <c r="EDW36" s="204"/>
      <c r="EDX36" s="204"/>
      <c r="EDY36" s="204"/>
      <c r="EDZ36" s="204"/>
      <c r="EEA36" s="204"/>
      <c r="EEB36" s="204"/>
      <c r="EEC36" s="204"/>
      <c r="EED36" s="204"/>
      <c r="EEE36" s="204"/>
      <c r="EEF36" s="204"/>
      <c r="EEG36" s="204"/>
      <c r="EEH36" s="204"/>
      <c r="EEI36" s="204"/>
      <c r="EEJ36" s="204"/>
      <c r="EEK36" s="204"/>
      <c r="EEL36" s="204"/>
      <c r="EEM36" s="204"/>
      <c r="EEN36" s="204"/>
      <c r="EEO36" s="204"/>
      <c r="EEP36" s="204"/>
      <c r="EEQ36" s="204"/>
      <c r="EER36" s="204"/>
      <c r="EES36" s="204"/>
      <c r="EET36" s="204"/>
      <c r="EEU36" s="204"/>
      <c r="EEV36" s="204"/>
      <c r="EEW36" s="204"/>
      <c r="EEX36" s="204"/>
      <c r="EEY36" s="204"/>
      <c r="EEZ36" s="204"/>
      <c r="EFA36" s="204"/>
      <c r="EFB36" s="204"/>
      <c r="EFC36" s="204"/>
      <c r="EFD36" s="204"/>
      <c r="EFE36" s="204"/>
      <c r="EFF36" s="204"/>
      <c r="EFG36" s="204"/>
      <c r="EFH36" s="204"/>
      <c r="EFI36" s="204"/>
      <c r="EFJ36" s="204"/>
      <c r="EFK36" s="204"/>
      <c r="EFL36" s="204"/>
      <c r="EFM36" s="204"/>
      <c r="EFN36" s="204"/>
      <c r="EFO36" s="204"/>
      <c r="EFP36" s="204"/>
      <c r="EFQ36" s="204"/>
      <c r="EFR36" s="204"/>
      <c r="EFS36" s="204"/>
      <c r="EFT36" s="204"/>
      <c r="EFU36" s="204"/>
      <c r="EFV36" s="204"/>
      <c r="EFW36" s="204"/>
      <c r="EFX36" s="204"/>
      <c r="EFY36" s="204"/>
      <c r="EFZ36" s="204"/>
      <c r="EGA36" s="204"/>
      <c r="EGB36" s="204"/>
      <c r="EGC36" s="204"/>
      <c r="EGD36" s="204"/>
      <c r="EGE36" s="204"/>
      <c r="EGF36" s="204"/>
      <c r="EGG36" s="204"/>
      <c r="EGH36" s="204"/>
      <c r="EGI36" s="204"/>
      <c r="EGJ36" s="204"/>
      <c r="EGK36" s="204"/>
      <c r="EGL36" s="204"/>
      <c r="EGM36" s="204"/>
      <c r="EGN36" s="204"/>
      <c r="EGO36" s="204"/>
      <c r="EGP36" s="204"/>
      <c r="EGQ36" s="204"/>
      <c r="EGR36" s="204"/>
      <c r="EGS36" s="204"/>
      <c r="EGT36" s="204"/>
      <c r="EGU36" s="204"/>
      <c r="EGV36" s="204"/>
      <c r="EGW36" s="204"/>
      <c r="EGX36" s="204"/>
      <c r="EGY36" s="204"/>
      <c r="EGZ36" s="204"/>
      <c r="EHA36" s="204"/>
      <c r="EHB36" s="204"/>
      <c r="EHC36" s="204"/>
      <c r="EHD36" s="204"/>
      <c r="EHE36" s="204"/>
      <c r="EHF36" s="204"/>
      <c r="EHG36" s="204"/>
      <c r="EHH36" s="204"/>
      <c r="EHI36" s="204"/>
      <c r="EHJ36" s="204"/>
      <c r="EHK36" s="204"/>
      <c r="EHL36" s="204"/>
      <c r="EHM36" s="204"/>
      <c r="EHN36" s="204"/>
      <c r="EHO36" s="204"/>
      <c r="EHP36" s="204"/>
      <c r="EHQ36" s="204"/>
      <c r="EHR36" s="204"/>
      <c r="EHS36" s="204"/>
      <c r="EHT36" s="204"/>
      <c r="EHU36" s="204"/>
      <c r="EHV36" s="204"/>
      <c r="EHW36" s="204"/>
      <c r="EHX36" s="204"/>
      <c r="EHY36" s="204"/>
      <c r="EHZ36" s="204"/>
      <c r="EIA36" s="204"/>
      <c r="EIB36" s="204"/>
      <c r="EIC36" s="204"/>
      <c r="EID36" s="204"/>
      <c r="EIE36" s="204"/>
      <c r="EIF36" s="204"/>
      <c r="EIG36" s="204"/>
      <c r="EIH36" s="204"/>
      <c r="EII36" s="204"/>
      <c r="EIJ36" s="204"/>
      <c r="EIK36" s="204"/>
      <c r="EIL36" s="204"/>
      <c r="EIM36" s="204"/>
      <c r="EIN36" s="204"/>
      <c r="EIO36" s="204"/>
      <c r="EIP36" s="204"/>
      <c r="EIQ36" s="204"/>
      <c r="EIR36" s="204"/>
      <c r="EIS36" s="204"/>
      <c r="EIT36" s="204"/>
      <c r="EIU36" s="204"/>
      <c r="EIV36" s="204"/>
      <c r="EIW36" s="204"/>
      <c r="EIX36" s="204"/>
      <c r="EIY36" s="204"/>
      <c r="EIZ36" s="204"/>
      <c r="EJA36" s="204"/>
      <c r="EJB36" s="204"/>
      <c r="EJC36" s="204"/>
      <c r="EJD36" s="204"/>
      <c r="EJE36" s="204"/>
      <c r="EJF36" s="204"/>
      <c r="EJG36" s="204"/>
      <c r="EJH36" s="204"/>
      <c r="EJI36" s="204"/>
      <c r="EJJ36" s="204"/>
      <c r="EJK36" s="204"/>
      <c r="EJL36" s="204"/>
      <c r="EJM36" s="204"/>
      <c r="EJN36" s="204"/>
      <c r="EJO36" s="204"/>
      <c r="EJP36" s="204"/>
      <c r="EJQ36" s="204"/>
      <c r="EJR36" s="204"/>
      <c r="EJS36" s="204"/>
      <c r="EJT36" s="204"/>
      <c r="EJU36" s="204"/>
      <c r="EJV36" s="204"/>
      <c r="EJW36" s="204"/>
      <c r="EJX36" s="204"/>
      <c r="EJY36" s="204"/>
      <c r="EJZ36" s="204"/>
      <c r="EKA36" s="204"/>
      <c r="EKB36" s="204"/>
      <c r="EKC36" s="204"/>
      <c r="EKD36" s="204"/>
      <c r="EKE36" s="204"/>
      <c r="EKF36" s="204"/>
      <c r="EKG36" s="204"/>
      <c r="EKH36" s="204"/>
      <c r="EKI36" s="204"/>
      <c r="EKJ36" s="204"/>
      <c r="EKK36" s="204"/>
      <c r="EKL36" s="204"/>
      <c r="EKM36" s="204"/>
      <c r="EKN36" s="204"/>
      <c r="EKO36" s="204"/>
      <c r="EKP36" s="204"/>
      <c r="EKQ36" s="204"/>
      <c r="EKR36" s="204"/>
      <c r="EKS36" s="204"/>
      <c r="EKT36" s="204"/>
      <c r="EKU36" s="204"/>
      <c r="EKV36" s="204"/>
      <c r="EKW36" s="204"/>
      <c r="EKX36" s="204"/>
      <c r="EKY36" s="204"/>
      <c r="EKZ36" s="204"/>
      <c r="ELA36" s="204"/>
      <c r="ELB36" s="204"/>
      <c r="ELC36" s="204"/>
      <c r="ELD36" s="204"/>
      <c r="ELE36" s="204"/>
      <c r="ELF36" s="204"/>
      <c r="ELG36" s="204"/>
      <c r="ELH36" s="204"/>
      <c r="ELI36" s="204"/>
      <c r="ELJ36" s="204"/>
      <c r="ELK36" s="204"/>
      <c r="ELL36" s="204"/>
      <c r="ELM36" s="204"/>
      <c r="ELN36" s="204"/>
      <c r="ELO36" s="204"/>
      <c r="ELP36" s="204"/>
      <c r="ELQ36" s="204"/>
      <c r="ELR36" s="204"/>
      <c r="ELS36" s="204"/>
      <c r="ELT36" s="204"/>
      <c r="ELU36" s="204"/>
      <c r="ELV36" s="204"/>
      <c r="ELW36" s="204"/>
      <c r="ELX36" s="204"/>
      <c r="ELY36" s="204"/>
      <c r="ELZ36" s="204"/>
      <c r="EMA36" s="204"/>
      <c r="EMB36" s="204"/>
      <c r="EMC36" s="204"/>
      <c r="EMD36" s="204"/>
      <c r="EME36" s="204"/>
      <c r="EMF36" s="204"/>
      <c r="EMG36" s="204"/>
      <c r="EMH36" s="204"/>
      <c r="EMI36" s="204"/>
      <c r="EMJ36" s="204"/>
      <c r="EMK36" s="204"/>
      <c r="EML36" s="204"/>
      <c r="EMM36" s="204"/>
      <c r="EMN36" s="204"/>
      <c r="EMO36" s="204"/>
      <c r="EMP36" s="204"/>
      <c r="EMQ36" s="204"/>
      <c r="EMR36" s="204"/>
      <c r="EMS36" s="204"/>
      <c r="EMT36" s="204"/>
      <c r="EMU36" s="204"/>
      <c r="EMV36" s="204"/>
      <c r="EMW36" s="204"/>
      <c r="EMX36" s="204"/>
      <c r="EMY36" s="204"/>
      <c r="EMZ36" s="204"/>
      <c r="ENA36" s="204"/>
      <c r="ENB36" s="204"/>
      <c r="ENC36" s="204"/>
      <c r="END36" s="204"/>
      <c r="ENE36" s="204"/>
      <c r="ENF36" s="204"/>
      <c r="ENG36" s="204"/>
      <c r="ENH36" s="204"/>
      <c r="ENI36" s="204"/>
      <c r="ENJ36" s="204"/>
      <c r="ENK36" s="204"/>
      <c r="ENL36" s="204"/>
      <c r="ENM36" s="204"/>
      <c r="ENN36" s="204"/>
      <c r="ENO36" s="204"/>
      <c r="ENP36" s="204"/>
      <c r="ENQ36" s="204"/>
      <c r="ENR36" s="204"/>
      <c r="ENS36" s="204"/>
      <c r="ENT36" s="204"/>
      <c r="ENU36" s="204"/>
      <c r="ENV36" s="204"/>
      <c r="ENW36" s="204"/>
      <c r="ENX36" s="204"/>
      <c r="ENY36" s="204"/>
      <c r="ENZ36" s="204"/>
      <c r="EOA36" s="204"/>
      <c r="EOB36" s="204"/>
      <c r="EOC36" s="204"/>
      <c r="EOD36" s="204"/>
      <c r="EOE36" s="204"/>
      <c r="EOF36" s="204"/>
      <c r="EOG36" s="204"/>
      <c r="EOH36" s="204"/>
      <c r="EOI36" s="204"/>
      <c r="EOJ36" s="204"/>
      <c r="EOK36" s="204"/>
      <c r="EOL36" s="204"/>
      <c r="EOM36" s="204"/>
      <c r="EON36" s="204"/>
      <c r="EOO36" s="204"/>
      <c r="EOP36" s="204"/>
      <c r="EOQ36" s="204"/>
      <c r="EOR36" s="204"/>
      <c r="EOS36" s="204"/>
      <c r="EOT36" s="204"/>
      <c r="EOU36" s="204"/>
      <c r="EOV36" s="204"/>
      <c r="EOW36" s="204"/>
      <c r="EOX36" s="204"/>
      <c r="EOY36" s="204"/>
      <c r="EOZ36" s="204"/>
      <c r="EPA36" s="204"/>
      <c r="EPB36" s="204"/>
      <c r="EPC36" s="204"/>
      <c r="EPD36" s="204"/>
      <c r="EPE36" s="204"/>
      <c r="EPF36" s="204"/>
      <c r="EPG36" s="204"/>
      <c r="EPH36" s="204"/>
      <c r="EPI36" s="204"/>
      <c r="EPJ36" s="204"/>
      <c r="EPK36" s="204"/>
      <c r="EPL36" s="204"/>
      <c r="EPM36" s="204"/>
      <c r="EPN36" s="204"/>
      <c r="EPO36" s="204"/>
      <c r="EPP36" s="204"/>
      <c r="EPQ36" s="204"/>
      <c r="EPR36" s="204"/>
      <c r="EPS36" s="204"/>
      <c r="EPT36" s="204"/>
      <c r="EPU36" s="204"/>
      <c r="EPV36" s="204"/>
      <c r="EPW36" s="204"/>
      <c r="EPX36" s="204"/>
      <c r="EPY36" s="204"/>
      <c r="EPZ36" s="204"/>
      <c r="EQA36" s="204"/>
      <c r="EQB36" s="204"/>
      <c r="EQC36" s="204"/>
      <c r="EQD36" s="204"/>
      <c r="EQE36" s="204"/>
      <c r="EQF36" s="204"/>
      <c r="EQG36" s="204"/>
      <c r="EQH36" s="204"/>
      <c r="EQI36" s="204"/>
      <c r="EQJ36" s="204"/>
      <c r="EQK36" s="204"/>
      <c r="EQL36" s="204"/>
      <c r="EQM36" s="204"/>
      <c r="EQN36" s="204"/>
      <c r="EQO36" s="204"/>
      <c r="EQP36" s="204"/>
      <c r="EQQ36" s="204"/>
      <c r="EQR36" s="204"/>
      <c r="EQS36" s="204"/>
      <c r="EQT36" s="204"/>
      <c r="EQU36" s="204"/>
      <c r="EQV36" s="204"/>
      <c r="EQW36" s="204"/>
      <c r="EQX36" s="204"/>
      <c r="EQY36" s="204"/>
      <c r="EQZ36" s="204"/>
      <c r="ERA36" s="204"/>
      <c r="ERB36" s="204"/>
      <c r="ERC36" s="204"/>
      <c r="ERD36" s="204"/>
      <c r="ERE36" s="204"/>
      <c r="ERF36" s="204"/>
      <c r="ERG36" s="204"/>
      <c r="ERH36" s="204"/>
      <c r="ERI36" s="204"/>
      <c r="ERJ36" s="204"/>
      <c r="ERK36" s="204"/>
      <c r="ERL36" s="204"/>
      <c r="ERM36" s="204"/>
      <c r="ERN36" s="204"/>
      <c r="ERO36" s="204"/>
      <c r="ERP36" s="204"/>
      <c r="ERQ36" s="204"/>
      <c r="ERR36" s="204"/>
      <c r="ERS36" s="204"/>
      <c r="ERT36" s="204"/>
      <c r="ERU36" s="204"/>
      <c r="ERV36" s="204"/>
      <c r="ERW36" s="204"/>
      <c r="ERX36" s="204"/>
      <c r="ERY36" s="204"/>
      <c r="ERZ36" s="204"/>
      <c r="ESA36" s="204"/>
      <c r="ESB36" s="204"/>
      <c r="ESC36" s="204"/>
      <c r="ESD36" s="204"/>
      <c r="ESE36" s="204"/>
      <c r="ESF36" s="204"/>
      <c r="ESG36" s="204"/>
      <c r="ESH36" s="204"/>
      <c r="ESI36" s="204"/>
      <c r="ESJ36" s="204"/>
      <c r="ESK36" s="204"/>
      <c r="ESL36" s="204"/>
      <c r="ESM36" s="204"/>
      <c r="ESN36" s="204"/>
      <c r="ESO36" s="204"/>
      <c r="ESP36" s="204"/>
      <c r="ESQ36" s="204"/>
      <c r="ESR36" s="204"/>
      <c r="ESS36" s="204"/>
      <c r="EST36" s="204"/>
      <c r="ESU36" s="204"/>
      <c r="ESV36" s="204"/>
      <c r="ESW36" s="204"/>
      <c r="ESX36" s="204"/>
      <c r="ESY36" s="204"/>
      <c r="ESZ36" s="204"/>
      <c r="ETA36" s="204"/>
      <c r="ETB36" s="204"/>
      <c r="ETC36" s="204"/>
      <c r="ETD36" s="204"/>
      <c r="ETE36" s="204"/>
      <c r="ETF36" s="204"/>
      <c r="ETG36" s="204"/>
      <c r="ETH36" s="204"/>
      <c r="ETI36" s="204"/>
      <c r="ETJ36" s="204"/>
      <c r="ETK36" s="204"/>
      <c r="ETL36" s="204"/>
      <c r="ETM36" s="204"/>
      <c r="ETN36" s="204"/>
      <c r="ETO36" s="204"/>
      <c r="ETP36" s="204"/>
      <c r="ETQ36" s="204"/>
      <c r="ETR36" s="204"/>
      <c r="ETS36" s="204"/>
      <c r="ETT36" s="204"/>
      <c r="ETU36" s="204"/>
      <c r="ETV36" s="204"/>
      <c r="ETW36" s="204"/>
      <c r="ETX36" s="204"/>
      <c r="ETY36" s="204"/>
      <c r="ETZ36" s="204"/>
      <c r="EUA36" s="204"/>
      <c r="EUB36" s="204"/>
      <c r="EUC36" s="204"/>
      <c r="EUD36" s="204"/>
      <c r="EUE36" s="204"/>
      <c r="EUF36" s="204"/>
      <c r="EUG36" s="204"/>
      <c r="EUH36" s="204"/>
      <c r="EUI36" s="204"/>
      <c r="EUJ36" s="204"/>
      <c r="EUK36" s="204"/>
      <c r="EUL36" s="204"/>
      <c r="EUM36" s="204"/>
      <c r="EUN36" s="204"/>
      <c r="EUO36" s="204"/>
      <c r="EUP36" s="204"/>
      <c r="EUQ36" s="204"/>
      <c r="EUR36" s="204"/>
      <c r="EUS36" s="204"/>
      <c r="EUT36" s="204"/>
      <c r="EUU36" s="204"/>
      <c r="EUV36" s="204"/>
      <c r="EUW36" s="204"/>
      <c r="EUX36" s="204"/>
      <c r="EUY36" s="204"/>
      <c r="EUZ36" s="204"/>
      <c r="EVA36" s="204"/>
      <c r="EVB36" s="204"/>
      <c r="EVC36" s="204"/>
      <c r="EVD36" s="204"/>
      <c r="EVE36" s="204"/>
      <c r="EVF36" s="204"/>
      <c r="EVG36" s="204"/>
      <c r="EVH36" s="204"/>
      <c r="EVI36" s="204"/>
      <c r="EVJ36" s="204"/>
      <c r="EVK36" s="204"/>
      <c r="EVL36" s="204"/>
      <c r="EVM36" s="204"/>
      <c r="EVN36" s="204"/>
      <c r="EVO36" s="204"/>
      <c r="EVP36" s="204"/>
      <c r="EVQ36" s="204"/>
      <c r="EVR36" s="204"/>
      <c r="EVS36" s="204"/>
      <c r="EVT36" s="204"/>
      <c r="EVU36" s="204"/>
      <c r="EVV36" s="204"/>
      <c r="EVW36" s="204"/>
      <c r="EVX36" s="204"/>
      <c r="EVY36" s="204"/>
      <c r="EVZ36" s="204"/>
      <c r="EWA36" s="204"/>
      <c r="EWB36" s="204"/>
      <c r="EWC36" s="204"/>
      <c r="EWD36" s="204"/>
      <c r="EWE36" s="204"/>
      <c r="EWF36" s="204"/>
      <c r="EWG36" s="204"/>
      <c r="EWH36" s="204"/>
      <c r="EWI36" s="204"/>
      <c r="EWJ36" s="204"/>
      <c r="EWK36" s="204"/>
      <c r="EWL36" s="204"/>
      <c r="EWM36" s="204"/>
      <c r="EWN36" s="204"/>
      <c r="EWO36" s="204"/>
      <c r="EWP36" s="204"/>
      <c r="EWQ36" s="204"/>
      <c r="EWR36" s="204"/>
      <c r="EWS36" s="204"/>
      <c r="EWT36" s="204"/>
      <c r="EWU36" s="204"/>
      <c r="EWV36" s="204"/>
      <c r="EWW36" s="204"/>
      <c r="EWX36" s="204"/>
      <c r="EWY36" s="204"/>
      <c r="EWZ36" s="204"/>
      <c r="EXA36" s="204"/>
      <c r="EXB36" s="204"/>
      <c r="EXC36" s="204"/>
      <c r="EXD36" s="204"/>
      <c r="EXE36" s="204"/>
      <c r="EXF36" s="204"/>
      <c r="EXG36" s="204"/>
      <c r="EXH36" s="204"/>
      <c r="EXI36" s="204"/>
      <c r="EXJ36" s="204"/>
      <c r="EXK36" s="204"/>
      <c r="EXL36" s="204"/>
      <c r="EXM36" s="204"/>
      <c r="EXN36" s="204"/>
      <c r="EXO36" s="204"/>
      <c r="EXP36" s="204"/>
      <c r="EXQ36" s="204"/>
      <c r="EXR36" s="204"/>
      <c r="EXS36" s="204"/>
      <c r="EXT36" s="204"/>
      <c r="EXU36" s="204"/>
      <c r="EXV36" s="204"/>
      <c r="EXW36" s="204"/>
      <c r="EXX36" s="204"/>
      <c r="EXY36" s="204"/>
      <c r="EXZ36" s="204"/>
      <c r="EYA36" s="204"/>
      <c r="EYB36" s="204"/>
      <c r="EYC36" s="204"/>
      <c r="EYD36" s="204"/>
      <c r="EYE36" s="204"/>
      <c r="EYF36" s="204"/>
      <c r="EYG36" s="204"/>
      <c r="EYH36" s="204"/>
      <c r="EYI36" s="204"/>
      <c r="EYJ36" s="204"/>
      <c r="EYK36" s="204"/>
      <c r="EYL36" s="204"/>
      <c r="EYM36" s="204"/>
      <c r="EYN36" s="204"/>
      <c r="EYO36" s="204"/>
      <c r="EYP36" s="204"/>
      <c r="EYQ36" s="204"/>
      <c r="EYR36" s="204"/>
      <c r="EYS36" s="204"/>
      <c r="EYT36" s="204"/>
      <c r="EYU36" s="204"/>
      <c r="EYV36" s="204"/>
      <c r="EYW36" s="204"/>
      <c r="EYX36" s="204"/>
      <c r="EYY36" s="204"/>
      <c r="EYZ36" s="204"/>
      <c r="EZA36" s="204"/>
      <c r="EZB36" s="204"/>
      <c r="EZC36" s="204"/>
      <c r="EZD36" s="204"/>
      <c r="EZE36" s="204"/>
      <c r="EZF36" s="204"/>
      <c r="EZG36" s="204"/>
      <c r="EZH36" s="204"/>
      <c r="EZI36" s="204"/>
      <c r="EZJ36" s="204"/>
      <c r="EZK36" s="204"/>
      <c r="EZL36" s="204"/>
      <c r="EZM36" s="204"/>
      <c r="EZN36" s="204"/>
      <c r="EZO36" s="204"/>
      <c r="EZP36" s="204"/>
      <c r="EZQ36" s="204"/>
      <c r="EZR36" s="204"/>
      <c r="EZS36" s="204"/>
      <c r="EZT36" s="204"/>
      <c r="EZU36" s="204"/>
      <c r="EZV36" s="204"/>
      <c r="EZW36" s="204"/>
      <c r="EZX36" s="204"/>
      <c r="EZY36" s="204"/>
      <c r="EZZ36" s="204"/>
      <c r="FAA36" s="204"/>
      <c r="FAB36" s="204"/>
      <c r="FAC36" s="204"/>
      <c r="FAD36" s="204"/>
      <c r="FAE36" s="204"/>
      <c r="FAF36" s="204"/>
      <c r="FAG36" s="204"/>
      <c r="FAH36" s="204"/>
      <c r="FAI36" s="204"/>
      <c r="FAJ36" s="204"/>
      <c r="FAK36" s="204"/>
      <c r="FAL36" s="204"/>
      <c r="FAM36" s="204"/>
      <c r="FAN36" s="204"/>
      <c r="FAO36" s="204"/>
      <c r="FAP36" s="204"/>
      <c r="FAQ36" s="204"/>
      <c r="FAR36" s="204"/>
      <c r="FAS36" s="204"/>
      <c r="FAT36" s="204"/>
      <c r="FAU36" s="204"/>
      <c r="FAV36" s="204"/>
      <c r="FAW36" s="204"/>
      <c r="FAX36" s="204"/>
      <c r="FAY36" s="204"/>
      <c r="FAZ36" s="204"/>
      <c r="FBA36" s="204"/>
      <c r="FBB36" s="204"/>
      <c r="FBC36" s="204"/>
      <c r="FBD36" s="204"/>
      <c r="FBE36" s="204"/>
      <c r="FBF36" s="204"/>
      <c r="FBG36" s="204"/>
      <c r="FBH36" s="204"/>
      <c r="FBI36" s="204"/>
      <c r="FBJ36" s="204"/>
      <c r="FBK36" s="204"/>
      <c r="FBL36" s="204"/>
      <c r="FBM36" s="204"/>
      <c r="FBN36" s="204"/>
      <c r="FBO36" s="204"/>
      <c r="FBP36" s="204"/>
      <c r="FBQ36" s="204"/>
      <c r="FBR36" s="204"/>
      <c r="FBS36" s="204"/>
      <c r="FBT36" s="204"/>
      <c r="FBU36" s="204"/>
      <c r="FBV36" s="204"/>
      <c r="FBW36" s="204"/>
      <c r="FBX36" s="204"/>
      <c r="FBY36" s="204"/>
      <c r="FBZ36" s="204"/>
      <c r="FCA36" s="204"/>
      <c r="FCB36" s="204"/>
      <c r="FCC36" s="204"/>
      <c r="FCD36" s="204"/>
      <c r="FCE36" s="204"/>
      <c r="FCF36" s="204"/>
      <c r="FCG36" s="204"/>
      <c r="FCH36" s="204"/>
      <c r="FCI36" s="204"/>
      <c r="FCJ36" s="204"/>
      <c r="FCK36" s="204"/>
      <c r="FCL36" s="204"/>
      <c r="FCM36" s="204"/>
      <c r="FCN36" s="204"/>
      <c r="FCO36" s="204"/>
      <c r="FCP36" s="204"/>
      <c r="FCQ36" s="204"/>
      <c r="FCR36" s="204"/>
      <c r="FCS36" s="204"/>
      <c r="FCT36" s="204"/>
      <c r="FCU36" s="204"/>
      <c r="FCV36" s="204"/>
      <c r="FCW36" s="204"/>
      <c r="FCX36" s="204"/>
      <c r="FCY36" s="204"/>
      <c r="FCZ36" s="204"/>
      <c r="FDA36" s="204"/>
      <c r="FDB36" s="204"/>
      <c r="FDC36" s="204"/>
      <c r="FDD36" s="204"/>
      <c r="FDE36" s="204"/>
      <c r="FDF36" s="204"/>
      <c r="FDG36" s="204"/>
      <c r="FDH36" s="204"/>
      <c r="FDI36" s="204"/>
      <c r="FDJ36" s="204"/>
      <c r="FDK36" s="204"/>
      <c r="FDL36" s="204"/>
      <c r="FDM36" s="204"/>
      <c r="FDN36" s="204"/>
      <c r="FDO36" s="204"/>
      <c r="FDP36" s="204"/>
      <c r="FDQ36" s="204"/>
      <c r="FDR36" s="204"/>
      <c r="FDS36" s="204"/>
      <c r="FDT36" s="204"/>
      <c r="FDU36" s="204"/>
      <c r="FDV36" s="204"/>
      <c r="FDW36" s="204"/>
      <c r="FDX36" s="204"/>
      <c r="FDY36" s="204"/>
      <c r="FDZ36" s="204"/>
      <c r="FEA36" s="204"/>
      <c r="FEB36" s="204"/>
      <c r="FEC36" s="204"/>
      <c r="FED36" s="204"/>
      <c r="FEE36" s="204"/>
      <c r="FEF36" s="204"/>
      <c r="FEG36" s="204"/>
      <c r="FEH36" s="204"/>
      <c r="FEI36" s="204"/>
      <c r="FEJ36" s="204"/>
      <c r="FEK36" s="204"/>
      <c r="FEL36" s="204"/>
      <c r="FEM36" s="204"/>
      <c r="FEN36" s="204"/>
      <c r="FEO36" s="204"/>
      <c r="FEP36" s="204"/>
      <c r="FEQ36" s="204"/>
      <c r="FER36" s="204"/>
      <c r="FES36" s="204"/>
      <c r="FET36" s="204"/>
      <c r="FEU36" s="204"/>
      <c r="FEV36" s="204"/>
      <c r="FEW36" s="204"/>
      <c r="FEX36" s="204"/>
      <c r="FEY36" s="204"/>
      <c r="FEZ36" s="204"/>
      <c r="FFA36" s="204"/>
      <c r="FFB36" s="204"/>
      <c r="FFC36" s="204"/>
      <c r="FFD36" s="204"/>
      <c r="FFE36" s="204"/>
      <c r="FFF36" s="204"/>
      <c r="FFG36" s="204"/>
      <c r="FFH36" s="204"/>
      <c r="FFI36" s="204"/>
      <c r="FFJ36" s="204"/>
      <c r="FFK36" s="204"/>
      <c r="FFL36" s="204"/>
      <c r="FFM36" s="204"/>
      <c r="FFN36" s="204"/>
      <c r="FFO36" s="204"/>
      <c r="FFP36" s="204"/>
      <c r="FFQ36" s="204"/>
      <c r="FFR36" s="204"/>
      <c r="FFS36" s="204"/>
      <c r="FFT36" s="204"/>
      <c r="FFU36" s="204"/>
      <c r="FFV36" s="204"/>
      <c r="FFW36" s="204"/>
      <c r="FFX36" s="204"/>
      <c r="FFY36" s="204"/>
      <c r="FFZ36" s="204"/>
      <c r="FGA36" s="204"/>
      <c r="FGB36" s="204"/>
      <c r="FGC36" s="204"/>
      <c r="FGD36" s="204"/>
      <c r="FGE36" s="204"/>
      <c r="FGF36" s="204"/>
      <c r="FGG36" s="204"/>
      <c r="FGH36" s="204"/>
      <c r="FGI36" s="204"/>
      <c r="FGJ36" s="204"/>
      <c r="FGK36" s="204"/>
      <c r="FGL36" s="204"/>
      <c r="FGM36" s="204"/>
      <c r="FGN36" s="204"/>
      <c r="FGO36" s="204"/>
      <c r="FGP36" s="204"/>
      <c r="FGQ36" s="204"/>
      <c r="FGR36" s="204"/>
      <c r="FGS36" s="204"/>
      <c r="FGT36" s="204"/>
      <c r="FGU36" s="204"/>
      <c r="FGV36" s="204"/>
      <c r="FGW36" s="204"/>
      <c r="FGX36" s="204"/>
      <c r="FGY36" s="204"/>
      <c r="FGZ36" s="204"/>
      <c r="FHA36" s="204"/>
      <c r="FHB36" s="204"/>
      <c r="FHC36" s="204"/>
      <c r="FHD36" s="204"/>
      <c r="FHE36" s="204"/>
      <c r="FHF36" s="204"/>
      <c r="FHG36" s="204"/>
      <c r="FHH36" s="204"/>
      <c r="FHI36" s="204"/>
      <c r="FHJ36" s="204"/>
      <c r="FHK36" s="204"/>
      <c r="FHL36" s="204"/>
      <c r="FHM36" s="204"/>
      <c r="FHN36" s="204"/>
      <c r="FHO36" s="204"/>
      <c r="FHP36" s="204"/>
      <c r="FHQ36" s="204"/>
      <c r="FHR36" s="204"/>
      <c r="FHS36" s="204"/>
      <c r="FHT36" s="204"/>
      <c r="FHU36" s="204"/>
      <c r="FHV36" s="204"/>
      <c r="FHW36" s="204"/>
      <c r="FHX36" s="204"/>
      <c r="FHY36" s="204"/>
      <c r="FHZ36" s="204"/>
      <c r="FIA36" s="204"/>
      <c r="FIB36" s="204"/>
      <c r="FIC36" s="204"/>
      <c r="FID36" s="204"/>
      <c r="FIE36" s="204"/>
      <c r="FIF36" s="204"/>
      <c r="FIG36" s="204"/>
      <c r="FIH36" s="204"/>
      <c r="FII36" s="204"/>
      <c r="FIJ36" s="204"/>
      <c r="FIK36" s="204"/>
      <c r="FIL36" s="204"/>
      <c r="FIM36" s="204"/>
      <c r="FIN36" s="204"/>
      <c r="FIO36" s="204"/>
      <c r="FIP36" s="204"/>
      <c r="FIQ36" s="204"/>
      <c r="FIR36" s="204"/>
      <c r="FIS36" s="204"/>
      <c r="FIT36" s="204"/>
      <c r="FIU36" s="204"/>
      <c r="FIV36" s="204"/>
      <c r="FIW36" s="204"/>
      <c r="FIX36" s="204"/>
      <c r="FIY36" s="204"/>
      <c r="FIZ36" s="204"/>
      <c r="FJA36" s="204"/>
      <c r="FJB36" s="204"/>
      <c r="FJC36" s="204"/>
      <c r="FJD36" s="204"/>
      <c r="FJE36" s="204"/>
      <c r="FJF36" s="204"/>
      <c r="FJG36" s="204"/>
      <c r="FJH36" s="204"/>
      <c r="FJI36" s="204"/>
      <c r="FJJ36" s="204"/>
      <c r="FJK36" s="204"/>
      <c r="FJL36" s="204"/>
      <c r="FJM36" s="204"/>
      <c r="FJN36" s="204"/>
      <c r="FJO36" s="204"/>
      <c r="FJP36" s="204"/>
      <c r="FJQ36" s="204"/>
      <c r="FJR36" s="204"/>
      <c r="FJS36" s="204"/>
      <c r="FJT36" s="204"/>
      <c r="FJU36" s="204"/>
      <c r="FJV36" s="204"/>
      <c r="FJW36" s="204"/>
      <c r="FJX36" s="204"/>
      <c r="FJY36" s="204"/>
      <c r="FJZ36" s="204"/>
      <c r="FKA36" s="204"/>
      <c r="FKB36" s="204"/>
      <c r="FKC36" s="204"/>
      <c r="FKD36" s="204"/>
      <c r="FKE36" s="204"/>
      <c r="FKF36" s="204"/>
      <c r="FKG36" s="204"/>
      <c r="FKH36" s="204"/>
      <c r="FKI36" s="204"/>
      <c r="FKJ36" s="204"/>
      <c r="FKK36" s="204"/>
      <c r="FKL36" s="204"/>
      <c r="FKM36" s="204"/>
      <c r="FKN36" s="204"/>
      <c r="FKO36" s="204"/>
      <c r="FKP36" s="204"/>
      <c r="FKQ36" s="204"/>
      <c r="FKR36" s="204"/>
      <c r="FKS36" s="204"/>
      <c r="FKT36" s="204"/>
      <c r="FKU36" s="204"/>
      <c r="FKV36" s="204"/>
      <c r="FKW36" s="204"/>
      <c r="FKX36" s="204"/>
      <c r="FKY36" s="204"/>
      <c r="FKZ36" s="204"/>
      <c r="FLA36" s="204"/>
      <c r="FLB36" s="204"/>
      <c r="FLC36" s="204"/>
      <c r="FLD36" s="204"/>
      <c r="FLE36" s="204"/>
      <c r="FLF36" s="204"/>
      <c r="FLG36" s="204"/>
      <c r="FLH36" s="204"/>
      <c r="FLI36" s="204"/>
      <c r="FLJ36" s="204"/>
      <c r="FLK36" s="204"/>
      <c r="FLL36" s="204"/>
      <c r="FLM36" s="204"/>
      <c r="FLN36" s="204"/>
      <c r="FLO36" s="204"/>
      <c r="FLP36" s="204"/>
      <c r="FLQ36" s="204"/>
      <c r="FLR36" s="204"/>
      <c r="FLS36" s="204"/>
      <c r="FLT36" s="204"/>
      <c r="FLU36" s="204"/>
      <c r="FLV36" s="204"/>
      <c r="FLW36" s="204"/>
      <c r="FLX36" s="204"/>
      <c r="FLY36" s="204"/>
      <c r="FLZ36" s="204"/>
      <c r="FMA36" s="204"/>
      <c r="FMB36" s="204"/>
      <c r="FMC36" s="204"/>
      <c r="FMD36" s="204"/>
      <c r="FME36" s="204"/>
      <c r="FMF36" s="204"/>
      <c r="FMG36" s="204"/>
      <c r="FMH36" s="204"/>
      <c r="FMI36" s="204"/>
      <c r="FMJ36" s="204"/>
      <c r="FMK36" s="204"/>
      <c r="FML36" s="204"/>
      <c r="FMM36" s="204"/>
      <c r="FMN36" s="204"/>
      <c r="FMO36" s="204"/>
      <c r="FMP36" s="204"/>
      <c r="FMQ36" s="204"/>
      <c r="FMR36" s="204"/>
      <c r="FMS36" s="204"/>
      <c r="FMT36" s="204"/>
      <c r="FMU36" s="204"/>
      <c r="FMV36" s="204"/>
      <c r="FMW36" s="204"/>
      <c r="FMX36" s="204"/>
      <c r="FMY36" s="204"/>
      <c r="FMZ36" s="204"/>
      <c r="FNA36" s="204"/>
      <c r="FNB36" s="204"/>
      <c r="FNC36" s="204"/>
      <c r="FND36" s="204"/>
      <c r="FNE36" s="204"/>
      <c r="FNF36" s="204"/>
      <c r="FNG36" s="204"/>
      <c r="FNH36" s="204"/>
      <c r="FNI36" s="204"/>
      <c r="FNJ36" s="204"/>
      <c r="FNK36" s="204"/>
      <c r="FNL36" s="204"/>
      <c r="FNM36" s="204"/>
      <c r="FNN36" s="204"/>
      <c r="FNO36" s="204"/>
      <c r="FNP36" s="204"/>
      <c r="FNQ36" s="204"/>
      <c r="FNR36" s="204"/>
      <c r="FNS36" s="204"/>
      <c r="FNT36" s="204"/>
      <c r="FNU36" s="204"/>
      <c r="FNV36" s="204"/>
      <c r="FNW36" s="204"/>
      <c r="FNX36" s="204"/>
      <c r="FNY36" s="204"/>
      <c r="FNZ36" s="204"/>
      <c r="FOA36" s="204"/>
      <c r="FOB36" s="204"/>
      <c r="FOC36" s="204"/>
      <c r="FOD36" s="204"/>
      <c r="FOE36" s="204"/>
      <c r="FOF36" s="204"/>
      <c r="FOG36" s="204"/>
      <c r="FOH36" s="204"/>
      <c r="FOI36" s="204"/>
      <c r="FOJ36" s="204"/>
      <c r="FOK36" s="204"/>
      <c r="FOL36" s="204"/>
      <c r="FOM36" s="204"/>
      <c r="FON36" s="204"/>
      <c r="FOO36" s="204"/>
      <c r="FOP36" s="204"/>
      <c r="FOQ36" s="204"/>
      <c r="FOR36" s="204"/>
      <c r="FOS36" s="204"/>
      <c r="FOT36" s="204"/>
      <c r="FOU36" s="204"/>
      <c r="FOV36" s="204"/>
      <c r="FOW36" s="204"/>
      <c r="FOX36" s="204"/>
      <c r="FOY36" s="204"/>
      <c r="FOZ36" s="204"/>
      <c r="FPA36" s="204"/>
      <c r="FPB36" s="204"/>
      <c r="FPC36" s="204"/>
      <c r="FPD36" s="204"/>
      <c r="FPE36" s="204"/>
      <c r="FPF36" s="204"/>
      <c r="FPG36" s="204"/>
      <c r="FPH36" s="204"/>
      <c r="FPI36" s="204"/>
      <c r="FPJ36" s="204"/>
      <c r="FPK36" s="204"/>
      <c r="FPL36" s="204"/>
      <c r="FPM36" s="204"/>
      <c r="FPN36" s="204"/>
      <c r="FPO36" s="204"/>
      <c r="FPP36" s="204"/>
      <c r="FPQ36" s="204"/>
      <c r="FPR36" s="204"/>
      <c r="FPS36" s="204"/>
      <c r="FPT36" s="204"/>
      <c r="FPU36" s="204"/>
      <c r="FPV36" s="204"/>
      <c r="FPW36" s="204"/>
      <c r="FPX36" s="204"/>
      <c r="FPY36" s="204"/>
      <c r="FPZ36" s="204"/>
      <c r="FQA36" s="204"/>
      <c r="FQB36" s="204"/>
      <c r="FQC36" s="204"/>
      <c r="FQD36" s="204"/>
      <c r="FQE36" s="204"/>
      <c r="FQF36" s="204"/>
      <c r="FQG36" s="204"/>
      <c r="FQH36" s="204"/>
      <c r="FQI36" s="204"/>
      <c r="FQJ36" s="204"/>
      <c r="FQK36" s="204"/>
      <c r="FQL36" s="204"/>
      <c r="FQM36" s="204"/>
      <c r="FQN36" s="204"/>
      <c r="FQO36" s="204"/>
      <c r="FQP36" s="204"/>
      <c r="FQQ36" s="204"/>
      <c r="FQR36" s="204"/>
      <c r="FQS36" s="204"/>
      <c r="FQT36" s="204"/>
      <c r="FQU36" s="204"/>
      <c r="FQV36" s="204"/>
      <c r="FQW36" s="204"/>
      <c r="FQX36" s="204"/>
      <c r="FQY36" s="204"/>
      <c r="FQZ36" s="204"/>
      <c r="FRA36" s="204"/>
      <c r="FRB36" s="204"/>
      <c r="FRC36" s="204"/>
      <c r="FRD36" s="204"/>
      <c r="FRE36" s="204"/>
      <c r="FRF36" s="204"/>
      <c r="FRG36" s="204"/>
      <c r="FRH36" s="204"/>
      <c r="FRI36" s="204"/>
      <c r="FRJ36" s="204"/>
      <c r="FRK36" s="204"/>
      <c r="FRL36" s="204"/>
      <c r="FRM36" s="204"/>
      <c r="FRN36" s="204"/>
      <c r="FRO36" s="204"/>
      <c r="FRP36" s="204"/>
      <c r="FRQ36" s="204"/>
      <c r="FRR36" s="204"/>
      <c r="FRS36" s="204"/>
      <c r="FRT36" s="204"/>
      <c r="FRU36" s="204"/>
      <c r="FRV36" s="204"/>
      <c r="FRW36" s="204"/>
      <c r="FRX36" s="204"/>
      <c r="FRY36" s="204"/>
      <c r="FRZ36" s="204"/>
      <c r="FSA36" s="204"/>
      <c r="FSB36" s="204"/>
      <c r="FSC36" s="204"/>
      <c r="FSD36" s="204"/>
      <c r="FSE36" s="204"/>
      <c r="FSF36" s="204"/>
      <c r="FSG36" s="204"/>
      <c r="FSH36" s="204"/>
      <c r="FSI36" s="204"/>
      <c r="FSJ36" s="204"/>
      <c r="FSK36" s="204"/>
      <c r="FSL36" s="204"/>
      <c r="FSM36" s="204"/>
      <c r="FSN36" s="204"/>
      <c r="FSO36" s="204"/>
      <c r="FSP36" s="204"/>
      <c r="FSQ36" s="204"/>
      <c r="FSR36" s="204"/>
      <c r="FSS36" s="204"/>
      <c r="FST36" s="204"/>
      <c r="FSU36" s="204"/>
      <c r="FSV36" s="204"/>
      <c r="FSW36" s="204"/>
      <c r="FSX36" s="204"/>
      <c r="FSY36" s="204"/>
      <c r="FSZ36" s="204"/>
      <c r="FTA36" s="204"/>
      <c r="FTB36" s="204"/>
      <c r="FTC36" s="204"/>
      <c r="FTD36" s="204"/>
      <c r="FTE36" s="204"/>
      <c r="FTF36" s="204"/>
      <c r="FTG36" s="204"/>
      <c r="FTH36" s="204"/>
      <c r="FTI36" s="204"/>
      <c r="FTJ36" s="204"/>
      <c r="FTK36" s="204"/>
      <c r="FTL36" s="204"/>
      <c r="FTM36" s="204"/>
      <c r="FTN36" s="204"/>
      <c r="FTO36" s="204"/>
      <c r="FTP36" s="204"/>
      <c r="FTQ36" s="204"/>
      <c r="FTR36" s="204"/>
      <c r="FTS36" s="204"/>
      <c r="FTT36" s="204"/>
      <c r="FTU36" s="204"/>
      <c r="FTV36" s="204"/>
      <c r="FTW36" s="204"/>
      <c r="FTX36" s="204"/>
      <c r="FTY36" s="204"/>
      <c r="FTZ36" s="204"/>
      <c r="FUA36" s="204"/>
      <c r="FUB36" s="204"/>
      <c r="FUC36" s="204"/>
      <c r="FUD36" s="204"/>
      <c r="FUE36" s="204"/>
      <c r="FUF36" s="204"/>
      <c r="FUG36" s="204"/>
      <c r="FUH36" s="204"/>
      <c r="FUI36" s="204"/>
      <c r="FUJ36" s="204"/>
      <c r="FUK36" s="204"/>
      <c r="FUL36" s="204"/>
      <c r="FUM36" s="204"/>
      <c r="FUN36" s="204"/>
      <c r="FUO36" s="204"/>
      <c r="FUP36" s="204"/>
      <c r="FUQ36" s="204"/>
      <c r="FUR36" s="204"/>
      <c r="FUS36" s="204"/>
      <c r="FUT36" s="204"/>
      <c r="FUU36" s="204"/>
      <c r="FUV36" s="204"/>
      <c r="FUW36" s="204"/>
      <c r="FUX36" s="204"/>
      <c r="FUY36" s="204"/>
      <c r="FUZ36" s="204"/>
      <c r="FVA36" s="204"/>
      <c r="FVB36" s="204"/>
      <c r="FVC36" s="204"/>
      <c r="FVD36" s="204"/>
      <c r="FVE36" s="204"/>
      <c r="FVF36" s="204"/>
      <c r="FVG36" s="204"/>
      <c r="FVH36" s="204"/>
      <c r="FVI36" s="204"/>
      <c r="FVJ36" s="204"/>
      <c r="FVK36" s="204"/>
      <c r="FVL36" s="204"/>
      <c r="FVM36" s="204"/>
      <c r="FVN36" s="204"/>
      <c r="FVO36" s="204"/>
      <c r="FVP36" s="204"/>
      <c r="FVQ36" s="204"/>
      <c r="FVR36" s="204"/>
      <c r="FVS36" s="204"/>
      <c r="FVT36" s="204"/>
      <c r="FVU36" s="204"/>
      <c r="FVV36" s="204"/>
      <c r="FVW36" s="204"/>
      <c r="FVX36" s="204"/>
      <c r="FVY36" s="204"/>
      <c r="FVZ36" s="204"/>
      <c r="FWA36" s="204"/>
      <c r="FWB36" s="204"/>
      <c r="FWC36" s="204"/>
      <c r="FWD36" s="204"/>
      <c r="FWE36" s="204"/>
      <c r="FWF36" s="204"/>
      <c r="FWG36" s="204"/>
      <c r="FWH36" s="204"/>
      <c r="FWI36" s="204"/>
      <c r="FWJ36" s="204"/>
      <c r="FWK36" s="204"/>
      <c r="FWL36" s="204"/>
      <c r="FWM36" s="204"/>
      <c r="FWN36" s="204"/>
      <c r="FWO36" s="204"/>
      <c r="FWP36" s="204"/>
      <c r="FWQ36" s="204"/>
      <c r="FWR36" s="204"/>
      <c r="FWS36" s="204"/>
      <c r="FWT36" s="204"/>
      <c r="FWU36" s="204"/>
      <c r="FWV36" s="204"/>
      <c r="FWW36" s="204"/>
      <c r="FWX36" s="204"/>
      <c r="FWY36" s="204"/>
      <c r="FWZ36" s="204"/>
      <c r="FXA36" s="204"/>
      <c r="FXB36" s="204"/>
      <c r="FXC36" s="204"/>
      <c r="FXD36" s="204"/>
      <c r="FXE36" s="204"/>
      <c r="FXF36" s="204"/>
      <c r="FXG36" s="204"/>
      <c r="FXH36" s="204"/>
      <c r="FXI36" s="204"/>
      <c r="FXJ36" s="204"/>
      <c r="FXK36" s="204"/>
      <c r="FXL36" s="204"/>
      <c r="FXM36" s="204"/>
      <c r="FXN36" s="204"/>
      <c r="FXO36" s="204"/>
      <c r="FXP36" s="204"/>
      <c r="FXQ36" s="204"/>
      <c r="FXR36" s="204"/>
      <c r="FXS36" s="204"/>
      <c r="FXT36" s="204"/>
      <c r="FXU36" s="204"/>
      <c r="FXV36" s="204"/>
      <c r="FXW36" s="204"/>
      <c r="FXX36" s="204"/>
      <c r="FXY36" s="204"/>
      <c r="FXZ36" s="204"/>
      <c r="FYA36" s="204"/>
      <c r="FYB36" s="204"/>
      <c r="FYC36" s="204"/>
      <c r="FYD36" s="204"/>
      <c r="FYE36" s="204"/>
      <c r="FYF36" s="204"/>
      <c r="FYG36" s="204"/>
      <c r="FYH36" s="204"/>
      <c r="FYI36" s="204"/>
      <c r="FYJ36" s="204"/>
      <c r="FYK36" s="204"/>
      <c r="FYL36" s="204"/>
      <c r="FYM36" s="204"/>
      <c r="FYN36" s="204"/>
      <c r="FYO36" s="204"/>
      <c r="FYP36" s="204"/>
      <c r="FYQ36" s="204"/>
      <c r="FYR36" s="204"/>
      <c r="FYS36" s="204"/>
      <c r="FYT36" s="204"/>
      <c r="FYU36" s="204"/>
      <c r="FYV36" s="204"/>
      <c r="FYW36" s="204"/>
      <c r="FYX36" s="204"/>
      <c r="FYY36" s="204"/>
      <c r="FYZ36" s="204"/>
      <c r="FZA36" s="204"/>
      <c r="FZB36" s="204"/>
      <c r="FZC36" s="204"/>
      <c r="FZD36" s="204"/>
      <c r="FZE36" s="204"/>
      <c r="FZF36" s="204"/>
      <c r="FZG36" s="204"/>
      <c r="FZH36" s="204"/>
      <c r="FZI36" s="204"/>
      <c r="FZJ36" s="204"/>
      <c r="FZK36" s="204"/>
      <c r="FZL36" s="204"/>
      <c r="FZM36" s="204"/>
      <c r="FZN36" s="204"/>
      <c r="FZO36" s="204"/>
      <c r="FZP36" s="204"/>
      <c r="FZQ36" s="204"/>
      <c r="FZR36" s="204"/>
      <c r="FZS36" s="204"/>
      <c r="FZT36" s="204"/>
      <c r="FZU36" s="204"/>
      <c r="FZV36" s="204"/>
      <c r="FZW36" s="204"/>
      <c r="FZX36" s="204"/>
      <c r="FZY36" s="204"/>
      <c r="FZZ36" s="204"/>
      <c r="GAA36" s="204"/>
      <c r="GAB36" s="204"/>
      <c r="GAC36" s="204"/>
      <c r="GAD36" s="204"/>
      <c r="GAE36" s="204"/>
      <c r="GAF36" s="204"/>
      <c r="GAG36" s="204"/>
      <c r="GAH36" s="204"/>
      <c r="GAI36" s="204"/>
      <c r="GAJ36" s="204"/>
      <c r="GAK36" s="204"/>
      <c r="GAL36" s="204"/>
      <c r="GAM36" s="204"/>
      <c r="GAN36" s="204"/>
      <c r="GAO36" s="204"/>
      <c r="GAP36" s="204"/>
      <c r="GAQ36" s="204"/>
      <c r="GAR36" s="204"/>
      <c r="GAS36" s="204"/>
      <c r="GAT36" s="204"/>
      <c r="GAU36" s="204"/>
      <c r="GAV36" s="204"/>
      <c r="GAW36" s="204"/>
      <c r="GAX36" s="204"/>
      <c r="GAY36" s="204"/>
      <c r="GAZ36" s="204"/>
      <c r="GBA36" s="204"/>
      <c r="GBB36" s="204"/>
      <c r="GBC36" s="204"/>
      <c r="GBD36" s="204"/>
      <c r="GBE36" s="204"/>
      <c r="GBF36" s="204"/>
      <c r="GBG36" s="204"/>
      <c r="GBH36" s="204"/>
      <c r="GBI36" s="204"/>
      <c r="GBJ36" s="204"/>
      <c r="GBK36" s="204"/>
      <c r="GBL36" s="204"/>
      <c r="GBM36" s="204"/>
      <c r="GBN36" s="204"/>
      <c r="GBO36" s="204"/>
      <c r="GBP36" s="204"/>
      <c r="GBQ36" s="204"/>
      <c r="GBR36" s="204"/>
      <c r="GBS36" s="204"/>
      <c r="GBT36" s="204"/>
      <c r="GBU36" s="204"/>
      <c r="GBV36" s="204"/>
      <c r="GBW36" s="204"/>
      <c r="GBX36" s="204"/>
      <c r="GBY36" s="204"/>
      <c r="GBZ36" s="204"/>
      <c r="GCA36" s="204"/>
      <c r="GCB36" s="204"/>
      <c r="GCC36" s="204"/>
      <c r="GCD36" s="204"/>
      <c r="GCE36" s="204"/>
      <c r="GCF36" s="204"/>
      <c r="GCG36" s="204"/>
      <c r="GCH36" s="204"/>
      <c r="GCI36" s="204"/>
      <c r="GCJ36" s="204"/>
      <c r="GCK36" s="204"/>
      <c r="GCL36" s="204"/>
      <c r="GCM36" s="204"/>
      <c r="GCN36" s="204"/>
      <c r="GCO36" s="204"/>
      <c r="GCP36" s="204"/>
      <c r="GCQ36" s="204"/>
      <c r="GCR36" s="204"/>
      <c r="GCS36" s="204"/>
      <c r="GCT36" s="204"/>
      <c r="GCU36" s="204"/>
      <c r="GCV36" s="204"/>
      <c r="GCW36" s="204"/>
      <c r="GCX36" s="204"/>
      <c r="GCY36" s="204"/>
      <c r="GCZ36" s="204"/>
      <c r="GDA36" s="204"/>
      <c r="GDB36" s="204"/>
      <c r="GDC36" s="204"/>
      <c r="GDD36" s="204"/>
      <c r="GDE36" s="204"/>
      <c r="GDF36" s="204"/>
      <c r="GDG36" s="204"/>
      <c r="GDH36" s="204"/>
      <c r="GDI36" s="204"/>
      <c r="GDJ36" s="204"/>
      <c r="GDK36" s="204"/>
      <c r="GDL36" s="204"/>
      <c r="GDM36" s="204"/>
      <c r="GDN36" s="204"/>
      <c r="GDO36" s="204"/>
      <c r="GDP36" s="204"/>
      <c r="GDQ36" s="204"/>
      <c r="GDR36" s="204"/>
      <c r="GDS36" s="204"/>
      <c r="GDT36" s="204"/>
      <c r="GDU36" s="204"/>
      <c r="GDV36" s="204"/>
      <c r="GDW36" s="204"/>
      <c r="GDX36" s="204"/>
      <c r="GDY36" s="204"/>
      <c r="GDZ36" s="204"/>
      <c r="GEA36" s="204"/>
      <c r="GEB36" s="204"/>
      <c r="GEC36" s="204"/>
      <c r="GED36" s="204"/>
      <c r="GEE36" s="204"/>
      <c r="GEF36" s="204"/>
      <c r="GEG36" s="204"/>
      <c r="GEH36" s="204"/>
      <c r="GEI36" s="204"/>
      <c r="GEJ36" s="204"/>
      <c r="GEK36" s="204"/>
      <c r="GEL36" s="204"/>
      <c r="GEM36" s="204"/>
      <c r="GEN36" s="204"/>
      <c r="GEO36" s="204"/>
      <c r="GEP36" s="204"/>
      <c r="GEQ36" s="204"/>
      <c r="GER36" s="204"/>
      <c r="GES36" s="204"/>
      <c r="GET36" s="204"/>
      <c r="GEU36" s="204"/>
      <c r="GEV36" s="204"/>
      <c r="GEW36" s="204"/>
      <c r="GEX36" s="204"/>
      <c r="GEY36" s="204"/>
      <c r="GEZ36" s="204"/>
      <c r="GFA36" s="204"/>
      <c r="GFB36" s="204"/>
      <c r="GFC36" s="204"/>
      <c r="GFD36" s="204"/>
      <c r="GFE36" s="204"/>
      <c r="GFF36" s="204"/>
      <c r="GFG36" s="204"/>
      <c r="GFH36" s="204"/>
      <c r="GFI36" s="204"/>
      <c r="GFJ36" s="204"/>
      <c r="GFK36" s="204"/>
      <c r="GFL36" s="204"/>
      <c r="GFM36" s="204"/>
      <c r="GFN36" s="204"/>
      <c r="GFO36" s="204"/>
      <c r="GFP36" s="204"/>
      <c r="GFQ36" s="204"/>
      <c r="GFR36" s="204"/>
      <c r="GFS36" s="204"/>
      <c r="GFT36" s="204"/>
      <c r="GFU36" s="204"/>
      <c r="GFV36" s="204"/>
      <c r="GFW36" s="204"/>
      <c r="GFX36" s="204"/>
      <c r="GFY36" s="204"/>
      <c r="GFZ36" s="204"/>
      <c r="GGA36" s="204"/>
      <c r="GGB36" s="204"/>
      <c r="GGC36" s="204"/>
      <c r="GGD36" s="204"/>
      <c r="GGE36" s="204"/>
      <c r="GGF36" s="204"/>
      <c r="GGG36" s="204"/>
      <c r="GGH36" s="204"/>
      <c r="GGI36" s="204"/>
      <c r="GGJ36" s="204"/>
      <c r="GGK36" s="204"/>
      <c r="GGL36" s="204"/>
      <c r="GGM36" s="204"/>
      <c r="GGN36" s="204"/>
      <c r="GGO36" s="204"/>
      <c r="GGP36" s="204"/>
      <c r="GGQ36" s="204"/>
      <c r="GGR36" s="204"/>
      <c r="GGS36" s="204"/>
      <c r="GGT36" s="204"/>
      <c r="GGU36" s="204"/>
      <c r="GGV36" s="204"/>
      <c r="GGW36" s="204"/>
      <c r="GGX36" s="204"/>
      <c r="GGY36" s="204"/>
      <c r="GGZ36" s="204"/>
      <c r="GHA36" s="204"/>
      <c r="GHB36" s="204"/>
      <c r="GHC36" s="204"/>
      <c r="GHD36" s="204"/>
      <c r="GHE36" s="204"/>
      <c r="GHF36" s="204"/>
      <c r="GHG36" s="204"/>
      <c r="GHH36" s="204"/>
      <c r="GHI36" s="204"/>
      <c r="GHJ36" s="204"/>
      <c r="GHK36" s="204"/>
      <c r="GHL36" s="204"/>
      <c r="GHM36" s="204"/>
      <c r="GHN36" s="204"/>
      <c r="GHO36" s="204"/>
      <c r="GHP36" s="204"/>
      <c r="GHQ36" s="204"/>
      <c r="GHR36" s="204"/>
      <c r="GHS36" s="204"/>
      <c r="GHT36" s="204"/>
      <c r="GHU36" s="204"/>
      <c r="GHV36" s="204"/>
      <c r="GHW36" s="204"/>
      <c r="GHX36" s="204"/>
      <c r="GHY36" s="204"/>
      <c r="GHZ36" s="204"/>
      <c r="GIA36" s="204"/>
      <c r="GIB36" s="204"/>
      <c r="GIC36" s="204"/>
      <c r="GID36" s="204"/>
      <c r="GIE36" s="204"/>
      <c r="GIF36" s="204"/>
      <c r="GIG36" s="204"/>
      <c r="GIH36" s="204"/>
      <c r="GII36" s="204"/>
      <c r="GIJ36" s="204"/>
      <c r="GIK36" s="204"/>
      <c r="GIL36" s="204"/>
      <c r="GIM36" s="204"/>
      <c r="GIN36" s="204"/>
      <c r="GIO36" s="204"/>
      <c r="GIP36" s="204"/>
      <c r="GIQ36" s="204"/>
      <c r="GIR36" s="204"/>
      <c r="GIS36" s="204"/>
      <c r="GIT36" s="204"/>
      <c r="GIU36" s="204"/>
      <c r="GIV36" s="204"/>
      <c r="GIW36" s="204"/>
      <c r="GIX36" s="204"/>
      <c r="GIY36" s="204"/>
      <c r="GIZ36" s="204"/>
      <c r="GJA36" s="204"/>
      <c r="GJB36" s="204"/>
      <c r="GJC36" s="204"/>
      <c r="GJD36" s="204"/>
      <c r="GJE36" s="204"/>
      <c r="GJF36" s="204"/>
      <c r="GJG36" s="204"/>
      <c r="GJH36" s="204"/>
      <c r="GJI36" s="204"/>
      <c r="GJJ36" s="204"/>
      <c r="GJK36" s="204"/>
      <c r="GJL36" s="204"/>
      <c r="GJM36" s="204"/>
      <c r="GJN36" s="204"/>
      <c r="GJO36" s="204"/>
      <c r="GJP36" s="204"/>
      <c r="GJQ36" s="204"/>
      <c r="GJR36" s="204"/>
      <c r="GJS36" s="204"/>
      <c r="GJT36" s="204"/>
      <c r="GJU36" s="204"/>
      <c r="GJV36" s="204"/>
      <c r="GJW36" s="204"/>
      <c r="GJX36" s="204"/>
      <c r="GJY36" s="204"/>
      <c r="GJZ36" s="204"/>
      <c r="GKA36" s="204"/>
      <c r="GKB36" s="204"/>
      <c r="GKC36" s="204"/>
      <c r="GKD36" s="204"/>
      <c r="GKE36" s="204"/>
      <c r="GKF36" s="204"/>
      <c r="GKG36" s="204"/>
      <c r="GKH36" s="204"/>
      <c r="GKI36" s="204"/>
      <c r="GKJ36" s="204"/>
      <c r="GKK36" s="204"/>
      <c r="GKL36" s="204"/>
      <c r="GKM36" s="204"/>
      <c r="GKN36" s="204"/>
      <c r="GKO36" s="204"/>
      <c r="GKP36" s="204"/>
      <c r="GKQ36" s="204"/>
      <c r="GKR36" s="204"/>
      <c r="GKS36" s="204"/>
      <c r="GKT36" s="204"/>
      <c r="GKU36" s="204"/>
      <c r="GKV36" s="204"/>
      <c r="GKW36" s="204"/>
      <c r="GKX36" s="204"/>
      <c r="GKY36" s="204"/>
      <c r="GKZ36" s="204"/>
      <c r="GLA36" s="204"/>
      <c r="GLB36" s="204"/>
      <c r="GLC36" s="204"/>
      <c r="GLD36" s="204"/>
      <c r="GLE36" s="204"/>
      <c r="GLF36" s="204"/>
      <c r="GLG36" s="204"/>
      <c r="GLH36" s="204"/>
      <c r="GLI36" s="204"/>
      <c r="GLJ36" s="204"/>
      <c r="GLK36" s="204"/>
      <c r="GLL36" s="204"/>
      <c r="GLM36" s="204"/>
      <c r="GLN36" s="204"/>
      <c r="GLO36" s="204"/>
      <c r="GLP36" s="204"/>
      <c r="GLQ36" s="204"/>
      <c r="GLR36" s="204"/>
      <c r="GLS36" s="204"/>
      <c r="GLT36" s="204"/>
      <c r="GLU36" s="204"/>
      <c r="GLV36" s="204"/>
      <c r="GLW36" s="204"/>
      <c r="GLX36" s="204"/>
      <c r="GLY36" s="204"/>
      <c r="GLZ36" s="204"/>
      <c r="GMA36" s="204"/>
      <c r="GMB36" s="204"/>
      <c r="GMC36" s="204"/>
      <c r="GMD36" s="204"/>
      <c r="GME36" s="204"/>
      <c r="GMF36" s="204"/>
      <c r="GMG36" s="204"/>
      <c r="GMH36" s="204"/>
      <c r="GMI36" s="204"/>
      <c r="GMJ36" s="204"/>
      <c r="GMK36" s="204"/>
      <c r="GML36" s="204"/>
      <c r="GMM36" s="204"/>
      <c r="GMN36" s="204"/>
      <c r="GMO36" s="204"/>
      <c r="GMP36" s="204"/>
      <c r="GMQ36" s="204"/>
      <c r="GMR36" s="204"/>
      <c r="GMS36" s="204"/>
      <c r="GMT36" s="204"/>
      <c r="GMU36" s="204"/>
      <c r="GMV36" s="204"/>
      <c r="GMW36" s="204"/>
      <c r="GMX36" s="204"/>
      <c r="GMY36" s="204"/>
      <c r="GMZ36" s="204"/>
      <c r="GNA36" s="204"/>
      <c r="GNB36" s="204"/>
      <c r="GNC36" s="204"/>
      <c r="GND36" s="204"/>
      <c r="GNE36" s="204"/>
      <c r="GNF36" s="204"/>
      <c r="GNG36" s="204"/>
      <c r="GNH36" s="204"/>
      <c r="GNI36" s="204"/>
      <c r="GNJ36" s="204"/>
      <c r="GNK36" s="204"/>
      <c r="GNL36" s="204"/>
      <c r="GNM36" s="204"/>
      <c r="GNN36" s="204"/>
      <c r="GNO36" s="204"/>
      <c r="GNP36" s="204"/>
      <c r="GNQ36" s="204"/>
      <c r="GNR36" s="204"/>
      <c r="GNS36" s="204"/>
      <c r="GNT36" s="204"/>
      <c r="GNU36" s="204"/>
      <c r="GNV36" s="204"/>
      <c r="GNW36" s="204"/>
      <c r="GNX36" s="204"/>
      <c r="GNY36" s="204"/>
      <c r="GNZ36" s="204"/>
      <c r="GOA36" s="204"/>
      <c r="GOB36" s="204"/>
      <c r="GOC36" s="204"/>
      <c r="GOD36" s="204"/>
      <c r="GOE36" s="204"/>
      <c r="GOF36" s="204"/>
      <c r="GOG36" s="204"/>
      <c r="GOH36" s="204"/>
      <c r="GOI36" s="204"/>
      <c r="GOJ36" s="204"/>
      <c r="GOK36" s="204"/>
      <c r="GOL36" s="204"/>
      <c r="GOM36" s="204"/>
      <c r="GON36" s="204"/>
      <c r="GOO36" s="204"/>
      <c r="GOP36" s="204"/>
      <c r="GOQ36" s="204"/>
      <c r="GOR36" s="204"/>
      <c r="GOS36" s="204"/>
      <c r="GOT36" s="204"/>
      <c r="GOU36" s="204"/>
      <c r="GOV36" s="204"/>
      <c r="GOW36" s="204"/>
      <c r="GOX36" s="204"/>
      <c r="GOY36" s="204"/>
      <c r="GOZ36" s="204"/>
      <c r="GPA36" s="204"/>
      <c r="GPB36" s="204"/>
      <c r="GPC36" s="204"/>
      <c r="GPD36" s="204"/>
      <c r="GPE36" s="204"/>
      <c r="GPF36" s="204"/>
      <c r="GPG36" s="204"/>
      <c r="GPH36" s="204"/>
      <c r="GPI36" s="204"/>
      <c r="GPJ36" s="204"/>
      <c r="GPK36" s="204"/>
      <c r="GPL36" s="204"/>
      <c r="GPM36" s="204"/>
      <c r="GPN36" s="204"/>
      <c r="GPO36" s="204"/>
      <c r="GPP36" s="204"/>
      <c r="GPQ36" s="204"/>
      <c r="GPR36" s="204"/>
      <c r="GPS36" s="204"/>
      <c r="GPT36" s="204"/>
      <c r="GPU36" s="204"/>
      <c r="GPV36" s="204"/>
      <c r="GPW36" s="204"/>
      <c r="GPX36" s="204"/>
      <c r="GPY36" s="204"/>
      <c r="GPZ36" s="204"/>
      <c r="GQA36" s="204"/>
      <c r="GQB36" s="204"/>
      <c r="GQC36" s="204"/>
      <c r="GQD36" s="204"/>
      <c r="GQE36" s="204"/>
      <c r="GQF36" s="204"/>
      <c r="GQG36" s="204"/>
      <c r="GQH36" s="204"/>
      <c r="GQI36" s="204"/>
      <c r="GQJ36" s="204"/>
      <c r="GQK36" s="204"/>
      <c r="GQL36" s="204"/>
      <c r="GQM36" s="204"/>
      <c r="GQN36" s="204"/>
      <c r="GQO36" s="204"/>
      <c r="GQP36" s="204"/>
      <c r="GQQ36" s="204"/>
      <c r="GQR36" s="204"/>
      <c r="GQS36" s="204"/>
      <c r="GQT36" s="204"/>
      <c r="GQU36" s="204"/>
      <c r="GQV36" s="204"/>
      <c r="GQW36" s="204"/>
      <c r="GQX36" s="204"/>
      <c r="GQY36" s="204"/>
      <c r="GQZ36" s="204"/>
      <c r="GRA36" s="204"/>
      <c r="GRB36" s="204"/>
      <c r="GRC36" s="204"/>
      <c r="GRD36" s="204"/>
      <c r="GRE36" s="204"/>
      <c r="GRF36" s="204"/>
      <c r="GRG36" s="204"/>
      <c r="GRH36" s="204"/>
      <c r="GRI36" s="204"/>
      <c r="GRJ36" s="204"/>
      <c r="GRK36" s="204"/>
      <c r="GRL36" s="204"/>
      <c r="GRM36" s="204"/>
      <c r="GRN36" s="204"/>
      <c r="GRO36" s="204"/>
      <c r="GRP36" s="204"/>
      <c r="GRQ36" s="204"/>
      <c r="GRR36" s="204"/>
      <c r="GRS36" s="204"/>
      <c r="GRT36" s="204"/>
      <c r="GRU36" s="204"/>
      <c r="GRV36" s="204"/>
      <c r="GRW36" s="204"/>
      <c r="GRX36" s="204"/>
      <c r="GRY36" s="204"/>
      <c r="GRZ36" s="204"/>
      <c r="GSA36" s="204"/>
      <c r="GSB36" s="204"/>
      <c r="GSC36" s="204"/>
      <c r="GSD36" s="204"/>
      <c r="GSE36" s="204"/>
      <c r="GSF36" s="204"/>
      <c r="GSG36" s="204"/>
      <c r="GSH36" s="204"/>
      <c r="GSI36" s="204"/>
      <c r="GSJ36" s="204"/>
      <c r="GSK36" s="204"/>
      <c r="GSL36" s="204"/>
      <c r="GSM36" s="204"/>
      <c r="GSN36" s="204"/>
      <c r="GSO36" s="204"/>
      <c r="GSP36" s="204"/>
      <c r="GSQ36" s="204"/>
      <c r="GSR36" s="204"/>
      <c r="GSS36" s="204"/>
      <c r="GST36" s="204"/>
      <c r="GSU36" s="204"/>
      <c r="GSV36" s="204"/>
      <c r="GSW36" s="204"/>
      <c r="GSX36" s="204"/>
      <c r="GSY36" s="204"/>
      <c r="GSZ36" s="204"/>
      <c r="GTA36" s="204"/>
      <c r="GTB36" s="204"/>
      <c r="GTC36" s="204"/>
      <c r="GTD36" s="204"/>
      <c r="GTE36" s="204"/>
      <c r="GTF36" s="204"/>
      <c r="GTG36" s="204"/>
      <c r="GTH36" s="204"/>
      <c r="GTI36" s="204"/>
      <c r="GTJ36" s="204"/>
      <c r="GTK36" s="204"/>
      <c r="GTL36" s="204"/>
      <c r="GTM36" s="204"/>
      <c r="GTN36" s="204"/>
      <c r="GTO36" s="204"/>
      <c r="GTP36" s="204"/>
      <c r="GTQ36" s="204"/>
      <c r="GTR36" s="204"/>
      <c r="GTS36" s="204"/>
      <c r="GTT36" s="204"/>
      <c r="GTU36" s="204"/>
      <c r="GTV36" s="204"/>
      <c r="GTW36" s="204"/>
      <c r="GTX36" s="204"/>
      <c r="GTY36" s="204"/>
      <c r="GTZ36" s="204"/>
      <c r="GUA36" s="204"/>
      <c r="GUB36" s="204"/>
      <c r="GUC36" s="204"/>
      <c r="GUD36" s="204"/>
      <c r="GUE36" s="204"/>
      <c r="GUF36" s="204"/>
      <c r="GUG36" s="204"/>
      <c r="GUH36" s="204"/>
      <c r="GUI36" s="204"/>
      <c r="GUJ36" s="204"/>
      <c r="GUK36" s="204"/>
      <c r="GUL36" s="204"/>
      <c r="GUM36" s="204"/>
      <c r="GUN36" s="204"/>
      <c r="GUO36" s="204"/>
      <c r="GUP36" s="204"/>
      <c r="GUQ36" s="204"/>
      <c r="GUR36" s="204"/>
      <c r="GUS36" s="204"/>
      <c r="GUT36" s="204"/>
      <c r="GUU36" s="204"/>
      <c r="GUV36" s="204"/>
      <c r="GUW36" s="204"/>
      <c r="GUX36" s="204"/>
      <c r="GUY36" s="204"/>
      <c r="GUZ36" s="204"/>
      <c r="GVA36" s="204"/>
      <c r="GVB36" s="204"/>
      <c r="GVC36" s="204"/>
      <c r="GVD36" s="204"/>
      <c r="GVE36" s="204"/>
      <c r="GVF36" s="204"/>
      <c r="GVG36" s="204"/>
      <c r="GVH36" s="204"/>
      <c r="GVI36" s="204"/>
      <c r="GVJ36" s="204"/>
      <c r="GVK36" s="204"/>
      <c r="GVL36" s="204"/>
      <c r="GVM36" s="204"/>
      <c r="GVN36" s="204"/>
      <c r="GVO36" s="204"/>
      <c r="GVP36" s="204"/>
      <c r="GVQ36" s="204"/>
      <c r="GVR36" s="204"/>
      <c r="GVS36" s="204"/>
      <c r="GVT36" s="204"/>
      <c r="GVU36" s="204"/>
      <c r="GVV36" s="204"/>
      <c r="GVW36" s="204"/>
      <c r="GVX36" s="204"/>
      <c r="GVY36" s="204"/>
      <c r="GVZ36" s="204"/>
      <c r="GWA36" s="204"/>
      <c r="GWB36" s="204"/>
      <c r="GWC36" s="204"/>
      <c r="GWD36" s="204"/>
      <c r="GWE36" s="204"/>
      <c r="GWF36" s="204"/>
      <c r="GWG36" s="204"/>
      <c r="GWH36" s="204"/>
      <c r="GWI36" s="204"/>
      <c r="GWJ36" s="204"/>
      <c r="GWK36" s="204"/>
      <c r="GWL36" s="204"/>
      <c r="GWM36" s="204"/>
      <c r="GWN36" s="204"/>
      <c r="GWO36" s="204"/>
      <c r="GWP36" s="204"/>
      <c r="GWQ36" s="204"/>
      <c r="GWR36" s="204"/>
      <c r="GWS36" s="204"/>
      <c r="GWT36" s="204"/>
      <c r="GWU36" s="204"/>
      <c r="GWV36" s="204"/>
      <c r="GWW36" s="204"/>
      <c r="GWX36" s="204"/>
      <c r="GWY36" s="204"/>
      <c r="GWZ36" s="204"/>
      <c r="GXA36" s="204"/>
      <c r="GXB36" s="204"/>
      <c r="GXC36" s="204"/>
      <c r="GXD36" s="204"/>
      <c r="GXE36" s="204"/>
      <c r="GXF36" s="204"/>
      <c r="GXG36" s="204"/>
      <c r="GXH36" s="204"/>
      <c r="GXI36" s="204"/>
      <c r="GXJ36" s="204"/>
      <c r="GXK36" s="204"/>
      <c r="GXL36" s="204"/>
      <c r="GXM36" s="204"/>
      <c r="GXN36" s="204"/>
      <c r="GXO36" s="204"/>
      <c r="GXP36" s="204"/>
      <c r="GXQ36" s="204"/>
      <c r="GXR36" s="204"/>
      <c r="GXS36" s="204"/>
      <c r="GXT36" s="204"/>
      <c r="GXU36" s="204"/>
      <c r="GXV36" s="204"/>
      <c r="GXW36" s="204"/>
      <c r="GXX36" s="204"/>
      <c r="GXY36" s="204"/>
      <c r="GXZ36" s="204"/>
      <c r="GYA36" s="204"/>
      <c r="GYB36" s="204"/>
      <c r="GYC36" s="204"/>
      <c r="GYD36" s="204"/>
      <c r="GYE36" s="204"/>
      <c r="GYF36" s="204"/>
      <c r="GYG36" s="204"/>
      <c r="GYH36" s="204"/>
      <c r="GYI36" s="204"/>
      <c r="GYJ36" s="204"/>
      <c r="GYK36" s="204"/>
      <c r="GYL36" s="204"/>
      <c r="GYM36" s="204"/>
      <c r="GYN36" s="204"/>
      <c r="GYO36" s="204"/>
      <c r="GYP36" s="204"/>
      <c r="GYQ36" s="204"/>
      <c r="GYR36" s="204"/>
      <c r="GYS36" s="204"/>
      <c r="GYT36" s="204"/>
      <c r="GYU36" s="204"/>
      <c r="GYV36" s="204"/>
      <c r="GYW36" s="204"/>
      <c r="GYX36" s="204"/>
      <c r="GYY36" s="204"/>
      <c r="GYZ36" s="204"/>
      <c r="GZA36" s="204"/>
      <c r="GZB36" s="204"/>
      <c r="GZC36" s="204"/>
      <c r="GZD36" s="204"/>
      <c r="GZE36" s="204"/>
      <c r="GZF36" s="204"/>
      <c r="GZG36" s="204"/>
      <c r="GZH36" s="204"/>
      <c r="GZI36" s="204"/>
      <c r="GZJ36" s="204"/>
      <c r="GZK36" s="204"/>
      <c r="GZL36" s="204"/>
      <c r="GZM36" s="204"/>
      <c r="GZN36" s="204"/>
      <c r="GZO36" s="204"/>
      <c r="GZP36" s="204"/>
      <c r="GZQ36" s="204"/>
      <c r="GZR36" s="204"/>
      <c r="GZS36" s="204"/>
      <c r="GZT36" s="204"/>
      <c r="GZU36" s="204"/>
      <c r="GZV36" s="204"/>
      <c r="GZW36" s="204"/>
      <c r="GZX36" s="204"/>
      <c r="GZY36" s="204"/>
      <c r="GZZ36" s="204"/>
      <c r="HAA36" s="204"/>
      <c r="HAB36" s="204"/>
      <c r="HAC36" s="204"/>
      <c r="HAD36" s="204"/>
      <c r="HAE36" s="204"/>
      <c r="HAF36" s="204"/>
      <c r="HAG36" s="204"/>
      <c r="HAH36" s="204"/>
      <c r="HAI36" s="204"/>
      <c r="HAJ36" s="204"/>
      <c r="HAK36" s="204"/>
      <c r="HAL36" s="204"/>
      <c r="HAM36" s="204"/>
      <c r="HAN36" s="204"/>
      <c r="HAO36" s="204"/>
      <c r="HAP36" s="204"/>
      <c r="HAQ36" s="204"/>
      <c r="HAR36" s="204"/>
      <c r="HAS36" s="204"/>
      <c r="HAT36" s="204"/>
      <c r="HAU36" s="204"/>
      <c r="HAV36" s="204"/>
      <c r="HAW36" s="204"/>
      <c r="HAX36" s="204"/>
      <c r="HAY36" s="204"/>
      <c r="HAZ36" s="204"/>
      <c r="HBA36" s="204"/>
      <c r="HBB36" s="204"/>
      <c r="HBC36" s="204"/>
      <c r="HBD36" s="204"/>
      <c r="HBE36" s="204"/>
      <c r="HBF36" s="204"/>
      <c r="HBG36" s="204"/>
      <c r="HBH36" s="204"/>
      <c r="HBI36" s="204"/>
      <c r="HBJ36" s="204"/>
      <c r="HBK36" s="204"/>
      <c r="HBL36" s="204"/>
      <c r="HBM36" s="204"/>
      <c r="HBN36" s="204"/>
      <c r="HBO36" s="204"/>
      <c r="HBP36" s="204"/>
      <c r="HBQ36" s="204"/>
      <c r="HBR36" s="204"/>
      <c r="HBS36" s="204"/>
      <c r="HBT36" s="204"/>
      <c r="HBU36" s="204"/>
      <c r="HBV36" s="204"/>
      <c r="HBW36" s="204"/>
      <c r="HBX36" s="204"/>
      <c r="HBY36" s="204"/>
      <c r="HBZ36" s="204"/>
      <c r="HCA36" s="204"/>
      <c r="HCB36" s="204"/>
      <c r="HCC36" s="204"/>
      <c r="HCD36" s="204"/>
      <c r="HCE36" s="204"/>
      <c r="HCF36" s="204"/>
      <c r="HCG36" s="204"/>
      <c r="HCH36" s="204"/>
      <c r="HCI36" s="204"/>
      <c r="HCJ36" s="204"/>
      <c r="HCK36" s="204"/>
      <c r="HCL36" s="204"/>
      <c r="HCM36" s="204"/>
      <c r="HCN36" s="204"/>
      <c r="HCO36" s="204"/>
      <c r="HCP36" s="204"/>
      <c r="HCQ36" s="204"/>
      <c r="HCR36" s="204"/>
      <c r="HCS36" s="204"/>
      <c r="HCT36" s="204"/>
      <c r="HCU36" s="204"/>
      <c r="HCV36" s="204"/>
      <c r="HCW36" s="204"/>
      <c r="HCX36" s="204"/>
      <c r="HCY36" s="204"/>
      <c r="HCZ36" s="204"/>
      <c r="HDA36" s="204"/>
      <c r="HDB36" s="204"/>
      <c r="HDC36" s="204"/>
      <c r="HDD36" s="204"/>
      <c r="HDE36" s="204"/>
      <c r="HDF36" s="204"/>
      <c r="HDG36" s="204"/>
      <c r="HDH36" s="204"/>
      <c r="HDI36" s="204"/>
      <c r="HDJ36" s="204"/>
      <c r="HDK36" s="204"/>
      <c r="HDL36" s="204"/>
      <c r="HDM36" s="204"/>
      <c r="HDN36" s="204"/>
      <c r="HDO36" s="204"/>
      <c r="HDP36" s="204"/>
      <c r="HDQ36" s="204"/>
      <c r="HDR36" s="204"/>
      <c r="HDS36" s="204"/>
      <c r="HDT36" s="204"/>
      <c r="HDU36" s="204"/>
      <c r="HDV36" s="204"/>
      <c r="HDW36" s="204"/>
      <c r="HDX36" s="204"/>
      <c r="HDY36" s="204"/>
      <c r="HDZ36" s="204"/>
      <c r="HEA36" s="204"/>
      <c r="HEB36" s="204"/>
      <c r="HEC36" s="204"/>
      <c r="HED36" s="204"/>
      <c r="HEE36" s="204"/>
      <c r="HEF36" s="204"/>
      <c r="HEG36" s="204"/>
      <c r="HEH36" s="204"/>
      <c r="HEI36" s="204"/>
      <c r="HEJ36" s="204"/>
      <c r="HEK36" s="204"/>
      <c r="HEL36" s="204"/>
      <c r="HEM36" s="204"/>
      <c r="HEN36" s="204"/>
      <c r="HEO36" s="204"/>
      <c r="HEP36" s="204"/>
      <c r="HEQ36" s="204"/>
      <c r="HER36" s="204"/>
      <c r="HES36" s="204"/>
      <c r="HET36" s="204"/>
      <c r="HEU36" s="204"/>
      <c r="HEV36" s="204"/>
      <c r="HEW36" s="204"/>
      <c r="HEX36" s="204"/>
      <c r="HEY36" s="204"/>
      <c r="HEZ36" s="204"/>
      <c r="HFA36" s="204"/>
      <c r="HFB36" s="204"/>
      <c r="HFC36" s="204"/>
      <c r="HFD36" s="204"/>
      <c r="HFE36" s="204"/>
      <c r="HFF36" s="204"/>
      <c r="HFG36" s="204"/>
      <c r="HFH36" s="204"/>
      <c r="HFI36" s="204"/>
      <c r="HFJ36" s="204"/>
      <c r="HFK36" s="204"/>
      <c r="HFL36" s="204"/>
      <c r="HFM36" s="204"/>
      <c r="HFN36" s="204"/>
      <c r="HFO36" s="204"/>
      <c r="HFP36" s="204"/>
      <c r="HFQ36" s="204"/>
      <c r="HFR36" s="204"/>
      <c r="HFS36" s="204"/>
      <c r="HFT36" s="204"/>
      <c r="HFU36" s="204"/>
      <c r="HFV36" s="204"/>
      <c r="HFW36" s="204"/>
      <c r="HFX36" s="204"/>
      <c r="HFY36" s="204"/>
      <c r="HFZ36" s="204"/>
      <c r="HGA36" s="204"/>
      <c r="HGB36" s="204"/>
      <c r="HGC36" s="204"/>
      <c r="HGD36" s="204"/>
      <c r="HGE36" s="204"/>
      <c r="HGF36" s="204"/>
      <c r="HGG36" s="204"/>
      <c r="HGH36" s="204"/>
      <c r="HGI36" s="204"/>
      <c r="HGJ36" s="204"/>
      <c r="HGK36" s="204"/>
      <c r="HGL36" s="204"/>
      <c r="HGM36" s="204"/>
      <c r="HGN36" s="204"/>
      <c r="HGO36" s="204"/>
      <c r="HGP36" s="204"/>
      <c r="HGQ36" s="204"/>
      <c r="HGR36" s="204"/>
      <c r="HGS36" s="204"/>
      <c r="HGT36" s="204"/>
      <c r="HGU36" s="204"/>
      <c r="HGV36" s="204"/>
      <c r="HGW36" s="204"/>
      <c r="HGX36" s="204"/>
      <c r="HGY36" s="204"/>
      <c r="HGZ36" s="204"/>
      <c r="HHA36" s="204"/>
      <c r="HHB36" s="204"/>
      <c r="HHC36" s="204"/>
      <c r="HHD36" s="204"/>
      <c r="HHE36" s="204"/>
      <c r="HHF36" s="204"/>
      <c r="HHG36" s="204"/>
      <c r="HHH36" s="204"/>
      <c r="HHI36" s="204"/>
      <c r="HHJ36" s="204"/>
      <c r="HHK36" s="204"/>
      <c r="HHL36" s="204"/>
      <c r="HHM36" s="204"/>
      <c r="HHN36" s="204"/>
      <c r="HHO36" s="204"/>
      <c r="HHP36" s="204"/>
      <c r="HHQ36" s="204"/>
      <c r="HHR36" s="204"/>
      <c r="HHS36" s="204"/>
      <c r="HHT36" s="204"/>
      <c r="HHU36" s="204"/>
      <c r="HHV36" s="204"/>
      <c r="HHW36" s="204"/>
      <c r="HHX36" s="204"/>
      <c r="HHY36" s="204"/>
      <c r="HHZ36" s="204"/>
      <c r="HIA36" s="204"/>
      <c r="HIB36" s="204"/>
      <c r="HIC36" s="204"/>
      <c r="HID36" s="204"/>
      <c r="HIE36" s="204"/>
      <c r="HIF36" s="204"/>
      <c r="HIG36" s="204"/>
      <c r="HIH36" s="204"/>
      <c r="HII36" s="204"/>
      <c r="HIJ36" s="204"/>
      <c r="HIK36" s="204"/>
      <c r="HIL36" s="204"/>
      <c r="HIM36" s="204"/>
      <c r="HIN36" s="204"/>
      <c r="HIO36" s="204"/>
      <c r="HIP36" s="204"/>
      <c r="HIQ36" s="204"/>
      <c r="HIR36" s="204"/>
      <c r="HIS36" s="204"/>
      <c r="HIT36" s="204"/>
      <c r="HIU36" s="204"/>
      <c r="HIV36" s="204"/>
      <c r="HIW36" s="204"/>
      <c r="HIX36" s="204"/>
      <c r="HIY36" s="204"/>
      <c r="HIZ36" s="204"/>
      <c r="HJA36" s="204"/>
      <c r="HJB36" s="204"/>
      <c r="HJC36" s="204"/>
      <c r="HJD36" s="204"/>
      <c r="HJE36" s="204"/>
      <c r="HJF36" s="204"/>
      <c r="HJG36" s="204"/>
      <c r="HJH36" s="204"/>
      <c r="HJI36" s="204"/>
      <c r="HJJ36" s="204"/>
      <c r="HJK36" s="204"/>
      <c r="HJL36" s="204"/>
      <c r="HJM36" s="204"/>
      <c r="HJN36" s="204"/>
      <c r="HJO36" s="204"/>
      <c r="HJP36" s="204"/>
      <c r="HJQ36" s="204"/>
      <c r="HJR36" s="204"/>
      <c r="HJS36" s="204"/>
      <c r="HJT36" s="204"/>
      <c r="HJU36" s="204"/>
      <c r="HJV36" s="204"/>
      <c r="HJW36" s="204"/>
      <c r="HJX36" s="204"/>
      <c r="HJY36" s="204"/>
      <c r="HJZ36" s="204"/>
      <c r="HKA36" s="204"/>
      <c r="HKB36" s="204"/>
      <c r="HKC36" s="204"/>
      <c r="HKD36" s="204"/>
      <c r="HKE36" s="204"/>
      <c r="HKF36" s="204"/>
      <c r="HKG36" s="204"/>
      <c r="HKH36" s="204"/>
      <c r="HKI36" s="204"/>
      <c r="HKJ36" s="204"/>
      <c r="HKK36" s="204"/>
      <c r="HKL36" s="204"/>
      <c r="HKM36" s="204"/>
      <c r="HKN36" s="204"/>
      <c r="HKO36" s="204"/>
      <c r="HKP36" s="204"/>
      <c r="HKQ36" s="204"/>
      <c r="HKR36" s="204"/>
      <c r="HKS36" s="204"/>
      <c r="HKT36" s="204"/>
      <c r="HKU36" s="204"/>
      <c r="HKV36" s="204"/>
      <c r="HKW36" s="204"/>
      <c r="HKX36" s="204"/>
      <c r="HKY36" s="204"/>
      <c r="HKZ36" s="204"/>
      <c r="HLA36" s="204"/>
      <c r="HLB36" s="204"/>
      <c r="HLC36" s="204"/>
      <c r="HLD36" s="204"/>
      <c r="HLE36" s="204"/>
      <c r="HLF36" s="204"/>
      <c r="HLG36" s="204"/>
      <c r="HLH36" s="204"/>
      <c r="HLI36" s="204"/>
      <c r="HLJ36" s="204"/>
      <c r="HLK36" s="204"/>
      <c r="HLL36" s="204"/>
      <c r="HLM36" s="204"/>
      <c r="HLN36" s="204"/>
      <c r="HLO36" s="204"/>
      <c r="HLP36" s="204"/>
      <c r="HLQ36" s="204"/>
      <c r="HLR36" s="204"/>
      <c r="HLS36" s="204"/>
      <c r="HLT36" s="204"/>
      <c r="HLU36" s="204"/>
      <c r="HLV36" s="204"/>
      <c r="HLW36" s="204"/>
      <c r="HLX36" s="204"/>
      <c r="HLY36" s="204"/>
      <c r="HLZ36" s="204"/>
      <c r="HMA36" s="204"/>
      <c r="HMB36" s="204"/>
      <c r="HMC36" s="204"/>
      <c r="HMD36" s="204"/>
      <c r="HME36" s="204"/>
      <c r="HMF36" s="204"/>
      <c r="HMG36" s="204"/>
      <c r="HMH36" s="204"/>
      <c r="HMI36" s="204"/>
      <c r="HMJ36" s="204"/>
      <c r="HMK36" s="204"/>
      <c r="HML36" s="204"/>
      <c r="HMM36" s="204"/>
      <c r="HMN36" s="204"/>
      <c r="HMO36" s="204"/>
      <c r="HMP36" s="204"/>
      <c r="HMQ36" s="204"/>
      <c r="HMR36" s="204"/>
      <c r="HMS36" s="204"/>
      <c r="HMT36" s="204"/>
      <c r="HMU36" s="204"/>
      <c r="HMV36" s="204"/>
      <c r="HMW36" s="204"/>
      <c r="HMX36" s="204"/>
      <c r="HMY36" s="204"/>
      <c r="HMZ36" s="204"/>
      <c r="HNA36" s="204"/>
      <c r="HNB36" s="204"/>
      <c r="HNC36" s="204"/>
      <c r="HND36" s="204"/>
      <c r="HNE36" s="204"/>
      <c r="HNF36" s="204"/>
      <c r="HNG36" s="204"/>
      <c r="HNH36" s="204"/>
      <c r="HNI36" s="204"/>
      <c r="HNJ36" s="204"/>
      <c r="HNK36" s="204"/>
      <c r="HNL36" s="204"/>
      <c r="HNM36" s="204"/>
      <c r="HNN36" s="204"/>
      <c r="HNO36" s="204"/>
      <c r="HNP36" s="204"/>
      <c r="HNQ36" s="204"/>
      <c r="HNR36" s="204"/>
      <c r="HNS36" s="204"/>
      <c r="HNT36" s="204"/>
      <c r="HNU36" s="204"/>
      <c r="HNV36" s="204"/>
      <c r="HNW36" s="204"/>
      <c r="HNX36" s="204"/>
      <c r="HNY36" s="204"/>
      <c r="HNZ36" s="204"/>
      <c r="HOA36" s="204"/>
      <c r="HOB36" s="204"/>
      <c r="HOC36" s="204"/>
      <c r="HOD36" s="204"/>
      <c r="HOE36" s="204"/>
      <c r="HOF36" s="204"/>
      <c r="HOG36" s="204"/>
      <c r="HOH36" s="204"/>
      <c r="HOI36" s="204"/>
      <c r="HOJ36" s="204"/>
      <c r="HOK36" s="204"/>
      <c r="HOL36" s="204"/>
      <c r="HOM36" s="204"/>
      <c r="HON36" s="204"/>
      <c r="HOO36" s="204"/>
      <c r="HOP36" s="204"/>
      <c r="HOQ36" s="204"/>
      <c r="HOR36" s="204"/>
      <c r="HOS36" s="204"/>
      <c r="HOT36" s="204"/>
      <c r="HOU36" s="204"/>
      <c r="HOV36" s="204"/>
      <c r="HOW36" s="204"/>
      <c r="HOX36" s="204"/>
      <c r="HOY36" s="204"/>
      <c r="HOZ36" s="204"/>
      <c r="HPA36" s="204"/>
      <c r="HPB36" s="204"/>
      <c r="HPC36" s="204"/>
      <c r="HPD36" s="204"/>
      <c r="HPE36" s="204"/>
      <c r="HPF36" s="204"/>
      <c r="HPG36" s="204"/>
      <c r="HPH36" s="204"/>
      <c r="HPI36" s="204"/>
      <c r="HPJ36" s="204"/>
      <c r="HPK36" s="204"/>
      <c r="HPL36" s="204"/>
      <c r="HPM36" s="204"/>
      <c r="HPN36" s="204"/>
      <c r="HPO36" s="204"/>
      <c r="HPP36" s="204"/>
      <c r="HPQ36" s="204"/>
      <c r="HPR36" s="204"/>
      <c r="HPS36" s="204"/>
      <c r="HPT36" s="204"/>
      <c r="HPU36" s="204"/>
      <c r="HPV36" s="204"/>
      <c r="HPW36" s="204"/>
      <c r="HPX36" s="204"/>
      <c r="HPY36" s="204"/>
      <c r="HPZ36" s="204"/>
      <c r="HQA36" s="204"/>
      <c r="HQB36" s="204"/>
      <c r="HQC36" s="204"/>
      <c r="HQD36" s="204"/>
      <c r="HQE36" s="204"/>
      <c r="HQF36" s="204"/>
      <c r="HQG36" s="204"/>
      <c r="HQH36" s="204"/>
      <c r="HQI36" s="204"/>
      <c r="HQJ36" s="204"/>
      <c r="HQK36" s="204"/>
      <c r="HQL36" s="204"/>
      <c r="HQM36" s="204"/>
      <c r="HQN36" s="204"/>
      <c r="HQO36" s="204"/>
      <c r="HQP36" s="204"/>
      <c r="HQQ36" s="204"/>
      <c r="HQR36" s="204"/>
      <c r="HQS36" s="204"/>
      <c r="HQT36" s="204"/>
      <c r="HQU36" s="204"/>
      <c r="HQV36" s="204"/>
      <c r="HQW36" s="204"/>
      <c r="HQX36" s="204"/>
      <c r="HQY36" s="204"/>
      <c r="HQZ36" s="204"/>
      <c r="HRA36" s="204"/>
      <c r="HRB36" s="204"/>
      <c r="HRC36" s="204"/>
      <c r="HRD36" s="204"/>
      <c r="HRE36" s="204"/>
      <c r="HRF36" s="204"/>
      <c r="HRG36" s="204"/>
      <c r="HRH36" s="204"/>
      <c r="HRI36" s="204"/>
      <c r="HRJ36" s="204"/>
      <c r="HRK36" s="204"/>
      <c r="HRL36" s="204"/>
      <c r="HRM36" s="204"/>
      <c r="HRN36" s="204"/>
      <c r="HRO36" s="204"/>
      <c r="HRP36" s="204"/>
      <c r="HRQ36" s="204"/>
      <c r="HRR36" s="204"/>
      <c r="HRS36" s="204"/>
      <c r="HRT36" s="204"/>
      <c r="HRU36" s="204"/>
      <c r="HRV36" s="204"/>
      <c r="HRW36" s="204"/>
      <c r="HRX36" s="204"/>
      <c r="HRY36" s="204"/>
      <c r="HRZ36" s="204"/>
      <c r="HSA36" s="204"/>
      <c r="HSB36" s="204"/>
      <c r="HSC36" s="204"/>
      <c r="HSD36" s="204"/>
      <c r="HSE36" s="204"/>
      <c r="HSF36" s="204"/>
      <c r="HSG36" s="204"/>
      <c r="HSH36" s="204"/>
      <c r="HSI36" s="204"/>
      <c r="HSJ36" s="204"/>
      <c r="HSK36" s="204"/>
      <c r="HSL36" s="204"/>
      <c r="HSM36" s="204"/>
      <c r="HSN36" s="204"/>
      <c r="HSO36" s="204"/>
      <c r="HSP36" s="204"/>
      <c r="HSQ36" s="204"/>
      <c r="HSR36" s="204"/>
      <c r="HSS36" s="204"/>
      <c r="HST36" s="204"/>
      <c r="HSU36" s="204"/>
      <c r="HSV36" s="204"/>
      <c r="HSW36" s="204"/>
      <c r="HSX36" s="204"/>
      <c r="HSY36" s="204"/>
      <c r="HSZ36" s="204"/>
      <c r="HTA36" s="204"/>
      <c r="HTB36" s="204"/>
      <c r="HTC36" s="204"/>
      <c r="HTD36" s="204"/>
      <c r="HTE36" s="204"/>
      <c r="HTF36" s="204"/>
      <c r="HTG36" s="204"/>
      <c r="HTH36" s="204"/>
      <c r="HTI36" s="204"/>
      <c r="HTJ36" s="204"/>
      <c r="HTK36" s="204"/>
      <c r="HTL36" s="204"/>
      <c r="HTM36" s="204"/>
      <c r="HTN36" s="204"/>
      <c r="HTO36" s="204"/>
      <c r="HTP36" s="204"/>
      <c r="HTQ36" s="204"/>
      <c r="HTR36" s="204"/>
      <c r="HTS36" s="204"/>
      <c r="HTT36" s="204"/>
      <c r="HTU36" s="204"/>
      <c r="HTV36" s="204"/>
      <c r="HTW36" s="204"/>
      <c r="HTX36" s="204"/>
      <c r="HTY36" s="204"/>
      <c r="HTZ36" s="204"/>
      <c r="HUA36" s="204"/>
      <c r="HUB36" s="204"/>
      <c r="HUC36" s="204"/>
      <c r="HUD36" s="204"/>
      <c r="HUE36" s="204"/>
      <c r="HUF36" s="204"/>
      <c r="HUG36" s="204"/>
      <c r="HUH36" s="204"/>
      <c r="HUI36" s="204"/>
      <c r="HUJ36" s="204"/>
      <c r="HUK36" s="204"/>
      <c r="HUL36" s="204"/>
      <c r="HUM36" s="204"/>
      <c r="HUN36" s="204"/>
      <c r="HUO36" s="204"/>
      <c r="HUP36" s="204"/>
      <c r="HUQ36" s="204"/>
      <c r="HUR36" s="204"/>
      <c r="HUS36" s="204"/>
      <c r="HUT36" s="204"/>
      <c r="HUU36" s="204"/>
      <c r="HUV36" s="204"/>
      <c r="HUW36" s="204"/>
      <c r="HUX36" s="204"/>
      <c r="HUY36" s="204"/>
      <c r="HUZ36" s="204"/>
      <c r="HVA36" s="204"/>
      <c r="HVB36" s="204"/>
      <c r="HVC36" s="204"/>
      <c r="HVD36" s="204"/>
      <c r="HVE36" s="204"/>
      <c r="HVF36" s="204"/>
      <c r="HVG36" s="204"/>
      <c r="HVH36" s="204"/>
      <c r="HVI36" s="204"/>
      <c r="HVJ36" s="204"/>
      <c r="HVK36" s="204"/>
      <c r="HVL36" s="204"/>
      <c r="HVM36" s="204"/>
      <c r="HVN36" s="204"/>
      <c r="HVO36" s="204"/>
      <c r="HVP36" s="204"/>
      <c r="HVQ36" s="204"/>
      <c r="HVR36" s="204"/>
      <c r="HVS36" s="204"/>
      <c r="HVT36" s="204"/>
      <c r="HVU36" s="204"/>
      <c r="HVV36" s="204"/>
      <c r="HVW36" s="204"/>
      <c r="HVX36" s="204"/>
      <c r="HVY36" s="204"/>
      <c r="HVZ36" s="204"/>
      <c r="HWA36" s="204"/>
      <c r="HWB36" s="204"/>
      <c r="HWC36" s="204"/>
      <c r="HWD36" s="204"/>
      <c r="HWE36" s="204"/>
      <c r="HWF36" s="204"/>
      <c r="HWG36" s="204"/>
      <c r="HWH36" s="204"/>
      <c r="HWI36" s="204"/>
      <c r="HWJ36" s="204"/>
      <c r="HWK36" s="204"/>
      <c r="HWL36" s="204"/>
      <c r="HWM36" s="204"/>
      <c r="HWN36" s="204"/>
      <c r="HWO36" s="204"/>
      <c r="HWP36" s="204"/>
      <c r="HWQ36" s="204"/>
      <c r="HWR36" s="204"/>
      <c r="HWS36" s="204"/>
      <c r="HWT36" s="204"/>
      <c r="HWU36" s="204"/>
      <c r="HWV36" s="204"/>
      <c r="HWW36" s="204"/>
      <c r="HWX36" s="204"/>
      <c r="HWY36" s="204"/>
      <c r="HWZ36" s="204"/>
      <c r="HXA36" s="204"/>
      <c r="HXB36" s="204"/>
      <c r="HXC36" s="204"/>
      <c r="HXD36" s="204"/>
      <c r="HXE36" s="204"/>
      <c r="HXF36" s="204"/>
      <c r="HXG36" s="204"/>
      <c r="HXH36" s="204"/>
      <c r="HXI36" s="204"/>
      <c r="HXJ36" s="204"/>
      <c r="HXK36" s="204"/>
      <c r="HXL36" s="204"/>
      <c r="HXM36" s="204"/>
      <c r="HXN36" s="204"/>
      <c r="HXO36" s="204"/>
      <c r="HXP36" s="204"/>
      <c r="HXQ36" s="204"/>
      <c r="HXR36" s="204"/>
      <c r="HXS36" s="204"/>
      <c r="HXT36" s="204"/>
      <c r="HXU36" s="204"/>
      <c r="HXV36" s="204"/>
      <c r="HXW36" s="204"/>
      <c r="HXX36" s="204"/>
      <c r="HXY36" s="204"/>
      <c r="HXZ36" s="204"/>
      <c r="HYA36" s="204"/>
      <c r="HYB36" s="204"/>
      <c r="HYC36" s="204"/>
      <c r="HYD36" s="204"/>
      <c r="HYE36" s="204"/>
      <c r="HYF36" s="204"/>
      <c r="HYG36" s="204"/>
      <c r="HYH36" s="204"/>
      <c r="HYI36" s="204"/>
      <c r="HYJ36" s="204"/>
      <c r="HYK36" s="204"/>
      <c r="HYL36" s="204"/>
      <c r="HYM36" s="204"/>
      <c r="HYN36" s="204"/>
      <c r="HYO36" s="204"/>
      <c r="HYP36" s="204"/>
      <c r="HYQ36" s="204"/>
      <c r="HYR36" s="204"/>
      <c r="HYS36" s="204"/>
      <c r="HYT36" s="204"/>
      <c r="HYU36" s="204"/>
      <c r="HYV36" s="204"/>
      <c r="HYW36" s="204"/>
      <c r="HYX36" s="204"/>
      <c r="HYY36" s="204"/>
      <c r="HYZ36" s="204"/>
      <c r="HZA36" s="204"/>
      <c r="HZB36" s="204"/>
      <c r="HZC36" s="204"/>
      <c r="HZD36" s="204"/>
      <c r="HZE36" s="204"/>
      <c r="HZF36" s="204"/>
      <c r="HZG36" s="204"/>
      <c r="HZH36" s="204"/>
      <c r="HZI36" s="204"/>
      <c r="HZJ36" s="204"/>
      <c r="HZK36" s="204"/>
      <c r="HZL36" s="204"/>
      <c r="HZM36" s="204"/>
      <c r="HZN36" s="204"/>
      <c r="HZO36" s="204"/>
      <c r="HZP36" s="204"/>
      <c r="HZQ36" s="204"/>
      <c r="HZR36" s="204"/>
      <c r="HZS36" s="204"/>
      <c r="HZT36" s="204"/>
      <c r="HZU36" s="204"/>
      <c r="HZV36" s="204"/>
      <c r="HZW36" s="204"/>
      <c r="HZX36" s="204"/>
      <c r="HZY36" s="204"/>
      <c r="HZZ36" s="204"/>
      <c r="IAA36" s="204"/>
      <c r="IAB36" s="204"/>
      <c r="IAC36" s="204"/>
      <c r="IAD36" s="204"/>
      <c r="IAE36" s="204"/>
      <c r="IAF36" s="204"/>
      <c r="IAG36" s="204"/>
      <c r="IAH36" s="204"/>
      <c r="IAI36" s="204"/>
      <c r="IAJ36" s="204"/>
      <c r="IAK36" s="204"/>
      <c r="IAL36" s="204"/>
      <c r="IAM36" s="204"/>
      <c r="IAN36" s="204"/>
      <c r="IAO36" s="204"/>
      <c r="IAP36" s="204"/>
      <c r="IAQ36" s="204"/>
      <c r="IAR36" s="204"/>
      <c r="IAS36" s="204"/>
      <c r="IAT36" s="204"/>
      <c r="IAU36" s="204"/>
      <c r="IAV36" s="204"/>
      <c r="IAW36" s="204"/>
      <c r="IAX36" s="204"/>
      <c r="IAY36" s="204"/>
      <c r="IAZ36" s="204"/>
      <c r="IBA36" s="204"/>
      <c r="IBB36" s="204"/>
      <c r="IBC36" s="204"/>
      <c r="IBD36" s="204"/>
      <c r="IBE36" s="204"/>
      <c r="IBF36" s="204"/>
      <c r="IBG36" s="204"/>
      <c r="IBH36" s="204"/>
      <c r="IBI36" s="204"/>
      <c r="IBJ36" s="204"/>
      <c r="IBK36" s="204"/>
      <c r="IBL36" s="204"/>
      <c r="IBM36" s="204"/>
      <c r="IBN36" s="204"/>
      <c r="IBO36" s="204"/>
      <c r="IBP36" s="204"/>
      <c r="IBQ36" s="204"/>
      <c r="IBR36" s="204"/>
      <c r="IBS36" s="204"/>
      <c r="IBT36" s="204"/>
      <c r="IBU36" s="204"/>
      <c r="IBV36" s="204"/>
      <c r="IBW36" s="204"/>
      <c r="IBX36" s="204"/>
      <c r="IBY36" s="204"/>
      <c r="IBZ36" s="204"/>
      <c r="ICA36" s="204"/>
      <c r="ICB36" s="204"/>
      <c r="ICC36" s="204"/>
      <c r="ICD36" s="204"/>
      <c r="ICE36" s="204"/>
      <c r="ICF36" s="204"/>
      <c r="ICG36" s="204"/>
      <c r="ICH36" s="204"/>
      <c r="ICI36" s="204"/>
      <c r="ICJ36" s="204"/>
      <c r="ICK36" s="204"/>
      <c r="ICL36" s="204"/>
      <c r="ICM36" s="204"/>
      <c r="ICN36" s="204"/>
      <c r="ICO36" s="204"/>
      <c r="ICP36" s="204"/>
      <c r="ICQ36" s="204"/>
      <c r="ICR36" s="204"/>
      <c r="ICS36" s="204"/>
      <c r="ICT36" s="204"/>
      <c r="ICU36" s="204"/>
      <c r="ICV36" s="204"/>
      <c r="ICW36" s="204"/>
      <c r="ICX36" s="204"/>
      <c r="ICY36" s="204"/>
      <c r="ICZ36" s="204"/>
      <c r="IDA36" s="204"/>
      <c r="IDB36" s="204"/>
      <c r="IDC36" s="204"/>
      <c r="IDD36" s="204"/>
      <c r="IDE36" s="204"/>
      <c r="IDF36" s="204"/>
      <c r="IDG36" s="204"/>
      <c r="IDH36" s="204"/>
      <c r="IDI36" s="204"/>
      <c r="IDJ36" s="204"/>
      <c r="IDK36" s="204"/>
      <c r="IDL36" s="204"/>
      <c r="IDM36" s="204"/>
      <c r="IDN36" s="204"/>
      <c r="IDO36" s="204"/>
      <c r="IDP36" s="204"/>
      <c r="IDQ36" s="204"/>
      <c r="IDR36" s="204"/>
      <c r="IDS36" s="204"/>
      <c r="IDT36" s="204"/>
      <c r="IDU36" s="204"/>
      <c r="IDV36" s="204"/>
      <c r="IDW36" s="204"/>
      <c r="IDX36" s="204"/>
      <c r="IDY36" s="204"/>
      <c r="IDZ36" s="204"/>
      <c r="IEA36" s="204"/>
      <c r="IEB36" s="204"/>
      <c r="IEC36" s="204"/>
      <c r="IED36" s="204"/>
      <c r="IEE36" s="204"/>
      <c r="IEF36" s="204"/>
      <c r="IEG36" s="204"/>
      <c r="IEH36" s="204"/>
      <c r="IEI36" s="204"/>
      <c r="IEJ36" s="204"/>
      <c r="IEK36" s="204"/>
      <c r="IEL36" s="204"/>
      <c r="IEM36" s="204"/>
      <c r="IEN36" s="204"/>
      <c r="IEO36" s="204"/>
      <c r="IEP36" s="204"/>
      <c r="IEQ36" s="204"/>
      <c r="IER36" s="204"/>
      <c r="IES36" s="204"/>
      <c r="IET36" s="204"/>
      <c r="IEU36" s="204"/>
      <c r="IEV36" s="204"/>
      <c r="IEW36" s="204"/>
      <c r="IEX36" s="204"/>
      <c r="IEY36" s="204"/>
      <c r="IEZ36" s="204"/>
      <c r="IFA36" s="204"/>
      <c r="IFB36" s="204"/>
      <c r="IFC36" s="204"/>
      <c r="IFD36" s="204"/>
      <c r="IFE36" s="204"/>
      <c r="IFF36" s="204"/>
      <c r="IFG36" s="204"/>
      <c r="IFH36" s="204"/>
      <c r="IFI36" s="204"/>
      <c r="IFJ36" s="204"/>
      <c r="IFK36" s="204"/>
      <c r="IFL36" s="204"/>
      <c r="IFM36" s="204"/>
      <c r="IFN36" s="204"/>
      <c r="IFO36" s="204"/>
      <c r="IFP36" s="204"/>
      <c r="IFQ36" s="204"/>
      <c r="IFR36" s="204"/>
      <c r="IFS36" s="204"/>
      <c r="IFT36" s="204"/>
      <c r="IFU36" s="204"/>
      <c r="IFV36" s="204"/>
      <c r="IFW36" s="204"/>
      <c r="IFX36" s="204"/>
      <c r="IFY36" s="204"/>
      <c r="IFZ36" s="204"/>
      <c r="IGA36" s="204"/>
      <c r="IGB36" s="204"/>
      <c r="IGC36" s="204"/>
      <c r="IGD36" s="204"/>
      <c r="IGE36" s="204"/>
      <c r="IGF36" s="204"/>
      <c r="IGG36" s="204"/>
      <c r="IGH36" s="204"/>
      <c r="IGI36" s="204"/>
      <c r="IGJ36" s="204"/>
      <c r="IGK36" s="204"/>
      <c r="IGL36" s="204"/>
      <c r="IGM36" s="204"/>
      <c r="IGN36" s="204"/>
      <c r="IGO36" s="204"/>
      <c r="IGP36" s="204"/>
      <c r="IGQ36" s="204"/>
      <c r="IGR36" s="204"/>
      <c r="IGS36" s="204"/>
      <c r="IGT36" s="204"/>
      <c r="IGU36" s="204"/>
      <c r="IGV36" s="204"/>
      <c r="IGW36" s="204"/>
      <c r="IGX36" s="204"/>
      <c r="IGY36" s="204"/>
      <c r="IGZ36" s="204"/>
      <c r="IHA36" s="204"/>
      <c r="IHB36" s="204"/>
      <c r="IHC36" s="204"/>
      <c r="IHD36" s="204"/>
      <c r="IHE36" s="204"/>
      <c r="IHF36" s="204"/>
      <c r="IHG36" s="204"/>
      <c r="IHH36" s="204"/>
      <c r="IHI36" s="204"/>
      <c r="IHJ36" s="204"/>
      <c r="IHK36" s="204"/>
      <c r="IHL36" s="204"/>
      <c r="IHM36" s="204"/>
      <c r="IHN36" s="204"/>
      <c r="IHO36" s="204"/>
      <c r="IHP36" s="204"/>
      <c r="IHQ36" s="204"/>
      <c r="IHR36" s="204"/>
      <c r="IHS36" s="204"/>
      <c r="IHT36" s="204"/>
      <c r="IHU36" s="204"/>
      <c r="IHV36" s="204"/>
      <c r="IHW36" s="204"/>
      <c r="IHX36" s="204"/>
      <c r="IHY36" s="204"/>
      <c r="IHZ36" s="204"/>
      <c r="IIA36" s="204"/>
      <c r="IIB36" s="204"/>
      <c r="IIC36" s="204"/>
      <c r="IID36" s="204"/>
      <c r="IIE36" s="204"/>
      <c r="IIF36" s="204"/>
      <c r="IIG36" s="204"/>
      <c r="IIH36" s="204"/>
      <c r="III36" s="204"/>
      <c r="IIJ36" s="204"/>
      <c r="IIK36" s="204"/>
      <c r="IIL36" s="204"/>
      <c r="IIM36" s="204"/>
      <c r="IIN36" s="204"/>
      <c r="IIO36" s="204"/>
      <c r="IIP36" s="204"/>
      <c r="IIQ36" s="204"/>
      <c r="IIR36" s="204"/>
      <c r="IIS36" s="204"/>
      <c r="IIT36" s="204"/>
      <c r="IIU36" s="204"/>
      <c r="IIV36" s="204"/>
      <c r="IIW36" s="204"/>
      <c r="IIX36" s="204"/>
      <c r="IIY36" s="204"/>
      <c r="IIZ36" s="204"/>
      <c r="IJA36" s="204"/>
      <c r="IJB36" s="204"/>
      <c r="IJC36" s="204"/>
      <c r="IJD36" s="204"/>
      <c r="IJE36" s="204"/>
      <c r="IJF36" s="204"/>
      <c r="IJG36" s="204"/>
      <c r="IJH36" s="204"/>
      <c r="IJI36" s="204"/>
      <c r="IJJ36" s="204"/>
      <c r="IJK36" s="204"/>
      <c r="IJL36" s="204"/>
      <c r="IJM36" s="204"/>
      <c r="IJN36" s="204"/>
      <c r="IJO36" s="204"/>
      <c r="IJP36" s="204"/>
      <c r="IJQ36" s="204"/>
      <c r="IJR36" s="204"/>
      <c r="IJS36" s="204"/>
      <c r="IJT36" s="204"/>
      <c r="IJU36" s="204"/>
      <c r="IJV36" s="204"/>
      <c r="IJW36" s="204"/>
      <c r="IJX36" s="204"/>
      <c r="IJY36" s="204"/>
      <c r="IJZ36" s="204"/>
      <c r="IKA36" s="204"/>
      <c r="IKB36" s="204"/>
      <c r="IKC36" s="204"/>
      <c r="IKD36" s="204"/>
      <c r="IKE36" s="204"/>
      <c r="IKF36" s="204"/>
      <c r="IKG36" s="204"/>
      <c r="IKH36" s="204"/>
      <c r="IKI36" s="204"/>
      <c r="IKJ36" s="204"/>
      <c r="IKK36" s="204"/>
      <c r="IKL36" s="204"/>
      <c r="IKM36" s="204"/>
      <c r="IKN36" s="204"/>
      <c r="IKO36" s="204"/>
      <c r="IKP36" s="204"/>
      <c r="IKQ36" s="204"/>
      <c r="IKR36" s="204"/>
      <c r="IKS36" s="204"/>
      <c r="IKT36" s="204"/>
      <c r="IKU36" s="204"/>
      <c r="IKV36" s="204"/>
      <c r="IKW36" s="204"/>
      <c r="IKX36" s="204"/>
      <c r="IKY36" s="204"/>
      <c r="IKZ36" s="204"/>
      <c r="ILA36" s="204"/>
      <c r="ILB36" s="204"/>
      <c r="ILC36" s="204"/>
      <c r="ILD36" s="204"/>
      <c r="ILE36" s="204"/>
      <c r="ILF36" s="204"/>
      <c r="ILG36" s="204"/>
      <c r="ILH36" s="204"/>
      <c r="ILI36" s="204"/>
      <c r="ILJ36" s="204"/>
      <c r="ILK36" s="204"/>
      <c r="ILL36" s="204"/>
      <c r="ILM36" s="204"/>
      <c r="ILN36" s="204"/>
      <c r="ILO36" s="204"/>
      <c r="ILP36" s="204"/>
      <c r="ILQ36" s="204"/>
      <c r="ILR36" s="204"/>
      <c r="ILS36" s="204"/>
      <c r="ILT36" s="204"/>
      <c r="ILU36" s="204"/>
      <c r="ILV36" s="204"/>
      <c r="ILW36" s="204"/>
      <c r="ILX36" s="204"/>
      <c r="ILY36" s="204"/>
      <c r="ILZ36" s="204"/>
      <c r="IMA36" s="204"/>
      <c r="IMB36" s="204"/>
      <c r="IMC36" s="204"/>
      <c r="IMD36" s="204"/>
      <c r="IME36" s="204"/>
      <c r="IMF36" s="204"/>
      <c r="IMG36" s="204"/>
      <c r="IMH36" s="204"/>
      <c r="IMI36" s="204"/>
      <c r="IMJ36" s="204"/>
      <c r="IMK36" s="204"/>
      <c r="IML36" s="204"/>
      <c r="IMM36" s="204"/>
      <c r="IMN36" s="204"/>
      <c r="IMO36" s="204"/>
      <c r="IMP36" s="204"/>
      <c r="IMQ36" s="204"/>
      <c r="IMR36" s="204"/>
      <c r="IMS36" s="204"/>
      <c r="IMT36" s="204"/>
      <c r="IMU36" s="204"/>
      <c r="IMV36" s="204"/>
      <c r="IMW36" s="204"/>
      <c r="IMX36" s="204"/>
      <c r="IMY36" s="204"/>
      <c r="IMZ36" s="204"/>
      <c r="INA36" s="204"/>
      <c r="INB36" s="204"/>
      <c r="INC36" s="204"/>
      <c r="IND36" s="204"/>
      <c r="INE36" s="204"/>
      <c r="INF36" s="204"/>
      <c r="ING36" s="204"/>
      <c r="INH36" s="204"/>
      <c r="INI36" s="204"/>
      <c r="INJ36" s="204"/>
      <c r="INK36" s="204"/>
      <c r="INL36" s="204"/>
      <c r="INM36" s="204"/>
      <c r="INN36" s="204"/>
      <c r="INO36" s="204"/>
      <c r="INP36" s="204"/>
      <c r="INQ36" s="204"/>
      <c r="INR36" s="204"/>
      <c r="INS36" s="204"/>
      <c r="INT36" s="204"/>
      <c r="INU36" s="204"/>
      <c r="INV36" s="204"/>
      <c r="INW36" s="204"/>
      <c r="INX36" s="204"/>
      <c r="INY36" s="204"/>
      <c r="INZ36" s="204"/>
      <c r="IOA36" s="204"/>
      <c r="IOB36" s="204"/>
      <c r="IOC36" s="204"/>
      <c r="IOD36" s="204"/>
      <c r="IOE36" s="204"/>
      <c r="IOF36" s="204"/>
      <c r="IOG36" s="204"/>
      <c r="IOH36" s="204"/>
      <c r="IOI36" s="204"/>
      <c r="IOJ36" s="204"/>
      <c r="IOK36" s="204"/>
      <c r="IOL36" s="204"/>
      <c r="IOM36" s="204"/>
      <c r="ION36" s="204"/>
      <c r="IOO36" s="204"/>
      <c r="IOP36" s="204"/>
      <c r="IOQ36" s="204"/>
      <c r="IOR36" s="204"/>
      <c r="IOS36" s="204"/>
      <c r="IOT36" s="204"/>
      <c r="IOU36" s="204"/>
      <c r="IOV36" s="204"/>
      <c r="IOW36" s="204"/>
      <c r="IOX36" s="204"/>
      <c r="IOY36" s="204"/>
      <c r="IOZ36" s="204"/>
      <c r="IPA36" s="204"/>
      <c r="IPB36" s="204"/>
      <c r="IPC36" s="204"/>
      <c r="IPD36" s="204"/>
      <c r="IPE36" s="204"/>
      <c r="IPF36" s="204"/>
      <c r="IPG36" s="204"/>
      <c r="IPH36" s="204"/>
      <c r="IPI36" s="204"/>
      <c r="IPJ36" s="204"/>
      <c r="IPK36" s="204"/>
      <c r="IPL36" s="204"/>
      <c r="IPM36" s="204"/>
      <c r="IPN36" s="204"/>
      <c r="IPO36" s="204"/>
      <c r="IPP36" s="204"/>
      <c r="IPQ36" s="204"/>
      <c r="IPR36" s="204"/>
      <c r="IPS36" s="204"/>
      <c r="IPT36" s="204"/>
      <c r="IPU36" s="204"/>
      <c r="IPV36" s="204"/>
      <c r="IPW36" s="204"/>
      <c r="IPX36" s="204"/>
      <c r="IPY36" s="204"/>
      <c r="IPZ36" s="204"/>
      <c r="IQA36" s="204"/>
      <c r="IQB36" s="204"/>
      <c r="IQC36" s="204"/>
      <c r="IQD36" s="204"/>
      <c r="IQE36" s="204"/>
      <c r="IQF36" s="204"/>
      <c r="IQG36" s="204"/>
      <c r="IQH36" s="204"/>
      <c r="IQI36" s="204"/>
      <c r="IQJ36" s="204"/>
      <c r="IQK36" s="204"/>
      <c r="IQL36" s="204"/>
      <c r="IQM36" s="204"/>
      <c r="IQN36" s="204"/>
      <c r="IQO36" s="204"/>
      <c r="IQP36" s="204"/>
      <c r="IQQ36" s="204"/>
      <c r="IQR36" s="204"/>
      <c r="IQS36" s="204"/>
      <c r="IQT36" s="204"/>
      <c r="IQU36" s="204"/>
      <c r="IQV36" s="204"/>
      <c r="IQW36" s="204"/>
      <c r="IQX36" s="204"/>
      <c r="IQY36" s="204"/>
      <c r="IQZ36" s="204"/>
      <c r="IRA36" s="204"/>
      <c r="IRB36" s="204"/>
      <c r="IRC36" s="204"/>
      <c r="IRD36" s="204"/>
      <c r="IRE36" s="204"/>
      <c r="IRF36" s="204"/>
      <c r="IRG36" s="204"/>
      <c r="IRH36" s="204"/>
      <c r="IRI36" s="204"/>
      <c r="IRJ36" s="204"/>
      <c r="IRK36" s="204"/>
      <c r="IRL36" s="204"/>
      <c r="IRM36" s="204"/>
      <c r="IRN36" s="204"/>
      <c r="IRO36" s="204"/>
      <c r="IRP36" s="204"/>
      <c r="IRQ36" s="204"/>
      <c r="IRR36" s="204"/>
      <c r="IRS36" s="204"/>
      <c r="IRT36" s="204"/>
      <c r="IRU36" s="204"/>
      <c r="IRV36" s="204"/>
      <c r="IRW36" s="204"/>
      <c r="IRX36" s="204"/>
      <c r="IRY36" s="204"/>
      <c r="IRZ36" s="204"/>
      <c r="ISA36" s="204"/>
      <c r="ISB36" s="204"/>
      <c r="ISC36" s="204"/>
      <c r="ISD36" s="204"/>
      <c r="ISE36" s="204"/>
      <c r="ISF36" s="204"/>
      <c r="ISG36" s="204"/>
      <c r="ISH36" s="204"/>
      <c r="ISI36" s="204"/>
      <c r="ISJ36" s="204"/>
      <c r="ISK36" s="204"/>
      <c r="ISL36" s="204"/>
      <c r="ISM36" s="204"/>
      <c r="ISN36" s="204"/>
      <c r="ISO36" s="204"/>
      <c r="ISP36" s="204"/>
      <c r="ISQ36" s="204"/>
      <c r="ISR36" s="204"/>
      <c r="ISS36" s="204"/>
      <c r="IST36" s="204"/>
      <c r="ISU36" s="204"/>
      <c r="ISV36" s="204"/>
      <c r="ISW36" s="204"/>
      <c r="ISX36" s="204"/>
      <c r="ISY36" s="204"/>
      <c r="ISZ36" s="204"/>
      <c r="ITA36" s="204"/>
      <c r="ITB36" s="204"/>
      <c r="ITC36" s="204"/>
      <c r="ITD36" s="204"/>
      <c r="ITE36" s="204"/>
      <c r="ITF36" s="204"/>
      <c r="ITG36" s="204"/>
      <c r="ITH36" s="204"/>
      <c r="ITI36" s="204"/>
      <c r="ITJ36" s="204"/>
      <c r="ITK36" s="204"/>
      <c r="ITL36" s="204"/>
      <c r="ITM36" s="204"/>
      <c r="ITN36" s="204"/>
      <c r="ITO36" s="204"/>
      <c r="ITP36" s="204"/>
      <c r="ITQ36" s="204"/>
      <c r="ITR36" s="204"/>
      <c r="ITS36" s="204"/>
      <c r="ITT36" s="204"/>
      <c r="ITU36" s="204"/>
      <c r="ITV36" s="204"/>
      <c r="ITW36" s="204"/>
      <c r="ITX36" s="204"/>
      <c r="ITY36" s="204"/>
      <c r="ITZ36" s="204"/>
      <c r="IUA36" s="204"/>
      <c r="IUB36" s="204"/>
      <c r="IUC36" s="204"/>
      <c r="IUD36" s="204"/>
      <c r="IUE36" s="204"/>
      <c r="IUF36" s="204"/>
      <c r="IUG36" s="204"/>
      <c r="IUH36" s="204"/>
      <c r="IUI36" s="204"/>
      <c r="IUJ36" s="204"/>
      <c r="IUK36" s="204"/>
      <c r="IUL36" s="204"/>
      <c r="IUM36" s="204"/>
      <c r="IUN36" s="204"/>
      <c r="IUO36" s="204"/>
      <c r="IUP36" s="204"/>
      <c r="IUQ36" s="204"/>
      <c r="IUR36" s="204"/>
      <c r="IUS36" s="204"/>
      <c r="IUT36" s="204"/>
      <c r="IUU36" s="204"/>
      <c r="IUV36" s="204"/>
      <c r="IUW36" s="204"/>
      <c r="IUX36" s="204"/>
      <c r="IUY36" s="204"/>
      <c r="IUZ36" s="204"/>
      <c r="IVA36" s="204"/>
      <c r="IVB36" s="204"/>
      <c r="IVC36" s="204"/>
      <c r="IVD36" s="204"/>
      <c r="IVE36" s="204"/>
      <c r="IVF36" s="204"/>
      <c r="IVG36" s="204"/>
      <c r="IVH36" s="204"/>
      <c r="IVI36" s="204"/>
      <c r="IVJ36" s="204"/>
      <c r="IVK36" s="204"/>
      <c r="IVL36" s="204"/>
      <c r="IVM36" s="204"/>
      <c r="IVN36" s="204"/>
      <c r="IVO36" s="204"/>
      <c r="IVP36" s="204"/>
      <c r="IVQ36" s="204"/>
      <c r="IVR36" s="204"/>
      <c r="IVS36" s="204"/>
      <c r="IVT36" s="204"/>
      <c r="IVU36" s="204"/>
      <c r="IVV36" s="204"/>
      <c r="IVW36" s="204"/>
      <c r="IVX36" s="204"/>
      <c r="IVY36" s="204"/>
      <c r="IVZ36" s="204"/>
      <c r="IWA36" s="204"/>
      <c r="IWB36" s="204"/>
      <c r="IWC36" s="204"/>
      <c r="IWD36" s="204"/>
      <c r="IWE36" s="204"/>
      <c r="IWF36" s="204"/>
      <c r="IWG36" s="204"/>
      <c r="IWH36" s="204"/>
      <c r="IWI36" s="204"/>
      <c r="IWJ36" s="204"/>
      <c r="IWK36" s="204"/>
      <c r="IWL36" s="204"/>
      <c r="IWM36" s="204"/>
      <c r="IWN36" s="204"/>
      <c r="IWO36" s="204"/>
      <c r="IWP36" s="204"/>
      <c r="IWQ36" s="204"/>
      <c r="IWR36" s="204"/>
      <c r="IWS36" s="204"/>
      <c r="IWT36" s="204"/>
      <c r="IWU36" s="204"/>
      <c r="IWV36" s="204"/>
      <c r="IWW36" s="204"/>
      <c r="IWX36" s="204"/>
      <c r="IWY36" s="204"/>
      <c r="IWZ36" s="204"/>
      <c r="IXA36" s="204"/>
      <c r="IXB36" s="204"/>
      <c r="IXC36" s="204"/>
      <c r="IXD36" s="204"/>
      <c r="IXE36" s="204"/>
      <c r="IXF36" s="204"/>
      <c r="IXG36" s="204"/>
      <c r="IXH36" s="204"/>
      <c r="IXI36" s="204"/>
      <c r="IXJ36" s="204"/>
      <c r="IXK36" s="204"/>
      <c r="IXL36" s="204"/>
      <c r="IXM36" s="204"/>
      <c r="IXN36" s="204"/>
      <c r="IXO36" s="204"/>
      <c r="IXP36" s="204"/>
      <c r="IXQ36" s="204"/>
      <c r="IXR36" s="204"/>
      <c r="IXS36" s="204"/>
      <c r="IXT36" s="204"/>
      <c r="IXU36" s="204"/>
      <c r="IXV36" s="204"/>
      <c r="IXW36" s="204"/>
      <c r="IXX36" s="204"/>
      <c r="IXY36" s="204"/>
      <c r="IXZ36" s="204"/>
      <c r="IYA36" s="204"/>
      <c r="IYB36" s="204"/>
      <c r="IYC36" s="204"/>
      <c r="IYD36" s="204"/>
      <c r="IYE36" s="204"/>
      <c r="IYF36" s="204"/>
      <c r="IYG36" s="204"/>
      <c r="IYH36" s="204"/>
      <c r="IYI36" s="204"/>
      <c r="IYJ36" s="204"/>
      <c r="IYK36" s="204"/>
      <c r="IYL36" s="204"/>
      <c r="IYM36" s="204"/>
      <c r="IYN36" s="204"/>
      <c r="IYO36" s="204"/>
      <c r="IYP36" s="204"/>
      <c r="IYQ36" s="204"/>
      <c r="IYR36" s="204"/>
      <c r="IYS36" s="204"/>
      <c r="IYT36" s="204"/>
      <c r="IYU36" s="204"/>
      <c r="IYV36" s="204"/>
      <c r="IYW36" s="204"/>
      <c r="IYX36" s="204"/>
      <c r="IYY36" s="204"/>
      <c r="IYZ36" s="204"/>
      <c r="IZA36" s="204"/>
      <c r="IZB36" s="204"/>
      <c r="IZC36" s="204"/>
      <c r="IZD36" s="204"/>
      <c r="IZE36" s="204"/>
      <c r="IZF36" s="204"/>
      <c r="IZG36" s="204"/>
      <c r="IZH36" s="204"/>
      <c r="IZI36" s="204"/>
      <c r="IZJ36" s="204"/>
      <c r="IZK36" s="204"/>
      <c r="IZL36" s="204"/>
      <c r="IZM36" s="204"/>
      <c r="IZN36" s="204"/>
      <c r="IZO36" s="204"/>
      <c r="IZP36" s="204"/>
      <c r="IZQ36" s="204"/>
      <c r="IZR36" s="204"/>
      <c r="IZS36" s="204"/>
      <c r="IZT36" s="204"/>
      <c r="IZU36" s="204"/>
      <c r="IZV36" s="204"/>
      <c r="IZW36" s="204"/>
      <c r="IZX36" s="204"/>
      <c r="IZY36" s="204"/>
      <c r="IZZ36" s="204"/>
      <c r="JAA36" s="204"/>
      <c r="JAB36" s="204"/>
      <c r="JAC36" s="204"/>
      <c r="JAD36" s="204"/>
      <c r="JAE36" s="204"/>
      <c r="JAF36" s="204"/>
      <c r="JAG36" s="204"/>
      <c r="JAH36" s="204"/>
      <c r="JAI36" s="204"/>
      <c r="JAJ36" s="204"/>
      <c r="JAK36" s="204"/>
      <c r="JAL36" s="204"/>
      <c r="JAM36" s="204"/>
      <c r="JAN36" s="204"/>
      <c r="JAO36" s="204"/>
      <c r="JAP36" s="204"/>
      <c r="JAQ36" s="204"/>
      <c r="JAR36" s="204"/>
      <c r="JAS36" s="204"/>
      <c r="JAT36" s="204"/>
      <c r="JAU36" s="204"/>
      <c r="JAV36" s="204"/>
      <c r="JAW36" s="204"/>
      <c r="JAX36" s="204"/>
      <c r="JAY36" s="204"/>
      <c r="JAZ36" s="204"/>
      <c r="JBA36" s="204"/>
      <c r="JBB36" s="204"/>
      <c r="JBC36" s="204"/>
      <c r="JBD36" s="204"/>
      <c r="JBE36" s="204"/>
      <c r="JBF36" s="204"/>
      <c r="JBG36" s="204"/>
      <c r="JBH36" s="204"/>
      <c r="JBI36" s="204"/>
      <c r="JBJ36" s="204"/>
      <c r="JBK36" s="204"/>
      <c r="JBL36" s="204"/>
      <c r="JBM36" s="204"/>
      <c r="JBN36" s="204"/>
      <c r="JBO36" s="204"/>
      <c r="JBP36" s="204"/>
      <c r="JBQ36" s="204"/>
      <c r="JBR36" s="204"/>
      <c r="JBS36" s="204"/>
      <c r="JBT36" s="204"/>
      <c r="JBU36" s="204"/>
      <c r="JBV36" s="204"/>
      <c r="JBW36" s="204"/>
      <c r="JBX36" s="204"/>
      <c r="JBY36" s="204"/>
      <c r="JBZ36" s="204"/>
      <c r="JCA36" s="204"/>
      <c r="JCB36" s="204"/>
      <c r="JCC36" s="204"/>
      <c r="JCD36" s="204"/>
      <c r="JCE36" s="204"/>
      <c r="JCF36" s="204"/>
      <c r="JCG36" s="204"/>
      <c r="JCH36" s="204"/>
      <c r="JCI36" s="204"/>
      <c r="JCJ36" s="204"/>
      <c r="JCK36" s="204"/>
      <c r="JCL36" s="204"/>
      <c r="JCM36" s="204"/>
      <c r="JCN36" s="204"/>
      <c r="JCO36" s="204"/>
      <c r="JCP36" s="204"/>
      <c r="JCQ36" s="204"/>
      <c r="JCR36" s="204"/>
      <c r="JCS36" s="204"/>
      <c r="JCT36" s="204"/>
      <c r="JCU36" s="204"/>
      <c r="JCV36" s="204"/>
      <c r="JCW36" s="204"/>
      <c r="JCX36" s="204"/>
      <c r="JCY36" s="204"/>
      <c r="JCZ36" s="204"/>
      <c r="JDA36" s="204"/>
      <c r="JDB36" s="204"/>
      <c r="JDC36" s="204"/>
      <c r="JDD36" s="204"/>
      <c r="JDE36" s="204"/>
      <c r="JDF36" s="204"/>
      <c r="JDG36" s="204"/>
      <c r="JDH36" s="204"/>
      <c r="JDI36" s="204"/>
      <c r="JDJ36" s="204"/>
      <c r="JDK36" s="204"/>
      <c r="JDL36" s="204"/>
      <c r="JDM36" s="204"/>
      <c r="JDN36" s="204"/>
      <c r="JDO36" s="204"/>
      <c r="JDP36" s="204"/>
      <c r="JDQ36" s="204"/>
      <c r="JDR36" s="204"/>
      <c r="JDS36" s="204"/>
      <c r="JDT36" s="204"/>
      <c r="JDU36" s="204"/>
      <c r="JDV36" s="204"/>
      <c r="JDW36" s="204"/>
      <c r="JDX36" s="204"/>
      <c r="JDY36" s="204"/>
      <c r="JDZ36" s="204"/>
      <c r="JEA36" s="204"/>
      <c r="JEB36" s="204"/>
      <c r="JEC36" s="204"/>
      <c r="JED36" s="204"/>
      <c r="JEE36" s="204"/>
      <c r="JEF36" s="204"/>
      <c r="JEG36" s="204"/>
      <c r="JEH36" s="204"/>
      <c r="JEI36" s="204"/>
      <c r="JEJ36" s="204"/>
      <c r="JEK36" s="204"/>
      <c r="JEL36" s="204"/>
      <c r="JEM36" s="204"/>
      <c r="JEN36" s="204"/>
      <c r="JEO36" s="204"/>
      <c r="JEP36" s="204"/>
      <c r="JEQ36" s="204"/>
      <c r="JER36" s="204"/>
      <c r="JES36" s="204"/>
      <c r="JET36" s="204"/>
      <c r="JEU36" s="204"/>
      <c r="JEV36" s="204"/>
      <c r="JEW36" s="204"/>
      <c r="JEX36" s="204"/>
      <c r="JEY36" s="204"/>
      <c r="JEZ36" s="204"/>
      <c r="JFA36" s="204"/>
      <c r="JFB36" s="204"/>
      <c r="JFC36" s="204"/>
      <c r="JFD36" s="204"/>
      <c r="JFE36" s="204"/>
      <c r="JFF36" s="204"/>
      <c r="JFG36" s="204"/>
      <c r="JFH36" s="204"/>
      <c r="JFI36" s="204"/>
      <c r="JFJ36" s="204"/>
      <c r="JFK36" s="204"/>
      <c r="JFL36" s="204"/>
      <c r="JFM36" s="204"/>
      <c r="JFN36" s="204"/>
      <c r="JFO36" s="204"/>
      <c r="JFP36" s="204"/>
      <c r="JFQ36" s="204"/>
      <c r="JFR36" s="204"/>
      <c r="JFS36" s="204"/>
      <c r="JFT36" s="204"/>
      <c r="JFU36" s="204"/>
      <c r="JFV36" s="204"/>
      <c r="JFW36" s="204"/>
      <c r="JFX36" s="204"/>
      <c r="JFY36" s="204"/>
      <c r="JFZ36" s="204"/>
      <c r="JGA36" s="204"/>
      <c r="JGB36" s="204"/>
      <c r="JGC36" s="204"/>
      <c r="JGD36" s="204"/>
      <c r="JGE36" s="204"/>
      <c r="JGF36" s="204"/>
      <c r="JGG36" s="204"/>
      <c r="JGH36" s="204"/>
      <c r="JGI36" s="204"/>
      <c r="JGJ36" s="204"/>
      <c r="JGK36" s="204"/>
      <c r="JGL36" s="204"/>
      <c r="JGM36" s="204"/>
      <c r="JGN36" s="204"/>
      <c r="JGO36" s="204"/>
      <c r="JGP36" s="204"/>
      <c r="JGQ36" s="204"/>
      <c r="JGR36" s="204"/>
      <c r="JGS36" s="204"/>
      <c r="JGT36" s="204"/>
      <c r="JGU36" s="204"/>
      <c r="JGV36" s="204"/>
      <c r="JGW36" s="204"/>
      <c r="JGX36" s="204"/>
      <c r="JGY36" s="204"/>
      <c r="JGZ36" s="204"/>
      <c r="JHA36" s="204"/>
      <c r="JHB36" s="204"/>
      <c r="JHC36" s="204"/>
      <c r="JHD36" s="204"/>
      <c r="JHE36" s="204"/>
      <c r="JHF36" s="204"/>
      <c r="JHG36" s="204"/>
      <c r="JHH36" s="204"/>
      <c r="JHI36" s="204"/>
      <c r="JHJ36" s="204"/>
      <c r="JHK36" s="204"/>
      <c r="JHL36" s="204"/>
      <c r="JHM36" s="204"/>
      <c r="JHN36" s="204"/>
      <c r="JHO36" s="204"/>
      <c r="JHP36" s="204"/>
      <c r="JHQ36" s="204"/>
      <c r="JHR36" s="204"/>
      <c r="JHS36" s="204"/>
      <c r="JHT36" s="204"/>
      <c r="JHU36" s="204"/>
      <c r="JHV36" s="204"/>
      <c r="JHW36" s="204"/>
      <c r="JHX36" s="204"/>
      <c r="JHY36" s="204"/>
      <c r="JHZ36" s="204"/>
      <c r="JIA36" s="204"/>
      <c r="JIB36" s="204"/>
      <c r="JIC36" s="204"/>
      <c r="JID36" s="204"/>
      <c r="JIE36" s="204"/>
      <c r="JIF36" s="204"/>
      <c r="JIG36" s="204"/>
      <c r="JIH36" s="204"/>
      <c r="JII36" s="204"/>
      <c r="JIJ36" s="204"/>
      <c r="JIK36" s="204"/>
      <c r="JIL36" s="204"/>
      <c r="JIM36" s="204"/>
      <c r="JIN36" s="204"/>
      <c r="JIO36" s="204"/>
      <c r="JIP36" s="204"/>
      <c r="JIQ36" s="204"/>
      <c r="JIR36" s="204"/>
      <c r="JIS36" s="204"/>
      <c r="JIT36" s="204"/>
      <c r="JIU36" s="204"/>
      <c r="JIV36" s="204"/>
      <c r="JIW36" s="204"/>
      <c r="JIX36" s="204"/>
      <c r="JIY36" s="204"/>
      <c r="JIZ36" s="204"/>
      <c r="JJA36" s="204"/>
      <c r="JJB36" s="204"/>
      <c r="JJC36" s="204"/>
      <c r="JJD36" s="204"/>
      <c r="JJE36" s="204"/>
      <c r="JJF36" s="204"/>
      <c r="JJG36" s="204"/>
      <c r="JJH36" s="204"/>
      <c r="JJI36" s="204"/>
      <c r="JJJ36" s="204"/>
      <c r="JJK36" s="204"/>
      <c r="JJL36" s="204"/>
      <c r="JJM36" s="204"/>
      <c r="JJN36" s="204"/>
      <c r="JJO36" s="204"/>
      <c r="JJP36" s="204"/>
      <c r="JJQ36" s="204"/>
      <c r="JJR36" s="204"/>
      <c r="JJS36" s="204"/>
      <c r="JJT36" s="204"/>
      <c r="JJU36" s="204"/>
      <c r="JJV36" s="204"/>
      <c r="JJW36" s="204"/>
      <c r="JJX36" s="204"/>
      <c r="JJY36" s="204"/>
      <c r="JJZ36" s="204"/>
      <c r="JKA36" s="204"/>
      <c r="JKB36" s="204"/>
      <c r="JKC36" s="204"/>
      <c r="JKD36" s="204"/>
      <c r="JKE36" s="204"/>
      <c r="JKF36" s="204"/>
      <c r="JKG36" s="204"/>
      <c r="JKH36" s="204"/>
      <c r="JKI36" s="204"/>
      <c r="JKJ36" s="204"/>
      <c r="JKK36" s="204"/>
      <c r="JKL36" s="204"/>
      <c r="JKM36" s="204"/>
      <c r="JKN36" s="204"/>
      <c r="JKO36" s="204"/>
      <c r="JKP36" s="204"/>
      <c r="JKQ36" s="204"/>
      <c r="JKR36" s="204"/>
      <c r="JKS36" s="204"/>
      <c r="JKT36" s="204"/>
      <c r="JKU36" s="204"/>
      <c r="JKV36" s="204"/>
      <c r="JKW36" s="204"/>
      <c r="JKX36" s="204"/>
      <c r="JKY36" s="204"/>
      <c r="JKZ36" s="204"/>
      <c r="JLA36" s="204"/>
      <c r="JLB36" s="204"/>
      <c r="JLC36" s="204"/>
      <c r="JLD36" s="204"/>
      <c r="JLE36" s="204"/>
      <c r="JLF36" s="204"/>
      <c r="JLG36" s="204"/>
      <c r="JLH36" s="204"/>
      <c r="JLI36" s="204"/>
      <c r="JLJ36" s="204"/>
      <c r="JLK36" s="204"/>
      <c r="JLL36" s="204"/>
      <c r="JLM36" s="204"/>
      <c r="JLN36" s="204"/>
      <c r="JLO36" s="204"/>
      <c r="JLP36" s="204"/>
      <c r="JLQ36" s="204"/>
      <c r="JLR36" s="204"/>
      <c r="JLS36" s="204"/>
      <c r="JLT36" s="204"/>
      <c r="JLU36" s="204"/>
      <c r="JLV36" s="204"/>
      <c r="JLW36" s="204"/>
      <c r="JLX36" s="204"/>
      <c r="JLY36" s="204"/>
      <c r="JLZ36" s="204"/>
      <c r="JMA36" s="204"/>
      <c r="JMB36" s="204"/>
      <c r="JMC36" s="204"/>
      <c r="JMD36" s="204"/>
      <c r="JME36" s="204"/>
      <c r="JMF36" s="204"/>
      <c r="JMG36" s="204"/>
      <c r="JMH36" s="204"/>
      <c r="JMI36" s="204"/>
      <c r="JMJ36" s="204"/>
      <c r="JMK36" s="204"/>
      <c r="JML36" s="204"/>
      <c r="JMM36" s="204"/>
      <c r="JMN36" s="204"/>
      <c r="JMO36" s="204"/>
      <c r="JMP36" s="204"/>
      <c r="JMQ36" s="204"/>
      <c r="JMR36" s="204"/>
      <c r="JMS36" s="204"/>
      <c r="JMT36" s="204"/>
      <c r="JMU36" s="204"/>
      <c r="JMV36" s="204"/>
      <c r="JMW36" s="204"/>
      <c r="JMX36" s="204"/>
      <c r="JMY36" s="204"/>
      <c r="JMZ36" s="204"/>
      <c r="JNA36" s="204"/>
      <c r="JNB36" s="204"/>
      <c r="JNC36" s="204"/>
      <c r="JND36" s="204"/>
      <c r="JNE36" s="204"/>
      <c r="JNF36" s="204"/>
      <c r="JNG36" s="204"/>
      <c r="JNH36" s="204"/>
      <c r="JNI36" s="204"/>
      <c r="JNJ36" s="204"/>
      <c r="JNK36" s="204"/>
      <c r="JNL36" s="204"/>
      <c r="JNM36" s="204"/>
      <c r="JNN36" s="204"/>
      <c r="JNO36" s="204"/>
      <c r="JNP36" s="204"/>
      <c r="JNQ36" s="204"/>
      <c r="JNR36" s="204"/>
      <c r="JNS36" s="204"/>
      <c r="JNT36" s="204"/>
      <c r="JNU36" s="204"/>
      <c r="JNV36" s="204"/>
      <c r="JNW36" s="204"/>
      <c r="JNX36" s="204"/>
      <c r="JNY36" s="204"/>
      <c r="JNZ36" s="204"/>
      <c r="JOA36" s="204"/>
      <c r="JOB36" s="204"/>
      <c r="JOC36" s="204"/>
      <c r="JOD36" s="204"/>
      <c r="JOE36" s="204"/>
      <c r="JOF36" s="204"/>
      <c r="JOG36" s="204"/>
      <c r="JOH36" s="204"/>
      <c r="JOI36" s="204"/>
      <c r="JOJ36" s="204"/>
      <c r="JOK36" s="204"/>
      <c r="JOL36" s="204"/>
      <c r="JOM36" s="204"/>
      <c r="JON36" s="204"/>
      <c r="JOO36" s="204"/>
      <c r="JOP36" s="204"/>
      <c r="JOQ36" s="204"/>
      <c r="JOR36" s="204"/>
      <c r="JOS36" s="204"/>
      <c r="JOT36" s="204"/>
      <c r="JOU36" s="204"/>
      <c r="JOV36" s="204"/>
      <c r="JOW36" s="204"/>
      <c r="JOX36" s="204"/>
      <c r="JOY36" s="204"/>
      <c r="JOZ36" s="204"/>
      <c r="JPA36" s="204"/>
      <c r="JPB36" s="204"/>
      <c r="JPC36" s="204"/>
      <c r="JPD36" s="204"/>
      <c r="JPE36" s="204"/>
      <c r="JPF36" s="204"/>
      <c r="JPG36" s="204"/>
      <c r="JPH36" s="204"/>
      <c r="JPI36" s="204"/>
      <c r="JPJ36" s="204"/>
      <c r="JPK36" s="204"/>
      <c r="JPL36" s="204"/>
      <c r="JPM36" s="204"/>
      <c r="JPN36" s="204"/>
      <c r="JPO36" s="204"/>
      <c r="JPP36" s="204"/>
      <c r="JPQ36" s="204"/>
      <c r="JPR36" s="204"/>
      <c r="JPS36" s="204"/>
      <c r="JPT36" s="204"/>
      <c r="JPU36" s="204"/>
      <c r="JPV36" s="204"/>
      <c r="JPW36" s="204"/>
      <c r="JPX36" s="204"/>
      <c r="JPY36" s="204"/>
      <c r="JPZ36" s="204"/>
      <c r="JQA36" s="204"/>
      <c r="JQB36" s="204"/>
      <c r="JQC36" s="204"/>
      <c r="JQD36" s="204"/>
      <c r="JQE36" s="204"/>
      <c r="JQF36" s="204"/>
      <c r="JQG36" s="204"/>
      <c r="JQH36" s="204"/>
      <c r="JQI36" s="204"/>
      <c r="JQJ36" s="204"/>
      <c r="JQK36" s="204"/>
      <c r="JQL36" s="204"/>
      <c r="JQM36" s="204"/>
      <c r="JQN36" s="204"/>
      <c r="JQO36" s="204"/>
      <c r="JQP36" s="204"/>
      <c r="JQQ36" s="204"/>
      <c r="JQR36" s="204"/>
      <c r="JQS36" s="204"/>
      <c r="JQT36" s="204"/>
      <c r="JQU36" s="204"/>
      <c r="JQV36" s="204"/>
      <c r="JQW36" s="204"/>
      <c r="JQX36" s="204"/>
      <c r="JQY36" s="204"/>
      <c r="JQZ36" s="204"/>
      <c r="JRA36" s="204"/>
      <c r="JRB36" s="204"/>
      <c r="JRC36" s="204"/>
      <c r="JRD36" s="204"/>
      <c r="JRE36" s="204"/>
      <c r="JRF36" s="204"/>
      <c r="JRG36" s="204"/>
      <c r="JRH36" s="204"/>
      <c r="JRI36" s="204"/>
      <c r="JRJ36" s="204"/>
      <c r="JRK36" s="204"/>
      <c r="JRL36" s="204"/>
      <c r="JRM36" s="204"/>
      <c r="JRN36" s="204"/>
      <c r="JRO36" s="204"/>
      <c r="JRP36" s="204"/>
      <c r="JRQ36" s="204"/>
      <c r="JRR36" s="204"/>
      <c r="JRS36" s="204"/>
      <c r="JRT36" s="204"/>
      <c r="JRU36" s="204"/>
      <c r="JRV36" s="204"/>
      <c r="JRW36" s="204"/>
      <c r="JRX36" s="204"/>
      <c r="JRY36" s="204"/>
      <c r="JRZ36" s="204"/>
      <c r="JSA36" s="204"/>
      <c r="JSB36" s="204"/>
      <c r="JSC36" s="204"/>
      <c r="JSD36" s="204"/>
      <c r="JSE36" s="204"/>
      <c r="JSF36" s="204"/>
      <c r="JSG36" s="204"/>
      <c r="JSH36" s="204"/>
      <c r="JSI36" s="204"/>
      <c r="JSJ36" s="204"/>
      <c r="JSK36" s="204"/>
      <c r="JSL36" s="204"/>
      <c r="JSM36" s="204"/>
      <c r="JSN36" s="204"/>
      <c r="JSO36" s="204"/>
      <c r="JSP36" s="204"/>
      <c r="JSQ36" s="204"/>
      <c r="JSR36" s="204"/>
      <c r="JSS36" s="204"/>
      <c r="JST36" s="204"/>
      <c r="JSU36" s="204"/>
      <c r="JSV36" s="204"/>
      <c r="JSW36" s="204"/>
      <c r="JSX36" s="204"/>
      <c r="JSY36" s="204"/>
      <c r="JSZ36" s="204"/>
      <c r="JTA36" s="204"/>
      <c r="JTB36" s="204"/>
      <c r="JTC36" s="204"/>
      <c r="JTD36" s="204"/>
      <c r="JTE36" s="204"/>
      <c r="JTF36" s="204"/>
      <c r="JTG36" s="204"/>
      <c r="JTH36" s="204"/>
      <c r="JTI36" s="204"/>
      <c r="JTJ36" s="204"/>
      <c r="JTK36" s="204"/>
      <c r="JTL36" s="204"/>
      <c r="JTM36" s="204"/>
      <c r="JTN36" s="204"/>
      <c r="JTO36" s="204"/>
      <c r="JTP36" s="204"/>
      <c r="JTQ36" s="204"/>
      <c r="JTR36" s="204"/>
      <c r="JTS36" s="204"/>
      <c r="JTT36" s="204"/>
      <c r="JTU36" s="204"/>
      <c r="JTV36" s="204"/>
      <c r="JTW36" s="204"/>
      <c r="JTX36" s="204"/>
      <c r="JTY36" s="204"/>
      <c r="JTZ36" s="204"/>
      <c r="JUA36" s="204"/>
      <c r="JUB36" s="204"/>
      <c r="JUC36" s="204"/>
      <c r="JUD36" s="204"/>
      <c r="JUE36" s="204"/>
      <c r="JUF36" s="204"/>
      <c r="JUG36" s="204"/>
      <c r="JUH36" s="204"/>
      <c r="JUI36" s="204"/>
      <c r="JUJ36" s="204"/>
      <c r="JUK36" s="204"/>
      <c r="JUL36" s="204"/>
      <c r="JUM36" s="204"/>
      <c r="JUN36" s="204"/>
      <c r="JUO36" s="204"/>
      <c r="JUP36" s="204"/>
      <c r="JUQ36" s="204"/>
      <c r="JUR36" s="204"/>
      <c r="JUS36" s="204"/>
      <c r="JUT36" s="204"/>
      <c r="JUU36" s="204"/>
      <c r="JUV36" s="204"/>
      <c r="JUW36" s="204"/>
      <c r="JUX36" s="204"/>
      <c r="JUY36" s="204"/>
      <c r="JUZ36" s="204"/>
      <c r="JVA36" s="204"/>
      <c r="JVB36" s="204"/>
      <c r="JVC36" s="204"/>
      <c r="JVD36" s="204"/>
      <c r="JVE36" s="204"/>
      <c r="JVF36" s="204"/>
      <c r="JVG36" s="204"/>
      <c r="JVH36" s="204"/>
      <c r="JVI36" s="204"/>
      <c r="JVJ36" s="204"/>
      <c r="JVK36" s="204"/>
      <c r="JVL36" s="204"/>
      <c r="JVM36" s="204"/>
      <c r="JVN36" s="204"/>
      <c r="JVO36" s="204"/>
      <c r="JVP36" s="204"/>
      <c r="JVQ36" s="204"/>
      <c r="JVR36" s="204"/>
      <c r="JVS36" s="204"/>
      <c r="JVT36" s="204"/>
      <c r="JVU36" s="204"/>
      <c r="JVV36" s="204"/>
      <c r="JVW36" s="204"/>
      <c r="JVX36" s="204"/>
      <c r="JVY36" s="204"/>
      <c r="JVZ36" s="204"/>
      <c r="JWA36" s="204"/>
      <c r="JWB36" s="204"/>
      <c r="JWC36" s="204"/>
      <c r="JWD36" s="204"/>
      <c r="JWE36" s="204"/>
      <c r="JWF36" s="204"/>
      <c r="JWG36" s="204"/>
      <c r="JWH36" s="204"/>
      <c r="JWI36" s="204"/>
      <c r="JWJ36" s="204"/>
      <c r="JWK36" s="204"/>
      <c r="JWL36" s="204"/>
      <c r="JWM36" s="204"/>
      <c r="JWN36" s="204"/>
      <c r="JWO36" s="204"/>
      <c r="JWP36" s="204"/>
      <c r="JWQ36" s="204"/>
      <c r="JWR36" s="204"/>
      <c r="JWS36" s="204"/>
      <c r="JWT36" s="204"/>
      <c r="JWU36" s="204"/>
      <c r="JWV36" s="204"/>
      <c r="JWW36" s="204"/>
      <c r="JWX36" s="204"/>
      <c r="JWY36" s="204"/>
      <c r="JWZ36" s="204"/>
      <c r="JXA36" s="204"/>
      <c r="JXB36" s="204"/>
      <c r="JXC36" s="204"/>
      <c r="JXD36" s="204"/>
      <c r="JXE36" s="204"/>
      <c r="JXF36" s="204"/>
      <c r="JXG36" s="204"/>
      <c r="JXH36" s="204"/>
      <c r="JXI36" s="204"/>
      <c r="JXJ36" s="204"/>
      <c r="JXK36" s="204"/>
      <c r="JXL36" s="204"/>
      <c r="JXM36" s="204"/>
      <c r="JXN36" s="204"/>
      <c r="JXO36" s="204"/>
      <c r="JXP36" s="204"/>
      <c r="JXQ36" s="204"/>
      <c r="JXR36" s="204"/>
      <c r="JXS36" s="204"/>
      <c r="JXT36" s="204"/>
      <c r="JXU36" s="204"/>
      <c r="JXV36" s="204"/>
      <c r="JXW36" s="204"/>
      <c r="JXX36" s="204"/>
      <c r="JXY36" s="204"/>
      <c r="JXZ36" s="204"/>
      <c r="JYA36" s="204"/>
      <c r="JYB36" s="204"/>
      <c r="JYC36" s="204"/>
      <c r="JYD36" s="204"/>
      <c r="JYE36" s="204"/>
      <c r="JYF36" s="204"/>
      <c r="JYG36" s="204"/>
      <c r="JYH36" s="204"/>
      <c r="JYI36" s="204"/>
      <c r="JYJ36" s="204"/>
      <c r="JYK36" s="204"/>
      <c r="JYL36" s="204"/>
      <c r="JYM36" s="204"/>
      <c r="JYN36" s="204"/>
      <c r="JYO36" s="204"/>
      <c r="JYP36" s="204"/>
      <c r="JYQ36" s="204"/>
      <c r="JYR36" s="204"/>
      <c r="JYS36" s="204"/>
      <c r="JYT36" s="204"/>
      <c r="JYU36" s="204"/>
      <c r="JYV36" s="204"/>
      <c r="JYW36" s="204"/>
      <c r="JYX36" s="204"/>
      <c r="JYY36" s="204"/>
      <c r="JYZ36" s="204"/>
      <c r="JZA36" s="204"/>
      <c r="JZB36" s="204"/>
      <c r="JZC36" s="204"/>
      <c r="JZD36" s="204"/>
      <c r="JZE36" s="204"/>
      <c r="JZF36" s="204"/>
      <c r="JZG36" s="204"/>
      <c r="JZH36" s="204"/>
      <c r="JZI36" s="204"/>
      <c r="JZJ36" s="204"/>
      <c r="JZK36" s="204"/>
      <c r="JZL36" s="204"/>
      <c r="JZM36" s="204"/>
      <c r="JZN36" s="204"/>
      <c r="JZO36" s="204"/>
      <c r="JZP36" s="204"/>
      <c r="JZQ36" s="204"/>
      <c r="JZR36" s="204"/>
      <c r="JZS36" s="204"/>
      <c r="JZT36" s="204"/>
      <c r="JZU36" s="204"/>
      <c r="JZV36" s="204"/>
      <c r="JZW36" s="204"/>
      <c r="JZX36" s="204"/>
      <c r="JZY36" s="204"/>
      <c r="JZZ36" s="204"/>
      <c r="KAA36" s="204"/>
      <c r="KAB36" s="204"/>
      <c r="KAC36" s="204"/>
      <c r="KAD36" s="204"/>
      <c r="KAE36" s="204"/>
      <c r="KAF36" s="204"/>
      <c r="KAG36" s="204"/>
      <c r="KAH36" s="204"/>
      <c r="KAI36" s="204"/>
      <c r="KAJ36" s="204"/>
      <c r="KAK36" s="204"/>
      <c r="KAL36" s="204"/>
      <c r="KAM36" s="204"/>
      <c r="KAN36" s="204"/>
      <c r="KAO36" s="204"/>
      <c r="KAP36" s="204"/>
      <c r="KAQ36" s="204"/>
      <c r="KAR36" s="204"/>
      <c r="KAS36" s="204"/>
      <c r="KAT36" s="204"/>
      <c r="KAU36" s="204"/>
      <c r="KAV36" s="204"/>
      <c r="KAW36" s="204"/>
      <c r="KAX36" s="204"/>
      <c r="KAY36" s="204"/>
      <c r="KAZ36" s="204"/>
      <c r="KBA36" s="204"/>
      <c r="KBB36" s="204"/>
      <c r="KBC36" s="204"/>
      <c r="KBD36" s="204"/>
      <c r="KBE36" s="204"/>
      <c r="KBF36" s="204"/>
      <c r="KBG36" s="204"/>
      <c r="KBH36" s="204"/>
      <c r="KBI36" s="204"/>
      <c r="KBJ36" s="204"/>
      <c r="KBK36" s="204"/>
      <c r="KBL36" s="204"/>
      <c r="KBM36" s="204"/>
      <c r="KBN36" s="204"/>
      <c r="KBO36" s="204"/>
      <c r="KBP36" s="204"/>
      <c r="KBQ36" s="204"/>
      <c r="KBR36" s="204"/>
      <c r="KBS36" s="204"/>
      <c r="KBT36" s="204"/>
      <c r="KBU36" s="204"/>
      <c r="KBV36" s="204"/>
      <c r="KBW36" s="204"/>
      <c r="KBX36" s="204"/>
      <c r="KBY36" s="204"/>
      <c r="KBZ36" s="204"/>
      <c r="KCA36" s="204"/>
      <c r="KCB36" s="204"/>
      <c r="KCC36" s="204"/>
      <c r="KCD36" s="204"/>
      <c r="KCE36" s="204"/>
      <c r="KCF36" s="204"/>
      <c r="KCG36" s="204"/>
      <c r="KCH36" s="204"/>
      <c r="KCI36" s="204"/>
      <c r="KCJ36" s="204"/>
      <c r="KCK36" s="204"/>
      <c r="KCL36" s="204"/>
      <c r="KCM36" s="204"/>
      <c r="KCN36" s="204"/>
      <c r="KCO36" s="204"/>
      <c r="KCP36" s="204"/>
      <c r="KCQ36" s="204"/>
      <c r="KCR36" s="204"/>
      <c r="KCS36" s="204"/>
      <c r="KCT36" s="204"/>
      <c r="KCU36" s="204"/>
      <c r="KCV36" s="204"/>
      <c r="KCW36" s="204"/>
      <c r="KCX36" s="204"/>
      <c r="KCY36" s="204"/>
      <c r="KCZ36" s="204"/>
      <c r="KDA36" s="204"/>
      <c r="KDB36" s="204"/>
      <c r="KDC36" s="204"/>
      <c r="KDD36" s="204"/>
      <c r="KDE36" s="204"/>
      <c r="KDF36" s="204"/>
      <c r="KDG36" s="204"/>
      <c r="KDH36" s="204"/>
      <c r="KDI36" s="204"/>
      <c r="KDJ36" s="204"/>
      <c r="KDK36" s="204"/>
      <c r="KDL36" s="204"/>
      <c r="KDM36" s="204"/>
      <c r="KDN36" s="204"/>
      <c r="KDO36" s="204"/>
      <c r="KDP36" s="204"/>
      <c r="KDQ36" s="204"/>
      <c r="KDR36" s="204"/>
      <c r="KDS36" s="204"/>
      <c r="KDT36" s="204"/>
      <c r="KDU36" s="204"/>
      <c r="KDV36" s="204"/>
      <c r="KDW36" s="204"/>
      <c r="KDX36" s="204"/>
      <c r="KDY36" s="204"/>
      <c r="KDZ36" s="204"/>
      <c r="KEA36" s="204"/>
      <c r="KEB36" s="204"/>
      <c r="KEC36" s="204"/>
      <c r="KED36" s="204"/>
      <c r="KEE36" s="204"/>
      <c r="KEF36" s="204"/>
      <c r="KEG36" s="204"/>
      <c r="KEH36" s="204"/>
      <c r="KEI36" s="204"/>
      <c r="KEJ36" s="204"/>
      <c r="KEK36" s="204"/>
      <c r="KEL36" s="204"/>
      <c r="KEM36" s="204"/>
      <c r="KEN36" s="204"/>
      <c r="KEO36" s="204"/>
      <c r="KEP36" s="204"/>
      <c r="KEQ36" s="204"/>
      <c r="KER36" s="204"/>
      <c r="KES36" s="204"/>
      <c r="KET36" s="204"/>
      <c r="KEU36" s="204"/>
      <c r="KEV36" s="204"/>
      <c r="KEW36" s="204"/>
      <c r="KEX36" s="204"/>
      <c r="KEY36" s="204"/>
      <c r="KEZ36" s="204"/>
      <c r="KFA36" s="204"/>
      <c r="KFB36" s="204"/>
      <c r="KFC36" s="204"/>
      <c r="KFD36" s="204"/>
      <c r="KFE36" s="204"/>
      <c r="KFF36" s="204"/>
      <c r="KFG36" s="204"/>
      <c r="KFH36" s="204"/>
      <c r="KFI36" s="204"/>
      <c r="KFJ36" s="204"/>
      <c r="KFK36" s="204"/>
      <c r="KFL36" s="204"/>
      <c r="KFM36" s="204"/>
      <c r="KFN36" s="204"/>
      <c r="KFO36" s="204"/>
      <c r="KFP36" s="204"/>
      <c r="KFQ36" s="204"/>
      <c r="KFR36" s="204"/>
      <c r="KFS36" s="204"/>
      <c r="KFT36" s="204"/>
      <c r="KFU36" s="204"/>
      <c r="KFV36" s="204"/>
      <c r="KFW36" s="204"/>
      <c r="KFX36" s="204"/>
      <c r="KFY36" s="204"/>
      <c r="KFZ36" s="204"/>
      <c r="KGA36" s="204"/>
      <c r="KGB36" s="204"/>
      <c r="KGC36" s="204"/>
      <c r="KGD36" s="204"/>
      <c r="KGE36" s="204"/>
      <c r="KGF36" s="204"/>
      <c r="KGG36" s="204"/>
      <c r="KGH36" s="204"/>
      <c r="KGI36" s="204"/>
      <c r="KGJ36" s="204"/>
      <c r="KGK36" s="204"/>
      <c r="KGL36" s="204"/>
      <c r="KGM36" s="204"/>
      <c r="KGN36" s="204"/>
      <c r="KGO36" s="204"/>
      <c r="KGP36" s="204"/>
      <c r="KGQ36" s="204"/>
      <c r="KGR36" s="204"/>
      <c r="KGS36" s="204"/>
      <c r="KGT36" s="204"/>
      <c r="KGU36" s="204"/>
      <c r="KGV36" s="204"/>
      <c r="KGW36" s="204"/>
      <c r="KGX36" s="204"/>
      <c r="KGY36" s="204"/>
      <c r="KGZ36" s="204"/>
      <c r="KHA36" s="204"/>
      <c r="KHB36" s="204"/>
      <c r="KHC36" s="204"/>
      <c r="KHD36" s="204"/>
      <c r="KHE36" s="204"/>
      <c r="KHF36" s="204"/>
      <c r="KHG36" s="204"/>
      <c r="KHH36" s="204"/>
      <c r="KHI36" s="204"/>
      <c r="KHJ36" s="204"/>
      <c r="KHK36" s="204"/>
      <c r="KHL36" s="204"/>
      <c r="KHM36" s="204"/>
      <c r="KHN36" s="204"/>
      <c r="KHO36" s="204"/>
      <c r="KHP36" s="204"/>
      <c r="KHQ36" s="204"/>
      <c r="KHR36" s="204"/>
      <c r="KHS36" s="204"/>
      <c r="KHT36" s="204"/>
      <c r="KHU36" s="204"/>
      <c r="KHV36" s="204"/>
      <c r="KHW36" s="204"/>
      <c r="KHX36" s="204"/>
      <c r="KHY36" s="204"/>
      <c r="KHZ36" s="204"/>
      <c r="KIA36" s="204"/>
      <c r="KIB36" s="204"/>
      <c r="KIC36" s="204"/>
      <c r="KID36" s="204"/>
      <c r="KIE36" s="204"/>
      <c r="KIF36" s="204"/>
      <c r="KIG36" s="204"/>
      <c r="KIH36" s="204"/>
      <c r="KII36" s="204"/>
      <c r="KIJ36" s="204"/>
      <c r="KIK36" s="204"/>
      <c r="KIL36" s="204"/>
      <c r="KIM36" s="204"/>
      <c r="KIN36" s="204"/>
      <c r="KIO36" s="204"/>
      <c r="KIP36" s="204"/>
      <c r="KIQ36" s="204"/>
      <c r="KIR36" s="204"/>
      <c r="KIS36" s="204"/>
      <c r="KIT36" s="204"/>
      <c r="KIU36" s="204"/>
      <c r="KIV36" s="204"/>
      <c r="KIW36" s="204"/>
      <c r="KIX36" s="204"/>
      <c r="KIY36" s="204"/>
      <c r="KIZ36" s="204"/>
      <c r="KJA36" s="204"/>
      <c r="KJB36" s="204"/>
      <c r="KJC36" s="204"/>
      <c r="KJD36" s="204"/>
      <c r="KJE36" s="204"/>
      <c r="KJF36" s="204"/>
      <c r="KJG36" s="204"/>
      <c r="KJH36" s="204"/>
      <c r="KJI36" s="204"/>
      <c r="KJJ36" s="204"/>
      <c r="KJK36" s="204"/>
      <c r="KJL36" s="204"/>
      <c r="KJM36" s="204"/>
      <c r="KJN36" s="204"/>
      <c r="KJO36" s="204"/>
      <c r="KJP36" s="204"/>
      <c r="KJQ36" s="204"/>
      <c r="KJR36" s="204"/>
      <c r="KJS36" s="204"/>
      <c r="KJT36" s="204"/>
      <c r="KJU36" s="204"/>
      <c r="KJV36" s="204"/>
      <c r="KJW36" s="204"/>
      <c r="KJX36" s="204"/>
      <c r="KJY36" s="204"/>
      <c r="KJZ36" s="204"/>
      <c r="KKA36" s="204"/>
      <c r="KKB36" s="204"/>
      <c r="KKC36" s="204"/>
      <c r="KKD36" s="204"/>
      <c r="KKE36" s="204"/>
      <c r="KKF36" s="204"/>
      <c r="KKG36" s="204"/>
      <c r="KKH36" s="204"/>
      <c r="KKI36" s="204"/>
      <c r="KKJ36" s="204"/>
      <c r="KKK36" s="204"/>
      <c r="KKL36" s="204"/>
      <c r="KKM36" s="204"/>
      <c r="KKN36" s="204"/>
      <c r="KKO36" s="204"/>
      <c r="KKP36" s="204"/>
      <c r="KKQ36" s="204"/>
      <c r="KKR36" s="204"/>
      <c r="KKS36" s="204"/>
      <c r="KKT36" s="204"/>
      <c r="KKU36" s="204"/>
      <c r="KKV36" s="204"/>
      <c r="KKW36" s="204"/>
      <c r="KKX36" s="204"/>
      <c r="KKY36" s="204"/>
      <c r="KKZ36" s="204"/>
      <c r="KLA36" s="204"/>
      <c r="KLB36" s="204"/>
      <c r="KLC36" s="204"/>
      <c r="KLD36" s="204"/>
      <c r="KLE36" s="204"/>
      <c r="KLF36" s="204"/>
      <c r="KLG36" s="204"/>
      <c r="KLH36" s="204"/>
      <c r="KLI36" s="204"/>
      <c r="KLJ36" s="204"/>
      <c r="KLK36" s="204"/>
      <c r="KLL36" s="204"/>
      <c r="KLM36" s="204"/>
      <c r="KLN36" s="204"/>
      <c r="KLO36" s="204"/>
      <c r="KLP36" s="204"/>
      <c r="KLQ36" s="204"/>
      <c r="KLR36" s="204"/>
      <c r="KLS36" s="204"/>
      <c r="KLT36" s="204"/>
      <c r="KLU36" s="204"/>
      <c r="KLV36" s="204"/>
      <c r="KLW36" s="204"/>
      <c r="KLX36" s="204"/>
      <c r="KLY36" s="204"/>
      <c r="KLZ36" s="204"/>
      <c r="KMA36" s="204"/>
      <c r="KMB36" s="204"/>
      <c r="KMC36" s="204"/>
      <c r="KMD36" s="204"/>
      <c r="KME36" s="204"/>
      <c r="KMF36" s="204"/>
      <c r="KMG36" s="204"/>
      <c r="KMH36" s="204"/>
      <c r="KMI36" s="204"/>
      <c r="KMJ36" s="204"/>
      <c r="KMK36" s="204"/>
      <c r="KML36" s="204"/>
      <c r="KMM36" s="204"/>
      <c r="KMN36" s="204"/>
      <c r="KMO36" s="204"/>
      <c r="KMP36" s="204"/>
      <c r="KMQ36" s="204"/>
      <c r="KMR36" s="204"/>
      <c r="KMS36" s="204"/>
      <c r="KMT36" s="204"/>
      <c r="KMU36" s="204"/>
      <c r="KMV36" s="204"/>
      <c r="KMW36" s="204"/>
      <c r="KMX36" s="204"/>
      <c r="KMY36" s="204"/>
      <c r="KMZ36" s="204"/>
      <c r="KNA36" s="204"/>
      <c r="KNB36" s="204"/>
      <c r="KNC36" s="204"/>
      <c r="KND36" s="204"/>
      <c r="KNE36" s="204"/>
      <c r="KNF36" s="204"/>
      <c r="KNG36" s="204"/>
      <c r="KNH36" s="204"/>
      <c r="KNI36" s="204"/>
      <c r="KNJ36" s="204"/>
      <c r="KNK36" s="204"/>
      <c r="KNL36" s="204"/>
      <c r="KNM36" s="204"/>
      <c r="KNN36" s="204"/>
      <c r="KNO36" s="204"/>
      <c r="KNP36" s="204"/>
      <c r="KNQ36" s="204"/>
      <c r="KNR36" s="204"/>
      <c r="KNS36" s="204"/>
      <c r="KNT36" s="204"/>
      <c r="KNU36" s="204"/>
      <c r="KNV36" s="204"/>
      <c r="KNW36" s="204"/>
      <c r="KNX36" s="204"/>
      <c r="KNY36" s="204"/>
      <c r="KNZ36" s="204"/>
      <c r="KOA36" s="204"/>
      <c r="KOB36" s="204"/>
      <c r="KOC36" s="204"/>
      <c r="KOD36" s="204"/>
      <c r="KOE36" s="204"/>
      <c r="KOF36" s="204"/>
      <c r="KOG36" s="204"/>
      <c r="KOH36" s="204"/>
      <c r="KOI36" s="204"/>
      <c r="KOJ36" s="204"/>
      <c r="KOK36" s="204"/>
      <c r="KOL36" s="204"/>
      <c r="KOM36" s="204"/>
      <c r="KON36" s="204"/>
      <c r="KOO36" s="204"/>
      <c r="KOP36" s="204"/>
      <c r="KOQ36" s="204"/>
      <c r="KOR36" s="204"/>
      <c r="KOS36" s="204"/>
      <c r="KOT36" s="204"/>
      <c r="KOU36" s="204"/>
      <c r="KOV36" s="204"/>
      <c r="KOW36" s="204"/>
      <c r="KOX36" s="204"/>
      <c r="KOY36" s="204"/>
      <c r="KOZ36" s="204"/>
      <c r="KPA36" s="204"/>
      <c r="KPB36" s="204"/>
      <c r="KPC36" s="204"/>
      <c r="KPD36" s="204"/>
      <c r="KPE36" s="204"/>
      <c r="KPF36" s="204"/>
      <c r="KPG36" s="204"/>
      <c r="KPH36" s="204"/>
      <c r="KPI36" s="204"/>
      <c r="KPJ36" s="204"/>
      <c r="KPK36" s="204"/>
      <c r="KPL36" s="204"/>
      <c r="KPM36" s="204"/>
      <c r="KPN36" s="204"/>
      <c r="KPO36" s="204"/>
      <c r="KPP36" s="204"/>
      <c r="KPQ36" s="204"/>
      <c r="KPR36" s="204"/>
      <c r="KPS36" s="204"/>
      <c r="KPT36" s="204"/>
      <c r="KPU36" s="204"/>
      <c r="KPV36" s="204"/>
      <c r="KPW36" s="204"/>
      <c r="KPX36" s="204"/>
      <c r="KPY36" s="204"/>
      <c r="KPZ36" s="204"/>
      <c r="KQA36" s="204"/>
      <c r="KQB36" s="204"/>
      <c r="KQC36" s="204"/>
      <c r="KQD36" s="204"/>
      <c r="KQE36" s="204"/>
      <c r="KQF36" s="204"/>
      <c r="KQG36" s="204"/>
      <c r="KQH36" s="204"/>
      <c r="KQI36" s="204"/>
      <c r="KQJ36" s="204"/>
      <c r="KQK36" s="204"/>
      <c r="KQL36" s="204"/>
      <c r="KQM36" s="204"/>
      <c r="KQN36" s="204"/>
      <c r="KQO36" s="204"/>
      <c r="KQP36" s="204"/>
      <c r="KQQ36" s="204"/>
      <c r="KQR36" s="204"/>
      <c r="KQS36" s="204"/>
      <c r="KQT36" s="204"/>
      <c r="KQU36" s="204"/>
      <c r="KQV36" s="204"/>
      <c r="KQW36" s="204"/>
      <c r="KQX36" s="204"/>
      <c r="KQY36" s="204"/>
      <c r="KQZ36" s="204"/>
      <c r="KRA36" s="204"/>
      <c r="KRB36" s="204"/>
      <c r="KRC36" s="204"/>
      <c r="KRD36" s="204"/>
      <c r="KRE36" s="204"/>
      <c r="KRF36" s="204"/>
      <c r="KRG36" s="204"/>
      <c r="KRH36" s="204"/>
      <c r="KRI36" s="204"/>
      <c r="KRJ36" s="204"/>
      <c r="KRK36" s="204"/>
      <c r="KRL36" s="204"/>
      <c r="KRM36" s="204"/>
      <c r="KRN36" s="204"/>
      <c r="KRO36" s="204"/>
      <c r="KRP36" s="204"/>
      <c r="KRQ36" s="204"/>
      <c r="KRR36" s="204"/>
      <c r="KRS36" s="204"/>
      <c r="KRT36" s="204"/>
      <c r="KRU36" s="204"/>
      <c r="KRV36" s="204"/>
      <c r="KRW36" s="204"/>
      <c r="KRX36" s="204"/>
      <c r="KRY36" s="204"/>
      <c r="KRZ36" s="204"/>
      <c r="KSA36" s="204"/>
      <c r="KSB36" s="204"/>
      <c r="KSC36" s="204"/>
      <c r="KSD36" s="204"/>
      <c r="KSE36" s="204"/>
      <c r="KSF36" s="204"/>
      <c r="KSG36" s="204"/>
      <c r="KSH36" s="204"/>
      <c r="KSI36" s="204"/>
      <c r="KSJ36" s="204"/>
      <c r="KSK36" s="204"/>
      <c r="KSL36" s="204"/>
      <c r="KSM36" s="204"/>
      <c r="KSN36" s="204"/>
      <c r="KSO36" s="204"/>
      <c r="KSP36" s="204"/>
      <c r="KSQ36" s="204"/>
      <c r="KSR36" s="204"/>
      <c r="KSS36" s="204"/>
      <c r="KST36" s="204"/>
      <c r="KSU36" s="204"/>
      <c r="KSV36" s="204"/>
      <c r="KSW36" s="204"/>
      <c r="KSX36" s="204"/>
      <c r="KSY36" s="204"/>
      <c r="KSZ36" s="204"/>
      <c r="KTA36" s="204"/>
      <c r="KTB36" s="204"/>
      <c r="KTC36" s="204"/>
      <c r="KTD36" s="204"/>
      <c r="KTE36" s="204"/>
      <c r="KTF36" s="204"/>
      <c r="KTG36" s="204"/>
      <c r="KTH36" s="204"/>
      <c r="KTI36" s="204"/>
      <c r="KTJ36" s="204"/>
      <c r="KTK36" s="204"/>
      <c r="KTL36" s="204"/>
      <c r="KTM36" s="204"/>
      <c r="KTN36" s="204"/>
      <c r="KTO36" s="204"/>
      <c r="KTP36" s="204"/>
      <c r="KTQ36" s="204"/>
      <c r="KTR36" s="204"/>
      <c r="KTS36" s="204"/>
      <c r="KTT36" s="204"/>
      <c r="KTU36" s="204"/>
      <c r="KTV36" s="204"/>
      <c r="KTW36" s="204"/>
      <c r="KTX36" s="204"/>
      <c r="KTY36" s="204"/>
      <c r="KTZ36" s="204"/>
      <c r="KUA36" s="204"/>
      <c r="KUB36" s="204"/>
      <c r="KUC36" s="204"/>
      <c r="KUD36" s="204"/>
      <c r="KUE36" s="204"/>
      <c r="KUF36" s="204"/>
      <c r="KUG36" s="204"/>
      <c r="KUH36" s="204"/>
      <c r="KUI36" s="204"/>
      <c r="KUJ36" s="204"/>
      <c r="KUK36" s="204"/>
      <c r="KUL36" s="204"/>
      <c r="KUM36" s="204"/>
      <c r="KUN36" s="204"/>
      <c r="KUO36" s="204"/>
      <c r="KUP36" s="204"/>
      <c r="KUQ36" s="204"/>
      <c r="KUR36" s="204"/>
      <c r="KUS36" s="204"/>
      <c r="KUT36" s="204"/>
      <c r="KUU36" s="204"/>
      <c r="KUV36" s="204"/>
      <c r="KUW36" s="204"/>
      <c r="KUX36" s="204"/>
      <c r="KUY36" s="204"/>
      <c r="KUZ36" s="204"/>
      <c r="KVA36" s="204"/>
      <c r="KVB36" s="204"/>
      <c r="KVC36" s="204"/>
      <c r="KVD36" s="204"/>
      <c r="KVE36" s="204"/>
      <c r="KVF36" s="204"/>
      <c r="KVG36" s="204"/>
      <c r="KVH36" s="204"/>
      <c r="KVI36" s="204"/>
      <c r="KVJ36" s="204"/>
      <c r="KVK36" s="204"/>
      <c r="KVL36" s="204"/>
      <c r="KVM36" s="204"/>
      <c r="KVN36" s="204"/>
      <c r="KVO36" s="204"/>
      <c r="KVP36" s="204"/>
      <c r="KVQ36" s="204"/>
      <c r="KVR36" s="204"/>
      <c r="KVS36" s="204"/>
      <c r="KVT36" s="204"/>
      <c r="KVU36" s="204"/>
      <c r="KVV36" s="204"/>
      <c r="KVW36" s="204"/>
      <c r="KVX36" s="204"/>
      <c r="KVY36" s="204"/>
      <c r="KVZ36" s="204"/>
      <c r="KWA36" s="204"/>
      <c r="KWB36" s="204"/>
      <c r="KWC36" s="204"/>
      <c r="KWD36" s="204"/>
      <c r="KWE36" s="204"/>
      <c r="KWF36" s="204"/>
      <c r="KWG36" s="204"/>
      <c r="KWH36" s="204"/>
      <c r="KWI36" s="204"/>
      <c r="KWJ36" s="204"/>
      <c r="KWK36" s="204"/>
      <c r="KWL36" s="204"/>
      <c r="KWM36" s="204"/>
      <c r="KWN36" s="204"/>
      <c r="KWO36" s="204"/>
      <c r="KWP36" s="204"/>
      <c r="KWQ36" s="204"/>
      <c r="KWR36" s="204"/>
      <c r="KWS36" s="204"/>
      <c r="KWT36" s="204"/>
      <c r="KWU36" s="204"/>
      <c r="KWV36" s="204"/>
      <c r="KWW36" s="204"/>
      <c r="KWX36" s="204"/>
      <c r="KWY36" s="204"/>
      <c r="KWZ36" s="204"/>
      <c r="KXA36" s="204"/>
      <c r="KXB36" s="204"/>
      <c r="KXC36" s="204"/>
      <c r="KXD36" s="204"/>
      <c r="KXE36" s="204"/>
      <c r="KXF36" s="204"/>
      <c r="KXG36" s="204"/>
      <c r="KXH36" s="204"/>
      <c r="KXI36" s="204"/>
      <c r="KXJ36" s="204"/>
      <c r="KXK36" s="204"/>
      <c r="KXL36" s="204"/>
      <c r="KXM36" s="204"/>
      <c r="KXN36" s="204"/>
      <c r="KXO36" s="204"/>
      <c r="KXP36" s="204"/>
      <c r="KXQ36" s="204"/>
      <c r="KXR36" s="204"/>
      <c r="KXS36" s="204"/>
      <c r="KXT36" s="204"/>
      <c r="KXU36" s="204"/>
      <c r="KXV36" s="204"/>
      <c r="KXW36" s="204"/>
      <c r="KXX36" s="204"/>
      <c r="KXY36" s="204"/>
      <c r="KXZ36" s="204"/>
      <c r="KYA36" s="204"/>
      <c r="KYB36" s="204"/>
      <c r="KYC36" s="204"/>
      <c r="KYD36" s="204"/>
      <c r="KYE36" s="204"/>
      <c r="KYF36" s="204"/>
      <c r="KYG36" s="204"/>
      <c r="KYH36" s="204"/>
      <c r="KYI36" s="204"/>
      <c r="KYJ36" s="204"/>
      <c r="KYK36" s="204"/>
      <c r="KYL36" s="204"/>
      <c r="KYM36" s="204"/>
      <c r="KYN36" s="204"/>
      <c r="KYO36" s="204"/>
      <c r="KYP36" s="204"/>
      <c r="KYQ36" s="204"/>
      <c r="KYR36" s="204"/>
      <c r="KYS36" s="204"/>
      <c r="KYT36" s="204"/>
      <c r="KYU36" s="204"/>
      <c r="KYV36" s="204"/>
      <c r="KYW36" s="204"/>
      <c r="KYX36" s="204"/>
      <c r="KYY36" s="204"/>
      <c r="KYZ36" s="204"/>
      <c r="KZA36" s="204"/>
      <c r="KZB36" s="204"/>
      <c r="KZC36" s="204"/>
      <c r="KZD36" s="204"/>
      <c r="KZE36" s="204"/>
      <c r="KZF36" s="204"/>
      <c r="KZG36" s="204"/>
      <c r="KZH36" s="204"/>
      <c r="KZI36" s="204"/>
      <c r="KZJ36" s="204"/>
      <c r="KZK36" s="204"/>
      <c r="KZL36" s="204"/>
      <c r="KZM36" s="204"/>
      <c r="KZN36" s="204"/>
      <c r="KZO36" s="204"/>
      <c r="KZP36" s="204"/>
      <c r="KZQ36" s="204"/>
      <c r="KZR36" s="204"/>
      <c r="KZS36" s="204"/>
      <c r="KZT36" s="204"/>
      <c r="KZU36" s="204"/>
      <c r="KZV36" s="204"/>
      <c r="KZW36" s="204"/>
      <c r="KZX36" s="204"/>
      <c r="KZY36" s="204"/>
      <c r="KZZ36" s="204"/>
      <c r="LAA36" s="204"/>
      <c r="LAB36" s="204"/>
      <c r="LAC36" s="204"/>
      <c r="LAD36" s="204"/>
      <c r="LAE36" s="204"/>
      <c r="LAF36" s="204"/>
      <c r="LAG36" s="204"/>
      <c r="LAH36" s="204"/>
      <c r="LAI36" s="204"/>
      <c r="LAJ36" s="204"/>
      <c r="LAK36" s="204"/>
      <c r="LAL36" s="204"/>
      <c r="LAM36" s="204"/>
      <c r="LAN36" s="204"/>
      <c r="LAO36" s="204"/>
      <c r="LAP36" s="204"/>
      <c r="LAQ36" s="204"/>
      <c r="LAR36" s="204"/>
      <c r="LAS36" s="204"/>
      <c r="LAT36" s="204"/>
      <c r="LAU36" s="204"/>
      <c r="LAV36" s="204"/>
      <c r="LAW36" s="204"/>
      <c r="LAX36" s="204"/>
      <c r="LAY36" s="204"/>
      <c r="LAZ36" s="204"/>
      <c r="LBA36" s="204"/>
      <c r="LBB36" s="204"/>
      <c r="LBC36" s="204"/>
      <c r="LBD36" s="204"/>
      <c r="LBE36" s="204"/>
      <c r="LBF36" s="204"/>
      <c r="LBG36" s="204"/>
      <c r="LBH36" s="204"/>
      <c r="LBI36" s="204"/>
      <c r="LBJ36" s="204"/>
      <c r="LBK36" s="204"/>
      <c r="LBL36" s="204"/>
      <c r="LBM36" s="204"/>
      <c r="LBN36" s="204"/>
      <c r="LBO36" s="204"/>
      <c r="LBP36" s="204"/>
      <c r="LBQ36" s="204"/>
      <c r="LBR36" s="204"/>
      <c r="LBS36" s="204"/>
      <c r="LBT36" s="204"/>
      <c r="LBU36" s="204"/>
      <c r="LBV36" s="204"/>
      <c r="LBW36" s="204"/>
      <c r="LBX36" s="204"/>
      <c r="LBY36" s="204"/>
      <c r="LBZ36" s="204"/>
      <c r="LCA36" s="204"/>
      <c r="LCB36" s="204"/>
      <c r="LCC36" s="204"/>
      <c r="LCD36" s="204"/>
      <c r="LCE36" s="204"/>
      <c r="LCF36" s="204"/>
      <c r="LCG36" s="204"/>
      <c r="LCH36" s="204"/>
      <c r="LCI36" s="204"/>
      <c r="LCJ36" s="204"/>
      <c r="LCK36" s="204"/>
      <c r="LCL36" s="204"/>
      <c r="LCM36" s="204"/>
      <c r="LCN36" s="204"/>
      <c r="LCO36" s="204"/>
      <c r="LCP36" s="204"/>
      <c r="LCQ36" s="204"/>
      <c r="LCR36" s="204"/>
      <c r="LCS36" s="204"/>
      <c r="LCT36" s="204"/>
      <c r="LCU36" s="204"/>
      <c r="LCV36" s="204"/>
      <c r="LCW36" s="204"/>
      <c r="LCX36" s="204"/>
      <c r="LCY36" s="204"/>
      <c r="LCZ36" s="204"/>
      <c r="LDA36" s="204"/>
      <c r="LDB36" s="204"/>
      <c r="LDC36" s="204"/>
      <c r="LDD36" s="204"/>
      <c r="LDE36" s="204"/>
      <c r="LDF36" s="204"/>
      <c r="LDG36" s="204"/>
      <c r="LDH36" s="204"/>
      <c r="LDI36" s="204"/>
      <c r="LDJ36" s="204"/>
      <c r="LDK36" s="204"/>
      <c r="LDL36" s="204"/>
      <c r="LDM36" s="204"/>
      <c r="LDN36" s="204"/>
      <c r="LDO36" s="204"/>
      <c r="LDP36" s="204"/>
      <c r="LDQ36" s="204"/>
      <c r="LDR36" s="204"/>
      <c r="LDS36" s="204"/>
      <c r="LDT36" s="204"/>
      <c r="LDU36" s="204"/>
      <c r="LDV36" s="204"/>
      <c r="LDW36" s="204"/>
      <c r="LDX36" s="204"/>
      <c r="LDY36" s="204"/>
      <c r="LDZ36" s="204"/>
      <c r="LEA36" s="204"/>
      <c r="LEB36" s="204"/>
      <c r="LEC36" s="204"/>
      <c r="LED36" s="204"/>
      <c r="LEE36" s="204"/>
      <c r="LEF36" s="204"/>
      <c r="LEG36" s="204"/>
      <c r="LEH36" s="204"/>
      <c r="LEI36" s="204"/>
      <c r="LEJ36" s="204"/>
      <c r="LEK36" s="204"/>
      <c r="LEL36" s="204"/>
      <c r="LEM36" s="204"/>
      <c r="LEN36" s="204"/>
      <c r="LEO36" s="204"/>
      <c r="LEP36" s="204"/>
      <c r="LEQ36" s="204"/>
      <c r="LER36" s="204"/>
      <c r="LES36" s="204"/>
      <c r="LET36" s="204"/>
      <c r="LEU36" s="204"/>
      <c r="LEV36" s="204"/>
      <c r="LEW36" s="204"/>
      <c r="LEX36" s="204"/>
      <c r="LEY36" s="204"/>
      <c r="LEZ36" s="204"/>
      <c r="LFA36" s="204"/>
      <c r="LFB36" s="204"/>
      <c r="LFC36" s="204"/>
      <c r="LFD36" s="204"/>
      <c r="LFE36" s="204"/>
      <c r="LFF36" s="204"/>
      <c r="LFG36" s="204"/>
      <c r="LFH36" s="204"/>
      <c r="LFI36" s="204"/>
      <c r="LFJ36" s="204"/>
      <c r="LFK36" s="204"/>
      <c r="LFL36" s="204"/>
      <c r="LFM36" s="204"/>
      <c r="LFN36" s="204"/>
      <c r="LFO36" s="204"/>
      <c r="LFP36" s="204"/>
      <c r="LFQ36" s="204"/>
      <c r="LFR36" s="204"/>
      <c r="LFS36" s="204"/>
      <c r="LFT36" s="204"/>
      <c r="LFU36" s="204"/>
      <c r="LFV36" s="204"/>
      <c r="LFW36" s="204"/>
      <c r="LFX36" s="204"/>
      <c r="LFY36" s="204"/>
      <c r="LFZ36" s="204"/>
      <c r="LGA36" s="204"/>
      <c r="LGB36" s="204"/>
      <c r="LGC36" s="204"/>
      <c r="LGD36" s="204"/>
      <c r="LGE36" s="204"/>
      <c r="LGF36" s="204"/>
      <c r="LGG36" s="204"/>
      <c r="LGH36" s="204"/>
      <c r="LGI36" s="204"/>
      <c r="LGJ36" s="204"/>
      <c r="LGK36" s="204"/>
      <c r="LGL36" s="204"/>
      <c r="LGM36" s="204"/>
      <c r="LGN36" s="204"/>
      <c r="LGO36" s="204"/>
      <c r="LGP36" s="204"/>
      <c r="LGQ36" s="204"/>
      <c r="LGR36" s="204"/>
      <c r="LGS36" s="204"/>
      <c r="LGT36" s="204"/>
      <c r="LGU36" s="204"/>
      <c r="LGV36" s="204"/>
      <c r="LGW36" s="204"/>
      <c r="LGX36" s="204"/>
      <c r="LGY36" s="204"/>
      <c r="LGZ36" s="204"/>
      <c r="LHA36" s="204"/>
      <c r="LHB36" s="204"/>
      <c r="LHC36" s="204"/>
      <c r="LHD36" s="204"/>
      <c r="LHE36" s="204"/>
      <c r="LHF36" s="204"/>
      <c r="LHG36" s="204"/>
      <c r="LHH36" s="204"/>
      <c r="LHI36" s="204"/>
      <c r="LHJ36" s="204"/>
      <c r="LHK36" s="204"/>
      <c r="LHL36" s="204"/>
      <c r="LHM36" s="204"/>
      <c r="LHN36" s="204"/>
      <c r="LHO36" s="204"/>
      <c r="LHP36" s="204"/>
      <c r="LHQ36" s="204"/>
      <c r="LHR36" s="204"/>
      <c r="LHS36" s="204"/>
      <c r="LHT36" s="204"/>
      <c r="LHU36" s="204"/>
      <c r="LHV36" s="204"/>
      <c r="LHW36" s="204"/>
      <c r="LHX36" s="204"/>
      <c r="LHY36" s="204"/>
      <c r="LHZ36" s="204"/>
      <c r="LIA36" s="204"/>
      <c r="LIB36" s="204"/>
      <c r="LIC36" s="204"/>
      <c r="LID36" s="204"/>
      <c r="LIE36" s="204"/>
      <c r="LIF36" s="204"/>
      <c r="LIG36" s="204"/>
      <c r="LIH36" s="204"/>
      <c r="LII36" s="204"/>
      <c r="LIJ36" s="204"/>
      <c r="LIK36" s="204"/>
      <c r="LIL36" s="204"/>
      <c r="LIM36" s="204"/>
      <c r="LIN36" s="204"/>
      <c r="LIO36" s="204"/>
      <c r="LIP36" s="204"/>
      <c r="LIQ36" s="204"/>
      <c r="LIR36" s="204"/>
      <c r="LIS36" s="204"/>
      <c r="LIT36" s="204"/>
      <c r="LIU36" s="204"/>
      <c r="LIV36" s="204"/>
      <c r="LIW36" s="204"/>
      <c r="LIX36" s="204"/>
      <c r="LIY36" s="204"/>
      <c r="LIZ36" s="204"/>
      <c r="LJA36" s="204"/>
      <c r="LJB36" s="204"/>
      <c r="LJC36" s="204"/>
      <c r="LJD36" s="204"/>
      <c r="LJE36" s="204"/>
      <c r="LJF36" s="204"/>
      <c r="LJG36" s="204"/>
      <c r="LJH36" s="204"/>
      <c r="LJI36" s="204"/>
      <c r="LJJ36" s="204"/>
      <c r="LJK36" s="204"/>
      <c r="LJL36" s="204"/>
      <c r="LJM36" s="204"/>
      <c r="LJN36" s="204"/>
      <c r="LJO36" s="204"/>
      <c r="LJP36" s="204"/>
      <c r="LJQ36" s="204"/>
      <c r="LJR36" s="204"/>
      <c r="LJS36" s="204"/>
      <c r="LJT36" s="204"/>
      <c r="LJU36" s="204"/>
      <c r="LJV36" s="204"/>
      <c r="LJW36" s="204"/>
      <c r="LJX36" s="204"/>
      <c r="LJY36" s="204"/>
      <c r="LJZ36" s="204"/>
      <c r="LKA36" s="204"/>
      <c r="LKB36" s="204"/>
      <c r="LKC36" s="204"/>
      <c r="LKD36" s="204"/>
      <c r="LKE36" s="204"/>
      <c r="LKF36" s="204"/>
      <c r="LKG36" s="204"/>
      <c r="LKH36" s="204"/>
      <c r="LKI36" s="204"/>
      <c r="LKJ36" s="204"/>
      <c r="LKK36" s="204"/>
      <c r="LKL36" s="204"/>
      <c r="LKM36" s="204"/>
      <c r="LKN36" s="204"/>
      <c r="LKO36" s="204"/>
      <c r="LKP36" s="204"/>
      <c r="LKQ36" s="204"/>
      <c r="LKR36" s="204"/>
      <c r="LKS36" s="204"/>
      <c r="LKT36" s="204"/>
      <c r="LKU36" s="204"/>
      <c r="LKV36" s="204"/>
      <c r="LKW36" s="204"/>
      <c r="LKX36" s="204"/>
      <c r="LKY36" s="204"/>
      <c r="LKZ36" s="204"/>
      <c r="LLA36" s="204"/>
      <c r="LLB36" s="204"/>
      <c r="LLC36" s="204"/>
      <c r="LLD36" s="204"/>
      <c r="LLE36" s="204"/>
      <c r="LLF36" s="204"/>
      <c r="LLG36" s="204"/>
      <c r="LLH36" s="204"/>
      <c r="LLI36" s="204"/>
      <c r="LLJ36" s="204"/>
      <c r="LLK36" s="204"/>
      <c r="LLL36" s="204"/>
      <c r="LLM36" s="204"/>
      <c r="LLN36" s="204"/>
      <c r="LLO36" s="204"/>
      <c r="LLP36" s="204"/>
      <c r="LLQ36" s="204"/>
      <c r="LLR36" s="204"/>
      <c r="LLS36" s="204"/>
      <c r="LLT36" s="204"/>
      <c r="LLU36" s="204"/>
      <c r="LLV36" s="204"/>
      <c r="LLW36" s="204"/>
      <c r="LLX36" s="204"/>
      <c r="LLY36" s="204"/>
      <c r="LLZ36" s="204"/>
      <c r="LMA36" s="204"/>
      <c r="LMB36" s="204"/>
      <c r="LMC36" s="204"/>
      <c r="LMD36" s="204"/>
      <c r="LME36" s="204"/>
      <c r="LMF36" s="204"/>
      <c r="LMG36" s="204"/>
      <c r="LMH36" s="204"/>
      <c r="LMI36" s="204"/>
      <c r="LMJ36" s="204"/>
      <c r="LMK36" s="204"/>
      <c r="LML36" s="204"/>
      <c r="LMM36" s="204"/>
      <c r="LMN36" s="204"/>
      <c r="LMO36" s="204"/>
      <c r="LMP36" s="204"/>
      <c r="LMQ36" s="204"/>
      <c r="LMR36" s="204"/>
      <c r="LMS36" s="204"/>
      <c r="LMT36" s="204"/>
      <c r="LMU36" s="204"/>
      <c r="LMV36" s="204"/>
      <c r="LMW36" s="204"/>
      <c r="LMX36" s="204"/>
      <c r="LMY36" s="204"/>
      <c r="LMZ36" s="204"/>
      <c r="LNA36" s="204"/>
      <c r="LNB36" s="204"/>
      <c r="LNC36" s="204"/>
      <c r="LND36" s="204"/>
      <c r="LNE36" s="204"/>
      <c r="LNF36" s="204"/>
      <c r="LNG36" s="204"/>
      <c r="LNH36" s="204"/>
      <c r="LNI36" s="204"/>
      <c r="LNJ36" s="204"/>
      <c r="LNK36" s="204"/>
      <c r="LNL36" s="204"/>
      <c r="LNM36" s="204"/>
      <c r="LNN36" s="204"/>
      <c r="LNO36" s="204"/>
      <c r="LNP36" s="204"/>
      <c r="LNQ36" s="204"/>
      <c r="LNR36" s="204"/>
      <c r="LNS36" s="204"/>
      <c r="LNT36" s="204"/>
      <c r="LNU36" s="204"/>
      <c r="LNV36" s="204"/>
      <c r="LNW36" s="204"/>
      <c r="LNX36" s="204"/>
      <c r="LNY36" s="204"/>
      <c r="LNZ36" s="204"/>
      <c r="LOA36" s="204"/>
      <c r="LOB36" s="204"/>
      <c r="LOC36" s="204"/>
      <c r="LOD36" s="204"/>
      <c r="LOE36" s="204"/>
      <c r="LOF36" s="204"/>
      <c r="LOG36" s="204"/>
      <c r="LOH36" s="204"/>
      <c r="LOI36" s="204"/>
      <c r="LOJ36" s="204"/>
      <c r="LOK36" s="204"/>
      <c r="LOL36" s="204"/>
      <c r="LOM36" s="204"/>
      <c r="LON36" s="204"/>
      <c r="LOO36" s="204"/>
      <c r="LOP36" s="204"/>
      <c r="LOQ36" s="204"/>
      <c r="LOR36" s="204"/>
      <c r="LOS36" s="204"/>
      <c r="LOT36" s="204"/>
      <c r="LOU36" s="204"/>
      <c r="LOV36" s="204"/>
      <c r="LOW36" s="204"/>
      <c r="LOX36" s="204"/>
      <c r="LOY36" s="204"/>
      <c r="LOZ36" s="204"/>
      <c r="LPA36" s="204"/>
      <c r="LPB36" s="204"/>
      <c r="LPC36" s="204"/>
      <c r="LPD36" s="204"/>
      <c r="LPE36" s="204"/>
      <c r="LPF36" s="204"/>
      <c r="LPG36" s="204"/>
      <c r="LPH36" s="204"/>
      <c r="LPI36" s="204"/>
      <c r="LPJ36" s="204"/>
      <c r="LPK36" s="204"/>
      <c r="LPL36" s="204"/>
      <c r="LPM36" s="204"/>
      <c r="LPN36" s="204"/>
      <c r="LPO36" s="204"/>
      <c r="LPP36" s="204"/>
      <c r="LPQ36" s="204"/>
      <c r="LPR36" s="204"/>
      <c r="LPS36" s="204"/>
      <c r="LPT36" s="204"/>
      <c r="LPU36" s="204"/>
      <c r="LPV36" s="204"/>
      <c r="LPW36" s="204"/>
      <c r="LPX36" s="204"/>
      <c r="LPY36" s="204"/>
      <c r="LPZ36" s="204"/>
      <c r="LQA36" s="204"/>
      <c r="LQB36" s="204"/>
      <c r="LQC36" s="204"/>
      <c r="LQD36" s="204"/>
      <c r="LQE36" s="204"/>
      <c r="LQF36" s="204"/>
      <c r="LQG36" s="204"/>
      <c r="LQH36" s="204"/>
      <c r="LQI36" s="204"/>
      <c r="LQJ36" s="204"/>
      <c r="LQK36" s="204"/>
      <c r="LQL36" s="204"/>
      <c r="LQM36" s="204"/>
      <c r="LQN36" s="204"/>
      <c r="LQO36" s="204"/>
      <c r="LQP36" s="204"/>
      <c r="LQQ36" s="204"/>
      <c r="LQR36" s="204"/>
      <c r="LQS36" s="204"/>
      <c r="LQT36" s="204"/>
      <c r="LQU36" s="204"/>
      <c r="LQV36" s="204"/>
      <c r="LQW36" s="204"/>
      <c r="LQX36" s="204"/>
      <c r="LQY36" s="204"/>
      <c r="LQZ36" s="204"/>
      <c r="LRA36" s="204"/>
      <c r="LRB36" s="204"/>
      <c r="LRC36" s="204"/>
      <c r="LRD36" s="204"/>
      <c r="LRE36" s="204"/>
      <c r="LRF36" s="204"/>
      <c r="LRG36" s="204"/>
      <c r="LRH36" s="204"/>
      <c r="LRI36" s="204"/>
      <c r="LRJ36" s="204"/>
      <c r="LRK36" s="204"/>
      <c r="LRL36" s="204"/>
      <c r="LRM36" s="204"/>
      <c r="LRN36" s="204"/>
      <c r="LRO36" s="204"/>
      <c r="LRP36" s="204"/>
      <c r="LRQ36" s="204"/>
      <c r="LRR36" s="204"/>
      <c r="LRS36" s="204"/>
      <c r="LRT36" s="204"/>
      <c r="LRU36" s="204"/>
      <c r="LRV36" s="204"/>
      <c r="LRW36" s="204"/>
      <c r="LRX36" s="204"/>
      <c r="LRY36" s="204"/>
      <c r="LRZ36" s="204"/>
      <c r="LSA36" s="204"/>
      <c r="LSB36" s="204"/>
      <c r="LSC36" s="204"/>
      <c r="LSD36" s="204"/>
      <c r="LSE36" s="204"/>
      <c r="LSF36" s="204"/>
      <c r="LSG36" s="204"/>
      <c r="LSH36" s="204"/>
      <c r="LSI36" s="204"/>
      <c r="LSJ36" s="204"/>
      <c r="LSK36" s="204"/>
      <c r="LSL36" s="204"/>
      <c r="LSM36" s="204"/>
      <c r="LSN36" s="204"/>
      <c r="LSO36" s="204"/>
      <c r="LSP36" s="204"/>
      <c r="LSQ36" s="204"/>
      <c r="LSR36" s="204"/>
      <c r="LSS36" s="204"/>
      <c r="LST36" s="204"/>
      <c r="LSU36" s="204"/>
      <c r="LSV36" s="204"/>
      <c r="LSW36" s="204"/>
      <c r="LSX36" s="204"/>
      <c r="LSY36" s="204"/>
      <c r="LSZ36" s="204"/>
      <c r="LTA36" s="204"/>
      <c r="LTB36" s="204"/>
      <c r="LTC36" s="204"/>
      <c r="LTD36" s="204"/>
      <c r="LTE36" s="204"/>
      <c r="LTF36" s="204"/>
      <c r="LTG36" s="204"/>
      <c r="LTH36" s="204"/>
      <c r="LTI36" s="204"/>
      <c r="LTJ36" s="204"/>
      <c r="LTK36" s="204"/>
      <c r="LTL36" s="204"/>
      <c r="LTM36" s="204"/>
      <c r="LTN36" s="204"/>
      <c r="LTO36" s="204"/>
      <c r="LTP36" s="204"/>
      <c r="LTQ36" s="204"/>
      <c r="LTR36" s="204"/>
      <c r="LTS36" s="204"/>
      <c r="LTT36" s="204"/>
      <c r="LTU36" s="204"/>
      <c r="LTV36" s="204"/>
      <c r="LTW36" s="204"/>
      <c r="LTX36" s="204"/>
      <c r="LTY36" s="204"/>
      <c r="LTZ36" s="204"/>
      <c r="LUA36" s="204"/>
      <c r="LUB36" s="204"/>
      <c r="LUC36" s="204"/>
      <c r="LUD36" s="204"/>
      <c r="LUE36" s="204"/>
      <c r="LUF36" s="204"/>
      <c r="LUG36" s="204"/>
      <c r="LUH36" s="204"/>
      <c r="LUI36" s="204"/>
      <c r="LUJ36" s="204"/>
      <c r="LUK36" s="204"/>
      <c r="LUL36" s="204"/>
      <c r="LUM36" s="204"/>
      <c r="LUN36" s="204"/>
      <c r="LUO36" s="204"/>
      <c r="LUP36" s="204"/>
      <c r="LUQ36" s="204"/>
      <c r="LUR36" s="204"/>
      <c r="LUS36" s="204"/>
      <c r="LUT36" s="204"/>
      <c r="LUU36" s="204"/>
      <c r="LUV36" s="204"/>
      <c r="LUW36" s="204"/>
      <c r="LUX36" s="204"/>
      <c r="LUY36" s="204"/>
      <c r="LUZ36" s="204"/>
      <c r="LVA36" s="204"/>
      <c r="LVB36" s="204"/>
      <c r="LVC36" s="204"/>
      <c r="LVD36" s="204"/>
      <c r="LVE36" s="204"/>
      <c r="LVF36" s="204"/>
      <c r="LVG36" s="204"/>
      <c r="LVH36" s="204"/>
      <c r="LVI36" s="204"/>
      <c r="LVJ36" s="204"/>
      <c r="LVK36" s="204"/>
      <c r="LVL36" s="204"/>
      <c r="LVM36" s="204"/>
      <c r="LVN36" s="204"/>
      <c r="LVO36" s="204"/>
      <c r="LVP36" s="204"/>
      <c r="LVQ36" s="204"/>
      <c r="LVR36" s="204"/>
      <c r="LVS36" s="204"/>
      <c r="LVT36" s="204"/>
      <c r="LVU36" s="204"/>
      <c r="LVV36" s="204"/>
      <c r="LVW36" s="204"/>
      <c r="LVX36" s="204"/>
      <c r="LVY36" s="204"/>
      <c r="LVZ36" s="204"/>
      <c r="LWA36" s="204"/>
      <c r="LWB36" s="204"/>
      <c r="LWC36" s="204"/>
      <c r="LWD36" s="204"/>
      <c r="LWE36" s="204"/>
      <c r="LWF36" s="204"/>
      <c r="LWG36" s="204"/>
      <c r="LWH36" s="204"/>
      <c r="LWI36" s="204"/>
      <c r="LWJ36" s="204"/>
      <c r="LWK36" s="204"/>
      <c r="LWL36" s="204"/>
      <c r="LWM36" s="204"/>
      <c r="LWN36" s="204"/>
      <c r="LWO36" s="204"/>
      <c r="LWP36" s="204"/>
      <c r="LWQ36" s="204"/>
      <c r="LWR36" s="204"/>
      <c r="LWS36" s="204"/>
      <c r="LWT36" s="204"/>
      <c r="LWU36" s="204"/>
      <c r="LWV36" s="204"/>
      <c r="LWW36" s="204"/>
      <c r="LWX36" s="204"/>
      <c r="LWY36" s="204"/>
      <c r="LWZ36" s="204"/>
      <c r="LXA36" s="204"/>
      <c r="LXB36" s="204"/>
      <c r="LXC36" s="204"/>
      <c r="LXD36" s="204"/>
      <c r="LXE36" s="204"/>
      <c r="LXF36" s="204"/>
      <c r="LXG36" s="204"/>
      <c r="LXH36" s="204"/>
      <c r="LXI36" s="204"/>
      <c r="LXJ36" s="204"/>
      <c r="LXK36" s="204"/>
      <c r="LXL36" s="204"/>
      <c r="LXM36" s="204"/>
      <c r="LXN36" s="204"/>
      <c r="LXO36" s="204"/>
      <c r="LXP36" s="204"/>
      <c r="LXQ36" s="204"/>
      <c r="LXR36" s="204"/>
      <c r="LXS36" s="204"/>
      <c r="LXT36" s="204"/>
      <c r="LXU36" s="204"/>
      <c r="LXV36" s="204"/>
      <c r="LXW36" s="204"/>
      <c r="LXX36" s="204"/>
      <c r="LXY36" s="204"/>
      <c r="LXZ36" s="204"/>
      <c r="LYA36" s="204"/>
      <c r="LYB36" s="204"/>
      <c r="LYC36" s="204"/>
      <c r="LYD36" s="204"/>
      <c r="LYE36" s="204"/>
      <c r="LYF36" s="204"/>
      <c r="LYG36" s="204"/>
      <c r="LYH36" s="204"/>
      <c r="LYI36" s="204"/>
      <c r="LYJ36" s="204"/>
      <c r="LYK36" s="204"/>
      <c r="LYL36" s="204"/>
      <c r="LYM36" s="204"/>
      <c r="LYN36" s="204"/>
      <c r="LYO36" s="204"/>
      <c r="LYP36" s="204"/>
      <c r="LYQ36" s="204"/>
      <c r="LYR36" s="204"/>
      <c r="LYS36" s="204"/>
      <c r="LYT36" s="204"/>
      <c r="LYU36" s="204"/>
      <c r="LYV36" s="204"/>
      <c r="LYW36" s="204"/>
      <c r="LYX36" s="204"/>
      <c r="LYY36" s="204"/>
      <c r="LYZ36" s="204"/>
      <c r="LZA36" s="204"/>
      <c r="LZB36" s="204"/>
      <c r="LZC36" s="204"/>
      <c r="LZD36" s="204"/>
      <c r="LZE36" s="204"/>
      <c r="LZF36" s="204"/>
      <c r="LZG36" s="204"/>
      <c r="LZH36" s="204"/>
      <c r="LZI36" s="204"/>
      <c r="LZJ36" s="204"/>
      <c r="LZK36" s="204"/>
      <c r="LZL36" s="204"/>
      <c r="LZM36" s="204"/>
      <c r="LZN36" s="204"/>
      <c r="LZO36" s="204"/>
      <c r="LZP36" s="204"/>
      <c r="LZQ36" s="204"/>
      <c r="LZR36" s="204"/>
      <c r="LZS36" s="204"/>
      <c r="LZT36" s="204"/>
      <c r="LZU36" s="204"/>
      <c r="LZV36" s="204"/>
      <c r="LZW36" s="204"/>
      <c r="LZX36" s="204"/>
      <c r="LZY36" s="204"/>
      <c r="LZZ36" s="204"/>
      <c r="MAA36" s="204"/>
      <c r="MAB36" s="204"/>
      <c r="MAC36" s="204"/>
      <c r="MAD36" s="204"/>
      <c r="MAE36" s="204"/>
      <c r="MAF36" s="204"/>
      <c r="MAG36" s="204"/>
      <c r="MAH36" s="204"/>
      <c r="MAI36" s="204"/>
      <c r="MAJ36" s="204"/>
      <c r="MAK36" s="204"/>
      <c r="MAL36" s="204"/>
      <c r="MAM36" s="204"/>
      <c r="MAN36" s="204"/>
      <c r="MAO36" s="204"/>
      <c r="MAP36" s="204"/>
      <c r="MAQ36" s="204"/>
      <c r="MAR36" s="204"/>
      <c r="MAS36" s="204"/>
      <c r="MAT36" s="204"/>
      <c r="MAU36" s="204"/>
      <c r="MAV36" s="204"/>
      <c r="MAW36" s="204"/>
      <c r="MAX36" s="204"/>
      <c r="MAY36" s="204"/>
      <c r="MAZ36" s="204"/>
      <c r="MBA36" s="204"/>
      <c r="MBB36" s="204"/>
      <c r="MBC36" s="204"/>
      <c r="MBD36" s="204"/>
      <c r="MBE36" s="204"/>
      <c r="MBF36" s="204"/>
      <c r="MBG36" s="204"/>
      <c r="MBH36" s="204"/>
      <c r="MBI36" s="204"/>
      <c r="MBJ36" s="204"/>
      <c r="MBK36" s="204"/>
      <c r="MBL36" s="204"/>
      <c r="MBM36" s="204"/>
      <c r="MBN36" s="204"/>
      <c r="MBO36" s="204"/>
      <c r="MBP36" s="204"/>
      <c r="MBQ36" s="204"/>
      <c r="MBR36" s="204"/>
      <c r="MBS36" s="204"/>
      <c r="MBT36" s="204"/>
      <c r="MBU36" s="204"/>
      <c r="MBV36" s="204"/>
      <c r="MBW36" s="204"/>
      <c r="MBX36" s="204"/>
      <c r="MBY36" s="204"/>
      <c r="MBZ36" s="204"/>
      <c r="MCA36" s="204"/>
      <c r="MCB36" s="204"/>
      <c r="MCC36" s="204"/>
      <c r="MCD36" s="204"/>
      <c r="MCE36" s="204"/>
      <c r="MCF36" s="204"/>
      <c r="MCG36" s="204"/>
      <c r="MCH36" s="204"/>
      <c r="MCI36" s="204"/>
      <c r="MCJ36" s="204"/>
      <c r="MCK36" s="204"/>
      <c r="MCL36" s="204"/>
      <c r="MCM36" s="204"/>
      <c r="MCN36" s="204"/>
      <c r="MCO36" s="204"/>
      <c r="MCP36" s="204"/>
      <c r="MCQ36" s="204"/>
      <c r="MCR36" s="204"/>
      <c r="MCS36" s="204"/>
      <c r="MCT36" s="204"/>
      <c r="MCU36" s="204"/>
      <c r="MCV36" s="204"/>
      <c r="MCW36" s="204"/>
      <c r="MCX36" s="204"/>
      <c r="MCY36" s="204"/>
      <c r="MCZ36" s="204"/>
      <c r="MDA36" s="204"/>
      <c r="MDB36" s="204"/>
      <c r="MDC36" s="204"/>
      <c r="MDD36" s="204"/>
      <c r="MDE36" s="204"/>
      <c r="MDF36" s="204"/>
      <c r="MDG36" s="204"/>
      <c r="MDH36" s="204"/>
      <c r="MDI36" s="204"/>
      <c r="MDJ36" s="204"/>
      <c r="MDK36" s="204"/>
      <c r="MDL36" s="204"/>
      <c r="MDM36" s="204"/>
      <c r="MDN36" s="204"/>
      <c r="MDO36" s="204"/>
      <c r="MDP36" s="204"/>
      <c r="MDQ36" s="204"/>
      <c r="MDR36" s="204"/>
      <c r="MDS36" s="204"/>
      <c r="MDT36" s="204"/>
      <c r="MDU36" s="204"/>
      <c r="MDV36" s="204"/>
      <c r="MDW36" s="204"/>
      <c r="MDX36" s="204"/>
      <c r="MDY36" s="204"/>
      <c r="MDZ36" s="204"/>
      <c r="MEA36" s="204"/>
      <c r="MEB36" s="204"/>
      <c r="MEC36" s="204"/>
      <c r="MED36" s="204"/>
      <c r="MEE36" s="204"/>
      <c r="MEF36" s="204"/>
      <c r="MEG36" s="204"/>
      <c r="MEH36" s="204"/>
      <c r="MEI36" s="204"/>
      <c r="MEJ36" s="204"/>
      <c r="MEK36" s="204"/>
      <c r="MEL36" s="204"/>
      <c r="MEM36" s="204"/>
      <c r="MEN36" s="204"/>
      <c r="MEO36" s="204"/>
      <c r="MEP36" s="204"/>
      <c r="MEQ36" s="204"/>
      <c r="MER36" s="204"/>
      <c r="MES36" s="204"/>
      <c r="MET36" s="204"/>
      <c r="MEU36" s="204"/>
      <c r="MEV36" s="204"/>
      <c r="MEW36" s="204"/>
      <c r="MEX36" s="204"/>
      <c r="MEY36" s="204"/>
      <c r="MEZ36" s="204"/>
      <c r="MFA36" s="204"/>
      <c r="MFB36" s="204"/>
      <c r="MFC36" s="204"/>
      <c r="MFD36" s="204"/>
      <c r="MFE36" s="204"/>
      <c r="MFF36" s="204"/>
      <c r="MFG36" s="204"/>
      <c r="MFH36" s="204"/>
      <c r="MFI36" s="204"/>
      <c r="MFJ36" s="204"/>
      <c r="MFK36" s="204"/>
      <c r="MFL36" s="204"/>
      <c r="MFM36" s="204"/>
      <c r="MFN36" s="204"/>
      <c r="MFO36" s="204"/>
      <c r="MFP36" s="204"/>
      <c r="MFQ36" s="204"/>
      <c r="MFR36" s="204"/>
      <c r="MFS36" s="204"/>
      <c r="MFT36" s="204"/>
      <c r="MFU36" s="204"/>
      <c r="MFV36" s="204"/>
      <c r="MFW36" s="204"/>
      <c r="MFX36" s="204"/>
      <c r="MFY36" s="204"/>
      <c r="MFZ36" s="204"/>
      <c r="MGA36" s="204"/>
      <c r="MGB36" s="204"/>
      <c r="MGC36" s="204"/>
      <c r="MGD36" s="204"/>
      <c r="MGE36" s="204"/>
      <c r="MGF36" s="204"/>
      <c r="MGG36" s="204"/>
      <c r="MGH36" s="204"/>
      <c r="MGI36" s="204"/>
      <c r="MGJ36" s="204"/>
      <c r="MGK36" s="204"/>
      <c r="MGL36" s="204"/>
      <c r="MGM36" s="204"/>
      <c r="MGN36" s="204"/>
      <c r="MGO36" s="204"/>
      <c r="MGP36" s="204"/>
      <c r="MGQ36" s="204"/>
      <c r="MGR36" s="204"/>
      <c r="MGS36" s="204"/>
      <c r="MGT36" s="204"/>
      <c r="MGU36" s="204"/>
      <c r="MGV36" s="204"/>
      <c r="MGW36" s="204"/>
      <c r="MGX36" s="204"/>
      <c r="MGY36" s="204"/>
      <c r="MGZ36" s="204"/>
      <c r="MHA36" s="204"/>
      <c r="MHB36" s="204"/>
      <c r="MHC36" s="204"/>
      <c r="MHD36" s="204"/>
      <c r="MHE36" s="204"/>
      <c r="MHF36" s="204"/>
      <c r="MHG36" s="204"/>
      <c r="MHH36" s="204"/>
      <c r="MHI36" s="204"/>
      <c r="MHJ36" s="204"/>
      <c r="MHK36" s="204"/>
      <c r="MHL36" s="204"/>
      <c r="MHM36" s="204"/>
      <c r="MHN36" s="204"/>
      <c r="MHO36" s="204"/>
      <c r="MHP36" s="204"/>
      <c r="MHQ36" s="204"/>
      <c r="MHR36" s="204"/>
      <c r="MHS36" s="204"/>
      <c r="MHT36" s="204"/>
      <c r="MHU36" s="204"/>
      <c r="MHV36" s="204"/>
      <c r="MHW36" s="204"/>
      <c r="MHX36" s="204"/>
      <c r="MHY36" s="204"/>
      <c r="MHZ36" s="204"/>
      <c r="MIA36" s="204"/>
      <c r="MIB36" s="204"/>
      <c r="MIC36" s="204"/>
      <c r="MID36" s="204"/>
      <c r="MIE36" s="204"/>
      <c r="MIF36" s="204"/>
      <c r="MIG36" s="204"/>
      <c r="MIH36" s="204"/>
      <c r="MII36" s="204"/>
      <c r="MIJ36" s="204"/>
      <c r="MIK36" s="204"/>
      <c r="MIL36" s="204"/>
      <c r="MIM36" s="204"/>
      <c r="MIN36" s="204"/>
      <c r="MIO36" s="204"/>
      <c r="MIP36" s="204"/>
      <c r="MIQ36" s="204"/>
      <c r="MIR36" s="204"/>
      <c r="MIS36" s="204"/>
      <c r="MIT36" s="204"/>
      <c r="MIU36" s="204"/>
      <c r="MIV36" s="204"/>
      <c r="MIW36" s="204"/>
      <c r="MIX36" s="204"/>
      <c r="MIY36" s="204"/>
      <c r="MIZ36" s="204"/>
      <c r="MJA36" s="204"/>
      <c r="MJB36" s="204"/>
      <c r="MJC36" s="204"/>
      <c r="MJD36" s="204"/>
      <c r="MJE36" s="204"/>
      <c r="MJF36" s="204"/>
      <c r="MJG36" s="204"/>
      <c r="MJH36" s="204"/>
      <c r="MJI36" s="204"/>
      <c r="MJJ36" s="204"/>
      <c r="MJK36" s="204"/>
      <c r="MJL36" s="204"/>
      <c r="MJM36" s="204"/>
      <c r="MJN36" s="204"/>
      <c r="MJO36" s="204"/>
      <c r="MJP36" s="204"/>
      <c r="MJQ36" s="204"/>
      <c r="MJR36" s="204"/>
      <c r="MJS36" s="204"/>
      <c r="MJT36" s="204"/>
      <c r="MJU36" s="204"/>
      <c r="MJV36" s="204"/>
      <c r="MJW36" s="204"/>
      <c r="MJX36" s="204"/>
      <c r="MJY36" s="204"/>
      <c r="MJZ36" s="204"/>
      <c r="MKA36" s="204"/>
      <c r="MKB36" s="204"/>
      <c r="MKC36" s="204"/>
      <c r="MKD36" s="204"/>
      <c r="MKE36" s="204"/>
      <c r="MKF36" s="204"/>
      <c r="MKG36" s="204"/>
      <c r="MKH36" s="204"/>
      <c r="MKI36" s="204"/>
      <c r="MKJ36" s="204"/>
      <c r="MKK36" s="204"/>
      <c r="MKL36" s="204"/>
      <c r="MKM36" s="204"/>
      <c r="MKN36" s="204"/>
      <c r="MKO36" s="204"/>
      <c r="MKP36" s="204"/>
      <c r="MKQ36" s="204"/>
      <c r="MKR36" s="204"/>
      <c r="MKS36" s="204"/>
      <c r="MKT36" s="204"/>
      <c r="MKU36" s="204"/>
      <c r="MKV36" s="204"/>
      <c r="MKW36" s="204"/>
      <c r="MKX36" s="204"/>
      <c r="MKY36" s="204"/>
      <c r="MKZ36" s="204"/>
      <c r="MLA36" s="204"/>
      <c r="MLB36" s="204"/>
      <c r="MLC36" s="204"/>
      <c r="MLD36" s="204"/>
      <c r="MLE36" s="204"/>
      <c r="MLF36" s="204"/>
      <c r="MLG36" s="204"/>
      <c r="MLH36" s="204"/>
      <c r="MLI36" s="204"/>
      <c r="MLJ36" s="204"/>
      <c r="MLK36" s="204"/>
      <c r="MLL36" s="204"/>
      <c r="MLM36" s="204"/>
      <c r="MLN36" s="204"/>
      <c r="MLO36" s="204"/>
      <c r="MLP36" s="204"/>
      <c r="MLQ36" s="204"/>
      <c r="MLR36" s="204"/>
      <c r="MLS36" s="204"/>
      <c r="MLT36" s="204"/>
      <c r="MLU36" s="204"/>
      <c r="MLV36" s="204"/>
      <c r="MLW36" s="204"/>
      <c r="MLX36" s="204"/>
      <c r="MLY36" s="204"/>
      <c r="MLZ36" s="204"/>
      <c r="MMA36" s="204"/>
      <c r="MMB36" s="204"/>
      <c r="MMC36" s="204"/>
      <c r="MMD36" s="204"/>
      <c r="MME36" s="204"/>
      <c r="MMF36" s="204"/>
      <c r="MMG36" s="204"/>
      <c r="MMH36" s="204"/>
      <c r="MMI36" s="204"/>
      <c r="MMJ36" s="204"/>
      <c r="MMK36" s="204"/>
      <c r="MML36" s="204"/>
      <c r="MMM36" s="204"/>
      <c r="MMN36" s="204"/>
      <c r="MMO36" s="204"/>
      <c r="MMP36" s="204"/>
      <c r="MMQ36" s="204"/>
      <c r="MMR36" s="204"/>
      <c r="MMS36" s="204"/>
      <c r="MMT36" s="204"/>
      <c r="MMU36" s="204"/>
      <c r="MMV36" s="204"/>
      <c r="MMW36" s="204"/>
      <c r="MMX36" s="204"/>
      <c r="MMY36" s="204"/>
      <c r="MMZ36" s="204"/>
      <c r="MNA36" s="204"/>
      <c r="MNB36" s="204"/>
      <c r="MNC36" s="204"/>
      <c r="MND36" s="204"/>
      <c r="MNE36" s="204"/>
      <c r="MNF36" s="204"/>
      <c r="MNG36" s="204"/>
      <c r="MNH36" s="204"/>
      <c r="MNI36" s="204"/>
      <c r="MNJ36" s="204"/>
      <c r="MNK36" s="204"/>
      <c r="MNL36" s="204"/>
      <c r="MNM36" s="204"/>
      <c r="MNN36" s="204"/>
      <c r="MNO36" s="204"/>
      <c r="MNP36" s="204"/>
      <c r="MNQ36" s="204"/>
      <c r="MNR36" s="204"/>
      <c r="MNS36" s="204"/>
      <c r="MNT36" s="204"/>
      <c r="MNU36" s="204"/>
      <c r="MNV36" s="204"/>
      <c r="MNW36" s="204"/>
      <c r="MNX36" s="204"/>
      <c r="MNY36" s="204"/>
      <c r="MNZ36" s="204"/>
      <c r="MOA36" s="204"/>
      <c r="MOB36" s="204"/>
      <c r="MOC36" s="204"/>
      <c r="MOD36" s="204"/>
      <c r="MOE36" s="204"/>
      <c r="MOF36" s="204"/>
      <c r="MOG36" s="204"/>
      <c r="MOH36" s="204"/>
      <c r="MOI36" s="204"/>
      <c r="MOJ36" s="204"/>
      <c r="MOK36" s="204"/>
      <c r="MOL36" s="204"/>
      <c r="MOM36" s="204"/>
      <c r="MON36" s="204"/>
      <c r="MOO36" s="204"/>
      <c r="MOP36" s="204"/>
      <c r="MOQ36" s="204"/>
      <c r="MOR36" s="204"/>
      <c r="MOS36" s="204"/>
      <c r="MOT36" s="204"/>
      <c r="MOU36" s="204"/>
      <c r="MOV36" s="204"/>
      <c r="MOW36" s="204"/>
      <c r="MOX36" s="204"/>
      <c r="MOY36" s="204"/>
      <c r="MOZ36" s="204"/>
      <c r="MPA36" s="204"/>
      <c r="MPB36" s="204"/>
      <c r="MPC36" s="204"/>
      <c r="MPD36" s="204"/>
      <c r="MPE36" s="204"/>
      <c r="MPF36" s="204"/>
      <c r="MPG36" s="204"/>
      <c r="MPH36" s="204"/>
      <c r="MPI36" s="204"/>
      <c r="MPJ36" s="204"/>
      <c r="MPK36" s="204"/>
      <c r="MPL36" s="204"/>
      <c r="MPM36" s="204"/>
      <c r="MPN36" s="204"/>
      <c r="MPO36" s="204"/>
      <c r="MPP36" s="204"/>
      <c r="MPQ36" s="204"/>
      <c r="MPR36" s="204"/>
      <c r="MPS36" s="204"/>
      <c r="MPT36" s="204"/>
      <c r="MPU36" s="204"/>
      <c r="MPV36" s="204"/>
      <c r="MPW36" s="204"/>
      <c r="MPX36" s="204"/>
      <c r="MPY36" s="204"/>
      <c r="MPZ36" s="204"/>
      <c r="MQA36" s="204"/>
      <c r="MQB36" s="204"/>
      <c r="MQC36" s="204"/>
      <c r="MQD36" s="204"/>
      <c r="MQE36" s="204"/>
      <c r="MQF36" s="204"/>
      <c r="MQG36" s="204"/>
      <c r="MQH36" s="204"/>
      <c r="MQI36" s="204"/>
      <c r="MQJ36" s="204"/>
      <c r="MQK36" s="204"/>
      <c r="MQL36" s="204"/>
      <c r="MQM36" s="204"/>
      <c r="MQN36" s="204"/>
      <c r="MQO36" s="204"/>
      <c r="MQP36" s="204"/>
      <c r="MQQ36" s="204"/>
      <c r="MQR36" s="204"/>
      <c r="MQS36" s="204"/>
      <c r="MQT36" s="204"/>
      <c r="MQU36" s="204"/>
      <c r="MQV36" s="204"/>
      <c r="MQW36" s="204"/>
      <c r="MQX36" s="204"/>
      <c r="MQY36" s="204"/>
      <c r="MQZ36" s="204"/>
      <c r="MRA36" s="204"/>
      <c r="MRB36" s="204"/>
      <c r="MRC36" s="204"/>
      <c r="MRD36" s="204"/>
      <c r="MRE36" s="204"/>
      <c r="MRF36" s="204"/>
      <c r="MRG36" s="204"/>
      <c r="MRH36" s="204"/>
      <c r="MRI36" s="204"/>
      <c r="MRJ36" s="204"/>
      <c r="MRK36" s="204"/>
      <c r="MRL36" s="204"/>
      <c r="MRM36" s="204"/>
      <c r="MRN36" s="204"/>
      <c r="MRO36" s="204"/>
      <c r="MRP36" s="204"/>
      <c r="MRQ36" s="204"/>
      <c r="MRR36" s="204"/>
      <c r="MRS36" s="204"/>
      <c r="MRT36" s="204"/>
      <c r="MRU36" s="204"/>
      <c r="MRV36" s="204"/>
      <c r="MRW36" s="204"/>
      <c r="MRX36" s="204"/>
      <c r="MRY36" s="204"/>
      <c r="MRZ36" s="204"/>
      <c r="MSA36" s="204"/>
      <c r="MSB36" s="204"/>
      <c r="MSC36" s="204"/>
      <c r="MSD36" s="204"/>
      <c r="MSE36" s="204"/>
      <c r="MSF36" s="204"/>
      <c r="MSG36" s="204"/>
      <c r="MSH36" s="204"/>
      <c r="MSI36" s="204"/>
      <c r="MSJ36" s="204"/>
      <c r="MSK36" s="204"/>
      <c r="MSL36" s="204"/>
      <c r="MSM36" s="204"/>
      <c r="MSN36" s="204"/>
      <c r="MSO36" s="204"/>
      <c r="MSP36" s="204"/>
      <c r="MSQ36" s="204"/>
      <c r="MSR36" s="204"/>
      <c r="MSS36" s="204"/>
      <c r="MST36" s="204"/>
      <c r="MSU36" s="204"/>
      <c r="MSV36" s="204"/>
      <c r="MSW36" s="204"/>
      <c r="MSX36" s="204"/>
      <c r="MSY36" s="204"/>
      <c r="MSZ36" s="204"/>
      <c r="MTA36" s="204"/>
      <c r="MTB36" s="204"/>
      <c r="MTC36" s="204"/>
      <c r="MTD36" s="204"/>
      <c r="MTE36" s="204"/>
      <c r="MTF36" s="204"/>
      <c r="MTG36" s="204"/>
      <c r="MTH36" s="204"/>
      <c r="MTI36" s="204"/>
      <c r="MTJ36" s="204"/>
      <c r="MTK36" s="204"/>
      <c r="MTL36" s="204"/>
      <c r="MTM36" s="204"/>
      <c r="MTN36" s="204"/>
      <c r="MTO36" s="204"/>
      <c r="MTP36" s="204"/>
      <c r="MTQ36" s="204"/>
      <c r="MTR36" s="204"/>
      <c r="MTS36" s="204"/>
      <c r="MTT36" s="204"/>
      <c r="MTU36" s="204"/>
      <c r="MTV36" s="204"/>
      <c r="MTW36" s="204"/>
      <c r="MTX36" s="204"/>
      <c r="MTY36" s="204"/>
      <c r="MTZ36" s="204"/>
      <c r="MUA36" s="204"/>
      <c r="MUB36" s="204"/>
      <c r="MUC36" s="204"/>
      <c r="MUD36" s="204"/>
      <c r="MUE36" s="204"/>
      <c r="MUF36" s="204"/>
      <c r="MUG36" s="204"/>
      <c r="MUH36" s="204"/>
      <c r="MUI36" s="204"/>
      <c r="MUJ36" s="204"/>
      <c r="MUK36" s="204"/>
      <c r="MUL36" s="204"/>
      <c r="MUM36" s="204"/>
      <c r="MUN36" s="204"/>
      <c r="MUO36" s="204"/>
      <c r="MUP36" s="204"/>
      <c r="MUQ36" s="204"/>
      <c r="MUR36" s="204"/>
      <c r="MUS36" s="204"/>
      <c r="MUT36" s="204"/>
      <c r="MUU36" s="204"/>
      <c r="MUV36" s="204"/>
      <c r="MUW36" s="204"/>
      <c r="MUX36" s="204"/>
      <c r="MUY36" s="204"/>
      <c r="MUZ36" s="204"/>
      <c r="MVA36" s="204"/>
      <c r="MVB36" s="204"/>
      <c r="MVC36" s="204"/>
      <c r="MVD36" s="204"/>
      <c r="MVE36" s="204"/>
      <c r="MVF36" s="204"/>
      <c r="MVG36" s="204"/>
      <c r="MVH36" s="204"/>
      <c r="MVI36" s="204"/>
      <c r="MVJ36" s="204"/>
      <c r="MVK36" s="204"/>
      <c r="MVL36" s="204"/>
      <c r="MVM36" s="204"/>
      <c r="MVN36" s="204"/>
      <c r="MVO36" s="204"/>
      <c r="MVP36" s="204"/>
      <c r="MVQ36" s="204"/>
      <c r="MVR36" s="204"/>
      <c r="MVS36" s="204"/>
      <c r="MVT36" s="204"/>
      <c r="MVU36" s="204"/>
      <c r="MVV36" s="204"/>
      <c r="MVW36" s="204"/>
      <c r="MVX36" s="204"/>
      <c r="MVY36" s="204"/>
      <c r="MVZ36" s="204"/>
      <c r="MWA36" s="204"/>
      <c r="MWB36" s="204"/>
      <c r="MWC36" s="204"/>
      <c r="MWD36" s="204"/>
      <c r="MWE36" s="204"/>
      <c r="MWF36" s="204"/>
      <c r="MWG36" s="204"/>
      <c r="MWH36" s="204"/>
      <c r="MWI36" s="204"/>
      <c r="MWJ36" s="204"/>
      <c r="MWK36" s="204"/>
      <c r="MWL36" s="204"/>
      <c r="MWM36" s="204"/>
      <c r="MWN36" s="204"/>
      <c r="MWO36" s="204"/>
      <c r="MWP36" s="204"/>
      <c r="MWQ36" s="204"/>
      <c r="MWR36" s="204"/>
      <c r="MWS36" s="204"/>
      <c r="MWT36" s="204"/>
      <c r="MWU36" s="204"/>
      <c r="MWV36" s="204"/>
      <c r="MWW36" s="204"/>
      <c r="MWX36" s="204"/>
      <c r="MWY36" s="204"/>
      <c r="MWZ36" s="204"/>
      <c r="MXA36" s="204"/>
      <c r="MXB36" s="204"/>
      <c r="MXC36" s="204"/>
      <c r="MXD36" s="204"/>
      <c r="MXE36" s="204"/>
      <c r="MXF36" s="204"/>
      <c r="MXG36" s="204"/>
      <c r="MXH36" s="204"/>
      <c r="MXI36" s="204"/>
      <c r="MXJ36" s="204"/>
      <c r="MXK36" s="204"/>
      <c r="MXL36" s="204"/>
      <c r="MXM36" s="204"/>
      <c r="MXN36" s="204"/>
      <c r="MXO36" s="204"/>
      <c r="MXP36" s="204"/>
      <c r="MXQ36" s="204"/>
      <c r="MXR36" s="204"/>
      <c r="MXS36" s="204"/>
      <c r="MXT36" s="204"/>
      <c r="MXU36" s="204"/>
      <c r="MXV36" s="204"/>
      <c r="MXW36" s="204"/>
      <c r="MXX36" s="204"/>
      <c r="MXY36" s="204"/>
      <c r="MXZ36" s="204"/>
      <c r="MYA36" s="204"/>
      <c r="MYB36" s="204"/>
      <c r="MYC36" s="204"/>
      <c r="MYD36" s="204"/>
      <c r="MYE36" s="204"/>
      <c r="MYF36" s="204"/>
      <c r="MYG36" s="204"/>
      <c r="MYH36" s="204"/>
      <c r="MYI36" s="204"/>
      <c r="MYJ36" s="204"/>
      <c r="MYK36" s="204"/>
      <c r="MYL36" s="204"/>
      <c r="MYM36" s="204"/>
      <c r="MYN36" s="204"/>
      <c r="MYO36" s="204"/>
      <c r="MYP36" s="204"/>
      <c r="MYQ36" s="204"/>
      <c r="MYR36" s="204"/>
      <c r="MYS36" s="204"/>
      <c r="MYT36" s="204"/>
      <c r="MYU36" s="204"/>
      <c r="MYV36" s="204"/>
      <c r="MYW36" s="204"/>
      <c r="MYX36" s="204"/>
      <c r="MYY36" s="204"/>
      <c r="MYZ36" s="204"/>
      <c r="MZA36" s="204"/>
      <c r="MZB36" s="204"/>
      <c r="MZC36" s="204"/>
      <c r="MZD36" s="204"/>
      <c r="MZE36" s="204"/>
      <c r="MZF36" s="204"/>
      <c r="MZG36" s="204"/>
      <c r="MZH36" s="204"/>
      <c r="MZI36" s="204"/>
      <c r="MZJ36" s="204"/>
      <c r="MZK36" s="204"/>
      <c r="MZL36" s="204"/>
      <c r="MZM36" s="204"/>
      <c r="MZN36" s="204"/>
      <c r="MZO36" s="204"/>
      <c r="MZP36" s="204"/>
      <c r="MZQ36" s="204"/>
      <c r="MZR36" s="204"/>
      <c r="MZS36" s="204"/>
      <c r="MZT36" s="204"/>
      <c r="MZU36" s="204"/>
      <c r="MZV36" s="204"/>
      <c r="MZW36" s="204"/>
      <c r="MZX36" s="204"/>
      <c r="MZY36" s="204"/>
      <c r="MZZ36" s="204"/>
      <c r="NAA36" s="204"/>
      <c r="NAB36" s="204"/>
      <c r="NAC36" s="204"/>
      <c r="NAD36" s="204"/>
      <c r="NAE36" s="204"/>
      <c r="NAF36" s="204"/>
      <c r="NAG36" s="204"/>
      <c r="NAH36" s="204"/>
      <c r="NAI36" s="204"/>
      <c r="NAJ36" s="204"/>
      <c r="NAK36" s="204"/>
      <c r="NAL36" s="204"/>
      <c r="NAM36" s="204"/>
      <c r="NAN36" s="204"/>
      <c r="NAO36" s="204"/>
      <c r="NAP36" s="204"/>
      <c r="NAQ36" s="204"/>
      <c r="NAR36" s="204"/>
      <c r="NAS36" s="204"/>
      <c r="NAT36" s="204"/>
      <c r="NAU36" s="204"/>
      <c r="NAV36" s="204"/>
      <c r="NAW36" s="204"/>
      <c r="NAX36" s="204"/>
      <c r="NAY36" s="204"/>
      <c r="NAZ36" s="204"/>
      <c r="NBA36" s="204"/>
      <c r="NBB36" s="204"/>
      <c r="NBC36" s="204"/>
      <c r="NBD36" s="204"/>
      <c r="NBE36" s="204"/>
      <c r="NBF36" s="204"/>
      <c r="NBG36" s="204"/>
      <c r="NBH36" s="204"/>
      <c r="NBI36" s="204"/>
      <c r="NBJ36" s="204"/>
      <c r="NBK36" s="204"/>
      <c r="NBL36" s="204"/>
      <c r="NBM36" s="204"/>
      <c r="NBN36" s="204"/>
      <c r="NBO36" s="204"/>
      <c r="NBP36" s="204"/>
      <c r="NBQ36" s="204"/>
      <c r="NBR36" s="204"/>
      <c r="NBS36" s="204"/>
      <c r="NBT36" s="204"/>
      <c r="NBU36" s="204"/>
      <c r="NBV36" s="204"/>
      <c r="NBW36" s="204"/>
      <c r="NBX36" s="204"/>
      <c r="NBY36" s="204"/>
      <c r="NBZ36" s="204"/>
      <c r="NCA36" s="204"/>
      <c r="NCB36" s="204"/>
      <c r="NCC36" s="204"/>
      <c r="NCD36" s="204"/>
      <c r="NCE36" s="204"/>
      <c r="NCF36" s="204"/>
      <c r="NCG36" s="204"/>
      <c r="NCH36" s="204"/>
      <c r="NCI36" s="204"/>
      <c r="NCJ36" s="204"/>
      <c r="NCK36" s="204"/>
      <c r="NCL36" s="204"/>
      <c r="NCM36" s="204"/>
      <c r="NCN36" s="204"/>
      <c r="NCO36" s="204"/>
      <c r="NCP36" s="204"/>
      <c r="NCQ36" s="204"/>
      <c r="NCR36" s="204"/>
      <c r="NCS36" s="204"/>
      <c r="NCT36" s="204"/>
      <c r="NCU36" s="204"/>
      <c r="NCV36" s="204"/>
      <c r="NCW36" s="204"/>
      <c r="NCX36" s="204"/>
      <c r="NCY36" s="204"/>
      <c r="NCZ36" s="204"/>
      <c r="NDA36" s="204"/>
      <c r="NDB36" s="204"/>
      <c r="NDC36" s="204"/>
      <c r="NDD36" s="204"/>
      <c r="NDE36" s="204"/>
      <c r="NDF36" s="204"/>
      <c r="NDG36" s="204"/>
      <c r="NDH36" s="204"/>
      <c r="NDI36" s="204"/>
      <c r="NDJ36" s="204"/>
      <c r="NDK36" s="204"/>
      <c r="NDL36" s="204"/>
      <c r="NDM36" s="204"/>
      <c r="NDN36" s="204"/>
      <c r="NDO36" s="204"/>
      <c r="NDP36" s="204"/>
      <c r="NDQ36" s="204"/>
      <c r="NDR36" s="204"/>
      <c r="NDS36" s="204"/>
      <c r="NDT36" s="204"/>
      <c r="NDU36" s="204"/>
      <c r="NDV36" s="204"/>
      <c r="NDW36" s="204"/>
      <c r="NDX36" s="204"/>
      <c r="NDY36" s="204"/>
      <c r="NDZ36" s="204"/>
      <c r="NEA36" s="204"/>
      <c r="NEB36" s="204"/>
      <c r="NEC36" s="204"/>
      <c r="NED36" s="204"/>
      <c r="NEE36" s="204"/>
      <c r="NEF36" s="204"/>
      <c r="NEG36" s="204"/>
      <c r="NEH36" s="204"/>
      <c r="NEI36" s="204"/>
      <c r="NEJ36" s="204"/>
      <c r="NEK36" s="204"/>
      <c r="NEL36" s="204"/>
      <c r="NEM36" s="204"/>
      <c r="NEN36" s="204"/>
      <c r="NEO36" s="204"/>
      <c r="NEP36" s="204"/>
      <c r="NEQ36" s="204"/>
      <c r="NER36" s="204"/>
      <c r="NES36" s="204"/>
      <c r="NET36" s="204"/>
      <c r="NEU36" s="204"/>
      <c r="NEV36" s="204"/>
      <c r="NEW36" s="204"/>
      <c r="NEX36" s="204"/>
      <c r="NEY36" s="204"/>
      <c r="NEZ36" s="204"/>
      <c r="NFA36" s="204"/>
      <c r="NFB36" s="204"/>
      <c r="NFC36" s="204"/>
      <c r="NFD36" s="204"/>
      <c r="NFE36" s="204"/>
      <c r="NFF36" s="204"/>
      <c r="NFG36" s="204"/>
      <c r="NFH36" s="204"/>
      <c r="NFI36" s="204"/>
      <c r="NFJ36" s="204"/>
      <c r="NFK36" s="204"/>
      <c r="NFL36" s="204"/>
      <c r="NFM36" s="204"/>
      <c r="NFN36" s="204"/>
      <c r="NFO36" s="204"/>
      <c r="NFP36" s="204"/>
      <c r="NFQ36" s="204"/>
      <c r="NFR36" s="204"/>
      <c r="NFS36" s="204"/>
      <c r="NFT36" s="204"/>
      <c r="NFU36" s="204"/>
      <c r="NFV36" s="204"/>
      <c r="NFW36" s="204"/>
      <c r="NFX36" s="204"/>
      <c r="NFY36" s="204"/>
      <c r="NFZ36" s="204"/>
      <c r="NGA36" s="204"/>
      <c r="NGB36" s="204"/>
      <c r="NGC36" s="204"/>
      <c r="NGD36" s="204"/>
      <c r="NGE36" s="204"/>
      <c r="NGF36" s="204"/>
      <c r="NGG36" s="204"/>
      <c r="NGH36" s="204"/>
      <c r="NGI36" s="204"/>
      <c r="NGJ36" s="204"/>
      <c r="NGK36" s="204"/>
      <c r="NGL36" s="204"/>
      <c r="NGM36" s="204"/>
      <c r="NGN36" s="204"/>
      <c r="NGO36" s="204"/>
      <c r="NGP36" s="204"/>
      <c r="NGQ36" s="204"/>
      <c r="NGR36" s="204"/>
      <c r="NGS36" s="204"/>
      <c r="NGT36" s="204"/>
      <c r="NGU36" s="204"/>
      <c r="NGV36" s="204"/>
      <c r="NGW36" s="204"/>
      <c r="NGX36" s="204"/>
      <c r="NGY36" s="204"/>
      <c r="NGZ36" s="204"/>
      <c r="NHA36" s="204"/>
      <c r="NHB36" s="204"/>
      <c r="NHC36" s="204"/>
      <c r="NHD36" s="204"/>
      <c r="NHE36" s="204"/>
      <c r="NHF36" s="204"/>
      <c r="NHG36" s="204"/>
      <c r="NHH36" s="204"/>
      <c r="NHI36" s="204"/>
      <c r="NHJ36" s="204"/>
      <c r="NHK36" s="204"/>
      <c r="NHL36" s="204"/>
      <c r="NHM36" s="204"/>
      <c r="NHN36" s="204"/>
      <c r="NHO36" s="204"/>
      <c r="NHP36" s="204"/>
      <c r="NHQ36" s="204"/>
      <c r="NHR36" s="204"/>
      <c r="NHS36" s="204"/>
      <c r="NHT36" s="204"/>
      <c r="NHU36" s="204"/>
      <c r="NHV36" s="204"/>
      <c r="NHW36" s="204"/>
      <c r="NHX36" s="204"/>
      <c r="NHY36" s="204"/>
      <c r="NHZ36" s="204"/>
      <c r="NIA36" s="204"/>
      <c r="NIB36" s="204"/>
      <c r="NIC36" s="204"/>
      <c r="NID36" s="204"/>
      <c r="NIE36" s="204"/>
      <c r="NIF36" s="204"/>
      <c r="NIG36" s="204"/>
      <c r="NIH36" s="204"/>
      <c r="NII36" s="204"/>
      <c r="NIJ36" s="204"/>
      <c r="NIK36" s="204"/>
      <c r="NIL36" s="204"/>
      <c r="NIM36" s="204"/>
      <c r="NIN36" s="204"/>
      <c r="NIO36" s="204"/>
      <c r="NIP36" s="204"/>
      <c r="NIQ36" s="204"/>
      <c r="NIR36" s="204"/>
      <c r="NIS36" s="204"/>
      <c r="NIT36" s="204"/>
      <c r="NIU36" s="204"/>
      <c r="NIV36" s="204"/>
      <c r="NIW36" s="204"/>
      <c r="NIX36" s="204"/>
      <c r="NIY36" s="204"/>
      <c r="NIZ36" s="204"/>
      <c r="NJA36" s="204"/>
      <c r="NJB36" s="204"/>
      <c r="NJC36" s="204"/>
      <c r="NJD36" s="204"/>
      <c r="NJE36" s="204"/>
      <c r="NJF36" s="204"/>
      <c r="NJG36" s="204"/>
      <c r="NJH36" s="204"/>
      <c r="NJI36" s="204"/>
      <c r="NJJ36" s="204"/>
      <c r="NJK36" s="204"/>
      <c r="NJL36" s="204"/>
      <c r="NJM36" s="204"/>
      <c r="NJN36" s="204"/>
      <c r="NJO36" s="204"/>
      <c r="NJP36" s="204"/>
      <c r="NJQ36" s="204"/>
      <c r="NJR36" s="204"/>
      <c r="NJS36" s="204"/>
      <c r="NJT36" s="204"/>
      <c r="NJU36" s="204"/>
      <c r="NJV36" s="204"/>
      <c r="NJW36" s="204"/>
      <c r="NJX36" s="204"/>
      <c r="NJY36" s="204"/>
      <c r="NJZ36" s="204"/>
      <c r="NKA36" s="204"/>
      <c r="NKB36" s="204"/>
      <c r="NKC36" s="204"/>
      <c r="NKD36" s="204"/>
      <c r="NKE36" s="204"/>
      <c r="NKF36" s="204"/>
      <c r="NKG36" s="204"/>
      <c r="NKH36" s="204"/>
      <c r="NKI36" s="204"/>
      <c r="NKJ36" s="204"/>
      <c r="NKK36" s="204"/>
      <c r="NKL36" s="204"/>
      <c r="NKM36" s="204"/>
      <c r="NKN36" s="204"/>
      <c r="NKO36" s="204"/>
      <c r="NKP36" s="204"/>
      <c r="NKQ36" s="204"/>
      <c r="NKR36" s="204"/>
      <c r="NKS36" s="204"/>
      <c r="NKT36" s="204"/>
      <c r="NKU36" s="204"/>
      <c r="NKV36" s="204"/>
      <c r="NKW36" s="204"/>
      <c r="NKX36" s="204"/>
      <c r="NKY36" s="204"/>
      <c r="NKZ36" s="204"/>
      <c r="NLA36" s="204"/>
      <c r="NLB36" s="204"/>
      <c r="NLC36" s="204"/>
      <c r="NLD36" s="204"/>
      <c r="NLE36" s="204"/>
      <c r="NLF36" s="204"/>
      <c r="NLG36" s="204"/>
      <c r="NLH36" s="204"/>
      <c r="NLI36" s="204"/>
      <c r="NLJ36" s="204"/>
      <c r="NLK36" s="204"/>
      <c r="NLL36" s="204"/>
      <c r="NLM36" s="204"/>
      <c r="NLN36" s="204"/>
      <c r="NLO36" s="204"/>
      <c r="NLP36" s="204"/>
      <c r="NLQ36" s="204"/>
      <c r="NLR36" s="204"/>
      <c r="NLS36" s="204"/>
      <c r="NLT36" s="204"/>
      <c r="NLU36" s="204"/>
      <c r="NLV36" s="204"/>
      <c r="NLW36" s="204"/>
      <c r="NLX36" s="204"/>
      <c r="NLY36" s="204"/>
      <c r="NLZ36" s="204"/>
      <c r="NMA36" s="204"/>
      <c r="NMB36" s="204"/>
      <c r="NMC36" s="204"/>
      <c r="NMD36" s="204"/>
      <c r="NME36" s="204"/>
      <c r="NMF36" s="204"/>
      <c r="NMG36" s="204"/>
      <c r="NMH36" s="204"/>
      <c r="NMI36" s="204"/>
      <c r="NMJ36" s="204"/>
      <c r="NMK36" s="204"/>
      <c r="NML36" s="204"/>
      <c r="NMM36" s="204"/>
      <c r="NMN36" s="204"/>
      <c r="NMO36" s="204"/>
      <c r="NMP36" s="204"/>
      <c r="NMQ36" s="204"/>
      <c r="NMR36" s="204"/>
      <c r="NMS36" s="204"/>
      <c r="NMT36" s="204"/>
      <c r="NMU36" s="204"/>
      <c r="NMV36" s="204"/>
      <c r="NMW36" s="204"/>
      <c r="NMX36" s="204"/>
      <c r="NMY36" s="204"/>
      <c r="NMZ36" s="204"/>
      <c r="NNA36" s="204"/>
      <c r="NNB36" s="204"/>
      <c r="NNC36" s="204"/>
      <c r="NND36" s="204"/>
      <c r="NNE36" s="204"/>
      <c r="NNF36" s="204"/>
      <c r="NNG36" s="204"/>
      <c r="NNH36" s="204"/>
      <c r="NNI36" s="204"/>
      <c r="NNJ36" s="204"/>
      <c r="NNK36" s="204"/>
      <c r="NNL36" s="204"/>
      <c r="NNM36" s="204"/>
      <c r="NNN36" s="204"/>
      <c r="NNO36" s="204"/>
      <c r="NNP36" s="204"/>
      <c r="NNQ36" s="204"/>
      <c r="NNR36" s="204"/>
      <c r="NNS36" s="204"/>
      <c r="NNT36" s="204"/>
      <c r="NNU36" s="204"/>
      <c r="NNV36" s="204"/>
      <c r="NNW36" s="204"/>
      <c r="NNX36" s="204"/>
      <c r="NNY36" s="204"/>
      <c r="NNZ36" s="204"/>
      <c r="NOA36" s="204"/>
      <c r="NOB36" s="204"/>
      <c r="NOC36" s="204"/>
      <c r="NOD36" s="204"/>
      <c r="NOE36" s="204"/>
      <c r="NOF36" s="204"/>
      <c r="NOG36" s="204"/>
      <c r="NOH36" s="204"/>
      <c r="NOI36" s="204"/>
      <c r="NOJ36" s="204"/>
      <c r="NOK36" s="204"/>
      <c r="NOL36" s="204"/>
      <c r="NOM36" s="204"/>
      <c r="NON36" s="204"/>
      <c r="NOO36" s="204"/>
      <c r="NOP36" s="204"/>
      <c r="NOQ36" s="204"/>
      <c r="NOR36" s="204"/>
      <c r="NOS36" s="204"/>
      <c r="NOT36" s="204"/>
      <c r="NOU36" s="204"/>
      <c r="NOV36" s="204"/>
      <c r="NOW36" s="204"/>
      <c r="NOX36" s="204"/>
      <c r="NOY36" s="204"/>
      <c r="NOZ36" s="204"/>
      <c r="NPA36" s="204"/>
      <c r="NPB36" s="204"/>
      <c r="NPC36" s="204"/>
      <c r="NPD36" s="204"/>
      <c r="NPE36" s="204"/>
      <c r="NPF36" s="204"/>
      <c r="NPG36" s="204"/>
      <c r="NPH36" s="204"/>
      <c r="NPI36" s="204"/>
      <c r="NPJ36" s="204"/>
      <c r="NPK36" s="204"/>
      <c r="NPL36" s="204"/>
      <c r="NPM36" s="204"/>
      <c r="NPN36" s="204"/>
      <c r="NPO36" s="204"/>
      <c r="NPP36" s="204"/>
      <c r="NPQ36" s="204"/>
      <c r="NPR36" s="204"/>
      <c r="NPS36" s="204"/>
      <c r="NPT36" s="204"/>
      <c r="NPU36" s="204"/>
      <c r="NPV36" s="204"/>
      <c r="NPW36" s="204"/>
      <c r="NPX36" s="204"/>
      <c r="NPY36" s="204"/>
      <c r="NPZ36" s="204"/>
      <c r="NQA36" s="204"/>
      <c r="NQB36" s="204"/>
      <c r="NQC36" s="204"/>
      <c r="NQD36" s="204"/>
      <c r="NQE36" s="204"/>
      <c r="NQF36" s="204"/>
      <c r="NQG36" s="204"/>
      <c r="NQH36" s="204"/>
      <c r="NQI36" s="204"/>
      <c r="NQJ36" s="204"/>
      <c r="NQK36" s="204"/>
      <c r="NQL36" s="204"/>
      <c r="NQM36" s="204"/>
      <c r="NQN36" s="204"/>
      <c r="NQO36" s="204"/>
      <c r="NQP36" s="204"/>
      <c r="NQQ36" s="204"/>
      <c r="NQR36" s="204"/>
      <c r="NQS36" s="204"/>
      <c r="NQT36" s="204"/>
      <c r="NQU36" s="204"/>
      <c r="NQV36" s="204"/>
      <c r="NQW36" s="204"/>
      <c r="NQX36" s="204"/>
      <c r="NQY36" s="204"/>
      <c r="NQZ36" s="204"/>
      <c r="NRA36" s="204"/>
      <c r="NRB36" s="204"/>
      <c r="NRC36" s="204"/>
      <c r="NRD36" s="204"/>
      <c r="NRE36" s="204"/>
      <c r="NRF36" s="204"/>
      <c r="NRG36" s="204"/>
      <c r="NRH36" s="204"/>
      <c r="NRI36" s="204"/>
      <c r="NRJ36" s="204"/>
      <c r="NRK36" s="204"/>
      <c r="NRL36" s="204"/>
      <c r="NRM36" s="204"/>
      <c r="NRN36" s="204"/>
      <c r="NRO36" s="204"/>
      <c r="NRP36" s="204"/>
      <c r="NRQ36" s="204"/>
      <c r="NRR36" s="204"/>
      <c r="NRS36" s="204"/>
      <c r="NRT36" s="204"/>
      <c r="NRU36" s="204"/>
      <c r="NRV36" s="204"/>
      <c r="NRW36" s="204"/>
      <c r="NRX36" s="204"/>
      <c r="NRY36" s="204"/>
      <c r="NRZ36" s="204"/>
      <c r="NSA36" s="204"/>
      <c r="NSB36" s="204"/>
      <c r="NSC36" s="204"/>
      <c r="NSD36" s="204"/>
      <c r="NSE36" s="204"/>
      <c r="NSF36" s="204"/>
      <c r="NSG36" s="204"/>
      <c r="NSH36" s="204"/>
      <c r="NSI36" s="204"/>
      <c r="NSJ36" s="204"/>
      <c r="NSK36" s="204"/>
      <c r="NSL36" s="204"/>
      <c r="NSM36" s="204"/>
      <c r="NSN36" s="204"/>
      <c r="NSO36" s="204"/>
      <c r="NSP36" s="204"/>
      <c r="NSQ36" s="204"/>
      <c r="NSR36" s="204"/>
      <c r="NSS36" s="204"/>
      <c r="NST36" s="204"/>
      <c r="NSU36" s="204"/>
      <c r="NSV36" s="204"/>
      <c r="NSW36" s="204"/>
      <c r="NSX36" s="204"/>
      <c r="NSY36" s="204"/>
      <c r="NSZ36" s="204"/>
      <c r="NTA36" s="204"/>
      <c r="NTB36" s="204"/>
      <c r="NTC36" s="204"/>
      <c r="NTD36" s="204"/>
      <c r="NTE36" s="204"/>
      <c r="NTF36" s="204"/>
      <c r="NTG36" s="204"/>
      <c r="NTH36" s="204"/>
      <c r="NTI36" s="204"/>
      <c r="NTJ36" s="204"/>
      <c r="NTK36" s="204"/>
      <c r="NTL36" s="204"/>
      <c r="NTM36" s="204"/>
      <c r="NTN36" s="204"/>
      <c r="NTO36" s="204"/>
      <c r="NTP36" s="204"/>
      <c r="NTQ36" s="204"/>
      <c r="NTR36" s="204"/>
      <c r="NTS36" s="204"/>
      <c r="NTT36" s="204"/>
      <c r="NTU36" s="204"/>
      <c r="NTV36" s="204"/>
      <c r="NTW36" s="204"/>
      <c r="NTX36" s="204"/>
      <c r="NTY36" s="204"/>
      <c r="NTZ36" s="204"/>
      <c r="NUA36" s="204"/>
      <c r="NUB36" s="204"/>
      <c r="NUC36" s="204"/>
      <c r="NUD36" s="204"/>
      <c r="NUE36" s="204"/>
      <c r="NUF36" s="204"/>
      <c r="NUG36" s="204"/>
      <c r="NUH36" s="204"/>
      <c r="NUI36" s="204"/>
      <c r="NUJ36" s="204"/>
      <c r="NUK36" s="204"/>
      <c r="NUL36" s="204"/>
      <c r="NUM36" s="204"/>
      <c r="NUN36" s="204"/>
      <c r="NUO36" s="204"/>
      <c r="NUP36" s="204"/>
      <c r="NUQ36" s="204"/>
      <c r="NUR36" s="204"/>
      <c r="NUS36" s="204"/>
      <c r="NUT36" s="204"/>
      <c r="NUU36" s="204"/>
      <c r="NUV36" s="204"/>
      <c r="NUW36" s="204"/>
      <c r="NUX36" s="204"/>
      <c r="NUY36" s="204"/>
      <c r="NUZ36" s="204"/>
      <c r="NVA36" s="204"/>
      <c r="NVB36" s="204"/>
      <c r="NVC36" s="204"/>
      <c r="NVD36" s="204"/>
      <c r="NVE36" s="204"/>
      <c r="NVF36" s="204"/>
      <c r="NVG36" s="204"/>
      <c r="NVH36" s="204"/>
      <c r="NVI36" s="204"/>
      <c r="NVJ36" s="204"/>
      <c r="NVK36" s="204"/>
      <c r="NVL36" s="204"/>
      <c r="NVM36" s="204"/>
      <c r="NVN36" s="204"/>
      <c r="NVO36" s="204"/>
      <c r="NVP36" s="204"/>
      <c r="NVQ36" s="204"/>
      <c r="NVR36" s="204"/>
      <c r="NVS36" s="204"/>
      <c r="NVT36" s="204"/>
      <c r="NVU36" s="204"/>
      <c r="NVV36" s="204"/>
      <c r="NVW36" s="204"/>
      <c r="NVX36" s="204"/>
      <c r="NVY36" s="204"/>
      <c r="NVZ36" s="204"/>
      <c r="NWA36" s="204"/>
      <c r="NWB36" s="204"/>
      <c r="NWC36" s="204"/>
      <c r="NWD36" s="204"/>
      <c r="NWE36" s="204"/>
      <c r="NWF36" s="204"/>
      <c r="NWG36" s="204"/>
      <c r="NWH36" s="204"/>
      <c r="NWI36" s="204"/>
      <c r="NWJ36" s="204"/>
      <c r="NWK36" s="204"/>
      <c r="NWL36" s="204"/>
      <c r="NWM36" s="204"/>
      <c r="NWN36" s="204"/>
      <c r="NWO36" s="204"/>
      <c r="NWP36" s="204"/>
      <c r="NWQ36" s="204"/>
      <c r="NWR36" s="204"/>
      <c r="NWS36" s="204"/>
      <c r="NWT36" s="204"/>
      <c r="NWU36" s="204"/>
      <c r="NWV36" s="204"/>
      <c r="NWW36" s="204"/>
      <c r="NWX36" s="204"/>
      <c r="NWY36" s="204"/>
      <c r="NWZ36" s="204"/>
      <c r="NXA36" s="204"/>
      <c r="NXB36" s="204"/>
      <c r="NXC36" s="204"/>
      <c r="NXD36" s="204"/>
      <c r="NXE36" s="204"/>
      <c r="NXF36" s="204"/>
      <c r="NXG36" s="204"/>
      <c r="NXH36" s="204"/>
      <c r="NXI36" s="204"/>
      <c r="NXJ36" s="204"/>
      <c r="NXK36" s="204"/>
      <c r="NXL36" s="204"/>
      <c r="NXM36" s="204"/>
      <c r="NXN36" s="204"/>
      <c r="NXO36" s="204"/>
      <c r="NXP36" s="204"/>
      <c r="NXQ36" s="204"/>
      <c r="NXR36" s="204"/>
      <c r="NXS36" s="204"/>
      <c r="NXT36" s="204"/>
      <c r="NXU36" s="204"/>
      <c r="NXV36" s="204"/>
      <c r="NXW36" s="204"/>
      <c r="NXX36" s="204"/>
      <c r="NXY36" s="204"/>
      <c r="NXZ36" s="204"/>
      <c r="NYA36" s="204"/>
      <c r="NYB36" s="204"/>
      <c r="NYC36" s="204"/>
      <c r="NYD36" s="204"/>
      <c r="NYE36" s="204"/>
      <c r="NYF36" s="204"/>
      <c r="NYG36" s="204"/>
      <c r="NYH36" s="204"/>
      <c r="NYI36" s="204"/>
      <c r="NYJ36" s="204"/>
      <c r="NYK36" s="204"/>
      <c r="NYL36" s="204"/>
      <c r="NYM36" s="204"/>
      <c r="NYN36" s="204"/>
      <c r="NYO36" s="204"/>
      <c r="NYP36" s="204"/>
      <c r="NYQ36" s="204"/>
      <c r="NYR36" s="204"/>
      <c r="NYS36" s="204"/>
      <c r="NYT36" s="204"/>
      <c r="NYU36" s="204"/>
      <c r="NYV36" s="204"/>
      <c r="NYW36" s="204"/>
      <c r="NYX36" s="204"/>
      <c r="NYY36" s="204"/>
      <c r="NYZ36" s="204"/>
      <c r="NZA36" s="204"/>
      <c r="NZB36" s="204"/>
      <c r="NZC36" s="204"/>
      <c r="NZD36" s="204"/>
      <c r="NZE36" s="204"/>
      <c r="NZF36" s="204"/>
      <c r="NZG36" s="204"/>
      <c r="NZH36" s="204"/>
      <c r="NZI36" s="204"/>
      <c r="NZJ36" s="204"/>
      <c r="NZK36" s="204"/>
      <c r="NZL36" s="204"/>
      <c r="NZM36" s="204"/>
      <c r="NZN36" s="204"/>
      <c r="NZO36" s="204"/>
      <c r="NZP36" s="204"/>
      <c r="NZQ36" s="204"/>
      <c r="NZR36" s="204"/>
      <c r="NZS36" s="204"/>
      <c r="NZT36" s="204"/>
      <c r="NZU36" s="204"/>
      <c r="NZV36" s="204"/>
      <c r="NZW36" s="204"/>
      <c r="NZX36" s="204"/>
      <c r="NZY36" s="204"/>
      <c r="NZZ36" s="204"/>
      <c r="OAA36" s="204"/>
      <c r="OAB36" s="204"/>
      <c r="OAC36" s="204"/>
      <c r="OAD36" s="204"/>
      <c r="OAE36" s="204"/>
      <c r="OAF36" s="204"/>
      <c r="OAG36" s="204"/>
      <c r="OAH36" s="204"/>
      <c r="OAI36" s="204"/>
      <c r="OAJ36" s="204"/>
      <c r="OAK36" s="204"/>
      <c r="OAL36" s="204"/>
      <c r="OAM36" s="204"/>
      <c r="OAN36" s="204"/>
      <c r="OAO36" s="204"/>
      <c r="OAP36" s="204"/>
      <c r="OAQ36" s="204"/>
      <c r="OAR36" s="204"/>
      <c r="OAS36" s="204"/>
      <c r="OAT36" s="204"/>
      <c r="OAU36" s="204"/>
      <c r="OAV36" s="204"/>
      <c r="OAW36" s="204"/>
      <c r="OAX36" s="204"/>
      <c r="OAY36" s="204"/>
      <c r="OAZ36" s="204"/>
      <c r="OBA36" s="204"/>
      <c r="OBB36" s="204"/>
      <c r="OBC36" s="204"/>
      <c r="OBD36" s="204"/>
      <c r="OBE36" s="204"/>
      <c r="OBF36" s="204"/>
      <c r="OBG36" s="204"/>
      <c r="OBH36" s="204"/>
      <c r="OBI36" s="204"/>
      <c r="OBJ36" s="204"/>
      <c r="OBK36" s="204"/>
      <c r="OBL36" s="204"/>
      <c r="OBM36" s="204"/>
      <c r="OBN36" s="204"/>
      <c r="OBO36" s="204"/>
      <c r="OBP36" s="204"/>
      <c r="OBQ36" s="204"/>
      <c r="OBR36" s="204"/>
      <c r="OBS36" s="204"/>
      <c r="OBT36" s="204"/>
      <c r="OBU36" s="204"/>
      <c r="OBV36" s="204"/>
      <c r="OBW36" s="204"/>
      <c r="OBX36" s="204"/>
      <c r="OBY36" s="204"/>
      <c r="OBZ36" s="204"/>
      <c r="OCA36" s="204"/>
      <c r="OCB36" s="204"/>
      <c r="OCC36" s="204"/>
      <c r="OCD36" s="204"/>
      <c r="OCE36" s="204"/>
      <c r="OCF36" s="204"/>
      <c r="OCG36" s="204"/>
      <c r="OCH36" s="204"/>
      <c r="OCI36" s="204"/>
      <c r="OCJ36" s="204"/>
      <c r="OCK36" s="204"/>
      <c r="OCL36" s="204"/>
      <c r="OCM36" s="204"/>
      <c r="OCN36" s="204"/>
      <c r="OCO36" s="204"/>
      <c r="OCP36" s="204"/>
      <c r="OCQ36" s="204"/>
      <c r="OCR36" s="204"/>
      <c r="OCS36" s="204"/>
      <c r="OCT36" s="204"/>
      <c r="OCU36" s="204"/>
      <c r="OCV36" s="204"/>
      <c r="OCW36" s="204"/>
      <c r="OCX36" s="204"/>
      <c r="OCY36" s="204"/>
      <c r="OCZ36" s="204"/>
      <c r="ODA36" s="204"/>
      <c r="ODB36" s="204"/>
      <c r="ODC36" s="204"/>
      <c r="ODD36" s="204"/>
      <c r="ODE36" s="204"/>
      <c r="ODF36" s="204"/>
      <c r="ODG36" s="204"/>
      <c r="ODH36" s="204"/>
      <c r="ODI36" s="204"/>
      <c r="ODJ36" s="204"/>
      <c r="ODK36" s="204"/>
      <c r="ODL36" s="204"/>
      <c r="ODM36" s="204"/>
      <c r="ODN36" s="204"/>
      <c r="ODO36" s="204"/>
      <c r="ODP36" s="204"/>
      <c r="ODQ36" s="204"/>
      <c r="ODR36" s="204"/>
      <c r="ODS36" s="204"/>
      <c r="ODT36" s="204"/>
      <c r="ODU36" s="204"/>
      <c r="ODV36" s="204"/>
      <c r="ODW36" s="204"/>
      <c r="ODX36" s="204"/>
      <c r="ODY36" s="204"/>
      <c r="ODZ36" s="204"/>
      <c r="OEA36" s="204"/>
      <c r="OEB36" s="204"/>
      <c r="OEC36" s="204"/>
      <c r="OED36" s="204"/>
      <c r="OEE36" s="204"/>
      <c r="OEF36" s="204"/>
      <c r="OEG36" s="204"/>
      <c r="OEH36" s="204"/>
      <c r="OEI36" s="204"/>
      <c r="OEJ36" s="204"/>
      <c r="OEK36" s="204"/>
      <c r="OEL36" s="204"/>
      <c r="OEM36" s="204"/>
      <c r="OEN36" s="204"/>
      <c r="OEO36" s="204"/>
      <c r="OEP36" s="204"/>
      <c r="OEQ36" s="204"/>
      <c r="OER36" s="204"/>
      <c r="OES36" s="204"/>
      <c r="OET36" s="204"/>
      <c r="OEU36" s="204"/>
      <c r="OEV36" s="204"/>
      <c r="OEW36" s="204"/>
      <c r="OEX36" s="204"/>
      <c r="OEY36" s="204"/>
      <c r="OEZ36" s="204"/>
      <c r="OFA36" s="204"/>
      <c r="OFB36" s="204"/>
      <c r="OFC36" s="204"/>
      <c r="OFD36" s="204"/>
      <c r="OFE36" s="204"/>
      <c r="OFF36" s="204"/>
      <c r="OFG36" s="204"/>
      <c r="OFH36" s="204"/>
      <c r="OFI36" s="204"/>
      <c r="OFJ36" s="204"/>
      <c r="OFK36" s="204"/>
      <c r="OFL36" s="204"/>
      <c r="OFM36" s="204"/>
      <c r="OFN36" s="204"/>
      <c r="OFO36" s="204"/>
      <c r="OFP36" s="204"/>
      <c r="OFQ36" s="204"/>
      <c r="OFR36" s="204"/>
      <c r="OFS36" s="204"/>
      <c r="OFT36" s="204"/>
      <c r="OFU36" s="204"/>
      <c r="OFV36" s="204"/>
      <c r="OFW36" s="204"/>
      <c r="OFX36" s="204"/>
      <c r="OFY36" s="204"/>
      <c r="OFZ36" s="204"/>
      <c r="OGA36" s="204"/>
      <c r="OGB36" s="204"/>
      <c r="OGC36" s="204"/>
      <c r="OGD36" s="204"/>
      <c r="OGE36" s="204"/>
      <c r="OGF36" s="204"/>
      <c r="OGG36" s="204"/>
      <c r="OGH36" s="204"/>
      <c r="OGI36" s="204"/>
      <c r="OGJ36" s="204"/>
      <c r="OGK36" s="204"/>
      <c r="OGL36" s="204"/>
      <c r="OGM36" s="204"/>
      <c r="OGN36" s="204"/>
      <c r="OGO36" s="204"/>
      <c r="OGP36" s="204"/>
      <c r="OGQ36" s="204"/>
      <c r="OGR36" s="204"/>
      <c r="OGS36" s="204"/>
      <c r="OGT36" s="204"/>
      <c r="OGU36" s="204"/>
      <c r="OGV36" s="204"/>
      <c r="OGW36" s="204"/>
      <c r="OGX36" s="204"/>
      <c r="OGY36" s="204"/>
      <c r="OGZ36" s="204"/>
      <c r="OHA36" s="204"/>
      <c r="OHB36" s="204"/>
      <c r="OHC36" s="204"/>
      <c r="OHD36" s="204"/>
      <c r="OHE36" s="204"/>
      <c r="OHF36" s="204"/>
      <c r="OHG36" s="204"/>
      <c r="OHH36" s="204"/>
      <c r="OHI36" s="204"/>
      <c r="OHJ36" s="204"/>
      <c r="OHK36" s="204"/>
      <c r="OHL36" s="204"/>
      <c r="OHM36" s="204"/>
      <c r="OHN36" s="204"/>
      <c r="OHO36" s="204"/>
      <c r="OHP36" s="204"/>
      <c r="OHQ36" s="204"/>
      <c r="OHR36" s="204"/>
      <c r="OHS36" s="204"/>
      <c r="OHT36" s="204"/>
      <c r="OHU36" s="204"/>
      <c r="OHV36" s="204"/>
      <c r="OHW36" s="204"/>
      <c r="OHX36" s="204"/>
      <c r="OHY36" s="204"/>
      <c r="OHZ36" s="204"/>
      <c r="OIA36" s="204"/>
      <c r="OIB36" s="204"/>
      <c r="OIC36" s="204"/>
      <c r="OID36" s="204"/>
      <c r="OIE36" s="204"/>
      <c r="OIF36" s="204"/>
      <c r="OIG36" s="204"/>
      <c r="OIH36" s="204"/>
      <c r="OII36" s="204"/>
      <c r="OIJ36" s="204"/>
      <c r="OIK36" s="204"/>
      <c r="OIL36" s="204"/>
      <c r="OIM36" s="204"/>
      <c r="OIN36" s="204"/>
      <c r="OIO36" s="204"/>
      <c r="OIP36" s="204"/>
      <c r="OIQ36" s="204"/>
      <c r="OIR36" s="204"/>
      <c r="OIS36" s="204"/>
      <c r="OIT36" s="204"/>
      <c r="OIU36" s="204"/>
      <c r="OIV36" s="204"/>
      <c r="OIW36" s="204"/>
      <c r="OIX36" s="204"/>
      <c r="OIY36" s="204"/>
      <c r="OIZ36" s="204"/>
      <c r="OJA36" s="204"/>
      <c r="OJB36" s="204"/>
      <c r="OJC36" s="204"/>
      <c r="OJD36" s="204"/>
      <c r="OJE36" s="204"/>
      <c r="OJF36" s="204"/>
      <c r="OJG36" s="204"/>
      <c r="OJH36" s="204"/>
      <c r="OJI36" s="204"/>
      <c r="OJJ36" s="204"/>
      <c r="OJK36" s="204"/>
      <c r="OJL36" s="204"/>
      <c r="OJM36" s="204"/>
      <c r="OJN36" s="204"/>
      <c r="OJO36" s="204"/>
      <c r="OJP36" s="204"/>
      <c r="OJQ36" s="204"/>
      <c r="OJR36" s="204"/>
      <c r="OJS36" s="204"/>
      <c r="OJT36" s="204"/>
      <c r="OJU36" s="204"/>
      <c r="OJV36" s="204"/>
      <c r="OJW36" s="204"/>
      <c r="OJX36" s="204"/>
      <c r="OJY36" s="204"/>
      <c r="OJZ36" s="204"/>
      <c r="OKA36" s="204"/>
      <c r="OKB36" s="204"/>
      <c r="OKC36" s="204"/>
      <c r="OKD36" s="204"/>
      <c r="OKE36" s="204"/>
      <c r="OKF36" s="204"/>
      <c r="OKG36" s="204"/>
      <c r="OKH36" s="204"/>
      <c r="OKI36" s="204"/>
      <c r="OKJ36" s="204"/>
      <c r="OKK36" s="204"/>
      <c r="OKL36" s="204"/>
      <c r="OKM36" s="204"/>
      <c r="OKN36" s="204"/>
      <c r="OKO36" s="204"/>
      <c r="OKP36" s="204"/>
      <c r="OKQ36" s="204"/>
      <c r="OKR36" s="204"/>
      <c r="OKS36" s="204"/>
      <c r="OKT36" s="204"/>
      <c r="OKU36" s="204"/>
      <c r="OKV36" s="204"/>
      <c r="OKW36" s="204"/>
      <c r="OKX36" s="204"/>
      <c r="OKY36" s="204"/>
      <c r="OKZ36" s="204"/>
      <c r="OLA36" s="204"/>
      <c r="OLB36" s="204"/>
      <c r="OLC36" s="204"/>
      <c r="OLD36" s="204"/>
      <c r="OLE36" s="204"/>
      <c r="OLF36" s="204"/>
      <c r="OLG36" s="204"/>
      <c r="OLH36" s="204"/>
      <c r="OLI36" s="204"/>
      <c r="OLJ36" s="204"/>
      <c r="OLK36" s="204"/>
      <c r="OLL36" s="204"/>
      <c r="OLM36" s="204"/>
      <c r="OLN36" s="204"/>
      <c r="OLO36" s="204"/>
      <c r="OLP36" s="204"/>
      <c r="OLQ36" s="204"/>
      <c r="OLR36" s="204"/>
      <c r="OLS36" s="204"/>
      <c r="OLT36" s="204"/>
      <c r="OLU36" s="204"/>
      <c r="OLV36" s="204"/>
      <c r="OLW36" s="204"/>
      <c r="OLX36" s="204"/>
      <c r="OLY36" s="204"/>
      <c r="OLZ36" s="204"/>
      <c r="OMA36" s="204"/>
      <c r="OMB36" s="204"/>
      <c r="OMC36" s="204"/>
      <c r="OMD36" s="204"/>
      <c r="OME36" s="204"/>
      <c r="OMF36" s="204"/>
      <c r="OMG36" s="204"/>
      <c r="OMH36" s="204"/>
      <c r="OMI36" s="204"/>
      <c r="OMJ36" s="204"/>
      <c r="OMK36" s="204"/>
      <c r="OML36" s="204"/>
      <c r="OMM36" s="204"/>
      <c r="OMN36" s="204"/>
      <c r="OMO36" s="204"/>
      <c r="OMP36" s="204"/>
      <c r="OMQ36" s="204"/>
      <c r="OMR36" s="204"/>
      <c r="OMS36" s="204"/>
      <c r="OMT36" s="204"/>
      <c r="OMU36" s="204"/>
      <c r="OMV36" s="204"/>
      <c r="OMW36" s="204"/>
      <c r="OMX36" s="204"/>
      <c r="OMY36" s="204"/>
      <c r="OMZ36" s="204"/>
      <c r="ONA36" s="204"/>
      <c r="ONB36" s="204"/>
      <c r="ONC36" s="204"/>
      <c r="OND36" s="204"/>
      <c r="ONE36" s="204"/>
      <c r="ONF36" s="204"/>
      <c r="ONG36" s="204"/>
      <c r="ONH36" s="204"/>
      <c r="ONI36" s="204"/>
      <c r="ONJ36" s="204"/>
      <c r="ONK36" s="204"/>
      <c r="ONL36" s="204"/>
      <c r="ONM36" s="204"/>
      <c r="ONN36" s="204"/>
      <c r="ONO36" s="204"/>
      <c r="ONP36" s="204"/>
      <c r="ONQ36" s="204"/>
      <c r="ONR36" s="204"/>
      <c r="ONS36" s="204"/>
      <c r="ONT36" s="204"/>
      <c r="ONU36" s="204"/>
      <c r="ONV36" s="204"/>
      <c r="ONW36" s="204"/>
      <c r="ONX36" s="204"/>
      <c r="ONY36" s="204"/>
      <c r="ONZ36" s="204"/>
      <c r="OOA36" s="204"/>
      <c r="OOB36" s="204"/>
      <c r="OOC36" s="204"/>
      <c r="OOD36" s="204"/>
      <c r="OOE36" s="204"/>
      <c r="OOF36" s="204"/>
      <c r="OOG36" s="204"/>
      <c r="OOH36" s="204"/>
      <c r="OOI36" s="204"/>
      <c r="OOJ36" s="204"/>
      <c r="OOK36" s="204"/>
      <c r="OOL36" s="204"/>
      <c r="OOM36" s="204"/>
      <c r="OON36" s="204"/>
      <c r="OOO36" s="204"/>
      <c r="OOP36" s="204"/>
      <c r="OOQ36" s="204"/>
      <c r="OOR36" s="204"/>
      <c r="OOS36" s="204"/>
      <c r="OOT36" s="204"/>
      <c r="OOU36" s="204"/>
      <c r="OOV36" s="204"/>
      <c r="OOW36" s="204"/>
      <c r="OOX36" s="204"/>
      <c r="OOY36" s="204"/>
      <c r="OOZ36" s="204"/>
      <c r="OPA36" s="204"/>
      <c r="OPB36" s="204"/>
      <c r="OPC36" s="204"/>
      <c r="OPD36" s="204"/>
      <c r="OPE36" s="204"/>
      <c r="OPF36" s="204"/>
      <c r="OPG36" s="204"/>
      <c r="OPH36" s="204"/>
      <c r="OPI36" s="204"/>
      <c r="OPJ36" s="204"/>
      <c r="OPK36" s="204"/>
      <c r="OPL36" s="204"/>
      <c r="OPM36" s="204"/>
      <c r="OPN36" s="204"/>
      <c r="OPO36" s="204"/>
      <c r="OPP36" s="204"/>
      <c r="OPQ36" s="204"/>
      <c r="OPR36" s="204"/>
      <c r="OPS36" s="204"/>
      <c r="OPT36" s="204"/>
      <c r="OPU36" s="204"/>
      <c r="OPV36" s="204"/>
      <c r="OPW36" s="204"/>
      <c r="OPX36" s="204"/>
      <c r="OPY36" s="204"/>
      <c r="OPZ36" s="204"/>
      <c r="OQA36" s="204"/>
      <c r="OQB36" s="204"/>
      <c r="OQC36" s="204"/>
      <c r="OQD36" s="204"/>
      <c r="OQE36" s="204"/>
      <c r="OQF36" s="204"/>
      <c r="OQG36" s="204"/>
      <c r="OQH36" s="204"/>
      <c r="OQI36" s="204"/>
      <c r="OQJ36" s="204"/>
      <c r="OQK36" s="204"/>
      <c r="OQL36" s="204"/>
      <c r="OQM36" s="204"/>
      <c r="OQN36" s="204"/>
      <c r="OQO36" s="204"/>
      <c r="OQP36" s="204"/>
      <c r="OQQ36" s="204"/>
      <c r="OQR36" s="204"/>
      <c r="OQS36" s="204"/>
      <c r="OQT36" s="204"/>
      <c r="OQU36" s="204"/>
      <c r="OQV36" s="204"/>
      <c r="OQW36" s="204"/>
      <c r="OQX36" s="204"/>
      <c r="OQY36" s="204"/>
      <c r="OQZ36" s="204"/>
      <c r="ORA36" s="204"/>
      <c r="ORB36" s="204"/>
      <c r="ORC36" s="204"/>
      <c r="ORD36" s="204"/>
      <c r="ORE36" s="204"/>
      <c r="ORF36" s="204"/>
      <c r="ORG36" s="204"/>
      <c r="ORH36" s="204"/>
      <c r="ORI36" s="204"/>
      <c r="ORJ36" s="204"/>
      <c r="ORK36" s="204"/>
      <c r="ORL36" s="204"/>
      <c r="ORM36" s="204"/>
      <c r="ORN36" s="204"/>
      <c r="ORO36" s="204"/>
      <c r="ORP36" s="204"/>
      <c r="ORQ36" s="204"/>
      <c r="ORR36" s="204"/>
      <c r="ORS36" s="204"/>
      <c r="ORT36" s="204"/>
      <c r="ORU36" s="204"/>
      <c r="ORV36" s="204"/>
      <c r="ORW36" s="204"/>
      <c r="ORX36" s="204"/>
      <c r="ORY36" s="204"/>
      <c r="ORZ36" s="204"/>
      <c r="OSA36" s="204"/>
      <c r="OSB36" s="204"/>
      <c r="OSC36" s="204"/>
      <c r="OSD36" s="204"/>
      <c r="OSE36" s="204"/>
      <c r="OSF36" s="204"/>
      <c r="OSG36" s="204"/>
      <c r="OSH36" s="204"/>
      <c r="OSI36" s="204"/>
      <c r="OSJ36" s="204"/>
      <c r="OSK36" s="204"/>
      <c r="OSL36" s="204"/>
      <c r="OSM36" s="204"/>
      <c r="OSN36" s="204"/>
      <c r="OSO36" s="204"/>
      <c r="OSP36" s="204"/>
      <c r="OSQ36" s="204"/>
      <c r="OSR36" s="204"/>
      <c r="OSS36" s="204"/>
      <c r="OST36" s="204"/>
      <c r="OSU36" s="204"/>
      <c r="OSV36" s="204"/>
      <c r="OSW36" s="204"/>
      <c r="OSX36" s="204"/>
      <c r="OSY36" s="204"/>
      <c r="OSZ36" s="204"/>
      <c r="OTA36" s="204"/>
      <c r="OTB36" s="204"/>
      <c r="OTC36" s="204"/>
      <c r="OTD36" s="204"/>
      <c r="OTE36" s="204"/>
      <c r="OTF36" s="204"/>
      <c r="OTG36" s="204"/>
      <c r="OTH36" s="204"/>
      <c r="OTI36" s="204"/>
      <c r="OTJ36" s="204"/>
      <c r="OTK36" s="204"/>
      <c r="OTL36" s="204"/>
      <c r="OTM36" s="204"/>
      <c r="OTN36" s="204"/>
      <c r="OTO36" s="204"/>
      <c r="OTP36" s="204"/>
      <c r="OTQ36" s="204"/>
      <c r="OTR36" s="204"/>
      <c r="OTS36" s="204"/>
      <c r="OTT36" s="204"/>
      <c r="OTU36" s="204"/>
      <c r="OTV36" s="204"/>
      <c r="OTW36" s="204"/>
      <c r="OTX36" s="204"/>
      <c r="OTY36" s="204"/>
      <c r="OTZ36" s="204"/>
      <c r="OUA36" s="204"/>
      <c r="OUB36" s="204"/>
      <c r="OUC36" s="204"/>
      <c r="OUD36" s="204"/>
      <c r="OUE36" s="204"/>
      <c r="OUF36" s="204"/>
      <c r="OUG36" s="204"/>
      <c r="OUH36" s="204"/>
      <c r="OUI36" s="204"/>
      <c r="OUJ36" s="204"/>
      <c r="OUK36" s="204"/>
      <c r="OUL36" s="204"/>
      <c r="OUM36" s="204"/>
      <c r="OUN36" s="204"/>
      <c r="OUO36" s="204"/>
      <c r="OUP36" s="204"/>
      <c r="OUQ36" s="204"/>
      <c r="OUR36" s="204"/>
      <c r="OUS36" s="204"/>
      <c r="OUT36" s="204"/>
      <c r="OUU36" s="204"/>
      <c r="OUV36" s="204"/>
      <c r="OUW36" s="204"/>
      <c r="OUX36" s="204"/>
      <c r="OUY36" s="204"/>
      <c r="OUZ36" s="204"/>
      <c r="OVA36" s="204"/>
      <c r="OVB36" s="204"/>
      <c r="OVC36" s="204"/>
      <c r="OVD36" s="204"/>
      <c r="OVE36" s="204"/>
      <c r="OVF36" s="204"/>
      <c r="OVG36" s="204"/>
      <c r="OVH36" s="204"/>
      <c r="OVI36" s="204"/>
      <c r="OVJ36" s="204"/>
      <c r="OVK36" s="204"/>
      <c r="OVL36" s="204"/>
      <c r="OVM36" s="204"/>
      <c r="OVN36" s="204"/>
      <c r="OVO36" s="204"/>
      <c r="OVP36" s="204"/>
      <c r="OVQ36" s="204"/>
      <c r="OVR36" s="204"/>
      <c r="OVS36" s="204"/>
      <c r="OVT36" s="204"/>
      <c r="OVU36" s="204"/>
      <c r="OVV36" s="204"/>
      <c r="OVW36" s="204"/>
      <c r="OVX36" s="204"/>
      <c r="OVY36" s="204"/>
      <c r="OVZ36" s="204"/>
      <c r="OWA36" s="204"/>
      <c r="OWB36" s="204"/>
      <c r="OWC36" s="204"/>
      <c r="OWD36" s="204"/>
      <c r="OWE36" s="204"/>
      <c r="OWF36" s="204"/>
      <c r="OWG36" s="204"/>
      <c r="OWH36" s="204"/>
      <c r="OWI36" s="204"/>
      <c r="OWJ36" s="204"/>
      <c r="OWK36" s="204"/>
      <c r="OWL36" s="204"/>
      <c r="OWM36" s="204"/>
      <c r="OWN36" s="204"/>
      <c r="OWO36" s="204"/>
      <c r="OWP36" s="204"/>
      <c r="OWQ36" s="204"/>
      <c r="OWR36" s="204"/>
      <c r="OWS36" s="204"/>
      <c r="OWT36" s="204"/>
      <c r="OWU36" s="204"/>
      <c r="OWV36" s="204"/>
      <c r="OWW36" s="204"/>
      <c r="OWX36" s="204"/>
      <c r="OWY36" s="204"/>
      <c r="OWZ36" s="204"/>
      <c r="OXA36" s="204"/>
      <c r="OXB36" s="204"/>
      <c r="OXC36" s="204"/>
      <c r="OXD36" s="204"/>
      <c r="OXE36" s="204"/>
      <c r="OXF36" s="204"/>
      <c r="OXG36" s="204"/>
      <c r="OXH36" s="204"/>
      <c r="OXI36" s="204"/>
      <c r="OXJ36" s="204"/>
      <c r="OXK36" s="204"/>
      <c r="OXL36" s="204"/>
      <c r="OXM36" s="204"/>
      <c r="OXN36" s="204"/>
      <c r="OXO36" s="204"/>
      <c r="OXP36" s="204"/>
      <c r="OXQ36" s="204"/>
      <c r="OXR36" s="204"/>
      <c r="OXS36" s="204"/>
      <c r="OXT36" s="204"/>
      <c r="OXU36" s="204"/>
      <c r="OXV36" s="204"/>
      <c r="OXW36" s="204"/>
      <c r="OXX36" s="204"/>
      <c r="OXY36" s="204"/>
      <c r="OXZ36" s="204"/>
      <c r="OYA36" s="204"/>
      <c r="OYB36" s="204"/>
      <c r="OYC36" s="204"/>
      <c r="OYD36" s="204"/>
      <c r="OYE36" s="204"/>
      <c r="OYF36" s="204"/>
      <c r="OYG36" s="204"/>
      <c r="OYH36" s="204"/>
      <c r="OYI36" s="204"/>
      <c r="OYJ36" s="204"/>
      <c r="OYK36" s="204"/>
      <c r="OYL36" s="204"/>
      <c r="OYM36" s="204"/>
      <c r="OYN36" s="204"/>
      <c r="OYO36" s="204"/>
      <c r="OYP36" s="204"/>
      <c r="OYQ36" s="204"/>
      <c r="OYR36" s="204"/>
      <c r="OYS36" s="204"/>
      <c r="OYT36" s="204"/>
      <c r="OYU36" s="204"/>
      <c r="OYV36" s="204"/>
      <c r="OYW36" s="204"/>
      <c r="OYX36" s="204"/>
      <c r="OYY36" s="204"/>
      <c r="OYZ36" s="204"/>
      <c r="OZA36" s="204"/>
      <c r="OZB36" s="204"/>
      <c r="OZC36" s="204"/>
      <c r="OZD36" s="204"/>
      <c r="OZE36" s="204"/>
      <c r="OZF36" s="204"/>
      <c r="OZG36" s="204"/>
      <c r="OZH36" s="204"/>
      <c r="OZI36" s="204"/>
      <c r="OZJ36" s="204"/>
      <c r="OZK36" s="204"/>
      <c r="OZL36" s="204"/>
      <c r="OZM36" s="204"/>
      <c r="OZN36" s="204"/>
      <c r="OZO36" s="204"/>
      <c r="OZP36" s="204"/>
      <c r="OZQ36" s="204"/>
      <c r="OZR36" s="204"/>
      <c r="OZS36" s="204"/>
      <c r="OZT36" s="204"/>
      <c r="OZU36" s="204"/>
      <c r="OZV36" s="204"/>
      <c r="OZW36" s="204"/>
      <c r="OZX36" s="204"/>
      <c r="OZY36" s="204"/>
      <c r="OZZ36" s="204"/>
      <c r="PAA36" s="204"/>
      <c r="PAB36" s="204"/>
      <c r="PAC36" s="204"/>
      <c r="PAD36" s="204"/>
      <c r="PAE36" s="204"/>
      <c r="PAF36" s="204"/>
      <c r="PAG36" s="204"/>
      <c r="PAH36" s="204"/>
      <c r="PAI36" s="204"/>
      <c r="PAJ36" s="204"/>
      <c r="PAK36" s="204"/>
      <c r="PAL36" s="204"/>
      <c r="PAM36" s="204"/>
      <c r="PAN36" s="204"/>
      <c r="PAO36" s="204"/>
      <c r="PAP36" s="204"/>
      <c r="PAQ36" s="204"/>
      <c r="PAR36" s="204"/>
      <c r="PAS36" s="204"/>
      <c r="PAT36" s="204"/>
      <c r="PAU36" s="204"/>
      <c r="PAV36" s="204"/>
      <c r="PAW36" s="204"/>
      <c r="PAX36" s="204"/>
      <c r="PAY36" s="204"/>
      <c r="PAZ36" s="204"/>
      <c r="PBA36" s="204"/>
      <c r="PBB36" s="204"/>
      <c r="PBC36" s="204"/>
      <c r="PBD36" s="204"/>
      <c r="PBE36" s="204"/>
      <c r="PBF36" s="204"/>
      <c r="PBG36" s="204"/>
      <c r="PBH36" s="204"/>
      <c r="PBI36" s="204"/>
      <c r="PBJ36" s="204"/>
      <c r="PBK36" s="204"/>
      <c r="PBL36" s="204"/>
      <c r="PBM36" s="204"/>
      <c r="PBN36" s="204"/>
      <c r="PBO36" s="204"/>
      <c r="PBP36" s="204"/>
      <c r="PBQ36" s="204"/>
      <c r="PBR36" s="204"/>
      <c r="PBS36" s="204"/>
      <c r="PBT36" s="204"/>
      <c r="PBU36" s="204"/>
      <c r="PBV36" s="204"/>
      <c r="PBW36" s="204"/>
      <c r="PBX36" s="204"/>
      <c r="PBY36" s="204"/>
      <c r="PBZ36" s="204"/>
      <c r="PCA36" s="204"/>
      <c r="PCB36" s="204"/>
      <c r="PCC36" s="204"/>
      <c r="PCD36" s="204"/>
      <c r="PCE36" s="204"/>
      <c r="PCF36" s="204"/>
      <c r="PCG36" s="204"/>
      <c r="PCH36" s="204"/>
      <c r="PCI36" s="204"/>
      <c r="PCJ36" s="204"/>
      <c r="PCK36" s="204"/>
      <c r="PCL36" s="204"/>
      <c r="PCM36" s="204"/>
      <c r="PCN36" s="204"/>
      <c r="PCO36" s="204"/>
      <c r="PCP36" s="204"/>
      <c r="PCQ36" s="204"/>
      <c r="PCR36" s="204"/>
      <c r="PCS36" s="204"/>
      <c r="PCT36" s="204"/>
      <c r="PCU36" s="204"/>
      <c r="PCV36" s="204"/>
      <c r="PCW36" s="204"/>
      <c r="PCX36" s="204"/>
      <c r="PCY36" s="204"/>
      <c r="PCZ36" s="204"/>
      <c r="PDA36" s="204"/>
      <c r="PDB36" s="204"/>
      <c r="PDC36" s="204"/>
      <c r="PDD36" s="204"/>
      <c r="PDE36" s="204"/>
      <c r="PDF36" s="204"/>
      <c r="PDG36" s="204"/>
      <c r="PDH36" s="204"/>
      <c r="PDI36" s="204"/>
      <c r="PDJ36" s="204"/>
      <c r="PDK36" s="204"/>
      <c r="PDL36" s="204"/>
      <c r="PDM36" s="204"/>
      <c r="PDN36" s="204"/>
      <c r="PDO36" s="204"/>
      <c r="PDP36" s="204"/>
      <c r="PDQ36" s="204"/>
      <c r="PDR36" s="204"/>
      <c r="PDS36" s="204"/>
      <c r="PDT36" s="204"/>
      <c r="PDU36" s="204"/>
      <c r="PDV36" s="204"/>
      <c r="PDW36" s="204"/>
      <c r="PDX36" s="204"/>
      <c r="PDY36" s="204"/>
      <c r="PDZ36" s="204"/>
      <c r="PEA36" s="204"/>
      <c r="PEB36" s="204"/>
      <c r="PEC36" s="204"/>
      <c r="PED36" s="204"/>
      <c r="PEE36" s="204"/>
      <c r="PEF36" s="204"/>
      <c r="PEG36" s="204"/>
      <c r="PEH36" s="204"/>
      <c r="PEI36" s="204"/>
      <c r="PEJ36" s="204"/>
      <c r="PEK36" s="204"/>
      <c r="PEL36" s="204"/>
      <c r="PEM36" s="204"/>
      <c r="PEN36" s="204"/>
      <c r="PEO36" s="204"/>
      <c r="PEP36" s="204"/>
      <c r="PEQ36" s="204"/>
      <c r="PER36" s="204"/>
      <c r="PES36" s="204"/>
      <c r="PET36" s="204"/>
      <c r="PEU36" s="204"/>
      <c r="PEV36" s="204"/>
      <c r="PEW36" s="204"/>
      <c r="PEX36" s="204"/>
      <c r="PEY36" s="204"/>
      <c r="PEZ36" s="204"/>
      <c r="PFA36" s="204"/>
      <c r="PFB36" s="204"/>
      <c r="PFC36" s="204"/>
      <c r="PFD36" s="204"/>
      <c r="PFE36" s="204"/>
      <c r="PFF36" s="204"/>
      <c r="PFG36" s="204"/>
      <c r="PFH36" s="204"/>
      <c r="PFI36" s="204"/>
      <c r="PFJ36" s="204"/>
      <c r="PFK36" s="204"/>
      <c r="PFL36" s="204"/>
      <c r="PFM36" s="204"/>
      <c r="PFN36" s="204"/>
      <c r="PFO36" s="204"/>
      <c r="PFP36" s="204"/>
      <c r="PFQ36" s="204"/>
      <c r="PFR36" s="204"/>
      <c r="PFS36" s="204"/>
      <c r="PFT36" s="204"/>
      <c r="PFU36" s="204"/>
      <c r="PFV36" s="204"/>
      <c r="PFW36" s="204"/>
      <c r="PFX36" s="204"/>
      <c r="PFY36" s="204"/>
      <c r="PFZ36" s="204"/>
      <c r="PGA36" s="204"/>
      <c r="PGB36" s="204"/>
      <c r="PGC36" s="204"/>
      <c r="PGD36" s="204"/>
      <c r="PGE36" s="204"/>
      <c r="PGF36" s="204"/>
      <c r="PGG36" s="204"/>
      <c r="PGH36" s="204"/>
      <c r="PGI36" s="204"/>
      <c r="PGJ36" s="204"/>
      <c r="PGK36" s="204"/>
      <c r="PGL36" s="204"/>
      <c r="PGM36" s="204"/>
      <c r="PGN36" s="204"/>
      <c r="PGO36" s="204"/>
      <c r="PGP36" s="204"/>
      <c r="PGQ36" s="204"/>
      <c r="PGR36" s="204"/>
      <c r="PGS36" s="204"/>
      <c r="PGT36" s="204"/>
      <c r="PGU36" s="204"/>
      <c r="PGV36" s="204"/>
      <c r="PGW36" s="204"/>
      <c r="PGX36" s="204"/>
      <c r="PGY36" s="204"/>
      <c r="PGZ36" s="204"/>
      <c r="PHA36" s="204"/>
      <c r="PHB36" s="204"/>
      <c r="PHC36" s="204"/>
      <c r="PHD36" s="204"/>
      <c r="PHE36" s="204"/>
      <c r="PHF36" s="204"/>
      <c r="PHG36" s="204"/>
      <c r="PHH36" s="204"/>
      <c r="PHI36" s="204"/>
      <c r="PHJ36" s="204"/>
      <c r="PHK36" s="204"/>
      <c r="PHL36" s="204"/>
      <c r="PHM36" s="204"/>
      <c r="PHN36" s="204"/>
      <c r="PHO36" s="204"/>
      <c r="PHP36" s="204"/>
      <c r="PHQ36" s="204"/>
      <c r="PHR36" s="204"/>
      <c r="PHS36" s="204"/>
      <c r="PHT36" s="204"/>
      <c r="PHU36" s="204"/>
      <c r="PHV36" s="204"/>
      <c r="PHW36" s="204"/>
      <c r="PHX36" s="204"/>
      <c r="PHY36" s="204"/>
      <c r="PHZ36" s="204"/>
      <c r="PIA36" s="204"/>
      <c r="PIB36" s="204"/>
      <c r="PIC36" s="204"/>
      <c r="PID36" s="204"/>
      <c r="PIE36" s="204"/>
      <c r="PIF36" s="204"/>
      <c r="PIG36" s="204"/>
      <c r="PIH36" s="204"/>
      <c r="PII36" s="204"/>
      <c r="PIJ36" s="204"/>
      <c r="PIK36" s="204"/>
      <c r="PIL36" s="204"/>
      <c r="PIM36" s="204"/>
      <c r="PIN36" s="204"/>
      <c r="PIO36" s="204"/>
      <c r="PIP36" s="204"/>
      <c r="PIQ36" s="204"/>
      <c r="PIR36" s="204"/>
      <c r="PIS36" s="204"/>
      <c r="PIT36" s="204"/>
      <c r="PIU36" s="204"/>
      <c r="PIV36" s="204"/>
      <c r="PIW36" s="204"/>
      <c r="PIX36" s="204"/>
      <c r="PIY36" s="204"/>
      <c r="PIZ36" s="204"/>
      <c r="PJA36" s="204"/>
      <c r="PJB36" s="204"/>
      <c r="PJC36" s="204"/>
      <c r="PJD36" s="204"/>
      <c r="PJE36" s="204"/>
      <c r="PJF36" s="204"/>
      <c r="PJG36" s="204"/>
      <c r="PJH36" s="204"/>
      <c r="PJI36" s="204"/>
      <c r="PJJ36" s="204"/>
      <c r="PJK36" s="204"/>
      <c r="PJL36" s="204"/>
      <c r="PJM36" s="204"/>
      <c r="PJN36" s="204"/>
      <c r="PJO36" s="204"/>
      <c r="PJP36" s="204"/>
      <c r="PJQ36" s="204"/>
      <c r="PJR36" s="204"/>
      <c r="PJS36" s="204"/>
      <c r="PJT36" s="204"/>
      <c r="PJU36" s="204"/>
      <c r="PJV36" s="204"/>
      <c r="PJW36" s="204"/>
      <c r="PJX36" s="204"/>
      <c r="PJY36" s="204"/>
      <c r="PJZ36" s="204"/>
      <c r="PKA36" s="204"/>
      <c r="PKB36" s="204"/>
      <c r="PKC36" s="204"/>
      <c r="PKD36" s="204"/>
      <c r="PKE36" s="204"/>
      <c r="PKF36" s="204"/>
      <c r="PKG36" s="204"/>
      <c r="PKH36" s="204"/>
      <c r="PKI36" s="204"/>
      <c r="PKJ36" s="204"/>
      <c r="PKK36" s="204"/>
      <c r="PKL36" s="204"/>
      <c r="PKM36" s="204"/>
      <c r="PKN36" s="204"/>
      <c r="PKO36" s="204"/>
      <c r="PKP36" s="204"/>
      <c r="PKQ36" s="204"/>
      <c r="PKR36" s="204"/>
      <c r="PKS36" s="204"/>
      <c r="PKT36" s="204"/>
      <c r="PKU36" s="204"/>
      <c r="PKV36" s="204"/>
      <c r="PKW36" s="204"/>
      <c r="PKX36" s="204"/>
      <c r="PKY36" s="204"/>
      <c r="PKZ36" s="204"/>
      <c r="PLA36" s="204"/>
      <c r="PLB36" s="204"/>
      <c r="PLC36" s="204"/>
      <c r="PLD36" s="204"/>
      <c r="PLE36" s="204"/>
      <c r="PLF36" s="204"/>
      <c r="PLG36" s="204"/>
      <c r="PLH36" s="204"/>
      <c r="PLI36" s="204"/>
      <c r="PLJ36" s="204"/>
      <c r="PLK36" s="204"/>
      <c r="PLL36" s="204"/>
      <c r="PLM36" s="204"/>
      <c r="PLN36" s="204"/>
      <c r="PLO36" s="204"/>
      <c r="PLP36" s="204"/>
      <c r="PLQ36" s="204"/>
      <c r="PLR36" s="204"/>
      <c r="PLS36" s="204"/>
      <c r="PLT36" s="204"/>
      <c r="PLU36" s="204"/>
      <c r="PLV36" s="204"/>
      <c r="PLW36" s="204"/>
      <c r="PLX36" s="204"/>
      <c r="PLY36" s="204"/>
      <c r="PLZ36" s="204"/>
      <c r="PMA36" s="204"/>
      <c r="PMB36" s="204"/>
      <c r="PMC36" s="204"/>
      <c r="PMD36" s="204"/>
      <c r="PME36" s="204"/>
      <c r="PMF36" s="204"/>
      <c r="PMG36" s="204"/>
      <c r="PMH36" s="204"/>
      <c r="PMI36" s="204"/>
      <c r="PMJ36" s="204"/>
      <c r="PMK36" s="204"/>
      <c r="PML36" s="204"/>
      <c r="PMM36" s="204"/>
      <c r="PMN36" s="204"/>
      <c r="PMO36" s="204"/>
      <c r="PMP36" s="204"/>
      <c r="PMQ36" s="204"/>
      <c r="PMR36" s="204"/>
      <c r="PMS36" s="204"/>
      <c r="PMT36" s="204"/>
      <c r="PMU36" s="204"/>
      <c r="PMV36" s="204"/>
      <c r="PMW36" s="204"/>
      <c r="PMX36" s="204"/>
      <c r="PMY36" s="204"/>
      <c r="PMZ36" s="204"/>
      <c r="PNA36" s="204"/>
      <c r="PNB36" s="204"/>
      <c r="PNC36" s="204"/>
      <c r="PND36" s="204"/>
      <c r="PNE36" s="204"/>
      <c r="PNF36" s="204"/>
      <c r="PNG36" s="204"/>
      <c r="PNH36" s="204"/>
      <c r="PNI36" s="204"/>
      <c r="PNJ36" s="204"/>
      <c r="PNK36" s="204"/>
      <c r="PNL36" s="204"/>
      <c r="PNM36" s="204"/>
      <c r="PNN36" s="204"/>
      <c r="PNO36" s="204"/>
      <c r="PNP36" s="204"/>
      <c r="PNQ36" s="204"/>
      <c r="PNR36" s="204"/>
      <c r="PNS36" s="204"/>
      <c r="PNT36" s="204"/>
      <c r="PNU36" s="204"/>
      <c r="PNV36" s="204"/>
      <c r="PNW36" s="204"/>
      <c r="PNX36" s="204"/>
      <c r="PNY36" s="204"/>
      <c r="PNZ36" s="204"/>
      <c r="POA36" s="204"/>
      <c r="POB36" s="204"/>
      <c r="POC36" s="204"/>
      <c r="POD36" s="204"/>
      <c r="POE36" s="204"/>
      <c r="POF36" s="204"/>
      <c r="POG36" s="204"/>
      <c r="POH36" s="204"/>
      <c r="POI36" s="204"/>
      <c r="POJ36" s="204"/>
      <c r="POK36" s="204"/>
      <c r="POL36" s="204"/>
      <c r="POM36" s="204"/>
      <c r="PON36" s="204"/>
      <c r="POO36" s="204"/>
      <c r="POP36" s="204"/>
      <c r="POQ36" s="204"/>
      <c r="POR36" s="204"/>
      <c r="POS36" s="204"/>
      <c r="POT36" s="204"/>
      <c r="POU36" s="204"/>
      <c r="POV36" s="204"/>
      <c r="POW36" s="204"/>
      <c r="POX36" s="204"/>
      <c r="POY36" s="204"/>
      <c r="POZ36" s="204"/>
      <c r="PPA36" s="204"/>
      <c r="PPB36" s="204"/>
      <c r="PPC36" s="204"/>
      <c r="PPD36" s="204"/>
      <c r="PPE36" s="204"/>
      <c r="PPF36" s="204"/>
      <c r="PPG36" s="204"/>
      <c r="PPH36" s="204"/>
      <c r="PPI36" s="204"/>
      <c r="PPJ36" s="204"/>
      <c r="PPK36" s="204"/>
      <c r="PPL36" s="204"/>
      <c r="PPM36" s="204"/>
      <c r="PPN36" s="204"/>
      <c r="PPO36" s="204"/>
      <c r="PPP36" s="204"/>
      <c r="PPQ36" s="204"/>
      <c r="PPR36" s="204"/>
      <c r="PPS36" s="204"/>
      <c r="PPT36" s="204"/>
      <c r="PPU36" s="204"/>
      <c r="PPV36" s="204"/>
      <c r="PPW36" s="204"/>
      <c r="PPX36" s="204"/>
      <c r="PPY36" s="204"/>
      <c r="PPZ36" s="204"/>
      <c r="PQA36" s="204"/>
      <c r="PQB36" s="204"/>
      <c r="PQC36" s="204"/>
      <c r="PQD36" s="204"/>
      <c r="PQE36" s="204"/>
      <c r="PQF36" s="204"/>
      <c r="PQG36" s="204"/>
      <c r="PQH36" s="204"/>
      <c r="PQI36" s="204"/>
      <c r="PQJ36" s="204"/>
      <c r="PQK36" s="204"/>
      <c r="PQL36" s="204"/>
      <c r="PQM36" s="204"/>
      <c r="PQN36" s="204"/>
      <c r="PQO36" s="204"/>
      <c r="PQP36" s="204"/>
      <c r="PQQ36" s="204"/>
      <c r="PQR36" s="204"/>
      <c r="PQS36" s="204"/>
      <c r="PQT36" s="204"/>
      <c r="PQU36" s="204"/>
      <c r="PQV36" s="204"/>
      <c r="PQW36" s="204"/>
      <c r="PQX36" s="204"/>
      <c r="PQY36" s="204"/>
      <c r="PQZ36" s="204"/>
      <c r="PRA36" s="204"/>
      <c r="PRB36" s="204"/>
      <c r="PRC36" s="204"/>
      <c r="PRD36" s="204"/>
      <c r="PRE36" s="204"/>
      <c r="PRF36" s="204"/>
      <c r="PRG36" s="204"/>
      <c r="PRH36" s="204"/>
      <c r="PRI36" s="204"/>
      <c r="PRJ36" s="204"/>
      <c r="PRK36" s="204"/>
      <c r="PRL36" s="204"/>
      <c r="PRM36" s="204"/>
      <c r="PRN36" s="204"/>
      <c r="PRO36" s="204"/>
      <c r="PRP36" s="204"/>
      <c r="PRQ36" s="204"/>
      <c r="PRR36" s="204"/>
      <c r="PRS36" s="204"/>
      <c r="PRT36" s="204"/>
      <c r="PRU36" s="204"/>
      <c r="PRV36" s="204"/>
      <c r="PRW36" s="204"/>
      <c r="PRX36" s="204"/>
      <c r="PRY36" s="204"/>
      <c r="PRZ36" s="204"/>
      <c r="PSA36" s="204"/>
      <c r="PSB36" s="204"/>
      <c r="PSC36" s="204"/>
      <c r="PSD36" s="204"/>
      <c r="PSE36" s="204"/>
      <c r="PSF36" s="204"/>
      <c r="PSG36" s="204"/>
      <c r="PSH36" s="204"/>
      <c r="PSI36" s="204"/>
      <c r="PSJ36" s="204"/>
      <c r="PSK36" s="204"/>
      <c r="PSL36" s="204"/>
      <c r="PSM36" s="204"/>
      <c r="PSN36" s="204"/>
      <c r="PSO36" s="204"/>
      <c r="PSP36" s="204"/>
      <c r="PSQ36" s="204"/>
      <c r="PSR36" s="204"/>
      <c r="PSS36" s="204"/>
      <c r="PST36" s="204"/>
      <c r="PSU36" s="204"/>
      <c r="PSV36" s="204"/>
      <c r="PSW36" s="204"/>
      <c r="PSX36" s="204"/>
      <c r="PSY36" s="204"/>
      <c r="PSZ36" s="204"/>
      <c r="PTA36" s="204"/>
      <c r="PTB36" s="204"/>
      <c r="PTC36" s="204"/>
      <c r="PTD36" s="204"/>
      <c r="PTE36" s="204"/>
      <c r="PTF36" s="204"/>
      <c r="PTG36" s="204"/>
      <c r="PTH36" s="204"/>
      <c r="PTI36" s="204"/>
      <c r="PTJ36" s="204"/>
      <c r="PTK36" s="204"/>
      <c r="PTL36" s="204"/>
      <c r="PTM36" s="204"/>
      <c r="PTN36" s="204"/>
      <c r="PTO36" s="204"/>
      <c r="PTP36" s="204"/>
      <c r="PTQ36" s="204"/>
      <c r="PTR36" s="204"/>
      <c r="PTS36" s="204"/>
      <c r="PTT36" s="204"/>
      <c r="PTU36" s="204"/>
      <c r="PTV36" s="204"/>
      <c r="PTW36" s="204"/>
      <c r="PTX36" s="204"/>
      <c r="PTY36" s="204"/>
      <c r="PTZ36" s="204"/>
      <c r="PUA36" s="204"/>
      <c r="PUB36" s="204"/>
      <c r="PUC36" s="204"/>
      <c r="PUD36" s="204"/>
      <c r="PUE36" s="204"/>
      <c r="PUF36" s="204"/>
      <c r="PUG36" s="204"/>
      <c r="PUH36" s="204"/>
      <c r="PUI36" s="204"/>
      <c r="PUJ36" s="204"/>
      <c r="PUK36" s="204"/>
      <c r="PUL36" s="204"/>
      <c r="PUM36" s="204"/>
      <c r="PUN36" s="204"/>
      <c r="PUO36" s="204"/>
      <c r="PUP36" s="204"/>
      <c r="PUQ36" s="204"/>
      <c r="PUR36" s="204"/>
      <c r="PUS36" s="204"/>
      <c r="PUT36" s="204"/>
      <c r="PUU36" s="204"/>
      <c r="PUV36" s="204"/>
      <c r="PUW36" s="204"/>
      <c r="PUX36" s="204"/>
      <c r="PUY36" s="204"/>
      <c r="PUZ36" s="204"/>
      <c r="PVA36" s="204"/>
      <c r="PVB36" s="204"/>
      <c r="PVC36" s="204"/>
      <c r="PVD36" s="204"/>
      <c r="PVE36" s="204"/>
      <c r="PVF36" s="204"/>
      <c r="PVG36" s="204"/>
      <c r="PVH36" s="204"/>
      <c r="PVI36" s="204"/>
      <c r="PVJ36" s="204"/>
      <c r="PVK36" s="204"/>
      <c r="PVL36" s="204"/>
      <c r="PVM36" s="204"/>
      <c r="PVN36" s="204"/>
      <c r="PVO36" s="204"/>
      <c r="PVP36" s="204"/>
      <c r="PVQ36" s="204"/>
      <c r="PVR36" s="204"/>
      <c r="PVS36" s="204"/>
      <c r="PVT36" s="204"/>
      <c r="PVU36" s="204"/>
      <c r="PVV36" s="204"/>
      <c r="PVW36" s="204"/>
      <c r="PVX36" s="204"/>
      <c r="PVY36" s="204"/>
      <c r="PVZ36" s="204"/>
      <c r="PWA36" s="204"/>
      <c r="PWB36" s="204"/>
      <c r="PWC36" s="204"/>
      <c r="PWD36" s="204"/>
      <c r="PWE36" s="204"/>
      <c r="PWF36" s="204"/>
      <c r="PWG36" s="204"/>
      <c r="PWH36" s="204"/>
      <c r="PWI36" s="204"/>
      <c r="PWJ36" s="204"/>
      <c r="PWK36" s="204"/>
      <c r="PWL36" s="204"/>
      <c r="PWM36" s="204"/>
      <c r="PWN36" s="204"/>
      <c r="PWO36" s="204"/>
      <c r="PWP36" s="204"/>
      <c r="PWQ36" s="204"/>
      <c r="PWR36" s="204"/>
      <c r="PWS36" s="204"/>
      <c r="PWT36" s="204"/>
      <c r="PWU36" s="204"/>
      <c r="PWV36" s="204"/>
      <c r="PWW36" s="204"/>
      <c r="PWX36" s="204"/>
      <c r="PWY36" s="204"/>
      <c r="PWZ36" s="204"/>
      <c r="PXA36" s="204"/>
      <c r="PXB36" s="204"/>
      <c r="PXC36" s="204"/>
      <c r="PXD36" s="204"/>
      <c r="PXE36" s="204"/>
      <c r="PXF36" s="204"/>
      <c r="PXG36" s="204"/>
      <c r="PXH36" s="204"/>
      <c r="PXI36" s="204"/>
      <c r="PXJ36" s="204"/>
      <c r="PXK36" s="204"/>
      <c r="PXL36" s="204"/>
      <c r="PXM36" s="204"/>
      <c r="PXN36" s="204"/>
      <c r="PXO36" s="204"/>
      <c r="PXP36" s="204"/>
      <c r="PXQ36" s="204"/>
      <c r="PXR36" s="204"/>
      <c r="PXS36" s="204"/>
      <c r="PXT36" s="204"/>
      <c r="PXU36" s="204"/>
      <c r="PXV36" s="204"/>
      <c r="PXW36" s="204"/>
      <c r="PXX36" s="204"/>
      <c r="PXY36" s="204"/>
      <c r="PXZ36" s="204"/>
      <c r="PYA36" s="204"/>
      <c r="PYB36" s="204"/>
      <c r="PYC36" s="204"/>
      <c r="PYD36" s="204"/>
      <c r="PYE36" s="204"/>
      <c r="PYF36" s="204"/>
      <c r="PYG36" s="204"/>
      <c r="PYH36" s="204"/>
      <c r="PYI36" s="204"/>
      <c r="PYJ36" s="204"/>
      <c r="PYK36" s="204"/>
      <c r="PYL36" s="204"/>
      <c r="PYM36" s="204"/>
      <c r="PYN36" s="204"/>
      <c r="PYO36" s="204"/>
      <c r="PYP36" s="204"/>
      <c r="PYQ36" s="204"/>
      <c r="PYR36" s="204"/>
      <c r="PYS36" s="204"/>
      <c r="PYT36" s="204"/>
      <c r="PYU36" s="204"/>
      <c r="PYV36" s="204"/>
      <c r="PYW36" s="204"/>
      <c r="PYX36" s="204"/>
      <c r="PYY36" s="204"/>
      <c r="PYZ36" s="204"/>
      <c r="PZA36" s="204"/>
      <c r="PZB36" s="204"/>
      <c r="PZC36" s="204"/>
      <c r="PZD36" s="204"/>
      <c r="PZE36" s="204"/>
      <c r="PZF36" s="204"/>
      <c r="PZG36" s="204"/>
      <c r="PZH36" s="204"/>
      <c r="PZI36" s="204"/>
      <c r="PZJ36" s="204"/>
      <c r="PZK36" s="204"/>
      <c r="PZL36" s="204"/>
      <c r="PZM36" s="204"/>
      <c r="PZN36" s="204"/>
      <c r="PZO36" s="204"/>
      <c r="PZP36" s="204"/>
      <c r="PZQ36" s="204"/>
      <c r="PZR36" s="204"/>
      <c r="PZS36" s="204"/>
      <c r="PZT36" s="204"/>
      <c r="PZU36" s="204"/>
      <c r="PZV36" s="204"/>
      <c r="PZW36" s="204"/>
      <c r="PZX36" s="204"/>
      <c r="PZY36" s="204"/>
      <c r="PZZ36" s="204"/>
      <c r="QAA36" s="204"/>
      <c r="QAB36" s="204"/>
      <c r="QAC36" s="204"/>
      <c r="QAD36" s="204"/>
      <c r="QAE36" s="204"/>
      <c r="QAF36" s="204"/>
      <c r="QAG36" s="204"/>
      <c r="QAH36" s="204"/>
      <c r="QAI36" s="204"/>
      <c r="QAJ36" s="204"/>
      <c r="QAK36" s="204"/>
      <c r="QAL36" s="204"/>
      <c r="QAM36" s="204"/>
      <c r="QAN36" s="204"/>
      <c r="QAO36" s="204"/>
      <c r="QAP36" s="204"/>
      <c r="QAQ36" s="204"/>
      <c r="QAR36" s="204"/>
      <c r="QAS36" s="204"/>
      <c r="QAT36" s="204"/>
      <c r="QAU36" s="204"/>
      <c r="QAV36" s="204"/>
      <c r="QAW36" s="204"/>
      <c r="QAX36" s="204"/>
      <c r="QAY36" s="204"/>
      <c r="QAZ36" s="204"/>
      <c r="QBA36" s="204"/>
      <c r="QBB36" s="204"/>
      <c r="QBC36" s="204"/>
      <c r="QBD36" s="204"/>
      <c r="QBE36" s="204"/>
      <c r="QBF36" s="204"/>
      <c r="QBG36" s="204"/>
      <c r="QBH36" s="204"/>
      <c r="QBI36" s="204"/>
      <c r="QBJ36" s="204"/>
      <c r="QBK36" s="204"/>
      <c r="QBL36" s="204"/>
      <c r="QBM36" s="204"/>
      <c r="QBN36" s="204"/>
      <c r="QBO36" s="204"/>
      <c r="QBP36" s="204"/>
      <c r="QBQ36" s="204"/>
      <c r="QBR36" s="204"/>
      <c r="QBS36" s="204"/>
      <c r="QBT36" s="204"/>
      <c r="QBU36" s="204"/>
      <c r="QBV36" s="204"/>
      <c r="QBW36" s="204"/>
      <c r="QBX36" s="204"/>
      <c r="QBY36" s="204"/>
      <c r="QBZ36" s="204"/>
      <c r="QCA36" s="204"/>
      <c r="QCB36" s="204"/>
      <c r="QCC36" s="204"/>
      <c r="QCD36" s="204"/>
      <c r="QCE36" s="204"/>
      <c r="QCF36" s="204"/>
      <c r="QCG36" s="204"/>
      <c r="QCH36" s="204"/>
      <c r="QCI36" s="204"/>
      <c r="QCJ36" s="204"/>
      <c r="QCK36" s="204"/>
      <c r="QCL36" s="204"/>
      <c r="QCM36" s="204"/>
      <c r="QCN36" s="204"/>
      <c r="QCO36" s="204"/>
      <c r="QCP36" s="204"/>
      <c r="QCQ36" s="204"/>
      <c r="QCR36" s="204"/>
      <c r="QCS36" s="204"/>
      <c r="QCT36" s="204"/>
      <c r="QCU36" s="204"/>
      <c r="QCV36" s="204"/>
      <c r="QCW36" s="204"/>
      <c r="QCX36" s="204"/>
      <c r="QCY36" s="204"/>
      <c r="QCZ36" s="204"/>
      <c r="QDA36" s="204"/>
      <c r="QDB36" s="204"/>
      <c r="QDC36" s="204"/>
      <c r="QDD36" s="204"/>
      <c r="QDE36" s="204"/>
      <c r="QDF36" s="204"/>
      <c r="QDG36" s="204"/>
      <c r="QDH36" s="204"/>
      <c r="QDI36" s="204"/>
      <c r="QDJ36" s="204"/>
      <c r="QDK36" s="204"/>
      <c r="QDL36" s="204"/>
      <c r="QDM36" s="204"/>
      <c r="QDN36" s="204"/>
      <c r="QDO36" s="204"/>
      <c r="QDP36" s="204"/>
      <c r="QDQ36" s="204"/>
      <c r="QDR36" s="204"/>
      <c r="QDS36" s="204"/>
      <c r="QDT36" s="204"/>
      <c r="QDU36" s="204"/>
      <c r="QDV36" s="204"/>
      <c r="QDW36" s="204"/>
      <c r="QDX36" s="204"/>
      <c r="QDY36" s="204"/>
      <c r="QDZ36" s="204"/>
      <c r="QEA36" s="204"/>
      <c r="QEB36" s="204"/>
      <c r="QEC36" s="204"/>
      <c r="QED36" s="204"/>
      <c r="QEE36" s="204"/>
      <c r="QEF36" s="204"/>
      <c r="QEG36" s="204"/>
      <c r="QEH36" s="204"/>
      <c r="QEI36" s="204"/>
      <c r="QEJ36" s="204"/>
      <c r="QEK36" s="204"/>
      <c r="QEL36" s="204"/>
      <c r="QEM36" s="204"/>
      <c r="QEN36" s="204"/>
      <c r="QEO36" s="204"/>
      <c r="QEP36" s="204"/>
      <c r="QEQ36" s="204"/>
      <c r="QER36" s="204"/>
      <c r="QES36" s="204"/>
      <c r="QET36" s="204"/>
      <c r="QEU36" s="204"/>
      <c r="QEV36" s="204"/>
      <c r="QEW36" s="204"/>
      <c r="QEX36" s="204"/>
      <c r="QEY36" s="204"/>
      <c r="QEZ36" s="204"/>
      <c r="QFA36" s="204"/>
      <c r="QFB36" s="204"/>
      <c r="QFC36" s="204"/>
      <c r="QFD36" s="204"/>
      <c r="QFE36" s="204"/>
      <c r="QFF36" s="204"/>
      <c r="QFG36" s="204"/>
      <c r="QFH36" s="204"/>
      <c r="QFI36" s="204"/>
      <c r="QFJ36" s="204"/>
      <c r="QFK36" s="204"/>
      <c r="QFL36" s="204"/>
      <c r="QFM36" s="204"/>
      <c r="QFN36" s="204"/>
      <c r="QFO36" s="204"/>
      <c r="QFP36" s="204"/>
      <c r="QFQ36" s="204"/>
      <c r="QFR36" s="204"/>
      <c r="QFS36" s="204"/>
      <c r="QFT36" s="204"/>
      <c r="QFU36" s="204"/>
      <c r="QFV36" s="204"/>
      <c r="QFW36" s="204"/>
      <c r="QFX36" s="204"/>
      <c r="QFY36" s="204"/>
      <c r="QFZ36" s="204"/>
      <c r="QGA36" s="204"/>
      <c r="QGB36" s="204"/>
      <c r="QGC36" s="204"/>
      <c r="QGD36" s="204"/>
      <c r="QGE36" s="204"/>
      <c r="QGF36" s="204"/>
      <c r="QGG36" s="204"/>
      <c r="QGH36" s="204"/>
      <c r="QGI36" s="204"/>
      <c r="QGJ36" s="204"/>
      <c r="QGK36" s="204"/>
      <c r="QGL36" s="204"/>
      <c r="QGM36" s="204"/>
      <c r="QGN36" s="204"/>
      <c r="QGO36" s="204"/>
      <c r="QGP36" s="204"/>
      <c r="QGQ36" s="204"/>
      <c r="QGR36" s="204"/>
      <c r="QGS36" s="204"/>
      <c r="QGT36" s="204"/>
      <c r="QGU36" s="204"/>
      <c r="QGV36" s="204"/>
      <c r="QGW36" s="204"/>
      <c r="QGX36" s="204"/>
      <c r="QGY36" s="204"/>
      <c r="QGZ36" s="204"/>
      <c r="QHA36" s="204"/>
      <c r="QHB36" s="204"/>
      <c r="QHC36" s="204"/>
      <c r="QHD36" s="204"/>
      <c r="QHE36" s="204"/>
      <c r="QHF36" s="204"/>
      <c r="QHG36" s="204"/>
      <c r="QHH36" s="204"/>
      <c r="QHI36" s="204"/>
      <c r="QHJ36" s="204"/>
      <c r="QHK36" s="204"/>
      <c r="QHL36" s="204"/>
      <c r="QHM36" s="204"/>
      <c r="QHN36" s="204"/>
      <c r="QHO36" s="204"/>
      <c r="QHP36" s="204"/>
      <c r="QHQ36" s="204"/>
      <c r="QHR36" s="204"/>
      <c r="QHS36" s="204"/>
      <c r="QHT36" s="204"/>
      <c r="QHU36" s="204"/>
      <c r="QHV36" s="204"/>
      <c r="QHW36" s="204"/>
      <c r="QHX36" s="204"/>
      <c r="QHY36" s="204"/>
      <c r="QHZ36" s="204"/>
      <c r="QIA36" s="204"/>
      <c r="QIB36" s="204"/>
      <c r="QIC36" s="204"/>
      <c r="QID36" s="204"/>
      <c r="QIE36" s="204"/>
      <c r="QIF36" s="204"/>
      <c r="QIG36" s="204"/>
      <c r="QIH36" s="204"/>
      <c r="QII36" s="204"/>
      <c r="QIJ36" s="204"/>
      <c r="QIK36" s="204"/>
      <c r="QIL36" s="204"/>
      <c r="QIM36" s="204"/>
      <c r="QIN36" s="204"/>
      <c r="QIO36" s="204"/>
      <c r="QIP36" s="204"/>
      <c r="QIQ36" s="204"/>
      <c r="QIR36" s="204"/>
      <c r="QIS36" s="204"/>
      <c r="QIT36" s="204"/>
      <c r="QIU36" s="204"/>
      <c r="QIV36" s="204"/>
      <c r="QIW36" s="204"/>
      <c r="QIX36" s="204"/>
      <c r="QIY36" s="204"/>
      <c r="QIZ36" s="204"/>
      <c r="QJA36" s="204"/>
      <c r="QJB36" s="204"/>
      <c r="QJC36" s="204"/>
      <c r="QJD36" s="204"/>
      <c r="QJE36" s="204"/>
      <c r="QJF36" s="204"/>
      <c r="QJG36" s="204"/>
      <c r="QJH36" s="204"/>
      <c r="QJI36" s="204"/>
      <c r="QJJ36" s="204"/>
      <c r="QJK36" s="204"/>
      <c r="QJL36" s="204"/>
      <c r="QJM36" s="204"/>
      <c r="QJN36" s="204"/>
      <c r="QJO36" s="204"/>
      <c r="QJP36" s="204"/>
      <c r="QJQ36" s="204"/>
      <c r="QJR36" s="204"/>
      <c r="QJS36" s="204"/>
      <c r="QJT36" s="204"/>
      <c r="QJU36" s="204"/>
      <c r="QJV36" s="204"/>
      <c r="QJW36" s="204"/>
      <c r="QJX36" s="204"/>
      <c r="QJY36" s="204"/>
      <c r="QJZ36" s="204"/>
      <c r="QKA36" s="204"/>
      <c r="QKB36" s="204"/>
      <c r="QKC36" s="204"/>
      <c r="QKD36" s="204"/>
      <c r="QKE36" s="204"/>
      <c r="QKF36" s="204"/>
      <c r="QKG36" s="204"/>
      <c r="QKH36" s="204"/>
      <c r="QKI36" s="204"/>
      <c r="QKJ36" s="204"/>
      <c r="QKK36" s="204"/>
      <c r="QKL36" s="204"/>
      <c r="QKM36" s="204"/>
      <c r="QKN36" s="204"/>
      <c r="QKO36" s="204"/>
      <c r="QKP36" s="204"/>
      <c r="QKQ36" s="204"/>
      <c r="QKR36" s="204"/>
      <c r="QKS36" s="204"/>
      <c r="QKT36" s="204"/>
      <c r="QKU36" s="204"/>
      <c r="QKV36" s="204"/>
      <c r="QKW36" s="204"/>
      <c r="QKX36" s="204"/>
      <c r="QKY36" s="204"/>
      <c r="QKZ36" s="204"/>
      <c r="QLA36" s="204"/>
      <c r="QLB36" s="204"/>
      <c r="QLC36" s="204"/>
      <c r="QLD36" s="204"/>
      <c r="QLE36" s="204"/>
      <c r="QLF36" s="204"/>
      <c r="QLG36" s="204"/>
      <c r="QLH36" s="204"/>
      <c r="QLI36" s="204"/>
      <c r="QLJ36" s="204"/>
      <c r="QLK36" s="204"/>
      <c r="QLL36" s="204"/>
      <c r="QLM36" s="204"/>
      <c r="QLN36" s="204"/>
      <c r="QLO36" s="204"/>
      <c r="QLP36" s="204"/>
      <c r="QLQ36" s="204"/>
      <c r="QLR36" s="204"/>
      <c r="QLS36" s="204"/>
      <c r="QLT36" s="204"/>
      <c r="QLU36" s="204"/>
      <c r="QLV36" s="204"/>
      <c r="QLW36" s="204"/>
      <c r="QLX36" s="204"/>
      <c r="QLY36" s="204"/>
      <c r="QLZ36" s="204"/>
      <c r="QMA36" s="204"/>
      <c r="QMB36" s="204"/>
      <c r="QMC36" s="204"/>
      <c r="QMD36" s="204"/>
      <c r="QME36" s="204"/>
      <c r="QMF36" s="204"/>
      <c r="QMG36" s="204"/>
      <c r="QMH36" s="204"/>
      <c r="QMI36" s="204"/>
      <c r="QMJ36" s="204"/>
      <c r="QMK36" s="204"/>
      <c r="QML36" s="204"/>
      <c r="QMM36" s="204"/>
      <c r="QMN36" s="204"/>
      <c r="QMO36" s="204"/>
      <c r="QMP36" s="204"/>
      <c r="QMQ36" s="204"/>
      <c r="QMR36" s="204"/>
      <c r="QMS36" s="204"/>
      <c r="QMT36" s="204"/>
      <c r="QMU36" s="204"/>
      <c r="QMV36" s="204"/>
      <c r="QMW36" s="204"/>
      <c r="QMX36" s="204"/>
      <c r="QMY36" s="204"/>
      <c r="QMZ36" s="204"/>
      <c r="QNA36" s="204"/>
      <c r="QNB36" s="204"/>
      <c r="QNC36" s="204"/>
      <c r="QND36" s="204"/>
      <c r="QNE36" s="204"/>
      <c r="QNF36" s="204"/>
      <c r="QNG36" s="204"/>
      <c r="QNH36" s="204"/>
      <c r="QNI36" s="204"/>
      <c r="QNJ36" s="204"/>
      <c r="QNK36" s="204"/>
      <c r="QNL36" s="204"/>
      <c r="QNM36" s="204"/>
      <c r="QNN36" s="204"/>
      <c r="QNO36" s="204"/>
      <c r="QNP36" s="204"/>
      <c r="QNQ36" s="204"/>
      <c r="QNR36" s="204"/>
      <c r="QNS36" s="204"/>
      <c r="QNT36" s="204"/>
      <c r="QNU36" s="204"/>
      <c r="QNV36" s="204"/>
      <c r="QNW36" s="204"/>
      <c r="QNX36" s="204"/>
      <c r="QNY36" s="204"/>
      <c r="QNZ36" s="204"/>
      <c r="QOA36" s="204"/>
      <c r="QOB36" s="204"/>
      <c r="QOC36" s="204"/>
      <c r="QOD36" s="204"/>
      <c r="QOE36" s="204"/>
      <c r="QOF36" s="204"/>
      <c r="QOG36" s="204"/>
      <c r="QOH36" s="204"/>
      <c r="QOI36" s="204"/>
      <c r="QOJ36" s="204"/>
      <c r="QOK36" s="204"/>
      <c r="QOL36" s="204"/>
      <c r="QOM36" s="204"/>
      <c r="QON36" s="204"/>
      <c r="QOO36" s="204"/>
      <c r="QOP36" s="204"/>
      <c r="QOQ36" s="204"/>
      <c r="QOR36" s="204"/>
      <c r="QOS36" s="204"/>
      <c r="QOT36" s="204"/>
      <c r="QOU36" s="204"/>
      <c r="QOV36" s="204"/>
      <c r="QOW36" s="204"/>
      <c r="QOX36" s="204"/>
      <c r="QOY36" s="204"/>
      <c r="QOZ36" s="204"/>
      <c r="QPA36" s="204"/>
      <c r="QPB36" s="204"/>
      <c r="QPC36" s="204"/>
      <c r="QPD36" s="204"/>
      <c r="QPE36" s="204"/>
      <c r="QPF36" s="204"/>
      <c r="QPG36" s="204"/>
      <c r="QPH36" s="204"/>
      <c r="QPI36" s="204"/>
      <c r="QPJ36" s="204"/>
      <c r="QPK36" s="204"/>
      <c r="QPL36" s="204"/>
      <c r="QPM36" s="204"/>
      <c r="QPN36" s="204"/>
      <c r="QPO36" s="204"/>
      <c r="QPP36" s="204"/>
      <c r="QPQ36" s="204"/>
      <c r="QPR36" s="204"/>
      <c r="QPS36" s="204"/>
      <c r="QPT36" s="204"/>
      <c r="QPU36" s="204"/>
      <c r="QPV36" s="204"/>
      <c r="QPW36" s="204"/>
      <c r="QPX36" s="204"/>
      <c r="QPY36" s="204"/>
      <c r="QPZ36" s="204"/>
      <c r="QQA36" s="204"/>
      <c r="QQB36" s="204"/>
      <c r="QQC36" s="204"/>
      <c r="QQD36" s="204"/>
      <c r="QQE36" s="204"/>
      <c r="QQF36" s="204"/>
      <c r="QQG36" s="204"/>
      <c r="QQH36" s="204"/>
      <c r="QQI36" s="204"/>
      <c r="QQJ36" s="204"/>
      <c r="QQK36" s="204"/>
      <c r="QQL36" s="204"/>
      <c r="QQM36" s="204"/>
      <c r="QQN36" s="204"/>
      <c r="QQO36" s="204"/>
      <c r="QQP36" s="204"/>
      <c r="QQQ36" s="204"/>
      <c r="QQR36" s="204"/>
      <c r="QQS36" s="204"/>
      <c r="QQT36" s="204"/>
      <c r="QQU36" s="204"/>
      <c r="QQV36" s="204"/>
      <c r="QQW36" s="204"/>
      <c r="QQX36" s="204"/>
      <c r="QQY36" s="204"/>
      <c r="QQZ36" s="204"/>
      <c r="QRA36" s="204"/>
      <c r="QRB36" s="204"/>
      <c r="QRC36" s="204"/>
      <c r="QRD36" s="204"/>
      <c r="QRE36" s="204"/>
      <c r="QRF36" s="204"/>
      <c r="QRG36" s="204"/>
      <c r="QRH36" s="204"/>
      <c r="QRI36" s="204"/>
      <c r="QRJ36" s="204"/>
      <c r="QRK36" s="204"/>
      <c r="QRL36" s="204"/>
      <c r="QRM36" s="204"/>
      <c r="QRN36" s="204"/>
      <c r="QRO36" s="204"/>
      <c r="QRP36" s="204"/>
      <c r="QRQ36" s="204"/>
      <c r="QRR36" s="204"/>
      <c r="QRS36" s="204"/>
      <c r="QRT36" s="204"/>
      <c r="QRU36" s="204"/>
      <c r="QRV36" s="204"/>
      <c r="QRW36" s="204"/>
      <c r="QRX36" s="204"/>
      <c r="QRY36" s="204"/>
      <c r="QRZ36" s="204"/>
      <c r="QSA36" s="204"/>
      <c r="QSB36" s="204"/>
      <c r="QSC36" s="204"/>
      <c r="QSD36" s="204"/>
      <c r="QSE36" s="204"/>
      <c r="QSF36" s="204"/>
      <c r="QSG36" s="204"/>
      <c r="QSH36" s="204"/>
      <c r="QSI36" s="204"/>
      <c r="QSJ36" s="204"/>
      <c r="QSK36" s="204"/>
      <c r="QSL36" s="204"/>
      <c r="QSM36" s="204"/>
      <c r="QSN36" s="204"/>
      <c r="QSO36" s="204"/>
      <c r="QSP36" s="204"/>
      <c r="QSQ36" s="204"/>
      <c r="QSR36" s="204"/>
      <c r="QSS36" s="204"/>
      <c r="QST36" s="204"/>
      <c r="QSU36" s="204"/>
      <c r="QSV36" s="204"/>
      <c r="QSW36" s="204"/>
      <c r="QSX36" s="204"/>
      <c r="QSY36" s="204"/>
      <c r="QSZ36" s="204"/>
      <c r="QTA36" s="204"/>
      <c r="QTB36" s="204"/>
      <c r="QTC36" s="204"/>
      <c r="QTD36" s="204"/>
      <c r="QTE36" s="204"/>
      <c r="QTF36" s="204"/>
      <c r="QTG36" s="204"/>
      <c r="QTH36" s="204"/>
      <c r="QTI36" s="204"/>
      <c r="QTJ36" s="204"/>
      <c r="QTK36" s="204"/>
      <c r="QTL36" s="204"/>
      <c r="QTM36" s="204"/>
      <c r="QTN36" s="204"/>
      <c r="QTO36" s="204"/>
      <c r="QTP36" s="204"/>
      <c r="QTQ36" s="204"/>
      <c r="QTR36" s="204"/>
      <c r="QTS36" s="204"/>
      <c r="QTT36" s="204"/>
      <c r="QTU36" s="204"/>
      <c r="QTV36" s="204"/>
      <c r="QTW36" s="204"/>
      <c r="QTX36" s="204"/>
      <c r="QTY36" s="204"/>
      <c r="QTZ36" s="204"/>
      <c r="QUA36" s="204"/>
      <c r="QUB36" s="204"/>
      <c r="QUC36" s="204"/>
      <c r="QUD36" s="204"/>
      <c r="QUE36" s="204"/>
      <c r="QUF36" s="204"/>
      <c r="QUG36" s="204"/>
      <c r="QUH36" s="204"/>
      <c r="QUI36" s="204"/>
      <c r="QUJ36" s="204"/>
      <c r="QUK36" s="204"/>
      <c r="QUL36" s="204"/>
      <c r="QUM36" s="204"/>
      <c r="QUN36" s="204"/>
      <c r="QUO36" s="204"/>
      <c r="QUP36" s="204"/>
      <c r="QUQ36" s="204"/>
      <c r="QUR36" s="204"/>
      <c r="QUS36" s="204"/>
      <c r="QUT36" s="204"/>
      <c r="QUU36" s="204"/>
      <c r="QUV36" s="204"/>
      <c r="QUW36" s="204"/>
      <c r="QUX36" s="204"/>
      <c r="QUY36" s="204"/>
      <c r="QUZ36" s="204"/>
      <c r="QVA36" s="204"/>
      <c r="QVB36" s="204"/>
      <c r="QVC36" s="204"/>
      <c r="QVD36" s="204"/>
      <c r="QVE36" s="204"/>
      <c r="QVF36" s="204"/>
      <c r="QVG36" s="204"/>
      <c r="QVH36" s="204"/>
      <c r="QVI36" s="204"/>
      <c r="QVJ36" s="204"/>
      <c r="QVK36" s="204"/>
      <c r="QVL36" s="204"/>
      <c r="QVM36" s="204"/>
      <c r="QVN36" s="204"/>
      <c r="QVO36" s="204"/>
      <c r="QVP36" s="204"/>
      <c r="QVQ36" s="204"/>
      <c r="QVR36" s="204"/>
      <c r="QVS36" s="204"/>
      <c r="QVT36" s="204"/>
      <c r="QVU36" s="204"/>
      <c r="QVV36" s="204"/>
      <c r="QVW36" s="204"/>
      <c r="QVX36" s="204"/>
      <c r="QVY36" s="204"/>
      <c r="QVZ36" s="204"/>
      <c r="QWA36" s="204"/>
      <c r="QWB36" s="204"/>
      <c r="QWC36" s="204"/>
      <c r="QWD36" s="204"/>
      <c r="QWE36" s="204"/>
      <c r="QWF36" s="204"/>
      <c r="QWG36" s="204"/>
      <c r="QWH36" s="204"/>
      <c r="QWI36" s="204"/>
      <c r="QWJ36" s="204"/>
      <c r="QWK36" s="204"/>
      <c r="QWL36" s="204"/>
      <c r="QWM36" s="204"/>
      <c r="QWN36" s="204"/>
      <c r="QWO36" s="204"/>
      <c r="QWP36" s="204"/>
      <c r="QWQ36" s="204"/>
      <c r="QWR36" s="204"/>
      <c r="QWS36" s="204"/>
      <c r="QWT36" s="204"/>
      <c r="QWU36" s="204"/>
      <c r="QWV36" s="204"/>
      <c r="QWW36" s="204"/>
      <c r="QWX36" s="204"/>
      <c r="QWY36" s="204"/>
      <c r="QWZ36" s="204"/>
      <c r="QXA36" s="204"/>
      <c r="QXB36" s="204"/>
      <c r="QXC36" s="204"/>
      <c r="QXD36" s="204"/>
      <c r="QXE36" s="204"/>
      <c r="QXF36" s="204"/>
      <c r="QXG36" s="204"/>
      <c r="QXH36" s="204"/>
      <c r="QXI36" s="204"/>
      <c r="QXJ36" s="204"/>
      <c r="QXK36" s="204"/>
      <c r="QXL36" s="204"/>
      <c r="QXM36" s="204"/>
      <c r="QXN36" s="204"/>
      <c r="QXO36" s="204"/>
      <c r="QXP36" s="204"/>
      <c r="QXQ36" s="204"/>
      <c r="QXR36" s="204"/>
      <c r="QXS36" s="204"/>
      <c r="QXT36" s="204"/>
      <c r="QXU36" s="204"/>
      <c r="QXV36" s="204"/>
      <c r="QXW36" s="204"/>
      <c r="QXX36" s="204"/>
      <c r="QXY36" s="204"/>
      <c r="QXZ36" s="204"/>
      <c r="QYA36" s="204"/>
      <c r="QYB36" s="204"/>
      <c r="QYC36" s="204"/>
      <c r="QYD36" s="204"/>
      <c r="QYE36" s="204"/>
      <c r="QYF36" s="204"/>
      <c r="QYG36" s="204"/>
      <c r="QYH36" s="204"/>
      <c r="QYI36" s="204"/>
      <c r="QYJ36" s="204"/>
      <c r="QYK36" s="204"/>
      <c r="QYL36" s="204"/>
      <c r="QYM36" s="204"/>
      <c r="QYN36" s="204"/>
      <c r="QYO36" s="204"/>
      <c r="QYP36" s="204"/>
      <c r="QYQ36" s="204"/>
      <c r="QYR36" s="204"/>
      <c r="QYS36" s="204"/>
      <c r="QYT36" s="204"/>
      <c r="QYU36" s="204"/>
      <c r="QYV36" s="204"/>
      <c r="QYW36" s="204"/>
      <c r="QYX36" s="204"/>
      <c r="QYY36" s="204"/>
      <c r="QYZ36" s="204"/>
      <c r="QZA36" s="204"/>
      <c r="QZB36" s="204"/>
      <c r="QZC36" s="204"/>
      <c r="QZD36" s="204"/>
      <c r="QZE36" s="204"/>
      <c r="QZF36" s="204"/>
      <c r="QZG36" s="204"/>
      <c r="QZH36" s="204"/>
      <c r="QZI36" s="204"/>
      <c r="QZJ36" s="204"/>
      <c r="QZK36" s="204"/>
      <c r="QZL36" s="204"/>
      <c r="QZM36" s="204"/>
      <c r="QZN36" s="204"/>
      <c r="QZO36" s="204"/>
      <c r="QZP36" s="204"/>
      <c r="QZQ36" s="204"/>
      <c r="QZR36" s="204"/>
      <c r="QZS36" s="204"/>
      <c r="QZT36" s="204"/>
      <c r="QZU36" s="204"/>
      <c r="QZV36" s="204"/>
      <c r="QZW36" s="204"/>
      <c r="QZX36" s="204"/>
      <c r="QZY36" s="204"/>
      <c r="QZZ36" s="204"/>
      <c r="RAA36" s="204"/>
      <c r="RAB36" s="204"/>
      <c r="RAC36" s="204"/>
      <c r="RAD36" s="204"/>
      <c r="RAE36" s="204"/>
      <c r="RAF36" s="204"/>
      <c r="RAG36" s="204"/>
      <c r="RAH36" s="204"/>
      <c r="RAI36" s="204"/>
      <c r="RAJ36" s="204"/>
      <c r="RAK36" s="204"/>
      <c r="RAL36" s="204"/>
      <c r="RAM36" s="204"/>
      <c r="RAN36" s="204"/>
      <c r="RAO36" s="204"/>
      <c r="RAP36" s="204"/>
      <c r="RAQ36" s="204"/>
      <c r="RAR36" s="204"/>
      <c r="RAS36" s="204"/>
      <c r="RAT36" s="204"/>
      <c r="RAU36" s="204"/>
      <c r="RAV36" s="204"/>
      <c r="RAW36" s="204"/>
      <c r="RAX36" s="204"/>
      <c r="RAY36" s="204"/>
      <c r="RAZ36" s="204"/>
      <c r="RBA36" s="204"/>
      <c r="RBB36" s="204"/>
      <c r="RBC36" s="204"/>
      <c r="RBD36" s="204"/>
      <c r="RBE36" s="204"/>
      <c r="RBF36" s="204"/>
      <c r="RBG36" s="204"/>
      <c r="RBH36" s="204"/>
      <c r="RBI36" s="204"/>
      <c r="RBJ36" s="204"/>
      <c r="RBK36" s="204"/>
      <c r="RBL36" s="204"/>
      <c r="RBM36" s="204"/>
      <c r="RBN36" s="204"/>
      <c r="RBO36" s="204"/>
      <c r="RBP36" s="204"/>
      <c r="RBQ36" s="204"/>
      <c r="RBR36" s="204"/>
      <c r="RBS36" s="204"/>
      <c r="RBT36" s="204"/>
      <c r="RBU36" s="204"/>
      <c r="RBV36" s="204"/>
      <c r="RBW36" s="204"/>
      <c r="RBX36" s="204"/>
      <c r="RBY36" s="204"/>
      <c r="RBZ36" s="204"/>
      <c r="RCA36" s="204"/>
      <c r="RCB36" s="204"/>
      <c r="RCC36" s="204"/>
      <c r="RCD36" s="204"/>
      <c r="RCE36" s="204"/>
      <c r="RCF36" s="204"/>
      <c r="RCG36" s="204"/>
      <c r="RCH36" s="204"/>
      <c r="RCI36" s="204"/>
      <c r="RCJ36" s="204"/>
      <c r="RCK36" s="204"/>
      <c r="RCL36" s="204"/>
      <c r="RCM36" s="204"/>
      <c r="RCN36" s="204"/>
      <c r="RCO36" s="204"/>
      <c r="RCP36" s="204"/>
      <c r="RCQ36" s="204"/>
      <c r="RCR36" s="204"/>
      <c r="RCS36" s="204"/>
      <c r="RCT36" s="204"/>
      <c r="RCU36" s="204"/>
      <c r="RCV36" s="204"/>
      <c r="RCW36" s="204"/>
      <c r="RCX36" s="204"/>
      <c r="RCY36" s="204"/>
      <c r="RCZ36" s="204"/>
      <c r="RDA36" s="204"/>
      <c r="RDB36" s="204"/>
      <c r="RDC36" s="204"/>
      <c r="RDD36" s="204"/>
      <c r="RDE36" s="204"/>
      <c r="RDF36" s="204"/>
      <c r="RDG36" s="204"/>
      <c r="RDH36" s="204"/>
      <c r="RDI36" s="204"/>
      <c r="RDJ36" s="204"/>
      <c r="RDK36" s="204"/>
      <c r="RDL36" s="204"/>
      <c r="RDM36" s="204"/>
      <c r="RDN36" s="204"/>
      <c r="RDO36" s="204"/>
      <c r="RDP36" s="204"/>
      <c r="RDQ36" s="204"/>
      <c r="RDR36" s="204"/>
      <c r="RDS36" s="204"/>
      <c r="RDT36" s="204"/>
      <c r="RDU36" s="204"/>
      <c r="RDV36" s="204"/>
      <c r="RDW36" s="204"/>
      <c r="RDX36" s="204"/>
      <c r="RDY36" s="204"/>
      <c r="RDZ36" s="204"/>
      <c r="REA36" s="204"/>
      <c r="REB36" s="204"/>
      <c r="REC36" s="204"/>
      <c r="RED36" s="204"/>
      <c r="REE36" s="204"/>
      <c r="REF36" s="204"/>
      <c r="REG36" s="204"/>
      <c r="REH36" s="204"/>
      <c r="REI36" s="204"/>
      <c r="REJ36" s="204"/>
      <c r="REK36" s="204"/>
      <c r="REL36" s="204"/>
      <c r="REM36" s="204"/>
      <c r="REN36" s="204"/>
      <c r="REO36" s="204"/>
      <c r="REP36" s="204"/>
      <c r="REQ36" s="204"/>
      <c r="RER36" s="204"/>
      <c r="RES36" s="204"/>
      <c r="RET36" s="204"/>
      <c r="REU36" s="204"/>
      <c r="REV36" s="204"/>
      <c r="REW36" s="204"/>
      <c r="REX36" s="204"/>
      <c r="REY36" s="204"/>
      <c r="REZ36" s="204"/>
      <c r="RFA36" s="204"/>
      <c r="RFB36" s="204"/>
      <c r="RFC36" s="204"/>
      <c r="RFD36" s="204"/>
      <c r="RFE36" s="204"/>
      <c r="RFF36" s="204"/>
      <c r="RFG36" s="204"/>
      <c r="RFH36" s="204"/>
      <c r="RFI36" s="204"/>
      <c r="RFJ36" s="204"/>
      <c r="RFK36" s="204"/>
      <c r="RFL36" s="204"/>
      <c r="RFM36" s="204"/>
      <c r="RFN36" s="204"/>
      <c r="RFO36" s="204"/>
      <c r="RFP36" s="204"/>
      <c r="RFQ36" s="204"/>
      <c r="RFR36" s="204"/>
      <c r="RFS36" s="204"/>
      <c r="RFT36" s="204"/>
      <c r="RFU36" s="204"/>
      <c r="RFV36" s="204"/>
      <c r="RFW36" s="204"/>
      <c r="RFX36" s="204"/>
      <c r="RFY36" s="204"/>
      <c r="RFZ36" s="204"/>
      <c r="RGA36" s="204"/>
      <c r="RGB36" s="204"/>
      <c r="RGC36" s="204"/>
      <c r="RGD36" s="204"/>
      <c r="RGE36" s="204"/>
      <c r="RGF36" s="204"/>
      <c r="RGG36" s="204"/>
      <c r="RGH36" s="204"/>
      <c r="RGI36" s="204"/>
      <c r="RGJ36" s="204"/>
      <c r="RGK36" s="204"/>
      <c r="RGL36" s="204"/>
      <c r="RGM36" s="204"/>
      <c r="RGN36" s="204"/>
      <c r="RGO36" s="204"/>
      <c r="RGP36" s="204"/>
      <c r="RGQ36" s="204"/>
      <c r="RGR36" s="204"/>
      <c r="RGS36" s="204"/>
      <c r="RGT36" s="204"/>
      <c r="RGU36" s="204"/>
      <c r="RGV36" s="204"/>
      <c r="RGW36" s="204"/>
      <c r="RGX36" s="204"/>
      <c r="RGY36" s="204"/>
      <c r="RGZ36" s="204"/>
      <c r="RHA36" s="204"/>
      <c r="RHB36" s="204"/>
      <c r="RHC36" s="204"/>
      <c r="RHD36" s="204"/>
      <c r="RHE36" s="204"/>
      <c r="RHF36" s="204"/>
      <c r="RHG36" s="204"/>
      <c r="RHH36" s="204"/>
      <c r="RHI36" s="204"/>
      <c r="RHJ36" s="204"/>
      <c r="RHK36" s="204"/>
      <c r="RHL36" s="204"/>
      <c r="RHM36" s="204"/>
      <c r="RHN36" s="204"/>
      <c r="RHO36" s="204"/>
      <c r="RHP36" s="204"/>
      <c r="RHQ36" s="204"/>
      <c r="RHR36" s="204"/>
      <c r="RHS36" s="204"/>
      <c r="RHT36" s="204"/>
      <c r="RHU36" s="204"/>
      <c r="RHV36" s="204"/>
      <c r="RHW36" s="204"/>
      <c r="RHX36" s="204"/>
      <c r="RHY36" s="204"/>
      <c r="RHZ36" s="204"/>
      <c r="RIA36" s="204"/>
      <c r="RIB36" s="204"/>
      <c r="RIC36" s="204"/>
      <c r="RID36" s="204"/>
      <c r="RIE36" s="204"/>
      <c r="RIF36" s="204"/>
      <c r="RIG36" s="204"/>
      <c r="RIH36" s="204"/>
      <c r="RII36" s="204"/>
      <c r="RIJ36" s="204"/>
      <c r="RIK36" s="204"/>
      <c r="RIL36" s="204"/>
      <c r="RIM36" s="204"/>
      <c r="RIN36" s="204"/>
      <c r="RIO36" s="204"/>
      <c r="RIP36" s="204"/>
      <c r="RIQ36" s="204"/>
      <c r="RIR36" s="204"/>
      <c r="RIS36" s="204"/>
      <c r="RIT36" s="204"/>
      <c r="RIU36" s="204"/>
      <c r="RIV36" s="204"/>
      <c r="RIW36" s="204"/>
      <c r="RIX36" s="204"/>
      <c r="RIY36" s="204"/>
      <c r="RIZ36" s="204"/>
      <c r="RJA36" s="204"/>
      <c r="RJB36" s="204"/>
      <c r="RJC36" s="204"/>
      <c r="RJD36" s="204"/>
      <c r="RJE36" s="204"/>
      <c r="RJF36" s="204"/>
      <c r="RJG36" s="204"/>
      <c r="RJH36" s="204"/>
      <c r="RJI36" s="204"/>
      <c r="RJJ36" s="204"/>
      <c r="RJK36" s="204"/>
      <c r="RJL36" s="204"/>
      <c r="RJM36" s="204"/>
      <c r="RJN36" s="204"/>
      <c r="RJO36" s="204"/>
      <c r="RJP36" s="204"/>
      <c r="RJQ36" s="204"/>
      <c r="RJR36" s="204"/>
      <c r="RJS36" s="204"/>
      <c r="RJT36" s="204"/>
      <c r="RJU36" s="204"/>
      <c r="RJV36" s="204"/>
      <c r="RJW36" s="204"/>
      <c r="RJX36" s="204"/>
      <c r="RJY36" s="204"/>
      <c r="RJZ36" s="204"/>
      <c r="RKA36" s="204"/>
      <c r="RKB36" s="204"/>
      <c r="RKC36" s="204"/>
      <c r="RKD36" s="204"/>
      <c r="RKE36" s="204"/>
      <c r="RKF36" s="204"/>
      <c r="RKG36" s="204"/>
      <c r="RKH36" s="204"/>
      <c r="RKI36" s="204"/>
      <c r="RKJ36" s="204"/>
      <c r="RKK36" s="204"/>
      <c r="RKL36" s="204"/>
      <c r="RKM36" s="204"/>
      <c r="RKN36" s="204"/>
      <c r="RKO36" s="204"/>
      <c r="RKP36" s="204"/>
      <c r="RKQ36" s="204"/>
      <c r="RKR36" s="204"/>
      <c r="RKS36" s="204"/>
      <c r="RKT36" s="204"/>
      <c r="RKU36" s="204"/>
      <c r="RKV36" s="204"/>
      <c r="RKW36" s="204"/>
      <c r="RKX36" s="204"/>
      <c r="RKY36" s="204"/>
      <c r="RKZ36" s="204"/>
      <c r="RLA36" s="204"/>
      <c r="RLB36" s="204"/>
      <c r="RLC36" s="204"/>
      <c r="RLD36" s="204"/>
      <c r="RLE36" s="204"/>
      <c r="RLF36" s="204"/>
      <c r="RLG36" s="204"/>
      <c r="RLH36" s="204"/>
      <c r="RLI36" s="204"/>
      <c r="RLJ36" s="204"/>
      <c r="RLK36" s="204"/>
      <c r="RLL36" s="204"/>
      <c r="RLM36" s="204"/>
      <c r="RLN36" s="204"/>
      <c r="RLO36" s="204"/>
      <c r="RLP36" s="204"/>
      <c r="RLQ36" s="204"/>
      <c r="RLR36" s="204"/>
      <c r="RLS36" s="204"/>
      <c r="RLT36" s="204"/>
      <c r="RLU36" s="204"/>
      <c r="RLV36" s="204"/>
      <c r="RLW36" s="204"/>
      <c r="RLX36" s="204"/>
      <c r="RLY36" s="204"/>
      <c r="RLZ36" s="204"/>
      <c r="RMA36" s="204"/>
      <c r="RMB36" s="204"/>
      <c r="RMC36" s="204"/>
      <c r="RMD36" s="204"/>
      <c r="RME36" s="204"/>
      <c r="RMF36" s="204"/>
      <c r="RMG36" s="204"/>
      <c r="RMH36" s="204"/>
      <c r="RMI36" s="204"/>
      <c r="RMJ36" s="204"/>
      <c r="RMK36" s="204"/>
      <c r="RML36" s="204"/>
      <c r="RMM36" s="204"/>
      <c r="RMN36" s="204"/>
      <c r="RMO36" s="204"/>
      <c r="RMP36" s="204"/>
      <c r="RMQ36" s="204"/>
      <c r="RMR36" s="204"/>
      <c r="RMS36" s="204"/>
      <c r="RMT36" s="204"/>
      <c r="RMU36" s="204"/>
      <c r="RMV36" s="204"/>
      <c r="RMW36" s="204"/>
      <c r="RMX36" s="204"/>
      <c r="RMY36" s="204"/>
      <c r="RMZ36" s="204"/>
      <c r="RNA36" s="204"/>
      <c r="RNB36" s="204"/>
      <c r="RNC36" s="204"/>
      <c r="RND36" s="204"/>
      <c r="RNE36" s="204"/>
      <c r="RNF36" s="204"/>
      <c r="RNG36" s="204"/>
      <c r="RNH36" s="204"/>
      <c r="RNI36" s="204"/>
      <c r="RNJ36" s="204"/>
      <c r="RNK36" s="204"/>
      <c r="RNL36" s="204"/>
      <c r="RNM36" s="204"/>
      <c r="RNN36" s="204"/>
      <c r="RNO36" s="204"/>
      <c r="RNP36" s="204"/>
      <c r="RNQ36" s="204"/>
      <c r="RNR36" s="204"/>
      <c r="RNS36" s="204"/>
      <c r="RNT36" s="204"/>
      <c r="RNU36" s="204"/>
      <c r="RNV36" s="204"/>
      <c r="RNW36" s="204"/>
      <c r="RNX36" s="204"/>
      <c r="RNY36" s="204"/>
      <c r="RNZ36" s="204"/>
      <c r="ROA36" s="204"/>
      <c r="ROB36" s="204"/>
      <c r="ROC36" s="204"/>
      <c r="ROD36" s="204"/>
      <c r="ROE36" s="204"/>
      <c r="ROF36" s="204"/>
      <c r="ROG36" s="204"/>
      <c r="ROH36" s="204"/>
      <c r="ROI36" s="204"/>
      <c r="ROJ36" s="204"/>
      <c r="ROK36" s="204"/>
      <c r="ROL36" s="204"/>
      <c r="ROM36" s="204"/>
      <c r="RON36" s="204"/>
      <c r="ROO36" s="204"/>
      <c r="ROP36" s="204"/>
      <c r="ROQ36" s="204"/>
      <c r="ROR36" s="204"/>
      <c r="ROS36" s="204"/>
      <c r="ROT36" s="204"/>
      <c r="ROU36" s="204"/>
      <c r="ROV36" s="204"/>
      <c r="ROW36" s="204"/>
      <c r="ROX36" s="204"/>
      <c r="ROY36" s="204"/>
      <c r="ROZ36" s="204"/>
      <c r="RPA36" s="204"/>
      <c r="RPB36" s="204"/>
      <c r="RPC36" s="204"/>
      <c r="RPD36" s="204"/>
      <c r="RPE36" s="204"/>
      <c r="RPF36" s="204"/>
      <c r="RPG36" s="204"/>
      <c r="RPH36" s="204"/>
      <c r="RPI36" s="204"/>
      <c r="RPJ36" s="204"/>
      <c r="RPK36" s="204"/>
      <c r="RPL36" s="204"/>
      <c r="RPM36" s="204"/>
      <c r="RPN36" s="204"/>
      <c r="RPO36" s="204"/>
      <c r="RPP36" s="204"/>
      <c r="RPQ36" s="204"/>
      <c r="RPR36" s="204"/>
      <c r="RPS36" s="204"/>
      <c r="RPT36" s="204"/>
      <c r="RPU36" s="204"/>
      <c r="RPV36" s="204"/>
      <c r="RPW36" s="204"/>
      <c r="RPX36" s="204"/>
      <c r="RPY36" s="204"/>
      <c r="RPZ36" s="204"/>
      <c r="RQA36" s="204"/>
      <c r="RQB36" s="204"/>
      <c r="RQC36" s="204"/>
      <c r="RQD36" s="204"/>
      <c r="RQE36" s="204"/>
      <c r="RQF36" s="204"/>
      <c r="RQG36" s="204"/>
      <c r="RQH36" s="204"/>
      <c r="RQI36" s="204"/>
      <c r="RQJ36" s="204"/>
      <c r="RQK36" s="204"/>
      <c r="RQL36" s="204"/>
      <c r="RQM36" s="204"/>
      <c r="RQN36" s="204"/>
      <c r="RQO36" s="204"/>
      <c r="RQP36" s="204"/>
      <c r="RQQ36" s="204"/>
      <c r="RQR36" s="204"/>
      <c r="RQS36" s="204"/>
      <c r="RQT36" s="204"/>
      <c r="RQU36" s="204"/>
      <c r="RQV36" s="204"/>
      <c r="RQW36" s="204"/>
      <c r="RQX36" s="204"/>
      <c r="RQY36" s="204"/>
      <c r="RQZ36" s="204"/>
      <c r="RRA36" s="204"/>
      <c r="RRB36" s="204"/>
      <c r="RRC36" s="204"/>
      <c r="RRD36" s="204"/>
      <c r="RRE36" s="204"/>
      <c r="RRF36" s="204"/>
      <c r="RRG36" s="204"/>
      <c r="RRH36" s="204"/>
      <c r="RRI36" s="204"/>
      <c r="RRJ36" s="204"/>
      <c r="RRK36" s="204"/>
      <c r="RRL36" s="204"/>
      <c r="RRM36" s="204"/>
      <c r="RRN36" s="204"/>
      <c r="RRO36" s="204"/>
      <c r="RRP36" s="204"/>
      <c r="RRQ36" s="204"/>
      <c r="RRR36" s="204"/>
      <c r="RRS36" s="204"/>
      <c r="RRT36" s="204"/>
      <c r="RRU36" s="204"/>
      <c r="RRV36" s="204"/>
      <c r="RRW36" s="204"/>
      <c r="RRX36" s="204"/>
      <c r="RRY36" s="204"/>
      <c r="RRZ36" s="204"/>
      <c r="RSA36" s="204"/>
      <c r="RSB36" s="204"/>
      <c r="RSC36" s="204"/>
      <c r="RSD36" s="204"/>
      <c r="RSE36" s="204"/>
      <c r="RSF36" s="204"/>
      <c r="RSG36" s="204"/>
      <c r="RSH36" s="204"/>
      <c r="RSI36" s="204"/>
      <c r="RSJ36" s="204"/>
      <c r="RSK36" s="204"/>
      <c r="RSL36" s="204"/>
      <c r="RSM36" s="204"/>
      <c r="RSN36" s="204"/>
      <c r="RSO36" s="204"/>
      <c r="RSP36" s="204"/>
      <c r="RSQ36" s="204"/>
      <c r="RSR36" s="204"/>
      <c r="RSS36" s="204"/>
      <c r="RST36" s="204"/>
      <c r="RSU36" s="204"/>
      <c r="RSV36" s="204"/>
      <c r="RSW36" s="204"/>
      <c r="RSX36" s="204"/>
      <c r="RSY36" s="204"/>
      <c r="RSZ36" s="204"/>
      <c r="RTA36" s="204"/>
      <c r="RTB36" s="204"/>
      <c r="RTC36" s="204"/>
      <c r="RTD36" s="204"/>
      <c r="RTE36" s="204"/>
      <c r="RTF36" s="204"/>
      <c r="RTG36" s="204"/>
      <c r="RTH36" s="204"/>
      <c r="RTI36" s="204"/>
      <c r="RTJ36" s="204"/>
      <c r="RTK36" s="204"/>
      <c r="RTL36" s="204"/>
      <c r="RTM36" s="204"/>
      <c r="RTN36" s="204"/>
      <c r="RTO36" s="204"/>
      <c r="RTP36" s="204"/>
      <c r="RTQ36" s="204"/>
      <c r="RTR36" s="204"/>
      <c r="RTS36" s="204"/>
      <c r="RTT36" s="204"/>
      <c r="RTU36" s="204"/>
      <c r="RTV36" s="204"/>
      <c r="RTW36" s="204"/>
      <c r="RTX36" s="204"/>
      <c r="RTY36" s="204"/>
      <c r="RTZ36" s="204"/>
      <c r="RUA36" s="204"/>
      <c r="RUB36" s="204"/>
      <c r="RUC36" s="204"/>
      <c r="RUD36" s="204"/>
      <c r="RUE36" s="204"/>
      <c r="RUF36" s="204"/>
      <c r="RUG36" s="204"/>
      <c r="RUH36" s="204"/>
      <c r="RUI36" s="204"/>
      <c r="RUJ36" s="204"/>
      <c r="RUK36" s="204"/>
      <c r="RUL36" s="204"/>
      <c r="RUM36" s="204"/>
      <c r="RUN36" s="204"/>
      <c r="RUO36" s="204"/>
      <c r="RUP36" s="204"/>
      <c r="RUQ36" s="204"/>
      <c r="RUR36" s="204"/>
      <c r="RUS36" s="204"/>
      <c r="RUT36" s="204"/>
      <c r="RUU36" s="204"/>
      <c r="RUV36" s="204"/>
      <c r="RUW36" s="204"/>
      <c r="RUX36" s="204"/>
      <c r="RUY36" s="204"/>
      <c r="RUZ36" s="204"/>
      <c r="RVA36" s="204"/>
      <c r="RVB36" s="204"/>
      <c r="RVC36" s="204"/>
      <c r="RVD36" s="204"/>
      <c r="RVE36" s="204"/>
      <c r="RVF36" s="204"/>
      <c r="RVG36" s="204"/>
      <c r="RVH36" s="204"/>
      <c r="RVI36" s="204"/>
      <c r="RVJ36" s="204"/>
      <c r="RVK36" s="204"/>
      <c r="RVL36" s="204"/>
      <c r="RVM36" s="204"/>
      <c r="RVN36" s="204"/>
      <c r="RVO36" s="204"/>
      <c r="RVP36" s="204"/>
      <c r="RVQ36" s="204"/>
      <c r="RVR36" s="204"/>
      <c r="RVS36" s="204"/>
      <c r="RVT36" s="204"/>
      <c r="RVU36" s="204"/>
      <c r="RVV36" s="204"/>
      <c r="RVW36" s="204"/>
      <c r="RVX36" s="204"/>
      <c r="RVY36" s="204"/>
      <c r="RVZ36" s="204"/>
      <c r="RWA36" s="204"/>
      <c r="RWB36" s="204"/>
      <c r="RWC36" s="204"/>
      <c r="RWD36" s="204"/>
      <c r="RWE36" s="204"/>
      <c r="RWF36" s="204"/>
      <c r="RWG36" s="204"/>
      <c r="RWH36" s="204"/>
      <c r="RWI36" s="204"/>
      <c r="RWJ36" s="204"/>
      <c r="RWK36" s="204"/>
      <c r="RWL36" s="204"/>
      <c r="RWM36" s="204"/>
      <c r="RWN36" s="204"/>
      <c r="RWO36" s="204"/>
      <c r="RWP36" s="204"/>
      <c r="RWQ36" s="204"/>
      <c r="RWR36" s="204"/>
      <c r="RWS36" s="204"/>
      <c r="RWT36" s="204"/>
      <c r="RWU36" s="204"/>
      <c r="RWV36" s="204"/>
      <c r="RWW36" s="204"/>
      <c r="RWX36" s="204"/>
      <c r="RWY36" s="204"/>
      <c r="RWZ36" s="204"/>
      <c r="RXA36" s="204"/>
      <c r="RXB36" s="204"/>
      <c r="RXC36" s="204"/>
      <c r="RXD36" s="204"/>
      <c r="RXE36" s="204"/>
      <c r="RXF36" s="204"/>
      <c r="RXG36" s="204"/>
      <c r="RXH36" s="204"/>
      <c r="RXI36" s="204"/>
      <c r="RXJ36" s="204"/>
      <c r="RXK36" s="204"/>
      <c r="RXL36" s="204"/>
      <c r="RXM36" s="204"/>
      <c r="RXN36" s="204"/>
      <c r="RXO36" s="204"/>
      <c r="RXP36" s="204"/>
      <c r="RXQ36" s="204"/>
      <c r="RXR36" s="204"/>
      <c r="RXS36" s="204"/>
      <c r="RXT36" s="204"/>
      <c r="RXU36" s="204"/>
      <c r="RXV36" s="204"/>
      <c r="RXW36" s="204"/>
      <c r="RXX36" s="204"/>
      <c r="RXY36" s="204"/>
      <c r="RXZ36" s="204"/>
      <c r="RYA36" s="204"/>
      <c r="RYB36" s="204"/>
      <c r="RYC36" s="204"/>
      <c r="RYD36" s="204"/>
      <c r="RYE36" s="204"/>
      <c r="RYF36" s="204"/>
      <c r="RYG36" s="204"/>
      <c r="RYH36" s="204"/>
      <c r="RYI36" s="204"/>
      <c r="RYJ36" s="204"/>
      <c r="RYK36" s="204"/>
      <c r="RYL36" s="204"/>
      <c r="RYM36" s="204"/>
      <c r="RYN36" s="204"/>
      <c r="RYO36" s="204"/>
      <c r="RYP36" s="204"/>
      <c r="RYQ36" s="204"/>
      <c r="RYR36" s="204"/>
      <c r="RYS36" s="204"/>
      <c r="RYT36" s="204"/>
      <c r="RYU36" s="204"/>
      <c r="RYV36" s="204"/>
      <c r="RYW36" s="204"/>
      <c r="RYX36" s="204"/>
      <c r="RYY36" s="204"/>
      <c r="RYZ36" s="204"/>
      <c r="RZA36" s="204"/>
      <c r="RZB36" s="204"/>
      <c r="RZC36" s="204"/>
      <c r="RZD36" s="204"/>
      <c r="RZE36" s="204"/>
      <c r="RZF36" s="204"/>
      <c r="RZG36" s="204"/>
      <c r="RZH36" s="204"/>
      <c r="RZI36" s="204"/>
      <c r="RZJ36" s="204"/>
      <c r="RZK36" s="204"/>
      <c r="RZL36" s="204"/>
      <c r="RZM36" s="204"/>
      <c r="RZN36" s="204"/>
      <c r="RZO36" s="204"/>
      <c r="RZP36" s="204"/>
      <c r="RZQ36" s="204"/>
      <c r="RZR36" s="204"/>
      <c r="RZS36" s="204"/>
      <c r="RZT36" s="204"/>
      <c r="RZU36" s="204"/>
      <c r="RZV36" s="204"/>
      <c r="RZW36" s="204"/>
      <c r="RZX36" s="204"/>
      <c r="RZY36" s="204"/>
      <c r="RZZ36" s="204"/>
      <c r="SAA36" s="204"/>
      <c r="SAB36" s="204"/>
      <c r="SAC36" s="204"/>
      <c r="SAD36" s="204"/>
      <c r="SAE36" s="204"/>
      <c r="SAF36" s="204"/>
      <c r="SAG36" s="204"/>
      <c r="SAH36" s="204"/>
      <c r="SAI36" s="204"/>
      <c r="SAJ36" s="204"/>
      <c r="SAK36" s="204"/>
      <c r="SAL36" s="204"/>
      <c r="SAM36" s="204"/>
      <c r="SAN36" s="204"/>
      <c r="SAO36" s="204"/>
      <c r="SAP36" s="204"/>
      <c r="SAQ36" s="204"/>
      <c r="SAR36" s="204"/>
      <c r="SAS36" s="204"/>
      <c r="SAT36" s="204"/>
      <c r="SAU36" s="204"/>
      <c r="SAV36" s="204"/>
      <c r="SAW36" s="204"/>
      <c r="SAX36" s="204"/>
      <c r="SAY36" s="204"/>
      <c r="SAZ36" s="204"/>
      <c r="SBA36" s="204"/>
      <c r="SBB36" s="204"/>
      <c r="SBC36" s="204"/>
      <c r="SBD36" s="204"/>
      <c r="SBE36" s="204"/>
      <c r="SBF36" s="204"/>
      <c r="SBG36" s="204"/>
      <c r="SBH36" s="204"/>
      <c r="SBI36" s="204"/>
      <c r="SBJ36" s="204"/>
      <c r="SBK36" s="204"/>
      <c r="SBL36" s="204"/>
      <c r="SBM36" s="204"/>
      <c r="SBN36" s="204"/>
      <c r="SBO36" s="204"/>
      <c r="SBP36" s="204"/>
      <c r="SBQ36" s="204"/>
      <c r="SBR36" s="204"/>
      <c r="SBS36" s="204"/>
      <c r="SBT36" s="204"/>
      <c r="SBU36" s="204"/>
      <c r="SBV36" s="204"/>
      <c r="SBW36" s="204"/>
      <c r="SBX36" s="204"/>
      <c r="SBY36" s="204"/>
      <c r="SBZ36" s="204"/>
      <c r="SCA36" s="204"/>
      <c r="SCB36" s="204"/>
      <c r="SCC36" s="204"/>
      <c r="SCD36" s="204"/>
      <c r="SCE36" s="204"/>
      <c r="SCF36" s="204"/>
      <c r="SCG36" s="204"/>
      <c r="SCH36" s="204"/>
      <c r="SCI36" s="204"/>
      <c r="SCJ36" s="204"/>
      <c r="SCK36" s="204"/>
      <c r="SCL36" s="204"/>
      <c r="SCM36" s="204"/>
      <c r="SCN36" s="204"/>
      <c r="SCO36" s="204"/>
      <c r="SCP36" s="204"/>
      <c r="SCQ36" s="204"/>
      <c r="SCR36" s="204"/>
      <c r="SCS36" s="204"/>
      <c r="SCT36" s="204"/>
      <c r="SCU36" s="204"/>
      <c r="SCV36" s="204"/>
      <c r="SCW36" s="204"/>
      <c r="SCX36" s="204"/>
      <c r="SCY36" s="204"/>
      <c r="SCZ36" s="204"/>
      <c r="SDA36" s="204"/>
      <c r="SDB36" s="204"/>
      <c r="SDC36" s="204"/>
      <c r="SDD36" s="204"/>
      <c r="SDE36" s="204"/>
      <c r="SDF36" s="204"/>
      <c r="SDG36" s="204"/>
      <c r="SDH36" s="204"/>
      <c r="SDI36" s="204"/>
      <c r="SDJ36" s="204"/>
      <c r="SDK36" s="204"/>
      <c r="SDL36" s="204"/>
      <c r="SDM36" s="204"/>
      <c r="SDN36" s="204"/>
      <c r="SDO36" s="204"/>
      <c r="SDP36" s="204"/>
      <c r="SDQ36" s="204"/>
      <c r="SDR36" s="204"/>
      <c r="SDS36" s="204"/>
      <c r="SDT36" s="204"/>
      <c r="SDU36" s="204"/>
      <c r="SDV36" s="204"/>
      <c r="SDW36" s="204"/>
      <c r="SDX36" s="204"/>
      <c r="SDY36" s="204"/>
      <c r="SDZ36" s="204"/>
      <c r="SEA36" s="204"/>
      <c r="SEB36" s="204"/>
      <c r="SEC36" s="204"/>
      <c r="SED36" s="204"/>
      <c r="SEE36" s="204"/>
      <c r="SEF36" s="204"/>
      <c r="SEG36" s="204"/>
      <c r="SEH36" s="204"/>
      <c r="SEI36" s="204"/>
      <c r="SEJ36" s="204"/>
      <c r="SEK36" s="204"/>
      <c r="SEL36" s="204"/>
      <c r="SEM36" s="204"/>
      <c r="SEN36" s="204"/>
      <c r="SEO36" s="204"/>
      <c r="SEP36" s="204"/>
      <c r="SEQ36" s="204"/>
      <c r="SER36" s="204"/>
      <c r="SES36" s="204"/>
      <c r="SET36" s="204"/>
      <c r="SEU36" s="204"/>
      <c r="SEV36" s="204"/>
      <c r="SEW36" s="204"/>
      <c r="SEX36" s="204"/>
      <c r="SEY36" s="204"/>
      <c r="SEZ36" s="204"/>
      <c r="SFA36" s="204"/>
      <c r="SFB36" s="204"/>
      <c r="SFC36" s="204"/>
      <c r="SFD36" s="204"/>
      <c r="SFE36" s="204"/>
      <c r="SFF36" s="204"/>
      <c r="SFG36" s="204"/>
      <c r="SFH36" s="204"/>
      <c r="SFI36" s="204"/>
      <c r="SFJ36" s="204"/>
      <c r="SFK36" s="204"/>
      <c r="SFL36" s="204"/>
      <c r="SFM36" s="204"/>
      <c r="SFN36" s="204"/>
      <c r="SFO36" s="204"/>
      <c r="SFP36" s="204"/>
      <c r="SFQ36" s="204"/>
      <c r="SFR36" s="204"/>
      <c r="SFS36" s="204"/>
      <c r="SFT36" s="204"/>
      <c r="SFU36" s="204"/>
      <c r="SFV36" s="204"/>
      <c r="SFW36" s="204"/>
      <c r="SFX36" s="204"/>
      <c r="SFY36" s="204"/>
      <c r="SFZ36" s="204"/>
      <c r="SGA36" s="204"/>
      <c r="SGB36" s="204"/>
      <c r="SGC36" s="204"/>
      <c r="SGD36" s="204"/>
      <c r="SGE36" s="204"/>
      <c r="SGF36" s="204"/>
      <c r="SGG36" s="204"/>
      <c r="SGH36" s="204"/>
      <c r="SGI36" s="204"/>
      <c r="SGJ36" s="204"/>
      <c r="SGK36" s="204"/>
      <c r="SGL36" s="204"/>
      <c r="SGM36" s="204"/>
      <c r="SGN36" s="204"/>
      <c r="SGO36" s="204"/>
      <c r="SGP36" s="204"/>
      <c r="SGQ36" s="204"/>
      <c r="SGR36" s="204"/>
      <c r="SGS36" s="204"/>
      <c r="SGT36" s="204"/>
      <c r="SGU36" s="204"/>
      <c r="SGV36" s="204"/>
      <c r="SGW36" s="204"/>
      <c r="SGX36" s="204"/>
      <c r="SGY36" s="204"/>
      <c r="SGZ36" s="204"/>
      <c r="SHA36" s="204"/>
      <c r="SHB36" s="204"/>
      <c r="SHC36" s="204"/>
      <c r="SHD36" s="204"/>
      <c r="SHE36" s="204"/>
      <c r="SHF36" s="204"/>
      <c r="SHG36" s="204"/>
      <c r="SHH36" s="204"/>
      <c r="SHI36" s="204"/>
      <c r="SHJ36" s="204"/>
      <c r="SHK36" s="204"/>
      <c r="SHL36" s="204"/>
      <c r="SHM36" s="204"/>
      <c r="SHN36" s="204"/>
      <c r="SHO36" s="204"/>
      <c r="SHP36" s="204"/>
      <c r="SHQ36" s="204"/>
      <c r="SHR36" s="204"/>
      <c r="SHS36" s="204"/>
      <c r="SHT36" s="204"/>
      <c r="SHU36" s="204"/>
      <c r="SHV36" s="204"/>
      <c r="SHW36" s="204"/>
      <c r="SHX36" s="204"/>
      <c r="SHY36" s="204"/>
      <c r="SHZ36" s="204"/>
      <c r="SIA36" s="204"/>
      <c r="SIB36" s="204"/>
      <c r="SIC36" s="204"/>
      <c r="SID36" s="204"/>
      <c r="SIE36" s="204"/>
      <c r="SIF36" s="204"/>
      <c r="SIG36" s="204"/>
      <c r="SIH36" s="204"/>
      <c r="SII36" s="204"/>
      <c r="SIJ36" s="204"/>
      <c r="SIK36" s="204"/>
      <c r="SIL36" s="204"/>
      <c r="SIM36" s="204"/>
      <c r="SIN36" s="204"/>
      <c r="SIO36" s="204"/>
      <c r="SIP36" s="204"/>
      <c r="SIQ36" s="204"/>
      <c r="SIR36" s="204"/>
      <c r="SIS36" s="204"/>
      <c r="SIT36" s="204"/>
      <c r="SIU36" s="204"/>
      <c r="SIV36" s="204"/>
      <c r="SIW36" s="204"/>
      <c r="SIX36" s="204"/>
      <c r="SIY36" s="204"/>
      <c r="SIZ36" s="204"/>
      <c r="SJA36" s="204"/>
      <c r="SJB36" s="204"/>
      <c r="SJC36" s="204"/>
      <c r="SJD36" s="204"/>
      <c r="SJE36" s="204"/>
      <c r="SJF36" s="204"/>
      <c r="SJG36" s="204"/>
      <c r="SJH36" s="204"/>
      <c r="SJI36" s="204"/>
      <c r="SJJ36" s="204"/>
      <c r="SJK36" s="204"/>
      <c r="SJL36" s="204"/>
      <c r="SJM36" s="204"/>
      <c r="SJN36" s="204"/>
      <c r="SJO36" s="204"/>
      <c r="SJP36" s="204"/>
      <c r="SJQ36" s="204"/>
      <c r="SJR36" s="204"/>
      <c r="SJS36" s="204"/>
      <c r="SJT36" s="204"/>
      <c r="SJU36" s="204"/>
      <c r="SJV36" s="204"/>
      <c r="SJW36" s="204"/>
      <c r="SJX36" s="204"/>
      <c r="SJY36" s="204"/>
      <c r="SJZ36" s="204"/>
      <c r="SKA36" s="204"/>
      <c r="SKB36" s="204"/>
      <c r="SKC36" s="204"/>
      <c r="SKD36" s="204"/>
      <c r="SKE36" s="204"/>
      <c r="SKF36" s="204"/>
      <c r="SKG36" s="204"/>
      <c r="SKH36" s="204"/>
      <c r="SKI36" s="204"/>
      <c r="SKJ36" s="204"/>
      <c r="SKK36" s="204"/>
      <c r="SKL36" s="204"/>
      <c r="SKM36" s="204"/>
      <c r="SKN36" s="204"/>
      <c r="SKO36" s="204"/>
      <c r="SKP36" s="204"/>
      <c r="SKQ36" s="204"/>
      <c r="SKR36" s="204"/>
      <c r="SKS36" s="204"/>
      <c r="SKT36" s="204"/>
      <c r="SKU36" s="204"/>
      <c r="SKV36" s="204"/>
      <c r="SKW36" s="204"/>
      <c r="SKX36" s="204"/>
      <c r="SKY36" s="204"/>
      <c r="SKZ36" s="204"/>
      <c r="SLA36" s="204"/>
      <c r="SLB36" s="204"/>
      <c r="SLC36" s="204"/>
      <c r="SLD36" s="204"/>
      <c r="SLE36" s="204"/>
      <c r="SLF36" s="204"/>
      <c r="SLG36" s="204"/>
      <c r="SLH36" s="204"/>
      <c r="SLI36" s="204"/>
      <c r="SLJ36" s="204"/>
      <c r="SLK36" s="204"/>
      <c r="SLL36" s="204"/>
      <c r="SLM36" s="204"/>
      <c r="SLN36" s="204"/>
      <c r="SLO36" s="204"/>
      <c r="SLP36" s="204"/>
      <c r="SLQ36" s="204"/>
      <c r="SLR36" s="204"/>
      <c r="SLS36" s="204"/>
      <c r="SLT36" s="204"/>
      <c r="SLU36" s="204"/>
      <c r="SLV36" s="204"/>
      <c r="SLW36" s="204"/>
      <c r="SLX36" s="204"/>
      <c r="SLY36" s="204"/>
      <c r="SLZ36" s="204"/>
      <c r="SMA36" s="204"/>
      <c r="SMB36" s="204"/>
      <c r="SMC36" s="204"/>
      <c r="SMD36" s="204"/>
      <c r="SME36" s="204"/>
      <c r="SMF36" s="204"/>
      <c r="SMG36" s="204"/>
      <c r="SMH36" s="204"/>
      <c r="SMI36" s="204"/>
      <c r="SMJ36" s="204"/>
      <c r="SMK36" s="204"/>
      <c r="SML36" s="204"/>
      <c r="SMM36" s="204"/>
      <c r="SMN36" s="204"/>
      <c r="SMO36" s="204"/>
      <c r="SMP36" s="204"/>
      <c r="SMQ36" s="204"/>
      <c r="SMR36" s="204"/>
      <c r="SMS36" s="204"/>
      <c r="SMT36" s="204"/>
      <c r="SMU36" s="204"/>
      <c r="SMV36" s="204"/>
      <c r="SMW36" s="204"/>
      <c r="SMX36" s="204"/>
      <c r="SMY36" s="204"/>
      <c r="SMZ36" s="204"/>
      <c r="SNA36" s="204"/>
      <c r="SNB36" s="204"/>
      <c r="SNC36" s="204"/>
      <c r="SND36" s="204"/>
      <c r="SNE36" s="204"/>
      <c r="SNF36" s="204"/>
      <c r="SNG36" s="204"/>
      <c r="SNH36" s="204"/>
      <c r="SNI36" s="204"/>
      <c r="SNJ36" s="204"/>
      <c r="SNK36" s="204"/>
      <c r="SNL36" s="204"/>
      <c r="SNM36" s="204"/>
      <c r="SNN36" s="204"/>
      <c r="SNO36" s="204"/>
      <c r="SNP36" s="204"/>
      <c r="SNQ36" s="204"/>
      <c r="SNR36" s="204"/>
      <c r="SNS36" s="204"/>
      <c r="SNT36" s="204"/>
      <c r="SNU36" s="204"/>
      <c r="SNV36" s="204"/>
      <c r="SNW36" s="204"/>
      <c r="SNX36" s="204"/>
      <c r="SNY36" s="204"/>
      <c r="SNZ36" s="204"/>
      <c r="SOA36" s="204"/>
      <c r="SOB36" s="204"/>
      <c r="SOC36" s="204"/>
      <c r="SOD36" s="204"/>
      <c r="SOE36" s="204"/>
      <c r="SOF36" s="204"/>
      <c r="SOG36" s="204"/>
      <c r="SOH36" s="204"/>
      <c r="SOI36" s="204"/>
      <c r="SOJ36" s="204"/>
      <c r="SOK36" s="204"/>
      <c r="SOL36" s="204"/>
      <c r="SOM36" s="204"/>
      <c r="SON36" s="204"/>
      <c r="SOO36" s="204"/>
      <c r="SOP36" s="204"/>
      <c r="SOQ36" s="204"/>
      <c r="SOR36" s="204"/>
      <c r="SOS36" s="204"/>
      <c r="SOT36" s="204"/>
      <c r="SOU36" s="204"/>
      <c r="SOV36" s="204"/>
      <c r="SOW36" s="204"/>
      <c r="SOX36" s="204"/>
      <c r="SOY36" s="204"/>
      <c r="SOZ36" s="204"/>
      <c r="SPA36" s="204"/>
      <c r="SPB36" s="204"/>
      <c r="SPC36" s="204"/>
      <c r="SPD36" s="204"/>
      <c r="SPE36" s="204"/>
      <c r="SPF36" s="204"/>
      <c r="SPG36" s="204"/>
      <c r="SPH36" s="204"/>
      <c r="SPI36" s="204"/>
      <c r="SPJ36" s="204"/>
      <c r="SPK36" s="204"/>
      <c r="SPL36" s="204"/>
      <c r="SPM36" s="204"/>
      <c r="SPN36" s="204"/>
      <c r="SPO36" s="204"/>
      <c r="SPP36" s="204"/>
      <c r="SPQ36" s="204"/>
      <c r="SPR36" s="204"/>
      <c r="SPS36" s="204"/>
      <c r="SPT36" s="204"/>
      <c r="SPU36" s="204"/>
      <c r="SPV36" s="204"/>
      <c r="SPW36" s="204"/>
      <c r="SPX36" s="204"/>
      <c r="SPY36" s="204"/>
      <c r="SPZ36" s="204"/>
      <c r="SQA36" s="204"/>
      <c r="SQB36" s="204"/>
      <c r="SQC36" s="204"/>
      <c r="SQD36" s="204"/>
      <c r="SQE36" s="204"/>
      <c r="SQF36" s="204"/>
      <c r="SQG36" s="204"/>
      <c r="SQH36" s="204"/>
      <c r="SQI36" s="204"/>
      <c r="SQJ36" s="204"/>
      <c r="SQK36" s="204"/>
      <c r="SQL36" s="204"/>
      <c r="SQM36" s="204"/>
      <c r="SQN36" s="204"/>
      <c r="SQO36" s="204"/>
      <c r="SQP36" s="204"/>
      <c r="SQQ36" s="204"/>
      <c r="SQR36" s="204"/>
      <c r="SQS36" s="204"/>
      <c r="SQT36" s="204"/>
      <c r="SQU36" s="204"/>
      <c r="SQV36" s="204"/>
      <c r="SQW36" s="204"/>
      <c r="SQX36" s="204"/>
      <c r="SQY36" s="204"/>
      <c r="SQZ36" s="204"/>
      <c r="SRA36" s="204"/>
      <c r="SRB36" s="204"/>
      <c r="SRC36" s="204"/>
      <c r="SRD36" s="204"/>
      <c r="SRE36" s="204"/>
      <c r="SRF36" s="204"/>
      <c r="SRG36" s="204"/>
      <c r="SRH36" s="204"/>
      <c r="SRI36" s="204"/>
      <c r="SRJ36" s="204"/>
      <c r="SRK36" s="204"/>
      <c r="SRL36" s="204"/>
      <c r="SRM36" s="204"/>
      <c r="SRN36" s="204"/>
      <c r="SRO36" s="204"/>
      <c r="SRP36" s="204"/>
      <c r="SRQ36" s="204"/>
      <c r="SRR36" s="204"/>
      <c r="SRS36" s="204"/>
      <c r="SRT36" s="204"/>
      <c r="SRU36" s="204"/>
      <c r="SRV36" s="204"/>
      <c r="SRW36" s="204"/>
      <c r="SRX36" s="204"/>
      <c r="SRY36" s="204"/>
      <c r="SRZ36" s="204"/>
      <c r="SSA36" s="204"/>
      <c r="SSB36" s="204"/>
      <c r="SSC36" s="204"/>
      <c r="SSD36" s="204"/>
      <c r="SSE36" s="204"/>
      <c r="SSF36" s="204"/>
      <c r="SSG36" s="204"/>
      <c r="SSH36" s="204"/>
      <c r="SSI36" s="204"/>
      <c r="SSJ36" s="204"/>
      <c r="SSK36" s="204"/>
      <c r="SSL36" s="204"/>
      <c r="SSM36" s="204"/>
      <c r="SSN36" s="204"/>
      <c r="SSO36" s="204"/>
      <c r="SSP36" s="204"/>
      <c r="SSQ36" s="204"/>
      <c r="SSR36" s="204"/>
      <c r="SSS36" s="204"/>
      <c r="SST36" s="204"/>
      <c r="SSU36" s="204"/>
      <c r="SSV36" s="204"/>
      <c r="SSW36" s="204"/>
      <c r="SSX36" s="204"/>
      <c r="SSY36" s="204"/>
      <c r="SSZ36" s="204"/>
      <c r="STA36" s="204"/>
      <c r="STB36" s="204"/>
      <c r="STC36" s="204"/>
      <c r="STD36" s="204"/>
      <c r="STE36" s="204"/>
      <c r="STF36" s="204"/>
      <c r="STG36" s="204"/>
      <c r="STH36" s="204"/>
      <c r="STI36" s="204"/>
      <c r="STJ36" s="204"/>
      <c r="STK36" s="204"/>
      <c r="STL36" s="204"/>
      <c r="STM36" s="204"/>
      <c r="STN36" s="204"/>
      <c r="STO36" s="204"/>
      <c r="STP36" s="204"/>
      <c r="STQ36" s="204"/>
      <c r="STR36" s="204"/>
      <c r="STS36" s="204"/>
      <c r="STT36" s="204"/>
      <c r="STU36" s="204"/>
      <c r="STV36" s="204"/>
      <c r="STW36" s="204"/>
      <c r="STX36" s="204"/>
      <c r="STY36" s="204"/>
      <c r="STZ36" s="204"/>
      <c r="SUA36" s="204"/>
      <c r="SUB36" s="204"/>
      <c r="SUC36" s="204"/>
      <c r="SUD36" s="204"/>
      <c r="SUE36" s="204"/>
      <c r="SUF36" s="204"/>
      <c r="SUG36" s="204"/>
      <c r="SUH36" s="204"/>
      <c r="SUI36" s="204"/>
      <c r="SUJ36" s="204"/>
      <c r="SUK36" s="204"/>
      <c r="SUL36" s="204"/>
      <c r="SUM36" s="204"/>
      <c r="SUN36" s="204"/>
      <c r="SUO36" s="204"/>
      <c r="SUP36" s="204"/>
      <c r="SUQ36" s="204"/>
      <c r="SUR36" s="204"/>
      <c r="SUS36" s="204"/>
      <c r="SUT36" s="204"/>
      <c r="SUU36" s="204"/>
      <c r="SUV36" s="204"/>
      <c r="SUW36" s="204"/>
      <c r="SUX36" s="204"/>
      <c r="SUY36" s="204"/>
      <c r="SUZ36" s="204"/>
      <c r="SVA36" s="204"/>
      <c r="SVB36" s="204"/>
      <c r="SVC36" s="204"/>
      <c r="SVD36" s="204"/>
      <c r="SVE36" s="204"/>
      <c r="SVF36" s="204"/>
      <c r="SVG36" s="204"/>
      <c r="SVH36" s="204"/>
      <c r="SVI36" s="204"/>
      <c r="SVJ36" s="204"/>
      <c r="SVK36" s="204"/>
      <c r="SVL36" s="204"/>
      <c r="SVM36" s="204"/>
      <c r="SVN36" s="204"/>
      <c r="SVO36" s="204"/>
      <c r="SVP36" s="204"/>
      <c r="SVQ36" s="204"/>
      <c r="SVR36" s="204"/>
      <c r="SVS36" s="204"/>
      <c r="SVT36" s="204"/>
      <c r="SVU36" s="204"/>
      <c r="SVV36" s="204"/>
      <c r="SVW36" s="204"/>
      <c r="SVX36" s="204"/>
      <c r="SVY36" s="204"/>
      <c r="SVZ36" s="204"/>
      <c r="SWA36" s="204"/>
      <c r="SWB36" s="204"/>
      <c r="SWC36" s="204"/>
      <c r="SWD36" s="204"/>
      <c r="SWE36" s="204"/>
      <c r="SWF36" s="204"/>
      <c r="SWG36" s="204"/>
      <c r="SWH36" s="204"/>
      <c r="SWI36" s="204"/>
      <c r="SWJ36" s="204"/>
      <c r="SWK36" s="204"/>
      <c r="SWL36" s="204"/>
      <c r="SWM36" s="204"/>
      <c r="SWN36" s="204"/>
      <c r="SWO36" s="204"/>
      <c r="SWP36" s="204"/>
      <c r="SWQ36" s="204"/>
      <c r="SWR36" s="204"/>
      <c r="SWS36" s="204"/>
      <c r="SWT36" s="204"/>
      <c r="SWU36" s="204"/>
      <c r="SWV36" s="204"/>
      <c r="SWW36" s="204"/>
      <c r="SWX36" s="204"/>
      <c r="SWY36" s="204"/>
      <c r="SWZ36" s="204"/>
      <c r="SXA36" s="204"/>
      <c r="SXB36" s="204"/>
      <c r="SXC36" s="204"/>
      <c r="SXD36" s="204"/>
      <c r="SXE36" s="204"/>
      <c r="SXF36" s="204"/>
      <c r="SXG36" s="204"/>
      <c r="SXH36" s="204"/>
      <c r="SXI36" s="204"/>
      <c r="SXJ36" s="204"/>
      <c r="SXK36" s="204"/>
      <c r="SXL36" s="204"/>
      <c r="SXM36" s="204"/>
      <c r="SXN36" s="204"/>
      <c r="SXO36" s="204"/>
      <c r="SXP36" s="204"/>
      <c r="SXQ36" s="204"/>
      <c r="SXR36" s="204"/>
      <c r="SXS36" s="204"/>
      <c r="SXT36" s="204"/>
      <c r="SXU36" s="204"/>
      <c r="SXV36" s="204"/>
      <c r="SXW36" s="204"/>
      <c r="SXX36" s="204"/>
      <c r="SXY36" s="204"/>
      <c r="SXZ36" s="204"/>
      <c r="SYA36" s="204"/>
      <c r="SYB36" s="204"/>
      <c r="SYC36" s="204"/>
      <c r="SYD36" s="204"/>
      <c r="SYE36" s="204"/>
      <c r="SYF36" s="204"/>
      <c r="SYG36" s="204"/>
      <c r="SYH36" s="204"/>
      <c r="SYI36" s="204"/>
      <c r="SYJ36" s="204"/>
      <c r="SYK36" s="204"/>
      <c r="SYL36" s="204"/>
      <c r="SYM36" s="204"/>
      <c r="SYN36" s="204"/>
      <c r="SYO36" s="204"/>
      <c r="SYP36" s="204"/>
      <c r="SYQ36" s="204"/>
      <c r="SYR36" s="204"/>
      <c r="SYS36" s="204"/>
      <c r="SYT36" s="204"/>
      <c r="SYU36" s="204"/>
      <c r="SYV36" s="204"/>
      <c r="SYW36" s="204"/>
      <c r="SYX36" s="204"/>
      <c r="SYY36" s="204"/>
      <c r="SYZ36" s="204"/>
      <c r="SZA36" s="204"/>
      <c r="SZB36" s="204"/>
      <c r="SZC36" s="204"/>
      <c r="SZD36" s="204"/>
      <c r="SZE36" s="204"/>
      <c r="SZF36" s="204"/>
      <c r="SZG36" s="204"/>
      <c r="SZH36" s="204"/>
      <c r="SZI36" s="204"/>
      <c r="SZJ36" s="204"/>
      <c r="SZK36" s="204"/>
      <c r="SZL36" s="204"/>
      <c r="SZM36" s="204"/>
      <c r="SZN36" s="204"/>
      <c r="SZO36" s="204"/>
      <c r="SZP36" s="204"/>
      <c r="SZQ36" s="204"/>
      <c r="SZR36" s="204"/>
      <c r="SZS36" s="204"/>
      <c r="SZT36" s="204"/>
      <c r="SZU36" s="204"/>
      <c r="SZV36" s="204"/>
      <c r="SZW36" s="204"/>
      <c r="SZX36" s="204"/>
      <c r="SZY36" s="204"/>
      <c r="SZZ36" s="204"/>
      <c r="TAA36" s="204"/>
      <c r="TAB36" s="204"/>
      <c r="TAC36" s="204"/>
      <c r="TAD36" s="204"/>
      <c r="TAE36" s="204"/>
      <c r="TAF36" s="204"/>
      <c r="TAG36" s="204"/>
      <c r="TAH36" s="204"/>
      <c r="TAI36" s="204"/>
      <c r="TAJ36" s="204"/>
      <c r="TAK36" s="204"/>
      <c r="TAL36" s="204"/>
      <c r="TAM36" s="204"/>
      <c r="TAN36" s="204"/>
      <c r="TAO36" s="204"/>
      <c r="TAP36" s="204"/>
      <c r="TAQ36" s="204"/>
      <c r="TAR36" s="204"/>
      <c r="TAS36" s="204"/>
      <c r="TAT36" s="204"/>
      <c r="TAU36" s="204"/>
      <c r="TAV36" s="204"/>
      <c r="TAW36" s="204"/>
      <c r="TAX36" s="204"/>
      <c r="TAY36" s="204"/>
      <c r="TAZ36" s="204"/>
      <c r="TBA36" s="204"/>
      <c r="TBB36" s="204"/>
      <c r="TBC36" s="204"/>
      <c r="TBD36" s="204"/>
      <c r="TBE36" s="204"/>
      <c r="TBF36" s="204"/>
      <c r="TBG36" s="204"/>
      <c r="TBH36" s="204"/>
      <c r="TBI36" s="204"/>
      <c r="TBJ36" s="204"/>
      <c r="TBK36" s="204"/>
      <c r="TBL36" s="204"/>
      <c r="TBM36" s="204"/>
      <c r="TBN36" s="204"/>
      <c r="TBO36" s="204"/>
      <c r="TBP36" s="204"/>
      <c r="TBQ36" s="204"/>
      <c r="TBR36" s="204"/>
      <c r="TBS36" s="204"/>
      <c r="TBT36" s="204"/>
      <c r="TBU36" s="204"/>
      <c r="TBV36" s="204"/>
      <c r="TBW36" s="204"/>
      <c r="TBX36" s="204"/>
      <c r="TBY36" s="204"/>
      <c r="TBZ36" s="204"/>
      <c r="TCA36" s="204"/>
      <c r="TCB36" s="204"/>
      <c r="TCC36" s="204"/>
      <c r="TCD36" s="204"/>
      <c r="TCE36" s="204"/>
      <c r="TCF36" s="204"/>
      <c r="TCG36" s="204"/>
      <c r="TCH36" s="204"/>
      <c r="TCI36" s="204"/>
      <c r="TCJ36" s="204"/>
      <c r="TCK36" s="204"/>
      <c r="TCL36" s="204"/>
      <c r="TCM36" s="204"/>
      <c r="TCN36" s="204"/>
      <c r="TCO36" s="204"/>
      <c r="TCP36" s="204"/>
      <c r="TCQ36" s="204"/>
      <c r="TCR36" s="204"/>
      <c r="TCS36" s="204"/>
      <c r="TCT36" s="204"/>
      <c r="TCU36" s="204"/>
      <c r="TCV36" s="204"/>
      <c r="TCW36" s="204"/>
      <c r="TCX36" s="204"/>
      <c r="TCY36" s="204"/>
      <c r="TCZ36" s="204"/>
      <c r="TDA36" s="204"/>
      <c r="TDB36" s="204"/>
      <c r="TDC36" s="204"/>
      <c r="TDD36" s="204"/>
      <c r="TDE36" s="204"/>
      <c r="TDF36" s="204"/>
      <c r="TDG36" s="204"/>
      <c r="TDH36" s="204"/>
      <c r="TDI36" s="204"/>
      <c r="TDJ36" s="204"/>
      <c r="TDK36" s="204"/>
      <c r="TDL36" s="204"/>
      <c r="TDM36" s="204"/>
      <c r="TDN36" s="204"/>
      <c r="TDO36" s="204"/>
      <c r="TDP36" s="204"/>
      <c r="TDQ36" s="204"/>
      <c r="TDR36" s="204"/>
      <c r="TDS36" s="204"/>
      <c r="TDT36" s="204"/>
      <c r="TDU36" s="204"/>
      <c r="TDV36" s="204"/>
      <c r="TDW36" s="204"/>
      <c r="TDX36" s="204"/>
      <c r="TDY36" s="204"/>
      <c r="TDZ36" s="204"/>
      <c r="TEA36" s="204"/>
      <c r="TEB36" s="204"/>
      <c r="TEC36" s="204"/>
      <c r="TED36" s="204"/>
      <c r="TEE36" s="204"/>
      <c r="TEF36" s="204"/>
      <c r="TEG36" s="204"/>
      <c r="TEH36" s="204"/>
      <c r="TEI36" s="204"/>
      <c r="TEJ36" s="204"/>
      <c r="TEK36" s="204"/>
      <c r="TEL36" s="204"/>
      <c r="TEM36" s="204"/>
      <c r="TEN36" s="204"/>
      <c r="TEO36" s="204"/>
      <c r="TEP36" s="204"/>
      <c r="TEQ36" s="204"/>
      <c r="TER36" s="204"/>
      <c r="TES36" s="204"/>
      <c r="TET36" s="204"/>
      <c r="TEU36" s="204"/>
      <c r="TEV36" s="204"/>
      <c r="TEW36" s="204"/>
      <c r="TEX36" s="204"/>
      <c r="TEY36" s="204"/>
      <c r="TEZ36" s="204"/>
      <c r="TFA36" s="204"/>
      <c r="TFB36" s="204"/>
      <c r="TFC36" s="204"/>
      <c r="TFD36" s="204"/>
      <c r="TFE36" s="204"/>
      <c r="TFF36" s="204"/>
      <c r="TFG36" s="204"/>
      <c r="TFH36" s="204"/>
      <c r="TFI36" s="204"/>
      <c r="TFJ36" s="204"/>
      <c r="TFK36" s="204"/>
      <c r="TFL36" s="204"/>
      <c r="TFM36" s="204"/>
      <c r="TFN36" s="204"/>
      <c r="TFO36" s="204"/>
      <c r="TFP36" s="204"/>
      <c r="TFQ36" s="204"/>
      <c r="TFR36" s="204"/>
      <c r="TFS36" s="204"/>
      <c r="TFT36" s="204"/>
      <c r="TFU36" s="204"/>
      <c r="TFV36" s="204"/>
      <c r="TFW36" s="204"/>
      <c r="TFX36" s="204"/>
      <c r="TFY36" s="204"/>
      <c r="TFZ36" s="204"/>
      <c r="TGA36" s="204"/>
      <c r="TGB36" s="204"/>
      <c r="TGC36" s="204"/>
      <c r="TGD36" s="204"/>
      <c r="TGE36" s="204"/>
      <c r="TGF36" s="204"/>
      <c r="TGG36" s="204"/>
      <c r="TGH36" s="204"/>
      <c r="TGI36" s="204"/>
      <c r="TGJ36" s="204"/>
      <c r="TGK36" s="204"/>
      <c r="TGL36" s="204"/>
      <c r="TGM36" s="204"/>
      <c r="TGN36" s="204"/>
      <c r="TGO36" s="204"/>
      <c r="TGP36" s="204"/>
      <c r="TGQ36" s="204"/>
      <c r="TGR36" s="204"/>
      <c r="TGS36" s="204"/>
      <c r="TGT36" s="204"/>
      <c r="TGU36" s="204"/>
      <c r="TGV36" s="204"/>
      <c r="TGW36" s="204"/>
      <c r="TGX36" s="204"/>
      <c r="TGY36" s="204"/>
      <c r="TGZ36" s="204"/>
      <c r="THA36" s="204"/>
      <c r="THB36" s="204"/>
      <c r="THC36" s="204"/>
      <c r="THD36" s="204"/>
      <c r="THE36" s="204"/>
      <c r="THF36" s="204"/>
      <c r="THG36" s="204"/>
      <c r="THH36" s="204"/>
      <c r="THI36" s="204"/>
      <c r="THJ36" s="204"/>
      <c r="THK36" s="204"/>
      <c r="THL36" s="204"/>
      <c r="THM36" s="204"/>
      <c r="THN36" s="204"/>
      <c r="THO36" s="204"/>
      <c r="THP36" s="204"/>
      <c r="THQ36" s="204"/>
      <c r="THR36" s="204"/>
      <c r="THS36" s="204"/>
      <c r="THT36" s="204"/>
      <c r="THU36" s="204"/>
      <c r="THV36" s="204"/>
      <c r="THW36" s="204"/>
      <c r="THX36" s="204"/>
      <c r="THY36" s="204"/>
      <c r="THZ36" s="204"/>
      <c r="TIA36" s="204"/>
      <c r="TIB36" s="204"/>
      <c r="TIC36" s="204"/>
      <c r="TID36" s="204"/>
      <c r="TIE36" s="204"/>
      <c r="TIF36" s="204"/>
      <c r="TIG36" s="204"/>
      <c r="TIH36" s="204"/>
      <c r="TII36" s="204"/>
      <c r="TIJ36" s="204"/>
      <c r="TIK36" s="204"/>
      <c r="TIL36" s="204"/>
      <c r="TIM36" s="204"/>
      <c r="TIN36" s="204"/>
      <c r="TIO36" s="204"/>
      <c r="TIP36" s="204"/>
      <c r="TIQ36" s="204"/>
      <c r="TIR36" s="204"/>
      <c r="TIS36" s="204"/>
      <c r="TIT36" s="204"/>
      <c r="TIU36" s="204"/>
      <c r="TIV36" s="204"/>
      <c r="TIW36" s="204"/>
      <c r="TIX36" s="204"/>
      <c r="TIY36" s="204"/>
      <c r="TIZ36" s="204"/>
      <c r="TJA36" s="204"/>
      <c r="TJB36" s="204"/>
      <c r="TJC36" s="204"/>
      <c r="TJD36" s="204"/>
      <c r="TJE36" s="204"/>
      <c r="TJF36" s="204"/>
      <c r="TJG36" s="204"/>
      <c r="TJH36" s="204"/>
      <c r="TJI36" s="204"/>
      <c r="TJJ36" s="204"/>
      <c r="TJK36" s="204"/>
      <c r="TJL36" s="204"/>
      <c r="TJM36" s="204"/>
      <c r="TJN36" s="204"/>
      <c r="TJO36" s="204"/>
      <c r="TJP36" s="204"/>
      <c r="TJQ36" s="204"/>
      <c r="TJR36" s="204"/>
      <c r="TJS36" s="204"/>
      <c r="TJT36" s="204"/>
      <c r="TJU36" s="204"/>
      <c r="TJV36" s="204"/>
      <c r="TJW36" s="204"/>
      <c r="TJX36" s="204"/>
      <c r="TJY36" s="204"/>
      <c r="TJZ36" s="204"/>
      <c r="TKA36" s="204"/>
      <c r="TKB36" s="204"/>
      <c r="TKC36" s="204"/>
      <c r="TKD36" s="204"/>
      <c r="TKE36" s="204"/>
      <c r="TKF36" s="204"/>
      <c r="TKG36" s="204"/>
      <c r="TKH36" s="204"/>
      <c r="TKI36" s="204"/>
      <c r="TKJ36" s="204"/>
      <c r="TKK36" s="204"/>
      <c r="TKL36" s="204"/>
      <c r="TKM36" s="204"/>
      <c r="TKN36" s="204"/>
      <c r="TKO36" s="204"/>
      <c r="TKP36" s="204"/>
      <c r="TKQ36" s="204"/>
      <c r="TKR36" s="204"/>
      <c r="TKS36" s="204"/>
      <c r="TKT36" s="204"/>
      <c r="TKU36" s="204"/>
      <c r="TKV36" s="204"/>
      <c r="TKW36" s="204"/>
      <c r="TKX36" s="204"/>
      <c r="TKY36" s="204"/>
      <c r="TKZ36" s="204"/>
      <c r="TLA36" s="204"/>
      <c r="TLB36" s="204"/>
      <c r="TLC36" s="204"/>
      <c r="TLD36" s="204"/>
      <c r="TLE36" s="204"/>
      <c r="TLF36" s="204"/>
      <c r="TLG36" s="204"/>
      <c r="TLH36" s="204"/>
      <c r="TLI36" s="204"/>
      <c r="TLJ36" s="204"/>
      <c r="TLK36" s="204"/>
      <c r="TLL36" s="204"/>
      <c r="TLM36" s="204"/>
      <c r="TLN36" s="204"/>
      <c r="TLO36" s="204"/>
      <c r="TLP36" s="204"/>
      <c r="TLQ36" s="204"/>
      <c r="TLR36" s="204"/>
      <c r="TLS36" s="204"/>
      <c r="TLT36" s="204"/>
      <c r="TLU36" s="204"/>
      <c r="TLV36" s="204"/>
      <c r="TLW36" s="204"/>
      <c r="TLX36" s="204"/>
      <c r="TLY36" s="204"/>
      <c r="TLZ36" s="204"/>
      <c r="TMA36" s="204"/>
      <c r="TMB36" s="204"/>
      <c r="TMC36" s="204"/>
      <c r="TMD36" s="204"/>
      <c r="TME36" s="204"/>
      <c r="TMF36" s="204"/>
      <c r="TMG36" s="204"/>
      <c r="TMH36" s="204"/>
      <c r="TMI36" s="204"/>
      <c r="TMJ36" s="204"/>
      <c r="TMK36" s="204"/>
      <c r="TML36" s="204"/>
      <c r="TMM36" s="204"/>
      <c r="TMN36" s="204"/>
      <c r="TMO36" s="204"/>
      <c r="TMP36" s="204"/>
      <c r="TMQ36" s="204"/>
      <c r="TMR36" s="204"/>
      <c r="TMS36" s="204"/>
      <c r="TMT36" s="204"/>
      <c r="TMU36" s="204"/>
      <c r="TMV36" s="204"/>
      <c r="TMW36" s="204"/>
      <c r="TMX36" s="204"/>
      <c r="TMY36" s="204"/>
      <c r="TMZ36" s="204"/>
      <c r="TNA36" s="204"/>
      <c r="TNB36" s="204"/>
      <c r="TNC36" s="204"/>
      <c r="TND36" s="204"/>
      <c r="TNE36" s="204"/>
      <c r="TNF36" s="204"/>
      <c r="TNG36" s="204"/>
      <c r="TNH36" s="204"/>
      <c r="TNI36" s="204"/>
      <c r="TNJ36" s="204"/>
      <c r="TNK36" s="204"/>
      <c r="TNL36" s="204"/>
      <c r="TNM36" s="204"/>
      <c r="TNN36" s="204"/>
      <c r="TNO36" s="204"/>
      <c r="TNP36" s="204"/>
      <c r="TNQ36" s="204"/>
      <c r="TNR36" s="204"/>
      <c r="TNS36" s="204"/>
      <c r="TNT36" s="204"/>
      <c r="TNU36" s="204"/>
      <c r="TNV36" s="204"/>
      <c r="TNW36" s="204"/>
      <c r="TNX36" s="204"/>
      <c r="TNY36" s="204"/>
      <c r="TNZ36" s="204"/>
      <c r="TOA36" s="204"/>
      <c r="TOB36" s="204"/>
      <c r="TOC36" s="204"/>
      <c r="TOD36" s="204"/>
      <c r="TOE36" s="204"/>
      <c r="TOF36" s="204"/>
      <c r="TOG36" s="204"/>
      <c r="TOH36" s="204"/>
      <c r="TOI36" s="204"/>
      <c r="TOJ36" s="204"/>
      <c r="TOK36" s="204"/>
      <c r="TOL36" s="204"/>
      <c r="TOM36" s="204"/>
      <c r="TON36" s="204"/>
      <c r="TOO36" s="204"/>
      <c r="TOP36" s="204"/>
      <c r="TOQ36" s="204"/>
      <c r="TOR36" s="204"/>
      <c r="TOS36" s="204"/>
      <c r="TOT36" s="204"/>
      <c r="TOU36" s="204"/>
      <c r="TOV36" s="204"/>
      <c r="TOW36" s="204"/>
      <c r="TOX36" s="204"/>
      <c r="TOY36" s="204"/>
      <c r="TOZ36" s="204"/>
      <c r="TPA36" s="204"/>
      <c r="TPB36" s="204"/>
      <c r="TPC36" s="204"/>
      <c r="TPD36" s="204"/>
      <c r="TPE36" s="204"/>
      <c r="TPF36" s="204"/>
      <c r="TPG36" s="204"/>
      <c r="TPH36" s="204"/>
      <c r="TPI36" s="204"/>
      <c r="TPJ36" s="204"/>
      <c r="TPK36" s="204"/>
      <c r="TPL36" s="204"/>
      <c r="TPM36" s="204"/>
      <c r="TPN36" s="204"/>
      <c r="TPO36" s="204"/>
      <c r="TPP36" s="204"/>
      <c r="TPQ36" s="204"/>
      <c r="TPR36" s="204"/>
      <c r="TPS36" s="204"/>
      <c r="TPT36" s="204"/>
      <c r="TPU36" s="204"/>
      <c r="TPV36" s="204"/>
      <c r="TPW36" s="204"/>
      <c r="TPX36" s="204"/>
      <c r="TPY36" s="204"/>
      <c r="TPZ36" s="204"/>
      <c r="TQA36" s="204"/>
      <c r="TQB36" s="204"/>
      <c r="TQC36" s="204"/>
      <c r="TQD36" s="204"/>
      <c r="TQE36" s="204"/>
      <c r="TQF36" s="204"/>
      <c r="TQG36" s="204"/>
      <c r="TQH36" s="204"/>
      <c r="TQI36" s="204"/>
      <c r="TQJ36" s="204"/>
      <c r="TQK36" s="204"/>
      <c r="TQL36" s="204"/>
      <c r="TQM36" s="204"/>
      <c r="TQN36" s="204"/>
      <c r="TQO36" s="204"/>
      <c r="TQP36" s="204"/>
      <c r="TQQ36" s="204"/>
      <c r="TQR36" s="204"/>
      <c r="TQS36" s="204"/>
      <c r="TQT36" s="204"/>
      <c r="TQU36" s="204"/>
      <c r="TQV36" s="204"/>
      <c r="TQW36" s="204"/>
      <c r="TQX36" s="204"/>
      <c r="TQY36" s="204"/>
      <c r="TQZ36" s="204"/>
      <c r="TRA36" s="204"/>
      <c r="TRB36" s="204"/>
      <c r="TRC36" s="204"/>
      <c r="TRD36" s="204"/>
      <c r="TRE36" s="204"/>
      <c r="TRF36" s="204"/>
      <c r="TRG36" s="204"/>
      <c r="TRH36" s="204"/>
      <c r="TRI36" s="204"/>
      <c r="TRJ36" s="204"/>
      <c r="TRK36" s="204"/>
      <c r="TRL36" s="204"/>
      <c r="TRM36" s="204"/>
      <c r="TRN36" s="204"/>
      <c r="TRO36" s="204"/>
      <c r="TRP36" s="204"/>
      <c r="TRQ36" s="204"/>
      <c r="TRR36" s="204"/>
      <c r="TRS36" s="204"/>
      <c r="TRT36" s="204"/>
      <c r="TRU36" s="204"/>
      <c r="TRV36" s="204"/>
      <c r="TRW36" s="204"/>
      <c r="TRX36" s="204"/>
      <c r="TRY36" s="204"/>
      <c r="TRZ36" s="204"/>
      <c r="TSA36" s="204"/>
      <c r="TSB36" s="204"/>
      <c r="TSC36" s="204"/>
      <c r="TSD36" s="204"/>
      <c r="TSE36" s="204"/>
      <c r="TSF36" s="204"/>
      <c r="TSG36" s="204"/>
      <c r="TSH36" s="204"/>
      <c r="TSI36" s="204"/>
      <c r="TSJ36" s="204"/>
      <c r="TSK36" s="204"/>
      <c r="TSL36" s="204"/>
      <c r="TSM36" s="204"/>
      <c r="TSN36" s="204"/>
      <c r="TSO36" s="204"/>
      <c r="TSP36" s="204"/>
      <c r="TSQ36" s="204"/>
      <c r="TSR36" s="204"/>
      <c r="TSS36" s="204"/>
      <c r="TST36" s="204"/>
      <c r="TSU36" s="204"/>
      <c r="TSV36" s="204"/>
      <c r="TSW36" s="204"/>
      <c r="TSX36" s="204"/>
      <c r="TSY36" s="204"/>
      <c r="TSZ36" s="204"/>
      <c r="TTA36" s="204"/>
      <c r="TTB36" s="204"/>
      <c r="TTC36" s="204"/>
      <c r="TTD36" s="204"/>
      <c r="TTE36" s="204"/>
      <c r="TTF36" s="204"/>
      <c r="TTG36" s="204"/>
      <c r="TTH36" s="204"/>
      <c r="TTI36" s="204"/>
      <c r="TTJ36" s="204"/>
      <c r="TTK36" s="204"/>
      <c r="TTL36" s="204"/>
      <c r="TTM36" s="204"/>
      <c r="TTN36" s="204"/>
      <c r="TTO36" s="204"/>
      <c r="TTP36" s="204"/>
      <c r="TTQ36" s="204"/>
      <c r="TTR36" s="204"/>
      <c r="TTS36" s="204"/>
      <c r="TTT36" s="204"/>
      <c r="TTU36" s="204"/>
      <c r="TTV36" s="204"/>
      <c r="TTW36" s="204"/>
      <c r="TTX36" s="204"/>
      <c r="TTY36" s="204"/>
      <c r="TTZ36" s="204"/>
      <c r="TUA36" s="204"/>
      <c r="TUB36" s="204"/>
      <c r="TUC36" s="204"/>
      <c r="TUD36" s="204"/>
      <c r="TUE36" s="204"/>
      <c r="TUF36" s="204"/>
      <c r="TUG36" s="204"/>
      <c r="TUH36" s="204"/>
      <c r="TUI36" s="204"/>
      <c r="TUJ36" s="204"/>
      <c r="TUK36" s="204"/>
      <c r="TUL36" s="204"/>
      <c r="TUM36" s="204"/>
      <c r="TUN36" s="204"/>
      <c r="TUO36" s="204"/>
      <c r="TUP36" s="204"/>
      <c r="TUQ36" s="204"/>
      <c r="TUR36" s="204"/>
      <c r="TUS36" s="204"/>
      <c r="TUT36" s="204"/>
      <c r="TUU36" s="204"/>
      <c r="TUV36" s="204"/>
      <c r="TUW36" s="204"/>
      <c r="TUX36" s="204"/>
      <c r="TUY36" s="204"/>
      <c r="TUZ36" s="204"/>
      <c r="TVA36" s="204"/>
      <c r="TVB36" s="204"/>
      <c r="TVC36" s="204"/>
      <c r="TVD36" s="204"/>
      <c r="TVE36" s="204"/>
      <c r="TVF36" s="204"/>
      <c r="TVG36" s="204"/>
      <c r="TVH36" s="204"/>
      <c r="TVI36" s="204"/>
      <c r="TVJ36" s="204"/>
      <c r="TVK36" s="204"/>
      <c r="TVL36" s="204"/>
      <c r="TVM36" s="204"/>
      <c r="TVN36" s="204"/>
      <c r="TVO36" s="204"/>
      <c r="TVP36" s="204"/>
      <c r="TVQ36" s="204"/>
      <c r="TVR36" s="204"/>
      <c r="TVS36" s="204"/>
      <c r="TVT36" s="204"/>
      <c r="TVU36" s="204"/>
      <c r="TVV36" s="204"/>
      <c r="TVW36" s="204"/>
      <c r="TVX36" s="204"/>
      <c r="TVY36" s="204"/>
      <c r="TVZ36" s="204"/>
      <c r="TWA36" s="204"/>
      <c r="TWB36" s="204"/>
      <c r="TWC36" s="204"/>
      <c r="TWD36" s="204"/>
      <c r="TWE36" s="204"/>
      <c r="TWF36" s="204"/>
      <c r="TWG36" s="204"/>
      <c r="TWH36" s="204"/>
      <c r="TWI36" s="204"/>
      <c r="TWJ36" s="204"/>
      <c r="TWK36" s="204"/>
      <c r="TWL36" s="204"/>
      <c r="TWM36" s="204"/>
      <c r="TWN36" s="204"/>
      <c r="TWO36" s="204"/>
      <c r="TWP36" s="204"/>
      <c r="TWQ36" s="204"/>
      <c r="TWR36" s="204"/>
      <c r="TWS36" s="204"/>
      <c r="TWT36" s="204"/>
      <c r="TWU36" s="204"/>
      <c r="TWV36" s="204"/>
      <c r="TWW36" s="204"/>
      <c r="TWX36" s="204"/>
      <c r="TWY36" s="204"/>
      <c r="TWZ36" s="204"/>
      <c r="TXA36" s="204"/>
      <c r="TXB36" s="204"/>
      <c r="TXC36" s="204"/>
      <c r="TXD36" s="204"/>
      <c r="TXE36" s="204"/>
      <c r="TXF36" s="204"/>
      <c r="TXG36" s="204"/>
      <c r="TXH36" s="204"/>
      <c r="TXI36" s="204"/>
      <c r="TXJ36" s="204"/>
      <c r="TXK36" s="204"/>
      <c r="TXL36" s="204"/>
      <c r="TXM36" s="204"/>
      <c r="TXN36" s="204"/>
      <c r="TXO36" s="204"/>
      <c r="TXP36" s="204"/>
      <c r="TXQ36" s="204"/>
      <c r="TXR36" s="204"/>
      <c r="TXS36" s="204"/>
      <c r="TXT36" s="204"/>
      <c r="TXU36" s="204"/>
      <c r="TXV36" s="204"/>
      <c r="TXW36" s="204"/>
      <c r="TXX36" s="204"/>
      <c r="TXY36" s="204"/>
      <c r="TXZ36" s="204"/>
      <c r="TYA36" s="204"/>
      <c r="TYB36" s="204"/>
      <c r="TYC36" s="204"/>
      <c r="TYD36" s="204"/>
      <c r="TYE36" s="204"/>
      <c r="TYF36" s="204"/>
      <c r="TYG36" s="204"/>
      <c r="TYH36" s="204"/>
      <c r="TYI36" s="204"/>
      <c r="TYJ36" s="204"/>
      <c r="TYK36" s="204"/>
      <c r="TYL36" s="204"/>
      <c r="TYM36" s="204"/>
      <c r="TYN36" s="204"/>
      <c r="TYO36" s="204"/>
      <c r="TYP36" s="204"/>
      <c r="TYQ36" s="204"/>
      <c r="TYR36" s="204"/>
      <c r="TYS36" s="204"/>
      <c r="TYT36" s="204"/>
      <c r="TYU36" s="204"/>
      <c r="TYV36" s="204"/>
      <c r="TYW36" s="204"/>
      <c r="TYX36" s="204"/>
      <c r="TYY36" s="204"/>
      <c r="TYZ36" s="204"/>
      <c r="TZA36" s="204"/>
      <c r="TZB36" s="204"/>
      <c r="TZC36" s="204"/>
      <c r="TZD36" s="204"/>
      <c r="TZE36" s="204"/>
      <c r="TZF36" s="204"/>
      <c r="TZG36" s="204"/>
      <c r="TZH36" s="204"/>
      <c r="TZI36" s="204"/>
      <c r="TZJ36" s="204"/>
      <c r="TZK36" s="204"/>
      <c r="TZL36" s="204"/>
      <c r="TZM36" s="204"/>
      <c r="TZN36" s="204"/>
      <c r="TZO36" s="204"/>
      <c r="TZP36" s="204"/>
      <c r="TZQ36" s="204"/>
      <c r="TZR36" s="204"/>
      <c r="TZS36" s="204"/>
      <c r="TZT36" s="204"/>
      <c r="TZU36" s="204"/>
      <c r="TZV36" s="204"/>
      <c r="TZW36" s="204"/>
      <c r="TZX36" s="204"/>
      <c r="TZY36" s="204"/>
      <c r="TZZ36" s="204"/>
      <c r="UAA36" s="204"/>
      <c r="UAB36" s="204"/>
      <c r="UAC36" s="204"/>
      <c r="UAD36" s="204"/>
      <c r="UAE36" s="204"/>
      <c r="UAF36" s="204"/>
      <c r="UAG36" s="204"/>
      <c r="UAH36" s="204"/>
      <c r="UAI36" s="204"/>
      <c r="UAJ36" s="204"/>
      <c r="UAK36" s="204"/>
      <c r="UAL36" s="204"/>
      <c r="UAM36" s="204"/>
      <c r="UAN36" s="204"/>
      <c r="UAO36" s="204"/>
      <c r="UAP36" s="204"/>
      <c r="UAQ36" s="204"/>
      <c r="UAR36" s="204"/>
      <c r="UAS36" s="204"/>
      <c r="UAT36" s="204"/>
      <c r="UAU36" s="204"/>
      <c r="UAV36" s="204"/>
      <c r="UAW36" s="204"/>
      <c r="UAX36" s="204"/>
      <c r="UAY36" s="204"/>
      <c r="UAZ36" s="204"/>
      <c r="UBA36" s="204"/>
      <c r="UBB36" s="204"/>
      <c r="UBC36" s="204"/>
      <c r="UBD36" s="204"/>
      <c r="UBE36" s="204"/>
      <c r="UBF36" s="204"/>
      <c r="UBG36" s="204"/>
      <c r="UBH36" s="204"/>
      <c r="UBI36" s="204"/>
      <c r="UBJ36" s="204"/>
      <c r="UBK36" s="204"/>
      <c r="UBL36" s="204"/>
      <c r="UBM36" s="204"/>
      <c r="UBN36" s="204"/>
      <c r="UBO36" s="204"/>
      <c r="UBP36" s="204"/>
      <c r="UBQ36" s="204"/>
      <c r="UBR36" s="204"/>
      <c r="UBS36" s="204"/>
      <c r="UBT36" s="204"/>
      <c r="UBU36" s="204"/>
      <c r="UBV36" s="204"/>
      <c r="UBW36" s="204"/>
      <c r="UBX36" s="204"/>
      <c r="UBY36" s="204"/>
      <c r="UBZ36" s="204"/>
      <c r="UCA36" s="204"/>
      <c r="UCB36" s="204"/>
      <c r="UCC36" s="204"/>
      <c r="UCD36" s="204"/>
      <c r="UCE36" s="204"/>
      <c r="UCF36" s="204"/>
      <c r="UCG36" s="204"/>
      <c r="UCH36" s="204"/>
      <c r="UCI36" s="204"/>
      <c r="UCJ36" s="204"/>
      <c r="UCK36" s="204"/>
      <c r="UCL36" s="204"/>
      <c r="UCM36" s="204"/>
      <c r="UCN36" s="204"/>
      <c r="UCO36" s="204"/>
      <c r="UCP36" s="204"/>
      <c r="UCQ36" s="204"/>
      <c r="UCR36" s="204"/>
      <c r="UCS36" s="204"/>
      <c r="UCT36" s="204"/>
      <c r="UCU36" s="204"/>
      <c r="UCV36" s="204"/>
      <c r="UCW36" s="204"/>
      <c r="UCX36" s="204"/>
      <c r="UCY36" s="204"/>
      <c r="UCZ36" s="204"/>
      <c r="UDA36" s="204"/>
      <c r="UDB36" s="204"/>
      <c r="UDC36" s="204"/>
      <c r="UDD36" s="204"/>
      <c r="UDE36" s="204"/>
      <c r="UDF36" s="204"/>
      <c r="UDG36" s="204"/>
      <c r="UDH36" s="204"/>
      <c r="UDI36" s="204"/>
      <c r="UDJ36" s="204"/>
      <c r="UDK36" s="204"/>
      <c r="UDL36" s="204"/>
      <c r="UDM36" s="204"/>
      <c r="UDN36" s="204"/>
      <c r="UDO36" s="204"/>
      <c r="UDP36" s="204"/>
      <c r="UDQ36" s="204"/>
      <c r="UDR36" s="204"/>
      <c r="UDS36" s="204"/>
      <c r="UDT36" s="204"/>
      <c r="UDU36" s="204"/>
      <c r="UDV36" s="204"/>
      <c r="UDW36" s="204"/>
      <c r="UDX36" s="204"/>
      <c r="UDY36" s="204"/>
      <c r="UDZ36" s="204"/>
      <c r="UEA36" s="204"/>
      <c r="UEB36" s="204"/>
      <c r="UEC36" s="204"/>
      <c r="UED36" s="204"/>
      <c r="UEE36" s="204"/>
      <c r="UEF36" s="204"/>
      <c r="UEG36" s="204"/>
      <c r="UEH36" s="204"/>
      <c r="UEI36" s="204"/>
      <c r="UEJ36" s="204"/>
      <c r="UEK36" s="204"/>
      <c r="UEL36" s="204"/>
      <c r="UEM36" s="204"/>
      <c r="UEN36" s="204"/>
      <c r="UEO36" s="204"/>
      <c r="UEP36" s="204"/>
      <c r="UEQ36" s="204"/>
      <c r="UER36" s="204"/>
      <c r="UES36" s="204"/>
      <c r="UET36" s="204"/>
      <c r="UEU36" s="204"/>
      <c r="UEV36" s="204"/>
      <c r="UEW36" s="204"/>
      <c r="UEX36" s="204"/>
      <c r="UEY36" s="204"/>
      <c r="UEZ36" s="204"/>
      <c r="UFA36" s="204"/>
      <c r="UFB36" s="204"/>
      <c r="UFC36" s="204"/>
      <c r="UFD36" s="204"/>
      <c r="UFE36" s="204"/>
      <c r="UFF36" s="204"/>
      <c r="UFG36" s="204"/>
      <c r="UFH36" s="204"/>
      <c r="UFI36" s="204"/>
      <c r="UFJ36" s="204"/>
      <c r="UFK36" s="204"/>
      <c r="UFL36" s="204"/>
      <c r="UFM36" s="204"/>
      <c r="UFN36" s="204"/>
      <c r="UFO36" s="204"/>
      <c r="UFP36" s="204"/>
      <c r="UFQ36" s="204"/>
      <c r="UFR36" s="204"/>
      <c r="UFS36" s="204"/>
      <c r="UFT36" s="204"/>
      <c r="UFU36" s="204"/>
      <c r="UFV36" s="204"/>
      <c r="UFW36" s="204"/>
      <c r="UFX36" s="204"/>
      <c r="UFY36" s="204"/>
      <c r="UFZ36" s="204"/>
      <c r="UGA36" s="204"/>
      <c r="UGB36" s="204"/>
      <c r="UGC36" s="204"/>
      <c r="UGD36" s="204"/>
      <c r="UGE36" s="204"/>
      <c r="UGF36" s="204"/>
      <c r="UGG36" s="204"/>
      <c r="UGH36" s="204"/>
      <c r="UGI36" s="204"/>
      <c r="UGJ36" s="204"/>
      <c r="UGK36" s="204"/>
      <c r="UGL36" s="204"/>
      <c r="UGM36" s="204"/>
      <c r="UGN36" s="204"/>
      <c r="UGO36" s="204"/>
      <c r="UGP36" s="204"/>
      <c r="UGQ36" s="204"/>
      <c r="UGR36" s="204"/>
      <c r="UGS36" s="204"/>
      <c r="UGT36" s="204"/>
      <c r="UGU36" s="204"/>
      <c r="UGV36" s="204"/>
      <c r="UGW36" s="204"/>
      <c r="UGX36" s="204"/>
      <c r="UGY36" s="204"/>
      <c r="UGZ36" s="204"/>
      <c r="UHA36" s="204"/>
      <c r="UHB36" s="204"/>
      <c r="UHC36" s="204"/>
      <c r="UHD36" s="204"/>
      <c r="UHE36" s="204"/>
      <c r="UHF36" s="204"/>
      <c r="UHG36" s="204"/>
      <c r="UHH36" s="204"/>
      <c r="UHI36" s="204"/>
      <c r="UHJ36" s="204"/>
      <c r="UHK36" s="204"/>
      <c r="UHL36" s="204"/>
      <c r="UHM36" s="204"/>
      <c r="UHN36" s="204"/>
      <c r="UHO36" s="204"/>
      <c r="UHP36" s="204"/>
      <c r="UHQ36" s="204"/>
      <c r="UHR36" s="204"/>
      <c r="UHS36" s="204"/>
      <c r="UHT36" s="204"/>
      <c r="UHU36" s="204"/>
      <c r="UHV36" s="204"/>
      <c r="UHW36" s="204"/>
      <c r="UHX36" s="204"/>
      <c r="UHY36" s="204"/>
      <c r="UHZ36" s="204"/>
      <c r="UIA36" s="204"/>
      <c r="UIB36" s="204"/>
      <c r="UIC36" s="204"/>
      <c r="UID36" s="204"/>
      <c r="UIE36" s="204"/>
      <c r="UIF36" s="204"/>
      <c r="UIG36" s="204"/>
      <c r="UIH36" s="204"/>
      <c r="UII36" s="204"/>
      <c r="UIJ36" s="204"/>
      <c r="UIK36" s="204"/>
      <c r="UIL36" s="204"/>
      <c r="UIM36" s="204"/>
      <c r="UIN36" s="204"/>
      <c r="UIO36" s="204"/>
      <c r="UIP36" s="204"/>
      <c r="UIQ36" s="204"/>
      <c r="UIR36" s="204"/>
      <c r="UIS36" s="204"/>
      <c r="UIT36" s="204"/>
      <c r="UIU36" s="204"/>
      <c r="UIV36" s="204"/>
      <c r="UIW36" s="204"/>
      <c r="UIX36" s="204"/>
      <c r="UIY36" s="204"/>
      <c r="UIZ36" s="204"/>
      <c r="UJA36" s="204"/>
      <c r="UJB36" s="204"/>
      <c r="UJC36" s="204"/>
      <c r="UJD36" s="204"/>
      <c r="UJE36" s="204"/>
      <c r="UJF36" s="204"/>
      <c r="UJG36" s="204"/>
      <c r="UJH36" s="204"/>
      <c r="UJI36" s="204"/>
      <c r="UJJ36" s="204"/>
      <c r="UJK36" s="204"/>
      <c r="UJL36" s="204"/>
      <c r="UJM36" s="204"/>
      <c r="UJN36" s="204"/>
      <c r="UJO36" s="204"/>
      <c r="UJP36" s="204"/>
      <c r="UJQ36" s="204"/>
      <c r="UJR36" s="204"/>
      <c r="UJS36" s="204"/>
      <c r="UJT36" s="204"/>
      <c r="UJU36" s="204"/>
      <c r="UJV36" s="204"/>
      <c r="UJW36" s="204"/>
      <c r="UJX36" s="204"/>
      <c r="UJY36" s="204"/>
      <c r="UJZ36" s="204"/>
      <c r="UKA36" s="204"/>
      <c r="UKB36" s="204"/>
      <c r="UKC36" s="204"/>
      <c r="UKD36" s="204"/>
      <c r="UKE36" s="204"/>
      <c r="UKF36" s="204"/>
      <c r="UKG36" s="204"/>
      <c r="UKH36" s="204"/>
      <c r="UKI36" s="204"/>
      <c r="UKJ36" s="204"/>
      <c r="UKK36" s="204"/>
      <c r="UKL36" s="204"/>
      <c r="UKM36" s="204"/>
      <c r="UKN36" s="204"/>
      <c r="UKO36" s="204"/>
      <c r="UKP36" s="204"/>
      <c r="UKQ36" s="204"/>
      <c r="UKR36" s="204"/>
      <c r="UKS36" s="204"/>
      <c r="UKT36" s="204"/>
      <c r="UKU36" s="204"/>
      <c r="UKV36" s="204"/>
      <c r="UKW36" s="204"/>
      <c r="UKX36" s="204"/>
      <c r="UKY36" s="204"/>
      <c r="UKZ36" s="204"/>
      <c r="ULA36" s="204"/>
      <c r="ULB36" s="204"/>
      <c r="ULC36" s="204"/>
      <c r="ULD36" s="204"/>
      <c r="ULE36" s="204"/>
      <c r="ULF36" s="204"/>
      <c r="ULG36" s="204"/>
      <c r="ULH36" s="204"/>
      <c r="ULI36" s="204"/>
      <c r="ULJ36" s="204"/>
      <c r="ULK36" s="204"/>
      <c r="ULL36" s="204"/>
      <c r="ULM36" s="204"/>
      <c r="ULN36" s="204"/>
      <c r="ULO36" s="204"/>
      <c r="ULP36" s="204"/>
      <c r="ULQ36" s="204"/>
      <c r="ULR36" s="204"/>
      <c r="ULS36" s="204"/>
      <c r="ULT36" s="204"/>
      <c r="ULU36" s="204"/>
      <c r="ULV36" s="204"/>
      <c r="ULW36" s="204"/>
      <c r="ULX36" s="204"/>
      <c r="ULY36" s="204"/>
      <c r="ULZ36" s="204"/>
      <c r="UMA36" s="204"/>
      <c r="UMB36" s="204"/>
      <c r="UMC36" s="204"/>
      <c r="UMD36" s="204"/>
      <c r="UME36" s="204"/>
      <c r="UMF36" s="204"/>
      <c r="UMG36" s="204"/>
      <c r="UMH36" s="204"/>
      <c r="UMI36" s="204"/>
      <c r="UMJ36" s="204"/>
      <c r="UMK36" s="204"/>
      <c r="UML36" s="204"/>
      <c r="UMM36" s="204"/>
      <c r="UMN36" s="204"/>
      <c r="UMO36" s="204"/>
      <c r="UMP36" s="204"/>
      <c r="UMQ36" s="204"/>
      <c r="UMR36" s="204"/>
      <c r="UMS36" s="204"/>
      <c r="UMT36" s="204"/>
      <c r="UMU36" s="204"/>
      <c r="UMV36" s="204"/>
      <c r="UMW36" s="204"/>
      <c r="UMX36" s="204"/>
      <c r="UMY36" s="204"/>
      <c r="UMZ36" s="204"/>
      <c r="UNA36" s="204"/>
      <c r="UNB36" s="204"/>
      <c r="UNC36" s="204"/>
      <c r="UND36" s="204"/>
      <c r="UNE36" s="204"/>
      <c r="UNF36" s="204"/>
      <c r="UNG36" s="204"/>
      <c r="UNH36" s="204"/>
      <c r="UNI36" s="204"/>
      <c r="UNJ36" s="204"/>
      <c r="UNK36" s="204"/>
      <c r="UNL36" s="204"/>
      <c r="UNM36" s="204"/>
      <c r="UNN36" s="204"/>
      <c r="UNO36" s="204"/>
      <c r="UNP36" s="204"/>
      <c r="UNQ36" s="204"/>
      <c r="UNR36" s="204"/>
      <c r="UNS36" s="204"/>
      <c r="UNT36" s="204"/>
      <c r="UNU36" s="204"/>
      <c r="UNV36" s="204"/>
      <c r="UNW36" s="204"/>
      <c r="UNX36" s="204"/>
      <c r="UNY36" s="204"/>
      <c r="UNZ36" s="204"/>
      <c r="UOA36" s="204"/>
      <c r="UOB36" s="204"/>
      <c r="UOC36" s="204"/>
      <c r="UOD36" s="204"/>
      <c r="UOE36" s="204"/>
      <c r="UOF36" s="204"/>
      <c r="UOG36" s="204"/>
      <c r="UOH36" s="204"/>
      <c r="UOI36" s="204"/>
      <c r="UOJ36" s="204"/>
      <c r="UOK36" s="204"/>
      <c r="UOL36" s="204"/>
      <c r="UOM36" s="204"/>
      <c r="UON36" s="204"/>
      <c r="UOO36" s="204"/>
      <c r="UOP36" s="204"/>
      <c r="UOQ36" s="204"/>
      <c r="UOR36" s="204"/>
      <c r="UOS36" s="204"/>
      <c r="UOT36" s="204"/>
      <c r="UOU36" s="204"/>
      <c r="UOV36" s="204"/>
      <c r="UOW36" s="204"/>
      <c r="UOX36" s="204"/>
      <c r="UOY36" s="204"/>
      <c r="UOZ36" s="204"/>
      <c r="UPA36" s="204"/>
      <c r="UPB36" s="204"/>
      <c r="UPC36" s="204"/>
      <c r="UPD36" s="204"/>
      <c r="UPE36" s="204"/>
      <c r="UPF36" s="204"/>
      <c r="UPG36" s="204"/>
      <c r="UPH36" s="204"/>
      <c r="UPI36" s="204"/>
      <c r="UPJ36" s="204"/>
      <c r="UPK36" s="204"/>
      <c r="UPL36" s="204"/>
      <c r="UPM36" s="204"/>
      <c r="UPN36" s="204"/>
      <c r="UPO36" s="204"/>
      <c r="UPP36" s="204"/>
      <c r="UPQ36" s="204"/>
      <c r="UPR36" s="204"/>
      <c r="UPS36" s="204"/>
      <c r="UPT36" s="204"/>
      <c r="UPU36" s="204"/>
      <c r="UPV36" s="204"/>
      <c r="UPW36" s="204"/>
      <c r="UPX36" s="204"/>
      <c r="UPY36" s="204"/>
      <c r="UPZ36" s="204"/>
      <c r="UQA36" s="204"/>
      <c r="UQB36" s="204"/>
      <c r="UQC36" s="204"/>
      <c r="UQD36" s="204"/>
      <c r="UQE36" s="204"/>
      <c r="UQF36" s="204"/>
      <c r="UQG36" s="204"/>
      <c r="UQH36" s="204"/>
      <c r="UQI36" s="204"/>
      <c r="UQJ36" s="204"/>
      <c r="UQK36" s="204"/>
      <c r="UQL36" s="204"/>
      <c r="UQM36" s="204"/>
      <c r="UQN36" s="204"/>
      <c r="UQO36" s="204"/>
      <c r="UQP36" s="204"/>
      <c r="UQQ36" s="204"/>
      <c r="UQR36" s="204"/>
      <c r="UQS36" s="204"/>
      <c r="UQT36" s="204"/>
      <c r="UQU36" s="204"/>
      <c r="UQV36" s="204"/>
      <c r="UQW36" s="204"/>
      <c r="UQX36" s="204"/>
      <c r="UQY36" s="204"/>
      <c r="UQZ36" s="204"/>
      <c r="URA36" s="204"/>
      <c r="URB36" s="204"/>
      <c r="URC36" s="204"/>
      <c r="URD36" s="204"/>
      <c r="URE36" s="204"/>
      <c r="URF36" s="204"/>
      <c r="URG36" s="204"/>
      <c r="URH36" s="204"/>
      <c r="URI36" s="204"/>
      <c r="URJ36" s="204"/>
      <c r="URK36" s="204"/>
      <c r="URL36" s="204"/>
      <c r="URM36" s="204"/>
      <c r="URN36" s="204"/>
      <c r="URO36" s="204"/>
      <c r="URP36" s="204"/>
      <c r="URQ36" s="204"/>
      <c r="URR36" s="204"/>
      <c r="URS36" s="204"/>
      <c r="URT36" s="204"/>
      <c r="URU36" s="204"/>
      <c r="URV36" s="204"/>
      <c r="URW36" s="204"/>
      <c r="URX36" s="204"/>
      <c r="URY36" s="204"/>
      <c r="URZ36" s="204"/>
      <c r="USA36" s="204"/>
      <c r="USB36" s="204"/>
      <c r="USC36" s="204"/>
      <c r="USD36" s="204"/>
      <c r="USE36" s="204"/>
      <c r="USF36" s="204"/>
      <c r="USG36" s="204"/>
      <c r="USH36" s="204"/>
      <c r="USI36" s="204"/>
      <c r="USJ36" s="204"/>
      <c r="USK36" s="204"/>
      <c r="USL36" s="204"/>
      <c r="USM36" s="204"/>
      <c r="USN36" s="204"/>
      <c r="USO36" s="204"/>
      <c r="USP36" s="204"/>
      <c r="USQ36" s="204"/>
      <c r="USR36" s="204"/>
      <c r="USS36" s="204"/>
      <c r="UST36" s="204"/>
      <c r="USU36" s="204"/>
      <c r="USV36" s="204"/>
      <c r="USW36" s="204"/>
      <c r="USX36" s="204"/>
      <c r="USY36" s="204"/>
      <c r="USZ36" s="204"/>
      <c r="UTA36" s="204"/>
      <c r="UTB36" s="204"/>
      <c r="UTC36" s="204"/>
      <c r="UTD36" s="204"/>
      <c r="UTE36" s="204"/>
      <c r="UTF36" s="204"/>
      <c r="UTG36" s="204"/>
      <c r="UTH36" s="204"/>
      <c r="UTI36" s="204"/>
      <c r="UTJ36" s="204"/>
      <c r="UTK36" s="204"/>
      <c r="UTL36" s="204"/>
      <c r="UTM36" s="204"/>
      <c r="UTN36" s="204"/>
      <c r="UTO36" s="204"/>
      <c r="UTP36" s="204"/>
      <c r="UTQ36" s="204"/>
      <c r="UTR36" s="204"/>
      <c r="UTS36" s="204"/>
      <c r="UTT36" s="204"/>
      <c r="UTU36" s="204"/>
      <c r="UTV36" s="204"/>
      <c r="UTW36" s="204"/>
      <c r="UTX36" s="204"/>
      <c r="UTY36" s="204"/>
      <c r="UTZ36" s="204"/>
      <c r="UUA36" s="204"/>
      <c r="UUB36" s="204"/>
      <c r="UUC36" s="204"/>
      <c r="UUD36" s="204"/>
      <c r="UUE36" s="204"/>
      <c r="UUF36" s="204"/>
      <c r="UUG36" s="204"/>
      <c r="UUH36" s="204"/>
      <c r="UUI36" s="204"/>
      <c r="UUJ36" s="204"/>
      <c r="UUK36" s="204"/>
      <c r="UUL36" s="204"/>
      <c r="UUM36" s="204"/>
      <c r="UUN36" s="204"/>
      <c r="UUO36" s="204"/>
      <c r="UUP36" s="204"/>
      <c r="UUQ36" s="204"/>
      <c r="UUR36" s="204"/>
      <c r="UUS36" s="204"/>
      <c r="UUT36" s="204"/>
      <c r="UUU36" s="204"/>
      <c r="UUV36" s="204"/>
      <c r="UUW36" s="204"/>
      <c r="UUX36" s="204"/>
      <c r="UUY36" s="204"/>
      <c r="UUZ36" s="204"/>
      <c r="UVA36" s="204"/>
      <c r="UVB36" s="204"/>
      <c r="UVC36" s="204"/>
      <c r="UVD36" s="204"/>
      <c r="UVE36" s="204"/>
      <c r="UVF36" s="204"/>
      <c r="UVG36" s="204"/>
      <c r="UVH36" s="204"/>
      <c r="UVI36" s="204"/>
      <c r="UVJ36" s="204"/>
      <c r="UVK36" s="204"/>
      <c r="UVL36" s="204"/>
      <c r="UVM36" s="204"/>
      <c r="UVN36" s="204"/>
      <c r="UVO36" s="204"/>
      <c r="UVP36" s="204"/>
      <c r="UVQ36" s="204"/>
      <c r="UVR36" s="204"/>
      <c r="UVS36" s="204"/>
      <c r="UVT36" s="204"/>
      <c r="UVU36" s="204"/>
      <c r="UVV36" s="204"/>
      <c r="UVW36" s="204"/>
      <c r="UVX36" s="204"/>
      <c r="UVY36" s="204"/>
      <c r="UVZ36" s="204"/>
      <c r="UWA36" s="204"/>
      <c r="UWB36" s="204"/>
      <c r="UWC36" s="204"/>
      <c r="UWD36" s="204"/>
      <c r="UWE36" s="204"/>
      <c r="UWF36" s="204"/>
      <c r="UWG36" s="204"/>
      <c r="UWH36" s="204"/>
      <c r="UWI36" s="204"/>
      <c r="UWJ36" s="204"/>
      <c r="UWK36" s="204"/>
      <c r="UWL36" s="204"/>
      <c r="UWM36" s="204"/>
      <c r="UWN36" s="204"/>
      <c r="UWO36" s="204"/>
      <c r="UWP36" s="204"/>
      <c r="UWQ36" s="204"/>
      <c r="UWR36" s="204"/>
      <c r="UWS36" s="204"/>
      <c r="UWT36" s="204"/>
      <c r="UWU36" s="204"/>
      <c r="UWV36" s="204"/>
      <c r="UWW36" s="204"/>
      <c r="UWX36" s="204"/>
      <c r="UWY36" s="204"/>
      <c r="UWZ36" s="204"/>
      <c r="UXA36" s="204"/>
      <c r="UXB36" s="204"/>
      <c r="UXC36" s="204"/>
      <c r="UXD36" s="204"/>
      <c r="UXE36" s="204"/>
      <c r="UXF36" s="204"/>
      <c r="UXG36" s="204"/>
      <c r="UXH36" s="204"/>
      <c r="UXI36" s="204"/>
      <c r="UXJ36" s="204"/>
      <c r="UXK36" s="204"/>
      <c r="UXL36" s="204"/>
      <c r="UXM36" s="204"/>
      <c r="UXN36" s="204"/>
      <c r="UXO36" s="204"/>
      <c r="UXP36" s="204"/>
      <c r="UXQ36" s="204"/>
      <c r="UXR36" s="204"/>
      <c r="UXS36" s="204"/>
      <c r="UXT36" s="204"/>
      <c r="UXU36" s="204"/>
      <c r="UXV36" s="204"/>
      <c r="UXW36" s="204"/>
      <c r="UXX36" s="204"/>
      <c r="UXY36" s="204"/>
      <c r="UXZ36" s="204"/>
      <c r="UYA36" s="204"/>
      <c r="UYB36" s="204"/>
      <c r="UYC36" s="204"/>
      <c r="UYD36" s="204"/>
      <c r="UYE36" s="204"/>
      <c r="UYF36" s="204"/>
      <c r="UYG36" s="204"/>
      <c r="UYH36" s="204"/>
      <c r="UYI36" s="204"/>
      <c r="UYJ36" s="204"/>
      <c r="UYK36" s="204"/>
      <c r="UYL36" s="204"/>
      <c r="UYM36" s="204"/>
      <c r="UYN36" s="204"/>
      <c r="UYO36" s="204"/>
      <c r="UYP36" s="204"/>
      <c r="UYQ36" s="204"/>
      <c r="UYR36" s="204"/>
      <c r="UYS36" s="204"/>
      <c r="UYT36" s="204"/>
      <c r="UYU36" s="204"/>
      <c r="UYV36" s="204"/>
      <c r="UYW36" s="204"/>
      <c r="UYX36" s="204"/>
      <c r="UYY36" s="204"/>
      <c r="UYZ36" s="204"/>
      <c r="UZA36" s="204"/>
      <c r="UZB36" s="204"/>
      <c r="UZC36" s="204"/>
      <c r="UZD36" s="204"/>
      <c r="UZE36" s="204"/>
      <c r="UZF36" s="204"/>
      <c r="UZG36" s="204"/>
      <c r="UZH36" s="204"/>
      <c r="UZI36" s="204"/>
      <c r="UZJ36" s="204"/>
      <c r="UZK36" s="204"/>
      <c r="UZL36" s="204"/>
      <c r="UZM36" s="204"/>
      <c r="UZN36" s="204"/>
      <c r="UZO36" s="204"/>
      <c r="UZP36" s="204"/>
      <c r="UZQ36" s="204"/>
      <c r="UZR36" s="204"/>
      <c r="UZS36" s="204"/>
      <c r="UZT36" s="204"/>
      <c r="UZU36" s="204"/>
      <c r="UZV36" s="204"/>
      <c r="UZW36" s="204"/>
      <c r="UZX36" s="204"/>
      <c r="UZY36" s="204"/>
      <c r="UZZ36" s="204"/>
      <c r="VAA36" s="204"/>
      <c r="VAB36" s="204"/>
      <c r="VAC36" s="204"/>
      <c r="VAD36" s="204"/>
      <c r="VAE36" s="204"/>
      <c r="VAF36" s="204"/>
      <c r="VAG36" s="204"/>
      <c r="VAH36" s="204"/>
      <c r="VAI36" s="204"/>
      <c r="VAJ36" s="204"/>
      <c r="VAK36" s="204"/>
      <c r="VAL36" s="204"/>
      <c r="VAM36" s="204"/>
      <c r="VAN36" s="204"/>
      <c r="VAO36" s="204"/>
      <c r="VAP36" s="204"/>
      <c r="VAQ36" s="204"/>
      <c r="VAR36" s="204"/>
      <c r="VAS36" s="204"/>
      <c r="VAT36" s="204"/>
      <c r="VAU36" s="204"/>
      <c r="VAV36" s="204"/>
      <c r="VAW36" s="204"/>
      <c r="VAX36" s="204"/>
      <c r="VAY36" s="204"/>
      <c r="VAZ36" s="204"/>
      <c r="VBA36" s="204"/>
      <c r="VBB36" s="204"/>
      <c r="VBC36" s="204"/>
      <c r="VBD36" s="204"/>
      <c r="VBE36" s="204"/>
      <c r="VBF36" s="204"/>
      <c r="VBG36" s="204"/>
      <c r="VBH36" s="204"/>
      <c r="VBI36" s="204"/>
      <c r="VBJ36" s="204"/>
      <c r="VBK36" s="204"/>
      <c r="VBL36" s="204"/>
      <c r="VBM36" s="204"/>
      <c r="VBN36" s="204"/>
      <c r="VBO36" s="204"/>
      <c r="VBP36" s="204"/>
      <c r="VBQ36" s="204"/>
      <c r="VBR36" s="204"/>
      <c r="VBS36" s="204"/>
      <c r="VBT36" s="204"/>
      <c r="VBU36" s="204"/>
      <c r="VBV36" s="204"/>
      <c r="VBW36" s="204"/>
      <c r="VBX36" s="204"/>
      <c r="VBY36" s="204"/>
      <c r="VBZ36" s="204"/>
      <c r="VCA36" s="204"/>
      <c r="VCB36" s="204"/>
      <c r="VCC36" s="204"/>
      <c r="VCD36" s="204"/>
      <c r="VCE36" s="204"/>
      <c r="VCF36" s="204"/>
      <c r="VCG36" s="204"/>
      <c r="VCH36" s="204"/>
      <c r="VCI36" s="204"/>
      <c r="VCJ36" s="204"/>
      <c r="VCK36" s="204"/>
      <c r="VCL36" s="204"/>
      <c r="VCM36" s="204"/>
      <c r="VCN36" s="204"/>
      <c r="VCO36" s="204"/>
      <c r="VCP36" s="204"/>
      <c r="VCQ36" s="204"/>
      <c r="VCR36" s="204"/>
      <c r="VCS36" s="204"/>
      <c r="VCT36" s="204"/>
      <c r="VCU36" s="204"/>
      <c r="VCV36" s="204"/>
      <c r="VCW36" s="204"/>
      <c r="VCX36" s="204"/>
      <c r="VCY36" s="204"/>
      <c r="VCZ36" s="204"/>
      <c r="VDA36" s="204"/>
      <c r="VDB36" s="204"/>
      <c r="VDC36" s="204"/>
      <c r="VDD36" s="204"/>
      <c r="VDE36" s="204"/>
      <c r="VDF36" s="204"/>
      <c r="VDG36" s="204"/>
      <c r="VDH36" s="204"/>
      <c r="VDI36" s="204"/>
      <c r="VDJ36" s="204"/>
      <c r="VDK36" s="204"/>
      <c r="VDL36" s="204"/>
      <c r="VDM36" s="204"/>
      <c r="VDN36" s="204"/>
      <c r="VDO36" s="204"/>
      <c r="VDP36" s="204"/>
      <c r="VDQ36" s="204"/>
      <c r="VDR36" s="204"/>
      <c r="VDS36" s="204"/>
      <c r="VDT36" s="204"/>
      <c r="VDU36" s="204"/>
      <c r="VDV36" s="204"/>
      <c r="VDW36" s="204"/>
      <c r="VDX36" s="204"/>
      <c r="VDY36" s="204"/>
      <c r="VDZ36" s="204"/>
      <c r="VEA36" s="204"/>
      <c r="VEB36" s="204"/>
      <c r="VEC36" s="204"/>
      <c r="VED36" s="204"/>
      <c r="VEE36" s="204"/>
      <c r="VEF36" s="204"/>
      <c r="VEG36" s="204"/>
      <c r="VEH36" s="204"/>
      <c r="VEI36" s="204"/>
      <c r="VEJ36" s="204"/>
      <c r="VEK36" s="204"/>
      <c r="VEL36" s="204"/>
      <c r="VEM36" s="204"/>
      <c r="VEN36" s="204"/>
      <c r="VEO36" s="204"/>
      <c r="VEP36" s="204"/>
      <c r="VEQ36" s="204"/>
      <c r="VER36" s="204"/>
      <c r="VES36" s="204"/>
      <c r="VET36" s="204"/>
      <c r="VEU36" s="204"/>
      <c r="VEV36" s="204"/>
      <c r="VEW36" s="204"/>
      <c r="VEX36" s="204"/>
      <c r="VEY36" s="204"/>
      <c r="VEZ36" s="204"/>
      <c r="VFA36" s="204"/>
      <c r="VFB36" s="204"/>
      <c r="VFC36" s="204"/>
      <c r="VFD36" s="204"/>
      <c r="VFE36" s="204"/>
      <c r="VFF36" s="204"/>
      <c r="VFG36" s="204"/>
      <c r="VFH36" s="204"/>
      <c r="VFI36" s="204"/>
      <c r="VFJ36" s="204"/>
      <c r="VFK36" s="204"/>
      <c r="VFL36" s="204"/>
      <c r="VFM36" s="204"/>
      <c r="VFN36" s="204"/>
      <c r="VFO36" s="204"/>
      <c r="VFP36" s="204"/>
      <c r="VFQ36" s="204"/>
      <c r="VFR36" s="204"/>
      <c r="VFS36" s="204"/>
      <c r="VFT36" s="204"/>
      <c r="VFU36" s="204"/>
      <c r="VFV36" s="204"/>
      <c r="VFW36" s="204"/>
      <c r="VFX36" s="204"/>
      <c r="VFY36" s="204"/>
      <c r="VFZ36" s="204"/>
      <c r="VGA36" s="204"/>
      <c r="VGB36" s="204"/>
      <c r="VGC36" s="204"/>
      <c r="VGD36" s="204"/>
      <c r="VGE36" s="204"/>
      <c r="VGF36" s="204"/>
      <c r="VGG36" s="204"/>
      <c r="VGH36" s="204"/>
      <c r="VGI36" s="204"/>
      <c r="VGJ36" s="204"/>
      <c r="VGK36" s="204"/>
      <c r="VGL36" s="204"/>
      <c r="VGM36" s="204"/>
      <c r="VGN36" s="204"/>
      <c r="VGO36" s="204"/>
      <c r="VGP36" s="204"/>
      <c r="VGQ36" s="204"/>
      <c r="VGR36" s="204"/>
      <c r="VGS36" s="204"/>
      <c r="VGT36" s="204"/>
      <c r="VGU36" s="204"/>
      <c r="VGV36" s="204"/>
      <c r="VGW36" s="204"/>
      <c r="VGX36" s="204"/>
      <c r="VGY36" s="204"/>
      <c r="VGZ36" s="204"/>
      <c r="VHA36" s="204"/>
      <c r="VHB36" s="204"/>
      <c r="VHC36" s="204"/>
      <c r="VHD36" s="204"/>
      <c r="VHE36" s="204"/>
      <c r="VHF36" s="204"/>
      <c r="VHG36" s="204"/>
      <c r="VHH36" s="204"/>
      <c r="VHI36" s="204"/>
      <c r="VHJ36" s="204"/>
      <c r="VHK36" s="204"/>
      <c r="VHL36" s="204"/>
      <c r="VHM36" s="204"/>
      <c r="VHN36" s="204"/>
      <c r="VHO36" s="204"/>
      <c r="VHP36" s="204"/>
      <c r="VHQ36" s="204"/>
      <c r="VHR36" s="204"/>
      <c r="VHS36" s="204"/>
      <c r="VHT36" s="204"/>
      <c r="VHU36" s="204"/>
      <c r="VHV36" s="204"/>
      <c r="VHW36" s="204"/>
      <c r="VHX36" s="204"/>
      <c r="VHY36" s="204"/>
      <c r="VHZ36" s="204"/>
      <c r="VIA36" s="204"/>
      <c r="VIB36" s="204"/>
      <c r="VIC36" s="204"/>
      <c r="VID36" s="204"/>
      <c r="VIE36" s="204"/>
      <c r="VIF36" s="204"/>
      <c r="VIG36" s="204"/>
      <c r="VIH36" s="204"/>
      <c r="VII36" s="204"/>
      <c r="VIJ36" s="204"/>
      <c r="VIK36" s="204"/>
      <c r="VIL36" s="204"/>
      <c r="VIM36" s="204"/>
      <c r="VIN36" s="204"/>
      <c r="VIO36" s="204"/>
      <c r="VIP36" s="204"/>
      <c r="VIQ36" s="204"/>
      <c r="VIR36" s="204"/>
      <c r="VIS36" s="204"/>
      <c r="VIT36" s="204"/>
      <c r="VIU36" s="204"/>
      <c r="VIV36" s="204"/>
      <c r="VIW36" s="204"/>
      <c r="VIX36" s="204"/>
      <c r="VIY36" s="204"/>
      <c r="VIZ36" s="204"/>
      <c r="VJA36" s="204"/>
      <c r="VJB36" s="204"/>
      <c r="VJC36" s="204"/>
      <c r="VJD36" s="204"/>
      <c r="VJE36" s="204"/>
      <c r="VJF36" s="204"/>
      <c r="VJG36" s="204"/>
      <c r="VJH36" s="204"/>
      <c r="VJI36" s="204"/>
      <c r="VJJ36" s="204"/>
      <c r="VJK36" s="204"/>
      <c r="VJL36" s="204"/>
      <c r="VJM36" s="204"/>
      <c r="VJN36" s="204"/>
      <c r="VJO36" s="204"/>
      <c r="VJP36" s="204"/>
      <c r="VJQ36" s="204"/>
      <c r="VJR36" s="204"/>
      <c r="VJS36" s="204"/>
      <c r="VJT36" s="204"/>
      <c r="VJU36" s="204"/>
      <c r="VJV36" s="204"/>
      <c r="VJW36" s="204"/>
      <c r="VJX36" s="204"/>
      <c r="VJY36" s="204"/>
      <c r="VJZ36" s="204"/>
      <c r="VKA36" s="204"/>
      <c r="VKB36" s="204"/>
      <c r="VKC36" s="204"/>
      <c r="VKD36" s="204"/>
      <c r="VKE36" s="204"/>
      <c r="VKF36" s="204"/>
      <c r="VKG36" s="204"/>
      <c r="VKH36" s="204"/>
      <c r="VKI36" s="204"/>
      <c r="VKJ36" s="204"/>
      <c r="VKK36" s="204"/>
      <c r="VKL36" s="204"/>
      <c r="VKM36" s="204"/>
      <c r="VKN36" s="204"/>
      <c r="VKO36" s="204"/>
      <c r="VKP36" s="204"/>
      <c r="VKQ36" s="204"/>
      <c r="VKR36" s="204"/>
      <c r="VKS36" s="204"/>
      <c r="VKT36" s="204"/>
      <c r="VKU36" s="204"/>
      <c r="VKV36" s="204"/>
      <c r="VKW36" s="204"/>
      <c r="VKX36" s="204"/>
      <c r="VKY36" s="204"/>
      <c r="VKZ36" s="204"/>
      <c r="VLA36" s="204"/>
      <c r="VLB36" s="204"/>
      <c r="VLC36" s="204"/>
      <c r="VLD36" s="204"/>
      <c r="VLE36" s="204"/>
      <c r="VLF36" s="204"/>
      <c r="VLG36" s="204"/>
      <c r="VLH36" s="204"/>
      <c r="VLI36" s="204"/>
      <c r="VLJ36" s="204"/>
      <c r="VLK36" s="204"/>
      <c r="VLL36" s="204"/>
      <c r="VLM36" s="204"/>
      <c r="VLN36" s="204"/>
      <c r="VLO36" s="204"/>
      <c r="VLP36" s="204"/>
      <c r="VLQ36" s="204"/>
      <c r="VLR36" s="204"/>
      <c r="VLS36" s="204"/>
      <c r="VLT36" s="204"/>
      <c r="VLU36" s="204"/>
      <c r="VLV36" s="204"/>
      <c r="VLW36" s="204"/>
      <c r="VLX36" s="204"/>
      <c r="VLY36" s="204"/>
      <c r="VLZ36" s="204"/>
      <c r="VMA36" s="204"/>
      <c r="VMB36" s="204"/>
      <c r="VMC36" s="204"/>
      <c r="VMD36" s="204"/>
      <c r="VME36" s="204"/>
      <c r="VMF36" s="204"/>
      <c r="VMG36" s="204"/>
      <c r="VMH36" s="204"/>
      <c r="VMI36" s="204"/>
      <c r="VMJ36" s="204"/>
      <c r="VMK36" s="204"/>
      <c r="VML36" s="204"/>
      <c r="VMM36" s="204"/>
      <c r="VMN36" s="204"/>
      <c r="VMO36" s="204"/>
      <c r="VMP36" s="204"/>
      <c r="VMQ36" s="204"/>
      <c r="VMR36" s="204"/>
      <c r="VMS36" s="204"/>
      <c r="VMT36" s="204"/>
      <c r="VMU36" s="204"/>
      <c r="VMV36" s="204"/>
      <c r="VMW36" s="204"/>
      <c r="VMX36" s="204"/>
      <c r="VMY36" s="204"/>
      <c r="VMZ36" s="204"/>
      <c r="VNA36" s="204"/>
      <c r="VNB36" s="204"/>
      <c r="VNC36" s="204"/>
      <c r="VND36" s="204"/>
      <c r="VNE36" s="204"/>
      <c r="VNF36" s="204"/>
      <c r="VNG36" s="204"/>
      <c r="VNH36" s="204"/>
      <c r="VNI36" s="204"/>
      <c r="VNJ36" s="204"/>
      <c r="VNK36" s="204"/>
      <c r="VNL36" s="204"/>
      <c r="VNM36" s="204"/>
      <c r="VNN36" s="204"/>
      <c r="VNO36" s="204"/>
      <c r="VNP36" s="204"/>
      <c r="VNQ36" s="204"/>
      <c r="VNR36" s="204"/>
      <c r="VNS36" s="204"/>
      <c r="VNT36" s="204"/>
      <c r="VNU36" s="204"/>
      <c r="VNV36" s="204"/>
      <c r="VNW36" s="204"/>
      <c r="VNX36" s="204"/>
      <c r="VNY36" s="204"/>
      <c r="VNZ36" s="204"/>
      <c r="VOA36" s="204"/>
      <c r="VOB36" s="204"/>
      <c r="VOC36" s="204"/>
      <c r="VOD36" s="204"/>
      <c r="VOE36" s="204"/>
      <c r="VOF36" s="204"/>
      <c r="VOG36" s="204"/>
      <c r="VOH36" s="204"/>
      <c r="VOI36" s="204"/>
      <c r="VOJ36" s="204"/>
      <c r="VOK36" s="204"/>
      <c r="VOL36" s="204"/>
      <c r="VOM36" s="204"/>
      <c r="VON36" s="204"/>
      <c r="VOO36" s="204"/>
      <c r="VOP36" s="204"/>
      <c r="VOQ36" s="204"/>
      <c r="VOR36" s="204"/>
      <c r="VOS36" s="204"/>
      <c r="VOT36" s="204"/>
      <c r="VOU36" s="204"/>
      <c r="VOV36" s="204"/>
      <c r="VOW36" s="204"/>
      <c r="VOX36" s="204"/>
      <c r="VOY36" s="204"/>
      <c r="VOZ36" s="204"/>
      <c r="VPA36" s="204"/>
      <c r="VPB36" s="204"/>
      <c r="VPC36" s="204"/>
      <c r="VPD36" s="204"/>
      <c r="VPE36" s="204"/>
      <c r="VPF36" s="204"/>
      <c r="VPG36" s="204"/>
      <c r="VPH36" s="204"/>
      <c r="VPI36" s="204"/>
      <c r="VPJ36" s="204"/>
      <c r="VPK36" s="204"/>
      <c r="VPL36" s="204"/>
      <c r="VPM36" s="204"/>
      <c r="VPN36" s="204"/>
      <c r="VPO36" s="204"/>
      <c r="VPP36" s="204"/>
      <c r="VPQ36" s="204"/>
      <c r="VPR36" s="204"/>
      <c r="VPS36" s="204"/>
      <c r="VPT36" s="204"/>
      <c r="VPU36" s="204"/>
      <c r="VPV36" s="204"/>
      <c r="VPW36" s="204"/>
      <c r="VPX36" s="204"/>
      <c r="VPY36" s="204"/>
      <c r="VPZ36" s="204"/>
      <c r="VQA36" s="204"/>
      <c r="VQB36" s="204"/>
      <c r="VQC36" s="204"/>
      <c r="VQD36" s="204"/>
      <c r="VQE36" s="204"/>
      <c r="VQF36" s="204"/>
      <c r="VQG36" s="204"/>
      <c r="VQH36" s="204"/>
      <c r="VQI36" s="204"/>
      <c r="VQJ36" s="204"/>
      <c r="VQK36" s="204"/>
      <c r="VQL36" s="204"/>
      <c r="VQM36" s="204"/>
      <c r="VQN36" s="204"/>
      <c r="VQO36" s="204"/>
      <c r="VQP36" s="204"/>
      <c r="VQQ36" s="204"/>
      <c r="VQR36" s="204"/>
      <c r="VQS36" s="204"/>
      <c r="VQT36" s="204"/>
      <c r="VQU36" s="204"/>
      <c r="VQV36" s="204"/>
      <c r="VQW36" s="204"/>
      <c r="VQX36" s="204"/>
      <c r="VQY36" s="204"/>
      <c r="VQZ36" s="204"/>
      <c r="VRA36" s="204"/>
      <c r="VRB36" s="204"/>
      <c r="VRC36" s="204"/>
      <c r="VRD36" s="204"/>
      <c r="VRE36" s="204"/>
      <c r="VRF36" s="204"/>
      <c r="VRG36" s="204"/>
      <c r="VRH36" s="204"/>
      <c r="VRI36" s="204"/>
      <c r="VRJ36" s="204"/>
      <c r="VRK36" s="204"/>
      <c r="VRL36" s="204"/>
      <c r="VRM36" s="204"/>
      <c r="VRN36" s="204"/>
      <c r="VRO36" s="204"/>
      <c r="VRP36" s="204"/>
      <c r="VRQ36" s="204"/>
      <c r="VRR36" s="204"/>
      <c r="VRS36" s="204"/>
      <c r="VRT36" s="204"/>
      <c r="VRU36" s="204"/>
      <c r="VRV36" s="204"/>
      <c r="VRW36" s="204"/>
      <c r="VRX36" s="204"/>
      <c r="VRY36" s="204"/>
      <c r="VRZ36" s="204"/>
      <c r="VSA36" s="204"/>
      <c r="VSB36" s="204"/>
      <c r="VSC36" s="204"/>
      <c r="VSD36" s="204"/>
      <c r="VSE36" s="204"/>
      <c r="VSF36" s="204"/>
      <c r="VSG36" s="204"/>
      <c r="VSH36" s="204"/>
      <c r="VSI36" s="204"/>
      <c r="VSJ36" s="204"/>
      <c r="VSK36" s="204"/>
      <c r="VSL36" s="204"/>
      <c r="VSM36" s="204"/>
      <c r="VSN36" s="204"/>
      <c r="VSO36" s="204"/>
      <c r="VSP36" s="204"/>
      <c r="VSQ36" s="204"/>
      <c r="VSR36" s="204"/>
      <c r="VSS36" s="204"/>
      <c r="VST36" s="204"/>
      <c r="VSU36" s="204"/>
      <c r="VSV36" s="204"/>
      <c r="VSW36" s="204"/>
      <c r="VSX36" s="204"/>
      <c r="VSY36" s="204"/>
      <c r="VSZ36" s="204"/>
      <c r="VTA36" s="204"/>
      <c r="VTB36" s="204"/>
      <c r="VTC36" s="204"/>
      <c r="VTD36" s="204"/>
      <c r="VTE36" s="204"/>
      <c r="VTF36" s="204"/>
      <c r="VTG36" s="204"/>
      <c r="VTH36" s="204"/>
      <c r="VTI36" s="204"/>
      <c r="VTJ36" s="204"/>
      <c r="VTK36" s="204"/>
      <c r="VTL36" s="204"/>
      <c r="VTM36" s="204"/>
      <c r="VTN36" s="204"/>
      <c r="VTO36" s="204"/>
      <c r="VTP36" s="204"/>
      <c r="VTQ36" s="204"/>
      <c r="VTR36" s="204"/>
      <c r="VTS36" s="204"/>
      <c r="VTT36" s="204"/>
      <c r="VTU36" s="204"/>
      <c r="VTV36" s="204"/>
      <c r="VTW36" s="204"/>
      <c r="VTX36" s="204"/>
      <c r="VTY36" s="204"/>
      <c r="VTZ36" s="204"/>
      <c r="VUA36" s="204"/>
      <c r="VUB36" s="204"/>
      <c r="VUC36" s="204"/>
      <c r="VUD36" s="204"/>
      <c r="VUE36" s="204"/>
      <c r="VUF36" s="204"/>
      <c r="VUG36" s="204"/>
      <c r="VUH36" s="204"/>
      <c r="VUI36" s="204"/>
      <c r="VUJ36" s="204"/>
      <c r="VUK36" s="204"/>
      <c r="VUL36" s="204"/>
      <c r="VUM36" s="204"/>
      <c r="VUN36" s="204"/>
      <c r="VUO36" s="204"/>
      <c r="VUP36" s="204"/>
      <c r="VUQ36" s="204"/>
      <c r="VUR36" s="204"/>
      <c r="VUS36" s="204"/>
      <c r="VUT36" s="204"/>
      <c r="VUU36" s="204"/>
      <c r="VUV36" s="204"/>
      <c r="VUW36" s="204"/>
      <c r="VUX36" s="204"/>
      <c r="VUY36" s="204"/>
      <c r="VUZ36" s="204"/>
      <c r="VVA36" s="204"/>
      <c r="VVB36" s="204"/>
      <c r="VVC36" s="204"/>
      <c r="VVD36" s="204"/>
      <c r="VVE36" s="204"/>
      <c r="VVF36" s="204"/>
      <c r="VVG36" s="204"/>
      <c r="VVH36" s="204"/>
      <c r="VVI36" s="204"/>
      <c r="VVJ36" s="204"/>
      <c r="VVK36" s="204"/>
      <c r="VVL36" s="204"/>
      <c r="VVM36" s="204"/>
      <c r="VVN36" s="204"/>
      <c r="VVO36" s="204"/>
      <c r="VVP36" s="204"/>
      <c r="VVQ36" s="204"/>
      <c r="VVR36" s="204"/>
      <c r="VVS36" s="204"/>
      <c r="VVT36" s="204"/>
      <c r="VVU36" s="204"/>
      <c r="VVV36" s="204"/>
      <c r="VVW36" s="204"/>
      <c r="VVX36" s="204"/>
      <c r="VVY36" s="204"/>
      <c r="VVZ36" s="204"/>
      <c r="VWA36" s="204"/>
      <c r="VWB36" s="204"/>
      <c r="VWC36" s="204"/>
      <c r="VWD36" s="204"/>
      <c r="VWE36" s="204"/>
      <c r="VWF36" s="204"/>
      <c r="VWG36" s="204"/>
      <c r="VWH36" s="204"/>
      <c r="VWI36" s="204"/>
      <c r="VWJ36" s="204"/>
      <c r="VWK36" s="204"/>
      <c r="VWL36" s="204"/>
      <c r="VWM36" s="204"/>
      <c r="VWN36" s="204"/>
      <c r="VWO36" s="204"/>
      <c r="VWP36" s="204"/>
      <c r="VWQ36" s="204"/>
      <c r="VWR36" s="204"/>
      <c r="VWS36" s="204"/>
      <c r="VWT36" s="204"/>
      <c r="VWU36" s="204"/>
      <c r="VWV36" s="204"/>
      <c r="VWW36" s="204"/>
      <c r="VWX36" s="204"/>
      <c r="VWY36" s="204"/>
      <c r="VWZ36" s="204"/>
      <c r="VXA36" s="204"/>
      <c r="VXB36" s="204"/>
      <c r="VXC36" s="204"/>
      <c r="VXD36" s="204"/>
      <c r="VXE36" s="204"/>
      <c r="VXF36" s="204"/>
      <c r="VXG36" s="204"/>
      <c r="VXH36" s="204"/>
      <c r="VXI36" s="204"/>
      <c r="VXJ36" s="204"/>
      <c r="VXK36" s="204"/>
      <c r="VXL36" s="204"/>
      <c r="VXM36" s="204"/>
      <c r="VXN36" s="204"/>
      <c r="VXO36" s="204"/>
      <c r="VXP36" s="204"/>
      <c r="VXQ36" s="204"/>
      <c r="VXR36" s="204"/>
      <c r="VXS36" s="204"/>
      <c r="VXT36" s="204"/>
      <c r="VXU36" s="204"/>
      <c r="VXV36" s="204"/>
      <c r="VXW36" s="204"/>
      <c r="VXX36" s="204"/>
      <c r="VXY36" s="204"/>
      <c r="VXZ36" s="204"/>
      <c r="VYA36" s="204"/>
      <c r="VYB36" s="204"/>
      <c r="VYC36" s="204"/>
      <c r="VYD36" s="204"/>
      <c r="VYE36" s="204"/>
      <c r="VYF36" s="204"/>
      <c r="VYG36" s="204"/>
      <c r="VYH36" s="204"/>
      <c r="VYI36" s="204"/>
      <c r="VYJ36" s="204"/>
      <c r="VYK36" s="204"/>
      <c r="VYL36" s="204"/>
      <c r="VYM36" s="204"/>
      <c r="VYN36" s="204"/>
      <c r="VYO36" s="204"/>
      <c r="VYP36" s="204"/>
      <c r="VYQ36" s="204"/>
      <c r="VYR36" s="204"/>
      <c r="VYS36" s="204"/>
      <c r="VYT36" s="204"/>
      <c r="VYU36" s="204"/>
      <c r="VYV36" s="204"/>
      <c r="VYW36" s="204"/>
      <c r="VYX36" s="204"/>
      <c r="VYY36" s="204"/>
      <c r="VYZ36" s="204"/>
      <c r="VZA36" s="204"/>
      <c r="VZB36" s="204"/>
      <c r="VZC36" s="204"/>
      <c r="VZD36" s="204"/>
      <c r="VZE36" s="204"/>
      <c r="VZF36" s="204"/>
      <c r="VZG36" s="204"/>
      <c r="VZH36" s="204"/>
      <c r="VZI36" s="204"/>
      <c r="VZJ36" s="204"/>
      <c r="VZK36" s="204"/>
      <c r="VZL36" s="204"/>
      <c r="VZM36" s="204"/>
      <c r="VZN36" s="204"/>
      <c r="VZO36" s="204"/>
      <c r="VZP36" s="204"/>
      <c r="VZQ36" s="204"/>
      <c r="VZR36" s="204"/>
      <c r="VZS36" s="204"/>
      <c r="VZT36" s="204"/>
      <c r="VZU36" s="204"/>
      <c r="VZV36" s="204"/>
      <c r="VZW36" s="204"/>
      <c r="VZX36" s="204"/>
      <c r="VZY36" s="204"/>
      <c r="VZZ36" s="204"/>
      <c r="WAA36" s="204"/>
      <c r="WAB36" s="204"/>
      <c r="WAC36" s="204"/>
      <c r="WAD36" s="204"/>
      <c r="WAE36" s="204"/>
      <c r="WAF36" s="204"/>
      <c r="WAG36" s="204"/>
      <c r="WAH36" s="204"/>
      <c r="WAI36" s="204"/>
      <c r="WAJ36" s="204"/>
      <c r="WAK36" s="204"/>
      <c r="WAL36" s="204"/>
      <c r="WAM36" s="204"/>
      <c r="WAN36" s="204"/>
      <c r="WAO36" s="204"/>
      <c r="WAP36" s="204"/>
      <c r="WAQ36" s="204"/>
      <c r="WAR36" s="204"/>
      <c r="WAS36" s="204"/>
      <c r="WAT36" s="204"/>
      <c r="WAU36" s="204"/>
      <c r="WAV36" s="204"/>
      <c r="WAW36" s="204"/>
      <c r="WAX36" s="204"/>
      <c r="WAY36" s="204"/>
      <c r="WAZ36" s="204"/>
      <c r="WBA36" s="204"/>
      <c r="WBB36" s="204"/>
      <c r="WBC36" s="204"/>
      <c r="WBD36" s="204"/>
      <c r="WBE36" s="204"/>
      <c r="WBF36" s="204"/>
      <c r="WBG36" s="204"/>
      <c r="WBH36" s="204"/>
      <c r="WBI36" s="204"/>
      <c r="WBJ36" s="204"/>
      <c r="WBK36" s="204"/>
      <c r="WBL36" s="204"/>
      <c r="WBM36" s="204"/>
      <c r="WBN36" s="204"/>
      <c r="WBO36" s="204"/>
      <c r="WBP36" s="204"/>
      <c r="WBQ36" s="204"/>
      <c r="WBR36" s="204"/>
      <c r="WBS36" s="204"/>
      <c r="WBT36" s="204"/>
      <c r="WBU36" s="204"/>
      <c r="WBV36" s="204"/>
      <c r="WBW36" s="204"/>
      <c r="WBX36" s="204"/>
      <c r="WBY36" s="204"/>
      <c r="WBZ36" s="204"/>
      <c r="WCA36" s="204"/>
      <c r="WCB36" s="204"/>
      <c r="WCC36" s="204"/>
      <c r="WCD36" s="204"/>
      <c r="WCE36" s="204"/>
      <c r="WCF36" s="204"/>
      <c r="WCG36" s="204"/>
      <c r="WCH36" s="204"/>
      <c r="WCI36" s="204"/>
      <c r="WCJ36" s="204"/>
      <c r="WCK36" s="204"/>
      <c r="WCL36" s="204"/>
      <c r="WCM36" s="204"/>
      <c r="WCN36" s="204"/>
      <c r="WCO36" s="204"/>
      <c r="WCP36" s="204"/>
      <c r="WCQ36" s="204"/>
      <c r="WCR36" s="204"/>
      <c r="WCS36" s="204"/>
      <c r="WCT36" s="204"/>
      <c r="WCU36" s="204"/>
      <c r="WCV36" s="204"/>
      <c r="WCW36" s="204"/>
      <c r="WCX36" s="204"/>
      <c r="WCY36" s="204"/>
      <c r="WCZ36" s="204"/>
      <c r="WDA36" s="204"/>
      <c r="WDB36" s="204"/>
      <c r="WDC36" s="204"/>
      <c r="WDD36" s="204"/>
      <c r="WDE36" s="204"/>
      <c r="WDF36" s="204"/>
      <c r="WDG36" s="204"/>
      <c r="WDH36" s="204"/>
      <c r="WDI36" s="204"/>
      <c r="WDJ36" s="204"/>
      <c r="WDK36" s="204"/>
      <c r="WDL36" s="204"/>
      <c r="WDM36" s="204"/>
      <c r="WDN36" s="204"/>
      <c r="WDO36" s="204"/>
      <c r="WDP36" s="204"/>
      <c r="WDQ36" s="204"/>
      <c r="WDR36" s="204"/>
      <c r="WDS36" s="204"/>
      <c r="WDT36" s="204"/>
      <c r="WDU36" s="204"/>
      <c r="WDV36" s="204"/>
      <c r="WDW36" s="204"/>
      <c r="WDX36" s="204"/>
      <c r="WDY36" s="204"/>
      <c r="WDZ36" s="204"/>
      <c r="WEA36" s="204"/>
      <c r="WEB36" s="204"/>
      <c r="WEC36" s="204"/>
      <c r="WED36" s="204"/>
      <c r="WEE36" s="204"/>
      <c r="WEF36" s="204"/>
      <c r="WEG36" s="204"/>
      <c r="WEH36" s="204"/>
      <c r="WEI36" s="204"/>
      <c r="WEJ36" s="204"/>
      <c r="WEK36" s="204"/>
      <c r="WEL36" s="204"/>
      <c r="WEM36" s="204"/>
      <c r="WEN36" s="204"/>
      <c r="WEO36" s="204"/>
      <c r="WEP36" s="204"/>
      <c r="WEQ36" s="204"/>
      <c r="WER36" s="204"/>
      <c r="WES36" s="204"/>
      <c r="WET36" s="204"/>
      <c r="WEU36" s="204"/>
      <c r="WEV36" s="204"/>
      <c r="WEW36" s="204"/>
      <c r="WEX36" s="204"/>
      <c r="WEY36" s="204"/>
      <c r="WEZ36" s="204"/>
      <c r="WFA36" s="204"/>
      <c r="WFB36" s="204"/>
      <c r="WFC36" s="204"/>
      <c r="WFD36" s="204"/>
      <c r="WFE36" s="204"/>
      <c r="WFF36" s="204"/>
      <c r="WFG36" s="204"/>
      <c r="WFH36" s="204"/>
      <c r="WFI36" s="204"/>
      <c r="WFJ36" s="204"/>
      <c r="WFK36" s="204"/>
      <c r="WFL36" s="204"/>
      <c r="WFM36" s="204"/>
      <c r="WFN36" s="204"/>
      <c r="WFO36" s="204"/>
      <c r="WFP36" s="204"/>
      <c r="WFQ36" s="204"/>
      <c r="WFR36" s="204"/>
      <c r="WFS36" s="204"/>
      <c r="WFT36" s="204"/>
      <c r="WFU36" s="204"/>
      <c r="WFV36" s="204"/>
      <c r="WFW36" s="204"/>
      <c r="WFX36" s="204"/>
      <c r="WFY36" s="204"/>
      <c r="WFZ36" s="204"/>
      <c r="WGA36" s="204"/>
      <c r="WGB36" s="204"/>
      <c r="WGC36" s="204"/>
      <c r="WGD36" s="204"/>
      <c r="WGE36" s="204"/>
      <c r="WGF36" s="204"/>
      <c r="WGG36" s="204"/>
      <c r="WGH36" s="204"/>
      <c r="WGI36" s="204"/>
      <c r="WGJ36" s="204"/>
      <c r="WGK36" s="204"/>
      <c r="WGL36" s="204"/>
      <c r="WGM36" s="204"/>
      <c r="WGN36" s="204"/>
      <c r="WGO36" s="204"/>
      <c r="WGP36" s="204"/>
      <c r="WGQ36" s="204"/>
      <c r="WGR36" s="204"/>
      <c r="WGS36" s="204"/>
      <c r="WGT36" s="204"/>
      <c r="WGU36" s="204"/>
      <c r="WGV36" s="204"/>
      <c r="WGW36" s="204"/>
      <c r="WGX36" s="204"/>
      <c r="WGY36" s="204"/>
      <c r="WGZ36" s="204"/>
      <c r="WHA36" s="204"/>
      <c r="WHB36" s="204"/>
      <c r="WHC36" s="204"/>
      <c r="WHD36" s="204"/>
      <c r="WHE36" s="204"/>
      <c r="WHF36" s="204"/>
      <c r="WHG36" s="204"/>
      <c r="WHH36" s="204"/>
      <c r="WHI36" s="204"/>
      <c r="WHJ36" s="204"/>
      <c r="WHK36" s="204"/>
      <c r="WHL36" s="204"/>
      <c r="WHM36" s="204"/>
      <c r="WHN36" s="204"/>
      <c r="WHO36" s="204"/>
      <c r="WHP36" s="204"/>
      <c r="WHQ36" s="204"/>
      <c r="WHR36" s="204"/>
      <c r="WHS36" s="204"/>
      <c r="WHT36" s="204"/>
      <c r="WHU36" s="204"/>
      <c r="WHV36" s="204"/>
      <c r="WHW36" s="204"/>
      <c r="WHX36" s="204"/>
      <c r="WHY36" s="204"/>
      <c r="WHZ36" s="204"/>
      <c r="WIA36" s="204"/>
      <c r="WIB36" s="204"/>
      <c r="WIC36" s="204"/>
      <c r="WID36" s="204"/>
      <c r="WIE36" s="204"/>
      <c r="WIF36" s="204"/>
      <c r="WIG36" s="204"/>
      <c r="WIH36" s="204"/>
      <c r="WII36" s="204"/>
      <c r="WIJ36" s="204"/>
      <c r="WIK36" s="204"/>
      <c r="WIL36" s="204"/>
      <c r="WIM36" s="204"/>
      <c r="WIN36" s="204"/>
      <c r="WIO36" s="204"/>
      <c r="WIP36" s="204"/>
      <c r="WIQ36" s="204"/>
      <c r="WIR36" s="204"/>
      <c r="WIS36" s="204"/>
      <c r="WIT36" s="204"/>
      <c r="WIU36" s="204"/>
      <c r="WIV36" s="204"/>
      <c r="WIW36" s="204"/>
      <c r="WIX36" s="204"/>
      <c r="WIY36" s="204"/>
      <c r="WIZ36" s="204"/>
      <c r="WJA36" s="204"/>
      <c r="WJB36" s="204"/>
      <c r="WJC36" s="204"/>
      <c r="WJD36" s="204"/>
      <c r="WJE36" s="204"/>
      <c r="WJF36" s="204"/>
      <c r="WJG36" s="204"/>
      <c r="WJH36" s="204"/>
      <c r="WJI36" s="204"/>
      <c r="WJJ36" s="204"/>
      <c r="WJK36" s="204"/>
      <c r="WJL36" s="204"/>
      <c r="WJM36" s="204"/>
      <c r="WJN36" s="204"/>
      <c r="WJO36" s="204"/>
      <c r="WJP36" s="204"/>
      <c r="WJQ36" s="204"/>
      <c r="WJR36" s="204"/>
      <c r="WJS36" s="204"/>
      <c r="WJT36" s="204"/>
      <c r="WJU36" s="204"/>
      <c r="WJV36" s="204"/>
      <c r="WJW36" s="204"/>
      <c r="WJX36" s="204"/>
      <c r="WJY36" s="204"/>
      <c r="WJZ36" s="204"/>
      <c r="WKA36" s="204"/>
      <c r="WKB36" s="204"/>
      <c r="WKC36" s="204"/>
      <c r="WKD36" s="204"/>
      <c r="WKE36" s="204"/>
      <c r="WKF36" s="204"/>
      <c r="WKG36" s="204"/>
      <c r="WKH36" s="204"/>
      <c r="WKI36" s="204"/>
      <c r="WKJ36" s="204"/>
      <c r="WKK36" s="204"/>
      <c r="WKL36" s="204"/>
      <c r="WKM36" s="204"/>
      <c r="WKN36" s="204"/>
      <c r="WKO36" s="204"/>
      <c r="WKP36" s="204"/>
      <c r="WKQ36" s="204"/>
      <c r="WKR36" s="204"/>
      <c r="WKS36" s="204"/>
      <c r="WKT36" s="204"/>
      <c r="WKU36" s="204"/>
      <c r="WKV36" s="204"/>
      <c r="WKW36" s="204"/>
      <c r="WKX36" s="204"/>
      <c r="WKY36" s="204"/>
      <c r="WKZ36" s="204"/>
      <c r="WLA36" s="204"/>
      <c r="WLB36" s="204"/>
      <c r="WLC36" s="204"/>
      <c r="WLD36" s="204"/>
      <c r="WLE36" s="204"/>
      <c r="WLF36" s="204"/>
      <c r="WLG36" s="204"/>
      <c r="WLH36" s="204"/>
      <c r="WLI36" s="204"/>
      <c r="WLJ36" s="204"/>
      <c r="WLK36" s="204"/>
      <c r="WLL36" s="204"/>
      <c r="WLM36" s="204"/>
      <c r="WLN36" s="204"/>
      <c r="WLO36" s="204"/>
      <c r="WLP36" s="204"/>
      <c r="WLQ36" s="204"/>
      <c r="WLR36" s="204"/>
      <c r="WLS36" s="204"/>
      <c r="WLT36" s="204"/>
      <c r="WLU36" s="204"/>
      <c r="WLV36" s="204"/>
      <c r="WLW36" s="204"/>
      <c r="WLX36" s="204"/>
      <c r="WLY36" s="204"/>
      <c r="WLZ36" s="204"/>
      <c r="WMA36" s="204"/>
      <c r="WMB36" s="204"/>
      <c r="WMC36" s="204"/>
      <c r="WMD36" s="204"/>
      <c r="WME36" s="204"/>
      <c r="WMF36" s="204"/>
      <c r="WMG36" s="204"/>
      <c r="WMH36" s="204"/>
      <c r="WMI36" s="204"/>
      <c r="WMJ36" s="204"/>
      <c r="WMK36" s="204"/>
      <c r="WML36" s="204"/>
      <c r="WMM36" s="204"/>
      <c r="WMN36" s="204"/>
      <c r="WMO36" s="204"/>
      <c r="WMP36" s="204"/>
      <c r="WMQ36" s="204"/>
      <c r="WMR36" s="204"/>
      <c r="WMS36" s="204"/>
      <c r="WMT36" s="204"/>
      <c r="WMU36" s="204"/>
      <c r="WMV36" s="204"/>
      <c r="WMW36" s="204"/>
      <c r="WMX36" s="204"/>
      <c r="WMY36" s="204"/>
      <c r="WMZ36" s="204"/>
      <c r="WNA36" s="204"/>
      <c r="WNB36" s="204"/>
      <c r="WNC36" s="204"/>
      <c r="WND36" s="204"/>
      <c r="WNE36" s="204"/>
      <c r="WNF36" s="204"/>
      <c r="WNG36" s="204"/>
      <c r="WNH36" s="204"/>
      <c r="WNI36" s="204"/>
      <c r="WNJ36" s="204"/>
      <c r="WNK36" s="204"/>
      <c r="WNL36" s="204"/>
      <c r="WNM36" s="204"/>
      <c r="WNN36" s="204"/>
      <c r="WNO36" s="204"/>
      <c r="WNP36" s="204"/>
      <c r="WNQ36" s="204"/>
      <c r="WNR36" s="204"/>
      <c r="WNS36" s="204"/>
      <c r="WNT36" s="204"/>
      <c r="WNU36" s="204"/>
      <c r="WNV36" s="204"/>
      <c r="WNW36" s="204"/>
      <c r="WNX36" s="204"/>
      <c r="WNY36" s="204"/>
      <c r="WNZ36" s="204"/>
      <c r="WOA36" s="204"/>
      <c r="WOB36" s="204"/>
      <c r="WOC36" s="204"/>
      <c r="WOD36" s="204"/>
      <c r="WOE36" s="204"/>
      <c r="WOF36" s="204"/>
      <c r="WOG36" s="204"/>
      <c r="WOH36" s="204"/>
      <c r="WOI36" s="204"/>
      <c r="WOJ36" s="204"/>
      <c r="WOK36" s="204"/>
      <c r="WOL36" s="204"/>
      <c r="WOM36" s="204"/>
      <c r="WON36" s="204"/>
      <c r="WOO36" s="204"/>
      <c r="WOP36" s="204"/>
      <c r="WOQ36" s="204"/>
      <c r="WOR36" s="204"/>
      <c r="WOS36" s="204"/>
      <c r="WOT36" s="204"/>
      <c r="WOU36" s="204"/>
      <c r="WOV36" s="204"/>
      <c r="WOW36" s="204"/>
      <c r="WOX36" s="204"/>
      <c r="WOY36" s="204"/>
      <c r="WOZ36" s="204"/>
      <c r="WPA36" s="204"/>
      <c r="WPB36" s="204"/>
      <c r="WPC36" s="204"/>
      <c r="WPD36" s="204"/>
      <c r="WPE36" s="204"/>
      <c r="WPF36" s="204"/>
      <c r="WPG36" s="204"/>
      <c r="WPH36" s="204"/>
      <c r="WPI36" s="204"/>
      <c r="WPJ36" s="204"/>
      <c r="WPK36" s="204"/>
      <c r="WPL36" s="204"/>
      <c r="WPM36" s="204"/>
      <c r="WPN36" s="204"/>
      <c r="WPO36" s="204"/>
      <c r="WPP36" s="204"/>
      <c r="WPQ36" s="204"/>
      <c r="WPR36" s="204"/>
      <c r="WPS36" s="204"/>
      <c r="WPT36" s="204"/>
      <c r="WPU36" s="204"/>
      <c r="WPV36" s="204"/>
      <c r="WPW36" s="204"/>
      <c r="WPX36" s="204"/>
      <c r="WPY36" s="204"/>
      <c r="WPZ36" s="204"/>
      <c r="WQA36" s="204"/>
      <c r="WQB36" s="204"/>
      <c r="WQC36" s="204"/>
      <c r="WQD36" s="204"/>
      <c r="WQE36" s="204"/>
      <c r="WQF36" s="204"/>
      <c r="WQG36" s="204"/>
      <c r="WQH36" s="204"/>
      <c r="WQI36" s="204"/>
      <c r="WQJ36" s="204"/>
      <c r="WQK36" s="204"/>
      <c r="WQL36" s="204"/>
      <c r="WQM36" s="204"/>
      <c r="WQN36" s="204"/>
      <c r="WQO36" s="204"/>
      <c r="WQP36" s="204"/>
      <c r="WQQ36" s="204"/>
      <c r="WQR36" s="204"/>
      <c r="WQS36" s="204"/>
      <c r="WQT36" s="204"/>
      <c r="WQU36" s="204"/>
      <c r="WQV36" s="204"/>
      <c r="WQW36" s="204"/>
      <c r="WQX36" s="204"/>
      <c r="WQY36" s="204"/>
      <c r="WQZ36" s="204"/>
      <c r="WRA36" s="204"/>
      <c r="WRB36" s="204"/>
      <c r="WRC36" s="204"/>
      <c r="WRD36" s="204"/>
      <c r="WRE36" s="204"/>
      <c r="WRF36" s="204"/>
      <c r="WRG36" s="204"/>
      <c r="WRH36" s="204"/>
      <c r="WRI36" s="204"/>
      <c r="WRJ36" s="204"/>
      <c r="WRK36" s="204"/>
      <c r="WRL36" s="204"/>
      <c r="WRM36" s="204"/>
      <c r="WRN36" s="204"/>
      <c r="WRO36" s="204"/>
      <c r="WRP36" s="204"/>
      <c r="WRQ36" s="204"/>
      <c r="WRR36" s="204"/>
      <c r="WRS36" s="204"/>
      <c r="WRT36" s="204"/>
      <c r="WRU36" s="204"/>
      <c r="WRV36" s="204"/>
      <c r="WRW36" s="204"/>
      <c r="WRX36" s="204"/>
      <c r="WRY36" s="204"/>
      <c r="WRZ36" s="204"/>
      <c r="WSA36" s="204"/>
      <c r="WSB36" s="204"/>
      <c r="WSC36" s="204"/>
      <c r="WSD36" s="204"/>
      <c r="WSE36" s="204"/>
      <c r="WSF36" s="204"/>
      <c r="WSG36" s="204"/>
      <c r="WSH36" s="204"/>
      <c r="WSI36" s="204"/>
      <c r="WSJ36" s="204"/>
      <c r="WSK36" s="204"/>
      <c r="WSL36" s="204"/>
      <c r="WSM36" s="204"/>
      <c r="WSN36" s="204"/>
      <c r="WSO36" s="204"/>
      <c r="WSP36" s="204"/>
      <c r="WSQ36" s="204"/>
      <c r="WSR36" s="204"/>
      <c r="WSS36" s="204"/>
      <c r="WST36" s="204"/>
      <c r="WSU36" s="204"/>
      <c r="WSV36" s="204"/>
      <c r="WSW36" s="204"/>
      <c r="WSX36" s="204"/>
      <c r="WSY36" s="204"/>
      <c r="WSZ36" s="204"/>
      <c r="WTA36" s="204"/>
      <c r="WTB36" s="204"/>
      <c r="WTC36" s="204"/>
      <c r="WTD36" s="204"/>
      <c r="WTE36" s="204"/>
      <c r="WTF36" s="204"/>
      <c r="WTG36" s="204"/>
      <c r="WTH36" s="204"/>
      <c r="WTI36" s="204"/>
      <c r="WTJ36" s="204"/>
      <c r="WTK36" s="204"/>
      <c r="WTL36" s="204"/>
      <c r="WTM36" s="204"/>
      <c r="WTN36" s="204"/>
      <c r="WTO36" s="204"/>
      <c r="WTP36" s="204"/>
      <c r="WTQ36" s="204"/>
      <c r="WTR36" s="204"/>
      <c r="WTS36" s="204"/>
      <c r="WTT36" s="204"/>
      <c r="WTU36" s="204"/>
      <c r="WTV36" s="204"/>
      <c r="WTW36" s="204"/>
      <c r="WTX36" s="204"/>
      <c r="WTY36" s="204"/>
      <c r="WTZ36" s="204"/>
      <c r="WUA36" s="204"/>
      <c r="WUB36" s="204"/>
      <c r="WUC36" s="204"/>
      <c r="WUD36" s="204"/>
      <c r="WUE36" s="204"/>
      <c r="WUF36" s="204"/>
      <c r="WUG36" s="204"/>
      <c r="WUH36" s="204"/>
      <c r="WUI36" s="204"/>
      <c r="WUJ36" s="204"/>
      <c r="WUK36" s="204"/>
      <c r="WUL36" s="204"/>
      <c r="WUM36" s="204"/>
      <c r="WUN36" s="204"/>
      <c r="WUO36" s="204"/>
      <c r="WUP36" s="204"/>
      <c r="WUQ36" s="204"/>
      <c r="WUR36" s="204"/>
      <c r="WUS36" s="204"/>
      <c r="WUT36" s="204"/>
      <c r="WUU36" s="204"/>
      <c r="WUV36" s="204"/>
      <c r="WUW36" s="204"/>
      <c r="WUX36" s="204"/>
      <c r="WUY36" s="204"/>
      <c r="WUZ36" s="204"/>
      <c r="WVA36" s="204"/>
      <c r="WVB36" s="204"/>
      <c r="WVC36" s="204"/>
      <c r="WVD36" s="204"/>
      <c r="WVE36" s="204"/>
      <c r="WVF36" s="204"/>
      <c r="WVG36" s="204"/>
      <c r="WVH36" s="204"/>
      <c r="WVI36" s="204"/>
      <c r="WVJ36" s="204"/>
      <c r="WVK36" s="204"/>
      <c r="WVL36" s="204"/>
      <c r="WVM36" s="204"/>
      <c r="WVN36" s="204"/>
      <c r="WVO36" s="204"/>
      <c r="WVP36" s="204"/>
      <c r="WVQ36" s="204"/>
      <c r="WVR36" s="204"/>
      <c r="WVS36" s="204"/>
      <c r="WVT36" s="204"/>
      <c r="WVU36" s="204"/>
      <c r="WVV36" s="204"/>
      <c r="WVW36" s="204"/>
      <c r="WVX36" s="204"/>
      <c r="WVY36" s="204"/>
      <c r="WVZ36" s="204"/>
      <c r="WWA36" s="204"/>
      <c r="WWB36" s="204"/>
      <c r="WWC36" s="204"/>
      <c r="WWD36" s="204"/>
      <c r="WWE36" s="204"/>
      <c r="WWF36" s="204"/>
      <c r="WWG36" s="204"/>
      <c r="WWH36" s="204"/>
      <c r="WWI36" s="204"/>
      <c r="WWJ36" s="204"/>
      <c r="WWK36" s="204"/>
      <c r="WWL36" s="204"/>
      <c r="WWM36" s="204"/>
      <c r="WWN36" s="204"/>
      <c r="WWO36" s="204"/>
      <c r="WWP36" s="204"/>
      <c r="WWQ36" s="204"/>
      <c r="WWR36" s="204"/>
      <c r="WWS36" s="204"/>
      <c r="WWT36" s="204"/>
      <c r="WWU36" s="204"/>
      <c r="WWV36" s="204"/>
      <c r="WWW36" s="204"/>
      <c r="WWX36" s="204"/>
      <c r="WWY36" s="204"/>
      <c r="WWZ36" s="204"/>
      <c r="WXA36" s="204"/>
      <c r="WXB36" s="204"/>
      <c r="WXC36" s="204"/>
      <c r="WXD36" s="204"/>
      <c r="WXE36" s="204"/>
      <c r="WXF36" s="204"/>
      <c r="WXG36" s="204"/>
      <c r="WXH36" s="204"/>
      <c r="WXI36" s="204"/>
      <c r="WXJ36" s="204"/>
      <c r="WXK36" s="204"/>
      <c r="WXL36" s="204"/>
      <c r="WXM36" s="204"/>
      <c r="WXN36" s="204"/>
      <c r="WXO36" s="204"/>
      <c r="WXP36" s="204"/>
      <c r="WXQ36" s="204"/>
      <c r="WXR36" s="204"/>
      <c r="WXS36" s="204"/>
      <c r="WXT36" s="204"/>
      <c r="WXU36" s="204"/>
      <c r="WXV36" s="204"/>
      <c r="WXW36" s="204"/>
      <c r="WXX36" s="204"/>
      <c r="WXY36" s="204"/>
      <c r="WXZ36" s="204"/>
      <c r="WYA36" s="204"/>
      <c r="WYB36" s="204"/>
      <c r="WYC36" s="204"/>
      <c r="WYD36" s="204"/>
      <c r="WYE36" s="204"/>
      <c r="WYF36" s="204"/>
      <c r="WYG36" s="204"/>
      <c r="WYH36" s="204"/>
      <c r="WYI36" s="204"/>
      <c r="WYJ36" s="204"/>
      <c r="WYK36" s="204"/>
      <c r="WYL36" s="204"/>
      <c r="WYM36" s="204"/>
      <c r="WYN36" s="204"/>
      <c r="WYO36" s="204"/>
      <c r="WYP36" s="204"/>
      <c r="WYQ36" s="204"/>
      <c r="WYR36" s="204"/>
      <c r="WYS36" s="204"/>
      <c r="WYT36" s="204"/>
      <c r="WYU36" s="204"/>
      <c r="WYV36" s="204"/>
      <c r="WYW36" s="204"/>
      <c r="WYX36" s="204"/>
      <c r="WYY36" s="204"/>
      <c r="WYZ36" s="204"/>
      <c r="WZA36" s="204"/>
      <c r="WZB36" s="204"/>
      <c r="WZC36" s="204"/>
      <c r="WZD36" s="204"/>
      <c r="WZE36" s="204"/>
      <c r="WZF36" s="204"/>
      <c r="WZG36" s="204"/>
      <c r="WZH36" s="204"/>
      <c r="WZI36" s="204"/>
      <c r="WZJ36" s="204"/>
      <c r="WZK36" s="204"/>
      <c r="WZL36" s="204"/>
      <c r="WZM36" s="204"/>
      <c r="WZN36" s="204"/>
      <c r="WZO36" s="204"/>
      <c r="WZP36" s="204"/>
      <c r="WZQ36" s="204"/>
      <c r="WZR36" s="204"/>
      <c r="WZS36" s="204"/>
      <c r="WZT36" s="204"/>
      <c r="WZU36" s="204"/>
      <c r="WZV36" s="204"/>
      <c r="WZW36" s="204"/>
      <c r="WZX36" s="204"/>
      <c r="WZY36" s="204"/>
      <c r="WZZ36" s="204"/>
      <c r="XAA36" s="204"/>
      <c r="XAB36" s="204"/>
      <c r="XAC36" s="204"/>
      <c r="XAD36" s="204"/>
      <c r="XAE36" s="204"/>
      <c r="XAF36" s="204"/>
      <c r="XAG36" s="204"/>
      <c r="XAH36" s="204"/>
      <c r="XAI36" s="204"/>
      <c r="XAJ36" s="204"/>
      <c r="XAK36" s="204"/>
      <c r="XAL36" s="204"/>
      <c r="XAM36" s="204"/>
      <c r="XAN36" s="204"/>
      <c r="XAO36" s="204"/>
      <c r="XAP36" s="204"/>
      <c r="XAQ36" s="204"/>
      <c r="XAR36" s="204"/>
      <c r="XAS36" s="204"/>
      <c r="XAT36" s="204"/>
      <c r="XAU36" s="204"/>
      <c r="XAV36" s="204"/>
      <c r="XAW36" s="204"/>
      <c r="XAX36" s="204"/>
      <c r="XAY36" s="204"/>
      <c r="XAZ36" s="204"/>
      <c r="XBA36" s="204"/>
      <c r="XBB36" s="204"/>
      <c r="XBC36" s="204"/>
      <c r="XBD36" s="204"/>
      <c r="XBE36" s="204"/>
      <c r="XBF36" s="204"/>
      <c r="XBG36" s="204"/>
      <c r="XBH36" s="204"/>
      <c r="XBI36" s="204"/>
      <c r="XBJ36" s="204"/>
      <c r="XBK36" s="204"/>
      <c r="XBL36" s="204"/>
      <c r="XBM36" s="204"/>
      <c r="XBN36" s="204"/>
      <c r="XBO36" s="204"/>
      <c r="XBP36" s="204"/>
      <c r="XBQ36" s="204"/>
      <c r="XBR36" s="204"/>
      <c r="XBS36" s="204"/>
      <c r="XBT36" s="204"/>
      <c r="XBU36" s="204"/>
      <c r="XBV36" s="204"/>
      <c r="XBW36" s="204"/>
      <c r="XBX36" s="204"/>
      <c r="XBY36" s="204"/>
      <c r="XBZ36" s="204"/>
      <c r="XCA36" s="204"/>
      <c r="XCB36" s="204"/>
      <c r="XCC36" s="204"/>
      <c r="XCD36" s="204"/>
      <c r="XCE36" s="204"/>
      <c r="XCF36" s="204"/>
      <c r="XCG36" s="204"/>
      <c r="XCH36" s="204"/>
      <c r="XCI36" s="204"/>
      <c r="XCJ36" s="204"/>
      <c r="XCK36" s="204"/>
      <c r="XCL36" s="204"/>
      <c r="XCM36" s="204"/>
      <c r="XCN36" s="204"/>
      <c r="XCO36" s="204"/>
      <c r="XCP36" s="204"/>
      <c r="XCQ36" s="204"/>
      <c r="XCR36" s="204"/>
      <c r="XCS36" s="204"/>
      <c r="XCT36" s="204"/>
      <c r="XCU36" s="204"/>
      <c r="XCV36" s="204"/>
      <c r="XCW36" s="204"/>
      <c r="XCX36" s="204"/>
      <c r="XCY36" s="204"/>
      <c r="XCZ36" s="204"/>
      <c r="XDA36" s="204"/>
      <c r="XDB36" s="204"/>
      <c r="XDC36" s="204"/>
      <c r="XDD36" s="204"/>
      <c r="XDE36" s="204"/>
      <c r="XDF36" s="204"/>
      <c r="XDG36" s="204"/>
      <c r="XDH36" s="204"/>
      <c r="XDI36" s="204"/>
      <c r="XDJ36" s="204"/>
      <c r="XDK36" s="204"/>
      <c r="XDL36" s="204"/>
      <c r="XDM36" s="204"/>
      <c r="XDN36" s="204"/>
      <c r="XDO36" s="204"/>
      <c r="XDP36" s="204"/>
      <c r="XDQ36" s="204"/>
      <c r="XDR36" s="204"/>
      <c r="XDS36" s="204"/>
      <c r="XDT36" s="204"/>
      <c r="XDU36" s="204"/>
      <c r="XDV36" s="204"/>
      <c r="XDW36" s="204"/>
      <c r="XDX36" s="204"/>
      <c r="XDY36" s="204"/>
      <c r="XDZ36" s="204"/>
      <c r="XEA36" s="204"/>
      <c r="XEB36" s="204"/>
      <c r="XEC36" s="204"/>
      <c r="XED36" s="204"/>
      <c r="XEE36" s="204"/>
      <c r="XEF36" s="204"/>
      <c r="XEG36" s="204"/>
      <c r="XEH36" s="204"/>
      <c r="XEI36" s="204"/>
      <c r="XEJ36" s="204"/>
      <c r="XEK36" s="204"/>
      <c r="XEL36" s="204"/>
      <c r="XEM36" s="204"/>
      <c r="XEN36" s="204"/>
      <c r="XEO36" s="204"/>
      <c r="XEP36" s="204"/>
      <c r="XEQ36" s="204"/>
      <c r="XER36" s="204"/>
      <c r="XES36" s="204"/>
      <c r="XET36" s="204"/>
      <c r="XEU36" s="204"/>
      <c r="XEV36" s="204"/>
      <c r="XEW36" s="204"/>
      <c r="XEX36" s="204"/>
      <c r="XEY36" s="204"/>
      <c r="XEZ36" s="204"/>
      <c r="XFA36" s="204"/>
      <c r="XFB36" s="204"/>
      <c r="XFC36" s="204"/>
      <c r="XFD36" s="204"/>
    </row>
    <row r="37" spans="1:16384" s="10" customFormat="1" x14ac:dyDescent="0.2">
      <c r="A37" s="203"/>
      <c r="B37" s="300" t="s">
        <v>3701</v>
      </c>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row>
    <row r="38" spans="1:16384" s="10" customFormat="1" ht="27.6" customHeight="1" x14ac:dyDescent="0.2">
      <c r="A38" s="203"/>
      <c r="B38" s="373" t="s">
        <v>3702</v>
      </c>
      <c r="C38" s="367"/>
      <c r="D38" s="367"/>
      <c r="E38" s="367"/>
      <c r="F38" s="367"/>
      <c r="G38" s="367"/>
      <c r="H38" s="367"/>
      <c r="I38" s="367"/>
      <c r="J38" s="367"/>
      <c r="K38" s="367"/>
      <c r="L38" s="367"/>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row>
    <row r="39" spans="1:16384" s="10" customFormat="1" ht="20.45" customHeight="1" x14ac:dyDescent="0.2">
      <c r="A39" s="203"/>
      <c r="B39" s="301" t="s">
        <v>3703</v>
      </c>
      <c r="C39" s="236"/>
      <c r="D39" s="236"/>
      <c r="E39" s="236"/>
      <c r="F39" s="236"/>
      <c r="G39" s="236"/>
      <c r="H39" s="236"/>
      <c r="I39" s="236"/>
      <c r="J39" s="236"/>
      <c r="K39" s="236"/>
      <c r="L39" s="236"/>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row>
    <row r="40" spans="1:16384" s="10" customFormat="1" x14ac:dyDescent="0.2">
      <c r="A40" s="203"/>
      <c r="B40" s="203"/>
      <c r="C40" s="203"/>
      <c r="D40" s="203"/>
      <c r="E40" s="203"/>
      <c r="F40" s="20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row>
    <row r="41" spans="1:16384" s="25" customFormat="1" ht="35.25" customHeight="1" x14ac:dyDescent="0.2">
      <c r="A41" s="233"/>
      <c r="B41" s="370" t="s">
        <v>205</v>
      </c>
      <c r="C41" s="370"/>
      <c r="D41" s="370"/>
      <c r="E41" s="370"/>
      <c r="F41" s="370"/>
      <c r="G41" s="370"/>
      <c r="H41" s="203"/>
      <c r="I41" s="233"/>
      <c r="J41" s="233"/>
      <c r="K41" s="233"/>
      <c r="L41" s="23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row>
    <row r="42" spans="1:16384" ht="15" x14ac:dyDescent="0.2">
      <c r="A42" s="203"/>
      <c r="B42" s="26" t="str">
        <f>B2</f>
        <v>Most recent inspections as at 31 December 2019, published by 31 December 2019</v>
      </c>
      <c r="C42" s="203"/>
      <c r="D42" s="203"/>
      <c r="E42" s="203"/>
      <c r="F42" s="203"/>
      <c r="G42" s="203"/>
      <c r="H42" s="203"/>
      <c r="I42" s="203"/>
      <c r="J42" s="203"/>
      <c r="K42" s="203"/>
      <c r="L42" s="203"/>
      <c r="M42" s="203"/>
      <c r="N42" s="203"/>
      <c r="O42" s="203"/>
      <c r="P42" s="203"/>
      <c r="Q42" s="203"/>
      <c r="R42" s="203"/>
      <c r="S42" s="203"/>
      <c r="T42" s="203"/>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row>
    <row r="43" spans="1:16384" x14ac:dyDescent="0.2">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row>
    <row r="44" spans="1:16384" x14ac:dyDescent="0.2">
      <c r="A44" s="203"/>
      <c r="B44" s="203"/>
      <c r="C44" s="351" t="s">
        <v>206</v>
      </c>
      <c r="D44" s="352"/>
      <c r="E44" s="352"/>
      <c r="F44" s="352"/>
      <c r="G44" s="35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row>
    <row r="45" spans="1:16384" ht="12.75" customHeight="1" x14ac:dyDescent="0.2">
      <c r="A45" s="203"/>
      <c r="B45" s="354" t="s">
        <v>207</v>
      </c>
      <c r="C45" s="357" t="s">
        <v>189</v>
      </c>
      <c r="D45" s="352" t="s">
        <v>175</v>
      </c>
      <c r="E45" s="353"/>
      <c r="F45" s="351" t="s">
        <v>176</v>
      </c>
      <c r="G45" s="353"/>
      <c r="H45" s="203"/>
      <c r="I45" s="203"/>
      <c r="J45" s="203"/>
      <c r="K45" s="203"/>
      <c r="L45" s="203"/>
      <c r="M45" s="203"/>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row>
    <row r="46" spans="1:16384" ht="31.5" customHeight="1" x14ac:dyDescent="0.2">
      <c r="A46" s="203"/>
      <c r="B46" s="355"/>
      <c r="C46" s="359"/>
      <c r="D46" s="183" t="s">
        <v>190</v>
      </c>
      <c r="E46" s="179" t="s">
        <v>191</v>
      </c>
      <c r="F46" s="56" t="s">
        <v>190</v>
      </c>
      <c r="G46" s="179" t="s">
        <v>191</v>
      </c>
      <c r="H46" s="203"/>
      <c r="I46" s="48"/>
      <c r="J46" s="203"/>
      <c r="K46" s="203"/>
      <c r="L46" s="203"/>
      <c r="M46" s="203"/>
      <c r="N46" s="203"/>
      <c r="O46" s="203"/>
      <c r="P46" s="203"/>
      <c r="Q46" s="203"/>
      <c r="R46" s="203"/>
      <c r="S46" s="203"/>
      <c r="T46" s="203"/>
      <c r="U46" s="203"/>
      <c r="V46" s="203"/>
      <c r="W46" s="203"/>
      <c r="X46" s="203"/>
      <c r="Y46" s="203"/>
      <c r="Z46" s="203"/>
      <c r="AA46" s="203"/>
      <c r="AB46" s="203"/>
      <c r="AC46" s="203"/>
      <c r="AD46" s="203"/>
      <c r="AE46" s="203"/>
      <c r="AF46" s="203"/>
      <c r="AG46" s="203"/>
      <c r="AH46" s="203"/>
      <c r="AI46" s="203"/>
      <c r="AJ46" s="203"/>
      <c r="AK46" s="203"/>
      <c r="AL46" s="203"/>
      <c r="AM46" s="203"/>
      <c r="AN46" s="203"/>
      <c r="AO46" s="203"/>
      <c r="AP46" s="203"/>
      <c r="AQ46" s="203"/>
      <c r="AR46" s="203"/>
      <c r="AS46" s="203"/>
    </row>
    <row r="47" spans="1:16384" x14ac:dyDescent="0.2">
      <c r="A47" s="203"/>
      <c r="B47" s="35" t="s">
        <v>208</v>
      </c>
      <c r="C47" s="47">
        <v>115</v>
      </c>
      <c r="D47" s="45">
        <v>56</v>
      </c>
      <c r="E47" s="46">
        <v>59</v>
      </c>
      <c r="F47" s="146">
        <v>48.695652173913047</v>
      </c>
      <c r="G47" s="147">
        <v>51.304347826086961</v>
      </c>
      <c r="H47" s="203"/>
      <c r="I47" s="203"/>
      <c r="J47" s="203"/>
      <c r="K47" s="203"/>
      <c r="L47" s="203"/>
      <c r="M47" s="203"/>
      <c r="N47" s="203"/>
      <c r="O47" s="203"/>
      <c r="P47" s="203"/>
      <c r="Q47" s="203"/>
      <c r="R47" s="203"/>
      <c r="S47" s="203"/>
      <c r="T47" s="203"/>
      <c r="U47" s="203"/>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row>
    <row r="48" spans="1:16384" x14ac:dyDescent="0.2">
      <c r="A48" s="203"/>
      <c r="B48" s="205" t="s">
        <v>179</v>
      </c>
      <c r="C48" s="148">
        <v>44</v>
      </c>
      <c r="D48" s="149">
        <v>27</v>
      </c>
      <c r="E48" s="150">
        <v>17</v>
      </c>
      <c r="F48" s="151">
        <v>61.363636363636367</v>
      </c>
      <c r="G48" s="152">
        <v>38.636363636363633</v>
      </c>
      <c r="H48" s="203"/>
      <c r="I48" s="203"/>
      <c r="J48" s="203"/>
      <c r="K48" s="203"/>
      <c r="L48" s="203"/>
      <c r="M48" s="203"/>
      <c r="N48" s="203"/>
      <c r="O48" s="203"/>
      <c r="P48" s="203"/>
      <c r="Q48" s="203"/>
      <c r="R48" s="203"/>
      <c r="S48" s="203"/>
      <c r="T48" s="203"/>
      <c r="U48" s="203"/>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row>
    <row r="49" spans="1:45" x14ac:dyDescent="0.2">
      <c r="A49" s="203"/>
      <c r="B49" s="71" t="s">
        <v>180</v>
      </c>
      <c r="C49" s="153">
        <v>71</v>
      </c>
      <c r="D49" s="154">
        <v>29</v>
      </c>
      <c r="E49" s="155">
        <v>42</v>
      </c>
      <c r="F49" s="156">
        <v>40.845070422535215</v>
      </c>
      <c r="G49" s="157">
        <v>59.154929577464785</v>
      </c>
      <c r="H49" s="203"/>
      <c r="I49" s="203"/>
      <c r="J49" s="203"/>
      <c r="K49" s="203"/>
      <c r="L49" s="203"/>
      <c r="M49" s="203"/>
      <c r="N49" s="203"/>
      <c r="O49" s="203"/>
      <c r="P49" s="203"/>
      <c r="Q49" s="203"/>
      <c r="R49" s="203"/>
      <c r="S49" s="203"/>
      <c r="T49" s="203"/>
      <c r="U49" s="203"/>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x14ac:dyDescent="0.2">
      <c r="A50" s="203"/>
      <c r="B50" s="2"/>
      <c r="C50" s="2"/>
      <c r="D50" s="2"/>
      <c r="E50" s="2"/>
      <c r="F50" s="2"/>
      <c r="G50" s="18" t="s">
        <v>2607</v>
      </c>
      <c r="H50" s="231"/>
      <c r="I50" s="203"/>
      <c r="J50" s="203"/>
      <c r="K50" s="203"/>
      <c r="L50" s="203"/>
      <c r="M50" s="203"/>
      <c r="N50" s="203"/>
      <c r="O50" s="203"/>
      <c r="P50" s="203"/>
      <c r="Q50" s="203"/>
      <c r="R50" s="203"/>
      <c r="S50" s="203"/>
      <c r="T50" s="203"/>
      <c r="U50" s="203"/>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x14ac:dyDescent="0.2">
      <c r="A51" s="203"/>
      <c r="B51" s="2"/>
      <c r="C51" s="2"/>
      <c r="D51" s="2"/>
      <c r="E51" s="2"/>
      <c r="F51" s="2"/>
      <c r="G51" s="63"/>
      <c r="H51" s="231"/>
      <c r="I51" s="203"/>
      <c r="J51" s="203"/>
      <c r="K51" s="203"/>
      <c r="L51" s="203"/>
      <c r="M51" s="203"/>
      <c r="N51" s="203"/>
      <c r="O51" s="203"/>
      <c r="P51" s="203"/>
      <c r="Q51" s="203"/>
      <c r="R51" s="203"/>
      <c r="S51" s="203"/>
      <c r="T51" s="203"/>
      <c r="U51" s="203"/>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s="10" customFormat="1" x14ac:dyDescent="0.2">
      <c r="A52" s="203"/>
      <c r="B52" s="237" t="s">
        <v>184</v>
      </c>
      <c r="C52" s="203"/>
      <c r="D52" s="203"/>
      <c r="E52" s="203"/>
      <c r="F52" s="203"/>
      <c r="G52" s="203"/>
      <c r="H52" s="203"/>
      <c r="I52" s="203"/>
      <c r="J52" s="203"/>
      <c r="K52" s="203"/>
      <c r="L52" s="203"/>
      <c r="M52" s="203"/>
      <c r="N52" s="203"/>
      <c r="O52" s="203"/>
      <c r="P52" s="203"/>
      <c r="Q52" s="203"/>
      <c r="R52" s="203"/>
      <c r="S52" s="203"/>
      <c r="T52" s="203"/>
      <c r="U52" s="203"/>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row>
    <row r="53" spans="1:45" s="10" customFormat="1" x14ac:dyDescent="0.2">
      <c r="A53" s="203"/>
      <c r="B53" s="237" t="s">
        <v>185</v>
      </c>
      <c r="C53" s="203"/>
      <c r="D53" s="203"/>
      <c r="E53" s="203"/>
      <c r="F53" s="203"/>
      <c r="G53" s="203"/>
      <c r="H53" s="203"/>
      <c r="I53" s="203"/>
      <c r="J53" s="203"/>
      <c r="K53" s="203"/>
      <c r="L53" s="203"/>
      <c r="M53" s="203"/>
      <c r="N53" s="203"/>
      <c r="O53" s="203"/>
      <c r="P53" s="203"/>
      <c r="Q53" s="203"/>
      <c r="R53" s="203"/>
      <c r="S53" s="203"/>
      <c r="T53" s="203"/>
      <c r="U53" s="203"/>
    </row>
    <row r="54" spans="1:45" s="10" customFormat="1" ht="24.75" customHeight="1" x14ac:dyDescent="0.2">
      <c r="A54" s="203"/>
      <c r="B54" s="368" t="s">
        <v>3704</v>
      </c>
      <c r="C54" s="369"/>
      <c r="D54" s="369"/>
      <c r="E54" s="369"/>
      <c r="F54" s="369"/>
      <c r="G54" s="369"/>
      <c r="H54" s="203"/>
      <c r="I54" s="203"/>
      <c r="J54" s="203"/>
      <c r="K54" s="203"/>
      <c r="L54" s="203"/>
      <c r="M54" s="203"/>
      <c r="N54" s="203"/>
      <c r="O54" s="203"/>
      <c r="P54" s="203"/>
      <c r="Q54" s="203"/>
      <c r="R54" s="203"/>
      <c r="S54" s="203"/>
      <c r="T54" s="203"/>
      <c r="U54" s="203"/>
    </row>
    <row r="55" spans="1:45" s="10" customFormat="1" ht="24.75" customHeight="1" x14ac:dyDescent="0.2">
      <c r="A55" s="203"/>
      <c r="B55" s="369" t="s">
        <v>209</v>
      </c>
      <c r="C55" s="369"/>
      <c r="D55" s="369"/>
      <c r="E55" s="369"/>
      <c r="F55" s="369"/>
      <c r="G55" s="369"/>
      <c r="H55" s="203"/>
      <c r="I55" s="203"/>
      <c r="J55" s="203"/>
      <c r="K55" s="203"/>
      <c r="L55" s="203"/>
      <c r="M55" s="203"/>
      <c r="N55" s="203"/>
      <c r="O55" s="203"/>
      <c r="P55" s="203"/>
      <c r="Q55" s="203"/>
      <c r="R55" s="203"/>
      <c r="S55" s="203"/>
      <c r="T55" s="203"/>
      <c r="U55" s="203"/>
    </row>
    <row r="56" spans="1:45" x14ac:dyDescent="0.2">
      <c r="A56" s="203"/>
      <c r="B56" s="203"/>
      <c r="C56" s="203"/>
      <c r="D56" s="203"/>
      <c r="E56" s="203"/>
      <c r="F56" s="203"/>
      <c r="G56" s="203"/>
      <c r="H56" s="203"/>
      <c r="I56" s="203"/>
      <c r="J56" s="203"/>
      <c r="K56" s="203"/>
      <c r="L56" s="203"/>
      <c r="M56" s="203"/>
      <c r="N56" s="203"/>
      <c r="O56" s="203"/>
      <c r="P56" s="203"/>
      <c r="Q56" s="203"/>
      <c r="R56" s="203"/>
      <c r="S56" s="203"/>
      <c r="T56" s="203"/>
      <c r="U56" s="203"/>
    </row>
    <row r="57" spans="1:45" x14ac:dyDescent="0.2">
      <c r="A57" s="203"/>
      <c r="B57" s="203"/>
      <c r="C57" s="203"/>
      <c r="D57" s="203"/>
      <c r="E57" s="203"/>
      <c r="F57" s="203"/>
      <c r="G57" s="203"/>
      <c r="H57" s="203"/>
      <c r="I57" s="203"/>
      <c r="J57" s="203"/>
      <c r="K57" s="203"/>
      <c r="L57" s="203"/>
      <c r="M57" s="203"/>
      <c r="N57" s="203"/>
      <c r="O57" s="203"/>
      <c r="P57" s="203"/>
      <c r="Q57" s="203"/>
      <c r="R57" s="203"/>
      <c r="S57" s="203"/>
      <c r="T57" s="203"/>
      <c r="U57" s="203"/>
    </row>
  </sheetData>
  <mergeCells count="34">
    <mergeCell ref="C22:C24"/>
    <mergeCell ref="D22:D24"/>
    <mergeCell ref="E22:L22"/>
    <mergeCell ref="M22:P22"/>
    <mergeCell ref="B34:O34"/>
    <mergeCell ref="Q22:T22"/>
    <mergeCell ref="E23:H23"/>
    <mergeCell ref="I23:L23"/>
    <mergeCell ref="M23:N23"/>
    <mergeCell ref="O23:P23"/>
    <mergeCell ref="Q23:R23"/>
    <mergeCell ref="S23:T23"/>
    <mergeCell ref="Q4:T4"/>
    <mergeCell ref="Q5:R5"/>
    <mergeCell ref="S5:T5"/>
    <mergeCell ref="M4:P4"/>
    <mergeCell ref="M5:N5"/>
    <mergeCell ref="O5:P5"/>
    <mergeCell ref="B54:G54"/>
    <mergeCell ref="B55:G55"/>
    <mergeCell ref="I5:L5"/>
    <mergeCell ref="F45:G45"/>
    <mergeCell ref="B45:B46"/>
    <mergeCell ref="C45:C46"/>
    <mergeCell ref="D45:E45"/>
    <mergeCell ref="B41:G41"/>
    <mergeCell ref="B4:B6"/>
    <mergeCell ref="C4:C6"/>
    <mergeCell ref="D4:D6"/>
    <mergeCell ref="E4:L4"/>
    <mergeCell ref="E5:H5"/>
    <mergeCell ref="C44:G44"/>
    <mergeCell ref="B22:B24"/>
    <mergeCell ref="B38:L3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sheetPr>
  <dimension ref="A1:IL54"/>
  <sheetViews>
    <sheetView showGridLines="0" zoomScaleNormal="100" workbookViewId="0"/>
  </sheetViews>
  <sheetFormatPr defaultColWidth="26.5703125" defaultRowHeight="15" x14ac:dyDescent="0.25"/>
  <cols>
    <col min="1" max="1" width="22.5703125" style="70" bestFit="1" customWidth="1"/>
    <col min="2" max="2" width="7.42578125" bestFit="1" customWidth="1"/>
    <col min="3" max="3" width="10.85546875" bestFit="1" customWidth="1"/>
    <col min="4" max="4" width="44.42578125" bestFit="1" customWidth="1"/>
    <col min="5" max="5" width="31.85546875" bestFit="1" customWidth="1"/>
    <col min="6" max="6" width="35" bestFit="1" customWidth="1"/>
    <col min="7" max="7" width="24.42578125" bestFit="1" customWidth="1"/>
    <col min="8" max="8" width="21.85546875" bestFit="1" customWidth="1"/>
    <col min="9" max="9" width="11.42578125" bestFit="1" customWidth="1"/>
    <col min="10" max="10" width="21.42578125" bestFit="1" customWidth="1"/>
    <col min="11" max="11" width="27" style="70" bestFit="1" customWidth="1"/>
    <col min="12" max="12" width="27.140625" style="70" bestFit="1" customWidth="1"/>
    <col min="13" max="13" width="16.140625" bestFit="1" customWidth="1"/>
    <col min="14" max="14" width="14.42578125" bestFit="1" customWidth="1"/>
    <col min="15" max="15" width="20.42578125" bestFit="1" customWidth="1"/>
    <col min="16" max="16" width="23" bestFit="1" customWidth="1"/>
    <col min="17" max="17" width="22.5703125" bestFit="1" customWidth="1"/>
    <col min="18" max="18" width="17.85546875" bestFit="1" customWidth="1"/>
    <col min="19" max="19" width="58.85546875" bestFit="1" customWidth="1"/>
    <col min="20" max="20" width="31.42578125" bestFit="1" customWidth="1"/>
    <col min="21" max="21" width="22.42578125" bestFit="1" customWidth="1"/>
    <col min="22" max="22" width="21.5703125" bestFit="1" customWidth="1"/>
    <col min="23" max="23" width="16.140625" bestFit="1" customWidth="1"/>
    <col min="24" max="24" width="23.85546875" bestFit="1" customWidth="1"/>
    <col min="25" max="25" width="31.5703125" bestFit="1" customWidth="1"/>
    <col min="26" max="26" width="26.5703125" bestFit="1" customWidth="1"/>
    <col min="27" max="27" width="28.85546875" bestFit="1" customWidth="1"/>
    <col min="28" max="28" width="28.5703125" bestFit="1" customWidth="1"/>
    <col min="29" max="29" width="31.42578125" bestFit="1" customWidth="1"/>
    <col min="30" max="30" width="39.5703125" bestFit="1" customWidth="1"/>
    <col min="31" max="38" width="14.85546875" bestFit="1" customWidth="1"/>
    <col min="39" max="39" width="36.42578125" bestFit="1" customWidth="1"/>
    <col min="40" max="40" width="38.85546875" bestFit="1" customWidth="1"/>
    <col min="41" max="41" width="39" bestFit="1" customWidth="1"/>
    <col min="42" max="42" width="41.140625" bestFit="1" customWidth="1"/>
    <col min="43" max="43" width="41.5703125" bestFit="1" customWidth="1"/>
    <col min="44" max="44" width="36.42578125" bestFit="1" customWidth="1"/>
    <col min="45" max="45" width="38.85546875" bestFit="1" customWidth="1"/>
    <col min="46" max="46" width="39" bestFit="1" customWidth="1"/>
    <col min="47" max="47" width="38.5703125" bestFit="1" customWidth="1"/>
    <col min="48" max="48" width="39" bestFit="1" customWidth="1"/>
    <col min="49" max="58" width="32.42578125" bestFit="1" customWidth="1"/>
    <col min="59" max="59" width="33.85546875" bestFit="1" customWidth="1"/>
    <col min="60" max="60" width="32.42578125" bestFit="1" customWidth="1"/>
    <col min="61" max="61" width="31.5703125" bestFit="1" customWidth="1"/>
    <col min="62" max="62" width="35.140625" bestFit="1" customWidth="1"/>
    <col min="63" max="64" width="36.5703125" bestFit="1" customWidth="1"/>
    <col min="65" max="65" width="36.140625" bestFit="1" customWidth="1"/>
    <col min="66" max="66" width="36.42578125" bestFit="1" customWidth="1"/>
    <col min="67" max="67" width="36.5703125" bestFit="1" customWidth="1"/>
    <col min="68" max="69" width="35.85546875" bestFit="1" customWidth="1"/>
    <col min="70" max="71" width="33.85546875" bestFit="1" customWidth="1"/>
    <col min="72" max="72" width="36.42578125" bestFit="1" customWidth="1"/>
    <col min="73" max="73" width="36.5703125" bestFit="1" customWidth="1"/>
    <col min="74" max="74" width="38.5703125" bestFit="1" customWidth="1"/>
    <col min="75" max="75" width="39.140625" bestFit="1" customWidth="1"/>
    <col min="76" max="78" width="32.42578125" bestFit="1" customWidth="1"/>
    <col min="79" max="79" width="39.5703125" bestFit="1" customWidth="1"/>
    <col min="80" max="80" width="32.42578125" bestFit="1" customWidth="1"/>
    <col min="81" max="81" width="36.42578125" bestFit="1" customWidth="1"/>
    <col min="82" max="82" width="32.42578125" bestFit="1" customWidth="1"/>
    <col min="83" max="83" width="38.5703125" bestFit="1" customWidth="1"/>
    <col min="84" max="85" width="32.42578125" bestFit="1" customWidth="1"/>
    <col min="86" max="86" width="33.85546875" bestFit="1" customWidth="1"/>
    <col min="87" max="87" width="36.42578125" bestFit="1" customWidth="1"/>
    <col min="88" max="88" width="36.5703125" bestFit="1" customWidth="1"/>
    <col min="89" max="91" width="37" bestFit="1" customWidth="1"/>
    <col min="92" max="92" width="33.85546875" bestFit="1" customWidth="1"/>
    <col min="93" max="93" width="36.42578125" bestFit="1" customWidth="1"/>
    <col min="94" max="94" width="36.5703125" bestFit="1" customWidth="1"/>
    <col min="95" max="95" width="36.42578125" bestFit="1" customWidth="1"/>
    <col min="96" max="102" width="34.85546875" bestFit="1" customWidth="1"/>
    <col min="103" max="103" width="37.42578125" bestFit="1" customWidth="1"/>
    <col min="104" max="104" width="37.5703125" bestFit="1" customWidth="1"/>
    <col min="105" max="105" width="37.42578125" bestFit="1" customWidth="1"/>
    <col min="106" max="107" width="32.42578125" bestFit="1" customWidth="1"/>
    <col min="108" max="108" width="39.5703125" bestFit="1" customWidth="1"/>
    <col min="109" max="109" width="41.85546875" bestFit="1" customWidth="1"/>
    <col min="110" max="110" width="42.42578125" bestFit="1" customWidth="1"/>
    <col min="111" max="111" width="43" bestFit="1" customWidth="1"/>
    <col min="112" max="112" width="42.85546875" bestFit="1" customWidth="1"/>
    <col min="113" max="114" width="40" bestFit="1" customWidth="1"/>
    <col min="115" max="115" width="39.5703125" bestFit="1" customWidth="1"/>
    <col min="116" max="117" width="37.42578125" bestFit="1" customWidth="1"/>
    <col min="118" max="118" width="39.85546875" bestFit="1" customWidth="1"/>
    <col min="119" max="119" width="42" bestFit="1" customWidth="1"/>
    <col min="120" max="123" width="32.42578125" bestFit="1" customWidth="1"/>
    <col min="124" max="124" width="42.5703125" bestFit="1" customWidth="1"/>
    <col min="125" max="125" width="40" bestFit="1" customWidth="1"/>
    <col min="126" max="126" width="39.5703125" bestFit="1" customWidth="1"/>
    <col min="127" max="127" width="40" bestFit="1" customWidth="1"/>
    <col min="128" max="128" width="42.140625" bestFit="1" customWidth="1"/>
    <col min="129" max="129" width="42.5703125" bestFit="1" customWidth="1"/>
    <col min="130" max="130" width="40" bestFit="1" customWidth="1"/>
    <col min="131" max="132" width="37.42578125" bestFit="1" customWidth="1"/>
    <col min="133" max="133" width="32.42578125" bestFit="1" customWidth="1"/>
    <col min="134" max="134" width="42" bestFit="1" customWidth="1"/>
    <col min="135" max="135" width="42.5703125" bestFit="1" customWidth="1"/>
    <col min="136" max="136" width="40" bestFit="1" customWidth="1"/>
    <col min="137" max="137" width="42.140625" bestFit="1" customWidth="1"/>
    <col min="138" max="138" width="42.5703125" bestFit="1" customWidth="1"/>
    <col min="139" max="139" width="43.42578125" bestFit="1" customWidth="1"/>
    <col min="140" max="140" width="39.5703125" bestFit="1" customWidth="1"/>
    <col min="141" max="143" width="37.42578125" bestFit="1" customWidth="1"/>
    <col min="144" max="146" width="32.42578125" bestFit="1" customWidth="1"/>
    <col min="147" max="147" width="43.140625" bestFit="1" customWidth="1"/>
    <col min="148" max="148" width="43" bestFit="1" customWidth="1"/>
    <col min="149" max="152" width="32.42578125" bestFit="1" customWidth="1"/>
    <col min="153" max="153" width="40" bestFit="1" customWidth="1"/>
    <col min="154" max="155" width="37.42578125" bestFit="1" customWidth="1"/>
    <col min="156" max="156" width="39.85546875" bestFit="1" customWidth="1"/>
    <col min="157" max="157" width="42" bestFit="1" customWidth="1"/>
    <col min="158" max="158" width="32.42578125" bestFit="1" customWidth="1"/>
    <col min="159" max="159" width="37" bestFit="1" customWidth="1"/>
    <col min="160" max="160" width="39.5703125" bestFit="1" customWidth="1"/>
    <col min="161" max="162" width="37.42578125" bestFit="1" customWidth="1"/>
    <col min="163" max="167" width="32.42578125" bestFit="1" customWidth="1"/>
    <col min="168" max="168" width="39.5703125" bestFit="1" customWidth="1"/>
    <col min="169" max="169" width="37.42578125" bestFit="1" customWidth="1"/>
    <col min="170" max="170" width="39.85546875" bestFit="1" customWidth="1"/>
    <col min="171" max="171" width="40" bestFit="1" customWidth="1"/>
    <col min="172" max="172" width="39.5703125" bestFit="1" customWidth="1"/>
    <col min="173" max="173" width="37.42578125" bestFit="1" customWidth="1"/>
    <col min="174" max="176" width="34.85546875" bestFit="1" customWidth="1"/>
    <col min="177" max="177" width="37.42578125" bestFit="1" customWidth="1"/>
    <col min="178" max="178" width="37.5703125" bestFit="1" customWidth="1"/>
    <col min="179" max="179" width="37.42578125" bestFit="1" customWidth="1"/>
    <col min="180" max="181" width="32.42578125" bestFit="1" customWidth="1"/>
    <col min="182" max="182" width="39.5703125" bestFit="1" customWidth="1"/>
    <col min="183" max="183" width="40" bestFit="1" customWidth="1"/>
    <col min="184" max="184" width="37.42578125" bestFit="1" customWidth="1"/>
    <col min="185" max="185" width="39.85546875" bestFit="1" customWidth="1"/>
    <col min="186" max="186" width="40" bestFit="1" customWidth="1"/>
    <col min="187" max="187" width="37.42578125" bestFit="1" customWidth="1"/>
    <col min="188" max="188" width="39.85546875" bestFit="1" customWidth="1"/>
    <col min="189" max="189" width="40" bestFit="1" customWidth="1"/>
    <col min="190" max="190" width="37" bestFit="1" customWidth="1"/>
    <col min="191" max="191" width="37.42578125" bestFit="1" customWidth="1"/>
    <col min="192" max="192" width="32.42578125" bestFit="1" customWidth="1"/>
    <col min="193" max="193" width="40" bestFit="1" customWidth="1"/>
    <col min="194" max="194" width="39.5703125" bestFit="1" customWidth="1"/>
    <col min="195" max="196" width="40" bestFit="1" customWidth="1"/>
    <col min="197" max="197" width="39.5703125" bestFit="1" customWidth="1"/>
    <col min="198" max="198" width="39.85546875" bestFit="1" customWidth="1"/>
    <col min="199" max="199" width="32.42578125" bestFit="1" customWidth="1"/>
    <col min="200" max="201" width="39.42578125" bestFit="1" customWidth="1"/>
    <col min="202" max="202" width="37.42578125" bestFit="1" customWidth="1"/>
    <col min="203" max="203" width="39.85546875" bestFit="1" customWidth="1"/>
    <col min="204" max="204" width="40" bestFit="1" customWidth="1"/>
    <col min="205" max="206" width="32.42578125" bestFit="1" customWidth="1"/>
    <col min="207" max="207" width="39.5703125" bestFit="1" customWidth="1"/>
    <col min="208" max="208" width="40" bestFit="1" customWidth="1"/>
    <col min="209" max="209" width="37.42578125" bestFit="1" customWidth="1"/>
    <col min="210" max="210" width="39.85546875" bestFit="1" customWidth="1"/>
    <col min="211" max="211" width="32.42578125" bestFit="1" customWidth="1"/>
    <col min="212" max="212" width="39.5703125" bestFit="1" customWidth="1"/>
    <col min="213" max="214" width="32.42578125" bestFit="1" customWidth="1"/>
    <col min="215" max="215" width="39.5703125" bestFit="1" customWidth="1"/>
    <col min="216" max="216" width="39.85546875" bestFit="1" customWidth="1"/>
    <col min="217" max="217" width="37.42578125" bestFit="1" customWidth="1"/>
    <col min="218" max="220" width="32.42578125" bestFit="1" customWidth="1"/>
    <col min="221" max="221" width="34.85546875" bestFit="1" customWidth="1"/>
    <col min="222" max="222" width="37.42578125" bestFit="1" customWidth="1"/>
    <col min="223" max="223" width="37.5703125" bestFit="1" customWidth="1"/>
    <col min="224" max="224" width="37.42578125" bestFit="1" customWidth="1"/>
    <col min="225" max="226" width="37.5703125" bestFit="1" customWidth="1"/>
    <col min="227" max="227" width="37.140625" bestFit="1" customWidth="1"/>
    <col min="228" max="228" width="37.42578125" bestFit="1" customWidth="1"/>
    <col min="229" max="229" width="37.5703125" bestFit="1" customWidth="1"/>
    <col min="230" max="230" width="37" bestFit="1" customWidth="1"/>
    <col min="231" max="240" width="22.42578125" bestFit="1" customWidth="1"/>
    <col min="241" max="243" width="26.42578125" bestFit="1" customWidth="1"/>
    <col min="244" max="244" width="25.140625" bestFit="1" customWidth="1"/>
    <col min="245" max="245" width="27.5703125" bestFit="1" customWidth="1"/>
    <col min="246" max="246" width="27" bestFit="1" customWidth="1"/>
  </cols>
  <sheetData>
    <row r="1" spans="1:246" ht="15.75" x14ac:dyDescent="0.25">
      <c r="A1" s="234" t="s">
        <v>2679</v>
      </c>
      <c r="B1" s="203"/>
      <c r="C1" s="203"/>
      <c r="D1" s="203"/>
      <c r="E1" s="203"/>
      <c r="K1"/>
      <c r="L1"/>
    </row>
    <row r="2" spans="1:246" ht="15.75" x14ac:dyDescent="0.25">
      <c r="A2" s="314" t="str">
        <f>Cover!C8</f>
        <v>Inspections from 1 September 2019 to 31 December 2019, published by 31 December 2019</v>
      </c>
      <c r="B2" s="203"/>
      <c r="C2" s="203"/>
      <c r="D2" s="203"/>
      <c r="E2" s="203"/>
      <c r="K2"/>
      <c r="L2"/>
    </row>
    <row r="3" spans="1:246" ht="11.45" customHeight="1" x14ac:dyDescent="0.25">
      <c r="K3"/>
      <c r="L3"/>
    </row>
    <row r="4" spans="1:246" s="317" customFormat="1" ht="56.45" customHeight="1" x14ac:dyDescent="0.25">
      <c r="A4" s="335" t="s">
        <v>87</v>
      </c>
      <c r="B4" s="336" t="s">
        <v>90</v>
      </c>
      <c r="C4" s="336" t="s">
        <v>92</v>
      </c>
      <c r="D4" s="336" t="s">
        <v>94</v>
      </c>
      <c r="E4" s="336" t="s">
        <v>96</v>
      </c>
      <c r="F4" s="336" t="s">
        <v>111</v>
      </c>
      <c r="G4" s="336" t="s">
        <v>421</v>
      </c>
      <c r="H4" s="336" t="s">
        <v>116</v>
      </c>
      <c r="I4" s="336" t="s">
        <v>119</v>
      </c>
      <c r="J4" s="336" t="s">
        <v>104</v>
      </c>
      <c r="K4" s="336" t="s">
        <v>106</v>
      </c>
      <c r="L4" s="336" t="s">
        <v>56</v>
      </c>
      <c r="M4" s="336" t="s">
        <v>57</v>
      </c>
      <c r="N4" s="336" t="s">
        <v>122</v>
      </c>
      <c r="O4" s="336" t="s">
        <v>124</v>
      </c>
      <c r="P4" s="336" t="s">
        <v>126</v>
      </c>
      <c r="Q4" s="336" t="s">
        <v>128</v>
      </c>
      <c r="R4" s="336" t="s">
        <v>130</v>
      </c>
      <c r="S4" s="336" t="s">
        <v>132</v>
      </c>
      <c r="T4" s="336" t="s">
        <v>2663</v>
      </c>
      <c r="U4" s="336" t="s">
        <v>136</v>
      </c>
      <c r="V4" s="336" t="s">
        <v>2656</v>
      </c>
      <c r="W4" s="336" t="s">
        <v>2658</v>
      </c>
      <c r="X4" s="336" t="s">
        <v>2657</v>
      </c>
      <c r="Y4" s="336" t="s">
        <v>137</v>
      </c>
      <c r="Z4" s="336" t="s">
        <v>141</v>
      </c>
      <c r="AA4" s="336" t="s">
        <v>2664</v>
      </c>
      <c r="AB4" s="336" t="s">
        <v>2665</v>
      </c>
      <c r="AC4" s="336" t="s">
        <v>210</v>
      </c>
      <c r="AD4" s="336" t="s">
        <v>2629</v>
      </c>
      <c r="AE4" s="336" t="s">
        <v>211</v>
      </c>
      <c r="AF4" s="336" t="s">
        <v>212</v>
      </c>
      <c r="AG4" s="336" t="s">
        <v>213</v>
      </c>
      <c r="AH4" s="336" t="s">
        <v>214</v>
      </c>
      <c r="AI4" s="336" t="s">
        <v>215</v>
      </c>
      <c r="AJ4" s="336" t="s">
        <v>216</v>
      </c>
      <c r="AK4" s="336" t="s">
        <v>217</v>
      </c>
      <c r="AL4" s="336" t="s">
        <v>218</v>
      </c>
      <c r="AM4" s="336" t="s">
        <v>219</v>
      </c>
      <c r="AN4" s="336" t="s">
        <v>220</v>
      </c>
      <c r="AO4" s="336" t="s">
        <v>221</v>
      </c>
      <c r="AP4" s="336" t="s">
        <v>222</v>
      </c>
      <c r="AQ4" s="336" t="s">
        <v>223</v>
      </c>
      <c r="AR4" s="336" t="s">
        <v>224</v>
      </c>
      <c r="AS4" s="336" t="s">
        <v>225</v>
      </c>
      <c r="AT4" s="336" t="s">
        <v>226</v>
      </c>
      <c r="AU4" s="336" t="s">
        <v>227</v>
      </c>
      <c r="AV4" s="336" t="s">
        <v>228</v>
      </c>
      <c r="AW4" s="336" t="s">
        <v>229</v>
      </c>
      <c r="AX4" s="336" t="s">
        <v>230</v>
      </c>
      <c r="AY4" s="336" t="s">
        <v>231</v>
      </c>
      <c r="AZ4" s="336" t="s">
        <v>232</v>
      </c>
      <c r="BA4" s="336" t="s">
        <v>233</v>
      </c>
      <c r="BB4" s="336" t="s">
        <v>234</v>
      </c>
      <c r="BC4" s="336" t="s">
        <v>235</v>
      </c>
      <c r="BD4" s="336" t="s">
        <v>236</v>
      </c>
      <c r="BE4" s="336" t="s">
        <v>237</v>
      </c>
      <c r="BF4" s="336" t="s">
        <v>238</v>
      </c>
      <c r="BG4" s="336" t="s">
        <v>239</v>
      </c>
      <c r="BH4" s="336" t="s">
        <v>240</v>
      </c>
      <c r="BI4" s="336" t="s">
        <v>241</v>
      </c>
      <c r="BJ4" s="336" t="s">
        <v>242</v>
      </c>
      <c r="BK4" s="336" t="s">
        <v>243</v>
      </c>
      <c r="BL4" s="336" t="s">
        <v>244</v>
      </c>
      <c r="BM4" s="336" t="s">
        <v>245</v>
      </c>
      <c r="BN4" s="336" t="s">
        <v>246</v>
      </c>
      <c r="BO4" s="336" t="s">
        <v>247</v>
      </c>
      <c r="BP4" s="336" t="s">
        <v>248</v>
      </c>
      <c r="BQ4" s="336" t="s">
        <v>249</v>
      </c>
      <c r="BR4" s="336" t="s">
        <v>250</v>
      </c>
      <c r="BS4" s="336" t="s">
        <v>251</v>
      </c>
      <c r="BT4" s="336" t="s">
        <v>252</v>
      </c>
      <c r="BU4" s="336" t="s">
        <v>253</v>
      </c>
      <c r="BV4" s="336" t="s">
        <v>254</v>
      </c>
      <c r="BW4" s="336" t="s">
        <v>255</v>
      </c>
      <c r="BX4" s="336" t="s">
        <v>256</v>
      </c>
      <c r="BY4" s="336" t="s">
        <v>257</v>
      </c>
      <c r="BZ4" s="336" t="s">
        <v>258</v>
      </c>
      <c r="CA4" s="336" t="s">
        <v>259</v>
      </c>
      <c r="CB4" s="336" t="s">
        <v>260</v>
      </c>
      <c r="CC4" s="336" t="s">
        <v>261</v>
      </c>
      <c r="CD4" s="336" t="s">
        <v>262</v>
      </c>
      <c r="CE4" s="336" t="s">
        <v>263</v>
      </c>
      <c r="CF4" s="336" t="s">
        <v>264</v>
      </c>
      <c r="CG4" s="336" t="s">
        <v>265</v>
      </c>
      <c r="CH4" s="336" t="s">
        <v>266</v>
      </c>
      <c r="CI4" s="336" t="s">
        <v>267</v>
      </c>
      <c r="CJ4" s="336" t="s">
        <v>268</v>
      </c>
      <c r="CK4" s="336" t="s">
        <v>269</v>
      </c>
      <c r="CL4" s="336" t="s">
        <v>270</v>
      </c>
      <c r="CM4" s="336" t="s">
        <v>271</v>
      </c>
      <c r="CN4" s="336" t="s">
        <v>272</v>
      </c>
      <c r="CO4" s="336" t="s">
        <v>273</v>
      </c>
      <c r="CP4" s="336" t="s">
        <v>274</v>
      </c>
      <c r="CQ4" s="336" t="s">
        <v>275</v>
      </c>
      <c r="CR4" s="336" t="s">
        <v>276</v>
      </c>
      <c r="CS4" s="336" t="s">
        <v>277</v>
      </c>
      <c r="CT4" s="336" t="s">
        <v>278</v>
      </c>
      <c r="CU4" s="336" t="s">
        <v>279</v>
      </c>
      <c r="CV4" s="336" t="s">
        <v>280</v>
      </c>
      <c r="CW4" s="336" t="s">
        <v>281</v>
      </c>
      <c r="CX4" s="336" t="s">
        <v>282</v>
      </c>
      <c r="CY4" s="336" t="s">
        <v>283</v>
      </c>
      <c r="CZ4" s="336" t="s">
        <v>284</v>
      </c>
      <c r="DA4" s="336" t="s">
        <v>285</v>
      </c>
      <c r="DB4" s="336" t="s">
        <v>286</v>
      </c>
      <c r="DC4" s="336" t="s">
        <v>287</v>
      </c>
      <c r="DD4" s="336" t="s">
        <v>288</v>
      </c>
      <c r="DE4" s="336" t="s">
        <v>289</v>
      </c>
      <c r="DF4" s="336" t="s">
        <v>290</v>
      </c>
      <c r="DG4" s="336" t="s">
        <v>291</v>
      </c>
      <c r="DH4" s="336" t="s">
        <v>292</v>
      </c>
      <c r="DI4" s="336" t="s">
        <v>293</v>
      </c>
      <c r="DJ4" s="336" t="s">
        <v>294</v>
      </c>
      <c r="DK4" s="336" t="s">
        <v>295</v>
      </c>
      <c r="DL4" s="336" t="s">
        <v>296</v>
      </c>
      <c r="DM4" s="336" t="s">
        <v>297</v>
      </c>
      <c r="DN4" s="336" t="s">
        <v>298</v>
      </c>
      <c r="DO4" s="336" t="s">
        <v>299</v>
      </c>
      <c r="DP4" s="336" t="s">
        <v>300</v>
      </c>
      <c r="DQ4" s="336" t="s">
        <v>301</v>
      </c>
      <c r="DR4" s="336" t="s">
        <v>302</v>
      </c>
      <c r="DS4" s="336" t="s">
        <v>2659</v>
      </c>
      <c r="DT4" s="336" t="s">
        <v>303</v>
      </c>
      <c r="DU4" s="336" t="s">
        <v>304</v>
      </c>
      <c r="DV4" s="336" t="s">
        <v>305</v>
      </c>
      <c r="DW4" s="336" t="s">
        <v>306</v>
      </c>
      <c r="DX4" s="336" t="s">
        <v>307</v>
      </c>
      <c r="DY4" s="336" t="s">
        <v>308</v>
      </c>
      <c r="DZ4" s="336" t="s">
        <v>309</v>
      </c>
      <c r="EA4" s="336" t="s">
        <v>310</v>
      </c>
      <c r="EB4" s="336" t="s">
        <v>311</v>
      </c>
      <c r="EC4" s="336" t="s">
        <v>312</v>
      </c>
      <c r="ED4" s="336" t="s">
        <v>313</v>
      </c>
      <c r="EE4" s="336" t="s">
        <v>314</v>
      </c>
      <c r="EF4" s="336" t="s">
        <v>315</v>
      </c>
      <c r="EG4" s="336" t="s">
        <v>316</v>
      </c>
      <c r="EH4" s="336" t="s">
        <v>317</v>
      </c>
      <c r="EI4" s="336" t="s">
        <v>318</v>
      </c>
      <c r="EJ4" s="336" t="s">
        <v>319</v>
      </c>
      <c r="EK4" s="336" t="s">
        <v>320</v>
      </c>
      <c r="EL4" s="336" t="s">
        <v>321</v>
      </c>
      <c r="EM4" s="336" t="s">
        <v>322</v>
      </c>
      <c r="EN4" s="336" t="s">
        <v>323</v>
      </c>
      <c r="EO4" s="336" t="s">
        <v>324</v>
      </c>
      <c r="EP4" s="336" t="s">
        <v>325</v>
      </c>
      <c r="EQ4" s="336" t="s">
        <v>326</v>
      </c>
      <c r="ER4" s="336" t="s">
        <v>327</v>
      </c>
      <c r="ES4" s="336" t="s">
        <v>328</v>
      </c>
      <c r="ET4" s="336" t="s">
        <v>329</v>
      </c>
      <c r="EU4" s="336" t="s">
        <v>330</v>
      </c>
      <c r="EV4" s="336" t="s">
        <v>331</v>
      </c>
      <c r="EW4" s="336" t="s">
        <v>332</v>
      </c>
      <c r="EX4" s="336" t="s">
        <v>333</v>
      </c>
      <c r="EY4" s="336" t="s">
        <v>334</v>
      </c>
      <c r="EZ4" s="336" t="s">
        <v>335</v>
      </c>
      <c r="FA4" s="336" t="s">
        <v>336</v>
      </c>
      <c r="FB4" s="336" t="s">
        <v>337</v>
      </c>
      <c r="FC4" s="336" t="s">
        <v>338</v>
      </c>
      <c r="FD4" s="336" t="s">
        <v>339</v>
      </c>
      <c r="FE4" s="336" t="s">
        <v>340</v>
      </c>
      <c r="FF4" s="336" t="s">
        <v>341</v>
      </c>
      <c r="FG4" s="336" t="s">
        <v>342</v>
      </c>
      <c r="FH4" s="336" t="s">
        <v>343</v>
      </c>
      <c r="FI4" s="336" t="s">
        <v>344</v>
      </c>
      <c r="FJ4" s="336" t="s">
        <v>345</v>
      </c>
      <c r="FK4" s="336" t="s">
        <v>346</v>
      </c>
      <c r="FL4" s="336" t="s">
        <v>347</v>
      </c>
      <c r="FM4" s="336" t="s">
        <v>348</v>
      </c>
      <c r="FN4" s="336" t="s">
        <v>349</v>
      </c>
      <c r="FO4" s="336" t="s">
        <v>350</v>
      </c>
      <c r="FP4" s="336" t="s">
        <v>351</v>
      </c>
      <c r="FQ4" s="336" t="s">
        <v>352</v>
      </c>
      <c r="FR4" s="336" t="s">
        <v>353</v>
      </c>
      <c r="FS4" s="336" t="s">
        <v>354</v>
      </c>
      <c r="FT4" s="336" t="s">
        <v>355</v>
      </c>
      <c r="FU4" s="336" t="s">
        <v>356</v>
      </c>
      <c r="FV4" s="336" t="s">
        <v>357</v>
      </c>
      <c r="FW4" s="336" t="s">
        <v>358</v>
      </c>
      <c r="FX4" s="336" t="s">
        <v>359</v>
      </c>
      <c r="FY4" s="336" t="s">
        <v>360</v>
      </c>
      <c r="FZ4" s="336" t="s">
        <v>361</v>
      </c>
      <c r="GA4" s="336" t="s">
        <v>362</v>
      </c>
      <c r="GB4" s="336" t="s">
        <v>363</v>
      </c>
      <c r="GC4" s="336" t="s">
        <v>364</v>
      </c>
      <c r="GD4" s="336" t="s">
        <v>365</v>
      </c>
      <c r="GE4" s="336" t="s">
        <v>366</v>
      </c>
      <c r="GF4" s="336" t="s">
        <v>367</v>
      </c>
      <c r="GG4" s="336" t="s">
        <v>368</v>
      </c>
      <c r="GH4" s="336" t="s">
        <v>369</v>
      </c>
      <c r="GI4" s="336" t="s">
        <v>370</v>
      </c>
      <c r="GJ4" s="336" t="s">
        <v>371</v>
      </c>
      <c r="GK4" s="336" t="s">
        <v>372</v>
      </c>
      <c r="GL4" s="336" t="s">
        <v>373</v>
      </c>
      <c r="GM4" s="336" t="s">
        <v>374</v>
      </c>
      <c r="GN4" s="336" t="s">
        <v>375</v>
      </c>
      <c r="GO4" s="336" t="s">
        <v>376</v>
      </c>
      <c r="GP4" s="336" t="s">
        <v>377</v>
      </c>
      <c r="GQ4" s="336" t="s">
        <v>378</v>
      </c>
      <c r="GR4" s="336" t="s">
        <v>379</v>
      </c>
      <c r="GS4" s="336" t="s">
        <v>380</v>
      </c>
      <c r="GT4" s="336" t="s">
        <v>381</v>
      </c>
      <c r="GU4" s="336" t="s">
        <v>382</v>
      </c>
      <c r="GV4" s="336" t="s">
        <v>383</v>
      </c>
      <c r="GW4" s="336" t="s">
        <v>384</v>
      </c>
      <c r="GX4" s="336" t="s">
        <v>385</v>
      </c>
      <c r="GY4" s="336" t="s">
        <v>386</v>
      </c>
      <c r="GZ4" s="336" t="s">
        <v>387</v>
      </c>
      <c r="HA4" s="336" t="s">
        <v>388</v>
      </c>
      <c r="HB4" s="336" t="s">
        <v>389</v>
      </c>
      <c r="HC4" s="336" t="s">
        <v>390</v>
      </c>
      <c r="HD4" s="336" t="s">
        <v>391</v>
      </c>
      <c r="HE4" s="336" t="s">
        <v>392</v>
      </c>
      <c r="HF4" s="336" t="s">
        <v>393</v>
      </c>
      <c r="HG4" s="336" t="s">
        <v>394</v>
      </c>
      <c r="HH4" s="336" t="s">
        <v>395</v>
      </c>
      <c r="HI4" s="336" t="s">
        <v>396</v>
      </c>
      <c r="HJ4" s="336" t="s">
        <v>397</v>
      </c>
      <c r="HK4" s="336" t="s">
        <v>398</v>
      </c>
      <c r="HL4" s="336" t="s">
        <v>399</v>
      </c>
      <c r="HM4" s="336" t="s">
        <v>400</v>
      </c>
      <c r="HN4" s="336" t="s">
        <v>401</v>
      </c>
      <c r="HO4" s="336" t="s">
        <v>402</v>
      </c>
      <c r="HP4" s="336" t="s">
        <v>403</v>
      </c>
      <c r="HQ4" s="336" t="s">
        <v>404</v>
      </c>
      <c r="HR4" s="336" t="s">
        <v>405</v>
      </c>
      <c r="HS4" s="336" t="s">
        <v>406</v>
      </c>
      <c r="HT4" s="336" t="s">
        <v>407</v>
      </c>
      <c r="HU4" s="336" t="s">
        <v>408</v>
      </c>
      <c r="HV4" s="336" t="s">
        <v>409</v>
      </c>
      <c r="HW4" s="336" t="s">
        <v>410</v>
      </c>
      <c r="HX4" s="336" t="s">
        <v>411</v>
      </c>
      <c r="HY4" s="336" t="s">
        <v>412</v>
      </c>
      <c r="HZ4" s="336" t="s">
        <v>413</v>
      </c>
      <c r="IA4" s="336" t="s">
        <v>414</v>
      </c>
      <c r="IB4" s="336" t="s">
        <v>415</v>
      </c>
      <c r="IC4" s="336" t="s">
        <v>416</v>
      </c>
      <c r="ID4" s="336" t="s">
        <v>417</v>
      </c>
      <c r="IE4" s="336" t="s">
        <v>418</v>
      </c>
      <c r="IF4" s="336" t="s">
        <v>419</v>
      </c>
      <c r="IG4" s="336" t="s">
        <v>2604</v>
      </c>
      <c r="IH4" s="336" t="s">
        <v>2603</v>
      </c>
      <c r="II4" s="336" t="s">
        <v>2605</v>
      </c>
      <c r="IJ4" s="336" t="s">
        <v>151</v>
      </c>
      <c r="IK4" s="336" t="s">
        <v>2641</v>
      </c>
      <c r="IL4" s="336" t="s">
        <v>2642</v>
      </c>
    </row>
    <row r="5" spans="1:246" x14ac:dyDescent="0.25">
      <c r="A5" s="334" t="str">
        <f>HYPERLINK("http://www.ofsted.gov.uk/inspection-reports/find-inspection-report/provider/ELS/138875 ","Ofsted School Webpage")</f>
        <v>Ofsted School Webpage</v>
      </c>
      <c r="B5" s="331">
        <v>138875</v>
      </c>
      <c r="C5" s="331">
        <v>8936030</v>
      </c>
      <c r="D5" s="331" t="s">
        <v>1066</v>
      </c>
      <c r="E5" s="331" t="s">
        <v>168</v>
      </c>
      <c r="F5" s="331" t="s">
        <v>437</v>
      </c>
      <c r="G5" s="331" t="s">
        <v>437</v>
      </c>
      <c r="H5" s="331" t="s">
        <v>587</v>
      </c>
      <c r="I5" s="331" t="s">
        <v>1067</v>
      </c>
      <c r="J5" s="331" t="s">
        <v>81</v>
      </c>
      <c r="K5" s="331" t="s">
        <v>81</v>
      </c>
      <c r="L5" s="331" t="s">
        <v>81</v>
      </c>
      <c r="M5" s="331" t="s">
        <v>78</v>
      </c>
      <c r="N5" s="331" t="s">
        <v>424</v>
      </c>
      <c r="O5" s="333">
        <v>10103981</v>
      </c>
      <c r="P5" s="332">
        <v>43746</v>
      </c>
      <c r="Q5" s="332">
        <v>43748</v>
      </c>
      <c r="R5" s="332">
        <v>43793</v>
      </c>
      <c r="S5" s="331" t="s">
        <v>425</v>
      </c>
      <c r="T5" s="331" t="s">
        <v>426</v>
      </c>
      <c r="U5" s="331">
        <v>2</v>
      </c>
      <c r="V5" s="331">
        <v>2</v>
      </c>
      <c r="W5" s="331">
        <v>2</v>
      </c>
      <c r="X5" s="331">
        <v>2</v>
      </c>
      <c r="Y5" s="331">
        <v>2</v>
      </c>
      <c r="Z5" s="331" t="s">
        <v>169</v>
      </c>
      <c r="AA5" s="331" t="s">
        <v>173</v>
      </c>
      <c r="AB5" s="331">
        <v>0</v>
      </c>
      <c r="AC5" s="331" t="s">
        <v>427</v>
      </c>
      <c r="AD5" s="331" t="s">
        <v>171</v>
      </c>
      <c r="AE5" s="331" t="s">
        <v>190</v>
      </c>
      <c r="AF5" s="331" t="s">
        <v>190</v>
      </c>
      <c r="AG5" s="331" t="s">
        <v>190</v>
      </c>
      <c r="AH5" s="331" t="s">
        <v>190</v>
      </c>
      <c r="AI5" s="331" t="s">
        <v>190</v>
      </c>
      <c r="AJ5" s="331" t="s">
        <v>190</v>
      </c>
      <c r="AK5" s="331" t="s">
        <v>190</v>
      </c>
      <c r="AL5" s="331" t="s">
        <v>190</v>
      </c>
      <c r="AM5" s="331" t="s">
        <v>190</v>
      </c>
      <c r="AN5" s="331" t="s">
        <v>190</v>
      </c>
      <c r="AO5" s="331" t="s">
        <v>190</v>
      </c>
      <c r="AP5" s="331" t="s">
        <v>190</v>
      </c>
      <c r="AQ5" s="331" t="s">
        <v>190</v>
      </c>
      <c r="AR5" s="331" t="s">
        <v>190</v>
      </c>
      <c r="AS5" s="331" t="s">
        <v>190</v>
      </c>
      <c r="AT5" s="331" t="s">
        <v>190</v>
      </c>
      <c r="AU5" s="331" t="s">
        <v>190</v>
      </c>
      <c r="AV5" s="331" t="s">
        <v>190</v>
      </c>
      <c r="AW5" s="331" t="s">
        <v>190</v>
      </c>
      <c r="AX5" s="331" t="s">
        <v>190</v>
      </c>
      <c r="AY5" s="331" t="s">
        <v>190</v>
      </c>
      <c r="AZ5" s="331" t="s">
        <v>190</v>
      </c>
      <c r="BA5" s="331" t="s">
        <v>190</v>
      </c>
      <c r="BB5" s="331" t="s">
        <v>190</v>
      </c>
      <c r="BC5" s="331" t="s">
        <v>428</v>
      </c>
      <c r="BD5" s="331" t="s">
        <v>190</v>
      </c>
      <c r="BE5" s="331" t="s">
        <v>190</v>
      </c>
      <c r="BF5" s="331" t="s">
        <v>190</v>
      </c>
      <c r="BG5" s="331" t="s">
        <v>190</v>
      </c>
      <c r="BH5" s="331" t="s">
        <v>190</v>
      </c>
      <c r="BI5" s="331" t="s">
        <v>190</v>
      </c>
      <c r="BJ5" s="331" t="s">
        <v>190</v>
      </c>
      <c r="BK5" s="331" t="s">
        <v>190</v>
      </c>
      <c r="BL5" s="331" t="s">
        <v>190</v>
      </c>
      <c r="BM5" s="331" t="s">
        <v>190</v>
      </c>
      <c r="BN5" s="331" t="s">
        <v>190</v>
      </c>
      <c r="BO5" s="331" t="s">
        <v>190</v>
      </c>
      <c r="BP5" s="331" t="s">
        <v>190</v>
      </c>
      <c r="BQ5" s="331" t="s">
        <v>190</v>
      </c>
      <c r="BR5" s="331" t="s">
        <v>190</v>
      </c>
      <c r="BS5" s="331" t="s">
        <v>190</v>
      </c>
      <c r="BT5" s="331" t="s">
        <v>190</v>
      </c>
      <c r="BU5" s="331" t="s">
        <v>190</v>
      </c>
      <c r="BV5" s="331" t="s">
        <v>190</v>
      </c>
      <c r="BW5" s="331" t="s">
        <v>190</v>
      </c>
      <c r="BX5" s="331" t="s">
        <v>190</v>
      </c>
      <c r="BY5" s="331" t="s">
        <v>190</v>
      </c>
      <c r="BZ5" s="331" t="s">
        <v>190</v>
      </c>
      <c r="CA5" s="331" t="s">
        <v>190</v>
      </c>
      <c r="CB5" s="331" t="s">
        <v>190</v>
      </c>
      <c r="CC5" s="331" t="s">
        <v>190</v>
      </c>
      <c r="CD5" s="331" t="s">
        <v>190</v>
      </c>
      <c r="CE5" s="331" t="s">
        <v>190</v>
      </c>
      <c r="CF5" s="331" t="s">
        <v>190</v>
      </c>
      <c r="CG5" s="331" t="s">
        <v>190</v>
      </c>
      <c r="CH5" s="331" t="s">
        <v>190</v>
      </c>
      <c r="CI5" s="331" t="s">
        <v>190</v>
      </c>
      <c r="CJ5" s="331" t="s">
        <v>190</v>
      </c>
      <c r="CK5" s="331" t="s">
        <v>428</v>
      </c>
      <c r="CL5" s="331" t="s">
        <v>428</v>
      </c>
      <c r="CM5" s="331" t="s">
        <v>428</v>
      </c>
      <c r="CN5" s="331" t="s">
        <v>190</v>
      </c>
      <c r="CO5" s="331" t="s">
        <v>190</v>
      </c>
      <c r="CP5" s="331" t="s">
        <v>190</v>
      </c>
      <c r="CQ5" s="331" t="s">
        <v>190</v>
      </c>
      <c r="CR5" s="331" t="s">
        <v>190</v>
      </c>
      <c r="CS5" s="331" t="s">
        <v>190</v>
      </c>
      <c r="CT5" s="331" t="s">
        <v>190</v>
      </c>
      <c r="CU5" s="331" t="s">
        <v>190</v>
      </c>
      <c r="CV5" s="331" t="s">
        <v>190</v>
      </c>
      <c r="CW5" s="331" t="s">
        <v>190</v>
      </c>
      <c r="CX5" s="331" t="s">
        <v>190</v>
      </c>
      <c r="CY5" s="331" t="s">
        <v>190</v>
      </c>
      <c r="CZ5" s="331" t="s">
        <v>190</v>
      </c>
      <c r="DA5" s="331" t="s">
        <v>190</v>
      </c>
      <c r="DB5" s="331" t="s">
        <v>190</v>
      </c>
      <c r="DC5" s="331" t="s">
        <v>190</v>
      </c>
      <c r="DD5" s="331" t="s">
        <v>190</v>
      </c>
      <c r="DE5" s="331" t="s">
        <v>190</v>
      </c>
      <c r="DF5" s="331" t="s">
        <v>190</v>
      </c>
      <c r="DG5" s="331" t="s">
        <v>190</v>
      </c>
      <c r="DH5" s="331" t="s">
        <v>190</v>
      </c>
      <c r="DI5" s="331" t="s">
        <v>190</v>
      </c>
      <c r="DJ5" s="331" t="s">
        <v>190</v>
      </c>
      <c r="DK5" s="331" t="s">
        <v>428</v>
      </c>
      <c r="DL5" s="331" t="s">
        <v>190</v>
      </c>
      <c r="DM5" s="331" t="s">
        <v>190</v>
      </c>
      <c r="DN5" s="331" t="s">
        <v>190</v>
      </c>
      <c r="DO5" s="331" t="s">
        <v>190</v>
      </c>
      <c r="DP5" s="331" t="s">
        <v>190</v>
      </c>
      <c r="DQ5" s="331" t="s">
        <v>190</v>
      </c>
      <c r="DR5" s="331" t="s">
        <v>190</v>
      </c>
      <c r="DS5" s="331" t="s">
        <v>190</v>
      </c>
      <c r="DT5" s="331" t="s">
        <v>190</v>
      </c>
      <c r="DU5" s="331" t="s">
        <v>190</v>
      </c>
      <c r="DV5" s="331" t="s">
        <v>190</v>
      </c>
      <c r="DW5" s="331" t="s">
        <v>190</v>
      </c>
      <c r="DX5" s="331" t="s">
        <v>190</v>
      </c>
      <c r="DY5" s="331" t="s">
        <v>190</v>
      </c>
      <c r="DZ5" s="331" t="s">
        <v>428</v>
      </c>
      <c r="EA5" s="331" t="s">
        <v>190</v>
      </c>
      <c r="EB5" s="331" t="s">
        <v>190</v>
      </c>
      <c r="EC5" s="331" t="s">
        <v>190</v>
      </c>
      <c r="ED5" s="331" t="s">
        <v>190</v>
      </c>
      <c r="EE5" s="331" t="s">
        <v>190</v>
      </c>
      <c r="EF5" s="331" t="s">
        <v>190</v>
      </c>
      <c r="EG5" s="331" t="s">
        <v>190</v>
      </c>
      <c r="EH5" s="331" t="s">
        <v>190</v>
      </c>
      <c r="EI5" s="331" t="s">
        <v>190</v>
      </c>
      <c r="EJ5" s="331" t="s">
        <v>190</v>
      </c>
      <c r="EK5" s="331" t="s">
        <v>190</v>
      </c>
      <c r="EL5" s="331" t="s">
        <v>190</v>
      </c>
      <c r="EM5" s="331" t="s">
        <v>190</v>
      </c>
      <c r="EN5" s="331" t="s">
        <v>190</v>
      </c>
      <c r="EO5" s="331" t="s">
        <v>190</v>
      </c>
      <c r="EP5" s="331" t="s">
        <v>190</v>
      </c>
      <c r="EQ5" s="331" t="s">
        <v>190</v>
      </c>
      <c r="ER5" s="331" t="s">
        <v>190</v>
      </c>
      <c r="ES5" s="331" t="s">
        <v>190</v>
      </c>
      <c r="ET5" s="331" t="s">
        <v>190</v>
      </c>
      <c r="EU5" s="331" t="s">
        <v>190</v>
      </c>
      <c r="EV5" s="331" t="s">
        <v>190</v>
      </c>
      <c r="EW5" s="331" t="s">
        <v>190</v>
      </c>
      <c r="EX5" s="331" t="s">
        <v>190</v>
      </c>
      <c r="EY5" s="331" t="s">
        <v>190</v>
      </c>
      <c r="EZ5" s="331" t="s">
        <v>190</v>
      </c>
      <c r="FA5" s="331" t="s">
        <v>190</v>
      </c>
      <c r="FB5" s="331" t="s">
        <v>190</v>
      </c>
      <c r="FC5" s="331" t="s">
        <v>190</v>
      </c>
      <c r="FD5" s="331" t="s">
        <v>190</v>
      </c>
      <c r="FE5" s="331" t="s">
        <v>190</v>
      </c>
      <c r="FF5" s="331" t="s">
        <v>190</v>
      </c>
      <c r="FG5" s="331" t="s">
        <v>190</v>
      </c>
      <c r="FH5" s="331" t="s">
        <v>190</v>
      </c>
      <c r="FI5" s="331" t="s">
        <v>190</v>
      </c>
      <c r="FJ5" s="331" t="s">
        <v>190</v>
      </c>
      <c r="FK5" s="331" t="s">
        <v>190</v>
      </c>
      <c r="FL5" s="331" t="s">
        <v>190</v>
      </c>
      <c r="FM5" s="331" t="s">
        <v>190</v>
      </c>
      <c r="FN5" s="331" t="s">
        <v>190</v>
      </c>
      <c r="FO5" s="331" t="s">
        <v>190</v>
      </c>
      <c r="FP5" s="331" t="s">
        <v>190</v>
      </c>
      <c r="FQ5" s="331" t="s">
        <v>190</v>
      </c>
      <c r="FR5" s="331" t="s">
        <v>190</v>
      </c>
      <c r="FS5" s="331" t="s">
        <v>190</v>
      </c>
      <c r="FT5" s="331" t="s">
        <v>190</v>
      </c>
      <c r="FU5" s="331" t="s">
        <v>190</v>
      </c>
      <c r="FV5" s="331" t="s">
        <v>190</v>
      </c>
      <c r="FW5" s="331" t="s">
        <v>190</v>
      </c>
      <c r="FX5" s="331" t="s">
        <v>190</v>
      </c>
      <c r="FY5" s="331" t="s">
        <v>190</v>
      </c>
      <c r="FZ5" s="331" t="s">
        <v>190</v>
      </c>
      <c r="GA5" s="331" t="s">
        <v>190</v>
      </c>
      <c r="GB5" s="331" t="s">
        <v>190</v>
      </c>
      <c r="GC5" s="331" t="s">
        <v>190</v>
      </c>
      <c r="GD5" s="331" t="s">
        <v>190</v>
      </c>
      <c r="GE5" s="331" t="s">
        <v>190</v>
      </c>
      <c r="GF5" s="331" t="s">
        <v>190</v>
      </c>
      <c r="GG5" s="331" t="s">
        <v>190</v>
      </c>
      <c r="GH5" s="331" t="s">
        <v>428</v>
      </c>
      <c r="GI5" s="331" t="s">
        <v>190</v>
      </c>
      <c r="GJ5" s="331" t="s">
        <v>190</v>
      </c>
      <c r="GK5" s="331" t="s">
        <v>190</v>
      </c>
      <c r="GL5" s="331" t="s">
        <v>190</v>
      </c>
      <c r="GM5" s="331" t="s">
        <v>190</v>
      </c>
      <c r="GN5" s="331" t="s">
        <v>190</v>
      </c>
      <c r="GO5" s="331" t="s">
        <v>190</v>
      </c>
      <c r="GP5" s="331" t="s">
        <v>190</v>
      </c>
      <c r="GQ5" s="331" t="s">
        <v>190</v>
      </c>
      <c r="GR5" s="331" t="s">
        <v>190</v>
      </c>
      <c r="GS5" s="331" t="s">
        <v>190</v>
      </c>
      <c r="GT5" s="331" t="s">
        <v>190</v>
      </c>
      <c r="GU5" s="331" t="s">
        <v>190</v>
      </c>
      <c r="GV5" s="331" t="s">
        <v>190</v>
      </c>
      <c r="GW5" s="331" t="s">
        <v>190</v>
      </c>
      <c r="GX5" s="331" t="s">
        <v>428</v>
      </c>
      <c r="GY5" s="331" t="s">
        <v>190</v>
      </c>
      <c r="GZ5" s="331" t="s">
        <v>190</v>
      </c>
      <c r="HA5" s="331" t="s">
        <v>190</v>
      </c>
      <c r="HB5" s="331" t="s">
        <v>190</v>
      </c>
      <c r="HC5" s="331" t="s">
        <v>190</v>
      </c>
      <c r="HD5" s="331" t="s">
        <v>190</v>
      </c>
      <c r="HE5" s="331" t="s">
        <v>190</v>
      </c>
      <c r="HF5" s="331" t="s">
        <v>190</v>
      </c>
      <c r="HG5" s="331" t="s">
        <v>190</v>
      </c>
      <c r="HH5" s="331" t="s">
        <v>190</v>
      </c>
      <c r="HI5" s="331" t="s">
        <v>190</v>
      </c>
      <c r="HJ5" s="331" t="s">
        <v>190</v>
      </c>
      <c r="HK5" s="331" t="s">
        <v>190</v>
      </c>
      <c r="HL5" s="331" t="s">
        <v>190</v>
      </c>
      <c r="HM5" s="331" t="s">
        <v>190</v>
      </c>
      <c r="HN5" s="331" t="s">
        <v>190</v>
      </c>
      <c r="HO5" s="331" t="s">
        <v>190</v>
      </c>
      <c r="HP5" s="331" t="s">
        <v>190</v>
      </c>
      <c r="HQ5" s="331" t="s">
        <v>190</v>
      </c>
      <c r="HR5" s="331" t="s">
        <v>190</v>
      </c>
      <c r="HS5" s="331" t="s">
        <v>190</v>
      </c>
      <c r="HT5" s="331" t="s">
        <v>190</v>
      </c>
      <c r="HU5" s="331" t="s">
        <v>190</v>
      </c>
      <c r="HV5" s="331" t="s">
        <v>190</v>
      </c>
      <c r="HW5" s="331" t="s">
        <v>190</v>
      </c>
      <c r="HX5" s="331" t="s">
        <v>190</v>
      </c>
      <c r="HY5" s="331" t="s">
        <v>190</v>
      </c>
      <c r="HZ5" s="331" t="s">
        <v>190</v>
      </c>
      <c r="IA5" s="331" t="s">
        <v>190</v>
      </c>
      <c r="IB5" s="331" t="s">
        <v>190</v>
      </c>
      <c r="IC5" s="331" t="s">
        <v>190</v>
      </c>
      <c r="ID5" s="331" t="s">
        <v>190</v>
      </c>
      <c r="IE5" s="331" t="s">
        <v>190</v>
      </c>
      <c r="IF5" s="331" t="s">
        <v>190</v>
      </c>
      <c r="IG5" s="331" t="s">
        <v>170</v>
      </c>
      <c r="IH5" s="331" t="s">
        <v>429</v>
      </c>
      <c r="II5" s="331" t="s">
        <v>169</v>
      </c>
      <c r="IJ5" s="331" t="s">
        <v>427</v>
      </c>
      <c r="IK5" s="331" t="s">
        <v>428</v>
      </c>
      <c r="IL5" s="331" t="s">
        <v>428</v>
      </c>
    </row>
    <row r="6" spans="1:246" x14ac:dyDescent="0.25">
      <c r="A6" s="334" t="str">
        <f>HYPERLINK("http://www.ofsted.gov.uk/inspection-reports/find-inspection-report/provider/ELS/117044 ","Ofsted School Webpage")</f>
        <v>Ofsted School Webpage</v>
      </c>
      <c r="B6" s="331">
        <v>117044</v>
      </c>
      <c r="C6" s="331">
        <v>8856031</v>
      </c>
      <c r="D6" s="331" t="s">
        <v>1142</v>
      </c>
      <c r="E6" s="331" t="s">
        <v>167</v>
      </c>
      <c r="F6" s="331" t="s">
        <v>437</v>
      </c>
      <c r="G6" s="331" t="s">
        <v>437</v>
      </c>
      <c r="H6" s="331" t="s">
        <v>483</v>
      </c>
      <c r="I6" s="331" t="s">
        <v>1143</v>
      </c>
      <c r="J6" s="331" t="s">
        <v>81</v>
      </c>
      <c r="K6" s="331" t="s">
        <v>72</v>
      </c>
      <c r="L6" s="331" t="s">
        <v>72</v>
      </c>
      <c r="M6" s="331" t="s">
        <v>72</v>
      </c>
      <c r="N6" s="331" t="s">
        <v>424</v>
      </c>
      <c r="O6" s="333">
        <v>10112490</v>
      </c>
      <c r="P6" s="332">
        <v>43746</v>
      </c>
      <c r="Q6" s="332">
        <v>43748</v>
      </c>
      <c r="R6" s="332">
        <v>43802</v>
      </c>
      <c r="S6" s="331" t="s">
        <v>425</v>
      </c>
      <c r="T6" s="331" t="s">
        <v>426</v>
      </c>
      <c r="U6" s="331">
        <v>3</v>
      </c>
      <c r="V6" s="331">
        <v>3</v>
      </c>
      <c r="W6" s="331">
        <v>2</v>
      </c>
      <c r="X6" s="331">
        <v>2</v>
      </c>
      <c r="Y6" s="331">
        <v>3</v>
      </c>
      <c r="Z6" s="331" t="s">
        <v>169</v>
      </c>
      <c r="AA6" s="331" t="s">
        <v>173</v>
      </c>
      <c r="AB6" s="331">
        <v>3</v>
      </c>
      <c r="AC6" s="331" t="s">
        <v>427</v>
      </c>
      <c r="AD6" s="331" t="s">
        <v>171</v>
      </c>
      <c r="AE6" s="331" t="s">
        <v>190</v>
      </c>
      <c r="AF6" s="331" t="s">
        <v>190</v>
      </c>
      <c r="AG6" s="331" t="s">
        <v>190</v>
      </c>
      <c r="AH6" s="331" t="s">
        <v>190</v>
      </c>
      <c r="AI6" s="331" t="s">
        <v>190</v>
      </c>
      <c r="AJ6" s="331" t="s">
        <v>190</v>
      </c>
      <c r="AK6" s="331" t="s">
        <v>190</v>
      </c>
      <c r="AL6" s="331" t="s">
        <v>190</v>
      </c>
      <c r="AM6" s="331" t="s">
        <v>190</v>
      </c>
      <c r="AN6" s="331" t="s">
        <v>190</v>
      </c>
      <c r="AO6" s="331" t="s">
        <v>190</v>
      </c>
      <c r="AP6" s="331" t="s">
        <v>190</v>
      </c>
      <c r="AQ6" s="331" t="s">
        <v>190</v>
      </c>
      <c r="AR6" s="331" t="s">
        <v>190</v>
      </c>
      <c r="AS6" s="331" t="s">
        <v>190</v>
      </c>
      <c r="AT6" s="331" t="s">
        <v>190</v>
      </c>
      <c r="AU6" s="331" t="s">
        <v>190</v>
      </c>
      <c r="AV6" s="331" t="s">
        <v>190</v>
      </c>
      <c r="AW6" s="331" t="s">
        <v>190</v>
      </c>
      <c r="AX6" s="331" t="s">
        <v>190</v>
      </c>
      <c r="AY6" s="331" t="s">
        <v>190</v>
      </c>
      <c r="AZ6" s="331" t="s">
        <v>190</v>
      </c>
      <c r="BA6" s="331" t="s">
        <v>190</v>
      </c>
      <c r="BB6" s="331" t="s">
        <v>190</v>
      </c>
      <c r="BC6" s="331" t="s">
        <v>428</v>
      </c>
      <c r="BD6" s="331" t="s">
        <v>190</v>
      </c>
      <c r="BE6" s="331" t="s">
        <v>190</v>
      </c>
      <c r="BF6" s="331" t="s">
        <v>190</v>
      </c>
      <c r="BG6" s="331" t="s">
        <v>190</v>
      </c>
      <c r="BH6" s="331" t="s">
        <v>190</v>
      </c>
      <c r="BI6" s="331" t="s">
        <v>190</v>
      </c>
      <c r="BJ6" s="331" t="s">
        <v>190</v>
      </c>
      <c r="BK6" s="331" t="s">
        <v>190</v>
      </c>
      <c r="BL6" s="331" t="s">
        <v>190</v>
      </c>
      <c r="BM6" s="331" t="s">
        <v>190</v>
      </c>
      <c r="BN6" s="331" t="s">
        <v>190</v>
      </c>
      <c r="BO6" s="331" t="s">
        <v>190</v>
      </c>
      <c r="BP6" s="331" t="s">
        <v>190</v>
      </c>
      <c r="BQ6" s="331" t="s">
        <v>190</v>
      </c>
      <c r="BR6" s="331" t="s">
        <v>190</v>
      </c>
      <c r="BS6" s="331" t="s">
        <v>190</v>
      </c>
      <c r="BT6" s="331" t="s">
        <v>190</v>
      </c>
      <c r="BU6" s="331" t="s">
        <v>190</v>
      </c>
      <c r="BV6" s="331" t="s">
        <v>190</v>
      </c>
      <c r="BW6" s="331" t="s">
        <v>190</v>
      </c>
      <c r="BX6" s="331" t="s">
        <v>190</v>
      </c>
      <c r="BY6" s="331" t="s">
        <v>190</v>
      </c>
      <c r="BZ6" s="331" t="s">
        <v>190</v>
      </c>
      <c r="CA6" s="331" t="s">
        <v>190</v>
      </c>
      <c r="CB6" s="331" t="s">
        <v>190</v>
      </c>
      <c r="CC6" s="331" t="s">
        <v>190</v>
      </c>
      <c r="CD6" s="331" t="s">
        <v>190</v>
      </c>
      <c r="CE6" s="331" t="s">
        <v>190</v>
      </c>
      <c r="CF6" s="331" t="s">
        <v>190</v>
      </c>
      <c r="CG6" s="331" t="s">
        <v>190</v>
      </c>
      <c r="CH6" s="331" t="s">
        <v>190</v>
      </c>
      <c r="CI6" s="331" t="s">
        <v>190</v>
      </c>
      <c r="CJ6" s="331" t="s">
        <v>190</v>
      </c>
      <c r="CK6" s="331" t="s">
        <v>428</v>
      </c>
      <c r="CL6" s="331" t="s">
        <v>428</v>
      </c>
      <c r="CM6" s="331" t="s">
        <v>428</v>
      </c>
      <c r="CN6" s="331" t="s">
        <v>190</v>
      </c>
      <c r="CO6" s="331" t="s">
        <v>190</v>
      </c>
      <c r="CP6" s="331" t="s">
        <v>190</v>
      </c>
      <c r="CQ6" s="331" t="s">
        <v>190</v>
      </c>
      <c r="CR6" s="331" t="s">
        <v>190</v>
      </c>
      <c r="CS6" s="331" t="s">
        <v>190</v>
      </c>
      <c r="CT6" s="331" t="s">
        <v>190</v>
      </c>
      <c r="CU6" s="331" t="s">
        <v>190</v>
      </c>
      <c r="CV6" s="331" t="s">
        <v>190</v>
      </c>
      <c r="CW6" s="331" t="s">
        <v>190</v>
      </c>
      <c r="CX6" s="331" t="s">
        <v>190</v>
      </c>
      <c r="CY6" s="331" t="s">
        <v>190</v>
      </c>
      <c r="CZ6" s="331" t="s">
        <v>190</v>
      </c>
      <c r="DA6" s="331" t="s">
        <v>190</v>
      </c>
      <c r="DB6" s="331" t="s">
        <v>190</v>
      </c>
      <c r="DC6" s="331" t="s">
        <v>190</v>
      </c>
      <c r="DD6" s="331" t="s">
        <v>190</v>
      </c>
      <c r="DE6" s="331" t="s">
        <v>190</v>
      </c>
      <c r="DF6" s="331" t="s">
        <v>190</v>
      </c>
      <c r="DG6" s="331" t="s">
        <v>190</v>
      </c>
      <c r="DH6" s="331" t="s">
        <v>190</v>
      </c>
      <c r="DI6" s="331" t="s">
        <v>190</v>
      </c>
      <c r="DJ6" s="331" t="s">
        <v>190</v>
      </c>
      <c r="DK6" s="331" t="s">
        <v>190</v>
      </c>
      <c r="DL6" s="331" t="s">
        <v>190</v>
      </c>
      <c r="DM6" s="331" t="s">
        <v>428</v>
      </c>
      <c r="DN6" s="331" t="s">
        <v>428</v>
      </c>
      <c r="DO6" s="331" t="s">
        <v>428</v>
      </c>
      <c r="DP6" s="331" t="s">
        <v>428</v>
      </c>
      <c r="DQ6" s="331" t="s">
        <v>428</v>
      </c>
      <c r="DR6" s="331" t="s">
        <v>428</v>
      </c>
      <c r="DS6" s="331" t="s">
        <v>428</v>
      </c>
      <c r="DT6" s="331" t="s">
        <v>428</v>
      </c>
      <c r="DU6" s="331" t="s">
        <v>428</v>
      </c>
      <c r="DV6" s="331" t="s">
        <v>428</v>
      </c>
      <c r="DW6" s="331" t="s">
        <v>428</v>
      </c>
      <c r="DX6" s="331" t="s">
        <v>428</v>
      </c>
      <c r="DY6" s="331" t="s">
        <v>428</v>
      </c>
      <c r="DZ6" s="331" t="s">
        <v>428</v>
      </c>
      <c r="EA6" s="331" t="s">
        <v>428</v>
      </c>
      <c r="EB6" s="331" t="s">
        <v>190</v>
      </c>
      <c r="EC6" s="331" t="s">
        <v>190</v>
      </c>
      <c r="ED6" s="331" t="s">
        <v>190</v>
      </c>
      <c r="EE6" s="331" t="s">
        <v>190</v>
      </c>
      <c r="EF6" s="331" t="s">
        <v>190</v>
      </c>
      <c r="EG6" s="331" t="s">
        <v>190</v>
      </c>
      <c r="EH6" s="331" t="s">
        <v>190</v>
      </c>
      <c r="EI6" s="331" t="s">
        <v>190</v>
      </c>
      <c r="EJ6" s="331" t="s">
        <v>190</v>
      </c>
      <c r="EK6" s="331" t="s">
        <v>190</v>
      </c>
      <c r="EL6" s="331" t="s">
        <v>190</v>
      </c>
      <c r="EM6" s="331" t="s">
        <v>190</v>
      </c>
      <c r="EN6" s="331" t="s">
        <v>190</v>
      </c>
      <c r="EO6" s="331" t="s">
        <v>190</v>
      </c>
      <c r="EP6" s="331" t="s">
        <v>190</v>
      </c>
      <c r="EQ6" s="331" t="s">
        <v>190</v>
      </c>
      <c r="ER6" s="331" t="s">
        <v>190</v>
      </c>
      <c r="ES6" s="331" t="s">
        <v>190</v>
      </c>
      <c r="ET6" s="331" t="s">
        <v>190</v>
      </c>
      <c r="EU6" s="331" t="s">
        <v>190</v>
      </c>
      <c r="EV6" s="331" t="s">
        <v>190</v>
      </c>
      <c r="EW6" s="331" t="s">
        <v>190</v>
      </c>
      <c r="EX6" s="331" t="s">
        <v>428</v>
      </c>
      <c r="EY6" s="331" t="s">
        <v>428</v>
      </c>
      <c r="EZ6" s="331" t="s">
        <v>428</v>
      </c>
      <c r="FA6" s="331" t="s">
        <v>428</v>
      </c>
      <c r="FB6" s="331" t="s">
        <v>428</v>
      </c>
      <c r="FC6" s="331" t="s">
        <v>428</v>
      </c>
      <c r="FD6" s="331" t="s">
        <v>428</v>
      </c>
      <c r="FE6" s="331" t="s">
        <v>428</v>
      </c>
      <c r="FF6" s="331" t="s">
        <v>190</v>
      </c>
      <c r="FG6" s="331" t="s">
        <v>190</v>
      </c>
      <c r="FH6" s="331" t="s">
        <v>190</v>
      </c>
      <c r="FI6" s="331" t="s">
        <v>190</v>
      </c>
      <c r="FJ6" s="331" t="s">
        <v>190</v>
      </c>
      <c r="FK6" s="331" t="s">
        <v>428</v>
      </c>
      <c r="FL6" s="331" t="s">
        <v>190</v>
      </c>
      <c r="FM6" s="331" t="s">
        <v>190</v>
      </c>
      <c r="FN6" s="331" t="s">
        <v>190</v>
      </c>
      <c r="FO6" s="331" t="s">
        <v>190</v>
      </c>
      <c r="FP6" s="331" t="s">
        <v>428</v>
      </c>
      <c r="FQ6" s="331" t="s">
        <v>190</v>
      </c>
      <c r="FR6" s="331" t="s">
        <v>190</v>
      </c>
      <c r="FS6" s="331" t="s">
        <v>190</v>
      </c>
      <c r="FT6" s="331" t="s">
        <v>190</v>
      </c>
      <c r="FU6" s="331" t="s">
        <v>190</v>
      </c>
      <c r="FV6" s="331" t="s">
        <v>190</v>
      </c>
      <c r="FW6" s="331" t="s">
        <v>190</v>
      </c>
      <c r="FX6" s="331" t="s">
        <v>190</v>
      </c>
      <c r="FY6" s="331" t="s">
        <v>190</v>
      </c>
      <c r="FZ6" s="331" t="s">
        <v>190</v>
      </c>
      <c r="GA6" s="331" t="s">
        <v>190</v>
      </c>
      <c r="GB6" s="331" t="s">
        <v>190</v>
      </c>
      <c r="GC6" s="331" t="s">
        <v>190</v>
      </c>
      <c r="GD6" s="331" t="s">
        <v>190</v>
      </c>
      <c r="GE6" s="331" t="s">
        <v>190</v>
      </c>
      <c r="GF6" s="331" t="s">
        <v>190</v>
      </c>
      <c r="GG6" s="331" t="s">
        <v>190</v>
      </c>
      <c r="GH6" s="331" t="s">
        <v>428</v>
      </c>
      <c r="GI6" s="331" t="s">
        <v>190</v>
      </c>
      <c r="GJ6" s="331" t="s">
        <v>190</v>
      </c>
      <c r="GK6" s="331" t="s">
        <v>190</v>
      </c>
      <c r="GL6" s="331" t="s">
        <v>190</v>
      </c>
      <c r="GM6" s="331" t="s">
        <v>190</v>
      </c>
      <c r="GN6" s="331" t="s">
        <v>190</v>
      </c>
      <c r="GO6" s="331" t="s">
        <v>190</v>
      </c>
      <c r="GP6" s="331" t="s">
        <v>190</v>
      </c>
      <c r="GQ6" s="331" t="s">
        <v>428</v>
      </c>
      <c r="GR6" s="331" t="s">
        <v>428</v>
      </c>
      <c r="GS6" s="331" t="s">
        <v>190</v>
      </c>
      <c r="GT6" s="331" t="s">
        <v>190</v>
      </c>
      <c r="GU6" s="331" t="s">
        <v>190</v>
      </c>
      <c r="GV6" s="331" t="s">
        <v>190</v>
      </c>
      <c r="GW6" s="331" t="s">
        <v>190</v>
      </c>
      <c r="GX6" s="331" t="s">
        <v>190</v>
      </c>
      <c r="GY6" s="331" t="s">
        <v>428</v>
      </c>
      <c r="GZ6" s="331" t="s">
        <v>190</v>
      </c>
      <c r="HA6" s="331" t="s">
        <v>190</v>
      </c>
      <c r="HB6" s="331" t="s">
        <v>190</v>
      </c>
      <c r="HC6" s="331" t="s">
        <v>428</v>
      </c>
      <c r="HD6" s="331" t="s">
        <v>190</v>
      </c>
      <c r="HE6" s="331" t="s">
        <v>190</v>
      </c>
      <c r="HF6" s="331" t="s">
        <v>190</v>
      </c>
      <c r="HG6" s="331" t="s">
        <v>190</v>
      </c>
      <c r="HH6" s="331" t="s">
        <v>428</v>
      </c>
      <c r="HI6" s="331" t="s">
        <v>428</v>
      </c>
      <c r="HJ6" s="331" t="s">
        <v>428</v>
      </c>
      <c r="HK6" s="331" t="s">
        <v>428</v>
      </c>
      <c r="HL6" s="331" t="s">
        <v>428</v>
      </c>
      <c r="HM6" s="331" t="s">
        <v>190</v>
      </c>
      <c r="HN6" s="331" t="s">
        <v>190</v>
      </c>
      <c r="HO6" s="331" t="s">
        <v>190</v>
      </c>
      <c r="HP6" s="331" t="s">
        <v>190</v>
      </c>
      <c r="HQ6" s="331" t="s">
        <v>190</v>
      </c>
      <c r="HR6" s="331" t="s">
        <v>190</v>
      </c>
      <c r="HS6" s="331" t="s">
        <v>190</v>
      </c>
      <c r="HT6" s="331" t="s">
        <v>190</v>
      </c>
      <c r="HU6" s="331" t="s">
        <v>190</v>
      </c>
      <c r="HV6" s="331" t="s">
        <v>190</v>
      </c>
      <c r="HW6" s="331" t="s">
        <v>190</v>
      </c>
      <c r="HX6" s="331" t="s">
        <v>190</v>
      </c>
      <c r="HY6" s="331" t="s">
        <v>190</v>
      </c>
      <c r="HZ6" s="331" t="s">
        <v>190</v>
      </c>
      <c r="IA6" s="331" t="s">
        <v>190</v>
      </c>
      <c r="IB6" s="331" t="s">
        <v>190</v>
      </c>
      <c r="IC6" s="331" t="s">
        <v>190</v>
      </c>
      <c r="ID6" s="331" t="s">
        <v>190</v>
      </c>
      <c r="IE6" s="331" t="s">
        <v>190</v>
      </c>
      <c r="IF6" s="331" t="s">
        <v>190</v>
      </c>
      <c r="IG6" s="331" t="s">
        <v>170</v>
      </c>
      <c r="IH6" s="331" t="s">
        <v>429</v>
      </c>
      <c r="II6" s="331" t="s">
        <v>169</v>
      </c>
      <c r="IJ6" s="331" t="s">
        <v>427</v>
      </c>
      <c r="IK6" s="331" t="s">
        <v>428</v>
      </c>
      <c r="IL6" s="331" t="s">
        <v>428</v>
      </c>
    </row>
    <row r="7" spans="1:246" x14ac:dyDescent="0.25">
      <c r="A7" s="334" t="str">
        <f>HYPERLINK("http://www.ofsted.gov.uk/inspection-reports/find-inspection-report/provider/ELS/132735 ","Ofsted School Webpage")</f>
        <v>Ofsted School Webpage</v>
      </c>
      <c r="B7" s="331">
        <v>132735</v>
      </c>
      <c r="C7" s="331">
        <v>8606024</v>
      </c>
      <c r="D7" s="331" t="s">
        <v>1722</v>
      </c>
      <c r="E7" s="331" t="s">
        <v>168</v>
      </c>
      <c r="F7" s="331" t="s">
        <v>437</v>
      </c>
      <c r="G7" s="331" t="s">
        <v>437</v>
      </c>
      <c r="H7" s="331" t="s">
        <v>577</v>
      </c>
      <c r="I7" s="331" t="s">
        <v>1723</v>
      </c>
      <c r="J7" s="331" t="s">
        <v>81</v>
      </c>
      <c r="K7" s="331" t="s">
        <v>81</v>
      </c>
      <c r="L7" s="331" t="s">
        <v>81</v>
      </c>
      <c r="M7" s="331" t="s">
        <v>78</v>
      </c>
      <c r="N7" s="331" t="s">
        <v>424</v>
      </c>
      <c r="O7" s="333">
        <v>10103983</v>
      </c>
      <c r="P7" s="332">
        <v>43753</v>
      </c>
      <c r="Q7" s="332">
        <v>43755</v>
      </c>
      <c r="R7" s="332">
        <v>43794</v>
      </c>
      <c r="S7" s="331" t="s">
        <v>425</v>
      </c>
      <c r="T7" s="331" t="s">
        <v>426</v>
      </c>
      <c r="U7" s="331">
        <v>2</v>
      </c>
      <c r="V7" s="331">
        <v>2</v>
      </c>
      <c r="W7" s="331">
        <v>1</v>
      </c>
      <c r="X7" s="331">
        <v>2</v>
      </c>
      <c r="Y7" s="331">
        <v>2</v>
      </c>
      <c r="Z7" s="331" t="s">
        <v>169</v>
      </c>
      <c r="AA7" s="331" t="s">
        <v>173</v>
      </c>
      <c r="AB7" s="331">
        <v>2</v>
      </c>
      <c r="AC7" s="331" t="s">
        <v>427</v>
      </c>
      <c r="AD7" s="331" t="s">
        <v>171</v>
      </c>
      <c r="AE7" s="331" t="s">
        <v>190</v>
      </c>
      <c r="AF7" s="331" t="s">
        <v>190</v>
      </c>
      <c r="AG7" s="331" t="s">
        <v>190</v>
      </c>
      <c r="AH7" s="331" t="s">
        <v>190</v>
      </c>
      <c r="AI7" s="331" t="s">
        <v>190</v>
      </c>
      <c r="AJ7" s="331" t="s">
        <v>190</v>
      </c>
      <c r="AK7" s="331" t="s">
        <v>190</v>
      </c>
      <c r="AL7" s="331" t="s">
        <v>190</v>
      </c>
      <c r="AM7" s="331" t="s">
        <v>190</v>
      </c>
      <c r="AN7" s="331" t="s">
        <v>190</v>
      </c>
      <c r="AO7" s="331" t="s">
        <v>190</v>
      </c>
      <c r="AP7" s="331" t="s">
        <v>190</v>
      </c>
      <c r="AQ7" s="331" t="s">
        <v>190</v>
      </c>
      <c r="AR7" s="331" t="s">
        <v>190</v>
      </c>
      <c r="AS7" s="331" t="s">
        <v>190</v>
      </c>
      <c r="AT7" s="331" t="s">
        <v>190</v>
      </c>
      <c r="AU7" s="331" t="s">
        <v>428</v>
      </c>
      <c r="AV7" s="331" t="s">
        <v>190</v>
      </c>
      <c r="AW7" s="331" t="s">
        <v>190</v>
      </c>
      <c r="AX7" s="331" t="s">
        <v>190</v>
      </c>
      <c r="AY7" s="331" t="s">
        <v>190</v>
      </c>
      <c r="AZ7" s="331" t="s">
        <v>190</v>
      </c>
      <c r="BA7" s="331" t="s">
        <v>190</v>
      </c>
      <c r="BB7" s="331" t="s">
        <v>190</v>
      </c>
      <c r="BC7" s="331" t="s">
        <v>428</v>
      </c>
      <c r="BD7" s="331" t="s">
        <v>190</v>
      </c>
      <c r="BE7" s="331" t="s">
        <v>190</v>
      </c>
      <c r="BF7" s="331" t="s">
        <v>190</v>
      </c>
      <c r="BG7" s="331" t="s">
        <v>190</v>
      </c>
      <c r="BH7" s="331" t="s">
        <v>190</v>
      </c>
      <c r="BI7" s="331" t="s">
        <v>190</v>
      </c>
      <c r="BJ7" s="331" t="s">
        <v>190</v>
      </c>
      <c r="BK7" s="331" t="s">
        <v>190</v>
      </c>
      <c r="BL7" s="331" t="s">
        <v>190</v>
      </c>
      <c r="BM7" s="331" t="s">
        <v>190</v>
      </c>
      <c r="BN7" s="331" t="s">
        <v>190</v>
      </c>
      <c r="BO7" s="331" t="s">
        <v>190</v>
      </c>
      <c r="BP7" s="331" t="s">
        <v>190</v>
      </c>
      <c r="BQ7" s="331" t="s">
        <v>190</v>
      </c>
      <c r="BR7" s="331" t="s">
        <v>190</v>
      </c>
      <c r="BS7" s="331" t="s">
        <v>190</v>
      </c>
      <c r="BT7" s="331" t="s">
        <v>190</v>
      </c>
      <c r="BU7" s="331" t="s">
        <v>190</v>
      </c>
      <c r="BV7" s="331" t="s">
        <v>190</v>
      </c>
      <c r="BW7" s="331" t="s">
        <v>190</v>
      </c>
      <c r="BX7" s="331" t="s">
        <v>190</v>
      </c>
      <c r="BY7" s="331" t="s">
        <v>190</v>
      </c>
      <c r="BZ7" s="331" t="s">
        <v>190</v>
      </c>
      <c r="CA7" s="331" t="s">
        <v>190</v>
      </c>
      <c r="CB7" s="331" t="s">
        <v>190</v>
      </c>
      <c r="CC7" s="331" t="s">
        <v>190</v>
      </c>
      <c r="CD7" s="331" t="s">
        <v>190</v>
      </c>
      <c r="CE7" s="331" t="s">
        <v>190</v>
      </c>
      <c r="CF7" s="331" t="s">
        <v>190</v>
      </c>
      <c r="CG7" s="331" t="s">
        <v>190</v>
      </c>
      <c r="CH7" s="331" t="s">
        <v>190</v>
      </c>
      <c r="CI7" s="331" t="s">
        <v>190</v>
      </c>
      <c r="CJ7" s="331" t="s">
        <v>190</v>
      </c>
      <c r="CK7" s="331" t="s">
        <v>428</v>
      </c>
      <c r="CL7" s="331" t="s">
        <v>428</v>
      </c>
      <c r="CM7" s="331" t="s">
        <v>428</v>
      </c>
      <c r="CN7" s="331" t="s">
        <v>190</v>
      </c>
      <c r="CO7" s="331" t="s">
        <v>190</v>
      </c>
      <c r="CP7" s="331" t="s">
        <v>190</v>
      </c>
      <c r="CQ7" s="331" t="s">
        <v>190</v>
      </c>
      <c r="CR7" s="331" t="s">
        <v>190</v>
      </c>
      <c r="CS7" s="331" t="s">
        <v>190</v>
      </c>
      <c r="CT7" s="331" t="s">
        <v>190</v>
      </c>
      <c r="CU7" s="331" t="s">
        <v>190</v>
      </c>
      <c r="CV7" s="331" t="s">
        <v>190</v>
      </c>
      <c r="CW7" s="331" t="s">
        <v>190</v>
      </c>
      <c r="CX7" s="331" t="s">
        <v>190</v>
      </c>
      <c r="CY7" s="331" t="s">
        <v>190</v>
      </c>
      <c r="CZ7" s="331" t="s">
        <v>190</v>
      </c>
      <c r="DA7" s="331" t="s">
        <v>190</v>
      </c>
      <c r="DB7" s="331" t="s">
        <v>190</v>
      </c>
      <c r="DC7" s="331" t="s">
        <v>190</v>
      </c>
      <c r="DD7" s="331" t="s">
        <v>190</v>
      </c>
      <c r="DE7" s="331" t="s">
        <v>190</v>
      </c>
      <c r="DF7" s="331" t="s">
        <v>190</v>
      </c>
      <c r="DG7" s="331" t="s">
        <v>190</v>
      </c>
      <c r="DH7" s="331" t="s">
        <v>190</v>
      </c>
      <c r="DI7" s="331" t="s">
        <v>190</v>
      </c>
      <c r="DJ7" s="331" t="s">
        <v>190</v>
      </c>
      <c r="DK7" s="331" t="s">
        <v>428</v>
      </c>
      <c r="DL7" s="331" t="s">
        <v>190</v>
      </c>
      <c r="DM7" s="331" t="s">
        <v>190</v>
      </c>
      <c r="DN7" s="331" t="s">
        <v>190</v>
      </c>
      <c r="DO7" s="331" t="s">
        <v>190</v>
      </c>
      <c r="DP7" s="331" t="s">
        <v>190</v>
      </c>
      <c r="DQ7" s="331" t="s">
        <v>190</v>
      </c>
      <c r="DR7" s="331" t="s">
        <v>190</v>
      </c>
      <c r="DS7" s="331" t="s">
        <v>190</v>
      </c>
      <c r="DT7" s="331" t="s">
        <v>190</v>
      </c>
      <c r="DU7" s="331" t="s">
        <v>190</v>
      </c>
      <c r="DV7" s="331" t="s">
        <v>190</v>
      </c>
      <c r="DW7" s="331" t="s">
        <v>190</v>
      </c>
      <c r="DX7" s="331" t="s">
        <v>190</v>
      </c>
      <c r="DY7" s="331" t="s">
        <v>190</v>
      </c>
      <c r="DZ7" s="331" t="s">
        <v>428</v>
      </c>
      <c r="EA7" s="331" t="s">
        <v>190</v>
      </c>
      <c r="EB7" s="331" t="s">
        <v>190</v>
      </c>
      <c r="EC7" s="331" t="s">
        <v>190</v>
      </c>
      <c r="ED7" s="331" t="s">
        <v>190</v>
      </c>
      <c r="EE7" s="331" t="s">
        <v>190</v>
      </c>
      <c r="EF7" s="331" t="s">
        <v>190</v>
      </c>
      <c r="EG7" s="331" t="s">
        <v>190</v>
      </c>
      <c r="EH7" s="331" t="s">
        <v>190</v>
      </c>
      <c r="EI7" s="331" t="s">
        <v>190</v>
      </c>
      <c r="EJ7" s="331" t="s">
        <v>190</v>
      </c>
      <c r="EK7" s="331" t="s">
        <v>190</v>
      </c>
      <c r="EL7" s="331" t="s">
        <v>190</v>
      </c>
      <c r="EM7" s="331" t="s">
        <v>190</v>
      </c>
      <c r="EN7" s="331" t="s">
        <v>190</v>
      </c>
      <c r="EO7" s="331" t="s">
        <v>190</v>
      </c>
      <c r="EP7" s="331" t="s">
        <v>190</v>
      </c>
      <c r="EQ7" s="331" t="s">
        <v>190</v>
      </c>
      <c r="ER7" s="331" t="s">
        <v>190</v>
      </c>
      <c r="ES7" s="331" t="s">
        <v>190</v>
      </c>
      <c r="ET7" s="331" t="s">
        <v>190</v>
      </c>
      <c r="EU7" s="331" t="s">
        <v>190</v>
      </c>
      <c r="EV7" s="331" t="s">
        <v>190</v>
      </c>
      <c r="EW7" s="331" t="s">
        <v>190</v>
      </c>
      <c r="EX7" s="331" t="s">
        <v>190</v>
      </c>
      <c r="EY7" s="331" t="s">
        <v>190</v>
      </c>
      <c r="EZ7" s="331" t="s">
        <v>190</v>
      </c>
      <c r="FA7" s="331" t="s">
        <v>190</v>
      </c>
      <c r="FB7" s="331" t="s">
        <v>190</v>
      </c>
      <c r="FC7" s="331" t="s">
        <v>190</v>
      </c>
      <c r="FD7" s="331" t="s">
        <v>190</v>
      </c>
      <c r="FE7" s="331" t="s">
        <v>190</v>
      </c>
      <c r="FF7" s="331" t="s">
        <v>190</v>
      </c>
      <c r="FG7" s="331" t="s">
        <v>190</v>
      </c>
      <c r="FH7" s="331" t="s">
        <v>190</v>
      </c>
      <c r="FI7" s="331" t="s">
        <v>190</v>
      </c>
      <c r="FJ7" s="331" t="s">
        <v>190</v>
      </c>
      <c r="FK7" s="331" t="s">
        <v>190</v>
      </c>
      <c r="FL7" s="331" t="s">
        <v>190</v>
      </c>
      <c r="FM7" s="331" t="s">
        <v>190</v>
      </c>
      <c r="FN7" s="331" t="s">
        <v>190</v>
      </c>
      <c r="FO7" s="331" t="s">
        <v>190</v>
      </c>
      <c r="FP7" s="331" t="s">
        <v>190</v>
      </c>
      <c r="FQ7" s="331" t="s">
        <v>190</v>
      </c>
      <c r="FR7" s="331" t="s">
        <v>190</v>
      </c>
      <c r="FS7" s="331" t="s">
        <v>190</v>
      </c>
      <c r="FT7" s="331" t="s">
        <v>190</v>
      </c>
      <c r="FU7" s="331" t="s">
        <v>190</v>
      </c>
      <c r="FV7" s="331" t="s">
        <v>190</v>
      </c>
      <c r="FW7" s="331" t="s">
        <v>190</v>
      </c>
      <c r="FX7" s="331" t="s">
        <v>190</v>
      </c>
      <c r="FY7" s="331" t="s">
        <v>190</v>
      </c>
      <c r="FZ7" s="331" t="s">
        <v>190</v>
      </c>
      <c r="GA7" s="331" t="s">
        <v>190</v>
      </c>
      <c r="GB7" s="331" t="s">
        <v>190</v>
      </c>
      <c r="GC7" s="331" t="s">
        <v>190</v>
      </c>
      <c r="GD7" s="331" t="s">
        <v>190</v>
      </c>
      <c r="GE7" s="331" t="s">
        <v>190</v>
      </c>
      <c r="GF7" s="331" t="s">
        <v>190</v>
      </c>
      <c r="GG7" s="331" t="s">
        <v>190</v>
      </c>
      <c r="GH7" s="331" t="s">
        <v>428</v>
      </c>
      <c r="GI7" s="331" t="s">
        <v>190</v>
      </c>
      <c r="GJ7" s="331" t="s">
        <v>190</v>
      </c>
      <c r="GK7" s="331" t="s">
        <v>190</v>
      </c>
      <c r="GL7" s="331" t="s">
        <v>190</v>
      </c>
      <c r="GM7" s="331" t="s">
        <v>190</v>
      </c>
      <c r="GN7" s="331" t="s">
        <v>428</v>
      </c>
      <c r="GO7" s="331" t="s">
        <v>190</v>
      </c>
      <c r="GP7" s="331" t="s">
        <v>190</v>
      </c>
      <c r="GQ7" s="331" t="s">
        <v>190</v>
      </c>
      <c r="GR7" s="331" t="s">
        <v>190</v>
      </c>
      <c r="GS7" s="331" t="s">
        <v>190</v>
      </c>
      <c r="GT7" s="331" t="s">
        <v>190</v>
      </c>
      <c r="GU7" s="331" t="s">
        <v>190</v>
      </c>
      <c r="GV7" s="331" t="s">
        <v>190</v>
      </c>
      <c r="GW7" s="331" t="s">
        <v>428</v>
      </c>
      <c r="GX7" s="331" t="s">
        <v>190</v>
      </c>
      <c r="GY7" s="331" t="s">
        <v>190</v>
      </c>
      <c r="GZ7" s="331" t="s">
        <v>190</v>
      </c>
      <c r="HA7" s="331" t="s">
        <v>190</v>
      </c>
      <c r="HB7" s="331" t="s">
        <v>190</v>
      </c>
      <c r="HC7" s="331" t="s">
        <v>190</v>
      </c>
      <c r="HD7" s="331" t="s">
        <v>190</v>
      </c>
      <c r="HE7" s="331" t="s">
        <v>190</v>
      </c>
      <c r="HF7" s="331" t="s">
        <v>190</v>
      </c>
      <c r="HG7" s="331" t="s">
        <v>190</v>
      </c>
      <c r="HH7" s="331" t="s">
        <v>190</v>
      </c>
      <c r="HI7" s="331" t="s">
        <v>428</v>
      </c>
      <c r="HJ7" s="331" t="s">
        <v>428</v>
      </c>
      <c r="HK7" s="331" t="s">
        <v>428</v>
      </c>
      <c r="HL7" s="331" t="s">
        <v>428</v>
      </c>
      <c r="HM7" s="331" t="s">
        <v>190</v>
      </c>
      <c r="HN7" s="331" t="s">
        <v>190</v>
      </c>
      <c r="HO7" s="331" t="s">
        <v>190</v>
      </c>
      <c r="HP7" s="331" t="s">
        <v>190</v>
      </c>
      <c r="HQ7" s="331" t="s">
        <v>190</v>
      </c>
      <c r="HR7" s="331" t="s">
        <v>190</v>
      </c>
      <c r="HS7" s="331" t="s">
        <v>190</v>
      </c>
      <c r="HT7" s="331" t="s">
        <v>190</v>
      </c>
      <c r="HU7" s="331" t="s">
        <v>190</v>
      </c>
      <c r="HV7" s="331" t="s">
        <v>190</v>
      </c>
      <c r="HW7" s="331" t="s">
        <v>190</v>
      </c>
      <c r="HX7" s="331" t="s">
        <v>190</v>
      </c>
      <c r="HY7" s="331" t="s">
        <v>190</v>
      </c>
      <c r="HZ7" s="331" t="s">
        <v>190</v>
      </c>
      <c r="IA7" s="331" t="s">
        <v>190</v>
      </c>
      <c r="IB7" s="331" t="s">
        <v>190</v>
      </c>
      <c r="IC7" s="331" t="s">
        <v>190</v>
      </c>
      <c r="ID7" s="331" t="s">
        <v>190</v>
      </c>
      <c r="IE7" s="331" t="s">
        <v>190</v>
      </c>
      <c r="IF7" s="331" t="s">
        <v>190</v>
      </c>
      <c r="IG7" s="331" t="s">
        <v>169</v>
      </c>
      <c r="IH7" s="331" t="s">
        <v>169</v>
      </c>
      <c r="II7" s="331" t="s">
        <v>169</v>
      </c>
      <c r="IJ7" s="331" t="s">
        <v>427</v>
      </c>
      <c r="IK7" s="331" t="s">
        <v>428</v>
      </c>
      <c r="IL7" s="331" t="s">
        <v>428</v>
      </c>
    </row>
    <row r="8" spans="1:246" x14ac:dyDescent="0.25">
      <c r="A8" s="330" t="str">
        <f>HYPERLINK("http://www.ofsted.gov.uk/inspection-reports/find-inspection-report/provider/ELS/146340 ","Ofsted School Webpage")</f>
        <v>Ofsted School Webpage</v>
      </c>
      <c r="B8" s="331">
        <v>146340</v>
      </c>
      <c r="C8" s="331">
        <v>8936036</v>
      </c>
      <c r="D8" s="331" t="s">
        <v>2548</v>
      </c>
      <c r="E8" s="331" t="s">
        <v>168</v>
      </c>
      <c r="F8" s="331" t="s">
        <v>437</v>
      </c>
      <c r="G8" s="331" t="s">
        <v>437</v>
      </c>
      <c r="H8" s="331" t="s">
        <v>587</v>
      </c>
      <c r="I8" s="331" t="s">
        <v>2549</v>
      </c>
      <c r="J8" s="331" t="s">
        <v>81</v>
      </c>
      <c r="K8" s="331" t="s">
        <v>81</v>
      </c>
      <c r="L8" s="331" t="s">
        <v>81</v>
      </c>
      <c r="M8" s="331" t="s">
        <v>78</v>
      </c>
      <c r="N8" s="331" t="s">
        <v>424</v>
      </c>
      <c r="O8" s="333">
        <v>10100047</v>
      </c>
      <c r="P8" s="332">
        <v>43753</v>
      </c>
      <c r="Q8" s="332">
        <v>43755</v>
      </c>
      <c r="R8" s="332">
        <v>43790</v>
      </c>
      <c r="S8" s="331" t="s">
        <v>3688</v>
      </c>
      <c r="T8" s="331" t="s">
        <v>426</v>
      </c>
      <c r="U8" s="331">
        <v>2</v>
      </c>
      <c r="V8" s="331">
        <v>2</v>
      </c>
      <c r="W8" s="331">
        <v>2</v>
      </c>
      <c r="X8" s="331">
        <v>2</v>
      </c>
      <c r="Y8" s="331">
        <v>2</v>
      </c>
      <c r="Z8" s="331" t="s">
        <v>169</v>
      </c>
      <c r="AA8" s="331" t="s">
        <v>173</v>
      </c>
      <c r="AB8" s="331" t="s">
        <v>173</v>
      </c>
      <c r="AC8" s="331" t="s">
        <v>427</v>
      </c>
      <c r="AD8" s="331" t="s">
        <v>171</v>
      </c>
      <c r="AE8" s="331" t="s">
        <v>190</v>
      </c>
      <c r="AF8" s="331" t="s">
        <v>190</v>
      </c>
      <c r="AG8" s="331" t="s">
        <v>190</v>
      </c>
      <c r="AH8" s="331" t="s">
        <v>190</v>
      </c>
      <c r="AI8" s="331" t="s">
        <v>190</v>
      </c>
      <c r="AJ8" s="331" t="s">
        <v>190</v>
      </c>
      <c r="AK8" s="331" t="s">
        <v>190</v>
      </c>
      <c r="AL8" s="331" t="s">
        <v>190</v>
      </c>
      <c r="AM8" s="331" t="s">
        <v>190</v>
      </c>
      <c r="AN8" s="331" t="s">
        <v>190</v>
      </c>
      <c r="AO8" s="331" t="s">
        <v>190</v>
      </c>
      <c r="AP8" s="331" t="s">
        <v>190</v>
      </c>
      <c r="AQ8" s="331" t="s">
        <v>190</v>
      </c>
      <c r="AR8" s="331" t="s">
        <v>190</v>
      </c>
      <c r="AS8" s="331" t="s">
        <v>190</v>
      </c>
      <c r="AT8" s="331" t="s">
        <v>190</v>
      </c>
      <c r="AU8" s="331" t="s">
        <v>428</v>
      </c>
      <c r="AV8" s="331" t="s">
        <v>190</v>
      </c>
      <c r="AW8" s="331" t="s">
        <v>190</v>
      </c>
      <c r="AX8" s="331" t="s">
        <v>190</v>
      </c>
      <c r="AY8" s="331" t="s">
        <v>190</v>
      </c>
      <c r="AZ8" s="331" t="s">
        <v>190</v>
      </c>
      <c r="BA8" s="331" t="s">
        <v>190</v>
      </c>
      <c r="BB8" s="331" t="s">
        <v>190</v>
      </c>
      <c r="BC8" s="331" t="s">
        <v>428</v>
      </c>
      <c r="BD8" s="331" t="s">
        <v>190</v>
      </c>
      <c r="BE8" s="331" t="s">
        <v>190</v>
      </c>
      <c r="BF8" s="331" t="s">
        <v>190</v>
      </c>
      <c r="BG8" s="331" t="s">
        <v>190</v>
      </c>
      <c r="BH8" s="331" t="s">
        <v>190</v>
      </c>
      <c r="BI8" s="331" t="s">
        <v>190</v>
      </c>
      <c r="BJ8" s="331" t="s">
        <v>190</v>
      </c>
      <c r="BK8" s="331" t="s">
        <v>190</v>
      </c>
      <c r="BL8" s="331" t="s">
        <v>190</v>
      </c>
      <c r="BM8" s="331" t="s">
        <v>190</v>
      </c>
      <c r="BN8" s="331" t="s">
        <v>190</v>
      </c>
      <c r="BO8" s="331" t="s">
        <v>190</v>
      </c>
      <c r="BP8" s="331" t="s">
        <v>190</v>
      </c>
      <c r="BQ8" s="331" t="s">
        <v>190</v>
      </c>
      <c r="BR8" s="331" t="s">
        <v>190</v>
      </c>
      <c r="BS8" s="331" t="s">
        <v>190</v>
      </c>
      <c r="BT8" s="331" t="s">
        <v>190</v>
      </c>
      <c r="BU8" s="331" t="s">
        <v>190</v>
      </c>
      <c r="BV8" s="331" t="s">
        <v>190</v>
      </c>
      <c r="BW8" s="331" t="s">
        <v>190</v>
      </c>
      <c r="BX8" s="331" t="s">
        <v>190</v>
      </c>
      <c r="BY8" s="331" t="s">
        <v>190</v>
      </c>
      <c r="BZ8" s="331" t="s">
        <v>190</v>
      </c>
      <c r="CA8" s="331" t="s">
        <v>190</v>
      </c>
      <c r="CB8" s="331" t="s">
        <v>190</v>
      </c>
      <c r="CC8" s="331" t="s">
        <v>190</v>
      </c>
      <c r="CD8" s="331" t="s">
        <v>190</v>
      </c>
      <c r="CE8" s="331" t="s">
        <v>190</v>
      </c>
      <c r="CF8" s="331" t="s">
        <v>190</v>
      </c>
      <c r="CG8" s="331" t="s">
        <v>190</v>
      </c>
      <c r="CH8" s="331" t="s">
        <v>190</v>
      </c>
      <c r="CI8" s="331" t="s">
        <v>190</v>
      </c>
      <c r="CJ8" s="331" t="s">
        <v>190</v>
      </c>
      <c r="CK8" s="331" t="s">
        <v>428</v>
      </c>
      <c r="CL8" s="331" t="s">
        <v>428</v>
      </c>
      <c r="CM8" s="331" t="s">
        <v>428</v>
      </c>
      <c r="CN8" s="331" t="s">
        <v>190</v>
      </c>
      <c r="CO8" s="331" t="s">
        <v>190</v>
      </c>
      <c r="CP8" s="331" t="s">
        <v>190</v>
      </c>
      <c r="CQ8" s="331" t="s">
        <v>190</v>
      </c>
      <c r="CR8" s="331" t="s">
        <v>190</v>
      </c>
      <c r="CS8" s="331" t="s">
        <v>190</v>
      </c>
      <c r="CT8" s="331" t="s">
        <v>190</v>
      </c>
      <c r="CU8" s="331" t="s">
        <v>190</v>
      </c>
      <c r="CV8" s="331" t="s">
        <v>190</v>
      </c>
      <c r="CW8" s="331" t="s">
        <v>190</v>
      </c>
      <c r="CX8" s="331" t="s">
        <v>190</v>
      </c>
      <c r="CY8" s="331" t="s">
        <v>190</v>
      </c>
      <c r="CZ8" s="331" t="s">
        <v>190</v>
      </c>
      <c r="DA8" s="331" t="s">
        <v>190</v>
      </c>
      <c r="DB8" s="331" t="s">
        <v>190</v>
      </c>
      <c r="DC8" s="331" t="s">
        <v>190</v>
      </c>
      <c r="DD8" s="331" t="s">
        <v>190</v>
      </c>
      <c r="DE8" s="331" t="s">
        <v>190</v>
      </c>
      <c r="DF8" s="331" t="s">
        <v>190</v>
      </c>
      <c r="DG8" s="331" t="s">
        <v>190</v>
      </c>
      <c r="DH8" s="331" t="s">
        <v>190</v>
      </c>
      <c r="DI8" s="331" t="s">
        <v>190</v>
      </c>
      <c r="DJ8" s="331" t="s">
        <v>190</v>
      </c>
      <c r="DK8" s="331" t="s">
        <v>428</v>
      </c>
      <c r="DL8" s="331" t="s">
        <v>190</v>
      </c>
      <c r="DM8" s="331" t="s">
        <v>190</v>
      </c>
      <c r="DN8" s="331" t="s">
        <v>190</v>
      </c>
      <c r="DO8" s="331" t="s">
        <v>190</v>
      </c>
      <c r="DP8" s="331" t="s">
        <v>190</v>
      </c>
      <c r="DQ8" s="331" t="s">
        <v>190</v>
      </c>
      <c r="DR8" s="331" t="s">
        <v>190</v>
      </c>
      <c r="DS8" s="331" t="s">
        <v>190</v>
      </c>
      <c r="DT8" s="331" t="s">
        <v>190</v>
      </c>
      <c r="DU8" s="331" t="s">
        <v>190</v>
      </c>
      <c r="DV8" s="331" t="s">
        <v>190</v>
      </c>
      <c r="DW8" s="331" t="s">
        <v>190</v>
      </c>
      <c r="DX8" s="331" t="s">
        <v>190</v>
      </c>
      <c r="DY8" s="331" t="s">
        <v>190</v>
      </c>
      <c r="DZ8" s="331" t="s">
        <v>428</v>
      </c>
      <c r="EA8" s="331" t="s">
        <v>190</v>
      </c>
      <c r="EB8" s="331" t="s">
        <v>190</v>
      </c>
      <c r="EC8" s="331" t="s">
        <v>190</v>
      </c>
      <c r="ED8" s="331" t="s">
        <v>190</v>
      </c>
      <c r="EE8" s="331" t="s">
        <v>190</v>
      </c>
      <c r="EF8" s="331" t="s">
        <v>190</v>
      </c>
      <c r="EG8" s="331" t="s">
        <v>190</v>
      </c>
      <c r="EH8" s="331" t="s">
        <v>190</v>
      </c>
      <c r="EI8" s="331" t="s">
        <v>190</v>
      </c>
      <c r="EJ8" s="331" t="s">
        <v>190</v>
      </c>
      <c r="EK8" s="331" t="s">
        <v>190</v>
      </c>
      <c r="EL8" s="331" t="s">
        <v>190</v>
      </c>
      <c r="EM8" s="331" t="s">
        <v>190</v>
      </c>
      <c r="EN8" s="331" t="s">
        <v>190</v>
      </c>
      <c r="EO8" s="331" t="s">
        <v>190</v>
      </c>
      <c r="EP8" s="331" t="s">
        <v>190</v>
      </c>
      <c r="EQ8" s="331" t="s">
        <v>190</v>
      </c>
      <c r="ER8" s="331" t="s">
        <v>190</v>
      </c>
      <c r="ES8" s="331" t="s">
        <v>190</v>
      </c>
      <c r="ET8" s="331" t="s">
        <v>190</v>
      </c>
      <c r="EU8" s="331" t="s">
        <v>190</v>
      </c>
      <c r="EV8" s="331" t="s">
        <v>190</v>
      </c>
      <c r="EW8" s="331" t="s">
        <v>190</v>
      </c>
      <c r="EX8" s="331" t="s">
        <v>428</v>
      </c>
      <c r="EY8" s="331" t="s">
        <v>190</v>
      </c>
      <c r="EZ8" s="331" t="s">
        <v>190</v>
      </c>
      <c r="FA8" s="331" t="s">
        <v>190</v>
      </c>
      <c r="FB8" s="331" t="s">
        <v>190</v>
      </c>
      <c r="FC8" s="331" t="s">
        <v>190</v>
      </c>
      <c r="FD8" s="331" t="s">
        <v>190</v>
      </c>
      <c r="FE8" s="331" t="s">
        <v>190</v>
      </c>
      <c r="FF8" s="331" t="s">
        <v>428</v>
      </c>
      <c r="FG8" s="331" t="s">
        <v>429</v>
      </c>
      <c r="FH8" s="331" t="s">
        <v>428</v>
      </c>
      <c r="FI8" s="331" t="s">
        <v>190</v>
      </c>
      <c r="FJ8" s="331" t="s">
        <v>190</v>
      </c>
      <c r="FK8" s="331" t="s">
        <v>190</v>
      </c>
      <c r="FL8" s="331" t="s">
        <v>190</v>
      </c>
      <c r="FM8" s="331" t="s">
        <v>190</v>
      </c>
      <c r="FN8" s="331" t="s">
        <v>190</v>
      </c>
      <c r="FO8" s="331" t="s">
        <v>190</v>
      </c>
      <c r="FP8" s="331" t="s">
        <v>428</v>
      </c>
      <c r="FQ8" s="331" t="s">
        <v>428</v>
      </c>
      <c r="FR8" s="331" t="s">
        <v>190</v>
      </c>
      <c r="FS8" s="331" t="s">
        <v>190</v>
      </c>
      <c r="FT8" s="331" t="s">
        <v>190</v>
      </c>
      <c r="FU8" s="331" t="s">
        <v>190</v>
      </c>
      <c r="FV8" s="331" t="s">
        <v>190</v>
      </c>
      <c r="FW8" s="331" t="s">
        <v>190</v>
      </c>
      <c r="FX8" s="331" t="s">
        <v>190</v>
      </c>
      <c r="FY8" s="331" t="s">
        <v>190</v>
      </c>
      <c r="FZ8" s="331" t="s">
        <v>190</v>
      </c>
      <c r="GA8" s="331" t="s">
        <v>190</v>
      </c>
      <c r="GB8" s="331" t="s">
        <v>190</v>
      </c>
      <c r="GC8" s="331" t="s">
        <v>190</v>
      </c>
      <c r="GD8" s="331" t="s">
        <v>190</v>
      </c>
      <c r="GE8" s="331" t="s">
        <v>190</v>
      </c>
      <c r="GF8" s="331" t="s">
        <v>190</v>
      </c>
      <c r="GG8" s="331" t="s">
        <v>190</v>
      </c>
      <c r="GH8" s="331" t="s">
        <v>428</v>
      </c>
      <c r="GI8" s="331" t="s">
        <v>190</v>
      </c>
      <c r="GJ8" s="331" t="s">
        <v>190</v>
      </c>
      <c r="GK8" s="331" t="s">
        <v>190</v>
      </c>
      <c r="GL8" s="331" t="s">
        <v>190</v>
      </c>
      <c r="GM8" s="331" t="s">
        <v>190</v>
      </c>
      <c r="GN8" s="331" t="s">
        <v>428</v>
      </c>
      <c r="GO8" s="331" t="s">
        <v>190</v>
      </c>
      <c r="GP8" s="331" t="s">
        <v>190</v>
      </c>
      <c r="GQ8" s="331" t="s">
        <v>190</v>
      </c>
      <c r="GR8" s="331" t="s">
        <v>190</v>
      </c>
      <c r="GS8" s="331" t="s">
        <v>190</v>
      </c>
      <c r="GT8" s="331" t="s">
        <v>190</v>
      </c>
      <c r="GU8" s="331" t="s">
        <v>190</v>
      </c>
      <c r="GV8" s="331" t="s">
        <v>190</v>
      </c>
      <c r="GW8" s="331" t="s">
        <v>428</v>
      </c>
      <c r="GX8" s="331" t="s">
        <v>190</v>
      </c>
      <c r="GY8" s="331" t="s">
        <v>428</v>
      </c>
      <c r="GZ8" s="331" t="s">
        <v>190</v>
      </c>
      <c r="HA8" s="331" t="s">
        <v>190</v>
      </c>
      <c r="HB8" s="331" t="s">
        <v>190</v>
      </c>
      <c r="HC8" s="331" t="s">
        <v>190</v>
      </c>
      <c r="HD8" s="331" t="s">
        <v>190</v>
      </c>
      <c r="HE8" s="331" t="s">
        <v>190</v>
      </c>
      <c r="HF8" s="331" t="s">
        <v>190</v>
      </c>
      <c r="HG8" s="331" t="s">
        <v>190</v>
      </c>
      <c r="HH8" s="331" t="s">
        <v>190</v>
      </c>
      <c r="HI8" s="331" t="s">
        <v>428</v>
      </c>
      <c r="HJ8" s="331" t="s">
        <v>428</v>
      </c>
      <c r="HK8" s="331" t="s">
        <v>428</v>
      </c>
      <c r="HL8" s="331" t="s">
        <v>428</v>
      </c>
      <c r="HM8" s="331" t="s">
        <v>190</v>
      </c>
      <c r="HN8" s="331" t="s">
        <v>190</v>
      </c>
      <c r="HO8" s="331" t="s">
        <v>190</v>
      </c>
      <c r="HP8" s="331" t="s">
        <v>190</v>
      </c>
      <c r="HQ8" s="331" t="s">
        <v>190</v>
      </c>
      <c r="HR8" s="331" t="s">
        <v>190</v>
      </c>
      <c r="HS8" s="331" t="s">
        <v>190</v>
      </c>
      <c r="HT8" s="331" t="s">
        <v>190</v>
      </c>
      <c r="HU8" s="331" t="s">
        <v>190</v>
      </c>
      <c r="HV8" s="331" t="s">
        <v>190</v>
      </c>
      <c r="HW8" s="331" t="s">
        <v>190</v>
      </c>
      <c r="HX8" s="331" t="s">
        <v>190</v>
      </c>
      <c r="HY8" s="331" t="s">
        <v>190</v>
      </c>
      <c r="HZ8" s="331" t="s">
        <v>190</v>
      </c>
      <c r="IA8" s="331" t="s">
        <v>190</v>
      </c>
      <c r="IB8" s="331" t="s">
        <v>190</v>
      </c>
      <c r="IC8" s="331" t="s">
        <v>190</v>
      </c>
      <c r="ID8" s="331" t="s">
        <v>190</v>
      </c>
      <c r="IE8" s="331" t="s">
        <v>190</v>
      </c>
      <c r="IF8" s="331" t="s">
        <v>190</v>
      </c>
      <c r="IG8" s="331" t="s">
        <v>170</v>
      </c>
      <c r="IH8" s="331" t="s">
        <v>429</v>
      </c>
      <c r="II8" s="331" t="s">
        <v>169</v>
      </c>
      <c r="IJ8" s="331" t="s">
        <v>427</v>
      </c>
      <c r="IK8" s="331" t="s">
        <v>428</v>
      </c>
      <c r="IL8" s="331" t="s">
        <v>428</v>
      </c>
    </row>
    <row r="9" spans="1:246" x14ac:dyDescent="0.25">
      <c r="A9" s="334" t="str">
        <f>HYPERLINK("http://www.ofsted.gov.uk/inspection-reports/find-inspection-report/provider/ELS/135405 ","Ofsted School Webpage")</f>
        <v>Ofsted School Webpage</v>
      </c>
      <c r="B9" s="331">
        <v>135405</v>
      </c>
      <c r="C9" s="331">
        <v>9086096</v>
      </c>
      <c r="D9" s="331" t="s">
        <v>1203</v>
      </c>
      <c r="E9" s="331" t="s">
        <v>168</v>
      </c>
      <c r="F9" s="331" t="s">
        <v>422</v>
      </c>
      <c r="G9" s="331" t="s">
        <v>422</v>
      </c>
      <c r="H9" s="331" t="s">
        <v>1204</v>
      </c>
      <c r="I9" s="331" t="s">
        <v>1205</v>
      </c>
      <c r="J9" s="331" t="s">
        <v>81</v>
      </c>
      <c r="K9" s="331" t="s">
        <v>81</v>
      </c>
      <c r="L9" s="331" t="s">
        <v>81</v>
      </c>
      <c r="M9" s="331" t="s">
        <v>78</v>
      </c>
      <c r="N9" s="331" t="s">
        <v>424</v>
      </c>
      <c r="O9" s="333">
        <v>10107538</v>
      </c>
      <c r="P9" s="332">
        <v>43754</v>
      </c>
      <c r="Q9" s="332">
        <v>43756</v>
      </c>
      <c r="R9" s="332">
        <v>43793</v>
      </c>
      <c r="S9" s="331" t="s">
        <v>425</v>
      </c>
      <c r="T9" s="331" t="s">
        <v>426</v>
      </c>
      <c r="U9" s="331">
        <v>3</v>
      </c>
      <c r="V9" s="331">
        <v>3</v>
      </c>
      <c r="W9" s="331">
        <v>2</v>
      </c>
      <c r="X9" s="331">
        <v>2</v>
      </c>
      <c r="Y9" s="331">
        <v>3</v>
      </c>
      <c r="Z9" s="331" t="s">
        <v>169</v>
      </c>
      <c r="AA9" s="331" t="s">
        <v>173</v>
      </c>
      <c r="AB9" s="331" t="s">
        <v>173</v>
      </c>
      <c r="AC9" s="331" t="s">
        <v>427</v>
      </c>
      <c r="AD9" s="331" t="s">
        <v>171</v>
      </c>
      <c r="AE9" s="331" t="s">
        <v>190</v>
      </c>
      <c r="AF9" s="331" t="s">
        <v>190</v>
      </c>
      <c r="AG9" s="331" t="s">
        <v>190</v>
      </c>
      <c r="AH9" s="331" t="s">
        <v>190</v>
      </c>
      <c r="AI9" s="331" t="s">
        <v>190</v>
      </c>
      <c r="AJ9" s="331" t="s">
        <v>190</v>
      </c>
      <c r="AK9" s="331" t="s">
        <v>190</v>
      </c>
      <c r="AL9" s="331" t="s">
        <v>190</v>
      </c>
      <c r="AM9" s="331" t="s">
        <v>190</v>
      </c>
      <c r="AN9" s="331" t="s">
        <v>190</v>
      </c>
      <c r="AO9" s="331" t="s">
        <v>190</v>
      </c>
      <c r="AP9" s="331" t="s">
        <v>190</v>
      </c>
      <c r="AQ9" s="331" t="s">
        <v>190</v>
      </c>
      <c r="AR9" s="331" t="s">
        <v>190</v>
      </c>
      <c r="AS9" s="331" t="s">
        <v>190</v>
      </c>
      <c r="AT9" s="331" t="s">
        <v>190</v>
      </c>
      <c r="AU9" s="331" t="s">
        <v>190</v>
      </c>
      <c r="AV9" s="331" t="s">
        <v>190</v>
      </c>
      <c r="AW9" s="331" t="s">
        <v>190</v>
      </c>
      <c r="AX9" s="331" t="s">
        <v>190</v>
      </c>
      <c r="AY9" s="331" t="s">
        <v>190</v>
      </c>
      <c r="AZ9" s="331" t="s">
        <v>190</v>
      </c>
      <c r="BA9" s="331" t="s">
        <v>190</v>
      </c>
      <c r="BB9" s="331" t="s">
        <v>190</v>
      </c>
      <c r="BC9" s="331" t="s">
        <v>190</v>
      </c>
      <c r="BD9" s="331" t="s">
        <v>190</v>
      </c>
      <c r="BE9" s="331" t="s">
        <v>190</v>
      </c>
      <c r="BF9" s="331" t="s">
        <v>190</v>
      </c>
      <c r="BG9" s="331" t="s">
        <v>190</v>
      </c>
      <c r="BH9" s="331" t="s">
        <v>190</v>
      </c>
      <c r="BI9" s="331" t="s">
        <v>190</v>
      </c>
      <c r="BJ9" s="331" t="s">
        <v>190</v>
      </c>
      <c r="BK9" s="331" t="s">
        <v>190</v>
      </c>
      <c r="BL9" s="331" t="s">
        <v>190</v>
      </c>
      <c r="BM9" s="331" t="s">
        <v>190</v>
      </c>
      <c r="BN9" s="331" t="s">
        <v>190</v>
      </c>
      <c r="BO9" s="331" t="s">
        <v>190</v>
      </c>
      <c r="BP9" s="331" t="s">
        <v>190</v>
      </c>
      <c r="BQ9" s="331" t="s">
        <v>190</v>
      </c>
      <c r="BR9" s="331" t="s">
        <v>190</v>
      </c>
      <c r="BS9" s="331" t="s">
        <v>190</v>
      </c>
      <c r="BT9" s="331" t="s">
        <v>190</v>
      </c>
      <c r="BU9" s="331" t="s">
        <v>190</v>
      </c>
      <c r="BV9" s="331" t="s">
        <v>190</v>
      </c>
      <c r="BW9" s="331" t="s">
        <v>190</v>
      </c>
      <c r="BX9" s="331" t="s">
        <v>190</v>
      </c>
      <c r="BY9" s="331" t="s">
        <v>190</v>
      </c>
      <c r="BZ9" s="331" t="s">
        <v>190</v>
      </c>
      <c r="CA9" s="331" t="s">
        <v>190</v>
      </c>
      <c r="CB9" s="331" t="s">
        <v>190</v>
      </c>
      <c r="CC9" s="331" t="s">
        <v>190</v>
      </c>
      <c r="CD9" s="331" t="s">
        <v>190</v>
      </c>
      <c r="CE9" s="331" t="s">
        <v>190</v>
      </c>
      <c r="CF9" s="331" t="s">
        <v>190</v>
      </c>
      <c r="CG9" s="331" t="s">
        <v>190</v>
      </c>
      <c r="CH9" s="331" t="s">
        <v>190</v>
      </c>
      <c r="CI9" s="331" t="s">
        <v>190</v>
      </c>
      <c r="CJ9" s="331" t="s">
        <v>190</v>
      </c>
      <c r="CK9" s="331" t="s">
        <v>428</v>
      </c>
      <c r="CL9" s="331" t="s">
        <v>428</v>
      </c>
      <c r="CM9" s="331" t="s">
        <v>428</v>
      </c>
      <c r="CN9" s="331" t="s">
        <v>190</v>
      </c>
      <c r="CO9" s="331" t="s">
        <v>190</v>
      </c>
      <c r="CP9" s="331" t="s">
        <v>190</v>
      </c>
      <c r="CQ9" s="331" t="s">
        <v>190</v>
      </c>
      <c r="CR9" s="331" t="s">
        <v>190</v>
      </c>
      <c r="CS9" s="331" t="s">
        <v>190</v>
      </c>
      <c r="CT9" s="331" t="s">
        <v>190</v>
      </c>
      <c r="CU9" s="331" t="s">
        <v>190</v>
      </c>
      <c r="CV9" s="331" t="s">
        <v>190</v>
      </c>
      <c r="CW9" s="331" t="s">
        <v>190</v>
      </c>
      <c r="CX9" s="331" t="s">
        <v>190</v>
      </c>
      <c r="CY9" s="331" t="s">
        <v>190</v>
      </c>
      <c r="CZ9" s="331" t="s">
        <v>190</v>
      </c>
      <c r="DA9" s="331" t="s">
        <v>190</v>
      </c>
      <c r="DB9" s="331" t="s">
        <v>190</v>
      </c>
      <c r="DC9" s="331" t="s">
        <v>190</v>
      </c>
      <c r="DD9" s="331" t="s">
        <v>190</v>
      </c>
      <c r="DE9" s="331" t="s">
        <v>190</v>
      </c>
      <c r="DF9" s="331" t="s">
        <v>190</v>
      </c>
      <c r="DG9" s="331" t="s">
        <v>190</v>
      </c>
      <c r="DH9" s="331" t="s">
        <v>190</v>
      </c>
      <c r="DI9" s="331" t="s">
        <v>190</v>
      </c>
      <c r="DJ9" s="331" t="s">
        <v>190</v>
      </c>
      <c r="DK9" s="331" t="s">
        <v>428</v>
      </c>
      <c r="DL9" s="331" t="s">
        <v>190</v>
      </c>
      <c r="DM9" s="331" t="s">
        <v>190</v>
      </c>
      <c r="DN9" s="331" t="s">
        <v>190</v>
      </c>
      <c r="DO9" s="331" t="s">
        <v>190</v>
      </c>
      <c r="DP9" s="331" t="s">
        <v>190</v>
      </c>
      <c r="DQ9" s="331" t="s">
        <v>190</v>
      </c>
      <c r="DR9" s="331" t="s">
        <v>190</v>
      </c>
      <c r="DS9" s="331" t="s">
        <v>190</v>
      </c>
      <c r="DT9" s="331" t="s">
        <v>190</v>
      </c>
      <c r="DU9" s="331" t="s">
        <v>190</v>
      </c>
      <c r="DV9" s="331" t="s">
        <v>190</v>
      </c>
      <c r="DW9" s="331" t="s">
        <v>190</v>
      </c>
      <c r="DX9" s="331" t="s">
        <v>190</v>
      </c>
      <c r="DY9" s="331" t="s">
        <v>190</v>
      </c>
      <c r="DZ9" s="331" t="s">
        <v>428</v>
      </c>
      <c r="EA9" s="331" t="s">
        <v>190</v>
      </c>
      <c r="EB9" s="331" t="s">
        <v>190</v>
      </c>
      <c r="EC9" s="331" t="s">
        <v>190</v>
      </c>
      <c r="ED9" s="331" t="s">
        <v>190</v>
      </c>
      <c r="EE9" s="331" t="s">
        <v>190</v>
      </c>
      <c r="EF9" s="331" t="s">
        <v>190</v>
      </c>
      <c r="EG9" s="331" t="s">
        <v>190</v>
      </c>
      <c r="EH9" s="331" t="s">
        <v>190</v>
      </c>
      <c r="EI9" s="331" t="s">
        <v>190</v>
      </c>
      <c r="EJ9" s="331" t="s">
        <v>190</v>
      </c>
      <c r="EK9" s="331" t="s">
        <v>190</v>
      </c>
      <c r="EL9" s="331" t="s">
        <v>190</v>
      </c>
      <c r="EM9" s="331" t="s">
        <v>190</v>
      </c>
      <c r="EN9" s="331" t="s">
        <v>190</v>
      </c>
      <c r="EO9" s="331" t="s">
        <v>190</v>
      </c>
      <c r="EP9" s="331" t="s">
        <v>190</v>
      </c>
      <c r="EQ9" s="331" t="s">
        <v>190</v>
      </c>
      <c r="ER9" s="331" t="s">
        <v>190</v>
      </c>
      <c r="ES9" s="331" t="s">
        <v>190</v>
      </c>
      <c r="ET9" s="331" t="s">
        <v>190</v>
      </c>
      <c r="EU9" s="331" t="s">
        <v>190</v>
      </c>
      <c r="EV9" s="331" t="s">
        <v>190</v>
      </c>
      <c r="EW9" s="331" t="s">
        <v>190</v>
      </c>
      <c r="EX9" s="331" t="s">
        <v>190</v>
      </c>
      <c r="EY9" s="331" t="s">
        <v>190</v>
      </c>
      <c r="EZ9" s="331" t="s">
        <v>190</v>
      </c>
      <c r="FA9" s="331" t="s">
        <v>190</v>
      </c>
      <c r="FB9" s="331" t="s">
        <v>190</v>
      </c>
      <c r="FC9" s="331" t="s">
        <v>190</v>
      </c>
      <c r="FD9" s="331" t="s">
        <v>190</v>
      </c>
      <c r="FE9" s="331" t="s">
        <v>190</v>
      </c>
      <c r="FF9" s="331" t="s">
        <v>190</v>
      </c>
      <c r="FG9" s="331" t="s">
        <v>190</v>
      </c>
      <c r="FH9" s="331" t="s">
        <v>190</v>
      </c>
      <c r="FI9" s="331" t="s">
        <v>190</v>
      </c>
      <c r="FJ9" s="331" t="s">
        <v>190</v>
      </c>
      <c r="FK9" s="331" t="s">
        <v>190</v>
      </c>
      <c r="FL9" s="331" t="s">
        <v>190</v>
      </c>
      <c r="FM9" s="331" t="s">
        <v>190</v>
      </c>
      <c r="FN9" s="331" t="s">
        <v>190</v>
      </c>
      <c r="FO9" s="331" t="s">
        <v>190</v>
      </c>
      <c r="FP9" s="331" t="s">
        <v>190</v>
      </c>
      <c r="FQ9" s="331" t="s">
        <v>190</v>
      </c>
      <c r="FR9" s="331" t="s">
        <v>190</v>
      </c>
      <c r="FS9" s="331" t="s">
        <v>190</v>
      </c>
      <c r="FT9" s="331" t="s">
        <v>190</v>
      </c>
      <c r="FU9" s="331" t="s">
        <v>190</v>
      </c>
      <c r="FV9" s="331" t="s">
        <v>190</v>
      </c>
      <c r="FW9" s="331" t="s">
        <v>190</v>
      </c>
      <c r="FX9" s="331" t="s">
        <v>190</v>
      </c>
      <c r="FY9" s="331" t="s">
        <v>190</v>
      </c>
      <c r="FZ9" s="331" t="s">
        <v>190</v>
      </c>
      <c r="GA9" s="331" t="s">
        <v>190</v>
      </c>
      <c r="GB9" s="331" t="s">
        <v>190</v>
      </c>
      <c r="GC9" s="331" t="s">
        <v>190</v>
      </c>
      <c r="GD9" s="331" t="s">
        <v>190</v>
      </c>
      <c r="GE9" s="331" t="s">
        <v>190</v>
      </c>
      <c r="GF9" s="331" t="s">
        <v>190</v>
      </c>
      <c r="GG9" s="331" t="s">
        <v>190</v>
      </c>
      <c r="GH9" s="331" t="s">
        <v>428</v>
      </c>
      <c r="GI9" s="331" t="s">
        <v>190</v>
      </c>
      <c r="GJ9" s="331" t="s">
        <v>190</v>
      </c>
      <c r="GK9" s="331" t="s">
        <v>190</v>
      </c>
      <c r="GL9" s="331" t="s">
        <v>190</v>
      </c>
      <c r="GM9" s="331" t="s">
        <v>190</v>
      </c>
      <c r="GN9" s="331" t="s">
        <v>190</v>
      </c>
      <c r="GO9" s="331" t="s">
        <v>190</v>
      </c>
      <c r="GP9" s="331" t="s">
        <v>190</v>
      </c>
      <c r="GQ9" s="331" t="s">
        <v>190</v>
      </c>
      <c r="GR9" s="331" t="s">
        <v>190</v>
      </c>
      <c r="GS9" s="331" t="s">
        <v>190</v>
      </c>
      <c r="GT9" s="331" t="s">
        <v>190</v>
      </c>
      <c r="GU9" s="331" t="s">
        <v>190</v>
      </c>
      <c r="GV9" s="331" t="s">
        <v>190</v>
      </c>
      <c r="GW9" s="331" t="s">
        <v>190</v>
      </c>
      <c r="GX9" s="331" t="s">
        <v>190</v>
      </c>
      <c r="GY9" s="331" t="s">
        <v>190</v>
      </c>
      <c r="GZ9" s="331" t="s">
        <v>190</v>
      </c>
      <c r="HA9" s="331" t="s">
        <v>190</v>
      </c>
      <c r="HB9" s="331" t="s">
        <v>190</v>
      </c>
      <c r="HC9" s="331" t="s">
        <v>190</v>
      </c>
      <c r="HD9" s="331" t="s">
        <v>190</v>
      </c>
      <c r="HE9" s="331" t="s">
        <v>190</v>
      </c>
      <c r="HF9" s="331" t="s">
        <v>190</v>
      </c>
      <c r="HG9" s="331" t="s">
        <v>190</v>
      </c>
      <c r="HH9" s="331" t="s">
        <v>190</v>
      </c>
      <c r="HI9" s="331" t="s">
        <v>190</v>
      </c>
      <c r="HJ9" s="331" t="s">
        <v>190</v>
      </c>
      <c r="HK9" s="331" t="s">
        <v>190</v>
      </c>
      <c r="HL9" s="331" t="s">
        <v>190</v>
      </c>
      <c r="HM9" s="331" t="s">
        <v>190</v>
      </c>
      <c r="HN9" s="331" t="s">
        <v>190</v>
      </c>
      <c r="HO9" s="331" t="s">
        <v>190</v>
      </c>
      <c r="HP9" s="331" t="s">
        <v>190</v>
      </c>
      <c r="HQ9" s="331" t="s">
        <v>190</v>
      </c>
      <c r="HR9" s="331" t="s">
        <v>190</v>
      </c>
      <c r="HS9" s="331" t="s">
        <v>190</v>
      </c>
      <c r="HT9" s="331" t="s">
        <v>190</v>
      </c>
      <c r="HU9" s="331" t="s">
        <v>190</v>
      </c>
      <c r="HV9" s="331" t="s">
        <v>190</v>
      </c>
      <c r="HW9" s="331" t="s">
        <v>190</v>
      </c>
      <c r="HX9" s="331" t="s">
        <v>190</v>
      </c>
      <c r="HY9" s="331" t="s">
        <v>190</v>
      </c>
      <c r="HZ9" s="331" t="s">
        <v>190</v>
      </c>
      <c r="IA9" s="331" t="s">
        <v>190</v>
      </c>
      <c r="IB9" s="331" t="s">
        <v>190</v>
      </c>
      <c r="IC9" s="331" t="s">
        <v>190</v>
      </c>
      <c r="ID9" s="331" t="s">
        <v>190</v>
      </c>
      <c r="IE9" s="331" t="s">
        <v>190</v>
      </c>
      <c r="IF9" s="331" t="s">
        <v>190</v>
      </c>
      <c r="IG9" s="331" t="s">
        <v>170</v>
      </c>
      <c r="IH9" s="331" t="s">
        <v>429</v>
      </c>
      <c r="II9" s="331" t="s">
        <v>169</v>
      </c>
      <c r="IJ9" s="331" t="s">
        <v>427</v>
      </c>
      <c r="IK9" s="331" t="s">
        <v>428</v>
      </c>
      <c r="IL9" s="331" t="s">
        <v>428</v>
      </c>
    </row>
    <row r="10" spans="1:246" x14ac:dyDescent="0.25">
      <c r="A10" s="334" t="str">
        <f>HYPERLINK("http://www.ofsted.gov.uk/inspection-reports/find-inspection-report/provider/ELS/146780 ","Ofsted School Webpage")</f>
        <v>Ofsted School Webpage</v>
      </c>
      <c r="B10" s="331">
        <v>146780</v>
      </c>
      <c r="C10" s="331">
        <v>3306045</v>
      </c>
      <c r="D10" s="331" t="s">
        <v>2680</v>
      </c>
      <c r="E10" s="331" t="s">
        <v>168</v>
      </c>
      <c r="F10" s="331" t="s">
        <v>437</v>
      </c>
      <c r="G10" s="331" t="s">
        <v>437</v>
      </c>
      <c r="H10" s="331" t="s">
        <v>813</v>
      </c>
      <c r="I10" s="331" t="s">
        <v>2681</v>
      </c>
      <c r="J10" s="331" t="s">
        <v>434</v>
      </c>
      <c r="K10" s="331" t="s">
        <v>81</v>
      </c>
      <c r="L10" s="331" t="s">
        <v>81</v>
      </c>
      <c r="M10" s="331" t="s">
        <v>78</v>
      </c>
      <c r="N10" s="331" t="s">
        <v>424</v>
      </c>
      <c r="O10" s="333">
        <v>10119167</v>
      </c>
      <c r="P10" s="332">
        <v>43760</v>
      </c>
      <c r="Q10" s="332">
        <v>43762</v>
      </c>
      <c r="R10" s="332">
        <v>43803</v>
      </c>
      <c r="S10" s="331" t="s">
        <v>435</v>
      </c>
      <c r="T10" s="331" t="s">
        <v>426</v>
      </c>
      <c r="U10" s="331">
        <v>4</v>
      </c>
      <c r="V10" s="331">
        <v>4</v>
      </c>
      <c r="W10" s="331">
        <v>3</v>
      </c>
      <c r="X10" s="331">
        <v>4</v>
      </c>
      <c r="Y10" s="331">
        <v>4</v>
      </c>
      <c r="Z10" s="331" t="s">
        <v>170</v>
      </c>
      <c r="AA10" s="331" t="s">
        <v>173</v>
      </c>
      <c r="AB10" s="331" t="s">
        <v>173</v>
      </c>
      <c r="AC10" s="331" t="s">
        <v>427</v>
      </c>
      <c r="AD10" s="331" t="s">
        <v>172</v>
      </c>
      <c r="AE10" s="331" t="s">
        <v>479</v>
      </c>
      <c r="AF10" s="331" t="s">
        <v>479</v>
      </c>
      <c r="AG10" s="331" t="s">
        <v>479</v>
      </c>
      <c r="AH10" s="331" t="s">
        <v>190</v>
      </c>
      <c r="AI10" s="331" t="s">
        <v>479</v>
      </c>
      <c r="AJ10" s="331" t="s">
        <v>190</v>
      </c>
      <c r="AK10" s="331" t="s">
        <v>190</v>
      </c>
      <c r="AL10" s="331" t="s">
        <v>479</v>
      </c>
      <c r="AM10" s="331" t="s">
        <v>191</v>
      </c>
      <c r="AN10" s="331" t="s">
        <v>191</v>
      </c>
      <c r="AO10" s="331" t="s">
        <v>191</v>
      </c>
      <c r="AP10" s="331" t="s">
        <v>191</v>
      </c>
      <c r="AQ10" s="331" t="s">
        <v>190</v>
      </c>
      <c r="AR10" s="331" t="s">
        <v>191</v>
      </c>
      <c r="AS10" s="331" t="s">
        <v>191</v>
      </c>
      <c r="AT10" s="331" t="s">
        <v>191</v>
      </c>
      <c r="AU10" s="331" t="s">
        <v>428</v>
      </c>
      <c r="AV10" s="331" t="s">
        <v>191</v>
      </c>
      <c r="AW10" s="331" t="s">
        <v>191</v>
      </c>
      <c r="AX10" s="331" t="s">
        <v>191</v>
      </c>
      <c r="AY10" s="331" t="s">
        <v>191</v>
      </c>
      <c r="AZ10" s="331" t="s">
        <v>191</v>
      </c>
      <c r="BA10" s="331" t="s">
        <v>191</v>
      </c>
      <c r="BB10" s="331" t="s">
        <v>191</v>
      </c>
      <c r="BC10" s="331" t="s">
        <v>428</v>
      </c>
      <c r="BD10" s="331" t="s">
        <v>428</v>
      </c>
      <c r="BE10" s="331" t="s">
        <v>191</v>
      </c>
      <c r="BF10" s="331" t="s">
        <v>191</v>
      </c>
      <c r="BG10" s="331" t="s">
        <v>191</v>
      </c>
      <c r="BH10" s="331" t="s">
        <v>191</v>
      </c>
      <c r="BI10" s="331" t="s">
        <v>191</v>
      </c>
      <c r="BJ10" s="331" t="s">
        <v>191</v>
      </c>
      <c r="BK10" s="331" t="s">
        <v>191</v>
      </c>
      <c r="BL10" s="331" t="s">
        <v>191</v>
      </c>
      <c r="BM10" s="331" t="s">
        <v>191</v>
      </c>
      <c r="BN10" s="331" t="s">
        <v>191</v>
      </c>
      <c r="BO10" s="331" t="s">
        <v>190</v>
      </c>
      <c r="BP10" s="331" t="s">
        <v>190</v>
      </c>
      <c r="BQ10" s="331" t="s">
        <v>190</v>
      </c>
      <c r="BR10" s="331" t="s">
        <v>191</v>
      </c>
      <c r="BS10" s="331" t="s">
        <v>191</v>
      </c>
      <c r="BT10" s="331" t="s">
        <v>191</v>
      </c>
      <c r="BU10" s="331" t="s">
        <v>191</v>
      </c>
      <c r="BV10" s="331" t="s">
        <v>191</v>
      </c>
      <c r="BW10" s="331" t="s">
        <v>191</v>
      </c>
      <c r="BX10" s="331" t="s">
        <v>191</v>
      </c>
      <c r="BY10" s="331" t="s">
        <v>191</v>
      </c>
      <c r="BZ10" s="331" t="s">
        <v>191</v>
      </c>
      <c r="CA10" s="331" t="s">
        <v>191</v>
      </c>
      <c r="CB10" s="331" t="s">
        <v>191</v>
      </c>
      <c r="CC10" s="331" t="s">
        <v>191</v>
      </c>
      <c r="CD10" s="331" t="s">
        <v>191</v>
      </c>
      <c r="CE10" s="331" t="s">
        <v>191</v>
      </c>
      <c r="CF10" s="331" t="s">
        <v>191</v>
      </c>
      <c r="CG10" s="331" t="s">
        <v>191</v>
      </c>
      <c r="CH10" s="331" t="s">
        <v>191</v>
      </c>
      <c r="CI10" s="331" t="s">
        <v>191</v>
      </c>
      <c r="CJ10" s="331" t="s">
        <v>191</v>
      </c>
      <c r="CK10" s="331" t="s">
        <v>428</v>
      </c>
      <c r="CL10" s="331" t="s">
        <v>428</v>
      </c>
      <c r="CM10" s="331" t="s">
        <v>428</v>
      </c>
      <c r="CN10" s="331" t="s">
        <v>191</v>
      </c>
      <c r="CO10" s="331" t="s">
        <v>190</v>
      </c>
      <c r="CP10" s="331" t="s">
        <v>191</v>
      </c>
      <c r="CQ10" s="331" t="s">
        <v>190</v>
      </c>
      <c r="CR10" s="331" t="s">
        <v>190</v>
      </c>
      <c r="CS10" s="331" t="s">
        <v>191</v>
      </c>
      <c r="CT10" s="331" t="s">
        <v>191</v>
      </c>
      <c r="CU10" s="331" t="s">
        <v>191</v>
      </c>
      <c r="CV10" s="331" t="s">
        <v>190</v>
      </c>
      <c r="CW10" s="331" t="s">
        <v>190</v>
      </c>
      <c r="CX10" s="331" t="s">
        <v>191</v>
      </c>
      <c r="CY10" s="331" t="s">
        <v>191</v>
      </c>
      <c r="CZ10" s="331" t="s">
        <v>191</v>
      </c>
      <c r="DA10" s="331" t="s">
        <v>190</v>
      </c>
      <c r="DB10" s="331" t="s">
        <v>190</v>
      </c>
      <c r="DC10" s="331" t="s">
        <v>190</v>
      </c>
      <c r="DD10" s="331" t="s">
        <v>190</v>
      </c>
      <c r="DE10" s="331" t="s">
        <v>190</v>
      </c>
      <c r="DF10" s="331" t="s">
        <v>190</v>
      </c>
      <c r="DG10" s="331" t="s">
        <v>190</v>
      </c>
      <c r="DH10" s="331" t="s">
        <v>190</v>
      </c>
      <c r="DI10" s="331" t="s">
        <v>190</v>
      </c>
      <c r="DJ10" s="331" t="s">
        <v>190</v>
      </c>
      <c r="DK10" s="331" t="s">
        <v>190</v>
      </c>
      <c r="DL10" s="331" t="s">
        <v>190</v>
      </c>
      <c r="DM10" s="331" t="s">
        <v>428</v>
      </c>
      <c r="DN10" s="331" t="s">
        <v>428</v>
      </c>
      <c r="DO10" s="331" t="s">
        <v>428</v>
      </c>
      <c r="DP10" s="331" t="s">
        <v>428</v>
      </c>
      <c r="DQ10" s="331" t="s">
        <v>428</v>
      </c>
      <c r="DR10" s="331" t="s">
        <v>428</v>
      </c>
      <c r="DS10" s="331" t="s">
        <v>428</v>
      </c>
      <c r="DT10" s="331" t="s">
        <v>428</v>
      </c>
      <c r="DU10" s="331" t="s">
        <v>428</v>
      </c>
      <c r="DV10" s="331" t="s">
        <v>428</v>
      </c>
      <c r="DW10" s="331" t="s">
        <v>428</v>
      </c>
      <c r="DX10" s="331" t="s">
        <v>428</v>
      </c>
      <c r="DY10" s="331" t="s">
        <v>428</v>
      </c>
      <c r="DZ10" s="331" t="s">
        <v>428</v>
      </c>
      <c r="EA10" s="331" t="s">
        <v>428</v>
      </c>
      <c r="EB10" s="331" t="s">
        <v>190</v>
      </c>
      <c r="EC10" s="331" t="s">
        <v>190</v>
      </c>
      <c r="ED10" s="331" t="s">
        <v>190</v>
      </c>
      <c r="EE10" s="331" t="s">
        <v>190</v>
      </c>
      <c r="EF10" s="331" t="s">
        <v>190</v>
      </c>
      <c r="EG10" s="331" t="s">
        <v>190</v>
      </c>
      <c r="EH10" s="331" t="s">
        <v>190</v>
      </c>
      <c r="EI10" s="331" t="s">
        <v>428</v>
      </c>
      <c r="EJ10" s="331" t="s">
        <v>428</v>
      </c>
      <c r="EK10" s="331" t="s">
        <v>190</v>
      </c>
      <c r="EL10" s="331" t="s">
        <v>190</v>
      </c>
      <c r="EM10" s="331" t="s">
        <v>190</v>
      </c>
      <c r="EN10" s="331" t="s">
        <v>190</v>
      </c>
      <c r="EO10" s="331" t="s">
        <v>190</v>
      </c>
      <c r="EP10" s="331" t="s">
        <v>190</v>
      </c>
      <c r="EQ10" s="331" t="s">
        <v>190</v>
      </c>
      <c r="ER10" s="331" t="s">
        <v>190</v>
      </c>
      <c r="ES10" s="331" t="s">
        <v>190</v>
      </c>
      <c r="ET10" s="331" t="s">
        <v>190</v>
      </c>
      <c r="EU10" s="331" t="s">
        <v>190</v>
      </c>
      <c r="EV10" s="331" t="s">
        <v>190</v>
      </c>
      <c r="EW10" s="331" t="s">
        <v>190</v>
      </c>
      <c r="EX10" s="331" t="s">
        <v>428</v>
      </c>
      <c r="EY10" s="331" t="s">
        <v>428</v>
      </c>
      <c r="EZ10" s="331" t="s">
        <v>428</v>
      </c>
      <c r="FA10" s="331" t="s">
        <v>428</v>
      </c>
      <c r="FB10" s="331" t="s">
        <v>428</v>
      </c>
      <c r="FC10" s="331" t="s">
        <v>428</v>
      </c>
      <c r="FD10" s="331" t="s">
        <v>428</v>
      </c>
      <c r="FE10" s="331" t="s">
        <v>190</v>
      </c>
      <c r="FF10" s="331" t="s">
        <v>428</v>
      </c>
      <c r="FG10" s="331" t="s">
        <v>190</v>
      </c>
      <c r="FH10" s="331" t="s">
        <v>190</v>
      </c>
      <c r="FI10" s="331" t="s">
        <v>190</v>
      </c>
      <c r="FJ10" s="331" t="s">
        <v>190</v>
      </c>
      <c r="FK10" s="331" t="s">
        <v>190</v>
      </c>
      <c r="FL10" s="331" t="s">
        <v>190</v>
      </c>
      <c r="FM10" s="331" t="s">
        <v>190</v>
      </c>
      <c r="FN10" s="331" t="s">
        <v>190</v>
      </c>
      <c r="FO10" s="331" t="s">
        <v>190</v>
      </c>
      <c r="FP10" s="331" t="s">
        <v>428</v>
      </c>
      <c r="FQ10" s="331" t="s">
        <v>190</v>
      </c>
      <c r="FR10" s="331" t="s">
        <v>191</v>
      </c>
      <c r="FS10" s="331" t="s">
        <v>190</v>
      </c>
      <c r="FT10" s="331" t="s">
        <v>190</v>
      </c>
      <c r="FU10" s="331" t="s">
        <v>190</v>
      </c>
      <c r="FV10" s="331" t="s">
        <v>190</v>
      </c>
      <c r="FW10" s="331" t="s">
        <v>190</v>
      </c>
      <c r="FX10" s="331" t="s">
        <v>190</v>
      </c>
      <c r="FY10" s="331" t="s">
        <v>190</v>
      </c>
      <c r="FZ10" s="331" t="s">
        <v>190</v>
      </c>
      <c r="GA10" s="331" t="s">
        <v>190</v>
      </c>
      <c r="GB10" s="331" t="s">
        <v>190</v>
      </c>
      <c r="GC10" s="331" t="s">
        <v>190</v>
      </c>
      <c r="GD10" s="331" t="s">
        <v>190</v>
      </c>
      <c r="GE10" s="331" t="s">
        <v>190</v>
      </c>
      <c r="GF10" s="331" t="s">
        <v>190</v>
      </c>
      <c r="GG10" s="331" t="s">
        <v>190</v>
      </c>
      <c r="GH10" s="331" t="s">
        <v>428</v>
      </c>
      <c r="GI10" s="331" t="s">
        <v>190</v>
      </c>
      <c r="GJ10" s="331" t="s">
        <v>190</v>
      </c>
      <c r="GK10" s="331" t="s">
        <v>190</v>
      </c>
      <c r="GL10" s="331" t="s">
        <v>190</v>
      </c>
      <c r="GM10" s="331" t="s">
        <v>428</v>
      </c>
      <c r="GN10" s="331" t="s">
        <v>428</v>
      </c>
      <c r="GO10" s="331" t="s">
        <v>190</v>
      </c>
      <c r="GP10" s="331" t="s">
        <v>190</v>
      </c>
      <c r="GQ10" s="331" t="s">
        <v>428</v>
      </c>
      <c r="GR10" s="331" t="s">
        <v>190</v>
      </c>
      <c r="GS10" s="331" t="s">
        <v>190</v>
      </c>
      <c r="GT10" s="331" t="s">
        <v>190</v>
      </c>
      <c r="GU10" s="331" t="s">
        <v>190</v>
      </c>
      <c r="GV10" s="331" t="s">
        <v>190</v>
      </c>
      <c r="GW10" s="331" t="s">
        <v>190</v>
      </c>
      <c r="GX10" s="331" t="s">
        <v>190</v>
      </c>
      <c r="GY10" s="331" t="s">
        <v>190</v>
      </c>
      <c r="GZ10" s="331" t="s">
        <v>190</v>
      </c>
      <c r="HA10" s="331" t="s">
        <v>190</v>
      </c>
      <c r="HB10" s="331" t="s">
        <v>190</v>
      </c>
      <c r="HC10" s="331" t="s">
        <v>190</v>
      </c>
      <c r="HD10" s="331" t="s">
        <v>190</v>
      </c>
      <c r="HE10" s="331" t="s">
        <v>190</v>
      </c>
      <c r="HF10" s="331" t="s">
        <v>428</v>
      </c>
      <c r="HG10" s="331" t="s">
        <v>190</v>
      </c>
      <c r="HH10" s="331" t="s">
        <v>428</v>
      </c>
      <c r="HI10" s="331" t="s">
        <v>428</v>
      </c>
      <c r="HJ10" s="331" t="s">
        <v>428</v>
      </c>
      <c r="HK10" s="331" t="s">
        <v>428</v>
      </c>
      <c r="HL10" s="331" t="s">
        <v>428</v>
      </c>
      <c r="HM10" s="331" t="s">
        <v>190</v>
      </c>
      <c r="HN10" s="331" t="s">
        <v>190</v>
      </c>
      <c r="HO10" s="331" t="s">
        <v>190</v>
      </c>
      <c r="HP10" s="331" t="s">
        <v>190</v>
      </c>
      <c r="HQ10" s="331" t="s">
        <v>190</v>
      </c>
      <c r="HR10" s="331" t="s">
        <v>190</v>
      </c>
      <c r="HS10" s="331" t="s">
        <v>190</v>
      </c>
      <c r="HT10" s="331" t="s">
        <v>190</v>
      </c>
      <c r="HU10" s="331" t="s">
        <v>190</v>
      </c>
      <c r="HV10" s="331" t="s">
        <v>190</v>
      </c>
      <c r="HW10" s="331" t="s">
        <v>190</v>
      </c>
      <c r="HX10" s="331" t="s">
        <v>190</v>
      </c>
      <c r="HY10" s="331" t="s">
        <v>190</v>
      </c>
      <c r="HZ10" s="331" t="s">
        <v>190</v>
      </c>
      <c r="IA10" s="331" t="s">
        <v>190</v>
      </c>
      <c r="IB10" s="331" t="s">
        <v>190</v>
      </c>
      <c r="IC10" s="331" t="s">
        <v>191</v>
      </c>
      <c r="ID10" s="331" t="s">
        <v>191</v>
      </c>
      <c r="IE10" s="331" t="s">
        <v>191</v>
      </c>
      <c r="IF10" s="331" t="s">
        <v>191</v>
      </c>
      <c r="IG10" s="331" t="s">
        <v>170</v>
      </c>
      <c r="IH10" s="331" t="s">
        <v>429</v>
      </c>
      <c r="II10" s="331" t="s">
        <v>169</v>
      </c>
      <c r="IJ10" s="331" t="s">
        <v>427</v>
      </c>
      <c r="IK10" s="331" t="s">
        <v>428</v>
      </c>
      <c r="IL10" s="331" t="s">
        <v>428</v>
      </c>
    </row>
    <row r="11" spans="1:246" x14ac:dyDescent="0.25">
      <c r="A11" s="334" t="str">
        <f>HYPERLINK("http://www.ofsted.gov.uk/inspection-reports/find-inspection-report/provider/ELS/131802 ","Ofsted School Webpage")</f>
        <v>Ofsted School Webpage</v>
      </c>
      <c r="B11" s="331">
        <v>131802</v>
      </c>
      <c r="C11" s="331">
        <v>9286067</v>
      </c>
      <c r="D11" s="331" t="s">
        <v>1692</v>
      </c>
      <c r="E11" s="331" t="s">
        <v>168</v>
      </c>
      <c r="F11" s="331" t="s">
        <v>506</v>
      </c>
      <c r="G11" s="331" t="s">
        <v>506</v>
      </c>
      <c r="H11" s="331" t="s">
        <v>1136</v>
      </c>
      <c r="I11" s="331" t="s">
        <v>1693</v>
      </c>
      <c r="J11" s="331" t="s">
        <v>81</v>
      </c>
      <c r="K11" s="331" t="s">
        <v>81</v>
      </c>
      <c r="L11" s="331" t="s">
        <v>81</v>
      </c>
      <c r="M11" s="331" t="s">
        <v>78</v>
      </c>
      <c r="N11" s="331" t="s">
        <v>424</v>
      </c>
      <c r="O11" s="333">
        <v>10078684</v>
      </c>
      <c r="P11" s="332">
        <v>43760</v>
      </c>
      <c r="Q11" s="332">
        <v>43762</v>
      </c>
      <c r="R11" s="332">
        <v>43793</v>
      </c>
      <c r="S11" s="331" t="s">
        <v>425</v>
      </c>
      <c r="T11" s="331" t="s">
        <v>426</v>
      </c>
      <c r="U11" s="331">
        <v>2</v>
      </c>
      <c r="V11" s="331">
        <v>2</v>
      </c>
      <c r="W11" s="331">
        <v>2</v>
      </c>
      <c r="X11" s="331">
        <v>2</v>
      </c>
      <c r="Y11" s="331">
        <v>2</v>
      </c>
      <c r="Z11" s="331" t="s">
        <v>169</v>
      </c>
      <c r="AA11" s="331" t="s">
        <v>173</v>
      </c>
      <c r="AB11" s="331" t="s">
        <v>173</v>
      </c>
      <c r="AC11" s="331" t="s">
        <v>427</v>
      </c>
      <c r="AD11" s="331" t="s">
        <v>171</v>
      </c>
      <c r="AE11" s="331" t="s">
        <v>190</v>
      </c>
      <c r="AF11" s="331" t="s">
        <v>190</v>
      </c>
      <c r="AG11" s="331" t="s">
        <v>190</v>
      </c>
      <c r="AH11" s="331" t="s">
        <v>190</v>
      </c>
      <c r="AI11" s="331" t="s">
        <v>190</v>
      </c>
      <c r="AJ11" s="331" t="s">
        <v>190</v>
      </c>
      <c r="AK11" s="331" t="s">
        <v>190</v>
      </c>
      <c r="AL11" s="331" t="s">
        <v>190</v>
      </c>
      <c r="AM11" s="331" t="s">
        <v>190</v>
      </c>
      <c r="AN11" s="331" t="s">
        <v>190</v>
      </c>
      <c r="AO11" s="331" t="s">
        <v>190</v>
      </c>
      <c r="AP11" s="331" t="s">
        <v>190</v>
      </c>
      <c r="AQ11" s="331" t="s">
        <v>190</v>
      </c>
      <c r="AR11" s="331" t="s">
        <v>190</v>
      </c>
      <c r="AS11" s="331" t="s">
        <v>190</v>
      </c>
      <c r="AT11" s="331" t="s">
        <v>190</v>
      </c>
      <c r="AU11" s="331" t="s">
        <v>428</v>
      </c>
      <c r="AV11" s="331" t="s">
        <v>190</v>
      </c>
      <c r="AW11" s="331" t="s">
        <v>190</v>
      </c>
      <c r="AX11" s="331" t="s">
        <v>190</v>
      </c>
      <c r="AY11" s="331" t="s">
        <v>190</v>
      </c>
      <c r="AZ11" s="331" t="s">
        <v>190</v>
      </c>
      <c r="BA11" s="331" t="s">
        <v>190</v>
      </c>
      <c r="BB11" s="331" t="s">
        <v>190</v>
      </c>
      <c r="BC11" s="331" t="s">
        <v>428</v>
      </c>
      <c r="BD11" s="331" t="s">
        <v>428</v>
      </c>
      <c r="BE11" s="331" t="s">
        <v>190</v>
      </c>
      <c r="BF11" s="331" t="s">
        <v>190</v>
      </c>
      <c r="BG11" s="331" t="s">
        <v>190</v>
      </c>
      <c r="BH11" s="331" t="s">
        <v>190</v>
      </c>
      <c r="BI11" s="331" t="s">
        <v>190</v>
      </c>
      <c r="BJ11" s="331" t="s">
        <v>190</v>
      </c>
      <c r="BK11" s="331" t="s">
        <v>190</v>
      </c>
      <c r="BL11" s="331" t="s">
        <v>190</v>
      </c>
      <c r="BM11" s="331" t="s">
        <v>190</v>
      </c>
      <c r="BN11" s="331" t="s">
        <v>190</v>
      </c>
      <c r="BO11" s="331" t="s">
        <v>190</v>
      </c>
      <c r="BP11" s="331" t="s">
        <v>190</v>
      </c>
      <c r="BQ11" s="331" t="s">
        <v>190</v>
      </c>
      <c r="BR11" s="331" t="s">
        <v>190</v>
      </c>
      <c r="BS11" s="331" t="s">
        <v>190</v>
      </c>
      <c r="BT11" s="331" t="s">
        <v>190</v>
      </c>
      <c r="BU11" s="331" t="s">
        <v>190</v>
      </c>
      <c r="BV11" s="331" t="s">
        <v>190</v>
      </c>
      <c r="BW11" s="331" t="s">
        <v>190</v>
      </c>
      <c r="BX11" s="331" t="s">
        <v>190</v>
      </c>
      <c r="BY11" s="331" t="s">
        <v>190</v>
      </c>
      <c r="BZ11" s="331" t="s">
        <v>190</v>
      </c>
      <c r="CA11" s="331" t="s">
        <v>190</v>
      </c>
      <c r="CB11" s="331" t="s">
        <v>190</v>
      </c>
      <c r="CC11" s="331" t="s">
        <v>190</v>
      </c>
      <c r="CD11" s="331" t="s">
        <v>190</v>
      </c>
      <c r="CE11" s="331" t="s">
        <v>190</v>
      </c>
      <c r="CF11" s="331" t="s">
        <v>190</v>
      </c>
      <c r="CG11" s="331" t="s">
        <v>190</v>
      </c>
      <c r="CH11" s="331" t="s">
        <v>190</v>
      </c>
      <c r="CI11" s="331" t="s">
        <v>190</v>
      </c>
      <c r="CJ11" s="331" t="s">
        <v>190</v>
      </c>
      <c r="CK11" s="331" t="s">
        <v>428</v>
      </c>
      <c r="CL11" s="331" t="s">
        <v>428</v>
      </c>
      <c r="CM11" s="331" t="s">
        <v>428</v>
      </c>
      <c r="CN11" s="331" t="s">
        <v>190</v>
      </c>
      <c r="CO11" s="331" t="s">
        <v>190</v>
      </c>
      <c r="CP11" s="331" t="s">
        <v>190</v>
      </c>
      <c r="CQ11" s="331" t="s">
        <v>190</v>
      </c>
      <c r="CR11" s="331" t="s">
        <v>190</v>
      </c>
      <c r="CS11" s="331" t="s">
        <v>190</v>
      </c>
      <c r="CT11" s="331" t="s">
        <v>190</v>
      </c>
      <c r="CU11" s="331" t="s">
        <v>190</v>
      </c>
      <c r="CV11" s="331" t="s">
        <v>190</v>
      </c>
      <c r="CW11" s="331" t="s">
        <v>190</v>
      </c>
      <c r="CX11" s="331" t="s">
        <v>190</v>
      </c>
      <c r="CY11" s="331" t="s">
        <v>190</v>
      </c>
      <c r="CZ11" s="331" t="s">
        <v>190</v>
      </c>
      <c r="DA11" s="331" t="s">
        <v>190</v>
      </c>
      <c r="DB11" s="331" t="s">
        <v>190</v>
      </c>
      <c r="DC11" s="331" t="s">
        <v>190</v>
      </c>
      <c r="DD11" s="331" t="s">
        <v>190</v>
      </c>
      <c r="DE11" s="331" t="s">
        <v>190</v>
      </c>
      <c r="DF11" s="331" t="s">
        <v>190</v>
      </c>
      <c r="DG11" s="331" t="s">
        <v>190</v>
      </c>
      <c r="DH11" s="331" t="s">
        <v>190</v>
      </c>
      <c r="DI11" s="331" t="s">
        <v>190</v>
      </c>
      <c r="DJ11" s="331" t="s">
        <v>190</v>
      </c>
      <c r="DK11" s="331" t="s">
        <v>428</v>
      </c>
      <c r="DL11" s="331" t="s">
        <v>190</v>
      </c>
      <c r="DM11" s="331" t="s">
        <v>428</v>
      </c>
      <c r="DN11" s="331" t="s">
        <v>428</v>
      </c>
      <c r="DO11" s="331" t="s">
        <v>428</v>
      </c>
      <c r="DP11" s="331" t="s">
        <v>428</v>
      </c>
      <c r="DQ11" s="331" t="s">
        <v>428</v>
      </c>
      <c r="DR11" s="331" t="s">
        <v>428</v>
      </c>
      <c r="DS11" s="331" t="s">
        <v>428</v>
      </c>
      <c r="DT11" s="331" t="s">
        <v>428</v>
      </c>
      <c r="DU11" s="331" t="s">
        <v>428</v>
      </c>
      <c r="DV11" s="331" t="s">
        <v>428</v>
      </c>
      <c r="DW11" s="331" t="s">
        <v>428</v>
      </c>
      <c r="DX11" s="331" t="s">
        <v>428</v>
      </c>
      <c r="DY11" s="331" t="s">
        <v>428</v>
      </c>
      <c r="DZ11" s="331" t="s">
        <v>428</v>
      </c>
      <c r="EA11" s="331" t="s">
        <v>428</v>
      </c>
      <c r="EB11" s="331" t="s">
        <v>190</v>
      </c>
      <c r="EC11" s="331" t="s">
        <v>190</v>
      </c>
      <c r="ED11" s="331" t="s">
        <v>190</v>
      </c>
      <c r="EE11" s="331" t="s">
        <v>190</v>
      </c>
      <c r="EF11" s="331" t="s">
        <v>190</v>
      </c>
      <c r="EG11" s="331" t="s">
        <v>190</v>
      </c>
      <c r="EH11" s="331" t="s">
        <v>190</v>
      </c>
      <c r="EI11" s="331" t="s">
        <v>190</v>
      </c>
      <c r="EJ11" s="331" t="s">
        <v>190</v>
      </c>
      <c r="EK11" s="331" t="s">
        <v>190</v>
      </c>
      <c r="EL11" s="331" t="s">
        <v>190</v>
      </c>
      <c r="EM11" s="331" t="s">
        <v>190</v>
      </c>
      <c r="EN11" s="331" t="s">
        <v>190</v>
      </c>
      <c r="EO11" s="331" t="s">
        <v>190</v>
      </c>
      <c r="EP11" s="331" t="s">
        <v>190</v>
      </c>
      <c r="EQ11" s="331" t="s">
        <v>190</v>
      </c>
      <c r="ER11" s="331" t="s">
        <v>190</v>
      </c>
      <c r="ES11" s="331" t="s">
        <v>190</v>
      </c>
      <c r="ET11" s="331" t="s">
        <v>190</v>
      </c>
      <c r="EU11" s="331" t="s">
        <v>190</v>
      </c>
      <c r="EV11" s="331" t="s">
        <v>190</v>
      </c>
      <c r="EW11" s="331" t="s">
        <v>190</v>
      </c>
      <c r="EX11" s="331" t="s">
        <v>428</v>
      </c>
      <c r="EY11" s="331" t="s">
        <v>428</v>
      </c>
      <c r="EZ11" s="331" t="s">
        <v>428</v>
      </c>
      <c r="FA11" s="331" t="s">
        <v>428</v>
      </c>
      <c r="FB11" s="331" t="s">
        <v>428</v>
      </c>
      <c r="FC11" s="331" t="s">
        <v>428</v>
      </c>
      <c r="FD11" s="331" t="s">
        <v>428</v>
      </c>
      <c r="FE11" s="331" t="s">
        <v>190</v>
      </c>
      <c r="FF11" s="331" t="s">
        <v>190</v>
      </c>
      <c r="FG11" s="331" t="s">
        <v>190</v>
      </c>
      <c r="FH11" s="331" t="s">
        <v>190</v>
      </c>
      <c r="FI11" s="331" t="s">
        <v>190</v>
      </c>
      <c r="FJ11" s="331" t="s">
        <v>190</v>
      </c>
      <c r="FK11" s="331" t="s">
        <v>190</v>
      </c>
      <c r="FL11" s="331" t="s">
        <v>190</v>
      </c>
      <c r="FM11" s="331" t="s">
        <v>190</v>
      </c>
      <c r="FN11" s="331" t="s">
        <v>190</v>
      </c>
      <c r="FO11" s="331" t="s">
        <v>190</v>
      </c>
      <c r="FP11" s="331" t="s">
        <v>428</v>
      </c>
      <c r="FQ11" s="331" t="s">
        <v>428</v>
      </c>
      <c r="FR11" s="331" t="s">
        <v>190</v>
      </c>
      <c r="FS11" s="331" t="s">
        <v>190</v>
      </c>
      <c r="FT11" s="331" t="s">
        <v>190</v>
      </c>
      <c r="FU11" s="331" t="s">
        <v>190</v>
      </c>
      <c r="FV11" s="331" t="s">
        <v>190</v>
      </c>
      <c r="FW11" s="331" t="s">
        <v>190</v>
      </c>
      <c r="FX11" s="331" t="s">
        <v>190</v>
      </c>
      <c r="FY11" s="331" t="s">
        <v>190</v>
      </c>
      <c r="FZ11" s="331" t="s">
        <v>190</v>
      </c>
      <c r="GA11" s="331" t="s">
        <v>190</v>
      </c>
      <c r="GB11" s="331" t="s">
        <v>190</v>
      </c>
      <c r="GC11" s="331" t="s">
        <v>190</v>
      </c>
      <c r="GD11" s="331" t="s">
        <v>190</v>
      </c>
      <c r="GE11" s="331" t="s">
        <v>190</v>
      </c>
      <c r="GF11" s="331" t="s">
        <v>190</v>
      </c>
      <c r="GG11" s="331" t="s">
        <v>190</v>
      </c>
      <c r="GH11" s="331" t="s">
        <v>428</v>
      </c>
      <c r="GI11" s="331" t="s">
        <v>190</v>
      </c>
      <c r="GJ11" s="331" t="s">
        <v>190</v>
      </c>
      <c r="GK11" s="331" t="s">
        <v>190</v>
      </c>
      <c r="GL11" s="331" t="s">
        <v>190</v>
      </c>
      <c r="GM11" s="331" t="s">
        <v>190</v>
      </c>
      <c r="GN11" s="331" t="s">
        <v>428</v>
      </c>
      <c r="GO11" s="331" t="s">
        <v>190</v>
      </c>
      <c r="GP11" s="331" t="s">
        <v>190</v>
      </c>
      <c r="GQ11" s="331" t="s">
        <v>190</v>
      </c>
      <c r="GR11" s="331" t="s">
        <v>190</v>
      </c>
      <c r="GS11" s="331" t="s">
        <v>428</v>
      </c>
      <c r="GT11" s="331" t="s">
        <v>190</v>
      </c>
      <c r="GU11" s="331" t="s">
        <v>190</v>
      </c>
      <c r="GV11" s="331" t="s">
        <v>190</v>
      </c>
      <c r="GW11" s="331" t="s">
        <v>428</v>
      </c>
      <c r="GX11" s="331" t="s">
        <v>190</v>
      </c>
      <c r="GY11" s="331" t="s">
        <v>428</v>
      </c>
      <c r="GZ11" s="331" t="s">
        <v>190</v>
      </c>
      <c r="HA11" s="331" t="s">
        <v>190</v>
      </c>
      <c r="HB11" s="331" t="s">
        <v>190</v>
      </c>
      <c r="HC11" s="331" t="s">
        <v>190</v>
      </c>
      <c r="HD11" s="331" t="s">
        <v>190</v>
      </c>
      <c r="HE11" s="331" t="s">
        <v>190</v>
      </c>
      <c r="HF11" s="331" t="s">
        <v>190</v>
      </c>
      <c r="HG11" s="331" t="s">
        <v>190</v>
      </c>
      <c r="HH11" s="331" t="s">
        <v>190</v>
      </c>
      <c r="HI11" s="331" t="s">
        <v>428</v>
      </c>
      <c r="HJ11" s="331" t="s">
        <v>428</v>
      </c>
      <c r="HK11" s="331" t="s">
        <v>428</v>
      </c>
      <c r="HL11" s="331" t="s">
        <v>428</v>
      </c>
      <c r="HM11" s="331" t="s">
        <v>190</v>
      </c>
      <c r="HN11" s="331" t="s">
        <v>190</v>
      </c>
      <c r="HO11" s="331" t="s">
        <v>190</v>
      </c>
      <c r="HP11" s="331" t="s">
        <v>190</v>
      </c>
      <c r="HQ11" s="331" t="s">
        <v>190</v>
      </c>
      <c r="HR11" s="331" t="s">
        <v>190</v>
      </c>
      <c r="HS11" s="331" t="s">
        <v>190</v>
      </c>
      <c r="HT11" s="331" t="s">
        <v>190</v>
      </c>
      <c r="HU11" s="331" t="s">
        <v>190</v>
      </c>
      <c r="HV11" s="331" t="s">
        <v>190</v>
      </c>
      <c r="HW11" s="331" t="s">
        <v>190</v>
      </c>
      <c r="HX11" s="331" t="s">
        <v>190</v>
      </c>
      <c r="HY11" s="331" t="s">
        <v>190</v>
      </c>
      <c r="HZ11" s="331" t="s">
        <v>190</v>
      </c>
      <c r="IA11" s="331" t="s">
        <v>190</v>
      </c>
      <c r="IB11" s="331" t="s">
        <v>190</v>
      </c>
      <c r="IC11" s="331" t="s">
        <v>190</v>
      </c>
      <c r="ID11" s="331" t="s">
        <v>190</v>
      </c>
      <c r="IE11" s="331" t="s">
        <v>190</v>
      </c>
      <c r="IF11" s="331" t="s">
        <v>190</v>
      </c>
      <c r="IG11" s="331" t="s">
        <v>170</v>
      </c>
      <c r="IH11" s="331" t="s">
        <v>429</v>
      </c>
      <c r="II11" s="331" t="s">
        <v>169</v>
      </c>
      <c r="IJ11" s="331" t="s">
        <v>427</v>
      </c>
      <c r="IK11" s="331" t="s">
        <v>428</v>
      </c>
      <c r="IL11" s="331" t="s">
        <v>428</v>
      </c>
    </row>
    <row r="12" spans="1:246" x14ac:dyDescent="0.25">
      <c r="A12" s="330" t="str">
        <f>HYPERLINK("http://www.ofsted.gov.uk/inspection-reports/find-inspection-report/provider/ELS/135576 ","Ofsted School Webpage")</f>
        <v>Ofsted School Webpage</v>
      </c>
      <c r="B12" s="331">
        <v>135576</v>
      </c>
      <c r="C12" s="331">
        <v>8876130</v>
      </c>
      <c r="D12" s="331" t="s">
        <v>1955</v>
      </c>
      <c r="E12" s="331" t="s">
        <v>168</v>
      </c>
      <c r="F12" s="331" t="s">
        <v>514</v>
      </c>
      <c r="G12" s="331" t="s">
        <v>514</v>
      </c>
      <c r="H12" s="331" t="s">
        <v>704</v>
      </c>
      <c r="I12" s="331" t="s">
        <v>1956</v>
      </c>
      <c r="J12" s="331" t="s">
        <v>81</v>
      </c>
      <c r="K12" s="331" t="s">
        <v>81</v>
      </c>
      <c r="L12" s="331" t="s">
        <v>81</v>
      </c>
      <c r="M12" s="331" t="s">
        <v>78</v>
      </c>
      <c r="N12" s="331" t="s">
        <v>424</v>
      </c>
      <c r="O12" s="333">
        <v>10076614</v>
      </c>
      <c r="P12" s="332">
        <v>43767</v>
      </c>
      <c r="Q12" s="332">
        <v>43769</v>
      </c>
      <c r="R12" s="332">
        <v>43800</v>
      </c>
      <c r="S12" s="331" t="s">
        <v>425</v>
      </c>
      <c r="T12" s="331" t="s">
        <v>426</v>
      </c>
      <c r="U12" s="331">
        <v>3</v>
      </c>
      <c r="V12" s="331">
        <v>3</v>
      </c>
      <c r="W12" s="331">
        <v>2</v>
      </c>
      <c r="X12" s="331">
        <v>3</v>
      </c>
      <c r="Y12" s="331">
        <v>3</v>
      </c>
      <c r="Z12" s="331" t="s">
        <v>169</v>
      </c>
      <c r="AA12" s="331" t="s">
        <v>173</v>
      </c>
      <c r="AB12" s="331">
        <v>3</v>
      </c>
      <c r="AC12" s="331" t="s">
        <v>427</v>
      </c>
      <c r="AD12" s="331" t="s">
        <v>171</v>
      </c>
      <c r="AE12" s="331" t="s">
        <v>190</v>
      </c>
      <c r="AF12" s="331" t="s">
        <v>190</v>
      </c>
      <c r="AG12" s="331" t="s">
        <v>190</v>
      </c>
      <c r="AH12" s="331" t="s">
        <v>190</v>
      </c>
      <c r="AI12" s="331" t="s">
        <v>190</v>
      </c>
      <c r="AJ12" s="331" t="s">
        <v>190</v>
      </c>
      <c r="AK12" s="331" t="s">
        <v>190</v>
      </c>
      <c r="AL12" s="331" t="s">
        <v>190</v>
      </c>
      <c r="AM12" s="331" t="s">
        <v>190</v>
      </c>
      <c r="AN12" s="331" t="s">
        <v>190</v>
      </c>
      <c r="AO12" s="331" t="s">
        <v>190</v>
      </c>
      <c r="AP12" s="331" t="s">
        <v>190</v>
      </c>
      <c r="AQ12" s="331" t="s">
        <v>190</v>
      </c>
      <c r="AR12" s="331" t="s">
        <v>190</v>
      </c>
      <c r="AS12" s="331" t="s">
        <v>190</v>
      </c>
      <c r="AT12" s="331" t="s">
        <v>190</v>
      </c>
      <c r="AU12" s="331" t="s">
        <v>428</v>
      </c>
      <c r="AV12" s="331" t="s">
        <v>190</v>
      </c>
      <c r="AW12" s="331" t="s">
        <v>190</v>
      </c>
      <c r="AX12" s="331" t="s">
        <v>190</v>
      </c>
      <c r="AY12" s="331" t="s">
        <v>190</v>
      </c>
      <c r="AZ12" s="331" t="s">
        <v>190</v>
      </c>
      <c r="BA12" s="331" t="s">
        <v>190</v>
      </c>
      <c r="BB12" s="331" t="s">
        <v>190</v>
      </c>
      <c r="BC12" s="331" t="s">
        <v>428</v>
      </c>
      <c r="BD12" s="331" t="s">
        <v>190</v>
      </c>
      <c r="BE12" s="331" t="s">
        <v>190</v>
      </c>
      <c r="BF12" s="331" t="s">
        <v>190</v>
      </c>
      <c r="BG12" s="331" t="s">
        <v>190</v>
      </c>
      <c r="BH12" s="331" t="s">
        <v>190</v>
      </c>
      <c r="BI12" s="331" t="s">
        <v>190</v>
      </c>
      <c r="BJ12" s="331" t="s">
        <v>190</v>
      </c>
      <c r="BK12" s="331" t="s">
        <v>190</v>
      </c>
      <c r="BL12" s="331" t="s">
        <v>190</v>
      </c>
      <c r="BM12" s="331" t="s">
        <v>190</v>
      </c>
      <c r="BN12" s="331" t="s">
        <v>190</v>
      </c>
      <c r="BO12" s="331" t="s">
        <v>190</v>
      </c>
      <c r="BP12" s="331" t="s">
        <v>190</v>
      </c>
      <c r="BQ12" s="331" t="s">
        <v>190</v>
      </c>
      <c r="BR12" s="331" t="s">
        <v>190</v>
      </c>
      <c r="BS12" s="331" t="s">
        <v>190</v>
      </c>
      <c r="BT12" s="331" t="s">
        <v>190</v>
      </c>
      <c r="BU12" s="331" t="s">
        <v>190</v>
      </c>
      <c r="BV12" s="331" t="s">
        <v>190</v>
      </c>
      <c r="BW12" s="331" t="s">
        <v>190</v>
      </c>
      <c r="BX12" s="331" t="s">
        <v>190</v>
      </c>
      <c r="BY12" s="331" t="s">
        <v>190</v>
      </c>
      <c r="BZ12" s="331" t="s">
        <v>190</v>
      </c>
      <c r="CA12" s="331" t="s">
        <v>190</v>
      </c>
      <c r="CB12" s="331" t="s">
        <v>190</v>
      </c>
      <c r="CC12" s="331" t="s">
        <v>190</v>
      </c>
      <c r="CD12" s="331" t="s">
        <v>190</v>
      </c>
      <c r="CE12" s="331" t="s">
        <v>190</v>
      </c>
      <c r="CF12" s="331" t="s">
        <v>190</v>
      </c>
      <c r="CG12" s="331" t="s">
        <v>190</v>
      </c>
      <c r="CH12" s="331" t="s">
        <v>190</v>
      </c>
      <c r="CI12" s="331" t="s">
        <v>190</v>
      </c>
      <c r="CJ12" s="331" t="s">
        <v>190</v>
      </c>
      <c r="CK12" s="331" t="s">
        <v>190</v>
      </c>
      <c r="CL12" s="331" t="s">
        <v>428</v>
      </c>
      <c r="CM12" s="331" t="s">
        <v>428</v>
      </c>
      <c r="CN12" s="331" t="s">
        <v>190</v>
      </c>
      <c r="CO12" s="331" t="s">
        <v>190</v>
      </c>
      <c r="CP12" s="331" t="s">
        <v>190</v>
      </c>
      <c r="CQ12" s="331" t="s">
        <v>190</v>
      </c>
      <c r="CR12" s="331" t="s">
        <v>190</v>
      </c>
      <c r="CS12" s="331" t="s">
        <v>190</v>
      </c>
      <c r="CT12" s="331" t="s">
        <v>190</v>
      </c>
      <c r="CU12" s="331" t="s">
        <v>190</v>
      </c>
      <c r="CV12" s="331" t="s">
        <v>190</v>
      </c>
      <c r="CW12" s="331" t="s">
        <v>190</v>
      </c>
      <c r="CX12" s="331" t="s">
        <v>190</v>
      </c>
      <c r="CY12" s="331" t="s">
        <v>190</v>
      </c>
      <c r="CZ12" s="331" t="s">
        <v>190</v>
      </c>
      <c r="DA12" s="331" t="s">
        <v>190</v>
      </c>
      <c r="DB12" s="331" t="s">
        <v>190</v>
      </c>
      <c r="DC12" s="331" t="s">
        <v>190</v>
      </c>
      <c r="DD12" s="331" t="s">
        <v>190</v>
      </c>
      <c r="DE12" s="331" t="s">
        <v>190</v>
      </c>
      <c r="DF12" s="331" t="s">
        <v>190</v>
      </c>
      <c r="DG12" s="331" t="s">
        <v>190</v>
      </c>
      <c r="DH12" s="331" t="s">
        <v>190</v>
      </c>
      <c r="DI12" s="331" t="s">
        <v>190</v>
      </c>
      <c r="DJ12" s="331" t="s">
        <v>190</v>
      </c>
      <c r="DK12" s="331" t="s">
        <v>428</v>
      </c>
      <c r="DL12" s="331" t="s">
        <v>190</v>
      </c>
      <c r="DM12" s="331" t="s">
        <v>190</v>
      </c>
      <c r="DN12" s="331" t="s">
        <v>190</v>
      </c>
      <c r="DO12" s="331" t="s">
        <v>190</v>
      </c>
      <c r="DP12" s="331" t="s">
        <v>190</v>
      </c>
      <c r="DQ12" s="331" t="s">
        <v>190</v>
      </c>
      <c r="DR12" s="331" t="s">
        <v>190</v>
      </c>
      <c r="DS12" s="331" t="s">
        <v>190</v>
      </c>
      <c r="DT12" s="331" t="s">
        <v>190</v>
      </c>
      <c r="DU12" s="331" t="s">
        <v>190</v>
      </c>
      <c r="DV12" s="331" t="s">
        <v>190</v>
      </c>
      <c r="DW12" s="331" t="s">
        <v>190</v>
      </c>
      <c r="DX12" s="331" t="s">
        <v>190</v>
      </c>
      <c r="DY12" s="331" t="s">
        <v>190</v>
      </c>
      <c r="DZ12" s="331" t="s">
        <v>428</v>
      </c>
      <c r="EA12" s="331" t="s">
        <v>190</v>
      </c>
      <c r="EB12" s="331" t="s">
        <v>190</v>
      </c>
      <c r="EC12" s="331" t="s">
        <v>190</v>
      </c>
      <c r="ED12" s="331" t="s">
        <v>190</v>
      </c>
      <c r="EE12" s="331" t="s">
        <v>190</v>
      </c>
      <c r="EF12" s="331" t="s">
        <v>190</v>
      </c>
      <c r="EG12" s="331" t="s">
        <v>190</v>
      </c>
      <c r="EH12" s="331" t="s">
        <v>190</v>
      </c>
      <c r="EI12" s="331" t="s">
        <v>190</v>
      </c>
      <c r="EJ12" s="331" t="s">
        <v>190</v>
      </c>
      <c r="EK12" s="331" t="s">
        <v>190</v>
      </c>
      <c r="EL12" s="331" t="s">
        <v>190</v>
      </c>
      <c r="EM12" s="331" t="s">
        <v>190</v>
      </c>
      <c r="EN12" s="331" t="s">
        <v>190</v>
      </c>
      <c r="EO12" s="331" t="s">
        <v>190</v>
      </c>
      <c r="EP12" s="331" t="s">
        <v>190</v>
      </c>
      <c r="EQ12" s="331" t="s">
        <v>190</v>
      </c>
      <c r="ER12" s="331" t="s">
        <v>190</v>
      </c>
      <c r="ES12" s="331" t="s">
        <v>190</v>
      </c>
      <c r="ET12" s="331" t="s">
        <v>190</v>
      </c>
      <c r="EU12" s="331" t="s">
        <v>190</v>
      </c>
      <c r="EV12" s="331" t="s">
        <v>190</v>
      </c>
      <c r="EW12" s="331" t="s">
        <v>190</v>
      </c>
      <c r="EX12" s="331" t="s">
        <v>190</v>
      </c>
      <c r="EY12" s="331" t="s">
        <v>190</v>
      </c>
      <c r="EZ12" s="331" t="s">
        <v>190</v>
      </c>
      <c r="FA12" s="331" t="s">
        <v>190</v>
      </c>
      <c r="FB12" s="331" t="s">
        <v>190</v>
      </c>
      <c r="FC12" s="331" t="s">
        <v>190</v>
      </c>
      <c r="FD12" s="331" t="s">
        <v>190</v>
      </c>
      <c r="FE12" s="331" t="s">
        <v>190</v>
      </c>
      <c r="FF12" s="331" t="s">
        <v>190</v>
      </c>
      <c r="FG12" s="331" t="s">
        <v>190</v>
      </c>
      <c r="FH12" s="331" t="s">
        <v>190</v>
      </c>
      <c r="FI12" s="331" t="s">
        <v>190</v>
      </c>
      <c r="FJ12" s="331" t="s">
        <v>190</v>
      </c>
      <c r="FK12" s="331" t="s">
        <v>190</v>
      </c>
      <c r="FL12" s="331" t="s">
        <v>190</v>
      </c>
      <c r="FM12" s="331" t="s">
        <v>190</v>
      </c>
      <c r="FN12" s="331" t="s">
        <v>190</v>
      </c>
      <c r="FO12" s="331" t="s">
        <v>190</v>
      </c>
      <c r="FP12" s="331" t="s">
        <v>190</v>
      </c>
      <c r="FQ12" s="331" t="s">
        <v>190</v>
      </c>
      <c r="FR12" s="331" t="s">
        <v>190</v>
      </c>
      <c r="FS12" s="331" t="s">
        <v>190</v>
      </c>
      <c r="FT12" s="331" t="s">
        <v>190</v>
      </c>
      <c r="FU12" s="331" t="s">
        <v>190</v>
      </c>
      <c r="FV12" s="331" t="s">
        <v>190</v>
      </c>
      <c r="FW12" s="331" t="s">
        <v>190</v>
      </c>
      <c r="FX12" s="331" t="s">
        <v>190</v>
      </c>
      <c r="FY12" s="331" t="s">
        <v>190</v>
      </c>
      <c r="FZ12" s="331" t="s">
        <v>190</v>
      </c>
      <c r="GA12" s="331" t="s">
        <v>190</v>
      </c>
      <c r="GB12" s="331" t="s">
        <v>190</v>
      </c>
      <c r="GC12" s="331" t="s">
        <v>190</v>
      </c>
      <c r="GD12" s="331" t="s">
        <v>190</v>
      </c>
      <c r="GE12" s="331" t="s">
        <v>190</v>
      </c>
      <c r="GF12" s="331" t="s">
        <v>190</v>
      </c>
      <c r="GG12" s="331" t="s">
        <v>190</v>
      </c>
      <c r="GH12" s="331" t="s">
        <v>428</v>
      </c>
      <c r="GI12" s="331" t="s">
        <v>190</v>
      </c>
      <c r="GJ12" s="331" t="s">
        <v>190</v>
      </c>
      <c r="GK12" s="331" t="s">
        <v>190</v>
      </c>
      <c r="GL12" s="331" t="s">
        <v>190</v>
      </c>
      <c r="GM12" s="331" t="s">
        <v>190</v>
      </c>
      <c r="GN12" s="331" t="s">
        <v>428</v>
      </c>
      <c r="GO12" s="331" t="s">
        <v>190</v>
      </c>
      <c r="GP12" s="331" t="s">
        <v>190</v>
      </c>
      <c r="GQ12" s="331" t="s">
        <v>190</v>
      </c>
      <c r="GR12" s="331" t="s">
        <v>190</v>
      </c>
      <c r="GS12" s="331" t="s">
        <v>190</v>
      </c>
      <c r="GT12" s="331" t="s">
        <v>190</v>
      </c>
      <c r="GU12" s="331" t="s">
        <v>190</v>
      </c>
      <c r="GV12" s="331" t="s">
        <v>190</v>
      </c>
      <c r="GW12" s="331" t="s">
        <v>190</v>
      </c>
      <c r="GX12" s="331" t="s">
        <v>428</v>
      </c>
      <c r="GY12" s="331" t="s">
        <v>428</v>
      </c>
      <c r="GZ12" s="331" t="s">
        <v>190</v>
      </c>
      <c r="HA12" s="331" t="s">
        <v>190</v>
      </c>
      <c r="HB12" s="331" t="s">
        <v>190</v>
      </c>
      <c r="HC12" s="331" t="s">
        <v>190</v>
      </c>
      <c r="HD12" s="331" t="s">
        <v>190</v>
      </c>
      <c r="HE12" s="331" t="s">
        <v>190</v>
      </c>
      <c r="HF12" s="331" t="s">
        <v>190</v>
      </c>
      <c r="HG12" s="331" t="s">
        <v>190</v>
      </c>
      <c r="HH12" s="331" t="s">
        <v>190</v>
      </c>
      <c r="HI12" s="331" t="s">
        <v>428</v>
      </c>
      <c r="HJ12" s="331" t="s">
        <v>428</v>
      </c>
      <c r="HK12" s="331" t="s">
        <v>428</v>
      </c>
      <c r="HL12" s="331" t="s">
        <v>428</v>
      </c>
      <c r="HM12" s="331" t="s">
        <v>190</v>
      </c>
      <c r="HN12" s="331" t="s">
        <v>190</v>
      </c>
      <c r="HO12" s="331" t="s">
        <v>190</v>
      </c>
      <c r="HP12" s="331" t="s">
        <v>190</v>
      </c>
      <c r="HQ12" s="331" t="s">
        <v>190</v>
      </c>
      <c r="HR12" s="331" t="s">
        <v>190</v>
      </c>
      <c r="HS12" s="331" t="s">
        <v>190</v>
      </c>
      <c r="HT12" s="331" t="s">
        <v>190</v>
      </c>
      <c r="HU12" s="331" t="s">
        <v>190</v>
      </c>
      <c r="HV12" s="331" t="s">
        <v>190</v>
      </c>
      <c r="HW12" s="331" t="s">
        <v>190</v>
      </c>
      <c r="HX12" s="331" t="s">
        <v>190</v>
      </c>
      <c r="HY12" s="331" t="s">
        <v>190</v>
      </c>
      <c r="HZ12" s="331" t="s">
        <v>190</v>
      </c>
      <c r="IA12" s="331" t="s">
        <v>190</v>
      </c>
      <c r="IB12" s="331" t="s">
        <v>190</v>
      </c>
      <c r="IC12" s="331" t="s">
        <v>190</v>
      </c>
      <c r="ID12" s="331" t="s">
        <v>190</v>
      </c>
      <c r="IE12" s="331" t="s">
        <v>190</v>
      </c>
      <c r="IF12" s="331" t="s">
        <v>190</v>
      </c>
      <c r="IG12" s="331" t="s">
        <v>169</v>
      </c>
      <c r="IH12" s="331" t="s">
        <v>169</v>
      </c>
      <c r="II12" s="331" t="s">
        <v>169</v>
      </c>
      <c r="IJ12" s="331" t="s">
        <v>427</v>
      </c>
      <c r="IK12" s="331" t="s">
        <v>428</v>
      </c>
      <c r="IL12" s="331" t="s">
        <v>428</v>
      </c>
    </row>
    <row r="13" spans="1:246" x14ac:dyDescent="0.25">
      <c r="A13" s="330" t="str">
        <f>HYPERLINK("http://www.ofsted.gov.uk/inspection-reports/find-inspection-report/provider/ELS/120345 ","Ofsted School Webpage")</f>
        <v>Ofsted School Webpage</v>
      </c>
      <c r="B13" s="331">
        <v>120345</v>
      </c>
      <c r="C13" s="331">
        <v>8566004</v>
      </c>
      <c r="D13" s="331" t="s">
        <v>1083</v>
      </c>
      <c r="E13" s="331" t="s">
        <v>167</v>
      </c>
      <c r="F13" s="331" t="s">
        <v>506</v>
      </c>
      <c r="G13" s="331" t="s">
        <v>506</v>
      </c>
      <c r="H13" s="331" t="s">
        <v>521</v>
      </c>
      <c r="I13" s="331" t="s">
        <v>1084</v>
      </c>
      <c r="J13" s="331" t="s">
        <v>81</v>
      </c>
      <c r="K13" s="331" t="s">
        <v>72</v>
      </c>
      <c r="L13" s="331" t="s">
        <v>72</v>
      </c>
      <c r="M13" s="331" t="s">
        <v>72</v>
      </c>
      <c r="N13" s="331" t="s">
        <v>424</v>
      </c>
      <c r="O13" s="333">
        <v>10116630</v>
      </c>
      <c r="P13" s="332">
        <v>43767</v>
      </c>
      <c r="Q13" s="332">
        <v>43769</v>
      </c>
      <c r="R13" s="332">
        <v>43804</v>
      </c>
      <c r="S13" s="331" t="s">
        <v>425</v>
      </c>
      <c r="T13" s="331" t="s">
        <v>426</v>
      </c>
      <c r="U13" s="331">
        <v>2</v>
      </c>
      <c r="V13" s="331">
        <v>2</v>
      </c>
      <c r="W13" s="331">
        <v>2</v>
      </c>
      <c r="X13" s="331">
        <v>2</v>
      </c>
      <c r="Y13" s="331">
        <v>2</v>
      </c>
      <c r="Z13" s="331" t="s">
        <v>169</v>
      </c>
      <c r="AA13" s="331" t="s">
        <v>173</v>
      </c>
      <c r="AB13" s="331">
        <v>2</v>
      </c>
      <c r="AC13" s="331" t="s">
        <v>427</v>
      </c>
      <c r="AD13" s="331" t="s">
        <v>171</v>
      </c>
      <c r="AE13" s="331" t="s">
        <v>190</v>
      </c>
      <c r="AF13" s="331" t="s">
        <v>190</v>
      </c>
      <c r="AG13" s="331" t="s">
        <v>190</v>
      </c>
      <c r="AH13" s="331" t="s">
        <v>190</v>
      </c>
      <c r="AI13" s="331" t="s">
        <v>190</v>
      </c>
      <c r="AJ13" s="331" t="s">
        <v>190</v>
      </c>
      <c r="AK13" s="331" t="s">
        <v>190</v>
      </c>
      <c r="AL13" s="331" t="s">
        <v>190</v>
      </c>
      <c r="AM13" s="331" t="s">
        <v>190</v>
      </c>
      <c r="AN13" s="331" t="s">
        <v>190</v>
      </c>
      <c r="AO13" s="331" t="s">
        <v>190</v>
      </c>
      <c r="AP13" s="331" t="s">
        <v>190</v>
      </c>
      <c r="AQ13" s="331" t="s">
        <v>190</v>
      </c>
      <c r="AR13" s="331" t="s">
        <v>190</v>
      </c>
      <c r="AS13" s="331" t="s">
        <v>190</v>
      </c>
      <c r="AT13" s="331" t="s">
        <v>190</v>
      </c>
      <c r="AU13" s="331" t="s">
        <v>428</v>
      </c>
      <c r="AV13" s="331" t="s">
        <v>190</v>
      </c>
      <c r="AW13" s="331" t="s">
        <v>190</v>
      </c>
      <c r="AX13" s="331" t="s">
        <v>190</v>
      </c>
      <c r="AY13" s="331" t="s">
        <v>190</v>
      </c>
      <c r="AZ13" s="331" t="s">
        <v>190</v>
      </c>
      <c r="BA13" s="331" t="s">
        <v>190</v>
      </c>
      <c r="BB13" s="331" t="s">
        <v>190</v>
      </c>
      <c r="BC13" s="331" t="s">
        <v>428</v>
      </c>
      <c r="BD13" s="331" t="s">
        <v>190</v>
      </c>
      <c r="BE13" s="331" t="s">
        <v>190</v>
      </c>
      <c r="BF13" s="331" t="s">
        <v>190</v>
      </c>
      <c r="BG13" s="331" t="s">
        <v>190</v>
      </c>
      <c r="BH13" s="331" t="s">
        <v>190</v>
      </c>
      <c r="BI13" s="331" t="s">
        <v>190</v>
      </c>
      <c r="BJ13" s="331" t="s">
        <v>190</v>
      </c>
      <c r="BK13" s="331" t="s">
        <v>190</v>
      </c>
      <c r="BL13" s="331" t="s">
        <v>190</v>
      </c>
      <c r="BM13" s="331" t="s">
        <v>190</v>
      </c>
      <c r="BN13" s="331" t="s">
        <v>190</v>
      </c>
      <c r="BO13" s="331" t="s">
        <v>190</v>
      </c>
      <c r="BP13" s="331" t="s">
        <v>190</v>
      </c>
      <c r="BQ13" s="331" t="s">
        <v>190</v>
      </c>
      <c r="BR13" s="331" t="s">
        <v>190</v>
      </c>
      <c r="BS13" s="331" t="s">
        <v>190</v>
      </c>
      <c r="BT13" s="331" t="s">
        <v>190</v>
      </c>
      <c r="BU13" s="331" t="s">
        <v>190</v>
      </c>
      <c r="BV13" s="331" t="s">
        <v>190</v>
      </c>
      <c r="BW13" s="331" t="s">
        <v>190</v>
      </c>
      <c r="BX13" s="331" t="s">
        <v>190</v>
      </c>
      <c r="BY13" s="331" t="s">
        <v>190</v>
      </c>
      <c r="BZ13" s="331" t="s">
        <v>190</v>
      </c>
      <c r="CA13" s="331" t="s">
        <v>190</v>
      </c>
      <c r="CB13" s="331" t="s">
        <v>190</v>
      </c>
      <c r="CC13" s="331" t="s">
        <v>190</v>
      </c>
      <c r="CD13" s="331" t="s">
        <v>190</v>
      </c>
      <c r="CE13" s="331" t="s">
        <v>190</v>
      </c>
      <c r="CF13" s="331" t="s">
        <v>190</v>
      </c>
      <c r="CG13" s="331" t="s">
        <v>190</v>
      </c>
      <c r="CH13" s="331" t="s">
        <v>190</v>
      </c>
      <c r="CI13" s="331" t="s">
        <v>190</v>
      </c>
      <c r="CJ13" s="331" t="s">
        <v>190</v>
      </c>
      <c r="CK13" s="331" t="s">
        <v>428</v>
      </c>
      <c r="CL13" s="331" t="s">
        <v>428</v>
      </c>
      <c r="CM13" s="331" t="s">
        <v>428</v>
      </c>
      <c r="CN13" s="331" t="s">
        <v>190</v>
      </c>
      <c r="CO13" s="331" t="s">
        <v>190</v>
      </c>
      <c r="CP13" s="331" t="s">
        <v>190</v>
      </c>
      <c r="CQ13" s="331" t="s">
        <v>190</v>
      </c>
      <c r="CR13" s="331" t="s">
        <v>190</v>
      </c>
      <c r="CS13" s="331" t="s">
        <v>190</v>
      </c>
      <c r="CT13" s="331" t="s">
        <v>190</v>
      </c>
      <c r="CU13" s="331" t="s">
        <v>190</v>
      </c>
      <c r="CV13" s="331" t="s">
        <v>190</v>
      </c>
      <c r="CW13" s="331" t="s">
        <v>190</v>
      </c>
      <c r="CX13" s="331" t="s">
        <v>190</v>
      </c>
      <c r="CY13" s="331" t="s">
        <v>190</v>
      </c>
      <c r="CZ13" s="331" t="s">
        <v>190</v>
      </c>
      <c r="DA13" s="331" t="s">
        <v>190</v>
      </c>
      <c r="DB13" s="331" t="s">
        <v>190</v>
      </c>
      <c r="DC13" s="331" t="s">
        <v>190</v>
      </c>
      <c r="DD13" s="331" t="s">
        <v>190</v>
      </c>
      <c r="DE13" s="331" t="s">
        <v>190</v>
      </c>
      <c r="DF13" s="331" t="s">
        <v>190</v>
      </c>
      <c r="DG13" s="331" t="s">
        <v>190</v>
      </c>
      <c r="DH13" s="331" t="s">
        <v>190</v>
      </c>
      <c r="DI13" s="331" t="s">
        <v>190</v>
      </c>
      <c r="DJ13" s="331" t="s">
        <v>190</v>
      </c>
      <c r="DK13" s="331" t="s">
        <v>191</v>
      </c>
      <c r="DL13" s="331" t="s">
        <v>190</v>
      </c>
      <c r="DM13" s="331" t="s">
        <v>428</v>
      </c>
      <c r="DN13" s="331" t="s">
        <v>428</v>
      </c>
      <c r="DO13" s="331" t="s">
        <v>428</v>
      </c>
      <c r="DP13" s="331" t="s">
        <v>428</v>
      </c>
      <c r="DQ13" s="331" t="s">
        <v>428</v>
      </c>
      <c r="DR13" s="331" t="s">
        <v>428</v>
      </c>
      <c r="DS13" s="331" t="s">
        <v>428</v>
      </c>
      <c r="DT13" s="331" t="s">
        <v>428</v>
      </c>
      <c r="DU13" s="331" t="s">
        <v>428</v>
      </c>
      <c r="DV13" s="331" t="s">
        <v>428</v>
      </c>
      <c r="DW13" s="331" t="s">
        <v>428</v>
      </c>
      <c r="DX13" s="331" t="s">
        <v>428</v>
      </c>
      <c r="DY13" s="331" t="s">
        <v>428</v>
      </c>
      <c r="DZ13" s="331" t="s">
        <v>428</v>
      </c>
      <c r="EA13" s="331" t="s">
        <v>428</v>
      </c>
      <c r="EB13" s="331" t="s">
        <v>190</v>
      </c>
      <c r="EC13" s="331" t="s">
        <v>190</v>
      </c>
      <c r="ED13" s="331" t="s">
        <v>190</v>
      </c>
      <c r="EE13" s="331" t="s">
        <v>190</v>
      </c>
      <c r="EF13" s="331" t="s">
        <v>190</v>
      </c>
      <c r="EG13" s="331" t="s">
        <v>190</v>
      </c>
      <c r="EH13" s="331" t="s">
        <v>190</v>
      </c>
      <c r="EI13" s="331" t="s">
        <v>190</v>
      </c>
      <c r="EJ13" s="331" t="s">
        <v>190</v>
      </c>
      <c r="EK13" s="331" t="s">
        <v>190</v>
      </c>
      <c r="EL13" s="331" t="s">
        <v>190</v>
      </c>
      <c r="EM13" s="331" t="s">
        <v>190</v>
      </c>
      <c r="EN13" s="331" t="s">
        <v>190</v>
      </c>
      <c r="EO13" s="331" t="s">
        <v>190</v>
      </c>
      <c r="EP13" s="331" t="s">
        <v>190</v>
      </c>
      <c r="EQ13" s="331" t="s">
        <v>190</v>
      </c>
      <c r="ER13" s="331" t="s">
        <v>190</v>
      </c>
      <c r="ES13" s="331" t="s">
        <v>190</v>
      </c>
      <c r="ET13" s="331" t="s">
        <v>190</v>
      </c>
      <c r="EU13" s="331" t="s">
        <v>190</v>
      </c>
      <c r="EV13" s="331" t="s">
        <v>190</v>
      </c>
      <c r="EW13" s="331" t="s">
        <v>190</v>
      </c>
      <c r="EX13" s="331" t="s">
        <v>190</v>
      </c>
      <c r="EY13" s="331" t="s">
        <v>428</v>
      </c>
      <c r="EZ13" s="331" t="s">
        <v>428</v>
      </c>
      <c r="FA13" s="331" t="s">
        <v>428</v>
      </c>
      <c r="FB13" s="331" t="s">
        <v>428</v>
      </c>
      <c r="FC13" s="331" t="s">
        <v>428</v>
      </c>
      <c r="FD13" s="331" t="s">
        <v>428</v>
      </c>
      <c r="FE13" s="331" t="s">
        <v>190</v>
      </c>
      <c r="FF13" s="331" t="s">
        <v>428</v>
      </c>
      <c r="FG13" s="331" t="s">
        <v>429</v>
      </c>
      <c r="FH13" s="331" t="s">
        <v>428</v>
      </c>
      <c r="FI13" s="331" t="s">
        <v>190</v>
      </c>
      <c r="FJ13" s="331" t="s">
        <v>190</v>
      </c>
      <c r="FK13" s="331" t="s">
        <v>428</v>
      </c>
      <c r="FL13" s="331" t="s">
        <v>190</v>
      </c>
      <c r="FM13" s="331" t="s">
        <v>190</v>
      </c>
      <c r="FN13" s="331" t="s">
        <v>190</v>
      </c>
      <c r="FO13" s="331" t="s">
        <v>190</v>
      </c>
      <c r="FP13" s="331" t="s">
        <v>428</v>
      </c>
      <c r="FQ13" s="331" t="s">
        <v>428</v>
      </c>
      <c r="FR13" s="331" t="s">
        <v>190</v>
      </c>
      <c r="FS13" s="331" t="s">
        <v>190</v>
      </c>
      <c r="FT13" s="331" t="s">
        <v>190</v>
      </c>
      <c r="FU13" s="331" t="s">
        <v>190</v>
      </c>
      <c r="FV13" s="331" t="s">
        <v>190</v>
      </c>
      <c r="FW13" s="331" t="s">
        <v>190</v>
      </c>
      <c r="FX13" s="331" t="s">
        <v>190</v>
      </c>
      <c r="FY13" s="331" t="s">
        <v>190</v>
      </c>
      <c r="FZ13" s="331" t="s">
        <v>190</v>
      </c>
      <c r="GA13" s="331" t="s">
        <v>190</v>
      </c>
      <c r="GB13" s="331" t="s">
        <v>190</v>
      </c>
      <c r="GC13" s="331" t="s">
        <v>190</v>
      </c>
      <c r="GD13" s="331" t="s">
        <v>190</v>
      </c>
      <c r="GE13" s="331" t="s">
        <v>190</v>
      </c>
      <c r="GF13" s="331" t="s">
        <v>190</v>
      </c>
      <c r="GG13" s="331" t="s">
        <v>190</v>
      </c>
      <c r="GH13" s="331" t="s">
        <v>428</v>
      </c>
      <c r="GI13" s="331" t="s">
        <v>190</v>
      </c>
      <c r="GJ13" s="331" t="s">
        <v>190</v>
      </c>
      <c r="GK13" s="331" t="s">
        <v>190</v>
      </c>
      <c r="GL13" s="331" t="s">
        <v>190</v>
      </c>
      <c r="GM13" s="331" t="s">
        <v>190</v>
      </c>
      <c r="GN13" s="331" t="s">
        <v>190</v>
      </c>
      <c r="GO13" s="331" t="s">
        <v>190</v>
      </c>
      <c r="GP13" s="331" t="s">
        <v>190</v>
      </c>
      <c r="GQ13" s="331" t="s">
        <v>428</v>
      </c>
      <c r="GR13" s="331" t="s">
        <v>428</v>
      </c>
      <c r="GS13" s="331" t="s">
        <v>190</v>
      </c>
      <c r="GT13" s="331" t="s">
        <v>190</v>
      </c>
      <c r="GU13" s="331" t="s">
        <v>190</v>
      </c>
      <c r="GV13" s="331" t="s">
        <v>190</v>
      </c>
      <c r="GW13" s="331" t="s">
        <v>428</v>
      </c>
      <c r="GX13" s="331" t="s">
        <v>190</v>
      </c>
      <c r="GY13" s="331" t="s">
        <v>190</v>
      </c>
      <c r="GZ13" s="331" t="s">
        <v>190</v>
      </c>
      <c r="HA13" s="331" t="s">
        <v>190</v>
      </c>
      <c r="HB13" s="331" t="s">
        <v>190</v>
      </c>
      <c r="HC13" s="331" t="s">
        <v>428</v>
      </c>
      <c r="HD13" s="331" t="s">
        <v>190</v>
      </c>
      <c r="HE13" s="331" t="s">
        <v>190</v>
      </c>
      <c r="HF13" s="331" t="s">
        <v>190</v>
      </c>
      <c r="HG13" s="331" t="s">
        <v>190</v>
      </c>
      <c r="HH13" s="331" t="s">
        <v>190</v>
      </c>
      <c r="HI13" s="331" t="s">
        <v>190</v>
      </c>
      <c r="HJ13" s="331" t="s">
        <v>428</v>
      </c>
      <c r="HK13" s="331" t="s">
        <v>428</v>
      </c>
      <c r="HL13" s="331" t="s">
        <v>428</v>
      </c>
      <c r="HM13" s="331" t="s">
        <v>190</v>
      </c>
      <c r="HN13" s="331" t="s">
        <v>190</v>
      </c>
      <c r="HO13" s="331" t="s">
        <v>190</v>
      </c>
      <c r="HP13" s="331" t="s">
        <v>190</v>
      </c>
      <c r="HQ13" s="331" t="s">
        <v>190</v>
      </c>
      <c r="HR13" s="331" t="s">
        <v>190</v>
      </c>
      <c r="HS13" s="331" t="s">
        <v>190</v>
      </c>
      <c r="HT13" s="331" t="s">
        <v>190</v>
      </c>
      <c r="HU13" s="331" t="s">
        <v>190</v>
      </c>
      <c r="HV13" s="331" t="s">
        <v>190</v>
      </c>
      <c r="HW13" s="331" t="s">
        <v>190</v>
      </c>
      <c r="HX13" s="331" t="s">
        <v>190</v>
      </c>
      <c r="HY13" s="331" t="s">
        <v>190</v>
      </c>
      <c r="HZ13" s="331" t="s">
        <v>190</v>
      </c>
      <c r="IA13" s="331" t="s">
        <v>190</v>
      </c>
      <c r="IB13" s="331" t="s">
        <v>190</v>
      </c>
      <c r="IC13" s="331" t="s">
        <v>190</v>
      </c>
      <c r="ID13" s="331" t="s">
        <v>190</v>
      </c>
      <c r="IE13" s="331" t="s">
        <v>190</v>
      </c>
      <c r="IF13" s="331" t="s">
        <v>190</v>
      </c>
      <c r="IG13" s="331" t="s">
        <v>170</v>
      </c>
      <c r="IH13" s="331" t="s">
        <v>429</v>
      </c>
      <c r="II13" s="331" t="s">
        <v>169</v>
      </c>
      <c r="IJ13" s="331" t="s">
        <v>427</v>
      </c>
      <c r="IK13" s="331" t="s">
        <v>428</v>
      </c>
      <c r="IL13" s="331" t="s">
        <v>428</v>
      </c>
    </row>
    <row r="14" spans="1:246" x14ac:dyDescent="0.25">
      <c r="A14" s="334" t="str">
        <f>HYPERLINK("http://www.ofsted.gov.uk/inspection-reports/find-inspection-report/provider/ELS/134938 ","Ofsted School Webpage")</f>
        <v>Ofsted School Webpage</v>
      </c>
      <c r="B14" s="331">
        <v>134938</v>
      </c>
      <c r="C14" s="331">
        <v>8576005</v>
      </c>
      <c r="D14" s="331" t="s">
        <v>986</v>
      </c>
      <c r="E14" s="331" t="s">
        <v>168</v>
      </c>
      <c r="F14" s="331" t="s">
        <v>506</v>
      </c>
      <c r="G14" s="331" t="s">
        <v>506</v>
      </c>
      <c r="H14" s="331" t="s">
        <v>987</v>
      </c>
      <c r="I14" s="331" t="s">
        <v>988</v>
      </c>
      <c r="J14" s="331" t="s">
        <v>81</v>
      </c>
      <c r="K14" s="331" t="s">
        <v>81</v>
      </c>
      <c r="L14" s="331" t="s">
        <v>81</v>
      </c>
      <c r="M14" s="331" t="s">
        <v>78</v>
      </c>
      <c r="N14" s="331" t="s">
        <v>424</v>
      </c>
      <c r="O14" s="333">
        <v>10116633</v>
      </c>
      <c r="P14" s="332">
        <v>43774</v>
      </c>
      <c r="Q14" s="332">
        <v>43776</v>
      </c>
      <c r="R14" s="332">
        <v>43803</v>
      </c>
      <c r="S14" s="331" t="s">
        <v>554</v>
      </c>
      <c r="T14" s="331" t="s">
        <v>426</v>
      </c>
      <c r="U14" s="331">
        <v>1</v>
      </c>
      <c r="V14" s="331">
        <v>1</v>
      </c>
      <c r="W14" s="331">
        <v>1</v>
      </c>
      <c r="X14" s="331">
        <v>1</v>
      </c>
      <c r="Y14" s="331">
        <v>1</v>
      </c>
      <c r="Z14" s="331" t="s">
        <v>169</v>
      </c>
      <c r="AA14" s="331" t="s">
        <v>173</v>
      </c>
      <c r="AB14" s="331">
        <v>1</v>
      </c>
      <c r="AC14" s="331" t="s">
        <v>427</v>
      </c>
      <c r="AD14" s="331" t="s">
        <v>171</v>
      </c>
      <c r="AE14" s="331" t="s">
        <v>190</v>
      </c>
      <c r="AF14" s="331" t="s">
        <v>190</v>
      </c>
      <c r="AG14" s="331" t="s">
        <v>190</v>
      </c>
      <c r="AH14" s="331" t="s">
        <v>190</v>
      </c>
      <c r="AI14" s="331" t="s">
        <v>190</v>
      </c>
      <c r="AJ14" s="331" t="s">
        <v>190</v>
      </c>
      <c r="AK14" s="331" t="s">
        <v>190</v>
      </c>
      <c r="AL14" s="331" t="s">
        <v>190</v>
      </c>
      <c r="AM14" s="331" t="s">
        <v>190</v>
      </c>
      <c r="AN14" s="331" t="s">
        <v>190</v>
      </c>
      <c r="AO14" s="331" t="s">
        <v>190</v>
      </c>
      <c r="AP14" s="331" t="s">
        <v>190</v>
      </c>
      <c r="AQ14" s="331" t="s">
        <v>190</v>
      </c>
      <c r="AR14" s="331" t="s">
        <v>190</v>
      </c>
      <c r="AS14" s="331" t="s">
        <v>190</v>
      </c>
      <c r="AT14" s="331" t="s">
        <v>190</v>
      </c>
      <c r="AU14" s="331" t="s">
        <v>428</v>
      </c>
      <c r="AV14" s="331" t="s">
        <v>190</v>
      </c>
      <c r="AW14" s="331" t="s">
        <v>190</v>
      </c>
      <c r="AX14" s="331" t="s">
        <v>190</v>
      </c>
      <c r="AY14" s="331" t="s">
        <v>190</v>
      </c>
      <c r="AZ14" s="331" t="s">
        <v>190</v>
      </c>
      <c r="BA14" s="331" t="s">
        <v>190</v>
      </c>
      <c r="BB14" s="331" t="s">
        <v>190</v>
      </c>
      <c r="BC14" s="331" t="s">
        <v>428</v>
      </c>
      <c r="BD14" s="331" t="s">
        <v>190</v>
      </c>
      <c r="BE14" s="331" t="s">
        <v>190</v>
      </c>
      <c r="BF14" s="331" t="s">
        <v>190</v>
      </c>
      <c r="BG14" s="331" t="s">
        <v>190</v>
      </c>
      <c r="BH14" s="331" t="s">
        <v>190</v>
      </c>
      <c r="BI14" s="331" t="s">
        <v>190</v>
      </c>
      <c r="BJ14" s="331" t="s">
        <v>190</v>
      </c>
      <c r="BK14" s="331" t="s">
        <v>190</v>
      </c>
      <c r="BL14" s="331" t="s">
        <v>190</v>
      </c>
      <c r="BM14" s="331" t="s">
        <v>190</v>
      </c>
      <c r="BN14" s="331" t="s">
        <v>190</v>
      </c>
      <c r="BO14" s="331" t="s">
        <v>190</v>
      </c>
      <c r="BP14" s="331" t="s">
        <v>190</v>
      </c>
      <c r="BQ14" s="331" t="s">
        <v>190</v>
      </c>
      <c r="BR14" s="331" t="s">
        <v>190</v>
      </c>
      <c r="BS14" s="331" t="s">
        <v>190</v>
      </c>
      <c r="BT14" s="331" t="s">
        <v>190</v>
      </c>
      <c r="BU14" s="331" t="s">
        <v>190</v>
      </c>
      <c r="BV14" s="331" t="s">
        <v>190</v>
      </c>
      <c r="BW14" s="331" t="s">
        <v>190</v>
      </c>
      <c r="BX14" s="331" t="s">
        <v>190</v>
      </c>
      <c r="BY14" s="331" t="s">
        <v>190</v>
      </c>
      <c r="BZ14" s="331" t="s">
        <v>190</v>
      </c>
      <c r="CA14" s="331" t="s">
        <v>190</v>
      </c>
      <c r="CB14" s="331" t="s">
        <v>190</v>
      </c>
      <c r="CC14" s="331" t="s">
        <v>190</v>
      </c>
      <c r="CD14" s="331" t="s">
        <v>190</v>
      </c>
      <c r="CE14" s="331" t="s">
        <v>190</v>
      </c>
      <c r="CF14" s="331" t="s">
        <v>190</v>
      </c>
      <c r="CG14" s="331" t="s">
        <v>190</v>
      </c>
      <c r="CH14" s="331" t="s">
        <v>190</v>
      </c>
      <c r="CI14" s="331" t="s">
        <v>190</v>
      </c>
      <c r="CJ14" s="331" t="s">
        <v>190</v>
      </c>
      <c r="CK14" s="331" t="s">
        <v>584</v>
      </c>
      <c r="CL14" s="331" t="s">
        <v>584</v>
      </c>
      <c r="CM14" s="331" t="s">
        <v>584</v>
      </c>
      <c r="CN14" s="331" t="s">
        <v>190</v>
      </c>
      <c r="CO14" s="331" t="s">
        <v>190</v>
      </c>
      <c r="CP14" s="331" t="s">
        <v>190</v>
      </c>
      <c r="CQ14" s="331" t="s">
        <v>190</v>
      </c>
      <c r="CR14" s="331" t="s">
        <v>190</v>
      </c>
      <c r="CS14" s="331" t="s">
        <v>190</v>
      </c>
      <c r="CT14" s="331" t="s">
        <v>190</v>
      </c>
      <c r="CU14" s="331" t="s">
        <v>190</v>
      </c>
      <c r="CV14" s="331" t="s">
        <v>190</v>
      </c>
      <c r="CW14" s="331" t="s">
        <v>190</v>
      </c>
      <c r="CX14" s="331" t="s">
        <v>190</v>
      </c>
      <c r="CY14" s="331" t="s">
        <v>190</v>
      </c>
      <c r="CZ14" s="331" t="s">
        <v>190</v>
      </c>
      <c r="DA14" s="331" t="s">
        <v>190</v>
      </c>
      <c r="DB14" s="331" t="s">
        <v>190</v>
      </c>
      <c r="DC14" s="331" t="s">
        <v>190</v>
      </c>
      <c r="DD14" s="331" t="s">
        <v>190</v>
      </c>
      <c r="DE14" s="331" t="s">
        <v>190</v>
      </c>
      <c r="DF14" s="331" t="s">
        <v>190</v>
      </c>
      <c r="DG14" s="331" t="s">
        <v>190</v>
      </c>
      <c r="DH14" s="331" t="s">
        <v>190</v>
      </c>
      <c r="DI14" s="331" t="s">
        <v>190</v>
      </c>
      <c r="DJ14" s="331" t="s">
        <v>190</v>
      </c>
      <c r="DK14" s="331" t="s">
        <v>584</v>
      </c>
      <c r="DL14" s="331" t="s">
        <v>190</v>
      </c>
      <c r="DM14" s="331" t="s">
        <v>428</v>
      </c>
      <c r="DN14" s="331" t="s">
        <v>428</v>
      </c>
      <c r="DO14" s="331" t="s">
        <v>428</v>
      </c>
      <c r="DP14" s="331" t="s">
        <v>428</v>
      </c>
      <c r="DQ14" s="331" t="s">
        <v>428</v>
      </c>
      <c r="DR14" s="331" t="s">
        <v>428</v>
      </c>
      <c r="DS14" s="331" t="s">
        <v>428</v>
      </c>
      <c r="DT14" s="331" t="s">
        <v>428</v>
      </c>
      <c r="DU14" s="331" t="s">
        <v>428</v>
      </c>
      <c r="DV14" s="331" t="s">
        <v>428</v>
      </c>
      <c r="DW14" s="331" t="s">
        <v>428</v>
      </c>
      <c r="DX14" s="331" t="s">
        <v>428</v>
      </c>
      <c r="DY14" s="331" t="s">
        <v>428</v>
      </c>
      <c r="DZ14" s="331" t="s">
        <v>584</v>
      </c>
      <c r="EA14" s="331" t="s">
        <v>428</v>
      </c>
      <c r="EB14" s="331" t="s">
        <v>190</v>
      </c>
      <c r="EC14" s="331" t="s">
        <v>190</v>
      </c>
      <c r="ED14" s="331" t="s">
        <v>190</v>
      </c>
      <c r="EE14" s="331" t="s">
        <v>190</v>
      </c>
      <c r="EF14" s="331" t="s">
        <v>190</v>
      </c>
      <c r="EG14" s="331" t="s">
        <v>190</v>
      </c>
      <c r="EH14" s="331" t="s">
        <v>190</v>
      </c>
      <c r="EI14" s="331" t="s">
        <v>190</v>
      </c>
      <c r="EJ14" s="331" t="s">
        <v>190</v>
      </c>
      <c r="EK14" s="331" t="s">
        <v>190</v>
      </c>
      <c r="EL14" s="331" t="s">
        <v>190</v>
      </c>
      <c r="EM14" s="331" t="s">
        <v>190</v>
      </c>
      <c r="EN14" s="331" t="s">
        <v>190</v>
      </c>
      <c r="EO14" s="331" t="s">
        <v>190</v>
      </c>
      <c r="EP14" s="331" t="s">
        <v>190</v>
      </c>
      <c r="EQ14" s="331" t="s">
        <v>190</v>
      </c>
      <c r="ER14" s="331" t="s">
        <v>190</v>
      </c>
      <c r="ES14" s="331" t="s">
        <v>190</v>
      </c>
      <c r="ET14" s="331" t="s">
        <v>190</v>
      </c>
      <c r="EU14" s="331" t="s">
        <v>190</v>
      </c>
      <c r="EV14" s="331" t="s">
        <v>190</v>
      </c>
      <c r="EW14" s="331" t="s">
        <v>190</v>
      </c>
      <c r="EX14" s="331" t="s">
        <v>190</v>
      </c>
      <c r="EY14" s="331" t="s">
        <v>428</v>
      </c>
      <c r="EZ14" s="331" t="s">
        <v>428</v>
      </c>
      <c r="FA14" s="331" t="s">
        <v>428</v>
      </c>
      <c r="FB14" s="331" t="s">
        <v>428</v>
      </c>
      <c r="FC14" s="331" t="s">
        <v>584</v>
      </c>
      <c r="FD14" s="331" t="s">
        <v>428</v>
      </c>
      <c r="FE14" s="331" t="s">
        <v>428</v>
      </c>
      <c r="FF14" s="331" t="s">
        <v>190</v>
      </c>
      <c r="FG14" s="331" t="s">
        <v>190</v>
      </c>
      <c r="FH14" s="331" t="s">
        <v>190</v>
      </c>
      <c r="FI14" s="331" t="s">
        <v>190</v>
      </c>
      <c r="FJ14" s="331" t="s">
        <v>190</v>
      </c>
      <c r="FK14" s="331" t="s">
        <v>190</v>
      </c>
      <c r="FL14" s="331" t="s">
        <v>190</v>
      </c>
      <c r="FM14" s="331" t="s">
        <v>190</v>
      </c>
      <c r="FN14" s="331" t="s">
        <v>190</v>
      </c>
      <c r="FO14" s="331" t="s">
        <v>190</v>
      </c>
      <c r="FP14" s="331" t="s">
        <v>428</v>
      </c>
      <c r="FQ14" s="331" t="s">
        <v>428</v>
      </c>
      <c r="FR14" s="331" t="s">
        <v>190</v>
      </c>
      <c r="FS14" s="331" t="s">
        <v>190</v>
      </c>
      <c r="FT14" s="331" t="s">
        <v>190</v>
      </c>
      <c r="FU14" s="331" t="s">
        <v>190</v>
      </c>
      <c r="FV14" s="331" t="s">
        <v>190</v>
      </c>
      <c r="FW14" s="331" t="s">
        <v>190</v>
      </c>
      <c r="FX14" s="331" t="s">
        <v>190</v>
      </c>
      <c r="FY14" s="331" t="s">
        <v>190</v>
      </c>
      <c r="FZ14" s="331" t="s">
        <v>190</v>
      </c>
      <c r="GA14" s="331" t="s">
        <v>190</v>
      </c>
      <c r="GB14" s="331" t="s">
        <v>190</v>
      </c>
      <c r="GC14" s="331" t="s">
        <v>190</v>
      </c>
      <c r="GD14" s="331" t="s">
        <v>190</v>
      </c>
      <c r="GE14" s="331" t="s">
        <v>190</v>
      </c>
      <c r="GF14" s="331" t="s">
        <v>190</v>
      </c>
      <c r="GG14" s="331" t="s">
        <v>190</v>
      </c>
      <c r="GH14" s="331" t="s">
        <v>584</v>
      </c>
      <c r="GI14" s="331" t="s">
        <v>190</v>
      </c>
      <c r="GJ14" s="331" t="s">
        <v>190</v>
      </c>
      <c r="GK14" s="331" t="s">
        <v>190</v>
      </c>
      <c r="GL14" s="331" t="s">
        <v>190</v>
      </c>
      <c r="GM14" s="331" t="s">
        <v>190</v>
      </c>
      <c r="GN14" s="331" t="s">
        <v>190</v>
      </c>
      <c r="GO14" s="331" t="s">
        <v>190</v>
      </c>
      <c r="GP14" s="331" t="s">
        <v>190</v>
      </c>
      <c r="GQ14" s="331" t="s">
        <v>190</v>
      </c>
      <c r="GR14" s="331" t="s">
        <v>190</v>
      </c>
      <c r="GS14" s="331" t="s">
        <v>428</v>
      </c>
      <c r="GT14" s="331" t="s">
        <v>190</v>
      </c>
      <c r="GU14" s="331" t="s">
        <v>190</v>
      </c>
      <c r="GV14" s="331" t="s">
        <v>190</v>
      </c>
      <c r="GW14" s="331" t="s">
        <v>428</v>
      </c>
      <c r="GX14" s="331" t="s">
        <v>190</v>
      </c>
      <c r="GY14" s="331" t="s">
        <v>428</v>
      </c>
      <c r="GZ14" s="331" t="s">
        <v>190</v>
      </c>
      <c r="HA14" s="331" t="s">
        <v>190</v>
      </c>
      <c r="HB14" s="331" t="s">
        <v>190</v>
      </c>
      <c r="HC14" s="331" t="s">
        <v>190</v>
      </c>
      <c r="HD14" s="331" t="s">
        <v>190</v>
      </c>
      <c r="HE14" s="331" t="s">
        <v>190</v>
      </c>
      <c r="HF14" s="331" t="s">
        <v>190</v>
      </c>
      <c r="HG14" s="331" t="s">
        <v>190</v>
      </c>
      <c r="HH14" s="331" t="s">
        <v>190</v>
      </c>
      <c r="HI14" s="331" t="s">
        <v>428</v>
      </c>
      <c r="HJ14" s="331" t="s">
        <v>428</v>
      </c>
      <c r="HK14" s="331" t="s">
        <v>428</v>
      </c>
      <c r="HL14" s="331" t="s">
        <v>428</v>
      </c>
      <c r="HM14" s="331" t="s">
        <v>190</v>
      </c>
      <c r="HN14" s="331" t="s">
        <v>190</v>
      </c>
      <c r="HO14" s="331" t="s">
        <v>190</v>
      </c>
      <c r="HP14" s="331" t="s">
        <v>190</v>
      </c>
      <c r="HQ14" s="331" t="s">
        <v>190</v>
      </c>
      <c r="HR14" s="331" t="s">
        <v>190</v>
      </c>
      <c r="HS14" s="331" t="s">
        <v>190</v>
      </c>
      <c r="HT14" s="331" t="s">
        <v>190</v>
      </c>
      <c r="HU14" s="331" t="s">
        <v>190</v>
      </c>
      <c r="HV14" s="331" t="s">
        <v>190</v>
      </c>
      <c r="HW14" s="331" t="s">
        <v>190</v>
      </c>
      <c r="HX14" s="331" t="s">
        <v>190</v>
      </c>
      <c r="HY14" s="331" t="s">
        <v>190</v>
      </c>
      <c r="HZ14" s="331" t="s">
        <v>190</v>
      </c>
      <c r="IA14" s="331" t="s">
        <v>190</v>
      </c>
      <c r="IB14" s="331" t="s">
        <v>190</v>
      </c>
      <c r="IC14" s="331" t="s">
        <v>190</v>
      </c>
      <c r="ID14" s="331" t="s">
        <v>190</v>
      </c>
      <c r="IE14" s="331" t="s">
        <v>190</v>
      </c>
      <c r="IF14" s="331" t="s">
        <v>190</v>
      </c>
      <c r="IG14" s="331" t="s">
        <v>170</v>
      </c>
      <c r="IH14" s="331" t="s">
        <v>429</v>
      </c>
      <c r="II14" s="331" t="s">
        <v>169</v>
      </c>
      <c r="IJ14" s="331" t="s">
        <v>427</v>
      </c>
      <c r="IK14" s="331" t="s">
        <v>428</v>
      </c>
      <c r="IL14" s="331" t="s">
        <v>428</v>
      </c>
    </row>
    <row r="15" spans="1:246" x14ac:dyDescent="0.25">
      <c r="A15" s="334" t="str">
        <f>HYPERLINK("http://www.ofsted.gov.uk/inspection-reports/find-inspection-report/provider/ELS/106816 ","Ofsted School Webpage")</f>
        <v>Ofsted School Webpage</v>
      </c>
      <c r="B15" s="331">
        <v>106816</v>
      </c>
      <c r="C15" s="331">
        <v>3716010</v>
      </c>
      <c r="D15" s="331" t="s">
        <v>1353</v>
      </c>
      <c r="E15" s="331" t="s">
        <v>167</v>
      </c>
      <c r="F15" s="331" t="s">
        <v>458</v>
      </c>
      <c r="G15" s="331" t="s">
        <v>459</v>
      </c>
      <c r="H15" s="331" t="s">
        <v>716</v>
      </c>
      <c r="I15" s="331" t="s">
        <v>1354</v>
      </c>
      <c r="J15" s="331" t="s">
        <v>81</v>
      </c>
      <c r="K15" s="331" t="s">
        <v>81</v>
      </c>
      <c r="L15" s="331" t="s">
        <v>81</v>
      </c>
      <c r="M15" s="331" t="s">
        <v>78</v>
      </c>
      <c r="N15" s="331" t="s">
        <v>424</v>
      </c>
      <c r="O15" s="333">
        <v>10110585</v>
      </c>
      <c r="P15" s="332">
        <v>43774</v>
      </c>
      <c r="Q15" s="332">
        <v>43776</v>
      </c>
      <c r="R15" s="332">
        <v>43802</v>
      </c>
      <c r="S15" s="331" t="s">
        <v>425</v>
      </c>
      <c r="T15" s="331" t="s">
        <v>426</v>
      </c>
      <c r="U15" s="331">
        <v>3</v>
      </c>
      <c r="V15" s="331">
        <v>3</v>
      </c>
      <c r="W15" s="331">
        <v>2</v>
      </c>
      <c r="X15" s="331">
        <v>2</v>
      </c>
      <c r="Y15" s="331">
        <v>3</v>
      </c>
      <c r="Z15" s="331" t="s">
        <v>169</v>
      </c>
      <c r="AA15" s="331" t="s">
        <v>173</v>
      </c>
      <c r="AB15" s="331" t="s">
        <v>173</v>
      </c>
      <c r="AC15" s="331" t="s">
        <v>427</v>
      </c>
      <c r="AD15" s="331" t="s">
        <v>172</v>
      </c>
      <c r="AE15" s="331" t="s">
        <v>190</v>
      </c>
      <c r="AF15" s="331" t="s">
        <v>190</v>
      </c>
      <c r="AG15" s="331" t="s">
        <v>479</v>
      </c>
      <c r="AH15" s="331" t="s">
        <v>190</v>
      </c>
      <c r="AI15" s="331" t="s">
        <v>190</v>
      </c>
      <c r="AJ15" s="331" t="s">
        <v>479</v>
      </c>
      <c r="AK15" s="331" t="s">
        <v>190</v>
      </c>
      <c r="AL15" s="331" t="s">
        <v>479</v>
      </c>
      <c r="AM15" s="331" t="s">
        <v>190</v>
      </c>
      <c r="AN15" s="331" t="s">
        <v>190</v>
      </c>
      <c r="AO15" s="331" t="s">
        <v>190</v>
      </c>
      <c r="AP15" s="331" t="s">
        <v>190</v>
      </c>
      <c r="AQ15" s="331" t="s">
        <v>190</v>
      </c>
      <c r="AR15" s="331" t="s">
        <v>190</v>
      </c>
      <c r="AS15" s="331" t="s">
        <v>190</v>
      </c>
      <c r="AT15" s="331" t="s">
        <v>190</v>
      </c>
      <c r="AU15" s="331" t="s">
        <v>190</v>
      </c>
      <c r="AV15" s="331" t="s">
        <v>190</v>
      </c>
      <c r="AW15" s="331" t="s">
        <v>190</v>
      </c>
      <c r="AX15" s="331" t="s">
        <v>190</v>
      </c>
      <c r="AY15" s="331" t="s">
        <v>428</v>
      </c>
      <c r="AZ15" s="331" t="s">
        <v>428</v>
      </c>
      <c r="BA15" s="331" t="s">
        <v>428</v>
      </c>
      <c r="BB15" s="331" t="s">
        <v>190</v>
      </c>
      <c r="BC15" s="331" t="s">
        <v>190</v>
      </c>
      <c r="BD15" s="331" t="s">
        <v>428</v>
      </c>
      <c r="BE15" s="331" t="s">
        <v>190</v>
      </c>
      <c r="BF15" s="331" t="s">
        <v>190</v>
      </c>
      <c r="BG15" s="331" t="s">
        <v>190</v>
      </c>
      <c r="BH15" s="331" t="s">
        <v>190</v>
      </c>
      <c r="BI15" s="331" t="s">
        <v>190</v>
      </c>
      <c r="BJ15" s="331" t="s">
        <v>190</v>
      </c>
      <c r="BK15" s="331" t="s">
        <v>190</v>
      </c>
      <c r="BL15" s="331" t="s">
        <v>190</v>
      </c>
      <c r="BM15" s="331" t="s">
        <v>190</v>
      </c>
      <c r="BN15" s="331" t="s">
        <v>190</v>
      </c>
      <c r="BO15" s="331" t="s">
        <v>190</v>
      </c>
      <c r="BP15" s="331" t="s">
        <v>190</v>
      </c>
      <c r="BQ15" s="331" t="s">
        <v>190</v>
      </c>
      <c r="BR15" s="331" t="s">
        <v>190</v>
      </c>
      <c r="BS15" s="331" t="s">
        <v>190</v>
      </c>
      <c r="BT15" s="331" t="s">
        <v>190</v>
      </c>
      <c r="BU15" s="331" t="s">
        <v>190</v>
      </c>
      <c r="BV15" s="331" t="s">
        <v>190</v>
      </c>
      <c r="BW15" s="331" t="s">
        <v>190</v>
      </c>
      <c r="BX15" s="331" t="s">
        <v>190</v>
      </c>
      <c r="BY15" s="331" t="s">
        <v>190</v>
      </c>
      <c r="BZ15" s="331" t="s">
        <v>190</v>
      </c>
      <c r="CA15" s="331" t="s">
        <v>190</v>
      </c>
      <c r="CB15" s="331" t="s">
        <v>190</v>
      </c>
      <c r="CC15" s="331" t="s">
        <v>190</v>
      </c>
      <c r="CD15" s="331" t="s">
        <v>190</v>
      </c>
      <c r="CE15" s="331" t="s">
        <v>190</v>
      </c>
      <c r="CF15" s="331" t="s">
        <v>190</v>
      </c>
      <c r="CG15" s="331" t="s">
        <v>190</v>
      </c>
      <c r="CH15" s="331" t="s">
        <v>191</v>
      </c>
      <c r="CI15" s="331" t="s">
        <v>191</v>
      </c>
      <c r="CJ15" s="331" t="s">
        <v>191</v>
      </c>
      <c r="CK15" s="331" t="s">
        <v>428</v>
      </c>
      <c r="CL15" s="331" t="s">
        <v>428</v>
      </c>
      <c r="CM15" s="331" t="s">
        <v>428</v>
      </c>
      <c r="CN15" s="331" t="s">
        <v>190</v>
      </c>
      <c r="CO15" s="331" t="s">
        <v>190</v>
      </c>
      <c r="CP15" s="331" t="s">
        <v>190</v>
      </c>
      <c r="CQ15" s="331" t="s">
        <v>190</v>
      </c>
      <c r="CR15" s="331" t="s">
        <v>190</v>
      </c>
      <c r="CS15" s="331" t="s">
        <v>190</v>
      </c>
      <c r="CT15" s="331" t="s">
        <v>190</v>
      </c>
      <c r="CU15" s="331" t="s">
        <v>190</v>
      </c>
      <c r="CV15" s="331" t="s">
        <v>190</v>
      </c>
      <c r="CW15" s="331" t="s">
        <v>190</v>
      </c>
      <c r="CX15" s="331" t="s">
        <v>190</v>
      </c>
      <c r="CY15" s="331" t="s">
        <v>190</v>
      </c>
      <c r="CZ15" s="331" t="s">
        <v>190</v>
      </c>
      <c r="DA15" s="331" t="s">
        <v>190</v>
      </c>
      <c r="DB15" s="331" t="s">
        <v>190</v>
      </c>
      <c r="DC15" s="331" t="s">
        <v>190</v>
      </c>
      <c r="DD15" s="331" t="s">
        <v>190</v>
      </c>
      <c r="DE15" s="331" t="s">
        <v>190</v>
      </c>
      <c r="DF15" s="331" t="s">
        <v>190</v>
      </c>
      <c r="DG15" s="331" t="s">
        <v>190</v>
      </c>
      <c r="DH15" s="331" t="s">
        <v>190</v>
      </c>
      <c r="DI15" s="331" t="s">
        <v>190</v>
      </c>
      <c r="DJ15" s="331" t="s">
        <v>190</v>
      </c>
      <c r="DK15" s="331" t="s">
        <v>428</v>
      </c>
      <c r="DL15" s="331" t="s">
        <v>190</v>
      </c>
      <c r="DM15" s="331" t="s">
        <v>428</v>
      </c>
      <c r="DN15" s="331" t="s">
        <v>428</v>
      </c>
      <c r="DO15" s="331" t="s">
        <v>428</v>
      </c>
      <c r="DP15" s="331" t="s">
        <v>428</v>
      </c>
      <c r="DQ15" s="331" t="s">
        <v>428</v>
      </c>
      <c r="DR15" s="331" t="s">
        <v>428</v>
      </c>
      <c r="DS15" s="331" t="s">
        <v>428</v>
      </c>
      <c r="DT15" s="331" t="s">
        <v>428</v>
      </c>
      <c r="DU15" s="331" t="s">
        <v>428</v>
      </c>
      <c r="DV15" s="331" t="s">
        <v>428</v>
      </c>
      <c r="DW15" s="331" t="s">
        <v>428</v>
      </c>
      <c r="DX15" s="331" t="s">
        <v>428</v>
      </c>
      <c r="DY15" s="331" t="s">
        <v>428</v>
      </c>
      <c r="DZ15" s="331" t="s">
        <v>428</v>
      </c>
      <c r="EA15" s="331" t="s">
        <v>428</v>
      </c>
      <c r="EB15" s="331" t="s">
        <v>190</v>
      </c>
      <c r="EC15" s="331" t="s">
        <v>190</v>
      </c>
      <c r="ED15" s="331" t="s">
        <v>190</v>
      </c>
      <c r="EE15" s="331" t="s">
        <v>190</v>
      </c>
      <c r="EF15" s="331" t="s">
        <v>190</v>
      </c>
      <c r="EG15" s="331" t="s">
        <v>190</v>
      </c>
      <c r="EH15" s="331" t="s">
        <v>190</v>
      </c>
      <c r="EI15" s="331" t="s">
        <v>190</v>
      </c>
      <c r="EJ15" s="331" t="s">
        <v>190</v>
      </c>
      <c r="EK15" s="331" t="s">
        <v>190</v>
      </c>
      <c r="EL15" s="331" t="s">
        <v>190</v>
      </c>
      <c r="EM15" s="331" t="s">
        <v>190</v>
      </c>
      <c r="EN15" s="331" t="s">
        <v>190</v>
      </c>
      <c r="EO15" s="331" t="s">
        <v>190</v>
      </c>
      <c r="EP15" s="331" t="s">
        <v>190</v>
      </c>
      <c r="EQ15" s="331" t="s">
        <v>190</v>
      </c>
      <c r="ER15" s="331" t="s">
        <v>190</v>
      </c>
      <c r="ES15" s="331" t="s">
        <v>190</v>
      </c>
      <c r="ET15" s="331" t="s">
        <v>190</v>
      </c>
      <c r="EU15" s="331" t="s">
        <v>190</v>
      </c>
      <c r="EV15" s="331" t="s">
        <v>190</v>
      </c>
      <c r="EW15" s="331" t="s">
        <v>190</v>
      </c>
      <c r="EX15" s="331" t="s">
        <v>190</v>
      </c>
      <c r="EY15" s="331" t="s">
        <v>428</v>
      </c>
      <c r="EZ15" s="331" t="s">
        <v>428</v>
      </c>
      <c r="FA15" s="331" t="s">
        <v>428</v>
      </c>
      <c r="FB15" s="331" t="s">
        <v>428</v>
      </c>
      <c r="FC15" s="331" t="s">
        <v>428</v>
      </c>
      <c r="FD15" s="331" t="s">
        <v>428</v>
      </c>
      <c r="FE15" s="331" t="s">
        <v>190</v>
      </c>
      <c r="FF15" s="331" t="s">
        <v>190</v>
      </c>
      <c r="FG15" s="331" t="s">
        <v>190</v>
      </c>
      <c r="FH15" s="331" t="s">
        <v>190</v>
      </c>
      <c r="FI15" s="331" t="s">
        <v>190</v>
      </c>
      <c r="FJ15" s="331" t="s">
        <v>190</v>
      </c>
      <c r="FK15" s="331" t="s">
        <v>190</v>
      </c>
      <c r="FL15" s="331" t="s">
        <v>190</v>
      </c>
      <c r="FM15" s="331" t="s">
        <v>190</v>
      </c>
      <c r="FN15" s="331" t="s">
        <v>190</v>
      </c>
      <c r="FO15" s="331" t="s">
        <v>190</v>
      </c>
      <c r="FP15" s="331" t="s">
        <v>190</v>
      </c>
      <c r="FQ15" s="331" t="s">
        <v>190</v>
      </c>
      <c r="FR15" s="331" t="s">
        <v>190</v>
      </c>
      <c r="FS15" s="331" t="s">
        <v>190</v>
      </c>
      <c r="FT15" s="331" t="s">
        <v>190</v>
      </c>
      <c r="FU15" s="331" t="s">
        <v>190</v>
      </c>
      <c r="FV15" s="331" t="s">
        <v>190</v>
      </c>
      <c r="FW15" s="331" t="s">
        <v>190</v>
      </c>
      <c r="FX15" s="331" t="s">
        <v>190</v>
      </c>
      <c r="FY15" s="331" t="s">
        <v>190</v>
      </c>
      <c r="FZ15" s="331" t="s">
        <v>190</v>
      </c>
      <c r="GA15" s="331" t="s">
        <v>190</v>
      </c>
      <c r="GB15" s="331" t="s">
        <v>190</v>
      </c>
      <c r="GC15" s="331" t="s">
        <v>190</v>
      </c>
      <c r="GD15" s="331" t="s">
        <v>190</v>
      </c>
      <c r="GE15" s="331" t="s">
        <v>190</v>
      </c>
      <c r="GF15" s="331" t="s">
        <v>190</v>
      </c>
      <c r="GG15" s="331" t="s">
        <v>190</v>
      </c>
      <c r="GH15" s="331" t="s">
        <v>428</v>
      </c>
      <c r="GI15" s="331" t="s">
        <v>191</v>
      </c>
      <c r="GJ15" s="331" t="s">
        <v>190</v>
      </c>
      <c r="GK15" s="331" t="s">
        <v>190</v>
      </c>
      <c r="GL15" s="331" t="s">
        <v>191</v>
      </c>
      <c r="GM15" s="331" t="s">
        <v>190</v>
      </c>
      <c r="GN15" s="331" t="s">
        <v>428</v>
      </c>
      <c r="GO15" s="331" t="s">
        <v>190</v>
      </c>
      <c r="GP15" s="331" t="s">
        <v>190</v>
      </c>
      <c r="GQ15" s="331" t="s">
        <v>428</v>
      </c>
      <c r="GR15" s="331" t="s">
        <v>428</v>
      </c>
      <c r="GS15" s="331" t="s">
        <v>428</v>
      </c>
      <c r="GT15" s="331" t="s">
        <v>190</v>
      </c>
      <c r="GU15" s="331" t="s">
        <v>190</v>
      </c>
      <c r="GV15" s="331" t="s">
        <v>190</v>
      </c>
      <c r="GW15" s="331" t="s">
        <v>190</v>
      </c>
      <c r="GX15" s="331" t="s">
        <v>428</v>
      </c>
      <c r="GY15" s="331" t="s">
        <v>428</v>
      </c>
      <c r="GZ15" s="331" t="s">
        <v>190</v>
      </c>
      <c r="HA15" s="331" t="s">
        <v>190</v>
      </c>
      <c r="HB15" s="331" t="s">
        <v>190</v>
      </c>
      <c r="HC15" s="331" t="s">
        <v>190</v>
      </c>
      <c r="HD15" s="331" t="s">
        <v>190</v>
      </c>
      <c r="HE15" s="331" t="s">
        <v>190</v>
      </c>
      <c r="HF15" s="331" t="s">
        <v>190</v>
      </c>
      <c r="HG15" s="331" t="s">
        <v>190</v>
      </c>
      <c r="HH15" s="331" t="s">
        <v>190</v>
      </c>
      <c r="HI15" s="331" t="s">
        <v>428</v>
      </c>
      <c r="HJ15" s="331" t="s">
        <v>428</v>
      </c>
      <c r="HK15" s="331" t="s">
        <v>428</v>
      </c>
      <c r="HL15" s="331" t="s">
        <v>428</v>
      </c>
      <c r="HM15" s="331" t="s">
        <v>190</v>
      </c>
      <c r="HN15" s="331" t="s">
        <v>190</v>
      </c>
      <c r="HO15" s="331" t="s">
        <v>190</v>
      </c>
      <c r="HP15" s="331" t="s">
        <v>190</v>
      </c>
      <c r="HQ15" s="331" t="s">
        <v>190</v>
      </c>
      <c r="HR15" s="331" t="s">
        <v>190</v>
      </c>
      <c r="HS15" s="331" t="s">
        <v>190</v>
      </c>
      <c r="HT15" s="331" t="s">
        <v>190</v>
      </c>
      <c r="HU15" s="331" t="s">
        <v>190</v>
      </c>
      <c r="HV15" s="331" t="s">
        <v>190</v>
      </c>
      <c r="HW15" s="331" t="s">
        <v>190</v>
      </c>
      <c r="HX15" s="331" t="s">
        <v>190</v>
      </c>
      <c r="HY15" s="331" t="s">
        <v>190</v>
      </c>
      <c r="HZ15" s="331" t="s">
        <v>190</v>
      </c>
      <c r="IA15" s="331" t="s">
        <v>190</v>
      </c>
      <c r="IB15" s="331" t="s">
        <v>190</v>
      </c>
      <c r="IC15" s="331" t="s">
        <v>191</v>
      </c>
      <c r="ID15" s="331" t="s">
        <v>191</v>
      </c>
      <c r="IE15" s="331" t="s">
        <v>191</v>
      </c>
      <c r="IF15" s="331" t="s">
        <v>190</v>
      </c>
      <c r="IG15" s="331" t="s">
        <v>170</v>
      </c>
      <c r="IH15" s="331" t="s">
        <v>429</v>
      </c>
      <c r="II15" s="331" t="s">
        <v>169</v>
      </c>
      <c r="IJ15" s="331" t="s">
        <v>427</v>
      </c>
      <c r="IK15" s="331" t="s">
        <v>190</v>
      </c>
      <c r="IL15" s="331" t="s">
        <v>190</v>
      </c>
    </row>
    <row r="16" spans="1:246" x14ac:dyDescent="0.25">
      <c r="A16" s="334" t="str">
        <f>HYPERLINK("http://www.ofsted.gov.uk/inspection-reports/find-inspection-report/provider/ELS/132772 ","Ofsted School Webpage")</f>
        <v>Ofsted School Webpage</v>
      </c>
      <c r="B16" s="331">
        <v>132772</v>
      </c>
      <c r="C16" s="331">
        <v>8936096</v>
      </c>
      <c r="D16" s="331" t="s">
        <v>1734</v>
      </c>
      <c r="E16" s="331" t="s">
        <v>168</v>
      </c>
      <c r="F16" s="331" t="s">
        <v>437</v>
      </c>
      <c r="G16" s="331" t="s">
        <v>437</v>
      </c>
      <c r="H16" s="331" t="s">
        <v>587</v>
      </c>
      <c r="I16" s="331" t="s">
        <v>1735</v>
      </c>
      <c r="J16" s="331" t="s">
        <v>81</v>
      </c>
      <c r="K16" s="331" t="s">
        <v>81</v>
      </c>
      <c r="L16" s="331" t="s">
        <v>81</v>
      </c>
      <c r="M16" s="331" t="s">
        <v>78</v>
      </c>
      <c r="N16" s="331" t="s">
        <v>424</v>
      </c>
      <c r="O16" s="333">
        <v>10103979</v>
      </c>
      <c r="P16" s="332">
        <v>43774</v>
      </c>
      <c r="Q16" s="332">
        <v>43776</v>
      </c>
      <c r="R16" s="332">
        <v>43801</v>
      </c>
      <c r="S16" s="331" t="s">
        <v>425</v>
      </c>
      <c r="T16" s="331" t="s">
        <v>426</v>
      </c>
      <c r="U16" s="331">
        <v>3</v>
      </c>
      <c r="V16" s="331">
        <v>3</v>
      </c>
      <c r="W16" s="331">
        <v>2</v>
      </c>
      <c r="X16" s="331">
        <v>2</v>
      </c>
      <c r="Y16" s="331">
        <v>3</v>
      </c>
      <c r="Z16" s="331" t="s">
        <v>169</v>
      </c>
      <c r="AA16" s="331" t="s">
        <v>173</v>
      </c>
      <c r="AB16" s="331" t="s">
        <v>173</v>
      </c>
      <c r="AC16" s="331" t="s">
        <v>427</v>
      </c>
      <c r="AD16" s="331" t="s">
        <v>171</v>
      </c>
      <c r="AE16" s="331" t="s">
        <v>190</v>
      </c>
      <c r="AF16" s="331" t="s">
        <v>190</v>
      </c>
      <c r="AG16" s="331" t="s">
        <v>190</v>
      </c>
      <c r="AH16" s="331" t="s">
        <v>190</v>
      </c>
      <c r="AI16" s="331" t="s">
        <v>190</v>
      </c>
      <c r="AJ16" s="331" t="s">
        <v>190</v>
      </c>
      <c r="AK16" s="331" t="s">
        <v>190</v>
      </c>
      <c r="AL16" s="331" t="s">
        <v>190</v>
      </c>
      <c r="AM16" s="331" t="s">
        <v>190</v>
      </c>
      <c r="AN16" s="331" t="s">
        <v>190</v>
      </c>
      <c r="AO16" s="331" t="s">
        <v>190</v>
      </c>
      <c r="AP16" s="331" t="s">
        <v>190</v>
      </c>
      <c r="AQ16" s="331" t="s">
        <v>190</v>
      </c>
      <c r="AR16" s="331" t="s">
        <v>190</v>
      </c>
      <c r="AS16" s="331" t="s">
        <v>190</v>
      </c>
      <c r="AT16" s="331" t="s">
        <v>190</v>
      </c>
      <c r="AU16" s="331" t="s">
        <v>428</v>
      </c>
      <c r="AV16" s="331" t="s">
        <v>190</v>
      </c>
      <c r="AW16" s="331" t="s">
        <v>190</v>
      </c>
      <c r="AX16" s="331" t="s">
        <v>190</v>
      </c>
      <c r="AY16" s="331" t="s">
        <v>190</v>
      </c>
      <c r="AZ16" s="331" t="s">
        <v>190</v>
      </c>
      <c r="BA16" s="331" t="s">
        <v>190</v>
      </c>
      <c r="BB16" s="331" t="s">
        <v>190</v>
      </c>
      <c r="BC16" s="331" t="s">
        <v>428</v>
      </c>
      <c r="BD16" s="331" t="s">
        <v>428</v>
      </c>
      <c r="BE16" s="331" t="s">
        <v>190</v>
      </c>
      <c r="BF16" s="331" t="s">
        <v>190</v>
      </c>
      <c r="BG16" s="331" t="s">
        <v>190</v>
      </c>
      <c r="BH16" s="331" t="s">
        <v>190</v>
      </c>
      <c r="BI16" s="331" t="s">
        <v>190</v>
      </c>
      <c r="BJ16" s="331" t="s">
        <v>190</v>
      </c>
      <c r="BK16" s="331" t="s">
        <v>190</v>
      </c>
      <c r="BL16" s="331" t="s">
        <v>190</v>
      </c>
      <c r="BM16" s="331" t="s">
        <v>190</v>
      </c>
      <c r="BN16" s="331" t="s">
        <v>190</v>
      </c>
      <c r="BO16" s="331" t="s">
        <v>190</v>
      </c>
      <c r="BP16" s="331" t="s">
        <v>190</v>
      </c>
      <c r="BQ16" s="331" t="s">
        <v>190</v>
      </c>
      <c r="BR16" s="331" t="s">
        <v>190</v>
      </c>
      <c r="BS16" s="331" t="s">
        <v>190</v>
      </c>
      <c r="BT16" s="331" t="s">
        <v>190</v>
      </c>
      <c r="BU16" s="331" t="s">
        <v>190</v>
      </c>
      <c r="BV16" s="331" t="s">
        <v>190</v>
      </c>
      <c r="BW16" s="331" t="s">
        <v>190</v>
      </c>
      <c r="BX16" s="331" t="s">
        <v>190</v>
      </c>
      <c r="BY16" s="331" t="s">
        <v>190</v>
      </c>
      <c r="BZ16" s="331" t="s">
        <v>190</v>
      </c>
      <c r="CA16" s="331" t="s">
        <v>190</v>
      </c>
      <c r="CB16" s="331" t="s">
        <v>190</v>
      </c>
      <c r="CC16" s="331" t="s">
        <v>190</v>
      </c>
      <c r="CD16" s="331" t="s">
        <v>190</v>
      </c>
      <c r="CE16" s="331" t="s">
        <v>190</v>
      </c>
      <c r="CF16" s="331" t="s">
        <v>190</v>
      </c>
      <c r="CG16" s="331" t="s">
        <v>190</v>
      </c>
      <c r="CH16" s="331" t="s">
        <v>190</v>
      </c>
      <c r="CI16" s="331" t="s">
        <v>190</v>
      </c>
      <c r="CJ16" s="331" t="s">
        <v>190</v>
      </c>
      <c r="CK16" s="331" t="s">
        <v>428</v>
      </c>
      <c r="CL16" s="331" t="s">
        <v>428</v>
      </c>
      <c r="CM16" s="331" t="s">
        <v>428</v>
      </c>
      <c r="CN16" s="331" t="s">
        <v>190</v>
      </c>
      <c r="CO16" s="331" t="s">
        <v>190</v>
      </c>
      <c r="CP16" s="331" t="s">
        <v>190</v>
      </c>
      <c r="CQ16" s="331" t="s">
        <v>190</v>
      </c>
      <c r="CR16" s="331" t="s">
        <v>190</v>
      </c>
      <c r="CS16" s="331" t="s">
        <v>190</v>
      </c>
      <c r="CT16" s="331" t="s">
        <v>190</v>
      </c>
      <c r="CU16" s="331" t="s">
        <v>190</v>
      </c>
      <c r="CV16" s="331" t="s">
        <v>190</v>
      </c>
      <c r="CW16" s="331" t="s">
        <v>190</v>
      </c>
      <c r="CX16" s="331" t="s">
        <v>190</v>
      </c>
      <c r="CY16" s="331" t="s">
        <v>190</v>
      </c>
      <c r="CZ16" s="331" t="s">
        <v>190</v>
      </c>
      <c r="DA16" s="331" t="s">
        <v>190</v>
      </c>
      <c r="DB16" s="331" t="s">
        <v>190</v>
      </c>
      <c r="DC16" s="331" t="s">
        <v>190</v>
      </c>
      <c r="DD16" s="331" t="s">
        <v>190</v>
      </c>
      <c r="DE16" s="331" t="s">
        <v>190</v>
      </c>
      <c r="DF16" s="331" t="s">
        <v>190</v>
      </c>
      <c r="DG16" s="331" t="s">
        <v>190</v>
      </c>
      <c r="DH16" s="331" t="s">
        <v>190</v>
      </c>
      <c r="DI16" s="331" t="s">
        <v>190</v>
      </c>
      <c r="DJ16" s="331" t="s">
        <v>190</v>
      </c>
      <c r="DK16" s="331" t="s">
        <v>428</v>
      </c>
      <c r="DL16" s="331" t="s">
        <v>190</v>
      </c>
      <c r="DM16" s="331" t="s">
        <v>190</v>
      </c>
      <c r="DN16" s="331" t="s">
        <v>190</v>
      </c>
      <c r="DO16" s="331" t="s">
        <v>190</v>
      </c>
      <c r="DP16" s="331" t="s">
        <v>190</v>
      </c>
      <c r="DQ16" s="331" t="s">
        <v>190</v>
      </c>
      <c r="DR16" s="331" t="s">
        <v>190</v>
      </c>
      <c r="DS16" s="331" t="s">
        <v>190</v>
      </c>
      <c r="DT16" s="331" t="s">
        <v>190</v>
      </c>
      <c r="DU16" s="331" t="s">
        <v>190</v>
      </c>
      <c r="DV16" s="331" t="s">
        <v>190</v>
      </c>
      <c r="DW16" s="331" t="s">
        <v>190</v>
      </c>
      <c r="DX16" s="331" t="s">
        <v>190</v>
      </c>
      <c r="DY16" s="331" t="s">
        <v>190</v>
      </c>
      <c r="DZ16" s="331" t="s">
        <v>428</v>
      </c>
      <c r="EA16" s="331" t="s">
        <v>190</v>
      </c>
      <c r="EB16" s="331" t="s">
        <v>190</v>
      </c>
      <c r="EC16" s="331" t="s">
        <v>190</v>
      </c>
      <c r="ED16" s="331" t="s">
        <v>190</v>
      </c>
      <c r="EE16" s="331" t="s">
        <v>190</v>
      </c>
      <c r="EF16" s="331" t="s">
        <v>190</v>
      </c>
      <c r="EG16" s="331" t="s">
        <v>190</v>
      </c>
      <c r="EH16" s="331" t="s">
        <v>190</v>
      </c>
      <c r="EI16" s="331" t="s">
        <v>190</v>
      </c>
      <c r="EJ16" s="331" t="s">
        <v>190</v>
      </c>
      <c r="EK16" s="331" t="s">
        <v>190</v>
      </c>
      <c r="EL16" s="331" t="s">
        <v>190</v>
      </c>
      <c r="EM16" s="331" t="s">
        <v>190</v>
      </c>
      <c r="EN16" s="331" t="s">
        <v>190</v>
      </c>
      <c r="EO16" s="331" t="s">
        <v>190</v>
      </c>
      <c r="EP16" s="331" t="s">
        <v>190</v>
      </c>
      <c r="EQ16" s="331" t="s">
        <v>190</v>
      </c>
      <c r="ER16" s="331" t="s">
        <v>190</v>
      </c>
      <c r="ES16" s="331" t="s">
        <v>190</v>
      </c>
      <c r="ET16" s="331" t="s">
        <v>190</v>
      </c>
      <c r="EU16" s="331" t="s">
        <v>190</v>
      </c>
      <c r="EV16" s="331" t="s">
        <v>190</v>
      </c>
      <c r="EW16" s="331" t="s">
        <v>190</v>
      </c>
      <c r="EX16" s="331" t="s">
        <v>428</v>
      </c>
      <c r="EY16" s="331" t="s">
        <v>190</v>
      </c>
      <c r="EZ16" s="331" t="s">
        <v>190</v>
      </c>
      <c r="FA16" s="331" t="s">
        <v>190</v>
      </c>
      <c r="FB16" s="331" t="s">
        <v>190</v>
      </c>
      <c r="FC16" s="331" t="s">
        <v>190</v>
      </c>
      <c r="FD16" s="331" t="s">
        <v>190</v>
      </c>
      <c r="FE16" s="331" t="s">
        <v>190</v>
      </c>
      <c r="FF16" s="331" t="s">
        <v>190</v>
      </c>
      <c r="FG16" s="331" t="s">
        <v>190</v>
      </c>
      <c r="FH16" s="331" t="s">
        <v>190</v>
      </c>
      <c r="FI16" s="331" t="s">
        <v>190</v>
      </c>
      <c r="FJ16" s="331" t="s">
        <v>190</v>
      </c>
      <c r="FK16" s="331" t="s">
        <v>190</v>
      </c>
      <c r="FL16" s="331" t="s">
        <v>190</v>
      </c>
      <c r="FM16" s="331" t="s">
        <v>190</v>
      </c>
      <c r="FN16" s="331" t="s">
        <v>190</v>
      </c>
      <c r="FO16" s="331" t="s">
        <v>190</v>
      </c>
      <c r="FP16" s="331" t="s">
        <v>428</v>
      </c>
      <c r="FQ16" s="331" t="s">
        <v>190</v>
      </c>
      <c r="FR16" s="331" t="s">
        <v>190</v>
      </c>
      <c r="FS16" s="331" t="s">
        <v>190</v>
      </c>
      <c r="FT16" s="331" t="s">
        <v>190</v>
      </c>
      <c r="FU16" s="331" t="s">
        <v>190</v>
      </c>
      <c r="FV16" s="331" t="s">
        <v>190</v>
      </c>
      <c r="FW16" s="331" t="s">
        <v>190</v>
      </c>
      <c r="FX16" s="331" t="s">
        <v>190</v>
      </c>
      <c r="FY16" s="331" t="s">
        <v>190</v>
      </c>
      <c r="FZ16" s="331" t="s">
        <v>190</v>
      </c>
      <c r="GA16" s="331" t="s">
        <v>190</v>
      </c>
      <c r="GB16" s="331" t="s">
        <v>190</v>
      </c>
      <c r="GC16" s="331" t="s">
        <v>190</v>
      </c>
      <c r="GD16" s="331" t="s">
        <v>190</v>
      </c>
      <c r="GE16" s="331" t="s">
        <v>190</v>
      </c>
      <c r="GF16" s="331" t="s">
        <v>190</v>
      </c>
      <c r="GG16" s="331" t="s">
        <v>190</v>
      </c>
      <c r="GH16" s="331" t="s">
        <v>428</v>
      </c>
      <c r="GI16" s="331" t="s">
        <v>190</v>
      </c>
      <c r="GJ16" s="331" t="s">
        <v>190</v>
      </c>
      <c r="GK16" s="331" t="s">
        <v>190</v>
      </c>
      <c r="GL16" s="331" t="s">
        <v>190</v>
      </c>
      <c r="GM16" s="331" t="s">
        <v>190</v>
      </c>
      <c r="GN16" s="331" t="s">
        <v>428</v>
      </c>
      <c r="GO16" s="331" t="s">
        <v>190</v>
      </c>
      <c r="GP16" s="331" t="s">
        <v>190</v>
      </c>
      <c r="GQ16" s="331" t="s">
        <v>190</v>
      </c>
      <c r="GR16" s="331" t="s">
        <v>190</v>
      </c>
      <c r="GS16" s="331" t="s">
        <v>190</v>
      </c>
      <c r="GT16" s="331" t="s">
        <v>190</v>
      </c>
      <c r="GU16" s="331" t="s">
        <v>190</v>
      </c>
      <c r="GV16" s="331" t="s">
        <v>190</v>
      </c>
      <c r="GW16" s="331" t="s">
        <v>428</v>
      </c>
      <c r="GX16" s="331" t="s">
        <v>190</v>
      </c>
      <c r="GY16" s="331" t="s">
        <v>428</v>
      </c>
      <c r="GZ16" s="331" t="s">
        <v>190</v>
      </c>
      <c r="HA16" s="331" t="s">
        <v>190</v>
      </c>
      <c r="HB16" s="331" t="s">
        <v>190</v>
      </c>
      <c r="HC16" s="331" t="s">
        <v>190</v>
      </c>
      <c r="HD16" s="331" t="s">
        <v>190</v>
      </c>
      <c r="HE16" s="331" t="s">
        <v>190</v>
      </c>
      <c r="HF16" s="331" t="s">
        <v>190</v>
      </c>
      <c r="HG16" s="331" t="s">
        <v>190</v>
      </c>
      <c r="HH16" s="331" t="s">
        <v>190</v>
      </c>
      <c r="HI16" s="331" t="s">
        <v>428</v>
      </c>
      <c r="HJ16" s="331" t="s">
        <v>428</v>
      </c>
      <c r="HK16" s="331" t="s">
        <v>428</v>
      </c>
      <c r="HL16" s="331" t="s">
        <v>428</v>
      </c>
      <c r="HM16" s="331" t="s">
        <v>190</v>
      </c>
      <c r="HN16" s="331" t="s">
        <v>190</v>
      </c>
      <c r="HO16" s="331" t="s">
        <v>190</v>
      </c>
      <c r="HP16" s="331" t="s">
        <v>190</v>
      </c>
      <c r="HQ16" s="331" t="s">
        <v>190</v>
      </c>
      <c r="HR16" s="331" t="s">
        <v>190</v>
      </c>
      <c r="HS16" s="331" t="s">
        <v>190</v>
      </c>
      <c r="HT16" s="331" t="s">
        <v>190</v>
      </c>
      <c r="HU16" s="331" t="s">
        <v>190</v>
      </c>
      <c r="HV16" s="331" t="s">
        <v>190</v>
      </c>
      <c r="HW16" s="331" t="s">
        <v>190</v>
      </c>
      <c r="HX16" s="331" t="s">
        <v>190</v>
      </c>
      <c r="HY16" s="331" t="s">
        <v>190</v>
      </c>
      <c r="HZ16" s="331" t="s">
        <v>190</v>
      </c>
      <c r="IA16" s="331" t="s">
        <v>190</v>
      </c>
      <c r="IB16" s="331" t="s">
        <v>190</v>
      </c>
      <c r="IC16" s="331" t="s">
        <v>190</v>
      </c>
      <c r="ID16" s="331" t="s">
        <v>190</v>
      </c>
      <c r="IE16" s="331" t="s">
        <v>190</v>
      </c>
      <c r="IF16" s="331" t="s">
        <v>190</v>
      </c>
      <c r="IG16" s="331" t="s">
        <v>170</v>
      </c>
      <c r="IH16" s="331" t="s">
        <v>429</v>
      </c>
      <c r="II16" s="331" t="s">
        <v>169</v>
      </c>
      <c r="IJ16" s="331" t="s">
        <v>427</v>
      </c>
      <c r="IK16" s="331" t="s">
        <v>428</v>
      </c>
      <c r="IL16" s="331" t="s">
        <v>428</v>
      </c>
    </row>
    <row r="17" spans="1:246" x14ac:dyDescent="0.25">
      <c r="A17" s="330" t="str">
        <f>HYPERLINK("http://www.ofsted.gov.uk/inspection-reports/find-inspection-report/provider/ELS/133285 ","Ofsted School Webpage")</f>
        <v>Ofsted School Webpage</v>
      </c>
      <c r="B17" s="331">
        <v>133285</v>
      </c>
      <c r="C17" s="331">
        <v>3506018</v>
      </c>
      <c r="D17" s="331" t="s">
        <v>1750</v>
      </c>
      <c r="E17" s="331" t="s">
        <v>167</v>
      </c>
      <c r="F17" s="331" t="s">
        <v>431</v>
      </c>
      <c r="G17" s="331" t="s">
        <v>431</v>
      </c>
      <c r="H17" s="331" t="s">
        <v>1031</v>
      </c>
      <c r="I17" s="331" t="s">
        <v>1751</v>
      </c>
      <c r="J17" s="331" t="s">
        <v>71</v>
      </c>
      <c r="K17" s="331" t="s">
        <v>72</v>
      </c>
      <c r="L17" s="331" t="s">
        <v>71</v>
      </c>
      <c r="M17" s="331" t="s">
        <v>72</v>
      </c>
      <c r="N17" s="331" t="s">
        <v>424</v>
      </c>
      <c r="O17" s="333">
        <v>10112067</v>
      </c>
      <c r="P17" s="332">
        <v>43774</v>
      </c>
      <c r="Q17" s="332">
        <v>43776</v>
      </c>
      <c r="R17" s="332">
        <v>43801</v>
      </c>
      <c r="S17" s="331" t="s">
        <v>425</v>
      </c>
      <c r="T17" s="331" t="s">
        <v>426</v>
      </c>
      <c r="U17" s="331">
        <v>2</v>
      </c>
      <c r="V17" s="331">
        <v>2</v>
      </c>
      <c r="W17" s="331">
        <v>1</v>
      </c>
      <c r="X17" s="331">
        <v>2</v>
      </c>
      <c r="Y17" s="331">
        <v>2</v>
      </c>
      <c r="Z17" s="331" t="s">
        <v>169</v>
      </c>
      <c r="AA17" s="331" t="s">
        <v>173</v>
      </c>
      <c r="AB17" s="331">
        <v>2</v>
      </c>
      <c r="AC17" s="331" t="s">
        <v>427</v>
      </c>
      <c r="AD17" s="331" t="s">
        <v>171</v>
      </c>
      <c r="AE17" s="331" t="s">
        <v>190</v>
      </c>
      <c r="AF17" s="331" t="s">
        <v>190</v>
      </c>
      <c r="AG17" s="331" t="s">
        <v>190</v>
      </c>
      <c r="AH17" s="331" t="s">
        <v>190</v>
      </c>
      <c r="AI17" s="331" t="s">
        <v>190</v>
      </c>
      <c r="AJ17" s="331" t="s">
        <v>190</v>
      </c>
      <c r="AK17" s="331" t="s">
        <v>190</v>
      </c>
      <c r="AL17" s="331" t="s">
        <v>190</v>
      </c>
      <c r="AM17" s="331" t="s">
        <v>190</v>
      </c>
      <c r="AN17" s="331" t="s">
        <v>190</v>
      </c>
      <c r="AO17" s="331" t="s">
        <v>190</v>
      </c>
      <c r="AP17" s="331" t="s">
        <v>190</v>
      </c>
      <c r="AQ17" s="331" t="s">
        <v>190</v>
      </c>
      <c r="AR17" s="331" t="s">
        <v>190</v>
      </c>
      <c r="AS17" s="331" t="s">
        <v>190</v>
      </c>
      <c r="AT17" s="331" t="s">
        <v>190</v>
      </c>
      <c r="AU17" s="331" t="s">
        <v>428</v>
      </c>
      <c r="AV17" s="331" t="s">
        <v>190</v>
      </c>
      <c r="AW17" s="331" t="s">
        <v>190</v>
      </c>
      <c r="AX17" s="331" t="s">
        <v>190</v>
      </c>
      <c r="AY17" s="331" t="s">
        <v>190</v>
      </c>
      <c r="AZ17" s="331" t="s">
        <v>190</v>
      </c>
      <c r="BA17" s="331" t="s">
        <v>190</v>
      </c>
      <c r="BB17" s="331" t="s">
        <v>190</v>
      </c>
      <c r="BC17" s="331" t="s">
        <v>428</v>
      </c>
      <c r="BD17" s="331" t="s">
        <v>190</v>
      </c>
      <c r="BE17" s="331" t="s">
        <v>190</v>
      </c>
      <c r="BF17" s="331" t="s">
        <v>190</v>
      </c>
      <c r="BG17" s="331" t="s">
        <v>190</v>
      </c>
      <c r="BH17" s="331" t="s">
        <v>190</v>
      </c>
      <c r="BI17" s="331" t="s">
        <v>190</v>
      </c>
      <c r="BJ17" s="331" t="s">
        <v>190</v>
      </c>
      <c r="BK17" s="331" t="s">
        <v>190</v>
      </c>
      <c r="BL17" s="331" t="s">
        <v>190</v>
      </c>
      <c r="BM17" s="331" t="s">
        <v>190</v>
      </c>
      <c r="BN17" s="331" t="s">
        <v>190</v>
      </c>
      <c r="BO17" s="331" t="s">
        <v>190</v>
      </c>
      <c r="BP17" s="331" t="s">
        <v>190</v>
      </c>
      <c r="BQ17" s="331" t="s">
        <v>190</v>
      </c>
      <c r="BR17" s="331" t="s">
        <v>190</v>
      </c>
      <c r="BS17" s="331" t="s">
        <v>190</v>
      </c>
      <c r="BT17" s="331" t="s">
        <v>190</v>
      </c>
      <c r="BU17" s="331" t="s">
        <v>190</v>
      </c>
      <c r="BV17" s="331" t="s">
        <v>190</v>
      </c>
      <c r="BW17" s="331" t="s">
        <v>190</v>
      </c>
      <c r="BX17" s="331" t="s">
        <v>190</v>
      </c>
      <c r="BY17" s="331" t="s">
        <v>190</v>
      </c>
      <c r="BZ17" s="331" t="s">
        <v>190</v>
      </c>
      <c r="CA17" s="331" t="s">
        <v>190</v>
      </c>
      <c r="CB17" s="331" t="s">
        <v>190</v>
      </c>
      <c r="CC17" s="331" t="s">
        <v>190</v>
      </c>
      <c r="CD17" s="331" t="s">
        <v>190</v>
      </c>
      <c r="CE17" s="331" t="s">
        <v>190</v>
      </c>
      <c r="CF17" s="331" t="s">
        <v>190</v>
      </c>
      <c r="CG17" s="331" t="s">
        <v>190</v>
      </c>
      <c r="CH17" s="331" t="s">
        <v>190</v>
      </c>
      <c r="CI17" s="331" t="s">
        <v>190</v>
      </c>
      <c r="CJ17" s="331" t="s">
        <v>190</v>
      </c>
      <c r="CK17" s="331" t="s">
        <v>428</v>
      </c>
      <c r="CL17" s="331" t="s">
        <v>428</v>
      </c>
      <c r="CM17" s="331" t="s">
        <v>428</v>
      </c>
      <c r="CN17" s="331" t="s">
        <v>190</v>
      </c>
      <c r="CO17" s="331" t="s">
        <v>190</v>
      </c>
      <c r="CP17" s="331" t="s">
        <v>190</v>
      </c>
      <c r="CQ17" s="331" t="s">
        <v>190</v>
      </c>
      <c r="CR17" s="331" t="s">
        <v>190</v>
      </c>
      <c r="CS17" s="331" t="s">
        <v>190</v>
      </c>
      <c r="CT17" s="331" t="s">
        <v>190</v>
      </c>
      <c r="CU17" s="331" t="s">
        <v>190</v>
      </c>
      <c r="CV17" s="331" t="s">
        <v>190</v>
      </c>
      <c r="CW17" s="331" t="s">
        <v>190</v>
      </c>
      <c r="CX17" s="331" t="s">
        <v>190</v>
      </c>
      <c r="CY17" s="331" t="s">
        <v>190</v>
      </c>
      <c r="CZ17" s="331" t="s">
        <v>190</v>
      </c>
      <c r="DA17" s="331" t="s">
        <v>190</v>
      </c>
      <c r="DB17" s="331" t="s">
        <v>190</v>
      </c>
      <c r="DC17" s="331" t="s">
        <v>190</v>
      </c>
      <c r="DD17" s="331" t="s">
        <v>190</v>
      </c>
      <c r="DE17" s="331" t="s">
        <v>190</v>
      </c>
      <c r="DF17" s="331" t="s">
        <v>190</v>
      </c>
      <c r="DG17" s="331" t="s">
        <v>190</v>
      </c>
      <c r="DH17" s="331" t="s">
        <v>190</v>
      </c>
      <c r="DI17" s="331" t="s">
        <v>190</v>
      </c>
      <c r="DJ17" s="331" t="s">
        <v>190</v>
      </c>
      <c r="DK17" s="331" t="s">
        <v>428</v>
      </c>
      <c r="DL17" s="331" t="s">
        <v>190</v>
      </c>
      <c r="DM17" s="331" t="s">
        <v>428</v>
      </c>
      <c r="DN17" s="331" t="s">
        <v>428</v>
      </c>
      <c r="DO17" s="331" t="s">
        <v>428</v>
      </c>
      <c r="DP17" s="331" t="s">
        <v>428</v>
      </c>
      <c r="DQ17" s="331" t="s">
        <v>428</v>
      </c>
      <c r="DR17" s="331" t="s">
        <v>428</v>
      </c>
      <c r="DS17" s="331" t="s">
        <v>428</v>
      </c>
      <c r="DT17" s="331" t="s">
        <v>428</v>
      </c>
      <c r="DU17" s="331" t="s">
        <v>428</v>
      </c>
      <c r="DV17" s="331" t="s">
        <v>428</v>
      </c>
      <c r="DW17" s="331" t="s">
        <v>428</v>
      </c>
      <c r="DX17" s="331" t="s">
        <v>428</v>
      </c>
      <c r="DY17" s="331" t="s">
        <v>428</v>
      </c>
      <c r="DZ17" s="331" t="s">
        <v>428</v>
      </c>
      <c r="EA17" s="331" t="s">
        <v>428</v>
      </c>
      <c r="EB17" s="331" t="s">
        <v>190</v>
      </c>
      <c r="EC17" s="331" t="s">
        <v>190</v>
      </c>
      <c r="ED17" s="331" t="s">
        <v>190</v>
      </c>
      <c r="EE17" s="331" t="s">
        <v>190</v>
      </c>
      <c r="EF17" s="331" t="s">
        <v>190</v>
      </c>
      <c r="EG17" s="331" t="s">
        <v>190</v>
      </c>
      <c r="EH17" s="331" t="s">
        <v>190</v>
      </c>
      <c r="EI17" s="331" t="s">
        <v>190</v>
      </c>
      <c r="EJ17" s="331" t="s">
        <v>190</v>
      </c>
      <c r="EK17" s="331" t="s">
        <v>190</v>
      </c>
      <c r="EL17" s="331" t="s">
        <v>190</v>
      </c>
      <c r="EM17" s="331" t="s">
        <v>190</v>
      </c>
      <c r="EN17" s="331" t="s">
        <v>190</v>
      </c>
      <c r="EO17" s="331" t="s">
        <v>190</v>
      </c>
      <c r="EP17" s="331" t="s">
        <v>190</v>
      </c>
      <c r="EQ17" s="331" t="s">
        <v>190</v>
      </c>
      <c r="ER17" s="331" t="s">
        <v>190</v>
      </c>
      <c r="ES17" s="331" t="s">
        <v>190</v>
      </c>
      <c r="ET17" s="331" t="s">
        <v>190</v>
      </c>
      <c r="EU17" s="331" t="s">
        <v>190</v>
      </c>
      <c r="EV17" s="331" t="s">
        <v>190</v>
      </c>
      <c r="EW17" s="331" t="s">
        <v>190</v>
      </c>
      <c r="EX17" s="331" t="s">
        <v>190</v>
      </c>
      <c r="EY17" s="331" t="s">
        <v>428</v>
      </c>
      <c r="EZ17" s="331" t="s">
        <v>428</v>
      </c>
      <c r="FA17" s="331" t="s">
        <v>428</v>
      </c>
      <c r="FB17" s="331" t="s">
        <v>428</v>
      </c>
      <c r="FC17" s="331" t="s">
        <v>428</v>
      </c>
      <c r="FD17" s="331" t="s">
        <v>428</v>
      </c>
      <c r="FE17" s="331" t="s">
        <v>428</v>
      </c>
      <c r="FF17" s="331" t="s">
        <v>190</v>
      </c>
      <c r="FG17" s="331" t="s">
        <v>190</v>
      </c>
      <c r="FH17" s="331" t="s">
        <v>190</v>
      </c>
      <c r="FI17" s="331" t="s">
        <v>190</v>
      </c>
      <c r="FJ17" s="331" t="s">
        <v>190</v>
      </c>
      <c r="FK17" s="331" t="s">
        <v>428</v>
      </c>
      <c r="FL17" s="331" t="s">
        <v>190</v>
      </c>
      <c r="FM17" s="331" t="s">
        <v>190</v>
      </c>
      <c r="FN17" s="331" t="s">
        <v>190</v>
      </c>
      <c r="FO17" s="331" t="s">
        <v>190</v>
      </c>
      <c r="FP17" s="331" t="s">
        <v>428</v>
      </c>
      <c r="FQ17" s="331" t="s">
        <v>190</v>
      </c>
      <c r="FR17" s="331" t="s">
        <v>190</v>
      </c>
      <c r="FS17" s="331" t="s">
        <v>190</v>
      </c>
      <c r="FT17" s="331" t="s">
        <v>190</v>
      </c>
      <c r="FU17" s="331" t="s">
        <v>190</v>
      </c>
      <c r="FV17" s="331" t="s">
        <v>190</v>
      </c>
      <c r="FW17" s="331" t="s">
        <v>190</v>
      </c>
      <c r="FX17" s="331" t="s">
        <v>190</v>
      </c>
      <c r="FY17" s="331" t="s">
        <v>190</v>
      </c>
      <c r="FZ17" s="331" t="s">
        <v>190</v>
      </c>
      <c r="GA17" s="331" t="s">
        <v>190</v>
      </c>
      <c r="GB17" s="331" t="s">
        <v>190</v>
      </c>
      <c r="GC17" s="331" t="s">
        <v>190</v>
      </c>
      <c r="GD17" s="331" t="s">
        <v>190</v>
      </c>
      <c r="GE17" s="331" t="s">
        <v>190</v>
      </c>
      <c r="GF17" s="331" t="s">
        <v>190</v>
      </c>
      <c r="GG17" s="331" t="s">
        <v>190</v>
      </c>
      <c r="GH17" s="331" t="s">
        <v>428</v>
      </c>
      <c r="GI17" s="331" t="s">
        <v>190</v>
      </c>
      <c r="GJ17" s="331" t="s">
        <v>190</v>
      </c>
      <c r="GK17" s="331" t="s">
        <v>190</v>
      </c>
      <c r="GL17" s="331" t="s">
        <v>190</v>
      </c>
      <c r="GM17" s="331" t="s">
        <v>190</v>
      </c>
      <c r="GN17" s="331" t="s">
        <v>428</v>
      </c>
      <c r="GO17" s="331" t="s">
        <v>190</v>
      </c>
      <c r="GP17" s="331" t="s">
        <v>190</v>
      </c>
      <c r="GQ17" s="331" t="s">
        <v>190</v>
      </c>
      <c r="GR17" s="331" t="s">
        <v>190</v>
      </c>
      <c r="GS17" s="331" t="s">
        <v>190</v>
      </c>
      <c r="GT17" s="331" t="s">
        <v>190</v>
      </c>
      <c r="GU17" s="331" t="s">
        <v>190</v>
      </c>
      <c r="GV17" s="331" t="s">
        <v>190</v>
      </c>
      <c r="GW17" s="331" t="s">
        <v>190</v>
      </c>
      <c r="GX17" s="331" t="s">
        <v>428</v>
      </c>
      <c r="GY17" s="331" t="s">
        <v>428</v>
      </c>
      <c r="GZ17" s="331" t="s">
        <v>190</v>
      </c>
      <c r="HA17" s="331" t="s">
        <v>190</v>
      </c>
      <c r="HB17" s="331" t="s">
        <v>190</v>
      </c>
      <c r="HC17" s="331" t="s">
        <v>190</v>
      </c>
      <c r="HD17" s="331" t="s">
        <v>190</v>
      </c>
      <c r="HE17" s="331" t="s">
        <v>190</v>
      </c>
      <c r="HF17" s="331" t="s">
        <v>190</v>
      </c>
      <c r="HG17" s="331" t="s">
        <v>190</v>
      </c>
      <c r="HH17" s="331" t="s">
        <v>190</v>
      </c>
      <c r="HI17" s="331" t="s">
        <v>428</v>
      </c>
      <c r="HJ17" s="331" t="s">
        <v>428</v>
      </c>
      <c r="HK17" s="331" t="s">
        <v>428</v>
      </c>
      <c r="HL17" s="331" t="s">
        <v>428</v>
      </c>
      <c r="HM17" s="331" t="s">
        <v>190</v>
      </c>
      <c r="HN17" s="331" t="s">
        <v>190</v>
      </c>
      <c r="HO17" s="331" t="s">
        <v>190</v>
      </c>
      <c r="HP17" s="331" t="s">
        <v>190</v>
      </c>
      <c r="HQ17" s="331" t="s">
        <v>190</v>
      </c>
      <c r="HR17" s="331" t="s">
        <v>190</v>
      </c>
      <c r="HS17" s="331" t="s">
        <v>190</v>
      </c>
      <c r="HT17" s="331" t="s">
        <v>190</v>
      </c>
      <c r="HU17" s="331" t="s">
        <v>190</v>
      </c>
      <c r="HV17" s="331" t="s">
        <v>190</v>
      </c>
      <c r="HW17" s="331" t="s">
        <v>190</v>
      </c>
      <c r="HX17" s="331" t="s">
        <v>190</v>
      </c>
      <c r="HY17" s="331" t="s">
        <v>190</v>
      </c>
      <c r="HZ17" s="331" t="s">
        <v>190</v>
      </c>
      <c r="IA17" s="331" t="s">
        <v>190</v>
      </c>
      <c r="IB17" s="331" t="s">
        <v>190</v>
      </c>
      <c r="IC17" s="331" t="s">
        <v>190</v>
      </c>
      <c r="ID17" s="331" t="s">
        <v>190</v>
      </c>
      <c r="IE17" s="331" t="s">
        <v>190</v>
      </c>
      <c r="IF17" s="331" t="s">
        <v>190</v>
      </c>
      <c r="IG17" s="331" t="s">
        <v>170</v>
      </c>
      <c r="IH17" s="331" t="s">
        <v>429</v>
      </c>
      <c r="II17" s="331" t="s">
        <v>169</v>
      </c>
      <c r="IJ17" s="331" t="s">
        <v>427</v>
      </c>
      <c r="IK17" s="331" t="s">
        <v>428</v>
      </c>
      <c r="IL17" s="331" t="s">
        <v>428</v>
      </c>
    </row>
    <row r="18" spans="1:246" x14ac:dyDescent="0.25">
      <c r="A18" s="330" t="str">
        <f>HYPERLINK("http://www.ofsted.gov.uk/inspection-reports/find-inspection-report/provider/ELS/136265 ","Ofsted School Webpage")</f>
        <v>Ofsted School Webpage</v>
      </c>
      <c r="B18" s="331">
        <v>136265</v>
      </c>
      <c r="C18" s="331">
        <v>3056082</v>
      </c>
      <c r="D18" s="331" t="s">
        <v>2099</v>
      </c>
      <c r="E18" s="331" t="s">
        <v>168</v>
      </c>
      <c r="F18" s="331" t="s">
        <v>441</v>
      </c>
      <c r="G18" s="331" t="s">
        <v>441</v>
      </c>
      <c r="H18" s="331" t="s">
        <v>600</v>
      </c>
      <c r="I18" s="331" t="s">
        <v>2100</v>
      </c>
      <c r="J18" s="331" t="s">
        <v>81</v>
      </c>
      <c r="K18" s="331" t="s">
        <v>81</v>
      </c>
      <c r="L18" s="331" t="s">
        <v>81</v>
      </c>
      <c r="M18" s="331" t="s">
        <v>78</v>
      </c>
      <c r="N18" s="331" t="s">
        <v>424</v>
      </c>
      <c r="O18" s="333">
        <v>10115252</v>
      </c>
      <c r="P18" s="332">
        <v>43774</v>
      </c>
      <c r="Q18" s="332">
        <v>43776</v>
      </c>
      <c r="R18" s="332">
        <v>43803</v>
      </c>
      <c r="S18" s="331" t="s">
        <v>425</v>
      </c>
      <c r="T18" s="331" t="s">
        <v>426</v>
      </c>
      <c r="U18" s="331">
        <v>2</v>
      </c>
      <c r="V18" s="331">
        <v>2</v>
      </c>
      <c r="W18" s="331">
        <v>2</v>
      </c>
      <c r="X18" s="331">
        <v>1</v>
      </c>
      <c r="Y18" s="331">
        <v>2</v>
      </c>
      <c r="Z18" s="331" t="s">
        <v>169</v>
      </c>
      <c r="AA18" s="331" t="s">
        <v>173</v>
      </c>
      <c r="AB18" s="331">
        <v>2</v>
      </c>
      <c r="AC18" s="331" t="s">
        <v>427</v>
      </c>
      <c r="AD18" s="331" t="s">
        <v>171</v>
      </c>
      <c r="AE18" s="331" t="s">
        <v>190</v>
      </c>
      <c r="AF18" s="331" t="s">
        <v>190</v>
      </c>
      <c r="AG18" s="331" t="s">
        <v>190</v>
      </c>
      <c r="AH18" s="331" t="s">
        <v>190</v>
      </c>
      <c r="AI18" s="331" t="s">
        <v>190</v>
      </c>
      <c r="AJ18" s="331" t="s">
        <v>190</v>
      </c>
      <c r="AK18" s="331" t="s">
        <v>190</v>
      </c>
      <c r="AL18" s="331" t="s">
        <v>190</v>
      </c>
      <c r="AM18" s="331" t="s">
        <v>190</v>
      </c>
      <c r="AN18" s="331" t="s">
        <v>190</v>
      </c>
      <c r="AO18" s="331" t="s">
        <v>190</v>
      </c>
      <c r="AP18" s="331" t="s">
        <v>190</v>
      </c>
      <c r="AQ18" s="331" t="s">
        <v>190</v>
      </c>
      <c r="AR18" s="331" t="s">
        <v>190</v>
      </c>
      <c r="AS18" s="331" t="s">
        <v>190</v>
      </c>
      <c r="AT18" s="331" t="s">
        <v>190</v>
      </c>
      <c r="AU18" s="331" t="s">
        <v>428</v>
      </c>
      <c r="AV18" s="331" t="s">
        <v>190</v>
      </c>
      <c r="AW18" s="331" t="s">
        <v>190</v>
      </c>
      <c r="AX18" s="331" t="s">
        <v>190</v>
      </c>
      <c r="AY18" s="331" t="s">
        <v>190</v>
      </c>
      <c r="AZ18" s="331" t="s">
        <v>190</v>
      </c>
      <c r="BA18" s="331" t="s">
        <v>190</v>
      </c>
      <c r="BB18" s="331" t="s">
        <v>190</v>
      </c>
      <c r="BC18" s="331" t="s">
        <v>190</v>
      </c>
      <c r="BD18" s="331" t="s">
        <v>190</v>
      </c>
      <c r="BE18" s="331" t="s">
        <v>190</v>
      </c>
      <c r="BF18" s="331" t="s">
        <v>190</v>
      </c>
      <c r="BG18" s="331" t="s">
        <v>190</v>
      </c>
      <c r="BH18" s="331" t="s">
        <v>190</v>
      </c>
      <c r="BI18" s="331" t="s">
        <v>190</v>
      </c>
      <c r="BJ18" s="331" t="s">
        <v>190</v>
      </c>
      <c r="BK18" s="331" t="s">
        <v>190</v>
      </c>
      <c r="BL18" s="331" t="s">
        <v>190</v>
      </c>
      <c r="BM18" s="331" t="s">
        <v>190</v>
      </c>
      <c r="BN18" s="331" t="s">
        <v>190</v>
      </c>
      <c r="BO18" s="331" t="s">
        <v>190</v>
      </c>
      <c r="BP18" s="331" t="s">
        <v>190</v>
      </c>
      <c r="BQ18" s="331" t="s">
        <v>190</v>
      </c>
      <c r="BR18" s="331" t="s">
        <v>190</v>
      </c>
      <c r="BS18" s="331" t="s">
        <v>190</v>
      </c>
      <c r="BT18" s="331" t="s">
        <v>190</v>
      </c>
      <c r="BU18" s="331" t="s">
        <v>190</v>
      </c>
      <c r="BV18" s="331" t="s">
        <v>190</v>
      </c>
      <c r="BW18" s="331" t="s">
        <v>190</v>
      </c>
      <c r="BX18" s="331" t="s">
        <v>190</v>
      </c>
      <c r="BY18" s="331" t="s">
        <v>190</v>
      </c>
      <c r="BZ18" s="331" t="s">
        <v>190</v>
      </c>
      <c r="CA18" s="331" t="s">
        <v>190</v>
      </c>
      <c r="CB18" s="331" t="s">
        <v>190</v>
      </c>
      <c r="CC18" s="331" t="s">
        <v>190</v>
      </c>
      <c r="CD18" s="331" t="s">
        <v>190</v>
      </c>
      <c r="CE18" s="331" t="s">
        <v>190</v>
      </c>
      <c r="CF18" s="331" t="s">
        <v>190</v>
      </c>
      <c r="CG18" s="331" t="s">
        <v>190</v>
      </c>
      <c r="CH18" s="331" t="s">
        <v>190</v>
      </c>
      <c r="CI18" s="331" t="s">
        <v>190</v>
      </c>
      <c r="CJ18" s="331" t="s">
        <v>190</v>
      </c>
      <c r="CK18" s="331" t="s">
        <v>190</v>
      </c>
      <c r="CL18" s="331" t="s">
        <v>428</v>
      </c>
      <c r="CM18" s="331" t="s">
        <v>428</v>
      </c>
      <c r="CN18" s="331" t="s">
        <v>190</v>
      </c>
      <c r="CO18" s="331" t="s">
        <v>190</v>
      </c>
      <c r="CP18" s="331" t="s">
        <v>190</v>
      </c>
      <c r="CQ18" s="331" t="s">
        <v>190</v>
      </c>
      <c r="CR18" s="331" t="s">
        <v>190</v>
      </c>
      <c r="CS18" s="331" t="s">
        <v>190</v>
      </c>
      <c r="CT18" s="331" t="s">
        <v>190</v>
      </c>
      <c r="CU18" s="331" t="s">
        <v>190</v>
      </c>
      <c r="CV18" s="331" t="s">
        <v>190</v>
      </c>
      <c r="CW18" s="331" t="s">
        <v>190</v>
      </c>
      <c r="CX18" s="331" t="s">
        <v>190</v>
      </c>
      <c r="CY18" s="331" t="s">
        <v>190</v>
      </c>
      <c r="CZ18" s="331" t="s">
        <v>190</v>
      </c>
      <c r="DA18" s="331" t="s">
        <v>190</v>
      </c>
      <c r="DB18" s="331" t="s">
        <v>190</v>
      </c>
      <c r="DC18" s="331" t="s">
        <v>190</v>
      </c>
      <c r="DD18" s="331" t="s">
        <v>190</v>
      </c>
      <c r="DE18" s="331" t="s">
        <v>190</v>
      </c>
      <c r="DF18" s="331" t="s">
        <v>190</v>
      </c>
      <c r="DG18" s="331" t="s">
        <v>190</v>
      </c>
      <c r="DH18" s="331" t="s">
        <v>190</v>
      </c>
      <c r="DI18" s="331" t="s">
        <v>190</v>
      </c>
      <c r="DJ18" s="331" t="s">
        <v>190</v>
      </c>
      <c r="DK18" s="331" t="s">
        <v>428</v>
      </c>
      <c r="DL18" s="331" t="s">
        <v>190</v>
      </c>
      <c r="DM18" s="331" t="s">
        <v>190</v>
      </c>
      <c r="DN18" s="331" t="s">
        <v>190</v>
      </c>
      <c r="DO18" s="331" t="s">
        <v>190</v>
      </c>
      <c r="DP18" s="331" t="s">
        <v>190</v>
      </c>
      <c r="DQ18" s="331" t="s">
        <v>190</v>
      </c>
      <c r="DR18" s="331" t="s">
        <v>190</v>
      </c>
      <c r="DS18" s="331" t="s">
        <v>190</v>
      </c>
      <c r="DT18" s="331" t="s">
        <v>190</v>
      </c>
      <c r="DU18" s="331" t="s">
        <v>190</v>
      </c>
      <c r="DV18" s="331" t="s">
        <v>190</v>
      </c>
      <c r="DW18" s="331" t="s">
        <v>190</v>
      </c>
      <c r="DX18" s="331" t="s">
        <v>190</v>
      </c>
      <c r="DY18" s="331" t="s">
        <v>190</v>
      </c>
      <c r="DZ18" s="331" t="s">
        <v>428</v>
      </c>
      <c r="EA18" s="331" t="s">
        <v>190</v>
      </c>
      <c r="EB18" s="331" t="s">
        <v>190</v>
      </c>
      <c r="EC18" s="331" t="s">
        <v>190</v>
      </c>
      <c r="ED18" s="331" t="s">
        <v>190</v>
      </c>
      <c r="EE18" s="331" t="s">
        <v>190</v>
      </c>
      <c r="EF18" s="331" t="s">
        <v>190</v>
      </c>
      <c r="EG18" s="331" t="s">
        <v>190</v>
      </c>
      <c r="EH18" s="331" t="s">
        <v>190</v>
      </c>
      <c r="EI18" s="331" t="s">
        <v>190</v>
      </c>
      <c r="EJ18" s="331" t="s">
        <v>190</v>
      </c>
      <c r="EK18" s="331" t="s">
        <v>190</v>
      </c>
      <c r="EL18" s="331" t="s">
        <v>190</v>
      </c>
      <c r="EM18" s="331" t="s">
        <v>190</v>
      </c>
      <c r="EN18" s="331" t="s">
        <v>190</v>
      </c>
      <c r="EO18" s="331" t="s">
        <v>190</v>
      </c>
      <c r="EP18" s="331" t="s">
        <v>190</v>
      </c>
      <c r="EQ18" s="331" t="s">
        <v>190</v>
      </c>
      <c r="ER18" s="331" t="s">
        <v>190</v>
      </c>
      <c r="ES18" s="331" t="s">
        <v>190</v>
      </c>
      <c r="ET18" s="331" t="s">
        <v>190</v>
      </c>
      <c r="EU18" s="331" t="s">
        <v>190</v>
      </c>
      <c r="EV18" s="331" t="s">
        <v>190</v>
      </c>
      <c r="EW18" s="331" t="s">
        <v>190</v>
      </c>
      <c r="EX18" s="331" t="s">
        <v>190</v>
      </c>
      <c r="EY18" s="331" t="s">
        <v>190</v>
      </c>
      <c r="EZ18" s="331" t="s">
        <v>190</v>
      </c>
      <c r="FA18" s="331" t="s">
        <v>190</v>
      </c>
      <c r="FB18" s="331" t="s">
        <v>190</v>
      </c>
      <c r="FC18" s="331" t="s">
        <v>190</v>
      </c>
      <c r="FD18" s="331" t="s">
        <v>190</v>
      </c>
      <c r="FE18" s="331" t="s">
        <v>190</v>
      </c>
      <c r="FF18" s="331" t="s">
        <v>190</v>
      </c>
      <c r="FG18" s="331" t="s">
        <v>190</v>
      </c>
      <c r="FH18" s="331" t="s">
        <v>190</v>
      </c>
      <c r="FI18" s="331" t="s">
        <v>190</v>
      </c>
      <c r="FJ18" s="331" t="s">
        <v>190</v>
      </c>
      <c r="FK18" s="331" t="s">
        <v>190</v>
      </c>
      <c r="FL18" s="331" t="s">
        <v>190</v>
      </c>
      <c r="FM18" s="331" t="s">
        <v>190</v>
      </c>
      <c r="FN18" s="331" t="s">
        <v>190</v>
      </c>
      <c r="FO18" s="331" t="s">
        <v>190</v>
      </c>
      <c r="FP18" s="331" t="s">
        <v>190</v>
      </c>
      <c r="FQ18" s="331" t="s">
        <v>190</v>
      </c>
      <c r="FR18" s="331" t="s">
        <v>190</v>
      </c>
      <c r="FS18" s="331" t="s">
        <v>190</v>
      </c>
      <c r="FT18" s="331" t="s">
        <v>190</v>
      </c>
      <c r="FU18" s="331" t="s">
        <v>190</v>
      </c>
      <c r="FV18" s="331" t="s">
        <v>190</v>
      </c>
      <c r="FW18" s="331" t="s">
        <v>190</v>
      </c>
      <c r="FX18" s="331" t="s">
        <v>190</v>
      </c>
      <c r="FY18" s="331" t="s">
        <v>190</v>
      </c>
      <c r="FZ18" s="331" t="s">
        <v>190</v>
      </c>
      <c r="GA18" s="331" t="s">
        <v>190</v>
      </c>
      <c r="GB18" s="331" t="s">
        <v>190</v>
      </c>
      <c r="GC18" s="331" t="s">
        <v>190</v>
      </c>
      <c r="GD18" s="331" t="s">
        <v>190</v>
      </c>
      <c r="GE18" s="331" t="s">
        <v>190</v>
      </c>
      <c r="GF18" s="331" t="s">
        <v>190</v>
      </c>
      <c r="GG18" s="331" t="s">
        <v>190</v>
      </c>
      <c r="GH18" s="331" t="s">
        <v>428</v>
      </c>
      <c r="GI18" s="331" t="s">
        <v>190</v>
      </c>
      <c r="GJ18" s="331" t="s">
        <v>190</v>
      </c>
      <c r="GK18" s="331" t="s">
        <v>190</v>
      </c>
      <c r="GL18" s="331" t="s">
        <v>190</v>
      </c>
      <c r="GM18" s="331" t="s">
        <v>190</v>
      </c>
      <c r="GN18" s="331" t="s">
        <v>190</v>
      </c>
      <c r="GO18" s="331" t="s">
        <v>190</v>
      </c>
      <c r="GP18" s="331" t="s">
        <v>190</v>
      </c>
      <c r="GQ18" s="331" t="s">
        <v>190</v>
      </c>
      <c r="GR18" s="331" t="s">
        <v>190</v>
      </c>
      <c r="GS18" s="331" t="s">
        <v>190</v>
      </c>
      <c r="GT18" s="331" t="s">
        <v>190</v>
      </c>
      <c r="GU18" s="331" t="s">
        <v>190</v>
      </c>
      <c r="GV18" s="331" t="s">
        <v>190</v>
      </c>
      <c r="GW18" s="331" t="s">
        <v>428</v>
      </c>
      <c r="GX18" s="331" t="s">
        <v>190</v>
      </c>
      <c r="GY18" s="331" t="s">
        <v>190</v>
      </c>
      <c r="GZ18" s="331" t="s">
        <v>190</v>
      </c>
      <c r="HA18" s="331" t="s">
        <v>190</v>
      </c>
      <c r="HB18" s="331" t="s">
        <v>190</v>
      </c>
      <c r="HC18" s="331" t="s">
        <v>190</v>
      </c>
      <c r="HD18" s="331" t="s">
        <v>190</v>
      </c>
      <c r="HE18" s="331" t="s">
        <v>190</v>
      </c>
      <c r="HF18" s="331" t="s">
        <v>190</v>
      </c>
      <c r="HG18" s="331" t="s">
        <v>190</v>
      </c>
      <c r="HH18" s="331" t="s">
        <v>190</v>
      </c>
      <c r="HI18" s="331" t="s">
        <v>190</v>
      </c>
      <c r="HJ18" s="331" t="s">
        <v>428</v>
      </c>
      <c r="HK18" s="331" t="s">
        <v>428</v>
      </c>
      <c r="HL18" s="331" t="s">
        <v>428</v>
      </c>
      <c r="HM18" s="331" t="s">
        <v>190</v>
      </c>
      <c r="HN18" s="331" t="s">
        <v>190</v>
      </c>
      <c r="HO18" s="331" t="s">
        <v>190</v>
      </c>
      <c r="HP18" s="331" t="s">
        <v>190</v>
      </c>
      <c r="HQ18" s="331" t="s">
        <v>190</v>
      </c>
      <c r="HR18" s="331" t="s">
        <v>190</v>
      </c>
      <c r="HS18" s="331" t="s">
        <v>190</v>
      </c>
      <c r="HT18" s="331" t="s">
        <v>190</v>
      </c>
      <c r="HU18" s="331" t="s">
        <v>190</v>
      </c>
      <c r="HV18" s="331" t="s">
        <v>190</v>
      </c>
      <c r="HW18" s="331" t="s">
        <v>190</v>
      </c>
      <c r="HX18" s="331" t="s">
        <v>190</v>
      </c>
      <c r="HY18" s="331" t="s">
        <v>190</v>
      </c>
      <c r="HZ18" s="331" t="s">
        <v>190</v>
      </c>
      <c r="IA18" s="331" t="s">
        <v>190</v>
      </c>
      <c r="IB18" s="331" t="s">
        <v>190</v>
      </c>
      <c r="IC18" s="331" t="s">
        <v>190</v>
      </c>
      <c r="ID18" s="331" t="s">
        <v>190</v>
      </c>
      <c r="IE18" s="331" t="s">
        <v>190</v>
      </c>
      <c r="IF18" s="331" t="s">
        <v>190</v>
      </c>
      <c r="IG18" s="331" t="s">
        <v>170</v>
      </c>
      <c r="IH18" s="331" t="s">
        <v>429</v>
      </c>
      <c r="II18" s="331" t="s">
        <v>169</v>
      </c>
      <c r="IJ18" s="331" t="s">
        <v>427</v>
      </c>
      <c r="IK18" s="331" t="s">
        <v>428</v>
      </c>
      <c r="IL18" s="331" t="s">
        <v>428</v>
      </c>
    </row>
    <row r="19" spans="1:246" x14ac:dyDescent="0.25">
      <c r="A19" s="334" t="str">
        <f>HYPERLINK("http://www.ofsted.gov.uk/inspection-reports/find-inspection-report/provider/ELS/137819 ","Ofsted School Webpage")</f>
        <v>Ofsted School Webpage</v>
      </c>
      <c r="B19" s="331">
        <v>137819</v>
      </c>
      <c r="C19" s="331">
        <v>3306010</v>
      </c>
      <c r="D19" s="331" t="s">
        <v>2148</v>
      </c>
      <c r="E19" s="331" t="s">
        <v>167</v>
      </c>
      <c r="F19" s="331" t="s">
        <v>437</v>
      </c>
      <c r="G19" s="331" t="s">
        <v>437</v>
      </c>
      <c r="H19" s="331" t="s">
        <v>813</v>
      </c>
      <c r="I19" s="331" t="s">
        <v>2149</v>
      </c>
      <c r="J19" s="331" t="s">
        <v>81</v>
      </c>
      <c r="K19" s="331" t="s">
        <v>81</v>
      </c>
      <c r="L19" s="331" t="s">
        <v>81</v>
      </c>
      <c r="M19" s="331" t="s">
        <v>78</v>
      </c>
      <c r="N19" s="331" t="s">
        <v>424</v>
      </c>
      <c r="O19" s="333">
        <v>10112498</v>
      </c>
      <c r="P19" s="332">
        <v>43774</v>
      </c>
      <c r="Q19" s="332">
        <v>43776</v>
      </c>
      <c r="R19" s="332">
        <v>43809</v>
      </c>
      <c r="S19" s="331" t="s">
        <v>425</v>
      </c>
      <c r="T19" s="331" t="s">
        <v>426</v>
      </c>
      <c r="U19" s="331">
        <v>4</v>
      </c>
      <c r="V19" s="331">
        <v>4</v>
      </c>
      <c r="W19" s="331">
        <v>3</v>
      </c>
      <c r="X19" s="331">
        <v>3</v>
      </c>
      <c r="Y19" s="331">
        <v>4</v>
      </c>
      <c r="Z19" s="331" t="s">
        <v>169</v>
      </c>
      <c r="AA19" s="331" t="s">
        <v>173</v>
      </c>
      <c r="AB19" s="331" t="s">
        <v>173</v>
      </c>
      <c r="AC19" s="331" t="s">
        <v>427</v>
      </c>
      <c r="AD19" s="331" t="s">
        <v>172</v>
      </c>
      <c r="AE19" s="331" t="s">
        <v>479</v>
      </c>
      <c r="AF19" s="331" t="s">
        <v>190</v>
      </c>
      <c r="AG19" s="331" t="s">
        <v>190</v>
      </c>
      <c r="AH19" s="331" t="s">
        <v>190</v>
      </c>
      <c r="AI19" s="331" t="s">
        <v>190</v>
      </c>
      <c r="AJ19" s="331" t="s">
        <v>190</v>
      </c>
      <c r="AK19" s="331" t="s">
        <v>190</v>
      </c>
      <c r="AL19" s="331" t="s">
        <v>479</v>
      </c>
      <c r="AM19" s="331" t="s">
        <v>191</v>
      </c>
      <c r="AN19" s="331" t="s">
        <v>191</v>
      </c>
      <c r="AO19" s="331" t="s">
        <v>191</v>
      </c>
      <c r="AP19" s="331" t="s">
        <v>191</v>
      </c>
      <c r="AQ19" s="331" t="s">
        <v>190</v>
      </c>
      <c r="AR19" s="331" t="s">
        <v>191</v>
      </c>
      <c r="AS19" s="331" t="s">
        <v>191</v>
      </c>
      <c r="AT19" s="331" t="s">
        <v>190</v>
      </c>
      <c r="AU19" s="331" t="s">
        <v>428</v>
      </c>
      <c r="AV19" s="331" t="s">
        <v>190</v>
      </c>
      <c r="AW19" s="331" t="s">
        <v>190</v>
      </c>
      <c r="AX19" s="331" t="s">
        <v>190</v>
      </c>
      <c r="AY19" s="331" t="s">
        <v>191</v>
      </c>
      <c r="AZ19" s="331" t="s">
        <v>191</v>
      </c>
      <c r="BA19" s="331" t="s">
        <v>191</v>
      </c>
      <c r="BB19" s="331" t="s">
        <v>191</v>
      </c>
      <c r="BC19" s="331" t="s">
        <v>190</v>
      </c>
      <c r="BD19" s="331" t="s">
        <v>190</v>
      </c>
      <c r="BE19" s="331" t="s">
        <v>191</v>
      </c>
      <c r="BF19" s="331" t="s">
        <v>190</v>
      </c>
      <c r="BG19" s="331" t="s">
        <v>191</v>
      </c>
      <c r="BH19" s="331" t="s">
        <v>191</v>
      </c>
      <c r="BI19" s="331" t="s">
        <v>191</v>
      </c>
      <c r="BJ19" s="331" t="s">
        <v>191</v>
      </c>
      <c r="BK19" s="331" t="s">
        <v>191</v>
      </c>
      <c r="BL19" s="331" t="s">
        <v>191</v>
      </c>
      <c r="BM19" s="331" t="s">
        <v>190</v>
      </c>
      <c r="BN19" s="331" t="s">
        <v>191</v>
      </c>
      <c r="BO19" s="331" t="s">
        <v>190</v>
      </c>
      <c r="BP19" s="331" t="s">
        <v>190</v>
      </c>
      <c r="BQ19" s="331" t="s">
        <v>190</v>
      </c>
      <c r="BR19" s="331" t="s">
        <v>190</v>
      </c>
      <c r="BS19" s="331" t="s">
        <v>190</v>
      </c>
      <c r="BT19" s="331" t="s">
        <v>190</v>
      </c>
      <c r="BU19" s="331" t="s">
        <v>190</v>
      </c>
      <c r="BV19" s="331" t="s">
        <v>190</v>
      </c>
      <c r="BW19" s="331" t="s">
        <v>190</v>
      </c>
      <c r="BX19" s="331" t="s">
        <v>190</v>
      </c>
      <c r="BY19" s="331" t="s">
        <v>190</v>
      </c>
      <c r="BZ19" s="331" t="s">
        <v>190</v>
      </c>
      <c r="CA19" s="331" t="s">
        <v>190</v>
      </c>
      <c r="CB19" s="331" t="s">
        <v>190</v>
      </c>
      <c r="CC19" s="331" t="s">
        <v>190</v>
      </c>
      <c r="CD19" s="331" t="s">
        <v>190</v>
      </c>
      <c r="CE19" s="331" t="s">
        <v>190</v>
      </c>
      <c r="CF19" s="331" t="s">
        <v>190</v>
      </c>
      <c r="CG19" s="331" t="s">
        <v>190</v>
      </c>
      <c r="CH19" s="331" t="s">
        <v>190</v>
      </c>
      <c r="CI19" s="331" t="s">
        <v>190</v>
      </c>
      <c r="CJ19" s="331" t="s">
        <v>190</v>
      </c>
      <c r="CK19" s="331" t="s">
        <v>428</v>
      </c>
      <c r="CL19" s="331" t="s">
        <v>428</v>
      </c>
      <c r="CM19" s="331" t="s">
        <v>428</v>
      </c>
      <c r="CN19" s="331" t="s">
        <v>190</v>
      </c>
      <c r="CO19" s="331" t="s">
        <v>190</v>
      </c>
      <c r="CP19" s="331" t="s">
        <v>190</v>
      </c>
      <c r="CQ19" s="331" t="s">
        <v>190</v>
      </c>
      <c r="CR19" s="331" t="s">
        <v>190</v>
      </c>
      <c r="CS19" s="331" t="s">
        <v>190</v>
      </c>
      <c r="CT19" s="331" t="s">
        <v>190</v>
      </c>
      <c r="CU19" s="331" t="s">
        <v>190</v>
      </c>
      <c r="CV19" s="331" t="s">
        <v>190</v>
      </c>
      <c r="CW19" s="331" t="s">
        <v>190</v>
      </c>
      <c r="CX19" s="331" t="s">
        <v>190</v>
      </c>
      <c r="CY19" s="331" t="s">
        <v>190</v>
      </c>
      <c r="CZ19" s="331" t="s">
        <v>190</v>
      </c>
      <c r="DA19" s="331" t="s">
        <v>190</v>
      </c>
      <c r="DB19" s="331" t="s">
        <v>190</v>
      </c>
      <c r="DC19" s="331" t="s">
        <v>190</v>
      </c>
      <c r="DD19" s="331" t="s">
        <v>190</v>
      </c>
      <c r="DE19" s="331" t="s">
        <v>190</v>
      </c>
      <c r="DF19" s="331" t="s">
        <v>190</v>
      </c>
      <c r="DG19" s="331" t="s">
        <v>190</v>
      </c>
      <c r="DH19" s="331" t="s">
        <v>190</v>
      </c>
      <c r="DI19" s="331" t="s">
        <v>190</v>
      </c>
      <c r="DJ19" s="331" t="s">
        <v>190</v>
      </c>
      <c r="DK19" s="331" t="s">
        <v>190</v>
      </c>
      <c r="DL19" s="331" t="s">
        <v>190</v>
      </c>
      <c r="DM19" s="331" t="s">
        <v>190</v>
      </c>
      <c r="DN19" s="331" t="s">
        <v>190</v>
      </c>
      <c r="DO19" s="331" t="s">
        <v>190</v>
      </c>
      <c r="DP19" s="331" t="s">
        <v>190</v>
      </c>
      <c r="DQ19" s="331" t="s">
        <v>190</v>
      </c>
      <c r="DR19" s="331" t="s">
        <v>190</v>
      </c>
      <c r="DS19" s="331" t="s">
        <v>190</v>
      </c>
      <c r="DT19" s="331" t="s">
        <v>190</v>
      </c>
      <c r="DU19" s="331" t="s">
        <v>190</v>
      </c>
      <c r="DV19" s="331" t="s">
        <v>190</v>
      </c>
      <c r="DW19" s="331" t="s">
        <v>190</v>
      </c>
      <c r="DX19" s="331" t="s">
        <v>190</v>
      </c>
      <c r="DY19" s="331" t="s">
        <v>190</v>
      </c>
      <c r="DZ19" s="331" t="s">
        <v>428</v>
      </c>
      <c r="EA19" s="331" t="s">
        <v>190</v>
      </c>
      <c r="EB19" s="331" t="s">
        <v>190</v>
      </c>
      <c r="EC19" s="331" t="s">
        <v>190</v>
      </c>
      <c r="ED19" s="331" t="s">
        <v>190</v>
      </c>
      <c r="EE19" s="331" t="s">
        <v>190</v>
      </c>
      <c r="EF19" s="331" t="s">
        <v>190</v>
      </c>
      <c r="EG19" s="331" t="s">
        <v>190</v>
      </c>
      <c r="EH19" s="331" t="s">
        <v>190</v>
      </c>
      <c r="EI19" s="331" t="s">
        <v>190</v>
      </c>
      <c r="EJ19" s="331" t="s">
        <v>190</v>
      </c>
      <c r="EK19" s="331" t="s">
        <v>190</v>
      </c>
      <c r="EL19" s="331" t="s">
        <v>190</v>
      </c>
      <c r="EM19" s="331" t="s">
        <v>190</v>
      </c>
      <c r="EN19" s="331" t="s">
        <v>190</v>
      </c>
      <c r="EO19" s="331" t="s">
        <v>190</v>
      </c>
      <c r="EP19" s="331" t="s">
        <v>190</v>
      </c>
      <c r="EQ19" s="331" t="s">
        <v>190</v>
      </c>
      <c r="ER19" s="331" t="s">
        <v>190</v>
      </c>
      <c r="ES19" s="331" t="s">
        <v>190</v>
      </c>
      <c r="ET19" s="331" t="s">
        <v>190</v>
      </c>
      <c r="EU19" s="331" t="s">
        <v>190</v>
      </c>
      <c r="EV19" s="331" t="s">
        <v>190</v>
      </c>
      <c r="EW19" s="331" t="s">
        <v>190</v>
      </c>
      <c r="EX19" s="331" t="s">
        <v>190</v>
      </c>
      <c r="EY19" s="331" t="s">
        <v>190</v>
      </c>
      <c r="EZ19" s="331" t="s">
        <v>190</v>
      </c>
      <c r="FA19" s="331" t="s">
        <v>190</v>
      </c>
      <c r="FB19" s="331" t="s">
        <v>190</v>
      </c>
      <c r="FC19" s="331" t="s">
        <v>428</v>
      </c>
      <c r="FD19" s="331" t="s">
        <v>190</v>
      </c>
      <c r="FE19" s="331" t="s">
        <v>190</v>
      </c>
      <c r="FF19" s="331" t="s">
        <v>190</v>
      </c>
      <c r="FG19" s="331" t="s">
        <v>190</v>
      </c>
      <c r="FH19" s="331" t="s">
        <v>190</v>
      </c>
      <c r="FI19" s="331" t="s">
        <v>190</v>
      </c>
      <c r="FJ19" s="331" t="s">
        <v>190</v>
      </c>
      <c r="FK19" s="331" t="s">
        <v>190</v>
      </c>
      <c r="FL19" s="331" t="s">
        <v>190</v>
      </c>
      <c r="FM19" s="331" t="s">
        <v>190</v>
      </c>
      <c r="FN19" s="331" t="s">
        <v>190</v>
      </c>
      <c r="FO19" s="331" t="s">
        <v>190</v>
      </c>
      <c r="FP19" s="331" t="s">
        <v>190</v>
      </c>
      <c r="FQ19" s="331" t="s">
        <v>190</v>
      </c>
      <c r="FR19" s="331" t="s">
        <v>190</v>
      </c>
      <c r="FS19" s="331" t="s">
        <v>190</v>
      </c>
      <c r="FT19" s="331" t="s">
        <v>190</v>
      </c>
      <c r="FU19" s="331" t="s">
        <v>190</v>
      </c>
      <c r="FV19" s="331" t="s">
        <v>190</v>
      </c>
      <c r="FW19" s="331" t="s">
        <v>190</v>
      </c>
      <c r="FX19" s="331" t="s">
        <v>190</v>
      </c>
      <c r="FY19" s="331" t="s">
        <v>190</v>
      </c>
      <c r="FZ19" s="331" t="s">
        <v>190</v>
      </c>
      <c r="GA19" s="331" t="s">
        <v>190</v>
      </c>
      <c r="GB19" s="331" t="s">
        <v>190</v>
      </c>
      <c r="GC19" s="331" t="s">
        <v>190</v>
      </c>
      <c r="GD19" s="331" t="s">
        <v>190</v>
      </c>
      <c r="GE19" s="331" t="s">
        <v>190</v>
      </c>
      <c r="GF19" s="331" t="s">
        <v>190</v>
      </c>
      <c r="GG19" s="331" t="s">
        <v>190</v>
      </c>
      <c r="GH19" s="331" t="s">
        <v>428</v>
      </c>
      <c r="GI19" s="331" t="s">
        <v>190</v>
      </c>
      <c r="GJ19" s="331" t="s">
        <v>190</v>
      </c>
      <c r="GK19" s="331" t="s">
        <v>190</v>
      </c>
      <c r="GL19" s="331" t="s">
        <v>190</v>
      </c>
      <c r="GM19" s="331" t="s">
        <v>190</v>
      </c>
      <c r="GN19" s="331" t="s">
        <v>428</v>
      </c>
      <c r="GO19" s="331" t="s">
        <v>190</v>
      </c>
      <c r="GP19" s="331" t="s">
        <v>190</v>
      </c>
      <c r="GQ19" s="331" t="s">
        <v>190</v>
      </c>
      <c r="GR19" s="331" t="s">
        <v>190</v>
      </c>
      <c r="GS19" s="331" t="s">
        <v>190</v>
      </c>
      <c r="GT19" s="331" t="s">
        <v>190</v>
      </c>
      <c r="GU19" s="331" t="s">
        <v>190</v>
      </c>
      <c r="GV19" s="331" t="s">
        <v>190</v>
      </c>
      <c r="GW19" s="331" t="s">
        <v>190</v>
      </c>
      <c r="GX19" s="331" t="s">
        <v>190</v>
      </c>
      <c r="GY19" s="331" t="s">
        <v>190</v>
      </c>
      <c r="GZ19" s="331" t="s">
        <v>190</v>
      </c>
      <c r="HA19" s="331" t="s">
        <v>190</v>
      </c>
      <c r="HB19" s="331" t="s">
        <v>190</v>
      </c>
      <c r="HC19" s="331" t="s">
        <v>190</v>
      </c>
      <c r="HD19" s="331" t="s">
        <v>190</v>
      </c>
      <c r="HE19" s="331" t="s">
        <v>190</v>
      </c>
      <c r="HF19" s="331" t="s">
        <v>190</v>
      </c>
      <c r="HG19" s="331" t="s">
        <v>190</v>
      </c>
      <c r="HH19" s="331" t="s">
        <v>190</v>
      </c>
      <c r="HI19" s="331" t="s">
        <v>428</v>
      </c>
      <c r="HJ19" s="331" t="s">
        <v>428</v>
      </c>
      <c r="HK19" s="331" t="s">
        <v>428</v>
      </c>
      <c r="HL19" s="331" t="s">
        <v>428</v>
      </c>
      <c r="HM19" s="331" t="s">
        <v>190</v>
      </c>
      <c r="HN19" s="331" t="s">
        <v>190</v>
      </c>
      <c r="HO19" s="331" t="s">
        <v>190</v>
      </c>
      <c r="HP19" s="331" t="s">
        <v>190</v>
      </c>
      <c r="HQ19" s="331" t="s">
        <v>190</v>
      </c>
      <c r="HR19" s="331" t="s">
        <v>190</v>
      </c>
      <c r="HS19" s="331" t="s">
        <v>190</v>
      </c>
      <c r="HT19" s="331" t="s">
        <v>190</v>
      </c>
      <c r="HU19" s="331" t="s">
        <v>190</v>
      </c>
      <c r="HV19" s="331" t="s">
        <v>190</v>
      </c>
      <c r="HW19" s="331" t="s">
        <v>190</v>
      </c>
      <c r="HX19" s="331" t="s">
        <v>190</v>
      </c>
      <c r="HY19" s="331" t="s">
        <v>190</v>
      </c>
      <c r="HZ19" s="331" t="s">
        <v>190</v>
      </c>
      <c r="IA19" s="331" t="s">
        <v>190</v>
      </c>
      <c r="IB19" s="331" t="s">
        <v>190</v>
      </c>
      <c r="IC19" s="331" t="s">
        <v>191</v>
      </c>
      <c r="ID19" s="331" t="s">
        <v>191</v>
      </c>
      <c r="IE19" s="331" t="s">
        <v>191</v>
      </c>
      <c r="IF19" s="331" t="s">
        <v>190</v>
      </c>
      <c r="IG19" s="331" t="s">
        <v>170</v>
      </c>
      <c r="IH19" s="331" t="s">
        <v>429</v>
      </c>
      <c r="II19" s="331" t="s">
        <v>169</v>
      </c>
      <c r="IJ19" s="331" t="s">
        <v>427</v>
      </c>
      <c r="IK19" s="331" t="s">
        <v>428</v>
      </c>
      <c r="IL19" s="331" t="s">
        <v>428</v>
      </c>
    </row>
    <row r="20" spans="1:246" x14ac:dyDescent="0.25">
      <c r="A20" s="334" t="str">
        <f>HYPERLINK("http://www.ofsted.gov.uk/inspection-reports/find-inspection-report/provider/ELS/134469 ","Ofsted School Webpage")</f>
        <v>Ofsted School Webpage</v>
      </c>
      <c r="B20" s="331">
        <v>134469</v>
      </c>
      <c r="C20" s="331">
        <v>3586018</v>
      </c>
      <c r="D20" s="331" t="s">
        <v>1822</v>
      </c>
      <c r="E20" s="331" t="s">
        <v>167</v>
      </c>
      <c r="F20" s="331" t="s">
        <v>431</v>
      </c>
      <c r="G20" s="331" t="s">
        <v>431</v>
      </c>
      <c r="H20" s="331" t="s">
        <v>1145</v>
      </c>
      <c r="I20" s="331" t="s">
        <v>1823</v>
      </c>
      <c r="J20" s="331" t="s">
        <v>72</v>
      </c>
      <c r="K20" s="331" t="s">
        <v>72</v>
      </c>
      <c r="L20" s="331" t="s">
        <v>72</v>
      </c>
      <c r="M20" s="331" t="s">
        <v>72</v>
      </c>
      <c r="N20" s="331" t="s">
        <v>424</v>
      </c>
      <c r="O20" s="333">
        <v>10112069</v>
      </c>
      <c r="P20" s="332">
        <v>43774</v>
      </c>
      <c r="Q20" s="332">
        <v>43776</v>
      </c>
      <c r="R20" s="332">
        <v>43811</v>
      </c>
      <c r="S20" s="331" t="s">
        <v>425</v>
      </c>
      <c r="T20" s="331" t="s">
        <v>426</v>
      </c>
      <c r="U20" s="331">
        <v>2</v>
      </c>
      <c r="V20" s="331">
        <v>2</v>
      </c>
      <c r="W20" s="331">
        <v>2</v>
      </c>
      <c r="X20" s="331">
        <v>2</v>
      </c>
      <c r="Y20" s="331">
        <v>2</v>
      </c>
      <c r="Z20" s="331" t="s">
        <v>169</v>
      </c>
      <c r="AA20" s="331">
        <v>2</v>
      </c>
      <c r="AB20" s="331" t="s">
        <v>173</v>
      </c>
      <c r="AC20" s="331" t="s">
        <v>447</v>
      </c>
      <c r="AD20" s="331" t="s">
        <v>171</v>
      </c>
      <c r="AE20" s="331" t="s">
        <v>190</v>
      </c>
      <c r="AF20" s="331" t="s">
        <v>190</v>
      </c>
      <c r="AG20" s="331" t="s">
        <v>190</v>
      </c>
      <c r="AH20" s="331" t="s">
        <v>190</v>
      </c>
      <c r="AI20" s="331" t="s">
        <v>190</v>
      </c>
      <c r="AJ20" s="331" t="s">
        <v>190</v>
      </c>
      <c r="AK20" s="331" t="s">
        <v>190</v>
      </c>
      <c r="AL20" s="331" t="s">
        <v>190</v>
      </c>
      <c r="AM20" s="331" t="s">
        <v>190</v>
      </c>
      <c r="AN20" s="331" t="s">
        <v>190</v>
      </c>
      <c r="AO20" s="331" t="s">
        <v>190</v>
      </c>
      <c r="AP20" s="331" t="s">
        <v>190</v>
      </c>
      <c r="AQ20" s="331" t="s">
        <v>190</v>
      </c>
      <c r="AR20" s="331" t="s">
        <v>190</v>
      </c>
      <c r="AS20" s="331" t="s">
        <v>190</v>
      </c>
      <c r="AT20" s="331" t="s">
        <v>190</v>
      </c>
      <c r="AU20" s="331" t="s">
        <v>428</v>
      </c>
      <c r="AV20" s="331" t="s">
        <v>190</v>
      </c>
      <c r="AW20" s="331" t="s">
        <v>190</v>
      </c>
      <c r="AX20" s="331" t="s">
        <v>190</v>
      </c>
      <c r="AY20" s="331" t="s">
        <v>190</v>
      </c>
      <c r="AZ20" s="331" t="s">
        <v>190</v>
      </c>
      <c r="BA20" s="331" t="s">
        <v>190</v>
      </c>
      <c r="BB20" s="331" t="s">
        <v>190</v>
      </c>
      <c r="BC20" s="331" t="s">
        <v>190</v>
      </c>
      <c r="BD20" s="331" t="s">
        <v>428</v>
      </c>
      <c r="BE20" s="331" t="s">
        <v>190</v>
      </c>
      <c r="BF20" s="331" t="s">
        <v>190</v>
      </c>
      <c r="BG20" s="331" t="s">
        <v>190</v>
      </c>
      <c r="BH20" s="331" t="s">
        <v>190</v>
      </c>
      <c r="BI20" s="331" t="s">
        <v>190</v>
      </c>
      <c r="BJ20" s="331" t="s">
        <v>190</v>
      </c>
      <c r="BK20" s="331" t="s">
        <v>190</v>
      </c>
      <c r="BL20" s="331" t="s">
        <v>190</v>
      </c>
      <c r="BM20" s="331" t="s">
        <v>190</v>
      </c>
      <c r="BN20" s="331" t="s">
        <v>190</v>
      </c>
      <c r="BO20" s="331" t="s">
        <v>190</v>
      </c>
      <c r="BP20" s="331" t="s">
        <v>190</v>
      </c>
      <c r="BQ20" s="331" t="s">
        <v>190</v>
      </c>
      <c r="BR20" s="331" t="s">
        <v>190</v>
      </c>
      <c r="BS20" s="331" t="s">
        <v>190</v>
      </c>
      <c r="BT20" s="331" t="s">
        <v>190</v>
      </c>
      <c r="BU20" s="331" t="s">
        <v>190</v>
      </c>
      <c r="BV20" s="331" t="s">
        <v>190</v>
      </c>
      <c r="BW20" s="331" t="s">
        <v>190</v>
      </c>
      <c r="BX20" s="331" t="s">
        <v>190</v>
      </c>
      <c r="BY20" s="331" t="s">
        <v>190</v>
      </c>
      <c r="BZ20" s="331" t="s">
        <v>190</v>
      </c>
      <c r="CA20" s="331" t="s">
        <v>190</v>
      </c>
      <c r="CB20" s="331" t="s">
        <v>190</v>
      </c>
      <c r="CC20" s="331" t="s">
        <v>190</v>
      </c>
      <c r="CD20" s="331" t="s">
        <v>190</v>
      </c>
      <c r="CE20" s="331" t="s">
        <v>190</v>
      </c>
      <c r="CF20" s="331" t="s">
        <v>190</v>
      </c>
      <c r="CG20" s="331" t="s">
        <v>190</v>
      </c>
      <c r="CH20" s="331" t="s">
        <v>190</v>
      </c>
      <c r="CI20" s="331" t="s">
        <v>190</v>
      </c>
      <c r="CJ20" s="331" t="s">
        <v>190</v>
      </c>
      <c r="CK20" s="331" t="s">
        <v>428</v>
      </c>
      <c r="CL20" s="331" t="s">
        <v>428</v>
      </c>
      <c r="CM20" s="331" t="s">
        <v>428</v>
      </c>
      <c r="CN20" s="331" t="s">
        <v>190</v>
      </c>
      <c r="CO20" s="331" t="s">
        <v>190</v>
      </c>
      <c r="CP20" s="331" t="s">
        <v>190</v>
      </c>
      <c r="CQ20" s="331" t="s">
        <v>190</v>
      </c>
      <c r="CR20" s="331" t="s">
        <v>190</v>
      </c>
      <c r="CS20" s="331" t="s">
        <v>190</v>
      </c>
      <c r="CT20" s="331" t="s">
        <v>190</v>
      </c>
      <c r="CU20" s="331" t="s">
        <v>190</v>
      </c>
      <c r="CV20" s="331" t="s">
        <v>190</v>
      </c>
      <c r="CW20" s="331" t="s">
        <v>190</v>
      </c>
      <c r="CX20" s="331" t="s">
        <v>190</v>
      </c>
      <c r="CY20" s="331" t="s">
        <v>190</v>
      </c>
      <c r="CZ20" s="331" t="s">
        <v>190</v>
      </c>
      <c r="DA20" s="331" t="s">
        <v>190</v>
      </c>
      <c r="DB20" s="331" t="s">
        <v>190</v>
      </c>
      <c r="DC20" s="331" t="s">
        <v>190</v>
      </c>
      <c r="DD20" s="331" t="s">
        <v>190</v>
      </c>
      <c r="DE20" s="331" t="s">
        <v>190</v>
      </c>
      <c r="DF20" s="331" t="s">
        <v>190</v>
      </c>
      <c r="DG20" s="331" t="s">
        <v>190</v>
      </c>
      <c r="DH20" s="331" t="s">
        <v>190</v>
      </c>
      <c r="DI20" s="331" t="s">
        <v>190</v>
      </c>
      <c r="DJ20" s="331" t="s">
        <v>190</v>
      </c>
      <c r="DK20" s="331" t="s">
        <v>428</v>
      </c>
      <c r="DL20" s="331" t="s">
        <v>190</v>
      </c>
      <c r="DM20" s="331" t="s">
        <v>190</v>
      </c>
      <c r="DN20" s="331" t="s">
        <v>190</v>
      </c>
      <c r="DO20" s="331" t="s">
        <v>190</v>
      </c>
      <c r="DP20" s="331" t="s">
        <v>190</v>
      </c>
      <c r="DQ20" s="331" t="s">
        <v>190</v>
      </c>
      <c r="DR20" s="331" t="s">
        <v>190</v>
      </c>
      <c r="DS20" s="331" t="s">
        <v>190</v>
      </c>
      <c r="DT20" s="331" t="s">
        <v>190</v>
      </c>
      <c r="DU20" s="331" t="s">
        <v>190</v>
      </c>
      <c r="DV20" s="331" t="s">
        <v>190</v>
      </c>
      <c r="DW20" s="331" t="s">
        <v>190</v>
      </c>
      <c r="DX20" s="331" t="s">
        <v>190</v>
      </c>
      <c r="DY20" s="331" t="s">
        <v>190</v>
      </c>
      <c r="DZ20" s="331" t="s">
        <v>428</v>
      </c>
      <c r="EA20" s="331" t="s">
        <v>428</v>
      </c>
      <c r="EB20" s="331" t="s">
        <v>190</v>
      </c>
      <c r="EC20" s="331" t="s">
        <v>190</v>
      </c>
      <c r="ED20" s="331" t="s">
        <v>190</v>
      </c>
      <c r="EE20" s="331" t="s">
        <v>190</v>
      </c>
      <c r="EF20" s="331" t="s">
        <v>190</v>
      </c>
      <c r="EG20" s="331" t="s">
        <v>190</v>
      </c>
      <c r="EH20" s="331" t="s">
        <v>190</v>
      </c>
      <c r="EI20" s="331" t="s">
        <v>428</v>
      </c>
      <c r="EJ20" s="331" t="s">
        <v>428</v>
      </c>
      <c r="EK20" s="331" t="s">
        <v>190</v>
      </c>
      <c r="EL20" s="331" t="s">
        <v>190</v>
      </c>
      <c r="EM20" s="331" t="s">
        <v>190</v>
      </c>
      <c r="EN20" s="331" t="s">
        <v>190</v>
      </c>
      <c r="EO20" s="331" t="s">
        <v>190</v>
      </c>
      <c r="EP20" s="331" t="s">
        <v>190</v>
      </c>
      <c r="EQ20" s="331" t="s">
        <v>190</v>
      </c>
      <c r="ER20" s="331" t="s">
        <v>190</v>
      </c>
      <c r="ES20" s="331" t="s">
        <v>190</v>
      </c>
      <c r="ET20" s="331" t="s">
        <v>190</v>
      </c>
      <c r="EU20" s="331" t="s">
        <v>190</v>
      </c>
      <c r="EV20" s="331" t="s">
        <v>190</v>
      </c>
      <c r="EW20" s="331" t="s">
        <v>190</v>
      </c>
      <c r="EX20" s="331" t="s">
        <v>190</v>
      </c>
      <c r="EY20" s="331" t="s">
        <v>190</v>
      </c>
      <c r="EZ20" s="331" t="s">
        <v>190</v>
      </c>
      <c r="FA20" s="331" t="s">
        <v>190</v>
      </c>
      <c r="FB20" s="331" t="s">
        <v>190</v>
      </c>
      <c r="FC20" s="331" t="s">
        <v>190</v>
      </c>
      <c r="FD20" s="331" t="s">
        <v>190</v>
      </c>
      <c r="FE20" s="331" t="s">
        <v>190</v>
      </c>
      <c r="FF20" s="331" t="s">
        <v>190</v>
      </c>
      <c r="FG20" s="331" t="s">
        <v>190</v>
      </c>
      <c r="FH20" s="331" t="s">
        <v>190</v>
      </c>
      <c r="FI20" s="331" t="s">
        <v>190</v>
      </c>
      <c r="FJ20" s="331" t="s">
        <v>190</v>
      </c>
      <c r="FK20" s="331" t="s">
        <v>190</v>
      </c>
      <c r="FL20" s="331" t="s">
        <v>190</v>
      </c>
      <c r="FM20" s="331" t="s">
        <v>190</v>
      </c>
      <c r="FN20" s="331" t="s">
        <v>190</v>
      </c>
      <c r="FO20" s="331" t="s">
        <v>190</v>
      </c>
      <c r="FP20" s="331" t="s">
        <v>190</v>
      </c>
      <c r="FQ20" s="331" t="s">
        <v>428</v>
      </c>
      <c r="FR20" s="331" t="s">
        <v>190</v>
      </c>
      <c r="FS20" s="331" t="s">
        <v>190</v>
      </c>
      <c r="FT20" s="331" t="s">
        <v>190</v>
      </c>
      <c r="FU20" s="331" t="s">
        <v>190</v>
      </c>
      <c r="FV20" s="331" t="s">
        <v>190</v>
      </c>
      <c r="FW20" s="331" t="s">
        <v>190</v>
      </c>
      <c r="FX20" s="331" t="s">
        <v>190</v>
      </c>
      <c r="FY20" s="331" t="s">
        <v>190</v>
      </c>
      <c r="FZ20" s="331" t="s">
        <v>190</v>
      </c>
      <c r="GA20" s="331" t="s">
        <v>190</v>
      </c>
      <c r="GB20" s="331" t="s">
        <v>190</v>
      </c>
      <c r="GC20" s="331" t="s">
        <v>190</v>
      </c>
      <c r="GD20" s="331" t="s">
        <v>190</v>
      </c>
      <c r="GE20" s="331" t="s">
        <v>190</v>
      </c>
      <c r="GF20" s="331" t="s">
        <v>190</v>
      </c>
      <c r="GG20" s="331" t="s">
        <v>190</v>
      </c>
      <c r="GH20" s="331" t="s">
        <v>428</v>
      </c>
      <c r="GI20" s="331" t="s">
        <v>190</v>
      </c>
      <c r="GJ20" s="331" t="s">
        <v>190</v>
      </c>
      <c r="GK20" s="331" t="s">
        <v>190</v>
      </c>
      <c r="GL20" s="331" t="s">
        <v>190</v>
      </c>
      <c r="GM20" s="331" t="s">
        <v>190</v>
      </c>
      <c r="GN20" s="331" t="s">
        <v>190</v>
      </c>
      <c r="GO20" s="331" t="s">
        <v>190</v>
      </c>
      <c r="GP20" s="331" t="s">
        <v>190</v>
      </c>
      <c r="GQ20" s="331" t="s">
        <v>190</v>
      </c>
      <c r="GR20" s="331" t="s">
        <v>190</v>
      </c>
      <c r="GS20" s="331" t="s">
        <v>190</v>
      </c>
      <c r="GT20" s="331" t="s">
        <v>190</v>
      </c>
      <c r="GU20" s="331" t="s">
        <v>190</v>
      </c>
      <c r="GV20" s="331" t="s">
        <v>190</v>
      </c>
      <c r="GW20" s="331" t="s">
        <v>428</v>
      </c>
      <c r="GX20" s="331" t="s">
        <v>190</v>
      </c>
      <c r="GY20" s="331" t="s">
        <v>190</v>
      </c>
      <c r="GZ20" s="331" t="s">
        <v>190</v>
      </c>
      <c r="HA20" s="331" t="s">
        <v>190</v>
      </c>
      <c r="HB20" s="331" t="s">
        <v>190</v>
      </c>
      <c r="HC20" s="331" t="s">
        <v>190</v>
      </c>
      <c r="HD20" s="331" t="s">
        <v>190</v>
      </c>
      <c r="HE20" s="331" t="s">
        <v>190</v>
      </c>
      <c r="HF20" s="331" t="s">
        <v>190</v>
      </c>
      <c r="HG20" s="331" t="s">
        <v>190</v>
      </c>
      <c r="HH20" s="331" t="s">
        <v>190</v>
      </c>
      <c r="HI20" s="331" t="s">
        <v>428</v>
      </c>
      <c r="HJ20" s="331" t="s">
        <v>428</v>
      </c>
      <c r="HK20" s="331" t="s">
        <v>428</v>
      </c>
      <c r="HL20" s="331" t="s">
        <v>428</v>
      </c>
      <c r="HM20" s="331" t="s">
        <v>190</v>
      </c>
      <c r="HN20" s="331" t="s">
        <v>190</v>
      </c>
      <c r="HO20" s="331" t="s">
        <v>190</v>
      </c>
      <c r="HP20" s="331" t="s">
        <v>190</v>
      </c>
      <c r="HQ20" s="331" t="s">
        <v>190</v>
      </c>
      <c r="HR20" s="331" t="s">
        <v>190</v>
      </c>
      <c r="HS20" s="331" t="s">
        <v>190</v>
      </c>
      <c r="HT20" s="331" t="s">
        <v>190</v>
      </c>
      <c r="HU20" s="331" t="s">
        <v>190</v>
      </c>
      <c r="HV20" s="331" t="s">
        <v>190</v>
      </c>
      <c r="HW20" s="331" t="s">
        <v>190</v>
      </c>
      <c r="HX20" s="331" t="s">
        <v>190</v>
      </c>
      <c r="HY20" s="331" t="s">
        <v>190</v>
      </c>
      <c r="HZ20" s="331" t="s">
        <v>190</v>
      </c>
      <c r="IA20" s="331" t="s">
        <v>190</v>
      </c>
      <c r="IB20" s="331" t="s">
        <v>190</v>
      </c>
      <c r="IC20" s="331" t="s">
        <v>190</v>
      </c>
      <c r="ID20" s="331" t="s">
        <v>190</v>
      </c>
      <c r="IE20" s="331" t="s">
        <v>190</v>
      </c>
      <c r="IF20" s="331" t="s">
        <v>190</v>
      </c>
      <c r="IG20" s="331" t="s">
        <v>170</v>
      </c>
      <c r="IH20" s="331" t="s">
        <v>429</v>
      </c>
      <c r="II20" s="331" t="s">
        <v>169</v>
      </c>
      <c r="IJ20" s="331" t="s">
        <v>427</v>
      </c>
      <c r="IK20" s="331" t="s">
        <v>190</v>
      </c>
      <c r="IL20" s="331" t="s">
        <v>190</v>
      </c>
    </row>
    <row r="21" spans="1:246" x14ac:dyDescent="0.25">
      <c r="A21" s="334" t="str">
        <f>HYPERLINK("http://www.ofsted.gov.uk/inspection-reports/find-inspection-report/provider/ELS/144475 ","Ofsted School Webpage")</f>
        <v>Ofsted School Webpage</v>
      </c>
      <c r="B21" s="331">
        <v>144475</v>
      </c>
      <c r="C21" s="331">
        <v>8866144</v>
      </c>
      <c r="D21" s="331" t="s">
        <v>2443</v>
      </c>
      <c r="E21" s="331" t="s">
        <v>168</v>
      </c>
      <c r="F21" s="331" t="s">
        <v>514</v>
      </c>
      <c r="G21" s="331" t="s">
        <v>514</v>
      </c>
      <c r="H21" s="331" t="s">
        <v>614</v>
      </c>
      <c r="I21" s="331" t="s">
        <v>2444</v>
      </c>
      <c r="J21" s="331" t="s">
        <v>81</v>
      </c>
      <c r="K21" s="331" t="s">
        <v>81</v>
      </c>
      <c r="L21" s="331" t="s">
        <v>81</v>
      </c>
      <c r="M21" s="331" t="s">
        <v>78</v>
      </c>
      <c r="N21" s="331" t="s">
        <v>424</v>
      </c>
      <c r="O21" s="333">
        <v>10124944</v>
      </c>
      <c r="P21" s="332">
        <v>43774</v>
      </c>
      <c r="Q21" s="332">
        <v>43776</v>
      </c>
      <c r="R21" s="332">
        <v>43801</v>
      </c>
      <c r="S21" s="331" t="s">
        <v>425</v>
      </c>
      <c r="T21" s="331" t="s">
        <v>426</v>
      </c>
      <c r="U21" s="331">
        <v>2</v>
      </c>
      <c r="V21" s="331">
        <v>2</v>
      </c>
      <c r="W21" s="331">
        <v>2</v>
      </c>
      <c r="X21" s="331">
        <v>2</v>
      </c>
      <c r="Y21" s="331">
        <v>2</v>
      </c>
      <c r="Z21" s="331" t="s">
        <v>169</v>
      </c>
      <c r="AA21" s="331" t="s">
        <v>173</v>
      </c>
      <c r="AB21" s="331" t="s">
        <v>173</v>
      </c>
      <c r="AC21" s="331" t="s">
        <v>427</v>
      </c>
      <c r="AD21" s="331" t="s">
        <v>171</v>
      </c>
      <c r="AE21" s="331" t="s">
        <v>190</v>
      </c>
      <c r="AF21" s="331" t="s">
        <v>190</v>
      </c>
      <c r="AG21" s="331" t="s">
        <v>190</v>
      </c>
      <c r="AH21" s="331" t="s">
        <v>190</v>
      </c>
      <c r="AI21" s="331" t="s">
        <v>190</v>
      </c>
      <c r="AJ21" s="331" t="s">
        <v>190</v>
      </c>
      <c r="AK21" s="331" t="s">
        <v>190</v>
      </c>
      <c r="AL21" s="331" t="s">
        <v>190</v>
      </c>
      <c r="AM21" s="331" t="s">
        <v>190</v>
      </c>
      <c r="AN21" s="331" t="s">
        <v>190</v>
      </c>
      <c r="AO21" s="331" t="s">
        <v>190</v>
      </c>
      <c r="AP21" s="331" t="s">
        <v>190</v>
      </c>
      <c r="AQ21" s="331" t="s">
        <v>190</v>
      </c>
      <c r="AR21" s="331" t="s">
        <v>190</v>
      </c>
      <c r="AS21" s="331" t="s">
        <v>190</v>
      </c>
      <c r="AT21" s="331" t="s">
        <v>190</v>
      </c>
      <c r="AU21" s="331" t="s">
        <v>428</v>
      </c>
      <c r="AV21" s="331" t="s">
        <v>190</v>
      </c>
      <c r="AW21" s="331" t="s">
        <v>190</v>
      </c>
      <c r="AX21" s="331" t="s">
        <v>190</v>
      </c>
      <c r="AY21" s="331" t="s">
        <v>190</v>
      </c>
      <c r="AZ21" s="331" t="s">
        <v>190</v>
      </c>
      <c r="BA21" s="331" t="s">
        <v>190</v>
      </c>
      <c r="BB21" s="331" t="s">
        <v>190</v>
      </c>
      <c r="BC21" s="331" t="s">
        <v>428</v>
      </c>
      <c r="BD21" s="331" t="s">
        <v>428</v>
      </c>
      <c r="BE21" s="331" t="s">
        <v>190</v>
      </c>
      <c r="BF21" s="331" t="s">
        <v>190</v>
      </c>
      <c r="BG21" s="331" t="s">
        <v>190</v>
      </c>
      <c r="BH21" s="331" t="s">
        <v>190</v>
      </c>
      <c r="BI21" s="331" t="s">
        <v>190</v>
      </c>
      <c r="BJ21" s="331" t="s">
        <v>190</v>
      </c>
      <c r="BK21" s="331" t="s">
        <v>190</v>
      </c>
      <c r="BL21" s="331" t="s">
        <v>190</v>
      </c>
      <c r="BM21" s="331" t="s">
        <v>190</v>
      </c>
      <c r="BN21" s="331" t="s">
        <v>190</v>
      </c>
      <c r="BO21" s="331" t="s">
        <v>190</v>
      </c>
      <c r="BP21" s="331" t="s">
        <v>190</v>
      </c>
      <c r="BQ21" s="331" t="s">
        <v>190</v>
      </c>
      <c r="BR21" s="331" t="s">
        <v>190</v>
      </c>
      <c r="BS21" s="331" t="s">
        <v>190</v>
      </c>
      <c r="BT21" s="331" t="s">
        <v>190</v>
      </c>
      <c r="BU21" s="331" t="s">
        <v>190</v>
      </c>
      <c r="BV21" s="331" t="s">
        <v>190</v>
      </c>
      <c r="BW21" s="331" t="s">
        <v>190</v>
      </c>
      <c r="BX21" s="331" t="s">
        <v>190</v>
      </c>
      <c r="BY21" s="331" t="s">
        <v>190</v>
      </c>
      <c r="BZ21" s="331" t="s">
        <v>190</v>
      </c>
      <c r="CA21" s="331" t="s">
        <v>190</v>
      </c>
      <c r="CB21" s="331" t="s">
        <v>190</v>
      </c>
      <c r="CC21" s="331" t="s">
        <v>190</v>
      </c>
      <c r="CD21" s="331" t="s">
        <v>190</v>
      </c>
      <c r="CE21" s="331" t="s">
        <v>190</v>
      </c>
      <c r="CF21" s="331" t="s">
        <v>190</v>
      </c>
      <c r="CG21" s="331" t="s">
        <v>190</v>
      </c>
      <c r="CH21" s="331" t="s">
        <v>190</v>
      </c>
      <c r="CI21" s="331" t="s">
        <v>190</v>
      </c>
      <c r="CJ21" s="331" t="s">
        <v>190</v>
      </c>
      <c r="CK21" s="331" t="s">
        <v>428</v>
      </c>
      <c r="CL21" s="331" t="s">
        <v>428</v>
      </c>
      <c r="CM21" s="331" t="s">
        <v>428</v>
      </c>
      <c r="CN21" s="331" t="s">
        <v>190</v>
      </c>
      <c r="CO21" s="331" t="s">
        <v>190</v>
      </c>
      <c r="CP21" s="331" t="s">
        <v>190</v>
      </c>
      <c r="CQ21" s="331" t="s">
        <v>190</v>
      </c>
      <c r="CR21" s="331" t="s">
        <v>190</v>
      </c>
      <c r="CS21" s="331" t="s">
        <v>190</v>
      </c>
      <c r="CT21" s="331" t="s">
        <v>190</v>
      </c>
      <c r="CU21" s="331" t="s">
        <v>190</v>
      </c>
      <c r="CV21" s="331" t="s">
        <v>190</v>
      </c>
      <c r="CW21" s="331" t="s">
        <v>190</v>
      </c>
      <c r="CX21" s="331" t="s">
        <v>190</v>
      </c>
      <c r="CY21" s="331" t="s">
        <v>190</v>
      </c>
      <c r="CZ21" s="331" t="s">
        <v>190</v>
      </c>
      <c r="DA21" s="331" t="s">
        <v>190</v>
      </c>
      <c r="DB21" s="331" t="s">
        <v>190</v>
      </c>
      <c r="DC21" s="331" t="s">
        <v>190</v>
      </c>
      <c r="DD21" s="331" t="s">
        <v>190</v>
      </c>
      <c r="DE21" s="331" t="s">
        <v>190</v>
      </c>
      <c r="DF21" s="331" t="s">
        <v>190</v>
      </c>
      <c r="DG21" s="331" t="s">
        <v>190</v>
      </c>
      <c r="DH21" s="331" t="s">
        <v>190</v>
      </c>
      <c r="DI21" s="331" t="s">
        <v>190</v>
      </c>
      <c r="DJ21" s="331" t="s">
        <v>190</v>
      </c>
      <c r="DK21" s="331" t="s">
        <v>428</v>
      </c>
      <c r="DL21" s="331" t="s">
        <v>190</v>
      </c>
      <c r="DM21" s="331" t="s">
        <v>428</v>
      </c>
      <c r="DN21" s="331" t="s">
        <v>428</v>
      </c>
      <c r="DO21" s="331" t="s">
        <v>428</v>
      </c>
      <c r="DP21" s="331" t="s">
        <v>428</v>
      </c>
      <c r="DQ21" s="331" t="s">
        <v>428</v>
      </c>
      <c r="DR21" s="331" t="s">
        <v>428</v>
      </c>
      <c r="DS21" s="331" t="s">
        <v>428</v>
      </c>
      <c r="DT21" s="331" t="s">
        <v>428</v>
      </c>
      <c r="DU21" s="331" t="s">
        <v>428</v>
      </c>
      <c r="DV21" s="331" t="s">
        <v>428</v>
      </c>
      <c r="DW21" s="331" t="s">
        <v>428</v>
      </c>
      <c r="DX21" s="331" t="s">
        <v>428</v>
      </c>
      <c r="DY21" s="331" t="s">
        <v>428</v>
      </c>
      <c r="DZ21" s="331" t="s">
        <v>428</v>
      </c>
      <c r="EA21" s="331" t="s">
        <v>428</v>
      </c>
      <c r="EB21" s="331" t="s">
        <v>190</v>
      </c>
      <c r="EC21" s="331" t="s">
        <v>190</v>
      </c>
      <c r="ED21" s="331" t="s">
        <v>190</v>
      </c>
      <c r="EE21" s="331" t="s">
        <v>190</v>
      </c>
      <c r="EF21" s="331" t="s">
        <v>190</v>
      </c>
      <c r="EG21" s="331" t="s">
        <v>190</v>
      </c>
      <c r="EH21" s="331" t="s">
        <v>190</v>
      </c>
      <c r="EI21" s="331" t="s">
        <v>190</v>
      </c>
      <c r="EJ21" s="331" t="s">
        <v>190</v>
      </c>
      <c r="EK21" s="331" t="s">
        <v>190</v>
      </c>
      <c r="EL21" s="331" t="s">
        <v>190</v>
      </c>
      <c r="EM21" s="331" t="s">
        <v>190</v>
      </c>
      <c r="EN21" s="331" t="s">
        <v>190</v>
      </c>
      <c r="EO21" s="331" t="s">
        <v>190</v>
      </c>
      <c r="EP21" s="331" t="s">
        <v>190</v>
      </c>
      <c r="EQ21" s="331" t="s">
        <v>190</v>
      </c>
      <c r="ER21" s="331" t="s">
        <v>190</v>
      </c>
      <c r="ES21" s="331" t="s">
        <v>190</v>
      </c>
      <c r="ET21" s="331" t="s">
        <v>190</v>
      </c>
      <c r="EU21" s="331" t="s">
        <v>190</v>
      </c>
      <c r="EV21" s="331" t="s">
        <v>190</v>
      </c>
      <c r="EW21" s="331" t="s">
        <v>190</v>
      </c>
      <c r="EX21" s="331" t="s">
        <v>428</v>
      </c>
      <c r="EY21" s="331" t="s">
        <v>428</v>
      </c>
      <c r="EZ21" s="331" t="s">
        <v>428</v>
      </c>
      <c r="FA21" s="331" t="s">
        <v>428</v>
      </c>
      <c r="FB21" s="331" t="s">
        <v>428</v>
      </c>
      <c r="FC21" s="331" t="s">
        <v>428</v>
      </c>
      <c r="FD21" s="331" t="s">
        <v>428</v>
      </c>
      <c r="FE21" s="331" t="s">
        <v>190</v>
      </c>
      <c r="FF21" s="331" t="s">
        <v>190</v>
      </c>
      <c r="FG21" s="331" t="s">
        <v>190</v>
      </c>
      <c r="FH21" s="331" t="s">
        <v>190</v>
      </c>
      <c r="FI21" s="331" t="s">
        <v>190</v>
      </c>
      <c r="FJ21" s="331" t="s">
        <v>190</v>
      </c>
      <c r="FK21" s="331" t="s">
        <v>190</v>
      </c>
      <c r="FL21" s="331" t="s">
        <v>190</v>
      </c>
      <c r="FM21" s="331" t="s">
        <v>190</v>
      </c>
      <c r="FN21" s="331" t="s">
        <v>190</v>
      </c>
      <c r="FO21" s="331" t="s">
        <v>190</v>
      </c>
      <c r="FP21" s="331" t="s">
        <v>428</v>
      </c>
      <c r="FQ21" s="331" t="s">
        <v>428</v>
      </c>
      <c r="FR21" s="331" t="s">
        <v>190</v>
      </c>
      <c r="FS21" s="331" t="s">
        <v>190</v>
      </c>
      <c r="FT21" s="331" t="s">
        <v>190</v>
      </c>
      <c r="FU21" s="331" t="s">
        <v>190</v>
      </c>
      <c r="FV21" s="331" t="s">
        <v>190</v>
      </c>
      <c r="FW21" s="331" t="s">
        <v>190</v>
      </c>
      <c r="FX21" s="331" t="s">
        <v>190</v>
      </c>
      <c r="FY21" s="331" t="s">
        <v>190</v>
      </c>
      <c r="FZ21" s="331" t="s">
        <v>190</v>
      </c>
      <c r="GA21" s="331" t="s">
        <v>190</v>
      </c>
      <c r="GB21" s="331" t="s">
        <v>190</v>
      </c>
      <c r="GC21" s="331" t="s">
        <v>190</v>
      </c>
      <c r="GD21" s="331" t="s">
        <v>190</v>
      </c>
      <c r="GE21" s="331" t="s">
        <v>190</v>
      </c>
      <c r="GF21" s="331" t="s">
        <v>190</v>
      </c>
      <c r="GG21" s="331" t="s">
        <v>190</v>
      </c>
      <c r="GH21" s="331" t="s">
        <v>428</v>
      </c>
      <c r="GI21" s="331" t="s">
        <v>190</v>
      </c>
      <c r="GJ21" s="331" t="s">
        <v>190</v>
      </c>
      <c r="GK21" s="331" t="s">
        <v>190</v>
      </c>
      <c r="GL21" s="331" t="s">
        <v>190</v>
      </c>
      <c r="GM21" s="331" t="s">
        <v>190</v>
      </c>
      <c r="GN21" s="331" t="s">
        <v>428</v>
      </c>
      <c r="GO21" s="331" t="s">
        <v>190</v>
      </c>
      <c r="GP21" s="331" t="s">
        <v>190</v>
      </c>
      <c r="GQ21" s="331" t="s">
        <v>190</v>
      </c>
      <c r="GR21" s="331" t="s">
        <v>190</v>
      </c>
      <c r="GS21" s="331" t="s">
        <v>190</v>
      </c>
      <c r="GT21" s="331" t="s">
        <v>190</v>
      </c>
      <c r="GU21" s="331" t="s">
        <v>190</v>
      </c>
      <c r="GV21" s="331" t="s">
        <v>190</v>
      </c>
      <c r="GW21" s="331" t="s">
        <v>428</v>
      </c>
      <c r="GX21" s="331" t="s">
        <v>190</v>
      </c>
      <c r="GY21" s="331" t="s">
        <v>428</v>
      </c>
      <c r="GZ21" s="331" t="s">
        <v>190</v>
      </c>
      <c r="HA21" s="331" t="s">
        <v>190</v>
      </c>
      <c r="HB21" s="331" t="s">
        <v>190</v>
      </c>
      <c r="HC21" s="331" t="s">
        <v>190</v>
      </c>
      <c r="HD21" s="331" t="s">
        <v>190</v>
      </c>
      <c r="HE21" s="331" t="s">
        <v>190</v>
      </c>
      <c r="HF21" s="331" t="s">
        <v>190</v>
      </c>
      <c r="HG21" s="331" t="s">
        <v>190</v>
      </c>
      <c r="HH21" s="331" t="s">
        <v>190</v>
      </c>
      <c r="HI21" s="331" t="s">
        <v>190</v>
      </c>
      <c r="HJ21" s="331" t="s">
        <v>190</v>
      </c>
      <c r="HK21" s="331" t="s">
        <v>190</v>
      </c>
      <c r="HL21" s="331" t="s">
        <v>190</v>
      </c>
      <c r="HM21" s="331" t="s">
        <v>190</v>
      </c>
      <c r="HN21" s="331" t="s">
        <v>190</v>
      </c>
      <c r="HO21" s="331" t="s">
        <v>190</v>
      </c>
      <c r="HP21" s="331" t="s">
        <v>190</v>
      </c>
      <c r="HQ21" s="331" t="s">
        <v>190</v>
      </c>
      <c r="HR21" s="331" t="s">
        <v>190</v>
      </c>
      <c r="HS21" s="331" t="s">
        <v>190</v>
      </c>
      <c r="HT21" s="331" t="s">
        <v>190</v>
      </c>
      <c r="HU21" s="331" t="s">
        <v>190</v>
      </c>
      <c r="HV21" s="331" t="s">
        <v>190</v>
      </c>
      <c r="HW21" s="331" t="s">
        <v>190</v>
      </c>
      <c r="HX21" s="331" t="s">
        <v>190</v>
      </c>
      <c r="HY21" s="331" t="s">
        <v>190</v>
      </c>
      <c r="HZ21" s="331" t="s">
        <v>190</v>
      </c>
      <c r="IA21" s="331" t="s">
        <v>190</v>
      </c>
      <c r="IB21" s="331" t="s">
        <v>190</v>
      </c>
      <c r="IC21" s="331" t="s">
        <v>190</v>
      </c>
      <c r="ID21" s="331" t="s">
        <v>190</v>
      </c>
      <c r="IE21" s="331" t="s">
        <v>190</v>
      </c>
      <c r="IF21" s="331" t="s">
        <v>190</v>
      </c>
      <c r="IG21" s="331" t="s">
        <v>170</v>
      </c>
      <c r="IH21" s="331" t="s">
        <v>429</v>
      </c>
      <c r="II21" s="331" t="s">
        <v>169</v>
      </c>
      <c r="IJ21" s="331" t="s">
        <v>427</v>
      </c>
      <c r="IK21" s="331" t="s">
        <v>428</v>
      </c>
      <c r="IL21" s="331" t="s">
        <v>428</v>
      </c>
    </row>
    <row r="22" spans="1:246" x14ac:dyDescent="0.25">
      <c r="A22" s="334" t="str">
        <f>HYPERLINK("http://www.ofsted.gov.uk/inspection-reports/find-inspection-report/provider/ELS/139264 ","Ofsted School Webpage")</f>
        <v>Ofsted School Webpage</v>
      </c>
      <c r="B22" s="331">
        <v>139264</v>
      </c>
      <c r="C22" s="331">
        <v>9256005</v>
      </c>
      <c r="D22" s="331" t="s">
        <v>979</v>
      </c>
      <c r="E22" s="331" t="s">
        <v>167</v>
      </c>
      <c r="F22" s="331" t="s">
        <v>506</v>
      </c>
      <c r="G22" s="331" t="s">
        <v>506</v>
      </c>
      <c r="H22" s="331" t="s">
        <v>833</v>
      </c>
      <c r="I22" s="331" t="s">
        <v>980</v>
      </c>
      <c r="J22" s="331" t="s">
        <v>81</v>
      </c>
      <c r="K22" s="331" t="s">
        <v>81</v>
      </c>
      <c r="L22" s="331" t="s">
        <v>81</v>
      </c>
      <c r="M22" s="331" t="s">
        <v>78</v>
      </c>
      <c r="N22" s="331" t="s">
        <v>424</v>
      </c>
      <c r="O22" s="333">
        <v>10102147</v>
      </c>
      <c r="P22" s="332">
        <v>43774</v>
      </c>
      <c r="Q22" s="332">
        <v>43776</v>
      </c>
      <c r="R22" s="332">
        <v>43801</v>
      </c>
      <c r="S22" s="331" t="s">
        <v>425</v>
      </c>
      <c r="T22" s="331" t="s">
        <v>426</v>
      </c>
      <c r="U22" s="331">
        <v>2</v>
      </c>
      <c r="V22" s="331">
        <v>2</v>
      </c>
      <c r="W22" s="331">
        <v>1</v>
      </c>
      <c r="X22" s="331">
        <v>1</v>
      </c>
      <c r="Y22" s="331">
        <v>2</v>
      </c>
      <c r="Z22" s="331" t="s">
        <v>169</v>
      </c>
      <c r="AA22" s="331" t="s">
        <v>173</v>
      </c>
      <c r="AB22" s="331" t="s">
        <v>173</v>
      </c>
      <c r="AC22" s="331" t="s">
        <v>427</v>
      </c>
      <c r="AD22" s="331" t="s">
        <v>171</v>
      </c>
      <c r="AE22" s="331" t="s">
        <v>190</v>
      </c>
      <c r="AF22" s="331" t="s">
        <v>190</v>
      </c>
      <c r="AG22" s="331" t="s">
        <v>190</v>
      </c>
      <c r="AH22" s="331" t="s">
        <v>190</v>
      </c>
      <c r="AI22" s="331" t="s">
        <v>190</v>
      </c>
      <c r="AJ22" s="331" t="s">
        <v>190</v>
      </c>
      <c r="AK22" s="331" t="s">
        <v>190</v>
      </c>
      <c r="AL22" s="331" t="s">
        <v>190</v>
      </c>
      <c r="AM22" s="331" t="s">
        <v>190</v>
      </c>
      <c r="AN22" s="331" t="s">
        <v>190</v>
      </c>
      <c r="AO22" s="331" t="s">
        <v>190</v>
      </c>
      <c r="AP22" s="331" t="s">
        <v>190</v>
      </c>
      <c r="AQ22" s="331" t="s">
        <v>190</v>
      </c>
      <c r="AR22" s="331" t="s">
        <v>190</v>
      </c>
      <c r="AS22" s="331" t="s">
        <v>190</v>
      </c>
      <c r="AT22" s="331" t="s">
        <v>190</v>
      </c>
      <c r="AU22" s="331" t="s">
        <v>428</v>
      </c>
      <c r="AV22" s="331" t="s">
        <v>190</v>
      </c>
      <c r="AW22" s="331" t="s">
        <v>190</v>
      </c>
      <c r="AX22" s="331" t="s">
        <v>190</v>
      </c>
      <c r="AY22" s="331" t="s">
        <v>190</v>
      </c>
      <c r="AZ22" s="331" t="s">
        <v>190</v>
      </c>
      <c r="BA22" s="331" t="s">
        <v>190</v>
      </c>
      <c r="BB22" s="331" t="s">
        <v>190</v>
      </c>
      <c r="BC22" s="331" t="s">
        <v>428</v>
      </c>
      <c r="BD22" s="331" t="s">
        <v>190</v>
      </c>
      <c r="BE22" s="331" t="s">
        <v>190</v>
      </c>
      <c r="BF22" s="331" t="s">
        <v>190</v>
      </c>
      <c r="BG22" s="331" t="s">
        <v>190</v>
      </c>
      <c r="BH22" s="331" t="s">
        <v>190</v>
      </c>
      <c r="BI22" s="331" t="s">
        <v>190</v>
      </c>
      <c r="BJ22" s="331" t="s">
        <v>190</v>
      </c>
      <c r="BK22" s="331" t="s">
        <v>190</v>
      </c>
      <c r="BL22" s="331" t="s">
        <v>190</v>
      </c>
      <c r="BM22" s="331" t="s">
        <v>190</v>
      </c>
      <c r="BN22" s="331" t="s">
        <v>190</v>
      </c>
      <c r="BO22" s="331" t="s">
        <v>190</v>
      </c>
      <c r="BP22" s="331" t="s">
        <v>190</v>
      </c>
      <c r="BQ22" s="331" t="s">
        <v>190</v>
      </c>
      <c r="BR22" s="331" t="s">
        <v>190</v>
      </c>
      <c r="BS22" s="331" t="s">
        <v>190</v>
      </c>
      <c r="BT22" s="331" t="s">
        <v>190</v>
      </c>
      <c r="BU22" s="331" t="s">
        <v>190</v>
      </c>
      <c r="BV22" s="331" t="s">
        <v>190</v>
      </c>
      <c r="BW22" s="331" t="s">
        <v>190</v>
      </c>
      <c r="BX22" s="331" t="s">
        <v>190</v>
      </c>
      <c r="BY22" s="331" t="s">
        <v>190</v>
      </c>
      <c r="BZ22" s="331" t="s">
        <v>190</v>
      </c>
      <c r="CA22" s="331" t="s">
        <v>190</v>
      </c>
      <c r="CB22" s="331" t="s">
        <v>190</v>
      </c>
      <c r="CC22" s="331" t="s">
        <v>190</v>
      </c>
      <c r="CD22" s="331" t="s">
        <v>190</v>
      </c>
      <c r="CE22" s="331" t="s">
        <v>190</v>
      </c>
      <c r="CF22" s="331" t="s">
        <v>190</v>
      </c>
      <c r="CG22" s="331" t="s">
        <v>190</v>
      </c>
      <c r="CH22" s="331" t="s">
        <v>190</v>
      </c>
      <c r="CI22" s="331" t="s">
        <v>190</v>
      </c>
      <c r="CJ22" s="331" t="s">
        <v>190</v>
      </c>
      <c r="CK22" s="331" t="s">
        <v>190</v>
      </c>
      <c r="CL22" s="331" t="s">
        <v>428</v>
      </c>
      <c r="CM22" s="331" t="s">
        <v>428</v>
      </c>
      <c r="CN22" s="331" t="s">
        <v>190</v>
      </c>
      <c r="CO22" s="331" t="s">
        <v>190</v>
      </c>
      <c r="CP22" s="331" t="s">
        <v>190</v>
      </c>
      <c r="CQ22" s="331" t="s">
        <v>190</v>
      </c>
      <c r="CR22" s="331" t="s">
        <v>190</v>
      </c>
      <c r="CS22" s="331" t="s">
        <v>190</v>
      </c>
      <c r="CT22" s="331" t="s">
        <v>190</v>
      </c>
      <c r="CU22" s="331" t="s">
        <v>190</v>
      </c>
      <c r="CV22" s="331" t="s">
        <v>190</v>
      </c>
      <c r="CW22" s="331" t="s">
        <v>190</v>
      </c>
      <c r="CX22" s="331" t="s">
        <v>190</v>
      </c>
      <c r="CY22" s="331" t="s">
        <v>190</v>
      </c>
      <c r="CZ22" s="331" t="s">
        <v>190</v>
      </c>
      <c r="DA22" s="331" t="s">
        <v>190</v>
      </c>
      <c r="DB22" s="331" t="s">
        <v>190</v>
      </c>
      <c r="DC22" s="331" t="s">
        <v>190</v>
      </c>
      <c r="DD22" s="331" t="s">
        <v>190</v>
      </c>
      <c r="DE22" s="331" t="s">
        <v>190</v>
      </c>
      <c r="DF22" s="331" t="s">
        <v>190</v>
      </c>
      <c r="DG22" s="331" t="s">
        <v>190</v>
      </c>
      <c r="DH22" s="331" t="s">
        <v>190</v>
      </c>
      <c r="DI22" s="331" t="s">
        <v>190</v>
      </c>
      <c r="DJ22" s="331" t="s">
        <v>428</v>
      </c>
      <c r="DK22" s="331" t="s">
        <v>428</v>
      </c>
      <c r="DL22" s="331" t="s">
        <v>190</v>
      </c>
      <c r="DM22" s="331" t="s">
        <v>190</v>
      </c>
      <c r="DN22" s="331" t="s">
        <v>190</v>
      </c>
      <c r="DO22" s="331" t="s">
        <v>190</v>
      </c>
      <c r="DP22" s="331" t="s">
        <v>190</v>
      </c>
      <c r="DQ22" s="331" t="s">
        <v>190</v>
      </c>
      <c r="DR22" s="331" t="s">
        <v>190</v>
      </c>
      <c r="DS22" s="331" t="s">
        <v>190</v>
      </c>
      <c r="DT22" s="331" t="s">
        <v>190</v>
      </c>
      <c r="DU22" s="331" t="s">
        <v>190</v>
      </c>
      <c r="DV22" s="331" t="s">
        <v>190</v>
      </c>
      <c r="DW22" s="331" t="s">
        <v>190</v>
      </c>
      <c r="DX22" s="331" t="s">
        <v>190</v>
      </c>
      <c r="DY22" s="331" t="s">
        <v>190</v>
      </c>
      <c r="DZ22" s="331" t="s">
        <v>190</v>
      </c>
      <c r="EA22" s="331" t="s">
        <v>190</v>
      </c>
      <c r="EB22" s="331" t="s">
        <v>190</v>
      </c>
      <c r="EC22" s="331" t="s">
        <v>190</v>
      </c>
      <c r="ED22" s="331" t="s">
        <v>190</v>
      </c>
      <c r="EE22" s="331" t="s">
        <v>190</v>
      </c>
      <c r="EF22" s="331" t="s">
        <v>190</v>
      </c>
      <c r="EG22" s="331" t="s">
        <v>190</v>
      </c>
      <c r="EH22" s="331" t="s">
        <v>190</v>
      </c>
      <c r="EI22" s="331" t="s">
        <v>190</v>
      </c>
      <c r="EJ22" s="331" t="s">
        <v>190</v>
      </c>
      <c r="EK22" s="331" t="s">
        <v>190</v>
      </c>
      <c r="EL22" s="331" t="s">
        <v>190</v>
      </c>
      <c r="EM22" s="331" t="s">
        <v>190</v>
      </c>
      <c r="EN22" s="331" t="s">
        <v>190</v>
      </c>
      <c r="EO22" s="331" t="s">
        <v>190</v>
      </c>
      <c r="EP22" s="331" t="s">
        <v>190</v>
      </c>
      <c r="EQ22" s="331" t="s">
        <v>190</v>
      </c>
      <c r="ER22" s="331" t="s">
        <v>190</v>
      </c>
      <c r="ES22" s="331" t="s">
        <v>190</v>
      </c>
      <c r="ET22" s="331" t="s">
        <v>190</v>
      </c>
      <c r="EU22" s="331" t="s">
        <v>190</v>
      </c>
      <c r="EV22" s="331" t="s">
        <v>190</v>
      </c>
      <c r="EW22" s="331" t="s">
        <v>190</v>
      </c>
      <c r="EX22" s="331" t="s">
        <v>190</v>
      </c>
      <c r="EY22" s="331" t="s">
        <v>190</v>
      </c>
      <c r="EZ22" s="331" t="s">
        <v>190</v>
      </c>
      <c r="FA22" s="331" t="s">
        <v>190</v>
      </c>
      <c r="FB22" s="331" t="s">
        <v>190</v>
      </c>
      <c r="FC22" s="331" t="s">
        <v>190</v>
      </c>
      <c r="FD22" s="331" t="s">
        <v>190</v>
      </c>
      <c r="FE22" s="331" t="s">
        <v>428</v>
      </c>
      <c r="FF22" s="331" t="s">
        <v>190</v>
      </c>
      <c r="FG22" s="331" t="s">
        <v>190</v>
      </c>
      <c r="FH22" s="331" t="s">
        <v>190</v>
      </c>
      <c r="FI22" s="331" t="s">
        <v>190</v>
      </c>
      <c r="FJ22" s="331" t="s">
        <v>190</v>
      </c>
      <c r="FK22" s="331" t="s">
        <v>190</v>
      </c>
      <c r="FL22" s="331" t="s">
        <v>190</v>
      </c>
      <c r="FM22" s="331" t="s">
        <v>190</v>
      </c>
      <c r="FN22" s="331" t="s">
        <v>190</v>
      </c>
      <c r="FO22" s="331" t="s">
        <v>190</v>
      </c>
      <c r="FP22" s="331" t="s">
        <v>190</v>
      </c>
      <c r="FQ22" s="331" t="s">
        <v>190</v>
      </c>
      <c r="FR22" s="331" t="s">
        <v>190</v>
      </c>
      <c r="FS22" s="331" t="s">
        <v>190</v>
      </c>
      <c r="FT22" s="331" t="s">
        <v>190</v>
      </c>
      <c r="FU22" s="331" t="s">
        <v>190</v>
      </c>
      <c r="FV22" s="331" t="s">
        <v>190</v>
      </c>
      <c r="FW22" s="331" t="s">
        <v>190</v>
      </c>
      <c r="FX22" s="331" t="s">
        <v>190</v>
      </c>
      <c r="FY22" s="331" t="s">
        <v>190</v>
      </c>
      <c r="FZ22" s="331" t="s">
        <v>190</v>
      </c>
      <c r="GA22" s="331" t="s">
        <v>190</v>
      </c>
      <c r="GB22" s="331" t="s">
        <v>190</v>
      </c>
      <c r="GC22" s="331" t="s">
        <v>190</v>
      </c>
      <c r="GD22" s="331" t="s">
        <v>190</v>
      </c>
      <c r="GE22" s="331" t="s">
        <v>190</v>
      </c>
      <c r="GF22" s="331" t="s">
        <v>190</v>
      </c>
      <c r="GG22" s="331" t="s">
        <v>190</v>
      </c>
      <c r="GH22" s="331" t="s">
        <v>428</v>
      </c>
      <c r="GI22" s="331" t="s">
        <v>190</v>
      </c>
      <c r="GJ22" s="331" t="s">
        <v>190</v>
      </c>
      <c r="GK22" s="331" t="s">
        <v>190</v>
      </c>
      <c r="GL22" s="331" t="s">
        <v>190</v>
      </c>
      <c r="GM22" s="331" t="s">
        <v>190</v>
      </c>
      <c r="GN22" s="331" t="s">
        <v>428</v>
      </c>
      <c r="GO22" s="331" t="s">
        <v>190</v>
      </c>
      <c r="GP22" s="331" t="s">
        <v>190</v>
      </c>
      <c r="GQ22" s="331" t="s">
        <v>190</v>
      </c>
      <c r="GR22" s="331" t="s">
        <v>190</v>
      </c>
      <c r="GS22" s="331" t="s">
        <v>190</v>
      </c>
      <c r="GT22" s="331" t="s">
        <v>190</v>
      </c>
      <c r="GU22" s="331" t="s">
        <v>190</v>
      </c>
      <c r="GV22" s="331" t="s">
        <v>190</v>
      </c>
      <c r="GW22" s="331" t="s">
        <v>190</v>
      </c>
      <c r="GX22" s="331" t="s">
        <v>190</v>
      </c>
      <c r="GY22" s="331" t="s">
        <v>428</v>
      </c>
      <c r="GZ22" s="331" t="s">
        <v>190</v>
      </c>
      <c r="HA22" s="331" t="s">
        <v>190</v>
      </c>
      <c r="HB22" s="331" t="s">
        <v>190</v>
      </c>
      <c r="HC22" s="331" t="s">
        <v>190</v>
      </c>
      <c r="HD22" s="331" t="s">
        <v>190</v>
      </c>
      <c r="HE22" s="331" t="s">
        <v>190</v>
      </c>
      <c r="HF22" s="331" t="s">
        <v>190</v>
      </c>
      <c r="HG22" s="331" t="s">
        <v>190</v>
      </c>
      <c r="HH22" s="331" t="s">
        <v>190</v>
      </c>
      <c r="HI22" s="331" t="s">
        <v>190</v>
      </c>
      <c r="HJ22" s="331" t="s">
        <v>428</v>
      </c>
      <c r="HK22" s="331" t="s">
        <v>428</v>
      </c>
      <c r="HL22" s="331" t="s">
        <v>428</v>
      </c>
      <c r="HM22" s="331" t="s">
        <v>190</v>
      </c>
      <c r="HN22" s="331" t="s">
        <v>190</v>
      </c>
      <c r="HO22" s="331" t="s">
        <v>190</v>
      </c>
      <c r="HP22" s="331" t="s">
        <v>190</v>
      </c>
      <c r="HQ22" s="331" t="s">
        <v>190</v>
      </c>
      <c r="HR22" s="331" t="s">
        <v>190</v>
      </c>
      <c r="HS22" s="331" t="s">
        <v>190</v>
      </c>
      <c r="HT22" s="331" t="s">
        <v>190</v>
      </c>
      <c r="HU22" s="331" t="s">
        <v>190</v>
      </c>
      <c r="HV22" s="331" t="s">
        <v>190</v>
      </c>
      <c r="HW22" s="331" t="s">
        <v>190</v>
      </c>
      <c r="HX22" s="331" t="s">
        <v>190</v>
      </c>
      <c r="HY22" s="331" t="s">
        <v>190</v>
      </c>
      <c r="HZ22" s="331" t="s">
        <v>190</v>
      </c>
      <c r="IA22" s="331" t="s">
        <v>190</v>
      </c>
      <c r="IB22" s="331" t="s">
        <v>190</v>
      </c>
      <c r="IC22" s="331" t="s">
        <v>190</v>
      </c>
      <c r="ID22" s="331" t="s">
        <v>190</v>
      </c>
      <c r="IE22" s="331" t="s">
        <v>190</v>
      </c>
      <c r="IF22" s="331" t="s">
        <v>190</v>
      </c>
      <c r="IG22" s="331" t="s">
        <v>170</v>
      </c>
      <c r="IH22" s="331" t="s">
        <v>429</v>
      </c>
      <c r="II22" s="331" t="s">
        <v>169</v>
      </c>
      <c r="IJ22" s="331" t="s">
        <v>427</v>
      </c>
      <c r="IK22" s="331" t="s">
        <v>428</v>
      </c>
      <c r="IL22" s="331" t="s">
        <v>428</v>
      </c>
    </row>
    <row r="23" spans="1:246" x14ac:dyDescent="0.25">
      <c r="A23" s="330" t="str">
        <f>HYPERLINK("http://www.ofsted.gov.uk/inspection-reports/find-inspection-report/provider/ELS/146350 ","Ofsted School Webpage")</f>
        <v>Ofsted School Webpage</v>
      </c>
      <c r="B23" s="331">
        <v>146350</v>
      </c>
      <c r="C23" s="331">
        <v>8946012</v>
      </c>
      <c r="D23" s="331" t="s">
        <v>2682</v>
      </c>
      <c r="E23" s="331" t="s">
        <v>168</v>
      </c>
      <c r="F23" s="331" t="s">
        <v>437</v>
      </c>
      <c r="G23" s="331" t="s">
        <v>437</v>
      </c>
      <c r="H23" s="331" t="s">
        <v>455</v>
      </c>
      <c r="I23" s="331" t="s">
        <v>2683</v>
      </c>
      <c r="J23" s="331" t="s">
        <v>434</v>
      </c>
      <c r="K23" s="331" t="s">
        <v>81</v>
      </c>
      <c r="L23" s="331" t="s">
        <v>81</v>
      </c>
      <c r="M23" s="331" t="s">
        <v>78</v>
      </c>
      <c r="N23" s="331" t="s">
        <v>424</v>
      </c>
      <c r="O23" s="333">
        <v>10112506</v>
      </c>
      <c r="P23" s="332">
        <v>43774</v>
      </c>
      <c r="Q23" s="332">
        <v>43776</v>
      </c>
      <c r="R23" s="332">
        <v>43803</v>
      </c>
      <c r="S23" s="331" t="s">
        <v>435</v>
      </c>
      <c r="T23" s="331" t="s">
        <v>426</v>
      </c>
      <c r="U23" s="331">
        <v>2</v>
      </c>
      <c r="V23" s="331">
        <v>2</v>
      </c>
      <c r="W23" s="331">
        <v>2</v>
      </c>
      <c r="X23" s="331">
        <v>2</v>
      </c>
      <c r="Y23" s="331">
        <v>2</v>
      </c>
      <c r="Z23" s="331" t="s">
        <v>169</v>
      </c>
      <c r="AA23" s="331" t="s">
        <v>173</v>
      </c>
      <c r="AB23" s="331" t="s">
        <v>173</v>
      </c>
      <c r="AC23" s="331" t="s">
        <v>427</v>
      </c>
      <c r="AD23" s="331" t="s">
        <v>171</v>
      </c>
      <c r="AE23" s="331" t="s">
        <v>190</v>
      </c>
      <c r="AF23" s="331" t="s">
        <v>190</v>
      </c>
      <c r="AG23" s="331" t="s">
        <v>190</v>
      </c>
      <c r="AH23" s="331" t="s">
        <v>190</v>
      </c>
      <c r="AI23" s="331" t="s">
        <v>190</v>
      </c>
      <c r="AJ23" s="331" t="s">
        <v>190</v>
      </c>
      <c r="AK23" s="331" t="s">
        <v>190</v>
      </c>
      <c r="AL23" s="331" t="s">
        <v>190</v>
      </c>
      <c r="AM23" s="331" t="s">
        <v>190</v>
      </c>
      <c r="AN23" s="331" t="s">
        <v>190</v>
      </c>
      <c r="AO23" s="331" t="s">
        <v>190</v>
      </c>
      <c r="AP23" s="331" t="s">
        <v>190</v>
      </c>
      <c r="AQ23" s="331" t="s">
        <v>190</v>
      </c>
      <c r="AR23" s="331" t="s">
        <v>190</v>
      </c>
      <c r="AS23" s="331" t="s">
        <v>190</v>
      </c>
      <c r="AT23" s="331" t="s">
        <v>190</v>
      </c>
      <c r="AU23" s="331" t="s">
        <v>428</v>
      </c>
      <c r="AV23" s="331" t="s">
        <v>190</v>
      </c>
      <c r="AW23" s="331" t="s">
        <v>190</v>
      </c>
      <c r="AX23" s="331" t="s">
        <v>190</v>
      </c>
      <c r="AY23" s="331" t="s">
        <v>190</v>
      </c>
      <c r="AZ23" s="331" t="s">
        <v>190</v>
      </c>
      <c r="BA23" s="331" t="s">
        <v>190</v>
      </c>
      <c r="BB23" s="331" t="s">
        <v>190</v>
      </c>
      <c r="BC23" s="331" t="s">
        <v>428</v>
      </c>
      <c r="BD23" s="331" t="s">
        <v>190</v>
      </c>
      <c r="BE23" s="331" t="s">
        <v>190</v>
      </c>
      <c r="BF23" s="331" t="s">
        <v>190</v>
      </c>
      <c r="BG23" s="331" t="s">
        <v>190</v>
      </c>
      <c r="BH23" s="331" t="s">
        <v>190</v>
      </c>
      <c r="BI23" s="331" t="s">
        <v>190</v>
      </c>
      <c r="BJ23" s="331" t="s">
        <v>190</v>
      </c>
      <c r="BK23" s="331" t="s">
        <v>190</v>
      </c>
      <c r="BL23" s="331" t="s">
        <v>190</v>
      </c>
      <c r="BM23" s="331" t="s">
        <v>190</v>
      </c>
      <c r="BN23" s="331" t="s">
        <v>190</v>
      </c>
      <c r="BO23" s="331" t="s">
        <v>190</v>
      </c>
      <c r="BP23" s="331" t="s">
        <v>190</v>
      </c>
      <c r="BQ23" s="331" t="s">
        <v>190</v>
      </c>
      <c r="BR23" s="331" t="s">
        <v>190</v>
      </c>
      <c r="BS23" s="331" t="s">
        <v>190</v>
      </c>
      <c r="BT23" s="331" t="s">
        <v>190</v>
      </c>
      <c r="BU23" s="331" t="s">
        <v>190</v>
      </c>
      <c r="BV23" s="331" t="s">
        <v>190</v>
      </c>
      <c r="BW23" s="331" t="s">
        <v>190</v>
      </c>
      <c r="BX23" s="331" t="s">
        <v>190</v>
      </c>
      <c r="BY23" s="331" t="s">
        <v>190</v>
      </c>
      <c r="BZ23" s="331" t="s">
        <v>190</v>
      </c>
      <c r="CA23" s="331" t="s">
        <v>190</v>
      </c>
      <c r="CB23" s="331" t="s">
        <v>190</v>
      </c>
      <c r="CC23" s="331" t="s">
        <v>190</v>
      </c>
      <c r="CD23" s="331" t="s">
        <v>190</v>
      </c>
      <c r="CE23" s="331" t="s">
        <v>190</v>
      </c>
      <c r="CF23" s="331" t="s">
        <v>190</v>
      </c>
      <c r="CG23" s="331" t="s">
        <v>190</v>
      </c>
      <c r="CH23" s="331" t="s">
        <v>190</v>
      </c>
      <c r="CI23" s="331" t="s">
        <v>190</v>
      </c>
      <c r="CJ23" s="331" t="s">
        <v>190</v>
      </c>
      <c r="CK23" s="331" t="s">
        <v>428</v>
      </c>
      <c r="CL23" s="331" t="s">
        <v>428</v>
      </c>
      <c r="CM23" s="331" t="s">
        <v>428</v>
      </c>
      <c r="CN23" s="331" t="s">
        <v>190</v>
      </c>
      <c r="CO23" s="331" t="s">
        <v>190</v>
      </c>
      <c r="CP23" s="331" t="s">
        <v>190</v>
      </c>
      <c r="CQ23" s="331" t="s">
        <v>190</v>
      </c>
      <c r="CR23" s="331" t="s">
        <v>190</v>
      </c>
      <c r="CS23" s="331" t="s">
        <v>190</v>
      </c>
      <c r="CT23" s="331" t="s">
        <v>190</v>
      </c>
      <c r="CU23" s="331" t="s">
        <v>190</v>
      </c>
      <c r="CV23" s="331" t="s">
        <v>190</v>
      </c>
      <c r="CW23" s="331" t="s">
        <v>190</v>
      </c>
      <c r="CX23" s="331" t="s">
        <v>190</v>
      </c>
      <c r="CY23" s="331" t="s">
        <v>190</v>
      </c>
      <c r="CZ23" s="331" t="s">
        <v>190</v>
      </c>
      <c r="DA23" s="331" t="s">
        <v>190</v>
      </c>
      <c r="DB23" s="331" t="s">
        <v>190</v>
      </c>
      <c r="DC23" s="331" t="s">
        <v>190</v>
      </c>
      <c r="DD23" s="331" t="s">
        <v>190</v>
      </c>
      <c r="DE23" s="331" t="s">
        <v>190</v>
      </c>
      <c r="DF23" s="331" t="s">
        <v>190</v>
      </c>
      <c r="DG23" s="331" t="s">
        <v>190</v>
      </c>
      <c r="DH23" s="331" t="s">
        <v>190</v>
      </c>
      <c r="DI23" s="331" t="s">
        <v>190</v>
      </c>
      <c r="DJ23" s="331" t="s">
        <v>190</v>
      </c>
      <c r="DK23" s="331" t="s">
        <v>428</v>
      </c>
      <c r="DL23" s="331" t="s">
        <v>190</v>
      </c>
      <c r="DM23" s="331" t="s">
        <v>190</v>
      </c>
      <c r="DN23" s="331" t="s">
        <v>190</v>
      </c>
      <c r="DO23" s="331" t="s">
        <v>190</v>
      </c>
      <c r="DP23" s="331" t="s">
        <v>190</v>
      </c>
      <c r="DQ23" s="331" t="s">
        <v>190</v>
      </c>
      <c r="DR23" s="331" t="s">
        <v>190</v>
      </c>
      <c r="DS23" s="331" t="s">
        <v>190</v>
      </c>
      <c r="DT23" s="331" t="s">
        <v>190</v>
      </c>
      <c r="DU23" s="331" t="s">
        <v>190</v>
      </c>
      <c r="DV23" s="331" t="s">
        <v>190</v>
      </c>
      <c r="DW23" s="331" t="s">
        <v>190</v>
      </c>
      <c r="DX23" s="331" t="s">
        <v>190</v>
      </c>
      <c r="DY23" s="331" t="s">
        <v>190</v>
      </c>
      <c r="DZ23" s="331" t="s">
        <v>428</v>
      </c>
      <c r="EA23" s="331" t="s">
        <v>190</v>
      </c>
      <c r="EB23" s="331" t="s">
        <v>190</v>
      </c>
      <c r="EC23" s="331" t="s">
        <v>190</v>
      </c>
      <c r="ED23" s="331" t="s">
        <v>190</v>
      </c>
      <c r="EE23" s="331" t="s">
        <v>190</v>
      </c>
      <c r="EF23" s="331" t="s">
        <v>190</v>
      </c>
      <c r="EG23" s="331" t="s">
        <v>190</v>
      </c>
      <c r="EH23" s="331" t="s">
        <v>190</v>
      </c>
      <c r="EI23" s="331" t="s">
        <v>190</v>
      </c>
      <c r="EJ23" s="331" t="s">
        <v>190</v>
      </c>
      <c r="EK23" s="331" t="s">
        <v>190</v>
      </c>
      <c r="EL23" s="331" t="s">
        <v>190</v>
      </c>
      <c r="EM23" s="331" t="s">
        <v>190</v>
      </c>
      <c r="EN23" s="331" t="s">
        <v>190</v>
      </c>
      <c r="EO23" s="331" t="s">
        <v>190</v>
      </c>
      <c r="EP23" s="331" t="s">
        <v>190</v>
      </c>
      <c r="EQ23" s="331" t="s">
        <v>190</v>
      </c>
      <c r="ER23" s="331" t="s">
        <v>190</v>
      </c>
      <c r="ES23" s="331" t="s">
        <v>190</v>
      </c>
      <c r="ET23" s="331" t="s">
        <v>190</v>
      </c>
      <c r="EU23" s="331" t="s">
        <v>190</v>
      </c>
      <c r="EV23" s="331" t="s">
        <v>190</v>
      </c>
      <c r="EW23" s="331" t="s">
        <v>190</v>
      </c>
      <c r="EX23" s="331" t="s">
        <v>190</v>
      </c>
      <c r="EY23" s="331" t="s">
        <v>190</v>
      </c>
      <c r="EZ23" s="331" t="s">
        <v>190</v>
      </c>
      <c r="FA23" s="331" t="s">
        <v>190</v>
      </c>
      <c r="FB23" s="331" t="s">
        <v>190</v>
      </c>
      <c r="FC23" s="331" t="s">
        <v>190</v>
      </c>
      <c r="FD23" s="331" t="s">
        <v>190</v>
      </c>
      <c r="FE23" s="331" t="s">
        <v>190</v>
      </c>
      <c r="FF23" s="331" t="s">
        <v>190</v>
      </c>
      <c r="FG23" s="331" t="s">
        <v>190</v>
      </c>
      <c r="FH23" s="331" t="s">
        <v>190</v>
      </c>
      <c r="FI23" s="331" t="s">
        <v>190</v>
      </c>
      <c r="FJ23" s="331" t="s">
        <v>190</v>
      </c>
      <c r="FK23" s="331" t="s">
        <v>190</v>
      </c>
      <c r="FL23" s="331" t="s">
        <v>190</v>
      </c>
      <c r="FM23" s="331" t="s">
        <v>190</v>
      </c>
      <c r="FN23" s="331" t="s">
        <v>190</v>
      </c>
      <c r="FO23" s="331" t="s">
        <v>190</v>
      </c>
      <c r="FP23" s="331" t="s">
        <v>428</v>
      </c>
      <c r="FQ23" s="331" t="s">
        <v>190</v>
      </c>
      <c r="FR23" s="331" t="s">
        <v>190</v>
      </c>
      <c r="FS23" s="331" t="s">
        <v>190</v>
      </c>
      <c r="FT23" s="331" t="s">
        <v>190</v>
      </c>
      <c r="FU23" s="331" t="s">
        <v>190</v>
      </c>
      <c r="FV23" s="331" t="s">
        <v>190</v>
      </c>
      <c r="FW23" s="331" t="s">
        <v>190</v>
      </c>
      <c r="FX23" s="331" t="s">
        <v>190</v>
      </c>
      <c r="FY23" s="331" t="s">
        <v>190</v>
      </c>
      <c r="FZ23" s="331" t="s">
        <v>190</v>
      </c>
      <c r="GA23" s="331" t="s">
        <v>190</v>
      </c>
      <c r="GB23" s="331" t="s">
        <v>190</v>
      </c>
      <c r="GC23" s="331" t="s">
        <v>190</v>
      </c>
      <c r="GD23" s="331" t="s">
        <v>190</v>
      </c>
      <c r="GE23" s="331" t="s">
        <v>190</v>
      </c>
      <c r="GF23" s="331" t="s">
        <v>190</v>
      </c>
      <c r="GG23" s="331" t="s">
        <v>190</v>
      </c>
      <c r="GH23" s="331" t="s">
        <v>428</v>
      </c>
      <c r="GI23" s="331" t="s">
        <v>190</v>
      </c>
      <c r="GJ23" s="331" t="s">
        <v>190</v>
      </c>
      <c r="GK23" s="331" t="s">
        <v>190</v>
      </c>
      <c r="GL23" s="331" t="s">
        <v>190</v>
      </c>
      <c r="GM23" s="331" t="s">
        <v>190</v>
      </c>
      <c r="GN23" s="331" t="s">
        <v>190</v>
      </c>
      <c r="GO23" s="331" t="s">
        <v>190</v>
      </c>
      <c r="GP23" s="331" t="s">
        <v>190</v>
      </c>
      <c r="GQ23" s="331" t="s">
        <v>190</v>
      </c>
      <c r="GR23" s="331" t="s">
        <v>190</v>
      </c>
      <c r="GS23" s="331" t="s">
        <v>190</v>
      </c>
      <c r="GT23" s="331" t="s">
        <v>190</v>
      </c>
      <c r="GU23" s="331" t="s">
        <v>190</v>
      </c>
      <c r="GV23" s="331" t="s">
        <v>190</v>
      </c>
      <c r="GW23" s="331" t="s">
        <v>428</v>
      </c>
      <c r="GX23" s="331" t="s">
        <v>190</v>
      </c>
      <c r="GY23" s="331" t="s">
        <v>190</v>
      </c>
      <c r="GZ23" s="331" t="s">
        <v>190</v>
      </c>
      <c r="HA23" s="331" t="s">
        <v>190</v>
      </c>
      <c r="HB23" s="331" t="s">
        <v>190</v>
      </c>
      <c r="HC23" s="331" t="s">
        <v>190</v>
      </c>
      <c r="HD23" s="331" t="s">
        <v>190</v>
      </c>
      <c r="HE23" s="331" t="s">
        <v>190</v>
      </c>
      <c r="HF23" s="331" t="s">
        <v>428</v>
      </c>
      <c r="HG23" s="331" t="s">
        <v>190</v>
      </c>
      <c r="HH23" s="331" t="s">
        <v>190</v>
      </c>
      <c r="HI23" s="331" t="s">
        <v>190</v>
      </c>
      <c r="HJ23" s="331" t="s">
        <v>428</v>
      </c>
      <c r="HK23" s="331" t="s">
        <v>428</v>
      </c>
      <c r="HL23" s="331" t="s">
        <v>428</v>
      </c>
      <c r="HM23" s="331" t="s">
        <v>190</v>
      </c>
      <c r="HN23" s="331" t="s">
        <v>190</v>
      </c>
      <c r="HO23" s="331" t="s">
        <v>190</v>
      </c>
      <c r="HP23" s="331" t="s">
        <v>190</v>
      </c>
      <c r="HQ23" s="331" t="s">
        <v>190</v>
      </c>
      <c r="HR23" s="331" t="s">
        <v>190</v>
      </c>
      <c r="HS23" s="331" t="s">
        <v>190</v>
      </c>
      <c r="HT23" s="331" t="s">
        <v>190</v>
      </c>
      <c r="HU23" s="331" t="s">
        <v>190</v>
      </c>
      <c r="HV23" s="331" t="s">
        <v>190</v>
      </c>
      <c r="HW23" s="331" t="s">
        <v>190</v>
      </c>
      <c r="HX23" s="331" t="s">
        <v>190</v>
      </c>
      <c r="HY23" s="331" t="s">
        <v>190</v>
      </c>
      <c r="HZ23" s="331" t="s">
        <v>190</v>
      </c>
      <c r="IA23" s="331" t="s">
        <v>190</v>
      </c>
      <c r="IB23" s="331" t="s">
        <v>190</v>
      </c>
      <c r="IC23" s="331" t="s">
        <v>190</v>
      </c>
      <c r="ID23" s="331" t="s">
        <v>190</v>
      </c>
      <c r="IE23" s="331" t="s">
        <v>190</v>
      </c>
      <c r="IF23" s="331" t="s">
        <v>190</v>
      </c>
      <c r="IG23" s="331" t="s">
        <v>170</v>
      </c>
      <c r="IH23" s="331" t="s">
        <v>429</v>
      </c>
      <c r="II23" s="331" t="s">
        <v>169</v>
      </c>
      <c r="IJ23" s="331" t="s">
        <v>427</v>
      </c>
      <c r="IK23" s="331" t="s">
        <v>428</v>
      </c>
      <c r="IL23" s="331" t="s">
        <v>428</v>
      </c>
    </row>
    <row r="24" spans="1:246" x14ac:dyDescent="0.25">
      <c r="A24" s="334" t="str">
        <f>HYPERLINK("http://www.ofsted.gov.uk/inspection-reports/find-inspection-report/provider/ELS/134244 ","Ofsted School Webpage")</f>
        <v>Ofsted School Webpage</v>
      </c>
      <c r="B24" s="331">
        <v>134244</v>
      </c>
      <c r="C24" s="331">
        <v>3176076</v>
      </c>
      <c r="D24" s="331" t="s">
        <v>1103</v>
      </c>
      <c r="E24" s="331" t="s">
        <v>167</v>
      </c>
      <c r="F24" s="331" t="s">
        <v>441</v>
      </c>
      <c r="G24" s="331" t="s">
        <v>441</v>
      </c>
      <c r="H24" s="331" t="s">
        <v>648</v>
      </c>
      <c r="I24" s="331" t="s">
        <v>1104</v>
      </c>
      <c r="J24" s="331" t="s">
        <v>72</v>
      </c>
      <c r="K24" s="331" t="s">
        <v>72</v>
      </c>
      <c r="L24" s="331" t="s">
        <v>72</v>
      </c>
      <c r="M24" s="331" t="s">
        <v>72</v>
      </c>
      <c r="N24" s="331" t="s">
        <v>424</v>
      </c>
      <c r="O24" s="333">
        <v>10092443</v>
      </c>
      <c r="P24" s="332">
        <v>43774</v>
      </c>
      <c r="Q24" s="332">
        <v>43776</v>
      </c>
      <c r="R24" s="332">
        <v>43816</v>
      </c>
      <c r="S24" s="331" t="s">
        <v>425</v>
      </c>
      <c r="T24" s="331" t="s">
        <v>426</v>
      </c>
      <c r="U24" s="331">
        <v>2</v>
      </c>
      <c r="V24" s="331">
        <v>2</v>
      </c>
      <c r="W24" s="331">
        <v>1</v>
      </c>
      <c r="X24" s="331">
        <v>1</v>
      </c>
      <c r="Y24" s="331">
        <v>2</v>
      </c>
      <c r="Z24" s="331" t="s">
        <v>169</v>
      </c>
      <c r="AA24" s="331" t="s">
        <v>173</v>
      </c>
      <c r="AB24" s="331" t="s">
        <v>173</v>
      </c>
      <c r="AC24" s="331" t="s">
        <v>427</v>
      </c>
      <c r="AD24" s="331" t="s">
        <v>171</v>
      </c>
      <c r="AE24" s="331" t="s">
        <v>190</v>
      </c>
      <c r="AF24" s="331" t="s">
        <v>190</v>
      </c>
      <c r="AG24" s="331" t="s">
        <v>190</v>
      </c>
      <c r="AH24" s="331" t="s">
        <v>190</v>
      </c>
      <c r="AI24" s="331" t="s">
        <v>190</v>
      </c>
      <c r="AJ24" s="331" t="s">
        <v>190</v>
      </c>
      <c r="AK24" s="331" t="s">
        <v>190</v>
      </c>
      <c r="AL24" s="331" t="s">
        <v>190</v>
      </c>
      <c r="AM24" s="331" t="s">
        <v>190</v>
      </c>
      <c r="AN24" s="331" t="s">
        <v>190</v>
      </c>
      <c r="AO24" s="331" t="s">
        <v>190</v>
      </c>
      <c r="AP24" s="331" t="s">
        <v>190</v>
      </c>
      <c r="AQ24" s="331" t="s">
        <v>190</v>
      </c>
      <c r="AR24" s="331" t="s">
        <v>190</v>
      </c>
      <c r="AS24" s="331" t="s">
        <v>190</v>
      </c>
      <c r="AT24" s="331" t="s">
        <v>190</v>
      </c>
      <c r="AU24" s="331" t="s">
        <v>190</v>
      </c>
      <c r="AV24" s="331" t="s">
        <v>190</v>
      </c>
      <c r="AW24" s="331" t="s">
        <v>190</v>
      </c>
      <c r="AX24" s="331" t="s">
        <v>190</v>
      </c>
      <c r="AY24" s="331" t="s">
        <v>190</v>
      </c>
      <c r="AZ24" s="331" t="s">
        <v>190</v>
      </c>
      <c r="BA24" s="331" t="s">
        <v>190</v>
      </c>
      <c r="BB24" s="331" t="s">
        <v>190</v>
      </c>
      <c r="BC24" s="331" t="s">
        <v>190</v>
      </c>
      <c r="BD24" s="331" t="s">
        <v>190</v>
      </c>
      <c r="BE24" s="331" t="s">
        <v>190</v>
      </c>
      <c r="BF24" s="331" t="s">
        <v>190</v>
      </c>
      <c r="BG24" s="331" t="s">
        <v>190</v>
      </c>
      <c r="BH24" s="331" t="s">
        <v>190</v>
      </c>
      <c r="BI24" s="331" t="s">
        <v>190</v>
      </c>
      <c r="BJ24" s="331" t="s">
        <v>190</v>
      </c>
      <c r="BK24" s="331" t="s">
        <v>190</v>
      </c>
      <c r="BL24" s="331" t="s">
        <v>190</v>
      </c>
      <c r="BM24" s="331" t="s">
        <v>190</v>
      </c>
      <c r="BN24" s="331" t="s">
        <v>190</v>
      </c>
      <c r="BO24" s="331" t="s">
        <v>190</v>
      </c>
      <c r="BP24" s="331" t="s">
        <v>190</v>
      </c>
      <c r="BQ24" s="331" t="s">
        <v>190</v>
      </c>
      <c r="BR24" s="331" t="s">
        <v>190</v>
      </c>
      <c r="BS24" s="331" t="s">
        <v>190</v>
      </c>
      <c r="BT24" s="331" t="s">
        <v>190</v>
      </c>
      <c r="BU24" s="331" t="s">
        <v>190</v>
      </c>
      <c r="BV24" s="331" t="s">
        <v>190</v>
      </c>
      <c r="BW24" s="331" t="s">
        <v>190</v>
      </c>
      <c r="BX24" s="331" t="s">
        <v>190</v>
      </c>
      <c r="BY24" s="331" t="s">
        <v>190</v>
      </c>
      <c r="BZ24" s="331" t="s">
        <v>190</v>
      </c>
      <c r="CA24" s="331" t="s">
        <v>190</v>
      </c>
      <c r="CB24" s="331" t="s">
        <v>190</v>
      </c>
      <c r="CC24" s="331" t="s">
        <v>190</v>
      </c>
      <c r="CD24" s="331" t="s">
        <v>190</v>
      </c>
      <c r="CE24" s="331" t="s">
        <v>190</v>
      </c>
      <c r="CF24" s="331" t="s">
        <v>190</v>
      </c>
      <c r="CG24" s="331" t="s">
        <v>190</v>
      </c>
      <c r="CH24" s="331" t="s">
        <v>190</v>
      </c>
      <c r="CI24" s="331" t="s">
        <v>190</v>
      </c>
      <c r="CJ24" s="331" t="s">
        <v>190</v>
      </c>
      <c r="CK24" s="331" t="s">
        <v>428</v>
      </c>
      <c r="CL24" s="331" t="s">
        <v>428</v>
      </c>
      <c r="CM24" s="331" t="s">
        <v>428</v>
      </c>
      <c r="CN24" s="331" t="s">
        <v>428</v>
      </c>
      <c r="CO24" s="331" t="s">
        <v>190</v>
      </c>
      <c r="CP24" s="331" t="s">
        <v>190</v>
      </c>
      <c r="CQ24" s="331" t="s">
        <v>190</v>
      </c>
      <c r="CR24" s="331" t="s">
        <v>190</v>
      </c>
      <c r="CS24" s="331" t="s">
        <v>190</v>
      </c>
      <c r="CT24" s="331" t="s">
        <v>190</v>
      </c>
      <c r="CU24" s="331" t="s">
        <v>190</v>
      </c>
      <c r="CV24" s="331" t="s">
        <v>190</v>
      </c>
      <c r="CW24" s="331" t="s">
        <v>190</v>
      </c>
      <c r="CX24" s="331" t="s">
        <v>190</v>
      </c>
      <c r="CY24" s="331" t="s">
        <v>190</v>
      </c>
      <c r="CZ24" s="331" t="s">
        <v>190</v>
      </c>
      <c r="DA24" s="331" t="s">
        <v>190</v>
      </c>
      <c r="DB24" s="331" t="s">
        <v>190</v>
      </c>
      <c r="DC24" s="331" t="s">
        <v>190</v>
      </c>
      <c r="DD24" s="331" t="s">
        <v>190</v>
      </c>
      <c r="DE24" s="331" t="s">
        <v>190</v>
      </c>
      <c r="DF24" s="331" t="s">
        <v>190</v>
      </c>
      <c r="DG24" s="331" t="s">
        <v>190</v>
      </c>
      <c r="DH24" s="331" t="s">
        <v>190</v>
      </c>
      <c r="DI24" s="331" t="s">
        <v>190</v>
      </c>
      <c r="DJ24" s="331" t="s">
        <v>190</v>
      </c>
      <c r="DK24" s="331" t="s">
        <v>190</v>
      </c>
      <c r="DL24" s="331" t="s">
        <v>190</v>
      </c>
      <c r="DM24" s="331" t="s">
        <v>190</v>
      </c>
      <c r="DN24" s="331" t="s">
        <v>190</v>
      </c>
      <c r="DO24" s="331" t="s">
        <v>190</v>
      </c>
      <c r="DP24" s="331" t="s">
        <v>190</v>
      </c>
      <c r="DQ24" s="331" t="s">
        <v>190</v>
      </c>
      <c r="DR24" s="331" t="s">
        <v>190</v>
      </c>
      <c r="DS24" s="331" t="s">
        <v>190</v>
      </c>
      <c r="DT24" s="331" t="s">
        <v>190</v>
      </c>
      <c r="DU24" s="331" t="s">
        <v>190</v>
      </c>
      <c r="DV24" s="331" t="s">
        <v>190</v>
      </c>
      <c r="DW24" s="331" t="s">
        <v>190</v>
      </c>
      <c r="DX24" s="331" t="s">
        <v>190</v>
      </c>
      <c r="DY24" s="331" t="s">
        <v>190</v>
      </c>
      <c r="DZ24" s="331" t="s">
        <v>190</v>
      </c>
      <c r="EA24" s="331" t="s">
        <v>190</v>
      </c>
      <c r="EB24" s="331" t="s">
        <v>190</v>
      </c>
      <c r="EC24" s="331" t="s">
        <v>190</v>
      </c>
      <c r="ED24" s="331" t="s">
        <v>190</v>
      </c>
      <c r="EE24" s="331" t="s">
        <v>190</v>
      </c>
      <c r="EF24" s="331" t="s">
        <v>190</v>
      </c>
      <c r="EG24" s="331" t="s">
        <v>190</v>
      </c>
      <c r="EH24" s="331" t="s">
        <v>190</v>
      </c>
      <c r="EI24" s="331" t="s">
        <v>190</v>
      </c>
      <c r="EJ24" s="331" t="s">
        <v>190</v>
      </c>
      <c r="EK24" s="331" t="s">
        <v>190</v>
      </c>
      <c r="EL24" s="331" t="s">
        <v>190</v>
      </c>
      <c r="EM24" s="331" t="s">
        <v>190</v>
      </c>
      <c r="EN24" s="331" t="s">
        <v>190</v>
      </c>
      <c r="EO24" s="331" t="s">
        <v>190</v>
      </c>
      <c r="EP24" s="331" t="s">
        <v>190</v>
      </c>
      <c r="EQ24" s="331" t="s">
        <v>190</v>
      </c>
      <c r="ER24" s="331" t="s">
        <v>190</v>
      </c>
      <c r="ES24" s="331" t="s">
        <v>190</v>
      </c>
      <c r="ET24" s="331" t="s">
        <v>190</v>
      </c>
      <c r="EU24" s="331" t="s">
        <v>190</v>
      </c>
      <c r="EV24" s="331" t="s">
        <v>190</v>
      </c>
      <c r="EW24" s="331" t="s">
        <v>190</v>
      </c>
      <c r="EX24" s="331" t="s">
        <v>190</v>
      </c>
      <c r="EY24" s="331" t="s">
        <v>190</v>
      </c>
      <c r="EZ24" s="331" t="s">
        <v>190</v>
      </c>
      <c r="FA24" s="331" t="s">
        <v>190</v>
      </c>
      <c r="FB24" s="331" t="s">
        <v>190</v>
      </c>
      <c r="FC24" s="331" t="s">
        <v>190</v>
      </c>
      <c r="FD24" s="331" t="s">
        <v>190</v>
      </c>
      <c r="FE24" s="331" t="s">
        <v>190</v>
      </c>
      <c r="FF24" s="331" t="s">
        <v>190</v>
      </c>
      <c r="FG24" s="331" t="s">
        <v>190</v>
      </c>
      <c r="FH24" s="331" t="s">
        <v>190</v>
      </c>
      <c r="FI24" s="331" t="s">
        <v>190</v>
      </c>
      <c r="FJ24" s="331" t="s">
        <v>190</v>
      </c>
      <c r="FK24" s="331" t="s">
        <v>190</v>
      </c>
      <c r="FL24" s="331" t="s">
        <v>190</v>
      </c>
      <c r="FM24" s="331" t="s">
        <v>190</v>
      </c>
      <c r="FN24" s="331" t="s">
        <v>190</v>
      </c>
      <c r="FO24" s="331" t="s">
        <v>190</v>
      </c>
      <c r="FP24" s="331" t="s">
        <v>190</v>
      </c>
      <c r="FQ24" s="331" t="s">
        <v>190</v>
      </c>
      <c r="FR24" s="331" t="s">
        <v>190</v>
      </c>
      <c r="FS24" s="331" t="s">
        <v>190</v>
      </c>
      <c r="FT24" s="331" t="s">
        <v>190</v>
      </c>
      <c r="FU24" s="331" t="s">
        <v>190</v>
      </c>
      <c r="FV24" s="331" t="s">
        <v>190</v>
      </c>
      <c r="FW24" s="331" t="s">
        <v>190</v>
      </c>
      <c r="FX24" s="331" t="s">
        <v>190</v>
      </c>
      <c r="FY24" s="331" t="s">
        <v>190</v>
      </c>
      <c r="FZ24" s="331" t="s">
        <v>190</v>
      </c>
      <c r="GA24" s="331" t="s">
        <v>190</v>
      </c>
      <c r="GB24" s="331" t="s">
        <v>190</v>
      </c>
      <c r="GC24" s="331" t="s">
        <v>190</v>
      </c>
      <c r="GD24" s="331" t="s">
        <v>190</v>
      </c>
      <c r="GE24" s="331" t="s">
        <v>190</v>
      </c>
      <c r="GF24" s="331" t="s">
        <v>190</v>
      </c>
      <c r="GG24" s="331" t="s">
        <v>190</v>
      </c>
      <c r="GH24" s="331" t="s">
        <v>190</v>
      </c>
      <c r="GI24" s="331" t="s">
        <v>190</v>
      </c>
      <c r="GJ24" s="331" t="s">
        <v>190</v>
      </c>
      <c r="GK24" s="331" t="s">
        <v>190</v>
      </c>
      <c r="GL24" s="331" t="s">
        <v>190</v>
      </c>
      <c r="GM24" s="331" t="s">
        <v>190</v>
      </c>
      <c r="GN24" s="331" t="s">
        <v>190</v>
      </c>
      <c r="GO24" s="331" t="s">
        <v>190</v>
      </c>
      <c r="GP24" s="331" t="s">
        <v>190</v>
      </c>
      <c r="GQ24" s="331" t="s">
        <v>190</v>
      </c>
      <c r="GR24" s="331" t="s">
        <v>190</v>
      </c>
      <c r="GS24" s="331" t="s">
        <v>190</v>
      </c>
      <c r="GT24" s="331" t="s">
        <v>190</v>
      </c>
      <c r="GU24" s="331" t="s">
        <v>190</v>
      </c>
      <c r="GV24" s="331" t="s">
        <v>190</v>
      </c>
      <c r="GW24" s="331" t="s">
        <v>190</v>
      </c>
      <c r="GX24" s="331" t="s">
        <v>190</v>
      </c>
      <c r="GY24" s="331" t="s">
        <v>190</v>
      </c>
      <c r="GZ24" s="331" t="s">
        <v>190</v>
      </c>
      <c r="HA24" s="331" t="s">
        <v>190</v>
      </c>
      <c r="HB24" s="331" t="s">
        <v>190</v>
      </c>
      <c r="HC24" s="331" t="s">
        <v>190</v>
      </c>
      <c r="HD24" s="331" t="s">
        <v>190</v>
      </c>
      <c r="HE24" s="331" t="s">
        <v>190</v>
      </c>
      <c r="HF24" s="331" t="s">
        <v>190</v>
      </c>
      <c r="HG24" s="331" t="s">
        <v>190</v>
      </c>
      <c r="HH24" s="331" t="s">
        <v>190</v>
      </c>
      <c r="HI24" s="331" t="s">
        <v>190</v>
      </c>
      <c r="HJ24" s="331" t="s">
        <v>190</v>
      </c>
      <c r="HK24" s="331" t="s">
        <v>190</v>
      </c>
      <c r="HL24" s="331" t="s">
        <v>190</v>
      </c>
      <c r="HM24" s="331" t="s">
        <v>190</v>
      </c>
      <c r="HN24" s="331" t="s">
        <v>190</v>
      </c>
      <c r="HO24" s="331" t="s">
        <v>190</v>
      </c>
      <c r="HP24" s="331" t="s">
        <v>190</v>
      </c>
      <c r="HQ24" s="331" t="s">
        <v>190</v>
      </c>
      <c r="HR24" s="331" t="s">
        <v>190</v>
      </c>
      <c r="HS24" s="331" t="s">
        <v>190</v>
      </c>
      <c r="HT24" s="331" t="s">
        <v>190</v>
      </c>
      <c r="HU24" s="331" t="s">
        <v>190</v>
      </c>
      <c r="HV24" s="331" t="s">
        <v>190</v>
      </c>
      <c r="HW24" s="331" t="s">
        <v>190</v>
      </c>
      <c r="HX24" s="331" t="s">
        <v>190</v>
      </c>
      <c r="HY24" s="331" t="s">
        <v>190</v>
      </c>
      <c r="HZ24" s="331" t="s">
        <v>190</v>
      </c>
      <c r="IA24" s="331" t="s">
        <v>190</v>
      </c>
      <c r="IB24" s="331" t="s">
        <v>190</v>
      </c>
      <c r="IC24" s="331" t="s">
        <v>190</v>
      </c>
      <c r="ID24" s="331" t="s">
        <v>190</v>
      </c>
      <c r="IE24" s="331" t="s">
        <v>190</v>
      </c>
      <c r="IF24" s="331" t="s">
        <v>190</v>
      </c>
      <c r="IG24" s="331" t="s">
        <v>170</v>
      </c>
      <c r="IH24" s="331" t="s">
        <v>429</v>
      </c>
      <c r="II24" s="331" t="s">
        <v>169</v>
      </c>
      <c r="IJ24" s="331" t="s">
        <v>427</v>
      </c>
      <c r="IK24" s="331" t="s">
        <v>428</v>
      </c>
      <c r="IL24" s="331" t="s">
        <v>428</v>
      </c>
    </row>
    <row r="25" spans="1:246" x14ac:dyDescent="0.25">
      <c r="A25" s="330" t="str">
        <f>HYPERLINK("http://www.ofsted.gov.uk/inspection-reports/find-inspection-report/provider/ELS/146524 ","Ofsted School Webpage")</f>
        <v>Ofsted School Webpage</v>
      </c>
      <c r="B25" s="331">
        <v>146524</v>
      </c>
      <c r="C25" s="331">
        <v>9166023</v>
      </c>
      <c r="D25" s="331" t="s">
        <v>2562</v>
      </c>
      <c r="E25" s="331" t="s">
        <v>168</v>
      </c>
      <c r="F25" s="331" t="s">
        <v>422</v>
      </c>
      <c r="G25" s="331" t="s">
        <v>422</v>
      </c>
      <c r="H25" s="331" t="s">
        <v>846</v>
      </c>
      <c r="I25" s="331" t="s">
        <v>2563</v>
      </c>
      <c r="J25" s="331" t="s">
        <v>434</v>
      </c>
      <c r="K25" s="331" t="s">
        <v>81</v>
      </c>
      <c r="L25" s="331" t="s">
        <v>81</v>
      </c>
      <c r="M25" s="331" t="s">
        <v>78</v>
      </c>
      <c r="N25" s="331" t="s">
        <v>424</v>
      </c>
      <c r="O25" s="333">
        <v>10107541</v>
      </c>
      <c r="P25" s="332">
        <v>43774</v>
      </c>
      <c r="Q25" s="332">
        <v>43776</v>
      </c>
      <c r="R25" s="332">
        <v>43809</v>
      </c>
      <c r="S25" s="331" t="s">
        <v>3688</v>
      </c>
      <c r="T25" s="331" t="s">
        <v>426</v>
      </c>
      <c r="U25" s="331">
        <v>4</v>
      </c>
      <c r="V25" s="331">
        <v>4</v>
      </c>
      <c r="W25" s="331">
        <v>4</v>
      </c>
      <c r="X25" s="331">
        <v>4</v>
      </c>
      <c r="Y25" s="331">
        <v>4</v>
      </c>
      <c r="Z25" s="331" t="s">
        <v>170</v>
      </c>
      <c r="AA25" s="331" t="s">
        <v>173</v>
      </c>
      <c r="AB25" s="331">
        <v>4</v>
      </c>
      <c r="AC25" s="331" t="s">
        <v>427</v>
      </c>
      <c r="AD25" s="331" t="s">
        <v>172</v>
      </c>
      <c r="AE25" s="331" t="s">
        <v>479</v>
      </c>
      <c r="AF25" s="331" t="s">
        <v>479</v>
      </c>
      <c r="AG25" s="331" t="s">
        <v>479</v>
      </c>
      <c r="AH25" s="331" t="s">
        <v>479</v>
      </c>
      <c r="AI25" s="331" t="s">
        <v>190</v>
      </c>
      <c r="AJ25" s="331" t="s">
        <v>190</v>
      </c>
      <c r="AK25" s="331" t="s">
        <v>190</v>
      </c>
      <c r="AL25" s="331" t="s">
        <v>479</v>
      </c>
      <c r="AM25" s="331" t="s">
        <v>191</v>
      </c>
      <c r="AN25" s="331" t="s">
        <v>191</v>
      </c>
      <c r="AO25" s="331" t="s">
        <v>191</v>
      </c>
      <c r="AP25" s="331" t="s">
        <v>191</v>
      </c>
      <c r="AQ25" s="331" t="s">
        <v>190</v>
      </c>
      <c r="AR25" s="331" t="s">
        <v>191</v>
      </c>
      <c r="AS25" s="331" t="s">
        <v>191</v>
      </c>
      <c r="AT25" s="331" t="s">
        <v>190</v>
      </c>
      <c r="AU25" s="331" t="s">
        <v>428</v>
      </c>
      <c r="AV25" s="331" t="s">
        <v>191</v>
      </c>
      <c r="AW25" s="331" t="s">
        <v>191</v>
      </c>
      <c r="AX25" s="331" t="s">
        <v>191</v>
      </c>
      <c r="AY25" s="331" t="s">
        <v>191</v>
      </c>
      <c r="AZ25" s="331" t="s">
        <v>191</v>
      </c>
      <c r="BA25" s="331" t="s">
        <v>191</v>
      </c>
      <c r="BB25" s="331" t="s">
        <v>191</v>
      </c>
      <c r="BC25" s="331" t="s">
        <v>428</v>
      </c>
      <c r="BD25" s="331" t="s">
        <v>191</v>
      </c>
      <c r="BE25" s="331" t="s">
        <v>191</v>
      </c>
      <c r="BF25" s="331" t="s">
        <v>191</v>
      </c>
      <c r="BG25" s="331" t="s">
        <v>191</v>
      </c>
      <c r="BH25" s="331" t="s">
        <v>191</v>
      </c>
      <c r="BI25" s="331" t="s">
        <v>191</v>
      </c>
      <c r="BJ25" s="331" t="s">
        <v>191</v>
      </c>
      <c r="BK25" s="331" t="s">
        <v>191</v>
      </c>
      <c r="BL25" s="331" t="s">
        <v>191</v>
      </c>
      <c r="BM25" s="331" t="s">
        <v>191</v>
      </c>
      <c r="BN25" s="331" t="s">
        <v>190</v>
      </c>
      <c r="BO25" s="331" t="s">
        <v>191</v>
      </c>
      <c r="BP25" s="331" t="s">
        <v>190</v>
      </c>
      <c r="BQ25" s="331" t="s">
        <v>190</v>
      </c>
      <c r="BR25" s="331" t="s">
        <v>190</v>
      </c>
      <c r="BS25" s="331" t="s">
        <v>191</v>
      </c>
      <c r="BT25" s="331" t="s">
        <v>191</v>
      </c>
      <c r="BU25" s="331" t="s">
        <v>191</v>
      </c>
      <c r="BV25" s="331" t="s">
        <v>191</v>
      </c>
      <c r="BW25" s="331" t="s">
        <v>191</v>
      </c>
      <c r="BX25" s="331" t="s">
        <v>191</v>
      </c>
      <c r="BY25" s="331" t="s">
        <v>191</v>
      </c>
      <c r="BZ25" s="331" t="s">
        <v>191</v>
      </c>
      <c r="CA25" s="331" t="s">
        <v>191</v>
      </c>
      <c r="CB25" s="331" t="s">
        <v>191</v>
      </c>
      <c r="CC25" s="331" t="s">
        <v>191</v>
      </c>
      <c r="CD25" s="331" t="s">
        <v>191</v>
      </c>
      <c r="CE25" s="331" t="s">
        <v>191</v>
      </c>
      <c r="CF25" s="331" t="s">
        <v>191</v>
      </c>
      <c r="CG25" s="331" t="s">
        <v>191</v>
      </c>
      <c r="CH25" s="331" t="s">
        <v>191</v>
      </c>
      <c r="CI25" s="331" t="s">
        <v>191</v>
      </c>
      <c r="CJ25" s="331" t="s">
        <v>191</v>
      </c>
      <c r="CK25" s="331" t="s">
        <v>428</v>
      </c>
      <c r="CL25" s="331" t="s">
        <v>428</v>
      </c>
      <c r="CM25" s="331" t="s">
        <v>428</v>
      </c>
      <c r="CN25" s="331" t="s">
        <v>191</v>
      </c>
      <c r="CO25" s="331" t="s">
        <v>191</v>
      </c>
      <c r="CP25" s="331" t="s">
        <v>191</v>
      </c>
      <c r="CQ25" s="331" t="s">
        <v>191</v>
      </c>
      <c r="CR25" s="331" t="s">
        <v>190</v>
      </c>
      <c r="CS25" s="331" t="s">
        <v>191</v>
      </c>
      <c r="CT25" s="331" t="s">
        <v>191</v>
      </c>
      <c r="CU25" s="331" t="s">
        <v>190</v>
      </c>
      <c r="CV25" s="331" t="s">
        <v>190</v>
      </c>
      <c r="CW25" s="331" t="s">
        <v>190</v>
      </c>
      <c r="CX25" s="331" t="s">
        <v>190</v>
      </c>
      <c r="CY25" s="331" t="s">
        <v>190</v>
      </c>
      <c r="CZ25" s="331" t="s">
        <v>190</v>
      </c>
      <c r="DA25" s="331" t="s">
        <v>190</v>
      </c>
      <c r="DB25" s="331" t="s">
        <v>190</v>
      </c>
      <c r="DC25" s="331" t="s">
        <v>190</v>
      </c>
      <c r="DD25" s="331" t="s">
        <v>190</v>
      </c>
      <c r="DE25" s="331" t="s">
        <v>190</v>
      </c>
      <c r="DF25" s="331" t="s">
        <v>190</v>
      </c>
      <c r="DG25" s="331" t="s">
        <v>190</v>
      </c>
      <c r="DH25" s="331" t="s">
        <v>190</v>
      </c>
      <c r="DI25" s="331" t="s">
        <v>190</v>
      </c>
      <c r="DJ25" s="331" t="s">
        <v>190</v>
      </c>
      <c r="DK25" s="331" t="s">
        <v>428</v>
      </c>
      <c r="DL25" s="331" t="s">
        <v>190</v>
      </c>
      <c r="DM25" s="331" t="s">
        <v>191</v>
      </c>
      <c r="DN25" s="331" t="s">
        <v>191</v>
      </c>
      <c r="DO25" s="331" t="s">
        <v>191</v>
      </c>
      <c r="DP25" s="331" t="s">
        <v>191</v>
      </c>
      <c r="DQ25" s="331" t="s">
        <v>191</v>
      </c>
      <c r="DR25" s="331" t="s">
        <v>191</v>
      </c>
      <c r="DS25" s="331" t="s">
        <v>191</v>
      </c>
      <c r="DT25" s="331" t="s">
        <v>191</v>
      </c>
      <c r="DU25" s="331" t="s">
        <v>191</v>
      </c>
      <c r="DV25" s="331" t="s">
        <v>191</v>
      </c>
      <c r="DW25" s="331" t="s">
        <v>191</v>
      </c>
      <c r="DX25" s="331" t="s">
        <v>191</v>
      </c>
      <c r="DY25" s="331" t="s">
        <v>191</v>
      </c>
      <c r="DZ25" s="331" t="s">
        <v>428</v>
      </c>
      <c r="EA25" s="331" t="s">
        <v>191</v>
      </c>
      <c r="EB25" s="331" t="s">
        <v>190</v>
      </c>
      <c r="EC25" s="331" t="s">
        <v>190</v>
      </c>
      <c r="ED25" s="331" t="s">
        <v>190</v>
      </c>
      <c r="EE25" s="331" t="s">
        <v>190</v>
      </c>
      <c r="EF25" s="331" t="s">
        <v>190</v>
      </c>
      <c r="EG25" s="331" t="s">
        <v>190</v>
      </c>
      <c r="EH25" s="331" t="s">
        <v>190</v>
      </c>
      <c r="EI25" s="331" t="s">
        <v>190</v>
      </c>
      <c r="EJ25" s="331" t="s">
        <v>190</v>
      </c>
      <c r="EK25" s="331" t="s">
        <v>190</v>
      </c>
      <c r="EL25" s="331" t="s">
        <v>190</v>
      </c>
      <c r="EM25" s="331" t="s">
        <v>191</v>
      </c>
      <c r="EN25" s="331" t="s">
        <v>191</v>
      </c>
      <c r="EO25" s="331" t="s">
        <v>191</v>
      </c>
      <c r="EP25" s="331" t="s">
        <v>191</v>
      </c>
      <c r="EQ25" s="331" t="s">
        <v>191</v>
      </c>
      <c r="ER25" s="331" t="s">
        <v>191</v>
      </c>
      <c r="ES25" s="331" t="s">
        <v>191</v>
      </c>
      <c r="ET25" s="331" t="s">
        <v>191</v>
      </c>
      <c r="EU25" s="331" t="s">
        <v>191</v>
      </c>
      <c r="EV25" s="331" t="s">
        <v>191</v>
      </c>
      <c r="EW25" s="331" t="s">
        <v>191</v>
      </c>
      <c r="EX25" s="331" t="s">
        <v>428</v>
      </c>
      <c r="EY25" s="331" t="s">
        <v>190</v>
      </c>
      <c r="EZ25" s="331" t="s">
        <v>190</v>
      </c>
      <c r="FA25" s="331" t="s">
        <v>190</v>
      </c>
      <c r="FB25" s="331" t="s">
        <v>190</v>
      </c>
      <c r="FC25" s="331" t="s">
        <v>190</v>
      </c>
      <c r="FD25" s="331" t="s">
        <v>190</v>
      </c>
      <c r="FE25" s="331" t="s">
        <v>190</v>
      </c>
      <c r="FF25" s="331" t="s">
        <v>190</v>
      </c>
      <c r="FG25" s="331" t="s">
        <v>190</v>
      </c>
      <c r="FH25" s="331" t="s">
        <v>190</v>
      </c>
      <c r="FI25" s="331" t="s">
        <v>190</v>
      </c>
      <c r="FJ25" s="331" t="s">
        <v>190</v>
      </c>
      <c r="FK25" s="331" t="s">
        <v>190</v>
      </c>
      <c r="FL25" s="331" t="s">
        <v>190</v>
      </c>
      <c r="FM25" s="331" t="s">
        <v>190</v>
      </c>
      <c r="FN25" s="331" t="s">
        <v>190</v>
      </c>
      <c r="FO25" s="331" t="s">
        <v>190</v>
      </c>
      <c r="FP25" s="331" t="s">
        <v>190</v>
      </c>
      <c r="FQ25" s="331" t="s">
        <v>190</v>
      </c>
      <c r="FR25" s="331" t="s">
        <v>190</v>
      </c>
      <c r="FS25" s="331" t="s">
        <v>190</v>
      </c>
      <c r="FT25" s="331" t="s">
        <v>190</v>
      </c>
      <c r="FU25" s="331" t="s">
        <v>190</v>
      </c>
      <c r="FV25" s="331" t="s">
        <v>190</v>
      </c>
      <c r="FW25" s="331" t="s">
        <v>190</v>
      </c>
      <c r="FX25" s="331" t="s">
        <v>190</v>
      </c>
      <c r="FY25" s="331" t="s">
        <v>190</v>
      </c>
      <c r="FZ25" s="331" t="s">
        <v>190</v>
      </c>
      <c r="GA25" s="331" t="s">
        <v>190</v>
      </c>
      <c r="GB25" s="331" t="s">
        <v>190</v>
      </c>
      <c r="GC25" s="331" t="s">
        <v>190</v>
      </c>
      <c r="GD25" s="331" t="s">
        <v>190</v>
      </c>
      <c r="GE25" s="331" t="s">
        <v>190</v>
      </c>
      <c r="GF25" s="331" t="s">
        <v>190</v>
      </c>
      <c r="GG25" s="331" t="s">
        <v>190</v>
      </c>
      <c r="GH25" s="331" t="s">
        <v>428</v>
      </c>
      <c r="GI25" s="331" t="s">
        <v>190</v>
      </c>
      <c r="GJ25" s="331" t="s">
        <v>190</v>
      </c>
      <c r="GK25" s="331" t="s">
        <v>190</v>
      </c>
      <c r="GL25" s="331" t="s">
        <v>190</v>
      </c>
      <c r="GM25" s="331" t="s">
        <v>190</v>
      </c>
      <c r="GN25" s="331" t="s">
        <v>190</v>
      </c>
      <c r="GO25" s="331" t="s">
        <v>190</v>
      </c>
      <c r="GP25" s="331" t="s">
        <v>190</v>
      </c>
      <c r="GQ25" s="331" t="s">
        <v>190</v>
      </c>
      <c r="GR25" s="331" t="s">
        <v>190</v>
      </c>
      <c r="GS25" s="331" t="s">
        <v>190</v>
      </c>
      <c r="GT25" s="331" t="s">
        <v>191</v>
      </c>
      <c r="GU25" s="331" t="s">
        <v>191</v>
      </c>
      <c r="GV25" s="331" t="s">
        <v>190</v>
      </c>
      <c r="GW25" s="331" t="s">
        <v>190</v>
      </c>
      <c r="GX25" s="331" t="s">
        <v>190</v>
      </c>
      <c r="GY25" s="331" t="s">
        <v>190</v>
      </c>
      <c r="GZ25" s="331" t="s">
        <v>190</v>
      </c>
      <c r="HA25" s="331" t="s">
        <v>190</v>
      </c>
      <c r="HB25" s="331" t="s">
        <v>190</v>
      </c>
      <c r="HC25" s="331" t="s">
        <v>190</v>
      </c>
      <c r="HD25" s="331" t="s">
        <v>190</v>
      </c>
      <c r="HE25" s="331" t="s">
        <v>190</v>
      </c>
      <c r="HF25" s="331" t="s">
        <v>190</v>
      </c>
      <c r="HG25" s="331" t="s">
        <v>190</v>
      </c>
      <c r="HH25" s="331" t="s">
        <v>190</v>
      </c>
      <c r="HI25" s="331" t="s">
        <v>190</v>
      </c>
      <c r="HJ25" s="331" t="s">
        <v>190</v>
      </c>
      <c r="HK25" s="331" t="s">
        <v>190</v>
      </c>
      <c r="HL25" s="331" t="s">
        <v>190</v>
      </c>
      <c r="HM25" s="331" t="s">
        <v>190</v>
      </c>
      <c r="HN25" s="331" t="s">
        <v>190</v>
      </c>
      <c r="HO25" s="331" t="s">
        <v>190</v>
      </c>
      <c r="HP25" s="331" t="s">
        <v>190</v>
      </c>
      <c r="HQ25" s="331" t="s">
        <v>190</v>
      </c>
      <c r="HR25" s="331" t="s">
        <v>190</v>
      </c>
      <c r="HS25" s="331" t="s">
        <v>190</v>
      </c>
      <c r="HT25" s="331" t="s">
        <v>190</v>
      </c>
      <c r="HU25" s="331" t="s">
        <v>190</v>
      </c>
      <c r="HV25" s="331" t="s">
        <v>190</v>
      </c>
      <c r="HW25" s="331" t="s">
        <v>190</v>
      </c>
      <c r="HX25" s="331" t="s">
        <v>190</v>
      </c>
      <c r="HY25" s="331" t="s">
        <v>190</v>
      </c>
      <c r="HZ25" s="331" t="s">
        <v>190</v>
      </c>
      <c r="IA25" s="331" t="s">
        <v>190</v>
      </c>
      <c r="IB25" s="331" t="s">
        <v>190</v>
      </c>
      <c r="IC25" s="331" t="s">
        <v>191</v>
      </c>
      <c r="ID25" s="331" t="s">
        <v>191</v>
      </c>
      <c r="IE25" s="331" t="s">
        <v>191</v>
      </c>
      <c r="IF25" s="331" t="s">
        <v>191</v>
      </c>
      <c r="IG25" s="331" t="s">
        <v>170</v>
      </c>
      <c r="IH25" s="331" t="s">
        <v>429</v>
      </c>
      <c r="II25" s="331" t="s">
        <v>170</v>
      </c>
      <c r="IJ25" s="331" t="s">
        <v>427</v>
      </c>
      <c r="IK25" s="331" t="s">
        <v>428</v>
      </c>
      <c r="IL25" s="331" t="s">
        <v>428</v>
      </c>
    </row>
    <row r="26" spans="1:246" x14ac:dyDescent="0.25">
      <c r="A26" s="334" t="str">
        <f>HYPERLINK("http://www.ofsted.gov.uk/inspection-reports/find-inspection-report/provider/ELS/116564 ","Ofsted School Webpage")</f>
        <v>Ofsted School Webpage</v>
      </c>
      <c r="B26" s="331">
        <v>116564</v>
      </c>
      <c r="C26" s="331">
        <v>8506030</v>
      </c>
      <c r="D26" s="331" t="s">
        <v>1457</v>
      </c>
      <c r="E26" s="331" t="s">
        <v>168</v>
      </c>
      <c r="F26" s="331" t="s">
        <v>514</v>
      </c>
      <c r="G26" s="331" t="s">
        <v>514</v>
      </c>
      <c r="H26" s="331" t="s">
        <v>515</v>
      </c>
      <c r="I26" s="331" t="s">
        <v>1458</v>
      </c>
      <c r="J26" s="331" t="s">
        <v>81</v>
      </c>
      <c r="K26" s="331" t="s">
        <v>81</v>
      </c>
      <c r="L26" s="331" t="s">
        <v>81</v>
      </c>
      <c r="M26" s="331" t="s">
        <v>78</v>
      </c>
      <c r="N26" s="331" t="s">
        <v>424</v>
      </c>
      <c r="O26" s="333">
        <v>10121148</v>
      </c>
      <c r="P26" s="332">
        <v>43774</v>
      </c>
      <c r="Q26" s="332">
        <v>43776</v>
      </c>
      <c r="R26" s="332">
        <v>43811</v>
      </c>
      <c r="S26" s="331" t="s">
        <v>425</v>
      </c>
      <c r="T26" s="331" t="s">
        <v>426</v>
      </c>
      <c r="U26" s="331">
        <v>2</v>
      </c>
      <c r="V26" s="331">
        <v>2</v>
      </c>
      <c r="W26" s="331">
        <v>2</v>
      </c>
      <c r="X26" s="331">
        <v>2</v>
      </c>
      <c r="Y26" s="331">
        <v>2</v>
      </c>
      <c r="Z26" s="331" t="s">
        <v>169</v>
      </c>
      <c r="AA26" s="331" t="s">
        <v>173</v>
      </c>
      <c r="AB26" s="331">
        <v>2</v>
      </c>
      <c r="AC26" s="331" t="s">
        <v>427</v>
      </c>
      <c r="AD26" s="331" t="s">
        <v>171</v>
      </c>
      <c r="AE26" s="331" t="s">
        <v>190</v>
      </c>
      <c r="AF26" s="331" t="s">
        <v>190</v>
      </c>
      <c r="AG26" s="331" t="s">
        <v>190</v>
      </c>
      <c r="AH26" s="331" t="s">
        <v>190</v>
      </c>
      <c r="AI26" s="331" t="s">
        <v>190</v>
      </c>
      <c r="AJ26" s="331" t="s">
        <v>190</v>
      </c>
      <c r="AK26" s="331" t="s">
        <v>190</v>
      </c>
      <c r="AL26" s="331" t="s">
        <v>190</v>
      </c>
      <c r="AM26" s="331" t="s">
        <v>190</v>
      </c>
      <c r="AN26" s="331" t="s">
        <v>190</v>
      </c>
      <c r="AO26" s="331" t="s">
        <v>190</v>
      </c>
      <c r="AP26" s="331" t="s">
        <v>190</v>
      </c>
      <c r="AQ26" s="331" t="s">
        <v>190</v>
      </c>
      <c r="AR26" s="331" t="s">
        <v>190</v>
      </c>
      <c r="AS26" s="331" t="s">
        <v>190</v>
      </c>
      <c r="AT26" s="331" t="s">
        <v>190</v>
      </c>
      <c r="AU26" s="331" t="s">
        <v>190</v>
      </c>
      <c r="AV26" s="331" t="s">
        <v>190</v>
      </c>
      <c r="AW26" s="331" t="s">
        <v>190</v>
      </c>
      <c r="AX26" s="331" t="s">
        <v>190</v>
      </c>
      <c r="AY26" s="331" t="s">
        <v>190</v>
      </c>
      <c r="AZ26" s="331" t="s">
        <v>190</v>
      </c>
      <c r="BA26" s="331" t="s">
        <v>190</v>
      </c>
      <c r="BB26" s="331" t="s">
        <v>190</v>
      </c>
      <c r="BC26" s="331" t="s">
        <v>190</v>
      </c>
      <c r="BD26" s="331" t="s">
        <v>190</v>
      </c>
      <c r="BE26" s="331" t="s">
        <v>190</v>
      </c>
      <c r="BF26" s="331" t="s">
        <v>190</v>
      </c>
      <c r="BG26" s="331" t="s">
        <v>190</v>
      </c>
      <c r="BH26" s="331" t="s">
        <v>190</v>
      </c>
      <c r="BI26" s="331" t="s">
        <v>190</v>
      </c>
      <c r="BJ26" s="331" t="s">
        <v>190</v>
      </c>
      <c r="BK26" s="331" t="s">
        <v>190</v>
      </c>
      <c r="BL26" s="331" t="s">
        <v>190</v>
      </c>
      <c r="BM26" s="331" t="s">
        <v>190</v>
      </c>
      <c r="BN26" s="331" t="s">
        <v>190</v>
      </c>
      <c r="BO26" s="331" t="s">
        <v>190</v>
      </c>
      <c r="BP26" s="331" t="s">
        <v>190</v>
      </c>
      <c r="BQ26" s="331" t="s">
        <v>190</v>
      </c>
      <c r="BR26" s="331" t="s">
        <v>190</v>
      </c>
      <c r="BS26" s="331" t="s">
        <v>190</v>
      </c>
      <c r="BT26" s="331" t="s">
        <v>190</v>
      </c>
      <c r="BU26" s="331" t="s">
        <v>190</v>
      </c>
      <c r="BV26" s="331" t="s">
        <v>190</v>
      </c>
      <c r="BW26" s="331" t="s">
        <v>190</v>
      </c>
      <c r="BX26" s="331" t="s">
        <v>190</v>
      </c>
      <c r="BY26" s="331" t="s">
        <v>190</v>
      </c>
      <c r="BZ26" s="331" t="s">
        <v>190</v>
      </c>
      <c r="CA26" s="331" t="s">
        <v>190</v>
      </c>
      <c r="CB26" s="331" t="s">
        <v>190</v>
      </c>
      <c r="CC26" s="331" t="s">
        <v>190</v>
      </c>
      <c r="CD26" s="331" t="s">
        <v>190</v>
      </c>
      <c r="CE26" s="331" t="s">
        <v>190</v>
      </c>
      <c r="CF26" s="331" t="s">
        <v>190</v>
      </c>
      <c r="CG26" s="331" t="s">
        <v>190</v>
      </c>
      <c r="CH26" s="331" t="s">
        <v>190</v>
      </c>
      <c r="CI26" s="331" t="s">
        <v>190</v>
      </c>
      <c r="CJ26" s="331" t="s">
        <v>190</v>
      </c>
      <c r="CK26" s="331" t="s">
        <v>190</v>
      </c>
      <c r="CL26" s="331" t="s">
        <v>190</v>
      </c>
      <c r="CM26" s="331" t="s">
        <v>190</v>
      </c>
      <c r="CN26" s="331" t="s">
        <v>190</v>
      </c>
      <c r="CO26" s="331" t="s">
        <v>190</v>
      </c>
      <c r="CP26" s="331" t="s">
        <v>190</v>
      </c>
      <c r="CQ26" s="331" t="s">
        <v>190</v>
      </c>
      <c r="CR26" s="331" t="s">
        <v>190</v>
      </c>
      <c r="CS26" s="331" t="s">
        <v>190</v>
      </c>
      <c r="CT26" s="331" t="s">
        <v>190</v>
      </c>
      <c r="CU26" s="331" t="s">
        <v>190</v>
      </c>
      <c r="CV26" s="331" t="s">
        <v>190</v>
      </c>
      <c r="CW26" s="331" t="s">
        <v>190</v>
      </c>
      <c r="CX26" s="331" t="s">
        <v>190</v>
      </c>
      <c r="CY26" s="331" t="s">
        <v>190</v>
      </c>
      <c r="CZ26" s="331" t="s">
        <v>190</v>
      </c>
      <c r="DA26" s="331" t="s">
        <v>190</v>
      </c>
      <c r="DB26" s="331" t="s">
        <v>190</v>
      </c>
      <c r="DC26" s="331" t="s">
        <v>190</v>
      </c>
      <c r="DD26" s="331" t="s">
        <v>190</v>
      </c>
      <c r="DE26" s="331" t="s">
        <v>190</v>
      </c>
      <c r="DF26" s="331" t="s">
        <v>190</v>
      </c>
      <c r="DG26" s="331" t="s">
        <v>190</v>
      </c>
      <c r="DH26" s="331" t="s">
        <v>190</v>
      </c>
      <c r="DI26" s="331" t="s">
        <v>190</v>
      </c>
      <c r="DJ26" s="331" t="s">
        <v>190</v>
      </c>
      <c r="DK26" s="331" t="s">
        <v>428</v>
      </c>
      <c r="DL26" s="331" t="s">
        <v>190</v>
      </c>
      <c r="DM26" s="331" t="s">
        <v>428</v>
      </c>
      <c r="DN26" s="331" t="s">
        <v>190</v>
      </c>
      <c r="DO26" s="331" t="s">
        <v>190</v>
      </c>
      <c r="DP26" s="331" t="s">
        <v>190</v>
      </c>
      <c r="DQ26" s="331" t="s">
        <v>190</v>
      </c>
      <c r="DR26" s="331" t="s">
        <v>190</v>
      </c>
      <c r="DS26" s="331" t="s">
        <v>190</v>
      </c>
      <c r="DT26" s="331" t="s">
        <v>190</v>
      </c>
      <c r="DU26" s="331" t="s">
        <v>190</v>
      </c>
      <c r="DV26" s="331" t="s">
        <v>190</v>
      </c>
      <c r="DW26" s="331" t="s">
        <v>190</v>
      </c>
      <c r="DX26" s="331" t="s">
        <v>190</v>
      </c>
      <c r="DY26" s="331" t="s">
        <v>190</v>
      </c>
      <c r="DZ26" s="331" t="s">
        <v>190</v>
      </c>
      <c r="EA26" s="331" t="s">
        <v>190</v>
      </c>
      <c r="EB26" s="331" t="s">
        <v>190</v>
      </c>
      <c r="EC26" s="331" t="s">
        <v>190</v>
      </c>
      <c r="ED26" s="331" t="s">
        <v>190</v>
      </c>
      <c r="EE26" s="331" t="s">
        <v>190</v>
      </c>
      <c r="EF26" s="331" t="s">
        <v>190</v>
      </c>
      <c r="EG26" s="331" t="s">
        <v>190</v>
      </c>
      <c r="EH26" s="331" t="s">
        <v>190</v>
      </c>
      <c r="EI26" s="331" t="s">
        <v>190</v>
      </c>
      <c r="EJ26" s="331" t="s">
        <v>190</v>
      </c>
      <c r="EK26" s="331" t="s">
        <v>190</v>
      </c>
      <c r="EL26" s="331" t="s">
        <v>190</v>
      </c>
      <c r="EM26" s="331" t="s">
        <v>190</v>
      </c>
      <c r="EN26" s="331" t="s">
        <v>190</v>
      </c>
      <c r="EO26" s="331" t="s">
        <v>190</v>
      </c>
      <c r="EP26" s="331" t="s">
        <v>190</v>
      </c>
      <c r="EQ26" s="331" t="s">
        <v>190</v>
      </c>
      <c r="ER26" s="331" t="s">
        <v>190</v>
      </c>
      <c r="ES26" s="331" t="s">
        <v>190</v>
      </c>
      <c r="ET26" s="331" t="s">
        <v>190</v>
      </c>
      <c r="EU26" s="331" t="s">
        <v>190</v>
      </c>
      <c r="EV26" s="331" t="s">
        <v>190</v>
      </c>
      <c r="EW26" s="331" t="s">
        <v>190</v>
      </c>
      <c r="EX26" s="331" t="s">
        <v>190</v>
      </c>
      <c r="EY26" s="331" t="s">
        <v>190</v>
      </c>
      <c r="EZ26" s="331" t="s">
        <v>190</v>
      </c>
      <c r="FA26" s="331" t="s">
        <v>190</v>
      </c>
      <c r="FB26" s="331" t="s">
        <v>190</v>
      </c>
      <c r="FC26" s="331" t="s">
        <v>190</v>
      </c>
      <c r="FD26" s="331" t="s">
        <v>190</v>
      </c>
      <c r="FE26" s="331" t="s">
        <v>190</v>
      </c>
      <c r="FF26" s="331" t="s">
        <v>190</v>
      </c>
      <c r="FG26" s="331" t="s">
        <v>190</v>
      </c>
      <c r="FH26" s="331" t="s">
        <v>190</v>
      </c>
      <c r="FI26" s="331" t="s">
        <v>190</v>
      </c>
      <c r="FJ26" s="331" t="s">
        <v>190</v>
      </c>
      <c r="FK26" s="331" t="s">
        <v>190</v>
      </c>
      <c r="FL26" s="331" t="s">
        <v>190</v>
      </c>
      <c r="FM26" s="331" t="s">
        <v>190</v>
      </c>
      <c r="FN26" s="331" t="s">
        <v>190</v>
      </c>
      <c r="FO26" s="331" t="s">
        <v>190</v>
      </c>
      <c r="FP26" s="331" t="s">
        <v>190</v>
      </c>
      <c r="FQ26" s="331" t="s">
        <v>190</v>
      </c>
      <c r="FR26" s="331" t="s">
        <v>190</v>
      </c>
      <c r="FS26" s="331" t="s">
        <v>190</v>
      </c>
      <c r="FT26" s="331" t="s">
        <v>190</v>
      </c>
      <c r="FU26" s="331" t="s">
        <v>190</v>
      </c>
      <c r="FV26" s="331" t="s">
        <v>190</v>
      </c>
      <c r="FW26" s="331" t="s">
        <v>190</v>
      </c>
      <c r="FX26" s="331" t="s">
        <v>190</v>
      </c>
      <c r="FY26" s="331" t="s">
        <v>190</v>
      </c>
      <c r="FZ26" s="331" t="s">
        <v>190</v>
      </c>
      <c r="GA26" s="331" t="s">
        <v>190</v>
      </c>
      <c r="GB26" s="331" t="s">
        <v>190</v>
      </c>
      <c r="GC26" s="331" t="s">
        <v>190</v>
      </c>
      <c r="GD26" s="331" t="s">
        <v>190</v>
      </c>
      <c r="GE26" s="331" t="s">
        <v>190</v>
      </c>
      <c r="GF26" s="331" t="s">
        <v>190</v>
      </c>
      <c r="GG26" s="331" t="s">
        <v>190</v>
      </c>
      <c r="GH26" s="331" t="s">
        <v>428</v>
      </c>
      <c r="GI26" s="331" t="s">
        <v>190</v>
      </c>
      <c r="GJ26" s="331" t="s">
        <v>190</v>
      </c>
      <c r="GK26" s="331" t="s">
        <v>190</v>
      </c>
      <c r="GL26" s="331" t="s">
        <v>190</v>
      </c>
      <c r="GM26" s="331" t="s">
        <v>190</v>
      </c>
      <c r="GN26" s="331" t="s">
        <v>190</v>
      </c>
      <c r="GO26" s="331" t="s">
        <v>190</v>
      </c>
      <c r="GP26" s="331" t="s">
        <v>190</v>
      </c>
      <c r="GQ26" s="331" t="s">
        <v>190</v>
      </c>
      <c r="GR26" s="331" t="s">
        <v>190</v>
      </c>
      <c r="GS26" s="331" t="s">
        <v>190</v>
      </c>
      <c r="GT26" s="331" t="s">
        <v>190</v>
      </c>
      <c r="GU26" s="331" t="s">
        <v>190</v>
      </c>
      <c r="GV26" s="331" t="s">
        <v>190</v>
      </c>
      <c r="GW26" s="331" t="s">
        <v>190</v>
      </c>
      <c r="GX26" s="331" t="s">
        <v>190</v>
      </c>
      <c r="GY26" s="331" t="s">
        <v>190</v>
      </c>
      <c r="GZ26" s="331" t="s">
        <v>190</v>
      </c>
      <c r="HA26" s="331" t="s">
        <v>190</v>
      </c>
      <c r="HB26" s="331" t="s">
        <v>190</v>
      </c>
      <c r="HC26" s="331" t="s">
        <v>190</v>
      </c>
      <c r="HD26" s="331" t="s">
        <v>190</v>
      </c>
      <c r="HE26" s="331" t="s">
        <v>190</v>
      </c>
      <c r="HF26" s="331" t="s">
        <v>190</v>
      </c>
      <c r="HG26" s="331" t="s">
        <v>190</v>
      </c>
      <c r="HH26" s="331" t="s">
        <v>190</v>
      </c>
      <c r="HI26" s="331" t="s">
        <v>428</v>
      </c>
      <c r="HJ26" s="331" t="s">
        <v>428</v>
      </c>
      <c r="HK26" s="331" t="s">
        <v>428</v>
      </c>
      <c r="HL26" s="331" t="s">
        <v>428</v>
      </c>
      <c r="HM26" s="331" t="s">
        <v>190</v>
      </c>
      <c r="HN26" s="331" t="s">
        <v>190</v>
      </c>
      <c r="HO26" s="331" t="s">
        <v>190</v>
      </c>
      <c r="HP26" s="331" t="s">
        <v>190</v>
      </c>
      <c r="HQ26" s="331" t="s">
        <v>190</v>
      </c>
      <c r="HR26" s="331" t="s">
        <v>190</v>
      </c>
      <c r="HS26" s="331" t="s">
        <v>190</v>
      </c>
      <c r="HT26" s="331" t="s">
        <v>190</v>
      </c>
      <c r="HU26" s="331" t="s">
        <v>190</v>
      </c>
      <c r="HV26" s="331" t="s">
        <v>190</v>
      </c>
      <c r="HW26" s="331" t="s">
        <v>190</v>
      </c>
      <c r="HX26" s="331" t="s">
        <v>190</v>
      </c>
      <c r="HY26" s="331" t="s">
        <v>190</v>
      </c>
      <c r="HZ26" s="331" t="s">
        <v>190</v>
      </c>
      <c r="IA26" s="331" t="s">
        <v>190</v>
      </c>
      <c r="IB26" s="331" t="s">
        <v>190</v>
      </c>
      <c r="IC26" s="331" t="s">
        <v>190</v>
      </c>
      <c r="ID26" s="331" t="s">
        <v>190</v>
      </c>
      <c r="IE26" s="331" t="s">
        <v>190</v>
      </c>
      <c r="IF26" s="331" t="s">
        <v>190</v>
      </c>
      <c r="IG26" s="331" t="s">
        <v>169</v>
      </c>
      <c r="IH26" s="331" t="s">
        <v>169</v>
      </c>
      <c r="II26" s="331" t="s">
        <v>169</v>
      </c>
      <c r="IJ26" s="331" t="s">
        <v>427</v>
      </c>
      <c r="IK26" s="331" t="s">
        <v>428</v>
      </c>
      <c r="IL26" s="331" t="s">
        <v>428</v>
      </c>
    </row>
    <row r="27" spans="1:246" x14ac:dyDescent="0.25">
      <c r="A27" s="330" t="str">
        <f>HYPERLINK("http://www.ofsted.gov.uk/inspection-reports/find-inspection-report/provider/ELS/134594 ","Ofsted School Webpage")</f>
        <v>Ofsted School Webpage</v>
      </c>
      <c r="B27" s="331">
        <v>134594</v>
      </c>
      <c r="C27" s="331">
        <v>3156081</v>
      </c>
      <c r="D27" s="331" t="s">
        <v>1835</v>
      </c>
      <c r="E27" s="331" t="s">
        <v>168</v>
      </c>
      <c r="F27" s="331" t="s">
        <v>441</v>
      </c>
      <c r="G27" s="331" t="s">
        <v>441</v>
      </c>
      <c r="H27" s="331" t="s">
        <v>1193</v>
      </c>
      <c r="I27" s="331" t="s">
        <v>1836</v>
      </c>
      <c r="J27" s="331" t="s">
        <v>81</v>
      </c>
      <c r="K27" s="331" t="s">
        <v>81</v>
      </c>
      <c r="L27" s="331" t="s">
        <v>81</v>
      </c>
      <c r="M27" s="331" t="s">
        <v>78</v>
      </c>
      <c r="N27" s="331" t="s">
        <v>424</v>
      </c>
      <c r="O27" s="333">
        <v>10119990</v>
      </c>
      <c r="P27" s="332">
        <v>43775</v>
      </c>
      <c r="Q27" s="332">
        <v>43777</v>
      </c>
      <c r="R27" s="332">
        <v>43802</v>
      </c>
      <c r="S27" s="331" t="s">
        <v>425</v>
      </c>
      <c r="T27" s="331" t="s">
        <v>426</v>
      </c>
      <c r="U27" s="331">
        <v>2</v>
      </c>
      <c r="V27" s="331">
        <v>2</v>
      </c>
      <c r="W27" s="331">
        <v>2</v>
      </c>
      <c r="X27" s="331">
        <v>2</v>
      </c>
      <c r="Y27" s="331">
        <v>2</v>
      </c>
      <c r="Z27" s="331" t="s">
        <v>169</v>
      </c>
      <c r="AA27" s="331">
        <v>0</v>
      </c>
      <c r="AB27" s="331">
        <v>0</v>
      </c>
      <c r="AC27" s="331" t="s">
        <v>427</v>
      </c>
      <c r="AD27" s="331" t="s">
        <v>171</v>
      </c>
      <c r="AE27" s="331" t="s">
        <v>190</v>
      </c>
      <c r="AF27" s="331" t="s">
        <v>190</v>
      </c>
      <c r="AG27" s="331" t="s">
        <v>190</v>
      </c>
      <c r="AH27" s="331" t="s">
        <v>190</v>
      </c>
      <c r="AI27" s="331" t="s">
        <v>190</v>
      </c>
      <c r="AJ27" s="331" t="s">
        <v>190</v>
      </c>
      <c r="AK27" s="331" t="s">
        <v>190</v>
      </c>
      <c r="AL27" s="331" t="s">
        <v>190</v>
      </c>
      <c r="AM27" s="331" t="s">
        <v>190</v>
      </c>
      <c r="AN27" s="331" t="s">
        <v>190</v>
      </c>
      <c r="AO27" s="331" t="s">
        <v>190</v>
      </c>
      <c r="AP27" s="331" t="s">
        <v>190</v>
      </c>
      <c r="AQ27" s="331" t="s">
        <v>190</v>
      </c>
      <c r="AR27" s="331" t="s">
        <v>190</v>
      </c>
      <c r="AS27" s="331" t="s">
        <v>190</v>
      </c>
      <c r="AT27" s="331" t="s">
        <v>190</v>
      </c>
      <c r="AU27" s="331" t="s">
        <v>428</v>
      </c>
      <c r="AV27" s="331" t="s">
        <v>190</v>
      </c>
      <c r="AW27" s="331" t="s">
        <v>190</v>
      </c>
      <c r="AX27" s="331" t="s">
        <v>190</v>
      </c>
      <c r="AY27" s="331" t="s">
        <v>428</v>
      </c>
      <c r="AZ27" s="331" t="s">
        <v>428</v>
      </c>
      <c r="BA27" s="331" t="s">
        <v>428</v>
      </c>
      <c r="BB27" s="331" t="s">
        <v>428</v>
      </c>
      <c r="BC27" s="331" t="s">
        <v>428</v>
      </c>
      <c r="BD27" s="331" t="s">
        <v>428</v>
      </c>
      <c r="BE27" s="331" t="s">
        <v>190</v>
      </c>
      <c r="BF27" s="331" t="s">
        <v>190</v>
      </c>
      <c r="BG27" s="331" t="s">
        <v>190</v>
      </c>
      <c r="BH27" s="331" t="s">
        <v>190</v>
      </c>
      <c r="BI27" s="331" t="s">
        <v>190</v>
      </c>
      <c r="BJ27" s="331" t="s">
        <v>190</v>
      </c>
      <c r="BK27" s="331" t="s">
        <v>190</v>
      </c>
      <c r="BL27" s="331" t="s">
        <v>190</v>
      </c>
      <c r="BM27" s="331" t="s">
        <v>190</v>
      </c>
      <c r="BN27" s="331" t="s">
        <v>190</v>
      </c>
      <c r="BO27" s="331" t="s">
        <v>190</v>
      </c>
      <c r="BP27" s="331" t="s">
        <v>190</v>
      </c>
      <c r="BQ27" s="331" t="s">
        <v>190</v>
      </c>
      <c r="BR27" s="331" t="s">
        <v>190</v>
      </c>
      <c r="BS27" s="331" t="s">
        <v>190</v>
      </c>
      <c r="BT27" s="331" t="s">
        <v>190</v>
      </c>
      <c r="BU27" s="331" t="s">
        <v>190</v>
      </c>
      <c r="BV27" s="331" t="s">
        <v>190</v>
      </c>
      <c r="BW27" s="331" t="s">
        <v>190</v>
      </c>
      <c r="BX27" s="331" t="s">
        <v>190</v>
      </c>
      <c r="BY27" s="331" t="s">
        <v>190</v>
      </c>
      <c r="BZ27" s="331" t="s">
        <v>190</v>
      </c>
      <c r="CA27" s="331" t="s">
        <v>190</v>
      </c>
      <c r="CB27" s="331" t="s">
        <v>190</v>
      </c>
      <c r="CC27" s="331" t="s">
        <v>190</v>
      </c>
      <c r="CD27" s="331" t="s">
        <v>190</v>
      </c>
      <c r="CE27" s="331" t="s">
        <v>190</v>
      </c>
      <c r="CF27" s="331" t="s">
        <v>190</v>
      </c>
      <c r="CG27" s="331" t="s">
        <v>190</v>
      </c>
      <c r="CH27" s="331" t="s">
        <v>190</v>
      </c>
      <c r="CI27" s="331" t="s">
        <v>190</v>
      </c>
      <c r="CJ27" s="331" t="s">
        <v>190</v>
      </c>
      <c r="CK27" s="331" t="s">
        <v>428</v>
      </c>
      <c r="CL27" s="331" t="s">
        <v>428</v>
      </c>
      <c r="CM27" s="331" t="s">
        <v>428</v>
      </c>
      <c r="CN27" s="331" t="s">
        <v>190</v>
      </c>
      <c r="CO27" s="331" t="s">
        <v>190</v>
      </c>
      <c r="CP27" s="331" t="s">
        <v>190</v>
      </c>
      <c r="CQ27" s="331" t="s">
        <v>190</v>
      </c>
      <c r="CR27" s="331" t="s">
        <v>190</v>
      </c>
      <c r="CS27" s="331" t="s">
        <v>190</v>
      </c>
      <c r="CT27" s="331" t="s">
        <v>190</v>
      </c>
      <c r="CU27" s="331" t="s">
        <v>190</v>
      </c>
      <c r="CV27" s="331" t="s">
        <v>190</v>
      </c>
      <c r="CW27" s="331" t="s">
        <v>190</v>
      </c>
      <c r="CX27" s="331" t="s">
        <v>190</v>
      </c>
      <c r="CY27" s="331" t="s">
        <v>190</v>
      </c>
      <c r="CZ27" s="331" t="s">
        <v>190</v>
      </c>
      <c r="DA27" s="331" t="s">
        <v>190</v>
      </c>
      <c r="DB27" s="331" t="s">
        <v>190</v>
      </c>
      <c r="DC27" s="331" t="s">
        <v>190</v>
      </c>
      <c r="DD27" s="331" t="s">
        <v>190</v>
      </c>
      <c r="DE27" s="331" t="s">
        <v>190</v>
      </c>
      <c r="DF27" s="331" t="s">
        <v>190</v>
      </c>
      <c r="DG27" s="331" t="s">
        <v>190</v>
      </c>
      <c r="DH27" s="331" t="s">
        <v>190</v>
      </c>
      <c r="DI27" s="331" t="s">
        <v>190</v>
      </c>
      <c r="DJ27" s="331" t="s">
        <v>190</v>
      </c>
      <c r="DK27" s="331" t="s">
        <v>190</v>
      </c>
      <c r="DL27" s="331" t="s">
        <v>190</v>
      </c>
      <c r="DM27" s="331" t="s">
        <v>190</v>
      </c>
      <c r="DN27" s="331" t="s">
        <v>190</v>
      </c>
      <c r="DO27" s="331" t="s">
        <v>190</v>
      </c>
      <c r="DP27" s="331" t="s">
        <v>190</v>
      </c>
      <c r="DQ27" s="331" t="s">
        <v>190</v>
      </c>
      <c r="DR27" s="331" t="s">
        <v>190</v>
      </c>
      <c r="DS27" s="331" t="s">
        <v>190</v>
      </c>
      <c r="DT27" s="331" t="s">
        <v>190</v>
      </c>
      <c r="DU27" s="331" t="s">
        <v>190</v>
      </c>
      <c r="DV27" s="331" t="s">
        <v>190</v>
      </c>
      <c r="DW27" s="331" t="s">
        <v>190</v>
      </c>
      <c r="DX27" s="331" t="s">
        <v>190</v>
      </c>
      <c r="DY27" s="331" t="s">
        <v>190</v>
      </c>
      <c r="DZ27" s="331" t="s">
        <v>428</v>
      </c>
      <c r="EA27" s="331" t="s">
        <v>190</v>
      </c>
      <c r="EB27" s="331" t="s">
        <v>190</v>
      </c>
      <c r="EC27" s="331" t="s">
        <v>190</v>
      </c>
      <c r="ED27" s="331" t="s">
        <v>190</v>
      </c>
      <c r="EE27" s="331" t="s">
        <v>190</v>
      </c>
      <c r="EF27" s="331" t="s">
        <v>190</v>
      </c>
      <c r="EG27" s="331" t="s">
        <v>190</v>
      </c>
      <c r="EH27" s="331" t="s">
        <v>190</v>
      </c>
      <c r="EI27" s="331" t="s">
        <v>190</v>
      </c>
      <c r="EJ27" s="331" t="s">
        <v>190</v>
      </c>
      <c r="EK27" s="331" t="s">
        <v>190</v>
      </c>
      <c r="EL27" s="331" t="s">
        <v>190</v>
      </c>
      <c r="EM27" s="331" t="s">
        <v>190</v>
      </c>
      <c r="EN27" s="331" t="s">
        <v>190</v>
      </c>
      <c r="EO27" s="331" t="s">
        <v>190</v>
      </c>
      <c r="EP27" s="331" t="s">
        <v>190</v>
      </c>
      <c r="EQ27" s="331" t="s">
        <v>190</v>
      </c>
      <c r="ER27" s="331" t="s">
        <v>190</v>
      </c>
      <c r="ES27" s="331" t="s">
        <v>190</v>
      </c>
      <c r="ET27" s="331" t="s">
        <v>190</v>
      </c>
      <c r="EU27" s="331" t="s">
        <v>190</v>
      </c>
      <c r="EV27" s="331" t="s">
        <v>190</v>
      </c>
      <c r="EW27" s="331" t="s">
        <v>190</v>
      </c>
      <c r="EX27" s="331" t="s">
        <v>190</v>
      </c>
      <c r="EY27" s="331" t="s">
        <v>190</v>
      </c>
      <c r="EZ27" s="331" t="s">
        <v>190</v>
      </c>
      <c r="FA27" s="331" t="s">
        <v>190</v>
      </c>
      <c r="FB27" s="331" t="s">
        <v>190</v>
      </c>
      <c r="FC27" s="331" t="s">
        <v>190</v>
      </c>
      <c r="FD27" s="331" t="s">
        <v>190</v>
      </c>
      <c r="FE27" s="331" t="s">
        <v>428</v>
      </c>
      <c r="FF27" s="331" t="s">
        <v>428</v>
      </c>
      <c r="FG27" s="331" t="s">
        <v>429</v>
      </c>
      <c r="FH27" s="331" t="s">
        <v>428</v>
      </c>
      <c r="FI27" s="331" t="s">
        <v>190</v>
      </c>
      <c r="FJ27" s="331" t="s">
        <v>190</v>
      </c>
      <c r="FK27" s="331" t="s">
        <v>190</v>
      </c>
      <c r="FL27" s="331" t="s">
        <v>190</v>
      </c>
      <c r="FM27" s="331" t="s">
        <v>190</v>
      </c>
      <c r="FN27" s="331" t="s">
        <v>190</v>
      </c>
      <c r="FO27" s="331" t="s">
        <v>190</v>
      </c>
      <c r="FP27" s="331" t="s">
        <v>190</v>
      </c>
      <c r="FQ27" s="331" t="s">
        <v>190</v>
      </c>
      <c r="FR27" s="331" t="s">
        <v>190</v>
      </c>
      <c r="FS27" s="331" t="s">
        <v>190</v>
      </c>
      <c r="FT27" s="331" t="s">
        <v>190</v>
      </c>
      <c r="FU27" s="331" t="s">
        <v>190</v>
      </c>
      <c r="FV27" s="331" t="s">
        <v>190</v>
      </c>
      <c r="FW27" s="331" t="s">
        <v>190</v>
      </c>
      <c r="FX27" s="331" t="s">
        <v>190</v>
      </c>
      <c r="FY27" s="331" t="s">
        <v>190</v>
      </c>
      <c r="FZ27" s="331" t="s">
        <v>190</v>
      </c>
      <c r="GA27" s="331" t="s">
        <v>190</v>
      </c>
      <c r="GB27" s="331" t="s">
        <v>190</v>
      </c>
      <c r="GC27" s="331" t="s">
        <v>190</v>
      </c>
      <c r="GD27" s="331" t="s">
        <v>190</v>
      </c>
      <c r="GE27" s="331" t="s">
        <v>190</v>
      </c>
      <c r="GF27" s="331" t="s">
        <v>190</v>
      </c>
      <c r="GG27" s="331" t="s">
        <v>190</v>
      </c>
      <c r="GH27" s="331" t="s">
        <v>428</v>
      </c>
      <c r="GI27" s="331" t="s">
        <v>190</v>
      </c>
      <c r="GJ27" s="331" t="s">
        <v>190</v>
      </c>
      <c r="GK27" s="331" t="s">
        <v>190</v>
      </c>
      <c r="GL27" s="331" t="s">
        <v>190</v>
      </c>
      <c r="GM27" s="331" t="s">
        <v>190</v>
      </c>
      <c r="GN27" s="331" t="s">
        <v>428</v>
      </c>
      <c r="GO27" s="331" t="s">
        <v>190</v>
      </c>
      <c r="GP27" s="331" t="s">
        <v>190</v>
      </c>
      <c r="GQ27" s="331" t="s">
        <v>190</v>
      </c>
      <c r="GR27" s="331" t="s">
        <v>190</v>
      </c>
      <c r="GS27" s="331" t="s">
        <v>190</v>
      </c>
      <c r="GT27" s="331" t="s">
        <v>190</v>
      </c>
      <c r="GU27" s="331" t="s">
        <v>190</v>
      </c>
      <c r="GV27" s="331" t="s">
        <v>190</v>
      </c>
      <c r="GW27" s="331" t="s">
        <v>190</v>
      </c>
      <c r="GX27" s="331" t="s">
        <v>428</v>
      </c>
      <c r="GY27" s="331" t="s">
        <v>190</v>
      </c>
      <c r="GZ27" s="331" t="s">
        <v>190</v>
      </c>
      <c r="HA27" s="331" t="s">
        <v>190</v>
      </c>
      <c r="HB27" s="331" t="s">
        <v>190</v>
      </c>
      <c r="HC27" s="331" t="s">
        <v>190</v>
      </c>
      <c r="HD27" s="331" t="s">
        <v>190</v>
      </c>
      <c r="HE27" s="331" t="s">
        <v>190</v>
      </c>
      <c r="HF27" s="331" t="s">
        <v>190</v>
      </c>
      <c r="HG27" s="331" t="s">
        <v>190</v>
      </c>
      <c r="HH27" s="331" t="s">
        <v>190</v>
      </c>
      <c r="HI27" s="331" t="s">
        <v>190</v>
      </c>
      <c r="HJ27" s="331" t="s">
        <v>428</v>
      </c>
      <c r="HK27" s="331" t="s">
        <v>428</v>
      </c>
      <c r="HL27" s="331" t="s">
        <v>428</v>
      </c>
      <c r="HM27" s="331" t="s">
        <v>190</v>
      </c>
      <c r="HN27" s="331" t="s">
        <v>190</v>
      </c>
      <c r="HO27" s="331" t="s">
        <v>190</v>
      </c>
      <c r="HP27" s="331" t="s">
        <v>190</v>
      </c>
      <c r="HQ27" s="331" t="s">
        <v>190</v>
      </c>
      <c r="HR27" s="331" t="s">
        <v>190</v>
      </c>
      <c r="HS27" s="331" t="s">
        <v>190</v>
      </c>
      <c r="HT27" s="331" t="s">
        <v>190</v>
      </c>
      <c r="HU27" s="331" t="s">
        <v>190</v>
      </c>
      <c r="HV27" s="331" t="s">
        <v>190</v>
      </c>
      <c r="HW27" s="331" t="s">
        <v>190</v>
      </c>
      <c r="HX27" s="331" t="s">
        <v>190</v>
      </c>
      <c r="HY27" s="331" t="s">
        <v>190</v>
      </c>
      <c r="HZ27" s="331" t="s">
        <v>190</v>
      </c>
      <c r="IA27" s="331" t="s">
        <v>190</v>
      </c>
      <c r="IB27" s="331" t="s">
        <v>190</v>
      </c>
      <c r="IC27" s="331" t="s">
        <v>190</v>
      </c>
      <c r="ID27" s="331" t="s">
        <v>190</v>
      </c>
      <c r="IE27" s="331" t="s">
        <v>190</v>
      </c>
      <c r="IF27" s="331" t="s">
        <v>190</v>
      </c>
      <c r="IG27" s="331" t="s">
        <v>170</v>
      </c>
      <c r="IH27" s="331" t="s">
        <v>429</v>
      </c>
      <c r="II27" s="331" t="s">
        <v>169</v>
      </c>
      <c r="IJ27" s="331" t="s">
        <v>427</v>
      </c>
      <c r="IK27" s="331" t="s">
        <v>190</v>
      </c>
      <c r="IL27" s="331" t="s">
        <v>190</v>
      </c>
    </row>
    <row r="28" spans="1:246" x14ac:dyDescent="0.25">
      <c r="A28" s="330" t="str">
        <f>HYPERLINK("http://www.ofsted.gov.uk/inspection-reports/find-inspection-report/provider/ELS/132738 ","Ofsted School Webpage")</f>
        <v>Ofsted School Webpage</v>
      </c>
      <c r="B28" s="331">
        <v>132738</v>
      </c>
      <c r="C28" s="331">
        <v>8886047</v>
      </c>
      <c r="D28" s="331" t="s">
        <v>1726</v>
      </c>
      <c r="E28" s="331" t="s">
        <v>167</v>
      </c>
      <c r="F28" s="331" t="s">
        <v>431</v>
      </c>
      <c r="G28" s="331" t="s">
        <v>431</v>
      </c>
      <c r="H28" s="331" t="s">
        <v>469</v>
      </c>
      <c r="I28" s="331" t="s">
        <v>1727</v>
      </c>
      <c r="J28" s="331" t="s">
        <v>71</v>
      </c>
      <c r="K28" s="331" t="s">
        <v>72</v>
      </c>
      <c r="L28" s="331" t="s">
        <v>71</v>
      </c>
      <c r="M28" s="331" t="s">
        <v>72</v>
      </c>
      <c r="N28" s="331" t="s">
        <v>424</v>
      </c>
      <c r="O28" s="333">
        <v>10092283</v>
      </c>
      <c r="P28" s="332">
        <v>43781</v>
      </c>
      <c r="Q28" s="332">
        <v>43783</v>
      </c>
      <c r="R28" s="332">
        <v>43817</v>
      </c>
      <c r="S28" s="331" t="s">
        <v>425</v>
      </c>
      <c r="T28" s="331" t="s">
        <v>426</v>
      </c>
      <c r="U28" s="331">
        <v>2</v>
      </c>
      <c r="V28" s="331">
        <v>2</v>
      </c>
      <c r="W28" s="331">
        <v>1</v>
      </c>
      <c r="X28" s="331">
        <v>2</v>
      </c>
      <c r="Y28" s="331">
        <v>2</v>
      </c>
      <c r="Z28" s="331" t="s">
        <v>169</v>
      </c>
      <c r="AA28" s="331">
        <v>3</v>
      </c>
      <c r="AB28" s="331" t="s">
        <v>173</v>
      </c>
      <c r="AC28" s="331" t="s">
        <v>427</v>
      </c>
      <c r="AD28" s="331" t="s">
        <v>171</v>
      </c>
      <c r="AE28" s="331" t="s">
        <v>190</v>
      </c>
      <c r="AF28" s="331" t="s">
        <v>190</v>
      </c>
      <c r="AG28" s="331" t="s">
        <v>190</v>
      </c>
      <c r="AH28" s="331" t="s">
        <v>190</v>
      </c>
      <c r="AI28" s="331" t="s">
        <v>190</v>
      </c>
      <c r="AJ28" s="331" t="s">
        <v>190</v>
      </c>
      <c r="AK28" s="331" t="s">
        <v>190</v>
      </c>
      <c r="AL28" s="331" t="s">
        <v>190</v>
      </c>
      <c r="AM28" s="331" t="s">
        <v>190</v>
      </c>
      <c r="AN28" s="331" t="s">
        <v>190</v>
      </c>
      <c r="AO28" s="331" t="s">
        <v>190</v>
      </c>
      <c r="AP28" s="331" t="s">
        <v>190</v>
      </c>
      <c r="AQ28" s="331" t="s">
        <v>190</v>
      </c>
      <c r="AR28" s="331" t="s">
        <v>190</v>
      </c>
      <c r="AS28" s="331" t="s">
        <v>190</v>
      </c>
      <c r="AT28" s="331" t="s">
        <v>190</v>
      </c>
      <c r="AU28" s="331" t="s">
        <v>428</v>
      </c>
      <c r="AV28" s="331" t="s">
        <v>190</v>
      </c>
      <c r="AW28" s="331" t="s">
        <v>190</v>
      </c>
      <c r="AX28" s="331" t="s">
        <v>190</v>
      </c>
      <c r="AY28" s="331" t="s">
        <v>428</v>
      </c>
      <c r="AZ28" s="331" t="s">
        <v>428</v>
      </c>
      <c r="BA28" s="331" t="s">
        <v>428</v>
      </c>
      <c r="BB28" s="331" t="s">
        <v>428</v>
      </c>
      <c r="BC28" s="331" t="s">
        <v>190</v>
      </c>
      <c r="BD28" s="331" t="s">
        <v>428</v>
      </c>
      <c r="BE28" s="331" t="s">
        <v>190</v>
      </c>
      <c r="BF28" s="331" t="s">
        <v>190</v>
      </c>
      <c r="BG28" s="331" t="s">
        <v>190</v>
      </c>
      <c r="BH28" s="331" t="s">
        <v>190</v>
      </c>
      <c r="BI28" s="331" t="s">
        <v>190</v>
      </c>
      <c r="BJ28" s="331" t="s">
        <v>190</v>
      </c>
      <c r="BK28" s="331" t="s">
        <v>190</v>
      </c>
      <c r="BL28" s="331" t="s">
        <v>190</v>
      </c>
      <c r="BM28" s="331" t="s">
        <v>190</v>
      </c>
      <c r="BN28" s="331" t="s">
        <v>190</v>
      </c>
      <c r="BO28" s="331" t="s">
        <v>190</v>
      </c>
      <c r="BP28" s="331" t="s">
        <v>190</v>
      </c>
      <c r="BQ28" s="331" t="s">
        <v>190</v>
      </c>
      <c r="BR28" s="331" t="s">
        <v>190</v>
      </c>
      <c r="BS28" s="331" t="s">
        <v>190</v>
      </c>
      <c r="BT28" s="331" t="s">
        <v>190</v>
      </c>
      <c r="BU28" s="331" t="s">
        <v>190</v>
      </c>
      <c r="BV28" s="331" t="s">
        <v>190</v>
      </c>
      <c r="BW28" s="331" t="s">
        <v>190</v>
      </c>
      <c r="BX28" s="331" t="s">
        <v>190</v>
      </c>
      <c r="BY28" s="331" t="s">
        <v>190</v>
      </c>
      <c r="BZ28" s="331" t="s">
        <v>190</v>
      </c>
      <c r="CA28" s="331" t="s">
        <v>190</v>
      </c>
      <c r="CB28" s="331" t="s">
        <v>190</v>
      </c>
      <c r="CC28" s="331" t="s">
        <v>190</v>
      </c>
      <c r="CD28" s="331" t="s">
        <v>190</v>
      </c>
      <c r="CE28" s="331" t="s">
        <v>190</v>
      </c>
      <c r="CF28" s="331" t="s">
        <v>190</v>
      </c>
      <c r="CG28" s="331" t="s">
        <v>190</v>
      </c>
      <c r="CH28" s="331" t="s">
        <v>190</v>
      </c>
      <c r="CI28" s="331" t="s">
        <v>190</v>
      </c>
      <c r="CJ28" s="331" t="s">
        <v>190</v>
      </c>
      <c r="CK28" s="331" t="s">
        <v>428</v>
      </c>
      <c r="CL28" s="331" t="s">
        <v>428</v>
      </c>
      <c r="CM28" s="331" t="s">
        <v>428</v>
      </c>
      <c r="CN28" s="331" t="s">
        <v>190</v>
      </c>
      <c r="CO28" s="331" t="s">
        <v>190</v>
      </c>
      <c r="CP28" s="331" t="s">
        <v>190</v>
      </c>
      <c r="CQ28" s="331" t="s">
        <v>190</v>
      </c>
      <c r="CR28" s="331" t="s">
        <v>190</v>
      </c>
      <c r="CS28" s="331" t="s">
        <v>190</v>
      </c>
      <c r="CT28" s="331" t="s">
        <v>190</v>
      </c>
      <c r="CU28" s="331" t="s">
        <v>190</v>
      </c>
      <c r="CV28" s="331" t="s">
        <v>190</v>
      </c>
      <c r="CW28" s="331" t="s">
        <v>190</v>
      </c>
      <c r="CX28" s="331" t="s">
        <v>190</v>
      </c>
      <c r="CY28" s="331" t="s">
        <v>190</v>
      </c>
      <c r="CZ28" s="331" t="s">
        <v>190</v>
      </c>
      <c r="DA28" s="331" t="s">
        <v>190</v>
      </c>
      <c r="DB28" s="331" t="s">
        <v>190</v>
      </c>
      <c r="DC28" s="331" t="s">
        <v>190</v>
      </c>
      <c r="DD28" s="331" t="s">
        <v>190</v>
      </c>
      <c r="DE28" s="331" t="s">
        <v>190</v>
      </c>
      <c r="DF28" s="331" t="s">
        <v>190</v>
      </c>
      <c r="DG28" s="331" t="s">
        <v>190</v>
      </c>
      <c r="DH28" s="331" t="s">
        <v>190</v>
      </c>
      <c r="DI28" s="331" t="s">
        <v>190</v>
      </c>
      <c r="DJ28" s="331" t="s">
        <v>190</v>
      </c>
      <c r="DK28" s="331" t="s">
        <v>428</v>
      </c>
      <c r="DL28" s="331" t="s">
        <v>190</v>
      </c>
      <c r="DM28" s="331" t="s">
        <v>428</v>
      </c>
      <c r="DN28" s="331" t="s">
        <v>428</v>
      </c>
      <c r="DO28" s="331" t="s">
        <v>428</v>
      </c>
      <c r="DP28" s="331" t="s">
        <v>428</v>
      </c>
      <c r="DQ28" s="331" t="s">
        <v>428</v>
      </c>
      <c r="DR28" s="331" t="s">
        <v>428</v>
      </c>
      <c r="DS28" s="331" t="s">
        <v>428</v>
      </c>
      <c r="DT28" s="331" t="s">
        <v>428</v>
      </c>
      <c r="DU28" s="331" t="s">
        <v>428</v>
      </c>
      <c r="DV28" s="331" t="s">
        <v>428</v>
      </c>
      <c r="DW28" s="331" t="s">
        <v>428</v>
      </c>
      <c r="DX28" s="331" t="s">
        <v>428</v>
      </c>
      <c r="DY28" s="331" t="s">
        <v>428</v>
      </c>
      <c r="DZ28" s="331" t="s">
        <v>428</v>
      </c>
      <c r="EA28" s="331" t="s">
        <v>428</v>
      </c>
      <c r="EB28" s="331" t="s">
        <v>190</v>
      </c>
      <c r="EC28" s="331" t="s">
        <v>190</v>
      </c>
      <c r="ED28" s="331" t="s">
        <v>190</v>
      </c>
      <c r="EE28" s="331" t="s">
        <v>190</v>
      </c>
      <c r="EF28" s="331" t="s">
        <v>190</v>
      </c>
      <c r="EG28" s="331" t="s">
        <v>190</v>
      </c>
      <c r="EH28" s="331" t="s">
        <v>190</v>
      </c>
      <c r="EI28" s="331" t="s">
        <v>190</v>
      </c>
      <c r="EJ28" s="331" t="s">
        <v>190</v>
      </c>
      <c r="EK28" s="331" t="s">
        <v>190</v>
      </c>
      <c r="EL28" s="331" t="s">
        <v>190</v>
      </c>
      <c r="EM28" s="331" t="s">
        <v>190</v>
      </c>
      <c r="EN28" s="331" t="s">
        <v>190</v>
      </c>
      <c r="EO28" s="331" t="s">
        <v>190</v>
      </c>
      <c r="EP28" s="331" t="s">
        <v>190</v>
      </c>
      <c r="EQ28" s="331" t="s">
        <v>190</v>
      </c>
      <c r="ER28" s="331" t="s">
        <v>190</v>
      </c>
      <c r="ES28" s="331" t="s">
        <v>190</v>
      </c>
      <c r="ET28" s="331" t="s">
        <v>190</v>
      </c>
      <c r="EU28" s="331" t="s">
        <v>190</v>
      </c>
      <c r="EV28" s="331" t="s">
        <v>190</v>
      </c>
      <c r="EW28" s="331" t="s">
        <v>190</v>
      </c>
      <c r="EX28" s="331" t="s">
        <v>190</v>
      </c>
      <c r="EY28" s="331" t="s">
        <v>428</v>
      </c>
      <c r="EZ28" s="331" t="s">
        <v>428</v>
      </c>
      <c r="FA28" s="331" t="s">
        <v>428</v>
      </c>
      <c r="FB28" s="331" t="s">
        <v>428</v>
      </c>
      <c r="FC28" s="331" t="s">
        <v>428</v>
      </c>
      <c r="FD28" s="331" t="s">
        <v>428</v>
      </c>
      <c r="FE28" s="331" t="s">
        <v>190</v>
      </c>
      <c r="FF28" s="331" t="s">
        <v>190</v>
      </c>
      <c r="FG28" s="331" t="s">
        <v>190</v>
      </c>
      <c r="FH28" s="331" t="s">
        <v>190</v>
      </c>
      <c r="FI28" s="331" t="s">
        <v>190</v>
      </c>
      <c r="FJ28" s="331" t="s">
        <v>190</v>
      </c>
      <c r="FK28" s="331" t="s">
        <v>190</v>
      </c>
      <c r="FL28" s="331" t="s">
        <v>428</v>
      </c>
      <c r="FM28" s="331" t="s">
        <v>190</v>
      </c>
      <c r="FN28" s="331" t="s">
        <v>190</v>
      </c>
      <c r="FO28" s="331" t="s">
        <v>190</v>
      </c>
      <c r="FP28" s="331" t="s">
        <v>428</v>
      </c>
      <c r="FQ28" s="331" t="s">
        <v>190</v>
      </c>
      <c r="FR28" s="331" t="s">
        <v>190</v>
      </c>
      <c r="FS28" s="331" t="s">
        <v>190</v>
      </c>
      <c r="FT28" s="331" t="s">
        <v>190</v>
      </c>
      <c r="FU28" s="331" t="s">
        <v>190</v>
      </c>
      <c r="FV28" s="331" t="s">
        <v>190</v>
      </c>
      <c r="FW28" s="331" t="s">
        <v>190</v>
      </c>
      <c r="FX28" s="331" t="s">
        <v>190</v>
      </c>
      <c r="FY28" s="331" t="s">
        <v>190</v>
      </c>
      <c r="FZ28" s="331" t="s">
        <v>190</v>
      </c>
      <c r="GA28" s="331" t="s">
        <v>190</v>
      </c>
      <c r="GB28" s="331" t="s">
        <v>190</v>
      </c>
      <c r="GC28" s="331" t="s">
        <v>190</v>
      </c>
      <c r="GD28" s="331" t="s">
        <v>190</v>
      </c>
      <c r="GE28" s="331" t="s">
        <v>190</v>
      </c>
      <c r="GF28" s="331" t="s">
        <v>190</v>
      </c>
      <c r="GG28" s="331" t="s">
        <v>190</v>
      </c>
      <c r="GH28" s="331" t="s">
        <v>428</v>
      </c>
      <c r="GI28" s="331" t="s">
        <v>190</v>
      </c>
      <c r="GJ28" s="331" t="s">
        <v>190</v>
      </c>
      <c r="GK28" s="331" t="s">
        <v>190</v>
      </c>
      <c r="GL28" s="331" t="s">
        <v>190</v>
      </c>
      <c r="GM28" s="331" t="s">
        <v>190</v>
      </c>
      <c r="GN28" s="331" t="s">
        <v>428</v>
      </c>
      <c r="GO28" s="331" t="s">
        <v>190</v>
      </c>
      <c r="GP28" s="331" t="s">
        <v>190</v>
      </c>
      <c r="GQ28" s="331" t="s">
        <v>428</v>
      </c>
      <c r="GR28" s="331" t="s">
        <v>428</v>
      </c>
      <c r="GS28" s="331" t="s">
        <v>428</v>
      </c>
      <c r="GT28" s="331" t="s">
        <v>190</v>
      </c>
      <c r="GU28" s="331" t="s">
        <v>190</v>
      </c>
      <c r="GV28" s="331" t="s">
        <v>190</v>
      </c>
      <c r="GW28" s="331" t="s">
        <v>428</v>
      </c>
      <c r="GX28" s="331" t="s">
        <v>190</v>
      </c>
      <c r="GY28" s="331" t="s">
        <v>428</v>
      </c>
      <c r="GZ28" s="331" t="s">
        <v>190</v>
      </c>
      <c r="HA28" s="331" t="s">
        <v>190</v>
      </c>
      <c r="HB28" s="331" t="s">
        <v>190</v>
      </c>
      <c r="HC28" s="331" t="s">
        <v>190</v>
      </c>
      <c r="HD28" s="331" t="s">
        <v>190</v>
      </c>
      <c r="HE28" s="331" t="s">
        <v>190</v>
      </c>
      <c r="HF28" s="331" t="s">
        <v>190</v>
      </c>
      <c r="HG28" s="331" t="s">
        <v>190</v>
      </c>
      <c r="HH28" s="331" t="s">
        <v>190</v>
      </c>
      <c r="HI28" s="331" t="s">
        <v>428</v>
      </c>
      <c r="HJ28" s="331" t="s">
        <v>428</v>
      </c>
      <c r="HK28" s="331" t="s">
        <v>428</v>
      </c>
      <c r="HL28" s="331" t="s">
        <v>428</v>
      </c>
      <c r="HM28" s="331" t="s">
        <v>190</v>
      </c>
      <c r="HN28" s="331" t="s">
        <v>190</v>
      </c>
      <c r="HO28" s="331" t="s">
        <v>190</v>
      </c>
      <c r="HP28" s="331" t="s">
        <v>190</v>
      </c>
      <c r="HQ28" s="331" t="s">
        <v>190</v>
      </c>
      <c r="HR28" s="331" t="s">
        <v>190</v>
      </c>
      <c r="HS28" s="331" t="s">
        <v>190</v>
      </c>
      <c r="HT28" s="331" t="s">
        <v>190</v>
      </c>
      <c r="HU28" s="331" t="s">
        <v>190</v>
      </c>
      <c r="HV28" s="331" t="s">
        <v>190</v>
      </c>
      <c r="HW28" s="331" t="s">
        <v>190</v>
      </c>
      <c r="HX28" s="331" t="s">
        <v>190</v>
      </c>
      <c r="HY28" s="331" t="s">
        <v>190</v>
      </c>
      <c r="HZ28" s="331" t="s">
        <v>190</v>
      </c>
      <c r="IA28" s="331" t="s">
        <v>190</v>
      </c>
      <c r="IB28" s="331" t="s">
        <v>190</v>
      </c>
      <c r="IC28" s="331" t="s">
        <v>190</v>
      </c>
      <c r="ID28" s="331" t="s">
        <v>190</v>
      </c>
      <c r="IE28" s="331" t="s">
        <v>190</v>
      </c>
      <c r="IF28" s="331" t="s">
        <v>190</v>
      </c>
      <c r="IG28" s="331" t="s">
        <v>170</v>
      </c>
      <c r="IH28" s="331" t="s">
        <v>429</v>
      </c>
      <c r="II28" s="331" t="s">
        <v>169</v>
      </c>
      <c r="IJ28" s="331" t="s">
        <v>427</v>
      </c>
      <c r="IK28" s="331" t="s">
        <v>190</v>
      </c>
      <c r="IL28" s="331" t="s">
        <v>190</v>
      </c>
    </row>
    <row r="29" spans="1:246" x14ac:dyDescent="0.25">
      <c r="A29" s="334" t="str">
        <f>HYPERLINK("http://www.ofsted.gov.uk/inspection-reports/find-inspection-report/provider/ELS/119853 ","Ofsted School Webpage")</f>
        <v>Ofsted School Webpage</v>
      </c>
      <c r="B29" s="331">
        <v>119853</v>
      </c>
      <c r="C29" s="331">
        <v>8886026</v>
      </c>
      <c r="D29" s="331" t="s">
        <v>1508</v>
      </c>
      <c r="E29" s="331" t="s">
        <v>168</v>
      </c>
      <c r="F29" s="331" t="s">
        <v>431</v>
      </c>
      <c r="G29" s="331" t="s">
        <v>431</v>
      </c>
      <c r="H29" s="331" t="s">
        <v>469</v>
      </c>
      <c r="I29" s="331" t="s">
        <v>1509</v>
      </c>
      <c r="J29" s="331" t="s">
        <v>81</v>
      </c>
      <c r="K29" s="331" t="s">
        <v>81</v>
      </c>
      <c r="L29" s="331" t="s">
        <v>81</v>
      </c>
      <c r="M29" s="331" t="s">
        <v>78</v>
      </c>
      <c r="N29" s="331" t="s">
        <v>424</v>
      </c>
      <c r="O29" s="333">
        <v>10112063</v>
      </c>
      <c r="P29" s="332">
        <v>43781</v>
      </c>
      <c r="Q29" s="332">
        <v>43783</v>
      </c>
      <c r="R29" s="332">
        <v>43802</v>
      </c>
      <c r="S29" s="331" t="s">
        <v>425</v>
      </c>
      <c r="T29" s="331" t="s">
        <v>426</v>
      </c>
      <c r="U29" s="331">
        <v>2</v>
      </c>
      <c r="V29" s="331">
        <v>2</v>
      </c>
      <c r="W29" s="331">
        <v>2</v>
      </c>
      <c r="X29" s="331">
        <v>2</v>
      </c>
      <c r="Y29" s="331">
        <v>2</v>
      </c>
      <c r="Z29" s="331" t="s">
        <v>169</v>
      </c>
      <c r="AA29" s="331" t="s">
        <v>173</v>
      </c>
      <c r="AB29" s="331" t="s">
        <v>173</v>
      </c>
      <c r="AC29" s="331" t="s">
        <v>427</v>
      </c>
      <c r="AD29" s="331" t="s">
        <v>171</v>
      </c>
      <c r="AE29" s="331" t="s">
        <v>190</v>
      </c>
      <c r="AF29" s="331" t="s">
        <v>190</v>
      </c>
      <c r="AG29" s="331" t="s">
        <v>190</v>
      </c>
      <c r="AH29" s="331" t="s">
        <v>190</v>
      </c>
      <c r="AI29" s="331" t="s">
        <v>190</v>
      </c>
      <c r="AJ29" s="331" t="s">
        <v>190</v>
      </c>
      <c r="AK29" s="331" t="s">
        <v>190</v>
      </c>
      <c r="AL29" s="331" t="s">
        <v>190</v>
      </c>
      <c r="AM29" s="331" t="s">
        <v>190</v>
      </c>
      <c r="AN29" s="331" t="s">
        <v>190</v>
      </c>
      <c r="AO29" s="331" t="s">
        <v>190</v>
      </c>
      <c r="AP29" s="331" t="s">
        <v>190</v>
      </c>
      <c r="AQ29" s="331" t="s">
        <v>190</v>
      </c>
      <c r="AR29" s="331" t="s">
        <v>190</v>
      </c>
      <c r="AS29" s="331" t="s">
        <v>190</v>
      </c>
      <c r="AT29" s="331" t="s">
        <v>190</v>
      </c>
      <c r="AU29" s="331" t="s">
        <v>428</v>
      </c>
      <c r="AV29" s="331" t="s">
        <v>190</v>
      </c>
      <c r="AW29" s="331" t="s">
        <v>190</v>
      </c>
      <c r="AX29" s="331" t="s">
        <v>190</v>
      </c>
      <c r="AY29" s="331" t="s">
        <v>190</v>
      </c>
      <c r="AZ29" s="331" t="s">
        <v>190</v>
      </c>
      <c r="BA29" s="331" t="s">
        <v>190</v>
      </c>
      <c r="BB29" s="331" t="s">
        <v>190</v>
      </c>
      <c r="BC29" s="331" t="s">
        <v>428</v>
      </c>
      <c r="BD29" s="331" t="s">
        <v>190</v>
      </c>
      <c r="BE29" s="331" t="s">
        <v>190</v>
      </c>
      <c r="BF29" s="331" t="s">
        <v>190</v>
      </c>
      <c r="BG29" s="331" t="s">
        <v>190</v>
      </c>
      <c r="BH29" s="331" t="s">
        <v>190</v>
      </c>
      <c r="BI29" s="331" t="s">
        <v>190</v>
      </c>
      <c r="BJ29" s="331" t="s">
        <v>190</v>
      </c>
      <c r="BK29" s="331" t="s">
        <v>190</v>
      </c>
      <c r="BL29" s="331" t="s">
        <v>190</v>
      </c>
      <c r="BM29" s="331" t="s">
        <v>190</v>
      </c>
      <c r="BN29" s="331" t="s">
        <v>190</v>
      </c>
      <c r="BO29" s="331" t="s">
        <v>190</v>
      </c>
      <c r="BP29" s="331" t="s">
        <v>190</v>
      </c>
      <c r="BQ29" s="331" t="s">
        <v>190</v>
      </c>
      <c r="BR29" s="331" t="s">
        <v>190</v>
      </c>
      <c r="BS29" s="331" t="s">
        <v>190</v>
      </c>
      <c r="BT29" s="331" t="s">
        <v>190</v>
      </c>
      <c r="BU29" s="331" t="s">
        <v>190</v>
      </c>
      <c r="BV29" s="331" t="s">
        <v>190</v>
      </c>
      <c r="BW29" s="331" t="s">
        <v>190</v>
      </c>
      <c r="BX29" s="331" t="s">
        <v>190</v>
      </c>
      <c r="BY29" s="331" t="s">
        <v>190</v>
      </c>
      <c r="BZ29" s="331" t="s">
        <v>190</v>
      </c>
      <c r="CA29" s="331" t="s">
        <v>190</v>
      </c>
      <c r="CB29" s="331" t="s">
        <v>190</v>
      </c>
      <c r="CC29" s="331" t="s">
        <v>190</v>
      </c>
      <c r="CD29" s="331" t="s">
        <v>190</v>
      </c>
      <c r="CE29" s="331" t="s">
        <v>190</v>
      </c>
      <c r="CF29" s="331" t="s">
        <v>190</v>
      </c>
      <c r="CG29" s="331" t="s">
        <v>190</v>
      </c>
      <c r="CH29" s="331" t="s">
        <v>190</v>
      </c>
      <c r="CI29" s="331" t="s">
        <v>190</v>
      </c>
      <c r="CJ29" s="331" t="s">
        <v>190</v>
      </c>
      <c r="CK29" s="331" t="s">
        <v>190</v>
      </c>
      <c r="CL29" s="331" t="s">
        <v>428</v>
      </c>
      <c r="CM29" s="331" t="s">
        <v>428</v>
      </c>
      <c r="CN29" s="331" t="s">
        <v>190</v>
      </c>
      <c r="CO29" s="331" t="s">
        <v>190</v>
      </c>
      <c r="CP29" s="331" t="s">
        <v>190</v>
      </c>
      <c r="CQ29" s="331" t="s">
        <v>190</v>
      </c>
      <c r="CR29" s="331" t="s">
        <v>190</v>
      </c>
      <c r="CS29" s="331" t="s">
        <v>190</v>
      </c>
      <c r="CT29" s="331" t="s">
        <v>190</v>
      </c>
      <c r="CU29" s="331" t="s">
        <v>190</v>
      </c>
      <c r="CV29" s="331" t="s">
        <v>190</v>
      </c>
      <c r="CW29" s="331" t="s">
        <v>190</v>
      </c>
      <c r="CX29" s="331" t="s">
        <v>190</v>
      </c>
      <c r="CY29" s="331" t="s">
        <v>190</v>
      </c>
      <c r="CZ29" s="331" t="s">
        <v>190</v>
      </c>
      <c r="DA29" s="331" t="s">
        <v>190</v>
      </c>
      <c r="DB29" s="331" t="s">
        <v>190</v>
      </c>
      <c r="DC29" s="331" t="s">
        <v>190</v>
      </c>
      <c r="DD29" s="331" t="s">
        <v>190</v>
      </c>
      <c r="DE29" s="331" t="s">
        <v>190</v>
      </c>
      <c r="DF29" s="331" t="s">
        <v>190</v>
      </c>
      <c r="DG29" s="331" t="s">
        <v>190</v>
      </c>
      <c r="DH29" s="331" t="s">
        <v>190</v>
      </c>
      <c r="DI29" s="331" t="s">
        <v>190</v>
      </c>
      <c r="DJ29" s="331" t="s">
        <v>190</v>
      </c>
      <c r="DK29" s="331" t="s">
        <v>428</v>
      </c>
      <c r="DL29" s="331" t="s">
        <v>190</v>
      </c>
      <c r="DM29" s="331" t="s">
        <v>190</v>
      </c>
      <c r="DN29" s="331" t="s">
        <v>190</v>
      </c>
      <c r="DO29" s="331" t="s">
        <v>190</v>
      </c>
      <c r="DP29" s="331" t="s">
        <v>190</v>
      </c>
      <c r="DQ29" s="331" t="s">
        <v>190</v>
      </c>
      <c r="DR29" s="331" t="s">
        <v>190</v>
      </c>
      <c r="DS29" s="331" t="s">
        <v>190</v>
      </c>
      <c r="DT29" s="331" t="s">
        <v>190</v>
      </c>
      <c r="DU29" s="331" t="s">
        <v>190</v>
      </c>
      <c r="DV29" s="331" t="s">
        <v>190</v>
      </c>
      <c r="DW29" s="331" t="s">
        <v>190</v>
      </c>
      <c r="DX29" s="331" t="s">
        <v>190</v>
      </c>
      <c r="DY29" s="331" t="s">
        <v>190</v>
      </c>
      <c r="DZ29" s="331" t="s">
        <v>428</v>
      </c>
      <c r="EA29" s="331" t="s">
        <v>190</v>
      </c>
      <c r="EB29" s="331" t="s">
        <v>190</v>
      </c>
      <c r="EC29" s="331" t="s">
        <v>190</v>
      </c>
      <c r="ED29" s="331" t="s">
        <v>190</v>
      </c>
      <c r="EE29" s="331" t="s">
        <v>190</v>
      </c>
      <c r="EF29" s="331" t="s">
        <v>190</v>
      </c>
      <c r="EG29" s="331" t="s">
        <v>190</v>
      </c>
      <c r="EH29" s="331" t="s">
        <v>190</v>
      </c>
      <c r="EI29" s="331" t="s">
        <v>190</v>
      </c>
      <c r="EJ29" s="331" t="s">
        <v>190</v>
      </c>
      <c r="EK29" s="331" t="s">
        <v>190</v>
      </c>
      <c r="EL29" s="331" t="s">
        <v>190</v>
      </c>
      <c r="EM29" s="331" t="s">
        <v>190</v>
      </c>
      <c r="EN29" s="331" t="s">
        <v>190</v>
      </c>
      <c r="EO29" s="331" t="s">
        <v>190</v>
      </c>
      <c r="EP29" s="331" t="s">
        <v>190</v>
      </c>
      <c r="EQ29" s="331" t="s">
        <v>190</v>
      </c>
      <c r="ER29" s="331" t="s">
        <v>190</v>
      </c>
      <c r="ES29" s="331" t="s">
        <v>173</v>
      </c>
      <c r="ET29" s="331" t="s">
        <v>190</v>
      </c>
      <c r="EU29" s="331" t="s">
        <v>190</v>
      </c>
      <c r="EV29" s="331" t="s">
        <v>190</v>
      </c>
      <c r="EW29" s="331" t="s">
        <v>190</v>
      </c>
      <c r="EX29" s="331" t="s">
        <v>190</v>
      </c>
      <c r="EY29" s="331" t="s">
        <v>190</v>
      </c>
      <c r="EZ29" s="331" t="s">
        <v>190</v>
      </c>
      <c r="FA29" s="331" t="s">
        <v>190</v>
      </c>
      <c r="FB29" s="331" t="s">
        <v>190</v>
      </c>
      <c r="FC29" s="331" t="s">
        <v>190</v>
      </c>
      <c r="FD29" s="331" t="s">
        <v>190</v>
      </c>
      <c r="FE29" s="331" t="s">
        <v>190</v>
      </c>
      <c r="FF29" s="331" t="s">
        <v>428</v>
      </c>
      <c r="FG29" s="331" t="s">
        <v>190</v>
      </c>
      <c r="FH29" s="331" t="s">
        <v>190</v>
      </c>
      <c r="FI29" s="331" t="s">
        <v>190</v>
      </c>
      <c r="FJ29" s="331" t="s">
        <v>190</v>
      </c>
      <c r="FK29" s="331" t="s">
        <v>190</v>
      </c>
      <c r="FL29" s="331" t="s">
        <v>428</v>
      </c>
      <c r="FM29" s="331" t="s">
        <v>190</v>
      </c>
      <c r="FN29" s="331" t="s">
        <v>190</v>
      </c>
      <c r="FO29" s="331" t="s">
        <v>190</v>
      </c>
      <c r="FP29" s="331" t="s">
        <v>428</v>
      </c>
      <c r="FQ29" s="331" t="s">
        <v>428</v>
      </c>
      <c r="FR29" s="331" t="s">
        <v>190</v>
      </c>
      <c r="FS29" s="331" t="s">
        <v>190</v>
      </c>
      <c r="FT29" s="331" t="s">
        <v>190</v>
      </c>
      <c r="FU29" s="331" t="s">
        <v>190</v>
      </c>
      <c r="FV29" s="331" t="s">
        <v>190</v>
      </c>
      <c r="FW29" s="331" t="s">
        <v>190</v>
      </c>
      <c r="FX29" s="331" t="s">
        <v>190</v>
      </c>
      <c r="FY29" s="331" t="s">
        <v>190</v>
      </c>
      <c r="FZ29" s="331" t="s">
        <v>190</v>
      </c>
      <c r="GA29" s="331" t="s">
        <v>190</v>
      </c>
      <c r="GB29" s="331" t="s">
        <v>190</v>
      </c>
      <c r="GC29" s="331" t="s">
        <v>190</v>
      </c>
      <c r="GD29" s="331" t="s">
        <v>190</v>
      </c>
      <c r="GE29" s="331" t="s">
        <v>190</v>
      </c>
      <c r="GF29" s="331" t="s">
        <v>190</v>
      </c>
      <c r="GG29" s="331" t="s">
        <v>190</v>
      </c>
      <c r="GH29" s="331" t="s">
        <v>428</v>
      </c>
      <c r="GI29" s="331" t="s">
        <v>190</v>
      </c>
      <c r="GJ29" s="331" t="s">
        <v>190</v>
      </c>
      <c r="GK29" s="331" t="s">
        <v>190</v>
      </c>
      <c r="GL29" s="331" t="s">
        <v>190</v>
      </c>
      <c r="GM29" s="331" t="s">
        <v>190</v>
      </c>
      <c r="GN29" s="331" t="s">
        <v>190</v>
      </c>
      <c r="GO29" s="331" t="s">
        <v>190</v>
      </c>
      <c r="GP29" s="331" t="s">
        <v>190</v>
      </c>
      <c r="GQ29" s="331" t="s">
        <v>190</v>
      </c>
      <c r="GR29" s="331" t="s">
        <v>190</v>
      </c>
      <c r="GS29" s="331" t="s">
        <v>190</v>
      </c>
      <c r="GT29" s="331" t="s">
        <v>190</v>
      </c>
      <c r="GU29" s="331" t="s">
        <v>190</v>
      </c>
      <c r="GV29" s="331" t="s">
        <v>190</v>
      </c>
      <c r="GW29" s="331" t="s">
        <v>190</v>
      </c>
      <c r="GX29" s="331" t="s">
        <v>190</v>
      </c>
      <c r="GY29" s="331" t="s">
        <v>190</v>
      </c>
      <c r="GZ29" s="331" t="s">
        <v>190</v>
      </c>
      <c r="HA29" s="331" t="s">
        <v>190</v>
      </c>
      <c r="HB29" s="331" t="s">
        <v>190</v>
      </c>
      <c r="HC29" s="331" t="s">
        <v>190</v>
      </c>
      <c r="HD29" s="331" t="s">
        <v>190</v>
      </c>
      <c r="HE29" s="331" t="s">
        <v>190</v>
      </c>
      <c r="HF29" s="331" t="s">
        <v>190</v>
      </c>
      <c r="HG29" s="331" t="s">
        <v>190</v>
      </c>
      <c r="HH29" s="331" t="s">
        <v>190</v>
      </c>
      <c r="HI29" s="331" t="s">
        <v>190</v>
      </c>
      <c r="HJ29" s="331" t="s">
        <v>190</v>
      </c>
      <c r="HK29" s="331" t="s">
        <v>190</v>
      </c>
      <c r="HL29" s="331" t="s">
        <v>190</v>
      </c>
      <c r="HM29" s="331" t="s">
        <v>190</v>
      </c>
      <c r="HN29" s="331" t="s">
        <v>190</v>
      </c>
      <c r="HO29" s="331" t="s">
        <v>190</v>
      </c>
      <c r="HP29" s="331" t="s">
        <v>190</v>
      </c>
      <c r="HQ29" s="331" t="s">
        <v>190</v>
      </c>
      <c r="HR29" s="331" t="s">
        <v>190</v>
      </c>
      <c r="HS29" s="331" t="s">
        <v>190</v>
      </c>
      <c r="HT29" s="331" t="s">
        <v>190</v>
      </c>
      <c r="HU29" s="331" t="s">
        <v>190</v>
      </c>
      <c r="HV29" s="331" t="s">
        <v>190</v>
      </c>
      <c r="HW29" s="331" t="s">
        <v>190</v>
      </c>
      <c r="HX29" s="331" t="s">
        <v>190</v>
      </c>
      <c r="HY29" s="331" t="s">
        <v>190</v>
      </c>
      <c r="HZ29" s="331" t="s">
        <v>190</v>
      </c>
      <c r="IA29" s="331" t="s">
        <v>190</v>
      </c>
      <c r="IB29" s="331" t="s">
        <v>190</v>
      </c>
      <c r="IC29" s="331" t="s">
        <v>190</v>
      </c>
      <c r="ID29" s="331" t="s">
        <v>190</v>
      </c>
      <c r="IE29" s="331" t="s">
        <v>190</v>
      </c>
      <c r="IF29" s="331" t="s">
        <v>190</v>
      </c>
      <c r="IG29" s="331" t="s">
        <v>170</v>
      </c>
      <c r="IH29" s="331" t="s">
        <v>429</v>
      </c>
      <c r="II29" s="331" t="s">
        <v>169</v>
      </c>
      <c r="IJ29" s="331" t="s">
        <v>427</v>
      </c>
      <c r="IK29" s="331" t="s">
        <v>428</v>
      </c>
      <c r="IL29" s="331" t="s">
        <v>428</v>
      </c>
    </row>
    <row r="30" spans="1:246" x14ac:dyDescent="0.25">
      <c r="A30" s="330" t="str">
        <f>HYPERLINK("http://www.ofsted.gov.uk/inspection-reports/find-inspection-report/provider/ELS/131064 ","Ofsted School Webpage")</f>
        <v>Ofsted School Webpage</v>
      </c>
      <c r="B30" s="331">
        <v>131064</v>
      </c>
      <c r="C30" s="331">
        <v>9316125</v>
      </c>
      <c r="D30" s="331" t="s">
        <v>1604</v>
      </c>
      <c r="E30" s="331" t="s">
        <v>168</v>
      </c>
      <c r="F30" s="331" t="s">
        <v>514</v>
      </c>
      <c r="G30" s="331" t="s">
        <v>514</v>
      </c>
      <c r="H30" s="331" t="s">
        <v>1016</v>
      </c>
      <c r="I30" s="331" t="s">
        <v>1605</v>
      </c>
      <c r="J30" s="331" t="s">
        <v>81</v>
      </c>
      <c r="K30" s="331" t="s">
        <v>81</v>
      </c>
      <c r="L30" s="331" t="s">
        <v>81</v>
      </c>
      <c r="M30" s="331" t="s">
        <v>78</v>
      </c>
      <c r="N30" s="331" t="s">
        <v>424</v>
      </c>
      <c r="O30" s="333">
        <v>10103861</v>
      </c>
      <c r="P30" s="332">
        <v>43781</v>
      </c>
      <c r="Q30" s="332">
        <v>43783</v>
      </c>
      <c r="R30" s="332">
        <v>43801</v>
      </c>
      <c r="S30" s="331" t="s">
        <v>425</v>
      </c>
      <c r="T30" s="331" t="s">
        <v>426</v>
      </c>
      <c r="U30" s="331">
        <v>1</v>
      </c>
      <c r="V30" s="331">
        <v>1</v>
      </c>
      <c r="W30" s="331">
        <v>1</v>
      </c>
      <c r="X30" s="331">
        <v>1</v>
      </c>
      <c r="Y30" s="331">
        <v>1</v>
      </c>
      <c r="Z30" s="331" t="s">
        <v>169</v>
      </c>
      <c r="AA30" s="331" t="s">
        <v>173</v>
      </c>
      <c r="AB30" s="331" t="s">
        <v>173</v>
      </c>
      <c r="AC30" s="331" t="s">
        <v>427</v>
      </c>
      <c r="AD30" s="331" t="s">
        <v>171</v>
      </c>
      <c r="AE30" s="331" t="s">
        <v>190</v>
      </c>
      <c r="AF30" s="331" t="s">
        <v>190</v>
      </c>
      <c r="AG30" s="331" t="s">
        <v>190</v>
      </c>
      <c r="AH30" s="331" t="s">
        <v>190</v>
      </c>
      <c r="AI30" s="331" t="s">
        <v>190</v>
      </c>
      <c r="AJ30" s="331" t="s">
        <v>190</v>
      </c>
      <c r="AK30" s="331" t="s">
        <v>190</v>
      </c>
      <c r="AL30" s="331" t="s">
        <v>190</v>
      </c>
      <c r="AM30" s="331" t="s">
        <v>190</v>
      </c>
      <c r="AN30" s="331" t="s">
        <v>190</v>
      </c>
      <c r="AO30" s="331" t="s">
        <v>190</v>
      </c>
      <c r="AP30" s="331" t="s">
        <v>190</v>
      </c>
      <c r="AQ30" s="331" t="s">
        <v>190</v>
      </c>
      <c r="AR30" s="331" t="s">
        <v>190</v>
      </c>
      <c r="AS30" s="331" t="s">
        <v>190</v>
      </c>
      <c r="AT30" s="331" t="s">
        <v>190</v>
      </c>
      <c r="AU30" s="331" t="s">
        <v>428</v>
      </c>
      <c r="AV30" s="331" t="s">
        <v>190</v>
      </c>
      <c r="AW30" s="331" t="s">
        <v>190</v>
      </c>
      <c r="AX30" s="331" t="s">
        <v>190</v>
      </c>
      <c r="AY30" s="331" t="s">
        <v>428</v>
      </c>
      <c r="AZ30" s="331" t="s">
        <v>428</v>
      </c>
      <c r="BA30" s="331" t="s">
        <v>428</v>
      </c>
      <c r="BB30" s="331" t="s">
        <v>428</v>
      </c>
      <c r="BC30" s="331" t="s">
        <v>428</v>
      </c>
      <c r="BD30" s="331" t="s">
        <v>190</v>
      </c>
      <c r="BE30" s="331" t="s">
        <v>190</v>
      </c>
      <c r="BF30" s="331" t="s">
        <v>190</v>
      </c>
      <c r="BG30" s="331" t="s">
        <v>190</v>
      </c>
      <c r="BH30" s="331" t="s">
        <v>190</v>
      </c>
      <c r="BI30" s="331" t="s">
        <v>190</v>
      </c>
      <c r="BJ30" s="331" t="s">
        <v>190</v>
      </c>
      <c r="BK30" s="331" t="s">
        <v>190</v>
      </c>
      <c r="BL30" s="331" t="s">
        <v>190</v>
      </c>
      <c r="BM30" s="331" t="s">
        <v>190</v>
      </c>
      <c r="BN30" s="331" t="s">
        <v>190</v>
      </c>
      <c r="BO30" s="331" t="s">
        <v>190</v>
      </c>
      <c r="BP30" s="331" t="s">
        <v>190</v>
      </c>
      <c r="BQ30" s="331" t="s">
        <v>190</v>
      </c>
      <c r="BR30" s="331" t="s">
        <v>190</v>
      </c>
      <c r="BS30" s="331" t="s">
        <v>190</v>
      </c>
      <c r="BT30" s="331" t="s">
        <v>190</v>
      </c>
      <c r="BU30" s="331" t="s">
        <v>190</v>
      </c>
      <c r="BV30" s="331" t="s">
        <v>190</v>
      </c>
      <c r="BW30" s="331" t="s">
        <v>190</v>
      </c>
      <c r="BX30" s="331" t="s">
        <v>190</v>
      </c>
      <c r="BY30" s="331" t="s">
        <v>190</v>
      </c>
      <c r="BZ30" s="331" t="s">
        <v>190</v>
      </c>
      <c r="CA30" s="331" t="s">
        <v>190</v>
      </c>
      <c r="CB30" s="331" t="s">
        <v>190</v>
      </c>
      <c r="CC30" s="331" t="s">
        <v>190</v>
      </c>
      <c r="CD30" s="331" t="s">
        <v>190</v>
      </c>
      <c r="CE30" s="331" t="s">
        <v>190</v>
      </c>
      <c r="CF30" s="331" t="s">
        <v>190</v>
      </c>
      <c r="CG30" s="331" t="s">
        <v>190</v>
      </c>
      <c r="CH30" s="331" t="s">
        <v>190</v>
      </c>
      <c r="CI30" s="331" t="s">
        <v>190</v>
      </c>
      <c r="CJ30" s="331" t="s">
        <v>190</v>
      </c>
      <c r="CK30" s="331" t="s">
        <v>428</v>
      </c>
      <c r="CL30" s="331" t="s">
        <v>428</v>
      </c>
      <c r="CM30" s="331" t="s">
        <v>428</v>
      </c>
      <c r="CN30" s="331" t="s">
        <v>190</v>
      </c>
      <c r="CO30" s="331" t="s">
        <v>190</v>
      </c>
      <c r="CP30" s="331" t="s">
        <v>190</v>
      </c>
      <c r="CQ30" s="331" t="s">
        <v>190</v>
      </c>
      <c r="CR30" s="331" t="s">
        <v>190</v>
      </c>
      <c r="CS30" s="331" t="s">
        <v>190</v>
      </c>
      <c r="CT30" s="331" t="s">
        <v>190</v>
      </c>
      <c r="CU30" s="331" t="s">
        <v>190</v>
      </c>
      <c r="CV30" s="331" t="s">
        <v>190</v>
      </c>
      <c r="CW30" s="331" t="s">
        <v>190</v>
      </c>
      <c r="CX30" s="331" t="s">
        <v>190</v>
      </c>
      <c r="CY30" s="331" t="s">
        <v>190</v>
      </c>
      <c r="CZ30" s="331" t="s">
        <v>190</v>
      </c>
      <c r="DA30" s="331" t="s">
        <v>190</v>
      </c>
      <c r="DB30" s="331" t="s">
        <v>190</v>
      </c>
      <c r="DC30" s="331" t="s">
        <v>190</v>
      </c>
      <c r="DD30" s="331" t="s">
        <v>190</v>
      </c>
      <c r="DE30" s="331" t="s">
        <v>190</v>
      </c>
      <c r="DF30" s="331" t="s">
        <v>190</v>
      </c>
      <c r="DG30" s="331" t="s">
        <v>190</v>
      </c>
      <c r="DH30" s="331" t="s">
        <v>190</v>
      </c>
      <c r="DI30" s="331" t="s">
        <v>190</v>
      </c>
      <c r="DJ30" s="331" t="s">
        <v>190</v>
      </c>
      <c r="DK30" s="331" t="s">
        <v>428</v>
      </c>
      <c r="DL30" s="331" t="s">
        <v>190</v>
      </c>
      <c r="DM30" s="331" t="s">
        <v>190</v>
      </c>
      <c r="DN30" s="331" t="s">
        <v>190</v>
      </c>
      <c r="DO30" s="331" t="s">
        <v>190</v>
      </c>
      <c r="DP30" s="331" t="s">
        <v>190</v>
      </c>
      <c r="DQ30" s="331" t="s">
        <v>190</v>
      </c>
      <c r="DR30" s="331" t="s">
        <v>190</v>
      </c>
      <c r="DS30" s="331" t="s">
        <v>190</v>
      </c>
      <c r="DT30" s="331" t="s">
        <v>190</v>
      </c>
      <c r="DU30" s="331" t="s">
        <v>190</v>
      </c>
      <c r="DV30" s="331" t="s">
        <v>190</v>
      </c>
      <c r="DW30" s="331" t="s">
        <v>190</v>
      </c>
      <c r="DX30" s="331" t="s">
        <v>190</v>
      </c>
      <c r="DY30" s="331" t="s">
        <v>190</v>
      </c>
      <c r="DZ30" s="331" t="s">
        <v>428</v>
      </c>
      <c r="EA30" s="331" t="s">
        <v>428</v>
      </c>
      <c r="EB30" s="331" t="s">
        <v>190</v>
      </c>
      <c r="EC30" s="331" t="s">
        <v>190</v>
      </c>
      <c r="ED30" s="331" t="s">
        <v>190</v>
      </c>
      <c r="EE30" s="331" t="s">
        <v>190</v>
      </c>
      <c r="EF30" s="331" t="s">
        <v>190</v>
      </c>
      <c r="EG30" s="331" t="s">
        <v>190</v>
      </c>
      <c r="EH30" s="331" t="s">
        <v>190</v>
      </c>
      <c r="EI30" s="331" t="s">
        <v>190</v>
      </c>
      <c r="EJ30" s="331" t="s">
        <v>190</v>
      </c>
      <c r="EK30" s="331" t="s">
        <v>190</v>
      </c>
      <c r="EL30" s="331" t="s">
        <v>190</v>
      </c>
      <c r="EM30" s="331" t="s">
        <v>190</v>
      </c>
      <c r="EN30" s="331" t="s">
        <v>190</v>
      </c>
      <c r="EO30" s="331" t="s">
        <v>190</v>
      </c>
      <c r="EP30" s="331" t="s">
        <v>190</v>
      </c>
      <c r="EQ30" s="331" t="s">
        <v>190</v>
      </c>
      <c r="ER30" s="331" t="s">
        <v>190</v>
      </c>
      <c r="ES30" s="331" t="s">
        <v>190</v>
      </c>
      <c r="ET30" s="331" t="s">
        <v>190</v>
      </c>
      <c r="EU30" s="331" t="s">
        <v>190</v>
      </c>
      <c r="EV30" s="331" t="s">
        <v>190</v>
      </c>
      <c r="EW30" s="331" t="s">
        <v>190</v>
      </c>
      <c r="EX30" s="331" t="s">
        <v>190</v>
      </c>
      <c r="EY30" s="331" t="s">
        <v>190</v>
      </c>
      <c r="EZ30" s="331" t="s">
        <v>190</v>
      </c>
      <c r="FA30" s="331" t="s">
        <v>190</v>
      </c>
      <c r="FB30" s="331" t="s">
        <v>190</v>
      </c>
      <c r="FC30" s="331" t="s">
        <v>190</v>
      </c>
      <c r="FD30" s="331" t="s">
        <v>190</v>
      </c>
      <c r="FE30" s="331" t="s">
        <v>190</v>
      </c>
      <c r="FF30" s="331" t="s">
        <v>190</v>
      </c>
      <c r="FG30" s="331" t="s">
        <v>190</v>
      </c>
      <c r="FH30" s="331" t="s">
        <v>190</v>
      </c>
      <c r="FI30" s="331" t="s">
        <v>190</v>
      </c>
      <c r="FJ30" s="331" t="s">
        <v>190</v>
      </c>
      <c r="FK30" s="331" t="s">
        <v>190</v>
      </c>
      <c r="FL30" s="331" t="s">
        <v>428</v>
      </c>
      <c r="FM30" s="331" t="s">
        <v>190</v>
      </c>
      <c r="FN30" s="331" t="s">
        <v>190</v>
      </c>
      <c r="FO30" s="331" t="s">
        <v>190</v>
      </c>
      <c r="FP30" s="331" t="s">
        <v>428</v>
      </c>
      <c r="FQ30" s="331" t="s">
        <v>190</v>
      </c>
      <c r="FR30" s="331" t="s">
        <v>190</v>
      </c>
      <c r="FS30" s="331" t="s">
        <v>190</v>
      </c>
      <c r="FT30" s="331" t="s">
        <v>190</v>
      </c>
      <c r="FU30" s="331" t="s">
        <v>190</v>
      </c>
      <c r="FV30" s="331" t="s">
        <v>190</v>
      </c>
      <c r="FW30" s="331" t="s">
        <v>190</v>
      </c>
      <c r="FX30" s="331" t="s">
        <v>190</v>
      </c>
      <c r="FY30" s="331" t="s">
        <v>190</v>
      </c>
      <c r="FZ30" s="331" t="s">
        <v>190</v>
      </c>
      <c r="GA30" s="331" t="s">
        <v>190</v>
      </c>
      <c r="GB30" s="331" t="s">
        <v>190</v>
      </c>
      <c r="GC30" s="331" t="s">
        <v>190</v>
      </c>
      <c r="GD30" s="331" t="s">
        <v>190</v>
      </c>
      <c r="GE30" s="331" t="s">
        <v>190</v>
      </c>
      <c r="GF30" s="331" t="s">
        <v>190</v>
      </c>
      <c r="GG30" s="331" t="s">
        <v>190</v>
      </c>
      <c r="GH30" s="331" t="s">
        <v>428</v>
      </c>
      <c r="GI30" s="331" t="s">
        <v>190</v>
      </c>
      <c r="GJ30" s="331" t="s">
        <v>190</v>
      </c>
      <c r="GK30" s="331" t="s">
        <v>190</v>
      </c>
      <c r="GL30" s="331" t="s">
        <v>190</v>
      </c>
      <c r="GM30" s="331" t="s">
        <v>190</v>
      </c>
      <c r="GN30" s="331" t="s">
        <v>428</v>
      </c>
      <c r="GO30" s="331" t="s">
        <v>190</v>
      </c>
      <c r="GP30" s="331" t="s">
        <v>190</v>
      </c>
      <c r="GQ30" s="331" t="s">
        <v>190</v>
      </c>
      <c r="GR30" s="331" t="s">
        <v>190</v>
      </c>
      <c r="GS30" s="331" t="s">
        <v>190</v>
      </c>
      <c r="GT30" s="331" t="s">
        <v>190</v>
      </c>
      <c r="GU30" s="331" t="s">
        <v>190</v>
      </c>
      <c r="GV30" s="331" t="s">
        <v>190</v>
      </c>
      <c r="GW30" s="331" t="s">
        <v>428</v>
      </c>
      <c r="GX30" s="331" t="s">
        <v>190</v>
      </c>
      <c r="GY30" s="331" t="s">
        <v>428</v>
      </c>
      <c r="GZ30" s="331" t="s">
        <v>190</v>
      </c>
      <c r="HA30" s="331" t="s">
        <v>190</v>
      </c>
      <c r="HB30" s="331" t="s">
        <v>190</v>
      </c>
      <c r="HC30" s="331" t="s">
        <v>190</v>
      </c>
      <c r="HD30" s="331" t="s">
        <v>190</v>
      </c>
      <c r="HE30" s="331" t="s">
        <v>190</v>
      </c>
      <c r="HF30" s="331" t="s">
        <v>428</v>
      </c>
      <c r="HG30" s="331" t="s">
        <v>190</v>
      </c>
      <c r="HH30" s="331" t="s">
        <v>190</v>
      </c>
      <c r="HI30" s="331" t="s">
        <v>428</v>
      </c>
      <c r="HJ30" s="331" t="s">
        <v>428</v>
      </c>
      <c r="HK30" s="331" t="s">
        <v>428</v>
      </c>
      <c r="HL30" s="331" t="s">
        <v>428</v>
      </c>
      <c r="HM30" s="331" t="s">
        <v>190</v>
      </c>
      <c r="HN30" s="331" t="s">
        <v>190</v>
      </c>
      <c r="HO30" s="331" t="s">
        <v>190</v>
      </c>
      <c r="HP30" s="331" t="s">
        <v>190</v>
      </c>
      <c r="HQ30" s="331" t="s">
        <v>190</v>
      </c>
      <c r="HR30" s="331" t="s">
        <v>190</v>
      </c>
      <c r="HS30" s="331" t="s">
        <v>190</v>
      </c>
      <c r="HT30" s="331" t="s">
        <v>190</v>
      </c>
      <c r="HU30" s="331" t="s">
        <v>190</v>
      </c>
      <c r="HV30" s="331" t="s">
        <v>190</v>
      </c>
      <c r="HW30" s="331" t="s">
        <v>190</v>
      </c>
      <c r="HX30" s="331" t="s">
        <v>190</v>
      </c>
      <c r="HY30" s="331" t="s">
        <v>190</v>
      </c>
      <c r="HZ30" s="331" t="s">
        <v>190</v>
      </c>
      <c r="IA30" s="331" t="s">
        <v>190</v>
      </c>
      <c r="IB30" s="331" t="s">
        <v>190</v>
      </c>
      <c r="IC30" s="331" t="s">
        <v>190</v>
      </c>
      <c r="ID30" s="331" t="s">
        <v>190</v>
      </c>
      <c r="IE30" s="331" t="s">
        <v>190</v>
      </c>
      <c r="IF30" s="331" t="s">
        <v>190</v>
      </c>
      <c r="IG30" s="331" t="s">
        <v>170</v>
      </c>
      <c r="IH30" s="331" t="s">
        <v>429</v>
      </c>
      <c r="II30" s="331" t="s">
        <v>169</v>
      </c>
      <c r="IJ30" s="331" t="s">
        <v>427</v>
      </c>
      <c r="IK30" s="331" t="s">
        <v>428</v>
      </c>
      <c r="IL30" s="331" t="s">
        <v>428</v>
      </c>
    </row>
    <row r="31" spans="1:246" x14ac:dyDescent="0.25">
      <c r="A31" s="334" t="str">
        <f>HYPERLINK("http://www.ofsted.gov.uk/inspection-reports/find-inspection-report/provider/ELS/142931 ","Ofsted School Webpage")</f>
        <v>Ofsted School Webpage</v>
      </c>
      <c r="B31" s="331">
        <v>142931</v>
      </c>
      <c r="C31" s="331">
        <v>8896015</v>
      </c>
      <c r="D31" s="331" t="s">
        <v>1154</v>
      </c>
      <c r="E31" s="331" t="s">
        <v>167</v>
      </c>
      <c r="F31" s="331" t="s">
        <v>431</v>
      </c>
      <c r="G31" s="331" t="s">
        <v>431</v>
      </c>
      <c r="H31" s="331" t="s">
        <v>541</v>
      </c>
      <c r="I31" s="331" t="s">
        <v>1155</v>
      </c>
      <c r="J31" s="331" t="s">
        <v>81</v>
      </c>
      <c r="K31" s="331" t="s">
        <v>71</v>
      </c>
      <c r="L31" s="331" t="s">
        <v>71</v>
      </c>
      <c r="M31" s="331" t="s">
        <v>72</v>
      </c>
      <c r="N31" s="331" t="s">
        <v>424</v>
      </c>
      <c r="O31" s="333">
        <v>10112083</v>
      </c>
      <c r="P31" s="332">
        <v>43781</v>
      </c>
      <c r="Q31" s="332">
        <v>43783</v>
      </c>
      <c r="R31" s="332">
        <v>43808</v>
      </c>
      <c r="S31" s="331" t="s">
        <v>425</v>
      </c>
      <c r="T31" s="331" t="s">
        <v>426</v>
      </c>
      <c r="U31" s="331">
        <v>4</v>
      </c>
      <c r="V31" s="331">
        <v>4</v>
      </c>
      <c r="W31" s="331">
        <v>3</v>
      </c>
      <c r="X31" s="331">
        <v>3</v>
      </c>
      <c r="Y31" s="331">
        <v>4</v>
      </c>
      <c r="Z31" s="331" t="s">
        <v>169</v>
      </c>
      <c r="AA31" s="331">
        <v>4</v>
      </c>
      <c r="AB31" s="331" t="s">
        <v>173</v>
      </c>
      <c r="AC31" s="331" t="s">
        <v>427</v>
      </c>
      <c r="AD31" s="331" t="s">
        <v>172</v>
      </c>
      <c r="AE31" s="331" t="s">
        <v>479</v>
      </c>
      <c r="AF31" s="331" t="s">
        <v>190</v>
      </c>
      <c r="AG31" s="331" t="s">
        <v>479</v>
      </c>
      <c r="AH31" s="331" t="s">
        <v>190</v>
      </c>
      <c r="AI31" s="331" t="s">
        <v>190</v>
      </c>
      <c r="AJ31" s="331" t="s">
        <v>190</v>
      </c>
      <c r="AK31" s="331" t="s">
        <v>190</v>
      </c>
      <c r="AL31" s="331" t="s">
        <v>479</v>
      </c>
      <c r="AM31" s="331" t="s">
        <v>191</v>
      </c>
      <c r="AN31" s="331" t="s">
        <v>191</v>
      </c>
      <c r="AO31" s="331" t="s">
        <v>191</v>
      </c>
      <c r="AP31" s="331" t="s">
        <v>191</v>
      </c>
      <c r="AQ31" s="331" t="s">
        <v>190</v>
      </c>
      <c r="AR31" s="331" t="s">
        <v>191</v>
      </c>
      <c r="AS31" s="331" t="s">
        <v>191</v>
      </c>
      <c r="AT31" s="331" t="s">
        <v>191</v>
      </c>
      <c r="AU31" s="331" t="s">
        <v>428</v>
      </c>
      <c r="AV31" s="331" t="s">
        <v>190</v>
      </c>
      <c r="AW31" s="331" t="s">
        <v>190</v>
      </c>
      <c r="AX31" s="331" t="s">
        <v>190</v>
      </c>
      <c r="AY31" s="331" t="s">
        <v>428</v>
      </c>
      <c r="AZ31" s="331" t="s">
        <v>428</v>
      </c>
      <c r="BA31" s="331" t="s">
        <v>428</v>
      </c>
      <c r="BB31" s="331" t="s">
        <v>428</v>
      </c>
      <c r="BC31" s="331" t="s">
        <v>428</v>
      </c>
      <c r="BD31" s="331" t="s">
        <v>428</v>
      </c>
      <c r="BE31" s="331" t="s">
        <v>191</v>
      </c>
      <c r="BF31" s="331" t="s">
        <v>190</v>
      </c>
      <c r="BG31" s="331" t="s">
        <v>191</v>
      </c>
      <c r="BH31" s="331" t="s">
        <v>191</v>
      </c>
      <c r="BI31" s="331" t="s">
        <v>191</v>
      </c>
      <c r="BJ31" s="331" t="s">
        <v>191</v>
      </c>
      <c r="BK31" s="331" t="s">
        <v>191</v>
      </c>
      <c r="BL31" s="331" t="s">
        <v>191</v>
      </c>
      <c r="BM31" s="331" t="s">
        <v>191</v>
      </c>
      <c r="BN31" s="331" t="s">
        <v>191</v>
      </c>
      <c r="BO31" s="331" t="s">
        <v>191</v>
      </c>
      <c r="BP31" s="331" t="s">
        <v>190</v>
      </c>
      <c r="BQ31" s="331" t="s">
        <v>190</v>
      </c>
      <c r="BR31" s="331" t="s">
        <v>191</v>
      </c>
      <c r="BS31" s="331" t="s">
        <v>190</v>
      </c>
      <c r="BT31" s="331" t="s">
        <v>190</v>
      </c>
      <c r="BU31" s="331" t="s">
        <v>190</v>
      </c>
      <c r="BV31" s="331" t="s">
        <v>190</v>
      </c>
      <c r="BW31" s="331" t="s">
        <v>190</v>
      </c>
      <c r="BX31" s="331" t="s">
        <v>190</v>
      </c>
      <c r="BY31" s="331" t="s">
        <v>190</v>
      </c>
      <c r="BZ31" s="331" t="s">
        <v>190</v>
      </c>
      <c r="CA31" s="331" t="s">
        <v>190</v>
      </c>
      <c r="CB31" s="331" t="s">
        <v>190</v>
      </c>
      <c r="CC31" s="331" t="s">
        <v>190</v>
      </c>
      <c r="CD31" s="331" t="s">
        <v>190</v>
      </c>
      <c r="CE31" s="331" t="s">
        <v>190</v>
      </c>
      <c r="CF31" s="331" t="s">
        <v>190</v>
      </c>
      <c r="CG31" s="331" t="s">
        <v>190</v>
      </c>
      <c r="CH31" s="331" t="s">
        <v>190</v>
      </c>
      <c r="CI31" s="331" t="s">
        <v>190</v>
      </c>
      <c r="CJ31" s="331" t="s">
        <v>190</v>
      </c>
      <c r="CK31" s="331" t="s">
        <v>428</v>
      </c>
      <c r="CL31" s="331" t="s">
        <v>428</v>
      </c>
      <c r="CM31" s="331" t="s">
        <v>428</v>
      </c>
      <c r="CN31" s="331" t="s">
        <v>191</v>
      </c>
      <c r="CO31" s="331" t="s">
        <v>191</v>
      </c>
      <c r="CP31" s="331" t="s">
        <v>191</v>
      </c>
      <c r="CQ31" s="331" t="s">
        <v>190</v>
      </c>
      <c r="CR31" s="331" t="s">
        <v>190</v>
      </c>
      <c r="CS31" s="331" t="s">
        <v>190</v>
      </c>
      <c r="CT31" s="331" t="s">
        <v>190</v>
      </c>
      <c r="CU31" s="331" t="s">
        <v>190</v>
      </c>
      <c r="CV31" s="331" t="s">
        <v>190</v>
      </c>
      <c r="CW31" s="331" t="s">
        <v>190</v>
      </c>
      <c r="CX31" s="331" t="s">
        <v>190</v>
      </c>
      <c r="CY31" s="331" t="s">
        <v>190</v>
      </c>
      <c r="CZ31" s="331" t="s">
        <v>190</v>
      </c>
      <c r="DA31" s="331" t="s">
        <v>190</v>
      </c>
      <c r="DB31" s="331" t="s">
        <v>190</v>
      </c>
      <c r="DC31" s="331" t="s">
        <v>190</v>
      </c>
      <c r="DD31" s="331" t="s">
        <v>190</v>
      </c>
      <c r="DE31" s="331" t="s">
        <v>190</v>
      </c>
      <c r="DF31" s="331" t="s">
        <v>190</v>
      </c>
      <c r="DG31" s="331" t="s">
        <v>190</v>
      </c>
      <c r="DH31" s="331" t="s">
        <v>190</v>
      </c>
      <c r="DI31" s="331" t="s">
        <v>190</v>
      </c>
      <c r="DJ31" s="331" t="s">
        <v>190</v>
      </c>
      <c r="DK31" s="331" t="s">
        <v>428</v>
      </c>
      <c r="DL31" s="331" t="s">
        <v>190</v>
      </c>
      <c r="DM31" s="331" t="s">
        <v>428</v>
      </c>
      <c r="DN31" s="331" t="s">
        <v>428</v>
      </c>
      <c r="DO31" s="331" t="s">
        <v>428</v>
      </c>
      <c r="DP31" s="331" t="s">
        <v>428</v>
      </c>
      <c r="DQ31" s="331" t="s">
        <v>428</v>
      </c>
      <c r="DR31" s="331" t="s">
        <v>428</v>
      </c>
      <c r="DS31" s="331" t="s">
        <v>428</v>
      </c>
      <c r="DT31" s="331" t="s">
        <v>428</v>
      </c>
      <c r="DU31" s="331" t="s">
        <v>428</v>
      </c>
      <c r="DV31" s="331" t="s">
        <v>428</v>
      </c>
      <c r="DW31" s="331" t="s">
        <v>428</v>
      </c>
      <c r="DX31" s="331" t="s">
        <v>428</v>
      </c>
      <c r="DY31" s="331" t="s">
        <v>428</v>
      </c>
      <c r="DZ31" s="331" t="s">
        <v>428</v>
      </c>
      <c r="EA31" s="331" t="s">
        <v>190</v>
      </c>
      <c r="EB31" s="331" t="s">
        <v>190</v>
      </c>
      <c r="EC31" s="331" t="s">
        <v>190</v>
      </c>
      <c r="ED31" s="331" t="s">
        <v>190</v>
      </c>
      <c r="EE31" s="331" t="s">
        <v>190</v>
      </c>
      <c r="EF31" s="331" t="s">
        <v>190</v>
      </c>
      <c r="EG31" s="331" t="s">
        <v>190</v>
      </c>
      <c r="EH31" s="331" t="s">
        <v>190</v>
      </c>
      <c r="EI31" s="331" t="s">
        <v>190</v>
      </c>
      <c r="EJ31" s="331" t="s">
        <v>190</v>
      </c>
      <c r="EK31" s="331" t="s">
        <v>190</v>
      </c>
      <c r="EL31" s="331" t="s">
        <v>190</v>
      </c>
      <c r="EM31" s="331" t="s">
        <v>190</v>
      </c>
      <c r="EN31" s="331" t="s">
        <v>190</v>
      </c>
      <c r="EO31" s="331" t="s">
        <v>190</v>
      </c>
      <c r="EP31" s="331" t="s">
        <v>190</v>
      </c>
      <c r="EQ31" s="331" t="s">
        <v>190</v>
      </c>
      <c r="ER31" s="331" t="s">
        <v>190</v>
      </c>
      <c r="ES31" s="331" t="s">
        <v>190</v>
      </c>
      <c r="ET31" s="331" t="s">
        <v>190</v>
      </c>
      <c r="EU31" s="331" t="s">
        <v>190</v>
      </c>
      <c r="EV31" s="331" t="s">
        <v>190</v>
      </c>
      <c r="EW31" s="331" t="s">
        <v>190</v>
      </c>
      <c r="EX31" s="331" t="s">
        <v>190</v>
      </c>
      <c r="EY31" s="331" t="s">
        <v>428</v>
      </c>
      <c r="EZ31" s="331" t="s">
        <v>428</v>
      </c>
      <c r="FA31" s="331" t="s">
        <v>428</v>
      </c>
      <c r="FB31" s="331" t="s">
        <v>428</v>
      </c>
      <c r="FC31" s="331" t="s">
        <v>428</v>
      </c>
      <c r="FD31" s="331" t="s">
        <v>428</v>
      </c>
      <c r="FE31" s="331" t="s">
        <v>190</v>
      </c>
      <c r="FF31" s="331" t="s">
        <v>190</v>
      </c>
      <c r="FG31" s="331" t="s">
        <v>190</v>
      </c>
      <c r="FH31" s="331" t="s">
        <v>190</v>
      </c>
      <c r="FI31" s="331" t="s">
        <v>190</v>
      </c>
      <c r="FJ31" s="331" t="s">
        <v>190</v>
      </c>
      <c r="FK31" s="331" t="s">
        <v>190</v>
      </c>
      <c r="FL31" s="331" t="s">
        <v>190</v>
      </c>
      <c r="FM31" s="331" t="s">
        <v>190</v>
      </c>
      <c r="FN31" s="331" t="s">
        <v>190</v>
      </c>
      <c r="FO31" s="331" t="s">
        <v>190</v>
      </c>
      <c r="FP31" s="331" t="s">
        <v>428</v>
      </c>
      <c r="FQ31" s="331" t="s">
        <v>190</v>
      </c>
      <c r="FR31" s="331" t="s">
        <v>190</v>
      </c>
      <c r="FS31" s="331" t="s">
        <v>190</v>
      </c>
      <c r="FT31" s="331" t="s">
        <v>190</v>
      </c>
      <c r="FU31" s="331" t="s">
        <v>190</v>
      </c>
      <c r="FV31" s="331" t="s">
        <v>190</v>
      </c>
      <c r="FW31" s="331" t="s">
        <v>190</v>
      </c>
      <c r="FX31" s="331" t="s">
        <v>190</v>
      </c>
      <c r="FY31" s="331" t="s">
        <v>190</v>
      </c>
      <c r="FZ31" s="331" t="s">
        <v>428</v>
      </c>
      <c r="GA31" s="331" t="s">
        <v>190</v>
      </c>
      <c r="GB31" s="331" t="s">
        <v>190</v>
      </c>
      <c r="GC31" s="331" t="s">
        <v>190</v>
      </c>
      <c r="GD31" s="331" t="s">
        <v>190</v>
      </c>
      <c r="GE31" s="331" t="s">
        <v>190</v>
      </c>
      <c r="GF31" s="331" t="s">
        <v>190</v>
      </c>
      <c r="GG31" s="331" t="s">
        <v>190</v>
      </c>
      <c r="GH31" s="331" t="s">
        <v>428</v>
      </c>
      <c r="GI31" s="331" t="s">
        <v>190</v>
      </c>
      <c r="GJ31" s="331" t="s">
        <v>190</v>
      </c>
      <c r="GK31" s="331" t="s">
        <v>190</v>
      </c>
      <c r="GL31" s="331" t="s">
        <v>190</v>
      </c>
      <c r="GM31" s="331" t="s">
        <v>190</v>
      </c>
      <c r="GN31" s="331" t="s">
        <v>428</v>
      </c>
      <c r="GO31" s="331" t="s">
        <v>190</v>
      </c>
      <c r="GP31" s="331" t="s">
        <v>190</v>
      </c>
      <c r="GQ31" s="331" t="s">
        <v>190</v>
      </c>
      <c r="GR31" s="331" t="s">
        <v>190</v>
      </c>
      <c r="GS31" s="331" t="s">
        <v>190</v>
      </c>
      <c r="GT31" s="331" t="s">
        <v>190</v>
      </c>
      <c r="GU31" s="331" t="s">
        <v>190</v>
      </c>
      <c r="GV31" s="331" t="s">
        <v>190</v>
      </c>
      <c r="GW31" s="331" t="s">
        <v>428</v>
      </c>
      <c r="GX31" s="331" t="s">
        <v>190</v>
      </c>
      <c r="GY31" s="331" t="s">
        <v>428</v>
      </c>
      <c r="GZ31" s="331" t="s">
        <v>190</v>
      </c>
      <c r="HA31" s="331" t="s">
        <v>190</v>
      </c>
      <c r="HB31" s="331" t="s">
        <v>190</v>
      </c>
      <c r="HC31" s="331" t="s">
        <v>190</v>
      </c>
      <c r="HD31" s="331" t="s">
        <v>190</v>
      </c>
      <c r="HE31" s="331" t="s">
        <v>190</v>
      </c>
      <c r="HF31" s="331" t="s">
        <v>190</v>
      </c>
      <c r="HG31" s="331" t="s">
        <v>190</v>
      </c>
      <c r="HH31" s="331" t="s">
        <v>190</v>
      </c>
      <c r="HI31" s="331" t="s">
        <v>428</v>
      </c>
      <c r="HJ31" s="331" t="s">
        <v>428</v>
      </c>
      <c r="HK31" s="331" t="s">
        <v>428</v>
      </c>
      <c r="HL31" s="331" t="s">
        <v>428</v>
      </c>
      <c r="HM31" s="331" t="s">
        <v>190</v>
      </c>
      <c r="HN31" s="331" t="s">
        <v>190</v>
      </c>
      <c r="HO31" s="331" t="s">
        <v>190</v>
      </c>
      <c r="HP31" s="331" t="s">
        <v>190</v>
      </c>
      <c r="HQ31" s="331" t="s">
        <v>190</v>
      </c>
      <c r="HR31" s="331" t="s">
        <v>190</v>
      </c>
      <c r="HS31" s="331" t="s">
        <v>190</v>
      </c>
      <c r="HT31" s="331" t="s">
        <v>190</v>
      </c>
      <c r="HU31" s="331" t="s">
        <v>190</v>
      </c>
      <c r="HV31" s="331" t="s">
        <v>190</v>
      </c>
      <c r="HW31" s="331" t="s">
        <v>190</v>
      </c>
      <c r="HX31" s="331" t="s">
        <v>190</v>
      </c>
      <c r="HY31" s="331" t="s">
        <v>190</v>
      </c>
      <c r="HZ31" s="331" t="s">
        <v>190</v>
      </c>
      <c r="IA31" s="331" t="s">
        <v>190</v>
      </c>
      <c r="IB31" s="331" t="s">
        <v>190</v>
      </c>
      <c r="IC31" s="331" t="s">
        <v>191</v>
      </c>
      <c r="ID31" s="331" t="s">
        <v>191</v>
      </c>
      <c r="IE31" s="331" t="s">
        <v>191</v>
      </c>
      <c r="IF31" s="331" t="s">
        <v>190</v>
      </c>
      <c r="IG31" s="331" t="s">
        <v>170</v>
      </c>
      <c r="IH31" s="331" t="s">
        <v>429</v>
      </c>
      <c r="II31" s="331" t="s">
        <v>169</v>
      </c>
      <c r="IJ31" s="331" t="s">
        <v>427</v>
      </c>
      <c r="IK31" s="331" t="s">
        <v>190</v>
      </c>
      <c r="IL31" s="331" t="s">
        <v>191</v>
      </c>
    </row>
    <row r="32" spans="1:246" x14ac:dyDescent="0.25">
      <c r="A32" s="330" t="str">
        <f>HYPERLINK("http://www.ofsted.gov.uk/inspection-reports/find-inspection-report/provider/ELS/141315 ","Ofsted School Webpage")</f>
        <v>Ofsted School Webpage</v>
      </c>
      <c r="B32" s="331">
        <v>141315</v>
      </c>
      <c r="C32" s="331">
        <v>2036004</v>
      </c>
      <c r="D32" s="331" t="s">
        <v>2290</v>
      </c>
      <c r="E32" s="331" t="s">
        <v>167</v>
      </c>
      <c r="F32" s="331" t="s">
        <v>441</v>
      </c>
      <c r="G32" s="331" t="s">
        <v>441</v>
      </c>
      <c r="H32" s="331" t="s">
        <v>731</v>
      </c>
      <c r="I32" s="331" t="s">
        <v>2291</v>
      </c>
      <c r="J32" s="331" t="s">
        <v>81</v>
      </c>
      <c r="K32" s="331" t="s">
        <v>81</v>
      </c>
      <c r="L32" s="331" t="s">
        <v>81</v>
      </c>
      <c r="M32" s="331" t="s">
        <v>78</v>
      </c>
      <c r="N32" s="331" t="s">
        <v>424</v>
      </c>
      <c r="O32" s="333">
        <v>10092526</v>
      </c>
      <c r="P32" s="332">
        <v>43781</v>
      </c>
      <c r="Q32" s="332">
        <v>43783</v>
      </c>
      <c r="R32" s="332">
        <v>43815</v>
      </c>
      <c r="S32" s="331" t="s">
        <v>425</v>
      </c>
      <c r="T32" s="331" t="s">
        <v>426</v>
      </c>
      <c r="U32" s="331">
        <v>2</v>
      </c>
      <c r="V32" s="331">
        <v>2</v>
      </c>
      <c r="W32" s="331">
        <v>2</v>
      </c>
      <c r="X32" s="331">
        <v>2</v>
      </c>
      <c r="Y32" s="331">
        <v>2</v>
      </c>
      <c r="Z32" s="331" t="s">
        <v>169</v>
      </c>
      <c r="AA32" s="331" t="s">
        <v>173</v>
      </c>
      <c r="AB32" s="331" t="s">
        <v>173</v>
      </c>
      <c r="AC32" s="331" t="s">
        <v>427</v>
      </c>
      <c r="AD32" s="331" t="s">
        <v>171</v>
      </c>
      <c r="AE32" s="331" t="s">
        <v>190</v>
      </c>
      <c r="AF32" s="331" t="s">
        <v>190</v>
      </c>
      <c r="AG32" s="331" t="s">
        <v>190</v>
      </c>
      <c r="AH32" s="331" t="s">
        <v>190</v>
      </c>
      <c r="AI32" s="331" t="s">
        <v>190</v>
      </c>
      <c r="AJ32" s="331" t="s">
        <v>190</v>
      </c>
      <c r="AK32" s="331" t="s">
        <v>190</v>
      </c>
      <c r="AL32" s="331" t="s">
        <v>190</v>
      </c>
      <c r="AM32" s="331" t="s">
        <v>190</v>
      </c>
      <c r="AN32" s="331" t="s">
        <v>190</v>
      </c>
      <c r="AO32" s="331" t="s">
        <v>190</v>
      </c>
      <c r="AP32" s="331" t="s">
        <v>190</v>
      </c>
      <c r="AQ32" s="331" t="s">
        <v>190</v>
      </c>
      <c r="AR32" s="331" t="s">
        <v>190</v>
      </c>
      <c r="AS32" s="331" t="s">
        <v>190</v>
      </c>
      <c r="AT32" s="331" t="s">
        <v>190</v>
      </c>
      <c r="AU32" s="331" t="s">
        <v>190</v>
      </c>
      <c r="AV32" s="331" t="s">
        <v>190</v>
      </c>
      <c r="AW32" s="331" t="s">
        <v>190</v>
      </c>
      <c r="AX32" s="331" t="s">
        <v>190</v>
      </c>
      <c r="AY32" s="331" t="s">
        <v>190</v>
      </c>
      <c r="AZ32" s="331" t="s">
        <v>190</v>
      </c>
      <c r="BA32" s="331" t="s">
        <v>190</v>
      </c>
      <c r="BB32" s="331" t="s">
        <v>190</v>
      </c>
      <c r="BC32" s="331" t="s">
        <v>428</v>
      </c>
      <c r="BD32" s="331" t="s">
        <v>190</v>
      </c>
      <c r="BE32" s="331" t="s">
        <v>190</v>
      </c>
      <c r="BF32" s="331" t="s">
        <v>190</v>
      </c>
      <c r="BG32" s="331" t="s">
        <v>190</v>
      </c>
      <c r="BH32" s="331" t="s">
        <v>190</v>
      </c>
      <c r="BI32" s="331" t="s">
        <v>190</v>
      </c>
      <c r="BJ32" s="331" t="s">
        <v>190</v>
      </c>
      <c r="BK32" s="331" t="s">
        <v>190</v>
      </c>
      <c r="BL32" s="331" t="s">
        <v>190</v>
      </c>
      <c r="BM32" s="331" t="s">
        <v>190</v>
      </c>
      <c r="BN32" s="331" t="s">
        <v>190</v>
      </c>
      <c r="BO32" s="331" t="s">
        <v>190</v>
      </c>
      <c r="BP32" s="331" t="s">
        <v>190</v>
      </c>
      <c r="BQ32" s="331" t="s">
        <v>190</v>
      </c>
      <c r="BR32" s="331" t="s">
        <v>190</v>
      </c>
      <c r="BS32" s="331" t="s">
        <v>190</v>
      </c>
      <c r="BT32" s="331" t="s">
        <v>190</v>
      </c>
      <c r="BU32" s="331" t="s">
        <v>190</v>
      </c>
      <c r="BV32" s="331" t="s">
        <v>190</v>
      </c>
      <c r="BW32" s="331" t="s">
        <v>190</v>
      </c>
      <c r="BX32" s="331" t="s">
        <v>190</v>
      </c>
      <c r="BY32" s="331" t="s">
        <v>190</v>
      </c>
      <c r="BZ32" s="331" t="s">
        <v>190</v>
      </c>
      <c r="CA32" s="331" t="s">
        <v>190</v>
      </c>
      <c r="CB32" s="331" t="s">
        <v>190</v>
      </c>
      <c r="CC32" s="331" t="s">
        <v>190</v>
      </c>
      <c r="CD32" s="331" t="s">
        <v>190</v>
      </c>
      <c r="CE32" s="331" t="s">
        <v>190</v>
      </c>
      <c r="CF32" s="331" t="s">
        <v>190</v>
      </c>
      <c r="CG32" s="331" t="s">
        <v>190</v>
      </c>
      <c r="CH32" s="331" t="s">
        <v>190</v>
      </c>
      <c r="CI32" s="331" t="s">
        <v>190</v>
      </c>
      <c r="CJ32" s="331" t="s">
        <v>190</v>
      </c>
      <c r="CK32" s="331" t="s">
        <v>428</v>
      </c>
      <c r="CL32" s="331" t="s">
        <v>428</v>
      </c>
      <c r="CM32" s="331" t="s">
        <v>428</v>
      </c>
      <c r="CN32" s="331" t="s">
        <v>190</v>
      </c>
      <c r="CO32" s="331" t="s">
        <v>190</v>
      </c>
      <c r="CP32" s="331" t="s">
        <v>190</v>
      </c>
      <c r="CQ32" s="331" t="s">
        <v>190</v>
      </c>
      <c r="CR32" s="331" t="s">
        <v>190</v>
      </c>
      <c r="CS32" s="331" t="s">
        <v>190</v>
      </c>
      <c r="CT32" s="331" t="s">
        <v>190</v>
      </c>
      <c r="CU32" s="331" t="s">
        <v>190</v>
      </c>
      <c r="CV32" s="331" t="s">
        <v>190</v>
      </c>
      <c r="CW32" s="331" t="s">
        <v>190</v>
      </c>
      <c r="CX32" s="331" t="s">
        <v>190</v>
      </c>
      <c r="CY32" s="331" t="s">
        <v>190</v>
      </c>
      <c r="CZ32" s="331" t="s">
        <v>190</v>
      </c>
      <c r="DA32" s="331" t="s">
        <v>190</v>
      </c>
      <c r="DB32" s="331" t="s">
        <v>190</v>
      </c>
      <c r="DC32" s="331" t="s">
        <v>190</v>
      </c>
      <c r="DD32" s="331" t="s">
        <v>190</v>
      </c>
      <c r="DE32" s="331" t="s">
        <v>190</v>
      </c>
      <c r="DF32" s="331" t="s">
        <v>190</v>
      </c>
      <c r="DG32" s="331" t="s">
        <v>190</v>
      </c>
      <c r="DH32" s="331" t="s">
        <v>190</v>
      </c>
      <c r="DI32" s="331" t="s">
        <v>190</v>
      </c>
      <c r="DJ32" s="331" t="s">
        <v>190</v>
      </c>
      <c r="DK32" s="331" t="s">
        <v>428</v>
      </c>
      <c r="DL32" s="331" t="s">
        <v>190</v>
      </c>
      <c r="DM32" s="331" t="s">
        <v>428</v>
      </c>
      <c r="DN32" s="331" t="s">
        <v>428</v>
      </c>
      <c r="DO32" s="331" t="s">
        <v>428</v>
      </c>
      <c r="DP32" s="331" t="s">
        <v>428</v>
      </c>
      <c r="DQ32" s="331" t="s">
        <v>428</v>
      </c>
      <c r="DR32" s="331" t="s">
        <v>428</v>
      </c>
      <c r="DS32" s="331" t="s">
        <v>428</v>
      </c>
      <c r="DT32" s="331" t="s">
        <v>428</v>
      </c>
      <c r="DU32" s="331" t="s">
        <v>428</v>
      </c>
      <c r="DV32" s="331" t="s">
        <v>428</v>
      </c>
      <c r="DW32" s="331" t="s">
        <v>428</v>
      </c>
      <c r="DX32" s="331" t="s">
        <v>428</v>
      </c>
      <c r="DY32" s="331" t="s">
        <v>428</v>
      </c>
      <c r="DZ32" s="331" t="s">
        <v>428</v>
      </c>
      <c r="EA32" s="331" t="s">
        <v>428</v>
      </c>
      <c r="EB32" s="331" t="s">
        <v>190</v>
      </c>
      <c r="EC32" s="331" t="s">
        <v>190</v>
      </c>
      <c r="ED32" s="331" t="s">
        <v>190</v>
      </c>
      <c r="EE32" s="331" t="s">
        <v>190</v>
      </c>
      <c r="EF32" s="331" t="s">
        <v>190</v>
      </c>
      <c r="EG32" s="331" t="s">
        <v>190</v>
      </c>
      <c r="EH32" s="331" t="s">
        <v>190</v>
      </c>
      <c r="EI32" s="331" t="s">
        <v>190</v>
      </c>
      <c r="EJ32" s="331" t="s">
        <v>190</v>
      </c>
      <c r="EK32" s="331" t="s">
        <v>190</v>
      </c>
      <c r="EL32" s="331" t="s">
        <v>190</v>
      </c>
      <c r="EM32" s="331" t="s">
        <v>190</v>
      </c>
      <c r="EN32" s="331" t="s">
        <v>190</v>
      </c>
      <c r="EO32" s="331" t="s">
        <v>190</v>
      </c>
      <c r="EP32" s="331" t="s">
        <v>190</v>
      </c>
      <c r="EQ32" s="331" t="s">
        <v>190</v>
      </c>
      <c r="ER32" s="331" t="s">
        <v>190</v>
      </c>
      <c r="ES32" s="331" t="s">
        <v>190</v>
      </c>
      <c r="ET32" s="331" t="s">
        <v>190</v>
      </c>
      <c r="EU32" s="331" t="s">
        <v>190</v>
      </c>
      <c r="EV32" s="331" t="s">
        <v>190</v>
      </c>
      <c r="EW32" s="331" t="s">
        <v>190</v>
      </c>
      <c r="EX32" s="331" t="s">
        <v>428</v>
      </c>
      <c r="EY32" s="331" t="s">
        <v>428</v>
      </c>
      <c r="EZ32" s="331" t="s">
        <v>428</v>
      </c>
      <c r="FA32" s="331" t="s">
        <v>428</v>
      </c>
      <c r="FB32" s="331" t="s">
        <v>428</v>
      </c>
      <c r="FC32" s="331" t="s">
        <v>428</v>
      </c>
      <c r="FD32" s="331" t="s">
        <v>428</v>
      </c>
      <c r="FE32" s="331" t="s">
        <v>190</v>
      </c>
      <c r="FF32" s="331" t="s">
        <v>428</v>
      </c>
      <c r="FG32" s="331" t="s">
        <v>190</v>
      </c>
      <c r="FH32" s="331" t="s">
        <v>190</v>
      </c>
      <c r="FI32" s="331" t="s">
        <v>190</v>
      </c>
      <c r="FJ32" s="331" t="s">
        <v>190</v>
      </c>
      <c r="FK32" s="331" t="s">
        <v>190</v>
      </c>
      <c r="FL32" s="331" t="s">
        <v>190</v>
      </c>
      <c r="FM32" s="331" t="s">
        <v>190</v>
      </c>
      <c r="FN32" s="331" t="s">
        <v>190</v>
      </c>
      <c r="FO32" s="331" t="s">
        <v>190</v>
      </c>
      <c r="FP32" s="331" t="s">
        <v>428</v>
      </c>
      <c r="FQ32" s="331" t="s">
        <v>190</v>
      </c>
      <c r="FR32" s="331" t="s">
        <v>190</v>
      </c>
      <c r="FS32" s="331" t="s">
        <v>190</v>
      </c>
      <c r="FT32" s="331" t="s">
        <v>190</v>
      </c>
      <c r="FU32" s="331" t="s">
        <v>190</v>
      </c>
      <c r="FV32" s="331" t="s">
        <v>190</v>
      </c>
      <c r="FW32" s="331" t="s">
        <v>190</v>
      </c>
      <c r="FX32" s="331" t="s">
        <v>190</v>
      </c>
      <c r="FY32" s="331" t="s">
        <v>190</v>
      </c>
      <c r="FZ32" s="331" t="s">
        <v>190</v>
      </c>
      <c r="GA32" s="331" t="s">
        <v>190</v>
      </c>
      <c r="GB32" s="331" t="s">
        <v>190</v>
      </c>
      <c r="GC32" s="331" t="s">
        <v>190</v>
      </c>
      <c r="GD32" s="331" t="s">
        <v>190</v>
      </c>
      <c r="GE32" s="331" t="s">
        <v>190</v>
      </c>
      <c r="GF32" s="331" t="s">
        <v>190</v>
      </c>
      <c r="GG32" s="331" t="s">
        <v>428</v>
      </c>
      <c r="GH32" s="331" t="s">
        <v>428</v>
      </c>
      <c r="GI32" s="331" t="s">
        <v>190</v>
      </c>
      <c r="GJ32" s="331" t="s">
        <v>190</v>
      </c>
      <c r="GK32" s="331" t="s">
        <v>190</v>
      </c>
      <c r="GL32" s="331" t="s">
        <v>190</v>
      </c>
      <c r="GM32" s="331" t="s">
        <v>190</v>
      </c>
      <c r="GN32" s="331" t="s">
        <v>190</v>
      </c>
      <c r="GO32" s="331" t="s">
        <v>190</v>
      </c>
      <c r="GP32" s="331" t="s">
        <v>190</v>
      </c>
      <c r="GQ32" s="331" t="s">
        <v>190</v>
      </c>
      <c r="GR32" s="331" t="s">
        <v>190</v>
      </c>
      <c r="GS32" s="331" t="s">
        <v>190</v>
      </c>
      <c r="GT32" s="331" t="s">
        <v>190</v>
      </c>
      <c r="GU32" s="331" t="s">
        <v>190</v>
      </c>
      <c r="GV32" s="331" t="s">
        <v>190</v>
      </c>
      <c r="GW32" s="331" t="s">
        <v>190</v>
      </c>
      <c r="GX32" s="331" t="s">
        <v>428</v>
      </c>
      <c r="GY32" s="331" t="s">
        <v>428</v>
      </c>
      <c r="GZ32" s="331" t="s">
        <v>190</v>
      </c>
      <c r="HA32" s="331" t="s">
        <v>190</v>
      </c>
      <c r="HB32" s="331" t="s">
        <v>190</v>
      </c>
      <c r="HC32" s="331" t="s">
        <v>190</v>
      </c>
      <c r="HD32" s="331" t="s">
        <v>190</v>
      </c>
      <c r="HE32" s="331" t="s">
        <v>190</v>
      </c>
      <c r="HF32" s="331" t="s">
        <v>190</v>
      </c>
      <c r="HG32" s="331" t="s">
        <v>190</v>
      </c>
      <c r="HH32" s="331" t="s">
        <v>190</v>
      </c>
      <c r="HI32" s="331" t="s">
        <v>190</v>
      </c>
      <c r="HJ32" s="331" t="s">
        <v>190</v>
      </c>
      <c r="HK32" s="331" t="s">
        <v>190</v>
      </c>
      <c r="HL32" s="331" t="s">
        <v>190</v>
      </c>
      <c r="HM32" s="331" t="s">
        <v>190</v>
      </c>
      <c r="HN32" s="331" t="s">
        <v>190</v>
      </c>
      <c r="HO32" s="331" t="s">
        <v>190</v>
      </c>
      <c r="HP32" s="331" t="s">
        <v>190</v>
      </c>
      <c r="HQ32" s="331" t="s">
        <v>190</v>
      </c>
      <c r="HR32" s="331" t="s">
        <v>190</v>
      </c>
      <c r="HS32" s="331" t="s">
        <v>190</v>
      </c>
      <c r="HT32" s="331" t="s">
        <v>190</v>
      </c>
      <c r="HU32" s="331" t="s">
        <v>190</v>
      </c>
      <c r="HV32" s="331" t="s">
        <v>190</v>
      </c>
      <c r="HW32" s="331" t="s">
        <v>190</v>
      </c>
      <c r="HX32" s="331" t="s">
        <v>190</v>
      </c>
      <c r="HY32" s="331" t="s">
        <v>190</v>
      </c>
      <c r="HZ32" s="331" t="s">
        <v>190</v>
      </c>
      <c r="IA32" s="331" t="s">
        <v>190</v>
      </c>
      <c r="IB32" s="331" t="s">
        <v>190</v>
      </c>
      <c r="IC32" s="331" t="s">
        <v>190</v>
      </c>
      <c r="ID32" s="331" t="s">
        <v>190</v>
      </c>
      <c r="IE32" s="331" t="s">
        <v>190</v>
      </c>
      <c r="IF32" s="331" t="s">
        <v>190</v>
      </c>
      <c r="IG32" s="331" t="s">
        <v>170</v>
      </c>
      <c r="IH32" s="331" t="s">
        <v>429</v>
      </c>
      <c r="II32" s="331" t="s">
        <v>169</v>
      </c>
      <c r="IJ32" s="331" t="s">
        <v>427</v>
      </c>
      <c r="IK32" s="331" t="s">
        <v>428</v>
      </c>
      <c r="IL32" s="331" t="s">
        <v>428</v>
      </c>
    </row>
    <row r="33" spans="1:246" x14ac:dyDescent="0.25">
      <c r="A33" s="334" t="str">
        <f>HYPERLINK("http://www.ofsted.gov.uk/inspection-reports/find-inspection-report/provider/ELS/147161 ","Ofsted School Webpage")</f>
        <v>Ofsted School Webpage</v>
      </c>
      <c r="B33" s="331">
        <v>147161</v>
      </c>
      <c r="C33" s="331">
        <v>8156046</v>
      </c>
      <c r="D33" s="331" t="s">
        <v>2684</v>
      </c>
      <c r="E33" s="331" t="s">
        <v>167</v>
      </c>
      <c r="F33" s="331" t="s">
        <v>458</v>
      </c>
      <c r="G33" s="331" t="s">
        <v>459</v>
      </c>
      <c r="H33" s="331" t="s">
        <v>754</v>
      </c>
      <c r="I33" s="331" t="s">
        <v>2685</v>
      </c>
      <c r="J33" s="331" t="s">
        <v>434</v>
      </c>
      <c r="K33" s="331" t="s">
        <v>81</v>
      </c>
      <c r="L33" s="331" t="s">
        <v>81</v>
      </c>
      <c r="M33" s="331" t="s">
        <v>78</v>
      </c>
      <c r="N33" s="331" t="s">
        <v>424</v>
      </c>
      <c r="O33" s="333">
        <v>10123293</v>
      </c>
      <c r="P33" s="332">
        <v>43781</v>
      </c>
      <c r="Q33" s="332">
        <v>43783</v>
      </c>
      <c r="R33" s="332">
        <v>43815</v>
      </c>
      <c r="S33" s="331" t="s">
        <v>435</v>
      </c>
      <c r="T33" s="331" t="s">
        <v>426</v>
      </c>
      <c r="U33" s="331">
        <v>2</v>
      </c>
      <c r="V33" s="331">
        <v>2</v>
      </c>
      <c r="W33" s="331">
        <v>2</v>
      </c>
      <c r="X33" s="331">
        <v>2</v>
      </c>
      <c r="Y33" s="331">
        <v>2</v>
      </c>
      <c r="Z33" s="331" t="s">
        <v>169</v>
      </c>
      <c r="AA33" s="331" t="s">
        <v>173</v>
      </c>
      <c r="AB33" s="331" t="s">
        <v>173</v>
      </c>
      <c r="AC33" s="331" t="s">
        <v>427</v>
      </c>
      <c r="AD33" s="331" t="s">
        <v>171</v>
      </c>
      <c r="AE33" s="331" t="s">
        <v>190</v>
      </c>
      <c r="AF33" s="331" t="s">
        <v>190</v>
      </c>
      <c r="AG33" s="331" t="s">
        <v>190</v>
      </c>
      <c r="AH33" s="331" t="s">
        <v>190</v>
      </c>
      <c r="AI33" s="331" t="s">
        <v>190</v>
      </c>
      <c r="AJ33" s="331" t="s">
        <v>190</v>
      </c>
      <c r="AK33" s="331" t="s">
        <v>190</v>
      </c>
      <c r="AL33" s="331" t="s">
        <v>190</v>
      </c>
      <c r="AM33" s="331" t="s">
        <v>190</v>
      </c>
      <c r="AN33" s="331" t="s">
        <v>190</v>
      </c>
      <c r="AO33" s="331" t="s">
        <v>190</v>
      </c>
      <c r="AP33" s="331" t="s">
        <v>190</v>
      </c>
      <c r="AQ33" s="331" t="s">
        <v>190</v>
      </c>
      <c r="AR33" s="331" t="s">
        <v>190</v>
      </c>
      <c r="AS33" s="331" t="s">
        <v>190</v>
      </c>
      <c r="AT33" s="331" t="s">
        <v>190</v>
      </c>
      <c r="AU33" s="331" t="s">
        <v>428</v>
      </c>
      <c r="AV33" s="331" t="s">
        <v>190</v>
      </c>
      <c r="AW33" s="331" t="s">
        <v>190</v>
      </c>
      <c r="AX33" s="331" t="s">
        <v>190</v>
      </c>
      <c r="AY33" s="331" t="s">
        <v>428</v>
      </c>
      <c r="AZ33" s="331" t="s">
        <v>428</v>
      </c>
      <c r="BA33" s="331" t="s">
        <v>428</v>
      </c>
      <c r="BB33" s="331" t="s">
        <v>428</v>
      </c>
      <c r="BC33" s="331" t="s">
        <v>428</v>
      </c>
      <c r="BD33" s="331" t="s">
        <v>428</v>
      </c>
      <c r="BE33" s="331" t="s">
        <v>190</v>
      </c>
      <c r="BF33" s="331" t="s">
        <v>190</v>
      </c>
      <c r="BG33" s="331" t="s">
        <v>190</v>
      </c>
      <c r="BH33" s="331" t="s">
        <v>190</v>
      </c>
      <c r="BI33" s="331" t="s">
        <v>190</v>
      </c>
      <c r="BJ33" s="331" t="s">
        <v>190</v>
      </c>
      <c r="BK33" s="331" t="s">
        <v>190</v>
      </c>
      <c r="BL33" s="331" t="s">
        <v>190</v>
      </c>
      <c r="BM33" s="331" t="s">
        <v>190</v>
      </c>
      <c r="BN33" s="331" t="s">
        <v>190</v>
      </c>
      <c r="BO33" s="331" t="s">
        <v>190</v>
      </c>
      <c r="BP33" s="331" t="s">
        <v>190</v>
      </c>
      <c r="BQ33" s="331" t="s">
        <v>190</v>
      </c>
      <c r="BR33" s="331" t="s">
        <v>190</v>
      </c>
      <c r="BS33" s="331" t="s">
        <v>190</v>
      </c>
      <c r="BT33" s="331" t="s">
        <v>190</v>
      </c>
      <c r="BU33" s="331" t="s">
        <v>190</v>
      </c>
      <c r="BV33" s="331" t="s">
        <v>190</v>
      </c>
      <c r="BW33" s="331" t="s">
        <v>190</v>
      </c>
      <c r="BX33" s="331" t="s">
        <v>190</v>
      </c>
      <c r="BY33" s="331" t="s">
        <v>190</v>
      </c>
      <c r="BZ33" s="331" t="s">
        <v>190</v>
      </c>
      <c r="CA33" s="331" t="s">
        <v>190</v>
      </c>
      <c r="CB33" s="331" t="s">
        <v>190</v>
      </c>
      <c r="CC33" s="331" t="s">
        <v>190</v>
      </c>
      <c r="CD33" s="331" t="s">
        <v>190</v>
      </c>
      <c r="CE33" s="331" t="s">
        <v>190</v>
      </c>
      <c r="CF33" s="331" t="s">
        <v>190</v>
      </c>
      <c r="CG33" s="331" t="s">
        <v>190</v>
      </c>
      <c r="CH33" s="331" t="s">
        <v>190</v>
      </c>
      <c r="CI33" s="331" t="s">
        <v>190</v>
      </c>
      <c r="CJ33" s="331" t="s">
        <v>190</v>
      </c>
      <c r="CK33" s="331" t="s">
        <v>428</v>
      </c>
      <c r="CL33" s="331" t="s">
        <v>428</v>
      </c>
      <c r="CM33" s="331" t="s">
        <v>428</v>
      </c>
      <c r="CN33" s="331" t="s">
        <v>190</v>
      </c>
      <c r="CO33" s="331" t="s">
        <v>190</v>
      </c>
      <c r="CP33" s="331" t="s">
        <v>190</v>
      </c>
      <c r="CQ33" s="331" t="s">
        <v>190</v>
      </c>
      <c r="CR33" s="331" t="s">
        <v>190</v>
      </c>
      <c r="CS33" s="331" t="s">
        <v>190</v>
      </c>
      <c r="CT33" s="331" t="s">
        <v>190</v>
      </c>
      <c r="CU33" s="331" t="s">
        <v>190</v>
      </c>
      <c r="CV33" s="331" t="s">
        <v>190</v>
      </c>
      <c r="CW33" s="331" t="s">
        <v>190</v>
      </c>
      <c r="CX33" s="331" t="s">
        <v>190</v>
      </c>
      <c r="CY33" s="331" t="s">
        <v>190</v>
      </c>
      <c r="CZ33" s="331" t="s">
        <v>190</v>
      </c>
      <c r="DA33" s="331" t="s">
        <v>428</v>
      </c>
      <c r="DB33" s="331" t="s">
        <v>190</v>
      </c>
      <c r="DC33" s="331" t="s">
        <v>190</v>
      </c>
      <c r="DD33" s="331" t="s">
        <v>190</v>
      </c>
      <c r="DE33" s="331" t="s">
        <v>190</v>
      </c>
      <c r="DF33" s="331" t="s">
        <v>190</v>
      </c>
      <c r="DG33" s="331" t="s">
        <v>190</v>
      </c>
      <c r="DH33" s="331" t="s">
        <v>190</v>
      </c>
      <c r="DI33" s="331" t="s">
        <v>190</v>
      </c>
      <c r="DJ33" s="331" t="s">
        <v>190</v>
      </c>
      <c r="DK33" s="331" t="s">
        <v>428</v>
      </c>
      <c r="DL33" s="331" t="s">
        <v>190</v>
      </c>
      <c r="DM33" s="331" t="s">
        <v>428</v>
      </c>
      <c r="DN33" s="331" t="s">
        <v>428</v>
      </c>
      <c r="DO33" s="331" t="s">
        <v>428</v>
      </c>
      <c r="DP33" s="331" t="s">
        <v>428</v>
      </c>
      <c r="DQ33" s="331" t="s">
        <v>428</v>
      </c>
      <c r="DR33" s="331" t="s">
        <v>428</v>
      </c>
      <c r="DS33" s="331" t="s">
        <v>428</v>
      </c>
      <c r="DT33" s="331" t="s">
        <v>428</v>
      </c>
      <c r="DU33" s="331" t="s">
        <v>428</v>
      </c>
      <c r="DV33" s="331" t="s">
        <v>428</v>
      </c>
      <c r="DW33" s="331" t="s">
        <v>428</v>
      </c>
      <c r="DX33" s="331" t="s">
        <v>428</v>
      </c>
      <c r="DY33" s="331" t="s">
        <v>428</v>
      </c>
      <c r="DZ33" s="331" t="s">
        <v>428</v>
      </c>
      <c r="EA33" s="331" t="s">
        <v>428</v>
      </c>
      <c r="EB33" s="331" t="s">
        <v>190</v>
      </c>
      <c r="EC33" s="331" t="s">
        <v>190</v>
      </c>
      <c r="ED33" s="331" t="s">
        <v>190</v>
      </c>
      <c r="EE33" s="331" t="s">
        <v>190</v>
      </c>
      <c r="EF33" s="331" t="s">
        <v>190</v>
      </c>
      <c r="EG33" s="331" t="s">
        <v>190</v>
      </c>
      <c r="EH33" s="331" t="s">
        <v>190</v>
      </c>
      <c r="EI33" s="331" t="s">
        <v>190</v>
      </c>
      <c r="EJ33" s="331" t="s">
        <v>190</v>
      </c>
      <c r="EK33" s="331" t="s">
        <v>190</v>
      </c>
      <c r="EL33" s="331" t="s">
        <v>190</v>
      </c>
      <c r="EM33" s="331" t="s">
        <v>190</v>
      </c>
      <c r="EN33" s="331" t="s">
        <v>190</v>
      </c>
      <c r="EO33" s="331" t="s">
        <v>190</v>
      </c>
      <c r="EP33" s="331" t="s">
        <v>190</v>
      </c>
      <c r="EQ33" s="331" t="s">
        <v>190</v>
      </c>
      <c r="ER33" s="331" t="s">
        <v>190</v>
      </c>
      <c r="ES33" s="331" t="s">
        <v>190</v>
      </c>
      <c r="ET33" s="331" t="s">
        <v>190</v>
      </c>
      <c r="EU33" s="331" t="s">
        <v>190</v>
      </c>
      <c r="EV33" s="331" t="s">
        <v>190</v>
      </c>
      <c r="EW33" s="331" t="s">
        <v>190</v>
      </c>
      <c r="EX33" s="331" t="s">
        <v>428</v>
      </c>
      <c r="EY33" s="331" t="s">
        <v>428</v>
      </c>
      <c r="EZ33" s="331" t="s">
        <v>428</v>
      </c>
      <c r="FA33" s="331" t="s">
        <v>428</v>
      </c>
      <c r="FB33" s="331" t="s">
        <v>428</v>
      </c>
      <c r="FC33" s="331" t="s">
        <v>428</v>
      </c>
      <c r="FD33" s="331" t="s">
        <v>428</v>
      </c>
      <c r="FE33" s="331" t="s">
        <v>190</v>
      </c>
      <c r="FF33" s="331" t="s">
        <v>428</v>
      </c>
      <c r="FG33" s="331" t="s">
        <v>429</v>
      </c>
      <c r="FH33" s="331" t="s">
        <v>428</v>
      </c>
      <c r="FI33" s="331" t="s">
        <v>190</v>
      </c>
      <c r="FJ33" s="331" t="s">
        <v>190</v>
      </c>
      <c r="FK33" s="331" t="s">
        <v>190</v>
      </c>
      <c r="FL33" s="331" t="s">
        <v>190</v>
      </c>
      <c r="FM33" s="331" t="s">
        <v>190</v>
      </c>
      <c r="FN33" s="331" t="s">
        <v>190</v>
      </c>
      <c r="FO33" s="331" t="s">
        <v>190</v>
      </c>
      <c r="FP33" s="331" t="s">
        <v>428</v>
      </c>
      <c r="FQ33" s="331" t="s">
        <v>190</v>
      </c>
      <c r="FR33" s="331" t="s">
        <v>190</v>
      </c>
      <c r="FS33" s="331" t="s">
        <v>190</v>
      </c>
      <c r="FT33" s="331" t="s">
        <v>190</v>
      </c>
      <c r="FU33" s="331" t="s">
        <v>190</v>
      </c>
      <c r="FV33" s="331" t="s">
        <v>190</v>
      </c>
      <c r="FW33" s="331" t="s">
        <v>190</v>
      </c>
      <c r="FX33" s="331" t="s">
        <v>190</v>
      </c>
      <c r="FY33" s="331" t="s">
        <v>190</v>
      </c>
      <c r="FZ33" s="331" t="s">
        <v>190</v>
      </c>
      <c r="GA33" s="331" t="s">
        <v>190</v>
      </c>
      <c r="GB33" s="331" t="s">
        <v>190</v>
      </c>
      <c r="GC33" s="331" t="s">
        <v>190</v>
      </c>
      <c r="GD33" s="331" t="s">
        <v>190</v>
      </c>
      <c r="GE33" s="331" t="s">
        <v>190</v>
      </c>
      <c r="GF33" s="331" t="s">
        <v>190</v>
      </c>
      <c r="GG33" s="331" t="s">
        <v>190</v>
      </c>
      <c r="GH33" s="331" t="s">
        <v>428</v>
      </c>
      <c r="GI33" s="331" t="s">
        <v>190</v>
      </c>
      <c r="GJ33" s="331" t="s">
        <v>190</v>
      </c>
      <c r="GK33" s="331" t="s">
        <v>190</v>
      </c>
      <c r="GL33" s="331" t="s">
        <v>190</v>
      </c>
      <c r="GM33" s="331" t="s">
        <v>190</v>
      </c>
      <c r="GN33" s="331" t="s">
        <v>428</v>
      </c>
      <c r="GO33" s="331" t="s">
        <v>190</v>
      </c>
      <c r="GP33" s="331" t="s">
        <v>190</v>
      </c>
      <c r="GQ33" s="331" t="s">
        <v>428</v>
      </c>
      <c r="GR33" s="331" t="s">
        <v>428</v>
      </c>
      <c r="GS33" s="331" t="s">
        <v>190</v>
      </c>
      <c r="GT33" s="331" t="s">
        <v>190</v>
      </c>
      <c r="GU33" s="331" t="s">
        <v>190</v>
      </c>
      <c r="GV33" s="331" t="s">
        <v>190</v>
      </c>
      <c r="GW33" s="331" t="s">
        <v>190</v>
      </c>
      <c r="GX33" s="331" t="s">
        <v>428</v>
      </c>
      <c r="GY33" s="331" t="s">
        <v>428</v>
      </c>
      <c r="GZ33" s="331" t="s">
        <v>190</v>
      </c>
      <c r="HA33" s="331" t="s">
        <v>190</v>
      </c>
      <c r="HB33" s="331" t="s">
        <v>190</v>
      </c>
      <c r="HC33" s="331" t="s">
        <v>190</v>
      </c>
      <c r="HD33" s="331" t="s">
        <v>190</v>
      </c>
      <c r="HE33" s="331" t="s">
        <v>190</v>
      </c>
      <c r="HF33" s="331" t="s">
        <v>190</v>
      </c>
      <c r="HG33" s="331" t="s">
        <v>190</v>
      </c>
      <c r="HH33" s="331" t="s">
        <v>190</v>
      </c>
      <c r="HI33" s="331" t="s">
        <v>428</v>
      </c>
      <c r="HJ33" s="331" t="s">
        <v>428</v>
      </c>
      <c r="HK33" s="331" t="s">
        <v>428</v>
      </c>
      <c r="HL33" s="331" t="s">
        <v>428</v>
      </c>
      <c r="HM33" s="331" t="s">
        <v>190</v>
      </c>
      <c r="HN33" s="331" t="s">
        <v>190</v>
      </c>
      <c r="HO33" s="331" t="s">
        <v>190</v>
      </c>
      <c r="HP33" s="331" t="s">
        <v>190</v>
      </c>
      <c r="HQ33" s="331" t="s">
        <v>190</v>
      </c>
      <c r="HR33" s="331" t="s">
        <v>190</v>
      </c>
      <c r="HS33" s="331" t="s">
        <v>190</v>
      </c>
      <c r="HT33" s="331" t="s">
        <v>190</v>
      </c>
      <c r="HU33" s="331" t="s">
        <v>190</v>
      </c>
      <c r="HV33" s="331" t="s">
        <v>190</v>
      </c>
      <c r="HW33" s="331" t="s">
        <v>190</v>
      </c>
      <c r="HX33" s="331" t="s">
        <v>190</v>
      </c>
      <c r="HY33" s="331" t="s">
        <v>190</v>
      </c>
      <c r="HZ33" s="331" t="s">
        <v>190</v>
      </c>
      <c r="IA33" s="331" t="s">
        <v>190</v>
      </c>
      <c r="IB33" s="331" t="s">
        <v>190</v>
      </c>
      <c r="IC33" s="331" t="s">
        <v>190</v>
      </c>
      <c r="ID33" s="331" t="s">
        <v>190</v>
      </c>
      <c r="IE33" s="331" t="s">
        <v>190</v>
      </c>
      <c r="IF33" s="331" t="s">
        <v>190</v>
      </c>
      <c r="IG33" s="331" t="s">
        <v>170</v>
      </c>
      <c r="IH33" s="331" t="s">
        <v>429</v>
      </c>
      <c r="II33" s="331" t="s">
        <v>169</v>
      </c>
      <c r="IJ33" s="331" t="s">
        <v>427</v>
      </c>
      <c r="IK33" s="331" t="s">
        <v>428</v>
      </c>
      <c r="IL33" s="331" t="s">
        <v>428</v>
      </c>
    </row>
    <row r="34" spans="1:246" x14ac:dyDescent="0.25">
      <c r="A34" s="334" t="str">
        <f>HYPERLINK("http://www.ofsted.gov.uk/inspection-reports/find-inspection-report/provider/ELS/138118 ","Ofsted School Webpage")</f>
        <v>Ofsted School Webpage</v>
      </c>
      <c r="B34" s="331">
        <v>138118</v>
      </c>
      <c r="C34" s="331">
        <v>3906000</v>
      </c>
      <c r="D34" s="331" t="s">
        <v>2154</v>
      </c>
      <c r="E34" s="331" t="s">
        <v>167</v>
      </c>
      <c r="F34" s="331" t="s">
        <v>458</v>
      </c>
      <c r="G34" s="331" t="s">
        <v>474</v>
      </c>
      <c r="H34" s="331" t="s">
        <v>787</v>
      </c>
      <c r="I34" s="331" t="s">
        <v>2155</v>
      </c>
      <c r="J34" s="331" t="s">
        <v>81</v>
      </c>
      <c r="K34" s="331" t="s">
        <v>69</v>
      </c>
      <c r="L34" s="331" t="s">
        <v>69</v>
      </c>
      <c r="M34" s="331" t="s">
        <v>69</v>
      </c>
      <c r="N34" s="331" t="s">
        <v>424</v>
      </c>
      <c r="O34" s="333">
        <v>10110722</v>
      </c>
      <c r="P34" s="332">
        <v>43781</v>
      </c>
      <c r="Q34" s="332">
        <v>43783</v>
      </c>
      <c r="R34" s="332">
        <v>43810</v>
      </c>
      <c r="S34" s="331" t="s">
        <v>425</v>
      </c>
      <c r="T34" s="331" t="s">
        <v>426</v>
      </c>
      <c r="U34" s="331">
        <v>3</v>
      </c>
      <c r="V34" s="331">
        <v>2</v>
      </c>
      <c r="W34" s="331">
        <v>2</v>
      </c>
      <c r="X34" s="331">
        <v>3</v>
      </c>
      <c r="Y34" s="331">
        <v>3</v>
      </c>
      <c r="Z34" s="331" t="s">
        <v>169</v>
      </c>
      <c r="AA34" s="331" t="s">
        <v>173</v>
      </c>
      <c r="AB34" s="331" t="s">
        <v>173</v>
      </c>
      <c r="AC34" s="331" t="s">
        <v>427</v>
      </c>
      <c r="AD34" s="331" t="s">
        <v>172</v>
      </c>
      <c r="AE34" s="331" t="s">
        <v>479</v>
      </c>
      <c r="AF34" s="331" t="s">
        <v>479</v>
      </c>
      <c r="AG34" s="331" t="s">
        <v>190</v>
      </c>
      <c r="AH34" s="331" t="s">
        <v>190</v>
      </c>
      <c r="AI34" s="331" t="s">
        <v>190</v>
      </c>
      <c r="AJ34" s="331" t="s">
        <v>190</v>
      </c>
      <c r="AK34" s="331" t="s">
        <v>190</v>
      </c>
      <c r="AL34" s="331" t="s">
        <v>479</v>
      </c>
      <c r="AM34" s="331" t="s">
        <v>191</v>
      </c>
      <c r="AN34" s="331" t="s">
        <v>191</v>
      </c>
      <c r="AO34" s="331" t="s">
        <v>190</v>
      </c>
      <c r="AP34" s="331" t="s">
        <v>190</v>
      </c>
      <c r="AQ34" s="331" t="s">
        <v>190</v>
      </c>
      <c r="AR34" s="331" t="s">
        <v>190</v>
      </c>
      <c r="AS34" s="331" t="s">
        <v>190</v>
      </c>
      <c r="AT34" s="331" t="s">
        <v>190</v>
      </c>
      <c r="AU34" s="331" t="s">
        <v>428</v>
      </c>
      <c r="AV34" s="331" t="s">
        <v>190</v>
      </c>
      <c r="AW34" s="331" t="s">
        <v>190</v>
      </c>
      <c r="AX34" s="331" t="s">
        <v>191</v>
      </c>
      <c r="AY34" s="331" t="s">
        <v>190</v>
      </c>
      <c r="AZ34" s="331" t="s">
        <v>190</v>
      </c>
      <c r="BA34" s="331" t="s">
        <v>190</v>
      </c>
      <c r="BB34" s="331" t="s">
        <v>190</v>
      </c>
      <c r="BC34" s="331" t="s">
        <v>428</v>
      </c>
      <c r="BD34" s="331" t="s">
        <v>428</v>
      </c>
      <c r="BE34" s="331" t="s">
        <v>190</v>
      </c>
      <c r="BF34" s="331" t="s">
        <v>191</v>
      </c>
      <c r="BG34" s="331" t="s">
        <v>190</v>
      </c>
      <c r="BH34" s="331" t="s">
        <v>190</v>
      </c>
      <c r="BI34" s="331" t="s">
        <v>190</v>
      </c>
      <c r="BJ34" s="331" t="s">
        <v>190</v>
      </c>
      <c r="BK34" s="331" t="s">
        <v>190</v>
      </c>
      <c r="BL34" s="331" t="s">
        <v>190</v>
      </c>
      <c r="BM34" s="331" t="s">
        <v>190</v>
      </c>
      <c r="BN34" s="331" t="s">
        <v>190</v>
      </c>
      <c r="BO34" s="331" t="s">
        <v>190</v>
      </c>
      <c r="BP34" s="331" t="s">
        <v>190</v>
      </c>
      <c r="BQ34" s="331" t="s">
        <v>190</v>
      </c>
      <c r="BR34" s="331" t="s">
        <v>190</v>
      </c>
      <c r="BS34" s="331" t="s">
        <v>191</v>
      </c>
      <c r="BT34" s="331" t="s">
        <v>190</v>
      </c>
      <c r="BU34" s="331" t="s">
        <v>190</v>
      </c>
      <c r="BV34" s="331" t="s">
        <v>190</v>
      </c>
      <c r="BW34" s="331" t="s">
        <v>190</v>
      </c>
      <c r="BX34" s="331" t="s">
        <v>190</v>
      </c>
      <c r="BY34" s="331" t="s">
        <v>190</v>
      </c>
      <c r="BZ34" s="331" t="s">
        <v>190</v>
      </c>
      <c r="CA34" s="331" t="s">
        <v>191</v>
      </c>
      <c r="CB34" s="331" t="s">
        <v>190</v>
      </c>
      <c r="CC34" s="331" t="s">
        <v>190</v>
      </c>
      <c r="CD34" s="331" t="s">
        <v>190</v>
      </c>
      <c r="CE34" s="331" t="s">
        <v>190</v>
      </c>
      <c r="CF34" s="331" t="s">
        <v>190</v>
      </c>
      <c r="CG34" s="331" t="s">
        <v>190</v>
      </c>
      <c r="CH34" s="331" t="s">
        <v>190</v>
      </c>
      <c r="CI34" s="331" t="s">
        <v>190</v>
      </c>
      <c r="CJ34" s="331" t="s">
        <v>190</v>
      </c>
      <c r="CK34" s="331" t="s">
        <v>428</v>
      </c>
      <c r="CL34" s="331" t="s">
        <v>428</v>
      </c>
      <c r="CM34" s="331" t="s">
        <v>428</v>
      </c>
      <c r="CN34" s="331" t="s">
        <v>190</v>
      </c>
      <c r="CO34" s="331" t="s">
        <v>190</v>
      </c>
      <c r="CP34" s="331" t="s">
        <v>190</v>
      </c>
      <c r="CQ34" s="331" t="s">
        <v>190</v>
      </c>
      <c r="CR34" s="331" t="s">
        <v>190</v>
      </c>
      <c r="CS34" s="331" t="s">
        <v>190</v>
      </c>
      <c r="CT34" s="331" t="s">
        <v>190</v>
      </c>
      <c r="CU34" s="331" t="s">
        <v>190</v>
      </c>
      <c r="CV34" s="331" t="s">
        <v>190</v>
      </c>
      <c r="CW34" s="331" t="s">
        <v>190</v>
      </c>
      <c r="CX34" s="331" t="s">
        <v>190</v>
      </c>
      <c r="CY34" s="331" t="s">
        <v>190</v>
      </c>
      <c r="CZ34" s="331" t="s">
        <v>190</v>
      </c>
      <c r="DA34" s="331" t="s">
        <v>190</v>
      </c>
      <c r="DB34" s="331" t="s">
        <v>190</v>
      </c>
      <c r="DC34" s="331" t="s">
        <v>190</v>
      </c>
      <c r="DD34" s="331" t="s">
        <v>190</v>
      </c>
      <c r="DE34" s="331" t="s">
        <v>190</v>
      </c>
      <c r="DF34" s="331" t="s">
        <v>190</v>
      </c>
      <c r="DG34" s="331" t="s">
        <v>190</v>
      </c>
      <c r="DH34" s="331" t="s">
        <v>190</v>
      </c>
      <c r="DI34" s="331" t="s">
        <v>190</v>
      </c>
      <c r="DJ34" s="331" t="s">
        <v>190</v>
      </c>
      <c r="DK34" s="331" t="s">
        <v>428</v>
      </c>
      <c r="DL34" s="331" t="s">
        <v>190</v>
      </c>
      <c r="DM34" s="331" t="s">
        <v>190</v>
      </c>
      <c r="DN34" s="331" t="s">
        <v>190</v>
      </c>
      <c r="DO34" s="331" t="s">
        <v>190</v>
      </c>
      <c r="DP34" s="331" t="s">
        <v>190</v>
      </c>
      <c r="DQ34" s="331" t="s">
        <v>190</v>
      </c>
      <c r="DR34" s="331" t="s">
        <v>190</v>
      </c>
      <c r="DS34" s="331" t="s">
        <v>190</v>
      </c>
      <c r="DT34" s="331" t="s">
        <v>190</v>
      </c>
      <c r="DU34" s="331" t="s">
        <v>190</v>
      </c>
      <c r="DV34" s="331" t="s">
        <v>190</v>
      </c>
      <c r="DW34" s="331" t="s">
        <v>190</v>
      </c>
      <c r="DX34" s="331" t="s">
        <v>190</v>
      </c>
      <c r="DY34" s="331" t="s">
        <v>190</v>
      </c>
      <c r="DZ34" s="331" t="s">
        <v>428</v>
      </c>
      <c r="EA34" s="331" t="s">
        <v>190</v>
      </c>
      <c r="EB34" s="331" t="s">
        <v>190</v>
      </c>
      <c r="EC34" s="331" t="s">
        <v>190</v>
      </c>
      <c r="ED34" s="331" t="s">
        <v>190</v>
      </c>
      <c r="EE34" s="331" t="s">
        <v>190</v>
      </c>
      <c r="EF34" s="331" t="s">
        <v>190</v>
      </c>
      <c r="EG34" s="331" t="s">
        <v>190</v>
      </c>
      <c r="EH34" s="331" t="s">
        <v>190</v>
      </c>
      <c r="EI34" s="331" t="s">
        <v>190</v>
      </c>
      <c r="EJ34" s="331" t="s">
        <v>190</v>
      </c>
      <c r="EK34" s="331" t="s">
        <v>190</v>
      </c>
      <c r="EL34" s="331" t="s">
        <v>190</v>
      </c>
      <c r="EM34" s="331" t="s">
        <v>190</v>
      </c>
      <c r="EN34" s="331" t="s">
        <v>190</v>
      </c>
      <c r="EO34" s="331" t="s">
        <v>190</v>
      </c>
      <c r="EP34" s="331" t="s">
        <v>190</v>
      </c>
      <c r="EQ34" s="331" t="s">
        <v>190</v>
      </c>
      <c r="ER34" s="331" t="s">
        <v>190</v>
      </c>
      <c r="ES34" s="331" t="s">
        <v>190</v>
      </c>
      <c r="ET34" s="331" t="s">
        <v>190</v>
      </c>
      <c r="EU34" s="331" t="s">
        <v>190</v>
      </c>
      <c r="EV34" s="331" t="s">
        <v>190</v>
      </c>
      <c r="EW34" s="331" t="s">
        <v>190</v>
      </c>
      <c r="EX34" s="331" t="s">
        <v>428</v>
      </c>
      <c r="EY34" s="331" t="s">
        <v>190</v>
      </c>
      <c r="EZ34" s="331" t="s">
        <v>190</v>
      </c>
      <c r="FA34" s="331" t="s">
        <v>190</v>
      </c>
      <c r="FB34" s="331" t="s">
        <v>190</v>
      </c>
      <c r="FC34" s="331" t="s">
        <v>190</v>
      </c>
      <c r="FD34" s="331" t="s">
        <v>190</v>
      </c>
      <c r="FE34" s="331" t="s">
        <v>190</v>
      </c>
      <c r="FF34" s="331" t="s">
        <v>428</v>
      </c>
      <c r="FG34" s="331" t="s">
        <v>429</v>
      </c>
      <c r="FH34" s="331" t="s">
        <v>428</v>
      </c>
      <c r="FI34" s="331" t="s">
        <v>190</v>
      </c>
      <c r="FJ34" s="331" t="s">
        <v>190</v>
      </c>
      <c r="FK34" s="331" t="s">
        <v>190</v>
      </c>
      <c r="FL34" s="331" t="s">
        <v>190</v>
      </c>
      <c r="FM34" s="331" t="s">
        <v>190</v>
      </c>
      <c r="FN34" s="331" t="s">
        <v>190</v>
      </c>
      <c r="FO34" s="331" t="s">
        <v>190</v>
      </c>
      <c r="FP34" s="331" t="s">
        <v>428</v>
      </c>
      <c r="FQ34" s="331" t="s">
        <v>190</v>
      </c>
      <c r="FR34" s="331" t="s">
        <v>190</v>
      </c>
      <c r="FS34" s="331" t="s">
        <v>190</v>
      </c>
      <c r="FT34" s="331" t="s">
        <v>190</v>
      </c>
      <c r="FU34" s="331" t="s">
        <v>190</v>
      </c>
      <c r="FV34" s="331" t="s">
        <v>190</v>
      </c>
      <c r="FW34" s="331" t="s">
        <v>190</v>
      </c>
      <c r="FX34" s="331" t="s">
        <v>190</v>
      </c>
      <c r="FY34" s="331" t="s">
        <v>190</v>
      </c>
      <c r="FZ34" s="331" t="s">
        <v>190</v>
      </c>
      <c r="GA34" s="331" t="s">
        <v>190</v>
      </c>
      <c r="GB34" s="331" t="s">
        <v>190</v>
      </c>
      <c r="GC34" s="331" t="s">
        <v>190</v>
      </c>
      <c r="GD34" s="331" t="s">
        <v>190</v>
      </c>
      <c r="GE34" s="331" t="s">
        <v>190</v>
      </c>
      <c r="GF34" s="331" t="s">
        <v>190</v>
      </c>
      <c r="GG34" s="331" t="s">
        <v>190</v>
      </c>
      <c r="GH34" s="331" t="s">
        <v>428</v>
      </c>
      <c r="GI34" s="331" t="s">
        <v>190</v>
      </c>
      <c r="GJ34" s="331" t="s">
        <v>190</v>
      </c>
      <c r="GK34" s="331" t="s">
        <v>190</v>
      </c>
      <c r="GL34" s="331" t="s">
        <v>190</v>
      </c>
      <c r="GM34" s="331" t="s">
        <v>190</v>
      </c>
      <c r="GN34" s="331" t="s">
        <v>190</v>
      </c>
      <c r="GO34" s="331" t="s">
        <v>190</v>
      </c>
      <c r="GP34" s="331" t="s">
        <v>190</v>
      </c>
      <c r="GQ34" s="331" t="s">
        <v>428</v>
      </c>
      <c r="GR34" s="331" t="s">
        <v>190</v>
      </c>
      <c r="GS34" s="331" t="s">
        <v>190</v>
      </c>
      <c r="GT34" s="331" t="s">
        <v>190</v>
      </c>
      <c r="GU34" s="331" t="s">
        <v>190</v>
      </c>
      <c r="GV34" s="331" t="s">
        <v>190</v>
      </c>
      <c r="GW34" s="331" t="s">
        <v>190</v>
      </c>
      <c r="GX34" s="331" t="s">
        <v>428</v>
      </c>
      <c r="GY34" s="331" t="s">
        <v>190</v>
      </c>
      <c r="GZ34" s="331" t="s">
        <v>190</v>
      </c>
      <c r="HA34" s="331" t="s">
        <v>190</v>
      </c>
      <c r="HB34" s="331" t="s">
        <v>190</v>
      </c>
      <c r="HC34" s="331" t="s">
        <v>190</v>
      </c>
      <c r="HD34" s="331" t="s">
        <v>190</v>
      </c>
      <c r="HE34" s="331" t="s">
        <v>190</v>
      </c>
      <c r="HF34" s="331" t="s">
        <v>190</v>
      </c>
      <c r="HG34" s="331" t="s">
        <v>190</v>
      </c>
      <c r="HH34" s="331" t="s">
        <v>190</v>
      </c>
      <c r="HI34" s="331" t="s">
        <v>190</v>
      </c>
      <c r="HJ34" s="331" t="s">
        <v>428</v>
      </c>
      <c r="HK34" s="331" t="s">
        <v>428</v>
      </c>
      <c r="HL34" s="331" t="s">
        <v>428</v>
      </c>
      <c r="HM34" s="331" t="s">
        <v>190</v>
      </c>
      <c r="HN34" s="331" t="s">
        <v>190</v>
      </c>
      <c r="HO34" s="331" t="s">
        <v>190</v>
      </c>
      <c r="HP34" s="331" t="s">
        <v>190</v>
      </c>
      <c r="HQ34" s="331" t="s">
        <v>190</v>
      </c>
      <c r="HR34" s="331" t="s">
        <v>190</v>
      </c>
      <c r="HS34" s="331" t="s">
        <v>190</v>
      </c>
      <c r="HT34" s="331" t="s">
        <v>190</v>
      </c>
      <c r="HU34" s="331" t="s">
        <v>190</v>
      </c>
      <c r="HV34" s="331" t="s">
        <v>190</v>
      </c>
      <c r="HW34" s="331" t="s">
        <v>190</v>
      </c>
      <c r="HX34" s="331" t="s">
        <v>190</v>
      </c>
      <c r="HY34" s="331" t="s">
        <v>190</v>
      </c>
      <c r="HZ34" s="331" t="s">
        <v>190</v>
      </c>
      <c r="IA34" s="331" t="s">
        <v>190</v>
      </c>
      <c r="IB34" s="331" t="s">
        <v>190</v>
      </c>
      <c r="IC34" s="331" t="s">
        <v>191</v>
      </c>
      <c r="ID34" s="331" t="s">
        <v>191</v>
      </c>
      <c r="IE34" s="331" t="s">
        <v>191</v>
      </c>
      <c r="IF34" s="331" t="s">
        <v>190</v>
      </c>
      <c r="IG34" s="331" t="s">
        <v>170</v>
      </c>
      <c r="IH34" s="331" t="s">
        <v>429</v>
      </c>
      <c r="II34" s="331" t="s">
        <v>169</v>
      </c>
      <c r="IJ34" s="331" t="s">
        <v>427</v>
      </c>
      <c r="IK34" s="331" t="s">
        <v>428</v>
      </c>
      <c r="IL34" s="331" t="s">
        <v>428</v>
      </c>
    </row>
    <row r="35" spans="1:246" x14ac:dyDescent="0.25">
      <c r="A35" s="334" t="str">
        <f>HYPERLINK("http://www.ofsted.gov.uk/inspection-reports/find-inspection-report/provider/ELS/115810 ","Ofsted School Webpage")</f>
        <v>Ofsted School Webpage</v>
      </c>
      <c r="B35" s="331">
        <v>115810</v>
      </c>
      <c r="C35" s="331">
        <v>9166073</v>
      </c>
      <c r="D35" s="331" t="s">
        <v>1455</v>
      </c>
      <c r="E35" s="331" t="s">
        <v>167</v>
      </c>
      <c r="F35" s="331" t="s">
        <v>422</v>
      </c>
      <c r="G35" s="331" t="s">
        <v>422</v>
      </c>
      <c r="H35" s="331" t="s">
        <v>846</v>
      </c>
      <c r="I35" s="331" t="s">
        <v>1456</v>
      </c>
      <c r="J35" s="331" t="s">
        <v>81</v>
      </c>
      <c r="K35" s="331" t="s">
        <v>72</v>
      </c>
      <c r="L35" s="331" t="s">
        <v>72</v>
      </c>
      <c r="M35" s="331" t="s">
        <v>72</v>
      </c>
      <c r="N35" s="331" t="s">
        <v>424</v>
      </c>
      <c r="O35" s="333">
        <v>10090664</v>
      </c>
      <c r="P35" s="332">
        <v>43781</v>
      </c>
      <c r="Q35" s="332">
        <v>43783</v>
      </c>
      <c r="R35" s="332">
        <v>43803</v>
      </c>
      <c r="S35" s="331" t="s">
        <v>425</v>
      </c>
      <c r="T35" s="331" t="s">
        <v>426</v>
      </c>
      <c r="U35" s="331">
        <v>2</v>
      </c>
      <c r="V35" s="331">
        <v>2</v>
      </c>
      <c r="W35" s="331">
        <v>2</v>
      </c>
      <c r="X35" s="331">
        <v>2</v>
      </c>
      <c r="Y35" s="331">
        <v>2</v>
      </c>
      <c r="Z35" s="331" t="s">
        <v>169</v>
      </c>
      <c r="AA35" s="331" t="s">
        <v>173</v>
      </c>
      <c r="AB35" s="331" t="s">
        <v>173</v>
      </c>
      <c r="AC35" s="331" t="s">
        <v>427</v>
      </c>
      <c r="AD35" s="331" t="s">
        <v>171</v>
      </c>
      <c r="AE35" s="331" t="s">
        <v>190</v>
      </c>
      <c r="AF35" s="331" t="s">
        <v>190</v>
      </c>
      <c r="AG35" s="331" t="s">
        <v>190</v>
      </c>
      <c r="AH35" s="331" t="s">
        <v>190</v>
      </c>
      <c r="AI35" s="331" t="s">
        <v>190</v>
      </c>
      <c r="AJ35" s="331" t="s">
        <v>190</v>
      </c>
      <c r="AK35" s="331" t="s">
        <v>190</v>
      </c>
      <c r="AL35" s="331" t="s">
        <v>190</v>
      </c>
      <c r="AM35" s="331" t="s">
        <v>190</v>
      </c>
      <c r="AN35" s="331" t="s">
        <v>190</v>
      </c>
      <c r="AO35" s="331" t="s">
        <v>190</v>
      </c>
      <c r="AP35" s="331" t="s">
        <v>190</v>
      </c>
      <c r="AQ35" s="331" t="s">
        <v>190</v>
      </c>
      <c r="AR35" s="331" t="s">
        <v>190</v>
      </c>
      <c r="AS35" s="331" t="s">
        <v>190</v>
      </c>
      <c r="AT35" s="331" t="s">
        <v>190</v>
      </c>
      <c r="AU35" s="331" t="s">
        <v>428</v>
      </c>
      <c r="AV35" s="331" t="s">
        <v>190</v>
      </c>
      <c r="AW35" s="331" t="s">
        <v>190</v>
      </c>
      <c r="AX35" s="331" t="s">
        <v>190</v>
      </c>
      <c r="AY35" s="331" t="s">
        <v>190</v>
      </c>
      <c r="AZ35" s="331" t="s">
        <v>190</v>
      </c>
      <c r="BA35" s="331" t="s">
        <v>190</v>
      </c>
      <c r="BB35" s="331" t="s">
        <v>190</v>
      </c>
      <c r="BC35" s="331" t="s">
        <v>428</v>
      </c>
      <c r="BD35" s="331" t="s">
        <v>428</v>
      </c>
      <c r="BE35" s="331" t="s">
        <v>190</v>
      </c>
      <c r="BF35" s="331" t="s">
        <v>190</v>
      </c>
      <c r="BG35" s="331" t="s">
        <v>190</v>
      </c>
      <c r="BH35" s="331" t="s">
        <v>190</v>
      </c>
      <c r="BI35" s="331" t="s">
        <v>190</v>
      </c>
      <c r="BJ35" s="331" t="s">
        <v>190</v>
      </c>
      <c r="BK35" s="331" t="s">
        <v>190</v>
      </c>
      <c r="BL35" s="331" t="s">
        <v>190</v>
      </c>
      <c r="BM35" s="331" t="s">
        <v>190</v>
      </c>
      <c r="BN35" s="331" t="s">
        <v>190</v>
      </c>
      <c r="BO35" s="331" t="s">
        <v>190</v>
      </c>
      <c r="BP35" s="331" t="s">
        <v>190</v>
      </c>
      <c r="BQ35" s="331" t="s">
        <v>190</v>
      </c>
      <c r="BR35" s="331" t="s">
        <v>190</v>
      </c>
      <c r="BS35" s="331" t="s">
        <v>190</v>
      </c>
      <c r="BT35" s="331" t="s">
        <v>190</v>
      </c>
      <c r="BU35" s="331" t="s">
        <v>190</v>
      </c>
      <c r="BV35" s="331" t="s">
        <v>190</v>
      </c>
      <c r="BW35" s="331" t="s">
        <v>190</v>
      </c>
      <c r="BX35" s="331" t="s">
        <v>190</v>
      </c>
      <c r="BY35" s="331" t="s">
        <v>190</v>
      </c>
      <c r="BZ35" s="331" t="s">
        <v>190</v>
      </c>
      <c r="CA35" s="331" t="s">
        <v>190</v>
      </c>
      <c r="CB35" s="331" t="s">
        <v>190</v>
      </c>
      <c r="CC35" s="331" t="s">
        <v>190</v>
      </c>
      <c r="CD35" s="331" t="s">
        <v>190</v>
      </c>
      <c r="CE35" s="331" t="s">
        <v>190</v>
      </c>
      <c r="CF35" s="331" t="s">
        <v>190</v>
      </c>
      <c r="CG35" s="331" t="s">
        <v>190</v>
      </c>
      <c r="CH35" s="331" t="s">
        <v>190</v>
      </c>
      <c r="CI35" s="331" t="s">
        <v>190</v>
      </c>
      <c r="CJ35" s="331" t="s">
        <v>190</v>
      </c>
      <c r="CK35" s="331" t="s">
        <v>428</v>
      </c>
      <c r="CL35" s="331" t="s">
        <v>428</v>
      </c>
      <c r="CM35" s="331" t="s">
        <v>428</v>
      </c>
      <c r="CN35" s="331" t="s">
        <v>190</v>
      </c>
      <c r="CO35" s="331" t="s">
        <v>190</v>
      </c>
      <c r="CP35" s="331" t="s">
        <v>190</v>
      </c>
      <c r="CQ35" s="331" t="s">
        <v>190</v>
      </c>
      <c r="CR35" s="331" t="s">
        <v>190</v>
      </c>
      <c r="CS35" s="331" t="s">
        <v>190</v>
      </c>
      <c r="CT35" s="331" t="s">
        <v>190</v>
      </c>
      <c r="CU35" s="331" t="s">
        <v>190</v>
      </c>
      <c r="CV35" s="331" t="s">
        <v>190</v>
      </c>
      <c r="CW35" s="331" t="s">
        <v>190</v>
      </c>
      <c r="CX35" s="331" t="s">
        <v>190</v>
      </c>
      <c r="CY35" s="331" t="s">
        <v>190</v>
      </c>
      <c r="CZ35" s="331" t="s">
        <v>190</v>
      </c>
      <c r="DA35" s="331" t="s">
        <v>190</v>
      </c>
      <c r="DB35" s="331" t="s">
        <v>190</v>
      </c>
      <c r="DC35" s="331" t="s">
        <v>190</v>
      </c>
      <c r="DD35" s="331" t="s">
        <v>190</v>
      </c>
      <c r="DE35" s="331" t="s">
        <v>190</v>
      </c>
      <c r="DF35" s="331" t="s">
        <v>190</v>
      </c>
      <c r="DG35" s="331" t="s">
        <v>190</v>
      </c>
      <c r="DH35" s="331" t="s">
        <v>190</v>
      </c>
      <c r="DI35" s="331" t="s">
        <v>190</v>
      </c>
      <c r="DJ35" s="331" t="s">
        <v>190</v>
      </c>
      <c r="DK35" s="331" t="s">
        <v>428</v>
      </c>
      <c r="DL35" s="331" t="s">
        <v>190</v>
      </c>
      <c r="DM35" s="331" t="s">
        <v>428</v>
      </c>
      <c r="DN35" s="331" t="s">
        <v>428</v>
      </c>
      <c r="DO35" s="331" t="s">
        <v>428</v>
      </c>
      <c r="DP35" s="331" t="s">
        <v>428</v>
      </c>
      <c r="DQ35" s="331" t="s">
        <v>428</v>
      </c>
      <c r="DR35" s="331" t="s">
        <v>428</v>
      </c>
      <c r="DS35" s="331" t="s">
        <v>428</v>
      </c>
      <c r="DT35" s="331" t="s">
        <v>428</v>
      </c>
      <c r="DU35" s="331" t="s">
        <v>428</v>
      </c>
      <c r="DV35" s="331" t="s">
        <v>428</v>
      </c>
      <c r="DW35" s="331" t="s">
        <v>428</v>
      </c>
      <c r="DX35" s="331" t="s">
        <v>428</v>
      </c>
      <c r="DY35" s="331" t="s">
        <v>428</v>
      </c>
      <c r="DZ35" s="331" t="s">
        <v>428</v>
      </c>
      <c r="EA35" s="331" t="s">
        <v>190</v>
      </c>
      <c r="EB35" s="331" t="s">
        <v>190</v>
      </c>
      <c r="EC35" s="331" t="s">
        <v>190</v>
      </c>
      <c r="ED35" s="331" t="s">
        <v>190</v>
      </c>
      <c r="EE35" s="331" t="s">
        <v>190</v>
      </c>
      <c r="EF35" s="331" t="s">
        <v>190</v>
      </c>
      <c r="EG35" s="331" t="s">
        <v>190</v>
      </c>
      <c r="EH35" s="331" t="s">
        <v>190</v>
      </c>
      <c r="EI35" s="331" t="s">
        <v>190</v>
      </c>
      <c r="EJ35" s="331" t="s">
        <v>190</v>
      </c>
      <c r="EK35" s="331" t="s">
        <v>190</v>
      </c>
      <c r="EL35" s="331" t="s">
        <v>190</v>
      </c>
      <c r="EM35" s="331" t="s">
        <v>190</v>
      </c>
      <c r="EN35" s="331" t="s">
        <v>190</v>
      </c>
      <c r="EO35" s="331" t="s">
        <v>190</v>
      </c>
      <c r="EP35" s="331" t="s">
        <v>190</v>
      </c>
      <c r="EQ35" s="331" t="s">
        <v>190</v>
      </c>
      <c r="ER35" s="331" t="s">
        <v>190</v>
      </c>
      <c r="ES35" s="331" t="s">
        <v>190</v>
      </c>
      <c r="ET35" s="331" t="s">
        <v>190</v>
      </c>
      <c r="EU35" s="331" t="s">
        <v>190</v>
      </c>
      <c r="EV35" s="331" t="s">
        <v>190</v>
      </c>
      <c r="EW35" s="331" t="s">
        <v>190</v>
      </c>
      <c r="EX35" s="331" t="s">
        <v>190</v>
      </c>
      <c r="EY35" s="331" t="s">
        <v>428</v>
      </c>
      <c r="EZ35" s="331" t="s">
        <v>428</v>
      </c>
      <c r="FA35" s="331" t="s">
        <v>428</v>
      </c>
      <c r="FB35" s="331" t="s">
        <v>428</v>
      </c>
      <c r="FC35" s="331" t="s">
        <v>428</v>
      </c>
      <c r="FD35" s="331" t="s">
        <v>428</v>
      </c>
      <c r="FE35" s="331" t="s">
        <v>190</v>
      </c>
      <c r="FF35" s="331" t="s">
        <v>190</v>
      </c>
      <c r="FG35" s="331" t="s">
        <v>190</v>
      </c>
      <c r="FH35" s="331" t="s">
        <v>190</v>
      </c>
      <c r="FI35" s="331" t="s">
        <v>190</v>
      </c>
      <c r="FJ35" s="331" t="s">
        <v>190</v>
      </c>
      <c r="FK35" s="331" t="s">
        <v>190</v>
      </c>
      <c r="FL35" s="331" t="s">
        <v>190</v>
      </c>
      <c r="FM35" s="331" t="s">
        <v>190</v>
      </c>
      <c r="FN35" s="331" t="s">
        <v>190</v>
      </c>
      <c r="FO35" s="331" t="s">
        <v>190</v>
      </c>
      <c r="FP35" s="331" t="s">
        <v>428</v>
      </c>
      <c r="FQ35" s="331" t="s">
        <v>190</v>
      </c>
      <c r="FR35" s="331" t="s">
        <v>190</v>
      </c>
      <c r="FS35" s="331" t="s">
        <v>190</v>
      </c>
      <c r="FT35" s="331" t="s">
        <v>190</v>
      </c>
      <c r="FU35" s="331" t="s">
        <v>190</v>
      </c>
      <c r="FV35" s="331" t="s">
        <v>190</v>
      </c>
      <c r="FW35" s="331" t="s">
        <v>190</v>
      </c>
      <c r="FX35" s="331" t="s">
        <v>190</v>
      </c>
      <c r="FY35" s="331" t="s">
        <v>190</v>
      </c>
      <c r="FZ35" s="331" t="s">
        <v>190</v>
      </c>
      <c r="GA35" s="331" t="s">
        <v>190</v>
      </c>
      <c r="GB35" s="331" t="s">
        <v>190</v>
      </c>
      <c r="GC35" s="331" t="s">
        <v>190</v>
      </c>
      <c r="GD35" s="331" t="s">
        <v>190</v>
      </c>
      <c r="GE35" s="331" t="s">
        <v>190</v>
      </c>
      <c r="GF35" s="331" t="s">
        <v>190</v>
      </c>
      <c r="GG35" s="331" t="s">
        <v>190</v>
      </c>
      <c r="GH35" s="331" t="s">
        <v>428</v>
      </c>
      <c r="GI35" s="331" t="s">
        <v>190</v>
      </c>
      <c r="GJ35" s="331" t="s">
        <v>190</v>
      </c>
      <c r="GK35" s="331" t="s">
        <v>190</v>
      </c>
      <c r="GL35" s="331" t="s">
        <v>190</v>
      </c>
      <c r="GM35" s="331" t="s">
        <v>190</v>
      </c>
      <c r="GN35" s="331" t="s">
        <v>190</v>
      </c>
      <c r="GO35" s="331" t="s">
        <v>190</v>
      </c>
      <c r="GP35" s="331" t="s">
        <v>190</v>
      </c>
      <c r="GQ35" s="331" t="s">
        <v>190</v>
      </c>
      <c r="GR35" s="331" t="s">
        <v>190</v>
      </c>
      <c r="GS35" s="331" t="s">
        <v>190</v>
      </c>
      <c r="GT35" s="331" t="s">
        <v>190</v>
      </c>
      <c r="GU35" s="331" t="s">
        <v>190</v>
      </c>
      <c r="GV35" s="331" t="s">
        <v>190</v>
      </c>
      <c r="GW35" s="331" t="s">
        <v>428</v>
      </c>
      <c r="GX35" s="331" t="s">
        <v>190</v>
      </c>
      <c r="GY35" s="331" t="s">
        <v>190</v>
      </c>
      <c r="GZ35" s="331" t="s">
        <v>190</v>
      </c>
      <c r="HA35" s="331" t="s">
        <v>190</v>
      </c>
      <c r="HB35" s="331" t="s">
        <v>190</v>
      </c>
      <c r="HC35" s="331" t="s">
        <v>190</v>
      </c>
      <c r="HD35" s="331" t="s">
        <v>190</v>
      </c>
      <c r="HE35" s="331" t="s">
        <v>190</v>
      </c>
      <c r="HF35" s="331" t="s">
        <v>190</v>
      </c>
      <c r="HG35" s="331" t="s">
        <v>190</v>
      </c>
      <c r="HH35" s="331" t="s">
        <v>190</v>
      </c>
      <c r="HI35" s="331" t="s">
        <v>190</v>
      </c>
      <c r="HJ35" s="331" t="s">
        <v>190</v>
      </c>
      <c r="HK35" s="331" t="s">
        <v>190</v>
      </c>
      <c r="HL35" s="331" t="s">
        <v>190</v>
      </c>
      <c r="HM35" s="331" t="s">
        <v>190</v>
      </c>
      <c r="HN35" s="331" t="s">
        <v>190</v>
      </c>
      <c r="HO35" s="331" t="s">
        <v>190</v>
      </c>
      <c r="HP35" s="331" t="s">
        <v>190</v>
      </c>
      <c r="HQ35" s="331" t="s">
        <v>190</v>
      </c>
      <c r="HR35" s="331" t="s">
        <v>190</v>
      </c>
      <c r="HS35" s="331" t="s">
        <v>190</v>
      </c>
      <c r="HT35" s="331" t="s">
        <v>190</v>
      </c>
      <c r="HU35" s="331" t="s">
        <v>190</v>
      </c>
      <c r="HV35" s="331" t="s">
        <v>190</v>
      </c>
      <c r="HW35" s="331" t="s">
        <v>190</v>
      </c>
      <c r="HX35" s="331" t="s">
        <v>190</v>
      </c>
      <c r="HY35" s="331" t="s">
        <v>190</v>
      </c>
      <c r="HZ35" s="331" t="s">
        <v>190</v>
      </c>
      <c r="IA35" s="331" t="s">
        <v>190</v>
      </c>
      <c r="IB35" s="331" t="s">
        <v>190</v>
      </c>
      <c r="IC35" s="331" t="s">
        <v>190</v>
      </c>
      <c r="ID35" s="331" t="s">
        <v>190</v>
      </c>
      <c r="IE35" s="331" t="s">
        <v>190</v>
      </c>
      <c r="IF35" s="331" t="s">
        <v>190</v>
      </c>
      <c r="IG35" s="331" t="s">
        <v>170</v>
      </c>
      <c r="IH35" s="331" t="s">
        <v>429</v>
      </c>
      <c r="II35" s="331" t="s">
        <v>169</v>
      </c>
      <c r="IJ35" s="331" t="s">
        <v>427</v>
      </c>
      <c r="IK35" s="331" t="s">
        <v>428</v>
      </c>
      <c r="IL35" s="331" t="s">
        <v>428</v>
      </c>
    </row>
    <row r="36" spans="1:246" x14ac:dyDescent="0.25">
      <c r="A36" s="330" t="str">
        <f>HYPERLINK("http://www.ofsted.gov.uk/inspection-reports/find-inspection-report/provider/ELS/129252 ","Ofsted School Webpage")</f>
        <v>Ofsted School Webpage</v>
      </c>
      <c r="B36" s="331">
        <v>129252</v>
      </c>
      <c r="C36" s="331">
        <v>9086095</v>
      </c>
      <c r="D36" s="331" t="s">
        <v>1563</v>
      </c>
      <c r="E36" s="331" t="s">
        <v>168</v>
      </c>
      <c r="F36" s="331" t="s">
        <v>422</v>
      </c>
      <c r="G36" s="331" t="s">
        <v>422</v>
      </c>
      <c r="H36" s="331" t="s">
        <v>1204</v>
      </c>
      <c r="I36" s="331" t="s">
        <v>1564</v>
      </c>
      <c r="J36" s="331" t="s">
        <v>81</v>
      </c>
      <c r="K36" s="331" t="s">
        <v>81</v>
      </c>
      <c r="L36" s="331" t="s">
        <v>81</v>
      </c>
      <c r="M36" s="331" t="s">
        <v>78</v>
      </c>
      <c r="N36" s="331" t="s">
        <v>424</v>
      </c>
      <c r="O36" s="333">
        <v>10107532</v>
      </c>
      <c r="P36" s="332">
        <v>43781</v>
      </c>
      <c r="Q36" s="332">
        <v>43783</v>
      </c>
      <c r="R36" s="332">
        <v>43815</v>
      </c>
      <c r="S36" s="331" t="s">
        <v>425</v>
      </c>
      <c r="T36" s="331" t="s">
        <v>426</v>
      </c>
      <c r="U36" s="331">
        <v>2</v>
      </c>
      <c r="V36" s="331">
        <v>2</v>
      </c>
      <c r="W36" s="331">
        <v>1</v>
      </c>
      <c r="X36" s="331">
        <v>1</v>
      </c>
      <c r="Y36" s="331">
        <v>1</v>
      </c>
      <c r="Z36" s="331" t="s">
        <v>169</v>
      </c>
      <c r="AA36" s="331" t="s">
        <v>173</v>
      </c>
      <c r="AB36" s="331">
        <v>2</v>
      </c>
      <c r="AC36" s="331" t="s">
        <v>427</v>
      </c>
      <c r="AD36" s="331" t="s">
        <v>171</v>
      </c>
      <c r="AE36" s="331" t="s">
        <v>190</v>
      </c>
      <c r="AF36" s="331" t="s">
        <v>190</v>
      </c>
      <c r="AG36" s="331" t="s">
        <v>190</v>
      </c>
      <c r="AH36" s="331" t="s">
        <v>190</v>
      </c>
      <c r="AI36" s="331" t="s">
        <v>190</v>
      </c>
      <c r="AJ36" s="331" t="s">
        <v>190</v>
      </c>
      <c r="AK36" s="331" t="s">
        <v>190</v>
      </c>
      <c r="AL36" s="331" t="s">
        <v>190</v>
      </c>
      <c r="AM36" s="331" t="s">
        <v>190</v>
      </c>
      <c r="AN36" s="331" t="s">
        <v>190</v>
      </c>
      <c r="AO36" s="331" t="s">
        <v>190</v>
      </c>
      <c r="AP36" s="331" t="s">
        <v>190</v>
      </c>
      <c r="AQ36" s="331" t="s">
        <v>190</v>
      </c>
      <c r="AR36" s="331" t="s">
        <v>190</v>
      </c>
      <c r="AS36" s="331" t="s">
        <v>190</v>
      </c>
      <c r="AT36" s="331" t="s">
        <v>190</v>
      </c>
      <c r="AU36" s="331" t="s">
        <v>428</v>
      </c>
      <c r="AV36" s="331" t="s">
        <v>190</v>
      </c>
      <c r="AW36" s="331" t="s">
        <v>190</v>
      </c>
      <c r="AX36" s="331" t="s">
        <v>190</v>
      </c>
      <c r="AY36" s="331" t="s">
        <v>190</v>
      </c>
      <c r="AZ36" s="331" t="s">
        <v>190</v>
      </c>
      <c r="BA36" s="331" t="s">
        <v>190</v>
      </c>
      <c r="BB36" s="331" t="s">
        <v>190</v>
      </c>
      <c r="BC36" s="331" t="s">
        <v>428</v>
      </c>
      <c r="BD36" s="331" t="s">
        <v>190</v>
      </c>
      <c r="BE36" s="331" t="s">
        <v>190</v>
      </c>
      <c r="BF36" s="331" t="s">
        <v>190</v>
      </c>
      <c r="BG36" s="331" t="s">
        <v>190</v>
      </c>
      <c r="BH36" s="331" t="s">
        <v>190</v>
      </c>
      <c r="BI36" s="331" t="s">
        <v>190</v>
      </c>
      <c r="BJ36" s="331" t="s">
        <v>190</v>
      </c>
      <c r="BK36" s="331" t="s">
        <v>190</v>
      </c>
      <c r="BL36" s="331" t="s">
        <v>190</v>
      </c>
      <c r="BM36" s="331" t="s">
        <v>190</v>
      </c>
      <c r="BN36" s="331" t="s">
        <v>190</v>
      </c>
      <c r="BO36" s="331" t="s">
        <v>190</v>
      </c>
      <c r="BP36" s="331" t="s">
        <v>190</v>
      </c>
      <c r="BQ36" s="331" t="s">
        <v>190</v>
      </c>
      <c r="BR36" s="331" t="s">
        <v>190</v>
      </c>
      <c r="BS36" s="331" t="s">
        <v>190</v>
      </c>
      <c r="BT36" s="331" t="s">
        <v>190</v>
      </c>
      <c r="BU36" s="331" t="s">
        <v>190</v>
      </c>
      <c r="BV36" s="331" t="s">
        <v>190</v>
      </c>
      <c r="BW36" s="331" t="s">
        <v>190</v>
      </c>
      <c r="BX36" s="331" t="s">
        <v>190</v>
      </c>
      <c r="BY36" s="331" t="s">
        <v>190</v>
      </c>
      <c r="BZ36" s="331" t="s">
        <v>190</v>
      </c>
      <c r="CA36" s="331" t="s">
        <v>190</v>
      </c>
      <c r="CB36" s="331" t="s">
        <v>190</v>
      </c>
      <c r="CC36" s="331" t="s">
        <v>190</v>
      </c>
      <c r="CD36" s="331" t="s">
        <v>190</v>
      </c>
      <c r="CE36" s="331" t="s">
        <v>190</v>
      </c>
      <c r="CF36" s="331" t="s">
        <v>190</v>
      </c>
      <c r="CG36" s="331" t="s">
        <v>190</v>
      </c>
      <c r="CH36" s="331" t="s">
        <v>190</v>
      </c>
      <c r="CI36" s="331" t="s">
        <v>190</v>
      </c>
      <c r="CJ36" s="331" t="s">
        <v>190</v>
      </c>
      <c r="CK36" s="331" t="s">
        <v>428</v>
      </c>
      <c r="CL36" s="331" t="s">
        <v>428</v>
      </c>
      <c r="CM36" s="331" t="s">
        <v>428</v>
      </c>
      <c r="CN36" s="331" t="s">
        <v>190</v>
      </c>
      <c r="CO36" s="331" t="s">
        <v>190</v>
      </c>
      <c r="CP36" s="331" t="s">
        <v>190</v>
      </c>
      <c r="CQ36" s="331" t="s">
        <v>190</v>
      </c>
      <c r="CR36" s="331" t="s">
        <v>190</v>
      </c>
      <c r="CS36" s="331" t="s">
        <v>190</v>
      </c>
      <c r="CT36" s="331" t="s">
        <v>190</v>
      </c>
      <c r="CU36" s="331" t="s">
        <v>190</v>
      </c>
      <c r="CV36" s="331" t="s">
        <v>190</v>
      </c>
      <c r="CW36" s="331" t="s">
        <v>190</v>
      </c>
      <c r="CX36" s="331" t="s">
        <v>190</v>
      </c>
      <c r="CY36" s="331" t="s">
        <v>190</v>
      </c>
      <c r="CZ36" s="331" t="s">
        <v>190</v>
      </c>
      <c r="DA36" s="331" t="s">
        <v>190</v>
      </c>
      <c r="DB36" s="331" t="s">
        <v>190</v>
      </c>
      <c r="DC36" s="331" t="s">
        <v>190</v>
      </c>
      <c r="DD36" s="331" t="s">
        <v>190</v>
      </c>
      <c r="DE36" s="331" t="s">
        <v>190</v>
      </c>
      <c r="DF36" s="331" t="s">
        <v>190</v>
      </c>
      <c r="DG36" s="331" t="s">
        <v>190</v>
      </c>
      <c r="DH36" s="331" t="s">
        <v>190</v>
      </c>
      <c r="DI36" s="331" t="s">
        <v>190</v>
      </c>
      <c r="DJ36" s="331" t="s">
        <v>190</v>
      </c>
      <c r="DK36" s="331" t="s">
        <v>428</v>
      </c>
      <c r="DL36" s="331" t="s">
        <v>190</v>
      </c>
      <c r="DM36" s="331" t="s">
        <v>190</v>
      </c>
      <c r="DN36" s="331" t="s">
        <v>190</v>
      </c>
      <c r="DO36" s="331" t="s">
        <v>190</v>
      </c>
      <c r="DP36" s="331" t="s">
        <v>190</v>
      </c>
      <c r="DQ36" s="331" t="s">
        <v>190</v>
      </c>
      <c r="DR36" s="331" t="s">
        <v>190</v>
      </c>
      <c r="DS36" s="331" t="s">
        <v>190</v>
      </c>
      <c r="DT36" s="331" t="s">
        <v>190</v>
      </c>
      <c r="DU36" s="331" t="s">
        <v>190</v>
      </c>
      <c r="DV36" s="331" t="s">
        <v>190</v>
      </c>
      <c r="DW36" s="331" t="s">
        <v>190</v>
      </c>
      <c r="DX36" s="331" t="s">
        <v>190</v>
      </c>
      <c r="DY36" s="331" t="s">
        <v>190</v>
      </c>
      <c r="DZ36" s="331" t="s">
        <v>428</v>
      </c>
      <c r="EA36" s="331" t="s">
        <v>190</v>
      </c>
      <c r="EB36" s="331" t="s">
        <v>428</v>
      </c>
      <c r="EC36" s="331" t="s">
        <v>428</v>
      </c>
      <c r="ED36" s="331" t="s">
        <v>428</v>
      </c>
      <c r="EE36" s="331" t="s">
        <v>428</v>
      </c>
      <c r="EF36" s="331" t="s">
        <v>428</v>
      </c>
      <c r="EG36" s="331" t="s">
        <v>428</v>
      </c>
      <c r="EH36" s="331" t="s">
        <v>428</v>
      </c>
      <c r="EI36" s="331" t="s">
        <v>428</v>
      </c>
      <c r="EJ36" s="331" t="s">
        <v>428</v>
      </c>
      <c r="EK36" s="331" t="s">
        <v>190</v>
      </c>
      <c r="EL36" s="331" t="s">
        <v>190</v>
      </c>
      <c r="EM36" s="331" t="s">
        <v>190</v>
      </c>
      <c r="EN36" s="331" t="s">
        <v>190</v>
      </c>
      <c r="EO36" s="331" t="s">
        <v>190</v>
      </c>
      <c r="EP36" s="331" t="s">
        <v>190</v>
      </c>
      <c r="EQ36" s="331" t="s">
        <v>190</v>
      </c>
      <c r="ER36" s="331" t="s">
        <v>190</v>
      </c>
      <c r="ES36" s="331" t="s">
        <v>190</v>
      </c>
      <c r="ET36" s="331" t="s">
        <v>190</v>
      </c>
      <c r="EU36" s="331" t="s">
        <v>190</v>
      </c>
      <c r="EV36" s="331" t="s">
        <v>190</v>
      </c>
      <c r="EW36" s="331" t="s">
        <v>190</v>
      </c>
      <c r="EX36" s="331" t="s">
        <v>428</v>
      </c>
      <c r="EY36" s="331" t="s">
        <v>190</v>
      </c>
      <c r="EZ36" s="331" t="s">
        <v>190</v>
      </c>
      <c r="FA36" s="331" t="s">
        <v>190</v>
      </c>
      <c r="FB36" s="331" t="s">
        <v>190</v>
      </c>
      <c r="FC36" s="331" t="s">
        <v>428</v>
      </c>
      <c r="FD36" s="331" t="s">
        <v>190</v>
      </c>
      <c r="FE36" s="331" t="s">
        <v>190</v>
      </c>
      <c r="FF36" s="331" t="s">
        <v>190</v>
      </c>
      <c r="FG36" s="331" t="s">
        <v>190</v>
      </c>
      <c r="FH36" s="331" t="s">
        <v>190</v>
      </c>
      <c r="FI36" s="331" t="s">
        <v>190</v>
      </c>
      <c r="FJ36" s="331" t="s">
        <v>190</v>
      </c>
      <c r="FK36" s="331" t="s">
        <v>190</v>
      </c>
      <c r="FL36" s="331" t="s">
        <v>190</v>
      </c>
      <c r="FM36" s="331" t="s">
        <v>190</v>
      </c>
      <c r="FN36" s="331" t="s">
        <v>190</v>
      </c>
      <c r="FO36" s="331" t="s">
        <v>190</v>
      </c>
      <c r="FP36" s="331" t="s">
        <v>428</v>
      </c>
      <c r="FQ36" s="331" t="s">
        <v>190</v>
      </c>
      <c r="FR36" s="331" t="s">
        <v>190</v>
      </c>
      <c r="FS36" s="331" t="s">
        <v>190</v>
      </c>
      <c r="FT36" s="331" t="s">
        <v>190</v>
      </c>
      <c r="FU36" s="331" t="s">
        <v>190</v>
      </c>
      <c r="FV36" s="331" t="s">
        <v>190</v>
      </c>
      <c r="FW36" s="331" t="s">
        <v>190</v>
      </c>
      <c r="FX36" s="331" t="s">
        <v>190</v>
      </c>
      <c r="FY36" s="331" t="s">
        <v>190</v>
      </c>
      <c r="FZ36" s="331" t="s">
        <v>190</v>
      </c>
      <c r="GA36" s="331" t="s">
        <v>190</v>
      </c>
      <c r="GB36" s="331" t="s">
        <v>190</v>
      </c>
      <c r="GC36" s="331" t="s">
        <v>190</v>
      </c>
      <c r="GD36" s="331" t="s">
        <v>190</v>
      </c>
      <c r="GE36" s="331" t="s">
        <v>190</v>
      </c>
      <c r="GF36" s="331" t="s">
        <v>190</v>
      </c>
      <c r="GG36" s="331" t="s">
        <v>190</v>
      </c>
      <c r="GH36" s="331" t="s">
        <v>428</v>
      </c>
      <c r="GI36" s="331" t="s">
        <v>190</v>
      </c>
      <c r="GJ36" s="331" t="s">
        <v>190</v>
      </c>
      <c r="GK36" s="331" t="s">
        <v>190</v>
      </c>
      <c r="GL36" s="331" t="s">
        <v>190</v>
      </c>
      <c r="GM36" s="331" t="s">
        <v>190</v>
      </c>
      <c r="GN36" s="331" t="s">
        <v>428</v>
      </c>
      <c r="GO36" s="331" t="s">
        <v>190</v>
      </c>
      <c r="GP36" s="331" t="s">
        <v>190</v>
      </c>
      <c r="GQ36" s="331" t="s">
        <v>190</v>
      </c>
      <c r="GR36" s="331" t="s">
        <v>190</v>
      </c>
      <c r="GS36" s="331" t="s">
        <v>428</v>
      </c>
      <c r="GT36" s="331" t="s">
        <v>190</v>
      </c>
      <c r="GU36" s="331" t="s">
        <v>190</v>
      </c>
      <c r="GV36" s="331" t="s">
        <v>190</v>
      </c>
      <c r="GW36" s="331" t="s">
        <v>190</v>
      </c>
      <c r="GX36" s="331" t="s">
        <v>428</v>
      </c>
      <c r="GY36" s="331" t="s">
        <v>428</v>
      </c>
      <c r="GZ36" s="331" t="s">
        <v>190</v>
      </c>
      <c r="HA36" s="331" t="s">
        <v>190</v>
      </c>
      <c r="HB36" s="331" t="s">
        <v>190</v>
      </c>
      <c r="HC36" s="331" t="s">
        <v>190</v>
      </c>
      <c r="HD36" s="331" t="s">
        <v>190</v>
      </c>
      <c r="HE36" s="331" t="s">
        <v>190</v>
      </c>
      <c r="HF36" s="331" t="s">
        <v>190</v>
      </c>
      <c r="HG36" s="331" t="s">
        <v>190</v>
      </c>
      <c r="HH36" s="331" t="s">
        <v>190</v>
      </c>
      <c r="HI36" s="331" t="s">
        <v>428</v>
      </c>
      <c r="HJ36" s="331" t="s">
        <v>428</v>
      </c>
      <c r="HK36" s="331" t="s">
        <v>428</v>
      </c>
      <c r="HL36" s="331" t="s">
        <v>428</v>
      </c>
      <c r="HM36" s="331" t="s">
        <v>190</v>
      </c>
      <c r="HN36" s="331" t="s">
        <v>190</v>
      </c>
      <c r="HO36" s="331" t="s">
        <v>190</v>
      </c>
      <c r="HP36" s="331" t="s">
        <v>190</v>
      </c>
      <c r="HQ36" s="331" t="s">
        <v>190</v>
      </c>
      <c r="HR36" s="331" t="s">
        <v>190</v>
      </c>
      <c r="HS36" s="331" t="s">
        <v>190</v>
      </c>
      <c r="HT36" s="331" t="s">
        <v>190</v>
      </c>
      <c r="HU36" s="331" t="s">
        <v>190</v>
      </c>
      <c r="HV36" s="331" t="s">
        <v>190</v>
      </c>
      <c r="HW36" s="331" t="s">
        <v>190</v>
      </c>
      <c r="HX36" s="331" t="s">
        <v>190</v>
      </c>
      <c r="HY36" s="331" t="s">
        <v>190</v>
      </c>
      <c r="HZ36" s="331" t="s">
        <v>190</v>
      </c>
      <c r="IA36" s="331" t="s">
        <v>190</v>
      </c>
      <c r="IB36" s="331" t="s">
        <v>190</v>
      </c>
      <c r="IC36" s="331" t="s">
        <v>190</v>
      </c>
      <c r="ID36" s="331" t="s">
        <v>190</v>
      </c>
      <c r="IE36" s="331" t="s">
        <v>190</v>
      </c>
      <c r="IF36" s="331" t="s">
        <v>190</v>
      </c>
      <c r="IG36" s="331" t="s">
        <v>170</v>
      </c>
      <c r="IH36" s="331" t="s">
        <v>429</v>
      </c>
      <c r="II36" s="331" t="s">
        <v>169</v>
      </c>
      <c r="IJ36" s="331" t="s">
        <v>427</v>
      </c>
      <c r="IK36" s="331" t="s">
        <v>428</v>
      </c>
      <c r="IL36" s="331" t="s">
        <v>428</v>
      </c>
    </row>
    <row r="37" spans="1:246" x14ac:dyDescent="0.25">
      <c r="A37" s="330" t="str">
        <f>HYPERLINK("http://www.ofsted.gov.uk/inspection-reports/find-inspection-report/provider/ELS/103753 ","Ofsted School Webpage")</f>
        <v>Ofsted School Webpage</v>
      </c>
      <c r="B37" s="331">
        <v>103753</v>
      </c>
      <c r="C37" s="331">
        <v>3316022</v>
      </c>
      <c r="D37" s="331" t="s">
        <v>1326</v>
      </c>
      <c r="E37" s="331" t="s">
        <v>167</v>
      </c>
      <c r="F37" s="331" t="s">
        <v>437</v>
      </c>
      <c r="G37" s="331" t="s">
        <v>437</v>
      </c>
      <c r="H37" s="331" t="s">
        <v>1327</v>
      </c>
      <c r="I37" s="331" t="s">
        <v>1328</v>
      </c>
      <c r="J37" s="331" t="s">
        <v>71</v>
      </c>
      <c r="K37" s="331" t="s">
        <v>72</v>
      </c>
      <c r="L37" s="331" t="s">
        <v>71</v>
      </c>
      <c r="M37" s="331" t="s">
        <v>72</v>
      </c>
      <c r="N37" s="331" t="s">
        <v>424</v>
      </c>
      <c r="O37" s="333">
        <v>10092448</v>
      </c>
      <c r="P37" s="332">
        <v>43781</v>
      </c>
      <c r="Q37" s="332">
        <v>43783</v>
      </c>
      <c r="R37" s="332">
        <v>43810</v>
      </c>
      <c r="S37" s="331" t="s">
        <v>425</v>
      </c>
      <c r="T37" s="331" t="s">
        <v>426</v>
      </c>
      <c r="U37" s="331">
        <v>2</v>
      </c>
      <c r="V37" s="331">
        <v>2</v>
      </c>
      <c r="W37" s="331">
        <v>2</v>
      </c>
      <c r="X37" s="331">
        <v>2</v>
      </c>
      <c r="Y37" s="331">
        <v>2</v>
      </c>
      <c r="Z37" s="331" t="s">
        <v>169</v>
      </c>
      <c r="AA37" s="331">
        <v>2</v>
      </c>
      <c r="AB37" s="331" t="s">
        <v>173</v>
      </c>
      <c r="AC37" s="331" t="s">
        <v>427</v>
      </c>
      <c r="AD37" s="331" t="s">
        <v>171</v>
      </c>
      <c r="AE37" s="331" t="s">
        <v>190</v>
      </c>
      <c r="AF37" s="331" t="s">
        <v>190</v>
      </c>
      <c r="AG37" s="331" t="s">
        <v>190</v>
      </c>
      <c r="AH37" s="331" t="s">
        <v>190</v>
      </c>
      <c r="AI37" s="331" t="s">
        <v>190</v>
      </c>
      <c r="AJ37" s="331" t="s">
        <v>190</v>
      </c>
      <c r="AK37" s="331" t="s">
        <v>190</v>
      </c>
      <c r="AL37" s="331" t="s">
        <v>190</v>
      </c>
      <c r="AM37" s="331" t="s">
        <v>190</v>
      </c>
      <c r="AN37" s="331" t="s">
        <v>190</v>
      </c>
      <c r="AO37" s="331" t="s">
        <v>190</v>
      </c>
      <c r="AP37" s="331" t="s">
        <v>190</v>
      </c>
      <c r="AQ37" s="331" t="s">
        <v>190</v>
      </c>
      <c r="AR37" s="331" t="s">
        <v>190</v>
      </c>
      <c r="AS37" s="331" t="s">
        <v>190</v>
      </c>
      <c r="AT37" s="331" t="s">
        <v>190</v>
      </c>
      <c r="AU37" s="331" t="s">
        <v>428</v>
      </c>
      <c r="AV37" s="331" t="s">
        <v>190</v>
      </c>
      <c r="AW37" s="331" t="s">
        <v>190</v>
      </c>
      <c r="AX37" s="331" t="s">
        <v>190</v>
      </c>
      <c r="AY37" s="331" t="s">
        <v>428</v>
      </c>
      <c r="AZ37" s="331" t="s">
        <v>428</v>
      </c>
      <c r="BA37" s="331" t="s">
        <v>428</v>
      </c>
      <c r="BB37" s="331" t="s">
        <v>428</v>
      </c>
      <c r="BC37" s="331" t="s">
        <v>190</v>
      </c>
      <c r="BD37" s="331" t="s">
        <v>428</v>
      </c>
      <c r="BE37" s="331" t="s">
        <v>190</v>
      </c>
      <c r="BF37" s="331" t="s">
        <v>190</v>
      </c>
      <c r="BG37" s="331" t="s">
        <v>190</v>
      </c>
      <c r="BH37" s="331" t="s">
        <v>190</v>
      </c>
      <c r="BI37" s="331" t="s">
        <v>190</v>
      </c>
      <c r="BJ37" s="331" t="s">
        <v>190</v>
      </c>
      <c r="BK37" s="331" t="s">
        <v>190</v>
      </c>
      <c r="BL37" s="331" t="s">
        <v>190</v>
      </c>
      <c r="BM37" s="331" t="s">
        <v>190</v>
      </c>
      <c r="BN37" s="331" t="s">
        <v>190</v>
      </c>
      <c r="BO37" s="331" t="s">
        <v>190</v>
      </c>
      <c r="BP37" s="331" t="s">
        <v>190</v>
      </c>
      <c r="BQ37" s="331" t="s">
        <v>190</v>
      </c>
      <c r="BR37" s="331" t="s">
        <v>190</v>
      </c>
      <c r="BS37" s="331" t="s">
        <v>190</v>
      </c>
      <c r="BT37" s="331" t="s">
        <v>190</v>
      </c>
      <c r="BU37" s="331" t="s">
        <v>190</v>
      </c>
      <c r="BV37" s="331" t="s">
        <v>190</v>
      </c>
      <c r="BW37" s="331" t="s">
        <v>190</v>
      </c>
      <c r="BX37" s="331" t="s">
        <v>190</v>
      </c>
      <c r="BY37" s="331" t="s">
        <v>190</v>
      </c>
      <c r="BZ37" s="331" t="s">
        <v>190</v>
      </c>
      <c r="CA37" s="331" t="s">
        <v>190</v>
      </c>
      <c r="CB37" s="331" t="s">
        <v>190</v>
      </c>
      <c r="CC37" s="331" t="s">
        <v>190</v>
      </c>
      <c r="CD37" s="331" t="s">
        <v>190</v>
      </c>
      <c r="CE37" s="331" t="s">
        <v>190</v>
      </c>
      <c r="CF37" s="331" t="s">
        <v>190</v>
      </c>
      <c r="CG37" s="331" t="s">
        <v>190</v>
      </c>
      <c r="CH37" s="331" t="s">
        <v>190</v>
      </c>
      <c r="CI37" s="331" t="s">
        <v>190</v>
      </c>
      <c r="CJ37" s="331" t="s">
        <v>190</v>
      </c>
      <c r="CK37" s="331" t="s">
        <v>428</v>
      </c>
      <c r="CL37" s="331" t="s">
        <v>428</v>
      </c>
      <c r="CM37" s="331" t="s">
        <v>428</v>
      </c>
      <c r="CN37" s="331" t="s">
        <v>190</v>
      </c>
      <c r="CO37" s="331" t="s">
        <v>190</v>
      </c>
      <c r="CP37" s="331" t="s">
        <v>190</v>
      </c>
      <c r="CQ37" s="331" t="s">
        <v>190</v>
      </c>
      <c r="CR37" s="331" t="s">
        <v>190</v>
      </c>
      <c r="CS37" s="331" t="s">
        <v>190</v>
      </c>
      <c r="CT37" s="331" t="s">
        <v>190</v>
      </c>
      <c r="CU37" s="331" t="s">
        <v>190</v>
      </c>
      <c r="CV37" s="331" t="s">
        <v>190</v>
      </c>
      <c r="CW37" s="331" t="s">
        <v>190</v>
      </c>
      <c r="CX37" s="331" t="s">
        <v>190</v>
      </c>
      <c r="CY37" s="331" t="s">
        <v>190</v>
      </c>
      <c r="CZ37" s="331" t="s">
        <v>190</v>
      </c>
      <c r="DA37" s="331" t="s">
        <v>190</v>
      </c>
      <c r="DB37" s="331" t="s">
        <v>190</v>
      </c>
      <c r="DC37" s="331" t="s">
        <v>190</v>
      </c>
      <c r="DD37" s="331" t="s">
        <v>190</v>
      </c>
      <c r="DE37" s="331" t="s">
        <v>190</v>
      </c>
      <c r="DF37" s="331" t="s">
        <v>190</v>
      </c>
      <c r="DG37" s="331" t="s">
        <v>190</v>
      </c>
      <c r="DH37" s="331" t="s">
        <v>190</v>
      </c>
      <c r="DI37" s="331" t="s">
        <v>190</v>
      </c>
      <c r="DJ37" s="331" t="s">
        <v>190</v>
      </c>
      <c r="DK37" s="331" t="s">
        <v>428</v>
      </c>
      <c r="DL37" s="331" t="s">
        <v>190</v>
      </c>
      <c r="DM37" s="331" t="s">
        <v>190</v>
      </c>
      <c r="DN37" s="331" t="s">
        <v>190</v>
      </c>
      <c r="DO37" s="331" t="s">
        <v>190</v>
      </c>
      <c r="DP37" s="331" t="s">
        <v>190</v>
      </c>
      <c r="DQ37" s="331" t="s">
        <v>190</v>
      </c>
      <c r="DR37" s="331" t="s">
        <v>190</v>
      </c>
      <c r="DS37" s="331" t="s">
        <v>190</v>
      </c>
      <c r="DT37" s="331" t="s">
        <v>190</v>
      </c>
      <c r="DU37" s="331" t="s">
        <v>190</v>
      </c>
      <c r="DV37" s="331" t="s">
        <v>190</v>
      </c>
      <c r="DW37" s="331" t="s">
        <v>190</v>
      </c>
      <c r="DX37" s="331" t="s">
        <v>190</v>
      </c>
      <c r="DY37" s="331" t="s">
        <v>190</v>
      </c>
      <c r="DZ37" s="331" t="s">
        <v>428</v>
      </c>
      <c r="EA37" s="331" t="s">
        <v>190</v>
      </c>
      <c r="EB37" s="331" t="s">
        <v>190</v>
      </c>
      <c r="EC37" s="331" t="s">
        <v>190</v>
      </c>
      <c r="ED37" s="331" t="s">
        <v>190</v>
      </c>
      <c r="EE37" s="331" t="s">
        <v>190</v>
      </c>
      <c r="EF37" s="331" t="s">
        <v>190</v>
      </c>
      <c r="EG37" s="331" t="s">
        <v>190</v>
      </c>
      <c r="EH37" s="331" t="s">
        <v>190</v>
      </c>
      <c r="EI37" s="331" t="s">
        <v>190</v>
      </c>
      <c r="EJ37" s="331" t="s">
        <v>190</v>
      </c>
      <c r="EK37" s="331" t="s">
        <v>190</v>
      </c>
      <c r="EL37" s="331" t="s">
        <v>190</v>
      </c>
      <c r="EM37" s="331" t="s">
        <v>190</v>
      </c>
      <c r="EN37" s="331" t="s">
        <v>190</v>
      </c>
      <c r="EO37" s="331" t="s">
        <v>190</v>
      </c>
      <c r="EP37" s="331" t="s">
        <v>190</v>
      </c>
      <c r="EQ37" s="331" t="s">
        <v>190</v>
      </c>
      <c r="ER37" s="331" t="s">
        <v>190</v>
      </c>
      <c r="ES37" s="331" t="s">
        <v>190</v>
      </c>
      <c r="ET37" s="331" t="s">
        <v>190</v>
      </c>
      <c r="EU37" s="331" t="s">
        <v>190</v>
      </c>
      <c r="EV37" s="331" t="s">
        <v>190</v>
      </c>
      <c r="EW37" s="331" t="s">
        <v>190</v>
      </c>
      <c r="EX37" s="331" t="s">
        <v>190</v>
      </c>
      <c r="EY37" s="331" t="s">
        <v>190</v>
      </c>
      <c r="EZ37" s="331" t="s">
        <v>190</v>
      </c>
      <c r="FA37" s="331" t="s">
        <v>190</v>
      </c>
      <c r="FB37" s="331" t="s">
        <v>190</v>
      </c>
      <c r="FC37" s="331" t="s">
        <v>190</v>
      </c>
      <c r="FD37" s="331" t="s">
        <v>190</v>
      </c>
      <c r="FE37" s="331" t="s">
        <v>190</v>
      </c>
      <c r="FF37" s="331" t="s">
        <v>428</v>
      </c>
      <c r="FG37" s="331" t="s">
        <v>429</v>
      </c>
      <c r="FH37" s="331" t="s">
        <v>428</v>
      </c>
      <c r="FI37" s="331" t="s">
        <v>190</v>
      </c>
      <c r="FJ37" s="331" t="s">
        <v>190</v>
      </c>
      <c r="FK37" s="331" t="s">
        <v>190</v>
      </c>
      <c r="FL37" s="331" t="s">
        <v>428</v>
      </c>
      <c r="FM37" s="331" t="s">
        <v>190</v>
      </c>
      <c r="FN37" s="331" t="s">
        <v>190</v>
      </c>
      <c r="FO37" s="331" t="s">
        <v>190</v>
      </c>
      <c r="FP37" s="331" t="s">
        <v>428</v>
      </c>
      <c r="FQ37" s="331" t="s">
        <v>190</v>
      </c>
      <c r="FR37" s="331" t="s">
        <v>190</v>
      </c>
      <c r="FS37" s="331" t="s">
        <v>190</v>
      </c>
      <c r="FT37" s="331" t="s">
        <v>190</v>
      </c>
      <c r="FU37" s="331" t="s">
        <v>190</v>
      </c>
      <c r="FV37" s="331" t="s">
        <v>190</v>
      </c>
      <c r="FW37" s="331" t="s">
        <v>190</v>
      </c>
      <c r="FX37" s="331" t="s">
        <v>190</v>
      </c>
      <c r="FY37" s="331" t="s">
        <v>190</v>
      </c>
      <c r="FZ37" s="331" t="s">
        <v>190</v>
      </c>
      <c r="GA37" s="331" t="s">
        <v>190</v>
      </c>
      <c r="GB37" s="331" t="s">
        <v>190</v>
      </c>
      <c r="GC37" s="331" t="s">
        <v>190</v>
      </c>
      <c r="GD37" s="331" t="s">
        <v>190</v>
      </c>
      <c r="GE37" s="331" t="s">
        <v>190</v>
      </c>
      <c r="GF37" s="331" t="s">
        <v>190</v>
      </c>
      <c r="GG37" s="331" t="s">
        <v>190</v>
      </c>
      <c r="GH37" s="331" t="s">
        <v>428</v>
      </c>
      <c r="GI37" s="331" t="s">
        <v>190</v>
      </c>
      <c r="GJ37" s="331" t="s">
        <v>190</v>
      </c>
      <c r="GK37" s="331" t="s">
        <v>190</v>
      </c>
      <c r="GL37" s="331" t="s">
        <v>190</v>
      </c>
      <c r="GM37" s="331" t="s">
        <v>190</v>
      </c>
      <c r="GN37" s="331" t="s">
        <v>190</v>
      </c>
      <c r="GO37" s="331" t="s">
        <v>190</v>
      </c>
      <c r="GP37" s="331" t="s">
        <v>190</v>
      </c>
      <c r="GQ37" s="331" t="s">
        <v>428</v>
      </c>
      <c r="GR37" s="331" t="s">
        <v>190</v>
      </c>
      <c r="GS37" s="331" t="s">
        <v>190</v>
      </c>
      <c r="GT37" s="331" t="s">
        <v>190</v>
      </c>
      <c r="GU37" s="331" t="s">
        <v>190</v>
      </c>
      <c r="GV37" s="331" t="s">
        <v>190</v>
      </c>
      <c r="GW37" s="331" t="s">
        <v>190</v>
      </c>
      <c r="GX37" s="331" t="s">
        <v>428</v>
      </c>
      <c r="GY37" s="331" t="s">
        <v>190</v>
      </c>
      <c r="GZ37" s="331" t="s">
        <v>190</v>
      </c>
      <c r="HA37" s="331" t="s">
        <v>190</v>
      </c>
      <c r="HB37" s="331" t="s">
        <v>190</v>
      </c>
      <c r="HC37" s="331" t="s">
        <v>190</v>
      </c>
      <c r="HD37" s="331" t="s">
        <v>190</v>
      </c>
      <c r="HE37" s="331" t="s">
        <v>190</v>
      </c>
      <c r="HF37" s="331" t="s">
        <v>190</v>
      </c>
      <c r="HG37" s="331" t="s">
        <v>190</v>
      </c>
      <c r="HH37" s="331" t="s">
        <v>190</v>
      </c>
      <c r="HI37" s="331" t="s">
        <v>428</v>
      </c>
      <c r="HJ37" s="331" t="s">
        <v>428</v>
      </c>
      <c r="HK37" s="331" t="s">
        <v>428</v>
      </c>
      <c r="HL37" s="331" t="s">
        <v>428</v>
      </c>
      <c r="HM37" s="331" t="s">
        <v>190</v>
      </c>
      <c r="HN37" s="331" t="s">
        <v>190</v>
      </c>
      <c r="HO37" s="331" t="s">
        <v>190</v>
      </c>
      <c r="HP37" s="331" t="s">
        <v>190</v>
      </c>
      <c r="HQ37" s="331" t="s">
        <v>190</v>
      </c>
      <c r="HR37" s="331" t="s">
        <v>190</v>
      </c>
      <c r="HS37" s="331" t="s">
        <v>190</v>
      </c>
      <c r="HT37" s="331" t="s">
        <v>190</v>
      </c>
      <c r="HU37" s="331" t="s">
        <v>190</v>
      </c>
      <c r="HV37" s="331" t="s">
        <v>190</v>
      </c>
      <c r="HW37" s="331" t="s">
        <v>190</v>
      </c>
      <c r="HX37" s="331" t="s">
        <v>190</v>
      </c>
      <c r="HY37" s="331" t="s">
        <v>190</v>
      </c>
      <c r="HZ37" s="331" t="s">
        <v>190</v>
      </c>
      <c r="IA37" s="331" t="s">
        <v>190</v>
      </c>
      <c r="IB37" s="331" t="s">
        <v>190</v>
      </c>
      <c r="IC37" s="331" t="s">
        <v>190</v>
      </c>
      <c r="ID37" s="331" t="s">
        <v>190</v>
      </c>
      <c r="IE37" s="331" t="s">
        <v>190</v>
      </c>
      <c r="IF37" s="331" t="s">
        <v>190</v>
      </c>
      <c r="IG37" s="331" t="s">
        <v>170</v>
      </c>
      <c r="IH37" s="331" t="s">
        <v>429</v>
      </c>
      <c r="II37" s="331" t="s">
        <v>169</v>
      </c>
      <c r="IJ37" s="331" t="s">
        <v>427</v>
      </c>
      <c r="IK37" s="331" t="s">
        <v>190</v>
      </c>
      <c r="IL37" s="331" t="s">
        <v>190</v>
      </c>
    </row>
    <row r="38" spans="1:246" x14ac:dyDescent="0.25">
      <c r="A38" s="334" t="str">
        <f>HYPERLINK("http://www.ofsted.gov.uk/inspection-reports/find-inspection-report/provider/ELS/133298 ","Ofsted School Webpage")</f>
        <v>Ofsted School Webpage</v>
      </c>
      <c r="B38" s="331">
        <v>133298</v>
      </c>
      <c r="C38" s="331">
        <v>8866089</v>
      </c>
      <c r="D38" s="331" t="s">
        <v>1012</v>
      </c>
      <c r="E38" s="331" t="s">
        <v>168</v>
      </c>
      <c r="F38" s="331" t="s">
        <v>514</v>
      </c>
      <c r="G38" s="331" t="s">
        <v>514</v>
      </c>
      <c r="H38" s="331" t="s">
        <v>614</v>
      </c>
      <c r="I38" s="331" t="s">
        <v>1013</v>
      </c>
      <c r="J38" s="331" t="s">
        <v>81</v>
      </c>
      <c r="K38" s="331" t="s">
        <v>81</v>
      </c>
      <c r="L38" s="331" t="s">
        <v>81</v>
      </c>
      <c r="M38" s="331" t="s">
        <v>78</v>
      </c>
      <c r="N38" s="331" t="s">
        <v>424</v>
      </c>
      <c r="O38" s="333">
        <v>10056676</v>
      </c>
      <c r="P38" s="332">
        <v>43781</v>
      </c>
      <c r="Q38" s="332">
        <v>43783</v>
      </c>
      <c r="R38" s="332">
        <v>43811</v>
      </c>
      <c r="S38" s="331" t="s">
        <v>425</v>
      </c>
      <c r="T38" s="331" t="s">
        <v>426</v>
      </c>
      <c r="U38" s="331">
        <v>3</v>
      </c>
      <c r="V38" s="331">
        <v>3</v>
      </c>
      <c r="W38" s="331">
        <v>2</v>
      </c>
      <c r="X38" s="331">
        <v>2</v>
      </c>
      <c r="Y38" s="331">
        <v>2</v>
      </c>
      <c r="Z38" s="331" t="s">
        <v>169</v>
      </c>
      <c r="AA38" s="331" t="s">
        <v>173</v>
      </c>
      <c r="AB38" s="331" t="s">
        <v>173</v>
      </c>
      <c r="AC38" s="331" t="s">
        <v>427</v>
      </c>
      <c r="AD38" s="331" t="s">
        <v>171</v>
      </c>
      <c r="AE38" s="331" t="s">
        <v>190</v>
      </c>
      <c r="AF38" s="331" t="s">
        <v>190</v>
      </c>
      <c r="AG38" s="331" t="s">
        <v>190</v>
      </c>
      <c r="AH38" s="331" t="s">
        <v>190</v>
      </c>
      <c r="AI38" s="331" t="s">
        <v>190</v>
      </c>
      <c r="AJ38" s="331" t="s">
        <v>190</v>
      </c>
      <c r="AK38" s="331" t="s">
        <v>190</v>
      </c>
      <c r="AL38" s="331" t="s">
        <v>190</v>
      </c>
      <c r="AM38" s="331" t="s">
        <v>190</v>
      </c>
      <c r="AN38" s="331" t="s">
        <v>190</v>
      </c>
      <c r="AO38" s="331" t="s">
        <v>190</v>
      </c>
      <c r="AP38" s="331" t="s">
        <v>190</v>
      </c>
      <c r="AQ38" s="331" t="s">
        <v>190</v>
      </c>
      <c r="AR38" s="331" t="s">
        <v>190</v>
      </c>
      <c r="AS38" s="331" t="s">
        <v>190</v>
      </c>
      <c r="AT38" s="331" t="s">
        <v>190</v>
      </c>
      <c r="AU38" s="331" t="s">
        <v>428</v>
      </c>
      <c r="AV38" s="331" t="s">
        <v>190</v>
      </c>
      <c r="AW38" s="331" t="s">
        <v>190</v>
      </c>
      <c r="AX38" s="331" t="s">
        <v>190</v>
      </c>
      <c r="AY38" s="331" t="s">
        <v>428</v>
      </c>
      <c r="AZ38" s="331" t="s">
        <v>428</v>
      </c>
      <c r="BA38" s="331" t="s">
        <v>428</v>
      </c>
      <c r="BB38" s="331" t="s">
        <v>428</v>
      </c>
      <c r="BC38" s="331" t="s">
        <v>428</v>
      </c>
      <c r="BD38" s="331" t="s">
        <v>428</v>
      </c>
      <c r="BE38" s="331" t="s">
        <v>190</v>
      </c>
      <c r="BF38" s="331" t="s">
        <v>190</v>
      </c>
      <c r="BG38" s="331" t="s">
        <v>190</v>
      </c>
      <c r="BH38" s="331" t="s">
        <v>190</v>
      </c>
      <c r="BI38" s="331" t="s">
        <v>190</v>
      </c>
      <c r="BJ38" s="331" t="s">
        <v>190</v>
      </c>
      <c r="BK38" s="331" t="s">
        <v>190</v>
      </c>
      <c r="BL38" s="331" t="s">
        <v>190</v>
      </c>
      <c r="BM38" s="331" t="s">
        <v>190</v>
      </c>
      <c r="BN38" s="331" t="s">
        <v>190</v>
      </c>
      <c r="BO38" s="331" t="s">
        <v>190</v>
      </c>
      <c r="BP38" s="331" t="s">
        <v>190</v>
      </c>
      <c r="BQ38" s="331" t="s">
        <v>190</v>
      </c>
      <c r="BR38" s="331" t="s">
        <v>190</v>
      </c>
      <c r="BS38" s="331" t="s">
        <v>190</v>
      </c>
      <c r="BT38" s="331" t="s">
        <v>190</v>
      </c>
      <c r="BU38" s="331" t="s">
        <v>190</v>
      </c>
      <c r="BV38" s="331" t="s">
        <v>190</v>
      </c>
      <c r="BW38" s="331" t="s">
        <v>190</v>
      </c>
      <c r="BX38" s="331" t="s">
        <v>190</v>
      </c>
      <c r="BY38" s="331" t="s">
        <v>190</v>
      </c>
      <c r="BZ38" s="331" t="s">
        <v>190</v>
      </c>
      <c r="CA38" s="331" t="s">
        <v>190</v>
      </c>
      <c r="CB38" s="331" t="s">
        <v>190</v>
      </c>
      <c r="CC38" s="331" t="s">
        <v>190</v>
      </c>
      <c r="CD38" s="331" t="s">
        <v>190</v>
      </c>
      <c r="CE38" s="331" t="s">
        <v>190</v>
      </c>
      <c r="CF38" s="331" t="s">
        <v>190</v>
      </c>
      <c r="CG38" s="331" t="s">
        <v>190</v>
      </c>
      <c r="CH38" s="331" t="s">
        <v>190</v>
      </c>
      <c r="CI38" s="331" t="s">
        <v>190</v>
      </c>
      <c r="CJ38" s="331" t="s">
        <v>190</v>
      </c>
      <c r="CK38" s="331" t="s">
        <v>190</v>
      </c>
      <c r="CL38" s="331" t="s">
        <v>190</v>
      </c>
      <c r="CM38" s="331" t="s">
        <v>428</v>
      </c>
      <c r="CN38" s="331" t="s">
        <v>190</v>
      </c>
      <c r="CO38" s="331" t="s">
        <v>190</v>
      </c>
      <c r="CP38" s="331" t="s">
        <v>190</v>
      </c>
      <c r="CQ38" s="331" t="s">
        <v>190</v>
      </c>
      <c r="CR38" s="331" t="s">
        <v>190</v>
      </c>
      <c r="CS38" s="331" t="s">
        <v>190</v>
      </c>
      <c r="CT38" s="331" t="s">
        <v>190</v>
      </c>
      <c r="CU38" s="331" t="s">
        <v>190</v>
      </c>
      <c r="CV38" s="331" t="s">
        <v>190</v>
      </c>
      <c r="CW38" s="331" t="s">
        <v>190</v>
      </c>
      <c r="CX38" s="331" t="s">
        <v>190</v>
      </c>
      <c r="CY38" s="331" t="s">
        <v>190</v>
      </c>
      <c r="CZ38" s="331" t="s">
        <v>190</v>
      </c>
      <c r="DA38" s="331" t="s">
        <v>190</v>
      </c>
      <c r="DB38" s="331" t="s">
        <v>190</v>
      </c>
      <c r="DC38" s="331" t="s">
        <v>190</v>
      </c>
      <c r="DD38" s="331" t="s">
        <v>190</v>
      </c>
      <c r="DE38" s="331" t="s">
        <v>190</v>
      </c>
      <c r="DF38" s="331" t="s">
        <v>190</v>
      </c>
      <c r="DG38" s="331" t="s">
        <v>190</v>
      </c>
      <c r="DH38" s="331" t="s">
        <v>190</v>
      </c>
      <c r="DI38" s="331" t="s">
        <v>190</v>
      </c>
      <c r="DJ38" s="331" t="s">
        <v>428</v>
      </c>
      <c r="DK38" s="331" t="s">
        <v>428</v>
      </c>
      <c r="DL38" s="331" t="s">
        <v>190</v>
      </c>
      <c r="DM38" s="331" t="s">
        <v>428</v>
      </c>
      <c r="DN38" s="331" t="s">
        <v>428</v>
      </c>
      <c r="DO38" s="331" t="s">
        <v>428</v>
      </c>
      <c r="DP38" s="331" t="s">
        <v>428</v>
      </c>
      <c r="DQ38" s="331" t="s">
        <v>428</v>
      </c>
      <c r="DR38" s="331" t="s">
        <v>428</v>
      </c>
      <c r="DS38" s="331" t="s">
        <v>428</v>
      </c>
      <c r="DT38" s="331" t="s">
        <v>428</v>
      </c>
      <c r="DU38" s="331" t="s">
        <v>428</v>
      </c>
      <c r="DV38" s="331" t="s">
        <v>428</v>
      </c>
      <c r="DW38" s="331" t="s">
        <v>428</v>
      </c>
      <c r="DX38" s="331" t="s">
        <v>428</v>
      </c>
      <c r="DY38" s="331" t="s">
        <v>428</v>
      </c>
      <c r="DZ38" s="331" t="s">
        <v>428</v>
      </c>
      <c r="EA38" s="331" t="s">
        <v>428</v>
      </c>
      <c r="EB38" s="331" t="s">
        <v>190</v>
      </c>
      <c r="EC38" s="331" t="s">
        <v>190</v>
      </c>
      <c r="ED38" s="331" t="s">
        <v>190</v>
      </c>
      <c r="EE38" s="331" t="s">
        <v>190</v>
      </c>
      <c r="EF38" s="331" t="s">
        <v>190</v>
      </c>
      <c r="EG38" s="331" t="s">
        <v>190</v>
      </c>
      <c r="EH38" s="331" t="s">
        <v>190</v>
      </c>
      <c r="EI38" s="331" t="s">
        <v>428</v>
      </c>
      <c r="EJ38" s="331" t="s">
        <v>190</v>
      </c>
      <c r="EK38" s="331" t="s">
        <v>190</v>
      </c>
      <c r="EL38" s="331" t="s">
        <v>190</v>
      </c>
      <c r="EM38" s="331" t="s">
        <v>190</v>
      </c>
      <c r="EN38" s="331" t="s">
        <v>190</v>
      </c>
      <c r="EO38" s="331" t="s">
        <v>190</v>
      </c>
      <c r="EP38" s="331" t="s">
        <v>190</v>
      </c>
      <c r="EQ38" s="331" t="s">
        <v>190</v>
      </c>
      <c r="ER38" s="331" t="s">
        <v>190</v>
      </c>
      <c r="ES38" s="331" t="s">
        <v>190</v>
      </c>
      <c r="ET38" s="331" t="s">
        <v>190</v>
      </c>
      <c r="EU38" s="331" t="s">
        <v>190</v>
      </c>
      <c r="EV38" s="331" t="s">
        <v>190</v>
      </c>
      <c r="EW38" s="331" t="s">
        <v>190</v>
      </c>
      <c r="EX38" s="331" t="s">
        <v>428</v>
      </c>
      <c r="EY38" s="331" t="s">
        <v>428</v>
      </c>
      <c r="EZ38" s="331" t="s">
        <v>428</v>
      </c>
      <c r="FA38" s="331" t="s">
        <v>428</v>
      </c>
      <c r="FB38" s="331" t="s">
        <v>428</v>
      </c>
      <c r="FC38" s="331" t="s">
        <v>428</v>
      </c>
      <c r="FD38" s="331" t="s">
        <v>428</v>
      </c>
      <c r="FE38" s="331" t="s">
        <v>190</v>
      </c>
      <c r="FF38" s="331" t="s">
        <v>428</v>
      </c>
      <c r="FG38" s="331" t="s">
        <v>190</v>
      </c>
      <c r="FH38" s="331" t="s">
        <v>190</v>
      </c>
      <c r="FI38" s="331" t="s">
        <v>190</v>
      </c>
      <c r="FJ38" s="331" t="s">
        <v>190</v>
      </c>
      <c r="FK38" s="331" t="s">
        <v>190</v>
      </c>
      <c r="FL38" s="331" t="s">
        <v>190</v>
      </c>
      <c r="FM38" s="331" t="s">
        <v>190</v>
      </c>
      <c r="FN38" s="331" t="s">
        <v>190</v>
      </c>
      <c r="FO38" s="331" t="s">
        <v>190</v>
      </c>
      <c r="FP38" s="331" t="s">
        <v>428</v>
      </c>
      <c r="FQ38" s="331" t="s">
        <v>190</v>
      </c>
      <c r="FR38" s="331" t="s">
        <v>190</v>
      </c>
      <c r="FS38" s="331" t="s">
        <v>190</v>
      </c>
      <c r="FT38" s="331" t="s">
        <v>190</v>
      </c>
      <c r="FU38" s="331" t="s">
        <v>190</v>
      </c>
      <c r="FV38" s="331" t="s">
        <v>190</v>
      </c>
      <c r="FW38" s="331" t="s">
        <v>190</v>
      </c>
      <c r="FX38" s="331" t="s">
        <v>190</v>
      </c>
      <c r="FY38" s="331" t="s">
        <v>190</v>
      </c>
      <c r="FZ38" s="331" t="s">
        <v>190</v>
      </c>
      <c r="GA38" s="331" t="s">
        <v>190</v>
      </c>
      <c r="GB38" s="331" t="s">
        <v>190</v>
      </c>
      <c r="GC38" s="331" t="s">
        <v>190</v>
      </c>
      <c r="GD38" s="331" t="s">
        <v>190</v>
      </c>
      <c r="GE38" s="331" t="s">
        <v>190</v>
      </c>
      <c r="GF38" s="331" t="s">
        <v>190</v>
      </c>
      <c r="GG38" s="331" t="s">
        <v>190</v>
      </c>
      <c r="GH38" s="331" t="s">
        <v>428</v>
      </c>
      <c r="GI38" s="331" t="s">
        <v>190</v>
      </c>
      <c r="GJ38" s="331" t="s">
        <v>190</v>
      </c>
      <c r="GK38" s="331" t="s">
        <v>190</v>
      </c>
      <c r="GL38" s="331" t="s">
        <v>190</v>
      </c>
      <c r="GM38" s="331" t="s">
        <v>190</v>
      </c>
      <c r="GN38" s="331" t="s">
        <v>428</v>
      </c>
      <c r="GO38" s="331" t="s">
        <v>190</v>
      </c>
      <c r="GP38" s="331" t="s">
        <v>190</v>
      </c>
      <c r="GQ38" s="331" t="s">
        <v>190</v>
      </c>
      <c r="GR38" s="331" t="s">
        <v>190</v>
      </c>
      <c r="GS38" s="331" t="s">
        <v>190</v>
      </c>
      <c r="GT38" s="331" t="s">
        <v>190</v>
      </c>
      <c r="GU38" s="331" t="s">
        <v>190</v>
      </c>
      <c r="GV38" s="331" t="s">
        <v>190</v>
      </c>
      <c r="GW38" s="331" t="s">
        <v>190</v>
      </c>
      <c r="GX38" s="331" t="s">
        <v>190</v>
      </c>
      <c r="GY38" s="331" t="s">
        <v>428</v>
      </c>
      <c r="GZ38" s="331" t="s">
        <v>190</v>
      </c>
      <c r="HA38" s="331" t="s">
        <v>190</v>
      </c>
      <c r="HB38" s="331" t="s">
        <v>190</v>
      </c>
      <c r="HC38" s="331" t="s">
        <v>190</v>
      </c>
      <c r="HD38" s="331" t="s">
        <v>190</v>
      </c>
      <c r="HE38" s="331" t="s">
        <v>190</v>
      </c>
      <c r="HF38" s="331" t="s">
        <v>428</v>
      </c>
      <c r="HG38" s="331" t="s">
        <v>190</v>
      </c>
      <c r="HH38" s="331" t="s">
        <v>190</v>
      </c>
      <c r="HI38" s="331" t="s">
        <v>190</v>
      </c>
      <c r="HJ38" s="331" t="s">
        <v>428</v>
      </c>
      <c r="HK38" s="331" t="s">
        <v>428</v>
      </c>
      <c r="HL38" s="331" t="s">
        <v>428</v>
      </c>
      <c r="HM38" s="331" t="s">
        <v>190</v>
      </c>
      <c r="HN38" s="331" t="s">
        <v>190</v>
      </c>
      <c r="HO38" s="331" t="s">
        <v>190</v>
      </c>
      <c r="HP38" s="331" t="s">
        <v>190</v>
      </c>
      <c r="HQ38" s="331" t="s">
        <v>190</v>
      </c>
      <c r="HR38" s="331" t="s">
        <v>190</v>
      </c>
      <c r="HS38" s="331" t="s">
        <v>190</v>
      </c>
      <c r="HT38" s="331" t="s">
        <v>190</v>
      </c>
      <c r="HU38" s="331" t="s">
        <v>190</v>
      </c>
      <c r="HV38" s="331" t="s">
        <v>190</v>
      </c>
      <c r="HW38" s="331" t="s">
        <v>190</v>
      </c>
      <c r="HX38" s="331" t="s">
        <v>190</v>
      </c>
      <c r="HY38" s="331" t="s">
        <v>190</v>
      </c>
      <c r="HZ38" s="331" t="s">
        <v>190</v>
      </c>
      <c r="IA38" s="331" t="s">
        <v>190</v>
      </c>
      <c r="IB38" s="331" t="s">
        <v>190</v>
      </c>
      <c r="IC38" s="331" t="s">
        <v>190</v>
      </c>
      <c r="ID38" s="331" t="s">
        <v>190</v>
      </c>
      <c r="IE38" s="331" t="s">
        <v>190</v>
      </c>
      <c r="IF38" s="331" t="s">
        <v>190</v>
      </c>
      <c r="IG38" s="331" t="s">
        <v>170</v>
      </c>
      <c r="IH38" s="331" t="s">
        <v>429</v>
      </c>
      <c r="II38" s="331" t="s">
        <v>169</v>
      </c>
      <c r="IJ38" s="331" t="s">
        <v>427</v>
      </c>
      <c r="IK38" s="331" t="s">
        <v>428</v>
      </c>
      <c r="IL38" s="331" t="s">
        <v>428</v>
      </c>
    </row>
    <row r="39" spans="1:246" x14ac:dyDescent="0.25">
      <c r="A39" s="334" t="str">
        <f>HYPERLINK("http://www.ofsted.gov.uk/inspection-reports/find-inspection-report/provider/ELS/117615 ","Ofsted School Webpage")</f>
        <v>Ofsted School Webpage</v>
      </c>
      <c r="B39" s="331">
        <v>117615</v>
      </c>
      <c r="C39" s="331">
        <v>9196034</v>
      </c>
      <c r="D39" s="331" t="s">
        <v>1477</v>
      </c>
      <c r="E39" s="331" t="s">
        <v>167</v>
      </c>
      <c r="F39" s="331" t="s">
        <v>451</v>
      </c>
      <c r="G39" s="331" t="s">
        <v>451</v>
      </c>
      <c r="H39" s="331" t="s">
        <v>489</v>
      </c>
      <c r="I39" s="331" t="s">
        <v>1478</v>
      </c>
      <c r="J39" s="331" t="s">
        <v>81</v>
      </c>
      <c r="K39" s="331" t="s">
        <v>81</v>
      </c>
      <c r="L39" s="331" t="s">
        <v>81</v>
      </c>
      <c r="M39" s="331" t="s">
        <v>78</v>
      </c>
      <c r="N39" s="331" t="s">
        <v>424</v>
      </c>
      <c r="O39" s="333">
        <v>10113574</v>
      </c>
      <c r="P39" s="332">
        <v>43781</v>
      </c>
      <c r="Q39" s="332">
        <v>43783</v>
      </c>
      <c r="R39" s="332">
        <v>43807</v>
      </c>
      <c r="S39" s="331" t="s">
        <v>425</v>
      </c>
      <c r="T39" s="331" t="s">
        <v>426</v>
      </c>
      <c r="U39" s="331">
        <v>2</v>
      </c>
      <c r="V39" s="331">
        <v>2</v>
      </c>
      <c r="W39" s="331">
        <v>1</v>
      </c>
      <c r="X39" s="331">
        <v>1</v>
      </c>
      <c r="Y39" s="331">
        <v>2</v>
      </c>
      <c r="Z39" s="331" t="s">
        <v>169</v>
      </c>
      <c r="AA39" s="331">
        <v>1</v>
      </c>
      <c r="AB39" s="331" t="s">
        <v>173</v>
      </c>
      <c r="AC39" s="331" t="s">
        <v>427</v>
      </c>
      <c r="AD39" s="331" t="s">
        <v>171</v>
      </c>
      <c r="AE39" s="331" t="s">
        <v>190</v>
      </c>
      <c r="AF39" s="331" t="s">
        <v>190</v>
      </c>
      <c r="AG39" s="331" t="s">
        <v>190</v>
      </c>
      <c r="AH39" s="331" t="s">
        <v>190</v>
      </c>
      <c r="AI39" s="331" t="s">
        <v>190</v>
      </c>
      <c r="AJ39" s="331" t="s">
        <v>190</v>
      </c>
      <c r="AK39" s="331" t="s">
        <v>190</v>
      </c>
      <c r="AL39" s="331" t="s">
        <v>190</v>
      </c>
      <c r="AM39" s="331" t="s">
        <v>190</v>
      </c>
      <c r="AN39" s="331" t="s">
        <v>190</v>
      </c>
      <c r="AO39" s="331" t="s">
        <v>190</v>
      </c>
      <c r="AP39" s="331" t="s">
        <v>190</v>
      </c>
      <c r="AQ39" s="331" t="s">
        <v>190</v>
      </c>
      <c r="AR39" s="331" t="s">
        <v>190</v>
      </c>
      <c r="AS39" s="331" t="s">
        <v>190</v>
      </c>
      <c r="AT39" s="331" t="s">
        <v>190</v>
      </c>
      <c r="AU39" s="331" t="s">
        <v>428</v>
      </c>
      <c r="AV39" s="331" t="s">
        <v>190</v>
      </c>
      <c r="AW39" s="331" t="s">
        <v>190</v>
      </c>
      <c r="AX39" s="331" t="s">
        <v>190</v>
      </c>
      <c r="AY39" s="331" t="s">
        <v>428</v>
      </c>
      <c r="AZ39" s="331" t="s">
        <v>428</v>
      </c>
      <c r="BA39" s="331" t="s">
        <v>428</v>
      </c>
      <c r="BB39" s="331" t="s">
        <v>428</v>
      </c>
      <c r="BC39" s="331" t="s">
        <v>190</v>
      </c>
      <c r="BD39" s="331" t="s">
        <v>428</v>
      </c>
      <c r="BE39" s="331" t="s">
        <v>190</v>
      </c>
      <c r="BF39" s="331" t="s">
        <v>190</v>
      </c>
      <c r="BG39" s="331" t="s">
        <v>190</v>
      </c>
      <c r="BH39" s="331" t="s">
        <v>190</v>
      </c>
      <c r="BI39" s="331" t="s">
        <v>190</v>
      </c>
      <c r="BJ39" s="331" t="s">
        <v>190</v>
      </c>
      <c r="BK39" s="331" t="s">
        <v>190</v>
      </c>
      <c r="BL39" s="331" t="s">
        <v>190</v>
      </c>
      <c r="BM39" s="331" t="s">
        <v>190</v>
      </c>
      <c r="BN39" s="331" t="s">
        <v>190</v>
      </c>
      <c r="BO39" s="331" t="s">
        <v>190</v>
      </c>
      <c r="BP39" s="331" t="s">
        <v>190</v>
      </c>
      <c r="BQ39" s="331" t="s">
        <v>190</v>
      </c>
      <c r="BR39" s="331" t="s">
        <v>190</v>
      </c>
      <c r="BS39" s="331" t="s">
        <v>190</v>
      </c>
      <c r="BT39" s="331" t="s">
        <v>190</v>
      </c>
      <c r="BU39" s="331" t="s">
        <v>190</v>
      </c>
      <c r="BV39" s="331" t="s">
        <v>190</v>
      </c>
      <c r="BW39" s="331" t="s">
        <v>190</v>
      </c>
      <c r="BX39" s="331" t="s">
        <v>190</v>
      </c>
      <c r="BY39" s="331" t="s">
        <v>190</v>
      </c>
      <c r="BZ39" s="331" t="s">
        <v>190</v>
      </c>
      <c r="CA39" s="331" t="s">
        <v>190</v>
      </c>
      <c r="CB39" s="331" t="s">
        <v>190</v>
      </c>
      <c r="CC39" s="331" t="s">
        <v>190</v>
      </c>
      <c r="CD39" s="331" t="s">
        <v>190</v>
      </c>
      <c r="CE39" s="331" t="s">
        <v>190</v>
      </c>
      <c r="CF39" s="331" t="s">
        <v>190</v>
      </c>
      <c r="CG39" s="331" t="s">
        <v>190</v>
      </c>
      <c r="CH39" s="331" t="s">
        <v>190</v>
      </c>
      <c r="CI39" s="331" t="s">
        <v>190</v>
      </c>
      <c r="CJ39" s="331" t="s">
        <v>190</v>
      </c>
      <c r="CK39" s="331" t="s">
        <v>428</v>
      </c>
      <c r="CL39" s="331" t="s">
        <v>428</v>
      </c>
      <c r="CM39" s="331" t="s">
        <v>428</v>
      </c>
      <c r="CN39" s="331" t="s">
        <v>190</v>
      </c>
      <c r="CO39" s="331" t="s">
        <v>190</v>
      </c>
      <c r="CP39" s="331" t="s">
        <v>190</v>
      </c>
      <c r="CQ39" s="331" t="s">
        <v>190</v>
      </c>
      <c r="CR39" s="331" t="s">
        <v>190</v>
      </c>
      <c r="CS39" s="331" t="s">
        <v>190</v>
      </c>
      <c r="CT39" s="331" t="s">
        <v>190</v>
      </c>
      <c r="CU39" s="331" t="s">
        <v>190</v>
      </c>
      <c r="CV39" s="331" t="s">
        <v>190</v>
      </c>
      <c r="CW39" s="331" t="s">
        <v>190</v>
      </c>
      <c r="CX39" s="331" t="s">
        <v>190</v>
      </c>
      <c r="CY39" s="331" t="s">
        <v>190</v>
      </c>
      <c r="CZ39" s="331" t="s">
        <v>190</v>
      </c>
      <c r="DA39" s="331" t="s">
        <v>190</v>
      </c>
      <c r="DB39" s="331" t="s">
        <v>190</v>
      </c>
      <c r="DC39" s="331" t="s">
        <v>190</v>
      </c>
      <c r="DD39" s="331" t="s">
        <v>190</v>
      </c>
      <c r="DE39" s="331" t="s">
        <v>190</v>
      </c>
      <c r="DF39" s="331" t="s">
        <v>190</v>
      </c>
      <c r="DG39" s="331" t="s">
        <v>190</v>
      </c>
      <c r="DH39" s="331" t="s">
        <v>190</v>
      </c>
      <c r="DI39" s="331" t="s">
        <v>190</v>
      </c>
      <c r="DJ39" s="331" t="s">
        <v>190</v>
      </c>
      <c r="DK39" s="331" t="s">
        <v>190</v>
      </c>
      <c r="DL39" s="331" t="s">
        <v>190</v>
      </c>
      <c r="DM39" s="331" t="s">
        <v>190</v>
      </c>
      <c r="DN39" s="331" t="s">
        <v>190</v>
      </c>
      <c r="DO39" s="331" t="s">
        <v>190</v>
      </c>
      <c r="DP39" s="331" t="s">
        <v>190</v>
      </c>
      <c r="DQ39" s="331" t="s">
        <v>190</v>
      </c>
      <c r="DR39" s="331" t="s">
        <v>190</v>
      </c>
      <c r="DS39" s="331" t="s">
        <v>190</v>
      </c>
      <c r="DT39" s="331" t="s">
        <v>190</v>
      </c>
      <c r="DU39" s="331" t="s">
        <v>190</v>
      </c>
      <c r="DV39" s="331" t="s">
        <v>190</v>
      </c>
      <c r="DW39" s="331" t="s">
        <v>190</v>
      </c>
      <c r="DX39" s="331" t="s">
        <v>190</v>
      </c>
      <c r="DY39" s="331" t="s">
        <v>190</v>
      </c>
      <c r="DZ39" s="331" t="s">
        <v>428</v>
      </c>
      <c r="EA39" s="331" t="s">
        <v>190</v>
      </c>
      <c r="EB39" s="331" t="s">
        <v>190</v>
      </c>
      <c r="EC39" s="331" t="s">
        <v>190</v>
      </c>
      <c r="ED39" s="331" t="s">
        <v>190</v>
      </c>
      <c r="EE39" s="331" t="s">
        <v>190</v>
      </c>
      <c r="EF39" s="331" t="s">
        <v>190</v>
      </c>
      <c r="EG39" s="331" t="s">
        <v>190</v>
      </c>
      <c r="EH39" s="331" t="s">
        <v>190</v>
      </c>
      <c r="EI39" s="331" t="s">
        <v>190</v>
      </c>
      <c r="EJ39" s="331" t="s">
        <v>190</v>
      </c>
      <c r="EK39" s="331" t="s">
        <v>190</v>
      </c>
      <c r="EL39" s="331" t="s">
        <v>190</v>
      </c>
      <c r="EM39" s="331" t="s">
        <v>190</v>
      </c>
      <c r="EN39" s="331" t="s">
        <v>190</v>
      </c>
      <c r="EO39" s="331" t="s">
        <v>190</v>
      </c>
      <c r="EP39" s="331" t="s">
        <v>190</v>
      </c>
      <c r="EQ39" s="331" t="s">
        <v>190</v>
      </c>
      <c r="ER39" s="331" t="s">
        <v>190</v>
      </c>
      <c r="ES39" s="331" t="s">
        <v>190</v>
      </c>
      <c r="ET39" s="331" t="s">
        <v>190</v>
      </c>
      <c r="EU39" s="331" t="s">
        <v>190</v>
      </c>
      <c r="EV39" s="331" t="s">
        <v>190</v>
      </c>
      <c r="EW39" s="331" t="s">
        <v>190</v>
      </c>
      <c r="EX39" s="331" t="s">
        <v>190</v>
      </c>
      <c r="EY39" s="331" t="s">
        <v>190</v>
      </c>
      <c r="EZ39" s="331" t="s">
        <v>190</v>
      </c>
      <c r="FA39" s="331" t="s">
        <v>190</v>
      </c>
      <c r="FB39" s="331" t="s">
        <v>190</v>
      </c>
      <c r="FC39" s="331" t="s">
        <v>190</v>
      </c>
      <c r="FD39" s="331" t="s">
        <v>190</v>
      </c>
      <c r="FE39" s="331" t="s">
        <v>190</v>
      </c>
      <c r="FF39" s="331" t="s">
        <v>190</v>
      </c>
      <c r="FG39" s="331" t="s">
        <v>190</v>
      </c>
      <c r="FH39" s="331" t="s">
        <v>190</v>
      </c>
      <c r="FI39" s="331" t="s">
        <v>190</v>
      </c>
      <c r="FJ39" s="331" t="s">
        <v>190</v>
      </c>
      <c r="FK39" s="331" t="s">
        <v>190</v>
      </c>
      <c r="FL39" s="331" t="s">
        <v>428</v>
      </c>
      <c r="FM39" s="331" t="s">
        <v>190</v>
      </c>
      <c r="FN39" s="331" t="s">
        <v>190</v>
      </c>
      <c r="FO39" s="331" t="s">
        <v>190</v>
      </c>
      <c r="FP39" s="331" t="s">
        <v>428</v>
      </c>
      <c r="FQ39" s="331" t="s">
        <v>190</v>
      </c>
      <c r="FR39" s="331" t="s">
        <v>190</v>
      </c>
      <c r="FS39" s="331" t="s">
        <v>190</v>
      </c>
      <c r="FT39" s="331" t="s">
        <v>190</v>
      </c>
      <c r="FU39" s="331" t="s">
        <v>190</v>
      </c>
      <c r="FV39" s="331" t="s">
        <v>190</v>
      </c>
      <c r="FW39" s="331" t="s">
        <v>190</v>
      </c>
      <c r="FX39" s="331" t="s">
        <v>190</v>
      </c>
      <c r="FY39" s="331" t="s">
        <v>190</v>
      </c>
      <c r="FZ39" s="331" t="s">
        <v>190</v>
      </c>
      <c r="GA39" s="331" t="s">
        <v>190</v>
      </c>
      <c r="GB39" s="331" t="s">
        <v>190</v>
      </c>
      <c r="GC39" s="331" t="s">
        <v>190</v>
      </c>
      <c r="GD39" s="331" t="s">
        <v>190</v>
      </c>
      <c r="GE39" s="331" t="s">
        <v>190</v>
      </c>
      <c r="GF39" s="331" t="s">
        <v>190</v>
      </c>
      <c r="GG39" s="331" t="s">
        <v>190</v>
      </c>
      <c r="GH39" s="331" t="s">
        <v>428</v>
      </c>
      <c r="GI39" s="331" t="s">
        <v>190</v>
      </c>
      <c r="GJ39" s="331" t="s">
        <v>190</v>
      </c>
      <c r="GK39" s="331" t="s">
        <v>190</v>
      </c>
      <c r="GL39" s="331" t="s">
        <v>190</v>
      </c>
      <c r="GM39" s="331" t="s">
        <v>190</v>
      </c>
      <c r="GN39" s="331" t="s">
        <v>190</v>
      </c>
      <c r="GO39" s="331" t="s">
        <v>190</v>
      </c>
      <c r="GP39" s="331" t="s">
        <v>190</v>
      </c>
      <c r="GQ39" s="331" t="s">
        <v>428</v>
      </c>
      <c r="GR39" s="331" t="s">
        <v>428</v>
      </c>
      <c r="GS39" s="331" t="s">
        <v>190</v>
      </c>
      <c r="GT39" s="331" t="s">
        <v>190</v>
      </c>
      <c r="GU39" s="331" t="s">
        <v>190</v>
      </c>
      <c r="GV39" s="331" t="s">
        <v>190</v>
      </c>
      <c r="GW39" s="331" t="s">
        <v>428</v>
      </c>
      <c r="GX39" s="331" t="s">
        <v>190</v>
      </c>
      <c r="GY39" s="331" t="s">
        <v>190</v>
      </c>
      <c r="GZ39" s="331" t="s">
        <v>190</v>
      </c>
      <c r="HA39" s="331" t="s">
        <v>190</v>
      </c>
      <c r="HB39" s="331" t="s">
        <v>190</v>
      </c>
      <c r="HC39" s="331" t="s">
        <v>190</v>
      </c>
      <c r="HD39" s="331" t="s">
        <v>190</v>
      </c>
      <c r="HE39" s="331" t="s">
        <v>190</v>
      </c>
      <c r="HF39" s="331" t="s">
        <v>190</v>
      </c>
      <c r="HG39" s="331" t="s">
        <v>190</v>
      </c>
      <c r="HH39" s="331" t="s">
        <v>190</v>
      </c>
      <c r="HI39" s="331" t="s">
        <v>190</v>
      </c>
      <c r="HJ39" s="331" t="s">
        <v>190</v>
      </c>
      <c r="HK39" s="331" t="s">
        <v>190</v>
      </c>
      <c r="HL39" s="331" t="s">
        <v>190</v>
      </c>
      <c r="HM39" s="331" t="s">
        <v>190</v>
      </c>
      <c r="HN39" s="331" t="s">
        <v>190</v>
      </c>
      <c r="HO39" s="331" t="s">
        <v>190</v>
      </c>
      <c r="HP39" s="331" t="s">
        <v>190</v>
      </c>
      <c r="HQ39" s="331" t="s">
        <v>190</v>
      </c>
      <c r="HR39" s="331" t="s">
        <v>190</v>
      </c>
      <c r="HS39" s="331" t="s">
        <v>190</v>
      </c>
      <c r="HT39" s="331" t="s">
        <v>190</v>
      </c>
      <c r="HU39" s="331" t="s">
        <v>190</v>
      </c>
      <c r="HV39" s="331" t="s">
        <v>190</v>
      </c>
      <c r="HW39" s="331" t="s">
        <v>190</v>
      </c>
      <c r="HX39" s="331" t="s">
        <v>190</v>
      </c>
      <c r="HY39" s="331" t="s">
        <v>190</v>
      </c>
      <c r="HZ39" s="331" t="s">
        <v>190</v>
      </c>
      <c r="IA39" s="331" t="s">
        <v>190</v>
      </c>
      <c r="IB39" s="331" t="s">
        <v>190</v>
      </c>
      <c r="IC39" s="331" t="s">
        <v>190</v>
      </c>
      <c r="ID39" s="331" t="s">
        <v>190</v>
      </c>
      <c r="IE39" s="331" t="s">
        <v>190</v>
      </c>
      <c r="IF39" s="331" t="s">
        <v>190</v>
      </c>
      <c r="IG39" s="331" t="s">
        <v>170</v>
      </c>
      <c r="IH39" s="331" t="s">
        <v>429</v>
      </c>
      <c r="II39" s="331" t="s">
        <v>169</v>
      </c>
      <c r="IJ39" s="331" t="s">
        <v>427</v>
      </c>
      <c r="IK39" s="331" t="s">
        <v>190</v>
      </c>
      <c r="IL39" s="331" t="s">
        <v>428</v>
      </c>
    </row>
    <row r="40" spans="1:246" x14ac:dyDescent="0.25">
      <c r="A40" s="334" t="str">
        <f>HYPERLINK("http://www.ofsted.gov.uk/inspection-reports/find-inspection-report/provider/ELS/143102 ","Ofsted School Webpage")</f>
        <v>Ofsted School Webpage</v>
      </c>
      <c r="B40" s="331">
        <v>143102</v>
      </c>
      <c r="C40" s="331">
        <v>3846005</v>
      </c>
      <c r="D40" s="331" t="s">
        <v>2390</v>
      </c>
      <c r="E40" s="331" t="s">
        <v>167</v>
      </c>
      <c r="F40" s="331" t="s">
        <v>458</v>
      </c>
      <c r="G40" s="331" t="s">
        <v>459</v>
      </c>
      <c r="H40" s="331" t="s">
        <v>460</v>
      </c>
      <c r="I40" s="331" t="s">
        <v>2391</v>
      </c>
      <c r="J40" s="331" t="s">
        <v>59</v>
      </c>
      <c r="K40" s="331" t="s">
        <v>59</v>
      </c>
      <c r="L40" s="331" t="s">
        <v>59</v>
      </c>
      <c r="M40" s="331" t="s">
        <v>59</v>
      </c>
      <c r="N40" s="331" t="s">
        <v>424</v>
      </c>
      <c r="O40" s="333">
        <v>10110723</v>
      </c>
      <c r="P40" s="332">
        <v>43781</v>
      </c>
      <c r="Q40" s="332">
        <v>43783</v>
      </c>
      <c r="R40" s="332">
        <v>43817</v>
      </c>
      <c r="S40" s="331" t="s">
        <v>425</v>
      </c>
      <c r="T40" s="331" t="s">
        <v>426</v>
      </c>
      <c r="U40" s="331">
        <v>2</v>
      </c>
      <c r="V40" s="331">
        <v>2</v>
      </c>
      <c r="W40" s="331">
        <v>2</v>
      </c>
      <c r="X40" s="331">
        <v>2</v>
      </c>
      <c r="Y40" s="331">
        <v>2</v>
      </c>
      <c r="Z40" s="331" t="s">
        <v>169</v>
      </c>
      <c r="AA40" s="331" t="s">
        <v>173</v>
      </c>
      <c r="AB40" s="331" t="s">
        <v>173</v>
      </c>
      <c r="AC40" s="331" t="s">
        <v>427</v>
      </c>
      <c r="AD40" s="331" t="s">
        <v>171</v>
      </c>
      <c r="AE40" s="331" t="s">
        <v>190</v>
      </c>
      <c r="AF40" s="331" t="s">
        <v>190</v>
      </c>
      <c r="AG40" s="331" t="s">
        <v>190</v>
      </c>
      <c r="AH40" s="331" t="s">
        <v>190</v>
      </c>
      <c r="AI40" s="331" t="s">
        <v>190</v>
      </c>
      <c r="AJ40" s="331" t="s">
        <v>190</v>
      </c>
      <c r="AK40" s="331" t="s">
        <v>190</v>
      </c>
      <c r="AL40" s="331" t="s">
        <v>190</v>
      </c>
      <c r="AM40" s="331" t="s">
        <v>190</v>
      </c>
      <c r="AN40" s="331" t="s">
        <v>190</v>
      </c>
      <c r="AO40" s="331" t="s">
        <v>190</v>
      </c>
      <c r="AP40" s="331" t="s">
        <v>190</v>
      </c>
      <c r="AQ40" s="331" t="s">
        <v>190</v>
      </c>
      <c r="AR40" s="331" t="s">
        <v>190</v>
      </c>
      <c r="AS40" s="331" t="s">
        <v>190</v>
      </c>
      <c r="AT40" s="331" t="s">
        <v>190</v>
      </c>
      <c r="AU40" s="331" t="s">
        <v>428</v>
      </c>
      <c r="AV40" s="331" t="s">
        <v>190</v>
      </c>
      <c r="AW40" s="331" t="s">
        <v>190</v>
      </c>
      <c r="AX40" s="331" t="s">
        <v>190</v>
      </c>
      <c r="AY40" s="331" t="s">
        <v>190</v>
      </c>
      <c r="AZ40" s="331" t="s">
        <v>190</v>
      </c>
      <c r="BA40" s="331" t="s">
        <v>190</v>
      </c>
      <c r="BB40" s="331" t="s">
        <v>190</v>
      </c>
      <c r="BC40" s="331" t="s">
        <v>428</v>
      </c>
      <c r="BD40" s="331" t="s">
        <v>428</v>
      </c>
      <c r="BE40" s="331" t="s">
        <v>190</v>
      </c>
      <c r="BF40" s="331" t="s">
        <v>190</v>
      </c>
      <c r="BG40" s="331" t="s">
        <v>190</v>
      </c>
      <c r="BH40" s="331" t="s">
        <v>190</v>
      </c>
      <c r="BI40" s="331" t="s">
        <v>190</v>
      </c>
      <c r="BJ40" s="331" t="s">
        <v>190</v>
      </c>
      <c r="BK40" s="331" t="s">
        <v>190</v>
      </c>
      <c r="BL40" s="331" t="s">
        <v>190</v>
      </c>
      <c r="BM40" s="331" t="s">
        <v>190</v>
      </c>
      <c r="BN40" s="331" t="s">
        <v>190</v>
      </c>
      <c r="BO40" s="331" t="s">
        <v>190</v>
      </c>
      <c r="BP40" s="331" t="s">
        <v>190</v>
      </c>
      <c r="BQ40" s="331" t="s">
        <v>190</v>
      </c>
      <c r="BR40" s="331" t="s">
        <v>190</v>
      </c>
      <c r="BS40" s="331" t="s">
        <v>190</v>
      </c>
      <c r="BT40" s="331" t="s">
        <v>190</v>
      </c>
      <c r="BU40" s="331" t="s">
        <v>190</v>
      </c>
      <c r="BV40" s="331" t="s">
        <v>190</v>
      </c>
      <c r="BW40" s="331" t="s">
        <v>190</v>
      </c>
      <c r="BX40" s="331" t="s">
        <v>190</v>
      </c>
      <c r="BY40" s="331" t="s">
        <v>190</v>
      </c>
      <c r="BZ40" s="331" t="s">
        <v>190</v>
      </c>
      <c r="CA40" s="331" t="s">
        <v>190</v>
      </c>
      <c r="CB40" s="331" t="s">
        <v>190</v>
      </c>
      <c r="CC40" s="331" t="s">
        <v>190</v>
      </c>
      <c r="CD40" s="331" t="s">
        <v>190</v>
      </c>
      <c r="CE40" s="331" t="s">
        <v>190</v>
      </c>
      <c r="CF40" s="331" t="s">
        <v>190</v>
      </c>
      <c r="CG40" s="331" t="s">
        <v>190</v>
      </c>
      <c r="CH40" s="331" t="s">
        <v>190</v>
      </c>
      <c r="CI40" s="331" t="s">
        <v>190</v>
      </c>
      <c r="CJ40" s="331" t="s">
        <v>190</v>
      </c>
      <c r="CK40" s="331" t="s">
        <v>428</v>
      </c>
      <c r="CL40" s="331" t="s">
        <v>428</v>
      </c>
      <c r="CM40" s="331" t="s">
        <v>428</v>
      </c>
      <c r="CN40" s="331" t="s">
        <v>190</v>
      </c>
      <c r="CO40" s="331" t="s">
        <v>190</v>
      </c>
      <c r="CP40" s="331" t="s">
        <v>190</v>
      </c>
      <c r="CQ40" s="331" t="s">
        <v>190</v>
      </c>
      <c r="CR40" s="331" t="s">
        <v>190</v>
      </c>
      <c r="CS40" s="331" t="s">
        <v>190</v>
      </c>
      <c r="CT40" s="331" t="s">
        <v>190</v>
      </c>
      <c r="CU40" s="331" t="s">
        <v>190</v>
      </c>
      <c r="CV40" s="331" t="s">
        <v>190</v>
      </c>
      <c r="CW40" s="331" t="s">
        <v>190</v>
      </c>
      <c r="CX40" s="331" t="s">
        <v>190</v>
      </c>
      <c r="CY40" s="331" t="s">
        <v>190</v>
      </c>
      <c r="CZ40" s="331" t="s">
        <v>190</v>
      </c>
      <c r="DA40" s="331" t="s">
        <v>190</v>
      </c>
      <c r="DB40" s="331" t="s">
        <v>190</v>
      </c>
      <c r="DC40" s="331" t="s">
        <v>190</v>
      </c>
      <c r="DD40" s="331" t="s">
        <v>190</v>
      </c>
      <c r="DE40" s="331" t="s">
        <v>190</v>
      </c>
      <c r="DF40" s="331" t="s">
        <v>190</v>
      </c>
      <c r="DG40" s="331" t="s">
        <v>190</v>
      </c>
      <c r="DH40" s="331" t="s">
        <v>190</v>
      </c>
      <c r="DI40" s="331" t="s">
        <v>190</v>
      </c>
      <c r="DJ40" s="331" t="s">
        <v>190</v>
      </c>
      <c r="DK40" s="331" t="s">
        <v>428</v>
      </c>
      <c r="DL40" s="331" t="s">
        <v>190</v>
      </c>
      <c r="DM40" s="331" t="s">
        <v>190</v>
      </c>
      <c r="DN40" s="331" t="s">
        <v>190</v>
      </c>
      <c r="DO40" s="331" t="s">
        <v>190</v>
      </c>
      <c r="DP40" s="331" t="s">
        <v>190</v>
      </c>
      <c r="DQ40" s="331" t="s">
        <v>190</v>
      </c>
      <c r="DR40" s="331" t="s">
        <v>190</v>
      </c>
      <c r="DS40" s="331" t="s">
        <v>190</v>
      </c>
      <c r="DT40" s="331" t="s">
        <v>190</v>
      </c>
      <c r="DU40" s="331" t="s">
        <v>190</v>
      </c>
      <c r="DV40" s="331" t="s">
        <v>190</v>
      </c>
      <c r="DW40" s="331" t="s">
        <v>190</v>
      </c>
      <c r="DX40" s="331" t="s">
        <v>190</v>
      </c>
      <c r="DY40" s="331" t="s">
        <v>190</v>
      </c>
      <c r="DZ40" s="331" t="s">
        <v>428</v>
      </c>
      <c r="EA40" s="331" t="s">
        <v>190</v>
      </c>
      <c r="EB40" s="331" t="s">
        <v>190</v>
      </c>
      <c r="EC40" s="331" t="s">
        <v>190</v>
      </c>
      <c r="ED40" s="331" t="s">
        <v>190</v>
      </c>
      <c r="EE40" s="331" t="s">
        <v>190</v>
      </c>
      <c r="EF40" s="331" t="s">
        <v>190</v>
      </c>
      <c r="EG40" s="331" t="s">
        <v>190</v>
      </c>
      <c r="EH40" s="331" t="s">
        <v>190</v>
      </c>
      <c r="EI40" s="331" t="s">
        <v>190</v>
      </c>
      <c r="EJ40" s="331" t="s">
        <v>190</v>
      </c>
      <c r="EK40" s="331" t="s">
        <v>190</v>
      </c>
      <c r="EL40" s="331" t="s">
        <v>190</v>
      </c>
      <c r="EM40" s="331" t="s">
        <v>190</v>
      </c>
      <c r="EN40" s="331" t="s">
        <v>190</v>
      </c>
      <c r="EO40" s="331" t="s">
        <v>190</v>
      </c>
      <c r="EP40" s="331" t="s">
        <v>190</v>
      </c>
      <c r="EQ40" s="331" t="s">
        <v>190</v>
      </c>
      <c r="ER40" s="331" t="s">
        <v>190</v>
      </c>
      <c r="ES40" s="331" t="s">
        <v>190</v>
      </c>
      <c r="ET40" s="331" t="s">
        <v>190</v>
      </c>
      <c r="EU40" s="331" t="s">
        <v>190</v>
      </c>
      <c r="EV40" s="331" t="s">
        <v>190</v>
      </c>
      <c r="EW40" s="331" t="s">
        <v>190</v>
      </c>
      <c r="EX40" s="331" t="s">
        <v>428</v>
      </c>
      <c r="EY40" s="331" t="s">
        <v>190</v>
      </c>
      <c r="EZ40" s="331" t="s">
        <v>190</v>
      </c>
      <c r="FA40" s="331" t="s">
        <v>190</v>
      </c>
      <c r="FB40" s="331" t="s">
        <v>190</v>
      </c>
      <c r="FC40" s="331" t="s">
        <v>190</v>
      </c>
      <c r="FD40" s="331" t="s">
        <v>190</v>
      </c>
      <c r="FE40" s="331" t="s">
        <v>190</v>
      </c>
      <c r="FF40" s="331" t="s">
        <v>428</v>
      </c>
      <c r="FG40" s="331" t="s">
        <v>190</v>
      </c>
      <c r="FH40" s="331" t="s">
        <v>190</v>
      </c>
      <c r="FI40" s="331" t="s">
        <v>190</v>
      </c>
      <c r="FJ40" s="331" t="s">
        <v>190</v>
      </c>
      <c r="FK40" s="331" t="s">
        <v>190</v>
      </c>
      <c r="FL40" s="331" t="s">
        <v>190</v>
      </c>
      <c r="FM40" s="331" t="s">
        <v>190</v>
      </c>
      <c r="FN40" s="331" t="s">
        <v>190</v>
      </c>
      <c r="FO40" s="331" t="s">
        <v>190</v>
      </c>
      <c r="FP40" s="331" t="s">
        <v>428</v>
      </c>
      <c r="FQ40" s="331" t="s">
        <v>190</v>
      </c>
      <c r="FR40" s="331" t="s">
        <v>190</v>
      </c>
      <c r="FS40" s="331" t="s">
        <v>190</v>
      </c>
      <c r="FT40" s="331" t="s">
        <v>190</v>
      </c>
      <c r="FU40" s="331" t="s">
        <v>190</v>
      </c>
      <c r="FV40" s="331" t="s">
        <v>190</v>
      </c>
      <c r="FW40" s="331" t="s">
        <v>190</v>
      </c>
      <c r="FX40" s="331" t="s">
        <v>190</v>
      </c>
      <c r="FY40" s="331" t="s">
        <v>190</v>
      </c>
      <c r="FZ40" s="331" t="s">
        <v>190</v>
      </c>
      <c r="GA40" s="331" t="s">
        <v>190</v>
      </c>
      <c r="GB40" s="331" t="s">
        <v>190</v>
      </c>
      <c r="GC40" s="331" t="s">
        <v>190</v>
      </c>
      <c r="GD40" s="331" t="s">
        <v>190</v>
      </c>
      <c r="GE40" s="331" t="s">
        <v>190</v>
      </c>
      <c r="GF40" s="331" t="s">
        <v>190</v>
      </c>
      <c r="GG40" s="331" t="s">
        <v>190</v>
      </c>
      <c r="GH40" s="331" t="s">
        <v>428</v>
      </c>
      <c r="GI40" s="331" t="s">
        <v>190</v>
      </c>
      <c r="GJ40" s="331" t="s">
        <v>190</v>
      </c>
      <c r="GK40" s="331" t="s">
        <v>190</v>
      </c>
      <c r="GL40" s="331" t="s">
        <v>190</v>
      </c>
      <c r="GM40" s="331" t="s">
        <v>190</v>
      </c>
      <c r="GN40" s="331" t="s">
        <v>428</v>
      </c>
      <c r="GO40" s="331" t="s">
        <v>190</v>
      </c>
      <c r="GP40" s="331" t="s">
        <v>190</v>
      </c>
      <c r="GQ40" s="331" t="s">
        <v>190</v>
      </c>
      <c r="GR40" s="331" t="s">
        <v>190</v>
      </c>
      <c r="GS40" s="331" t="s">
        <v>190</v>
      </c>
      <c r="GT40" s="331" t="s">
        <v>190</v>
      </c>
      <c r="GU40" s="331" t="s">
        <v>190</v>
      </c>
      <c r="GV40" s="331" t="s">
        <v>190</v>
      </c>
      <c r="GW40" s="331" t="s">
        <v>428</v>
      </c>
      <c r="GX40" s="331" t="s">
        <v>190</v>
      </c>
      <c r="GY40" s="331" t="s">
        <v>190</v>
      </c>
      <c r="GZ40" s="331" t="s">
        <v>190</v>
      </c>
      <c r="HA40" s="331" t="s">
        <v>190</v>
      </c>
      <c r="HB40" s="331" t="s">
        <v>190</v>
      </c>
      <c r="HC40" s="331" t="s">
        <v>190</v>
      </c>
      <c r="HD40" s="331" t="s">
        <v>190</v>
      </c>
      <c r="HE40" s="331" t="s">
        <v>190</v>
      </c>
      <c r="HF40" s="331" t="s">
        <v>190</v>
      </c>
      <c r="HG40" s="331" t="s">
        <v>190</v>
      </c>
      <c r="HH40" s="331" t="s">
        <v>190</v>
      </c>
      <c r="HI40" s="331" t="s">
        <v>190</v>
      </c>
      <c r="HJ40" s="331" t="s">
        <v>190</v>
      </c>
      <c r="HK40" s="331" t="s">
        <v>190</v>
      </c>
      <c r="HL40" s="331" t="s">
        <v>190</v>
      </c>
      <c r="HM40" s="331" t="s">
        <v>190</v>
      </c>
      <c r="HN40" s="331" t="s">
        <v>190</v>
      </c>
      <c r="HO40" s="331" t="s">
        <v>190</v>
      </c>
      <c r="HP40" s="331" t="s">
        <v>190</v>
      </c>
      <c r="HQ40" s="331" t="s">
        <v>190</v>
      </c>
      <c r="HR40" s="331" t="s">
        <v>190</v>
      </c>
      <c r="HS40" s="331" t="s">
        <v>190</v>
      </c>
      <c r="HT40" s="331" t="s">
        <v>190</v>
      </c>
      <c r="HU40" s="331" t="s">
        <v>190</v>
      </c>
      <c r="HV40" s="331" t="s">
        <v>190</v>
      </c>
      <c r="HW40" s="331" t="s">
        <v>190</v>
      </c>
      <c r="HX40" s="331" t="s">
        <v>190</v>
      </c>
      <c r="HY40" s="331" t="s">
        <v>190</v>
      </c>
      <c r="HZ40" s="331" t="s">
        <v>190</v>
      </c>
      <c r="IA40" s="331" t="s">
        <v>190</v>
      </c>
      <c r="IB40" s="331" t="s">
        <v>190</v>
      </c>
      <c r="IC40" s="331" t="s">
        <v>190</v>
      </c>
      <c r="ID40" s="331" t="s">
        <v>190</v>
      </c>
      <c r="IE40" s="331" t="s">
        <v>190</v>
      </c>
      <c r="IF40" s="331" t="s">
        <v>190</v>
      </c>
      <c r="IG40" s="331" t="s">
        <v>170</v>
      </c>
      <c r="IH40" s="331" t="s">
        <v>429</v>
      </c>
      <c r="II40" s="331" t="s">
        <v>169</v>
      </c>
      <c r="IJ40" s="331" t="s">
        <v>427</v>
      </c>
      <c r="IK40" s="331" t="s">
        <v>428</v>
      </c>
      <c r="IL40" s="331" t="s">
        <v>428</v>
      </c>
    </row>
    <row r="41" spans="1:246" x14ac:dyDescent="0.25">
      <c r="A41" s="334" t="str">
        <f>HYPERLINK("http://www.ofsted.gov.uk/inspection-reports/find-inspection-report/provider/ELS/146332 ","Ofsted School Webpage")</f>
        <v>Ofsted School Webpage</v>
      </c>
      <c r="B41" s="331">
        <v>146332</v>
      </c>
      <c r="C41" s="331">
        <v>9356013</v>
      </c>
      <c r="D41" s="331" t="s">
        <v>2588</v>
      </c>
      <c r="E41" s="331" t="s">
        <v>168</v>
      </c>
      <c r="F41" s="331" t="s">
        <v>451</v>
      </c>
      <c r="G41" s="331" t="s">
        <v>451</v>
      </c>
      <c r="H41" s="331" t="s">
        <v>839</v>
      </c>
      <c r="I41" s="331" t="s">
        <v>2589</v>
      </c>
      <c r="J41" s="331" t="s">
        <v>81</v>
      </c>
      <c r="K41" s="331" t="s">
        <v>81</v>
      </c>
      <c r="L41" s="331" t="s">
        <v>81</v>
      </c>
      <c r="M41" s="331" t="s">
        <v>78</v>
      </c>
      <c r="N41" s="331" t="s">
        <v>424</v>
      </c>
      <c r="O41" s="333">
        <v>10113582</v>
      </c>
      <c r="P41" s="332">
        <v>43781</v>
      </c>
      <c r="Q41" s="332">
        <v>43783</v>
      </c>
      <c r="R41" s="332">
        <v>43809</v>
      </c>
      <c r="S41" s="331" t="s">
        <v>435</v>
      </c>
      <c r="T41" s="331" t="s">
        <v>426</v>
      </c>
      <c r="U41" s="331">
        <v>3</v>
      </c>
      <c r="V41" s="331">
        <v>3</v>
      </c>
      <c r="W41" s="331">
        <v>2</v>
      </c>
      <c r="X41" s="331">
        <v>2</v>
      </c>
      <c r="Y41" s="331">
        <v>3</v>
      </c>
      <c r="Z41" s="331" t="s">
        <v>169</v>
      </c>
      <c r="AA41" s="331" t="s">
        <v>173</v>
      </c>
      <c r="AB41" s="331" t="s">
        <v>173</v>
      </c>
      <c r="AC41" s="331" t="s">
        <v>427</v>
      </c>
      <c r="AD41" s="331" t="s">
        <v>172</v>
      </c>
      <c r="AE41" s="331" t="s">
        <v>479</v>
      </c>
      <c r="AF41" s="331" t="s">
        <v>190</v>
      </c>
      <c r="AG41" s="331" t="s">
        <v>479</v>
      </c>
      <c r="AH41" s="331" t="s">
        <v>190</v>
      </c>
      <c r="AI41" s="331" t="s">
        <v>479</v>
      </c>
      <c r="AJ41" s="331" t="s">
        <v>479</v>
      </c>
      <c r="AK41" s="331" t="s">
        <v>479</v>
      </c>
      <c r="AL41" s="331" t="s">
        <v>479</v>
      </c>
      <c r="AM41" s="331" t="s">
        <v>191</v>
      </c>
      <c r="AN41" s="331" t="s">
        <v>191</v>
      </c>
      <c r="AO41" s="331" t="s">
        <v>191</v>
      </c>
      <c r="AP41" s="331" t="s">
        <v>191</v>
      </c>
      <c r="AQ41" s="331" t="s">
        <v>190</v>
      </c>
      <c r="AR41" s="331" t="s">
        <v>190</v>
      </c>
      <c r="AS41" s="331" t="s">
        <v>190</v>
      </c>
      <c r="AT41" s="331" t="s">
        <v>190</v>
      </c>
      <c r="AU41" s="331" t="s">
        <v>428</v>
      </c>
      <c r="AV41" s="331" t="s">
        <v>190</v>
      </c>
      <c r="AW41" s="331" t="s">
        <v>190</v>
      </c>
      <c r="AX41" s="331" t="s">
        <v>190</v>
      </c>
      <c r="AY41" s="331" t="s">
        <v>190</v>
      </c>
      <c r="AZ41" s="331" t="s">
        <v>190</v>
      </c>
      <c r="BA41" s="331" t="s">
        <v>190</v>
      </c>
      <c r="BB41" s="331" t="s">
        <v>190</v>
      </c>
      <c r="BC41" s="331" t="s">
        <v>428</v>
      </c>
      <c r="BD41" s="331" t="s">
        <v>428</v>
      </c>
      <c r="BE41" s="331" t="s">
        <v>190</v>
      </c>
      <c r="BF41" s="331" t="s">
        <v>190</v>
      </c>
      <c r="BG41" s="331" t="s">
        <v>191</v>
      </c>
      <c r="BH41" s="331" t="s">
        <v>191</v>
      </c>
      <c r="BI41" s="331" t="s">
        <v>190</v>
      </c>
      <c r="BJ41" s="331" t="s">
        <v>191</v>
      </c>
      <c r="BK41" s="331" t="s">
        <v>191</v>
      </c>
      <c r="BL41" s="331" t="s">
        <v>190</v>
      </c>
      <c r="BM41" s="331" t="s">
        <v>190</v>
      </c>
      <c r="BN41" s="331" t="s">
        <v>191</v>
      </c>
      <c r="BO41" s="331" t="s">
        <v>190</v>
      </c>
      <c r="BP41" s="331" t="s">
        <v>190</v>
      </c>
      <c r="BQ41" s="331" t="s">
        <v>190</v>
      </c>
      <c r="BR41" s="331" t="s">
        <v>190</v>
      </c>
      <c r="BS41" s="331" t="s">
        <v>190</v>
      </c>
      <c r="BT41" s="331" t="s">
        <v>190</v>
      </c>
      <c r="BU41" s="331" t="s">
        <v>190</v>
      </c>
      <c r="BV41" s="331" t="s">
        <v>190</v>
      </c>
      <c r="BW41" s="331" t="s">
        <v>190</v>
      </c>
      <c r="BX41" s="331" t="s">
        <v>190</v>
      </c>
      <c r="BY41" s="331" t="s">
        <v>190</v>
      </c>
      <c r="BZ41" s="331" t="s">
        <v>190</v>
      </c>
      <c r="CA41" s="331" t="s">
        <v>190</v>
      </c>
      <c r="CB41" s="331" t="s">
        <v>190</v>
      </c>
      <c r="CC41" s="331" t="s">
        <v>190</v>
      </c>
      <c r="CD41" s="331" t="s">
        <v>190</v>
      </c>
      <c r="CE41" s="331" t="s">
        <v>190</v>
      </c>
      <c r="CF41" s="331" t="s">
        <v>190</v>
      </c>
      <c r="CG41" s="331" t="s">
        <v>190</v>
      </c>
      <c r="CH41" s="331" t="s">
        <v>190</v>
      </c>
      <c r="CI41" s="331" t="s">
        <v>190</v>
      </c>
      <c r="CJ41" s="331" t="s">
        <v>190</v>
      </c>
      <c r="CK41" s="331" t="s">
        <v>428</v>
      </c>
      <c r="CL41" s="331" t="s">
        <v>428</v>
      </c>
      <c r="CM41" s="331" t="s">
        <v>428</v>
      </c>
      <c r="CN41" s="331" t="s">
        <v>190</v>
      </c>
      <c r="CO41" s="331" t="s">
        <v>190</v>
      </c>
      <c r="CP41" s="331" t="s">
        <v>190</v>
      </c>
      <c r="CQ41" s="331" t="s">
        <v>190</v>
      </c>
      <c r="CR41" s="331" t="s">
        <v>190</v>
      </c>
      <c r="CS41" s="331" t="s">
        <v>190</v>
      </c>
      <c r="CT41" s="331" t="s">
        <v>191</v>
      </c>
      <c r="CU41" s="331" t="s">
        <v>190</v>
      </c>
      <c r="CV41" s="331" t="s">
        <v>190</v>
      </c>
      <c r="CW41" s="331" t="s">
        <v>190</v>
      </c>
      <c r="CX41" s="331" t="s">
        <v>191</v>
      </c>
      <c r="CY41" s="331" t="s">
        <v>191</v>
      </c>
      <c r="CZ41" s="331" t="s">
        <v>191</v>
      </c>
      <c r="DA41" s="331" t="s">
        <v>190</v>
      </c>
      <c r="DB41" s="331" t="s">
        <v>190</v>
      </c>
      <c r="DC41" s="331" t="s">
        <v>190</v>
      </c>
      <c r="DD41" s="331" t="s">
        <v>190</v>
      </c>
      <c r="DE41" s="331" t="s">
        <v>190</v>
      </c>
      <c r="DF41" s="331" t="s">
        <v>190</v>
      </c>
      <c r="DG41" s="331" t="s">
        <v>190</v>
      </c>
      <c r="DH41" s="331" t="s">
        <v>190</v>
      </c>
      <c r="DI41" s="331" t="s">
        <v>190</v>
      </c>
      <c r="DJ41" s="331" t="s">
        <v>190</v>
      </c>
      <c r="DK41" s="331" t="s">
        <v>428</v>
      </c>
      <c r="DL41" s="331" t="s">
        <v>190</v>
      </c>
      <c r="DM41" s="331" t="s">
        <v>428</v>
      </c>
      <c r="DN41" s="331" t="s">
        <v>428</v>
      </c>
      <c r="DO41" s="331" t="s">
        <v>428</v>
      </c>
      <c r="DP41" s="331" t="s">
        <v>428</v>
      </c>
      <c r="DQ41" s="331" t="s">
        <v>428</v>
      </c>
      <c r="DR41" s="331" t="s">
        <v>428</v>
      </c>
      <c r="DS41" s="331" t="s">
        <v>428</v>
      </c>
      <c r="DT41" s="331" t="s">
        <v>428</v>
      </c>
      <c r="DU41" s="331" t="s">
        <v>428</v>
      </c>
      <c r="DV41" s="331" t="s">
        <v>428</v>
      </c>
      <c r="DW41" s="331" t="s">
        <v>428</v>
      </c>
      <c r="DX41" s="331" t="s">
        <v>428</v>
      </c>
      <c r="DY41" s="331" t="s">
        <v>428</v>
      </c>
      <c r="DZ41" s="331" t="s">
        <v>428</v>
      </c>
      <c r="EA41" s="331" t="s">
        <v>428</v>
      </c>
      <c r="EB41" s="331" t="s">
        <v>190</v>
      </c>
      <c r="EC41" s="331" t="s">
        <v>190</v>
      </c>
      <c r="ED41" s="331" t="s">
        <v>190</v>
      </c>
      <c r="EE41" s="331" t="s">
        <v>190</v>
      </c>
      <c r="EF41" s="331" t="s">
        <v>190</v>
      </c>
      <c r="EG41" s="331" t="s">
        <v>190</v>
      </c>
      <c r="EH41" s="331" t="s">
        <v>190</v>
      </c>
      <c r="EI41" s="331" t="s">
        <v>428</v>
      </c>
      <c r="EJ41" s="331" t="s">
        <v>428</v>
      </c>
      <c r="EK41" s="331" t="s">
        <v>190</v>
      </c>
      <c r="EL41" s="331" t="s">
        <v>190</v>
      </c>
      <c r="EM41" s="331" t="s">
        <v>190</v>
      </c>
      <c r="EN41" s="331" t="s">
        <v>190</v>
      </c>
      <c r="EO41" s="331" t="s">
        <v>190</v>
      </c>
      <c r="EP41" s="331" t="s">
        <v>190</v>
      </c>
      <c r="EQ41" s="331" t="s">
        <v>190</v>
      </c>
      <c r="ER41" s="331" t="s">
        <v>190</v>
      </c>
      <c r="ES41" s="331" t="s">
        <v>190</v>
      </c>
      <c r="ET41" s="331" t="s">
        <v>190</v>
      </c>
      <c r="EU41" s="331" t="s">
        <v>190</v>
      </c>
      <c r="EV41" s="331" t="s">
        <v>190</v>
      </c>
      <c r="EW41" s="331" t="s">
        <v>190</v>
      </c>
      <c r="EX41" s="331" t="s">
        <v>428</v>
      </c>
      <c r="EY41" s="331" t="s">
        <v>428</v>
      </c>
      <c r="EZ41" s="331" t="s">
        <v>428</v>
      </c>
      <c r="FA41" s="331" t="s">
        <v>428</v>
      </c>
      <c r="FB41" s="331" t="s">
        <v>428</v>
      </c>
      <c r="FC41" s="331" t="s">
        <v>428</v>
      </c>
      <c r="FD41" s="331" t="s">
        <v>428</v>
      </c>
      <c r="FE41" s="331" t="s">
        <v>190</v>
      </c>
      <c r="FF41" s="331" t="s">
        <v>428</v>
      </c>
      <c r="FG41" s="331" t="s">
        <v>429</v>
      </c>
      <c r="FH41" s="331" t="s">
        <v>428</v>
      </c>
      <c r="FI41" s="331" t="s">
        <v>190</v>
      </c>
      <c r="FJ41" s="331" t="s">
        <v>190</v>
      </c>
      <c r="FK41" s="331" t="s">
        <v>190</v>
      </c>
      <c r="FL41" s="331" t="s">
        <v>190</v>
      </c>
      <c r="FM41" s="331" t="s">
        <v>191</v>
      </c>
      <c r="FN41" s="331" t="s">
        <v>191</v>
      </c>
      <c r="FO41" s="331" t="s">
        <v>191</v>
      </c>
      <c r="FP41" s="331" t="s">
        <v>428</v>
      </c>
      <c r="FQ41" s="331" t="s">
        <v>191</v>
      </c>
      <c r="FR41" s="331" t="s">
        <v>190</v>
      </c>
      <c r="FS41" s="331" t="s">
        <v>190</v>
      </c>
      <c r="FT41" s="331" t="s">
        <v>190</v>
      </c>
      <c r="FU41" s="331" t="s">
        <v>190</v>
      </c>
      <c r="FV41" s="331" t="s">
        <v>190</v>
      </c>
      <c r="FW41" s="331" t="s">
        <v>191</v>
      </c>
      <c r="FX41" s="331" t="s">
        <v>190</v>
      </c>
      <c r="FY41" s="331" t="s">
        <v>191</v>
      </c>
      <c r="FZ41" s="331" t="s">
        <v>191</v>
      </c>
      <c r="GA41" s="331" t="s">
        <v>190</v>
      </c>
      <c r="GB41" s="331" t="s">
        <v>190</v>
      </c>
      <c r="GC41" s="331" t="s">
        <v>190</v>
      </c>
      <c r="GD41" s="331" t="s">
        <v>190</v>
      </c>
      <c r="GE41" s="331" t="s">
        <v>190</v>
      </c>
      <c r="GF41" s="331" t="s">
        <v>190</v>
      </c>
      <c r="GG41" s="331" t="s">
        <v>190</v>
      </c>
      <c r="GH41" s="331" t="s">
        <v>428</v>
      </c>
      <c r="GI41" s="331" t="s">
        <v>191</v>
      </c>
      <c r="GJ41" s="331" t="s">
        <v>191</v>
      </c>
      <c r="GK41" s="331" t="s">
        <v>191</v>
      </c>
      <c r="GL41" s="331" t="s">
        <v>191</v>
      </c>
      <c r="GM41" s="331" t="s">
        <v>428</v>
      </c>
      <c r="GN41" s="331" t="s">
        <v>428</v>
      </c>
      <c r="GO41" s="331" t="s">
        <v>190</v>
      </c>
      <c r="GP41" s="331" t="s">
        <v>190</v>
      </c>
      <c r="GQ41" s="331" t="s">
        <v>428</v>
      </c>
      <c r="GR41" s="331" t="s">
        <v>428</v>
      </c>
      <c r="GS41" s="331" t="s">
        <v>190</v>
      </c>
      <c r="GT41" s="331" t="s">
        <v>191</v>
      </c>
      <c r="GU41" s="331" t="s">
        <v>190</v>
      </c>
      <c r="GV41" s="331" t="s">
        <v>191</v>
      </c>
      <c r="GW41" s="331" t="s">
        <v>428</v>
      </c>
      <c r="GX41" s="331" t="s">
        <v>191</v>
      </c>
      <c r="GY41" s="331" t="s">
        <v>428</v>
      </c>
      <c r="GZ41" s="331" t="s">
        <v>190</v>
      </c>
      <c r="HA41" s="331" t="s">
        <v>191</v>
      </c>
      <c r="HB41" s="331" t="s">
        <v>190</v>
      </c>
      <c r="HC41" s="331" t="s">
        <v>190</v>
      </c>
      <c r="HD41" s="331" t="s">
        <v>191</v>
      </c>
      <c r="HE41" s="331" t="s">
        <v>190</v>
      </c>
      <c r="HF41" s="331" t="s">
        <v>190</v>
      </c>
      <c r="HG41" s="331" t="s">
        <v>191</v>
      </c>
      <c r="HH41" s="331" t="s">
        <v>428</v>
      </c>
      <c r="HI41" s="331" t="s">
        <v>428</v>
      </c>
      <c r="HJ41" s="331" t="s">
        <v>428</v>
      </c>
      <c r="HK41" s="331" t="s">
        <v>428</v>
      </c>
      <c r="HL41" s="331" t="s">
        <v>428</v>
      </c>
      <c r="HM41" s="331" t="s">
        <v>191</v>
      </c>
      <c r="HN41" s="331" t="s">
        <v>190</v>
      </c>
      <c r="HO41" s="331" t="s">
        <v>190</v>
      </c>
      <c r="HP41" s="331" t="s">
        <v>190</v>
      </c>
      <c r="HQ41" s="331" t="s">
        <v>190</v>
      </c>
      <c r="HR41" s="331" t="s">
        <v>190</v>
      </c>
      <c r="HS41" s="331" t="s">
        <v>191</v>
      </c>
      <c r="HT41" s="331" t="s">
        <v>191</v>
      </c>
      <c r="HU41" s="331" t="s">
        <v>191</v>
      </c>
      <c r="HV41" s="331" t="s">
        <v>191</v>
      </c>
      <c r="HW41" s="331" t="s">
        <v>191</v>
      </c>
      <c r="HX41" s="331" t="s">
        <v>191</v>
      </c>
      <c r="HY41" s="331" t="s">
        <v>191</v>
      </c>
      <c r="HZ41" s="331" t="s">
        <v>191</v>
      </c>
      <c r="IA41" s="331" t="s">
        <v>191</v>
      </c>
      <c r="IB41" s="331" t="s">
        <v>191</v>
      </c>
      <c r="IC41" s="331" t="s">
        <v>191</v>
      </c>
      <c r="ID41" s="331" t="s">
        <v>191</v>
      </c>
      <c r="IE41" s="331" t="s">
        <v>191</v>
      </c>
      <c r="IF41" s="331" t="s">
        <v>190</v>
      </c>
      <c r="IG41" s="331" t="s">
        <v>170</v>
      </c>
      <c r="IH41" s="331" t="s">
        <v>429</v>
      </c>
      <c r="II41" s="331" t="s">
        <v>169</v>
      </c>
      <c r="IJ41" s="331" t="s">
        <v>427</v>
      </c>
      <c r="IK41" s="331" t="s">
        <v>428</v>
      </c>
      <c r="IL41" s="331" t="s">
        <v>428</v>
      </c>
    </row>
    <row r="42" spans="1:246" x14ac:dyDescent="0.25">
      <c r="A42" s="334" t="str">
        <f>HYPERLINK("http://www.ofsted.gov.uk/inspection-reports/find-inspection-report/provider/ELS/146338 ","Ofsted School Webpage")</f>
        <v>Ofsted School Webpage</v>
      </c>
      <c r="B42" s="331">
        <v>146338</v>
      </c>
      <c r="C42" s="331">
        <v>9366015</v>
      </c>
      <c r="D42" s="331" t="s">
        <v>2544</v>
      </c>
      <c r="E42" s="331" t="s">
        <v>168</v>
      </c>
      <c r="F42" s="331" t="s">
        <v>514</v>
      </c>
      <c r="G42" s="331" t="s">
        <v>514</v>
      </c>
      <c r="H42" s="331" t="s">
        <v>699</v>
      </c>
      <c r="I42" s="331" t="s">
        <v>2545</v>
      </c>
      <c r="J42" s="331" t="s">
        <v>81</v>
      </c>
      <c r="K42" s="331" t="s">
        <v>81</v>
      </c>
      <c r="L42" s="331" t="s">
        <v>81</v>
      </c>
      <c r="M42" s="331" t="s">
        <v>78</v>
      </c>
      <c r="N42" s="331" t="s">
        <v>424</v>
      </c>
      <c r="O42" s="333">
        <v>10100143</v>
      </c>
      <c r="P42" s="332">
        <v>43782</v>
      </c>
      <c r="Q42" s="332">
        <v>43784</v>
      </c>
      <c r="R42" s="332">
        <v>43804</v>
      </c>
      <c r="S42" s="331" t="s">
        <v>435</v>
      </c>
      <c r="T42" s="331" t="s">
        <v>426</v>
      </c>
      <c r="U42" s="331">
        <v>2</v>
      </c>
      <c r="V42" s="331">
        <v>2</v>
      </c>
      <c r="W42" s="331">
        <v>2</v>
      </c>
      <c r="X42" s="331">
        <v>1</v>
      </c>
      <c r="Y42" s="331">
        <v>2</v>
      </c>
      <c r="Z42" s="331" t="s">
        <v>169</v>
      </c>
      <c r="AA42" s="331" t="s">
        <v>173</v>
      </c>
      <c r="AB42" s="331" t="s">
        <v>173</v>
      </c>
      <c r="AC42" s="331" t="s">
        <v>427</v>
      </c>
      <c r="AD42" s="331" t="s">
        <v>171</v>
      </c>
      <c r="AE42" s="331" t="s">
        <v>190</v>
      </c>
      <c r="AF42" s="331" t="s">
        <v>190</v>
      </c>
      <c r="AG42" s="331" t="s">
        <v>190</v>
      </c>
      <c r="AH42" s="331" t="s">
        <v>190</v>
      </c>
      <c r="AI42" s="331" t="s">
        <v>190</v>
      </c>
      <c r="AJ42" s="331" t="s">
        <v>190</v>
      </c>
      <c r="AK42" s="331" t="s">
        <v>190</v>
      </c>
      <c r="AL42" s="331" t="s">
        <v>190</v>
      </c>
      <c r="AM42" s="331" t="s">
        <v>190</v>
      </c>
      <c r="AN42" s="331" t="s">
        <v>190</v>
      </c>
      <c r="AO42" s="331" t="s">
        <v>190</v>
      </c>
      <c r="AP42" s="331" t="s">
        <v>190</v>
      </c>
      <c r="AQ42" s="331" t="s">
        <v>190</v>
      </c>
      <c r="AR42" s="331" t="s">
        <v>190</v>
      </c>
      <c r="AS42" s="331" t="s">
        <v>190</v>
      </c>
      <c r="AT42" s="331" t="s">
        <v>190</v>
      </c>
      <c r="AU42" s="331" t="s">
        <v>428</v>
      </c>
      <c r="AV42" s="331" t="s">
        <v>190</v>
      </c>
      <c r="AW42" s="331" t="s">
        <v>190</v>
      </c>
      <c r="AX42" s="331" t="s">
        <v>190</v>
      </c>
      <c r="AY42" s="331" t="s">
        <v>190</v>
      </c>
      <c r="AZ42" s="331" t="s">
        <v>190</v>
      </c>
      <c r="BA42" s="331" t="s">
        <v>190</v>
      </c>
      <c r="BB42" s="331" t="s">
        <v>190</v>
      </c>
      <c r="BC42" s="331" t="s">
        <v>428</v>
      </c>
      <c r="BD42" s="331" t="s">
        <v>428</v>
      </c>
      <c r="BE42" s="331" t="s">
        <v>190</v>
      </c>
      <c r="BF42" s="331" t="s">
        <v>190</v>
      </c>
      <c r="BG42" s="331" t="s">
        <v>190</v>
      </c>
      <c r="BH42" s="331" t="s">
        <v>190</v>
      </c>
      <c r="BI42" s="331" t="s">
        <v>190</v>
      </c>
      <c r="BJ42" s="331" t="s">
        <v>190</v>
      </c>
      <c r="BK42" s="331" t="s">
        <v>190</v>
      </c>
      <c r="BL42" s="331" t="s">
        <v>190</v>
      </c>
      <c r="BM42" s="331" t="s">
        <v>190</v>
      </c>
      <c r="BN42" s="331" t="s">
        <v>190</v>
      </c>
      <c r="BO42" s="331" t="s">
        <v>190</v>
      </c>
      <c r="BP42" s="331" t="s">
        <v>190</v>
      </c>
      <c r="BQ42" s="331" t="s">
        <v>190</v>
      </c>
      <c r="BR42" s="331" t="s">
        <v>190</v>
      </c>
      <c r="BS42" s="331" t="s">
        <v>190</v>
      </c>
      <c r="BT42" s="331" t="s">
        <v>190</v>
      </c>
      <c r="BU42" s="331" t="s">
        <v>190</v>
      </c>
      <c r="BV42" s="331" t="s">
        <v>190</v>
      </c>
      <c r="BW42" s="331" t="s">
        <v>190</v>
      </c>
      <c r="BX42" s="331" t="s">
        <v>190</v>
      </c>
      <c r="BY42" s="331" t="s">
        <v>190</v>
      </c>
      <c r="BZ42" s="331" t="s">
        <v>190</v>
      </c>
      <c r="CA42" s="331" t="s">
        <v>190</v>
      </c>
      <c r="CB42" s="331" t="s">
        <v>190</v>
      </c>
      <c r="CC42" s="331" t="s">
        <v>190</v>
      </c>
      <c r="CD42" s="331" t="s">
        <v>190</v>
      </c>
      <c r="CE42" s="331" t="s">
        <v>190</v>
      </c>
      <c r="CF42" s="331" t="s">
        <v>190</v>
      </c>
      <c r="CG42" s="331" t="s">
        <v>190</v>
      </c>
      <c r="CH42" s="331" t="s">
        <v>190</v>
      </c>
      <c r="CI42" s="331" t="s">
        <v>190</v>
      </c>
      <c r="CJ42" s="331" t="s">
        <v>190</v>
      </c>
      <c r="CK42" s="331" t="s">
        <v>428</v>
      </c>
      <c r="CL42" s="331" t="s">
        <v>428</v>
      </c>
      <c r="CM42" s="331" t="s">
        <v>428</v>
      </c>
      <c r="CN42" s="331" t="s">
        <v>190</v>
      </c>
      <c r="CO42" s="331" t="s">
        <v>190</v>
      </c>
      <c r="CP42" s="331" t="s">
        <v>190</v>
      </c>
      <c r="CQ42" s="331" t="s">
        <v>190</v>
      </c>
      <c r="CR42" s="331" t="s">
        <v>190</v>
      </c>
      <c r="CS42" s="331" t="s">
        <v>190</v>
      </c>
      <c r="CT42" s="331" t="s">
        <v>190</v>
      </c>
      <c r="CU42" s="331" t="s">
        <v>190</v>
      </c>
      <c r="CV42" s="331" t="s">
        <v>190</v>
      </c>
      <c r="CW42" s="331" t="s">
        <v>190</v>
      </c>
      <c r="CX42" s="331" t="s">
        <v>190</v>
      </c>
      <c r="CY42" s="331" t="s">
        <v>190</v>
      </c>
      <c r="CZ42" s="331" t="s">
        <v>190</v>
      </c>
      <c r="DA42" s="331" t="s">
        <v>190</v>
      </c>
      <c r="DB42" s="331" t="s">
        <v>190</v>
      </c>
      <c r="DC42" s="331" t="s">
        <v>190</v>
      </c>
      <c r="DD42" s="331" t="s">
        <v>190</v>
      </c>
      <c r="DE42" s="331" t="s">
        <v>190</v>
      </c>
      <c r="DF42" s="331" t="s">
        <v>190</v>
      </c>
      <c r="DG42" s="331" t="s">
        <v>190</v>
      </c>
      <c r="DH42" s="331" t="s">
        <v>190</v>
      </c>
      <c r="DI42" s="331" t="s">
        <v>190</v>
      </c>
      <c r="DJ42" s="331" t="s">
        <v>190</v>
      </c>
      <c r="DK42" s="331" t="s">
        <v>428</v>
      </c>
      <c r="DL42" s="331" t="s">
        <v>190</v>
      </c>
      <c r="DM42" s="331" t="s">
        <v>190</v>
      </c>
      <c r="DN42" s="331" t="s">
        <v>190</v>
      </c>
      <c r="DO42" s="331" t="s">
        <v>190</v>
      </c>
      <c r="DP42" s="331" t="s">
        <v>190</v>
      </c>
      <c r="DQ42" s="331" t="s">
        <v>190</v>
      </c>
      <c r="DR42" s="331" t="s">
        <v>190</v>
      </c>
      <c r="DS42" s="331" t="s">
        <v>190</v>
      </c>
      <c r="DT42" s="331" t="s">
        <v>190</v>
      </c>
      <c r="DU42" s="331" t="s">
        <v>190</v>
      </c>
      <c r="DV42" s="331" t="s">
        <v>190</v>
      </c>
      <c r="DW42" s="331" t="s">
        <v>190</v>
      </c>
      <c r="DX42" s="331" t="s">
        <v>190</v>
      </c>
      <c r="DY42" s="331" t="s">
        <v>190</v>
      </c>
      <c r="DZ42" s="331" t="s">
        <v>428</v>
      </c>
      <c r="EA42" s="331" t="s">
        <v>190</v>
      </c>
      <c r="EB42" s="331" t="s">
        <v>428</v>
      </c>
      <c r="EC42" s="331" t="s">
        <v>428</v>
      </c>
      <c r="ED42" s="331" t="s">
        <v>428</v>
      </c>
      <c r="EE42" s="331" t="s">
        <v>428</v>
      </c>
      <c r="EF42" s="331" t="s">
        <v>428</v>
      </c>
      <c r="EG42" s="331" t="s">
        <v>428</v>
      </c>
      <c r="EH42" s="331" t="s">
        <v>428</v>
      </c>
      <c r="EI42" s="331" t="s">
        <v>428</v>
      </c>
      <c r="EJ42" s="331" t="s">
        <v>428</v>
      </c>
      <c r="EK42" s="331" t="s">
        <v>190</v>
      </c>
      <c r="EL42" s="331" t="s">
        <v>190</v>
      </c>
      <c r="EM42" s="331" t="s">
        <v>190</v>
      </c>
      <c r="EN42" s="331" t="s">
        <v>190</v>
      </c>
      <c r="EO42" s="331" t="s">
        <v>190</v>
      </c>
      <c r="EP42" s="331" t="s">
        <v>190</v>
      </c>
      <c r="EQ42" s="331" t="s">
        <v>190</v>
      </c>
      <c r="ER42" s="331" t="s">
        <v>190</v>
      </c>
      <c r="ES42" s="331" t="s">
        <v>190</v>
      </c>
      <c r="ET42" s="331" t="s">
        <v>190</v>
      </c>
      <c r="EU42" s="331" t="s">
        <v>190</v>
      </c>
      <c r="EV42" s="331" t="s">
        <v>190</v>
      </c>
      <c r="EW42" s="331" t="s">
        <v>190</v>
      </c>
      <c r="EX42" s="331" t="s">
        <v>428</v>
      </c>
      <c r="EY42" s="331" t="s">
        <v>190</v>
      </c>
      <c r="EZ42" s="331" t="s">
        <v>190</v>
      </c>
      <c r="FA42" s="331" t="s">
        <v>190</v>
      </c>
      <c r="FB42" s="331" t="s">
        <v>190</v>
      </c>
      <c r="FC42" s="331" t="s">
        <v>190</v>
      </c>
      <c r="FD42" s="331" t="s">
        <v>190</v>
      </c>
      <c r="FE42" s="331" t="s">
        <v>428</v>
      </c>
      <c r="FF42" s="331" t="s">
        <v>428</v>
      </c>
      <c r="FG42" s="331" t="s">
        <v>429</v>
      </c>
      <c r="FH42" s="331" t="s">
        <v>428</v>
      </c>
      <c r="FI42" s="331" t="s">
        <v>190</v>
      </c>
      <c r="FJ42" s="331" t="s">
        <v>190</v>
      </c>
      <c r="FK42" s="331" t="s">
        <v>190</v>
      </c>
      <c r="FL42" s="331" t="s">
        <v>190</v>
      </c>
      <c r="FM42" s="331" t="s">
        <v>190</v>
      </c>
      <c r="FN42" s="331" t="s">
        <v>190</v>
      </c>
      <c r="FO42" s="331" t="s">
        <v>190</v>
      </c>
      <c r="FP42" s="331" t="s">
        <v>428</v>
      </c>
      <c r="FQ42" s="331" t="s">
        <v>190</v>
      </c>
      <c r="FR42" s="331" t="s">
        <v>190</v>
      </c>
      <c r="FS42" s="331" t="s">
        <v>190</v>
      </c>
      <c r="FT42" s="331" t="s">
        <v>190</v>
      </c>
      <c r="FU42" s="331" t="s">
        <v>190</v>
      </c>
      <c r="FV42" s="331" t="s">
        <v>190</v>
      </c>
      <c r="FW42" s="331" t="s">
        <v>190</v>
      </c>
      <c r="FX42" s="331" t="s">
        <v>190</v>
      </c>
      <c r="FY42" s="331" t="s">
        <v>190</v>
      </c>
      <c r="FZ42" s="331" t="s">
        <v>190</v>
      </c>
      <c r="GA42" s="331" t="s">
        <v>190</v>
      </c>
      <c r="GB42" s="331" t="s">
        <v>190</v>
      </c>
      <c r="GC42" s="331" t="s">
        <v>190</v>
      </c>
      <c r="GD42" s="331" t="s">
        <v>190</v>
      </c>
      <c r="GE42" s="331" t="s">
        <v>190</v>
      </c>
      <c r="GF42" s="331" t="s">
        <v>190</v>
      </c>
      <c r="GG42" s="331" t="s">
        <v>190</v>
      </c>
      <c r="GH42" s="331" t="s">
        <v>428</v>
      </c>
      <c r="GI42" s="331" t="s">
        <v>190</v>
      </c>
      <c r="GJ42" s="331" t="s">
        <v>190</v>
      </c>
      <c r="GK42" s="331" t="s">
        <v>190</v>
      </c>
      <c r="GL42" s="331" t="s">
        <v>190</v>
      </c>
      <c r="GM42" s="331" t="s">
        <v>190</v>
      </c>
      <c r="GN42" s="331" t="s">
        <v>428</v>
      </c>
      <c r="GO42" s="331" t="s">
        <v>190</v>
      </c>
      <c r="GP42" s="331" t="s">
        <v>190</v>
      </c>
      <c r="GQ42" s="331" t="s">
        <v>190</v>
      </c>
      <c r="GR42" s="331" t="s">
        <v>190</v>
      </c>
      <c r="GS42" s="331" t="s">
        <v>190</v>
      </c>
      <c r="GT42" s="331" t="s">
        <v>190</v>
      </c>
      <c r="GU42" s="331" t="s">
        <v>190</v>
      </c>
      <c r="GV42" s="331" t="s">
        <v>190</v>
      </c>
      <c r="GW42" s="331" t="s">
        <v>190</v>
      </c>
      <c r="GX42" s="331" t="s">
        <v>428</v>
      </c>
      <c r="GY42" s="331" t="s">
        <v>428</v>
      </c>
      <c r="GZ42" s="331" t="s">
        <v>190</v>
      </c>
      <c r="HA42" s="331" t="s">
        <v>190</v>
      </c>
      <c r="HB42" s="331" t="s">
        <v>190</v>
      </c>
      <c r="HC42" s="331" t="s">
        <v>190</v>
      </c>
      <c r="HD42" s="331" t="s">
        <v>190</v>
      </c>
      <c r="HE42" s="331" t="s">
        <v>190</v>
      </c>
      <c r="HF42" s="331" t="s">
        <v>190</v>
      </c>
      <c r="HG42" s="331" t="s">
        <v>190</v>
      </c>
      <c r="HH42" s="331" t="s">
        <v>190</v>
      </c>
      <c r="HI42" s="331" t="s">
        <v>190</v>
      </c>
      <c r="HJ42" s="331" t="s">
        <v>190</v>
      </c>
      <c r="HK42" s="331" t="s">
        <v>190</v>
      </c>
      <c r="HL42" s="331" t="s">
        <v>190</v>
      </c>
      <c r="HM42" s="331" t="s">
        <v>190</v>
      </c>
      <c r="HN42" s="331" t="s">
        <v>190</v>
      </c>
      <c r="HO42" s="331" t="s">
        <v>190</v>
      </c>
      <c r="HP42" s="331" t="s">
        <v>190</v>
      </c>
      <c r="HQ42" s="331" t="s">
        <v>190</v>
      </c>
      <c r="HR42" s="331" t="s">
        <v>190</v>
      </c>
      <c r="HS42" s="331" t="s">
        <v>190</v>
      </c>
      <c r="HT42" s="331" t="s">
        <v>190</v>
      </c>
      <c r="HU42" s="331" t="s">
        <v>190</v>
      </c>
      <c r="HV42" s="331" t="s">
        <v>190</v>
      </c>
      <c r="HW42" s="331" t="s">
        <v>190</v>
      </c>
      <c r="HX42" s="331" t="s">
        <v>190</v>
      </c>
      <c r="HY42" s="331" t="s">
        <v>190</v>
      </c>
      <c r="HZ42" s="331" t="s">
        <v>190</v>
      </c>
      <c r="IA42" s="331" t="s">
        <v>190</v>
      </c>
      <c r="IB42" s="331" t="s">
        <v>190</v>
      </c>
      <c r="IC42" s="331" t="s">
        <v>190</v>
      </c>
      <c r="ID42" s="331" t="s">
        <v>190</v>
      </c>
      <c r="IE42" s="331" t="s">
        <v>190</v>
      </c>
      <c r="IF42" s="331" t="s">
        <v>190</v>
      </c>
      <c r="IG42" s="331" t="s">
        <v>170</v>
      </c>
      <c r="IH42" s="331" t="s">
        <v>429</v>
      </c>
      <c r="II42" s="331" t="s">
        <v>169</v>
      </c>
      <c r="IJ42" s="331" t="s">
        <v>427</v>
      </c>
      <c r="IK42" s="331" t="s">
        <v>428</v>
      </c>
      <c r="IL42" s="331" t="s">
        <v>428</v>
      </c>
    </row>
    <row r="43" spans="1:246" x14ac:dyDescent="0.25">
      <c r="A43" s="334" t="str">
        <f>HYPERLINK("http://www.ofsted.gov.uk/inspection-reports/find-inspection-report/provider/ELS/142625 ","Ofsted School Webpage")</f>
        <v>Ofsted School Webpage</v>
      </c>
      <c r="B43" s="331">
        <v>142625</v>
      </c>
      <c r="C43" s="331">
        <v>8736053</v>
      </c>
      <c r="D43" s="331" t="s">
        <v>1106</v>
      </c>
      <c r="E43" s="331" t="s">
        <v>167</v>
      </c>
      <c r="F43" s="331" t="s">
        <v>451</v>
      </c>
      <c r="G43" s="331" t="s">
        <v>451</v>
      </c>
      <c r="H43" s="331" t="s">
        <v>772</v>
      </c>
      <c r="I43" s="331" t="s">
        <v>1107</v>
      </c>
      <c r="J43" s="331" t="s">
        <v>81</v>
      </c>
      <c r="K43" s="331" t="s">
        <v>81</v>
      </c>
      <c r="L43" s="331" t="s">
        <v>81</v>
      </c>
      <c r="M43" s="331" t="s">
        <v>78</v>
      </c>
      <c r="N43" s="331" t="s">
        <v>424</v>
      </c>
      <c r="O43" s="333">
        <v>10113591</v>
      </c>
      <c r="P43" s="332">
        <v>43782</v>
      </c>
      <c r="Q43" s="332">
        <v>43784</v>
      </c>
      <c r="R43" s="332">
        <v>43810</v>
      </c>
      <c r="S43" s="331" t="s">
        <v>425</v>
      </c>
      <c r="T43" s="331" t="s">
        <v>426</v>
      </c>
      <c r="U43" s="331">
        <v>3</v>
      </c>
      <c r="V43" s="331">
        <v>3</v>
      </c>
      <c r="W43" s="331">
        <v>3</v>
      </c>
      <c r="X43" s="331">
        <v>2</v>
      </c>
      <c r="Y43" s="331">
        <v>3</v>
      </c>
      <c r="Z43" s="331" t="s">
        <v>169</v>
      </c>
      <c r="AA43" s="331" t="s">
        <v>173</v>
      </c>
      <c r="AB43" s="331" t="s">
        <v>173</v>
      </c>
      <c r="AC43" s="331" t="s">
        <v>447</v>
      </c>
      <c r="AD43" s="331" t="s">
        <v>172</v>
      </c>
      <c r="AE43" s="331" t="s">
        <v>479</v>
      </c>
      <c r="AF43" s="331" t="s">
        <v>190</v>
      </c>
      <c r="AG43" s="331" t="s">
        <v>479</v>
      </c>
      <c r="AH43" s="331" t="s">
        <v>190</v>
      </c>
      <c r="AI43" s="331" t="s">
        <v>479</v>
      </c>
      <c r="AJ43" s="331" t="s">
        <v>479</v>
      </c>
      <c r="AK43" s="331" t="s">
        <v>190</v>
      </c>
      <c r="AL43" s="331" t="s">
        <v>479</v>
      </c>
      <c r="AM43" s="331" t="s">
        <v>190</v>
      </c>
      <c r="AN43" s="331" t="s">
        <v>190</v>
      </c>
      <c r="AO43" s="331" t="s">
        <v>191</v>
      </c>
      <c r="AP43" s="331" t="s">
        <v>190</v>
      </c>
      <c r="AQ43" s="331" t="s">
        <v>190</v>
      </c>
      <c r="AR43" s="331" t="s">
        <v>190</v>
      </c>
      <c r="AS43" s="331" t="s">
        <v>190</v>
      </c>
      <c r="AT43" s="331" t="s">
        <v>190</v>
      </c>
      <c r="AU43" s="331" t="s">
        <v>428</v>
      </c>
      <c r="AV43" s="331" t="s">
        <v>190</v>
      </c>
      <c r="AW43" s="331" t="s">
        <v>190</v>
      </c>
      <c r="AX43" s="331" t="s">
        <v>190</v>
      </c>
      <c r="AY43" s="331" t="s">
        <v>190</v>
      </c>
      <c r="AZ43" s="331" t="s">
        <v>190</v>
      </c>
      <c r="BA43" s="331" t="s">
        <v>190</v>
      </c>
      <c r="BB43" s="331" t="s">
        <v>190</v>
      </c>
      <c r="BC43" s="331" t="s">
        <v>428</v>
      </c>
      <c r="BD43" s="331" t="s">
        <v>190</v>
      </c>
      <c r="BE43" s="331" t="s">
        <v>190</v>
      </c>
      <c r="BF43" s="331" t="s">
        <v>190</v>
      </c>
      <c r="BG43" s="331" t="s">
        <v>191</v>
      </c>
      <c r="BH43" s="331" t="s">
        <v>191</v>
      </c>
      <c r="BI43" s="331" t="s">
        <v>191</v>
      </c>
      <c r="BJ43" s="331" t="s">
        <v>190</v>
      </c>
      <c r="BK43" s="331" t="s">
        <v>190</v>
      </c>
      <c r="BL43" s="331" t="s">
        <v>190</v>
      </c>
      <c r="BM43" s="331" t="s">
        <v>191</v>
      </c>
      <c r="BN43" s="331" t="s">
        <v>191</v>
      </c>
      <c r="BO43" s="331" t="s">
        <v>190</v>
      </c>
      <c r="BP43" s="331" t="s">
        <v>190</v>
      </c>
      <c r="BQ43" s="331" t="s">
        <v>190</v>
      </c>
      <c r="BR43" s="331" t="s">
        <v>191</v>
      </c>
      <c r="BS43" s="331" t="s">
        <v>190</v>
      </c>
      <c r="BT43" s="331" t="s">
        <v>190</v>
      </c>
      <c r="BU43" s="331" t="s">
        <v>190</v>
      </c>
      <c r="BV43" s="331" t="s">
        <v>190</v>
      </c>
      <c r="BW43" s="331" t="s">
        <v>190</v>
      </c>
      <c r="BX43" s="331" t="s">
        <v>190</v>
      </c>
      <c r="BY43" s="331" t="s">
        <v>190</v>
      </c>
      <c r="BZ43" s="331" t="s">
        <v>190</v>
      </c>
      <c r="CA43" s="331" t="s">
        <v>190</v>
      </c>
      <c r="CB43" s="331" t="s">
        <v>190</v>
      </c>
      <c r="CC43" s="331" t="s">
        <v>190</v>
      </c>
      <c r="CD43" s="331" t="s">
        <v>190</v>
      </c>
      <c r="CE43" s="331" t="s">
        <v>190</v>
      </c>
      <c r="CF43" s="331" t="s">
        <v>190</v>
      </c>
      <c r="CG43" s="331" t="s">
        <v>190</v>
      </c>
      <c r="CH43" s="331" t="s">
        <v>190</v>
      </c>
      <c r="CI43" s="331" t="s">
        <v>190</v>
      </c>
      <c r="CJ43" s="331" t="s">
        <v>190</v>
      </c>
      <c r="CK43" s="331" t="s">
        <v>190</v>
      </c>
      <c r="CL43" s="331" t="s">
        <v>190</v>
      </c>
      <c r="CM43" s="331" t="s">
        <v>190</v>
      </c>
      <c r="CN43" s="331" t="s">
        <v>190</v>
      </c>
      <c r="CO43" s="331" t="s">
        <v>190</v>
      </c>
      <c r="CP43" s="331" t="s">
        <v>190</v>
      </c>
      <c r="CQ43" s="331" t="s">
        <v>190</v>
      </c>
      <c r="CR43" s="331" t="s">
        <v>190</v>
      </c>
      <c r="CS43" s="331" t="s">
        <v>191</v>
      </c>
      <c r="CT43" s="331" t="s">
        <v>190</v>
      </c>
      <c r="CU43" s="331" t="s">
        <v>191</v>
      </c>
      <c r="CV43" s="331" t="s">
        <v>190</v>
      </c>
      <c r="CW43" s="331" t="s">
        <v>190</v>
      </c>
      <c r="CX43" s="331" t="s">
        <v>190</v>
      </c>
      <c r="CY43" s="331" t="s">
        <v>190</v>
      </c>
      <c r="CZ43" s="331" t="s">
        <v>190</v>
      </c>
      <c r="DA43" s="331" t="s">
        <v>190</v>
      </c>
      <c r="DB43" s="331" t="s">
        <v>190</v>
      </c>
      <c r="DC43" s="331" t="s">
        <v>190</v>
      </c>
      <c r="DD43" s="331" t="s">
        <v>190</v>
      </c>
      <c r="DE43" s="331" t="s">
        <v>190</v>
      </c>
      <c r="DF43" s="331" t="s">
        <v>190</v>
      </c>
      <c r="DG43" s="331" t="s">
        <v>190</v>
      </c>
      <c r="DH43" s="331" t="s">
        <v>190</v>
      </c>
      <c r="DI43" s="331" t="s">
        <v>190</v>
      </c>
      <c r="DJ43" s="331" t="s">
        <v>190</v>
      </c>
      <c r="DK43" s="331" t="s">
        <v>190</v>
      </c>
      <c r="DL43" s="331" t="s">
        <v>190</v>
      </c>
      <c r="DM43" s="331" t="s">
        <v>190</v>
      </c>
      <c r="DN43" s="331" t="s">
        <v>190</v>
      </c>
      <c r="DO43" s="331" t="s">
        <v>190</v>
      </c>
      <c r="DP43" s="331" t="s">
        <v>190</v>
      </c>
      <c r="DQ43" s="331" t="s">
        <v>190</v>
      </c>
      <c r="DR43" s="331" t="s">
        <v>190</v>
      </c>
      <c r="DS43" s="331" t="s">
        <v>190</v>
      </c>
      <c r="DT43" s="331" t="s">
        <v>190</v>
      </c>
      <c r="DU43" s="331" t="s">
        <v>190</v>
      </c>
      <c r="DV43" s="331" t="s">
        <v>190</v>
      </c>
      <c r="DW43" s="331" t="s">
        <v>190</v>
      </c>
      <c r="DX43" s="331" t="s">
        <v>190</v>
      </c>
      <c r="DY43" s="331" t="s">
        <v>190</v>
      </c>
      <c r="DZ43" s="331" t="s">
        <v>190</v>
      </c>
      <c r="EA43" s="331" t="s">
        <v>190</v>
      </c>
      <c r="EB43" s="331" t="s">
        <v>190</v>
      </c>
      <c r="EC43" s="331" t="s">
        <v>190</v>
      </c>
      <c r="ED43" s="331" t="s">
        <v>190</v>
      </c>
      <c r="EE43" s="331" t="s">
        <v>190</v>
      </c>
      <c r="EF43" s="331" t="s">
        <v>190</v>
      </c>
      <c r="EG43" s="331" t="s">
        <v>190</v>
      </c>
      <c r="EH43" s="331" t="s">
        <v>190</v>
      </c>
      <c r="EI43" s="331" t="s">
        <v>190</v>
      </c>
      <c r="EJ43" s="331" t="s">
        <v>190</v>
      </c>
      <c r="EK43" s="331" t="s">
        <v>190</v>
      </c>
      <c r="EL43" s="331" t="s">
        <v>190</v>
      </c>
      <c r="EM43" s="331" t="s">
        <v>190</v>
      </c>
      <c r="EN43" s="331" t="s">
        <v>190</v>
      </c>
      <c r="EO43" s="331" t="s">
        <v>190</v>
      </c>
      <c r="EP43" s="331" t="s">
        <v>190</v>
      </c>
      <c r="EQ43" s="331" t="s">
        <v>190</v>
      </c>
      <c r="ER43" s="331" t="s">
        <v>190</v>
      </c>
      <c r="ES43" s="331" t="s">
        <v>190</v>
      </c>
      <c r="ET43" s="331" t="s">
        <v>190</v>
      </c>
      <c r="EU43" s="331" t="s">
        <v>190</v>
      </c>
      <c r="EV43" s="331" t="s">
        <v>190</v>
      </c>
      <c r="EW43" s="331" t="s">
        <v>190</v>
      </c>
      <c r="EX43" s="331" t="s">
        <v>190</v>
      </c>
      <c r="EY43" s="331" t="s">
        <v>190</v>
      </c>
      <c r="EZ43" s="331" t="s">
        <v>190</v>
      </c>
      <c r="FA43" s="331" t="s">
        <v>190</v>
      </c>
      <c r="FB43" s="331" t="s">
        <v>190</v>
      </c>
      <c r="FC43" s="331" t="s">
        <v>190</v>
      </c>
      <c r="FD43" s="331" t="s">
        <v>190</v>
      </c>
      <c r="FE43" s="331" t="s">
        <v>190</v>
      </c>
      <c r="FF43" s="331" t="s">
        <v>190</v>
      </c>
      <c r="FG43" s="331" t="s">
        <v>190</v>
      </c>
      <c r="FH43" s="331" t="s">
        <v>190</v>
      </c>
      <c r="FI43" s="331" t="s">
        <v>190</v>
      </c>
      <c r="FJ43" s="331" t="s">
        <v>190</v>
      </c>
      <c r="FK43" s="331" t="s">
        <v>428</v>
      </c>
      <c r="FL43" s="331" t="s">
        <v>190</v>
      </c>
      <c r="FM43" s="331" t="s">
        <v>191</v>
      </c>
      <c r="FN43" s="331" t="s">
        <v>190</v>
      </c>
      <c r="FO43" s="331" t="s">
        <v>191</v>
      </c>
      <c r="FP43" s="331" t="s">
        <v>428</v>
      </c>
      <c r="FQ43" s="331" t="s">
        <v>190</v>
      </c>
      <c r="FR43" s="331" t="s">
        <v>190</v>
      </c>
      <c r="FS43" s="331" t="s">
        <v>190</v>
      </c>
      <c r="FT43" s="331" t="s">
        <v>190</v>
      </c>
      <c r="FU43" s="331" t="s">
        <v>190</v>
      </c>
      <c r="FV43" s="331" t="s">
        <v>190</v>
      </c>
      <c r="FW43" s="331" t="s">
        <v>190</v>
      </c>
      <c r="FX43" s="331" t="s">
        <v>190</v>
      </c>
      <c r="FY43" s="331" t="s">
        <v>190</v>
      </c>
      <c r="FZ43" s="331" t="s">
        <v>190</v>
      </c>
      <c r="GA43" s="331" t="s">
        <v>190</v>
      </c>
      <c r="GB43" s="331" t="s">
        <v>190</v>
      </c>
      <c r="GC43" s="331" t="s">
        <v>190</v>
      </c>
      <c r="GD43" s="331" t="s">
        <v>190</v>
      </c>
      <c r="GE43" s="331" t="s">
        <v>190</v>
      </c>
      <c r="GF43" s="331" t="s">
        <v>190</v>
      </c>
      <c r="GG43" s="331" t="s">
        <v>190</v>
      </c>
      <c r="GH43" s="331" t="s">
        <v>190</v>
      </c>
      <c r="GI43" s="331" t="s">
        <v>191</v>
      </c>
      <c r="GJ43" s="331" t="s">
        <v>190</v>
      </c>
      <c r="GK43" s="331" t="s">
        <v>191</v>
      </c>
      <c r="GL43" s="331" t="s">
        <v>190</v>
      </c>
      <c r="GM43" s="331" t="s">
        <v>190</v>
      </c>
      <c r="GN43" s="331" t="s">
        <v>190</v>
      </c>
      <c r="GO43" s="331" t="s">
        <v>190</v>
      </c>
      <c r="GP43" s="331" t="s">
        <v>190</v>
      </c>
      <c r="GQ43" s="331" t="s">
        <v>191</v>
      </c>
      <c r="GR43" s="331" t="s">
        <v>190</v>
      </c>
      <c r="GS43" s="331" t="s">
        <v>190</v>
      </c>
      <c r="GT43" s="331" t="s">
        <v>190</v>
      </c>
      <c r="GU43" s="331" t="s">
        <v>190</v>
      </c>
      <c r="GV43" s="331" t="s">
        <v>190</v>
      </c>
      <c r="GW43" s="331" t="s">
        <v>428</v>
      </c>
      <c r="GX43" s="331" t="s">
        <v>190</v>
      </c>
      <c r="GY43" s="331" t="s">
        <v>190</v>
      </c>
      <c r="GZ43" s="331" t="s">
        <v>190</v>
      </c>
      <c r="HA43" s="331" t="s">
        <v>190</v>
      </c>
      <c r="HB43" s="331" t="s">
        <v>190</v>
      </c>
      <c r="HC43" s="331" t="s">
        <v>428</v>
      </c>
      <c r="HD43" s="331" t="s">
        <v>190</v>
      </c>
      <c r="HE43" s="331" t="s">
        <v>191</v>
      </c>
      <c r="HF43" s="331" t="s">
        <v>190</v>
      </c>
      <c r="HG43" s="331" t="s">
        <v>190</v>
      </c>
      <c r="HH43" s="331" t="s">
        <v>190</v>
      </c>
      <c r="HI43" s="331" t="s">
        <v>190</v>
      </c>
      <c r="HJ43" s="331" t="s">
        <v>428</v>
      </c>
      <c r="HK43" s="331" t="s">
        <v>428</v>
      </c>
      <c r="HL43" s="331" t="s">
        <v>428</v>
      </c>
      <c r="HM43" s="331" t="s">
        <v>190</v>
      </c>
      <c r="HN43" s="331" t="s">
        <v>190</v>
      </c>
      <c r="HO43" s="331" t="s">
        <v>190</v>
      </c>
      <c r="HP43" s="331" t="s">
        <v>190</v>
      </c>
      <c r="HQ43" s="331" t="s">
        <v>190</v>
      </c>
      <c r="HR43" s="331" t="s">
        <v>190</v>
      </c>
      <c r="HS43" s="331" t="s">
        <v>190</v>
      </c>
      <c r="HT43" s="331" t="s">
        <v>190</v>
      </c>
      <c r="HU43" s="331" t="s">
        <v>190</v>
      </c>
      <c r="HV43" s="331" t="s">
        <v>190</v>
      </c>
      <c r="HW43" s="331" t="s">
        <v>190</v>
      </c>
      <c r="HX43" s="331" t="s">
        <v>190</v>
      </c>
      <c r="HY43" s="331" t="s">
        <v>190</v>
      </c>
      <c r="HZ43" s="331" t="s">
        <v>190</v>
      </c>
      <c r="IA43" s="331" t="s">
        <v>190</v>
      </c>
      <c r="IB43" s="331" t="s">
        <v>190</v>
      </c>
      <c r="IC43" s="331" t="s">
        <v>191</v>
      </c>
      <c r="ID43" s="331" t="s">
        <v>191</v>
      </c>
      <c r="IE43" s="331" t="s">
        <v>191</v>
      </c>
      <c r="IF43" s="331" t="s">
        <v>190</v>
      </c>
      <c r="IG43" s="331" t="s">
        <v>169</v>
      </c>
      <c r="IH43" s="331" t="s">
        <v>169</v>
      </c>
      <c r="II43" s="331" t="s">
        <v>169</v>
      </c>
      <c r="IJ43" s="331" t="s">
        <v>427</v>
      </c>
      <c r="IK43" s="331" t="s">
        <v>428</v>
      </c>
      <c r="IL43" s="331" t="s">
        <v>428</v>
      </c>
    </row>
    <row r="44" spans="1:246" x14ac:dyDescent="0.25">
      <c r="A44" s="330" t="str">
        <f>HYPERLINK("http://www.ofsted.gov.uk/inspection-reports/find-inspection-report/provider/ELS/145499 ","Ofsted School Webpage")</f>
        <v>Ofsted School Webpage</v>
      </c>
      <c r="B44" s="331">
        <v>145499</v>
      </c>
      <c r="C44" s="331">
        <v>3806015</v>
      </c>
      <c r="D44" s="331" t="s">
        <v>2595</v>
      </c>
      <c r="E44" s="331" t="s">
        <v>167</v>
      </c>
      <c r="F44" s="331" t="s">
        <v>458</v>
      </c>
      <c r="G44" s="331" t="s">
        <v>459</v>
      </c>
      <c r="H44" s="331" t="s">
        <v>595</v>
      </c>
      <c r="I44" s="331" t="s">
        <v>1592</v>
      </c>
      <c r="J44" s="331" t="s">
        <v>81</v>
      </c>
      <c r="K44" s="331" t="s">
        <v>71</v>
      </c>
      <c r="L44" s="331" t="s">
        <v>71</v>
      </c>
      <c r="M44" s="331" t="s">
        <v>72</v>
      </c>
      <c r="N44" s="331" t="s">
        <v>424</v>
      </c>
      <c r="O44" s="333">
        <v>10123292</v>
      </c>
      <c r="P44" s="332">
        <v>43788</v>
      </c>
      <c r="Q44" s="332">
        <v>43790</v>
      </c>
      <c r="R44" s="332">
        <v>43817</v>
      </c>
      <c r="S44" s="331" t="s">
        <v>435</v>
      </c>
      <c r="T44" s="331" t="s">
        <v>426</v>
      </c>
      <c r="U44" s="331">
        <v>2</v>
      </c>
      <c r="V44" s="331">
        <v>2</v>
      </c>
      <c r="W44" s="331">
        <v>1</v>
      </c>
      <c r="X44" s="331">
        <v>1</v>
      </c>
      <c r="Y44" s="331">
        <v>2</v>
      </c>
      <c r="Z44" s="331" t="s">
        <v>169</v>
      </c>
      <c r="AA44" s="331" t="s">
        <v>173</v>
      </c>
      <c r="AB44" s="331" t="s">
        <v>173</v>
      </c>
      <c r="AC44" s="331" t="s">
        <v>427</v>
      </c>
      <c r="AD44" s="331" t="s">
        <v>171</v>
      </c>
      <c r="AE44" s="331" t="s">
        <v>190</v>
      </c>
      <c r="AF44" s="331" t="s">
        <v>190</v>
      </c>
      <c r="AG44" s="331" t="s">
        <v>190</v>
      </c>
      <c r="AH44" s="331" t="s">
        <v>190</v>
      </c>
      <c r="AI44" s="331" t="s">
        <v>190</v>
      </c>
      <c r="AJ44" s="331" t="s">
        <v>190</v>
      </c>
      <c r="AK44" s="331" t="s">
        <v>190</v>
      </c>
      <c r="AL44" s="331" t="s">
        <v>190</v>
      </c>
      <c r="AM44" s="331" t="s">
        <v>190</v>
      </c>
      <c r="AN44" s="331" t="s">
        <v>190</v>
      </c>
      <c r="AO44" s="331" t="s">
        <v>190</v>
      </c>
      <c r="AP44" s="331" t="s">
        <v>190</v>
      </c>
      <c r="AQ44" s="331" t="s">
        <v>190</v>
      </c>
      <c r="AR44" s="331" t="s">
        <v>190</v>
      </c>
      <c r="AS44" s="331" t="s">
        <v>190</v>
      </c>
      <c r="AT44" s="331" t="s">
        <v>190</v>
      </c>
      <c r="AU44" s="331" t="s">
        <v>428</v>
      </c>
      <c r="AV44" s="331" t="s">
        <v>190</v>
      </c>
      <c r="AW44" s="331" t="s">
        <v>190</v>
      </c>
      <c r="AX44" s="331" t="s">
        <v>190</v>
      </c>
      <c r="AY44" s="331" t="s">
        <v>190</v>
      </c>
      <c r="AZ44" s="331" t="s">
        <v>190</v>
      </c>
      <c r="BA44" s="331" t="s">
        <v>190</v>
      </c>
      <c r="BB44" s="331" t="s">
        <v>190</v>
      </c>
      <c r="BC44" s="331" t="s">
        <v>428</v>
      </c>
      <c r="BD44" s="331" t="s">
        <v>428</v>
      </c>
      <c r="BE44" s="331" t="s">
        <v>190</v>
      </c>
      <c r="BF44" s="331" t="s">
        <v>190</v>
      </c>
      <c r="BG44" s="331" t="s">
        <v>190</v>
      </c>
      <c r="BH44" s="331" t="s">
        <v>190</v>
      </c>
      <c r="BI44" s="331" t="s">
        <v>190</v>
      </c>
      <c r="BJ44" s="331" t="s">
        <v>190</v>
      </c>
      <c r="BK44" s="331" t="s">
        <v>190</v>
      </c>
      <c r="BL44" s="331" t="s">
        <v>190</v>
      </c>
      <c r="BM44" s="331" t="s">
        <v>190</v>
      </c>
      <c r="BN44" s="331" t="s">
        <v>190</v>
      </c>
      <c r="BO44" s="331" t="s">
        <v>190</v>
      </c>
      <c r="BP44" s="331" t="s">
        <v>190</v>
      </c>
      <c r="BQ44" s="331" t="s">
        <v>190</v>
      </c>
      <c r="BR44" s="331" t="s">
        <v>190</v>
      </c>
      <c r="BS44" s="331" t="s">
        <v>190</v>
      </c>
      <c r="BT44" s="331" t="s">
        <v>190</v>
      </c>
      <c r="BU44" s="331" t="s">
        <v>190</v>
      </c>
      <c r="BV44" s="331" t="s">
        <v>190</v>
      </c>
      <c r="BW44" s="331" t="s">
        <v>190</v>
      </c>
      <c r="BX44" s="331" t="s">
        <v>190</v>
      </c>
      <c r="BY44" s="331" t="s">
        <v>190</v>
      </c>
      <c r="BZ44" s="331" t="s">
        <v>190</v>
      </c>
      <c r="CA44" s="331" t="s">
        <v>190</v>
      </c>
      <c r="CB44" s="331" t="s">
        <v>190</v>
      </c>
      <c r="CC44" s="331" t="s">
        <v>190</v>
      </c>
      <c r="CD44" s="331" t="s">
        <v>190</v>
      </c>
      <c r="CE44" s="331" t="s">
        <v>190</v>
      </c>
      <c r="CF44" s="331" t="s">
        <v>190</v>
      </c>
      <c r="CG44" s="331" t="s">
        <v>190</v>
      </c>
      <c r="CH44" s="331" t="s">
        <v>190</v>
      </c>
      <c r="CI44" s="331" t="s">
        <v>190</v>
      </c>
      <c r="CJ44" s="331" t="s">
        <v>190</v>
      </c>
      <c r="CK44" s="331" t="s">
        <v>428</v>
      </c>
      <c r="CL44" s="331" t="s">
        <v>428</v>
      </c>
      <c r="CM44" s="331" t="s">
        <v>428</v>
      </c>
      <c r="CN44" s="331" t="s">
        <v>190</v>
      </c>
      <c r="CO44" s="331" t="s">
        <v>190</v>
      </c>
      <c r="CP44" s="331" t="s">
        <v>190</v>
      </c>
      <c r="CQ44" s="331" t="s">
        <v>190</v>
      </c>
      <c r="CR44" s="331" t="s">
        <v>190</v>
      </c>
      <c r="CS44" s="331" t="s">
        <v>190</v>
      </c>
      <c r="CT44" s="331" t="s">
        <v>190</v>
      </c>
      <c r="CU44" s="331" t="s">
        <v>190</v>
      </c>
      <c r="CV44" s="331" t="s">
        <v>190</v>
      </c>
      <c r="CW44" s="331" t="s">
        <v>190</v>
      </c>
      <c r="CX44" s="331" t="s">
        <v>190</v>
      </c>
      <c r="CY44" s="331" t="s">
        <v>190</v>
      </c>
      <c r="CZ44" s="331" t="s">
        <v>190</v>
      </c>
      <c r="DA44" s="331" t="s">
        <v>190</v>
      </c>
      <c r="DB44" s="331" t="s">
        <v>190</v>
      </c>
      <c r="DC44" s="331" t="s">
        <v>190</v>
      </c>
      <c r="DD44" s="331" t="s">
        <v>190</v>
      </c>
      <c r="DE44" s="331" t="s">
        <v>190</v>
      </c>
      <c r="DF44" s="331" t="s">
        <v>190</v>
      </c>
      <c r="DG44" s="331" t="s">
        <v>190</v>
      </c>
      <c r="DH44" s="331" t="s">
        <v>190</v>
      </c>
      <c r="DI44" s="331" t="s">
        <v>190</v>
      </c>
      <c r="DJ44" s="331" t="s">
        <v>428</v>
      </c>
      <c r="DK44" s="331" t="s">
        <v>428</v>
      </c>
      <c r="DL44" s="331" t="s">
        <v>190</v>
      </c>
      <c r="DM44" s="331" t="s">
        <v>428</v>
      </c>
      <c r="DN44" s="331" t="s">
        <v>428</v>
      </c>
      <c r="DO44" s="331" t="s">
        <v>428</v>
      </c>
      <c r="DP44" s="331" t="s">
        <v>428</v>
      </c>
      <c r="DQ44" s="331" t="s">
        <v>428</v>
      </c>
      <c r="DR44" s="331" t="s">
        <v>428</v>
      </c>
      <c r="DS44" s="331" t="s">
        <v>428</v>
      </c>
      <c r="DT44" s="331" t="s">
        <v>428</v>
      </c>
      <c r="DU44" s="331" t="s">
        <v>428</v>
      </c>
      <c r="DV44" s="331" t="s">
        <v>428</v>
      </c>
      <c r="DW44" s="331" t="s">
        <v>428</v>
      </c>
      <c r="DX44" s="331" t="s">
        <v>428</v>
      </c>
      <c r="DY44" s="331" t="s">
        <v>428</v>
      </c>
      <c r="DZ44" s="331" t="s">
        <v>428</v>
      </c>
      <c r="EA44" s="331" t="s">
        <v>428</v>
      </c>
      <c r="EB44" s="331" t="s">
        <v>190</v>
      </c>
      <c r="EC44" s="331" t="s">
        <v>190</v>
      </c>
      <c r="ED44" s="331" t="s">
        <v>190</v>
      </c>
      <c r="EE44" s="331" t="s">
        <v>190</v>
      </c>
      <c r="EF44" s="331" t="s">
        <v>190</v>
      </c>
      <c r="EG44" s="331" t="s">
        <v>190</v>
      </c>
      <c r="EH44" s="331" t="s">
        <v>190</v>
      </c>
      <c r="EI44" s="331" t="s">
        <v>190</v>
      </c>
      <c r="EJ44" s="331" t="s">
        <v>190</v>
      </c>
      <c r="EK44" s="331" t="s">
        <v>190</v>
      </c>
      <c r="EL44" s="331" t="s">
        <v>190</v>
      </c>
      <c r="EM44" s="331" t="s">
        <v>190</v>
      </c>
      <c r="EN44" s="331" t="s">
        <v>190</v>
      </c>
      <c r="EO44" s="331" t="s">
        <v>190</v>
      </c>
      <c r="EP44" s="331" t="s">
        <v>190</v>
      </c>
      <c r="EQ44" s="331" t="s">
        <v>190</v>
      </c>
      <c r="ER44" s="331" t="s">
        <v>190</v>
      </c>
      <c r="ES44" s="331" t="s">
        <v>190</v>
      </c>
      <c r="ET44" s="331" t="s">
        <v>190</v>
      </c>
      <c r="EU44" s="331" t="s">
        <v>190</v>
      </c>
      <c r="EV44" s="331" t="s">
        <v>190</v>
      </c>
      <c r="EW44" s="331" t="s">
        <v>190</v>
      </c>
      <c r="EX44" s="331" t="s">
        <v>428</v>
      </c>
      <c r="EY44" s="331" t="s">
        <v>428</v>
      </c>
      <c r="EZ44" s="331" t="s">
        <v>428</v>
      </c>
      <c r="FA44" s="331" t="s">
        <v>428</v>
      </c>
      <c r="FB44" s="331" t="s">
        <v>428</v>
      </c>
      <c r="FC44" s="331" t="s">
        <v>428</v>
      </c>
      <c r="FD44" s="331" t="s">
        <v>428</v>
      </c>
      <c r="FE44" s="331" t="s">
        <v>190</v>
      </c>
      <c r="FF44" s="331" t="s">
        <v>428</v>
      </c>
      <c r="FG44" s="331" t="s">
        <v>429</v>
      </c>
      <c r="FH44" s="331" t="s">
        <v>428</v>
      </c>
      <c r="FI44" s="331" t="s">
        <v>190</v>
      </c>
      <c r="FJ44" s="331" t="s">
        <v>190</v>
      </c>
      <c r="FK44" s="331" t="s">
        <v>190</v>
      </c>
      <c r="FL44" s="331" t="s">
        <v>190</v>
      </c>
      <c r="FM44" s="331" t="s">
        <v>190</v>
      </c>
      <c r="FN44" s="331" t="s">
        <v>190</v>
      </c>
      <c r="FO44" s="331" t="s">
        <v>190</v>
      </c>
      <c r="FP44" s="331" t="s">
        <v>428</v>
      </c>
      <c r="FQ44" s="331" t="s">
        <v>190</v>
      </c>
      <c r="FR44" s="331" t="s">
        <v>190</v>
      </c>
      <c r="FS44" s="331" t="s">
        <v>190</v>
      </c>
      <c r="FT44" s="331" t="s">
        <v>190</v>
      </c>
      <c r="FU44" s="331" t="s">
        <v>190</v>
      </c>
      <c r="FV44" s="331" t="s">
        <v>190</v>
      </c>
      <c r="FW44" s="331" t="s">
        <v>190</v>
      </c>
      <c r="FX44" s="331" t="s">
        <v>190</v>
      </c>
      <c r="FY44" s="331" t="s">
        <v>190</v>
      </c>
      <c r="FZ44" s="331" t="s">
        <v>190</v>
      </c>
      <c r="GA44" s="331" t="s">
        <v>190</v>
      </c>
      <c r="GB44" s="331" t="s">
        <v>190</v>
      </c>
      <c r="GC44" s="331" t="s">
        <v>190</v>
      </c>
      <c r="GD44" s="331" t="s">
        <v>190</v>
      </c>
      <c r="GE44" s="331" t="s">
        <v>190</v>
      </c>
      <c r="GF44" s="331" t="s">
        <v>190</v>
      </c>
      <c r="GG44" s="331" t="s">
        <v>190</v>
      </c>
      <c r="GH44" s="331" t="s">
        <v>428</v>
      </c>
      <c r="GI44" s="331" t="s">
        <v>190</v>
      </c>
      <c r="GJ44" s="331" t="s">
        <v>190</v>
      </c>
      <c r="GK44" s="331" t="s">
        <v>190</v>
      </c>
      <c r="GL44" s="331" t="s">
        <v>190</v>
      </c>
      <c r="GM44" s="331" t="s">
        <v>428</v>
      </c>
      <c r="GN44" s="331" t="s">
        <v>428</v>
      </c>
      <c r="GO44" s="331" t="s">
        <v>190</v>
      </c>
      <c r="GP44" s="331" t="s">
        <v>190</v>
      </c>
      <c r="GQ44" s="331" t="s">
        <v>428</v>
      </c>
      <c r="GR44" s="331" t="s">
        <v>428</v>
      </c>
      <c r="GS44" s="331" t="s">
        <v>190</v>
      </c>
      <c r="GT44" s="331" t="s">
        <v>190</v>
      </c>
      <c r="GU44" s="331" t="s">
        <v>190</v>
      </c>
      <c r="GV44" s="331" t="s">
        <v>190</v>
      </c>
      <c r="GW44" s="331" t="s">
        <v>428</v>
      </c>
      <c r="GX44" s="331" t="s">
        <v>190</v>
      </c>
      <c r="GY44" s="331" t="s">
        <v>428</v>
      </c>
      <c r="GZ44" s="331" t="s">
        <v>190</v>
      </c>
      <c r="HA44" s="331" t="s">
        <v>190</v>
      </c>
      <c r="HB44" s="331" t="s">
        <v>190</v>
      </c>
      <c r="HC44" s="331" t="s">
        <v>428</v>
      </c>
      <c r="HD44" s="331" t="s">
        <v>190</v>
      </c>
      <c r="HE44" s="331" t="s">
        <v>190</v>
      </c>
      <c r="HF44" s="331" t="s">
        <v>428</v>
      </c>
      <c r="HG44" s="331" t="s">
        <v>190</v>
      </c>
      <c r="HH44" s="331" t="s">
        <v>428</v>
      </c>
      <c r="HI44" s="331" t="s">
        <v>428</v>
      </c>
      <c r="HJ44" s="331" t="s">
        <v>428</v>
      </c>
      <c r="HK44" s="331" t="s">
        <v>428</v>
      </c>
      <c r="HL44" s="331" t="s">
        <v>428</v>
      </c>
      <c r="HM44" s="331" t="s">
        <v>190</v>
      </c>
      <c r="HN44" s="331" t="s">
        <v>190</v>
      </c>
      <c r="HO44" s="331" t="s">
        <v>190</v>
      </c>
      <c r="HP44" s="331" t="s">
        <v>190</v>
      </c>
      <c r="HQ44" s="331" t="s">
        <v>190</v>
      </c>
      <c r="HR44" s="331" t="s">
        <v>190</v>
      </c>
      <c r="HS44" s="331" t="s">
        <v>190</v>
      </c>
      <c r="HT44" s="331" t="s">
        <v>190</v>
      </c>
      <c r="HU44" s="331" t="s">
        <v>190</v>
      </c>
      <c r="HV44" s="331" t="s">
        <v>190</v>
      </c>
      <c r="HW44" s="331" t="s">
        <v>190</v>
      </c>
      <c r="HX44" s="331" t="s">
        <v>190</v>
      </c>
      <c r="HY44" s="331" t="s">
        <v>190</v>
      </c>
      <c r="HZ44" s="331" t="s">
        <v>190</v>
      </c>
      <c r="IA44" s="331" t="s">
        <v>190</v>
      </c>
      <c r="IB44" s="331" t="s">
        <v>190</v>
      </c>
      <c r="IC44" s="331" t="s">
        <v>190</v>
      </c>
      <c r="ID44" s="331" t="s">
        <v>190</v>
      </c>
      <c r="IE44" s="331" t="s">
        <v>190</v>
      </c>
      <c r="IF44" s="331" t="s">
        <v>190</v>
      </c>
      <c r="IG44" s="331" t="s">
        <v>170</v>
      </c>
      <c r="IH44" s="331" t="s">
        <v>429</v>
      </c>
      <c r="II44" s="331" t="s">
        <v>169</v>
      </c>
      <c r="IJ44" s="331" t="s">
        <v>427</v>
      </c>
      <c r="IK44" s="331" t="s">
        <v>428</v>
      </c>
      <c r="IL44" s="331" t="s">
        <v>428</v>
      </c>
    </row>
    <row r="45" spans="1:246" x14ac:dyDescent="0.25">
      <c r="A45" s="334" t="str">
        <f>HYPERLINK("http://www.ofsted.gov.uk/inspection-reports/find-inspection-report/provider/ELS/110930 ","Ofsted School Webpage")</f>
        <v>Ofsted School Webpage</v>
      </c>
      <c r="B45" s="331">
        <v>110930</v>
      </c>
      <c r="C45" s="331">
        <v>8736017</v>
      </c>
      <c r="D45" s="331" t="s">
        <v>1393</v>
      </c>
      <c r="E45" s="331" t="s">
        <v>167</v>
      </c>
      <c r="F45" s="331" t="s">
        <v>451</v>
      </c>
      <c r="G45" s="331" t="s">
        <v>451</v>
      </c>
      <c r="H45" s="331" t="s">
        <v>772</v>
      </c>
      <c r="I45" s="331" t="s">
        <v>1394</v>
      </c>
      <c r="J45" s="331" t="s">
        <v>81</v>
      </c>
      <c r="K45" s="331" t="s">
        <v>80</v>
      </c>
      <c r="L45" s="331" t="s">
        <v>80</v>
      </c>
      <c r="M45" s="331" t="s">
        <v>78</v>
      </c>
      <c r="N45" s="331" t="s">
        <v>424</v>
      </c>
      <c r="O45" s="333">
        <v>10113569</v>
      </c>
      <c r="P45" s="332">
        <v>43788</v>
      </c>
      <c r="Q45" s="332">
        <v>43790</v>
      </c>
      <c r="R45" s="332">
        <v>43817</v>
      </c>
      <c r="S45" s="331" t="s">
        <v>425</v>
      </c>
      <c r="T45" s="331" t="s">
        <v>426</v>
      </c>
      <c r="U45" s="331">
        <v>1</v>
      </c>
      <c r="V45" s="331">
        <v>1</v>
      </c>
      <c r="W45" s="331">
        <v>1</v>
      </c>
      <c r="X45" s="331">
        <v>1</v>
      </c>
      <c r="Y45" s="331">
        <v>1</v>
      </c>
      <c r="Z45" s="331" t="s">
        <v>169</v>
      </c>
      <c r="AA45" s="331" t="s">
        <v>173</v>
      </c>
      <c r="AB45" s="331">
        <v>1</v>
      </c>
      <c r="AC45" s="331" t="s">
        <v>427</v>
      </c>
      <c r="AD45" s="331" t="s">
        <v>171</v>
      </c>
      <c r="AE45" s="331" t="s">
        <v>190</v>
      </c>
      <c r="AF45" s="331" t="s">
        <v>190</v>
      </c>
      <c r="AG45" s="331" t="s">
        <v>190</v>
      </c>
      <c r="AH45" s="331" t="s">
        <v>190</v>
      </c>
      <c r="AI45" s="331" t="s">
        <v>190</v>
      </c>
      <c r="AJ45" s="331" t="s">
        <v>190</v>
      </c>
      <c r="AK45" s="331" t="s">
        <v>190</v>
      </c>
      <c r="AL45" s="331" t="s">
        <v>190</v>
      </c>
      <c r="AM45" s="331" t="s">
        <v>190</v>
      </c>
      <c r="AN45" s="331" t="s">
        <v>190</v>
      </c>
      <c r="AO45" s="331" t="s">
        <v>190</v>
      </c>
      <c r="AP45" s="331" t="s">
        <v>190</v>
      </c>
      <c r="AQ45" s="331" t="s">
        <v>190</v>
      </c>
      <c r="AR45" s="331" t="s">
        <v>190</v>
      </c>
      <c r="AS45" s="331" t="s">
        <v>190</v>
      </c>
      <c r="AT45" s="331" t="s">
        <v>190</v>
      </c>
      <c r="AU45" s="331" t="s">
        <v>428</v>
      </c>
      <c r="AV45" s="331" t="s">
        <v>190</v>
      </c>
      <c r="AW45" s="331" t="s">
        <v>190</v>
      </c>
      <c r="AX45" s="331" t="s">
        <v>190</v>
      </c>
      <c r="AY45" s="331" t="s">
        <v>190</v>
      </c>
      <c r="AZ45" s="331" t="s">
        <v>190</v>
      </c>
      <c r="BA45" s="331" t="s">
        <v>190</v>
      </c>
      <c r="BB45" s="331" t="s">
        <v>190</v>
      </c>
      <c r="BC45" s="331" t="s">
        <v>190</v>
      </c>
      <c r="BD45" s="331" t="s">
        <v>190</v>
      </c>
      <c r="BE45" s="331" t="s">
        <v>190</v>
      </c>
      <c r="BF45" s="331" t="s">
        <v>190</v>
      </c>
      <c r="BG45" s="331" t="s">
        <v>190</v>
      </c>
      <c r="BH45" s="331" t="s">
        <v>190</v>
      </c>
      <c r="BI45" s="331" t="s">
        <v>190</v>
      </c>
      <c r="BJ45" s="331" t="s">
        <v>190</v>
      </c>
      <c r="BK45" s="331" t="s">
        <v>190</v>
      </c>
      <c r="BL45" s="331" t="s">
        <v>190</v>
      </c>
      <c r="BM45" s="331" t="s">
        <v>190</v>
      </c>
      <c r="BN45" s="331" t="s">
        <v>190</v>
      </c>
      <c r="BO45" s="331" t="s">
        <v>190</v>
      </c>
      <c r="BP45" s="331" t="s">
        <v>190</v>
      </c>
      <c r="BQ45" s="331" t="s">
        <v>190</v>
      </c>
      <c r="BR45" s="331" t="s">
        <v>190</v>
      </c>
      <c r="BS45" s="331" t="s">
        <v>190</v>
      </c>
      <c r="BT45" s="331" t="s">
        <v>190</v>
      </c>
      <c r="BU45" s="331" t="s">
        <v>190</v>
      </c>
      <c r="BV45" s="331" t="s">
        <v>190</v>
      </c>
      <c r="BW45" s="331" t="s">
        <v>190</v>
      </c>
      <c r="BX45" s="331" t="s">
        <v>190</v>
      </c>
      <c r="BY45" s="331" t="s">
        <v>190</v>
      </c>
      <c r="BZ45" s="331" t="s">
        <v>190</v>
      </c>
      <c r="CA45" s="331" t="s">
        <v>190</v>
      </c>
      <c r="CB45" s="331" t="s">
        <v>190</v>
      </c>
      <c r="CC45" s="331" t="s">
        <v>190</v>
      </c>
      <c r="CD45" s="331" t="s">
        <v>190</v>
      </c>
      <c r="CE45" s="331" t="s">
        <v>190</v>
      </c>
      <c r="CF45" s="331" t="s">
        <v>190</v>
      </c>
      <c r="CG45" s="331" t="s">
        <v>190</v>
      </c>
      <c r="CH45" s="331" t="s">
        <v>190</v>
      </c>
      <c r="CI45" s="331" t="s">
        <v>190</v>
      </c>
      <c r="CJ45" s="331" t="s">
        <v>190</v>
      </c>
      <c r="CK45" s="331" t="s">
        <v>428</v>
      </c>
      <c r="CL45" s="331" t="s">
        <v>428</v>
      </c>
      <c r="CM45" s="331" t="s">
        <v>428</v>
      </c>
      <c r="CN45" s="331" t="s">
        <v>190</v>
      </c>
      <c r="CO45" s="331" t="s">
        <v>190</v>
      </c>
      <c r="CP45" s="331" t="s">
        <v>190</v>
      </c>
      <c r="CQ45" s="331" t="s">
        <v>190</v>
      </c>
      <c r="CR45" s="331" t="s">
        <v>190</v>
      </c>
      <c r="CS45" s="331" t="s">
        <v>190</v>
      </c>
      <c r="CT45" s="331" t="s">
        <v>190</v>
      </c>
      <c r="CU45" s="331" t="s">
        <v>190</v>
      </c>
      <c r="CV45" s="331" t="s">
        <v>190</v>
      </c>
      <c r="CW45" s="331" t="s">
        <v>190</v>
      </c>
      <c r="CX45" s="331" t="s">
        <v>190</v>
      </c>
      <c r="CY45" s="331" t="s">
        <v>190</v>
      </c>
      <c r="CZ45" s="331" t="s">
        <v>190</v>
      </c>
      <c r="DA45" s="331" t="s">
        <v>190</v>
      </c>
      <c r="DB45" s="331" t="s">
        <v>190</v>
      </c>
      <c r="DC45" s="331" t="s">
        <v>190</v>
      </c>
      <c r="DD45" s="331" t="s">
        <v>190</v>
      </c>
      <c r="DE45" s="331" t="s">
        <v>190</v>
      </c>
      <c r="DF45" s="331" t="s">
        <v>190</v>
      </c>
      <c r="DG45" s="331" t="s">
        <v>190</v>
      </c>
      <c r="DH45" s="331" t="s">
        <v>190</v>
      </c>
      <c r="DI45" s="331" t="s">
        <v>190</v>
      </c>
      <c r="DJ45" s="331" t="s">
        <v>190</v>
      </c>
      <c r="DK45" s="331" t="s">
        <v>428</v>
      </c>
      <c r="DL45" s="331" t="s">
        <v>190</v>
      </c>
      <c r="DM45" s="331" t="s">
        <v>428</v>
      </c>
      <c r="DN45" s="331" t="s">
        <v>428</v>
      </c>
      <c r="DO45" s="331" t="s">
        <v>428</v>
      </c>
      <c r="DP45" s="331" t="s">
        <v>428</v>
      </c>
      <c r="DQ45" s="331" t="s">
        <v>428</v>
      </c>
      <c r="DR45" s="331" t="s">
        <v>428</v>
      </c>
      <c r="DS45" s="331" t="s">
        <v>428</v>
      </c>
      <c r="DT45" s="331" t="s">
        <v>428</v>
      </c>
      <c r="DU45" s="331" t="s">
        <v>428</v>
      </c>
      <c r="DV45" s="331" t="s">
        <v>428</v>
      </c>
      <c r="DW45" s="331" t="s">
        <v>428</v>
      </c>
      <c r="DX45" s="331" t="s">
        <v>428</v>
      </c>
      <c r="DY45" s="331" t="s">
        <v>428</v>
      </c>
      <c r="DZ45" s="331" t="s">
        <v>428</v>
      </c>
      <c r="EA45" s="331" t="s">
        <v>428</v>
      </c>
      <c r="EB45" s="331" t="s">
        <v>190</v>
      </c>
      <c r="EC45" s="331" t="s">
        <v>190</v>
      </c>
      <c r="ED45" s="331" t="s">
        <v>190</v>
      </c>
      <c r="EE45" s="331" t="s">
        <v>190</v>
      </c>
      <c r="EF45" s="331" t="s">
        <v>190</v>
      </c>
      <c r="EG45" s="331" t="s">
        <v>190</v>
      </c>
      <c r="EH45" s="331" t="s">
        <v>190</v>
      </c>
      <c r="EI45" s="331" t="s">
        <v>190</v>
      </c>
      <c r="EJ45" s="331" t="s">
        <v>190</v>
      </c>
      <c r="EK45" s="331" t="s">
        <v>190</v>
      </c>
      <c r="EL45" s="331" t="s">
        <v>190</v>
      </c>
      <c r="EM45" s="331" t="s">
        <v>190</v>
      </c>
      <c r="EN45" s="331" t="s">
        <v>190</v>
      </c>
      <c r="EO45" s="331" t="s">
        <v>190</v>
      </c>
      <c r="EP45" s="331" t="s">
        <v>190</v>
      </c>
      <c r="EQ45" s="331" t="s">
        <v>190</v>
      </c>
      <c r="ER45" s="331" t="s">
        <v>190</v>
      </c>
      <c r="ES45" s="331" t="s">
        <v>190</v>
      </c>
      <c r="ET45" s="331" t="s">
        <v>190</v>
      </c>
      <c r="EU45" s="331" t="s">
        <v>190</v>
      </c>
      <c r="EV45" s="331" t="s">
        <v>190</v>
      </c>
      <c r="EW45" s="331" t="s">
        <v>190</v>
      </c>
      <c r="EX45" s="331" t="s">
        <v>190</v>
      </c>
      <c r="EY45" s="331" t="s">
        <v>428</v>
      </c>
      <c r="EZ45" s="331" t="s">
        <v>428</v>
      </c>
      <c r="FA45" s="331" t="s">
        <v>428</v>
      </c>
      <c r="FB45" s="331" t="s">
        <v>428</v>
      </c>
      <c r="FC45" s="331" t="s">
        <v>428</v>
      </c>
      <c r="FD45" s="331" t="s">
        <v>428</v>
      </c>
      <c r="FE45" s="331" t="s">
        <v>190</v>
      </c>
      <c r="FF45" s="331" t="s">
        <v>190</v>
      </c>
      <c r="FG45" s="331" t="s">
        <v>190</v>
      </c>
      <c r="FH45" s="331" t="s">
        <v>190</v>
      </c>
      <c r="FI45" s="331" t="s">
        <v>190</v>
      </c>
      <c r="FJ45" s="331" t="s">
        <v>190</v>
      </c>
      <c r="FK45" s="331" t="s">
        <v>190</v>
      </c>
      <c r="FL45" s="331" t="s">
        <v>190</v>
      </c>
      <c r="FM45" s="331" t="s">
        <v>190</v>
      </c>
      <c r="FN45" s="331" t="s">
        <v>428</v>
      </c>
      <c r="FO45" s="331" t="s">
        <v>190</v>
      </c>
      <c r="FP45" s="331" t="s">
        <v>428</v>
      </c>
      <c r="FQ45" s="331" t="s">
        <v>190</v>
      </c>
      <c r="FR45" s="331" t="s">
        <v>190</v>
      </c>
      <c r="FS45" s="331" t="s">
        <v>190</v>
      </c>
      <c r="FT45" s="331" t="s">
        <v>190</v>
      </c>
      <c r="FU45" s="331" t="s">
        <v>190</v>
      </c>
      <c r="FV45" s="331" t="s">
        <v>190</v>
      </c>
      <c r="FW45" s="331" t="s">
        <v>190</v>
      </c>
      <c r="FX45" s="331" t="s">
        <v>190</v>
      </c>
      <c r="FY45" s="331" t="s">
        <v>190</v>
      </c>
      <c r="FZ45" s="331" t="s">
        <v>190</v>
      </c>
      <c r="GA45" s="331" t="s">
        <v>190</v>
      </c>
      <c r="GB45" s="331" t="s">
        <v>190</v>
      </c>
      <c r="GC45" s="331" t="s">
        <v>190</v>
      </c>
      <c r="GD45" s="331" t="s">
        <v>190</v>
      </c>
      <c r="GE45" s="331" t="s">
        <v>190</v>
      </c>
      <c r="GF45" s="331" t="s">
        <v>190</v>
      </c>
      <c r="GG45" s="331" t="s">
        <v>190</v>
      </c>
      <c r="GH45" s="331" t="s">
        <v>428</v>
      </c>
      <c r="GI45" s="331" t="s">
        <v>190</v>
      </c>
      <c r="GJ45" s="331" t="s">
        <v>190</v>
      </c>
      <c r="GK45" s="331" t="s">
        <v>190</v>
      </c>
      <c r="GL45" s="331" t="s">
        <v>190</v>
      </c>
      <c r="GM45" s="331" t="s">
        <v>190</v>
      </c>
      <c r="GN45" s="331" t="s">
        <v>190</v>
      </c>
      <c r="GO45" s="331" t="s">
        <v>190</v>
      </c>
      <c r="GP45" s="331" t="s">
        <v>190</v>
      </c>
      <c r="GQ45" s="331" t="s">
        <v>428</v>
      </c>
      <c r="GR45" s="331" t="s">
        <v>190</v>
      </c>
      <c r="GS45" s="331" t="s">
        <v>190</v>
      </c>
      <c r="GT45" s="331" t="s">
        <v>190</v>
      </c>
      <c r="GU45" s="331" t="s">
        <v>190</v>
      </c>
      <c r="GV45" s="331" t="s">
        <v>190</v>
      </c>
      <c r="GW45" s="331" t="s">
        <v>190</v>
      </c>
      <c r="GX45" s="331" t="s">
        <v>190</v>
      </c>
      <c r="GY45" s="331" t="s">
        <v>190</v>
      </c>
      <c r="GZ45" s="331" t="s">
        <v>190</v>
      </c>
      <c r="HA45" s="331" t="s">
        <v>190</v>
      </c>
      <c r="HB45" s="331" t="s">
        <v>190</v>
      </c>
      <c r="HC45" s="331" t="s">
        <v>190</v>
      </c>
      <c r="HD45" s="331" t="s">
        <v>190</v>
      </c>
      <c r="HE45" s="331" t="s">
        <v>190</v>
      </c>
      <c r="HF45" s="331" t="s">
        <v>190</v>
      </c>
      <c r="HG45" s="331" t="s">
        <v>190</v>
      </c>
      <c r="HH45" s="331" t="s">
        <v>190</v>
      </c>
      <c r="HI45" s="331" t="s">
        <v>428</v>
      </c>
      <c r="HJ45" s="331" t="s">
        <v>428</v>
      </c>
      <c r="HK45" s="331" t="s">
        <v>428</v>
      </c>
      <c r="HL45" s="331" t="s">
        <v>428</v>
      </c>
      <c r="HM45" s="331" t="s">
        <v>190</v>
      </c>
      <c r="HN45" s="331" t="s">
        <v>190</v>
      </c>
      <c r="HO45" s="331" t="s">
        <v>190</v>
      </c>
      <c r="HP45" s="331" t="s">
        <v>190</v>
      </c>
      <c r="HQ45" s="331" t="s">
        <v>190</v>
      </c>
      <c r="HR45" s="331" t="s">
        <v>190</v>
      </c>
      <c r="HS45" s="331" t="s">
        <v>190</v>
      </c>
      <c r="HT45" s="331" t="s">
        <v>190</v>
      </c>
      <c r="HU45" s="331" t="s">
        <v>190</v>
      </c>
      <c r="HV45" s="331" t="s">
        <v>190</v>
      </c>
      <c r="HW45" s="331" t="s">
        <v>190</v>
      </c>
      <c r="HX45" s="331" t="s">
        <v>190</v>
      </c>
      <c r="HY45" s="331" t="s">
        <v>190</v>
      </c>
      <c r="HZ45" s="331" t="s">
        <v>190</v>
      </c>
      <c r="IA45" s="331" t="s">
        <v>190</v>
      </c>
      <c r="IB45" s="331" t="s">
        <v>190</v>
      </c>
      <c r="IC45" s="331" t="s">
        <v>190</v>
      </c>
      <c r="ID45" s="331" t="s">
        <v>190</v>
      </c>
      <c r="IE45" s="331" t="s">
        <v>190</v>
      </c>
      <c r="IF45" s="331" t="s">
        <v>190</v>
      </c>
      <c r="IG45" s="331" t="s">
        <v>170</v>
      </c>
      <c r="IH45" s="331" t="s">
        <v>429</v>
      </c>
      <c r="II45" s="331" t="s">
        <v>169</v>
      </c>
      <c r="IJ45" s="331" t="s">
        <v>427</v>
      </c>
      <c r="IK45" s="331" t="s">
        <v>428</v>
      </c>
      <c r="IL45" s="331" t="s">
        <v>428</v>
      </c>
    </row>
    <row r="46" spans="1:246" x14ac:dyDescent="0.25">
      <c r="A46" s="334" t="str">
        <f>HYPERLINK("http://www.ofsted.gov.uk/inspection-reports/find-inspection-report/provider/ELS/135773 ","Ofsted School Webpage")</f>
        <v>Ofsted School Webpage</v>
      </c>
      <c r="B46" s="331">
        <v>135773</v>
      </c>
      <c r="C46" s="331">
        <v>8786061</v>
      </c>
      <c r="D46" s="331" t="s">
        <v>1173</v>
      </c>
      <c r="E46" s="331" t="s">
        <v>168</v>
      </c>
      <c r="F46" s="331" t="s">
        <v>422</v>
      </c>
      <c r="G46" s="331" t="s">
        <v>422</v>
      </c>
      <c r="H46" s="331" t="s">
        <v>663</v>
      </c>
      <c r="I46" s="331" t="s">
        <v>1174</v>
      </c>
      <c r="J46" s="331" t="s">
        <v>81</v>
      </c>
      <c r="K46" s="331" t="s">
        <v>81</v>
      </c>
      <c r="L46" s="331" t="s">
        <v>81</v>
      </c>
      <c r="M46" s="331" t="s">
        <v>78</v>
      </c>
      <c r="N46" s="331" t="s">
        <v>424</v>
      </c>
      <c r="O46" s="333">
        <v>10090666</v>
      </c>
      <c r="P46" s="332">
        <v>43788</v>
      </c>
      <c r="Q46" s="332">
        <v>43790</v>
      </c>
      <c r="R46" s="332">
        <v>43815</v>
      </c>
      <c r="S46" s="331" t="s">
        <v>425</v>
      </c>
      <c r="T46" s="331" t="s">
        <v>426</v>
      </c>
      <c r="U46" s="331">
        <v>2</v>
      </c>
      <c r="V46" s="331">
        <v>2</v>
      </c>
      <c r="W46" s="331">
        <v>2</v>
      </c>
      <c r="X46" s="331">
        <v>2</v>
      </c>
      <c r="Y46" s="331">
        <v>2</v>
      </c>
      <c r="Z46" s="331" t="s">
        <v>169</v>
      </c>
      <c r="AA46" s="331" t="s">
        <v>173</v>
      </c>
      <c r="AB46" s="331" t="s">
        <v>173</v>
      </c>
      <c r="AC46" s="331" t="s">
        <v>427</v>
      </c>
      <c r="AD46" s="331" t="s">
        <v>171</v>
      </c>
      <c r="AE46" s="331" t="s">
        <v>190</v>
      </c>
      <c r="AF46" s="331" t="s">
        <v>190</v>
      </c>
      <c r="AG46" s="331" t="s">
        <v>190</v>
      </c>
      <c r="AH46" s="331" t="s">
        <v>190</v>
      </c>
      <c r="AI46" s="331" t="s">
        <v>190</v>
      </c>
      <c r="AJ46" s="331" t="s">
        <v>190</v>
      </c>
      <c r="AK46" s="331" t="s">
        <v>190</v>
      </c>
      <c r="AL46" s="331" t="s">
        <v>190</v>
      </c>
      <c r="AM46" s="331" t="s">
        <v>190</v>
      </c>
      <c r="AN46" s="331" t="s">
        <v>190</v>
      </c>
      <c r="AO46" s="331" t="s">
        <v>190</v>
      </c>
      <c r="AP46" s="331" t="s">
        <v>190</v>
      </c>
      <c r="AQ46" s="331" t="s">
        <v>190</v>
      </c>
      <c r="AR46" s="331" t="s">
        <v>190</v>
      </c>
      <c r="AS46" s="331" t="s">
        <v>190</v>
      </c>
      <c r="AT46" s="331" t="s">
        <v>190</v>
      </c>
      <c r="AU46" s="331" t="s">
        <v>190</v>
      </c>
      <c r="AV46" s="331" t="s">
        <v>190</v>
      </c>
      <c r="AW46" s="331" t="s">
        <v>190</v>
      </c>
      <c r="AX46" s="331" t="s">
        <v>190</v>
      </c>
      <c r="AY46" s="331" t="s">
        <v>190</v>
      </c>
      <c r="AZ46" s="331" t="s">
        <v>190</v>
      </c>
      <c r="BA46" s="331" t="s">
        <v>190</v>
      </c>
      <c r="BB46" s="331" t="s">
        <v>190</v>
      </c>
      <c r="BC46" s="331" t="s">
        <v>190</v>
      </c>
      <c r="BD46" s="331" t="s">
        <v>190</v>
      </c>
      <c r="BE46" s="331" t="s">
        <v>190</v>
      </c>
      <c r="BF46" s="331" t="s">
        <v>190</v>
      </c>
      <c r="BG46" s="331" t="s">
        <v>190</v>
      </c>
      <c r="BH46" s="331" t="s">
        <v>190</v>
      </c>
      <c r="BI46" s="331" t="s">
        <v>190</v>
      </c>
      <c r="BJ46" s="331" t="s">
        <v>190</v>
      </c>
      <c r="BK46" s="331" t="s">
        <v>190</v>
      </c>
      <c r="BL46" s="331" t="s">
        <v>190</v>
      </c>
      <c r="BM46" s="331" t="s">
        <v>190</v>
      </c>
      <c r="BN46" s="331" t="s">
        <v>190</v>
      </c>
      <c r="BO46" s="331" t="s">
        <v>190</v>
      </c>
      <c r="BP46" s="331" t="s">
        <v>190</v>
      </c>
      <c r="BQ46" s="331" t="s">
        <v>190</v>
      </c>
      <c r="BR46" s="331" t="s">
        <v>190</v>
      </c>
      <c r="BS46" s="331" t="s">
        <v>190</v>
      </c>
      <c r="BT46" s="331" t="s">
        <v>190</v>
      </c>
      <c r="BU46" s="331" t="s">
        <v>190</v>
      </c>
      <c r="BV46" s="331" t="s">
        <v>190</v>
      </c>
      <c r="BW46" s="331" t="s">
        <v>190</v>
      </c>
      <c r="BX46" s="331" t="s">
        <v>190</v>
      </c>
      <c r="BY46" s="331" t="s">
        <v>190</v>
      </c>
      <c r="BZ46" s="331" t="s">
        <v>190</v>
      </c>
      <c r="CA46" s="331" t="s">
        <v>190</v>
      </c>
      <c r="CB46" s="331" t="s">
        <v>190</v>
      </c>
      <c r="CC46" s="331" t="s">
        <v>190</v>
      </c>
      <c r="CD46" s="331" t="s">
        <v>190</v>
      </c>
      <c r="CE46" s="331" t="s">
        <v>190</v>
      </c>
      <c r="CF46" s="331" t="s">
        <v>190</v>
      </c>
      <c r="CG46" s="331" t="s">
        <v>190</v>
      </c>
      <c r="CH46" s="331" t="s">
        <v>190</v>
      </c>
      <c r="CI46" s="331" t="s">
        <v>190</v>
      </c>
      <c r="CJ46" s="331" t="s">
        <v>190</v>
      </c>
      <c r="CK46" s="331" t="s">
        <v>428</v>
      </c>
      <c r="CL46" s="331" t="s">
        <v>428</v>
      </c>
      <c r="CM46" s="331" t="s">
        <v>428</v>
      </c>
      <c r="CN46" s="331" t="s">
        <v>190</v>
      </c>
      <c r="CO46" s="331" t="s">
        <v>190</v>
      </c>
      <c r="CP46" s="331" t="s">
        <v>190</v>
      </c>
      <c r="CQ46" s="331" t="s">
        <v>190</v>
      </c>
      <c r="CR46" s="331" t="s">
        <v>190</v>
      </c>
      <c r="CS46" s="331" t="s">
        <v>190</v>
      </c>
      <c r="CT46" s="331" t="s">
        <v>190</v>
      </c>
      <c r="CU46" s="331" t="s">
        <v>190</v>
      </c>
      <c r="CV46" s="331" t="s">
        <v>190</v>
      </c>
      <c r="CW46" s="331" t="s">
        <v>190</v>
      </c>
      <c r="CX46" s="331" t="s">
        <v>190</v>
      </c>
      <c r="CY46" s="331" t="s">
        <v>190</v>
      </c>
      <c r="CZ46" s="331" t="s">
        <v>190</v>
      </c>
      <c r="DA46" s="331" t="s">
        <v>190</v>
      </c>
      <c r="DB46" s="331" t="s">
        <v>190</v>
      </c>
      <c r="DC46" s="331" t="s">
        <v>190</v>
      </c>
      <c r="DD46" s="331" t="s">
        <v>190</v>
      </c>
      <c r="DE46" s="331" t="s">
        <v>190</v>
      </c>
      <c r="DF46" s="331" t="s">
        <v>190</v>
      </c>
      <c r="DG46" s="331" t="s">
        <v>190</v>
      </c>
      <c r="DH46" s="331" t="s">
        <v>190</v>
      </c>
      <c r="DI46" s="331" t="s">
        <v>190</v>
      </c>
      <c r="DJ46" s="331" t="s">
        <v>190</v>
      </c>
      <c r="DK46" s="331" t="s">
        <v>428</v>
      </c>
      <c r="DL46" s="331" t="s">
        <v>190</v>
      </c>
      <c r="DM46" s="331" t="s">
        <v>190</v>
      </c>
      <c r="DN46" s="331" t="s">
        <v>190</v>
      </c>
      <c r="DO46" s="331" t="s">
        <v>190</v>
      </c>
      <c r="DP46" s="331" t="s">
        <v>190</v>
      </c>
      <c r="DQ46" s="331" t="s">
        <v>190</v>
      </c>
      <c r="DR46" s="331" t="s">
        <v>190</v>
      </c>
      <c r="DS46" s="331" t="s">
        <v>190</v>
      </c>
      <c r="DT46" s="331" t="s">
        <v>190</v>
      </c>
      <c r="DU46" s="331" t="s">
        <v>190</v>
      </c>
      <c r="DV46" s="331" t="s">
        <v>190</v>
      </c>
      <c r="DW46" s="331" t="s">
        <v>190</v>
      </c>
      <c r="DX46" s="331" t="s">
        <v>190</v>
      </c>
      <c r="DY46" s="331" t="s">
        <v>190</v>
      </c>
      <c r="DZ46" s="331" t="s">
        <v>428</v>
      </c>
      <c r="EA46" s="331" t="s">
        <v>190</v>
      </c>
      <c r="EB46" s="331" t="s">
        <v>190</v>
      </c>
      <c r="EC46" s="331" t="s">
        <v>190</v>
      </c>
      <c r="ED46" s="331" t="s">
        <v>190</v>
      </c>
      <c r="EE46" s="331" t="s">
        <v>190</v>
      </c>
      <c r="EF46" s="331" t="s">
        <v>190</v>
      </c>
      <c r="EG46" s="331" t="s">
        <v>190</v>
      </c>
      <c r="EH46" s="331" t="s">
        <v>190</v>
      </c>
      <c r="EI46" s="331" t="s">
        <v>190</v>
      </c>
      <c r="EJ46" s="331" t="s">
        <v>190</v>
      </c>
      <c r="EK46" s="331" t="s">
        <v>190</v>
      </c>
      <c r="EL46" s="331" t="s">
        <v>190</v>
      </c>
      <c r="EM46" s="331" t="s">
        <v>190</v>
      </c>
      <c r="EN46" s="331" t="s">
        <v>190</v>
      </c>
      <c r="EO46" s="331" t="s">
        <v>190</v>
      </c>
      <c r="EP46" s="331" t="s">
        <v>190</v>
      </c>
      <c r="EQ46" s="331" t="s">
        <v>190</v>
      </c>
      <c r="ER46" s="331" t="s">
        <v>190</v>
      </c>
      <c r="ES46" s="331" t="s">
        <v>190</v>
      </c>
      <c r="ET46" s="331" t="s">
        <v>190</v>
      </c>
      <c r="EU46" s="331" t="s">
        <v>190</v>
      </c>
      <c r="EV46" s="331" t="s">
        <v>190</v>
      </c>
      <c r="EW46" s="331" t="s">
        <v>190</v>
      </c>
      <c r="EX46" s="331" t="s">
        <v>190</v>
      </c>
      <c r="EY46" s="331" t="s">
        <v>190</v>
      </c>
      <c r="EZ46" s="331" t="s">
        <v>190</v>
      </c>
      <c r="FA46" s="331" t="s">
        <v>190</v>
      </c>
      <c r="FB46" s="331" t="s">
        <v>190</v>
      </c>
      <c r="FC46" s="331" t="s">
        <v>190</v>
      </c>
      <c r="FD46" s="331" t="s">
        <v>190</v>
      </c>
      <c r="FE46" s="331" t="s">
        <v>190</v>
      </c>
      <c r="FF46" s="331" t="s">
        <v>190</v>
      </c>
      <c r="FG46" s="331" t="s">
        <v>190</v>
      </c>
      <c r="FH46" s="331" t="s">
        <v>190</v>
      </c>
      <c r="FI46" s="331" t="s">
        <v>190</v>
      </c>
      <c r="FJ46" s="331" t="s">
        <v>190</v>
      </c>
      <c r="FK46" s="331" t="s">
        <v>190</v>
      </c>
      <c r="FL46" s="331" t="s">
        <v>190</v>
      </c>
      <c r="FM46" s="331" t="s">
        <v>190</v>
      </c>
      <c r="FN46" s="331" t="s">
        <v>190</v>
      </c>
      <c r="FO46" s="331" t="s">
        <v>190</v>
      </c>
      <c r="FP46" s="331" t="s">
        <v>190</v>
      </c>
      <c r="FQ46" s="331" t="s">
        <v>190</v>
      </c>
      <c r="FR46" s="331" t="s">
        <v>190</v>
      </c>
      <c r="FS46" s="331" t="s">
        <v>190</v>
      </c>
      <c r="FT46" s="331" t="s">
        <v>190</v>
      </c>
      <c r="FU46" s="331" t="s">
        <v>190</v>
      </c>
      <c r="FV46" s="331" t="s">
        <v>190</v>
      </c>
      <c r="FW46" s="331" t="s">
        <v>190</v>
      </c>
      <c r="FX46" s="331" t="s">
        <v>190</v>
      </c>
      <c r="FY46" s="331" t="s">
        <v>190</v>
      </c>
      <c r="FZ46" s="331" t="s">
        <v>190</v>
      </c>
      <c r="GA46" s="331" t="s">
        <v>190</v>
      </c>
      <c r="GB46" s="331" t="s">
        <v>190</v>
      </c>
      <c r="GC46" s="331" t="s">
        <v>190</v>
      </c>
      <c r="GD46" s="331" t="s">
        <v>190</v>
      </c>
      <c r="GE46" s="331" t="s">
        <v>190</v>
      </c>
      <c r="GF46" s="331" t="s">
        <v>190</v>
      </c>
      <c r="GG46" s="331" t="s">
        <v>190</v>
      </c>
      <c r="GH46" s="331" t="s">
        <v>428</v>
      </c>
      <c r="GI46" s="331" t="s">
        <v>190</v>
      </c>
      <c r="GJ46" s="331" t="s">
        <v>190</v>
      </c>
      <c r="GK46" s="331" t="s">
        <v>190</v>
      </c>
      <c r="GL46" s="331" t="s">
        <v>190</v>
      </c>
      <c r="GM46" s="331" t="s">
        <v>190</v>
      </c>
      <c r="GN46" s="331" t="s">
        <v>190</v>
      </c>
      <c r="GO46" s="331" t="s">
        <v>190</v>
      </c>
      <c r="GP46" s="331" t="s">
        <v>190</v>
      </c>
      <c r="GQ46" s="331" t="s">
        <v>190</v>
      </c>
      <c r="GR46" s="331" t="s">
        <v>190</v>
      </c>
      <c r="GS46" s="331" t="s">
        <v>190</v>
      </c>
      <c r="GT46" s="331" t="s">
        <v>190</v>
      </c>
      <c r="GU46" s="331" t="s">
        <v>190</v>
      </c>
      <c r="GV46" s="331" t="s">
        <v>190</v>
      </c>
      <c r="GW46" s="331" t="s">
        <v>190</v>
      </c>
      <c r="GX46" s="331" t="s">
        <v>190</v>
      </c>
      <c r="GY46" s="331" t="s">
        <v>190</v>
      </c>
      <c r="GZ46" s="331" t="s">
        <v>190</v>
      </c>
      <c r="HA46" s="331" t="s">
        <v>190</v>
      </c>
      <c r="HB46" s="331" t="s">
        <v>190</v>
      </c>
      <c r="HC46" s="331" t="s">
        <v>190</v>
      </c>
      <c r="HD46" s="331" t="s">
        <v>190</v>
      </c>
      <c r="HE46" s="331" t="s">
        <v>190</v>
      </c>
      <c r="HF46" s="331" t="s">
        <v>190</v>
      </c>
      <c r="HG46" s="331" t="s">
        <v>190</v>
      </c>
      <c r="HH46" s="331" t="s">
        <v>190</v>
      </c>
      <c r="HI46" s="331" t="s">
        <v>190</v>
      </c>
      <c r="HJ46" s="331" t="s">
        <v>190</v>
      </c>
      <c r="HK46" s="331" t="s">
        <v>190</v>
      </c>
      <c r="HL46" s="331" t="s">
        <v>190</v>
      </c>
      <c r="HM46" s="331" t="s">
        <v>190</v>
      </c>
      <c r="HN46" s="331" t="s">
        <v>190</v>
      </c>
      <c r="HO46" s="331" t="s">
        <v>190</v>
      </c>
      <c r="HP46" s="331" t="s">
        <v>190</v>
      </c>
      <c r="HQ46" s="331" t="s">
        <v>190</v>
      </c>
      <c r="HR46" s="331" t="s">
        <v>190</v>
      </c>
      <c r="HS46" s="331" t="s">
        <v>190</v>
      </c>
      <c r="HT46" s="331" t="s">
        <v>190</v>
      </c>
      <c r="HU46" s="331" t="s">
        <v>190</v>
      </c>
      <c r="HV46" s="331" t="s">
        <v>190</v>
      </c>
      <c r="HW46" s="331" t="s">
        <v>190</v>
      </c>
      <c r="HX46" s="331" t="s">
        <v>190</v>
      </c>
      <c r="HY46" s="331" t="s">
        <v>190</v>
      </c>
      <c r="HZ46" s="331" t="s">
        <v>190</v>
      </c>
      <c r="IA46" s="331" t="s">
        <v>190</v>
      </c>
      <c r="IB46" s="331" t="s">
        <v>190</v>
      </c>
      <c r="IC46" s="331" t="s">
        <v>190</v>
      </c>
      <c r="ID46" s="331" t="s">
        <v>190</v>
      </c>
      <c r="IE46" s="331" t="s">
        <v>190</v>
      </c>
      <c r="IF46" s="331" t="s">
        <v>190</v>
      </c>
      <c r="IG46" s="331" t="s">
        <v>170</v>
      </c>
      <c r="IH46" s="331" t="s">
        <v>429</v>
      </c>
      <c r="II46" s="331" t="s">
        <v>169</v>
      </c>
      <c r="IJ46" s="331" t="s">
        <v>427</v>
      </c>
      <c r="IK46" s="331" t="s">
        <v>428</v>
      </c>
      <c r="IL46" s="331" t="s">
        <v>428</v>
      </c>
    </row>
    <row r="47" spans="1:246" x14ac:dyDescent="0.25">
      <c r="A47" s="330" t="str">
        <f>HYPERLINK("http://www.ofsted.gov.uk/inspection-reports/find-inspection-report/provider/ELS/131611 ","Ofsted School Webpage")</f>
        <v>Ofsted School Webpage</v>
      </c>
      <c r="B47" s="331">
        <v>131611</v>
      </c>
      <c r="C47" s="331">
        <v>8866079</v>
      </c>
      <c r="D47" s="331" t="s">
        <v>1678</v>
      </c>
      <c r="E47" s="331" t="s">
        <v>168</v>
      </c>
      <c r="F47" s="331" t="s">
        <v>514</v>
      </c>
      <c r="G47" s="331" t="s">
        <v>514</v>
      </c>
      <c r="H47" s="331" t="s">
        <v>614</v>
      </c>
      <c r="I47" s="331" t="s">
        <v>1679</v>
      </c>
      <c r="J47" s="331" t="s">
        <v>81</v>
      </c>
      <c r="K47" s="331" t="s">
        <v>81</v>
      </c>
      <c r="L47" s="331" t="s">
        <v>81</v>
      </c>
      <c r="M47" s="331" t="s">
        <v>78</v>
      </c>
      <c r="N47" s="331" t="s">
        <v>424</v>
      </c>
      <c r="O47" s="333">
        <v>10103846</v>
      </c>
      <c r="P47" s="332">
        <v>43788</v>
      </c>
      <c r="Q47" s="332">
        <v>43790</v>
      </c>
      <c r="R47" s="332">
        <v>43815</v>
      </c>
      <c r="S47" s="331" t="s">
        <v>425</v>
      </c>
      <c r="T47" s="331" t="s">
        <v>426</v>
      </c>
      <c r="U47" s="331">
        <v>1</v>
      </c>
      <c r="V47" s="331">
        <v>1</v>
      </c>
      <c r="W47" s="331">
        <v>1</v>
      </c>
      <c r="X47" s="331">
        <v>1</v>
      </c>
      <c r="Y47" s="331">
        <v>1</v>
      </c>
      <c r="Z47" s="331" t="s">
        <v>169</v>
      </c>
      <c r="AA47" s="331" t="s">
        <v>173</v>
      </c>
      <c r="AB47" s="331">
        <v>1</v>
      </c>
      <c r="AC47" s="331" t="s">
        <v>427</v>
      </c>
      <c r="AD47" s="331" t="s">
        <v>171</v>
      </c>
      <c r="AE47" s="331" t="s">
        <v>190</v>
      </c>
      <c r="AF47" s="331" t="s">
        <v>190</v>
      </c>
      <c r="AG47" s="331" t="s">
        <v>190</v>
      </c>
      <c r="AH47" s="331" t="s">
        <v>190</v>
      </c>
      <c r="AI47" s="331" t="s">
        <v>190</v>
      </c>
      <c r="AJ47" s="331" t="s">
        <v>190</v>
      </c>
      <c r="AK47" s="331" t="s">
        <v>190</v>
      </c>
      <c r="AL47" s="331" t="s">
        <v>190</v>
      </c>
      <c r="AM47" s="331" t="s">
        <v>190</v>
      </c>
      <c r="AN47" s="331" t="s">
        <v>190</v>
      </c>
      <c r="AO47" s="331" t="s">
        <v>190</v>
      </c>
      <c r="AP47" s="331" t="s">
        <v>190</v>
      </c>
      <c r="AQ47" s="331" t="s">
        <v>190</v>
      </c>
      <c r="AR47" s="331" t="s">
        <v>190</v>
      </c>
      <c r="AS47" s="331" t="s">
        <v>190</v>
      </c>
      <c r="AT47" s="331" t="s">
        <v>190</v>
      </c>
      <c r="AU47" s="331" t="s">
        <v>428</v>
      </c>
      <c r="AV47" s="331" t="s">
        <v>190</v>
      </c>
      <c r="AW47" s="331" t="s">
        <v>190</v>
      </c>
      <c r="AX47" s="331" t="s">
        <v>190</v>
      </c>
      <c r="AY47" s="331" t="s">
        <v>190</v>
      </c>
      <c r="AZ47" s="331" t="s">
        <v>190</v>
      </c>
      <c r="BA47" s="331" t="s">
        <v>190</v>
      </c>
      <c r="BB47" s="331" t="s">
        <v>190</v>
      </c>
      <c r="BC47" s="331" t="s">
        <v>428</v>
      </c>
      <c r="BD47" s="331" t="s">
        <v>190</v>
      </c>
      <c r="BE47" s="331" t="s">
        <v>190</v>
      </c>
      <c r="BF47" s="331" t="s">
        <v>190</v>
      </c>
      <c r="BG47" s="331" t="s">
        <v>190</v>
      </c>
      <c r="BH47" s="331" t="s">
        <v>190</v>
      </c>
      <c r="BI47" s="331" t="s">
        <v>190</v>
      </c>
      <c r="BJ47" s="331" t="s">
        <v>190</v>
      </c>
      <c r="BK47" s="331" t="s">
        <v>190</v>
      </c>
      <c r="BL47" s="331" t="s">
        <v>190</v>
      </c>
      <c r="BM47" s="331" t="s">
        <v>190</v>
      </c>
      <c r="BN47" s="331" t="s">
        <v>190</v>
      </c>
      <c r="BO47" s="331" t="s">
        <v>190</v>
      </c>
      <c r="BP47" s="331" t="s">
        <v>190</v>
      </c>
      <c r="BQ47" s="331" t="s">
        <v>190</v>
      </c>
      <c r="BR47" s="331" t="s">
        <v>190</v>
      </c>
      <c r="BS47" s="331" t="s">
        <v>190</v>
      </c>
      <c r="BT47" s="331" t="s">
        <v>190</v>
      </c>
      <c r="BU47" s="331" t="s">
        <v>190</v>
      </c>
      <c r="BV47" s="331" t="s">
        <v>190</v>
      </c>
      <c r="BW47" s="331" t="s">
        <v>190</v>
      </c>
      <c r="BX47" s="331" t="s">
        <v>190</v>
      </c>
      <c r="BY47" s="331" t="s">
        <v>190</v>
      </c>
      <c r="BZ47" s="331" t="s">
        <v>190</v>
      </c>
      <c r="CA47" s="331" t="s">
        <v>190</v>
      </c>
      <c r="CB47" s="331" t="s">
        <v>190</v>
      </c>
      <c r="CC47" s="331" t="s">
        <v>190</v>
      </c>
      <c r="CD47" s="331" t="s">
        <v>190</v>
      </c>
      <c r="CE47" s="331" t="s">
        <v>190</v>
      </c>
      <c r="CF47" s="331" t="s">
        <v>190</v>
      </c>
      <c r="CG47" s="331" t="s">
        <v>190</v>
      </c>
      <c r="CH47" s="331" t="s">
        <v>190</v>
      </c>
      <c r="CI47" s="331" t="s">
        <v>190</v>
      </c>
      <c r="CJ47" s="331" t="s">
        <v>190</v>
      </c>
      <c r="CK47" s="331" t="s">
        <v>428</v>
      </c>
      <c r="CL47" s="331" t="s">
        <v>428</v>
      </c>
      <c r="CM47" s="331" t="s">
        <v>428</v>
      </c>
      <c r="CN47" s="331" t="s">
        <v>190</v>
      </c>
      <c r="CO47" s="331" t="s">
        <v>190</v>
      </c>
      <c r="CP47" s="331" t="s">
        <v>190</v>
      </c>
      <c r="CQ47" s="331" t="s">
        <v>190</v>
      </c>
      <c r="CR47" s="331" t="s">
        <v>190</v>
      </c>
      <c r="CS47" s="331" t="s">
        <v>190</v>
      </c>
      <c r="CT47" s="331" t="s">
        <v>190</v>
      </c>
      <c r="CU47" s="331" t="s">
        <v>190</v>
      </c>
      <c r="CV47" s="331" t="s">
        <v>190</v>
      </c>
      <c r="CW47" s="331" t="s">
        <v>190</v>
      </c>
      <c r="CX47" s="331" t="s">
        <v>190</v>
      </c>
      <c r="CY47" s="331" t="s">
        <v>190</v>
      </c>
      <c r="CZ47" s="331" t="s">
        <v>190</v>
      </c>
      <c r="DA47" s="331" t="s">
        <v>190</v>
      </c>
      <c r="DB47" s="331" t="s">
        <v>190</v>
      </c>
      <c r="DC47" s="331" t="s">
        <v>190</v>
      </c>
      <c r="DD47" s="331" t="s">
        <v>190</v>
      </c>
      <c r="DE47" s="331" t="s">
        <v>190</v>
      </c>
      <c r="DF47" s="331" t="s">
        <v>190</v>
      </c>
      <c r="DG47" s="331" t="s">
        <v>190</v>
      </c>
      <c r="DH47" s="331" t="s">
        <v>190</v>
      </c>
      <c r="DI47" s="331" t="s">
        <v>190</v>
      </c>
      <c r="DJ47" s="331" t="s">
        <v>190</v>
      </c>
      <c r="DK47" s="331" t="s">
        <v>428</v>
      </c>
      <c r="DL47" s="331" t="s">
        <v>190</v>
      </c>
      <c r="DM47" s="331" t="s">
        <v>190</v>
      </c>
      <c r="DN47" s="331" t="s">
        <v>190</v>
      </c>
      <c r="DO47" s="331" t="s">
        <v>190</v>
      </c>
      <c r="DP47" s="331" t="s">
        <v>190</v>
      </c>
      <c r="DQ47" s="331" t="s">
        <v>190</v>
      </c>
      <c r="DR47" s="331" t="s">
        <v>190</v>
      </c>
      <c r="DS47" s="331" t="s">
        <v>190</v>
      </c>
      <c r="DT47" s="331" t="s">
        <v>190</v>
      </c>
      <c r="DU47" s="331" t="s">
        <v>190</v>
      </c>
      <c r="DV47" s="331" t="s">
        <v>190</v>
      </c>
      <c r="DW47" s="331" t="s">
        <v>190</v>
      </c>
      <c r="DX47" s="331" t="s">
        <v>190</v>
      </c>
      <c r="DY47" s="331" t="s">
        <v>190</v>
      </c>
      <c r="DZ47" s="331" t="s">
        <v>428</v>
      </c>
      <c r="EA47" s="331" t="s">
        <v>190</v>
      </c>
      <c r="EB47" s="331" t="s">
        <v>190</v>
      </c>
      <c r="EC47" s="331" t="s">
        <v>190</v>
      </c>
      <c r="ED47" s="331" t="s">
        <v>190</v>
      </c>
      <c r="EE47" s="331" t="s">
        <v>190</v>
      </c>
      <c r="EF47" s="331" t="s">
        <v>190</v>
      </c>
      <c r="EG47" s="331" t="s">
        <v>190</v>
      </c>
      <c r="EH47" s="331" t="s">
        <v>190</v>
      </c>
      <c r="EI47" s="331" t="s">
        <v>190</v>
      </c>
      <c r="EJ47" s="331" t="s">
        <v>190</v>
      </c>
      <c r="EK47" s="331" t="s">
        <v>190</v>
      </c>
      <c r="EL47" s="331" t="s">
        <v>190</v>
      </c>
      <c r="EM47" s="331" t="s">
        <v>190</v>
      </c>
      <c r="EN47" s="331" t="s">
        <v>190</v>
      </c>
      <c r="EO47" s="331" t="s">
        <v>190</v>
      </c>
      <c r="EP47" s="331" t="s">
        <v>190</v>
      </c>
      <c r="EQ47" s="331" t="s">
        <v>190</v>
      </c>
      <c r="ER47" s="331" t="s">
        <v>190</v>
      </c>
      <c r="ES47" s="331" t="s">
        <v>190</v>
      </c>
      <c r="ET47" s="331" t="s">
        <v>190</v>
      </c>
      <c r="EU47" s="331" t="s">
        <v>190</v>
      </c>
      <c r="EV47" s="331" t="s">
        <v>190</v>
      </c>
      <c r="EW47" s="331" t="s">
        <v>190</v>
      </c>
      <c r="EX47" s="331" t="s">
        <v>190</v>
      </c>
      <c r="EY47" s="331" t="s">
        <v>190</v>
      </c>
      <c r="EZ47" s="331" t="s">
        <v>190</v>
      </c>
      <c r="FA47" s="331" t="s">
        <v>190</v>
      </c>
      <c r="FB47" s="331" t="s">
        <v>190</v>
      </c>
      <c r="FC47" s="331" t="s">
        <v>190</v>
      </c>
      <c r="FD47" s="331" t="s">
        <v>190</v>
      </c>
      <c r="FE47" s="331" t="s">
        <v>190</v>
      </c>
      <c r="FF47" s="331" t="s">
        <v>190</v>
      </c>
      <c r="FG47" s="331" t="s">
        <v>190</v>
      </c>
      <c r="FH47" s="331" t="s">
        <v>190</v>
      </c>
      <c r="FI47" s="331" t="s">
        <v>190</v>
      </c>
      <c r="FJ47" s="331" t="s">
        <v>190</v>
      </c>
      <c r="FK47" s="331" t="s">
        <v>190</v>
      </c>
      <c r="FL47" s="331" t="s">
        <v>190</v>
      </c>
      <c r="FM47" s="331" t="s">
        <v>190</v>
      </c>
      <c r="FN47" s="331" t="s">
        <v>190</v>
      </c>
      <c r="FO47" s="331" t="s">
        <v>190</v>
      </c>
      <c r="FP47" s="331" t="s">
        <v>190</v>
      </c>
      <c r="FQ47" s="331" t="s">
        <v>190</v>
      </c>
      <c r="FR47" s="331" t="s">
        <v>190</v>
      </c>
      <c r="FS47" s="331" t="s">
        <v>190</v>
      </c>
      <c r="FT47" s="331" t="s">
        <v>190</v>
      </c>
      <c r="FU47" s="331" t="s">
        <v>190</v>
      </c>
      <c r="FV47" s="331" t="s">
        <v>190</v>
      </c>
      <c r="FW47" s="331" t="s">
        <v>190</v>
      </c>
      <c r="FX47" s="331" t="s">
        <v>190</v>
      </c>
      <c r="FY47" s="331" t="s">
        <v>190</v>
      </c>
      <c r="FZ47" s="331" t="s">
        <v>190</v>
      </c>
      <c r="GA47" s="331" t="s">
        <v>190</v>
      </c>
      <c r="GB47" s="331" t="s">
        <v>190</v>
      </c>
      <c r="GC47" s="331" t="s">
        <v>190</v>
      </c>
      <c r="GD47" s="331" t="s">
        <v>190</v>
      </c>
      <c r="GE47" s="331" t="s">
        <v>190</v>
      </c>
      <c r="GF47" s="331" t="s">
        <v>190</v>
      </c>
      <c r="GG47" s="331" t="s">
        <v>190</v>
      </c>
      <c r="GH47" s="331" t="s">
        <v>428</v>
      </c>
      <c r="GI47" s="331" t="s">
        <v>190</v>
      </c>
      <c r="GJ47" s="331" t="s">
        <v>190</v>
      </c>
      <c r="GK47" s="331" t="s">
        <v>190</v>
      </c>
      <c r="GL47" s="331" t="s">
        <v>190</v>
      </c>
      <c r="GM47" s="331" t="s">
        <v>190</v>
      </c>
      <c r="GN47" s="331" t="s">
        <v>190</v>
      </c>
      <c r="GO47" s="331" t="s">
        <v>190</v>
      </c>
      <c r="GP47" s="331" t="s">
        <v>190</v>
      </c>
      <c r="GQ47" s="331" t="s">
        <v>190</v>
      </c>
      <c r="GR47" s="331" t="s">
        <v>190</v>
      </c>
      <c r="GS47" s="331" t="s">
        <v>190</v>
      </c>
      <c r="GT47" s="331" t="s">
        <v>190</v>
      </c>
      <c r="GU47" s="331" t="s">
        <v>190</v>
      </c>
      <c r="GV47" s="331" t="s">
        <v>190</v>
      </c>
      <c r="GW47" s="331" t="s">
        <v>428</v>
      </c>
      <c r="GX47" s="331" t="s">
        <v>190</v>
      </c>
      <c r="GY47" s="331" t="s">
        <v>190</v>
      </c>
      <c r="GZ47" s="331" t="s">
        <v>190</v>
      </c>
      <c r="HA47" s="331" t="s">
        <v>190</v>
      </c>
      <c r="HB47" s="331" t="s">
        <v>190</v>
      </c>
      <c r="HC47" s="331" t="s">
        <v>190</v>
      </c>
      <c r="HD47" s="331" t="s">
        <v>190</v>
      </c>
      <c r="HE47" s="331" t="s">
        <v>190</v>
      </c>
      <c r="HF47" s="331" t="s">
        <v>190</v>
      </c>
      <c r="HG47" s="331" t="s">
        <v>190</v>
      </c>
      <c r="HH47" s="331" t="s">
        <v>190</v>
      </c>
      <c r="HI47" s="331" t="s">
        <v>190</v>
      </c>
      <c r="HJ47" s="331" t="s">
        <v>190</v>
      </c>
      <c r="HK47" s="331" t="s">
        <v>190</v>
      </c>
      <c r="HL47" s="331" t="s">
        <v>190</v>
      </c>
      <c r="HM47" s="331" t="s">
        <v>190</v>
      </c>
      <c r="HN47" s="331" t="s">
        <v>190</v>
      </c>
      <c r="HO47" s="331" t="s">
        <v>190</v>
      </c>
      <c r="HP47" s="331" t="s">
        <v>190</v>
      </c>
      <c r="HQ47" s="331" t="s">
        <v>190</v>
      </c>
      <c r="HR47" s="331" t="s">
        <v>190</v>
      </c>
      <c r="HS47" s="331" t="s">
        <v>190</v>
      </c>
      <c r="HT47" s="331" t="s">
        <v>190</v>
      </c>
      <c r="HU47" s="331" t="s">
        <v>190</v>
      </c>
      <c r="HV47" s="331" t="s">
        <v>190</v>
      </c>
      <c r="HW47" s="331" t="s">
        <v>190</v>
      </c>
      <c r="HX47" s="331" t="s">
        <v>190</v>
      </c>
      <c r="HY47" s="331" t="s">
        <v>190</v>
      </c>
      <c r="HZ47" s="331" t="s">
        <v>190</v>
      </c>
      <c r="IA47" s="331" t="s">
        <v>190</v>
      </c>
      <c r="IB47" s="331" t="s">
        <v>190</v>
      </c>
      <c r="IC47" s="331" t="s">
        <v>190</v>
      </c>
      <c r="ID47" s="331" t="s">
        <v>190</v>
      </c>
      <c r="IE47" s="331" t="s">
        <v>190</v>
      </c>
      <c r="IF47" s="331" t="s">
        <v>190</v>
      </c>
      <c r="IG47" s="331" t="s">
        <v>170</v>
      </c>
      <c r="IH47" s="331" t="s">
        <v>429</v>
      </c>
      <c r="II47" s="331" t="s">
        <v>169</v>
      </c>
      <c r="IJ47" s="331" t="s">
        <v>427</v>
      </c>
      <c r="IK47" s="331" t="s">
        <v>428</v>
      </c>
      <c r="IL47" s="331" t="s">
        <v>428</v>
      </c>
    </row>
    <row r="48" spans="1:246" x14ac:dyDescent="0.25">
      <c r="A48" s="330" t="str">
        <f>HYPERLINK("http://www.ofsted.gov.uk/inspection-reports/find-inspection-report/provider/ELS/135366 ","Ofsted School Webpage")</f>
        <v>Ofsted School Webpage</v>
      </c>
      <c r="B48" s="331">
        <v>135366</v>
      </c>
      <c r="C48" s="331">
        <v>8916031</v>
      </c>
      <c r="D48" s="331" t="s">
        <v>1915</v>
      </c>
      <c r="E48" s="331" t="s">
        <v>167</v>
      </c>
      <c r="F48" s="331" t="s">
        <v>506</v>
      </c>
      <c r="G48" s="331" t="s">
        <v>506</v>
      </c>
      <c r="H48" s="331" t="s">
        <v>760</v>
      </c>
      <c r="I48" s="331" t="s">
        <v>1916</v>
      </c>
      <c r="J48" s="331" t="s">
        <v>81</v>
      </c>
      <c r="K48" s="331" t="s">
        <v>81</v>
      </c>
      <c r="L48" s="331" t="s">
        <v>81</v>
      </c>
      <c r="M48" s="331" t="s">
        <v>78</v>
      </c>
      <c r="N48" s="331" t="s">
        <v>424</v>
      </c>
      <c r="O48" s="333">
        <v>10116634</v>
      </c>
      <c r="P48" s="332">
        <v>43788</v>
      </c>
      <c r="Q48" s="332">
        <v>43790</v>
      </c>
      <c r="R48" s="332">
        <v>43809</v>
      </c>
      <c r="S48" s="331" t="s">
        <v>425</v>
      </c>
      <c r="T48" s="331" t="s">
        <v>426</v>
      </c>
      <c r="U48" s="331">
        <v>2</v>
      </c>
      <c r="V48" s="331">
        <v>2</v>
      </c>
      <c r="W48" s="331">
        <v>2</v>
      </c>
      <c r="X48" s="331">
        <v>2</v>
      </c>
      <c r="Y48" s="331">
        <v>2</v>
      </c>
      <c r="Z48" s="331" t="s">
        <v>169</v>
      </c>
      <c r="AA48" s="331">
        <v>2</v>
      </c>
      <c r="AB48" s="331" t="s">
        <v>173</v>
      </c>
      <c r="AC48" s="331" t="s">
        <v>427</v>
      </c>
      <c r="AD48" s="331" t="s">
        <v>171</v>
      </c>
      <c r="AE48" s="331" t="s">
        <v>190</v>
      </c>
      <c r="AF48" s="331" t="s">
        <v>190</v>
      </c>
      <c r="AG48" s="331" t="s">
        <v>190</v>
      </c>
      <c r="AH48" s="331" t="s">
        <v>190</v>
      </c>
      <c r="AI48" s="331" t="s">
        <v>190</v>
      </c>
      <c r="AJ48" s="331" t="s">
        <v>190</v>
      </c>
      <c r="AK48" s="331" t="s">
        <v>190</v>
      </c>
      <c r="AL48" s="331" t="s">
        <v>190</v>
      </c>
      <c r="AM48" s="331" t="s">
        <v>190</v>
      </c>
      <c r="AN48" s="331" t="s">
        <v>190</v>
      </c>
      <c r="AO48" s="331" t="s">
        <v>190</v>
      </c>
      <c r="AP48" s="331" t="s">
        <v>190</v>
      </c>
      <c r="AQ48" s="331" t="s">
        <v>190</v>
      </c>
      <c r="AR48" s="331" t="s">
        <v>190</v>
      </c>
      <c r="AS48" s="331" t="s">
        <v>190</v>
      </c>
      <c r="AT48" s="331" t="s">
        <v>190</v>
      </c>
      <c r="AU48" s="331" t="s">
        <v>428</v>
      </c>
      <c r="AV48" s="331" t="s">
        <v>190</v>
      </c>
      <c r="AW48" s="331" t="s">
        <v>190</v>
      </c>
      <c r="AX48" s="331" t="s">
        <v>190</v>
      </c>
      <c r="AY48" s="331" t="s">
        <v>428</v>
      </c>
      <c r="AZ48" s="331" t="s">
        <v>428</v>
      </c>
      <c r="BA48" s="331" t="s">
        <v>428</v>
      </c>
      <c r="BB48" s="331" t="s">
        <v>428</v>
      </c>
      <c r="BC48" s="331" t="s">
        <v>190</v>
      </c>
      <c r="BD48" s="331" t="s">
        <v>428</v>
      </c>
      <c r="BE48" s="331" t="s">
        <v>190</v>
      </c>
      <c r="BF48" s="331" t="s">
        <v>190</v>
      </c>
      <c r="BG48" s="331" t="s">
        <v>190</v>
      </c>
      <c r="BH48" s="331" t="s">
        <v>190</v>
      </c>
      <c r="BI48" s="331" t="s">
        <v>190</v>
      </c>
      <c r="BJ48" s="331" t="s">
        <v>190</v>
      </c>
      <c r="BK48" s="331" t="s">
        <v>190</v>
      </c>
      <c r="BL48" s="331" t="s">
        <v>190</v>
      </c>
      <c r="BM48" s="331" t="s">
        <v>190</v>
      </c>
      <c r="BN48" s="331" t="s">
        <v>190</v>
      </c>
      <c r="BO48" s="331" t="s">
        <v>190</v>
      </c>
      <c r="BP48" s="331" t="s">
        <v>190</v>
      </c>
      <c r="BQ48" s="331" t="s">
        <v>190</v>
      </c>
      <c r="BR48" s="331" t="s">
        <v>190</v>
      </c>
      <c r="BS48" s="331" t="s">
        <v>190</v>
      </c>
      <c r="BT48" s="331" t="s">
        <v>190</v>
      </c>
      <c r="BU48" s="331" t="s">
        <v>190</v>
      </c>
      <c r="BV48" s="331" t="s">
        <v>190</v>
      </c>
      <c r="BW48" s="331" t="s">
        <v>190</v>
      </c>
      <c r="BX48" s="331" t="s">
        <v>190</v>
      </c>
      <c r="BY48" s="331" t="s">
        <v>190</v>
      </c>
      <c r="BZ48" s="331" t="s">
        <v>190</v>
      </c>
      <c r="CA48" s="331" t="s">
        <v>190</v>
      </c>
      <c r="CB48" s="331" t="s">
        <v>190</v>
      </c>
      <c r="CC48" s="331" t="s">
        <v>190</v>
      </c>
      <c r="CD48" s="331" t="s">
        <v>190</v>
      </c>
      <c r="CE48" s="331" t="s">
        <v>190</v>
      </c>
      <c r="CF48" s="331" t="s">
        <v>190</v>
      </c>
      <c r="CG48" s="331" t="s">
        <v>190</v>
      </c>
      <c r="CH48" s="331" t="s">
        <v>190</v>
      </c>
      <c r="CI48" s="331" t="s">
        <v>190</v>
      </c>
      <c r="CJ48" s="331" t="s">
        <v>190</v>
      </c>
      <c r="CK48" s="331" t="s">
        <v>428</v>
      </c>
      <c r="CL48" s="331" t="s">
        <v>428</v>
      </c>
      <c r="CM48" s="331" t="s">
        <v>428</v>
      </c>
      <c r="CN48" s="331" t="s">
        <v>190</v>
      </c>
      <c r="CO48" s="331" t="s">
        <v>190</v>
      </c>
      <c r="CP48" s="331" t="s">
        <v>190</v>
      </c>
      <c r="CQ48" s="331" t="s">
        <v>190</v>
      </c>
      <c r="CR48" s="331" t="s">
        <v>190</v>
      </c>
      <c r="CS48" s="331" t="s">
        <v>190</v>
      </c>
      <c r="CT48" s="331" t="s">
        <v>190</v>
      </c>
      <c r="CU48" s="331" t="s">
        <v>190</v>
      </c>
      <c r="CV48" s="331" t="s">
        <v>190</v>
      </c>
      <c r="CW48" s="331" t="s">
        <v>190</v>
      </c>
      <c r="CX48" s="331" t="s">
        <v>190</v>
      </c>
      <c r="CY48" s="331" t="s">
        <v>190</v>
      </c>
      <c r="CZ48" s="331" t="s">
        <v>190</v>
      </c>
      <c r="DA48" s="331" t="s">
        <v>190</v>
      </c>
      <c r="DB48" s="331" t="s">
        <v>190</v>
      </c>
      <c r="DC48" s="331" t="s">
        <v>190</v>
      </c>
      <c r="DD48" s="331" t="s">
        <v>190</v>
      </c>
      <c r="DE48" s="331" t="s">
        <v>190</v>
      </c>
      <c r="DF48" s="331" t="s">
        <v>190</v>
      </c>
      <c r="DG48" s="331" t="s">
        <v>190</v>
      </c>
      <c r="DH48" s="331" t="s">
        <v>190</v>
      </c>
      <c r="DI48" s="331" t="s">
        <v>190</v>
      </c>
      <c r="DJ48" s="331" t="s">
        <v>428</v>
      </c>
      <c r="DK48" s="331" t="s">
        <v>428</v>
      </c>
      <c r="DL48" s="331" t="s">
        <v>190</v>
      </c>
      <c r="DM48" s="331" t="s">
        <v>428</v>
      </c>
      <c r="DN48" s="331" t="s">
        <v>428</v>
      </c>
      <c r="DO48" s="331" t="s">
        <v>428</v>
      </c>
      <c r="DP48" s="331" t="s">
        <v>428</v>
      </c>
      <c r="DQ48" s="331" t="s">
        <v>428</v>
      </c>
      <c r="DR48" s="331" t="s">
        <v>428</v>
      </c>
      <c r="DS48" s="331" t="s">
        <v>428</v>
      </c>
      <c r="DT48" s="331" t="s">
        <v>428</v>
      </c>
      <c r="DU48" s="331" t="s">
        <v>428</v>
      </c>
      <c r="DV48" s="331" t="s">
        <v>428</v>
      </c>
      <c r="DW48" s="331" t="s">
        <v>428</v>
      </c>
      <c r="DX48" s="331" t="s">
        <v>428</v>
      </c>
      <c r="DY48" s="331" t="s">
        <v>428</v>
      </c>
      <c r="DZ48" s="331" t="s">
        <v>428</v>
      </c>
      <c r="EA48" s="331" t="s">
        <v>428</v>
      </c>
      <c r="EB48" s="331" t="s">
        <v>428</v>
      </c>
      <c r="EC48" s="331" t="s">
        <v>428</v>
      </c>
      <c r="ED48" s="331" t="s">
        <v>428</v>
      </c>
      <c r="EE48" s="331" t="s">
        <v>428</v>
      </c>
      <c r="EF48" s="331" t="s">
        <v>428</v>
      </c>
      <c r="EG48" s="331" t="s">
        <v>428</v>
      </c>
      <c r="EH48" s="331" t="s">
        <v>428</v>
      </c>
      <c r="EI48" s="331" t="s">
        <v>428</v>
      </c>
      <c r="EJ48" s="331" t="s">
        <v>428</v>
      </c>
      <c r="EK48" s="331" t="s">
        <v>190</v>
      </c>
      <c r="EL48" s="331" t="s">
        <v>190</v>
      </c>
      <c r="EM48" s="331" t="s">
        <v>190</v>
      </c>
      <c r="EN48" s="331" t="s">
        <v>190</v>
      </c>
      <c r="EO48" s="331" t="s">
        <v>190</v>
      </c>
      <c r="EP48" s="331" t="s">
        <v>190</v>
      </c>
      <c r="EQ48" s="331" t="s">
        <v>190</v>
      </c>
      <c r="ER48" s="331" t="s">
        <v>190</v>
      </c>
      <c r="ES48" s="331" t="s">
        <v>190</v>
      </c>
      <c r="ET48" s="331" t="s">
        <v>190</v>
      </c>
      <c r="EU48" s="331" t="s">
        <v>190</v>
      </c>
      <c r="EV48" s="331" t="s">
        <v>190</v>
      </c>
      <c r="EW48" s="331" t="s">
        <v>190</v>
      </c>
      <c r="EX48" s="331" t="s">
        <v>428</v>
      </c>
      <c r="EY48" s="331" t="s">
        <v>428</v>
      </c>
      <c r="EZ48" s="331" t="s">
        <v>428</v>
      </c>
      <c r="FA48" s="331" t="s">
        <v>428</v>
      </c>
      <c r="FB48" s="331" t="s">
        <v>428</v>
      </c>
      <c r="FC48" s="331" t="s">
        <v>428</v>
      </c>
      <c r="FD48" s="331" t="s">
        <v>428</v>
      </c>
      <c r="FE48" s="331" t="s">
        <v>190</v>
      </c>
      <c r="FF48" s="331" t="s">
        <v>428</v>
      </c>
      <c r="FG48" s="331" t="s">
        <v>429</v>
      </c>
      <c r="FH48" s="331" t="s">
        <v>428</v>
      </c>
      <c r="FI48" s="331" t="s">
        <v>190</v>
      </c>
      <c r="FJ48" s="331" t="s">
        <v>190</v>
      </c>
      <c r="FK48" s="331" t="s">
        <v>190</v>
      </c>
      <c r="FL48" s="331" t="s">
        <v>428</v>
      </c>
      <c r="FM48" s="331" t="s">
        <v>190</v>
      </c>
      <c r="FN48" s="331" t="s">
        <v>190</v>
      </c>
      <c r="FO48" s="331" t="s">
        <v>190</v>
      </c>
      <c r="FP48" s="331" t="s">
        <v>428</v>
      </c>
      <c r="FQ48" s="331" t="s">
        <v>190</v>
      </c>
      <c r="FR48" s="331" t="s">
        <v>190</v>
      </c>
      <c r="FS48" s="331" t="s">
        <v>190</v>
      </c>
      <c r="FT48" s="331" t="s">
        <v>190</v>
      </c>
      <c r="FU48" s="331" t="s">
        <v>190</v>
      </c>
      <c r="FV48" s="331" t="s">
        <v>190</v>
      </c>
      <c r="FW48" s="331" t="s">
        <v>190</v>
      </c>
      <c r="FX48" s="331" t="s">
        <v>190</v>
      </c>
      <c r="FY48" s="331" t="s">
        <v>190</v>
      </c>
      <c r="FZ48" s="331" t="s">
        <v>190</v>
      </c>
      <c r="GA48" s="331" t="s">
        <v>190</v>
      </c>
      <c r="GB48" s="331" t="s">
        <v>190</v>
      </c>
      <c r="GC48" s="331" t="s">
        <v>190</v>
      </c>
      <c r="GD48" s="331" t="s">
        <v>190</v>
      </c>
      <c r="GE48" s="331" t="s">
        <v>190</v>
      </c>
      <c r="GF48" s="331" t="s">
        <v>190</v>
      </c>
      <c r="GG48" s="331" t="s">
        <v>190</v>
      </c>
      <c r="GH48" s="331" t="s">
        <v>428</v>
      </c>
      <c r="GI48" s="331" t="s">
        <v>190</v>
      </c>
      <c r="GJ48" s="331" t="s">
        <v>190</v>
      </c>
      <c r="GK48" s="331" t="s">
        <v>190</v>
      </c>
      <c r="GL48" s="331" t="s">
        <v>190</v>
      </c>
      <c r="GM48" s="331" t="s">
        <v>190</v>
      </c>
      <c r="GN48" s="331" t="s">
        <v>428</v>
      </c>
      <c r="GO48" s="331" t="s">
        <v>190</v>
      </c>
      <c r="GP48" s="331" t="s">
        <v>190</v>
      </c>
      <c r="GQ48" s="331" t="s">
        <v>428</v>
      </c>
      <c r="GR48" s="331" t="s">
        <v>428</v>
      </c>
      <c r="GS48" s="331" t="s">
        <v>428</v>
      </c>
      <c r="GT48" s="331" t="s">
        <v>428</v>
      </c>
      <c r="GU48" s="331" t="s">
        <v>190</v>
      </c>
      <c r="GV48" s="331" t="s">
        <v>190</v>
      </c>
      <c r="GW48" s="331" t="s">
        <v>190</v>
      </c>
      <c r="GX48" s="331" t="s">
        <v>190</v>
      </c>
      <c r="GY48" s="331" t="s">
        <v>428</v>
      </c>
      <c r="GZ48" s="331" t="s">
        <v>190</v>
      </c>
      <c r="HA48" s="331" t="s">
        <v>190</v>
      </c>
      <c r="HB48" s="331" t="s">
        <v>190</v>
      </c>
      <c r="HC48" s="331" t="s">
        <v>428</v>
      </c>
      <c r="HD48" s="331" t="s">
        <v>190</v>
      </c>
      <c r="HE48" s="331" t="s">
        <v>190</v>
      </c>
      <c r="HF48" s="331" t="s">
        <v>190</v>
      </c>
      <c r="HG48" s="331" t="s">
        <v>190</v>
      </c>
      <c r="HH48" s="331" t="s">
        <v>190</v>
      </c>
      <c r="HI48" s="331" t="s">
        <v>190</v>
      </c>
      <c r="HJ48" s="331" t="s">
        <v>428</v>
      </c>
      <c r="HK48" s="331" t="s">
        <v>428</v>
      </c>
      <c r="HL48" s="331" t="s">
        <v>428</v>
      </c>
      <c r="HM48" s="331" t="s">
        <v>190</v>
      </c>
      <c r="HN48" s="331" t="s">
        <v>190</v>
      </c>
      <c r="HO48" s="331" t="s">
        <v>190</v>
      </c>
      <c r="HP48" s="331" t="s">
        <v>190</v>
      </c>
      <c r="HQ48" s="331" t="s">
        <v>190</v>
      </c>
      <c r="HR48" s="331" t="s">
        <v>190</v>
      </c>
      <c r="HS48" s="331" t="s">
        <v>190</v>
      </c>
      <c r="HT48" s="331" t="s">
        <v>190</v>
      </c>
      <c r="HU48" s="331" t="s">
        <v>190</v>
      </c>
      <c r="HV48" s="331" t="s">
        <v>190</v>
      </c>
      <c r="HW48" s="331" t="s">
        <v>190</v>
      </c>
      <c r="HX48" s="331" t="s">
        <v>190</v>
      </c>
      <c r="HY48" s="331" t="s">
        <v>190</v>
      </c>
      <c r="HZ48" s="331" t="s">
        <v>190</v>
      </c>
      <c r="IA48" s="331" t="s">
        <v>190</v>
      </c>
      <c r="IB48" s="331" t="s">
        <v>190</v>
      </c>
      <c r="IC48" s="331" t="s">
        <v>190</v>
      </c>
      <c r="ID48" s="331" t="s">
        <v>190</v>
      </c>
      <c r="IE48" s="331" t="s">
        <v>190</v>
      </c>
      <c r="IF48" s="331" t="s">
        <v>190</v>
      </c>
      <c r="IG48" s="331" t="s">
        <v>170</v>
      </c>
      <c r="IH48" s="331" t="s">
        <v>429</v>
      </c>
      <c r="II48" s="331" t="s">
        <v>169</v>
      </c>
      <c r="IJ48" s="331" t="s">
        <v>427</v>
      </c>
      <c r="IK48" s="331" t="s">
        <v>190</v>
      </c>
      <c r="IL48" s="331" t="s">
        <v>190</v>
      </c>
    </row>
    <row r="49" spans="1:246" x14ac:dyDescent="0.25">
      <c r="A49" s="330" t="str">
        <f>HYPERLINK("http://www.ofsted.gov.uk/inspection-reports/find-inspection-report/provider/ELS/135794 ","Ofsted School Webpage")</f>
        <v>Ofsted School Webpage</v>
      </c>
      <c r="B49" s="331">
        <v>135794</v>
      </c>
      <c r="C49" s="331">
        <v>3076401</v>
      </c>
      <c r="D49" s="331" t="s">
        <v>1989</v>
      </c>
      <c r="E49" s="331" t="s">
        <v>168</v>
      </c>
      <c r="F49" s="331" t="s">
        <v>441</v>
      </c>
      <c r="G49" s="331" t="s">
        <v>441</v>
      </c>
      <c r="H49" s="331" t="s">
        <v>442</v>
      </c>
      <c r="I49" s="331" t="s">
        <v>1990</v>
      </c>
      <c r="J49" s="331" t="s">
        <v>81</v>
      </c>
      <c r="K49" s="331" t="s">
        <v>81</v>
      </c>
      <c r="L49" s="331" t="s">
        <v>81</v>
      </c>
      <c r="M49" s="331" t="s">
        <v>78</v>
      </c>
      <c r="N49" s="331" t="s">
        <v>424</v>
      </c>
      <c r="O49" s="333">
        <v>10115243</v>
      </c>
      <c r="P49" s="332">
        <v>43788</v>
      </c>
      <c r="Q49" s="332">
        <v>43790</v>
      </c>
      <c r="R49" s="332">
        <v>43817</v>
      </c>
      <c r="S49" s="331" t="s">
        <v>425</v>
      </c>
      <c r="T49" s="331" t="s">
        <v>426</v>
      </c>
      <c r="U49" s="331">
        <v>1</v>
      </c>
      <c r="V49" s="331">
        <v>1</v>
      </c>
      <c r="W49" s="331">
        <v>1</v>
      </c>
      <c r="X49" s="331">
        <v>1</v>
      </c>
      <c r="Y49" s="331">
        <v>1</v>
      </c>
      <c r="Z49" s="331" t="s">
        <v>169</v>
      </c>
      <c r="AA49" s="331" t="s">
        <v>173</v>
      </c>
      <c r="AB49" s="331" t="s">
        <v>173</v>
      </c>
      <c r="AC49" s="331" t="s">
        <v>427</v>
      </c>
      <c r="AD49" s="331" t="s">
        <v>171</v>
      </c>
      <c r="AE49" s="331" t="s">
        <v>190</v>
      </c>
      <c r="AF49" s="331" t="s">
        <v>190</v>
      </c>
      <c r="AG49" s="331" t="s">
        <v>190</v>
      </c>
      <c r="AH49" s="331" t="s">
        <v>190</v>
      </c>
      <c r="AI49" s="331" t="s">
        <v>190</v>
      </c>
      <c r="AJ49" s="331" t="s">
        <v>190</v>
      </c>
      <c r="AK49" s="331" t="s">
        <v>190</v>
      </c>
      <c r="AL49" s="331" t="s">
        <v>190</v>
      </c>
      <c r="AM49" s="331" t="s">
        <v>190</v>
      </c>
      <c r="AN49" s="331" t="s">
        <v>190</v>
      </c>
      <c r="AO49" s="331" t="s">
        <v>190</v>
      </c>
      <c r="AP49" s="331" t="s">
        <v>190</v>
      </c>
      <c r="AQ49" s="331" t="s">
        <v>190</v>
      </c>
      <c r="AR49" s="331" t="s">
        <v>190</v>
      </c>
      <c r="AS49" s="331" t="s">
        <v>190</v>
      </c>
      <c r="AT49" s="331" t="s">
        <v>190</v>
      </c>
      <c r="AU49" s="331" t="s">
        <v>428</v>
      </c>
      <c r="AV49" s="331" t="s">
        <v>190</v>
      </c>
      <c r="AW49" s="331" t="s">
        <v>190</v>
      </c>
      <c r="AX49" s="331" t="s">
        <v>190</v>
      </c>
      <c r="AY49" s="331" t="s">
        <v>190</v>
      </c>
      <c r="AZ49" s="331" t="s">
        <v>190</v>
      </c>
      <c r="BA49" s="331" t="s">
        <v>190</v>
      </c>
      <c r="BB49" s="331" t="s">
        <v>191</v>
      </c>
      <c r="BC49" s="331" t="s">
        <v>428</v>
      </c>
      <c r="BD49" s="331" t="s">
        <v>190</v>
      </c>
      <c r="BE49" s="331" t="s">
        <v>190</v>
      </c>
      <c r="BF49" s="331" t="s">
        <v>190</v>
      </c>
      <c r="BG49" s="331" t="s">
        <v>190</v>
      </c>
      <c r="BH49" s="331" t="s">
        <v>190</v>
      </c>
      <c r="BI49" s="331" t="s">
        <v>190</v>
      </c>
      <c r="BJ49" s="331" t="s">
        <v>190</v>
      </c>
      <c r="BK49" s="331" t="s">
        <v>190</v>
      </c>
      <c r="BL49" s="331" t="s">
        <v>190</v>
      </c>
      <c r="BM49" s="331" t="s">
        <v>190</v>
      </c>
      <c r="BN49" s="331" t="s">
        <v>190</v>
      </c>
      <c r="BO49" s="331" t="s">
        <v>190</v>
      </c>
      <c r="BP49" s="331" t="s">
        <v>190</v>
      </c>
      <c r="BQ49" s="331" t="s">
        <v>190</v>
      </c>
      <c r="BR49" s="331" t="s">
        <v>190</v>
      </c>
      <c r="BS49" s="331" t="s">
        <v>190</v>
      </c>
      <c r="BT49" s="331" t="s">
        <v>190</v>
      </c>
      <c r="BU49" s="331" t="s">
        <v>190</v>
      </c>
      <c r="BV49" s="331" t="s">
        <v>190</v>
      </c>
      <c r="BW49" s="331" t="s">
        <v>190</v>
      </c>
      <c r="BX49" s="331" t="s">
        <v>190</v>
      </c>
      <c r="BY49" s="331" t="s">
        <v>190</v>
      </c>
      <c r="BZ49" s="331" t="s">
        <v>190</v>
      </c>
      <c r="CA49" s="331" t="s">
        <v>190</v>
      </c>
      <c r="CB49" s="331" t="s">
        <v>190</v>
      </c>
      <c r="CC49" s="331" t="s">
        <v>190</v>
      </c>
      <c r="CD49" s="331" t="s">
        <v>190</v>
      </c>
      <c r="CE49" s="331" t="s">
        <v>190</v>
      </c>
      <c r="CF49" s="331" t="s">
        <v>190</v>
      </c>
      <c r="CG49" s="331" t="s">
        <v>190</v>
      </c>
      <c r="CH49" s="331" t="s">
        <v>190</v>
      </c>
      <c r="CI49" s="331" t="s">
        <v>190</v>
      </c>
      <c r="CJ49" s="331" t="s">
        <v>190</v>
      </c>
      <c r="CK49" s="331" t="s">
        <v>428</v>
      </c>
      <c r="CL49" s="331" t="s">
        <v>428</v>
      </c>
      <c r="CM49" s="331" t="s">
        <v>428</v>
      </c>
      <c r="CN49" s="331" t="s">
        <v>190</v>
      </c>
      <c r="CO49" s="331" t="s">
        <v>190</v>
      </c>
      <c r="CP49" s="331" t="s">
        <v>190</v>
      </c>
      <c r="CQ49" s="331" t="s">
        <v>190</v>
      </c>
      <c r="CR49" s="331" t="s">
        <v>190</v>
      </c>
      <c r="CS49" s="331" t="s">
        <v>190</v>
      </c>
      <c r="CT49" s="331" t="s">
        <v>190</v>
      </c>
      <c r="CU49" s="331" t="s">
        <v>190</v>
      </c>
      <c r="CV49" s="331" t="s">
        <v>190</v>
      </c>
      <c r="CW49" s="331" t="s">
        <v>190</v>
      </c>
      <c r="CX49" s="331" t="s">
        <v>190</v>
      </c>
      <c r="CY49" s="331" t="s">
        <v>190</v>
      </c>
      <c r="CZ49" s="331" t="s">
        <v>190</v>
      </c>
      <c r="DA49" s="331" t="s">
        <v>190</v>
      </c>
      <c r="DB49" s="331" t="s">
        <v>190</v>
      </c>
      <c r="DC49" s="331" t="s">
        <v>190</v>
      </c>
      <c r="DD49" s="331" t="s">
        <v>190</v>
      </c>
      <c r="DE49" s="331" t="s">
        <v>190</v>
      </c>
      <c r="DF49" s="331" t="s">
        <v>190</v>
      </c>
      <c r="DG49" s="331" t="s">
        <v>190</v>
      </c>
      <c r="DH49" s="331" t="s">
        <v>190</v>
      </c>
      <c r="DI49" s="331" t="s">
        <v>190</v>
      </c>
      <c r="DJ49" s="331" t="s">
        <v>190</v>
      </c>
      <c r="DK49" s="331" t="s">
        <v>428</v>
      </c>
      <c r="DL49" s="331" t="s">
        <v>190</v>
      </c>
      <c r="DM49" s="331" t="s">
        <v>190</v>
      </c>
      <c r="DN49" s="331" t="s">
        <v>190</v>
      </c>
      <c r="DO49" s="331" t="s">
        <v>190</v>
      </c>
      <c r="DP49" s="331" t="s">
        <v>190</v>
      </c>
      <c r="DQ49" s="331" t="s">
        <v>190</v>
      </c>
      <c r="DR49" s="331" t="s">
        <v>190</v>
      </c>
      <c r="DS49" s="331" t="s">
        <v>190</v>
      </c>
      <c r="DT49" s="331" t="s">
        <v>190</v>
      </c>
      <c r="DU49" s="331" t="s">
        <v>190</v>
      </c>
      <c r="DV49" s="331" t="s">
        <v>190</v>
      </c>
      <c r="DW49" s="331" t="s">
        <v>190</v>
      </c>
      <c r="DX49" s="331" t="s">
        <v>190</v>
      </c>
      <c r="DY49" s="331" t="s">
        <v>190</v>
      </c>
      <c r="DZ49" s="331" t="s">
        <v>428</v>
      </c>
      <c r="EA49" s="331" t="s">
        <v>190</v>
      </c>
      <c r="EB49" s="331" t="s">
        <v>190</v>
      </c>
      <c r="EC49" s="331" t="s">
        <v>190</v>
      </c>
      <c r="ED49" s="331" t="s">
        <v>190</v>
      </c>
      <c r="EE49" s="331" t="s">
        <v>190</v>
      </c>
      <c r="EF49" s="331" t="s">
        <v>190</v>
      </c>
      <c r="EG49" s="331" t="s">
        <v>190</v>
      </c>
      <c r="EH49" s="331" t="s">
        <v>190</v>
      </c>
      <c r="EI49" s="331" t="s">
        <v>190</v>
      </c>
      <c r="EJ49" s="331" t="s">
        <v>190</v>
      </c>
      <c r="EK49" s="331" t="s">
        <v>190</v>
      </c>
      <c r="EL49" s="331" t="s">
        <v>190</v>
      </c>
      <c r="EM49" s="331" t="s">
        <v>190</v>
      </c>
      <c r="EN49" s="331" t="s">
        <v>190</v>
      </c>
      <c r="EO49" s="331" t="s">
        <v>190</v>
      </c>
      <c r="EP49" s="331" t="s">
        <v>190</v>
      </c>
      <c r="EQ49" s="331" t="s">
        <v>190</v>
      </c>
      <c r="ER49" s="331" t="s">
        <v>190</v>
      </c>
      <c r="ES49" s="331" t="s">
        <v>190</v>
      </c>
      <c r="ET49" s="331" t="s">
        <v>190</v>
      </c>
      <c r="EU49" s="331" t="s">
        <v>190</v>
      </c>
      <c r="EV49" s="331" t="s">
        <v>190</v>
      </c>
      <c r="EW49" s="331" t="s">
        <v>190</v>
      </c>
      <c r="EX49" s="331" t="s">
        <v>428</v>
      </c>
      <c r="EY49" s="331" t="s">
        <v>190</v>
      </c>
      <c r="EZ49" s="331" t="s">
        <v>190</v>
      </c>
      <c r="FA49" s="331" t="s">
        <v>190</v>
      </c>
      <c r="FB49" s="331" t="s">
        <v>190</v>
      </c>
      <c r="FC49" s="331" t="s">
        <v>190</v>
      </c>
      <c r="FD49" s="331" t="s">
        <v>190</v>
      </c>
      <c r="FE49" s="331" t="s">
        <v>428</v>
      </c>
      <c r="FF49" s="331" t="s">
        <v>428</v>
      </c>
      <c r="FG49" s="331" t="s">
        <v>429</v>
      </c>
      <c r="FH49" s="331" t="s">
        <v>428</v>
      </c>
      <c r="FI49" s="331" t="s">
        <v>190</v>
      </c>
      <c r="FJ49" s="331" t="s">
        <v>190</v>
      </c>
      <c r="FK49" s="331" t="s">
        <v>190</v>
      </c>
      <c r="FL49" s="331" t="s">
        <v>190</v>
      </c>
      <c r="FM49" s="331" t="s">
        <v>190</v>
      </c>
      <c r="FN49" s="331" t="s">
        <v>190</v>
      </c>
      <c r="FO49" s="331" t="s">
        <v>190</v>
      </c>
      <c r="FP49" s="331" t="s">
        <v>190</v>
      </c>
      <c r="FQ49" s="331" t="s">
        <v>190</v>
      </c>
      <c r="FR49" s="331" t="s">
        <v>190</v>
      </c>
      <c r="FS49" s="331" t="s">
        <v>190</v>
      </c>
      <c r="FT49" s="331" t="s">
        <v>190</v>
      </c>
      <c r="FU49" s="331" t="s">
        <v>190</v>
      </c>
      <c r="FV49" s="331" t="s">
        <v>190</v>
      </c>
      <c r="FW49" s="331" t="s">
        <v>190</v>
      </c>
      <c r="FX49" s="331" t="s">
        <v>190</v>
      </c>
      <c r="FY49" s="331" t="s">
        <v>190</v>
      </c>
      <c r="FZ49" s="331" t="s">
        <v>190</v>
      </c>
      <c r="GA49" s="331" t="s">
        <v>190</v>
      </c>
      <c r="GB49" s="331" t="s">
        <v>190</v>
      </c>
      <c r="GC49" s="331" t="s">
        <v>190</v>
      </c>
      <c r="GD49" s="331" t="s">
        <v>190</v>
      </c>
      <c r="GE49" s="331" t="s">
        <v>190</v>
      </c>
      <c r="GF49" s="331" t="s">
        <v>190</v>
      </c>
      <c r="GG49" s="331" t="s">
        <v>190</v>
      </c>
      <c r="GH49" s="331" t="s">
        <v>428</v>
      </c>
      <c r="GI49" s="331" t="s">
        <v>190</v>
      </c>
      <c r="GJ49" s="331" t="s">
        <v>190</v>
      </c>
      <c r="GK49" s="331" t="s">
        <v>190</v>
      </c>
      <c r="GL49" s="331" t="s">
        <v>190</v>
      </c>
      <c r="GM49" s="331" t="s">
        <v>190</v>
      </c>
      <c r="GN49" s="331" t="s">
        <v>428</v>
      </c>
      <c r="GO49" s="331" t="s">
        <v>190</v>
      </c>
      <c r="GP49" s="331" t="s">
        <v>190</v>
      </c>
      <c r="GQ49" s="331" t="s">
        <v>190</v>
      </c>
      <c r="GR49" s="331" t="s">
        <v>190</v>
      </c>
      <c r="GS49" s="331" t="s">
        <v>428</v>
      </c>
      <c r="GT49" s="331" t="s">
        <v>190</v>
      </c>
      <c r="GU49" s="331" t="s">
        <v>190</v>
      </c>
      <c r="GV49" s="331" t="s">
        <v>190</v>
      </c>
      <c r="GW49" s="331" t="s">
        <v>190</v>
      </c>
      <c r="GX49" s="331" t="s">
        <v>428</v>
      </c>
      <c r="GY49" s="331" t="s">
        <v>190</v>
      </c>
      <c r="GZ49" s="331" t="s">
        <v>190</v>
      </c>
      <c r="HA49" s="331" t="s">
        <v>190</v>
      </c>
      <c r="HB49" s="331" t="s">
        <v>190</v>
      </c>
      <c r="HC49" s="331" t="s">
        <v>190</v>
      </c>
      <c r="HD49" s="331" t="s">
        <v>190</v>
      </c>
      <c r="HE49" s="331" t="s">
        <v>190</v>
      </c>
      <c r="HF49" s="331" t="s">
        <v>190</v>
      </c>
      <c r="HG49" s="331" t="s">
        <v>190</v>
      </c>
      <c r="HH49" s="331" t="s">
        <v>190</v>
      </c>
      <c r="HI49" s="331" t="s">
        <v>428</v>
      </c>
      <c r="HJ49" s="331" t="s">
        <v>428</v>
      </c>
      <c r="HK49" s="331" t="s">
        <v>428</v>
      </c>
      <c r="HL49" s="331" t="s">
        <v>428</v>
      </c>
      <c r="HM49" s="331" t="s">
        <v>190</v>
      </c>
      <c r="HN49" s="331" t="s">
        <v>190</v>
      </c>
      <c r="HO49" s="331" t="s">
        <v>190</v>
      </c>
      <c r="HP49" s="331" t="s">
        <v>190</v>
      </c>
      <c r="HQ49" s="331" t="s">
        <v>190</v>
      </c>
      <c r="HR49" s="331" t="s">
        <v>190</v>
      </c>
      <c r="HS49" s="331" t="s">
        <v>190</v>
      </c>
      <c r="HT49" s="331" t="s">
        <v>190</v>
      </c>
      <c r="HU49" s="331" t="s">
        <v>190</v>
      </c>
      <c r="HV49" s="331" t="s">
        <v>190</v>
      </c>
      <c r="HW49" s="331" t="s">
        <v>190</v>
      </c>
      <c r="HX49" s="331" t="s">
        <v>190</v>
      </c>
      <c r="HY49" s="331" t="s">
        <v>190</v>
      </c>
      <c r="HZ49" s="331" t="s">
        <v>190</v>
      </c>
      <c r="IA49" s="331" t="s">
        <v>190</v>
      </c>
      <c r="IB49" s="331" t="s">
        <v>190</v>
      </c>
      <c r="IC49" s="331" t="s">
        <v>190</v>
      </c>
      <c r="ID49" s="331" t="s">
        <v>190</v>
      </c>
      <c r="IE49" s="331" t="s">
        <v>190</v>
      </c>
      <c r="IF49" s="331" t="s">
        <v>190</v>
      </c>
      <c r="IG49" s="331" t="s">
        <v>169</v>
      </c>
      <c r="IH49" s="331" t="s">
        <v>170</v>
      </c>
      <c r="II49" s="331" t="s">
        <v>169</v>
      </c>
      <c r="IJ49" s="331" t="s">
        <v>427</v>
      </c>
      <c r="IK49" s="331" t="s">
        <v>428</v>
      </c>
      <c r="IL49" s="331" t="s">
        <v>428</v>
      </c>
    </row>
    <row r="50" spans="1:246" x14ac:dyDescent="0.25">
      <c r="A50" s="330" t="str">
        <f>HYPERLINK("http://www.ofsted.gov.uk/inspection-reports/find-inspection-report/provider/ELS/113594 ","Ofsted School Webpage")</f>
        <v>Ofsted School Webpage</v>
      </c>
      <c r="B50" s="331">
        <v>113594</v>
      </c>
      <c r="C50" s="331">
        <v>8796001</v>
      </c>
      <c r="D50" s="331" t="s">
        <v>1413</v>
      </c>
      <c r="E50" s="331" t="s">
        <v>167</v>
      </c>
      <c r="F50" s="331" t="s">
        <v>422</v>
      </c>
      <c r="G50" s="331" t="s">
        <v>422</v>
      </c>
      <c r="H50" s="331" t="s">
        <v>1414</v>
      </c>
      <c r="I50" s="331" t="s">
        <v>1415</v>
      </c>
      <c r="J50" s="331" t="s">
        <v>66</v>
      </c>
      <c r="K50" s="331" t="s">
        <v>66</v>
      </c>
      <c r="L50" s="331" t="s">
        <v>66</v>
      </c>
      <c r="M50" s="331" t="s">
        <v>59</v>
      </c>
      <c r="N50" s="331" t="s">
        <v>424</v>
      </c>
      <c r="O50" s="333">
        <v>10107527</v>
      </c>
      <c r="P50" s="332">
        <v>43788</v>
      </c>
      <c r="Q50" s="332">
        <v>43790</v>
      </c>
      <c r="R50" s="332">
        <v>43810</v>
      </c>
      <c r="S50" s="331" t="s">
        <v>425</v>
      </c>
      <c r="T50" s="331" t="s">
        <v>426</v>
      </c>
      <c r="U50" s="331">
        <v>2</v>
      </c>
      <c r="V50" s="331">
        <v>2</v>
      </c>
      <c r="W50" s="331">
        <v>2</v>
      </c>
      <c r="X50" s="331">
        <v>1</v>
      </c>
      <c r="Y50" s="331">
        <v>2</v>
      </c>
      <c r="Z50" s="331" t="s">
        <v>169</v>
      </c>
      <c r="AA50" s="331">
        <v>1</v>
      </c>
      <c r="AB50" s="331" t="s">
        <v>173</v>
      </c>
      <c r="AC50" s="331" t="s">
        <v>427</v>
      </c>
      <c r="AD50" s="331" t="s">
        <v>171</v>
      </c>
      <c r="AE50" s="331" t="s">
        <v>190</v>
      </c>
      <c r="AF50" s="331" t="s">
        <v>190</v>
      </c>
      <c r="AG50" s="331" t="s">
        <v>190</v>
      </c>
      <c r="AH50" s="331" t="s">
        <v>190</v>
      </c>
      <c r="AI50" s="331" t="s">
        <v>190</v>
      </c>
      <c r="AJ50" s="331" t="s">
        <v>190</v>
      </c>
      <c r="AK50" s="331" t="s">
        <v>190</v>
      </c>
      <c r="AL50" s="331" t="s">
        <v>190</v>
      </c>
      <c r="AM50" s="331" t="s">
        <v>190</v>
      </c>
      <c r="AN50" s="331" t="s">
        <v>190</v>
      </c>
      <c r="AO50" s="331" t="s">
        <v>190</v>
      </c>
      <c r="AP50" s="331" t="s">
        <v>190</v>
      </c>
      <c r="AQ50" s="331" t="s">
        <v>190</v>
      </c>
      <c r="AR50" s="331" t="s">
        <v>190</v>
      </c>
      <c r="AS50" s="331" t="s">
        <v>190</v>
      </c>
      <c r="AT50" s="331" t="s">
        <v>190</v>
      </c>
      <c r="AU50" s="331" t="s">
        <v>428</v>
      </c>
      <c r="AV50" s="331" t="s">
        <v>190</v>
      </c>
      <c r="AW50" s="331" t="s">
        <v>190</v>
      </c>
      <c r="AX50" s="331" t="s">
        <v>190</v>
      </c>
      <c r="AY50" s="331" t="s">
        <v>428</v>
      </c>
      <c r="AZ50" s="331" t="s">
        <v>428</v>
      </c>
      <c r="BA50" s="331" t="s">
        <v>428</v>
      </c>
      <c r="BB50" s="331" t="s">
        <v>428</v>
      </c>
      <c r="BC50" s="331" t="s">
        <v>190</v>
      </c>
      <c r="BD50" s="331" t="s">
        <v>428</v>
      </c>
      <c r="BE50" s="331" t="s">
        <v>190</v>
      </c>
      <c r="BF50" s="331" t="s">
        <v>190</v>
      </c>
      <c r="BG50" s="331" t="s">
        <v>190</v>
      </c>
      <c r="BH50" s="331" t="s">
        <v>190</v>
      </c>
      <c r="BI50" s="331" t="s">
        <v>190</v>
      </c>
      <c r="BJ50" s="331" t="s">
        <v>190</v>
      </c>
      <c r="BK50" s="331" t="s">
        <v>190</v>
      </c>
      <c r="BL50" s="331" t="s">
        <v>190</v>
      </c>
      <c r="BM50" s="331" t="s">
        <v>190</v>
      </c>
      <c r="BN50" s="331" t="s">
        <v>190</v>
      </c>
      <c r="BO50" s="331" t="s">
        <v>190</v>
      </c>
      <c r="BP50" s="331" t="s">
        <v>190</v>
      </c>
      <c r="BQ50" s="331" t="s">
        <v>190</v>
      </c>
      <c r="BR50" s="331" t="s">
        <v>190</v>
      </c>
      <c r="BS50" s="331" t="s">
        <v>190</v>
      </c>
      <c r="BT50" s="331" t="s">
        <v>190</v>
      </c>
      <c r="BU50" s="331" t="s">
        <v>190</v>
      </c>
      <c r="BV50" s="331" t="s">
        <v>190</v>
      </c>
      <c r="BW50" s="331" t="s">
        <v>190</v>
      </c>
      <c r="BX50" s="331" t="s">
        <v>190</v>
      </c>
      <c r="BY50" s="331" t="s">
        <v>190</v>
      </c>
      <c r="BZ50" s="331" t="s">
        <v>190</v>
      </c>
      <c r="CA50" s="331" t="s">
        <v>190</v>
      </c>
      <c r="CB50" s="331" t="s">
        <v>190</v>
      </c>
      <c r="CC50" s="331" t="s">
        <v>190</v>
      </c>
      <c r="CD50" s="331" t="s">
        <v>190</v>
      </c>
      <c r="CE50" s="331" t="s">
        <v>190</v>
      </c>
      <c r="CF50" s="331" t="s">
        <v>190</v>
      </c>
      <c r="CG50" s="331" t="s">
        <v>190</v>
      </c>
      <c r="CH50" s="331" t="s">
        <v>190</v>
      </c>
      <c r="CI50" s="331" t="s">
        <v>190</v>
      </c>
      <c r="CJ50" s="331" t="s">
        <v>190</v>
      </c>
      <c r="CK50" s="331" t="s">
        <v>428</v>
      </c>
      <c r="CL50" s="331" t="s">
        <v>428</v>
      </c>
      <c r="CM50" s="331" t="s">
        <v>428</v>
      </c>
      <c r="CN50" s="331" t="s">
        <v>190</v>
      </c>
      <c r="CO50" s="331" t="s">
        <v>190</v>
      </c>
      <c r="CP50" s="331" t="s">
        <v>190</v>
      </c>
      <c r="CQ50" s="331" t="s">
        <v>190</v>
      </c>
      <c r="CR50" s="331" t="s">
        <v>190</v>
      </c>
      <c r="CS50" s="331" t="s">
        <v>190</v>
      </c>
      <c r="CT50" s="331" t="s">
        <v>190</v>
      </c>
      <c r="CU50" s="331" t="s">
        <v>190</v>
      </c>
      <c r="CV50" s="331" t="s">
        <v>190</v>
      </c>
      <c r="CW50" s="331" t="s">
        <v>190</v>
      </c>
      <c r="CX50" s="331" t="s">
        <v>190</v>
      </c>
      <c r="CY50" s="331" t="s">
        <v>190</v>
      </c>
      <c r="CZ50" s="331" t="s">
        <v>190</v>
      </c>
      <c r="DA50" s="331" t="s">
        <v>190</v>
      </c>
      <c r="DB50" s="331" t="s">
        <v>190</v>
      </c>
      <c r="DC50" s="331" t="s">
        <v>190</v>
      </c>
      <c r="DD50" s="331" t="s">
        <v>190</v>
      </c>
      <c r="DE50" s="331" t="s">
        <v>190</v>
      </c>
      <c r="DF50" s="331" t="s">
        <v>190</v>
      </c>
      <c r="DG50" s="331" t="s">
        <v>190</v>
      </c>
      <c r="DH50" s="331" t="s">
        <v>190</v>
      </c>
      <c r="DI50" s="331" t="s">
        <v>190</v>
      </c>
      <c r="DJ50" s="331" t="s">
        <v>190</v>
      </c>
      <c r="DK50" s="331" t="s">
        <v>428</v>
      </c>
      <c r="DL50" s="331" t="s">
        <v>190</v>
      </c>
      <c r="DM50" s="331" t="s">
        <v>190</v>
      </c>
      <c r="DN50" s="331" t="s">
        <v>190</v>
      </c>
      <c r="DO50" s="331" t="s">
        <v>190</v>
      </c>
      <c r="DP50" s="331" t="s">
        <v>190</v>
      </c>
      <c r="DQ50" s="331" t="s">
        <v>190</v>
      </c>
      <c r="DR50" s="331" t="s">
        <v>190</v>
      </c>
      <c r="DS50" s="331" t="s">
        <v>190</v>
      </c>
      <c r="DT50" s="331" t="s">
        <v>190</v>
      </c>
      <c r="DU50" s="331" t="s">
        <v>190</v>
      </c>
      <c r="DV50" s="331" t="s">
        <v>190</v>
      </c>
      <c r="DW50" s="331" t="s">
        <v>190</v>
      </c>
      <c r="DX50" s="331" t="s">
        <v>190</v>
      </c>
      <c r="DY50" s="331" t="s">
        <v>190</v>
      </c>
      <c r="DZ50" s="331" t="s">
        <v>428</v>
      </c>
      <c r="EA50" s="331" t="s">
        <v>190</v>
      </c>
      <c r="EB50" s="331" t="s">
        <v>190</v>
      </c>
      <c r="EC50" s="331" t="s">
        <v>190</v>
      </c>
      <c r="ED50" s="331" t="s">
        <v>190</v>
      </c>
      <c r="EE50" s="331" t="s">
        <v>190</v>
      </c>
      <c r="EF50" s="331" t="s">
        <v>190</v>
      </c>
      <c r="EG50" s="331" t="s">
        <v>190</v>
      </c>
      <c r="EH50" s="331" t="s">
        <v>190</v>
      </c>
      <c r="EI50" s="331" t="s">
        <v>190</v>
      </c>
      <c r="EJ50" s="331" t="s">
        <v>428</v>
      </c>
      <c r="EK50" s="331" t="s">
        <v>190</v>
      </c>
      <c r="EL50" s="331" t="s">
        <v>190</v>
      </c>
      <c r="EM50" s="331" t="s">
        <v>190</v>
      </c>
      <c r="EN50" s="331" t="s">
        <v>190</v>
      </c>
      <c r="EO50" s="331" t="s">
        <v>190</v>
      </c>
      <c r="EP50" s="331" t="s">
        <v>190</v>
      </c>
      <c r="EQ50" s="331" t="s">
        <v>190</v>
      </c>
      <c r="ER50" s="331" t="s">
        <v>190</v>
      </c>
      <c r="ES50" s="331" t="s">
        <v>190</v>
      </c>
      <c r="ET50" s="331" t="s">
        <v>190</v>
      </c>
      <c r="EU50" s="331" t="s">
        <v>190</v>
      </c>
      <c r="EV50" s="331" t="s">
        <v>190</v>
      </c>
      <c r="EW50" s="331" t="s">
        <v>190</v>
      </c>
      <c r="EX50" s="331" t="s">
        <v>190</v>
      </c>
      <c r="EY50" s="331" t="s">
        <v>190</v>
      </c>
      <c r="EZ50" s="331" t="s">
        <v>190</v>
      </c>
      <c r="FA50" s="331" t="s">
        <v>190</v>
      </c>
      <c r="FB50" s="331" t="s">
        <v>190</v>
      </c>
      <c r="FC50" s="331" t="s">
        <v>428</v>
      </c>
      <c r="FD50" s="331" t="s">
        <v>190</v>
      </c>
      <c r="FE50" s="331" t="s">
        <v>190</v>
      </c>
      <c r="FF50" s="331" t="s">
        <v>428</v>
      </c>
      <c r="FG50" s="331" t="s">
        <v>429</v>
      </c>
      <c r="FH50" s="331" t="s">
        <v>428</v>
      </c>
      <c r="FI50" s="331" t="s">
        <v>190</v>
      </c>
      <c r="FJ50" s="331" t="s">
        <v>190</v>
      </c>
      <c r="FK50" s="331" t="s">
        <v>190</v>
      </c>
      <c r="FL50" s="331" t="s">
        <v>428</v>
      </c>
      <c r="FM50" s="331" t="s">
        <v>190</v>
      </c>
      <c r="FN50" s="331" t="s">
        <v>190</v>
      </c>
      <c r="FO50" s="331" t="s">
        <v>190</v>
      </c>
      <c r="FP50" s="331" t="s">
        <v>428</v>
      </c>
      <c r="FQ50" s="331" t="s">
        <v>190</v>
      </c>
      <c r="FR50" s="331" t="s">
        <v>190</v>
      </c>
      <c r="FS50" s="331" t="s">
        <v>190</v>
      </c>
      <c r="FT50" s="331" t="s">
        <v>190</v>
      </c>
      <c r="FU50" s="331" t="s">
        <v>190</v>
      </c>
      <c r="FV50" s="331" t="s">
        <v>190</v>
      </c>
      <c r="FW50" s="331" t="s">
        <v>190</v>
      </c>
      <c r="FX50" s="331" t="s">
        <v>190</v>
      </c>
      <c r="FY50" s="331" t="s">
        <v>190</v>
      </c>
      <c r="FZ50" s="331" t="s">
        <v>190</v>
      </c>
      <c r="GA50" s="331" t="s">
        <v>190</v>
      </c>
      <c r="GB50" s="331" t="s">
        <v>190</v>
      </c>
      <c r="GC50" s="331" t="s">
        <v>190</v>
      </c>
      <c r="GD50" s="331" t="s">
        <v>190</v>
      </c>
      <c r="GE50" s="331" t="s">
        <v>190</v>
      </c>
      <c r="GF50" s="331" t="s">
        <v>190</v>
      </c>
      <c r="GG50" s="331" t="s">
        <v>190</v>
      </c>
      <c r="GH50" s="331" t="s">
        <v>428</v>
      </c>
      <c r="GI50" s="331" t="s">
        <v>190</v>
      </c>
      <c r="GJ50" s="331" t="s">
        <v>190</v>
      </c>
      <c r="GK50" s="331" t="s">
        <v>190</v>
      </c>
      <c r="GL50" s="331" t="s">
        <v>190</v>
      </c>
      <c r="GM50" s="331" t="s">
        <v>190</v>
      </c>
      <c r="GN50" s="331" t="s">
        <v>428</v>
      </c>
      <c r="GO50" s="331" t="s">
        <v>190</v>
      </c>
      <c r="GP50" s="331" t="s">
        <v>190</v>
      </c>
      <c r="GQ50" s="331" t="s">
        <v>428</v>
      </c>
      <c r="GR50" s="331" t="s">
        <v>428</v>
      </c>
      <c r="GS50" s="331" t="s">
        <v>428</v>
      </c>
      <c r="GT50" s="331" t="s">
        <v>190</v>
      </c>
      <c r="GU50" s="331" t="s">
        <v>190</v>
      </c>
      <c r="GV50" s="331" t="s">
        <v>190</v>
      </c>
      <c r="GW50" s="331" t="s">
        <v>428</v>
      </c>
      <c r="GX50" s="331" t="s">
        <v>190</v>
      </c>
      <c r="GY50" s="331" t="s">
        <v>190</v>
      </c>
      <c r="GZ50" s="331" t="s">
        <v>190</v>
      </c>
      <c r="HA50" s="331" t="s">
        <v>190</v>
      </c>
      <c r="HB50" s="331" t="s">
        <v>190</v>
      </c>
      <c r="HC50" s="331" t="s">
        <v>190</v>
      </c>
      <c r="HD50" s="331" t="s">
        <v>190</v>
      </c>
      <c r="HE50" s="331" t="s">
        <v>190</v>
      </c>
      <c r="HF50" s="331" t="s">
        <v>190</v>
      </c>
      <c r="HG50" s="331" t="s">
        <v>190</v>
      </c>
      <c r="HH50" s="331" t="s">
        <v>190</v>
      </c>
      <c r="HI50" s="331" t="s">
        <v>428</v>
      </c>
      <c r="HJ50" s="331" t="s">
        <v>428</v>
      </c>
      <c r="HK50" s="331" t="s">
        <v>428</v>
      </c>
      <c r="HL50" s="331" t="s">
        <v>428</v>
      </c>
      <c r="HM50" s="331" t="s">
        <v>190</v>
      </c>
      <c r="HN50" s="331" t="s">
        <v>190</v>
      </c>
      <c r="HO50" s="331" t="s">
        <v>190</v>
      </c>
      <c r="HP50" s="331" t="s">
        <v>190</v>
      </c>
      <c r="HQ50" s="331" t="s">
        <v>190</v>
      </c>
      <c r="HR50" s="331" t="s">
        <v>190</v>
      </c>
      <c r="HS50" s="331" t="s">
        <v>190</v>
      </c>
      <c r="HT50" s="331" t="s">
        <v>190</v>
      </c>
      <c r="HU50" s="331" t="s">
        <v>190</v>
      </c>
      <c r="HV50" s="331" t="s">
        <v>190</v>
      </c>
      <c r="HW50" s="331" t="s">
        <v>190</v>
      </c>
      <c r="HX50" s="331" t="s">
        <v>190</v>
      </c>
      <c r="HY50" s="331" t="s">
        <v>190</v>
      </c>
      <c r="HZ50" s="331" t="s">
        <v>190</v>
      </c>
      <c r="IA50" s="331" t="s">
        <v>190</v>
      </c>
      <c r="IB50" s="331" t="s">
        <v>190</v>
      </c>
      <c r="IC50" s="331" t="s">
        <v>190</v>
      </c>
      <c r="ID50" s="331" t="s">
        <v>190</v>
      </c>
      <c r="IE50" s="331" t="s">
        <v>190</v>
      </c>
      <c r="IF50" s="331" t="s">
        <v>190</v>
      </c>
      <c r="IG50" s="331" t="s">
        <v>170</v>
      </c>
      <c r="IH50" s="331" t="s">
        <v>429</v>
      </c>
      <c r="II50" s="331" t="s">
        <v>169</v>
      </c>
      <c r="IJ50" s="331" t="s">
        <v>427</v>
      </c>
      <c r="IK50" s="331" t="s">
        <v>190</v>
      </c>
      <c r="IL50" s="331" t="s">
        <v>190</v>
      </c>
    </row>
    <row r="51" spans="1:246" x14ac:dyDescent="0.25">
      <c r="A51" s="330" t="str">
        <f>HYPERLINK("http://www.ofsted.gov.uk/inspection-reports/find-inspection-report/provider/ELS/135111 ","Ofsted School Webpage")</f>
        <v>Ofsted School Webpage</v>
      </c>
      <c r="B51" s="331">
        <v>135111</v>
      </c>
      <c r="C51" s="331">
        <v>9386272</v>
      </c>
      <c r="D51" s="331" t="s">
        <v>1882</v>
      </c>
      <c r="E51" s="331" t="s">
        <v>168</v>
      </c>
      <c r="F51" s="331" t="s">
        <v>514</v>
      </c>
      <c r="G51" s="331" t="s">
        <v>514</v>
      </c>
      <c r="H51" s="331" t="s">
        <v>737</v>
      </c>
      <c r="I51" s="331" t="s">
        <v>1883</v>
      </c>
      <c r="J51" s="331" t="s">
        <v>81</v>
      </c>
      <c r="K51" s="331" t="s">
        <v>81</v>
      </c>
      <c r="L51" s="331" t="s">
        <v>81</v>
      </c>
      <c r="M51" s="331" t="s">
        <v>78</v>
      </c>
      <c r="N51" s="331" t="s">
        <v>424</v>
      </c>
      <c r="O51" s="333">
        <v>10128863</v>
      </c>
      <c r="P51" s="332">
        <v>43788</v>
      </c>
      <c r="Q51" s="332">
        <v>43790</v>
      </c>
      <c r="R51" s="332">
        <v>43807</v>
      </c>
      <c r="S51" s="331" t="s">
        <v>425</v>
      </c>
      <c r="T51" s="331" t="s">
        <v>426</v>
      </c>
      <c r="U51" s="331">
        <v>3</v>
      </c>
      <c r="V51" s="331">
        <v>3</v>
      </c>
      <c r="W51" s="331">
        <v>3</v>
      </c>
      <c r="X51" s="331">
        <v>2</v>
      </c>
      <c r="Y51" s="331">
        <v>3</v>
      </c>
      <c r="Z51" s="331" t="s">
        <v>169</v>
      </c>
      <c r="AA51" s="331" t="s">
        <v>173</v>
      </c>
      <c r="AB51" s="331" t="s">
        <v>173</v>
      </c>
      <c r="AC51" s="331" t="s">
        <v>427</v>
      </c>
      <c r="AD51" s="331" t="s">
        <v>171</v>
      </c>
      <c r="AE51" s="331" t="s">
        <v>190</v>
      </c>
      <c r="AF51" s="331" t="s">
        <v>190</v>
      </c>
      <c r="AG51" s="331" t="s">
        <v>190</v>
      </c>
      <c r="AH51" s="331" t="s">
        <v>190</v>
      </c>
      <c r="AI51" s="331" t="s">
        <v>190</v>
      </c>
      <c r="AJ51" s="331" t="s">
        <v>190</v>
      </c>
      <c r="AK51" s="331" t="s">
        <v>190</v>
      </c>
      <c r="AL51" s="331" t="s">
        <v>190</v>
      </c>
      <c r="AM51" s="331" t="s">
        <v>190</v>
      </c>
      <c r="AN51" s="331" t="s">
        <v>190</v>
      </c>
      <c r="AO51" s="331" t="s">
        <v>190</v>
      </c>
      <c r="AP51" s="331" t="s">
        <v>190</v>
      </c>
      <c r="AQ51" s="331" t="s">
        <v>190</v>
      </c>
      <c r="AR51" s="331" t="s">
        <v>190</v>
      </c>
      <c r="AS51" s="331" t="s">
        <v>190</v>
      </c>
      <c r="AT51" s="331" t="s">
        <v>190</v>
      </c>
      <c r="AU51" s="331" t="s">
        <v>428</v>
      </c>
      <c r="AV51" s="331" t="s">
        <v>190</v>
      </c>
      <c r="AW51" s="331" t="s">
        <v>190</v>
      </c>
      <c r="AX51" s="331" t="s">
        <v>190</v>
      </c>
      <c r="AY51" s="331" t="s">
        <v>190</v>
      </c>
      <c r="AZ51" s="331" t="s">
        <v>190</v>
      </c>
      <c r="BA51" s="331" t="s">
        <v>190</v>
      </c>
      <c r="BB51" s="331" t="s">
        <v>190</v>
      </c>
      <c r="BC51" s="331" t="s">
        <v>428</v>
      </c>
      <c r="BD51" s="331" t="s">
        <v>428</v>
      </c>
      <c r="BE51" s="331" t="s">
        <v>190</v>
      </c>
      <c r="BF51" s="331" t="s">
        <v>190</v>
      </c>
      <c r="BG51" s="331" t="s">
        <v>190</v>
      </c>
      <c r="BH51" s="331" t="s">
        <v>190</v>
      </c>
      <c r="BI51" s="331" t="s">
        <v>190</v>
      </c>
      <c r="BJ51" s="331" t="s">
        <v>190</v>
      </c>
      <c r="BK51" s="331" t="s">
        <v>190</v>
      </c>
      <c r="BL51" s="331" t="s">
        <v>190</v>
      </c>
      <c r="BM51" s="331" t="s">
        <v>190</v>
      </c>
      <c r="BN51" s="331" t="s">
        <v>190</v>
      </c>
      <c r="BO51" s="331" t="s">
        <v>190</v>
      </c>
      <c r="BP51" s="331" t="s">
        <v>190</v>
      </c>
      <c r="BQ51" s="331" t="s">
        <v>190</v>
      </c>
      <c r="BR51" s="331" t="s">
        <v>190</v>
      </c>
      <c r="BS51" s="331" t="s">
        <v>190</v>
      </c>
      <c r="BT51" s="331" t="s">
        <v>190</v>
      </c>
      <c r="BU51" s="331" t="s">
        <v>190</v>
      </c>
      <c r="BV51" s="331" t="s">
        <v>190</v>
      </c>
      <c r="BW51" s="331" t="s">
        <v>190</v>
      </c>
      <c r="BX51" s="331" t="s">
        <v>190</v>
      </c>
      <c r="BY51" s="331" t="s">
        <v>190</v>
      </c>
      <c r="BZ51" s="331" t="s">
        <v>190</v>
      </c>
      <c r="CA51" s="331" t="s">
        <v>190</v>
      </c>
      <c r="CB51" s="331" t="s">
        <v>190</v>
      </c>
      <c r="CC51" s="331" t="s">
        <v>190</v>
      </c>
      <c r="CD51" s="331" t="s">
        <v>190</v>
      </c>
      <c r="CE51" s="331" t="s">
        <v>190</v>
      </c>
      <c r="CF51" s="331" t="s">
        <v>190</v>
      </c>
      <c r="CG51" s="331" t="s">
        <v>190</v>
      </c>
      <c r="CH51" s="331" t="s">
        <v>190</v>
      </c>
      <c r="CI51" s="331" t="s">
        <v>190</v>
      </c>
      <c r="CJ51" s="331" t="s">
        <v>190</v>
      </c>
      <c r="CK51" s="331" t="s">
        <v>428</v>
      </c>
      <c r="CL51" s="331" t="s">
        <v>428</v>
      </c>
      <c r="CM51" s="331" t="s">
        <v>428</v>
      </c>
      <c r="CN51" s="331" t="s">
        <v>190</v>
      </c>
      <c r="CO51" s="331" t="s">
        <v>190</v>
      </c>
      <c r="CP51" s="331" t="s">
        <v>190</v>
      </c>
      <c r="CQ51" s="331" t="s">
        <v>190</v>
      </c>
      <c r="CR51" s="331" t="s">
        <v>190</v>
      </c>
      <c r="CS51" s="331" t="s">
        <v>190</v>
      </c>
      <c r="CT51" s="331" t="s">
        <v>190</v>
      </c>
      <c r="CU51" s="331" t="s">
        <v>190</v>
      </c>
      <c r="CV51" s="331" t="s">
        <v>190</v>
      </c>
      <c r="CW51" s="331" t="s">
        <v>190</v>
      </c>
      <c r="CX51" s="331" t="s">
        <v>190</v>
      </c>
      <c r="CY51" s="331" t="s">
        <v>190</v>
      </c>
      <c r="CZ51" s="331" t="s">
        <v>190</v>
      </c>
      <c r="DA51" s="331" t="s">
        <v>190</v>
      </c>
      <c r="DB51" s="331" t="s">
        <v>190</v>
      </c>
      <c r="DC51" s="331" t="s">
        <v>190</v>
      </c>
      <c r="DD51" s="331" t="s">
        <v>190</v>
      </c>
      <c r="DE51" s="331" t="s">
        <v>190</v>
      </c>
      <c r="DF51" s="331" t="s">
        <v>190</v>
      </c>
      <c r="DG51" s="331" t="s">
        <v>190</v>
      </c>
      <c r="DH51" s="331" t="s">
        <v>190</v>
      </c>
      <c r="DI51" s="331" t="s">
        <v>190</v>
      </c>
      <c r="DJ51" s="331" t="s">
        <v>190</v>
      </c>
      <c r="DK51" s="331" t="s">
        <v>428</v>
      </c>
      <c r="DL51" s="331" t="s">
        <v>190</v>
      </c>
      <c r="DM51" s="331" t="s">
        <v>190</v>
      </c>
      <c r="DN51" s="331" t="s">
        <v>190</v>
      </c>
      <c r="DO51" s="331" t="s">
        <v>190</v>
      </c>
      <c r="DP51" s="331" t="s">
        <v>190</v>
      </c>
      <c r="DQ51" s="331" t="s">
        <v>190</v>
      </c>
      <c r="DR51" s="331" t="s">
        <v>190</v>
      </c>
      <c r="DS51" s="331" t="s">
        <v>190</v>
      </c>
      <c r="DT51" s="331" t="s">
        <v>190</v>
      </c>
      <c r="DU51" s="331" t="s">
        <v>190</v>
      </c>
      <c r="DV51" s="331" t="s">
        <v>190</v>
      </c>
      <c r="DW51" s="331" t="s">
        <v>190</v>
      </c>
      <c r="DX51" s="331" t="s">
        <v>190</v>
      </c>
      <c r="DY51" s="331" t="s">
        <v>190</v>
      </c>
      <c r="DZ51" s="331" t="s">
        <v>428</v>
      </c>
      <c r="EA51" s="331" t="s">
        <v>190</v>
      </c>
      <c r="EB51" s="331" t="s">
        <v>190</v>
      </c>
      <c r="EC51" s="331" t="s">
        <v>190</v>
      </c>
      <c r="ED51" s="331" t="s">
        <v>190</v>
      </c>
      <c r="EE51" s="331" t="s">
        <v>190</v>
      </c>
      <c r="EF51" s="331" t="s">
        <v>190</v>
      </c>
      <c r="EG51" s="331" t="s">
        <v>190</v>
      </c>
      <c r="EH51" s="331" t="s">
        <v>190</v>
      </c>
      <c r="EI51" s="331" t="s">
        <v>190</v>
      </c>
      <c r="EJ51" s="331" t="s">
        <v>190</v>
      </c>
      <c r="EK51" s="331" t="s">
        <v>190</v>
      </c>
      <c r="EL51" s="331" t="s">
        <v>190</v>
      </c>
      <c r="EM51" s="331" t="s">
        <v>190</v>
      </c>
      <c r="EN51" s="331" t="s">
        <v>190</v>
      </c>
      <c r="EO51" s="331" t="s">
        <v>190</v>
      </c>
      <c r="EP51" s="331" t="s">
        <v>190</v>
      </c>
      <c r="EQ51" s="331" t="s">
        <v>190</v>
      </c>
      <c r="ER51" s="331" t="s">
        <v>190</v>
      </c>
      <c r="ES51" s="331" t="s">
        <v>190</v>
      </c>
      <c r="ET51" s="331" t="s">
        <v>190</v>
      </c>
      <c r="EU51" s="331" t="s">
        <v>190</v>
      </c>
      <c r="EV51" s="331" t="s">
        <v>190</v>
      </c>
      <c r="EW51" s="331" t="s">
        <v>190</v>
      </c>
      <c r="EX51" s="331" t="s">
        <v>428</v>
      </c>
      <c r="EY51" s="331" t="s">
        <v>190</v>
      </c>
      <c r="EZ51" s="331" t="s">
        <v>190</v>
      </c>
      <c r="FA51" s="331" t="s">
        <v>190</v>
      </c>
      <c r="FB51" s="331" t="s">
        <v>190</v>
      </c>
      <c r="FC51" s="331" t="s">
        <v>190</v>
      </c>
      <c r="FD51" s="331" t="s">
        <v>190</v>
      </c>
      <c r="FE51" s="331" t="s">
        <v>190</v>
      </c>
      <c r="FF51" s="331" t="s">
        <v>190</v>
      </c>
      <c r="FG51" s="331" t="s">
        <v>190</v>
      </c>
      <c r="FH51" s="331" t="s">
        <v>190</v>
      </c>
      <c r="FI51" s="331" t="s">
        <v>190</v>
      </c>
      <c r="FJ51" s="331" t="s">
        <v>190</v>
      </c>
      <c r="FK51" s="331" t="s">
        <v>190</v>
      </c>
      <c r="FL51" s="331" t="s">
        <v>190</v>
      </c>
      <c r="FM51" s="331" t="s">
        <v>190</v>
      </c>
      <c r="FN51" s="331" t="s">
        <v>190</v>
      </c>
      <c r="FO51" s="331" t="s">
        <v>190</v>
      </c>
      <c r="FP51" s="331" t="s">
        <v>428</v>
      </c>
      <c r="FQ51" s="331" t="s">
        <v>190</v>
      </c>
      <c r="FR51" s="331" t="s">
        <v>190</v>
      </c>
      <c r="FS51" s="331" t="s">
        <v>190</v>
      </c>
      <c r="FT51" s="331" t="s">
        <v>190</v>
      </c>
      <c r="FU51" s="331" t="s">
        <v>190</v>
      </c>
      <c r="FV51" s="331" t="s">
        <v>190</v>
      </c>
      <c r="FW51" s="331" t="s">
        <v>190</v>
      </c>
      <c r="FX51" s="331" t="s">
        <v>190</v>
      </c>
      <c r="FY51" s="331" t="s">
        <v>190</v>
      </c>
      <c r="FZ51" s="331" t="s">
        <v>190</v>
      </c>
      <c r="GA51" s="331" t="s">
        <v>190</v>
      </c>
      <c r="GB51" s="331" t="s">
        <v>190</v>
      </c>
      <c r="GC51" s="331" t="s">
        <v>190</v>
      </c>
      <c r="GD51" s="331" t="s">
        <v>190</v>
      </c>
      <c r="GE51" s="331" t="s">
        <v>190</v>
      </c>
      <c r="GF51" s="331" t="s">
        <v>190</v>
      </c>
      <c r="GG51" s="331" t="s">
        <v>190</v>
      </c>
      <c r="GH51" s="331" t="s">
        <v>428</v>
      </c>
      <c r="GI51" s="331" t="s">
        <v>190</v>
      </c>
      <c r="GJ51" s="331" t="s">
        <v>190</v>
      </c>
      <c r="GK51" s="331" t="s">
        <v>190</v>
      </c>
      <c r="GL51" s="331" t="s">
        <v>190</v>
      </c>
      <c r="GM51" s="331" t="s">
        <v>190</v>
      </c>
      <c r="GN51" s="331" t="s">
        <v>428</v>
      </c>
      <c r="GO51" s="331" t="s">
        <v>190</v>
      </c>
      <c r="GP51" s="331" t="s">
        <v>190</v>
      </c>
      <c r="GQ51" s="331" t="s">
        <v>190</v>
      </c>
      <c r="GR51" s="331" t="s">
        <v>190</v>
      </c>
      <c r="GS51" s="331" t="s">
        <v>190</v>
      </c>
      <c r="GT51" s="331" t="s">
        <v>190</v>
      </c>
      <c r="GU51" s="331" t="s">
        <v>190</v>
      </c>
      <c r="GV51" s="331" t="s">
        <v>190</v>
      </c>
      <c r="GW51" s="331" t="s">
        <v>428</v>
      </c>
      <c r="GX51" s="331" t="s">
        <v>190</v>
      </c>
      <c r="GY51" s="331" t="s">
        <v>428</v>
      </c>
      <c r="GZ51" s="331" t="s">
        <v>190</v>
      </c>
      <c r="HA51" s="331" t="s">
        <v>190</v>
      </c>
      <c r="HB51" s="331" t="s">
        <v>190</v>
      </c>
      <c r="HC51" s="331" t="s">
        <v>190</v>
      </c>
      <c r="HD51" s="331" t="s">
        <v>190</v>
      </c>
      <c r="HE51" s="331" t="s">
        <v>190</v>
      </c>
      <c r="HF51" s="331" t="s">
        <v>190</v>
      </c>
      <c r="HG51" s="331" t="s">
        <v>190</v>
      </c>
      <c r="HH51" s="331" t="s">
        <v>190</v>
      </c>
      <c r="HI51" s="331" t="s">
        <v>190</v>
      </c>
      <c r="HJ51" s="331" t="s">
        <v>190</v>
      </c>
      <c r="HK51" s="331" t="s">
        <v>190</v>
      </c>
      <c r="HL51" s="331" t="s">
        <v>190</v>
      </c>
      <c r="HM51" s="331" t="s">
        <v>190</v>
      </c>
      <c r="HN51" s="331" t="s">
        <v>190</v>
      </c>
      <c r="HO51" s="331" t="s">
        <v>190</v>
      </c>
      <c r="HP51" s="331" t="s">
        <v>190</v>
      </c>
      <c r="HQ51" s="331" t="s">
        <v>190</v>
      </c>
      <c r="HR51" s="331" t="s">
        <v>190</v>
      </c>
      <c r="HS51" s="331" t="s">
        <v>190</v>
      </c>
      <c r="HT51" s="331" t="s">
        <v>190</v>
      </c>
      <c r="HU51" s="331" t="s">
        <v>190</v>
      </c>
      <c r="HV51" s="331" t="s">
        <v>190</v>
      </c>
      <c r="HW51" s="331" t="s">
        <v>190</v>
      </c>
      <c r="HX51" s="331" t="s">
        <v>190</v>
      </c>
      <c r="HY51" s="331" t="s">
        <v>190</v>
      </c>
      <c r="HZ51" s="331" t="s">
        <v>190</v>
      </c>
      <c r="IA51" s="331" t="s">
        <v>190</v>
      </c>
      <c r="IB51" s="331" t="s">
        <v>190</v>
      </c>
      <c r="IC51" s="331" t="s">
        <v>190</v>
      </c>
      <c r="ID51" s="331" t="s">
        <v>190</v>
      </c>
      <c r="IE51" s="331" t="s">
        <v>190</v>
      </c>
      <c r="IF51" s="331" t="s">
        <v>190</v>
      </c>
      <c r="IG51" s="331" t="s">
        <v>170</v>
      </c>
      <c r="IH51" s="331" t="s">
        <v>429</v>
      </c>
      <c r="II51" s="331" t="s">
        <v>169</v>
      </c>
      <c r="IJ51" s="331" t="s">
        <v>427</v>
      </c>
      <c r="IK51" s="331" t="s">
        <v>428</v>
      </c>
      <c r="IL51" s="331" t="s">
        <v>428</v>
      </c>
    </row>
    <row r="52" spans="1:246" x14ac:dyDescent="0.25">
      <c r="A52" s="330" t="str">
        <f>HYPERLINK("http://www.ofsted.gov.uk/inspection-reports/find-inspection-report/provider/ELS/111479 ","Ofsted School Webpage")</f>
        <v>Ofsted School Webpage</v>
      </c>
      <c r="B52" s="331">
        <v>111479</v>
      </c>
      <c r="C52" s="331">
        <v>8956013</v>
      </c>
      <c r="D52" s="331" t="s">
        <v>1397</v>
      </c>
      <c r="E52" s="331" t="s">
        <v>167</v>
      </c>
      <c r="F52" s="331" t="s">
        <v>431</v>
      </c>
      <c r="G52" s="331" t="s">
        <v>431</v>
      </c>
      <c r="H52" s="331" t="s">
        <v>880</v>
      </c>
      <c r="I52" s="331" t="s">
        <v>1398</v>
      </c>
      <c r="J52" s="331" t="s">
        <v>81</v>
      </c>
      <c r="K52" s="331" t="s">
        <v>59</v>
      </c>
      <c r="L52" s="331" t="s">
        <v>59</v>
      </c>
      <c r="M52" s="331" t="s">
        <v>59</v>
      </c>
      <c r="N52" s="331" t="s">
        <v>583</v>
      </c>
      <c r="O52" s="333">
        <v>10112062</v>
      </c>
      <c r="P52" s="332">
        <v>43788</v>
      </c>
      <c r="Q52" s="332">
        <v>43790</v>
      </c>
      <c r="R52" s="332">
        <v>43817</v>
      </c>
      <c r="S52" s="331" t="s">
        <v>425</v>
      </c>
      <c r="T52" s="331" t="s">
        <v>426</v>
      </c>
      <c r="U52" s="331">
        <v>2</v>
      </c>
      <c r="V52" s="331">
        <v>2</v>
      </c>
      <c r="W52" s="331">
        <v>2</v>
      </c>
      <c r="X52" s="331">
        <v>2</v>
      </c>
      <c r="Y52" s="331">
        <v>2</v>
      </c>
      <c r="Z52" s="331" t="s">
        <v>169</v>
      </c>
      <c r="AA52" s="331">
        <v>2</v>
      </c>
      <c r="AB52" s="331" t="s">
        <v>173</v>
      </c>
      <c r="AC52" s="331" t="s">
        <v>427</v>
      </c>
      <c r="AD52" s="331" t="s">
        <v>171</v>
      </c>
      <c r="AE52" s="331" t="s">
        <v>190</v>
      </c>
      <c r="AF52" s="331" t="s">
        <v>190</v>
      </c>
      <c r="AG52" s="331" t="s">
        <v>190</v>
      </c>
      <c r="AH52" s="331" t="s">
        <v>190</v>
      </c>
      <c r="AI52" s="331" t="s">
        <v>190</v>
      </c>
      <c r="AJ52" s="331" t="s">
        <v>190</v>
      </c>
      <c r="AK52" s="331" t="s">
        <v>190</v>
      </c>
      <c r="AL52" s="331" t="s">
        <v>190</v>
      </c>
      <c r="AM52" s="331" t="s">
        <v>190</v>
      </c>
      <c r="AN52" s="331" t="s">
        <v>190</v>
      </c>
      <c r="AO52" s="331" t="s">
        <v>190</v>
      </c>
      <c r="AP52" s="331" t="s">
        <v>190</v>
      </c>
      <c r="AQ52" s="331" t="s">
        <v>190</v>
      </c>
      <c r="AR52" s="331" t="s">
        <v>190</v>
      </c>
      <c r="AS52" s="331" t="s">
        <v>190</v>
      </c>
      <c r="AT52" s="331" t="s">
        <v>190</v>
      </c>
      <c r="AU52" s="331" t="s">
        <v>428</v>
      </c>
      <c r="AV52" s="331" t="s">
        <v>190</v>
      </c>
      <c r="AW52" s="331" t="s">
        <v>190</v>
      </c>
      <c r="AX52" s="331" t="s">
        <v>190</v>
      </c>
      <c r="AY52" s="331" t="s">
        <v>428</v>
      </c>
      <c r="AZ52" s="331" t="s">
        <v>428</v>
      </c>
      <c r="BA52" s="331" t="s">
        <v>428</v>
      </c>
      <c r="BB52" s="331" t="s">
        <v>428</v>
      </c>
      <c r="BC52" s="331" t="s">
        <v>190</v>
      </c>
      <c r="BD52" s="331" t="s">
        <v>428</v>
      </c>
      <c r="BE52" s="331" t="s">
        <v>190</v>
      </c>
      <c r="BF52" s="331" t="s">
        <v>190</v>
      </c>
      <c r="BG52" s="331" t="s">
        <v>190</v>
      </c>
      <c r="BH52" s="331" t="s">
        <v>190</v>
      </c>
      <c r="BI52" s="331" t="s">
        <v>190</v>
      </c>
      <c r="BJ52" s="331" t="s">
        <v>190</v>
      </c>
      <c r="BK52" s="331" t="s">
        <v>190</v>
      </c>
      <c r="BL52" s="331" t="s">
        <v>190</v>
      </c>
      <c r="BM52" s="331" t="s">
        <v>190</v>
      </c>
      <c r="BN52" s="331" t="s">
        <v>190</v>
      </c>
      <c r="BO52" s="331" t="s">
        <v>190</v>
      </c>
      <c r="BP52" s="331" t="s">
        <v>190</v>
      </c>
      <c r="BQ52" s="331" t="s">
        <v>190</v>
      </c>
      <c r="BR52" s="331" t="s">
        <v>190</v>
      </c>
      <c r="BS52" s="331" t="s">
        <v>190</v>
      </c>
      <c r="BT52" s="331" t="s">
        <v>190</v>
      </c>
      <c r="BU52" s="331" t="s">
        <v>190</v>
      </c>
      <c r="BV52" s="331" t="s">
        <v>190</v>
      </c>
      <c r="BW52" s="331" t="s">
        <v>190</v>
      </c>
      <c r="BX52" s="331" t="s">
        <v>190</v>
      </c>
      <c r="BY52" s="331" t="s">
        <v>190</v>
      </c>
      <c r="BZ52" s="331" t="s">
        <v>190</v>
      </c>
      <c r="CA52" s="331" t="s">
        <v>190</v>
      </c>
      <c r="CB52" s="331" t="s">
        <v>190</v>
      </c>
      <c r="CC52" s="331" t="s">
        <v>190</v>
      </c>
      <c r="CD52" s="331" t="s">
        <v>190</v>
      </c>
      <c r="CE52" s="331" t="s">
        <v>190</v>
      </c>
      <c r="CF52" s="331" t="s">
        <v>190</v>
      </c>
      <c r="CG52" s="331" t="s">
        <v>190</v>
      </c>
      <c r="CH52" s="331" t="s">
        <v>190</v>
      </c>
      <c r="CI52" s="331" t="s">
        <v>190</v>
      </c>
      <c r="CJ52" s="331" t="s">
        <v>190</v>
      </c>
      <c r="CK52" s="331" t="s">
        <v>428</v>
      </c>
      <c r="CL52" s="331" t="s">
        <v>428</v>
      </c>
      <c r="CM52" s="331" t="s">
        <v>428</v>
      </c>
      <c r="CN52" s="331" t="s">
        <v>190</v>
      </c>
      <c r="CO52" s="331" t="s">
        <v>190</v>
      </c>
      <c r="CP52" s="331" t="s">
        <v>190</v>
      </c>
      <c r="CQ52" s="331" t="s">
        <v>190</v>
      </c>
      <c r="CR52" s="331" t="s">
        <v>190</v>
      </c>
      <c r="CS52" s="331" t="s">
        <v>190</v>
      </c>
      <c r="CT52" s="331" t="s">
        <v>190</v>
      </c>
      <c r="CU52" s="331" t="s">
        <v>190</v>
      </c>
      <c r="CV52" s="331" t="s">
        <v>190</v>
      </c>
      <c r="CW52" s="331" t="s">
        <v>190</v>
      </c>
      <c r="CX52" s="331" t="s">
        <v>190</v>
      </c>
      <c r="CY52" s="331" t="s">
        <v>190</v>
      </c>
      <c r="CZ52" s="331" t="s">
        <v>190</v>
      </c>
      <c r="DA52" s="331" t="s">
        <v>190</v>
      </c>
      <c r="DB52" s="331" t="s">
        <v>190</v>
      </c>
      <c r="DC52" s="331" t="s">
        <v>190</v>
      </c>
      <c r="DD52" s="331" t="s">
        <v>190</v>
      </c>
      <c r="DE52" s="331" t="s">
        <v>190</v>
      </c>
      <c r="DF52" s="331" t="s">
        <v>190</v>
      </c>
      <c r="DG52" s="331" t="s">
        <v>190</v>
      </c>
      <c r="DH52" s="331" t="s">
        <v>190</v>
      </c>
      <c r="DI52" s="331" t="s">
        <v>190</v>
      </c>
      <c r="DJ52" s="331" t="s">
        <v>190</v>
      </c>
      <c r="DK52" s="331" t="s">
        <v>428</v>
      </c>
      <c r="DL52" s="331" t="s">
        <v>190</v>
      </c>
      <c r="DM52" s="331" t="s">
        <v>190</v>
      </c>
      <c r="DN52" s="331" t="s">
        <v>190</v>
      </c>
      <c r="DO52" s="331" t="s">
        <v>190</v>
      </c>
      <c r="DP52" s="331" t="s">
        <v>190</v>
      </c>
      <c r="DQ52" s="331" t="s">
        <v>190</v>
      </c>
      <c r="DR52" s="331" t="s">
        <v>190</v>
      </c>
      <c r="DS52" s="331" t="s">
        <v>428</v>
      </c>
      <c r="DT52" s="331" t="s">
        <v>190</v>
      </c>
      <c r="DU52" s="331" t="s">
        <v>428</v>
      </c>
      <c r="DV52" s="331" t="s">
        <v>428</v>
      </c>
      <c r="DW52" s="331" t="s">
        <v>190</v>
      </c>
      <c r="DX52" s="331" t="s">
        <v>190</v>
      </c>
      <c r="DY52" s="331" t="s">
        <v>190</v>
      </c>
      <c r="DZ52" s="331" t="s">
        <v>428</v>
      </c>
      <c r="EA52" s="331" t="s">
        <v>190</v>
      </c>
      <c r="EB52" s="331" t="s">
        <v>428</v>
      </c>
      <c r="EC52" s="331" t="s">
        <v>428</v>
      </c>
      <c r="ED52" s="331" t="s">
        <v>428</v>
      </c>
      <c r="EE52" s="331" t="s">
        <v>428</v>
      </c>
      <c r="EF52" s="331" t="s">
        <v>428</v>
      </c>
      <c r="EG52" s="331" t="s">
        <v>428</v>
      </c>
      <c r="EH52" s="331" t="s">
        <v>428</v>
      </c>
      <c r="EI52" s="331" t="s">
        <v>428</v>
      </c>
      <c r="EJ52" s="331" t="s">
        <v>428</v>
      </c>
      <c r="EK52" s="331" t="s">
        <v>190</v>
      </c>
      <c r="EL52" s="331" t="s">
        <v>190</v>
      </c>
      <c r="EM52" s="331" t="s">
        <v>190</v>
      </c>
      <c r="EN52" s="331" t="s">
        <v>190</v>
      </c>
      <c r="EO52" s="331" t="s">
        <v>190</v>
      </c>
      <c r="EP52" s="331" t="s">
        <v>190</v>
      </c>
      <c r="EQ52" s="331" t="s">
        <v>190</v>
      </c>
      <c r="ER52" s="331" t="s">
        <v>190</v>
      </c>
      <c r="ES52" s="331" t="s">
        <v>190</v>
      </c>
      <c r="ET52" s="331" t="s">
        <v>190</v>
      </c>
      <c r="EU52" s="331" t="s">
        <v>190</v>
      </c>
      <c r="EV52" s="331" t="s">
        <v>190</v>
      </c>
      <c r="EW52" s="331" t="s">
        <v>190</v>
      </c>
      <c r="EX52" s="331" t="s">
        <v>190</v>
      </c>
      <c r="EY52" s="331" t="s">
        <v>428</v>
      </c>
      <c r="EZ52" s="331" t="s">
        <v>428</v>
      </c>
      <c r="FA52" s="331" t="s">
        <v>428</v>
      </c>
      <c r="FB52" s="331" t="s">
        <v>428</v>
      </c>
      <c r="FC52" s="331" t="s">
        <v>428</v>
      </c>
      <c r="FD52" s="331" t="s">
        <v>428</v>
      </c>
      <c r="FE52" s="331" t="s">
        <v>428</v>
      </c>
      <c r="FF52" s="331" t="s">
        <v>190</v>
      </c>
      <c r="FG52" s="331" t="s">
        <v>190</v>
      </c>
      <c r="FH52" s="331" t="s">
        <v>190</v>
      </c>
      <c r="FI52" s="331" t="s">
        <v>190</v>
      </c>
      <c r="FJ52" s="331" t="s">
        <v>190</v>
      </c>
      <c r="FK52" s="331" t="s">
        <v>190</v>
      </c>
      <c r="FL52" s="331" t="s">
        <v>190</v>
      </c>
      <c r="FM52" s="331" t="s">
        <v>190</v>
      </c>
      <c r="FN52" s="331" t="s">
        <v>190</v>
      </c>
      <c r="FO52" s="331" t="s">
        <v>190</v>
      </c>
      <c r="FP52" s="331" t="s">
        <v>428</v>
      </c>
      <c r="FQ52" s="331" t="s">
        <v>190</v>
      </c>
      <c r="FR52" s="331" t="s">
        <v>190</v>
      </c>
      <c r="FS52" s="331" t="s">
        <v>190</v>
      </c>
      <c r="FT52" s="331" t="s">
        <v>190</v>
      </c>
      <c r="FU52" s="331" t="s">
        <v>190</v>
      </c>
      <c r="FV52" s="331" t="s">
        <v>190</v>
      </c>
      <c r="FW52" s="331" t="s">
        <v>190</v>
      </c>
      <c r="FX52" s="331" t="s">
        <v>190</v>
      </c>
      <c r="FY52" s="331" t="s">
        <v>190</v>
      </c>
      <c r="FZ52" s="331" t="s">
        <v>190</v>
      </c>
      <c r="GA52" s="331" t="s">
        <v>190</v>
      </c>
      <c r="GB52" s="331" t="s">
        <v>190</v>
      </c>
      <c r="GC52" s="331" t="s">
        <v>190</v>
      </c>
      <c r="GD52" s="331" t="s">
        <v>190</v>
      </c>
      <c r="GE52" s="331" t="s">
        <v>190</v>
      </c>
      <c r="GF52" s="331" t="s">
        <v>190</v>
      </c>
      <c r="GG52" s="331" t="s">
        <v>190</v>
      </c>
      <c r="GH52" s="331" t="s">
        <v>428</v>
      </c>
      <c r="GI52" s="331" t="s">
        <v>190</v>
      </c>
      <c r="GJ52" s="331" t="s">
        <v>190</v>
      </c>
      <c r="GK52" s="331" t="s">
        <v>190</v>
      </c>
      <c r="GL52" s="331" t="s">
        <v>190</v>
      </c>
      <c r="GM52" s="331" t="s">
        <v>190</v>
      </c>
      <c r="GN52" s="331" t="s">
        <v>428</v>
      </c>
      <c r="GO52" s="331" t="s">
        <v>190</v>
      </c>
      <c r="GP52" s="331" t="s">
        <v>190</v>
      </c>
      <c r="GQ52" s="331" t="s">
        <v>428</v>
      </c>
      <c r="GR52" s="331" t="s">
        <v>428</v>
      </c>
      <c r="GS52" s="331" t="s">
        <v>190</v>
      </c>
      <c r="GT52" s="331" t="s">
        <v>190</v>
      </c>
      <c r="GU52" s="331" t="s">
        <v>190</v>
      </c>
      <c r="GV52" s="331" t="s">
        <v>190</v>
      </c>
      <c r="GW52" s="331" t="s">
        <v>428</v>
      </c>
      <c r="GX52" s="331" t="s">
        <v>190</v>
      </c>
      <c r="GY52" s="331" t="s">
        <v>428</v>
      </c>
      <c r="GZ52" s="331" t="s">
        <v>190</v>
      </c>
      <c r="HA52" s="331" t="s">
        <v>190</v>
      </c>
      <c r="HB52" s="331" t="s">
        <v>190</v>
      </c>
      <c r="HC52" s="331" t="s">
        <v>190</v>
      </c>
      <c r="HD52" s="331" t="s">
        <v>190</v>
      </c>
      <c r="HE52" s="331" t="s">
        <v>190</v>
      </c>
      <c r="HF52" s="331" t="s">
        <v>190</v>
      </c>
      <c r="HG52" s="331" t="s">
        <v>190</v>
      </c>
      <c r="HH52" s="331" t="s">
        <v>190</v>
      </c>
      <c r="HI52" s="331" t="s">
        <v>428</v>
      </c>
      <c r="HJ52" s="331" t="s">
        <v>428</v>
      </c>
      <c r="HK52" s="331" t="s">
        <v>428</v>
      </c>
      <c r="HL52" s="331" t="s">
        <v>428</v>
      </c>
      <c r="HM52" s="331" t="s">
        <v>190</v>
      </c>
      <c r="HN52" s="331" t="s">
        <v>190</v>
      </c>
      <c r="HO52" s="331" t="s">
        <v>190</v>
      </c>
      <c r="HP52" s="331" t="s">
        <v>190</v>
      </c>
      <c r="HQ52" s="331" t="s">
        <v>190</v>
      </c>
      <c r="HR52" s="331" t="s">
        <v>190</v>
      </c>
      <c r="HS52" s="331" t="s">
        <v>190</v>
      </c>
      <c r="HT52" s="331" t="s">
        <v>190</v>
      </c>
      <c r="HU52" s="331" t="s">
        <v>190</v>
      </c>
      <c r="HV52" s="331" t="s">
        <v>190</v>
      </c>
      <c r="HW52" s="331" t="s">
        <v>190</v>
      </c>
      <c r="HX52" s="331" t="s">
        <v>190</v>
      </c>
      <c r="HY52" s="331" t="s">
        <v>190</v>
      </c>
      <c r="HZ52" s="331" t="s">
        <v>190</v>
      </c>
      <c r="IA52" s="331" t="s">
        <v>190</v>
      </c>
      <c r="IB52" s="331" t="s">
        <v>190</v>
      </c>
      <c r="IC52" s="331" t="s">
        <v>190</v>
      </c>
      <c r="ID52" s="331" t="s">
        <v>190</v>
      </c>
      <c r="IE52" s="331" t="s">
        <v>190</v>
      </c>
      <c r="IF52" s="331" t="s">
        <v>190</v>
      </c>
      <c r="IG52" s="331" t="s">
        <v>170</v>
      </c>
      <c r="IH52" s="331" t="s">
        <v>429</v>
      </c>
      <c r="II52" s="331" t="s">
        <v>169</v>
      </c>
      <c r="IJ52" s="331" t="s">
        <v>427</v>
      </c>
      <c r="IK52" s="331" t="s">
        <v>190</v>
      </c>
      <c r="IL52" s="331" t="s">
        <v>190</v>
      </c>
    </row>
    <row r="53" spans="1:246" x14ac:dyDescent="0.25">
      <c r="A53" s="334" t="str">
        <f>HYPERLINK("http://www.ofsted.gov.uk/inspection-reports/find-inspection-report/provider/ELS/144620 ","Ofsted School Webpage")</f>
        <v>Ofsted School Webpage</v>
      </c>
      <c r="B53" s="331">
        <v>144620</v>
      </c>
      <c r="C53" s="331">
        <v>3836005</v>
      </c>
      <c r="D53" s="331" t="s">
        <v>2449</v>
      </c>
      <c r="E53" s="331" t="s">
        <v>167</v>
      </c>
      <c r="F53" s="331" t="s">
        <v>458</v>
      </c>
      <c r="G53" s="331" t="s">
        <v>459</v>
      </c>
      <c r="H53" s="331" t="s">
        <v>622</v>
      </c>
      <c r="I53" s="331" t="s">
        <v>2450</v>
      </c>
      <c r="J53" s="331" t="s">
        <v>81</v>
      </c>
      <c r="K53" s="331" t="s">
        <v>81</v>
      </c>
      <c r="L53" s="331" t="s">
        <v>81</v>
      </c>
      <c r="M53" s="331" t="s">
        <v>78</v>
      </c>
      <c r="N53" s="331" t="s">
        <v>424</v>
      </c>
      <c r="O53" s="333">
        <v>10110727</v>
      </c>
      <c r="P53" s="332">
        <v>43788</v>
      </c>
      <c r="Q53" s="332">
        <v>43790</v>
      </c>
      <c r="R53" s="332">
        <v>43815</v>
      </c>
      <c r="S53" s="331" t="s">
        <v>425</v>
      </c>
      <c r="T53" s="331" t="s">
        <v>426</v>
      </c>
      <c r="U53" s="331">
        <v>2</v>
      </c>
      <c r="V53" s="331">
        <v>2</v>
      </c>
      <c r="W53" s="331">
        <v>2</v>
      </c>
      <c r="X53" s="331">
        <v>2</v>
      </c>
      <c r="Y53" s="331">
        <v>2</v>
      </c>
      <c r="Z53" s="331" t="s">
        <v>169</v>
      </c>
      <c r="AA53" s="331" t="s">
        <v>173</v>
      </c>
      <c r="AB53" s="331" t="s">
        <v>173</v>
      </c>
      <c r="AC53" s="331" t="s">
        <v>427</v>
      </c>
      <c r="AD53" s="331" t="s">
        <v>171</v>
      </c>
      <c r="AE53" s="331" t="s">
        <v>190</v>
      </c>
      <c r="AF53" s="331" t="s">
        <v>190</v>
      </c>
      <c r="AG53" s="331" t="s">
        <v>190</v>
      </c>
      <c r="AH53" s="331" t="s">
        <v>190</v>
      </c>
      <c r="AI53" s="331" t="s">
        <v>190</v>
      </c>
      <c r="AJ53" s="331" t="s">
        <v>190</v>
      </c>
      <c r="AK53" s="331" t="s">
        <v>190</v>
      </c>
      <c r="AL53" s="331" t="s">
        <v>190</v>
      </c>
      <c r="AM53" s="331" t="s">
        <v>190</v>
      </c>
      <c r="AN53" s="331" t="s">
        <v>190</v>
      </c>
      <c r="AO53" s="331" t="s">
        <v>190</v>
      </c>
      <c r="AP53" s="331" t="s">
        <v>190</v>
      </c>
      <c r="AQ53" s="331" t="s">
        <v>190</v>
      </c>
      <c r="AR53" s="331" t="s">
        <v>190</v>
      </c>
      <c r="AS53" s="331" t="s">
        <v>190</v>
      </c>
      <c r="AT53" s="331" t="s">
        <v>190</v>
      </c>
      <c r="AU53" s="331" t="s">
        <v>190</v>
      </c>
      <c r="AV53" s="331" t="s">
        <v>190</v>
      </c>
      <c r="AW53" s="331" t="s">
        <v>190</v>
      </c>
      <c r="AX53" s="331" t="s">
        <v>190</v>
      </c>
      <c r="AY53" s="331" t="s">
        <v>428</v>
      </c>
      <c r="AZ53" s="331" t="s">
        <v>428</v>
      </c>
      <c r="BA53" s="331" t="s">
        <v>428</v>
      </c>
      <c r="BB53" s="331" t="s">
        <v>190</v>
      </c>
      <c r="BC53" s="331" t="s">
        <v>190</v>
      </c>
      <c r="BD53" s="331" t="s">
        <v>428</v>
      </c>
      <c r="BE53" s="331" t="s">
        <v>190</v>
      </c>
      <c r="BF53" s="331" t="s">
        <v>190</v>
      </c>
      <c r="BG53" s="331" t="s">
        <v>190</v>
      </c>
      <c r="BH53" s="331" t="s">
        <v>190</v>
      </c>
      <c r="BI53" s="331" t="s">
        <v>190</v>
      </c>
      <c r="BJ53" s="331" t="s">
        <v>190</v>
      </c>
      <c r="BK53" s="331" t="s">
        <v>190</v>
      </c>
      <c r="BL53" s="331" t="s">
        <v>190</v>
      </c>
      <c r="BM53" s="331" t="s">
        <v>190</v>
      </c>
      <c r="BN53" s="331" t="s">
        <v>190</v>
      </c>
      <c r="BO53" s="331" t="s">
        <v>190</v>
      </c>
      <c r="BP53" s="331" t="s">
        <v>190</v>
      </c>
      <c r="BQ53" s="331" t="s">
        <v>190</v>
      </c>
      <c r="BR53" s="331" t="s">
        <v>190</v>
      </c>
      <c r="BS53" s="331" t="s">
        <v>190</v>
      </c>
      <c r="BT53" s="331" t="s">
        <v>190</v>
      </c>
      <c r="BU53" s="331" t="s">
        <v>190</v>
      </c>
      <c r="BV53" s="331" t="s">
        <v>190</v>
      </c>
      <c r="BW53" s="331" t="s">
        <v>190</v>
      </c>
      <c r="BX53" s="331" t="s">
        <v>190</v>
      </c>
      <c r="BY53" s="331" t="s">
        <v>190</v>
      </c>
      <c r="BZ53" s="331" t="s">
        <v>190</v>
      </c>
      <c r="CA53" s="331" t="s">
        <v>190</v>
      </c>
      <c r="CB53" s="331" t="s">
        <v>190</v>
      </c>
      <c r="CC53" s="331" t="s">
        <v>190</v>
      </c>
      <c r="CD53" s="331" t="s">
        <v>190</v>
      </c>
      <c r="CE53" s="331" t="s">
        <v>190</v>
      </c>
      <c r="CF53" s="331" t="s">
        <v>190</v>
      </c>
      <c r="CG53" s="331" t="s">
        <v>190</v>
      </c>
      <c r="CH53" s="331" t="s">
        <v>190</v>
      </c>
      <c r="CI53" s="331" t="s">
        <v>190</v>
      </c>
      <c r="CJ53" s="331" t="s">
        <v>190</v>
      </c>
      <c r="CK53" s="331" t="s">
        <v>428</v>
      </c>
      <c r="CL53" s="331" t="s">
        <v>428</v>
      </c>
      <c r="CM53" s="331" t="s">
        <v>428</v>
      </c>
      <c r="CN53" s="331" t="s">
        <v>190</v>
      </c>
      <c r="CO53" s="331" t="s">
        <v>190</v>
      </c>
      <c r="CP53" s="331" t="s">
        <v>190</v>
      </c>
      <c r="CQ53" s="331" t="s">
        <v>190</v>
      </c>
      <c r="CR53" s="331" t="s">
        <v>190</v>
      </c>
      <c r="CS53" s="331" t="s">
        <v>190</v>
      </c>
      <c r="CT53" s="331" t="s">
        <v>190</v>
      </c>
      <c r="CU53" s="331" t="s">
        <v>190</v>
      </c>
      <c r="CV53" s="331" t="s">
        <v>190</v>
      </c>
      <c r="CW53" s="331" t="s">
        <v>190</v>
      </c>
      <c r="CX53" s="331" t="s">
        <v>190</v>
      </c>
      <c r="CY53" s="331" t="s">
        <v>190</v>
      </c>
      <c r="CZ53" s="331" t="s">
        <v>190</v>
      </c>
      <c r="DA53" s="331" t="s">
        <v>190</v>
      </c>
      <c r="DB53" s="331" t="s">
        <v>190</v>
      </c>
      <c r="DC53" s="331" t="s">
        <v>190</v>
      </c>
      <c r="DD53" s="331" t="s">
        <v>190</v>
      </c>
      <c r="DE53" s="331" t="s">
        <v>190</v>
      </c>
      <c r="DF53" s="331" t="s">
        <v>190</v>
      </c>
      <c r="DG53" s="331" t="s">
        <v>190</v>
      </c>
      <c r="DH53" s="331" t="s">
        <v>190</v>
      </c>
      <c r="DI53" s="331" t="s">
        <v>190</v>
      </c>
      <c r="DJ53" s="331" t="s">
        <v>190</v>
      </c>
      <c r="DK53" s="331" t="s">
        <v>428</v>
      </c>
      <c r="DL53" s="331" t="s">
        <v>190</v>
      </c>
      <c r="DM53" s="331" t="s">
        <v>428</v>
      </c>
      <c r="DN53" s="331" t="s">
        <v>428</v>
      </c>
      <c r="DO53" s="331" t="s">
        <v>428</v>
      </c>
      <c r="DP53" s="331" t="s">
        <v>428</v>
      </c>
      <c r="DQ53" s="331" t="s">
        <v>428</v>
      </c>
      <c r="DR53" s="331" t="s">
        <v>428</v>
      </c>
      <c r="DS53" s="331" t="s">
        <v>428</v>
      </c>
      <c r="DT53" s="331" t="s">
        <v>428</v>
      </c>
      <c r="DU53" s="331" t="s">
        <v>428</v>
      </c>
      <c r="DV53" s="331" t="s">
        <v>428</v>
      </c>
      <c r="DW53" s="331" t="s">
        <v>428</v>
      </c>
      <c r="DX53" s="331" t="s">
        <v>428</v>
      </c>
      <c r="DY53" s="331" t="s">
        <v>428</v>
      </c>
      <c r="DZ53" s="331" t="s">
        <v>428</v>
      </c>
      <c r="EA53" s="331" t="s">
        <v>428</v>
      </c>
      <c r="EB53" s="331" t="s">
        <v>190</v>
      </c>
      <c r="EC53" s="331" t="s">
        <v>190</v>
      </c>
      <c r="ED53" s="331" t="s">
        <v>190</v>
      </c>
      <c r="EE53" s="331" t="s">
        <v>190</v>
      </c>
      <c r="EF53" s="331" t="s">
        <v>190</v>
      </c>
      <c r="EG53" s="331" t="s">
        <v>190</v>
      </c>
      <c r="EH53" s="331" t="s">
        <v>190</v>
      </c>
      <c r="EI53" s="331" t="s">
        <v>190</v>
      </c>
      <c r="EJ53" s="331" t="s">
        <v>190</v>
      </c>
      <c r="EK53" s="331" t="s">
        <v>190</v>
      </c>
      <c r="EL53" s="331" t="s">
        <v>190</v>
      </c>
      <c r="EM53" s="331" t="s">
        <v>190</v>
      </c>
      <c r="EN53" s="331" t="s">
        <v>190</v>
      </c>
      <c r="EO53" s="331" t="s">
        <v>190</v>
      </c>
      <c r="EP53" s="331" t="s">
        <v>190</v>
      </c>
      <c r="EQ53" s="331" t="s">
        <v>190</v>
      </c>
      <c r="ER53" s="331" t="s">
        <v>190</v>
      </c>
      <c r="ES53" s="331" t="s">
        <v>190</v>
      </c>
      <c r="ET53" s="331" t="s">
        <v>190</v>
      </c>
      <c r="EU53" s="331" t="s">
        <v>190</v>
      </c>
      <c r="EV53" s="331" t="s">
        <v>190</v>
      </c>
      <c r="EW53" s="331" t="s">
        <v>190</v>
      </c>
      <c r="EX53" s="331" t="s">
        <v>190</v>
      </c>
      <c r="EY53" s="331" t="s">
        <v>190</v>
      </c>
      <c r="EZ53" s="331" t="s">
        <v>190</v>
      </c>
      <c r="FA53" s="331" t="s">
        <v>190</v>
      </c>
      <c r="FB53" s="331" t="s">
        <v>190</v>
      </c>
      <c r="FC53" s="331" t="s">
        <v>190</v>
      </c>
      <c r="FD53" s="331" t="s">
        <v>190</v>
      </c>
      <c r="FE53" s="331" t="s">
        <v>190</v>
      </c>
      <c r="FF53" s="331" t="s">
        <v>190</v>
      </c>
      <c r="FG53" s="331" t="s">
        <v>190</v>
      </c>
      <c r="FH53" s="331" t="s">
        <v>190</v>
      </c>
      <c r="FI53" s="331" t="s">
        <v>190</v>
      </c>
      <c r="FJ53" s="331" t="s">
        <v>190</v>
      </c>
      <c r="FK53" s="331" t="s">
        <v>190</v>
      </c>
      <c r="FL53" s="331" t="s">
        <v>428</v>
      </c>
      <c r="FM53" s="331" t="s">
        <v>190</v>
      </c>
      <c r="FN53" s="331" t="s">
        <v>190</v>
      </c>
      <c r="FO53" s="331" t="s">
        <v>190</v>
      </c>
      <c r="FP53" s="331" t="s">
        <v>428</v>
      </c>
      <c r="FQ53" s="331" t="s">
        <v>190</v>
      </c>
      <c r="FR53" s="331" t="s">
        <v>190</v>
      </c>
      <c r="FS53" s="331" t="s">
        <v>190</v>
      </c>
      <c r="FT53" s="331" t="s">
        <v>190</v>
      </c>
      <c r="FU53" s="331" t="s">
        <v>190</v>
      </c>
      <c r="FV53" s="331" t="s">
        <v>190</v>
      </c>
      <c r="FW53" s="331" t="s">
        <v>190</v>
      </c>
      <c r="FX53" s="331" t="s">
        <v>190</v>
      </c>
      <c r="FY53" s="331" t="s">
        <v>190</v>
      </c>
      <c r="FZ53" s="331" t="s">
        <v>190</v>
      </c>
      <c r="GA53" s="331" t="s">
        <v>190</v>
      </c>
      <c r="GB53" s="331" t="s">
        <v>190</v>
      </c>
      <c r="GC53" s="331" t="s">
        <v>190</v>
      </c>
      <c r="GD53" s="331" t="s">
        <v>190</v>
      </c>
      <c r="GE53" s="331" t="s">
        <v>190</v>
      </c>
      <c r="GF53" s="331" t="s">
        <v>190</v>
      </c>
      <c r="GG53" s="331" t="s">
        <v>190</v>
      </c>
      <c r="GH53" s="331" t="s">
        <v>190</v>
      </c>
      <c r="GI53" s="331" t="s">
        <v>190</v>
      </c>
      <c r="GJ53" s="331" t="s">
        <v>190</v>
      </c>
      <c r="GK53" s="331" t="s">
        <v>190</v>
      </c>
      <c r="GL53" s="331" t="s">
        <v>190</v>
      </c>
      <c r="GM53" s="331" t="s">
        <v>190</v>
      </c>
      <c r="GN53" s="331" t="s">
        <v>428</v>
      </c>
      <c r="GO53" s="331" t="s">
        <v>190</v>
      </c>
      <c r="GP53" s="331" t="s">
        <v>190</v>
      </c>
      <c r="GQ53" s="331" t="s">
        <v>190</v>
      </c>
      <c r="GR53" s="331" t="s">
        <v>190</v>
      </c>
      <c r="GS53" s="331" t="s">
        <v>190</v>
      </c>
      <c r="GT53" s="331" t="s">
        <v>190</v>
      </c>
      <c r="GU53" s="331" t="s">
        <v>190</v>
      </c>
      <c r="GV53" s="331" t="s">
        <v>190</v>
      </c>
      <c r="GW53" s="331" t="s">
        <v>190</v>
      </c>
      <c r="GX53" s="331" t="s">
        <v>190</v>
      </c>
      <c r="GY53" s="331" t="s">
        <v>190</v>
      </c>
      <c r="GZ53" s="331" t="s">
        <v>190</v>
      </c>
      <c r="HA53" s="331" t="s">
        <v>190</v>
      </c>
      <c r="HB53" s="331" t="s">
        <v>190</v>
      </c>
      <c r="HC53" s="331" t="s">
        <v>190</v>
      </c>
      <c r="HD53" s="331" t="s">
        <v>190</v>
      </c>
      <c r="HE53" s="331" t="s">
        <v>190</v>
      </c>
      <c r="HF53" s="331" t="s">
        <v>190</v>
      </c>
      <c r="HG53" s="331" t="s">
        <v>190</v>
      </c>
      <c r="HH53" s="331" t="s">
        <v>190</v>
      </c>
      <c r="HI53" s="331" t="s">
        <v>190</v>
      </c>
      <c r="HJ53" s="331" t="s">
        <v>190</v>
      </c>
      <c r="HK53" s="331" t="s">
        <v>190</v>
      </c>
      <c r="HL53" s="331" t="s">
        <v>190</v>
      </c>
      <c r="HM53" s="331" t="s">
        <v>190</v>
      </c>
      <c r="HN53" s="331" t="s">
        <v>190</v>
      </c>
      <c r="HO53" s="331" t="s">
        <v>190</v>
      </c>
      <c r="HP53" s="331" t="s">
        <v>190</v>
      </c>
      <c r="HQ53" s="331" t="s">
        <v>190</v>
      </c>
      <c r="HR53" s="331" t="s">
        <v>190</v>
      </c>
      <c r="HS53" s="331" t="s">
        <v>190</v>
      </c>
      <c r="HT53" s="331" t="s">
        <v>190</v>
      </c>
      <c r="HU53" s="331" t="s">
        <v>190</v>
      </c>
      <c r="HV53" s="331" t="s">
        <v>190</v>
      </c>
      <c r="HW53" s="331" t="s">
        <v>190</v>
      </c>
      <c r="HX53" s="331" t="s">
        <v>190</v>
      </c>
      <c r="HY53" s="331" t="s">
        <v>190</v>
      </c>
      <c r="HZ53" s="331" t="s">
        <v>190</v>
      </c>
      <c r="IA53" s="331" t="s">
        <v>190</v>
      </c>
      <c r="IB53" s="331" t="s">
        <v>190</v>
      </c>
      <c r="IC53" s="331" t="s">
        <v>190</v>
      </c>
      <c r="ID53" s="331" t="s">
        <v>190</v>
      </c>
      <c r="IE53" s="331" t="s">
        <v>190</v>
      </c>
      <c r="IF53" s="331" t="s">
        <v>190</v>
      </c>
      <c r="IG53" s="331" t="s">
        <v>170</v>
      </c>
      <c r="IH53" s="331" t="s">
        <v>429</v>
      </c>
      <c r="II53" s="331" t="s">
        <v>169</v>
      </c>
      <c r="IJ53" s="331" t="s">
        <v>427</v>
      </c>
      <c r="IK53" s="331" t="s">
        <v>190</v>
      </c>
      <c r="IL53" s="331" t="s">
        <v>190</v>
      </c>
    </row>
    <row r="54" spans="1:246" x14ac:dyDescent="0.25">
      <c r="A54" s="330" t="str">
        <f>HYPERLINK("http://www.ofsted.gov.uk/inspection-reports/find-inspection-report/provider/ELS/136040 ","Ofsted School Webpage")</f>
        <v>Ofsted School Webpage</v>
      </c>
      <c r="B54" s="331">
        <v>136040</v>
      </c>
      <c r="C54" s="331">
        <v>3846126</v>
      </c>
      <c r="D54" s="331" t="s">
        <v>2022</v>
      </c>
      <c r="E54" s="331" t="s">
        <v>168</v>
      </c>
      <c r="F54" s="331" t="s">
        <v>458</v>
      </c>
      <c r="G54" s="331" t="s">
        <v>459</v>
      </c>
      <c r="H54" s="331" t="s">
        <v>460</v>
      </c>
      <c r="I54" s="331" t="s">
        <v>2023</v>
      </c>
      <c r="J54" s="331" t="s">
        <v>81</v>
      </c>
      <c r="K54" s="331" t="s">
        <v>81</v>
      </c>
      <c r="L54" s="331" t="s">
        <v>81</v>
      </c>
      <c r="M54" s="331" t="s">
        <v>78</v>
      </c>
      <c r="N54" s="331" t="s">
        <v>424</v>
      </c>
      <c r="O54" s="333">
        <v>10110721</v>
      </c>
      <c r="P54" s="332">
        <v>43795</v>
      </c>
      <c r="Q54" s="332">
        <v>43797</v>
      </c>
      <c r="R54" s="332">
        <v>43822</v>
      </c>
      <c r="S54" s="331" t="s">
        <v>425</v>
      </c>
      <c r="T54" s="331" t="s">
        <v>426</v>
      </c>
      <c r="U54" s="331">
        <v>2</v>
      </c>
      <c r="V54" s="331">
        <v>2</v>
      </c>
      <c r="W54" s="331">
        <v>2</v>
      </c>
      <c r="X54" s="331">
        <v>2</v>
      </c>
      <c r="Y54" s="331">
        <v>2</v>
      </c>
      <c r="Z54" s="331" t="s">
        <v>169</v>
      </c>
      <c r="AA54" s="331" t="s">
        <v>173</v>
      </c>
      <c r="AB54" s="331" t="s">
        <v>173</v>
      </c>
      <c r="AC54" s="331" t="s">
        <v>427</v>
      </c>
      <c r="AD54" s="331" t="s">
        <v>171</v>
      </c>
      <c r="AE54" s="331" t="s">
        <v>190</v>
      </c>
      <c r="AF54" s="331" t="s">
        <v>190</v>
      </c>
      <c r="AG54" s="331" t="s">
        <v>190</v>
      </c>
      <c r="AH54" s="331" t="s">
        <v>190</v>
      </c>
      <c r="AI54" s="331" t="s">
        <v>190</v>
      </c>
      <c r="AJ54" s="331" t="s">
        <v>190</v>
      </c>
      <c r="AK54" s="331" t="s">
        <v>190</v>
      </c>
      <c r="AL54" s="331" t="s">
        <v>190</v>
      </c>
      <c r="AM54" s="331" t="s">
        <v>190</v>
      </c>
      <c r="AN54" s="331" t="s">
        <v>190</v>
      </c>
      <c r="AO54" s="331" t="s">
        <v>190</v>
      </c>
      <c r="AP54" s="331" t="s">
        <v>190</v>
      </c>
      <c r="AQ54" s="331" t="s">
        <v>190</v>
      </c>
      <c r="AR54" s="331" t="s">
        <v>190</v>
      </c>
      <c r="AS54" s="331" t="s">
        <v>190</v>
      </c>
      <c r="AT54" s="331" t="s">
        <v>190</v>
      </c>
      <c r="AU54" s="331" t="s">
        <v>190</v>
      </c>
      <c r="AV54" s="331" t="s">
        <v>190</v>
      </c>
      <c r="AW54" s="331" t="s">
        <v>190</v>
      </c>
      <c r="AX54" s="331" t="s">
        <v>190</v>
      </c>
      <c r="AY54" s="331" t="s">
        <v>190</v>
      </c>
      <c r="AZ54" s="331" t="s">
        <v>190</v>
      </c>
      <c r="BA54" s="331" t="s">
        <v>190</v>
      </c>
      <c r="BB54" s="331" t="s">
        <v>190</v>
      </c>
      <c r="BC54" s="331" t="s">
        <v>428</v>
      </c>
      <c r="BD54" s="331" t="s">
        <v>428</v>
      </c>
      <c r="BE54" s="331" t="s">
        <v>190</v>
      </c>
      <c r="BF54" s="331" t="s">
        <v>190</v>
      </c>
      <c r="BG54" s="331" t="s">
        <v>190</v>
      </c>
      <c r="BH54" s="331" t="s">
        <v>190</v>
      </c>
      <c r="BI54" s="331" t="s">
        <v>190</v>
      </c>
      <c r="BJ54" s="331" t="s">
        <v>190</v>
      </c>
      <c r="BK54" s="331" t="s">
        <v>190</v>
      </c>
      <c r="BL54" s="331" t="s">
        <v>190</v>
      </c>
      <c r="BM54" s="331" t="s">
        <v>190</v>
      </c>
      <c r="BN54" s="331" t="s">
        <v>190</v>
      </c>
      <c r="BO54" s="331" t="s">
        <v>190</v>
      </c>
      <c r="BP54" s="331" t="s">
        <v>190</v>
      </c>
      <c r="BQ54" s="331" t="s">
        <v>190</v>
      </c>
      <c r="BR54" s="331" t="s">
        <v>190</v>
      </c>
      <c r="BS54" s="331" t="s">
        <v>190</v>
      </c>
      <c r="BT54" s="331" t="s">
        <v>190</v>
      </c>
      <c r="BU54" s="331" t="s">
        <v>190</v>
      </c>
      <c r="BV54" s="331" t="s">
        <v>190</v>
      </c>
      <c r="BW54" s="331" t="s">
        <v>190</v>
      </c>
      <c r="BX54" s="331" t="s">
        <v>190</v>
      </c>
      <c r="BY54" s="331" t="s">
        <v>190</v>
      </c>
      <c r="BZ54" s="331" t="s">
        <v>190</v>
      </c>
      <c r="CA54" s="331" t="s">
        <v>190</v>
      </c>
      <c r="CB54" s="331" t="s">
        <v>190</v>
      </c>
      <c r="CC54" s="331" t="s">
        <v>190</v>
      </c>
      <c r="CD54" s="331" t="s">
        <v>190</v>
      </c>
      <c r="CE54" s="331" t="s">
        <v>190</v>
      </c>
      <c r="CF54" s="331" t="s">
        <v>190</v>
      </c>
      <c r="CG54" s="331" t="s">
        <v>190</v>
      </c>
      <c r="CH54" s="331" t="s">
        <v>190</v>
      </c>
      <c r="CI54" s="331" t="s">
        <v>190</v>
      </c>
      <c r="CJ54" s="331" t="s">
        <v>428</v>
      </c>
      <c r="CK54" s="331" t="s">
        <v>428</v>
      </c>
      <c r="CL54" s="331" t="s">
        <v>428</v>
      </c>
      <c r="CM54" s="331" t="s">
        <v>428</v>
      </c>
      <c r="CN54" s="331" t="s">
        <v>190</v>
      </c>
      <c r="CO54" s="331" t="s">
        <v>190</v>
      </c>
      <c r="CP54" s="331" t="s">
        <v>190</v>
      </c>
      <c r="CQ54" s="331" t="s">
        <v>190</v>
      </c>
      <c r="CR54" s="331" t="s">
        <v>190</v>
      </c>
      <c r="CS54" s="331" t="s">
        <v>190</v>
      </c>
      <c r="CT54" s="331" t="s">
        <v>190</v>
      </c>
      <c r="CU54" s="331" t="s">
        <v>190</v>
      </c>
      <c r="CV54" s="331" t="s">
        <v>190</v>
      </c>
      <c r="CW54" s="331" t="s">
        <v>190</v>
      </c>
      <c r="CX54" s="331" t="s">
        <v>190</v>
      </c>
      <c r="CY54" s="331" t="s">
        <v>190</v>
      </c>
      <c r="CZ54" s="331" t="s">
        <v>190</v>
      </c>
      <c r="DA54" s="331" t="s">
        <v>190</v>
      </c>
      <c r="DB54" s="331" t="s">
        <v>190</v>
      </c>
      <c r="DC54" s="331" t="s">
        <v>190</v>
      </c>
      <c r="DD54" s="331" t="s">
        <v>190</v>
      </c>
      <c r="DE54" s="331" t="s">
        <v>190</v>
      </c>
      <c r="DF54" s="331" t="s">
        <v>190</v>
      </c>
      <c r="DG54" s="331" t="s">
        <v>190</v>
      </c>
      <c r="DH54" s="331" t="s">
        <v>190</v>
      </c>
      <c r="DI54" s="331" t="s">
        <v>190</v>
      </c>
      <c r="DJ54" s="331" t="s">
        <v>190</v>
      </c>
      <c r="DK54" s="331" t="s">
        <v>428</v>
      </c>
      <c r="DL54" s="331" t="s">
        <v>190</v>
      </c>
      <c r="DM54" s="331" t="s">
        <v>190</v>
      </c>
      <c r="DN54" s="331" t="s">
        <v>190</v>
      </c>
      <c r="DO54" s="331" t="s">
        <v>190</v>
      </c>
      <c r="DP54" s="331" t="s">
        <v>190</v>
      </c>
      <c r="DQ54" s="331" t="s">
        <v>190</v>
      </c>
      <c r="DR54" s="331" t="s">
        <v>190</v>
      </c>
      <c r="DS54" s="331" t="s">
        <v>190</v>
      </c>
      <c r="DT54" s="331" t="s">
        <v>190</v>
      </c>
      <c r="DU54" s="331" t="s">
        <v>190</v>
      </c>
      <c r="DV54" s="331" t="s">
        <v>190</v>
      </c>
      <c r="DW54" s="331" t="s">
        <v>190</v>
      </c>
      <c r="DX54" s="331" t="s">
        <v>190</v>
      </c>
      <c r="DY54" s="331" t="s">
        <v>190</v>
      </c>
      <c r="DZ54" s="331" t="s">
        <v>190</v>
      </c>
      <c r="EA54" s="331" t="s">
        <v>190</v>
      </c>
      <c r="EB54" s="331" t="s">
        <v>190</v>
      </c>
      <c r="EC54" s="331" t="s">
        <v>190</v>
      </c>
      <c r="ED54" s="331" t="s">
        <v>190</v>
      </c>
      <c r="EE54" s="331" t="s">
        <v>190</v>
      </c>
      <c r="EF54" s="331" t="s">
        <v>190</v>
      </c>
      <c r="EG54" s="331" t="s">
        <v>190</v>
      </c>
      <c r="EH54" s="331" t="s">
        <v>190</v>
      </c>
      <c r="EI54" s="331" t="s">
        <v>190</v>
      </c>
      <c r="EJ54" s="331" t="s">
        <v>190</v>
      </c>
      <c r="EK54" s="331" t="s">
        <v>190</v>
      </c>
      <c r="EL54" s="331" t="s">
        <v>190</v>
      </c>
      <c r="EM54" s="331" t="s">
        <v>190</v>
      </c>
      <c r="EN54" s="331" t="s">
        <v>190</v>
      </c>
      <c r="EO54" s="331" t="s">
        <v>190</v>
      </c>
      <c r="EP54" s="331" t="s">
        <v>190</v>
      </c>
      <c r="EQ54" s="331" t="s">
        <v>190</v>
      </c>
      <c r="ER54" s="331" t="s">
        <v>190</v>
      </c>
      <c r="ES54" s="331" t="s">
        <v>190</v>
      </c>
      <c r="ET54" s="331" t="s">
        <v>190</v>
      </c>
      <c r="EU54" s="331" t="s">
        <v>190</v>
      </c>
      <c r="EV54" s="331" t="s">
        <v>190</v>
      </c>
      <c r="EW54" s="331" t="s">
        <v>190</v>
      </c>
      <c r="EX54" s="331" t="s">
        <v>190</v>
      </c>
      <c r="EY54" s="331" t="s">
        <v>190</v>
      </c>
      <c r="EZ54" s="331" t="s">
        <v>190</v>
      </c>
      <c r="FA54" s="331" t="s">
        <v>190</v>
      </c>
      <c r="FB54" s="331" t="s">
        <v>190</v>
      </c>
      <c r="FC54" s="331" t="s">
        <v>190</v>
      </c>
      <c r="FD54" s="331" t="s">
        <v>190</v>
      </c>
      <c r="FE54" s="331" t="s">
        <v>190</v>
      </c>
      <c r="FF54" s="331" t="s">
        <v>190</v>
      </c>
      <c r="FG54" s="331" t="s">
        <v>190</v>
      </c>
      <c r="FH54" s="331" t="s">
        <v>190</v>
      </c>
      <c r="FI54" s="331" t="s">
        <v>190</v>
      </c>
      <c r="FJ54" s="331" t="s">
        <v>190</v>
      </c>
      <c r="FK54" s="331" t="s">
        <v>190</v>
      </c>
      <c r="FL54" s="331" t="s">
        <v>190</v>
      </c>
      <c r="FM54" s="331" t="s">
        <v>190</v>
      </c>
      <c r="FN54" s="331" t="s">
        <v>190</v>
      </c>
      <c r="FO54" s="331" t="s">
        <v>190</v>
      </c>
      <c r="FP54" s="331" t="s">
        <v>428</v>
      </c>
      <c r="FQ54" s="331" t="s">
        <v>190</v>
      </c>
      <c r="FR54" s="331" t="s">
        <v>190</v>
      </c>
      <c r="FS54" s="331" t="s">
        <v>190</v>
      </c>
      <c r="FT54" s="331" t="s">
        <v>190</v>
      </c>
      <c r="FU54" s="331" t="s">
        <v>190</v>
      </c>
      <c r="FV54" s="331" t="s">
        <v>190</v>
      </c>
      <c r="FW54" s="331" t="s">
        <v>190</v>
      </c>
      <c r="FX54" s="331" t="s">
        <v>190</v>
      </c>
      <c r="FY54" s="331" t="s">
        <v>190</v>
      </c>
      <c r="FZ54" s="331" t="s">
        <v>190</v>
      </c>
      <c r="GA54" s="331" t="s">
        <v>190</v>
      </c>
      <c r="GB54" s="331" t="s">
        <v>190</v>
      </c>
      <c r="GC54" s="331" t="s">
        <v>190</v>
      </c>
      <c r="GD54" s="331" t="s">
        <v>190</v>
      </c>
      <c r="GE54" s="331" t="s">
        <v>190</v>
      </c>
      <c r="GF54" s="331" t="s">
        <v>190</v>
      </c>
      <c r="GG54" s="331" t="s">
        <v>190</v>
      </c>
      <c r="GH54" s="331" t="s">
        <v>428</v>
      </c>
      <c r="GI54" s="331" t="s">
        <v>190</v>
      </c>
      <c r="GJ54" s="331" t="s">
        <v>190</v>
      </c>
      <c r="GK54" s="331" t="s">
        <v>190</v>
      </c>
      <c r="GL54" s="331" t="s">
        <v>190</v>
      </c>
      <c r="GM54" s="331" t="s">
        <v>190</v>
      </c>
      <c r="GN54" s="331" t="s">
        <v>190</v>
      </c>
      <c r="GO54" s="331" t="s">
        <v>190</v>
      </c>
      <c r="GP54" s="331" t="s">
        <v>190</v>
      </c>
      <c r="GQ54" s="331" t="s">
        <v>190</v>
      </c>
      <c r="GR54" s="331" t="s">
        <v>190</v>
      </c>
      <c r="GS54" s="331" t="s">
        <v>428</v>
      </c>
      <c r="GT54" s="331" t="s">
        <v>190</v>
      </c>
      <c r="GU54" s="331" t="s">
        <v>190</v>
      </c>
      <c r="GV54" s="331" t="s">
        <v>190</v>
      </c>
      <c r="GW54" s="331" t="s">
        <v>190</v>
      </c>
      <c r="GX54" s="331" t="s">
        <v>190</v>
      </c>
      <c r="GY54" s="331" t="s">
        <v>190</v>
      </c>
      <c r="GZ54" s="331" t="s">
        <v>190</v>
      </c>
      <c r="HA54" s="331" t="s">
        <v>190</v>
      </c>
      <c r="HB54" s="331" t="s">
        <v>190</v>
      </c>
      <c r="HC54" s="331" t="s">
        <v>190</v>
      </c>
      <c r="HD54" s="331" t="s">
        <v>190</v>
      </c>
      <c r="HE54" s="331" t="s">
        <v>190</v>
      </c>
      <c r="HF54" s="331" t="s">
        <v>428</v>
      </c>
      <c r="HG54" s="331" t="s">
        <v>190</v>
      </c>
      <c r="HH54" s="331" t="s">
        <v>190</v>
      </c>
      <c r="HI54" s="331" t="s">
        <v>190</v>
      </c>
      <c r="HJ54" s="331" t="s">
        <v>428</v>
      </c>
      <c r="HK54" s="331" t="s">
        <v>428</v>
      </c>
      <c r="HL54" s="331" t="s">
        <v>428</v>
      </c>
      <c r="HM54" s="331" t="s">
        <v>190</v>
      </c>
      <c r="HN54" s="331" t="s">
        <v>190</v>
      </c>
      <c r="HO54" s="331" t="s">
        <v>190</v>
      </c>
      <c r="HP54" s="331" t="s">
        <v>190</v>
      </c>
      <c r="HQ54" s="331" t="s">
        <v>190</v>
      </c>
      <c r="HR54" s="331" t="s">
        <v>190</v>
      </c>
      <c r="HS54" s="331" t="s">
        <v>190</v>
      </c>
      <c r="HT54" s="331" t="s">
        <v>190</v>
      </c>
      <c r="HU54" s="331" t="s">
        <v>190</v>
      </c>
      <c r="HV54" s="331" t="s">
        <v>190</v>
      </c>
      <c r="HW54" s="331" t="s">
        <v>190</v>
      </c>
      <c r="HX54" s="331" t="s">
        <v>190</v>
      </c>
      <c r="HY54" s="331" t="s">
        <v>190</v>
      </c>
      <c r="HZ54" s="331" t="s">
        <v>190</v>
      </c>
      <c r="IA54" s="331" t="s">
        <v>190</v>
      </c>
      <c r="IB54" s="331" t="s">
        <v>190</v>
      </c>
      <c r="IC54" s="331" t="s">
        <v>190</v>
      </c>
      <c r="ID54" s="331" t="s">
        <v>190</v>
      </c>
      <c r="IE54" s="331" t="s">
        <v>190</v>
      </c>
      <c r="IF54" s="331" t="s">
        <v>190</v>
      </c>
      <c r="IG54" s="331" t="s">
        <v>170</v>
      </c>
      <c r="IH54" s="331" t="s">
        <v>429</v>
      </c>
      <c r="II54" s="331" t="s">
        <v>169</v>
      </c>
      <c r="IJ54" s="331" t="s">
        <v>427</v>
      </c>
      <c r="IK54" s="331" t="s">
        <v>428</v>
      </c>
      <c r="IL54" s="331" t="s">
        <v>428</v>
      </c>
    </row>
  </sheetData>
  <sheetProtection autoFilter="0"/>
  <autoFilter ref="A4:IL54" xr:uid="{545AB1FD-52F0-44A9-A0F3-A8DCE1777021}"/>
  <sortState ref="A5:IL54">
    <sortCondition ref="R5:R54"/>
  </sortState>
  <conditionalFormatting sqref="B1:B3">
    <cfRule type="duplicateValues" dxfId="5" priority="35"/>
  </conditionalFormatting>
  <conditionalFormatting sqref="B4:B54">
    <cfRule type="duplicateValues" dxfId="4" priority="36"/>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sheetPr>
  <dimension ref="A1:HV133"/>
  <sheetViews>
    <sheetView showGridLines="0" zoomScaleNormal="100" workbookViewId="0"/>
  </sheetViews>
  <sheetFormatPr defaultRowHeight="15" x14ac:dyDescent="0.25"/>
  <cols>
    <col min="1" max="1" width="25.5703125" customWidth="1"/>
    <col min="2" max="2" width="9.85546875" customWidth="1"/>
    <col min="3" max="3" width="10.85546875" bestFit="1" customWidth="1"/>
    <col min="4" max="4" width="40.140625" bestFit="1" customWidth="1"/>
    <col min="5" max="5" width="31.85546875" bestFit="1" customWidth="1"/>
    <col min="6" max="6" width="35" bestFit="1" customWidth="1"/>
    <col min="7" max="7" width="27.42578125" bestFit="1" customWidth="1"/>
    <col min="8" max="8" width="25.42578125" bestFit="1" customWidth="1"/>
    <col min="9" max="9" width="11.42578125" bestFit="1" customWidth="1"/>
    <col min="10" max="10" width="20.42578125" bestFit="1" customWidth="1"/>
    <col min="11" max="11" width="17" bestFit="1" customWidth="1"/>
    <col min="12" max="12" width="25.140625" customWidth="1"/>
    <col min="13" max="13" width="17" customWidth="1"/>
    <col min="14" max="14" width="14.42578125" bestFit="1" customWidth="1"/>
    <col min="15" max="15" width="20.42578125" bestFit="1" customWidth="1"/>
    <col min="16" max="16" width="23" bestFit="1" customWidth="1"/>
    <col min="17" max="17" width="22.5703125" bestFit="1" customWidth="1"/>
    <col min="18" max="18" width="17.85546875" bestFit="1" customWidth="1"/>
    <col min="19" max="19" width="48" customWidth="1"/>
    <col min="20" max="20" width="34.42578125" bestFit="1" customWidth="1"/>
    <col min="21" max="21" width="34.42578125" customWidth="1"/>
    <col min="22" max="22" width="41.85546875" customWidth="1"/>
    <col min="23" max="23" width="36.42578125" bestFit="1" customWidth="1"/>
    <col min="24" max="24" width="38.85546875" bestFit="1" customWidth="1"/>
    <col min="25" max="25" width="39" bestFit="1" customWidth="1"/>
    <col min="26" max="26" width="41.140625" bestFit="1" customWidth="1"/>
    <col min="27" max="27" width="41.5703125" bestFit="1" customWidth="1"/>
    <col min="28" max="28" width="36.42578125" bestFit="1" customWidth="1"/>
    <col min="29" max="29" width="38.85546875" bestFit="1" customWidth="1"/>
    <col min="30" max="30" width="39" bestFit="1" customWidth="1"/>
    <col min="31" max="31" width="38.5703125" bestFit="1" customWidth="1"/>
    <col min="32" max="32" width="39" bestFit="1" customWidth="1"/>
    <col min="33" max="33" width="41.140625" bestFit="1" customWidth="1"/>
    <col min="34" max="34" width="41.5703125" bestFit="1" customWidth="1"/>
    <col min="35" max="35" width="39" bestFit="1" customWidth="1"/>
    <col min="36" max="36" width="41.140625" bestFit="1" customWidth="1"/>
    <col min="37" max="37" width="41.5703125" bestFit="1" customWidth="1"/>
    <col min="38" max="38" width="42.42578125" bestFit="1" customWidth="1"/>
    <col min="39" max="39" width="38.5703125" bestFit="1" customWidth="1"/>
    <col min="40" max="40" width="38.85546875" bestFit="1" customWidth="1"/>
    <col min="41" max="41" width="39" bestFit="1" customWidth="1"/>
    <col min="42" max="42" width="38.42578125" bestFit="1" customWidth="1"/>
    <col min="43" max="43" width="33.85546875" bestFit="1" customWidth="1"/>
    <col min="44" max="44" width="36.42578125" bestFit="1" customWidth="1"/>
    <col min="45" max="45" width="36.5703125" bestFit="1" customWidth="1"/>
    <col min="46" max="46" width="36.42578125" bestFit="1" customWidth="1"/>
    <col min="47" max="48" width="36.5703125" bestFit="1" customWidth="1"/>
    <col min="49" max="49" width="36.140625" bestFit="1" customWidth="1"/>
    <col min="50" max="50" width="36.42578125" bestFit="1" customWidth="1"/>
    <col min="51" max="51" width="36.5703125" bestFit="1" customWidth="1"/>
    <col min="52" max="53" width="35.85546875" bestFit="1" customWidth="1"/>
    <col min="54" max="55" width="33.85546875" bestFit="1" customWidth="1"/>
    <col min="56" max="56" width="36.42578125" bestFit="1" customWidth="1"/>
    <col min="57" max="57" width="36.5703125" bestFit="1" customWidth="1"/>
    <col min="58" max="58" width="38.5703125" bestFit="1" customWidth="1"/>
    <col min="59" max="59" width="39.140625" bestFit="1" customWidth="1"/>
    <col min="60" max="61" width="39.5703125" bestFit="1" customWidth="1"/>
    <col min="62" max="62" width="39" bestFit="1" customWidth="1"/>
    <col min="63" max="63" width="39.5703125" bestFit="1" customWidth="1"/>
    <col min="64" max="64" width="40.42578125" bestFit="1" customWidth="1"/>
    <col min="65" max="65" width="36.42578125" bestFit="1" customWidth="1"/>
    <col min="66" max="66" width="36.5703125" bestFit="1" customWidth="1"/>
    <col min="67" max="67" width="38.5703125" bestFit="1" customWidth="1"/>
    <col min="68" max="68" width="39.140625" bestFit="1" customWidth="1"/>
    <col min="69" max="69" width="39.5703125" bestFit="1" customWidth="1"/>
    <col min="70" max="70" width="33.85546875" bestFit="1" customWidth="1"/>
    <col min="71" max="71" width="36.42578125" bestFit="1" customWidth="1"/>
    <col min="72" max="72" width="36.5703125" bestFit="1" customWidth="1"/>
    <col min="73" max="73" width="33.85546875" bestFit="1" customWidth="1"/>
    <col min="74" max="74" width="36.42578125" bestFit="1" customWidth="1"/>
    <col min="75" max="75" width="36.5703125" bestFit="1" customWidth="1"/>
    <col min="76" max="76" width="33.85546875" bestFit="1" customWidth="1"/>
    <col min="77" max="77" width="36.42578125" bestFit="1" customWidth="1"/>
    <col min="78" max="78" width="36.5703125" bestFit="1" customWidth="1"/>
    <col min="79" max="79" width="36.42578125" bestFit="1" customWidth="1"/>
    <col min="80" max="86" width="34.85546875" bestFit="1" customWidth="1"/>
    <col min="87" max="87" width="37.42578125" bestFit="1" customWidth="1"/>
    <col min="88" max="88" width="37.5703125" bestFit="1" customWidth="1"/>
    <col min="89" max="89" width="37.42578125" bestFit="1" customWidth="1"/>
    <col min="90" max="90" width="39.85546875" bestFit="1" customWidth="1"/>
    <col min="91" max="91" width="40" bestFit="1" customWidth="1"/>
    <col min="92" max="92" width="39.5703125" bestFit="1" customWidth="1"/>
    <col min="93" max="93" width="41.85546875" bestFit="1" customWidth="1"/>
    <col min="94" max="94" width="42.42578125" bestFit="1" customWidth="1"/>
    <col min="95" max="95" width="43" bestFit="1" customWidth="1"/>
    <col min="96" max="96" width="42.85546875" bestFit="1" customWidth="1"/>
    <col min="97" max="98" width="40" bestFit="1" customWidth="1"/>
    <col min="99" max="99" width="39.5703125" bestFit="1" customWidth="1"/>
    <col min="100" max="101" width="37.42578125" bestFit="1" customWidth="1"/>
    <col min="102" max="102" width="39.85546875" bestFit="1" customWidth="1"/>
    <col min="103" max="103" width="42" bestFit="1" customWidth="1"/>
    <col min="104" max="104" width="45.5703125" bestFit="1" customWidth="1"/>
    <col min="105" max="105" width="45.85546875" bestFit="1" customWidth="1"/>
    <col min="106" max="106" width="45.42578125" bestFit="1" customWidth="1"/>
    <col min="107" max="107" width="45.42578125" customWidth="1"/>
    <col min="108" max="108" width="42.5703125" bestFit="1" customWidth="1"/>
    <col min="109" max="109" width="40" bestFit="1" customWidth="1"/>
    <col min="110" max="110" width="39.5703125" bestFit="1" customWidth="1"/>
    <col min="111" max="111" width="40" bestFit="1" customWidth="1"/>
    <col min="112" max="112" width="42.140625" bestFit="1" customWidth="1"/>
    <col min="113" max="113" width="42.5703125" bestFit="1" customWidth="1"/>
    <col min="114" max="114" width="40" bestFit="1" customWidth="1"/>
    <col min="115" max="116" width="37.42578125" bestFit="1" customWidth="1"/>
    <col min="117" max="117" width="39.85546875" bestFit="1" customWidth="1"/>
    <col min="118" max="118" width="42" bestFit="1" customWidth="1"/>
    <col min="119" max="119" width="42.5703125" bestFit="1" customWidth="1"/>
    <col min="120" max="120" width="40" bestFit="1" customWidth="1"/>
    <col min="121" max="121" width="42.140625" bestFit="1" customWidth="1"/>
    <col min="122" max="122" width="42.5703125" bestFit="1" customWidth="1"/>
    <col min="123" max="123" width="43.42578125" bestFit="1" customWidth="1"/>
    <col min="124" max="124" width="39.5703125" bestFit="1" customWidth="1"/>
    <col min="125" max="127" width="37.42578125" bestFit="1" customWidth="1"/>
    <col min="128" max="128" width="39.85546875" bestFit="1" customWidth="1"/>
    <col min="129" max="129" width="42" bestFit="1" customWidth="1"/>
    <col min="130" max="130" width="42.5703125" bestFit="1" customWidth="1"/>
    <col min="131" max="131" width="43.140625" bestFit="1" customWidth="1"/>
    <col min="132" max="132" width="43" bestFit="1" customWidth="1"/>
    <col min="133" max="133" width="42.42578125" bestFit="1" customWidth="1"/>
    <col min="134" max="134" width="43" bestFit="1" customWidth="1"/>
    <col min="135" max="135" width="43.5703125" bestFit="1" customWidth="1"/>
    <col min="136" max="136" width="44.140625" bestFit="1" customWidth="1"/>
    <col min="137" max="137" width="40" bestFit="1" customWidth="1"/>
    <col min="138" max="139" width="37.42578125" bestFit="1" customWidth="1"/>
    <col min="140" max="140" width="39.85546875" bestFit="1" customWidth="1"/>
    <col min="141" max="141" width="42" bestFit="1" customWidth="1"/>
    <col min="142" max="142" width="42.5703125" bestFit="1" customWidth="1"/>
    <col min="143" max="143" width="40" bestFit="1" customWidth="1"/>
    <col min="144" max="144" width="39.5703125" bestFit="1" customWidth="1"/>
    <col min="145" max="146" width="37.42578125" bestFit="1" customWidth="1"/>
    <col min="147" max="147" width="39.85546875" bestFit="1" customWidth="1"/>
    <col min="148" max="148" width="40" bestFit="1" customWidth="1"/>
    <col min="149" max="149" width="37.42578125" bestFit="1" customWidth="1"/>
    <col min="150" max="150" width="39.85546875" bestFit="1" customWidth="1"/>
    <col min="151" max="151" width="40" bestFit="1" customWidth="1"/>
    <col min="152" max="152" width="39.5703125" bestFit="1" customWidth="1"/>
    <col min="153" max="153" width="37.42578125" bestFit="1" customWidth="1"/>
    <col min="154" max="154" width="39.85546875" bestFit="1" customWidth="1"/>
    <col min="155" max="155" width="40" bestFit="1" customWidth="1"/>
    <col min="156" max="156" width="39.5703125" bestFit="1" customWidth="1"/>
    <col min="157" max="157" width="37.42578125" bestFit="1" customWidth="1"/>
    <col min="158" max="160" width="34.85546875" bestFit="1" customWidth="1"/>
    <col min="161" max="161" width="37.42578125" bestFit="1" customWidth="1"/>
    <col min="162" max="162" width="37.5703125" bestFit="1" customWidth="1"/>
    <col min="163" max="163" width="37.42578125" bestFit="1" customWidth="1"/>
    <col min="164" max="164" width="39.85546875" bestFit="1" customWidth="1"/>
    <col min="165" max="165" width="40" bestFit="1" customWidth="1"/>
    <col min="166" max="166" width="39.5703125" bestFit="1" customWidth="1"/>
    <col min="167" max="167" width="40" bestFit="1" customWidth="1"/>
    <col min="168" max="168" width="37.42578125" bestFit="1" customWidth="1"/>
    <col min="169" max="169" width="39.85546875" bestFit="1" customWidth="1"/>
    <col min="170" max="170" width="40" bestFit="1" customWidth="1"/>
    <col min="171" max="171" width="37.42578125" bestFit="1" customWidth="1"/>
    <col min="172" max="172" width="39.85546875" bestFit="1" customWidth="1"/>
    <col min="173" max="173" width="40" bestFit="1" customWidth="1"/>
    <col min="174" max="174" width="34.85546875" bestFit="1" customWidth="1"/>
    <col min="175" max="175" width="37.42578125" bestFit="1" customWidth="1"/>
    <col min="176" max="176" width="39.85546875" bestFit="1" customWidth="1"/>
    <col min="177" max="177" width="40" bestFit="1" customWidth="1"/>
    <col min="178" max="178" width="39.5703125" bestFit="1" customWidth="1"/>
    <col min="179" max="180" width="40" bestFit="1" customWidth="1"/>
    <col min="181" max="181" width="39.5703125" bestFit="1" customWidth="1"/>
    <col min="182" max="182" width="39.85546875" bestFit="1" customWidth="1"/>
    <col min="183" max="183" width="40" bestFit="1" customWidth="1"/>
    <col min="184" max="185" width="39.42578125" bestFit="1" customWidth="1"/>
    <col min="186" max="186" width="37.42578125" bestFit="1" customWidth="1"/>
    <col min="187" max="187" width="39.85546875" bestFit="1" customWidth="1"/>
    <col min="188" max="188" width="40" bestFit="1" customWidth="1"/>
    <col min="189" max="189" width="42.140625" bestFit="1" customWidth="1"/>
    <col min="190" max="190" width="42.5703125" bestFit="1" customWidth="1"/>
    <col min="191" max="191" width="39.5703125" bestFit="1" customWidth="1"/>
    <col min="192" max="192" width="40" bestFit="1" customWidth="1"/>
    <col min="193" max="193" width="37.42578125" bestFit="1" customWidth="1"/>
    <col min="194" max="194" width="39.85546875" bestFit="1" customWidth="1"/>
    <col min="195" max="195" width="40" bestFit="1" customWidth="1"/>
    <col min="196" max="196" width="39.5703125" bestFit="1" customWidth="1"/>
    <col min="197" max="198" width="40" bestFit="1" customWidth="1"/>
    <col min="199" max="199" width="39.5703125" bestFit="1" customWidth="1"/>
    <col min="200" max="200" width="39.85546875" bestFit="1" customWidth="1"/>
    <col min="201" max="201" width="37.42578125" bestFit="1" customWidth="1"/>
    <col min="202" max="202" width="39.85546875" bestFit="1" customWidth="1"/>
    <col min="203" max="203" width="40" bestFit="1" customWidth="1"/>
    <col min="204" max="204" width="39.5703125" bestFit="1" customWidth="1"/>
    <col min="205" max="205" width="34.85546875" bestFit="1" customWidth="1"/>
    <col min="206" max="206" width="37.42578125" bestFit="1" customWidth="1"/>
    <col min="207" max="207" width="37.5703125" bestFit="1" customWidth="1"/>
    <col min="208" max="208" width="37.42578125" bestFit="1" customWidth="1"/>
    <col min="209" max="210" width="37.5703125" bestFit="1" customWidth="1"/>
    <col min="211" max="211" width="37.140625" bestFit="1" customWidth="1"/>
    <col min="212" max="212" width="37.42578125" bestFit="1" customWidth="1"/>
    <col min="213" max="213" width="37.5703125" bestFit="1" customWidth="1"/>
    <col min="214" max="214" width="37" bestFit="1" customWidth="1"/>
    <col min="215" max="215" width="39" bestFit="1" customWidth="1"/>
    <col min="216" max="216" width="39.5703125" bestFit="1" customWidth="1"/>
    <col min="217" max="217" width="37" bestFit="1" customWidth="1"/>
    <col min="218" max="218" width="39" bestFit="1" customWidth="1"/>
    <col min="219" max="219" width="39.5703125" bestFit="1" customWidth="1"/>
    <col min="220" max="221" width="37.42578125" bestFit="1" customWidth="1"/>
    <col min="222" max="222" width="39.85546875" bestFit="1" customWidth="1"/>
    <col min="223" max="223" width="40" bestFit="1" customWidth="1"/>
    <col min="224" max="224" width="39.5703125" bestFit="1" customWidth="1"/>
    <col min="225" max="227" width="26.42578125" bestFit="1" customWidth="1"/>
    <col min="228" max="228" width="29.5703125" bestFit="1" customWidth="1"/>
    <col min="229" max="229" width="31.5703125" customWidth="1"/>
    <col min="230" max="230" width="33.5703125" customWidth="1"/>
  </cols>
  <sheetData>
    <row r="1" spans="1:230" s="1" customFormat="1" ht="15.75" x14ac:dyDescent="0.25">
      <c r="A1" s="234" t="s">
        <v>2677</v>
      </c>
    </row>
    <row r="2" spans="1:230" s="1" customFormat="1" ht="15.75" x14ac:dyDescent="0.25">
      <c r="A2" s="26" t="str">
        <f>Cover!C8</f>
        <v>Inspections from 1 September 2019 to 31 December 2019, published by 31 December 2019</v>
      </c>
    </row>
    <row r="4" spans="1:230" s="329" customFormat="1" ht="30" x14ac:dyDescent="0.25">
      <c r="A4" s="327" t="s">
        <v>87</v>
      </c>
      <c r="B4" s="328" t="s">
        <v>90</v>
      </c>
      <c r="C4" s="328" t="s">
        <v>92</v>
      </c>
      <c r="D4" s="328" t="s">
        <v>94</v>
      </c>
      <c r="E4" s="328" t="s">
        <v>96</v>
      </c>
      <c r="F4" s="328" t="s">
        <v>111</v>
      </c>
      <c r="G4" s="328" t="s">
        <v>421</v>
      </c>
      <c r="H4" s="328" t="s">
        <v>116</v>
      </c>
      <c r="I4" s="328" t="s">
        <v>119</v>
      </c>
      <c r="J4" s="328" t="s">
        <v>104</v>
      </c>
      <c r="K4" s="328" t="s">
        <v>106</v>
      </c>
      <c r="L4" s="328" t="s">
        <v>56</v>
      </c>
      <c r="M4" s="328" t="s">
        <v>57</v>
      </c>
      <c r="N4" s="328" t="s">
        <v>122</v>
      </c>
      <c r="O4" s="328" t="s">
        <v>124</v>
      </c>
      <c r="P4" s="328" t="s">
        <v>126</v>
      </c>
      <c r="Q4" s="328" t="s">
        <v>128</v>
      </c>
      <c r="R4" s="328" t="s">
        <v>130</v>
      </c>
      <c r="S4" s="328" t="s">
        <v>132</v>
      </c>
      <c r="T4" s="328" t="s">
        <v>133</v>
      </c>
      <c r="U4" s="328" t="s">
        <v>210</v>
      </c>
      <c r="V4" s="328" t="s">
        <v>420</v>
      </c>
      <c r="W4" s="328" t="s">
        <v>219</v>
      </c>
      <c r="X4" s="328" t="s">
        <v>220</v>
      </c>
      <c r="Y4" s="328" t="s">
        <v>221</v>
      </c>
      <c r="Z4" s="328" t="s">
        <v>222</v>
      </c>
      <c r="AA4" s="328" t="s">
        <v>223</v>
      </c>
      <c r="AB4" s="328" t="s">
        <v>224</v>
      </c>
      <c r="AC4" s="328" t="s">
        <v>225</v>
      </c>
      <c r="AD4" s="328" t="s">
        <v>226</v>
      </c>
      <c r="AE4" s="328" t="s">
        <v>227</v>
      </c>
      <c r="AF4" s="328" t="s">
        <v>228</v>
      </c>
      <c r="AG4" s="328" t="s">
        <v>229</v>
      </c>
      <c r="AH4" s="328" t="s">
        <v>230</v>
      </c>
      <c r="AI4" s="328" t="s">
        <v>231</v>
      </c>
      <c r="AJ4" s="328" t="s">
        <v>232</v>
      </c>
      <c r="AK4" s="328" t="s">
        <v>233</v>
      </c>
      <c r="AL4" s="328" t="s">
        <v>234</v>
      </c>
      <c r="AM4" s="328" t="s">
        <v>235</v>
      </c>
      <c r="AN4" s="328" t="s">
        <v>236</v>
      </c>
      <c r="AO4" s="328" t="s">
        <v>237</v>
      </c>
      <c r="AP4" s="328" t="s">
        <v>238</v>
      </c>
      <c r="AQ4" s="328" t="s">
        <v>239</v>
      </c>
      <c r="AR4" s="328" t="s">
        <v>240</v>
      </c>
      <c r="AS4" s="328" t="s">
        <v>241</v>
      </c>
      <c r="AT4" s="328" t="s">
        <v>242</v>
      </c>
      <c r="AU4" s="328" t="s">
        <v>243</v>
      </c>
      <c r="AV4" s="328" t="s">
        <v>244</v>
      </c>
      <c r="AW4" s="328" t="s">
        <v>245</v>
      </c>
      <c r="AX4" s="328" t="s">
        <v>246</v>
      </c>
      <c r="AY4" s="328" t="s">
        <v>247</v>
      </c>
      <c r="AZ4" s="328" t="s">
        <v>248</v>
      </c>
      <c r="BA4" s="328" t="s">
        <v>249</v>
      </c>
      <c r="BB4" s="328" t="s">
        <v>250</v>
      </c>
      <c r="BC4" s="328" t="s">
        <v>251</v>
      </c>
      <c r="BD4" s="328" t="s">
        <v>252</v>
      </c>
      <c r="BE4" s="328" t="s">
        <v>253</v>
      </c>
      <c r="BF4" s="328" t="s">
        <v>254</v>
      </c>
      <c r="BG4" s="328" t="s">
        <v>255</v>
      </c>
      <c r="BH4" s="328" t="s">
        <v>256</v>
      </c>
      <c r="BI4" s="328" t="s">
        <v>257</v>
      </c>
      <c r="BJ4" s="328" t="s">
        <v>258</v>
      </c>
      <c r="BK4" s="328" t="s">
        <v>259</v>
      </c>
      <c r="BL4" s="328" t="s">
        <v>260</v>
      </c>
      <c r="BM4" s="328" t="s">
        <v>261</v>
      </c>
      <c r="BN4" s="328" t="s">
        <v>262</v>
      </c>
      <c r="BO4" s="328" t="s">
        <v>263</v>
      </c>
      <c r="BP4" s="328" t="s">
        <v>264</v>
      </c>
      <c r="BQ4" s="328" t="s">
        <v>265</v>
      </c>
      <c r="BR4" s="328" t="s">
        <v>266</v>
      </c>
      <c r="BS4" s="328" t="s">
        <v>267</v>
      </c>
      <c r="BT4" s="328" t="s">
        <v>268</v>
      </c>
      <c r="BU4" s="328" t="s">
        <v>269</v>
      </c>
      <c r="BV4" s="328" t="s">
        <v>270</v>
      </c>
      <c r="BW4" s="328" t="s">
        <v>271</v>
      </c>
      <c r="BX4" s="328" t="s">
        <v>272</v>
      </c>
      <c r="BY4" s="328" t="s">
        <v>273</v>
      </c>
      <c r="BZ4" s="328" t="s">
        <v>274</v>
      </c>
      <c r="CA4" s="328" t="s">
        <v>275</v>
      </c>
      <c r="CB4" s="328" t="s">
        <v>276</v>
      </c>
      <c r="CC4" s="328" t="s">
        <v>277</v>
      </c>
      <c r="CD4" s="328" t="s">
        <v>278</v>
      </c>
      <c r="CE4" s="328" t="s">
        <v>279</v>
      </c>
      <c r="CF4" s="328" t="s">
        <v>280</v>
      </c>
      <c r="CG4" s="328" t="s">
        <v>281</v>
      </c>
      <c r="CH4" s="328" t="s">
        <v>282</v>
      </c>
      <c r="CI4" s="328" t="s">
        <v>283</v>
      </c>
      <c r="CJ4" s="328" t="s">
        <v>284</v>
      </c>
      <c r="CK4" s="328" t="s">
        <v>285</v>
      </c>
      <c r="CL4" s="328" t="s">
        <v>286</v>
      </c>
      <c r="CM4" s="328" t="s">
        <v>287</v>
      </c>
      <c r="CN4" s="328" t="s">
        <v>288</v>
      </c>
      <c r="CO4" s="328" t="s">
        <v>289</v>
      </c>
      <c r="CP4" s="328" t="s">
        <v>290</v>
      </c>
      <c r="CQ4" s="328" t="s">
        <v>291</v>
      </c>
      <c r="CR4" s="328" t="s">
        <v>292</v>
      </c>
      <c r="CS4" s="328" t="s">
        <v>293</v>
      </c>
      <c r="CT4" s="328" t="s">
        <v>294</v>
      </c>
      <c r="CU4" s="328" t="s">
        <v>295</v>
      </c>
      <c r="CV4" s="328" t="s">
        <v>296</v>
      </c>
      <c r="CW4" s="328" t="s">
        <v>297</v>
      </c>
      <c r="CX4" s="328" t="s">
        <v>298</v>
      </c>
      <c r="CY4" s="328" t="s">
        <v>299</v>
      </c>
      <c r="CZ4" s="328" t="s">
        <v>300</v>
      </c>
      <c r="DA4" s="328" t="s">
        <v>301</v>
      </c>
      <c r="DB4" s="328" t="s">
        <v>302</v>
      </c>
      <c r="DC4" s="328" t="s">
        <v>2659</v>
      </c>
      <c r="DD4" s="328" t="s">
        <v>303</v>
      </c>
      <c r="DE4" s="328" t="s">
        <v>304</v>
      </c>
      <c r="DF4" s="328" t="s">
        <v>305</v>
      </c>
      <c r="DG4" s="328" t="s">
        <v>306</v>
      </c>
      <c r="DH4" s="328" t="s">
        <v>307</v>
      </c>
      <c r="DI4" s="328" t="s">
        <v>308</v>
      </c>
      <c r="DJ4" s="328" t="s">
        <v>309</v>
      </c>
      <c r="DK4" s="328" t="s">
        <v>310</v>
      </c>
      <c r="DL4" s="328" t="s">
        <v>311</v>
      </c>
      <c r="DM4" s="328" t="s">
        <v>312</v>
      </c>
      <c r="DN4" s="328" t="s">
        <v>313</v>
      </c>
      <c r="DO4" s="328" t="s">
        <v>314</v>
      </c>
      <c r="DP4" s="328" t="s">
        <v>315</v>
      </c>
      <c r="DQ4" s="328" t="s">
        <v>316</v>
      </c>
      <c r="DR4" s="328" t="s">
        <v>317</v>
      </c>
      <c r="DS4" s="328" t="s">
        <v>318</v>
      </c>
      <c r="DT4" s="328" t="s">
        <v>319</v>
      </c>
      <c r="DU4" s="328" t="s">
        <v>320</v>
      </c>
      <c r="DV4" s="328" t="s">
        <v>321</v>
      </c>
      <c r="DW4" s="328" t="s">
        <v>322</v>
      </c>
      <c r="DX4" s="328" t="s">
        <v>323</v>
      </c>
      <c r="DY4" s="328" t="s">
        <v>324</v>
      </c>
      <c r="DZ4" s="328" t="s">
        <v>325</v>
      </c>
      <c r="EA4" s="328" t="s">
        <v>326</v>
      </c>
      <c r="EB4" s="328" t="s">
        <v>327</v>
      </c>
      <c r="EC4" s="328" t="s">
        <v>328</v>
      </c>
      <c r="ED4" s="328" t="s">
        <v>329</v>
      </c>
      <c r="EE4" s="328" t="s">
        <v>330</v>
      </c>
      <c r="EF4" s="328" t="s">
        <v>331</v>
      </c>
      <c r="EG4" s="328" t="s">
        <v>332</v>
      </c>
      <c r="EH4" s="328" t="s">
        <v>333</v>
      </c>
      <c r="EI4" s="328" t="s">
        <v>334</v>
      </c>
      <c r="EJ4" s="328" t="s">
        <v>335</v>
      </c>
      <c r="EK4" s="328" t="s">
        <v>336</v>
      </c>
      <c r="EL4" s="328" t="s">
        <v>337</v>
      </c>
      <c r="EM4" s="328" t="s">
        <v>338</v>
      </c>
      <c r="EN4" s="328" t="s">
        <v>339</v>
      </c>
      <c r="EO4" s="328" t="s">
        <v>340</v>
      </c>
      <c r="EP4" s="328" t="s">
        <v>341</v>
      </c>
      <c r="EQ4" s="328" t="s">
        <v>342</v>
      </c>
      <c r="ER4" s="328" t="s">
        <v>343</v>
      </c>
      <c r="ES4" s="328" t="s">
        <v>344</v>
      </c>
      <c r="ET4" s="328" t="s">
        <v>345</v>
      </c>
      <c r="EU4" s="328" t="s">
        <v>346</v>
      </c>
      <c r="EV4" s="328" t="s">
        <v>347</v>
      </c>
      <c r="EW4" s="328" t="s">
        <v>348</v>
      </c>
      <c r="EX4" s="328" t="s">
        <v>349</v>
      </c>
      <c r="EY4" s="328" t="s">
        <v>350</v>
      </c>
      <c r="EZ4" s="328" t="s">
        <v>351</v>
      </c>
      <c r="FA4" s="328" t="s">
        <v>352</v>
      </c>
      <c r="FB4" s="328" t="s">
        <v>353</v>
      </c>
      <c r="FC4" s="328" t="s">
        <v>354</v>
      </c>
      <c r="FD4" s="328" t="s">
        <v>355</v>
      </c>
      <c r="FE4" s="328" t="s">
        <v>356</v>
      </c>
      <c r="FF4" s="328" t="s">
        <v>357</v>
      </c>
      <c r="FG4" s="328" t="s">
        <v>358</v>
      </c>
      <c r="FH4" s="328" t="s">
        <v>359</v>
      </c>
      <c r="FI4" s="328" t="s">
        <v>360</v>
      </c>
      <c r="FJ4" s="328" t="s">
        <v>361</v>
      </c>
      <c r="FK4" s="328" t="s">
        <v>362</v>
      </c>
      <c r="FL4" s="328" t="s">
        <v>363</v>
      </c>
      <c r="FM4" s="328" t="s">
        <v>364</v>
      </c>
      <c r="FN4" s="328" t="s">
        <v>365</v>
      </c>
      <c r="FO4" s="328" t="s">
        <v>366</v>
      </c>
      <c r="FP4" s="328" t="s">
        <v>367</v>
      </c>
      <c r="FQ4" s="328" t="s">
        <v>368</v>
      </c>
      <c r="FR4" s="328" t="s">
        <v>369</v>
      </c>
      <c r="FS4" s="328" t="s">
        <v>370</v>
      </c>
      <c r="FT4" s="328" t="s">
        <v>371</v>
      </c>
      <c r="FU4" s="328" t="s">
        <v>372</v>
      </c>
      <c r="FV4" s="328" t="s">
        <v>373</v>
      </c>
      <c r="FW4" s="328" t="s">
        <v>374</v>
      </c>
      <c r="FX4" s="328" t="s">
        <v>375</v>
      </c>
      <c r="FY4" s="328" t="s">
        <v>376</v>
      </c>
      <c r="FZ4" s="328" t="s">
        <v>377</v>
      </c>
      <c r="GA4" s="328" t="s">
        <v>378</v>
      </c>
      <c r="GB4" s="328" t="s">
        <v>379</v>
      </c>
      <c r="GC4" s="328" t="s">
        <v>380</v>
      </c>
      <c r="GD4" s="328" t="s">
        <v>381</v>
      </c>
      <c r="GE4" s="328" t="s">
        <v>382</v>
      </c>
      <c r="GF4" s="328" t="s">
        <v>383</v>
      </c>
      <c r="GG4" s="328" t="s">
        <v>384</v>
      </c>
      <c r="GH4" s="328" t="s">
        <v>385</v>
      </c>
      <c r="GI4" s="328" t="s">
        <v>386</v>
      </c>
      <c r="GJ4" s="328" t="s">
        <v>387</v>
      </c>
      <c r="GK4" s="328" t="s">
        <v>388</v>
      </c>
      <c r="GL4" s="328" t="s">
        <v>389</v>
      </c>
      <c r="GM4" s="328" t="s">
        <v>390</v>
      </c>
      <c r="GN4" s="328" t="s">
        <v>391</v>
      </c>
      <c r="GO4" s="328" t="s">
        <v>392</v>
      </c>
      <c r="GP4" s="328" t="s">
        <v>393</v>
      </c>
      <c r="GQ4" s="328" t="s">
        <v>394</v>
      </c>
      <c r="GR4" s="328" t="s">
        <v>395</v>
      </c>
      <c r="GS4" s="328" t="s">
        <v>396</v>
      </c>
      <c r="GT4" s="328" t="s">
        <v>397</v>
      </c>
      <c r="GU4" s="328" t="s">
        <v>398</v>
      </c>
      <c r="GV4" s="328" t="s">
        <v>399</v>
      </c>
      <c r="GW4" s="328" t="s">
        <v>400</v>
      </c>
      <c r="GX4" s="328" t="s">
        <v>401</v>
      </c>
      <c r="GY4" s="328" t="s">
        <v>402</v>
      </c>
      <c r="GZ4" s="328" t="s">
        <v>403</v>
      </c>
      <c r="HA4" s="328" t="s">
        <v>404</v>
      </c>
      <c r="HB4" s="328" t="s">
        <v>405</v>
      </c>
      <c r="HC4" s="328" t="s">
        <v>406</v>
      </c>
      <c r="HD4" s="328" t="s">
        <v>407</v>
      </c>
      <c r="HE4" s="328" t="s">
        <v>408</v>
      </c>
      <c r="HF4" s="328" t="s">
        <v>409</v>
      </c>
      <c r="HG4" s="328" t="s">
        <v>410</v>
      </c>
      <c r="HH4" s="328" t="s">
        <v>411</v>
      </c>
      <c r="HI4" s="328" t="s">
        <v>412</v>
      </c>
      <c r="HJ4" s="328" t="s">
        <v>413</v>
      </c>
      <c r="HK4" s="328" t="s">
        <v>414</v>
      </c>
      <c r="HL4" s="328" t="s">
        <v>415</v>
      </c>
      <c r="HM4" s="328" t="s">
        <v>416</v>
      </c>
      <c r="HN4" s="328" t="s">
        <v>417</v>
      </c>
      <c r="HO4" s="328" t="s">
        <v>418</v>
      </c>
      <c r="HP4" s="328" t="s">
        <v>419</v>
      </c>
      <c r="HQ4" s="328" t="s">
        <v>2604</v>
      </c>
      <c r="HR4" s="328" t="s">
        <v>2603</v>
      </c>
      <c r="HS4" s="328" t="s">
        <v>2605</v>
      </c>
      <c r="HT4" s="328" t="s">
        <v>151</v>
      </c>
      <c r="HU4" s="316" t="s">
        <v>2641</v>
      </c>
      <c r="HV4" s="316" t="s">
        <v>2642</v>
      </c>
    </row>
    <row r="5" spans="1:230" s="70" customFormat="1" x14ac:dyDescent="0.25">
      <c r="A5" s="330" t="str">
        <f>HYPERLINK("http://www.ofsted.gov.uk/inspection-reports/find-inspection-report/provider/ELS/145298 ","Ofsted School Webpage")</f>
        <v>Ofsted School Webpage</v>
      </c>
      <c r="B5" s="331">
        <v>145298</v>
      </c>
      <c r="C5" s="331">
        <v>8256048</v>
      </c>
      <c r="D5" s="331" t="s">
        <v>2686</v>
      </c>
      <c r="E5" s="331" t="s">
        <v>168</v>
      </c>
      <c r="F5" s="331" t="s">
        <v>514</v>
      </c>
      <c r="G5" s="331" t="s">
        <v>514</v>
      </c>
      <c r="H5" s="331" t="s">
        <v>632</v>
      </c>
      <c r="I5" s="331" t="s">
        <v>633</v>
      </c>
      <c r="J5" s="331" t="s">
        <v>81</v>
      </c>
      <c r="K5" s="331" t="s">
        <v>81</v>
      </c>
      <c r="L5" s="331" t="s">
        <v>81</v>
      </c>
      <c r="M5" s="331" t="s">
        <v>78</v>
      </c>
      <c r="N5" s="331" t="s">
        <v>424</v>
      </c>
      <c r="O5" s="331">
        <v>10118644</v>
      </c>
      <c r="P5" s="332">
        <v>43711</v>
      </c>
      <c r="Q5" s="332">
        <v>43711</v>
      </c>
      <c r="R5" s="332">
        <v>43733</v>
      </c>
      <c r="S5" s="331" t="s">
        <v>981</v>
      </c>
      <c r="T5" s="331" t="s">
        <v>982</v>
      </c>
      <c r="U5" s="331" t="s">
        <v>427</v>
      </c>
      <c r="V5" s="331" t="s">
        <v>983</v>
      </c>
      <c r="W5" s="331" t="s">
        <v>984</v>
      </c>
      <c r="X5" s="331" t="s">
        <v>984</v>
      </c>
      <c r="Y5" s="331" t="s">
        <v>984</v>
      </c>
      <c r="Z5" s="331" t="s">
        <v>984</v>
      </c>
      <c r="AA5" s="331" t="s">
        <v>984</v>
      </c>
      <c r="AB5" s="331" t="s">
        <v>984</v>
      </c>
      <c r="AC5" s="331" t="s">
        <v>984</v>
      </c>
      <c r="AD5" s="331" t="s">
        <v>984</v>
      </c>
      <c r="AE5" s="331" t="s">
        <v>984</v>
      </c>
      <c r="AF5" s="331" t="s">
        <v>984</v>
      </c>
      <c r="AG5" s="331" t="s">
        <v>984</v>
      </c>
      <c r="AH5" s="331" t="s">
        <v>984</v>
      </c>
      <c r="AI5" s="331" t="s">
        <v>984</v>
      </c>
      <c r="AJ5" s="331" t="s">
        <v>984</v>
      </c>
      <c r="AK5" s="331" t="s">
        <v>984</v>
      </c>
      <c r="AL5" s="331" t="s">
        <v>984</v>
      </c>
      <c r="AM5" s="331" t="s">
        <v>984</v>
      </c>
      <c r="AN5" s="331" t="s">
        <v>984</v>
      </c>
      <c r="AO5" s="331" t="s">
        <v>984</v>
      </c>
      <c r="AP5" s="331" t="s">
        <v>984</v>
      </c>
      <c r="AQ5" s="331" t="s">
        <v>984</v>
      </c>
      <c r="AR5" s="331" t="s">
        <v>984</v>
      </c>
      <c r="AS5" s="331" t="s">
        <v>984</v>
      </c>
      <c r="AT5" s="331" t="s">
        <v>984</v>
      </c>
      <c r="AU5" s="331" t="s">
        <v>984</v>
      </c>
      <c r="AV5" s="331" t="s">
        <v>984</v>
      </c>
      <c r="AW5" s="331" t="s">
        <v>984</v>
      </c>
      <c r="AX5" s="331" t="s">
        <v>984</v>
      </c>
      <c r="AY5" s="331" t="s">
        <v>984</v>
      </c>
      <c r="AZ5" s="331" t="s">
        <v>984</v>
      </c>
      <c r="BA5" s="331" t="s">
        <v>984</v>
      </c>
      <c r="BB5" s="331" t="s">
        <v>984</v>
      </c>
      <c r="BC5" s="331" t="s">
        <v>984</v>
      </c>
      <c r="BD5" s="331" t="s">
        <v>984</v>
      </c>
      <c r="BE5" s="331" t="s">
        <v>984</v>
      </c>
      <c r="BF5" s="331" t="s">
        <v>984</v>
      </c>
      <c r="BG5" s="331" t="s">
        <v>984</v>
      </c>
      <c r="BH5" s="331" t="s">
        <v>984</v>
      </c>
      <c r="BI5" s="331" t="s">
        <v>984</v>
      </c>
      <c r="BJ5" s="331" t="s">
        <v>984</v>
      </c>
      <c r="BK5" s="331" t="s">
        <v>984</v>
      </c>
      <c r="BL5" s="331" t="s">
        <v>984</v>
      </c>
      <c r="BM5" s="331" t="s">
        <v>984</v>
      </c>
      <c r="BN5" s="331" t="s">
        <v>984</v>
      </c>
      <c r="BO5" s="331" t="s">
        <v>984</v>
      </c>
      <c r="BP5" s="331" t="s">
        <v>984</v>
      </c>
      <c r="BQ5" s="331" t="s">
        <v>984</v>
      </c>
      <c r="BR5" s="331" t="s">
        <v>190</v>
      </c>
      <c r="BS5" s="331" t="s">
        <v>190</v>
      </c>
      <c r="BT5" s="331" t="s">
        <v>190</v>
      </c>
      <c r="BU5" s="331" t="s">
        <v>428</v>
      </c>
      <c r="BV5" s="331" t="s">
        <v>428</v>
      </c>
      <c r="BW5" s="331" t="s">
        <v>428</v>
      </c>
      <c r="BX5" s="331" t="s">
        <v>984</v>
      </c>
      <c r="BY5" s="331" t="s">
        <v>984</v>
      </c>
      <c r="BZ5" s="331" t="s">
        <v>984</v>
      </c>
      <c r="CA5" s="331" t="s">
        <v>984</v>
      </c>
      <c r="CB5" s="331" t="s">
        <v>984</v>
      </c>
      <c r="CC5" s="331" t="s">
        <v>190</v>
      </c>
      <c r="CD5" s="331" t="s">
        <v>190</v>
      </c>
      <c r="CE5" s="331" t="s">
        <v>984</v>
      </c>
      <c r="CF5" s="331" t="s">
        <v>190</v>
      </c>
      <c r="CG5" s="331" t="s">
        <v>984</v>
      </c>
      <c r="CH5" s="331" t="s">
        <v>190</v>
      </c>
      <c r="CI5" s="331" t="s">
        <v>190</v>
      </c>
      <c r="CJ5" s="331" t="s">
        <v>190</v>
      </c>
      <c r="CK5" s="331" t="s">
        <v>190</v>
      </c>
      <c r="CL5" s="331" t="s">
        <v>190</v>
      </c>
      <c r="CM5" s="331" t="s">
        <v>190</v>
      </c>
      <c r="CN5" s="331" t="s">
        <v>190</v>
      </c>
      <c r="CO5" s="331" t="s">
        <v>190</v>
      </c>
      <c r="CP5" s="331" t="s">
        <v>190</v>
      </c>
      <c r="CQ5" s="331" t="s">
        <v>190</v>
      </c>
      <c r="CR5" s="331" t="s">
        <v>190</v>
      </c>
      <c r="CS5" s="331" t="s">
        <v>190</v>
      </c>
      <c r="CT5" s="331" t="s">
        <v>190</v>
      </c>
      <c r="CU5" s="331" t="s">
        <v>428</v>
      </c>
      <c r="CV5" s="331" t="s">
        <v>190</v>
      </c>
      <c r="CW5" s="331" t="s">
        <v>428</v>
      </c>
      <c r="CX5" s="331" t="s">
        <v>428</v>
      </c>
      <c r="CY5" s="331" t="s">
        <v>428</v>
      </c>
      <c r="CZ5" s="331" t="s">
        <v>428</v>
      </c>
      <c r="DA5" s="331" t="s">
        <v>428</v>
      </c>
      <c r="DB5" s="331" t="s">
        <v>428</v>
      </c>
      <c r="DC5" s="331" t="s">
        <v>428</v>
      </c>
      <c r="DD5" s="331" t="s">
        <v>428</v>
      </c>
      <c r="DE5" s="331" t="s">
        <v>428</v>
      </c>
      <c r="DF5" s="331" t="s">
        <v>428</v>
      </c>
      <c r="DG5" s="331" t="s">
        <v>428</v>
      </c>
      <c r="DH5" s="331" t="s">
        <v>428</v>
      </c>
      <c r="DI5" s="331" t="s">
        <v>428</v>
      </c>
      <c r="DJ5" s="331" t="s">
        <v>428</v>
      </c>
      <c r="DK5" s="331" t="s">
        <v>428</v>
      </c>
      <c r="DL5" s="331" t="s">
        <v>190</v>
      </c>
      <c r="DM5" s="331" t="s">
        <v>190</v>
      </c>
      <c r="DN5" s="331" t="s">
        <v>190</v>
      </c>
      <c r="DO5" s="331" t="s">
        <v>190</v>
      </c>
      <c r="DP5" s="331" t="s">
        <v>190</v>
      </c>
      <c r="DQ5" s="331" t="s">
        <v>190</v>
      </c>
      <c r="DR5" s="331" t="s">
        <v>190</v>
      </c>
      <c r="DS5" s="331" t="s">
        <v>190</v>
      </c>
      <c r="DT5" s="331" t="s">
        <v>190</v>
      </c>
      <c r="DU5" s="331" t="s">
        <v>190</v>
      </c>
      <c r="DV5" s="331" t="s">
        <v>190</v>
      </c>
      <c r="DW5" s="331" t="s">
        <v>190</v>
      </c>
      <c r="DX5" s="331" t="s">
        <v>190</v>
      </c>
      <c r="DY5" s="331" t="s">
        <v>190</v>
      </c>
      <c r="DZ5" s="331" t="s">
        <v>190</v>
      </c>
      <c r="EA5" s="331" t="s">
        <v>190</v>
      </c>
      <c r="EB5" s="331" t="s">
        <v>190</v>
      </c>
      <c r="EC5" s="331" t="s">
        <v>190</v>
      </c>
      <c r="ED5" s="331" t="s">
        <v>190</v>
      </c>
      <c r="EE5" s="331" t="s">
        <v>190</v>
      </c>
      <c r="EF5" s="331" t="s">
        <v>190</v>
      </c>
      <c r="EG5" s="331" t="s">
        <v>190</v>
      </c>
      <c r="EH5" s="331" t="s">
        <v>190</v>
      </c>
      <c r="EI5" s="331" t="s">
        <v>428</v>
      </c>
      <c r="EJ5" s="331" t="s">
        <v>428</v>
      </c>
      <c r="EK5" s="331" t="s">
        <v>428</v>
      </c>
      <c r="EL5" s="331" t="s">
        <v>428</v>
      </c>
      <c r="EM5" s="331" t="s">
        <v>428</v>
      </c>
      <c r="EN5" s="331" t="s">
        <v>428</v>
      </c>
      <c r="EO5" s="331" t="s">
        <v>190</v>
      </c>
      <c r="EP5" s="331" t="s">
        <v>190</v>
      </c>
      <c r="EQ5" s="331" t="s">
        <v>190</v>
      </c>
      <c r="ER5" s="331" t="s">
        <v>190</v>
      </c>
      <c r="ES5" s="331" t="s">
        <v>190</v>
      </c>
      <c r="ET5" s="331" t="s">
        <v>190</v>
      </c>
      <c r="EU5" s="331" t="s">
        <v>190</v>
      </c>
      <c r="EV5" s="331" t="s">
        <v>190</v>
      </c>
      <c r="EW5" s="331" t="s">
        <v>190</v>
      </c>
      <c r="EX5" s="331" t="s">
        <v>190</v>
      </c>
      <c r="EY5" s="331" t="s">
        <v>190</v>
      </c>
      <c r="EZ5" s="331" t="s">
        <v>428</v>
      </c>
      <c r="FA5" s="331" t="s">
        <v>190</v>
      </c>
      <c r="FB5" s="331" t="s">
        <v>190</v>
      </c>
      <c r="FC5" s="331" t="s">
        <v>190</v>
      </c>
      <c r="FD5" s="331" t="s">
        <v>190</v>
      </c>
      <c r="FE5" s="331" t="s">
        <v>190</v>
      </c>
      <c r="FF5" s="331" t="s">
        <v>190</v>
      </c>
      <c r="FG5" s="331" t="s">
        <v>190</v>
      </c>
      <c r="FH5" s="331" t="s">
        <v>190</v>
      </c>
      <c r="FI5" s="331" t="s">
        <v>190</v>
      </c>
      <c r="FJ5" s="331" t="s">
        <v>190</v>
      </c>
      <c r="FK5" s="331" t="s">
        <v>190</v>
      </c>
      <c r="FL5" s="331" t="s">
        <v>190</v>
      </c>
      <c r="FM5" s="331" t="s">
        <v>190</v>
      </c>
      <c r="FN5" s="331" t="s">
        <v>190</v>
      </c>
      <c r="FO5" s="331" t="s">
        <v>190</v>
      </c>
      <c r="FP5" s="331" t="s">
        <v>190</v>
      </c>
      <c r="FQ5" s="331" t="s">
        <v>190</v>
      </c>
      <c r="FR5" s="331" t="s">
        <v>428</v>
      </c>
      <c r="FS5" s="331" t="s">
        <v>190</v>
      </c>
      <c r="FT5" s="331" t="s">
        <v>984</v>
      </c>
      <c r="FU5" s="331" t="s">
        <v>984</v>
      </c>
      <c r="FV5" s="331" t="s">
        <v>190</v>
      </c>
      <c r="FW5" s="331" t="s">
        <v>984</v>
      </c>
      <c r="FX5" s="331" t="s">
        <v>984</v>
      </c>
      <c r="FY5" s="331" t="s">
        <v>984</v>
      </c>
      <c r="FZ5" s="331" t="s">
        <v>984</v>
      </c>
      <c r="GA5" s="331" t="s">
        <v>984</v>
      </c>
      <c r="GB5" s="331" t="s">
        <v>984</v>
      </c>
      <c r="GC5" s="331" t="s">
        <v>984</v>
      </c>
      <c r="GD5" s="331" t="s">
        <v>984</v>
      </c>
      <c r="GE5" s="331" t="s">
        <v>984</v>
      </c>
      <c r="GF5" s="331" t="s">
        <v>984</v>
      </c>
      <c r="GG5" s="331" t="s">
        <v>984</v>
      </c>
      <c r="GH5" s="331" t="s">
        <v>984</v>
      </c>
      <c r="GI5" s="331" t="s">
        <v>984</v>
      </c>
      <c r="GJ5" s="331" t="s">
        <v>984</v>
      </c>
      <c r="GK5" s="331" t="s">
        <v>984</v>
      </c>
      <c r="GL5" s="331" t="s">
        <v>984</v>
      </c>
      <c r="GM5" s="331" t="s">
        <v>984</v>
      </c>
      <c r="GN5" s="331" t="s">
        <v>984</v>
      </c>
      <c r="GO5" s="331" t="s">
        <v>984</v>
      </c>
      <c r="GP5" s="331" t="s">
        <v>984</v>
      </c>
      <c r="GQ5" s="331" t="s">
        <v>984</v>
      </c>
      <c r="GR5" s="331" t="s">
        <v>984</v>
      </c>
      <c r="GS5" s="331" t="s">
        <v>984</v>
      </c>
      <c r="GT5" s="331" t="s">
        <v>984</v>
      </c>
      <c r="GU5" s="331" t="s">
        <v>984</v>
      </c>
      <c r="GV5" s="331" t="s">
        <v>984</v>
      </c>
      <c r="GW5" s="331" t="s">
        <v>984</v>
      </c>
      <c r="GX5" s="331" t="s">
        <v>984</v>
      </c>
      <c r="GY5" s="331" t="s">
        <v>984</v>
      </c>
      <c r="GZ5" s="331" t="s">
        <v>984</v>
      </c>
      <c r="HA5" s="331" t="s">
        <v>984</v>
      </c>
      <c r="HB5" s="331" t="s">
        <v>984</v>
      </c>
      <c r="HC5" s="331" t="s">
        <v>984</v>
      </c>
      <c r="HD5" s="331" t="s">
        <v>984</v>
      </c>
      <c r="HE5" s="331" t="s">
        <v>984</v>
      </c>
      <c r="HF5" s="331" t="s">
        <v>984</v>
      </c>
      <c r="HG5" s="331" t="s">
        <v>984</v>
      </c>
      <c r="HH5" s="331" t="s">
        <v>984</v>
      </c>
      <c r="HI5" s="331" t="s">
        <v>984</v>
      </c>
      <c r="HJ5" s="331" t="s">
        <v>984</v>
      </c>
      <c r="HK5" s="331" t="s">
        <v>984</v>
      </c>
      <c r="HL5" s="331" t="s">
        <v>984</v>
      </c>
      <c r="HM5" s="331" t="s">
        <v>190</v>
      </c>
      <c r="HN5" s="331" t="s">
        <v>190</v>
      </c>
      <c r="HO5" s="331" t="s">
        <v>190</v>
      </c>
      <c r="HP5" s="331" t="s">
        <v>190</v>
      </c>
      <c r="HQ5" s="331" t="s">
        <v>170</v>
      </c>
      <c r="HR5" s="331" t="s">
        <v>429</v>
      </c>
      <c r="HS5" s="331" t="s">
        <v>169</v>
      </c>
      <c r="HT5" s="331" t="s">
        <v>427</v>
      </c>
      <c r="HU5" s="331" t="s">
        <v>428</v>
      </c>
      <c r="HV5" s="331" t="s">
        <v>428</v>
      </c>
    </row>
    <row r="6" spans="1:230" s="70" customFormat="1" x14ac:dyDescent="0.25">
      <c r="A6" s="330" t="str">
        <f>HYPERLINK("http://www.ofsted.gov.uk/inspection-reports/find-inspection-report/provider/ELS/147331 ","Ofsted School Webpage")</f>
        <v>Ofsted School Webpage</v>
      </c>
      <c r="B6" s="331">
        <v>147331</v>
      </c>
      <c r="C6" s="331">
        <v>8866158</v>
      </c>
      <c r="D6" s="331" t="s">
        <v>2687</v>
      </c>
      <c r="E6" s="331" t="s">
        <v>167</v>
      </c>
      <c r="F6" s="331" t="s">
        <v>514</v>
      </c>
      <c r="G6" s="331" t="s">
        <v>514</v>
      </c>
      <c r="H6" s="331" t="s">
        <v>614</v>
      </c>
      <c r="I6" s="331" t="s">
        <v>2594</v>
      </c>
      <c r="J6" s="331" t="s">
        <v>434</v>
      </c>
      <c r="K6" s="331" t="s">
        <v>81</v>
      </c>
      <c r="L6" s="331" t="s">
        <v>81</v>
      </c>
      <c r="M6" s="331" t="s">
        <v>78</v>
      </c>
      <c r="N6" s="331" t="s">
        <v>424</v>
      </c>
      <c r="O6" s="331">
        <v>10119886</v>
      </c>
      <c r="P6" s="332">
        <v>43711</v>
      </c>
      <c r="Q6" s="332">
        <v>43711</v>
      </c>
      <c r="R6" s="332">
        <v>43733</v>
      </c>
      <c r="S6" s="331" t="s">
        <v>2583</v>
      </c>
      <c r="T6" s="331" t="s">
        <v>982</v>
      </c>
      <c r="U6" s="331" t="s">
        <v>427</v>
      </c>
      <c r="V6" s="331" t="s">
        <v>2598</v>
      </c>
      <c r="W6" s="331" t="s">
        <v>190</v>
      </c>
      <c r="X6" s="331" t="s">
        <v>428</v>
      </c>
      <c r="Y6" s="331" t="s">
        <v>190</v>
      </c>
      <c r="Z6" s="331" t="s">
        <v>190</v>
      </c>
      <c r="AA6" s="331" t="s">
        <v>190</v>
      </c>
      <c r="AB6" s="331" t="s">
        <v>190</v>
      </c>
      <c r="AC6" s="331" t="s">
        <v>190</v>
      </c>
      <c r="AD6" s="331" t="s">
        <v>190</v>
      </c>
      <c r="AE6" s="331" t="s">
        <v>428</v>
      </c>
      <c r="AF6" s="331" t="s">
        <v>190</v>
      </c>
      <c r="AG6" s="331" t="s">
        <v>190</v>
      </c>
      <c r="AH6" s="331" t="s">
        <v>190</v>
      </c>
      <c r="AI6" s="331" t="s">
        <v>428</v>
      </c>
      <c r="AJ6" s="331" t="s">
        <v>428</v>
      </c>
      <c r="AK6" s="331" t="s">
        <v>428</v>
      </c>
      <c r="AL6" s="331" t="s">
        <v>428</v>
      </c>
      <c r="AM6" s="331" t="s">
        <v>190</v>
      </c>
      <c r="AN6" s="331" t="s">
        <v>428</v>
      </c>
      <c r="AO6" s="331" t="s">
        <v>190</v>
      </c>
      <c r="AP6" s="331" t="s">
        <v>190</v>
      </c>
      <c r="AQ6" s="331" t="s">
        <v>190</v>
      </c>
      <c r="AR6" s="331" t="s">
        <v>190</v>
      </c>
      <c r="AS6" s="331" t="s">
        <v>190</v>
      </c>
      <c r="AT6" s="331" t="s">
        <v>190</v>
      </c>
      <c r="AU6" s="331" t="s">
        <v>190</v>
      </c>
      <c r="AV6" s="331" t="s">
        <v>190</v>
      </c>
      <c r="AW6" s="331" t="s">
        <v>190</v>
      </c>
      <c r="AX6" s="331" t="s">
        <v>190</v>
      </c>
      <c r="AY6" s="331" t="s">
        <v>190</v>
      </c>
      <c r="AZ6" s="331" t="s">
        <v>190</v>
      </c>
      <c r="BA6" s="331" t="s">
        <v>190</v>
      </c>
      <c r="BB6" s="331" t="s">
        <v>190</v>
      </c>
      <c r="BC6" s="331" t="s">
        <v>190</v>
      </c>
      <c r="BD6" s="331" t="s">
        <v>190</v>
      </c>
      <c r="BE6" s="331" t="s">
        <v>190</v>
      </c>
      <c r="BF6" s="331" t="s">
        <v>190</v>
      </c>
      <c r="BG6" s="331" t="s">
        <v>190</v>
      </c>
      <c r="BH6" s="331" t="s">
        <v>190</v>
      </c>
      <c r="BI6" s="331" t="s">
        <v>190</v>
      </c>
      <c r="BJ6" s="331" t="s">
        <v>190</v>
      </c>
      <c r="BK6" s="331" t="s">
        <v>190</v>
      </c>
      <c r="BL6" s="331" t="s">
        <v>190</v>
      </c>
      <c r="BM6" s="331" t="s">
        <v>190</v>
      </c>
      <c r="BN6" s="331" t="s">
        <v>190</v>
      </c>
      <c r="BO6" s="331" t="s">
        <v>190</v>
      </c>
      <c r="BP6" s="331" t="s">
        <v>190</v>
      </c>
      <c r="BQ6" s="331" t="s">
        <v>190</v>
      </c>
      <c r="BR6" s="331" t="s">
        <v>190</v>
      </c>
      <c r="BS6" s="331" t="s">
        <v>190</v>
      </c>
      <c r="BT6" s="331" t="s">
        <v>190</v>
      </c>
      <c r="BU6" s="331" t="s">
        <v>428</v>
      </c>
      <c r="BV6" s="331" t="s">
        <v>428</v>
      </c>
      <c r="BW6" s="331" t="s">
        <v>428</v>
      </c>
      <c r="BX6" s="331" t="s">
        <v>190</v>
      </c>
      <c r="BY6" s="331" t="s">
        <v>190</v>
      </c>
      <c r="BZ6" s="331" t="s">
        <v>190</v>
      </c>
      <c r="CA6" s="331" t="s">
        <v>190</v>
      </c>
      <c r="CB6" s="331" t="s">
        <v>190</v>
      </c>
      <c r="CC6" s="331" t="s">
        <v>190</v>
      </c>
      <c r="CD6" s="331" t="s">
        <v>190</v>
      </c>
      <c r="CE6" s="331" t="s">
        <v>190</v>
      </c>
      <c r="CF6" s="331" t="s">
        <v>190</v>
      </c>
      <c r="CG6" s="331" t="s">
        <v>190</v>
      </c>
      <c r="CH6" s="331" t="s">
        <v>190</v>
      </c>
      <c r="CI6" s="331" t="s">
        <v>190</v>
      </c>
      <c r="CJ6" s="331" t="s">
        <v>190</v>
      </c>
      <c r="CK6" s="331" t="s">
        <v>190</v>
      </c>
      <c r="CL6" s="331" t="s">
        <v>190</v>
      </c>
      <c r="CM6" s="331" t="s">
        <v>190</v>
      </c>
      <c r="CN6" s="331" t="s">
        <v>190</v>
      </c>
      <c r="CO6" s="331" t="s">
        <v>190</v>
      </c>
      <c r="CP6" s="331" t="s">
        <v>190</v>
      </c>
      <c r="CQ6" s="331" t="s">
        <v>190</v>
      </c>
      <c r="CR6" s="331" t="s">
        <v>190</v>
      </c>
      <c r="CS6" s="331" t="s">
        <v>190</v>
      </c>
      <c r="CT6" s="331" t="s">
        <v>190</v>
      </c>
      <c r="CU6" s="331" t="s">
        <v>428</v>
      </c>
      <c r="CV6" s="331" t="s">
        <v>190</v>
      </c>
      <c r="CW6" s="331" t="s">
        <v>428</v>
      </c>
      <c r="CX6" s="331" t="s">
        <v>428</v>
      </c>
      <c r="CY6" s="331" t="s">
        <v>428</v>
      </c>
      <c r="CZ6" s="331" t="s">
        <v>428</v>
      </c>
      <c r="DA6" s="331" t="s">
        <v>428</v>
      </c>
      <c r="DB6" s="331" t="s">
        <v>428</v>
      </c>
      <c r="DC6" s="331" t="s">
        <v>428</v>
      </c>
      <c r="DD6" s="331" t="s">
        <v>428</v>
      </c>
      <c r="DE6" s="331" t="s">
        <v>428</v>
      </c>
      <c r="DF6" s="331" t="s">
        <v>428</v>
      </c>
      <c r="DG6" s="331" t="s">
        <v>428</v>
      </c>
      <c r="DH6" s="331" t="s">
        <v>428</v>
      </c>
      <c r="DI6" s="331" t="s">
        <v>428</v>
      </c>
      <c r="DJ6" s="331" t="s">
        <v>428</v>
      </c>
      <c r="DK6" s="331" t="s">
        <v>428</v>
      </c>
      <c r="DL6" s="331" t="s">
        <v>190</v>
      </c>
      <c r="DM6" s="331" t="s">
        <v>190</v>
      </c>
      <c r="DN6" s="331" t="s">
        <v>190</v>
      </c>
      <c r="DO6" s="331" t="s">
        <v>190</v>
      </c>
      <c r="DP6" s="331" t="s">
        <v>190</v>
      </c>
      <c r="DQ6" s="331" t="s">
        <v>190</v>
      </c>
      <c r="DR6" s="331" t="s">
        <v>190</v>
      </c>
      <c r="DS6" s="331" t="s">
        <v>190</v>
      </c>
      <c r="DT6" s="331" t="s">
        <v>190</v>
      </c>
      <c r="DU6" s="331" t="s">
        <v>190</v>
      </c>
      <c r="DV6" s="331" t="s">
        <v>190</v>
      </c>
      <c r="DW6" s="331" t="s">
        <v>190</v>
      </c>
      <c r="DX6" s="331" t="s">
        <v>190</v>
      </c>
      <c r="DY6" s="331" t="s">
        <v>190</v>
      </c>
      <c r="DZ6" s="331" t="s">
        <v>190</v>
      </c>
      <c r="EA6" s="331" t="s">
        <v>190</v>
      </c>
      <c r="EB6" s="331" t="s">
        <v>190</v>
      </c>
      <c r="EC6" s="331" t="s">
        <v>190</v>
      </c>
      <c r="ED6" s="331" t="s">
        <v>190</v>
      </c>
      <c r="EE6" s="331" t="s">
        <v>190</v>
      </c>
      <c r="EF6" s="331" t="s">
        <v>190</v>
      </c>
      <c r="EG6" s="331" t="s">
        <v>190</v>
      </c>
      <c r="EH6" s="331" t="s">
        <v>428</v>
      </c>
      <c r="EI6" s="331" t="s">
        <v>428</v>
      </c>
      <c r="EJ6" s="331" t="s">
        <v>428</v>
      </c>
      <c r="EK6" s="331" t="s">
        <v>428</v>
      </c>
      <c r="EL6" s="331" t="s">
        <v>428</v>
      </c>
      <c r="EM6" s="331" t="s">
        <v>428</v>
      </c>
      <c r="EN6" s="331" t="s">
        <v>428</v>
      </c>
      <c r="EO6" s="331" t="s">
        <v>190</v>
      </c>
      <c r="EP6" s="331" t="s">
        <v>428</v>
      </c>
      <c r="EQ6" s="331" t="s">
        <v>428</v>
      </c>
      <c r="ER6" s="331" t="s">
        <v>428</v>
      </c>
      <c r="ES6" s="331" t="s">
        <v>190</v>
      </c>
      <c r="ET6" s="331" t="s">
        <v>190</v>
      </c>
      <c r="EU6" s="331" t="s">
        <v>190</v>
      </c>
      <c r="EV6" s="331" t="s">
        <v>428</v>
      </c>
      <c r="EW6" s="331" t="s">
        <v>190</v>
      </c>
      <c r="EX6" s="331" t="s">
        <v>190</v>
      </c>
      <c r="EY6" s="331" t="s">
        <v>190</v>
      </c>
      <c r="EZ6" s="331" t="s">
        <v>428</v>
      </c>
      <c r="FA6" s="331" t="s">
        <v>190</v>
      </c>
      <c r="FB6" s="331" t="s">
        <v>190</v>
      </c>
      <c r="FC6" s="331" t="s">
        <v>190</v>
      </c>
      <c r="FD6" s="331" t="s">
        <v>190</v>
      </c>
      <c r="FE6" s="331" t="s">
        <v>190</v>
      </c>
      <c r="FF6" s="331" t="s">
        <v>190</v>
      </c>
      <c r="FG6" s="331" t="s">
        <v>190</v>
      </c>
      <c r="FH6" s="331" t="s">
        <v>190</v>
      </c>
      <c r="FI6" s="331" t="s">
        <v>190</v>
      </c>
      <c r="FJ6" s="331" t="s">
        <v>190</v>
      </c>
      <c r="FK6" s="331" t="s">
        <v>190</v>
      </c>
      <c r="FL6" s="331" t="s">
        <v>190</v>
      </c>
      <c r="FM6" s="331" t="s">
        <v>190</v>
      </c>
      <c r="FN6" s="331" t="s">
        <v>190</v>
      </c>
      <c r="FO6" s="331" t="s">
        <v>190</v>
      </c>
      <c r="FP6" s="331" t="s">
        <v>190</v>
      </c>
      <c r="FQ6" s="331" t="s">
        <v>190</v>
      </c>
      <c r="FR6" s="331" t="s">
        <v>428</v>
      </c>
      <c r="FS6" s="331" t="s">
        <v>190</v>
      </c>
      <c r="FT6" s="331" t="s">
        <v>190</v>
      </c>
      <c r="FU6" s="331" t="s">
        <v>190</v>
      </c>
      <c r="FV6" s="331" t="s">
        <v>190</v>
      </c>
      <c r="FW6" s="331" t="s">
        <v>190</v>
      </c>
      <c r="FX6" s="331" t="s">
        <v>428</v>
      </c>
      <c r="FY6" s="331" t="s">
        <v>190</v>
      </c>
      <c r="FZ6" s="331" t="s">
        <v>190</v>
      </c>
      <c r="GA6" s="331" t="s">
        <v>190</v>
      </c>
      <c r="GB6" s="331" t="s">
        <v>428</v>
      </c>
      <c r="GC6" s="331" t="s">
        <v>190</v>
      </c>
      <c r="GD6" s="331" t="s">
        <v>190</v>
      </c>
      <c r="GE6" s="331" t="s">
        <v>190</v>
      </c>
      <c r="GF6" s="331" t="s">
        <v>190</v>
      </c>
      <c r="GG6" s="331" t="s">
        <v>428</v>
      </c>
      <c r="GH6" s="331" t="s">
        <v>190</v>
      </c>
      <c r="GI6" s="331" t="s">
        <v>190</v>
      </c>
      <c r="GJ6" s="331" t="s">
        <v>190</v>
      </c>
      <c r="GK6" s="331" t="s">
        <v>190</v>
      </c>
      <c r="GL6" s="331" t="s">
        <v>190</v>
      </c>
      <c r="GM6" s="331" t="s">
        <v>190</v>
      </c>
      <c r="GN6" s="331" t="s">
        <v>190</v>
      </c>
      <c r="GO6" s="331" t="s">
        <v>190</v>
      </c>
      <c r="GP6" s="331" t="s">
        <v>190</v>
      </c>
      <c r="GQ6" s="331" t="s">
        <v>190</v>
      </c>
      <c r="GR6" s="331" t="s">
        <v>190</v>
      </c>
      <c r="GS6" s="331" t="s">
        <v>190</v>
      </c>
      <c r="GT6" s="331" t="s">
        <v>190</v>
      </c>
      <c r="GU6" s="331" t="s">
        <v>190</v>
      </c>
      <c r="GV6" s="331" t="s">
        <v>190</v>
      </c>
      <c r="GW6" s="331" t="s">
        <v>190</v>
      </c>
      <c r="GX6" s="331" t="s">
        <v>190</v>
      </c>
      <c r="GY6" s="331" t="s">
        <v>190</v>
      </c>
      <c r="GZ6" s="331" t="s">
        <v>190</v>
      </c>
      <c r="HA6" s="331" t="s">
        <v>190</v>
      </c>
      <c r="HB6" s="331" t="s">
        <v>190</v>
      </c>
      <c r="HC6" s="331" t="s">
        <v>190</v>
      </c>
      <c r="HD6" s="331" t="s">
        <v>190</v>
      </c>
      <c r="HE6" s="331" t="s">
        <v>190</v>
      </c>
      <c r="HF6" s="331" t="s">
        <v>190</v>
      </c>
      <c r="HG6" s="331" t="s">
        <v>190</v>
      </c>
      <c r="HH6" s="331" t="s">
        <v>190</v>
      </c>
      <c r="HI6" s="331" t="s">
        <v>190</v>
      </c>
      <c r="HJ6" s="331" t="s">
        <v>190</v>
      </c>
      <c r="HK6" s="331" t="s">
        <v>190</v>
      </c>
      <c r="HL6" s="331" t="s">
        <v>190</v>
      </c>
      <c r="HM6" s="331" t="s">
        <v>190</v>
      </c>
      <c r="HN6" s="331" t="s">
        <v>190</v>
      </c>
      <c r="HO6" s="331" t="s">
        <v>190</v>
      </c>
      <c r="HP6" s="331" t="s">
        <v>190</v>
      </c>
      <c r="HQ6" s="331" t="s">
        <v>170</v>
      </c>
      <c r="HR6" s="331" t="s">
        <v>429</v>
      </c>
      <c r="HS6" s="331" t="s">
        <v>169</v>
      </c>
      <c r="HT6" s="331" t="s">
        <v>427</v>
      </c>
      <c r="HU6" s="331" t="s">
        <v>190</v>
      </c>
      <c r="HV6" s="331" t="s">
        <v>190</v>
      </c>
    </row>
    <row r="7" spans="1:230" s="70" customFormat="1" x14ac:dyDescent="0.25">
      <c r="A7" s="330" t="str">
        <f>HYPERLINK("http://www.ofsted.gov.uk/inspection-reports/find-inspection-report/provider/ELS/147207 ","Ofsted School Webpage")</f>
        <v>Ofsted School Webpage</v>
      </c>
      <c r="B7" s="331">
        <v>147207</v>
      </c>
      <c r="C7" s="331">
        <v>8866157</v>
      </c>
      <c r="D7" s="331" t="s">
        <v>2688</v>
      </c>
      <c r="E7" s="331" t="s">
        <v>168</v>
      </c>
      <c r="F7" s="331" t="s">
        <v>514</v>
      </c>
      <c r="G7" s="331" t="s">
        <v>514</v>
      </c>
      <c r="H7" s="331" t="s">
        <v>614</v>
      </c>
      <c r="I7" s="331" t="s">
        <v>2689</v>
      </c>
      <c r="J7" s="331" t="s">
        <v>434</v>
      </c>
      <c r="K7" s="331" t="s">
        <v>81</v>
      </c>
      <c r="L7" s="331" t="s">
        <v>81</v>
      </c>
      <c r="M7" s="331" t="s">
        <v>78</v>
      </c>
      <c r="N7" s="331" t="s">
        <v>424</v>
      </c>
      <c r="O7" s="331">
        <v>10116575</v>
      </c>
      <c r="P7" s="332">
        <v>43711</v>
      </c>
      <c r="Q7" s="332">
        <v>43711</v>
      </c>
      <c r="R7" s="332">
        <v>43739</v>
      </c>
      <c r="S7" s="331" t="s">
        <v>2583</v>
      </c>
      <c r="T7" s="331" t="s">
        <v>982</v>
      </c>
      <c r="U7" s="331" t="s">
        <v>447</v>
      </c>
      <c r="V7" s="331" t="s">
        <v>2585</v>
      </c>
      <c r="W7" s="331" t="s">
        <v>190</v>
      </c>
      <c r="X7" s="331" t="s">
        <v>190</v>
      </c>
      <c r="Y7" s="331" t="s">
        <v>190</v>
      </c>
      <c r="Z7" s="331" t="s">
        <v>190</v>
      </c>
      <c r="AA7" s="331" t="s">
        <v>190</v>
      </c>
      <c r="AB7" s="331" t="s">
        <v>190</v>
      </c>
      <c r="AC7" s="331" t="s">
        <v>190</v>
      </c>
      <c r="AD7" s="331" t="s">
        <v>190</v>
      </c>
      <c r="AE7" s="331" t="s">
        <v>428</v>
      </c>
      <c r="AF7" s="331" t="s">
        <v>190</v>
      </c>
      <c r="AG7" s="331" t="s">
        <v>190</v>
      </c>
      <c r="AH7" s="331" t="s">
        <v>190</v>
      </c>
      <c r="AI7" s="331" t="s">
        <v>190</v>
      </c>
      <c r="AJ7" s="331" t="s">
        <v>190</v>
      </c>
      <c r="AK7" s="331" t="s">
        <v>190</v>
      </c>
      <c r="AL7" s="331" t="s">
        <v>190</v>
      </c>
      <c r="AM7" s="331" t="s">
        <v>428</v>
      </c>
      <c r="AN7" s="331" t="s">
        <v>428</v>
      </c>
      <c r="AO7" s="331" t="s">
        <v>190</v>
      </c>
      <c r="AP7" s="331" t="s">
        <v>190</v>
      </c>
      <c r="AQ7" s="331" t="s">
        <v>190</v>
      </c>
      <c r="AR7" s="331" t="s">
        <v>190</v>
      </c>
      <c r="AS7" s="331" t="s">
        <v>190</v>
      </c>
      <c r="AT7" s="331" t="s">
        <v>190</v>
      </c>
      <c r="AU7" s="331" t="s">
        <v>190</v>
      </c>
      <c r="AV7" s="331" t="s">
        <v>190</v>
      </c>
      <c r="AW7" s="331" t="s">
        <v>190</v>
      </c>
      <c r="AX7" s="331" t="s">
        <v>190</v>
      </c>
      <c r="AY7" s="331" t="s">
        <v>190</v>
      </c>
      <c r="AZ7" s="331" t="s">
        <v>190</v>
      </c>
      <c r="BA7" s="331" t="s">
        <v>190</v>
      </c>
      <c r="BB7" s="331" t="s">
        <v>190</v>
      </c>
      <c r="BC7" s="331" t="s">
        <v>190</v>
      </c>
      <c r="BD7" s="331" t="s">
        <v>190</v>
      </c>
      <c r="BE7" s="331" t="s">
        <v>190</v>
      </c>
      <c r="BF7" s="331" t="s">
        <v>190</v>
      </c>
      <c r="BG7" s="331" t="s">
        <v>190</v>
      </c>
      <c r="BH7" s="331" t="s">
        <v>190</v>
      </c>
      <c r="BI7" s="331" t="s">
        <v>190</v>
      </c>
      <c r="BJ7" s="331" t="s">
        <v>190</v>
      </c>
      <c r="BK7" s="331" t="s">
        <v>190</v>
      </c>
      <c r="BL7" s="331" t="s">
        <v>190</v>
      </c>
      <c r="BM7" s="331" t="s">
        <v>190</v>
      </c>
      <c r="BN7" s="331" t="s">
        <v>190</v>
      </c>
      <c r="BO7" s="331" t="s">
        <v>190</v>
      </c>
      <c r="BP7" s="331" t="s">
        <v>190</v>
      </c>
      <c r="BQ7" s="331" t="s">
        <v>190</v>
      </c>
      <c r="BR7" s="331" t="s">
        <v>190</v>
      </c>
      <c r="BS7" s="331" t="s">
        <v>190</v>
      </c>
      <c r="BT7" s="331" t="s">
        <v>190</v>
      </c>
      <c r="BU7" s="331" t="s">
        <v>428</v>
      </c>
      <c r="BV7" s="331" t="s">
        <v>428</v>
      </c>
      <c r="BW7" s="331" t="s">
        <v>428</v>
      </c>
      <c r="BX7" s="331" t="s">
        <v>190</v>
      </c>
      <c r="BY7" s="331" t="s">
        <v>190</v>
      </c>
      <c r="BZ7" s="331" t="s">
        <v>190</v>
      </c>
      <c r="CA7" s="331" t="s">
        <v>190</v>
      </c>
      <c r="CB7" s="331" t="s">
        <v>190</v>
      </c>
      <c r="CC7" s="331" t="s">
        <v>190</v>
      </c>
      <c r="CD7" s="331" t="s">
        <v>191</v>
      </c>
      <c r="CE7" s="331" t="s">
        <v>190</v>
      </c>
      <c r="CF7" s="331" t="s">
        <v>190</v>
      </c>
      <c r="CG7" s="331" t="s">
        <v>190</v>
      </c>
      <c r="CH7" s="331" t="s">
        <v>190</v>
      </c>
      <c r="CI7" s="331" t="s">
        <v>190</v>
      </c>
      <c r="CJ7" s="331" t="s">
        <v>190</v>
      </c>
      <c r="CK7" s="331" t="s">
        <v>190</v>
      </c>
      <c r="CL7" s="331" t="s">
        <v>190</v>
      </c>
      <c r="CM7" s="331" t="s">
        <v>190</v>
      </c>
      <c r="CN7" s="331" t="s">
        <v>190</v>
      </c>
      <c r="CO7" s="331" t="s">
        <v>190</v>
      </c>
      <c r="CP7" s="331" t="s">
        <v>190</v>
      </c>
      <c r="CQ7" s="331" t="s">
        <v>190</v>
      </c>
      <c r="CR7" s="331" t="s">
        <v>190</v>
      </c>
      <c r="CS7" s="331" t="s">
        <v>190</v>
      </c>
      <c r="CT7" s="331" t="s">
        <v>190</v>
      </c>
      <c r="CU7" s="331" t="s">
        <v>428</v>
      </c>
      <c r="CV7" s="331" t="s">
        <v>190</v>
      </c>
      <c r="CW7" s="331" t="s">
        <v>190</v>
      </c>
      <c r="CX7" s="331" t="s">
        <v>190</v>
      </c>
      <c r="CY7" s="331" t="s">
        <v>190</v>
      </c>
      <c r="CZ7" s="331" t="s">
        <v>190</v>
      </c>
      <c r="DA7" s="331" t="s">
        <v>190</v>
      </c>
      <c r="DB7" s="331" t="s">
        <v>190</v>
      </c>
      <c r="DC7" s="331" t="s">
        <v>190</v>
      </c>
      <c r="DD7" s="331" t="s">
        <v>190</v>
      </c>
      <c r="DE7" s="331" t="s">
        <v>190</v>
      </c>
      <c r="DF7" s="331" t="s">
        <v>190</v>
      </c>
      <c r="DG7" s="331" t="s">
        <v>190</v>
      </c>
      <c r="DH7" s="331" t="s">
        <v>190</v>
      </c>
      <c r="DI7" s="331" t="s">
        <v>190</v>
      </c>
      <c r="DJ7" s="331" t="s">
        <v>428</v>
      </c>
      <c r="DK7" s="331" t="s">
        <v>190</v>
      </c>
      <c r="DL7" s="331" t="s">
        <v>190</v>
      </c>
      <c r="DM7" s="331" t="s">
        <v>190</v>
      </c>
      <c r="DN7" s="331" t="s">
        <v>190</v>
      </c>
      <c r="DO7" s="331" t="s">
        <v>190</v>
      </c>
      <c r="DP7" s="331" t="s">
        <v>190</v>
      </c>
      <c r="DQ7" s="331" t="s">
        <v>190</v>
      </c>
      <c r="DR7" s="331" t="s">
        <v>190</v>
      </c>
      <c r="DS7" s="331" t="s">
        <v>190</v>
      </c>
      <c r="DT7" s="331" t="s">
        <v>190</v>
      </c>
      <c r="DU7" s="331" t="s">
        <v>190</v>
      </c>
      <c r="DV7" s="331" t="s">
        <v>190</v>
      </c>
      <c r="DW7" s="331" t="s">
        <v>190</v>
      </c>
      <c r="DX7" s="331" t="s">
        <v>190</v>
      </c>
      <c r="DY7" s="331" t="s">
        <v>190</v>
      </c>
      <c r="DZ7" s="331" t="s">
        <v>190</v>
      </c>
      <c r="EA7" s="331" t="s">
        <v>190</v>
      </c>
      <c r="EB7" s="331" t="s">
        <v>190</v>
      </c>
      <c r="EC7" s="331" t="s">
        <v>190</v>
      </c>
      <c r="ED7" s="331" t="s">
        <v>190</v>
      </c>
      <c r="EE7" s="331" t="s">
        <v>190</v>
      </c>
      <c r="EF7" s="331" t="s">
        <v>190</v>
      </c>
      <c r="EG7" s="331" t="s">
        <v>190</v>
      </c>
      <c r="EH7" s="331" t="s">
        <v>190</v>
      </c>
      <c r="EI7" s="331" t="s">
        <v>190</v>
      </c>
      <c r="EJ7" s="331" t="s">
        <v>190</v>
      </c>
      <c r="EK7" s="331" t="s">
        <v>190</v>
      </c>
      <c r="EL7" s="331" t="s">
        <v>190</v>
      </c>
      <c r="EM7" s="331" t="s">
        <v>190</v>
      </c>
      <c r="EN7" s="331" t="s">
        <v>190</v>
      </c>
      <c r="EO7" s="331" t="s">
        <v>190</v>
      </c>
      <c r="EP7" s="331" t="s">
        <v>190</v>
      </c>
      <c r="EQ7" s="331" t="s">
        <v>190</v>
      </c>
      <c r="ER7" s="331" t="s">
        <v>190</v>
      </c>
      <c r="ES7" s="331" t="s">
        <v>190</v>
      </c>
      <c r="ET7" s="331" t="s">
        <v>190</v>
      </c>
      <c r="EU7" s="331" t="s">
        <v>190</v>
      </c>
      <c r="EV7" s="331" t="s">
        <v>190</v>
      </c>
      <c r="EW7" s="331" t="s">
        <v>190</v>
      </c>
      <c r="EX7" s="331" t="s">
        <v>190</v>
      </c>
      <c r="EY7" s="331" t="s">
        <v>190</v>
      </c>
      <c r="EZ7" s="331" t="s">
        <v>428</v>
      </c>
      <c r="FA7" s="331" t="s">
        <v>190</v>
      </c>
      <c r="FB7" s="331" t="s">
        <v>191</v>
      </c>
      <c r="FC7" s="331" t="s">
        <v>190</v>
      </c>
      <c r="FD7" s="331" t="s">
        <v>190</v>
      </c>
      <c r="FE7" s="331" t="s">
        <v>190</v>
      </c>
      <c r="FF7" s="331" t="s">
        <v>190</v>
      </c>
      <c r="FG7" s="331" t="s">
        <v>190</v>
      </c>
      <c r="FH7" s="331" t="s">
        <v>190</v>
      </c>
      <c r="FI7" s="331" t="s">
        <v>190</v>
      </c>
      <c r="FJ7" s="331" t="s">
        <v>190</v>
      </c>
      <c r="FK7" s="331" t="s">
        <v>190</v>
      </c>
      <c r="FL7" s="331" t="s">
        <v>190</v>
      </c>
      <c r="FM7" s="331" t="s">
        <v>190</v>
      </c>
      <c r="FN7" s="331" t="s">
        <v>190</v>
      </c>
      <c r="FO7" s="331" t="s">
        <v>190</v>
      </c>
      <c r="FP7" s="331" t="s">
        <v>190</v>
      </c>
      <c r="FQ7" s="331" t="s">
        <v>190</v>
      </c>
      <c r="FR7" s="331" t="s">
        <v>428</v>
      </c>
      <c r="FS7" s="331" t="s">
        <v>190</v>
      </c>
      <c r="FT7" s="331" t="s">
        <v>190</v>
      </c>
      <c r="FU7" s="331" t="s">
        <v>190</v>
      </c>
      <c r="FV7" s="331" t="s">
        <v>190</v>
      </c>
      <c r="FW7" s="331" t="s">
        <v>190</v>
      </c>
      <c r="FX7" s="331" t="s">
        <v>428</v>
      </c>
      <c r="FY7" s="331" t="s">
        <v>190</v>
      </c>
      <c r="FZ7" s="331" t="s">
        <v>190</v>
      </c>
      <c r="GA7" s="331" t="s">
        <v>190</v>
      </c>
      <c r="GB7" s="331" t="s">
        <v>190</v>
      </c>
      <c r="GC7" s="331" t="s">
        <v>190</v>
      </c>
      <c r="GD7" s="331" t="s">
        <v>190</v>
      </c>
      <c r="GE7" s="331" t="s">
        <v>190</v>
      </c>
      <c r="GF7" s="331" t="s">
        <v>190</v>
      </c>
      <c r="GG7" s="331" t="s">
        <v>428</v>
      </c>
      <c r="GH7" s="331" t="s">
        <v>190</v>
      </c>
      <c r="GI7" s="331" t="s">
        <v>190</v>
      </c>
      <c r="GJ7" s="331" t="s">
        <v>190</v>
      </c>
      <c r="GK7" s="331" t="s">
        <v>190</v>
      </c>
      <c r="GL7" s="331" t="s">
        <v>190</v>
      </c>
      <c r="GM7" s="331" t="s">
        <v>190</v>
      </c>
      <c r="GN7" s="331" t="s">
        <v>190</v>
      </c>
      <c r="GO7" s="331" t="s">
        <v>190</v>
      </c>
      <c r="GP7" s="331" t="s">
        <v>190</v>
      </c>
      <c r="GQ7" s="331" t="s">
        <v>190</v>
      </c>
      <c r="GR7" s="331" t="s">
        <v>190</v>
      </c>
      <c r="GS7" s="331" t="s">
        <v>190</v>
      </c>
      <c r="GT7" s="331" t="s">
        <v>190</v>
      </c>
      <c r="GU7" s="331" t="s">
        <v>190</v>
      </c>
      <c r="GV7" s="331" t="s">
        <v>190</v>
      </c>
      <c r="GW7" s="331" t="s">
        <v>190</v>
      </c>
      <c r="GX7" s="331" t="s">
        <v>190</v>
      </c>
      <c r="GY7" s="331" t="s">
        <v>190</v>
      </c>
      <c r="GZ7" s="331" t="s">
        <v>190</v>
      </c>
      <c r="HA7" s="331" t="s">
        <v>190</v>
      </c>
      <c r="HB7" s="331" t="s">
        <v>190</v>
      </c>
      <c r="HC7" s="331" t="s">
        <v>190</v>
      </c>
      <c r="HD7" s="331" t="s">
        <v>190</v>
      </c>
      <c r="HE7" s="331" t="s">
        <v>190</v>
      </c>
      <c r="HF7" s="331" t="s">
        <v>190</v>
      </c>
      <c r="HG7" s="331" t="s">
        <v>190</v>
      </c>
      <c r="HH7" s="331" t="s">
        <v>190</v>
      </c>
      <c r="HI7" s="331" t="s">
        <v>190</v>
      </c>
      <c r="HJ7" s="331" t="s">
        <v>190</v>
      </c>
      <c r="HK7" s="331" t="s">
        <v>190</v>
      </c>
      <c r="HL7" s="331" t="s">
        <v>190</v>
      </c>
      <c r="HM7" s="331" t="s">
        <v>191</v>
      </c>
      <c r="HN7" s="331" t="s">
        <v>191</v>
      </c>
      <c r="HO7" s="331" t="s">
        <v>191</v>
      </c>
      <c r="HP7" s="331" t="s">
        <v>191</v>
      </c>
      <c r="HQ7" s="331" t="s">
        <v>170</v>
      </c>
      <c r="HR7" s="331" t="s">
        <v>429</v>
      </c>
      <c r="HS7" s="331" t="s">
        <v>169</v>
      </c>
      <c r="HT7" s="331" t="s">
        <v>427</v>
      </c>
      <c r="HU7" s="331" t="s">
        <v>428</v>
      </c>
      <c r="HV7" s="331" t="s">
        <v>428</v>
      </c>
    </row>
    <row r="8" spans="1:230" s="70" customFormat="1" x14ac:dyDescent="0.25">
      <c r="A8" s="330" t="str">
        <f>HYPERLINK("http://www.ofsted.gov.uk/inspection-reports/find-inspection-report/provider/ELS/147353 ","Ofsted School Webpage")</f>
        <v>Ofsted School Webpage</v>
      </c>
      <c r="B8" s="331">
        <v>147353</v>
      </c>
      <c r="C8" s="331">
        <v>8396011</v>
      </c>
      <c r="D8" s="331" t="s">
        <v>2690</v>
      </c>
      <c r="E8" s="331" t="s">
        <v>168</v>
      </c>
      <c r="F8" s="331" t="s">
        <v>422</v>
      </c>
      <c r="G8" s="331" t="s">
        <v>422</v>
      </c>
      <c r="H8" s="331" t="s">
        <v>2691</v>
      </c>
      <c r="I8" s="331" t="s">
        <v>2692</v>
      </c>
      <c r="J8" s="331" t="s">
        <v>434</v>
      </c>
      <c r="K8" s="331" t="s">
        <v>81</v>
      </c>
      <c r="L8" s="331" t="s">
        <v>81</v>
      </c>
      <c r="M8" s="331" t="s">
        <v>78</v>
      </c>
      <c r="N8" s="331" t="s">
        <v>424</v>
      </c>
      <c r="O8" s="331">
        <v>10120744</v>
      </c>
      <c r="P8" s="332">
        <v>43712</v>
      </c>
      <c r="Q8" s="332">
        <v>43712</v>
      </c>
      <c r="R8" s="332">
        <v>43730</v>
      </c>
      <c r="S8" s="331" t="s">
        <v>2583</v>
      </c>
      <c r="T8" s="331" t="s">
        <v>982</v>
      </c>
      <c r="U8" s="331" t="s">
        <v>427</v>
      </c>
      <c r="V8" s="331" t="s">
        <v>2599</v>
      </c>
      <c r="W8" s="331" t="s">
        <v>191</v>
      </c>
      <c r="X8" s="331" t="s">
        <v>191</v>
      </c>
      <c r="Y8" s="331" t="s">
        <v>191</v>
      </c>
      <c r="Z8" s="331" t="s">
        <v>191</v>
      </c>
      <c r="AA8" s="331" t="s">
        <v>190</v>
      </c>
      <c r="AB8" s="331" t="s">
        <v>191</v>
      </c>
      <c r="AC8" s="331" t="s">
        <v>190</v>
      </c>
      <c r="AD8" s="331" t="s">
        <v>190</v>
      </c>
      <c r="AE8" s="331" t="s">
        <v>428</v>
      </c>
      <c r="AF8" s="331" t="s">
        <v>190</v>
      </c>
      <c r="AG8" s="331" t="s">
        <v>190</v>
      </c>
      <c r="AH8" s="331" t="s">
        <v>190</v>
      </c>
      <c r="AI8" s="331" t="s">
        <v>191</v>
      </c>
      <c r="AJ8" s="331" t="s">
        <v>191</v>
      </c>
      <c r="AK8" s="331" t="s">
        <v>191</v>
      </c>
      <c r="AL8" s="331" t="s">
        <v>191</v>
      </c>
      <c r="AM8" s="331" t="s">
        <v>428</v>
      </c>
      <c r="AN8" s="331" t="s">
        <v>190</v>
      </c>
      <c r="AO8" s="331" t="s">
        <v>190</v>
      </c>
      <c r="AP8" s="331" t="s">
        <v>190</v>
      </c>
      <c r="AQ8" s="331" t="s">
        <v>190</v>
      </c>
      <c r="AR8" s="331" t="s">
        <v>190</v>
      </c>
      <c r="AS8" s="331" t="s">
        <v>190</v>
      </c>
      <c r="AT8" s="331" t="s">
        <v>190</v>
      </c>
      <c r="AU8" s="331" t="s">
        <v>190</v>
      </c>
      <c r="AV8" s="331" t="s">
        <v>190</v>
      </c>
      <c r="AW8" s="331" t="s">
        <v>190</v>
      </c>
      <c r="AX8" s="331" t="s">
        <v>190</v>
      </c>
      <c r="AY8" s="331" t="s">
        <v>190</v>
      </c>
      <c r="AZ8" s="331" t="s">
        <v>190</v>
      </c>
      <c r="BA8" s="331" t="s">
        <v>190</v>
      </c>
      <c r="BB8" s="331" t="s">
        <v>190</v>
      </c>
      <c r="BC8" s="331" t="s">
        <v>190</v>
      </c>
      <c r="BD8" s="331" t="s">
        <v>190</v>
      </c>
      <c r="BE8" s="331" t="s">
        <v>190</v>
      </c>
      <c r="BF8" s="331" t="s">
        <v>190</v>
      </c>
      <c r="BG8" s="331" t="s">
        <v>190</v>
      </c>
      <c r="BH8" s="331" t="s">
        <v>190</v>
      </c>
      <c r="BI8" s="331" t="s">
        <v>190</v>
      </c>
      <c r="BJ8" s="331" t="s">
        <v>190</v>
      </c>
      <c r="BK8" s="331" t="s">
        <v>190</v>
      </c>
      <c r="BL8" s="331" t="s">
        <v>190</v>
      </c>
      <c r="BM8" s="331" t="s">
        <v>190</v>
      </c>
      <c r="BN8" s="331" t="s">
        <v>190</v>
      </c>
      <c r="BO8" s="331" t="s">
        <v>190</v>
      </c>
      <c r="BP8" s="331" t="s">
        <v>190</v>
      </c>
      <c r="BQ8" s="331" t="s">
        <v>190</v>
      </c>
      <c r="BR8" s="331" t="s">
        <v>191</v>
      </c>
      <c r="BS8" s="331" t="s">
        <v>191</v>
      </c>
      <c r="BT8" s="331" t="s">
        <v>191</v>
      </c>
      <c r="BU8" s="331" t="s">
        <v>428</v>
      </c>
      <c r="BV8" s="331" t="s">
        <v>428</v>
      </c>
      <c r="BW8" s="331" t="s">
        <v>428</v>
      </c>
      <c r="BX8" s="331" t="s">
        <v>190</v>
      </c>
      <c r="BY8" s="331" t="s">
        <v>190</v>
      </c>
      <c r="BZ8" s="331" t="s">
        <v>190</v>
      </c>
      <c r="CA8" s="331" t="s">
        <v>190</v>
      </c>
      <c r="CB8" s="331" t="s">
        <v>190</v>
      </c>
      <c r="CC8" s="331" t="s">
        <v>191</v>
      </c>
      <c r="CD8" s="331" t="s">
        <v>191</v>
      </c>
      <c r="CE8" s="331" t="s">
        <v>191</v>
      </c>
      <c r="CF8" s="331" t="s">
        <v>191</v>
      </c>
      <c r="CG8" s="331" t="s">
        <v>191</v>
      </c>
      <c r="CH8" s="331" t="s">
        <v>191</v>
      </c>
      <c r="CI8" s="331" t="s">
        <v>191</v>
      </c>
      <c r="CJ8" s="331" t="s">
        <v>191</v>
      </c>
      <c r="CK8" s="331" t="s">
        <v>191</v>
      </c>
      <c r="CL8" s="331" t="s">
        <v>190</v>
      </c>
      <c r="CM8" s="331" t="s">
        <v>191</v>
      </c>
      <c r="CN8" s="331" t="s">
        <v>191</v>
      </c>
      <c r="CO8" s="331" t="s">
        <v>191</v>
      </c>
      <c r="CP8" s="331" t="s">
        <v>191</v>
      </c>
      <c r="CQ8" s="331" t="s">
        <v>191</v>
      </c>
      <c r="CR8" s="331" t="s">
        <v>191</v>
      </c>
      <c r="CS8" s="331" t="s">
        <v>190</v>
      </c>
      <c r="CT8" s="331" t="s">
        <v>191</v>
      </c>
      <c r="CU8" s="331" t="s">
        <v>428</v>
      </c>
      <c r="CV8" s="331" t="s">
        <v>191</v>
      </c>
      <c r="CW8" s="331" t="s">
        <v>428</v>
      </c>
      <c r="CX8" s="331" t="s">
        <v>428</v>
      </c>
      <c r="CY8" s="331" t="s">
        <v>428</v>
      </c>
      <c r="CZ8" s="331" t="s">
        <v>428</v>
      </c>
      <c r="DA8" s="331" t="s">
        <v>428</v>
      </c>
      <c r="DB8" s="331" t="s">
        <v>428</v>
      </c>
      <c r="DC8" s="331" t="s">
        <v>428</v>
      </c>
      <c r="DD8" s="331" t="s">
        <v>428</v>
      </c>
      <c r="DE8" s="331" t="s">
        <v>428</v>
      </c>
      <c r="DF8" s="331" t="s">
        <v>428</v>
      </c>
      <c r="DG8" s="331" t="s">
        <v>428</v>
      </c>
      <c r="DH8" s="331" t="s">
        <v>428</v>
      </c>
      <c r="DI8" s="331" t="s">
        <v>428</v>
      </c>
      <c r="DJ8" s="331" t="s">
        <v>428</v>
      </c>
      <c r="DK8" s="331" t="s">
        <v>428</v>
      </c>
      <c r="DL8" s="331" t="s">
        <v>191</v>
      </c>
      <c r="DM8" s="331" t="s">
        <v>191</v>
      </c>
      <c r="DN8" s="331" t="s">
        <v>190</v>
      </c>
      <c r="DO8" s="331" t="s">
        <v>191</v>
      </c>
      <c r="DP8" s="331" t="s">
        <v>191</v>
      </c>
      <c r="DQ8" s="331" t="s">
        <v>190</v>
      </c>
      <c r="DR8" s="331" t="s">
        <v>191</v>
      </c>
      <c r="DS8" s="331" t="s">
        <v>191</v>
      </c>
      <c r="DT8" s="331" t="s">
        <v>190</v>
      </c>
      <c r="DU8" s="331" t="s">
        <v>191</v>
      </c>
      <c r="DV8" s="331" t="s">
        <v>190</v>
      </c>
      <c r="DW8" s="331" t="s">
        <v>191</v>
      </c>
      <c r="DX8" s="331" t="s">
        <v>191</v>
      </c>
      <c r="DY8" s="331" t="s">
        <v>191</v>
      </c>
      <c r="DZ8" s="331" t="s">
        <v>190</v>
      </c>
      <c r="EA8" s="331" t="s">
        <v>191</v>
      </c>
      <c r="EB8" s="331" t="s">
        <v>191</v>
      </c>
      <c r="EC8" s="331" t="s">
        <v>190</v>
      </c>
      <c r="ED8" s="331" t="s">
        <v>191</v>
      </c>
      <c r="EE8" s="331" t="s">
        <v>191</v>
      </c>
      <c r="EF8" s="331" t="s">
        <v>191</v>
      </c>
      <c r="EG8" s="331" t="s">
        <v>191</v>
      </c>
      <c r="EH8" s="331" t="s">
        <v>428</v>
      </c>
      <c r="EI8" s="331" t="s">
        <v>428</v>
      </c>
      <c r="EJ8" s="331" t="s">
        <v>428</v>
      </c>
      <c r="EK8" s="331" t="s">
        <v>428</v>
      </c>
      <c r="EL8" s="331" t="s">
        <v>428</v>
      </c>
      <c r="EM8" s="331" t="s">
        <v>428</v>
      </c>
      <c r="EN8" s="331" t="s">
        <v>428</v>
      </c>
      <c r="EO8" s="331" t="s">
        <v>191</v>
      </c>
      <c r="EP8" s="331" t="s">
        <v>428</v>
      </c>
      <c r="EQ8" s="331" t="s">
        <v>428</v>
      </c>
      <c r="ER8" s="331" t="s">
        <v>428</v>
      </c>
      <c r="ES8" s="331" t="s">
        <v>191</v>
      </c>
      <c r="ET8" s="331" t="s">
        <v>190</v>
      </c>
      <c r="EU8" s="331" t="s">
        <v>190</v>
      </c>
      <c r="EV8" s="331" t="s">
        <v>191</v>
      </c>
      <c r="EW8" s="331" t="s">
        <v>191</v>
      </c>
      <c r="EX8" s="331" t="s">
        <v>191</v>
      </c>
      <c r="EY8" s="331" t="s">
        <v>191</v>
      </c>
      <c r="EZ8" s="331" t="s">
        <v>428</v>
      </c>
      <c r="FA8" s="331" t="s">
        <v>191</v>
      </c>
      <c r="FB8" s="331" t="s">
        <v>191</v>
      </c>
      <c r="FC8" s="331" t="s">
        <v>190</v>
      </c>
      <c r="FD8" s="331" t="s">
        <v>190</v>
      </c>
      <c r="FE8" s="331" t="s">
        <v>190</v>
      </c>
      <c r="FF8" s="331" t="s">
        <v>190</v>
      </c>
      <c r="FG8" s="331" t="s">
        <v>190</v>
      </c>
      <c r="FH8" s="331" t="s">
        <v>190</v>
      </c>
      <c r="FI8" s="331" t="s">
        <v>190</v>
      </c>
      <c r="FJ8" s="331" t="s">
        <v>190</v>
      </c>
      <c r="FK8" s="331" t="s">
        <v>190</v>
      </c>
      <c r="FL8" s="331" t="s">
        <v>190</v>
      </c>
      <c r="FM8" s="331" t="s">
        <v>190</v>
      </c>
      <c r="FN8" s="331" t="s">
        <v>190</v>
      </c>
      <c r="FO8" s="331" t="s">
        <v>190</v>
      </c>
      <c r="FP8" s="331" t="s">
        <v>190</v>
      </c>
      <c r="FQ8" s="331" t="s">
        <v>190</v>
      </c>
      <c r="FR8" s="331" t="s">
        <v>428</v>
      </c>
      <c r="FS8" s="331" t="s">
        <v>191</v>
      </c>
      <c r="FT8" s="331" t="s">
        <v>190</v>
      </c>
      <c r="FU8" s="331" t="s">
        <v>191</v>
      </c>
      <c r="FV8" s="331" t="s">
        <v>191</v>
      </c>
      <c r="FW8" s="331" t="s">
        <v>428</v>
      </c>
      <c r="FX8" s="331" t="s">
        <v>428</v>
      </c>
      <c r="FY8" s="331" t="s">
        <v>190</v>
      </c>
      <c r="FZ8" s="331" t="s">
        <v>190</v>
      </c>
      <c r="GA8" s="331" t="s">
        <v>190</v>
      </c>
      <c r="GB8" s="331" t="s">
        <v>190</v>
      </c>
      <c r="GC8" s="331" t="s">
        <v>428</v>
      </c>
      <c r="GD8" s="331" t="s">
        <v>190</v>
      </c>
      <c r="GE8" s="331" t="s">
        <v>190</v>
      </c>
      <c r="GF8" s="331" t="s">
        <v>190</v>
      </c>
      <c r="GG8" s="331" t="s">
        <v>428</v>
      </c>
      <c r="GH8" s="331" t="s">
        <v>190</v>
      </c>
      <c r="GI8" s="331" t="s">
        <v>190</v>
      </c>
      <c r="GJ8" s="331" t="s">
        <v>190</v>
      </c>
      <c r="GK8" s="331" t="s">
        <v>191</v>
      </c>
      <c r="GL8" s="331" t="s">
        <v>191</v>
      </c>
      <c r="GM8" s="331" t="s">
        <v>190</v>
      </c>
      <c r="GN8" s="331" t="s">
        <v>190</v>
      </c>
      <c r="GO8" s="331" t="s">
        <v>191</v>
      </c>
      <c r="GP8" s="331" t="s">
        <v>190</v>
      </c>
      <c r="GQ8" s="331" t="s">
        <v>190</v>
      </c>
      <c r="GR8" s="331" t="s">
        <v>428</v>
      </c>
      <c r="GS8" s="331" t="s">
        <v>428</v>
      </c>
      <c r="GT8" s="331" t="s">
        <v>428</v>
      </c>
      <c r="GU8" s="331" t="s">
        <v>428</v>
      </c>
      <c r="GV8" s="331" t="s">
        <v>428</v>
      </c>
      <c r="GW8" s="331" t="s">
        <v>190</v>
      </c>
      <c r="GX8" s="331" t="s">
        <v>190</v>
      </c>
      <c r="GY8" s="331" t="s">
        <v>190</v>
      </c>
      <c r="GZ8" s="331" t="s">
        <v>190</v>
      </c>
      <c r="HA8" s="331" t="s">
        <v>190</v>
      </c>
      <c r="HB8" s="331" t="s">
        <v>190</v>
      </c>
      <c r="HC8" s="331" t="s">
        <v>190</v>
      </c>
      <c r="HD8" s="331" t="s">
        <v>190</v>
      </c>
      <c r="HE8" s="331" t="s">
        <v>190</v>
      </c>
      <c r="HF8" s="331" t="s">
        <v>190</v>
      </c>
      <c r="HG8" s="331" t="s">
        <v>190</v>
      </c>
      <c r="HH8" s="331" t="s">
        <v>190</v>
      </c>
      <c r="HI8" s="331" t="s">
        <v>190</v>
      </c>
      <c r="HJ8" s="331" t="s">
        <v>190</v>
      </c>
      <c r="HK8" s="331" t="s">
        <v>190</v>
      </c>
      <c r="HL8" s="331" t="s">
        <v>190</v>
      </c>
      <c r="HM8" s="331" t="s">
        <v>191</v>
      </c>
      <c r="HN8" s="331" t="s">
        <v>191</v>
      </c>
      <c r="HO8" s="331" t="s">
        <v>191</v>
      </c>
      <c r="HP8" s="331" t="s">
        <v>191</v>
      </c>
      <c r="HQ8" s="331" t="s">
        <v>170</v>
      </c>
      <c r="HR8" s="331" t="s">
        <v>429</v>
      </c>
      <c r="HS8" s="331" t="s">
        <v>169</v>
      </c>
      <c r="HT8" s="331" t="s">
        <v>427</v>
      </c>
      <c r="HU8" s="331" t="s">
        <v>428</v>
      </c>
      <c r="HV8" s="331" t="s">
        <v>428</v>
      </c>
    </row>
    <row r="9" spans="1:230" s="70" customFormat="1" x14ac:dyDescent="0.25">
      <c r="A9" s="330" t="str">
        <f>HYPERLINK("http://www.ofsted.gov.uk/inspection-reports/find-inspection-report/provider/ELS/147348 ","Ofsted School Webpage")</f>
        <v>Ofsted School Webpage</v>
      </c>
      <c r="B9" s="331">
        <v>147348</v>
      </c>
      <c r="C9" s="331">
        <v>9286004</v>
      </c>
      <c r="D9" s="331" t="s">
        <v>2693</v>
      </c>
      <c r="E9" s="331" t="s">
        <v>167</v>
      </c>
      <c r="F9" s="331" t="s">
        <v>506</v>
      </c>
      <c r="G9" s="331" t="s">
        <v>506</v>
      </c>
      <c r="H9" s="331" t="s">
        <v>1136</v>
      </c>
      <c r="I9" s="331" t="s">
        <v>2694</v>
      </c>
      <c r="J9" s="331" t="s">
        <v>434</v>
      </c>
      <c r="K9" s="331" t="s">
        <v>81</v>
      </c>
      <c r="L9" s="331" t="s">
        <v>81</v>
      </c>
      <c r="M9" s="331" t="s">
        <v>78</v>
      </c>
      <c r="N9" s="331" t="s">
        <v>424</v>
      </c>
      <c r="O9" s="331">
        <v>10120960</v>
      </c>
      <c r="P9" s="332">
        <v>43712</v>
      </c>
      <c r="Q9" s="332">
        <v>43712</v>
      </c>
      <c r="R9" s="332">
        <v>43739</v>
      </c>
      <c r="S9" s="331" t="s">
        <v>2583</v>
      </c>
      <c r="T9" s="331" t="s">
        <v>982</v>
      </c>
      <c r="U9" s="331" t="s">
        <v>427</v>
      </c>
      <c r="V9" s="331" t="s">
        <v>2585</v>
      </c>
      <c r="W9" s="331" t="s">
        <v>191</v>
      </c>
      <c r="X9" s="331" t="s">
        <v>191</v>
      </c>
      <c r="Y9" s="331" t="s">
        <v>191</v>
      </c>
      <c r="Z9" s="331" t="s">
        <v>191</v>
      </c>
      <c r="AA9" s="331" t="s">
        <v>190</v>
      </c>
      <c r="AB9" s="331" t="s">
        <v>191</v>
      </c>
      <c r="AC9" s="331" t="s">
        <v>191</v>
      </c>
      <c r="AD9" s="331" t="s">
        <v>190</v>
      </c>
      <c r="AE9" s="331" t="s">
        <v>428</v>
      </c>
      <c r="AF9" s="331" t="s">
        <v>191</v>
      </c>
      <c r="AG9" s="331" t="s">
        <v>190</v>
      </c>
      <c r="AH9" s="331" t="s">
        <v>190</v>
      </c>
      <c r="AI9" s="331" t="s">
        <v>190</v>
      </c>
      <c r="AJ9" s="331" t="s">
        <v>190</v>
      </c>
      <c r="AK9" s="331" t="s">
        <v>190</v>
      </c>
      <c r="AL9" s="331" t="s">
        <v>190</v>
      </c>
      <c r="AM9" s="331" t="s">
        <v>428</v>
      </c>
      <c r="AN9" s="331" t="s">
        <v>190</v>
      </c>
      <c r="AO9" s="331" t="s">
        <v>190</v>
      </c>
      <c r="AP9" s="331" t="s">
        <v>190</v>
      </c>
      <c r="AQ9" s="331" t="s">
        <v>190</v>
      </c>
      <c r="AR9" s="331" t="s">
        <v>190</v>
      </c>
      <c r="AS9" s="331" t="s">
        <v>190</v>
      </c>
      <c r="AT9" s="331" t="s">
        <v>190</v>
      </c>
      <c r="AU9" s="331" t="s">
        <v>190</v>
      </c>
      <c r="AV9" s="331" t="s">
        <v>190</v>
      </c>
      <c r="AW9" s="331" t="s">
        <v>190</v>
      </c>
      <c r="AX9" s="331" t="s">
        <v>190</v>
      </c>
      <c r="AY9" s="331" t="s">
        <v>190</v>
      </c>
      <c r="AZ9" s="331" t="s">
        <v>190</v>
      </c>
      <c r="BA9" s="331" t="s">
        <v>190</v>
      </c>
      <c r="BB9" s="331" t="s">
        <v>190</v>
      </c>
      <c r="BC9" s="331" t="s">
        <v>190</v>
      </c>
      <c r="BD9" s="331" t="s">
        <v>190</v>
      </c>
      <c r="BE9" s="331" t="s">
        <v>190</v>
      </c>
      <c r="BF9" s="331" t="s">
        <v>190</v>
      </c>
      <c r="BG9" s="331" t="s">
        <v>190</v>
      </c>
      <c r="BH9" s="331" t="s">
        <v>190</v>
      </c>
      <c r="BI9" s="331" t="s">
        <v>190</v>
      </c>
      <c r="BJ9" s="331" t="s">
        <v>190</v>
      </c>
      <c r="BK9" s="331" t="s">
        <v>190</v>
      </c>
      <c r="BL9" s="331" t="s">
        <v>190</v>
      </c>
      <c r="BM9" s="331" t="s">
        <v>190</v>
      </c>
      <c r="BN9" s="331" t="s">
        <v>190</v>
      </c>
      <c r="BO9" s="331" t="s">
        <v>190</v>
      </c>
      <c r="BP9" s="331" t="s">
        <v>190</v>
      </c>
      <c r="BQ9" s="331" t="s">
        <v>190</v>
      </c>
      <c r="BR9" s="331" t="s">
        <v>190</v>
      </c>
      <c r="BS9" s="331" t="s">
        <v>190</v>
      </c>
      <c r="BT9" s="331" t="s">
        <v>190</v>
      </c>
      <c r="BU9" s="331" t="s">
        <v>428</v>
      </c>
      <c r="BV9" s="331" t="s">
        <v>428</v>
      </c>
      <c r="BW9" s="331" t="s">
        <v>428</v>
      </c>
      <c r="BX9" s="331" t="s">
        <v>191</v>
      </c>
      <c r="BY9" s="331" t="s">
        <v>191</v>
      </c>
      <c r="BZ9" s="331" t="s">
        <v>191</v>
      </c>
      <c r="CA9" s="331" t="s">
        <v>190</v>
      </c>
      <c r="CB9" s="331" t="s">
        <v>191</v>
      </c>
      <c r="CC9" s="331" t="s">
        <v>190</v>
      </c>
      <c r="CD9" s="331" t="s">
        <v>190</v>
      </c>
      <c r="CE9" s="331" t="s">
        <v>190</v>
      </c>
      <c r="CF9" s="331" t="s">
        <v>190</v>
      </c>
      <c r="CG9" s="331" t="s">
        <v>190</v>
      </c>
      <c r="CH9" s="331" t="s">
        <v>190</v>
      </c>
      <c r="CI9" s="331" t="s">
        <v>190</v>
      </c>
      <c r="CJ9" s="331" t="s">
        <v>190</v>
      </c>
      <c r="CK9" s="331" t="s">
        <v>191</v>
      </c>
      <c r="CL9" s="331" t="s">
        <v>190</v>
      </c>
      <c r="CM9" s="331" t="s">
        <v>191</v>
      </c>
      <c r="CN9" s="331" t="s">
        <v>191</v>
      </c>
      <c r="CO9" s="331" t="s">
        <v>190</v>
      </c>
      <c r="CP9" s="331" t="s">
        <v>191</v>
      </c>
      <c r="CQ9" s="331" t="s">
        <v>190</v>
      </c>
      <c r="CR9" s="331" t="s">
        <v>190</v>
      </c>
      <c r="CS9" s="331" t="s">
        <v>190</v>
      </c>
      <c r="CT9" s="331" t="s">
        <v>191</v>
      </c>
      <c r="CU9" s="331" t="s">
        <v>428</v>
      </c>
      <c r="CV9" s="331" t="s">
        <v>191</v>
      </c>
      <c r="CW9" s="331" t="s">
        <v>428</v>
      </c>
      <c r="CX9" s="331" t="s">
        <v>428</v>
      </c>
      <c r="CY9" s="331" t="s">
        <v>428</v>
      </c>
      <c r="CZ9" s="331" t="s">
        <v>428</v>
      </c>
      <c r="DA9" s="331" t="s">
        <v>428</v>
      </c>
      <c r="DB9" s="331" t="s">
        <v>428</v>
      </c>
      <c r="DC9" s="331" t="s">
        <v>428</v>
      </c>
      <c r="DD9" s="331" t="s">
        <v>428</v>
      </c>
      <c r="DE9" s="331" t="s">
        <v>428</v>
      </c>
      <c r="DF9" s="331" t="s">
        <v>428</v>
      </c>
      <c r="DG9" s="331" t="s">
        <v>428</v>
      </c>
      <c r="DH9" s="331" t="s">
        <v>428</v>
      </c>
      <c r="DI9" s="331" t="s">
        <v>428</v>
      </c>
      <c r="DJ9" s="331" t="s">
        <v>428</v>
      </c>
      <c r="DK9" s="331" t="s">
        <v>190</v>
      </c>
      <c r="DL9" s="331" t="s">
        <v>428</v>
      </c>
      <c r="DM9" s="331" t="s">
        <v>428</v>
      </c>
      <c r="DN9" s="331" t="s">
        <v>428</v>
      </c>
      <c r="DO9" s="331" t="s">
        <v>428</v>
      </c>
      <c r="DP9" s="331" t="s">
        <v>428</v>
      </c>
      <c r="DQ9" s="331" t="s">
        <v>428</v>
      </c>
      <c r="DR9" s="331" t="s">
        <v>428</v>
      </c>
      <c r="DS9" s="331" t="s">
        <v>428</v>
      </c>
      <c r="DT9" s="331" t="s">
        <v>428</v>
      </c>
      <c r="DU9" s="331" t="s">
        <v>190</v>
      </c>
      <c r="DV9" s="331" t="s">
        <v>190</v>
      </c>
      <c r="DW9" s="331" t="s">
        <v>191</v>
      </c>
      <c r="DX9" s="331" t="s">
        <v>191</v>
      </c>
      <c r="DY9" s="331" t="s">
        <v>190</v>
      </c>
      <c r="DZ9" s="331" t="s">
        <v>190</v>
      </c>
      <c r="EA9" s="331" t="s">
        <v>191</v>
      </c>
      <c r="EB9" s="331" t="s">
        <v>190</v>
      </c>
      <c r="EC9" s="331" t="s">
        <v>190</v>
      </c>
      <c r="ED9" s="331" t="s">
        <v>190</v>
      </c>
      <c r="EE9" s="331" t="s">
        <v>190</v>
      </c>
      <c r="EF9" s="331" t="s">
        <v>191</v>
      </c>
      <c r="EG9" s="331" t="s">
        <v>191</v>
      </c>
      <c r="EH9" s="331" t="s">
        <v>428</v>
      </c>
      <c r="EI9" s="331" t="s">
        <v>428</v>
      </c>
      <c r="EJ9" s="331" t="s">
        <v>428</v>
      </c>
      <c r="EK9" s="331" t="s">
        <v>428</v>
      </c>
      <c r="EL9" s="331" t="s">
        <v>428</v>
      </c>
      <c r="EM9" s="331" t="s">
        <v>428</v>
      </c>
      <c r="EN9" s="331" t="s">
        <v>428</v>
      </c>
      <c r="EO9" s="331" t="s">
        <v>428</v>
      </c>
      <c r="EP9" s="331" t="s">
        <v>428</v>
      </c>
      <c r="EQ9" s="331" t="s">
        <v>428</v>
      </c>
      <c r="ER9" s="331" t="s">
        <v>428</v>
      </c>
      <c r="ES9" s="331" t="s">
        <v>190</v>
      </c>
      <c r="ET9" s="331" t="s">
        <v>190</v>
      </c>
      <c r="EU9" s="331" t="s">
        <v>190</v>
      </c>
      <c r="EV9" s="331" t="s">
        <v>190</v>
      </c>
      <c r="EW9" s="331" t="s">
        <v>190</v>
      </c>
      <c r="EX9" s="331" t="s">
        <v>190</v>
      </c>
      <c r="EY9" s="331" t="s">
        <v>190</v>
      </c>
      <c r="EZ9" s="331" t="s">
        <v>428</v>
      </c>
      <c r="FA9" s="331" t="s">
        <v>190</v>
      </c>
      <c r="FB9" s="331" t="s">
        <v>190</v>
      </c>
      <c r="FC9" s="331" t="s">
        <v>190</v>
      </c>
      <c r="FD9" s="331" t="s">
        <v>190</v>
      </c>
      <c r="FE9" s="331" t="s">
        <v>190</v>
      </c>
      <c r="FF9" s="331" t="s">
        <v>190</v>
      </c>
      <c r="FG9" s="331" t="s">
        <v>191</v>
      </c>
      <c r="FH9" s="331" t="s">
        <v>190</v>
      </c>
      <c r="FI9" s="331" t="s">
        <v>190</v>
      </c>
      <c r="FJ9" s="331" t="s">
        <v>190</v>
      </c>
      <c r="FK9" s="331" t="s">
        <v>191</v>
      </c>
      <c r="FL9" s="331" t="s">
        <v>190</v>
      </c>
      <c r="FM9" s="331" t="s">
        <v>190</v>
      </c>
      <c r="FN9" s="331" t="s">
        <v>190</v>
      </c>
      <c r="FO9" s="331" t="s">
        <v>190</v>
      </c>
      <c r="FP9" s="331" t="s">
        <v>190</v>
      </c>
      <c r="FQ9" s="331" t="s">
        <v>190</v>
      </c>
      <c r="FR9" s="331" t="s">
        <v>428</v>
      </c>
      <c r="FS9" s="331" t="s">
        <v>190</v>
      </c>
      <c r="FT9" s="331" t="s">
        <v>190</v>
      </c>
      <c r="FU9" s="331" t="s">
        <v>190</v>
      </c>
      <c r="FV9" s="331" t="s">
        <v>190</v>
      </c>
      <c r="FW9" s="331" t="s">
        <v>190</v>
      </c>
      <c r="FX9" s="331" t="s">
        <v>428</v>
      </c>
      <c r="FY9" s="331" t="s">
        <v>190</v>
      </c>
      <c r="FZ9" s="331" t="s">
        <v>190</v>
      </c>
      <c r="GA9" s="331" t="s">
        <v>190</v>
      </c>
      <c r="GB9" s="331" t="s">
        <v>190</v>
      </c>
      <c r="GC9" s="331" t="s">
        <v>428</v>
      </c>
      <c r="GD9" s="331" t="s">
        <v>190</v>
      </c>
      <c r="GE9" s="331" t="s">
        <v>190</v>
      </c>
      <c r="GF9" s="331" t="s">
        <v>190</v>
      </c>
      <c r="GG9" s="331" t="s">
        <v>190</v>
      </c>
      <c r="GH9" s="331" t="s">
        <v>428</v>
      </c>
      <c r="GI9" s="331" t="s">
        <v>190</v>
      </c>
      <c r="GJ9" s="331" t="s">
        <v>190</v>
      </c>
      <c r="GK9" s="331" t="s">
        <v>191</v>
      </c>
      <c r="GL9" s="331" t="s">
        <v>191</v>
      </c>
      <c r="GM9" s="331" t="s">
        <v>191</v>
      </c>
      <c r="GN9" s="331" t="s">
        <v>191</v>
      </c>
      <c r="GO9" s="331" t="s">
        <v>191</v>
      </c>
      <c r="GP9" s="331" t="s">
        <v>190</v>
      </c>
      <c r="GQ9" s="331" t="s">
        <v>191</v>
      </c>
      <c r="GR9" s="331" t="s">
        <v>190</v>
      </c>
      <c r="GS9" s="331" t="s">
        <v>428</v>
      </c>
      <c r="GT9" s="331" t="s">
        <v>428</v>
      </c>
      <c r="GU9" s="331" t="s">
        <v>428</v>
      </c>
      <c r="GV9" s="331" t="s">
        <v>428</v>
      </c>
      <c r="GW9" s="331" t="s">
        <v>191</v>
      </c>
      <c r="GX9" s="331" t="s">
        <v>190</v>
      </c>
      <c r="GY9" s="331" t="s">
        <v>190</v>
      </c>
      <c r="GZ9" s="331" t="s">
        <v>190</v>
      </c>
      <c r="HA9" s="331" t="s">
        <v>190</v>
      </c>
      <c r="HB9" s="331" t="s">
        <v>190</v>
      </c>
      <c r="HC9" s="331" t="s">
        <v>191</v>
      </c>
      <c r="HD9" s="331" t="s">
        <v>191</v>
      </c>
      <c r="HE9" s="331" t="s">
        <v>191</v>
      </c>
      <c r="HF9" s="331" t="s">
        <v>191</v>
      </c>
      <c r="HG9" s="331" t="s">
        <v>191</v>
      </c>
      <c r="HH9" s="331" t="s">
        <v>191</v>
      </c>
      <c r="HI9" s="331" t="s">
        <v>191</v>
      </c>
      <c r="HJ9" s="331" t="s">
        <v>191</v>
      </c>
      <c r="HK9" s="331" t="s">
        <v>191</v>
      </c>
      <c r="HL9" s="331" t="s">
        <v>191</v>
      </c>
      <c r="HM9" s="331" t="s">
        <v>191</v>
      </c>
      <c r="HN9" s="331" t="s">
        <v>191</v>
      </c>
      <c r="HO9" s="331" t="s">
        <v>191</v>
      </c>
      <c r="HP9" s="331" t="s">
        <v>190</v>
      </c>
      <c r="HQ9" s="331" t="s">
        <v>170</v>
      </c>
      <c r="HR9" s="331" t="s">
        <v>429</v>
      </c>
      <c r="HS9" s="331" t="s">
        <v>169</v>
      </c>
      <c r="HT9" s="331" t="s">
        <v>427</v>
      </c>
      <c r="HU9" s="331" t="s">
        <v>428</v>
      </c>
      <c r="HV9" s="331" t="s">
        <v>428</v>
      </c>
    </row>
    <row r="10" spans="1:230" s="70" customFormat="1" x14ac:dyDescent="0.25">
      <c r="A10" s="330" t="str">
        <f>HYPERLINK("http://www.ofsted.gov.uk/inspection-reports/find-inspection-report/provider/ELS/147198 ","Ofsted School Webpage")</f>
        <v>Ofsted School Webpage</v>
      </c>
      <c r="B10" s="331">
        <v>147198</v>
      </c>
      <c r="C10" s="331">
        <v>8396012</v>
      </c>
      <c r="D10" s="331" t="s">
        <v>2695</v>
      </c>
      <c r="E10" s="331" t="s">
        <v>168</v>
      </c>
      <c r="F10" s="331" t="s">
        <v>422</v>
      </c>
      <c r="G10" s="331" t="s">
        <v>422</v>
      </c>
      <c r="H10" s="331" t="s">
        <v>2691</v>
      </c>
      <c r="I10" s="331" t="s">
        <v>2696</v>
      </c>
      <c r="J10" s="331" t="s">
        <v>434</v>
      </c>
      <c r="K10" s="331" t="s">
        <v>81</v>
      </c>
      <c r="L10" s="331" t="s">
        <v>81</v>
      </c>
      <c r="M10" s="331" t="s">
        <v>78</v>
      </c>
      <c r="N10" s="331" t="s">
        <v>424</v>
      </c>
      <c r="O10" s="331">
        <v>10120837</v>
      </c>
      <c r="P10" s="332">
        <v>43712</v>
      </c>
      <c r="Q10" s="332">
        <v>43712</v>
      </c>
      <c r="R10" s="332">
        <v>43739</v>
      </c>
      <c r="S10" s="331" t="s">
        <v>2583</v>
      </c>
      <c r="T10" s="331" t="s">
        <v>982</v>
      </c>
      <c r="U10" s="331" t="s">
        <v>427</v>
      </c>
      <c r="V10" s="331" t="s">
        <v>2584</v>
      </c>
      <c r="W10" s="331" t="s">
        <v>190</v>
      </c>
      <c r="X10" s="331" t="s">
        <v>190</v>
      </c>
      <c r="Y10" s="331" t="s">
        <v>190</v>
      </c>
      <c r="Z10" s="331" t="s">
        <v>190</v>
      </c>
      <c r="AA10" s="331" t="s">
        <v>190</v>
      </c>
      <c r="AB10" s="331" t="s">
        <v>190</v>
      </c>
      <c r="AC10" s="331" t="s">
        <v>190</v>
      </c>
      <c r="AD10" s="331" t="s">
        <v>190</v>
      </c>
      <c r="AE10" s="331" t="s">
        <v>190</v>
      </c>
      <c r="AF10" s="331" t="s">
        <v>190</v>
      </c>
      <c r="AG10" s="331" t="s">
        <v>190</v>
      </c>
      <c r="AH10" s="331" t="s">
        <v>190</v>
      </c>
      <c r="AI10" s="331" t="s">
        <v>190</v>
      </c>
      <c r="AJ10" s="331" t="s">
        <v>190</v>
      </c>
      <c r="AK10" s="331" t="s">
        <v>190</v>
      </c>
      <c r="AL10" s="331" t="s">
        <v>190</v>
      </c>
      <c r="AM10" s="331" t="s">
        <v>428</v>
      </c>
      <c r="AN10" s="331" t="s">
        <v>190</v>
      </c>
      <c r="AO10" s="331" t="s">
        <v>190</v>
      </c>
      <c r="AP10" s="331" t="s">
        <v>190</v>
      </c>
      <c r="AQ10" s="331" t="s">
        <v>190</v>
      </c>
      <c r="AR10" s="331" t="s">
        <v>190</v>
      </c>
      <c r="AS10" s="331" t="s">
        <v>190</v>
      </c>
      <c r="AT10" s="331" t="s">
        <v>190</v>
      </c>
      <c r="AU10" s="331" t="s">
        <v>190</v>
      </c>
      <c r="AV10" s="331" t="s">
        <v>190</v>
      </c>
      <c r="AW10" s="331" t="s">
        <v>190</v>
      </c>
      <c r="AX10" s="331" t="s">
        <v>190</v>
      </c>
      <c r="AY10" s="331" t="s">
        <v>190</v>
      </c>
      <c r="AZ10" s="331" t="s">
        <v>190</v>
      </c>
      <c r="BA10" s="331" t="s">
        <v>190</v>
      </c>
      <c r="BB10" s="331" t="s">
        <v>190</v>
      </c>
      <c r="BC10" s="331" t="s">
        <v>190</v>
      </c>
      <c r="BD10" s="331" t="s">
        <v>190</v>
      </c>
      <c r="BE10" s="331" t="s">
        <v>190</v>
      </c>
      <c r="BF10" s="331" t="s">
        <v>190</v>
      </c>
      <c r="BG10" s="331" t="s">
        <v>190</v>
      </c>
      <c r="BH10" s="331" t="s">
        <v>190</v>
      </c>
      <c r="BI10" s="331" t="s">
        <v>190</v>
      </c>
      <c r="BJ10" s="331" t="s">
        <v>190</v>
      </c>
      <c r="BK10" s="331" t="s">
        <v>190</v>
      </c>
      <c r="BL10" s="331" t="s">
        <v>190</v>
      </c>
      <c r="BM10" s="331" t="s">
        <v>190</v>
      </c>
      <c r="BN10" s="331" t="s">
        <v>190</v>
      </c>
      <c r="BO10" s="331" t="s">
        <v>190</v>
      </c>
      <c r="BP10" s="331" t="s">
        <v>190</v>
      </c>
      <c r="BQ10" s="331" t="s">
        <v>190</v>
      </c>
      <c r="BR10" s="331" t="s">
        <v>190</v>
      </c>
      <c r="BS10" s="331" t="s">
        <v>190</v>
      </c>
      <c r="BT10" s="331" t="s">
        <v>190</v>
      </c>
      <c r="BU10" s="331" t="s">
        <v>428</v>
      </c>
      <c r="BV10" s="331" t="s">
        <v>428</v>
      </c>
      <c r="BW10" s="331" t="s">
        <v>428</v>
      </c>
      <c r="BX10" s="331" t="s">
        <v>190</v>
      </c>
      <c r="BY10" s="331" t="s">
        <v>190</v>
      </c>
      <c r="BZ10" s="331" t="s">
        <v>190</v>
      </c>
      <c r="CA10" s="331" t="s">
        <v>190</v>
      </c>
      <c r="CB10" s="331" t="s">
        <v>190</v>
      </c>
      <c r="CC10" s="331" t="s">
        <v>190</v>
      </c>
      <c r="CD10" s="331" t="s">
        <v>190</v>
      </c>
      <c r="CE10" s="331" t="s">
        <v>190</v>
      </c>
      <c r="CF10" s="331" t="s">
        <v>190</v>
      </c>
      <c r="CG10" s="331" t="s">
        <v>190</v>
      </c>
      <c r="CH10" s="331" t="s">
        <v>190</v>
      </c>
      <c r="CI10" s="331" t="s">
        <v>190</v>
      </c>
      <c r="CJ10" s="331" t="s">
        <v>190</v>
      </c>
      <c r="CK10" s="331" t="s">
        <v>190</v>
      </c>
      <c r="CL10" s="331" t="s">
        <v>190</v>
      </c>
      <c r="CM10" s="331" t="s">
        <v>190</v>
      </c>
      <c r="CN10" s="331" t="s">
        <v>190</v>
      </c>
      <c r="CO10" s="331" t="s">
        <v>190</v>
      </c>
      <c r="CP10" s="331" t="s">
        <v>190</v>
      </c>
      <c r="CQ10" s="331" t="s">
        <v>190</v>
      </c>
      <c r="CR10" s="331" t="s">
        <v>190</v>
      </c>
      <c r="CS10" s="331" t="s">
        <v>190</v>
      </c>
      <c r="CT10" s="331" t="s">
        <v>190</v>
      </c>
      <c r="CU10" s="331" t="s">
        <v>428</v>
      </c>
      <c r="CV10" s="331" t="s">
        <v>190</v>
      </c>
      <c r="CW10" s="331" t="s">
        <v>190</v>
      </c>
      <c r="CX10" s="331" t="s">
        <v>190</v>
      </c>
      <c r="CY10" s="331" t="s">
        <v>190</v>
      </c>
      <c r="CZ10" s="331" t="s">
        <v>190</v>
      </c>
      <c r="DA10" s="331" t="s">
        <v>190</v>
      </c>
      <c r="DB10" s="331" t="s">
        <v>190</v>
      </c>
      <c r="DC10" s="331" t="s">
        <v>190</v>
      </c>
      <c r="DD10" s="331" t="s">
        <v>190</v>
      </c>
      <c r="DE10" s="331" t="s">
        <v>190</v>
      </c>
      <c r="DF10" s="331" t="s">
        <v>190</v>
      </c>
      <c r="DG10" s="331" t="s">
        <v>190</v>
      </c>
      <c r="DH10" s="331" t="s">
        <v>190</v>
      </c>
      <c r="DI10" s="331" t="s">
        <v>190</v>
      </c>
      <c r="DJ10" s="331" t="s">
        <v>428</v>
      </c>
      <c r="DK10" s="331" t="s">
        <v>190</v>
      </c>
      <c r="DL10" s="331" t="s">
        <v>190</v>
      </c>
      <c r="DM10" s="331" t="s">
        <v>190</v>
      </c>
      <c r="DN10" s="331" t="s">
        <v>190</v>
      </c>
      <c r="DO10" s="331" t="s">
        <v>190</v>
      </c>
      <c r="DP10" s="331" t="s">
        <v>190</v>
      </c>
      <c r="DQ10" s="331" t="s">
        <v>190</v>
      </c>
      <c r="DR10" s="331" t="s">
        <v>190</v>
      </c>
      <c r="DS10" s="331" t="s">
        <v>190</v>
      </c>
      <c r="DT10" s="331" t="s">
        <v>190</v>
      </c>
      <c r="DU10" s="331" t="s">
        <v>190</v>
      </c>
      <c r="DV10" s="331" t="s">
        <v>190</v>
      </c>
      <c r="DW10" s="331" t="s">
        <v>190</v>
      </c>
      <c r="DX10" s="331" t="s">
        <v>190</v>
      </c>
      <c r="DY10" s="331" t="s">
        <v>190</v>
      </c>
      <c r="DZ10" s="331" t="s">
        <v>190</v>
      </c>
      <c r="EA10" s="331" t="s">
        <v>190</v>
      </c>
      <c r="EB10" s="331" t="s">
        <v>190</v>
      </c>
      <c r="EC10" s="331" t="s">
        <v>190</v>
      </c>
      <c r="ED10" s="331" t="s">
        <v>190</v>
      </c>
      <c r="EE10" s="331" t="s">
        <v>190</v>
      </c>
      <c r="EF10" s="331" t="s">
        <v>190</v>
      </c>
      <c r="EG10" s="331" t="s">
        <v>190</v>
      </c>
      <c r="EH10" s="331" t="s">
        <v>428</v>
      </c>
      <c r="EI10" s="331" t="s">
        <v>190</v>
      </c>
      <c r="EJ10" s="331" t="s">
        <v>190</v>
      </c>
      <c r="EK10" s="331" t="s">
        <v>190</v>
      </c>
      <c r="EL10" s="331" t="s">
        <v>190</v>
      </c>
      <c r="EM10" s="331" t="s">
        <v>428</v>
      </c>
      <c r="EN10" s="331" t="s">
        <v>190</v>
      </c>
      <c r="EO10" s="331" t="s">
        <v>190</v>
      </c>
      <c r="EP10" s="331" t="s">
        <v>428</v>
      </c>
      <c r="EQ10" s="331" t="s">
        <v>190</v>
      </c>
      <c r="ER10" s="331" t="s">
        <v>190</v>
      </c>
      <c r="ES10" s="331" t="s">
        <v>190</v>
      </c>
      <c r="ET10" s="331" t="s">
        <v>190</v>
      </c>
      <c r="EU10" s="331" t="s">
        <v>190</v>
      </c>
      <c r="EV10" s="331" t="s">
        <v>190</v>
      </c>
      <c r="EW10" s="331" t="s">
        <v>190</v>
      </c>
      <c r="EX10" s="331" t="s">
        <v>190</v>
      </c>
      <c r="EY10" s="331" t="s">
        <v>190</v>
      </c>
      <c r="EZ10" s="331" t="s">
        <v>190</v>
      </c>
      <c r="FA10" s="331" t="s">
        <v>190</v>
      </c>
      <c r="FB10" s="331" t="s">
        <v>190</v>
      </c>
      <c r="FC10" s="331" t="s">
        <v>190</v>
      </c>
      <c r="FD10" s="331" t="s">
        <v>190</v>
      </c>
      <c r="FE10" s="331" t="s">
        <v>190</v>
      </c>
      <c r="FF10" s="331" t="s">
        <v>190</v>
      </c>
      <c r="FG10" s="331" t="s">
        <v>190</v>
      </c>
      <c r="FH10" s="331" t="s">
        <v>190</v>
      </c>
      <c r="FI10" s="331" t="s">
        <v>190</v>
      </c>
      <c r="FJ10" s="331" t="s">
        <v>190</v>
      </c>
      <c r="FK10" s="331" t="s">
        <v>190</v>
      </c>
      <c r="FL10" s="331" t="s">
        <v>190</v>
      </c>
      <c r="FM10" s="331" t="s">
        <v>190</v>
      </c>
      <c r="FN10" s="331" t="s">
        <v>190</v>
      </c>
      <c r="FO10" s="331" t="s">
        <v>190</v>
      </c>
      <c r="FP10" s="331" t="s">
        <v>190</v>
      </c>
      <c r="FQ10" s="331" t="s">
        <v>190</v>
      </c>
      <c r="FR10" s="331" t="s">
        <v>428</v>
      </c>
      <c r="FS10" s="331" t="s">
        <v>190</v>
      </c>
      <c r="FT10" s="331" t="s">
        <v>190</v>
      </c>
      <c r="FU10" s="331" t="s">
        <v>190</v>
      </c>
      <c r="FV10" s="331" t="s">
        <v>190</v>
      </c>
      <c r="FW10" s="331" t="s">
        <v>190</v>
      </c>
      <c r="FX10" s="331" t="s">
        <v>428</v>
      </c>
      <c r="FY10" s="331" t="s">
        <v>190</v>
      </c>
      <c r="FZ10" s="331" t="s">
        <v>190</v>
      </c>
      <c r="GA10" s="331" t="s">
        <v>190</v>
      </c>
      <c r="GB10" s="331" t="s">
        <v>190</v>
      </c>
      <c r="GC10" s="331" t="s">
        <v>190</v>
      </c>
      <c r="GD10" s="331" t="s">
        <v>190</v>
      </c>
      <c r="GE10" s="331" t="s">
        <v>190</v>
      </c>
      <c r="GF10" s="331" t="s">
        <v>190</v>
      </c>
      <c r="GG10" s="331" t="s">
        <v>190</v>
      </c>
      <c r="GH10" s="331" t="s">
        <v>428</v>
      </c>
      <c r="GI10" s="331" t="s">
        <v>190</v>
      </c>
      <c r="GJ10" s="331" t="s">
        <v>190</v>
      </c>
      <c r="GK10" s="331" t="s">
        <v>190</v>
      </c>
      <c r="GL10" s="331" t="s">
        <v>190</v>
      </c>
      <c r="GM10" s="331" t="s">
        <v>190</v>
      </c>
      <c r="GN10" s="331" t="s">
        <v>190</v>
      </c>
      <c r="GO10" s="331" t="s">
        <v>190</v>
      </c>
      <c r="GP10" s="331" t="s">
        <v>190</v>
      </c>
      <c r="GQ10" s="331" t="s">
        <v>190</v>
      </c>
      <c r="GR10" s="331" t="s">
        <v>190</v>
      </c>
      <c r="GS10" s="331" t="s">
        <v>190</v>
      </c>
      <c r="GT10" s="331" t="s">
        <v>190</v>
      </c>
      <c r="GU10" s="331" t="s">
        <v>190</v>
      </c>
      <c r="GV10" s="331" t="s">
        <v>190</v>
      </c>
      <c r="GW10" s="331" t="s">
        <v>190</v>
      </c>
      <c r="GX10" s="331" t="s">
        <v>190</v>
      </c>
      <c r="GY10" s="331" t="s">
        <v>190</v>
      </c>
      <c r="GZ10" s="331" t="s">
        <v>190</v>
      </c>
      <c r="HA10" s="331" t="s">
        <v>190</v>
      </c>
      <c r="HB10" s="331" t="s">
        <v>190</v>
      </c>
      <c r="HC10" s="331" t="s">
        <v>190</v>
      </c>
      <c r="HD10" s="331" t="s">
        <v>190</v>
      </c>
      <c r="HE10" s="331" t="s">
        <v>190</v>
      </c>
      <c r="HF10" s="331" t="s">
        <v>190</v>
      </c>
      <c r="HG10" s="331" t="s">
        <v>190</v>
      </c>
      <c r="HH10" s="331" t="s">
        <v>190</v>
      </c>
      <c r="HI10" s="331" t="s">
        <v>190</v>
      </c>
      <c r="HJ10" s="331" t="s">
        <v>190</v>
      </c>
      <c r="HK10" s="331" t="s">
        <v>190</v>
      </c>
      <c r="HL10" s="331" t="s">
        <v>190</v>
      </c>
      <c r="HM10" s="331" t="s">
        <v>190</v>
      </c>
      <c r="HN10" s="331" t="s">
        <v>190</v>
      </c>
      <c r="HO10" s="331" t="s">
        <v>190</v>
      </c>
      <c r="HP10" s="331" t="s">
        <v>190</v>
      </c>
      <c r="HQ10" s="331" t="s">
        <v>170</v>
      </c>
      <c r="HR10" s="331" t="s">
        <v>429</v>
      </c>
      <c r="HS10" s="331" t="s">
        <v>169</v>
      </c>
      <c r="HT10" s="331" t="s">
        <v>427</v>
      </c>
      <c r="HU10" s="331" t="s">
        <v>428</v>
      </c>
      <c r="HV10" s="331" t="s">
        <v>428</v>
      </c>
    </row>
    <row r="11" spans="1:230" s="70" customFormat="1" x14ac:dyDescent="0.25">
      <c r="A11" s="330" t="str">
        <f>HYPERLINK("http://www.ofsted.gov.uk/inspection-reports/find-inspection-report/provider/ELS/147354 ","Ofsted School Webpage")</f>
        <v>Ofsted School Webpage</v>
      </c>
      <c r="B11" s="331">
        <v>147354</v>
      </c>
      <c r="C11" s="331">
        <v>8556046</v>
      </c>
      <c r="D11" s="331" t="s">
        <v>2697</v>
      </c>
      <c r="E11" s="331" t="s">
        <v>168</v>
      </c>
      <c r="F11" s="331" t="s">
        <v>506</v>
      </c>
      <c r="G11" s="331" t="s">
        <v>506</v>
      </c>
      <c r="H11" s="331" t="s">
        <v>862</v>
      </c>
      <c r="I11" s="331" t="s">
        <v>2698</v>
      </c>
      <c r="J11" s="331" t="s">
        <v>434</v>
      </c>
      <c r="K11" s="331" t="s">
        <v>81</v>
      </c>
      <c r="L11" s="331" t="s">
        <v>81</v>
      </c>
      <c r="M11" s="331" t="s">
        <v>78</v>
      </c>
      <c r="N11" s="331" t="s">
        <v>424</v>
      </c>
      <c r="O11" s="331">
        <v>10115699</v>
      </c>
      <c r="P11" s="332">
        <v>43712</v>
      </c>
      <c r="Q11" s="332">
        <v>43712</v>
      </c>
      <c r="R11" s="332">
        <v>43733</v>
      </c>
      <c r="S11" s="331" t="s">
        <v>2583</v>
      </c>
      <c r="T11" s="331" t="s">
        <v>982</v>
      </c>
      <c r="U11" s="331" t="s">
        <v>427</v>
      </c>
      <c r="V11" s="331" t="s">
        <v>2599</v>
      </c>
      <c r="W11" s="331" t="s">
        <v>191</v>
      </c>
      <c r="X11" s="331" t="s">
        <v>191</v>
      </c>
      <c r="Y11" s="331" t="s">
        <v>190</v>
      </c>
      <c r="Z11" s="331" t="s">
        <v>190</v>
      </c>
      <c r="AA11" s="331" t="s">
        <v>190</v>
      </c>
      <c r="AB11" s="331" t="s">
        <v>190</v>
      </c>
      <c r="AC11" s="331" t="s">
        <v>190</v>
      </c>
      <c r="AD11" s="331" t="s">
        <v>190</v>
      </c>
      <c r="AE11" s="331" t="s">
        <v>190</v>
      </c>
      <c r="AF11" s="331" t="s">
        <v>190</v>
      </c>
      <c r="AG11" s="331" t="s">
        <v>190</v>
      </c>
      <c r="AH11" s="331" t="s">
        <v>190</v>
      </c>
      <c r="AI11" s="331" t="s">
        <v>190</v>
      </c>
      <c r="AJ11" s="331" t="s">
        <v>190</v>
      </c>
      <c r="AK11" s="331" t="s">
        <v>190</v>
      </c>
      <c r="AL11" s="331" t="s">
        <v>190</v>
      </c>
      <c r="AM11" s="331" t="s">
        <v>428</v>
      </c>
      <c r="AN11" s="331" t="s">
        <v>190</v>
      </c>
      <c r="AO11" s="331" t="s">
        <v>190</v>
      </c>
      <c r="AP11" s="331" t="s">
        <v>190</v>
      </c>
      <c r="AQ11" s="331" t="s">
        <v>190</v>
      </c>
      <c r="AR11" s="331" t="s">
        <v>190</v>
      </c>
      <c r="AS11" s="331" t="s">
        <v>190</v>
      </c>
      <c r="AT11" s="331" t="s">
        <v>190</v>
      </c>
      <c r="AU11" s="331" t="s">
        <v>190</v>
      </c>
      <c r="AV11" s="331" t="s">
        <v>190</v>
      </c>
      <c r="AW11" s="331" t="s">
        <v>190</v>
      </c>
      <c r="AX11" s="331" t="s">
        <v>190</v>
      </c>
      <c r="AY11" s="331" t="s">
        <v>190</v>
      </c>
      <c r="AZ11" s="331" t="s">
        <v>190</v>
      </c>
      <c r="BA11" s="331" t="s">
        <v>190</v>
      </c>
      <c r="BB11" s="331" t="s">
        <v>190</v>
      </c>
      <c r="BC11" s="331" t="s">
        <v>190</v>
      </c>
      <c r="BD11" s="331" t="s">
        <v>190</v>
      </c>
      <c r="BE11" s="331" t="s">
        <v>190</v>
      </c>
      <c r="BF11" s="331" t="s">
        <v>190</v>
      </c>
      <c r="BG11" s="331" t="s">
        <v>190</v>
      </c>
      <c r="BH11" s="331" t="s">
        <v>190</v>
      </c>
      <c r="BI11" s="331" t="s">
        <v>190</v>
      </c>
      <c r="BJ11" s="331" t="s">
        <v>190</v>
      </c>
      <c r="BK11" s="331" t="s">
        <v>190</v>
      </c>
      <c r="BL11" s="331" t="s">
        <v>190</v>
      </c>
      <c r="BM11" s="331" t="s">
        <v>190</v>
      </c>
      <c r="BN11" s="331" t="s">
        <v>190</v>
      </c>
      <c r="BO11" s="331" t="s">
        <v>190</v>
      </c>
      <c r="BP11" s="331" t="s">
        <v>190</v>
      </c>
      <c r="BQ11" s="331" t="s">
        <v>190</v>
      </c>
      <c r="BR11" s="331" t="s">
        <v>191</v>
      </c>
      <c r="BS11" s="331" t="s">
        <v>191</v>
      </c>
      <c r="BT11" s="331" t="s">
        <v>191</v>
      </c>
      <c r="BU11" s="331" t="s">
        <v>191</v>
      </c>
      <c r="BV11" s="331" t="s">
        <v>428</v>
      </c>
      <c r="BW11" s="331" t="s">
        <v>428</v>
      </c>
      <c r="BX11" s="331" t="s">
        <v>191</v>
      </c>
      <c r="BY11" s="331" t="s">
        <v>191</v>
      </c>
      <c r="BZ11" s="331" t="s">
        <v>191</v>
      </c>
      <c r="CA11" s="331" t="s">
        <v>190</v>
      </c>
      <c r="CB11" s="331" t="s">
        <v>191</v>
      </c>
      <c r="CC11" s="331" t="s">
        <v>190</v>
      </c>
      <c r="CD11" s="331" t="s">
        <v>190</v>
      </c>
      <c r="CE11" s="331" t="s">
        <v>191</v>
      </c>
      <c r="CF11" s="331" t="s">
        <v>190</v>
      </c>
      <c r="CG11" s="331" t="s">
        <v>190</v>
      </c>
      <c r="CH11" s="331" t="s">
        <v>190</v>
      </c>
      <c r="CI11" s="331" t="s">
        <v>190</v>
      </c>
      <c r="CJ11" s="331" t="s">
        <v>190</v>
      </c>
      <c r="CK11" s="331" t="s">
        <v>190</v>
      </c>
      <c r="CL11" s="331" t="s">
        <v>190</v>
      </c>
      <c r="CM11" s="331" t="s">
        <v>190</v>
      </c>
      <c r="CN11" s="331" t="s">
        <v>190</v>
      </c>
      <c r="CO11" s="331" t="s">
        <v>190</v>
      </c>
      <c r="CP11" s="331" t="s">
        <v>190</v>
      </c>
      <c r="CQ11" s="331" t="s">
        <v>190</v>
      </c>
      <c r="CR11" s="331" t="s">
        <v>190</v>
      </c>
      <c r="CS11" s="331" t="s">
        <v>190</v>
      </c>
      <c r="CT11" s="331" t="s">
        <v>190</v>
      </c>
      <c r="CU11" s="331" t="s">
        <v>428</v>
      </c>
      <c r="CV11" s="331" t="s">
        <v>190</v>
      </c>
      <c r="CW11" s="331" t="s">
        <v>190</v>
      </c>
      <c r="CX11" s="331" t="s">
        <v>190</v>
      </c>
      <c r="CY11" s="331" t="s">
        <v>190</v>
      </c>
      <c r="CZ11" s="331" t="s">
        <v>190</v>
      </c>
      <c r="DA11" s="331" t="s">
        <v>190</v>
      </c>
      <c r="DB11" s="331" t="s">
        <v>190</v>
      </c>
      <c r="DC11" s="331" t="s">
        <v>190</v>
      </c>
      <c r="DD11" s="331" t="s">
        <v>190</v>
      </c>
      <c r="DE11" s="331" t="s">
        <v>190</v>
      </c>
      <c r="DF11" s="331" t="s">
        <v>190</v>
      </c>
      <c r="DG11" s="331" t="s">
        <v>190</v>
      </c>
      <c r="DH11" s="331" t="s">
        <v>190</v>
      </c>
      <c r="DI11" s="331" t="s">
        <v>190</v>
      </c>
      <c r="DJ11" s="331" t="s">
        <v>428</v>
      </c>
      <c r="DK11" s="331" t="s">
        <v>190</v>
      </c>
      <c r="DL11" s="331" t="s">
        <v>428</v>
      </c>
      <c r="DM11" s="331" t="s">
        <v>190</v>
      </c>
      <c r="DN11" s="331" t="s">
        <v>190</v>
      </c>
      <c r="DO11" s="331" t="s">
        <v>190</v>
      </c>
      <c r="DP11" s="331" t="s">
        <v>190</v>
      </c>
      <c r="DQ11" s="331" t="s">
        <v>190</v>
      </c>
      <c r="DR11" s="331" t="s">
        <v>190</v>
      </c>
      <c r="DS11" s="331" t="s">
        <v>190</v>
      </c>
      <c r="DT11" s="331" t="s">
        <v>190</v>
      </c>
      <c r="DU11" s="331" t="s">
        <v>190</v>
      </c>
      <c r="DV11" s="331" t="s">
        <v>190</v>
      </c>
      <c r="DW11" s="331" t="s">
        <v>190</v>
      </c>
      <c r="DX11" s="331" t="s">
        <v>190</v>
      </c>
      <c r="DY11" s="331" t="s">
        <v>190</v>
      </c>
      <c r="DZ11" s="331" t="s">
        <v>190</v>
      </c>
      <c r="EA11" s="331" t="s">
        <v>190</v>
      </c>
      <c r="EB11" s="331" t="s">
        <v>190</v>
      </c>
      <c r="EC11" s="331" t="s">
        <v>190</v>
      </c>
      <c r="ED11" s="331" t="s">
        <v>190</v>
      </c>
      <c r="EE11" s="331" t="s">
        <v>190</v>
      </c>
      <c r="EF11" s="331" t="s">
        <v>190</v>
      </c>
      <c r="EG11" s="331" t="s">
        <v>190</v>
      </c>
      <c r="EH11" s="331" t="s">
        <v>428</v>
      </c>
      <c r="EI11" s="331" t="s">
        <v>190</v>
      </c>
      <c r="EJ11" s="331" t="s">
        <v>190</v>
      </c>
      <c r="EK11" s="331" t="s">
        <v>190</v>
      </c>
      <c r="EL11" s="331" t="s">
        <v>190</v>
      </c>
      <c r="EM11" s="331" t="s">
        <v>428</v>
      </c>
      <c r="EN11" s="331" t="s">
        <v>190</v>
      </c>
      <c r="EO11" s="331" t="s">
        <v>190</v>
      </c>
      <c r="EP11" s="331" t="s">
        <v>428</v>
      </c>
      <c r="EQ11" s="331" t="s">
        <v>428</v>
      </c>
      <c r="ER11" s="331" t="s">
        <v>428</v>
      </c>
      <c r="ES11" s="331" t="s">
        <v>190</v>
      </c>
      <c r="ET11" s="331" t="s">
        <v>190</v>
      </c>
      <c r="EU11" s="331" t="s">
        <v>190</v>
      </c>
      <c r="EV11" s="331" t="s">
        <v>190</v>
      </c>
      <c r="EW11" s="331" t="s">
        <v>190</v>
      </c>
      <c r="EX11" s="331" t="s">
        <v>190</v>
      </c>
      <c r="EY11" s="331" t="s">
        <v>190</v>
      </c>
      <c r="EZ11" s="331" t="s">
        <v>190</v>
      </c>
      <c r="FA11" s="331" t="s">
        <v>190</v>
      </c>
      <c r="FB11" s="331" t="s">
        <v>190</v>
      </c>
      <c r="FC11" s="331" t="s">
        <v>190</v>
      </c>
      <c r="FD11" s="331" t="s">
        <v>190</v>
      </c>
      <c r="FE11" s="331" t="s">
        <v>190</v>
      </c>
      <c r="FF11" s="331" t="s">
        <v>190</v>
      </c>
      <c r="FG11" s="331" t="s">
        <v>190</v>
      </c>
      <c r="FH11" s="331" t="s">
        <v>190</v>
      </c>
      <c r="FI11" s="331" t="s">
        <v>190</v>
      </c>
      <c r="FJ11" s="331" t="s">
        <v>190</v>
      </c>
      <c r="FK11" s="331" t="s">
        <v>190</v>
      </c>
      <c r="FL11" s="331" t="s">
        <v>190</v>
      </c>
      <c r="FM11" s="331" t="s">
        <v>190</v>
      </c>
      <c r="FN11" s="331" t="s">
        <v>190</v>
      </c>
      <c r="FO11" s="331" t="s">
        <v>190</v>
      </c>
      <c r="FP11" s="331" t="s">
        <v>190</v>
      </c>
      <c r="FQ11" s="331" t="s">
        <v>190</v>
      </c>
      <c r="FR11" s="331" t="s">
        <v>428</v>
      </c>
      <c r="FS11" s="331" t="s">
        <v>191</v>
      </c>
      <c r="FT11" s="331" t="s">
        <v>190</v>
      </c>
      <c r="FU11" s="331" t="s">
        <v>191</v>
      </c>
      <c r="FV11" s="331" t="s">
        <v>190</v>
      </c>
      <c r="FW11" s="331" t="s">
        <v>190</v>
      </c>
      <c r="FX11" s="331" t="s">
        <v>428</v>
      </c>
      <c r="FY11" s="331" t="s">
        <v>190</v>
      </c>
      <c r="FZ11" s="331" t="s">
        <v>190</v>
      </c>
      <c r="GA11" s="331" t="s">
        <v>190</v>
      </c>
      <c r="GB11" s="331" t="s">
        <v>190</v>
      </c>
      <c r="GC11" s="331" t="s">
        <v>190</v>
      </c>
      <c r="GD11" s="331" t="s">
        <v>190</v>
      </c>
      <c r="GE11" s="331" t="s">
        <v>190</v>
      </c>
      <c r="GF11" s="331" t="s">
        <v>190</v>
      </c>
      <c r="GG11" s="331" t="s">
        <v>190</v>
      </c>
      <c r="GH11" s="331" t="s">
        <v>428</v>
      </c>
      <c r="GI11" s="331" t="s">
        <v>190</v>
      </c>
      <c r="GJ11" s="331" t="s">
        <v>190</v>
      </c>
      <c r="GK11" s="331" t="s">
        <v>191</v>
      </c>
      <c r="GL11" s="331" t="s">
        <v>191</v>
      </c>
      <c r="GM11" s="331" t="s">
        <v>191</v>
      </c>
      <c r="GN11" s="331" t="s">
        <v>191</v>
      </c>
      <c r="GO11" s="331" t="s">
        <v>190</v>
      </c>
      <c r="GP11" s="331" t="s">
        <v>190</v>
      </c>
      <c r="GQ11" s="331" t="s">
        <v>190</v>
      </c>
      <c r="GR11" s="331" t="s">
        <v>190</v>
      </c>
      <c r="GS11" s="331" t="s">
        <v>428</v>
      </c>
      <c r="GT11" s="331" t="s">
        <v>428</v>
      </c>
      <c r="GU11" s="331" t="s">
        <v>428</v>
      </c>
      <c r="GV11" s="331" t="s">
        <v>428</v>
      </c>
      <c r="GW11" s="331" t="s">
        <v>190</v>
      </c>
      <c r="GX11" s="331" t="s">
        <v>190</v>
      </c>
      <c r="GY11" s="331" t="s">
        <v>190</v>
      </c>
      <c r="GZ11" s="331" t="s">
        <v>190</v>
      </c>
      <c r="HA11" s="331" t="s">
        <v>190</v>
      </c>
      <c r="HB11" s="331" t="s">
        <v>190</v>
      </c>
      <c r="HC11" s="331" t="s">
        <v>190</v>
      </c>
      <c r="HD11" s="331" t="s">
        <v>190</v>
      </c>
      <c r="HE11" s="331" t="s">
        <v>190</v>
      </c>
      <c r="HF11" s="331" t="s">
        <v>190</v>
      </c>
      <c r="HG11" s="331" t="s">
        <v>190</v>
      </c>
      <c r="HH11" s="331" t="s">
        <v>190</v>
      </c>
      <c r="HI11" s="331" t="s">
        <v>190</v>
      </c>
      <c r="HJ11" s="331" t="s">
        <v>190</v>
      </c>
      <c r="HK11" s="331" t="s">
        <v>190</v>
      </c>
      <c r="HL11" s="331" t="s">
        <v>190</v>
      </c>
      <c r="HM11" s="331" t="s">
        <v>191</v>
      </c>
      <c r="HN11" s="331" t="s">
        <v>191</v>
      </c>
      <c r="HO11" s="331" t="s">
        <v>191</v>
      </c>
      <c r="HP11" s="331" t="s">
        <v>191</v>
      </c>
      <c r="HQ11" s="331" t="s">
        <v>170</v>
      </c>
      <c r="HR11" s="331" t="s">
        <v>429</v>
      </c>
      <c r="HS11" s="331" t="s">
        <v>169</v>
      </c>
      <c r="HT11" s="331" t="s">
        <v>427</v>
      </c>
      <c r="HU11" s="331" t="s">
        <v>428</v>
      </c>
      <c r="HV11" s="331" t="s">
        <v>428</v>
      </c>
    </row>
    <row r="12" spans="1:230" s="70" customFormat="1" x14ac:dyDescent="0.25">
      <c r="A12" s="330" t="str">
        <f>HYPERLINK("http://www.ofsted.gov.uk/inspection-reports/find-inspection-report/provider/ELS/147035 ","Ofsted School Webpage")</f>
        <v>Ofsted School Webpage</v>
      </c>
      <c r="B12" s="331">
        <v>147035</v>
      </c>
      <c r="C12" s="331">
        <v>3166005</v>
      </c>
      <c r="D12" s="331" t="s">
        <v>2699</v>
      </c>
      <c r="E12" s="331" t="s">
        <v>167</v>
      </c>
      <c r="F12" s="331" t="s">
        <v>441</v>
      </c>
      <c r="G12" s="331" t="s">
        <v>441</v>
      </c>
      <c r="H12" s="331" t="s">
        <v>709</v>
      </c>
      <c r="I12" s="331" t="s">
        <v>2700</v>
      </c>
      <c r="J12" s="331" t="s">
        <v>434</v>
      </c>
      <c r="K12" s="331" t="s">
        <v>71</v>
      </c>
      <c r="L12" s="331" t="s">
        <v>71</v>
      </c>
      <c r="M12" s="331" t="s">
        <v>72</v>
      </c>
      <c r="N12" s="331" t="s">
        <v>424</v>
      </c>
      <c r="O12" s="331">
        <v>10118121</v>
      </c>
      <c r="P12" s="332">
        <v>43717</v>
      </c>
      <c r="Q12" s="332">
        <v>43717</v>
      </c>
      <c r="R12" s="332">
        <v>43740</v>
      </c>
      <c r="S12" s="331" t="s">
        <v>2583</v>
      </c>
      <c r="T12" s="331" t="s">
        <v>982</v>
      </c>
      <c r="U12" s="331" t="s">
        <v>427</v>
      </c>
      <c r="V12" s="331" t="s">
        <v>2585</v>
      </c>
      <c r="W12" s="331" t="s">
        <v>191</v>
      </c>
      <c r="X12" s="331" t="s">
        <v>191</v>
      </c>
      <c r="Y12" s="331" t="s">
        <v>191</v>
      </c>
      <c r="Z12" s="331" t="s">
        <v>191</v>
      </c>
      <c r="AA12" s="331" t="s">
        <v>190</v>
      </c>
      <c r="AB12" s="331" t="s">
        <v>191</v>
      </c>
      <c r="AC12" s="331" t="s">
        <v>191</v>
      </c>
      <c r="AD12" s="331" t="s">
        <v>191</v>
      </c>
      <c r="AE12" s="331" t="s">
        <v>428</v>
      </c>
      <c r="AF12" s="331" t="s">
        <v>190</v>
      </c>
      <c r="AG12" s="331" t="s">
        <v>190</v>
      </c>
      <c r="AH12" s="331" t="s">
        <v>190</v>
      </c>
      <c r="AI12" s="331" t="s">
        <v>428</v>
      </c>
      <c r="AJ12" s="331" t="s">
        <v>428</v>
      </c>
      <c r="AK12" s="331" t="s">
        <v>428</v>
      </c>
      <c r="AL12" s="331" t="s">
        <v>428</v>
      </c>
      <c r="AM12" s="331" t="s">
        <v>191</v>
      </c>
      <c r="AN12" s="331" t="s">
        <v>428</v>
      </c>
      <c r="AO12" s="331" t="s">
        <v>191</v>
      </c>
      <c r="AP12" s="331" t="s">
        <v>190</v>
      </c>
      <c r="AQ12" s="331" t="s">
        <v>191</v>
      </c>
      <c r="AR12" s="331" t="s">
        <v>191</v>
      </c>
      <c r="AS12" s="331" t="s">
        <v>190</v>
      </c>
      <c r="AT12" s="331" t="s">
        <v>191</v>
      </c>
      <c r="AU12" s="331" t="s">
        <v>191</v>
      </c>
      <c r="AV12" s="331" t="s">
        <v>191</v>
      </c>
      <c r="AW12" s="331" t="s">
        <v>191</v>
      </c>
      <c r="AX12" s="331" t="s">
        <v>191</v>
      </c>
      <c r="AY12" s="331" t="s">
        <v>191</v>
      </c>
      <c r="AZ12" s="331" t="s">
        <v>190</v>
      </c>
      <c r="BA12" s="331" t="s">
        <v>190</v>
      </c>
      <c r="BB12" s="331" t="s">
        <v>191</v>
      </c>
      <c r="BC12" s="331" t="s">
        <v>190</v>
      </c>
      <c r="BD12" s="331" t="s">
        <v>190</v>
      </c>
      <c r="BE12" s="331" t="s">
        <v>190</v>
      </c>
      <c r="BF12" s="331" t="s">
        <v>190</v>
      </c>
      <c r="BG12" s="331" t="s">
        <v>190</v>
      </c>
      <c r="BH12" s="331" t="s">
        <v>190</v>
      </c>
      <c r="BI12" s="331" t="s">
        <v>190</v>
      </c>
      <c r="BJ12" s="331" t="s">
        <v>190</v>
      </c>
      <c r="BK12" s="331" t="s">
        <v>190</v>
      </c>
      <c r="BL12" s="331" t="s">
        <v>190</v>
      </c>
      <c r="BM12" s="331" t="s">
        <v>190</v>
      </c>
      <c r="BN12" s="331" t="s">
        <v>190</v>
      </c>
      <c r="BO12" s="331" t="s">
        <v>190</v>
      </c>
      <c r="BP12" s="331" t="s">
        <v>190</v>
      </c>
      <c r="BQ12" s="331" t="s">
        <v>190</v>
      </c>
      <c r="BR12" s="331" t="s">
        <v>191</v>
      </c>
      <c r="BS12" s="331" t="s">
        <v>191</v>
      </c>
      <c r="BT12" s="331" t="s">
        <v>191</v>
      </c>
      <c r="BU12" s="331" t="s">
        <v>428</v>
      </c>
      <c r="BV12" s="331" t="s">
        <v>428</v>
      </c>
      <c r="BW12" s="331" t="s">
        <v>428</v>
      </c>
      <c r="BX12" s="331" t="s">
        <v>191</v>
      </c>
      <c r="BY12" s="331" t="s">
        <v>191</v>
      </c>
      <c r="BZ12" s="331" t="s">
        <v>191</v>
      </c>
      <c r="CA12" s="331" t="s">
        <v>191</v>
      </c>
      <c r="CB12" s="331" t="s">
        <v>190</v>
      </c>
      <c r="CC12" s="331" t="s">
        <v>191</v>
      </c>
      <c r="CD12" s="331" t="s">
        <v>191</v>
      </c>
      <c r="CE12" s="331" t="s">
        <v>191</v>
      </c>
      <c r="CF12" s="331" t="s">
        <v>190</v>
      </c>
      <c r="CG12" s="331" t="s">
        <v>190</v>
      </c>
      <c r="CH12" s="331" t="s">
        <v>191</v>
      </c>
      <c r="CI12" s="331" t="s">
        <v>191</v>
      </c>
      <c r="CJ12" s="331" t="s">
        <v>191</v>
      </c>
      <c r="CK12" s="331" t="s">
        <v>191</v>
      </c>
      <c r="CL12" s="331" t="s">
        <v>190</v>
      </c>
      <c r="CM12" s="331" t="s">
        <v>191</v>
      </c>
      <c r="CN12" s="331" t="s">
        <v>190</v>
      </c>
      <c r="CO12" s="331" t="s">
        <v>190</v>
      </c>
      <c r="CP12" s="331" t="s">
        <v>190</v>
      </c>
      <c r="CQ12" s="331" t="s">
        <v>190</v>
      </c>
      <c r="CR12" s="331" t="s">
        <v>190</v>
      </c>
      <c r="CS12" s="331" t="s">
        <v>190</v>
      </c>
      <c r="CT12" s="331" t="s">
        <v>190</v>
      </c>
      <c r="CU12" s="331" t="s">
        <v>428</v>
      </c>
      <c r="CV12" s="331" t="s">
        <v>190</v>
      </c>
      <c r="CW12" s="331" t="s">
        <v>190</v>
      </c>
      <c r="CX12" s="331" t="s">
        <v>190</v>
      </c>
      <c r="CY12" s="331" t="s">
        <v>190</v>
      </c>
      <c r="CZ12" s="331" t="s">
        <v>190</v>
      </c>
      <c r="DA12" s="331" t="s">
        <v>190</v>
      </c>
      <c r="DB12" s="331" t="s">
        <v>190</v>
      </c>
      <c r="DC12" s="331" t="s">
        <v>190</v>
      </c>
      <c r="DD12" s="331" t="s">
        <v>190</v>
      </c>
      <c r="DE12" s="331" t="s">
        <v>190</v>
      </c>
      <c r="DF12" s="331" t="s">
        <v>190</v>
      </c>
      <c r="DG12" s="331" t="s">
        <v>190</v>
      </c>
      <c r="DH12" s="331" t="s">
        <v>190</v>
      </c>
      <c r="DI12" s="331" t="s">
        <v>190</v>
      </c>
      <c r="DJ12" s="331" t="s">
        <v>428</v>
      </c>
      <c r="DK12" s="331" t="s">
        <v>190</v>
      </c>
      <c r="DL12" s="331" t="s">
        <v>190</v>
      </c>
      <c r="DM12" s="331" t="s">
        <v>190</v>
      </c>
      <c r="DN12" s="331" t="s">
        <v>190</v>
      </c>
      <c r="DO12" s="331" t="s">
        <v>190</v>
      </c>
      <c r="DP12" s="331" t="s">
        <v>190</v>
      </c>
      <c r="DQ12" s="331" t="s">
        <v>190</v>
      </c>
      <c r="DR12" s="331" t="s">
        <v>190</v>
      </c>
      <c r="DS12" s="331" t="s">
        <v>190</v>
      </c>
      <c r="DT12" s="331" t="s">
        <v>190</v>
      </c>
      <c r="DU12" s="331" t="s">
        <v>191</v>
      </c>
      <c r="DV12" s="331" t="s">
        <v>190</v>
      </c>
      <c r="DW12" s="331" t="s">
        <v>191</v>
      </c>
      <c r="DX12" s="331" t="s">
        <v>190</v>
      </c>
      <c r="DY12" s="331" t="s">
        <v>190</v>
      </c>
      <c r="DZ12" s="331" t="s">
        <v>190</v>
      </c>
      <c r="EA12" s="331" t="s">
        <v>190</v>
      </c>
      <c r="EB12" s="331" t="s">
        <v>190</v>
      </c>
      <c r="EC12" s="331" t="s">
        <v>190</v>
      </c>
      <c r="ED12" s="331" t="s">
        <v>190</v>
      </c>
      <c r="EE12" s="331" t="s">
        <v>190</v>
      </c>
      <c r="EF12" s="331" t="s">
        <v>190</v>
      </c>
      <c r="EG12" s="331" t="s">
        <v>191</v>
      </c>
      <c r="EH12" s="331" t="s">
        <v>190</v>
      </c>
      <c r="EI12" s="331" t="s">
        <v>190</v>
      </c>
      <c r="EJ12" s="331" t="s">
        <v>190</v>
      </c>
      <c r="EK12" s="331" t="s">
        <v>190</v>
      </c>
      <c r="EL12" s="331" t="s">
        <v>190</v>
      </c>
      <c r="EM12" s="331" t="s">
        <v>190</v>
      </c>
      <c r="EN12" s="331" t="s">
        <v>190</v>
      </c>
      <c r="EO12" s="331" t="s">
        <v>190</v>
      </c>
      <c r="EP12" s="331" t="s">
        <v>190</v>
      </c>
      <c r="EQ12" s="331" t="s">
        <v>190</v>
      </c>
      <c r="ER12" s="331" t="s">
        <v>190</v>
      </c>
      <c r="ES12" s="331" t="s">
        <v>190</v>
      </c>
      <c r="ET12" s="331" t="s">
        <v>190</v>
      </c>
      <c r="EU12" s="331" t="s">
        <v>190</v>
      </c>
      <c r="EV12" s="331" t="s">
        <v>190</v>
      </c>
      <c r="EW12" s="331" t="s">
        <v>190</v>
      </c>
      <c r="EX12" s="331" t="s">
        <v>190</v>
      </c>
      <c r="EY12" s="331" t="s">
        <v>190</v>
      </c>
      <c r="EZ12" s="331" t="s">
        <v>428</v>
      </c>
      <c r="FA12" s="331" t="s">
        <v>190</v>
      </c>
      <c r="FB12" s="331" t="s">
        <v>191</v>
      </c>
      <c r="FC12" s="331" t="s">
        <v>190</v>
      </c>
      <c r="FD12" s="331" t="s">
        <v>190</v>
      </c>
      <c r="FE12" s="331" t="s">
        <v>190</v>
      </c>
      <c r="FF12" s="331" t="s">
        <v>190</v>
      </c>
      <c r="FG12" s="331" t="s">
        <v>190</v>
      </c>
      <c r="FH12" s="331" t="s">
        <v>190</v>
      </c>
      <c r="FI12" s="331" t="s">
        <v>190</v>
      </c>
      <c r="FJ12" s="331" t="s">
        <v>190</v>
      </c>
      <c r="FK12" s="331" t="s">
        <v>190</v>
      </c>
      <c r="FL12" s="331" t="s">
        <v>190</v>
      </c>
      <c r="FM12" s="331" t="s">
        <v>190</v>
      </c>
      <c r="FN12" s="331" t="s">
        <v>190</v>
      </c>
      <c r="FO12" s="331" t="s">
        <v>190</v>
      </c>
      <c r="FP12" s="331" t="s">
        <v>190</v>
      </c>
      <c r="FQ12" s="331" t="s">
        <v>190</v>
      </c>
      <c r="FR12" s="331" t="s">
        <v>428</v>
      </c>
      <c r="FS12" s="331" t="s">
        <v>191</v>
      </c>
      <c r="FT12" s="331" t="s">
        <v>191</v>
      </c>
      <c r="FU12" s="331" t="s">
        <v>191</v>
      </c>
      <c r="FV12" s="331" t="s">
        <v>190</v>
      </c>
      <c r="FW12" s="331" t="s">
        <v>190</v>
      </c>
      <c r="FX12" s="331" t="s">
        <v>428</v>
      </c>
      <c r="FY12" s="331" t="s">
        <v>191</v>
      </c>
      <c r="FZ12" s="331" t="s">
        <v>190</v>
      </c>
      <c r="GA12" s="331" t="s">
        <v>190</v>
      </c>
      <c r="GB12" s="331" t="s">
        <v>190</v>
      </c>
      <c r="GC12" s="331" t="s">
        <v>191</v>
      </c>
      <c r="GD12" s="331" t="s">
        <v>191</v>
      </c>
      <c r="GE12" s="331" t="s">
        <v>191</v>
      </c>
      <c r="GF12" s="331" t="s">
        <v>191</v>
      </c>
      <c r="GG12" s="331" t="s">
        <v>191</v>
      </c>
      <c r="GH12" s="331" t="s">
        <v>191</v>
      </c>
      <c r="GI12" s="331" t="s">
        <v>428</v>
      </c>
      <c r="GJ12" s="331" t="s">
        <v>190</v>
      </c>
      <c r="GK12" s="331" t="s">
        <v>191</v>
      </c>
      <c r="GL12" s="331" t="s">
        <v>190</v>
      </c>
      <c r="GM12" s="331" t="s">
        <v>191</v>
      </c>
      <c r="GN12" s="331" t="s">
        <v>190</v>
      </c>
      <c r="GO12" s="331" t="s">
        <v>190</v>
      </c>
      <c r="GP12" s="331" t="s">
        <v>190</v>
      </c>
      <c r="GQ12" s="331" t="s">
        <v>190</v>
      </c>
      <c r="GR12" s="331" t="s">
        <v>190</v>
      </c>
      <c r="GS12" s="331" t="s">
        <v>190</v>
      </c>
      <c r="GT12" s="331" t="s">
        <v>190</v>
      </c>
      <c r="GU12" s="331" t="s">
        <v>190</v>
      </c>
      <c r="GV12" s="331" t="s">
        <v>190</v>
      </c>
      <c r="GW12" s="331" t="s">
        <v>191</v>
      </c>
      <c r="GX12" s="331" t="s">
        <v>190</v>
      </c>
      <c r="GY12" s="331" t="s">
        <v>190</v>
      </c>
      <c r="GZ12" s="331" t="s">
        <v>190</v>
      </c>
      <c r="HA12" s="331" t="s">
        <v>190</v>
      </c>
      <c r="HB12" s="331" t="s">
        <v>190</v>
      </c>
      <c r="HC12" s="331" t="s">
        <v>191</v>
      </c>
      <c r="HD12" s="331" t="s">
        <v>191</v>
      </c>
      <c r="HE12" s="331" t="s">
        <v>191</v>
      </c>
      <c r="HF12" s="331" t="s">
        <v>191</v>
      </c>
      <c r="HG12" s="331" t="s">
        <v>191</v>
      </c>
      <c r="HH12" s="331" t="s">
        <v>191</v>
      </c>
      <c r="HI12" s="331" t="s">
        <v>191</v>
      </c>
      <c r="HJ12" s="331" t="s">
        <v>191</v>
      </c>
      <c r="HK12" s="331" t="s">
        <v>191</v>
      </c>
      <c r="HL12" s="331" t="s">
        <v>190</v>
      </c>
      <c r="HM12" s="331" t="s">
        <v>191</v>
      </c>
      <c r="HN12" s="331" t="s">
        <v>191</v>
      </c>
      <c r="HO12" s="331" t="s">
        <v>191</v>
      </c>
      <c r="HP12" s="331" t="s">
        <v>191</v>
      </c>
      <c r="HQ12" s="331" t="s">
        <v>170</v>
      </c>
      <c r="HR12" s="331" t="s">
        <v>429</v>
      </c>
      <c r="HS12" s="331" t="s">
        <v>169</v>
      </c>
      <c r="HT12" s="331" t="s">
        <v>447</v>
      </c>
      <c r="HU12" s="331" t="s">
        <v>191</v>
      </c>
      <c r="HV12" s="331" t="s">
        <v>191</v>
      </c>
    </row>
    <row r="13" spans="1:230" s="70" customFormat="1" x14ac:dyDescent="0.25">
      <c r="A13" s="330" t="str">
        <f>HYPERLINK("http://www.ofsted.gov.uk/inspection-reports/find-inspection-report/provider/ELS/147313 ","Ofsted School Webpage")</f>
        <v>Ofsted School Webpage</v>
      </c>
      <c r="B13" s="331">
        <v>147313</v>
      </c>
      <c r="C13" s="331">
        <v>3906012</v>
      </c>
      <c r="D13" s="331" t="s">
        <v>2701</v>
      </c>
      <c r="E13" s="331" t="s">
        <v>167</v>
      </c>
      <c r="F13" s="331" t="s">
        <v>458</v>
      </c>
      <c r="G13" s="331" t="s">
        <v>474</v>
      </c>
      <c r="H13" s="331" t="s">
        <v>787</v>
      </c>
      <c r="I13" s="331" t="s">
        <v>788</v>
      </c>
      <c r="J13" s="331" t="s">
        <v>434</v>
      </c>
      <c r="K13" s="331" t="s">
        <v>70</v>
      </c>
      <c r="L13" s="331" t="s">
        <v>70</v>
      </c>
      <c r="M13" s="331" t="s">
        <v>69</v>
      </c>
      <c r="N13" s="331" t="s">
        <v>424</v>
      </c>
      <c r="O13" s="331">
        <v>10118049</v>
      </c>
      <c r="P13" s="332">
        <v>43717</v>
      </c>
      <c r="Q13" s="332">
        <v>43717</v>
      </c>
      <c r="R13" s="332">
        <v>43761</v>
      </c>
      <c r="S13" s="331" t="s">
        <v>2583</v>
      </c>
      <c r="T13" s="331" t="s">
        <v>982</v>
      </c>
      <c r="U13" s="331" t="s">
        <v>427</v>
      </c>
      <c r="V13" s="331" t="s">
        <v>2584</v>
      </c>
      <c r="W13" s="331" t="s">
        <v>190</v>
      </c>
      <c r="X13" s="331" t="s">
        <v>190</v>
      </c>
      <c r="Y13" s="331" t="s">
        <v>190</v>
      </c>
      <c r="Z13" s="331" t="s">
        <v>190</v>
      </c>
      <c r="AA13" s="331" t="s">
        <v>190</v>
      </c>
      <c r="AB13" s="331" t="s">
        <v>190</v>
      </c>
      <c r="AC13" s="331" t="s">
        <v>428</v>
      </c>
      <c r="AD13" s="331" t="s">
        <v>190</v>
      </c>
      <c r="AE13" s="331" t="s">
        <v>428</v>
      </c>
      <c r="AF13" s="331" t="s">
        <v>190</v>
      </c>
      <c r="AG13" s="331" t="s">
        <v>190</v>
      </c>
      <c r="AH13" s="331" t="s">
        <v>190</v>
      </c>
      <c r="AI13" s="331" t="s">
        <v>428</v>
      </c>
      <c r="AJ13" s="331" t="s">
        <v>428</v>
      </c>
      <c r="AK13" s="331" t="s">
        <v>428</v>
      </c>
      <c r="AL13" s="331" t="s">
        <v>428</v>
      </c>
      <c r="AM13" s="331" t="s">
        <v>190</v>
      </c>
      <c r="AN13" s="331" t="s">
        <v>428</v>
      </c>
      <c r="AO13" s="331" t="s">
        <v>190</v>
      </c>
      <c r="AP13" s="331" t="s">
        <v>190</v>
      </c>
      <c r="AQ13" s="331" t="s">
        <v>190</v>
      </c>
      <c r="AR13" s="331" t="s">
        <v>190</v>
      </c>
      <c r="AS13" s="331" t="s">
        <v>190</v>
      </c>
      <c r="AT13" s="331" t="s">
        <v>190</v>
      </c>
      <c r="AU13" s="331" t="s">
        <v>190</v>
      </c>
      <c r="AV13" s="331" t="s">
        <v>190</v>
      </c>
      <c r="AW13" s="331" t="s">
        <v>190</v>
      </c>
      <c r="AX13" s="331" t="s">
        <v>190</v>
      </c>
      <c r="AY13" s="331" t="s">
        <v>190</v>
      </c>
      <c r="AZ13" s="331" t="s">
        <v>190</v>
      </c>
      <c r="BA13" s="331" t="s">
        <v>190</v>
      </c>
      <c r="BB13" s="331" t="s">
        <v>190</v>
      </c>
      <c r="BC13" s="331" t="s">
        <v>190</v>
      </c>
      <c r="BD13" s="331" t="s">
        <v>190</v>
      </c>
      <c r="BE13" s="331" t="s">
        <v>190</v>
      </c>
      <c r="BF13" s="331" t="s">
        <v>190</v>
      </c>
      <c r="BG13" s="331" t="s">
        <v>190</v>
      </c>
      <c r="BH13" s="331" t="s">
        <v>190</v>
      </c>
      <c r="BI13" s="331" t="s">
        <v>190</v>
      </c>
      <c r="BJ13" s="331" t="s">
        <v>190</v>
      </c>
      <c r="BK13" s="331" t="s">
        <v>190</v>
      </c>
      <c r="BL13" s="331" t="s">
        <v>190</v>
      </c>
      <c r="BM13" s="331" t="s">
        <v>190</v>
      </c>
      <c r="BN13" s="331" t="s">
        <v>190</v>
      </c>
      <c r="BO13" s="331" t="s">
        <v>190</v>
      </c>
      <c r="BP13" s="331" t="s">
        <v>190</v>
      </c>
      <c r="BQ13" s="331" t="s">
        <v>190</v>
      </c>
      <c r="BR13" s="331" t="s">
        <v>190</v>
      </c>
      <c r="BS13" s="331" t="s">
        <v>190</v>
      </c>
      <c r="BT13" s="331" t="s">
        <v>190</v>
      </c>
      <c r="BU13" s="331" t="s">
        <v>428</v>
      </c>
      <c r="BV13" s="331" t="s">
        <v>428</v>
      </c>
      <c r="BW13" s="331" t="s">
        <v>428</v>
      </c>
      <c r="BX13" s="331" t="s">
        <v>190</v>
      </c>
      <c r="BY13" s="331" t="s">
        <v>190</v>
      </c>
      <c r="BZ13" s="331" t="s">
        <v>190</v>
      </c>
      <c r="CA13" s="331" t="s">
        <v>190</v>
      </c>
      <c r="CB13" s="331" t="s">
        <v>190</v>
      </c>
      <c r="CC13" s="331" t="s">
        <v>190</v>
      </c>
      <c r="CD13" s="331" t="s">
        <v>190</v>
      </c>
      <c r="CE13" s="331" t="s">
        <v>190</v>
      </c>
      <c r="CF13" s="331" t="s">
        <v>190</v>
      </c>
      <c r="CG13" s="331" t="s">
        <v>190</v>
      </c>
      <c r="CH13" s="331" t="s">
        <v>190</v>
      </c>
      <c r="CI13" s="331" t="s">
        <v>190</v>
      </c>
      <c r="CJ13" s="331" t="s">
        <v>190</v>
      </c>
      <c r="CK13" s="331" t="s">
        <v>190</v>
      </c>
      <c r="CL13" s="331" t="s">
        <v>190</v>
      </c>
      <c r="CM13" s="331" t="s">
        <v>190</v>
      </c>
      <c r="CN13" s="331" t="s">
        <v>190</v>
      </c>
      <c r="CO13" s="331" t="s">
        <v>190</v>
      </c>
      <c r="CP13" s="331" t="s">
        <v>190</v>
      </c>
      <c r="CQ13" s="331" t="s">
        <v>190</v>
      </c>
      <c r="CR13" s="331" t="s">
        <v>190</v>
      </c>
      <c r="CS13" s="331" t="s">
        <v>190</v>
      </c>
      <c r="CT13" s="331" t="s">
        <v>190</v>
      </c>
      <c r="CU13" s="331" t="s">
        <v>428</v>
      </c>
      <c r="CV13" s="331" t="s">
        <v>190</v>
      </c>
      <c r="CW13" s="331" t="s">
        <v>428</v>
      </c>
      <c r="CX13" s="331" t="s">
        <v>428</v>
      </c>
      <c r="CY13" s="331" t="s">
        <v>428</v>
      </c>
      <c r="CZ13" s="331" t="s">
        <v>428</v>
      </c>
      <c r="DA13" s="331" t="s">
        <v>428</v>
      </c>
      <c r="DB13" s="331" t="s">
        <v>428</v>
      </c>
      <c r="DC13" s="331" t="s">
        <v>428</v>
      </c>
      <c r="DD13" s="331" t="s">
        <v>428</v>
      </c>
      <c r="DE13" s="331" t="s">
        <v>428</v>
      </c>
      <c r="DF13" s="331" t="s">
        <v>428</v>
      </c>
      <c r="DG13" s="331" t="s">
        <v>428</v>
      </c>
      <c r="DH13" s="331" t="s">
        <v>428</v>
      </c>
      <c r="DI13" s="331" t="s">
        <v>428</v>
      </c>
      <c r="DJ13" s="331" t="s">
        <v>428</v>
      </c>
      <c r="DK13" s="331" t="s">
        <v>428</v>
      </c>
      <c r="DL13" s="331" t="s">
        <v>190</v>
      </c>
      <c r="DM13" s="331" t="s">
        <v>190</v>
      </c>
      <c r="DN13" s="331" t="s">
        <v>190</v>
      </c>
      <c r="DO13" s="331" t="s">
        <v>190</v>
      </c>
      <c r="DP13" s="331" t="s">
        <v>190</v>
      </c>
      <c r="DQ13" s="331" t="s">
        <v>190</v>
      </c>
      <c r="DR13" s="331" t="s">
        <v>190</v>
      </c>
      <c r="DS13" s="331" t="s">
        <v>190</v>
      </c>
      <c r="DT13" s="331" t="s">
        <v>190</v>
      </c>
      <c r="DU13" s="331" t="s">
        <v>190</v>
      </c>
      <c r="DV13" s="331" t="s">
        <v>190</v>
      </c>
      <c r="DW13" s="331" t="s">
        <v>190</v>
      </c>
      <c r="DX13" s="331" t="s">
        <v>190</v>
      </c>
      <c r="DY13" s="331" t="s">
        <v>190</v>
      </c>
      <c r="DZ13" s="331" t="s">
        <v>190</v>
      </c>
      <c r="EA13" s="331" t="s">
        <v>190</v>
      </c>
      <c r="EB13" s="331" t="s">
        <v>190</v>
      </c>
      <c r="EC13" s="331" t="s">
        <v>190</v>
      </c>
      <c r="ED13" s="331" t="s">
        <v>190</v>
      </c>
      <c r="EE13" s="331" t="s">
        <v>190</v>
      </c>
      <c r="EF13" s="331" t="s">
        <v>190</v>
      </c>
      <c r="EG13" s="331" t="s">
        <v>190</v>
      </c>
      <c r="EH13" s="331" t="s">
        <v>190</v>
      </c>
      <c r="EI13" s="331" t="s">
        <v>428</v>
      </c>
      <c r="EJ13" s="331" t="s">
        <v>428</v>
      </c>
      <c r="EK13" s="331" t="s">
        <v>428</v>
      </c>
      <c r="EL13" s="331" t="s">
        <v>428</v>
      </c>
      <c r="EM13" s="331" t="s">
        <v>428</v>
      </c>
      <c r="EN13" s="331" t="s">
        <v>428</v>
      </c>
      <c r="EO13" s="331" t="s">
        <v>190</v>
      </c>
      <c r="EP13" s="331" t="s">
        <v>190</v>
      </c>
      <c r="EQ13" s="331" t="s">
        <v>190</v>
      </c>
      <c r="ER13" s="331" t="s">
        <v>190</v>
      </c>
      <c r="ES13" s="331" t="s">
        <v>190</v>
      </c>
      <c r="ET13" s="331" t="s">
        <v>190</v>
      </c>
      <c r="EU13" s="331" t="s">
        <v>428</v>
      </c>
      <c r="EV13" s="331" t="s">
        <v>428</v>
      </c>
      <c r="EW13" s="331" t="s">
        <v>190</v>
      </c>
      <c r="EX13" s="331" t="s">
        <v>190</v>
      </c>
      <c r="EY13" s="331" t="s">
        <v>190</v>
      </c>
      <c r="EZ13" s="331" t="s">
        <v>428</v>
      </c>
      <c r="FA13" s="331" t="s">
        <v>190</v>
      </c>
      <c r="FB13" s="331" t="s">
        <v>190</v>
      </c>
      <c r="FC13" s="331" t="s">
        <v>190</v>
      </c>
      <c r="FD13" s="331" t="s">
        <v>190</v>
      </c>
      <c r="FE13" s="331" t="s">
        <v>190</v>
      </c>
      <c r="FF13" s="331" t="s">
        <v>190</v>
      </c>
      <c r="FG13" s="331" t="s">
        <v>190</v>
      </c>
      <c r="FH13" s="331" t="s">
        <v>190</v>
      </c>
      <c r="FI13" s="331" t="s">
        <v>190</v>
      </c>
      <c r="FJ13" s="331" t="s">
        <v>190</v>
      </c>
      <c r="FK13" s="331" t="s">
        <v>190</v>
      </c>
      <c r="FL13" s="331" t="s">
        <v>190</v>
      </c>
      <c r="FM13" s="331" t="s">
        <v>190</v>
      </c>
      <c r="FN13" s="331" t="s">
        <v>190</v>
      </c>
      <c r="FO13" s="331" t="s">
        <v>190</v>
      </c>
      <c r="FP13" s="331" t="s">
        <v>190</v>
      </c>
      <c r="FQ13" s="331" t="s">
        <v>190</v>
      </c>
      <c r="FR13" s="331" t="s">
        <v>428</v>
      </c>
      <c r="FS13" s="331" t="s">
        <v>190</v>
      </c>
      <c r="FT13" s="331" t="s">
        <v>190</v>
      </c>
      <c r="FU13" s="331" t="s">
        <v>190</v>
      </c>
      <c r="FV13" s="331" t="s">
        <v>190</v>
      </c>
      <c r="FW13" s="331" t="s">
        <v>190</v>
      </c>
      <c r="FX13" s="331" t="s">
        <v>428</v>
      </c>
      <c r="FY13" s="331" t="s">
        <v>190</v>
      </c>
      <c r="FZ13" s="331" t="s">
        <v>190</v>
      </c>
      <c r="GA13" s="331" t="s">
        <v>190</v>
      </c>
      <c r="GB13" s="331" t="s">
        <v>190</v>
      </c>
      <c r="GC13" s="331" t="s">
        <v>190</v>
      </c>
      <c r="GD13" s="331" t="s">
        <v>190</v>
      </c>
      <c r="GE13" s="331" t="s">
        <v>190</v>
      </c>
      <c r="GF13" s="331" t="s">
        <v>190</v>
      </c>
      <c r="GG13" s="331" t="s">
        <v>428</v>
      </c>
      <c r="GH13" s="331" t="s">
        <v>190</v>
      </c>
      <c r="GI13" s="331" t="s">
        <v>190</v>
      </c>
      <c r="GJ13" s="331" t="s">
        <v>190</v>
      </c>
      <c r="GK13" s="331" t="s">
        <v>190</v>
      </c>
      <c r="GL13" s="331" t="s">
        <v>190</v>
      </c>
      <c r="GM13" s="331" t="s">
        <v>190</v>
      </c>
      <c r="GN13" s="331" t="s">
        <v>190</v>
      </c>
      <c r="GO13" s="331" t="s">
        <v>190</v>
      </c>
      <c r="GP13" s="331" t="s">
        <v>190</v>
      </c>
      <c r="GQ13" s="331" t="s">
        <v>190</v>
      </c>
      <c r="GR13" s="331" t="s">
        <v>190</v>
      </c>
      <c r="GS13" s="331" t="s">
        <v>428</v>
      </c>
      <c r="GT13" s="331" t="s">
        <v>428</v>
      </c>
      <c r="GU13" s="331" t="s">
        <v>428</v>
      </c>
      <c r="GV13" s="331" t="s">
        <v>428</v>
      </c>
      <c r="GW13" s="331" t="s">
        <v>190</v>
      </c>
      <c r="GX13" s="331" t="s">
        <v>190</v>
      </c>
      <c r="GY13" s="331" t="s">
        <v>190</v>
      </c>
      <c r="GZ13" s="331" t="s">
        <v>190</v>
      </c>
      <c r="HA13" s="331" t="s">
        <v>190</v>
      </c>
      <c r="HB13" s="331" t="s">
        <v>190</v>
      </c>
      <c r="HC13" s="331" t="s">
        <v>190</v>
      </c>
      <c r="HD13" s="331" t="s">
        <v>190</v>
      </c>
      <c r="HE13" s="331" t="s">
        <v>190</v>
      </c>
      <c r="HF13" s="331" t="s">
        <v>190</v>
      </c>
      <c r="HG13" s="331" t="s">
        <v>190</v>
      </c>
      <c r="HH13" s="331" t="s">
        <v>190</v>
      </c>
      <c r="HI13" s="331" t="s">
        <v>190</v>
      </c>
      <c r="HJ13" s="331" t="s">
        <v>190</v>
      </c>
      <c r="HK13" s="331" t="s">
        <v>190</v>
      </c>
      <c r="HL13" s="331" t="s">
        <v>190</v>
      </c>
      <c r="HM13" s="331" t="s">
        <v>190</v>
      </c>
      <c r="HN13" s="331" t="s">
        <v>190</v>
      </c>
      <c r="HO13" s="331" t="s">
        <v>190</v>
      </c>
      <c r="HP13" s="331" t="s">
        <v>190</v>
      </c>
      <c r="HQ13" s="331" t="s">
        <v>170</v>
      </c>
      <c r="HR13" s="331" t="s">
        <v>429</v>
      </c>
      <c r="HS13" s="331" t="s">
        <v>169</v>
      </c>
      <c r="HT13" s="331" t="s">
        <v>427</v>
      </c>
      <c r="HU13" s="331" t="s">
        <v>190</v>
      </c>
      <c r="HV13" s="331" t="s">
        <v>190</v>
      </c>
    </row>
    <row r="14" spans="1:230" s="70" customFormat="1" x14ac:dyDescent="0.25">
      <c r="A14" s="330" t="str">
        <f>HYPERLINK("http://www.ofsted.gov.uk/inspection-reports/find-inspection-report/provider/ELS/145159 ","Ofsted School Webpage")</f>
        <v>Ofsted School Webpage</v>
      </c>
      <c r="B14" s="331">
        <v>145159</v>
      </c>
      <c r="C14" s="331">
        <v>9266017</v>
      </c>
      <c r="D14" s="331" t="s">
        <v>804</v>
      </c>
      <c r="E14" s="331" t="s">
        <v>168</v>
      </c>
      <c r="F14" s="331" t="s">
        <v>451</v>
      </c>
      <c r="G14" s="331" t="s">
        <v>451</v>
      </c>
      <c r="H14" s="331" t="s">
        <v>463</v>
      </c>
      <c r="I14" s="331" t="s">
        <v>805</v>
      </c>
      <c r="J14" s="331" t="s">
        <v>81</v>
      </c>
      <c r="K14" s="331" t="s">
        <v>81</v>
      </c>
      <c r="L14" s="331" t="s">
        <v>81</v>
      </c>
      <c r="M14" s="331" t="s">
        <v>78</v>
      </c>
      <c r="N14" s="331" t="s">
        <v>424</v>
      </c>
      <c r="O14" s="331">
        <v>10111860</v>
      </c>
      <c r="P14" s="332">
        <v>43718</v>
      </c>
      <c r="Q14" s="332">
        <v>43718</v>
      </c>
      <c r="R14" s="332">
        <v>43739</v>
      </c>
      <c r="S14" s="331" t="s">
        <v>985</v>
      </c>
      <c r="T14" s="331" t="s">
        <v>982</v>
      </c>
      <c r="U14" s="331" t="s">
        <v>427</v>
      </c>
      <c r="V14" s="331" t="s">
        <v>166</v>
      </c>
      <c r="W14" s="331" t="s">
        <v>984</v>
      </c>
      <c r="X14" s="331" t="s">
        <v>984</v>
      </c>
      <c r="Y14" s="331" t="s">
        <v>984</v>
      </c>
      <c r="Z14" s="331" t="s">
        <v>984</v>
      </c>
      <c r="AA14" s="331" t="s">
        <v>984</v>
      </c>
      <c r="AB14" s="331" t="s">
        <v>984</v>
      </c>
      <c r="AC14" s="331" t="s">
        <v>984</v>
      </c>
      <c r="AD14" s="331" t="s">
        <v>984</v>
      </c>
      <c r="AE14" s="331" t="s">
        <v>428</v>
      </c>
      <c r="AF14" s="331" t="s">
        <v>984</v>
      </c>
      <c r="AG14" s="331" t="s">
        <v>984</v>
      </c>
      <c r="AH14" s="331" t="s">
        <v>984</v>
      </c>
      <c r="AI14" s="331" t="s">
        <v>984</v>
      </c>
      <c r="AJ14" s="331" t="s">
        <v>984</v>
      </c>
      <c r="AK14" s="331" t="s">
        <v>984</v>
      </c>
      <c r="AL14" s="331" t="s">
        <v>984</v>
      </c>
      <c r="AM14" s="331" t="s">
        <v>428</v>
      </c>
      <c r="AN14" s="331" t="s">
        <v>428</v>
      </c>
      <c r="AO14" s="331" t="s">
        <v>984</v>
      </c>
      <c r="AP14" s="331" t="s">
        <v>984</v>
      </c>
      <c r="AQ14" s="331" t="s">
        <v>191</v>
      </c>
      <c r="AR14" s="331" t="s">
        <v>191</v>
      </c>
      <c r="AS14" s="331" t="s">
        <v>191</v>
      </c>
      <c r="AT14" s="331" t="s">
        <v>191</v>
      </c>
      <c r="AU14" s="331" t="s">
        <v>191</v>
      </c>
      <c r="AV14" s="331" t="s">
        <v>191</v>
      </c>
      <c r="AW14" s="331" t="s">
        <v>191</v>
      </c>
      <c r="AX14" s="331" t="s">
        <v>191</v>
      </c>
      <c r="AY14" s="331" t="s">
        <v>191</v>
      </c>
      <c r="AZ14" s="331" t="s">
        <v>191</v>
      </c>
      <c r="BA14" s="331" t="s">
        <v>191</v>
      </c>
      <c r="BB14" s="331" t="s">
        <v>984</v>
      </c>
      <c r="BC14" s="331" t="s">
        <v>984</v>
      </c>
      <c r="BD14" s="331" t="s">
        <v>984</v>
      </c>
      <c r="BE14" s="331" t="s">
        <v>984</v>
      </c>
      <c r="BF14" s="331" t="s">
        <v>984</v>
      </c>
      <c r="BG14" s="331" t="s">
        <v>984</v>
      </c>
      <c r="BH14" s="331" t="s">
        <v>984</v>
      </c>
      <c r="BI14" s="331" t="s">
        <v>984</v>
      </c>
      <c r="BJ14" s="331" t="s">
        <v>984</v>
      </c>
      <c r="BK14" s="331" t="s">
        <v>984</v>
      </c>
      <c r="BL14" s="331" t="s">
        <v>984</v>
      </c>
      <c r="BM14" s="331" t="s">
        <v>984</v>
      </c>
      <c r="BN14" s="331" t="s">
        <v>984</v>
      </c>
      <c r="BO14" s="331" t="s">
        <v>984</v>
      </c>
      <c r="BP14" s="331" t="s">
        <v>984</v>
      </c>
      <c r="BQ14" s="331" t="s">
        <v>984</v>
      </c>
      <c r="BR14" s="331" t="s">
        <v>984</v>
      </c>
      <c r="BS14" s="331" t="s">
        <v>984</v>
      </c>
      <c r="BT14" s="331" t="s">
        <v>984</v>
      </c>
      <c r="BU14" s="331" t="s">
        <v>428</v>
      </c>
      <c r="BV14" s="331" t="s">
        <v>428</v>
      </c>
      <c r="BW14" s="331" t="s">
        <v>428</v>
      </c>
      <c r="BX14" s="331" t="s">
        <v>984</v>
      </c>
      <c r="BY14" s="331" t="s">
        <v>984</v>
      </c>
      <c r="BZ14" s="331" t="s">
        <v>984</v>
      </c>
      <c r="CA14" s="331" t="s">
        <v>984</v>
      </c>
      <c r="CB14" s="331" t="s">
        <v>984</v>
      </c>
      <c r="CC14" s="331" t="s">
        <v>984</v>
      </c>
      <c r="CD14" s="331" t="s">
        <v>984</v>
      </c>
      <c r="CE14" s="331" t="s">
        <v>984</v>
      </c>
      <c r="CF14" s="331" t="s">
        <v>984</v>
      </c>
      <c r="CG14" s="331" t="s">
        <v>984</v>
      </c>
      <c r="CH14" s="331" t="s">
        <v>984</v>
      </c>
      <c r="CI14" s="331" t="s">
        <v>984</v>
      </c>
      <c r="CJ14" s="331" t="s">
        <v>984</v>
      </c>
      <c r="CK14" s="331" t="s">
        <v>190</v>
      </c>
      <c r="CL14" s="331" t="s">
        <v>190</v>
      </c>
      <c r="CM14" s="331" t="s">
        <v>190</v>
      </c>
      <c r="CN14" s="331" t="s">
        <v>190</v>
      </c>
      <c r="CO14" s="331" t="s">
        <v>190</v>
      </c>
      <c r="CP14" s="331" t="s">
        <v>190</v>
      </c>
      <c r="CQ14" s="331" t="s">
        <v>190</v>
      </c>
      <c r="CR14" s="331" t="s">
        <v>190</v>
      </c>
      <c r="CS14" s="331" t="s">
        <v>190</v>
      </c>
      <c r="CT14" s="331" t="s">
        <v>190</v>
      </c>
      <c r="CU14" s="331" t="s">
        <v>428</v>
      </c>
      <c r="CV14" s="331" t="s">
        <v>984</v>
      </c>
      <c r="CW14" s="331" t="s">
        <v>190</v>
      </c>
      <c r="CX14" s="331" t="s">
        <v>190</v>
      </c>
      <c r="CY14" s="331" t="s">
        <v>190</v>
      </c>
      <c r="CZ14" s="331" t="s">
        <v>190</v>
      </c>
      <c r="DA14" s="331" t="s">
        <v>190</v>
      </c>
      <c r="DB14" s="331" t="s">
        <v>190</v>
      </c>
      <c r="DC14" s="331" t="s">
        <v>190</v>
      </c>
      <c r="DD14" s="331" t="s">
        <v>190</v>
      </c>
      <c r="DE14" s="331" t="s">
        <v>190</v>
      </c>
      <c r="DF14" s="331" t="s">
        <v>190</v>
      </c>
      <c r="DG14" s="331" t="s">
        <v>190</v>
      </c>
      <c r="DH14" s="331" t="s">
        <v>190</v>
      </c>
      <c r="DI14" s="331" t="s">
        <v>190</v>
      </c>
      <c r="DJ14" s="331" t="s">
        <v>428</v>
      </c>
      <c r="DK14" s="331" t="s">
        <v>428</v>
      </c>
      <c r="DL14" s="331" t="s">
        <v>984</v>
      </c>
      <c r="DM14" s="331" t="s">
        <v>984</v>
      </c>
      <c r="DN14" s="331" t="s">
        <v>984</v>
      </c>
      <c r="DO14" s="331" t="s">
        <v>984</v>
      </c>
      <c r="DP14" s="331" t="s">
        <v>984</v>
      </c>
      <c r="DQ14" s="331" t="s">
        <v>984</v>
      </c>
      <c r="DR14" s="331" t="s">
        <v>984</v>
      </c>
      <c r="DS14" s="331" t="s">
        <v>984</v>
      </c>
      <c r="DT14" s="331" t="s">
        <v>984</v>
      </c>
      <c r="DU14" s="331" t="s">
        <v>984</v>
      </c>
      <c r="DV14" s="331" t="s">
        <v>984</v>
      </c>
      <c r="DW14" s="331" t="s">
        <v>984</v>
      </c>
      <c r="DX14" s="331" t="s">
        <v>984</v>
      </c>
      <c r="DY14" s="331" t="s">
        <v>984</v>
      </c>
      <c r="DZ14" s="331" t="s">
        <v>984</v>
      </c>
      <c r="EA14" s="331" t="s">
        <v>984</v>
      </c>
      <c r="EB14" s="331" t="s">
        <v>984</v>
      </c>
      <c r="EC14" s="331" t="s">
        <v>984</v>
      </c>
      <c r="ED14" s="331" t="s">
        <v>984</v>
      </c>
      <c r="EE14" s="331" t="s">
        <v>984</v>
      </c>
      <c r="EF14" s="331" t="s">
        <v>984</v>
      </c>
      <c r="EG14" s="331" t="s">
        <v>984</v>
      </c>
      <c r="EH14" s="331" t="s">
        <v>428</v>
      </c>
      <c r="EI14" s="331" t="s">
        <v>428</v>
      </c>
      <c r="EJ14" s="331" t="s">
        <v>428</v>
      </c>
      <c r="EK14" s="331" t="s">
        <v>428</v>
      </c>
      <c r="EL14" s="331" t="s">
        <v>428</v>
      </c>
      <c r="EM14" s="331" t="s">
        <v>428</v>
      </c>
      <c r="EN14" s="331" t="s">
        <v>428</v>
      </c>
      <c r="EO14" s="331" t="s">
        <v>984</v>
      </c>
      <c r="EP14" s="331" t="s">
        <v>428</v>
      </c>
      <c r="EQ14" s="331" t="s">
        <v>984</v>
      </c>
      <c r="ER14" s="331" t="s">
        <v>984</v>
      </c>
      <c r="ES14" s="331" t="s">
        <v>984</v>
      </c>
      <c r="ET14" s="331" t="s">
        <v>984</v>
      </c>
      <c r="EU14" s="331" t="s">
        <v>984</v>
      </c>
      <c r="EV14" s="331" t="s">
        <v>984</v>
      </c>
      <c r="EW14" s="331" t="s">
        <v>984</v>
      </c>
      <c r="EX14" s="331" t="s">
        <v>984</v>
      </c>
      <c r="EY14" s="331" t="s">
        <v>984</v>
      </c>
      <c r="EZ14" s="331" t="s">
        <v>984</v>
      </c>
      <c r="FA14" s="331" t="s">
        <v>984</v>
      </c>
      <c r="FB14" s="331" t="s">
        <v>984</v>
      </c>
      <c r="FC14" s="331" t="s">
        <v>984</v>
      </c>
      <c r="FD14" s="331" t="s">
        <v>984</v>
      </c>
      <c r="FE14" s="331" t="s">
        <v>984</v>
      </c>
      <c r="FF14" s="331" t="s">
        <v>984</v>
      </c>
      <c r="FG14" s="331" t="s">
        <v>984</v>
      </c>
      <c r="FH14" s="331" t="s">
        <v>984</v>
      </c>
      <c r="FI14" s="331" t="s">
        <v>984</v>
      </c>
      <c r="FJ14" s="331" t="s">
        <v>984</v>
      </c>
      <c r="FK14" s="331" t="s">
        <v>984</v>
      </c>
      <c r="FL14" s="331" t="s">
        <v>984</v>
      </c>
      <c r="FM14" s="331" t="s">
        <v>984</v>
      </c>
      <c r="FN14" s="331" t="s">
        <v>984</v>
      </c>
      <c r="FO14" s="331" t="s">
        <v>984</v>
      </c>
      <c r="FP14" s="331" t="s">
        <v>984</v>
      </c>
      <c r="FQ14" s="331" t="s">
        <v>984</v>
      </c>
      <c r="FR14" s="331" t="s">
        <v>428</v>
      </c>
      <c r="FS14" s="331" t="s">
        <v>190</v>
      </c>
      <c r="FT14" s="331" t="s">
        <v>984</v>
      </c>
      <c r="FU14" s="331" t="s">
        <v>984</v>
      </c>
      <c r="FV14" s="331" t="s">
        <v>984</v>
      </c>
      <c r="FW14" s="331" t="s">
        <v>190</v>
      </c>
      <c r="FX14" s="331" t="s">
        <v>984</v>
      </c>
      <c r="FY14" s="331" t="s">
        <v>984</v>
      </c>
      <c r="FZ14" s="331" t="s">
        <v>984</v>
      </c>
      <c r="GA14" s="331" t="s">
        <v>984</v>
      </c>
      <c r="GB14" s="331" t="s">
        <v>984</v>
      </c>
      <c r="GC14" s="331" t="s">
        <v>984</v>
      </c>
      <c r="GD14" s="331" t="s">
        <v>190</v>
      </c>
      <c r="GE14" s="331" t="s">
        <v>190</v>
      </c>
      <c r="GF14" s="331" t="s">
        <v>190</v>
      </c>
      <c r="GG14" s="331" t="s">
        <v>428</v>
      </c>
      <c r="GH14" s="331" t="s">
        <v>190</v>
      </c>
      <c r="GI14" s="331" t="s">
        <v>190</v>
      </c>
      <c r="GJ14" s="331" t="s">
        <v>428</v>
      </c>
      <c r="GK14" s="331" t="s">
        <v>190</v>
      </c>
      <c r="GL14" s="331" t="s">
        <v>190</v>
      </c>
      <c r="GM14" s="331" t="s">
        <v>190</v>
      </c>
      <c r="GN14" s="331" t="s">
        <v>190</v>
      </c>
      <c r="GO14" s="331" t="s">
        <v>190</v>
      </c>
      <c r="GP14" s="331" t="s">
        <v>190</v>
      </c>
      <c r="GQ14" s="331" t="s">
        <v>190</v>
      </c>
      <c r="GR14" s="331" t="s">
        <v>190</v>
      </c>
      <c r="GS14" s="331" t="s">
        <v>428</v>
      </c>
      <c r="GT14" s="331" t="s">
        <v>428</v>
      </c>
      <c r="GU14" s="331" t="s">
        <v>428</v>
      </c>
      <c r="GV14" s="331" t="s">
        <v>428</v>
      </c>
      <c r="GW14" s="331" t="s">
        <v>984</v>
      </c>
      <c r="GX14" s="331" t="s">
        <v>984</v>
      </c>
      <c r="GY14" s="331" t="s">
        <v>984</v>
      </c>
      <c r="GZ14" s="331" t="s">
        <v>984</v>
      </c>
      <c r="HA14" s="331" t="s">
        <v>984</v>
      </c>
      <c r="HB14" s="331" t="s">
        <v>984</v>
      </c>
      <c r="HC14" s="331" t="s">
        <v>984</v>
      </c>
      <c r="HD14" s="331" t="s">
        <v>984</v>
      </c>
      <c r="HE14" s="331" t="s">
        <v>984</v>
      </c>
      <c r="HF14" s="331" t="s">
        <v>984</v>
      </c>
      <c r="HG14" s="331" t="s">
        <v>984</v>
      </c>
      <c r="HH14" s="331" t="s">
        <v>984</v>
      </c>
      <c r="HI14" s="331" t="s">
        <v>984</v>
      </c>
      <c r="HJ14" s="331" t="s">
        <v>984</v>
      </c>
      <c r="HK14" s="331" t="s">
        <v>984</v>
      </c>
      <c r="HL14" s="331" t="s">
        <v>984</v>
      </c>
      <c r="HM14" s="331" t="s">
        <v>191</v>
      </c>
      <c r="HN14" s="331" t="s">
        <v>191</v>
      </c>
      <c r="HO14" s="331" t="s">
        <v>191</v>
      </c>
      <c r="HP14" s="331" t="s">
        <v>984</v>
      </c>
      <c r="HQ14" s="331" t="s">
        <v>170</v>
      </c>
      <c r="HR14" s="331" t="s">
        <v>429</v>
      </c>
      <c r="HS14" s="331" t="s">
        <v>169</v>
      </c>
      <c r="HT14" s="331" t="s">
        <v>427</v>
      </c>
      <c r="HU14" s="331" t="s">
        <v>428</v>
      </c>
      <c r="HV14" s="331" t="s">
        <v>428</v>
      </c>
    </row>
    <row r="15" spans="1:230" s="70" customFormat="1" x14ac:dyDescent="0.25">
      <c r="A15" s="330" t="str">
        <f>HYPERLINK("http://www.ofsted.gov.uk/inspection-reports/find-inspection-report/provider/ELS/132855 ","Ofsted School Webpage")</f>
        <v>Ofsted School Webpage</v>
      </c>
      <c r="B15" s="331">
        <v>132855</v>
      </c>
      <c r="C15" s="331">
        <v>9296046</v>
      </c>
      <c r="D15" s="331" t="s">
        <v>1746</v>
      </c>
      <c r="E15" s="331" t="s">
        <v>168</v>
      </c>
      <c r="F15" s="331" t="s">
        <v>458</v>
      </c>
      <c r="G15" s="331" t="s">
        <v>474</v>
      </c>
      <c r="H15" s="331" t="s">
        <v>510</v>
      </c>
      <c r="I15" s="331" t="s">
        <v>1747</v>
      </c>
      <c r="J15" s="331" t="s">
        <v>81</v>
      </c>
      <c r="K15" s="331" t="s">
        <v>81</v>
      </c>
      <c r="L15" s="331" t="s">
        <v>81</v>
      </c>
      <c r="M15" s="331" t="s">
        <v>78</v>
      </c>
      <c r="N15" s="331" t="s">
        <v>424</v>
      </c>
      <c r="O15" s="331">
        <v>10121028</v>
      </c>
      <c r="P15" s="332">
        <v>43718</v>
      </c>
      <c r="Q15" s="332">
        <v>43718</v>
      </c>
      <c r="R15" s="332">
        <v>43739</v>
      </c>
      <c r="S15" s="331" t="s">
        <v>981</v>
      </c>
      <c r="T15" s="331" t="s">
        <v>982</v>
      </c>
      <c r="U15" s="331" t="s">
        <v>427</v>
      </c>
      <c r="V15" s="331" t="s">
        <v>983</v>
      </c>
      <c r="W15" s="331" t="s">
        <v>984</v>
      </c>
      <c r="X15" s="331" t="s">
        <v>984</v>
      </c>
      <c r="Y15" s="331" t="s">
        <v>984</v>
      </c>
      <c r="Z15" s="331" t="s">
        <v>984</v>
      </c>
      <c r="AA15" s="331" t="s">
        <v>984</v>
      </c>
      <c r="AB15" s="331" t="s">
        <v>984</v>
      </c>
      <c r="AC15" s="331" t="s">
        <v>984</v>
      </c>
      <c r="AD15" s="331" t="s">
        <v>984</v>
      </c>
      <c r="AE15" s="331" t="s">
        <v>984</v>
      </c>
      <c r="AF15" s="331" t="s">
        <v>984</v>
      </c>
      <c r="AG15" s="331" t="s">
        <v>984</v>
      </c>
      <c r="AH15" s="331" t="s">
        <v>984</v>
      </c>
      <c r="AI15" s="331" t="s">
        <v>984</v>
      </c>
      <c r="AJ15" s="331" t="s">
        <v>984</v>
      </c>
      <c r="AK15" s="331" t="s">
        <v>984</v>
      </c>
      <c r="AL15" s="331" t="s">
        <v>984</v>
      </c>
      <c r="AM15" s="331" t="s">
        <v>984</v>
      </c>
      <c r="AN15" s="331" t="s">
        <v>984</v>
      </c>
      <c r="AO15" s="331" t="s">
        <v>984</v>
      </c>
      <c r="AP15" s="331" t="s">
        <v>984</v>
      </c>
      <c r="AQ15" s="331" t="s">
        <v>984</v>
      </c>
      <c r="AR15" s="331" t="s">
        <v>984</v>
      </c>
      <c r="AS15" s="331" t="s">
        <v>984</v>
      </c>
      <c r="AT15" s="331" t="s">
        <v>984</v>
      </c>
      <c r="AU15" s="331" t="s">
        <v>984</v>
      </c>
      <c r="AV15" s="331" t="s">
        <v>984</v>
      </c>
      <c r="AW15" s="331" t="s">
        <v>984</v>
      </c>
      <c r="AX15" s="331" t="s">
        <v>984</v>
      </c>
      <c r="AY15" s="331" t="s">
        <v>984</v>
      </c>
      <c r="AZ15" s="331" t="s">
        <v>984</v>
      </c>
      <c r="BA15" s="331" t="s">
        <v>984</v>
      </c>
      <c r="BB15" s="331" t="s">
        <v>984</v>
      </c>
      <c r="BC15" s="331" t="s">
        <v>984</v>
      </c>
      <c r="BD15" s="331" t="s">
        <v>984</v>
      </c>
      <c r="BE15" s="331" t="s">
        <v>984</v>
      </c>
      <c r="BF15" s="331" t="s">
        <v>984</v>
      </c>
      <c r="BG15" s="331" t="s">
        <v>984</v>
      </c>
      <c r="BH15" s="331" t="s">
        <v>984</v>
      </c>
      <c r="BI15" s="331" t="s">
        <v>984</v>
      </c>
      <c r="BJ15" s="331" t="s">
        <v>984</v>
      </c>
      <c r="BK15" s="331" t="s">
        <v>984</v>
      </c>
      <c r="BL15" s="331" t="s">
        <v>984</v>
      </c>
      <c r="BM15" s="331" t="s">
        <v>984</v>
      </c>
      <c r="BN15" s="331" t="s">
        <v>984</v>
      </c>
      <c r="BO15" s="331" t="s">
        <v>984</v>
      </c>
      <c r="BP15" s="331" t="s">
        <v>984</v>
      </c>
      <c r="BQ15" s="331" t="s">
        <v>984</v>
      </c>
      <c r="BR15" s="331" t="s">
        <v>190</v>
      </c>
      <c r="BS15" s="331" t="s">
        <v>190</v>
      </c>
      <c r="BT15" s="331" t="s">
        <v>190</v>
      </c>
      <c r="BU15" s="331" t="s">
        <v>984</v>
      </c>
      <c r="BV15" s="331" t="s">
        <v>984</v>
      </c>
      <c r="BW15" s="331" t="s">
        <v>984</v>
      </c>
      <c r="BX15" s="331" t="s">
        <v>984</v>
      </c>
      <c r="BY15" s="331" t="s">
        <v>984</v>
      </c>
      <c r="BZ15" s="331" t="s">
        <v>984</v>
      </c>
      <c r="CA15" s="331" t="s">
        <v>984</v>
      </c>
      <c r="CB15" s="331" t="s">
        <v>984</v>
      </c>
      <c r="CC15" s="331" t="s">
        <v>190</v>
      </c>
      <c r="CD15" s="331" t="s">
        <v>190</v>
      </c>
      <c r="CE15" s="331" t="s">
        <v>984</v>
      </c>
      <c r="CF15" s="331" t="s">
        <v>190</v>
      </c>
      <c r="CG15" s="331" t="s">
        <v>984</v>
      </c>
      <c r="CH15" s="331" t="s">
        <v>190</v>
      </c>
      <c r="CI15" s="331" t="s">
        <v>190</v>
      </c>
      <c r="CJ15" s="331" t="s">
        <v>190</v>
      </c>
      <c r="CK15" s="331" t="s">
        <v>190</v>
      </c>
      <c r="CL15" s="331" t="s">
        <v>190</v>
      </c>
      <c r="CM15" s="331" t="s">
        <v>190</v>
      </c>
      <c r="CN15" s="331" t="s">
        <v>190</v>
      </c>
      <c r="CO15" s="331" t="s">
        <v>173</v>
      </c>
      <c r="CP15" s="331" t="s">
        <v>190</v>
      </c>
      <c r="CQ15" s="331" t="s">
        <v>190</v>
      </c>
      <c r="CR15" s="331" t="s">
        <v>190</v>
      </c>
      <c r="CS15" s="331" t="s">
        <v>190</v>
      </c>
      <c r="CT15" s="331" t="s">
        <v>190</v>
      </c>
      <c r="CU15" s="331" t="s">
        <v>190</v>
      </c>
      <c r="CV15" s="331" t="s">
        <v>190</v>
      </c>
      <c r="CW15" s="331" t="s">
        <v>190</v>
      </c>
      <c r="CX15" s="331" t="s">
        <v>190</v>
      </c>
      <c r="CY15" s="331" t="s">
        <v>190</v>
      </c>
      <c r="CZ15" s="331" t="s">
        <v>190</v>
      </c>
      <c r="DA15" s="331" t="s">
        <v>190</v>
      </c>
      <c r="DB15" s="331" t="s">
        <v>190</v>
      </c>
      <c r="DC15" s="331" t="s">
        <v>190</v>
      </c>
      <c r="DD15" s="331" t="s">
        <v>190</v>
      </c>
      <c r="DE15" s="331" t="s">
        <v>190</v>
      </c>
      <c r="DF15" s="331" t="s">
        <v>190</v>
      </c>
      <c r="DG15" s="331" t="s">
        <v>190</v>
      </c>
      <c r="DH15" s="331" t="s">
        <v>190</v>
      </c>
      <c r="DI15" s="331" t="s">
        <v>190</v>
      </c>
      <c r="DJ15" s="331" t="s">
        <v>190</v>
      </c>
      <c r="DK15" s="331" t="s">
        <v>190</v>
      </c>
      <c r="DL15" s="331" t="s">
        <v>190</v>
      </c>
      <c r="DM15" s="331" t="s">
        <v>190</v>
      </c>
      <c r="DN15" s="331" t="s">
        <v>190</v>
      </c>
      <c r="DO15" s="331" t="s">
        <v>190</v>
      </c>
      <c r="DP15" s="331" t="s">
        <v>190</v>
      </c>
      <c r="DQ15" s="331" t="s">
        <v>190</v>
      </c>
      <c r="DR15" s="331" t="s">
        <v>190</v>
      </c>
      <c r="DS15" s="331" t="s">
        <v>190</v>
      </c>
      <c r="DT15" s="331" t="s">
        <v>190</v>
      </c>
      <c r="DU15" s="331" t="s">
        <v>190</v>
      </c>
      <c r="DV15" s="331" t="s">
        <v>190</v>
      </c>
      <c r="DW15" s="331" t="s">
        <v>190</v>
      </c>
      <c r="DX15" s="331" t="s">
        <v>190</v>
      </c>
      <c r="DY15" s="331" t="s">
        <v>190</v>
      </c>
      <c r="DZ15" s="331" t="s">
        <v>190</v>
      </c>
      <c r="EA15" s="331" t="s">
        <v>190</v>
      </c>
      <c r="EB15" s="331" t="s">
        <v>190</v>
      </c>
      <c r="EC15" s="331" t="s">
        <v>190</v>
      </c>
      <c r="ED15" s="331" t="s">
        <v>190</v>
      </c>
      <c r="EE15" s="331" t="s">
        <v>190</v>
      </c>
      <c r="EF15" s="331" t="s">
        <v>190</v>
      </c>
      <c r="EG15" s="331" t="s">
        <v>190</v>
      </c>
      <c r="EH15" s="331" t="s">
        <v>190</v>
      </c>
      <c r="EI15" s="331" t="s">
        <v>190</v>
      </c>
      <c r="EJ15" s="331" t="s">
        <v>190</v>
      </c>
      <c r="EK15" s="331" t="s">
        <v>190</v>
      </c>
      <c r="EL15" s="331" t="s">
        <v>190</v>
      </c>
      <c r="EM15" s="331" t="s">
        <v>190</v>
      </c>
      <c r="EN15" s="331" t="s">
        <v>190</v>
      </c>
      <c r="EO15" s="331" t="s">
        <v>190</v>
      </c>
      <c r="EP15" s="331" t="s">
        <v>190</v>
      </c>
      <c r="EQ15" s="331" t="s">
        <v>190</v>
      </c>
      <c r="ER15" s="331" t="s">
        <v>190</v>
      </c>
      <c r="ES15" s="331" t="s">
        <v>190</v>
      </c>
      <c r="ET15" s="331" t="s">
        <v>190</v>
      </c>
      <c r="EU15" s="331" t="s">
        <v>190</v>
      </c>
      <c r="EV15" s="331" t="s">
        <v>190</v>
      </c>
      <c r="EW15" s="331" t="s">
        <v>190</v>
      </c>
      <c r="EX15" s="331" t="s">
        <v>190</v>
      </c>
      <c r="EY15" s="331" t="s">
        <v>190</v>
      </c>
      <c r="EZ15" s="331" t="s">
        <v>190</v>
      </c>
      <c r="FA15" s="331" t="s">
        <v>190</v>
      </c>
      <c r="FB15" s="331" t="s">
        <v>190</v>
      </c>
      <c r="FC15" s="331" t="s">
        <v>190</v>
      </c>
      <c r="FD15" s="331" t="s">
        <v>190</v>
      </c>
      <c r="FE15" s="331" t="s">
        <v>190</v>
      </c>
      <c r="FF15" s="331" t="s">
        <v>190</v>
      </c>
      <c r="FG15" s="331" t="s">
        <v>190</v>
      </c>
      <c r="FH15" s="331" t="s">
        <v>190</v>
      </c>
      <c r="FI15" s="331" t="s">
        <v>190</v>
      </c>
      <c r="FJ15" s="331" t="s">
        <v>190</v>
      </c>
      <c r="FK15" s="331" t="s">
        <v>190</v>
      </c>
      <c r="FL15" s="331" t="s">
        <v>190</v>
      </c>
      <c r="FM15" s="331" t="s">
        <v>190</v>
      </c>
      <c r="FN15" s="331" t="s">
        <v>190</v>
      </c>
      <c r="FO15" s="331" t="s">
        <v>190</v>
      </c>
      <c r="FP15" s="331" t="s">
        <v>190</v>
      </c>
      <c r="FQ15" s="331" t="s">
        <v>190</v>
      </c>
      <c r="FR15" s="331" t="s">
        <v>190</v>
      </c>
      <c r="FS15" s="331" t="s">
        <v>984</v>
      </c>
      <c r="FT15" s="331" t="s">
        <v>984</v>
      </c>
      <c r="FU15" s="331" t="s">
        <v>984</v>
      </c>
      <c r="FV15" s="331" t="s">
        <v>984</v>
      </c>
      <c r="FW15" s="331" t="s">
        <v>984</v>
      </c>
      <c r="FX15" s="331" t="s">
        <v>984</v>
      </c>
      <c r="FY15" s="331" t="s">
        <v>984</v>
      </c>
      <c r="FZ15" s="331" t="s">
        <v>984</v>
      </c>
      <c r="GA15" s="331" t="s">
        <v>984</v>
      </c>
      <c r="GB15" s="331" t="s">
        <v>984</v>
      </c>
      <c r="GC15" s="331" t="s">
        <v>984</v>
      </c>
      <c r="GD15" s="331" t="s">
        <v>984</v>
      </c>
      <c r="GE15" s="331" t="s">
        <v>984</v>
      </c>
      <c r="GF15" s="331" t="s">
        <v>984</v>
      </c>
      <c r="GG15" s="331" t="s">
        <v>984</v>
      </c>
      <c r="GH15" s="331" t="s">
        <v>984</v>
      </c>
      <c r="GI15" s="331" t="s">
        <v>984</v>
      </c>
      <c r="GJ15" s="331" t="s">
        <v>984</v>
      </c>
      <c r="GK15" s="331" t="s">
        <v>984</v>
      </c>
      <c r="GL15" s="331" t="s">
        <v>984</v>
      </c>
      <c r="GM15" s="331" t="s">
        <v>984</v>
      </c>
      <c r="GN15" s="331" t="s">
        <v>984</v>
      </c>
      <c r="GO15" s="331" t="s">
        <v>984</v>
      </c>
      <c r="GP15" s="331" t="s">
        <v>984</v>
      </c>
      <c r="GQ15" s="331" t="s">
        <v>984</v>
      </c>
      <c r="GR15" s="331" t="s">
        <v>984</v>
      </c>
      <c r="GS15" s="331" t="s">
        <v>984</v>
      </c>
      <c r="GT15" s="331" t="s">
        <v>984</v>
      </c>
      <c r="GU15" s="331" t="s">
        <v>984</v>
      </c>
      <c r="GV15" s="331" t="s">
        <v>984</v>
      </c>
      <c r="GW15" s="331" t="s">
        <v>190</v>
      </c>
      <c r="GX15" s="331" t="s">
        <v>190</v>
      </c>
      <c r="GY15" s="331" t="s">
        <v>190</v>
      </c>
      <c r="GZ15" s="331" t="s">
        <v>190</v>
      </c>
      <c r="HA15" s="331" t="s">
        <v>190</v>
      </c>
      <c r="HB15" s="331" t="s">
        <v>190</v>
      </c>
      <c r="HC15" s="331" t="s">
        <v>190</v>
      </c>
      <c r="HD15" s="331" t="s">
        <v>190</v>
      </c>
      <c r="HE15" s="331" t="s">
        <v>190</v>
      </c>
      <c r="HF15" s="331" t="s">
        <v>190</v>
      </c>
      <c r="HG15" s="331" t="s">
        <v>190</v>
      </c>
      <c r="HH15" s="331" t="s">
        <v>190</v>
      </c>
      <c r="HI15" s="331" t="s">
        <v>190</v>
      </c>
      <c r="HJ15" s="331" t="s">
        <v>190</v>
      </c>
      <c r="HK15" s="331" t="s">
        <v>190</v>
      </c>
      <c r="HL15" s="331" t="s">
        <v>190</v>
      </c>
      <c r="HM15" s="331" t="s">
        <v>190</v>
      </c>
      <c r="HN15" s="331" t="s">
        <v>190</v>
      </c>
      <c r="HO15" s="331" t="s">
        <v>190</v>
      </c>
      <c r="HP15" s="331" t="s">
        <v>190</v>
      </c>
      <c r="HQ15" s="331" t="s">
        <v>170</v>
      </c>
      <c r="HR15" s="331" t="s">
        <v>429</v>
      </c>
      <c r="HS15" s="331" t="s">
        <v>169</v>
      </c>
      <c r="HT15" s="331" t="s">
        <v>427</v>
      </c>
      <c r="HU15" s="331" t="s">
        <v>190</v>
      </c>
      <c r="HV15" s="331" t="s">
        <v>984</v>
      </c>
    </row>
    <row r="16" spans="1:230" s="70" customFormat="1" x14ac:dyDescent="0.25">
      <c r="A16" s="330" t="str">
        <f>HYPERLINK("http://www.ofsted.gov.uk/inspection-reports/find-inspection-report/provider/ELS/134585 ","Ofsted School Webpage")</f>
        <v>Ofsted School Webpage</v>
      </c>
      <c r="B16" s="331">
        <v>134585</v>
      </c>
      <c r="C16" s="331">
        <v>3066096</v>
      </c>
      <c r="D16" s="331" t="s">
        <v>2702</v>
      </c>
      <c r="E16" s="331" t="s">
        <v>167</v>
      </c>
      <c r="F16" s="331" t="s">
        <v>441</v>
      </c>
      <c r="G16" s="331" t="s">
        <v>441</v>
      </c>
      <c r="H16" s="331" t="s">
        <v>734</v>
      </c>
      <c r="I16" s="331" t="s">
        <v>868</v>
      </c>
      <c r="J16" s="331" t="s">
        <v>81</v>
      </c>
      <c r="K16" s="331" t="s">
        <v>72</v>
      </c>
      <c r="L16" s="331" t="s">
        <v>72</v>
      </c>
      <c r="M16" s="331" t="s">
        <v>72</v>
      </c>
      <c r="N16" s="331" t="s">
        <v>424</v>
      </c>
      <c r="O16" s="331">
        <v>10120964</v>
      </c>
      <c r="P16" s="332">
        <v>43719</v>
      </c>
      <c r="Q16" s="332">
        <v>43719</v>
      </c>
      <c r="R16" s="332">
        <v>43748</v>
      </c>
      <c r="S16" s="331" t="s">
        <v>985</v>
      </c>
      <c r="T16" s="331" t="s">
        <v>982</v>
      </c>
      <c r="U16" s="331" t="s">
        <v>427</v>
      </c>
      <c r="V16" s="331" t="s">
        <v>165</v>
      </c>
      <c r="W16" s="331" t="s">
        <v>984</v>
      </c>
      <c r="X16" s="331" t="s">
        <v>984</v>
      </c>
      <c r="Y16" s="331" t="s">
        <v>984</v>
      </c>
      <c r="Z16" s="331" t="s">
        <v>984</v>
      </c>
      <c r="AA16" s="331" t="s">
        <v>984</v>
      </c>
      <c r="AB16" s="331" t="s">
        <v>984</v>
      </c>
      <c r="AC16" s="331" t="s">
        <v>984</v>
      </c>
      <c r="AD16" s="331" t="s">
        <v>984</v>
      </c>
      <c r="AE16" s="331" t="s">
        <v>428</v>
      </c>
      <c r="AF16" s="331" t="s">
        <v>984</v>
      </c>
      <c r="AG16" s="331" t="s">
        <v>984</v>
      </c>
      <c r="AH16" s="331" t="s">
        <v>984</v>
      </c>
      <c r="AI16" s="331" t="s">
        <v>984</v>
      </c>
      <c r="AJ16" s="331" t="s">
        <v>984</v>
      </c>
      <c r="AK16" s="331" t="s">
        <v>984</v>
      </c>
      <c r="AL16" s="331" t="s">
        <v>984</v>
      </c>
      <c r="AM16" s="331" t="s">
        <v>984</v>
      </c>
      <c r="AN16" s="331" t="s">
        <v>428</v>
      </c>
      <c r="AO16" s="331" t="s">
        <v>984</v>
      </c>
      <c r="AP16" s="331" t="s">
        <v>984</v>
      </c>
      <c r="AQ16" s="331" t="s">
        <v>984</v>
      </c>
      <c r="AR16" s="331" t="s">
        <v>984</v>
      </c>
      <c r="AS16" s="331" t="s">
        <v>984</v>
      </c>
      <c r="AT16" s="331" t="s">
        <v>984</v>
      </c>
      <c r="AU16" s="331" t="s">
        <v>984</v>
      </c>
      <c r="AV16" s="331" t="s">
        <v>984</v>
      </c>
      <c r="AW16" s="331" t="s">
        <v>984</v>
      </c>
      <c r="AX16" s="331" t="s">
        <v>984</v>
      </c>
      <c r="AY16" s="331" t="s">
        <v>984</v>
      </c>
      <c r="AZ16" s="331" t="s">
        <v>984</v>
      </c>
      <c r="BA16" s="331" t="s">
        <v>190</v>
      </c>
      <c r="BB16" s="331" t="s">
        <v>984</v>
      </c>
      <c r="BC16" s="331" t="s">
        <v>984</v>
      </c>
      <c r="BD16" s="331" t="s">
        <v>984</v>
      </c>
      <c r="BE16" s="331" t="s">
        <v>984</v>
      </c>
      <c r="BF16" s="331" t="s">
        <v>984</v>
      </c>
      <c r="BG16" s="331" t="s">
        <v>984</v>
      </c>
      <c r="BH16" s="331" t="s">
        <v>984</v>
      </c>
      <c r="BI16" s="331" t="s">
        <v>984</v>
      </c>
      <c r="BJ16" s="331" t="s">
        <v>984</v>
      </c>
      <c r="BK16" s="331" t="s">
        <v>984</v>
      </c>
      <c r="BL16" s="331" t="s">
        <v>984</v>
      </c>
      <c r="BM16" s="331" t="s">
        <v>984</v>
      </c>
      <c r="BN16" s="331" t="s">
        <v>984</v>
      </c>
      <c r="BO16" s="331" t="s">
        <v>984</v>
      </c>
      <c r="BP16" s="331" t="s">
        <v>984</v>
      </c>
      <c r="BQ16" s="331" t="s">
        <v>984</v>
      </c>
      <c r="BR16" s="331" t="s">
        <v>190</v>
      </c>
      <c r="BS16" s="331" t="s">
        <v>190</v>
      </c>
      <c r="BT16" s="331" t="s">
        <v>190</v>
      </c>
      <c r="BU16" s="331" t="s">
        <v>428</v>
      </c>
      <c r="BV16" s="331" t="s">
        <v>428</v>
      </c>
      <c r="BW16" s="331" t="s">
        <v>428</v>
      </c>
      <c r="BX16" s="331" t="s">
        <v>984</v>
      </c>
      <c r="BY16" s="331" t="s">
        <v>984</v>
      </c>
      <c r="BZ16" s="331" t="s">
        <v>984</v>
      </c>
      <c r="CA16" s="331" t="s">
        <v>984</v>
      </c>
      <c r="CB16" s="331" t="s">
        <v>984</v>
      </c>
      <c r="CC16" s="331" t="s">
        <v>984</v>
      </c>
      <c r="CD16" s="331" t="s">
        <v>984</v>
      </c>
      <c r="CE16" s="331" t="s">
        <v>984</v>
      </c>
      <c r="CF16" s="331" t="s">
        <v>984</v>
      </c>
      <c r="CG16" s="331" t="s">
        <v>984</v>
      </c>
      <c r="CH16" s="331" t="s">
        <v>984</v>
      </c>
      <c r="CI16" s="331" t="s">
        <v>984</v>
      </c>
      <c r="CJ16" s="331" t="s">
        <v>984</v>
      </c>
      <c r="CK16" s="331" t="s">
        <v>984</v>
      </c>
      <c r="CL16" s="331" t="s">
        <v>984</v>
      </c>
      <c r="CM16" s="331" t="s">
        <v>984</v>
      </c>
      <c r="CN16" s="331" t="s">
        <v>984</v>
      </c>
      <c r="CO16" s="331" t="s">
        <v>984</v>
      </c>
      <c r="CP16" s="331" t="s">
        <v>984</v>
      </c>
      <c r="CQ16" s="331" t="s">
        <v>984</v>
      </c>
      <c r="CR16" s="331" t="s">
        <v>984</v>
      </c>
      <c r="CS16" s="331" t="s">
        <v>984</v>
      </c>
      <c r="CT16" s="331" t="s">
        <v>984</v>
      </c>
      <c r="CU16" s="331" t="s">
        <v>428</v>
      </c>
      <c r="CV16" s="331" t="s">
        <v>984</v>
      </c>
      <c r="CW16" s="331" t="s">
        <v>190</v>
      </c>
      <c r="CX16" s="331" t="s">
        <v>984</v>
      </c>
      <c r="CY16" s="331" t="s">
        <v>984</v>
      </c>
      <c r="CZ16" s="331" t="s">
        <v>984</v>
      </c>
      <c r="DA16" s="331" t="s">
        <v>984</v>
      </c>
      <c r="DB16" s="331" t="s">
        <v>190</v>
      </c>
      <c r="DC16" s="331" t="s">
        <v>984</v>
      </c>
      <c r="DD16" s="331" t="s">
        <v>984</v>
      </c>
      <c r="DE16" s="331" t="s">
        <v>984</v>
      </c>
      <c r="DF16" s="331" t="s">
        <v>190</v>
      </c>
      <c r="DG16" s="331" t="s">
        <v>984</v>
      </c>
      <c r="DH16" s="331" t="s">
        <v>984</v>
      </c>
      <c r="DI16" s="331" t="s">
        <v>984</v>
      </c>
      <c r="DJ16" s="331" t="s">
        <v>428</v>
      </c>
      <c r="DK16" s="331" t="s">
        <v>984</v>
      </c>
      <c r="DL16" s="331" t="s">
        <v>984</v>
      </c>
      <c r="DM16" s="331" t="s">
        <v>984</v>
      </c>
      <c r="DN16" s="331" t="s">
        <v>984</v>
      </c>
      <c r="DO16" s="331" t="s">
        <v>984</v>
      </c>
      <c r="DP16" s="331" t="s">
        <v>984</v>
      </c>
      <c r="DQ16" s="331" t="s">
        <v>984</v>
      </c>
      <c r="DR16" s="331" t="s">
        <v>984</v>
      </c>
      <c r="DS16" s="331" t="s">
        <v>984</v>
      </c>
      <c r="DT16" s="331" t="s">
        <v>984</v>
      </c>
      <c r="DU16" s="331" t="s">
        <v>984</v>
      </c>
      <c r="DV16" s="331" t="s">
        <v>984</v>
      </c>
      <c r="DW16" s="331" t="s">
        <v>984</v>
      </c>
      <c r="DX16" s="331" t="s">
        <v>984</v>
      </c>
      <c r="DY16" s="331" t="s">
        <v>190</v>
      </c>
      <c r="DZ16" s="331" t="s">
        <v>984</v>
      </c>
      <c r="EA16" s="331" t="s">
        <v>984</v>
      </c>
      <c r="EB16" s="331" t="s">
        <v>984</v>
      </c>
      <c r="EC16" s="331" t="s">
        <v>984</v>
      </c>
      <c r="ED16" s="331" t="s">
        <v>984</v>
      </c>
      <c r="EE16" s="331" t="s">
        <v>984</v>
      </c>
      <c r="EF16" s="331" t="s">
        <v>984</v>
      </c>
      <c r="EG16" s="331" t="s">
        <v>984</v>
      </c>
      <c r="EH16" s="331" t="s">
        <v>984</v>
      </c>
      <c r="EI16" s="331" t="s">
        <v>190</v>
      </c>
      <c r="EJ16" s="331" t="s">
        <v>190</v>
      </c>
      <c r="EK16" s="331" t="s">
        <v>190</v>
      </c>
      <c r="EL16" s="331" t="s">
        <v>984</v>
      </c>
      <c r="EM16" s="331" t="s">
        <v>428</v>
      </c>
      <c r="EN16" s="331" t="s">
        <v>984</v>
      </c>
      <c r="EO16" s="331" t="s">
        <v>984</v>
      </c>
      <c r="EP16" s="331" t="s">
        <v>984</v>
      </c>
      <c r="EQ16" s="331" t="s">
        <v>984</v>
      </c>
      <c r="ER16" s="331" t="s">
        <v>984</v>
      </c>
      <c r="ES16" s="331" t="s">
        <v>984</v>
      </c>
      <c r="ET16" s="331" t="s">
        <v>984</v>
      </c>
      <c r="EU16" s="331" t="s">
        <v>984</v>
      </c>
      <c r="EV16" s="331" t="s">
        <v>984</v>
      </c>
      <c r="EW16" s="331" t="s">
        <v>984</v>
      </c>
      <c r="EX16" s="331" t="s">
        <v>984</v>
      </c>
      <c r="EY16" s="331" t="s">
        <v>984</v>
      </c>
      <c r="EZ16" s="331" t="s">
        <v>984</v>
      </c>
      <c r="FA16" s="331" t="s">
        <v>984</v>
      </c>
      <c r="FB16" s="331" t="s">
        <v>984</v>
      </c>
      <c r="FC16" s="331" t="s">
        <v>984</v>
      </c>
      <c r="FD16" s="331" t="s">
        <v>984</v>
      </c>
      <c r="FE16" s="331" t="s">
        <v>984</v>
      </c>
      <c r="FF16" s="331" t="s">
        <v>984</v>
      </c>
      <c r="FG16" s="331" t="s">
        <v>984</v>
      </c>
      <c r="FH16" s="331" t="s">
        <v>984</v>
      </c>
      <c r="FI16" s="331" t="s">
        <v>984</v>
      </c>
      <c r="FJ16" s="331" t="s">
        <v>984</v>
      </c>
      <c r="FK16" s="331" t="s">
        <v>984</v>
      </c>
      <c r="FL16" s="331" t="s">
        <v>984</v>
      </c>
      <c r="FM16" s="331" t="s">
        <v>984</v>
      </c>
      <c r="FN16" s="331" t="s">
        <v>984</v>
      </c>
      <c r="FO16" s="331" t="s">
        <v>984</v>
      </c>
      <c r="FP16" s="331" t="s">
        <v>984</v>
      </c>
      <c r="FQ16" s="331" t="s">
        <v>984</v>
      </c>
      <c r="FR16" s="331" t="s">
        <v>428</v>
      </c>
      <c r="FS16" s="331" t="s">
        <v>984</v>
      </c>
      <c r="FT16" s="331" t="s">
        <v>984</v>
      </c>
      <c r="FU16" s="331" t="s">
        <v>984</v>
      </c>
      <c r="FV16" s="331" t="s">
        <v>984</v>
      </c>
      <c r="FW16" s="331" t="s">
        <v>984</v>
      </c>
      <c r="FX16" s="331" t="s">
        <v>984</v>
      </c>
      <c r="FY16" s="331" t="s">
        <v>984</v>
      </c>
      <c r="FZ16" s="331" t="s">
        <v>984</v>
      </c>
      <c r="GA16" s="331" t="s">
        <v>984</v>
      </c>
      <c r="GB16" s="331" t="s">
        <v>984</v>
      </c>
      <c r="GC16" s="331" t="s">
        <v>984</v>
      </c>
      <c r="GD16" s="331" t="s">
        <v>984</v>
      </c>
      <c r="GE16" s="331" t="s">
        <v>984</v>
      </c>
      <c r="GF16" s="331" t="s">
        <v>984</v>
      </c>
      <c r="GG16" s="331" t="s">
        <v>984</v>
      </c>
      <c r="GH16" s="331" t="s">
        <v>428</v>
      </c>
      <c r="GI16" s="331" t="s">
        <v>428</v>
      </c>
      <c r="GJ16" s="331" t="s">
        <v>984</v>
      </c>
      <c r="GK16" s="331" t="s">
        <v>984</v>
      </c>
      <c r="GL16" s="331" t="s">
        <v>984</v>
      </c>
      <c r="GM16" s="331" t="s">
        <v>984</v>
      </c>
      <c r="GN16" s="331" t="s">
        <v>984</v>
      </c>
      <c r="GO16" s="331" t="s">
        <v>984</v>
      </c>
      <c r="GP16" s="331" t="s">
        <v>984</v>
      </c>
      <c r="GQ16" s="331" t="s">
        <v>984</v>
      </c>
      <c r="GR16" s="331" t="s">
        <v>984</v>
      </c>
      <c r="GS16" s="331" t="s">
        <v>984</v>
      </c>
      <c r="GT16" s="331" t="s">
        <v>984</v>
      </c>
      <c r="GU16" s="331" t="s">
        <v>984</v>
      </c>
      <c r="GV16" s="331" t="s">
        <v>984</v>
      </c>
      <c r="GW16" s="331" t="s">
        <v>984</v>
      </c>
      <c r="GX16" s="331" t="s">
        <v>984</v>
      </c>
      <c r="GY16" s="331" t="s">
        <v>984</v>
      </c>
      <c r="GZ16" s="331" t="s">
        <v>984</v>
      </c>
      <c r="HA16" s="331" t="s">
        <v>984</v>
      </c>
      <c r="HB16" s="331" t="s">
        <v>984</v>
      </c>
      <c r="HC16" s="331" t="s">
        <v>984</v>
      </c>
      <c r="HD16" s="331" t="s">
        <v>984</v>
      </c>
      <c r="HE16" s="331" t="s">
        <v>984</v>
      </c>
      <c r="HF16" s="331" t="s">
        <v>984</v>
      </c>
      <c r="HG16" s="331" t="s">
        <v>984</v>
      </c>
      <c r="HH16" s="331" t="s">
        <v>984</v>
      </c>
      <c r="HI16" s="331" t="s">
        <v>190</v>
      </c>
      <c r="HJ16" s="331" t="s">
        <v>984</v>
      </c>
      <c r="HK16" s="331" t="s">
        <v>984</v>
      </c>
      <c r="HL16" s="331" t="s">
        <v>984</v>
      </c>
      <c r="HM16" s="331" t="s">
        <v>190</v>
      </c>
      <c r="HN16" s="331" t="s">
        <v>190</v>
      </c>
      <c r="HO16" s="331" t="s">
        <v>190</v>
      </c>
      <c r="HP16" s="331" t="s">
        <v>190</v>
      </c>
      <c r="HQ16" s="331" t="s">
        <v>529</v>
      </c>
      <c r="HR16" s="331" t="s">
        <v>529</v>
      </c>
      <c r="HS16" s="331" t="s">
        <v>529</v>
      </c>
      <c r="HT16" s="331" t="s">
        <v>427</v>
      </c>
      <c r="HU16" s="331" t="s">
        <v>428</v>
      </c>
      <c r="HV16" s="331" t="s">
        <v>428</v>
      </c>
    </row>
    <row r="17" spans="1:230" s="70" customFormat="1" x14ac:dyDescent="0.25">
      <c r="A17" s="330" t="str">
        <f>HYPERLINK("http://www.ofsted.gov.uk/inspection-reports/find-inspection-report/provider/ELS/131342 ","Ofsted School Webpage")</f>
        <v>Ofsted School Webpage</v>
      </c>
      <c r="B17" s="331">
        <v>131342</v>
      </c>
      <c r="C17" s="331">
        <v>2046400</v>
      </c>
      <c r="D17" s="331" t="s">
        <v>1643</v>
      </c>
      <c r="E17" s="331" t="s">
        <v>167</v>
      </c>
      <c r="F17" s="331" t="s">
        <v>441</v>
      </c>
      <c r="G17" s="331" t="s">
        <v>441</v>
      </c>
      <c r="H17" s="331" t="s">
        <v>547</v>
      </c>
      <c r="I17" s="331" t="s">
        <v>1644</v>
      </c>
      <c r="J17" s="331" t="s">
        <v>81</v>
      </c>
      <c r="K17" s="331" t="s">
        <v>69</v>
      </c>
      <c r="L17" s="331" t="s">
        <v>69</v>
      </c>
      <c r="M17" s="331" t="s">
        <v>69</v>
      </c>
      <c r="N17" s="331" t="s">
        <v>424</v>
      </c>
      <c r="O17" s="331">
        <v>10115608</v>
      </c>
      <c r="P17" s="332">
        <v>43719</v>
      </c>
      <c r="Q17" s="332">
        <v>43719</v>
      </c>
      <c r="R17" s="332">
        <v>43772</v>
      </c>
      <c r="S17" s="331" t="s">
        <v>985</v>
      </c>
      <c r="T17" s="331" t="s">
        <v>982</v>
      </c>
      <c r="U17" s="331" t="s">
        <v>427</v>
      </c>
      <c r="V17" s="331" t="s">
        <v>165</v>
      </c>
      <c r="W17" s="331" t="s">
        <v>190</v>
      </c>
      <c r="X17" s="331" t="s">
        <v>190</v>
      </c>
      <c r="Y17" s="331" t="s">
        <v>190</v>
      </c>
      <c r="Z17" s="331" t="s">
        <v>984</v>
      </c>
      <c r="AA17" s="331" t="s">
        <v>190</v>
      </c>
      <c r="AB17" s="331" t="s">
        <v>190</v>
      </c>
      <c r="AC17" s="331" t="s">
        <v>984</v>
      </c>
      <c r="AD17" s="331" t="s">
        <v>984</v>
      </c>
      <c r="AE17" s="331" t="s">
        <v>984</v>
      </c>
      <c r="AF17" s="331" t="s">
        <v>190</v>
      </c>
      <c r="AG17" s="331" t="s">
        <v>984</v>
      </c>
      <c r="AH17" s="331" t="s">
        <v>190</v>
      </c>
      <c r="AI17" s="331" t="s">
        <v>984</v>
      </c>
      <c r="AJ17" s="331" t="s">
        <v>984</v>
      </c>
      <c r="AK17" s="331" t="s">
        <v>984</v>
      </c>
      <c r="AL17" s="331" t="s">
        <v>984</v>
      </c>
      <c r="AM17" s="331" t="s">
        <v>984</v>
      </c>
      <c r="AN17" s="331" t="s">
        <v>984</v>
      </c>
      <c r="AO17" s="331" t="s">
        <v>984</v>
      </c>
      <c r="AP17" s="331" t="s">
        <v>984</v>
      </c>
      <c r="AQ17" s="331" t="s">
        <v>190</v>
      </c>
      <c r="AR17" s="331" t="s">
        <v>190</v>
      </c>
      <c r="AS17" s="331" t="s">
        <v>984</v>
      </c>
      <c r="AT17" s="331" t="s">
        <v>984</v>
      </c>
      <c r="AU17" s="331" t="s">
        <v>984</v>
      </c>
      <c r="AV17" s="331" t="s">
        <v>984</v>
      </c>
      <c r="AW17" s="331" t="s">
        <v>984</v>
      </c>
      <c r="AX17" s="331" t="s">
        <v>984</v>
      </c>
      <c r="AY17" s="331" t="s">
        <v>984</v>
      </c>
      <c r="AZ17" s="331" t="s">
        <v>984</v>
      </c>
      <c r="BA17" s="331" t="s">
        <v>984</v>
      </c>
      <c r="BB17" s="331" t="s">
        <v>984</v>
      </c>
      <c r="BC17" s="331" t="s">
        <v>190</v>
      </c>
      <c r="BD17" s="331" t="s">
        <v>984</v>
      </c>
      <c r="BE17" s="331" t="s">
        <v>190</v>
      </c>
      <c r="BF17" s="331" t="s">
        <v>984</v>
      </c>
      <c r="BG17" s="331" t="s">
        <v>984</v>
      </c>
      <c r="BH17" s="331" t="s">
        <v>984</v>
      </c>
      <c r="BI17" s="331" t="s">
        <v>984</v>
      </c>
      <c r="BJ17" s="331" t="s">
        <v>984</v>
      </c>
      <c r="BK17" s="331" t="s">
        <v>190</v>
      </c>
      <c r="BL17" s="331" t="s">
        <v>984</v>
      </c>
      <c r="BM17" s="331" t="s">
        <v>984</v>
      </c>
      <c r="BN17" s="331" t="s">
        <v>984</v>
      </c>
      <c r="BO17" s="331" t="s">
        <v>984</v>
      </c>
      <c r="BP17" s="331" t="s">
        <v>984</v>
      </c>
      <c r="BQ17" s="331" t="s">
        <v>984</v>
      </c>
      <c r="BR17" s="331" t="s">
        <v>190</v>
      </c>
      <c r="BS17" s="331" t="s">
        <v>190</v>
      </c>
      <c r="BT17" s="331" t="s">
        <v>190</v>
      </c>
      <c r="BU17" s="331" t="s">
        <v>984</v>
      </c>
      <c r="BV17" s="331" t="s">
        <v>984</v>
      </c>
      <c r="BW17" s="331" t="s">
        <v>984</v>
      </c>
      <c r="BX17" s="331" t="s">
        <v>984</v>
      </c>
      <c r="BY17" s="331" t="s">
        <v>984</v>
      </c>
      <c r="BZ17" s="331" t="s">
        <v>984</v>
      </c>
      <c r="CA17" s="331" t="s">
        <v>984</v>
      </c>
      <c r="CB17" s="331" t="s">
        <v>984</v>
      </c>
      <c r="CC17" s="331" t="s">
        <v>984</v>
      </c>
      <c r="CD17" s="331" t="s">
        <v>984</v>
      </c>
      <c r="CE17" s="331" t="s">
        <v>984</v>
      </c>
      <c r="CF17" s="331" t="s">
        <v>984</v>
      </c>
      <c r="CG17" s="331" t="s">
        <v>984</v>
      </c>
      <c r="CH17" s="331" t="s">
        <v>984</v>
      </c>
      <c r="CI17" s="331" t="s">
        <v>984</v>
      </c>
      <c r="CJ17" s="331" t="s">
        <v>984</v>
      </c>
      <c r="CK17" s="331" t="s">
        <v>190</v>
      </c>
      <c r="CL17" s="331" t="s">
        <v>190</v>
      </c>
      <c r="CM17" s="331" t="s">
        <v>190</v>
      </c>
      <c r="CN17" s="331" t="s">
        <v>190</v>
      </c>
      <c r="CO17" s="331" t="s">
        <v>190</v>
      </c>
      <c r="CP17" s="331" t="s">
        <v>190</v>
      </c>
      <c r="CQ17" s="331" t="s">
        <v>190</v>
      </c>
      <c r="CR17" s="331" t="s">
        <v>190</v>
      </c>
      <c r="CS17" s="331" t="s">
        <v>190</v>
      </c>
      <c r="CT17" s="331" t="s">
        <v>190</v>
      </c>
      <c r="CU17" s="331" t="s">
        <v>190</v>
      </c>
      <c r="CV17" s="331" t="s">
        <v>190</v>
      </c>
      <c r="CW17" s="331" t="s">
        <v>428</v>
      </c>
      <c r="CX17" s="331" t="s">
        <v>428</v>
      </c>
      <c r="CY17" s="331" t="s">
        <v>428</v>
      </c>
      <c r="CZ17" s="331" t="s">
        <v>428</v>
      </c>
      <c r="DA17" s="331" t="s">
        <v>428</v>
      </c>
      <c r="DB17" s="331" t="s">
        <v>428</v>
      </c>
      <c r="DC17" s="331" t="s">
        <v>428</v>
      </c>
      <c r="DD17" s="331" t="s">
        <v>428</v>
      </c>
      <c r="DE17" s="331" t="s">
        <v>428</v>
      </c>
      <c r="DF17" s="331" t="s">
        <v>428</v>
      </c>
      <c r="DG17" s="331" t="s">
        <v>428</v>
      </c>
      <c r="DH17" s="331" t="s">
        <v>428</v>
      </c>
      <c r="DI17" s="331" t="s">
        <v>428</v>
      </c>
      <c r="DJ17" s="331" t="s">
        <v>428</v>
      </c>
      <c r="DK17" s="331" t="s">
        <v>428</v>
      </c>
      <c r="DL17" s="331" t="s">
        <v>190</v>
      </c>
      <c r="DM17" s="331" t="s">
        <v>190</v>
      </c>
      <c r="DN17" s="331" t="s">
        <v>190</v>
      </c>
      <c r="DO17" s="331" t="s">
        <v>190</v>
      </c>
      <c r="DP17" s="331" t="s">
        <v>190</v>
      </c>
      <c r="DQ17" s="331" t="s">
        <v>190</v>
      </c>
      <c r="DR17" s="331" t="s">
        <v>190</v>
      </c>
      <c r="DS17" s="331" t="s">
        <v>190</v>
      </c>
      <c r="DT17" s="331" t="s">
        <v>190</v>
      </c>
      <c r="DU17" s="331" t="s">
        <v>190</v>
      </c>
      <c r="DV17" s="331" t="s">
        <v>190</v>
      </c>
      <c r="DW17" s="331" t="s">
        <v>190</v>
      </c>
      <c r="DX17" s="331" t="s">
        <v>190</v>
      </c>
      <c r="DY17" s="331" t="s">
        <v>190</v>
      </c>
      <c r="DZ17" s="331" t="s">
        <v>190</v>
      </c>
      <c r="EA17" s="331" t="s">
        <v>190</v>
      </c>
      <c r="EB17" s="331" t="s">
        <v>190</v>
      </c>
      <c r="EC17" s="331" t="s">
        <v>190</v>
      </c>
      <c r="ED17" s="331" t="s">
        <v>190</v>
      </c>
      <c r="EE17" s="331" t="s">
        <v>190</v>
      </c>
      <c r="EF17" s="331" t="s">
        <v>190</v>
      </c>
      <c r="EG17" s="331" t="s">
        <v>190</v>
      </c>
      <c r="EH17" s="331" t="s">
        <v>190</v>
      </c>
      <c r="EI17" s="331" t="s">
        <v>428</v>
      </c>
      <c r="EJ17" s="331" t="s">
        <v>428</v>
      </c>
      <c r="EK17" s="331" t="s">
        <v>428</v>
      </c>
      <c r="EL17" s="331" t="s">
        <v>428</v>
      </c>
      <c r="EM17" s="331" t="s">
        <v>428</v>
      </c>
      <c r="EN17" s="331" t="s">
        <v>428</v>
      </c>
      <c r="EO17" s="331" t="s">
        <v>190</v>
      </c>
      <c r="EP17" s="331" t="s">
        <v>190</v>
      </c>
      <c r="EQ17" s="331" t="s">
        <v>190</v>
      </c>
      <c r="ER17" s="331" t="s">
        <v>190</v>
      </c>
      <c r="ES17" s="331" t="s">
        <v>984</v>
      </c>
      <c r="ET17" s="331" t="s">
        <v>984</v>
      </c>
      <c r="EU17" s="331" t="s">
        <v>984</v>
      </c>
      <c r="EV17" s="331" t="s">
        <v>984</v>
      </c>
      <c r="EW17" s="331" t="s">
        <v>984</v>
      </c>
      <c r="EX17" s="331" t="s">
        <v>984</v>
      </c>
      <c r="EY17" s="331" t="s">
        <v>984</v>
      </c>
      <c r="EZ17" s="331" t="s">
        <v>984</v>
      </c>
      <c r="FA17" s="331" t="s">
        <v>984</v>
      </c>
      <c r="FB17" s="331" t="s">
        <v>984</v>
      </c>
      <c r="FC17" s="331" t="s">
        <v>984</v>
      </c>
      <c r="FD17" s="331" t="s">
        <v>984</v>
      </c>
      <c r="FE17" s="331" t="s">
        <v>984</v>
      </c>
      <c r="FF17" s="331" t="s">
        <v>984</v>
      </c>
      <c r="FG17" s="331" t="s">
        <v>984</v>
      </c>
      <c r="FH17" s="331" t="s">
        <v>984</v>
      </c>
      <c r="FI17" s="331" t="s">
        <v>984</v>
      </c>
      <c r="FJ17" s="331" t="s">
        <v>984</v>
      </c>
      <c r="FK17" s="331" t="s">
        <v>984</v>
      </c>
      <c r="FL17" s="331" t="s">
        <v>984</v>
      </c>
      <c r="FM17" s="331" t="s">
        <v>984</v>
      </c>
      <c r="FN17" s="331" t="s">
        <v>984</v>
      </c>
      <c r="FO17" s="331" t="s">
        <v>984</v>
      </c>
      <c r="FP17" s="331" t="s">
        <v>984</v>
      </c>
      <c r="FQ17" s="331" t="s">
        <v>984</v>
      </c>
      <c r="FR17" s="331" t="s">
        <v>984</v>
      </c>
      <c r="FS17" s="331" t="s">
        <v>190</v>
      </c>
      <c r="FT17" s="331" t="s">
        <v>984</v>
      </c>
      <c r="FU17" s="331" t="s">
        <v>984</v>
      </c>
      <c r="FV17" s="331" t="s">
        <v>190</v>
      </c>
      <c r="FW17" s="331" t="s">
        <v>984</v>
      </c>
      <c r="FX17" s="331" t="s">
        <v>984</v>
      </c>
      <c r="FY17" s="331" t="s">
        <v>984</v>
      </c>
      <c r="FZ17" s="331" t="s">
        <v>984</v>
      </c>
      <c r="GA17" s="331" t="s">
        <v>984</v>
      </c>
      <c r="GB17" s="331" t="s">
        <v>984</v>
      </c>
      <c r="GC17" s="331" t="s">
        <v>984</v>
      </c>
      <c r="GD17" s="331" t="s">
        <v>984</v>
      </c>
      <c r="GE17" s="331" t="s">
        <v>984</v>
      </c>
      <c r="GF17" s="331" t="s">
        <v>190</v>
      </c>
      <c r="GG17" s="331" t="s">
        <v>984</v>
      </c>
      <c r="GH17" s="331" t="s">
        <v>984</v>
      </c>
      <c r="GI17" s="331" t="s">
        <v>984</v>
      </c>
      <c r="GJ17" s="331" t="s">
        <v>984</v>
      </c>
      <c r="GK17" s="331" t="s">
        <v>984</v>
      </c>
      <c r="GL17" s="331" t="s">
        <v>984</v>
      </c>
      <c r="GM17" s="331" t="s">
        <v>984</v>
      </c>
      <c r="GN17" s="331" t="s">
        <v>984</v>
      </c>
      <c r="GO17" s="331" t="s">
        <v>984</v>
      </c>
      <c r="GP17" s="331" t="s">
        <v>984</v>
      </c>
      <c r="GQ17" s="331" t="s">
        <v>984</v>
      </c>
      <c r="GR17" s="331" t="s">
        <v>984</v>
      </c>
      <c r="GS17" s="331" t="s">
        <v>984</v>
      </c>
      <c r="GT17" s="331" t="s">
        <v>984</v>
      </c>
      <c r="GU17" s="331" t="s">
        <v>984</v>
      </c>
      <c r="GV17" s="331" t="s">
        <v>984</v>
      </c>
      <c r="GW17" s="331" t="s">
        <v>984</v>
      </c>
      <c r="GX17" s="331" t="s">
        <v>984</v>
      </c>
      <c r="GY17" s="331" t="s">
        <v>984</v>
      </c>
      <c r="GZ17" s="331" t="s">
        <v>984</v>
      </c>
      <c r="HA17" s="331" t="s">
        <v>984</v>
      </c>
      <c r="HB17" s="331" t="s">
        <v>984</v>
      </c>
      <c r="HC17" s="331" t="s">
        <v>984</v>
      </c>
      <c r="HD17" s="331" t="s">
        <v>984</v>
      </c>
      <c r="HE17" s="331" t="s">
        <v>984</v>
      </c>
      <c r="HF17" s="331" t="s">
        <v>984</v>
      </c>
      <c r="HG17" s="331" t="s">
        <v>984</v>
      </c>
      <c r="HH17" s="331" t="s">
        <v>984</v>
      </c>
      <c r="HI17" s="331" t="s">
        <v>984</v>
      </c>
      <c r="HJ17" s="331" t="s">
        <v>984</v>
      </c>
      <c r="HK17" s="331" t="s">
        <v>984</v>
      </c>
      <c r="HL17" s="331" t="s">
        <v>984</v>
      </c>
      <c r="HM17" s="331" t="s">
        <v>190</v>
      </c>
      <c r="HN17" s="331" t="s">
        <v>190</v>
      </c>
      <c r="HO17" s="331" t="s">
        <v>190</v>
      </c>
      <c r="HP17" s="331" t="s">
        <v>984</v>
      </c>
      <c r="HQ17" s="331" t="s">
        <v>170</v>
      </c>
      <c r="HR17" s="331" t="s">
        <v>429</v>
      </c>
      <c r="HS17" s="331" t="s">
        <v>169</v>
      </c>
      <c r="HT17" s="331" t="s">
        <v>427</v>
      </c>
      <c r="HU17" s="331" t="s">
        <v>984</v>
      </c>
      <c r="HV17" s="331" t="s">
        <v>984</v>
      </c>
    </row>
    <row r="18" spans="1:230" s="70" customFormat="1" x14ac:dyDescent="0.25">
      <c r="A18" s="330" t="str">
        <f>HYPERLINK("http://www.ofsted.gov.uk/inspection-reports/find-inspection-report/provider/ELS/131165 ","Ofsted School Webpage")</f>
        <v>Ofsted School Webpage</v>
      </c>
      <c r="B18" s="331">
        <v>131165</v>
      </c>
      <c r="C18" s="331">
        <v>2056390</v>
      </c>
      <c r="D18" s="331" t="s">
        <v>2703</v>
      </c>
      <c r="E18" s="331" t="s">
        <v>167</v>
      </c>
      <c r="F18" s="331" t="s">
        <v>441</v>
      </c>
      <c r="G18" s="331" t="s">
        <v>441</v>
      </c>
      <c r="H18" s="331" t="s">
        <v>768</v>
      </c>
      <c r="I18" s="331" t="s">
        <v>1622</v>
      </c>
      <c r="J18" s="331" t="s">
        <v>81</v>
      </c>
      <c r="K18" s="331" t="s">
        <v>80</v>
      </c>
      <c r="L18" s="331" t="s">
        <v>80</v>
      </c>
      <c r="M18" s="331" t="s">
        <v>78</v>
      </c>
      <c r="N18" s="331" t="s">
        <v>424</v>
      </c>
      <c r="O18" s="331">
        <v>10120143</v>
      </c>
      <c r="P18" s="332">
        <v>43719</v>
      </c>
      <c r="Q18" s="332">
        <v>43719</v>
      </c>
      <c r="R18" s="332">
        <v>43759</v>
      </c>
      <c r="S18" s="331" t="s">
        <v>981</v>
      </c>
      <c r="T18" s="331" t="s">
        <v>982</v>
      </c>
      <c r="U18" s="331" t="s">
        <v>427</v>
      </c>
      <c r="V18" s="331" t="s">
        <v>983</v>
      </c>
      <c r="W18" s="331" t="s">
        <v>190</v>
      </c>
      <c r="X18" s="331" t="s">
        <v>190</v>
      </c>
      <c r="Y18" s="331" t="s">
        <v>190</v>
      </c>
      <c r="Z18" s="331" t="s">
        <v>190</v>
      </c>
      <c r="AA18" s="331" t="s">
        <v>190</v>
      </c>
      <c r="AB18" s="331" t="s">
        <v>190</v>
      </c>
      <c r="AC18" s="331" t="s">
        <v>190</v>
      </c>
      <c r="AD18" s="331" t="s">
        <v>190</v>
      </c>
      <c r="AE18" s="331" t="s">
        <v>428</v>
      </c>
      <c r="AF18" s="331" t="s">
        <v>190</v>
      </c>
      <c r="AG18" s="331" t="s">
        <v>190</v>
      </c>
      <c r="AH18" s="331" t="s">
        <v>190</v>
      </c>
      <c r="AI18" s="331" t="s">
        <v>190</v>
      </c>
      <c r="AJ18" s="331" t="s">
        <v>190</v>
      </c>
      <c r="AK18" s="331" t="s">
        <v>190</v>
      </c>
      <c r="AL18" s="331" t="s">
        <v>190</v>
      </c>
      <c r="AM18" s="331" t="s">
        <v>984</v>
      </c>
      <c r="AN18" s="331" t="s">
        <v>190</v>
      </c>
      <c r="AO18" s="331" t="s">
        <v>190</v>
      </c>
      <c r="AP18" s="331" t="s">
        <v>190</v>
      </c>
      <c r="AQ18" s="331" t="s">
        <v>190</v>
      </c>
      <c r="AR18" s="331" t="s">
        <v>190</v>
      </c>
      <c r="AS18" s="331" t="s">
        <v>190</v>
      </c>
      <c r="AT18" s="331" t="s">
        <v>190</v>
      </c>
      <c r="AU18" s="331" t="s">
        <v>190</v>
      </c>
      <c r="AV18" s="331" t="s">
        <v>190</v>
      </c>
      <c r="AW18" s="331" t="s">
        <v>190</v>
      </c>
      <c r="AX18" s="331" t="s">
        <v>190</v>
      </c>
      <c r="AY18" s="331" t="s">
        <v>190</v>
      </c>
      <c r="AZ18" s="331" t="s">
        <v>190</v>
      </c>
      <c r="BA18" s="331" t="s">
        <v>190</v>
      </c>
      <c r="BB18" s="331" t="s">
        <v>190</v>
      </c>
      <c r="BC18" s="331" t="s">
        <v>190</v>
      </c>
      <c r="BD18" s="331" t="s">
        <v>190</v>
      </c>
      <c r="BE18" s="331" t="s">
        <v>190</v>
      </c>
      <c r="BF18" s="331" t="s">
        <v>190</v>
      </c>
      <c r="BG18" s="331" t="s">
        <v>190</v>
      </c>
      <c r="BH18" s="331" t="s">
        <v>190</v>
      </c>
      <c r="BI18" s="331" t="s">
        <v>190</v>
      </c>
      <c r="BJ18" s="331" t="s">
        <v>190</v>
      </c>
      <c r="BK18" s="331" t="s">
        <v>190</v>
      </c>
      <c r="BL18" s="331" t="s">
        <v>190</v>
      </c>
      <c r="BM18" s="331" t="s">
        <v>190</v>
      </c>
      <c r="BN18" s="331" t="s">
        <v>190</v>
      </c>
      <c r="BO18" s="331" t="s">
        <v>190</v>
      </c>
      <c r="BP18" s="331" t="s">
        <v>190</v>
      </c>
      <c r="BQ18" s="331" t="s">
        <v>190</v>
      </c>
      <c r="BR18" s="331" t="s">
        <v>190</v>
      </c>
      <c r="BS18" s="331" t="s">
        <v>190</v>
      </c>
      <c r="BT18" s="331" t="s">
        <v>190</v>
      </c>
      <c r="BU18" s="331" t="s">
        <v>428</v>
      </c>
      <c r="BV18" s="331" t="s">
        <v>428</v>
      </c>
      <c r="BW18" s="331" t="s">
        <v>428</v>
      </c>
      <c r="BX18" s="331" t="s">
        <v>984</v>
      </c>
      <c r="BY18" s="331" t="s">
        <v>984</v>
      </c>
      <c r="BZ18" s="331" t="s">
        <v>984</v>
      </c>
      <c r="CA18" s="331" t="s">
        <v>984</v>
      </c>
      <c r="CB18" s="331" t="s">
        <v>984</v>
      </c>
      <c r="CC18" s="331" t="s">
        <v>984</v>
      </c>
      <c r="CD18" s="331" t="s">
        <v>984</v>
      </c>
      <c r="CE18" s="331" t="s">
        <v>984</v>
      </c>
      <c r="CF18" s="331" t="s">
        <v>984</v>
      </c>
      <c r="CG18" s="331" t="s">
        <v>984</v>
      </c>
      <c r="CH18" s="331" t="s">
        <v>984</v>
      </c>
      <c r="CI18" s="331" t="s">
        <v>984</v>
      </c>
      <c r="CJ18" s="331" t="s">
        <v>984</v>
      </c>
      <c r="CK18" s="331" t="s">
        <v>984</v>
      </c>
      <c r="CL18" s="331" t="s">
        <v>984</v>
      </c>
      <c r="CM18" s="331" t="s">
        <v>984</v>
      </c>
      <c r="CN18" s="331" t="s">
        <v>984</v>
      </c>
      <c r="CO18" s="331" t="s">
        <v>984</v>
      </c>
      <c r="CP18" s="331" t="s">
        <v>984</v>
      </c>
      <c r="CQ18" s="331" t="s">
        <v>984</v>
      </c>
      <c r="CR18" s="331" t="s">
        <v>984</v>
      </c>
      <c r="CS18" s="331" t="s">
        <v>984</v>
      </c>
      <c r="CT18" s="331" t="s">
        <v>984</v>
      </c>
      <c r="CU18" s="331" t="s">
        <v>984</v>
      </c>
      <c r="CV18" s="331" t="s">
        <v>984</v>
      </c>
      <c r="CW18" s="331" t="s">
        <v>984</v>
      </c>
      <c r="CX18" s="331" t="s">
        <v>984</v>
      </c>
      <c r="CY18" s="331" t="s">
        <v>984</v>
      </c>
      <c r="CZ18" s="331" t="s">
        <v>984</v>
      </c>
      <c r="DA18" s="331" t="s">
        <v>984</v>
      </c>
      <c r="DB18" s="331" t="s">
        <v>984</v>
      </c>
      <c r="DC18" s="331" t="s">
        <v>984</v>
      </c>
      <c r="DD18" s="331" t="s">
        <v>984</v>
      </c>
      <c r="DE18" s="331" t="s">
        <v>984</v>
      </c>
      <c r="DF18" s="331" t="s">
        <v>984</v>
      </c>
      <c r="DG18" s="331" t="s">
        <v>984</v>
      </c>
      <c r="DH18" s="331" t="s">
        <v>984</v>
      </c>
      <c r="DI18" s="331" t="s">
        <v>984</v>
      </c>
      <c r="DJ18" s="331" t="s">
        <v>984</v>
      </c>
      <c r="DK18" s="331" t="s">
        <v>984</v>
      </c>
      <c r="DL18" s="331" t="s">
        <v>984</v>
      </c>
      <c r="DM18" s="331" t="s">
        <v>984</v>
      </c>
      <c r="DN18" s="331" t="s">
        <v>984</v>
      </c>
      <c r="DO18" s="331" t="s">
        <v>984</v>
      </c>
      <c r="DP18" s="331" t="s">
        <v>984</v>
      </c>
      <c r="DQ18" s="331" t="s">
        <v>984</v>
      </c>
      <c r="DR18" s="331" t="s">
        <v>984</v>
      </c>
      <c r="DS18" s="331" t="s">
        <v>984</v>
      </c>
      <c r="DT18" s="331" t="s">
        <v>984</v>
      </c>
      <c r="DU18" s="331" t="s">
        <v>984</v>
      </c>
      <c r="DV18" s="331" t="s">
        <v>984</v>
      </c>
      <c r="DW18" s="331" t="s">
        <v>984</v>
      </c>
      <c r="DX18" s="331" t="s">
        <v>984</v>
      </c>
      <c r="DY18" s="331" t="s">
        <v>984</v>
      </c>
      <c r="DZ18" s="331" t="s">
        <v>984</v>
      </c>
      <c r="EA18" s="331" t="s">
        <v>984</v>
      </c>
      <c r="EB18" s="331" t="s">
        <v>984</v>
      </c>
      <c r="EC18" s="331" t="s">
        <v>984</v>
      </c>
      <c r="ED18" s="331" t="s">
        <v>984</v>
      </c>
      <c r="EE18" s="331" t="s">
        <v>984</v>
      </c>
      <c r="EF18" s="331" t="s">
        <v>984</v>
      </c>
      <c r="EG18" s="331" t="s">
        <v>984</v>
      </c>
      <c r="EH18" s="331" t="s">
        <v>984</v>
      </c>
      <c r="EI18" s="331" t="s">
        <v>984</v>
      </c>
      <c r="EJ18" s="331" t="s">
        <v>984</v>
      </c>
      <c r="EK18" s="331" t="s">
        <v>984</v>
      </c>
      <c r="EL18" s="331" t="s">
        <v>984</v>
      </c>
      <c r="EM18" s="331" t="s">
        <v>984</v>
      </c>
      <c r="EN18" s="331" t="s">
        <v>984</v>
      </c>
      <c r="EO18" s="331" t="s">
        <v>984</v>
      </c>
      <c r="EP18" s="331" t="s">
        <v>984</v>
      </c>
      <c r="EQ18" s="331" t="s">
        <v>984</v>
      </c>
      <c r="ER18" s="331" t="s">
        <v>984</v>
      </c>
      <c r="ES18" s="331" t="s">
        <v>984</v>
      </c>
      <c r="ET18" s="331" t="s">
        <v>984</v>
      </c>
      <c r="EU18" s="331" t="s">
        <v>984</v>
      </c>
      <c r="EV18" s="331" t="s">
        <v>984</v>
      </c>
      <c r="EW18" s="331" t="s">
        <v>984</v>
      </c>
      <c r="EX18" s="331" t="s">
        <v>984</v>
      </c>
      <c r="EY18" s="331" t="s">
        <v>984</v>
      </c>
      <c r="EZ18" s="331" t="s">
        <v>984</v>
      </c>
      <c r="FA18" s="331" t="s">
        <v>984</v>
      </c>
      <c r="FB18" s="331" t="s">
        <v>984</v>
      </c>
      <c r="FC18" s="331" t="s">
        <v>984</v>
      </c>
      <c r="FD18" s="331" t="s">
        <v>984</v>
      </c>
      <c r="FE18" s="331" t="s">
        <v>984</v>
      </c>
      <c r="FF18" s="331" t="s">
        <v>984</v>
      </c>
      <c r="FG18" s="331" t="s">
        <v>984</v>
      </c>
      <c r="FH18" s="331" t="s">
        <v>984</v>
      </c>
      <c r="FI18" s="331" t="s">
        <v>984</v>
      </c>
      <c r="FJ18" s="331" t="s">
        <v>984</v>
      </c>
      <c r="FK18" s="331" t="s">
        <v>984</v>
      </c>
      <c r="FL18" s="331" t="s">
        <v>984</v>
      </c>
      <c r="FM18" s="331" t="s">
        <v>984</v>
      </c>
      <c r="FN18" s="331" t="s">
        <v>984</v>
      </c>
      <c r="FO18" s="331" t="s">
        <v>984</v>
      </c>
      <c r="FP18" s="331" t="s">
        <v>984</v>
      </c>
      <c r="FQ18" s="331" t="s">
        <v>984</v>
      </c>
      <c r="FR18" s="331" t="s">
        <v>984</v>
      </c>
      <c r="FS18" s="331" t="s">
        <v>190</v>
      </c>
      <c r="FT18" s="331" t="s">
        <v>984</v>
      </c>
      <c r="FU18" s="331" t="s">
        <v>984</v>
      </c>
      <c r="FV18" s="331" t="s">
        <v>190</v>
      </c>
      <c r="FW18" s="331" t="s">
        <v>984</v>
      </c>
      <c r="FX18" s="331" t="s">
        <v>984</v>
      </c>
      <c r="FY18" s="331" t="s">
        <v>984</v>
      </c>
      <c r="FZ18" s="331" t="s">
        <v>984</v>
      </c>
      <c r="GA18" s="331" t="s">
        <v>984</v>
      </c>
      <c r="GB18" s="331" t="s">
        <v>984</v>
      </c>
      <c r="GC18" s="331" t="s">
        <v>984</v>
      </c>
      <c r="GD18" s="331" t="s">
        <v>984</v>
      </c>
      <c r="GE18" s="331" t="s">
        <v>984</v>
      </c>
      <c r="GF18" s="331" t="s">
        <v>984</v>
      </c>
      <c r="GG18" s="331" t="s">
        <v>984</v>
      </c>
      <c r="GH18" s="331" t="s">
        <v>984</v>
      </c>
      <c r="GI18" s="331" t="s">
        <v>984</v>
      </c>
      <c r="GJ18" s="331" t="s">
        <v>984</v>
      </c>
      <c r="GK18" s="331" t="s">
        <v>984</v>
      </c>
      <c r="GL18" s="331" t="s">
        <v>984</v>
      </c>
      <c r="GM18" s="331" t="s">
        <v>984</v>
      </c>
      <c r="GN18" s="331" t="s">
        <v>984</v>
      </c>
      <c r="GO18" s="331" t="s">
        <v>984</v>
      </c>
      <c r="GP18" s="331" t="s">
        <v>984</v>
      </c>
      <c r="GQ18" s="331" t="s">
        <v>984</v>
      </c>
      <c r="GR18" s="331" t="s">
        <v>984</v>
      </c>
      <c r="GS18" s="331" t="s">
        <v>984</v>
      </c>
      <c r="GT18" s="331" t="s">
        <v>984</v>
      </c>
      <c r="GU18" s="331" t="s">
        <v>984</v>
      </c>
      <c r="GV18" s="331" t="s">
        <v>984</v>
      </c>
      <c r="GW18" s="331" t="s">
        <v>984</v>
      </c>
      <c r="GX18" s="331" t="s">
        <v>984</v>
      </c>
      <c r="GY18" s="331" t="s">
        <v>984</v>
      </c>
      <c r="GZ18" s="331" t="s">
        <v>984</v>
      </c>
      <c r="HA18" s="331" t="s">
        <v>984</v>
      </c>
      <c r="HB18" s="331" t="s">
        <v>984</v>
      </c>
      <c r="HC18" s="331" t="s">
        <v>984</v>
      </c>
      <c r="HD18" s="331" t="s">
        <v>984</v>
      </c>
      <c r="HE18" s="331" t="s">
        <v>984</v>
      </c>
      <c r="HF18" s="331" t="s">
        <v>984</v>
      </c>
      <c r="HG18" s="331" t="s">
        <v>984</v>
      </c>
      <c r="HH18" s="331" t="s">
        <v>984</v>
      </c>
      <c r="HI18" s="331" t="s">
        <v>984</v>
      </c>
      <c r="HJ18" s="331" t="s">
        <v>984</v>
      </c>
      <c r="HK18" s="331" t="s">
        <v>984</v>
      </c>
      <c r="HL18" s="331" t="s">
        <v>984</v>
      </c>
      <c r="HM18" s="331" t="s">
        <v>190</v>
      </c>
      <c r="HN18" s="331" t="s">
        <v>190</v>
      </c>
      <c r="HO18" s="331" t="s">
        <v>190</v>
      </c>
      <c r="HP18" s="331" t="s">
        <v>190</v>
      </c>
      <c r="HQ18" s="331" t="s">
        <v>170</v>
      </c>
      <c r="HR18" s="331" t="s">
        <v>429</v>
      </c>
      <c r="HS18" s="331" t="s">
        <v>169</v>
      </c>
      <c r="HT18" s="331" t="s">
        <v>427</v>
      </c>
      <c r="HU18" s="331" t="s">
        <v>984</v>
      </c>
      <c r="HV18" s="331" t="s">
        <v>984</v>
      </c>
    </row>
    <row r="19" spans="1:230" s="70" customFormat="1" x14ac:dyDescent="0.25">
      <c r="A19" s="330" t="str">
        <f>HYPERLINK("http://www.ofsted.gov.uk/inspection-reports/find-inspection-report/provider/ELS/125385 ","Ofsted School Webpage")</f>
        <v>Ofsted School Webpage</v>
      </c>
      <c r="B19" s="331">
        <v>125385</v>
      </c>
      <c r="C19" s="331">
        <v>9366251</v>
      </c>
      <c r="D19" s="331" t="s">
        <v>2704</v>
      </c>
      <c r="E19" s="331" t="s">
        <v>167</v>
      </c>
      <c r="F19" s="331" t="s">
        <v>514</v>
      </c>
      <c r="G19" s="331" t="s">
        <v>514</v>
      </c>
      <c r="H19" s="331" t="s">
        <v>699</v>
      </c>
      <c r="I19" s="331" t="s">
        <v>2705</v>
      </c>
      <c r="J19" s="331" t="s">
        <v>81</v>
      </c>
      <c r="K19" s="331" t="s">
        <v>62</v>
      </c>
      <c r="L19" s="331" t="s">
        <v>62</v>
      </c>
      <c r="M19" s="331" t="s">
        <v>59</v>
      </c>
      <c r="N19" s="331" t="s">
        <v>424</v>
      </c>
      <c r="O19" s="331">
        <v>10118123</v>
      </c>
      <c r="P19" s="332">
        <v>43719</v>
      </c>
      <c r="Q19" s="332">
        <v>43719</v>
      </c>
      <c r="R19" s="332">
        <v>43789</v>
      </c>
      <c r="S19" s="331" t="s">
        <v>985</v>
      </c>
      <c r="T19" s="331" t="s">
        <v>982</v>
      </c>
      <c r="U19" s="331" t="s">
        <v>427</v>
      </c>
      <c r="V19" s="331" t="s">
        <v>166</v>
      </c>
      <c r="W19" s="331" t="s">
        <v>984</v>
      </c>
      <c r="X19" s="331" t="s">
        <v>984</v>
      </c>
      <c r="Y19" s="331" t="s">
        <v>984</v>
      </c>
      <c r="Z19" s="331" t="s">
        <v>984</v>
      </c>
      <c r="AA19" s="331" t="s">
        <v>984</v>
      </c>
      <c r="AB19" s="331" t="s">
        <v>984</v>
      </c>
      <c r="AC19" s="331" t="s">
        <v>984</v>
      </c>
      <c r="AD19" s="331" t="s">
        <v>984</v>
      </c>
      <c r="AE19" s="331" t="s">
        <v>428</v>
      </c>
      <c r="AF19" s="331" t="s">
        <v>984</v>
      </c>
      <c r="AG19" s="331" t="s">
        <v>984</v>
      </c>
      <c r="AH19" s="331" t="s">
        <v>984</v>
      </c>
      <c r="AI19" s="331" t="s">
        <v>984</v>
      </c>
      <c r="AJ19" s="331" t="s">
        <v>984</v>
      </c>
      <c r="AK19" s="331" t="s">
        <v>984</v>
      </c>
      <c r="AL19" s="331" t="s">
        <v>984</v>
      </c>
      <c r="AM19" s="331" t="s">
        <v>428</v>
      </c>
      <c r="AN19" s="331" t="s">
        <v>428</v>
      </c>
      <c r="AO19" s="331" t="s">
        <v>984</v>
      </c>
      <c r="AP19" s="331" t="s">
        <v>984</v>
      </c>
      <c r="AQ19" s="331" t="s">
        <v>984</v>
      </c>
      <c r="AR19" s="331" t="s">
        <v>984</v>
      </c>
      <c r="AS19" s="331" t="s">
        <v>984</v>
      </c>
      <c r="AT19" s="331" t="s">
        <v>984</v>
      </c>
      <c r="AU19" s="331" t="s">
        <v>984</v>
      </c>
      <c r="AV19" s="331" t="s">
        <v>984</v>
      </c>
      <c r="AW19" s="331" t="s">
        <v>984</v>
      </c>
      <c r="AX19" s="331" t="s">
        <v>984</v>
      </c>
      <c r="AY19" s="331" t="s">
        <v>984</v>
      </c>
      <c r="AZ19" s="331" t="s">
        <v>984</v>
      </c>
      <c r="BA19" s="331" t="s">
        <v>984</v>
      </c>
      <c r="BB19" s="331" t="s">
        <v>984</v>
      </c>
      <c r="BC19" s="331" t="s">
        <v>984</v>
      </c>
      <c r="BD19" s="331" t="s">
        <v>984</v>
      </c>
      <c r="BE19" s="331" t="s">
        <v>984</v>
      </c>
      <c r="BF19" s="331" t="s">
        <v>984</v>
      </c>
      <c r="BG19" s="331" t="s">
        <v>984</v>
      </c>
      <c r="BH19" s="331" t="s">
        <v>984</v>
      </c>
      <c r="BI19" s="331" t="s">
        <v>984</v>
      </c>
      <c r="BJ19" s="331" t="s">
        <v>984</v>
      </c>
      <c r="BK19" s="331" t="s">
        <v>984</v>
      </c>
      <c r="BL19" s="331" t="s">
        <v>984</v>
      </c>
      <c r="BM19" s="331" t="s">
        <v>984</v>
      </c>
      <c r="BN19" s="331" t="s">
        <v>984</v>
      </c>
      <c r="BO19" s="331" t="s">
        <v>984</v>
      </c>
      <c r="BP19" s="331" t="s">
        <v>984</v>
      </c>
      <c r="BQ19" s="331" t="s">
        <v>984</v>
      </c>
      <c r="BR19" s="331" t="s">
        <v>984</v>
      </c>
      <c r="BS19" s="331" t="s">
        <v>984</v>
      </c>
      <c r="BT19" s="331" t="s">
        <v>984</v>
      </c>
      <c r="BU19" s="331" t="s">
        <v>984</v>
      </c>
      <c r="BV19" s="331" t="s">
        <v>984</v>
      </c>
      <c r="BW19" s="331" t="s">
        <v>984</v>
      </c>
      <c r="BX19" s="331" t="s">
        <v>984</v>
      </c>
      <c r="BY19" s="331" t="s">
        <v>984</v>
      </c>
      <c r="BZ19" s="331" t="s">
        <v>984</v>
      </c>
      <c r="CA19" s="331" t="s">
        <v>984</v>
      </c>
      <c r="CB19" s="331" t="s">
        <v>984</v>
      </c>
      <c r="CC19" s="331" t="s">
        <v>984</v>
      </c>
      <c r="CD19" s="331" t="s">
        <v>984</v>
      </c>
      <c r="CE19" s="331" t="s">
        <v>984</v>
      </c>
      <c r="CF19" s="331" t="s">
        <v>984</v>
      </c>
      <c r="CG19" s="331" t="s">
        <v>984</v>
      </c>
      <c r="CH19" s="331" t="s">
        <v>984</v>
      </c>
      <c r="CI19" s="331" t="s">
        <v>984</v>
      </c>
      <c r="CJ19" s="331" t="s">
        <v>984</v>
      </c>
      <c r="CK19" s="331" t="s">
        <v>984</v>
      </c>
      <c r="CL19" s="331" t="s">
        <v>984</v>
      </c>
      <c r="CM19" s="331" t="s">
        <v>984</v>
      </c>
      <c r="CN19" s="331" t="s">
        <v>984</v>
      </c>
      <c r="CO19" s="331" t="s">
        <v>984</v>
      </c>
      <c r="CP19" s="331" t="s">
        <v>984</v>
      </c>
      <c r="CQ19" s="331" t="s">
        <v>984</v>
      </c>
      <c r="CR19" s="331" t="s">
        <v>984</v>
      </c>
      <c r="CS19" s="331" t="s">
        <v>984</v>
      </c>
      <c r="CT19" s="331" t="s">
        <v>984</v>
      </c>
      <c r="CU19" s="331" t="s">
        <v>428</v>
      </c>
      <c r="CV19" s="331" t="s">
        <v>984</v>
      </c>
      <c r="CW19" s="331" t="s">
        <v>984</v>
      </c>
      <c r="CX19" s="331" t="s">
        <v>984</v>
      </c>
      <c r="CY19" s="331" t="s">
        <v>984</v>
      </c>
      <c r="CZ19" s="331" t="s">
        <v>984</v>
      </c>
      <c r="DA19" s="331" t="s">
        <v>984</v>
      </c>
      <c r="DB19" s="331" t="s">
        <v>984</v>
      </c>
      <c r="DC19" s="331" t="s">
        <v>984</v>
      </c>
      <c r="DD19" s="331" t="s">
        <v>984</v>
      </c>
      <c r="DE19" s="331" t="s">
        <v>984</v>
      </c>
      <c r="DF19" s="331" t="s">
        <v>984</v>
      </c>
      <c r="DG19" s="331" t="s">
        <v>984</v>
      </c>
      <c r="DH19" s="331" t="s">
        <v>984</v>
      </c>
      <c r="DI19" s="331" t="s">
        <v>984</v>
      </c>
      <c r="DJ19" s="331" t="s">
        <v>428</v>
      </c>
      <c r="DK19" s="331" t="s">
        <v>984</v>
      </c>
      <c r="DL19" s="331" t="s">
        <v>984</v>
      </c>
      <c r="DM19" s="331" t="s">
        <v>984</v>
      </c>
      <c r="DN19" s="331" t="s">
        <v>984</v>
      </c>
      <c r="DO19" s="331" t="s">
        <v>984</v>
      </c>
      <c r="DP19" s="331" t="s">
        <v>984</v>
      </c>
      <c r="DQ19" s="331" t="s">
        <v>984</v>
      </c>
      <c r="DR19" s="331" t="s">
        <v>984</v>
      </c>
      <c r="DS19" s="331" t="s">
        <v>984</v>
      </c>
      <c r="DT19" s="331" t="s">
        <v>984</v>
      </c>
      <c r="DU19" s="331" t="s">
        <v>984</v>
      </c>
      <c r="DV19" s="331" t="s">
        <v>984</v>
      </c>
      <c r="DW19" s="331" t="s">
        <v>984</v>
      </c>
      <c r="DX19" s="331" t="s">
        <v>984</v>
      </c>
      <c r="DY19" s="331" t="s">
        <v>984</v>
      </c>
      <c r="DZ19" s="331" t="s">
        <v>984</v>
      </c>
      <c r="EA19" s="331" t="s">
        <v>984</v>
      </c>
      <c r="EB19" s="331" t="s">
        <v>984</v>
      </c>
      <c r="EC19" s="331" t="s">
        <v>984</v>
      </c>
      <c r="ED19" s="331" t="s">
        <v>984</v>
      </c>
      <c r="EE19" s="331" t="s">
        <v>984</v>
      </c>
      <c r="EF19" s="331" t="s">
        <v>984</v>
      </c>
      <c r="EG19" s="331" t="s">
        <v>984</v>
      </c>
      <c r="EH19" s="331" t="s">
        <v>984</v>
      </c>
      <c r="EI19" s="331" t="s">
        <v>984</v>
      </c>
      <c r="EJ19" s="331" t="s">
        <v>984</v>
      </c>
      <c r="EK19" s="331" t="s">
        <v>984</v>
      </c>
      <c r="EL19" s="331" t="s">
        <v>984</v>
      </c>
      <c r="EM19" s="331" t="s">
        <v>984</v>
      </c>
      <c r="EN19" s="331" t="s">
        <v>984</v>
      </c>
      <c r="EO19" s="331" t="s">
        <v>984</v>
      </c>
      <c r="EP19" s="331" t="s">
        <v>984</v>
      </c>
      <c r="EQ19" s="331" t="s">
        <v>984</v>
      </c>
      <c r="ER19" s="331" t="s">
        <v>984</v>
      </c>
      <c r="ES19" s="331" t="s">
        <v>984</v>
      </c>
      <c r="ET19" s="331" t="s">
        <v>984</v>
      </c>
      <c r="EU19" s="331" t="s">
        <v>984</v>
      </c>
      <c r="EV19" s="331" t="s">
        <v>984</v>
      </c>
      <c r="EW19" s="331" t="s">
        <v>984</v>
      </c>
      <c r="EX19" s="331" t="s">
        <v>984</v>
      </c>
      <c r="EY19" s="331" t="s">
        <v>984</v>
      </c>
      <c r="EZ19" s="331" t="s">
        <v>428</v>
      </c>
      <c r="FA19" s="331" t="s">
        <v>984</v>
      </c>
      <c r="FB19" s="331" t="s">
        <v>984</v>
      </c>
      <c r="FC19" s="331" t="s">
        <v>984</v>
      </c>
      <c r="FD19" s="331" t="s">
        <v>984</v>
      </c>
      <c r="FE19" s="331" t="s">
        <v>984</v>
      </c>
      <c r="FF19" s="331" t="s">
        <v>984</v>
      </c>
      <c r="FG19" s="331" t="s">
        <v>984</v>
      </c>
      <c r="FH19" s="331" t="s">
        <v>984</v>
      </c>
      <c r="FI19" s="331" t="s">
        <v>984</v>
      </c>
      <c r="FJ19" s="331" t="s">
        <v>984</v>
      </c>
      <c r="FK19" s="331" t="s">
        <v>984</v>
      </c>
      <c r="FL19" s="331" t="s">
        <v>984</v>
      </c>
      <c r="FM19" s="331" t="s">
        <v>984</v>
      </c>
      <c r="FN19" s="331" t="s">
        <v>984</v>
      </c>
      <c r="FO19" s="331" t="s">
        <v>984</v>
      </c>
      <c r="FP19" s="331" t="s">
        <v>984</v>
      </c>
      <c r="FQ19" s="331" t="s">
        <v>984</v>
      </c>
      <c r="FR19" s="331" t="s">
        <v>428</v>
      </c>
      <c r="FS19" s="331" t="s">
        <v>984</v>
      </c>
      <c r="FT19" s="331" t="s">
        <v>984</v>
      </c>
      <c r="FU19" s="331" t="s">
        <v>984</v>
      </c>
      <c r="FV19" s="331" t="s">
        <v>984</v>
      </c>
      <c r="FW19" s="331" t="s">
        <v>984</v>
      </c>
      <c r="FX19" s="331" t="s">
        <v>984</v>
      </c>
      <c r="FY19" s="331" t="s">
        <v>984</v>
      </c>
      <c r="FZ19" s="331" t="s">
        <v>984</v>
      </c>
      <c r="GA19" s="331" t="s">
        <v>984</v>
      </c>
      <c r="GB19" s="331" t="s">
        <v>984</v>
      </c>
      <c r="GC19" s="331" t="s">
        <v>984</v>
      </c>
      <c r="GD19" s="331" t="s">
        <v>984</v>
      </c>
      <c r="GE19" s="331" t="s">
        <v>984</v>
      </c>
      <c r="GF19" s="331" t="s">
        <v>984</v>
      </c>
      <c r="GG19" s="331" t="s">
        <v>984</v>
      </c>
      <c r="GH19" s="331" t="s">
        <v>984</v>
      </c>
      <c r="GI19" s="331" t="s">
        <v>984</v>
      </c>
      <c r="GJ19" s="331" t="s">
        <v>984</v>
      </c>
      <c r="GK19" s="331" t="s">
        <v>984</v>
      </c>
      <c r="GL19" s="331" t="s">
        <v>984</v>
      </c>
      <c r="GM19" s="331" t="s">
        <v>984</v>
      </c>
      <c r="GN19" s="331" t="s">
        <v>984</v>
      </c>
      <c r="GO19" s="331" t="s">
        <v>984</v>
      </c>
      <c r="GP19" s="331" t="s">
        <v>984</v>
      </c>
      <c r="GQ19" s="331" t="s">
        <v>984</v>
      </c>
      <c r="GR19" s="331" t="s">
        <v>984</v>
      </c>
      <c r="GS19" s="331" t="s">
        <v>984</v>
      </c>
      <c r="GT19" s="331" t="s">
        <v>984</v>
      </c>
      <c r="GU19" s="331" t="s">
        <v>984</v>
      </c>
      <c r="GV19" s="331" t="s">
        <v>984</v>
      </c>
      <c r="GW19" s="331" t="s">
        <v>191</v>
      </c>
      <c r="GX19" s="331" t="s">
        <v>190</v>
      </c>
      <c r="GY19" s="331" t="s">
        <v>190</v>
      </c>
      <c r="GZ19" s="331" t="s">
        <v>190</v>
      </c>
      <c r="HA19" s="331" t="s">
        <v>190</v>
      </c>
      <c r="HB19" s="331" t="s">
        <v>190</v>
      </c>
      <c r="HC19" s="331" t="s">
        <v>190</v>
      </c>
      <c r="HD19" s="331" t="s">
        <v>191</v>
      </c>
      <c r="HE19" s="331" t="s">
        <v>190</v>
      </c>
      <c r="HF19" s="331" t="s">
        <v>190</v>
      </c>
      <c r="HG19" s="331" t="s">
        <v>190</v>
      </c>
      <c r="HH19" s="331" t="s">
        <v>190</v>
      </c>
      <c r="HI19" s="331" t="s">
        <v>190</v>
      </c>
      <c r="HJ19" s="331" t="s">
        <v>190</v>
      </c>
      <c r="HK19" s="331" t="s">
        <v>190</v>
      </c>
      <c r="HL19" s="331" t="s">
        <v>190</v>
      </c>
      <c r="HM19" s="331" t="s">
        <v>191</v>
      </c>
      <c r="HN19" s="331" t="s">
        <v>191</v>
      </c>
      <c r="HO19" s="331" t="s">
        <v>191</v>
      </c>
      <c r="HP19" s="331" t="s">
        <v>191</v>
      </c>
      <c r="HQ19" s="331" t="s">
        <v>170</v>
      </c>
      <c r="HR19" s="331" t="s">
        <v>429</v>
      </c>
      <c r="HS19" s="331" t="s">
        <v>169</v>
      </c>
      <c r="HT19" s="331" t="s">
        <v>427</v>
      </c>
      <c r="HU19" s="331" t="s">
        <v>984</v>
      </c>
      <c r="HV19" s="331" t="s">
        <v>984</v>
      </c>
    </row>
    <row r="20" spans="1:230" s="70" customFormat="1" x14ac:dyDescent="0.25">
      <c r="A20" s="330" t="str">
        <f>HYPERLINK("http://www.ofsted.gov.uk/inspection-reports/find-inspection-report/provider/ELS/131567 ","Ofsted School Webpage")</f>
        <v>Ofsted School Webpage</v>
      </c>
      <c r="B20" s="331">
        <v>131567</v>
      </c>
      <c r="C20" s="331">
        <v>8866113</v>
      </c>
      <c r="D20" s="331" t="s">
        <v>616</v>
      </c>
      <c r="E20" s="331" t="s">
        <v>167</v>
      </c>
      <c r="F20" s="331" t="s">
        <v>514</v>
      </c>
      <c r="G20" s="331" t="s">
        <v>514</v>
      </c>
      <c r="H20" s="331" t="s">
        <v>614</v>
      </c>
      <c r="I20" s="331" t="s">
        <v>617</v>
      </c>
      <c r="J20" s="331" t="s">
        <v>81</v>
      </c>
      <c r="K20" s="331" t="s">
        <v>59</v>
      </c>
      <c r="L20" s="331" t="s">
        <v>59</v>
      </c>
      <c r="M20" s="331" t="s">
        <v>59</v>
      </c>
      <c r="N20" s="331" t="s">
        <v>424</v>
      </c>
      <c r="O20" s="331">
        <v>10114599</v>
      </c>
      <c r="P20" s="332">
        <v>43719</v>
      </c>
      <c r="Q20" s="332">
        <v>43719</v>
      </c>
      <c r="R20" s="332">
        <v>43733</v>
      </c>
      <c r="S20" s="331" t="s">
        <v>985</v>
      </c>
      <c r="T20" s="331" t="s">
        <v>982</v>
      </c>
      <c r="U20" s="331" t="s">
        <v>427</v>
      </c>
      <c r="V20" s="331" t="s">
        <v>165</v>
      </c>
      <c r="W20" s="331" t="s">
        <v>984</v>
      </c>
      <c r="X20" s="331" t="s">
        <v>984</v>
      </c>
      <c r="Y20" s="331" t="s">
        <v>984</v>
      </c>
      <c r="Z20" s="331" t="s">
        <v>984</v>
      </c>
      <c r="AA20" s="331" t="s">
        <v>984</v>
      </c>
      <c r="AB20" s="331" t="s">
        <v>984</v>
      </c>
      <c r="AC20" s="331" t="s">
        <v>984</v>
      </c>
      <c r="AD20" s="331" t="s">
        <v>984</v>
      </c>
      <c r="AE20" s="331" t="s">
        <v>428</v>
      </c>
      <c r="AF20" s="331" t="s">
        <v>984</v>
      </c>
      <c r="AG20" s="331" t="s">
        <v>984</v>
      </c>
      <c r="AH20" s="331" t="s">
        <v>984</v>
      </c>
      <c r="AI20" s="331" t="s">
        <v>984</v>
      </c>
      <c r="AJ20" s="331" t="s">
        <v>984</v>
      </c>
      <c r="AK20" s="331" t="s">
        <v>984</v>
      </c>
      <c r="AL20" s="331" t="s">
        <v>984</v>
      </c>
      <c r="AM20" s="331" t="s">
        <v>984</v>
      </c>
      <c r="AN20" s="331" t="s">
        <v>428</v>
      </c>
      <c r="AO20" s="331" t="s">
        <v>984</v>
      </c>
      <c r="AP20" s="331" t="s">
        <v>984</v>
      </c>
      <c r="AQ20" s="331" t="s">
        <v>984</v>
      </c>
      <c r="AR20" s="331" t="s">
        <v>984</v>
      </c>
      <c r="AS20" s="331" t="s">
        <v>984</v>
      </c>
      <c r="AT20" s="331" t="s">
        <v>984</v>
      </c>
      <c r="AU20" s="331" t="s">
        <v>984</v>
      </c>
      <c r="AV20" s="331" t="s">
        <v>984</v>
      </c>
      <c r="AW20" s="331" t="s">
        <v>984</v>
      </c>
      <c r="AX20" s="331" t="s">
        <v>984</v>
      </c>
      <c r="AY20" s="331" t="s">
        <v>984</v>
      </c>
      <c r="AZ20" s="331" t="s">
        <v>984</v>
      </c>
      <c r="BA20" s="331" t="s">
        <v>984</v>
      </c>
      <c r="BB20" s="331" t="s">
        <v>984</v>
      </c>
      <c r="BC20" s="331" t="s">
        <v>984</v>
      </c>
      <c r="BD20" s="331" t="s">
        <v>984</v>
      </c>
      <c r="BE20" s="331" t="s">
        <v>984</v>
      </c>
      <c r="BF20" s="331" t="s">
        <v>984</v>
      </c>
      <c r="BG20" s="331" t="s">
        <v>984</v>
      </c>
      <c r="BH20" s="331" t="s">
        <v>984</v>
      </c>
      <c r="BI20" s="331" t="s">
        <v>984</v>
      </c>
      <c r="BJ20" s="331" t="s">
        <v>984</v>
      </c>
      <c r="BK20" s="331" t="s">
        <v>984</v>
      </c>
      <c r="BL20" s="331" t="s">
        <v>984</v>
      </c>
      <c r="BM20" s="331" t="s">
        <v>984</v>
      </c>
      <c r="BN20" s="331" t="s">
        <v>984</v>
      </c>
      <c r="BO20" s="331" t="s">
        <v>984</v>
      </c>
      <c r="BP20" s="331" t="s">
        <v>984</v>
      </c>
      <c r="BQ20" s="331" t="s">
        <v>984</v>
      </c>
      <c r="BR20" s="331" t="s">
        <v>190</v>
      </c>
      <c r="BS20" s="331" t="s">
        <v>190</v>
      </c>
      <c r="BT20" s="331" t="s">
        <v>190</v>
      </c>
      <c r="BU20" s="331" t="s">
        <v>428</v>
      </c>
      <c r="BV20" s="331" t="s">
        <v>428</v>
      </c>
      <c r="BW20" s="331" t="s">
        <v>428</v>
      </c>
      <c r="BX20" s="331" t="s">
        <v>984</v>
      </c>
      <c r="BY20" s="331" t="s">
        <v>984</v>
      </c>
      <c r="BZ20" s="331" t="s">
        <v>984</v>
      </c>
      <c r="CA20" s="331" t="s">
        <v>984</v>
      </c>
      <c r="CB20" s="331" t="s">
        <v>984</v>
      </c>
      <c r="CC20" s="331" t="s">
        <v>190</v>
      </c>
      <c r="CD20" s="331" t="s">
        <v>190</v>
      </c>
      <c r="CE20" s="331" t="s">
        <v>190</v>
      </c>
      <c r="CF20" s="331" t="s">
        <v>984</v>
      </c>
      <c r="CG20" s="331" t="s">
        <v>984</v>
      </c>
      <c r="CH20" s="331" t="s">
        <v>190</v>
      </c>
      <c r="CI20" s="331" t="s">
        <v>190</v>
      </c>
      <c r="CJ20" s="331" t="s">
        <v>190</v>
      </c>
      <c r="CK20" s="331" t="s">
        <v>190</v>
      </c>
      <c r="CL20" s="331" t="s">
        <v>190</v>
      </c>
      <c r="CM20" s="331" t="s">
        <v>190</v>
      </c>
      <c r="CN20" s="331" t="s">
        <v>190</v>
      </c>
      <c r="CO20" s="331" t="s">
        <v>190</v>
      </c>
      <c r="CP20" s="331" t="s">
        <v>190</v>
      </c>
      <c r="CQ20" s="331" t="s">
        <v>190</v>
      </c>
      <c r="CR20" s="331" t="s">
        <v>190</v>
      </c>
      <c r="CS20" s="331" t="s">
        <v>190</v>
      </c>
      <c r="CT20" s="331" t="s">
        <v>190</v>
      </c>
      <c r="CU20" s="331" t="s">
        <v>428</v>
      </c>
      <c r="CV20" s="331" t="s">
        <v>190</v>
      </c>
      <c r="CW20" s="331" t="s">
        <v>428</v>
      </c>
      <c r="CX20" s="331" t="s">
        <v>428</v>
      </c>
      <c r="CY20" s="331" t="s">
        <v>428</v>
      </c>
      <c r="CZ20" s="331" t="s">
        <v>428</v>
      </c>
      <c r="DA20" s="331" t="s">
        <v>428</v>
      </c>
      <c r="DB20" s="331" t="s">
        <v>428</v>
      </c>
      <c r="DC20" s="331" t="s">
        <v>428</v>
      </c>
      <c r="DD20" s="331" t="s">
        <v>428</v>
      </c>
      <c r="DE20" s="331" t="s">
        <v>428</v>
      </c>
      <c r="DF20" s="331" t="s">
        <v>428</v>
      </c>
      <c r="DG20" s="331" t="s">
        <v>428</v>
      </c>
      <c r="DH20" s="331" t="s">
        <v>428</v>
      </c>
      <c r="DI20" s="331" t="s">
        <v>428</v>
      </c>
      <c r="DJ20" s="331" t="s">
        <v>428</v>
      </c>
      <c r="DK20" s="331" t="s">
        <v>428</v>
      </c>
      <c r="DL20" s="331" t="s">
        <v>428</v>
      </c>
      <c r="DM20" s="331" t="s">
        <v>428</v>
      </c>
      <c r="DN20" s="331" t="s">
        <v>428</v>
      </c>
      <c r="DO20" s="331" t="s">
        <v>428</v>
      </c>
      <c r="DP20" s="331" t="s">
        <v>428</v>
      </c>
      <c r="DQ20" s="331" t="s">
        <v>428</v>
      </c>
      <c r="DR20" s="331" t="s">
        <v>428</v>
      </c>
      <c r="DS20" s="331" t="s">
        <v>428</v>
      </c>
      <c r="DT20" s="331" t="s">
        <v>428</v>
      </c>
      <c r="DU20" s="331" t="s">
        <v>190</v>
      </c>
      <c r="DV20" s="331" t="s">
        <v>190</v>
      </c>
      <c r="DW20" s="331" t="s">
        <v>190</v>
      </c>
      <c r="DX20" s="331" t="s">
        <v>190</v>
      </c>
      <c r="DY20" s="331" t="s">
        <v>190</v>
      </c>
      <c r="DZ20" s="331" t="s">
        <v>190</v>
      </c>
      <c r="EA20" s="331" t="s">
        <v>190</v>
      </c>
      <c r="EB20" s="331" t="s">
        <v>190</v>
      </c>
      <c r="EC20" s="331" t="s">
        <v>190</v>
      </c>
      <c r="ED20" s="331" t="s">
        <v>190</v>
      </c>
      <c r="EE20" s="331" t="s">
        <v>190</v>
      </c>
      <c r="EF20" s="331" t="s">
        <v>190</v>
      </c>
      <c r="EG20" s="331" t="s">
        <v>190</v>
      </c>
      <c r="EH20" s="331" t="s">
        <v>190</v>
      </c>
      <c r="EI20" s="331" t="s">
        <v>428</v>
      </c>
      <c r="EJ20" s="331" t="s">
        <v>428</v>
      </c>
      <c r="EK20" s="331" t="s">
        <v>428</v>
      </c>
      <c r="EL20" s="331" t="s">
        <v>428</v>
      </c>
      <c r="EM20" s="331" t="s">
        <v>428</v>
      </c>
      <c r="EN20" s="331" t="s">
        <v>428</v>
      </c>
      <c r="EO20" s="331" t="s">
        <v>428</v>
      </c>
      <c r="EP20" s="331" t="s">
        <v>428</v>
      </c>
      <c r="EQ20" s="331" t="s">
        <v>428</v>
      </c>
      <c r="ER20" s="331" t="s">
        <v>428</v>
      </c>
      <c r="ES20" s="331" t="s">
        <v>984</v>
      </c>
      <c r="ET20" s="331" t="s">
        <v>984</v>
      </c>
      <c r="EU20" s="331" t="s">
        <v>984</v>
      </c>
      <c r="EV20" s="331" t="s">
        <v>984</v>
      </c>
      <c r="EW20" s="331" t="s">
        <v>190</v>
      </c>
      <c r="EX20" s="331" t="s">
        <v>190</v>
      </c>
      <c r="EY20" s="331" t="s">
        <v>190</v>
      </c>
      <c r="EZ20" s="331" t="s">
        <v>428</v>
      </c>
      <c r="FA20" s="331" t="s">
        <v>190</v>
      </c>
      <c r="FB20" s="331" t="s">
        <v>984</v>
      </c>
      <c r="FC20" s="331" t="s">
        <v>984</v>
      </c>
      <c r="FD20" s="331" t="s">
        <v>984</v>
      </c>
      <c r="FE20" s="331" t="s">
        <v>984</v>
      </c>
      <c r="FF20" s="331" t="s">
        <v>984</v>
      </c>
      <c r="FG20" s="331" t="s">
        <v>190</v>
      </c>
      <c r="FH20" s="331" t="s">
        <v>984</v>
      </c>
      <c r="FI20" s="331" t="s">
        <v>984</v>
      </c>
      <c r="FJ20" s="331" t="s">
        <v>984</v>
      </c>
      <c r="FK20" s="331" t="s">
        <v>190</v>
      </c>
      <c r="FL20" s="331" t="s">
        <v>984</v>
      </c>
      <c r="FM20" s="331" t="s">
        <v>984</v>
      </c>
      <c r="FN20" s="331" t="s">
        <v>984</v>
      </c>
      <c r="FO20" s="331" t="s">
        <v>984</v>
      </c>
      <c r="FP20" s="331" t="s">
        <v>984</v>
      </c>
      <c r="FQ20" s="331" t="s">
        <v>984</v>
      </c>
      <c r="FR20" s="331" t="s">
        <v>428</v>
      </c>
      <c r="FS20" s="331" t="s">
        <v>190</v>
      </c>
      <c r="FT20" s="331" t="s">
        <v>984</v>
      </c>
      <c r="FU20" s="331" t="s">
        <v>984</v>
      </c>
      <c r="FV20" s="331" t="s">
        <v>190</v>
      </c>
      <c r="FW20" s="331" t="s">
        <v>984</v>
      </c>
      <c r="FX20" s="331" t="s">
        <v>428</v>
      </c>
      <c r="FY20" s="331" t="s">
        <v>984</v>
      </c>
      <c r="FZ20" s="331" t="s">
        <v>984</v>
      </c>
      <c r="GA20" s="331" t="s">
        <v>984</v>
      </c>
      <c r="GB20" s="331" t="s">
        <v>984</v>
      </c>
      <c r="GC20" s="331" t="s">
        <v>984</v>
      </c>
      <c r="GD20" s="331" t="s">
        <v>984</v>
      </c>
      <c r="GE20" s="331" t="s">
        <v>984</v>
      </c>
      <c r="GF20" s="331" t="s">
        <v>984</v>
      </c>
      <c r="GG20" s="331" t="s">
        <v>984</v>
      </c>
      <c r="GH20" s="331" t="s">
        <v>428</v>
      </c>
      <c r="GI20" s="331" t="s">
        <v>984</v>
      </c>
      <c r="GJ20" s="331" t="s">
        <v>984</v>
      </c>
      <c r="GK20" s="331" t="s">
        <v>984</v>
      </c>
      <c r="GL20" s="331" t="s">
        <v>984</v>
      </c>
      <c r="GM20" s="331" t="s">
        <v>984</v>
      </c>
      <c r="GN20" s="331" t="s">
        <v>984</v>
      </c>
      <c r="GO20" s="331" t="s">
        <v>984</v>
      </c>
      <c r="GP20" s="331" t="s">
        <v>984</v>
      </c>
      <c r="GQ20" s="331" t="s">
        <v>984</v>
      </c>
      <c r="GR20" s="331" t="s">
        <v>984</v>
      </c>
      <c r="GS20" s="331" t="s">
        <v>984</v>
      </c>
      <c r="GT20" s="331" t="s">
        <v>984</v>
      </c>
      <c r="GU20" s="331" t="s">
        <v>984</v>
      </c>
      <c r="GV20" s="331" t="s">
        <v>984</v>
      </c>
      <c r="GW20" s="331" t="s">
        <v>984</v>
      </c>
      <c r="GX20" s="331" t="s">
        <v>984</v>
      </c>
      <c r="GY20" s="331" t="s">
        <v>984</v>
      </c>
      <c r="GZ20" s="331" t="s">
        <v>984</v>
      </c>
      <c r="HA20" s="331" t="s">
        <v>984</v>
      </c>
      <c r="HB20" s="331" t="s">
        <v>984</v>
      </c>
      <c r="HC20" s="331" t="s">
        <v>984</v>
      </c>
      <c r="HD20" s="331" t="s">
        <v>984</v>
      </c>
      <c r="HE20" s="331" t="s">
        <v>984</v>
      </c>
      <c r="HF20" s="331" t="s">
        <v>984</v>
      </c>
      <c r="HG20" s="331" t="s">
        <v>984</v>
      </c>
      <c r="HH20" s="331" t="s">
        <v>984</v>
      </c>
      <c r="HI20" s="331" t="s">
        <v>984</v>
      </c>
      <c r="HJ20" s="331" t="s">
        <v>984</v>
      </c>
      <c r="HK20" s="331" t="s">
        <v>984</v>
      </c>
      <c r="HL20" s="331" t="s">
        <v>984</v>
      </c>
      <c r="HM20" s="331" t="s">
        <v>190</v>
      </c>
      <c r="HN20" s="331" t="s">
        <v>190</v>
      </c>
      <c r="HO20" s="331" t="s">
        <v>190</v>
      </c>
      <c r="HP20" s="331" t="s">
        <v>190</v>
      </c>
      <c r="HQ20" s="331" t="s">
        <v>170</v>
      </c>
      <c r="HR20" s="331" t="s">
        <v>429</v>
      </c>
      <c r="HS20" s="331" t="s">
        <v>169</v>
      </c>
      <c r="HT20" s="331" t="s">
        <v>173</v>
      </c>
      <c r="HU20" s="331" t="s">
        <v>190</v>
      </c>
      <c r="HV20" s="331" t="s">
        <v>984</v>
      </c>
    </row>
    <row r="21" spans="1:230" s="70" customFormat="1" x14ac:dyDescent="0.25">
      <c r="A21" s="330" t="str">
        <f>HYPERLINK("http://www.ofsted.gov.uk/inspection-reports/find-inspection-report/provider/ELS/145960 ","Ofsted School Webpage")</f>
        <v>Ofsted School Webpage</v>
      </c>
      <c r="B21" s="331">
        <v>145960</v>
      </c>
      <c r="C21" s="331">
        <v>9266018</v>
      </c>
      <c r="D21" s="331" t="s">
        <v>2515</v>
      </c>
      <c r="E21" s="331" t="s">
        <v>168</v>
      </c>
      <c r="F21" s="331" t="s">
        <v>451</v>
      </c>
      <c r="G21" s="331" t="s">
        <v>451</v>
      </c>
      <c r="H21" s="331" t="s">
        <v>463</v>
      </c>
      <c r="I21" s="331" t="s">
        <v>2516</v>
      </c>
      <c r="J21" s="331" t="s">
        <v>81</v>
      </c>
      <c r="K21" s="331" t="s">
        <v>81</v>
      </c>
      <c r="L21" s="331" t="s">
        <v>81</v>
      </c>
      <c r="M21" s="331" t="s">
        <v>78</v>
      </c>
      <c r="N21" s="331" t="s">
        <v>424</v>
      </c>
      <c r="O21" s="331">
        <v>10119763</v>
      </c>
      <c r="P21" s="332">
        <v>43719</v>
      </c>
      <c r="Q21" s="332">
        <v>43719</v>
      </c>
      <c r="R21" s="332">
        <v>43745</v>
      </c>
      <c r="S21" s="331" t="s">
        <v>985</v>
      </c>
      <c r="T21" s="331" t="s">
        <v>982</v>
      </c>
      <c r="U21" s="331" t="s">
        <v>427</v>
      </c>
      <c r="V21" s="331" t="s">
        <v>165</v>
      </c>
      <c r="W21" s="331" t="s">
        <v>190</v>
      </c>
      <c r="X21" s="331" t="s">
        <v>190</v>
      </c>
      <c r="Y21" s="331" t="s">
        <v>190</v>
      </c>
      <c r="Z21" s="331" t="s">
        <v>190</v>
      </c>
      <c r="AA21" s="331" t="s">
        <v>984</v>
      </c>
      <c r="AB21" s="331" t="s">
        <v>984</v>
      </c>
      <c r="AC21" s="331" t="s">
        <v>984</v>
      </c>
      <c r="AD21" s="331" t="s">
        <v>984</v>
      </c>
      <c r="AE21" s="331" t="s">
        <v>984</v>
      </c>
      <c r="AF21" s="331" t="s">
        <v>984</v>
      </c>
      <c r="AG21" s="331" t="s">
        <v>984</v>
      </c>
      <c r="AH21" s="331" t="s">
        <v>984</v>
      </c>
      <c r="AI21" s="331" t="s">
        <v>984</v>
      </c>
      <c r="AJ21" s="331" t="s">
        <v>984</v>
      </c>
      <c r="AK21" s="331" t="s">
        <v>984</v>
      </c>
      <c r="AL21" s="331" t="s">
        <v>984</v>
      </c>
      <c r="AM21" s="331" t="s">
        <v>984</v>
      </c>
      <c r="AN21" s="331" t="s">
        <v>428</v>
      </c>
      <c r="AO21" s="331" t="s">
        <v>984</v>
      </c>
      <c r="AP21" s="331" t="s">
        <v>984</v>
      </c>
      <c r="AQ21" s="331" t="s">
        <v>190</v>
      </c>
      <c r="AR21" s="331" t="s">
        <v>190</v>
      </c>
      <c r="AS21" s="331" t="s">
        <v>984</v>
      </c>
      <c r="AT21" s="331" t="s">
        <v>190</v>
      </c>
      <c r="AU21" s="331" t="s">
        <v>190</v>
      </c>
      <c r="AV21" s="331" t="s">
        <v>984</v>
      </c>
      <c r="AW21" s="331" t="s">
        <v>984</v>
      </c>
      <c r="AX21" s="331" t="s">
        <v>984</v>
      </c>
      <c r="AY21" s="331" t="s">
        <v>984</v>
      </c>
      <c r="AZ21" s="331" t="s">
        <v>984</v>
      </c>
      <c r="BA21" s="331" t="s">
        <v>984</v>
      </c>
      <c r="BB21" s="331" t="s">
        <v>984</v>
      </c>
      <c r="BC21" s="331" t="s">
        <v>984</v>
      </c>
      <c r="BD21" s="331" t="s">
        <v>984</v>
      </c>
      <c r="BE21" s="331" t="s">
        <v>984</v>
      </c>
      <c r="BF21" s="331" t="s">
        <v>984</v>
      </c>
      <c r="BG21" s="331" t="s">
        <v>984</v>
      </c>
      <c r="BH21" s="331" t="s">
        <v>984</v>
      </c>
      <c r="BI21" s="331" t="s">
        <v>984</v>
      </c>
      <c r="BJ21" s="331" t="s">
        <v>984</v>
      </c>
      <c r="BK21" s="331" t="s">
        <v>984</v>
      </c>
      <c r="BL21" s="331" t="s">
        <v>984</v>
      </c>
      <c r="BM21" s="331" t="s">
        <v>984</v>
      </c>
      <c r="BN21" s="331" t="s">
        <v>984</v>
      </c>
      <c r="BO21" s="331" t="s">
        <v>984</v>
      </c>
      <c r="BP21" s="331" t="s">
        <v>984</v>
      </c>
      <c r="BQ21" s="331" t="s">
        <v>984</v>
      </c>
      <c r="BR21" s="331" t="s">
        <v>984</v>
      </c>
      <c r="BS21" s="331" t="s">
        <v>984</v>
      </c>
      <c r="BT21" s="331" t="s">
        <v>984</v>
      </c>
      <c r="BU21" s="331" t="s">
        <v>984</v>
      </c>
      <c r="BV21" s="331" t="s">
        <v>428</v>
      </c>
      <c r="BW21" s="331" t="s">
        <v>428</v>
      </c>
      <c r="BX21" s="331" t="s">
        <v>984</v>
      </c>
      <c r="BY21" s="331" t="s">
        <v>984</v>
      </c>
      <c r="BZ21" s="331" t="s">
        <v>984</v>
      </c>
      <c r="CA21" s="331" t="s">
        <v>984</v>
      </c>
      <c r="CB21" s="331" t="s">
        <v>984</v>
      </c>
      <c r="CC21" s="331" t="s">
        <v>984</v>
      </c>
      <c r="CD21" s="331" t="s">
        <v>984</v>
      </c>
      <c r="CE21" s="331" t="s">
        <v>984</v>
      </c>
      <c r="CF21" s="331" t="s">
        <v>984</v>
      </c>
      <c r="CG21" s="331" t="s">
        <v>984</v>
      </c>
      <c r="CH21" s="331" t="s">
        <v>984</v>
      </c>
      <c r="CI21" s="331" t="s">
        <v>984</v>
      </c>
      <c r="CJ21" s="331" t="s">
        <v>984</v>
      </c>
      <c r="CK21" s="331" t="s">
        <v>190</v>
      </c>
      <c r="CL21" s="331" t="s">
        <v>190</v>
      </c>
      <c r="CM21" s="331" t="s">
        <v>190</v>
      </c>
      <c r="CN21" s="331" t="s">
        <v>190</v>
      </c>
      <c r="CO21" s="331" t="s">
        <v>190</v>
      </c>
      <c r="CP21" s="331" t="s">
        <v>190</v>
      </c>
      <c r="CQ21" s="331" t="s">
        <v>190</v>
      </c>
      <c r="CR21" s="331" t="s">
        <v>190</v>
      </c>
      <c r="CS21" s="331" t="s">
        <v>190</v>
      </c>
      <c r="CT21" s="331" t="s">
        <v>190</v>
      </c>
      <c r="CU21" s="331" t="s">
        <v>428</v>
      </c>
      <c r="CV21" s="331" t="s">
        <v>190</v>
      </c>
      <c r="CW21" s="331" t="s">
        <v>428</v>
      </c>
      <c r="CX21" s="331" t="s">
        <v>428</v>
      </c>
      <c r="CY21" s="331" t="s">
        <v>428</v>
      </c>
      <c r="CZ21" s="331" t="s">
        <v>428</v>
      </c>
      <c r="DA21" s="331" t="s">
        <v>428</v>
      </c>
      <c r="DB21" s="331" t="s">
        <v>428</v>
      </c>
      <c r="DC21" s="331" t="s">
        <v>428</v>
      </c>
      <c r="DD21" s="331" t="s">
        <v>428</v>
      </c>
      <c r="DE21" s="331" t="s">
        <v>428</v>
      </c>
      <c r="DF21" s="331" t="s">
        <v>428</v>
      </c>
      <c r="DG21" s="331" t="s">
        <v>428</v>
      </c>
      <c r="DH21" s="331" t="s">
        <v>428</v>
      </c>
      <c r="DI21" s="331" t="s">
        <v>428</v>
      </c>
      <c r="DJ21" s="331" t="s">
        <v>428</v>
      </c>
      <c r="DK21" s="331" t="s">
        <v>428</v>
      </c>
      <c r="DL21" s="331" t="s">
        <v>428</v>
      </c>
      <c r="DM21" s="331" t="s">
        <v>428</v>
      </c>
      <c r="DN21" s="331" t="s">
        <v>428</v>
      </c>
      <c r="DO21" s="331" t="s">
        <v>428</v>
      </c>
      <c r="DP21" s="331" t="s">
        <v>428</v>
      </c>
      <c r="DQ21" s="331" t="s">
        <v>428</v>
      </c>
      <c r="DR21" s="331" t="s">
        <v>428</v>
      </c>
      <c r="DS21" s="331" t="s">
        <v>428</v>
      </c>
      <c r="DT21" s="331" t="s">
        <v>428</v>
      </c>
      <c r="DU21" s="331" t="s">
        <v>190</v>
      </c>
      <c r="DV21" s="331" t="s">
        <v>190</v>
      </c>
      <c r="DW21" s="331" t="s">
        <v>190</v>
      </c>
      <c r="DX21" s="331" t="s">
        <v>190</v>
      </c>
      <c r="DY21" s="331" t="s">
        <v>190</v>
      </c>
      <c r="DZ21" s="331" t="s">
        <v>190</v>
      </c>
      <c r="EA21" s="331" t="s">
        <v>190</v>
      </c>
      <c r="EB21" s="331" t="s">
        <v>190</v>
      </c>
      <c r="EC21" s="331" t="s">
        <v>190</v>
      </c>
      <c r="ED21" s="331" t="s">
        <v>190</v>
      </c>
      <c r="EE21" s="331" t="s">
        <v>190</v>
      </c>
      <c r="EF21" s="331" t="s">
        <v>190</v>
      </c>
      <c r="EG21" s="331" t="s">
        <v>190</v>
      </c>
      <c r="EH21" s="331" t="s">
        <v>190</v>
      </c>
      <c r="EI21" s="331" t="s">
        <v>428</v>
      </c>
      <c r="EJ21" s="331" t="s">
        <v>428</v>
      </c>
      <c r="EK21" s="331" t="s">
        <v>428</v>
      </c>
      <c r="EL21" s="331" t="s">
        <v>428</v>
      </c>
      <c r="EM21" s="331" t="s">
        <v>428</v>
      </c>
      <c r="EN21" s="331" t="s">
        <v>428</v>
      </c>
      <c r="EO21" s="331" t="s">
        <v>190</v>
      </c>
      <c r="EP21" s="331" t="s">
        <v>428</v>
      </c>
      <c r="EQ21" s="331" t="s">
        <v>190</v>
      </c>
      <c r="ER21" s="331" t="s">
        <v>190</v>
      </c>
      <c r="ES21" s="331" t="s">
        <v>984</v>
      </c>
      <c r="ET21" s="331" t="s">
        <v>984</v>
      </c>
      <c r="EU21" s="331" t="s">
        <v>984</v>
      </c>
      <c r="EV21" s="331" t="s">
        <v>984</v>
      </c>
      <c r="EW21" s="331" t="s">
        <v>984</v>
      </c>
      <c r="EX21" s="331" t="s">
        <v>984</v>
      </c>
      <c r="EY21" s="331" t="s">
        <v>984</v>
      </c>
      <c r="EZ21" s="331" t="s">
        <v>984</v>
      </c>
      <c r="FA21" s="331" t="s">
        <v>984</v>
      </c>
      <c r="FB21" s="331" t="s">
        <v>984</v>
      </c>
      <c r="FC21" s="331" t="s">
        <v>984</v>
      </c>
      <c r="FD21" s="331" t="s">
        <v>984</v>
      </c>
      <c r="FE21" s="331" t="s">
        <v>984</v>
      </c>
      <c r="FF21" s="331" t="s">
        <v>984</v>
      </c>
      <c r="FG21" s="331" t="s">
        <v>984</v>
      </c>
      <c r="FH21" s="331" t="s">
        <v>984</v>
      </c>
      <c r="FI21" s="331" t="s">
        <v>984</v>
      </c>
      <c r="FJ21" s="331" t="s">
        <v>984</v>
      </c>
      <c r="FK21" s="331" t="s">
        <v>984</v>
      </c>
      <c r="FL21" s="331" t="s">
        <v>984</v>
      </c>
      <c r="FM21" s="331" t="s">
        <v>984</v>
      </c>
      <c r="FN21" s="331" t="s">
        <v>984</v>
      </c>
      <c r="FO21" s="331" t="s">
        <v>984</v>
      </c>
      <c r="FP21" s="331" t="s">
        <v>984</v>
      </c>
      <c r="FQ21" s="331" t="s">
        <v>984</v>
      </c>
      <c r="FR21" s="331" t="s">
        <v>428</v>
      </c>
      <c r="FS21" s="331" t="s">
        <v>984</v>
      </c>
      <c r="FT21" s="331" t="s">
        <v>984</v>
      </c>
      <c r="FU21" s="331" t="s">
        <v>984</v>
      </c>
      <c r="FV21" s="331" t="s">
        <v>984</v>
      </c>
      <c r="FW21" s="331" t="s">
        <v>984</v>
      </c>
      <c r="FX21" s="331" t="s">
        <v>984</v>
      </c>
      <c r="FY21" s="331" t="s">
        <v>984</v>
      </c>
      <c r="FZ21" s="331" t="s">
        <v>984</v>
      </c>
      <c r="GA21" s="331" t="s">
        <v>984</v>
      </c>
      <c r="GB21" s="331" t="s">
        <v>984</v>
      </c>
      <c r="GC21" s="331" t="s">
        <v>984</v>
      </c>
      <c r="GD21" s="331" t="s">
        <v>984</v>
      </c>
      <c r="GE21" s="331" t="s">
        <v>984</v>
      </c>
      <c r="GF21" s="331" t="s">
        <v>984</v>
      </c>
      <c r="GG21" s="331" t="s">
        <v>984</v>
      </c>
      <c r="GH21" s="331" t="s">
        <v>984</v>
      </c>
      <c r="GI21" s="331" t="s">
        <v>173</v>
      </c>
      <c r="GJ21" s="331" t="s">
        <v>984</v>
      </c>
      <c r="GK21" s="331" t="s">
        <v>984</v>
      </c>
      <c r="GL21" s="331" t="s">
        <v>984</v>
      </c>
      <c r="GM21" s="331" t="s">
        <v>984</v>
      </c>
      <c r="GN21" s="331" t="s">
        <v>984</v>
      </c>
      <c r="GO21" s="331" t="s">
        <v>984</v>
      </c>
      <c r="GP21" s="331" t="s">
        <v>984</v>
      </c>
      <c r="GQ21" s="331" t="s">
        <v>984</v>
      </c>
      <c r="GR21" s="331" t="s">
        <v>984</v>
      </c>
      <c r="GS21" s="331" t="s">
        <v>428</v>
      </c>
      <c r="GT21" s="331" t="s">
        <v>428</v>
      </c>
      <c r="GU21" s="331" t="s">
        <v>428</v>
      </c>
      <c r="GV21" s="331" t="s">
        <v>428</v>
      </c>
      <c r="GW21" s="331" t="s">
        <v>984</v>
      </c>
      <c r="GX21" s="331" t="s">
        <v>984</v>
      </c>
      <c r="GY21" s="331" t="s">
        <v>984</v>
      </c>
      <c r="GZ21" s="331" t="s">
        <v>984</v>
      </c>
      <c r="HA21" s="331" t="s">
        <v>984</v>
      </c>
      <c r="HB21" s="331" t="s">
        <v>984</v>
      </c>
      <c r="HC21" s="331" t="s">
        <v>984</v>
      </c>
      <c r="HD21" s="331" t="s">
        <v>984</v>
      </c>
      <c r="HE21" s="331" t="s">
        <v>984</v>
      </c>
      <c r="HF21" s="331" t="s">
        <v>984</v>
      </c>
      <c r="HG21" s="331" t="s">
        <v>984</v>
      </c>
      <c r="HH21" s="331" t="s">
        <v>984</v>
      </c>
      <c r="HI21" s="331" t="s">
        <v>984</v>
      </c>
      <c r="HJ21" s="331" t="s">
        <v>984</v>
      </c>
      <c r="HK21" s="331" t="s">
        <v>984</v>
      </c>
      <c r="HL21" s="331" t="s">
        <v>984</v>
      </c>
      <c r="HM21" s="331" t="s">
        <v>190</v>
      </c>
      <c r="HN21" s="331" t="s">
        <v>190</v>
      </c>
      <c r="HO21" s="331" t="s">
        <v>190</v>
      </c>
      <c r="HP21" s="331" t="s">
        <v>190</v>
      </c>
      <c r="HQ21" s="331" t="s">
        <v>170</v>
      </c>
      <c r="HR21" s="331" t="s">
        <v>429</v>
      </c>
      <c r="HS21" s="331" t="s">
        <v>169</v>
      </c>
      <c r="HT21" s="331" t="s">
        <v>427</v>
      </c>
      <c r="HU21" s="331" t="s">
        <v>190</v>
      </c>
      <c r="HV21" s="331" t="s">
        <v>190</v>
      </c>
    </row>
    <row r="22" spans="1:230" s="70" customFormat="1" x14ac:dyDescent="0.25">
      <c r="A22" s="330" t="str">
        <f>HYPERLINK("http://www.ofsted.gov.uk/inspection-reports/find-inspection-report/provider/ELS/118977 ","Ofsted School Webpage")</f>
        <v>Ofsted School Webpage</v>
      </c>
      <c r="B22" s="331">
        <v>118977</v>
      </c>
      <c r="C22" s="331">
        <v>8866035</v>
      </c>
      <c r="D22" s="331" t="s">
        <v>1490</v>
      </c>
      <c r="E22" s="331" t="s">
        <v>167</v>
      </c>
      <c r="F22" s="331" t="s">
        <v>514</v>
      </c>
      <c r="G22" s="331" t="s">
        <v>514</v>
      </c>
      <c r="H22" s="331" t="s">
        <v>614</v>
      </c>
      <c r="I22" s="331" t="s">
        <v>1491</v>
      </c>
      <c r="J22" s="331" t="s">
        <v>81</v>
      </c>
      <c r="K22" s="331" t="s">
        <v>59</v>
      </c>
      <c r="L22" s="331" t="s">
        <v>59</v>
      </c>
      <c r="M22" s="331" t="s">
        <v>59</v>
      </c>
      <c r="N22" s="331" t="s">
        <v>424</v>
      </c>
      <c r="O22" s="331">
        <v>10113395</v>
      </c>
      <c r="P22" s="332">
        <v>43719</v>
      </c>
      <c r="Q22" s="332">
        <v>43719</v>
      </c>
      <c r="R22" s="332">
        <v>43731</v>
      </c>
      <c r="S22" s="331" t="s">
        <v>985</v>
      </c>
      <c r="T22" s="331" t="s">
        <v>982</v>
      </c>
      <c r="U22" s="331" t="s">
        <v>427</v>
      </c>
      <c r="V22" s="331" t="s">
        <v>165</v>
      </c>
      <c r="W22" s="331" t="s">
        <v>984</v>
      </c>
      <c r="X22" s="331" t="s">
        <v>984</v>
      </c>
      <c r="Y22" s="331" t="s">
        <v>984</v>
      </c>
      <c r="Z22" s="331" t="s">
        <v>984</v>
      </c>
      <c r="AA22" s="331" t="s">
        <v>984</v>
      </c>
      <c r="AB22" s="331" t="s">
        <v>984</v>
      </c>
      <c r="AC22" s="331" t="s">
        <v>984</v>
      </c>
      <c r="AD22" s="331" t="s">
        <v>984</v>
      </c>
      <c r="AE22" s="331" t="s">
        <v>428</v>
      </c>
      <c r="AF22" s="331" t="s">
        <v>984</v>
      </c>
      <c r="AG22" s="331" t="s">
        <v>984</v>
      </c>
      <c r="AH22" s="331" t="s">
        <v>984</v>
      </c>
      <c r="AI22" s="331" t="s">
        <v>428</v>
      </c>
      <c r="AJ22" s="331" t="s">
        <v>428</v>
      </c>
      <c r="AK22" s="331" t="s">
        <v>428</v>
      </c>
      <c r="AL22" s="331" t="s">
        <v>428</v>
      </c>
      <c r="AM22" s="331" t="s">
        <v>984</v>
      </c>
      <c r="AN22" s="331" t="s">
        <v>428</v>
      </c>
      <c r="AO22" s="331" t="s">
        <v>984</v>
      </c>
      <c r="AP22" s="331" t="s">
        <v>984</v>
      </c>
      <c r="AQ22" s="331" t="s">
        <v>190</v>
      </c>
      <c r="AR22" s="331" t="s">
        <v>190</v>
      </c>
      <c r="AS22" s="331" t="s">
        <v>984</v>
      </c>
      <c r="AT22" s="331" t="s">
        <v>984</v>
      </c>
      <c r="AU22" s="331" t="s">
        <v>190</v>
      </c>
      <c r="AV22" s="331" t="s">
        <v>984</v>
      </c>
      <c r="AW22" s="331" t="s">
        <v>984</v>
      </c>
      <c r="AX22" s="331" t="s">
        <v>984</v>
      </c>
      <c r="AY22" s="331" t="s">
        <v>984</v>
      </c>
      <c r="AZ22" s="331" t="s">
        <v>984</v>
      </c>
      <c r="BA22" s="331" t="s">
        <v>984</v>
      </c>
      <c r="BB22" s="331" t="s">
        <v>984</v>
      </c>
      <c r="BC22" s="331" t="s">
        <v>984</v>
      </c>
      <c r="BD22" s="331" t="s">
        <v>984</v>
      </c>
      <c r="BE22" s="331" t="s">
        <v>984</v>
      </c>
      <c r="BF22" s="331" t="s">
        <v>984</v>
      </c>
      <c r="BG22" s="331" t="s">
        <v>984</v>
      </c>
      <c r="BH22" s="331" t="s">
        <v>984</v>
      </c>
      <c r="BI22" s="331" t="s">
        <v>984</v>
      </c>
      <c r="BJ22" s="331" t="s">
        <v>984</v>
      </c>
      <c r="BK22" s="331" t="s">
        <v>984</v>
      </c>
      <c r="BL22" s="331" t="s">
        <v>984</v>
      </c>
      <c r="BM22" s="331" t="s">
        <v>984</v>
      </c>
      <c r="BN22" s="331" t="s">
        <v>984</v>
      </c>
      <c r="BO22" s="331" t="s">
        <v>984</v>
      </c>
      <c r="BP22" s="331" t="s">
        <v>984</v>
      </c>
      <c r="BQ22" s="331" t="s">
        <v>984</v>
      </c>
      <c r="BR22" s="331" t="s">
        <v>190</v>
      </c>
      <c r="BS22" s="331" t="s">
        <v>190</v>
      </c>
      <c r="BT22" s="331" t="s">
        <v>190</v>
      </c>
      <c r="BU22" s="331" t="s">
        <v>428</v>
      </c>
      <c r="BV22" s="331" t="s">
        <v>428</v>
      </c>
      <c r="BW22" s="331" t="s">
        <v>428</v>
      </c>
      <c r="BX22" s="331" t="s">
        <v>984</v>
      </c>
      <c r="BY22" s="331" t="s">
        <v>984</v>
      </c>
      <c r="BZ22" s="331" t="s">
        <v>984</v>
      </c>
      <c r="CA22" s="331" t="s">
        <v>984</v>
      </c>
      <c r="CB22" s="331" t="s">
        <v>984</v>
      </c>
      <c r="CC22" s="331" t="s">
        <v>190</v>
      </c>
      <c r="CD22" s="331" t="s">
        <v>190</v>
      </c>
      <c r="CE22" s="331" t="s">
        <v>984</v>
      </c>
      <c r="CF22" s="331" t="s">
        <v>984</v>
      </c>
      <c r="CG22" s="331" t="s">
        <v>984</v>
      </c>
      <c r="CH22" s="331" t="s">
        <v>190</v>
      </c>
      <c r="CI22" s="331" t="s">
        <v>190</v>
      </c>
      <c r="CJ22" s="331" t="s">
        <v>190</v>
      </c>
      <c r="CK22" s="331" t="s">
        <v>190</v>
      </c>
      <c r="CL22" s="331" t="s">
        <v>984</v>
      </c>
      <c r="CM22" s="331" t="s">
        <v>190</v>
      </c>
      <c r="CN22" s="331" t="s">
        <v>984</v>
      </c>
      <c r="CO22" s="331" t="s">
        <v>984</v>
      </c>
      <c r="CP22" s="331" t="s">
        <v>984</v>
      </c>
      <c r="CQ22" s="331" t="s">
        <v>984</v>
      </c>
      <c r="CR22" s="331" t="s">
        <v>984</v>
      </c>
      <c r="CS22" s="331" t="s">
        <v>984</v>
      </c>
      <c r="CT22" s="331" t="s">
        <v>984</v>
      </c>
      <c r="CU22" s="331" t="s">
        <v>428</v>
      </c>
      <c r="CV22" s="331" t="s">
        <v>190</v>
      </c>
      <c r="CW22" s="331" t="s">
        <v>984</v>
      </c>
      <c r="CX22" s="331" t="s">
        <v>984</v>
      </c>
      <c r="CY22" s="331" t="s">
        <v>984</v>
      </c>
      <c r="CZ22" s="331" t="s">
        <v>984</v>
      </c>
      <c r="DA22" s="331" t="s">
        <v>984</v>
      </c>
      <c r="DB22" s="331" t="s">
        <v>984</v>
      </c>
      <c r="DC22" s="331" t="s">
        <v>984</v>
      </c>
      <c r="DD22" s="331" t="s">
        <v>984</v>
      </c>
      <c r="DE22" s="331" t="s">
        <v>984</v>
      </c>
      <c r="DF22" s="331" t="s">
        <v>984</v>
      </c>
      <c r="DG22" s="331" t="s">
        <v>984</v>
      </c>
      <c r="DH22" s="331" t="s">
        <v>984</v>
      </c>
      <c r="DI22" s="331" t="s">
        <v>984</v>
      </c>
      <c r="DJ22" s="331" t="s">
        <v>428</v>
      </c>
      <c r="DK22" s="331" t="s">
        <v>984</v>
      </c>
      <c r="DL22" s="331" t="s">
        <v>984</v>
      </c>
      <c r="DM22" s="331" t="s">
        <v>984</v>
      </c>
      <c r="DN22" s="331" t="s">
        <v>984</v>
      </c>
      <c r="DO22" s="331" t="s">
        <v>984</v>
      </c>
      <c r="DP22" s="331" t="s">
        <v>984</v>
      </c>
      <c r="DQ22" s="331" t="s">
        <v>984</v>
      </c>
      <c r="DR22" s="331" t="s">
        <v>984</v>
      </c>
      <c r="DS22" s="331" t="s">
        <v>984</v>
      </c>
      <c r="DT22" s="331" t="s">
        <v>984</v>
      </c>
      <c r="DU22" s="331" t="s">
        <v>190</v>
      </c>
      <c r="DV22" s="331" t="s">
        <v>984</v>
      </c>
      <c r="DW22" s="331" t="s">
        <v>190</v>
      </c>
      <c r="DX22" s="331" t="s">
        <v>190</v>
      </c>
      <c r="DY22" s="331" t="s">
        <v>984</v>
      </c>
      <c r="DZ22" s="331" t="s">
        <v>190</v>
      </c>
      <c r="EA22" s="331" t="s">
        <v>190</v>
      </c>
      <c r="EB22" s="331" t="s">
        <v>984</v>
      </c>
      <c r="EC22" s="331" t="s">
        <v>984</v>
      </c>
      <c r="ED22" s="331" t="s">
        <v>984</v>
      </c>
      <c r="EE22" s="331" t="s">
        <v>984</v>
      </c>
      <c r="EF22" s="331" t="s">
        <v>984</v>
      </c>
      <c r="EG22" s="331" t="s">
        <v>190</v>
      </c>
      <c r="EH22" s="331" t="s">
        <v>984</v>
      </c>
      <c r="EI22" s="331" t="s">
        <v>984</v>
      </c>
      <c r="EJ22" s="331" t="s">
        <v>984</v>
      </c>
      <c r="EK22" s="331" t="s">
        <v>984</v>
      </c>
      <c r="EL22" s="331" t="s">
        <v>984</v>
      </c>
      <c r="EM22" s="331" t="s">
        <v>984</v>
      </c>
      <c r="EN22" s="331" t="s">
        <v>984</v>
      </c>
      <c r="EO22" s="331" t="s">
        <v>984</v>
      </c>
      <c r="EP22" s="331" t="s">
        <v>984</v>
      </c>
      <c r="EQ22" s="331" t="s">
        <v>984</v>
      </c>
      <c r="ER22" s="331" t="s">
        <v>984</v>
      </c>
      <c r="ES22" s="331" t="s">
        <v>984</v>
      </c>
      <c r="ET22" s="331" t="s">
        <v>984</v>
      </c>
      <c r="EU22" s="331" t="s">
        <v>984</v>
      </c>
      <c r="EV22" s="331" t="s">
        <v>428</v>
      </c>
      <c r="EW22" s="331" t="s">
        <v>984</v>
      </c>
      <c r="EX22" s="331" t="s">
        <v>984</v>
      </c>
      <c r="EY22" s="331" t="s">
        <v>984</v>
      </c>
      <c r="EZ22" s="331" t="s">
        <v>428</v>
      </c>
      <c r="FA22" s="331" t="s">
        <v>984</v>
      </c>
      <c r="FB22" s="331" t="s">
        <v>190</v>
      </c>
      <c r="FC22" s="331" t="s">
        <v>984</v>
      </c>
      <c r="FD22" s="331" t="s">
        <v>984</v>
      </c>
      <c r="FE22" s="331" t="s">
        <v>984</v>
      </c>
      <c r="FF22" s="331" t="s">
        <v>984</v>
      </c>
      <c r="FG22" s="331" t="s">
        <v>984</v>
      </c>
      <c r="FH22" s="331" t="s">
        <v>984</v>
      </c>
      <c r="FI22" s="331" t="s">
        <v>984</v>
      </c>
      <c r="FJ22" s="331" t="s">
        <v>984</v>
      </c>
      <c r="FK22" s="331" t="s">
        <v>984</v>
      </c>
      <c r="FL22" s="331" t="s">
        <v>984</v>
      </c>
      <c r="FM22" s="331" t="s">
        <v>984</v>
      </c>
      <c r="FN22" s="331" t="s">
        <v>984</v>
      </c>
      <c r="FO22" s="331" t="s">
        <v>984</v>
      </c>
      <c r="FP22" s="331" t="s">
        <v>984</v>
      </c>
      <c r="FQ22" s="331" t="s">
        <v>984</v>
      </c>
      <c r="FR22" s="331" t="s">
        <v>428</v>
      </c>
      <c r="FS22" s="331" t="s">
        <v>984</v>
      </c>
      <c r="FT22" s="331" t="s">
        <v>984</v>
      </c>
      <c r="FU22" s="331" t="s">
        <v>984</v>
      </c>
      <c r="FV22" s="331" t="s">
        <v>190</v>
      </c>
      <c r="FW22" s="331" t="s">
        <v>984</v>
      </c>
      <c r="FX22" s="331" t="s">
        <v>428</v>
      </c>
      <c r="FY22" s="331" t="s">
        <v>984</v>
      </c>
      <c r="FZ22" s="331" t="s">
        <v>984</v>
      </c>
      <c r="GA22" s="331" t="s">
        <v>984</v>
      </c>
      <c r="GB22" s="331" t="s">
        <v>984</v>
      </c>
      <c r="GC22" s="331" t="s">
        <v>984</v>
      </c>
      <c r="GD22" s="331" t="s">
        <v>984</v>
      </c>
      <c r="GE22" s="331" t="s">
        <v>984</v>
      </c>
      <c r="GF22" s="331" t="s">
        <v>984</v>
      </c>
      <c r="GG22" s="331" t="s">
        <v>984</v>
      </c>
      <c r="GH22" s="331" t="s">
        <v>428</v>
      </c>
      <c r="GI22" s="331" t="s">
        <v>428</v>
      </c>
      <c r="GJ22" s="331" t="s">
        <v>984</v>
      </c>
      <c r="GK22" s="331" t="s">
        <v>984</v>
      </c>
      <c r="GL22" s="331" t="s">
        <v>984</v>
      </c>
      <c r="GM22" s="331" t="s">
        <v>984</v>
      </c>
      <c r="GN22" s="331" t="s">
        <v>984</v>
      </c>
      <c r="GO22" s="331" t="s">
        <v>984</v>
      </c>
      <c r="GP22" s="331" t="s">
        <v>984</v>
      </c>
      <c r="GQ22" s="331" t="s">
        <v>984</v>
      </c>
      <c r="GR22" s="331" t="s">
        <v>984</v>
      </c>
      <c r="GS22" s="331" t="s">
        <v>984</v>
      </c>
      <c r="GT22" s="331" t="s">
        <v>984</v>
      </c>
      <c r="GU22" s="331" t="s">
        <v>984</v>
      </c>
      <c r="GV22" s="331" t="s">
        <v>984</v>
      </c>
      <c r="GW22" s="331" t="s">
        <v>984</v>
      </c>
      <c r="GX22" s="331" t="s">
        <v>984</v>
      </c>
      <c r="GY22" s="331" t="s">
        <v>984</v>
      </c>
      <c r="GZ22" s="331" t="s">
        <v>984</v>
      </c>
      <c r="HA22" s="331" t="s">
        <v>984</v>
      </c>
      <c r="HB22" s="331" t="s">
        <v>984</v>
      </c>
      <c r="HC22" s="331" t="s">
        <v>984</v>
      </c>
      <c r="HD22" s="331" t="s">
        <v>984</v>
      </c>
      <c r="HE22" s="331" t="s">
        <v>984</v>
      </c>
      <c r="HF22" s="331" t="s">
        <v>984</v>
      </c>
      <c r="HG22" s="331" t="s">
        <v>984</v>
      </c>
      <c r="HH22" s="331" t="s">
        <v>984</v>
      </c>
      <c r="HI22" s="331" t="s">
        <v>984</v>
      </c>
      <c r="HJ22" s="331" t="s">
        <v>984</v>
      </c>
      <c r="HK22" s="331" t="s">
        <v>984</v>
      </c>
      <c r="HL22" s="331" t="s">
        <v>984</v>
      </c>
      <c r="HM22" s="331" t="s">
        <v>190</v>
      </c>
      <c r="HN22" s="331" t="s">
        <v>190</v>
      </c>
      <c r="HO22" s="331" t="s">
        <v>190</v>
      </c>
      <c r="HP22" s="331" t="s">
        <v>190</v>
      </c>
      <c r="HQ22" s="331" t="s">
        <v>170</v>
      </c>
      <c r="HR22" s="331" t="s">
        <v>429</v>
      </c>
      <c r="HS22" s="331" t="s">
        <v>169</v>
      </c>
      <c r="HT22" s="331" t="s">
        <v>427</v>
      </c>
      <c r="HU22" s="331" t="s">
        <v>190</v>
      </c>
      <c r="HV22" s="331" t="s">
        <v>190</v>
      </c>
    </row>
    <row r="23" spans="1:230" s="70" customFormat="1" x14ac:dyDescent="0.25">
      <c r="A23" s="330" t="str">
        <f>HYPERLINK("http://www.ofsted.gov.uk/inspection-reports/find-inspection-report/provider/ELS/136954 ","Ofsted School Webpage")</f>
        <v>Ofsted School Webpage</v>
      </c>
      <c r="B23" s="331">
        <v>136954</v>
      </c>
      <c r="C23" s="331">
        <v>8306003</v>
      </c>
      <c r="D23" s="331" t="s">
        <v>711</v>
      </c>
      <c r="E23" s="331" t="s">
        <v>168</v>
      </c>
      <c r="F23" s="331" t="s">
        <v>506</v>
      </c>
      <c r="G23" s="331" t="s">
        <v>506</v>
      </c>
      <c r="H23" s="331" t="s">
        <v>507</v>
      </c>
      <c r="I23" s="331" t="s">
        <v>712</v>
      </c>
      <c r="J23" s="331" t="s">
        <v>81</v>
      </c>
      <c r="K23" s="331" t="s">
        <v>81</v>
      </c>
      <c r="L23" s="331" t="s">
        <v>81</v>
      </c>
      <c r="M23" s="331" t="s">
        <v>78</v>
      </c>
      <c r="N23" s="331" t="s">
        <v>424</v>
      </c>
      <c r="O23" s="331">
        <v>10115691</v>
      </c>
      <c r="P23" s="332">
        <v>43720</v>
      </c>
      <c r="Q23" s="332">
        <v>43720</v>
      </c>
      <c r="R23" s="332">
        <v>43737</v>
      </c>
      <c r="S23" s="331" t="s">
        <v>981</v>
      </c>
      <c r="T23" s="331" t="s">
        <v>982</v>
      </c>
      <c r="U23" s="331" t="s">
        <v>427</v>
      </c>
      <c r="V23" s="331" t="s">
        <v>983</v>
      </c>
      <c r="W23" s="331" t="s">
        <v>190</v>
      </c>
      <c r="X23" s="331" t="s">
        <v>190</v>
      </c>
      <c r="Y23" s="331" t="s">
        <v>190</v>
      </c>
      <c r="Z23" s="331" t="s">
        <v>190</v>
      </c>
      <c r="AA23" s="331" t="s">
        <v>984</v>
      </c>
      <c r="AB23" s="331" t="s">
        <v>984</v>
      </c>
      <c r="AC23" s="331" t="s">
        <v>984</v>
      </c>
      <c r="AD23" s="331" t="s">
        <v>984</v>
      </c>
      <c r="AE23" s="331" t="s">
        <v>984</v>
      </c>
      <c r="AF23" s="331" t="s">
        <v>984</v>
      </c>
      <c r="AG23" s="331" t="s">
        <v>984</v>
      </c>
      <c r="AH23" s="331" t="s">
        <v>984</v>
      </c>
      <c r="AI23" s="331" t="s">
        <v>984</v>
      </c>
      <c r="AJ23" s="331" t="s">
        <v>984</v>
      </c>
      <c r="AK23" s="331" t="s">
        <v>984</v>
      </c>
      <c r="AL23" s="331" t="s">
        <v>984</v>
      </c>
      <c r="AM23" s="331" t="s">
        <v>984</v>
      </c>
      <c r="AN23" s="331" t="s">
        <v>984</v>
      </c>
      <c r="AO23" s="331" t="s">
        <v>984</v>
      </c>
      <c r="AP23" s="331" t="s">
        <v>984</v>
      </c>
      <c r="AQ23" s="331" t="s">
        <v>190</v>
      </c>
      <c r="AR23" s="331" t="s">
        <v>190</v>
      </c>
      <c r="AS23" s="331" t="s">
        <v>190</v>
      </c>
      <c r="AT23" s="331" t="s">
        <v>190</v>
      </c>
      <c r="AU23" s="331" t="s">
        <v>190</v>
      </c>
      <c r="AV23" s="331" t="s">
        <v>190</v>
      </c>
      <c r="AW23" s="331" t="s">
        <v>190</v>
      </c>
      <c r="AX23" s="331" t="s">
        <v>190</v>
      </c>
      <c r="AY23" s="331" t="s">
        <v>984</v>
      </c>
      <c r="AZ23" s="331" t="s">
        <v>984</v>
      </c>
      <c r="BA23" s="331" t="s">
        <v>984</v>
      </c>
      <c r="BB23" s="331" t="s">
        <v>984</v>
      </c>
      <c r="BC23" s="331" t="s">
        <v>984</v>
      </c>
      <c r="BD23" s="331" t="s">
        <v>984</v>
      </c>
      <c r="BE23" s="331" t="s">
        <v>984</v>
      </c>
      <c r="BF23" s="331" t="s">
        <v>984</v>
      </c>
      <c r="BG23" s="331" t="s">
        <v>984</v>
      </c>
      <c r="BH23" s="331" t="s">
        <v>984</v>
      </c>
      <c r="BI23" s="331" t="s">
        <v>984</v>
      </c>
      <c r="BJ23" s="331" t="s">
        <v>984</v>
      </c>
      <c r="BK23" s="331" t="s">
        <v>984</v>
      </c>
      <c r="BL23" s="331" t="s">
        <v>984</v>
      </c>
      <c r="BM23" s="331" t="s">
        <v>984</v>
      </c>
      <c r="BN23" s="331" t="s">
        <v>984</v>
      </c>
      <c r="BO23" s="331" t="s">
        <v>984</v>
      </c>
      <c r="BP23" s="331" t="s">
        <v>984</v>
      </c>
      <c r="BQ23" s="331" t="s">
        <v>984</v>
      </c>
      <c r="BR23" s="331" t="s">
        <v>190</v>
      </c>
      <c r="BS23" s="331" t="s">
        <v>190</v>
      </c>
      <c r="BT23" s="331" t="s">
        <v>190</v>
      </c>
      <c r="BU23" s="331" t="s">
        <v>984</v>
      </c>
      <c r="BV23" s="331" t="s">
        <v>984</v>
      </c>
      <c r="BW23" s="331" t="s">
        <v>984</v>
      </c>
      <c r="BX23" s="331" t="s">
        <v>984</v>
      </c>
      <c r="BY23" s="331" t="s">
        <v>984</v>
      </c>
      <c r="BZ23" s="331" t="s">
        <v>984</v>
      </c>
      <c r="CA23" s="331" t="s">
        <v>984</v>
      </c>
      <c r="CB23" s="331" t="s">
        <v>984</v>
      </c>
      <c r="CC23" s="331" t="s">
        <v>190</v>
      </c>
      <c r="CD23" s="331" t="s">
        <v>190</v>
      </c>
      <c r="CE23" s="331" t="s">
        <v>984</v>
      </c>
      <c r="CF23" s="331" t="s">
        <v>190</v>
      </c>
      <c r="CG23" s="331" t="s">
        <v>984</v>
      </c>
      <c r="CH23" s="331" t="s">
        <v>190</v>
      </c>
      <c r="CI23" s="331" t="s">
        <v>190</v>
      </c>
      <c r="CJ23" s="331" t="s">
        <v>190</v>
      </c>
      <c r="CK23" s="331" t="s">
        <v>984</v>
      </c>
      <c r="CL23" s="331" t="s">
        <v>984</v>
      </c>
      <c r="CM23" s="331" t="s">
        <v>984</v>
      </c>
      <c r="CN23" s="331" t="s">
        <v>984</v>
      </c>
      <c r="CO23" s="331" t="s">
        <v>984</v>
      </c>
      <c r="CP23" s="331" t="s">
        <v>984</v>
      </c>
      <c r="CQ23" s="331" t="s">
        <v>984</v>
      </c>
      <c r="CR23" s="331" t="s">
        <v>984</v>
      </c>
      <c r="CS23" s="331" t="s">
        <v>984</v>
      </c>
      <c r="CT23" s="331" t="s">
        <v>984</v>
      </c>
      <c r="CU23" s="331" t="s">
        <v>984</v>
      </c>
      <c r="CV23" s="331" t="s">
        <v>984</v>
      </c>
      <c r="CW23" s="331" t="s">
        <v>984</v>
      </c>
      <c r="CX23" s="331" t="s">
        <v>984</v>
      </c>
      <c r="CY23" s="331" t="s">
        <v>984</v>
      </c>
      <c r="CZ23" s="331" t="s">
        <v>984</v>
      </c>
      <c r="DA23" s="331" t="s">
        <v>984</v>
      </c>
      <c r="DB23" s="331" t="s">
        <v>984</v>
      </c>
      <c r="DC23" s="331" t="s">
        <v>984</v>
      </c>
      <c r="DD23" s="331" t="s">
        <v>984</v>
      </c>
      <c r="DE23" s="331" t="s">
        <v>984</v>
      </c>
      <c r="DF23" s="331" t="s">
        <v>984</v>
      </c>
      <c r="DG23" s="331" t="s">
        <v>984</v>
      </c>
      <c r="DH23" s="331" t="s">
        <v>984</v>
      </c>
      <c r="DI23" s="331" t="s">
        <v>984</v>
      </c>
      <c r="DJ23" s="331" t="s">
        <v>984</v>
      </c>
      <c r="DK23" s="331" t="s">
        <v>984</v>
      </c>
      <c r="DL23" s="331" t="s">
        <v>984</v>
      </c>
      <c r="DM23" s="331" t="s">
        <v>984</v>
      </c>
      <c r="DN23" s="331" t="s">
        <v>984</v>
      </c>
      <c r="DO23" s="331" t="s">
        <v>984</v>
      </c>
      <c r="DP23" s="331" t="s">
        <v>984</v>
      </c>
      <c r="DQ23" s="331" t="s">
        <v>984</v>
      </c>
      <c r="DR23" s="331" t="s">
        <v>984</v>
      </c>
      <c r="DS23" s="331" t="s">
        <v>984</v>
      </c>
      <c r="DT23" s="331" t="s">
        <v>984</v>
      </c>
      <c r="DU23" s="331" t="s">
        <v>984</v>
      </c>
      <c r="DV23" s="331" t="s">
        <v>984</v>
      </c>
      <c r="DW23" s="331" t="s">
        <v>984</v>
      </c>
      <c r="DX23" s="331" t="s">
        <v>984</v>
      </c>
      <c r="DY23" s="331" t="s">
        <v>984</v>
      </c>
      <c r="DZ23" s="331" t="s">
        <v>984</v>
      </c>
      <c r="EA23" s="331" t="s">
        <v>984</v>
      </c>
      <c r="EB23" s="331" t="s">
        <v>984</v>
      </c>
      <c r="EC23" s="331" t="s">
        <v>984</v>
      </c>
      <c r="ED23" s="331" t="s">
        <v>984</v>
      </c>
      <c r="EE23" s="331" t="s">
        <v>984</v>
      </c>
      <c r="EF23" s="331" t="s">
        <v>984</v>
      </c>
      <c r="EG23" s="331" t="s">
        <v>984</v>
      </c>
      <c r="EH23" s="331" t="s">
        <v>984</v>
      </c>
      <c r="EI23" s="331" t="s">
        <v>984</v>
      </c>
      <c r="EJ23" s="331" t="s">
        <v>984</v>
      </c>
      <c r="EK23" s="331" t="s">
        <v>984</v>
      </c>
      <c r="EL23" s="331" t="s">
        <v>984</v>
      </c>
      <c r="EM23" s="331" t="s">
        <v>984</v>
      </c>
      <c r="EN23" s="331" t="s">
        <v>984</v>
      </c>
      <c r="EO23" s="331" t="s">
        <v>984</v>
      </c>
      <c r="EP23" s="331" t="s">
        <v>984</v>
      </c>
      <c r="EQ23" s="331" t="s">
        <v>984</v>
      </c>
      <c r="ER23" s="331" t="s">
        <v>984</v>
      </c>
      <c r="ES23" s="331" t="s">
        <v>190</v>
      </c>
      <c r="ET23" s="331" t="s">
        <v>190</v>
      </c>
      <c r="EU23" s="331" t="s">
        <v>190</v>
      </c>
      <c r="EV23" s="331" t="s">
        <v>190</v>
      </c>
      <c r="EW23" s="331" t="s">
        <v>190</v>
      </c>
      <c r="EX23" s="331" t="s">
        <v>190</v>
      </c>
      <c r="EY23" s="331" t="s">
        <v>190</v>
      </c>
      <c r="EZ23" s="331" t="s">
        <v>428</v>
      </c>
      <c r="FA23" s="331" t="s">
        <v>190</v>
      </c>
      <c r="FB23" s="331" t="s">
        <v>190</v>
      </c>
      <c r="FC23" s="331" t="s">
        <v>190</v>
      </c>
      <c r="FD23" s="331" t="s">
        <v>190</v>
      </c>
      <c r="FE23" s="331" t="s">
        <v>190</v>
      </c>
      <c r="FF23" s="331" t="s">
        <v>190</v>
      </c>
      <c r="FG23" s="331" t="s">
        <v>190</v>
      </c>
      <c r="FH23" s="331" t="s">
        <v>190</v>
      </c>
      <c r="FI23" s="331" t="s">
        <v>190</v>
      </c>
      <c r="FJ23" s="331" t="s">
        <v>190</v>
      </c>
      <c r="FK23" s="331" t="s">
        <v>190</v>
      </c>
      <c r="FL23" s="331" t="s">
        <v>190</v>
      </c>
      <c r="FM23" s="331" t="s">
        <v>190</v>
      </c>
      <c r="FN23" s="331" t="s">
        <v>190</v>
      </c>
      <c r="FO23" s="331" t="s">
        <v>190</v>
      </c>
      <c r="FP23" s="331" t="s">
        <v>190</v>
      </c>
      <c r="FQ23" s="331" t="s">
        <v>190</v>
      </c>
      <c r="FR23" s="331" t="s">
        <v>428</v>
      </c>
      <c r="FS23" s="331" t="s">
        <v>984</v>
      </c>
      <c r="FT23" s="331" t="s">
        <v>984</v>
      </c>
      <c r="FU23" s="331" t="s">
        <v>984</v>
      </c>
      <c r="FV23" s="331" t="s">
        <v>984</v>
      </c>
      <c r="FW23" s="331" t="s">
        <v>984</v>
      </c>
      <c r="FX23" s="331" t="s">
        <v>984</v>
      </c>
      <c r="FY23" s="331" t="s">
        <v>984</v>
      </c>
      <c r="FZ23" s="331" t="s">
        <v>984</v>
      </c>
      <c r="GA23" s="331" t="s">
        <v>984</v>
      </c>
      <c r="GB23" s="331" t="s">
        <v>984</v>
      </c>
      <c r="GC23" s="331" t="s">
        <v>984</v>
      </c>
      <c r="GD23" s="331" t="s">
        <v>984</v>
      </c>
      <c r="GE23" s="331" t="s">
        <v>984</v>
      </c>
      <c r="GF23" s="331" t="s">
        <v>984</v>
      </c>
      <c r="GG23" s="331" t="s">
        <v>984</v>
      </c>
      <c r="GH23" s="331" t="s">
        <v>984</v>
      </c>
      <c r="GI23" s="331" t="s">
        <v>984</v>
      </c>
      <c r="GJ23" s="331" t="s">
        <v>984</v>
      </c>
      <c r="GK23" s="331" t="s">
        <v>984</v>
      </c>
      <c r="GL23" s="331" t="s">
        <v>984</v>
      </c>
      <c r="GM23" s="331" t="s">
        <v>984</v>
      </c>
      <c r="GN23" s="331" t="s">
        <v>984</v>
      </c>
      <c r="GO23" s="331" t="s">
        <v>984</v>
      </c>
      <c r="GP23" s="331" t="s">
        <v>984</v>
      </c>
      <c r="GQ23" s="331" t="s">
        <v>984</v>
      </c>
      <c r="GR23" s="331" t="s">
        <v>984</v>
      </c>
      <c r="GS23" s="331" t="s">
        <v>984</v>
      </c>
      <c r="GT23" s="331" t="s">
        <v>984</v>
      </c>
      <c r="GU23" s="331" t="s">
        <v>984</v>
      </c>
      <c r="GV23" s="331" t="s">
        <v>984</v>
      </c>
      <c r="GW23" s="331" t="s">
        <v>984</v>
      </c>
      <c r="GX23" s="331" t="s">
        <v>984</v>
      </c>
      <c r="GY23" s="331" t="s">
        <v>984</v>
      </c>
      <c r="GZ23" s="331" t="s">
        <v>984</v>
      </c>
      <c r="HA23" s="331" t="s">
        <v>984</v>
      </c>
      <c r="HB23" s="331" t="s">
        <v>984</v>
      </c>
      <c r="HC23" s="331" t="s">
        <v>984</v>
      </c>
      <c r="HD23" s="331" t="s">
        <v>984</v>
      </c>
      <c r="HE23" s="331" t="s">
        <v>984</v>
      </c>
      <c r="HF23" s="331" t="s">
        <v>984</v>
      </c>
      <c r="HG23" s="331" t="s">
        <v>984</v>
      </c>
      <c r="HH23" s="331" t="s">
        <v>984</v>
      </c>
      <c r="HI23" s="331" t="s">
        <v>984</v>
      </c>
      <c r="HJ23" s="331" t="s">
        <v>984</v>
      </c>
      <c r="HK23" s="331" t="s">
        <v>984</v>
      </c>
      <c r="HL23" s="331" t="s">
        <v>984</v>
      </c>
      <c r="HM23" s="331" t="s">
        <v>984</v>
      </c>
      <c r="HN23" s="331" t="s">
        <v>984</v>
      </c>
      <c r="HO23" s="331" t="s">
        <v>984</v>
      </c>
      <c r="HP23" s="331" t="s">
        <v>984</v>
      </c>
      <c r="HQ23" s="331" t="s">
        <v>169</v>
      </c>
      <c r="HR23" s="331" t="s">
        <v>169</v>
      </c>
      <c r="HS23" s="331" t="s">
        <v>169</v>
      </c>
      <c r="HT23" s="331" t="s">
        <v>427</v>
      </c>
      <c r="HU23" s="331" t="s">
        <v>428</v>
      </c>
      <c r="HV23" s="331" t="s">
        <v>428</v>
      </c>
    </row>
    <row r="24" spans="1:230" s="70" customFormat="1" x14ac:dyDescent="0.25">
      <c r="A24" s="330" t="str">
        <f>HYPERLINK("http://www.ofsted.gov.uk/inspection-reports/find-inspection-report/provider/ELS/100078 ","Ofsted School Webpage")</f>
        <v>Ofsted School Webpage</v>
      </c>
      <c r="B24" s="331">
        <v>100078</v>
      </c>
      <c r="C24" s="331">
        <v>2026360</v>
      </c>
      <c r="D24" s="331" t="s">
        <v>1038</v>
      </c>
      <c r="E24" s="331" t="s">
        <v>167</v>
      </c>
      <c r="F24" s="331" t="s">
        <v>441</v>
      </c>
      <c r="G24" s="331" t="s">
        <v>441</v>
      </c>
      <c r="H24" s="331" t="s">
        <v>1039</v>
      </c>
      <c r="I24" s="331" t="s">
        <v>1040</v>
      </c>
      <c r="J24" s="331" t="s">
        <v>81</v>
      </c>
      <c r="K24" s="331" t="s">
        <v>81</v>
      </c>
      <c r="L24" s="331" t="s">
        <v>81</v>
      </c>
      <c r="M24" s="331" t="s">
        <v>78</v>
      </c>
      <c r="N24" s="331" t="s">
        <v>424</v>
      </c>
      <c r="O24" s="331">
        <v>10119842</v>
      </c>
      <c r="P24" s="332">
        <v>43720</v>
      </c>
      <c r="Q24" s="332">
        <v>43720</v>
      </c>
      <c r="R24" s="332">
        <v>43755</v>
      </c>
      <c r="S24" s="331" t="s">
        <v>1061</v>
      </c>
      <c r="T24" s="331" t="s">
        <v>982</v>
      </c>
      <c r="U24" s="331" t="s">
        <v>427</v>
      </c>
      <c r="V24" s="331" t="s">
        <v>165</v>
      </c>
      <c r="W24" s="331" t="s">
        <v>984</v>
      </c>
      <c r="X24" s="331" t="s">
        <v>984</v>
      </c>
      <c r="Y24" s="331" t="s">
        <v>984</v>
      </c>
      <c r="Z24" s="331" t="s">
        <v>984</v>
      </c>
      <c r="AA24" s="331" t="s">
        <v>984</v>
      </c>
      <c r="AB24" s="331" t="s">
        <v>984</v>
      </c>
      <c r="AC24" s="331" t="s">
        <v>984</v>
      </c>
      <c r="AD24" s="331" t="s">
        <v>984</v>
      </c>
      <c r="AE24" s="331" t="s">
        <v>984</v>
      </c>
      <c r="AF24" s="331" t="s">
        <v>984</v>
      </c>
      <c r="AG24" s="331" t="s">
        <v>984</v>
      </c>
      <c r="AH24" s="331" t="s">
        <v>984</v>
      </c>
      <c r="AI24" s="331" t="s">
        <v>984</v>
      </c>
      <c r="AJ24" s="331" t="s">
        <v>984</v>
      </c>
      <c r="AK24" s="331" t="s">
        <v>984</v>
      </c>
      <c r="AL24" s="331" t="s">
        <v>984</v>
      </c>
      <c r="AM24" s="331" t="s">
        <v>984</v>
      </c>
      <c r="AN24" s="331" t="s">
        <v>428</v>
      </c>
      <c r="AO24" s="331" t="s">
        <v>984</v>
      </c>
      <c r="AP24" s="331" t="s">
        <v>984</v>
      </c>
      <c r="AQ24" s="331" t="s">
        <v>190</v>
      </c>
      <c r="AR24" s="331" t="s">
        <v>190</v>
      </c>
      <c r="AS24" s="331" t="s">
        <v>984</v>
      </c>
      <c r="AT24" s="331" t="s">
        <v>984</v>
      </c>
      <c r="AU24" s="331" t="s">
        <v>984</v>
      </c>
      <c r="AV24" s="331" t="s">
        <v>984</v>
      </c>
      <c r="AW24" s="331" t="s">
        <v>984</v>
      </c>
      <c r="AX24" s="331" t="s">
        <v>984</v>
      </c>
      <c r="AY24" s="331" t="s">
        <v>984</v>
      </c>
      <c r="AZ24" s="331" t="s">
        <v>984</v>
      </c>
      <c r="BA24" s="331" t="s">
        <v>984</v>
      </c>
      <c r="BB24" s="331" t="s">
        <v>984</v>
      </c>
      <c r="BC24" s="331" t="s">
        <v>984</v>
      </c>
      <c r="BD24" s="331" t="s">
        <v>984</v>
      </c>
      <c r="BE24" s="331" t="s">
        <v>984</v>
      </c>
      <c r="BF24" s="331" t="s">
        <v>984</v>
      </c>
      <c r="BG24" s="331" t="s">
        <v>984</v>
      </c>
      <c r="BH24" s="331" t="s">
        <v>984</v>
      </c>
      <c r="BI24" s="331" t="s">
        <v>984</v>
      </c>
      <c r="BJ24" s="331" t="s">
        <v>984</v>
      </c>
      <c r="BK24" s="331" t="s">
        <v>984</v>
      </c>
      <c r="BL24" s="331" t="s">
        <v>984</v>
      </c>
      <c r="BM24" s="331" t="s">
        <v>984</v>
      </c>
      <c r="BN24" s="331" t="s">
        <v>984</v>
      </c>
      <c r="BO24" s="331" t="s">
        <v>984</v>
      </c>
      <c r="BP24" s="331" t="s">
        <v>984</v>
      </c>
      <c r="BQ24" s="331" t="s">
        <v>984</v>
      </c>
      <c r="BR24" s="331" t="s">
        <v>190</v>
      </c>
      <c r="BS24" s="331" t="s">
        <v>190</v>
      </c>
      <c r="BT24" s="331" t="s">
        <v>190</v>
      </c>
      <c r="BU24" s="331" t="s">
        <v>190</v>
      </c>
      <c r="BV24" s="331" t="s">
        <v>190</v>
      </c>
      <c r="BW24" s="331" t="s">
        <v>190</v>
      </c>
      <c r="BX24" s="331" t="s">
        <v>984</v>
      </c>
      <c r="BY24" s="331" t="s">
        <v>984</v>
      </c>
      <c r="BZ24" s="331" t="s">
        <v>984</v>
      </c>
      <c r="CA24" s="331" t="s">
        <v>984</v>
      </c>
      <c r="CB24" s="331" t="s">
        <v>190</v>
      </c>
      <c r="CC24" s="331" t="s">
        <v>984</v>
      </c>
      <c r="CD24" s="331" t="s">
        <v>984</v>
      </c>
      <c r="CE24" s="331" t="s">
        <v>190</v>
      </c>
      <c r="CF24" s="331" t="s">
        <v>984</v>
      </c>
      <c r="CG24" s="331" t="s">
        <v>984</v>
      </c>
      <c r="CH24" s="331" t="s">
        <v>984</v>
      </c>
      <c r="CI24" s="331" t="s">
        <v>984</v>
      </c>
      <c r="CJ24" s="331" t="s">
        <v>984</v>
      </c>
      <c r="CK24" s="331" t="s">
        <v>984</v>
      </c>
      <c r="CL24" s="331" t="s">
        <v>984</v>
      </c>
      <c r="CM24" s="331" t="s">
        <v>984</v>
      </c>
      <c r="CN24" s="331" t="s">
        <v>984</v>
      </c>
      <c r="CO24" s="331" t="s">
        <v>984</v>
      </c>
      <c r="CP24" s="331" t="s">
        <v>984</v>
      </c>
      <c r="CQ24" s="331" t="s">
        <v>984</v>
      </c>
      <c r="CR24" s="331" t="s">
        <v>984</v>
      </c>
      <c r="CS24" s="331" t="s">
        <v>984</v>
      </c>
      <c r="CT24" s="331" t="s">
        <v>984</v>
      </c>
      <c r="CU24" s="331" t="s">
        <v>984</v>
      </c>
      <c r="CV24" s="331" t="s">
        <v>984</v>
      </c>
      <c r="CW24" s="331" t="s">
        <v>984</v>
      </c>
      <c r="CX24" s="331" t="s">
        <v>984</v>
      </c>
      <c r="CY24" s="331" t="s">
        <v>984</v>
      </c>
      <c r="CZ24" s="331" t="s">
        <v>984</v>
      </c>
      <c r="DA24" s="331" t="s">
        <v>984</v>
      </c>
      <c r="DB24" s="331" t="s">
        <v>984</v>
      </c>
      <c r="DC24" s="331" t="s">
        <v>984</v>
      </c>
      <c r="DD24" s="331" t="s">
        <v>984</v>
      </c>
      <c r="DE24" s="331" t="s">
        <v>984</v>
      </c>
      <c r="DF24" s="331" t="s">
        <v>984</v>
      </c>
      <c r="DG24" s="331" t="s">
        <v>984</v>
      </c>
      <c r="DH24" s="331" t="s">
        <v>984</v>
      </c>
      <c r="DI24" s="331" t="s">
        <v>984</v>
      </c>
      <c r="DJ24" s="331" t="s">
        <v>984</v>
      </c>
      <c r="DK24" s="331" t="s">
        <v>984</v>
      </c>
      <c r="DL24" s="331" t="s">
        <v>984</v>
      </c>
      <c r="DM24" s="331" t="s">
        <v>984</v>
      </c>
      <c r="DN24" s="331" t="s">
        <v>984</v>
      </c>
      <c r="DO24" s="331" t="s">
        <v>984</v>
      </c>
      <c r="DP24" s="331" t="s">
        <v>984</v>
      </c>
      <c r="DQ24" s="331" t="s">
        <v>984</v>
      </c>
      <c r="DR24" s="331" t="s">
        <v>984</v>
      </c>
      <c r="DS24" s="331" t="s">
        <v>984</v>
      </c>
      <c r="DT24" s="331" t="s">
        <v>984</v>
      </c>
      <c r="DU24" s="331" t="s">
        <v>984</v>
      </c>
      <c r="DV24" s="331" t="s">
        <v>984</v>
      </c>
      <c r="DW24" s="331" t="s">
        <v>984</v>
      </c>
      <c r="DX24" s="331" t="s">
        <v>984</v>
      </c>
      <c r="DY24" s="331" t="s">
        <v>984</v>
      </c>
      <c r="DZ24" s="331" t="s">
        <v>984</v>
      </c>
      <c r="EA24" s="331" t="s">
        <v>984</v>
      </c>
      <c r="EB24" s="331" t="s">
        <v>984</v>
      </c>
      <c r="EC24" s="331" t="s">
        <v>984</v>
      </c>
      <c r="ED24" s="331" t="s">
        <v>984</v>
      </c>
      <c r="EE24" s="331" t="s">
        <v>984</v>
      </c>
      <c r="EF24" s="331" t="s">
        <v>984</v>
      </c>
      <c r="EG24" s="331" t="s">
        <v>984</v>
      </c>
      <c r="EH24" s="331" t="s">
        <v>984</v>
      </c>
      <c r="EI24" s="331" t="s">
        <v>984</v>
      </c>
      <c r="EJ24" s="331" t="s">
        <v>984</v>
      </c>
      <c r="EK24" s="331" t="s">
        <v>984</v>
      </c>
      <c r="EL24" s="331" t="s">
        <v>984</v>
      </c>
      <c r="EM24" s="331" t="s">
        <v>984</v>
      </c>
      <c r="EN24" s="331" t="s">
        <v>984</v>
      </c>
      <c r="EO24" s="331" t="s">
        <v>984</v>
      </c>
      <c r="EP24" s="331" t="s">
        <v>984</v>
      </c>
      <c r="EQ24" s="331" t="s">
        <v>984</v>
      </c>
      <c r="ER24" s="331" t="s">
        <v>984</v>
      </c>
      <c r="ES24" s="331" t="s">
        <v>984</v>
      </c>
      <c r="ET24" s="331" t="s">
        <v>984</v>
      </c>
      <c r="EU24" s="331" t="s">
        <v>984</v>
      </c>
      <c r="EV24" s="331" t="s">
        <v>984</v>
      </c>
      <c r="EW24" s="331" t="s">
        <v>984</v>
      </c>
      <c r="EX24" s="331" t="s">
        <v>984</v>
      </c>
      <c r="EY24" s="331" t="s">
        <v>984</v>
      </c>
      <c r="EZ24" s="331" t="s">
        <v>984</v>
      </c>
      <c r="FA24" s="331" t="s">
        <v>984</v>
      </c>
      <c r="FB24" s="331" t="s">
        <v>190</v>
      </c>
      <c r="FC24" s="331" t="s">
        <v>984</v>
      </c>
      <c r="FD24" s="331" t="s">
        <v>984</v>
      </c>
      <c r="FE24" s="331" t="s">
        <v>984</v>
      </c>
      <c r="FF24" s="331" t="s">
        <v>984</v>
      </c>
      <c r="FG24" s="331" t="s">
        <v>984</v>
      </c>
      <c r="FH24" s="331" t="s">
        <v>984</v>
      </c>
      <c r="FI24" s="331" t="s">
        <v>984</v>
      </c>
      <c r="FJ24" s="331" t="s">
        <v>984</v>
      </c>
      <c r="FK24" s="331" t="s">
        <v>984</v>
      </c>
      <c r="FL24" s="331" t="s">
        <v>984</v>
      </c>
      <c r="FM24" s="331" t="s">
        <v>984</v>
      </c>
      <c r="FN24" s="331" t="s">
        <v>984</v>
      </c>
      <c r="FO24" s="331" t="s">
        <v>984</v>
      </c>
      <c r="FP24" s="331" t="s">
        <v>984</v>
      </c>
      <c r="FQ24" s="331" t="s">
        <v>984</v>
      </c>
      <c r="FR24" s="331" t="s">
        <v>984</v>
      </c>
      <c r="FS24" s="331" t="s">
        <v>190</v>
      </c>
      <c r="FT24" s="331" t="s">
        <v>984</v>
      </c>
      <c r="FU24" s="331" t="s">
        <v>984</v>
      </c>
      <c r="FV24" s="331" t="s">
        <v>190</v>
      </c>
      <c r="FW24" s="331" t="s">
        <v>984</v>
      </c>
      <c r="FX24" s="331" t="s">
        <v>984</v>
      </c>
      <c r="FY24" s="331" t="s">
        <v>984</v>
      </c>
      <c r="FZ24" s="331" t="s">
        <v>984</v>
      </c>
      <c r="GA24" s="331" t="s">
        <v>984</v>
      </c>
      <c r="GB24" s="331" t="s">
        <v>984</v>
      </c>
      <c r="GC24" s="331" t="s">
        <v>984</v>
      </c>
      <c r="GD24" s="331" t="s">
        <v>984</v>
      </c>
      <c r="GE24" s="331" t="s">
        <v>984</v>
      </c>
      <c r="GF24" s="331" t="s">
        <v>984</v>
      </c>
      <c r="GG24" s="331" t="s">
        <v>984</v>
      </c>
      <c r="GH24" s="331" t="s">
        <v>984</v>
      </c>
      <c r="GI24" s="331" t="s">
        <v>984</v>
      </c>
      <c r="GJ24" s="331" t="s">
        <v>984</v>
      </c>
      <c r="GK24" s="331" t="s">
        <v>984</v>
      </c>
      <c r="GL24" s="331" t="s">
        <v>984</v>
      </c>
      <c r="GM24" s="331" t="s">
        <v>984</v>
      </c>
      <c r="GN24" s="331" t="s">
        <v>984</v>
      </c>
      <c r="GO24" s="331" t="s">
        <v>984</v>
      </c>
      <c r="GP24" s="331" t="s">
        <v>984</v>
      </c>
      <c r="GQ24" s="331" t="s">
        <v>984</v>
      </c>
      <c r="GR24" s="331" t="s">
        <v>984</v>
      </c>
      <c r="GS24" s="331" t="s">
        <v>984</v>
      </c>
      <c r="GT24" s="331" t="s">
        <v>984</v>
      </c>
      <c r="GU24" s="331" t="s">
        <v>984</v>
      </c>
      <c r="GV24" s="331" t="s">
        <v>984</v>
      </c>
      <c r="GW24" s="331" t="s">
        <v>190</v>
      </c>
      <c r="GX24" s="331" t="s">
        <v>190</v>
      </c>
      <c r="GY24" s="331" t="s">
        <v>190</v>
      </c>
      <c r="GZ24" s="331" t="s">
        <v>190</v>
      </c>
      <c r="HA24" s="331" t="s">
        <v>190</v>
      </c>
      <c r="HB24" s="331" t="s">
        <v>190</v>
      </c>
      <c r="HC24" s="331" t="s">
        <v>190</v>
      </c>
      <c r="HD24" s="331" t="s">
        <v>190</v>
      </c>
      <c r="HE24" s="331" t="s">
        <v>190</v>
      </c>
      <c r="HF24" s="331" t="s">
        <v>190</v>
      </c>
      <c r="HG24" s="331" t="s">
        <v>190</v>
      </c>
      <c r="HH24" s="331" t="s">
        <v>190</v>
      </c>
      <c r="HI24" s="331" t="s">
        <v>190</v>
      </c>
      <c r="HJ24" s="331" t="s">
        <v>190</v>
      </c>
      <c r="HK24" s="331" t="s">
        <v>190</v>
      </c>
      <c r="HL24" s="331" t="s">
        <v>190</v>
      </c>
      <c r="HM24" s="331" t="s">
        <v>190</v>
      </c>
      <c r="HN24" s="331" t="s">
        <v>190</v>
      </c>
      <c r="HO24" s="331" t="s">
        <v>190</v>
      </c>
      <c r="HP24" s="331" t="s">
        <v>984</v>
      </c>
      <c r="HQ24" s="331" t="s">
        <v>169</v>
      </c>
      <c r="HR24" s="331" t="s">
        <v>170</v>
      </c>
      <c r="HS24" s="331" t="s">
        <v>169</v>
      </c>
      <c r="HT24" s="331" t="s">
        <v>427</v>
      </c>
      <c r="HU24" s="331" t="s">
        <v>984</v>
      </c>
      <c r="HV24" s="331" t="s">
        <v>984</v>
      </c>
    </row>
    <row r="25" spans="1:230" s="70" customFormat="1" x14ac:dyDescent="0.25">
      <c r="A25" s="330" t="str">
        <f>HYPERLINK("http://www.ofsted.gov.uk/inspection-reports/find-inspection-report/provider/ELS/130331 ","Ofsted School Webpage")</f>
        <v>Ofsted School Webpage</v>
      </c>
      <c r="B25" s="331">
        <v>130331</v>
      </c>
      <c r="C25" s="331">
        <v>8216001</v>
      </c>
      <c r="D25" s="331" t="s">
        <v>1582</v>
      </c>
      <c r="E25" s="331" t="s">
        <v>167</v>
      </c>
      <c r="F25" s="331" t="s">
        <v>451</v>
      </c>
      <c r="G25" s="331" t="s">
        <v>451</v>
      </c>
      <c r="H25" s="331" t="s">
        <v>452</v>
      </c>
      <c r="I25" s="331" t="s">
        <v>1087</v>
      </c>
      <c r="J25" s="331" t="s">
        <v>81</v>
      </c>
      <c r="K25" s="331" t="s">
        <v>72</v>
      </c>
      <c r="L25" s="331" t="s">
        <v>72</v>
      </c>
      <c r="M25" s="331" t="s">
        <v>72</v>
      </c>
      <c r="N25" s="331" t="s">
        <v>424</v>
      </c>
      <c r="O25" s="331">
        <v>10113726</v>
      </c>
      <c r="P25" s="332">
        <v>43720</v>
      </c>
      <c r="Q25" s="332">
        <v>43720</v>
      </c>
      <c r="R25" s="332">
        <v>43774</v>
      </c>
      <c r="S25" s="331" t="s">
        <v>985</v>
      </c>
      <c r="T25" s="331" t="s">
        <v>982</v>
      </c>
      <c r="U25" s="331" t="s">
        <v>427</v>
      </c>
      <c r="V25" s="331" t="s">
        <v>166</v>
      </c>
      <c r="W25" s="331" t="s">
        <v>191</v>
      </c>
      <c r="X25" s="331" t="s">
        <v>191</v>
      </c>
      <c r="Y25" s="331" t="s">
        <v>191</v>
      </c>
      <c r="Z25" s="331" t="s">
        <v>191</v>
      </c>
      <c r="AA25" s="331" t="s">
        <v>984</v>
      </c>
      <c r="AB25" s="331" t="s">
        <v>984</v>
      </c>
      <c r="AC25" s="331" t="s">
        <v>984</v>
      </c>
      <c r="AD25" s="331" t="s">
        <v>984</v>
      </c>
      <c r="AE25" s="331" t="s">
        <v>984</v>
      </c>
      <c r="AF25" s="331" t="s">
        <v>984</v>
      </c>
      <c r="AG25" s="331" t="s">
        <v>984</v>
      </c>
      <c r="AH25" s="331" t="s">
        <v>984</v>
      </c>
      <c r="AI25" s="331" t="s">
        <v>984</v>
      </c>
      <c r="AJ25" s="331" t="s">
        <v>984</v>
      </c>
      <c r="AK25" s="331" t="s">
        <v>984</v>
      </c>
      <c r="AL25" s="331" t="s">
        <v>984</v>
      </c>
      <c r="AM25" s="331" t="s">
        <v>984</v>
      </c>
      <c r="AN25" s="331" t="s">
        <v>984</v>
      </c>
      <c r="AO25" s="331" t="s">
        <v>984</v>
      </c>
      <c r="AP25" s="331" t="s">
        <v>984</v>
      </c>
      <c r="AQ25" s="331" t="s">
        <v>191</v>
      </c>
      <c r="AR25" s="331" t="s">
        <v>191</v>
      </c>
      <c r="AS25" s="331" t="s">
        <v>984</v>
      </c>
      <c r="AT25" s="331" t="s">
        <v>191</v>
      </c>
      <c r="AU25" s="331" t="s">
        <v>191</v>
      </c>
      <c r="AV25" s="331" t="s">
        <v>984</v>
      </c>
      <c r="AW25" s="331" t="s">
        <v>190</v>
      </c>
      <c r="AX25" s="331" t="s">
        <v>190</v>
      </c>
      <c r="AY25" s="331" t="s">
        <v>984</v>
      </c>
      <c r="AZ25" s="331" t="s">
        <v>984</v>
      </c>
      <c r="BA25" s="331" t="s">
        <v>190</v>
      </c>
      <c r="BB25" s="331" t="s">
        <v>984</v>
      </c>
      <c r="BC25" s="331" t="s">
        <v>190</v>
      </c>
      <c r="BD25" s="331" t="s">
        <v>190</v>
      </c>
      <c r="BE25" s="331" t="s">
        <v>984</v>
      </c>
      <c r="BF25" s="331" t="s">
        <v>984</v>
      </c>
      <c r="BG25" s="331" t="s">
        <v>984</v>
      </c>
      <c r="BH25" s="331" t="s">
        <v>984</v>
      </c>
      <c r="BI25" s="331" t="s">
        <v>984</v>
      </c>
      <c r="BJ25" s="331" t="s">
        <v>984</v>
      </c>
      <c r="BK25" s="331" t="s">
        <v>984</v>
      </c>
      <c r="BL25" s="331" t="s">
        <v>984</v>
      </c>
      <c r="BM25" s="331" t="s">
        <v>984</v>
      </c>
      <c r="BN25" s="331" t="s">
        <v>984</v>
      </c>
      <c r="BO25" s="331" t="s">
        <v>984</v>
      </c>
      <c r="BP25" s="331" t="s">
        <v>984</v>
      </c>
      <c r="BQ25" s="331" t="s">
        <v>984</v>
      </c>
      <c r="BR25" s="331" t="s">
        <v>191</v>
      </c>
      <c r="BS25" s="331" t="s">
        <v>191</v>
      </c>
      <c r="BT25" s="331" t="s">
        <v>191</v>
      </c>
      <c r="BU25" s="331" t="s">
        <v>428</v>
      </c>
      <c r="BV25" s="331" t="s">
        <v>428</v>
      </c>
      <c r="BW25" s="331" t="s">
        <v>428</v>
      </c>
      <c r="BX25" s="331" t="s">
        <v>984</v>
      </c>
      <c r="BY25" s="331" t="s">
        <v>984</v>
      </c>
      <c r="BZ25" s="331" t="s">
        <v>984</v>
      </c>
      <c r="CA25" s="331" t="s">
        <v>984</v>
      </c>
      <c r="CB25" s="331" t="s">
        <v>984</v>
      </c>
      <c r="CC25" s="331" t="s">
        <v>190</v>
      </c>
      <c r="CD25" s="331" t="s">
        <v>190</v>
      </c>
      <c r="CE25" s="331" t="s">
        <v>984</v>
      </c>
      <c r="CF25" s="331" t="s">
        <v>984</v>
      </c>
      <c r="CG25" s="331" t="s">
        <v>191</v>
      </c>
      <c r="CH25" s="331" t="s">
        <v>191</v>
      </c>
      <c r="CI25" s="331" t="s">
        <v>191</v>
      </c>
      <c r="CJ25" s="331" t="s">
        <v>191</v>
      </c>
      <c r="CK25" s="331" t="s">
        <v>190</v>
      </c>
      <c r="CL25" s="331" t="s">
        <v>190</v>
      </c>
      <c r="CM25" s="331" t="s">
        <v>190</v>
      </c>
      <c r="CN25" s="331" t="s">
        <v>190</v>
      </c>
      <c r="CO25" s="331" t="s">
        <v>190</v>
      </c>
      <c r="CP25" s="331" t="s">
        <v>190</v>
      </c>
      <c r="CQ25" s="331" t="s">
        <v>190</v>
      </c>
      <c r="CR25" s="331" t="s">
        <v>190</v>
      </c>
      <c r="CS25" s="331" t="s">
        <v>190</v>
      </c>
      <c r="CT25" s="331" t="s">
        <v>190</v>
      </c>
      <c r="CU25" s="331" t="s">
        <v>428</v>
      </c>
      <c r="CV25" s="331" t="s">
        <v>190</v>
      </c>
      <c r="CW25" s="331" t="s">
        <v>428</v>
      </c>
      <c r="CX25" s="331" t="s">
        <v>428</v>
      </c>
      <c r="CY25" s="331" t="s">
        <v>428</v>
      </c>
      <c r="CZ25" s="331" t="s">
        <v>428</v>
      </c>
      <c r="DA25" s="331" t="s">
        <v>428</v>
      </c>
      <c r="DB25" s="331" t="s">
        <v>428</v>
      </c>
      <c r="DC25" s="331" t="s">
        <v>428</v>
      </c>
      <c r="DD25" s="331" t="s">
        <v>428</v>
      </c>
      <c r="DE25" s="331" t="s">
        <v>428</v>
      </c>
      <c r="DF25" s="331" t="s">
        <v>428</v>
      </c>
      <c r="DG25" s="331" t="s">
        <v>428</v>
      </c>
      <c r="DH25" s="331" t="s">
        <v>428</v>
      </c>
      <c r="DI25" s="331" t="s">
        <v>428</v>
      </c>
      <c r="DJ25" s="331" t="s">
        <v>428</v>
      </c>
      <c r="DK25" s="331" t="s">
        <v>428</v>
      </c>
      <c r="DL25" s="331" t="s">
        <v>190</v>
      </c>
      <c r="DM25" s="331" t="s">
        <v>190</v>
      </c>
      <c r="DN25" s="331" t="s">
        <v>190</v>
      </c>
      <c r="DO25" s="331" t="s">
        <v>190</v>
      </c>
      <c r="DP25" s="331" t="s">
        <v>190</v>
      </c>
      <c r="DQ25" s="331" t="s">
        <v>190</v>
      </c>
      <c r="DR25" s="331" t="s">
        <v>190</v>
      </c>
      <c r="DS25" s="331" t="s">
        <v>190</v>
      </c>
      <c r="DT25" s="331" t="s">
        <v>190</v>
      </c>
      <c r="DU25" s="331" t="s">
        <v>190</v>
      </c>
      <c r="DV25" s="331" t="s">
        <v>190</v>
      </c>
      <c r="DW25" s="331" t="s">
        <v>190</v>
      </c>
      <c r="DX25" s="331" t="s">
        <v>190</v>
      </c>
      <c r="DY25" s="331" t="s">
        <v>190</v>
      </c>
      <c r="DZ25" s="331" t="s">
        <v>190</v>
      </c>
      <c r="EA25" s="331" t="s">
        <v>190</v>
      </c>
      <c r="EB25" s="331" t="s">
        <v>190</v>
      </c>
      <c r="EC25" s="331" t="s">
        <v>190</v>
      </c>
      <c r="ED25" s="331" t="s">
        <v>190</v>
      </c>
      <c r="EE25" s="331" t="s">
        <v>190</v>
      </c>
      <c r="EF25" s="331" t="s">
        <v>190</v>
      </c>
      <c r="EG25" s="331" t="s">
        <v>190</v>
      </c>
      <c r="EH25" s="331" t="s">
        <v>190</v>
      </c>
      <c r="EI25" s="331" t="s">
        <v>428</v>
      </c>
      <c r="EJ25" s="331" t="s">
        <v>428</v>
      </c>
      <c r="EK25" s="331" t="s">
        <v>428</v>
      </c>
      <c r="EL25" s="331" t="s">
        <v>428</v>
      </c>
      <c r="EM25" s="331" t="s">
        <v>428</v>
      </c>
      <c r="EN25" s="331" t="s">
        <v>428</v>
      </c>
      <c r="EO25" s="331" t="s">
        <v>190</v>
      </c>
      <c r="EP25" s="331" t="s">
        <v>190</v>
      </c>
      <c r="EQ25" s="331" t="s">
        <v>190</v>
      </c>
      <c r="ER25" s="331" t="s">
        <v>190</v>
      </c>
      <c r="ES25" s="331" t="s">
        <v>984</v>
      </c>
      <c r="ET25" s="331" t="s">
        <v>984</v>
      </c>
      <c r="EU25" s="331" t="s">
        <v>984</v>
      </c>
      <c r="EV25" s="331" t="s">
        <v>984</v>
      </c>
      <c r="EW25" s="331" t="s">
        <v>984</v>
      </c>
      <c r="EX25" s="331" t="s">
        <v>984</v>
      </c>
      <c r="EY25" s="331" t="s">
        <v>984</v>
      </c>
      <c r="EZ25" s="331" t="s">
        <v>984</v>
      </c>
      <c r="FA25" s="331" t="s">
        <v>984</v>
      </c>
      <c r="FB25" s="331" t="s">
        <v>190</v>
      </c>
      <c r="FC25" s="331" t="s">
        <v>984</v>
      </c>
      <c r="FD25" s="331" t="s">
        <v>984</v>
      </c>
      <c r="FE25" s="331" t="s">
        <v>984</v>
      </c>
      <c r="FF25" s="331" t="s">
        <v>984</v>
      </c>
      <c r="FG25" s="331" t="s">
        <v>984</v>
      </c>
      <c r="FH25" s="331" t="s">
        <v>984</v>
      </c>
      <c r="FI25" s="331" t="s">
        <v>984</v>
      </c>
      <c r="FJ25" s="331" t="s">
        <v>984</v>
      </c>
      <c r="FK25" s="331" t="s">
        <v>984</v>
      </c>
      <c r="FL25" s="331" t="s">
        <v>984</v>
      </c>
      <c r="FM25" s="331" t="s">
        <v>984</v>
      </c>
      <c r="FN25" s="331" t="s">
        <v>984</v>
      </c>
      <c r="FO25" s="331" t="s">
        <v>190</v>
      </c>
      <c r="FP25" s="331" t="s">
        <v>190</v>
      </c>
      <c r="FQ25" s="331" t="s">
        <v>190</v>
      </c>
      <c r="FR25" s="331" t="s">
        <v>984</v>
      </c>
      <c r="FS25" s="331" t="s">
        <v>191</v>
      </c>
      <c r="FT25" s="331" t="s">
        <v>190</v>
      </c>
      <c r="FU25" s="331" t="s">
        <v>190</v>
      </c>
      <c r="FV25" s="331" t="s">
        <v>191</v>
      </c>
      <c r="FW25" s="331" t="s">
        <v>984</v>
      </c>
      <c r="FX25" s="331" t="s">
        <v>984</v>
      </c>
      <c r="FY25" s="331" t="s">
        <v>984</v>
      </c>
      <c r="FZ25" s="331" t="s">
        <v>984</v>
      </c>
      <c r="GA25" s="331" t="s">
        <v>984</v>
      </c>
      <c r="GB25" s="331" t="s">
        <v>984</v>
      </c>
      <c r="GC25" s="331" t="s">
        <v>984</v>
      </c>
      <c r="GD25" s="331" t="s">
        <v>190</v>
      </c>
      <c r="GE25" s="331" t="s">
        <v>190</v>
      </c>
      <c r="GF25" s="331" t="s">
        <v>984</v>
      </c>
      <c r="GG25" s="331" t="s">
        <v>428</v>
      </c>
      <c r="GH25" s="331" t="s">
        <v>984</v>
      </c>
      <c r="GI25" s="331" t="s">
        <v>984</v>
      </c>
      <c r="GJ25" s="331" t="s">
        <v>984</v>
      </c>
      <c r="GK25" s="331" t="s">
        <v>190</v>
      </c>
      <c r="GL25" s="331" t="s">
        <v>984</v>
      </c>
      <c r="GM25" s="331" t="s">
        <v>984</v>
      </c>
      <c r="GN25" s="331" t="s">
        <v>984</v>
      </c>
      <c r="GO25" s="331" t="s">
        <v>984</v>
      </c>
      <c r="GP25" s="331" t="s">
        <v>190</v>
      </c>
      <c r="GQ25" s="331" t="s">
        <v>984</v>
      </c>
      <c r="GR25" s="331" t="s">
        <v>984</v>
      </c>
      <c r="GS25" s="331" t="s">
        <v>984</v>
      </c>
      <c r="GT25" s="331" t="s">
        <v>984</v>
      </c>
      <c r="GU25" s="331" t="s">
        <v>984</v>
      </c>
      <c r="GV25" s="331" t="s">
        <v>984</v>
      </c>
      <c r="GW25" s="331" t="s">
        <v>984</v>
      </c>
      <c r="GX25" s="331" t="s">
        <v>984</v>
      </c>
      <c r="GY25" s="331" t="s">
        <v>984</v>
      </c>
      <c r="GZ25" s="331" t="s">
        <v>984</v>
      </c>
      <c r="HA25" s="331" t="s">
        <v>984</v>
      </c>
      <c r="HB25" s="331" t="s">
        <v>984</v>
      </c>
      <c r="HC25" s="331" t="s">
        <v>984</v>
      </c>
      <c r="HD25" s="331" t="s">
        <v>984</v>
      </c>
      <c r="HE25" s="331" t="s">
        <v>984</v>
      </c>
      <c r="HF25" s="331" t="s">
        <v>984</v>
      </c>
      <c r="HG25" s="331" t="s">
        <v>984</v>
      </c>
      <c r="HH25" s="331" t="s">
        <v>984</v>
      </c>
      <c r="HI25" s="331" t="s">
        <v>984</v>
      </c>
      <c r="HJ25" s="331" t="s">
        <v>984</v>
      </c>
      <c r="HK25" s="331" t="s">
        <v>984</v>
      </c>
      <c r="HL25" s="331" t="s">
        <v>984</v>
      </c>
      <c r="HM25" s="331" t="s">
        <v>191</v>
      </c>
      <c r="HN25" s="331" t="s">
        <v>191</v>
      </c>
      <c r="HO25" s="331" t="s">
        <v>191</v>
      </c>
      <c r="HP25" s="331" t="s">
        <v>191</v>
      </c>
      <c r="HQ25" s="331" t="s">
        <v>170</v>
      </c>
      <c r="HR25" s="331" t="s">
        <v>429</v>
      </c>
      <c r="HS25" s="331" t="s">
        <v>169</v>
      </c>
      <c r="HT25" s="331" t="s">
        <v>427</v>
      </c>
      <c r="HU25" s="331" t="s">
        <v>428</v>
      </c>
      <c r="HV25" s="331" t="s">
        <v>428</v>
      </c>
    </row>
    <row r="26" spans="1:230" s="70" customFormat="1" x14ac:dyDescent="0.25">
      <c r="A26" s="330" t="str">
        <f>HYPERLINK("http://www.ofsted.gov.uk/inspection-reports/find-inspection-report/provider/ELS/131403 ","Ofsted School Webpage")</f>
        <v>Ofsted School Webpage</v>
      </c>
      <c r="B26" s="331">
        <v>131403</v>
      </c>
      <c r="C26" s="331">
        <v>3026110</v>
      </c>
      <c r="D26" s="331" t="s">
        <v>1659</v>
      </c>
      <c r="E26" s="331" t="s">
        <v>167</v>
      </c>
      <c r="F26" s="331" t="s">
        <v>441</v>
      </c>
      <c r="G26" s="331" t="s">
        <v>441</v>
      </c>
      <c r="H26" s="331" t="s">
        <v>544</v>
      </c>
      <c r="I26" s="331" t="s">
        <v>1660</v>
      </c>
      <c r="J26" s="331" t="s">
        <v>81</v>
      </c>
      <c r="K26" s="331" t="s">
        <v>69</v>
      </c>
      <c r="L26" s="331" t="s">
        <v>69</v>
      </c>
      <c r="M26" s="331" t="s">
        <v>69</v>
      </c>
      <c r="N26" s="331" t="s">
        <v>424</v>
      </c>
      <c r="O26" s="331">
        <v>10112691</v>
      </c>
      <c r="P26" s="332">
        <v>43720</v>
      </c>
      <c r="Q26" s="332">
        <v>43720</v>
      </c>
      <c r="R26" s="332">
        <v>43744</v>
      </c>
      <c r="S26" s="331" t="s">
        <v>985</v>
      </c>
      <c r="T26" s="331" t="s">
        <v>982</v>
      </c>
      <c r="U26" s="331" t="s">
        <v>447</v>
      </c>
      <c r="V26" s="331" t="s">
        <v>166</v>
      </c>
      <c r="W26" s="331" t="s">
        <v>984</v>
      </c>
      <c r="X26" s="331" t="s">
        <v>984</v>
      </c>
      <c r="Y26" s="331" t="s">
        <v>984</v>
      </c>
      <c r="Z26" s="331" t="s">
        <v>984</v>
      </c>
      <c r="AA26" s="331" t="s">
        <v>984</v>
      </c>
      <c r="AB26" s="331" t="s">
        <v>984</v>
      </c>
      <c r="AC26" s="331" t="s">
        <v>984</v>
      </c>
      <c r="AD26" s="331" t="s">
        <v>984</v>
      </c>
      <c r="AE26" s="331" t="s">
        <v>984</v>
      </c>
      <c r="AF26" s="331" t="s">
        <v>984</v>
      </c>
      <c r="AG26" s="331" t="s">
        <v>984</v>
      </c>
      <c r="AH26" s="331" t="s">
        <v>984</v>
      </c>
      <c r="AI26" s="331" t="s">
        <v>984</v>
      </c>
      <c r="AJ26" s="331" t="s">
        <v>984</v>
      </c>
      <c r="AK26" s="331" t="s">
        <v>984</v>
      </c>
      <c r="AL26" s="331" t="s">
        <v>984</v>
      </c>
      <c r="AM26" s="331" t="s">
        <v>428</v>
      </c>
      <c r="AN26" s="331" t="s">
        <v>428</v>
      </c>
      <c r="AO26" s="331" t="s">
        <v>984</v>
      </c>
      <c r="AP26" s="331" t="s">
        <v>984</v>
      </c>
      <c r="AQ26" s="331" t="s">
        <v>984</v>
      </c>
      <c r="AR26" s="331" t="s">
        <v>984</v>
      </c>
      <c r="AS26" s="331" t="s">
        <v>984</v>
      </c>
      <c r="AT26" s="331" t="s">
        <v>984</v>
      </c>
      <c r="AU26" s="331" t="s">
        <v>984</v>
      </c>
      <c r="AV26" s="331" t="s">
        <v>984</v>
      </c>
      <c r="AW26" s="331" t="s">
        <v>984</v>
      </c>
      <c r="AX26" s="331" t="s">
        <v>984</v>
      </c>
      <c r="AY26" s="331" t="s">
        <v>984</v>
      </c>
      <c r="AZ26" s="331" t="s">
        <v>984</v>
      </c>
      <c r="BA26" s="331" t="s">
        <v>984</v>
      </c>
      <c r="BB26" s="331" t="s">
        <v>984</v>
      </c>
      <c r="BC26" s="331" t="s">
        <v>984</v>
      </c>
      <c r="BD26" s="331" t="s">
        <v>984</v>
      </c>
      <c r="BE26" s="331" t="s">
        <v>984</v>
      </c>
      <c r="BF26" s="331" t="s">
        <v>984</v>
      </c>
      <c r="BG26" s="331" t="s">
        <v>984</v>
      </c>
      <c r="BH26" s="331" t="s">
        <v>984</v>
      </c>
      <c r="BI26" s="331" t="s">
        <v>984</v>
      </c>
      <c r="BJ26" s="331" t="s">
        <v>984</v>
      </c>
      <c r="BK26" s="331" t="s">
        <v>984</v>
      </c>
      <c r="BL26" s="331" t="s">
        <v>984</v>
      </c>
      <c r="BM26" s="331" t="s">
        <v>984</v>
      </c>
      <c r="BN26" s="331" t="s">
        <v>984</v>
      </c>
      <c r="BO26" s="331" t="s">
        <v>984</v>
      </c>
      <c r="BP26" s="331" t="s">
        <v>984</v>
      </c>
      <c r="BQ26" s="331" t="s">
        <v>984</v>
      </c>
      <c r="BR26" s="331" t="s">
        <v>191</v>
      </c>
      <c r="BS26" s="331" t="s">
        <v>191</v>
      </c>
      <c r="BT26" s="331" t="s">
        <v>191</v>
      </c>
      <c r="BU26" s="331" t="s">
        <v>428</v>
      </c>
      <c r="BV26" s="331" t="s">
        <v>428</v>
      </c>
      <c r="BW26" s="331" t="s">
        <v>428</v>
      </c>
      <c r="BX26" s="331" t="s">
        <v>984</v>
      </c>
      <c r="BY26" s="331" t="s">
        <v>984</v>
      </c>
      <c r="BZ26" s="331" t="s">
        <v>984</v>
      </c>
      <c r="CA26" s="331" t="s">
        <v>984</v>
      </c>
      <c r="CB26" s="331" t="s">
        <v>190</v>
      </c>
      <c r="CC26" s="331" t="s">
        <v>984</v>
      </c>
      <c r="CD26" s="331" t="s">
        <v>984</v>
      </c>
      <c r="CE26" s="331" t="s">
        <v>984</v>
      </c>
      <c r="CF26" s="331" t="s">
        <v>984</v>
      </c>
      <c r="CG26" s="331" t="s">
        <v>984</v>
      </c>
      <c r="CH26" s="331" t="s">
        <v>984</v>
      </c>
      <c r="CI26" s="331" t="s">
        <v>984</v>
      </c>
      <c r="CJ26" s="331" t="s">
        <v>984</v>
      </c>
      <c r="CK26" s="331" t="s">
        <v>984</v>
      </c>
      <c r="CL26" s="331" t="s">
        <v>984</v>
      </c>
      <c r="CM26" s="331" t="s">
        <v>984</v>
      </c>
      <c r="CN26" s="331" t="s">
        <v>984</v>
      </c>
      <c r="CO26" s="331" t="s">
        <v>984</v>
      </c>
      <c r="CP26" s="331" t="s">
        <v>984</v>
      </c>
      <c r="CQ26" s="331" t="s">
        <v>984</v>
      </c>
      <c r="CR26" s="331" t="s">
        <v>984</v>
      </c>
      <c r="CS26" s="331" t="s">
        <v>984</v>
      </c>
      <c r="CT26" s="331" t="s">
        <v>984</v>
      </c>
      <c r="CU26" s="331" t="s">
        <v>428</v>
      </c>
      <c r="CV26" s="331" t="s">
        <v>984</v>
      </c>
      <c r="CW26" s="331" t="s">
        <v>984</v>
      </c>
      <c r="CX26" s="331" t="s">
        <v>984</v>
      </c>
      <c r="CY26" s="331" t="s">
        <v>984</v>
      </c>
      <c r="CZ26" s="331" t="s">
        <v>984</v>
      </c>
      <c r="DA26" s="331" t="s">
        <v>984</v>
      </c>
      <c r="DB26" s="331" t="s">
        <v>984</v>
      </c>
      <c r="DC26" s="331" t="s">
        <v>984</v>
      </c>
      <c r="DD26" s="331" t="s">
        <v>984</v>
      </c>
      <c r="DE26" s="331" t="s">
        <v>984</v>
      </c>
      <c r="DF26" s="331" t="s">
        <v>984</v>
      </c>
      <c r="DG26" s="331" t="s">
        <v>984</v>
      </c>
      <c r="DH26" s="331" t="s">
        <v>984</v>
      </c>
      <c r="DI26" s="331" t="s">
        <v>984</v>
      </c>
      <c r="DJ26" s="331" t="s">
        <v>428</v>
      </c>
      <c r="DK26" s="331" t="s">
        <v>984</v>
      </c>
      <c r="DL26" s="331" t="s">
        <v>984</v>
      </c>
      <c r="DM26" s="331" t="s">
        <v>984</v>
      </c>
      <c r="DN26" s="331" t="s">
        <v>984</v>
      </c>
      <c r="DO26" s="331" t="s">
        <v>984</v>
      </c>
      <c r="DP26" s="331" t="s">
        <v>984</v>
      </c>
      <c r="DQ26" s="331" t="s">
        <v>984</v>
      </c>
      <c r="DR26" s="331" t="s">
        <v>984</v>
      </c>
      <c r="DS26" s="331" t="s">
        <v>984</v>
      </c>
      <c r="DT26" s="331" t="s">
        <v>984</v>
      </c>
      <c r="DU26" s="331" t="s">
        <v>984</v>
      </c>
      <c r="DV26" s="331" t="s">
        <v>984</v>
      </c>
      <c r="DW26" s="331" t="s">
        <v>984</v>
      </c>
      <c r="DX26" s="331" t="s">
        <v>984</v>
      </c>
      <c r="DY26" s="331" t="s">
        <v>984</v>
      </c>
      <c r="DZ26" s="331" t="s">
        <v>984</v>
      </c>
      <c r="EA26" s="331" t="s">
        <v>984</v>
      </c>
      <c r="EB26" s="331" t="s">
        <v>984</v>
      </c>
      <c r="EC26" s="331" t="s">
        <v>984</v>
      </c>
      <c r="ED26" s="331" t="s">
        <v>984</v>
      </c>
      <c r="EE26" s="331" t="s">
        <v>984</v>
      </c>
      <c r="EF26" s="331" t="s">
        <v>984</v>
      </c>
      <c r="EG26" s="331" t="s">
        <v>984</v>
      </c>
      <c r="EH26" s="331" t="s">
        <v>984</v>
      </c>
      <c r="EI26" s="331" t="s">
        <v>984</v>
      </c>
      <c r="EJ26" s="331" t="s">
        <v>984</v>
      </c>
      <c r="EK26" s="331" t="s">
        <v>984</v>
      </c>
      <c r="EL26" s="331" t="s">
        <v>984</v>
      </c>
      <c r="EM26" s="331" t="s">
        <v>984</v>
      </c>
      <c r="EN26" s="331" t="s">
        <v>984</v>
      </c>
      <c r="EO26" s="331" t="s">
        <v>984</v>
      </c>
      <c r="EP26" s="331" t="s">
        <v>984</v>
      </c>
      <c r="EQ26" s="331" t="s">
        <v>984</v>
      </c>
      <c r="ER26" s="331" t="s">
        <v>984</v>
      </c>
      <c r="ES26" s="331" t="s">
        <v>984</v>
      </c>
      <c r="ET26" s="331" t="s">
        <v>984</v>
      </c>
      <c r="EU26" s="331" t="s">
        <v>984</v>
      </c>
      <c r="EV26" s="331" t="s">
        <v>984</v>
      </c>
      <c r="EW26" s="331" t="s">
        <v>984</v>
      </c>
      <c r="EX26" s="331" t="s">
        <v>984</v>
      </c>
      <c r="EY26" s="331" t="s">
        <v>984</v>
      </c>
      <c r="EZ26" s="331" t="s">
        <v>428</v>
      </c>
      <c r="FA26" s="331" t="s">
        <v>984</v>
      </c>
      <c r="FB26" s="331" t="s">
        <v>191</v>
      </c>
      <c r="FC26" s="331" t="s">
        <v>984</v>
      </c>
      <c r="FD26" s="331" t="s">
        <v>984</v>
      </c>
      <c r="FE26" s="331" t="s">
        <v>984</v>
      </c>
      <c r="FF26" s="331" t="s">
        <v>984</v>
      </c>
      <c r="FG26" s="331" t="s">
        <v>191</v>
      </c>
      <c r="FH26" s="331" t="s">
        <v>984</v>
      </c>
      <c r="FI26" s="331" t="s">
        <v>191</v>
      </c>
      <c r="FJ26" s="331" t="s">
        <v>984</v>
      </c>
      <c r="FK26" s="331" t="s">
        <v>191</v>
      </c>
      <c r="FL26" s="331" t="s">
        <v>984</v>
      </c>
      <c r="FM26" s="331" t="s">
        <v>984</v>
      </c>
      <c r="FN26" s="331" t="s">
        <v>984</v>
      </c>
      <c r="FO26" s="331" t="s">
        <v>190</v>
      </c>
      <c r="FP26" s="331" t="s">
        <v>984</v>
      </c>
      <c r="FQ26" s="331" t="s">
        <v>190</v>
      </c>
      <c r="FR26" s="331" t="s">
        <v>428</v>
      </c>
      <c r="FS26" s="331" t="s">
        <v>190</v>
      </c>
      <c r="FT26" s="331" t="s">
        <v>984</v>
      </c>
      <c r="FU26" s="331" t="s">
        <v>984</v>
      </c>
      <c r="FV26" s="331" t="s">
        <v>190</v>
      </c>
      <c r="FW26" s="331" t="s">
        <v>984</v>
      </c>
      <c r="FX26" s="331" t="s">
        <v>428</v>
      </c>
      <c r="FY26" s="331" t="s">
        <v>984</v>
      </c>
      <c r="FZ26" s="331" t="s">
        <v>984</v>
      </c>
      <c r="GA26" s="331" t="s">
        <v>984</v>
      </c>
      <c r="GB26" s="331" t="s">
        <v>984</v>
      </c>
      <c r="GC26" s="331" t="s">
        <v>984</v>
      </c>
      <c r="GD26" s="331" t="s">
        <v>984</v>
      </c>
      <c r="GE26" s="331" t="s">
        <v>984</v>
      </c>
      <c r="GF26" s="331" t="s">
        <v>984</v>
      </c>
      <c r="GG26" s="331" t="s">
        <v>984</v>
      </c>
      <c r="GH26" s="331" t="s">
        <v>984</v>
      </c>
      <c r="GI26" s="331" t="s">
        <v>984</v>
      </c>
      <c r="GJ26" s="331" t="s">
        <v>984</v>
      </c>
      <c r="GK26" s="331" t="s">
        <v>984</v>
      </c>
      <c r="GL26" s="331" t="s">
        <v>984</v>
      </c>
      <c r="GM26" s="331" t="s">
        <v>984</v>
      </c>
      <c r="GN26" s="331" t="s">
        <v>984</v>
      </c>
      <c r="GO26" s="331" t="s">
        <v>984</v>
      </c>
      <c r="GP26" s="331" t="s">
        <v>984</v>
      </c>
      <c r="GQ26" s="331" t="s">
        <v>984</v>
      </c>
      <c r="GR26" s="331" t="s">
        <v>984</v>
      </c>
      <c r="GS26" s="331" t="s">
        <v>984</v>
      </c>
      <c r="GT26" s="331" t="s">
        <v>984</v>
      </c>
      <c r="GU26" s="331" t="s">
        <v>984</v>
      </c>
      <c r="GV26" s="331" t="s">
        <v>984</v>
      </c>
      <c r="GW26" s="331" t="s">
        <v>984</v>
      </c>
      <c r="GX26" s="331" t="s">
        <v>984</v>
      </c>
      <c r="GY26" s="331" t="s">
        <v>984</v>
      </c>
      <c r="GZ26" s="331" t="s">
        <v>984</v>
      </c>
      <c r="HA26" s="331" t="s">
        <v>984</v>
      </c>
      <c r="HB26" s="331" t="s">
        <v>984</v>
      </c>
      <c r="HC26" s="331" t="s">
        <v>984</v>
      </c>
      <c r="HD26" s="331" t="s">
        <v>984</v>
      </c>
      <c r="HE26" s="331" t="s">
        <v>984</v>
      </c>
      <c r="HF26" s="331" t="s">
        <v>984</v>
      </c>
      <c r="HG26" s="331" t="s">
        <v>984</v>
      </c>
      <c r="HH26" s="331" t="s">
        <v>984</v>
      </c>
      <c r="HI26" s="331" t="s">
        <v>984</v>
      </c>
      <c r="HJ26" s="331" t="s">
        <v>984</v>
      </c>
      <c r="HK26" s="331" t="s">
        <v>984</v>
      </c>
      <c r="HL26" s="331" t="s">
        <v>984</v>
      </c>
      <c r="HM26" s="331" t="s">
        <v>191</v>
      </c>
      <c r="HN26" s="331" t="s">
        <v>191</v>
      </c>
      <c r="HO26" s="331" t="s">
        <v>191</v>
      </c>
      <c r="HP26" s="331" t="s">
        <v>191</v>
      </c>
      <c r="HQ26" s="331" t="s">
        <v>170</v>
      </c>
      <c r="HR26" s="331" t="s">
        <v>429</v>
      </c>
      <c r="HS26" s="331" t="s">
        <v>169</v>
      </c>
      <c r="HT26" s="331" t="s">
        <v>427</v>
      </c>
      <c r="HU26" s="331" t="s">
        <v>428</v>
      </c>
      <c r="HV26" s="331" t="s">
        <v>428</v>
      </c>
    </row>
    <row r="27" spans="1:230" s="70" customFormat="1" x14ac:dyDescent="0.25">
      <c r="A27" s="330" t="str">
        <f>HYPERLINK("http://www.ofsted.gov.uk/inspection-reports/find-inspection-report/provider/ELS/131122 ","Ofsted School Webpage")</f>
        <v>Ofsted School Webpage</v>
      </c>
      <c r="B27" s="331">
        <v>131122</v>
      </c>
      <c r="C27" s="331">
        <v>3736028</v>
      </c>
      <c r="D27" s="331" t="s">
        <v>877</v>
      </c>
      <c r="E27" s="331" t="s">
        <v>167</v>
      </c>
      <c r="F27" s="331" t="s">
        <v>458</v>
      </c>
      <c r="G27" s="331" t="s">
        <v>459</v>
      </c>
      <c r="H27" s="331" t="s">
        <v>486</v>
      </c>
      <c r="I27" s="331" t="s">
        <v>878</v>
      </c>
      <c r="J27" s="331" t="s">
        <v>72</v>
      </c>
      <c r="K27" s="331" t="s">
        <v>71</v>
      </c>
      <c r="L27" s="331" t="s">
        <v>72</v>
      </c>
      <c r="M27" s="331" t="s">
        <v>72</v>
      </c>
      <c r="N27" s="331" t="s">
        <v>424</v>
      </c>
      <c r="O27" s="331">
        <v>10115700</v>
      </c>
      <c r="P27" s="332">
        <v>43725</v>
      </c>
      <c r="Q27" s="332">
        <v>43725</v>
      </c>
      <c r="R27" s="332">
        <v>43775</v>
      </c>
      <c r="S27" s="331" t="s">
        <v>985</v>
      </c>
      <c r="T27" s="331" t="s">
        <v>982</v>
      </c>
      <c r="U27" s="331" t="s">
        <v>427</v>
      </c>
      <c r="V27" s="331" t="s">
        <v>165</v>
      </c>
      <c r="W27" s="331" t="s">
        <v>984</v>
      </c>
      <c r="X27" s="331" t="s">
        <v>984</v>
      </c>
      <c r="Y27" s="331" t="s">
        <v>984</v>
      </c>
      <c r="Z27" s="331" t="s">
        <v>984</v>
      </c>
      <c r="AA27" s="331" t="s">
        <v>984</v>
      </c>
      <c r="AB27" s="331" t="s">
        <v>984</v>
      </c>
      <c r="AC27" s="331" t="s">
        <v>984</v>
      </c>
      <c r="AD27" s="331" t="s">
        <v>984</v>
      </c>
      <c r="AE27" s="331" t="s">
        <v>984</v>
      </c>
      <c r="AF27" s="331" t="s">
        <v>984</v>
      </c>
      <c r="AG27" s="331" t="s">
        <v>984</v>
      </c>
      <c r="AH27" s="331" t="s">
        <v>984</v>
      </c>
      <c r="AI27" s="331" t="s">
        <v>984</v>
      </c>
      <c r="AJ27" s="331" t="s">
        <v>984</v>
      </c>
      <c r="AK27" s="331" t="s">
        <v>984</v>
      </c>
      <c r="AL27" s="331" t="s">
        <v>984</v>
      </c>
      <c r="AM27" s="331" t="s">
        <v>984</v>
      </c>
      <c r="AN27" s="331" t="s">
        <v>984</v>
      </c>
      <c r="AO27" s="331" t="s">
        <v>984</v>
      </c>
      <c r="AP27" s="331" t="s">
        <v>984</v>
      </c>
      <c r="AQ27" s="331" t="s">
        <v>984</v>
      </c>
      <c r="AR27" s="331" t="s">
        <v>984</v>
      </c>
      <c r="AS27" s="331" t="s">
        <v>984</v>
      </c>
      <c r="AT27" s="331" t="s">
        <v>984</v>
      </c>
      <c r="AU27" s="331" t="s">
        <v>984</v>
      </c>
      <c r="AV27" s="331" t="s">
        <v>984</v>
      </c>
      <c r="AW27" s="331" t="s">
        <v>984</v>
      </c>
      <c r="AX27" s="331" t="s">
        <v>984</v>
      </c>
      <c r="AY27" s="331" t="s">
        <v>984</v>
      </c>
      <c r="AZ27" s="331" t="s">
        <v>984</v>
      </c>
      <c r="BA27" s="331" t="s">
        <v>984</v>
      </c>
      <c r="BB27" s="331" t="s">
        <v>984</v>
      </c>
      <c r="BC27" s="331" t="s">
        <v>984</v>
      </c>
      <c r="BD27" s="331" t="s">
        <v>984</v>
      </c>
      <c r="BE27" s="331" t="s">
        <v>984</v>
      </c>
      <c r="BF27" s="331" t="s">
        <v>984</v>
      </c>
      <c r="BG27" s="331" t="s">
        <v>984</v>
      </c>
      <c r="BH27" s="331" t="s">
        <v>984</v>
      </c>
      <c r="BI27" s="331" t="s">
        <v>984</v>
      </c>
      <c r="BJ27" s="331" t="s">
        <v>984</v>
      </c>
      <c r="BK27" s="331" t="s">
        <v>984</v>
      </c>
      <c r="BL27" s="331" t="s">
        <v>984</v>
      </c>
      <c r="BM27" s="331" t="s">
        <v>984</v>
      </c>
      <c r="BN27" s="331" t="s">
        <v>984</v>
      </c>
      <c r="BO27" s="331" t="s">
        <v>984</v>
      </c>
      <c r="BP27" s="331" t="s">
        <v>984</v>
      </c>
      <c r="BQ27" s="331" t="s">
        <v>984</v>
      </c>
      <c r="BR27" s="331" t="s">
        <v>190</v>
      </c>
      <c r="BS27" s="331" t="s">
        <v>190</v>
      </c>
      <c r="BT27" s="331" t="s">
        <v>190</v>
      </c>
      <c r="BU27" s="331" t="s">
        <v>984</v>
      </c>
      <c r="BV27" s="331" t="s">
        <v>984</v>
      </c>
      <c r="BW27" s="331" t="s">
        <v>984</v>
      </c>
      <c r="BX27" s="331" t="s">
        <v>984</v>
      </c>
      <c r="BY27" s="331" t="s">
        <v>984</v>
      </c>
      <c r="BZ27" s="331" t="s">
        <v>984</v>
      </c>
      <c r="CA27" s="331" t="s">
        <v>984</v>
      </c>
      <c r="CB27" s="331" t="s">
        <v>984</v>
      </c>
      <c r="CC27" s="331" t="s">
        <v>984</v>
      </c>
      <c r="CD27" s="331" t="s">
        <v>984</v>
      </c>
      <c r="CE27" s="331" t="s">
        <v>984</v>
      </c>
      <c r="CF27" s="331" t="s">
        <v>984</v>
      </c>
      <c r="CG27" s="331" t="s">
        <v>190</v>
      </c>
      <c r="CH27" s="331" t="s">
        <v>190</v>
      </c>
      <c r="CI27" s="331" t="s">
        <v>190</v>
      </c>
      <c r="CJ27" s="331" t="s">
        <v>190</v>
      </c>
      <c r="CK27" s="331" t="s">
        <v>190</v>
      </c>
      <c r="CL27" s="331" t="s">
        <v>984</v>
      </c>
      <c r="CM27" s="331" t="s">
        <v>984</v>
      </c>
      <c r="CN27" s="331" t="s">
        <v>190</v>
      </c>
      <c r="CO27" s="331" t="s">
        <v>984</v>
      </c>
      <c r="CP27" s="331" t="s">
        <v>190</v>
      </c>
      <c r="CQ27" s="331" t="s">
        <v>984</v>
      </c>
      <c r="CR27" s="331" t="s">
        <v>190</v>
      </c>
      <c r="CS27" s="331" t="s">
        <v>984</v>
      </c>
      <c r="CT27" s="331" t="s">
        <v>190</v>
      </c>
      <c r="CU27" s="331" t="s">
        <v>984</v>
      </c>
      <c r="CV27" s="331" t="s">
        <v>190</v>
      </c>
      <c r="CW27" s="331" t="s">
        <v>984</v>
      </c>
      <c r="CX27" s="331" t="s">
        <v>984</v>
      </c>
      <c r="CY27" s="331" t="s">
        <v>984</v>
      </c>
      <c r="CZ27" s="331" t="s">
        <v>984</v>
      </c>
      <c r="DA27" s="331" t="s">
        <v>984</v>
      </c>
      <c r="DB27" s="331" t="s">
        <v>984</v>
      </c>
      <c r="DC27" s="331" t="s">
        <v>984</v>
      </c>
      <c r="DD27" s="331" t="s">
        <v>984</v>
      </c>
      <c r="DE27" s="331" t="s">
        <v>984</v>
      </c>
      <c r="DF27" s="331" t="s">
        <v>984</v>
      </c>
      <c r="DG27" s="331" t="s">
        <v>984</v>
      </c>
      <c r="DH27" s="331" t="s">
        <v>984</v>
      </c>
      <c r="DI27" s="331" t="s">
        <v>984</v>
      </c>
      <c r="DJ27" s="331" t="s">
        <v>984</v>
      </c>
      <c r="DK27" s="331" t="s">
        <v>984</v>
      </c>
      <c r="DL27" s="331" t="s">
        <v>984</v>
      </c>
      <c r="DM27" s="331" t="s">
        <v>984</v>
      </c>
      <c r="DN27" s="331" t="s">
        <v>984</v>
      </c>
      <c r="DO27" s="331" t="s">
        <v>984</v>
      </c>
      <c r="DP27" s="331" t="s">
        <v>984</v>
      </c>
      <c r="DQ27" s="331" t="s">
        <v>984</v>
      </c>
      <c r="DR27" s="331" t="s">
        <v>984</v>
      </c>
      <c r="DS27" s="331" t="s">
        <v>984</v>
      </c>
      <c r="DT27" s="331" t="s">
        <v>984</v>
      </c>
      <c r="DU27" s="331" t="s">
        <v>984</v>
      </c>
      <c r="DV27" s="331" t="s">
        <v>984</v>
      </c>
      <c r="DW27" s="331" t="s">
        <v>190</v>
      </c>
      <c r="DX27" s="331" t="s">
        <v>190</v>
      </c>
      <c r="DY27" s="331" t="s">
        <v>984</v>
      </c>
      <c r="DZ27" s="331" t="s">
        <v>984</v>
      </c>
      <c r="EA27" s="331" t="s">
        <v>984</v>
      </c>
      <c r="EB27" s="331" t="s">
        <v>190</v>
      </c>
      <c r="EC27" s="331" t="s">
        <v>984</v>
      </c>
      <c r="ED27" s="331" t="s">
        <v>984</v>
      </c>
      <c r="EE27" s="331" t="s">
        <v>984</v>
      </c>
      <c r="EF27" s="331" t="s">
        <v>190</v>
      </c>
      <c r="EG27" s="331" t="s">
        <v>984</v>
      </c>
      <c r="EH27" s="331" t="s">
        <v>984</v>
      </c>
      <c r="EI27" s="331" t="s">
        <v>984</v>
      </c>
      <c r="EJ27" s="331" t="s">
        <v>984</v>
      </c>
      <c r="EK27" s="331" t="s">
        <v>984</v>
      </c>
      <c r="EL27" s="331" t="s">
        <v>984</v>
      </c>
      <c r="EM27" s="331" t="s">
        <v>984</v>
      </c>
      <c r="EN27" s="331" t="s">
        <v>984</v>
      </c>
      <c r="EO27" s="331" t="s">
        <v>984</v>
      </c>
      <c r="EP27" s="331" t="s">
        <v>984</v>
      </c>
      <c r="EQ27" s="331" t="s">
        <v>984</v>
      </c>
      <c r="ER27" s="331" t="s">
        <v>984</v>
      </c>
      <c r="ES27" s="331" t="s">
        <v>984</v>
      </c>
      <c r="ET27" s="331" t="s">
        <v>984</v>
      </c>
      <c r="EU27" s="331" t="s">
        <v>984</v>
      </c>
      <c r="EV27" s="331" t="s">
        <v>984</v>
      </c>
      <c r="EW27" s="331" t="s">
        <v>984</v>
      </c>
      <c r="EX27" s="331" t="s">
        <v>984</v>
      </c>
      <c r="EY27" s="331" t="s">
        <v>984</v>
      </c>
      <c r="EZ27" s="331" t="s">
        <v>984</v>
      </c>
      <c r="FA27" s="331" t="s">
        <v>984</v>
      </c>
      <c r="FB27" s="331" t="s">
        <v>984</v>
      </c>
      <c r="FC27" s="331" t="s">
        <v>984</v>
      </c>
      <c r="FD27" s="331" t="s">
        <v>984</v>
      </c>
      <c r="FE27" s="331" t="s">
        <v>984</v>
      </c>
      <c r="FF27" s="331" t="s">
        <v>984</v>
      </c>
      <c r="FG27" s="331" t="s">
        <v>984</v>
      </c>
      <c r="FH27" s="331" t="s">
        <v>984</v>
      </c>
      <c r="FI27" s="331" t="s">
        <v>984</v>
      </c>
      <c r="FJ27" s="331" t="s">
        <v>984</v>
      </c>
      <c r="FK27" s="331" t="s">
        <v>984</v>
      </c>
      <c r="FL27" s="331" t="s">
        <v>984</v>
      </c>
      <c r="FM27" s="331" t="s">
        <v>984</v>
      </c>
      <c r="FN27" s="331" t="s">
        <v>984</v>
      </c>
      <c r="FO27" s="331" t="s">
        <v>984</v>
      </c>
      <c r="FP27" s="331" t="s">
        <v>984</v>
      </c>
      <c r="FQ27" s="331" t="s">
        <v>984</v>
      </c>
      <c r="FR27" s="331" t="s">
        <v>984</v>
      </c>
      <c r="FS27" s="331" t="s">
        <v>984</v>
      </c>
      <c r="FT27" s="331" t="s">
        <v>984</v>
      </c>
      <c r="FU27" s="331" t="s">
        <v>984</v>
      </c>
      <c r="FV27" s="331" t="s">
        <v>984</v>
      </c>
      <c r="FW27" s="331" t="s">
        <v>984</v>
      </c>
      <c r="FX27" s="331" t="s">
        <v>984</v>
      </c>
      <c r="FY27" s="331" t="s">
        <v>984</v>
      </c>
      <c r="FZ27" s="331" t="s">
        <v>984</v>
      </c>
      <c r="GA27" s="331" t="s">
        <v>984</v>
      </c>
      <c r="GB27" s="331" t="s">
        <v>984</v>
      </c>
      <c r="GC27" s="331" t="s">
        <v>984</v>
      </c>
      <c r="GD27" s="331" t="s">
        <v>984</v>
      </c>
      <c r="GE27" s="331" t="s">
        <v>984</v>
      </c>
      <c r="GF27" s="331" t="s">
        <v>984</v>
      </c>
      <c r="GG27" s="331" t="s">
        <v>984</v>
      </c>
      <c r="GH27" s="331" t="s">
        <v>984</v>
      </c>
      <c r="GI27" s="331" t="s">
        <v>984</v>
      </c>
      <c r="GJ27" s="331" t="s">
        <v>984</v>
      </c>
      <c r="GK27" s="331" t="s">
        <v>984</v>
      </c>
      <c r="GL27" s="331" t="s">
        <v>984</v>
      </c>
      <c r="GM27" s="331" t="s">
        <v>984</v>
      </c>
      <c r="GN27" s="331" t="s">
        <v>984</v>
      </c>
      <c r="GO27" s="331" t="s">
        <v>984</v>
      </c>
      <c r="GP27" s="331" t="s">
        <v>984</v>
      </c>
      <c r="GQ27" s="331" t="s">
        <v>984</v>
      </c>
      <c r="GR27" s="331" t="s">
        <v>984</v>
      </c>
      <c r="GS27" s="331" t="s">
        <v>984</v>
      </c>
      <c r="GT27" s="331" t="s">
        <v>984</v>
      </c>
      <c r="GU27" s="331" t="s">
        <v>984</v>
      </c>
      <c r="GV27" s="331" t="s">
        <v>984</v>
      </c>
      <c r="GW27" s="331" t="s">
        <v>984</v>
      </c>
      <c r="GX27" s="331" t="s">
        <v>984</v>
      </c>
      <c r="GY27" s="331" t="s">
        <v>984</v>
      </c>
      <c r="GZ27" s="331" t="s">
        <v>984</v>
      </c>
      <c r="HA27" s="331" t="s">
        <v>984</v>
      </c>
      <c r="HB27" s="331" t="s">
        <v>984</v>
      </c>
      <c r="HC27" s="331" t="s">
        <v>984</v>
      </c>
      <c r="HD27" s="331" t="s">
        <v>984</v>
      </c>
      <c r="HE27" s="331" t="s">
        <v>984</v>
      </c>
      <c r="HF27" s="331" t="s">
        <v>984</v>
      </c>
      <c r="HG27" s="331" t="s">
        <v>984</v>
      </c>
      <c r="HH27" s="331" t="s">
        <v>984</v>
      </c>
      <c r="HI27" s="331" t="s">
        <v>984</v>
      </c>
      <c r="HJ27" s="331" t="s">
        <v>984</v>
      </c>
      <c r="HK27" s="331" t="s">
        <v>984</v>
      </c>
      <c r="HL27" s="331" t="s">
        <v>984</v>
      </c>
      <c r="HM27" s="331" t="s">
        <v>190</v>
      </c>
      <c r="HN27" s="331" t="s">
        <v>190</v>
      </c>
      <c r="HO27" s="331" t="s">
        <v>190</v>
      </c>
      <c r="HP27" s="331" t="s">
        <v>190</v>
      </c>
      <c r="HQ27" s="331" t="s">
        <v>170</v>
      </c>
      <c r="HR27" s="331" t="s">
        <v>429</v>
      </c>
      <c r="HS27" s="331" t="s">
        <v>169</v>
      </c>
      <c r="HT27" s="331" t="s">
        <v>427</v>
      </c>
      <c r="HU27" s="331" t="s">
        <v>984</v>
      </c>
      <c r="HV27" s="331" t="s">
        <v>984</v>
      </c>
    </row>
    <row r="28" spans="1:230" s="70" customFormat="1" x14ac:dyDescent="0.25">
      <c r="A28" s="330" t="str">
        <f>HYPERLINK("http://www.ofsted.gov.uk/inspection-reports/find-inspection-report/provider/ELS/144374 ","Ofsted School Webpage")</f>
        <v>Ofsted School Webpage</v>
      </c>
      <c r="B28" s="331">
        <v>144374</v>
      </c>
      <c r="C28" s="331">
        <v>3326008</v>
      </c>
      <c r="D28" s="331" t="s">
        <v>2436</v>
      </c>
      <c r="E28" s="331" t="s">
        <v>168</v>
      </c>
      <c r="F28" s="331" t="s">
        <v>437</v>
      </c>
      <c r="G28" s="331" t="s">
        <v>437</v>
      </c>
      <c r="H28" s="331" t="s">
        <v>619</v>
      </c>
      <c r="I28" s="331" t="s">
        <v>2437</v>
      </c>
      <c r="J28" s="331" t="s">
        <v>81</v>
      </c>
      <c r="K28" s="331" t="s">
        <v>81</v>
      </c>
      <c r="L28" s="331" t="s">
        <v>81</v>
      </c>
      <c r="M28" s="331" t="s">
        <v>78</v>
      </c>
      <c r="N28" s="331" t="s">
        <v>424</v>
      </c>
      <c r="O28" s="331">
        <v>10114550</v>
      </c>
      <c r="P28" s="332">
        <v>43725</v>
      </c>
      <c r="Q28" s="332">
        <v>43725</v>
      </c>
      <c r="R28" s="332">
        <v>43751</v>
      </c>
      <c r="S28" s="331" t="s">
        <v>985</v>
      </c>
      <c r="T28" s="331" t="s">
        <v>982</v>
      </c>
      <c r="U28" s="331" t="s">
        <v>427</v>
      </c>
      <c r="V28" s="331" t="s">
        <v>165</v>
      </c>
      <c r="W28" s="331" t="s">
        <v>984</v>
      </c>
      <c r="X28" s="331" t="s">
        <v>984</v>
      </c>
      <c r="Y28" s="331" t="s">
        <v>984</v>
      </c>
      <c r="Z28" s="331" t="s">
        <v>984</v>
      </c>
      <c r="AA28" s="331" t="s">
        <v>984</v>
      </c>
      <c r="AB28" s="331" t="s">
        <v>984</v>
      </c>
      <c r="AC28" s="331" t="s">
        <v>984</v>
      </c>
      <c r="AD28" s="331" t="s">
        <v>984</v>
      </c>
      <c r="AE28" s="331" t="s">
        <v>984</v>
      </c>
      <c r="AF28" s="331" t="s">
        <v>984</v>
      </c>
      <c r="AG28" s="331" t="s">
        <v>984</v>
      </c>
      <c r="AH28" s="331" t="s">
        <v>984</v>
      </c>
      <c r="AI28" s="331" t="s">
        <v>984</v>
      </c>
      <c r="AJ28" s="331" t="s">
        <v>984</v>
      </c>
      <c r="AK28" s="331" t="s">
        <v>984</v>
      </c>
      <c r="AL28" s="331" t="s">
        <v>984</v>
      </c>
      <c r="AM28" s="331" t="s">
        <v>984</v>
      </c>
      <c r="AN28" s="331" t="s">
        <v>984</v>
      </c>
      <c r="AO28" s="331" t="s">
        <v>984</v>
      </c>
      <c r="AP28" s="331" t="s">
        <v>984</v>
      </c>
      <c r="AQ28" s="331" t="s">
        <v>984</v>
      </c>
      <c r="AR28" s="331" t="s">
        <v>984</v>
      </c>
      <c r="AS28" s="331" t="s">
        <v>984</v>
      </c>
      <c r="AT28" s="331" t="s">
        <v>984</v>
      </c>
      <c r="AU28" s="331" t="s">
        <v>984</v>
      </c>
      <c r="AV28" s="331" t="s">
        <v>984</v>
      </c>
      <c r="AW28" s="331" t="s">
        <v>984</v>
      </c>
      <c r="AX28" s="331" t="s">
        <v>984</v>
      </c>
      <c r="AY28" s="331" t="s">
        <v>984</v>
      </c>
      <c r="AZ28" s="331" t="s">
        <v>984</v>
      </c>
      <c r="BA28" s="331" t="s">
        <v>984</v>
      </c>
      <c r="BB28" s="331" t="s">
        <v>984</v>
      </c>
      <c r="BC28" s="331" t="s">
        <v>984</v>
      </c>
      <c r="BD28" s="331" t="s">
        <v>984</v>
      </c>
      <c r="BE28" s="331" t="s">
        <v>984</v>
      </c>
      <c r="BF28" s="331" t="s">
        <v>984</v>
      </c>
      <c r="BG28" s="331" t="s">
        <v>984</v>
      </c>
      <c r="BH28" s="331" t="s">
        <v>984</v>
      </c>
      <c r="BI28" s="331" t="s">
        <v>984</v>
      </c>
      <c r="BJ28" s="331" t="s">
        <v>984</v>
      </c>
      <c r="BK28" s="331" t="s">
        <v>984</v>
      </c>
      <c r="BL28" s="331" t="s">
        <v>984</v>
      </c>
      <c r="BM28" s="331" t="s">
        <v>984</v>
      </c>
      <c r="BN28" s="331" t="s">
        <v>984</v>
      </c>
      <c r="BO28" s="331" t="s">
        <v>984</v>
      </c>
      <c r="BP28" s="331" t="s">
        <v>984</v>
      </c>
      <c r="BQ28" s="331" t="s">
        <v>984</v>
      </c>
      <c r="BR28" s="331" t="s">
        <v>190</v>
      </c>
      <c r="BS28" s="331" t="s">
        <v>190</v>
      </c>
      <c r="BT28" s="331" t="s">
        <v>190</v>
      </c>
      <c r="BU28" s="331" t="s">
        <v>428</v>
      </c>
      <c r="BV28" s="331" t="s">
        <v>428</v>
      </c>
      <c r="BW28" s="331" t="s">
        <v>428</v>
      </c>
      <c r="BX28" s="331" t="s">
        <v>984</v>
      </c>
      <c r="BY28" s="331" t="s">
        <v>984</v>
      </c>
      <c r="BZ28" s="331" t="s">
        <v>984</v>
      </c>
      <c r="CA28" s="331" t="s">
        <v>984</v>
      </c>
      <c r="CB28" s="331" t="s">
        <v>984</v>
      </c>
      <c r="CC28" s="331" t="s">
        <v>190</v>
      </c>
      <c r="CD28" s="331" t="s">
        <v>190</v>
      </c>
      <c r="CE28" s="331" t="s">
        <v>984</v>
      </c>
      <c r="CF28" s="331" t="s">
        <v>190</v>
      </c>
      <c r="CG28" s="331" t="s">
        <v>984</v>
      </c>
      <c r="CH28" s="331" t="s">
        <v>190</v>
      </c>
      <c r="CI28" s="331" t="s">
        <v>190</v>
      </c>
      <c r="CJ28" s="331" t="s">
        <v>190</v>
      </c>
      <c r="CK28" s="331" t="s">
        <v>190</v>
      </c>
      <c r="CL28" s="331" t="s">
        <v>190</v>
      </c>
      <c r="CM28" s="331" t="s">
        <v>190</v>
      </c>
      <c r="CN28" s="331" t="s">
        <v>190</v>
      </c>
      <c r="CO28" s="331" t="s">
        <v>190</v>
      </c>
      <c r="CP28" s="331" t="s">
        <v>190</v>
      </c>
      <c r="CQ28" s="331" t="s">
        <v>190</v>
      </c>
      <c r="CR28" s="331" t="s">
        <v>190</v>
      </c>
      <c r="CS28" s="331" t="s">
        <v>190</v>
      </c>
      <c r="CT28" s="331" t="s">
        <v>190</v>
      </c>
      <c r="CU28" s="331" t="s">
        <v>428</v>
      </c>
      <c r="CV28" s="331" t="s">
        <v>190</v>
      </c>
      <c r="CW28" s="331" t="s">
        <v>190</v>
      </c>
      <c r="CX28" s="331" t="s">
        <v>190</v>
      </c>
      <c r="CY28" s="331" t="s">
        <v>190</v>
      </c>
      <c r="CZ28" s="331" t="s">
        <v>190</v>
      </c>
      <c r="DA28" s="331" t="s">
        <v>190</v>
      </c>
      <c r="DB28" s="331" t="s">
        <v>190</v>
      </c>
      <c r="DC28" s="331" t="s">
        <v>190</v>
      </c>
      <c r="DD28" s="331" t="s">
        <v>190</v>
      </c>
      <c r="DE28" s="331" t="s">
        <v>190</v>
      </c>
      <c r="DF28" s="331" t="s">
        <v>190</v>
      </c>
      <c r="DG28" s="331" t="s">
        <v>190</v>
      </c>
      <c r="DH28" s="331" t="s">
        <v>190</v>
      </c>
      <c r="DI28" s="331" t="s">
        <v>190</v>
      </c>
      <c r="DJ28" s="331" t="s">
        <v>428</v>
      </c>
      <c r="DK28" s="331" t="s">
        <v>190</v>
      </c>
      <c r="DL28" s="331" t="s">
        <v>190</v>
      </c>
      <c r="DM28" s="331" t="s">
        <v>190</v>
      </c>
      <c r="DN28" s="331" t="s">
        <v>190</v>
      </c>
      <c r="DO28" s="331" t="s">
        <v>190</v>
      </c>
      <c r="DP28" s="331" t="s">
        <v>190</v>
      </c>
      <c r="DQ28" s="331" t="s">
        <v>190</v>
      </c>
      <c r="DR28" s="331" t="s">
        <v>190</v>
      </c>
      <c r="DS28" s="331" t="s">
        <v>190</v>
      </c>
      <c r="DT28" s="331" t="s">
        <v>190</v>
      </c>
      <c r="DU28" s="331" t="s">
        <v>190</v>
      </c>
      <c r="DV28" s="331" t="s">
        <v>190</v>
      </c>
      <c r="DW28" s="331" t="s">
        <v>190</v>
      </c>
      <c r="DX28" s="331" t="s">
        <v>190</v>
      </c>
      <c r="DY28" s="331" t="s">
        <v>190</v>
      </c>
      <c r="DZ28" s="331" t="s">
        <v>190</v>
      </c>
      <c r="EA28" s="331" t="s">
        <v>190</v>
      </c>
      <c r="EB28" s="331" t="s">
        <v>190</v>
      </c>
      <c r="EC28" s="331" t="s">
        <v>190</v>
      </c>
      <c r="ED28" s="331" t="s">
        <v>190</v>
      </c>
      <c r="EE28" s="331" t="s">
        <v>190</v>
      </c>
      <c r="EF28" s="331" t="s">
        <v>190</v>
      </c>
      <c r="EG28" s="331" t="s">
        <v>190</v>
      </c>
      <c r="EH28" s="331" t="s">
        <v>190</v>
      </c>
      <c r="EI28" s="331" t="s">
        <v>190</v>
      </c>
      <c r="EJ28" s="331" t="s">
        <v>190</v>
      </c>
      <c r="EK28" s="331" t="s">
        <v>190</v>
      </c>
      <c r="EL28" s="331" t="s">
        <v>190</v>
      </c>
      <c r="EM28" s="331" t="s">
        <v>190</v>
      </c>
      <c r="EN28" s="331" t="s">
        <v>190</v>
      </c>
      <c r="EO28" s="331" t="s">
        <v>190</v>
      </c>
      <c r="EP28" s="331" t="s">
        <v>190</v>
      </c>
      <c r="EQ28" s="331" t="s">
        <v>190</v>
      </c>
      <c r="ER28" s="331" t="s">
        <v>190</v>
      </c>
      <c r="ES28" s="331" t="s">
        <v>190</v>
      </c>
      <c r="ET28" s="331" t="s">
        <v>190</v>
      </c>
      <c r="EU28" s="331" t="s">
        <v>190</v>
      </c>
      <c r="EV28" s="331" t="s">
        <v>428</v>
      </c>
      <c r="EW28" s="331" t="s">
        <v>190</v>
      </c>
      <c r="EX28" s="331" t="s">
        <v>190</v>
      </c>
      <c r="EY28" s="331" t="s">
        <v>190</v>
      </c>
      <c r="EZ28" s="331" t="s">
        <v>190</v>
      </c>
      <c r="FA28" s="331" t="s">
        <v>190</v>
      </c>
      <c r="FB28" s="331" t="s">
        <v>190</v>
      </c>
      <c r="FC28" s="331" t="s">
        <v>190</v>
      </c>
      <c r="FD28" s="331" t="s">
        <v>190</v>
      </c>
      <c r="FE28" s="331" t="s">
        <v>190</v>
      </c>
      <c r="FF28" s="331" t="s">
        <v>190</v>
      </c>
      <c r="FG28" s="331" t="s">
        <v>190</v>
      </c>
      <c r="FH28" s="331" t="s">
        <v>190</v>
      </c>
      <c r="FI28" s="331" t="s">
        <v>190</v>
      </c>
      <c r="FJ28" s="331" t="s">
        <v>190</v>
      </c>
      <c r="FK28" s="331" t="s">
        <v>190</v>
      </c>
      <c r="FL28" s="331" t="s">
        <v>190</v>
      </c>
      <c r="FM28" s="331" t="s">
        <v>190</v>
      </c>
      <c r="FN28" s="331" t="s">
        <v>190</v>
      </c>
      <c r="FO28" s="331" t="s">
        <v>190</v>
      </c>
      <c r="FP28" s="331" t="s">
        <v>190</v>
      </c>
      <c r="FQ28" s="331" t="s">
        <v>190</v>
      </c>
      <c r="FR28" s="331" t="s">
        <v>428</v>
      </c>
      <c r="FS28" s="331" t="s">
        <v>984</v>
      </c>
      <c r="FT28" s="331" t="s">
        <v>984</v>
      </c>
      <c r="FU28" s="331" t="s">
        <v>984</v>
      </c>
      <c r="FV28" s="331" t="s">
        <v>190</v>
      </c>
      <c r="FW28" s="331" t="s">
        <v>984</v>
      </c>
      <c r="FX28" s="331" t="s">
        <v>984</v>
      </c>
      <c r="FY28" s="331" t="s">
        <v>984</v>
      </c>
      <c r="FZ28" s="331" t="s">
        <v>984</v>
      </c>
      <c r="GA28" s="331" t="s">
        <v>984</v>
      </c>
      <c r="GB28" s="331" t="s">
        <v>984</v>
      </c>
      <c r="GC28" s="331" t="s">
        <v>984</v>
      </c>
      <c r="GD28" s="331" t="s">
        <v>984</v>
      </c>
      <c r="GE28" s="331" t="s">
        <v>984</v>
      </c>
      <c r="GF28" s="331" t="s">
        <v>984</v>
      </c>
      <c r="GG28" s="331" t="s">
        <v>984</v>
      </c>
      <c r="GH28" s="331" t="s">
        <v>984</v>
      </c>
      <c r="GI28" s="331" t="s">
        <v>984</v>
      </c>
      <c r="GJ28" s="331" t="s">
        <v>984</v>
      </c>
      <c r="GK28" s="331" t="s">
        <v>984</v>
      </c>
      <c r="GL28" s="331" t="s">
        <v>984</v>
      </c>
      <c r="GM28" s="331" t="s">
        <v>984</v>
      </c>
      <c r="GN28" s="331" t="s">
        <v>984</v>
      </c>
      <c r="GO28" s="331" t="s">
        <v>984</v>
      </c>
      <c r="GP28" s="331" t="s">
        <v>984</v>
      </c>
      <c r="GQ28" s="331" t="s">
        <v>984</v>
      </c>
      <c r="GR28" s="331" t="s">
        <v>984</v>
      </c>
      <c r="GS28" s="331" t="s">
        <v>984</v>
      </c>
      <c r="GT28" s="331" t="s">
        <v>984</v>
      </c>
      <c r="GU28" s="331" t="s">
        <v>984</v>
      </c>
      <c r="GV28" s="331" t="s">
        <v>984</v>
      </c>
      <c r="GW28" s="331" t="s">
        <v>984</v>
      </c>
      <c r="GX28" s="331" t="s">
        <v>984</v>
      </c>
      <c r="GY28" s="331" t="s">
        <v>984</v>
      </c>
      <c r="GZ28" s="331" t="s">
        <v>984</v>
      </c>
      <c r="HA28" s="331" t="s">
        <v>984</v>
      </c>
      <c r="HB28" s="331" t="s">
        <v>984</v>
      </c>
      <c r="HC28" s="331" t="s">
        <v>984</v>
      </c>
      <c r="HD28" s="331" t="s">
        <v>984</v>
      </c>
      <c r="HE28" s="331" t="s">
        <v>984</v>
      </c>
      <c r="HF28" s="331" t="s">
        <v>984</v>
      </c>
      <c r="HG28" s="331" t="s">
        <v>984</v>
      </c>
      <c r="HH28" s="331" t="s">
        <v>984</v>
      </c>
      <c r="HI28" s="331" t="s">
        <v>984</v>
      </c>
      <c r="HJ28" s="331" t="s">
        <v>984</v>
      </c>
      <c r="HK28" s="331" t="s">
        <v>984</v>
      </c>
      <c r="HL28" s="331" t="s">
        <v>984</v>
      </c>
      <c r="HM28" s="331" t="s">
        <v>190</v>
      </c>
      <c r="HN28" s="331" t="s">
        <v>190</v>
      </c>
      <c r="HO28" s="331" t="s">
        <v>190</v>
      </c>
      <c r="HP28" s="331" t="s">
        <v>190</v>
      </c>
      <c r="HQ28" s="331" t="s">
        <v>170</v>
      </c>
      <c r="HR28" s="331" t="s">
        <v>429</v>
      </c>
      <c r="HS28" s="331" t="s">
        <v>169</v>
      </c>
      <c r="HT28" s="331" t="s">
        <v>427</v>
      </c>
      <c r="HU28" s="331" t="s">
        <v>190</v>
      </c>
      <c r="HV28" s="331" t="s">
        <v>984</v>
      </c>
    </row>
    <row r="29" spans="1:230" s="70" customFormat="1" x14ac:dyDescent="0.25">
      <c r="A29" s="330" t="str">
        <f>HYPERLINK("http://www.ofsted.gov.uk/inspection-reports/find-inspection-report/provider/ELS/147366 ","Ofsted School Webpage")</f>
        <v>Ofsted School Webpage</v>
      </c>
      <c r="B29" s="331">
        <v>147366</v>
      </c>
      <c r="C29" s="331">
        <v>3556014</v>
      </c>
      <c r="D29" s="331" t="s">
        <v>2706</v>
      </c>
      <c r="E29" s="331" t="s">
        <v>167</v>
      </c>
      <c r="F29" s="331" t="s">
        <v>431</v>
      </c>
      <c r="G29" s="331" t="s">
        <v>431</v>
      </c>
      <c r="H29" s="331" t="s">
        <v>533</v>
      </c>
      <c r="I29" s="331" t="s">
        <v>2707</v>
      </c>
      <c r="J29" s="331" t="s">
        <v>81</v>
      </c>
      <c r="K29" s="331" t="s">
        <v>69</v>
      </c>
      <c r="L29" s="331" t="s">
        <v>69</v>
      </c>
      <c r="M29" s="331" t="s">
        <v>69</v>
      </c>
      <c r="N29" s="331" t="s">
        <v>424</v>
      </c>
      <c r="O29" s="331">
        <v>10118758</v>
      </c>
      <c r="P29" s="332">
        <v>43725</v>
      </c>
      <c r="Q29" s="332">
        <v>43725</v>
      </c>
      <c r="R29" s="332">
        <v>43747</v>
      </c>
      <c r="S29" s="331" t="s">
        <v>2583</v>
      </c>
      <c r="T29" s="331" t="s">
        <v>982</v>
      </c>
      <c r="U29" s="331" t="s">
        <v>427</v>
      </c>
      <c r="V29" s="331" t="s">
        <v>2584</v>
      </c>
      <c r="W29" s="331" t="s">
        <v>190</v>
      </c>
      <c r="X29" s="331" t="s">
        <v>190</v>
      </c>
      <c r="Y29" s="331" t="s">
        <v>190</v>
      </c>
      <c r="Z29" s="331" t="s">
        <v>190</v>
      </c>
      <c r="AA29" s="331" t="s">
        <v>190</v>
      </c>
      <c r="AB29" s="331" t="s">
        <v>190</v>
      </c>
      <c r="AC29" s="331" t="s">
        <v>190</v>
      </c>
      <c r="AD29" s="331" t="s">
        <v>190</v>
      </c>
      <c r="AE29" s="331" t="s">
        <v>428</v>
      </c>
      <c r="AF29" s="331" t="s">
        <v>190</v>
      </c>
      <c r="AG29" s="331" t="s">
        <v>190</v>
      </c>
      <c r="AH29" s="331" t="s">
        <v>190</v>
      </c>
      <c r="AI29" s="331" t="s">
        <v>428</v>
      </c>
      <c r="AJ29" s="331" t="s">
        <v>428</v>
      </c>
      <c r="AK29" s="331" t="s">
        <v>428</v>
      </c>
      <c r="AL29" s="331" t="s">
        <v>428</v>
      </c>
      <c r="AM29" s="331" t="s">
        <v>190</v>
      </c>
      <c r="AN29" s="331" t="s">
        <v>428</v>
      </c>
      <c r="AO29" s="331" t="s">
        <v>190</v>
      </c>
      <c r="AP29" s="331" t="s">
        <v>190</v>
      </c>
      <c r="AQ29" s="331" t="s">
        <v>190</v>
      </c>
      <c r="AR29" s="331" t="s">
        <v>190</v>
      </c>
      <c r="AS29" s="331" t="s">
        <v>190</v>
      </c>
      <c r="AT29" s="331" t="s">
        <v>190</v>
      </c>
      <c r="AU29" s="331" t="s">
        <v>190</v>
      </c>
      <c r="AV29" s="331" t="s">
        <v>190</v>
      </c>
      <c r="AW29" s="331" t="s">
        <v>190</v>
      </c>
      <c r="AX29" s="331" t="s">
        <v>190</v>
      </c>
      <c r="AY29" s="331" t="s">
        <v>190</v>
      </c>
      <c r="AZ29" s="331" t="s">
        <v>190</v>
      </c>
      <c r="BA29" s="331" t="s">
        <v>190</v>
      </c>
      <c r="BB29" s="331" t="s">
        <v>190</v>
      </c>
      <c r="BC29" s="331" t="s">
        <v>190</v>
      </c>
      <c r="BD29" s="331" t="s">
        <v>190</v>
      </c>
      <c r="BE29" s="331" t="s">
        <v>190</v>
      </c>
      <c r="BF29" s="331" t="s">
        <v>190</v>
      </c>
      <c r="BG29" s="331" t="s">
        <v>190</v>
      </c>
      <c r="BH29" s="331" t="s">
        <v>190</v>
      </c>
      <c r="BI29" s="331" t="s">
        <v>190</v>
      </c>
      <c r="BJ29" s="331" t="s">
        <v>190</v>
      </c>
      <c r="BK29" s="331" t="s">
        <v>190</v>
      </c>
      <c r="BL29" s="331" t="s">
        <v>190</v>
      </c>
      <c r="BM29" s="331" t="s">
        <v>190</v>
      </c>
      <c r="BN29" s="331" t="s">
        <v>190</v>
      </c>
      <c r="BO29" s="331" t="s">
        <v>190</v>
      </c>
      <c r="BP29" s="331" t="s">
        <v>190</v>
      </c>
      <c r="BQ29" s="331" t="s">
        <v>190</v>
      </c>
      <c r="BR29" s="331" t="s">
        <v>190</v>
      </c>
      <c r="BS29" s="331" t="s">
        <v>190</v>
      </c>
      <c r="BT29" s="331" t="s">
        <v>190</v>
      </c>
      <c r="BU29" s="331" t="s">
        <v>428</v>
      </c>
      <c r="BV29" s="331" t="s">
        <v>428</v>
      </c>
      <c r="BW29" s="331" t="s">
        <v>428</v>
      </c>
      <c r="BX29" s="331" t="s">
        <v>190</v>
      </c>
      <c r="BY29" s="331" t="s">
        <v>190</v>
      </c>
      <c r="BZ29" s="331" t="s">
        <v>190</v>
      </c>
      <c r="CA29" s="331" t="s">
        <v>190</v>
      </c>
      <c r="CB29" s="331" t="s">
        <v>190</v>
      </c>
      <c r="CC29" s="331" t="s">
        <v>190</v>
      </c>
      <c r="CD29" s="331" t="s">
        <v>190</v>
      </c>
      <c r="CE29" s="331" t="s">
        <v>190</v>
      </c>
      <c r="CF29" s="331" t="s">
        <v>190</v>
      </c>
      <c r="CG29" s="331" t="s">
        <v>190</v>
      </c>
      <c r="CH29" s="331" t="s">
        <v>190</v>
      </c>
      <c r="CI29" s="331" t="s">
        <v>190</v>
      </c>
      <c r="CJ29" s="331" t="s">
        <v>190</v>
      </c>
      <c r="CK29" s="331" t="s">
        <v>190</v>
      </c>
      <c r="CL29" s="331" t="s">
        <v>190</v>
      </c>
      <c r="CM29" s="331" t="s">
        <v>190</v>
      </c>
      <c r="CN29" s="331" t="s">
        <v>190</v>
      </c>
      <c r="CO29" s="331" t="s">
        <v>190</v>
      </c>
      <c r="CP29" s="331" t="s">
        <v>190</v>
      </c>
      <c r="CQ29" s="331" t="s">
        <v>190</v>
      </c>
      <c r="CR29" s="331" t="s">
        <v>190</v>
      </c>
      <c r="CS29" s="331" t="s">
        <v>190</v>
      </c>
      <c r="CT29" s="331" t="s">
        <v>190</v>
      </c>
      <c r="CU29" s="331" t="s">
        <v>428</v>
      </c>
      <c r="CV29" s="331" t="s">
        <v>190</v>
      </c>
      <c r="CW29" s="331" t="s">
        <v>428</v>
      </c>
      <c r="CX29" s="331" t="s">
        <v>428</v>
      </c>
      <c r="CY29" s="331" t="s">
        <v>428</v>
      </c>
      <c r="CZ29" s="331" t="s">
        <v>428</v>
      </c>
      <c r="DA29" s="331" t="s">
        <v>428</v>
      </c>
      <c r="DB29" s="331" t="s">
        <v>428</v>
      </c>
      <c r="DC29" s="331" t="s">
        <v>428</v>
      </c>
      <c r="DD29" s="331" t="s">
        <v>428</v>
      </c>
      <c r="DE29" s="331" t="s">
        <v>428</v>
      </c>
      <c r="DF29" s="331" t="s">
        <v>428</v>
      </c>
      <c r="DG29" s="331" t="s">
        <v>428</v>
      </c>
      <c r="DH29" s="331" t="s">
        <v>428</v>
      </c>
      <c r="DI29" s="331" t="s">
        <v>428</v>
      </c>
      <c r="DJ29" s="331" t="s">
        <v>428</v>
      </c>
      <c r="DK29" s="331" t="s">
        <v>428</v>
      </c>
      <c r="DL29" s="331" t="s">
        <v>428</v>
      </c>
      <c r="DM29" s="331" t="s">
        <v>428</v>
      </c>
      <c r="DN29" s="331" t="s">
        <v>428</v>
      </c>
      <c r="DO29" s="331" t="s">
        <v>428</v>
      </c>
      <c r="DP29" s="331" t="s">
        <v>428</v>
      </c>
      <c r="DQ29" s="331" t="s">
        <v>428</v>
      </c>
      <c r="DR29" s="331" t="s">
        <v>428</v>
      </c>
      <c r="DS29" s="331" t="s">
        <v>428</v>
      </c>
      <c r="DT29" s="331" t="s">
        <v>428</v>
      </c>
      <c r="DU29" s="331" t="s">
        <v>190</v>
      </c>
      <c r="DV29" s="331" t="s">
        <v>190</v>
      </c>
      <c r="DW29" s="331" t="s">
        <v>190</v>
      </c>
      <c r="DX29" s="331" t="s">
        <v>190</v>
      </c>
      <c r="DY29" s="331" t="s">
        <v>190</v>
      </c>
      <c r="DZ29" s="331" t="s">
        <v>190</v>
      </c>
      <c r="EA29" s="331" t="s">
        <v>190</v>
      </c>
      <c r="EB29" s="331" t="s">
        <v>190</v>
      </c>
      <c r="EC29" s="331" t="s">
        <v>190</v>
      </c>
      <c r="ED29" s="331" t="s">
        <v>190</v>
      </c>
      <c r="EE29" s="331" t="s">
        <v>190</v>
      </c>
      <c r="EF29" s="331" t="s">
        <v>190</v>
      </c>
      <c r="EG29" s="331" t="s">
        <v>190</v>
      </c>
      <c r="EH29" s="331" t="s">
        <v>428</v>
      </c>
      <c r="EI29" s="331" t="s">
        <v>428</v>
      </c>
      <c r="EJ29" s="331" t="s">
        <v>428</v>
      </c>
      <c r="EK29" s="331" t="s">
        <v>428</v>
      </c>
      <c r="EL29" s="331" t="s">
        <v>428</v>
      </c>
      <c r="EM29" s="331" t="s">
        <v>428</v>
      </c>
      <c r="EN29" s="331" t="s">
        <v>428</v>
      </c>
      <c r="EO29" s="331" t="s">
        <v>428</v>
      </c>
      <c r="EP29" s="331" t="s">
        <v>428</v>
      </c>
      <c r="EQ29" s="331" t="s">
        <v>428</v>
      </c>
      <c r="ER29" s="331" t="s">
        <v>428</v>
      </c>
      <c r="ES29" s="331" t="s">
        <v>190</v>
      </c>
      <c r="ET29" s="331" t="s">
        <v>190</v>
      </c>
      <c r="EU29" s="331" t="s">
        <v>428</v>
      </c>
      <c r="EV29" s="331" t="s">
        <v>428</v>
      </c>
      <c r="EW29" s="331" t="s">
        <v>190</v>
      </c>
      <c r="EX29" s="331" t="s">
        <v>190</v>
      </c>
      <c r="EY29" s="331" t="s">
        <v>190</v>
      </c>
      <c r="EZ29" s="331" t="s">
        <v>428</v>
      </c>
      <c r="FA29" s="331" t="s">
        <v>190</v>
      </c>
      <c r="FB29" s="331" t="s">
        <v>190</v>
      </c>
      <c r="FC29" s="331" t="s">
        <v>190</v>
      </c>
      <c r="FD29" s="331" t="s">
        <v>190</v>
      </c>
      <c r="FE29" s="331" t="s">
        <v>190</v>
      </c>
      <c r="FF29" s="331" t="s">
        <v>190</v>
      </c>
      <c r="FG29" s="331" t="s">
        <v>190</v>
      </c>
      <c r="FH29" s="331" t="s">
        <v>190</v>
      </c>
      <c r="FI29" s="331" t="s">
        <v>190</v>
      </c>
      <c r="FJ29" s="331" t="s">
        <v>190</v>
      </c>
      <c r="FK29" s="331" t="s">
        <v>190</v>
      </c>
      <c r="FL29" s="331" t="s">
        <v>190</v>
      </c>
      <c r="FM29" s="331" t="s">
        <v>190</v>
      </c>
      <c r="FN29" s="331" t="s">
        <v>190</v>
      </c>
      <c r="FO29" s="331" t="s">
        <v>190</v>
      </c>
      <c r="FP29" s="331" t="s">
        <v>190</v>
      </c>
      <c r="FQ29" s="331" t="s">
        <v>190</v>
      </c>
      <c r="FR29" s="331" t="s">
        <v>428</v>
      </c>
      <c r="FS29" s="331" t="s">
        <v>190</v>
      </c>
      <c r="FT29" s="331" t="s">
        <v>190</v>
      </c>
      <c r="FU29" s="331" t="s">
        <v>190</v>
      </c>
      <c r="FV29" s="331" t="s">
        <v>190</v>
      </c>
      <c r="FW29" s="331" t="s">
        <v>190</v>
      </c>
      <c r="FX29" s="331" t="s">
        <v>428</v>
      </c>
      <c r="FY29" s="331" t="s">
        <v>190</v>
      </c>
      <c r="FZ29" s="331" t="s">
        <v>190</v>
      </c>
      <c r="GA29" s="331" t="s">
        <v>190</v>
      </c>
      <c r="GB29" s="331" t="s">
        <v>190</v>
      </c>
      <c r="GC29" s="331" t="s">
        <v>428</v>
      </c>
      <c r="GD29" s="331" t="s">
        <v>190</v>
      </c>
      <c r="GE29" s="331" t="s">
        <v>190</v>
      </c>
      <c r="GF29" s="331" t="s">
        <v>428</v>
      </c>
      <c r="GG29" s="331" t="s">
        <v>190</v>
      </c>
      <c r="GH29" s="331" t="s">
        <v>428</v>
      </c>
      <c r="GI29" s="331" t="s">
        <v>190</v>
      </c>
      <c r="GJ29" s="331" t="s">
        <v>190</v>
      </c>
      <c r="GK29" s="331" t="s">
        <v>190</v>
      </c>
      <c r="GL29" s="331" t="s">
        <v>190</v>
      </c>
      <c r="GM29" s="331" t="s">
        <v>190</v>
      </c>
      <c r="GN29" s="331" t="s">
        <v>190</v>
      </c>
      <c r="GO29" s="331" t="s">
        <v>190</v>
      </c>
      <c r="GP29" s="331" t="s">
        <v>428</v>
      </c>
      <c r="GQ29" s="331" t="s">
        <v>190</v>
      </c>
      <c r="GR29" s="331" t="s">
        <v>428</v>
      </c>
      <c r="GS29" s="331" t="s">
        <v>428</v>
      </c>
      <c r="GT29" s="331" t="s">
        <v>428</v>
      </c>
      <c r="GU29" s="331" t="s">
        <v>428</v>
      </c>
      <c r="GV29" s="331" t="s">
        <v>428</v>
      </c>
      <c r="GW29" s="331" t="s">
        <v>190</v>
      </c>
      <c r="GX29" s="331" t="s">
        <v>190</v>
      </c>
      <c r="GY29" s="331" t="s">
        <v>190</v>
      </c>
      <c r="GZ29" s="331" t="s">
        <v>190</v>
      </c>
      <c r="HA29" s="331" t="s">
        <v>190</v>
      </c>
      <c r="HB29" s="331" t="s">
        <v>190</v>
      </c>
      <c r="HC29" s="331" t="s">
        <v>190</v>
      </c>
      <c r="HD29" s="331" t="s">
        <v>190</v>
      </c>
      <c r="HE29" s="331" t="s">
        <v>190</v>
      </c>
      <c r="HF29" s="331" t="s">
        <v>190</v>
      </c>
      <c r="HG29" s="331" t="s">
        <v>190</v>
      </c>
      <c r="HH29" s="331" t="s">
        <v>190</v>
      </c>
      <c r="HI29" s="331" t="s">
        <v>190</v>
      </c>
      <c r="HJ29" s="331" t="s">
        <v>190</v>
      </c>
      <c r="HK29" s="331" t="s">
        <v>190</v>
      </c>
      <c r="HL29" s="331" t="s">
        <v>190</v>
      </c>
      <c r="HM29" s="331" t="s">
        <v>190</v>
      </c>
      <c r="HN29" s="331" t="s">
        <v>190</v>
      </c>
      <c r="HO29" s="331" t="s">
        <v>190</v>
      </c>
      <c r="HP29" s="331" t="s">
        <v>190</v>
      </c>
      <c r="HQ29" s="331" t="s">
        <v>170</v>
      </c>
      <c r="HR29" s="331" t="s">
        <v>429</v>
      </c>
      <c r="HS29" s="331" t="s">
        <v>169</v>
      </c>
      <c r="HT29" s="331" t="s">
        <v>427</v>
      </c>
      <c r="HU29" s="331" t="s">
        <v>190</v>
      </c>
      <c r="HV29" s="331" t="s">
        <v>190</v>
      </c>
    </row>
    <row r="30" spans="1:230" s="70" customFormat="1" x14ac:dyDescent="0.25">
      <c r="A30" s="330" t="str">
        <f>HYPERLINK("http://www.ofsted.gov.uk/inspection-reports/find-inspection-report/provider/ELS/133541 ","Ofsted School Webpage")</f>
        <v>Ofsted School Webpage</v>
      </c>
      <c r="B30" s="331">
        <v>133541</v>
      </c>
      <c r="C30" s="331">
        <v>8896009</v>
      </c>
      <c r="D30" s="331" t="s">
        <v>1776</v>
      </c>
      <c r="E30" s="331" t="s">
        <v>167</v>
      </c>
      <c r="F30" s="331" t="s">
        <v>431</v>
      </c>
      <c r="G30" s="331" t="s">
        <v>431</v>
      </c>
      <c r="H30" s="331" t="s">
        <v>541</v>
      </c>
      <c r="I30" s="331" t="s">
        <v>1777</v>
      </c>
      <c r="J30" s="331" t="s">
        <v>71</v>
      </c>
      <c r="K30" s="331" t="s">
        <v>72</v>
      </c>
      <c r="L30" s="331" t="s">
        <v>71</v>
      </c>
      <c r="M30" s="331" t="s">
        <v>72</v>
      </c>
      <c r="N30" s="331" t="s">
        <v>424</v>
      </c>
      <c r="O30" s="331">
        <v>10123318</v>
      </c>
      <c r="P30" s="332">
        <v>43725</v>
      </c>
      <c r="Q30" s="332">
        <v>43725</v>
      </c>
      <c r="R30" s="332">
        <v>43788</v>
      </c>
      <c r="S30" s="331" t="s">
        <v>997</v>
      </c>
      <c r="T30" s="331" t="s">
        <v>982</v>
      </c>
      <c r="U30" s="331" t="s">
        <v>427</v>
      </c>
      <c r="V30" s="331" t="s">
        <v>2708</v>
      </c>
      <c r="W30" s="331" t="s">
        <v>984</v>
      </c>
      <c r="X30" s="331" t="s">
        <v>984</v>
      </c>
      <c r="Y30" s="331" t="s">
        <v>984</v>
      </c>
      <c r="Z30" s="331" t="s">
        <v>984</v>
      </c>
      <c r="AA30" s="331" t="s">
        <v>984</v>
      </c>
      <c r="AB30" s="331" t="s">
        <v>984</v>
      </c>
      <c r="AC30" s="331" t="s">
        <v>984</v>
      </c>
      <c r="AD30" s="331" t="s">
        <v>984</v>
      </c>
      <c r="AE30" s="331" t="s">
        <v>984</v>
      </c>
      <c r="AF30" s="331" t="s">
        <v>984</v>
      </c>
      <c r="AG30" s="331" t="s">
        <v>984</v>
      </c>
      <c r="AH30" s="331" t="s">
        <v>984</v>
      </c>
      <c r="AI30" s="331" t="s">
        <v>984</v>
      </c>
      <c r="AJ30" s="331" t="s">
        <v>984</v>
      </c>
      <c r="AK30" s="331" t="s">
        <v>984</v>
      </c>
      <c r="AL30" s="331" t="s">
        <v>984</v>
      </c>
      <c r="AM30" s="331" t="s">
        <v>984</v>
      </c>
      <c r="AN30" s="331" t="s">
        <v>984</v>
      </c>
      <c r="AO30" s="331" t="s">
        <v>984</v>
      </c>
      <c r="AP30" s="331" t="s">
        <v>984</v>
      </c>
      <c r="AQ30" s="331" t="s">
        <v>984</v>
      </c>
      <c r="AR30" s="331" t="s">
        <v>984</v>
      </c>
      <c r="AS30" s="331" t="s">
        <v>984</v>
      </c>
      <c r="AT30" s="331" t="s">
        <v>984</v>
      </c>
      <c r="AU30" s="331" t="s">
        <v>984</v>
      </c>
      <c r="AV30" s="331" t="s">
        <v>984</v>
      </c>
      <c r="AW30" s="331" t="s">
        <v>984</v>
      </c>
      <c r="AX30" s="331" t="s">
        <v>984</v>
      </c>
      <c r="AY30" s="331" t="s">
        <v>984</v>
      </c>
      <c r="AZ30" s="331" t="s">
        <v>984</v>
      </c>
      <c r="BA30" s="331" t="s">
        <v>191</v>
      </c>
      <c r="BB30" s="331" t="s">
        <v>984</v>
      </c>
      <c r="BC30" s="331" t="s">
        <v>191</v>
      </c>
      <c r="BD30" s="331" t="s">
        <v>191</v>
      </c>
      <c r="BE30" s="331" t="s">
        <v>191</v>
      </c>
      <c r="BF30" s="331" t="s">
        <v>984</v>
      </c>
      <c r="BG30" s="331" t="s">
        <v>191</v>
      </c>
      <c r="BH30" s="331" t="s">
        <v>984</v>
      </c>
      <c r="BI30" s="331" t="s">
        <v>984</v>
      </c>
      <c r="BJ30" s="331" t="s">
        <v>984</v>
      </c>
      <c r="BK30" s="331" t="s">
        <v>191</v>
      </c>
      <c r="BL30" s="331" t="s">
        <v>984</v>
      </c>
      <c r="BM30" s="331" t="s">
        <v>984</v>
      </c>
      <c r="BN30" s="331" t="s">
        <v>984</v>
      </c>
      <c r="BO30" s="331" t="s">
        <v>984</v>
      </c>
      <c r="BP30" s="331" t="s">
        <v>984</v>
      </c>
      <c r="BQ30" s="331" t="s">
        <v>984</v>
      </c>
      <c r="BR30" s="331" t="s">
        <v>190</v>
      </c>
      <c r="BS30" s="331" t="s">
        <v>190</v>
      </c>
      <c r="BT30" s="331" t="s">
        <v>190</v>
      </c>
      <c r="BU30" s="331" t="s">
        <v>984</v>
      </c>
      <c r="BV30" s="331" t="s">
        <v>984</v>
      </c>
      <c r="BW30" s="331" t="s">
        <v>984</v>
      </c>
      <c r="BX30" s="331" t="s">
        <v>984</v>
      </c>
      <c r="BY30" s="331" t="s">
        <v>984</v>
      </c>
      <c r="BZ30" s="331" t="s">
        <v>984</v>
      </c>
      <c r="CA30" s="331" t="s">
        <v>984</v>
      </c>
      <c r="CB30" s="331" t="s">
        <v>984</v>
      </c>
      <c r="CC30" s="331" t="s">
        <v>984</v>
      </c>
      <c r="CD30" s="331" t="s">
        <v>984</v>
      </c>
      <c r="CE30" s="331" t="s">
        <v>984</v>
      </c>
      <c r="CF30" s="331" t="s">
        <v>984</v>
      </c>
      <c r="CG30" s="331" t="s">
        <v>984</v>
      </c>
      <c r="CH30" s="331" t="s">
        <v>984</v>
      </c>
      <c r="CI30" s="331" t="s">
        <v>984</v>
      </c>
      <c r="CJ30" s="331" t="s">
        <v>984</v>
      </c>
      <c r="CK30" s="331" t="s">
        <v>984</v>
      </c>
      <c r="CL30" s="331" t="s">
        <v>984</v>
      </c>
      <c r="CM30" s="331" t="s">
        <v>984</v>
      </c>
      <c r="CN30" s="331" t="s">
        <v>984</v>
      </c>
      <c r="CO30" s="331" t="s">
        <v>984</v>
      </c>
      <c r="CP30" s="331" t="s">
        <v>984</v>
      </c>
      <c r="CQ30" s="331" t="s">
        <v>984</v>
      </c>
      <c r="CR30" s="331" t="s">
        <v>984</v>
      </c>
      <c r="CS30" s="331" t="s">
        <v>984</v>
      </c>
      <c r="CT30" s="331" t="s">
        <v>984</v>
      </c>
      <c r="CU30" s="331" t="s">
        <v>984</v>
      </c>
      <c r="CV30" s="331" t="s">
        <v>984</v>
      </c>
      <c r="CW30" s="331" t="s">
        <v>984</v>
      </c>
      <c r="CX30" s="331" t="s">
        <v>984</v>
      </c>
      <c r="CY30" s="331" t="s">
        <v>984</v>
      </c>
      <c r="CZ30" s="331" t="s">
        <v>984</v>
      </c>
      <c r="DA30" s="331" t="s">
        <v>984</v>
      </c>
      <c r="DB30" s="331" t="s">
        <v>984</v>
      </c>
      <c r="DC30" s="331" t="s">
        <v>984</v>
      </c>
      <c r="DD30" s="331" t="s">
        <v>984</v>
      </c>
      <c r="DE30" s="331" t="s">
        <v>984</v>
      </c>
      <c r="DF30" s="331" t="s">
        <v>984</v>
      </c>
      <c r="DG30" s="331" t="s">
        <v>984</v>
      </c>
      <c r="DH30" s="331" t="s">
        <v>984</v>
      </c>
      <c r="DI30" s="331" t="s">
        <v>984</v>
      </c>
      <c r="DJ30" s="331" t="s">
        <v>984</v>
      </c>
      <c r="DK30" s="331" t="s">
        <v>984</v>
      </c>
      <c r="DL30" s="331" t="s">
        <v>984</v>
      </c>
      <c r="DM30" s="331" t="s">
        <v>984</v>
      </c>
      <c r="DN30" s="331" t="s">
        <v>984</v>
      </c>
      <c r="DO30" s="331" t="s">
        <v>984</v>
      </c>
      <c r="DP30" s="331" t="s">
        <v>984</v>
      </c>
      <c r="DQ30" s="331" t="s">
        <v>984</v>
      </c>
      <c r="DR30" s="331" t="s">
        <v>984</v>
      </c>
      <c r="DS30" s="331" t="s">
        <v>984</v>
      </c>
      <c r="DT30" s="331" t="s">
        <v>984</v>
      </c>
      <c r="DU30" s="331" t="s">
        <v>984</v>
      </c>
      <c r="DV30" s="331" t="s">
        <v>984</v>
      </c>
      <c r="DW30" s="331" t="s">
        <v>984</v>
      </c>
      <c r="DX30" s="331" t="s">
        <v>984</v>
      </c>
      <c r="DY30" s="331" t="s">
        <v>984</v>
      </c>
      <c r="DZ30" s="331" t="s">
        <v>984</v>
      </c>
      <c r="EA30" s="331" t="s">
        <v>984</v>
      </c>
      <c r="EB30" s="331" t="s">
        <v>984</v>
      </c>
      <c r="EC30" s="331" t="s">
        <v>984</v>
      </c>
      <c r="ED30" s="331" t="s">
        <v>984</v>
      </c>
      <c r="EE30" s="331" t="s">
        <v>984</v>
      </c>
      <c r="EF30" s="331" t="s">
        <v>984</v>
      </c>
      <c r="EG30" s="331" t="s">
        <v>984</v>
      </c>
      <c r="EH30" s="331" t="s">
        <v>984</v>
      </c>
      <c r="EI30" s="331" t="s">
        <v>984</v>
      </c>
      <c r="EJ30" s="331" t="s">
        <v>984</v>
      </c>
      <c r="EK30" s="331" t="s">
        <v>984</v>
      </c>
      <c r="EL30" s="331" t="s">
        <v>984</v>
      </c>
      <c r="EM30" s="331" t="s">
        <v>984</v>
      </c>
      <c r="EN30" s="331" t="s">
        <v>984</v>
      </c>
      <c r="EO30" s="331" t="s">
        <v>984</v>
      </c>
      <c r="EP30" s="331" t="s">
        <v>984</v>
      </c>
      <c r="EQ30" s="331" t="s">
        <v>984</v>
      </c>
      <c r="ER30" s="331" t="s">
        <v>984</v>
      </c>
      <c r="ES30" s="331" t="s">
        <v>984</v>
      </c>
      <c r="ET30" s="331" t="s">
        <v>984</v>
      </c>
      <c r="EU30" s="331" t="s">
        <v>984</v>
      </c>
      <c r="EV30" s="331" t="s">
        <v>984</v>
      </c>
      <c r="EW30" s="331" t="s">
        <v>984</v>
      </c>
      <c r="EX30" s="331" t="s">
        <v>984</v>
      </c>
      <c r="EY30" s="331" t="s">
        <v>984</v>
      </c>
      <c r="EZ30" s="331" t="s">
        <v>984</v>
      </c>
      <c r="FA30" s="331" t="s">
        <v>984</v>
      </c>
      <c r="FB30" s="331" t="s">
        <v>984</v>
      </c>
      <c r="FC30" s="331" t="s">
        <v>984</v>
      </c>
      <c r="FD30" s="331" t="s">
        <v>984</v>
      </c>
      <c r="FE30" s="331" t="s">
        <v>984</v>
      </c>
      <c r="FF30" s="331" t="s">
        <v>984</v>
      </c>
      <c r="FG30" s="331" t="s">
        <v>984</v>
      </c>
      <c r="FH30" s="331" t="s">
        <v>984</v>
      </c>
      <c r="FI30" s="331" t="s">
        <v>984</v>
      </c>
      <c r="FJ30" s="331" t="s">
        <v>984</v>
      </c>
      <c r="FK30" s="331" t="s">
        <v>984</v>
      </c>
      <c r="FL30" s="331" t="s">
        <v>984</v>
      </c>
      <c r="FM30" s="331" t="s">
        <v>984</v>
      </c>
      <c r="FN30" s="331" t="s">
        <v>984</v>
      </c>
      <c r="FO30" s="331" t="s">
        <v>984</v>
      </c>
      <c r="FP30" s="331" t="s">
        <v>984</v>
      </c>
      <c r="FQ30" s="331" t="s">
        <v>984</v>
      </c>
      <c r="FR30" s="331" t="s">
        <v>984</v>
      </c>
      <c r="FS30" s="331" t="s">
        <v>190</v>
      </c>
      <c r="FT30" s="331" t="s">
        <v>984</v>
      </c>
      <c r="FU30" s="331" t="s">
        <v>984</v>
      </c>
      <c r="FV30" s="331" t="s">
        <v>190</v>
      </c>
      <c r="FW30" s="331" t="s">
        <v>984</v>
      </c>
      <c r="FX30" s="331" t="s">
        <v>984</v>
      </c>
      <c r="FY30" s="331" t="s">
        <v>984</v>
      </c>
      <c r="FZ30" s="331" t="s">
        <v>984</v>
      </c>
      <c r="GA30" s="331" t="s">
        <v>984</v>
      </c>
      <c r="GB30" s="331" t="s">
        <v>984</v>
      </c>
      <c r="GC30" s="331" t="s">
        <v>984</v>
      </c>
      <c r="GD30" s="331" t="s">
        <v>984</v>
      </c>
      <c r="GE30" s="331" t="s">
        <v>984</v>
      </c>
      <c r="GF30" s="331" t="s">
        <v>984</v>
      </c>
      <c r="GG30" s="331" t="s">
        <v>984</v>
      </c>
      <c r="GH30" s="331" t="s">
        <v>984</v>
      </c>
      <c r="GI30" s="331" t="s">
        <v>984</v>
      </c>
      <c r="GJ30" s="331" t="s">
        <v>984</v>
      </c>
      <c r="GK30" s="331" t="s">
        <v>984</v>
      </c>
      <c r="GL30" s="331" t="s">
        <v>984</v>
      </c>
      <c r="GM30" s="331" t="s">
        <v>984</v>
      </c>
      <c r="GN30" s="331" t="s">
        <v>984</v>
      </c>
      <c r="GO30" s="331" t="s">
        <v>984</v>
      </c>
      <c r="GP30" s="331" t="s">
        <v>984</v>
      </c>
      <c r="GQ30" s="331" t="s">
        <v>984</v>
      </c>
      <c r="GR30" s="331" t="s">
        <v>984</v>
      </c>
      <c r="GS30" s="331" t="s">
        <v>984</v>
      </c>
      <c r="GT30" s="331" t="s">
        <v>984</v>
      </c>
      <c r="GU30" s="331" t="s">
        <v>984</v>
      </c>
      <c r="GV30" s="331" t="s">
        <v>984</v>
      </c>
      <c r="GW30" s="331" t="s">
        <v>984</v>
      </c>
      <c r="GX30" s="331" t="s">
        <v>984</v>
      </c>
      <c r="GY30" s="331" t="s">
        <v>984</v>
      </c>
      <c r="GZ30" s="331" t="s">
        <v>984</v>
      </c>
      <c r="HA30" s="331" t="s">
        <v>984</v>
      </c>
      <c r="HB30" s="331" t="s">
        <v>984</v>
      </c>
      <c r="HC30" s="331" t="s">
        <v>984</v>
      </c>
      <c r="HD30" s="331" t="s">
        <v>984</v>
      </c>
      <c r="HE30" s="331" t="s">
        <v>984</v>
      </c>
      <c r="HF30" s="331" t="s">
        <v>984</v>
      </c>
      <c r="HG30" s="331" t="s">
        <v>984</v>
      </c>
      <c r="HH30" s="331" t="s">
        <v>984</v>
      </c>
      <c r="HI30" s="331" t="s">
        <v>984</v>
      </c>
      <c r="HJ30" s="331" t="s">
        <v>984</v>
      </c>
      <c r="HK30" s="331" t="s">
        <v>984</v>
      </c>
      <c r="HL30" s="331" t="s">
        <v>984</v>
      </c>
      <c r="HM30" s="331" t="s">
        <v>191</v>
      </c>
      <c r="HN30" s="331" t="s">
        <v>191</v>
      </c>
      <c r="HO30" s="331" t="s">
        <v>191</v>
      </c>
      <c r="HP30" s="331" t="s">
        <v>190</v>
      </c>
      <c r="HQ30" s="331" t="s">
        <v>170</v>
      </c>
      <c r="HR30" s="331" t="s">
        <v>429</v>
      </c>
      <c r="HS30" s="331" t="s">
        <v>169</v>
      </c>
      <c r="HT30" s="331" t="s">
        <v>427</v>
      </c>
      <c r="HU30" s="331" t="s">
        <v>428</v>
      </c>
      <c r="HV30" s="331" t="s">
        <v>428</v>
      </c>
    </row>
    <row r="31" spans="1:230" s="70" customFormat="1" x14ac:dyDescent="0.25">
      <c r="A31" s="330" t="str">
        <f>HYPERLINK("http://www.ofsted.gov.uk/inspection-reports/find-inspection-report/provider/ELS/142659 ","Ofsted School Webpage")</f>
        <v>Ofsted School Webpage</v>
      </c>
      <c r="B31" s="331">
        <v>142659</v>
      </c>
      <c r="C31" s="331">
        <v>8556036</v>
      </c>
      <c r="D31" s="331" t="s">
        <v>2352</v>
      </c>
      <c r="E31" s="331" t="s">
        <v>168</v>
      </c>
      <c r="F31" s="331" t="s">
        <v>506</v>
      </c>
      <c r="G31" s="331" t="s">
        <v>506</v>
      </c>
      <c r="H31" s="331" t="s">
        <v>862</v>
      </c>
      <c r="I31" s="331" t="s">
        <v>2353</v>
      </c>
      <c r="J31" s="331" t="s">
        <v>81</v>
      </c>
      <c r="K31" s="331" t="s">
        <v>81</v>
      </c>
      <c r="L31" s="331" t="s">
        <v>81</v>
      </c>
      <c r="M31" s="331" t="s">
        <v>78</v>
      </c>
      <c r="N31" s="331" t="s">
        <v>424</v>
      </c>
      <c r="O31" s="331">
        <v>10115441</v>
      </c>
      <c r="P31" s="332">
        <v>43725</v>
      </c>
      <c r="Q31" s="332">
        <v>43725</v>
      </c>
      <c r="R31" s="332">
        <v>43752</v>
      </c>
      <c r="S31" s="331" t="s">
        <v>981</v>
      </c>
      <c r="T31" s="331" t="s">
        <v>982</v>
      </c>
      <c r="U31" s="331" t="s">
        <v>447</v>
      </c>
      <c r="V31" s="331" t="s">
        <v>1027</v>
      </c>
      <c r="W31" s="331" t="s">
        <v>984</v>
      </c>
      <c r="X31" s="331" t="s">
        <v>984</v>
      </c>
      <c r="Y31" s="331" t="s">
        <v>984</v>
      </c>
      <c r="Z31" s="331" t="s">
        <v>984</v>
      </c>
      <c r="AA31" s="331" t="s">
        <v>984</v>
      </c>
      <c r="AB31" s="331" t="s">
        <v>984</v>
      </c>
      <c r="AC31" s="331" t="s">
        <v>984</v>
      </c>
      <c r="AD31" s="331" t="s">
        <v>984</v>
      </c>
      <c r="AE31" s="331" t="s">
        <v>984</v>
      </c>
      <c r="AF31" s="331" t="s">
        <v>984</v>
      </c>
      <c r="AG31" s="331" t="s">
        <v>984</v>
      </c>
      <c r="AH31" s="331" t="s">
        <v>984</v>
      </c>
      <c r="AI31" s="331" t="s">
        <v>984</v>
      </c>
      <c r="AJ31" s="331" t="s">
        <v>984</v>
      </c>
      <c r="AK31" s="331" t="s">
        <v>984</v>
      </c>
      <c r="AL31" s="331" t="s">
        <v>984</v>
      </c>
      <c r="AM31" s="331" t="s">
        <v>984</v>
      </c>
      <c r="AN31" s="331" t="s">
        <v>984</v>
      </c>
      <c r="AO31" s="331" t="s">
        <v>984</v>
      </c>
      <c r="AP31" s="331" t="s">
        <v>984</v>
      </c>
      <c r="AQ31" s="331" t="s">
        <v>984</v>
      </c>
      <c r="AR31" s="331" t="s">
        <v>984</v>
      </c>
      <c r="AS31" s="331" t="s">
        <v>984</v>
      </c>
      <c r="AT31" s="331" t="s">
        <v>984</v>
      </c>
      <c r="AU31" s="331" t="s">
        <v>984</v>
      </c>
      <c r="AV31" s="331" t="s">
        <v>984</v>
      </c>
      <c r="AW31" s="331" t="s">
        <v>984</v>
      </c>
      <c r="AX31" s="331" t="s">
        <v>984</v>
      </c>
      <c r="AY31" s="331" t="s">
        <v>984</v>
      </c>
      <c r="AZ31" s="331" t="s">
        <v>984</v>
      </c>
      <c r="BA31" s="331" t="s">
        <v>984</v>
      </c>
      <c r="BB31" s="331" t="s">
        <v>984</v>
      </c>
      <c r="BC31" s="331" t="s">
        <v>984</v>
      </c>
      <c r="BD31" s="331" t="s">
        <v>984</v>
      </c>
      <c r="BE31" s="331" t="s">
        <v>984</v>
      </c>
      <c r="BF31" s="331" t="s">
        <v>984</v>
      </c>
      <c r="BG31" s="331" t="s">
        <v>984</v>
      </c>
      <c r="BH31" s="331" t="s">
        <v>984</v>
      </c>
      <c r="BI31" s="331" t="s">
        <v>984</v>
      </c>
      <c r="BJ31" s="331" t="s">
        <v>984</v>
      </c>
      <c r="BK31" s="331" t="s">
        <v>984</v>
      </c>
      <c r="BL31" s="331" t="s">
        <v>984</v>
      </c>
      <c r="BM31" s="331" t="s">
        <v>984</v>
      </c>
      <c r="BN31" s="331" t="s">
        <v>984</v>
      </c>
      <c r="BO31" s="331" t="s">
        <v>984</v>
      </c>
      <c r="BP31" s="331" t="s">
        <v>984</v>
      </c>
      <c r="BQ31" s="331" t="s">
        <v>984</v>
      </c>
      <c r="BR31" s="331" t="s">
        <v>191</v>
      </c>
      <c r="BS31" s="331" t="s">
        <v>191</v>
      </c>
      <c r="BT31" s="331" t="s">
        <v>191</v>
      </c>
      <c r="BU31" s="331" t="s">
        <v>428</v>
      </c>
      <c r="BV31" s="331" t="s">
        <v>428</v>
      </c>
      <c r="BW31" s="331" t="s">
        <v>428</v>
      </c>
      <c r="BX31" s="331" t="s">
        <v>190</v>
      </c>
      <c r="BY31" s="331" t="s">
        <v>190</v>
      </c>
      <c r="BZ31" s="331" t="s">
        <v>190</v>
      </c>
      <c r="CA31" s="331" t="s">
        <v>190</v>
      </c>
      <c r="CB31" s="331" t="s">
        <v>190</v>
      </c>
      <c r="CC31" s="331" t="s">
        <v>191</v>
      </c>
      <c r="CD31" s="331" t="s">
        <v>191</v>
      </c>
      <c r="CE31" s="331" t="s">
        <v>190</v>
      </c>
      <c r="CF31" s="331" t="s">
        <v>984</v>
      </c>
      <c r="CG31" s="331" t="s">
        <v>984</v>
      </c>
      <c r="CH31" s="331" t="s">
        <v>190</v>
      </c>
      <c r="CI31" s="331" t="s">
        <v>190</v>
      </c>
      <c r="CJ31" s="331" t="s">
        <v>190</v>
      </c>
      <c r="CK31" s="331" t="s">
        <v>984</v>
      </c>
      <c r="CL31" s="331" t="s">
        <v>984</v>
      </c>
      <c r="CM31" s="331" t="s">
        <v>984</v>
      </c>
      <c r="CN31" s="331" t="s">
        <v>984</v>
      </c>
      <c r="CO31" s="331" t="s">
        <v>984</v>
      </c>
      <c r="CP31" s="331" t="s">
        <v>984</v>
      </c>
      <c r="CQ31" s="331" t="s">
        <v>984</v>
      </c>
      <c r="CR31" s="331" t="s">
        <v>984</v>
      </c>
      <c r="CS31" s="331" t="s">
        <v>984</v>
      </c>
      <c r="CT31" s="331" t="s">
        <v>984</v>
      </c>
      <c r="CU31" s="331" t="s">
        <v>984</v>
      </c>
      <c r="CV31" s="331" t="s">
        <v>984</v>
      </c>
      <c r="CW31" s="331" t="s">
        <v>984</v>
      </c>
      <c r="CX31" s="331" t="s">
        <v>984</v>
      </c>
      <c r="CY31" s="331" t="s">
        <v>984</v>
      </c>
      <c r="CZ31" s="331" t="s">
        <v>984</v>
      </c>
      <c r="DA31" s="331" t="s">
        <v>984</v>
      </c>
      <c r="DB31" s="331" t="s">
        <v>984</v>
      </c>
      <c r="DC31" s="331" t="s">
        <v>984</v>
      </c>
      <c r="DD31" s="331" t="s">
        <v>984</v>
      </c>
      <c r="DE31" s="331" t="s">
        <v>984</v>
      </c>
      <c r="DF31" s="331" t="s">
        <v>984</v>
      </c>
      <c r="DG31" s="331" t="s">
        <v>984</v>
      </c>
      <c r="DH31" s="331" t="s">
        <v>984</v>
      </c>
      <c r="DI31" s="331" t="s">
        <v>984</v>
      </c>
      <c r="DJ31" s="331" t="s">
        <v>984</v>
      </c>
      <c r="DK31" s="331" t="s">
        <v>984</v>
      </c>
      <c r="DL31" s="331" t="s">
        <v>984</v>
      </c>
      <c r="DM31" s="331" t="s">
        <v>984</v>
      </c>
      <c r="DN31" s="331" t="s">
        <v>984</v>
      </c>
      <c r="DO31" s="331" t="s">
        <v>984</v>
      </c>
      <c r="DP31" s="331" t="s">
        <v>984</v>
      </c>
      <c r="DQ31" s="331" t="s">
        <v>984</v>
      </c>
      <c r="DR31" s="331" t="s">
        <v>984</v>
      </c>
      <c r="DS31" s="331" t="s">
        <v>984</v>
      </c>
      <c r="DT31" s="331" t="s">
        <v>984</v>
      </c>
      <c r="DU31" s="331" t="s">
        <v>984</v>
      </c>
      <c r="DV31" s="331" t="s">
        <v>984</v>
      </c>
      <c r="DW31" s="331" t="s">
        <v>984</v>
      </c>
      <c r="DX31" s="331" t="s">
        <v>984</v>
      </c>
      <c r="DY31" s="331" t="s">
        <v>984</v>
      </c>
      <c r="DZ31" s="331" t="s">
        <v>984</v>
      </c>
      <c r="EA31" s="331" t="s">
        <v>984</v>
      </c>
      <c r="EB31" s="331" t="s">
        <v>984</v>
      </c>
      <c r="EC31" s="331" t="s">
        <v>984</v>
      </c>
      <c r="ED31" s="331" t="s">
        <v>984</v>
      </c>
      <c r="EE31" s="331" t="s">
        <v>984</v>
      </c>
      <c r="EF31" s="331" t="s">
        <v>984</v>
      </c>
      <c r="EG31" s="331" t="s">
        <v>984</v>
      </c>
      <c r="EH31" s="331" t="s">
        <v>984</v>
      </c>
      <c r="EI31" s="331" t="s">
        <v>984</v>
      </c>
      <c r="EJ31" s="331" t="s">
        <v>984</v>
      </c>
      <c r="EK31" s="331" t="s">
        <v>984</v>
      </c>
      <c r="EL31" s="331" t="s">
        <v>984</v>
      </c>
      <c r="EM31" s="331" t="s">
        <v>984</v>
      </c>
      <c r="EN31" s="331" t="s">
        <v>984</v>
      </c>
      <c r="EO31" s="331" t="s">
        <v>984</v>
      </c>
      <c r="EP31" s="331" t="s">
        <v>984</v>
      </c>
      <c r="EQ31" s="331" t="s">
        <v>984</v>
      </c>
      <c r="ER31" s="331" t="s">
        <v>984</v>
      </c>
      <c r="ES31" s="331" t="s">
        <v>984</v>
      </c>
      <c r="ET31" s="331" t="s">
        <v>984</v>
      </c>
      <c r="EU31" s="331" t="s">
        <v>984</v>
      </c>
      <c r="EV31" s="331" t="s">
        <v>984</v>
      </c>
      <c r="EW31" s="331" t="s">
        <v>984</v>
      </c>
      <c r="EX31" s="331" t="s">
        <v>984</v>
      </c>
      <c r="EY31" s="331" t="s">
        <v>984</v>
      </c>
      <c r="EZ31" s="331" t="s">
        <v>984</v>
      </c>
      <c r="FA31" s="331" t="s">
        <v>984</v>
      </c>
      <c r="FB31" s="331" t="s">
        <v>984</v>
      </c>
      <c r="FC31" s="331" t="s">
        <v>984</v>
      </c>
      <c r="FD31" s="331" t="s">
        <v>984</v>
      </c>
      <c r="FE31" s="331" t="s">
        <v>984</v>
      </c>
      <c r="FF31" s="331" t="s">
        <v>984</v>
      </c>
      <c r="FG31" s="331" t="s">
        <v>984</v>
      </c>
      <c r="FH31" s="331" t="s">
        <v>984</v>
      </c>
      <c r="FI31" s="331" t="s">
        <v>984</v>
      </c>
      <c r="FJ31" s="331" t="s">
        <v>984</v>
      </c>
      <c r="FK31" s="331" t="s">
        <v>984</v>
      </c>
      <c r="FL31" s="331" t="s">
        <v>984</v>
      </c>
      <c r="FM31" s="331" t="s">
        <v>984</v>
      </c>
      <c r="FN31" s="331" t="s">
        <v>984</v>
      </c>
      <c r="FO31" s="331" t="s">
        <v>984</v>
      </c>
      <c r="FP31" s="331" t="s">
        <v>984</v>
      </c>
      <c r="FQ31" s="331" t="s">
        <v>984</v>
      </c>
      <c r="FR31" s="331" t="s">
        <v>984</v>
      </c>
      <c r="FS31" s="331" t="s">
        <v>191</v>
      </c>
      <c r="FT31" s="331" t="s">
        <v>190</v>
      </c>
      <c r="FU31" s="331" t="s">
        <v>190</v>
      </c>
      <c r="FV31" s="331" t="s">
        <v>191</v>
      </c>
      <c r="FW31" s="331" t="s">
        <v>190</v>
      </c>
      <c r="FX31" s="331" t="s">
        <v>428</v>
      </c>
      <c r="FY31" s="331" t="s">
        <v>190</v>
      </c>
      <c r="FZ31" s="331" t="s">
        <v>190</v>
      </c>
      <c r="GA31" s="331" t="s">
        <v>190</v>
      </c>
      <c r="GB31" s="331" t="s">
        <v>190</v>
      </c>
      <c r="GC31" s="331" t="s">
        <v>190</v>
      </c>
      <c r="GD31" s="331" t="s">
        <v>190</v>
      </c>
      <c r="GE31" s="331" t="s">
        <v>190</v>
      </c>
      <c r="GF31" s="331" t="s">
        <v>190</v>
      </c>
      <c r="GG31" s="331" t="s">
        <v>190</v>
      </c>
      <c r="GH31" s="331" t="s">
        <v>428</v>
      </c>
      <c r="GI31" s="331" t="s">
        <v>428</v>
      </c>
      <c r="GJ31" s="331" t="s">
        <v>190</v>
      </c>
      <c r="GK31" s="331" t="s">
        <v>190</v>
      </c>
      <c r="GL31" s="331" t="s">
        <v>190</v>
      </c>
      <c r="GM31" s="331" t="s">
        <v>190</v>
      </c>
      <c r="GN31" s="331" t="s">
        <v>190</v>
      </c>
      <c r="GO31" s="331" t="s">
        <v>191</v>
      </c>
      <c r="GP31" s="331" t="s">
        <v>190</v>
      </c>
      <c r="GQ31" s="331" t="s">
        <v>190</v>
      </c>
      <c r="GR31" s="331" t="s">
        <v>428</v>
      </c>
      <c r="GS31" s="331" t="s">
        <v>428</v>
      </c>
      <c r="GT31" s="331" t="s">
        <v>428</v>
      </c>
      <c r="GU31" s="331" t="s">
        <v>428</v>
      </c>
      <c r="GV31" s="331" t="s">
        <v>428</v>
      </c>
      <c r="GW31" s="331" t="s">
        <v>191</v>
      </c>
      <c r="GX31" s="331" t="s">
        <v>190</v>
      </c>
      <c r="GY31" s="331" t="s">
        <v>190</v>
      </c>
      <c r="GZ31" s="331" t="s">
        <v>190</v>
      </c>
      <c r="HA31" s="331" t="s">
        <v>190</v>
      </c>
      <c r="HB31" s="331" t="s">
        <v>190</v>
      </c>
      <c r="HC31" s="331" t="s">
        <v>191</v>
      </c>
      <c r="HD31" s="331" t="s">
        <v>191</v>
      </c>
      <c r="HE31" s="331" t="s">
        <v>191</v>
      </c>
      <c r="HF31" s="331" t="s">
        <v>191</v>
      </c>
      <c r="HG31" s="331" t="s">
        <v>191</v>
      </c>
      <c r="HH31" s="331" t="s">
        <v>191</v>
      </c>
      <c r="HI31" s="331" t="s">
        <v>190</v>
      </c>
      <c r="HJ31" s="331" t="s">
        <v>191</v>
      </c>
      <c r="HK31" s="331" t="s">
        <v>190</v>
      </c>
      <c r="HL31" s="331" t="s">
        <v>190</v>
      </c>
      <c r="HM31" s="331" t="s">
        <v>191</v>
      </c>
      <c r="HN31" s="331" t="s">
        <v>191</v>
      </c>
      <c r="HO31" s="331" t="s">
        <v>191</v>
      </c>
      <c r="HP31" s="331" t="s">
        <v>191</v>
      </c>
      <c r="HQ31" s="331" t="s">
        <v>170</v>
      </c>
      <c r="HR31" s="331" t="s">
        <v>170</v>
      </c>
      <c r="HS31" s="331" t="s">
        <v>169</v>
      </c>
      <c r="HT31" s="331" t="s">
        <v>427</v>
      </c>
      <c r="HU31" s="331" t="s">
        <v>984</v>
      </c>
      <c r="HV31" s="331" t="s">
        <v>984</v>
      </c>
    </row>
    <row r="32" spans="1:230" s="70" customFormat="1" x14ac:dyDescent="0.25">
      <c r="A32" s="330" t="str">
        <f>HYPERLINK("http://www.ofsted.gov.uk/inspection-reports/find-inspection-report/provider/ELS/114661 ","Ofsted School Webpage")</f>
        <v>Ofsted School Webpage</v>
      </c>
      <c r="B32" s="331">
        <v>114661</v>
      </c>
      <c r="C32" s="331">
        <v>8466016</v>
      </c>
      <c r="D32" s="331" t="s">
        <v>1439</v>
      </c>
      <c r="E32" s="331" t="s">
        <v>167</v>
      </c>
      <c r="F32" s="331" t="s">
        <v>514</v>
      </c>
      <c r="G32" s="331" t="s">
        <v>514</v>
      </c>
      <c r="H32" s="331" t="s">
        <v>828</v>
      </c>
      <c r="I32" s="331" t="s">
        <v>1440</v>
      </c>
      <c r="J32" s="331" t="s">
        <v>81</v>
      </c>
      <c r="K32" s="331" t="s">
        <v>81</v>
      </c>
      <c r="L32" s="331" t="s">
        <v>81</v>
      </c>
      <c r="M32" s="331" t="s">
        <v>78</v>
      </c>
      <c r="N32" s="331" t="s">
        <v>424</v>
      </c>
      <c r="O32" s="331">
        <v>10122738</v>
      </c>
      <c r="P32" s="332">
        <v>43726</v>
      </c>
      <c r="Q32" s="332">
        <v>43726</v>
      </c>
      <c r="R32" s="332">
        <v>43746</v>
      </c>
      <c r="S32" s="331" t="s">
        <v>985</v>
      </c>
      <c r="T32" s="331" t="s">
        <v>982</v>
      </c>
      <c r="U32" s="331" t="s">
        <v>427</v>
      </c>
      <c r="V32" s="331" t="s">
        <v>165</v>
      </c>
      <c r="W32" s="331" t="s">
        <v>190</v>
      </c>
      <c r="X32" s="331" t="s">
        <v>190</v>
      </c>
      <c r="Y32" s="331" t="s">
        <v>984</v>
      </c>
      <c r="Z32" s="331" t="s">
        <v>984</v>
      </c>
      <c r="AA32" s="331" t="s">
        <v>984</v>
      </c>
      <c r="AB32" s="331" t="s">
        <v>984</v>
      </c>
      <c r="AC32" s="331" t="s">
        <v>984</v>
      </c>
      <c r="AD32" s="331" t="s">
        <v>984</v>
      </c>
      <c r="AE32" s="331" t="s">
        <v>984</v>
      </c>
      <c r="AF32" s="331" t="s">
        <v>984</v>
      </c>
      <c r="AG32" s="331" t="s">
        <v>984</v>
      </c>
      <c r="AH32" s="331" t="s">
        <v>984</v>
      </c>
      <c r="AI32" s="331" t="s">
        <v>984</v>
      </c>
      <c r="AJ32" s="331" t="s">
        <v>984</v>
      </c>
      <c r="AK32" s="331" t="s">
        <v>984</v>
      </c>
      <c r="AL32" s="331" t="s">
        <v>984</v>
      </c>
      <c r="AM32" s="331" t="s">
        <v>984</v>
      </c>
      <c r="AN32" s="331" t="s">
        <v>984</v>
      </c>
      <c r="AO32" s="331" t="s">
        <v>190</v>
      </c>
      <c r="AP32" s="331" t="s">
        <v>984</v>
      </c>
      <c r="AQ32" s="331" t="s">
        <v>190</v>
      </c>
      <c r="AR32" s="331" t="s">
        <v>190</v>
      </c>
      <c r="AS32" s="331" t="s">
        <v>190</v>
      </c>
      <c r="AT32" s="331" t="s">
        <v>190</v>
      </c>
      <c r="AU32" s="331" t="s">
        <v>190</v>
      </c>
      <c r="AV32" s="331" t="s">
        <v>984</v>
      </c>
      <c r="AW32" s="331" t="s">
        <v>190</v>
      </c>
      <c r="AX32" s="331" t="s">
        <v>190</v>
      </c>
      <c r="AY32" s="331" t="s">
        <v>190</v>
      </c>
      <c r="AZ32" s="331" t="s">
        <v>984</v>
      </c>
      <c r="BA32" s="331" t="s">
        <v>984</v>
      </c>
      <c r="BB32" s="331" t="s">
        <v>984</v>
      </c>
      <c r="BC32" s="331" t="s">
        <v>984</v>
      </c>
      <c r="BD32" s="331" t="s">
        <v>984</v>
      </c>
      <c r="BE32" s="331" t="s">
        <v>984</v>
      </c>
      <c r="BF32" s="331" t="s">
        <v>984</v>
      </c>
      <c r="BG32" s="331" t="s">
        <v>984</v>
      </c>
      <c r="BH32" s="331" t="s">
        <v>984</v>
      </c>
      <c r="BI32" s="331" t="s">
        <v>984</v>
      </c>
      <c r="BJ32" s="331" t="s">
        <v>984</v>
      </c>
      <c r="BK32" s="331" t="s">
        <v>984</v>
      </c>
      <c r="BL32" s="331" t="s">
        <v>984</v>
      </c>
      <c r="BM32" s="331" t="s">
        <v>984</v>
      </c>
      <c r="BN32" s="331" t="s">
        <v>984</v>
      </c>
      <c r="BO32" s="331" t="s">
        <v>984</v>
      </c>
      <c r="BP32" s="331" t="s">
        <v>984</v>
      </c>
      <c r="BQ32" s="331" t="s">
        <v>984</v>
      </c>
      <c r="BR32" s="331" t="s">
        <v>190</v>
      </c>
      <c r="BS32" s="331" t="s">
        <v>190</v>
      </c>
      <c r="BT32" s="331" t="s">
        <v>190</v>
      </c>
      <c r="BU32" s="331" t="s">
        <v>428</v>
      </c>
      <c r="BV32" s="331" t="s">
        <v>428</v>
      </c>
      <c r="BW32" s="331" t="s">
        <v>428</v>
      </c>
      <c r="BX32" s="331" t="s">
        <v>190</v>
      </c>
      <c r="BY32" s="331" t="s">
        <v>984</v>
      </c>
      <c r="BZ32" s="331" t="s">
        <v>190</v>
      </c>
      <c r="CA32" s="331" t="s">
        <v>984</v>
      </c>
      <c r="CB32" s="331" t="s">
        <v>984</v>
      </c>
      <c r="CC32" s="331" t="s">
        <v>984</v>
      </c>
      <c r="CD32" s="331" t="s">
        <v>984</v>
      </c>
      <c r="CE32" s="331" t="s">
        <v>984</v>
      </c>
      <c r="CF32" s="331" t="s">
        <v>984</v>
      </c>
      <c r="CG32" s="331" t="s">
        <v>984</v>
      </c>
      <c r="CH32" s="331" t="s">
        <v>984</v>
      </c>
      <c r="CI32" s="331" t="s">
        <v>984</v>
      </c>
      <c r="CJ32" s="331" t="s">
        <v>984</v>
      </c>
      <c r="CK32" s="331" t="s">
        <v>984</v>
      </c>
      <c r="CL32" s="331" t="s">
        <v>984</v>
      </c>
      <c r="CM32" s="331" t="s">
        <v>984</v>
      </c>
      <c r="CN32" s="331" t="s">
        <v>984</v>
      </c>
      <c r="CO32" s="331" t="s">
        <v>984</v>
      </c>
      <c r="CP32" s="331" t="s">
        <v>984</v>
      </c>
      <c r="CQ32" s="331" t="s">
        <v>984</v>
      </c>
      <c r="CR32" s="331" t="s">
        <v>984</v>
      </c>
      <c r="CS32" s="331" t="s">
        <v>984</v>
      </c>
      <c r="CT32" s="331" t="s">
        <v>984</v>
      </c>
      <c r="CU32" s="331" t="s">
        <v>984</v>
      </c>
      <c r="CV32" s="331" t="s">
        <v>984</v>
      </c>
      <c r="CW32" s="331" t="s">
        <v>984</v>
      </c>
      <c r="CX32" s="331" t="s">
        <v>984</v>
      </c>
      <c r="CY32" s="331" t="s">
        <v>984</v>
      </c>
      <c r="CZ32" s="331" t="s">
        <v>984</v>
      </c>
      <c r="DA32" s="331" t="s">
        <v>984</v>
      </c>
      <c r="DB32" s="331" t="s">
        <v>984</v>
      </c>
      <c r="DC32" s="331" t="s">
        <v>984</v>
      </c>
      <c r="DD32" s="331" t="s">
        <v>984</v>
      </c>
      <c r="DE32" s="331" t="s">
        <v>984</v>
      </c>
      <c r="DF32" s="331" t="s">
        <v>984</v>
      </c>
      <c r="DG32" s="331" t="s">
        <v>984</v>
      </c>
      <c r="DH32" s="331" t="s">
        <v>984</v>
      </c>
      <c r="DI32" s="331" t="s">
        <v>984</v>
      </c>
      <c r="DJ32" s="331" t="s">
        <v>984</v>
      </c>
      <c r="DK32" s="331" t="s">
        <v>984</v>
      </c>
      <c r="DL32" s="331" t="s">
        <v>984</v>
      </c>
      <c r="DM32" s="331" t="s">
        <v>984</v>
      </c>
      <c r="DN32" s="331" t="s">
        <v>984</v>
      </c>
      <c r="DO32" s="331" t="s">
        <v>984</v>
      </c>
      <c r="DP32" s="331" t="s">
        <v>984</v>
      </c>
      <c r="DQ32" s="331" t="s">
        <v>984</v>
      </c>
      <c r="DR32" s="331" t="s">
        <v>984</v>
      </c>
      <c r="DS32" s="331" t="s">
        <v>984</v>
      </c>
      <c r="DT32" s="331" t="s">
        <v>984</v>
      </c>
      <c r="DU32" s="331" t="s">
        <v>984</v>
      </c>
      <c r="DV32" s="331" t="s">
        <v>984</v>
      </c>
      <c r="DW32" s="331" t="s">
        <v>984</v>
      </c>
      <c r="DX32" s="331" t="s">
        <v>984</v>
      </c>
      <c r="DY32" s="331" t="s">
        <v>984</v>
      </c>
      <c r="DZ32" s="331" t="s">
        <v>984</v>
      </c>
      <c r="EA32" s="331" t="s">
        <v>984</v>
      </c>
      <c r="EB32" s="331" t="s">
        <v>984</v>
      </c>
      <c r="EC32" s="331" t="s">
        <v>984</v>
      </c>
      <c r="ED32" s="331" t="s">
        <v>984</v>
      </c>
      <c r="EE32" s="331" t="s">
        <v>984</v>
      </c>
      <c r="EF32" s="331" t="s">
        <v>984</v>
      </c>
      <c r="EG32" s="331" t="s">
        <v>984</v>
      </c>
      <c r="EH32" s="331" t="s">
        <v>984</v>
      </c>
      <c r="EI32" s="331" t="s">
        <v>984</v>
      </c>
      <c r="EJ32" s="331" t="s">
        <v>984</v>
      </c>
      <c r="EK32" s="331" t="s">
        <v>984</v>
      </c>
      <c r="EL32" s="331" t="s">
        <v>984</v>
      </c>
      <c r="EM32" s="331" t="s">
        <v>984</v>
      </c>
      <c r="EN32" s="331" t="s">
        <v>984</v>
      </c>
      <c r="EO32" s="331" t="s">
        <v>984</v>
      </c>
      <c r="EP32" s="331" t="s">
        <v>984</v>
      </c>
      <c r="EQ32" s="331" t="s">
        <v>984</v>
      </c>
      <c r="ER32" s="331" t="s">
        <v>984</v>
      </c>
      <c r="ES32" s="331" t="s">
        <v>984</v>
      </c>
      <c r="ET32" s="331" t="s">
        <v>984</v>
      </c>
      <c r="EU32" s="331" t="s">
        <v>984</v>
      </c>
      <c r="EV32" s="331" t="s">
        <v>984</v>
      </c>
      <c r="EW32" s="331" t="s">
        <v>984</v>
      </c>
      <c r="EX32" s="331" t="s">
        <v>984</v>
      </c>
      <c r="EY32" s="331" t="s">
        <v>984</v>
      </c>
      <c r="EZ32" s="331" t="s">
        <v>428</v>
      </c>
      <c r="FA32" s="331" t="s">
        <v>984</v>
      </c>
      <c r="FB32" s="331" t="s">
        <v>984</v>
      </c>
      <c r="FC32" s="331" t="s">
        <v>984</v>
      </c>
      <c r="FD32" s="331" t="s">
        <v>984</v>
      </c>
      <c r="FE32" s="331" t="s">
        <v>984</v>
      </c>
      <c r="FF32" s="331" t="s">
        <v>984</v>
      </c>
      <c r="FG32" s="331" t="s">
        <v>984</v>
      </c>
      <c r="FH32" s="331" t="s">
        <v>984</v>
      </c>
      <c r="FI32" s="331" t="s">
        <v>984</v>
      </c>
      <c r="FJ32" s="331" t="s">
        <v>984</v>
      </c>
      <c r="FK32" s="331" t="s">
        <v>984</v>
      </c>
      <c r="FL32" s="331" t="s">
        <v>984</v>
      </c>
      <c r="FM32" s="331" t="s">
        <v>984</v>
      </c>
      <c r="FN32" s="331" t="s">
        <v>984</v>
      </c>
      <c r="FO32" s="331" t="s">
        <v>984</v>
      </c>
      <c r="FP32" s="331" t="s">
        <v>984</v>
      </c>
      <c r="FQ32" s="331" t="s">
        <v>984</v>
      </c>
      <c r="FR32" s="331" t="s">
        <v>984</v>
      </c>
      <c r="FS32" s="331" t="s">
        <v>190</v>
      </c>
      <c r="FT32" s="331" t="s">
        <v>984</v>
      </c>
      <c r="FU32" s="331" t="s">
        <v>984</v>
      </c>
      <c r="FV32" s="331" t="s">
        <v>190</v>
      </c>
      <c r="FW32" s="331" t="s">
        <v>984</v>
      </c>
      <c r="FX32" s="331" t="s">
        <v>984</v>
      </c>
      <c r="FY32" s="331" t="s">
        <v>984</v>
      </c>
      <c r="FZ32" s="331" t="s">
        <v>984</v>
      </c>
      <c r="GA32" s="331" t="s">
        <v>984</v>
      </c>
      <c r="GB32" s="331" t="s">
        <v>984</v>
      </c>
      <c r="GC32" s="331" t="s">
        <v>984</v>
      </c>
      <c r="GD32" s="331" t="s">
        <v>984</v>
      </c>
      <c r="GE32" s="331" t="s">
        <v>984</v>
      </c>
      <c r="GF32" s="331" t="s">
        <v>984</v>
      </c>
      <c r="GG32" s="331" t="s">
        <v>984</v>
      </c>
      <c r="GH32" s="331" t="s">
        <v>984</v>
      </c>
      <c r="GI32" s="331" t="s">
        <v>984</v>
      </c>
      <c r="GJ32" s="331" t="s">
        <v>984</v>
      </c>
      <c r="GK32" s="331" t="s">
        <v>984</v>
      </c>
      <c r="GL32" s="331" t="s">
        <v>984</v>
      </c>
      <c r="GM32" s="331" t="s">
        <v>984</v>
      </c>
      <c r="GN32" s="331" t="s">
        <v>984</v>
      </c>
      <c r="GO32" s="331" t="s">
        <v>984</v>
      </c>
      <c r="GP32" s="331" t="s">
        <v>984</v>
      </c>
      <c r="GQ32" s="331" t="s">
        <v>984</v>
      </c>
      <c r="GR32" s="331" t="s">
        <v>984</v>
      </c>
      <c r="GS32" s="331" t="s">
        <v>984</v>
      </c>
      <c r="GT32" s="331" t="s">
        <v>984</v>
      </c>
      <c r="GU32" s="331" t="s">
        <v>984</v>
      </c>
      <c r="GV32" s="331" t="s">
        <v>984</v>
      </c>
      <c r="GW32" s="331" t="s">
        <v>984</v>
      </c>
      <c r="GX32" s="331" t="s">
        <v>984</v>
      </c>
      <c r="GY32" s="331" t="s">
        <v>984</v>
      </c>
      <c r="GZ32" s="331" t="s">
        <v>984</v>
      </c>
      <c r="HA32" s="331" t="s">
        <v>984</v>
      </c>
      <c r="HB32" s="331" t="s">
        <v>984</v>
      </c>
      <c r="HC32" s="331" t="s">
        <v>984</v>
      </c>
      <c r="HD32" s="331" t="s">
        <v>984</v>
      </c>
      <c r="HE32" s="331" t="s">
        <v>984</v>
      </c>
      <c r="HF32" s="331" t="s">
        <v>984</v>
      </c>
      <c r="HG32" s="331" t="s">
        <v>984</v>
      </c>
      <c r="HH32" s="331" t="s">
        <v>984</v>
      </c>
      <c r="HI32" s="331" t="s">
        <v>984</v>
      </c>
      <c r="HJ32" s="331" t="s">
        <v>984</v>
      </c>
      <c r="HK32" s="331" t="s">
        <v>984</v>
      </c>
      <c r="HL32" s="331" t="s">
        <v>984</v>
      </c>
      <c r="HM32" s="331" t="s">
        <v>190</v>
      </c>
      <c r="HN32" s="331" t="s">
        <v>190</v>
      </c>
      <c r="HO32" s="331" t="s">
        <v>190</v>
      </c>
      <c r="HP32" s="331" t="s">
        <v>984</v>
      </c>
      <c r="HQ32" s="331" t="s">
        <v>170</v>
      </c>
      <c r="HR32" s="331" t="s">
        <v>429</v>
      </c>
      <c r="HS32" s="331" t="s">
        <v>169</v>
      </c>
      <c r="HT32" s="331" t="s">
        <v>427</v>
      </c>
      <c r="HU32" s="331" t="s">
        <v>984</v>
      </c>
      <c r="HV32" s="331" t="s">
        <v>984</v>
      </c>
    </row>
    <row r="33" spans="1:230" s="70" customFormat="1" x14ac:dyDescent="0.25">
      <c r="A33" s="330" t="str">
        <f>HYPERLINK("http://www.ofsted.gov.uk/inspection-reports/find-inspection-report/provider/ELS/134575 ","Ofsted School Webpage")</f>
        <v>Ofsted School Webpage</v>
      </c>
      <c r="B33" s="331">
        <v>134575</v>
      </c>
      <c r="C33" s="331">
        <v>3546006</v>
      </c>
      <c r="D33" s="331" t="s">
        <v>1831</v>
      </c>
      <c r="E33" s="331" t="s">
        <v>167</v>
      </c>
      <c r="F33" s="331" t="s">
        <v>431</v>
      </c>
      <c r="G33" s="331" t="s">
        <v>431</v>
      </c>
      <c r="H33" s="331" t="s">
        <v>536</v>
      </c>
      <c r="I33" s="331" t="s">
        <v>1832</v>
      </c>
      <c r="J33" s="331" t="s">
        <v>81</v>
      </c>
      <c r="K33" s="331" t="s">
        <v>72</v>
      </c>
      <c r="L33" s="331" t="s">
        <v>72</v>
      </c>
      <c r="M33" s="331" t="s">
        <v>72</v>
      </c>
      <c r="N33" s="331" t="s">
        <v>424</v>
      </c>
      <c r="O33" s="331">
        <v>10124070</v>
      </c>
      <c r="P33" s="332">
        <v>43726</v>
      </c>
      <c r="Q33" s="332">
        <v>43726</v>
      </c>
      <c r="R33" s="332">
        <v>43765</v>
      </c>
      <c r="S33" s="331" t="s">
        <v>997</v>
      </c>
      <c r="T33" s="331" t="s">
        <v>982</v>
      </c>
      <c r="U33" s="331" t="s">
        <v>427</v>
      </c>
      <c r="V33" s="331" t="s">
        <v>2708</v>
      </c>
      <c r="W33" s="331" t="s">
        <v>984</v>
      </c>
      <c r="X33" s="331" t="s">
        <v>984</v>
      </c>
      <c r="Y33" s="331" t="s">
        <v>984</v>
      </c>
      <c r="Z33" s="331" t="s">
        <v>984</v>
      </c>
      <c r="AA33" s="331" t="s">
        <v>984</v>
      </c>
      <c r="AB33" s="331" t="s">
        <v>984</v>
      </c>
      <c r="AC33" s="331" t="s">
        <v>984</v>
      </c>
      <c r="AD33" s="331" t="s">
        <v>984</v>
      </c>
      <c r="AE33" s="331" t="s">
        <v>984</v>
      </c>
      <c r="AF33" s="331" t="s">
        <v>984</v>
      </c>
      <c r="AG33" s="331" t="s">
        <v>984</v>
      </c>
      <c r="AH33" s="331" t="s">
        <v>984</v>
      </c>
      <c r="AI33" s="331" t="s">
        <v>984</v>
      </c>
      <c r="AJ33" s="331" t="s">
        <v>984</v>
      </c>
      <c r="AK33" s="331" t="s">
        <v>984</v>
      </c>
      <c r="AL33" s="331" t="s">
        <v>984</v>
      </c>
      <c r="AM33" s="331" t="s">
        <v>984</v>
      </c>
      <c r="AN33" s="331" t="s">
        <v>984</v>
      </c>
      <c r="AO33" s="331" t="s">
        <v>984</v>
      </c>
      <c r="AP33" s="331" t="s">
        <v>984</v>
      </c>
      <c r="AQ33" s="331" t="s">
        <v>191</v>
      </c>
      <c r="AR33" s="331" t="s">
        <v>984</v>
      </c>
      <c r="AS33" s="331" t="s">
        <v>984</v>
      </c>
      <c r="AT33" s="331" t="s">
        <v>984</v>
      </c>
      <c r="AU33" s="331" t="s">
        <v>984</v>
      </c>
      <c r="AV33" s="331" t="s">
        <v>984</v>
      </c>
      <c r="AW33" s="331" t="s">
        <v>984</v>
      </c>
      <c r="AX33" s="331" t="s">
        <v>984</v>
      </c>
      <c r="AY33" s="331" t="s">
        <v>984</v>
      </c>
      <c r="AZ33" s="331" t="s">
        <v>984</v>
      </c>
      <c r="BA33" s="331" t="s">
        <v>191</v>
      </c>
      <c r="BB33" s="331" t="s">
        <v>984</v>
      </c>
      <c r="BC33" s="331" t="s">
        <v>191</v>
      </c>
      <c r="BD33" s="331" t="s">
        <v>191</v>
      </c>
      <c r="BE33" s="331" t="s">
        <v>191</v>
      </c>
      <c r="BF33" s="331" t="s">
        <v>984</v>
      </c>
      <c r="BG33" s="331" t="s">
        <v>191</v>
      </c>
      <c r="BH33" s="331" t="s">
        <v>984</v>
      </c>
      <c r="BI33" s="331" t="s">
        <v>984</v>
      </c>
      <c r="BJ33" s="331" t="s">
        <v>984</v>
      </c>
      <c r="BK33" s="331" t="s">
        <v>191</v>
      </c>
      <c r="BL33" s="331" t="s">
        <v>984</v>
      </c>
      <c r="BM33" s="331" t="s">
        <v>984</v>
      </c>
      <c r="BN33" s="331" t="s">
        <v>984</v>
      </c>
      <c r="BO33" s="331" t="s">
        <v>984</v>
      </c>
      <c r="BP33" s="331" t="s">
        <v>984</v>
      </c>
      <c r="BQ33" s="331" t="s">
        <v>984</v>
      </c>
      <c r="BR33" s="331" t="s">
        <v>190</v>
      </c>
      <c r="BS33" s="331" t="s">
        <v>190</v>
      </c>
      <c r="BT33" s="331" t="s">
        <v>190</v>
      </c>
      <c r="BU33" s="331" t="s">
        <v>984</v>
      </c>
      <c r="BV33" s="331" t="s">
        <v>984</v>
      </c>
      <c r="BW33" s="331" t="s">
        <v>984</v>
      </c>
      <c r="BX33" s="331" t="s">
        <v>984</v>
      </c>
      <c r="BY33" s="331" t="s">
        <v>984</v>
      </c>
      <c r="BZ33" s="331" t="s">
        <v>984</v>
      </c>
      <c r="CA33" s="331" t="s">
        <v>984</v>
      </c>
      <c r="CB33" s="331" t="s">
        <v>984</v>
      </c>
      <c r="CC33" s="331" t="s">
        <v>984</v>
      </c>
      <c r="CD33" s="331" t="s">
        <v>984</v>
      </c>
      <c r="CE33" s="331" t="s">
        <v>984</v>
      </c>
      <c r="CF33" s="331" t="s">
        <v>984</v>
      </c>
      <c r="CG33" s="331" t="s">
        <v>984</v>
      </c>
      <c r="CH33" s="331" t="s">
        <v>984</v>
      </c>
      <c r="CI33" s="331" t="s">
        <v>984</v>
      </c>
      <c r="CJ33" s="331" t="s">
        <v>984</v>
      </c>
      <c r="CK33" s="331" t="s">
        <v>984</v>
      </c>
      <c r="CL33" s="331" t="s">
        <v>984</v>
      </c>
      <c r="CM33" s="331" t="s">
        <v>984</v>
      </c>
      <c r="CN33" s="331" t="s">
        <v>984</v>
      </c>
      <c r="CO33" s="331" t="s">
        <v>984</v>
      </c>
      <c r="CP33" s="331" t="s">
        <v>984</v>
      </c>
      <c r="CQ33" s="331" t="s">
        <v>984</v>
      </c>
      <c r="CR33" s="331" t="s">
        <v>984</v>
      </c>
      <c r="CS33" s="331" t="s">
        <v>984</v>
      </c>
      <c r="CT33" s="331" t="s">
        <v>984</v>
      </c>
      <c r="CU33" s="331" t="s">
        <v>984</v>
      </c>
      <c r="CV33" s="331" t="s">
        <v>984</v>
      </c>
      <c r="CW33" s="331" t="s">
        <v>984</v>
      </c>
      <c r="CX33" s="331" t="s">
        <v>984</v>
      </c>
      <c r="CY33" s="331" t="s">
        <v>984</v>
      </c>
      <c r="CZ33" s="331" t="s">
        <v>984</v>
      </c>
      <c r="DA33" s="331" t="s">
        <v>984</v>
      </c>
      <c r="DB33" s="331" t="s">
        <v>984</v>
      </c>
      <c r="DC33" s="331" t="s">
        <v>984</v>
      </c>
      <c r="DD33" s="331" t="s">
        <v>984</v>
      </c>
      <c r="DE33" s="331" t="s">
        <v>984</v>
      </c>
      <c r="DF33" s="331" t="s">
        <v>984</v>
      </c>
      <c r="DG33" s="331" t="s">
        <v>984</v>
      </c>
      <c r="DH33" s="331" t="s">
        <v>984</v>
      </c>
      <c r="DI33" s="331" t="s">
        <v>984</v>
      </c>
      <c r="DJ33" s="331" t="s">
        <v>984</v>
      </c>
      <c r="DK33" s="331" t="s">
        <v>984</v>
      </c>
      <c r="DL33" s="331" t="s">
        <v>984</v>
      </c>
      <c r="DM33" s="331" t="s">
        <v>984</v>
      </c>
      <c r="DN33" s="331" t="s">
        <v>984</v>
      </c>
      <c r="DO33" s="331" t="s">
        <v>984</v>
      </c>
      <c r="DP33" s="331" t="s">
        <v>984</v>
      </c>
      <c r="DQ33" s="331" t="s">
        <v>984</v>
      </c>
      <c r="DR33" s="331" t="s">
        <v>984</v>
      </c>
      <c r="DS33" s="331" t="s">
        <v>984</v>
      </c>
      <c r="DT33" s="331" t="s">
        <v>984</v>
      </c>
      <c r="DU33" s="331" t="s">
        <v>984</v>
      </c>
      <c r="DV33" s="331" t="s">
        <v>984</v>
      </c>
      <c r="DW33" s="331" t="s">
        <v>984</v>
      </c>
      <c r="DX33" s="331" t="s">
        <v>984</v>
      </c>
      <c r="DY33" s="331" t="s">
        <v>984</v>
      </c>
      <c r="DZ33" s="331" t="s">
        <v>984</v>
      </c>
      <c r="EA33" s="331" t="s">
        <v>984</v>
      </c>
      <c r="EB33" s="331" t="s">
        <v>984</v>
      </c>
      <c r="EC33" s="331" t="s">
        <v>984</v>
      </c>
      <c r="ED33" s="331" t="s">
        <v>984</v>
      </c>
      <c r="EE33" s="331" t="s">
        <v>984</v>
      </c>
      <c r="EF33" s="331" t="s">
        <v>984</v>
      </c>
      <c r="EG33" s="331" t="s">
        <v>984</v>
      </c>
      <c r="EH33" s="331" t="s">
        <v>984</v>
      </c>
      <c r="EI33" s="331" t="s">
        <v>984</v>
      </c>
      <c r="EJ33" s="331" t="s">
        <v>984</v>
      </c>
      <c r="EK33" s="331" t="s">
        <v>984</v>
      </c>
      <c r="EL33" s="331" t="s">
        <v>984</v>
      </c>
      <c r="EM33" s="331" t="s">
        <v>984</v>
      </c>
      <c r="EN33" s="331" t="s">
        <v>984</v>
      </c>
      <c r="EO33" s="331" t="s">
        <v>984</v>
      </c>
      <c r="EP33" s="331" t="s">
        <v>984</v>
      </c>
      <c r="EQ33" s="331" t="s">
        <v>984</v>
      </c>
      <c r="ER33" s="331" t="s">
        <v>984</v>
      </c>
      <c r="ES33" s="331" t="s">
        <v>984</v>
      </c>
      <c r="ET33" s="331" t="s">
        <v>984</v>
      </c>
      <c r="EU33" s="331" t="s">
        <v>984</v>
      </c>
      <c r="EV33" s="331" t="s">
        <v>984</v>
      </c>
      <c r="EW33" s="331" t="s">
        <v>984</v>
      </c>
      <c r="EX33" s="331" t="s">
        <v>984</v>
      </c>
      <c r="EY33" s="331" t="s">
        <v>984</v>
      </c>
      <c r="EZ33" s="331" t="s">
        <v>984</v>
      </c>
      <c r="FA33" s="331" t="s">
        <v>984</v>
      </c>
      <c r="FB33" s="331" t="s">
        <v>984</v>
      </c>
      <c r="FC33" s="331" t="s">
        <v>984</v>
      </c>
      <c r="FD33" s="331" t="s">
        <v>984</v>
      </c>
      <c r="FE33" s="331" t="s">
        <v>984</v>
      </c>
      <c r="FF33" s="331" t="s">
        <v>984</v>
      </c>
      <c r="FG33" s="331" t="s">
        <v>984</v>
      </c>
      <c r="FH33" s="331" t="s">
        <v>984</v>
      </c>
      <c r="FI33" s="331" t="s">
        <v>984</v>
      </c>
      <c r="FJ33" s="331" t="s">
        <v>984</v>
      </c>
      <c r="FK33" s="331" t="s">
        <v>984</v>
      </c>
      <c r="FL33" s="331" t="s">
        <v>984</v>
      </c>
      <c r="FM33" s="331" t="s">
        <v>984</v>
      </c>
      <c r="FN33" s="331" t="s">
        <v>984</v>
      </c>
      <c r="FO33" s="331" t="s">
        <v>984</v>
      </c>
      <c r="FP33" s="331" t="s">
        <v>984</v>
      </c>
      <c r="FQ33" s="331" t="s">
        <v>984</v>
      </c>
      <c r="FR33" s="331" t="s">
        <v>984</v>
      </c>
      <c r="FS33" s="331" t="s">
        <v>190</v>
      </c>
      <c r="FT33" s="331" t="s">
        <v>984</v>
      </c>
      <c r="FU33" s="331" t="s">
        <v>984</v>
      </c>
      <c r="FV33" s="331" t="s">
        <v>190</v>
      </c>
      <c r="FW33" s="331" t="s">
        <v>984</v>
      </c>
      <c r="FX33" s="331" t="s">
        <v>984</v>
      </c>
      <c r="FY33" s="331" t="s">
        <v>984</v>
      </c>
      <c r="FZ33" s="331" t="s">
        <v>984</v>
      </c>
      <c r="GA33" s="331" t="s">
        <v>984</v>
      </c>
      <c r="GB33" s="331" t="s">
        <v>984</v>
      </c>
      <c r="GC33" s="331" t="s">
        <v>984</v>
      </c>
      <c r="GD33" s="331" t="s">
        <v>984</v>
      </c>
      <c r="GE33" s="331" t="s">
        <v>984</v>
      </c>
      <c r="GF33" s="331" t="s">
        <v>984</v>
      </c>
      <c r="GG33" s="331" t="s">
        <v>984</v>
      </c>
      <c r="GH33" s="331" t="s">
        <v>984</v>
      </c>
      <c r="GI33" s="331" t="s">
        <v>984</v>
      </c>
      <c r="GJ33" s="331" t="s">
        <v>984</v>
      </c>
      <c r="GK33" s="331" t="s">
        <v>984</v>
      </c>
      <c r="GL33" s="331" t="s">
        <v>984</v>
      </c>
      <c r="GM33" s="331" t="s">
        <v>984</v>
      </c>
      <c r="GN33" s="331" t="s">
        <v>984</v>
      </c>
      <c r="GO33" s="331" t="s">
        <v>984</v>
      </c>
      <c r="GP33" s="331" t="s">
        <v>984</v>
      </c>
      <c r="GQ33" s="331" t="s">
        <v>984</v>
      </c>
      <c r="GR33" s="331" t="s">
        <v>984</v>
      </c>
      <c r="GS33" s="331" t="s">
        <v>984</v>
      </c>
      <c r="GT33" s="331" t="s">
        <v>984</v>
      </c>
      <c r="GU33" s="331" t="s">
        <v>984</v>
      </c>
      <c r="GV33" s="331" t="s">
        <v>984</v>
      </c>
      <c r="GW33" s="331" t="s">
        <v>984</v>
      </c>
      <c r="GX33" s="331" t="s">
        <v>984</v>
      </c>
      <c r="GY33" s="331" t="s">
        <v>984</v>
      </c>
      <c r="GZ33" s="331" t="s">
        <v>984</v>
      </c>
      <c r="HA33" s="331" t="s">
        <v>984</v>
      </c>
      <c r="HB33" s="331" t="s">
        <v>984</v>
      </c>
      <c r="HC33" s="331" t="s">
        <v>984</v>
      </c>
      <c r="HD33" s="331" t="s">
        <v>984</v>
      </c>
      <c r="HE33" s="331" t="s">
        <v>984</v>
      </c>
      <c r="HF33" s="331" t="s">
        <v>984</v>
      </c>
      <c r="HG33" s="331" t="s">
        <v>984</v>
      </c>
      <c r="HH33" s="331" t="s">
        <v>984</v>
      </c>
      <c r="HI33" s="331" t="s">
        <v>984</v>
      </c>
      <c r="HJ33" s="331" t="s">
        <v>984</v>
      </c>
      <c r="HK33" s="331" t="s">
        <v>984</v>
      </c>
      <c r="HL33" s="331" t="s">
        <v>984</v>
      </c>
      <c r="HM33" s="331" t="s">
        <v>191</v>
      </c>
      <c r="HN33" s="331" t="s">
        <v>191</v>
      </c>
      <c r="HO33" s="331" t="s">
        <v>191</v>
      </c>
      <c r="HP33" s="331" t="s">
        <v>190</v>
      </c>
      <c r="HQ33" s="331" t="s">
        <v>170</v>
      </c>
      <c r="HR33" s="331" t="s">
        <v>429</v>
      </c>
      <c r="HS33" s="331" t="s">
        <v>169</v>
      </c>
      <c r="HT33" s="331" t="s">
        <v>427</v>
      </c>
      <c r="HU33" s="331" t="s">
        <v>984</v>
      </c>
      <c r="HV33" s="331" t="s">
        <v>984</v>
      </c>
    </row>
    <row r="34" spans="1:230" s="70" customFormat="1" x14ac:dyDescent="0.25">
      <c r="A34" s="330" t="str">
        <f>HYPERLINK("http://www.ofsted.gov.uk/inspection-reports/find-inspection-report/provider/ELS/133640 ","Ofsted School Webpage")</f>
        <v>Ofsted School Webpage</v>
      </c>
      <c r="B34" s="331">
        <v>133640</v>
      </c>
      <c r="C34" s="331">
        <v>8106004</v>
      </c>
      <c r="D34" s="331" t="s">
        <v>793</v>
      </c>
      <c r="E34" s="331" t="s">
        <v>168</v>
      </c>
      <c r="F34" s="331" t="s">
        <v>458</v>
      </c>
      <c r="G34" s="331" t="s">
        <v>459</v>
      </c>
      <c r="H34" s="331" t="s">
        <v>794</v>
      </c>
      <c r="I34" s="331" t="s">
        <v>795</v>
      </c>
      <c r="J34" s="331" t="s">
        <v>81</v>
      </c>
      <c r="K34" s="331" t="s">
        <v>81</v>
      </c>
      <c r="L34" s="331" t="s">
        <v>81</v>
      </c>
      <c r="M34" s="331" t="s">
        <v>78</v>
      </c>
      <c r="N34" s="331" t="s">
        <v>424</v>
      </c>
      <c r="O34" s="331">
        <v>10114728</v>
      </c>
      <c r="P34" s="332">
        <v>43726</v>
      </c>
      <c r="Q34" s="332">
        <v>43726</v>
      </c>
      <c r="R34" s="332">
        <v>43754</v>
      </c>
      <c r="S34" s="331" t="s">
        <v>997</v>
      </c>
      <c r="T34" s="331" t="s">
        <v>982</v>
      </c>
      <c r="U34" s="331" t="s">
        <v>427</v>
      </c>
      <c r="V34" s="331" t="s">
        <v>165</v>
      </c>
      <c r="W34" s="331" t="s">
        <v>984</v>
      </c>
      <c r="X34" s="331" t="s">
        <v>984</v>
      </c>
      <c r="Y34" s="331" t="s">
        <v>984</v>
      </c>
      <c r="Z34" s="331" t="s">
        <v>984</v>
      </c>
      <c r="AA34" s="331" t="s">
        <v>984</v>
      </c>
      <c r="AB34" s="331" t="s">
        <v>984</v>
      </c>
      <c r="AC34" s="331" t="s">
        <v>984</v>
      </c>
      <c r="AD34" s="331" t="s">
        <v>984</v>
      </c>
      <c r="AE34" s="331" t="s">
        <v>984</v>
      </c>
      <c r="AF34" s="331" t="s">
        <v>984</v>
      </c>
      <c r="AG34" s="331" t="s">
        <v>984</v>
      </c>
      <c r="AH34" s="331" t="s">
        <v>984</v>
      </c>
      <c r="AI34" s="331" t="s">
        <v>984</v>
      </c>
      <c r="AJ34" s="331" t="s">
        <v>984</v>
      </c>
      <c r="AK34" s="331" t="s">
        <v>984</v>
      </c>
      <c r="AL34" s="331" t="s">
        <v>984</v>
      </c>
      <c r="AM34" s="331" t="s">
        <v>984</v>
      </c>
      <c r="AN34" s="331" t="s">
        <v>984</v>
      </c>
      <c r="AO34" s="331" t="s">
        <v>984</v>
      </c>
      <c r="AP34" s="331" t="s">
        <v>984</v>
      </c>
      <c r="AQ34" s="331" t="s">
        <v>190</v>
      </c>
      <c r="AR34" s="331" t="s">
        <v>190</v>
      </c>
      <c r="AS34" s="331" t="s">
        <v>190</v>
      </c>
      <c r="AT34" s="331" t="s">
        <v>190</v>
      </c>
      <c r="AU34" s="331" t="s">
        <v>190</v>
      </c>
      <c r="AV34" s="331" t="s">
        <v>190</v>
      </c>
      <c r="AW34" s="331" t="s">
        <v>190</v>
      </c>
      <c r="AX34" s="331" t="s">
        <v>190</v>
      </c>
      <c r="AY34" s="331" t="s">
        <v>190</v>
      </c>
      <c r="AZ34" s="331" t="s">
        <v>190</v>
      </c>
      <c r="BA34" s="331" t="s">
        <v>190</v>
      </c>
      <c r="BB34" s="331" t="s">
        <v>190</v>
      </c>
      <c r="BC34" s="331" t="s">
        <v>984</v>
      </c>
      <c r="BD34" s="331" t="s">
        <v>984</v>
      </c>
      <c r="BE34" s="331" t="s">
        <v>984</v>
      </c>
      <c r="BF34" s="331" t="s">
        <v>984</v>
      </c>
      <c r="BG34" s="331" t="s">
        <v>984</v>
      </c>
      <c r="BH34" s="331" t="s">
        <v>984</v>
      </c>
      <c r="BI34" s="331" t="s">
        <v>984</v>
      </c>
      <c r="BJ34" s="331" t="s">
        <v>984</v>
      </c>
      <c r="BK34" s="331" t="s">
        <v>984</v>
      </c>
      <c r="BL34" s="331" t="s">
        <v>984</v>
      </c>
      <c r="BM34" s="331" t="s">
        <v>984</v>
      </c>
      <c r="BN34" s="331" t="s">
        <v>984</v>
      </c>
      <c r="BO34" s="331" t="s">
        <v>984</v>
      </c>
      <c r="BP34" s="331" t="s">
        <v>984</v>
      </c>
      <c r="BQ34" s="331" t="s">
        <v>984</v>
      </c>
      <c r="BR34" s="331" t="s">
        <v>190</v>
      </c>
      <c r="BS34" s="331" t="s">
        <v>190</v>
      </c>
      <c r="BT34" s="331" t="s">
        <v>190</v>
      </c>
      <c r="BU34" s="331" t="s">
        <v>428</v>
      </c>
      <c r="BV34" s="331" t="s">
        <v>428</v>
      </c>
      <c r="BW34" s="331" t="s">
        <v>428</v>
      </c>
      <c r="BX34" s="331" t="s">
        <v>190</v>
      </c>
      <c r="BY34" s="331" t="s">
        <v>190</v>
      </c>
      <c r="BZ34" s="331" t="s">
        <v>190</v>
      </c>
      <c r="CA34" s="331" t="s">
        <v>190</v>
      </c>
      <c r="CB34" s="331" t="s">
        <v>190</v>
      </c>
      <c r="CC34" s="331" t="s">
        <v>984</v>
      </c>
      <c r="CD34" s="331" t="s">
        <v>984</v>
      </c>
      <c r="CE34" s="331" t="s">
        <v>984</v>
      </c>
      <c r="CF34" s="331" t="s">
        <v>190</v>
      </c>
      <c r="CG34" s="331" t="s">
        <v>984</v>
      </c>
      <c r="CH34" s="331" t="s">
        <v>984</v>
      </c>
      <c r="CI34" s="331" t="s">
        <v>984</v>
      </c>
      <c r="CJ34" s="331" t="s">
        <v>984</v>
      </c>
      <c r="CK34" s="331" t="s">
        <v>190</v>
      </c>
      <c r="CL34" s="331" t="s">
        <v>190</v>
      </c>
      <c r="CM34" s="331" t="s">
        <v>190</v>
      </c>
      <c r="CN34" s="331" t="s">
        <v>190</v>
      </c>
      <c r="CO34" s="331" t="s">
        <v>190</v>
      </c>
      <c r="CP34" s="331" t="s">
        <v>190</v>
      </c>
      <c r="CQ34" s="331" t="s">
        <v>190</v>
      </c>
      <c r="CR34" s="331" t="s">
        <v>190</v>
      </c>
      <c r="CS34" s="331" t="s">
        <v>190</v>
      </c>
      <c r="CT34" s="331" t="s">
        <v>190</v>
      </c>
      <c r="CU34" s="331" t="s">
        <v>428</v>
      </c>
      <c r="CV34" s="331" t="s">
        <v>190</v>
      </c>
      <c r="CW34" s="331" t="s">
        <v>428</v>
      </c>
      <c r="CX34" s="331" t="s">
        <v>428</v>
      </c>
      <c r="CY34" s="331" t="s">
        <v>428</v>
      </c>
      <c r="CZ34" s="331" t="s">
        <v>428</v>
      </c>
      <c r="DA34" s="331" t="s">
        <v>428</v>
      </c>
      <c r="DB34" s="331" t="s">
        <v>428</v>
      </c>
      <c r="DC34" s="331" t="s">
        <v>428</v>
      </c>
      <c r="DD34" s="331" t="s">
        <v>428</v>
      </c>
      <c r="DE34" s="331" t="s">
        <v>428</v>
      </c>
      <c r="DF34" s="331" t="s">
        <v>428</v>
      </c>
      <c r="DG34" s="331" t="s">
        <v>428</v>
      </c>
      <c r="DH34" s="331" t="s">
        <v>428</v>
      </c>
      <c r="DI34" s="331" t="s">
        <v>428</v>
      </c>
      <c r="DJ34" s="331" t="s">
        <v>428</v>
      </c>
      <c r="DK34" s="331" t="s">
        <v>428</v>
      </c>
      <c r="DL34" s="331" t="s">
        <v>190</v>
      </c>
      <c r="DM34" s="331" t="s">
        <v>190</v>
      </c>
      <c r="DN34" s="331" t="s">
        <v>190</v>
      </c>
      <c r="DO34" s="331" t="s">
        <v>190</v>
      </c>
      <c r="DP34" s="331" t="s">
        <v>190</v>
      </c>
      <c r="DQ34" s="331" t="s">
        <v>190</v>
      </c>
      <c r="DR34" s="331" t="s">
        <v>190</v>
      </c>
      <c r="DS34" s="331" t="s">
        <v>190</v>
      </c>
      <c r="DT34" s="331" t="s">
        <v>428</v>
      </c>
      <c r="DU34" s="331" t="s">
        <v>190</v>
      </c>
      <c r="DV34" s="331" t="s">
        <v>190</v>
      </c>
      <c r="DW34" s="331" t="s">
        <v>190</v>
      </c>
      <c r="DX34" s="331" t="s">
        <v>190</v>
      </c>
      <c r="DY34" s="331" t="s">
        <v>190</v>
      </c>
      <c r="DZ34" s="331" t="s">
        <v>190</v>
      </c>
      <c r="EA34" s="331" t="s">
        <v>190</v>
      </c>
      <c r="EB34" s="331" t="s">
        <v>190</v>
      </c>
      <c r="EC34" s="331" t="s">
        <v>190</v>
      </c>
      <c r="ED34" s="331" t="s">
        <v>190</v>
      </c>
      <c r="EE34" s="331" t="s">
        <v>190</v>
      </c>
      <c r="EF34" s="331" t="s">
        <v>190</v>
      </c>
      <c r="EG34" s="331" t="s">
        <v>190</v>
      </c>
      <c r="EH34" s="331" t="s">
        <v>190</v>
      </c>
      <c r="EI34" s="331" t="s">
        <v>428</v>
      </c>
      <c r="EJ34" s="331" t="s">
        <v>428</v>
      </c>
      <c r="EK34" s="331" t="s">
        <v>428</v>
      </c>
      <c r="EL34" s="331" t="s">
        <v>428</v>
      </c>
      <c r="EM34" s="331" t="s">
        <v>428</v>
      </c>
      <c r="EN34" s="331" t="s">
        <v>428</v>
      </c>
      <c r="EO34" s="331" t="s">
        <v>190</v>
      </c>
      <c r="EP34" s="331" t="s">
        <v>190</v>
      </c>
      <c r="EQ34" s="331" t="s">
        <v>190</v>
      </c>
      <c r="ER34" s="331" t="s">
        <v>190</v>
      </c>
      <c r="ES34" s="331" t="s">
        <v>984</v>
      </c>
      <c r="ET34" s="331" t="s">
        <v>984</v>
      </c>
      <c r="EU34" s="331" t="s">
        <v>984</v>
      </c>
      <c r="EV34" s="331" t="s">
        <v>984</v>
      </c>
      <c r="EW34" s="331" t="s">
        <v>984</v>
      </c>
      <c r="EX34" s="331" t="s">
        <v>984</v>
      </c>
      <c r="EY34" s="331" t="s">
        <v>984</v>
      </c>
      <c r="EZ34" s="331" t="s">
        <v>984</v>
      </c>
      <c r="FA34" s="331" t="s">
        <v>984</v>
      </c>
      <c r="FB34" s="331" t="s">
        <v>984</v>
      </c>
      <c r="FC34" s="331" t="s">
        <v>984</v>
      </c>
      <c r="FD34" s="331" t="s">
        <v>984</v>
      </c>
      <c r="FE34" s="331" t="s">
        <v>984</v>
      </c>
      <c r="FF34" s="331" t="s">
        <v>984</v>
      </c>
      <c r="FG34" s="331" t="s">
        <v>984</v>
      </c>
      <c r="FH34" s="331" t="s">
        <v>984</v>
      </c>
      <c r="FI34" s="331" t="s">
        <v>984</v>
      </c>
      <c r="FJ34" s="331" t="s">
        <v>984</v>
      </c>
      <c r="FK34" s="331" t="s">
        <v>984</v>
      </c>
      <c r="FL34" s="331" t="s">
        <v>984</v>
      </c>
      <c r="FM34" s="331" t="s">
        <v>984</v>
      </c>
      <c r="FN34" s="331" t="s">
        <v>984</v>
      </c>
      <c r="FO34" s="331" t="s">
        <v>984</v>
      </c>
      <c r="FP34" s="331" t="s">
        <v>984</v>
      </c>
      <c r="FQ34" s="331" t="s">
        <v>984</v>
      </c>
      <c r="FR34" s="331" t="s">
        <v>428</v>
      </c>
      <c r="FS34" s="331" t="s">
        <v>984</v>
      </c>
      <c r="FT34" s="331" t="s">
        <v>984</v>
      </c>
      <c r="FU34" s="331" t="s">
        <v>984</v>
      </c>
      <c r="FV34" s="331" t="s">
        <v>190</v>
      </c>
      <c r="FW34" s="331" t="s">
        <v>190</v>
      </c>
      <c r="FX34" s="331" t="s">
        <v>190</v>
      </c>
      <c r="FY34" s="331" t="s">
        <v>190</v>
      </c>
      <c r="FZ34" s="331" t="s">
        <v>190</v>
      </c>
      <c r="GA34" s="331" t="s">
        <v>984</v>
      </c>
      <c r="GB34" s="331" t="s">
        <v>984</v>
      </c>
      <c r="GC34" s="331" t="s">
        <v>984</v>
      </c>
      <c r="GD34" s="331" t="s">
        <v>984</v>
      </c>
      <c r="GE34" s="331" t="s">
        <v>984</v>
      </c>
      <c r="GF34" s="331" t="s">
        <v>984</v>
      </c>
      <c r="GG34" s="331" t="s">
        <v>984</v>
      </c>
      <c r="GH34" s="331" t="s">
        <v>984</v>
      </c>
      <c r="GI34" s="331" t="s">
        <v>984</v>
      </c>
      <c r="GJ34" s="331" t="s">
        <v>984</v>
      </c>
      <c r="GK34" s="331" t="s">
        <v>984</v>
      </c>
      <c r="GL34" s="331" t="s">
        <v>984</v>
      </c>
      <c r="GM34" s="331" t="s">
        <v>984</v>
      </c>
      <c r="GN34" s="331" t="s">
        <v>984</v>
      </c>
      <c r="GO34" s="331" t="s">
        <v>984</v>
      </c>
      <c r="GP34" s="331" t="s">
        <v>984</v>
      </c>
      <c r="GQ34" s="331" t="s">
        <v>984</v>
      </c>
      <c r="GR34" s="331" t="s">
        <v>984</v>
      </c>
      <c r="GS34" s="331" t="s">
        <v>984</v>
      </c>
      <c r="GT34" s="331" t="s">
        <v>984</v>
      </c>
      <c r="GU34" s="331" t="s">
        <v>984</v>
      </c>
      <c r="GV34" s="331" t="s">
        <v>984</v>
      </c>
      <c r="GW34" s="331" t="s">
        <v>984</v>
      </c>
      <c r="GX34" s="331" t="s">
        <v>984</v>
      </c>
      <c r="GY34" s="331" t="s">
        <v>984</v>
      </c>
      <c r="GZ34" s="331" t="s">
        <v>984</v>
      </c>
      <c r="HA34" s="331" t="s">
        <v>984</v>
      </c>
      <c r="HB34" s="331" t="s">
        <v>984</v>
      </c>
      <c r="HC34" s="331" t="s">
        <v>984</v>
      </c>
      <c r="HD34" s="331" t="s">
        <v>984</v>
      </c>
      <c r="HE34" s="331" t="s">
        <v>984</v>
      </c>
      <c r="HF34" s="331" t="s">
        <v>984</v>
      </c>
      <c r="HG34" s="331" t="s">
        <v>984</v>
      </c>
      <c r="HH34" s="331" t="s">
        <v>984</v>
      </c>
      <c r="HI34" s="331" t="s">
        <v>984</v>
      </c>
      <c r="HJ34" s="331" t="s">
        <v>984</v>
      </c>
      <c r="HK34" s="331" t="s">
        <v>984</v>
      </c>
      <c r="HL34" s="331" t="s">
        <v>984</v>
      </c>
      <c r="HM34" s="331" t="s">
        <v>190</v>
      </c>
      <c r="HN34" s="331" t="s">
        <v>190</v>
      </c>
      <c r="HO34" s="331" t="s">
        <v>190</v>
      </c>
      <c r="HP34" s="331" t="s">
        <v>190</v>
      </c>
      <c r="HQ34" s="331" t="s">
        <v>170</v>
      </c>
      <c r="HR34" s="331" t="s">
        <v>429</v>
      </c>
      <c r="HS34" s="331" t="s">
        <v>169</v>
      </c>
      <c r="HT34" s="331" t="s">
        <v>427</v>
      </c>
      <c r="HU34" s="331" t="s">
        <v>428</v>
      </c>
      <c r="HV34" s="331" t="s">
        <v>428</v>
      </c>
    </row>
    <row r="35" spans="1:230" s="70" customFormat="1" x14ac:dyDescent="0.25">
      <c r="A35" s="330" t="str">
        <f>HYPERLINK("http://www.ofsted.gov.uk/inspection-reports/find-inspection-report/provider/ELS/106002 ","Ofsted School Webpage")</f>
        <v>Ofsted School Webpage</v>
      </c>
      <c r="B35" s="331">
        <v>106002</v>
      </c>
      <c r="C35" s="331">
        <v>3556024</v>
      </c>
      <c r="D35" s="331" t="s">
        <v>866</v>
      </c>
      <c r="E35" s="331" t="s">
        <v>167</v>
      </c>
      <c r="F35" s="331" t="s">
        <v>431</v>
      </c>
      <c r="G35" s="331" t="s">
        <v>431</v>
      </c>
      <c r="H35" s="331" t="s">
        <v>533</v>
      </c>
      <c r="I35" s="331" t="s">
        <v>867</v>
      </c>
      <c r="J35" s="331" t="s">
        <v>70</v>
      </c>
      <c r="K35" s="331" t="s">
        <v>70</v>
      </c>
      <c r="L35" s="331" t="s">
        <v>70</v>
      </c>
      <c r="M35" s="331" t="s">
        <v>69</v>
      </c>
      <c r="N35" s="331" t="s">
        <v>424</v>
      </c>
      <c r="O35" s="331">
        <v>10118088</v>
      </c>
      <c r="P35" s="332">
        <v>43726</v>
      </c>
      <c r="Q35" s="332">
        <v>43726</v>
      </c>
      <c r="R35" s="332">
        <v>43772</v>
      </c>
      <c r="S35" s="331" t="s">
        <v>985</v>
      </c>
      <c r="T35" s="331" t="s">
        <v>982</v>
      </c>
      <c r="U35" s="331" t="s">
        <v>427</v>
      </c>
      <c r="V35" s="331" t="s">
        <v>166</v>
      </c>
      <c r="W35" s="331" t="s">
        <v>191</v>
      </c>
      <c r="X35" s="331" t="s">
        <v>191</v>
      </c>
      <c r="Y35" s="331" t="s">
        <v>984</v>
      </c>
      <c r="Z35" s="331" t="s">
        <v>984</v>
      </c>
      <c r="AA35" s="331" t="s">
        <v>984</v>
      </c>
      <c r="AB35" s="331" t="s">
        <v>191</v>
      </c>
      <c r="AC35" s="331" t="s">
        <v>190</v>
      </c>
      <c r="AD35" s="331" t="s">
        <v>984</v>
      </c>
      <c r="AE35" s="331" t="s">
        <v>984</v>
      </c>
      <c r="AF35" s="331" t="s">
        <v>191</v>
      </c>
      <c r="AG35" s="331" t="s">
        <v>984</v>
      </c>
      <c r="AH35" s="331" t="s">
        <v>191</v>
      </c>
      <c r="AI35" s="331" t="s">
        <v>984</v>
      </c>
      <c r="AJ35" s="331" t="s">
        <v>984</v>
      </c>
      <c r="AK35" s="331" t="s">
        <v>984</v>
      </c>
      <c r="AL35" s="331" t="s">
        <v>984</v>
      </c>
      <c r="AM35" s="331" t="s">
        <v>984</v>
      </c>
      <c r="AN35" s="331" t="s">
        <v>428</v>
      </c>
      <c r="AO35" s="331" t="s">
        <v>984</v>
      </c>
      <c r="AP35" s="331" t="s">
        <v>984</v>
      </c>
      <c r="AQ35" s="331" t="s">
        <v>984</v>
      </c>
      <c r="AR35" s="331" t="s">
        <v>984</v>
      </c>
      <c r="AS35" s="331" t="s">
        <v>984</v>
      </c>
      <c r="AT35" s="331" t="s">
        <v>984</v>
      </c>
      <c r="AU35" s="331" t="s">
        <v>984</v>
      </c>
      <c r="AV35" s="331" t="s">
        <v>984</v>
      </c>
      <c r="AW35" s="331" t="s">
        <v>984</v>
      </c>
      <c r="AX35" s="331" t="s">
        <v>984</v>
      </c>
      <c r="AY35" s="331" t="s">
        <v>984</v>
      </c>
      <c r="AZ35" s="331" t="s">
        <v>984</v>
      </c>
      <c r="BA35" s="331" t="s">
        <v>984</v>
      </c>
      <c r="BB35" s="331" t="s">
        <v>984</v>
      </c>
      <c r="BC35" s="331" t="s">
        <v>191</v>
      </c>
      <c r="BD35" s="331" t="s">
        <v>984</v>
      </c>
      <c r="BE35" s="331" t="s">
        <v>191</v>
      </c>
      <c r="BF35" s="331" t="s">
        <v>984</v>
      </c>
      <c r="BG35" s="331" t="s">
        <v>984</v>
      </c>
      <c r="BH35" s="331" t="s">
        <v>984</v>
      </c>
      <c r="BI35" s="331" t="s">
        <v>984</v>
      </c>
      <c r="BJ35" s="331" t="s">
        <v>984</v>
      </c>
      <c r="BK35" s="331" t="s">
        <v>191</v>
      </c>
      <c r="BL35" s="331" t="s">
        <v>984</v>
      </c>
      <c r="BM35" s="331" t="s">
        <v>984</v>
      </c>
      <c r="BN35" s="331" t="s">
        <v>984</v>
      </c>
      <c r="BO35" s="331" t="s">
        <v>984</v>
      </c>
      <c r="BP35" s="331" t="s">
        <v>984</v>
      </c>
      <c r="BQ35" s="331" t="s">
        <v>984</v>
      </c>
      <c r="BR35" s="331" t="s">
        <v>984</v>
      </c>
      <c r="BS35" s="331" t="s">
        <v>984</v>
      </c>
      <c r="BT35" s="331" t="s">
        <v>984</v>
      </c>
      <c r="BU35" s="331" t="s">
        <v>428</v>
      </c>
      <c r="BV35" s="331" t="s">
        <v>428</v>
      </c>
      <c r="BW35" s="331" t="s">
        <v>428</v>
      </c>
      <c r="BX35" s="331" t="s">
        <v>984</v>
      </c>
      <c r="BY35" s="331" t="s">
        <v>984</v>
      </c>
      <c r="BZ35" s="331" t="s">
        <v>984</v>
      </c>
      <c r="CA35" s="331" t="s">
        <v>984</v>
      </c>
      <c r="CB35" s="331" t="s">
        <v>984</v>
      </c>
      <c r="CC35" s="331" t="s">
        <v>984</v>
      </c>
      <c r="CD35" s="331" t="s">
        <v>984</v>
      </c>
      <c r="CE35" s="331" t="s">
        <v>984</v>
      </c>
      <c r="CF35" s="331" t="s">
        <v>984</v>
      </c>
      <c r="CG35" s="331" t="s">
        <v>984</v>
      </c>
      <c r="CH35" s="331" t="s">
        <v>984</v>
      </c>
      <c r="CI35" s="331" t="s">
        <v>984</v>
      </c>
      <c r="CJ35" s="331" t="s">
        <v>984</v>
      </c>
      <c r="CK35" s="331" t="s">
        <v>984</v>
      </c>
      <c r="CL35" s="331" t="s">
        <v>984</v>
      </c>
      <c r="CM35" s="331" t="s">
        <v>984</v>
      </c>
      <c r="CN35" s="331" t="s">
        <v>984</v>
      </c>
      <c r="CO35" s="331" t="s">
        <v>984</v>
      </c>
      <c r="CP35" s="331" t="s">
        <v>984</v>
      </c>
      <c r="CQ35" s="331" t="s">
        <v>984</v>
      </c>
      <c r="CR35" s="331" t="s">
        <v>984</v>
      </c>
      <c r="CS35" s="331" t="s">
        <v>984</v>
      </c>
      <c r="CT35" s="331" t="s">
        <v>984</v>
      </c>
      <c r="CU35" s="331" t="s">
        <v>428</v>
      </c>
      <c r="CV35" s="331" t="s">
        <v>984</v>
      </c>
      <c r="CW35" s="331" t="s">
        <v>984</v>
      </c>
      <c r="CX35" s="331" t="s">
        <v>984</v>
      </c>
      <c r="CY35" s="331" t="s">
        <v>984</v>
      </c>
      <c r="CZ35" s="331" t="s">
        <v>984</v>
      </c>
      <c r="DA35" s="331" t="s">
        <v>984</v>
      </c>
      <c r="DB35" s="331" t="s">
        <v>984</v>
      </c>
      <c r="DC35" s="331" t="s">
        <v>984</v>
      </c>
      <c r="DD35" s="331" t="s">
        <v>984</v>
      </c>
      <c r="DE35" s="331" t="s">
        <v>984</v>
      </c>
      <c r="DF35" s="331" t="s">
        <v>984</v>
      </c>
      <c r="DG35" s="331" t="s">
        <v>984</v>
      </c>
      <c r="DH35" s="331" t="s">
        <v>984</v>
      </c>
      <c r="DI35" s="331" t="s">
        <v>984</v>
      </c>
      <c r="DJ35" s="331" t="s">
        <v>428</v>
      </c>
      <c r="DK35" s="331" t="s">
        <v>984</v>
      </c>
      <c r="DL35" s="331" t="s">
        <v>984</v>
      </c>
      <c r="DM35" s="331" t="s">
        <v>984</v>
      </c>
      <c r="DN35" s="331" t="s">
        <v>984</v>
      </c>
      <c r="DO35" s="331" t="s">
        <v>984</v>
      </c>
      <c r="DP35" s="331" t="s">
        <v>984</v>
      </c>
      <c r="DQ35" s="331" t="s">
        <v>984</v>
      </c>
      <c r="DR35" s="331" t="s">
        <v>984</v>
      </c>
      <c r="DS35" s="331" t="s">
        <v>984</v>
      </c>
      <c r="DT35" s="331" t="s">
        <v>984</v>
      </c>
      <c r="DU35" s="331" t="s">
        <v>984</v>
      </c>
      <c r="DV35" s="331" t="s">
        <v>984</v>
      </c>
      <c r="DW35" s="331" t="s">
        <v>984</v>
      </c>
      <c r="DX35" s="331" t="s">
        <v>984</v>
      </c>
      <c r="DY35" s="331" t="s">
        <v>984</v>
      </c>
      <c r="DZ35" s="331" t="s">
        <v>984</v>
      </c>
      <c r="EA35" s="331" t="s">
        <v>984</v>
      </c>
      <c r="EB35" s="331" t="s">
        <v>984</v>
      </c>
      <c r="EC35" s="331" t="s">
        <v>984</v>
      </c>
      <c r="ED35" s="331" t="s">
        <v>984</v>
      </c>
      <c r="EE35" s="331" t="s">
        <v>984</v>
      </c>
      <c r="EF35" s="331" t="s">
        <v>984</v>
      </c>
      <c r="EG35" s="331" t="s">
        <v>984</v>
      </c>
      <c r="EH35" s="331" t="s">
        <v>984</v>
      </c>
      <c r="EI35" s="331" t="s">
        <v>984</v>
      </c>
      <c r="EJ35" s="331" t="s">
        <v>984</v>
      </c>
      <c r="EK35" s="331" t="s">
        <v>984</v>
      </c>
      <c r="EL35" s="331" t="s">
        <v>984</v>
      </c>
      <c r="EM35" s="331" t="s">
        <v>428</v>
      </c>
      <c r="EN35" s="331" t="s">
        <v>984</v>
      </c>
      <c r="EO35" s="331" t="s">
        <v>984</v>
      </c>
      <c r="EP35" s="331" t="s">
        <v>984</v>
      </c>
      <c r="EQ35" s="331" t="s">
        <v>984</v>
      </c>
      <c r="ER35" s="331" t="s">
        <v>984</v>
      </c>
      <c r="ES35" s="331" t="s">
        <v>984</v>
      </c>
      <c r="ET35" s="331" t="s">
        <v>984</v>
      </c>
      <c r="EU35" s="331" t="s">
        <v>428</v>
      </c>
      <c r="EV35" s="331" t="s">
        <v>984</v>
      </c>
      <c r="EW35" s="331" t="s">
        <v>984</v>
      </c>
      <c r="EX35" s="331" t="s">
        <v>984</v>
      </c>
      <c r="EY35" s="331" t="s">
        <v>984</v>
      </c>
      <c r="EZ35" s="331" t="s">
        <v>428</v>
      </c>
      <c r="FA35" s="331" t="s">
        <v>984</v>
      </c>
      <c r="FB35" s="331" t="s">
        <v>984</v>
      </c>
      <c r="FC35" s="331" t="s">
        <v>984</v>
      </c>
      <c r="FD35" s="331" t="s">
        <v>984</v>
      </c>
      <c r="FE35" s="331" t="s">
        <v>984</v>
      </c>
      <c r="FF35" s="331" t="s">
        <v>984</v>
      </c>
      <c r="FG35" s="331" t="s">
        <v>984</v>
      </c>
      <c r="FH35" s="331" t="s">
        <v>984</v>
      </c>
      <c r="FI35" s="331" t="s">
        <v>984</v>
      </c>
      <c r="FJ35" s="331" t="s">
        <v>984</v>
      </c>
      <c r="FK35" s="331" t="s">
        <v>984</v>
      </c>
      <c r="FL35" s="331" t="s">
        <v>984</v>
      </c>
      <c r="FM35" s="331" t="s">
        <v>984</v>
      </c>
      <c r="FN35" s="331" t="s">
        <v>984</v>
      </c>
      <c r="FO35" s="331" t="s">
        <v>984</v>
      </c>
      <c r="FP35" s="331" t="s">
        <v>984</v>
      </c>
      <c r="FQ35" s="331" t="s">
        <v>984</v>
      </c>
      <c r="FR35" s="331" t="s">
        <v>428</v>
      </c>
      <c r="FS35" s="331" t="s">
        <v>984</v>
      </c>
      <c r="FT35" s="331" t="s">
        <v>984</v>
      </c>
      <c r="FU35" s="331" t="s">
        <v>984</v>
      </c>
      <c r="FV35" s="331" t="s">
        <v>984</v>
      </c>
      <c r="FW35" s="331" t="s">
        <v>984</v>
      </c>
      <c r="FX35" s="331" t="s">
        <v>984</v>
      </c>
      <c r="FY35" s="331" t="s">
        <v>984</v>
      </c>
      <c r="FZ35" s="331" t="s">
        <v>984</v>
      </c>
      <c r="GA35" s="331" t="s">
        <v>984</v>
      </c>
      <c r="GB35" s="331" t="s">
        <v>984</v>
      </c>
      <c r="GC35" s="331" t="s">
        <v>984</v>
      </c>
      <c r="GD35" s="331" t="s">
        <v>984</v>
      </c>
      <c r="GE35" s="331" t="s">
        <v>984</v>
      </c>
      <c r="GF35" s="331" t="s">
        <v>984</v>
      </c>
      <c r="GG35" s="331" t="s">
        <v>984</v>
      </c>
      <c r="GH35" s="331" t="s">
        <v>984</v>
      </c>
      <c r="GI35" s="331" t="s">
        <v>984</v>
      </c>
      <c r="GJ35" s="331" t="s">
        <v>984</v>
      </c>
      <c r="GK35" s="331" t="s">
        <v>984</v>
      </c>
      <c r="GL35" s="331" t="s">
        <v>984</v>
      </c>
      <c r="GM35" s="331" t="s">
        <v>984</v>
      </c>
      <c r="GN35" s="331" t="s">
        <v>984</v>
      </c>
      <c r="GO35" s="331" t="s">
        <v>984</v>
      </c>
      <c r="GP35" s="331" t="s">
        <v>984</v>
      </c>
      <c r="GQ35" s="331" t="s">
        <v>984</v>
      </c>
      <c r="GR35" s="331" t="s">
        <v>984</v>
      </c>
      <c r="GS35" s="331" t="s">
        <v>984</v>
      </c>
      <c r="GT35" s="331" t="s">
        <v>984</v>
      </c>
      <c r="GU35" s="331" t="s">
        <v>984</v>
      </c>
      <c r="GV35" s="331" t="s">
        <v>984</v>
      </c>
      <c r="GW35" s="331" t="s">
        <v>984</v>
      </c>
      <c r="GX35" s="331" t="s">
        <v>984</v>
      </c>
      <c r="GY35" s="331" t="s">
        <v>984</v>
      </c>
      <c r="GZ35" s="331" t="s">
        <v>984</v>
      </c>
      <c r="HA35" s="331" t="s">
        <v>984</v>
      </c>
      <c r="HB35" s="331" t="s">
        <v>984</v>
      </c>
      <c r="HC35" s="331" t="s">
        <v>984</v>
      </c>
      <c r="HD35" s="331" t="s">
        <v>984</v>
      </c>
      <c r="HE35" s="331" t="s">
        <v>984</v>
      </c>
      <c r="HF35" s="331" t="s">
        <v>984</v>
      </c>
      <c r="HG35" s="331" t="s">
        <v>984</v>
      </c>
      <c r="HH35" s="331" t="s">
        <v>984</v>
      </c>
      <c r="HI35" s="331" t="s">
        <v>984</v>
      </c>
      <c r="HJ35" s="331" t="s">
        <v>984</v>
      </c>
      <c r="HK35" s="331" t="s">
        <v>984</v>
      </c>
      <c r="HL35" s="331" t="s">
        <v>984</v>
      </c>
      <c r="HM35" s="331" t="s">
        <v>191</v>
      </c>
      <c r="HN35" s="331" t="s">
        <v>191</v>
      </c>
      <c r="HO35" s="331" t="s">
        <v>191</v>
      </c>
      <c r="HP35" s="331" t="s">
        <v>190</v>
      </c>
      <c r="HQ35" s="331" t="s">
        <v>170</v>
      </c>
      <c r="HR35" s="331" t="s">
        <v>429</v>
      </c>
      <c r="HS35" s="331" t="s">
        <v>169</v>
      </c>
      <c r="HT35" s="331" t="s">
        <v>427</v>
      </c>
      <c r="HU35" s="331" t="s">
        <v>984</v>
      </c>
      <c r="HV35" s="331" t="s">
        <v>984</v>
      </c>
    </row>
    <row r="36" spans="1:230" s="70" customFormat="1" x14ac:dyDescent="0.25">
      <c r="A36" s="330" t="str">
        <f>HYPERLINK("http://www.ofsted.gov.uk/inspection-reports/find-inspection-report/provider/ELS/131940 ","Ofsted School Webpage")</f>
        <v>Ofsted School Webpage</v>
      </c>
      <c r="B36" s="331">
        <v>131940</v>
      </c>
      <c r="C36" s="331">
        <v>3126063</v>
      </c>
      <c r="D36" s="331" t="s">
        <v>1164</v>
      </c>
      <c r="E36" s="331" t="s">
        <v>168</v>
      </c>
      <c r="F36" s="331" t="s">
        <v>441</v>
      </c>
      <c r="G36" s="331" t="s">
        <v>441</v>
      </c>
      <c r="H36" s="331" t="s">
        <v>1036</v>
      </c>
      <c r="I36" s="331" t="s">
        <v>1165</v>
      </c>
      <c r="J36" s="331" t="s">
        <v>81</v>
      </c>
      <c r="K36" s="331" t="s">
        <v>81</v>
      </c>
      <c r="L36" s="331" t="s">
        <v>81</v>
      </c>
      <c r="M36" s="331" t="s">
        <v>78</v>
      </c>
      <c r="N36" s="331" t="s">
        <v>424</v>
      </c>
      <c r="O36" s="331">
        <v>10118585</v>
      </c>
      <c r="P36" s="332">
        <v>43726</v>
      </c>
      <c r="Q36" s="332">
        <v>43726</v>
      </c>
      <c r="R36" s="332">
        <v>43748</v>
      </c>
      <c r="S36" s="331" t="s">
        <v>997</v>
      </c>
      <c r="T36" s="331" t="s">
        <v>982</v>
      </c>
      <c r="U36" s="331" t="s">
        <v>447</v>
      </c>
      <c r="V36" s="331" t="s">
        <v>165</v>
      </c>
      <c r="W36" s="331" t="s">
        <v>984</v>
      </c>
      <c r="X36" s="331" t="s">
        <v>984</v>
      </c>
      <c r="Y36" s="331" t="s">
        <v>984</v>
      </c>
      <c r="Z36" s="331" t="s">
        <v>984</v>
      </c>
      <c r="AA36" s="331" t="s">
        <v>984</v>
      </c>
      <c r="AB36" s="331" t="s">
        <v>984</v>
      </c>
      <c r="AC36" s="331" t="s">
        <v>984</v>
      </c>
      <c r="AD36" s="331" t="s">
        <v>984</v>
      </c>
      <c r="AE36" s="331" t="s">
        <v>428</v>
      </c>
      <c r="AF36" s="331" t="s">
        <v>984</v>
      </c>
      <c r="AG36" s="331" t="s">
        <v>984</v>
      </c>
      <c r="AH36" s="331" t="s">
        <v>984</v>
      </c>
      <c r="AI36" s="331" t="s">
        <v>984</v>
      </c>
      <c r="AJ36" s="331" t="s">
        <v>984</v>
      </c>
      <c r="AK36" s="331" t="s">
        <v>984</v>
      </c>
      <c r="AL36" s="331" t="s">
        <v>984</v>
      </c>
      <c r="AM36" s="331" t="s">
        <v>428</v>
      </c>
      <c r="AN36" s="331" t="s">
        <v>984</v>
      </c>
      <c r="AO36" s="331" t="s">
        <v>984</v>
      </c>
      <c r="AP36" s="331" t="s">
        <v>984</v>
      </c>
      <c r="AQ36" s="331" t="s">
        <v>984</v>
      </c>
      <c r="AR36" s="331" t="s">
        <v>984</v>
      </c>
      <c r="AS36" s="331" t="s">
        <v>984</v>
      </c>
      <c r="AT36" s="331" t="s">
        <v>984</v>
      </c>
      <c r="AU36" s="331" t="s">
        <v>984</v>
      </c>
      <c r="AV36" s="331" t="s">
        <v>984</v>
      </c>
      <c r="AW36" s="331" t="s">
        <v>984</v>
      </c>
      <c r="AX36" s="331" t="s">
        <v>984</v>
      </c>
      <c r="AY36" s="331" t="s">
        <v>984</v>
      </c>
      <c r="AZ36" s="331" t="s">
        <v>984</v>
      </c>
      <c r="BA36" s="331" t="s">
        <v>984</v>
      </c>
      <c r="BB36" s="331" t="s">
        <v>984</v>
      </c>
      <c r="BC36" s="331" t="s">
        <v>984</v>
      </c>
      <c r="BD36" s="331" t="s">
        <v>984</v>
      </c>
      <c r="BE36" s="331" t="s">
        <v>984</v>
      </c>
      <c r="BF36" s="331" t="s">
        <v>984</v>
      </c>
      <c r="BG36" s="331" t="s">
        <v>984</v>
      </c>
      <c r="BH36" s="331" t="s">
        <v>984</v>
      </c>
      <c r="BI36" s="331" t="s">
        <v>984</v>
      </c>
      <c r="BJ36" s="331" t="s">
        <v>984</v>
      </c>
      <c r="BK36" s="331" t="s">
        <v>984</v>
      </c>
      <c r="BL36" s="331" t="s">
        <v>984</v>
      </c>
      <c r="BM36" s="331" t="s">
        <v>984</v>
      </c>
      <c r="BN36" s="331" t="s">
        <v>984</v>
      </c>
      <c r="BO36" s="331" t="s">
        <v>984</v>
      </c>
      <c r="BP36" s="331" t="s">
        <v>984</v>
      </c>
      <c r="BQ36" s="331" t="s">
        <v>984</v>
      </c>
      <c r="BR36" s="331" t="s">
        <v>190</v>
      </c>
      <c r="BS36" s="331" t="s">
        <v>190</v>
      </c>
      <c r="BT36" s="331" t="s">
        <v>190</v>
      </c>
      <c r="BU36" s="331" t="s">
        <v>428</v>
      </c>
      <c r="BV36" s="331" t="s">
        <v>428</v>
      </c>
      <c r="BW36" s="331" t="s">
        <v>428</v>
      </c>
      <c r="BX36" s="331" t="s">
        <v>984</v>
      </c>
      <c r="BY36" s="331" t="s">
        <v>984</v>
      </c>
      <c r="BZ36" s="331" t="s">
        <v>984</v>
      </c>
      <c r="CA36" s="331" t="s">
        <v>984</v>
      </c>
      <c r="CB36" s="331" t="s">
        <v>190</v>
      </c>
      <c r="CC36" s="331" t="s">
        <v>190</v>
      </c>
      <c r="CD36" s="331" t="s">
        <v>984</v>
      </c>
      <c r="CE36" s="331" t="s">
        <v>984</v>
      </c>
      <c r="CF36" s="331" t="s">
        <v>190</v>
      </c>
      <c r="CG36" s="331" t="s">
        <v>984</v>
      </c>
      <c r="CH36" s="331" t="s">
        <v>190</v>
      </c>
      <c r="CI36" s="331" t="s">
        <v>190</v>
      </c>
      <c r="CJ36" s="331" t="s">
        <v>190</v>
      </c>
      <c r="CK36" s="331" t="s">
        <v>190</v>
      </c>
      <c r="CL36" s="331" t="s">
        <v>190</v>
      </c>
      <c r="CM36" s="331" t="s">
        <v>190</v>
      </c>
      <c r="CN36" s="331" t="s">
        <v>190</v>
      </c>
      <c r="CO36" s="331" t="s">
        <v>190</v>
      </c>
      <c r="CP36" s="331" t="s">
        <v>190</v>
      </c>
      <c r="CQ36" s="331" t="s">
        <v>190</v>
      </c>
      <c r="CR36" s="331" t="s">
        <v>190</v>
      </c>
      <c r="CS36" s="331" t="s">
        <v>190</v>
      </c>
      <c r="CT36" s="331" t="s">
        <v>190</v>
      </c>
      <c r="CU36" s="331" t="s">
        <v>428</v>
      </c>
      <c r="CV36" s="331" t="s">
        <v>190</v>
      </c>
      <c r="CW36" s="331" t="s">
        <v>190</v>
      </c>
      <c r="CX36" s="331" t="s">
        <v>190</v>
      </c>
      <c r="CY36" s="331" t="s">
        <v>190</v>
      </c>
      <c r="CZ36" s="331" t="s">
        <v>190</v>
      </c>
      <c r="DA36" s="331" t="s">
        <v>190</v>
      </c>
      <c r="DB36" s="331" t="s">
        <v>190</v>
      </c>
      <c r="DC36" s="331" t="s">
        <v>190</v>
      </c>
      <c r="DD36" s="331" t="s">
        <v>190</v>
      </c>
      <c r="DE36" s="331" t="s">
        <v>190</v>
      </c>
      <c r="DF36" s="331" t="s">
        <v>190</v>
      </c>
      <c r="DG36" s="331" t="s">
        <v>190</v>
      </c>
      <c r="DH36" s="331" t="s">
        <v>190</v>
      </c>
      <c r="DI36" s="331" t="s">
        <v>190</v>
      </c>
      <c r="DJ36" s="331" t="s">
        <v>428</v>
      </c>
      <c r="DK36" s="331" t="s">
        <v>190</v>
      </c>
      <c r="DL36" s="331" t="s">
        <v>190</v>
      </c>
      <c r="DM36" s="331" t="s">
        <v>190</v>
      </c>
      <c r="DN36" s="331" t="s">
        <v>190</v>
      </c>
      <c r="DO36" s="331" t="s">
        <v>190</v>
      </c>
      <c r="DP36" s="331" t="s">
        <v>190</v>
      </c>
      <c r="DQ36" s="331" t="s">
        <v>190</v>
      </c>
      <c r="DR36" s="331" t="s">
        <v>190</v>
      </c>
      <c r="DS36" s="331" t="s">
        <v>190</v>
      </c>
      <c r="DT36" s="331" t="s">
        <v>190</v>
      </c>
      <c r="DU36" s="331" t="s">
        <v>190</v>
      </c>
      <c r="DV36" s="331" t="s">
        <v>190</v>
      </c>
      <c r="DW36" s="331" t="s">
        <v>190</v>
      </c>
      <c r="DX36" s="331" t="s">
        <v>190</v>
      </c>
      <c r="DY36" s="331" t="s">
        <v>190</v>
      </c>
      <c r="DZ36" s="331" t="s">
        <v>190</v>
      </c>
      <c r="EA36" s="331" t="s">
        <v>190</v>
      </c>
      <c r="EB36" s="331" t="s">
        <v>190</v>
      </c>
      <c r="EC36" s="331" t="s">
        <v>190</v>
      </c>
      <c r="ED36" s="331" t="s">
        <v>190</v>
      </c>
      <c r="EE36" s="331" t="s">
        <v>190</v>
      </c>
      <c r="EF36" s="331" t="s">
        <v>190</v>
      </c>
      <c r="EG36" s="331" t="s">
        <v>190</v>
      </c>
      <c r="EH36" s="331" t="s">
        <v>428</v>
      </c>
      <c r="EI36" s="331" t="s">
        <v>190</v>
      </c>
      <c r="EJ36" s="331" t="s">
        <v>190</v>
      </c>
      <c r="EK36" s="331" t="s">
        <v>190</v>
      </c>
      <c r="EL36" s="331" t="s">
        <v>190</v>
      </c>
      <c r="EM36" s="331" t="s">
        <v>190</v>
      </c>
      <c r="EN36" s="331" t="s">
        <v>190</v>
      </c>
      <c r="EO36" s="331" t="s">
        <v>190</v>
      </c>
      <c r="EP36" s="331" t="s">
        <v>428</v>
      </c>
      <c r="EQ36" s="331" t="s">
        <v>428</v>
      </c>
      <c r="ER36" s="331" t="s">
        <v>428</v>
      </c>
      <c r="ES36" s="331" t="s">
        <v>984</v>
      </c>
      <c r="ET36" s="331" t="s">
        <v>984</v>
      </c>
      <c r="EU36" s="331" t="s">
        <v>984</v>
      </c>
      <c r="EV36" s="331" t="s">
        <v>984</v>
      </c>
      <c r="EW36" s="331" t="s">
        <v>984</v>
      </c>
      <c r="EX36" s="331" t="s">
        <v>984</v>
      </c>
      <c r="EY36" s="331" t="s">
        <v>984</v>
      </c>
      <c r="EZ36" s="331" t="s">
        <v>984</v>
      </c>
      <c r="FA36" s="331" t="s">
        <v>984</v>
      </c>
      <c r="FB36" s="331" t="s">
        <v>984</v>
      </c>
      <c r="FC36" s="331" t="s">
        <v>984</v>
      </c>
      <c r="FD36" s="331" t="s">
        <v>984</v>
      </c>
      <c r="FE36" s="331" t="s">
        <v>984</v>
      </c>
      <c r="FF36" s="331" t="s">
        <v>984</v>
      </c>
      <c r="FG36" s="331" t="s">
        <v>984</v>
      </c>
      <c r="FH36" s="331" t="s">
        <v>984</v>
      </c>
      <c r="FI36" s="331" t="s">
        <v>984</v>
      </c>
      <c r="FJ36" s="331" t="s">
        <v>984</v>
      </c>
      <c r="FK36" s="331" t="s">
        <v>984</v>
      </c>
      <c r="FL36" s="331" t="s">
        <v>984</v>
      </c>
      <c r="FM36" s="331" t="s">
        <v>984</v>
      </c>
      <c r="FN36" s="331" t="s">
        <v>984</v>
      </c>
      <c r="FO36" s="331" t="s">
        <v>984</v>
      </c>
      <c r="FP36" s="331" t="s">
        <v>984</v>
      </c>
      <c r="FQ36" s="331" t="s">
        <v>984</v>
      </c>
      <c r="FR36" s="331" t="s">
        <v>428</v>
      </c>
      <c r="FS36" s="331" t="s">
        <v>190</v>
      </c>
      <c r="FT36" s="331" t="s">
        <v>984</v>
      </c>
      <c r="FU36" s="331" t="s">
        <v>984</v>
      </c>
      <c r="FV36" s="331" t="s">
        <v>190</v>
      </c>
      <c r="FW36" s="331" t="s">
        <v>984</v>
      </c>
      <c r="FX36" s="331" t="s">
        <v>428</v>
      </c>
      <c r="FY36" s="331" t="s">
        <v>984</v>
      </c>
      <c r="FZ36" s="331" t="s">
        <v>984</v>
      </c>
      <c r="GA36" s="331" t="s">
        <v>984</v>
      </c>
      <c r="GB36" s="331" t="s">
        <v>984</v>
      </c>
      <c r="GC36" s="331" t="s">
        <v>984</v>
      </c>
      <c r="GD36" s="331" t="s">
        <v>984</v>
      </c>
      <c r="GE36" s="331" t="s">
        <v>984</v>
      </c>
      <c r="GF36" s="331" t="s">
        <v>984</v>
      </c>
      <c r="GG36" s="331" t="s">
        <v>984</v>
      </c>
      <c r="GH36" s="331" t="s">
        <v>984</v>
      </c>
      <c r="GI36" s="331" t="s">
        <v>984</v>
      </c>
      <c r="GJ36" s="331" t="s">
        <v>984</v>
      </c>
      <c r="GK36" s="331" t="s">
        <v>984</v>
      </c>
      <c r="GL36" s="331" t="s">
        <v>984</v>
      </c>
      <c r="GM36" s="331" t="s">
        <v>984</v>
      </c>
      <c r="GN36" s="331" t="s">
        <v>984</v>
      </c>
      <c r="GO36" s="331" t="s">
        <v>984</v>
      </c>
      <c r="GP36" s="331" t="s">
        <v>984</v>
      </c>
      <c r="GQ36" s="331" t="s">
        <v>984</v>
      </c>
      <c r="GR36" s="331" t="s">
        <v>984</v>
      </c>
      <c r="GS36" s="331" t="s">
        <v>428</v>
      </c>
      <c r="GT36" s="331" t="s">
        <v>428</v>
      </c>
      <c r="GU36" s="331" t="s">
        <v>428</v>
      </c>
      <c r="GV36" s="331" t="s">
        <v>428</v>
      </c>
      <c r="GW36" s="331" t="s">
        <v>190</v>
      </c>
      <c r="GX36" s="331" t="s">
        <v>190</v>
      </c>
      <c r="GY36" s="331" t="s">
        <v>190</v>
      </c>
      <c r="GZ36" s="331" t="s">
        <v>190</v>
      </c>
      <c r="HA36" s="331" t="s">
        <v>190</v>
      </c>
      <c r="HB36" s="331" t="s">
        <v>190</v>
      </c>
      <c r="HC36" s="331" t="s">
        <v>190</v>
      </c>
      <c r="HD36" s="331" t="s">
        <v>190</v>
      </c>
      <c r="HE36" s="331" t="s">
        <v>190</v>
      </c>
      <c r="HF36" s="331" t="s">
        <v>190</v>
      </c>
      <c r="HG36" s="331" t="s">
        <v>190</v>
      </c>
      <c r="HH36" s="331" t="s">
        <v>190</v>
      </c>
      <c r="HI36" s="331" t="s">
        <v>190</v>
      </c>
      <c r="HJ36" s="331" t="s">
        <v>190</v>
      </c>
      <c r="HK36" s="331" t="s">
        <v>190</v>
      </c>
      <c r="HL36" s="331" t="s">
        <v>190</v>
      </c>
      <c r="HM36" s="331" t="s">
        <v>190</v>
      </c>
      <c r="HN36" s="331" t="s">
        <v>190</v>
      </c>
      <c r="HO36" s="331" t="s">
        <v>190</v>
      </c>
      <c r="HP36" s="331" t="s">
        <v>190</v>
      </c>
      <c r="HQ36" s="331" t="s">
        <v>170</v>
      </c>
      <c r="HR36" s="331" t="s">
        <v>429</v>
      </c>
      <c r="HS36" s="331" t="s">
        <v>169</v>
      </c>
      <c r="HT36" s="331" t="s">
        <v>427</v>
      </c>
      <c r="HU36" s="331" t="s">
        <v>984</v>
      </c>
      <c r="HV36" s="331" t="s">
        <v>984</v>
      </c>
    </row>
    <row r="37" spans="1:230" s="70" customFormat="1" x14ac:dyDescent="0.25">
      <c r="A37" s="330" t="str">
        <f>HYPERLINK("http://www.ofsted.gov.uk/inspection-reports/find-inspection-report/provider/ELS/117654 ","Ofsted School Webpage")</f>
        <v>Ofsted School Webpage</v>
      </c>
      <c r="B37" s="331">
        <v>117654</v>
      </c>
      <c r="C37" s="331">
        <v>9196228</v>
      </c>
      <c r="D37" s="331" t="s">
        <v>488</v>
      </c>
      <c r="E37" s="331" t="s">
        <v>167</v>
      </c>
      <c r="F37" s="331" t="s">
        <v>451</v>
      </c>
      <c r="G37" s="331" t="s">
        <v>451</v>
      </c>
      <c r="H37" s="331" t="s">
        <v>489</v>
      </c>
      <c r="I37" s="331" t="s">
        <v>490</v>
      </c>
      <c r="J37" s="331" t="s">
        <v>74</v>
      </c>
      <c r="K37" s="331" t="s">
        <v>74</v>
      </c>
      <c r="L37" s="331" t="s">
        <v>74</v>
      </c>
      <c r="M37" s="331" t="s">
        <v>491</v>
      </c>
      <c r="N37" s="331" t="s">
        <v>424</v>
      </c>
      <c r="O37" s="331">
        <v>10114764</v>
      </c>
      <c r="P37" s="332">
        <v>43727</v>
      </c>
      <c r="Q37" s="332">
        <v>43727</v>
      </c>
      <c r="R37" s="332">
        <v>43780</v>
      </c>
      <c r="S37" s="331" t="s">
        <v>985</v>
      </c>
      <c r="T37" s="331" t="s">
        <v>982</v>
      </c>
      <c r="U37" s="331" t="s">
        <v>427</v>
      </c>
      <c r="V37" s="331" t="s">
        <v>166</v>
      </c>
      <c r="W37" s="331" t="s">
        <v>191</v>
      </c>
      <c r="X37" s="331" t="s">
        <v>191</v>
      </c>
      <c r="Y37" s="331" t="s">
        <v>191</v>
      </c>
      <c r="Z37" s="331" t="s">
        <v>191</v>
      </c>
      <c r="AA37" s="331" t="s">
        <v>190</v>
      </c>
      <c r="AB37" s="331" t="s">
        <v>190</v>
      </c>
      <c r="AC37" s="331" t="s">
        <v>190</v>
      </c>
      <c r="AD37" s="331" t="s">
        <v>190</v>
      </c>
      <c r="AE37" s="331" t="s">
        <v>428</v>
      </c>
      <c r="AF37" s="331" t="s">
        <v>190</v>
      </c>
      <c r="AG37" s="331" t="s">
        <v>190</v>
      </c>
      <c r="AH37" s="331" t="s">
        <v>190</v>
      </c>
      <c r="AI37" s="331" t="s">
        <v>428</v>
      </c>
      <c r="AJ37" s="331" t="s">
        <v>428</v>
      </c>
      <c r="AK37" s="331" t="s">
        <v>428</v>
      </c>
      <c r="AL37" s="331" t="s">
        <v>428</v>
      </c>
      <c r="AM37" s="331" t="s">
        <v>190</v>
      </c>
      <c r="AN37" s="331" t="s">
        <v>428</v>
      </c>
      <c r="AO37" s="331" t="s">
        <v>191</v>
      </c>
      <c r="AP37" s="331" t="s">
        <v>190</v>
      </c>
      <c r="AQ37" s="331" t="s">
        <v>191</v>
      </c>
      <c r="AR37" s="331" t="s">
        <v>191</v>
      </c>
      <c r="AS37" s="331" t="s">
        <v>984</v>
      </c>
      <c r="AT37" s="331" t="s">
        <v>191</v>
      </c>
      <c r="AU37" s="331" t="s">
        <v>191</v>
      </c>
      <c r="AV37" s="331" t="s">
        <v>984</v>
      </c>
      <c r="AW37" s="331" t="s">
        <v>984</v>
      </c>
      <c r="AX37" s="331" t="s">
        <v>191</v>
      </c>
      <c r="AY37" s="331" t="s">
        <v>984</v>
      </c>
      <c r="AZ37" s="331" t="s">
        <v>984</v>
      </c>
      <c r="BA37" s="331" t="s">
        <v>984</v>
      </c>
      <c r="BB37" s="331" t="s">
        <v>984</v>
      </c>
      <c r="BC37" s="331" t="s">
        <v>984</v>
      </c>
      <c r="BD37" s="331" t="s">
        <v>984</v>
      </c>
      <c r="BE37" s="331" t="s">
        <v>984</v>
      </c>
      <c r="BF37" s="331" t="s">
        <v>984</v>
      </c>
      <c r="BG37" s="331" t="s">
        <v>984</v>
      </c>
      <c r="BH37" s="331" t="s">
        <v>984</v>
      </c>
      <c r="BI37" s="331" t="s">
        <v>984</v>
      </c>
      <c r="BJ37" s="331" t="s">
        <v>984</v>
      </c>
      <c r="BK37" s="331" t="s">
        <v>984</v>
      </c>
      <c r="BL37" s="331" t="s">
        <v>984</v>
      </c>
      <c r="BM37" s="331" t="s">
        <v>984</v>
      </c>
      <c r="BN37" s="331" t="s">
        <v>984</v>
      </c>
      <c r="BO37" s="331" t="s">
        <v>984</v>
      </c>
      <c r="BP37" s="331" t="s">
        <v>984</v>
      </c>
      <c r="BQ37" s="331" t="s">
        <v>984</v>
      </c>
      <c r="BR37" s="331" t="s">
        <v>190</v>
      </c>
      <c r="BS37" s="331" t="s">
        <v>190</v>
      </c>
      <c r="BT37" s="331" t="s">
        <v>190</v>
      </c>
      <c r="BU37" s="331" t="s">
        <v>428</v>
      </c>
      <c r="BV37" s="331" t="s">
        <v>428</v>
      </c>
      <c r="BW37" s="331" t="s">
        <v>428</v>
      </c>
      <c r="BX37" s="331" t="s">
        <v>984</v>
      </c>
      <c r="BY37" s="331" t="s">
        <v>984</v>
      </c>
      <c r="BZ37" s="331" t="s">
        <v>984</v>
      </c>
      <c r="CA37" s="331" t="s">
        <v>984</v>
      </c>
      <c r="CB37" s="331" t="s">
        <v>984</v>
      </c>
      <c r="CC37" s="331" t="s">
        <v>984</v>
      </c>
      <c r="CD37" s="331" t="s">
        <v>984</v>
      </c>
      <c r="CE37" s="331" t="s">
        <v>984</v>
      </c>
      <c r="CF37" s="331" t="s">
        <v>984</v>
      </c>
      <c r="CG37" s="331" t="s">
        <v>984</v>
      </c>
      <c r="CH37" s="331" t="s">
        <v>984</v>
      </c>
      <c r="CI37" s="331" t="s">
        <v>984</v>
      </c>
      <c r="CJ37" s="331" t="s">
        <v>984</v>
      </c>
      <c r="CK37" s="331" t="s">
        <v>190</v>
      </c>
      <c r="CL37" s="331" t="s">
        <v>190</v>
      </c>
      <c r="CM37" s="331" t="s">
        <v>190</v>
      </c>
      <c r="CN37" s="331" t="s">
        <v>190</v>
      </c>
      <c r="CO37" s="331" t="s">
        <v>190</v>
      </c>
      <c r="CP37" s="331" t="s">
        <v>190</v>
      </c>
      <c r="CQ37" s="331" t="s">
        <v>190</v>
      </c>
      <c r="CR37" s="331" t="s">
        <v>190</v>
      </c>
      <c r="CS37" s="331" t="s">
        <v>190</v>
      </c>
      <c r="CT37" s="331" t="s">
        <v>190</v>
      </c>
      <c r="CU37" s="331" t="s">
        <v>428</v>
      </c>
      <c r="CV37" s="331" t="s">
        <v>190</v>
      </c>
      <c r="CW37" s="331" t="s">
        <v>190</v>
      </c>
      <c r="CX37" s="331" t="s">
        <v>190</v>
      </c>
      <c r="CY37" s="331" t="s">
        <v>190</v>
      </c>
      <c r="CZ37" s="331" t="s">
        <v>190</v>
      </c>
      <c r="DA37" s="331" t="s">
        <v>190</v>
      </c>
      <c r="DB37" s="331" t="s">
        <v>190</v>
      </c>
      <c r="DC37" s="331" t="s">
        <v>428</v>
      </c>
      <c r="DD37" s="331" t="s">
        <v>190</v>
      </c>
      <c r="DE37" s="331" t="s">
        <v>190</v>
      </c>
      <c r="DF37" s="331" t="s">
        <v>190</v>
      </c>
      <c r="DG37" s="331" t="s">
        <v>190</v>
      </c>
      <c r="DH37" s="331" t="s">
        <v>190</v>
      </c>
      <c r="DI37" s="331" t="s">
        <v>190</v>
      </c>
      <c r="DJ37" s="331" t="s">
        <v>190</v>
      </c>
      <c r="DK37" s="331" t="s">
        <v>190</v>
      </c>
      <c r="DL37" s="331" t="s">
        <v>190</v>
      </c>
      <c r="DM37" s="331" t="s">
        <v>190</v>
      </c>
      <c r="DN37" s="331" t="s">
        <v>190</v>
      </c>
      <c r="DO37" s="331" t="s">
        <v>190</v>
      </c>
      <c r="DP37" s="331" t="s">
        <v>190</v>
      </c>
      <c r="DQ37" s="331" t="s">
        <v>190</v>
      </c>
      <c r="DR37" s="331" t="s">
        <v>190</v>
      </c>
      <c r="DS37" s="331" t="s">
        <v>190</v>
      </c>
      <c r="DT37" s="331" t="s">
        <v>190</v>
      </c>
      <c r="DU37" s="331" t="s">
        <v>191</v>
      </c>
      <c r="DV37" s="331" t="s">
        <v>190</v>
      </c>
      <c r="DW37" s="331" t="s">
        <v>190</v>
      </c>
      <c r="DX37" s="331" t="s">
        <v>190</v>
      </c>
      <c r="DY37" s="331" t="s">
        <v>190</v>
      </c>
      <c r="DZ37" s="331" t="s">
        <v>190</v>
      </c>
      <c r="EA37" s="331" t="s">
        <v>190</v>
      </c>
      <c r="EB37" s="331" t="s">
        <v>190</v>
      </c>
      <c r="EC37" s="331" t="s">
        <v>190</v>
      </c>
      <c r="ED37" s="331" t="s">
        <v>190</v>
      </c>
      <c r="EE37" s="331" t="s">
        <v>190</v>
      </c>
      <c r="EF37" s="331" t="s">
        <v>190</v>
      </c>
      <c r="EG37" s="331" t="s">
        <v>190</v>
      </c>
      <c r="EH37" s="331" t="s">
        <v>190</v>
      </c>
      <c r="EI37" s="331" t="s">
        <v>190</v>
      </c>
      <c r="EJ37" s="331" t="s">
        <v>190</v>
      </c>
      <c r="EK37" s="331" t="s">
        <v>190</v>
      </c>
      <c r="EL37" s="331" t="s">
        <v>190</v>
      </c>
      <c r="EM37" s="331" t="s">
        <v>190</v>
      </c>
      <c r="EN37" s="331" t="s">
        <v>190</v>
      </c>
      <c r="EO37" s="331" t="s">
        <v>191</v>
      </c>
      <c r="EP37" s="331" t="s">
        <v>190</v>
      </c>
      <c r="EQ37" s="331" t="s">
        <v>190</v>
      </c>
      <c r="ER37" s="331" t="s">
        <v>190</v>
      </c>
      <c r="ES37" s="331" t="s">
        <v>984</v>
      </c>
      <c r="ET37" s="331" t="s">
        <v>984</v>
      </c>
      <c r="EU37" s="331" t="s">
        <v>984</v>
      </c>
      <c r="EV37" s="331" t="s">
        <v>984</v>
      </c>
      <c r="EW37" s="331" t="s">
        <v>984</v>
      </c>
      <c r="EX37" s="331" t="s">
        <v>984</v>
      </c>
      <c r="EY37" s="331" t="s">
        <v>984</v>
      </c>
      <c r="EZ37" s="331" t="s">
        <v>984</v>
      </c>
      <c r="FA37" s="331" t="s">
        <v>984</v>
      </c>
      <c r="FB37" s="331" t="s">
        <v>984</v>
      </c>
      <c r="FC37" s="331" t="s">
        <v>984</v>
      </c>
      <c r="FD37" s="331" t="s">
        <v>984</v>
      </c>
      <c r="FE37" s="331" t="s">
        <v>984</v>
      </c>
      <c r="FF37" s="331" t="s">
        <v>984</v>
      </c>
      <c r="FG37" s="331" t="s">
        <v>984</v>
      </c>
      <c r="FH37" s="331" t="s">
        <v>984</v>
      </c>
      <c r="FI37" s="331" t="s">
        <v>984</v>
      </c>
      <c r="FJ37" s="331" t="s">
        <v>984</v>
      </c>
      <c r="FK37" s="331" t="s">
        <v>984</v>
      </c>
      <c r="FL37" s="331" t="s">
        <v>984</v>
      </c>
      <c r="FM37" s="331" t="s">
        <v>984</v>
      </c>
      <c r="FN37" s="331" t="s">
        <v>984</v>
      </c>
      <c r="FO37" s="331" t="s">
        <v>984</v>
      </c>
      <c r="FP37" s="331" t="s">
        <v>984</v>
      </c>
      <c r="FQ37" s="331" t="s">
        <v>984</v>
      </c>
      <c r="FR37" s="331" t="s">
        <v>984</v>
      </c>
      <c r="FS37" s="331" t="s">
        <v>984</v>
      </c>
      <c r="FT37" s="331" t="s">
        <v>984</v>
      </c>
      <c r="FU37" s="331" t="s">
        <v>984</v>
      </c>
      <c r="FV37" s="331" t="s">
        <v>984</v>
      </c>
      <c r="FW37" s="331" t="s">
        <v>984</v>
      </c>
      <c r="FX37" s="331" t="s">
        <v>984</v>
      </c>
      <c r="FY37" s="331" t="s">
        <v>984</v>
      </c>
      <c r="FZ37" s="331" t="s">
        <v>984</v>
      </c>
      <c r="GA37" s="331" t="s">
        <v>984</v>
      </c>
      <c r="GB37" s="331" t="s">
        <v>984</v>
      </c>
      <c r="GC37" s="331" t="s">
        <v>984</v>
      </c>
      <c r="GD37" s="331" t="s">
        <v>984</v>
      </c>
      <c r="GE37" s="331" t="s">
        <v>984</v>
      </c>
      <c r="GF37" s="331" t="s">
        <v>984</v>
      </c>
      <c r="GG37" s="331" t="s">
        <v>984</v>
      </c>
      <c r="GH37" s="331" t="s">
        <v>984</v>
      </c>
      <c r="GI37" s="331" t="s">
        <v>984</v>
      </c>
      <c r="GJ37" s="331" t="s">
        <v>984</v>
      </c>
      <c r="GK37" s="331" t="s">
        <v>984</v>
      </c>
      <c r="GL37" s="331" t="s">
        <v>984</v>
      </c>
      <c r="GM37" s="331" t="s">
        <v>984</v>
      </c>
      <c r="GN37" s="331" t="s">
        <v>984</v>
      </c>
      <c r="GO37" s="331" t="s">
        <v>984</v>
      </c>
      <c r="GP37" s="331" t="s">
        <v>984</v>
      </c>
      <c r="GQ37" s="331" t="s">
        <v>984</v>
      </c>
      <c r="GR37" s="331" t="s">
        <v>984</v>
      </c>
      <c r="GS37" s="331" t="s">
        <v>984</v>
      </c>
      <c r="GT37" s="331" t="s">
        <v>984</v>
      </c>
      <c r="GU37" s="331" t="s">
        <v>984</v>
      </c>
      <c r="GV37" s="331" t="s">
        <v>984</v>
      </c>
      <c r="GW37" s="331" t="s">
        <v>984</v>
      </c>
      <c r="GX37" s="331" t="s">
        <v>984</v>
      </c>
      <c r="GY37" s="331" t="s">
        <v>984</v>
      </c>
      <c r="GZ37" s="331" t="s">
        <v>984</v>
      </c>
      <c r="HA37" s="331" t="s">
        <v>984</v>
      </c>
      <c r="HB37" s="331" t="s">
        <v>984</v>
      </c>
      <c r="HC37" s="331" t="s">
        <v>984</v>
      </c>
      <c r="HD37" s="331" t="s">
        <v>984</v>
      </c>
      <c r="HE37" s="331" t="s">
        <v>984</v>
      </c>
      <c r="HF37" s="331" t="s">
        <v>984</v>
      </c>
      <c r="HG37" s="331" t="s">
        <v>984</v>
      </c>
      <c r="HH37" s="331" t="s">
        <v>984</v>
      </c>
      <c r="HI37" s="331" t="s">
        <v>984</v>
      </c>
      <c r="HJ37" s="331" t="s">
        <v>984</v>
      </c>
      <c r="HK37" s="331" t="s">
        <v>984</v>
      </c>
      <c r="HL37" s="331" t="s">
        <v>984</v>
      </c>
      <c r="HM37" s="331" t="s">
        <v>191</v>
      </c>
      <c r="HN37" s="331" t="s">
        <v>191</v>
      </c>
      <c r="HO37" s="331" t="s">
        <v>191</v>
      </c>
      <c r="HP37" s="331" t="s">
        <v>190</v>
      </c>
      <c r="HQ37" s="331" t="s">
        <v>170</v>
      </c>
      <c r="HR37" s="331" t="s">
        <v>429</v>
      </c>
      <c r="HS37" s="331" t="s">
        <v>169</v>
      </c>
      <c r="HT37" s="331" t="s">
        <v>427</v>
      </c>
      <c r="HU37" s="331" t="s">
        <v>190</v>
      </c>
      <c r="HV37" s="331" t="s">
        <v>984</v>
      </c>
    </row>
    <row r="38" spans="1:230" s="70" customFormat="1" x14ac:dyDescent="0.25">
      <c r="A38" s="330" t="str">
        <f>HYPERLINK("http://www.ofsted.gov.uk/inspection-reports/find-inspection-report/provider/ELS/135801 ","Ofsted School Webpage")</f>
        <v>Ofsted School Webpage</v>
      </c>
      <c r="B38" s="331">
        <v>135801</v>
      </c>
      <c r="C38" s="331">
        <v>3196074</v>
      </c>
      <c r="D38" s="331" t="s">
        <v>1991</v>
      </c>
      <c r="E38" s="331" t="s">
        <v>168</v>
      </c>
      <c r="F38" s="331" t="s">
        <v>441</v>
      </c>
      <c r="G38" s="331" t="s">
        <v>441</v>
      </c>
      <c r="H38" s="331" t="s">
        <v>524</v>
      </c>
      <c r="I38" s="331" t="s">
        <v>1992</v>
      </c>
      <c r="J38" s="331" t="s">
        <v>81</v>
      </c>
      <c r="K38" s="331" t="s">
        <v>81</v>
      </c>
      <c r="L38" s="331" t="s">
        <v>81</v>
      </c>
      <c r="M38" s="331" t="s">
        <v>78</v>
      </c>
      <c r="N38" s="331" t="s">
        <v>424</v>
      </c>
      <c r="O38" s="331">
        <v>10118833</v>
      </c>
      <c r="P38" s="332">
        <v>43727</v>
      </c>
      <c r="Q38" s="332">
        <v>43727</v>
      </c>
      <c r="R38" s="332">
        <v>43767</v>
      </c>
      <c r="S38" s="331" t="s">
        <v>997</v>
      </c>
      <c r="T38" s="331" t="s">
        <v>982</v>
      </c>
      <c r="U38" s="331" t="s">
        <v>427</v>
      </c>
      <c r="V38" s="331" t="s">
        <v>165</v>
      </c>
      <c r="W38" s="331" t="s">
        <v>984</v>
      </c>
      <c r="X38" s="331" t="s">
        <v>984</v>
      </c>
      <c r="Y38" s="331" t="s">
        <v>984</v>
      </c>
      <c r="Z38" s="331" t="s">
        <v>984</v>
      </c>
      <c r="AA38" s="331" t="s">
        <v>984</v>
      </c>
      <c r="AB38" s="331" t="s">
        <v>984</v>
      </c>
      <c r="AC38" s="331" t="s">
        <v>984</v>
      </c>
      <c r="AD38" s="331" t="s">
        <v>984</v>
      </c>
      <c r="AE38" s="331" t="s">
        <v>984</v>
      </c>
      <c r="AF38" s="331" t="s">
        <v>984</v>
      </c>
      <c r="AG38" s="331" t="s">
        <v>984</v>
      </c>
      <c r="AH38" s="331" t="s">
        <v>984</v>
      </c>
      <c r="AI38" s="331" t="s">
        <v>984</v>
      </c>
      <c r="AJ38" s="331" t="s">
        <v>984</v>
      </c>
      <c r="AK38" s="331" t="s">
        <v>984</v>
      </c>
      <c r="AL38" s="331" t="s">
        <v>984</v>
      </c>
      <c r="AM38" s="331" t="s">
        <v>428</v>
      </c>
      <c r="AN38" s="331" t="s">
        <v>984</v>
      </c>
      <c r="AO38" s="331" t="s">
        <v>984</v>
      </c>
      <c r="AP38" s="331" t="s">
        <v>984</v>
      </c>
      <c r="AQ38" s="331" t="s">
        <v>984</v>
      </c>
      <c r="AR38" s="331" t="s">
        <v>984</v>
      </c>
      <c r="AS38" s="331" t="s">
        <v>984</v>
      </c>
      <c r="AT38" s="331" t="s">
        <v>984</v>
      </c>
      <c r="AU38" s="331" t="s">
        <v>984</v>
      </c>
      <c r="AV38" s="331" t="s">
        <v>984</v>
      </c>
      <c r="AW38" s="331" t="s">
        <v>984</v>
      </c>
      <c r="AX38" s="331" t="s">
        <v>984</v>
      </c>
      <c r="AY38" s="331" t="s">
        <v>984</v>
      </c>
      <c r="AZ38" s="331" t="s">
        <v>984</v>
      </c>
      <c r="BA38" s="331" t="s">
        <v>984</v>
      </c>
      <c r="BB38" s="331" t="s">
        <v>984</v>
      </c>
      <c r="BC38" s="331" t="s">
        <v>984</v>
      </c>
      <c r="BD38" s="331" t="s">
        <v>984</v>
      </c>
      <c r="BE38" s="331" t="s">
        <v>984</v>
      </c>
      <c r="BF38" s="331" t="s">
        <v>984</v>
      </c>
      <c r="BG38" s="331" t="s">
        <v>984</v>
      </c>
      <c r="BH38" s="331" t="s">
        <v>984</v>
      </c>
      <c r="BI38" s="331" t="s">
        <v>984</v>
      </c>
      <c r="BJ38" s="331" t="s">
        <v>984</v>
      </c>
      <c r="BK38" s="331" t="s">
        <v>984</v>
      </c>
      <c r="BL38" s="331" t="s">
        <v>984</v>
      </c>
      <c r="BM38" s="331" t="s">
        <v>984</v>
      </c>
      <c r="BN38" s="331" t="s">
        <v>984</v>
      </c>
      <c r="BO38" s="331" t="s">
        <v>984</v>
      </c>
      <c r="BP38" s="331" t="s">
        <v>984</v>
      </c>
      <c r="BQ38" s="331" t="s">
        <v>984</v>
      </c>
      <c r="BR38" s="331" t="s">
        <v>190</v>
      </c>
      <c r="BS38" s="331" t="s">
        <v>190</v>
      </c>
      <c r="BT38" s="331" t="s">
        <v>190</v>
      </c>
      <c r="BU38" s="331" t="s">
        <v>428</v>
      </c>
      <c r="BV38" s="331" t="s">
        <v>428</v>
      </c>
      <c r="BW38" s="331" t="s">
        <v>428</v>
      </c>
      <c r="BX38" s="331" t="s">
        <v>428</v>
      </c>
      <c r="BY38" s="331" t="s">
        <v>190</v>
      </c>
      <c r="BZ38" s="331" t="s">
        <v>190</v>
      </c>
      <c r="CA38" s="331" t="s">
        <v>190</v>
      </c>
      <c r="CB38" s="331" t="s">
        <v>984</v>
      </c>
      <c r="CC38" s="331" t="s">
        <v>984</v>
      </c>
      <c r="CD38" s="331" t="s">
        <v>984</v>
      </c>
      <c r="CE38" s="331" t="s">
        <v>173</v>
      </c>
      <c r="CF38" s="331" t="s">
        <v>190</v>
      </c>
      <c r="CG38" s="331" t="s">
        <v>984</v>
      </c>
      <c r="CH38" s="331" t="s">
        <v>190</v>
      </c>
      <c r="CI38" s="331" t="s">
        <v>190</v>
      </c>
      <c r="CJ38" s="331" t="s">
        <v>190</v>
      </c>
      <c r="CK38" s="331" t="s">
        <v>190</v>
      </c>
      <c r="CL38" s="331" t="s">
        <v>190</v>
      </c>
      <c r="CM38" s="331" t="s">
        <v>190</v>
      </c>
      <c r="CN38" s="331" t="s">
        <v>190</v>
      </c>
      <c r="CO38" s="331" t="s">
        <v>190</v>
      </c>
      <c r="CP38" s="331" t="s">
        <v>190</v>
      </c>
      <c r="CQ38" s="331" t="s">
        <v>190</v>
      </c>
      <c r="CR38" s="331" t="s">
        <v>190</v>
      </c>
      <c r="CS38" s="331" t="s">
        <v>190</v>
      </c>
      <c r="CT38" s="331" t="s">
        <v>190</v>
      </c>
      <c r="CU38" s="331" t="s">
        <v>428</v>
      </c>
      <c r="CV38" s="331" t="s">
        <v>190</v>
      </c>
      <c r="CW38" s="331" t="s">
        <v>190</v>
      </c>
      <c r="CX38" s="331" t="s">
        <v>190</v>
      </c>
      <c r="CY38" s="331" t="s">
        <v>190</v>
      </c>
      <c r="CZ38" s="331" t="s">
        <v>190</v>
      </c>
      <c r="DA38" s="331" t="s">
        <v>190</v>
      </c>
      <c r="DB38" s="331" t="s">
        <v>190</v>
      </c>
      <c r="DC38" s="331" t="s">
        <v>190</v>
      </c>
      <c r="DD38" s="331" t="s">
        <v>190</v>
      </c>
      <c r="DE38" s="331" t="s">
        <v>190</v>
      </c>
      <c r="DF38" s="331" t="s">
        <v>190</v>
      </c>
      <c r="DG38" s="331" t="s">
        <v>190</v>
      </c>
      <c r="DH38" s="331" t="s">
        <v>190</v>
      </c>
      <c r="DI38" s="331" t="s">
        <v>190</v>
      </c>
      <c r="DJ38" s="331" t="s">
        <v>428</v>
      </c>
      <c r="DK38" s="331" t="s">
        <v>190</v>
      </c>
      <c r="DL38" s="331" t="s">
        <v>190</v>
      </c>
      <c r="DM38" s="331" t="s">
        <v>190</v>
      </c>
      <c r="DN38" s="331" t="s">
        <v>190</v>
      </c>
      <c r="DO38" s="331" t="s">
        <v>190</v>
      </c>
      <c r="DP38" s="331" t="s">
        <v>190</v>
      </c>
      <c r="DQ38" s="331" t="s">
        <v>190</v>
      </c>
      <c r="DR38" s="331" t="s">
        <v>190</v>
      </c>
      <c r="DS38" s="331" t="s">
        <v>190</v>
      </c>
      <c r="DT38" s="331" t="s">
        <v>190</v>
      </c>
      <c r="DU38" s="331" t="s">
        <v>190</v>
      </c>
      <c r="DV38" s="331" t="s">
        <v>190</v>
      </c>
      <c r="DW38" s="331" t="s">
        <v>190</v>
      </c>
      <c r="DX38" s="331" t="s">
        <v>190</v>
      </c>
      <c r="DY38" s="331" t="s">
        <v>190</v>
      </c>
      <c r="DZ38" s="331" t="s">
        <v>190</v>
      </c>
      <c r="EA38" s="331" t="s">
        <v>190</v>
      </c>
      <c r="EB38" s="331" t="s">
        <v>190</v>
      </c>
      <c r="EC38" s="331" t="s">
        <v>190</v>
      </c>
      <c r="ED38" s="331" t="s">
        <v>190</v>
      </c>
      <c r="EE38" s="331" t="s">
        <v>190</v>
      </c>
      <c r="EF38" s="331" t="s">
        <v>190</v>
      </c>
      <c r="EG38" s="331" t="s">
        <v>190</v>
      </c>
      <c r="EH38" s="331" t="s">
        <v>428</v>
      </c>
      <c r="EI38" s="331" t="s">
        <v>190</v>
      </c>
      <c r="EJ38" s="331" t="s">
        <v>190</v>
      </c>
      <c r="EK38" s="331" t="s">
        <v>190</v>
      </c>
      <c r="EL38" s="331" t="s">
        <v>190</v>
      </c>
      <c r="EM38" s="331" t="s">
        <v>190</v>
      </c>
      <c r="EN38" s="331" t="s">
        <v>190</v>
      </c>
      <c r="EO38" s="331" t="s">
        <v>190</v>
      </c>
      <c r="EP38" s="331" t="s">
        <v>428</v>
      </c>
      <c r="EQ38" s="331" t="s">
        <v>428</v>
      </c>
      <c r="ER38" s="331" t="s">
        <v>428</v>
      </c>
      <c r="ES38" s="331" t="s">
        <v>984</v>
      </c>
      <c r="ET38" s="331" t="s">
        <v>984</v>
      </c>
      <c r="EU38" s="331" t="s">
        <v>984</v>
      </c>
      <c r="EV38" s="331" t="s">
        <v>984</v>
      </c>
      <c r="EW38" s="331" t="s">
        <v>984</v>
      </c>
      <c r="EX38" s="331" t="s">
        <v>984</v>
      </c>
      <c r="EY38" s="331" t="s">
        <v>984</v>
      </c>
      <c r="EZ38" s="331" t="s">
        <v>428</v>
      </c>
      <c r="FA38" s="331" t="s">
        <v>984</v>
      </c>
      <c r="FB38" s="331" t="s">
        <v>984</v>
      </c>
      <c r="FC38" s="331" t="s">
        <v>984</v>
      </c>
      <c r="FD38" s="331" t="s">
        <v>984</v>
      </c>
      <c r="FE38" s="331" t="s">
        <v>984</v>
      </c>
      <c r="FF38" s="331" t="s">
        <v>984</v>
      </c>
      <c r="FG38" s="331" t="s">
        <v>984</v>
      </c>
      <c r="FH38" s="331" t="s">
        <v>984</v>
      </c>
      <c r="FI38" s="331" t="s">
        <v>984</v>
      </c>
      <c r="FJ38" s="331" t="s">
        <v>984</v>
      </c>
      <c r="FK38" s="331" t="s">
        <v>984</v>
      </c>
      <c r="FL38" s="331" t="s">
        <v>984</v>
      </c>
      <c r="FM38" s="331" t="s">
        <v>984</v>
      </c>
      <c r="FN38" s="331" t="s">
        <v>173</v>
      </c>
      <c r="FO38" s="331" t="s">
        <v>984</v>
      </c>
      <c r="FP38" s="331" t="s">
        <v>173</v>
      </c>
      <c r="FQ38" s="331" t="s">
        <v>984</v>
      </c>
      <c r="FR38" s="331" t="s">
        <v>428</v>
      </c>
      <c r="FS38" s="331" t="s">
        <v>190</v>
      </c>
      <c r="FT38" s="331" t="s">
        <v>984</v>
      </c>
      <c r="FU38" s="331" t="s">
        <v>984</v>
      </c>
      <c r="FV38" s="331" t="s">
        <v>190</v>
      </c>
      <c r="FW38" s="331" t="s">
        <v>984</v>
      </c>
      <c r="FX38" s="331" t="s">
        <v>984</v>
      </c>
      <c r="FY38" s="331" t="s">
        <v>984</v>
      </c>
      <c r="FZ38" s="331" t="s">
        <v>984</v>
      </c>
      <c r="GA38" s="331" t="s">
        <v>984</v>
      </c>
      <c r="GB38" s="331" t="s">
        <v>984</v>
      </c>
      <c r="GC38" s="331" t="s">
        <v>984</v>
      </c>
      <c r="GD38" s="331" t="s">
        <v>984</v>
      </c>
      <c r="GE38" s="331" t="s">
        <v>984</v>
      </c>
      <c r="GF38" s="331" t="s">
        <v>984</v>
      </c>
      <c r="GG38" s="331" t="s">
        <v>428</v>
      </c>
      <c r="GH38" s="331" t="s">
        <v>984</v>
      </c>
      <c r="GI38" s="331" t="s">
        <v>984</v>
      </c>
      <c r="GJ38" s="331" t="s">
        <v>984</v>
      </c>
      <c r="GK38" s="331" t="s">
        <v>984</v>
      </c>
      <c r="GL38" s="331" t="s">
        <v>984</v>
      </c>
      <c r="GM38" s="331" t="s">
        <v>984</v>
      </c>
      <c r="GN38" s="331" t="s">
        <v>984</v>
      </c>
      <c r="GO38" s="331" t="s">
        <v>984</v>
      </c>
      <c r="GP38" s="331" t="s">
        <v>984</v>
      </c>
      <c r="GQ38" s="331" t="s">
        <v>173</v>
      </c>
      <c r="GR38" s="331" t="s">
        <v>984</v>
      </c>
      <c r="GS38" s="331" t="s">
        <v>984</v>
      </c>
      <c r="GT38" s="331" t="s">
        <v>428</v>
      </c>
      <c r="GU38" s="331" t="s">
        <v>428</v>
      </c>
      <c r="GV38" s="331" t="s">
        <v>428</v>
      </c>
      <c r="GW38" s="331" t="s">
        <v>984</v>
      </c>
      <c r="GX38" s="331" t="s">
        <v>984</v>
      </c>
      <c r="GY38" s="331" t="s">
        <v>984</v>
      </c>
      <c r="GZ38" s="331" t="s">
        <v>984</v>
      </c>
      <c r="HA38" s="331" t="s">
        <v>984</v>
      </c>
      <c r="HB38" s="331" t="s">
        <v>984</v>
      </c>
      <c r="HC38" s="331" t="s">
        <v>984</v>
      </c>
      <c r="HD38" s="331" t="s">
        <v>984</v>
      </c>
      <c r="HE38" s="331" t="s">
        <v>984</v>
      </c>
      <c r="HF38" s="331" t="s">
        <v>984</v>
      </c>
      <c r="HG38" s="331" t="s">
        <v>984</v>
      </c>
      <c r="HH38" s="331" t="s">
        <v>984</v>
      </c>
      <c r="HI38" s="331" t="s">
        <v>984</v>
      </c>
      <c r="HJ38" s="331" t="s">
        <v>984</v>
      </c>
      <c r="HK38" s="331" t="s">
        <v>984</v>
      </c>
      <c r="HL38" s="331" t="s">
        <v>984</v>
      </c>
      <c r="HM38" s="331" t="s">
        <v>190</v>
      </c>
      <c r="HN38" s="331" t="s">
        <v>190</v>
      </c>
      <c r="HO38" s="331" t="s">
        <v>190</v>
      </c>
      <c r="HP38" s="331" t="s">
        <v>190</v>
      </c>
      <c r="HQ38" s="331" t="s">
        <v>169</v>
      </c>
      <c r="HR38" s="331" t="s">
        <v>169</v>
      </c>
      <c r="HS38" s="331" t="s">
        <v>169</v>
      </c>
      <c r="HT38" s="331" t="s">
        <v>427</v>
      </c>
      <c r="HU38" s="331" t="s">
        <v>428</v>
      </c>
      <c r="HV38" s="331" t="s">
        <v>428</v>
      </c>
    </row>
    <row r="39" spans="1:230" s="70" customFormat="1" x14ac:dyDescent="0.25">
      <c r="A39" s="330" t="str">
        <f>HYPERLINK("http://www.ofsted.gov.uk/inspection-reports/find-inspection-report/provider/ELS/138801 ","Ofsted School Webpage")</f>
        <v>Ofsted School Webpage</v>
      </c>
      <c r="B39" s="331">
        <v>138801</v>
      </c>
      <c r="C39" s="331">
        <v>3166002</v>
      </c>
      <c r="D39" s="331" t="s">
        <v>791</v>
      </c>
      <c r="E39" s="331" t="s">
        <v>167</v>
      </c>
      <c r="F39" s="331" t="s">
        <v>441</v>
      </c>
      <c r="G39" s="331" t="s">
        <v>441</v>
      </c>
      <c r="H39" s="331" t="s">
        <v>709</v>
      </c>
      <c r="I39" s="331" t="s">
        <v>792</v>
      </c>
      <c r="J39" s="331" t="s">
        <v>81</v>
      </c>
      <c r="K39" s="331" t="s">
        <v>72</v>
      </c>
      <c r="L39" s="331" t="s">
        <v>72</v>
      </c>
      <c r="M39" s="331" t="s">
        <v>72</v>
      </c>
      <c r="N39" s="331" t="s">
        <v>424</v>
      </c>
      <c r="O39" s="331">
        <v>10109147</v>
      </c>
      <c r="P39" s="332">
        <v>43727</v>
      </c>
      <c r="Q39" s="332">
        <v>43727</v>
      </c>
      <c r="R39" s="332">
        <v>43772</v>
      </c>
      <c r="S39" s="331" t="s">
        <v>985</v>
      </c>
      <c r="T39" s="331" t="s">
        <v>982</v>
      </c>
      <c r="U39" s="331" t="s">
        <v>427</v>
      </c>
      <c r="V39" s="331" t="s">
        <v>166</v>
      </c>
      <c r="W39" s="331" t="s">
        <v>984</v>
      </c>
      <c r="X39" s="331" t="s">
        <v>984</v>
      </c>
      <c r="Y39" s="331" t="s">
        <v>984</v>
      </c>
      <c r="Z39" s="331" t="s">
        <v>984</v>
      </c>
      <c r="AA39" s="331" t="s">
        <v>984</v>
      </c>
      <c r="AB39" s="331" t="s">
        <v>984</v>
      </c>
      <c r="AC39" s="331" t="s">
        <v>984</v>
      </c>
      <c r="AD39" s="331" t="s">
        <v>984</v>
      </c>
      <c r="AE39" s="331" t="s">
        <v>984</v>
      </c>
      <c r="AF39" s="331" t="s">
        <v>984</v>
      </c>
      <c r="AG39" s="331" t="s">
        <v>984</v>
      </c>
      <c r="AH39" s="331" t="s">
        <v>984</v>
      </c>
      <c r="AI39" s="331" t="s">
        <v>984</v>
      </c>
      <c r="AJ39" s="331" t="s">
        <v>984</v>
      </c>
      <c r="AK39" s="331" t="s">
        <v>984</v>
      </c>
      <c r="AL39" s="331" t="s">
        <v>984</v>
      </c>
      <c r="AM39" s="331" t="s">
        <v>984</v>
      </c>
      <c r="AN39" s="331" t="s">
        <v>984</v>
      </c>
      <c r="AO39" s="331" t="s">
        <v>984</v>
      </c>
      <c r="AP39" s="331" t="s">
        <v>984</v>
      </c>
      <c r="AQ39" s="331" t="s">
        <v>984</v>
      </c>
      <c r="AR39" s="331" t="s">
        <v>984</v>
      </c>
      <c r="AS39" s="331" t="s">
        <v>984</v>
      </c>
      <c r="AT39" s="331" t="s">
        <v>984</v>
      </c>
      <c r="AU39" s="331" t="s">
        <v>984</v>
      </c>
      <c r="AV39" s="331" t="s">
        <v>984</v>
      </c>
      <c r="AW39" s="331" t="s">
        <v>984</v>
      </c>
      <c r="AX39" s="331" t="s">
        <v>984</v>
      </c>
      <c r="AY39" s="331" t="s">
        <v>984</v>
      </c>
      <c r="AZ39" s="331" t="s">
        <v>984</v>
      </c>
      <c r="BA39" s="331" t="s">
        <v>984</v>
      </c>
      <c r="BB39" s="331" t="s">
        <v>984</v>
      </c>
      <c r="BC39" s="331" t="s">
        <v>984</v>
      </c>
      <c r="BD39" s="331" t="s">
        <v>984</v>
      </c>
      <c r="BE39" s="331" t="s">
        <v>984</v>
      </c>
      <c r="BF39" s="331" t="s">
        <v>984</v>
      </c>
      <c r="BG39" s="331" t="s">
        <v>984</v>
      </c>
      <c r="BH39" s="331" t="s">
        <v>984</v>
      </c>
      <c r="BI39" s="331" t="s">
        <v>984</v>
      </c>
      <c r="BJ39" s="331" t="s">
        <v>984</v>
      </c>
      <c r="BK39" s="331" t="s">
        <v>984</v>
      </c>
      <c r="BL39" s="331" t="s">
        <v>984</v>
      </c>
      <c r="BM39" s="331" t="s">
        <v>984</v>
      </c>
      <c r="BN39" s="331" t="s">
        <v>984</v>
      </c>
      <c r="BO39" s="331" t="s">
        <v>984</v>
      </c>
      <c r="BP39" s="331" t="s">
        <v>984</v>
      </c>
      <c r="BQ39" s="331" t="s">
        <v>984</v>
      </c>
      <c r="BR39" s="331" t="s">
        <v>191</v>
      </c>
      <c r="BS39" s="331" t="s">
        <v>191</v>
      </c>
      <c r="BT39" s="331" t="s">
        <v>191</v>
      </c>
      <c r="BU39" s="331" t="s">
        <v>428</v>
      </c>
      <c r="BV39" s="331" t="s">
        <v>428</v>
      </c>
      <c r="BW39" s="331" t="s">
        <v>428</v>
      </c>
      <c r="BX39" s="331" t="s">
        <v>191</v>
      </c>
      <c r="BY39" s="331" t="s">
        <v>190</v>
      </c>
      <c r="BZ39" s="331" t="s">
        <v>191</v>
      </c>
      <c r="CA39" s="331" t="s">
        <v>191</v>
      </c>
      <c r="CB39" s="331" t="s">
        <v>984</v>
      </c>
      <c r="CC39" s="331" t="s">
        <v>191</v>
      </c>
      <c r="CD39" s="331" t="s">
        <v>191</v>
      </c>
      <c r="CE39" s="331" t="s">
        <v>984</v>
      </c>
      <c r="CF39" s="331" t="s">
        <v>984</v>
      </c>
      <c r="CG39" s="331" t="s">
        <v>984</v>
      </c>
      <c r="CH39" s="331" t="s">
        <v>191</v>
      </c>
      <c r="CI39" s="331" t="s">
        <v>191</v>
      </c>
      <c r="CJ39" s="331" t="s">
        <v>191</v>
      </c>
      <c r="CK39" s="331" t="s">
        <v>984</v>
      </c>
      <c r="CL39" s="331" t="s">
        <v>984</v>
      </c>
      <c r="CM39" s="331" t="s">
        <v>984</v>
      </c>
      <c r="CN39" s="331" t="s">
        <v>984</v>
      </c>
      <c r="CO39" s="331" t="s">
        <v>984</v>
      </c>
      <c r="CP39" s="331" t="s">
        <v>984</v>
      </c>
      <c r="CQ39" s="331" t="s">
        <v>984</v>
      </c>
      <c r="CR39" s="331" t="s">
        <v>984</v>
      </c>
      <c r="CS39" s="331" t="s">
        <v>984</v>
      </c>
      <c r="CT39" s="331" t="s">
        <v>984</v>
      </c>
      <c r="CU39" s="331" t="s">
        <v>984</v>
      </c>
      <c r="CV39" s="331" t="s">
        <v>984</v>
      </c>
      <c r="CW39" s="331" t="s">
        <v>984</v>
      </c>
      <c r="CX39" s="331" t="s">
        <v>984</v>
      </c>
      <c r="CY39" s="331" t="s">
        <v>984</v>
      </c>
      <c r="CZ39" s="331" t="s">
        <v>984</v>
      </c>
      <c r="DA39" s="331" t="s">
        <v>984</v>
      </c>
      <c r="DB39" s="331" t="s">
        <v>984</v>
      </c>
      <c r="DC39" s="331" t="s">
        <v>984</v>
      </c>
      <c r="DD39" s="331" t="s">
        <v>984</v>
      </c>
      <c r="DE39" s="331" t="s">
        <v>984</v>
      </c>
      <c r="DF39" s="331" t="s">
        <v>984</v>
      </c>
      <c r="DG39" s="331" t="s">
        <v>984</v>
      </c>
      <c r="DH39" s="331" t="s">
        <v>984</v>
      </c>
      <c r="DI39" s="331" t="s">
        <v>984</v>
      </c>
      <c r="DJ39" s="331" t="s">
        <v>984</v>
      </c>
      <c r="DK39" s="331" t="s">
        <v>984</v>
      </c>
      <c r="DL39" s="331" t="s">
        <v>984</v>
      </c>
      <c r="DM39" s="331" t="s">
        <v>984</v>
      </c>
      <c r="DN39" s="331" t="s">
        <v>984</v>
      </c>
      <c r="DO39" s="331" t="s">
        <v>984</v>
      </c>
      <c r="DP39" s="331" t="s">
        <v>984</v>
      </c>
      <c r="DQ39" s="331" t="s">
        <v>984</v>
      </c>
      <c r="DR39" s="331" t="s">
        <v>984</v>
      </c>
      <c r="DS39" s="331" t="s">
        <v>984</v>
      </c>
      <c r="DT39" s="331" t="s">
        <v>984</v>
      </c>
      <c r="DU39" s="331" t="s">
        <v>984</v>
      </c>
      <c r="DV39" s="331" t="s">
        <v>984</v>
      </c>
      <c r="DW39" s="331" t="s">
        <v>984</v>
      </c>
      <c r="DX39" s="331" t="s">
        <v>984</v>
      </c>
      <c r="DY39" s="331" t="s">
        <v>984</v>
      </c>
      <c r="DZ39" s="331" t="s">
        <v>984</v>
      </c>
      <c r="EA39" s="331" t="s">
        <v>984</v>
      </c>
      <c r="EB39" s="331" t="s">
        <v>984</v>
      </c>
      <c r="EC39" s="331" t="s">
        <v>984</v>
      </c>
      <c r="ED39" s="331" t="s">
        <v>984</v>
      </c>
      <c r="EE39" s="331" t="s">
        <v>984</v>
      </c>
      <c r="EF39" s="331" t="s">
        <v>984</v>
      </c>
      <c r="EG39" s="331" t="s">
        <v>984</v>
      </c>
      <c r="EH39" s="331" t="s">
        <v>984</v>
      </c>
      <c r="EI39" s="331" t="s">
        <v>984</v>
      </c>
      <c r="EJ39" s="331" t="s">
        <v>984</v>
      </c>
      <c r="EK39" s="331" t="s">
        <v>984</v>
      </c>
      <c r="EL39" s="331" t="s">
        <v>984</v>
      </c>
      <c r="EM39" s="331" t="s">
        <v>984</v>
      </c>
      <c r="EN39" s="331" t="s">
        <v>984</v>
      </c>
      <c r="EO39" s="331" t="s">
        <v>984</v>
      </c>
      <c r="EP39" s="331" t="s">
        <v>984</v>
      </c>
      <c r="EQ39" s="331" t="s">
        <v>984</v>
      </c>
      <c r="ER39" s="331" t="s">
        <v>984</v>
      </c>
      <c r="ES39" s="331" t="s">
        <v>984</v>
      </c>
      <c r="ET39" s="331" t="s">
        <v>984</v>
      </c>
      <c r="EU39" s="331" t="s">
        <v>984</v>
      </c>
      <c r="EV39" s="331" t="s">
        <v>984</v>
      </c>
      <c r="EW39" s="331" t="s">
        <v>984</v>
      </c>
      <c r="EX39" s="331" t="s">
        <v>984</v>
      </c>
      <c r="EY39" s="331" t="s">
        <v>984</v>
      </c>
      <c r="EZ39" s="331" t="s">
        <v>984</v>
      </c>
      <c r="FA39" s="331" t="s">
        <v>984</v>
      </c>
      <c r="FB39" s="331" t="s">
        <v>984</v>
      </c>
      <c r="FC39" s="331" t="s">
        <v>984</v>
      </c>
      <c r="FD39" s="331" t="s">
        <v>984</v>
      </c>
      <c r="FE39" s="331" t="s">
        <v>984</v>
      </c>
      <c r="FF39" s="331" t="s">
        <v>984</v>
      </c>
      <c r="FG39" s="331" t="s">
        <v>984</v>
      </c>
      <c r="FH39" s="331" t="s">
        <v>984</v>
      </c>
      <c r="FI39" s="331" t="s">
        <v>984</v>
      </c>
      <c r="FJ39" s="331" t="s">
        <v>984</v>
      </c>
      <c r="FK39" s="331" t="s">
        <v>984</v>
      </c>
      <c r="FL39" s="331" t="s">
        <v>984</v>
      </c>
      <c r="FM39" s="331" t="s">
        <v>984</v>
      </c>
      <c r="FN39" s="331" t="s">
        <v>984</v>
      </c>
      <c r="FO39" s="331" t="s">
        <v>984</v>
      </c>
      <c r="FP39" s="331" t="s">
        <v>984</v>
      </c>
      <c r="FQ39" s="331" t="s">
        <v>984</v>
      </c>
      <c r="FR39" s="331" t="s">
        <v>984</v>
      </c>
      <c r="FS39" s="331" t="s">
        <v>984</v>
      </c>
      <c r="FT39" s="331" t="s">
        <v>984</v>
      </c>
      <c r="FU39" s="331" t="s">
        <v>984</v>
      </c>
      <c r="FV39" s="331" t="s">
        <v>190</v>
      </c>
      <c r="FW39" s="331" t="s">
        <v>984</v>
      </c>
      <c r="FX39" s="331" t="s">
        <v>984</v>
      </c>
      <c r="FY39" s="331" t="s">
        <v>984</v>
      </c>
      <c r="FZ39" s="331" t="s">
        <v>984</v>
      </c>
      <c r="GA39" s="331" t="s">
        <v>984</v>
      </c>
      <c r="GB39" s="331" t="s">
        <v>984</v>
      </c>
      <c r="GC39" s="331" t="s">
        <v>984</v>
      </c>
      <c r="GD39" s="331" t="s">
        <v>984</v>
      </c>
      <c r="GE39" s="331" t="s">
        <v>984</v>
      </c>
      <c r="GF39" s="331" t="s">
        <v>984</v>
      </c>
      <c r="GG39" s="331" t="s">
        <v>984</v>
      </c>
      <c r="GH39" s="331" t="s">
        <v>984</v>
      </c>
      <c r="GI39" s="331" t="s">
        <v>984</v>
      </c>
      <c r="GJ39" s="331" t="s">
        <v>984</v>
      </c>
      <c r="GK39" s="331" t="s">
        <v>984</v>
      </c>
      <c r="GL39" s="331" t="s">
        <v>984</v>
      </c>
      <c r="GM39" s="331" t="s">
        <v>984</v>
      </c>
      <c r="GN39" s="331" t="s">
        <v>984</v>
      </c>
      <c r="GO39" s="331" t="s">
        <v>984</v>
      </c>
      <c r="GP39" s="331" t="s">
        <v>984</v>
      </c>
      <c r="GQ39" s="331" t="s">
        <v>984</v>
      </c>
      <c r="GR39" s="331" t="s">
        <v>984</v>
      </c>
      <c r="GS39" s="331" t="s">
        <v>984</v>
      </c>
      <c r="GT39" s="331" t="s">
        <v>984</v>
      </c>
      <c r="GU39" s="331" t="s">
        <v>984</v>
      </c>
      <c r="GV39" s="331" t="s">
        <v>984</v>
      </c>
      <c r="GW39" s="331" t="s">
        <v>984</v>
      </c>
      <c r="GX39" s="331" t="s">
        <v>984</v>
      </c>
      <c r="GY39" s="331" t="s">
        <v>984</v>
      </c>
      <c r="GZ39" s="331" t="s">
        <v>984</v>
      </c>
      <c r="HA39" s="331" t="s">
        <v>984</v>
      </c>
      <c r="HB39" s="331" t="s">
        <v>984</v>
      </c>
      <c r="HC39" s="331" t="s">
        <v>984</v>
      </c>
      <c r="HD39" s="331" t="s">
        <v>984</v>
      </c>
      <c r="HE39" s="331" t="s">
        <v>984</v>
      </c>
      <c r="HF39" s="331" t="s">
        <v>984</v>
      </c>
      <c r="HG39" s="331" t="s">
        <v>984</v>
      </c>
      <c r="HH39" s="331" t="s">
        <v>984</v>
      </c>
      <c r="HI39" s="331" t="s">
        <v>984</v>
      </c>
      <c r="HJ39" s="331" t="s">
        <v>984</v>
      </c>
      <c r="HK39" s="331" t="s">
        <v>984</v>
      </c>
      <c r="HL39" s="331" t="s">
        <v>984</v>
      </c>
      <c r="HM39" s="331" t="s">
        <v>191</v>
      </c>
      <c r="HN39" s="331" t="s">
        <v>191</v>
      </c>
      <c r="HO39" s="331" t="s">
        <v>191</v>
      </c>
      <c r="HP39" s="331" t="s">
        <v>191</v>
      </c>
      <c r="HQ39" s="331" t="s">
        <v>169</v>
      </c>
      <c r="HR39" s="331" t="s">
        <v>169</v>
      </c>
      <c r="HS39" s="331" t="s">
        <v>169</v>
      </c>
      <c r="HT39" s="331" t="s">
        <v>427</v>
      </c>
      <c r="HU39" s="331" t="s">
        <v>428</v>
      </c>
      <c r="HV39" s="331" t="s">
        <v>428</v>
      </c>
    </row>
    <row r="40" spans="1:230" s="70" customFormat="1" x14ac:dyDescent="0.25">
      <c r="A40" s="330" t="str">
        <f>HYPERLINK("http://www.ofsted.gov.uk/inspection-reports/find-inspection-report/provider/ELS/147033 ","Ofsted School Webpage")</f>
        <v>Ofsted School Webpage</v>
      </c>
      <c r="B40" s="331">
        <v>147033</v>
      </c>
      <c r="C40" s="331">
        <v>9196010</v>
      </c>
      <c r="D40" s="331" t="s">
        <v>2709</v>
      </c>
      <c r="E40" s="331" t="s">
        <v>167</v>
      </c>
      <c r="F40" s="331" t="s">
        <v>451</v>
      </c>
      <c r="G40" s="331" t="s">
        <v>451</v>
      </c>
      <c r="H40" s="331" t="s">
        <v>489</v>
      </c>
      <c r="I40" s="331" t="s">
        <v>606</v>
      </c>
      <c r="J40" s="331" t="s">
        <v>434</v>
      </c>
      <c r="K40" s="331" t="s">
        <v>81</v>
      </c>
      <c r="L40" s="331" t="s">
        <v>81</v>
      </c>
      <c r="M40" s="331" t="s">
        <v>78</v>
      </c>
      <c r="N40" s="331" t="s">
        <v>424</v>
      </c>
      <c r="O40" s="331">
        <v>10118353</v>
      </c>
      <c r="P40" s="332">
        <v>43726</v>
      </c>
      <c r="Q40" s="332">
        <v>43727</v>
      </c>
      <c r="R40" s="332">
        <v>43768</v>
      </c>
      <c r="S40" s="331" t="s">
        <v>2583</v>
      </c>
      <c r="T40" s="331" t="s">
        <v>982</v>
      </c>
      <c r="U40" s="331" t="s">
        <v>427</v>
      </c>
      <c r="V40" s="331" t="s">
        <v>2585</v>
      </c>
      <c r="W40" s="331" t="s">
        <v>191</v>
      </c>
      <c r="X40" s="331" t="s">
        <v>191</v>
      </c>
      <c r="Y40" s="331" t="s">
        <v>191</v>
      </c>
      <c r="Z40" s="331" t="s">
        <v>191</v>
      </c>
      <c r="AA40" s="331" t="s">
        <v>190</v>
      </c>
      <c r="AB40" s="331" t="s">
        <v>190</v>
      </c>
      <c r="AC40" s="331" t="s">
        <v>190</v>
      </c>
      <c r="AD40" s="331" t="s">
        <v>190</v>
      </c>
      <c r="AE40" s="331" t="s">
        <v>428</v>
      </c>
      <c r="AF40" s="331" t="s">
        <v>191</v>
      </c>
      <c r="AG40" s="331" t="s">
        <v>191</v>
      </c>
      <c r="AH40" s="331" t="s">
        <v>190</v>
      </c>
      <c r="AI40" s="331" t="s">
        <v>428</v>
      </c>
      <c r="AJ40" s="331" t="s">
        <v>428</v>
      </c>
      <c r="AK40" s="331" t="s">
        <v>428</v>
      </c>
      <c r="AL40" s="331" t="s">
        <v>428</v>
      </c>
      <c r="AM40" s="331" t="s">
        <v>190</v>
      </c>
      <c r="AN40" s="331" t="s">
        <v>428</v>
      </c>
      <c r="AO40" s="331" t="s">
        <v>190</v>
      </c>
      <c r="AP40" s="331" t="s">
        <v>190</v>
      </c>
      <c r="AQ40" s="331" t="s">
        <v>191</v>
      </c>
      <c r="AR40" s="331" t="s">
        <v>190</v>
      </c>
      <c r="AS40" s="331" t="s">
        <v>190</v>
      </c>
      <c r="AT40" s="331" t="s">
        <v>191</v>
      </c>
      <c r="AU40" s="331" t="s">
        <v>191</v>
      </c>
      <c r="AV40" s="331" t="s">
        <v>191</v>
      </c>
      <c r="AW40" s="331" t="s">
        <v>190</v>
      </c>
      <c r="AX40" s="331" t="s">
        <v>190</v>
      </c>
      <c r="AY40" s="331" t="s">
        <v>191</v>
      </c>
      <c r="AZ40" s="331" t="s">
        <v>190</v>
      </c>
      <c r="BA40" s="331" t="s">
        <v>190</v>
      </c>
      <c r="BB40" s="331" t="s">
        <v>190</v>
      </c>
      <c r="BC40" s="331" t="s">
        <v>190</v>
      </c>
      <c r="BD40" s="331" t="s">
        <v>190</v>
      </c>
      <c r="BE40" s="331" t="s">
        <v>190</v>
      </c>
      <c r="BF40" s="331" t="s">
        <v>190</v>
      </c>
      <c r="BG40" s="331" t="s">
        <v>190</v>
      </c>
      <c r="BH40" s="331" t="s">
        <v>190</v>
      </c>
      <c r="BI40" s="331" t="s">
        <v>190</v>
      </c>
      <c r="BJ40" s="331" t="s">
        <v>190</v>
      </c>
      <c r="BK40" s="331" t="s">
        <v>190</v>
      </c>
      <c r="BL40" s="331" t="s">
        <v>190</v>
      </c>
      <c r="BM40" s="331" t="s">
        <v>190</v>
      </c>
      <c r="BN40" s="331" t="s">
        <v>190</v>
      </c>
      <c r="BO40" s="331" t="s">
        <v>190</v>
      </c>
      <c r="BP40" s="331" t="s">
        <v>190</v>
      </c>
      <c r="BQ40" s="331" t="s">
        <v>190</v>
      </c>
      <c r="BR40" s="331" t="s">
        <v>191</v>
      </c>
      <c r="BS40" s="331" t="s">
        <v>191</v>
      </c>
      <c r="BT40" s="331" t="s">
        <v>191</v>
      </c>
      <c r="BU40" s="331" t="s">
        <v>428</v>
      </c>
      <c r="BV40" s="331" t="s">
        <v>428</v>
      </c>
      <c r="BW40" s="331" t="s">
        <v>428</v>
      </c>
      <c r="BX40" s="331" t="s">
        <v>191</v>
      </c>
      <c r="BY40" s="331" t="s">
        <v>190</v>
      </c>
      <c r="BZ40" s="331" t="s">
        <v>191</v>
      </c>
      <c r="CA40" s="331" t="s">
        <v>191</v>
      </c>
      <c r="CB40" s="331" t="s">
        <v>190</v>
      </c>
      <c r="CC40" s="331" t="s">
        <v>191</v>
      </c>
      <c r="CD40" s="331" t="s">
        <v>191</v>
      </c>
      <c r="CE40" s="331" t="s">
        <v>191</v>
      </c>
      <c r="CF40" s="331" t="s">
        <v>190</v>
      </c>
      <c r="CG40" s="331" t="s">
        <v>191</v>
      </c>
      <c r="CH40" s="331" t="s">
        <v>191</v>
      </c>
      <c r="CI40" s="331" t="s">
        <v>191</v>
      </c>
      <c r="CJ40" s="331" t="s">
        <v>191</v>
      </c>
      <c r="CK40" s="331" t="s">
        <v>190</v>
      </c>
      <c r="CL40" s="331" t="s">
        <v>190</v>
      </c>
      <c r="CM40" s="331" t="s">
        <v>190</v>
      </c>
      <c r="CN40" s="331" t="s">
        <v>190</v>
      </c>
      <c r="CO40" s="331" t="s">
        <v>190</v>
      </c>
      <c r="CP40" s="331" t="s">
        <v>190</v>
      </c>
      <c r="CQ40" s="331" t="s">
        <v>190</v>
      </c>
      <c r="CR40" s="331" t="s">
        <v>190</v>
      </c>
      <c r="CS40" s="331" t="s">
        <v>190</v>
      </c>
      <c r="CT40" s="331" t="s">
        <v>190</v>
      </c>
      <c r="CU40" s="331" t="s">
        <v>428</v>
      </c>
      <c r="CV40" s="331" t="s">
        <v>190</v>
      </c>
      <c r="CW40" s="331" t="s">
        <v>190</v>
      </c>
      <c r="CX40" s="331" t="s">
        <v>190</v>
      </c>
      <c r="CY40" s="331" t="s">
        <v>190</v>
      </c>
      <c r="CZ40" s="331" t="s">
        <v>190</v>
      </c>
      <c r="DA40" s="331" t="s">
        <v>190</v>
      </c>
      <c r="DB40" s="331" t="s">
        <v>190</v>
      </c>
      <c r="DC40" s="331" t="s">
        <v>190</v>
      </c>
      <c r="DD40" s="331" t="s">
        <v>190</v>
      </c>
      <c r="DE40" s="331" t="s">
        <v>190</v>
      </c>
      <c r="DF40" s="331" t="s">
        <v>190</v>
      </c>
      <c r="DG40" s="331" t="s">
        <v>190</v>
      </c>
      <c r="DH40" s="331" t="s">
        <v>190</v>
      </c>
      <c r="DI40" s="331" t="s">
        <v>190</v>
      </c>
      <c r="DJ40" s="331" t="s">
        <v>428</v>
      </c>
      <c r="DK40" s="331" t="s">
        <v>190</v>
      </c>
      <c r="DL40" s="331" t="s">
        <v>190</v>
      </c>
      <c r="DM40" s="331" t="s">
        <v>190</v>
      </c>
      <c r="DN40" s="331" t="s">
        <v>190</v>
      </c>
      <c r="DO40" s="331" t="s">
        <v>190</v>
      </c>
      <c r="DP40" s="331" t="s">
        <v>190</v>
      </c>
      <c r="DQ40" s="331" t="s">
        <v>190</v>
      </c>
      <c r="DR40" s="331" t="s">
        <v>190</v>
      </c>
      <c r="DS40" s="331" t="s">
        <v>190</v>
      </c>
      <c r="DT40" s="331" t="s">
        <v>190</v>
      </c>
      <c r="DU40" s="331" t="s">
        <v>190</v>
      </c>
      <c r="DV40" s="331" t="s">
        <v>190</v>
      </c>
      <c r="DW40" s="331" t="s">
        <v>190</v>
      </c>
      <c r="DX40" s="331" t="s">
        <v>190</v>
      </c>
      <c r="DY40" s="331" t="s">
        <v>190</v>
      </c>
      <c r="DZ40" s="331" t="s">
        <v>190</v>
      </c>
      <c r="EA40" s="331" t="s">
        <v>190</v>
      </c>
      <c r="EB40" s="331" t="s">
        <v>190</v>
      </c>
      <c r="EC40" s="331" t="s">
        <v>190</v>
      </c>
      <c r="ED40" s="331" t="s">
        <v>190</v>
      </c>
      <c r="EE40" s="331" t="s">
        <v>190</v>
      </c>
      <c r="EF40" s="331" t="s">
        <v>190</v>
      </c>
      <c r="EG40" s="331" t="s">
        <v>190</v>
      </c>
      <c r="EH40" s="331" t="s">
        <v>428</v>
      </c>
      <c r="EI40" s="331" t="s">
        <v>190</v>
      </c>
      <c r="EJ40" s="331" t="s">
        <v>190</v>
      </c>
      <c r="EK40" s="331" t="s">
        <v>190</v>
      </c>
      <c r="EL40" s="331" t="s">
        <v>190</v>
      </c>
      <c r="EM40" s="331" t="s">
        <v>428</v>
      </c>
      <c r="EN40" s="331" t="s">
        <v>190</v>
      </c>
      <c r="EO40" s="331" t="s">
        <v>190</v>
      </c>
      <c r="EP40" s="331" t="s">
        <v>428</v>
      </c>
      <c r="EQ40" s="331" t="s">
        <v>428</v>
      </c>
      <c r="ER40" s="331" t="s">
        <v>428</v>
      </c>
      <c r="ES40" s="331" t="s">
        <v>190</v>
      </c>
      <c r="ET40" s="331" t="s">
        <v>190</v>
      </c>
      <c r="EU40" s="331" t="s">
        <v>190</v>
      </c>
      <c r="EV40" s="331" t="s">
        <v>190</v>
      </c>
      <c r="EW40" s="331" t="s">
        <v>190</v>
      </c>
      <c r="EX40" s="331" t="s">
        <v>190</v>
      </c>
      <c r="EY40" s="331" t="s">
        <v>190</v>
      </c>
      <c r="EZ40" s="331" t="s">
        <v>428</v>
      </c>
      <c r="FA40" s="331" t="s">
        <v>190</v>
      </c>
      <c r="FB40" s="331" t="s">
        <v>191</v>
      </c>
      <c r="FC40" s="331" t="s">
        <v>190</v>
      </c>
      <c r="FD40" s="331" t="s">
        <v>190</v>
      </c>
      <c r="FE40" s="331" t="s">
        <v>190</v>
      </c>
      <c r="FF40" s="331" t="s">
        <v>190</v>
      </c>
      <c r="FG40" s="331" t="s">
        <v>191</v>
      </c>
      <c r="FH40" s="331" t="s">
        <v>190</v>
      </c>
      <c r="FI40" s="331" t="s">
        <v>191</v>
      </c>
      <c r="FJ40" s="331" t="s">
        <v>190</v>
      </c>
      <c r="FK40" s="331" t="s">
        <v>190</v>
      </c>
      <c r="FL40" s="331" t="s">
        <v>190</v>
      </c>
      <c r="FM40" s="331" t="s">
        <v>190</v>
      </c>
      <c r="FN40" s="331" t="s">
        <v>190</v>
      </c>
      <c r="FO40" s="331" t="s">
        <v>190</v>
      </c>
      <c r="FP40" s="331" t="s">
        <v>190</v>
      </c>
      <c r="FQ40" s="331" t="s">
        <v>190</v>
      </c>
      <c r="FR40" s="331" t="s">
        <v>428</v>
      </c>
      <c r="FS40" s="331" t="s">
        <v>190</v>
      </c>
      <c r="FT40" s="331" t="s">
        <v>190</v>
      </c>
      <c r="FU40" s="331" t="s">
        <v>190</v>
      </c>
      <c r="FV40" s="331" t="s">
        <v>190</v>
      </c>
      <c r="FW40" s="331" t="s">
        <v>190</v>
      </c>
      <c r="FX40" s="331" t="s">
        <v>428</v>
      </c>
      <c r="FY40" s="331" t="s">
        <v>190</v>
      </c>
      <c r="FZ40" s="331" t="s">
        <v>190</v>
      </c>
      <c r="GA40" s="331" t="s">
        <v>190</v>
      </c>
      <c r="GB40" s="331" t="s">
        <v>190</v>
      </c>
      <c r="GC40" s="331" t="s">
        <v>190</v>
      </c>
      <c r="GD40" s="331" t="s">
        <v>190</v>
      </c>
      <c r="GE40" s="331" t="s">
        <v>190</v>
      </c>
      <c r="GF40" s="331" t="s">
        <v>190</v>
      </c>
      <c r="GG40" s="331" t="s">
        <v>428</v>
      </c>
      <c r="GH40" s="331" t="s">
        <v>190</v>
      </c>
      <c r="GI40" s="331" t="s">
        <v>428</v>
      </c>
      <c r="GJ40" s="331" t="s">
        <v>190</v>
      </c>
      <c r="GK40" s="331" t="s">
        <v>190</v>
      </c>
      <c r="GL40" s="331" t="s">
        <v>190</v>
      </c>
      <c r="GM40" s="331" t="s">
        <v>190</v>
      </c>
      <c r="GN40" s="331" t="s">
        <v>190</v>
      </c>
      <c r="GO40" s="331" t="s">
        <v>190</v>
      </c>
      <c r="GP40" s="331" t="s">
        <v>190</v>
      </c>
      <c r="GQ40" s="331" t="s">
        <v>190</v>
      </c>
      <c r="GR40" s="331" t="s">
        <v>190</v>
      </c>
      <c r="GS40" s="331" t="s">
        <v>428</v>
      </c>
      <c r="GT40" s="331" t="s">
        <v>428</v>
      </c>
      <c r="GU40" s="331" t="s">
        <v>428</v>
      </c>
      <c r="GV40" s="331" t="s">
        <v>428</v>
      </c>
      <c r="GW40" s="331" t="s">
        <v>190</v>
      </c>
      <c r="GX40" s="331" t="s">
        <v>190</v>
      </c>
      <c r="GY40" s="331" t="s">
        <v>190</v>
      </c>
      <c r="GZ40" s="331" t="s">
        <v>190</v>
      </c>
      <c r="HA40" s="331" t="s">
        <v>190</v>
      </c>
      <c r="HB40" s="331" t="s">
        <v>190</v>
      </c>
      <c r="HC40" s="331" t="s">
        <v>190</v>
      </c>
      <c r="HD40" s="331" t="s">
        <v>190</v>
      </c>
      <c r="HE40" s="331" t="s">
        <v>190</v>
      </c>
      <c r="HF40" s="331" t="s">
        <v>190</v>
      </c>
      <c r="HG40" s="331" t="s">
        <v>190</v>
      </c>
      <c r="HH40" s="331" t="s">
        <v>190</v>
      </c>
      <c r="HI40" s="331" t="s">
        <v>190</v>
      </c>
      <c r="HJ40" s="331" t="s">
        <v>190</v>
      </c>
      <c r="HK40" s="331" t="s">
        <v>190</v>
      </c>
      <c r="HL40" s="331" t="s">
        <v>190</v>
      </c>
      <c r="HM40" s="331" t="s">
        <v>191</v>
      </c>
      <c r="HN40" s="331" t="s">
        <v>191</v>
      </c>
      <c r="HO40" s="331" t="s">
        <v>191</v>
      </c>
      <c r="HP40" s="331" t="s">
        <v>191</v>
      </c>
      <c r="HQ40" s="331" t="s">
        <v>170</v>
      </c>
      <c r="HR40" s="331" t="s">
        <v>429</v>
      </c>
      <c r="HS40" s="331" t="s">
        <v>169</v>
      </c>
      <c r="HT40" s="331" t="s">
        <v>427</v>
      </c>
      <c r="HU40" s="331" t="s">
        <v>191</v>
      </c>
      <c r="HV40" s="331" t="s">
        <v>191</v>
      </c>
    </row>
    <row r="41" spans="1:230" s="70" customFormat="1" x14ac:dyDescent="0.25">
      <c r="A41" s="330" t="str">
        <f>HYPERLINK("http://www.ofsted.gov.uk/inspection-reports/find-inspection-report/provider/ELS/146837 ","Ofsted School Webpage")</f>
        <v>Ofsted School Webpage</v>
      </c>
      <c r="B41" s="331">
        <v>146837</v>
      </c>
      <c r="C41" s="331">
        <v>8556044</v>
      </c>
      <c r="D41" s="331" t="s">
        <v>2710</v>
      </c>
      <c r="E41" s="331" t="s">
        <v>167</v>
      </c>
      <c r="F41" s="331" t="s">
        <v>506</v>
      </c>
      <c r="G41" s="331" t="s">
        <v>506</v>
      </c>
      <c r="H41" s="331" t="s">
        <v>862</v>
      </c>
      <c r="I41" s="331" t="s">
        <v>2711</v>
      </c>
      <c r="J41" s="331" t="s">
        <v>434</v>
      </c>
      <c r="K41" s="331" t="s">
        <v>81</v>
      </c>
      <c r="L41" s="331" t="s">
        <v>81</v>
      </c>
      <c r="M41" s="331" t="s">
        <v>78</v>
      </c>
      <c r="N41" s="331" t="s">
        <v>424</v>
      </c>
      <c r="O41" s="331">
        <v>10121067</v>
      </c>
      <c r="P41" s="332">
        <v>43732</v>
      </c>
      <c r="Q41" s="332">
        <v>43732</v>
      </c>
      <c r="R41" s="332">
        <v>43754</v>
      </c>
      <c r="S41" s="331" t="s">
        <v>2583</v>
      </c>
      <c r="T41" s="331" t="s">
        <v>982</v>
      </c>
      <c r="U41" s="331" t="s">
        <v>427</v>
      </c>
      <c r="V41" s="331" t="s">
        <v>2599</v>
      </c>
      <c r="W41" s="331" t="s">
        <v>191</v>
      </c>
      <c r="X41" s="331" t="s">
        <v>191</v>
      </c>
      <c r="Y41" s="331" t="s">
        <v>191</v>
      </c>
      <c r="Z41" s="331" t="s">
        <v>191</v>
      </c>
      <c r="AA41" s="331" t="s">
        <v>190</v>
      </c>
      <c r="AB41" s="331" t="s">
        <v>190</v>
      </c>
      <c r="AC41" s="331" t="s">
        <v>190</v>
      </c>
      <c r="AD41" s="331" t="s">
        <v>190</v>
      </c>
      <c r="AE41" s="331" t="s">
        <v>428</v>
      </c>
      <c r="AF41" s="331" t="s">
        <v>190</v>
      </c>
      <c r="AG41" s="331" t="s">
        <v>190</v>
      </c>
      <c r="AH41" s="331" t="s">
        <v>190</v>
      </c>
      <c r="AI41" s="331" t="s">
        <v>190</v>
      </c>
      <c r="AJ41" s="331" t="s">
        <v>190</v>
      </c>
      <c r="AK41" s="331" t="s">
        <v>190</v>
      </c>
      <c r="AL41" s="331" t="s">
        <v>190</v>
      </c>
      <c r="AM41" s="331" t="s">
        <v>191</v>
      </c>
      <c r="AN41" s="331" t="s">
        <v>190</v>
      </c>
      <c r="AO41" s="331" t="s">
        <v>190</v>
      </c>
      <c r="AP41" s="331" t="s">
        <v>190</v>
      </c>
      <c r="AQ41" s="331" t="s">
        <v>190</v>
      </c>
      <c r="AR41" s="331" t="s">
        <v>190</v>
      </c>
      <c r="AS41" s="331" t="s">
        <v>190</v>
      </c>
      <c r="AT41" s="331" t="s">
        <v>190</v>
      </c>
      <c r="AU41" s="331" t="s">
        <v>190</v>
      </c>
      <c r="AV41" s="331" t="s">
        <v>190</v>
      </c>
      <c r="AW41" s="331" t="s">
        <v>191</v>
      </c>
      <c r="AX41" s="331" t="s">
        <v>190</v>
      </c>
      <c r="AY41" s="331" t="s">
        <v>190</v>
      </c>
      <c r="AZ41" s="331" t="s">
        <v>190</v>
      </c>
      <c r="BA41" s="331" t="s">
        <v>190</v>
      </c>
      <c r="BB41" s="331" t="s">
        <v>190</v>
      </c>
      <c r="BC41" s="331" t="s">
        <v>190</v>
      </c>
      <c r="BD41" s="331" t="s">
        <v>190</v>
      </c>
      <c r="BE41" s="331" t="s">
        <v>190</v>
      </c>
      <c r="BF41" s="331" t="s">
        <v>190</v>
      </c>
      <c r="BG41" s="331" t="s">
        <v>190</v>
      </c>
      <c r="BH41" s="331" t="s">
        <v>190</v>
      </c>
      <c r="BI41" s="331" t="s">
        <v>190</v>
      </c>
      <c r="BJ41" s="331" t="s">
        <v>190</v>
      </c>
      <c r="BK41" s="331" t="s">
        <v>190</v>
      </c>
      <c r="BL41" s="331" t="s">
        <v>190</v>
      </c>
      <c r="BM41" s="331" t="s">
        <v>190</v>
      </c>
      <c r="BN41" s="331" t="s">
        <v>190</v>
      </c>
      <c r="BO41" s="331" t="s">
        <v>190</v>
      </c>
      <c r="BP41" s="331" t="s">
        <v>190</v>
      </c>
      <c r="BQ41" s="331" t="s">
        <v>190</v>
      </c>
      <c r="BR41" s="331" t="s">
        <v>191</v>
      </c>
      <c r="BS41" s="331" t="s">
        <v>191</v>
      </c>
      <c r="BT41" s="331" t="s">
        <v>191</v>
      </c>
      <c r="BU41" s="331" t="s">
        <v>428</v>
      </c>
      <c r="BV41" s="331" t="s">
        <v>428</v>
      </c>
      <c r="BW41" s="331" t="s">
        <v>428</v>
      </c>
      <c r="BX41" s="331" t="s">
        <v>190</v>
      </c>
      <c r="BY41" s="331" t="s">
        <v>190</v>
      </c>
      <c r="BZ41" s="331" t="s">
        <v>190</v>
      </c>
      <c r="CA41" s="331" t="s">
        <v>190</v>
      </c>
      <c r="CB41" s="331" t="s">
        <v>190</v>
      </c>
      <c r="CC41" s="331" t="s">
        <v>191</v>
      </c>
      <c r="CD41" s="331" t="s">
        <v>190</v>
      </c>
      <c r="CE41" s="331" t="s">
        <v>190</v>
      </c>
      <c r="CF41" s="331" t="s">
        <v>190</v>
      </c>
      <c r="CG41" s="331" t="s">
        <v>190</v>
      </c>
      <c r="CH41" s="331" t="s">
        <v>191</v>
      </c>
      <c r="CI41" s="331" t="s">
        <v>191</v>
      </c>
      <c r="CJ41" s="331" t="s">
        <v>191</v>
      </c>
      <c r="CK41" s="331" t="s">
        <v>190</v>
      </c>
      <c r="CL41" s="331" t="s">
        <v>190</v>
      </c>
      <c r="CM41" s="331" t="s">
        <v>190</v>
      </c>
      <c r="CN41" s="331" t="s">
        <v>190</v>
      </c>
      <c r="CO41" s="331" t="s">
        <v>190</v>
      </c>
      <c r="CP41" s="331" t="s">
        <v>190</v>
      </c>
      <c r="CQ41" s="331" t="s">
        <v>190</v>
      </c>
      <c r="CR41" s="331" t="s">
        <v>190</v>
      </c>
      <c r="CS41" s="331" t="s">
        <v>190</v>
      </c>
      <c r="CT41" s="331" t="s">
        <v>190</v>
      </c>
      <c r="CU41" s="331" t="s">
        <v>428</v>
      </c>
      <c r="CV41" s="331" t="s">
        <v>190</v>
      </c>
      <c r="CW41" s="331" t="s">
        <v>190</v>
      </c>
      <c r="CX41" s="331" t="s">
        <v>190</v>
      </c>
      <c r="CY41" s="331" t="s">
        <v>190</v>
      </c>
      <c r="CZ41" s="331" t="s">
        <v>190</v>
      </c>
      <c r="DA41" s="331" t="s">
        <v>190</v>
      </c>
      <c r="DB41" s="331" t="s">
        <v>190</v>
      </c>
      <c r="DC41" s="331" t="s">
        <v>190</v>
      </c>
      <c r="DD41" s="331" t="s">
        <v>190</v>
      </c>
      <c r="DE41" s="331" t="s">
        <v>190</v>
      </c>
      <c r="DF41" s="331" t="s">
        <v>190</v>
      </c>
      <c r="DG41" s="331" t="s">
        <v>190</v>
      </c>
      <c r="DH41" s="331" t="s">
        <v>190</v>
      </c>
      <c r="DI41" s="331" t="s">
        <v>190</v>
      </c>
      <c r="DJ41" s="331" t="s">
        <v>428</v>
      </c>
      <c r="DK41" s="331" t="s">
        <v>190</v>
      </c>
      <c r="DL41" s="331" t="s">
        <v>190</v>
      </c>
      <c r="DM41" s="331" t="s">
        <v>190</v>
      </c>
      <c r="DN41" s="331" t="s">
        <v>190</v>
      </c>
      <c r="DO41" s="331" t="s">
        <v>190</v>
      </c>
      <c r="DP41" s="331" t="s">
        <v>190</v>
      </c>
      <c r="DQ41" s="331" t="s">
        <v>190</v>
      </c>
      <c r="DR41" s="331" t="s">
        <v>190</v>
      </c>
      <c r="DS41" s="331" t="s">
        <v>190</v>
      </c>
      <c r="DT41" s="331" t="s">
        <v>190</v>
      </c>
      <c r="DU41" s="331" t="s">
        <v>190</v>
      </c>
      <c r="DV41" s="331" t="s">
        <v>190</v>
      </c>
      <c r="DW41" s="331" t="s">
        <v>190</v>
      </c>
      <c r="DX41" s="331" t="s">
        <v>190</v>
      </c>
      <c r="DY41" s="331" t="s">
        <v>190</v>
      </c>
      <c r="DZ41" s="331" t="s">
        <v>190</v>
      </c>
      <c r="EA41" s="331" t="s">
        <v>190</v>
      </c>
      <c r="EB41" s="331" t="s">
        <v>190</v>
      </c>
      <c r="EC41" s="331" t="s">
        <v>190</v>
      </c>
      <c r="ED41" s="331" t="s">
        <v>190</v>
      </c>
      <c r="EE41" s="331" t="s">
        <v>190</v>
      </c>
      <c r="EF41" s="331" t="s">
        <v>190</v>
      </c>
      <c r="EG41" s="331" t="s">
        <v>190</v>
      </c>
      <c r="EH41" s="331" t="s">
        <v>190</v>
      </c>
      <c r="EI41" s="331" t="s">
        <v>190</v>
      </c>
      <c r="EJ41" s="331" t="s">
        <v>190</v>
      </c>
      <c r="EK41" s="331" t="s">
        <v>190</v>
      </c>
      <c r="EL41" s="331" t="s">
        <v>190</v>
      </c>
      <c r="EM41" s="331" t="s">
        <v>428</v>
      </c>
      <c r="EN41" s="331" t="s">
        <v>190</v>
      </c>
      <c r="EO41" s="331" t="s">
        <v>190</v>
      </c>
      <c r="EP41" s="331" t="s">
        <v>190</v>
      </c>
      <c r="EQ41" s="331" t="s">
        <v>190</v>
      </c>
      <c r="ER41" s="331" t="s">
        <v>190</v>
      </c>
      <c r="ES41" s="331" t="s">
        <v>191</v>
      </c>
      <c r="ET41" s="331" t="s">
        <v>191</v>
      </c>
      <c r="EU41" s="331" t="s">
        <v>190</v>
      </c>
      <c r="EV41" s="331" t="s">
        <v>191</v>
      </c>
      <c r="EW41" s="331" t="s">
        <v>191</v>
      </c>
      <c r="EX41" s="331" t="s">
        <v>191</v>
      </c>
      <c r="EY41" s="331" t="s">
        <v>191</v>
      </c>
      <c r="EZ41" s="331" t="s">
        <v>428</v>
      </c>
      <c r="FA41" s="331" t="s">
        <v>428</v>
      </c>
      <c r="FB41" s="331" t="s">
        <v>191</v>
      </c>
      <c r="FC41" s="331" t="s">
        <v>190</v>
      </c>
      <c r="FD41" s="331" t="s">
        <v>190</v>
      </c>
      <c r="FE41" s="331" t="s">
        <v>190</v>
      </c>
      <c r="FF41" s="331" t="s">
        <v>190</v>
      </c>
      <c r="FG41" s="331" t="s">
        <v>191</v>
      </c>
      <c r="FH41" s="331" t="s">
        <v>190</v>
      </c>
      <c r="FI41" s="331" t="s">
        <v>191</v>
      </c>
      <c r="FJ41" s="331" t="s">
        <v>190</v>
      </c>
      <c r="FK41" s="331" t="s">
        <v>191</v>
      </c>
      <c r="FL41" s="331" t="s">
        <v>190</v>
      </c>
      <c r="FM41" s="331" t="s">
        <v>190</v>
      </c>
      <c r="FN41" s="331" t="s">
        <v>190</v>
      </c>
      <c r="FO41" s="331" t="s">
        <v>191</v>
      </c>
      <c r="FP41" s="331" t="s">
        <v>191</v>
      </c>
      <c r="FQ41" s="331" t="s">
        <v>191</v>
      </c>
      <c r="FR41" s="331" t="s">
        <v>428</v>
      </c>
      <c r="FS41" s="331" t="s">
        <v>190</v>
      </c>
      <c r="FT41" s="331" t="s">
        <v>190</v>
      </c>
      <c r="FU41" s="331" t="s">
        <v>190</v>
      </c>
      <c r="FV41" s="331" t="s">
        <v>190</v>
      </c>
      <c r="FW41" s="331" t="s">
        <v>428</v>
      </c>
      <c r="FX41" s="331" t="s">
        <v>428</v>
      </c>
      <c r="FY41" s="331" t="s">
        <v>190</v>
      </c>
      <c r="FZ41" s="331" t="s">
        <v>190</v>
      </c>
      <c r="GA41" s="331" t="s">
        <v>190</v>
      </c>
      <c r="GB41" s="331" t="s">
        <v>190</v>
      </c>
      <c r="GC41" s="331" t="s">
        <v>190</v>
      </c>
      <c r="GD41" s="331" t="s">
        <v>190</v>
      </c>
      <c r="GE41" s="331" t="s">
        <v>190</v>
      </c>
      <c r="GF41" s="331" t="s">
        <v>190</v>
      </c>
      <c r="GG41" s="331" t="s">
        <v>190</v>
      </c>
      <c r="GH41" s="331" t="s">
        <v>428</v>
      </c>
      <c r="GI41" s="331" t="s">
        <v>190</v>
      </c>
      <c r="GJ41" s="331" t="s">
        <v>190</v>
      </c>
      <c r="GK41" s="331" t="s">
        <v>190</v>
      </c>
      <c r="GL41" s="331" t="s">
        <v>190</v>
      </c>
      <c r="GM41" s="331" t="s">
        <v>190</v>
      </c>
      <c r="GN41" s="331" t="s">
        <v>190</v>
      </c>
      <c r="GO41" s="331" t="s">
        <v>190</v>
      </c>
      <c r="GP41" s="331" t="s">
        <v>190</v>
      </c>
      <c r="GQ41" s="331" t="s">
        <v>190</v>
      </c>
      <c r="GR41" s="331" t="s">
        <v>190</v>
      </c>
      <c r="GS41" s="331" t="s">
        <v>428</v>
      </c>
      <c r="GT41" s="331" t="s">
        <v>428</v>
      </c>
      <c r="GU41" s="331" t="s">
        <v>428</v>
      </c>
      <c r="GV41" s="331" t="s">
        <v>428</v>
      </c>
      <c r="GW41" s="331" t="s">
        <v>190</v>
      </c>
      <c r="GX41" s="331" t="s">
        <v>190</v>
      </c>
      <c r="GY41" s="331" t="s">
        <v>190</v>
      </c>
      <c r="GZ41" s="331" t="s">
        <v>190</v>
      </c>
      <c r="HA41" s="331" t="s">
        <v>190</v>
      </c>
      <c r="HB41" s="331" t="s">
        <v>190</v>
      </c>
      <c r="HC41" s="331" t="s">
        <v>190</v>
      </c>
      <c r="HD41" s="331" t="s">
        <v>190</v>
      </c>
      <c r="HE41" s="331" t="s">
        <v>190</v>
      </c>
      <c r="HF41" s="331" t="s">
        <v>190</v>
      </c>
      <c r="HG41" s="331" t="s">
        <v>190</v>
      </c>
      <c r="HH41" s="331" t="s">
        <v>190</v>
      </c>
      <c r="HI41" s="331" t="s">
        <v>190</v>
      </c>
      <c r="HJ41" s="331" t="s">
        <v>190</v>
      </c>
      <c r="HK41" s="331" t="s">
        <v>190</v>
      </c>
      <c r="HL41" s="331" t="s">
        <v>190</v>
      </c>
      <c r="HM41" s="331" t="s">
        <v>191</v>
      </c>
      <c r="HN41" s="331" t="s">
        <v>191</v>
      </c>
      <c r="HO41" s="331" t="s">
        <v>191</v>
      </c>
      <c r="HP41" s="331" t="s">
        <v>191</v>
      </c>
      <c r="HQ41" s="331" t="s">
        <v>170</v>
      </c>
      <c r="HR41" s="331" t="s">
        <v>429</v>
      </c>
      <c r="HS41" s="331" t="s">
        <v>169</v>
      </c>
      <c r="HT41" s="331" t="s">
        <v>447</v>
      </c>
      <c r="HU41" s="331" t="s">
        <v>191</v>
      </c>
      <c r="HV41" s="331" t="s">
        <v>191</v>
      </c>
    </row>
    <row r="42" spans="1:230" s="70" customFormat="1" x14ac:dyDescent="0.25">
      <c r="A42" s="330" t="str">
        <f>HYPERLINK("http://www.ofsted.gov.uk/inspection-reports/find-inspection-report/provider/ELS/143106 ","Ofsted School Webpage")</f>
        <v>Ofsted School Webpage</v>
      </c>
      <c r="B42" s="331">
        <v>143106</v>
      </c>
      <c r="C42" s="331">
        <v>8856045</v>
      </c>
      <c r="D42" s="331" t="s">
        <v>2395</v>
      </c>
      <c r="E42" s="331" t="s">
        <v>168</v>
      </c>
      <c r="F42" s="331" t="s">
        <v>437</v>
      </c>
      <c r="G42" s="331" t="s">
        <v>437</v>
      </c>
      <c r="H42" s="331" t="s">
        <v>483</v>
      </c>
      <c r="I42" s="331" t="s">
        <v>2396</v>
      </c>
      <c r="J42" s="331" t="s">
        <v>81</v>
      </c>
      <c r="K42" s="331" t="s">
        <v>81</v>
      </c>
      <c r="L42" s="331" t="s">
        <v>81</v>
      </c>
      <c r="M42" s="331" t="s">
        <v>78</v>
      </c>
      <c r="N42" s="331" t="s">
        <v>424</v>
      </c>
      <c r="O42" s="331">
        <v>10123795</v>
      </c>
      <c r="P42" s="332">
        <v>43732</v>
      </c>
      <c r="Q42" s="332">
        <v>43732</v>
      </c>
      <c r="R42" s="332">
        <v>43761</v>
      </c>
      <c r="S42" s="331" t="s">
        <v>997</v>
      </c>
      <c r="T42" s="331" t="s">
        <v>982</v>
      </c>
      <c r="U42" s="331" t="s">
        <v>427</v>
      </c>
      <c r="V42" s="331" t="s">
        <v>165</v>
      </c>
      <c r="W42" s="331" t="s">
        <v>984</v>
      </c>
      <c r="X42" s="331" t="s">
        <v>984</v>
      </c>
      <c r="Y42" s="331" t="s">
        <v>984</v>
      </c>
      <c r="Z42" s="331" t="s">
        <v>984</v>
      </c>
      <c r="AA42" s="331" t="s">
        <v>984</v>
      </c>
      <c r="AB42" s="331" t="s">
        <v>984</v>
      </c>
      <c r="AC42" s="331" t="s">
        <v>984</v>
      </c>
      <c r="AD42" s="331" t="s">
        <v>984</v>
      </c>
      <c r="AE42" s="331" t="s">
        <v>984</v>
      </c>
      <c r="AF42" s="331" t="s">
        <v>984</v>
      </c>
      <c r="AG42" s="331" t="s">
        <v>984</v>
      </c>
      <c r="AH42" s="331" t="s">
        <v>984</v>
      </c>
      <c r="AI42" s="331" t="s">
        <v>984</v>
      </c>
      <c r="AJ42" s="331" t="s">
        <v>984</v>
      </c>
      <c r="AK42" s="331" t="s">
        <v>984</v>
      </c>
      <c r="AL42" s="331" t="s">
        <v>984</v>
      </c>
      <c r="AM42" s="331" t="s">
        <v>984</v>
      </c>
      <c r="AN42" s="331" t="s">
        <v>984</v>
      </c>
      <c r="AO42" s="331" t="s">
        <v>984</v>
      </c>
      <c r="AP42" s="331" t="s">
        <v>984</v>
      </c>
      <c r="AQ42" s="331" t="s">
        <v>190</v>
      </c>
      <c r="AR42" s="331" t="s">
        <v>190</v>
      </c>
      <c r="AS42" s="331" t="s">
        <v>190</v>
      </c>
      <c r="AT42" s="331" t="s">
        <v>190</v>
      </c>
      <c r="AU42" s="331" t="s">
        <v>190</v>
      </c>
      <c r="AV42" s="331" t="s">
        <v>190</v>
      </c>
      <c r="AW42" s="331" t="s">
        <v>190</v>
      </c>
      <c r="AX42" s="331" t="s">
        <v>190</v>
      </c>
      <c r="AY42" s="331" t="s">
        <v>190</v>
      </c>
      <c r="AZ42" s="331" t="s">
        <v>190</v>
      </c>
      <c r="BA42" s="331" t="s">
        <v>190</v>
      </c>
      <c r="BB42" s="331" t="s">
        <v>984</v>
      </c>
      <c r="BC42" s="331" t="s">
        <v>984</v>
      </c>
      <c r="BD42" s="331" t="s">
        <v>984</v>
      </c>
      <c r="BE42" s="331" t="s">
        <v>984</v>
      </c>
      <c r="BF42" s="331" t="s">
        <v>984</v>
      </c>
      <c r="BG42" s="331" t="s">
        <v>984</v>
      </c>
      <c r="BH42" s="331" t="s">
        <v>984</v>
      </c>
      <c r="BI42" s="331" t="s">
        <v>984</v>
      </c>
      <c r="BJ42" s="331" t="s">
        <v>984</v>
      </c>
      <c r="BK42" s="331" t="s">
        <v>984</v>
      </c>
      <c r="BL42" s="331" t="s">
        <v>984</v>
      </c>
      <c r="BM42" s="331" t="s">
        <v>984</v>
      </c>
      <c r="BN42" s="331" t="s">
        <v>984</v>
      </c>
      <c r="BO42" s="331" t="s">
        <v>984</v>
      </c>
      <c r="BP42" s="331" t="s">
        <v>984</v>
      </c>
      <c r="BQ42" s="331" t="s">
        <v>984</v>
      </c>
      <c r="BR42" s="331" t="s">
        <v>190</v>
      </c>
      <c r="BS42" s="331" t="s">
        <v>190</v>
      </c>
      <c r="BT42" s="331" t="s">
        <v>190</v>
      </c>
      <c r="BU42" s="331" t="s">
        <v>428</v>
      </c>
      <c r="BV42" s="331" t="s">
        <v>428</v>
      </c>
      <c r="BW42" s="331" t="s">
        <v>428</v>
      </c>
      <c r="BX42" s="331" t="s">
        <v>984</v>
      </c>
      <c r="BY42" s="331" t="s">
        <v>984</v>
      </c>
      <c r="BZ42" s="331" t="s">
        <v>984</v>
      </c>
      <c r="CA42" s="331" t="s">
        <v>984</v>
      </c>
      <c r="CB42" s="331" t="s">
        <v>984</v>
      </c>
      <c r="CC42" s="331" t="s">
        <v>190</v>
      </c>
      <c r="CD42" s="331" t="s">
        <v>984</v>
      </c>
      <c r="CE42" s="331" t="s">
        <v>984</v>
      </c>
      <c r="CF42" s="331" t="s">
        <v>190</v>
      </c>
      <c r="CG42" s="331" t="s">
        <v>984</v>
      </c>
      <c r="CH42" s="331" t="s">
        <v>190</v>
      </c>
      <c r="CI42" s="331" t="s">
        <v>190</v>
      </c>
      <c r="CJ42" s="331" t="s">
        <v>190</v>
      </c>
      <c r="CK42" s="331" t="s">
        <v>190</v>
      </c>
      <c r="CL42" s="331" t="s">
        <v>190</v>
      </c>
      <c r="CM42" s="331" t="s">
        <v>190</v>
      </c>
      <c r="CN42" s="331" t="s">
        <v>190</v>
      </c>
      <c r="CO42" s="331" t="s">
        <v>190</v>
      </c>
      <c r="CP42" s="331" t="s">
        <v>190</v>
      </c>
      <c r="CQ42" s="331" t="s">
        <v>190</v>
      </c>
      <c r="CR42" s="331" t="s">
        <v>190</v>
      </c>
      <c r="CS42" s="331" t="s">
        <v>190</v>
      </c>
      <c r="CT42" s="331" t="s">
        <v>190</v>
      </c>
      <c r="CU42" s="331" t="s">
        <v>428</v>
      </c>
      <c r="CV42" s="331" t="s">
        <v>190</v>
      </c>
      <c r="CW42" s="331" t="s">
        <v>190</v>
      </c>
      <c r="CX42" s="331" t="s">
        <v>190</v>
      </c>
      <c r="CY42" s="331" t="s">
        <v>190</v>
      </c>
      <c r="CZ42" s="331" t="s">
        <v>190</v>
      </c>
      <c r="DA42" s="331" t="s">
        <v>190</v>
      </c>
      <c r="DB42" s="331" t="s">
        <v>190</v>
      </c>
      <c r="DC42" s="331" t="s">
        <v>190</v>
      </c>
      <c r="DD42" s="331" t="s">
        <v>190</v>
      </c>
      <c r="DE42" s="331" t="s">
        <v>190</v>
      </c>
      <c r="DF42" s="331" t="s">
        <v>190</v>
      </c>
      <c r="DG42" s="331" t="s">
        <v>190</v>
      </c>
      <c r="DH42" s="331" t="s">
        <v>190</v>
      </c>
      <c r="DI42" s="331" t="s">
        <v>190</v>
      </c>
      <c r="DJ42" s="331" t="s">
        <v>428</v>
      </c>
      <c r="DK42" s="331" t="s">
        <v>190</v>
      </c>
      <c r="DL42" s="331" t="s">
        <v>984</v>
      </c>
      <c r="DM42" s="331" t="s">
        <v>984</v>
      </c>
      <c r="DN42" s="331" t="s">
        <v>984</v>
      </c>
      <c r="DO42" s="331" t="s">
        <v>984</v>
      </c>
      <c r="DP42" s="331" t="s">
        <v>984</v>
      </c>
      <c r="DQ42" s="331" t="s">
        <v>984</v>
      </c>
      <c r="DR42" s="331" t="s">
        <v>984</v>
      </c>
      <c r="DS42" s="331" t="s">
        <v>984</v>
      </c>
      <c r="DT42" s="331" t="s">
        <v>984</v>
      </c>
      <c r="DU42" s="331" t="s">
        <v>984</v>
      </c>
      <c r="DV42" s="331" t="s">
        <v>984</v>
      </c>
      <c r="DW42" s="331" t="s">
        <v>984</v>
      </c>
      <c r="DX42" s="331" t="s">
        <v>984</v>
      </c>
      <c r="DY42" s="331" t="s">
        <v>984</v>
      </c>
      <c r="DZ42" s="331" t="s">
        <v>984</v>
      </c>
      <c r="EA42" s="331" t="s">
        <v>984</v>
      </c>
      <c r="EB42" s="331" t="s">
        <v>984</v>
      </c>
      <c r="EC42" s="331" t="s">
        <v>984</v>
      </c>
      <c r="ED42" s="331" t="s">
        <v>984</v>
      </c>
      <c r="EE42" s="331" t="s">
        <v>984</v>
      </c>
      <c r="EF42" s="331" t="s">
        <v>984</v>
      </c>
      <c r="EG42" s="331" t="s">
        <v>984</v>
      </c>
      <c r="EH42" s="331" t="s">
        <v>984</v>
      </c>
      <c r="EI42" s="331" t="s">
        <v>984</v>
      </c>
      <c r="EJ42" s="331" t="s">
        <v>984</v>
      </c>
      <c r="EK42" s="331" t="s">
        <v>984</v>
      </c>
      <c r="EL42" s="331" t="s">
        <v>984</v>
      </c>
      <c r="EM42" s="331" t="s">
        <v>984</v>
      </c>
      <c r="EN42" s="331" t="s">
        <v>984</v>
      </c>
      <c r="EO42" s="331" t="s">
        <v>984</v>
      </c>
      <c r="EP42" s="331" t="s">
        <v>984</v>
      </c>
      <c r="EQ42" s="331" t="s">
        <v>984</v>
      </c>
      <c r="ER42" s="331" t="s">
        <v>984</v>
      </c>
      <c r="ES42" s="331" t="s">
        <v>190</v>
      </c>
      <c r="ET42" s="331" t="s">
        <v>190</v>
      </c>
      <c r="EU42" s="331" t="s">
        <v>190</v>
      </c>
      <c r="EV42" s="331" t="s">
        <v>190</v>
      </c>
      <c r="EW42" s="331" t="s">
        <v>984</v>
      </c>
      <c r="EX42" s="331" t="s">
        <v>984</v>
      </c>
      <c r="EY42" s="331" t="s">
        <v>984</v>
      </c>
      <c r="EZ42" s="331" t="s">
        <v>984</v>
      </c>
      <c r="FA42" s="331" t="s">
        <v>984</v>
      </c>
      <c r="FB42" s="331" t="s">
        <v>190</v>
      </c>
      <c r="FC42" s="331" t="s">
        <v>984</v>
      </c>
      <c r="FD42" s="331" t="s">
        <v>190</v>
      </c>
      <c r="FE42" s="331" t="s">
        <v>190</v>
      </c>
      <c r="FF42" s="331" t="s">
        <v>190</v>
      </c>
      <c r="FG42" s="331" t="s">
        <v>190</v>
      </c>
      <c r="FH42" s="331" t="s">
        <v>190</v>
      </c>
      <c r="FI42" s="331" t="s">
        <v>190</v>
      </c>
      <c r="FJ42" s="331" t="s">
        <v>190</v>
      </c>
      <c r="FK42" s="331" t="s">
        <v>190</v>
      </c>
      <c r="FL42" s="331" t="s">
        <v>190</v>
      </c>
      <c r="FM42" s="331" t="s">
        <v>190</v>
      </c>
      <c r="FN42" s="331" t="s">
        <v>190</v>
      </c>
      <c r="FO42" s="331" t="s">
        <v>190</v>
      </c>
      <c r="FP42" s="331" t="s">
        <v>190</v>
      </c>
      <c r="FQ42" s="331" t="s">
        <v>190</v>
      </c>
      <c r="FR42" s="331" t="s">
        <v>428</v>
      </c>
      <c r="FS42" s="331" t="s">
        <v>190</v>
      </c>
      <c r="FT42" s="331" t="s">
        <v>984</v>
      </c>
      <c r="FU42" s="331" t="s">
        <v>984</v>
      </c>
      <c r="FV42" s="331" t="s">
        <v>190</v>
      </c>
      <c r="FW42" s="331" t="s">
        <v>984</v>
      </c>
      <c r="FX42" s="331" t="s">
        <v>984</v>
      </c>
      <c r="FY42" s="331" t="s">
        <v>984</v>
      </c>
      <c r="FZ42" s="331" t="s">
        <v>984</v>
      </c>
      <c r="GA42" s="331" t="s">
        <v>984</v>
      </c>
      <c r="GB42" s="331" t="s">
        <v>984</v>
      </c>
      <c r="GC42" s="331" t="s">
        <v>984</v>
      </c>
      <c r="GD42" s="331" t="s">
        <v>984</v>
      </c>
      <c r="GE42" s="331" t="s">
        <v>984</v>
      </c>
      <c r="GF42" s="331" t="s">
        <v>984</v>
      </c>
      <c r="GG42" s="331" t="s">
        <v>984</v>
      </c>
      <c r="GH42" s="331" t="s">
        <v>984</v>
      </c>
      <c r="GI42" s="331" t="s">
        <v>984</v>
      </c>
      <c r="GJ42" s="331" t="s">
        <v>984</v>
      </c>
      <c r="GK42" s="331" t="s">
        <v>984</v>
      </c>
      <c r="GL42" s="331" t="s">
        <v>984</v>
      </c>
      <c r="GM42" s="331" t="s">
        <v>984</v>
      </c>
      <c r="GN42" s="331" t="s">
        <v>984</v>
      </c>
      <c r="GO42" s="331" t="s">
        <v>984</v>
      </c>
      <c r="GP42" s="331" t="s">
        <v>984</v>
      </c>
      <c r="GQ42" s="331" t="s">
        <v>984</v>
      </c>
      <c r="GR42" s="331" t="s">
        <v>984</v>
      </c>
      <c r="GS42" s="331" t="s">
        <v>984</v>
      </c>
      <c r="GT42" s="331" t="s">
        <v>984</v>
      </c>
      <c r="GU42" s="331" t="s">
        <v>984</v>
      </c>
      <c r="GV42" s="331" t="s">
        <v>984</v>
      </c>
      <c r="GW42" s="331" t="s">
        <v>984</v>
      </c>
      <c r="GX42" s="331" t="s">
        <v>984</v>
      </c>
      <c r="GY42" s="331" t="s">
        <v>984</v>
      </c>
      <c r="GZ42" s="331" t="s">
        <v>984</v>
      </c>
      <c r="HA42" s="331" t="s">
        <v>984</v>
      </c>
      <c r="HB42" s="331" t="s">
        <v>984</v>
      </c>
      <c r="HC42" s="331" t="s">
        <v>984</v>
      </c>
      <c r="HD42" s="331" t="s">
        <v>984</v>
      </c>
      <c r="HE42" s="331" t="s">
        <v>984</v>
      </c>
      <c r="HF42" s="331" t="s">
        <v>984</v>
      </c>
      <c r="HG42" s="331" t="s">
        <v>984</v>
      </c>
      <c r="HH42" s="331" t="s">
        <v>984</v>
      </c>
      <c r="HI42" s="331" t="s">
        <v>984</v>
      </c>
      <c r="HJ42" s="331" t="s">
        <v>984</v>
      </c>
      <c r="HK42" s="331" t="s">
        <v>984</v>
      </c>
      <c r="HL42" s="331" t="s">
        <v>984</v>
      </c>
      <c r="HM42" s="331" t="s">
        <v>190</v>
      </c>
      <c r="HN42" s="331" t="s">
        <v>190</v>
      </c>
      <c r="HO42" s="331" t="s">
        <v>190</v>
      </c>
      <c r="HP42" s="331" t="s">
        <v>190</v>
      </c>
      <c r="HQ42" s="331" t="s">
        <v>170</v>
      </c>
      <c r="HR42" s="331" t="s">
        <v>429</v>
      </c>
      <c r="HS42" s="331" t="s">
        <v>169</v>
      </c>
      <c r="HT42" s="331" t="s">
        <v>427</v>
      </c>
      <c r="HU42" s="331" t="s">
        <v>428</v>
      </c>
      <c r="HV42" s="331" t="s">
        <v>428</v>
      </c>
    </row>
    <row r="43" spans="1:230" s="70" customFormat="1" x14ac:dyDescent="0.25">
      <c r="A43" s="330" t="str">
        <f>HYPERLINK("http://www.ofsted.gov.uk/inspection-reports/find-inspection-report/provider/ELS/145231 ","Ofsted School Webpage")</f>
        <v>Ofsted School Webpage</v>
      </c>
      <c r="B43" s="331">
        <v>145231</v>
      </c>
      <c r="C43" s="331">
        <v>8876011</v>
      </c>
      <c r="D43" s="331" t="s">
        <v>2712</v>
      </c>
      <c r="E43" s="331" t="s">
        <v>168</v>
      </c>
      <c r="F43" s="331" t="s">
        <v>514</v>
      </c>
      <c r="G43" s="331" t="s">
        <v>514</v>
      </c>
      <c r="H43" s="331" t="s">
        <v>704</v>
      </c>
      <c r="I43" s="331" t="s">
        <v>705</v>
      </c>
      <c r="J43" s="331" t="s">
        <v>81</v>
      </c>
      <c r="K43" s="331" t="s">
        <v>81</v>
      </c>
      <c r="L43" s="331" t="s">
        <v>81</v>
      </c>
      <c r="M43" s="331" t="s">
        <v>78</v>
      </c>
      <c r="N43" s="331" t="s">
        <v>424</v>
      </c>
      <c r="O43" s="331">
        <v>10114608</v>
      </c>
      <c r="P43" s="332">
        <v>43732</v>
      </c>
      <c r="Q43" s="332">
        <v>43732</v>
      </c>
      <c r="R43" s="332">
        <v>43753</v>
      </c>
      <c r="S43" s="331" t="s">
        <v>985</v>
      </c>
      <c r="T43" s="331" t="s">
        <v>982</v>
      </c>
      <c r="U43" s="331" t="s">
        <v>427</v>
      </c>
      <c r="V43" s="331" t="s">
        <v>165</v>
      </c>
      <c r="W43" s="331" t="s">
        <v>190</v>
      </c>
      <c r="X43" s="331" t="s">
        <v>190</v>
      </c>
      <c r="Y43" s="331" t="s">
        <v>190</v>
      </c>
      <c r="Z43" s="331" t="s">
        <v>190</v>
      </c>
      <c r="AA43" s="331" t="s">
        <v>984</v>
      </c>
      <c r="AB43" s="331" t="s">
        <v>190</v>
      </c>
      <c r="AC43" s="331" t="s">
        <v>190</v>
      </c>
      <c r="AD43" s="331" t="s">
        <v>190</v>
      </c>
      <c r="AE43" s="331" t="s">
        <v>428</v>
      </c>
      <c r="AF43" s="331" t="s">
        <v>190</v>
      </c>
      <c r="AG43" s="331" t="s">
        <v>190</v>
      </c>
      <c r="AH43" s="331" t="s">
        <v>984</v>
      </c>
      <c r="AI43" s="331" t="s">
        <v>190</v>
      </c>
      <c r="AJ43" s="331" t="s">
        <v>190</v>
      </c>
      <c r="AK43" s="331" t="s">
        <v>190</v>
      </c>
      <c r="AL43" s="331" t="s">
        <v>190</v>
      </c>
      <c r="AM43" s="331" t="s">
        <v>428</v>
      </c>
      <c r="AN43" s="331" t="s">
        <v>190</v>
      </c>
      <c r="AO43" s="331" t="s">
        <v>190</v>
      </c>
      <c r="AP43" s="331" t="s">
        <v>190</v>
      </c>
      <c r="AQ43" s="331" t="s">
        <v>190</v>
      </c>
      <c r="AR43" s="331" t="s">
        <v>190</v>
      </c>
      <c r="AS43" s="331" t="s">
        <v>190</v>
      </c>
      <c r="AT43" s="331" t="s">
        <v>190</v>
      </c>
      <c r="AU43" s="331" t="s">
        <v>190</v>
      </c>
      <c r="AV43" s="331" t="s">
        <v>190</v>
      </c>
      <c r="AW43" s="331" t="s">
        <v>190</v>
      </c>
      <c r="AX43" s="331" t="s">
        <v>190</v>
      </c>
      <c r="AY43" s="331" t="s">
        <v>984</v>
      </c>
      <c r="AZ43" s="331" t="s">
        <v>984</v>
      </c>
      <c r="BA43" s="331" t="s">
        <v>984</v>
      </c>
      <c r="BB43" s="331" t="s">
        <v>190</v>
      </c>
      <c r="BC43" s="331" t="s">
        <v>190</v>
      </c>
      <c r="BD43" s="331" t="s">
        <v>190</v>
      </c>
      <c r="BE43" s="331" t="s">
        <v>190</v>
      </c>
      <c r="BF43" s="331" t="s">
        <v>190</v>
      </c>
      <c r="BG43" s="331" t="s">
        <v>190</v>
      </c>
      <c r="BH43" s="331" t="s">
        <v>190</v>
      </c>
      <c r="BI43" s="331" t="s">
        <v>190</v>
      </c>
      <c r="BJ43" s="331" t="s">
        <v>190</v>
      </c>
      <c r="BK43" s="331" t="s">
        <v>190</v>
      </c>
      <c r="BL43" s="331" t="s">
        <v>190</v>
      </c>
      <c r="BM43" s="331" t="s">
        <v>984</v>
      </c>
      <c r="BN43" s="331" t="s">
        <v>984</v>
      </c>
      <c r="BO43" s="331" t="s">
        <v>984</v>
      </c>
      <c r="BP43" s="331" t="s">
        <v>984</v>
      </c>
      <c r="BQ43" s="331" t="s">
        <v>984</v>
      </c>
      <c r="BR43" s="331" t="s">
        <v>190</v>
      </c>
      <c r="BS43" s="331" t="s">
        <v>190</v>
      </c>
      <c r="BT43" s="331" t="s">
        <v>190</v>
      </c>
      <c r="BU43" s="331" t="s">
        <v>428</v>
      </c>
      <c r="BV43" s="331" t="s">
        <v>428</v>
      </c>
      <c r="BW43" s="331" t="s">
        <v>428</v>
      </c>
      <c r="BX43" s="331" t="s">
        <v>190</v>
      </c>
      <c r="BY43" s="331" t="s">
        <v>190</v>
      </c>
      <c r="BZ43" s="331" t="s">
        <v>190</v>
      </c>
      <c r="CA43" s="331" t="s">
        <v>190</v>
      </c>
      <c r="CB43" s="331" t="s">
        <v>984</v>
      </c>
      <c r="CC43" s="331" t="s">
        <v>190</v>
      </c>
      <c r="CD43" s="331" t="s">
        <v>190</v>
      </c>
      <c r="CE43" s="331" t="s">
        <v>984</v>
      </c>
      <c r="CF43" s="331" t="s">
        <v>984</v>
      </c>
      <c r="CG43" s="331" t="s">
        <v>190</v>
      </c>
      <c r="CH43" s="331" t="s">
        <v>190</v>
      </c>
      <c r="CI43" s="331" t="s">
        <v>190</v>
      </c>
      <c r="CJ43" s="331" t="s">
        <v>190</v>
      </c>
      <c r="CK43" s="331" t="s">
        <v>190</v>
      </c>
      <c r="CL43" s="331" t="s">
        <v>984</v>
      </c>
      <c r="CM43" s="331" t="s">
        <v>190</v>
      </c>
      <c r="CN43" s="331" t="s">
        <v>190</v>
      </c>
      <c r="CO43" s="331" t="s">
        <v>190</v>
      </c>
      <c r="CP43" s="331" t="s">
        <v>984</v>
      </c>
      <c r="CQ43" s="331" t="s">
        <v>984</v>
      </c>
      <c r="CR43" s="331" t="s">
        <v>984</v>
      </c>
      <c r="CS43" s="331" t="s">
        <v>984</v>
      </c>
      <c r="CT43" s="331" t="s">
        <v>984</v>
      </c>
      <c r="CU43" s="331" t="s">
        <v>428</v>
      </c>
      <c r="CV43" s="331" t="s">
        <v>190</v>
      </c>
      <c r="CW43" s="331" t="s">
        <v>984</v>
      </c>
      <c r="CX43" s="331" t="s">
        <v>984</v>
      </c>
      <c r="CY43" s="331" t="s">
        <v>984</v>
      </c>
      <c r="CZ43" s="331" t="s">
        <v>984</v>
      </c>
      <c r="DA43" s="331" t="s">
        <v>984</v>
      </c>
      <c r="DB43" s="331" t="s">
        <v>984</v>
      </c>
      <c r="DC43" s="331" t="s">
        <v>984</v>
      </c>
      <c r="DD43" s="331" t="s">
        <v>984</v>
      </c>
      <c r="DE43" s="331" t="s">
        <v>984</v>
      </c>
      <c r="DF43" s="331" t="s">
        <v>984</v>
      </c>
      <c r="DG43" s="331" t="s">
        <v>984</v>
      </c>
      <c r="DH43" s="331" t="s">
        <v>984</v>
      </c>
      <c r="DI43" s="331" t="s">
        <v>984</v>
      </c>
      <c r="DJ43" s="331" t="s">
        <v>428</v>
      </c>
      <c r="DK43" s="331" t="s">
        <v>984</v>
      </c>
      <c r="DL43" s="331" t="s">
        <v>190</v>
      </c>
      <c r="DM43" s="331" t="s">
        <v>190</v>
      </c>
      <c r="DN43" s="331" t="s">
        <v>190</v>
      </c>
      <c r="DO43" s="331" t="s">
        <v>190</v>
      </c>
      <c r="DP43" s="331" t="s">
        <v>190</v>
      </c>
      <c r="DQ43" s="331" t="s">
        <v>190</v>
      </c>
      <c r="DR43" s="331" t="s">
        <v>190</v>
      </c>
      <c r="DS43" s="331" t="s">
        <v>984</v>
      </c>
      <c r="DT43" s="331" t="s">
        <v>984</v>
      </c>
      <c r="DU43" s="331" t="s">
        <v>190</v>
      </c>
      <c r="DV43" s="331" t="s">
        <v>984</v>
      </c>
      <c r="DW43" s="331" t="s">
        <v>190</v>
      </c>
      <c r="DX43" s="331" t="s">
        <v>190</v>
      </c>
      <c r="DY43" s="331" t="s">
        <v>190</v>
      </c>
      <c r="DZ43" s="331" t="s">
        <v>190</v>
      </c>
      <c r="EA43" s="331" t="s">
        <v>190</v>
      </c>
      <c r="EB43" s="331" t="s">
        <v>190</v>
      </c>
      <c r="EC43" s="331" t="s">
        <v>984</v>
      </c>
      <c r="ED43" s="331" t="s">
        <v>984</v>
      </c>
      <c r="EE43" s="331" t="s">
        <v>984</v>
      </c>
      <c r="EF43" s="331" t="s">
        <v>984</v>
      </c>
      <c r="EG43" s="331" t="s">
        <v>190</v>
      </c>
      <c r="EH43" s="331" t="s">
        <v>190</v>
      </c>
      <c r="EI43" s="331" t="s">
        <v>984</v>
      </c>
      <c r="EJ43" s="331" t="s">
        <v>984</v>
      </c>
      <c r="EK43" s="331" t="s">
        <v>984</v>
      </c>
      <c r="EL43" s="331" t="s">
        <v>984</v>
      </c>
      <c r="EM43" s="331" t="s">
        <v>984</v>
      </c>
      <c r="EN43" s="331" t="s">
        <v>984</v>
      </c>
      <c r="EO43" s="331" t="s">
        <v>984</v>
      </c>
      <c r="EP43" s="331" t="s">
        <v>984</v>
      </c>
      <c r="EQ43" s="331" t="s">
        <v>984</v>
      </c>
      <c r="ER43" s="331" t="s">
        <v>984</v>
      </c>
      <c r="ES43" s="331" t="s">
        <v>984</v>
      </c>
      <c r="ET43" s="331" t="s">
        <v>984</v>
      </c>
      <c r="EU43" s="331" t="s">
        <v>984</v>
      </c>
      <c r="EV43" s="331" t="s">
        <v>984</v>
      </c>
      <c r="EW43" s="331" t="s">
        <v>984</v>
      </c>
      <c r="EX43" s="331" t="s">
        <v>984</v>
      </c>
      <c r="EY43" s="331" t="s">
        <v>984</v>
      </c>
      <c r="EZ43" s="331" t="s">
        <v>428</v>
      </c>
      <c r="FA43" s="331" t="s">
        <v>984</v>
      </c>
      <c r="FB43" s="331" t="s">
        <v>190</v>
      </c>
      <c r="FC43" s="331" t="s">
        <v>984</v>
      </c>
      <c r="FD43" s="331" t="s">
        <v>984</v>
      </c>
      <c r="FE43" s="331" t="s">
        <v>984</v>
      </c>
      <c r="FF43" s="331" t="s">
        <v>984</v>
      </c>
      <c r="FG43" s="331" t="s">
        <v>190</v>
      </c>
      <c r="FH43" s="331" t="s">
        <v>984</v>
      </c>
      <c r="FI43" s="331" t="s">
        <v>984</v>
      </c>
      <c r="FJ43" s="331" t="s">
        <v>190</v>
      </c>
      <c r="FK43" s="331" t="s">
        <v>984</v>
      </c>
      <c r="FL43" s="331" t="s">
        <v>984</v>
      </c>
      <c r="FM43" s="331" t="s">
        <v>984</v>
      </c>
      <c r="FN43" s="331" t="s">
        <v>984</v>
      </c>
      <c r="FO43" s="331" t="s">
        <v>984</v>
      </c>
      <c r="FP43" s="331" t="s">
        <v>984</v>
      </c>
      <c r="FQ43" s="331" t="s">
        <v>984</v>
      </c>
      <c r="FR43" s="331" t="s">
        <v>428</v>
      </c>
      <c r="FS43" s="331" t="s">
        <v>190</v>
      </c>
      <c r="FT43" s="331" t="s">
        <v>190</v>
      </c>
      <c r="FU43" s="331" t="s">
        <v>190</v>
      </c>
      <c r="FV43" s="331" t="s">
        <v>190</v>
      </c>
      <c r="FW43" s="331" t="s">
        <v>984</v>
      </c>
      <c r="FX43" s="331" t="s">
        <v>428</v>
      </c>
      <c r="FY43" s="331" t="s">
        <v>984</v>
      </c>
      <c r="FZ43" s="331" t="s">
        <v>984</v>
      </c>
      <c r="GA43" s="331" t="s">
        <v>984</v>
      </c>
      <c r="GB43" s="331" t="s">
        <v>984</v>
      </c>
      <c r="GC43" s="331" t="s">
        <v>984</v>
      </c>
      <c r="GD43" s="331" t="s">
        <v>984</v>
      </c>
      <c r="GE43" s="331" t="s">
        <v>984</v>
      </c>
      <c r="GF43" s="331" t="s">
        <v>984</v>
      </c>
      <c r="GG43" s="331" t="s">
        <v>428</v>
      </c>
      <c r="GH43" s="331" t="s">
        <v>984</v>
      </c>
      <c r="GI43" s="331" t="s">
        <v>428</v>
      </c>
      <c r="GJ43" s="331" t="s">
        <v>984</v>
      </c>
      <c r="GK43" s="331" t="s">
        <v>190</v>
      </c>
      <c r="GL43" s="331" t="s">
        <v>190</v>
      </c>
      <c r="GM43" s="331" t="s">
        <v>984</v>
      </c>
      <c r="GN43" s="331" t="s">
        <v>190</v>
      </c>
      <c r="GO43" s="331" t="s">
        <v>190</v>
      </c>
      <c r="GP43" s="331" t="s">
        <v>984</v>
      </c>
      <c r="GQ43" s="331" t="s">
        <v>190</v>
      </c>
      <c r="GR43" s="331" t="s">
        <v>984</v>
      </c>
      <c r="GS43" s="331" t="s">
        <v>984</v>
      </c>
      <c r="GT43" s="331" t="s">
        <v>984</v>
      </c>
      <c r="GU43" s="331" t="s">
        <v>984</v>
      </c>
      <c r="GV43" s="331" t="s">
        <v>984</v>
      </c>
      <c r="GW43" s="331" t="s">
        <v>190</v>
      </c>
      <c r="GX43" s="331" t="s">
        <v>984</v>
      </c>
      <c r="GY43" s="331" t="s">
        <v>190</v>
      </c>
      <c r="GZ43" s="331" t="s">
        <v>984</v>
      </c>
      <c r="HA43" s="331" t="s">
        <v>984</v>
      </c>
      <c r="HB43" s="331" t="s">
        <v>984</v>
      </c>
      <c r="HC43" s="331" t="s">
        <v>190</v>
      </c>
      <c r="HD43" s="331" t="s">
        <v>190</v>
      </c>
      <c r="HE43" s="331" t="s">
        <v>190</v>
      </c>
      <c r="HF43" s="331" t="s">
        <v>190</v>
      </c>
      <c r="HG43" s="331" t="s">
        <v>190</v>
      </c>
      <c r="HH43" s="331" t="s">
        <v>190</v>
      </c>
      <c r="HI43" s="331" t="s">
        <v>190</v>
      </c>
      <c r="HJ43" s="331" t="s">
        <v>190</v>
      </c>
      <c r="HK43" s="331" t="s">
        <v>190</v>
      </c>
      <c r="HL43" s="331" t="s">
        <v>190</v>
      </c>
      <c r="HM43" s="331" t="s">
        <v>190</v>
      </c>
      <c r="HN43" s="331" t="s">
        <v>190</v>
      </c>
      <c r="HO43" s="331" t="s">
        <v>190</v>
      </c>
      <c r="HP43" s="331" t="s">
        <v>190</v>
      </c>
      <c r="HQ43" s="331" t="s">
        <v>170</v>
      </c>
      <c r="HR43" s="331" t="s">
        <v>429</v>
      </c>
      <c r="HS43" s="331" t="s">
        <v>169</v>
      </c>
      <c r="HT43" s="331" t="s">
        <v>427</v>
      </c>
      <c r="HU43" s="331" t="s">
        <v>428</v>
      </c>
      <c r="HV43" s="331" t="s">
        <v>428</v>
      </c>
    </row>
    <row r="44" spans="1:230" s="70" customFormat="1" x14ac:dyDescent="0.25">
      <c r="A44" s="330" t="str">
        <f>HYPERLINK("http://www.ofsted.gov.uk/inspection-reports/find-inspection-report/provider/ELS/120329 ","Ofsted School Webpage")</f>
        <v>Ofsted School Webpage</v>
      </c>
      <c r="B44" s="331">
        <v>120329</v>
      </c>
      <c r="C44" s="331">
        <v>8566003</v>
      </c>
      <c r="D44" s="331" t="s">
        <v>1510</v>
      </c>
      <c r="E44" s="331" t="s">
        <v>167</v>
      </c>
      <c r="F44" s="331" t="s">
        <v>506</v>
      </c>
      <c r="G44" s="331" t="s">
        <v>506</v>
      </c>
      <c r="H44" s="331" t="s">
        <v>521</v>
      </c>
      <c r="I44" s="331" t="s">
        <v>1511</v>
      </c>
      <c r="J44" s="331" t="s">
        <v>81</v>
      </c>
      <c r="K44" s="331" t="s">
        <v>81</v>
      </c>
      <c r="L44" s="331" t="s">
        <v>81</v>
      </c>
      <c r="M44" s="331" t="s">
        <v>78</v>
      </c>
      <c r="N44" s="331" t="s">
        <v>424</v>
      </c>
      <c r="O44" s="331">
        <v>10115442</v>
      </c>
      <c r="P44" s="332">
        <v>43733</v>
      </c>
      <c r="Q44" s="332">
        <v>43733</v>
      </c>
      <c r="R44" s="332">
        <v>43754</v>
      </c>
      <c r="S44" s="331" t="s">
        <v>985</v>
      </c>
      <c r="T44" s="331" t="s">
        <v>982</v>
      </c>
      <c r="U44" s="331" t="s">
        <v>427</v>
      </c>
      <c r="V44" s="331" t="s">
        <v>165</v>
      </c>
      <c r="W44" s="331" t="s">
        <v>190</v>
      </c>
      <c r="X44" s="331" t="s">
        <v>190</v>
      </c>
      <c r="Y44" s="331" t="s">
        <v>984</v>
      </c>
      <c r="Z44" s="331" t="s">
        <v>984</v>
      </c>
      <c r="AA44" s="331" t="s">
        <v>984</v>
      </c>
      <c r="AB44" s="331" t="s">
        <v>984</v>
      </c>
      <c r="AC44" s="331" t="s">
        <v>984</v>
      </c>
      <c r="AD44" s="331" t="s">
        <v>984</v>
      </c>
      <c r="AE44" s="331" t="s">
        <v>984</v>
      </c>
      <c r="AF44" s="331" t="s">
        <v>984</v>
      </c>
      <c r="AG44" s="331" t="s">
        <v>984</v>
      </c>
      <c r="AH44" s="331" t="s">
        <v>984</v>
      </c>
      <c r="AI44" s="331" t="s">
        <v>984</v>
      </c>
      <c r="AJ44" s="331" t="s">
        <v>984</v>
      </c>
      <c r="AK44" s="331" t="s">
        <v>984</v>
      </c>
      <c r="AL44" s="331" t="s">
        <v>984</v>
      </c>
      <c r="AM44" s="331" t="s">
        <v>984</v>
      </c>
      <c r="AN44" s="331" t="s">
        <v>984</v>
      </c>
      <c r="AO44" s="331" t="s">
        <v>984</v>
      </c>
      <c r="AP44" s="331" t="s">
        <v>984</v>
      </c>
      <c r="AQ44" s="331" t="s">
        <v>984</v>
      </c>
      <c r="AR44" s="331" t="s">
        <v>984</v>
      </c>
      <c r="AS44" s="331" t="s">
        <v>984</v>
      </c>
      <c r="AT44" s="331" t="s">
        <v>984</v>
      </c>
      <c r="AU44" s="331" t="s">
        <v>984</v>
      </c>
      <c r="AV44" s="331" t="s">
        <v>984</v>
      </c>
      <c r="AW44" s="331" t="s">
        <v>984</v>
      </c>
      <c r="AX44" s="331" t="s">
        <v>984</v>
      </c>
      <c r="AY44" s="331" t="s">
        <v>984</v>
      </c>
      <c r="AZ44" s="331" t="s">
        <v>984</v>
      </c>
      <c r="BA44" s="331" t="s">
        <v>984</v>
      </c>
      <c r="BB44" s="331" t="s">
        <v>984</v>
      </c>
      <c r="BC44" s="331" t="s">
        <v>984</v>
      </c>
      <c r="BD44" s="331" t="s">
        <v>984</v>
      </c>
      <c r="BE44" s="331" t="s">
        <v>984</v>
      </c>
      <c r="BF44" s="331" t="s">
        <v>984</v>
      </c>
      <c r="BG44" s="331" t="s">
        <v>984</v>
      </c>
      <c r="BH44" s="331" t="s">
        <v>984</v>
      </c>
      <c r="BI44" s="331" t="s">
        <v>984</v>
      </c>
      <c r="BJ44" s="331" t="s">
        <v>984</v>
      </c>
      <c r="BK44" s="331" t="s">
        <v>984</v>
      </c>
      <c r="BL44" s="331" t="s">
        <v>984</v>
      </c>
      <c r="BM44" s="331" t="s">
        <v>984</v>
      </c>
      <c r="BN44" s="331" t="s">
        <v>984</v>
      </c>
      <c r="BO44" s="331" t="s">
        <v>984</v>
      </c>
      <c r="BP44" s="331" t="s">
        <v>984</v>
      </c>
      <c r="BQ44" s="331" t="s">
        <v>984</v>
      </c>
      <c r="BR44" s="331" t="s">
        <v>984</v>
      </c>
      <c r="BS44" s="331" t="s">
        <v>984</v>
      </c>
      <c r="BT44" s="331" t="s">
        <v>984</v>
      </c>
      <c r="BU44" s="331" t="s">
        <v>984</v>
      </c>
      <c r="BV44" s="331" t="s">
        <v>984</v>
      </c>
      <c r="BW44" s="331" t="s">
        <v>984</v>
      </c>
      <c r="BX44" s="331" t="s">
        <v>984</v>
      </c>
      <c r="BY44" s="331" t="s">
        <v>984</v>
      </c>
      <c r="BZ44" s="331" t="s">
        <v>984</v>
      </c>
      <c r="CA44" s="331" t="s">
        <v>984</v>
      </c>
      <c r="CB44" s="331" t="s">
        <v>984</v>
      </c>
      <c r="CC44" s="331" t="s">
        <v>984</v>
      </c>
      <c r="CD44" s="331" t="s">
        <v>984</v>
      </c>
      <c r="CE44" s="331" t="s">
        <v>984</v>
      </c>
      <c r="CF44" s="331" t="s">
        <v>984</v>
      </c>
      <c r="CG44" s="331" t="s">
        <v>984</v>
      </c>
      <c r="CH44" s="331" t="s">
        <v>984</v>
      </c>
      <c r="CI44" s="331" t="s">
        <v>984</v>
      </c>
      <c r="CJ44" s="331" t="s">
        <v>984</v>
      </c>
      <c r="CK44" s="331" t="s">
        <v>984</v>
      </c>
      <c r="CL44" s="331" t="s">
        <v>984</v>
      </c>
      <c r="CM44" s="331" t="s">
        <v>984</v>
      </c>
      <c r="CN44" s="331" t="s">
        <v>984</v>
      </c>
      <c r="CO44" s="331" t="s">
        <v>984</v>
      </c>
      <c r="CP44" s="331" t="s">
        <v>984</v>
      </c>
      <c r="CQ44" s="331" t="s">
        <v>984</v>
      </c>
      <c r="CR44" s="331" t="s">
        <v>984</v>
      </c>
      <c r="CS44" s="331" t="s">
        <v>984</v>
      </c>
      <c r="CT44" s="331" t="s">
        <v>984</v>
      </c>
      <c r="CU44" s="331" t="s">
        <v>984</v>
      </c>
      <c r="CV44" s="331" t="s">
        <v>984</v>
      </c>
      <c r="CW44" s="331" t="s">
        <v>984</v>
      </c>
      <c r="CX44" s="331" t="s">
        <v>984</v>
      </c>
      <c r="CY44" s="331" t="s">
        <v>984</v>
      </c>
      <c r="CZ44" s="331" t="s">
        <v>984</v>
      </c>
      <c r="DA44" s="331" t="s">
        <v>984</v>
      </c>
      <c r="DB44" s="331" t="s">
        <v>984</v>
      </c>
      <c r="DC44" s="331" t="s">
        <v>984</v>
      </c>
      <c r="DD44" s="331" t="s">
        <v>984</v>
      </c>
      <c r="DE44" s="331" t="s">
        <v>984</v>
      </c>
      <c r="DF44" s="331" t="s">
        <v>984</v>
      </c>
      <c r="DG44" s="331" t="s">
        <v>984</v>
      </c>
      <c r="DH44" s="331" t="s">
        <v>984</v>
      </c>
      <c r="DI44" s="331" t="s">
        <v>984</v>
      </c>
      <c r="DJ44" s="331" t="s">
        <v>984</v>
      </c>
      <c r="DK44" s="331" t="s">
        <v>984</v>
      </c>
      <c r="DL44" s="331" t="s">
        <v>984</v>
      </c>
      <c r="DM44" s="331" t="s">
        <v>984</v>
      </c>
      <c r="DN44" s="331" t="s">
        <v>984</v>
      </c>
      <c r="DO44" s="331" t="s">
        <v>984</v>
      </c>
      <c r="DP44" s="331" t="s">
        <v>984</v>
      </c>
      <c r="DQ44" s="331" t="s">
        <v>984</v>
      </c>
      <c r="DR44" s="331" t="s">
        <v>984</v>
      </c>
      <c r="DS44" s="331" t="s">
        <v>984</v>
      </c>
      <c r="DT44" s="331" t="s">
        <v>984</v>
      </c>
      <c r="DU44" s="331" t="s">
        <v>984</v>
      </c>
      <c r="DV44" s="331" t="s">
        <v>984</v>
      </c>
      <c r="DW44" s="331" t="s">
        <v>984</v>
      </c>
      <c r="DX44" s="331" t="s">
        <v>984</v>
      </c>
      <c r="DY44" s="331" t="s">
        <v>984</v>
      </c>
      <c r="DZ44" s="331" t="s">
        <v>984</v>
      </c>
      <c r="EA44" s="331" t="s">
        <v>984</v>
      </c>
      <c r="EB44" s="331" t="s">
        <v>984</v>
      </c>
      <c r="EC44" s="331" t="s">
        <v>984</v>
      </c>
      <c r="ED44" s="331" t="s">
        <v>984</v>
      </c>
      <c r="EE44" s="331" t="s">
        <v>984</v>
      </c>
      <c r="EF44" s="331" t="s">
        <v>984</v>
      </c>
      <c r="EG44" s="331" t="s">
        <v>984</v>
      </c>
      <c r="EH44" s="331" t="s">
        <v>984</v>
      </c>
      <c r="EI44" s="331" t="s">
        <v>984</v>
      </c>
      <c r="EJ44" s="331" t="s">
        <v>984</v>
      </c>
      <c r="EK44" s="331" t="s">
        <v>984</v>
      </c>
      <c r="EL44" s="331" t="s">
        <v>984</v>
      </c>
      <c r="EM44" s="331" t="s">
        <v>984</v>
      </c>
      <c r="EN44" s="331" t="s">
        <v>984</v>
      </c>
      <c r="EO44" s="331" t="s">
        <v>984</v>
      </c>
      <c r="EP44" s="331" t="s">
        <v>984</v>
      </c>
      <c r="EQ44" s="331" t="s">
        <v>984</v>
      </c>
      <c r="ER44" s="331" t="s">
        <v>984</v>
      </c>
      <c r="ES44" s="331" t="s">
        <v>984</v>
      </c>
      <c r="ET44" s="331" t="s">
        <v>984</v>
      </c>
      <c r="EU44" s="331" t="s">
        <v>984</v>
      </c>
      <c r="EV44" s="331" t="s">
        <v>984</v>
      </c>
      <c r="EW44" s="331" t="s">
        <v>984</v>
      </c>
      <c r="EX44" s="331" t="s">
        <v>984</v>
      </c>
      <c r="EY44" s="331" t="s">
        <v>984</v>
      </c>
      <c r="EZ44" s="331" t="s">
        <v>984</v>
      </c>
      <c r="FA44" s="331" t="s">
        <v>984</v>
      </c>
      <c r="FB44" s="331" t="s">
        <v>984</v>
      </c>
      <c r="FC44" s="331" t="s">
        <v>984</v>
      </c>
      <c r="FD44" s="331" t="s">
        <v>984</v>
      </c>
      <c r="FE44" s="331" t="s">
        <v>984</v>
      </c>
      <c r="FF44" s="331" t="s">
        <v>984</v>
      </c>
      <c r="FG44" s="331" t="s">
        <v>984</v>
      </c>
      <c r="FH44" s="331" t="s">
        <v>984</v>
      </c>
      <c r="FI44" s="331" t="s">
        <v>984</v>
      </c>
      <c r="FJ44" s="331" t="s">
        <v>984</v>
      </c>
      <c r="FK44" s="331" t="s">
        <v>984</v>
      </c>
      <c r="FL44" s="331" t="s">
        <v>984</v>
      </c>
      <c r="FM44" s="331" t="s">
        <v>984</v>
      </c>
      <c r="FN44" s="331" t="s">
        <v>984</v>
      </c>
      <c r="FO44" s="331" t="s">
        <v>984</v>
      </c>
      <c r="FP44" s="331" t="s">
        <v>984</v>
      </c>
      <c r="FQ44" s="331" t="s">
        <v>984</v>
      </c>
      <c r="FR44" s="331" t="s">
        <v>984</v>
      </c>
      <c r="FS44" s="331" t="s">
        <v>984</v>
      </c>
      <c r="FT44" s="331" t="s">
        <v>984</v>
      </c>
      <c r="FU44" s="331" t="s">
        <v>190</v>
      </c>
      <c r="FV44" s="331" t="s">
        <v>984</v>
      </c>
      <c r="FW44" s="331" t="s">
        <v>984</v>
      </c>
      <c r="FX44" s="331" t="s">
        <v>984</v>
      </c>
      <c r="FY44" s="331" t="s">
        <v>984</v>
      </c>
      <c r="FZ44" s="331" t="s">
        <v>984</v>
      </c>
      <c r="GA44" s="331" t="s">
        <v>984</v>
      </c>
      <c r="GB44" s="331" t="s">
        <v>984</v>
      </c>
      <c r="GC44" s="331" t="s">
        <v>984</v>
      </c>
      <c r="GD44" s="331" t="s">
        <v>984</v>
      </c>
      <c r="GE44" s="331" t="s">
        <v>984</v>
      </c>
      <c r="GF44" s="331" t="s">
        <v>984</v>
      </c>
      <c r="GG44" s="331" t="s">
        <v>984</v>
      </c>
      <c r="GH44" s="331" t="s">
        <v>984</v>
      </c>
      <c r="GI44" s="331" t="s">
        <v>984</v>
      </c>
      <c r="GJ44" s="331" t="s">
        <v>984</v>
      </c>
      <c r="GK44" s="331" t="s">
        <v>984</v>
      </c>
      <c r="GL44" s="331" t="s">
        <v>984</v>
      </c>
      <c r="GM44" s="331" t="s">
        <v>984</v>
      </c>
      <c r="GN44" s="331" t="s">
        <v>984</v>
      </c>
      <c r="GO44" s="331" t="s">
        <v>984</v>
      </c>
      <c r="GP44" s="331" t="s">
        <v>190</v>
      </c>
      <c r="GQ44" s="331" t="s">
        <v>984</v>
      </c>
      <c r="GR44" s="331" t="s">
        <v>984</v>
      </c>
      <c r="GS44" s="331" t="s">
        <v>984</v>
      </c>
      <c r="GT44" s="331" t="s">
        <v>984</v>
      </c>
      <c r="GU44" s="331" t="s">
        <v>984</v>
      </c>
      <c r="GV44" s="331" t="s">
        <v>984</v>
      </c>
      <c r="GW44" s="331" t="s">
        <v>984</v>
      </c>
      <c r="GX44" s="331" t="s">
        <v>984</v>
      </c>
      <c r="GY44" s="331" t="s">
        <v>984</v>
      </c>
      <c r="GZ44" s="331" t="s">
        <v>984</v>
      </c>
      <c r="HA44" s="331" t="s">
        <v>984</v>
      </c>
      <c r="HB44" s="331" t="s">
        <v>984</v>
      </c>
      <c r="HC44" s="331" t="s">
        <v>984</v>
      </c>
      <c r="HD44" s="331" t="s">
        <v>984</v>
      </c>
      <c r="HE44" s="331" t="s">
        <v>984</v>
      </c>
      <c r="HF44" s="331" t="s">
        <v>984</v>
      </c>
      <c r="HG44" s="331" t="s">
        <v>984</v>
      </c>
      <c r="HH44" s="331" t="s">
        <v>984</v>
      </c>
      <c r="HI44" s="331" t="s">
        <v>984</v>
      </c>
      <c r="HJ44" s="331" t="s">
        <v>984</v>
      </c>
      <c r="HK44" s="331" t="s">
        <v>984</v>
      </c>
      <c r="HL44" s="331" t="s">
        <v>984</v>
      </c>
      <c r="HM44" s="331" t="s">
        <v>984</v>
      </c>
      <c r="HN44" s="331" t="s">
        <v>984</v>
      </c>
      <c r="HO44" s="331" t="s">
        <v>984</v>
      </c>
      <c r="HP44" s="331" t="s">
        <v>984</v>
      </c>
      <c r="HQ44" s="331" t="s">
        <v>170</v>
      </c>
      <c r="HR44" s="331" t="s">
        <v>429</v>
      </c>
      <c r="HS44" s="331" t="s">
        <v>169</v>
      </c>
      <c r="HT44" s="331" t="s">
        <v>427</v>
      </c>
      <c r="HU44" s="331" t="s">
        <v>984</v>
      </c>
      <c r="HV44" s="331" t="s">
        <v>984</v>
      </c>
    </row>
    <row r="45" spans="1:230" s="70" customFormat="1" x14ac:dyDescent="0.25">
      <c r="A45" s="330" t="str">
        <f>HYPERLINK("http://www.ofsted.gov.uk/inspection-reports/find-inspection-report/provider/ELS/100289 ","Ofsted School Webpage")</f>
        <v>Ofsted School Webpage</v>
      </c>
      <c r="B45" s="331">
        <v>100289</v>
      </c>
      <c r="C45" s="331">
        <v>2046233</v>
      </c>
      <c r="D45" s="331" t="s">
        <v>853</v>
      </c>
      <c r="E45" s="331" t="s">
        <v>167</v>
      </c>
      <c r="F45" s="331" t="s">
        <v>441</v>
      </c>
      <c r="G45" s="331" t="s">
        <v>441</v>
      </c>
      <c r="H45" s="331" t="s">
        <v>547</v>
      </c>
      <c r="I45" s="331" t="s">
        <v>854</v>
      </c>
      <c r="J45" s="331" t="s">
        <v>81</v>
      </c>
      <c r="K45" s="331" t="s">
        <v>81</v>
      </c>
      <c r="L45" s="331" t="s">
        <v>81</v>
      </c>
      <c r="M45" s="331" t="s">
        <v>78</v>
      </c>
      <c r="N45" s="331" t="s">
        <v>424</v>
      </c>
      <c r="O45" s="331">
        <v>10115177</v>
      </c>
      <c r="P45" s="332">
        <v>43733</v>
      </c>
      <c r="Q45" s="332">
        <v>43733</v>
      </c>
      <c r="R45" s="332">
        <v>43768</v>
      </c>
      <c r="S45" s="331" t="s">
        <v>985</v>
      </c>
      <c r="T45" s="331" t="s">
        <v>982</v>
      </c>
      <c r="U45" s="331" t="s">
        <v>447</v>
      </c>
      <c r="V45" s="331" t="s">
        <v>166</v>
      </c>
      <c r="W45" s="331" t="s">
        <v>191</v>
      </c>
      <c r="X45" s="331" t="s">
        <v>191</v>
      </c>
      <c r="Y45" s="331" t="s">
        <v>190</v>
      </c>
      <c r="Z45" s="331" t="s">
        <v>191</v>
      </c>
      <c r="AA45" s="331" t="s">
        <v>984</v>
      </c>
      <c r="AB45" s="331" t="s">
        <v>191</v>
      </c>
      <c r="AC45" s="331" t="s">
        <v>191</v>
      </c>
      <c r="AD45" s="331" t="s">
        <v>191</v>
      </c>
      <c r="AE45" s="331" t="s">
        <v>984</v>
      </c>
      <c r="AF45" s="331" t="s">
        <v>191</v>
      </c>
      <c r="AG45" s="331" t="s">
        <v>984</v>
      </c>
      <c r="AH45" s="331" t="s">
        <v>191</v>
      </c>
      <c r="AI45" s="331" t="s">
        <v>428</v>
      </c>
      <c r="AJ45" s="331" t="s">
        <v>428</v>
      </c>
      <c r="AK45" s="331" t="s">
        <v>428</v>
      </c>
      <c r="AL45" s="331" t="s">
        <v>428</v>
      </c>
      <c r="AM45" s="331" t="s">
        <v>191</v>
      </c>
      <c r="AN45" s="331" t="s">
        <v>428</v>
      </c>
      <c r="AO45" s="331" t="s">
        <v>191</v>
      </c>
      <c r="AP45" s="331" t="s">
        <v>191</v>
      </c>
      <c r="AQ45" s="331" t="s">
        <v>191</v>
      </c>
      <c r="AR45" s="331" t="s">
        <v>191</v>
      </c>
      <c r="AS45" s="331" t="s">
        <v>984</v>
      </c>
      <c r="AT45" s="331" t="s">
        <v>191</v>
      </c>
      <c r="AU45" s="331" t="s">
        <v>191</v>
      </c>
      <c r="AV45" s="331" t="s">
        <v>191</v>
      </c>
      <c r="AW45" s="331" t="s">
        <v>191</v>
      </c>
      <c r="AX45" s="331" t="s">
        <v>191</v>
      </c>
      <c r="AY45" s="331" t="s">
        <v>190</v>
      </c>
      <c r="AZ45" s="331" t="s">
        <v>984</v>
      </c>
      <c r="BA45" s="331" t="s">
        <v>984</v>
      </c>
      <c r="BB45" s="331" t="s">
        <v>984</v>
      </c>
      <c r="BC45" s="331" t="s">
        <v>191</v>
      </c>
      <c r="BD45" s="331" t="s">
        <v>984</v>
      </c>
      <c r="BE45" s="331" t="s">
        <v>191</v>
      </c>
      <c r="BF45" s="331" t="s">
        <v>984</v>
      </c>
      <c r="BG45" s="331" t="s">
        <v>984</v>
      </c>
      <c r="BH45" s="331" t="s">
        <v>191</v>
      </c>
      <c r="BI45" s="331" t="s">
        <v>984</v>
      </c>
      <c r="BJ45" s="331" t="s">
        <v>984</v>
      </c>
      <c r="BK45" s="331" t="s">
        <v>191</v>
      </c>
      <c r="BL45" s="331" t="s">
        <v>984</v>
      </c>
      <c r="BM45" s="331" t="s">
        <v>984</v>
      </c>
      <c r="BN45" s="331" t="s">
        <v>984</v>
      </c>
      <c r="BO45" s="331" t="s">
        <v>984</v>
      </c>
      <c r="BP45" s="331" t="s">
        <v>984</v>
      </c>
      <c r="BQ45" s="331" t="s">
        <v>984</v>
      </c>
      <c r="BR45" s="331" t="s">
        <v>191</v>
      </c>
      <c r="BS45" s="331" t="s">
        <v>191</v>
      </c>
      <c r="BT45" s="331" t="s">
        <v>191</v>
      </c>
      <c r="BU45" s="331" t="s">
        <v>428</v>
      </c>
      <c r="BV45" s="331" t="s">
        <v>428</v>
      </c>
      <c r="BW45" s="331" t="s">
        <v>428</v>
      </c>
      <c r="BX45" s="331" t="s">
        <v>190</v>
      </c>
      <c r="BY45" s="331" t="s">
        <v>190</v>
      </c>
      <c r="BZ45" s="331" t="s">
        <v>190</v>
      </c>
      <c r="CA45" s="331" t="s">
        <v>190</v>
      </c>
      <c r="CB45" s="331" t="s">
        <v>984</v>
      </c>
      <c r="CC45" s="331" t="s">
        <v>190</v>
      </c>
      <c r="CD45" s="331" t="s">
        <v>984</v>
      </c>
      <c r="CE45" s="331" t="s">
        <v>984</v>
      </c>
      <c r="CF45" s="331" t="s">
        <v>190</v>
      </c>
      <c r="CG45" s="331" t="s">
        <v>191</v>
      </c>
      <c r="CH45" s="331" t="s">
        <v>190</v>
      </c>
      <c r="CI45" s="331" t="s">
        <v>190</v>
      </c>
      <c r="CJ45" s="331" t="s">
        <v>190</v>
      </c>
      <c r="CK45" s="331" t="s">
        <v>984</v>
      </c>
      <c r="CL45" s="331" t="s">
        <v>984</v>
      </c>
      <c r="CM45" s="331" t="s">
        <v>984</v>
      </c>
      <c r="CN45" s="331" t="s">
        <v>984</v>
      </c>
      <c r="CO45" s="331" t="s">
        <v>984</v>
      </c>
      <c r="CP45" s="331" t="s">
        <v>984</v>
      </c>
      <c r="CQ45" s="331" t="s">
        <v>984</v>
      </c>
      <c r="CR45" s="331" t="s">
        <v>984</v>
      </c>
      <c r="CS45" s="331" t="s">
        <v>984</v>
      </c>
      <c r="CT45" s="331" t="s">
        <v>984</v>
      </c>
      <c r="CU45" s="331" t="s">
        <v>984</v>
      </c>
      <c r="CV45" s="331" t="s">
        <v>984</v>
      </c>
      <c r="CW45" s="331" t="s">
        <v>984</v>
      </c>
      <c r="CX45" s="331" t="s">
        <v>984</v>
      </c>
      <c r="CY45" s="331" t="s">
        <v>984</v>
      </c>
      <c r="CZ45" s="331" t="s">
        <v>984</v>
      </c>
      <c r="DA45" s="331" t="s">
        <v>984</v>
      </c>
      <c r="DB45" s="331" t="s">
        <v>984</v>
      </c>
      <c r="DC45" s="331" t="s">
        <v>984</v>
      </c>
      <c r="DD45" s="331" t="s">
        <v>984</v>
      </c>
      <c r="DE45" s="331" t="s">
        <v>984</v>
      </c>
      <c r="DF45" s="331" t="s">
        <v>984</v>
      </c>
      <c r="DG45" s="331" t="s">
        <v>984</v>
      </c>
      <c r="DH45" s="331" t="s">
        <v>984</v>
      </c>
      <c r="DI45" s="331" t="s">
        <v>984</v>
      </c>
      <c r="DJ45" s="331" t="s">
        <v>984</v>
      </c>
      <c r="DK45" s="331" t="s">
        <v>984</v>
      </c>
      <c r="DL45" s="331" t="s">
        <v>984</v>
      </c>
      <c r="DM45" s="331" t="s">
        <v>984</v>
      </c>
      <c r="DN45" s="331" t="s">
        <v>984</v>
      </c>
      <c r="DO45" s="331" t="s">
        <v>984</v>
      </c>
      <c r="DP45" s="331" t="s">
        <v>984</v>
      </c>
      <c r="DQ45" s="331" t="s">
        <v>984</v>
      </c>
      <c r="DR45" s="331" t="s">
        <v>984</v>
      </c>
      <c r="DS45" s="331" t="s">
        <v>984</v>
      </c>
      <c r="DT45" s="331" t="s">
        <v>984</v>
      </c>
      <c r="DU45" s="331" t="s">
        <v>984</v>
      </c>
      <c r="DV45" s="331" t="s">
        <v>984</v>
      </c>
      <c r="DW45" s="331" t="s">
        <v>984</v>
      </c>
      <c r="DX45" s="331" t="s">
        <v>984</v>
      </c>
      <c r="DY45" s="331" t="s">
        <v>984</v>
      </c>
      <c r="DZ45" s="331" t="s">
        <v>984</v>
      </c>
      <c r="EA45" s="331" t="s">
        <v>984</v>
      </c>
      <c r="EB45" s="331" t="s">
        <v>984</v>
      </c>
      <c r="EC45" s="331" t="s">
        <v>984</v>
      </c>
      <c r="ED45" s="331" t="s">
        <v>984</v>
      </c>
      <c r="EE45" s="331" t="s">
        <v>984</v>
      </c>
      <c r="EF45" s="331" t="s">
        <v>984</v>
      </c>
      <c r="EG45" s="331" t="s">
        <v>984</v>
      </c>
      <c r="EH45" s="331" t="s">
        <v>984</v>
      </c>
      <c r="EI45" s="331" t="s">
        <v>984</v>
      </c>
      <c r="EJ45" s="331" t="s">
        <v>984</v>
      </c>
      <c r="EK45" s="331" t="s">
        <v>984</v>
      </c>
      <c r="EL45" s="331" t="s">
        <v>984</v>
      </c>
      <c r="EM45" s="331" t="s">
        <v>984</v>
      </c>
      <c r="EN45" s="331" t="s">
        <v>984</v>
      </c>
      <c r="EO45" s="331" t="s">
        <v>984</v>
      </c>
      <c r="EP45" s="331" t="s">
        <v>984</v>
      </c>
      <c r="EQ45" s="331" t="s">
        <v>984</v>
      </c>
      <c r="ER45" s="331" t="s">
        <v>984</v>
      </c>
      <c r="ES45" s="331" t="s">
        <v>984</v>
      </c>
      <c r="ET45" s="331" t="s">
        <v>984</v>
      </c>
      <c r="EU45" s="331" t="s">
        <v>984</v>
      </c>
      <c r="EV45" s="331" t="s">
        <v>984</v>
      </c>
      <c r="EW45" s="331" t="s">
        <v>984</v>
      </c>
      <c r="EX45" s="331" t="s">
        <v>984</v>
      </c>
      <c r="EY45" s="331" t="s">
        <v>984</v>
      </c>
      <c r="EZ45" s="331" t="s">
        <v>984</v>
      </c>
      <c r="FA45" s="331" t="s">
        <v>984</v>
      </c>
      <c r="FB45" s="331" t="s">
        <v>190</v>
      </c>
      <c r="FC45" s="331" t="s">
        <v>984</v>
      </c>
      <c r="FD45" s="331" t="s">
        <v>984</v>
      </c>
      <c r="FE45" s="331" t="s">
        <v>984</v>
      </c>
      <c r="FF45" s="331" t="s">
        <v>984</v>
      </c>
      <c r="FG45" s="331" t="s">
        <v>984</v>
      </c>
      <c r="FH45" s="331" t="s">
        <v>984</v>
      </c>
      <c r="FI45" s="331" t="s">
        <v>984</v>
      </c>
      <c r="FJ45" s="331" t="s">
        <v>984</v>
      </c>
      <c r="FK45" s="331" t="s">
        <v>984</v>
      </c>
      <c r="FL45" s="331" t="s">
        <v>984</v>
      </c>
      <c r="FM45" s="331" t="s">
        <v>984</v>
      </c>
      <c r="FN45" s="331" t="s">
        <v>984</v>
      </c>
      <c r="FO45" s="331" t="s">
        <v>984</v>
      </c>
      <c r="FP45" s="331" t="s">
        <v>984</v>
      </c>
      <c r="FQ45" s="331" t="s">
        <v>984</v>
      </c>
      <c r="FR45" s="331" t="s">
        <v>984</v>
      </c>
      <c r="FS45" s="331" t="s">
        <v>984</v>
      </c>
      <c r="FT45" s="331" t="s">
        <v>984</v>
      </c>
      <c r="FU45" s="331" t="s">
        <v>984</v>
      </c>
      <c r="FV45" s="331" t="s">
        <v>190</v>
      </c>
      <c r="FW45" s="331" t="s">
        <v>984</v>
      </c>
      <c r="FX45" s="331" t="s">
        <v>984</v>
      </c>
      <c r="FY45" s="331" t="s">
        <v>984</v>
      </c>
      <c r="FZ45" s="331" t="s">
        <v>191</v>
      </c>
      <c r="GA45" s="331" t="s">
        <v>984</v>
      </c>
      <c r="GB45" s="331" t="s">
        <v>984</v>
      </c>
      <c r="GC45" s="331" t="s">
        <v>984</v>
      </c>
      <c r="GD45" s="331" t="s">
        <v>984</v>
      </c>
      <c r="GE45" s="331" t="s">
        <v>984</v>
      </c>
      <c r="GF45" s="331" t="s">
        <v>984</v>
      </c>
      <c r="GG45" s="331" t="s">
        <v>984</v>
      </c>
      <c r="GH45" s="331" t="s">
        <v>984</v>
      </c>
      <c r="GI45" s="331" t="s">
        <v>984</v>
      </c>
      <c r="GJ45" s="331" t="s">
        <v>984</v>
      </c>
      <c r="GK45" s="331" t="s">
        <v>984</v>
      </c>
      <c r="GL45" s="331" t="s">
        <v>984</v>
      </c>
      <c r="GM45" s="331" t="s">
        <v>984</v>
      </c>
      <c r="GN45" s="331" t="s">
        <v>984</v>
      </c>
      <c r="GO45" s="331" t="s">
        <v>984</v>
      </c>
      <c r="GP45" s="331" t="s">
        <v>984</v>
      </c>
      <c r="GQ45" s="331" t="s">
        <v>984</v>
      </c>
      <c r="GR45" s="331" t="s">
        <v>984</v>
      </c>
      <c r="GS45" s="331" t="s">
        <v>984</v>
      </c>
      <c r="GT45" s="331" t="s">
        <v>984</v>
      </c>
      <c r="GU45" s="331" t="s">
        <v>984</v>
      </c>
      <c r="GV45" s="331" t="s">
        <v>984</v>
      </c>
      <c r="GW45" s="331" t="s">
        <v>984</v>
      </c>
      <c r="GX45" s="331" t="s">
        <v>984</v>
      </c>
      <c r="GY45" s="331" t="s">
        <v>984</v>
      </c>
      <c r="GZ45" s="331" t="s">
        <v>984</v>
      </c>
      <c r="HA45" s="331" t="s">
        <v>984</v>
      </c>
      <c r="HB45" s="331" t="s">
        <v>984</v>
      </c>
      <c r="HC45" s="331" t="s">
        <v>984</v>
      </c>
      <c r="HD45" s="331" t="s">
        <v>984</v>
      </c>
      <c r="HE45" s="331" t="s">
        <v>984</v>
      </c>
      <c r="HF45" s="331" t="s">
        <v>984</v>
      </c>
      <c r="HG45" s="331" t="s">
        <v>984</v>
      </c>
      <c r="HH45" s="331" t="s">
        <v>984</v>
      </c>
      <c r="HI45" s="331" t="s">
        <v>984</v>
      </c>
      <c r="HJ45" s="331" t="s">
        <v>984</v>
      </c>
      <c r="HK45" s="331" t="s">
        <v>984</v>
      </c>
      <c r="HL45" s="331" t="s">
        <v>984</v>
      </c>
      <c r="HM45" s="331" t="s">
        <v>191</v>
      </c>
      <c r="HN45" s="331" t="s">
        <v>191</v>
      </c>
      <c r="HO45" s="331" t="s">
        <v>191</v>
      </c>
      <c r="HP45" s="331" t="s">
        <v>191</v>
      </c>
      <c r="HQ45" s="331" t="s">
        <v>170</v>
      </c>
      <c r="HR45" s="331" t="s">
        <v>429</v>
      </c>
      <c r="HS45" s="331" t="s">
        <v>169</v>
      </c>
      <c r="HT45" s="331" t="s">
        <v>427</v>
      </c>
      <c r="HU45" s="331" t="s">
        <v>190</v>
      </c>
      <c r="HV45" s="331" t="s">
        <v>191</v>
      </c>
    </row>
    <row r="46" spans="1:230" s="70" customFormat="1" x14ac:dyDescent="0.25">
      <c r="A46" s="330" t="str">
        <f>HYPERLINK("http://www.ofsted.gov.uk/inspection-reports/find-inspection-report/provider/ELS/119854 ","Ofsted School Webpage")</f>
        <v>Ofsted School Webpage</v>
      </c>
      <c r="B46" s="331">
        <v>119854</v>
      </c>
      <c r="C46" s="331">
        <v>8886027</v>
      </c>
      <c r="D46" s="331" t="s">
        <v>2713</v>
      </c>
      <c r="E46" s="331" t="s">
        <v>167</v>
      </c>
      <c r="F46" s="331" t="s">
        <v>431</v>
      </c>
      <c r="G46" s="331" t="s">
        <v>431</v>
      </c>
      <c r="H46" s="331" t="s">
        <v>469</v>
      </c>
      <c r="I46" s="331" t="s">
        <v>2714</v>
      </c>
      <c r="J46" s="331" t="s">
        <v>81</v>
      </c>
      <c r="K46" s="331" t="s">
        <v>81</v>
      </c>
      <c r="L46" s="331" t="s">
        <v>81</v>
      </c>
      <c r="M46" s="331" t="s">
        <v>78</v>
      </c>
      <c r="N46" s="331" t="s">
        <v>583</v>
      </c>
      <c r="O46" s="331">
        <v>10123694</v>
      </c>
      <c r="P46" s="332">
        <v>43733</v>
      </c>
      <c r="Q46" s="332">
        <v>43733</v>
      </c>
      <c r="R46" s="332">
        <v>43774</v>
      </c>
      <c r="S46" s="331" t="s">
        <v>997</v>
      </c>
      <c r="T46" s="331" t="s">
        <v>982</v>
      </c>
      <c r="U46" s="331" t="s">
        <v>427</v>
      </c>
      <c r="V46" s="331" t="s">
        <v>165</v>
      </c>
      <c r="W46" s="331" t="s">
        <v>984</v>
      </c>
      <c r="X46" s="331" t="s">
        <v>984</v>
      </c>
      <c r="Y46" s="331" t="s">
        <v>984</v>
      </c>
      <c r="Z46" s="331" t="s">
        <v>984</v>
      </c>
      <c r="AA46" s="331" t="s">
        <v>984</v>
      </c>
      <c r="AB46" s="331" t="s">
        <v>984</v>
      </c>
      <c r="AC46" s="331" t="s">
        <v>984</v>
      </c>
      <c r="AD46" s="331" t="s">
        <v>984</v>
      </c>
      <c r="AE46" s="331" t="s">
        <v>428</v>
      </c>
      <c r="AF46" s="331" t="s">
        <v>984</v>
      </c>
      <c r="AG46" s="331" t="s">
        <v>984</v>
      </c>
      <c r="AH46" s="331" t="s">
        <v>984</v>
      </c>
      <c r="AI46" s="331" t="s">
        <v>428</v>
      </c>
      <c r="AJ46" s="331" t="s">
        <v>984</v>
      </c>
      <c r="AK46" s="331" t="s">
        <v>984</v>
      </c>
      <c r="AL46" s="331" t="s">
        <v>984</v>
      </c>
      <c r="AM46" s="331" t="s">
        <v>984</v>
      </c>
      <c r="AN46" s="331" t="s">
        <v>984</v>
      </c>
      <c r="AO46" s="331" t="s">
        <v>984</v>
      </c>
      <c r="AP46" s="331" t="s">
        <v>984</v>
      </c>
      <c r="AQ46" s="331" t="s">
        <v>984</v>
      </c>
      <c r="AR46" s="331" t="s">
        <v>984</v>
      </c>
      <c r="AS46" s="331" t="s">
        <v>984</v>
      </c>
      <c r="AT46" s="331" t="s">
        <v>984</v>
      </c>
      <c r="AU46" s="331" t="s">
        <v>984</v>
      </c>
      <c r="AV46" s="331" t="s">
        <v>984</v>
      </c>
      <c r="AW46" s="331" t="s">
        <v>984</v>
      </c>
      <c r="AX46" s="331" t="s">
        <v>984</v>
      </c>
      <c r="AY46" s="331" t="s">
        <v>984</v>
      </c>
      <c r="AZ46" s="331" t="s">
        <v>984</v>
      </c>
      <c r="BA46" s="331" t="s">
        <v>984</v>
      </c>
      <c r="BB46" s="331" t="s">
        <v>984</v>
      </c>
      <c r="BC46" s="331" t="s">
        <v>984</v>
      </c>
      <c r="BD46" s="331" t="s">
        <v>984</v>
      </c>
      <c r="BE46" s="331" t="s">
        <v>984</v>
      </c>
      <c r="BF46" s="331" t="s">
        <v>984</v>
      </c>
      <c r="BG46" s="331" t="s">
        <v>984</v>
      </c>
      <c r="BH46" s="331" t="s">
        <v>984</v>
      </c>
      <c r="BI46" s="331" t="s">
        <v>984</v>
      </c>
      <c r="BJ46" s="331" t="s">
        <v>984</v>
      </c>
      <c r="BK46" s="331" t="s">
        <v>984</v>
      </c>
      <c r="BL46" s="331" t="s">
        <v>984</v>
      </c>
      <c r="BM46" s="331" t="s">
        <v>984</v>
      </c>
      <c r="BN46" s="331" t="s">
        <v>984</v>
      </c>
      <c r="BO46" s="331" t="s">
        <v>984</v>
      </c>
      <c r="BP46" s="331" t="s">
        <v>984</v>
      </c>
      <c r="BQ46" s="331" t="s">
        <v>984</v>
      </c>
      <c r="BR46" s="331" t="s">
        <v>190</v>
      </c>
      <c r="BS46" s="331" t="s">
        <v>190</v>
      </c>
      <c r="BT46" s="331" t="s">
        <v>190</v>
      </c>
      <c r="BU46" s="331" t="s">
        <v>984</v>
      </c>
      <c r="BV46" s="331" t="s">
        <v>984</v>
      </c>
      <c r="BW46" s="331" t="s">
        <v>984</v>
      </c>
      <c r="BX46" s="331" t="s">
        <v>984</v>
      </c>
      <c r="BY46" s="331" t="s">
        <v>984</v>
      </c>
      <c r="BZ46" s="331" t="s">
        <v>984</v>
      </c>
      <c r="CA46" s="331" t="s">
        <v>984</v>
      </c>
      <c r="CB46" s="331" t="s">
        <v>984</v>
      </c>
      <c r="CC46" s="331" t="s">
        <v>190</v>
      </c>
      <c r="CD46" s="331" t="s">
        <v>984</v>
      </c>
      <c r="CE46" s="331" t="s">
        <v>190</v>
      </c>
      <c r="CF46" s="331" t="s">
        <v>190</v>
      </c>
      <c r="CG46" s="331" t="s">
        <v>984</v>
      </c>
      <c r="CH46" s="331" t="s">
        <v>190</v>
      </c>
      <c r="CI46" s="331" t="s">
        <v>190</v>
      </c>
      <c r="CJ46" s="331" t="s">
        <v>190</v>
      </c>
      <c r="CK46" s="331" t="s">
        <v>984</v>
      </c>
      <c r="CL46" s="331" t="s">
        <v>984</v>
      </c>
      <c r="CM46" s="331" t="s">
        <v>984</v>
      </c>
      <c r="CN46" s="331" t="s">
        <v>984</v>
      </c>
      <c r="CO46" s="331" t="s">
        <v>984</v>
      </c>
      <c r="CP46" s="331" t="s">
        <v>984</v>
      </c>
      <c r="CQ46" s="331" t="s">
        <v>984</v>
      </c>
      <c r="CR46" s="331" t="s">
        <v>984</v>
      </c>
      <c r="CS46" s="331" t="s">
        <v>984</v>
      </c>
      <c r="CT46" s="331" t="s">
        <v>984</v>
      </c>
      <c r="CU46" s="331" t="s">
        <v>984</v>
      </c>
      <c r="CV46" s="331" t="s">
        <v>984</v>
      </c>
      <c r="CW46" s="331" t="s">
        <v>984</v>
      </c>
      <c r="CX46" s="331" t="s">
        <v>984</v>
      </c>
      <c r="CY46" s="331" t="s">
        <v>984</v>
      </c>
      <c r="CZ46" s="331" t="s">
        <v>984</v>
      </c>
      <c r="DA46" s="331" t="s">
        <v>984</v>
      </c>
      <c r="DB46" s="331" t="s">
        <v>984</v>
      </c>
      <c r="DC46" s="331" t="s">
        <v>984</v>
      </c>
      <c r="DD46" s="331" t="s">
        <v>984</v>
      </c>
      <c r="DE46" s="331" t="s">
        <v>984</v>
      </c>
      <c r="DF46" s="331" t="s">
        <v>984</v>
      </c>
      <c r="DG46" s="331" t="s">
        <v>984</v>
      </c>
      <c r="DH46" s="331" t="s">
        <v>984</v>
      </c>
      <c r="DI46" s="331" t="s">
        <v>984</v>
      </c>
      <c r="DJ46" s="331" t="s">
        <v>984</v>
      </c>
      <c r="DK46" s="331" t="s">
        <v>984</v>
      </c>
      <c r="DL46" s="331" t="s">
        <v>984</v>
      </c>
      <c r="DM46" s="331" t="s">
        <v>984</v>
      </c>
      <c r="DN46" s="331" t="s">
        <v>984</v>
      </c>
      <c r="DO46" s="331" t="s">
        <v>984</v>
      </c>
      <c r="DP46" s="331" t="s">
        <v>984</v>
      </c>
      <c r="DQ46" s="331" t="s">
        <v>984</v>
      </c>
      <c r="DR46" s="331" t="s">
        <v>984</v>
      </c>
      <c r="DS46" s="331" t="s">
        <v>984</v>
      </c>
      <c r="DT46" s="331" t="s">
        <v>984</v>
      </c>
      <c r="DU46" s="331" t="s">
        <v>984</v>
      </c>
      <c r="DV46" s="331" t="s">
        <v>984</v>
      </c>
      <c r="DW46" s="331" t="s">
        <v>984</v>
      </c>
      <c r="DX46" s="331" t="s">
        <v>984</v>
      </c>
      <c r="DY46" s="331" t="s">
        <v>984</v>
      </c>
      <c r="DZ46" s="331" t="s">
        <v>984</v>
      </c>
      <c r="EA46" s="331" t="s">
        <v>984</v>
      </c>
      <c r="EB46" s="331" t="s">
        <v>984</v>
      </c>
      <c r="EC46" s="331" t="s">
        <v>984</v>
      </c>
      <c r="ED46" s="331" t="s">
        <v>984</v>
      </c>
      <c r="EE46" s="331" t="s">
        <v>984</v>
      </c>
      <c r="EF46" s="331" t="s">
        <v>984</v>
      </c>
      <c r="EG46" s="331" t="s">
        <v>984</v>
      </c>
      <c r="EH46" s="331" t="s">
        <v>984</v>
      </c>
      <c r="EI46" s="331" t="s">
        <v>984</v>
      </c>
      <c r="EJ46" s="331" t="s">
        <v>984</v>
      </c>
      <c r="EK46" s="331" t="s">
        <v>984</v>
      </c>
      <c r="EL46" s="331" t="s">
        <v>984</v>
      </c>
      <c r="EM46" s="331" t="s">
        <v>984</v>
      </c>
      <c r="EN46" s="331" t="s">
        <v>984</v>
      </c>
      <c r="EO46" s="331" t="s">
        <v>984</v>
      </c>
      <c r="EP46" s="331" t="s">
        <v>984</v>
      </c>
      <c r="EQ46" s="331" t="s">
        <v>984</v>
      </c>
      <c r="ER46" s="331" t="s">
        <v>984</v>
      </c>
      <c r="ES46" s="331" t="s">
        <v>984</v>
      </c>
      <c r="ET46" s="331" t="s">
        <v>984</v>
      </c>
      <c r="EU46" s="331" t="s">
        <v>984</v>
      </c>
      <c r="EV46" s="331" t="s">
        <v>984</v>
      </c>
      <c r="EW46" s="331" t="s">
        <v>984</v>
      </c>
      <c r="EX46" s="331" t="s">
        <v>984</v>
      </c>
      <c r="EY46" s="331" t="s">
        <v>984</v>
      </c>
      <c r="EZ46" s="331" t="s">
        <v>984</v>
      </c>
      <c r="FA46" s="331" t="s">
        <v>984</v>
      </c>
      <c r="FB46" s="331" t="s">
        <v>190</v>
      </c>
      <c r="FC46" s="331" t="s">
        <v>984</v>
      </c>
      <c r="FD46" s="331" t="s">
        <v>984</v>
      </c>
      <c r="FE46" s="331" t="s">
        <v>984</v>
      </c>
      <c r="FF46" s="331" t="s">
        <v>984</v>
      </c>
      <c r="FG46" s="331" t="s">
        <v>984</v>
      </c>
      <c r="FH46" s="331" t="s">
        <v>984</v>
      </c>
      <c r="FI46" s="331" t="s">
        <v>984</v>
      </c>
      <c r="FJ46" s="331" t="s">
        <v>984</v>
      </c>
      <c r="FK46" s="331" t="s">
        <v>984</v>
      </c>
      <c r="FL46" s="331" t="s">
        <v>984</v>
      </c>
      <c r="FM46" s="331" t="s">
        <v>984</v>
      </c>
      <c r="FN46" s="331" t="s">
        <v>984</v>
      </c>
      <c r="FO46" s="331" t="s">
        <v>190</v>
      </c>
      <c r="FP46" s="331" t="s">
        <v>190</v>
      </c>
      <c r="FQ46" s="331" t="s">
        <v>190</v>
      </c>
      <c r="FR46" s="331" t="s">
        <v>428</v>
      </c>
      <c r="FS46" s="331" t="s">
        <v>190</v>
      </c>
      <c r="FT46" s="331" t="s">
        <v>190</v>
      </c>
      <c r="FU46" s="331" t="s">
        <v>190</v>
      </c>
      <c r="FV46" s="331" t="s">
        <v>190</v>
      </c>
      <c r="FW46" s="331" t="s">
        <v>190</v>
      </c>
      <c r="FX46" s="331" t="s">
        <v>190</v>
      </c>
      <c r="FY46" s="331" t="s">
        <v>190</v>
      </c>
      <c r="FZ46" s="331" t="s">
        <v>190</v>
      </c>
      <c r="GA46" s="331" t="s">
        <v>428</v>
      </c>
      <c r="GB46" s="331" t="s">
        <v>428</v>
      </c>
      <c r="GC46" s="331" t="s">
        <v>190</v>
      </c>
      <c r="GD46" s="331" t="s">
        <v>190</v>
      </c>
      <c r="GE46" s="331" t="s">
        <v>190</v>
      </c>
      <c r="GF46" s="331" t="s">
        <v>190</v>
      </c>
      <c r="GG46" s="331" t="s">
        <v>190</v>
      </c>
      <c r="GH46" s="331" t="s">
        <v>190</v>
      </c>
      <c r="GI46" s="331" t="s">
        <v>190</v>
      </c>
      <c r="GJ46" s="331" t="s">
        <v>190</v>
      </c>
      <c r="GK46" s="331" t="s">
        <v>190</v>
      </c>
      <c r="GL46" s="331" t="s">
        <v>190</v>
      </c>
      <c r="GM46" s="331" t="s">
        <v>190</v>
      </c>
      <c r="GN46" s="331" t="s">
        <v>190</v>
      </c>
      <c r="GO46" s="331" t="s">
        <v>190</v>
      </c>
      <c r="GP46" s="331" t="s">
        <v>190</v>
      </c>
      <c r="GQ46" s="331" t="s">
        <v>190</v>
      </c>
      <c r="GR46" s="331" t="s">
        <v>190</v>
      </c>
      <c r="GS46" s="331" t="s">
        <v>428</v>
      </c>
      <c r="GT46" s="331" t="s">
        <v>428</v>
      </c>
      <c r="GU46" s="331" t="s">
        <v>428</v>
      </c>
      <c r="GV46" s="331" t="s">
        <v>428</v>
      </c>
      <c r="GW46" s="331" t="s">
        <v>984</v>
      </c>
      <c r="GX46" s="331" t="s">
        <v>984</v>
      </c>
      <c r="GY46" s="331" t="s">
        <v>984</v>
      </c>
      <c r="GZ46" s="331" t="s">
        <v>984</v>
      </c>
      <c r="HA46" s="331" t="s">
        <v>984</v>
      </c>
      <c r="HB46" s="331" t="s">
        <v>984</v>
      </c>
      <c r="HC46" s="331" t="s">
        <v>984</v>
      </c>
      <c r="HD46" s="331" t="s">
        <v>984</v>
      </c>
      <c r="HE46" s="331" t="s">
        <v>984</v>
      </c>
      <c r="HF46" s="331" t="s">
        <v>984</v>
      </c>
      <c r="HG46" s="331" t="s">
        <v>984</v>
      </c>
      <c r="HH46" s="331" t="s">
        <v>984</v>
      </c>
      <c r="HI46" s="331" t="s">
        <v>984</v>
      </c>
      <c r="HJ46" s="331" t="s">
        <v>984</v>
      </c>
      <c r="HK46" s="331" t="s">
        <v>984</v>
      </c>
      <c r="HL46" s="331" t="s">
        <v>984</v>
      </c>
      <c r="HM46" s="331" t="s">
        <v>190</v>
      </c>
      <c r="HN46" s="331" t="s">
        <v>190</v>
      </c>
      <c r="HO46" s="331" t="s">
        <v>190</v>
      </c>
      <c r="HP46" s="331" t="s">
        <v>190</v>
      </c>
      <c r="HQ46" s="331" t="s">
        <v>170</v>
      </c>
      <c r="HR46" s="331" t="s">
        <v>429</v>
      </c>
      <c r="HS46" s="331" t="s">
        <v>169</v>
      </c>
      <c r="HT46" s="331" t="s">
        <v>427</v>
      </c>
      <c r="HU46" s="331" t="s">
        <v>190</v>
      </c>
      <c r="HV46" s="331" t="s">
        <v>190</v>
      </c>
    </row>
    <row r="47" spans="1:230" s="70" customFormat="1" x14ac:dyDescent="0.25">
      <c r="A47" s="330" t="str">
        <f>HYPERLINK("http://www.ofsted.gov.uk/inspection-reports/find-inspection-report/provider/ELS/134422 ","Ofsted School Webpage")</f>
        <v>Ofsted School Webpage</v>
      </c>
      <c r="B47" s="331">
        <v>134422</v>
      </c>
      <c r="C47" s="331">
        <v>3366024</v>
      </c>
      <c r="D47" s="331" t="s">
        <v>916</v>
      </c>
      <c r="E47" s="331" t="s">
        <v>167</v>
      </c>
      <c r="F47" s="331" t="s">
        <v>437</v>
      </c>
      <c r="G47" s="331" t="s">
        <v>437</v>
      </c>
      <c r="H47" s="331" t="s">
        <v>503</v>
      </c>
      <c r="I47" s="331" t="s">
        <v>917</v>
      </c>
      <c r="J47" s="331" t="s">
        <v>72</v>
      </c>
      <c r="K47" s="331" t="s">
        <v>72</v>
      </c>
      <c r="L47" s="331" t="s">
        <v>72</v>
      </c>
      <c r="M47" s="331" t="s">
        <v>72</v>
      </c>
      <c r="N47" s="331" t="s">
        <v>424</v>
      </c>
      <c r="O47" s="331">
        <v>10119184</v>
      </c>
      <c r="P47" s="332">
        <v>43733</v>
      </c>
      <c r="Q47" s="332">
        <v>43733</v>
      </c>
      <c r="R47" s="332">
        <v>43758</v>
      </c>
      <c r="S47" s="331" t="s">
        <v>997</v>
      </c>
      <c r="T47" s="331" t="s">
        <v>982</v>
      </c>
      <c r="U47" s="331" t="s">
        <v>427</v>
      </c>
      <c r="V47" s="331" t="s">
        <v>2708</v>
      </c>
      <c r="W47" s="331" t="s">
        <v>984</v>
      </c>
      <c r="X47" s="331" t="s">
        <v>984</v>
      </c>
      <c r="Y47" s="331" t="s">
        <v>984</v>
      </c>
      <c r="Z47" s="331" t="s">
        <v>984</v>
      </c>
      <c r="AA47" s="331" t="s">
        <v>984</v>
      </c>
      <c r="AB47" s="331" t="s">
        <v>984</v>
      </c>
      <c r="AC47" s="331" t="s">
        <v>984</v>
      </c>
      <c r="AD47" s="331" t="s">
        <v>984</v>
      </c>
      <c r="AE47" s="331" t="s">
        <v>984</v>
      </c>
      <c r="AF47" s="331" t="s">
        <v>984</v>
      </c>
      <c r="AG47" s="331" t="s">
        <v>984</v>
      </c>
      <c r="AH47" s="331" t="s">
        <v>984</v>
      </c>
      <c r="AI47" s="331" t="s">
        <v>984</v>
      </c>
      <c r="AJ47" s="331" t="s">
        <v>984</v>
      </c>
      <c r="AK47" s="331" t="s">
        <v>984</v>
      </c>
      <c r="AL47" s="331" t="s">
        <v>984</v>
      </c>
      <c r="AM47" s="331" t="s">
        <v>984</v>
      </c>
      <c r="AN47" s="331" t="s">
        <v>984</v>
      </c>
      <c r="AO47" s="331" t="s">
        <v>984</v>
      </c>
      <c r="AP47" s="331" t="s">
        <v>984</v>
      </c>
      <c r="AQ47" s="331" t="s">
        <v>984</v>
      </c>
      <c r="AR47" s="331" t="s">
        <v>984</v>
      </c>
      <c r="AS47" s="331" t="s">
        <v>984</v>
      </c>
      <c r="AT47" s="331" t="s">
        <v>984</v>
      </c>
      <c r="AU47" s="331" t="s">
        <v>984</v>
      </c>
      <c r="AV47" s="331" t="s">
        <v>984</v>
      </c>
      <c r="AW47" s="331" t="s">
        <v>984</v>
      </c>
      <c r="AX47" s="331" t="s">
        <v>984</v>
      </c>
      <c r="AY47" s="331" t="s">
        <v>984</v>
      </c>
      <c r="AZ47" s="331" t="s">
        <v>984</v>
      </c>
      <c r="BA47" s="331" t="s">
        <v>984</v>
      </c>
      <c r="BB47" s="331" t="s">
        <v>984</v>
      </c>
      <c r="BC47" s="331" t="s">
        <v>984</v>
      </c>
      <c r="BD47" s="331" t="s">
        <v>984</v>
      </c>
      <c r="BE47" s="331" t="s">
        <v>984</v>
      </c>
      <c r="BF47" s="331" t="s">
        <v>984</v>
      </c>
      <c r="BG47" s="331" t="s">
        <v>984</v>
      </c>
      <c r="BH47" s="331" t="s">
        <v>984</v>
      </c>
      <c r="BI47" s="331" t="s">
        <v>984</v>
      </c>
      <c r="BJ47" s="331" t="s">
        <v>984</v>
      </c>
      <c r="BK47" s="331" t="s">
        <v>984</v>
      </c>
      <c r="BL47" s="331" t="s">
        <v>984</v>
      </c>
      <c r="BM47" s="331" t="s">
        <v>984</v>
      </c>
      <c r="BN47" s="331" t="s">
        <v>984</v>
      </c>
      <c r="BO47" s="331" t="s">
        <v>984</v>
      </c>
      <c r="BP47" s="331" t="s">
        <v>984</v>
      </c>
      <c r="BQ47" s="331" t="s">
        <v>984</v>
      </c>
      <c r="BR47" s="331" t="s">
        <v>984</v>
      </c>
      <c r="BS47" s="331" t="s">
        <v>984</v>
      </c>
      <c r="BT47" s="331" t="s">
        <v>984</v>
      </c>
      <c r="BU47" s="331" t="s">
        <v>984</v>
      </c>
      <c r="BV47" s="331" t="s">
        <v>984</v>
      </c>
      <c r="BW47" s="331" t="s">
        <v>984</v>
      </c>
      <c r="BX47" s="331" t="s">
        <v>984</v>
      </c>
      <c r="BY47" s="331" t="s">
        <v>984</v>
      </c>
      <c r="BZ47" s="331" t="s">
        <v>984</v>
      </c>
      <c r="CA47" s="331" t="s">
        <v>984</v>
      </c>
      <c r="CB47" s="331" t="s">
        <v>984</v>
      </c>
      <c r="CC47" s="331" t="s">
        <v>984</v>
      </c>
      <c r="CD47" s="331" t="s">
        <v>984</v>
      </c>
      <c r="CE47" s="331" t="s">
        <v>984</v>
      </c>
      <c r="CF47" s="331" t="s">
        <v>984</v>
      </c>
      <c r="CG47" s="331" t="s">
        <v>984</v>
      </c>
      <c r="CH47" s="331" t="s">
        <v>984</v>
      </c>
      <c r="CI47" s="331" t="s">
        <v>984</v>
      </c>
      <c r="CJ47" s="331" t="s">
        <v>984</v>
      </c>
      <c r="CK47" s="331" t="s">
        <v>984</v>
      </c>
      <c r="CL47" s="331" t="s">
        <v>984</v>
      </c>
      <c r="CM47" s="331" t="s">
        <v>984</v>
      </c>
      <c r="CN47" s="331" t="s">
        <v>984</v>
      </c>
      <c r="CO47" s="331" t="s">
        <v>984</v>
      </c>
      <c r="CP47" s="331" t="s">
        <v>984</v>
      </c>
      <c r="CQ47" s="331" t="s">
        <v>984</v>
      </c>
      <c r="CR47" s="331" t="s">
        <v>984</v>
      </c>
      <c r="CS47" s="331" t="s">
        <v>984</v>
      </c>
      <c r="CT47" s="331" t="s">
        <v>984</v>
      </c>
      <c r="CU47" s="331" t="s">
        <v>984</v>
      </c>
      <c r="CV47" s="331" t="s">
        <v>984</v>
      </c>
      <c r="CW47" s="331" t="s">
        <v>984</v>
      </c>
      <c r="CX47" s="331" t="s">
        <v>984</v>
      </c>
      <c r="CY47" s="331" t="s">
        <v>984</v>
      </c>
      <c r="CZ47" s="331" t="s">
        <v>984</v>
      </c>
      <c r="DA47" s="331" t="s">
        <v>984</v>
      </c>
      <c r="DB47" s="331" t="s">
        <v>984</v>
      </c>
      <c r="DC47" s="331" t="s">
        <v>984</v>
      </c>
      <c r="DD47" s="331" t="s">
        <v>984</v>
      </c>
      <c r="DE47" s="331" t="s">
        <v>984</v>
      </c>
      <c r="DF47" s="331" t="s">
        <v>984</v>
      </c>
      <c r="DG47" s="331" t="s">
        <v>984</v>
      </c>
      <c r="DH47" s="331" t="s">
        <v>984</v>
      </c>
      <c r="DI47" s="331" t="s">
        <v>984</v>
      </c>
      <c r="DJ47" s="331" t="s">
        <v>984</v>
      </c>
      <c r="DK47" s="331" t="s">
        <v>984</v>
      </c>
      <c r="DL47" s="331" t="s">
        <v>984</v>
      </c>
      <c r="DM47" s="331" t="s">
        <v>984</v>
      </c>
      <c r="DN47" s="331" t="s">
        <v>984</v>
      </c>
      <c r="DO47" s="331" t="s">
        <v>984</v>
      </c>
      <c r="DP47" s="331" t="s">
        <v>984</v>
      </c>
      <c r="DQ47" s="331" t="s">
        <v>984</v>
      </c>
      <c r="DR47" s="331" t="s">
        <v>984</v>
      </c>
      <c r="DS47" s="331" t="s">
        <v>984</v>
      </c>
      <c r="DT47" s="331" t="s">
        <v>984</v>
      </c>
      <c r="DU47" s="331" t="s">
        <v>984</v>
      </c>
      <c r="DV47" s="331" t="s">
        <v>984</v>
      </c>
      <c r="DW47" s="331" t="s">
        <v>984</v>
      </c>
      <c r="DX47" s="331" t="s">
        <v>984</v>
      </c>
      <c r="DY47" s="331" t="s">
        <v>984</v>
      </c>
      <c r="DZ47" s="331" t="s">
        <v>984</v>
      </c>
      <c r="EA47" s="331" t="s">
        <v>984</v>
      </c>
      <c r="EB47" s="331" t="s">
        <v>984</v>
      </c>
      <c r="EC47" s="331" t="s">
        <v>984</v>
      </c>
      <c r="ED47" s="331" t="s">
        <v>984</v>
      </c>
      <c r="EE47" s="331" t="s">
        <v>984</v>
      </c>
      <c r="EF47" s="331" t="s">
        <v>984</v>
      </c>
      <c r="EG47" s="331" t="s">
        <v>984</v>
      </c>
      <c r="EH47" s="331" t="s">
        <v>984</v>
      </c>
      <c r="EI47" s="331" t="s">
        <v>984</v>
      </c>
      <c r="EJ47" s="331" t="s">
        <v>984</v>
      </c>
      <c r="EK47" s="331" t="s">
        <v>984</v>
      </c>
      <c r="EL47" s="331" t="s">
        <v>984</v>
      </c>
      <c r="EM47" s="331" t="s">
        <v>984</v>
      </c>
      <c r="EN47" s="331" t="s">
        <v>984</v>
      </c>
      <c r="EO47" s="331" t="s">
        <v>984</v>
      </c>
      <c r="EP47" s="331" t="s">
        <v>984</v>
      </c>
      <c r="EQ47" s="331" t="s">
        <v>984</v>
      </c>
      <c r="ER47" s="331" t="s">
        <v>984</v>
      </c>
      <c r="ES47" s="331" t="s">
        <v>984</v>
      </c>
      <c r="ET47" s="331" t="s">
        <v>984</v>
      </c>
      <c r="EU47" s="331" t="s">
        <v>984</v>
      </c>
      <c r="EV47" s="331" t="s">
        <v>984</v>
      </c>
      <c r="EW47" s="331" t="s">
        <v>984</v>
      </c>
      <c r="EX47" s="331" t="s">
        <v>984</v>
      </c>
      <c r="EY47" s="331" t="s">
        <v>984</v>
      </c>
      <c r="EZ47" s="331" t="s">
        <v>984</v>
      </c>
      <c r="FA47" s="331" t="s">
        <v>984</v>
      </c>
      <c r="FB47" s="331" t="s">
        <v>984</v>
      </c>
      <c r="FC47" s="331" t="s">
        <v>984</v>
      </c>
      <c r="FD47" s="331" t="s">
        <v>984</v>
      </c>
      <c r="FE47" s="331" t="s">
        <v>984</v>
      </c>
      <c r="FF47" s="331" t="s">
        <v>984</v>
      </c>
      <c r="FG47" s="331" t="s">
        <v>984</v>
      </c>
      <c r="FH47" s="331" t="s">
        <v>984</v>
      </c>
      <c r="FI47" s="331" t="s">
        <v>984</v>
      </c>
      <c r="FJ47" s="331" t="s">
        <v>984</v>
      </c>
      <c r="FK47" s="331" t="s">
        <v>984</v>
      </c>
      <c r="FL47" s="331" t="s">
        <v>984</v>
      </c>
      <c r="FM47" s="331" t="s">
        <v>984</v>
      </c>
      <c r="FN47" s="331" t="s">
        <v>984</v>
      </c>
      <c r="FO47" s="331" t="s">
        <v>984</v>
      </c>
      <c r="FP47" s="331" t="s">
        <v>984</v>
      </c>
      <c r="FQ47" s="331" t="s">
        <v>984</v>
      </c>
      <c r="FR47" s="331" t="s">
        <v>984</v>
      </c>
      <c r="FS47" s="331" t="s">
        <v>984</v>
      </c>
      <c r="FT47" s="331" t="s">
        <v>984</v>
      </c>
      <c r="FU47" s="331" t="s">
        <v>984</v>
      </c>
      <c r="FV47" s="331" t="s">
        <v>984</v>
      </c>
      <c r="FW47" s="331" t="s">
        <v>984</v>
      </c>
      <c r="FX47" s="331" t="s">
        <v>984</v>
      </c>
      <c r="FY47" s="331" t="s">
        <v>984</v>
      </c>
      <c r="FZ47" s="331" t="s">
        <v>984</v>
      </c>
      <c r="GA47" s="331" t="s">
        <v>984</v>
      </c>
      <c r="GB47" s="331" t="s">
        <v>984</v>
      </c>
      <c r="GC47" s="331" t="s">
        <v>984</v>
      </c>
      <c r="GD47" s="331" t="s">
        <v>984</v>
      </c>
      <c r="GE47" s="331" t="s">
        <v>984</v>
      </c>
      <c r="GF47" s="331" t="s">
        <v>984</v>
      </c>
      <c r="GG47" s="331" t="s">
        <v>984</v>
      </c>
      <c r="GH47" s="331" t="s">
        <v>984</v>
      </c>
      <c r="GI47" s="331" t="s">
        <v>984</v>
      </c>
      <c r="GJ47" s="331" t="s">
        <v>984</v>
      </c>
      <c r="GK47" s="331" t="s">
        <v>984</v>
      </c>
      <c r="GL47" s="331" t="s">
        <v>984</v>
      </c>
      <c r="GM47" s="331" t="s">
        <v>984</v>
      </c>
      <c r="GN47" s="331" t="s">
        <v>984</v>
      </c>
      <c r="GO47" s="331" t="s">
        <v>984</v>
      </c>
      <c r="GP47" s="331" t="s">
        <v>984</v>
      </c>
      <c r="GQ47" s="331" t="s">
        <v>984</v>
      </c>
      <c r="GR47" s="331" t="s">
        <v>984</v>
      </c>
      <c r="GS47" s="331" t="s">
        <v>984</v>
      </c>
      <c r="GT47" s="331" t="s">
        <v>984</v>
      </c>
      <c r="GU47" s="331" t="s">
        <v>984</v>
      </c>
      <c r="GV47" s="331" t="s">
        <v>984</v>
      </c>
      <c r="GW47" s="331" t="s">
        <v>984</v>
      </c>
      <c r="GX47" s="331" t="s">
        <v>984</v>
      </c>
      <c r="GY47" s="331" t="s">
        <v>984</v>
      </c>
      <c r="GZ47" s="331" t="s">
        <v>984</v>
      </c>
      <c r="HA47" s="331" t="s">
        <v>984</v>
      </c>
      <c r="HB47" s="331" t="s">
        <v>984</v>
      </c>
      <c r="HC47" s="331" t="s">
        <v>984</v>
      </c>
      <c r="HD47" s="331" t="s">
        <v>984</v>
      </c>
      <c r="HE47" s="331" t="s">
        <v>984</v>
      </c>
      <c r="HF47" s="331" t="s">
        <v>984</v>
      </c>
      <c r="HG47" s="331" t="s">
        <v>984</v>
      </c>
      <c r="HH47" s="331" t="s">
        <v>984</v>
      </c>
      <c r="HI47" s="331" t="s">
        <v>984</v>
      </c>
      <c r="HJ47" s="331" t="s">
        <v>984</v>
      </c>
      <c r="HK47" s="331" t="s">
        <v>984</v>
      </c>
      <c r="HL47" s="331" t="s">
        <v>984</v>
      </c>
      <c r="HM47" s="331" t="s">
        <v>191</v>
      </c>
      <c r="HN47" s="331" t="s">
        <v>191</v>
      </c>
      <c r="HO47" s="331" t="s">
        <v>191</v>
      </c>
      <c r="HP47" s="331" t="s">
        <v>984</v>
      </c>
      <c r="HQ47" s="331" t="s">
        <v>529</v>
      </c>
      <c r="HR47" s="331" t="s">
        <v>529</v>
      </c>
      <c r="HS47" s="331" t="s">
        <v>529</v>
      </c>
      <c r="HT47" s="331" t="s">
        <v>427</v>
      </c>
      <c r="HU47" s="331" t="s">
        <v>984</v>
      </c>
      <c r="HV47" s="331" t="s">
        <v>984</v>
      </c>
    </row>
    <row r="48" spans="1:230" s="70" customFormat="1" x14ac:dyDescent="0.25">
      <c r="A48" s="330" t="str">
        <f>HYPERLINK("http://www.ofsted.gov.uk/inspection-reports/find-inspection-report/provider/ELS/147469 ","Ofsted School Webpage")</f>
        <v>Ofsted School Webpage</v>
      </c>
      <c r="B48" s="331">
        <v>147469</v>
      </c>
      <c r="C48" s="331">
        <v>3306069</v>
      </c>
      <c r="D48" s="331" t="s">
        <v>2715</v>
      </c>
      <c r="E48" s="331" t="s">
        <v>167</v>
      </c>
      <c r="F48" s="331" t="s">
        <v>437</v>
      </c>
      <c r="G48" s="331" t="s">
        <v>437</v>
      </c>
      <c r="H48" s="331" t="s">
        <v>813</v>
      </c>
      <c r="I48" s="331" t="s">
        <v>2716</v>
      </c>
      <c r="J48" s="331" t="s">
        <v>434</v>
      </c>
      <c r="K48" s="331" t="s">
        <v>81</v>
      </c>
      <c r="L48" s="331" t="s">
        <v>81</v>
      </c>
      <c r="M48" s="331" t="s">
        <v>78</v>
      </c>
      <c r="N48" s="331" t="s">
        <v>424</v>
      </c>
      <c r="O48" s="331">
        <v>10123251</v>
      </c>
      <c r="P48" s="332">
        <v>43733</v>
      </c>
      <c r="Q48" s="332">
        <v>43733</v>
      </c>
      <c r="R48" s="332">
        <v>43751</v>
      </c>
      <c r="S48" s="331" t="s">
        <v>2583</v>
      </c>
      <c r="T48" s="331" t="s">
        <v>982</v>
      </c>
      <c r="U48" s="331" t="s">
        <v>427</v>
      </c>
      <c r="V48" s="331" t="s">
        <v>2585</v>
      </c>
      <c r="W48" s="331" t="s">
        <v>191</v>
      </c>
      <c r="X48" s="331" t="s">
        <v>191</v>
      </c>
      <c r="Y48" s="331" t="s">
        <v>191</v>
      </c>
      <c r="Z48" s="331" t="s">
        <v>191</v>
      </c>
      <c r="AA48" s="331" t="s">
        <v>190</v>
      </c>
      <c r="AB48" s="331" t="s">
        <v>191</v>
      </c>
      <c r="AC48" s="331" t="s">
        <v>190</v>
      </c>
      <c r="AD48" s="331" t="s">
        <v>190</v>
      </c>
      <c r="AE48" s="331" t="s">
        <v>428</v>
      </c>
      <c r="AF48" s="331" t="s">
        <v>190</v>
      </c>
      <c r="AG48" s="331" t="s">
        <v>190</v>
      </c>
      <c r="AH48" s="331" t="s">
        <v>190</v>
      </c>
      <c r="AI48" s="331" t="s">
        <v>190</v>
      </c>
      <c r="AJ48" s="331" t="s">
        <v>190</v>
      </c>
      <c r="AK48" s="331" t="s">
        <v>190</v>
      </c>
      <c r="AL48" s="331" t="s">
        <v>190</v>
      </c>
      <c r="AM48" s="331" t="s">
        <v>428</v>
      </c>
      <c r="AN48" s="331" t="s">
        <v>428</v>
      </c>
      <c r="AO48" s="331" t="s">
        <v>191</v>
      </c>
      <c r="AP48" s="331" t="s">
        <v>190</v>
      </c>
      <c r="AQ48" s="331" t="s">
        <v>191</v>
      </c>
      <c r="AR48" s="331" t="s">
        <v>191</v>
      </c>
      <c r="AS48" s="331" t="s">
        <v>190</v>
      </c>
      <c r="AT48" s="331" t="s">
        <v>191</v>
      </c>
      <c r="AU48" s="331" t="s">
        <v>191</v>
      </c>
      <c r="AV48" s="331" t="s">
        <v>191</v>
      </c>
      <c r="AW48" s="331" t="s">
        <v>191</v>
      </c>
      <c r="AX48" s="331" t="s">
        <v>191</v>
      </c>
      <c r="AY48" s="331" t="s">
        <v>190</v>
      </c>
      <c r="AZ48" s="331" t="s">
        <v>190</v>
      </c>
      <c r="BA48" s="331" t="s">
        <v>190</v>
      </c>
      <c r="BB48" s="331" t="s">
        <v>190</v>
      </c>
      <c r="BC48" s="331" t="s">
        <v>190</v>
      </c>
      <c r="BD48" s="331" t="s">
        <v>190</v>
      </c>
      <c r="BE48" s="331" t="s">
        <v>190</v>
      </c>
      <c r="BF48" s="331" t="s">
        <v>190</v>
      </c>
      <c r="BG48" s="331" t="s">
        <v>190</v>
      </c>
      <c r="BH48" s="331" t="s">
        <v>190</v>
      </c>
      <c r="BI48" s="331" t="s">
        <v>190</v>
      </c>
      <c r="BJ48" s="331" t="s">
        <v>190</v>
      </c>
      <c r="BK48" s="331" t="s">
        <v>190</v>
      </c>
      <c r="BL48" s="331" t="s">
        <v>190</v>
      </c>
      <c r="BM48" s="331" t="s">
        <v>190</v>
      </c>
      <c r="BN48" s="331" t="s">
        <v>190</v>
      </c>
      <c r="BO48" s="331" t="s">
        <v>190</v>
      </c>
      <c r="BP48" s="331" t="s">
        <v>190</v>
      </c>
      <c r="BQ48" s="331" t="s">
        <v>190</v>
      </c>
      <c r="BR48" s="331" t="s">
        <v>190</v>
      </c>
      <c r="BS48" s="331" t="s">
        <v>190</v>
      </c>
      <c r="BT48" s="331" t="s">
        <v>190</v>
      </c>
      <c r="BU48" s="331" t="s">
        <v>428</v>
      </c>
      <c r="BV48" s="331" t="s">
        <v>428</v>
      </c>
      <c r="BW48" s="331" t="s">
        <v>428</v>
      </c>
      <c r="BX48" s="331" t="s">
        <v>190</v>
      </c>
      <c r="BY48" s="331" t="s">
        <v>190</v>
      </c>
      <c r="BZ48" s="331" t="s">
        <v>190</v>
      </c>
      <c r="CA48" s="331" t="s">
        <v>190</v>
      </c>
      <c r="CB48" s="331" t="s">
        <v>190</v>
      </c>
      <c r="CC48" s="331" t="s">
        <v>190</v>
      </c>
      <c r="CD48" s="331" t="s">
        <v>190</v>
      </c>
      <c r="CE48" s="331" t="s">
        <v>190</v>
      </c>
      <c r="CF48" s="331" t="s">
        <v>190</v>
      </c>
      <c r="CG48" s="331" t="s">
        <v>190</v>
      </c>
      <c r="CH48" s="331" t="s">
        <v>190</v>
      </c>
      <c r="CI48" s="331" t="s">
        <v>190</v>
      </c>
      <c r="CJ48" s="331" t="s">
        <v>190</v>
      </c>
      <c r="CK48" s="331" t="s">
        <v>190</v>
      </c>
      <c r="CL48" s="331" t="s">
        <v>190</v>
      </c>
      <c r="CM48" s="331" t="s">
        <v>190</v>
      </c>
      <c r="CN48" s="331" t="s">
        <v>190</v>
      </c>
      <c r="CO48" s="331" t="s">
        <v>190</v>
      </c>
      <c r="CP48" s="331" t="s">
        <v>190</v>
      </c>
      <c r="CQ48" s="331" t="s">
        <v>190</v>
      </c>
      <c r="CR48" s="331" t="s">
        <v>190</v>
      </c>
      <c r="CS48" s="331" t="s">
        <v>190</v>
      </c>
      <c r="CT48" s="331" t="s">
        <v>190</v>
      </c>
      <c r="CU48" s="331" t="s">
        <v>428</v>
      </c>
      <c r="CV48" s="331" t="s">
        <v>190</v>
      </c>
      <c r="CW48" s="331" t="s">
        <v>428</v>
      </c>
      <c r="CX48" s="331" t="s">
        <v>428</v>
      </c>
      <c r="CY48" s="331" t="s">
        <v>428</v>
      </c>
      <c r="CZ48" s="331" t="s">
        <v>428</v>
      </c>
      <c r="DA48" s="331" t="s">
        <v>428</v>
      </c>
      <c r="DB48" s="331" t="s">
        <v>428</v>
      </c>
      <c r="DC48" s="331" t="s">
        <v>428</v>
      </c>
      <c r="DD48" s="331" t="s">
        <v>428</v>
      </c>
      <c r="DE48" s="331" t="s">
        <v>428</v>
      </c>
      <c r="DF48" s="331" t="s">
        <v>428</v>
      </c>
      <c r="DG48" s="331" t="s">
        <v>428</v>
      </c>
      <c r="DH48" s="331" t="s">
        <v>428</v>
      </c>
      <c r="DI48" s="331" t="s">
        <v>428</v>
      </c>
      <c r="DJ48" s="331" t="s">
        <v>428</v>
      </c>
      <c r="DK48" s="331" t="s">
        <v>428</v>
      </c>
      <c r="DL48" s="331" t="s">
        <v>190</v>
      </c>
      <c r="DM48" s="331" t="s">
        <v>190</v>
      </c>
      <c r="DN48" s="331" t="s">
        <v>190</v>
      </c>
      <c r="DO48" s="331" t="s">
        <v>190</v>
      </c>
      <c r="DP48" s="331" t="s">
        <v>190</v>
      </c>
      <c r="DQ48" s="331" t="s">
        <v>190</v>
      </c>
      <c r="DR48" s="331" t="s">
        <v>190</v>
      </c>
      <c r="DS48" s="331" t="s">
        <v>190</v>
      </c>
      <c r="DT48" s="331" t="s">
        <v>190</v>
      </c>
      <c r="DU48" s="331" t="s">
        <v>190</v>
      </c>
      <c r="DV48" s="331" t="s">
        <v>190</v>
      </c>
      <c r="DW48" s="331" t="s">
        <v>190</v>
      </c>
      <c r="DX48" s="331" t="s">
        <v>190</v>
      </c>
      <c r="DY48" s="331" t="s">
        <v>190</v>
      </c>
      <c r="DZ48" s="331" t="s">
        <v>190</v>
      </c>
      <c r="EA48" s="331" t="s">
        <v>190</v>
      </c>
      <c r="EB48" s="331" t="s">
        <v>190</v>
      </c>
      <c r="EC48" s="331" t="s">
        <v>190</v>
      </c>
      <c r="ED48" s="331" t="s">
        <v>190</v>
      </c>
      <c r="EE48" s="331" t="s">
        <v>190</v>
      </c>
      <c r="EF48" s="331" t="s">
        <v>190</v>
      </c>
      <c r="EG48" s="331" t="s">
        <v>190</v>
      </c>
      <c r="EH48" s="331" t="s">
        <v>428</v>
      </c>
      <c r="EI48" s="331" t="s">
        <v>428</v>
      </c>
      <c r="EJ48" s="331" t="s">
        <v>428</v>
      </c>
      <c r="EK48" s="331" t="s">
        <v>428</v>
      </c>
      <c r="EL48" s="331" t="s">
        <v>428</v>
      </c>
      <c r="EM48" s="331" t="s">
        <v>428</v>
      </c>
      <c r="EN48" s="331" t="s">
        <v>428</v>
      </c>
      <c r="EO48" s="331" t="s">
        <v>190</v>
      </c>
      <c r="EP48" s="331" t="s">
        <v>428</v>
      </c>
      <c r="EQ48" s="331" t="s">
        <v>428</v>
      </c>
      <c r="ER48" s="331" t="s">
        <v>428</v>
      </c>
      <c r="ES48" s="331" t="s">
        <v>191</v>
      </c>
      <c r="ET48" s="331" t="s">
        <v>190</v>
      </c>
      <c r="EU48" s="331" t="s">
        <v>190</v>
      </c>
      <c r="EV48" s="331" t="s">
        <v>191</v>
      </c>
      <c r="EW48" s="331" t="s">
        <v>190</v>
      </c>
      <c r="EX48" s="331" t="s">
        <v>190</v>
      </c>
      <c r="EY48" s="331" t="s">
        <v>190</v>
      </c>
      <c r="EZ48" s="331" t="s">
        <v>428</v>
      </c>
      <c r="FA48" s="331" t="s">
        <v>190</v>
      </c>
      <c r="FB48" s="331" t="s">
        <v>190</v>
      </c>
      <c r="FC48" s="331" t="s">
        <v>190</v>
      </c>
      <c r="FD48" s="331" t="s">
        <v>190</v>
      </c>
      <c r="FE48" s="331" t="s">
        <v>190</v>
      </c>
      <c r="FF48" s="331" t="s">
        <v>190</v>
      </c>
      <c r="FG48" s="331" t="s">
        <v>190</v>
      </c>
      <c r="FH48" s="331" t="s">
        <v>190</v>
      </c>
      <c r="FI48" s="331" t="s">
        <v>190</v>
      </c>
      <c r="FJ48" s="331" t="s">
        <v>190</v>
      </c>
      <c r="FK48" s="331" t="s">
        <v>190</v>
      </c>
      <c r="FL48" s="331" t="s">
        <v>190</v>
      </c>
      <c r="FM48" s="331" t="s">
        <v>190</v>
      </c>
      <c r="FN48" s="331" t="s">
        <v>190</v>
      </c>
      <c r="FO48" s="331" t="s">
        <v>190</v>
      </c>
      <c r="FP48" s="331" t="s">
        <v>190</v>
      </c>
      <c r="FQ48" s="331" t="s">
        <v>190</v>
      </c>
      <c r="FR48" s="331" t="s">
        <v>428</v>
      </c>
      <c r="FS48" s="331" t="s">
        <v>190</v>
      </c>
      <c r="FT48" s="331" t="s">
        <v>190</v>
      </c>
      <c r="FU48" s="331" t="s">
        <v>190</v>
      </c>
      <c r="FV48" s="331" t="s">
        <v>190</v>
      </c>
      <c r="FW48" s="331" t="s">
        <v>190</v>
      </c>
      <c r="FX48" s="331" t="s">
        <v>428</v>
      </c>
      <c r="FY48" s="331" t="s">
        <v>190</v>
      </c>
      <c r="FZ48" s="331" t="s">
        <v>190</v>
      </c>
      <c r="GA48" s="331" t="s">
        <v>190</v>
      </c>
      <c r="GB48" s="331" t="s">
        <v>190</v>
      </c>
      <c r="GC48" s="331" t="s">
        <v>190</v>
      </c>
      <c r="GD48" s="331" t="s">
        <v>190</v>
      </c>
      <c r="GE48" s="331" t="s">
        <v>190</v>
      </c>
      <c r="GF48" s="331" t="s">
        <v>190</v>
      </c>
      <c r="GG48" s="331" t="s">
        <v>428</v>
      </c>
      <c r="GH48" s="331" t="s">
        <v>190</v>
      </c>
      <c r="GI48" s="331" t="s">
        <v>190</v>
      </c>
      <c r="GJ48" s="331" t="s">
        <v>190</v>
      </c>
      <c r="GK48" s="331" t="s">
        <v>190</v>
      </c>
      <c r="GL48" s="331" t="s">
        <v>190</v>
      </c>
      <c r="GM48" s="331" t="s">
        <v>190</v>
      </c>
      <c r="GN48" s="331" t="s">
        <v>190</v>
      </c>
      <c r="GO48" s="331" t="s">
        <v>190</v>
      </c>
      <c r="GP48" s="331" t="s">
        <v>190</v>
      </c>
      <c r="GQ48" s="331" t="s">
        <v>190</v>
      </c>
      <c r="GR48" s="331" t="s">
        <v>190</v>
      </c>
      <c r="GS48" s="331" t="s">
        <v>190</v>
      </c>
      <c r="GT48" s="331" t="s">
        <v>190</v>
      </c>
      <c r="GU48" s="331" t="s">
        <v>190</v>
      </c>
      <c r="GV48" s="331" t="s">
        <v>190</v>
      </c>
      <c r="GW48" s="331" t="s">
        <v>190</v>
      </c>
      <c r="GX48" s="331" t="s">
        <v>190</v>
      </c>
      <c r="GY48" s="331" t="s">
        <v>190</v>
      </c>
      <c r="GZ48" s="331" t="s">
        <v>190</v>
      </c>
      <c r="HA48" s="331" t="s">
        <v>190</v>
      </c>
      <c r="HB48" s="331" t="s">
        <v>190</v>
      </c>
      <c r="HC48" s="331" t="s">
        <v>190</v>
      </c>
      <c r="HD48" s="331" t="s">
        <v>190</v>
      </c>
      <c r="HE48" s="331" t="s">
        <v>190</v>
      </c>
      <c r="HF48" s="331" t="s">
        <v>190</v>
      </c>
      <c r="HG48" s="331" t="s">
        <v>190</v>
      </c>
      <c r="HH48" s="331" t="s">
        <v>190</v>
      </c>
      <c r="HI48" s="331" t="s">
        <v>190</v>
      </c>
      <c r="HJ48" s="331" t="s">
        <v>190</v>
      </c>
      <c r="HK48" s="331" t="s">
        <v>190</v>
      </c>
      <c r="HL48" s="331" t="s">
        <v>190</v>
      </c>
      <c r="HM48" s="331" t="s">
        <v>191</v>
      </c>
      <c r="HN48" s="331" t="s">
        <v>191</v>
      </c>
      <c r="HO48" s="331" t="s">
        <v>191</v>
      </c>
      <c r="HP48" s="331" t="s">
        <v>190</v>
      </c>
      <c r="HQ48" s="331" t="s">
        <v>170</v>
      </c>
      <c r="HR48" s="331" t="s">
        <v>429</v>
      </c>
      <c r="HS48" s="331" t="s">
        <v>169</v>
      </c>
      <c r="HT48" s="331" t="s">
        <v>427</v>
      </c>
      <c r="HU48" s="331" t="s">
        <v>428</v>
      </c>
      <c r="HV48" s="331" t="s">
        <v>428</v>
      </c>
    </row>
    <row r="49" spans="1:230" s="70" customFormat="1" x14ac:dyDescent="0.25">
      <c r="A49" s="330" t="str">
        <f>HYPERLINK("http://www.ofsted.gov.uk/inspection-reports/find-inspection-report/provider/ELS/135596 ","Ofsted School Webpage")</f>
        <v>Ofsted School Webpage</v>
      </c>
      <c r="B49" s="331">
        <v>135596</v>
      </c>
      <c r="C49" s="331">
        <v>9196261</v>
      </c>
      <c r="D49" s="331" t="s">
        <v>1959</v>
      </c>
      <c r="E49" s="331" t="s">
        <v>167</v>
      </c>
      <c r="F49" s="331" t="s">
        <v>451</v>
      </c>
      <c r="G49" s="331" t="s">
        <v>451</v>
      </c>
      <c r="H49" s="331" t="s">
        <v>489</v>
      </c>
      <c r="I49" s="331" t="s">
        <v>1960</v>
      </c>
      <c r="J49" s="331" t="s">
        <v>81</v>
      </c>
      <c r="K49" s="331" t="s">
        <v>66</v>
      </c>
      <c r="L49" s="331" t="s">
        <v>66</v>
      </c>
      <c r="M49" s="331" t="s">
        <v>59</v>
      </c>
      <c r="N49" s="331" t="s">
        <v>424</v>
      </c>
      <c r="O49" s="331">
        <v>10119774</v>
      </c>
      <c r="P49" s="332">
        <v>43734</v>
      </c>
      <c r="Q49" s="332">
        <v>43734</v>
      </c>
      <c r="R49" s="332">
        <v>43773</v>
      </c>
      <c r="S49" s="331" t="s">
        <v>985</v>
      </c>
      <c r="T49" s="331" t="s">
        <v>982</v>
      </c>
      <c r="U49" s="331" t="s">
        <v>427</v>
      </c>
      <c r="V49" s="331" t="s">
        <v>166</v>
      </c>
      <c r="W49" s="331" t="s">
        <v>191</v>
      </c>
      <c r="X49" s="331" t="s">
        <v>191</v>
      </c>
      <c r="Y49" s="331" t="s">
        <v>984</v>
      </c>
      <c r="Z49" s="331" t="s">
        <v>984</v>
      </c>
      <c r="AA49" s="331" t="s">
        <v>984</v>
      </c>
      <c r="AB49" s="331" t="s">
        <v>190</v>
      </c>
      <c r="AC49" s="331" t="s">
        <v>984</v>
      </c>
      <c r="AD49" s="331" t="s">
        <v>984</v>
      </c>
      <c r="AE49" s="331" t="s">
        <v>984</v>
      </c>
      <c r="AF49" s="331" t="s">
        <v>190</v>
      </c>
      <c r="AG49" s="331" t="s">
        <v>984</v>
      </c>
      <c r="AH49" s="331" t="s">
        <v>190</v>
      </c>
      <c r="AI49" s="331" t="s">
        <v>984</v>
      </c>
      <c r="AJ49" s="331" t="s">
        <v>984</v>
      </c>
      <c r="AK49" s="331" t="s">
        <v>984</v>
      </c>
      <c r="AL49" s="331" t="s">
        <v>984</v>
      </c>
      <c r="AM49" s="331" t="s">
        <v>984</v>
      </c>
      <c r="AN49" s="331" t="s">
        <v>984</v>
      </c>
      <c r="AO49" s="331" t="s">
        <v>984</v>
      </c>
      <c r="AP49" s="331" t="s">
        <v>984</v>
      </c>
      <c r="AQ49" s="331" t="s">
        <v>191</v>
      </c>
      <c r="AR49" s="331" t="s">
        <v>984</v>
      </c>
      <c r="AS49" s="331" t="s">
        <v>984</v>
      </c>
      <c r="AT49" s="331" t="s">
        <v>191</v>
      </c>
      <c r="AU49" s="331" t="s">
        <v>191</v>
      </c>
      <c r="AV49" s="331" t="s">
        <v>984</v>
      </c>
      <c r="AW49" s="331" t="s">
        <v>984</v>
      </c>
      <c r="AX49" s="331" t="s">
        <v>984</v>
      </c>
      <c r="AY49" s="331" t="s">
        <v>190</v>
      </c>
      <c r="AZ49" s="331" t="s">
        <v>984</v>
      </c>
      <c r="BA49" s="331" t="s">
        <v>984</v>
      </c>
      <c r="BB49" s="331" t="s">
        <v>984</v>
      </c>
      <c r="BC49" s="331" t="s">
        <v>190</v>
      </c>
      <c r="BD49" s="331" t="s">
        <v>984</v>
      </c>
      <c r="BE49" s="331" t="s">
        <v>190</v>
      </c>
      <c r="BF49" s="331" t="s">
        <v>984</v>
      </c>
      <c r="BG49" s="331" t="s">
        <v>984</v>
      </c>
      <c r="BH49" s="331" t="s">
        <v>984</v>
      </c>
      <c r="BI49" s="331" t="s">
        <v>984</v>
      </c>
      <c r="BJ49" s="331" t="s">
        <v>984</v>
      </c>
      <c r="BK49" s="331" t="s">
        <v>190</v>
      </c>
      <c r="BL49" s="331" t="s">
        <v>984</v>
      </c>
      <c r="BM49" s="331" t="s">
        <v>984</v>
      </c>
      <c r="BN49" s="331" t="s">
        <v>984</v>
      </c>
      <c r="BO49" s="331" t="s">
        <v>984</v>
      </c>
      <c r="BP49" s="331" t="s">
        <v>984</v>
      </c>
      <c r="BQ49" s="331" t="s">
        <v>984</v>
      </c>
      <c r="BR49" s="331" t="s">
        <v>190</v>
      </c>
      <c r="BS49" s="331" t="s">
        <v>190</v>
      </c>
      <c r="BT49" s="331" t="s">
        <v>190</v>
      </c>
      <c r="BU49" s="331" t="s">
        <v>984</v>
      </c>
      <c r="BV49" s="331" t="s">
        <v>984</v>
      </c>
      <c r="BW49" s="331" t="s">
        <v>984</v>
      </c>
      <c r="BX49" s="331" t="s">
        <v>190</v>
      </c>
      <c r="BY49" s="331" t="s">
        <v>984</v>
      </c>
      <c r="BZ49" s="331" t="s">
        <v>190</v>
      </c>
      <c r="CA49" s="331" t="s">
        <v>984</v>
      </c>
      <c r="CB49" s="331" t="s">
        <v>984</v>
      </c>
      <c r="CC49" s="331" t="s">
        <v>984</v>
      </c>
      <c r="CD49" s="331" t="s">
        <v>984</v>
      </c>
      <c r="CE49" s="331" t="s">
        <v>984</v>
      </c>
      <c r="CF49" s="331" t="s">
        <v>984</v>
      </c>
      <c r="CG49" s="331" t="s">
        <v>984</v>
      </c>
      <c r="CH49" s="331" t="s">
        <v>984</v>
      </c>
      <c r="CI49" s="331" t="s">
        <v>984</v>
      </c>
      <c r="CJ49" s="331" t="s">
        <v>984</v>
      </c>
      <c r="CK49" s="331" t="s">
        <v>984</v>
      </c>
      <c r="CL49" s="331" t="s">
        <v>984</v>
      </c>
      <c r="CM49" s="331" t="s">
        <v>984</v>
      </c>
      <c r="CN49" s="331" t="s">
        <v>984</v>
      </c>
      <c r="CO49" s="331" t="s">
        <v>984</v>
      </c>
      <c r="CP49" s="331" t="s">
        <v>984</v>
      </c>
      <c r="CQ49" s="331" t="s">
        <v>984</v>
      </c>
      <c r="CR49" s="331" t="s">
        <v>984</v>
      </c>
      <c r="CS49" s="331" t="s">
        <v>984</v>
      </c>
      <c r="CT49" s="331" t="s">
        <v>984</v>
      </c>
      <c r="CU49" s="331" t="s">
        <v>984</v>
      </c>
      <c r="CV49" s="331" t="s">
        <v>984</v>
      </c>
      <c r="CW49" s="331" t="s">
        <v>984</v>
      </c>
      <c r="CX49" s="331" t="s">
        <v>984</v>
      </c>
      <c r="CY49" s="331" t="s">
        <v>984</v>
      </c>
      <c r="CZ49" s="331" t="s">
        <v>984</v>
      </c>
      <c r="DA49" s="331" t="s">
        <v>984</v>
      </c>
      <c r="DB49" s="331" t="s">
        <v>984</v>
      </c>
      <c r="DC49" s="331" t="s">
        <v>984</v>
      </c>
      <c r="DD49" s="331" t="s">
        <v>984</v>
      </c>
      <c r="DE49" s="331" t="s">
        <v>984</v>
      </c>
      <c r="DF49" s="331" t="s">
        <v>984</v>
      </c>
      <c r="DG49" s="331" t="s">
        <v>984</v>
      </c>
      <c r="DH49" s="331" t="s">
        <v>984</v>
      </c>
      <c r="DI49" s="331" t="s">
        <v>984</v>
      </c>
      <c r="DJ49" s="331" t="s">
        <v>984</v>
      </c>
      <c r="DK49" s="331" t="s">
        <v>984</v>
      </c>
      <c r="DL49" s="331" t="s">
        <v>984</v>
      </c>
      <c r="DM49" s="331" t="s">
        <v>984</v>
      </c>
      <c r="DN49" s="331" t="s">
        <v>984</v>
      </c>
      <c r="DO49" s="331" t="s">
        <v>984</v>
      </c>
      <c r="DP49" s="331" t="s">
        <v>984</v>
      </c>
      <c r="DQ49" s="331" t="s">
        <v>984</v>
      </c>
      <c r="DR49" s="331" t="s">
        <v>984</v>
      </c>
      <c r="DS49" s="331" t="s">
        <v>984</v>
      </c>
      <c r="DT49" s="331" t="s">
        <v>984</v>
      </c>
      <c r="DU49" s="331" t="s">
        <v>984</v>
      </c>
      <c r="DV49" s="331" t="s">
        <v>984</v>
      </c>
      <c r="DW49" s="331" t="s">
        <v>984</v>
      </c>
      <c r="DX49" s="331" t="s">
        <v>984</v>
      </c>
      <c r="DY49" s="331" t="s">
        <v>984</v>
      </c>
      <c r="DZ49" s="331" t="s">
        <v>984</v>
      </c>
      <c r="EA49" s="331" t="s">
        <v>984</v>
      </c>
      <c r="EB49" s="331" t="s">
        <v>984</v>
      </c>
      <c r="EC49" s="331" t="s">
        <v>984</v>
      </c>
      <c r="ED49" s="331" t="s">
        <v>984</v>
      </c>
      <c r="EE49" s="331" t="s">
        <v>984</v>
      </c>
      <c r="EF49" s="331" t="s">
        <v>984</v>
      </c>
      <c r="EG49" s="331" t="s">
        <v>984</v>
      </c>
      <c r="EH49" s="331" t="s">
        <v>984</v>
      </c>
      <c r="EI49" s="331" t="s">
        <v>984</v>
      </c>
      <c r="EJ49" s="331" t="s">
        <v>984</v>
      </c>
      <c r="EK49" s="331" t="s">
        <v>984</v>
      </c>
      <c r="EL49" s="331" t="s">
        <v>984</v>
      </c>
      <c r="EM49" s="331" t="s">
        <v>984</v>
      </c>
      <c r="EN49" s="331" t="s">
        <v>984</v>
      </c>
      <c r="EO49" s="331" t="s">
        <v>984</v>
      </c>
      <c r="EP49" s="331" t="s">
        <v>984</v>
      </c>
      <c r="EQ49" s="331" t="s">
        <v>984</v>
      </c>
      <c r="ER49" s="331" t="s">
        <v>984</v>
      </c>
      <c r="ES49" s="331" t="s">
        <v>984</v>
      </c>
      <c r="ET49" s="331" t="s">
        <v>984</v>
      </c>
      <c r="EU49" s="331" t="s">
        <v>984</v>
      </c>
      <c r="EV49" s="331" t="s">
        <v>984</v>
      </c>
      <c r="EW49" s="331" t="s">
        <v>984</v>
      </c>
      <c r="EX49" s="331" t="s">
        <v>984</v>
      </c>
      <c r="EY49" s="331" t="s">
        <v>984</v>
      </c>
      <c r="EZ49" s="331" t="s">
        <v>984</v>
      </c>
      <c r="FA49" s="331" t="s">
        <v>984</v>
      </c>
      <c r="FB49" s="331" t="s">
        <v>984</v>
      </c>
      <c r="FC49" s="331" t="s">
        <v>984</v>
      </c>
      <c r="FD49" s="331" t="s">
        <v>984</v>
      </c>
      <c r="FE49" s="331" t="s">
        <v>984</v>
      </c>
      <c r="FF49" s="331" t="s">
        <v>984</v>
      </c>
      <c r="FG49" s="331" t="s">
        <v>984</v>
      </c>
      <c r="FH49" s="331" t="s">
        <v>984</v>
      </c>
      <c r="FI49" s="331" t="s">
        <v>984</v>
      </c>
      <c r="FJ49" s="331" t="s">
        <v>984</v>
      </c>
      <c r="FK49" s="331" t="s">
        <v>984</v>
      </c>
      <c r="FL49" s="331" t="s">
        <v>984</v>
      </c>
      <c r="FM49" s="331" t="s">
        <v>984</v>
      </c>
      <c r="FN49" s="331" t="s">
        <v>984</v>
      </c>
      <c r="FO49" s="331" t="s">
        <v>984</v>
      </c>
      <c r="FP49" s="331" t="s">
        <v>984</v>
      </c>
      <c r="FQ49" s="331" t="s">
        <v>984</v>
      </c>
      <c r="FR49" s="331" t="s">
        <v>984</v>
      </c>
      <c r="FS49" s="331" t="s">
        <v>190</v>
      </c>
      <c r="FT49" s="331" t="s">
        <v>984</v>
      </c>
      <c r="FU49" s="331" t="s">
        <v>190</v>
      </c>
      <c r="FV49" s="331" t="s">
        <v>984</v>
      </c>
      <c r="FW49" s="331" t="s">
        <v>984</v>
      </c>
      <c r="FX49" s="331" t="s">
        <v>984</v>
      </c>
      <c r="FY49" s="331" t="s">
        <v>984</v>
      </c>
      <c r="FZ49" s="331" t="s">
        <v>984</v>
      </c>
      <c r="GA49" s="331" t="s">
        <v>984</v>
      </c>
      <c r="GB49" s="331" t="s">
        <v>984</v>
      </c>
      <c r="GC49" s="331" t="s">
        <v>984</v>
      </c>
      <c r="GD49" s="331" t="s">
        <v>984</v>
      </c>
      <c r="GE49" s="331" t="s">
        <v>984</v>
      </c>
      <c r="GF49" s="331" t="s">
        <v>984</v>
      </c>
      <c r="GG49" s="331" t="s">
        <v>984</v>
      </c>
      <c r="GH49" s="331" t="s">
        <v>984</v>
      </c>
      <c r="GI49" s="331" t="s">
        <v>984</v>
      </c>
      <c r="GJ49" s="331" t="s">
        <v>984</v>
      </c>
      <c r="GK49" s="331" t="s">
        <v>190</v>
      </c>
      <c r="GL49" s="331" t="s">
        <v>984</v>
      </c>
      <c r="GM49" s="331" t="s">
        <v>984</v>
      </c>
      <c r="GN49" s="331" t="s">
        <v>984</v>
      </c>
      <c r="GO49" s="331" t="s">
        <v>984</v>
      </c>
      <c r="GP49" s="331" t="s">
        <v>984</v>
      </c>
      <c r="GQ49" s="331" t="s">
        <v>190</v>
      </c>
      <c r="GR49" s="331" t="s">
        <v>984</v>
      </c>
      <c r="GS49" s="331" t="s">
        <v>984</v>
      </c>
      <c r="GT49" s="331" t="s">
        <v>984</v>
      </c>
      <c r="GU49" s="331" t="s">
        <v>984</v>
      </c>
      <c r="GV49" s="331" t="s">
        <v>984</v>
      </c>
      <c r="GW49" s="331" t="s">
        <v>984</v>
      </c>
      <c r="GX49" s="331" t="s">
        <v>984</v>
      </c>
      <c r="GY49" s="331" t="s">
        <v>984</v>
      </c>
      <c r="GZ49" s="331" t="s">
        <v>984</v>
      </c>
      <c r="HA49" s="331" t="s">
        <v>984</v>
      </c>
      <c r="HB49" s="331" t="s">
        <v>984</v>
      </c>
      <c r="HC49" s="331" t="s">
        <v>984</v>
      </c>
      <c r="HD49" s="331" t="s">
        <v>984</v>
      </c>
      <c r="HE49" s="331" t="s">
        <v>984</v>
      </c>
      <c r="HF49" s="331" t="s">
        <v>984</v>
      </c>
      <c r="HG49" s="331" t="s">
        <v>984</v>
      </c>
      <c r="HH49" s="331" t="s">
        <v>984</v>
      </c>
      <c r="HI49" s="331" t="s">
        <v>984</v>
      </c>
      <c r="HJ49" s="331" t="s">
        <v>984</v>
      </c>
      <c r="HK49" s="331" t="s">
        <v>984</v>
      </c>
      <c r="HL49" s="331" t="s">
        <v>984</v>
      </c>
      <c r="HM49" s="331" t="s">
        <v>191</v>
      </c>
      <c r="HN49" s="331" t="s">
        <v>191</v>
      </c>
      <c r="HO49" s="331" t="s">
        <v>191</v>
      </c>
      <c r="HP49" s="331" t="s">
        <v>190</v>
      </c>
      <c r="HQ49" s="331" t="s">
        <v>170</v>
      </c>
      <c r="HR49" s="331" t="s">
        <v>429</v>
      </c>
      <c r="HS49" s="331" t="s">
        <v>169</v>
      </c>
      <c r="HT49" s="331" t="s">
        <v>427</v>
      </c>
      <c r="HU49" s="331" t="s">
        <v>984</v>
      </c>
      <c r="HV49" s="331" t="s">
        <v>984</v>
      </c>
    </row>
    <row r="50" spans="1:230" s="70" customFormat="1" x14ac:dyDescent="0.25">
      <c r="A50" s="330" t="str">
        <f>HYPERLINK("http://www.ofsted.gov.uk/inspection-reports/find-inspection-report/provider/ELS/136746 ","Ofsted School Webpage")</f>
        <v>Ofsted School Webpage</v>
      </c>
      <c r="B50" s="331">
        <v>136746</v>
      </c>
      <c r="C50" s="331">
        <v>3016003</v>
      </c>
      <c r="D50" s="331" t="s">
        <v>603</v>
      </c>
      <c r="E50" s="331" t="s">
        <v>167</v>
      </c>
      <c r="F50" s="331" t="s">
        <v>441</v>
      </c>
      <c r="G50" s="331" t="s">
        <v>441</v>
      </c>
      <c r="H50" s="331" t="s">
        <v>604</v>
      </c>
      <c r="I50" s="331" t="s">
        <v>605</v>
      </c>
      <c r="J50" s="331" t="s">
        <v>81</v>
      </c>
      <c r="K50" s="331" t="s">
        <v>72</v>
      </c>
      <c r="L50" s="331" t="s">
        <v>72</v>
      </c>
      <c r="M50" s="331" t="s">
        <v>72</v>
      </c>
      <c r="N50" s="331" t="s">
        <v>424</v>
      </c>
      <c r="O50" s="331">
        <v>10119826</v>
      </c>
      <c r="P50" s="332">
        <v>43734</v>
      </c>
      <c r="Q50" s="332">
        <v>43734</v>
      </c>
      <c r="R50" s="332">
        <v>43783</v>
      </c>
      <c r="S50" s="331" t="s">
        <v>997</v>
      </c>
      <c r="T50" s="331" t="s">
        <v>982</v>
      </c>
      <c r="U50" s="331" t="s">
        <v>427</v>
      </c>
      <c r="V50" s="331" t="s">
        <v>2708</v>
      </c>
      <c r="W50" s="331" t="s">
        <v>984</v>
      </c>
      <c r="X50" s="331" t="s">
        <v>984</v>
      </c>
      <c r="Y50" s="331" t="s">
        <v>984</v>
      </c>
      <c r="Z50" s="331" t="s">
        <v>984</v>
      </c>
      <c r="AA50" s="331" t="s">
        <v>984</v>
      </c>
      <c r="AB50" s="331" t="s">
        <v>984</v>
      </c>
      <c r="AC50" s="331" t="s">
        <v>984</v>
      </c>
      <c r="AD50" s="331" t="s">
        <v>984</v>
      </c>
      <c r="AE50" s="331" t="s">
        <v>984</v>
      </c>
      <c r="AF50" s="331" t="s">
        <v>984</v>
      </c>
      <c r="AG50" s="331" t="s">
        <v>984</v>
      </c>
      <c r="AH50" s="331" t="s">
        <v>984</v>
      </c>
      <c r="AI50" s="331" t="s">
        <v>984</v>
      </c>
      <c r="AJ50" s="331" t="s">
        <v>984</v>
      </c>
      <c r="AK50" s="331" t="s">
        <v>984</v>
      </c>
      <c r="AL50" s="331" t="s">
        <v>984</v>
      </c>
      <c r="AM50" s="331" t="s">
        <v>984</v>
      </c>
      <c r="AN50" s="331" t="s">
        <v>984</v>
      </c>
      <c r="AO50" s="331" t="s">
        <v>984</v>
      </c>
      <c r="AP50" s="331" t="s">
        <v>984</v>
      </c>
      <c r="AQ50" s="331" t="s">
        <v>984</v>
      </c>
      <c r="AR50" s="331" t="s">
        <v>984</v>
      </c>
      <c r="AS50" s="331" t="s">
        <v>984</v>
      </c>
      <c r="AT50" s="331" t="s">
        <v>984</v>
      </c>
      <c r="AU50" s="331" t="s">
        <v>984</v>
      </c>
      <c r="AV50" s="331" t="s">
        <v>984</v>
      </c>
      <c r="AW50" s="331" t="s">
        <v>984</v>
      </c>
      <c r="AX50" s="331" t="s">
        <v>984</v>
      </c>
      <c r="AY50" s="331" t="s">
        <v>984</v>
      </c>
      <c r="AZ50" s="331" t="s">
        <v>984</v>
      </c>
      <c r="BA50" s="331" t="s">
        <v>984</v>
      </c>
      <c r="BB50" s="331" t="s">
        <v>984</v>
      </c>
      <c r="BC50" s="331" t="s">
        <v>191</v>
      </c>
      <c r="BD50" s="331" t="s">
        <v>984</v>
      </c>
      <c r="BE50" s="331" t="s">
        <v>984</v>
      </c>
      <c r="BF50" s="331" t="s">
        <v>191</v>
      </c>
      <c r="BG50" s="331" t="s">
        <v>984</v>
      </c>
      <c r="BH50" s="331" t="s">
        <v>984</v>
      </c>
      <c r="BI50" s="331" t="s">
        <v>984</v>
      </c>
      <c r="BJ50" s="331" t="s">
        <v>984</v>
      </c>
      <c r="BK50" s="331" t="s">
        <v>191</v>
      </c>
      <c r="BL50" s="331" t="s">
        <v>984</v>
      </c>
      <c r="BM50" s="331" t="s">
        <v>984</v>
      </c>
      <c r="BN50" s="331" t="s">
        <v>984</v>
      </c>
      <c r="BO50" s="331" t="s">
        <v>984</v>
      </c>
      <c r="BP50" s="331" t="s">
        <v>984</v>
      </c>
      <c r="BQ50" s="331" t="s">
        <v>984</v>
      </c>
      <c r="BR50" s="331" t="s">
        <v>191</v>
      </c>
      <c r="BS50" s="331" t="s">
        <v>191</v>
      </c>
      <c r="BT50" s="331" t="s">
        <v>191</v>
      </c>
      <c r="BU50" s="331" t="s">
        <v>984</v>
      </c>
      <c r="BV50" s="331" t="s">
        <v>984</v>
      </c>
      <c r="BW50" s="331" t="s">
        <v>984</v>
      </c>
      <c r="BX50" s="331" t="s">
        <v>984</v>
      </c>
      <c r="BY50" s="331" t="s">
        <v>984</v>
      </c>
      <c r="BZ50" s="331" t="s">
        <v>984</v>
      </c>
      <c r="CA50" s="331" t="s">
        <v>984</v>
      </c>
      <c r="CB50" s="331" t="s">
        <v>984</v>
      </c>
      <c r="CC50" s="331" t="s">
        <v>984</v>
      </c>
      <c r="CD50" s="331" t="s">
        <v>984</v>
      </c>
      <c r="CE50" s="331" t="s">
        <v>984</v>
      </c>
      <c r="CF50" s="331" t="s">
        <v>191</v>
      </c>
      <c r="CG50" s="331" t="s">
        <v>984</v>
      </c>
      <c r="CH50" s="331" t="s">
        <v>984</v>
      </c>
      <c r="CI50" s="331" t="s">
        <v>984</v>
      </c>
      <c r="CJ50" s="331" t="s">
        <v>984</v>
      </c>
      <c r="CK50" s="331" t="s">
        <v>984</v>
      </c>
      <c r="CL50" s="331" t="s">
        <v>984</v>
      </c>
      <c r="CM50" s="331" t="s">
        <v>984</v>
      </c>
      <c r="CN50" s="331" t="s">
        <v>984</v>
      </c>
      <c r="CO50" s="331" t="s">
        <v>984</v>
      </c>
      <c r="CP50" s="331" t="s">
        <v>984</v>
      </c>
      <c r="CQ50" s="331" t="s">
        <v>984</v>
      </c>
      <c r="CR50" s="331" t="s">
        <v>984</v>
      </c>
      <c r="CS50" s="331" t="s">
        <v>984</v>
      </c>
      <c r="CT50" s="331" t="s">
        <v>984</v>
      </c>
      <c r="CU50" s="331" t="s">
        <v>984</v>
      </c>
      <c r="CV50" s="331" t="s">
        <v>984</v>
      </c>
      <c r="CW50" s="331" t="s">
        <v>984</v>
      </c>
      <c r="CX50" s="331" t="s">
        <v>984</v>
      </c>
      <c r="CY50" s="331" t="s">
        <v>984</v>
      </c>
      <c r="CZ50" s="331" t="s">
        <v>984</v>
      </c>
      <c r="DA50" s="331" t="s">
        <v>984</v>
      </c>
      <c r="DB50" s="331" t="s">
        <v>984</v>
      </c>
      <c r="DC50" s="331" t="s">
        <v>984</v>
      </c>
      <c r="DD50" s="331" t="s">
        <v>984</v>
      </c>
      <c r="DE50" s="331" t="s">
        <v>984</v>
      </c>
      <c r="DF50" s="331" t="s">
        <v>984</v>
      </c>
      <c r="DG50" s="331" t="s">
        <v>984</v>
      </c>
      <c r="DH50" s="331" t="s">
        <v>984</v>
      </c>
      <c r="DI50" s="331" t="s">
        <v>984</v>
      </c>
      <c r="DJ50" s="331" t="s">
        <v>984</v>
      </c>
      <c r="DK50" s="331" t="s">
        <v>984</v>
      </c>
      <c r="DL50" s="331" t="s">
        <v>984</v>
      </c>
      <c r="DM50" s="331" t="s">
        <v>984</v>
      </c>
      <c r="DN50" s="331" t="s">
        <v>984</v>
      </c>
      <c r="DO50" s="331" t="s">
        <v>984</v>
      </c>
      <c r="DP50" s="331" t="s">
        <v>984</v>
      </c>
      <c r="DQ50" s="331" t="s">
        <v>984</v>
      </c>
      <c r="DR50" s="331" t="s">
        <v>984</v>
      </c>
      <c r="DS50" s="331" t="s">
        <v>984</v>
      </c>
      <c r="DT50" s="331" t="s">
        <v>984</v>
      </c>
      <c r="DU50" s="331" t="s">
        <v>984</v>
      </c>
      <c r="DV50" s="331" t="s">
        <v>984</v>
      </c>
      <c r="DW50" s="331" t="s">
        <v>984</v>
      </c>
      <c r="DX50" s="331" t="s">
        <v>984</v>
      </c>
      <c r="DY50" s="331" t="s">
        <v>984</v>
      </c>
      <c r="DZ50" s="331" t="s">
        <v>984</v>
      </c>
      <c r="EA50" s="331" t="s">
        <v>984</v>
      </c>
      <c r="EB50" s="331" t="s">
        <v>984</v>
      </c>
      <c r="EC50" s="331" t="s">
        <v>984</v>
      </c>
      <c r="ED50" s="331" t="s">
        <v>984</v>
      </c>
      <c r="EE50" s="331" t="s">
        <v>984</v>
      </c>
      <c r="EF50" s="331" t="s">
        <v>984</v>
      </c>
      <c r="EG50" s="331" t="s">
        <v>984</v>
      </c>
      <c r="EH50" s="331" t="s">
        <v>984</v>
      </c>
      <c r="EI50" s="331" t="s">
        <v>984</v>
      </c>
      <c r="EJ50" s="331" t="s">
        <v>984</v>
      </c>
      <c r="EK50" s="331" t="s">
        <v>984</v>
      </c>
      <c r="EL50" s="331" t="s">
        <v>984</v>
      </c>
      <c r="EM50" s="331" t="s">
        <v>984</v>
      </c>
      <c r="EN50" s="331" t="s">
        <v>984</v>
      </c>
      <c r="EO50" s="331" t="s">
        <v>984</v>
      </c>
      <c r="EP50" s="331" t="s">
        <v>984</v>
      </c>
      <c r="EQ50" s="331" t="s">
        <v>984</v>
      </c>
      <c r="ER50" s="331" t="s">
        <v>984</v>
      </c>
      <c r="ES50" s="331" t="s">
        <v>984</v>
      </c>
      <c r="ET50" s="331" t="s">
        <v>984</v>
      </c>
      <c r="EU50" s="331" t="s">
        <v>984</v>
      </c>
      <c r="EV50" s="331" t="s">
        <v>984</v>
      </c>
      <c r="EW50" s="331" t="s">
        <v>984</v>
      </c>
      <c r="EX50" s="331" t="s">
        <v>984</v>
      </c>
      <c r="EY50" s="331" t="s">
        <v>984</v>
      </c>
      <c r="EZ50" s="331" t="s">
        <v>984</v>
      </c>
      <c r="FA50" s="331" t="s">
        <v>984</v>
      </c>
      <c r="FB50" s="331" t="s">
        <v>984</v>
      </c>
      <c r="FC50" s="331" t="s">
        <v>984</v>
      </c>
      <c r="FD50" s="331" t="s">
        <v>984</v>
      </c>
      <c r="FE50" s="331" t="s">
        <v>984</v>
      </c>
      <c r="FF50" s="331" t="s">
        <v>984</v>
      </c>
      <c r="FG50" s="331" t="s">
        <v>984</v>
      </c>
      <c r="FH50" s="331" t="s">
        <v>984</v>
      </c>
      <c r="FI50" s="331" t="s">
        <v>984</v>
      </c>
      <c r="FJ50" s="331" t="s">
        <v>984</v>
      </c>
      <c r="FK50" s="331" t="s">
        <v>984</v>
      </c>
      <c r="FL50" s="331" t="s">
        <v>984</v>
      </c>
      <c r="FM50" s="331" t="s">
        <v>984</v>
      </c>
      <c r="FN50" s="331" t="s">
        <v>984</v>
      </c>
      <c r="FO50" s="331" t="s">
        <v>984</v>
      </c>
      <c r="FP50" s="331" t="s">
        <v>984</v>
      </c>
      <c r="FQ50" s="331" t="s">
        <v>984</v>
      </c>
      <c r="FR50" s="331" t="s">
        <v>984</v>
      </c>
      <c r="FS50" s="331" t="s">
        <v>190</v>
      </c>
      <c r="FT50" s="331" t="s">
        <v>984</v>
      </c>
      <c r="FU50" s="331" t="s">
        <v>984</v>
      </c>
      <c r="FV50" s="331" t="s">
        <v>190</v>
      </c>
      <c r="FW50" s="331" t="s">
        <v>984</v>
      </c>
      <c r="FX50" s="331" t="s">
        <v>984</v>
      </c>
      <c r="FY50" s="331" t="s">
        <v>984</v>
      </c>
      <c r="FZ50" s="331" t="s">
        <v>984</v>
      </c>
      <c r="GA50" s="331" t="s">
        <v>984</v>
      </c>
      <c r="GB50" s="331" t="s">
        <v>984</v>
      </c>
      <c r="GC50" s="331" t="s">
        <v>984</v>
      </c>
      <c r="GD50" s="331" t="s">
        <v>984</v>
      </c>
      <c r="GE50" s="331" t="s">
        <v>984</v>
      </c>
      <c r="GF50" s="331" t="s">
        <v>984</v>
      </c>
      <c r="GG50" s="331" t="s">
        <v>984</v>
      </c>
      <c r="GH50" s="331" t="s">
        <v>984</v>
      </c>
      <c r="GI50" s="331" t="s">
        <v>984</v>
      </c>
      <c r="GJ50" s="331" t="s">
        <v>984</v>
      </c>
      <c r="GK50" s="331" t="s">
        <v>984</v>
      </c>
      <c r="GL50" s="331" t="s">
        <v>984</v>
      </c>
      <c r="GM50" s="331" t="s">
        <v>984</v>
      </c>
      <c r="GN50" s="331" t="s">
        <v>984</v>
      </c>
      <c r="GO50" s="331" t="s">
        <v>984</v>
      </c>
      <c r="GP50" s="331" t="s">
        <v>984</v>
      </c>
      <c r="GQ50" s="331" t="s">
        <v>984</v>
      </c>
      <c r="GR50" s="331" t="s">
        <v>984</v>
      </c>
      <c r="GS50" s="331" t="s">
        <v>984</v>
      </c>
      <c r="GT50" s="331" t="s">
        <v>984</v>
      </c>
      <c r="GU50" s="331" t="s">
        <v>984</v>
      </c>
      <c r="GV50" s="331" t="s">
        <v>984</v>
      </c>
      <c r="GW50" s="331" t="s">
        <v>984</v>
      </c>
      <c r="GX50" s="331" t="s">
        <v>984</v>
      </c>
      <c r="GY50" s="331" t="s">
        <v>984</v>
      </c>
      <c r="GZ50" s="331" t="s">
        <v>984</v>
      </c>
      <c r="HA50" s="331" t="s">
        <v>984</v>
      </c>
      <c r="HB50" s="331" t="s">
        <v>984</v>
      </c>
      <c r="HC50" s="331" t="s">
        <v>984</v>
      </c>
      <c r="HD50" s="331" t="s">
        <v>984</v>
      </c>
      <c r="HE50" s="331" t="s">
        <v>984</v>
      </c>
      <c r="HF50" s="331" t="s">
        <v>984</v>
      </c>
      <c r="HG50" s="331" t="s">
        <v>984</v>
      </c>
      <c r="HH50" s="331" t="s">
        <v>984</v>
      </c>
      <c r="HI50" s="331" t="s">
        <v>984</v>
      </c>
      <c r="HJ50" s="331" t="s">
        <v>984</v>
      </c>
      <c r="HK50" s="331" t="s">
        <v>984</v>
      </c>
      <c r="HL50" s="331" t="s">
        <v>984</v>
      </c>
      <c r="HM50" s="331" t="s">
        <v>191</v>
      </c>
      <c r="HN50" s="331" t="s">
        <v>191</v>
      </c>
      <c r="HO50" s="331" t="s">
        <v>191</v>
      </c>
      <c r="HP50" s="331" t="s">
        <v>191</v>
      </c>
      <c r="HQ50" s="331" t="s">
        <v>170</v>
      </c>
      <c r="HR50" s="331" t="s">
        <v>429</v>
      </c>
      <c r="HS50" s="331" t="s">
        <v>169</v>
      </c>
      <c r="HT50" s="331" t="s">
        <v>427</v>
      </c>
      <c r="HU50" s="331" t="s">
        <v>984</v>
      </c>
      <c r="HV50" s="331" t="s">
        <v>984</v>
      </c>
    </row>
    <row r="51" spans="1:230" s="70" customFormat="1" x14ac:dyDescent="0.25">
      <c r="A51" s="330" t="str">
        <f>HYPERLINK("http://www.ofsted.gov.uk/inspection-reports/find-inspection-report/provider/ELS/132774 ","Ofsted School Webpage")</f>
        <v>Ofsted School Webpage</v>
      </c>
      <c r="B51" s="331">
        <v>132774</v>
      </c>
      <c r="C51" s="331">
        <v>8016021</v>
      </c>
      <c r="D51" s="331" t="s">
        <v>657</v>
      </c>
      <c r="E51" s="331" t="s">
        <v>167</v>
      </c>
      <c r="F51" s="331" t="s">
        <v>422</v>
      </c>
      <c r="G51" s="331" t="s">
        <v>422</v>
      </c>
      <c r="H51" s="331" t="s">
        <v>498</v>
      </c>
      <c r="I51" s="331" t="s">
        <v>658</v>
      </c>
      <c r="J51" s="331" t="s">
        <v>81</v>
      </c>
      <c r="K51" s="331" t="s">
        <v>59</v>
      </c>
      <c r="L51" s="331" t="s">
        <v>59</v>
      </c>
      <c r="M51" s="331" t="s">
        <v>59</v>
      </c>
      <c r="N51" s="331" t="s">
        <v>424</v>
      </c>
      <c r="O51" s="331">
        <v>10109553</v>
      </c>
      <c r="P51" s="332">
        <v>43739</v>
      </c>
      <c r="Q51" s="332">
        <v>43739</v>
      </c>
      <c r="R51" s="332">
        <v>43751</v>
      </c>
      <c r="S51" s="331" t="s">
        <v>985</v>
      </c>
      <c r="T51" s="331" t="s">
        <v>982</v>
      </c>
      <c r="U51" s="331" t="s">
        <v>427</v>
      </c>
      <c r="V51" s="331" t="s">
        <v>166</v>
      </c>
      <c r="W51" s="331" t="s">
        <v>191</v>
      </c>
      <c r="X51" s="331" t="s">
        <v>191</v>
      </c>
      <c r="Y51" s="331" t="s">
        <v>191</v>
      </c>
      <c r="Z51" s="331" t="s">
        <v>191</v>
      </c>
      <c r="AA51" s="331" t="s">
        <v>984</v>
      </c>
      <c r="AB51" s="331" t="s">
        <v>191</v>
      </c>
      <c r="AC51" s="331" t="s">
        <v>984</v>
      </c>
      <c r="AD51" s="331" t="s">
        <v>984</v>
      </c>
      <c r="AE51" s="331" t="s">
        <v>984</v>
      </c>
      <c r="AF51" s="331" t="s">
        <v>984</v>
      </c>
      <c r="AG51" s="331" t="s">
        <v>984</v>
      </c>
      <c r="AH51" s="331" t="s">
        <v>984</v>
      </c>
      <c r="AI51" s="331" t="s">
        <v>984</v>
      </c>
      <c r="AJ51" s="331" t="s">
        <v>984</v>
      </c>
      <c r="AK51" s="331" t="s">
        <v>984</v>
      </c>
      <c r="AL51" s="331" t="s">
        <v>984</v>
      </c>
      <c r="AM51" s="331" t="s">
        <v>191</v>
      </c>
      <c r="AN51" s="331" t="s">
        <v>984</v>
      </c>
      <c r="AO51" s="331" t="s">
        <v>984</v>
      </c>
      <c r="AP51" s="331" t="s">
        <v>984</v>
      </c>
      <c r="AQ51" s="331" t="s">
        <v>191</v>
      </c>
      <c r="AR51" s="331" t="s">
        <v>191</v>
      </c>
      <c r="AS51" s="331" t="s">
        <v>984</v>
      </c>
      <c r="AT51" s="331" t="s">
        <v>191</v>
      </c>
      <c r="AU51" s="331" t="s">
        <v>191</v>
      </c>
      <c r="AV51" s="331" t="s">
        <v>984</v>
      </c>
      <c r="AW51" s="331" t="s">
        <v>191</v>
      </c>
      <c r="AX51" s="331" t="s">
        <v>191</v>
      </c>
      <c r="AY51" s="331" t="s">
        <v>984</v>
      </c>
      <c r="AZ51" s="331" t="s">
        <v>984</v>
      </c>
      <c r="BA51" s="331" t="s">
        <v>984</v>
      </c>
      <c r="BB51" s="331" t="s">
        <v>984</v>
      </c>
      <c r="BC51" s="331" t="s">
        <v>984</v>
      </c>
      <c r="BD51" s="331" t="s">
        <v>984</v>
      </c>
      <c r="BE51" s="331" t="s">
        <v>984</v>
      </c>
      <c r="BF51" s="331" t="s">
        <v>984</v>
      </c>
      <c r="BG51" s="331" t="s">
        <v>984</v>
      </c>
      <c r="BH51" s="331" t="s">
        <v>984</v>
      </c>
      <c r="BI51" s="331" t="s">
        <v>984</v>
      </c>
      <c r="BJ51" s="331" t="s">
        <v>984</v>
      </c>
      <c r="BK51" s="331" t="s">
        <v>984</v>
      </c>
      <c r="BL51" s="331" t="s">
        <v>984</v>
      </c>
      <c r="BM51" s="331" t="s">
        <v>984</v>
      </c>
      <c r="BN51" s="331" t="s">
        <v>984</v>
      </c>
      <c r="BO51" s="331" t="s">
        <v>984</v>
      </c>
      <c r="BP51" s="331" t="s">
        <v>984</v>
      </c>
      <c r="BQ51" s="331" t="s">
        <v>984</v>
      </c>
      <c r="BR51" s="331" t="s">
        <v>190</v>
      </c>
      <c r="BS51" s="331" t="s">
        <v>190</v>
      </c>
      <c r="BT51" s="331" t="s">
        <v>190</v>
      </c>
      <c r="BU51" s="331" t="s">
        <v>984</v>
      </c>
      <c r="BV51" s="331" t="s">
        <v>984</v>
      </c>
      <c r="BW51" s="331" t="s">
        <v>984</v>
      </c>
      <c r="BX51" s="331" t="s">
        <v>984</v>
      </c>
      <c r="BY51" s="331" t="s">
        <v>984</v>
      </c>
      <c r="BZ51" s="331" t="s">
        <v>984</v>
      </c>
      <c r="CA51" s="331" t="s">
        <v>984</v>
      </c>
      <c r="CB51" s="331" t="s">
        <v>984</v>
      </c>
      <c r="CC51" s="331" t="s">
        <v>984</v>
      </c>
      <c r="CD51" s="331" t="s">
        <v>190</v>
      </c>
      <c r="CE51" s="331" t="s">
        <v>984</v>
      </c>
      <c r="CF51" s="331" t="s">
        <v>984</v>
      </c>
      <c r="CG51" s="331" t="s">
        <v>984</v>
      </c>
      <c r="CH51" s="331" t="s">
        <v>191</v>
      </c>
      <c r="CI51" s="331" t="s">
        <v>191</v>
      </c>
      <c r="CJ51" s="331" t="s">
        <v>191</v>
      </c>
      <c r="CK51" s="331" t="s">
        <v>984</v>
      </c>
      <c r="CL51" s="331" t="s">
        <v>984</v>
      </c>
      <c r="CM51" s="331" t="s">
        <v>984</v>
      </c>
      <c r="CN51" s="331" t="s">
        <v>984</v>
      </c>
      <c r="CO51" s="331" t="s">
        <v>984</v>
      </c>
      <c r="CP51" s="331" t="s">
        <v>984</v>
      </c>
      <c r="CQ51" s="331" t="s">
        <v>984</v>
      </c>
      <c r="CR51" s="331" t="s">
        <v>984</v>
      </c>
      <c r="CS51" s="331" t="s">
        <v>984</v>
      </c>
      <c r="CT51" s="331" t="s">
        <v>984</v>
      </c>
      <c r="CU51" s="331" t="s">
        <v>984</v>
      </c>
      <c r="CV51" s="331" t="s">
        <v>984</v>
      </c>
      <c r="CW51" s="331" t="s">
        <v>984</v>
      </c>
      <c r="CX51" s="331" t="s">
        <v>984</v>
      </c>
      <c r="CY51" s="331" t="s">
        <v>984</v>
      </c>
      <c r="CZ51" s="331" t="s">
        <v>984</v>
      </c>
      <c r="DA51" s="331" t="s">
        <v>984</v>
      </c>
      <c r="DB51" s="331" t="s">
        <v>984</v>
      </c>
      <c r="DC51" s="331" t="s">
        <v>984</v>
      </c>
      <c r="DD51" s="331" t="s">
        <v>984</v>
      </c>
      <c r="DE51" s="331" t="s">
        <v>984</v>
      </c>
      <c r="DF51" s="331" t="s">
        <v>984</v>
      </c>
      <c r="DG51" s="331" t="s">
        <v>984</v>
      </c>
      <c r="DH51" s="331" t="s">
        <v>984</v>
      </c>
      <c r="DI51" s="331" t="s">
        <v>984</v>
      </c>
      <c r="DJ51" s="331" t="s">
        <v>984</v>
      </c>
      <c r="DK51" s="331" t="s">
        <v>984</v>
      </c>
      <c r="DL51" s="331" t="s">
        <v>984</v>
      </c>
      <c r="DM51" s="331" t="s">
        <v>984</v>
      </c>
      <c r="DN51" s="331" t="s">
        <v>984</v>
      </c>
      <c r="DO51" s="331" t="s">
        <v>984</v>
      </c>
      <c r="DP51" s="331" t="s">
        <v>984</v>
      </c>
      <c r="DQ51" s="331" t="s">
        <v>984</v>
      </c>
      <c r="DR51" s="331" t="s">
        <v>984</v>
      </c>
      <c r="DS51" s="331" t="s">
        <v>984</v>
      </c>
      <c r="DT51" s="331" t="s">
        <v>984</v>
      </c>
      <c r="DU51" s="331" t="s">
        <v>984</v>
      </c>
      <c r="DV51" s="331" t="s">
        <v>984</v>
      </c>
      <c r="DW51" s="331" t="s">
        <v>984</v>
      </c>
      <c r="DX51" s="331" t="s">
        <v>984</v>
      </c>
      <c r="DY51" s="331" t="s">
        <v>984</v>
      </c>
      <c r="DZ51" s="331" t="s">
        <v>984</v>
      </c>
      <c r="EA51" s="331" t="s">
        <v>984</v>
      </c>
      <c r="EB51" s="331" t="s">
        <v>984</v>
      </c>
      <c r="EC51" s="331" t="s">
        <v>984</v>
      </c>
      <c r="ED51" s="331" t="s">
        <v>984</v>
      </c>
      <c r="EE51" s="331" t="s">
        <v>984</v>
      </c>
      <c r="EF51" s="331" t="s">
        <v>984</v>
      </c>
      <c r="EG51" s="331" t="s">
        <v>984</v>
      </c>
      <c r="EH51" s="331" t="s">
        <v>984</v>
      </c>
      <c r="EI51" s="331" t="s">
        <v>984</v>
      </c>
      <c r="EJ51" s="331" t="s">
        <v>984</v>
      </c>
      <c r="EK51" s="331" t="s">
        <v>984</v>
      </c>
      <c r="EL51" s="331" t="s">
        <v>984</v>
      </c>
      <c r="EM51" s="331" t="s">
        <v>984</v>
      </c>
      <c r="EN51" s="331" t="s">
        <v>984</v>
      </c>
      <c r="EO51" s="331" t="s">
        <v>984</v>
      </c>
      <c r="EP51" s="331" t="s">
        <v>984</v>
      </c>
      <c r="EQ51" s="331" t="s">
        <v>984</v>
      </c>
      <c r="ER51" s="331" t="s">
        <v>984</v>
      </c>
      <c r="ES51" s="331" t="s">
        <v>984</v>
      </c>
      <c r="ET51" s="331" t="s">
        <v>984</v>
      </c>
      <c r="EU51" s="331" t="s">
        <v>984</v>
      </c>
      <c r="EV51" s="331" t="s">
        <v>984</v>
      </c>
      <c r="EW51" s="331" t="s">
        <v>984</v>
      </c>
      <c r="EX51" s="331" t="s">
        <v>984</v>
      </c>
      <c r="EY51" s="331" t="s">
        <v>984</v>
      </c>
      <c r="EZ51" s="331" t="s">
        <v>984</v>
      </c>
      <c r="FA51" s="331" t="s">
        <v>984</v>
      </c>
      <c r="FB51" s="331" t="s">
        <v>984</v>
      </c>
      <c r="FC51" s="331" t="s">
        <v>984</v>
      </c>
      <c r="FD51" s="331" t="s">
        <v>984</v>
      </c>
      <c r="FE51" s="331" t="s">
        <v>984</v>
      </c>
      <c r="FF51" s="331" t="s">
        <v>984</v>
      </c>
      <c r="FG51" s="331" t="s">
        <v>984</v>
      </c>
      <c r="FH51" s="331" t="s">
        <v>984</v>
      </c>
      <c r="FI51" s="331" t="s">
        <v>984</v>
      </c>
      <c r="FJ51" s="331" t="s">
        <v>984</v>
      </c>
      <c r="FK51" s="331" t="s">
        <v>984</v>
      </c>
      <c r="FL51" s="331" t="s">
        <v>984</v>
      </c>
      <c r="FM51" s="331" t="s">
        <v>984</v>
      </c>
      <c r="FN51" s="331" t="s">
        <v>984</v>
      </c>
      <c r="FO51" s="331" t="s">
        <v>984</v>
      </c>
      <c r="FP51" s="331" t="s">
        <v>984</v>
      </c>
      <c r="FQ51" s="331" t="s">
        <v>984</v>
      </c>
      <c r="FR51" s="331" t="s">
        <v>984</v>
      </c>
      <c r="FS51" s="331" t="s">
        <v>984</v>
      </c>
      <c r="FT51" s="331" t="s">
        <v>984</v>
      </c>
      <c r="FU51" s="331" t="s">
        <v>984</v>
      </c>
      <c r="FV51" s="331" t="s">
        <v>984</v>
      </c>
      <c r="FW51" s="331" t="s">
        <v>984</v>
      </c>
      <c r="FX51" s="331" t="s">
        <v>984</v>
      </c>
      <c r="FY51" s="331" t="s">
        <v>984</v>
      </c>
      <c r="FZ51" s="331" t="s">
        <v>984</v>
      </c>
      <c r="GA51" s="331" t="s">
        <v>984</v>
      </c>
      <c r="GB51" s="331" t="s">
        <v>984</v>
      </c>
      <c r="GC51" s="331" t="s">
        <v>984</v>
      </c>
      <c r="GD51" s="331" t="s">
        <v>984</v>
      </c>
      <c r="GE51" s="331" t="s">
        <v>984</v>
      </c>
      <c r="GF51" s="331" t="s">
        <v>984</v>
      </c>
      <c r="GG51" s="331" t="s">
        <v>984</v>
      </c>
      <c r="GH51" s="331" t="s">
        <v>984</v>
      </c>
      <c r="GI51" s="331" t="s">
        <v>984</v>
      </c>
      <c r="GJ51" s="331" t="s">
        <v>984</v>
      </c>
      <c r="GK51" s="331" t="s">
        <v>984</v>
      </c>
      <c r="GL51" s="331" t="s">
        <v>984</v>
      </c>
      <c r="GM51" s="331" t="s">
        <v>984</v>
      </c>
      <c r="GN51" s="331" t="s">
        <v>984</v>
      </c>
      <c r="GO51" s="331" t="s">
        <v>984</v>
      </c>
      <c r="GP51" s="331" t="s">
        <v>984</v>
      </c>
      <c r="GQ51" s="331" t="s">
        <v>984</v>
      </c>
      <c r="GR51" s="331" t="s">
        <v>984</v>
      </c>
      <c r="GS51" s="331" t="s">
        <v>984</v>
      </c>
      <c r="GT51" s="331" t="s">
        <v>984</v>
      </c>
      <c r="GU51" s="331" t="s">
        <v>984</v>
      </c>
      <c r="GV51" s="331" t="s">
        <v>984</v>
      </c>
      <c r="GW51" s="331" t="s">
        <v>984</v>
      </c>
      <c r="GX51" s="331" t="s">
        <v>984</v>
      </c>
      <c r="GY51" s="331" t="s">
        <v>984</v>
      </c>
      <c r="GZ51" s="331" t="s">
        <v>984</v>
      </c>
      <c r="HA51" s="331" t="s">
        <v>984</v>
      </c>
      <c r="HB51" s="331" t="s">
        <v>984</v>
      </c>
      <c r="HC51" s="331" t="s">
        <v>984</v>
      </c>
      <c r="HD51" s="331" t="s">
        <v>984</v>
      </c>
      <c r="HE51" s="331" t="s">
        <v>984</v>
      </c>
      <c r="HF51" s="331" t="s">
        <v>984</v>
      </c>
      <c r="HG51" s="331" t="s">
        <v>984</v>
      </c>
      <c r="HH51" s="331" t="s">
        <v>984</v>
      </c>
      <c r="HI51" s="331" t="s">
        <v>984</v>
      </c>
      <c r="HJ51" s="331" t="s">
        <v>984</v>
      </c>
      <c r="HK51" s="331" t="s">
        <v>984</v>
      </c>
      <c r="HL51" s="331" t="s">
        <v>984</v>
      </c>
      <c r="HM51" s="331" t="s">
        <v>191</v>
      </c>
      <c r="HN51" s="331" t="s">
        <v>191</v>
      </c>
      <c r="HO51" s="331" t="s">
        <v>191</v>
      </c>
      <c r="HP51" s="331" t="s">
        <v>191</v>
      </c>
      <c r="HQ51" s="331" t="s">
        <v>170</v>
      </c>
      <c r="HR51" s="331" t="s">
        <v>429</v>
      </c>
      <c r="HS51" s="331" t="s">
        <v>169</v>
      </c>
      <c r="HT51" s="331" t="s">
        <v>427</v>
      </c>
      <c r="HU51" s="331" t="s">
        <v>191</v>
      </c>
      <c r="HV51" s="331" t="s">
        <v>191</v>
      </c>
    </row>
    <row r="52" spans="1:230" s="70" customFormat="1" x14ac:dyDescent="0.25">
      <c r="A52" s="330" t="str">
        <f>HYPERLINK("http://www.ofsted.gov.uk/inspection-reports/find-inspection-report/provider/ELS/101957 ","Ofsted School Webpage")</f>
        <v>Ofsted School Webpage</v>
      </c>
      <c r="B52" s="331">
        <v>101957</v>
      </c>
      <c r="C52" s="331">
        <v>3076068</v>
      </c>
      <c r="D52" s="331" t="s">
        <v>1057</v>
      </c>
      <c r="E52" s="331" t="s">
        <v>167</v>
      </c>
      <c r="F52" s="331" t="s">
        <v>441</v>
      </c>
      <c r="G52" s="331" t="s">
        <v>441</v>
      </c>
      <c r="H52" s="331" t="s">
        <v>442</v>
      </c>
      <c r="I52" s="331" t="s">
        <v>1058</v>
      </c>
      <c r="J52" s="331" t="s">
        <v>81</v>
      </c>
      <c r="K52" s="331" t="s">
        <v>72</v>
      </c>
      <c r="L52" s="331" t="s">
        <v>72</v>
      </c>
      <c r="M52" s="331" t="s">
        <v>72</v>
      </c>
      <c r="N52" s="331" t="s">
        <v>424</v>
      </c>
      <c r="O52" s="331">
        <v>10118332</v>
      </c>
      <c r="P52" s="332">
        <v>43740</v>
      </c>
      <c r="Q52" s="332">
        <v>43740</v>
      </c>
      <c r="R52" s="332">
        <v>43772</v>
      </c>
      <c r="S52" s="331" t="s">
        <v>985</v>
      </c>
      <c r="T52" s="331" t="s">
        <v>982</v>
      </c>
      <c r="U52" s="331" t="s">
        <v>427</v>
      </c>
      <c r="V52" s="331" t="s">
        <v>165</v>
      </c>
      <c r="W52" s="331" t="s">
        <v>984</v>
      </c>
      <c r="X52" s="331" t="s">
        <v>984</v>
      </c>
      <c r="Y52" s="331" t="s">
        <v>984</v>
      </c>
      <c r="Z52" s="331" t="s">
        <v>984</v>
      </c>
      <c r="AA52" s="331" t="s">
        <v>984</v>
      </c>
      <c r="AB52" s="331" t="s">
        <v>984</v>
      </c>
      <c r="AC52" s="331" t="s">
        <v>984</v>
      </c>
      <c r="AD52" s="331" t="s">
        <v>984</v>
      </c>
      <c r="AE52" s="331" t="s">
        <v>428</v>
      </c>
      <c r="AF52" s="331" t="s">
        <v>984</v>
      </c>
      <c r="AG52" s="331" t="s">
        <v>984</v>
      </c>
      <c r="AH52" s="331" t="s">
        <v>984</v>
      </c>
      <c r="AI52" s="331" t="s">
        <v>984</v>
      </c>
      <c r="AJ52" s="331" t="s">
        <v>984</v>
      </c>
      <c r="AK52" s="331" t="s">
        <v>984</v>
      </c>
      <c r="AL52" s="331" t="s">
        <v>984</v>
      </c>
      <c r="AM52" s="331" t="s">
        <v>984</v>
      </c>
      <c r="AN52" s="331" t="s">
        <v>984</v>
      </c>
      <c r="AO52" s="331" t="s">
        <v>984</v>
      </c>
      <c r="AP52" s="331" t="s">
        <v>984</v>
      </c>
      <c r="AQ52" s="331" t="s">
        <v>190</v>
      </c>
      <c r="AR52" s="331" t="s">
        <v>984</v>
      </c>
      <c r="AS52" s="331" t="s">
        <v>984</v>
      </c>
      <c r="AT52" s="331" t="s">
        <v>984</v>
      </c>
      <c r="AU52" s="331" t="s">
        <v>984</v>
      </c>
      <c r="AV52" s="331" t="s">
        <v>984</v>
      </c>
      <c r="AW52" s="331" t="s">
        <v>984</v>
      </c>
      <c r="AX52" s="331" t="s">
        <v>984</v>
      </c>
      <c r="AY52" s="331" t="s">
        <v>984</v>
      </c>
      <c r="AZ52" s="331" t="s">
        <v>984</v>
      </c>
      <c r="BA52" s="331" t="s">
        <v>190</v>
      </c>
      <c r="BB52" s="331" t="s">
        <v>984</v>
      </c>
      <c r="BC52" s="331" t="s">
        <v>984</v>
      </c>
      <c r="BD52" s="331" t="s">
        <v>984</v>
      </c>
      <c r="BE52" s="331" t="s">
        <v>984</v>
      </c>
      <c r="BF52" s="331" t="s">
        <v>984</v>
      </c>
      <c r="BG52" s="331" t="s">
        <v>984</v>
      </c>
      <c r="BH52" s="331" t="s">
        <v>984</v>
      </c>
      <c r="BI52" s="331" t="s">
        <v>984</v>
      </c>
      <c r="BJ52" s="331" t="s">
        <v>984</v>
      </c>
      <c r="BK52" s="331" t="s">
        <v>984</v>
      </c>
      <c r="BL52" s="331" t="s">
        <v>984</v>
      </c>
      <c r="BM52" s="331" t="s">
        <v>984</v>
      </c>
      <c r="BN52" s="331" t="s">
        <v>984</v>
      </c>
      <c r="BO52" s="331" t="s">
        <v>984</v>
      </c>
      <c r="BP52" s="331" t="s">
        <v>984</v>
      </c>
      <c r="BQ52" s="331" t="s">
        <v>984</v>
      </c>
      <c r="BR52" s="331" t="s">
        <v>190</v>
      </c>
      <c r="BS52" s="331" t="s">
        <v>190</v>
      </c>
      <c r="BT52" s="331" t="s">
        <v>190</v>
      </c>
      <c r="BU52" s="331" t="s">
        <v>428</v>
      </c>
      <c r="BV52" s="331" t="s">
        <v>428</v>
      </c>
      <c r="BW52" s="331" t="s">
        <v>428</v>
      </c>
      <c r="BX52" s="331" t="s">
        <v>984</v>
      </c>
      <c r="BY52" s="331" t="s">
        <v>984</v>
      </c>
      <c r="BZ52" s="331" t="s">
        <v>984</v>
      </c>
      <c r="CA52" s="331" t="s">
        <v>984</v>
      </c>
      <c r="CB52" s="331" t="s">
        <v>984</v>
      </c>
      <c r="CC52" s="331" t="s">
        <v>984</v>
      </c>
      <c r="CD52" s="331" t="s">
        <v>984</v>
      </c>
      <c r="CE52" s="331" t="s">
        <v>984</v>
      </c>
      <c r="CF52" s="331" t="s">
        <v>984</v>
      </c>
      <c r="CG52" s="331" t="s">
        <v>984</v>
      </c>
      <c r="CH52" s="331" t="s">
        <v>984</v>
      </c>
      <c r="CI52" s="331" t="s">
        <v>984</v>
      </c>
      <c r="CJ52" s="331" t="s">
        <v>984</v>
      </c>
      <c r="CK52" s="331" t="s">
        <v>984</v>
      </c>
      <c r="CL52" s="331" t="s">
        <v>984</v>
      </c>
      <c r="CM52" s="331" t="s">
        <v>984</v>
      </c>
      <c r="CN52" s="331" t="s">
        <v>984</v>
      </c>
      <c r="CO52" s="331" t="s">
        <v>984</v>
      </c>
      <c r="CP52" s="331" t="s">
        <v>984</v>
      </c>
      <c r="CQ52" s="331" t="s">
        <v>984</v>
      </c>
      <c r="CR52" s="331" t="s">
        <v>984</v>
      </c>
      <c r="CS52" s="331" t="s">
        <v>984</v>
      </c>
      <c r="CT52" s="331" t="s">
        <v>984</v>
      </c>
      <c r="CU52" s="331" t="s">
        <v>984</v>
      </c>
      <c r="CV52" s="331" t="s">
        <v>984</v>
      </c>
      <c r="CW52" s="331" t="s">
        <v>984</v>
      </c>
      <c r="CX52" s="331" t="s">
        <v>984</v>
      </c>
      <c r="CY52" s="331" t="s">
        <v>984</v>
      </c>
      <c r="CZ52" s="331" t="s">
        <v>984</v>
      </c>
      <c r="DA52" s="331" t="s">
        <v>984</v>
      </c>
      <c r="DB52" s="331" t="s">
        <v>984</v>
      </c>
      <c r="DC52" s="331" t="s">
        <v>984</v>
      </c>
      <c r="DD52" s="331" t="s">
        <v>984</v>
      </c>
      <c r="DE52" s="331" t="s">
        <v>984</v>
      </c>
      <c r="DF52" s="331" t="s">
        <v>984</v>
      </c>
      <c r="DG52" s="331" t="s">
        <v>984</v>
      </c>
      <c r="DH52" s="331" t="s">
        <v>984</v>
      </c>
      <c r="DI52" s="331" t="s">
        <v>984</v>
      </c>
      <c r="DJ52" s="331" t="s">
        <v>428</v>
      </c>
      <c r="DK52" s="331" t="s">
        <v>984</v>
      </c>
      <c r="DL52" s="331" t="s">
        <v>984</v>
      </c>
      <c r="DM52" s="331" t="s">
        <v>984</v>
      </c>
      <c r="DN52" s="331" t="s">
        <v>984</v>
      </c>
      <c r="DO52" s="331" t="s">
        <v>984</v>
      </c>
      <c r="DP52" s="331" t="s">
        <v>984</v>
      </c>
      <c r="DQ52" s="331" t="s">
        <v>984</v>
      </c>
      <c r="DR52" s="331" t="s">
        <v>984</v>
      </c>
      <c r="DS52" s="331" t="s">
        <v>984</v>
      </c>
      <c r="DT52" s="331" t="s">
        <v>984</v>
      </c>
      <c r="DU52" s="331" t="s">
        <v>984</v>
      </c>
      <c r="DV52" s="331" t="s">
        <v>984</v>
      </c>
      <c r="DW52" s="331" t="s">
        <v>984</v>
      </c>
      <c r="DX52" s="331" t="s">
        <v>984</v>
      </c>
      <c r="DY52" s="331" t="s">
        <v>984</v>
      </c>
      <c r="DZ52" s="331" t="s">
        <v>984</v>
      </c>
      <c r="EA52" s="331" t="s">
        <v>984</v>
      </c>
      <c r="EB52" s="331" t="s">
        <v>984</v>
      </c>
      <c r="EC52" s="331" t="s">
        <v>984</v>
      </c>
      <c r="ED52" s="331" t="s">
        <v>984</v>
      </c>
      <c r="EE52" s="331" t="s">
        <v>984</v>
      </c>
      <c r="EF52" s="331" t="s">
        <v>984</v>
      </c>
      <c r="EG52" s="331" t="s">
        <v>984</v>
      </c>
      <c r="EH52" s="331" t="s">
        <v>984</v>
      </c>
      <c r="EI52" s="331" t="s">
        <v>984</v>
      </c>
      <c r="EJ52" s="331" t="s">
        <v>984</v>
      </c>
      <c r="EK52" s="331" t="s">
        <v>984</v>
      </c>
      <c r="EL52" s="331" t="s">
        <v>984</v>
      </c>
      <c r="EM52" s="331" t="s">
        <v>984</v>
      </c>
      <c r="EN52" s="331" t="s">
        <v>984</v>
      </c>
      <c r="EO52" s="331" t="s">
        <v>984</v>
      </c>
      <c r="EP52" s="331" t="s">
        <v>984</v>
      </c>
      <c r="EQ52" s="331" t="s">
        <v>984</v>
      </c>
      <c r="ER52" s="331" t="s">
        <v>984</v>
      </c>
      <c r="ES52" s="331" t="s">
        <v>984</v>
      </c>
      <c r="ET52" s="331" t="s">
        <v>984</v>
      </c>
      <c r="EU52" s="331" t="s">
        <v>984</v>
      </c>
      <c r="EV52" s="331" t="s">
        <v>984</v>
      </c>
      <c r="EW52" s="331" t="s">
        <v>984</v>
      </c>
      <c r="EX52" s="331" t="s">
        <v>984</v>
      </c>
      <c r="EY52" s="331" t="s">
        <v>984</v>
      </c>
      <c r="EZ52" s="331" t="s">
        <v>984</v>
      </c>
      <c r="FA52" s="331" t="s">
        <v>984</v>
      </c>
      <c r="FB52" s="331" t="s">
        <v>984</v>
      </c>
      <c r="FC52" s="331" t="s">
        <v>984</v>
      </c>
      <c r="FD52" s="331" t="s">
        <v>984</v>
      </c>
      <c r="FE52" s="331" t="s">
        <v>984</v>
      </c>
      <c r="FF52" s="331" t="s">
        <v>984</v>
      </c>
      <c r="FG52" s="331" t="s">
        <v>984</v>
      </c>
      <c r="FH52" s="331" t="s">
        <v>984</v>
      </c>
      <c r="FI52" s="331" t="s">
        <v>984</v>
      </c>
      <c r="FJ52" s="331" t="s">
        <v>984</v>
      </c>
      <c r="FK52" s="331" t="s">
        <v>984</v>
      </c>
      <c r="FL52" s="331" t="s">
        <v>984</v>
      </c>
      <c r="FM52" s="331" t="s">
        <v>984</v>
      </c>
      <c r="FN52" s="331" t="s">
        <v>984</v>
      </c>
      <c r="FO52" s="331" t="s">
        <v>984</v>
      </c>
      <c r="FP52" s="331" t="s">
        <v>984</v>
      </c>
      <c r="FQ52" s="331" t="s">
        <v>984</v>
      </c>
      <c r="FR52" s="331" t="s">
        <v>984</v>
      </c>
      <c r="FS52" s="331" t="s">
        <v>190</v>
      </c>
      <c r="FT52" s="331" t="s">
        <v>984</v>
      </c>
      <c r="FU52" s="331" t="s">
        <v>984</v>
      </c>
      <c r="FV52" s="331" t="s">
        <v>190</v>
      </c>
      <c r="FW52" s="331" t="s">
        <v>984</v>
      </c>
      <c r="FX52" s="331" t="s">
        <v>984</v>
      </c>
      <c r="FY52" s="331" t="s">
        <v>984</v>
      </c>
      <c r="FZ52" s="331" t="s">
        <v>984</v>
      </c>
      <c r="GA52" s="331" t="s">
        <v>984</v>
      </c>
      <c r="GB52" s="331" t="s">
        <v>984</v>
      </c>
      <c r="GC52" s="331" t="s">
        <v>984</v>
      </c>
      <c r="GD52" s="331" t="s">
        <v>984</v>
      </c>
      <c r="GE52" s="331" t="s">
        <v>984</v>
      </c>
      <c r="GF52" s="331" t="s">
        <v>984</v>
      </c>
      <c r="GG52" s="331" t="s">
        <v>984</v>
      </c>
      <c r="GH52" s="331" t="s">
        <v>984</v>
      </c>
      <c r="GI52" s="331" t="s">
        <v>984</v>
      </c>
      <c r="GJ52" s="331" t="s">
        <v>984</v>
      </c>
      <c r="GK52" s="331" t="s">
        <v>984</v>
      </c>
      <c r="GL52" s="331" t="s">
        <v>984</v>
      </c>
      <c r="GM52" s="331" t="s">
        <v>984</v>
      </c>
      <c r="GN52" s="331" t="s">
        <v>984</v>
      </c>
      <c r="GO52" s="331" t="s">
        <v>984</v>
      </c>
      <c r="GP52" s="331" t="s">
        <v>984</v>
      </c>
      <c r="GQ52" s="331" t="s">
        <v>984</v>
      </c>
      <c r="GR52" s="331" t="s">
        <v>984</v>
      </c>
      <c r="GS52" s="331" t="s">
        <v>984</v>
      </c>
      <c r="GT52" s="331" t="s">
        <v>984</v>
      </c>
      <c r="GU52" s="331" t="s">
        <v>984</v>
      </c>
      <c r="GV52" s="331" t="s">
        <v>984</v>
      </c>
      <c r="GW52" s="331" t="s">
        <v>984</v>
      </c>
      <c r="GX52" s="331" t="s">
        <v>984</v>
      </c>
      <c r="GY52" s="331" t="s">
        <v>984</v>
      </c>
      <c r="GZ52" s="331" t="s">
        <v>984</v>
      </c>
      <c r="HA52" s="331" t="s">
        <v>984</v>
      </c>
      <c r="HB52" s="331" t="s">
        <v>984</v>
      </c>
      <c r="HC52" s="331" t="s">
        <v>984</v>
      </c>
      <c r="HD52" s="331" t="s">
        <v>984</v>
      </c>
      <c r="HE52" s="331" t="s">
        <v>984</v>
      </c>
      <c r="HF52" s="331" t="s">
        <v>984</v>
      </c>
      <c r="HG52" s="331" t="s">
        <v>984</v>
      </c>
      <c r="HH52" s="331" t="s">
        <v>984</v>
      </c>
      <c r="HI52" s="331" t="s">
        <v>984</v>
      </c>
      <c r="HJ52" s="331" t="s">
        <v>984</v>
      </c>
      <c r="HK52" s="331" t="s">
        <v>984</v>
      </c>
      <c r="HL52" s="331" t="s">
        <v>984</v>
      </c>
      <c r="HM52" s="331" t="s">
        <v>190</v>
      </c>
      <c r="HN52" s="331" t="s">
        <v>190</v>
      </c>
      <c r="HO52" s="331" t="s">
        <v>190</v>
      </c>
      <c r="HP52" s="331" t="s">
        <v>190</v>
      </c>
      <c r="HQ52" s="331" t="s">
        <v>170</v>
      </c>
      <c r="HR52" s="331" t="s">
        <v>429</v>
      </c>
      <c r="HS52" s="331" t="s">
        <v>169</v>
      </c>
      <c r="HT52" s="331" t="s">
        <v>427</v>
      </c>
      <c r="HU52" s="331" t="s">
        <v>984</v>
      </c>
      <c r="HV52" s="331" t="s">
        <v>984</v>
      </c>
    </row>
    <row r="53" spans="1:230" s="70" customFormat="1" x14ac:dyDescent="0.25">
      <c r="A53" s="330" t="str">
        <f>HYPERLINK("http://www.ofsted.gov.uk/inspection-reports/find-inspection-report/provider/ELS/147465 ","Ofsted School Webpage")</f>
        <v>Ofsted School Webpage</v>
      </c>
      <c r="B53" s="331">
        <v>147465</v>
      </c>
      <c r="C53" s="331">
        <v>8856056</v>
      </c>
      <c r="D53" s="331" t="s">
        <v>2717</v>
      </c>
      <c r="E53" s="331" t="s">
        <v>168</v>
      </c>
      <c r="F53" s="331" t="s">
        <v>437</v>
      </c>
      <c r="G53" s="331" t="s">
        <v>437</v>
      </c>
      <c r="H53" s="331" t="s">
        <v>483</v>
      </c>
      <c r="I53" s="331" t="s">
        <v>2718</v>
      </c>
      <c r="J53" s="331" t="s">
        <v>434</v>
      </c>
      <c r="K53" s="331" t="s">
        <v>81</v>
      </c>
      <c r="L53" s="331" t="s">
        <v>81</v>
      </c>
      <c r="M53" s="331" t="s">
        <v>78</v>
      </c>
      <c r="N53" s="331" t="s">
        <v>424</v>
      </c>
      <c r="O53" s="331">
        <v>10122622</v>
      </c>
      <c r="P53" s="332">
        <v>43740</v>
      </c>
      <c r="Q53" s="332">
        <v>43740</v>
      </c>
      <c r="R53" s="332">
        <v>43754</v>
      </c>
      <c r="S53" s="331" t="s">
        <v>2583</v>
      </c>
      <c r="T53" s="331" t="s">
        <v>982</v>
      </c>
      <c r="U53" s="331" t="s">
        <v>427</v>
      </c>
      <c r="V53" s="331" t="s">
        <v>2584</v>
      </c>
      <c r="W53" s="331" t="s">
        <v>190</v>
      </c>
      <c r="X53" s="331" t="s">
        <v>190</v>
      </c>
      <c r="Y53" s="331" t="s">
        <v>190</v>
      </c>
      <c r="Z53" s="331" t="s">
        <v>190</v>
      </c>
      <c r="AA53" s="331" t="s">
        <v>190</v>
      </c>
      <c r="AB53" s="331" t="s">
        <v>190</v>
      </c>
      <c r="AC53" s="331" t="s">
        <v>190</v>
      </c>
      <c r="AD53" s="331" t="s">
        <v>190</v>
      </c>
      <c r="AE53" s="331" t="s">
        <v>428</v>
      </c>
      <c r="AF53" s="331" t="s">
        <v>190</v>
      </c>
      <c r="AG53" s="331" t="s">
        <v>190</v>
      </c>
      <c r="AH53" s="331" t="s">
        <v>190</v>
      </c>
      <c r="AI53" s="331" t="s">
        <v>190</v>
      </c>
      <c r="AJ53" s="331" t="s">
        <v>190</v>
      </c>
      <c r="AK53" s="331" t="s">
        <v>190</v>
      </c>
      <c r="AL53" s="331" t="s">
        <v>190</v>
      </c>
      <c r="AM53" s="331" t="s">
        <v>428</v>
      </c>
      <c r="AN53" s="331" t="s">
        <v>428</v>
      </c>
      <c r="AO53" s="331" t="s">
        <v>190</v>
      </c>
      <c r="AP53" s="331" t="s">
        <v>190</v>
      </c>
      <c r="AQ53" s="331" t="s">
        <v>190</v>
      </c>
      <c r="AR53" s="331" t="s">
        <v>190</v>
      </c>
      <c r="AS53" s="331" t="s">
        <v>190</v>
      </c>
      <c r="AT53" s="331" t="s">
        <v>190</v>
      </c>
      <c r="AU53" s="331" t="s">
        <v>190</v>
      </c>
      <c r="AV53" s="331" t="s">
        <v>190</v>
      </c>
      <c r="AW53" s="331" t="s">
        <v>190</v>
      </c>
      <c r="AX53" s="331" t="s">
        <v>190</v>
      </c>
      <c r="AY53" s="331" t="s">
        <v>190</v>
      </c>
      <c r="AZ53" s="331" t="s">
        <v>190</v>
      </c>
      <c r="BA53" s="331" t="s">
        <v>190</v>
      </c>
      <c r="BB53" s="331" t="s">
        <v>190</v>
      </c>
      <c r="BC53" s="331" t="s">
        <v>190</v>
      </c>
      <c r="BD53" s="331" t="s">
        <v>190</v>
      </c>
      <c r="BE53" s="331" t="s">
        <v>190</v>
      </c>
      <c r="BF53" s="331" t="s">
        <v>190</v>
      </c>
      <c r="BG53" s="331" t="s">
        <v>190</v>
      </c>
      <c r="BH53" s="331" t="s">
        <v>190</v>
      </c>
      <c r="BI53" s="331" t="s">
        <v>190</v>
      </c>
      <c r="BJ53" s="331" t="s">
        <v>190</v>
      </c>
      <c r="BK53" s="331" t="s">
        <v>190</v>
      </c>
      <c r="BL53" s="331" t="s">
        <v>190</v>
      </c>
      <c r="BM53" s="331" t="s">
        <v>190</v>
      </c>
      <c r="BN53" s="331" t="s">
        <v>190</v>
      </c>
      <c r="BO53" s="331" t="s">
        <v>190</v>
      </c>
      <c r="BP53" s="331" t="s">
        <v>190</v>
      </c>
      <c r="BQ53" s="331" t="s">
        <v>190</v>
      </c>
      <c r="BR53" s="331" t="s">
        <v>190</v>
      </c>
      <c r="BS53" s="331" t="s">
        <v>190</v>
      </c>
      <c r="BT53" s="331" t="s">
        <v>190</v>
      </c>
      <c r="BU53" s="331" t="s">
        <v>428</v>
      </c>
      <c r="BV53" s="331" t="s">
        <v>428</v>
      </c>
      <c r="BW53" s="331" t="s">
        <v>428</v>
      </c>
      <c r="BX53" s="331" t="s">
        <v>190</v>
      </c>
      <c r="BY53" s="331" t="s">
        <v>190</v>
      </c>
      <c r="BZ53" s="331" t="s">
        <v>190</v>
      </c>
      <c r="CA53" s="331" t="s">
        <v>190</v>
      </c>
      <c r="CB53" s="331" t="s">
        <v>190</v>
      </c>
      <c r="CC53" s="331" t="s">
        <v>190</v>
      </c>
      <c r="CD53" s="331" t="s">
        <v>190</v>
      </c>
      <c r="CE53" s="331" t="s">
        <v>190</v>
      </c>
      <c r="CF53" s="331" t="s">
        <v>190</v>
      </c>
      <c r="CG53" s="331" t="s">
        <v>190</v>
      </c>
      <c r="CH53" s="331" t="s">
        <v>190</v>
      </c>
      <c r="CI53" s="331" t="s">
        <v>190</v>
      </c>
      <c r="CJ53" s="331" t="s">
        <v>190</v>
      </c>
      <c r="CK53" s="331" t="s">
        <v>190</v>
      </c>
      <c r="CL53" s="331" t="s">
        <v>190</v>
      </c>
      <c r="CM53" s="331" t="s">
        <v>190</v>
      </c>
      <c r="CN53" s="331" t="s">
        <v>190</v>
      </c>
      <c r="CO53" s="331" t="s">
        <v>190</v>
      </c>
      <c r="CP53" s="331" t="s">
        <v>190</v>
      </c>
      <c r="CQ53" s="331" t="s">
        <v>190</v>
      </c>
      <c r="CR53" s="331" t="s">
        <v>190</v>
      </c>
      <c r="CS53" s="331" t="s">
        <v>190</v>
      </c>
      <c r="CT53" s="331" t="s">
        <v>428</v>
      </c>
      <c r="CU53" s="331" t="s">
        <v>428</v>
      </c>
      <c r="CV53" s="331" t="s">
        <v>190</v>
      </c>
      <c r="CW53" s="331" t="s">
        <v>428</v>
      </c>
      <c r="CX53" s="331" t="s">
        <v>428</v>
      </c>
      <c r="CY53" s="331" t="s">
        <v>428</v>
      </c>
      <c r="CZ53" s="331" t="s">
        <v>428</v>
      </c>
      <c r="DA53" s="331" t="s">
        <v>428</v>
      </c>
      <c r="DB53" s="331" t="s">
        <v>428</v>
      </c>
      <c r="DC53" s="331" t="s">
        <v>428</v>
      </c>
      <c r="DD53" s="331" t="s">
        <v>428</v>
      </c>
      <c r="DE53" s="331" t="s">
        <v>428</v>
      </c>
      <c r="DF53" s="331" t="s">
        <v>428</v>
      </c>
      <c r="DG53" s="331" t="s">
        <v>428</v>
      </c>
      <c r="DH53" s="331" t="s">
        <v>428</v>
      </c>
      <c r="DI53" s="331" t="s">
        <v>428</v>
      </c>
      <c r="DJ53" s="331" t="s">
        <v>428</v>
      </c>
      <c r="DK53" s="331" t="s">
        <v>428</v>
      </c>
      <c r="DL53" s="331" t="s">
        <v>428</v>
      </c>
      <c r="DM53" s="331" t="s">
        <v>428</v>
      </c>
      <c r="DN53" s="331" t="s">
        <v>428</v>
      </c>
      <c r="DO53" s="331" t="s">
        <v>428</v>
      </c>
      <c r="DP53" s="331" t="s">
        <v>428</v>
      </c>
      <c r="DQ53" s="331" t="s">
        <v>428</v>
      </c>
      <c r="DR53" s="331" t="s">
        <v>428</v>
      </c>
      <c r="DS53" s="331" t="s">
        <v>428</v>
      </c>
      <c r="DT53" s="331" t="s">
        <v>428</v>
      </c>
      <c r="DU53" s="331" t="s">
        <v>190</v>
      </c>
      <c r="DV53" s="331" t="s">
        <v>190</v>
      </c>
      <c r="DW53" s="331" t="s">
        <v>190</v>
      </c>
      <c r="DX53" s="331" t="s">
        <v>190</v>
      </c>
      <c r="DY53" s="331" t="s">
        <v>190</v>
      </c>
      <c r="DZ53" s="331" t="s">
        <v>190</v>
      </c>
      <c r="EA53" s="331" t="s">
        <v>190</v>
      </c>
      <c r="EB53" s="331" t="s">
        <v>190</v>
      </c>
      <c r="EC53" s="331" t="s">
        <v>190</v>
      </c>
      <c r="ED53" s="331" t="s">
        <v>190</v>
      </c>
      <c r="EE53" s="331" t="s">
        <v>190</v>
      </c>
      <c r="EF53" s="331" t="s">
        <v>190</v>
      </c>
      <c r="EG53" s="331" t="s">
        <v>190</v>
      </c>
      <c r="EH53" s="331" t="s">
        <v>428</v>
      </c>
      <c r="EI53" s="331" t="s">
        <v>428</v>
      </c>
      <c r="EJ53" s="331" t="s">
        <v>428</v>
      </c>
      <c r="EK53" s="331" t="s">
        <v>428</v>
      </c>
      <c r="EL53" s="331" t="s">
        <v>428</v>
      </c>
      <c r="EM53" s="331" t="s">
        <v>428</v>
      </c>
      <c r="EN53" s="331" t="s">
        <v>428</v>
      </c>
      <c r="EO53" s="331" t="s">
        <v>428</v>
      </c>
      <c r="EP53" s="331" t="s">
        <v>428</v>
      </c>
      <c r="EQ53" s="331" t="s">
        <v>428</v>
      </c>
      <c r="ER53" s="331" t="s">
        <v>428</v>
      </c>
      <c r="ES53" s="331" t="s">
        <v>190</v>
      </c>
      <c r="ET53" s="331" t="s">
        <v>190</v>
      </c>
      <c r="EU53" s="331" t="s">
        <v>190</v>
      </c>
      <c r="EV53" s="331" t="s">
        <v>190</v>
      </c>
      <c r="EW53" s="331" t="s">
        <v>190</v>
      </c>
      <c r="EX53" s="331" t="s">
        <v>190</v>
      </c>
      <c r="EY53" s="331" t="s">
        <v>190</v>
      </c>
      <c r="EZ53" s="331" t="s">
        <v>428</v>
      </c>
      <c r="FA53" s="331" t="s">
        <v>190</v>
      </c>
      <c r="FB53" s="331" t="s">
        <v>190</v>
      </c>
      <c r="FC53" s="331" t="s">
        <v>190</v>
      </c>
      <c r="FD53" s="331" t="s">
        <v>190</v>
      </c>
      <c r="FE53" s="331" t="s">
        <v>190</v>
      </c>
      <c r="FF53" s="331" t="s">
        <v>190</v>
      </c>
      <c r="FG53" s="331" t="s">
        <v>190</v>
      </c>
      <c r="FH53" s="331" t="s">
        <v>190</v>
      </c>
      <c r="FI53" s="331" t="s">
        <v>190</v>
      </c>
      <c r="FJ53" s="331" t="s">
        <v>190</v>
      </c>
      <c r="FK53" s="331" t="s">
        <v>190</v>
      </c>
      <c r="FL53" s="331" t="s">
        <v>190</v>
      </c>
      <c r="FM53" s="331" t="s">
        <v>190</v>
      </c>
      <c r="FN53" s="331" t="s">
        <v>190</v>
      </c>
      <c r="FO53" s="331" t="s">
        <v>190</v>
      </c>
      <c r="FP53" s="331" t="s">
        <v>190</v>
      </c>
      <c r="FQ53" s="331" t="s">
        <v>190</v>
      </c>
      <c r="FR53" s="331" t="s">
        <v>428</v>
      </c>
      <c r="FS53" s="331" t="s">
        <v>190</v>
      </c>
      <c r="FT53" s="331" t="s">
        <v>190</v>
      </c>
      <c r="FU53" s="331" t="s">
        <v>190</v>
      </c>
      <c r="FV53" s="331" t="s">
        <v>190</v>
      </c>
      <c r="FW53" s="331" t="s">
        <v>428</v>
      </c>
      <c r="FX53" s="331" t="s">
        <v>428</v>
      </c>
      <c r="FY53" s="331" t="s">
        <v>190</v>
      </c>
      <c r="FZ53" s="331" t="s">
        <v>190</v>
      </c>
      <c r="GA53" s="331" t="s">
        <v>190</v>
      </c>
      <c r="GB53" s="331" t="s">
        <v>190</v>
      </c>
      <c r="GC53" s="331" t="s">
        <v>190</v>
      </c>
      <c r="GD53" s="331" t="s">
        <v>190</v>
      </c>
      <c r="GE53" s="331" t="s">
        <v>190</v>
      </c>
      <c r="GF53" s="331" t="s">
        <v>190</v>
      </c>
      <c r="GG53" s="331" t="s">
        <v>428</v>
      </c>
      <c r="GH53" s="331" t="s">
        <v>190</v>
      </c>
      <c r="GI53" s="331" t="s">
        <v>428</v>
      </c>
      <c r="GJ53" s="331" t="s">
        <v>190</v>
      </c>
      <c r="GK53" s="331" t="s">
        <v>190</v>
      </c>
      <c r="GL53" s="331" t="s">
        <v>190</v>
      </c>
      <c r="GM53" s="331" t="s">
        <v>190</v>
      </c>
      <c r="GN53" s="331" t="s">
        <v>190</v>
      </c>
      <c r="GO53" s="331" t="s">
        <v>190</v>
      </c>
      <c r="GP53" s="331" t="s">
        <v>190</v>
      </c>
      <c r="GQ53" s="331" t="s">
        <v>190</v>
      </c>
      <c r="GR53" s="331" t="s">
        <v>428</v>
      </c>
      <c r="GS53" s="331" t="s">
        <v>428</v>
      </c>
      <c r="GT53" s="331" t="s">
        <v>428</v>
      </c>
      <c r="GU53" s="331" t="s">
        <v>428</v>
      </c>
      <c r="GV53" s="331" t="s">
        <v>428</v>
      </c>
      <c r="GW53" s="331" t="s">
        <v>190</v>
      </c>
      <c r="GX53" s="331" t="s">
        <v>190</v>
      </c>
      <c r="GY53" s="331" t="s">
        <v>190</v>
      </c>
      <c r="GZ53" s="331" t="s">
        <v>190</v>
      </c>
      <c r="HA53" s="331" t="s">
        <v>190</v>
      </c>
      <c r="HB53" s="331" t="s">
        <v>190</v>
      </c>
      <c r="HC53" s="331" t="s">
        <v>190</v>
      </c>
      <c r="HD53" s="331" t="s">
        <v>190</v>
      </c>
      <c r="HE53" s="331" t="s">
        <v>190</v>
      </c>
      <c r="HF53" s="331" t="s">
        <v>190</v>
      </c>
      <c r="HG53" s="331" t="s">
        <v>190</v>
      </c>
      <c r="HH53" s="331" t="s">
        <v>190</v>
      </c>
      <c r="HI53" s="331" t="s">
        <v>190</v>
      </c>
      <c r="HJ53" s="331" t="s">
        <v>190</v>
      </c>
      <c r="HK53" s="331" t="s">
        <v>190</v>
      </c>
      <c r="HL53" s="331" t="s">
        <v>190</v>
      </c>
      <c r="HM53" s="331" t="s">
        <v>190</v>
      </c>
      <c r="HN53" s="331" t="s">
        <v>190</v>
      </c>
      <c r="HO53" s="331" t="s">
        <v>190</v>
      </c>
      <c r="HP53" s="331" t="s">
        <v>190</v>
      </c>
      <c r="HQ53" s="331" t="s">
        <v>170</v>
      </c>
      <c r="HR53" s="331" t="s">
        <v>429</v>
      </c>
      <c r="HS53" s="331" t="s">
        <v>169</v>
      </c>
      <c r="HT53" s="331" t="s">
        <v>427</v>
      </c>
      <c r="HU53" s="331" t="s">
        <v>428</v>
      </c>
      <c r="HV53" s="331" t="s">
        <v>428</v>
      </c>
    </row>
    <row r="54" spans="1:230" s="70" customFormat="1" x14ac:dyDescent="0.25">
      <c r="A54" s="330" t="str">
        <f>HYPERLINK("http://www.ofsted.gov.uk/inspection-reports/find-inspection-report/provider/ELS/135859 ","Ofsted School Webpage")</f>
        <v>Ofsted School Webpage</v>
      </c>
      <c r="B54" s="331">
        <v>135859</v>
      </c>
      <c r="C54" s="331">
        <v>9266160</v>
      </c>
      <c r="D54" s="331" t="s">
        <v>2002</v>
      </c>
      <c r="E54" s="331" t="s">
        <v>168</v>
      </c>
      <c r="F54" s="331" t="s">
        <v>451</v>
      </c>
      <c r="G54" s="331" t="s">
        <v>451</v>
      </c>
      <c r="H54" s="331" t="s">
        <v>463</v>
      </c>
      <c r="I54" s="331" t="s">
        <v>2003</v>
      </c>
      <c r="J54" s="331" t="s">
        <v>81</v>
      </c>
      <c r="K54" s="331" t="s">
        <v>81</v>
      </c>
      <c r="L54" s="331" t="s">
        <v>81</v>
      </c>
      <c r="M54" s="331" t="s">
        <v>78</v>
      </c>
      <c r="N54" s="331" t="s">
        <v>424</v>
      </c>
      <c r="O54" s="331">
        <v>10123912</v>
      </c>
      <c r="P54" s="332">
        <v>43740</v>
      </c>
      <c r="Q54" s="332">
        <v>43740</v>
      </c>
      <c r="R54" s="332">
        <v>43787</v>
      </c>
      <c r="S54" s="331" t="s">
        <v>985</v>
      </c>
      <c r="T54" s="331" t="s">
        <v>982</v>
      </c>
      <c r="U54" s="331" t="s">
        <v>427</v>
      </c>
      <c r="V54" s="331" t="s">
        <v>166</v>
      </c>
      <c r="W54" s="331" t="s">
        <v>191</v>
      </c>
      <c r="X54" s="331" t="s">
        <v>191</v>
      </c>
      <c r="Y54" s="331" t="s">
        <v>191</v>
      </c>
      <c r="Z54" s="331" t="s">
        <v>191</v>
      </c>
      <c r="AA54" s="331" t="s">
        <v>190</v>
      </c>
      <c r="AB54" s="331" t="s">
        <v>191</v>
      </c>
      <c r="AC54" s="331" t="s">
        <v>191</v>
      </c>
      <c r="AD54" s="331" t="s">
        <v>191</v>
      </c>
      <c r="AE54" s="331" t="s">
        <v>984</v>
      </c>
      <c r="AF54" s="331" t="s">
        <v>190</v>
      </c>
      <c r="AG54" s="331" t="s">
        <v>190</v>
      </c>
      <c r="AH54" s="331" t="s">
        <v>190</v>
      </c>
      <c r="AI54" s="331" t="s">
        <v>984</v>
      </c>
      <c r="AJ54" s="331" t="s">
        <v>984</v>
      </c>
      <c r="AK54" s="331" t="s">
        <v>984</v>
      </c>
      <c r="AL54" s="331" t="s">
        <v>984</v>
      </c>
      <c r="AM54" s="331" t="s">
        <v>984</v>
      </c>
      <c r="AN54" s="331" t="s">
        <v>984</v>
      </c>
      <c r="AO54" s="331" t="s">
        <v>984</v>
      </c>
      <c r="AP54" s="331" t="s">
        <v>190</v>
      </c>
      <c r="AQ54" s="331" t="s">
        <v>191</v>
      </c>
      <c r="AR54" s="331" t="s">
        <v>191</v>
      </c>
      <c r="AS54" s="331" t="s">
        <v>984</v>
      </c>
      <c r="AT54" s="331" t="s">
        <v>191</v>
      </c>
      <c r="AU54" s="331" t="s">
        <v>191</v>
      </c>
      <c r="AV54" s="331" t="s">
        <v>191</v>
      </c>
      <c r="AW54" s="331" t="s">
        <v>191</v>
      </c>
      <c r="AX54" s="331" t="s">
        <v>191</v>
      </c>
      <c r="AY54" s="331" t="s">
        <v>984</v>
      </c>
      <c r="AZ54" s="331" t="s">
        <v>190</v>
      </c>
      <c r="BA54" s="331" t="s">
        <v>190</v>
      </c>
      <c r="BB54" s="331" t="s">
        <v>984</v>
      </c>
      <c r="BC54" s="331" t="s">
        <v>190</v>
      </c>
      <c r="BD54" s="331" t="s">
        <v>190</v>
      </c>
      <c r="BE54" s="331" t="s">
        <v>190</v>
      </c>
      <c r="BF54" s="331" t="s">
        <v>190</v>
      </c>
      <c r="BG54" s="331" t="s">
        <v>190</v>
      </c>
      <c r="BH54" s="331" t="s">
        <v>190</v>
      </c>
      <c r="BI54" s="331" t="s">
        <v>190</v>
      </c>
      <c r="BJ54" s="331" t="s">
        <v>190</v>
      </c>
      <c r="BK54" s="331" t="s">
        <v>984</v>
      </c>
      <c r="BL54" s="331" t="s">
        <v>190</v>
      </c>
      <c r="BM54" s="331" t="s">
        <v>190</v>
      </c>
      <c r="BN54" s="331" t="s">
        <v>190</v>
      </c>
      <c r="BO54" s="331" t="s">
        <v>190</v>
      </c>
      <c r="BP54" s="331" t="s">
        <v>190</v>
      </c>
      <c r="BQ54" s="331" t="s">
        <v>190</v>
      </c>
      <c r="BR54" s="331" t="s">
        <v>191</v>
      </c>
      <c r="BS54" s="331" t="s">
        <v>191</v>
      </c>
      <c r="BT54" s="331" t="s">
        <v>191</v>
      </c>
      <c r="BU54" s="331" t="s">
        <v>984</v>
      </c>
      <c r="BV54" s="331" t="s">
        <v>984</v>
      </c>
      <c r="BW54" s="331" t="s">
        <v>984</v>
      </c>
      <c r="BX54" s="331" t="s">
        <v>190</v>
      </c>
      <c r="BY54" s="331" t="s">
        <v>984</v>
      </c>
      <c r="BZ54" s="331" t="s">
        <v>190</v>
      </c>
      <c r="CA54" s="331" t="s">
        <v>984</v>
      </c>
      <c r="CB54" s="331" t="s">
        <v>984</v>
      </c>
      <c r="CC54" s="331" t="s">
        <v>984</v>
      </c>
      <c r="CD54" s="331" t="s">
        <v>984</v>
      </c>
      <c r="CE54" s="331" t="s">
        <v>984</v>
      </c>
      <c r="CF54" s="331" t="s">
        <v>984</v>
      </c>
      <c r="CG54" s="331" t="s">
        <v>984</v>
      </c>
      <c r="CH54" s="331" t="s">
        <v>984</v>
      </c>
      <c r="CI54" s="331" t="s">
        <v>984</v>
      </c>
      <c r="CJ54" s="331" t="s">
        <v>984</v>
      </c>
      <c r="CK54" s="331" t="s">
        <v>984</v>
      </c>
      <c r="CL54" s="331" t="s">
        <v>984</v>
      </c>
      <c r="CM54" s="331" t="s">
        <v>173</v>
      </c>
      <c r="CN54" s="331" t="s">
        <v>984</v>
      </c>
      <c r="CO54" s="331" t="s">
        <v>984</v>
      </c>
      <c r="CP54" s="331" t="s">
        <v>984</v>
      </c>
      <c r="CQ54" s="331" t="s">
        <v>984</v>
      </c>
      <c r="CR54" s="331" t="s">
        <v>984</v>
      </c>
      <c r="CS54" s="331" t="s">
        <v>984</v>
      </c>
      <c r="CT54" s="331" t="s">
        <v>984</v>
      </c>
      <c r="CU54" s="331" t="s">
        <v>984</v>
      </c>
      <c r="CV54" s="331" t="s">
        <v>984</v>
      </c>
      <c r="CW54" s="331" t="s">
        <v>984</v>
      </c>
      <c r="CX54" s="331" t="s">
        <v>984</v>
      </c>
      <c r="CY54" s="331" t="s">
        <v>984</v>
      </c>
      <c r="CZ54" s="331" t="s">
        <v>984</v>
      </c>
      <c r="DA54" s="331" t="s">
        <v>984</v>
      </c>
      <c r="DB54" s="331" t="s">
        <v>984</v>
      </c>
      <c r="DC54" s="331" t="s">
        <v>984</v>
      </c>
      <c r="DD54" s="331" t="s">
        <v>984</v>
      </c>
      <c r="DE54" s="331" t="s">
        <v>984</v>
      </c>
      <c r="DF54" s="331" t="s">
        <v>984</v>
      </c>
      <c r="DG54" s="331" t="s">
        <v>984</v>
      </c>
      <c r="DH54" s="331" t="s">
        <v>984</v>
      </c>
      <c r="DI54" s="331" t="s">
        <v>984</v>
      </c>
      <c r="DJ54" s="331" t="s">
        <v>984</v>
      </c>
      <c r="DK54" s="331" t="s">
        <v>984</v>
      </c>
      <c r="DL54" s="331" t="s">
        <v>984</v>
      </c>
      <c r="DM54" s="331" t="s">
        <v>984</v>
      </c>
      <c r="DN54" s="331" t="s">
        <v>984</v>
      </c>
      <c r="DO54" s="331" t="s">
        <v>984</v>
      </c>
      <c r="DP54" s="331" t="s">
        <v>984</v>
      </c>
      <c r="DQ54" s="331" t="s">
        <v>984</v>
      </c>
      <c r="DR54" s="331" t="s">
        <v>984</v>
      </c>
      <c r="DS54" s="331" t="s">
        <v>984</v>
      </c>
      <c r="DT54" s="331" t="s">
        <v>984</v>
      </c>
      <c r="DU54" s="331" t="s">
        <v>984</v>
      </c>
      <c r="DV54" s="331" t="s">
        <v>984</v>
      </c>
      <c r="DW54" s="331" t="s">
        <v>984</v>
      </c>
      <c r="DX54" s="331" t="s">
        <v>984</v>
      </c>
      <c r="DY54" s="331" t="s">
        <v>984</v>
      </c>
      <c r="DZ54" s="331" t="s">
        <v>984</v>
      </c>
      <c r="EA54" s="331" t="s">
        <v>984</v>
      </c>
      <c r="EB54" s="331" t="s">
        <v>984</v>
      </c>
      <c r="EC54" s="331" t="s">
        <v>984</v>
      </c>
      <c r="ED54" s="331" t="s">
        <v>984</v>
      </c>
      <c r="EE54" s="331" t="s">
        <v>984</v>
      </c>
      <c r="EF54" s="331" t="s">
        <v>984</v>
      </c>
      <c r="EG54" s="331" t="s">
        <v>984</v>
      </c>
      <c r="EH54" s="331" t="s">
        <v>173</v>
      </c>
      <c r="EI54" s="331" t="s">
        <v>984</v>
      </c>
      <c r="EJ54" s="331" t="s">
        <v>984</v>
      </c>
      <c r="EK54" s="331" t="s">
        <v>984</v>
      </c>
      <c r="EL54" s="331" t="s">
        <v>984</v>
      </c>
      <c r="EM54" s="331" t="s">
        <v>984</v>
      </c>
      <c r="EN54" s="331" t="s">
        <v>984</v>
      </c>
      <c r="EO54" s="331" t="s">
        <v>984</v>
      </c>
      <c r="EP54" s="331" t="s">
        <v>984</v>
      </c>
      <c r="EQ54" s="331" t="s">
        <v>984</v>
      </c>
      <c r="ER54" s="331" t="s">
        <v>984</v>
      </c>
      <c r="ES54" s="331" t="s">
        <v>984</v>
      </c>
      <c r="ET54" s="331" t="s">
        <v>984</v>
      </c>
      <c r="EU54" s="331" t="s">
        <v>984</v>
      </c>
      <c r="EV54" s="331" t="s">
        <v>984</v>
      </c>
      <c r="EW54" s="331" t="s">
        <v>984</v>
      </c>
      <c r="EX54" s="331" t="s">
        <v>984</v>
      </c>
      <c r="EY54" s="331" t="s">
        <v>984</v>
      </c>
      <c r="EZ54" s="331" t="s">
        <v>984</v>
      </c>
      <c r="FA54" s="331" t="s">
        <v>984</v>
      </c>
      <c r="FB54" s="331" t="s">
        <v>984</v>
      </c>
      <c r="FC54" s="331" t="s">
        <v>984</v>
      </c>
      <c r="FD54" s="331" t="s">
        <v>984</v>
      </c>
      <c r="FE54" s="331" t="s">
        <v>984</v>
      </c>
      <c r="FF54" s="331" t="s">
        <v>984</v>
      </c>
      <c r="FG54" s="331" t="s">
        <v>984</v>
      </c>
      <c r="FH54" s="331" t="s">
        <v>984</v>
      </c>
      <c r="FI54" s="331" t="s">
        <v>984</v>
      </c>
      <c r="FJ54" s="331" t="s">
        <v>984</v>
      </c>
      <c r="FK54" s="331" t="s">
        <v>984</v>
      </c>
      <c r="FL54" s="331" t="s">
        <v>984</v>
      </c>
      <c r="FM54" s="331" t="s">
        <v>173</v>
      </c>
      <c r="FN54" s="331" t="s">
        <v>984</v>
      </c>
      <c r="FO54" s="331" t="s">
        <v>984</v>
      </c>
      <c r="FP54" s="331" t="s">
        <v>984</v>
      </c>
      <c r="FQ54" s="331" t="s">
        <v>984</v>
      </c>
      <c r="FR54" s="331" t="s">
        <v>984</v>
      </c>
      <c r="FS54" s="331" t="s">
        <v>984</v>
      </c>
      <c r="FT54" s="331" t="s">
        <v>984</v>
      </c>
      <c r="FU54" s="331" t="s">
        <v>984</v>
      </c>
      <c r="FV54" s="331" t="s">
        <v>984</v>
      </c>
      <c r="FW54" s="331" t="s">
        <v>984</v>
      </c>
      <c r="FX54" s="331" t="s">
        <v>984</v>
      </c>
      <c r="FY54" s="331" t="s">
        <v>984</v>
      </c>
      <c r="FZ54" s="331" t="s">
        <v>984</v>
      </c>
      <c r="GA54" s="331" t="s">
        <v>173</v>
      </c>
      <c r="GB54" s="331" t="s">
        <v>984</v>
      </c>
      <c r="GC54" s="331" t="s">
        <v>984</v>
      </c>
      <c r="GD54" s="331" t="s">
        <v>984</v>
      </c>
      <c r="GE54" s="331" t="s">
        <v>984</v>
      </c>
      <c r="GF54" s="331" t="s">
        <v>984</v>
      </c>
      <c r="GG54" s="331" t="s">
        <v>984</v>
      </c>
      <c r="GH54" s="331" t="s">
        <v>984</v>
      </c>
      <c r="GI54" s="331" t="s">
        <v>984</v>
      </c>
      <c r="GJ54" s="331" t="s">
        <v>984</v>
      </c>
      <c r="GK54" s="331" t="s">
        <v>984</v>
      </c>
      <c r="GL54" s="331" t="s">
        <v>984</v>
      </c>
      <c r="GM54" s="331" t="s">
        <v>984</v>
      </c>
      <c r="GN54" s="331" t="s">
        <v>984</v>
      </c>
      <c r="GO54" s="331" t="s">
        <v>984</v>
      </c>
      <c r="GP54" s="331" t="s">
        <v>984</v>
      </c>
      <c r="GQ54" s="331" t="s">
        <v>984</v>
      </c>
      <c r="GR54" s="331" t="s">
        <v>984</v>
      </c>
      <c r="GS54" s="331" t="s">
        <v>984</v>
      </c>
      <c r="GT54" s="331" t="s">
        <v>984</v>
      </c>
      <c r="GU54" s="331" t="s">
        <v>984</v>
      </c>
      <c r="GV54" s="331" t="s">
        <v>984</v>
      </c>
      <c r="GW54" s="331" t="s">
        <v>984</v>
      </c>
      <c r="GX54" s="331" t="s">
        <v>984</v>
      </c>
      <c r="GY54" s="331" t="s">
        <v>984</v>
      </c>
      <c r="GZ54" s="331" t="s">
        <v>984</v>
      </c>
      <c r="HA54" s="331" t="s">
        <v>984</v>
      </c>
      <c r="HB54" s="331" t="s">
        <v>984</v>
      </c>
      <c r="HC54" s="331" t="s">
        <v>984</v>
      </c>
      <c r="HD54" s="331" t="s">
        <v>984</v>
      </c>
      <c r="HE54" s="331" t="s">
        <v>984</v>
      </c>
      <c r="HF54" s="331" t="s">
        <v>984</v>
      </c>
      <c r="HG54" s="331" t="s">
        <v>984</v>
      </c>
      <c r="HH54" s="331" t="s">
        <v>984</v>
      </c>
      <c r="HI54" s="331" t="s">
        <v>984</v>
      </c>
      <c r="HJ54" s="331" t="s">
        <v>984</v>
      </c>
      <c r="HK54" s="331" t="s">
        <v>984</v>
      </c>
      <c r="HL54" s="331" t="s">
        <v>984</v>
      </c>
      <c r="HM54" s="331" t="s">
        <v>191</v>
      </c>
      <c r="HN54" s="331" t="s">
        <v>191</v>
      </c>
      <c r="HO54" s="331" t="s">
        <v>191</v>
      </c>
      <c r="HP54" s="331" t="s">
        <v>191</v>
      </c>
      <c r="HQ54" s="331" t="s">
        <v>169</v>
      </c>
      <c r="HR54" s="331" t="s">
        <v>529</v>
      </c>
      <c r="HS54" s="331" t="s">
        <v>529</v>
      </c>
      <c r="HT54" s="331" t="s">
        <v>427</v>
      </c>
      <c r="HU54" s="331" t="s">
        <v>984</v>
      </c>
      <c r="HV54" s="331" t="s">
        <v>984</v>
      </c>
    </row>
    <row r="55" spans="1:230" s="70" customFormat="1" x14ac:dyDescent="0.25">
      <c r="A55" s="330" t="str">
        <f>HYPERLINK("http://www.ofsted.gov.uk/inspection-reports/find-inspection-report/provider/ELS/135001 ","Ofsted School Webpage")</f>
        <v>Ofsted School Webpage</v>
      </c>
      <c r="B55" s="331">
        <v>135001</v>
      </c>
      <c r="C55" s="331">
        <v>3926011</v>
      </c>
      <c r="D55" s="331" t="s">
        <v>1868</v>
      </c>
      <c r="E55" s="331" t="s">
        <v>168</v>
      </c>
      <c r="F55" s="331" t="s">
        <v>458</v>
      </c>
      <c r="G55" s="331" t="s">
        <v>474</v>
      </c>
      <c r="H55" s="331" t="s">
        <v>564</v>
      </c>
      <c r="I55" s="331" t="s">
        <v>1869</v>
      </c>
      <c r="J55" s="331" t="s">
        <v>81</v>
      </c>
      <c r="K55" s="331" t="s">
        <v>81</v>
      </c>
      <c r="L55" s="331" t="s">
        <v>81</v>
      </c>
      <c r="M55" s="331" t="s">
        <v>78</v>
      </c>
      <c r="N55" s="331" t="s">
        <v>424</v>
      </c>
      <c r="O55" s="331">
        <v>10118834</v>
      </c>
      <c r="P55" s="332">
        <v>43740</v>
      </c>
      <c r="Q55" s="332">
        <v>43740</v>
      </c>
      <c r="R55" s="332">
        <v>43760</v>
      </c>
      <c r="S55" s="331" t="s">
        <v>985</v>
      </c>
      <c r="T55" s="331" t="s">
        <v>982</v>
      </c>
      <c r="U55" s="331" t="s">
        <v>427</v>
      </c>
      <c r="V55" s="331" t="s">
        <v>165</v>
      </c>
      <c r="W55" s="331" t="s">
        <v>984</v>
      </c>
      <c r="X55" s="331" t="s">
        <v>984</v>
      </c>
      <c r="Y55" s="331" t="s">
        <v>984</v>
      </c>
      <c r="Z55" s="331" t="s">
        <v>984</v>
      </c>
      <c r="AA55" s="331" t="s">
        <v>984</v>
      </c>
      <c r="AB55" s="331" t="s">
        <v>984</v>
      </c>
      <c r="AC55" s="331" t="s">
        <v>984</v>
      </c>
      <c r="AD55" s="331" t="s">
        <v>984</v>
      </c>
      <c r="AE55" s="331" t="s">
        <v>984</v>
      </c>
      <c r="AF55" s="331" t="s">
        <v>984</v>
      </c>
      <c r="AG55" s="331" t="s">
        <v>984</v>
      </c>
      <c r="AH55" s="331" t="s">
        <v>984</v>
      </c>
      <c r="AI55" s="331" t="s">
        <v>984</v>
      </c>
      <c r="AJ55" s="331" t="s">
        <v>984</v>
      </c>
      <c r="AK55" s="331" t="s">
        <v>984</v>
      </c>
      <c r="AL55" s="331" t="s">
        <v>984</v>
      </c>
      <c r="AM55" s="331" t="s">
        <v>984</v>
      </c>
      <c r="AN55" s="331" t="s">
        <v>984</v>
      </c>
      <c r="AO55" s="331" t="s">
        <v>984</v>
      </c>
      <c r="AP55" s="331" t="s">
        <v>984</v>
      </c>
      <c r="AQ55" s="331" t="s">
        <v>984</v>
      </c>
      <c r="AR55" s="331" t="s">
        <v>984</v>
      </c>
      <c r="AS55" s="331" t="s">
        <v>984</v>
      </c>
      <c r="AT55" s="331" t="s">
        <v>984</v>
      </c>
      <c r="AU55" s="331" t="s">
        <v>984</v>
      </c>
      <c r="AV55" s="331" t="s">
        <v>984</v>
      </c>
      <c r="AW55" s="331" t="s">
        <v>984</v>
      </c>
      <c r="AX55" s="331" t="s">
        <v>984</v>
      </c>
      <c r="AY55" s="331" t="s">
        <v>984</v>
      </c>
      <c r="AZ55" s="331" t="s">
        <v>984</v>
      </c>
      <c r="BA55" s="331" t="s">
        <v>984</v>
      </c>
      <c r="BB55" s="331" t="s">
        <v>984</v>
      </c>
      <c r="BC55" s="331" t="s">
        <v>984</v>
      </c>
      <c r="BD55" s="331" t="s">
        <v>984</v>
      </c>
      <c r="BE55" s="331" t="s">
        <v>984</v>
      </c>
      <c r="BF55" s="331" t="s">
        <v>984</v>
      </c>
      <c r="BG55" s="331" t="s">
        <v>984</v>
      </c>
      <c r="BH55" s="331" t="s">
        <v>984</v>
      </c>
      <c r="BI55" s="331" t="s">
        <v>984</v>
      </c>
      <c r="BJ55" s="331" t="s">
        <v>984</v>
      </c>
      <c r="BK55" s="331" t="s">
        <v>984</v>
      </c>
      <c r="BL55" s="331" t="s">
        <v>984</v>
      </c>
      <c r="BM55" s="331" t="s">
        <v>984</v>
      </c>
      <c r="BN55" s="331" t="s">
        <v>984</v>
      </c>
      <c r="BO55" s="331" t="s">
        <v>984</v>
      </c>
      <c r="BP55" s="331" t="s">
        <v>984</v>
      </c>
      <c r="BQ55" s="331" t="s">
        <v>984</v>
      </c>
      <c r="BR55" s="331" t="s">
        <v>190</v>
      </c>
      <c r="BS55" s="331" t="s">
        <v>190</v>
      </c>
      <c r="BT55" s="331" t="s">
        <v>190</v>
      </c>
      <c r="BU55" s="331" t="s">
        <v>428</v>
      </c>
      <c r="BV55" s="331" t="s">
        <v>428</v>
      </c>
      <c r="BW55" s="331" t="s">
        <v>428</v>
      </c>
      <c r="BX55" s="331" t="s">
        <v>190</v>
      </c>
      <c r="BY55" s="331" t="s">
        <v>190</v>
      </c>
      <c r="BZ55" s="331" t="s">
        <v>190</v>
      </c>
      <c r="CA55" s="331" t="s">
        <v>190</v>
      </c>
      <c r="CB55" s="331" t="s">
        <v>190</v>
      </c>
      <c r="CC55" s="331" t="s">
        <v>190</v>
      </c>
      <c r="CD55" s="331" t="s">
        <v>190</v>
      </c>
      <c r="CE55" s="331" t="s">
        <v>190</v>
      </c>
      <c r="CF55" s="331" t="s">
        <v>190</v>
      </c>
      <c r="CG55" s="331" t="s">
        <v>190</v>
      </c>
      <c r="CH55" s="331" t="s">
        <v>190</v>
      </c>
      <c r="CI55" s="331" t="s">
        <v>190</v>
      </c>
      <c r="CJ55" s="331" t="s">
        <v>190</v>
      </c>
      <c r="CK55" s="331" t="s">
        <v>190</v>
      </c>
      <c r="CL55" s="331" t="s">
        <v>190</v>
      </c>
      <c r="CM55" s="331" t="s">
        <v>190</v>
      </c>
      <c r="CN55" s="331" t="s">
        <v>190</v>
      </c>
      <c r="CO55" s="331" t="s">
        <v>190</v>
      </c>
      <c r="CP55" s="331" t="s">
        <v>190</v>
      </c>
      <c r="CQ55" s="331" t="s">
        <v>190</v>
      </c>
      <c r="CR55" s="331" t="s">
        <v>190</v>
      </c>
      <c r="CS55" s="331" t="s">
        <v>190</v>
      </c>
      <c r="CT55" s="331" t="s">
        <v>190</v>
      </c>
      <c r="CU55" s="331" t="s">
        <v>428</v>
      </c>
      <c r="CV55" s="331" t="s">
        <v>190</v>
      </c>
      <c r="CW55" s="331" t="s">
        <v>428</v>
      </c>
      <c r="CX55" s="331" t="s">
        <v>428</v>
      </c>
      <c r="CY55" s="331" t="s">
        <v>428</v>
      </c>
      <c r="CZ55" s="331" t="s">
        <v>428</v>
      </c>
      <c r="DA55" s="331" t="s">
        <v>428</v>
      </c>
      <c r="DB55" s="331" t="s">
        <v>428</v>
      </c>
      <c r="DC55" s="331" t="s">
        <v>428</v>
      </c>
      <c r="DD55" s="331" t="s">
        <v>428</v>
      </c>
      <c r="DE55" s="331" t="s">
        <v>428</v>
      </c>
      <c r="DF55" s="331" t="s">
        <v>428</v>
      </c>
      <c r="DG55" s="331" t="s">
        <v>428</v>
      </c>
      <c r="DH55" s="331" t="s">
        <v>428</v>
      </c>
      <c r="DI55" s="331" t="s">
        <v>428</v>
      </c>
      <c r="DJ55" s="331" t="s">
        <v>428</v>
      </c>
      <c r="DK55" s="331" t="s">
        <v>428</v>
      </c>
      <c r="DL55" s="331" t="s">
        <v>428</v>
      </c>
      <c r="DM55" s="331" t="s">
        <v>428</v>
      </c>
      <c r="DN55" s="331" t="s">
        <v>428</v>
      </c>
      <c r="DO55" s="331" t="s">
        <v>428</v>
      </c>
      <c r="DP55" s="331" t="s">
        <v>428</v>
      </c>
      <c r="DQ55" s="331" t="s">
        <v>428</v>
      </c>
      <c r="DR55" s="331" t="s">
        <v>428</v>
      </c>
      <c r="DS55" s="331" t="s">
        <v>428</v>
      </c>
      <c r="DT55" s="331" t="s">
        <v>428</v>
      </c>
      <c r="DU55" s="331" t="s">
        <v>190</v>
      </c>
      <c r="DV55" s="331" t="s">
        <v>190</v>
      </c>
      <c r="DW55" s="331" t="s">
        <v>190</v>
      </c>
      <c r="DX55" s="331" t="s">
        <v>190</v>
      </c>
      <c r="DY55" s="331" t="s">
        <v>190</v>
      </c>
      <c r="DZ55" s="331" t="s">
        <v>190</v>
      </c>
      <c r="EA55" s="331" t="s">
        <v>190</v>
      </c>
      <c r="EB55" s="331" t="s">
        <v>190</v>
      </c>
      <c r="EC55" s="331" t="s">
        <v>190</v>
      </c>
      <c r="ED55" s="331" t="s">
        <v>190</v>
      </c>
      <c r="EE55" s="331" t="s">
        <v>190</v>
      </c>
      <c r="EF55" s="331" t="s">
        <v>190</v>
      </c>
      <c r="EG55" s="331" t="s">
        <v>190</v>
      </c>
      <c r="EH55" s="331" t="s">
        <v>190</v>
      </c>
      <c r="EI55" s="331" t="s">
        <v>428</v>
      </c>
      <c r="EJ55" s="331" t="s">
        <v>428</v>
      </c>
      <c r="EK55" s="331" t="s">
        <v>428</v>
      </c>
      <c r="EL55" s="331" t="s">
        <v>428</v>
      </c>
      <c r="EM55" s="331" t="s">
        <v>428</v>
      </c>
      <c r="EN55" s="331" t="s">
        <v>428</v>
      </c>
      <c r="EO55" s="331" t="s">
        <v>428</v>
      </c>
      <c r="EP55" s="331" t="s">
        <v>428</v>
      </c>
      <c r="EQ55" s="331" t="s">
        <v>428</v>
      </c>
      <c r="ER55" s="331" t="s">
        <v>428</v>
      </c>
      <c r="ES55" s="331" t="s">
        <v>984</v>
      </c>
      <c r="ET55" s="331" t="s">
        <v>984</v>
      </c>
      <c r="EU55" s="331" t="s">
        <v>984</v>
      </c>
      <c r="EV55" s="331" t="s">
        <v>984</v>
      </c>
      <c r="EW55" s="331" t="s">
        <v>984</v>
      </c>
      <c r="EX55" s="331" t="s">
        <v>984</v>
      </c>
      <c r="EY55" s="331" t="s">
        <v>984</v>
      </c>
      <c r="EZ55" s="331" t="s">
        <v>984</v>
      </c>
      <c r="FA55" s="331" t="s">
        <v>984</v>
      </c>
      <c r="FB55" s="331" t="s">
        <v>984</v>
      </c>
      <c r="FC55" s="331" t="s">
        <v>984</v>
      </c>
      <c r="FD55" s="331" t="s">
        <v>984</v>
      </c>
      <c r="FE55" s="331" t="s">
        <v>984</v>
      </c>
      <c r="FF55" s="331" t="s">
        <v>984</v>
      </c>
      <c r="FG55" s="331" t="s">
        <v>984</v>
      </c>
      <c r="FH55" s="331" t="s">
        <v>984</v>
      </c>
      <c r="FI55" s="331" t="s">
        <v>984</v>
      </c>
      <c r="FJ55" s="331" t="s">
        <v>984</v>
      </c>
      <c r="FK55" s="331" t="s">
        <v>984</v>
      </c>
      <c r="FL55" s="331" t="s">
        <v>984</v>
      </c>
      <c r="FM55" s="331" t="s">
        <v>984</v>
      </c>
      <c r="FN55" s="331" t="s">
        <v>984</v>
      </c>
      <c r="FO55" s="331" t="s">
        <v>984</v>
      </c>
      <c r="FP55" s="331" t="s">
        <v>984</v>
      </c>
      <c r="FQ55" s="331" t="s">
        <v>984</v>
      </c>
      <c r="FR55" s="331" t="s">
        <v>428</v>
      </c>
      <c r="FS55" s="331" t="s">
        <v>984</v>
      </c>
      <c r="FT55" s="331" t="s">
        <v>984</v>
      </c>
      <c r="FU55" s="331" t="s">
        <v>984</v>
      </c>
      <c r="FV55" s="331" t="s">
        <v>190</v>
      </c>
      <c r="FW55" s="331" t="s">
        <v>984</v>
      </c>
      <c r="FX55" s="331" t="s">
        <v>428</v>
      </c>
      <c r="FY55" s="331" t="s">
        <v>984</v>
      </c>
      <c r="FZ55" s="331" t="s">
        <v>190</v>
      </c>
      <c r="GA55" s="331" t="s">
        <v>984</v>
      </c>
      <c r="GB55" s="331" t="s">
        <v>984</v>
      </c>
      <c r="GC55" s="331" t="s">
        <v>984</v>
      </c>
      <c r="GD55" s="331" t="s">
        <v>984</v>
      </c>
      <c r="GE55" s="331" t="s">
        <v>984</v>
      </c>
      <c r="GF55" s="331" t="s">
        <v>984</v>
      </c>
      <c r="GG55" s="331" t="s">
        <v>984</v>
      </c>
      <c r="GH55" s="331" t="s">
        <v>984</v>
      </c>
      <c r="GI55" s="331" t="s">
        <v>984</v>
      </c>
      <c r="GJ55" s="331" t="s">
        <v>984</v>
      </c>
      <c r="GK55" s="331" t="s">
        <v>984</v>
      </c>
      <c r="GL55" s="331" t="s">
        <v>984</v>
      </c>
      <c r="GM55" s="331" t="s">
        <v>984</v>
      </c>
      <c r="GN55" s="331" t="s">
        <v>984</v>
      </c>
      <c r="GO55" s="331" t="s">
        <v>984</v>
      </c>
      <c r="GP55" s="331" t="s">
        <v>984</v>
      </c>
      <c r="GQ55" s="331" t="s">
        <v>984</v>
      </c>
      <c r="GR55" s="331" t="s">
        <v>984</v>
      </c>
      <c r="GS55" s="331" t="s">
        <v>984</v>
      </c>
      <c r="GT55" s="331" t="s">
        <v>984</v>
      </c>
      <c r="GU55" s="331" t="s">
        <v>984</v>
      </c>
      <c r="GV55" s="331" t="s">
        <v>984</v>
      </c>
      <c r="GW55" s="331" t="s">
        <v>984</v>
      </c>
      <c r="GX55" s="331" t="s">
        <v>984</v>
      </c>
      <c r="GY55" s="331" t="s">
        <v>984</v>
      </c>
      <c r="GZ55" s="331" t="s">
        <v>984</v>
      </c>
      <c r="HA55" s="331" t="s">
        <v>984</v>
      </c>
      <c r="HB55" s="331" t="s">
        <v>984</v>
      </c>
      <c r="HC55" s="331" t="s">
        <v>984</v>
      </c>
      <c r="HD55" s="331" t="s">
        <v>984</v>
      </c>
      <c r="HE55" s="331" t="s">
        <v>984</v>
      </c>
      <c r="HF55" s="331" t="s">
        <v>984</v>
      </c>
      <c r="HG55" s="331" t="s">
        <v>984</v>
      </c>
      <c r="HH55" s="331" t="s">
        <v>984</v>
      </c>
      <c r="HI55" s="331" t="s">
        <v>984</v>
      </c>
      <c r="HJ55" s="331" t="s">
        <v>984</v>
      </c>
      <c r="HK55" s="331" t="s">
        <v>984</v>
      </c>
      <c r="HL55" s="331" t="s">
        <v>984</v>
      </c>
      <c r="HM55" s="331" t="s">
        <v>190</v>
      </c>
      <c r="HN55" s="331" t="s">
        <v>190</v>
      </c>
      <c r="HO55" s="331" t="s">
        <v>190</v>
      </c>
      <c r="HP55" s="331" t="s">
        <v>984</v>
      </c>
      <c r="HQ55" s="331" t="s">
        <v>170</v>
      </c>
      <c r="HR55" s="331" t="s">
        <v>429</v>
      </c>
      <c r="HS55" s="331" t="s">
        <v>169</v>
      </c>
      <c r="HT55" s="331" t="s">
        <v>427</v>
      </c>
      <c r="HU55" s="331" t="s">
        <v>428</v>
      </c>
      <c r="HV55" s="331" t="s">
        <v>428</v>
      </c>
    </row>
    <row r="56" spans="1:230" s="70" customFormat="1" x14ac:dyDescent="0.25">
      <c r="A56" s="330" t="str">
        <f>HYPERLINK("http://www.ofsted.gov.uk/inspection-reports/find-inspection-report/provider/ELS/143039 ","Ofsted School Webpage")</f>
        <v>Ofsted School Webpage</v>
      </c>
      <c r="B56" s="331">
        <v>143039</v>
      </c>
      <c r="C56" s="331">
        <v>3306026</v>
      </c>
      <c r="D56" s="331" t="s">
        <v>989</v>
      </c>
      <c r="E56" s="331" t="s">
        <v>167</v>
      </c>
      <c r="F56" s="331" t="s">
        <v>437</v>
      </c>
      <c r="G56" s="331" t="s">
        <v>437</v>
      </c>
      <c r="H56" s="331" t="s">
        <v>813</v>
      </c>
      <c r="I56" s="331" t="s">
        <v>990</v>
      </c>
      <c r="J56" s="331" t="s">
        <v>81</v>
      </c>
      <c r="K56" s="331" t="s">
        <v>81</v>
      </c>
      <c r="L56" s="331" t="s">
        <v>81</v>
      </c>
      <c r="M56" s="331" t="s">
        <v>78</v>
      </c>
      <c r="N56" s="331" t="s">
        <v>424</v>
      </c>
      <c r="O56" s="331">
        <v>10118287</v>
      </c>
      <c r="P56" s="332">
        <v>43740</v>
      </c>
      <c r="Q56" s="332">
        <v>43740</v>
      </c>
      <c r="R56" s="332">
        <v>43781</v>
      </c>
      <c r="S56" s="331" t="s">
        <v>997</v>
      </c>
      <c r="T56" s="331" t="s">
        <v>982</v>
      </c>
      <c r="U56" s="331" t="s">
        <v>447</v>
      </c>
      <c r="V56" s="331" t="s">
        <v>2708</v>
      </c>
      <c r="W56" s="331" t="s">
        <v>984</v>
      </c>
      <c r="X56" s="331" t="s">
        <v>984</v>
      </c>
      <c r="Y56" s="331" t="s">
        <v>984</v>
      </c>
      <c r="Z56" s="331" t="s">
        <v>984</v>
      </c>
      <c r="AA56" s="331" t="s">
        <v>984</v>
      </c>
      <c r="AB56" s="331" t="s">
        <v>984</v>
      </c>
      <c r="AC56" s="331" t="s">
        <v>984</v>
      </c>
      <c r="AD56" s="331" t="s">
        <v>984</v>
      </c>
      <c r="AE56" s="331" t="s">
        <v>984</v>
      </c>
      <c r="AF56" s="331" t="s">
        <v>984</v>
      </c>
      <c r="AG56" s="331" t="s">
        <v>984</v>
      </c>
      <c r="AH56" s="331" t="s">
        <v>984</v>
      </c>
      <c r="AI56" s="331" t="s">
        <v>984</v>
      </c>
      <c r="AJ56" s="331" t="s">
        <v>984</v>
      </c>
      <c r="AK56" s="331" t="s">
        <v>984</v>
      </c>
      <c r="AL56" s="331" t="s">
        <v>984</v>
      </c>
      <c r="AM56" s="331" t="s">
        <v>984</v>
      </c>
      <c r="AN56" s="331" t="s">
        <v>984</v>
      </c>
      <c r="AO56" s="331" t="s">
        <v>984</v>
      </c>
      <c r="AP56" s="331" t="s">
        <v>984</v>
      </c>
      <c r="AQ56" s="331" t="s">
        <v>984</v>
      </c>
      <c r="AR56" s="331" t="s">
        <v>984</v>
      </c>
      <c r="AS56" s="331" t="s">
        <v>984</v>
      </c>
      <c r="AT56" s="331" t="s">
        <v>984</v>
      </c>
      <c r="AU56" s="331" t="s">
        <v>984</v>
      </c>
      <c r="AV56" s="331" t="s">
        <v>984</v>
      </c>
      <c r="AW56" s="331" t="s">
        <v>984</v>
      </c>
      <c r="AX56" s="331" t="s">
        <v>984</v>
      </c>
      <c r="AY56" s="331" t="s">
        <v>984</v>
      </c>
      <c r="AZ56" s="331" t="s">
        <v>984</v>
      </c>
      <c r="BA56" s="331" t="s">
        <v>984</v>
      </c>
      <c r="BB56" s="331" t="s">
        <v>984</v>
      </c>
      <c r="BC56" s="331" t="s">
        <v>984</v>
      </c>
      <c r="BD56" s="331" t="s">
        <v>984</v>
      </c>
      <c r="BE56" s="331" t="s">
        <v>984</v>
      </c>
      <c r="BF56" s="331" t="s">
        <v>984</v>
      </c>
      <c r="BG56" s="331" t="s">
        <v>984</v>
      </c>
      <c r="BH56" s="331" t="s">
        <v>984</v>
      </c>
      <c r="BI56" s="331" t="s">
        <v>984</v>
      </c>
      <c r="BJ56" s="331" t="s">
        <v>984</v>
      </c>
      <c r="BK56" s="331" t="s">
        <v>984</v>
      </c>
      <c r="BL56" s="331" t="s">
        <v>984</v>
      </c>
      <c r="BM56" s="331" t="s">
        <v>984</v>
      </c>
      <c r="BN56" s="331" t="s">
        <v>984</v>
      </c>
      <c r="BO56" s="331" t="s">
        <v>984</v>
      </c>
      <c r="BP56" s="331" t="s">
        <v>984</v>
      </c>
      <c r="BQ56" s="331" t="s">
        <v>984</v>
      </c>
      <c r="BR56" s="331" t="s">
        <v>191</v>
      </c>
      <c r="BS56" s="331" t="s">
        <v>191</v>
      </c>
      <c r="BT56" s="331" t="s">
        <v>191</v>
      </c>
      <c r="BU56" s="331" t="s">
        <v>428</v>
      </c>
      <c r="BV56" s="331" t="s">
        <v>428</v>
      </c>
      <c r="BW56" s="331" t="s">
        <v>428</v>
      </c>
      <c r="BX56" s="331" t="s">
        <v>984</v>
      </c>
      <c r="BY56" s="331" t="s">
        <v>984</v>
      </c>
      <c r="BZ56" s="331" t="s">
        <v>984</v>
      </c>
      <c r="CA56" s="331" t="s">
        <v>984</v>
      </c>
      <c r="CB56" s="331" t="s">
        <v>984</v>
      </c>
      <c r="CC56" s="331" t="s">
        <v>191</v>
      </c>
      <c r="CD56" s="331" t="s">
        <v>191</v>
      </c>
      <c r="CE56" s="331" t="s">
        <v>984</v>
      </c>
      <c r="CF56" s="331" t="s">
        <v>190</v>
      </c>
      <c r="CG56" s="331" t="s">
        <v>984</v>
      </c>
      <c r="CH56" s="331" t="s">
        <v>191</v>
      </c>
      <c r="CI56" s="331" t="s">
        <v>191</v>
      </c>
      <c r="CJ56" s="331" t="s">
        <v>191</v>
      </c>
      <c r="CK56" s="331" t="s">
        <v>191</v>
      </c>
      <c r="CL56" s="331" t="s">
        <v>191</v>
      </c>
      <c r="CM56" s="331" t="s">
        <v>191</v>
      </c>
      <c r="CN56" s="331" t="s">
        <v>191</v>
      </c>
      <c r="CO56" s="331" t="s">
        <v>191</v>
      </c>
      <c r="CP56" s="331" t="s">
        <v>191</v>
      </c>
      <c r="CQ56" s="331" t="s">
        <v>191</v>
      </c>
      <c r="CR56" s="331" t="s">
        <v>191</v>
      </c>
      <c r="CS56" s="331" t="s">
        <v>191</v>
      </c>
      <c r="CT56" s="331" t="s">
        <v>191</v>
      </c>
      <c r="CU56" s="331" t="s">
        <v>428</v>
      </c>
      <c r="CV56" s="331" t="s">
        <v>191</v>
      </c>
      <c r="CW56" s="331" t="s">
        <v>428</v>
      </c>
      <c r="CX56" s="331" t="s">
        <v>428</v>
      </c>
      <c r="CY56" s="331" t="s">
        <v>428</v>
      </c>
      <c r="CZ56" s="331" t="s">
        <v>428</v>
      </c>
      <c r="DA56" s="331" t="s">
        <v>428</v>
      </c>
      <c r="DB56" s="331" t="s">
        <v>428</v>
      </c>
      <c r="DC56" s="331" t="s">
        <v>428</v>
      </c>
      <c r="DD56" s="331" t="s">
        <v>428</v>
      </c>
      <c r="DE56" s="331" t="s">
        <v>428</v>
      </c>
      <c r="DF56" s="331" t="s">
        <v>428</v>
      </c>
      <c r="DG56" s="331" t="s">
        <v>428</v>
      </c>
      <c r="DH56" s="331" t="s">
        <v>428</v>
      </c>
      <c r="DI56" s="331" t="s">
        <v>428</v>
      </c>
      <c r="DJ56" s="331" t="s">
        <v>428</v>
      </c>
      <c r="DK56" s="331" t="s">
        <v>428</v>
      </c>
      <c r="DL56" s="331" t="s">
        <v>191</v>
      </c>
      <c r="DM56" s="331" t="s">
        <v>191</v>
      </c>
      <c r="DN56" s="331" t="s">
        <v>191</v>
      </c>
      <c r="DO56" s="331" t="s">
        <v>191</v>
      </c>
      <c r="DP56" s="331" t="s">
        <v>191</v>
      </c>
      <c r="DQ56" s="331" t="s">
        <v>191</v>
      </c>
      <c r="DR56" s="331" t="s">
        <v>191</v>
      </c>
      <c r="DS56" s="331" t="s">
        <v>191</v>
      </c>
      <c r="DT56" s="331" t="s">
        <v>191</v>
      </c>
      <c r="DU56" s="331" t="s">
        <v>191</v>
      </c>
      <c r="DV56" s="331" t="s">
        <v>190</v>
      </c>
      <c r="DW56" s="331" t="s">
        <v>191</v>
      </c>
      <c r="DX56" s="331" t="s">
        <v>191</v>
      </c>
      <c r="DY56" s="331" t="s">
        <v>191</v>
      </c>
      <c r="DZ56" s="331" t="s">
        <v>191</v>
      </c>
      <c r="EA56" s="331" t="s">
        <v>190</v>
      </c>
      <c r="EB56" s="331" t="s">
        <v>191</v>
      </c>
      <c r="EC56" s="331" t="s">
        <v>191</v>
      </c>
      <c r="ED56" s="331" t="s">
        <v>191</v>
      </c>
      <c r="EE56" s="331" t="s">
        <v>191</v>
      </c>
      <c r="EF56" s="331" t="s">
        <v>191</v>
      </c>
      <c r="EG56" s="331" t="s">
        <v>191</v>
      </c>
      <c r="EH56" s="331" t="s">
        <v>428</v>
      </c>
      <c r="EI56" s="331" t="s">
        <v>428</v>
      </c>
      <c r="EJ56" s="331" t="s">
        <v>428</v>
      </c>
      <c r="EK56" s="331" t="s">
        <v>428</v>
      </c>
      <c r="EL56" s="331" t="s">
        <v>428</v>
      </c>
      <c r="EM56" s="331" t="s">
        <v>428</v>
      </c>
      <c r="EN56" s="331" t="s">
        <v>428</v>
      </c>
      <c r="EO56" s="331" t="s">
        <v>428</v>
      </c>
      <c r="EP56" s="331" t="s">
        <v>428</v>
      </c>
      <c r="EQ56" s="331" t="s">
        <v>428</v>
      </c>
      <c r="ER56" s="331" t="s">
        <v>428</v>
      </c>
      <c r="ES56" s="331" t="s">
        <v>190</v>
      </c>
      <c r="ET56" s="331" t="s">
        <v>190</v>
      </c>
      <c r="EU56" s="331" t="s">
        <v>190</v>
      </c>
      <c r="EV56" s="331" t="s">
        <v>190</v>
      </c>
      <c r="EW56" s="331" t="s">
        <v>191</v>
      </c>
      <c r="EX56" s="331" t="s">
        <v>190</v>
      </c>
      <c r="EY56" s="331" t="s">
        <v>191</v>
      </c>
      <c r="EZ56" s="331" t="s">
        <v>428</v>
      </c>
      <c r="FA56" s="331" t="s">
        <v>190</v>
      </c>
      <c r="FB56" s="331" t="s">
        <v>191</v>
      </c>
      <c r="FC56" s="331" t="s">
        <v>190</v>
      </c>
      <c r="FD56" s="331" t="s">
        <v>190</v>
      </c>
      <c r="FE56" s="331" t="s">
        <v>190</v>
      </c>
      <c r="FF56" s="331" t="s">
        <v>190</v>
      </c>
      <c r="FG56" s="331" t="s">
        <v>191</v>
      </c>
      <c r="FH56" s="331" t="s">
        <v>190</v>
      </c>
      <c r="FI56" s="331" t="s">
        <v>191</v>
      </c>
      <c r="FJ56" s="331" t="s">
        <v>191</v>
      </c>
      <c r="FK56" s="331" t="s">
        <v>191</v>
      </c>
      <c r="FL56" s="331" t="s">
        <v>190</v>
      </c>
      <c r="FM56" s="331" t="s">
        <v>190</v>
      </c>
      <c r="FN56" s="331" t="s">
        <v>190</v>
      </c>
      <c r="FO56" s="331" t="s">
        <v>191</v>
      </c>
      <c r="FP56" s="331" t="s">
        <v>190</v>
      </c>
      <c r="FQ56" s="331" t="s">
        <v>191</v>
      </c>
      <c r="FR56" s="331" t="s">
        <v>428</v>
      </c>
      <c r="FS56" s="331" t="s">
        <v>190</v>
      </c>
      <c r="FT56" s="331" t="s">
        <v>190</v>
      </c>
      <c r="FU56" s="331" t="s">
        <v>190</v>
      </c>
      <c r="FV56" s="331" t="s">
        <v>190</v>
      </c>
      <c r="FW56" s="331" t="s">
        <v>190</v>
      </c>
      <c r="FX56" s="331" t="s">
        <v>428</v>
      </c>
      <c r="FY56" s="331" t="s">
        <v>984</v>
      </c>
      <c r="FZ56" s="331" t="s">
        <v>984</v>
      </c>
      <c r="GA56" s="331" t="s">
        <v>984</v>
      </c>
      <c r="GB56" s="331" t="s">
        <v>984</v>
      </c>
      <c r="GC56" s="331" t="s">
        <v>984</v>
      </c>
      <c r="GD56" s="331" t="s">
        <v>191</v>
      </c>
      <c r="GE56" s="331" t="s">
        <v>190</v>
      </c>
      <c r="GF56" s="331" t="s">
        <v>191</v>
      </c>
      <c r="GG56" s="331" t="s">
        <v>191</v>
      </c>
      <c r="GH56" s="331" t="s">
        <v>428</v>
      </c>
      <c r="GI56" s="331" t="s">
        <v>191</v>
      </c>
      <c r="GJ56" s="331" t="s">
        <v>984</v>
      </c>
      <c r="GK56" s="331" t="s">
        <v>984</v>
      </c>
      <c r="GL56" s="331" t="s">
        <v>984</v>
      </c>
      <c r="GM56" s="331" t="s">
        <v>984</v>
      </c>
      <c r="GN56" s="331" t="s">
        <v>190</v>
      </c>
      <c r="GO56" s="331" t="s">
        <v>191</v>
      </c>
      <c r="GP56" s="331" t="s">
        <v>191</v>
      </c>
      <c r="GQ56" s="331" t="s">
        <v>191</v>
      </c>
      <c r="GR56" s="331" t="s">
        <v>190</v>
      </c>
      <c r="GS56" s="331" t="s">
        <v>428</v>
      </c>
      <c r="GT56" s="331" t="s">
        <v>428</v>
      </c>
      <c r="GU56" s="331" t="s">
        <v>428</v>
      </c>
      <c r="GV56" s="331" t="s">
        <v>428</v>
      </c>
      <c r="GW56" s="331" t="s">
        <v>984</v>
      </c>
      <c r="GX56" s="331" t="s">
        <v>984</v>
      </c>
      <c r="GY56" s="331" t="s">
        <v>984</v>
      </c>
      <c r="GZ56" s="331" t="s">
        <v>984</v>
      </c>
      <c r="HA56" s="331" t="s">
        <v>984</v>
      </c>
      <c r="HB56" s="331" t="s">
        <v>984</v>
      </c>
      <c r="HC56" s="331" t="s">
        <v>984</v>
      </c>
      <c r="HD56" s="331" t="s">
        <v>984</v>
      </c>
      <c r="HE56" s="331" t="s">
        <v>984</v>
      </c>
      <c r="HF56" s="331" t="s">
        <v>984</v>
      </c>
      <c r="HG56" s="331" t="s">
        <v>984</v>
      </c>
      <c r="HH56" s="331" t="s">
        <v>984</v>
      </c>
      <c r="HI56" s="331" t="s">
        <v>984</v>
      </c>
      <c r="HJ56" s="331" t="s">
        <v>984</v>
      </c>
      <c r="HK56" s="331" t="s">
        <v>984</v>
      </c>
      <c r="HL56" s="331" t="s">
        <v>984</v>
      </c>
      <c r="HM56" s="331" t="s">
        <v>191</v>
      </c>
      <c r="HN56" s="331" t="s">
        <v>191</v>
      </c>
      <c r="HO56" s="331" t="s">
        <v>191</v>
      </c>
      <c r="HP56" s="331" t="s">
        <v>191</v>
      </c>
      <c r="HQ56" s="331" t="s">
        <v>170</v>
      </c>
      <c r="HR56" s="331" t="s">
        <v>429</v>
      </c>
      <c r="HS56" s="331" t="s">
        <v>169</v>
      </c>
      <c r="HT56" s="331" t="s">
        <v>427</v>
      </c>
      <c r="HU56" s="331" t="s">
        <v>428</v>
      </c>
      <c r="HV56" s="331" t="s">
        <v>428</v>
      </c>
    </row>
    <row r="57" spans="1:230" s="70" customFormat="1" x14ac:dyDescent="0.25">
      <c r="A57" s="330" t="str">
        <f>HYPERLINK("http://www.ofsted.gov.uk/inspection-reports/find-inspection-report/provider/ELS/147226 ","Ofsted School Webpage")</f>
        <v>Ofsted School Webpage</v>
      </c>
      <c r="B57" s="331">
        <v>147226</v>
      </c>
      <c r="C57" s="331">
        <v>3806018</v>
      </c>
      <c r="D57" s="331" t="s">
        <v>2719</v>
      </c>
      <c r="E57" s="331" t="s">
        <v>167</v>
      </c>
      <c r="F57" s="331" t="s">
        <v>458</v>
      </c>
      <c r="G57" s="331" t="s">
        <v>459</v>
      </c>
      <c r="H57" s="331" t="s">
        <v>595</v>
      </c>
      <c r="I57" s="331" t="s">
        <v>1817</v>
      </c>
      <c r="J57" s="331" t="s">
        <v>434</v>
      </c>
      <c r="K57" s="331" t="s">
        <v>71</v>
      </c>
      <c r="L57" s="331" t="s">
        <v>71</v>
      </c>
      <c r="M57" s="331" t="s">
        <v>72</v>
      </c>
      <c r="N57" s="331" t="s">
        <v>424</v>
      </c>
      <c r="O57" s="331">
        <v>10117917</v>
      </c>
      <c r="P57" s="332">
        <v>43740</v>
      </c>
      <c r="Q57" s="332">
        <v>43740</v>
      </c>
      <c r="R57" s="332">
        <v>43787</v>
      </c>
      <c r="S57" s="331" t="s">
        <v>2583</v>
      </c>
      <c r="T57" s="331" t="s">
        <v>982</v>
      </c>
      <c r="U57" s="331" t="s">
        <v>427</v>
      </c>
      <c r="V57" s="331" t="s">
        <v>2585</v>
      </c>
      <c r="W57" s="331" t="s">
        <v>190</v>
      </c>
      <c r="X57" s="331" t="s">
        <v>190</v>
      </c>
      <c r="Y57" s="331" t="s">
        <v>190</v>
      </c>
      <c r="Z57" s="331" t="s">
        <v>190</v>
      </c>
      <c r="AA57" s="331" t="s">
        <v>190</v>
      </c>
      <c r="AB57" s="331" t="s">
        <v>191</v>
      </c>
      <c r="AC57" s="331" t="s">
        <v>190</v>
      </c>
      <c r="AD57" s="331" t="s">
        <v>190</v>
      </c>
      <c r="AE57" s="331" t="s">
        <v>428</v>
      </c>
      <c r="AF57" s="331" t="s">
        <v>190</v>
      </c>
      <c r="AG57" s="331" t="s">
        <v>190</v>
      </c>
      <c r="AH57" s="331" t="s">
        <v>190</v>
      </c>
      <c r="AI57" s="331" t="s">
        <v>190</v>
      </c>
      <c r="AJ57" s="331" t="s">
        <v>190</v>
      </c>
      <c r="AK57" s="331" t="s">
        <v>190</v>
      </c>
      <c r="AL57" s="331" t="s">
        <v>190</v>
      </c>
      <c r="AM57" s="331" t="s">
        <v>428</v>
      </c>
      <c r="AN57" s="331" t="s">
        <v>191</v>
      </c>
      <c r="AO57" s="331" t="s">
        <v>190</v>
      </c>
      <c r="AP57" s="331" t="s">
        <v>190</v>
      </c>
      <c r="AQ57" s="331" t="s">
        <v>190</v>
      </c>
      <c r="AR57" s="331" t="s">
        <v>190</v>
      </c>
      <c r="AS57" s="331" t="s">
        <v>190</v>
      </c>
      <c r="AT57" s="331" t="s">
        <v>190</v>
      </c>
      <c r="AU57" s="331" t="s">
        <v>190</v>
      </c>
      <c r="AV57" s="331" t="s">
        <v>190</v>
      </c>
      <c r="AW57" s="331" t="s">
        <v>190</v>
      </c>
      <c r="AX57" s="331" t="s">
        <v>190</v>
      </c>
      <c r="AY57" s="331" t="s">
        <v>190</v>
      </c>
      <c r="AZ57" s="331" t="s">
        <v>190</v>
      </c>
      <c r="BA57" s="331" t="s">
        <v>190</v>
      </c>
      <c r="BB57" s="331" t="s">
        <v>190</v>
      </c>
      <c r="BC57" s="331" t="s">
        <v>190</v>
      </c>
      <c r="BD57" s="331" t="s">
        <v>190</v>
      </c>
      <c r="BE57" s="331" t="s">
        <v>190</v>
      </c>
      <c r="BF57" s="331" t="s">
        <v>190</v>
      </c>
      <c r="BG57" s="331" t="s">
        <v>190</v>
      </c>
      <c r="BH57" s="331" t="s">
        <v>190</v>
      </c>
      <c r="BI57" s="331" t="s">
        <v>190</v>
      </c>
      <c r="BJ57" s="331" t="s">
        <v>190</v>
      </c>
      <c r="BK57" s="331" t="s">
        <v>190</v>
      </c>
      <c r="BL57" s="331" t="s">
        <v>190</v>
      </c>
      <c r="BM57" s="331" t="s">
        <v>190</v>
      </c>
      <c r="BN57" s="331" t="s">
        <v>190</v>
      </c>
      <c r="BO57" s="331" t="s">
        <v>190</v>
      </c>
      <c r="BP57" s="331" t="s">
        <v>190</v>
      </c>
      <c r="BQ57" s="331" t="s">
        <v>190</v>
      </c>
      <c r="BR57" s="331" t="s">
        <v>191</v>
      </c>
      <c r="BS57" s="331" t="s">
        <v>190</v>
      </c>
      <c r="BT57" s="331" t="s">
        <v>191</v>
      </c>
      <c r="BU57" s="331" t="s">
        <v>428</v>
      </c>
      <c r="BV57" s="331" t="s">
        <v>428</v>
      </c>
      <c r="BW57" s="331" t="s">
        <v>428</v>
      </c>
      <c r="BX57" s="331" t="s">
        <v>190</v>
      </c>
      <c r="BY57" s="331" t="s">
        <v>190</v>
      </c>
      <c r="BZ57" s="331" t="s">
        <v>190</v>
      </c>
      <c r="CA57" s="331" t="s">
        <v>190</v>
      </c>
      <c r="CB57" s="331" t="s">
        <v>191</v>
      </c>
      <c r="CC57" s="331" t="s">
        <v>191</v>
      </c>
      <c r="CD57" s="331" t="s">
        <v>191</v>
      </c>
      <c r="CE57" s="331" t="s">
        <v>190</v>
      </c>
      <c r="CF57" s="331" t="s">
        <v>190</v>
      </c>
      <c r="CG57" s="331" t="s">
        <v>190</v>
      </c>
      <c r="CH57" s="331" t="s">
        <v>191</v>
      </c>
      <c r="CI57" s="331" t="s">
        <v>191</v>
      </c>
      <c r="CJ57" s="331" t="s">
        <v>191</v>
      </c>
      <c r="CK57" s="331" t="s">
        <v>190</v>
      </c>
      <c r="CL57" s="331" t="s">
        <v>190</v>
      </c>
      <c r="CM57" s="331" t="s">
        <v>190</v>
      </c>
      <c r="CN57" s="331" t="s">
        <v>190</v>
      </c>
      <c r="CO57" s="331" t="s">
        <v>190</v>
      </c>
      <c r="CP57" s="331" t="s">
        <v>190</v>
      </c>
      <c r="CQ57" s="331" t="s">
        <v>190</v>
      </c>
      <c r="CR57" s="331" t="s">
        <v>190</v>
      </c>
      <c r="CS57" s="331" t="s">
        <v>190</v>
      </c>
      <c r="CT57" s="331" t="s">
        <v>190</v>
      </c>
      <c r="CU57" s="331" t="s">
        <v>428</v>
      </c>
      <c r="CV57" s="331" t="s">
        <v>190</v>
      </c>
      <c r="CW57" s="331" t="s">
        <v>428</v>
      </c>
      <c r="CX57" s="331" t="s">
        <v>428</v>
      </c>
      <c r="CY57" s="331" t="s">
        <v>428</v>
      </c>
      <c r="CZ57" s="331" t="s">
        <v>428</v>
      </c>
      <c r="DA57" s="331" t="s">
        <v>428</v>
      </c>
      <c r="DB57" s="331" t="s">
        <v>428</v>
      </c>
      <c r="DC57" s="331" t="s">
        <v>428</v>
      </c>
      <c r="DD57" s="331" t="s">
        <v>428</v>
      </c>
      <c r="DE57" s="331" t="s">
        <v>428</v>
      </c>
      <c r="DF57" s="331" t="s">
        <v>428</v>
      </c>
      <c r="DG57" s="331" t="s">
        <v>428</v>
      </c>
      <c r="DH57" s="331" t="s">
        <v>428</v>
      </c>
      <c r="DI57" s="331" t="s">
        <v>428</v>
      </c>
      <c r="DJ57" s="331" t="s">
        <v>428</v>
      </c>
      <c r="DK57" s="331" t="s">
        <v>428</v>
      </c>
      <c r="DL57" s="331" t="s">
        <v>428</v>
      </c>
      <c r="DM57" s="331" t="s">
        <v>428</v>
      </c>
      <c r="DN57" s="331" t="s">
        <v>428</v>
      </c>
      <c r="DO57" s="331" t="s">
        <v>428</v>
      </c>
      <c r="DP57" s="331" t="s">
        <v>428</v>
      </c>
      <c r="DQ57" s="331" t="s">
        <v>190</v>
      </c>
      <c r="DR57" s="331" t="s">
        <v>428</v>
      </c>
      <c r="DS57" s="331" t="s">
        <v>428</v>
      </c>
      <c r="DT57" s="331" t="s">
        <v>428</v>
      </c>
      <c r="DU57" s="331" t="s">
        <v>190</v>
      </c>
      <c r="DV57" s="331" t="s">
        <v>190</v>
      </c>
      <c r="DW57" s="331" t="s">
        <v>190</v>
      </c>
      <c r="DX57" s="331" t="s">
        <v>190</v>
      </c>
      <c r="DY57" s="331" t="s">
        <v>190</v>
      </c>
      <c r="DZ57" s="331" t="s">
        <v>190</v>
      </c>
      <c r="EA57" s="331" t="s">
        <v>190</v>
      </c>
      <c r="EB57" s="331" t="s">
        <v>190</v>
      </c>
      <c r="EC57" s="331" t="s">
        <v>190</v>
      </c>
      <c r="ED57" s="331" t="s">
        <v>190</v>
      </c>
      <c r="EE57" s="331" t="s">
        <v>190</v>
      </c>
      <c r="EF57" s="331" t="s">
        <v>190</v>
      </c>
      <c r="EG57" s="331" t="s">
        <v>190</v>
      </c>
      <c r="EH57" s="331" t="s">
        <v>190</v>
      </c>
      <c r="EI57" s="331" t="s">
        <v>428</v>
      </c>
      <c r="EJ57" s="331" t="s">
        <v>428</v>
      </c>
      <c r="EK57" s="331" t="s">
        <v>428</v>
      </c>
      <c r="EL57" s="331" t="s">
        <v>428</v>
      </c>
      <c r="EM57" s="331" t="s">
        <v>428</v>
      </c>
      <c r="EN57" s="331" t="s">
        <v>428</v>
      </c>
      <c r="EO57" s="331" t="s">
        <v>428</v>
      </c>
      <c r="EP57" s="331" t="s">
        <v>428</v>
      </c>
      <c r="EQ57" s="331" t="s">
        <v>428</v>
      </c>
      <c r="ER57" s="331" t="s">
        <v>428</v>
      </c>
      <c r="ES57" s="331" t="s">
        <v>191</v>
      </c>
      <c r="ET57" s="331" t="s">
        <v>190</v>
      </c>
      <c r="EU57" s="331" t="s">
        <v>190</v>
      </c>
      <c r="EV57" s="331" t="s">
        <v>191</v>
      </c>
      <c r="EW57" s="331" t="s">
        <v>190</v>
      </c>
      <c r="EX57" s="331" t="s">
        <v>190</v>
      </c>
      <c r="EY57" s="331" t="s">
        <v>190</v>
      </c>
      <c r="EZ57" s="331" t="s">
        <v>428</v>
      </c>
      <c r="FA57" s="331" t="s">
        <v>190</v>
      </c>
      <c r="FB57" s="331" t="s">
        <v>191</v>
      </c>
      <c r="FC57" s="331" t="s">
        <v>190</v>
      </c>
      <c r="FD57" s="331" t="s">
        <v>190</v>
      </c>
      <c r="FE57" s="331" t="s">
        <v>190</v>
      </c>
      <c r="FF57" s="331" t="s">
        <v>190</v>
      </c>
      <c r="FG57" s="331" t="s">
        <v>190</v>
      </c>
      <c r="FH57" s="331" t="s">
        <v>190</v>
      </c>
      <c r="FI57" s="331" t="s">
        <v>190</v>
      </c>
      <c r="FJ57" s="331" t="s">
        <v>190</v>
      </c>
      <c r="FK57" s="331" t="s">
        <v>190</v>
      </c>
      <c r="FL57" s="331" t="s">
        <v>190</v>
      </c>
      <c r="FM57" s="331" t="s">
        <v>190</v>
      </c>
      <c r="FN57" s="331" t="s">
        <v>190</v>
      </c>
      <c r="FO57" s="331" t="s">
        <v>190</v>
      </c>
      <c r="FP57" s="331" t="s">
        <v>190</v>
      </c>
      <c r="FQ57" s="331" t="s">
        <v>190</v>
      </c>
      <c r="FR57" s="331" t="s">
        <v>428</v>
      </c>
      <c r="FS57" s="331" t="s">
        <v>190</v>
      </c>
      <c r="FT57" s="331" t="s">
        <v>190</v>
      </c>
      <c r="FU57" s="331" t="s">
        <v>190</v>
      </c>
      <c r="FV57" s="331" t="s">
        <v>190</v>
      </c>
      <c r="FW57" s="331" t="s">
        <v>428</v>
      </c>
      <c r="FX57" s="331" t="s">
        <v>428</v>
      </c>
      <c r="FY57" s="331" t="s">
        <v>190</v>
      </c>
      <c r="FZ57" s="331" t="s">
        <v>190</v>
      </c>
      <c r="GA57" s="331" t="s">
        <v>428</v>
      </c>
      <c r="GB57" s="331" t="s">
        <v>428</v>
      </c>
      <c r="GC57" s="331" t="s">
        <v>190</v>
      </c>
      <c r="GD57" s="331" t="s">
        <v>190</v>
      </c>
      <c r="GE57" s="331" t="s">
        <v>190</v>
      </c>
      <c r="GF57" s="331" t="s">
        <v>190</v>
      </c>
      <c r="GG57" s="331" t="s">
        <v>190</v>
      </c>
      <c r="GH57" s="331" t="s">
        <v>428</v>
      </c>
      <c r="GI57" s="331" t="s">
        <v>428</v>
      </c>
      <c r="GJ57" s="331" t="s">
        <v>190</v>
      </c>
      <c r="GK57" s="331" t="s">
        <v>190</v>
      </c>
      <c r="GL57" s="331" t="s">
        <v>190</v>
      </c>
      <c r="GM57" s="331" t="s">
        <v>190</v>
      </c>
      <c r="GN57" s="331" t="s">
        <v>190</v>
      </c>
      <c r="GO57" s="331" t="s">
        <v>190</v>
      </c>
      <c r="GP57" s="331" t="s">
        <v>190</v>
      </c>
      <c r="GQ57" s="331" t="s">
        <v>190</v>
      </c>
      <c r="GR57" s="331" t="s">
        <v>190</v>
      </c>
      <c r="GS57" s="331" t="s">
        <v>428</v>
      </c>
      <c r="GT57" s="331" t="s">
        <v>428</v>
      </c>
      <c r="GU57" s="331" t="s">
        <v>428</v>
      </c>
      <c r="GV57" s="331" t="s">
        <v>428</v>
      </c>
      <c r="GW57" s="331" t="s">
        <v>190</v>
      </c>
      <c r="GX57" s="331" t="s">
        <v>190</v>
      </c>
      <c r="GY57" s="331" t="s">
        <v>190</v>
      </c>
      <c r="GZ57" s="331" t="s">
        <v>190</v>
      </c>
      <c r="HA57" s="331" t="s">
        <v>190</v>
      </c>
      <c r="HB57" s="331" t="s">
        <v>190</v>
      </c>
      <c r="HC57" s="331" t="s">
        <v>190</v>
      </c>
      <c r="HD57" s="331" t="s">
        <v>190</v>
      </c>
      <c r="HE57" s="331" t="s">
        <v>190</v>
      </c>
      <c r="HF57" s="331" t="s">
        <v>190</v>
      </c>
      <c r="HG57" s="331" t="s">
        <v>190</v>
      </c>
      <c r="HH57" s="331" t="s">
        <v>190</v>
      </c>
      <c r="HI57" s="331" t="s">
        <v>190</v>
      </c>
      <c r="HJ57" s="331" t="s">
        <v>190</v>
      </c>
      <c r="HK57" s="331" t="s">
        <v>190</v>
      </c>
      <c r="HL57" s="331" t="s">
        <v>190</v>
      </c>
      <c r="HM57" s="331" t="s">
        <v>191</v>
      </c>
      <c r="HN57" s="331" t="s">
        <v>191</v>
      </c>
      <c r="HO57" s="331" t="s">
        <v>191</v>
      </c>
      <c r="HP57" s="331" t="s">
        <v>191</v>
      </c>
      <c r="HQ57" s="331" t="s">
        <v>170</v>
      </c>
      <c r="HR57" s="331" t="s">
        <v>429</v>
      </c>
      <c r="HS57" s="331" t="s">
        <v>169</v>
      </c>
      <c r="HT57" s="331" t="s">
        <v>447</v>
      </c>
      <c r="HU57" s="331" t="s">
        <v>428</v>
      </c>
      <c r="HV57" s="331" t="s">
        <v>428</v>
      </c>
    </row>
    <row r="58" spans="1:230" s="70" customFormat="1" x14ac:dyDescent="0.25">
      <c r="A58" s="330" t="str">
        <f>HYPERLINK("http://www.ofsted.gov.uk/inspection-reports/find-inspection-report/provider/ELS/144366 ","Ofsted School Webpage")</f>
        <v>Ofsted School Webpage</v>
      </c>
      <c r="B58" s="331">
        <v>144366</v>
      </c>
      <c r="C58" s="331">
        <v>8126005</v>
      </c>
      <c r="D58" s="331" t="s">
        <v>1075</v>
      </c>
      <c r="E58" s="331" t="s">
        <v>168</v>
      </c>
      <c r="F58" s="331" t="s">
        <v>458</v>
      </c>
      <c r="G58" s="331" t="s">
        <v>459</v>
      </c>
      <c r="H58" s="331" t="s">
        <v>1076</v>
      </c>
      <c r="I58" s="331" t="s">
        <v>1077</v>
      </c>
      <c r="J58" s="331" t="s">
        <v>81</v>
      </c>
      <c r="K58" s="331" t="s">
        <v>81</v>
      </c>
      <c r="L58" s="331" t="s">
        <v>81</v>
      </c>
      <c r="M58" s="331" t="s">
        <v>78</v>
      </c>
      <c r="N58" s="331" t="s">
        <v>424</v>
      </c>
      <c r="O58" s="331">
        <v>10113947</v>
      </c>
      <c r="P58" s="332">
        <v>43740</v>
      </c>
      <c r="Q58" s="332">
        <v>43740</v>
      </c>
      <c r="R58" s="332">
        <v>43772</v>
      </c>
      <c r="S58" s="331" t="s">
        <v>981</v>
      </c>
      <c r="T58" s="331" t="s">
        <v>982</v>
      </c>
      <c r="U58" s="331" t="s">
        <v>427</v>
      </c>
      <c r="V58" s="331" t="s">
        <v>983</v>
      </c>
      <c r="W58" s="331" t="s">
        <v>984</v>
      </c>
      <c r="X58" s="331" t="s">
        <v>984</v>
      </c>
      <c r="Y58" s="331" t="s">
        <v>984</v>
      </c>
      <c r="Z58" s="331" t="s">
        <v>984</v>
      </c>
      <c r="AA58" s="331" t="s">
        <v>984</v>
      </c>
      <c r="AB58" s="331" t="s">
        <v>984</v>
      </c>
      <c r="AC58" s="331" t="s">
        <v>984</v>
      </c>
      <c r="AD58" s="331" t="s">
        <v>984</v>
      </c>
      <c r="AE58" s="331" t="s">
        <v>428</v>
      </c>
      <c r="AF58" s="331" t="s">
        <v>984</v>
      </c>
      <c r="AG58" s="331" t="s">
        <v>984</v>
      </c>
      <c r="AH58" s="331" t="s">
        <v>984</v>
      </c>
      <c r="AI58" s="331" t="s">
        <v>984</v>
      </c>
      <c r="AJ58" s="331" t="s">
        <v>984</v>
      </c>
      <c r="AK58" s="331" t="s">
        <v>984</v>
      </c>
      <c r="AL58" s="331" t="s">
        <v>984</v>
      </c>
      <c r="AM58" s="331" t="s">
        <v>984</v>
      </c>
      <c r="AN58" s="331" t="s">
        <v>984</v>
      </c>
      <c r="AO58" s="331" t="s">
        <v>984</v>
      </c>
      <c r="AP58" s="331" t="s">
        <v>984</v>
      </c>
      <c r="AQ58" s="331" t="s">
        <v>984</v>
      </c>
      <c r="AR58" s="331" t="s">
        <v>984</v>
      </c>
      <c r="AS58" s="331" t="s">
        <v>984</v>
      </c>
      <c r="AT58" s="331" t="s">
        <v>984</v>
      </c>
      <c r="AU58" s="331" t="s">
        <v>984</v>
      </c>
      <c r="AV58" s="331" t="s">
        <v>984</v>
      </c>
      <c r="AW58" s="331" t="s">
        <v>984</v>
      </c>
      <c r="AX58" s="331" t="s">
        <v>984</v>
      </c>
      <c r="AY58" s="331" t="s">
        <v>984</v>
      </c>
      <c r="AZ58" s="331" t="s">
        <v>984</v>
      </c>
      <c r="BA58" s="331" t="s">
        <v>984</v>
      </c>
      <c r="BB58" s="331" t="s">
        <v>984</v>
      </c>
      <c r="BC58" s="331" t="s">
        <v>984</v>
      </c>
      <c r="BD58" s="331" t="s">
        <v>984</v>
      </c>
      <c r="BE58" s="331" t="s">
        <v>984</v>
      </c>
      <c r="BF58" s="331" t="s">
        <v>984</v>
      </c>
      <c r="BG58" s="331" t="s">
        <v>984</v>
      </c>
      <c r="BH58" s="331" t="s">
        <v>984</v>
      </c>
      <c r="BI58" s="331" t="s">
        <v>984</v>
      </c>
      <c r="BJ58" s="331" t="s">
        <v>984</v>
      </c>
      <c r="BK58" s="331" t="s">
        <v>984</v>
      </c>
      <c r="BL58" s="331" t="s">
        <v>984</v>
      </c>
      <c r="BM58" s="331" t="s">
        <v>984</v>
      </c>
      <c r="BN58" s="331" t="s">
        <v>984</v>
      </c>
      <c r="BO58" s="331" t="s">
        <v>984</v>
      </c>
      <c r="BP58" s="331" t="s">
        <v>984</v>
      </c>
      <c r="BQ58" s="331" t="s">
        <v>984</v>
      </c>
      <c r="BR58" s="331" t="s">
        <v>190</v>
      </c>
      <c r="BS58" s="331" t="s">
        <v>190</v>
      </c>
      <c r="BT58" s="331" t="s">
        <v>190</v>
      </c>
      <c r="BU58" s="331" t="s">
        <v>428</v>
      </c>
      <c r="BV58" s="331" t="s">
        <v>428</v>
      </c>
      <c r="BW58" s="331" t="s">
        <v>428</v>
      </c>
      <c r="BX58" s="331" t="s">
        <v>984</v>
      </c>
      <c r="BY58" s="331" t="s">
        <v>984</v>
      </c>
      <c r="BZ58" s="331" t="s">
        <v>984</v>
      </c>
      <c r="CA58" s="331" t="s">
        <v>984</v>
      </c>
      <c r="CB58" s="331" t="s">
        <v>984</v>
      </c>
      <c r="CC58" s="331" t="s">
        <v>190</v>
      </c>
      <c r="CD58" s="331" t="s">
        <v>190</v>
      </c>
      <c r="CE58" s="331" t="s">
        <v>984</v>
      </c>
      <c r="CF58" s="331" t="s">
        <v>190</v>
      </c>
      <c r="CG58" s="331" t="s">
        <v>984</v>
      </c>
      <c r="CH58" s="331" t="s">
        <v>190</v>
      </c>
      <c r="CI58" s="331" t="s">
        <v>190</v>
      </c>
      <c r="CJ58" s="331" t="s">
        <v>190</v>
      </c>
      <c r="CK58" s="331" t="s">
        <v>190</v>
      </c>
      <c r="CL58" s="331" t="s">
        <v>190</v>
      </c>
      <c r="CM58" s="331" t="s">
        <v>190</v>
      </c>
      <c r="CN58" s="331" t="s">
        <v>190</v>
      </c>
      <c r="CO58" s="331" t="s">
        <v>190</v>
      </c>
      <c r="CP58" s="331" t="s">
        <v>190</v>
      </c>
      <c r="CQ58" s="331" t="s">
        <v>190</v>
      </c>
      <c r="CR58" s="331" t="s">
        <v>190</v>
      </c>
      <c r="CS58" s="331" t="s">
        <v>190</v>
      </c>
      <c r="CT58" s="331" t="s">
        <v>190</v>
      </c>
      <c r="CU58" s="331" t="s">
        <v>428</v>
      </c>
      <c r="CV58" s="331" t="s">
        <v>190</v>
      </c>
      <c r="CW58" s="331" t="s">
        <v>428</v>
      </c>
      <c r="CX58" s="331" t="s">
        <v>428</v>
      </c>
      <c r="CY58" s="331" t="s">
        <v>428</v>
      </c>
      <c r="CZ58" s="331" t="s">
        <v>428</v>
      </c>
      <c r="DA58" s="331" t="s">
        <v>428</v>
      </c>
      <c r="DB58" s="331" t="s">
        <v>428</v>
      </c>
      <c r="DC58" s="331" t="s">
        <v>428</v>
      </c>
      <c r="DD58" s="331" t="s">
        <v>428</v>
      </c>
      <c r="DE58" s="331" t="s">
        <v>428</v>
      </c>
      <c r="DF58" s="331" t="s">
        <v>428</v>
      </c>
      <c r="DG58" s="331" t="s">
        <v>428</v>
      </c>
      <c r="DH58" s="331" t="s">
        <v>428</v>
      </c>
      <c r="DI58" s="331" t="s">
        <v>428</v>
      </c>
      <c r="DJ58" s="331" t="s">
        <v>428</v>
      </c>
      <c r="DK58" s="331" t="s">
        <v>428</v>
      </c>
      <c r="DL58" s="331" t="s">
        <v>190</v>
      </c>
      <c r="DM58" s="331" t="s">
        <v>190</v>
      </c>
      <c r="DN58" s="331" t="s">
        <v>190</v>
      </c>
      <c r="DO58" s="331" t="s">
        <v>190</v>
      </c>
      <c r="DP58" s="331" t="s">
        <v>190</v>
      </c>
      <c r="DQ58" s="331" t="s">
        <v>190</v>
      </c>
      <c r="DR58" s="331" t="s">
        <v>190</v>
      </c>
      <c r="DS58" s="331" t="s">
        <v>190</v>
      </c>
      <c r="DT58" s="331" t="s">
        <v>190</v>
      </c>
      <c r="DU58" s="331" t="s">
        <v>190</v>
      </c>
      <c r="DV58" s="331" t="s">
        <v>190</v>
      </c>
      <c r="DW58" s="331" t="s">
        <v>190</v>
      </c>
      <c r="DX58" s="331" t="s">
        <v>190</v>
      </c>
      <c r="DY58" s="331" t="s">
        <v>190</v>
      </c>
      <c r="DZ58" s="331" t="s">
        <v>190</v>
      </c>
      <c r="EA58" s="331" t="s">
        <v>190</v>
      </c>
      <c r="EB58" s="331" t="s">
        <v>190</v>
      </c>
      <c r="EC58" s="331" t="s">
        <v>190</v>
      </c>
      <c r="ED58" s="331" t="s">
        <v>190</v>
      </c>
      <c r="EE58" s="331" t="s">
        <v>190</v>
      </c>
      <c r="EF58" s="331" t="s">
        <v>190</v>
      </c>
      <c r="EG58" s="331" t="s">
        <v>190</v>
      </c>
      <c r="EH58" s="331" t="s">
        <v>428</v>
      </c>
      <c r="EI58" s="331" t="s">
        <v>428</v>
      </c>
      <c r="EJ58" s="331" t="s">
        <v>428</v>
      </c>
      <c r="EK58" s="331" t="s">
        <v>428</v>
      </c>
      <c r="EL58" s="331" t="s">
        <v>428</v>
      </c>
      <c r="EM58" s="331" t="s">
        <v>428</v>
      </c>
      <c r="EN58" s="331" t="s">
        <v>428</v>
      </c>
      <c r="EO58" s="331" t="s">
        <v>190</v>
      </c>
      <c r="EP58" s="331" t="s">
        <v>190</v>
      </c>
      <c r="EQ58" s="331" t="s">
        <v>190</v>
      </c>
      <c r="ER58" s="331" t="s">
        <v>190</v>
      </c>
      <c r="ES58" s="331" t="s">
        <v>190</v>
      </c>
      <c r="ET58" s="331" t="s">
        <v>190</v>
      </c>
      <c r="EU58" s="331" t="s">
        <v>190</v>
      </c>
      <c r="EV58" s="331" t="s">
        <v>190</v>
      </c>
      <c r="EW58" s="331" t="s">
        <v>190</v>
      </c>
      <c r="EX58" s="331" t="s">
        <v>190</v>
      </c>
      <c r="EY58" s="331" t="s">
        <v>190</v>
      </c>
      <c r="EZ58" s="331" t="s">
        <v>190</v>
      </c>
      <c r="FA58" s="331" t="s">
        <v>190</v>
      </c>
      <c r="FB58" s="331" t="s">
        <v>190</v>
      </c>
      <c r="FC58" s="331" t="s">
        <v>190</v>
      </c>
      <c r="FD58" s="331" t="s">
        <v>190</v>
      </c>
      <c r="FE58" s="331" t="s">
        <v>190</v>
      </c>
      <c r="FF58" s="331" t="s">
        <v>190</v>
      </c>
      <c r="FG58" s="331" t="s">
        <v>190</v>
      </c>
      <c r="FH58" s="331" t="s">
        <v>190</v>
      </c>
      <c r="FI58" s="331" t="s">
        <v>190</v>
      </c>
      <c r="FJ58" s="331" t="s">
        <v>190</v>
      </c>
      <c r="FK58" s="331" t="s">
        <v>190</v>
      </c>
      <c r="FL58" s="331" t="s">
        <v>190</v>
      </c>
      <c r="FM58" s="331" t="s">
        <v>190</v>
      </c>
      <c r="FN58" s="331" t="s">
        <v>190</v>
      </c>
      <c r="FO58" s="331" t="s">
        <v>190</v>
      </c>
      <c r="FP58" s="331" t="s">
        <v>190</v>
      </c>
      <c r="FQ58" s="331" t="s">
        <v>190</v>
      </c>
      <c r="FR58" s="331" t="s">
        <v>428</v>
      </c>
      <c r="FS58" s="331" t="s">
        <v>190</v>
      </c>
      <c r="FT58" s="331" t="s">
        <v>190</v>
      </c>
      <c r="FU58" s="331" t="s">
        <v>190</v>
      </c>
      <c r="FV58" s="331" t="s">
        <v>190</v>
      </c>
      <c r="FW58" s="331" t="s">
        <v>984</v>
      </c>
      <c r="FX58" s="331" t="s">
        <v>984</v>
      </c>
      <c r="FY58" s="331" t="s">
        <v>984</v>
      </c>
      <c r="FZ58" s="331" t="s">
        <v>984</v>
      </c>
      <c r="GA58" s="331" t="s">
        <v>984</v>
      </c>
      <c r="GB58" s="331" t="s">
        <v>984</v>
      </c>
      <c r="GC58" s="331" t="s">
        <v>984</v>
      </c>
      <c r="GD58" s="331" t="s">
        <v>984</v>
      </c>
      <c r="GE58" s="331" t="s">
        <v>984</v>
      </c>
      <c r="GF58" s="331" t="s">
        <v>984</v>
      </c>
      <c r="GG58" s="331" t="s">
        <v>984</v>
      </c>
      <c r="GH58" s="331" t="s">
        <v>984</v>
      </c>
      <c r="GI58" s="331" t="s">
        <v>984</v>
      </c>
      <c r="GJ58" s="331" t="s">
        <v>984</v>
      </c>
      <c r="GK58" s="331" t="s">
        <v>984</v>
      </c>
      <c r="GL58" s="331" t="s">
        <v>984</v>
      </c>
      <c r="GM58" s="331" t="s">
        <v>984</v>
      </c>
      <c r="GN58" s="331" t="s">
        <v>984</v>
      </c>
      <c r="GO58" s="331" t="s">
        <v>984</v>
      </c>
      <c r="GP58" s="331" t="s">
        <v>984</v>
      </c>
      <c r="GQ58" s="331" t="s">
        <v>984</v>
      </c>
      <c r="GR58" s="331" t="s">
        <v>984</v>
      </c>
      <c r="GS58" s="331" t="s">
        <v>984</v>
      </c>
      <c r="GT58" s="331" t="s">
        <v>984</v>
      </c>
      <c r="GU58" s="331" t="s">
        <v>984</v>
      </c>
      <c r="GV58" s="331" t="s">
        <v>984</v>
      </c>
      <c r="GW58" s="331" t="s">
        <v>984</v>
      </c>
      <c r="GX58" s="331" t="s">
        <v>984</v>
      </c>
      <c r="GY58" s="331" t="s">
        <v>984</v>
      </c>
      <c r="GZ58" s="331" t="s">
        <v>984</v>
      </c>
      <c r="HA58" s="331" t="s">
        <v>984</v>
      </c>
      <c r="HB58" s="331" t="s">
        <v>984</v>
      </c>
      <c r="HC58" s="331" t="s">
        <v>984</v>
      </c>
      <c r="HD58" s="331" t="s">
        <v>984</v>
      </c>
      <c r="HE58" s="331" t="s">
        <v>984</v>
      </c>
      <c r="HF58" s="331" t="s">
        <v>984</v>
      </c>
      <c r="HG58" s="331" t="s">
        <v>984</v>
      </c>
      <c r="HH58" s="331" t="s">
        <v>984</v>
      </c>
      <c r="HI58" s="331" t="s">
        <v>984</v>
      </c>
      <c r="HJ58" s="331" t="s">
        <v>984</v>
      </c>
      <c r="HK58" s="331" t="s">
        <v>984</v>
      </c>
      <c r="HL58" s="331" t="s">
        <v>984</v>
      </c>
      <c r="HM58" s="331" t="s">
        <v>190</v>
      </c>
      <c r="HN58" s="331" t="s">
        <v>190</v>
      </c>
      <c r="HO58" s="331" t="s">
        <v>190</v>
      </c>
      <c r="HP58" s="331" t="s">
        <v>190</v>
      </c>
      <c r="HQ58" s="331" t="s">
        <v>169</v>
      </c>
      <c r="HR58" s="331" t="s">
        <v>169</v>
      </c>
      <c r="HS58" s="331" t="s">
        <v>169</v>
      </c>
      <c r="HT58" s="331" t="s">
        <v>427</v>
      </c>
      <c r="HU58" s="331" t="s">
        <v>428</v>
      </c>
      <c r="HV58" s="331" t="s">
        <v>428</v>
      </c>
    </row>
    <row r="59" spans="1:230" s="70" customFormat="1" x14ac:dyDescent="0.25">
      <c r="A59" s="330" t="str">
        <f>HYPERLINK("http://www.ofsted.gov.uk/inspection-reports/find-inspection-report/provider/ELS/147472 ","Ofsted School Webpage")</f>
        <v>Ofsted School Webpage</v>
      </c>
      <c r="B59" s="331">
        <v>147472</v>
      </c>
      <c r="C59" s="331">
        <v>3416015</v>
      </c>
      <c r="D59" s="331" t="s">
        <v>2720</v>
      </c>
      <c r="E59" s="331" t="s">
        <v>167</v>
      </c>
      <c r="F59" s="331" t="s">
        <v>431</v>
      </c>
      <c r="G59" s="331" t="s">
        <v>431</v>
      </c>
      <c r="H59" s="331" t="s">
        <v>652</v>
      </c>
      <c r="I59" s="331" t="s">
        <v>2721</v>
      </c>
      <c r="J59" s="331" t="s">
        <v>434</v>
      </c>
      <c r="K59" s="331" t="s">
        <v>81</v>
      </c>
      <c r="L59" s="331" t="s">
        <v>81</v>
      </c>
      <c r="M59" s="331" t="s">
        <v>78</v>
      </c>
      <c r="N59" s="331" t="s">
        <v>424</v>
      </c>
      <c r="O59" s="331">
        <v>10123736</v>
      </c>
      <c r="P59" s="332">
        <v>43740</v>
      </c>
      <c r="Q59" s="332">
        <v>43740</v>
      </c>
      <c r="R59" s="332">
        <v>43780</v>
      </c>
      <c r="S59" s="331" t="s">
        <v>2583</v>
      </c>
      <c r="T59" s="331" t="s">
        <v>982</v>
      </c>
      <c r="U59" s="331" t="s">
        <v>427</v>
      </c>
      <c r="V59" s="331" t="s">
        <v>2599</v>
      </c>
      <c r="W59" s="331" t="s">
        <v>191</v>
      </c>
      <c r="X59" s="331" t="s">
        <v>191</v>
      </c>
      <c r="Y59" s="331" t="s">
        <v>191</v>
      </c>
      <c r="Z59" s="331" t="s">
        <v>191</v>
      </c>
      <c r="AA59" s="331" t="s">
        <v>190</v>
      </c>
      <c r="AB59" s="331" t="s">
        <v>191</v>
      </c>
      <c r="AC59" s="331" t="s">
        <v>191</v>
      </c>
      <c r="AD59" s="331" t="s">
        <v>191</v>
      </c>
      <c r="AE59" s="331" t="s">
        <v>428</v>
      </c>
      <c r="AF59" s="331" t="s">
        <v>191</v>
      </c>
      <c r="AG59" s="331" t="s">
        <v>191</v>
      </c>
      <c r="AH59" s="331" t="s">
        <v>191</v>
      </c>
      <c r="AI59" s="331" t="s">
        <v>191</v>
      </c>
      <c r="AJ59" s="331" t="s">
        <v>191</v>
      </c>
      <c r="AK59" s="331" t="s">
        <v>191</v>
      </c>
      <c r="AL59" s="331" t="s">
        <v>191</v>
      </c>
      <c r="AM59" s="331" t="s">
        <v>428</v>
      </c>
      <c r="AN59" s="331" t="s">
        <v>191</v>
      </c>
      <c r="AO59" s="331" t="s">
        <v>191</v>
      </c>
      <c r="AP59" s="331" t="s">
        <v>191</v>
      </c>
      <c r="AQ59" s="331" t="s">
        <v>191</v>
      </c>
      <c r="AR59" s="331" t="s">
        <v>191</v>
      </c>
      <c r="AS59" s="331" t="s">
        <v>190</v>
      </c>
      <c r="AT59" s="331" t="s">
        <v>191</v>
      </c>
      <c r="AU59" s="331" t="s">
        <v>191</v>
      </c>
      <c r="AV59" s="331" t="s">
        <v>191</v>
      </c>
      <c r="AW59" s="331" t="s">
        <v>191</v>
      </c>
      <c r="AX59" s="331" t="s">
        <v>191</v>
      </c>
      <c r="AY59" s="331" t="s">
        <v>190</v>
      </c>
      <c r="AZ59" s="331" t="s">
        <v>190</v>
      </c>
      <c r="BA59" s="331" t="s">
        <v>190</v>
      </c>
      <c r="BB59" s="331" t="s">
        <v>191</v>
      </c>
      <c r="BC59" s="331" t="s">
        <v>191</v>
      </c>
      <c r="BD59" s="331" t="s">
        <v>191</v>
      </c>
      <c r="BE59" s="331" t="s">
        <v>191</v>
      </c>
      <c r="BF59" s="331" t="s">
        <v>191</v>
      </c>
      <c r="BG59" s="331" t="s">
        <v>191</v>
      </c>
      <c r="BH59" s="331" t="s">
        <v>191</v>
      </c>
      <c r="BI59" s="331" t="s">
        <v>191</v>
      </c>
      <c r="BJ59" s="331" t="s">
        <v>191</v>
      </c>
      <c r="BK59" s="331" t="s">
        <v>191</v>
      </c>
      <c r="BL59" s="331" t="s">
        <v>191</v>
      </c>
      <c r="BM59" s="331" t="s">
        <v>191</v>
      </c>
      <c r="BN59" s="331" t="s">
        <v>191</v>
      </c>
      <c r="BO59" s="331" t="s">
        <v>191</v>
      </c>
      <c r="BP59" s="331" t="s">
        <v>191</v>
      </c>
      <c r="BQ59" s="331" t="s">
        <v>191</v>
      </c>
      <c r="BR59" s="331" t="s">
        <v>191</v>
      </c>
      <c r="BS59" s="331" t="s">
        <v>191</v>
      </c>
      <c r="BT59" s="331" t="s">
        <v>191</v>
      </c>
      <c r="BU59" s="331" t="s">
        <v>428</v>
      </c>
      <c r="BV59" s="331" t="s">
        <v>428</v>
      </c>
      <c r="BW59" s="331" t="s">
        <v>428</v>
      </c>
      <c r="BX59" s="331" t="s">
        <v>191</v>
      </c>
      <c r="BY59" s="331" t="s">
        <v>191</v>
      </c>
      <c r="BZ59" s="331" t="s">
        <v>191</v>
      </c>
      <c r="CA59" s="331" t="s">
        <v>191</v>
      </c>
      <c r="CB59" s="331" t="s">
        <v>190</v>
      </c>
      <c r="CC59" s="331" t="s">
        <v>191</v>
      </c>
      <c r="CD59" s="331" t="s">
        <v>190</v>
      </c>
      <c r="CE59" s="331" t="s">
        <v>191</v>
      </c>
      <c r="CF59" s="331" t="s">
        <v>190</v>
      </c>
      <c r="CG59" s="331" t="s">
        <v>191</v>
      </c>
      <c r="CH59" s="331" t="s">
        <v>191</v>
      </c>
      <c r="CI59" s="331" t="s">
        <v>191</v>
      </c>
      <c r="CJ59" s="331" t="s">
        <v>191</v>
      </c>
      <c r="CK59" s="331" t="s">
        <v>191</v>
      </c>
      <c r="CL59" s="331" t="s">
        <v>191</v>
      </c>
      <c r="CM59" s="331" t="s">
        <v>191</v>
      </c>
      <c r="CN59" s="331" t="s">
        <v>191</v>
      </c>
      <c r="CO59" s="331" t="s">
        <v>190</v>
      </c>
      <c r="CP59" s="331" t="s">
        <v>191</v>
      </c>
      <c r="CQ59" s="331" t="s">
        <v>190</v>
      </c>
      <c r="CR59" s="331" t="s">
        <v>191</v>
      </c>
      <c r="CS59" s="331" t="s">
        <v>191</v>
      </c>
      <c r="CT59" s="331" t="s">
        <v>428</v>
      </c>
      <c r="CU59" s="331" t="s">
        <v>428</v>
      </c>
      <c r="CV59" s="331" t="s">
        <v>191</v>
      </c>
      <c r="CW59" s="331" t="s">
        <v>428</v>
      </c>
      <c r="CX59" s="331" t="s">
        <v>428</v>
      </c>
      <c r="CY59" s="331" t="s">
        <v>428</v>
      </c>
      <c r="CZ59" s="331" t="s">
        <v>428</v>
      </c>
      <c r="DA59" s="331" t="s">
        <v>428</v>
      </c>
      <c r="DB59" s="331" t="s">
        <v>428</v>
      </c>
      <c r="DC59" s="331" t="s">
        <v>428</v>
      </c>
      <c r="DD59" s="331" t="s">
        <v>428</v>
      </c>
      <c r="DE59" s="331" t="s">
        <v>428</v>
      </c>
      <c r="DF59" s="331" t="s">
        <v>428</v>
      </c>
      <c r="DG59" s="331" t="s">
        <v>428</v>
      </c>
      <c r="DH59" s="331" t="s">
        <v>428</v>
      </c>
      <c r="DI59" s="331" t="s">
        <v>428</v>
      </c>
      <c r="DJ59" s="331" t="s">
        <v>428</v>
      </c>
      <c r="DK59" s="331" t="s">
        <v>428</v>
      </c>
      <c r="DL59" s="331" t="s">
        <v>191</v>
      </c>
      <c r="DM59" s="331" t="s">
        <v>191</v>
      </c>
      <c r="DN59" s="331" t="s">
        <v>190</v>
      </c>
      <c r="DO59" s="331" t="s">
        <v>191</v>
      </c>
      <c r="DP59" s="331" t="s">
        <v>190</v>
      </c>
      <c r="DQ59" s="331" t="s">
        <v>190</v>
      </c>
      <c r="DR59" s="331" t="s">
        <v>190</v>
      </c>
      <c r="DS59" s="331" t="s">
        <v>428</v>
      </c>
      <c r="DT59" s="331" t="s">
        <v>190</v>
      </c>
      <c r="DU59" s="331" t="s">
        <v>190</v>
      </c>
      <c r="DV59" s="331" t="s">
        <v>190</v>
      </c>
      <c r="DW59" s="331" t="s">
        <v>191</v>
      </c>
      <c r="DX59" s="331" t="s">
        <v>191</v>
      </c>
      <c r="DY59" s="331" t="s">
        <v>190</v>
      </c>
      <c r="DZ59" s="331" t="s">
        <v>191</v>
      </c>
      <c r="EA59" s="331" t="s">
        <v>191</v>
      </c>
      <c r="EB59" s="331" t="s">
        <v>191</v>
      </c>
      <c r="EC59" s="331" t="s">
        <v>191</v>
      </c>
      <c r="ED59" s="331" t="s">
        <v>191</v>
      </c>
      <c r="EE59" s="331" t="s">
        <v>190</v>
      </c>
      <c r="EF59" s="331" t="s">
        <v>191</v>
      </c>
      <c r="EG59" s="331" t="s">
        <v>191</v>
      </c>
      <c r="EH59" s="331" t="s">
        <v>428</v>
      </c>
      <c r="EI59" s="331" t="s">
        <v>428</v>
      </c>
      <c r="EJ59" s="331" t="s">
        <v>428</v>
      </c>
      <c r="EK59" s="331" t="s">
        <v>428</v>
      </c>
      <c r="EL59" s="331" t="s">
        <v>428</v>
      </c>
      <c r="EM59" s="331" t="s">
        <v>428</v>
      </c>
      <c r="EN59" s="331" t="s">
        <v>428</v>
      </c>
      <c r="EO59" s="331" t="s">
        <v>428</v>
      </c>
      <c r="EP59" s="331" t="s">
        <v>428</v>
      </c>
      <c r="EQ59" s="331" t="s">
        <v>428</v>
      </c>
      <c r="ER59" s="331" t="s">
        <v>428</v>
      </c>
      <c r="ES59" s="331" t="s">
        <v>191</v>
      </c>
      <c r="ET59" s="331" t="s">
        <v>190</v>
      </c>
      <c r="EU59" s="331" t="s">
        <v>190</v>
      </c>
      <c r="EV59" s="331" t="s">
        <v>191</v>
      </c>
      <c r="EW59" s="331" t="s">
        <v>191</v>
      </c>
      <c r="EX59" s="331" t="s">
        <v>191</v>
      </c>
      <c r="EY59" s="331" t="s">
        <v>191</v>
      </c>
      <c r="EZ59" s="331" t="s">
        <v>428</v>
      </c>
      <c r="FA59" s="331" t="s">
        <v>190</v>
      </c>
      <c r="FB59" s="331" t="s">
        <v>191</v>
      </c>
      <c r="FC59" s="331" t="s">
        <v>190</v>
      </c>
      <c r="FD59" s="331" t="s">
        <v>190</v>
      </c>
      <c r="FE59" s="331" t="s">
        <v>190</v>
      </c>
      <c r="FF59" s="331" t="s">
        <v>190</v>
      </c>
      <c r="FG59" s="331" t="s">
        <v>191</v>
      </c>
      <c r="FH59" s="331" t="s">
        <v>191</v>
      </c>
      <c r="FI59" s="331" t="s">
        <v>190</v>
      </c>
      <c r="FJ59" s="331" t="s">
        <v>191</v>
      </c>
      <c r="FK59" s="331" t="s">
        <v>190</v>
      </c>
      <c r="FL59" s="331" t="s">
        <v>191</v>
      </c>
      <c r="FM59" s="331" t="s">
        <v>191</v>
      </c>
      <c r="FN59" s="331" t="s">
        <v>190</v>
      </c>
      <c r="FO59" s="331" t="s">
        <v>191</v>
      </c>
      <c r="FP59" s="331" t="s">
        <v>190</v>
      </c>
      <c r="FQ59" s="331" t="s">
        <v>191</v>
      </c>
      <c r="FR59" s="331" t="s">
        <v>428</v>
      </c>
      <c r="FS59" s="331" t="s">
        <v>191</v>
      </c>
      <c r="FT59" s="331" t="s">
        <v>191</v>
      </c>
      <c r="FU59" s="331" t="s">
        <v>191</v>
      </c>
      <c r="FV59" s="331" t="s">
        <v>191</v>
      </c>
      <c r="FW59" s="331" t="s">
        <v>428</v>
      </c>
      <c r="FX59" s="331" t="s">
        <v>428</v>
      </c>
      <c r="FY59" s="331" t="s">
        <v>190</v>
      </c>
      <c r="FZ59" s="331" t="s">
        <v>191</v>
      </c>
      <c r="GA59" s="331" t="s">
        <v>190</v>
      </c>
      <c r="GB59" s="331" t="s">
        <v>428</v>
      </c>
      <c r="GC59" s="331" t="s">
        <v>428</v>
      </c>
      <c r="GD59" s="331" t="s">
        <v>191</v>
      </c>
      <c r="GE59" s="331" t="s">
        <v>191</v>
      </c>
      <c r="GF59" s="331" t="s">
        <v>191</v>
      </c>
      <c r="GG59" s="331" t="s">
        <v>428</v>
      </c>
      <c r="GH59" s="331" t="s">
        <v>191</v>
      </c>
      <c r="GI59" s="331" t="s">
        <v>428</v>
      </c>
      <c r="GJ59" s="331" t="s">
        <v>191</v>
      </c>
      <c r="GK59" s="331" t="s">
        <v>191</v>
      </c>
      <c r="GL59" s="331" t="s">
        <v>191</v>
      </c>
      <c r="GM59" s="331" t="s">
        <v>191</v>
      </c>
      <c r="GN59" s="331" t="s">
        <v>191</v>
      </c>
      <c r="GO59" s="331" t="s">
        <v>191</v>
      </c>
      <c r="GP59" s="331" t="s">
        <v>191</v>
      </c>
      <c r="GQ59" s="331" t="s">
        <v>191</v>
      </c>
      <c r="GR59" s="331" t="s">
        <v>428</v>
      </c>
      <c r="GS59" s="331" t="s">
        <v>428</v>
      </c>
      <c r="GT59" s="331" t="s">
        <v>428</v>
      </c>
      <c r="GU59" s="331" t="s">
        <v>428</v>
      </c>
      <c r="GV59" s="331" t="s">
        <v>428</v>
      </c>
      <c r="GW59" s="331" t="s">
        <v>191</v>
      </c>
      <c r="GX59" s="331" t="s">
        <v>190</v>
      </c>
      <c r="GY59" s="331" t="s">
        <v>191</v>
      </c>
      <c r="GZ59" s="331" t="s">
        <v>190</v>
      </c>
      <c r="HA59" s="331" t="s">
        <v>191</v>
      </c>
      <c r="HB59" s="331" t="s">
        <v>190</v>
      </c>
      <c r="HC59" s="331" t="s">
        <v>191</v>
      </c>
      <c r="HD59" s="331" t="s">
        <v>191</v>
      </c>
      <c r="HE59" s="331" t="s">
        <v>190</v>
      </c>
      <c r="HF59" s="331" t="s">
        <v>190</v>
      </c>
      <c r="HG59" s="331" t="s">
        <v>190</v>
      </c>
      <c r="HH59" s="331" t="s">
        <v>190</v>
      </c>
      <c r="HI59" s="331" t="s">
        <v>190</v>
      </c>
      <c r="HJ59" s="331" t="s">
        <v>190</v>
      </c>
      <c r="HK59" s="331" t="s">
        <v>190</v>
      </c>
      <c r="HL59" s="331" t="s">
        <v>190</v>
      </c>
      <c r="HM59" s="331" t="s">
        <v>191</v>
      </c>
      <c r="HN59" s="331" t="s">
        <v>191</v>
      </c>
      <c r="HO59" s="331" t="s">
        <v>191</v>
      </c>
      <c r="HP59" s="331" t="s">
        <v>191</v>
      </c>
      <c r="HQ59" s="331" t="s">
        <v>170</v>
      </c>
      <c r="HR59" s="331" t="s">
        <v>429</v>
      </c>
      <c r="HS59" s="331" t="s">
        <v>169</v>
      </c>
      <c r="HT59" s="331" t="s">
        <v>447</v>
      </c>
      <c r="HU59" s="331" t="s">
        <v>428</v>
      </c>
      <c r="HV59" s="331" t="s">
        <v>428</v>
      </c>
    </row>
    <row r="60" spans="1:230" s="70" customFormat="1" x14ac:dyDescent="0.25">
      <c r="A60" s="330" t="str">
        <f>HYPERLINK("http://www.ofsted.gov.uk/inspection-reports/find-inspection-report/provider/ELS/130902 ","Ofsted School Webpage")</f>
        <v>Ofsted School Webpage</v>
      </c>
      <c r="B60" s="331">
        <v>130902</v>
      </c>
      <c r="C60" s="331">
        <v>8886096</v>
      </c>
      <c r="D60" s="331" t="s">
        <v>1593</v>
      </c>
      <c r="E60" s="331" t="s">
        <v>168</v>
      </c>
      <c r="F60" s="331" t="s">
        <v>431</v>
      </c>
      <c r="G60" s="331" t="s">
        <v>431</v>
      </c>
      <c r="H60" s="331" t="s">
        <v>2722</v>
      </c>
      <c r="I60" s="331" t="s">
        <v>836</v>
      </c>
      <c r="J60" s="331" t="s">
        <v>81</v>
      </c>
      <c r="K60" s="331" t="s">
        <v>81</v>
      </c>
      <c r="L60" s="331" t="s">
        <v>81</v>
      </c>
      <c r="M60" s="331" t="s">
        <v>78</v>
      </c>
      <c r="N60" s="331" t="s">
        <v>424</v>
      </c>
      <c r="O60" s="331">
        <v>10124478</v>
      </c>
      <c r="P60" s="332">
        <v>43741</v>
      </c>
      <c r="Q60" s="332">
        <v>43741</v>
      </c>
      <c r="R60" s="332">
        <v>43782</v>
      </c>
      <c r="S60" s="331" t="s">
        <v>981</v>
      </c>
      <c r="T60" s="331" t="s">
        <v>982</v>
      </c>
      <c r="U60" s="331" t="s">
        <v>427</v>
      </c>
      <c r="V60" s="331" t="s">
        <v>983</v>
      </c>
      <c r="W60" s="331" t="s">
        <v>984</v>
      </c>
      <c r="X60" s="331" t="s">
        <v>984</v>
      </c>
      <c r="Y60" s="331" t="s">
        <v>984</v>
      </c>
      <c r="Z60" s="331" t="s">
        <v>984</v>
      </c>
      <c r="AA60" s="331" t="s">
        <v>984</v>
      </c>
      <c r="AB60" s="331" t="s">
        <v>984</v>
      </c>
      <c r="AC60" s="331" t="s">
        <v>984</v>
      </c>
      <c r="AD60" s="331" t="s">
        <v>984</v>
      </c>
      <c r="AE60" s="331" t="s">
        <v>428</v>
      </c>
      <c r="AF60" s="331" t="s">
        <v>984</v>
      </c>
      <c r="AG60" s="331" t="s">
        <v>984</v>
      </c>
      <c r="AH60" s="331" t="s">
        <v>984</v>
      </c>
      <c r="AI60" s="331" t="s">
        <v>984</v>
      </c>
      <c r="AJ60" s="331" t="s">
        <v>984</v>
      </c>
      <c r="AK60" s="331" t="s">
        <v>984</v>
      </c>
      <c r="AL60" s="331" t="s">
        <v>984</v>
      </c>
      <c r="AM60" s="331" t="s">
        <v>428</v>
      </c>
      <c r="AN60" s="331" t="s">
        <v>984</v>
      </c>
      <c r="AO60" s="331" t="s">
        <v>984</v>
      </c>
      <c r="AP60" s="331" t="s">
        <v>984</v>
      </c>
      <c r="AQ60" s="331" t="s">
        <v>984</v>
      </c>
      <c r="AR60" s="331" t="s">
        <v>984</v>
      </c>
      <c r="AS60" s="331" t="s">
        <v>984</v>
      </c>
      <c r="AT60" s="331" t="s">
        <v>984</v>
      </c>
      <c r="AU60" s="331" t="s">
        <v>984</v>
      </c>
      <c r="AV60" s="331" t="s">
        <v>984</v>
      </c>
      <c r="AW60" s="331" t="s">
        <v>984</v>
      </c>
      <c r="AX60" s="331" t="s">
        <v>984</v>
      </c>
      <c r="AY60" s="331" t="s">
        <v>984</v>
      </c>
      <c r="AZ60" s="331" t="s">
        <v>984</v>
      </c>
      <c r="BA60" s="331" t="s">
        <v>984</v>
      </c>
      <c r="BB60" s="331" t="s">
        <v>984</v>
      </c>
      <c r="BC60" s="331" t="s">
        <v>984</v>
      </c>
      <c r="BD60" s="331" t="s">
        <v>984</v>
      </c>
      <c r="BE60" s="331" t="s">
        <v>984</v>
      </c>
      <c r="BF60" s="331" t="s">
        <v>984</v>
      </c>
      <c r="BG60" s="331" t="s">
        <v>984</v>
      </c>
      <c r="BH60" s="331" t="s">
        <v>984</v>
      </c>
      <c r="BI60" s="331" t="s">
        <v>984</v>
      </c>
      <c r="BJ60" s="331" t="s">
        <v>984</v>
      </c>
      <c r="BK60" s="331" t="s">
        <v>984</v>
      </c>
      <c r="BL60" s="331" t="s">
        <v>984</v>
      </c>
      <c r="BM60" s="331" t="s">
        <v>984</v>
      </c>
      <c r="BN60" s="331" t="s">
        <v>984</v>
      </c>
      <c r="BO60" s="331" t="s">
        <v>984</v>
      </c>
      <c r="BP60" s="331" t="s">
        <v>984</v>
      </c>
      <c r="BQ60" s="331" t="s">
        <v>984</v>
      </c>
      <c r="BR60" s="331" t="s">
        <v>190</v>
      </c>
      <c r="BS60" s="331" t="s">
        <v>190</v>
      </c>
      <c r="BT60" s="331" t="s">
        <v>190</v>
      </c>
      <c r="BU60" s="331" t="s">
        <v>428</v>
      </c>
      <c r="BV60" s="331" t="s">
        <v>428</v>
      </c>
      <c r="BW60" s="331" t="s">
        <v>428</v>
      </c>
      <c r="BX60" s="331" t="s">
        <v>984</v>
      </c>
      <c r="BY60" s="331" t="s">
        <v>984</v>
      </c>
      <c r="BZ60" s="331" t="s">
        <v>984</v>
      </c>
      <c r="CA60" s="331" t="s">
        <v>984</v>
      </c>
      <c r="CB60" s="331" t="s">
        <v>984</v>
      </c>
      <c r="CC60" s="331" t="s">
        <v>190</v>
      </c>
      <c r="CD60" s="331" t="s">
        <v>190</v>
      </c>
      <c r="CE60" s="331" t="s">
        <v>984</v>
      </c>
      <c r="CF60" s="331" t="s">
        <v>190</v>
      </c>
      <c r="CG60" s="331" t="s">
        <v>984</v>
      </c>
      <c r="CH60" s="331" t="s">
        <v>190</v>
      </c>
      <c r="CI60" s="331" t="s">
        <v>190</v>
      </c>
      <c r="CJ60" s="331" t="s">
        <v>190</v>
      </c>
      <c r="CK60" s="331" t="s">
        <v>190</v>
      </c>
      <c r="CL60" s="331" t="s">
        <v>190</v>
      </c>
      <c r="CM60" s="331" t="s">
        <v>190</v>
      </c>
      <c r="CN60" s="331" t="s">
        <v>190</v>
      </c>
      <c r="CO60" s="331" t="s">
        <v>190</v>
      </c>
      <c r="CP60" s="331" t="s">
        <v>190</v>
      </c>
      <c r="CQ60" s="331" t="s">
        <v>190</v>
      </c>
      <c r="CR60" s="331" t="s">
        <v>190</v>
      </c>
      <c r="CS60" s="331" t="s">
        <v>190</v>
      </c>
      <c r="CT60" s="331" t="s">
        <v>190</v>
      </c>
      <c r="CU60" s="331" t="s">
        <v>428</v>
      </c>
      <c r="CV60" s="331" t="s">
        <v>190</v>
      </c>
      <c r="CW60" s="331" t="s">
        <v>190</v>
      </c>
      <c r="CX60" s="331" t="s">
        <v>190</v>
      </c>
      <c r="CY60" s="331" t="s">
        <v>190</v>
      </c>
      <c r="CZ60" s="331" t="s">
        <v>190</v>
      </c>
      <c r="DA60" s="331" t="s">
        <v>190</v>
      </c>
      <c r="DB60" s="331" t="s">
        <v>190</v>
      </c>
      <c r="DC60" s="331" t="s">
        <v>190</v>
      </c>
      <c r="DD60" s="331" t="s">
        <v>190</v>
      </c>
      <c r="DE60" s="331" t="s">
        <v>190</v>
      </c>
      <c r="DF60" s="331" t="s">
        <v>190</v>
      </c>
      <c r="DG60" s="331" t="s">
        <v>190</v>
      </c>
      <c r="DH60" s="331" t="s">
        <v>190</v>
      </c>
      <c r="DI60" s="331" t="s">
        <v>190</v>
      </c>
      <c r="DJ60" s="331" t="s">
        <v>428</v>
      </c>
      <c r="DK60" s="331" t="s">
        <v>428</v>
      </c>
      <c r="DL60" s="331" t="s">
        <v>190</v>
      </c>
      <c r="DM60" s="331" t="s">
        <v>190</v>
      </c>
      <c r="DN60" s="331" t="s">
        <v>190</v>
      </c>
      <c r="DO60" s="331" t="s">
        <v>190</v>
      </c>
      <c r="DP60" s="331" t="s">
        <v>984</v>
      </c>
      <c r="DQ60" s="331" t="s">
        <v>984</v>
      </c>
      <c r="DR60" s="331" t="s">
        <v>984</v>
      </c>
      <c r="DS60" s="331" t="s">
        <v>428</v>
      </c>
      <c r="DT60" s="331" t="s">
        <v>428</v>
      </c>
      <c r="DU60" s="331" t="s">
        <v>428</v>
      </c>
      <c r="DV60" s="331" t="s">
        <v>428</v>
      </c>
      <c r="DW60" s="331" t="s">
        <v>190</v>
      </c>
      <c r="DX60" s="331" t="s">
        <v>190</v>
      </c>
      <c r="DY60" s="331" t="s">
        <v>190</v>
      </c>
      <c r="DZ60" s="331" t="s">
        <v>190</v>
      </c>
      <c r="EA60" s="331" t="s">
        <v>190</v>
      </c>
      <c r="EB60" s="331" t="s">
        <v>190</v>
      </c>
      <c r="EC60" s="331" t="s">
        <v>190</v>
      </c>
      <c r="ED60" s="331" t="s">
        <v>190</v>
      </c>
      <c r="EE60" s="331" t="s">
        <v>190</v>
      </c>
      <c r="EF60" s="331" t="s">
        <v>190</v>
      </c>
      <c r="EG60" s="331" t="s">
        <v>190</v>
      </c>
      <c r="EH60" s="331" t="s">
        <v>190</v>
      </c>
      <c r="EI60" s="331" t="s">
        <v>190</v>
      </c>
      <c r="EJ60" s="331" t="s">
        <v>190</v>
      </c>
      <c r="EK60" s="331" t="s">
        <v>190</v>
      </c>
      <c r="EL60" s="331" t="s">
        <v>190</v>
      </c>
      <c r="EM60" s="331" t="s">
        <v>190</v>
      </c>
      <c r="EN60" s="331" t="s">
        <v>190</v>
      </c>
      <c r="EO60" s="331" t="s">
        <v>190</v>
      </c>
      <c r="EP60" s="331" t="s">
        <v>190</v>
      </c>
      <c r="EQ60" s="331" t="s">
        <v>190</v>
      </c>
      <c r="ER60" s="331" t="s">
        <v>190</v>
      </c>
      <c r="ES60" s="331" t="s">
        <v>190</v>
      </c>
      <c r="ET60" s="331" t="s">
        <v>190</v>
      </c>
      <c r="EU60" s="331" t="s">
        <v>190</v>
      </c>
      <c r="EV60" s="331" t="s">
        <v>190</v>
      </c>
      <c r="EW60" s="331" t="s">
        <v>190</v>
      </c>
      <c r="EX60" s="331" t="s">
        <v>190</v>
      </c>
      <c r="EY60" s="331" t="s">
        <v>190</v>
      </c>
      <c r="EZ60" s="331" t="s">
        <v>190</v>
      </c>
      <c r="FA60" s="331" t="s">
        <v>190</v>
      </c>
      <c r="FB60" s="331" t="s">
        <v>190</v>
      </c>
      <c r="FC60" s="331" t="s">
        <v>190</v>
      </c>
      <c r="FD60" s="331" t="s">
        <v>190</v>
      </c>
      <c r="FE60" s="331" t="s">
        <v>190</v>
      </c>
      <c r="FF60" s="331" t="s">
        <v>190</v>
      </c>
      <c r="FG60" s="331" t="s">
        <v>190</v>
      </c>
      <c r="FH60" s="331" t="s">
        <v>190</v>
      </c>
      <c r="FI60" s="331" t="s">
        <v>190</v>
      </c>
      <c r="FJ60" s="331" t="s">
        <v>190</v>
      </c>
      <c r="FK60" s="331" t="s">
        <v>190</v>
      </c>
      <c r="FL60" s="331" t="s">
        <v>190</v>
      </c>
      <c r="FM60" s="331" t="s">
        <v>190</v>
      </c>
      <c r="FN60" s="331" t="s">
        <v>190</v>
      </c>
      <c r="FO60" s="331" t="s">
        <v>190</v>
      </c>
      <c r="FP60" s="331" t="s">
        <v>190</v>
      </c>
      <c r="FQ60" s="331" t="s">
        <v>190</v>
      </c>
      <c r="FR60" s="331" t="s">
        <v>428</v>
      </c>
      <c r="FS60" s="331" t="s">
        <v>190</v>
      </c>
      <c r="FT60" s="331" t="s">
        <v>984</v>
      </c>
      <c r="FU60" s="331" t="s">
        <v>984</v>
      </c>
      <c r="FV60" s="331" t="s">
        <v>190</v>
      </c>
      <c r="FW60" s="331" t="s">
        <v>984</v>
      </c>
      <c r="FX60" s="331" t="s">
        <v>984</v>
      </c>
      <c r="FY60" s="331" t="s">
        <v>984</v>
      </c>
      <c r="FZ60" s="331" t="s">
        <v>984</v>
      </c>
      <c r="GA60" s="331" t="s">
        <v>984</v>
      </c>
      <c r="GB60" s="331" t="s">
        <v>984</v>
      </c>
      <c r="GC60" s="331" t="s">
        <v>984</v>
      </c>
      <c r="GD60" s="331" t="s">
        <v>984</v>
      </c>
      <c r="GE60" s="331" t="s">
        <v>984</v>
      </c>
      <c r="GF60" s="331" t="s">
        <v>984</v>
      </c>
      <c r="GG60" s="331" t="s">
        <v>984</v>
      </c>
      <c r="GH60" s="331" t="s">
        <v>984</v>
      </c>
      <c r="GI60" s="331" t="s">
        <v>984</v>
      </c>
      <c r="GJ60" s="331" t="s">
        <v>984</v>
      </c>
      <c r="GK60" s="331" t="s">
        <v>984</v>
      </c>
      <c r="GL60" s="331" t="s">
        <v>984</v>
      </c>
      <c r="GM60" s="331" t="s">
        <v>984</v>
      </c>
      <c r="GN60" s="331" t="s">
        <v>984</v>
      </c>
      <c r="GO60" s="331" t="s">
        <v>984</v>
      </c>
      <c r="GP60" s="331" t="s">
        <v>984</v>
      </c>
      <c r="GQ60" s="331" t="s">
        <v>984</v>
      </c>
      <c r="GR60" s="331" t="s">
        <v>984</v>
      </c>
      <c r="GS60" s="331" t="s">
        <v>984</v>
      </c>
      <c r="GT60" s="331" t="s">
        <v>984</v>
      </c>
      <c r="GU60" s="331" t="s">
        <v>984</v>
      </c>
      <c r="GV60" s="331" t="s">
        <v>984</v>
      </c>
      <c r="GW60" s="331" t="s">
        <v>984</v>
      </c>
      <c r="GX60" s="331" t="s">
        <v>984</v>
      </c>
      <c r="GY60" s="331" t="s">
        <v>984</v>
      </c>
      <c r="GZ60" s="331" t="s">
        <v>984</v>
      </c>
      <c r="HA60" s="331" t="s">
        <v>984</v>
      </c>
      <c r="HB60" s="331" t="s">
        <v>984</v>
      </c>
      <c r="HC60" s="331" t="s">
        <v>984</v>
      </c>
      <c r="HD60" s="331" t="s">
        <v>984</v>
      </c>
      <c r="HE60" s="331" t="s">
        <v>984</v>
      </c>
      <c r="HF60" s="331" t="s">
        <v>984</v>
      </c>
      <c r="HG60" s="331" t="s">
        <v>984</v>
      </c>
      <c r="HH60" s="331" t="s">
        <v>984</v>
      </c>
      <c r="HI60" s="331" t="s">
        <v>984</v>
      </c>
      <c r="HJ60" s="331" t="s">
        <v>984</v>
      </c>
      <c r="HK60" s="331" t="s">
        <v>984</v>
      </c>
      <c r="HL60" s="331" t="s">
        <v>984</v>
      </c>
      <c r="HM60" s="331" t="s">
        <v>190</v>
      </c>
      <c r="HN60" s="331" t="s">
        <v>190</v>
      </c>
      <c r="HO60" s="331" t="s">
        <v>190</v>
      </c>
      <c r="HP60" s="331" t="s">
        <v>190</v>
      </c>
      <c r="HQ60" s="331" t="s">
        <v>170</v>
      </c>
      <c r="HR60" s="331" t="s">
        <v>429</v>
      </c>
      <c r="HS60" s="331" t="s">
        <v>169</v>
      </c>
      <c r="HT60" s="331" t="s">
        <v>427</v>
      </c>
      <c r="HU60" s="331" t="s">
        <v>428</v>
      </c>
      <c r="HV60" s="331" t="s">
        <v>428</v>
      </c>
    </row>
    <row r="61" spans="1:230" s="70" customFormat="1" x14ac:dyDescent="0.25">
      <c r="A61" s="330" t="str">
        <f>HYPERLINK("http://www.ofsted.gov.uk/inspection-reports/find-inspection-report/provider/ELS/141697 ","Ofsted School Webpage")</f>
        <v>Ofsted School Webpage</v>
      </c>
      <c r="B61" s="331">
        <v>141697</v>
      </c>
      <c r="C61" s="331">
        <v>3056013</v>
      </c>
      <c r="D61" s="331" t="s">
        <v>2297</v>
      </c>
      <c r="E61" s="331" t="s">
        <v>168</v>
      </c>
      <c r="F61" s="331" t="s">
        <v>441</v>
      </c>
      <c r="G61" s="331" t="s">
        <v>441</v>
      </c>
      <c r="H61" s="331" t="s">
        <v>600</v>
      </c>
      <c r="I61" s="331" t="s">
        <v>2298</v>
      </c>
      <c r="J61" s="331" t="s">
        <v>81</v>
      </c>
      <c r="K61" s="331" t="s">
        <v>81</v>
      </c>
      <c r="L61" s="331" t="s">
        <v>81</v>
      </c>
      <c r="M61" s="331" t="s">
        <v>78</v>
      </c>
      <c r="N61" s="331" t="s">
        <v>424</v>
      </c>
      <c r="O61" s="331">
        <v>10124193</v>
      </c>
      <c r="P61" s="332">
        <v>43741</v>
      </c>
      <c r="Q61" s="332">
        <v>43741</v>
      </c>
      <c r="R61" s="332">
        <v>43775</v>
      </c>
      <c r="S61" s="331" t="s">
        <v>985</v>
      </c>
      <c r="T61" s="331" t="s">
        <v>982</v>
      </c>
      <c r="U61" s="331" t="s">
        <v>427</v>
      </c>
      <c r="V61" s="331" t="s">
        <v>165</v>
      </c>
      <c r="W61" s="331" t="s">
        <v>984</v>
      </c>
      <c r="X61" s="331" t="s">
        <v>984</v>
      </c>
      <c r="Y61" s="331" t="s">
        <v>984</v>
      </c>
      <c r="Z61" s="331" t="s">
        <v>984</v>
      </c>
      <c r="AA61" s="331" t="s">
        <v>984</v>
      </c>
      <c r="AB61" s="331" t="s">
        <v>984</v>
      </c>
      <c r="AC61" s="331" t="s">
        <v>984</v>
      </c>
      <c r="AD61" s="331" t="s">
        <v>984</v>
      </c>
      <c r="AE61" s="331" t="s">
        <v>428</v>
      </c>
      <c r="AF61" s="331" t="s">
        <v>984</v>
      </c>
      <c r="AG61" s="331" t="s">
        <v>984</v>
      </c>
      <c r="AH61" s="331" t="s">
        <v>984</v>
      </c>
      <c r="AI61" s="331" t="s">
        <v>984</v>
      </c>
      <c r="AJ61" s="331" t="s">
        <v>984</v>
      </c>
      <c r="AK61" s="331" t="s">
        <v>984</v>
      </c>
      <c r="AL61" s="331" t="s">
        <v>984</v>
      </c>
      <c r="AM61" s="331" t="s">
        <v>428</v>
      </c>
      <c r="AN61" s="331" t="s">
        <v>984</v>
      </c>
      <c r="AO61" s="331" t="s">
        <v>984</v>
      </c>
      <c r="AP61" s="331" t="s">
        <v>984</v>
      </c>
      <c r="AQ61" s="331" t="s">
        <v>984</v>
      </c>
      <c r="AR61" s="331" t="s">
        <v>984</v>
      </c>
      <c r="AS61" s="331" t="s">
        <v>984</v>
      </c>
      <c r="AT61" s="331" t="s">
        <v>984</v>
      </c>
      <c r="AU61" s="331" t="s">
        <v>984</v>
      </c>
      <c r="AV61" s="331" t="s">
        <v>984</v>
      </c>
      <c r="AW61" s="331" t="s">
        <v>984</v>
      </c>
      <c r="AX61" s="331" t="s">
        <v>984</v>
      </c>
      <c r="AY61" s="331" t="s">
        <v>984</v>
      </c>
      <c r="AZ61" s="331" t="s">
        <v>984</v>
      </c>
      <c r="BA61" s="331" t="s">
        <v>984</v>
      </c>
      <c r="BB61" s="331" t="s">
        <v>984</v>
      </c>
      <c r="BC61" s="331" t="s">
        <v>984</v>
      </c>
      <c r="BD61" s="331" t="s">
        <v>984</v>
      </c>
      <c r="BE61" s="331" t="s">
        <v>984</v>
      </c>
      <c r="BF61" s="331" t="s">
        <v>984</v>
      </c>
      <c r="BG61" s="331" t="s">
        <v>984</v>
      </c>
      <c r="BH61" s="331" t="s">
        <v>984</v>
      </c>
      <c r="BI61" s="331" t="s">
        <v>984</v>
      </c>
      <c r="BJ61" s="331" t="s">
        <v>984</v>
      </c>
      <c r="BK61" s="331" t="s">
        <v>984</v>
      </c>
      <c r="BL61" s="331" t="s">
        <v>984</v>
      </c>
      <c r="BM61" s="331" t="s">
        <v>984</v>
      </c>
      <c r="BN61" s="331" t="s">
        <v>984</v>
      </c>
      <c r="BO61" s="331" t="s">
        <v>984</v>
      </c>
      <c r="BP61" s="331" t="s">
        <v>984</v>
      </c>
      <c r="BQ61" s="331" t="s">
        <v>984</v>
      </c>
      <c r="BR61" s="331" t="s">
        <v>190</v>
      </c>
      <c r="BS61" s="331" t="s">
        <v>190</v>
      </c>
      <c r="BT61" s="331" t="s">
        <v>190</v>
      </c>
      <c r="BU61" s="331" t="s">
        <v>428</v>
      </c>
      <c r="BV61" s="331" t="s">
        <v>428</v>
      </c>
      <c r="BW61" s="331" t="s">
        <v>428</v>
      </c>
      <c r="BX61" s="331" t="s">
        <v>984</v>
      </c>
      <c r="BY61" s="331" t="s">
        <v>984</v>
      </c>
      <c r="BZ61" s="331" t="s">
        <v>984</v>
      </c>
      <c r="CA61" s="331" t="s">
        <v>984</v>
      </c>
      <c r="CB61" s="331" t="s">
        <v>984</v>
      </c>
      <c r="CC61" s="331" t="s">
        <v>984</v>
      </c>
      <c r="CD61" s="331" t="s">
        <v>190</v>
      </c>
      <c r="CE61" s="331" t="s">
        <v>984</v>
      </c>
      <c r="CF61" s="331" t="s">
        <v>984</v>
      </c>
      <c r="CG61" s="331" t="s">
        <v>984</v>
      </c>
      <c r="CH61" s="331" t="s">
        <v>190</v>
      </c>
      <c r="CI61" s="331" t="s">
        <v>190</v>
      </c>
      <c r="CJ61" s="331" t="s">
        <v>190</v>
      </c>
      <c r="CK61" s="331" t="s">
        <v>984</v>
      </c>
      <c r="CL61" s="331" t="s">
        <v>984</v>
      </c>
      <c r="CM61" s="331" t="s">
        <v>984</v>
      </c>
      <c r="CN61" s="331" t="s">
        <v>984</v>
      </c>
      <c r="CO61" s="331" t="s">
        <v>984</v>
      </c>
      <c r="CP61" s="331" t="s">
        <v>984</v>
      </c>
      <c r="CQ61" s="331" t="s">
        <v>984</v>
      </c>
      <c r="CR61" s="331" t="s">
        <v>984</v>
      </c>
      <c r="CS61" s="331" t="s">
        <v>984</v>
      </c>
      <c r="CT61" s="331" t="s">
        <v>984</v>
      </c>
      <c r="CU61" s="331" t="s">
        <v>428</v>
      </c>
      <c r="CV61" s="331" t="s">
        <v>984</v>
      </c>
      <c r="CW61" s="331" t="s">
        <v>984</v>
      </c>
      <c r="CX61" s="331" t="s">
        <v>984</v>
      </c>
      <c r="CY61" s="331" t="s">
        <v>984</v>
      </c>
      <c r="CZ61" s="331" t="s">
        <v>984</v>
      </c>
      <c r="DA61" s="331" t="s">
        <v>984</v>
      </c>
      <c r="DB61" s="331" t="s">
        <v>984</v>
      </c>
      <c r="DC61" s="331" t="s">
        <v>984</v>
      </c>
      <c r="DD61" s="331" t="s">
        <v>984</v>
      </c>
      <c r="DE61" s="331" t="s">
        <v>984</v>
      </c>
      <c r="DF61" s="331" t="s">
        <v>984</v>
      </c>
      <c r="DG61" s="331" t="s">
        <v>984</v>
      </c>
      <c r="DH61" s="331" t="s">
        <v>984</v>
      </c>
      <c r="DI61" s="331" t="s">
        <v>984</v>
      </c>
      <c r="DJ61" s="331" t="s">
        <v>428</v>
      </c>
      <c r="DK61" s="331" t="s">
        <v>984</v>
      </c>
      <c r="DL61" s="331" t="s">
        <v>984</v>
      </c>
      <c r="DM61" s="331" t="s">
        <v>984</v>
      </c>
      <c r="DN61" s="331" t="s">
        <v>984</v>
      </c>
      <c r="DO61" s="331" t="s">
        <v>984</v>
      </c>
      <c r="DP61" s="331" t="s">
        <v>984</v>
      </c>
      <c r="DQ61" s="331" t="s">
        <v>984</v>
      </c>
      <c r="DR61" s="331" t="s">
        <v>984</v>
      </c>
      <c r="DS61" s="331" t="s">
        <v>984</v>
      </c>
      <c r="DT61" s="331" t="s">
        <v>984</v>
      </c>
      <c r="DU61" s="331" t="s">
        <v>984</v>
      </c>
      <c r="DV61" s="331" t="s">
        <v>984</v>
      </c>
      <c r="DW61" s="331" t="s">
        <v>984</v>
      </c>
      <c r="DX61" s="331" t="s">
        <v>984</v>
      </c>
      <c r="DY61" s="331" t="s">
        <v>984</v>
      </c>
      <c r="DZ61" s="331" t="s">
        <v>984</v>
      </c>
      <c r="EA61" s="331" t="s">
        <v>984</v>
      </c>
      <c r="EB61" s="331" t="s">
        <v>984</v>
      </c>
      <c r="EC61" s="331" t="s">
        <v>984</v>
      </c>
      <c r="ED61" s="331" t="s">
        <v>984</v>
      </c>
      <c r="EE61" s="331" t="s">
        <v>984</v>
      </c>
      <c r="EF61" s="331" t="s">
        <v>984</v>
      </c>
      <c r="EG61" s="331" t="s">
        <v>984</v>
      </c>
      <c r="EH61" s="331" t="s">
        <v>428</v>
      </c>
      <c r="EI61" s="331" t="s">
        <v>984</v>
      </c>
      <c r="EJ61" s="331" t="s">
        <v>984</v>
      </c>
      <c r="EK61" s="331" t="s">
        <v>984</v>
      </c>
      <c r="EL61" s="331" t="s">
        <v>984</v>
      </c>
      <c r="EM61" s="331" t="s">
        <v>984</v>
      </c>
      <c r="EN61" s="331" t="s">
        <v>984</v>
      </c>
      <c r="EO61" s="331" t="s">
        <v>984</v>
      </c>
      <c r="EP61" s="331" t="s">
        <v>428</v>
      </c>
      <c r="EQ61" s="331" t="s">
        <v>428</v>
      </c>
      <c r="ER61" s="331" t="s">
        <v>428</v>
      </c>
      <c r="ES61" s="331" t="s">
        <v>984</v>
      </c>
      <c r="ET61" s="331" t="s">
        <v>984</v>
      </c>
      <c r="EU61" s="331" t="s">
        <v>984</v>
      </c>
      <c r="EV61" s="331" t="s">
        <v>984</v>
      </c>
      <c r="EW61" s="331" t="s">
        <v>984</v>
      </c>
      <c r="EX61" s="331" t="s">
        <v>984</v>
      </c>
      <c r="EY61" s="331" t="s">
        <v>984</v>
      </c>
      <c r="EZ61" s="331" t="s">
        <v>984</v>
      </c>
      <c r="FA61" s="331" t="s">
        <v>984</v>
      </c>
      <c r="FB61" s="331" t="s">
        <v>190</v>
      </c>
      <c r="FC61" s="331" t="s">
        <v>984</v>
      </c>
      <c r="FD61" s="331" t="s">
        <v>984</v>
      </c>
      <c r="FE61" s="331" t="s">
        <v>984</v>
      </c>
      <c r="FF61" s="331" t="s">
        <v>984</v>
      </c>
      <c r="FG61" s="331" t="s">
        <v>984</v>
      </c>
      <c r="FH61" s="331" t="s">
        <v>984</v>
      </c>
      <c r="FI61" s="331" t="s">
        <v>984</v>
      </c>
      <c r="FJ61" s="331" t="s">
        <v>984</v>
      </c>
      <c r="FK61" s="331" t="s">
        <v>984</v>
      </c>
      <c r="FL61" s="331" t="s">
        <v>984</v>
      </c>
      <c r="FM61" s="331" t="s">
        <v>984</v>
      </c>
      <c r="FN61" s="331" t="s">
        <v>984</v>
      </c>
      <c r="FO61" s="331" t="s">
        <v>984</v>
      </c>
      <c r="FP61" s="331" t="s">
        <v>984</v>
      </c>
      <c r="FQ61" s="331" t="s">
        <v>984</v>
      </c>
      <c r="FR61" s="331" t="s">
        <v>428</v>
      </c>
      <c r="FS61" s="331" t="s">
        <v>190</v>
      </c>
      <c r="FT61" s="331" t="s">
        <v>984</v>
      </c>
      <c r="FU61" s="331" t="s">
        <v>984</v>
      </c>
      <c r="FV61" s="331" t="s">
        <v>190</v>
      </c>
      <c r="FW61" s="331" t="s">
        <v>984</v>
      </c>
      <c r="FX61" s="331" t="s">
        <v>428</v>
      </c>
      <c r="FY61" s="331" t="s">
        <v>984</v>
      </c>
      <c r="FZ61" s="331" t="s">
        <v>984</v>
      </c>
      <c r="GA61" s="331" t="s">
        <v>984</v>
      </c>
      <c r="GB61" s="331" t="s">
        <v>984</v>
      </c>
      <c r="GC61" s="331" t="s">
        <v>984</v>
      </c>
      <c r="GD61" s="331" t="s">
        <v>984</v>
      </c>
      <c r="GE61" s="331" t="s">
        <v>984</v>
      </c>
      <c r="GF61" s="331" t="s">
        <v>984</v>
      </c>
      <c r="GG61" s="331" t="s">
        <v>984</v>
      </c>
      <c r="GH61" s="331" t="s">
        <v>984</v>
      </c>
      <c r="GI61" s="331" t="s">
        <v>984</v>
      </c>
      <c r="GJ61" s="331" t="s">
        <v>984</v>
      </c>
      <c r="GK61" s="331" t="s">
        <v>984</v>
      </c>
      <c r="GL61" s="331" t="s">
        <v>984</v>
      </c>
      <c r="GM61" s="331" t="s">
        <v>984</v>
      </c>
      <c r="GN61" s="331" t="s">
        <v>984</v>
      </c>
      <c r="GO61" s="331" t="s">
        <v>984</v>
      </c>
      <c r="GP61" s="331" t="s">
        <v>984</v>
      </c>
      <c r="GQ61" s="331" t="s">
        <v>984</v>
      </c>
      <c r="GR61" s="331" t="s">
        <v>984</v>
      </c>
      <c r="GS61" s="331" t="s">
        <v>428</v>
      </c>
      <c r="GT61" s="331" t="s">
        <v>428</v>
      </c>
      <c r="GU61" s="331" t="s">
        <v>428</v>
      </c>
      <c r="GV61" s="331" t="s">
        <v>428</v>
      </c>
      <c r="GW61" s="331" t="s">
        <v>984</v>
      </c>
      <c r="GX61" s="331" t="s">
        <v>984</v>
      </c>
      <c r="GY61" s="331" t="s">
        <v>984</v>
      </c>
      <c r="GZ61" s="331" t="s">
        <v>984</v>
      </c>
      <c r="HA61" s="331" t="s">
        <v>984</v>
      </c>
      <c r="HB61" s="331" t="s">
        <v>984</v>
      </c>
      <c r="HC61" s="331" t="s">
        <v>984</v>
      </c>
      <c r="HD61" s="331" t="s">
        <v>984</v>
      </c>
      <c r="HE61" s="331" t="s">
        <v>984</v>
      </c>
      <c r="HF61" s="331" t="s">
        <v>984</v>
      </c>
      <c r="HG61" s="331" t="s">
        <v>984</v>
      </c>
      <c r="HH61" s="331" t="s">
        <v>984</v>
      </c>
      <c r="HI61" s="331" t="s">
        <v>984</v>
      </c>
      <c r="HJ61" s="331" t="s">
        <v>984</v>
      </c>
      <c r="HK61" s="331" t="s">
        <v>984</v>
      </c>
      <c r="HL61" s="331" t="s">
        <v>984</v>
      </c>
      <c r="HM61" s="331" t="s">
        <v>190</v>
      </c>
      <c r="HN61" s="331" t="s">
        <v>190</v>
      </c>
      <c r="HO61" s="331" t="s">
        <v>190</v>
      </c>
      <c r="HP61" s="331" t="s">
        <v>190</v>
      </c>
      <c r="HQ61" s="331" t="s">
        <v>170</v>
      </c>
      <c r="HR61" s="331" t="s">
        <v>429</v>
      </c>
      <c r="HS61" s="331" t="s">
        <v>169</v>
      </c>
      <c r="HT61" s="331" t="s">
        <v>427</v>
      </c>
      <c r="HU61" s="331" t="s">
        <v>428</v>
      </c>
      <c r="HV61" s="331" t="s">
        <v>428</v>
      </c>
    </row>
    <row r="62" spans="1:230" s="70" customFormat="1" x14ac:dyDescent="0.25">
      <c r="A62" s="330" t="str">
        <f>HYPERLINK("http://www.ofsted.gov.uk/inspection-reports/find-inspection-report/provider/ELS/147468 ","Ofsted School Webpage")</f>
        <v>Ofsted School Webpage</v>
      </c>
      <c r="B62" s="331">
        <v>147468</v>
      </c>
      <c r="C62" s="331">
        <v>3446003</v>
      </c>
      <c r="D62" s="331" t="s">
        <v>2723</v>
      </c>
      <c r="E62" s="331" t="s">
        <v>167</v>
      </c>
      <c r="F62" s="331" t="s">
        <v>431</v>
      </c>
      <c r="G62" s="331" t="s">
        <v>431</v>
      </c>
      <c r="H62" s="331" t="s">
        <v>2724</v>
      </c>
      <c r="I62" s="331" t="s">
        <v>2725</v>
      </c>
      <c r="J62" s="331" t="s">
        <v>434</v>
      </c>
      <c r="K62" s="331" t="s">
        <v>81</v>
      </c>
      <c r="L62" s="331" t="s">
        <v>81</v>
      </c>
      <c r="M62" s="331" t="s">
        <v>78</v>
      </c>
      <c r="N62" s="331" t="s">
        <v>424</v>
      </c>
      <c r="O62" s="331">
        <v>10120755</v>
      </c>
      <c r="P62" s="332">
        <v>43741</v>
      </c>
      <c r="Q62" s="332">
        <v>43741</v>
      </c>
      <c r="R62" s="332">
        <v>43769</v>
      </c>
      <c r="S62" s="331" t="s">
        <v>2583</v>
      </c>
      <c r="T62" s="331" t="s">
        <v>982</v>
      </c>
      <c r="U62" s="331" t="s">
        <v>427</v>
      </c>
      <c r="V62" s="331" t="s">
        <v>2584</v>
      </c>
      <c r="W62" s="331" t="s">
        <v>190</v>
      </c>
      <c r="X62" s="331" t="s">
        <v>190</v>
      </c>
      <c r="Y62" s="331" t="s">
        <v>190</v>
      </c>
      <c r="Z62" s="331" t="s">
        <v>190</v>
      </c>
      <c r="AA62" s="331" t="s">
        <v>190</v>
      </c>
      <c r="AB62" s="331" t="s">
        <v>190</v>
      </c>
      <c r="AC62" s="331" t="s">
        <v>190</v>
      </c>
      <c r="AD62" s="331" t="s">
        <v>190</v>
      </c>
      <c r="AE62" s="331" t="s">
        <v>428</v>
      </c>
      <c r="AF62" s="331" t="s">
        <v>190</v>
      </c>
      <c r="AG62" s="331" t="s">
        <v>190</v>
      </c>
      <c r="AH62" s="331" t="s">
        <v>190</v>
      </c>
      <c r="AI62" s="331" t="s">
        <v>190</v>
      </c>
      <c r="AJ62" s="331" t="s">
        <v>190</v>
      </c>
      <c r="AK62" s="331" t="s">
        <v>190</v>
      </c>
      <c r="AL62" s="331" t="s">
        <v>190</v>
      </c>
      <c r="AM62" s="331" t="s">
        <v>428</v>
      </c>
      <c r="AN62" s="331" t="s">
        <v>428</v>
      </c>
      <c r="AO62" s="331" t="s">
        <v>190</v>
      </c>
      <c r="AP62" s="331" t="s">
        <v>190</v>
      </c>
      <c r="AQ62" s="331" t="s">
        <v>190</v>
      </c>
      <c r="AR62" s="331" t="s">
        <v>190</v>
      </c>
      <c r="AS62" s="331" t="s">
        <v>190</v>
      </c>
      <c r="AT62" s="331" t="s">
        <v>190</v>
      </c>
      <c r="AU62" s="331" t="s">
        <v>190</v>
      </c>
      <c r="AV62" s="331" t="s">
        <v>190</v>
      </c>
      <c r="AW62" s="331" t="s">
        <v>190</v>
      </c>
      <c r="AX62" s="331" t="s">
        <v>190</v>
      </c>
      <c r="AY62" s="331" t="s">
        <v>190</v>
      </c>
      <c r="AZ62" s="331" t="s">
        <v>190</v>
      </c>
      <c r="BA62" s="331" t="s">
        <v>190</v>
      </c>
      <c r="BB62" s="331" t="s">
        <v>190</v>
      </c>
      <c r="BC62" s="331" t="s">
        <v>190</v>
      </c>
      <c r="BD62" s="331" t="s">
        <v>190</v>
      </c>
      <c r="BE62" s="331" t="s">
        <v>190</v>
      </c>
      <c r="BF62" s="331" t="s">
        <v>190</v>
      </c>
      <c r="BG62" s="331" t="s">
        <v>190</v>
      </c>
      <c r="BH62" s="331" t="s">
        <v>190</v>
      </c>
      <c r="BI62" s="331" t="s">
        <v>190</v>
      </c>
      <c r="BJ62" s="331" t="s">
        <v>190</v>
      </c>
      <c r="BK62" s="331" t="s">
        <v>190</v>
      </c>
      <c r="BL62" s="331" t="s">
        <v>190</v>
      </c>
      <c r="BM62" s="331" t="s">
        <v>190</v>
      </c>
      <c r="BN62" s="331" t="s">
        <v>190</v>
      </c>
      <c r="BO62" s="331" t="s">
        <v>190</v>
      </c>
      <c r="BP62" s="331" t="s">
        <v>190</v>
      </c>
      <c r="BQ62" s="331" t="s">
        <v>190</v>
      </c>
      <c r="BR62" s="331" t="s">
        <v>190</v>
      </c>
      <c r="BS62" s="331" t="s">
        <v>190</v>
      </c>
      <c r="BT62" s="331" t="s">
        <v>190</v>
      </c>
      <c r="BU62" s="331" t="s">
        <v>428</v>
      </c>
      <c r="BV62" s="331" t="s">
        <v>428</v>
      </c>
      <c r="BW62" s="331" t="s">
        <v>428</v>
      </c>
      <c r="BX62" s="331" t="s">
        <v>190</v>
      </c>
      <c r="BY62" s="331" t="s">
        <v>190</v>
      </c>
      <c r="BZ62" s="331" t="s">
        <v>190</v>
      </c>
      <c r="CA62" s="331" t="s">
        <v>190</v>
      </c>
      <c r="CB62" s="331" t="s">
        <v>190</v>
      </c>
      <c r="CC62" s="331" t="s">
        <v>190</v>
      </c>
      <c r="CD62" s="331" t="s">
        <v>190</v>
      </c>
      <c r="CE62" s="331" t="s">
        <v>190</v>
      </c>
      <c r="CF62" s="331" t="s">
        <v>190</v>
      </c>
      <c r="CG62" s="331" t="s">
        <v>190</v>
      </c>
      <c r="CH62" s="331" t="s">
        <v>190</v>
      </c>
      <c r="CI62" s="331" t="s">
        <v>190</v>
      </c>
      <c r="CJ62" s="331" t="s">
        <v>190</v>
      </c>
      <c r="CK62" s="331" t="s">
        <v>190</v>
      </c>
      <c r="CL62" s="331" t="s">
        <v>190</v>
      </c>
      <c r="CM62" s="331" t="s">
        <v>190</v>
      </c>
      <c r="CN62" s="331" t="s">
        <v>190</v>
      </c>
      <c r="CO62" s="331" t="s">
        <v>190</v>
      </c>
      <c r="CP62" s="331" t="s">
        <v>190</v>
      </c>
      <c r="CQ62" s="331" t="s">
        <v>190</v>
      </c>
      <c r="CR62" s="331" t="s">
        <v>190</v>
      </c>
      <c r="CS62" s="331" t="s">
        <v>190</v>
      </c>
      <c r="CT62" s="331" t="s">
        <v>428</v>
      </c>
      <c r="CU62" s="331" t="s">
        <v>428</v>
      </c>
      <c r="CV62" s="331" t="s">
        <v>190</v>
      </c>
      <c r="CW62" s="331" t="s">
        <v>428</v>
      </c>
      <c r="CX62" s="331" t="s">
        <v>428</v>
      </c>
      <c r="CY62" s="331" t="s">
        <v>428</v>
      </c>
      <c r="CZ62" s="331" t="s">
        <v>428</v>
      </c>
      <c r="DA62" s="331" t="s">
        <v>428</v>
      </c>
      <c r="DB62" s="331" t="s">
        <v>428</v>
      </c>
      <c r="DC62" s="331" t="s">
        <v>428</v>
      </c>
      <c r="DD62" s="331" t="s">
        <v>428</v>
      </c>
      <c r="DE62" s="331" t="s">
        <v>428</v>
      </c>
      <c r="DF62" s="331" t="s">
        <v>428</v>
      </c>
      <c r="DG62" s="331" t="s">
        <v>428</v>
      </c>
      <c r="DH62" s="331" t="s">
        <v>428</v>
      </c>
      <c r="DI62" s="331" t="s">
        <v>428</v>
      </c>
      <c r="DJ62" s="331" t="s">
        <v>428</v>
      </c>
      <c r="DK62" s="331" t="s">
        <v>428</v>
      </c>
      <c r="DL62" s="331" t="s">
        <v>190</v>
      </c>
      <c r="DM62" s="331" t="s">
        <v>190</v>
      </c>
      <c r="DN62" s="331" t="s">
        <v>190</v>
      </c>
      <c r="DO62" s="331" t="s">
        <v>190</v>
      </c>
      <c r="DP62" s="331" t="s">
        <v>190</v>
      </c>
      <c r="DQ62" s="331" t="s">
        <v>190</v>
      </c>
      <c r="DR62" s="331" t="s">
        <v>190</v>
      </c>
      <c r="DS62" s="331" t="s">
        <v>190</v>
      </c>
      <c r="DT62" s="331" t="s">
        <v>428</v>
      </c>
      <c r="DU62" s="331" t="s">
        <v>190</v>
      </c>
      <c r="DV62" s="331" t="s">
        <v>190</v>
      </c>
      <c r="DW62" s="331" t="s">
        <v>190</v>
      </c>
      <c r="DX62" s="331" t="s">
        <v>190</v>
      </c>
      <c r="DY62" s="331" t="s">
        <v>190</v>
      </c>
      <c r="DZ62" s="331" t="s">
        <v>190</v>
      </c>
      <c r="EA62" s="331" t="s">
        <v>190</v>
      </c>
      <c r="EB62" s="331" t="s">
        <v>190</v>
      </c>
      <c r="EC62" s="331" t="s">
        <v>190</v>
      </c>
      <c r="ED62" s="331" t="s">
        <v>190</v>
      </c>
      <c r="EE62" s="331" t="s">
        <v>190</v>
      </c>
      <c r="EF62" s="331" t="s">
        <v>190</v>
      </c>
      <c r="EG62" s="331" t="s">
        <v>190</v>
      </c>
      <c r="EH62" s="331" t="s">
        <v>428</v>
      </c>
      <c r="EI62" s="331" t="s">
        <v>428</v>
      </c>
      <c r="EJ62" s="331" t="s">
        <v>428</v>
      </c>
      <c r="EK62" s="331" t="s">
        <v>428</v>
      </c>
      <c r="EL62" s="331" t="s">
        <v>428</v>
      </c>
      <c r="EM62" s="331" t="s">
        <v>428</v>
      </c>
      <c r="EN62" s="331" t="s">
        <v>428</v>
      </c>
      <c r="EO62" s="331" t="s">
        <v>190</v>
      </c>
      <c r="EP62" s="331" t="s">
        <v>428</v>
      </c>
      <c r="EQ62" s="331" t="s">
        <v>428</v>
      </c>
      <c r="ER62" s="331" t="s">
        <v>428</v>
      </c>
      <c r="ES62" s="331" t="s">
        <v>190</v>
      </c>
      <c r="ET62" s="331" t="s">
        <v>190</v>
      </c>
      <c r="EU62" s="331" t="s">
        <v>190</v>
      </c>
      <c r="EV62" s="331" t="s">
        <v>190</v>
      </c>
      <c r="EW62" s="331" t="s">
        <v>190</v>
      </c>
      <c r="EX62" s="331" t="s">
        <v>190</v>
      </c>
      <c r="EY62" s="331" t="s">
        <v>190</v>
      </c>
      <c r="EZ62" s="331" t="s">
        <v>428</v>
      </c>
      <c r="FA62" s="331" t="s">
        <v>190</v>
      </c>
      <c r="FB62" s="331" t="s">
        <v>190</v>
      </c>
      <c r="FC62" s="331" t="s">
        <v>190</v>
      </c>
      <c r="FD62" s="331" t="s">
        <v>190</v>
      </c>
      <c r="FE62" s="331" t="s">
        <v>190</v>
      </c>
      <c r="FF62" s="331" t="s">
        <v>190</v>
      </c>
      <c r="FG62" s="331" t="s">
        <v>190</v>
      </c>
      <c r="FH62" s="331" t="s">
        <v>190</v>
      </c>
      <c r="FI62" s="331" t="s">
        <v>190</v>
      </c>
      <c r="FJ62" s="331" t="s">
        <v>190</v>
      </c>
      <c r="FK62" s="331" t="s">
        <v>190</v>
      </c>
      <c r="FL62" s="331" t="s">
        <v>190</v>
      </c>
      <c r="FM62" s="331" t="s">
        <v>190</v>
      </c>
      <c r="FN62" s="331" t="s">
        <v>190</v>
      </c>
      <c r="FO62" s="331" t="s">
        <v>190</v>
      </c>
      <c r="FP62" s="331" t="s">
        <v>190</v>
      </c>
      <c r="FQ62" s="331" t="s">
        <v>190</v>
      </c>
      <c r="FR62" s="331" t="s">
        <v>428</v>
      </c>
      <c r="FS62" s="331" t="s">
        <v>190</v>
      </c>
      <c r="FT62" s="331" t="s">
        <v>190</v>
      </c>
      <c r="FU62" s="331" t="s">
        <v>190</v>
      </c>
      <c r="FV62" s="331" t="s">
        <v>190</v>
      </c>
      <c r="FW62" s="331" t="s">
        <v>190</v>
      </c>
      <c r="FX62" s="331" t="s">
        <v>428</v>
      </c>
      <c r="FY62" s="331" t="s">
        <v>190</v>
      </c>
      <c r="FZ62" s="331" t="s">
        <v>190</v>
      </c>
      <c r="GA62" s="331" t="s">
        <v>190</v>
      </c>
      <c r="GB62" s="331" t="s">
        <v>190</v>
      </c>
      <c r="GC62" s="331" t="s">
        <v>428</v>
      </c>
      <c r="GD62" s="331" t="s">
        <v>190</v>
      </c>
      <c r="GE62" s="331" t="s">
        <v>190</v>
      </c>
      <c r="GF62" s="331" t="s">
        <v>190</v>
      </c>
      <c r="GG62" s="331" t="s">
        <v>428</v>
      </c>
      <c r="GH62" s="331" t="s">
        <v>190</v>
      </c>
      <c r="GI62" s="331" t="s">
        <v>190</v>
      </c>
      <c r="GJ62" s="331" t="s">
        <v>190</v>
      </c>
      <c r="GK62" s="331" t="s">
        <v>190</v>
      </c>
      <c r="GL62" s="331" t="s">
        <v>190</v>
      </c>
      <c r="GM62" s="331" t="s">
        <v>190</v>
      </c>
      <c r="GN62" s="331" t="s">
        <v>190</v>
      </c>
      <c r="GO62" s="331" t="s">
        <v>190</v>
      </c>
      <c r="GP62" s="331" t="s">
        <v>190</v>
      </c>
      <c r="GQ62" s="331" t="s">
        <v>190</v>
      </c>
      <c r="GR62" s="331" t="s">
        <v>190</v>
      </c>
      <c r="GS62" s="331" t="s">
        <v>428</v>
      </c>
      <c r="GT62" s="331" t="s">
        <v>428</v>
      </c>
      <c r="GU62" s="331" t="s">
        <v>428</v>
      </c>
      <c r="GV62" s="331" t="s">
        <v>428</v>
      </c>
      <c r="GW62" s="331" t="s">
        <v>190</v>
      </c>
      <c r="GX62" s="331" t="s">
        <v>190</v>
      </c>
      <c r="GY62" s="331" t="s">
        <v>190</v>
      </c>
      <c r="GZ62" s="331" t="s">
        <v>190</v>
      </c>
      <c r="HA62" s="331" t="s">
        <v>190</v>
      </c>
      <c r="HB62" s="331" t="s">
        <v>190</v>
      </c>
      <c r="HC62" s="331" t="s">
        <v>190</v>
      </c>
      <c r="HD62" s="331" t="s">
        <v>190</v>
      </c>
      <c r="HE62" s="331" t="s">
        <v>190</v>
      </c>
      <c r="HF62" s="331" t="s">
        <v>190</v>
      </c>
      <c r="HG62" s="331" t="s">
        <v>190</v>
      </c>
      <c r="HH62" s="331" t="s">
        <v>190</v>
      </c>
      <c r="HI62" s="331" t="s">
        <v>190</v>
      </c>
      <c r="HJ62" s="331" t="s">
        <v>190</v>
      </c>
      <c r="HK62" s="331" t="s">
        <v>190</v>
      </c>
      <c r="HL62" s="331" t="s">
        <v>190</v>
      </c>
      <c r="HM62" s="331" t="s">
        <v>190</v>
      </c>
      <c r="HN62" s="331" t="s">
        <v>190</v>
      </c>
      <c r="HO62" s="331" t="s">
        <v>190</v>
      </c>
      <c r="HP62" s="331" t="s">
        <v>190</v>
      </c>
      <c r="HQ62" s="331" t="s">
        <v>170</v>
      </c>
      <c r="HR62" s="331" t="s">
        <v>429</v>
      </c>
      <c r="HS62" s="331" t="s">
        <v>169</v>
      </c>
      <c r="HT62" s="331" t="s">
        <v>427</v>
      </c>
      <c r="HU62" s="331" t="s">
        <v>428</v>
      </c>
      <c r="HV62" s="331" t="s">
        <v>428</v>
      </c>
    </row>
    <row r="63" spans="1:230" s="70" customFormat="1" x14ac:dyDescent="0.25">
      <c r="A63" s="330" t="str">
        <f>HYPERLINK("http://www.ofsted.gov.uk/inspection-reports/find-inspection-report/provider/ELS/147474 ","Ofsted School Webpage")</f>
        <v>Ofsted School Webpage</v>
      </c>
      <c r="B63" s="331">
        <v>147474</v>
      </c>
      <c r="C63" s="331">
        <v>3066021</v>
      </c>
      <c r="D63" s="331" t="s">
        <v>800</v>
      </c>
      <c r="E63" s="331" t="s">
        <v>167</v>
      </c>
      <c r="F63" s="331" t="s">
        <v>441</v>
      </c>
      <c r="G63" s="331" t="s">
        <v>441</v>
      </c>
      <c r="H63" s="331" t="s">
        <v>734</v>
      </c>
      <c r="I63" s="331" t="s">
        <v>2726</v>
      </c>
      <c r="J63" s="331" t="s">
        <v>434</v>
      </c>
      <c r="K63" s="331" t="s">
        <v>71</v>
      </c>
      <c r="L63" s="331" t="s">
        <v>71</v>
      </c>
      <c r="M63" s="331" t="s">
        <v>72</v>
      </c>
      <c r="N63" s="331" t="s">
        <v>424</v>
      </c>
      <c r="O63" s="331">
        <v>10120877</v>
      </c>
      <c r="P63" s="332">
        <v>43745</v>
      </c>
      <c r="Q63" s="332">
        <v>43745</v>
      </c>
      <c r="R63" s="332">
        <v>43781</v>
      </c>
      <c r="S63" s="331" t="s">
        <v>2583</v>
      </c>
      <c r="T63" s="331" t="s">
        <v>982</v>
      </c>
      <c r="U63" s="331" t="s">
        <v>427</v>
      </c>
      <c r="V63" s="331" t="s">
        <v>2585</v>
      </c>
      <c r="W63" s="331" t="s">
        <v>190</v>
      </c>
      <c r="X63" s="331" t="s">
        <v>190</v>
      </c>
      <c r="Y63" s="331" t="s">
        <v>190</v>
      </c>
      <c r="Z63" s="331" t="s">
        <v>190</v>
      </c>
      <c r="AA63" s="331" t="s">
        <v>190</v>
      </c>
      <c r="AB63" s="331" t="s">
        <v>190</v>
      </c>
      <c r="AC63" s="331" t="s">
        <v>190</v>
      </c>
      <c r="AD63" s="331" t="s">
        <v>190</v>
      </c>
      <c r="AE63" s="331" t="s">
        <v>428</v>
      </c>
      <c r="AF63" s="331" t="s">
        <v>190</v>
      </c>
      <c r="AG63" s="331" t="s">
        <v>190</v>
      </c>
      <c r="AH63" s="331" t="s">
        <v>190</v>
      </c>
      <c r="AI63" s="331" t="s">
        <v>428</v>
      </c>
      <c r="AJ63" s="331" t="s">
        <v>428</v>
      </c>
      <c r="AK63" s="331" t="s">
        <v>428</v>
      </c>
      <c r="AL63" s="331" t="s">
        <v>428</v>
      </c>
      <c r="AM63" s="331" t="s">
        <v>190</v>
      </c>
      <c r="AN63" s="331" t="s">
        <v>428</v>
      </c>
      <c r="AO63" s="331" t="s">
        <v>190</v>
      </c>
      <c r="AP63" s="331" t="s">
        <v>190</v>
      </c>
      <c r="AQ63" s="331" t="s">
        <v>190</v>
      </c>
      <c r="AR63" s="331" t="s">
        <v>190</v>
      </c>
      <c r="AS63" s="331" t="s">
        <v>190</v>
      </c>
      <c r="AT63" s="331" t="s">
        <v>190</v>
      </c>
      <c r="AU63" s="331" t="s">
        <v>190</v>
      </c>
      <c r="AV63" s="331" t="s">
        <v>190</v>
      </c>
      <c r="AW63" s="331" t="s">
        <v>190</v>
      </c>
      <c r="AX63" s="331" t="s">
        <v>190</v>
      </c>
      <c r="AY63" s="331" t="s">
        <v>190</v>
      </c>
      <c r="AZ63" s="331" t="s">
        <v>190</v>
      </c>
      <c r="BA63" s="331" t="s">
        <v>190</v>
      </c>
      <c r="BB63" s="331" t="s">
        <v>190</v>
      </c>
      <c r="BC63" s="331" t="s">
        <v>191</v>
      </c>
      <c r="BD63" s="331" t="s">
        <v>190</v>
      </c>
      <c r="BE63" s="331" t="s">
        <v>190</v>
      </c>
      <c r="BF63" s="331" t="s">
        <v>190</v>
      </c>
      <c r="BG63" s="331" t="s">
        <v>190</v>
      </c>
      <c r="BH63" s="331" t="s">
        <v>190</v>
      </c>
      <c r="BI63" s="331" t="s">
        <v>190</v>
      </c>
      <c r="BJ63" s="331" t="s">
        <v>190</v>
      </c>
      <c r="BK63" s="331" t="s">
        <v>190</v>
      </c>
      <c r="BL63" s="331" t="s">
        <v>190</v>
      </c>
      <c r="BM63" s="331" t="s">
        <v>191</v>
      </c>
      <c r="BN63" s="331" t="s">
        <v>191</v>
      </c>
      <c r="BO63" s="331" t="s">
        <v>191</v>
      </c>
      <c r="BP63" s="331" t="s">
        <v>191</v>
      </c>
      <c r="BQ63" s="331" t="s">
        <v>191</v>
      </c>
      <c r="BR63" s="331" t="s">
        <v>190</v>
      </c>
      <c r="BS63" s="331" t="s">
        <v>190</v>
      </c>
      <c r="BT63" s="331" t="s">
        <v>190</v>
      </c>
      <c r="BU63" s="331" t="s">
        <v>428</v>
      </c>
      <c r="BV63" s="331" t="s">
        <v>428</v>
      </c>
      <c r="BW63" s="331" t="s">
        <v>428</v>
      </c>
      <c r="BX63" s="331" t="s">
        <v>190</v>
      </c>
      <c r="BY63" s="331" t="s">
        <v>190</v>
      </c>
      <c r="BZ63" s="331" t="s">
        <v>190</v>
      </c>
      <c r="CA63" s="331" t="s">
        <v>190</v>
      </c>
      <c r="CB63" s="331" t="s">
        <v>190</v>
      </c>
      <c r="CC63" s="331" t="s">
        <v>190</v>
      </c>
      <c r="CD63" s="331" t="s">
        <v>190</v>
      </c>
      <c r="CE63" s="331" t="s">
        <v>190</v>
      </c>
      <c r="CF63" s="331" t="s">
        <v>190</v>
      </c>
      <c r="CG63" s="331" t="s">
        <v>190</v>
      </c>
      <c r="CH63" s="331" t="s">
        <v>190</v>
      </c>
      <c r="CI63" s="331" t="s">
        <v>190</v>
      </c>
      <c r="CJ63" s="331" t="s">
        <v>190</v>
      </c>
      <c r="CK63" s="331" t="s">
        <v>191</v>
      </c>
      <c r="CL63" s="331" t="s">
        <v>191</v>
      </c>
      <c r="CM63" s="331" t="s">
        <v>191</v>
      </c>
      <c r="CN63" s="331" t="s">
        <v>191</v>
      </c>
      <c r="CO63" s="331" t="s">
        <v>191</v>
      </c>
      <c r="CP63" s="331" t="s">
        <v>191</v>
      </c>
      <c r="CQ63" s="331" t="s">
        <v>191</v>
      </c>
      <c r="CR63" s="331" t="s">
        <v>191</v>
      </c>
      <c r="CS63" s="331" t="s">
        <v>191</v>
      </c>
      <c r="CT63" s="331" t="s">
        <v>191</v>
      </c>
      <c r="CU63" s="331" t="s">
        <v>191</v>
      </c>
      <c r="CV63" s="331" t="s">
        <v>191</v>
      </c>
      <c r="CW63" s="331" t="s">
        <v>191</v>
      </c>
      <c r="CX63" s="331" t="s">
        <v>191</v>
      </c>
      <c r="CY63" s="331" t="s">
        <v>191</v>
      </c>
      <c r="CZ63" s="331" t="s">
        <v>191</v>
      </c>
      <c r="DA63" s="331" t="s">
        <v>191</v>
      </c>
      <c r="DB63" s="331" t="s">
        <v>191</v>
      </c>
      <c r="DC63" s="331" t="s">
        <v>191</v>
      </c>
      <c r="DD63" s="331" t="s">
        <v>191</v>
      </c>
      <c r="DE63" s="331" t="s">
        <v>191</v>
      </c>
      <c r="DF63" s="331" t="s">
        <v>191</v>
      </c>
      <c r="DG63" s="331" t="s">
        <v>191</v>
      </c>
      <c r="DH63" s="331" t="s">
        <v>191</v>
      </c>
      <c r="DI63" s="331" t="s">
        <v>191</v>
      </c>
      <c r="DJ63" s="331" t="s">
        <v>191</v>
      </c>
      <c r="DK63" s="331" t="s">
        <v>191</v>
      </c>
      <c r="DL63" s="331" t="s">
        <v>191</v>
      </c>
      <c r="DM63" s="331" t="s">
        <v>191</v>
      </c>
      <c r="DN63" s="331" t="s">
        <v>191</v>
      </c>
      <c r="DO63" s="331" t="s">
        <v>191</v>
      </c>
      <c r="DP63" s="331" t="s">
        <v>191</v>
      </c>
      <c r="DQ63" s="331" t="s">
        <v>191</v>
      </c>
      <c r="DR63" s="331" t="s">
        <v>191</v>
      </c>
      <c r="DS63" s="331" t="s">
        <v>191</v>
      </c>
      <c r="DT63" s="331" t="s">
        <v>191</v>
      </c>
      <c r="DU63" s="331" t="s">
        <v>191</v>
      </c>
      <c r="DV63" s="331" t="s">
        <v>191</v>
      </c>
      <c r="DW63" s="331" t="s">
        <v>191</v>
      </c>
      <c r="DX63" s="331" t="s">
        <v>191</v>
      </c>
      <c r="DY63" s="331" t="s">
        <v>191</v>
      </c>
      <c r="DZ63" s="331" t="s">
        <v>191</v>
      </c>
      <c r="EA63" s="331" t="s">
        <v>191</v>
      </c>
      <c r="EB63" s="331" t="s">
        <v>191</v>
      </c>
      <c r="EC63" s="331" t="s">
        <v>191</v>
      </c>
      <c r="ED63" s="331" t="s">
        <v>191</v>
      </c>
      <c r="EE63" s="331" t="s">
        <v>191</v>
      </c>
      <c r="EF63" s="331" t="s">
        <v>191</v>
      </c>
      <c r="EG63" s="331" t="s">
        <v>191</v>
      </c>
      <c r="EH63" s="331" t="s">
        <v>191</v>
      </c>
      <c r="EI63" s="331" t="s">
        <v>191</v>
      </c>
      <c r="EJ63" s="331" t="s">
        <v>191</v>
      </c>
      <c r="EK63" s="331" t="s">
        <v>191</v>
      </c>
      <c r="EL63" s="331" t="s">
        <v>191</v>
      </c>
      <c r="EM63" s="331" t="s">
        <v>191</v>
      </c>
      <c r="EN63" s="331" t="s">
        <v>191</v>
      </c>
      <c r="EO63" s="331" t="s">
        <v>191</v>
      </c>
      <c r="EP63" s="331" t="s">
        <v>191</v>
      </c>
      <c r="EQ63" s="331" t="s">
        <v>191</v>
      </c>
      <c r="ER63" s="331" t="s">
        <v>191</v>
      </c>
      <c r="ES63" s="331" t="s">
        <v>191</v>
      </c>
      <c r="ET63" s="331" t="s">
        <v>191</v>
      </c>
      <c r="EU63" s="331" t="s">
        <v>191</v>
      </c>
      <c r="EV63" s="331" t="s">
        <v>191</v>
      </c>
      <c r="EW63" s="331" t="s">
        <v>191</v>
      </c>
      <c r="EX63" s="331" t="s">
        <v>191</v>
      </c>
      <c r="EY63" s="331" t="s">
        <v>191</v>
      </c>
      <c r="EZ63" s="331" t="s">
        <v>191</v>
      </c>
      <c r="FA63" s="331" t="s">
        <v>191</v>
      </c>
      <c r="FB63" s="331" t="s">
        <v>191</v>
      </c>
      <c r="FC63" s="331" t="s">
        <v>191</v>
      </c>
      <c r="FD63" s="331" t="s">
        <v>191</v>
      </c>
      <c r="FE63" s="331" t="s">
        <v>191</v>
      </c>
      <c r="FF63" s="331" t="s">
        <v>191</v>
      </c>
      <c r="FG63" s="331" t="s">
        <v>191</v>
      </c>
      <c r="FH63" s="331" t="s">
        <v>191</v>
      </c>
      <c r="FI63" s="331" t="s">
        <v>191</v>
      </c>
      <c r="FJ63" s="331" t="s">
        <v>191</v>
      </c>
      <c r="FK63" s="331" t="s">
        <v>191</v>
      </c>
      <c r="FL63" s="331" t="s">
        <v>191</v>
      </c>
      <c r="FM63" s="331" t="s">
        <v>191</v>
      </c>
      <c r="FN63" s="331" t="s">
        <v>191</v>
      </c>
      <c r="FO63" s="331" t="s">
        <v>191</v>
      </c>
      <c r="FP63" s="331" t="s">
        <v>191</v>
      </c>
      <c r="FQ63" s="331" t="s">
        <v>191</v>
      </c>
      <c r="FR63" s="331" t="s">
        <v>191</v>
      </c>
      <c r="FS63" s="331" t="s">
        <v>190</v>
      </c>
      <c r="FT63" s="331" t="s">
        <v>190</v>
      </c>
      <c r="FU63" s="331" t="s">
        <v>190</v>
      </c>
      <c r="FV63" s="331" t="s">
        <v>190</v>
      </c>
      <c r="FW63" s="331" t="s">
        <v>428</v>
      </c>
      <c r="FX63" s="331" t="s">
        <v>428</v>
      </c>
      <c r="FY63" s="331" t="s">
        <v>190</v>
      </c>
      <c r="FZ63" s="331" t="s">
        <v>190</v>
      </c>
      <c r="GA63" s="331" t="s">
        <v>428</v>
      </c>
      <c r="GB63" s="331" t="s">
        <v>428</v>
      </c>
      <c r="GC63" s="331" t="s">
        <v>428</v>
      </c>
      <c r="GD63" s="331" t="s">
        <v>190</v>
      </c>
      <c r="GE63" s="331" t="s">
        <v>190</v>
      </c>
      <c r="GF63" s="331" t="s">
        <v>190</v>
      </c>
      <c r="GG63" s="331" t="s">
        <v>190</v>
      </c>
      <c r="GH63" s="331" t="s">
        <v>428</v>
      </c>
      <c r="GI63" s="331" t="s">
        <v>428</v>
      </c>
      <c r="GJ63" s="331" t="s">
        <v>190</v>
      </c>
      <c r="GK63" s="331" t="s">
        <v>190</v>
      </c>
      <c r="GL63" s="331" t="s">
        <v>190</v>
      </c>
      <c r="GM63" s="331" t="s">
        <v>428</v>
      </c>
      <c r="GN63" s="331" t="s">
        <v>190</v>
      </c>
      <c r="GO63" s="331" t="s">
        <v>190</v>
      </c>
      <c r="GP63" s="331" t="s">
        <v>190</v>
      </c>
      <c r="GQ63" s="331" t="s">
        <v>190</v>
      </c>
      <c r="GR63" s="331" t="s">
        <v>428</v>
      </c>
      <c r="GS63" s="331" t="s">
        <v>190</v>
      </c>
      <c r="GT63" s="331" t="s">
        <v>190</v>
      </c>
      <c r="GU63" s="331" t="s">
        <v>190</v>
      </c>
      <c r="GV63" s="331" t="s">
        <v>190</v>
      </c>
      <c r="GW63" s="331" t="s">
        <v>190</v>
      </c>
      <c r="GX63" s="331" t="s">
        <v>190</v>
      </c>
      <c r="GY63" s="331" t="s">
        <v>190</v>
      </c>
      <c r="GZ63" s="331" t="s">
        <v>190</v>
      </c>
      <c r="HA63" s="331" t="s">
        <v>190</v>
      </c>
      <c r="HB63" s="331" t="s">
        <v>190</v>
      </c>
      <c r="HC63" s="331" t="s">
        <v>190</v>
      </c>
      <c r="HD63" s="331" t="s">
        <v>190</v>
      </c>
      <c r="HE63" s="331" t="s">
        <v>190</v>
      </c>
      <c r="HF63" s="331" t="s">
        <v>190</v>
      </c>
      <c r="HG63" s="331" t="s">
        <v>190</v>
      </c>
      <c r="HH63" s="331" t="s">
        <v>190</v>
      </c>
      <c r="HI63" s="331" t="s">
        <v>190</v>
      </c>
      <c r="HJ63" s="331" t="s">
        <v>190</v>
      </c>
      <c r="HK63" s="331" t="s">
        <v>190</v>
      </c>
      <c r="HL63" s="331" t="s">
        <v>190</v>
      </c>
      <c r="HM63" s="331" t="s">
        <v>191</v>
      </c>
      <c r="HN63" s="331" t="s">
        <v>190</v>
      </c>
      <c r="HO63" s="331" t="s">
        <v>191</v>
      </c>
      <c r="HP63" s="331" t="s">
        <v>190</v>
      </c>
      <c r="HQ63" s="331" t="s">
        <v>170</v>
      </c>
      <c r="HR63" s="331" t="s">
        <v>429</v>
      </c>
      <c r="HS63" s="331" t="s">
        <v>170</v>
      </c>
      <c r="HT63" s="331" t="s">
        <v>447</v>
      </c>
      <c r="HU63" s="331" t="s">
        <v>190</v>
      </c>
      <c r="HV63" s="331" t="s">
        <v>190</v>
      </c>
    </row>
    <row r="64" spans="1:230" s="70" customFormat="1" x14ac:dyDescent="0.25">
      <c r="A64" s="330" t="str">
        <f>HYPERLINK("http://www.ofsted.gov.uk/inspection-reports/find-inspection-report/provider/ELS/139419 ","Ofsted School Webpage")</f>
        <v>Ofsted School Webpage</v>
      </c>
      <c r="B64" s="331">
        <v>139419</v>
      </c>
      <c r="C64" s="331">
        <v>9376024</v>
      </c>
      <c r="D64" s="331" t="s">
        <v>2210</v>
      </c>
      <c r="E64" s="331" t="s">
        <v>168</v>
      </c>
      <c r="F64" s="331" t="s">
        <v>437</v>
      </c>
      <c r="G64" s="331" t="s">
        <v>437</v>
      </c>
      <c r="H64" s="331" t="s">
        <v>438</v>
      </c>
      <c r="I64" s="331" t="s">
        <v>2211</v>
      </c>
      <c r="J64" s="331" t="s">
        <v>81</v>
      </c>
      <c r="K64" s="331" t="s">
        <v>81</v>
      </c>
      <c r="L64" s="331" t="s">
        <v>81</v>
      </c>
      <c r="M64" s="331" t="s">
        <v>78</v>
      </c>
      <c r="N64" s="331" t="s">
        <v>424</v>
      </c>
      <c r="O64" s="331">
        <v>10113241</v>
      </c>
      <c r="P64" s="332">
        <v>43746</v>
      </c>
      <c r="Q64" s="332">
        <v>43746</v>
      </c>
      <c r="R64" s="332">
        <v>43782</v>
      </c>
      <c r="S64" s="331" t="s">
        <v>985</v>
      </c>
      <c r="T64" s="331" t="s">
        <v>982</v>
      </c>
      <c r="U64" s="331" t="s">
        <v>427</v>
      </c>
      <c r="V64" s="331" t="s">
        <v>166</v>
      </c>
      <c r="W64" s="331" t="s">
        <v>191</v>
      </c>
      <c r="X64" s="331" t="s">
        <v>191</v>
      </c>
      <c r="Y64" s="331" t="s">
        <v>191</v>
      </c>
      <c r="Z64" s="331" t="s">
        <v>191</v>
      </c>
      <c r="AA64" s="331" t="s">
        <v>984</v>
      </c>
      <c r="AB64" s="331" t="s">
        <v>984</v>
      </c>
      <c r="AC64" s="331" t="s">
        <v>984</v>
      </c>
      <c r="AD64" s="331" t="s">
        <v>984</v>
      </c>
      <c r="AE64" s="331" t="s">
        <v>984</v>
      </c>
      <c r="AF64" s="331" t="s">
        <v>984</v>
      </c>
      <c r="AG64" s="331" t="s">
        <v>984</v>
      </c>
      <c r="AH64" s="331" t="s">
        <v>984</v>
      </c>
      <c r="AI64" s="331" t="s">
        <v>984</v>
      </c>
      <c r="AJ64" s="331" t="s">
        <v>984</v>
      </c>
      <c r="AK64" s="331" t="s">
        <v>984</v>
      </c>
      <c r="AL64" s="331" t="s">
        <v>984</v>
      </c>
      <c r="AM64" s="331" t="s">
        <v>428</v>
      </c>
      <c r="AN64" s="331" t="s">
        <v>984</v>
      </c>
      <c r="AO64" s="331" t="s">
        <v>984</v>
      </c>
      <c r="AP64" s="331" t="s">
        <v>984</v>
      </c>
      <c r="AQ64" s="331" t="s">
        <v>191</v>
      </c>
      <c r="AR64" s="331" t="s">
        <v>191</v>
      </c>
      <c r="AS64" s="331" t="s">
        <v>984</v>
      </c>
      <c r="AT64" s="331" t="s">
        <v>984</v>
      </c>
      <c r="AU64" s="331" t="s">
        <v>191</v>
      </c>
      <c r="AV64" s="331" t="s">
        <v>984</v>
      </c>
      <c r="AW64" s="331" t="s">
        <v>984</v>
      </c>
      <c r="AX64" s="331" t="s">
        <v>984</v>
      </c>
      <c r="AY64" s="331" t="s">
        <v>984</v>
      </c>
      <c r="AZ64" s="331" t="s">
        <v>984</v>
      </c>
      <c r="BA64" s="331" t="s">
        <v>984</v>
      </c>
      <c r="BB64" s="331" t="s">
        <v>984</v>
      </c>
      <c r="BC64" s="331" t="s">
        <v>984</v>
      </c>
      <c r="BD64" s="331" t="s">
        <v>984</v>
      </c>
      <c r="BE64" s="331" t="s">
        <v>984</v>
      </c>
      <c r="BF64" s="331" t="s">
        <v>984</v>
      </c>
      <c r="BG64" s="331" t="s">
        <v>984</v>
      </c>
      <c r="BH64" s="331" t="s">
        <v>984</v>
      </c>
      <c r="BI64" s="331" t="s">
        <v>984</v>
      </c>
      <c r="BJ64" s="331" t="s">
        <v>984</v>
      </c>
      <c r="BK64" s="331" t="s">
        <v>984</v>
      </c>
      <c r="BL64" s="331" t="s">
        <v>984</v>
      </c>
      <c r="BM64" s="331" t="s">
        <v>984</v>
      </c>
      <c r="BN64" s="331" t="s">
        <v>984</v>
      </c>
      <c r="BO64" s="331" t="s">
        <v>984</v>
      </c>
      <c r="BP64" s="331" t="s">
        <v>984</v>
      </c>
      <c r="BQ64" s="331" t="s">
        <v>984</v>
      </c>
      <c r="BR64" s="331" t="s">
        <v>190</v>
      </c>
      <c r="BS64" s="331" t="s">
        <v>190</v>
      </c>
      <c r="BT64" s="331" t="s">
        <v>190</v>
      </c>
      <c r="BU64" s="331" t="s">
        <v>428</v>
      </c>
      <c r="BV64" s="331" t="s">
        <v>428</v>
      </c>
      <c r="BW64" s="331" t="s">
        <v>428</v>
      </c>
      <c r="BX64" s="331" t="s">
        <v>984</v>
      </c>
      <c r="BY64" s="331" t="s">
        <v>984</v>
      </c>
      <c r="BZ64" s="331" t="s">
        <v>984</v>
      </c>
      <c r="CA64" s="331" t="s">
        <v>984</v>
      </c>
      <c r="CB64" s="331" t="s">
        <v>984</v>
      </c>
      <c r="CC64" s="331" t="s">
        <v>190</v>
      </c>
      <c r="CD64" s="331" t="s">
        <v>190</v>
      </c>
      <c r="CE64" s="331" t="s">
        <v>984</v>
      </c>
      <c r="CF64" s="331" t="s">
        <v>984</v>
      </c>
      <c r="CG64" s="331" t="s">
        <v>984</v>
      </c>
      <c r="CH64" s="331" t="s">
        <v>984</v>
      </c>
      <c r="CI64" s="331" t="s">
        <v>984</v>
      </c>
      <c r="CJ64" s="331" t="s">
        <v>984</v>
      </c>
      <c r="CK64" s="331" t="s">
        <v>984</v>
      </c>
      <c r="CL64" s="331" t="s">
        <v>984</v>
      </c>
      <c r="CM64" s="331" t="s">
        <v>984</v>
      </c>
      <c r="CN64" s="331" t="s">
        <v>984</v>
      </c>
      <c r="CO64" s="331" t="s">
        <v>984</v>
      </c>
      <c r="CP64" s="331" t="s">
        <v>984</v>
      </c>
      <c r="CQ64" s="331" t="s">
        <v>984</v>
      </c>
      <c r="CR64" s="331" t="s">
        <v>984</v>
      </c>
      <c r="CS64" s="331" t="s">
        <v>984</v>
      </c>
      <c r="CT64" s="331" t="s">
        <v>984</v>
      </c>
      <c r="CU64" s="331" t="s">
        <v>428</v>
      </c>
      <c r="CV64" s="331" t="s">
        <v>984</v>
      </c>
      <c r="CW64" s="331" t="s">
        <v>984</v>
      </c>
      <c r="CX64" s="331" t="s">
        <v>984</v>
      </c>
      <c r="CY64" s="331" t="s">
        <v>984</v>
      </c>
      <c r="CZ64" s="331" t="s">
        <v>984</v>
      </c>
      <c r="DA64" s="331" t="s">
        <v>984</v>
      </c>
      <c r="DB64" s="331" t="s">
        <v>984</v>
      </c>
      <c r="DC64" s="331" t="s">
        <v>984</v>
      </c>
      <c r="DD64" s="331" t="s">
        <v>984</v>
      </c>
      <c r="DE64" s="331" t="s">
        <v>984</v>
      </c>
      <c r="DF64" s="331" t="s">
        <v>984</v>
      </c>
      <c r="DG64" s="331" t="s">
        <v>984</v>
      </c>
      <c r="DH64" s="331" t="s">
        <v>984</v>
      </c>
      <c r="DI64" s="331" t="s">
        <v>984</v>
      </c>
      <c r="DJ64" s="331" t="s">
        <v>428</v>
      </c>
      <c r="DK64" s="331" t="s">
        <v>984</v>
      </c>
      <c r="DL64" s="331" t="s">
        <v>984</v>
      </c>
      <c r="DM64" s="331" t="s">
        <v>984</v>
      </c>
      <c r="DN64" s="331" t="s">
        <v>984</v>
      </c>
      <c r="DO64" s="331" t="s">
        <v>984</v>
      </c>
      <c r="DP64" s="331" t="s">
        <v>984</v>
      </c>
      <c r="DQ64" s="331" t="s">
        <v>984</v>
      </c>
      <c r="DR64" s="331" t="s">
        <v>984</v>
      </c>
      <c r="DS64" s="331" t="s">
        <v>984</v>
      </c>
      <c r="DT64" s="331" t="s">
        <v>984</v>
      </c>
      <c r="DU64" s="331" t="s">
        <v>984</v>
      </c>
      <c r="DV64" s="331" t="s">
        <v>984</v>
      </c>
      <c r="DW64" s="331" t="s">
        <v>984</v>
      </c>
      <c r="DX64" s="331" t="s">
        <v>984</v>
      </c>
      <c r="DY64" s="331" t="s">
        <v>984</v>
      </c>
      <c r="DZ64" s="331" t="s">
        <v>984</v>
      </c>
      <c r="EA64" s="331" t="s">
        <v>984</v>
      </c>
      <c r="EB64" s="331" t="s">
        <v>984</v>
      </c>
      <c r="EC64" s="331" t="s">
        <v>984</v>
      </c>
      <c r="ED64" s="331" t="s">
        <v>984</v>
      </c>
      <c r="EE64" s="331" t="s">
        <v>984</v>
      </c>
      <c r="EF64" s="331" t="s">
        <v>984</v>
      </c>
      <c r="EG64" s="331" t="s">
        <v>984</v>
      </c>
      <c r="EH64" s="331" t="s">
        <v>984</v>
      </c>
      <c r="EI64" s="331" t="s">
        <v>984</v>
      </c>
      <c r="EJ64" s="331" t="s">
        <v>984</v>
      </c>
      <c r="EK64" s="331" t="s">
        <v>984</v>
      </c>
      <c r="EL64" s="331" t="s">
        <v>984</v>
      </c>
      <c r="EM64" s="331" t="s">
        <v>984</v>
      </c>
      <c r="EN64" s="331" t="s">
        <v>984</v>
      </c>
      <c r="EO64" s="331" t="s">
        <v>984</v>
      </c>
      <c r="EP64" s="331" t="s">
        <v>984</v>
      </c>
      <c r="EQ64" s="331" t="s">
        <v>984</v>
      </c>
      <c r="ER64" s="331" t="s">
        <v>984</v>
      </c>
      <c r="ES64" s="331" t="s">
        <v>984</v>
      </c>
      <c r="ET64" s="331" t="s">
        <v>984</v>
      </c>
      <c r="EU64" s="331" t="s">
        <v>984</v>
      </c>
      <c r="EV64" s="331" t="s">
        <v>984</v>
      </c>
      <c r="EW64" s="331" t="s">
        <v>984</v>
      </c>
      <c r="EX64" s="331" t="s">
        <v>984</v>
      </c>
      <c r="EY64" s="331" t="s">
        <v>984</v>
      </c>
      <c r="EZ64" s="331" t="s">
        <v>984</v>
      </c>
      <c r="FA64" s="331" t="s">
        <v>984</v>
      </c>
      <c r="FB64" s="331" t="s">
        <v>190</v>
      </c>
      <c r="FC64" s="331" t="s">
        <v>984</v>
      </c>
      <c r="FD64" s="331" t="s">
        <v>984</v>
      </c>
      <c r="FE64" s="331" t="s">
        <v>984</v>
      </c>
      <c r="FF64" s="331" t="s">
        <v>984</v>
      </c>
      <c r="FG64" s="331" t="s">
        <v>190</v>
      </c>
      <c r="FH64" s="331" t="s">
        <v>984</v>
      </c>
      <c r="FI64" s="331" t="s">
        <v>984</v>
      </c>
      <c r="FJ64" s="331" t="s">
        <v>190</v>
      </c>
      <c r="FK64" s="331" t="s">
        <v>190</v>
      </c>
      <c r="FL64" s="331" t="s">
        <v>984</v>
      </c>
      <c r="FM64" s="331" t="s">
        <v>984</v>
      </c>
      <c r="FN64" s="331" t="s">
        <v>984</v>
      </c>
      <c r="FO64" s="331" t="s">
        <v>984</v>
      </c>
      <c r="FP64" s="331" t="s">
        <v>984</v>
      </c>
      <c r="FQ64" s="331" t="s">
        <v>984</v>
      </c>
      <c r="FR64" s="331" t="s">
        <v>428</v>
      </c>
      <c r="FS64" s="331" t="s">
        <v>984</v>
      </c>
      <c r="FT64" s="331" t="s">
        <v>984</v>
      </c>
      <c r="FU64" s="331" t="s">
        <v>984</v>
      </c>
      <c r="FV64" s="331" t="s">
        <v>190</v>
      </c>
      <c r="FW64" s="331" t="s">
        <v>984</v>
      </c>
      <c r="FX64" s="331" t="s">
        <v>984</v>
      </c>
      <c r="FY64" s="331" t="s">
        <v>984</v>
      </c>
      <c r="FZ64" s="331" t="s">
        <v>984</v>
      </c>
      <c r="GA64" s="331" t="s">
        <v>984</v>
      </c>
      <c r="GB64" s="331" t="s">
        <v>984</v>
      </c>
      <c r="GC64" s="331" t="s">
        <v>984</v>
      </c>
      <c r="GD64" s="331" t="s">
        <v>984</v>
      </c>
      <c r="GE64" s="331" t="s">
        <v>984</v>
      </c>
      <c r="GF64" s="331" t="s">
        <v>984</v>
      </c>
      <c r="GG64" s="331" t="s">
        <v>428</v>
      </c>
      <c r="GH64" s="331" t="s">
        <v>984</v>
      </c>
      <c r="GI64" s="331" t="s">
        <v>428</v>
      </c>
      <c r="GJ64" s="331" t="s">
        <v>984</v>
      </c>
      <c r="GK64" s="331" t="s">
        <v>984</v>
      </c>
      <c r="GL64" s="331" t="s">
        <v>984</v>
      </c>
      <c r="GM64" s="331" t="s">
        <v>984</v>
      </c>
      <c r="GN64" s="331" t="s">
        <v>984</v>
      </c>
      <c r="GO64" s="331" t="s">
        <v>984</v>
      </c>
      <c r="GP64" s="331" t="s">
        <v>984</v>
      </c>
      <c r="GQ64" s="331" t="s">
        <v>984</v>
      </c>
      <c r="GR64" s="331" t="s">
        <v>984</v>
      </c>
      <c r="GS64" s="331" t="s">
        <v>984</v>
      </c>
      <c r="GT64" s="331" t="s">
        <v>984</v>
      </c>
      <c r="GU64" s="331" t="s">
        <v>984</v>
      </c>
      <c r="GV64" s="331" t="s">
        <v>984</v>
      </c>
      <c r="GW64" s="331" t="s">
        <v>984</v>
      </c>
      <c r="GX64" s="331" t="s">
        <v>984</v>
      </c>
      <c r="GY64" s="331" t="s">
        <v>984</v>
      </c>
      <c r="GZ64" s="331" t="s">
        <v>984</v>
      </c>
      <c r="HA64" s="331" t="s">
        <v>984</v>
      </c>
      <c r="HB64" s="331" t="s">
        <v>984</v>
      </c>
      <c r="HC64" s="331" t="s">
        <v>984</v>
      </c>
      <c r="HD64" s="331" t="s">
        <v>984</v>
      </c>
      <c r="HE64" s="331" t="s">
        <v>984</v>
      </c>
      <c r="HF64" s="331" t="s">
        <v>984</v>
      </c>
      <c r="HG64" s="331" t="s">
        <v>984</v>
      </c>
      <c r="HH64" s="331" t="s">
        <v>984</v>
      </c>
      <c r="HI64" s="331" t="s">
        <v>984</v>
      </c>
      <c r="HJ64" s="331" t="s">
        <v>984</v>
      </c>
      <c r="HK64" s="331" t="s">
        <v>984</v>
      </c>
      <c r="HL64" s="331" t="s">
        <v>984</v>
      </c>
      <c r="HM64" s="331" t="s">
        <v>191</v>
      </c>
      <c r="HN64" s="331" t="s">
        <v>191</v>
      </c>
      <c r="HO64" s="331" t="s">
        <v>191</v>
      </c>
      <c r="HP64" s="331" t="s">
        <v>190</v>
      </c>
      <c r="HQ64" s="331" t="s">
        <v>170</v>
      </c>
      <c r="HR64" s="331" t="s">
        <v>429</v>
      </c>
      <c r="HS64" s="331" t="s">
        <v>169</v>
      </c>
      <c r="HT64" s="331" t="s">
        <v>427</v>
      </c>
      <c r="HU64" s="331" t="s">
        <v>984</v>
      </c>
      <c r="HV64" s="331" t="s">
        <v>984</v>
      </c>
    </row>
    <row r="65" spans="1:230" s="70" customFormat="1" x14ac:dyDescent="0.25">
      <c r="A65" s="330" t="str">
        <f>HYPERLINK("http://www.ofsted.gov.uk/inspection-reports/find-inspection-report/provider/ELS/134440 ","Ofsted School Webpage")</f>
        <v>Ofsted School Webpage</v>
      </c>
      <c r="B65" s="331">
        <v>134440</v>
      </c>
      <c r="C65" s="331">
        <v>9266150</v>
      </c>
      <c r="D65" s="331" t="s">
        <v>1820</v>
      </c>
      <c r="E65" s="331" t="s">
        <v>167</v>
      </c>
      <c r="F65" s="331" t="s">
        <v>451</v>
      </c>
      <c r="G65" s="331" t="s">
        <v>451</v>
      </c>
      <c r="H65" s="331" t="s">
        <v>463</v>
      </c>
      <c r="I65" s="331" t="s">
        <v>1821</v>
      </c>
      <c r="J65" s="331" t="s">
        <v>81</v>
      </c>
      <c r="K65" s="331" t="s">
        <v>81</v>
      </c>
      <c r="L65" s="331" t="s">
        <v>81</v>
      </c>
      <c r="M65" s="331" t="s">
        <v>78</v>
      </c>
      <c r="N65" s="331" t="s">
        <v>424</v>
      </c>
      <c r="O65" s="331">
        <v>10123916</v>
      </c>
      <c r="P65" s="332">
        <v>43746</v>
      </c>
      <c r="Q65" s="332">
        <v>43746</v>
      </c>
      <c r="R65" s="332">
        <v>43780</v>
      </c>
      <c r="S65" s="331" t="s">
        <v>985</v>
      </c>
      <c r="T65" s="331" t="s">
        <v>982</v>
      </c>
      <c r="U65" s="331" t="s">
        <v>427</v>
      </c>
      <c r="V65" s="331" t="s">
        <v>166</v>
      </c>
      <c r="W65" s="331" t="s">
        <v>984</v>
      </c>
      <c r="X65" s="331" t="s">
        <v>984</v>
      </c>
      <c r="Y65" s="331" t="s">
        <v>984</v>
      </c>
      <c r="Z65" s="331" t="s">
        <v>984</v>
      </c>
      <c r="AA65" s="331" t="s">
        <v>984</v>
      </c>
      <c r="AB65" s="331" t="s">
        <v>984</v>
      </c>
      <c r="AC65" s="331" t="s">
        <v>984</v>
      </c>
      <c r="AD65" s="331" t="s">
        <v>984</v>
      </c>
      <c r="AE65" s="331" t="s">
        <v>984</v>
      </c>
      <c r="AF65" s="331" t="s">
        <v>984</v>
      </c>
      <c r="AG65" s="331" t="s">
        <v>984</v>
      </c>
      <c r="AH65" s="331" t="s">
        <v>984</v>
      </c>
      <c r="AI65" s="331" t="s">
        <v>984</v>
      </c>
      <c r="AJ65" s="331" t="s">
        <v>984</v>
      </c>
      <c r="AK65" s="331" t="s">
        <v>984</v>
      </c>
      <c r="AL65" s="331" t="s">
        <v>984</v>
      </c>
      <c r="AM65" s="331" t="s">
        <v>984</v>
      </c>
      <c r="AN65" s="331" t="s">
        <v>984</v>
      </c>
      <c r="AO65" s="331" t="s">
        <v>984</v>
      </c>
      <c r="AP65" s="331" t="s">
        <v>984</v>
      </c>
      <c r="AQ65" s="331" t="s">
        <v>191</v>
      </c>
      <c r="AR65" s="331" t="s">
        <v>191</v>
      </c>
      <c r="AS65" s="331" t="s">
        <v>191</v>
      </c>
      <c r="AT65" s="331" t="s">
        <v>191</v>
      </c>
      <c r="AU65" s="331" t="s">
        <v>191</v>
      </c>
      <c r="AV65" s="331" t="s">
        <v>190</v>
      </c>
      <c r="AW65" s="331" t="s">
        <v>190</v>
      </c>
      <c r="AX65" s="331" t="s">
        <v>191</v>
      </c>
      <c r="AY65" s="331" t="s">
        <v>191</v>
      </c>
      <c r="AZ65" s="331" t="s">
        <v>190</v>
      </c>
      <c r="BA65" s="331" t="s">
        <v>190</v>
      </c>
      <c r="BB65" s="331" t="s">
        <v>984</v>
      </c>
      <c r="BC65" s="331" t="s">
        <v>984</v>
      </c>
      <c r="BD65" s="331" t="s">
        <v>984</v>
      </c>
      <c r="BE65" s="331" t="s">
        <v>984</v>
      </c>
      <c r="BF65" s="331" t="s">
        <v>984</v>
      </c>
      <c r="BG65" s="331" t="s">
        <v>984</v>
      </c>
      <c r="BH65" s="331" t="s">
        <v>984</v>
      </c>
      <c r="BI65" s="331" t="s">
        <v>984</v>
      </c>
      <c r="BJ65" s="331" t="s">
        <v>984</v>
      </c>
      <c r="BK65" s="331" t="s">
        <v>984</v>
      </c>
      <c r="BL65" s="331" t="s">
        <v>984</v>
      </c>
      <c r="BM65" s="331" t="s">
        <v>984</v>
      </c>
      <c r="BN65" s="331" t="s">
        <v>984</v>
      </c>
      <c r="BO65" s="331" t="s">
        <v>984</v>
      </c>
      <c r="BP65" s="331" t="s">
        <v>984</v>
      </c>
      <c r="BQ65" s="331" t="s">
        <v>984</v>
      </c>
      <c r="BR65" s="331" t="s">
        <v>190</v>
      </c>
      <c r="BS65" s="331" t="s">
        <v>190</v>
      </c>
      <c r="BT65" s="331" t="s">
        <v>190</v>
      </c>
      <c r="BU65" s="331" t="s">
        <v>190</v>
      </c>
      <c r="BV65" s="331" t="s">
        <v>428</v>
      </c>
      <c r="BW65" s="331" t="s">
        <v>428</v>
      </c>
      <c r="BX65" s="331" t="s">
        <v>191</v>
      </c>
      <c r="BY65" s="331" t="s">
        <v>190</v>
      </c>
      <c r="BZ65" s="331" t="s">
        <v>191</v>
      </c>
      <c r="CA65" s="331" t="s">
        <v>190</v>
      </c>
      <c r="CB65" s="331" t="s">
        <v>984</v>
      </c>
      <c r="CC65" s="331" t="s">
        <v>984</v>
      </c>
      <c r="CD65" s="331" t="s">
        <v>984</v>
      </c>
      <c r="CE65" s="331" t="s">
        <v>984</v>
      </c>
      <c r="CF65" s="331" t="s">
        <v>984</v>
      </c>
      <c r="CG65" s="331" t="s">
        <v>984</v>
      </c>
      <c r="CH65" s="331" t="s">
        <v>984</v>
      </c>
      <c r="CI65" s="331" t="s">
        <v>984</v>
      </c>
      <c r="CJ65" s="331" t="s">
        <v>984</v>
      </c>
      <c r="CK65" s="331" t="s">
        <v>984</v>
      </c>
      <c r="CL65" s="331" t="s">
        <v>984</v>
      </c>
      <c r="CM65" s="331" t="s">
        <v>984</v>
      </c>
      <c r="CN65" s="331" t="s">
        <v>984</v>
      </c>
      <c r="CO65" s="331" t="s">
        <v>984</v>
      </c>
      <c r="CP65" s="331" t="s">
        <v>984</v>
      </c>
      <c r="CQ65" s="331" t="s">
        <v>984</v>
      </c>
      <c r="CR65" s="331" t="s">
        <v>984</v>
      </c>
      <c r="CS65" s="331" t="s">
        <v>984</v>
      </c>
      <c r="CT65" s="331" t="s">
        <v>984</v>
      </c>
      <c r="CU65" s="331" t="s">
        <v>428</v>
      </c>
      <c r="CV65" s="331" t="s">
        <v>984</v>
      </c>
      <c r="CW65" s="331" t="s">
        <v>984</v>
      </c>
      <c r="CX65" s="331" t="s">
        <v>984</v>
      </c>
      <c r="CY65" s="331" t="s">
        <v>984</v>
      </c>
      <c r="CZ65" s="331" t="s">
        <v>984</v>
      </c>
      <c r="DA65" s="331" t="s">
        <v>984</v>
      </c>
      <c r="DB65" s="331" t="s">
        <v>984</v>
      </c>
      <c r="DC65" s="331" t="s">
        <v>984</v>
      </c>
      <c r="DD65" s="331" t="s">
        <v>984</v>
      </c>
      <c r="DE65" s="331" t="s">
        <v>984</v>
      </c>
      <c r="DF65" s="331" t="s">
        <v>984</v>
      </c>
      <c r="DG65" s="331" t="s">
        <v>984</v>
      </c>
      <c r="DH65" s="331" t="s">
        <v>984</v>
      </c>
      <c r="DI65" s="331" t="s">
        <v>984</v>
      </c>
      <c r="DJ65" s="331" t="s">
        <v>428</v>
      </c>
      <c r="DK65" s="331" t="s">
        <v>984</v>
      </c>
      <c r="DL65" s="331" t="s">
        <v>984</v>
      </c>
      <c r="DM65" s="331" t="s">
        <v>984</v>
      </c>
      <c r="DN65" s="331" t="s">
        <v>984</v>
      </c>
      <c r="DO65" s="331" t="s">
        <v>984</v>
      </c>
      <c r="DP65" s="331" t="s">
        <v>984</v>
      </c>
      <c r="DQ65" s="331" t="s">
        <v>984</v>
      </c>
      <c r="DR65" s="331" t="s">
        <v>984</v>
      </c>
      <c r="DS65" s="331" t="s">
        <v>984</v>
      </c>
      <c r="DT65" s="331" t="s">
        <v>984</v>
      </c>
      <c r="DU65" s="331" t="s">
        <v>984</v>
      </c>
      <c r="DV65" s="331" t="s">
        <v>984</v>
      </c>
      <c r="DW65" s="331" t="s">
        <v>984</v>
      </c>
      <c r="DX65" s="331" t="s">
        <v>984</v>
      </c>
      <c r="DY65" s="331" t="s">
        <v>984</v>
      </c>
      <c r="DZ65" s="331" t="s">
        <v>984</v>
      </c>
      <c r="EA65" s="331" t="s">
        <v>984</v>
      </c>
      <c r="EB65" s="331" t="s">
        <v>984</v>
      </c>
      <c r="EC65" s="331" t="s">
        <v>984</v>
      </c>
      <c r="ED65" s="331" t="s">
        <v>984</v>
      </c>
      <c r="EE65" s="331" t="s">
        <v>984</v>
      </c>
      <c r="EF65" s="331" t="s">
        <v>984</v>
      </c>
      <c r="EG65" s="331" t="s">
        <v>984</v>
      </c>
      <c r="EH65" s="331" t="s">
        <v>984</v>
      </c>
      <c r="EI65" s="331" t="s">
        <v>984</v>
      </c>
      <c r="EJ65" s="331" t="s">
        <v>984</v>
      </c>
      <c r="EK65" s="331" t="s">
        <v>984</v>
      </c>
      <c r="EL65" s="331" t="s">
        <v>984</v>
      </c>
      <c r="EM65" s="331" t="s">
        <v>984</v>
      </c>
      <c r="EN65" s="331" t="s">
        <v>984</v>
      </c>
      <c r="EO65" s="331" t="s">
        <v>984</v>
      </c>
      <c r="EP65" s="331" t="s">
        <v>984</v>
      </c>
      <c r="EQ65" s="331" t="s">
        <v>984</v>
      </c>
      <c r="ER65" s="331" t="s">
        <v>984</v>
      </c>
      <c r="ES65" s="331" t="s">
        <v>984</v>
      </c>
      <c r="ET65" s="331" t="s">
        <v>984</v>
      </c>
      <c r="EU65" s="331" t="s">
        <v>984</v>
      </c>
      <c r="EV65" s="331" t="s">
        <v>984</v>
      </c>
      <c r="EW65" s="331" t="s">
        <v>984</v>
      </c>
      <c r="EX65" s="331" t="s">
        <v>984</v>
      </c>
      <c r="EY65" s="331" t="s">
        <v>984</v>
      </c>
      <c r="EZ65" s="331" t="s">
        <v>984</v>
      </c>
      <c r="FA65" s="331" t="s">
        <v>984</v>
      </c>
      <c r="FB65" s="331" t="s">
        <v>984</v>
      </c>
      <c r="FC65" s="331" t="s">
        <v>984</v>
      </c>
      <c r="FD65" s="331" t="s">
        <v>984</v>
      </c>
      <c r="FE65" s="331" t="s">
        <v>984</v>
      </c>
      <c r="FF65" s="331" t="s">
        <v>984</v>
      </c>
      <c r="FG65" s="331" t="s">
        <v>984</v>
      </c>
      <c r="FH65" s="331" t="s">
        <v>984</v>
      </c>
      <c r="FI65" s="331" t="s">
        <v>984</v>
      </c>
      <c r="FJ65" s="331" t="s">
        <v>984</v>
      </c>
      <c r="FK65" s="331" t="s">
        <v>984</v>
      </c>
      <c r="FL65" s="331" t="s">
        <v>984</v>
      </c>
      <c r="FM65" s="331" t="s">
        <v>984</v>
      </c>
      <c r="FN65" s="331" t="s">
        <v>984</v>
      </c>
      <c r="FO65" s="331" t="s">
        <v>984</v>
      </c>
      <c r="FP65" s="331" t="s">
        <v>984</v>
      </c>
      <c r="FQ65" s="331" t="s">
        <v>984</v>
      </c>
      <c r="FR65" s="331" t="s">
        <v>428</v>
      </c>
      <c r="FS65" s="331" t="s">
        <v>984</v>
      </c>
      <c r="FT65" s="331" t="s">
        <v>984</v>
      </c>
      <c r="FU65" s="331" t="s">
        <v>984</v>
      </c>
      <c r="FV65" s="331" t="s">
        <v>984</v>
      </c>
      <c r="FW65" s="331" t="s">
        <v>984</v>
      </c>
      <c r="FX65" s="331" t="s">
        <v>984</v>
      </c>
      <c r="FY65" s="331" t="s">
        <v>984</v>
      </c>
      <c r="FZ65" s="331" t="s">
        <v>984</v>
      </c>
      <c r="GA65" s="331" t="s">
        <v>984</v>
      </c>
      <c r="GB65" s="331" t="s">
        <v>984</v>
      </c>
      <c r="GC65" s="331" t="s">
        <v>984</v>
      </c>
      <c r="GD65" s="331" t="s">
        <v>984</v>
      </c>
      <c r="GE65" s="331" t="s">
        <v>984</v>
      </c>
      <c r="GF65" s="331" t="s">
        <v>984</v>
      </c>
      <c r="GG65" s="331" t="s">
        <v>984</v>
      </c>
      <c r="GH65" s="331" t="s">
        <v>984</v>
      </c>
      <c r="GI65" s="331" t="s">
        <v>984</v>
      </c>
      <c r="GJ65" s="331" t="s">
        <v>984</v>
      </c>
      <c r="GK65" s="331" t="s">
        <v>984</v>
      </c>
      <c r="GL65" s="331" t="s">
        <v>984</v>
      </c>
      <c r="GM65" s="331" t="s">
        <v>984</v>
      </c>
      <c r="GN65" s="331" t="s">
        <v>984</v>
      </c>
      <c r="GO65" s="331" t="s">
        <v>984</v>
      </c>
      <c r="GP65" s="331" t="s">
        <v>984</v>
      </c>
      <c r="GQ65" s="331" t="s">
        <v>984</v>
      </c>
      <c r="GR65" s="331" t="s">
        <v>984</v>
      </c>
      <c r="GS65" s="331" t="s">
        <v>984</v>
      </c>
      <c r="GT65" s="331" t="s">
        <v>984</v>
      </c>
      <c r="GU65" s="331" t="s">
        <v>984</v>
      </c>
      <c r="GV65" s="331" t="s">
        <v>984</v>
      </c>
      <c r="GW65" s="331" t="s">
        <v>984</v>
      </c>
      <c r="GX65" s="331" t="s">
        <v>984</v>
      </c>
      <c r="GY65" s="331" t="s">
        <v>984</v>
      </c>
      <c r="GZ65" s="331" t="s">
        <v>984</v>
      </c>
      <c r="HA65" s="331" t="s">
        <v>984</v>
      </c>
      <c r="HB65" s="331" t="s">
        <v>984</v>
      </c>
      <c r="HC65" s="331" t="s">
        <v>984</v>
      </c>
      <c r="HD65" s="331" t="s">
        <v>984</v>
      </c>
      <c r="HE65" s="331" t="s">
        <v>984</v>
      </c>
      <c r="HF65" s="331" t="s">
        <v>984</v>
      </c>
      <c r="HG65" s="331" t="s">
        <v>984</v>
      </c>
      <c r="HH65" s="331" t="s">
        <v>984</v>
      </c>
      <c r="HI65" s="331" t="s">
        <v>984</v>
      </c>
      <c r="HJ65" s="331" t="s">
        <v>984</v>
      </c>
      <c r="HK65" s="331" t="s">
        <v>984</v>
      </c>
      <c r="HL65" s="331" t="s">
        <v>984</v>
      </c>
      <c r="HM65" s="331" t="s">
        <v>191</v>
      </c>
      <c r="HN65" s="331" t="s">
        <v>191</v>
      </c>
      <c r="HO65" s="331" t="s">
        <v>191</v>
      </c>
      <c r="HP65" s="331" t="s">
        <v>984</v>
      </c>
      <c r="HQ65" s="331" t="s">
        <v>170</v>
      </c>
      <c r="HR65" s="331" t="s">
        <v>429</v>
      </c>
      <c r="HS65" s="331" t="s">
        <v>169</v>
      </c>
      <c r="HT65" s="331" t="s">
        <v>427</v>
      </c>
      <c r="HU65" s="331" t="s">
        <v>428</v>
      </c>
      <c r="HV65" s="331" t="s">
        <v>428</v>
      </c>
    </row>
    <row r="66" spans="1:230" s="70" customFormat="1" x14ac:dyDescent="0.25">
      <c r="A66" s="330" t="str">
        <f>HYPERLINK("http://www.ofsted.gov.uk/inspection-reports/find-inspection-report/provider/ELS/131033 ","Ofsted School Webpage")</f>
        <v>Ofsted School Webpage</v>
      </c>
      <c r="B66" s="331">
        <v>131033</v>
      </c>
      <c r="C66" s="331">
        <v>8936097</v>
      </c>
      <c r="D66" s="331" t="s">
        <v>861</v>
      </c>
      <c r="E66" s="331" t="s">
        <v>168</v>
      </c>
      <c r="F66" s="331" t="s">
        <v>437</v>
      </c>
      <c r="G66" s="331" t="s">
        <v>437</v>
      </c>
      <c r="H66" s="331" t="s">
        <v>587</v>
      </c>
      <c r="I66" s="331" t="s">
        <v>539</v>
      </c>
      <c r="J66" s="331" t="s">
        <v>81</v>
      </c>
      <c r="K66" s="331" t="s">
        <v>81</v>
      </c>
      <c r="L66" s="331" t="s">
        <v>81</v>
      </c>
      <c r="M66" s="331" t="s">
        <v>78</v>
      </c>
      <c r="N66" s="331" t="s">
        <v>424</v>
      </c>
      <c r="O66" s="331">
        <v>10113236</v>
      </c>
      <c r="P66" s="332">
        <v>43747</v>
      </c>
      <c r="Q66" s="332">
        <v>43747</v>
      </c>
      <c r="R66" s="332">
        <v>43780</v>
      </c>
      <c r="S66" s="331" t="s">
        <v>985</v>
      </c>
      <c r="T66" s="331" t="s">
        <v>982</v>
      </c>
      <c r="U66" s="331" t="s">
        <v>427</v>
      </c>
      <c r="V66" s="331" t="s">
        <v>165</v>
      </c>
      <c r="W66" s="331" t="s">
        <v>984</v>
      </c>
      <c r="X66" s="331" t="s">
        <v>984</v>
      </c>
      <c r="Y66" s="331" t="s">
        <v>984</v>
      </c>
      <c r="Z66" s="331" t="s">
        <v>984</v>
      </c>
      <c r="AA66" s="331" t="s">
        <v>984</v>
      </c>
      <c r="AB66" s="331" t="s">
        <v>984</v>
      </c>
      <c r="AC66" s="331" t="s">
        <v>984</v>
      </c>
      <c r="AD66" s="331" t="s">
        <v>984</v>
      </c>
      <c r="AE66" s="331" t="s">
        <v>984</v>
      </c>
      <c r="AF66" s="331" t="s">
        <v>984</v>
      </c>
      <c r="AG66" s="331" t="s">
        <v>984</v>
      </c>
      <c r="AH66" s="331" t="s">
        <v>984</v>
      </c>
      <c r="AI66" s="331" t="s">
        <v>984</v>
      </c>
      <c r="AJ66" s="331" t="s">
        <v>984</v>
      </c>
      <c r="AK66" s="331" t="s">
        <v>984</v>
      </c>
      <c r="AL66" s="331" t="s">
        <v>984</v>
      </c>
      <c r="AM66" s="331" t="s">
        <v>984</v>
      </c>
      <c r="AN66" s="331" t="s">
        <v>984</v>
      </c>
      <c r="AO66" s="331" t="s">
        <v>984</v>
      </c>
      <c r="AP66" s="331" t="s">
        <v>984</v>
      </c>
      <c r="AQ66" s="331" t="s">
        <v>190</v>
      </c>
      <c r="AR66" s="331" t="s">
        <v>190</v>
      </c>
      <c r="AS66" s="331" t="s">
        <v>984</v>
      </c>
      <c r="AT66" s="331" t="s">
        <v>984</v>
      </c>
      <c r="AU66" s="331" t="s">
        <v>984</v>
      </c>
      <c r="AV66" s="331" t="s">
        <v>984</v>
      </c>
      <c r="AW66" s="331" t="s">
        <v>984</v>
      </c>
      <c r="AX66" s="331" t="s">
        <v>984</v>
      </c>
      <c r="AY66" s="331" t="s">
        <v>984</v>
      </c>
      <c r="AZ66" s="331" t="s">
        <v>984</v>
      </c>
      <c r="BA66" s="331" t="s">
        <v>984</v>
      </c>
      <c r="BB66" s="331" t="s">
        <v>984</v>
      </c>
      <c r="BC66" s="331" t="s">
        <v>984</v>
      </c>
      <c r="BD66" s="331" t="s">
        <v>984</v>
      </c>
      <c r="BE66" s="331" t="s">
        <v>984</v>
      </c>
      <c r="BF66" s="331" t="s">
        <v>984</v>
      </c>
      <c r="BG66" s="331" t="s">
        <v>984</v>
      </c>
      <c r="BH66" s="331" t="s">
        <v>984</v>
      </c>
      <c r="BI66" s="331" t="s">
        <v>984</v>
      </c>
      <c r="BJ66" s="331" t="s">
        <v>984</v>
      </c>
      <c r="BK66" s="331" t="s">
        <v>984</v>
      </c>
      <c r="BL66" s="331" t="s">
        <v>984</v>
      </c>
      <c r="BM66" s="331" t="s">
        <v>984</v>
      </c>
      <c r="BN66" s="331" t="s">
        <v>984</v>
      </c>
      <c r="BO66" s="331" t="s">
        <v>984</v>
      </c>
      <c r="BP66" s="331" t="s">
        <v>984</v>
      </c>
      <c r="BQ66" s="331" t="s">
        <v>984</v>
      </c>
      <c r="BR66" s="331" t="s">
        <v>190</v>
      </c>
      <c r="BS66" s="331" t="s">
        <v>190</v>
      </c>
      <c r="BT66" s="331" t="s">
        <v>190</v>
      </c>
      <c r="BU66" s="331" t="s">
        <v>984</v>
      </c>
      <c r="BV66" s="331" t="s">
        <v>984</v>
      </c>
      <c r="BW66" s="331" t="s">
        <v>984</v>
      </c>
      <c r="BX66" s="331" t="s">
        <v>984</v>
      </c>
      <c r="BY66" s="331" t="s">
        <v>984</v>
      </c>
      <c r="BZ66" s="331" t="s">
        <v>984</v>
      </c>
      <c r="CA66" s="331" t="s">
        <v>984</v>
      </c>
      <c r="CB66" s="331" t="s">
        <v>984</v>
      </c>
      <c r="CC66" s="331" t="s">
        <v>984</v>
      </c>
      <c r="CD66" s="331" t="s">
        <v>984</v>
      </c>
      <c r="CE66" s="331" t="s">
        <v>984</v>
      </c>
      <c r="CF66" s="331" t="s">
        <v>984</v>
      </c>
      <c r="CG66" s="331" t="s">
        <v>984</v>
      </c>
      <c r="CH66" s="331" t="s">
        <v>984</v>
      </c>
      <c r="CI66" s="331" t="s">
        <v>984</v>
      </c>
      <c r="CJ66" s="331" t="s">
        <v>984</v>
      </c>
      <c r="CK66" s="331" t="s">
        <v>984</v>
      </c>
      <c r="CL66" s="331" t="s">
        <v>984</v>
      </c>
      <c r="CM66" s="331" t="s">
        <v>984</v>
      </c>
      <c r="CN66" s="331" t="s">
        <v>984</v>
      </c>
      <c r="CO66" s="331" t="s">
        <v>984</v>
      </c>
      <c r="CP66" s="331" t="s">
        <v>984</v>
      </c>
      <c r="CQ66" s="331" t="s">
        <v>984</v>
      </c>
      <c r="CR66" s="331" t="s">
        <v>984</v>
      </c>
      <c r="CS66" s="331" t="s">
        <v>984</v>
      </c>
      <c r="CT66" s="331" t="s">
        <v>984</v>
      </c>
      <c r="CU66" s="331" t="s">
        <v>984</v>
      </c>
      <c r="CV66" s="331" t="s">
        <v>984</v>
      </c>
      <c r="CW66" s="331" t="s">
        <v>984</v>
      </c>
      <c r="CX66" s="331" t="s">
        <v>984</v>
      </c>
      <c r="CY66" s="331" t="s">
        <v>984</v>
      </c>
      <c r="CZ66" s="331" t="s">
        <v>984</v>
      </c>
      <c r="DA66" s="331" t="s">
        <v>984</v>
      </c>
      <c r="DB66" s="331" t="s">
        <v>984</v>
      </c>
      <c r="DC66" s="331" t="s">
        <v>984</v>
      </c>
      <c r="DD66" s="331" t="s">
        <v>984</v>
      </c>
      <c r="DE66" s="331" t="s">
        <v>984</v>
      </c>
      <c r="DF66" s="331" t="s">
        <v>984</v>
      </c>
      <c r="DG66" s="331" t="s">
        <v>984</v>
      </c>
      <c r="DH66" s="331" t="s">
        <v>984</v>
      </c>
      <c r="DI66" s="331" t="s">
        <v>984</v>
      </c>
      <c r="DJ66" s="331" t="s">
        <v>984</v>
      </c>
      <c r="DK66" s="331" t="s">
        <v>984</v>
      </c>
      <c r="DL66" s="331" t="s">
        <v>984</v>
      </c>
      <c r="DM66" s="331" t="s">
        <v>984</v>
      </c>
      <c r="DN66" s="331" t="s">
        <v>984</v>
      </c>
      <c r="DO66" s="331" t="s">
        <v>984</v>
      </c>
      <c r="DP66" s="331" t="s">
        <v>984</v>
      </c>
      <c r="DQ66" s="331" t="s">
        <v>984</v>
      </c>
      <c r="DR66" s="331" t="s">
        <v>984</v>
      </c>
      <c r="DS66" s="331" t="s">
        <v>984</v>
      </c>
      <c r="DT66" s="331" t="s">
        <v>984</v>
      </c>
      <c r="DU66" s="331" t="s">
        <v>984</v>
      </c>
      <c r="DV66" s="331" t="s">
        <v>984</v>
      </c>
      <c r="DW66" s="331" t="s">
        <v>984</v>
      </c>
      <c r="DX66" s="331" t="s">
        <v>984</v>
      </c>
      <c r="DY66" s="331" t="s">
        <v>984</v>
      </c>
      <c r="DZ66" s="331" t="s">
        <v>984</v>
      </c>
      <c r="EA66" s="331" t="s">
        <v>984</v>
      </c>
      <c r="EB66" s="331" t="s">
        <v>984</v>
      </c>
      <c r="EC66" s="331" t="s">
        <v>984</v>
      </c>
      <c r="ED66" s="331" t="s">
        <v>984</v>
      </c>
      <c r="EE66" s="331" t="s">
        <v>984</v>
      </c>
      <c r="EF66" s="331" t="s">
        <v>984</v>
      </c>
      <c r="EG66" s="331" t="s">
        <v>984</v>
      </c>
      <c r="EH66" s="331" t="s">
        <v>984</v>
      </c>
      <c r="EI66" s="331" t="s">
        <v>984</v>
      </c>
      <c r="EJ66" s="331" t="s">
        <v>984</v>
      </c>
      <c r="EK66" s="331" t="s">
        <v>984</v>
      </c>
      <c r="EL66" s="331" t="s">
        <v>984</v>
      </c>
      <c r="EM66" s="331" t="s">
        <v>984</v>
      </c>
      <c r="EN66" s="331" t="s">
        <v>984</v>
      </c>
      <c r="EO66" s="331" t="s">
        <v>984</v>
      </c>
      <c r="EP66" s="331" t="s">
        <v>984</v>
      </c>
      <c r="EQ66" s="331" t="s">
        <v>984</v>
      </c>
      <c r="ER66" s="331" t="s">
        <v>984</v>
      </c>
      <c r="ES66" s="331" t="s">
        <v>984</v>
      </c>
      <c r="ET66" s="331" t="s">
        <v>984</v>
      </c>
      <c r="EU66" s="331" t="s">
        <v>984</v>
      </c>
      <c r="EV66" s="331" t="s">
        <v>984</v>
      </c>
      <c r="EW66" s="331" t="s">
        <v>984</v>
      </c>
      <c r="EX66" s="331" t="s">
        <v>984</v>
      </c>
      <c r="EY66" s="331" t="s">
        <v>984</v>
      </c>
      <c r="EZ66" s="331" t="s">
        <v>984</v>
      </c>
      <c r="FA66" s="331" t="s">
        <v>984</v>
      </c>
      <c r="FB66" s="331" t="s">
        <v>984</v>
      </c>
      <c r="FC66" s="331" t="s">
        <v>984</v>
      </c>
      <c r="FD66" s="331" t="s">
        <v>984</v>
      </c>
      <c r="FE66" s="331" t="s">
        <v>984</v>
      </c>
      <c r="FF66" s="331" t="s">
        <v>984</v>
      </c>
      <c r="FG66" s="331" t="s">
        <v>984</v>
      </c>
      <c r="FH66" s="331" t="s">
        <v>984</v>
      </c>
      <c r="FI66" s="331" t="s">
        <v>984</v>
      </c>
      <c r="FJ66" s="331" t="s">
        <v>984</v>
      </c>
      <c r="FK66" s="331" t="s">
        <v>984</v>
      </c>
      <c r="FL66" s="331" t="s">
        <v>984</v>
      </c>
      <c r="FM66" s="331" t="s">
        <v>984</v>
      </c>
      <c r="FN66" s="331" t="s">
        <v>984</v>
      </c>
      <c r="FO66" s="331" t="s">
        <v>984</v>
      </c>
      <c r="FP66" s="331" t="s">
        <v>984</v>
      </c>
      <c r="FQ66" s="331" t="s">
        <v>984</v>
      </c>
      <c r="FR66" s="331" t="s">
        <v>984</v>
      </c>
      <c r="FS66" s="331" t="s">
        <v>190</v>
      </c>
      <c r="FT66" s="331" t="s">
        <v>984</v>
      </c>
      <c r="FU66" s="331" t="s">
        <v>984</v>
      </c>
      <c r="FV66" s="331" t="s">
        <v>190</v>
      </c>
      <c r="FW66" s="331" t="s">
        <v>984</v>
      </c>
      <c r="FX66" s="331" t="s">
        <v>984</v>
      </c>
      <c r="FY66" s="331" t="s">
        <v>984</v>
      </c>
      <c r="FZ66" s="331" t="s">
        <v>984</v>
      </c>
      <c r="GA66" s="331" t="s">
        <v>984</v>
      </c>
      <c r="GB66" s="331" t="s">
        <v>984</v>
      </c>
      <c r="GC66" s="331" t="s">
        <v>984</v>
      </c>
      <c r="GD66" s="331" t="s">
        <v>984</v>
      </c>
      <c r="GE66" s="331" t="s">
        <v>984</v>
      </c>
      <c r="GF66" s="331" t="s">
        <v>984</v>
      </c>
      <c r="GG66" s="331" t="s">
        <v>984</v>
      </c>
      <c r="GH66" s="331" t="s">
        <v>984</v>
      </c>
      <c r="GI66" s="331" t="s">
        <v>984</v>
      </c>
      <c r="GJ66" s="331" t="s">
        <v>984</v>
      </c>
      <c r="GK66" s="331" t="s">
        <v>984</v>
      </c>
      <c r="GL66" s="331" t="s">
        <v>984</v>
      </c>
      <c r="GM66" s="331" t="s">
        <v>984</v>
      </c>
      <c r="GN66" s="331" t="s">
        <v>984</v>
      </c>
      <c r="GO66" s="331" t="s">
        <v>984</v>
      </c>
      <c r="GP66" s="331" t="s">
        <v>984</v>
      </c>
      <c r="GQ66" s="331" t="s">
        <v>984</v>
      </c>
      <c r="GR66" s="331" t="s">
        <v>984</v>
      </c>
      <c r="GS66" s="331" t="s">
        <v>984</v>
      </c>
      <c r="GT66" s="331" t="s">
        <v>984</v>
      </c>
      <c r="GU66" s="331" t="s">
        <v>984</v>
      </c>
      <c r="GV66" s="331" t="s">
        <v>984</v>
      </c>
      <c r="GW66" s="331" t="s">
        <v>984</v>
      </c>
      <c r="GX66" s="331" t="s">
        <v>984</v>
      </c>
      <c r="GY66" s="331" t="s">
        <v>984</v>
      </c>
      <c r="GZ66" s="331" t="s">
        <v>984</v>
      </c>
      <c r="HA66" s="331" t="s">
        <v>984</v>
      </c>
      <c r="HB66" s="331" t="s">
        <v>984</v>
      </c>
      <c r="HC66" s="331" t="s">
        <v>984</v>
      </c>
      <c r="HD66" s="331" t="s">
        <v>984</v>
      </c>
      <c r="HE66" s="331" t="s">
        <v>984</v>
      </c>
      <c r="HF66" s="331" t="s">
        <v>984</v>
      </c>
      <c r="HG66" s="331" t="s">
        <v>984</v>
      </c>
      <c r="HH66" s="331" t="s">
        <v>984</v>
      </c>
      <c r="HI66" s="331" t="s">
        <v>984</v>
      </c>
      <c r="HJ66" s="331" t="s">
        <v>984</v>
      </c>
      <c r="HK66" s="331" t="s">
        <v>984</v>
      </c>
      <c r="HL66" s="331" t="s">
        <v>984</v>
      </c>
      <c r="HM66" s="331" t="s">
        <v>190</v>
      </c>
      <c r="HN66" s="331" t="s">
        <v>190</v>
      </c>
      <c r="HO66" s="331" t="s">
        <v>190</v>
      </c>
      <c r="HP66" s="331" t="s">
        <v>190</v>
      </c>
      <c r="HQ66" s="331" t="s">
        <v>170</v>
      </c>
      <c r="HR66" s="331" t="s">
        <v>429</v>
      </c>
      <c r="HS66" s="331" t="s">
        <v>169</v>
      </c>
      <c r="HT66" s="331" t="s">
        <v>427</v>
      </c>
      <c r="HU66" s="331" t="s">
        <v>428</v>
      </c>
      <c r="HV66" s="331" t="s">
        <v>428</v>
      </c>
    </row>
    <row r="67" spans="1:230" s="70" customFormat="1" x14ac:dyDescent="0.25">
      <c r="A67" s="330" t="str">
        <f>HYPERLINK("http://www.ofsted.gov.uk/inspection-reports/find-inspection-report/provider/ELS/137562 ","Ofsted School Webpage")</f>
        <v>Ofsted School Webpage</v>
      </c>
      <c r="B67" s="331">
        <v>137562</v>
      </c>
      <c r="C67" s="331">
        <v>8826010</v>
      </c>
      <c r="D67" s="331" t="s">
        <v>884</v>
      </c>
      <c r="E67" s="331" t="s">
        <v>168</v>
      </c>
      <c r="F67" s="331" t="s">
        <v>451</v>
      </c>
      <c r="G67" s="331" t="s">
        <v>451</v>
      </c>
      <c r="H67" s="331" t="s">
        <v>885</v>
      </c>
      <c r="I67" s="331" t="s">
        <v>886</v>
      </c>
      <c r="J67" s="331" t="s">
        <v>81</v>
      </c>
      <c r="K67" s="331" t="s">
        <v>81</v>
      </c>
      <c r="L67" s="331" t="s">
        <v>81</v>
      </c>
      <c r="M67" s="331" t="s">
        <v>78</v>
      </c>
      <c r="N67" s="331" t="s">
        <v>424</v>
      </c>
      <c r="O67" s="331">
        <v>10125003</v>
      </c>
      <c r="P67" s="332">
        <v>43747</v>
      </c>
      <c r="Q67" s="332">
        <v>43747</v>
      </c>
      <c r="R67" s="332">
        <v>43781</v>
      </c>
      <c r="S67" s="331" t="s">
        <v>985</v>
      </c>
      <c r="T67" s="331" t="s">
        <v>982</v>
      </c>
      <c r="U67" s="331" t="s">
        <v>427</v>
      </c>
      <c r="V67" s="331" t="s">
        <v>166</v>
      </c>
      <c r="W67" s="331" t="s">
        <v>984</v>
      </c>
      <c r="X67" s="331" t="s">
        <v>984</v>
      </c>
      <c r="Y67" s="331" t="s">
        <v>984</v>
      </c>
      <c r="Z67" s="331" t="s">
        <v>984</v>
      </c>
      <c r="AA67" s="331" t="s">
        <v>984</v>
      </c>
      <c r="AB67" s="331" t="s">
        <v>984</v>
      </c>
      <c r="AC67" s="331" t="s">
        <v>984</v>
      </c>
      <c r="AD67" s="331" t="s">
        <v>984</v>
      </c>
      <c r="AE67" s="331" t="s">
        <v>428</v>
      </c>
      <c r="AF67" s="331" t="s">
        <v>984</v>
      </c>
      <c r="AG67" s="331" t="s">
        <v>984</v>
      </c>
      <c r="AH67" s="331" t="s">
        <v>984</v>
      </c>
      <c r="AI67" s="331" t="s">
        <v>984</v>
      </c>
      <c r="AJ67" s="331" t="s">
        <v>984</v>
      </c>
      <c r="AK67" s="331" t="s">
        <v>984</v>
      </c>
      <c r="AL67" s="331" t="s">
        <v>984</v>
      </c>
      <c r="AM67" s="331" t="s">
        <v>428</v>
      </c>
      <c r="AN67" s="331" t="s">
        <v>428</v>
      </c>
      <c r="AO67" s="331" t="s">
        <v>984</v>
      </c>
      <c r="AP67" s="331" t="s">
        <v>984</v>
      </c>
      <c r="AQ67" s="331" t="s">
        <v>191</v>
      </c>
      <c r="AR67" s="331" t="s">
        <v>191</v>
      </c>
      <c r="AS67" s="331" t="s">
        <v>190</v>
      </c>
      <c r="AT67" s="331" t="s">
        <v>190</v>
      </c>
      <c r="AU67" s="331" t="s">
        <v>191</v>
      </c>
      <c r="AV67" s="331" t="s">
        <v>984</v>
      </c>
      <c r="AW67" s="331" t="s">
        <v>984</v>
      </c>
      <c r="AX67" s="331" t="s">
        <v>190</v>
      </c>
      <c r="AY67" s="331" t="s">
        <v>984</v>
      </c>
      <c r="AZ67" s="331" t="s">
        <v>984</v>
      </c>
      <c r="BA67" s="331" t="s">
        <v>984</v>
      </c>
      <c r="BB67" s="331" t="s">
        <v>984</v>
      </c>
      <c r="BC67" s="331" t="s">
        <v>984</v>
      </c>
      <c r="BD67" s="331" t="s">
        <v>984</v>
      </c>
      <c r="BE67" s="331" t="s">
        <v>984</v>
      </c>
      <c r="BF67" s="331" t="s">
        <v>984</v>
      </c>
      <c r="BG67" s="331" t="s">
        <v>984</v>
      </c>
      <c r="BH67" s="331" t="s">
        <v>984</v>
      </c>
      <c r="BI67" s="331" t="s">
        <v>984</v>
      </c>
      <c r="BJ67" s="331" t="s">
        <v>984</v>
      </c>
      <c r="BK67" s="331" t="s">
        <v>984</v>
      </c>
      <c r="BL67" s="331" t="s">
        <v>984</v>
      </c>
      <c r="BM67" s="331" t="s">
        <v>984</v>
      </c>
      <c r="BN67" s="331" t="s">
        <v>984</v>
      </c>
      <c r="BO67" s="331" t="s">
        <v>984</v>
      </c>
      <c r="BP67" s="331" t="s">
        <v>984</v>
      </c>
      <c r="BQ67" s="331" t="s">
        <v>984</v>
      </c>
      <c r="BR67" s="331" t="s">
        <v>190</v>
      </c>
      <c r="BS67" s="331" t="s">
        <v>190</v>
      </c>
      <c r="BT67" s="331" t="s">
        <v>190</v>
      </c>
      <c r="BU67" s="331" t="s">
        <v>428</v>
      </c>
      <c r="BV67" s="331" t="s">
        <v>428</v>
      </c>
      <c r="BW67" s="331" t="s">
        <v>428</v>
      </c>
      <c r="BX67" s="331" t="s">
        <v>984</v>
      </c>
      <c r="BY67" s="331" t="s">
        <v>984</v>
      </c>
      <c r="BZ67" s="331" t="s">
        <v>984</v>
      </c>
      <c r="CA67" s="331" t="s">
        <v>984</v>
      </c>
      <c r="CB67" s="331" t="s">
        <v>984</v>
      </c>
      <c r="CC67" s="331" t="s">
        <v>984</v>
      </c>
      <c r="CD67" s="331" t="s">
        <v>984</v>
      </c>
      <c r="CE67" s="331" t="s">
        <v>984</v>
      </c>
      <c r="CF67" s="331" t="s">
        <v>984</v>
      </c>
      <c r="CG67" s="331" t="s">
        <v>984</v>
      </c>
      <c r="CH67" s="331" t="s">
        <v>984</v>
      </c>
      <c r="CI67" s="331" t="s">
        <v>984</v>
      </c>
      <c r="CJ67" s="331" t="s">
        <v>984</v>
      </c>
      <c r="CK67" s="331" t="s">
        <v>190</v>
      </c>
      <c r="CL67" s="331" t="s">
        <v>190</v>
      </c>
      <c r="CM67" s="331" t="s">
        <v>190</v>
      </c>
      <c r="CN67" s="331" t="s">
        <v>190</v>
      </c>
      <c r="CO67" s="331" t="s">
        <v>190</v>
      </c>
      <c r="CP67" s="331" t="s">
        <v>190</v>
      </c>
      <c r="CQ67" s="331" t="s">
        <v>190</v>
      </c>
      <c r="CR67" s="331" t="s">
        <v>190</v>
      </c>
      <c r="CS67" s="331" t="s">
        <v>190</v>
      </c>
      <c r="CT67" s="331" t="s">
        <v>190</v>
      </c>
      <c r="CU67" s="331" t="s">
        <v>428</v>
      </c>
      <c r="CV67" s="331" t="s">
        <v>190</v>
      </c>
      <c r="CW67" s="331" t="s">
        <v>428</v>
      </c>
      <c r="CX67" s="331" t="s">
        <v>428</v>
      </c>
      <c r="CY67" s="331" t="s">
        <v>428</v>
      </c>
      <c r="CZ67" s="331" t="s">
        <v>428</v>
      </c>
      <c r="DA67" s="331" t="s">
        <v>428</v>
      </c>
      <c r="DB67" s="331" t="s">
        <v>428</v>
      </c>
      <c r="DC67" s="331" t="s">
        <v>428</v>
      </c>
      <c r="DD67" s="331" t="s">
        <v>428</v>
      </c>
      <c r="DE67" s="331" t="s">
        <v>428</v>
      </c>
      <c r="DF67" s="331" t="s">
        <v>428</v>
      </c>
      <c r="DG67" s="331" t="s">
        <v>428</v>
      </c>
      <c r="DH67" s="331" t="s">
        <v>428</v>
      </c>
      <c r="DI67" s="331" t="s">
        <v>428</v>
      </c>
      <c r="DJ67" s="331" t="s">
        <v>428</v>
      </c>
      <c r="DK67" s="331" t="s">
        <v>984</v>
      </c>
      <c r="DL67" s="331" t="s">
        <v>984</v>
      </c>
      <c r="DM67" s="331" t="s">
        <v>984</v>
      </c>
      <c r="DN67" s="331" t="s">
        <v>190</v>
      </c>
      <c r="DO67" s="331" t="s">
        <v>190</v>
      </c>
      <c r="DP67" s="331" t="s">
        <v>190</v>
      </c>
      <c r="DQ67" s="331" t="s">
        <v>190</v>
      </c>
      <c r="DR67" s="331" t="s">
        <v>190</v>
      </c>
      <c r="DS67" s="331" t="s">
        <v>190</v>
      </c>
      <c r="DT67" s="331" t="s">
        <v>190</v>
      </c>
      <c r="DU67" s="331" t="s">
        <v>190</v>
      </c>
      <c r="DV67" s="331" t="s">
        <v>190</v>
      </c>
      <c r="DW67" s="331" t="s">
        <v>190</v>
      </c>
      <c r="DX67" s="331" t="s">
        <v>190</v>
      </c>
      <c r="DY67" s="331" t="s">
        <v>190</v>
      </c>
      <c r="DZ67" s="331" t="s">
        <v>190</v>
      </c>
      <c r="EA67" s="331" t="s">
        <v>190</v>
      </c>
      <c r="EB67" s="331" t="s">
        <v>190</v>
      </c>
      <c r="EC67" s="331" t="s">
        <v>190</v>
      </c>
      <c r="ED67" s="331" t="s">
        <v>190</v>
      </c>
      <c r="EE67" s="331" t="s">
        <v>190</v>
      </c>
      <c r="EF67" s="331" t="s">
        <v>190</v>
      </c>
      <c r="EG67" s="331" t="s">
        <v>190</v>
      </c>
      <c r="EH67" s="331" t="s">
        <v>190</v>
      </c>
      <c r="EI67" s="331" t="s">
        <v>428</v>
      </c>
      <c r="EJ67" s="331" t="s">
        <v>428</v>
      </c>
      <c r="EK67" s="331" t="s">
        <v>428</v>
      </c>
      <c r="EL67" s="331" t="s">
        <v>428</v>
      </c>
      <c r="EM67" s="331" t="s">
        <v>428</v>
      </c>
      <c r="EN67" s="331" t="s">
        <v>428</v>
      </c>
      <c r="EO67" s="331" t="s">
        <v>428</v>
      </c>
      <c r="EP67" s="331" t="s">
        <v>428</v>
      </c>
      <c r="EQ67" s="331" t="s">
        <v>428</v>
      </c>
      <c r="ER67" s="331" t="s">
        <v>428</v>
      </c>
      <c r="ES67" s="331" t="s">
        <v>984</v>
      </c>
      <c r="ET67" s="331" t="s">
        <v>984</v>
      </c>
      <c r="EU67" s="331" t="s">
        <v>984</v>
      </c>
      <c r="EV67" s="331" t="s">
        <v>984</v>
      </c>
      <c r="EW67" s="331" t="s">
        <v>984</v>
      </c>
      <c r="EX67" s="331" t="s">
        <v>984</v>
      </c>
      <c r="EY67" s="331" t="s">
        <v>984</v>
      </c>
      <c r="EZ67" s="331" t="s">
        <v>428</v>
      </c>
      <c r="FA67" s="331" t="s">
        <v>984</v>
      </c>
      <c r="FB67" s="331" t="s">
        <v>984</v>
      </c>
      <c r="FC67" s="331" t="s">
        <v>984</v>
      </c>
      <c r="FD67" s="331" t="s">
        <v>984</v>
      </c>
      <c r="FE67" s="331" t="s">
        <v>984</v>
      </c>
      <c r="FF67" s="331" t="s">
        <v>984</v>
      </c>
      <c r="FG67" s="331" t="s">
        <v>984</v>
      </c>
      <c r="FH67" s="331" t="s">
        <v>984</v>
      </c>
      <c r="FI67" s="331" t="s">
        <v>984</v>
      </c>
      <c r="FJ67" s="331" t="s">
        <v>984</v>
      </c>
      <c r="FK67" s="331" t="s">
        <v>984</v>
      </c>
      <c r="FL67" s="331" t="s">
        <v>984</v>
      </c>
      <c r="FM67" s="331" t="s">
        <v>984</v>
      </c>
      <c r="FN67" s="331" t="s">
        <v>984</v>
      </c>
      <c r="FO67" s="331" t="s">
        <v>984</v>
      </c>
      <c r="FP67" s="331" t="s">
        <v>984</v>
      </c>
      <c r="FQ67" s="331" t="s">
        <v>984</v>
      </c>
      <c r="FR67" s="331" t="s">
        <v>428</v>
      </c>
      <c r="FS67" s="331" t="s">
        <v>191</v>
      </c>
      <c r="FT67" s="331" t="s">
        <v>984</v>
      </c>
      <c r="FU67" s="331" t="s">
        <v>984</v>
      </c>
      <c r="FV67" s="331" t="s">
        <v>190</v>
      </c>
      <c r="FW67" s="331" t="s">
        <v>984</v>
      </c>
      <c r="FX67" s="331" t="s">
        <v>984</v>
      </c>
      <c r="FY67" s="331" t="s">
        <v>984</v>
      </c>
      <c r="FZ67" s="331" t="s">
        <v>984</v>
      </c>
      <c r="GA67" s="331" t="s">
        <v>984</v>
      </c>
      <c r="GB67" s="331" t="s">
        <v>984</v>
      </c>
      <c r="GC67" s="331" t="s">
        <v>984</v>
      </c>
      <c r="GD67" s="331" t="s">
        <v>984</v>
      </c>
      <c r="GE67" s="331" t="s">
        <v>984</v>
      </c>
      <c r="GF67" s="331" t="s">
        <v>984</v>
      </c>
      <c r="GG67" s="331" t="s">
        <v>984</v>
      </c>
      <c r="GH67" s="331" t="s">
        <v>984</v>
      </c>
      <c r="GI67" s="331" t="s">
        <v>984</v>
      </c>
      <c r="GJ67" s="331" t="s">
        <v>984</v>
      </c>
      <c r="GK67" s="331" t="s">
        <v>984</v>
      </c>
      <c r="GL67" s="331" t="s">
        <v>984</v>
      </c>
      <c r="GM67" s="331" t="s">
        <v>984</v>
      </c>
      <c r="GN67" s="331" t="s">
        <v>984</v>
      </c>
      <c r="GO67" s="331" t="s">
        <v>984</v>
      </c>
      <c r="GP67" s="331" t="s">
        <v>984</v>
      </c>
      <c r="GQ67" s="331" t="s">
        <v>984</v>
      </c>
      <c r="GR67" s="331" t="s">
        <v>984</v>
      </c>
      <c r="GS67" s="331" t="s">
        <v>984</v>
      </c>
      <c r="GT67" s="331" t="s">
        <v>984</v>
      </c>
      <c r="GU67" s="331" t="s">
        <v>984</v>
      </c>
      <c r="GV67" s="331" t="s">
        <v>984</v>
      </c>
      <c r="GW67" s="331" t="s">
        <v>984</v>
      </c>
      <c r="GX67" s="331" t="s">
        <v>984</v>
      </c>
      <c r="GY67" s="331" t="s">
        <v>984</v>
      </c>
      <c r="GZ67" s="331" t="s">
        <v>984</v>
      </c>
      <c r="HA67" s="331" t="s">
        <v>984</v>
      </c>
      <c r="HB67" s="331" t="s">
        <v>984</v>
      </c>
      <c r="HC67" s="331" t="s">
        <v>984</v>
      </c>
      <c r="HD67" s="331" t="s">
        <v>984</v>
      </c>
      <c r="HE67" s="331" t="s">
        <v>984</v>
      </c>
      <c r="HF67" s="331" t="s">
        <v>984</v>
      </c>
      <c r="HG67" s="331" t="s">
        <v>984</v>
      </c>
      <c r="HH67" s="331" t="s">
        <v>984</v>
      </c>
      <c r="HI67" s="331" t="s">
        <v>984</v>
      </c>
      <c r="HJ67" s="331" t="s">
        <v>984</v>
      </c>
      <c r="HK67" s="331" t="s">
        <v>984</v>
      </c>
      <c r="HL67" s="331" t="s">
        <v>984</v>
      </c>
      <c r="HM67" s="331" t="s">
        <v>191</v>
      </c>
      <c r="HN67" s="331" t="s">
        <v>191</v>
      </c>
      <c r="HO67" s="331" t="s">
        <v>191</v>
      </c>
      <c r="HP67" s="331" t="s">
        <v>190</v>
      </c>
      <c r="HQ67" s="331" t="s">
        <v>170</v>
      </c>
      <c r="HR67" s="331" t="s">
        <v>429</v>
      </c>
      <c r="HS67" s="331" t="s">
        <v>169</v>
      </c>
      <c r="HT67" s="331" t="s">
        <v>427</v>
      </c>
      <c r="HU67" s="331" t="s">
        <v>984</v>
      </c>
      <c r="HV67" s="331" t="s">
        <v>984</v>
      </c>
    </row>
    <row r="68" spans="1:230" s="70" customFormat="1" x14ac:dyDescent="0.25">
      <c r="A68" s="330" t="str">
        <f>HYPERLINK("http://www.ofsted.gov.uk/inspection-reports/find-inspection-report/provider/ELS/115793 ","Ofsted School Webpage")</f>
        <v>Ofsted School Webpage</v>
      </c>
      <c r="B68" s="331">
        <v>115793</v>
      </c>
      <c r="C68" s="331">
        <v>9166031</v>
      </c>
      <c r="D68" s="331" t="s">
        <v>1448</v>
      </c>
      <c r="E68" s="331" t="s">
        <v>167</v>
      </c>
      <c r="F68" s="331" t="s">
        <v>422</v>
      </c>
      <c r="G68" s="331" t="s">
        <v>422</v>
      </c>
      <c r="H68" s="331" t="s">
        <v>846</v>
      </c>
      <c r="I68" s="331" t="s">
        <v>1449</v>
      </c>
      <c r="J68" s="331" t="s">
        <v>81</v>
      </c>
      <c r="K68" s="331" t="s">
        <v>81</v>
      </c>
      <c r="L68" s="331" t="s">
        <v>81</v>
      </c>
      <c r="M68" s="331" t="s">
        <v>78</v>
      </c>
      <c r="N68" s="331" t="s">
        <v>424</v>
      </c>
      <c r="O68" s="331">
        <v>10115787</v>
      </c>
      <c r="P68" s="332">
        <v>43746</v>
      </c>
      <c r="Q68" s="332">
        <v>43747</v>
      </c>
      <c r="R68" s="332">
        <v>43776</v>
      </c>
      <c r="S68" s="331" t="s">
        <v>1061</v>
      </c>
      <c r="T68" s="331" t="s">
        <v>982</v>
      </c>
      <c r="U68" s="331" t="s">
        <v>427</v>
      </c>
      <c r="V68" s="331" t="s">
        <v>166</v>
      </c>
      <c r="W68" s="331" t="s">
        <v>191</v>
      </c>
      <c r="X68" s="331" t="s">
        <v>191</v>
      </c>
      <c r="Y68" s="331" t="s">
        <v>191</v>
      </c>
      <c r="Z68" s="331" t="s">
        <v>191</v>
      </c>
      <c r="AA68" s="331" t="s">
        <v>984</v>
      </c>
      <c r="AB68" s="331" t="s">
        <v>191</v>
      </c>
      <c r="AC68" s="331" t="s">
        <v>984</v>
      </c>
      <c r="AD68" s="331" t="s">
        <v>984</v>
      </c>
      <c r="AE68" s="331" t="s">
        <v>984</v>
      </c>
      <c r="AF68" s="331" t="s">
        <v>984</v>
      </c>
      <c r="AG68" s="331" t="s">
        <v>984</v>
      </c>
      <c r="AH68" s="331" t="s">
        <v>984</v>
      </c>
      <c r="AI68" s="331" t="s">
        <v>191</v>
      </c>
      <c r="AJ68" s="331" t="s">
        <v>984</v>
      </c>
      <c r="AK68" s="331" t="s">
        <v>191</v>
      </c>
      <c r="AL68" s="331" t="s">
        <v>191</v>
      </c>
      <c r="AM68" s="331" t="s">
        <v>190</v>
      </c>
      <c r="AN68" s="331" t="s">
        <v>984</v>
      </c>
      <c r="AO68" s="331" t="s">
        <v>984</v>
      </c>
      <c r="AP68" s="331" t="s">
        <v>984</v>
      </c>
      <c r="AQ68" s="331" t="s">
        <v>191</v>
      </c>
      <c r="AR68" s="331" t="s">
        <v>191</v>
      </c>
      <c r="AS68" s="331" t="s">
        <v>191</v>
      </c>
      <c r="AT68" s="331" t="s">
        <v>191</v>
      </c>
      <c r="AU68" s="331" t="s">
        <v>191</v>
      </c>
      <c r="AV68" s="331" t="s">
        <v>191</v>
      </c>
      <c r="AW68" s="331" t="s">
        <v>984</v>
      </c>
      <c r="AX68" s="331" t="s">
        <v>191</v>
      </c>
      <c r="AY68" s="331" t="s">
        <v>984</v>
      </c>
      <c r="AZ68" s="331" t="s">
        <v>984</v>
      </c>
      <c r="BA68" s="331" t="s">
        <v>984</v>
      </c>
      <c r="BB68" s="331" t="s">
        <v>191</v>
      </c>
      <c r="BC68" s="331" t="s">
        <v>984</v>
      </c>
      <c r="BD68" s="331" t="s">
        <v>984</v>
      </c>
      <c r="BE68" s="331" t="s">
        <v>984</v>
      </c>
      <c r="BF68" s="331" t="s">
        <v>984</v>
      </c>
      <c r="BG68" s="331" t="s">
        <v>984</v>
      </c>
      <c r="BH68" s="331" t="s">
        <v>984</v>
      </c>
      <c r="BI68" s="331" t="s">
        <v>984</v>
      </c>
      <c r="BJ68" s="331" t="s">
        <v>984</v>
      </c>
      <c r="BK68" s="331" t="s">
        <v>984</v>
      </c>
      <c r="BL68" s="331" t="s">
        <v>984</v>
      </c>
      <c r="BM68" s="331" t="s">
        <v>984</v>
      </c>
      <c r="BN68" s="331" t="s">
        <v>984</v>
      </c>
      <c r="BO68" s="331" t="s">
        <v>984</v>
      </c>
      <c r="BP68" s="331" t="s">
        <v>984</v>
      </c>
      <c r="BQ68" s="331" t="s">
        <v>984</v>
      </c>
      <c r="BR68" s="331" t="s">
        <v>190</v>
      </c>
      <c r="BS68" s="331" t="s">
        <v>190</v>
      </c>
      <c r="BT68" s="331" t="s">
        <v>190</v>
      </c>
      <c r="BU68" s="331" t="s">
        <v>984</v>
      </c>
      <c r="BV68" s="331" t="s">
        <v>984</v>
      </c>
      <c r="BW68" s="331" t="s">
        <v>984</v>
      </c>
      <c r="BX68" s="331" t="s">
        <v>984</v>
      </c>
      <c r="BY68" s="331" t="s">
        <v>984</v>
      </c>
      <c r="BZ68" s="331" t="s">
        <v>984</v>
      </c>
      <c r="CA68" s="331" t="s">
        <v>984</v>
      </c>
      <c r="CB68" s="331" t="s">
        <v>984</v>
      </c>
      <c r="CC68" s="331" t="s">
        <v>984</v>
      </c>
      <c r="CD68" s="331" t="s">
        <v>984</v>
      </c>
      <c r="CE68" s="331" t="s">
        <v>984</v>
      </c>
      <c r="CF68" s="331" t="s">
        <v>984</v>
      </c>
      <c r="CG68" s="331" t="s">
        <v>984</v>
      </c>
      <c r="CH68" s="331" t="s">
        <v>984</v>
      </c>
      <c r="CI68" s="331" t="s">
        <v>984</v>
      </c>
      <c r="CJ68" s="331" t="s">
        <v>984</v>
      </c>
      <c r="CK68" s="331" t="s">
        <v>190</v>
      </c>
      <c r="CL68" s="331" t="s">
        <v>984</v>
      </c>
      <c r="CM68" s="331" t="s">
        <v>984</v>
      </c>
      <c r="CN68" s="331" t="s">
        <v>190</v>
      </c>
      <c r="CO68" s="331" t="s">
        <v>984</v>
      </c>
      <c r="CP68" s="331" t="s">
        <v>984</v>
      </c>
      <c r="CQ68" s="331" t="s">
        <v>190</v>
      </c>
      <c r="CR68" s="331" t="s">
        <v>984</v>
      </c>
      <c r="CS68" s="331" t="s">
        <v>984</v>
      </c>
      <c r="CT68" s="331" t="s">
        <v>190</v>
      </c>
      <c r="CU68" s="331" t="s">
        <v>984</v>
      </c>
      <c r="CV68" s="331" t="s">
        <v>984</v>
      </c>
      <c r="CW68" s="331" t="s">
        <v>984</v>
      </c>
      <c r="CX68" s="331" t="s">
        <v>984</v>
      </c>
      <c r="CY68" s="331" t="s">
        <v>984</v>
      </c>
      <c r="CZ68" s="331" t="s">
        <v>984</v>
      </c>
      <c r="DA68" s="331" t="s">
        <v>984</v>
      </c>
      <c r="DB68" s="331" t="s">
        <v>984</v>
      </c>
      <c r="DC68" s="331" t="s">
        <v>984</v>
      </c>
      <c r="DD68" s="331" t="s">
        <v>984</v>
      </c>
      <c r="DE68" s="331" t="s">
        <v>984</v>
      </c>
      <c r="DF68" s="331" t="s">
        <v>984</v>
      </c>
      <c r="DG68" s="331" t="s">
        <v>984</v>
      </c>
      <c r="DH68" s="331" t="s">
        <v>984</v>
      </c>
      <c r="DI68" s="331" t="s">
        <v>984</v>
      </c>
      <c r="DJ68" s="331" t="s">
        <v>984</v>
      </c>
      <c r="DK68" s="331" t="s">
        <v>984</v>
      </c>
      <c r="DL68" s="331" t="s">
        <v>190</v>
      </c>
      <c r="DM68" s="331" t="s">
        <v>984</v>
      </c>
      <c r="DN68" s="331" t="s">
        <v>984</v>
      </c>
      <c r="DO68" s="331" t="s">
        <v>984</v>
      </c>
      <c r="DP68" s="331" t="s">
        <v>190</v>
      </c>
      <c r="DQ68" s="331" t="s">
        <v>984</v>
      </c>
      <c r="DR68" s="331" t="s">
        <v>190</v>
      </c>
      <c r="DS68" s="331" t="s">
        <v>190</v>
      </c>
      <c r="DT68" s="331" t="s">
        <v>190</v>
      </c>
      <c r="DU68" s="331" t="s">
        <v>984</v>
      </c>
      <c r="DV68" s="331" t="s">
        <v>984</v>
      </c>
      <c r="DW68" s="331" t="s">
        <v>190</v>
      </c>
      <c r="DX68" s="331" t="s">
        <v>190</v>
      </c>
      <c r="DY68" s="331" t="s">
        <v>984</v>
      </c>
      <c r="DZ68" s="331" t="s">
        <v>984</v>
      </c>
      <c r="EA68" s="331" t="s">
        <v>984</v>
      </c>
      <c r="EB68" s="331" t="s">
        <v>984</v>
      </c>
      <c r="EC68" s="331" t="s">
        <v>984</v>
      </c>
      <c r="ED68" s="331" t="s">
        <v>984</v>
      </c>
      <c r="EE68" s="331" t="s">
        <v>190</v>
      </c>
      <c r="EF68" s="331" t="s">
        <v>190</v>
      </c>
      <c r="EG68" s="331" t="s">
        <v>984</v>
      </c>
      <c r="EH68" s="331" t="s">
        <v>984</v>
      </c>
      <c r="EI68" s="331" t="s">
        <v>984</v>
      </c>
      <c r="EJ68" s="331" t="s">
        <v>984</v>
      </c>
      <c r="EK68" s="331" t="s">
        <v>984</v>
      </c>
      <c r="EL68" s="331" t="s">
        <v>984</v>
      </c>
      <c r="EM68" s="331" t="s">
        <v>984</v>
      </c>
      <c r="EN68" s="331" t="s">
        <v>984</v>
      </c>
      <c r="EO68" s="331" t="s">
        <v>190</v>
      </c>
      <c r="EP68" s="331" t="s">
        <v>984</v>
      </c>
      <c r="EQ68" s="331" t="s">
        <v>984</v>
      </c>
      <c r="ER68" s="331" t="s">
        <v>984</v>
      </c>
      <c r="ES68" s="331" t="s">
        <v>984</v>
      </c>
      <c r="ET68" s="331" t="s">
        <v>984</v>
      </c>
      <c r="EU68" s="331" t="s">
        <v>984</v>
      </c>
      <c r="EV68" s="331" t="s">
        <v>984</v>
      </c>
      <c r="EW68" s="331" t="s">
        <v>984</v>
      </c>
      <c r="EX68" s="331" t="s">
        <v>984</v>
      </c>
      <c r="EY68" s="331" t="s">
        <v>984</v>
      </c>
      <c r="EZ68" s="331" t="s">
        <v>984</v>
      </c>
      <c r="FA68" s="331" t="s">
        <v>984</v>
      </c>
      <c r="FB68" s="331" t="s">
        <v>984</v>
      </c>
      <c r="FC68" s="331" t="s">
        <v>984</v>
      </c>
      <c r="FD68" s="331" t="s">
        <v>984</v>
      </c>
      <c r="FE68" s="331" t="s">
        <v>984</v>
      </c>
      <c r="FF68" s="331" t="s">
        <v>984</v>
      </c>
      <c r="FG68" s="331" t="s">
        <v>984</v>
      </c>
      <c r="FH68" s="331" t="s">
        <v>984</v>
      </c>
      <c r="FI68" s="331" t="s">
        <v>984</v>
      </c>
      <c r="FJ68" s="331" t="s">
        <v>984</v>
      </c>
      <c r="FK68" s="331" t="s">
        <v>984</v>
      </c>
      <c r="FL68" s="331" t="s">
        <v>984</v>
      </c>
      <c r="FM68" s="331" t="s">
        <v>984</v>
      </c>
      <c r="FN68" s="331" t="s">
        <v>984</v>
      </c>
      <c r="FO68" s="331" t="s">
        <v>984</v>
      </c>
      <c r="FP68" s="331" t="s">
        <v>984</v>
      </c>
      <c r="FQ68" s="331" t="s">
        <v>984</v>
      </c>
      <c r="FR68" s="331" t="s">
        <v>984</v>
      </c>
      <c r="FS68" s="331" t="s">
        <v>984</v>
      </c>
      <c r="FT68" s="331" t="s">
        <v>984</v>
      </c>
      <c r="FU68" s="331" t="s">
        <v>984</v>
      </c>
      <c r="FV68" s="331" t="s">
        <v>984</v>
      </c>
      <c r="FW68" s="331" t="s">
        <v>984</v>
      </c>
      <c r="FX68" s="331" t="s">
        <v>984</v>
      </c>
      <c r="FY68" s="331" t="s">
        <v>984</v>
      </c>
      <c r="FZ68" s="331" t="s">
        <v>984</v>
      </c>
      <c r="GA68" s="331" t="s">
        <v>984</v>
      </c>
      <c r="GB68" s="331" t="s">
        <v>984</v>
      </c>
      <c r="GC68" s="331" t="s">
        <v>984</v>
      </c>
      <c r="GD68" s="331" t="s">
        <v>984</v>
      </c>
      <c r="GE68" s="331" t="s">
        <v>984</v>
      </c>
      <c r="GF68" s="331" t="s">
        <v>984</v>
      </c>
      <c r="GG68" s="331" t="s">
        <v>984</v>
      </c>
      <c r="GH68" s="331" t="s">
        <v>984</v>
      </c>
      <c r="GI68" s="331" t="s">
        <v>984</v>
      </c>
      <c r="GJ68" s="331" t="s">
        <v>984</v>
      </c>
      <c r="GK68" s="331" t="s">
        <v>984</v>
      </c>
      <c r="GL68" s="331" t="s">
        <v>984</v>
      </c>
      <c r="GM68" s="331" t="s">
        <v>984</v>
      </c>
      <c r="GN68" s="331" t="s">
        <v>984</v>
      </c>
      <c r="GO68" s="331" t="s">
        <v>984</v>
      </c>
      <c r="GP68" s="331" t="s">
        <v>984</v>
      </c>
      <c r="GQ68" s="331" t="s">
        <v>984</v>
      </c>
      <c r="GR68" s="331" t="s">
        <v>984</v>
      </c>
      <c r="GS68" s="331" t="s">
        <v>984</v>
      </c>
      <c r="GT68" s="331" t="s">
        <v>984</v>
      </c>
      <c r="GU68" s="331" t="s">
        <v>984</v>
      </c>
      <c r="GV68" s="331" t="s">
        <v>984</v>
      </c>
      <c r="GW68" s="331" t="s">
        <v>984</v>
      </c>
      <c r="GX68" s="331" t="s">
        <v>984</v>
      </c>
      <c r="GY68" s="331" t="s">
        <v>984</v>
      </c>
      <c r="GZ68" s="331" t="s">
        <v>984</v>
      </c>
      <c r="HA68" s="331" t="s">
        <v>984</v>
      </c>
      <c r="HB68" s="331" t="s">
        <v>984</v>
      </c>
      <c r="HC68" s="331" t="s">
        <v>984</v>
      </c>
      <c r="HD68" s="331" t="s">
        <v>984</v>
      </c>
      <c r="HE68" s="331" t="s">
        <v>984</v>
      </c>
      <c r="HF68" s="331" t="s">
        <v>984</v>
      </c>
      <c r="HG68" s="331" t="s">
        <v>984</v>
      </c>
      <c r="HH68" s="331" t="s">
        <v>984</v>
      </c>
      <c r="HI68" s="331" t="s">
        <v>984</v>
      </c>
      <c r="HJ68" s="331" t="s">
        <v>984</v>
      </c>
      <c r="HK68" s="331" t="s">
        <v>984</v>
      </c>
      <c r="HL68" s="331" t="s">
        <v>984</v>
      </c>
      <c r="HM68" s="331" t="s">
        <v>191</v>
      </c>
      <c r="HN68" s="331" t="s">
        <v>191</v>
      </c>
      <c r="HO68" s="331" t="s">
        <v>191</v>
      </c>
      <c r="HP68" s="331" t="s">
        <v>190</v>
      </c>
      <c r="HQ68" s="331" t="s">
        <v>169</v>
      </c>
      <c r="HR68" s="331" t="s">
        <v>169</v>
      </c>
      <c r="HS68" s="331" t="s">
        <v>169</v>
      </c>
      <c r="HT68" s="331" t="s">
        <v>427</v>
      </c>
      <c r="HU68" s="331" t="s">
        <v>190</v>
      </c>
      <c r="HV68" s="331" t="s">
        <v>984</v>
      </c>
    </row>
    <row r="69" spans="1:230" s="70" customFormat="1" x14ac:dyDescent="0.25">
      <c r="A69" s="330" t="str">
        <f>HYPERLINK("http://www.ofsted.gov.uk/inspection-reports/find-inspection-report/provider/ELS/118993 ","Ofsted School Webpage")</f>
        <v>Ofsted School Webpage</v>
      </c>
      <c r="B69" s="331">
        <v>118993</v>
      </c>
      <c r="C69" s="331">
        <v>8866046</v>
      </c>
      <c r="D69" s="331" t="s">
        <v>893</v>
      </c>
      <c r="E69" s="331" t="s">
        <v>168</v>
      </c>
      <c r="F69" s="331" t="s">
        <v>514</v>
      </c>
      <c r="G69" s="331" t="s">
        <v>514</v>
      </c>
      <c r="H69" s="331" t="s">
        <v>614</v>
      </c>
      <c r="I69" s="331" t="s">
        <v>894</v>
      </c>
      <c r="J69" s="331" t="s">
        <v>81</v>
      </c>
      <c r="K69" s="331" t="s">
        <v>81</v>
      </c>
      <c r="L69" s="331" t="s">
        <v>81</v>
      </c>
      <c r="M69" s="331" t="s">
        <v>78</v>
      </c>
      <c r="N69" s="331" t="s">
        <v>424</v>
      </c>
      <c r="O69" s="331">
        <v>10118755</v>
      </c>
      <c r="P69" s="332">
        <v>43747</v>
      </c>
      <c r="Q69" s="332">
        <v>43747</v>
      </c>
      <c r="R69" s="332">
        <v>43780</v>
      </c>
      <c r="S69" s="331" t="s">
        <v>985</v>
      </c>
      <c r="T69" s="331" t="s">
        <v>982</v>
      </c>
      <c r="U69" s="331" t="s">
        <v>427</v>
      </c>
      <c r="V69" s="331" t="s">
        <v>165</v>
      </c>
      <c r="W69" s="331" t="s">
        <v>984</v>
      </c>
      <c r="X69" s="331" t="s">
        <v>984</v>
      </c>
      <c r="Y69" s="331" t="s">
        <v>984</v>
      </c>
      <c r="Z69" s="331" t="s">
        <v>984</v>
      </c>
      <c r="AA69" s="331" t="s">
        <v>984</v>
      </c>
      <c r="AB69" s="331" t="s">
        <v>984</v>
      </c>
      <c r="AC69" s="331" t="s">
        <v>984</v>
      </c>
      <c r="AD69" s="331" t="s">
        <v>984</v>
      </c>
      <c r="AE69" s="331" t="s">
        <v>428</v>
      </c>
      <c r="AF69" s="331" t="s">
        <v>984</v>
      </c>
      <c r="AG69" s="331" t="s">
        <v>984</v>
      </c>
      <c r="AH69" s="331" t="s">
        <v>984</v>
      </c>
      <c r="AI69" s="331" t="s">
        <v>984</v>
      </c>
      <c r="AJ69" s="331" t="s">
        <v>984</v>
      </c>
      <c r="AK69" s="331" t="s">
        <v>984</v>
      </c>
      <c r="AL69" s="331" t="s">
        <v>984</v>
      </c>
      <c r="AM69" s="331" t="s">
        <v>428</v>
      </c>
      <c r="AN69" s="331" t="s">
        <v>984</v>
      </c>
      <c r="AO69" s="331" t="s">
        <v>984</v>
      </c>
      <c r="AP69" s="331" t="s">
        <v>984</v>
      </c>
      <c r="AQ69" s="331" t="s">
        <v>190</v>
      </c>
      <c r="AR69" s="331" t="s">
        <v>190</v>
      </c>
      <c r="AS69" s="331" t="s">
        <v>190</v>
      </c>
      <c r="AT69" s="331" t="s">
        <v>190</v>
      </c>
      <c r="AU69" s="331" t="s">
        <v>190</v>
      </c>
      <c r="AV69" s="331" t="s">
        <v>190</v>
      </c>
      <c r="AW69" s="331" t="s">
        <v>190</v>
      </c>
      <c r="AX69" s="331" t="s">
        <v>190</v>
      </c>
      <c r="AY69" s="331" t="s">
        <v>190</v>
      </c>
      <c r="AZ69" s="331" t="s">
        <v>190</v>
      </c>
      <c r="BA69" s="331" t="s">
        <v>190</v>
      </c>
      <c r="BB69" s="331" t="s">
        <v>984</v>
      </c>
      <c r="BC69" s="331" t="s">
        <v>984</v>
      </c>
      <c r="BD69" s="331" t="s">
        <v>984</v>
      </c>
      <c r="BE69" s="331" t="s">
        <v>984</v>
      </c>
      <c r="BF69" s="331" t="s">
        <v>984</v>
      </c>
      <c r="BG69" s="331" t="s">
        <v>984</v>
      </c>
      <c r="BH69" s="331" t="s">
        <v>984</v>
      </c>
      <c r="BI69" s="331" t="s">
        <v>984</v>
      </c>
      <c r="BJ69" s="331" t="s">
        <v>984</v>
      </c>
      <c r="BK69" s="331" t="s">
        <v>984</v>
      </c>
      <c r="BL69" s="331" t="s">
        <v>984</v>
      </c>
      <c r="BM69" s="331" t="s">
        <v>984</v>
      </c>
      <c r="BN69" s="331" t="s">
        <v>984</v>
      </c>
      <c r="BO69" s="331" t="s">
        <v>984</v>
      </c>
      <c r="BP69" s="331" t="s">
        <v>984</v>
      </c>
      <c r="BQ69" s="331" t="s">
        <v>984</v>
      </c>
      <c r="BR69" s="331" t="s">
        <v>190</v>
      </c>
      <c r="BS69" s="331" t="s">
        <v>190</v>
      </c>
      <c r="BT69" s="331" t="s">
        <v>190</v>
      </c>
      <c r="BU69" s="331" t="s">
        <v>428</v>
      </c>
      <c r="BV69" s="331" t="s">
        <v>428</v>
      </c>
      <c r="BW69" s="331" t="s">
        <v>428</v>
      </c>
      <c r="BX69" s="331" t="s">
        <v>984</v>
      </c>
      <c r="BY69" s="331" t="s">
        <v>984</v>
      </c>
      <c r="BZ69" s="331" t="s">
        <v>984</v>
      </c>
      <c r="CA69" s="331" t="s">
        <v>984</v>
      </c>
      <c r="CB69" s="331" t="s">
        <v>984</v>
      </c>
      <c r="CC69" s="331" t="s">
        <v>984</v>
      </c>
      <c r="CD69" s="331" t="s">
        <v>984</v>
      </c>
      <c r="CE69" s="331" t="s">
        <v>984</v>
      </c>
      <c r="CF69" s="331" t="s">
        <v>984</v>
      </c>
      <c r="CG69" s="331" t="s">
        <v>190</v>
      </c>
      <c r="CH69" s="331" t="s">
        <v>984</v>
      </c>
      <c r="CI69" s="331" t="s">
        <v>984</v>
      </c>
      <c r="CJ69" s="331" t="s">
        <v>984</v>
      </c>
      <c r="CK69" s="331" t="s">
        <v>984</v>
      </c>
      <c r="CL69" s="331" t="s">
        <v>984</v>
      </c>
      <c r="CM69" s="331" t="s">
        <v>984</v>
      </c>
      <c r="CN69" s="331" t="s">
        <v>984</v>
      </c>
      <c r="CO69" s="331" t="s">
        <v>984</v>
      </c>
      <c r="CP69" s="331" t="s">
        <v>984</v>
      </c>
      <c r="CQ69" s="331" t="s">
        <v>984</v>
      </c>
      <c r="CR69" s="331" t="s">
        <v>984</v>
      </c>
      <c r="CS69" s="331" t="s">
        <v>984</v>
      </c>
      <c r="CT69" s="331" t="s">
        <v>984</v>
      </c>
      <c r="CU69" s="331" t="s">
        <v>428</v>
      </c>
      <c r="CV69" s="331" t="s">
        <v>984</v>
      </c>
      <c r="CW69" s="331" t="s">
        <v>984</v>
      </c>
      <c r="CX69" s="331" t="s">
        <v>984</v>
      </c>
      <c r="CY69" s="331" t="s">
        <v>984</v>
      </c>
      <c r="CZ69" s="331" t="s">
        <v>984</v>
      </c>
      <c r="DA69" s="331" t="s">
        <v>984</v>
      </c>
      <c r="DB69" s="331" t="s">
        <v>984</v>
      </c>
      <c r="DC69" s="331" t="s">
        <v>984</v>
      </c>
      <c r="DD69" s="331" t="s">
        <v>984</v>
      </c>
      <c r="DE69" s="331" t="s">
        <v>984</v>
      </c>
      <c r="DF69" s="331" t="s">
        <v>984</v>
      </c>
      <c r="DG69" s="331" t="s">
        <v>984</v>
      </c>
      <c r="DH69" s="331" t="s">
        <v>984</v>
      </c>
      <c r="DI69" s="331" t="s">
        <v>984</v>
      </c>
      <c r="DJ69" s="331" t="s">
        <v>428</v>
      </c>
      <c r="DK69" s="331" t="s">
        <v>984</v>
      </c>
      <c r="DL69" s="331" t="s">
        <v>984</v>
      </c>
      <c r="DM69" s="331" t="s">
        <v>984</v>
      </c>
      <c r="DN69" s="331" t="s">
        <v>984</v>
      </c>
      <c r="DO69" s="331" t="s">
        <v>984</v>
      </c>
      <c r="DP69" s="331" t="s">
        <v>984</v>
      </c>
      <c r="DQ69" s="331" t="s">
        <v>984</v>
      </c>
      <c r="DR69" s="331" t="s">
        <v>984</v>
      </c>
      <c r="DS69" s="331" t="s">
        <v>984</v>
      </c>
      <c r="DT69" s="331" t="s">
        <v>984</v>
      </c>
      <c r="DU69" s="331" t="s">
        <v>984</v>
      </c>
      <c r="DV69" s="331" t="s">
        <v>984</v>
      </c>
      <c r="DW69" s="331" t="s">
        <v>984</v>
      </c>
      <c r="DX69" s="331" t="s">
        <v>984</v>
      </c>
      <c r="DY69" s="331" t="s">
        <v>984</v>
      </c>
      <c r="DZ69" s="331" t="s">
        <v>984</v>
      </c>
      <c r="EA69" s="331" t="s">
        <v>984</v>
      </c>
      <c r="EB69" s="331" t="s">
        <v>984</v>
      </c>
      <c r="EC69" s="331" t="s">
        <v>984</v>
      </c>
      <c r="ED69" s="331" t="s">
        <v>984</v>
      </c>
      <c r="EE69" s="331" t="s">
        <v>984</v>
      </c>
      <c r="EF69" s="331" t="s">
        <v>984</v>
      </c>
      <c r="EG69" s="331" t="s">
        <v>984</v>
      </c>
      <c r="EH69" s="331" t="s">
        <v>984</v>
      </c>
      <c r="EI69" s="331" t="s">
        <v>984</v>
      </c>
      <c r="EJ69" s="331" t="s">
        <v>984</v>
      </c>
      <c r="EK69" s="331" t="s">
        <v>984</v>
      </c>
      <c r="EL69" s="331" t="s">
        <v>984</v>
      </c>
      <c r="EM69" s="331" t="s">
        <v>984</v>
      </c>
      <c r="EN69" s="331" t="s">
        <v>984</v>
      </c>
      <c r="EO69" s="331" t="s">
        <v>984</v>
      </c>
      <c r="EP69" s="331" t="s">
        <v>984</v>
      </c>
      <c r="EQ69" s="331" t="s">
        <v>984</v>
      </c>
      <c r="ER69" s="331" t="s">
        <v>984</v>
      </c>
      <c r="ES69" s="331" t="s">
        <v>984</v>
      </c>
      <c r="ET69" s="331" t="s">
        <v>984</v>
      </c>
      <c r="EU69" s="331" t="s">
        <v>984</v>
      </c>
      <c r="EV69" s="331" t="s">
        <v>984</v>
      </c>
      <c r="EW69" s="331" t="s">
        <v>984</v>
      </c>
      <c r="EX69" s="331" t="s">
        <v>984</v>
      </c>
      <c r="EY69" s="331" t="s">
        <v>984</v>
      </c>
      <c r="EZ69" s="331" t="s">
        <v>428</v>
      </c>
      <c r="FA69" s="331" t="s">
        <v>984</v>
      </c>
      <c r="FB69" s="331" t="s">
        <v>984</v>
      </c>
      <c r="FC69" s="331" t="s">
        <v>984</v>
      </c>
      <c r="FD69" s="331" t="s">
        <v>984</v>
      </c>
      <c r="FE69" s="331" t="s">
        <v>984</v>
      </c>
      <c r="FF69" s="331" t="s">
        <v>984</v>
      </c>
      <c r="FG69" s="331" t="s">
        <v>984</v>
      </c>
      <c r="FH69" s="331" t="s">
        <v>984</v>
      </c>
      <c r="FI69" s="331" t="s">
        <v>984</v>
      </c>
      <c r="FJ69" s="331" t="s">
        <v>984</v>
      </c>
      <c r="FK69" s="331" t="s">
        <v>984</v>
      </c>
      <c r="FL69" s="331" t="s">
        <v>984</v>
      </c>
      <c r="FM69" s="331" t="s">
        <v>984</v>
      </c>
      <c r="FN69" s="331" t="s">
        <v>984</v>
      </c>
      <c r="FO69" s="331" t="s">
        <v>984</v>
      </c>
      <c r="FP69" s="331" t="s">
        <v>984</v>
      </c>
      <c r="FQ69" s="331" t="s">
        <v>984</v>
      </c>
      <c r="FR69" s="331" t="s">
        <v>428</v>
      </c>
      <c r="FS69" s="331" t="s">
        <v>190</v>
      </c>
      <c r="FT69" s="331" t="s">
        <v>984</v>
      </c>
      <c r="FU69" s="331" t="s">
        <v>984</v>
      </c>
      <c r="FV69" s="331" t="s">
        <v>190</v>
      </c>
      <c r="FW69" s="331" t="s">
        <v>984</v>
      </c>
      <c r="FX69" s="331" t="s">
        <v>984</v>
      </c>
      <c r="FY69" s="331" t="s">
        <v>984</v>
      </c>
      <c r="FZ69" s="331" t="s">
        <v>984</v>
      </c>
      <c r="GA69" s="331" t="s">
        <v>984</v>
      </c>
      <c r="GB69" s="331" t="s">
        <v>984</v>
      </c>
      <c r="GC69" s="331" t="s">
        <v>984</v>
      </c>
      <c r="GD69" s="331" t="s">
        <v>984</v>
      </c>
      <c r="GE69" s="331" t="s">
        <v>984</v>
      </c>
      <c r="GF69" s="331" t="s">
        <v>984</v>
      </c>
      <c r="GG69" s="331" t="s">
        <v>428</v>
      </c>
      <c r="GH69" s="331" t="s">
        <v>984</v>
      </c>
      <c r="GI69" s="331" t="s">
        <v>984</v>
      </c>
      <c r="GJ69" s="331" t="s">
        <v>984</v>
      </c>
      <c r="GK69" s="331" t="s">
        <v>984</v>
      </c>
      <c r="GL69" s="331" t="s">
        <v>984</v>
      </c>
      <c r="GM69" s="331" t="s">
        <v>984</v>
      </c>
      <c r="GN69" s="331" t="s">
        <v>984</v>
      </c>
      <c r="GO69" s="331" t="s">
        <v>984</v>
      </c>
      <c r="GP69" s="331" t="s">
        <v>984</v>
      </c>
      <c r="GQ69" s="331" t="s">
        <v>984</v>
      </c>
      <c r="GR69" s="331" t="s">
        <v>984</v>
      </c>
      <c r="GS69" s="331" t="s">
        <v>984</v>
      </c>
      <c r="GT69" s="331" t="s">
        <v>984</v>
      </c>
      <c r="GU69" s="331" t="s">
        <v>984</v>
      </c>
      <c r="GV69" s="331" t="s">
        <v>984</v>
      </c>
      <c r="GW69" s="331" t="s">
        <v>984</v>
      </c>
      <c r="GX69" s="331" t="s">
        <v>984</v>
      </c>
      <c r="GY69" s="331" t="s">
        <v>984</v>
      </c>
      <c r="GZ69" s="331" t="s">
        <v>984</v>
      </c>
      <c r="HA69" s="331" t="s">
        <v>984</v>
      </c>
      <c r="HB69" s="331" t="s">
        <v>984</v>
      </c>
      <c r="HC69" s="331" t="s">
        <v>984</v>
      </c>
      <c r="HD69" s="331" t="s">
        <v>984</v>
      </c>
      <c r="HE69" s="331" t="s">
        <v>984</v>
      </c>
      <c r="HF69" s="331" t="s">
        <v>984</v>
      </c>
      <c r="HG69" s="331" t="s">
        <v>984</v>
      </c>
      <c r="HH69" s="331" t="s">
        <v>984</v>
      </c>
      <c r="HI69" s="331" t="s">
        <v>984</v>
      </c>
      <c r="HJ69" s="331" t="s">
        <v>984</v>
      </c>
      <c r="HK69" s="331" t="s">
        <v>984</v>
      </c>
      <c r="HL69" s="331" t="s">
        <v>984</v>
      </c>
      <c r="HM69" s="331" t="s">
        <v>190</v>
      </c>
      <c r="HN69" s="331" t="s">
        <v>190</v>
      </c>
      <c r="HO69" s="331" t="s">
        <v>190</v>
      </c>
      <c r="HP69" s="331" t="s">
        <v>190</v>
      </c>
      <c r="HQ69" s="331" t="s">
        <v>169</v>
      </c>
      <c r="HR69" s="331" t="s">
        <v>169</v>
      </c>
      <c r="HS69" s="331" t="s">
        <v>169</v>
      </c>
      <c r="HT69" s="331" t="s">
        <v>427</v>
      </c>
      <c r="HU69" s="331" t="s">
        <v>428</v>
      </c>
      <c r="HV69" s="331" t="s">
        <v>428</v>
      </c>
    </row>
    <row r="70" spans="1:230" s="70" customFormat="1" x14ac:dyDescent="0.25">
      <c r="A70" s="330" t="str">
        <f>HYPERLINK("http://www.ofsted.gov.uk/inspection-reports/find-inspection-report/provider/ELS/145962 ","Ofsted School Webpage")</f>
        <v>Ofsted School Webpage</v>
      </c>
      <c r="B70" s="331">
        <v>145962</v>
      </c>
      <c r="C70" s="331">
        <v>9196009</v>
      </c>
      <c r="D70" s="331" t="s">
        <v>2517</v>
      </c>
      <c r="E70" s="331" t="s">
        <v>168</v>
      </c>
      <c r="F70" s="331" t="s">
        <v>451</v>
      </c>
      <c r="G70" s="331" t="s">
        <v>451</v>
      </c>
      <c r="H70" s="331" t="s">
        <v>489</v>
      </c>
      <c r="I70" s="331" t="s">
        <v>2518</v>
      </c>
      <c r="J70" s="331" t="s">
        <v>81</v>
      </c>
      <c r="K70" s="331" t="s">
        <v>81</v>
      </c>
      <c r="L70" s="331" t="s">
        <v>81</v>
      </c>
      <c r="M70" s="331" t="s">
        <v>78</v>
      </c>
      <c r="N70" s="331" t="s">
        <v>424</v>
      </c>
      <c r="O70" s="331">
        <v>10119754</v>
      </c>
      <c r="P70" s="332">
        <v>43747</v>
      </c>
      <c r="Q70" s="332">
        <v>43747</v>
      </c>
      <c r="R70" s="332">
        <v>43773</v>
      </c>
      <c r="S70" s="331" t="s">
        <v>985</v>
      </c>
      <c r="T70" s="331" t="s">
        <v>982</v>
      </c>
      <c r="U70" s="331" t="s">
        <v>427</v>
      </c>
      <c r="V70" s="331" t="s">
        <v>166</v>
      </c>
      <c r="W70" s="331" t="s">
        <v>191</v>
      </c>
      <c r="X70" s="331" t="s">
        <v>191</v>
      </c>
      <c r="Y70" s="331" t="s">
        <v>191</v>
      </c>
      <c r="Z70" s="331" t="s">
        <v>191</v>
      </c>
      <c r="AA70" s="331" t="s">
        <v>984</v>
      </c>
      <c r="AB70" s="331" t="s">
        <v>190</v>
      </c>
      <c r="AC70" s="331" t="s">
        <v>984</v>
      </c>
      <c r="AD70" s="331" t="s">
        <v>984</v>
      </c>
      <c r="AE70" s="331" t="s">
        <v>984</v>
      </c>
      <c r="AF70" s="331" t="s">
        <v>190</v>
      </c>
      <c r="AG70" s="331" t="s">
        <v>190</v>
      </c>
      <c r="AH70" s="331" t="s">
        <v>984</v>
      </c>
      <c r="AI70" s="331" t="s">
        <v>984</v>
      </c>
      <c r="AJ70" s="331" t="s">
        <v>984</v>
      </c>
      <c r="AK70" s="331" t="s">
        <v>984</v>
      </c>
      <c r="AL70" s="331" t="s">
        <v>984</v>
      </c>
      <c r="AM70" s="331" t="s">
        <v>984</v>
      </c>
      <c r="AN70" s="331" t="s">
        <v>190</v>
      </c>
      <c r="AO70" s="331" t="s">
        <v>984</v>
      </c>
      <c r="AP70" s="331" t="s">
        <v>984</v>
      </c>
      <c r="AQ70" s="331" t="s">
        <v>191</v>
      </c>
      <c r="AR70" s="331" t="s">
        <v>190</v>
      </c>
      <c r="AS70" s="331" t="s">
        <v>984</v>
      </c>
      <c r="AT70" s="331" t="s">
        <v>191</v>
      </c>
      <c r="AU70" s="331" t="s">
        <v>190</v>
      </c>
      <c r="AV70" s="331" t="s">
        <v>190</v>
      </c>
      <c r="AW70" s="331" t="s">
        <v>984</v>
      </c>
      <c r="AX70" s="331" t="s">
        <v>191</v>
      </c>
      <c r="AY70" s="331" t="s">
        <v>984</v>
      </c>
      <c r="AZ70" s="331" t="s">
        <v>984</v>
      </c>
      <c r="BA70" s="331" t="s">
        <v>984</v>
      </c>
      <c r="BB70" s="331" t="s">
        <v>984</v>
      </c>
      <c r="BC70" s="331" t="s">
        <v>984</v>
      </c>
      <c r="BD70" s="331" t="s">
        <v>984</v>
      </c>
      <c r="BE70" s="331" t="s">
        <v>984</v>
      </c>
      <c r="BF70" s="331" t="s">
        <v>984</v>
      </c>
      <c r="BG70" s="331" t="s">
        <v>984</v>
      </c>
      <c r="BH70" s="331" t="s">
        <v>984</v>
      </c>
      <c r="BI70" s="331" t="s">
        <v>984</v>
      </c>
      <c r="BJ70" s="331" t="s">
        <v>984</v>
      </c>
      <c r="BK70" s="331" t="s">
        <v>984</v>
      </c>
      <c r="BL70" s="331" t="s">
        <v>984</v>
      </c>
      <c r="BM70" s="331" t="s">
        <v>984</v>
      </c>
      <c r="BN70" s="331" t="s">
        <v>984</v>
      </c>
      <c r="BO70" s="331" t="s">
        <v>984</v>
      </c>
      <c r="BP70" s="331" t="s">
        <v>984</v>
      </c>
      <c r="BQ70" s="331" t="s">
        <v>984</v>
      </c>
      <c r="BR70" s="331" t="s">
        <v>191</v>
      </c>
      <c r="BS70" s="331" t="s">
        <v>191</v>
      </c>
      <c r="BT70" s="331" t="s">
        <v>190</v>
      </c>
      <c r="BU70" s="331" t="s">
        <v>984</v>
      </c>
      <c r="BV70" s="331" t="s">
        <v>984</v>
      </c>
      <c r="BW70" s="331" t="s">
        <v>984</v>
      </c>
      <c r="BX70" s="331" t="s">
        <v>190</v>
      </c>
      <c r="BY70" s="331" t="s">
        <v>190</v>
      </c>
      <c r="BZ70" s="331" t="s">
        <v>190</v>
      </c>
      <c r="CA70" s="331" t="s">
        <v>190</v>
      </c>
      <c r="CB70" s="331" t="s">
        <v>984</v>
      </c>
      <c r="CC70" s="331" t="s">
        <v>190</v>
      </c>
      <c r="CD70" s="331" t="s">
        <v>984</v>
      </c>
      <c r="CE70" s="331" t="s">
        <v>190</v>
      </c>
      <c r="CF70" s="331" t="s">
        <v>984</v>
      </c>
      <c r="CG70" s="331" t="s">
        <v>984</v>
      </c>
      <c r="CH70" s="331" t="s">
        <v>190</v>
      </c>
      <c r="CI70" s="331" t="s">
        <v>190</v>
      </c>
      <c r="CJ70" s="331" t="s">
        <v>190</v>
      </c>
      <c r="CK70" s="331" t="s">
        <v>190</v>
      </c>
      <c r="CL70" s="331" t="s">
        <v>190</v>
      </c>
      <c r="CM70" s="331" t="s">
        <v>190</v>
      </c>
      <c r="CN70" s="331" t="s">
        <v>190</v>
      </c>
      <c r="CO70" s="331" t="s">
        <v>190</v>
      </c>
      <c r="CP70" s="331" t="s">
        <v>190</v>
      </c>
      <c r="CQ70" s="331" t="s">
        <v>190</v>
      </c>
      <c r="CR70" s="331" t="s">
        <v>190</v>
      </c>
      <c r="CS70" s="331" t="s">
        <v>190</v>
      </c>
      <c r="CT70" s="331" t="s">
        <v>190</v>
      </c>
      <c r="CU70" s="331" t="s">
        <v>428</v>
      </c>
      <c r="CV70" s="331" t="s">
        <v>190</v>
      </c>
      <c r="CW70" s="331" t="s">
        <v>190</v>
      </c>
      <c r="CX70" s="331" t="s">
        <v>190</v>
      </c>
      <c r="CY70" s="331" t="s">
        <v>190</v>
      </c>
      <c r="CZ70" s="331" t="s">
        <v>190</v>
      </c>
      <c r="DA70" s="331" t="s">
        <v>190</v>
      </c>
      <c r="DB70" s="331" t="s">
        <v>190</v>
      </c>
      <c r="DC70" s="331" t="s">
        <v>190</v>
      </c>
      <c r="DD70" s="331" t="s">
        <v>190</v>
      </c>
      <c r="DE70" s="331" t="s">
        <v>190</v>
      </c>
      <c r="DF70" s="331" t="s">
        <v>190</v>
      </c>
      <c r="DG70" s="331" t="s">
        <v>190</v>
      </c>
      <c r="DH70" s="331" t="s">
        <v>190</v>
      </c>
      <c r="DI70" s="331" t="s">
        <v>190</v>
      </c>
      <c r="DJ70" s="331" t="s">
        <v>428</v>
      </c>
      <c r="DK70" s="331" t="s">
        <v>190</v>
      </c>
      <c r="DL70" s="331" t="s">
        <v>190</v>
      </c>
      <c r="DM70" s="331" t="s">
        <v>190</v>
      </c>
      <c r="DN70" s="331" t="s">
        <v>190</v>
      </c>
      <c r="DO70" s="331" t="s">
        <v>190</v>
      </c>
      <c r="DP70" s="331" t="s">
        <v>190</v>
      </c>
      <c r="DQ70" s="331" t="s">
        <v>190</v>
      </c>
      <c r="DR70" s="331" t="s">
        <v>190</v>
      </c>
      <c r="DS70" s="331" t="s">
        <v>190</v>
      </c>
      <c r="DT70" s="331" t="s">
        <v>190</v>
      </c>
      <c r="DU70" s="331" t="s">
        <v>190</v>
      </c>
      <c r="DV70" s="331" t="s">
        <v>190</v>
      </c>
      <c r="DW70" s="331" t="s">
        <v>190</v>
      </c>
      <c r="DX70" s="331" t="s">
        <v>190</v>
      </c>
      <c r="DY70" s="331" t="s">
        <v>190</v>
      </c>
      <c r="DZ70" s="331" t="s">
        <v>190</v>
      </c>
      <c r="EA70" s="331" t="s">
        <v>190</v>
      </c>
      <c r="EB70" s="331" t="s">
        <v>190</v>
      </c>
      <c r="EC70" s="331" t="s">
        <v>190</v>
      </c>
      <c r="ED70" s="331" t="s">
        <v>190</v>
      </c>
      <c r="EE70" s="331" t="s">
        <v>190</v>
      </c>
      <c r="EF70" s="331" t="s">
        <v>190</v>
      </c>
      <c r="EG70" s="331" t="s">
        <v>190</v>
      </c>
      <c r="EH70" s="331" t="s">
        <v>428</v>
      </c>
      <c r="EI70" s="331" t="s">
        <v>190</v>
      </c>
      <c r="EJ70" s="331" t="s">
        <v>190</v>
      </c>
      <c r="EK70" s="331" t="s">
        <v>190</v>
      </c>
      <c r="EL70" s="331" t="s">
        <v>190</v>
      </c>
      <c r="EM70" s="331" t="s">
        <v>190</v>
      </c>
      <c r="EN70" s="331" t="s">
        <v>190</v>
      </c>
      <c r="EO70" s="331" t="s">
        <v>190</v>
      </c>
      <c r="EP70" s="331" t="s">
        <v>190</v>
      </c>
      <c r="EQ70" s="331" t="s">
        <v>190</v>
      </c>
      <c r="ER70" s="331" t="s">
        <v>190</v>
      </c>
      <c r="ES70" s="331" t="s">
        <v>984</v>
      </c>
      <c r="ET70" s="331" t="s">
        <v>984</v>
      </c>
      <c r="EU70" s="331" t="s">
        <v>984</v>
      </c>
      <c r="EV70" s="331" t="s">
        <v>984</v>
      </c>
      <c r="EW70" s="331" t="s">
        <v>984</v>
      </c>
      <c r="EX70" s="331" t="s">
        <v>984</v>
      </c>
      <c r="EY70" s="331" t="s">
        <v>984</v>
      </c>
      <c r="EZ70" s="331" t="s">
        <v>984</v>
      </c>
      <c r="FA70" s="331" t="s">
        <v>984</v>
      </c>
      <c r="FB70" s="331" t="s">
        <v>984</v>
      </c>
      <c r="FC70" s="331" t="s">
        <v>984</v>
      </c>
      <c r="FD70" s="331" t="s">
        <v>984</v>
      </c>
      <c r="FE70" s="331" t="s">
        <v>984</v>
      </c>
      <c r="FF70" s="331" t="s">
        <v>984</v>
      </c>
      <c r="FG70" s="331" t="s">
        <v>190</v>
      </c>
      <c r="FH70" s="331" t="s">
        <v>190</v>
      </c>
      <c r="FI70" s="331" t="s">
        <v>984</v>
      </c>
      <c r="FJ70" s="331" t="s">
        <v>190</v>
      </c>
      <c r="FK70" s="331" t="s">
        <v>984</v>
      </c>
      <c r="FL70" s="331" t="s">
        <v>190</v>
      </c>
      <c r="FM70" s="331" t="s">
        <v>190</v>
      </c>
      <c r="FN70" s="331" t="s">
        <v>190</v>
      </c>
      <c r="FO70" s="331" t="s">
        <v>984</v>
      </c>
      <c r="FP70" s="331" t="s">
        <v>984</v>
      </c>
      <c r="FQ70" s="331" t="s">
        <v>984</v>
      </c>
      <c r="FR70" s="331" t="s">
        <v>984</v>
      </c>
      <c r="FS70" s="331" t="s">
        <v>191</v>
      </c>
      <c r="FT70" s="331" t="s">
        <v>984</v>
      </c>
      <c r="FU70" s="331" t="s">
        <v>191</v>
      </c>
      <c r="FV70" s="331" t="s">
        <v>191</v>
      </c>
      <c r="FW70" s="331" t="s">
        <v>984</v>
      </c>
      <c r="FX70" s="331" t="s">
        <v>984</v>
      </c>
      <c r="FY70" s="331" t="s">
        <v>984</v>
      </c>
      <c r="FZ70" s="331" t="s">
        <v>984</v>
      </c>
      <c r="GA70" s="331" t="s">
        <v>190</v>
      </c>
      <c r="GB70" s="331" t="s">
        <v>190</v>
      </c>
      <c r="GC70" s="331" t="s">
        <v>984</v>
      </c>
      <c r="GD70" s="331" t="s">
        <v>984</v>
      </c>
      <c r="GE70" s="331" t="s">
        <v>984</v>
      </c>
      <c r="GF70" s="331" t="s">
        <v>984</v>
      </c>
      <c r="GG70" s="331" t="s">
        <v>984</v>
      </c>
      <c r="GH70" s="331" t="s">
        <v>984</v>
      </c>
      <c r="GI70" s="331" t="s">
        <v>984</v>
      </c>
      <c r="GJ70" s="331" t="s">
        <v>984</v>
      </c>
      <c r="GK70" s="331" t="s">
        <v>191</v>
      </c>
      <c r="GL70" s="331" t="s">
        <v>984</v>
      </c>
      <c r="GM70" s="331" t="s">
        <v>984</v>
      </c>
      <c r="GN70" s="331" t="s">
        <v>191</v>
      </c>
      <c r="GO70" s="331" t="s">
        <v>984</v>
      </c>
      <c r="GP70" s="331" t="s">
        <v>984</v>
      </c>
      <c r="GQ70" s="331" t="s">
        <v>984</v>
      </c>
      <c r="GR70" s="331" t="s">
        <v>984</v>
      </c>
      <c r="GS70" s="331" t="s">
        <v>984</v>
      </c>
      <c r="GT70" s="331" t="s">
        <v>984</v>
      </c>
      <c r="GU70" s="331" t="s">
        <v>984</v>
      </c>
      <c r="GV70" s="331" t="s">
        <v>984</v>
      </c>
      <c r="GW70" s="331" t="s">
        <v>984</v>
      </c>
      <c r="GX70" s="331" t="s">
        <v>984</v>
      </c>
      <c r="GY70" s="331" t="s">
        <v>984</v>
      </c>
      <c r="GZ70" s="331" t="s">
        <v>984</v>
      </c>
      <c r="HA70" s="331" t="s">
        <v>984</v>
      </c>
      <c r="HB70" s="331" t="s">
        <v>984</v>
      </c>
      <c r="HC70" s="331" t="s">
        <v>984</v>
      </c>
      <c r="HD70" s="331" t="s">
        <v>984</v>
      </c>
      <c r="HE70" s="331" t="s">
        <v>984</v>
      </c>
      <c r="HF70" s="331" t="s">
        <v>984</v>
      </c>
      <c r="HG70" s="331" t="s">
        <v>984</v>
      </c>
      <c r="HH70" s="331" t="s">
        <v>984</v>
      </c>
      <c r="HI70" s="331" t="s">
        <v>984</v>
      </c>
      <c r="HJ70" s="331" t="s">
        <v>984</v>
      </c>
      <c r="HK70" s="331" t="s">
        <v>984</v>
      </c>
      <c r="HL70" s="331" t="s">
        <v>984</v>
      </c>
      <c r="HM70" s="331" t="s">
        <v>191</v>
      </c>
      <c r="HN70" s="331" t="s">
        <v>191</v>
      </c>
      <c r="HO70" s="331" t="s">
        <v>191</v>
      </c>
      <c r="HP70" s="331" t="s">
        <v>191</v>
      </c>
      <c r="HQ70" s="331" t="s">
        <v>170</v>
      </c>
      <c r="HR70" s="331" t="s">
        <v>429</v>
      </c>
      <c r="HS70" s="331" t="s">
        <v>169</v>
      </c>
      <c r="HT70" s="331" t="s">
        <v>427</v>
      </c>
      <c r="HU70" s="331" t="s">
        <v>428</v>
      </c>
      <c r="HV70" s="331" t="s">
        <v>428</v>
      </c>
    </row>
    <row r="71" spans="1:230" s="70" customFormat="1" x14ac:dyDescent="0.25">
      <c r="A71" s="330" t="str">
        <f>HYPERLINK("http://www.ofsted.gov.uk/inspection-reports/find-inspection-report/provider/ELS/101948 ","Ofsted School Webpage")</f>
        <v>Ofsted School Webpage</v>
      </c>
      <c r="B71" s="331">
        <v>101948</v>
      </c>
      <c r="C71" s="331">
        <v>3076050</v>
      </c>
      <c r="D71" s="331" t="s">
        <v>2727</v>
      </c>
      <c r="E71" s="331" t="s">
        <v>167</v>
      </c>
      <c r="F71" s="331" t="s">
        <v>441</v>
      </c>
      <c r="G71" s="331" t="s">
        <v>441</v>
      </c>
      <c r="H71" s="331" t="s">
        <v>442</v>
      </c>
      <c r="I71" s="331" t="s">
        <v>1118</v>
      </c>
      <c r="J71" s="331" t="s">
        <v>81</v>
      </c>
      <c r="K71" s="331" t="s">
        <v>81</v>
      </c>
      <c r="L71" s="331" t="s">
        <v>81</v>
      </c>
      <c r="M71" s="331" t="s">
        <v>78</v>
      </c>
      <c r="N71" s="331" t="s">
        <v>424</v>
      </c>
      <c r="O71" s="331">
        <v>10125076</v>
      </c>
      <c r="P71" s="332">
        <v>43749</v>
      </c>
      <c r="Q71" s="332">
        <v>43749</v>
      </c>
      <c r="R71" s="332">
        <v>43789</v>
      </c>
      <c r="S71" s="331" t="s">
        <v>985</v>
      </c>
      <c r="T71" s="331" t="s">
        <v>982</v>
      </c>
      <c r="U71" s="331" t="s">
        <v>447</v>
      </c>
      <c r="V71" s="331" t="s">
        <v>166</v>
      </c>
      <c r="W71" s="331" t="s">
        <v>984</v>
      </c>
      <c r="X71" s="331" t="s">
        <v>984</v>
      </c>
      <c r="Y71" s="331" t="s">
        <v>984</v>
      </c>
      <c r="Z71" s="331" t="s">
        <v>984</v>
      </c>
      <c r="AA71" s="331" t="s">
        <v>984</v>
      </c>
      <c r="AB71" s="331" t="s">
        <v>984</v>
      </c>
      <c r="AC71" s="331" t="s">
        <v>984</v>
      </c>
      <c r="AD71" s="331" t="s">
        <v>984</v>
      </c>
      <c r="AE71" s="331" t="s">
        <v>428</v>
      </c>
      <c r="AF71" s="331" t="s">
        <v>984</v>
      </c>
      <c r="AG71" s="331" t="s">
        <v>984</v>
      </c>
      <c r="AH71" s="331" t="s">
        <v>984</v>
      </c>
      <c r="AI71" s="331" t="s">
        <v>984</v>
      </c>
      <c r="AJ71" s="331" t="s">
        <v>984</v>
      </c>
      <c r="AK71" s="331" t="s">
        <v>984</v>
      </c>
      <c r="AL71" s="331" t="s">
        <v>984</v>
      </c>
      <c r="AM71" s="331" t="s">
        <v>984</v>
      </c>
      <c r="AN71" s="331" t="s">
        <v>428</v>
      </c>
      <c r="AO71" s="331" t="s">
        <v>984</v>
      </c>
      <c r="AP71" s="331" t="s">
        <v>984</v>
      </c>
      <c r="AQ71" s="331" t="s">
        <v>984</v>
      </c>
      <c r="AR71" s="331" t="s">
        <v>984</v>
      </c>
      <c r="AS71" s="331" t="s">
        <v>984</v>
      </c>
      <c r="AT71" s="331" t="s">
        <v>984</v>
      </c>
      <c r="AU71" s="331" t="s">
        <v>984</v>
      </c>
      <c r="AV71" s="331" t="s">
        <v>984</v>
      </c>
      <c r="AW71" s="331" t="s">
        <v>984</v>
      </c>
      <c r="AX71" s="331" t="s">
        <v>984</v>
      </c>
      <c r="AY71" s="331" t="s">
        <v>984</v>
      </c>
      <c r="AZ71" s="331" t="s">
        <v>984</v>
      </c>
      <c r="BA71" s="331" t="s">
        <v>984</v>
      </c>
      <c r="BB71" s="331" t="s">
        <v>984</v>
      </c>
      <c r="BC71" s="331" t="s">
        <v>984</v>
      </c>
      <c r="BD71" s="331" t="s">
        <v>984</v>
      </c>
      <c r="BE71" s="331" t="s">
        <v>984</v>
      </c>
      <c r="BF71" s="331" t="s">
        <v>984</v>
      </c>
      <c r="BG71" s="331" t="s">
        <v>984</v>
      </c>
      <c r="BH71" s="331" t="s">
        <v>984</v>
      </c>
      <c r="BI71" s="331" t="s">
        <v>984</v>
      </c>
      <c r="BJ71" s="331" t="s">
        <v>984</v>
      </c>
      <c r="BK71" s="331" t="s">
        <v>984</v>
      </c>
      <c r="BL71" s="331" t="s">
        <v>984</v>
      </c>
      <c r="BM71" s="331" t="s">
        <v>984</v>
      </c>
      <c r="BN71" s="331" t="s">
        <v>984</v>
      </c>
      <c r="BO71" s="331" t="s">
        <v>984</v>
      </c>
      <c r="BP71" s="331" t="s">
        <v>984</v>
      </c>
      <c r="BQ71" s="331" t="s">
        <v>984</v>
      </c>
      <c r="BR71" s="331" t="s">
        <v>191</v>
      </c>
      <c r="BS71" s="331" t="s">
        <v>191</v>
      </c>
      <c r="BT71" s="331" t="s">
        <v>191</v>
      </c>
      <c r="BU71" s="331" t="s">
        <v>428</v>
      </c>
      <c r="BV71" s="331" t="s">
        <v>428</v>
      </c>
      <c r="BW71" s="331" t="s">
        <v>428</v>
      </c>
      <c r="BX71" s="331" t="s">
        <v>984</v>
      </c>
      <c r="BY71" s="331" t="s">
        <v>984</v>
      </c>
      <c r="BZ71" s="331" t="s">
        <v>984</v>
      </c>
      <c r="CA71" s="331" t="s">
        <v>984</v>
      </c>
      <c r="CB71" s="331" t="s">
        <v>984</v>
      </c>
      <c r="CC71" s="331" t="s">
        <v>984</v>
      </c>
      <c r="CD71" s="331" t="s">
        <v>984</v>
      </c>
      <c r="CE71" s="331" t="s">
        <v>984</v>
      </c>
      <c r="CF71" s="331" t="s">
        <v>984</v>
      </c>
      <c r="CG71" s="331" t="s">
        <v>191</v>
      </c>
      <c r="CH71" s="331" t="s">
        <v>984</v>
      </c>
      <c r="CI71" s="331" t="s">
        <v>984</v>
      </c>
      <c r="CJ71" s="331" t="s">
        <v>984</v>
      </c>
      <c r="CK71" s="331" t="s">
        <v>984</v>
      </c>
      <c r="CL71" s="331" t="s">
        <v>984</v>
      </c>
      <c r="CM71" s="331" t="s">
        <v>984</v>
      </c>
      <c r="CN71" s="331" t="s">
        <v>984</v>
      </c>
      <c r="CO71" s="331" t="s">
        <v>984</v>
      </c>
      <c r="CP71" s="331" t="s">
        <v>984</v>
      </c>
      <c r="CQ71" s="331" t="s">
        <v>984</v>
      </c>
      <c r="CR71" s="331" t="s">
        <v>984</v>
      </c>
      <c r="CS71" s="331" t="s">
        <v>984</v>
      </c>
      <c r="CT71" s="331" t="s">
        <v>984</v>
      </c>
      <c r="CU71" s="331" t="s">
        <v>428</v>
      </c>
      <c r="CV71" s="331" t="s">
        <v>984</v>
      </c>
      <c r="CW71" s="331" t="s">
        <v>984</v>
      </c>
      <c r="CX71" s="331" t="s">
        <v>984</v>
      </c>
      <c r="CY71" s="331" t="s">
        <v>984</v>
      </c>
      <c r="CZ71" s="331" t="s">
        <v>984</v>
      </c>
      <c r="DA71" s="331" t="s">
        <v>984</v>
      </c>
      <c r="DB71" s="331" t="s">
        <v>984</v>
      </c>
      <c r="DC71" s="331" t="s">
        <v>984</v>
      </c>
      <c r="DD71" s="331" t="s">
        <v>984</v>
      </c>
      <c r="DE71" s="331" t="s">
        <v>984</v>
      </c>
      <c r="DF71" s="331" t="s">
        <v>984</v>
      </c>
      <c r="DG71" s="331" t="s">
        <v>984</v>
      </c>
      <c r="DH71" s="331" t="s">
        <v>984</v>
      </c>
      <c r="DI71" s="331" t="s">
        <v>984</v>
      </c>
      <c r="DJ71" s="331" t="s">
        <v>428</v>
      </c>
      <c r="DK71" s="331" t="s">
        <v>984</v>
      </c>
      <c r="DL71" s="331" t="s">
        <v>984</v>
      </c>
      <c r="DM71" s="331" t="s">
        <v>984</v>
      </c>
      <c r="DN71" s="331" t="s">
        <v>984</v>
      </c>
      <c r="DO71" s="331" t="s">
        <v>984</v>
      </c>
      <c r="DP71" s="331" t="s">
        <v>984</v>
      </c>
      <c r="DQ71" s="331" t="s">
        <v>984</v>
      </c>
      <c r="DR71" s="331" t="s">
        <v>984</v>
      </c>
      <c r="DS71" s="331" t="s">
        <v>984</v>
      </c>
      <c r="DT71" s="331" t="s">
        <v>984</v>
      </c>
      <c r="DU71" s="331" t="s">
        <v>984</v>
      </c>
      <c r="DV71" s="331" t="s">
        <v>984</v>
      </c>
      <c r="DW71" s="331" t="s">
        <v>984</v>
      </c>
      <c r="DX71" s="331" t="s">
        <v>984</v>
      </c>
      <c r="DY71" s="331" t="s">
        <v>984</v>
      </c>
      <c r="DZ71" s="331" t="s">
        <v>984</v>
      </c>
      <c r="EA71" s="331" t="s">
        <v>984</v>
      </c>
      <c r="EB71" s="331" t="s">
        <v>984</v>
      </c>
      <c r="EC71" s="331" t="s">
        <v>984</v>
      </c>
      <c r="ED71" s="331" t="s">
        <v>984</v>
      </c>
      <c r="EE71" s="331" t="s">
        <v>984</v>
      </c>
      <c r="EF71" s="331" t="s">
        <v>984</v>
      </c>
      <c r="EG71" s="331" t="s">
        <v>984</v>
      </c>
      <c r="EH71" s="331" t="s">
        <v>984</v>
      </c>
      <c r="EI71" s="331" t="s">
        <v>984</v>
      </c>
      <c r="EJ71" s="331" t="s">
        <v>984</v>
      </c>
      <c r="EK71" s="331" t="s">
        <v>984</v>
      </c>
      <c r="EL71" s="331" t="s">
        <v>984</v>
      </c>
      <c r="EM71" s="331" t="s">
        <v>984</v>
      </c>
      <c r="EN71" s="331" t="s">
        <v>984</v>
      </c>
      <c r="EO71" s="331" t="s">
        <v>984</v>
      </c>
      <c r="EP71" s="331" t="s">
        <v>984</v>
      </c>
      <c r="EQ71" s="331" t="s">
        <v>984</v>
      </c>
      <c r="ER71" s="331" t="s">
        <v>984</v>
      </c>
      <c r="ES71" s="331" t="s">
        <v>984</v>
      </c>
      <c r="ET71" s="331" t="s">
        <v>984</v>
      </c>
      <c r="EU71" s="331" t="s">
        <v>984</v>
      </c>
      <c r="EV71" s="331" t="s">
        <v>984</v>
      </c>
      <c r="EW71" s="331" t="s">
        <v>984</v>
      </c>
      <c r="EX71" s="331" t="s">
        <v>984</v>
      </c>
      <c r="EY71" s="331" t="s">
        <v>984</v>
      </c>
      <c r="EZ71" s="331" t="s">
        <v>428</v>
      </c>
      <c r="FA71" s="331" t="s">
        <v>984</v>
      </c>
      <c r="FB71" s="331" t="s">
        <v>984</v>
      </c>
      <c r="FC71" s="331" t="s">
        <v>984</v>
      </c>
      <c r="FD71" s="331" t="s">
        <v>984</v>
      </c>
      <c r="FE71" s="331" t="s">
        <v>984</v>
      </c>
      <c r="FF71" s="331" t="s">
        <v>984</v>
      </c>
      <c r="FG71" s="331" t="s">
        <v>984</v>
      </c>
      <c r="FH71" s="331" t="s">
        <v>984</v>
      </c>
      <c r="FI71" s="331" t="s">
        <v>984</v>
      </c>
      <c r="FJ71" s="331" t="s">
        <v>984</v>
      </c>
      <c r="FK71" s="331" t="s">
        <v>984</v>
      </c>
      <c r="FL71" s="331" t="s">
        <v>984</v>
      </c>
      <c r="FM71" s="331" t="s">
        <v>984</v>
      </c>
      <c r="FN71" s="331" t="s">
        <v>984</v>
      </c>
      <c r="FO71" s="331" t="s">
        <v>984</v>
      </c>
      <c r="FP71" s="331" t="s">
        <v>984</v>
      </c>
      <c r="FQ71" s="331" t="s">
        <v>984</v>
      </c>
      <c r="FR71" s="331" t="s">
        <v>428</v>
      </c>
      <c r="FS71" s="331" t="s">
        <v>190</v>
      </c>
      <c r="FT71" s="331" t="s">
        <v>984</v>
      </c>
      <c r="FU71" s="331" t="s">
        <v>984</v>
      </c>
      <c r="FV71" s="331" t="s">
        <v>190</v>
      </c>
      <c r="FW71" s="331" t="s">
        <v>984</v>
      </c>
      <c r="FX71" s="331" t="s">
        <v>428</v>
      </c>
      <c r="FY71" s="331" t="s">
        <v>984</v>
      </c>
      <c r="FZ71" s="331" t="s">
        <v>984</v>
      </c>
      <c r="GA71" s="331" t="s">
        <v>984</v>
      </c>
      <c r="GB71" s="331" t="s">
        <v>984</v>
      </c>
      <c r="GC71" s="331" t="s">
        <v>984</v>
      </c>
      <c r="GD71" s="331" t="s">
        <v>984</v>
      </c>
      <c r="GE71" s="331" t="s">
        <v>984</v>
      </c>
      <c r="GF71" s="331" t="s">
        <v>984</v>
      </c>
      <c r="GG71" s="331" t="s">
        <v>984</v>
      </c>
      <c r="GH71" s="331" t="s">
        <v>428</v>
      </c>
      <c r="GI71" s="331" t="s">
        <v>984</v>
      </c>
      <c r="GJ71" s="331" t="s">
        <v>984</v>
      </c>
      <c r="GK71" s="331" t="s">
        <v>984</v>
      </c>
      <c r="GL71" s="331" t="s">
        <v>984</v>
      </c>
      <c r="GM71" s="331" t="s">
        <v>984</v>
      </c>
      <c r="GN71" s="331" t="s">
        <v>984</v>
      </c>
      <c r="GO71" s="331" t="s">
        <v>984</v>
      </c>
      <c r="GP71" s="331" t="s">
        <v>984</v>
      </c>
      <c r="GQ71" s="331" t="s">
        <v>984</v>
      </c>
      <c r="GR71" s="331" t="s">
        <v>984</v>
      </c>
      <c r="GS71" s="331" t="s">
        <v>428</v>
      </c>
      <c r="GT71" s="331" t="s">
        <v>428</v>
      </c>
      <c r="GU71" s="331" t="s">
        <v>428</v>
      </c>
      <c r="GV71" s="331" t="s">
        <v>428</v>
      </c>
      <c r="GW71" s="331" t="s">
        <v>191</v>
      </c>
      <c r="GX71" s="331" t="s">
        <v>984</v>
      </c>
      <c r="GY71" s="331" t="s">
        <v>984</v>
      </c>
      <c r="GZ71" s="331" t="s">
        <v>984</v>
      </c>
      <c r="HA71" s="331" t="s">
        <v>984</v>
      </c>
      <c r="HB71" s="331" t="s">
        <v>984</v>
      </c>
      <c r="HC71" s="331" t="s">
        <v>984</v>
      </c>
      <c r="HD71" s="331" t="s">
        <v>984</v>
      </c>
      <c r="HE71" s="331" t="s">
        <v>984</v>
      </c>
      <c r="HF71" s="331" t="s">
        <v>984</v>
      </c>
      <c r="HG71" s="331" t="s">
        <v>984</v>
      </c>
      <c r="HH71" s="331" t="s">
        <v>984</v>
      </c>
      <c r="HI71" s="331" t="s">
        <v>191</v>
      </c>
      <c r="HJ71" s="331" t="s">
        <v>191</v>
      </c>
      <c r="HK71" s="331" t="s">
        <v>191</v>
      </c>
      <c r="HL71" s="331" t="s">
        <v>984</v>
      </c>
      <c r="HM71" s="331" t="s">
        <v>191</v>
      </c>
      <c r="HN71" s="331" t="s">
        <v>191</v>
      </c>
      <c r="HO71" s="331" t="s">
        <v>191</v>
      </c>
      <c r="HP71" s="331" t="s">
        <v>191</v>
      </c>
      <c r="HQ71" s="331" t="s">
        <v>170</v>
      </c>
      <c r="HR71" s="331" t="s">
        <v>429</v>
      </c>
      <c r="HS71" s="331" t="s">
        <v>169</v>
      </c>
      <c r="HT71" s="331" t="s">
        <v>447</v>
      </c>
      <c r="HU71" s="331" t="s">
        <v>984</v>
      </c>
      <c r="HV71" s="331" t="s">
        <v>984</v>
      </c>
    </row>
    <row r="72" spans="1:230" s="70" customFormat="1" x14ac:dyDescent="0.25">
      <c r="A72" s="330" t="str">
        <f>HYPERLINK("http://www.ofsted.gov.uk/inspection-reports/find-inspection-report/provider/ELS/137795 ","Ofsted School Webpage")</f>
        <v>Ofsted School Webpage</v>
      </c>
      <c r="B72" s="331">
        <v>137795</v>
      </c>
      <c r="C72" s="331">
        <v>8866137</v>
      </c>
      <c r="D72" s="331" t="s">
        <v>2144</v>
      </c>
      <c r="E72" s="331" t="s">
        <v>168</v>
      </c>
      <c r="F72" s="331" t="s">
        <v>514</v>
      </c>
      <c r="G72" s="331" t="s">
        <v>514</v>
      </c>
      <c r="H72" s="331" t="s">
        <v>614</v>
      </c>
      <c r="I72" s="331" t="s">
        <v>2145</v>
      </c>
      <c r="J72" s="331" t="s">
        <v>81</v>
      </c>
      <c r="K72" s="331" t="s">
        <v>81</v>
      </c>
      <c r="L72" s="331" t="s">
        <v>81</v>
      </c>
      <c r="M72" s="331" t="s">
        <v>78</v>
      </c>
      <c r="N72" s="331" t="s">
        <v>424</v>
      </c>
      <c r="O72" s="331">
        <v>10124094</v>
      </c>
      <c r="P72" s="332">
        <v>43749</v>
      </c>
      <c r="Q72" s="332">
        <v>43749</v>
      </c>
      <c r="R72" s="332">
        <v>43779</v>
      </c>
      <c r="S72" s="331" t="s">
        <v>981</v>
      </c>
      <c r="T72" s="331" t="s">
        <v>982</v>
      </c>
      <c r="U72" s="331" t="s">
        <v>427</v>
      </c>
      <c r="V72" s="331" t="s">
        <v>1027</v>
      </c>
      <c r="W72" s="331" t="s">
        <v>984</v>
      </c>
      <c r="X72" s="331" t="s">
        <v>984</v>
      </c>
      <c r="Y72" s="331" t="s">
        <v>984</v>
      </c>
      <c r="Z72" s="331" t="s">
        <v>984</v>
      </c>
      <c r="AA72" s="331" t="s">
        <v>984</v>
      </c>
      <c r="AB72" s="331" t="s">
        <v>984</v>
      </c>
      <c r="AC72" s="331" t="s">
        <v>984</v>
      </c>
      <c r="AD72" s="331" t="s">
        <v>984</v>
      </c>
      <c r="AE72" s="331" t="s">
        <v>428</v>
      </c>
      <c r="AF72" s="331" t="s">
        <v>984</v>
      </c>
      <c r="AG72" s="331" t="s">
        <v>984</v>
      </c>
      <c r="AH72" s="331" t="s">
        <v>984</v>
      </c>
      <c r="AI72" s="331" t="s">
        <v>984</v>
      </c>
      <c r="AJ72" s="331" t="s">
        <v>984</v>
      </c>
      <c r="AK72" s="331" t="s">
        <v>984</v>
      </c>
      <c r="AL72" s="331" t="s">
        <v>984</v>
      </c>
      <c r="AM72" s="331" t="s">
        <v>428</v>
      </c>
      <c r="AN72" s="331" t="s">
        <v>428</v>
      </c>
      <c r="AO72" s="331" t="s">
        <v>984</v>
      </c>
      <c r="AP72" s="331" t="s">
        <v>984</v>
      </c>
      <c r="AQ72" s="331" t="s">
        <v>984</v>
      </c>
      <c r="AR72" s="331" t="s">
        <v>984</v>
      </c>
      <c r="AS72" s="331" t="s">
        <v>984</v>
      </c>
      <c r="AT72" s="331" t="s">
        <v>984</v>
      </c>
      <c r="AU72" s="331" t="s">
        <v>984</v>
      </c>
      <c r="AV72" s="331" t="s">
        <v>984</v>
      </c>
      <c r="AW72" s="331" t="s">
        <v>984</v>
      </c>
      <c r="AX72" s="331" t="s">
        <v>984</v>
      </c>
      <c r="AY72" s="331" t="s">
        <v>984</v>
      </c>
      <c r="AZ72" s="331" t="s">
        <v>984</v>
      </c>
      <c r="BA72" s="331" t="s">
        <v>984</v>
      </c>
      <c r="BB72" s="331" t="s">
        <v>984</v>
      </c>
      <c r="BC72" s="331" t="s">
        <v>984</v>
      </c>
      <c r="BD72" s="331" t="s">
        <v>984</v>
      </c>
      <c r="BE72" s="331" t="s">
        <v>984</v>
      </c>
      <c r="BF72" s="331" t="s">
        <v>984</v>
      </c>
      <c r="BG72" s="331" t="s">
        <v>984</v>
      </c>
      <c r="BH72" s="331" t="s">
        <v>984</v>
      </c>
      <c r="BI72" s="331" t="s">
        <v>984</v>
      </c>
      <c r="BJ72" s="331" t="s">
        <v>984</v>
      </c>
      <c r="BK72" s="331" t="s">
        <v>984</v>
      </c>
      <c r="BL72" s="331" t="s">
        <v>984</v>
      </c>
      <c r="BM72" s="331" t="s">
        <v>984</v>
      </c>
      <c r="BN72" s="331" t="s">
        <v>984</v>
      </c>
      <c r="BO72" s="331" t="s">
        <v>984</v>
      </c>
      <c r="BP72" s="331" t="s">
        <v>984</v>
      </c>
      <c r="BQ72" s="331" t="s">
        <v>984</v>
      </c>
      <c r="BR72" s="331" t="s">
        <v>190</v>
      </c>
      <c r="BS72" s="331" t="s">
        <v>190</v>
      </c>
      <c r="BT72" s="331" t="s">
        <v>190</v>
      </c>
      <c r="BU72" s="331" t="s">
        <v>428</v>
      </c>
      <c r="BV72" s="331" t="s">
        <v>428</v>
      </c>
      <c r="BW72" s="331" t="s">
        <v>428</v>
      </c>
      <c r="BX72" s="331" t="s">
        <v>984</v>
      </c>
      <c r="BY72" s="331" t="s">
        <v>984</v>
      </c>
      <c r="BZ72" s="331" t="s">
        <v>984</v>
      </c>
      <c r="CA72" s="331" t="s">
        <v>984</v>
      </c>
      <c r="CB72" s="331" t="s">
        <v>984</v>
      </c>
      <c r="CC72" s="331" t="s">
        <v>190</v>
      </c>
      <c r="CD72" s="331" t="s">
        <v>190</v>
      </c>
      <c r="CE72" s="331" t="s">
        <v>984</v>
      </c>
      <c r="CF72" s="331" t="s">
        <v>190</v>
      </c>
      <c r="CG72" s="331" t="s">
        <v>984</v>
      </c>
      <c r="CH72" s="331" t="s">
        <v>190</v>
      </c>
      <c r="CI72" s="331" t="s">
        <v>190</v>
      </c>
      <c r="CJ72" s="331" t="s">
        <v>190</v>
      </c>
      <c r="CK72" s="331" t="s">
        <v>190</v>
      </c>
      <c r="CL72" s="331" t="s">
        <v>190</v>
      </c>
      <c r="CM72" s="331" t="s">
        <v>190</v>
      </c>
      <c r="CN72" s="331" t="s">
        <v>190</v>
      </c>
      <c r="CO72" s="331" t="s">
        <v>190</v>
      </c>
      <c r="CP72" s="331" t="s">
        <v>190</v>
      </c>
      <c r="CQ72" s="331" t="s">
        <v>190</v>
      </c>
      <c r="CR72" s="331" t="s">
        <v>190</v>
      </c>
      <c r="CS72" s="331" t="s">
        <v>190</v>
      </c>
      <c r="CT72" s="331" t="s">
        <v>190</v>
      </c>
      <c r="CU72" s="331" t="s">
        <v>428</v>
      </c>
      <c r="CV72" s="331" t="s">
        <v>190</v>
      </c>
      <c r="CW72" s="331" t="s">
        <v>190</v>
      </c>
      <c r="CX72" s="331" t="s">
        <v>190</v>
      </c>
      <c r="CY72" s="331" t="s">
        <v>190</v>
      </c>
      <c r="CZ72" s="331" t="s">
        <v>190</v>
      </c>
      <c r="DA72" s="331" t="s">
        <v>190</v>
      </c>
      <c r="DB72" s="331" t="s">
        <v>190</v>
      </c>
      <c r="DC72" s="331" t="s">
        <v>190</v>
      </c>
      <c r="DD72" s="331" t="s">
        <v>190</v>
      </c>
      <c r="DE72" s="331" t="s">
        <v>190</v>
      </c>
      <c r="DF72" s="331" t="s">
        <v>190</v>
      </c>
      <c r="DG72" s="331" t="s">
        <v>190</v>
      </c>
      <c r="DH72" s="331" t="s">
        <v>190</v>
      </c>
      <c r="DI72" s="331" t="s">
        <v>190</v>
      </c>
      <c r="DJ72" s="331" t="s">
        <v>428</v>
      </c>
      <c r="DK72" s="331" t="s">
        <v>190</v>
      </c>
      <c r="DL72" s="331" t="s">
        <v>190</v>
      </c>
      <c r="DM72" s="331" t="s">
        <v>190</v>
      </c>
      <c r="DN72" s="331" t="s">
        <v>190</v>
      </c>
      <c r="DO72" s="331" t="s">
        <v>190</v>
      </c>
      <c r="DP72" s="331" t="s">
        <v>190</v>
      </c>
      <c r="DQ72" s="331" t="s">
        <v>190</v>
      </c>
      <c r="DR72" s="331" t="s">
        <v>190</v>
      </c>
      <c r="DS72" s="331" t="s">
        <v>190</v>
      </c>
      <c r="DT72" s="331" t="s">
        <v>190</v>
      </c>
      <c r="DU72" s="331" t="s">
        <v>190</v>
      </c>
      <c r="DV72" s="331" t="s">
        <v>190</v>
      </c>
      <c r="DW72" s="331" t="s">
        <v>190</v>
      </c>
      <c r="DX72" s="331" t="s">
        <v>190</v>
      </c>
      <c r="DY72" s="331" t="s">
        <v>190</v>
      </c>
      <c r="DZ72" s="331" t="s">
        <v>190</v>
      </c>
      <c r="EA72" s="331" t="s">
        <v>190</v>
      </c>
      <c r="EB72" s="331" t="s">
        <v>190</v>
      </c>
      <c r="EC72" s="331" t="s">
        <v>190</v>
      </c>
      <c r="ED72" s="331" t="s">
        <v>190</v>
      </c>
      <c r="EE72" s="331" t="s">
        <v>190</v>
      </c>
      <c r="EF72" s="331" t="s">
        <v>190</v>
      </c>
      <c r="EG72" s="331" t="s">
        <v>190</v>
      </c>
      <c r="EH72" s="331" t="s">
        <v>190</v>
      </c>
      <c r="EI72" s="331" t="s">
        <v>190</v>
      </c>
      <c r="EJ72" s="331" t="s">
        <v>190</v>
      </c>
      <c r="EK72" s="331" t="s">
        <v>190</v>
      </c>
      <c r="EL72" s="331" t="s">
        <v>190</v>
      </c>
      <c r="EM72" s="331" t="s">
        <v>190</v>
      </c>
      <c r="EN72" s="331" t="s">
        <v>190</v>
      </c>
      <c r="EO72" s="331" t="s">
        <v>190</v>
      </c>
      <c r="EP72" s="331" t="s">
        <v>190</v>
      </c>
      <c r="EQ72" s="331" t="s">
        <v>190</v>
      </c>
      <c r="ER72" s="331" t="s">
        <v>190</v>
      </c>
      <c r="ES72" s="331" t="s">
        <v>191</v>
      </c>
      <c r="ET72" s="331" t="s">
        <v>191</v>
      </c>
      <c r="EU72" s="331" t="s">
        <v>191</v>
      </c>
      <c r="EV72" s="331" t="s">
        <v>190</v>
      </c>
      <c r="EW72" s="331" t="s">
        <v>191</v>
      </c>
      <c r="EX72" s="331" t="s">
        <v>191</v>
      </c>
      <c r="EY72" s="331" t="s">
        <v>191</v>
      </c>
      <c r="EZ72" s="331" t="s">
        <v>428</v>
      </c>
      <c r="FA72" s="331" t="s">
        <v>191</v>
      </c>
      <c r="FB72" s="331" t="s">
        <v>191</v>
      </c>
      <c r="FC72" s="331" t="s">
        <v>191</v>
      </c>
      <c r="FD72" s="331" t="s">
        <v>191</v>
      </c>
      <c r="FE72" s="331" t="s">
        <v>191</v>
      </c>
      <c r="FF72" s="331" t="s">
        <v>190</v>
      </c>
      <c r="FG72" s="331" t="s">
        <v>191</v>
      </c>
      <c r="FH72" s="331" t="s">
        <v>191</v>
      </c>
      <c r="FI72" s="331" t="s">
        <v>191</v>
      </c>
      <c r="FJ72" s="331" t="s">
        <v>191</v>
      </c>
      <c r="FK72" s="331" t="s">
        <v>191</v>
      </c>
      <c r="FL72" s="331" t="s">
        <v>191</v>
      </c>
      <c r="FM72" s="331" t="s">
        <v>191</v>
      </c>
      <c r="FN72" s="331" t="s">
        <v>191</v>
      </c>
      <c r="FO72" s="331" t="s">
        <v>190</v>
      </c>
      <c r="FP72" s="331" t="s">
        <v>190</v>
      </c>
      <c r="FQ72" s="331" t="s">
        <v>190</v>
      </c>
      <c r="FR72" s="331" t="s">
        <v>428</v>
      </c>
      <c r="FS72" s="331" t="s">
        <v>984</v>
      </c>
      <c r="FT72" s="331" t="s">
        <v>984</v>
      </c>
      <c r="FU72" s="331" t="s">
        <v>984</v>
      </c>
      <c r="FV72" s="331" t="s">
        <v>190</v>
      </c>
      <c r="FW72" s="331" t="s">
        <v>984</v>
      </c>
      <c r="FX72" s="331" t="s">
        <v>428</v>
      </c>
      <c r="FY72" s="331" t="s">
        <v>984</v>
      </c>
      <c r="FZ72" s="331" t="s">
        <v>984</v>
      </c>
      <c r="GA72" s="331" t="s">
        <v>984</v>
      </c>
      <c r="GB72" s="331" t="s">
        <v>984</v>
      </c>
      <c r="GC72" s="331" t="s">
        <v>984</v>
      </c>
      <c r="GD72" s="331" t="s">
        <v>984</v>
      </c>
      <c r="GE72" s="331" t="s">
        <v>984</v>
      </c>
      <c r="GF72" s="331" t="s">
        <v>984</v>
      </c>
      <c r="GG72" s="331" t="s">
        <v>428</v>
      </c>
      <c r="GH72" s="331" t="s">
        <v>984</v>
      </c>
      <c r="GI72" s="331" t="s">
        <v>428</v>
      </c>
      <c r="GJ72" s="331" t="s">
        <v>984</v>
      </c>
      <c r="GK72" s="331" t="s">
        <v>984</v>
      </c>
      <c r="GL72" s="331" t="s">
        <v>984</v>
      </c>
      <c r="GM72" s="331" t="s">
        <v>984</v>
      </c>
      <c r="GN72" s="331" t="s">
        <v>984</v>
      </c>
      <c r="GO72" s="331" t="s">
        <v>984</v>
      </c>
      <c r="GP72" s="331" t="s">
        <v>984</v>
      </c>
      <c r="GQ72" s="331" t="s">
        <v>984</v>
      </c>
      <c r="GR72" s="331" t="s">
        <v>984</v>
      </c>
      <c r="GS72" s="331" t="s">
        <v>984</v>
      </c>
      <c r="GT72" s="331" t="s">
        <v>984</v>
      </c>
      <c r="GU72" s="331" t="s">
        <v>984</v>
      </c>
      <c r="GV72" s="331" t="s">
        <v>984</v>
      </c>
      <c r="GW72" s="331" t="s">
        <v>984</v>
      </c>
      <c r="GX72" s="331" t="s">
        <v>984</v>
      </c>
      <c r="GY72" s="331" t="s">
        <v>984</v>
      </c>
      <c r="GZ72" s="331" t="s">
        <v>984</v>
      </c>
      <c r="HA72" s="331" t="s">
        <v>984</v>
      </c>
      <c r="HB72" s="331" t="s">
        <v>984</v>
      </c>
      <c r="HC72" s="331" t="s">
        <v>984</v>
      </c>
      <c r="HD72" s="331" t="s">
        <v>984</v>
      </c>
      <c r="HE72" s="331" t="s">
        <v>984</v>
      </c>
      <c r="HF72" s="331" t="s">
        <v>984</v>
      </c>
      <c r="HG72" s="331" t="s">
        <v>984</v>
      </c>
      <c r="HH72" s="331" t="s">
        <v>984</v>
      </c>
      <c r="HI72" s="331" t="s">
        <v>984</v>
      </c>
      <c r="HJ72" s="331" t="s">
        <v>984</v>
      </c>
      <c r="HK72" s="331" t="s">
        <v>984</v>
      </c>
      <c r="HL72" s="331" t="s">
        <v>984</v>
      </c>
      <c r="HM72" s="331" t="s">
        <v>191</v>
      </c>
      <c r="HN72" s="331" t="s">
        <v>191</v>
      </c>
      <c r="HO72" s="331" t="s">
        <v>191</v>
      </c>
      <c r="HP72" s="331" t="s">
        <v>191</v>
      </c>
      <c r="HQ72" s="331" t="s">
        <v>170</v>
      </c>
      <c r="HR72" s="331" t="s">
        <v>429</v>
      </c>
      <c r="HS72" s="331" t="s">
        <v>169</v>
      </c>
      <c r="HT72" s="331" t="s">
        <v>427</v>
      </c>
      <c r="HU72" s="331" t="s">
        <v>428</v>
      </c>
      <c r="HV72" s="331" t="s">
        <v>428</v>
      </c>
    </row>
    <row r="73" spans="1:230" s="70" customFormat="1" x14ac:dyDescent="0.25">
      <c r="A73" s="330" t="str">
        <f>HYPERLINK("http://www.ofsted.gov.uk/inspection-reports/find-inspection-report/provider/ELS/135247 ","Ofsted School Webpage")</f>
        <v>Ofsted School Webpage</v>
      </c>
      <c r="B73" s="331">
        <v>135247</v>
      </c>
      <c r="C73" s="331">
        <v>8136005</v>
      </c>
      <c r="D73" s="331" t="s">
        <v>1906</v>
      </c>
      <c r="E73" s="331" t="s">
        <v>168</v>
      </c>
      <c r="F73" s="331" t="s">
        <v>458</v>
      </c>
      <c r="G73" s="331" t="s">
        <v>459</v>
      </c>
      <c r="H73" s="331" t="s">
        <v>1803</v>
      </c>
      <c r="I73" s="331" t="s">
        <v>1907</v>
      </c>
      <c r="J73" s="331" t="s">
        <v>81</v>
      </c>
      <c r="K73" s="331" t="s">
        <v>81</v>
      </c>
      <c r="L73" s="331" t="s">
        <v>81</v>
      </c>
      <c r="M73" s="331" t="s">
        <v>78</v>
      </c>
      <c r="N73" s="331" t="s">
        <v>424</v>
      </c>
      <c r="O73" s="331">
        <v>10124085</v>
      </c>
      <c r="P73" s="332">
        <v>43752</v>
      </c>
      <c r="Q73" s="332">
        <v>43752</v>
      </c>
      <c r="R73" s="332">
        <v>43781</v>
      </c>
      <c r="S73" s="331" t="s">
        <v>981</v>
      </c>
      <c r="T73" s="331" t="s">
        <v>982</v>
      </c>
      <c r="U73" s="331" t="s">
        <v>427</v>
      </c>
      <c r="V73" s="331" t="s">
        <v>983</v>
      </c>
      <c r="W73" s="331" t="s">
        <v>984</v>
      </c>
      <c r="X73" s="331" t="s">
        <v>984</v>
      </c>
      <c r="Y73" s="331" t="s">
        <v>984</v>
      </c>
      <c r="Z73" s="331" t="s">
        <v>984</v>
      </c>
      <c r="AA73" s="331" t="s">
        <v>984</v>
      </c>
      <c r="AB73" s="331" t="s">
        <v>984</v>
      </c>
      <c r="AC73" s="331" t="s">
        <v>984</v>
      </c>
      <c r="AD73" s="331" t="s">
        <v>984</v>
      </c>
      <c r="AE73" s="331" t="s">
        <v>984</v>
      </c>
      <c r="AF73" s="331" t="s">
        <v>984</v>
      </c>
      <c r="AG73" s="331" t="s">
        <v>984</v>
      </c>
      <c r="AH73" s="331" t="s">
        <v>984</v>
      </c>
      <c r="AI73" s="331" t="s">
        <v>984</v>
      </c>
      <c r="AJ73" s="331" t="s">
        <v>984</v>
      </c>
      <c r="AK73" s="331" t="s">
        <v>984</v>
      </c>
      <c r="AL73" s="331" t="s">
        <v>984</v>
      </c>
      <c r="AM73" s="331" t="s">
        <v>984</v>
      </c>
      <c r="AN73" s="331" t="s">
        <v>984</v>
      </c>
      <c r="AO73" s="331" t="s">
        <v>984</v>
      </c>
      <c r="AP73" s="331" t="s">
        <v>984</v>
      </c>
      <c r="AQ73" s="331" t="s">
        <v>190</v>
      </c>
      <c r="AR73" s="331" t="s">
        <v>190</v>
      </c>
      <c r="AS73" s="331" t="s">
        <v>190</v>
      </c>
      <c r="AT73" s="331" t="s">
        <v>190</v>
      </c>
      <c r="AU73" s="331" t="s">
        <v>190</v>
      </c>
      <c r="AV73" s="331" t="s">
        <v>190</v>
      </c>
      <c r="AW73" s="331" t="s">
        <v>190</v>
      </c>
      <c r="AX73" s="331" t="s">
        <v>190</v>
      </c>
      <c r="AY73" s="331" t="s">
        <v>190</v>
      </c>
      <c r="AZ73" s="331" t="s">
        <v>190</v>
      </c>
      <c r="BA73" s="331" t="s">
        <v>190</v>
      </c>
      <c r="BB73" s="331" t="s">
        <v>190</v>
      </c>
      <c r="BC73" s="331" t="s">
        <v>190</v>
      </c>
      <c r="BD73" s="331" t="s">
        <v>190</v>
      </c>
      <c r="BE73" s="331" t="s">
        <v>190</v>
      </c>
      <c r="BF73" s="331" t="s">
        <v>190</v>
      </c>
      <c r="BG73" s="331" t="s">
        <v>190</v>
      </c>
      <c r="BH73" s="331" t="s">
        <v>190</v>
      </c>
      <c r="BI73" s="331" t="s">
        <v>190</v>
      </c>
      <c r="BJ73" s="331" t="s">
        <v>190</v>
      </c>
      <c r="BK73" s="331" t="s">
        <v>190</v>
      </c>
      <c r="BL73" s="331" t="s">
        <v>190</v>
      </c>
      <c r="BM73" s="331" t="s">
        <v>190</v>
      </c>
      <c r="BN73" s="331" t="s">
        <v>190</v>
      </c>
      <c r="BO73" s="331" t="s">
        <v>190</v>
      </c>
      <c r="BP73" s="331" t="s">
        <v>190</v>
      </c>
      <c r="BQ73" s="331" t="s">
        <v>190</v>
      </c>
      <c r="BR73" s="331" t="s">
        <v>190</v>
      </c>
      <c r="BS73" s="331" t="s">
        <v>190</v>
      </c>
      <c r="BT73" s="331" t="s">
        <v>190</v>
      </c>
      <c r="BU73" s="331" t="s">
        <v>984</v>
      </c>
      <c r="BV73" s="331" t="s">
        <v>984</v>
      </c>
      <c r="BW73" s="331" t="s">
        <v>984</v>
      </c>
      <c r="BX73" s="331" t="s">
        <v>984</v>
      </c>
      <c r="BY73" s="331" t="s">
        <v>984</v>
      </c>
      <c r="BZ73" s="331" t="s">
        <v>984</v>
      </c>
      <c r="CA73" s="331" t="s">
        <v>984</v>
      </c>
      <c r="CB73" s="331" t="s">
        <v>190</v>
      </c>
      <c r="CC73" s="331" t="s">
        <v>190</v>
      </c>
      <c r="CD73" s="331" t="s">
        <v>190</v>
      </c>
      <c r="CE73" s="331" t="s">
        <v>190</v>
      </c>
      <c r="CF73" s="331" t="s">
        <v>190</v>
      </c>
      <c r="CG73" s="331" t="s">
        <v>190</v>
      </c>
      <c r="CH73" s="331" t="s">
        <v>190</v>
      </c>
      <c r="CI73" s="331" t="s">
        <v>190</v>
      </c>
      <c r="CJ73" s="331" t="s">
        <v>190</v>
      </c>
      <c r="CK73" s="331" t="s">
        <v>190</v>
      </c>
      <c r="CL73" s="331" t="s">
        <v>190</v>
      </c>
      <c r="CM73" s="331" t="s">
        <v>190</v>
      </c>
      <c r="CN73" s="331" t="s">
        <v>190</v>
      </c>
      <c r="CO73" s="331" t="s">
        <v>190</v>
      </c>
      <c r="CP73" s="331" t="s">
        <v>190</v>
      </c>
      <c r="CQ73" s="331" t="s">
        <v>190</v>
      </c>
      <c r="CR73" s="331" t="s">
        <v>190</v>
      </c>
      <c r="CS73" s="331" t="s">
        <v>190</v>
      </c>
      <c r="CT73" s="331" t="s">
        <v>190</v>
      </c>
      <c r="CU73" s="331" t="s">
        <v>984</v>
      </c>
      <c r="CV73" s="331" t="s">
        <v>190</v>
      </c>
      <c r="CW73" s="331" t="s">
        <v>428</v>
      </c>
      <c r="CX73" s="331" t="s">
        <v>428</v>
      </c>
      <c r="CY73" s="331" t="s">
        <v>428</v>
      </c>
      <c r="CZ73" s="331" t="s">
        <v>428</v>
      </c>
      <c r="DA73" s="331" t="s">
        <v>428</v>
      </c>
      <c r="DB73" s="331" t="s">
        <v>428</v>
      </c>
      <c r="DC73" s="331" t="s">
        <v>428</v>
      </c>
      <c r="DD73" s="331" t="s">
        <v>428</v>
      </c>
      <c r="DE73" s="331" t="s">
        <v>428</v>
      </c>
      <c r="DF73" s="331" t="s">
        <v>428</v>
      </c>
      <c r="DG73" s="331" t="s">
        <v>428</v>
      </c>
      <c r="DH73" s="331" t="s">
        <v>428</v>
      </c>
      <c r="DI73" s="331" t="s">
        <v>428</v>
      </c>
      <c r="DJ73" s="331" t="s">
        <v>984</v>
      </c>
      <c r="DK73" s="331" t="s">
        <v>984</v>
      </c>
      <c r="DL73" s="331" t="s">
        <v>190</v>
      </c>
      <c r="DM73" s="331" t="s">
        <v>190</v>
      </c>
      <c r="DN73" s="331" t="s">
        <v>190</v>
      </c>
      <c r="DO73" s="331" t="s">
        <v>190</v>
      </c>
      <c r="DP73" s="331" t="s">
        <v>190</v>
      </c>
      <c r="DQ73" s="331" t="s">
        <v>190</v>
      </c>
      <c r="DR73" s="331" t="s">
        <v>190</v>
      </c>
      <c r="DS73" s="331" t="s">
        <v>190</v>
      </c>
      <c r="DT73" s="331" t="s">
        <v>190</v>
      </c>
      <c r="DU73" s="331" t="s">
        <v>190</v>
      </c>
      <c r="DV73" s="331" t="s">
        <v>190</v>
      </c>
      <c r="DW73" s="331" t="s">
        <v>190</v>
      </c>
      <c r="DX73" s="331" t="s">
        <v>190</v>
      </c>
      <c r="DY73" s="331" t="s">
        <v>190</v>
      </c>
      <c r="DZ73" s="331" t="s">
        <v>190</v>
      </c>
      <c r="EA73" s="331" t="s">
        <v>190</v>
      </c>
      <c r="EB73" s="331" t="s">
        <v>190</v>
      </c>
      <c r="EC73" s="331" t="s">
        <v>190</v>
      </c>
      <c r="ED73" s="331" t="s">
        <v>190</v>
      </c>
      <c r="EE73" s="331" t="s">
        <v>190</v>
      </c>
      <c r="EF73" s="331" t="s">
        <v>190</v>
      </c>
      <c r="EG73" s="331" t="s">
        <v>190</v>
      </c>
      <c r="EH73" s="331" t="s">
        <v>190</v>
      </c>
      <c r="EI73" s="331" t="s">
        <v>428</v>
      </c>
      <c r="EJ73" s="331" t="s">
        <v>428</v>
      </c>
      <c r="EK73" s="331" t="s">
        <v>428</v>
      </c>
      <c r="EL73" s="331" t="s">
        <v>428</v>
      </c>
      <c r="EM73" s="331" t="s">
        <v>190</v>
      </c>
      <c r="EN73" s="331" t="s">
        <v>190</v>
      </c>
      <c r="EO73" s="331" t="s">
        <v>190</v>
      </c>
      <c r="EP73" s="331" t="s">
        <v>190</v>
      </c>
      <c r="EQ73" s="331" t="s">
        <v>190</v>
      </c>
      <c r="ER73" s="331" t="s">
        <v>190</v>
      </c>
      <c r="ES73" s="331" t="s">
        <v>190</v>
      </c>
      <c r="ET73" s="331" t="s">
        <v>190</v>
      </c>
      <c r="EU73" s="331" t="s">
        <v>190</v>
      </c>
      <c r="EV73" s="331" t="s">
        <v>190</v>
      </c>
      <c r="EW73" s="331" t="s">
        <v>190</v>
      </c>
      <c r="EX73" s="331" t="s">
        <v>190</v>
      </c>
      <c r="EY73" s="331" t="s">
        <v>190</v>
      </c>
      <c r="EZ73" s="331" t="s">
        <v>190</v>
      </c>
      <c r="FA73" s="331" t="s">
        <v>190</v>
      </c>
      <c r="FB73" s="331" t="s">
        <v>190</v>
      </c>
      <c r="FC73" s="331" t="s">
        <v>190</v>
      </c>
      <c r="FD73" s="331" t="s">
        <v>190</v>
      </c>
      <c r="FE73" s="331" t="s">
        <v>190</v>
      </c>
      <c r="FF73" s="331" t="s">
        <v>190</v>
      </c>
      <c r="FG73" s="331" t="s">
        <v>190</v>
      </c>
      <c r="FH73" s="331" t="s">
        <v>190</v>
      </c>
      <c r="FI73" s="331" t="s">
        <v>190</v>
      </c>
      <c r="FJ73" s="331" t="s">
        <v>190</v>
      </c>
      <c r="FK73" s="331" t="s">
        <v>190</v>
      </c>
      <c r="FL73" s="331" t="s">
        <v>190</v>
      </c>
      <c r="FM73" s="331" t="s">
        <v>190</v>
      </c>
      <c r="FN73" s="331" t="s">
        <v>190</v>
      </c>
      <c r="FO73" s="331" t="s">
        <v>190</v>
      </c>
      <c r="FP73" s="331" t="s">
        <v>190</v>
      </c>
      <c r="FQ73" s="331" t="s">
        <v>190</v>
      </c>
      <c r="FR73" s="331" t="s">
        <v>190</v>
      </c>
      <c r="FS73" s="331" t="s">
        <v>984</v>
      </c>
      <c r="FT73" s="331" t="s">
        <v>984</v>
      </c>
      <c r="FU73" s="331" t="s">
        <v>984</v>
      </c>
      <c r="FV73" s="331" t="s">
        <v>984</v>
      </c>
      <c r="FW73" s="331" t="s">
        <v>984</v>
      </c>
      <c r="FX73" s="331" t="s">
        <v>984</v>
      </c>
      <c r="FY73" s="331" t="s">
        <v>984</v>
      </c>
      <c r="FZ73" s="331" t="s">
        <v>984</v>
      </c>
      <c r="GA73" s="331" t="s">
        <v>984</v>
      </c>
      <c r="GB73" s="331" t="s">
        <v>984</v>
      </c>
      <c r="GC73" s="331" t="s">
        <v>984</v>
      </c>
      <c r="GD73" s="331" t="s">
        <v>584</v>
      </c>
      <c r="GE73" s="331" t="s">
        <v>984</v>
      </c>
      <c r="GF73" s="331" t="s">
        <v>984</v>
      </c>
      <c r="GG73" s="331" t="s">
        <v>984</v>
      </c>
      <c r="GH73" s="331" t="s">
        <v>984</v>
      </c>
      <c r="GI73" s="331" t="s">
        <v>984</v>
      </c>
      <c r="GJ73" s="331" t="s">
        <v>984</v>
      </c>
      <c r="GK73" s="331" t="s">
        <v>984</v>
      </c>
      <c r="GL73" s="331" t="s">
        <v>984</v>
      </c>
      <c r="GM73" s="331" t="s">
        <v>984</v>
      </c>
      <c r="GN73" s="331" t="s">
        <v>984</v>
      </c>
      <c r="GO73" s="331" t="s">
        <v>984</v>
      </c>
      <c r="GP73" s="331" t="s">
        <v>984</v>
      </c>
      <c r="GQ73" s="331" t="s">
        <v>984</v>
      </c>
      <c r="GR73" s="331" t="s">
        <v>984</v>
      </c>
      <c r="GS73" s="331" t="s">
        <v>984</v>
      </c>
      <c r="GT73" s="331" t="s">
        <v>984</v>
      </c>
      <c r="GU73" s="331" t="s">
        <v>984</v>
      </c>
      <c r="GV73" s="331" t="s">
        <v>984</v>
      </c>
      <c r="GW73" s="331" t="s">
        <v>984</v>
      </c>
      <c r="GX73" s="331" t="s">
        <v>984</v>
      </c>
      <c r="GY73" s="331" t="s">
        <v>984</v>
      </c>
      <c r="GZ73" s="331" t="s">
        <v>984</v>
      </c>
      <c r="HA73" s="331" t="s">
        <v>984</v>
      </c>
      <c r="HB73" s="331" t="s">
        <v>984</v>
      </c>
      <c r="HC73" s="331" t="s">
        <v>984</v>
      </c>
      <c r="HD73" s="331" t="s">
        <v>984</v>
      </c>
      <c r="HE73" s="331" t="s">
        <v>984</v>
      </c>
      <c r="HF73" s="331" t="s">
        <v>984</v>
      </c>
      <c r="HG73" s="331" t="s">
        <v>984</v>
      </c>
      <c r="HH73" s="331" t="s">
        <v>984</v>
      </c>
      <c r="HI73" s="331" t="s">
        <v>984</v>
      </c>
      <c r="HJ73" s="331" t="s">
        <v>984</v>
      </c>
      <c r="HK73" s="331" t="s">
        <v>984</v>
      </c>
      <c r="HL73" s="331" t="s">
        <v>984</v>
      </c>
      <c r="HM73" s="331" t="s">
        <v>190</v>
      </c>
      <c r="HN73" s="331" t="s">
        <v>190</v>
      </c>
      <c r="HO73" s="331" t="s">
        <v>190</v>
      </c>
      <c r="HP73" s="331" t="s">
        <v>190</v>
      </c>
      <c r="HQ73" s="331" t="s">
        <v>170</v>
      </c>
      <c r="HR73" s="331" t="s">
        <v>170</v>
      </c>
      <c r="HS73" s="331" t="s">
        <v>169</v>
      </c>
      <c r="HT73" s="331" t="s">
        <v>427</v>
      </c>
      <c r="HU73" s="331" t="s">
        <v>984</v>
      </c>
      <c r="HV73" s="331" t="s">
        <v>984</v>
      </c>
    </row>
    <row r="74" spans="1:230" s="70" customFormat="1" x14ac:dyDescent="0.25">
      <c r="A74" s="330" t="str">
        <f>HYPERLINK("http://www.ofsted.gov.uk/inspection-reports/find-inspection-report/provider/ELS/147223 ","Ofsted School Webpage")</f>
        <v>Ofsted School Webpage</v>
      </c>
      <c r="B74" s="331">
        <v>147223</v>
      </c>
      <c r="C74" s="331">
        <v>8566045</v>
      </c>
      <c r="D74" s="331" t="s">
        <v>2728</v>
      </c>
      <c r="E74" s="331" t="s">
        <v>167</v>
      </c>
      <c r="F74" s="331" t="s">
        <v>506</v>
      </c>
      <c r="G74" s="331" t="s">
        <v>506</v>
      </c>
      <c r="H74" s="331" t="s">
        <v>521</v>
      </c>
      <c r="I74" s="331" t="s">
        <v>2132</v>
      </c>
      <c r="J74" s="331" t="s">
        <v>434</v>
      </c>
      <c r="K74" s="331" t="s">
        <v>71</v>
      </c>
      <c r="L74" s="331" t="s">
        <v>71</v>
      </c>
      <c r="M74" s="331" t="s">
        <v>72</v>
      </c>
      <c r="N74" s="331" t="s">
        <v>424</v>
      </c>
      <c r="O74" s="331">
        <v>10124537</v>
      </c>
      <c r="P74" s="332">
        <v>43752</v>
      </c>
      <c r="Q74" s="332">
        <v>43752</v>
      </c>
      <c r="R74" s="332">
        <v>43775</v>
      </c>
      <c r="S74" s="331" t="s">
        <v>2583</v>
      </c>
      <c r="T74" s="331" t="s">
        <v>982</v>
      </c>
      <c r="U74" s="331" t="s">
        <v>447</v>
      </c>
      <c r="V74" s="331" t="s">
        <v>2599</v>
      </c>
      <c r="W74" s="331" t="s">
        <v>190</v>
      </c>
      <c r="X74" s="331" t="s">
        <v>190</v>
      </c>
      <c r="Y74" s="331" t="s">
        <v>190</v>
      </c>
      <c r="Z74" s="331" t="s">
        <v>190</v>
      </c>
      <c r="AA74" s="331" t="s">
        <v>190</v>
      </c>
      <c r="AB74" s="331" t="s">
        <v>190</v>
      </c>
      <c r="AC74" s="331" t="s">
        <v>190</v>
      </c>
      <c r="AD74" s="331" t="s">
        <v>190</v>
      </c>
      <c r="AE74" s="331" t="s">
        <v>428</v>
      </c>
      <c r="AF74" s="331" t="s">
        <v>190</v>
      </c>
      <c r="AG74" s="331" t="s">
        <v>190</v>
      </c>
      <c r="AH74" s="331" t="s">
        <v>190</v>
      </c>
      <c r="AI74" s="331" t="s">
        <v>190</v>
      </c>
      <c r="AJ74" s="331" t="s">
        <v>190</v>
      </c>
      <c r="AK74" s="331" t="s">
        <v>190</v>
      </c>
      <c r="AL74" s="331" t="s">
        <v>190</v>
      </c>
      <c r="AM74" s="331" t="s">
        <v>428</v>
      </c>
      <c r="AN74" s="331" t="s">
        <v>428</v>
      </c>
      <c r="AO74" s="331" t="s">
        <v>190</v>
      </c>
      <c r="AP74" s="331" t="s">
        <v>190</v>
      </c>
      <c r="AQ74" s="331" t="s">
        <v>190</v>
      </c>
      <c r="AR74" s="331" t="s">
        <v>190</v>
      </c>
      <c r="AS74" s="331" t="s">
        <v>190</v>
      </c>
      <c r="AT74" s="331" t="s">
        <v>190</v>
      </c>
      <c r="AU74" s="331" t="s">
        <v>190</v>
      </c>
      <c r="AV74" s="331" t="s">
        <v>190</v>
      </c>
      <c r="AW74" s="331" t="s">
        <v>190</v>
      </c>
      <c r="AX74" s="331" t="s">
        <v>190</v>
      </c>
      <c r="AY74" s="331" t="s">
        <v>190</v>
      </c>
      <c r="AZ74" s="331" t="s">
        <v>190</v>
      </c>
      <c r="BA74" s="331" t="s">
        <v>190</v>
      </c>
      <c r="BB74" s="331" t="s">
        <v>190</v>
      </c>
      <c r="BC74" s="331" t="s">
        <v>190</v>
      </c>
      <c r="BD74" s="331" t="s">
        <v>190</v>
      </c>
      <c r="BE74" s="331" t="s">
        <v>190</v>
      </c>
      <c r="BF74" s="331" t="s">
        <v>190</v>
      </c>
      <c r="BG74" s="331" t="s">
        <v>190</v>
      </c>
      <c r="BH74" s="331" t="s">
        <v>190</v>
      </c>
      <c r="BI74" s="331" t="s">
        <v>190</v>
      </c>
      <c r="BJ74" s="331" t="s">
        <v>190</v>
      </c>
      <c r="BK74" s="331" t="s">
        <v>190</v>
      </c>
      <c r="BL74" s="331" t="s">
        <v>190</v>
      </c>
      <c r="BM74" s="331" t="s">
        <v>190</v>
      </c>
      <c r="BN74" s="331" t="s">
        <v>190</v>
      </c>
      <c r="BO74" s="331" t="s">
        <v>190</v>
      </c>
      <c r="BP74" s="331" t="s">
        <v>190</v>
      </c>
      <c r="BQ74" s="331" t="s">
        <v>190</v>
      </c>
      <c r="BR74" s="331" t="s">
        <v>191</v>
      </c>
      <c r="BS74" s="331" t="s">
        <v>191</v>
      </c>
      <c r="BT74" s="331" t="s">
        <v>191</v>
      </c>
      <c r="BU74" s="331" t="s">
        <v>428</v>
      </c>
      <c r="BV74" s="331" t="s">
        <v>428</v>
      </c>
      <c r="BW74" s="331" t="s">
        <v>428</v>
      </c>
      <c r="BX74" s="331" t="s">
        <v>190</v>
      </c>
      <c r="BY74" s="331" t="s">
        <v>190</v>
      </c>
      <c r="BZ74" s="331" t="s">
        <v>190</v>
      </c>
      <c r="CA74" s="331" t="s">
        <v>190</v>
      </c>
      <c r="CB74" s="331" t="s">
        <v>190</v>
      </c>
      <c r="CC74" s="331" t="s">
        <v>191</v>
      </c>
      <c r="CD74" s="331" t="s">
        <v>190</v>
      </c>
      <c r="CE74" s="331" t="s">
        <v>190</v>
      </c>
      <c r="CF74" s="331" t="s">
        <v>190</v>
      </c>
      <c r="CG74" s="331" t="s">
        <v>190</v>
      </c>
      <c r="CH74" s="331" t="s">
        <v>191</v>
      </c>
      <c r="CI74" s="331" t="s">
        <v>191</v>
      </c>
      <c r="CJ74" s="331" t="s">
        <v>191</v>
      </c>
      <c r="CK74" s="331" t="s">
        <v>190</v>
      </c>
      <c r="CL74" s="331" t="s">
        <v>190</v>
      </c>
      <c r="CM74" s="331" t="s">
        <v>190</v>
      </c>
      <c r="CN74" s="331" t="s">
        <v>190</v>
      </c>
      <c r="CO74" s="331" t="s">
        <v>190</v>
      </c>
      <c r="CP74" s="331" t="s">
        <v>190</v>
      </c>
      <c r="CQ74" s="331" t="s">
        <v>190</v>
      </c>
      <c r="CR74" s="331" t="s">
        <v>190</v>
      </c>
      <c r="CS74" s="331" t="s">
        <v>190</v>
      </c>
      <c r="CT74" s="331" t="s">
        <v>190</v>
      </c>
      <c r="CU74" s="331" t="s">
        <v>428</v>
      </c>
      <c r="CV74" s="331" t="s">
        <v>190</v>
      </c>
      <c r="CW74" s="331" t="s">
        <v>190</v>
      </c>
      <c r="CX74" s="331" t="s">
        <v>190</v>
      </c>
      <c r="CY74" s="331" t="s">
        <v>190</v>
      </c>
      <c r="CZ74" s="331" t="s">
        <v>190</v>
      </c>
      <c r="DA74" s="331" t="s">
        <v>190</v>
      </c>
      <c r="DB74" s="331" t="s">
        <v>190</v>
      </c>
      <c r="DC74" s="331" t="s">
        <v>190</v>
      </c>
      <c r="DD74" s="331" t="s">
        <v>190</v>
      </c>
      <c r="DE74" s="331" t="s">
        <v>190</v>
      </c>
      <c r="DF74" s="331" t="s">
        <v>190</v>
      </c>
      <c r="DG74" s="331" t="s">
        <v>190</v>
      </c>
      <c r="DH74" s="331" t="s">
        <v>190</v>
      </c>
      <c r="DI74" s="331" t="s">
        <v>190</v>
      </c>
      <c r="DJ74" s="331" t="s">
        <v>428</v>
      </c>
      <c r="DK74" s="331" t="s">
        <v>190</v>
      </c>
      <c r="DL74" s="331" t="s">
        <v>428</v>
      </c>
      <c r="DM74" s="331" t="s">
        <v>428</v>
      </c>
      <c r="DN74" s="331" t="s">
        <v>428</v>
      </c>
      <c r="DO74" s="331" t="s">
        <v>428</v>
      </c>
      <c r="DP74" s="331" t="s">
        <v>428</v>
      </c>
      <c r="DQ74" s="331" t="s">
        <v>428</v>
      </c>
      <c r="DR74" s="331" t="s">
        <v>428</v>
      </c>
      <c r="DS74" s="331" t="s">
        <v>428</v>
      </c>
      <c r="DT74" s="331" t="s">
        <v>428</v>
      </c>
      <c r="DU74" s="331" t="s">
        <v>190</v>
      </c>
      <c r="DV74" s="331" t="s">
        <v>190</v>
      </c>
      <c r="DW74" s="331" t="s">
        <v>190</v>
      </c>
      <c r="DX74" s="331" t="s">
        <v>190</v>
      </c>
      <c r="DY74" s="331" t="s">
        <v>190</v>
      </c>
      <c r="DZ74" s="331" t="s">
        <v>190</v>
      </c>
      <c r="EA74" s="331" t="s">
        <v>190</v>
      </c>
      <c r="EB74" s="331" t="s">
        <v>190</v>
      </c>
      <c r="EC74" s="331" t="s">
        <v>190</v>
      </c>
      <c r="ED74" s="331" t="s">
        <v>190</v>
      </c>
      <c r="EE74" s="331" t="s">
        <v>190</v>
      </c>
      <c r="EF74" s="331" t="s">
        <v>190</v>
      </c>
      <c r="EG74" s="331" t="s">
        <v>190</v>
      </c>
      <c r="EH74" s="331" t="s">
        <v>428</v>
      </c>
      <c r="EI74" s="331" t="s">
        <v>190</v>
      </c>
      <c r="EJ74" s="331" t="s">
        <v>190</v>
      </c>
      <c r="EK74" s="331" t="s">
        <v>190</v>
      </c>
      <c r="EL74" s="331" t="s">
        <v>190</v>
      </c>
      <c r="EM74" s="331" t="s">
        <v>428</v>
      </c>
      <c r="EN74" s="331" t="s">
        <v>190</v>
      </c>
      <c r="EO74" s="331" t="s">
        <v>428</v>
      </c>
      <c r="EP74" s="331" t="s">
        <v>428</v>
      </c>
      <c r="EQ74" s="331" t="s">
        <v>428</v>
      </c>
      <c r="ER74" s="331" t="s">
        <v>428</v>
      </c>
      <c r="ES74" s="331" t="s">
        <v>190</v>
      </c>
      <c r="ET74" s="331" t="s">
        <v>190</v>
      </c>
      <c r="EU74" s="331" t="s">
        <v>190</v>
      </c>
      <c r="EV74" s="331" t="s">
        <v>190</v>
      </c>
      <c r="EW74" s="331" t="s">
        <v>190</v>
      </c>
      <c r="EX74" s="331" t="s">
        <v>190</v>
      </c>
      <c r="EY74" s="331" t="s">
        <v>190</v>
      </c>
      <c r="EZ74" s="331" t="s">
        <v>428</v>
      </c>
      <c r="FA74" s="331" t="s">
        <v>190</v>
      </c>
      <c r="FB74" s="331" t="s">
        <v>191</v>
      </c>
      <c r="FC74" s="331" t="s">
        <v>190</v>
      </c>
      <c r="FD74" s="331" t="s">
        <v>191</v>
      </c>
      <c r="FE74" s="331" t="s">
        <v>191</v>
      </c>
      <c r="FF74" s="331" t="s">
        <v>190</v>
      </c>
      <c r="FG74" s="331" t="s">
        <v>190</v>
      </c>
      <c r="FH74" s="331" t="s">
        <v>190</v>
      </c>
      <c r="FI74" s="331" t="s">
        <v>190</v>
      </c>
      <c r="FJ74" s="331" t="s">
        <v>190</v>
      </c>
      <c r="FK74" s="331" t="s">
        <v>190</v>
      </c>
      <c r="FL74" s="331" t="s">
        <v>190</v>
      </c>
      <c r="FM74" s="331" t="s">
        <v>190</v>
      </c>
      <c r="FN74" s="331" t="s">
        <v>190</v>
      </c>
      <c r="FO74" s="331" t="s">
        <v>190</v>
      </c>
      <c r="FP74" s="331" t="s">
        <v>190</v>
      </c>
      <c r="FQ74" s="331" t="s">
        <v>190</v>
      </c>
      <c r="FR74" s="331" t="s">
        <v>428</v>
      </c>
      <c r="FS74" s="331" t="s">
        <v>190</v>
      </c>
      <c r="FT74" s="331" t="s">
        <v>190</v>
      </c>
      <c r="FU74" s="331" t="s">
        <v>190</v>
      </c>
      <c r="FV74" s="331" t="s">
        <v>190</v>
      </c>
      <c r="FW74" s="331" t="s">
        <v>190</v>
      </c>
      <c r="FX74" s="331" t="s">
        <v>190</v>
      </c>
      <c r="FY74" s="331" t="s">
        <v>190</v>
      </c>
      <c r="FZ74" s="331" t="s">
        <v>190</v>
      </c>
      <c r="GA74" s="331" t="s">
        <v>428</v>
      </c>
      <c r="GB74" s="331" t="s">
        <v>428</v>
      </c>
      <c r="GC74" s="331" t="s">
        <v>190</v>
      </c>
      <c r="GD74" s="331" t="s">
        <v>190</v>
      </c>
      <c r="GE74" s="331" t="s">
        <v>190</v>
      </c>
      <c r="GF74" s="331" t="s">
        <v>190</v>
      </c>
      <c r="GG74" s="331" t="s">
        <v>190</v>
      </c>
      <c r="GH74" s="331" t="s">
        <v>190</v>
      </c>
      <c r="GI74" s="331" t="s">
        <v>190</v>
      </c>
      <c r="GJ74" s="331" t="s">
        <v>190</v>
      </c>
      <c r="GK74" s="331" t="s">
        <v>190</v>
      </c>
      <c r="GL74" s="331" t="s">
        <v>190</v>
      </c>
      <c r="GM74" s="331" t="s">
        <v>190</v>
      </c>
      <c r="GN74" s="331" t="s">
        <v>190</v>
      </c>
      <c r="GO74" s="331" t="s">
        <v>190</v>
      </c>
      <c r="GP74" s="331" t="s">
        <v>190</v>
      </c>
      <c r="GQ74" s="331" t="s">
        <v>190</v>
      </c>
      <c r="GR74" s="331" t="s">
        <v>190</v>
      </c>
      <c r="GS74" s="331" t="s">
        <v>428</v>
      </c>
      <c r="GT74" s="331" t="s">
        <v>428</v>
      </c>
      <c r="GU74" s="331" t="s">
        <v>428</v>
      </c>
      <c r="GV74" s="331" t="s">
        <v>428</v>
      </c>
      <c r="GW74" s="331" t="s">
        <v>190</v>
      </c>
      <c r="GX74" s="331" t="s">
        <v>190</v>
      </c>
      <c r="GY74" s="331" t="s">
        <v>190</v>
      </c>
      <c r="GZ74" s="331" t="s">
        <v>190</v>
      </c>
      <c r="HA74" s="331" t="s">
        <v>190</v>
      </c>
      <c r="HB74" s="331" t="s">
        <v>190</v>
      </c>
      <c r="HC74" s="331" t="s">
        <v>190</v>
      </c>
      <c r="HD74" s="331" t="s">
        <v>190</v>
      </c>
      <c r="HE74" s="331" t="s">
        <v>190</v>
      </c>
      <c r="HF74" s="331" t="s">
        <v>190</v>
      </c>
      <c r="HG74" s="331" t="s">
        <v>190</v>
      </c>
      <c r="HH74" s="331" t="s">
        <v>190</v>
      </c>
      <c r="HI74" s="331" t="s">
        <v>190</v>
      </c>
      <c r="HJ74" s="331" t="s">
        <v>190</v>
      </c>
      <c r="HK74" s="331" t="s">
        <v>190</v>
      </c>
      <c r="HL74" s="331" t="s">
        <v>190</v>
      </c>
      <c r="HM74" s="331" t="s">
        <v>191</v>
      </c>
      <c r="HN74" s="331" t="s">
        <v>191</v>
      </c>
      <c r="HO74" s="331" t="s">
        <v>191</v>
      </c>
      <c r="HP74" s="331" t="s">
        <v>191</v>
      </c>
      <c r="HQ74" s="331" t="s">
        <v>170</v>
      </c>
      <c r="HR74" s="331" t="s">
        <v>429</v>
      </c>
      <c r="HS74" s="331" t="s">
        <v>169</v>
      </c>
      <c r="HT74" s="331" t="s">
        <v>427</v>
      </c>
      <c r="HU74" s="331" t="s">
        <v>428</v>
      </c>
      <c r="HV74" s="331" t="s">
        <v>428</v>
      </c>
    </row>
    <row r="75" spans="1:230" s="70" customFormat="1" x14ac:dyDescent="0.25">
      <c r="A75" s="330" t="str">
        <f>HYPERLINK("http://www.ofsted.gov.uk/inspection-reports/find-inspection-report/provider/ELS/144775 ","Ofsted School Webpage")</f>
        <v>Ofsted School Webpage</v>
      </c>
      <c r="B75" s="331">
        <v>144775</v>
      </c>
      <c r="C75" s="331">
        <v>8816068</v>
      </c>
      <c r="D75" s="331" t="s">
        <v>2459</v>
      </c>
      <c r="E75" s="331" t="s">
        <v>168</v>
      </c>
      <c r="F75" s="331" t="s">
        <v>451</v>
      </c>
      <c r="G75" s="331" t="s">
        <v>451</v>
      </c>
      <c r="H75" s="331" t="s">
        <v>679</v>
      </c>
      <c r="I75" s="331" t="s">
        <v>2460</v>
      </c>
      <c r="J75" s="331" t="s">
        <v>81</v>
      </c>
      <c r="K75" s="331" t="s">
        <v>81</v>
      </c>
      <c r="L75" s="331" t="s">
        <v>81</v>
      </c>
      <c r="M75" s="331" t="s">
        <v>78</v>
      </c>
      <c r="N75" s="331" t="s">
        <v>424</v>
      </c>
      <c r="O75" s="331">
        <v>10127656</v>
      </c>
      <c r="P75" s="332">
        <v>43753</v>
      </c>
      <c r="Q75" s="332">
        <v>43753</v>
      </c>
      <c r="R75" s="332">
        <v>43790</v>
      </c>
      <c r="S75" s="331" t="s">
        <v>997</v>
      </c>
      <c r="T75" s="331" t="s">
        <v>982</v>
      </c>
      <c r="U75" s="331" t="s">
        <v>427</v>
      </c>
      <c r="V75" s="331" t="s">
        <v>2708</v>
      </c>
      <c r="W75" s="331" t="s">
        <v>984</v>
      </c>
      <c r="X75" s="331" t="s">
        <v>984</v>
      </c>
      <c r="Y75" s="331" t="s">
        <v>984</v>
      </c>
      <c r="Z75" s="331" t="s">
        <v>984</v>
      </c>
      <c r="AA75" s="331" t="s">
        <v>984</v>
      </c>
      <c r="AB75" s="331" t="s">
        <v>984</v>
      </c>
      <c r="AC75" s="331" t="s">
        <v>984</v>
      </c>
      <c r="AD75" s="331" t="s">
        <v>984</v>
      </c>
      <c r="AE75" s="331" t="s">
        <v>984</v>
      </c>
      <c r="AF75" s="331" t="s">
        <v>984</v>
      </c>
      <c r="AG75" s="331" t="s">
        <v>984</v>
      </c>
      <c r="AH75" s="331" t="s">
        <v>984</v>
      </c>
      <c r="AI75" s="331" t="s">
        <v>984</v>
      </c>
      <c r="AJ75" s="331" t="s">
        <v>984</v>
      </c>
      <c r="AK75" s="331" t="s">
        <v>984</v>
      </c>
      <c r="AL75" s="331" t="s">
        <v>984</v>
      </c>
      <c r="AM75" s="331" t="s">
        <v>984</v>
      </c>
      <c r="AN75" s="331" t="s">
        <v>984</v>
      </c>
      <c r="AO75" s="331" t="s">
        <v>984</v>
      </c>
      <c r="AP75" s="331" t="s">
        <v>984</v>
      </c>
      <c r="AQ75" s="331" t="s">
        <v>984</v>
      </c>
      <c r="AR75" s="331" t="s">
        <v>984</v>
      </c>
      <c r="AS75" s="331" t="s">
        <v>984</v>
      </c>
      <c r="AT75" s="331" t="s">
        <v>984</v>
      </c>
      <c r="AU75" s="331" t="s">
        <v>984</v>
      </c>
      <c r="AV75" s="331" t="s">
        <v>984</v>
      </c>
      <c r="AW75" s="331" t="s">
        <v>984</v>
      </c>
      <c r="AX75" s="331" t="s">
        <v>984</v>
      </c>
      <c r="AY75" s="331" t="s">
        <v>984</v>
      </c>
      <c r="AZ75" s="331" t="s">
        <v>984</v>
      </c>
      <c r="BA75" s="331" t="s">
        <v>984</v>
      </c>
      <c r="BB75" s="331" t="s">
        <v>984</v>
      </c>
      <c r="BC75" s="331" t="s">
        <v>984</v>
      </c>
      <c r="BD75" s="331" t="s">
        <v>984</v>
      </c>
      <c r="BE75" s="331" t="s">
        <v>984</v>
      </c>
      <c r="BF75" s="331" t="s">
        <v>984</v>
      </c>
      <c r="BG75" s="331" t="s">
        <v>984</v>
      </c>
      <c r="BH75" s="331" t="s">
        <v>984</v>
      </c>
      <c r="BI75" s="331" t="s">
        <v>984</v>
      </c>
      <c r="BJ75" s="331" t="s">
        <v>984</v>
      </c>
      <c r="BK75" s="331" t="s">
        <v>984</v>
      </c>
      <c r="BL75" s="331" t="s">
        <v>984</v>
      </c>
      <c r="BM75" s="331" t="s">
        <v>984</v>
      </c>
      <c r="BN75" s="331" t="s">
        <v>984</v>
      </c>
      <c r="BO75" s="331" t="s">
        <v>984</v>
      </c>
      <c r="BP75" s="331" t="s">
        <v>984</v>
      </c>
      <c r="BQ75" s="331" t="s">
        <v>984</v>
      </c>
      <c r="BR75" s="331" t="s">
        <v>191</v>
      </c>
      <c r="BS75" s="331" t="s">
        <v>191</v>
      </c>
      <c r="BT75" s="331" t="s">
        <v>191</v>
      </c>
      <c r="BU75" s="331" t="s">
        <v>984</v>
      </c>
      <c r="BV75" s="331" t="s">
        <v>984</v>
      </c>
      <c r="BW75" s="331" t="s">
        <v>984</v>
      </c>
      <c r="BX75" s="331" t="s">
        <v>191</v>
      </c>
      <c r="BY75" s="331" t="s">
        <v>190</v>
      </c>
      <c r="BZ75" s="331" t="s">
        <v>191</v>
      </c>
      <c r="CA75" s="331" t="s">
        <v>191</v>
      </c>
      <c r="CB75" s="331" t="s">
        <v>191</v>
      </c>
      <c r="CC75" s="331" t="s">
        <v>191</v>
      </c>
      <c r="CD75" s="331" t="s">
        <v>984</v>
      </c>
      <c r="CE75" s="331" t="s">
        <v>984</v>
      </c>
      <c r="CF75" s="331" t="s">
        <v>190</v>
      </c>
      <c r="CG75" s="331" t="s">
        <v>984</v>
      </c>
      <c r="CH75" s="331" t="s">
        <v>191</v>
      </c>
      <c r="CI75" s="331" t="s">
        <v>191</v>
      </c>
      <c r="CJ75" s="331" t="s">
        <v>191</v>
      </c>
      <c r="CK75" s="331" t="s">
        <v>190</v>
      </c>
      <c r="CL75" s="331" t="s">
        <v>190</v>
      </c>
      <c r="CM75" s="331" t="s">
        <v>190</v>
      </c>
      <c r="CN75" s="331" t="s">
        <v>190</v>
      </c>
      <c r="CO75" s="331" t="s">
        <v>190</v>
      </c>
      <c r="CP75" s="331" t="s">
        <v>190</v>
      </c>
      <c r="CQ75" s="331" t="s">
        <v>190</v>
      </c>
      <c r="CR75" s="331" t="s">
        <v>190</v>
      </c>
      <c r="CS75" s="331" t="s">
        <v>190</v>
      </c>
      <c r="CT75" s="331" t="s">
        <v>190</v>
      </c>
      <c r="CU75" s="331" t="s">
        <v>428</v>
      </c>
      <c r="CV75" s="331" t="s">
        <v>190</v>
      </c>
      <c r="CW75" s="331" t="s">
        <v>190</v>
      </c>
      <c r="CX75" s="331" t="s">
        <v>190</v>
      </c>
      <c r="CY75" s="331" t="s">
        <v>190</v>
      </c>
      <c r="CZ75" s="331" t="s">
        <v>190</v>
      </c>
      <c r="DA75" s="331" t="s">
        <v>190</v>
      </c>
      <c r="DB75" s="331" t="s">
        <v>190</v>
      </c>
      <c r="DC75" s="331" t="s">
        <v>190</v>
      </c>
      <c r="DD75" s="331" t="s">
        <v>190</v>
      </c>
      <c r="DE75" s="331" t="s">
        <v>190</v>
      </c>
      <c r="DF75" s="331" t="s">
        <v>190</v>
      </c>
      <c r="DG75" s="331" t="s">
        <v>190</v>
      </c>
      <c r="DH75" s="331" t="s">
        <v>190</v>
      </c>
      <c r="DI75" s="331" t="s">
        <v>190</v>
      </c>
      <c r="DJ75" s="331" t="s">
        <v>428</v>
      </c>
      <c r="DK75" s="331" t="s">
        <v>428</v>
      </c>
      <c r="DL75" s="331" t="s">
        <v>190</v>
      </c>
      <c r="DM75" s="331" t="s">
        <v>190</v>
      </c>
      <c r="DN75" s="331" t="s">
        <v>190</v>
      </c>
      <c r="DO75" s="331" t="s">
        <v>190</v>
      </c>
      <c r="DP75" s="331" t="s">
        <v>190</v>
      </c>
      <c r="DQ75" s="331" t="s">
        <v>190</v>
      </c>
      <c r="DR75" s="331" t="s">
        <v>190</v>
      </c>
      <c r="DS75" s="331" t="s">
        <v>190</v>
      </c>
      <c r="DT75" s="331" t="s">
        <v>190</v>
      </c>
      <c r="DU75" s="331" t="s">
        <v>190</v>
      </c>
      <c r="DV75" s="331" t="s">
        <v>190</v>
      </c>
      <c r="DW75" s="331" t="s">
        <v>190</v>
      </c>
      <c r="DX75" s="331" t="s">
        <v>190</v>
      </c>
      <c r="DY75" s="331" t="s">
        <v>190</v>
      </c>
      <c r="DZ75" s="331" t="s">
        <v>190</v>
      </c>
      <c r="EA75" s="331" t="s">
        <v>190</v>
      </c>
      <c r="EB75" s="331" t="s">
        <v>190</v>
      </c>
      <c r="EC75" s="331" t="s">
        <v>190</v>
      </c>
      <c r="ED75" s="331" t="s">
        <v>190</v>
      </c>
      <c r="EE75" s="331" t="s">
        <v>190</v>
      </c>
      <c r="EF75" s="331" t="s">
        <v>190</v>
      </c>
      <c r="EG75" s="331" t="s">
        <v>190</v>
      </c>
      <c r="EH75" s="331" t="s">
        <v>190</v>
      </c>
      <c r="EI75" s="331" t="s">
        <v>190</v>
      </c>
      <c r="EJ75" s="331" t="s">
        <v>190</v>
      </c>
      <c r="EK75" s="331" t="s">
        <v>190</v>
      </c>
      <c r="EL75" s="331" t="s">
        <v>190</v>
      </c>
      <c r="EM75" s="331" t="s">
        <v>190</v>
      </c>
      <c r="EN75" s="331" t="s">
        <v>190</v>
      </c>
      <c r="EO75" s="331" t="s">
        <v>190</v>
      </c>
      <c r="EP75" s="331" t="s">
        <v>190</v>
      </c>
      <c r="EQ75" s="331" t="s">
        <v>190</v>
      </c>
      <c r="ER75" s="331" t="s">
        <v>190</v>
      </c>
      <c r="ES75" s="331" t="s">
        <v>984</v>
      </c>
      <c r="ET75" s="331" t="s">
        <v>984</v>
      </c>
      <c r="EU75" s="331" t="s">
        <v>984</v>
      </c>
      <c r="EV75" s="331" t="s">
        <v>984</v>
      </c>
      <c r="EW75" s="331" t="s">
        <v>984</v>
      </c>
      <c r="EX75" s="331" t="s">
        <v>984</v>
      </c>
      <c r="EY75" s="331" t="s">
        <v>984</v>
      </c>
      <c r="EZ75" s="331" t="s">
        <v>984</v>
      </c>
      <c r="FA75" s="331" t="s">
        <v>984</v>
      </c>
      <c r="FB75" s="331" t="s">
        <v>190</v>
      </c>
      <c r="FC75" s="331" t="s">
        <v>984</v>
      </c>
      <c r="FD75" s="331" t="s">
        <v>984</v>
      </c>
      <c r="FE75" s="331" t="s">
        <v>984</v>
      </c>
      <c r="FF75" s="331" t="s">
        <v>984</v>
      </c>
      <c r="FG75" s="331" t="s">
        <v>984</v>
      </c>
      <c r="FH75" s="331" t="s">
        <v>984</v>
      </c>
      <c r="FI75" s="331" t="s">
        <v>984</v>
      </c>
      <c r="FJ75" s="331" t="s">
        <v>984</v>
      </c>
      <c r="FK75" s="331" t="s">
        <v>984</v>
      </c>
      <c r="FL75" s="331" t="s">
        <v>984</v>
      </c>
      <c r="FM75" s="331" t="s">
        <v>984</v>
      </c>
      <c r="FN75" s="331" t="s">
        <v>984</v>
      </c>
      <c r="FO75" s="331" t="s">
        <v>984</v>
      </c>
      <c r="FP75" s="331" t="s">
        <v>984</v>
      </c>
      <c r="FQ75" s="331" t="s">
        <v>984</v>
      </c>
      <c r="FR75" s="331" t="s">
        <v>984</v>
      </c>
      <c r="FS75" s="331" t="s">
        <v>190</v>
      </c>
      <c r="FT75" s="331" t="s">
        <v>984</v>
      </c>
      <c r="FU75" s="331" t="s">
        <v>984</v>
      </c>
      <c r="FV75" s="331" t="s">
        <v>190</v>
      </c>
      <c r="FW75" s="331" t="s">
        <v>984</v>
      </c>
      <c r="FX75" s="331" t="s">
        <v>984</v>
      </c>
      <c r="FY75" s="331" t="s">
        <v>984</v>
      </c>
      <c r="FZ75" s="331" t="s">
        <v>984</v>
      </c>
      <c r="GA75" s="331" t="s">
        <v>984</v>
      </c>
      <c r="GB75" s="331" t="s">
        <v>984</v>
      </c>
      <c r="GC75" s="331" t="s">
        <v>984</v>
      </c>
      <c r="GD75" s="331" t="s">
        <v>984</v>
      </c>
      <c r="GE75" s="331" t="s">
        <v>984</v>
      </c>
      <c r="GF75" s="331" t="s">
        <v>984</v>
      </c>
      <c r="GG75" s="331" t="s">
        <v>984</v>
      </c>
      <c r="GH75" s="331" t="s">
        <v>984</v>
      </c>
      <c r="GI75" s="331" t="s">
        <v>984</v>
      </c>
      <c r="GJ75" s="331" t="s">
        <v>984</v>
      </c>
      <c r="GK75" s="331" t="s">
        <v>984</v>
      </c>
      <c r="GL75" s="331" t="s">
        <v>984</v>
      </c>
      <c r="GM75" s="331" t="s">
        <v>984</v>
      </c>
      <c r="GN75" s="331" t="s">
        <v>984</v>
      </c>
      <c r="GO75" s="331" t="s">
        <v>191</v>
      </c>
      <c r="GP75" s="331" t="s">
        <v>984</v>
      </c>
      <c r="GQ75" s="331" t="s">
        <v>190</v>
      </c>
      <c r="GR75" s="331" t="s">
        <v>984</v>
      </c>
      <c r="GS75" s="331" t="s">
        <v>984</v>
      </c>
      <c r="GT75" s="331" t="s">
        <v>984</v>
      </c>
      <c r="GU75" s="331" t="s">
        <v>984</v>
      </c>
      <c r="GV75" s="331" t="s">
        <v>984</v>
      </c>
      <c r="GW75" s="331" t="s">
        <v>191</v>
      </c>
      <c r="GX75" s="331" t="s">
        <v>190</v>
      </c>
      <c r="GY75" s="331" t="s">
        <v>190</v>
      </c>
      <c r="GZ75" s="331" t="s">
        <v>190</v>
      </c>
      <c r="HA75" s="331" t="s">
        <v>190</v>
      </c>
      <c r="HB75" s="331" t="s">
        <v>190</v>
      </c>
      <c r="HC75" s="331" t="s">
        <v>190</v>
      </c>
      <c r="HD75" s="331" t="s">
        <v>190</v>
      </c>
      <c r="HE75" s="331" t="s">
        <v>190</v>
      </c>
      <c r="HF75" s="331" t="s">
        <v>190</v>
      </c>
      <c r="HG75" s="331" t="s">
        <v>190</v>
      </c>
      <c r="HH75" s="331" t="s">
        <v>190</v>
      </c>
      <c r="HI75" s="331" t="s">
        <v>190</v>
      </c>
      <c r="HJ75" s="331" t="s">
        <v>190</v>
      </c>
      <c r="HK75" s="331" t="s">
        <v>190</v>
      </c>
      <c r="HL75" s="331" t="s">
        <v>190</v>
      </c>
      <c r="HM75" s="331" t="s">
        <v>191</v>
      </c>
      <c r="HN75" s="331" t="s">
        <v>191</v>
      </c>
      <c r="HO75" s="331" t="s">
        <v>191</v>
      </c>
      <c r="HP75" s="331" t="s">
        <v>191</v>
      </c>
      <c r="HQ75" s="331" t="s">
        <v>169</v>
      </c>
      <c r="HR75" s="331" t="s">
        <v>169</v>
      </c>
      <c r="HS75" s="331" t="s">
        <v>169</v>
      </c>
      <c r="HT75" s="331" t="s">
        <v>427</v>
      </c>
      <c r="HU75" s="331" t="s">
        <v>984</v>
      </c>
      <c r="HV75" s="331" t="s">
        <v>984</v>
      </c>
    </row>
    <row r="76" spans="1:230" s="70" customFormat="1" x14ac:dyDescent="0.25">
      <c r="A76" s="330" t="str">
        <f>HYPERLINK("http://www.ofsted.gov.uk/inspection-reports/find-inspection-report/provider/ELS/109342 ","Ofsted School Webpage")</f>
        <v>Ofsted School Webpage</v>
      </c>
      <c r="B76" s="331">
        <v>109342</v>
      </c>
      <c r="C76" s="331">
        <v>8016008</v>
      </c>
      <c r="D76" s="331" t="s">
        <v>2729</v>
      </c>
      <c r="E76" s="331" t="s">
        <v>168</v>
      </c>
      <c r="F76" s="331" t="s">
        <v>422</v>
      </c>
      <c r="G76" s="331" t="s">
        <v>422</v>
      </c>
      <c r="H76" s="331" t="s">
        <v>498</v>
      </c>
      <c r="I76" s="331" t="s">
        <v>782</v>
      </c>
      <c r="J76" s="331" t="s">
        <v>81</v>
      </c>
      <c r="K76" s="331" t="s">
        <v>81</v>
      </c>
      <c r="L76" s="331" t="s">
        <v>81</v>
      </c>
      <c r="M76" s="331" t="s">
        <v>78</v>
      </c>
      <c r="N76" s="331" t="s">
        <v>424</v>
      </c>
      <c r="O76" s="331">
        <v>10118977</v>
      </c>
      <c r="P76" s="332">
        <v>43753</v>
      </c>
      <c r="Q76" s="332">
        <v>43753</v>
      </c>
      <c r="R76" s="332">
        <v>43781</v>
      </c>
      <c r="S76" s="331" t="s">
        <v>997</v>
      </c>
      <c r="T76" s="331" t="s">
        <v>982</v>
      </c>
      <c r="U76" s="331" t="s">
        <v>427</v>
      </c>
      <c r="V76" s="331" t="s">
        <v>2708</v>
      </c>
      <c r="W76" s="331" t="s">
        <v>984</v>
      </c>
      <c r="X76" s="331" t="s">
        <v>984</v>
      </c>
      <c r="Y76" s="331" t="s">
        <v>984</v>
      </c>
      <c r="Z76" s="331" t="s">
        <v>984</v>
      </c>
      <c r="AA76" s="331" t="s">
        <v>984</v>
      </c>
      <c r="AB76" s="331" t="s">
        <v>984</v>
      </c>
      <c r="AC76" s="331" t="s">
        <v>984</v>
      </c>
      <c r="AD76" s="331" t="s">
        <v>984</v>
      </c>
      <c r="AE76" s="331" t="s">
        <v>984</v>
      </c>
      <c r="AF76" s="331" t="s">
        <v>984</v>
      </c>
      <c r="AG76" s="331" t="s">
        <v>984</v>
      </c>
      <c r="AH76" s="331" t="s">
        <v>984</v>
      </c>
      <c r="AI76" s="331" t="s">
        <v>984</v>
      </c>
      <c r="AJ76" s="331" t="s">
        <v>984</v>
      </c>
      <c r="AK76" s="331" t="s">
        <v>984</v>
      </c>
      <c r="AL76" s="331" t="s">
        <v>984</v>
      </c>
      <c r="AM76" s="331" t="s">
        <v>984</v>
      </c>
      <c r="AN76" s="331" t="s">
        <v>984</v>
      </c>
      <c r="AO76" s="331" t="s">
        <v>984</v>
      </c>
      <c r="AP76" s="331" t="s">
        <v>984</v>
      </c>
      <c r="AQ76" s="331" t="s">
        <v>984</v>
      </c>
      <c r="AR76" s="331" t="s">
        <v>984</v>
      </c>
      <c r="AS76" s="331" t="s">
        <v>984</v>
      </c>
      <c r="AT76" s="331" t="s">
        <v>984</v>
      </c>
      <c r="AU76" s="331" t="s">
        <v>984</v>
      </c>
      <c r="AV76" s="331" t="s">
        <v>984</v>
      </c>
      <c r="AW76" s="331" t="s">
        <v>984</v>
      </c>
      <c r="AX76" s="331" t="s">
        <v>984</v>
      </c>
      <c r="AY76" s="331" t="s">
        <v>984</v>
      </c>
      <c r="AZ76" s="331" t="s">
        <v>984</v>
      </c>
      <c r="BA76" s="331" t="s">
        <v>984</v>
      </c>
      <c r="BB76" s="331" t="s">
        <v>984</v>
      </c>
      <c r="BC76" s="331" t="s">
        <v>984</v>
      </c>
      <c r="BD76" s="331" t="s">
        <v>984</v>
      </c>
      <c r="BE76" s="331" t="s">
        <v>984</v>
      </c>
      <c r="BF76" s="331" t="s">
        <v>984</v>
      </c>
      <c r="BG76" s="331" t="s">
        <v>984</v>
      </c>
      <c r="BH76" s="331" t="s">
        <v>984</v>
      </c>
      <c r="BI76" s="331" t="s">
        <v>984</v>
      </c>
      <c r="BJ76" s="331" t="s">
        <v>984</v>
      </c>
      <c r="BK76" s="331" t="s">
        <v>984</v>
      </c>
      <c r="BL76" s="331" t="s">
        <v>984</v>
      </c>
      <c r="BM76" s="331" t="s">
        <v>984</v>
      </c>
      <c r="BN76" s="331" t="s">
        <v>984</v>
      </c>
      <c r="BO76" s="331" t="s">
        <v>984</v>
      </c>
      <c r="BP76" s="331" t="s">
        <v>984</v>
      </c>
      <c r="BQ76" s="331" t="s">
        <v>984</v>
      </c>
      <c r="BR76" s="331" t="s">
        <v>191</v>
      </c>
      <c r="BS76" s="331" t="s">
        <v>191</v>
      </c>
      <c r="BT76" s="331" t="s">
        <v>191</v>
      </c>
      <c r="BU76" s="331" t="s">
        <v>428</v>
      </c>
      <c r="BV76" s="331" t="s">
        <v>428</v>
      </c>
      <c r="BW76" s="331" t="s">
        <v>428</v>
      </c>
      <c r="BX76" s="331" t="s">
        <v>190</v>
      </c>
      <c r="BY76" s="331" t="s">
        <v>190</v>
      </c>
      <c r="BZ76" s="331" t="s">
        <v>190</v>
      </c>
      <c r="CA76" s="331" t="s">
        <v>190</v>
      </c>
      <c r="CB76" s="331" t="s">
        <v>984</v>
      </c>
      <c r="CC76" s="331" t="s">
        <v>191</v>
      </c>
      <c r="CD76" s="331" t="s">
        <v>190</v>
      </c>
      <c r="CE76" s="331" t="s">
        <v>191</v>
      </c>
      <c r="CF76" s="331" t="s">
        <v>984</v>
      </c>
      <c r="CG76" s="331" t="s">
        <v>190</v>
      </c>
      <c r="CH76" s="331" t="s">
        <v>190</v>
      </c>
      <c r="CI76" s="331" t="s">
        <v>190</v>
      </c>
      <c r="CJ76" s="331" t="s">
        <v>190</v>
      </c>
      <c r="CK76" s="331" t="s">
        <v>191</v>
      </c>
      <c r="CL76" s="331" t="s">
        <v>191</v>
      </c>
      <c r="CM76" s="331" t="s">
        <v>191</v>
      </c>
      <c r="CN76" s="331" t="s">
        <v>190</v>
      </c>
      <c r="CO76" s="331" t="s">
        <v>190</v>
      </c>
      <c r="CP76" s="331" t="s">
        <v>190</v>
      </c>
      <c r="CQ76" s="331" t="s">
        <v>190</v>
      </c>
      <c r="CR76" s="331" t="s">
        <v>190</v>
      </c>
      <c r="CS76" s="331" t="s">
        <v>191</v>
      </c>
      <c r="CT76" s="331" t="s">
        <v>190</v>
      </c>
      <c r="CU76" s="331" t="s">
        <v>428</v>
      </c>
      <c r="CV76" s="331" t="s">
        <v>190</v>
      </c>
      <c r="CW76" s="331" t="s">
        <v>191</v>
      </c>
      <c r="CX76" s="331" t="s">
        <v>191</v>
      </c>
      <c r="CY76" s="331" t="s">
        <v>191</v>
      </c>
      <c r="CZ76" s="331" t="s">
        <v>191</v>
      </c>
      <c r="DA76" s="331" t="s">
        <v>191</v>
      </c>
      <c r="DB76" s="331" t="s">
        <v>191</v>
      </c>
      <c r="DC76" s="331" t="s">
        <v>190</v>
      </c>
      <c r="DD76" s="331" t="s">
        <v>191</v>
      </c>
      <c r="DE76" s="331" t="s">
        <v>191</v>
      </c>
      <c r="DF76" s="331" t="s">
        <v>191</v>
      </c>
      <c r="DG76" s="331" t="s">
        <v>191</v>
      </c>
      <c r="DH76" s="331" t="s">
        <v>191</v>
      </c>
      <c r="DI76" s="331" t="s">
        <v>191</v>
      </c>
      <c r="DJ76" s="331" t="s">
        <v>428</v>
      </c>
      <c r="DK76" s="331" t="s">
        <v>191</v>
      </c>
      <c r="DL76" s="331" t="s">
        <v>190</v>
      </c>
      <c r="DM76" s="331" t="s">
        <v>190</v>
      </c>
      <c r="DN76" s="331" t="s">
        <v>190</v>
      </c>
      <c r="DO76" s="331" t="s">
        <v>190</v>
      </c>
      <c r="DP76" s="331" t="s">
        <v>190</v>
      </c>
      <c r="DQ76" s="331" t="s">
        <v>190</v>
      </c>
      <c r="DR76" s="331" t="s">
        <v>190</v>
      </c>
      <c r="DS76" s="331" t="s">
        <v>190</v>
      </c>
      <c r="DT76" s="331" t="s">
        <v>190</v>
      </c>
      <c r="DU76" s="331" t="s">
        <v>191</v>
      </c>
      <c r="DV76" s="331" t="s">
        <v>191</v>
      </c>
      <c r="DW76" s="331" t="s">
        <v>191</v>
      </c>
      <c r="DX76" s="331" t="s">
        <v>191</v>
      </c>
      <c r="DY76" s="331" t="s">
        <v>190</v>
      </c>
      <c r="DZ76" s="331" t="s">
        <v>191</v>
      </c>
      <c r="EA76" s="331" t="s">
        <v>191</v>
      </c>
      <c r="EB76" s="331" t="s">
        <v>190</v>
      </c>
      <c r="EC76" s="331" t="s">
        <v>191</v>
      </c>
      <c r="ED76" s="331" t="s">
        <v>191</v>
      </c>
      <c r="EE76" s="331" t="s">
        <v>190</v>
      </c>
      <c r="EF76" s="331" t="s">
        <v>190</v>
      </c>
      <c r="EG76" s="331" t="s">
        <v>191</v>
      </c>
      <c r="EH76" s="331" t="s">
        <v>190</v>
      </c>
      <c r="EI76" s="331" t="s">
        <v>191</v>
      </c>
      <c r="EJ76" s="331" t="s">
        <v>191</v>
      </c>
      <c r="EK76" s="331" t="s">
        <v>191</v>
      </c>
      <c r="EL76" s="331" t="s">
        <v>191</v>
      </c>
      <c r="EM76" s="331" t="s">
        <v>428</v>
      </c>
      <c r="EN76" s="331" t="s">
        <v>191</v>
      </c>
      <c r="EO76" s="331" t="s">
        <v>190</v>
      </c>
      <c r="EP76" s="331" t="s">
        <v>190</v>
      </c>
      <c r="EQ76" s="331" t="s">
        <v>190</v>
      </c>
      <c r="ER76" s="331" t="s">
        <v>190</v>
      </c>
      <c r="ES76" s="331" t="s">
        <v>984</v>
      </c>
      <c r="ET76" s="331" t="s">
        <v>984</v>
      </c>
      <c r="EU76" s="331" t="s">
        <v>984</v>
      </c>
      <c r="EV76" s="331" t="s">
        <v>984</v>
      </c>
      <c r="EW76" s="331" t="s">
        <v>984</v>
      </c>
      <c r="EX76" s="331" t="s">
        <v>984</v>
      </c>
      <c r="EY76" s="331" t="s">
        <v>984</v>
      </c>
      <c r="EZ76" s="331" t="s">
        <v>984</v>
      </c>
      <c r="FA76" s="331" t="s">
        <v>984</v>
      </c>
      <c r="FB76" s="331" t="s">
        <v>191</v>
      </c>
      <c r="FC76" s="331" t="s">
        <v>984</v>
      </c>
      <c r="FD76" s="331" t="s">
        <v>984</v>
      </c>
      <c r="FE76" s="331" t="s">
        <v>984</v>
      </c>
      <c r="FF76" s="331" t="s">
        <v>984</v>
      </c>
      <c r="FG76" s="331" t="s">
        <v>984</v>
      </c>
      <c r="FH76" s="331" t="s">
        <v>984</v>
      </c>
      <c r="FI76" s="331" t="s">
        <v>984</v>
      </c>
      <c r="FJ76" s="331" t="s">
        <v>984</v>
      </c>
      <c r="FK76" s="331" t="s">
        <v>984</v>
      </c>
      <c r="FL76" s="331" t="s">
        <v>984</v>
      </c>
      <c r="FM76" s="331" t="s">
        <v>984</v>
      </c>
      <c r="FN76" s="331" t="s">
        <v>984</v>
      </c>
      <c r="FO76" s="331" t="s">
        <v>984</v>
      </c>
      <c r="FP76" s="331" t="s">
        <v>984</v>
      </c>
      <c r="FQ76" s="331" t="s">
        <v>984</v>
      </c>
      <c r="FR76" s="331" t="s">
        <v>428</v>
      </c>
      <c r="FS76" s="331" t="s">
        <v>984</v>
      </c>
      <c r="FT76" s="331" t="s">
        <v>984</v>
      </c>
      <c r="FU76" s="331" t="s">
        <v>984</v>
      </c>
      <c r="FV76" s="331" t="s">
        <v>984</v>
      </c>
      <c r="FW76" s="331" t="s">
        <v>984</v>
      </c>
      <c r="FX76" s="331" t="s">
        <v>984</v>
      </c>
      <c r="FY76" s="331" t="s">
        <v>984</v>
      </c>
      <c r="FZ76" s="331" t="s">
        <v>984</v>
      </c>
      <c r="GA76" s="331" t="s">
        <v>984</v>
      </c>
      <c r="GB76" s="331" t="s">
        <v>984</v>
      </c>
      <c r="GC76" s="331" t="s">
        <v>984</v>
      </c>
      <c r="GD76" s="331" t="s">
        <v>984</v>
      </c>
      <c r="GE76" s="331" t="s">
        <v>984</v>
      </c>
      <c r="GF76" s="331" t="s">
        <v>984</v>
      </c>
      <c r="GG76" s="331" t="s">
        <v>984</v>
      </c>
      <c r="GH76" s="331" t="s">
        <v>984</v>
      </c>
      <c r="GI76" s="331" t="s">
        <v>984</v>
      </c>
      <c r="GJ76" s="331" t="s">
        <v>984</v>
      </c>
      <c r="GK76" s="331" t="s">
        <v>984</v>
      </c>
      <c r="GL76" s="331" t="s">
        <v>984</v>
      </c>
      <c r="GM76" s="331" t="s">
        <v>984</v>
      </c>
      <c r="GN76" s="331" t="s">
        <v>984</v>
      </c>
      <c r="GO76" s="331" t="s">
        <v>984</v>
      </c>
      <c r="GP76" s="331" t="s">
        <v>984</v>
      </c>
      <c r="GQ76" s="331" t="s">
        <v>984</v>
      </c>
      <c r="GR76" s="331" t="s">
        <v>984</v>
      </c>
      <c r="GS76" s="331" t="s">
        <v>984</v>
      </c>
      <c r="GT76" s="331" t="s">
        <v>984</v>
      </c>
      <c r="GU76" s="331" t="s">
        <v>984</v>
      </c>
      <c r="GV76" s="331" t="s">
        <v>984</v>
      </c>
      <c r="GW76" s="331" t="s">
        <v>984</v>
      </c>
      <c r="GX76" s="331" t="s">
        <v>984</v>
      </c>
      <c r="GY76" s="331" t="s">
        <v>984</v>
      </c>
      <c r="GZ76" s="331" t="s">
        <v>984</v>
      </c>
      <c r="HA76" s="331" t="s">
        <v>984</v>
      </c>
      <c r="HB76" s="331" t="s">
        <v>984</v>
      </c>
      <c r="HC76" s="331" t="s">
        <v>984</v>
      </c>
      <c r="HD76" s="331" t="s">
        <v>984</v>
      </c>
      <c r="HE76" s="331" t="s">
        <v>984</v>
      </c>
      <c r="HF76" s="331" t="s">
        <v>984</v>
      </c>
      <c r="HG76" s="331" t="s">
        <v>984</v>
      </c>
      <c r="HH76" s="331" t="s">
        <v>984</v>
      </c>
      <c r="HI76" s="331" t="s">
        <v>984</v>
      </c>
      <c r="HJ76" s="331" t="s">
        <v>984</v>
      </c>
      <c r="HK76" s="331" t="s">
        <v>984</v>
      </c>
      <c r="HL76" s="331" t="s">
        <v>984</v>
      </c>
      <c r="HM76" s="331" t="s">
        <v>191</v>
      </c>
      <c r="HN76" s="331" t="s">
        <v>191</v>
      </c>
      <c r="HO76" s="331" t="s">
        <v>191</v>
      </c>
      <c r="HP76" s="331" t="s">
        <v>191</v>
      </c>
      <c r="HQ76" s="331" t="s">
        <v>170</v>
      </c>
      <c r="HR76" s="331" t="s">
        <v>429</v>
      </c>
      <c r="HS76" s="331" t="s">
        <v>169</v>
      </c>
      <c r="HT76" s="331" t="s">
        <v>427</v>
      </c>
      <c r="HU76" s="331" t="s">
        <v>428</v>
      </c>
      <c r="HV76" s="331" t="s">
        <v>428</v>
      </c>
    </row>
    <row r="77" spans="1:230" s="70" customFormat="1" x14ac:dyDescent="0.25">
      <c r="A77" s="330" t="str">
        <f>HYPERLINK("http://www.ofsted.gov.uk/inspection-reports/find-inspection-report/provider/ELS/146078 ","Ofsted School Webpage")</f>
        <v>Ofsted School Webpage</v>
      </c>
      <c r="B77" s="331">
        <v>146078</v>
      </c>
      <c r="C77" s="331">
        <v>8606048</v>
      </c>
      <c r="D77" s="331" t="s">
        <v>2523</v>
      </c>
      <c r="E77" s="331" t="s">
        <v>167</v>
      </c>
      <c r="F77" s="331" t="s">
        <v>437</v>
      </c>
      <c r="G77" s="331" t="s">
        <v>437</v>
      </c>
      <c r="H77" s="331" t="s">
        <v>577</v>
      </c>
      <c r="I77" s="331" t="s">
        <v>2730</v>
      </c>
      <c r="J77" s="331" t="s">
        <v>81</v>
      </c>
      <c r="K77" s="331" t="s">
        <v>81</v>
      </c>
      <c r="L77" s="331" t="s">
        <v>81</v>
      </c>
      <c r="M77" s="331" t="s">
        <v>78</v>
      </c>
      <c r="N77" s="331" t="s">
        <v>424</v>
      </c>
      <c r="O77" s="331">
        <v>10127676</v>
      </c>
      <c r="P77" s="332">
        <v>43754</v>
      </c>
      <c r="Q77" s="332">
        <v>43754</v>
      </c>
      <c r="R77" s="332">
        <v>43786</v>
      </c>
      <c r="S77" s="331" t="s">
        <v>981</v>
      </c>
      <c r="T77" s="331" t="s">
        <v>982</v>
      </c>
      <c r="U77" s="331" t="s">
        <v>427</v>
      </c>
      <c r="V77" s="331" t="s">
        <v>983</v>
      </c>
      <c r="W77" s="331" t="s">
        <v>190</v>
      </c>
      <c r="X77" s="331" t="s">
        <v>190</v>
      </c>
      <c r="Y77" s="331" t="s">
        <v>190</v>
      </c>
      <c r="Z77" s="331" t="s">
        <v>190</v>
      </c>
      <c r="AA77" s="331" t="s">
        <v>190</v>
      </c>
      <c r="AB77" s="331" t="s">
        <v>190</v>
      </c>
      <c r="AC77" s="331" t="s">
        <v>190</v>
      </c>
      <c r="AD77" s="331" t="s">
        <v>190</v>
      </c>
      <c r="AE77" s="331" t="s">
        <v>428</v>
      </c>
      <c r="AF77" s="331" t="s">
        <v>190</v>
      </c>
      <c r="AG77" s="331" t="s">
        <v>190</v>
      </c>
      <c r="AH77" s="331" t="s">
        <v>190</v>
      </c>
      <c r="AI77" s="331" t="s">
        <v>190</v>
      </c>
      <c r="AJ77" s="331" t="s">
        <v>190</v>
      </c>
      <c r="AK77" s="331" t="s">
        <v>190</v>
      </c>
      <c r="AL77" s="331" t="s">
        <v>190</v>
      </c>
      <c r="AM77" s="331" t="s">
        <v>428</v>
      </c>
      <c r="AN77" s="331" t="s">
        <v>428</v>
      </c>
      <c r="AO77" s="331" t="s">
        <v>190</v>
      </c>
      <c r="AP77" s="331" t="s">
        <v>190</v>
      </c>
      <c r="AQ77" s="331" t="s">
        <v>984</v>
      </c>
      <c r="AR77" s="331" t="s">
        <v>984</v>
      </c>
      <c r="AS77" s="331" t="s">
        <v>984</v>
      </c>
      <c r="AT77" s="331" t="s">
        <v>984</v>
      </c>
      <c r="AU77" s="331" t="s">
        <v>984</v>
      </c>
      <c r="AV77" s="331" t="s">
        <v>984</v>
      </c>
      <c r="AW77" s="331" t="s">
        <v>984</v>
      </c>
      <c r="AX77" s="331" t="s">
        <v>190</v>
      </c>
      <c r="AY77" s="331" t="s">
        <v>190</v>
      </c>
      <c r="AZ77" s="331" t="s">
        <v>190</v>
      </c>
      <c r="BA77" s="331" t="s">
        <v>984</v>
      </c>
      <c r="BB77" s="331" t="s">
        <v>190</v>
      </c>
      <c r="BC77" s="331" t="s">
        <v>190</v>
      </c>
      <c r="BD77" s="331" t="s">
        <v>190</v>
      </c>
      <c r="BE77" s="331" t="s">
        <v>190</v>
      </c>
      <c r="BF77" s="331" t="s">
        <v>190</v>
      </c>
      <c r="BG77" s="331" t="s">
        <v>190</v>
      </c>
      <c r="BH77" s="331" t="s">
        <v>190</v>
      </c>
      <c r="BI77" s="331" t="s">
        <v>190</v>
      </c>
      <c r="BJ77" s="331" t="s">
        <v>190</v>
      </c>
      <c r="BK77" s="331" t="s">
        <v>190</v>
      </c>
      <c r="BL77" s="331" t="s">
        <v>190</v>
      </c>
      <c r="BM77" s="331" t="s">
        <v>190</v>
      </c>
      <c r="BN77" s="331" t="s">
        <v>190</v>
      </c>
      <c r="BO77" s="331" t="s">
        <v>190</v>
      </c>
      <c r="BP77" s="331" t="s">
        <v>190</v>
      </c>
      <c r="BQ77" s="331" t="s">
        <v>190</v>
      </c>
      <c r="BR77" s="331" t="s">
        <v>190</v>
      </c>
      <c r="BS77" s="331" t="s">
        <v>190</v>
      </c>
      <c r="BT77" s="331" t="s">
        <v>190</v>
      </c>
      <c r="BU77" s="331" t="s">
        <v>428</v>
      </c>
      <c r="BV77" s="331" t="s">
        <v>428</v>
      </c>
      <c r="BW77" s="331" t="s">
        <v>428</v>
      </c>
      <c r="BX77" s="331" t="s">
        <v>190</v>
      </c>
      <c r="BY77" s="331" t="s">
        <v>190</v>
      </c>
      <c r="BZ77" s="331" t="s">
        <v>190</v>
      </c>
      <c r="CA77" s="331" t="s">
        <v>190</v>
      </c>
      <c r="CB77" s="331" t="s">
        <v>190</v>
      </c>
      <c r="CC77" s="331" t="s">
        <v>190</v>
      </c>
      <c r="CD77" s="331" t="s">
        <v>190</v>
      </c>
      <c r="CE77" s="331" t="s">
        <v>190</v>
      </c>
      <c r="CF77" s="331" t="s">
        <v>190</v>
      </c>
      <c r="CG77" s="331" t="s">
        <v>190</v>
      </c>
      <c r="CH77" s="331" t="s">
        <v>190</v>
      </c>
      <c r="CI77" s="331" t="s">
        <v>190</v>
      </c>
      <c r="CJ77" s="331" t="s">
        <v>190</v>
      </c>
      <c r="CK77" s="331" t="s">
        <v>984</v>
      </c>
      <c r="CL77" s="331" t="s">
        <v>984</v>
      </c>
      <c r="CM77" s="331" t="s">
        <v>984</v>
      </c>
      <c r="CN77" s="331" t="s">
        <v>984</v>
      </c>
      <c r="CO77" s="331" t="s">
        <v>984</v>
      </c>
      <c r="CP77" s="331" t="s">
        <v>984</v>
      </c>
      <c r="CQ77" s="331" t="s">
        <v>984</v>
      </c>
      <c r="CR77" s="331" t="s">
        <v>984</v>
      </c>
      <c r="CS77" s="331" t="s">
        <v>984</v>
      </c>
      <c r="CT77" s="331" t="s">
        <v>984</v>
      </c>
      <c r="CU77" s="331" t="s">
        <v>984</v>
      </c>
      <c r="CV77" s="331" t="s">
        <v>984</v>
      </c>
      <c r="CW77" s="331" t="s">
        <v>984</v>
      </c>
      <c r="CX77" s="331" t="s">
        <v>984</v>
      </c>
      <c r="CY77" s="331" t="s">
        <v>984</v>
      </c>
      <c r="CZ77" s="331" t="s">
        <v>984</v>
      </c>
      <c r="DA77" s="331" t="s">
        <v>984</v>
      </c>
      <c r="DB77" s="331" t="s">
        <v>984</v>
      </c>
      <c r="DC77" s="331" t="s">
        <v>984</v>
      </c>
      <c r="DD77" s="331" t="s">
        <v>984</v>
      </c>
      <c r="DE77" s="331" t="s">
        <v>984</v>
      </c>
      <c r="DF77" s="331" t="s">
        <v>984</v>
      </c>
      <c r="DG77" s="331" t="s">
        <v>984</v>
      </c>
      <c r="DH77" s="331" t="s">
        <v>984</v>
      </c>
      <c r="DI77" s="331" t="s">
        <v>984</v>
      </c>
      <c r="DJ77" s="331" t="s">
        <v>984</v>
      </c>
      <c r="DK77" s="331" t="s">
        <v>984</v>
      </c>
      <c r="DL77" s="331" t="s">
        <v>984</v>
      </c>
      <c r="DM77" s="331" t="s">
        <v>984</v>
      </c>
      <c r="DN77" s="331" t="s">
        <v>984</v>
      </c>
      <c r="DO77" s="331" t="s">
        <v>984</v>
      </c>
      <c r="DP77" s="331" t="s">
        <v>984</v>
      </c>
      <c r="DQ77" s="331" t="s">
        <v>984</v>
      </c>
      <c r="DR77" s="331" t="s">
        <v>984</v>
      </c>
      <c r="DS77" s="331" t="s">
        <v>984</v>
      </c>
      <c r="DT77" s="331" t="s">
        <v>984</v>
      </c>
      <c r="DU77" s="331" t="s">
        <v>984</v>
      </c>
      <c r="DV77" s="331" t="s">
        <v>984</v>
      </c>
      <c r="DW77" s="331" t="s">
        <v>984</v>
      </c>
      <c r="DX77" s="331" t="s">
        <v>984</v>
      </c>
      <c r="DY77" s="331" t="s">
        <v>984</v>
      </c>
      <c r="DZ77" s="331" t="s">
        <v>984</v>
      </c>
      <c r="EA77" s="331" t="s">
        <v>984</v>
      </c>
      <c r="EB77" s="331" t="s">
        <v>984</v>
      </c>
      <c r="EC77" s="331" t="s">
        <v>984</v>
      </c>
      <c r="ED77" s="331" t="s">
        <v>984</v>
      </c>
      <c r="EE77" s="331" t="s">
        <v>984</v>
      </c>
      <c r="EF77" s="331" t="s">
        <v>984</v>
      </c>
      <c r="EG77" s="331" t="s">
        <v>984</v>
      </c>
      <c r="EH77" s="331" t="s">
        <v>984</v>
      </c>
      <c r="EI77" s="331" t="s">
        <v>984</v>
      </c>
      <c r="EJ77" s="331" t="s">
        <v>984</v>
      </c>
      <c r="EK77" s="331" t="s">
        <v>984</v>
      </c>
      <c r="EL77" s="331" t="s">
        <v>984</v>
      </c>
      <c r="EM77" s="331" t="s">
        <v>984</v>
      </c>
      <c r="EN77" s="331" t="s">
        <v>984</v>
      </c>
      <c r="EO77" s="331" t="s">
        <v>984</v>
      </c>
      <c r="EP77" s="331" t="s">
        <v>984</v>
      </c>
      <c r="EQ77" s="331" t="s">
        <v>984</v>
      </c>
      <c r="ER77" s="331" t="s">
        <v>984</v>
      </c>
      <c r="ES77" s="331" t="s">
        <v>190</v>
      </c>
      <c r="ET77" s="331" t="s">
        <v>190</v>
      </c>
      <c r="EU77" s="331" t="s">
        <v>190</v>
      </c>
      <c r="EV77" s="331" t="s">
        <v>190</v>
      </c>
      <c r="EW77" s="331" t="s">
        <v>190</v>
      </c>
      <c r="EX77" s="331" t="s">
        <v>190</v>
      </c>
      <c r="EY77" s="331" t="s">
        <v>190</v>
      </c>
      <c r="EZ77" s="331" t="s">
        <v>428</v>
      </c>
      <c r="FA77" s="331" t="s">
        <v>190</v>
      </c>
      <c r="FB77" s="331" t="s">
        <v>190</v>
      </c>
      <c r="FC77" s="331" t="s">
        <v>190</v>
      </c>
      <c r="FD77" s="331" t="s">
        <v>190</v>
      </c>
      <c r="FE77" s="331" t="s">
        <v>190</v>
      </c>
      <c r="FF77" s="331" t="s">
        <v>190</v>
      </c>
      <c r="FG77" s="331" t="s">
        <v>190</v>
      </c>
      <c r="FH77" s="331" t="s">
        <v>190</v>
      </c>
      <c r="FI77" s="331" t="s">
        <v>190</v>
      </c>
      <c r="FJ77" s="331" t="s">
        <v>190</v>
      </c>
      <c r="FK77" s="331" t="s">
        <v>190</v>
      </c>
      <c r="FL77" s="331" t="s">
        <v>190</v>
      </c>
      <c r="FM77" s="331" t="s">
        <v>190</v>
      </c>
      <c r="FN77" s="331" t="s">
        <v>190</v>
      </c>
      <c r="FO77" s="331" t="s">
        <v>190</v>
      </c>
      <c r="FP77" s="331" t="s">
        <v>190</v>
      </c>
      <c r="FQ77" s="331" t="s">
        <v>190</v>
      </c>
      <c r="FR77" s="331" t="s">
        <v>428</v>
      </c>
      <c r="FS77" s="331" t="s">
        <v>190</v>
      </c>
      <c r="FT77" s="331" t="s">
        <v>984</v>
      </c>
      <c r="FU77" s="331" t="s">
        <v>984</v>
      </c>
      <c r="FV77" s="331" t="s">
        <v>190</v>
      </c>
      <c r="FW77" s="331" t="s">
        <v>984</v>
      </c>
      <c r="FX77" s="331" t="s">
        <v>984</v>
      </c>
      <c r="FY77" s="331" t="s">
        <v>984</v>
      </c>
      <c r="FZ77" s="331" t="s">
        <v>984</v>
      </c>
      <c r="GA77" s="331" t="s">
        <v>984</v>
      </c>
      <c r="GB77" s="331" t="s">
        <v>984</v>
      </c>
      <c r="GC77" s="331" t="s">
        <v>984</v>
      </c>
      <c r="GD77" s="331" t="s">
        <v>984</v>
      </c>
      <c r="GE77" s="331" t="s">
        <v>984</v>
      </c>
      <c r="GF77" s="331" t="s">
        <v>984</v>
      </c>
      <c r="GG77" s="331" t="s">
        <v>984</v>
      </c>
      <c r="GH77" s="331" t="s">
        <v>984</v>
      </c>
      <c r="GI77" s="331" t="s">
        <v>984</v>
      </c>
      <c r="GJ77" s="331" t="s">
        <v>984</v>
      </c>
      <c r="GK77" s="331" t="s">
        <v>984</v>
      </c>
      <c r="GL77" s="331" t="s">
        <v>984</v>
      </c>
      <c r="GM77" s="331" t="s">
        <v>984</v>
      </c>
      <c r="GN77" s="331" t="s">
        <v>984</v>
      </c>
      <c r="GO77" s="331" t="s">
        <v>984</v>
      </c>
      <c r="GP77" s="331" t="s">
        <v>984</v>
      </c>
      <c r="GQ77" s="331" t="s">
        <v>984</v>
      </c>
      <c r="GR77" s="331" t="s">
        <v>984</v>
      </c>
      <c r="GS77" s="331" t="s">
        <v>984</v>
      </c>
      <c r="GT77" s="331" t="s">
        <v>984</v>
      </c>
      <c r="GU77" s="331" t="s">
        <v>984</v>
      </c>
      <c r="GV77" s="331" t="s">
        <v>984</v>
      </c>
      <c r="GW77" s="331" t="s">
        <v>984</v>
      </c>
      <c r="GX77" s="331" t="s">
        <v>984</v>
      </c>
      <c r="GY77" s="331" t="s">
        <v>984</v>
      </c>
      <c r="GZ77" s="331" t="s">
        <v>984</v>
      </c>
      <c r="HA77" s="331" t="s">
        <v>984</v>
      </c>
      <c r="HB77" s="331" t="s">
        <v>984</v>
      </c>
      <c r="HC77" s="331" t="s">
        <v>984</v>
      </c>
      <c r="HD77" s="331" t="s">
        <v>984</v>
      </c>
      <c r="HE77" s="331" t="s">
        <v>984</v>
      </c>
      <c r="HF77" s="331" t="s">
        <v>984</v>
      </c>
      <c r="HG77" s="331" t="s">
        <v>984</v>
      </c>
      <c r="HH77" s="331" t="s">
        <v>984</v>
      </c>
      <c r="HI77" s="331" t="s">
        <v>984</v>
      </c>
      <c r="HJ77" s="331" t="s">
        <v>984</v>
      </c>
      <c r="HK77" s="331" t="s">
        <v>984</v>
      </c>
      <c r="HL77" s="331" t="s">
        <v>984</v>
      </c>
      <c r="HM77" s="331" t="s">
        <v>190</v>
      </c>
      <c r="HN77" s="331" t="s">
        <v>190</v>
      </c>
      <c r="HO77" s="331" t="s">
        <v>190</v>
      </c>
      <c r="HP77" s="331" t="s">
        <v>190</v>
      </c>
      <c r="HQ77" s="331" t="s">
        <v>170</v>
      </c>
      <c r="HR77" s="331" t="s">
        <v>429</v>
      </c>
      <c r="HS77" s="331" t="s">
        <v>169</v>
      </c>
      <c r="HT77" s="331" t="s">
        <v>427</v>
      </c>
      <c r="HU77" s="331" t="s">
        <v>428</v>
      </c>
      <c r="HV77" s="331" t="s">
        <v>428</v>
      </c>
    </row>
    <row r="78" spans="1:230" s="70" customFormat="1" x14ac:dyDescent="0.25">
      <c r="A78" s="330" t="str">
        <f>HYPERLINK("http://www.ofsted.gov.uk/inspection-reports/find-inspection-report/provider/ELS/147361 ","Ofsted School Webpage")</f>
        <v>Ofsted School Webpage</v>
      </c>
      <c r="B78" s="331">
        <v>147361</v>
      </c>
      <c r="C78" s="331">
        <v>9336011</v>
      </c>
      <c r="D78" s="331" t="s">
        <v>2731</v>
      </c>
      <c r="E78" s="331" t="s">
        <v>168</v>
      </c>
      <c r="F78" s="331" t="s">
        <v>422</v>
      </c>
      <c r="G78" s="331" t="s">
        <v>422</v>
      </c>
      <c r="H78" s="331" t="s">
        <v>466</v>
      </c>
      <c r="I78" s="331" t="s">
        <v>2732</v>
      </c>
      <c r="J78" s="331" t="s">
        <v>434</v>
      </c>
      <c r="K78" s="331" t="s">
        <v>81</v>
      </c>
      <c r="L78" s="331" t="s">
        <v>81</v>
      </c>
      <c r="M78" s="331" t="s">
        <v>78</v>
      </c>
      <c r="N78" s="331" t="s">
        <v>424</v>
      </c>
      <c r="O78" s="331">
        <v>10119887</v>
      </c>
      <c r="P78" s="332">
        <v>43755</v>
      </c>
      <c r="Q78" s="332">
        <v>43755</v>
      </c>
      <c r="R78" s="332">
        <v>43772</v>
      </c>
      <c r="S78" s="331" t="s">
        <v>2583</v>
      </c>
      <c r="T78" s="331" t="s">
        <v>982</v>
      </c>
      <c r="U78" s="331" t="s">
        <v>427</v>
      </c>
      <c r="V78" s="331" t="s">
        <v>2599</v>
      </c>
      <c r="W78" s="331" t="s">
        <v>191</v>
      </c>
      <c r="X78" s="331" t="s">
        <v>191</v>
      </c>
      <c r="Y78" s="331" t="s">
        <v>191</v>
      </c>
      <c r="Z78" s="331" t="s">
        <v>191</v>
      </c>
      <c r="AA78" s="331" t="s">
        <v>191</v>
      </c>
      <c r="AB78" s="331" t="s">
        <v>191</v>
      </c>
      <c r="AC78" s="331" t="s">
        <v>191</v>
      </c>
      <c r="AD78" s="331" t="s">
        <v>191</v>
      </c>
      <c r="AE78" s="331" t="s">
        <v>191</v>
      </c>
      <c r="AF78" s="331" t="s">
        <v>190</v>
      </c>
      <c r="AG78" s="331" t="s">
        <v>190</v>
      </c>
      <c r="AH78" s="331" t="s">
        <v>190</v>
      </c>
      <c r="AI78" s="331" t="s">
        <v>191</v>
      </c>
      <c r="AJ78" s="331" t="s">
        <v>191</v>
      </c>
      <c r="AK78" s="331" t="s">
        <v>191</v>
      </c>
      <c r="AL78" s="331" t="s">
        <v>191</v>
      </c>
      <c r="AM78" s="331" t="s">
        <v>191</v>
      </c>
      <c r="AN78" s="331" t="s">
        <v>191</v>
      </c>
      <c r="AO78" s="331" t="s">
        <v>191</v>
      </c>
      <c r="AP78" s="331" t="s">
        <v>191</v>
      </c>
      <c r="AQ78" s="331" t="s">
        <v>191</v>
      </c>
      <c r="AR78" s="331" t="s">
        <v>191</v>
      </c>
      <c r="AS78" s="331" t="s">
        <v>191</v>
      </c>
      <c r="AT78" s="331" t="s">
        <v>191</v>
      </c>
      <c r="AU78" s="331" t="s">
        <v>191</v>
      </c>
      <c r="AV78" s="331" t="s">
        <v>191</v>
      </c>
      <c r="AW78" s="331" t="s">
        <v>191</v>
      </c>
      <c r="AX78" s="331" t="s">
        <v>191</v>
      </c>
      <c r="AY78" s="331" t="s">
        <v>190</v>
      </c>
      <c r="AZ78" s="331" t="s">
        <v>190</v>
      </c>
      <c r="BA78" s="331" t="s">
        <v>190</v>
      </c>
      <c r="BB78" s="331" t="s">
        <v>191</v>
      </c>
      <c r="BC78" s="331" t="s">
        <v>190</v>
      </c>
      <c r="BD78" s="331" t="s">
        <v>190</v>
      </c>
      <c r="BE78" s="331" t="s">
        <v>190</v>
      </c>
      <c r="BF78" s="331" t="s">
        <v>190</v>
      </c>
      <c r="BG78" s="331" t="s">
        <v>190</v>
      </c>
      <c r="BH78" s="331" t="s">
        <v>190</v>
      </c>
      <c r="BI78" s="331" t="s">
        <v>190</v>
      </c>
      <c r="BJ78" s="331" t="s">
        <v>190</v>
      </c>
      <c r="BK78" s="331" t="s">
        <v>190</v>
      </c>
      <c r="BL78" s="331" t="s">
        <v>190</v>
      </c>
      <c r="BM78" s="331" t="s">
        <v>190</v>
      </c>
      <c r="BN78" s="331" t="s">
        <v>190</v>
      </c>
      <c r="BO78" s="331" t="s">
        <v>190</v>
      </c>
      <c r="BP78" s="331" t="s">
        <v>190</v>
      </c>
      <c r="BQ78" s="331" t="s">
        <v>190</v>
      </c>
      <c r="BR78" s="331" t="s">
        <v>191</v>
      </c>
      <c r="BS78" s="331" t="s">
        <v>191</v>
      </c>
      <c r="BT78" s="331" t="s">
        <v>191</v>
      </c>
      <c r="BU78" s="331" t="s">
        <v>191</v>
      </c>
      <c r="BV78" s="331" t="s">
        <v>191</v>
      </c>
      <c r="BW78" s="331" t="s">
        <v>191</v>
      </c>
      <c r="BX78" s="331" t="s">
        <v>191</v>
      </c>
      <c r="BY78" s="331" t="s">
        <v>191</v>
      </c>
      <c r="BZ78" s="331" t="s">
        <v>191</v>
      </c>
      <c r="CA78" s="331" t="s">
        <v>191</v>
      </c>
      <c r="CB78" s="331" t="s">
        <v>191</v>
      </c>
      <c r="CC78" s="331" t="s">
        <v>191</v>
      </c>
      <c r="CD78" s="331" t="s">
        <v>191</v>
      </c>
      <c r="CE78" s="331" t="s">
        <v>191</v>
      </c>
      <c r="CF78" s="331" t="s">
        <v>190</v>
      </c>
      <c r="CG78" s="331" t="s">
        <v>191</v>
      </c>
      <c r="CH78" s="331" t="s">
        <v>191</v>
      </c>
      <c r="CI78" s="331" t="s">
        <v>191</v>
      </c>
      <c r="CJ78" s="331" t="s">
        <v>191</v>
      </c>
      <c r="CK78" s="331" t="s">
        <v>191</v>
      </c>
      <c r="CL78" s="331" t="s">
        <v>191</v>
      </c>
      <c r="CM78" s="331" t="s">
        <v>191</v>
      </c>
      <c r="CN78" s="331" t="s">
        <v>191</v>
      </c>
      <c r="CO78" s="331" t="s">
        <v>191</v>
      </c>
      <c r="CP78" s="331" t="s">
        <v>191</v>
      </c>
      <c r="CQ78" s="331" t="s">
        <v>191</v>
      </c>
      <c r="CR78" s="331" t="s">
        <v>191</v>
      </c>
      <c r="CS78" s="331" t="s">
        <v>191</v>
      </c>
      <c r="CT78" s="331" t="s">
        <v>191</v>
      </c>
      <c r="CU78" s="331" t="s">
        <v>191</v>
      </c>
      <c r="CV78" s="331" t="s">
        <v>191</v>
      </c>
      <c r="CW78" s="331" t="s">
        <v>191</v>
      </c>
      <c r="CX78" s="331" t="s">
        <v>191</v>
      </c>
      <c r="CY78" s="331" t="s">
        <v>191</v>
      </c>
      <c r="CZ78" s="331" t="s">
        <v>191</v>
      </c>
      <c r="DA78" s="331" t="s">
        <v>191</v>
      </c>
      <c r="DB78" s="331" t="s">
        <v>191</v>
      </c>
      <c r="DC78" s="331" t="s">
        <v>191</v>
      </c>
      <c r="DD78" s="331" t="s">
        <v>191</v>
      </c>
      <c r="DE78" s="331" t="s">
        <v>191</v>
      </c>
      <c r="DF78" s="331" t="s">
        <v>191</v>
      </c>
      <c r="DG78" s="331" t="s">
        <v>191</v>
      </c>
      <c r="DH78" s="331" t="s">
        <v>191</v>
      </c>
      <c r="DI78" s="331" t="s">
        <v>191</v>
      </c>
      <c r="DJ78" s="331" t="s">
        <v>191</v>
      </c>
      <c r="DK78" s="331" t="s">
        <v>191</v>
      </c>
      <c r="DL78" s="331" t="s">
        <v>191</v>
      </c>
      <c r="DM78" s="331" t="s">
        <v>191</v>
      </c>
      <c r="DN78" s="331" t="s">
        <v>191</v>
      </c>
      <c r="DO78" s="331" t="s">
        <v>191</v>
      </c>
      <c r="DP78" s="331" t="s">
        <v>191</v>
      </c>
      <c r="DQ78" s="331" t="s">
        <v>191</v>
      </c>
      <c r="DR78" s="331" t="s">
        <v>191</v>
      </c>
      <c r="DS78" s="331" t="s">
        <v>191</v>
      </c>
      <c r="DT78" s="331" t="s">
        <v>191</v>
      </c>
      <c r="DU78" s="331" t="s">
        <v>191</v>
      </c>
      <c r="DV78" s="331" t="s">
        <v>191</v>
      </c>
      <c r="DW78" s="331" t="s">
        <v>191</v>
      </c>
      <c r="DX78" s="331" t="s">
        <v>191</v>
      </c>
      <c r="DY78" s="331" t="s">
        <v>191</v>
      </c>
      <c r="DZ78" s="331" t="s">
        <v>191</v>
      </c>
      <c r="EA78" s="331" t="s">
        <v>191</v>
      </c>
      <c r="EB78" s="331" t="s">
        <v>191</v>
      </c>
      <c r="EC78" s="331" t="s">
        <v>191</v>
      </c>
      <c r="ED78" s="331" t="s">
        <v>191</v>
      </c>
      <c r="EE78" s="331" t="s">
        <v>191</v>
      </c>
      <c r="EF78" s="331" t="s">
        <v>191</v>
      </c>
      <c r="EG78" s="331" t="s">
        <v>191</v>
      </c>
      <c r="EH78" s="331" t="s">
        <v>428</v>
      </c>
      <c r="EI78" s="331" t="s">
        <v>191</v>
      </c>
      <c r="EJ78" s="331" t="s">
        <v>191</v>
      </c>
      <c r="EK78" s="331" t="s">
        <v>191</v>
      </c>
      <c r="EL78" s="331" t="s">
        <v>191</v>
      </c>
      <c r="EM78" s="331" t="s">
        <v>191</v>
      </c>
      <c r="EN78" s="331" t="s">
        <v>191</v>
      </c>
      <c r="EO78" s="331" t="s">
        <v>191</v>
      </c>
      <c r="EP78" s="331" t="s">
        <v>428</v>
      </c>
      <c r="EQ78" s="331" t="s">
        <v>428</v>
      </c>
      <c r="ER78" s="331" t="s">
        <v>428</v>
      </c>
      <c r="ES78" s="331" t="s">
        <v>191</v>
      </c>
      <c r="ET78" s="331" t="s">
        <v>191</v>
      </c>
      <c r="EU78" s="331" t="s">
        <v>191</v>
      </c>
      <c r="EV78" s="331" t="s">
        <v>191</v>
      </c>
      <c r="EW78" s="331" t="s">
        <v>191</v>
      </c>
      <c r="EX78" s="331" t="s">
        <v>191</v>
      </c>
      <c r="EY78" s="331" t="s">
        <v>191</v>
      </c>
      <c r="EZ78" s="331" t="s">
        <v>428</v>
      </c>
      <c r="FA78" s="331" t="s">
        <v>191</v>
      </c>
      <c r="FB78" s="331" t="s">
        <v>191</v>
      </c>
      <c r="FC78" s="331" t="s">
        <v>190</v>
      </c>
      <c r="FD78" s="331" t="s">
        <v>191</v>
      </c>
      <c r="FE78" s="331" t="s">
        <v>190</v>
      </c>
      <c r="FF78" s="331" t="s">
        <v>191</v>
      </c>
      <c r="FG78" s="331" t="s">
        <v>190</v>
      </c>
      <c r="FH78" s="331" t="s">
        <v>190</v>
      </c>
      <c r="FI78" s="331" t="s">
        <v>190</v>
      </c>
      <c r="FJ78" s="331" t="s">
        <v>190</v>
      </c>
      <c r="FK78" s="331" t="s">
        <v>190</v>
      </c>
      <c r="FL78" s="331" t="s">
        <v>190</v>
      </c>
      <c r="FM78" s="331" t="s">
        <v>190</v>
      </c>
      <c r="FN78" s="331" t="s">
        <v>190</v>
      </c>
      <c r="FO78" s="331" t="s">
        <v>190</v>
      </c>
      <c r="FP78" s="331" t="s">
        <v>190</v>
      </c>
      <c r="FQ78" s="331" t="s">
        <v>190</v>
      </c>
      <c r="FR78" s="331" t="s">
        <v>428</v>
      </c>
      <c r="FS78" s="331" t="s">
        <v>191</v>
      </c>
      <c r="FT78" s="331" t="s">
        <v>191</v>
      </c>
      <c r="FU78" s="331" t="s">
        <v>191</v>
      </c>
      <c r="FV78" s="331" t="s">
        <v>191</v>
      </c>
      <c r="FW78" s="331" t="s">
        <v>191</v>
      </c>
      <c r="FX78" s="331" t="s">
        <v>191</v>
      </c>
      <c r="FY78" s="331" t="s">
        <v>190</v>
      </c>
      <c r="FZ78" s="331" t="s">
        <v>190</v>
      </c>
      <c r="GA78" s="331" t="s">
        <v>190</v>
      </c>
      <c r="GB78" s="331" t="s">
        <v>190</v>
      </c>
      <c r="GC78" s="331" t="s">
        <v>191</v>
      </c>
      <c r="GD78" s="331" t="s">
        <v>191</v>
      </c>
      <c r="GE78" s="331" t="s">
        <v>191</v>
      </c>
      <c r="GF78" s="331" t="s">
        <v>191</v>
      </c>
      <c r="GG78" s="331" t="s">
        <v>191</v>
      </c>
      <c r="GH78" s="331" t="s">
        <v>191</v>
      </c>
      <c r="GI78" s="331" t="s">
        <v>191</v>
      </c>
      <c r="GJ78" s="331" t="s">
        <v>191</v>
      </c>
      <c r="GK78" s="331" t="s">
        <v>191</v>
      </c>
      <c r="GL78" s="331" t="s">
        <v>191</v>
      </c>
      <c r="GM78" s="331" t="s">
        <v>191</v>
      </c>
      <c r="GN78" s="331" t="s">
        <v>191</v>
      </c>
      <c r="GO78" s="331" t="s">
        <v>191</v>
      </c>
      <c r="GP78" s="331" t="s">
        <v>191</v>
      </c>
      <c r="GQ78" s="331" t="s">
        <v>191</v>
      </c>
      <c r="GR78" s="331" t="s">
        <v>191</v>
      </c>
      <c r="GS78" s="331" t="s">
        <v>428</v>
      </c>
      <c r="GT78" s="331" t="s">
        <v>428</v>
      </c>
      <c r="GU78" s="331" t="s">
        <v>428</v>
      </c>
      <c r="GV78" s="331" t="s">
        <v>428</v>
      </c>
      <c r="GW78" s="331" t="s">
        <v>191</v>
      </c>
      <c r="GX78" s="331" t="s">
        <v>191</v>
      </c>
      <c r="GY78" s="331" t="s">
        <v>191</v>
      </c>
      <c r="GZ78" s="331" t="s">
        <v>191</v>
      </c>
      <c r="HA78" s="331" t="s">
        <v>191</v>
      </c>
      <c r="HB78" s="331" t="s">
        <v>191</v>
      </c>
      <c r="HC78" s="331" t="s">
        <v>191</v>
      </c>
      <c r="HD78" s="331" t="s">
        <v>191</v>
      </c>
      <c r="HE78" s="331" t="s">
        <v>191</v>
      </c>
      <c r="HF78" s="331" t="s">
        <v>191</v>
      </c>
      <c r="HG78" s="331" t="s">
        <v>191</v>
      </c>
      <c r="HH78" s="331" t="s">
        <v>191</v>
      </c>
      <c r="HI78" s="331" t="s">
        <v>191</v>
      </c>
      <c r="HJ78" s="331" t="s">
        <v>191</v>
      </c>
      <c r="HK78" s="331" t="s">
        <v>191</v>
      </c>
      <c r="HL78" s="331" t="s">
        <v>191</v>
      </c>
      <c r="HM78" s="331" t="s">
        <v>191</v>
      </c>
      <c r="HN78" s="331" t="s">
        <v>191</v>
      </c>
      <c r="HO78" s="331" t="s">
        <v>191</v>
      </c>
      <c r="HP78" s="331" t="s">
        <v>191</v>
      </c>
      <c r="HQ78" s="331" t="s">
        <v>170</v>
      </c>
      <c r="HR78" s="331" t="s">
        <v>429</v>
      </c>
      <c r="HS78" s="331" t="s">
        <v>169</v>
      </c>
      <c r="HT78" s="331" t="s">
        <v>447</v>
      </c>
      <c r="HU78" s="331" t="s">
        <v>428</v>
      </c>
      <c r="HV78" s="331" t="s">
        <v>428</v>
      </c>
    </row>
    <row r="79" spans="1:230" s="70" customFormat="1" x14ac:dyDescent="0.25">
      <c r="A79" s="330" t="str">
        <f>HYPERLINK("http://www.ofsted.gov.uk/inspection-reports/find-inspection-report/provider/ELS/147548 ","Ofsted School Webpage")</f>
        <v>Ofsted School Webpage</v>
      </c>
      <c r="B79" s="331">
        <v>147548</v>
      </c>
      <c r="C79" s="331">
        <v>8886121</v>
      </c>
      <c r="D79" s="331" t="s">
        <v>2733</v>
      </c>
      <c r="E79" s="331" t="s">
        <v>168</v>
      </c>
      <c r="F79" s="331" t="s">
        <v>431</v>
      </c>
      <c r="G79" s="331" t="s">
        <v>431</v>
      </c>
      <c r="H79" s="331" t="s">
        <v>469</v>
      </c>
      <c r="I79" s="331" t="s">
        <v>2734</v>
      </c>
      <c r="J79" s="331" t="s">
        <v>434</v>
      </c>
      <c r="K79" s="331" t="s">
        <v>81</v>
      </c>
      <c r="L79" s="331" t="s">
        <v>81</v>
      </c>
      <c r="M79" s="331" t="s">
        <v>78</v>
      </c>
      <c r="N79" s="331" t="s">
        <v>424</v>
      </c>
      <c r="O79" s="331">
        <v>10126534</v>
      </c>
      <c r="P79" s="332">
        <v>43755</v>
      </c>
      <c r="Q79" s="332">
        <v>43755</v>
      </c>
      <c r="R79" s="332">
        <v>43780</v>
      </c>
      <c r="S79" s="331" t="s">
        <v>2583</v>
      </c>
      <c r="T79" s="331" t="s">
        <v>982</v>
      </c>
      <c r="U79" s="331" t="s">
        <v>427</v>
      </c>
      <c r="V79" s="331" t="s">
        <v>2584</v>
      </c>
      <c r="W79" s="331" t="s">
        <v>190</v>
      </c>
      <c r="X79" s="331" t="s">
        <v>190</v>
      </c>
      <c r="Y79" s="331" t="s">
        <v>190</v>
      </c>
      <c r="Z79" s="331" t="s">
        <v>190</v>
      </c>
      <c r="AA79" s="331" t="s">
        <v>190</v>
      </c>
      <c r="AB79" s="331" t="s">
        <v>190</v>
      </c>
      <c r="AC79" s="331" t="s">
        <v>190</v>
      </c>
      <c r="AD79" s="331" t="s">
        <v>190</v>
      </c>
      <c r="AE79" s="331" t="s">
        <v>428</v>
      </c>
      <c r="AF79" s="331" t="s">
        <v>190</v>
      </c>
      <c r="AG79" s="331" t="s">
        <v>190</v>
      </c>
      <c r="AH79" s="331" t="s">
        <v>190</v>
      </c>
      <c r="AI79" s="331" t="s">
        <v>428</v>
      </c>
      <c r="AJ79" s="331" t="s">
        <v>428</v>
      </c>
      <c r="AK79" s="331" t="s">
        <v>428</v>
      </c>
      <c r="AL79" s="331" t="s">
        <v>428</v>
      </c>
      <c r="AM79" s="331" t="s">
        <v>428</v>
      </c>
      <c r="AN79" s="331" t="s">
        <v>428</v>
      </c>
      <c r="AO79" s="331" t="s">
        <v>190</v>
      </c>
      <c r="AP79" s="331" t="s">
        <v>190</v>
      </c>
      <c r="AQ79" s="331" t="s">
        <v>190</v>
      </c>
      <c r="AR79" s="331" t="s">
        <v>190</v>
      </c>
      <c r="AS79" s="331" t="s">
        <v>190</v>
      </c>
      <c r="AT79" s="331" t="s">
        <v>190</v>
      </c>
      <c r="AU79" s="331" t="s">
        <v>190</v>
      </c>
      <c r="AV79" s="331" t="s">
        <v>190</v>
      </c>
      <c r="AW79" s="331" t="s">
        <v>190</v>
      </c>
      <c r="AX79" s="331" t="s">
        <v>190</v>
      </c>
      <c r="AY79" s="331" t="s">
        <v>190</v>
      </c>
      <c r="AZ79" s="331" t="s">
        <v>190</v>
      </c>
      <c r="BA79" s="331" t="s">
        <v>190</v>
      </c>
      <c r="BB79" s="331" t="s">
        <v>190</v>
      </c>
      <c r="BC79" s="331" t="s">
        <v>190</v>
      </c>
      <c r="BD79" s="331" t="s">
        <v>190</v>
      </c>
      <c r="BE79" s="331" t="s">
        <v>190</v>
      </c>
      <c r="BF79" s="331" t="s">
        <v>190</v>
      </c>
      <c r="BG79" s="331" t="s">
        <v>190</v>
      </c>
      <c r="BH79" s="331" t="s">
        <v>190</v>
      </c>
      <c r="BI79" s="331" t="s">
        <v>190</v>
      </c>
      <c r="BJ79" s="331" t="s">
        <v>190</v>
      </c>
      <c r="BK79" s="331" t="s">
        <v>190</v>
      </c>
      <c r="BL79" s="331" t="s">
        <v>190</v>
      </c>
      <c r="BM79" s="331" t="s">
        <v>190</v>
      </c>
      <c r="BN79" s="331" t="s">
        <v>190</v>
      </c>
      <c r="BO79" s="331" t="s">
        <v>190</v>
      </c>
      <c r="BP79" s="331" t="s">
        <v>190</v>
      </c>
      <c r="BQ79" s="331" t="s">
        <v>190</v>
      </c>
      <c r="BR79" s="331" t="s">
        <v>190</v>
      </c>
      <c r="BS79" s="331" t="s">
        <v>190</v>
      </c>
      <c r="BT79" s="331" t="s">
        <v>190</v>
      </c>
      <c r="BU79" s="331" t="s">
        <v>428</v>
      </c>
      <c r="BV79" s="331" t="s">
        <v>428</v>
      </c>
      <c r="BW79" s="331" t="s">
        <v>428</v>
      </c>
      <c r="BX79" s="331" t="s">
        <v>190</v>
      </c>
      <c r="BY79" s="331" t="s">
        <v>190</v>
      </c>
      <c r="BZ79" s="331" t="s">
        <v>190</v>
      </c>
      <c r="CA79" s="331" t="s">
        <v>190</v>
      </c>
      <c r="CB79" s="331" t="s">
        <v>190</v>
      </c>
      <c r="CC79" s="331" t="s">
        <v>190</v>
      </c>
      <c r="CD79" s="331" t="s">
        <v>190</v>
      </c>
      <c r="CE79" s="331" t="s">
        <v>190</v>
      </c>
      <c r="CF79" s="331" t="s">
        <v>190</v>
      </c>
      <c r="CG79" s="331" t="s">
        <v>190</v>
      </c>
      <c r="CH79" s="331" t="s">
        <v>190</v>
      </c>
      <c r="CI79" s="331" t="s">
        <v>190</v>
      </c>
      <c r="CJ79" s="331" t="s">
        <v>190</v>
      </c>
      <c r="CK79" s="331" t="s">
        <v>190</v>
      </c>
      <c r="CL79" s="331" t="s">
        <v>190</v>
      </c>
      <c r="CM79" s="331" t="s">
        <v>190</v>
      </c>
      <c r="CN79" s="331" t="s">
        <v>190</v>
      </c>
      <c r="CO79" s="331" t="s">
        <v>190</v>
      </c>
      <c r="CP79" s="331" t="s">
        <v>190</v>
      </c>
      <c r="CQ79" s="331" t="s">
        <v>190</v>
      </c>
      <c r="CR79" s="331" t="s">
        <v>190</v>
      </c>
      <c r="CS79" s="331" t="s">
        <v>190</v>
      </c>
      <c r="CT79" s="331" t="s">
        <v>190</v>
      </c>
      <c r="CU79" s="331" t="s">
        <v>428</v>
      </c>
      <c r="CV79" s="331" t="s">
        <v>190</v>
      </c>
      <c r="CW79" s="331" t="s">
        <v>190</v>
      </c>
      <c r="CX79" s="331" t="s">
        <v>190</v>
      </c>
      <c r="CY79" s="331" t="s">
        <v>190</v>
      </c>
      <c r="CZ79" s="331" t="s">
        <v>190</v>
      </c>
      <c r="DA79" s="331" t="s">
        <v>190</v>
      </c>
      <c r="DB79" s="331" t="s">
        <v>190</v>
      </c>
      <c r="DC79" s="331" t="s">
        <v>190</v>
      </c>
      <c r="DD79" s="331" t="s">
        <v>190</v>
      </c>
      <c r="DE79" s="331" t="s">
        <v>190</v>
      </c>
      <c r="DF79" s="331" t="s">
        <v>190</v>
      </c>
      <c r="DG79" s="331" t="s">
        <v>190</v>
      </c>
      <c r="DH79" s="331" t="s">
        <v>190</v>
      </c>
      <c r="DI79" s="331" t="s">
        <v>190</v>
      </c>
      <c r="DJ79" s="331" t="s">
        <v>428</v>
      </c>
      <c r="DK79" s="331" t="s">
        <v>190</v>
      </c>
      <c r="DL79" s="331" t="s">
        <v>190</v>
      </c>
      <c r="DM79" s="331" t="s">
        <v>190</v>
      </c>
      <c r="DN79" s="331" t="s">
        <v>190</v>
      </c>
      <c r="DO79" s="331" t="s">
        <v>190</v>
      </c>
      <c r="DP79" s="331" t="s">
        <v>190</v>
      </c>
      <c r="DQ79" s="331" t="s">
        <v>190</v>
      </c>
      <c r="DR79" s="331" t="s">
        <v>190</v>
      </c>
      <c r="DS79" s="331" t="s">
        <v>190</v>
      </c>
      <c r="DT79" s="331" t="s">
        <v>190</v>
      </c>
      <c r="DU79" s="331" t="s">
        <v>190</v>
      </c>
      <c r="DV79" s="331" t="s">
        <v>190</v>
      </c>
      <c r="DW79" s="331" t="s">
        <v>190</v>
      </c>
      <c r="DX79" s="331" t="s">
        <v>190</v>
      </c>
      <c r="DY79" s="331" t="s">
        <v>190</v>
      </c>
      <c r="DZ79" s="331" t="s">
        <v>190</v>
      </c>
      <c r="EA79" s="331" t="s">
        <v>190</v>
      </c>
      <c r="EB79" s="331" t="s">
        <v>190</v>
      </c>
      <c r="EC79" s="331" t="s">
        <v>190</v>
      </c>
      <c r="ED79" s="331" t="s">
        <v>190</v>
      </c>
      <c r="EE79" s="331" t="s">
        <v>190</v>
      </c>
      <c r="EF79" s="331" t="s">
        <v>190</v>
      </c>
      <c r="EG79" s="331" t="s">
        <v>190</v>
      </c>
      <c r="EH79" s="331" t="s">
        <v>428</v>
      </c>
      <c r="EI79" s="331" t="s">
        <v>190</v>
      </c>
      <c r="EJ79" s="331" t="s">
        <v>190</v>
      </c>
      <c r="EK79" s="331" t="s">
        <v>190</v>
      </c>
      <c r="EL79" s="331" t="s">
        <v>190</v>
      </c>
      <c r="EM79" s="331" t="s">
        <v>428</v>
      </c>
      <c r="EN79" s="331" t="s">
        <v>190</v>
      </c>
      <c r="EO79" s="331" t="s">
        <v>190</v>
      </c>
      <c r="EP79" s="331" t="s">
        <v>428</v>
      </c>
      <c r="EQ79" s="331" t="s">
        <v>428</v>
      </c>
      <c r="ER79" s="331" t="s">
        <v>428</v>
      </c>
      <c r="ES79" s="331" t="s">
        <v>190</v>
      </c>
      <c r="ET79" s="331" t="s">
        <v>190</v>
      </c>
      <c r="EU79" s="331" t="s">
        <v>428</v>
      </c>
      <c r="EV79" s="331" t="s">
        <v>428</v>
      </c>
      <c r="EW79" s="331" t="s">
        <v>190</v>
      </c>
      <c r="EX79" s="331" t="s">
        <v>190</v>
      </c>
      <c r="EY79" s="331" t="s">
        <v>190</v>
      </c>
      <c r="EZ79" s="331" t="s">
        <v>428</v>
      </c>
      <c r="FA79" s="331" t="s">
        <v>428</v>
      </c>
      <c r="FB79" s="331" t="s">
        <v>190</v>
      </c>
      <c r="FC79" s="331" t="s">
        <v>190</v>
      </c>
      <c r="FD79" s="331" t="s">
        <v>190</v>
      </c>
      <c r="FE79" s="331" t="s">
        <v>190</v>
      </c>
      <c r="FF79" s="331" t="s">
        <v>190</v>
      </c>
      <c r="FG79" s="331" t="s">
        <v>190</v>
      </c>
      <c r="FH79" s="331" t="s">
        <v>190</v>
      </c>
      <c r="FI79" s="331" t="s">
        <v>190</v>
      </c>
      <c r="FJ79" s="331" t="s">
        <v>190</v>
      </c>
      <c r="FK79" s="331" t="s">
        <v>190</v>
      </c>
      <c r="FL79" s="331" t="s">
        <v>190</v>
      </c>
      <c r="FM79" s="331" t="s">
        <v>190</v>
      </c>
      <c r="FN79" s="331" t="s">
        <v>190</v>
      </c>
      <c r="FO79" s="331" t="s">
        <v>190</v>
      </c>
      <c r="FP79" s="331" t="s">
        <v>190</v>
      </c>
      <c r="FQ79" s="331" t="s">
        <v>190</v>
      </c>
      <c r="FR79" s="331" t="s">
        <v>190</v>
      </c>
      <c r="FS79" s="331" t="s">
        <v>190</v>
      </c>
      <c r="FT79" s="331" t="s">
        <v>190</v>
      </c>
      <c r="FU79" s="331" t="s">
        <v>190</v>
      </c>
      <c r="FV79" s="331" t="s">
        <v>190</v>
      </c>
      <c r="FW79" s="331" t="s">
        <v>190</v>
      </c>
      <c r="FX79" s="331" t="s">
        <v>428</v>
      </c>
      <c r="FY79" s="331" t="s">
        <v>190</v>
      </c>
      <c r="FZ79" s="331" t="s">
        <v>190</v>
      </c>
      <c r="GA79" s="331" t="s">
        <v>428</v>
      </c>
      <c r="GB79" s="331" t="s">
        <v>428</v>
      </c>
      <c r="GC79" s="331" t="s">
        <v>190</v>
      </c>
      <c r="GD79" s="331" t="s">
        <v>190</v>
      </c>
      <c r="GE79" s="331" t="s">
        <v>190</v>
      </c>
      <c r="GF79" s="331" t="s">
        <v>190</v>
      </c>
      <c r="GG79" s="331" t="s">
        <v>428</v>
      </c>
      <c r="GH79" s="331" t="s">
        <v>190</v>
      </c>
      <c r="GI79" s="331" t="s">
        <v>428</v>
      </c>
      <c r="GJ79" s="331" t="s">
        <v>190</v>
      </c>
      <c r="GK79" s="331" t="s">
        <v>190</v>
      </c>
      <c r="GL79" s="331" t="s">
        <v>190</v>
      </c>
      <c r="GM79" s="331" t="s">
        <v>190</v>
      </c>
      <c r="GN79" s="331" t="s">
        <v>190</v>
      </c>
      <c r="GO79" s="331" t="s">
        <v>190</v>
      </c>
      <c r="GP79" s="331" t="s">
        <v>190</v>
      </c>
      <c r="GQ79" s="331" t="s">
        <v>190</v>
      </c>
      <c r="GR79" s="331" t="s">
        <v>190</v>
      </c>
      <c r="GS79" s="331" t="s">
        <v>428</v>
      </c>
      <c r="GT79" s="331" t="s">
        <v>428</v>
      </c>
      <c r="GU79" s="331" t="s">
        <v>428</v>
      </c>
      <c r="GV79" s="331" t="s">
        <v>428</v>
      </c>
      <c r="GW79" s="331" t="s">
        <v>190</v>
      </c>
      <c r="GX79" s="331" t="s">
        <v>190</v>
      </c>
      <c r="GY79" s="331" t="s">
        <v>190</v>
      </c>
      <c r="GZ79" s="331" t="s">
        <v>190</v>
      </c>
      <c r="HA79" s="331" t="s">
        <v>190</v>
      </c>
      <c r="HB79" s="331" t="s">
        <v>190</v>
      </c>
      <c r="HC79" s="331" t="s">
        <v>190</v>
      </c>
      <c r="HD79" s="331" t="s">
        <v>190</v>
      </c>
      <c r="HE79" s="331" t="s">
        <v>190</v>
      </c>
      <c r="HF79" s="331" t="s">
        <v>190</v>
      </c>
      <c r="HG79" s="331" t="s">
        <v>190</v>
      </c>
      <c r="HH79" s="331" t="s">
        <v>190</v>
      </c>
      <c r="HI79" s="331" t="s">
        <v>190</v>
      </c>
      <c r="HJ79" s="331" t="s">
        <v>190</v>
      </c>
      <c r="HK79" s="331" t="s">
        <v>190</v>
      </c>
      <c r="HL79" s="331" t="s">
        <v>190</v>
      </c>
      <c r="HM79" s="331" t="s">
        <v>190</v>
      </c>
      <c r="HN79" s="331" t="s">
        <v>190</v>
      </c>
      <c r="HO79" s="331" t="s">
        <v>190</v>
      </c>
      <c r="HP79" s="331" t="s">
        <v>190</v>
      </c>
      <c r="HQ79" s="331" t="s">
        <v>170</v>
      </c>
      <c r="HR79" s="331" t="s">
        <v>429</v>
      </c>
      <c r="HS79" s="331" t="s">
        <v>169</v>
      </c>
      <c r="HT79" s="331" t="s">
        <v>427</v>
      </c>
      <c r="HU79" s="331" t="s">
        <v>190</v>
      </c>
      <c r="HV79" s="331" t="s">
        <v>190</v>
      </c>
    </row>
    <row r="80" spans="1:230" s="70" customFormat="1" x14ac:dyDescent="0.25">
      <c r="A80" s="330" t="str">
        <f>HYPERLINK("http://www.ofsted.gov.uk/inspection-reports/find-inspection-report/provider/ELS/134186 ","Ofsted School Webpage")</f>
        <v>Ofsted School Webpage</v>
      </c>
      <c r="B80" s="331">
        <v>134186</v>
      </c>
      <c r="C80" s="331">
        <v>8776001</v>
      </c>
      <c r="D80" s="331" t="s">
        <v>1796</v>
      </c>
      <c r="E80" s="331" t="s">
        <v>168</v>
      </c>
      <c r="F80" s="331" t="s">
        <v>431</v>
      </c>
      <c r="G80" s="331" t="s">
        <v>431</v>
      </c>
      <c r="H80" s="331" t="s">
        <v>1797</v>
      </c>
      <c r="I80" s="331" t="s">
        <v>1798</v>
      </c>
      <c r="J80" s="331" t="s">
        <v>81</v>
      </c>
      <c r="K80" s="331" t="s">
        <v>81</v>
      </c>
      <c r="L80" s="331" t="s">
        <v>81</v>
      </c>
      <c r="M80" s="331" t="s">
        <v>78</v>
      </c>
      <c r="N80" s="331" t="s">
        <v>424</v>
      </c>
      <c r="O80" s="331">
        <v>10126529</v>
      </c>
      <c r="P80" s="332">
        <v>43759</v>
      </c>
      <c r="Q80" s="332">
        <v>43759</v>
      </c>
      <c r="R80" s="332">
        <v>43795</v>
      </c>
      <c r="S80" s="331" t="s">
        <v>981</v>
      </c>
      <c r="T80" s="331" t="s">
        <v>982</v>
      </c>
      <c r="U80" s="331" t="s">
        <v>427</v>
      </c>
      <c r="V80" s="331" t="s">
        <v>983</v>
      </c>
      <c r="W80" s="331" t="s">
        <v>984</v>
      </c>
      <c r="X80" s="331" t="s">
        <v>984</v>
      </c>
      <c r="Y80" s="331" t="s">
        <v>984</v>
      </c>
      <c r="Z80" s="331" t="s">
        <v>984</v>
      </c>
      <c r="AA80" s="331" t="s">
        <v>984</v>
      </c>
      <c r="AB80" s="331" t="s">
        <v>984</v>
      </c>
      <c r="AC80" s="331" t="s">
        <v>984</v>
      </c>
      <c r="AD80" s="331" t="s">
        <v>984</v>
      </c>
      <c r="AE80" s="331" t="s">
        <v>428</v>
      </c>
      <c r="AF80" s="331" t="s">
        <v>984</v>
      </c>
      <c r="AG80" s="331" t="s">
        <v>984</v>
      </c>
      <c r="AH80" s="331" t="s">
        <v>984</v>
      </c>
      <c r="AI80" s="331" t="s">
        <v>984</v>
      </c>
      <c r="AJ80" s="331" t="s">
        <v>984</v>
      </c>
      <c r="AK80" s="331" t="s">
        <v>984</v>
      </c>
      <c r="AL80" s="331" t="s">
        <v>984</v>
      </c>
      <c r="AM80" s="331" t="s">
        <v>984</v>
      </c>
      <c r="AN80" s="331" t="s">
        <v>984</v>
      </c>
      <c r="AO80" s="331" t="s">
        <v>984</v>
      </c>
      <c r="AP80" s="331" t="s">
        <v>984</v>
      </c>
      <c r="AQ80" s="331" t="s">
        <v>984</v>
      </c>
      <c r="AR80" s="331" t="s">
        <v>984</v>
      </c>
      <c r="AS80" s="331" t="s">
        <v>984</v>
      </c>
      <c r="AT80" s="331" t="s">
        <v>984</v>
      </c>
      <c r="AU80" s="331" t="s">
        <v>984</v>
      </c>
      <c r="AV80" s="331" t="s">
        <v>984</v>
      </c>
      <c r="AW80" s="331" t="s">
        <v>984</v>
      </c>
      <c r="AX80" s="331" t="s">
        <v>984</v>
      </c>
      <c r="AY80" s="331" t="s">
        <v>984</v>
      </c>
      <c r="AZ80" s="331" t="s">
        <v>984</v>
      </c>
      <c r="BA80" s="331" t="s">
        <v>984</v>
      </c>
      <c r="BB80" s="331" t="s">
        <v>984</v>
      </c>
      <c r="BC80" s="331" t="s">
        <v>984</v>
      </c>
      <c r="BD80" s="331" t="s">
        <v>984</v>
      </c>
      <c r="BE80" s="331" t="s">
        <v>984</v>
      </c>
      <c r="BF80" s="331" t="s">
        <v>984</v>
      </c>
      <c r="BG80" s="331" t="s">
        <v>984</v>
      </c>
      <c r="BH80" s="331" t="s">
        <v>984</v>
      </c>
      <c r="BI80" s="331" t="s">
        <v>984</v>
      </c>
      <c r="BJ80" s="331" t="s">
        <v>984</v>
      </c>
      <c r="BK80" s="331" t="s">
        <v>984</v>
      </c>
      <c r="BL80" s="331" t="s">
        <v>984</v>
      </c>
      <c r="BM80" s="331" t="s">
        <v>984</v>
      </c>
      <c r="BN80" s="331" t="s">
        <v>984</v>
      </c>
      <c r="BO80" s="331" t="s">
        <v>984</v>
      </c>
      <c r="BP80" s="331" t="s">
        <v>984</v>
      </c>
      <c r="BQ80" s="331" t="s">
        <v>984</v>
      </c>
      <c r="BR80" s="331" t="s">
        <v>190</v>
      </c>
      <c r="BS80" s="331" t="s">
        <v>190</v>
      </c>
      <c r="BT80" s="331" t="s">
        <v>190</v>
      </c>
      <c r="BU80" s="331" t="s">
        <v>428</v>
      </c>
      <c r="BV80" s="331" t="s">
        <v>428</v>
      </c>
      <c r="BW80" s="331" t="s">
        <v>428</v>
      </c>
      <c r="BX80" s="331" t="s">
        <v>190</v>
      </c>
      <c r="BY80" s="331" t="s">
        <v>190</v>
      </c>
      <c r="BZ80" s="331" t="s">
        <v>190</v>
      </c>
      <c r="CA80" s="331" t="s">
        <v>190</v>
      </c>
      <c r="CB80" s="331" t="s">
        <v>190</v>
      </c>
      <c r="CC80" s="331" t="s">
        <v>190</v>
      </c>
      <c r="CD80" s="331" t="s">
        <v>190</v>
      </c>
      <c r="CE80" s="331" t="s">
        <v>190</v>
      </c>
      <c r="CF80" s="331" t="s">
        <v>190</v>
      </c>
      <c r="CG80" s="331" t="s">
        <v>190</v>
      </c>
      <c r="CH80" s="331" t="s">
        <v>190</v>
      </c>
      <c r="CI80" s="331" t="s">
        <v>190</v>
      </c>
      <c r="CJ80" s="331" t="s">
        <v>190</v>
      </c>
      <c r="CK80" s="331" t="s">
        <v>984</v>
      </c>
      <c r="CL80" s="331" t="s">
        <v>984</v>
      </c>
      <c r="CM80" s="331" t="s">
        <v>984</v>
      </c>
      <c r="CN80" s="331" t="s">
        <v>984</v>
      </c>
      <c r="CO80" s="331" t="s">
        <v>984</v>
      </c>
      <c r="CP80" s="331" t="s">
        <v>984</v>
      </c>
      <c r="CQ80" s="331" t="s">
        <v>984</v>
      </c>
      <c r="CR80" s="331" t="s">
        <v>984</v>
      </c>
      <c r="CS80" s="331" t="s">
        <v>984</v>
      </c>
      <c r="CT80" s="331" t="s">
        <v>984</v>
      </c>
      <c r="CU80" s="331" t="s">
        <v>428</v>
      </c>
      <c r="CV80" s="331" t="s">
        <v>984</v>
      </c>
      <c r="CW80" s="331" t="s">
        <v>984</v>
      </c>
      <c r="CX80" s="331" t="s">
        <v>984</v>
      </c>
      <c r="CY80" s="331" t="s">
        <v>984</v>
      </c>
      <c r="CZ80" s="331" t="s">
        <v>984</v>
      </c>
      <c r="DA80" s="331" t="s">
        <v>984</v>
      </c>
      <c r="DB80" s="331" t="s">
        <v>984</v>
      </c>
      <c r="DC80" s="331" t="s">
        <v>984</v>
      </c>
      <c r="DD80" s="331" t="s">
        <v>984</v>
      </c>
      <c r="DE80" s="331" t="s">
        <v>984</v>
      </c>
      <c r="DF80" s="331" t="s">
        <v>984</v>
      </c>
      <c r="DG80" s="331" t="s">
        <v>984</v>
      </c>
      <c r="DH80" s="331" t="s">
        <v>984</v>
      </c>
      <c r="DI80" s="331" t="s">
        <v>984</v>
      </c>
      <c r="DJ80" s="331" t="s">
        <v>984</v>
      </c>
      <c r="DK80" s="331" t="s">
        <v>984</v>
      </c>
      <c r="DL80" s="331" t="s">
        <v>984</v>
      </c>
      <c r="DM80" s="331" t="s">
        <v>984</v>
      </c>
      <c r="DN80" s="331" t="s">
        <v>984</v>
      </c>
      <c r="DO80" s="331" t="s">
        <v>984</v>
      </c>
      <c r="DP80" s="331" t="s">
        <v>984</v>
      </c>
      <c r="DQ80" s="331" t="s">
        <v>984</v>
      </c>
      <c r="DR80" s="331" t="s">
        <v>984</v>
      </c>
      <c r="DS80" s="331" t="s">
        <v>984</v>
      </c>
      <c r="DT80" s="331" t="s">
        <v>984</v>
      </c>
      <c r="DU80" s="331" t="s">
        <v>984</v>
      </c>
      <c r="DV80" s="331" t="s">
        <v>984</v>
      </c>
      <c r="DW80" s="331" t="s">
        <v>984</v>
      </c>
      <c r="DX80" s="331" t="s">
        <v>984</v>
      </c>
      <c r="DY80" s="331" t="s">
        <v>984</v>
      </c>
      <c r="DZ80" s="331" t="s">
        <v>984</v>
      </c>
      <c r="EA80" s="331" t="s">
        <v>984</v>
      </c>
      <c r="EB80" s="331" t="s">
        <v>984</v>
      </c>
      <c r="EC80" s="331" t="s">
        <v>984</v>
      </c>
      <c r="ED80" s="331" t="s">
        <v>984</v>
      </c>
      <c r="EE80" s="331" t="s">
        <v>984</v>
      </c>
      <c r="EF80" s="331" t="s">
        <v>984</v>
      </c>
      <c r="EG80" s="331" t="s">
        <v>984</v>
      </c>
      <c r="EH80" s="331" t="s">
        <v>984</v>
      </c>
      <c r="EI80" s="331" t="s">
        <v>984</v>
      </c>
      <c r="EJ80" s="331" t="s">
        <v>984</v>
      </c>
      <c r="EK80" s="331" t="s">
        <v>984</v>
      </c>
      <c r="EL80" s="331" t="s">
        <v>984</v>
      </c>
      <c r="EM80" s="331" t="s">
        <v>984</v>
      </c>
      <c r="EN80" s="331" t="s">
        <v>984</v>
      </c>
      <c r="EO80" s="331" t="s">
        <v>984</v>
      </c>
      <c r="EP80" s="331" t="s">
        <v>984</v>
      </c>
      <c r="EQ80" s="331" t="s">
        <v>984</v>
      </c>
      <c r="ER80" s="331" t="s">
        <v>984</v>
      </c>
      <c r="ES80" s="331" t="s">
        <v>190</v>
      </c>
      <c r="ET80" s="331" t="s">
        <v>190</v>
      </c>
      <c r="EU80" s="331" t="s">
        <v>190</v>
      </c>
      <c r="EV80" s="331" t="s">
        <v>190</v>
      </c>
      <c r="EW80" s="331" t="s">
        <v>190</v>
      </c>
      <c r="EX80" s="331" t="s">
        <v>190</v>
      </c>
      <c r="EY80" s="331" t="s">
        <v>190</v>
      </c>
      <c r="EZ80" s="331" t="s">
        <v>428</v>
      </c>
      <c r="FA80" s="331" t="s">
        <v>428</v>
      </c>
      <c r="FB80" s="331" t="s">
        <v>190</v>
      </c>
      <c r="FC80" s="331" t="s">
        <v>190</v>
      </c>
      <c r="FD80" s="331" t="s">
        <v>190</v>
      </c>
      <c r="FE80" s="331" t="s">
        <v>190</v>
      </c>
      <c r="FF80" s="331" t="s">
        <v>190</v>
      </c>
      <c r="FG80" s="331" t="s">
        <v>190</v>
      </c>
      <c r="FH80" s="331" t="s">
        <v>190</v>
      </c>
      <c r="FI80" s="331" t="s">
        <v>190</v>
      </c>
      <c r="FJ80" s="331" t="s">
        <v>190</v>
      </c>
      <c r="FK80" s="331" t="s">
        <v>190</v>
      </c>
      <c r="FL80" s="331" t="s">
        <v>190</v>
      </c>
      <c r="FM80" s="331" t="s">
        <v>190</v>
      </c>
      <c r="FN80" s="331" t="s">
        <v>190</v>
      </c>
      <c r="FO80" s="331" t="s">
        <v>190</v>
      </c>
      <c r="FP80" s="331" t="s">
        <v>190</v>
      </c>
      <c r="FQ80" s="331" t="s">
        <v>190</v>
      </c>
      <c r="FR80" s="331" t="s">
        <v>190</v>
      </c>
      <c r="FS80" s="331" t="s">
        <v>190</v>
      </c>
      <c r="FT80" s="331" t="s">
        <v>190</v>
      </c>
      <c r="FU80" s="331" t="s">
        <v>984</v>
      </c>
      <c r="FV80" s="331" t="s">
        <v>984</v>
      </c>
      <c r="FW80" s="331" t="s">
        <v>984</v>
      </c>
      <c r="FX80" s="331" t="s">
        <v>984</v>
      </c>
      <c r="FY80" s="331" t="s">
        <v>984</v>
      </c>
      <c r="FZ80" s="331" t="s">
        <v>984</v>
      </c>
      <c r="GA80" s="331" t="s">
        <v>984</v>
      </c>
      <c r="GB80" s="331" t="s">
        <v>984</v>
      </c>
      <c r="GC80" s="331" t="s">
        <v>984</v>
      </c>
      <c r="GD80" s="331" t="s">
        <v>984</v>
      </c>
      <c r="GE80" s="331" t="s">
        <v>984</v>
      </c>
      <c r="GF80" s="331" t="s">
        <v>984</v>
      </c>
      <c r="GG80" s="331" t="s">
        <v>984</v>
      </c>
      <c r="GH80" s="331" t="s">
        <v>984</v>
      </c>
      <c r="GI80" s="331" t="s">
        <v>984</v>
      </c>
      <c r="GJ80" s="331" t="s">
        <v>984</v>
      </c>
      <c r="GK80" s="331" t="s">
        <v>984</v>
      </c>
      <c r="GL80" s="331" t="s">
        <v>984</v>
      </c>
      <c r="GM80" s="331" t="s">
        <v>984</v>
      </c>
      <c r="GN80" s="331" t="s">
        <v>984</v>
      </c>
      <c r="GO80" s="331" t="s">
        <v>984</v>
      </c>
      <c r="GP80" s="331" t="s">
        <v>984</v>
      </c>
      <c r="GQ80" s="331" t="s">
        <v>984</v>
      </c>
      <c r="GR80" s="331" t="s">
        <v>984</v>
      </c>
      <c r="GS80" s="331" t="s">
        <v>984</v>
      </c>
      <c r="GT80" s="331" t="s">
        <v>984</v>
      </c>
      <c r="GU80" s="331" t="s">
        <v>984</v>
      </c>
      <c r="GV80" s="331" t="s">
        <v>984</v>
      </c>
      <c r="GW80" s="331" t="s">
        <v>984</v>
      </c>
      <c r="GX80" s="331" t="s">
        <v>984</v>
      </c>
      <c r="GY80" s="331" t="s">
        <v>984</v>
      </c>
      <c r="GZ80" s="331" t="s">
        <v>984</v>
      </c>
      <c r="HA80" s="331" t="s">
        <v>984</v>
      </c>
      <c r="HB80" s="331" t="s">
        <v>984</v>
      </c>
      <c r="HC80" s="331" t="s">
        <v>984</v>
      </c>
      <c r="HD80" s="331" t="s">
        <v>984</v>
      </c>
      <c r="HE80" s="331" t="s">
        <v>984</v>
      </c>
      <c r="HF80" s="331" t="s">
        <v>984</v>
      </c>
      <c r="HG80" s="331" t="s">
        <v>984</v>
      </c>
      <c r="HH80" s="331" t="s">
        <v>984</v>
      </c>
      <c r="HI80" s="331" t="s">
        <v>984</v>
      </c>
      <c r="HJ80" s="331" t="s">
        <v>984</v>
      </c>
      <c r="HK80" s="331" t="s">
        <v>984</v>
      </c>
      <c r="HL80" s="331" t="s">
        <v>984</v>
      </c>
      <c r="HM80" s="331" t="s">
        <v>190</v>
      </c>
      <c r="HN80" s="331" t="s">
        <v>190</v>
      </c>
      <c r="HO80" s="331" t="s">
        <v>190</v>
      </c>
      <c r="HP80" s="331" t="s">
        <v>190</v>
      </c>
      <c r="HQ80" s="331" t="s">
        <v>170</v>
      </c>
      <c r="HR80" s="331" t="s">
        <v>429</v>
      </c>
      <c r="HS80" s="331" t="s">
        <v>169</v>
      </c>
      <c r="HT80" s="331" t="s">
        <v>427</v>
      </c>
      <c r="HU80" s="331" t="s">
        <v>984</v>
      </c>
      <c r="HV80" s="331" t="s">
        <v>984</v>
      </c>
    </row>
    <row r="81" spans="1:230" s="70" customFormat="1" x14ac:dyDescent="0.25">
      <c r="A81" s="330" t="str">
        <f>HYPERLINK("http://www.ofsted.gov.uk/inspection-reports/find-inspection-report/provider/ELS/132099 ","Ofsted School Webpage")</f>
        <v>Ofsted School Webpage</v>
      </c>
      <c r="B81" s="331">
        <v>132099</v>
      </c>
      <c r="C81" s="331">
        <v>3826021</v>
      </c>
      <c r="D81" s="331" t="s">
        <v>778</v>
      </c>
      <c r="E81" s="331" t="s">
        <v>167</v>
      </c>
      <c r="F81" s="331" t="s">
        <v>458</v>
      </c>
      <c r="G81" s="331" t="s">
        <v>459</v>
      </c>
      <c r="H81" s="331" t="s">
        <v>682</v>
      </c>
      <c r="I81" s="331" t="s">
        <v>779</v>
      </c>
      <c r="J81" s="331" t="s">
        <v>81</v>
      </c>
      <c r="K81" s="331" t="s">
        <v>72</v>
      </c>
      <c r="L81" s="331" t="s">
        <v>72</v>
      </c>
      <c r="M81" s="331" t="s">
        <v>72</v>
      </c>
      <c r="N81" s="331" t="s">
        <v>424</v>
      </c>
      <c r="O81" s="331">
        <v>10118334</v>
      </c>
      <c r="P81" s="332">
        <v>43760</v>
      </c>
      <c r="Q81" s="332">
        <v>43760</v>
      </c>
      <c r="R81" s="332">
        <v>43790</v>
      </c>
      <c r="S81" s="331" t="s">
        <v>985</v>
      </c>
      <c r="T81" s="331" t="s">
        <v>982</v>
      </c>
      <c r="U81" s="331" t="s">
        <v>427</v>
      </c>
      <c r="V81" s="331" t="s">
        <v>165</v>
      </c>
      <c r="W81" s="331" t="s">
        <v>984</v>
      </c>
      <c r="X81" s="331" t="s">
        <v>984</v>
      </c>
      <c r="Y81" s="331" t="s">
        <v>984</v>
      </c>
      <c r="Z81" s="331" t="s">
        <v>984</v>
      </c>
      <c r="AA81" s="331" t="s">
        <v>984</v>
      </c>
      <c r="AB81" s="331" t="s">
        <v>984</v>
      </c>
      <c r="AC81" s="331" t="s">
        <v>984</v>
      </c>
      <c r="AD81" s="331" t="s">
        <v>984</v>
      </c>
      <c r="AE81" s="331" t="s">
        <v>428</v>
      </c>
      <c r="AF81" s="331" t="s">
        <v>984</v>
      </c>
      <c r="AG81" s="331" t="s">
        <v>984</v>
      </c>
      <c r="AH81" s="331" t="s">
        <v>984</v>
      </c>
      <c r="AI81" s="331" t="s">
        <v>428</v>
      </c>
      <c r="AJ81" s="331" t="s">
        <v>428</v>
      </c>
      <c r="AK81" s="331" t="s">
        <v>428</v>
      </c>
      <c r="AL81" s="331" t="s">
        <v>428</v>
      </c>
      <c r="AM81" s="331" t="s">
        <v>984</v>
      </c>
      <c r="AN81" s="331" t="s">
        <v>428</v>
      </c>
      <c r="AO81" s="331" t="s">
        <v>984</v>
      </c>
      <c r="AP81" s="331" t="s">
        <v>984</v>
      </c>
      <c r="AQ81" s="331" t="s">
        <v>984</v>
      </c>
      <c r="AR81" s="331" t="s">
        <v>984</v>
      </c>
      <c r="AS81" s="331" t="s">
        <v>984</v>
      </c>
      <c r="AT81" s="331" t="s">
        <v>984</v>
      </c>
      <c r="AU81" s="331" t="s">
        <v>984</v>
      </c>
      <c r="AV81" s="331" t="s">
        <v>984</v>
      </c>
      <c r="AW81" s="331" t="s">
        <v>984</v>
      </c>
      <c r="AX81" s="331" t="s">
        <v>984</v>
      </c>
      <c r="AY81" s="331" t="s">
        <v>984</v>
      </c>
      <c r="AZ81" s="331" t="s">
        <v>984</v>
      </c>
      <c r="BA81" s="331" t="s">
        <v>984</v>
      </c>
      <c r="BB81" s="331" t="s">
        <v>984</v>
      </c>
      <c r="BC81" s="331" t="s">
        <v>984</v>
      </c>
      <c r="BD81" s="331" t="s">
        <v>984</v>
      </c>
      <c r="BE81" s="331" t="s">
        <v>984</v>
      </c>
      <c r="BF81" s="331" t="s">
        <v>984</v>
      </c>
      <c r="BG81" s="331" t="s">
        <v>984</v>
      </c>
      <c r="BH81" s="331" t="s">
        <v>984</v>
      </c>
      <c r="BI81" s="331" t="s">
        <v>984</v>
      </c>
      <c r="BJ81" s="331" t="s">
        <v>984</v>
      </c>
      <c r="BK81" s="331" t="s">
        <v>984</v>
      </c>
      <c r="BL81" s="331" t="s">
        <v>984</v>
      </c>
      <c r="BM81" s="331" t="s">
        <v>984</v>
      </c>
      <c r="BN81" s="331" t="s">
        <v>984</v>
      </c>
      <c r="BO81" s="331" t="s">
        <v>984</v>
      </c>
      <c r="BP81" s="331" t="s">
        <v>984</v>
      </c>
      <c r="BQ81" s="331" t="s">
        <v>984</v>
      </c>
      <c r="BR81" s="331" t="s">
        <v>190</v>
      </c>
      <c r="BS81" s="331" t="s">
        <v>190</v>
      </c>
      <c r="BT81" s="331" t="s">
        <v>190</v>
      </c>
      <c r="BU81" s="331" t="s">
        <v>428</v>
      </c>
      <c r="BV81" s="331" t="s">
        <v>428</v>
      </c>
      <c r="BW81" s="331" t="s">
        <v>428</v>
      </c>
      <c r="BX81" s="331" t="s">
        <v>984</v>
      </c>
      <c r="BY81" s="331" t="s">
        <v>984</v>
      </c>
      <c r="BZ81" s="331" t="s">
        <v>984</v>
      </c>
      <c r="CA81" s="331" t="s">
        <v>984</v>
      </c>
      <c r="CB81" s="331" t="s">
        <v>984</v>
      </c>
      <c r="CC81" s="331" t="s">
        <v>984</v>
      </c>
      <c r="CD81" s="331" t="s">
        <v>984</v>
      </c>
      <c r="CE81" s="331" t="s">
        <v>984</v>
      </c>
      <c r="CF81" s="331" t="s">
        <v>984</v>
      </c>
      <c r="CG81" s="331" t="s">
        <v>984</v>
      </c>
      <c r="CH81" s="331" t="s">
        <v>984</v>
      </c>
      <c r="CI81" s="331" t="s">
        <v>984</v>
      </c>
      <c r="CJ81" s="331" t="s">
        <v>984</v>
      </c>
      <c r="CK81" s="331" t="s">
        <v>984</v>
      </c>
      <c r="CL81" s="331" t="s">
        <v>984</v>
      </c>
      <c r="CM81" s="331" t="s">
        <v>984</v>
      </c>
      <c r="CN81" s="331" t="s">
        <v>984</v>
      </c>
      <c r="CO81" s="331" t="s">
        <v>984</v>
      </c>
      <c r="CP81" s="331" t="s">
        <v>984</v>
      </c>
      <c r="CQ81" s="331" t="s">
        <v>984</v>
      </c>
      <c r="CR81" s="331" t="s">
        <v>984</v>
      </c>
      <c r="CS81" s="331" t="s">
        <v>984</v>
      </c>
      <c r="CT81" s="331" t="s">
        <v>984</v>
      </c>
      <c r="CU81" s="331" t="s">
        <v>428</v>
      </c>
      <c r="CV81" s="331" t="s">
        <v>984</v>
      </c>
      <c r="CW81" s="331" t="s">
        <v>984</v>
      </c>
      <c r="CX81" s="331" t="s">
        <v>984</v>
      </c>
      <c r="CY81" s="331" t="s">
        <v>984</v>
      </c>
      <c r="CZ81" s="331" t="s">
        <v>984</v>
      </c>
      <c r="DA81" s="331" t="s">
        <v>984</v>
      </c>
      <c r="DB81" s="331" t="s">
        <v>984</v>
      </c>
      <c r="DC81" s="331" t="s">
        <v>984</v>
      </c>
      <c r="DD81" s="331" t="s">
        <v>984</v>
      </c>
      <c r="DE81" s="331" t="s">
        <v>984</v>
      </c>
      <c r="DF81" s="331" t="s">
        <v>984</v>
      </c>
      <c r="DG81" s="331" t="s">
        <v>984</v>
      </c>
      <c r="DH81" s="331" t="s">
        <v>984</v>
      </c>
      <c r="DI81" s="331" t="s">
        <v>984</v>
      </c>
      <c r="DJ81" s="331" t="s">
        <v>984</v>
      </c>
      <c r="DK81" s="331" t="s">
        <v>984</v>
      </c>
      <c r="DL81" s="331" t="s">
        <v>984</v>
      </c>
      <c r="DM81" s="331" t="s">
        <v>984</v>
      </c>
      <c r="DN81" s="331" t="s">
        <v>984</v>
      </c>
      <c r="DO81" s="331" t="s">
        <v>984</v>
      </c>
      <c r="DP81" s="331" t="s">
        <v>984</v>
      </c>
      <c r="DQ81" s="331" t="s">
        <v>984</v>
      </c>
      <c r="DR81" s="331" t="s">
        <v>984</v>
      </c>
      <c r="DS81" s="331" t="s">
        <v>984</v>
      </c>
      <c r="DT81" s="331" t="s">
        <v>984</v>
      </c>
      <c r="DU81" s="331" t="s">
        <v>984</v>
      </c>
      <c r="DV81" s="331" t="s">
        <v>984</v>
      </c>
      <c r="DW81" s="331" t="s">
        <v>984</v>
      </c>
      <c r="DX81" s="331" t="s">
        <v>984</v>
      </c>
      <c r="DY81" s="331" t="s">
        <v>984</v>
      </c>
      <c r="DZ81" s="331" t="s">
        <v>984</v>
      </c>
      <c r="EA81" s="331" t="s">
        <v>984</v>
      </c>
      <c r="EB81" s="331" t="s">
        <v>984</v>
      </c>
      <c r="EC81" s="331" t="s">
        <v>984</v>
      </c>
      <c r="ED81" s="331" t="s">
        <v>984</v>
      </c>
      <c r="EE81" s="331" t="s">
        <v>984</v>
      </c>
      <c r="EF81" s="331" t="s">
        <v>984</v>
      </c>
      <c r="EG81" s="331" t="s">
        <v>984</v>
      </c>
      <c r="EH81" s="331" t="s">
        <v>984</v>
      </c>
      <c r="EI81" s="331" t="s">
        <v>984</v>
      </c>
      <c r="EJ81" s="331" t="s">
        <v>984</v>
      </c>
      <c r="EK81" s="331" t="s">
        <v>984</v>
      </c>
      <c r="EL81" s="331" t="s">
        <v>984</v>
      </c>
      <c r="EM81" s="331" t="s">
        <v>984</v>
      </c>
      <c r="EN81" s="331" t="s">
        <v>984</v>
      </c>
      <c r="EO81" s="331" t="s">
        <v>984</v>
      </c>
      <c r="EP81" s="331" t="s">
        <v>984</v>
      </c>
      <c r="EQ81" s="331" t="s">
        <v>984</v>
      </c>
      <c r="ER81" s="331" t="s">
        <v>984</v>
      </c>
      <c r="ES81" s="331" t="s">
        <v>984</v>
      </c>
      <c r="ET81" s="331" t="s">
        <v>984</v>
      </c>
      <c r="EU81" s="331" t="s">
        <v>984</v>
      </c>
      <c r="EV81" s="331" t="s">
        <v>984</v>
      </c>
      <c r="EW81" s="331" t="s">
        <v>984</v>
      </c>
      <c r="EX81" s="331" t="s">
        <v>984</v>
      </c>
      <c r="EY81" s="331" t="s">
        <v>984</v>
      </c>
      <c r="EZ81" s="331" t="s">
        <v>428</v>
      </c>
      <c r="FA81" s="331" t="s">
        <v>984</v>
      </c>
      <c r="FB81" s="331" t="s">
        <v>984</v>
      </c>
      <c r="FC81" s="331" t="s">
        <v>984</v>
      </c>
      <c r="FD81" s="331" t="s">
        <v>984</v>
      </c>
      <c r="FE81" s="331" t="s">
        <v>984</v>
      </c>
      <c r="FF81" s="331" t="s">
        <v>984</v>
      </c>
      <c r="FG81" s="331" t="s">
        <v>984</v>
      </c>
      <c r="FH81" s="331" t="s">
        <v>984</v>
      </c>
      <c r="FI81" s="331" t="s">
        <v>984</v>
      </c>
      <c r="FJ81" s="331" t="s">
        <v>984</v>
      </c>
      <c r="FK81" s="331" t="s">
        <v>984</v>
      </c>
      <c r="FL81" s="331" t="s">
        <v>984</v>
      </c>
      <c r="FM81" s="331" t="s">
        <v>984</v>
      </c>
      <c r="FN81" s="331" t="s">
        <v>984</v>
      </c>
      <c r="FO81" s="331" t="s">
        <v>984</v>
      </c>
      <c r="FP81" s="331" t="s">
        <v>984</v>
      </c>
      <c r="FQ81" s="331" t="s">
        <v>984</v>
      </c>
      <c r="FR81" s="331" t="s">
        <v>428</v>
      </c>
      <c r="FS81" s="331" t="s">
        <v>984</v>
      </c>
      <c r="FT81" s="331" t="s">
        <v>984</v>
      </c>
      <c r="FU81" s="331" t="s">
        <v>984</v>
      </c>
      <c r="FV81" s="331" t="s">
        <v>984</v>
      </c>
      <c r="FW81" s="331" t="s">
        <v>984</v>
      </c>
      <c r="FX81" s="331" t="s">
        <v>984</v>
      </c>
      <c r="FY81" s="331" t="s">
        <v>984</v>
      </c>
      <c r="FZ81" s="331" t="s">
        <v>984</v>
      </c>
      <c r="GA81" s="331" t="s">
        <v>984</v>
      </c>
      <c r="GB81" s="331" t="s">
        <v>984</v>
      </c>
      <c r="GC81" s="331" t="s">
        <v>984</v>
      </c>
      <c r="GD81" s="331" t="s">
        <v>984</v>
      </c>
      <c r="GE81" s="331" t="s">
        <v>984</v>
      </c>
      <c r="GF81" s="331" t="s">
        <v>984</v>
      </c>
      <c r="GG81" s="331" t="s">
        <v>984</v>
      </c>
      <c r="GH81" s="331" t="s">
        <v>984</v>
      </c>
      <c r="GI81" s="331" t="s">
        <v>984</v>
      </c>
      <c r="GJ81" s="331" t="s">
        <v>984</v>
      </c>
      <c r="GK81" s="331" t="s">
        <v>984</v>
      </c>
      <c r="GL81" s="331" t="s">
        <v>984</v>
      </c>
      <c r="GM81" s="331" t="s">
        <v>984</v>
      </c>
      <c r="GN81" s="331" t="s">
        <v>984</v>
      </c>
      <c r="GO81" s="331" t="s">
        <v>984</v>
      </c>
      <c r="GP81" s="331" t="s">
        <v>984</v>
      </c>
      <c r="GQ81" s="331" t="s">
        <v>984</v>
      </c>
      <c r="GR81" s="331" t="s">
        <v>984</v>
      </c>
      <c r="GS81" s="331" t="s">
        <v>984</v>
      </c>
      <c r="GT81" s="331" t="s">
        <v>984</v>
      </c>
      <c r="GU81" s="331" t="s">
        <v>984</v>
      </c>
      <c r="GV81" s="331" t="s">
        <v>984</v>
      </c>
      <c r="GW81" s="331" t="s">
        <v>984</v>
      </c>
      <c r="GX81" s="331" t="s">
        <v>984</v>
      </c>
      <c r="GY81" s="331" t="s">
        <v>984</v>
      </c>
      <c r="GZ81" s="331" t="s">
        <v>984</v>
      </c>
      <c r="HA81" s="331" t="s">
        <v>984</v>
      </c>
      <c r="HB81" s="331" t="s">
        <v>984</v>
      </c>
      <c r="HC81" s="331" t="s">
        <v>984</v>
      </c>
      <c r="HD81" s="331" t="s">
        <v>984</v>
      </c>
      <c r="HE81" s="331" t="s">
        <v>984</v>
      </c>
      <c r="HF81" s="331" t="s">
        <v>984</v>
      </c>
      <c r="HG81" s="331" t="s">
        <v>984</v>
      </c>
      <c r="HH81" s="331" t="s">
        <v>984</v>
      </c>
      <c r="HI81" s="331" t="s">
        <v>984</v>
      </c>
      <c r="HJ81" s="331" t="s">
        <v>984</v>
      </c>
      <c r="HK81" s="331" t="s">
        <v>984</v>
      </c>
      <c r="HL81" s="331" t="s">
        <v>984</v>
      </c>
      <c r="HM81" s="331" t="s">
        <v>190</v>
      </c>
      <c r="HN81" s="331" t="s">
        <v>190</v>
      </c>
      <c r="HO81" s="331" t="s">
        <v>190</v>
      </c>
      <c r="HP81" s="331" t="s">
        <v>190</v>
      </c>
      <c r="HQ81" s="331" t="s">
        <v>170</v>
      </c>
      <c r="HR81" s="331" t="s">
        <v>429</v>
      </c>
      <c r="HS81" s="331" t="s">
        <v>169</v>
      </c>
      <c r="HT81" s="331" t="s">
        <v>427</v>
      </c>
      <c r="HU81" s="331" t="s">
        <v>190</v>
      </c>
      <c r="HV81" s="331" t="s">
        <v>984</v>
      </c>
    </row>
    <row r="82" spans="1:230" s="70" customFormat="1" x14ac:dyDescent="0.25">
      <c r="A82" s="330" t="str">
        <f>HYPERLINK("http://www.ofsted.gov.uk/inspection-reports/find-inspection-report/provider/ELS/134982 ","Ofsted School Webpage")</f>
        <v>Ofsted School Webpage</v>
      </c>
      <c r="B82" s="331">
        <v>134982</v>
      </c>
      <c r="C82" s="331">
        <v>3306112</v>
      </c>
      <c r="D82" s="331" t="s">
        <v>1096</v>
      </c>
      <c r="E82" s="331" t="s">
        <v>168</v>
      </c>
      <c r="F82" s="331" t="s">
        <v>437</v>
      </c>
      <c r="G82" s="331" t="s">
        <v>437</v>
      </c>
      <c r="H82" s="331" t="s">
        <v>813</v>
      </c>
      <c r="I82" s="331" t="s">
        <v>1097</v>
      </c>
      <c r="J82" s="331" t="s">
        <v>81</v>
      </c>
      <c r="K82" s="331" t="s">
        <v>81</v>
      </c>
      <c r="L82" s="331" t="s">
        <v>81</v>
      </c>
      <c r="M82" s="331" t="s">
        <v>78</v>
      </c>
      <c r="N82" s="331" t="s">
        <v>424</v>
      </c>
      <c r="O82" s="331">
        <v>10105054</v>
      </c>
      <c r="P82" s="332">
        <v>43760</v>
      </c>
      <c r="Q82" s="332">
        <v>43760</v>
      </c>
      <c r="R82" s="332">
        <v>43786</v>
      </c>
      <c r="S82" s="331" t="s">
        <v>985</v>
      </c>
      <c r="T82" s="331" t="s">
        <v>982</v>
      </c>
      <c r="U82" s="331" t="s">
        <v>447</v>
      </c>
      <c r="V82" s="331" t="s">
        <v>165</v>
      </c>
      <c r="W82" s="331" t="s">
        <v>984</v>
      </c>
      <c r="X82" s="331" t="s">
        <v>984</v>
      </c>
      <c r="Y82" s="331" t="s">
        <v>984</v>
      </c>
      <c r="Z82" s="331" t="s">
        <v>984</v>
      </c>
      <c r="AA82" s="331" t="s">
        <v>984</v>
      </c>
      <c r="AB82" s="331" t="s">
        <v>984</v>
      </c>
      <c r="AC82" s="331" t="s">
        <v>984</v>
      </c>
      <c r="AD82" s="331" t="s">
        <v>984</v>
      </c>
      <c r="AE82" s="331" t="s">
        <v>984</v>
      </c>
      <c r="AF82" s="331" t="s">
        <v>984</v>
      </c>
      <c r="AG82" s="331" t="s">
        <v>984</v>
      </c>
      <c r="AH82" s="331" t="s">
        <v>984</v>
      </c>
      <c r="AI82" s="331" t="s">
        <v>984</v>
      </c>
      <c r="AJ82" s="331" t="s">
        <v>984</v>
      </c>
      <c r="AK82" s="331" t="s">
        <v>984</v>
      </c>
      <c r="AL82" s="331" t="s">
        <v>984</v>
      </c>
      <c r="AM82" s="331" t="s">
        <v>984</v>
      </c>
      <c r="AN82" s="331" t="s">
        <v>984</v>
      </c>
      <c r="AO82" s="331" t="s">
        <v>984</v>
      </c>
      <c r="AP82" s="331" t="s">
        <v>984</v>
      </c>
      <c r="AQ82" s="331" t="s">
        <v>984</v>
      </c>
      <c r="AR82" s="331" t="s">
        <v>984</v>
      </c>
      <c r="AS82" s="331" t="s">
        <v>984</v>
      </c>
      <c r="AT82" s="331" t="s">
        <v>984</v>
      </c>
      <c r="AU82" s="331" t="s">
        <v>984</v>
      </c>
      <c r="AV82" s="331" t="s">
        <v>984</v>
      </c>
      <c r="AW82" s="331" t="s">
        <v>984</v>
      </c>
      <c r="AX82" s="331" t="s">
        <v>984</v>
      </c>
      <c r="AY82" s="331" t="s">
        <v>984</v>
      </c>
      <c r="AZ82" s="331" t="s">
        <v>984</v>
      </c>
      <c r="BA82" s="331" t="s">
        <v>984</v>
      </c>
      <c r="BB82" s="331" t="s">
        <v>984</v>
      </c>
      <c r="BC82" s="331" t="s">
        <v>984</v>
      </c>
      <c r="BD82" s="331" t="s">
        <v>984</v>
      </c>
      <c r="BE82" s="331" t="s">
        <v>984</v>
      </c>
      <c r="BF82" s="331" t="s">
        <v>984</v>
      </c>
      <c r="BG82" s="331" t="s">
        <v>984</v>
      </c>
      <c r="BH82" s="331" t="s">
        <v>984</v>
      </c>
      <c r="BI82" s="331" t="s">
        <v>984</v>
      </c>
      <c r="BJ82" s="331" t="s">
        <v>984</v>
      </c>
      <c r="BK82" s="331" t="s">
        <v>984</v>
      </c>
      <c r="BL82" s="331" t="s">
        <v>984</v>
      </c>
      <c r="BM82" s="331" t="s">
        <v>984</v>
      </c>
      <c r="BN82" s="331" t="s">
        <v>984</v>
      </c>
      <c r="BO82" s="331" t="s">
        <v>984</v>
      </c>
      <c r="BP82" s="331" t="s">
        <v>984</v>
      </c>
      <c r="BQ82" s="331" t="s">
        <v>984</v>
      </c>
      <c r="BR82" s="331" t="s">
        <v>190</v>
      </c>
      <c r="BS82" s="331" t="s">
        <v>190</v>
      </c>
      <c r="BT82" s="331" t="s">
        <v>190</v>
      </c>
      <c r="BU82" s="331" t="s">
        <v>428</v>
      </c>
      <c r="BV82" s="331" t="s">
        <v>428</v>
      </c>
      <c r="BW82" s="331" t="s">
        <v>428</v>
      </c>
      <c r="BX82" s="331" t="s">
        <v>984</v>
      </c>
      <c r="BY82" s="331" t="s">
        <v>984</v>
      </c>
      <c r="BZ82" s="331" t="s">
        <v>984</v>
      </c>
      <c r="CA82" s="331" t="s">
        <v>984</v>
      </c>
      <c r="CB82" s="331" t="s">
        <v>984</v>
      </c>
      <c r="CC82" s="331" t="s">
        <v>984</v>
      </c>
      <c r="CD82" s="331" t="s">
        <v>190</v>
      </c>
      <c r="CE82" s="331" t="s">
        <v>984</v>
      </c>
      <c r="CF82" s="331" t="s">
        <v>984</v>
      </c>
      <c r="CG82" s="331" t="s">
        <v>984</v>
      </c>
      <c r="CH82" s="331" t="s">
        <v>984</v>
      </c>
      <c r="CI82" s="331" t="s">
        <v>984</v>
      </c>
      <c r="CJ82" s="331" t="s">
        <v>984</v>
      </c>
      <c r="CK82" s="331" t="s">
        <v>984</v>
      </c>
      <c r="CL82" s="331" t="s">
        <v>984</v>
      </c>
      <c r="CM82" s="331" t="s">
        <v>984</v>
      </c>
      <c r="CN82" s="331" t="s">
        <v>984</v>
      </c>
      <c r="CO82" s="331" t="s">
        <v>984</v>
      </c>
      <c r="CP82" s="331" t="s">
        <v>984</v>
      </c>
      <c r="CQ82" s="331" t="s">
        <v>984</v>
      </c>
      <c r="CR82" s="331" t="s">
        <v>984</v>
      </c>
      <c r="CS82" s="331" t="s">
        <v>984</v>
      </c>
      <c r="CT82" s="331" t="s">
        <v>984</v>
      </c>
      <c r="CU82" s="331" t="s">
        <v>984</v>
      </c>
      <c r="CV82" s="331" t="s">
        <v>984</v>
      </c>
      <c r="CW82" s="331" t="s">
        <v>984</v>
      </c>
      <c r="CX82" s="331" t="s">
        <v>984</v>
      </c>
      <c r="CY82" s="331" t="s">
        <v>984</v>
      </c>
      <c r="CZ82" s="331" t="s">
        <v>984</v>
      </c>
      <c r="DA82" s="331" t="s">
        <v>984</v>
      </c>
      <c r="DB82" s="331" t="s">
        <v>984</v>
      </c>
      <c r="DC82" s="331" t="s">
        <v>984</v>
      </c>
      <c r="DD82" s="331" t="s">
        <v>984</v>
      </c>
      <c r="DE82" s="331" t="s">
        <v>984</v>
      </c>
      <c r="DF82" s="331" t="s">
        <v>984</v>
      </c>
      <c r="DG82" s="331" t="s">
        <v>984</v>
      </c>
      <c r="DH82" s="331" t="s">
        <v>984</v>
      </c>
      <c r="DI82" s="331" t="s">
        <v>984</v>
      </c>
      <c r="DJ82" s="331" t="s">
        <v>984</v>
      </c>
      <c r="DK82" s="331" t="s">
        <v>984</v>
      </c>
      <c r="DL82" s="331" t="s">
        <v>984</v>
      </c>
      <c r="DM82" s="331" t="s">
        <v>984</v>
      </c>
      <c r="DN82" s="331" t="s">
        <v>984</v>
      </c>
      <c r="DO82" s="331" t="s">
        <v>984</v>
      </c>
      <c r="DP82" s="331" t="s">
        <v>984</v>
      </c>
      <c r="DQ82" s="331" t="s">
        <v>984</v>
      </c>
      <c r="DR82" s="331" t="s">
        <v>984</v>
      </c>
      <c r="DS82" s="331" t="s">
        <v>984</v>
      </c>
      <c r="DT82" s="331" t="s">
        <v>984</v>
      </c>
      <c r="DU82" s="331" t="s">
        <v>984</v>
      </c>
      <c r="DV82" s="331" t="s">
        <v>984</v>
      </c>
      <c r="DW82" s="331" t="s">
        <v>984</v>
      </c>
      <c r="DX82" s="331" t="s">
        <v>984</v>
      </c>
      <c r="DY82" s="331" t="s">
        <v>984</v>
      </c>
      <c r="DZ82" s="331" t="s">
        <v>984</v>
      </c>
      <c r="EA82" s="331" t="s">
        <v>984</v>
      </c>
      <c r="EB82" s="331" t="s">
        <v>984</v>
      </c>
      <c r="EC82" s="331" t="s">
        <v>984</v>
      </c>
      <c r="ED82" s="331" t="s">
        <v>984</v>
      </c>
      <c r="EE82" s="331" t="s">
        <v>984</v>
      </c>
      <c r="EF82" s="331" t="s">
        <v>984</v>
      </c>
      <c r="EG82" s="331" t="s">
        <v>984</v>
      </c>
      <c r="EH82" s="331" t="s">
        <v>984</v>
      </c>
      <c r="EI82" s="331" t="s">
        <v>984</v>
      </c>
      <c r="EJ82" s="331" t="s">
        <v>984</v>
      </c>
      <c r="EK82" s="331" t="s">
        <v>984</v>
      </c>
      <c r="EL82" s="331" t="s">
        <v>984</v>
      </c>
      <c r="EM82" s="331" t="s">
        <v>984</v>
      </c>
      <c r="EN82" s="331" t="s">
        <v>984</v>
      </c>
      <c r="EO82" s="331" t="s">
        <v>984</v>
      </c>
      <c r="EP82" s="331" t="s">
        <v>984</v>
      </c>
      <c r="EQ82" s="331" t="s">
        <v>984</v>
      </c>
      <c r="ER82" s="331" t="s">
        <v>984</v>
      </c>
      <c r="ES82" s="331" t="s">
        <v>984</v>
      </c>
      <c r="ET82" s="331" t="s">
        <v>984</v>
      </c>
      <c r="EU82" s="331" t="s">
        <v>984</v>
      </c>
      <c r="EV82" s="331" t="s">
        <v>984</v>
      </c>
      <c r="EW82" s="331" t="s">
        <v>190</v>
      </c>
      <c r="EX82" s="331" t="s">
        <v>190</v>
      </c>
      <c r="EY82" s="331" t="s">
        <v>190</v>
      </c>
      <c r="EZ82" s="331" t="s">
        <v>428</v>
      </c>
      <c r="FA82" s="331" t="s">
        <v>984</v>
      </c>
      <c r="FB82" s="331" t="s">
        <v>190</v>
      </c>
      <c r="FC82" s="331" t="s">
        <v>984</v>
      </c>
      <c r="FD82" s="331" t="s">
        <v>984</v>
      </c>
      <c r="FE82" s="331" t="s">
        <v>984</v>
      </c>
      <c r="FF82" s="331" t="s">
        <v>984</v>
      </c>
      <c r="FG82" s="331" t="s">
        <v>984</v>
      </c>
      <c r="FH82" s="331" t="s">
        <v>984</v>
      </c>
      <c r="FI82" s="331" t="s">
        <v>984</v>
      </c>
      <c r="FJ82" s="331" t="s">
        <v>984</v>
      </c>
      <c r="FK82" s="331" t="s">
        <v>984</v>
      </c>
      <c r="FL82" s="331" t="s">
        <v>984</v>
      </c>
      <c r="FM82" s="331" t="s">
        <v>984</v>
      </c>
      <c r="FN82" s="331" t="s">
        <v>984</v>
      </c>
      <c r="FO82" s="331" t="s">
        <v>984</v>
      </c>
      <c r="FP82" s="331" t="s">
        <v>984</v>
      </c>
      <c r="FQ82" s="331" t="s">
        <v>984</v>
      </c>
      <c r="FR82" s="331" t="s">
        <v>428</v>
      </c>
      <c r="FS82" s="331" t="s">
        <v>190</v>
      </c>
      <c r="FT82" s="331" t="s">
        <v>984</v>
      </c>
      <c r="FU82" s="331" t="s">
        <v>984</v>
      </c>
      <c r="FV82" s="331" t="s">
        <v>190</v>
      </c>
      <c r="FW82" s="331" t="s">
        <v>984</v>
      </c>
      <c r="FX82" s="331" t="s">
        <v>984</v>
      </c>
      <c r="FY82" s="331" t="s">
        <v>984</v>
      </c>
      <c r="FZ82" s="331" t="s">
        <v>984</v>
      </c>
      <c r="GA82" s="331" t="s">
        <v>984</v>
      </c>
      <c r="GB82" s="331" t="s">
        <v>984</v>
      </c>
      <c r="GC82" s="331" t="s">
        <v>984</v>
      </c>
      <c r="GD82" s="331" t="s">
        <v>984</v>
      </c>
      <c r="GE82" s="331" t="s">
        <v>984</v>
      </c>
      <c r="GF82" s="331" t="s">
        <v>984</v>
      </c>
      <c r="GG82" s="331" t="s">
        <v>984</v>
      </c>
      <c r="GH82" s="331" t="s">
        <v>984</v>
      </c>
      <c r="GI82" s="331" t="s">
        <v>984</v>
      </c>
      <c r="GJ82" s="331" t="s">
        <v>984</v>
      </c>
      <c r="GK82" s="331" t="s">
        <v>984</v>
      </c>
      <c r="GL82" s="331" t="s">
        <v>984</v>
      </c>
      <c r="GM82" s="331" t="s">
        <v>984</v>
      </c>
      <c r="GN82" s="331" t="s">
        <v>984</v>
      </c>
      <c r="GO82" s="331" t="s">
        <v>984</v>
      </c>
      <c r="GP82" s="331" t="s">
        <v>984</v>
      </c>
      <c r="GQ82" s="331" t="s">
        <v>984</v>
      </c>
      <c r="GR82" s="331" t="s">
        <v>984</v>
      </c>
      <c r="GS82" s="331" t="s">
        <v>984</v>
      </c>
      <c r="GT82" s="331" t="s">
        <v>984</v>
      </c>
      <c r="GU82" s="331" t="s">
        <v>984</v>
      </c>
      <c r="GV82" s="331" t="s">
        <v>984</v>
      </c>
      <c r="GW82" s="331" t="s">
        <v>984</v>
      </c>
      <c r="GX82" s="331" t="s">
        <v>984</v>
      </c>
      <c r="GY82" s="331" t="s">
        <v>984</v>
      </c>
      <c r="GZ82" s="331" t="s">
        <v>984</v>
      </c>
      <c r="HA82" s="331" t="s">
        <v>984</v>
      </c>
      <c r="HB82" s="331" t="s">
        <v>984</v>
      </c>
      <c r="HC82" s="331" t="s">
        <v>984</v>
      </c>
      <c r="HD82" s="331" t="s">
        <v>984</v>
      </c>
      <c r="HE82" s="331" t="s">
        <v>984</v>
      </c>
      <c r="HF82" s="331" t="s">
        <v>984</v>
      </c>
      <c r="HG82" s="331" t="s">
        <v>984</v>
      </c>
      <c r="HH82" s="331" t="s">
        <v>984</v>
      </c>
      <c r="HI82" s="331" t="s">
        <v>984</v>
      </c>
      <c r="HJ82" s="331" t="s">
        <v>984</v>
      </c>
      <c r="HK82" s="331" t="s">
        <v>984</v>
      </c>
      <c r="HL82" s="331" t="s">
        <v>984</v>
      </c>
      <c r="HM82" s="331" t="s">
        <v>190</v>
      </c>
      <c r="HN82" s="331" t="s">
        <v>190</v>
      </c>
      <c r="HO82" s="331" t="s">
        <v>190</v>
      </c>
      <c r="HP82" s="331" t="s">
        <v>190</v>
      </c>
      <c r="HQ82" s="331" t="s">
        <v>170</v>
      </c>
      <c r="HR82" s="331" t="s">
        <v>429</v>
      </c>
      <c r="HS82" s="331" t="s">
        <v>169</v>
      </c>
      <c r="HT82" s="331" t="s">
        <v>427</v>
      </c>
      <c r="HU82" s="331" t="s">
        <v>428</v>
      </c>
      <c r="HV82" s="331" t="s">
        <v>428</v>
      </c>
    </row>
    <row r="83" spans="1:230" s="70" customFormat="1" x14ac:dyDescent="0.25">
      <c r="A83" s="330" t="str">
        <f>HYPERLINK("http://www.ofsted.gov.uk/inspection-reports/find-inspection-report/provider/ELS/140382 ","Ofsted School Webpage")</f>
        <v>Ofsted School Webpage</v>
      </c>
      <c r="B83" s="331">
        <v>140382</v>
      </c>
      <c r="C83" s="331">
        <v>3306016</v>
      </c>
      <c r="D83" s="331" t="s">
        <v>2251</v>
      </c>
      <c r="E83" s="331" t="s">
        <v>167</v>
      </c>
      <c r="F83" s="331" t="s">
        <v>437</v>
      </c>
      <c r="G83" s="331" t="s">
        <v>437</v>
      </c>
      <c r="H83" s="331" t="s">
        <v>813</v>
      </c>
      <c r="I83" s="331" t="s">
        <v>2252</v>
      </c>
      <c r="J83" s="331" t="s">
        <v>81</v>
      </c>
      <c r="K83" s="331" t="s">
        <v>72</v>
      </c>
      <c r="L83" s="331" t="s">
        <v>72</v>
      </c>
      <c r="M83" s="331" t="s">
        <v>72</v>
      </c>
      <c r="N83" s="331" t="s">
        <v>424</v>
      </c>
      <c r="O83" s="331">
        <v>10119189</v>
      </c>
      <c r="P83" s="332">
        <v>43760</v>
      </c>
      <c r="Q83" s="332">
        <v>43760</v>
      </c>
      <c r="R83" s="332">
        <v>43796</v>
      </c>
      <c r="S83" s="331" t="s">
        <v>985</v>
      </c>
      <c r="T83" s="331" t="s">
        <v>982</v>
      </c>
      <c r="U83" s="331" t="s">
        <v>427</v>
      </c>
      <c r="V83" s="331" t="s">
        <v>166</v>
      </c>
      <c r="W83" s="331" t="s">
        <v>191</v>
      </c>
      <c r="X83" s="331" t="s">
        <v>191</v>
      </c>
      <c r="Y83" s="331" t="s">
        <v>191</v>
      </c>
      <c r="Z83" s="331" t="s">
        <v>191</v>
      </c>
      <c r="AA83" s="331" t="s">
        <v>984</v>
      </c>
      <c r="AB83" s="331" t="s">
        <v>984</v>
      </c>
      <c r="AC83" s="331" t="s">
        <v>984</v>
      </c>
      <c r="AD83" s="331" t="s">
        <v>984</v>
      </c>
      <c r="AE83" s="331" t="s">
        <v>428</v>
      </c>
      <c r="AF83" s="331" t="s">
        <v>984</v>
      </c>
      <c r="AG83" s="331" t="s">
        <v>984</v>
      </c>
      <c r="AH83" s="331" t="s">
        <v>984</v>
      </c>
      <c r="AI83" s="331" t="s">
        <v>984</v>
      </c>
      <c r="AJ83" s="331" t="s">
        <v>984</v>
      </c>
      <c r="AK83" s="331" t="s">
        <v>984</v>
      </c>
      <c r="AL83" s="331" t="s">
        <v>984</v>
      </c>
      <c r="AM83" s="331" t="s">
        <v>428</v>
      </c>
      <c r="AN83" s="331" t="s">
        <v>428</v>
      </c>
      <c r="AO83" s="331" t="s">
        <v>984</v>
      </c>
      <c r="AP83" s="331" t="s">
        <v>984</v>
      </c>
      <c r="AQ83" s="331" t="s">
        <v>984</v>
      </c>
      <c r="AR83" s="331" t="s">
        <v>984</v>
      </c>
      <c r="AS83" s="331" t="s">
        <v>984</v>
      </c>
      <c r="AT83" s="331" t="s">
        <v>984</v>
      </c>
      <c r="AU83" s="331" t="s">
        <v>984</v>
      </c>
      <c r="AV83" s="331" t="s">
        <v>984</v>
      </c>
      <c r="AW83" s="331" t="s">
        <v>984</v>
      </c>
      <c r="AX83" s="331" t="s">
        <v>984</v>
      </c>
      <c r="AY83" s="331" t="s">
        <v>984</v>
      </c>
      <c r="AZ83" s="331" t="s">
        <v>984</v>
      </c>
      <c r="BA83" s="331" t="s">
        <v>984</v>
      </c>
      <c r="BB83" s="331" t="s">
        <v>984</v>
      </c>
      <c r="BC83" s="331" t="s">
        <v>984</v>
      </c>
      <c r="BD83" s="331" t="s">
        <v>984</v>
      </c>
      <c r="BE83" s="331" t="s">
        <v>984</v>
      </c>
      <c r="BF83" s="331" t="s">
        <v>984</v>
      </c>
      <c r="BG83" s="331" t="s">
        <v>984</v>
      </c>
      <c r="BH83" s="331" t="s">
        <v>984</v>
      </c>
      <c r="BI83" s="331" t="s">
        <v>984</v>
      </c>
      <c r="BJ83" s="331" t="s">
        <v>984</v>
      </c>
      <c r="BK83" s="331" t="s">
        <v>984</v>
      </c>
      <c r="BL83" s="331" t="s">
        <v>984</v>
      </c>
      <c r="BM83" s="331" t="s">
        <v>984</v>
      </c>
      <c r="BN83" s="331" t="s">
        <v>984</v>
      </c>
      <c r="BO83" s="331" t="s">
        <v>984</v>
      </c>
      <c r="BP83" s="331" t="s">
        <v>984</v>
      </c>
      <c r="BQ83" s="331" t="s">
        <v>984</v>
      </c>
      <c r="BR83" s="331" t="s">
        <v>191</v>
      </c>
      <c r="BS83" s="331" t="s">
        <v>191</v>
      </c>
      <c r="BT83" s="331" t="s">
        <v>191</v>
      </c>
      <c r="BU83" s="331" t="s">
        <v>428</v>
      </c>
      <c r="BV83" s="331" t="s">
        <v>428</v>
      </c>
      <c r="BW83" s="331" t="s">
        <v>428</v>
      </c>
      <c r="BX83" s="331" t="s">
        <v>984</v>
      </c>
      <c r="BY83" s="331" t="s">
        <v>984</v>
      </c>
      <c r="BZ83" s="331" t="s">
        <v>984</v>
      </c>
      <c r="CA83" s="331" t="s">
        <v>984</v>
      </c>
      <c r="CB83" s="331" t="s">
        <v>984</v>
      </c>
      <c r="CC83" s="331" t="s">
        <v>984</v>
      </c>
      <c r="CD83" s="331" t="s">
        <v>984</v>
      </c>
      <c r="CE83" s="331" t="s">
        <v>190</v>
      </c>
      <c r="CF83" s="331" t="s">
        <v>984</v>
      </c>
      <c r="CG83" s="331" t="s">
        <v>984</v>
      </c>
      <c r="CH83" s="331" t="s">
        <v>190</v>
      </c>
      <c r="CI83" s="331" t="s">
        <v>190</v>
      </c>
      <c r="CJ83" s="331" t="s">
        <v>190</v>
      </c>
      <c r="CK83" s="331" t="s">
        <v>984</v>
      </c>
      <c r="CL83" s="331" t="s">
        <v>984</v>
      </c>
      <c r="CM83" s="331" t="s">
        <v>984</v>
      </c>
      <c r="CN83" s="331" t="s">
        <v>984</v>
      </c>
      <c r="CO83" s="331" t="s">
        <v>984</v>
      </c>
      <c r="CP83" s="331" t="s">
        <v>984</v>
      </c>
      <c r="CQ83" s="331" t="s">
        <v>984</v>
      </c>
      <c r="CR83" s="331" t="s">
        <v>984</v>
      </c>
      <c r="CS83" s="331" t="s">
        <v>984</v>
      </c>
      <c r="CT83" s="331" t="s">
        <v>984</v>
      </c>
      <c r="CU83" s="331" t="s">
        <v>428</v>
      </c>
      <c r="CV83" s="331" t="s">
        <v>984</v>
      </c>
      <c r="CW83" s="331" t="s">
        <v>984</v>
      </c>
      <c r="CX83" s="331" t="s">
        <v>984</v>
      </c>
      <c r="CY83" s="331" t="s">
        <v>984</v>
      </c>
      <c r="CZ83" s="331" t="s">
        <v>984</v>
      </c>
      <c r="DA83" s="331" t="s">
        <v>984</v>
      </c>
      <c r="DB83" s="331" t="s">
        <v>984</v>
      </c>
      <c r="DC83" s="331" t="s">
        <v>984</v>
      </c>
      <c r="DD83" s="331" t="s">
        <v>984</v>
      </c>
      <c r="DE83" s="331" t="s">
        <v>984</v>
      </c>
      <c r="DF83" s="331" t="s">
        <v>984</v>
      </c>
      <c r="DG83" s="331" t="s">
        <v>984</v>
      </c>
      <c r="DH83" s="331" t="s">
        <v>984</v>
      </c>
      <c r="DI83" s="331" t="s">
        <v>984</v>
      </c>
      <c r="DJ83" s="331" t="s">
        <v>984</v>
      </c>
      <c r="DK83" s="331" t="s">
        <v>984</v>
      </c>
      <c r="DL83" s="331" t="s">
        <v>984</v>
      </c>
      <c r="DM83" s="331" t="s">
        <v>984</v>
      </c>
      <c r="DN83" s="331" t="s">
        <v>984</v>
      </c>
      <c r="DO83" s="331" t="s">
        <v>984</v>
      </c>
      <c r="DP83" s="331" t="s">
        <v>984</v>
      </c>
      <c r="DQ83" s="331" t="s">
        <v>984</v>
      </c>
      <c r="DR83" s="331" t="s">
        <v>984</v>
      </c>
      <c r="DS83" s="331" t="s">
        <v>984</v>
      </c>
      <c r="DT83" s="331" t="s">
        <v>984</v>
      </c>
      <c r="DU83" s="331" t="s">
        <v>984</v>
      </c>
      <c r="DV83" s="331" t="s">
        <v>984</v>
      </c>
      <c r="DW83" s="331" t="s">
        <v>984</v>
      </c>
      <c r="DX83" s="331" t="s">
        <v>984</v>
      </c>
      <c r="DY83" s="331" t="s">
        <v>984</v>
      </c>
      <c r="DZ83" s="331" t="s">
        <v>984</v>
      </c>
      <c r="EA83" s="331" t="s">
        <v>984</v>
      </c>
      <c r="EB83" s="331" t="s">
        <v>984</v>
      </c>
      <c r="EC83" s="331" t="s">
        <v>984</v>
      </c>
      <c r="ED83" s="331" t="s">
        <v>984</v>
      </c>
      <c r="EE83" s="331" t="s">
        <v>984</v>
      </c>
      <c r="EF83" s="331" t="s">
        <v>984</v>
      </c>
      <c r="EG83" s="331" t="s">
        <v>984</v>
      </c>
      <c r="EH83" s="331" t="s">
        <v>984</v>
      </c>
      <c r="EI83" s="331" t="s">
        <v>984</v>
      </c>
      <c r="EJ83" s="331" t="s">
        <v>984</v>
      </c>
      <c r="EK83" s="331" t="s">
        <v>984</v>
      </c>
      <c r="EL83" s="331" t="s">
        <v>984</v>
      </c>
      <c r="EM83" s="331" t="s">
        <v>984</v>
      </c>
      <c r="EN83" s="331" t="s">
        <v>984</v>
      </c>
      <c r="EO83" s="331" t="s">
        <v>984</v>
      </c>
      <c r="EP83" s="331" t="s">
        <v>984</v>
      </c>
      <c r="EQ83" s="331" t="s">
        <v>984</v>
      </c>
      <c r="ER83" s="331" t="s">
        <v>984</v>
      </c>
      <c r="ES83" s="331" t="s">
        <v>984</v>
      </c>
      <c r="ET83" s="331" t="s">
        <v>984</v>
      </c>
      <c r="EU83" s="331" t="s">
        <v>984</v>
      </c>
      <c r="EV83" s="331" t="s">
        <v>984</v>
      </c>
      <c r="EW83" s="331" t="s">
        <v>191</v>
      </c>
      <c r="EX83" s="331" t="s">
        <v>984</v>
      </c>
      <c r="EY83" s="331" t="s">
        <v>191</v>
      </c>
      <c r="EZ83" s="331" t="s">
        <v>984</v>
      </c>
      <c r="FA83" s="331" t="s">
        <v>984</v>
      </c>
      <c r="FB83" s="331" t="s">
        <v>984</v>
      </c>
      <c r="FC83" s="331" t="s">
        <v>984</v>
      </c>
      <c r="FD83" s="331" t="s">
        <v>984</v>
      </c>
      <c r="FE83" s="331" t="s">
        <v>984</v>
      </c>
      <c r="FF83" s="331" t="s">
        <v>984</v>
      </c>
      <c r="FG83" s="331" t="s">
        <v>984</v>
      </c>
      <c r="FH83" s="331" t="s">
        <v>984</v>
      </c>
      <c r="FI83" s="331" t="s">
        <v>984</v>
      </c>
      <c r="FJ83" s="331" t="s">
        <v>984</v>
      </c>
      <c r="FK83" s="331" t="s">
        <v>984</v>
      </c>
      <c r="FL83" s="331" t="s">
        <v>984</v>
      </c>
      <c r="FM83" s="331" t="s">
        <v>984</v>
      </c>
      <c r="FN83" s="331" t="s">
        <v>984</v>
      </c>
      <c r="FO83" s="331" t="s">
        <v>984</v>
      </c>
      <c r="FP83" s="331" t="s">
        <v>984</v>
      </c>
      <c r="FQ83" s="331" t="s">
        <v>984</v>
      </c>
      <c r="FR83" s="331" t="s">
        <v>428</v>
      </c>
      <c r="FS83" s="331" t="s">
        <v>190</v>
      </c>
      <c r="FT83" s="331" t="s">
        <v>984</v>
      </c>
      <c r="FU83" s="331" t="s">
        <v>984</v>
      </c>
      <c r="FV83" s="331" t="s">
        <v>190</v>
      </c>
      <c r="FW83" s="331" t="s">
        <v>984</v>
      </c>
      <c r="FX83" s="331" t="s">
        <v>428</v>
      </c>
      <c r="FY83" s="331" t="s">
        <v>984</v>
      </c>
      <c r="FZ83" s="331" t="s">
        <v>984</v>
      </c>
      <c r="GA83" s="331" t="s">
        <v>984</v>
      </c>
      <c r="GB83" s="331" t="s">
        <v>984</v>
      </c>
      <c r="GC83" s="331" t="s">
        <v>984</v>
      </c>
      <c r="GD83" s="331" t="s">
        <v>984</v>
      </c>
      <c r="GE83" s="331" t="s">
        <v>984</v>
      </c>
      <c r="GF83" s="331" t="s">
        <v>984</v>
      </c>
      <c r="GG83" s="331" t="s">
        <v>984</v>
      </c>
      <c r="GH83" s="331" t="s">
        <v>984</v>
      </c>
      <c r="GI83" s="331" t="s">
        <v>984</v>
      </c>
      <c r="GJ83" s="331" t="s">
        <v>984</v>
      </c>
      <c r="GK83" s="331" t="s">
        <v>984</v>
      </c>
      <c r="GL83" s="331" t="s">
        <v>984</v>
      </c>
      <c r="GM83" s="331" t="s">
        <v>984</v>
      </c>
      <c r="GN83" s="331" t="s">
        <v>984</v>
      </c>
      <c r="GO83" s="331" t="s">
        <v>984</v>
      </c>
      <c r="GP83" s="331" t="s">
        <v>984</v>
      </c>
      <c r="GQ83" s="331" t="s">
        <v>984</v>
      </c>
      <c r="GR83" s="331" t="s">
        <v>984</v>
      </c>
      <c r="GS83" s="331" t="s">
        <v>428</v>
      </c>
      <c r="GT83" s="331" t="s">
        <v>428</v>
      </c>
      <c r="GU83" s="331" t="s">
        <v>428</v>
      </c>
      <c r="GV83" s="331" t="s">
        <v>428</v>
      </c>
      <c r="GW83" s="331" t="s">
        <v>984</v>
      </c>
      <c r="GX83" s="331" t="s">
        <v>984</v>
      </c>
      <c r="GY83" s="331" t="s">
        <v>984</v>
      </c>
      <c r="GZ83" s="331" t="s">
        <v>984</v>
      </c>
      <c r="HA83" s="331" t="s">
        <v>984</v>
      </c>
      <c r="HB83" s="331" t="s">
        <v>984</v>
      </c>
      <c r="HC83" s="331" t="s">
        <v>984</v>
      </c>
      <c r="HD83" s="331" t="s">
        <v>984</v>
      </c>
      <c r="HE83" s="331" t="s">
        <v>984</v>
      </c>
      <c r="HF83" s="331" t="s">
        <v>984</v>
      </c>
      <c r="HG83" s="331" t="s">
        <v>984</v>
      </c>
      <c r="HH83" s="331" t="s">
        <v>984</v>
      </c>
      <c r="HI83" s="331" t="s">
        <v>984</v>
      </c>
      <c r="HJ83" s="331" t="s">
        <v>984</v>
      </c>
      <c r="HK83" s="331" t="s">
        <v>984</v>
      </c>
      <c r="HL83" s="331" t="s">
        <v>984</v>
      </c>
      <c r="HM83" s="331" t="s">
        <v>191</v>
      </c>
      <c r="HN83" s="331" t="s">
        <v>191</v>
      </c>
      <c r="HO83" s="331" t="s">
        <v>191</v>
      </c>
      <c r="HP83" s="331" t="s">
        <v>191</v>
      </c>
      <c r="HQ83" s="331" t="s">
        <v>170</v>
      </c>
      <c r="HR83" s="331" t="s">
        <v>429</v>
      </c>
      <c r="HS83" s="331" t="s">
        <v>169</v>
      </c>
      <c r="HT83" s="331" t="s">
        <v>447</v>
      </c>
      <c r="HU83" s="331" t="s">
        <v>428</v>
      </c>
      <c r="HV83" s="331" t="s">
        <v>428</v>
      </c>
    </row>
    <row r="84" spans="1:230" s="70" customFormat="1" x14ac:dyDescent="0.25">
      <c r="A84" s="330" t="str">
        <f>HYPERLINK("http://www.ofsted.gov.uk/inspection-reports/find-inspection-report/provider/ELS/136510 ","Ofsted School Webpage")</f>
        <v>Ofsted School Webpage</v>
      </c>
      <c r="B84" s="331">
        <v>136510</v>
      </c>
      <c r="C84" s="331">
        <v>9376108</v>
      </c>
      <c r="D84" s="331" t="s">
        <v>2109</v>
      </c>
      <c r="E84" s="331" t="s">
        <v>167</v>
      </c>
      <c r="F84" s="331" t="s">
        <v>437</v>
      </c>
      <c r="G84" s="331" t="s">
        <v>437</v>
      </c>
      <c r="H84" s="331" t="s">
        <v>438</v>
      </c>
      <c r="I84" s="331" t="s">
        <v>2110</v>
      </c>
      <c r="J84" s="331" t="s">
        <v>81</v>
      </c>
      <c r="K84" s="331" t="s">
        <v>81</v>
      </c>
      <c r="L84" s="331" t="s">
        <v>81</v>
      </c>
      <c r="M84" s="331" t="s">
        <v>78</v>
      </c>
      <c r="N84" s="331" t="s">
        <v>424</v>
      </c>
      <c r="O84" s="331">
        <v>10119195</v>
      </c>
      <c r="P84" s="332">
        <v>43760</v>
      </c>
      <c r="Q84" s="332">
        <v>43760</v>
      </c>
      <c r="R84" s="332">
        <v>43787</v>
      </c>
      <c r="S84" s="331" t="s">
        <v>985</v>
      </c>
      <c r="T84" s="331" t="s">
        <v>982</v>
      </c>
      <c r="U84" s="331" t="s">
        <v>427</v>
      </c>
      <c r="V84" s="331" t="s">
        <v>165</v>
      </c>
      <c r="W84" s="331" t="s">
        <v>984</v>
      </c>
      <c r="X84" s="331" t="s">
        <v>984</v>
      </c>
      <c r="Y84" s="331" t="s">
        <v>984</v>
      </c>
      <c r="Z84" s="331" t="s">
        <v>984</v>
      </c>
      <c r="AA84" s="331" t="s">
        <v>984</v>
      </c>
      <c r="AB84" s="331" t="s">
        <v>984</v>
      </c>
      <c r="AC84" s="331" t="s">
        <v>984</v>
      </c>
      <c r="AD84" s="331" t="s">
        <v>984</v>
      </c>
      <c r="AE84" s="331" t="s">
        <v>984</v>
      </c>
      <c r="AF84" s="331" t="s">
        <v>984</v>
      </c>
      <c r="AG84" s="331" t="s">
        <v>984</v>
      </c>
      <c r="AH84" s="331" t="s">
        <v>984</v>
      </c>
      <c r="AI84" s="331" t="s">
        <v>984</v>
      </c>
      <c r="AJ84" s="331" t="s">
        <v>984</v>
      </c>
      <c r="AK84" s="331" t="s">
        <v>984</v>
      </c>
      <c r="AL84" s="331" t="s">
        <v>984</v>
      </c>
      <c r="AM84" s="331" t="s">
        <v>984</v>
      </c>
      <c r="AN84" s="331" t="s">
        <v>984</v>
      </c>
      <c r="AO84" s="331" t="s">
        <v>984</v>
      </c>
      <c r="AP84" s="331" t="s">
        <v>984</v>
      </c>
      <c r="AQ84" s="331" t="s">
        <v>984</v>
      </c>
      <c r="AR84" s="331" t="s">
        <v>984</v>
      </c>
      <c r="AS84" s="331" t="s">
        <v>984</v>
      </c>
      <c r="AT84" s="331" t="s">
        <v>984</v>
      </c>
      <c r="AU84" s="331" t="s">
        <v>984</v>
      </c>
      <c r="AV84" s="331" t="s">
        <v>984</v>
      </c>
      <c r="AW84" s="331" t="s">
        <v>984</v>
      </c>
      <c r="AX84" s="331" t="s">
        <v>984</v>
      </c>
      <c r="AY84" s="331" t="s">
        <v>984</v>
      </c>
      <c r="AZ84" s="331" t="s">
        <v>984</v>
      </c>
      <c r="BA84" s="331" t="s">
        <v>984</v>
      </c>
      <c r="BB84" s="331" t="s">
        <v>984</v>
      </c>
      <c r="BC84" s="331" t="s">
        <v>984</v>
      </c>
      <c r="BD84" s="331" t="s">
        <v>984</v>
      </c>
      <c r="BE84" s="331" t="s">
        <v>984</v>
      </c>
      <c r="BF84" s="331" t="s">
        <v>984</v>
      </c>
      <c r="BG84" s="331" t="s">
        <v>984</v>
      </c>
      <c r="BH84" s="331" t="s">
        <v>984</v>
      </c>
      <c r="BI84" s="331" t="s">
        <v>984</v>
      </c>
      <c r="BJ84" s="331" t="s">
        <v>984</v>
      </c>
      <c r="BK84" s="331" t="s">
        <v>984</v>
      </c>
      <c r="BL84" s="331" t="s">
        <v>984</v>
      </c>
      <c r="BM84" s="331" t="s">
        <v>984</v>
      </c>
      <c r="BN84" s="331" t="s">
        <v>984</v>
      </c>
      <c r="BO84" s="331" t="s">
        <v>984</v>
      </c>
      <c r="BP84" s="331" t="s">
        <v>984</v>
      </c>
      <c r="BQ84" s="331" t="s">
        <v>984</v>
      </c>
      <c r="BR84" s="331" t="s">
        <v>190</v>
      </c>
      <c r="BS84" s="331" t="s">
        <v>190</v>
      </c>
      <c r="BT84" s="331" t="s">
        <v>190</v>
      </c>
      <c r="BU84" s="331" t="s">
        <v>984</v>
      </c>
      <c r="BV84" s="331" t="s">
        <v>984</v>
      </c>
      <c r="BW84" s="331" t="s">
        <v>984</v>
      </c>
      <c r="BX84" s="331" t="s">
        <v>984</v>
      </c>
      <c r="BY84" s="331" t="s">
        <v>984</v>
      </c>
      <c r="BZ84" s="331" t="s">
        <v>984</v>
      </c>
      <c r="CA84" s="331" t="s">
        <v>984</v>
      </c>
      <c r="CB84" s="331" t="s">
        <v>984</v>
      </c>
      <c r="CC84" s="331" t="s">
        <v>190</v>
      </c>
      <c r="CD84" s="331" t="s">
        <v>190</v>
      </c>
      <c r="CE84" s="331" t="s">
        <v>984</v>
      </c>
      <c r="CF84" s="331" t="s">
        <v>984</v>
      </c>
      <c r="CG84" s="331" t="s">
        <v>984</v>
      </c>
      <c r="CH84" s="331" t="s">
        <v>984</v>
      </c>
      <c r="CI84" s="331" t="s">
        <v>984</v>
      </c>
      <c r="CJ84" s="331" t="s">
        <v>984</v>
      </c>
      <c r="CK84" s="331" t="s">
        <v>984</v>
      </c>
      <c r="CL84" s="331" t="s">
        <v>984</v>
      </c>
      <c r="CM84" s="331" t="s">
        <v>984</v>
      </c>
      <c r="CN84" s="331" t="s">
        <v>984</v>
      </c>
      <c r="CO84" s="331" t="s">
        <v>984</v>
      </c>
      <c r="CP84" s="331" t="s">
        <v>984</v>
      </c>
      <c r="CQ84" s="331" t="s">
        <v>984</v>
      </c>
      <c r="CR84" s="331" t="s">
        <v>984</v>
      </c>
      <c r="CS84" s="331" t="s">
        <v>984</v>
      </c>
      <c r="CT84" s="331" t="s">
        <v>984</v>
      </c>
      <c r="CU84" s="331" t="s">
        <v>984</v>
      </c>
      <c r="CV84" s="331" t="s">
        <v>984</v>
      </c>
      <c r="CW84" s="331" t="s">
        <v>984</v>
      </c>
      <c r="CX84" s="331" t="s">
        <v>984</v>
      </c>
      <c r="CY84" s="331" t="s">
        <v>984</v>
      </c>
      <c r="CZ84" s="331" t="s">
        <v>984</v>
      </c>
      <c r="DA84" s="331" t="s">
        <v>984</v>
      </c>
      <c r="DB84" s="331" t="s">
        <v>984</v>
      </c>
      <c r="DC84" s="331" t="s">
        <v>984</v>
      </c>
      <c r="DD84" s="331" t="s">
        <v>984</v>
      </c>
      <c r="DE84" s="331" t="s">
        <v>984</v>
      </c>
      <c r="DF84" s="331" t="s">
        <v>984</v>
      </c>
      <c r="DG84" s="331" t="s">
        <v>984</v>
      </c>
      <c r="DH84" s="331" t="s">
        <v>984</v>
      </c>
      <c r="DI84" s="331" t="s">
        <v>984</v>
      </c>
      <c r="DJ84" s="331" t="s">
        <v>984</v>
      </c>
      <c r="DK84" s="331" t="s">
        <v>984</v>
      </c>
      <c r="DL84" s="331" t="s">
        <v>984</v>
      </c>
      <c r="DM84" s="331" t="s">
        <v>984</v>
      </c>
      <c r="DN84" s="331" t="s">
        <v>984</v>
      </c>
      <c r="DO84" s="331" t="s">
        <v>984</v>
      </c>
      <c r="DP84" s="331" t="s">
        <v>984</v>
      </c>
      <c r="DQ84" s="331" t="s">
        <v>984</v>
      </c>
      <c r="DR84" s="331" t="s">
        <v>984</v>
      </c>
      <c r="DS84" s="331" t="s">
        <v>984</v>
      </c>
      <c r="DT84" s="331" t="s">
        <v>984</v>
      </c>
      <c r="DU84" s="331" t="s">
        <v>984</v>
      </c>
      <c r="DV84" s="331" t="s">
        <v>984</v>
      </c>
      <c r="DW84" s="331" t="s">
        <v>984</v>
      </c>
      <c r="DX84" s="331" t="s">
        <v>984</v>
      </c>
      <c r="DY84" s="331" t="s">
        <v>984</v>
      </c>
      <c r="DZ84" s="331" t="s">
        <v>984</v>
      </c>
      <c r="EA84" s="331" t="s">
        <v>984</v>
      </c>
      <c r="EB84" s="331" t="s">
        <v>984</v>
      </c>
      <c r="EC84" s="331" t="s">
        <v>984</v>
      </c>
      <c r="ED84" s="331" t="s">
        <v>984</v>
      </c>
      <c r="EE84" s="331" t="s">
        <v>984</v>
      </c>
      <c r="EF84" s="331" t="s">
        <v>984</v>
      </c>
      <c r="EG84" s="331" t="s">
        <v>984</v>
      </c>
      <c r="EH84" s="331" t="s">
        <v>984</v>
      </c>
      <c r="EI84" s="331" t="s">
        <v>984</v>
      </c>
      <c r="EJ84" s="331" t="s">
        <v>984</v>
      </c>
      <c r="EK84" s="331" t="s">
        <v>984</v>
      </c>
      <c r="EL84" s="331" t="s">
        <v>984</v>
      </c>
      <c r="EM84" s="331" t="s">
        <v>984</v>
      </c>
      <c r="EN84" s="331" t="s">
        <v>984</v>
      </c>
      <c r="EO84" s="331" t="s">
        <v>984</v>
      </c>
      <c r="EP84" s="331" t="s">
        <v>984</v>
      </c>
      <c r="EQ84" s="331" t="s">
        <v>984</v>
      </c>
      <c r="ER84" s="331" t="s">
        <v>984</v>
      </c>
      <c r="ES84" s="331" t="s">
        <v>984</v>
      </c>
      <c r="ET84" s="331" t="s">
        <v>984</v>
      </c>
      <c r="EU84" s="331" t="s">
        <v>984</v>
      </c>
      <c r="EV84" s="331" t="s">
        <v>984</v>
      </c>
      <c r="EW84" s="331" t="s">
        <v>984</v>
      </c>
      <c r="EX84" s="331" t="s">
        <v>984</v>
      </c>
      <c r="EY84" s="331" t="s">
        <v>984</v>
      </c>
      <c r="EZ84" s="331" t="s">
        <v>984</v>
      </c>
      <c r="FA84" s="331" t="s">
        <v>984</v>
      </c>
      <c r="FB84" s="331" t="s">
        <v>190</v>
      </c>
      <c r="FC84" s="331" t="s">
        <v>984</v>
      </c>
      <c r="FD84" s="331" t="s">
        <v>984</v>
      </c>
      <c r="FE84" s="331" t="s">
        <v>984</v>
      </c>
      <c r="FF84" s="331" t="s">
        <v>984</v>
      </c>
      <c r="FG84" s="331" t="s">
        <v>190</v>
      </c>
      <c r="FH84" s="331" t="s">
        <v>190</v>
      </c>
      <c r="FI84" s="331" t="s">
        <v>190</v>
      </c>
      <c r="FJ84" s="331" t="s">
        <v>190</v>
      </c>
      <c r="FK84" s="331" t="s">
        <v>190</v>
      </c>
      <c r="FL84" s="331" t="s">
        <v>984</v>
      </c>
      <c r="FM84" s="331" t="s">
        <v>984</v>
      </c>
      <c r="FN84" s="331" t="s">
        <v>984</v>
      </c>
      <c r="FO84" s="331" t="s">
        <v>984</v>
      </c>
      <c r="FP84" s="331" t="s">
        <v>984</v>
      </c>
      <c r="FQ84" s="331" t="s">
        <v>984</v>
      </c>
      <c r="FR84" s="331" t="s">
        <v>984</v>
      </c>
      <c r="FS84" s="331" t="s">
        <v>190</v>
      </c>
      <c r="FT84" s="331" t="s">
        <v>984</v>
      </c>
      <c r="FU84" s="331" t="s">
        <v>984</v>
      </c>
      <c r="FV84" s="331" t="s">
        <v>190</v>
      </c>
      <c r="FW84" s="331" t="s">
        <v>984</v>
      </c>
      <c r="FX84" s="331" t="s">
        <v>984</v>
      </c>
      <c r="FY84" s="331" t="s">
        <v>984</v>
      </c>
      <c r="FZ84" s="331" t="s">
        <v>984</v>
      </c>
      <c r="GA84" s="331" t="s">
        <v>984</v>
      </c>
      <c r="GB84" s="331" t="s">
        <v>984</v>
      </c>
      <c r="GC84" s="331" t="s">
        <v>984</v>
      </c>
      <c r="GD84" s="331" t="s">
        <v>984</v>
      </c>
      <c r="GE84" s="331" t="s">
        <v>984</v>
      </c>
      <c r="GF84" s="331" t="s">
        <v>984</v>
      </c>
      <c r="GG84" s="331" t="s">
        <v>984</v>
      </c>
      <c r="GH84" s="331" t="s">
        <v>984</v>
      </c>
      <c r="GI84" s="331" t="s">
        <v>984</v>
      </c>
      <c r="GJ84" s="331" t="s">
        <v>984</v>
      </c>
      <c r="GK84" s="331" t="s">
        <v>984</v>
      </c>
      <c r="GL84" s="331" t="s">
        <v>984</v>
      </c>
      <c r="GM84" s="331" t="s">
        <v>984</v>
      </c>
      <c r="GN84" s="331" t="s">
        <v>984</v>
      </c>
      <c r="GO84" s="331" t="s">
        <v>984</v>
      </c>
      <c r="GP84" s="331" t="s">
        <v>984</v>
      </c>
      <c r="GQ84" s="331" t="s">
        <v>984</v>
      </c>
      <c r="GR84" s="331" t="s">
        <v>984</v>
      </c>
      <c r="GS84" s="331" t="s">
        <v>984</v>
      </c>
      <c r="GT84" s="331" t="s">
        <v>984</v>
      </c>
      <c r="GU84" s="331" t="s">
        <v>984</v>
      </c>
      <c r="GV84" s="331" t="s">
        <v>984</v>
      </c>
      <c r="GW84" s="331" t="s">
        <v>984</v>
      </c>
      <c r="GX84" s="331" t="s">
        <v>984</v>
      </c>
      <c r="GY84" s="331" t="s">
        <v>984</v>
      </c>
      <c r="GZ84" s="331" t="s">
        <v>984</v>
      </c>
      <c r="HA84" s="331" t="s">
        <v>984</v>
      </c>
      <c r="HB84" s="331" t="s">
        <v>984</v>
      </c>
      <c r="HC84" s="331" t="s">
        <v>984</v>
      </c>
      <c r="HD84" s="331" t="s">
        <v>984</v>
      </c>
      <c r="HE84" s="331" t="s">
        <v>984</v>
      </c>
      <c r="HF84" s="331" t="s">
        <v>984</v>
      </c>
      <c r="HG84" s="331" t="s">
        <v>984</v>
      </c>
      <c r="HH84" s="331" t="s">
        <v>984</v>
      </c>
      <c r="HI84" s="331" t="s">
        <v>984</v>
      </c>
      <c r="HJ84" s="331" t="s">
        <v>984</v>
      </c>
      <c r="HK84" s="331" t="s">
        <v>984</v>
      </c>
      <c r="HL84" s="331" t="s">
        <v>984</v>
      </c>
      <c r="HM84" s="331" t="s">
        <v>190</v>
      </c>
      <c r="HN84" s="331" t="s">
        <v>190</v>
      </c>
      <c r="HO84" s="331" t="s">
        <v>190</v>
      </c>
      <c r="HP84" s="331" t="s">
        <v>190</v>
      </c>
      <c r="HQ84" s="331" t="s">
        <v>170</v>
      </c>
      <c r="HR84" s="331" t="s">
        <v>429</v>
      </c>
      <c r="HS84" s="331" t="s">
        <v>169</v>
      </c>
      <c r="HT84" s="331" t="s">
        <v>427</v>
      </c>
      <c r="HU84" s="331" t="s">
        <v>428</v>
      </c>
      <c r="HV84" s="331" t="s">
        <v>428</v>
      </c>
    </row>
    <row r="85" spans="1:230" s="70" customFormat="1" x14ac:dyDescent="0.25">
      <c r="A85" s="330" t="str">
        <f>HYPERLINK("http://www.ofsted.gov.uk/inspection-reports/find-inspection-report/provider/ELS/147462 ","Ofsted School Webpage")</f>
        <v>Ofsted School Webpage</v>
      </c>
      <c r="B85" s="331">
        <v>147462</v>
      </c>
      <c r="C85" s="331">
        <v>8126008</v>
      </c>
      <c r="D85" s="331" t="s">
        <v>2735</v>
      </c>
      <c r="E85" s="331" t="s">
        <v>167</v>
      </c>
      <c r="F85" s="331" t="s">
        <v>458</v>
      </c>
      <c r="G85" s="331" t="s">
        <v>459</v>
      </c>
      <c r="H85" s="331" t="s">
        <v>1076</v>
      </c>
      <c r="I85" s="331" t="s">
        <v>2736</v>
      </c>
      <c r="J85" s="331" t="s">
        <v>434</v>
      </c>
      <c r="K85" s="331" t="s">
        <v>81</v>
      </c>
      <c r="L85" s="331" t="s">
        <v>81</v>
      </c>
      <c r="M85" s="331" t="s">
        <v>78</v>
      </c>
      <c r="N85" s="331" t="s">
        <v>424</v>
      </c>
      <c r="O85" s="331">
        <v>10124112</v>
      </c>
      <c r="P85" s="332">
        <v>43760</v>
      </c>
      <c r="Q85" s="332">
        <v>43760</v>
      </c>
      <c r="R85" s="332">
        <v>43776</v>
      </c>
      <c r="S85" s="331" t="s">
        <v>2583</v>
      </c>
      <c r="T85" s="331" t="s">
        <v>982</v>
      </c>
      <c r="U85" s="331" t="s">
        <v>427</v>
      </c>
      <c r="V85" s="331" t="s">
        <v>2584</v>
      </c>
      <c r="W85" s="331" t="s">
        <v>190</v>
      </c>
      <c r="X85" s="331" t="s">
        <v>190</v>
      </c>
      <c r="Y85" s="331" t="s">
        <v>190</v>
      </c>
      <c r="Z85" s="331" t="s">
        <v>190</v>
      </c>
      <c r="AA85" s="331" t="s">
        <v>190</v>
      </c>
      <c r="AB85" s="331" t="s">
        <v>190</v>
      </c>
      <c r="AC85" s="331" t="s">
        <v>190</v>
      </c>
      <c r="AD85" s="331" t="s">
        <v>190</v>
      </c>
      <c r="AE85" s="331" t="s">
        <v>428</v>
      </c>
      <c r="AF85" s="331" t="s">
        <v>190</v>
      </c>
      <c r="AG85" s="331" t="s">
        <v>190</v>
      </c>
      <c r="AH85" s="331" t="s">
        <v>190</v>
      </c>
      <c r="AI85" s="331" t="s">
        <v>190</v>
      </c>
      <c r="AJ85" s="331" t="s">
        <v>190</v>
      </c>
      <c r="AK85" s="331" t="s">
        <v>190</v>
      </c>
      <c r="AL85" s="331" t="s">
        <v>190</v>
      </c>
      <c r="AM85" s="331" t="s">
        <v>428</v>
      </c>
      <c r="AN85" s="331" t="s">
        <v>190</v>
      </c>
      <c r="AO85" s="331" t="s">
        <v>190</v>
      </c>
      <c r="AP85" s="331" t="s">
        <v>190</v>
      </c>
      <c r="AQ85" s="331" t="s">
        <v>190</v>
      </c>
      <c r="AR85" s="331" t="s">
        <v>190</v>
      </c>
      <c r="AS85" s="331" t="s">
        <v>190</v>
      </c>
      <c r="AT85" s="331" t="s">
        <v>190</v>
      </c>
      <c r="AU85" s="331" t="s">
        <v>190</v>
      </c>
      <c r="AV85" s="331" t="s">
        <v>190</v>
      </c>
      <c r="AW85" s="331" t="s">
        <v>190</v>
      </c>
      <c r="AX85" s="331" t="s">
        <v>190</v>
      </c>
      <c r="AY85" s="331" t="s">
        <v>190</v>
      </c>
      <c r="AZ85" s="331" t="s">
        <v>190</v>
      </c>
      <c r="BA85" s="331" t="s">
        <v>190</v>
      </c>
      <c r="BB85" s="331" t="s">
        <v>190</v>
      </c>
      <c r="BC85" s="331" t="s">
        <v>190</v>
      </c>
      <c r="BD85" s="331" t="s">
        <v>190</v>
      </c>
      <c r="BE85" s="331" t="s">
        <v>190</v>
      </c>
      <c r="BF85" s="331" t="s">
        <v>190</v>
      </c>
      <c r="BG85" s="331" t="s">
        <v>190</v>
      </c>
      <c r="BH85" s="331" t="s">
        <v>190</v>
      </c>
      <c r="BI85" s="331" t="s">
        <v>190</v>
      </c>
      <c r="BJ85" s="331" t="s">
        <v>190</v>
      </c>
      <c r="BK85" s="331" t="s">
        <v>190</v>
      </c>
      <c r="BL85" s="331" t="s">
        <v>190</v>
      </c>
      <c r="BM85" s="331" t="s">
        <v>190</v>
      </c>
      <c r="BN85" s="331" t="s">
        <v>190</v>
      </c>
      <c r="BO85" s="331" t="s">
        <v>190</v>
      </c>
      <c r="BP85" s="331" t="s">
        <v>190</v>
      </c>
      <c r="BQ85" s="331" t="s">
        <v>190</v>
      </c>
      <c r="BR85" s="331" t="s">
        <v>190</v>
      </c>
      <c r="BS85" s="331" t="s">
        <v>190</v>
      </c>
      <c r="BT85" s="331" t="s">
        <v>190</v>
      </c>
      <c r="BU85" s="331" t="s">
        <v>428</v>
      </c>
      <c r="BV85" s="331" t="s">
        <v>428</v>
      </c>
      <c r="BW85" s="331" t="s">
        <v>428</v>
      </c>
      <c r="BX85" s="331" t="s">
        <v>190</v>
      </c>
      <c r="BY85" s="331" t="s">
        <v>190</v>
      </c>
      <c r="BZ85" s="331" t="s">
        <v>190</v>
      </c>
      <c r="CA85" s="331" t="s">
        <v>190</v>
      </c>
      <c r="CB85" s="331" t="s">
        <v>190</v>
      </c>
      <c r="CC85" s="331" t="s">
        <v>190</v>
      </c>
      <c r="CD85" s="331" t="s">
        <v>190</v>
      </c>
      <c r="CE85" s="331" t="s">
        <v>190</v>
      </c>
      <c r="CF85" s="331" t="s">
        <v>190</v>
      </c>
      <c r="CG85" s="331" t="s">
        <v>190</v>
      </c>
      <c r="CH85" s="331" t="s">
        <v>190</v>
      </c>
      <c r="CI85" s="331" t="s">
        <v>190</v>
      </c>
      <c r="CJ85" s="331" t="s">
        <v>190</v>
      </c>
      <c r="CK85" s="331" t="s">
        <v>190</v>
      </c>
      <c r="CL85" s="331" t="s">
        <v>190</v>
      </c>
      <c r="CM85" s="331" t="s">
        <v>190</v>
      </c>
      <c r="CN85" s="331" t="s">
        <v>190</v>
      </c>
      <c r="CO85" s="331" t="s">
        <v>190</v>
      </c>
      <c r="CP85" s="331" t="s">
        <v>190</v>
      </c>
      <c r="CQ85" s="331" t="s">
        <v>190</v>
      </c>
      <c r="CR85" s="331" t="s">
        <v>190</v>
      </c>
      <c r="CS85" s="331" t="s">
        <v>190</v>
      </c>
      <c r="CT85" s="331" t="s">
        <v>428</v>
      </c>
      <c r="CU85" s="331" t="s">
        <v>428</v>
      </c>
      <c r="CV85" s="331" t="s">
        <v>190</v>
      </c>
      <c r="CW85" s="331" t="s">
        <v>428</v>
      </c>
      <c r="CX85" s="331" t="s">
        <v>428</v>
      </c>
      <c r="CY85" s="331" t="s">
        <v>428</v>
      </c>
      <c r="CZ85" s="331" t="s">
        <v>428</v>
      </c>
      <c r="DA85" s="331" t="s">
        <v>428</v>
      </c>
      <c r="DB85" s="331" t="s">
        <v>428</v>
      </c>
      <c r="DC85" s="331" t="s">
        <v>428</v>
      </c>
      <c r="DD85" s="331" t="s">
        <v>428</v>
      </c>
      <c r="DE85" s="331" t="s">
        <v>428</v>
      </c>
      <c r="DF85" s="331" t="s">
        <v>428</v>
      </c>
      <c r="DG85" s="331" t="s">
        <v>428</v>
      </c>
      <c r="DH85" s="331" t="s">
        <v>428</v>
      </c>
      <c r="DI85" s="331" t="s">
        <v>428</v>
      </c>
      <c r="DJ85" s="331" t="s">
        <v>428</v>
      </c>
      <c r="DK85" s="331" t="s">
        <v>428</v>
      </c>
      <c r="DL85" s="331" t="s">
        <v>190</v>
      </c>
      <c r="DM85" s="331" t="s">
        <v>190</v>
      </c>
      <c r="DN85" s="331" t="s">
        <v>190</v>
      </c>
      <c r="DO85" s="331" t="s">
        <v>190</v>
      </c>
      <c r="DP85" s="331" t="s">
        <v>190</v>
      </c>
      <c r="DQ85" s="331" t="s">
        <v>190</v>
      </c>
      <c r="DR85" s="331" t="s">
        <v>190</v>
      </c>
      <c r="DS85" s="331" t="s">
        <v>428</v>
      </c>
      <c r="DT85" s="331" t="s">
        <v>190</v>
      </c>
      <c r="DU85" s="331" t="s">
        <v>190</v>
      </c>
      <c r="DV85" s="331" t="s">
        <v>190</v>
      </c>
      <c r="DW85" s="331" t="s">
        <v>190</v>
      </c>
      <c r="DX85" s="331" t="s">
        <v>190</v>
      </c>
      <c r="DY85" s="331" t="s">
        <v>190</v>
      </c>
      <c r="DZ85" s="331" t="s">
        <v>190</v>
      </c>
      <c r="EA85" s="331" t="s">
        <v>190</v>
      </c>
      <c r="EB85" s="331" t="s">
        <v>190</v>
      </c>
      <c r="EC85" s="331" t="s">
        <v>190</v>
      </c>
      <c r="ED85" s="331" t="s">
        <v>190</v>
      </c>
      <c r="EE85" s="331" t="s">
        <v>190</v>
      </c>
      <c r="EF85" s="331" t="s">
        <v>190</v>
      </c>
      <c r="EG85" s="331" t="s">
        <v>190</v>
      </c>
      <c r="EH85" s="331" t="s">
        <v>428</v>
      </c>
      <c r="EI85" s="331" t="s">
        <v>428</v>
      </c>
      <c r="EJ85" s="331" t="s">
        <v>428</v>
      </c>
      <c r="EK85" s="331" t="s">
        <v>428</v>
      </c>
      <c r="EL85" s="331" t="s">
        <v>428</v>
      </c>
      <c r="EM85" s="331" t="s">
        <v>428</v>
      </c>
      <c r="EN85" s="331" t="s">
        <v>428</v>
      </c>
      <c r="EO85" s="331" t="s">
        <v>190</v>
      </c>
      <c r="EP85" s="331" t="s">
        <v>428</v>
      </c>
      <c r="EQ85" s="331" t="s">
        <v>428</v>
      </c>
      <c r="ER85" s="331" t="s">
        <v>428</v>
      </c>
      <c r="ES85" s="331" t="s">
        <v>190</v>
      </c>
      <c r="ET85" s="331" t="s">
        <v>190</v>
      </c>
      <c r="EU85" s="331" t="s">
        <v>190</v>
      </c>
      <c r="EV85" s="331" t="s">
        <v>190</v>
      </c>
      <c r="EW85" s="331" t="s">
        <v>190</v>
      </c>
      <c r="EX85" s="331" t="s">
        <v>190</v>
      </c>
      <c r="EY85" s="331" t="s">
        <v>190</v>
      </c>
      <c r="EZ85" s="331" t="s">
        <v>428</v>
      </c>
      <c r="FA85" s="331" t="s">
        <v>190</v>
      </c>
      <c r="FB85" s="331" t="s">
        <v>190</v>
      </c>
      <c r="FC85" s="331" t="s">
        <v>190</v>
      </c>
      <c r="FD85" s="331" t="s">
        <v>190</v>
      </c>
      <c r="FE85" s="331" t="s">
        <v>190</v>
      </c>
      <c r="FF85" s="331" t="s">
        <v>190</v>
      </c>
      <c r="FG85" s="331" t="s">
        <v>190</v>
      </c>
      <c r="FH85" s="331" t="s">
        <v>190</v>
      </c>
      <c r="FI85" s="331" t="s">
        <v>190</v>
      </c>
      <c r="FJ85" s="331" t="s">
        <v>190</v>
      </c>
      <c r="FK85" s="331" t="s">
        <v>190</v>
      </c>
      <c r="FL85" s="331" t="s">
        <v>190</v>
      </c>
      <c r="FM85" s="331" t="s">
        <v>190</v>
      </c>
      <c r="FN85" s="331" t="s">
        <v>190</v>
      </c>
      <c r="FO85" s="331" t="s">
        <v>190</v>
      </c>
      <c r="FP85" s="331" t="s">
        <v>190</v>
      </c>
      <c r="FQ85" s="331" t="s">
        <v>190</v>
      </c>
      <c r="FR85" s="331" t="s">
        <v>428</v>
      </c>
      <c r="FS85" s="331" t="s">
        <v>190</v>
      </c>
      <c r="FT85" s="331" t="s">
        <v>190</v>
      </c>
      <c r="FU85" s="331" t="s">
        <v>190</v>
      </c>
      <c r="FV85" s="331" t="s">
        <v>190</v>
      </c>
      <c r="FW85" s="331" t="s">
        <v>190</v>
      </c>
      <c r="FX85" s="331" t="s">
        <v>428</v>
      </c>
      <c r="FY85" s="331" t="s">
        <v>190</v>
      </c>
      <c r="FZ85" s="331" t="s">
        <v>190</v>
      </c>
      <c r="GA85" s="331" t="s">
        <v>190</v>
      </c>
      <c r="GB85" s="331" t="s">
        <v>190</v>
      </c>
      <c r="GC85" s="331" t="s">
        <v>190</v>
      </c>
      <c r="GD85" s="331" t="s">
        <v>190</v>
      </c>
      <c r="GE85" s="331" t="s">
        <v>190</v>
      </c>
      <c r="GF85" s="331" t="s">
        <v>190</v>
      </c>
      <c r="GG85" s="331" t="s">
        <v>428</v>
      </c>
      <c r="GH85" s="331" t="s">
        <v>190</v>
      </c>
      <c r="GI85" s="331" t="s">
        <v>190</v>
      </c>
      <c r="GJ85" s="331" t="s">
        <v>190</v>
      </c>
      <c r="GK85" s="331" t="s">
        <v>190</v>
      </c>
      <c r="GL85" s="331" t="s">
        <v>190</v>
      </c>
      <c r="GM85" s="331" t="s">
        <v>190</v>
      </c>
      <c r="GN85" s="331" t="s">
        <v>190</v>
      </c>
      <c r="GO85" s="331" t="s">
        <v>190</v>
      </c>
      <c r="GP85" s="331" t="s">
        <v>190</v>
      </c>
      <c r="GQ85" s="331" t="s">
        <v>190</v>
      </c>
      <c r="GR85" s="331" t="s">
        <v>190</v>
      </c>
      <c r="GS85" s="331" t="s">
        <v>428</v>
      </c>
      <c r="GT85" s="331" t="s">
        <v>428</v>
      </c>
      <c r="GU85" s="331" t="s">
        <v>428</v>
      </c>
      <c r="GV85" s="331" t="s">
        <v>428</v>
      </c>
      <c r="GW85" s="331" t="s">
        <v>190</v>
      </c>
      <c r="GX85" s="331" t="s">
        <v>190</v>
      </c>
      <c r="GY85" s="331" t="s">
        <v>190</v>
      </c>
      <c r="GZ85" s="331" t="s">
        <v>190</v>
      </c>
      <c r="HA85" s="331" t="s">
        <v>190</v>
      </c>
      <c r="HB85" s="331" t="s">
        <v>190</v>
      </c>
      <c r="HC85" s="331" t="s">
        <v>190</v>
      </c>
      <c r="HD85" s="331" t="s">
        <v>190</v>
      </c>
      <c r="HE85" s="331" t="s">
        <v>190</v>
      </c>
      <c r="HF85" s="331" t="s">
        <v>190</v>
      </c>
      <c r="HG85" s="331" t="s">
        <v>190</v>
      </c>
      <c r="HH85" s="331" t="s">
        <v>190</v>
      </c>
      <c r="HI85" s="331" t="s">
        <v>190</v>
      </c>
      <c r="HJ85" s="331" t="s">
        <v>190</v>
      </c>
      <c r="HK85" s="331" t="s">
        <v>190</v>
      </c>
      <c r="HL85" s="331" t="s">
        <v>190</v>
      </c>
      <c r="HM85" s="331" t="s">
        <v>190</v>
      </c>
      <c r="HN85" s="331" t="s">
        <v>190</v>
      </c>
      <c r="HO85" s="331" t="s">
        <v>190</v>
      </c>
      <c r="HP85" s="331" t="s">
        <v>190</v>
      </c>
      <c r="HQ85" s="331" t="s">
        <v>170</v>
      </c>
      <c r="HR85" s="331" t="s">
        <v>429</v>
      </c>
      <c r="HS85" s="331" t="s">
        <v>169</v>
      </c>
      <c r="HT85" s="331" t="s">
        <v>427</v>
      </c>
      <c r="HU85" s="331" t="s">
        <v>428</v>
      </c>
      <c r="HV85" s="331" t="s">
        <v>428</v>
      </c>
    </row>
    <row r="86" spans="1:230" s="70" customFormat="1" x14ac:dyDescent="0.25">
      <c r="A86" s="330" t="str">
        <f>HYPERLINK("http://www.ofsted.gov.uk/inspection-reports/find-inspection-report/provider/ELS/147365 ","Ofsted School Webpage")</f>
        <v>Ofsted School Webpage</v>
      </c>
      <c r="B86" s="331">
        <v>147365</v>
      </c>
      <c r="C86" s="331">
        <v>8836002</v>
      </c>
      <c r="D86" s="331" t="s">
        <v>2737</v>
      </c>
      <c r="E86" s="331" t="s">
        <v>167</v>
      </c>
      <c r="F86" s="331" t="s">
        <v>451</v>
      </c>
      <c r="G86" s="331" t="s">
        <v>451</v>
      </c>
      <c r="H86" s="331" t="s">
        <v>2738</v>
      </c>
      <c r="I86" s="331" t="s">
        <v>2739</v>
      </c>
      <c r="J86" s="331" t="s">
        <v>434</v>
      </c>
      <c r="K86" s="331" t="s">
        <v>81</v>
      </c>
      <c r="L86" s="331" t="s">
        <v>81</v>
      </c>
      <c r="M86" s="331" t="s">
        <v>78</v>
      </c>
      <c r="N86" s="331" t="s">
        <v>424</v>
      </c>
      <c r="O86" s="331">
        <v>10119804</v>
      </c>
      <c r="P86" s="332">
        <v>43761</v>
      </c>
      <c r="Q86" s="332">
        <v>43761</v>
      </c>
      <c r="R86" s="332">
        <v>43787</v>
      </c>
      <c r="S86" s="331" t="s">
        <v>2583</v>
      </c>
      <c r="T86" s="331" t="s">
        <v>982</v>
      </c>
      <c r="U86" s="331" t="s">
        <v>447</v>
      </c>
      <c r="V86" s="331" t="s">
        <v>2585</v>
      </c>
      <c r="W86" s="331" t="s">
        <v>191</v>
      </c>
      <c r="X86" s="331" t="s">
        <v>191</v>
      </c>
      <c r="Y86" s="331" t="s">
        <v>191</v>
      </c>
      <c r="Z86" s="331" t="s">
        <v>191</v>
      </c>
      <c r="AA86" s="331" t="s">
        <v>191</v>
      </c>
      <c r="AB86" s="331" t="s">
        <v>191</v>
      </c>
      <c r="AC86" s="331" t="s">
        <v>191</v>
      </c>
      <c r="AD86" s="331" t="s">
        <v>191</v>
      </c>
      <c r="AE86" s="331" t="s">
        <v>428</v>
      </c>
      <c r="AF86" s="331" t="s">
        <v>191</v>
      </c>
      <c r="AG86" s="331" t="s">
        <v>191</v>
      </c>
      <c r="AH86" s="331" t="s">
        <v>191</v>
      </c>
      <c r="AI86" s="331" t="s">
        <v>191</v>
      </c>
      <c r="AJ86" s="331" t="s">
        <v>191</v>
      </c>
      <c r="AK86" s="331" t="s">
        <v>191</v>
      </c>
      <c r="AL86" s="331" t="s">
        <v>191</v>
      </c>
      <c r="AM86" s="331" t="s">
        <v>428</v>
      </c>
      <c r="AN86" s="331" t="s">
        <v>428</v>
      </c>
      <c r="AO86" s="331" t="s">
        <v>191</v>
      </c>
      <c r="AP86" s="331" t="s">
        <v>191</v>
      </c>
      <c r="AQ86" s="331" t="s">
        <v>191</v>
      </c>
      <c r="AR86" s="331" t="s">
        <v>191</v>
      </c>
      <c r="AS86" s="331" t="s">
        <v>191</v>
      </c>
      <c r="AT86" s="331" t="s">
        <v>191</v>
      </c>
      <c r="AU86" s="331" t="s">
        <v>191</v>
      </c>
      <c r="AV86" s="331" t="s">
        <v>191</v>
      </c>
      <c r="AW86" s="331" t="s">
        <v>191</v>
      </c>
      <c r="AX86" s="331" t="s">
        <v>191</v>
      </c>
      <c r="AY86" s="331" t="s">
        <v>191</v>
      </c>
      <c r="AZ86" s="331" t="s">
        <v>191</v>
      </c>
      <c r="BA86" s="331" t="s">
        <v>191</v>
      </c>
      <c r="BB86" s="331" t="s">
        <v>191</v>
      </c>
      <c r="BC86" s="331" t="s">
        <v>191</v>
      </c>
      <c r="BD86" s="331" t="s">
        <v>191</v>
      </c>
      <c r="BE86" s="331" t="s">
        <v>191</v>
      </c>
      <c r="BF86" s="331" t="s">
        <v>191</v>
      </c>
      <c r="BG86" s="331" t="s">
        <v>191</v>
      </c>
      <c r="BH86" s="331" t="s">
        <v>191</v>
      </c>
      <c r="BI86" s="331" t="s">
        <v>191</v>
      </c>
      <c r="BJ86" s="331" t="s">
        <v>191</v>
      </c>
      <c r="BK86" s="331" t="s">
        <v>191</v>
      </c>
      <c r="BL86" s="331" t="s">
        <v>191</v>
      </c>
      <c r="BM86" s="331" t="s">
        <v>191</v>
      </c>
      <c r="BN86" s="331" t="s">
        <v>191</v>
      </c>
      <c r="BO86" s="331" t="s">
        <v>191</v>
      </c>
      <c r="BP86" s="331" t="s">
        <v>191</v>
      </c>
      <c r="BQ86" s="331" t="s">
        <v>191</v>
      </c>
      <c r="BR86" s="331" t="s">
        <v>191</v>
      </c>
      <c r="BS86" s="331" t="s">
        <v>191</v>
      </c>
      <c r="BT86" s="331" t="s">
        <v>191</v>
      </c>
      <c r="BU86" s="331" t="s">
        <v>428</v>
      </c>
      <c r="BV86" s="331" t="s">
        <v>428</v>
      </c>
      <c r="BW86" s="331" t="s">
        <v>428</v>
      </c>
      <c r="BX86" s="331" t="s">
        <v>428</v>
      </c>
      <c r="BY86" s="331" t="s">
        <v>428</v>
      </c>
      <c r="BZ86" s="331" t="s">
        <v>191</v>
      </c>
      <c r="CA86" s="331" t="s">
        <v>191</v>
      </c>
      <c r="CB86" s="331" t="s">
        <v>191</v>
      </c>
      <c r="CC86" s="331" t="s">
        <v>190</v>
      </c>
      <c r="CD86" s="331" t="s">
        <v>191</v>
      </c>
      <c r="CE86" s="331" t="s">
        <v>191</v>
      </c>
      <c r="CF86" s="331" t="s">
        <v>190</v>
      </c>
      <c r="CG86" s="331" t="s">
        <v>191</v>
      </c>
      <c r="CH86" s="331" t="s">
        <v>191</v>
      </c>
      <c r="CI86" s="331" t="s">
        <v>191</v>
      </c>
      <c r="CJ86" s="331" t="s">
        <v>191</v>
      </c>
      <c r="CK86" s="331" t="s">
        <v>191</v>
      </c>
      <c r="CL86" s="331" t="s">
        <v>191</v>
      </c>
      <c r="CM86" s="331" t="s">
        <v>191</v>
      </c>
      <c r="CN86" s="331" t="s">
        <v>191</v>
      </c>
      <c r="CO86" s="331" t="s">
        <v>191</v>
      </c>
      <c r="CP86" s="331" t="s">
        <v>191</v>
      </c>
      <c r="CQ86" s="331" t="s">
        <v>191</v>
      </c>
      <c r="CR86" s="331" t="s">
        <v>191</v>
      </c>
      <c r="CS86" s="331" t="s">
        <v>191</v>
      </c>
      <c r="CT86" s="331" t="s">
        <v>191</v>
      </c>
      <c r="CU86" s="331" t="s">
        <v>428</v>
      </c>
      <c r="CV86" s="331" t="s">
        <v>428</v>
      </c>
      <c r="CW86" s="331" t="s">
        <v>428</v>
      </c>
      <c r="CX86" s="331" t="s">
        <v>428</v>
      </c>
      <c r="CY86" s="331" t="s">
        <v>428</v>
      </c>
      <c r="CZ86" s="331" t="s">
        <v>428</v>
      </c>
      <c r="DA86" s="331" t="s">
        <v>428</v>
      </c>
      <c r="DB86" s="331" t="s">
        <v>428</v>
      </c>
      <c r="DC86" s="331" t="s">
        <v>428</v>
      </c>
      <c r="DD86" s="331" t="s">
        <v>428</v>
      </c>
      <c r="DE86" s="331" t="s">
        <v>428</v>
      </c>
      <c r="DF86" s="331" t="s">
        <v>428</v>
      </c>
      <c r="DG86" s="331" t="s">
        <v>428</v>
      </c>
      <c r="DH86" s="331" t="s">
        <v>428</v>
      </c>
      <c r="DI86" s="331" t="s">
        <v>428</v>
      </c>
      <c r="DJ86" s="331" t="s">
        <v>428</v>
      </c>
      <c r="DK86" s="331" t="s">
        <v>428</v>
      </c>
      <c r="DL86" s="331" t="s">
        <v>190</v>
      </c>
      <c r="DM86" s="331" t="s">
        <v>190</v>
      </c>
      <c r="DN86" s="331" t="s">
        <v>190</v>
      </c>
      <c r="DO86" s="331" t="s">
        <v>190</v>
      </c>
      <c r="DP86" s="331" t="s">
        <v>190</v>
      </c>
      <c r="DQ86" s="331" t="s">
        <v>190</v>
      </c>
      <c r="DR86" s="331" t="s">
        <v>190</v>
      </c>
      <c r="DS86" s="331" t="s">
        <v>190</v>
      </c>
      <c r="DT86" s="331" t="s">
        <v>190</v>
      </c>
      <c r="DU86" s="331" t="s">
        <v>191</v>
      </c>
      <c r="DV86" s="331" t="s">
        <v>191</v>
      </c>
      <c r="DW86" s="331" t="s">
        <v>191</v>
      </c>
      <c r="DX86" s="331" t="s">
        <v>191</v>
      </c>
      <c r="DY86" s="331" t="s">
        <v>191</v>
      </c>
      <c r="DZ86" s="331" t="s">
        <v>191</v>
      </c>
      <c r="EA86" s="331" t="s">
        <v>191</v>
      </c>
      <c r="EB86" s="331" t="s">
        <v>191</v>
      </c>
      <c r="EC86" s="331" t="s">
        <v>191</v>
      </c>
      <c r="ED86" s="331" t="s">
        <v>191</v>
      </c>
      <c r="EE86" s="331" t="s">
        <v>191</v>
      </c>
      <c r="EF86" s="331" t="s">
        <v>191</v>
      </c>
      <c r="EG86" s="331" t="s">
        <v>191</v>
      </c>
      <c r="EH86" s="331" t="s">
        <v>191</v>
      </c>
      <c r="EI86" s="331" t="s">
        <v>428</v>
      </c>
      <c r="EJ86" s="331" t="s">
        <v>428</v>
      </c>
      <c r="EK86" s="331" t="s">
        <v>428</v>
      </c>
      <c r="EL86" s="331" t="s">
        <v>428</v>
      </c>
      <c r="EM86" s="331" t="s">
        <v>428</v>
      </c>
      <c r="EN86" s="331" t="s">
        <v>428</v>
      </c>
      <c r="EO86" s="331" t="s">
        <v>191</v>
      </c>
      <c r="EP86" s="331" t="s">
        <v>191</v>
      </c>
      <c r="EQ86" s="331" t="s">
        <v>191</v>
      </c>
      <c r="ER86" s="331" t="s">
        <v>191</v>
      </c>
      <c r="ES86" s="331" t="s">
        <v>191</v>
      </c>
      <c r="ET86" s="331" t="s">
        <v>191</v>
      </c>
      <c r="EU86" s="331" t="s">
        <v>191</v>
      </c>
      <c r="EV86" s="331" t="s">
        <v>191</v>
      </c>
      <c r="EW86" s="331" t="s">
        <v>190</v>
      </c>
      <c r="EX86" s="331" t="s">
        <v>190</v>
      </c>
      <c r="EY86" s="331" t="s">
        <v>191</v>
      </c>
      <c r="EZ86" s="331" t="s">
        <v>428</v>
      </c>
      <c r="FA86" s="331" t="s">
        <v>190</v>
      </c>
      <c r="FB86" s="331" t="s">
        <v>190</v>
      </c>
      <c r="FC86" s="331" t="s">
        <v>190</v>
      </c>
      <c r="FD86" s="331" t="s">
        <v>190</v>
      </c>
      <c r="FE86" s="331" t="s">
        <v>190</v>
      </c>
      <c r="FF86" s="331" t="s">
        <v>191</v>
      </c>
      <c r="FG86" s="331" t="s">
        <v>191</v>
      </c>
      <c r="FH86" s="331" t="s">
        <v>190</v>
      </c>
      <c r="FI86" s="331" t="s">
        <v>190</v>
      </c>
      <c r="FJ86" s="331" t="s">
        <v>191</v>
      </c>
      <c r="FK86" s="331" t="s">
        <v>190</v>
      </c>
      <c r="FL86" s="331" t="s">
        <v>190</v>
      </c>
      <c r="FM86" s="331" t="s">
        <v>190</v>
      </c>
      <c r="FN86" s="331" t="s">
        <v>190</v>
      </c>
      <c r="FO86" s="331" t="s">
        <v>191</v>
      </c>
      <c r="FP86" s="331" t="s">
        <v>191</v>
      </c>
      <c r="FQ86" s="331" t="s">
        <v>191</v>
      </c>
      <c r="FR86" s="331" t="s">
        <v>428</v>
      </c>
      <c r="FS86" s="331" t="s">
        <v>191</v>
      </c>
      <c r="FT86" s="331" t="s">
        <v>191</v>
      </c>
      <c r="FU86" s="331" t="s">
        <v>173</v>
      </c>
      <c r="FV86" s="331" t="s">
        <v>191</v>
      </c>
      <c r="FW86" s="331" t="s">
        <v>428</v>
      </c>
      <c r="FX86" s="331" t="s">
        <v>428</v>
      </c>
      <c r="FY86" s="331" t="s">
        <v>191</v>
      </c>
      <c r="FZ86" s="331" t="s">
        <v>191</v>
      </c>
      <c r="GA86" s="331" t="s">
        <v>191</v>
      </c>
      <c r="GB86" s="331" t="s">
        <v>191</v>
      </c>
      <c r="GC86" s="331" t="s">
        <v>191</v>
      </c>
      <c r="GD86" s="331" t="s">
        <v>173</v>
      </c>
      <c r="GE86" s="331" t="s">
        <v>191</v>
      </c>
      <c r="GF86" s="331" t="s">
        <v>191</v>
      </c>
      <c r="GG86" s="331" t="s">
        <v>191</v>
      </c>
      <c r="GH86" s="331" t="s">
        <v>428</v>
      </c>
      <c r="GI86" s="331" t="s">
        <v>428</v>
      </c>
      <c r="GJ86" s="331" t="s">
        <v>190</v>
      </c>
      <c r="GK86" s="331" t="s">
        <v>173</v>
      </c>
      <c r="GL86" s="331" t="s">
        <v>191</v>
      </c>
      <c r="GM86" s="331" t="s">
        <v>191</v>
      </c>
      <c r="GN86" s="331" t="s">
        <v>191</v>
      </c>
      <c r="GO86" s="331" t="s">
        <v>191</v>
      </c>
      <c r="GP86" s="331" t="s">
        <v>428</v>
      </c>
      <c r="GQ86" s="331" t="s">
        <v>190</v>
      </c>
      <c r="GR86" s="331" t="s">
        <v>428</v>
      </c>
      <c r="GS86" s="331" t="s">
        <v>428</v>
      </c>
      <c r="GT86" s="331" t="s">
        <v>428</v>
      </c>
      <c r="GU86" s="331" t="s">
        <v>428</v>
      </c>
      <c r="GV86" s="331" t="s">
        <v>428</v>
      </c>
      <c r="GW86" s="331" t="s">
        <v>190</v>
      </c>
      <c r="GX86" s="331" t="s">
        <v>190</v>
      </c>
      <c r="GY86" s="331" t="s">
        <v>190</v>
      </c>
      <c r="GZ86" s="331" t="s">
        <v>190</v>
      </c>
      <c r="HA86" s="331" t="s">
        <v>190</v>
      </c>
      <c r="HB86" s="331" t="s">
        <v>190</v>
      </c>
      <c r="HC86" s="331" t="s">
        <v>190</v>
      </c>
      <c r="HD86" s="331" t="s">
        <v>191</v>
      </c>
      <c r="HE86" s="331" t="s">
        <v>191</v>
      </c>
      <c r="HF86" s="331" t="s">
        <v>190</v>
      </c>
      <c r="HG86" s="331" t="s">
        <v>190</v>
      </c>
      <c r="HH86" s="331" t="s">
        <v>190</v>
      </c>
      <c r="HI86" s="331" t="s">
        <v>190</v>
      </c>
      <c r="HJ86" s="331" t="s">
        <v>190</v>
      </c>
      <c r="HK86" s="331" t="s">
        <v>190</v>
      </c>
      <c r="HL86" s="331" t="s">
        <v>190</v>
      </c>
      <c r="HM86" s="331" t="s">
        <v>191</v>
      </c>
      <c r="HN86" s="331" t="s">
        <v>191</v>
      </c>
      <c r="HO86" s="331" t="s">
        <v>191</v>
      </c>
      <c r="HP86" s="331" t="s">
        <v>191</v>
      </c>
      <c r="HQ86" s="331" t="s">
        <v>170</v>
      </c>
      <c r="HR86" s="331" t="s">
        <v>429</v>
      </c>
      <c r="HS86" s="331" t="s">
        <v>169</v>
      </c>
      <c r="HT86" s="331" t="s">
        <v>447</v>
      </c>
      <c r="HU86" s="331" t="s">
        <v>428</v>
      </c>
      <c r="HV86" s="331" t="s">
        <v>428</v>
      </c>
    </row>
    <row r="87" spans="1:230" s="70" customFormat="1" x14ac:dyDescent="0.25">
      <c r="A87" s="330" t="str">
        <f>HYPERLINK("http://www.ofsted.gov.uk/inspection-reports/find-inspection-report/provider/ELS/147470 ","Ofsted School Webpage")</f>
        <v>Ofsted School Webpage</v>
      </c>
      <c r="B87" s="331">
        <v>147470</v>
      </c>
      <c r="C87" s="331">
        <v>8016037</v>
      </c>
      <c r="D87" s="331" t="s">
        <v>2740</v>
      </c>
      <c r="E87" s="331" t="s">
        <v>167</v>
      </c>
      <c r="F87" s="331" t="s">
        <v>422</v>
      </c>
      <c r="G87" s="331" t="s">
        <v>422</v>
      </c>
      <c r="H87" s="331" t="s">
        <v>498</v>
      </c>
      <c r="I87" s="331" t="s">
        <v>2741</v>
      </c>
      <c r="J87" s="331" t="s">
        <v>434</v>
      </c>
      <c r="K87" s="331" t="s">
        <v>81</v>
      </c>
      <c r="L87" s="331" t="s">
        <v>81</v>
      </c>
      <c r="M87" s="331" t="s">
        <v>78</v>
      </c>
      <c r="N87" s="331" t="s">
        <v>424</v>
      </c>
      <c r="O87" s="331">
        <v>10124615</v>
      </c>
      <c r="P87" s="332">
        <v>43761</v>
      </c>
      <c r="Q87" s="332">
        <v>43761</v>
      </c>
      <c r="R87" s="332">
        <v>43782</v>
      </c>
      <c r="S87" s="331" t="s">
        <v>2583</v>
      </c>
      <c r="T87" s="331" t="s">
        <v>982</v>
      </c>
      <c r="U87" s="331" t="s">
        <v>427</v>
      </c>
      <c r="V87" s="331" t="s">
        <v>2584</v>
      </c>
      <c r="W87" s="331" t="s">
        <v>190</v>
      </c>
      <c r="X87" s="331" t="s">
        <v>190</v>
      </c>
      <c r="Y87" s="331" t="s">
        <v>190</v>
      </c>
      <c r="Z87" s="331" t="s">
        <v>190</v>
      </c>
      <c r="AA87" s="331" t="s">
        <v>190</v>
      </c>
      <c r="AB87" s="331" t="s">
        <v>190</v>
      </c>
      <c r="AC87" s="331" t="s">
        <v>190</v>
      </c>
      <c r="AD87" s="331" t="s">
        <v>190</v>
      </c>
      <c r="AE87" s="331" t="s">
        <v>428</v>
      </c>
      <c r="AF87" s="331" t="s">
        <v>190</v>
      </c>
      <c r="AG87" s="331" t="s">
        <v>190</v>
      </c>
      <c r="AH87" s="331" t="s">
        <v>190</v>
      </c>
      <c r="AI87" s="331" t="s">
        <v>190</v>
      </c>
      <c r="AJ87" s="331" t="s">
        <v>190</v>
      </c>
      <c r="AK87" s="331" t="s">
        <v>190</v>
      </c>
      <c r="AL87" s="331" t="s">
        <v>190</v>
      </c>
      <c r="AM87" s="331" t="s">
        <v>428</v>
      </c>
      <c r="AN87" s="331" t="s">
        <v>190</v>
      </c>
      <c r="AO87" s="331" t="s">
        <v>190</v>
      </c>
      <c r="AP87" s="331" t="s">
        <v>190</v>
      </c>
      <c r="AQ87" s="331" t="s">
        <v>190</v>
      </c>
      <c r="AR87" s="331" t="s">
        <v>190</v>
      </c>
      <c r="AS87" s="331" t="s">
        <v>190</v>
      </c>
      <c r="AT87" s="331" t="s">
        <v>190</v>
      </c>
      <c r="AU87" s="331" t="s">
        <v>190</v>
      </c>
      <c r="AV87" s="331" t="s">
        <v>190</v>
      </c>
      <c r="AW87" s="331" t="s">
        <v>190</v>
      </c>
      <c r="AX87" s="331" t="s">
        <v>190</v>
      </c>
      <c r="AY87" s="331" t="s">
        <v>190</v>
      </c>
      <c r="AZ87" s="331" t="s">
        <v>190</v>
      </c>
      <c r="BA87" s="331" t="s">
        <v>190</v>
      </c>
      <c r="BB87" s="331" t="s">
        <v>190</v>
      </c>
      <c r="BC87" s="331" t="s">
        <v>190</v>
      </c>
      <c r="BD87" s="331" t="s">
        <v>190</v>
      </c>
      <c r="BE87" s="331" t="s">
        <v>190</v>
      </c>
      <c r="BF87" s="331" t="s">
        <v>190</v>
      </c>
      <c r="BG87" s="331" t="s">
        <v>190</v>
      </c>
      <c r="BH87" s="331" t="s">
        <v>190</v>
      </c>
      <c r="BI87" s="331" t="s">
        <v>190</v>
      </c>
      <c r="BJ87" s="331" t="s">
        <v>190</v>
      </c>
      <c r="BK87" s="331" t="s">
        <v>190</v>
      </c>
      <c r="BL87" s="331" t="s">
        <v>190</v>
      </c>
      <c r="BM87" s="331" t="s">
        <v>190</v>
      </c>
      <c r="BN87" s="331" t="s">
        <v>190</v>
      </c>
      <c r="BO87" s="331" t="s">
        <v>190</v>
      </c>
      <c r="BP87" s="331" t="s">
        <v>190</v>
      </c>
      <c r="BQ87" s="331" t="s">
        <v>190</v>
      </c>
      <c r="BR87" s="331" t="s">
        <v>190</v>
      </c>
      <c r="BS87" s="331" t="s">
        <v>190</v>
      </c>
      <c r="BT87" s="331" t="s">
        <v>190</v>
      </c>
      <c r="BU87" s="331" t="s">
        <v>428</v>
      </c>
      <c r="BV87" s="331" t="s">
        <v>428</v>
      </c>
      <c r="BW87" s="331" t="s">
        <v>428</v>
      </c>
      <c r="BX87" s="331" t="s">
        <v>190</v>
      </c>
      <c r="BY87" s="331" t="s">
        <v>190</v>
      </c>
      <c r="BZ87" s="331" t="s">
        <v>190</v>
      </c>
      <c r="CA87" s="331" t="s">
        <v>190</v>
      </c>
      <c r="CB87" s="331" t="s">
        <v>190</v>
      </c>
      <c r="CC87" s="331" t="s">
        <v>190</v>
      </c>
      <c r="CD87" s="331" t="s">
        <v>190</v>
      </c>
      <c r="CE87" s="331" t="s">
        <v>190</v>
      </c>
      <c r="CF87" s="331" t="s">
        <v>190</v>
      </c>
      <c r="CG87" s="331" t="s">
        <v>190</v>
      </c>
      <c r="CH87" s="331" t="s">
        <v>190</v>
      </c>
      <c r="CI87" s="331" t="s">
        <v>190</v>
      </c>
      <c r="CJ87" s="331" t="s">
        <v>190</v>
      </c>
      <c r="CK87" s="331" t="s">
        <v>190</v>
      </c>
      <c r="CL87" s="331" t="s">
        <v>190</v>
      </c>
      <c r="CM87" s="331" t="s">
        <v>190</v>
      </c>
      <c r="CN87" s="331" t="s">
        <v>190</v>
      </c>
      <c r="CO87" s="331" t="s">
        <v>190</v>
      </c>
      <c r="CP87" s="331" t="s">
        <v>190</v>
      </c>
      <c r="CQ87" s="331" t="s">
        <v>190</v>
      </c>
      <c r="CR87" s="331" t="s">
        <v>190</v>
      </c>
      <c r="CS87" s="331" t="s">
        <v>190</v>
      </c>
      <c r="CT87" s="331" t="s">
        <v>190</v>
      </c>
      <c r="CU87" s="331" t="s">
        <v>428</v>
      </c>
      <c r="CV87" s="331" t="s">
        <v>190</v>
      </c>
      <c r="CW87" s="331" t="s">
        <v>190</v>
      </c>
      <c r="CX87" s="331" t="s">
        <v>190</v>
      </c>
      <c r="CY87" s="331" t="s">
        <v>190</v>
      </c>
      <c r="CZ87" s="331" t="s">
        <v>190</v>
      </c>
      <c r="DA87" s="331" t="s">
        <v>190</v>
      </c>
      <c r="DB87" s="331" t="s">
        <v>190</v>
      </c>
      <c r="DC87" s="331" t="s">
        <v>190</v>
      </c>
      <c r="DD87" s="331" t="s">
        <v>190</v>
      </c>
      <c r="DE87" s="331" t="s">
        <v>190</v>
      </c>
      <c r="DF87" s="331" t="s">
        <v>190</v>
      </c>
      <c r="DG87" s="331" t="s">
        <v>190</v>
      </c>
      <c r="DH87" s="331" t="s">
        <v>190</v>
      </c>
      <c r="DI87" s="331" t="s">
        <v>190</v>
      </c>
      <c r="DJ87" s="331" t="s">
        <v>190</v>
      </c>
      <c r="DK87" s="331" t="s">
        <v>190</v>
      </c>
      <c r="DL87" s="331" t="s">
        <v>190</v>
      </c>
      <c r="DM87" s="331" t="s">
        <v>190</v>
      </c>
      <c r="DN87" s="331" t="s">
        <v>190</v>
      </c>
      <c r="DO87" s="331" t="s">
        <v>190</v>
      </c>
      <c r="DP87" s="331" t="s">
        <v>190</v>
      </c>
      <c r="DQ87" s="331" t="s">
        <v>190</v>
      </c>
      <c r="DR87" s="331" t="s">
        <v>190</v>
      </c>
      <c r="DS87" s="331" t="s">
        <v>190</v>
      </c>
      <c r="DT87" s="331" t="s">
        <v>190</v>
      </c>
      <c r="DU87" s="331" t="s">
        <v>190</v>
      </c>
      <c r="DV87" s="331" t="s">
        <v>190</v>
      </c>
      <c r="DW87" s="331" t="s">
        <v>190</v>
      </c>
      <c r="DX87" s="331" t="s">
        <v>190</v>
      </c>
      <c r="DY87" s="331" t="s">
        <v>190</v>
      </c>
      <c r="DZ87" s="331" t="s">
        <v>190</v>
      </c>
      <c r="EA87" s="331" t="s">
        <v>190</v>
      </c>
      <c r="EB87" s="331" t="s">
        <v>190</v>
      </c>
      <c r="EC87" s="331" t="s">
        <v>190</v>
      </c>
      <c r="ED87" s="331" t="s">
        <v>190</v>
      </c>
      <c r="EE87" s="331" t="s">
        <v>190</v>
      </c>
      <c r="EF87" s="331" t="s">
        <v>190</v>
      </c>
      <c r="EG87" s="331" t="s">
        <v>190</v>
      </c>
      <c r="EH87" s="331" t="s">
        <v>190</v>
      </c>
      <c r="EI87" s="331" t="s">
        <v>190</v>
      </c>
      <c r="EJ87" s="331" t="s">
        <v>190</v>
      </c>
      <c r="EK87" s="331" t="s">
        <v>190</v>
      </c>
      <c r="EL87" s="331" t="s">
        <v>190</v>
      </c>
      <c r="EM87" s="331" t="s">
        <v>190</v>
      </c>
      <c r="EN87" s="331" t="s">
        <v>190</v>
      </c>
      <c r="EO87" s="331" t="s">
        <v>190</v>
      </c>
      <c r="EP87" s="331" t="s">
        <v>190</v>
      </c>
      <c r="EQ87" s="331" t="s">
        <v>190</v>
      </c>
      <c r="ER87" s="331" t="s">
        <v>190</v>
      </c>
      <c r="ES87" s="331" t="s">
        <v>190</v>
      </c>
      <c r="ET87" s="331" t="s">
        <v>190</v>
      </c>
      <c r="EU87" s="331" t="s">
        <v>190</v>
      </c>
      <c r="EV87" s="331" t="s">
        <v>190</v>
      </c>
      <c r="EW87" s="331" t="s">
        <v>190</v>
      </c>
      <c r="EX87" s="331" t="s">
        <v>190</v>
      </c>
      <c r="EY87" s="331" t="s">
        <v>190</v>
      </c>
      <c r="EZ87" s="331" t="s">
        <v>190</v>
      </c>
      <c r="FA87" s="331" t="s">
        <v>190</v>
      </c>
      <c r="FB87" s="331" t="s">
        <v>190</v>
      </c>
      <c r="FC87" s="331" t="s">
        <v>190</v>
      </c>
      <c r="FD87" s="331" t="s">
        <v>190</v>
      </c>
      <c r="FE87" s="331" t="s">
        <v>190</v>
      </c>
      <c r="FF87" s="331" t="s">
        <v>190</v>
      </c>
      <c r="FG87" s="331" t="s">
        <v>190</v>
      </c>
      <c r="FH87" s="331" t="s">
        <v>190</v>
      </c>
      <c r="FI87" s="331" t="s">
        <v>190</v>
      </c>
      <c r="FJ87" s="331" t="s">
        <v>190</v>
      </c>
      <c r="FK87" s="331" t="s">
        <v>190</v>
      </c>
      <c r="FL87" s="331" t="s">
        <v>190</v>
      </c>
      <c r="FM87" s="331" t="s">
        <v>190</v>
      </c>
      <c r="FN87" s="331" t="s">
        <v>190</v>
      </c>
      <c r="FO87" s="331" t="s">
        <v>190</v>
      </c>
      <c r="FP87" s="331" t="s">
        <v>190</v>
      </c>
      <c r="FQ87" s="331" t="s">
        <v>190</v>
      </c>
      <c r="FR87" s="331" t="s">
        <v>428</v>
      </c>
      <c r="FS87" s="331" t="s">
        <v>190</v>
      </c>
      <c r="FT87" s="331" t="s">
        <v>190</v>
      </c>
      <c r="FU87" s="331" t="s">
        <v>190</v>
      </c>
      <c r="FV87" s="331" t="s">
        <v>190</v>
      </c>
      <c r="FW87" s="331" t="s">
        <v>190</v>
      </c>
      <c r="FX87" s="331" t="s">
        <v>190</v>
      </c>
      <c r="FY87" s="331" t="s">
        <v>190</v>
      </c>
      <c r="FZ87" s="331" t="s">
        <v>190</v>
      </c>
      <c r="GA87" s="331" t="s">
        <v>190</v>
      </c>
      <c r="GB87" s="331" t="s">
        <v>190</v>
      </c>
      <c r="GC87" s="331" t="s">
        <v>190</v>
      </c>
      <c r="GD87" s="331" t="s">
        <v>190</v>
      </c>
      <c r="GE87" s="331" t="s">
        <v>190</v>
      </c>
      <c r="GF87" s="331" t="s">
        <v>190</v>
      </c>
      <c r="GG87" s="331" t="s">
        <v>190</v>
      </c>
      <c r="GH87" s="331" t="s">
        <v>190</v>
      </c>
      <c r="GI87" s="331" t="s">
        <v>190</v>
      </c>
      <c r="GJ87" s="331" t="s">
        <v>190</v>
      </c>
      <c r="GK87" s="331" t="s">
        <v>190</v>
      </c>
      <c r="GL87" s="331" t="s">
        <v>190</v>
      </c>
      <c r="GM87" s="331" t="s">
        <v>190</v>
      </c>
      <c r="GN87" s="331" t="s">
        <v>190</v>
      </c>
      <c r="GO87" s="331" t="s">
        <v>190</v>
      </c>
      <c r="GP87" s="331" t="s">
        <v>190</v>
      </c>
      <c r="GQ87" s="331" t="s">
        <v>190</v>
      </c>
      <c r="GR87" s="331" t="s">
        <v>190</v>
      </c>
      <c r="GS87" s="331" t="s">
        <v>190</v>
      </c>
      <c r="GT87" s="331" t="s">
        <v>428</v>
      </c>
      <c r="GU87" s="331" t="s">
        <v>428</v>
      </c>
      <c r="GV87" s="331" t="s">
        <v>428</v>
      </c>
      <c r="GW87" s="331" t="s">
        <v>190</v>
      </c>
      <c r="GX87" s="331" t="s">
        <v>190</v>
      </c>
      <c r="GY87" s="331" t="s">
        <v>190</v>
      </c>
      <c r="GZ87" s="331" t="s">
        <v>190</v>
      </c>
      <c r="HA87" s="331" t="s">
        <v>190</v>
      </c>
      <c r="HB87" s="331" t="s">
        <v>190</v>
      </c>
      <c r="HC87" s="331" t="s">
        <v>190</v>
      </c>
      <c r="HD87" s="331" t="s">
        <v>190</v>
      </c>
      <c r="HE87" s="331" t="s">
        <v>190</v>
      </c>
      <c r="HF87" s="331" t="s">
        <v>190</v>
      </c>
      <c r="HG87" s="331" t="s">
        <v>190</v>
      </c>
      <c r="HH87" s="331" t="s">
        <v>190</v>
      </c>
      <c r="HI87" s="331" t="s">
        <v>190</v>
      </c>
      <c r="HJ87" s="331" t="s">
        <v>190</v>
      </c>
      <c r="HK87" s="331" t="s">
        <v>190</v>
      </c>
      <c r="HL87" s="331" t="s">
        <v>190</v>
      </c>
      <c r="HM87" s="331" t="s">
        <v>190</v>
      </c>
      <c r="HN87" s="331" t="s">
        <v>190</v>
      </c>
      <c r="HO87" s="331" t="s">
        <v>190</v>
      </c>
      <c r="HP87" s="331" t="s">
        <v>190</v>
      </c>
      <c r="HQ87" s="331" t="s">
        <v>170</v>
      </c>
      <c r="HR87" s="331" t="s">
        <v>429</v>
      </c>
      <c r="HS87" s="331" t="s">
        <v>169</v>
      </c>
      <c r="HT87" s="331" t="s">
        <v>427</v>
      </c>
      <c r="HU87" s="331" t="s">
        <v>428</v>
      </c>
      <c r="HV87" s="331" t="s">
        <v>428</v>
      </c>
    </row>
    <row r="88" spans="1:230" s="70" customFormat="1" x14ac:dyDescent="0.25">
      <c r="A88" s="330" t="str">
        <f>HYPERLINK("http://www.ofsted.gov.uk/inspection-reports/find-inspection-report/provider/ELS/142416 ","Ofsted School Webpage")</f>
        <v>Ofsted School Webpage</v>
      </c>
      <c r="B88" s="331">
        <v>142416</v>
      </c>
      <c r="C88" s="331">
        <v>9366006</v>
      </c>
      <c r="D88" s="331" t="s">
        <v>998</v>
      </c>
      <c r="E88" s="331" t="s">
        <v>168</v>
      </c>
      <c r="F88" s="331" t="s">
        <v>514</v>
      </c>
      <c r="G88" s="331" t="s">
        <v>514</v>
      </c>
      <c r="H88" s="331" t="s">
        <v>699</v>
      </c>
      <c r="I88" s="331" t="s">
        <v>999</v>
      </c>
      <c r="J88" s="331" t="s">
        <v>81</v>
      </c>
      <c r="K88" s="331" t="s">
        <v>81</v>
      </c>
      <c r="L88" s="331" t="s">
        <v>81</v>
      </c>
      <c r="M88" s="331" t="s">
        <v>78</v>
      </c>
      <c r="N88" s="331" t="s">
        <v>424</v>
      </c>
      <c r="O88" s="331">
        <v>10124947</v>
      </c>
      <c r="P88" s="332">
        <v>43761</v>
      </c>
      <c r="Q88" s="332">
        <v>43761</v>
      </c>
      <c r="R88" s="332">
        <v>43787</v>
      </c>
      <c r="S88" s="331" t="s">
        <v>997</v>
      </c>
      <c r="T88" s="331" t="s">
        <v>982</v>
      </c>
      <c r="U88" s="331" t="s">
        <v>427</v>
      </c>
      <c r="V88" s="331" t="s">
        <v>2708</v>
      </c>
      <c r="W88" s="331" t="s">
        <v>984</v>
      </c>
      <c r="X88" s="331" t="s">
        <v>984</v>
      </c>
      <c r="Y88" s="331" t="s">
        <v>984</v>
      </c>
      <c r="Z88" s="331" t="s">
        <v>984</v>
      </c>
      <c r="AA88" s="331" t="s">
        <v>984</v>
      </c>
      <c r="AB88" s="331" t="s">
        <v>984</v>
      </c>
      <c r="AC88" s="331" t="s">
        <v>984</v>
      </c>
      <c r="AD88" s="331" t="s">
        <v>984</v>
      </c>
      <c r="AE88" s="331" t="s">
        <v>428</v>
      </c>
      <c r="AF88" s="331" t="s">
        <v>984</v>
      </c>
      <c r="AG88" s="331" t="s">
        <v>984</v>
      </c>
      <c r="AH88" s="331" t="s">
        <v>984</v>
      </c>
      <c r="AI88" s="331" t="s">
        <v>984</v>
      </c>
      <c r="AJ88" s="331" t="s">
        <v>984</v>
      </c>
      <c r="AK88" s="331" t="s">
        <v>984</v>
      </c>
      <c r="AL88" s="331" t="s">
        <v>984</v>
      </c>
      <c r="AM88" s="331" t="s">
        <v>428</v>
      </c>
      <c r="AN88" s="331" t="s">
        <v>984</v>
      </c>
      <c r="AO88" s="331" t="s">
        <v>984</v>
      </c>
      <c r="AP88" s="331" t="s">
        <v>984</v>
      </c>
      <c r="AQ88" s="331" t="s">
        <v>984</v>
      </c>
      <c r="AR88" s="331" t="s">
        <v>984</v>
      </c>
      <c r="AS88" s="331" t="s">
        <v>984</v>
      </c>
      <c r="AT88" s="331" t="s">
        <v>984</v>
      </c>
      <c r="AU88" s="331" t="s">
        <v>984</v>
      </c>
      <c r="AV88" s="331" t="s">
        <v>984</v>
      </c>
      <c r="AW88" s="331" t="s">
        <v>984</v>
      </c>
      <c r="AX88" s="331" t="s">
        <v>984</v>
      </c>
      <c r="AY88" s="331" t="s">
        <v>984</v>
      </c>
      <c r="AZ88" s="331" t="s">
        <v>984</v>
      </c>
      <c r="BA88" s="331" t="s">
        <v>984</v>
      </c>
      <c r="BB88" s="331" t="s">
        <v>984</v>
      </c>
      <c r="BC88" s="331" t="s">
        <v>984</v>
      </c>
      <c r="BD88" s="331" t="s">
        <v>984</v>
      </c>
      <c r="BE88" s="331" t="s">
        <v>984</v>
      </c>
      <c r="BF88" s="331" t="s">
        <v>984</v>
      </c>
      <c r="BG88" s="331" t="s">
        <v>984</v>
      </c>
      <c r="BH88" s="331" t="s">
        <v>984</v>
      </c>
      <c r="BI88" s="331" t="s">
        <v>984</v>
      </c>
      <c r="BJ88" s="331" t="s">
        <v>984</v>
      </c>
      <c r="BK88" s="331" t="s">
        <v>984</v>
      </c>
      <c r="BL88" s="331" t="s">
        <v>984</v>
      </c>
      <c r="BM88" s="331" t="s">
        <v>984</v>
      </c>
      <c r="BN88" s="331" t="s">
        <v>984</v>
      </c>
      <c r="BO88" s="331" t="s">
        <v>984</v>
      </c>
      <c r="BP88" s="331" t="s">
        <v>984</v>
      </c>
      <c r="BQ88" s="331" t="s">
        <v>984</v>
      </c>
      <c r="BR88" s="331" t="s">
        <v>191</v>
      </c>
      <c r="BS88" s="331" t="s">
        <v>191</v>
      </c>
      <c r="BT88" s="331" t="s">
        <v>191</v>
      </c>
      <c r="BU88" s="331" t="s">
        <v>428</v>
      </c>
      <c r="BV88" s="331" t="s">
        <v>428</v>
      </c>
      <c r="BW88" s="331" t="s">
        <v>428</v>
      </c>
      <c r="BX88" s="331" t="s">
        <v>984</v>
      </c>
      <c r="BY88" s="331" t="s">
        <v>984</v>
      </c>
      <c r="BZ88" s="331" t="s">
        <v>984</v>
      </c>
      <c r="CA88" s="331" t="s">
        <v>984</v>
      </c>
      <c r="CB88" s="331" t="s">
        <v>984</v>
      </c>
      <c r="CC88" s="331" t="s">
        <v>984</v>
      </c>
      <c r="CD88" s="331" t="s">
        <v>984</v>
      </c>
      <c r="CE88" s="331" t="s">
        <v>984</v>
      </c>
      <c r="CF88" s="331" t="s">
        <v>190</v>
      </c>
      <c r="CG88" s="331" t="s">
        <v>190</v>
      </c>
      <c r="CH88" s="331" t="s">
        <v>191</v>
      </c>
      <c r="CI88" s="331" t="s">
        <v>191</v>
      </c>
      <c r="CJ88" s="331" t="s">
        <v>191</v>
      </c>
      <c r="CK88" s="331" t="s">
        <v>190</v>
      </c>
      <c r="CL88" s="331" t="s">
        <v>190</v>
      </c>
      <c r="CM88" s="331" t="s">
        <v>190</v>
      </c>
      <c r="CN88" s="331" t="s">
        <v>190</v>
      </c>
      <c r="CO88" s="331" t="s">
        <v>190</v>
      </c>
      <c r="CP88" s="331" t="s">
        <v>191</v>
      </c>
      <c r="CQ88" s="331" t="s">
        <v>190</v>
      </c>
      <c r="CR88" s="331" t="s">
        <v>190</v>
      </c>
      <c r="CS88" s="331" t="s">
        <v>190</v>
      </c>
      <c r="CT88" s="331" t="s">
        <v>190</v>
      </c>
      <c r="CU88" s="331" t="s">
        <v>428</v>
      </c>
      <c r="CV88" s="331" t="s">
        <v>190</v>
      </c>
      <c r="CW88" s="331" t="s">
        <v>428</v>
      </c>
      <c r="CX88" s="331" t="s">
        <v>428</v>
      </c>
      <c r="CY88" s="331" t="s">
        <v>428</v>
      </c>
      <c r="CZ88" s="331" t="s">
        <v>428</v>
      </c>
      <c r="DA88" s="331" t="s">
        <v>428</v>
      </c>
      <c r="DB88" s="331" t="s">
        <v>428</v>
      </c>
      <c r="DC88" s="331" t="s">
        <v>428</v>
      </c>
      <c r="DD88" s="331" t="s">
        <v>428</v>
      </c>
      <c r="DE88" s="331" t="s">
        <v>428</v>
      </c>
      <c r="DF88" s="331" t="s">
        <v>428</v>
      </c>
      <c r="DG88" s="331" t="s">
        <v>428</v>
      </c>
      <c r="DH88" s="331" t="s">
        <v>428</v>
      </c>
      <c r="DI88" s="331" t="s">
        <v>428</v>
      </c>
      <c r="DJ88" s="331" t="s">
        <v>428</v>
      </c>
      <c r="DK88" s="331" t="s">
        <v>428</v>
      </c>
      <c r="DL88" s="331" t="s">
        <v>190</v>
      </c>
      <c r="DM88" s="331" t="s">
        <v>190</v>
      </c>
      <c r="DN88" s="331" t="s">
        <v>190</v>
      </c>
      <c r="DO88" s="331" t="s">
        <v>190</v>
      </c>
      <c r="DP88" s="331" t="s">
        <v>190</v>
      </c>
      <c r="DQ88" s="331" t="s">
        <v>190</v>
      </c>
      <c r="DR88" s="331" t="s">
        <v>190</v>
      </c>
      <c r="DS88" s="331" t="s">
        <v>190</v>
      </c>
      <c r="DT88" s="331" t="s">
        <v>190</v>
      </c>
      <c r="DU88" s="331" t="s">
        <v>190</v>
      </c>
      <c r="DV88" s="331" t="s">
        <v>190</v>
      </c>
      <c r="DW88" s="331" t="s">
        <v>190</v>
      </c>
      <c r="DX88" s="331" t="s">
        <v>190</v>
      </c>
      <c r="DY88" s="331" t="s">
        <v>190</v>
      </c>
      <c r="DZ88" s="331" t="s">
        <v>190</v>
      </c>
      <c r="EA88" s="331" t="s">
        <v>190</v>
      </c>
      <c r="EB88" s="331" t="s">
        <v>190</v>
      </c>
      <c r="EC88" s="331" t="s">
        <v>190</v>
      </c>
      <c r="ED88" s="331" t="s">
        <v>190</v>
      </c>
      <c r="EE88" s="331" t="s">
        <v>190</v>
      </c>
      <c r="EF88" s="331" t="s">
        <v>190</v>
      </c>
      <c r="EG88" s="331" t="s">
        <v>190</v>
      </c>
      <c r="EH88" s="331" t="s">
        <v>428</v>
      </c>
      <c r="EI88" s="331" t="s">
        <v>428</v>
      </c>
      <c r="EJ88" s="331" t="s">
        <v>428</v>
      </c>
      <c r="EK88" s="331" t="s">
        <v>428</v>
      </c>
      <c r="EL88" s="331" t="s">
        <v>428</v>
      </c>
      <c r="EM88" s="331" t="s">
        <v>428</v>
      </c>
      <c r="EN88" s="331" t="s">
        <v>428</v>
      </c>
      <c r="EO88" s="331" t="s">
        <v>190</v>
      </c>
      <c r="EP88" s="331" t="s">
        <v>428</v>
      </c>
      <c r="EQ88" s="331" t="s">
        <v>190</v>
      </c>
      <c r="ER88" s="331" t="s">
        <v>190</v>
      </c>
      <c r="ES88" s="331" t="s">
        <v>984</v>
      </c>
      <c r="ET88" s="331" t="s">
        <v>984</v>
      </c>
      <c r="EU88" s="331" t="s">
        <v>984</v>
      </c>
      <c r="EV88" s="331" t="s">
        <v>984</v>
      </c>
      <c r="EW88" s="331" t="s">
        <v>984</v>
      </c>
      <c r="EX88" s="331" t="s">
        <v>984</v>
      </c>
      <c r="EY88" s="331" t="s">
        <v>984</v>
      </c>
      <c r="EZ88" s="331" t="s">
        <v>984</v>
      </c>
      <c r="FA88" s="331" t="s">
        <v>984</v>
      </c>
      <c r="FB88" s="331" t="s">
        <v>984</v>
      </c>
      <c r="FC88" s="331" t="s">
        <v>984</v>
      </c>
      <c r="FD88" s="331" t="s">
        <v>984</v>
      </c>
      <c r="FE88" s="331" t="s">
        <v>984</v>
      </c>
      <c r="FF88" s="331" t="s">
        <v>984</v>
      </c>
      <c r="FG88" s="331" t="s">
        <v>984</v>
      </c>
      <c r="FH88" s="331" t="s">
        <v>984</v>
      </c>
      <c r="FI88" s="331" t="s">
        <v>984</v>
      </c>
      <c r="FJ88" s="331" t="s">
        <v>984</v>
      </c>
      <c r="FK88" s="331" t="s">
        <v>984</v>
      </c>
      <c r="FL88" s="331" t="s">
        <v>984</v>
      </c>
      <c r="FM88" s="331" t="s">
        <v>984</v>
      </c>
      <c r="FN88" s="331" t="s">
        <v>984</v>
      </c>
      <c r="FO88" s="331" t="s">
        <v>984</v>
      </c>
      <c r="FP88" s="331" t="s">
        <v>984</v>
      </c>
      <c r="FQ88" s="331" t="s">
        <v>984</v>
      </c>
      <c r="FR88" s="331" t="s">
        <v>428</v>
      </c>
      <c r="FS88" s="331" t="s">
        <v>984</v>
      </c>
      <c r="FT88" s="331" t="s">
        <v>984</v>
      </c>
      <c r="FU88" s="331" t="s">
        <v>984</v>
      </c>
      <c r="FV88" s="331" t="s">
        <v>984</v>
      </c>
      <c r="FW88" s="331" t="s">
        <v>984</v>
      </c>
      <c r="FX88" s="331" t="s">
        <v>984</v>
      </c>
      <c r="FY88" s="331" t="s">
        <v>984</v>
      </c>
      <c r="FZ88" s="331" t="s">
        <v>984</v>
      </c>
      <c r="GA88" s="331" t="s">
        <v>984</v>
      </c>
      <c r="GB88" s="331" t="s">
        <v>984</v>
      </c>
      <c r="GC88" s="331" t="s">
        <v>984</v>
      </c>
      <c r="GD88" s="331" t="s">
        <v>984</v>
      </c>
      <c r="GE88" s="331" t="s">
        <v>984</v>
      </c>
      <c r="GF88" s="331" t="s">
        <v>984</v>
      </c>
      <c r="GG88" s="331" t="s">
        <v>984</v>
      </c>
      <c r="GH88" s="331" t="s">
        <v>428</v>
      </c>
      <c r="GI88" s="331" t="s">
        <v>428</v>
      </c>
      <c r="GJ88" s="331" t="s">
        <v>984</v>
      </c>
      <c r="GK88" s="331" t="s">
        <v>984</v>
      </c>
      <c r="GL88" s="331" t="s">
        <v>984</v>
      </c>
      <c r="GM88" s="331" t="s">
        <v>984</v>
      </c>
      <c r="GN88" s="331" t="s">
        <v>984</v>
      </c>
      <c r="GO88" s="331" t="s">
        <v>984</v>
      </c>
      <c r="GP88" s="331" t="s">
        <v>984</v>
      </c>
      <c r="GQ88" s="331" t="s">
        <v>984</v>
      </c>
      <c r="GR88" s="331" t="s">
        <v>984</v>
      </c>
      <c r="GS88" s="331" t="s">
        <v>984</v>
      </c>
      <c r="GT88" s="331" t="s">
        <v>984</v>
      </c>
      <c r="GU88" s="331" t="s">
        <v>984</v>
      </c>
      <c r="GV88" s="331" t="s">
        <v>984</v>
      </c>
      <c r="GW88" s="331" t="s">
        <v>191</v>
      </c>
      <c r="GX88" s="331" t="s">
        <v>190</v>
      </c>
      <c r="GY88" s="331" t="s">
        <v>190</v>
      </c>
      <c r="GZ88" s="331" t="s">
        <v>190</v>
      </c>
      <c r="HA88" s="331" t="s">
        <v>190</v>
      </c>
      <c r="HB88" s="331" t="s">
        <v>190</v>
      </c>
      <c r="HC88" s="331" t="s">
        <v>190</v>
      </c>
      <c r="HD88" s="331" t="s">
        <v>191</v>
      </c>
      <c r="HE88" s="331" t="s">
        <v>190</v>
      </c>
      <c r="HF88" s="331" t="s">
        <v>190</v>
      </c>
      <c r="HG88" s="331" t="s">
        <v>190</v>
      </c>
      <c r="HH88" s="331" t="s">
        <v>190</v>
      </c>
      <c r="HI88" s="331" t="s">
        <v>190</v>
      </c>
      <c r="HJ88" s="331" t="s">
        <v>190</v>
      </c>
      <c r="HK88" s="331" t="s">
        <v>190</v>
      </c>
      <c r="HL88" s="331" t="s">
        <v>190</v>
      </c>
      <c r="HM88" s="331" t="s">
        <v>191</v>
      </c>
      <c r="HN88" s="331" t="s">
        <v>191</v>
      </c>
      <c r="HO88" s="331" t="s">
        <v>191</v>
      </c>
      <c r="HP88" s="331" t="s">
        <v>191</v>
      </c>
      <c r="HQ88" s="331" t="s">
        <v>170</v>
      </c>
      <c r="HR88" s="331" t="s">
        <v>429</v>
      </c>
      <c r="HS88" s="331" t="s">
        <v>169</v>
      </c>
      <c r="HT88" s="331" t="s">
        <v>427</v>
      </c>
      <c r="HU88" s="331" t="s">
        <v>428</v>
      </c>
      <c r="HV88" s="331" t="s">
        <v>428</v>
      </c>
    </row>
    <row r="89" spans="1:230" s="70" customFormat="1" x14ac:dyDescent="0.25">
      <c r="A89" s="330" t="str">
        <f>HYPERLINK("http://www.ofsted.gov.uk/inspection-reports/find-inspection-report/provider/ELS/147349 ","Ofsted School Webpage")</f>
        <v>Ofsted School Webpage</v>
      </c>
      <c r="B89" s="331">
        <v>147349</v>
      </c>
      <c r="C89" s="331">
        <v>3516017</v>
      </c>
      <c r="D89" s="331" t="s">
        <v>2742</v>
      </c>
      <c r="E89" s="331" t="s">
        <v>168</v>
      </c>
      <c r="F89" s="331" t="s">
        <v>431</v>
      </c>
      <c r="G89" s="331" t="s">
        <v>431</v>
      </c>
      <c r="H89" s="331" t="s">
        <v>936</v>
      </c>
      <c r="I89" s="331" t="s">
        <v>2743</v>
      </c>
      <c r="J89" s="331" t="s">
        <v>434</v>
      </c>
      <c r="K89" s="331" t="s">
        <v>81</v>
      </c>
      <c r="L89" s="331" t="s">
        <v>81</v>
      </c>
      <c r="M89" s="331" t="s">
        <v>78</v>
      </c>
      <c r="N89" s="331" t="s">
        <v>424</v>
      </c>
      <c r="O89" s="331">
        <v>10123730</v>
      </c>
      <c r="P89" s="332">
        <v>43767</v>
      </c>
      <c r="Q89" s="332">
        <v>43767</v>
      </c>
      <c r="R89" s="332">
        <v>43795</v>
      </c>
      <c r="S89" s="331" t="s">
        <v>2583</v>
      </c>
      <c r="T89" s="331" t="s">
        <v>982</v>
      </c>
      <c r="U89" s="331" t="s">
        <v>427</v>
      </c>
      <c r="V89" s="331" t="s">
        <v>2585</v>
      </c>
      <c r="W89" s="331" t="s">
        <v>190</v>
      </c>
      <c r="X89" s="331" t="s">
        <v>190</v>
      </c>
      <c r="Y89" s="331" t="s">
        <v>190</v>
      </c>
      <c r="Z89" s="331" t="s">
        <v>190</v>
      </c>
      <c r="AA89" s="331" t="s">
        <v>190</v>
      </c>
      <c r="AB89" s="331" t="s">
        <v>190</v>
      </c>
      <c r="AC89" s="331" t="s">
        <v>190</v>
      </c>
      <c r="AD89" s="331" t="s">
        <v>190</v>
      </c>
      <c r="AE89" s="331" t="s">
        <v>428</v>
      </c>
      <c r="AF89" s="331" t="s">
        <v>190</v>
      </c>
      <c r="AG89" s="331" t="s">
        <v>190</v>
      </c>
      <c r="AH89" s="331" t="s">
        <v>190</v>
      </c>
      <c r="AI89" s="331" t="s">
        <v>190</v>
      </c>
      <c r="AJ89" s="331" t="s">
        <v>190</v>
      </c>
      <c r="AK89" s="331" t="s">
        <v>190</v>
      </c>
      <c r="AL89" s="331" t="s">
        <v>190</v>
      </c>
      <c r="AM89" s="331" t="s">
        <v>428</v>
      </c>
      <c r="AN89" s="331" t="s">
        <v>190</v>
      </c>
      <c r="AO89" s="331" t="s">
        <v>190</v>
      </c>
      <c r="AP89" s="331" t="s">
        <v>190</v>
      </c>
      <c r="AQ89" s="331" t="s">
        <v>191</v>
      </c>
      <c r="AR89" s="331" t="s">
        <v>190</v>
      </c>
      <c r="AS89" s="331" t="s">
        <v>190</v>
      </c>
      <c r="AT89" s="331" t="s">
        <v>190</v>
      </c>
      <c r="AU89" s="331" t="s">
        <v>190</v>
      </c>
      <c r="AV89" s="331" t="s">
        <v>190</v>
      </c>
      <c r="AW89" s="331" t="s">
        <v>191</v>
      </c>
      <c r="AX89" s="331" t="s">
        <v>190</v>
      </c>
      <c r="AY89" s="331" t="s">
        <v>190</v>
      </c>
      <c r="AZ89" s="331" t="s">
        <v>190</v>
      </c>
      <c r="BA89" s="331" t="s">
        <v>190</v>
      </c>
      <c r="BB89" s="331" t="s">
        <v>190</v>
      </c>
      <c r="BC89" s="331" t="s">
        <v>190</v>
      </c>
      <c r="BD89" s="331" t="s">
        <v>190</v>
      </c>
      <c r="BE89" s="331" t="s">
        <v>190</v>
      </c>
      <c r="BF89" s="331" t="s">
        <v>190</v>
      </c>
      <c r="BG89" s="331" t="s">
        <v>190</v>
      </c>
      <c r="BH89" s="331" t="s">
        <v>190</v>
      </c>
      <c r="BI89" s="331" t="s">
        <v>190</v>
      </c>
      <c r="BJ89" s="331" t="s">
        <v>190</v>
      </c>
      <c r="BK89" s="331" t="s">
        <v>190</v>
      </c>
      <c r="BL89" s="331" t="s">
        <v>190</v>
      </c>
      <c r="BM89" s="331" t="s">
        <v>190</v>
      </c>
      <c r="BN89" s="331" t="s">
        <v>190</v>
      </c>
      <c r="BO89" s="331" t="s">
        <v>190</v>
      </c>
      <c r="BP89" s="331" t="s">
        <v>190</v>
      </c>
      <c r="BQ89" s="331" t="s">
        <v>190</v>
      </c>
      <c r="BR89" s="331" t="s">
        <v>190</v>
      </c>
      <c r="BS89" s="331" t="s">
        <v>190</v>
      </c>
      <c r="BT89" s="331" t="s">
        <v>190</v>
      </c>
      <c r="BU89" s="331" t="s">
        <v>428</v>
      </c>
      <c r="BV89" s="331" t="s">
        <v>428</v>
      </c>
      <c r="BW89" s="331" t="s">
        <v>428</v>
      </c>
      <c r="BX89" s="331" t="s">
        <v>190</v>
      </c>
      <c r="BY89" s="331" t="s">
        <v>190</v>
      </c>
      <c r="BZ89" s="331" t="s">
        <v>190</v>
      </c>
      <c r="CA89" s="331" t="s">
        <v>190</v>
      </c>
      <c r="CB89" s="331" t="s">
        <v>190</v>
      </c>
      <c r="CC89" s="331" t="s">
        <v>190</v>
      </c>
      <c r="CD89" s="331" t="s">
        <v>190</v>
      </c>
      <c r="CE89" s="331" t="s">
        <v>190</v>
      </c>
      <c r="CF89" s="331" t="s">
        <v>190</v>
      </c>
      <c r="CG89" s="331" t="s">
        <v>190</v>
      </c>
      <c r="CH89" s="331" t="s">
        <v>190</v>
      </c>
      <c r="CI89" s="331" t="s">
        <v>190</v>
      </c>
      <c r="CJ89" s="331" t="s">
        <v>190</v>
      </c>
      <c r="CK89" s="331" t="s">
        <v>190</v>
      </c>
      <c r="CL89" s="331" t="s">
        <v>190</v>
      </c>
      <c r="CM89" s="331" t="s">
        <v>190</v>
      </c>
      <c r="CN89" s="331" t="s">
        <v>190</v>
      </c>
      <c r="CO89" s="331" t="s">
        <v>190</v>
      </c>
      <c r="CP89" s="331" t="s">
        <v>190</v>
      </c>
      <c r="CQ89" s="331" t="s">
        <v>190</v>
      </c>
      <c r="CR89" s="331" t="s">
        <v>190</v>
      </c>
      <c r="CS89" s="331" t="s">
        <v>190</v>
      </c>
      <c r="CT89" s="331" t="s">
        <v>190</v>
      </c>
      <c r="CU89" s="331" t="s">
        <v>428</v>
      </c>
      <c r="CV89" s="331" t="s">
        <v>190</v>
      </c>
      <c r="CW89" s="331" t="s">
        <v>190</v>
      </c>
      <c r="CX89" s="331" t="s">
        <v>190</v>
      </c>
      <c r="CY89" s="331" t="s">
        <v>190</v>
      </c>
      <c r="CZ89" s="331" t="s">
        <v>190</v>
      </c>
      <c r="DA89" s="331" t="s">
        <v>190</v>
      </c>
      <c r="DB89" s="331" t="s">
        <v>190</v>
      </c>
      <c r="DC89" s="331" t="s">
        <v>190</v>
      </c>
      <c r="DD89" s="331" t="s">
        <v>190</v>
      </c>
      <c r="DE89" s="331" t="s">
        <v>190</v>
      </c>
      <c r="DF89" s="331" t="s">
        <v>190</v>
      </c>
      <c r="DG89" s="331" t="s">
        <v>190</v>
      </c>
      <c r="DH89" s="331" t="s">
        <v>190</v>
      </c>
      <c r="DI89" s="331" t="s">
        <v>190</v>
      </c>
      <c r="DJ89" s="331" t="s">
        <v>428</v>
      </c>
      <c r="DK89" s="331" t="s">
        <v>190</v>
      </c>
      <c r="DL89" s="331" t="s">
        <v>190</v>
      </c>
      <c r="DM89" s="331" t="s">
        <v>190</v>
      </c>
      <c r="DN89" s="331" t="s">
        <v>190</v>
      </c>
      <c r="DO89" s="331" t="s">
        <v>190</v>
      </c>
      <c r="DP89" s="331" t="s">
        <v>190</v>
      </c>
      <c r="DQ89" s="331" t="s">
        <v>190</v>
      </c>
      <c r="DR89" s="331" t="s">
        <v>190</v>
      </c>
      <c r="DS89" s="331" t="s">
        <v>190</v>
      </c>
      <c r="DT89" s="331" t="s">
        <v>190</v>
      </c>
      <c r="DU89" s="331" t="s">
        <v>190</v>
      </c>
      <c r="DV89" s="331" t="s">
        <v>190</v>
      </c>
      <c r="DW89" s="331" t="s">
        <v>190</v>
      </c>
      <c r="DX89" s="331" t="s">
        <v>190</v>
      </c>
      <c r="DY89" s="331" t="s">
        <v>190</v>
      </c>
      <c r="DZ89" s="331" t="s">
        <v>190</v>
      </c>
      <c r="EA89" s="331" t="s">
        <v>190</v>
      </c>
      <c r="EB89" s="331" t="s">
        <v>190</v>
      </c>
      <c r="EC89" s="331" t="s">
        <v>190</v>
      </c>
      <c r="ED89" s="331" t="s">
        <v>190</v>
      </c>
      <c r="EE89" s="331" t="s">
        <v>190</v>
      </c>
      <c r="EF89" s="331" t="s">
        <v>190</v>
      </c>
      <c r="EG89" s="331" t="s">
        <v>190</v>
      </c>
      <c r="EH89" s="331" t="s">
        <v>428</v>
      </c>
      <c r="EI89" s="331" t="s">
        <v>190</v>
      </c>
      <c r="EJ89" s="331" t="s">
        <v>190</v>
      </c>
      <c r="EK89" s="331" t="s">
        <v>190</v>
      </c>
      <c r="EL89" s="331" t="s">
        <v>190</v>
      </c>
      <c r="EM89" s="331" t="s">
        <v>190</v>
      </c>
      <c r="EN89" s="331" t="s">
        <v>190</v>
      </c>
      <c r="EO89" s="331" t="s">
        <v>190</v>
      </c>
      <c r="EP89" s="331" t="s">
        <v>428</v>
      </c>
      <c r="EQ89" s="331" t="s">
        <v>428</v>
      </c>
      <c r="ER89" s="331" t="s">
        <v>428</v>
      </c>
      <c r="ES89" s="331" t="s">
        <v>191</v>
      </c>
      <c r="ET89" s="331" t="s">
        <v>191</v>
      </c>
      <c r="EU89" s="331" t="s">
        <v>191</v>
      </c>
      <c r="EV89" s="331" t="s">
        <v>191</v>
      </c>
      <c r="EW89" s="331" t="s">
        <v>191</v>
      </c>
      <c r="EX89" s="331" t="s">
        <v>191</v>
      </c>
      <c r="EY89" s="331" t="s">
        <v>191</v>
      </c>
      <c r="EZ89" s="331" t="s">
        <v>428</v>
      </c>
      <c r="FA89" s="331" t="s">
        <v>191</v>
      </c>
      <c r="FB89" s="331" t="s">
        <v>191</v>
      </c>
      <c r="FC89" s="331" t="s">
        <v>191</v>
      </c>
      <c r="FD89" s="331" t="s">
        <v>191</v>
      </c>
      <c r="FE89" s="331" t="s">
        <v>191</v>
      </c>
      <c r="FF89" s="331" t="s">
        <v>191</v>
      </c>
      <c r="FG89" s="331" t="s">
        <v>191</v>
      </c>
      <c r="FH89" s="331" t="s">
        <v>191</v>
      </c>
      <c r="FI89" s="331" t="s">
        <v>191</v>
      </c>
      <c r="FJ89" s="331" t="s">
        <v>191</v>
      </c>
      <c r="FK89" s="331" t="s">
        <v>191</v>
      </c>
      <c r="FL89" s="331" t="s">
        <v>191</v>
      </c>
      <c r="FM89" s="331" t="s">
        <v>191</v>
      </c>
      <c r="FN89" s="331" t="s">
        <v>191</v>
      </c>
      <c r="FO89" s="331" t="s">
        <v>191</v>
      </c>
      <c r="FP89" s="331" t="s">
        <v>191</v>
      </c>
      <c r="FQ89" s="331" t="s">
        <v>191</v>
      </c>
      <c r="FR89" s="331" t="s">
        <v>428</v>
      </c>
      <c r="FS89" s="331" t="s">
        <v>190</v>
      </c>
      <c r="FT89" s="331" t="s">
        <v>190</v>
      </c>
      <c r="FU89" s="331" t="s">
        <v>190</v>
      </c>
      <c r="FV89" s="331" t="s">
        <v>190</v>
      </c>
      <c r="FW89" s="331" t="s">
        <v>190</v>
      </c>
      <c r="FX89" s="331" t="s">
        <v>428</v>
      </c>
      <c r="FY89" s="331" t="s">
        <v>190</v>
      </c>
      <c r="FZ89" s="331" t="s">
        <v>190</v>
      </c>
      <c r="GA89" s="331" t="s">
        <v>190</v>
      </c>
      <c r="GB89" s="331" t="s">
        <v>190</v>
      </c>
      <c r="GC89" s="331" t="s">
        <v>190</v>
      </c>
      <c r="GD89" s="331" t="s">
        <v>190</v>
      </c>
      <c r="GE89" s="331" t="s">
        <v>190</v>
      </c>
      <c r="GF89" s="331" t="s">
        <v>190</v>
      </c>
      <c r="GG89" s="331" t="s">
        <v>428</v>
      </c>
      <c r="GH89" s="331" t="s">
        <v>190</v>
      </c>
      <c r="GI89" s="331" t="s">
        <v>428</v>
      </c>
      <c r="GJ89" s="331" t="s">
        <v>190</v>
      </c>
      <c r="GK89" s="331" t="s">
        <v>190</v>
      </c>
      <c r="GL89" s="331" t="s">
        <v>190</v>
      </c>
      <c r="GM89" s="331" t="s">
        <v>190</v>
      </c>
      <c r="GN89" s="331" t="s">
        <v>190</v>
      </c>
      <c r="GO89" s="331" t="s">
        <v>190</v>
      </c>
      <c r="GP89" s="331" t="s">
        <v>190</v>
      </c>
      <c r="GQ89" s="331" t="s">
        <v>190</v>
      </c>
      <c r="GR89" s="331" t="s">
        <v>190</v>
      </c>
      <c r="GS89" s="331" t="s">
        <v>428</v>
      </c>
      <c r="GT89" s="331" t="s">
        <v>428</v>
      </c>
      <c r="GU89" s="331" t="s">
        <v>428</v>
      </c>
      <c r="GV89" s="331" t="s">
        <v>428</v>
      </c>
      <c r="GW89" s="331" t="s">
        <v>190</v>
      </c>
      <c r="GX89" s="331" t="s">
        <v>190</v>
      </c>
      <c r="GY89" s="331" t="s">
        <v>190</v>
      </c>
      <c r="GZ89" s="331" t="s">
        <v>190</v>
      </c>
      <c r="HA89" s="331" t="s">
        <v>190</v>
      </c>
      <c r="HB89" s="331" t="s">
        <v>190</v>
      </c>
      <c r="HC89" s="331" t="s">
        <v>190</v>
      </c>
      <c r="HD89" s="331" t="s">
        <v>190</v>
      </c>
      <c r="HE89" s="331" t="s">
        <v>190</v>
      </c>
      <c r="HF89" s="331" t="s">
        <v>190</v>
      </c>
      <c r="HG89" s="331" t="s">
        <v>190</v>
      </c>
      <c r="HH89" s="331" t="s">
        <v>190</v>
      </c>
      <c r="HI89" s="331" t="s">
        <v>190</v>
      </c>
      <c r="HJ89" s="331" t="s">
        <v>190</v>
      </c>
      <c r="HK89" s="331" t="s">
        <v>190</v>
      </c>
      <c r="HL89" s="331" t="s">
        <v>190</v>
      </c>
      <c r="HM89" s="331" t="s">
        <v>191</v>
      </c>
      <c r="HN89" s="331" t="s">
        <v>191</v>
      </c>
      <c r="HO89" s="331" t="s">
        <v>191</v>
      </c>
      <c r="HP89" s="331" t="s">
        <v>190</v>
      </c>
      <c r="HQ89" s="331" t="s">
        <v>170</v>
      </c>
      <c r="HR89" s="331" t="s">
        <v>429</v>
      </c>
      <c r="HS89" s="331" t="s">
        <v>169</v>
      </c>
      <c r="HT89" s="331" t="s">
        <v>427</v>
      </c>
      <c r="HU89" s="331" t="s">
        <v>428</v>
      </c>
      <c r="HV89" s="331" t="s">
        <v>428</v>
      </c>
    </row>
    <row r="90" spans="1:230" s="70" customFormat="1" x14ac:dyDescent="0.25">
      <c r="A90" s="330" t="str">
        <f>HYPERLINK("http://www.ofsted.gov.uk/inspection-reports/find-inspection-report/provider/ELS/102169 ","Ofsted School Webpage")</f>
        <v>Ofsted School Webpage</v>
      </c>
      <c r="B90" s="331">
        <v>102169</v>
      </c>
      <c r="C90" s="331">
        <v>3096067</v>
      </c>
      <c r="D90" s="331" t="s">
        <v>1297</v>
      </c>
      <c r="E90" s="331" t="s">
        <v>167</v>
      </c>
      <c r="F90" s="331" t="s">
        <v>441</v>
      </c>
      <c r="G90" s="331" t="s">
        <v>441</v>
      </c>
      <c r="H90" s="331" t="s">
        <v>527</v>
      </c>
      <c r="I90" s="331" t="s">
        <v>1298</v>
      </c>
      <c r="J90" s="331" t="s">
        <v>81</v>
      </c>
      <c r="K90" s="331" t="s">
        <v>81</v>
      </c>
      <c r="L90" s="331" t="s">
        <v>81</v>
      </c>
      <c r="M90" s="331" t="s">
        <v>78</v>
      </c>
      <c r="N90" s="331" t="s">
        <v>424</v>
      </c>
      <c r="O90" s="331">
        <v>10124416</v>
      </c>
      <c r="P90" s="332">
        <v>43768</v>
      </c>
      <c r="Q90" s="332">
        <v>43768</v>
      </c>
      <c r="R90" s="332">
        <v>43795</v>
      </c>
      <c r="S90" s="331" t="s">
        <v>985</v>
      </c>
      <c r="T90" s="331" t="s">
        <v>982</v>
      </c>
      <c r="U90" s="331" t="s">
        <v>427</v>
      </c>
      <c r="V90" s="331" t="s">
        <v>165</v>
      </c>
      <c r="W90" s="331" t="s">
        <v>984</v>
      </c>
      <c r="X90" s="331" t="s">
        <v>984</v>
      </c>
      <c r="Y90" s="331" t="s">
        <v>984</v>
      </c>
      <c r="Z90" s="331" t="s">
        <v>984</v>
      </c>
      <c r="AA90" s="331" t="s">
        <v>984</v>
      </c>
      <c r="AB90" s="331" t="s">
        <v>984</v>
      </c>
      <c r="AC90" s="331" t="s">
        <v>984</v>
      </c>
      <c r="AD90" s="331" t="s">
        <v>984</v>
      </c>
      <c r="AE90" s="331" t="s">
        <v>984</v>
      </c>
      <c r="AF90" s="331" t="s">
        <v>984</v>
      </c>
      <c r="AG90" s="331" t="s">
        <v>984</v>
      </c>
      <c r="AH90" s="331" t="s">
        <v>984</v>
      </c>
      <c r="AI90" s="331" t="s">
        <v>984</v>
      </c>
      <c r="AJ90" s="331" t="s">
        <v>984</v>
      </c>
      <c r="AK90" s="331" t="s">
        <v>984</v>
      </c>
      <c r="AL90" s="331" t="s">
        <v>984</v>
      </c>
      <c r="AM90" s="331" t="s">
        <v>984</v>
      </c>
      <c r="AN90" s="331" t="s">
        <v>984</v>
      </c>
      <c r="AO90" s="331" t="s">
        <v>984</v>
      </c>
      <c r="AP90" s="331" t="s">
        <v>984</v>
      </c>
      <c r="AQ90" s="331" t="s">
        <v>984</v>
      </c>
      <c r="AR90" s="331" t="s">
        <v>984</v>
      </c>
      <c r="AS90" s="331" t="s">
        <v>984</v>
      </c>
      <c r="AT90" s="331" t="s">
        <v>984</v>
      </c>
      <c r="AU90" s="331" t="s">
        <v>984</v>
      </c>
      <c r="AV90" s="331" t="s">
        <v>984</v>
      </c>
      <c r="AW90" s="331" t="s">
        <v>984</v>
      </c>
      <c r="AX90" s="331" t="s">
        <v>984</v>
      </c>
      <c r="AY90" s="331" t="s">
        <v>984</v>
      </c>
      <c r="AZ90" s="331" t="s">
        <v>984</v>
      </c>
      <c r="BA90" s="331" t="s">
        <v>984</v>
      </c>
      <c r="BB90" s="331" t="s">
        <v>984</v>
      </c>
      <c r="BC90" s="331" t="s">
        <v>984</v>
      </c>
      <c r="BD90" s="331" t="s">
        <v>984</v>
      </c>
      <c r="BE90" s="331" t="s">
        <v>984</v>
      </c>
      <c r="BF90" s="331" t="s">
        <v>984</v>
      </c>
      <c r="BG90" s="331" t="s">
        <v>984</v>
      </c>
      <c r="BH90" s="331" t="s">
        <v>984</v>
      </c>
      <c r="BI90" s="331" t="s">
        <v>984</v>
      </c>
      <c r="BJ90" s="331" t="s">
        <v>984</v>
      </c>
      <c r="BK90" s="331" t="s">
        <v>984</v>
      </c>
      <c r="BL90" s="331" t="s">
        <v>984</v>
      </c>
      <c r="BM90" s="331" t="s">
        <v>984</v>
      </c>
      <c r="BN90" s="331" t="s">
        <v>984</v>
      </c>
      <c r="BO90" s="331" t="s">
        <v>984</v>
      </c>
      <c r="BP90" s="331" t="s">
        <v>984</v>
      </c>
      <c r="BQ90" s="331" t="s">
        <v>984</v>
      </c>
      <c r="BR90" s="331" t="s">
        <v>190</v>
      </c>
      <c r="BS90" s="331" t="s">
        <v>190</v>
      </c>
      <c r="BT90" s="331" t="s">
        <v>190</v>
      </c>
      <c r="BU90" s="331" t="s">
        <v>984</v>
      </c>
      <c r="BV90" s="331" t="s">
        <v>984</v>
      </c>
      <c r="BW90" s="331" t="s">
        <v>984</v>
      </c>
      <c r="BX90" s="331" t="s">
        <v>984</v>
      </c>
      <c r="BY90" s="331" t="s">
        <v>984</v>
      </c>
      <c r="BZ90" s="331" t="s">
        <v>984</v>
      </c>
      <c r="CA90" s="331" t="s">
        <v>984</v>
      </c>
      <c r="CB90" s="331" t="s">
        <v>984</v>
      </c>
      <c r="CC90" s="331" t="s">
        <v>190</v>
      </c>
      <c r="CD90" s="331" t="s">
        <v>190</v>
      </c>
      <c r="CE90" s="331" t="s">
        <v>984</v>
      </c>
      <c r="CF90" s="331" t="s">
        <v>984</v>
      </c>
      <c r="CG90" s="331" t="s">
        <v>984</v>
      </c>
      <c r="CH90" s="331" t="s">
        <v>984</v>
      </c>
      <c r="CI90" s="331" t="s">
        <v>984</v>
      </c>
      <c r="CJ90" s="331" t="s">
        <v>984</v>
      </c>
      <c r="CK90" s="331" t="s">
        <v>984</v>
      </c>
      <c r="CL90" s="331" t="s">
        <v>984</v>
      </c>
      <c r="CM90" s="331" t="s">
        <v>984</v>
      </c>
      <c r="CN90" s="331" t="s">
        <v>984</v>
      </c>
      <c r="CO90" s="331" t="s">
        <v>984</v>
      </c>
      <c r="CP90" s="331" t="s">
        <v>984</v>
      </c>
      <c r="CQ90" s="331" t="s">
        <v>984</v>
      </c>
      <c r="CR90" s="331" t="s">
        <v>984</v>
      </c>
      <c r="CS90" s="331" t="s">
        <v>984</v>
      </c>
      <c r="CT90" s="331" t="s">
        <v>984</v>
      </c>
      <c r="CU90" s="331" t="s">
        <v>984</v>
      </c>
      <c r="CV90" s="331" t="s">
        <v>984</v>
      </c>
      <c r="CW90" s="331" t="s">
        <v>984</v>
      </c>
      <c r="CX90" s="331" t="s">
        <v>984</v>
      </c>
      <c r="CY90" s="331" t="s">
        <v>984</v>
      </c>
      <c r="CZ90" s="331" t="s">
        <v>984</v>
      </c>
      <c r="DA90" s="331" t="s">
        <v>984</v>
      </c>
      <c r="DB90" s="331" t="s">
        <v>984</v>
      </c>
      <c r="DC90" s="331" t="s">
        <v>984</v>
      </c>
      <c r="DD90" s="331" t="s">
        <v>984</v>
      </c>
      <c r="DE90" s="331" t="s">
        <v>984</v>
      </c>
      <c r="DF90" s="331" t="s">
        <v>984</v>
      </c>
      <c r="DG90" s="331" t="s">
        <v>984</v>
      </c>
      <c r="DH90" s="331" t="s">
        <v>984</v>
      </c>
      <c r="DI90" s="331" t="s">
        <v>984</v>
      </c>
      <c r="DJ90" s="331" t="s">
        <v>984</v>
      </c>
      <c r="DK90" s="331" t="s">
        <v>984</v>
      </c>
      <c r="DL90" s="331" t="s">
        <v>984</v>
      </c>
      <c r="DM90" s="331" t="s">
        <v>984</v>
      </c>
      <c r="DN90" s="331" t="s">
        <v>984</v>
      </c>
      <c r="DO90" s="331" t="s">
        <v>984</v>
      </c>
      <c r="DP90" s="331" t="s">
        <v>984</v>
      </c>
      <c r="DQ90" s="331" t="s">
        <v>984</v>
      </c>
      <c r="DR90" s="331" t="s">
        <v>984</v>
      </c>
      <c r="DS90" s="331" t="s">
        <v>984</v>
      </c>
      <c r="DT90" s="331" t="s">
        <v>984</v>
      </c>
      <c r="DU90" s="331" t="s">
        <v>984</v>
      </c>
      <c r="DV90" s="331" t="s">
        <v>984</v>
      </c>
      <c r="DW90" s="331" t="s">
        <v>984</v>
      </c>
      <c r="DX90" s="331" t="s">
        <v>984</v>
      </c>
      <c r="DY90" s="331" t="s">
        <v>984</v>
      </c>
      <c r="DZ90" s="331" t="s">
        <v>984</v>
      </c>
      <c r="EA90" s="331" t="s">
        <v>984</v>
      </c>
      <c r="EB90" s="331" t="s">
        <v>984</v>
      </c>
      <c r="EC90" s="331" t="s">
        <v>984</v>
      </c>
      <c r="ED90" s="331" t="s">
        <v>984</v>
      </c>
      <c r="EE90" s="331" t="s">
        <v>984</v>
      </c>
      <c r="EF90" s="331" t="s">
        <v>984</v>
      </c>
      <c r="EG90" s="331" t="s">
        <v>984</v>
      </c>
      <c r="EH90" s="331" t="s">
        <v>984</v>
      </c>
      <c r="EI90" s="331" t="s">
        <v>984</v>
      </c>
      <c r="EJ90" s="331" t="s">
        <v>984</v>
      </c>
      <c r="EK90" s="331" t="s">
        <v>984</v>
      </c>
      <c r="EL90" s="331" t="s">
        <v>984</v>
      </c>
      <c r="EM90" s="331" t="s">
        <v>984</v>
      </c>
      <c r="EN90" s="331" t="s">
        <v>984</v>
      </c>
      <c r="EO90" s="331" t="s">
        <v>984</v>
      </c>
      <c r="EP90" s="331" t="s">
        <v>984</v>
      </c>
      <c r="EQ90" s="331" t="s">
        <v>984</v>
      </c>
      <c r="ER90" s="331" t="s">
        <v>984</v>
      </c>
      <c r="ES90" s="331" t="s">
        <v>190</v>
      </c>
      <c r="ET90" s="331" t="s">
        <v>190</v>
      </c>
      <c r="EU90" s="331" t="s">
        <v>984</v>
      </c>
      <c r="EV90" s="331" t="s">
        <v>984</v>
      </c>
      <c r="EW90" s="331" t="s">
        <v>984</v>
      </c>
      <c r="EX90" s="331" t="s">
        <v>984</v>
      </c>
      <c r="EY90" s="331" t="s">
        <v>984</v>
      </c>
      <c r="EZ90" s="331" t="s">
        <v>984</v>
      </c>
      <c r="FA90" s="331" t="s">
        <v>984</v>
      </c>
      <c r="FB90" s="331" t="s">
        <v>190</v>
      </c>
      <c r="FC90" s="331" t="s">
        <v>984</v>
      </c>
      <c r="FD90" s="331" t="s">
        <v>984</v>
      </c>
      <c r="FE90" s="331" t="s">
        <v>984</v>
      </c>
      <c r="FF90" s="331" t="s">
        <v>984</v>
      </c>
      <c r="FG90" s="331" t="s">
        <v>190</v>
      </c>
      <c r="FH90" s="331" t="s">
        <v>984</v>
      </c>
      <c r="FI90" s="331" t="s">
        <v>190</v>
      </c>
      <c r="FJ90" s="331" t="s">
        <v>984</v>
      </c>
      <c r="FK90" s="331" t="s">
        <v>190</v>
      </c>
      <c r="FL90" s="331" t="s">
        <v>984</v>
      </c>
      <c r="FM90" s="331" t="s">
        <v>984</v>
      </c>
      <c r="FN90" s="331" t="s">
        <v>984</v>
      </c>
      <c r="FO90" s="331" t="s">
        <v>984</v>
      </c>
      <c r="FP90" s="331" t="s">
        <v>984</v>
      </c>
      <c r="FQ90" s="331" t="s">
        <v>984</v>
      </c>
      <c r="FR90" s="331" t="s">
        <v>984</v>
      </c>
      <c r="FS90" s="331" t="s">
        <v>984</v>
      </c>
      <c r="FT90" s="331" t="s">
        <v>984</v>
      </c>
      <c r="FU90" s="331" t="s">
        <v>984</v>
      </c>
      <c r="FV90" s="331" t="s">
        <v>190</v>
      </c>
      <c r="FW90" s="331" t="s">
        <v>984</v>
      </c>
      <c r="FX90" s="331" t="s">
        <v>984</v>
      </c>
      <c r="FY90" s="331" t="s">
        <v>984</v>
      </c>
      <c r="FZ90" s="331" t="s">
        <v>984</v>
      </c>
      <c r="GA90" s="331" t="s">
        <v>984</v>
      </c>
      <c r="GB90" s="331" t="s">
        <v>984</v>
      </c>
      <c r="GC90" s="331" t="s">
        <v>984</v>
      </c>
      <c r="GD90" s="331" t="s">
        <v>984</v>
      </c>
      <c r="GE90" s="331" t="s">
        <v>984</v>
      </c>
      <c r="GF90" s="331" t="s">
        <v>984</v>
      </c>
      <c r="GG90" s="331" t="s">
        <v>984</v>
      </c>
      <c r="GH90" s="331" t="s">
        <v>984</v>
      </c>
      <c r="GI90" s="331" t="s">
        <v>984</v>
      </c>
      <c r="GJ90" s="331" t="s">
        <v>984</v>
      </c>
      <c r="GK90" s="331" t="s">
        <v>984</v>
      </c>
      <c r="GL90" s="331" t="s">
        <v>984</v>
      </c>
      <c r="GM90" s="331" t="s">
        <v>984</v>
      </c>
      <c r="GN90" s="331" t="s">
        <v>984</v>
      </c>
      <c r="GO90" s="331" t="s">
        <v>984</v>
      </c>
      <c r="GP90" s="331" t="s">
        <v>984</v>
      </c>
      <c r="GQ90" s="331" t="s">
        <v>984</v>
      </c>
      <c r="GR90" s="331" t="s">
        <v>984</v>
      </c>
      <c r="GS90" s="331" t="s">
        <v>984</v>
      </c>
      <c r="GT90" s="331" t="s">
        <v>984</v>
      </c>
      <c r="GU90" s="331" t="s">
        <v>984</v>
      </c>
      <c r="GV90" s="331" t="s">
        <v>984</v>
      </c>
      <c r="GW90" s="331" t="s">
        <v>984</v>
      </c>
      <c r="GX90" s="331" t="s">
        <v>984</v>
      </c>
      <c r="GY90" s="331" t="s">
        <v>984</v>
      </c>
      <c r="GZ90" s="331" t="s">
        <v>984</v>
      </c>
      <c r="HA90" s="331" t="s">
        <v>984</v>
      </c>
      <c r="HB90" s="331" t="s">
        <v>984</v>
      </c>
      <c r="HC90" s="331" t="s">
        <v>984</v>
      </c>
      <c r="HD90" s="331" t="s">
        <v>984</v>
      </c>
      <c r="HE90" s="331" t="s">
        <v>984</v>
      </c>
      <c r="HF90" s="331" t="s">
        <v>984</v>
      </c>
      <c r="HG90" s="331" t="s">
        <v>984</v>
      </c>
      <c r="HH90" s="331" t="s">
        <v>984</v>
      </c>
      <c r="HI90" s="331" t="s">
        <v>984</v>
      </c>
      <c r="HJ90" s="331" t="s">
        <v>984</v>
      </c>
      <c r="HK90" s="331" t="s">
        <v>984</v>
      </c>
      <c r="HL90" s="331" t="s">
        <v>984</v>
      </c>
      <c r="HM90" s="331" t="s">
        <v>190</v>
      </c>
      <c r="HN90" s="331" t="s">
        <v>190</v>
      </c>
      <c r="HO90" s="331" t="s">
        <v>190</v>
      </c>
      <c r="HP90" s="331" t="s">
        <v>190</v>
      </c>
      <c r="HQ90" s="331" t="s">
        <v>170</v>
      </c>
      <c r="HR90" s="331" t="s">
        <v>429</v>
      </c>
      <c r="HS90" s="331" t="s">
        <v>169</v>
      </c>
      <c r="HT90" s="331" t="s">
        <v>427</v>
      </c>
      <c r="HU90" s="331" t="s">
        <v>190</v>
      </c>
      <c r="HV90" s="331" t="s">
        <v>984</v>
      </c>
    </row>
    <row r="91" spans="1:230" s="70" customFormat="1" x14ac:dyDescent="0.25">
      <c r="A91" s="330" t="str">
        <f>HYPERLINK("http://www.ofsted.gov.uk/inspection-reports/find-inspection-report/provider/ELS/147205 ","Ofsted School Webpage")</f>
        <v>Ofsted School Webpage</v>
      </c>
      <c r="B91" s="331">
        <v>147205</v>
      </c>
      <c r="C91" s="331">
        <v>8866156</v>
      </c>
      <c r="D91" s="331" t="s">
        <v>2744</v>
      </c>
      <c r="E91" s="331" t="s">
        <v>167</v>
      </c>
      <c r="F91" s="331" t="s">
        <v>514</v>
      </c>
      <c r="G91" s="331" t="s">
        <v>514</v>
      </c>
      <c r="H91" s="331" t="s">
        <v>614</v>
      </c>
      <c r="I91" s="331" t="s">
        <v>2745</v>
      </c>
      <c r="J91" s="331" t="s">
        <v>434</v>
      </c>
      <c r="K91" s="331" t="s">
        <v>81</v>
      </c>
      <c r="L91" s="331" t="s">
        <v>81</v>
      </c>
      <c r="M91" s="331" t="s">
        <v>78</v>
      </c>
      <c r="N91" s="331" t="s">
        <v>424</v>
      </c>
      <c r="O91" s="331">
        <v>10126530</v>
      </c>
      <c r="P91" s="332">
        <v>43768</v>
      </c>
      <c r="Q91" s="332">
        <v>43768</v>
      </c>
      <c r="R91" s="332">
        <v>43787</v>
      </c>
      <c r="S91" s="331" t="s">
        <v>2583</v>
      </c>
      <c r="T91" s="331" t="s">
        <v>982</v>
      </c>
      <c r="U91" s="331" t="s">
        <v>427</v>
      </c>
      <c r="V91" s="331" t="s">
        <v>2585</v>
      </c>
      <c r="W91" s="331" t="s">
        <v>191</v>
      </c>
      <c r="X91" s="331" t="s">
        <v>191</v>
      </c>
      <c r="Y91" s="331" t="s">
        <v>191</v>
      </c>
      <c r="Z91" s="331" t="s">
        <v>191</v>
      </c>
      <c r="AA91" s="331" t="s">
        <v>190</v>
      </c>
      <c r="AB91" s="331" t="s">
        <v>191</v>
      </c>
      <c r="AC91" s="331" t="s">
        <v>191</v>
      </c>
      <c r="AD91" s="331" t="s">
        <v>191</v>
      </c>
      <c r="AE91" s="331" t="s">
        <v>428</v>
      </c>
      <c r="AF91" s="331" t="s">
        <v>190</v>
      </c>
      <c r="AG91" s="331" t="s">
        <v>190</v>
      </c>
      <c r="AH91" s="331" t="s">
        <v>190</v>
      </c>
      <c r="AI91" s="331" t="s">
        <v>190</v>
      </c>
      <c r="AJ91" s="331" t="s">
        <v>190</v>
      </c>
      <c r="AK91" s="331" t="s">
        <v>190</v>
      </c>
      <c r="AL91" s="331" t="s">
        <v>190</v>
      </c>
      <c r="AM91" s="331" t="s">
        <v>428</v>
      </c>
      <c r="AN91" s="331" t="s">
        <v>191</v>
      </c>
      <c r="AO91" s="331" t="s">
        <v>190</v>
      </c>
      <c r="AP91" s="331" t="s">
        <v>190</v>
      </c>
      <c r="AQ91" s="331" t="s">
        <v>190</v>
      </c>
      <c r="AR91" s="331" t="s">
        <v>190</v>
      </c>
      <c r="AS91" s="331" t="s">
        <v>190</v>
      </c>
      <c r="AT91" s="331" t="s">
        <v>190</v>
      </c>
      <c r="AU91" s="331" t="s">
        <v>190</v>
      </c>
      <c r="AV91" s="331" t="s">
        <v>190</v>
      </c>
      <c r="AW91" s="331" t="s">
        <v>190</v>
      </c>
      <c r="AX91" s="331" t="s">
        <v>190</v>
      </c>
      <c r="AY91" s="331" t="s">
        <v>190</v>
      </c>
      <c r="AZ91" s="331" t="s">
        <v>190</v>
      </c>
      <c r="BA91" s="331" t="s">
        <v>190</v>
      </c>
      <c r="BB91" s="331" t="s">
        <v>190</v>
      </c>
      <c r="BC91" s="331" t="s">
        <v>190</v>
      </c>
      <c r="BD91" s="331" t="s">
        <v>190</v>
      </c>
      <c r="BE91" s="331" t="s">
        <v>190</v>
      </c>
      <c r="BF91" s="331" t="s">
        <v>190</v>
      </c>
      <c r="BG91" s="331" t="s">
        <v>190</v>
      </c>
      <c r="BH91" s="331" t="s">
        <v>190</v>
      </c>
      <c r="BI91" s="331" t="s">
        <v>190</v>
      </c>
      <c r="BJ91" s="331" t="s">
        <v>190</v>
      </c>
      <c r="BK91" s="331" t="s">
        <v>190</v>
      </c>
      <c r="BL91" s="331" t="s">
        <v>190</v>
      </c>
      <c r="BM91" s="331" t="s">
        <v>190</v>
      </c>
      <c r="BN91" s="331" t="s">
        <v>190</v>
      </c>
      <c r="BO91" s="331" t="s">
        <v>190</v>
      </c>
      <c r="BP91" s="331" t="s">
        <v>190</v>
      </c>
      <c r="BQ91" s="331" t="s">
        <v>190</v>
      </c>
      <c r="BR91" s="331" t="s">
        <v>191</v>
      </c>
      <c r="BS91" s="331" t="s">
        <v>191</v>
      </c>
      <c r="BT91" s="331" t="s">
        <v>191</v>
      </c>
      <c r="BU91" s="331" t="s">
        <v>428</v>
      </c>
      <c r="BV91" s="331" t="s">
        <v>428</v>
      </c>
      <c r="BW91" s="331" t="s">
        <v>428</v>
      </c>
      <c r="BX91" s="331" t="s">
        <v>190</v>
      </c>
      <c r="BY91" s="331" t="s">
        <v>190</v>
      </c>
      <c r="BZ91" s="331" t="s">
        <v>190</v>
      </c>
      <c r="CA91" s="331" t="s">
        <v>190</v>
      </c>
      <c r="CB91" s="331" t="s">
        <v>190</v>
      </c>
      <c r="CC91" s="331" t="s">
        <v>190</v>
      </c>
      <c r="CD91" s="331" t="s">
        <v>190</v>
      </c>
      <c r="CE91" s="331" t="s">
        <v>190</v>
      </c>
      <c r="CF91" s="331" t="s">
        <v>190</v>
      </c>
      <c r="CG91" s="331" t="s">
        <v>191</v>
      </c>
      <c r="CH91" s="331" t="s">
        <v>191</v>
      </c>
      <c r="CI91" s="331" t="s">
        <v>191</v>
      </c>
      <c r="CJ91" s="331" t="s">
        <v>191</v>
      </c>
      <c r="CK91" s="331" t="s">
        <v>191</v>
      </c>
      <c r="CL91" s="331" t="s">
        <v>190</v>
      </c>
      <c r="CM91" s="331" t="s">
        <v>191</v>
      </c>
      <c r="CN91" s="331" t="s">
        <v>190</v>
      </c>
      <c r="CO91" s="331" t="s">
        <v>190</v>
      </c>
      <c r="CP91" s="331" t="s">
        <v>190</v>
      </c>
      <c r="CQ91" s="331" t="s">
        <v>190</v>
      </c>
      <c r="CR91" s="331" t="s">
        <v>190</v>
      </c>
      <c r="CS91" s="331" t="s">
        <v>190</v>
      </c>
      <c r="CT91" s="331" t="s">
        <v>190</v>
      </c>
      <c r="CU91" s="331" t="s">
        <v>428</v>
      </c>
      <c r="CV91" s="331" t="s">
        <v>190</v>
      </c>
      <c r="CW91" s="331" t="s">
        <v>191</v>
      </c>
      <c r="CX91" s="331" t="s">
        <v>191</v>
      </c>
      <c r="CY91" s="331" t="s">
        <v>191</v>
      </c>
      <c r="CZ91" s="331" t="s">
        <v>191</v>
      </c>
      <c r="DA91" s="331" t="s">
        <v>190</v>
      </c>
      <c r="DB91" s="331" t="s">
        <v>190</v>
      </c>
      <c r="DC91" s="331" t="s">
        <v>190</v>
      </c>
      <c r="DD91" s="331" t="s">
        <v>190</v>
      </c>
      <c r="DE91" s="331" t="s">
        <v>190</v>
      </c>
      <c r="DF91" s="331" t="s">
        <v>190</v>
      </c>
      <c r="DG91" s="331" t="s">
        <v>190</v>
      </c>
      <c r="DH91" s="331" t="s">
        <v>190</v>
      </c>
      <c r="DI91" s="331" t="s">
        <v>190</v>
      </c>
      <c r="DJ91" s="331" t="s">
        <v>428</v>
      </c>
      <c r="DK91" s="331" t="s">
        <v>190</v>
      </c>
      <c r="DL91" s="331" t="s">
        <v>428</v>
      </c>
      <c r="DM91" s="331" t="s">
        <v>428</v>
      </c>
      <c r="DN91" s="331" t="s">
        <v>428</v>
      </c>
      <c r="DO91" s="331" t="s">
        <v>428</v>
      </c>
      <c r="DP91" s="331" t="s">
        <v>428</v>
      </c>
      <c r="DQ91" s="331" t="s">
        <v>428</v>
      </c>
      <c r="DR91" s="331" t="s">
        <v>428</v>
      </c>
      <c r="DS91" s="331" t="s">
        <v>428</v>
      </c>
      <c r="DT91" s="331" t="s">
        <v>428</v>
      </c>
      <c r="DU91" s="331" t="s">
        <v>191</v>
      </c>
      <c r="DV91" s="331" t="s">
        <v>190</v>
      </c>
      <c r="DW91" s="331" t="s">
        <v>191</v>
      </c>
      <c r="DX91" s="331" t="s">
        <v>190</v>
      </c>
      <c r="DY91" s="331" t="s">
        <v>190</v>
      </c>
      <c r="DZ91" s="331" t="s">
        <v>190</v>
      </c>
      <c r="EA91" s="331" t="s">
        <v>190</v>
      </c>
      <c r="EB91" s="331" t="s">
        <v>190</v>
      </c>
      <c r="EC91" s="331" t="s">
        <v>190</v>
      </c>
      <c r="ED91" s="331" t="s">
        <v>190</v>
      </c>
      <c r="EE91" s="331" t="s">
        <v>190</v>
      </c>
      <c r="EF91" s="331" t="s">
        <v>190</v>
      </c>
      <c r="EG91" s="331" t="s">
        <v>191</v>
      </c>
      <c r="EH91" s="331" t="s">
        <v>428</v>
      </c>
      <c r="EI91" s="331" t="s">
        <v>190</v>
      </c>
      <c r="EJ91" s="331" t="s">
        <v>190</v>
      </c>
      <c r="EK91" s="331" t="s">
        <v>190</v>
      </c>
      <c r="EL91" s="331" t="s">
        <v>190</v>
      </c>
      <c r="EM91" s="331" t="s">
        <v>190</v>
      </c>
      <c r="EN91" s="331" t="s">
        <v>190</v>
      </c>
      <c r="EO91" s="331" t="s">
        <v>428</v>
      </c>
      <c r="EP91" s="331" t="s">
        <v>428</v>
      </c>
      <c r="EQ91" s="331" t="s">
        <v>428</v>
      </c>
      <c r="ER91" s="331" t="s">
        <v>428</v>
      </c>
      <c r="ES91" s="331" t="s">
        <v>190</v>
      </c>
      <c r="ET91" s="331" t="s">
        <v>190</v>
      </c>
      <c r="EU91" s="331" t="s">
        <v>190</v>
      </c>
      <c r="EV91" s="331" t="s">
        <v>190</v>
      </c>
      <c r="EW91" s="331" t="s">
        <v>190</v>
      </c>
      <c r="EX91" s="331" t="s">
        <v>190</v>
      </c>
      <c r="EY91" s="331" t="s">
        <v>190</v>
      </c>
      <c r="EZ91" s="331" t="s">
        <v>428</v>
      </c>
      <c r="FA91" s="331" t="s">
        <v>428</v>
      </c>
      <c r="FB91" s="331" t="s">
        <v>190</v>
      </c>
      <c r="FC91" s="331" t="s">
        <v>190</v>
      </c>
      <c r="FD91" s="331" t="s">
        <v>190</v>
      </c>
      <c r="FE91" s="331" t="s">
        <v>190</v>
      </c>
      <c r="FF91" s="331" t="s">
        <v>190</v>
      </c>
      <c r="FG91" s="331" t="s">
        <v>190</v>
      </c>
      <c r="FH91" s="331" t="s">
        <v>190</v>
      </c>
      <c r="FI91" s="331" t="s">
        <v>190</v>
      </c>
      <c r="FJ91" s="331" t="s">
        <v>190</v>
      </c>
      <c r="FK91" s="331" t="s">
        <v>190</v>
      </c>
      <c r="FL91" s="331" t="s">
        <v>190</v>
      </c>
      <c r="FM91" s="331" t="s">
        <v>190</v>
      </c>
      <c r="FN91" s="331" t="s">
        <v>190</v>
      </c>
      <c r="FO91" s="331" t="s">
        <v>191</v>
      </c>
      <c r="FP91" s="331" t="s">
        <v>190</v>
      </c>
      <c r="FQ91" s="331" t="s">
        <v>191</v>
      </c>
      <c r="FR91" s="331" t="s">
        <v>428</v>
      </c>
      <c r="FS91" s="331" t="s">
        <v>191</v>
      </c>
      <c r="FT91" s="331" t="s">
        <v>190</v>
      </c>
      <c r="FU91" s="331" t="s">
        <v>191</v>
      </c>
      <c r="FV91" s="331" t="s">
        <v>191</v>
      </c>
      <c r="FW91" s="331" t="s">
        <v>190</v>
      </c>
      <c r="FX91" s="331" t="s">
        <v>428</v>
      </c>
      <c r="FY91" s="331" t="s">
        <v>190</v>
      </c>
      <c r="FZ91" s="331" t="s">
        <v>190</v>
      </c>
      <c r="GA91" s="331" t="s">
        <v>190</v>
      </c>
      <c r="GB91" s="331" t="s">
        <v>190</v>
      </c>
      <c r="GC91" s="331" t="s">
        <v>190</v>
      </c>
      <c r="GD91" s="331" t="s">
        <v>190</v>
      </c>
      <c r="GE91" s="331" t="s">
        <v>190</v>
      </c>
      <c r="GF91" s="331" t="s">
        <v>190</v>
      </c>
      <c r="GG91" s="331" t="s">
        <v>428</v>
      </c>
      <c r="GH91" s="331" t="s">
        <v>190</v>
      </c>
      <c r="GI91" s="331" t="s">
        <v>428</v>
      </c>
      <c r="GJ91" s="331" t="s">
        <v>190</v>
      </c>
      <c r="GK91" s="331" t="s">
        <v>191</v>
      </c>
      <c r="GL91" s="331" t="s">
        <v>190</v>
      </c>
      <c r="GM91" s="331" t="s">
        <v>191</v>
      </c>
      <c r="GN91" s="331" t="s">
        <v>190</v>
      </c>
      <c r="GO91" s="331" t="s">
        <v>190</v>
      </c>
      <c r="GP91" s="331" t="s">
        <v>190</v>
      </c>
      <c r="GQ91" s="331" t="s">
        <v>190</v>
      </c>
      <c r="GR91" s="331" t="s">
        <v>190</v>
      </c>
      <c r="GS91" s="331" t="s">
        <v>190</v>
      </c>
      <c r="GT91" s="331" t="s">
        <v>190</v>
      </c>
      <c r="GU91" s="331" t="s">
        <v>190</v>
      </c>
      <c r="GV91" s="331" t="s">
        <v>190</v>
      </c>
      <c r="GW91" s="331" t="s">
        <v>191</v>
      </c>
      <c r="GX91" s="331" t="s">
        <v>190</v>
      </c>
      <c r="GY91" s="331" t="s">
        <v>190</v>
      </c>
      <c r="GZ91" s="331" t="s">
        <v>191</v>
      </c>
      <c r="HA91" s="331" t="s">
        <v>190</v>
      </c>
      <c r="HB91" s="331" t="s">
        <v>190</v>
      </c>
      <c r="HC91" s="331" t="s">
        <v>191</v>
      </c>
      <c r="HD91" s="331" t="s">
        <v>191</v>
      </c>
      <c r="HE91" s="331" t="s">
        <v>191</v>
      </c>
      <c r="HF91" s="331" t="s">
        <v>191</v>
      </c>
      <c r="HG91" s="331" t="s">
        <v>191</v>
      </c>
      <c r="HH91" s="331" t="s">
        <v>191</v>
      </c>
      <c r="HI91" s="331" t="s">
        <v>191</v>
      </c>
      <c r="HJ91" s="331" t="s">
        <v>191</v>
      </c>
      <c r="HK91" s="331" t="s">
        <v>191</v>
      </c>
      <c r="HL91" s="331" t="s">
        <v>190</v>
      </c>
      <c r="HM91" s="331" t="s">
        <v>191</v>
      </c>
      <c r="HN91" s="331" t="s">
        <v>191</v>
      </c>
      <c r="HO91" s="331" t="s">
        <v>191</v>
      </c>
      <c r="HP91" s="331" t="s">
        <v>191</v>
      </c>
      <c r="HQ91" s="331" t="s">
        <v>170</v>
      </c>
      <c r="HR91" s="331" t="s">
        <v>429</v>
      </c>
      <c r="HS91" s="331" t="s">
        <v>169</v>
      </c>
      <c r="HT91" s="331" t="s">
        <v>447</v>
      </c>
      <c r="HU91" s="331" t="s">
        <v>428</v>
      </c>
      <c r="HV91" s="331" t="s">
        <v>428</v>
      </c>
    </row>
    <row r="92" spans="1:230" s="70" customFormat="1" x14ac:dyDescent="0.25">
      <c r="A92" s="330" t="str">
        <f>HYPERLINK("http://www.ofsted.gov.uk/inspection-reports/find-inspection-report/provider/ELS/143933 ","Ofsted School Webpage")</f>
        <v>Ofsted School Webpage</v>
      </c>
      <c r="B92" s="331">
        <v>143933</v>
      </c>
      <c r="C92" s="331">
        <v>2096003</v>
      </c>
      <c r="D92" s="331" t="s">
        <v>1112</v>
      </c>
      <c r="E92" s="331" t="s">
        <v>167</v>
      </c>
      <c r="F92" s="331" t="s">
        <v>441</v>
      </c>
      <c r="G92" s="331" t="s">
        <v>441</v>
      </c>
      <c r="H92" s="331" t="s">
        <v>655</v>
      </c>
      <c r="I92" s="331" t="s">
        <v>2746</v>
      </c>
      <c r="J92" s="331" t="s">
        <v>81</v>
      </c>
      <c r="K92" s="331" t="s">
        <v>81</v>
      </c>
      <c r="L92" s="331" t="s">
        <v>81</v>
      </c>
      <c r="M92" s="331" t="s">
        <v>78</v>
      </c>
      <c r="N92" s="331" t="s">
        <v>424</v>
      </c>
      <c r="O92" s="331">
        <v>10128872</v>
      </c>
      <c r="P92" s="332">
        <v>43768</v>
      </c>
      <c r="Q92" s="332">
        <v>43768</v>
      </c>
      <c r="R92" s="332">
        <v>43796</v>
      </c>
      <c r="S92" s="331" t="s">
        <v>985</v>
      </c>
      <c r="T92" s="331" t="s">
        <v>982</v>
      </c>
      <c r="U92" s="331" t="s">
        <v>427</v>
      </c>
      <c r="V92" s="331" t="s">
        <v>165</v>
      </c>
      <c r="W92" s="331" t="s">
        <v>984</v>
      </c>
      <c r="X92" s="331" t="s">
        <v>984</v>
      </c>
      <c r="Y92" s="331" t="s">
        <v>984</v>
      </c>
      <c r="Z92" s="331" t="s">
        <v>984</v>
      </c>
      <c r="AA92" s="331" t="s">
        <v>984</v>
      </c>
      <c r="AB92" s="331" t="s">
        <v>984</v>
      </c>
      <c r="AC92" s="331" t="s">
        <v>984</v>
      </c>
      <c r="AD92" s="331" t="s">
        <v>984</v>
      </c>
      <c r="AE92" s="331" t="s">
        <v>984</v>
      </c>
      <c r="AF92" s="331" t="s">
        <v>984</v>
      </c>
      <c r="AG92" s="331" t="s">
        <v>984</v>
      </c>
      <c r="AH92" s="331" t="s">
        <v>984</v>
      </c>
      <c r="AI92" s="331" t="s">
        <v>984</v>
      </c>
      <c r="AJ92" s="331" t="s">
        <v>984</v>
      </c>
      <c r="AK92" s="331" t="s">
        <v>984</v>
      </c>
      <c r="AL92" s="331" t="s">
        <v>984</v>
      </c>
      <c r="AM92" s="331" t="s">
        <v>984</v>
      </c>
      <c r="AN92" s="331" t="s">
        <v>984</v>
      </c>
      <c r="AO92" s="331" t="s">
        <v>984</v>
      </c>
      <c r="AP92" s="331" t="s">
        <v>984</v>
      </c>
      <c r="AQ92" s="331" t="s">
        <v>984</v>
      </c>
      <c r="AR92" s="331" t="s">
        <v>984</v>
      </c>
      <c r="AS92" s="331" t="s">
        <v>984</v>
      </c>
      <c r="AT92" s="331" t="s">
        <v>984</v>
      </c>
      <c r="AU92" s="331" t="s">
        <v>984</v>
      </c>
      <c r="AV92" s="331" t="s">
        <v>984</v>
      </c>
      <c r="AW92" s="331" t="s">
        <v>984</v>
      </c>
      <c r="AX92" s="331" t="s">
        <v>984</v>
      </c>
      <c r="AY92" s="331" t="s">
        <v>984</v>
      </c>
      <c r="AZ92" s="331" t="s">
        <v>984</v>
      </c>
      <c r="BA92" s="331" t="s">
        <v>984</v>
      </c>
      <c r="BB92" s="331" t="s">
        <v>984</v>
      </c>
      <c r="BC92" s="331" t="s">
        <v>984</v>
      </c>
      <c r="BD92" s="331" t="s">
        <v>984</v>
      </c>
      <c r="BE92" s="331" t="s">
        <v>984</v>
      </c>
      <c r="BF92" s="331" t="s">
        <v>984</v>
      </c>
      <c r="BG92" s="331" t="s">
        <v>984</v>
      </c>
      <c r="BH92" s="331" t="s">
        <v>984</v>
      </c>
      <c r="BI92" s="331" t="s">
        <v>984</v>
      </c>
      <c r="BJ92" s="331" t="s">
        <v>984</v>
      </c>
      <c r="BK92" s="331" t="s">
        <v>984</v>
      </c>
      <c r="BL92" s="331" t="s">
        <v>984</v>
      </c>
      <c r="BM92" s="331" t="s">
        <v>984</v>
      </c>
      <c r="BN92" s="331" t="s">
        <v>984</v>
      </c>
      <c r="BO92" s="331" t="s">
        <v>984</v>
      </c>
      <c r="BP92" s="331" t="s">
        <v>984</v>
      </c>
      <c r="BQ92" s="331" t="s">
        <v>984</v>
      </c>
      <c r="BR92" s="331" t="s">
        <v>190</v>
      </c>
      <c r="BS92" s="331" t="s">
        <v>190</v>
      </c>
      <c r="BT92" s="331" t="s">
        <v>190</v>
      </c>
      <c r="BU92" s="331" t="s">
        <v>984</v>
      </c>
      <c r="BV92" s="331" t="s">
        <v>984</v>
      </c>
      <c r="BW92" s="331" t="s">
        <v>984</v>
      </c>
      <c r="BX92" s="331" t="s">
        <v>190</v>
      </c>
      <c r="BY92" s="331" t="s">
        <v>984</v>
      </c>
      <c r="BZ92" s="331" t="s">
        <v>190</v>
      </c>
      <c r="CA92" s="331" t="s">
        <v>984</v>
      </c>
      <c r="CB92" s="331" t="s">
        <v>984</v>
      </c>
      <c r="CC92" s="331" t="s">
        <v>190</v>
      </c>
      <c r="CD92" s="331" t="s">
        <v>190</v>
      </c>
      <c r="CE92" s="331" t="s">
        <v>984</v>
      </c>
      <c r="CF92" s="331" t="s">
        <v>984</v>
      </c>
      <c r="CG92" s="331" t="s">
        <v>984</v>
      </c>
      <c r="CH92" s="331" t="s">
        <v>190</v>
      </c>
      <c r="CI92" s="331" t="s">
        <v>190</v>
      </c>
      <c r="CJ92" s="331" t="s">
        <v>190</v>
      </c>
      <c r="CK92" s="331" t="s">
        <v>984</v>
      </c>
      <c r="CL92" s="331" t="s">
        <v>984</v>
      </c>
      <c r="CM92" s="331" t="s">
        <v>984</v>
      </c>
      <c r="CN92" s="331" t="s">
        <v>984</v>
      </c>
      <c r="CO92" s="331" t="s">
        <v>984</v>
      </c>
      <c r="CP92" s="331" t="s">
        <v>984</v>
      </c>
      <c r="CQ92" s="331" t="s">
        <v>984</v>
      </c>
      <c r="CR92" s="331" t="s">
        <v>984</v>
      </c>
      <c r="CS92" s="331" t="s">
        <v>984</v>
      </c>
      <c r="CT92" s="331" t="s">
        <v>984</v>
      </c>
      <c r="CU92" s="331" t="s">
        <v>984</v>
      </c>
      <c r="CV92" s="331" t="s">
        <v>984</v>
      </c>
      <c r="CW92" s="331" t="s">
        <v>984</v>
      </c>
      <c r="CX92" s="331" t="s">
        <v>984</v>
      </c>
      <c r="CY92" s="331" t="s">
        <v>984</v>
      </c>
      <c r="CZ92" s="331" t="s">
        <v>984</v>
      </c>
      <c r="DA92" s="331" t="s">
        <v>984</v>
      </c>
      <c r="DB92" s="331" t="s">
        <v>984</v>
      </c>
      <c r="DC92" s="331" t="s">
        <v>984</v>
      </c>
      <c r="DD92" s="331" t="s">
        <v>984</v>
      </c>
      <c r="DE92" s="331" t="s">
        <v>984</v>
      </c>
      <c r="DF92" s="331" t="s">
        <v>984</v>
      </c>
      <c r="DG92" s="331" t="s">
        <v>984</v>
      </c>
      <c r="DH92" s="331" t="s">
        <v>984</v>
      </c>
      <c r="DI92" s="331" t="s">
        <v>984</v>
      </c>
      <c r="DJ92" s="331" t="s">
        <v>984</v>
      </c>
      <c r="DK92" s="331" t="s">
        <v>984</v>
      </c>
      <c r="DL92" s="331" t="s">
        <v>984</v>
      </c>
      <c r="DM92" s="331" t="s">
        <v>984</v>
      </c>
      <c r="DN92" s="331" t="s">
        <v>984</v>
      </c>
      <c r="DO92" s="331" t="s">
        <v>984</v>
      </c>
      <c r="DP92" s="331" t="s">
        <v>984</v>
      </c>
      <c r="DQ92" s="331" t="s">
        <v>984</v>
      </c>
      <c r="DR92" s="331" t="s">
        <v>984</v>
      </c>
      <c r="DS92" s="331" t="s">
        <v>984</v>
      </c>
      <c r="DT92" s="331" t="s">
        <v>984</v>
      </c>
      <c r="DU92" s="331" t="s">
        <v>984</v>
      </c>
      <c r="DV92" s="331" t="s">
        <v>984</v>
      </c>
      <c r="DW92" s="331" t="s">
        <v>984</v>
      </c>
      <c r="DX92" s="331" t="s">
        <v>984</v>
      </c>
      <c r="DY92" s="331" t="s">
        <v>984</v>
      </c>
      <c r="DZ92" s="331" t="s">
        <v>984</v>
      </c>
      <c r="EA92" s="331" t="s">
        <v>984</v>
      </c>
      <c r="EB92" s="331" t="s">
        <v>984</v>
      </c>
      <c r="EC92" s="331" t="s">
        <v>984</v>
      </c>
      <c r="ED92" s="331" t="s">
        <v>984</v>
      </c>
      <c r="EE92" s="331" t="s">
        <v>984</v>
      </c>
      <c r="EF92" s="331" t="s">
        <v>984</v>
      </c>
      <c r="EG92" s="331" t="s">
        <v>984</v>
      </c>
      <c r="EH92" s="331" t="s">
        <v>984</v>
      </c>
      <c r="EI92" s="331" t="s">
        <v>984</v>
      </c>
      <c r="EJ92" s="331" t="s">
        <v>984</v>
      </c>
      <c r="EK92" s="331" t="s">
        <v>984</v>
      </c>
      <c r="EL92" s="331" t="s">
        <v>984</v>
      </c>
      <c r="EM92" s="331" t="s">
        <v>984</v>
      </c>
      <c r="EN92" s="331" t="s">
        <v>984</v>
      </c>
      <c r="EO92" s="331" t="s">
        <v>984</v>
      </c>
      <c r="EP92" s="331" t="s">
        <v>984</v>
      </c>
      <c r="EQ92" s="331" t="s">
        <v>984</v>
      </c>
      <c r="ER92" s="331" t="s">
        <v>984</v>
      </c>
      <c r="ES92" s="331" t="s">
        <v>984</v>
      </c>
      <c r="ET92" s="331" t="s">
        <v>984</v>
      </c>
      <c r="EU92" s="331" t="s">
        <v>984</v>
      </c>
      <c r="EV92" s="331" t="s">
        <v>984</v>
      </c>
      <c r="EW92" s="331" t="s">
        <v>190</v>
      </c>
      <c r="EX92" s="331" t="s">
        <v>984</v>
      </c>
      <c r="EY92" s="331" t="s">
        <v>190</v>
      </c>
      <c r="EZ92" s="331" t="s">
        <v>984</v>
      </c>
      <c r="FA92" s="331" t="s">
        <v>984</v>
      </c>
      <c r="FB92" s="331" t="s">
        <v>190</v>
      </c>
      <c r="FC92" s="331" t="s">
        <v>984</v>
      </c>
      <c r="FD92" s="331" t="s">
        <v>984</v>
      </c>
      <c r="FE92" s="331" t="s">
        <v>984</v>
      </c>
      <c r="FF92" s="331" t="s">
        <v>984</v>
      </c>
      <c r="FG92" s="331" t="s">
        <v>984</v>
      </c>
      <c r="FH92" s="331" t="s">
        <v>984</v>
      </c>
      <c r="FI92" s="331" t="s">
        <v>984</v>
      </c>
      <c r="FJ92" s="331" t="s">
        <v>984</v>
      </c>
      <c r="FK92" s="331" t="s">
        <v>984</v>
      </c>
      <c r="FL92" s="331" t="s">
        <v>984</v>
      </c>
      <c r="FM92" s="331" t="s">
        <v>984</v>
      </c>
      <c r="FN92" s="331" t="s">
        <v>984</v>
      </c>
      <c r="FO92" s="331" t="s">
        <v>984</v>
      </c>
      <c r="FP92" s="331" t="s">
        <v>984</v>
      </c>
      <c r="FQ92" s="331" t="s">
        <v>984</v>
      </c>
      <c r="FR92" s="331" t="s">
        <v>984</v>
      </c>
      <c r="FS92" s="331" t="s">
        <v>190</v>
      </c>
      <c r="FT92" s="331" t="s">
        <v>984</v>
      </c>
      <c r="FU92" s="331" t="s">
        <v>984</v>
      </c>
      <c r="FV92" s="331" t="s">
        <v>190</v>
      </c>
      <c r="FW92" s="331" t="s">
        <v>984</v>
      </c>
      <c r="FX92" s="331" t="s">
        <v>984</v>
      </c>
      <c r="FY92" s="331" t="s">
        <v>984</v>
      </c>
      <c r="FZ92" s="331" t="s">
        <v>984</v>
      </c>
      <c r="GA92" s="331" t="s">
        <v>984</v>
      </c>
      <c r="GB92" s="331" t="s">
        <v>984</v>
      </c>
      <c r="GC92" s="331" t="s">
        <v>984</v>
      </c>
      <c r="GD92" s="331" t="s">
        <v>984</v>
      </c>
      <c r="GE92" s="331" t="s">
        <v>984</v>
      </c>
      <c r="GF92" s="331" t="s">
        <v>984</v>
      </c>
      <c r="GG92" s="331" t="s">
        <v>984</v>
      </c>
      <c r="GH92" s="331" t="s">
        <v>984</v>
      </c>
      <c r="GI92" s="331" t="s">
        <v>984</v>
      </c>
      <c r="GJ92" s="331" t="s">
        <v>984</v>
      </c>
      <c r="GK92" s="331" t="s">
        <v>984</v>
      </c>
      <c r="GL92" s="331" t="s">
        <v>984</v>
      </c>
      <c r="GM92" s="331" t="s">
        <v>984</v>
      </c>
      <c r="GN92" s="331" t="s">
        <v>984</v>
      </c>
      <c r="GO92" s="331" t="s">
        <v>984</v>
      </c>
      <c r="GP92" s="331" t="s">
        <v>984</v>
      </c>
      <c r="GQ92" s="331" t="s">
        <v>984</v>
      </c>
      <c r="GR92" s="331" t="s">
        <v>984</v>
      </c>
      <c r="GS92" s="331" t="s">
        <v>984</v>
      </c>
      <c r="GT92" s="331" t="s">
        <v>984</v>
      </c>
      <c r="GU92" s="331" t="s">
        <v>984</v>
      </c>
      <c r="GV92" s="331" t="s">
        <v>984</v>
      </c>
      <c r="GW92" s="331" t="s">
        <v>984</v>
      </c>
      <c r="GX92" s="331" t="s">
        <v>984</v>
      </c>
      <c r="GY92" s="331" t="s">
        <v>984</v>
      </c>
      <c r="GZ92" s="331" t="s">
        <v>984</v>
      </c>
      <c r="HA92" s="331" t="s">
        <v>984</v>
      </c>
      <c r="HB92" s="331" t="s">
        <v>984</v>
      </c>
      <c r="HC92" s="331" t="s">
        <v>984</v>
      </c>
      <c r="HD92" s="331" t="s">
        <v>984</v>
      </c>
      <c r="HE92" s="331" t="s">
        <v>984</v>
      </c>
      <c r="HF92" s="331" t="s">
        <v>984</v>
      </c>
      <c r="HG92" s="331" t="s">
        <v>984</v>
      </c>
      <c r="HH92" s="331" t="s">
        <v>984</v>
      </c>
      <c r="HI92" s="331" t="s">
        <v>984</v>
      </c>
      <c r="HJ92" s="331" t="s">
        <v>984</v>
      </c>
      <c r="HK92" s="331" t="s">
        <v>984</v>
      </c>
      <c r="HL92" s="331" t="s">
        <v>984</v>
      </c>
      <c r="HM92" s="331" t="s">
        <v>190</v>
      </c>
      <c r="HN92" s="331" t="s">
        <v>190</v>
      </c>
      <c r="HO92" s="331" t="s">
        <v>190</v>
      </c>
      <c r="HP92" s="331" t="s">
        <v>190</v>
      </c>
      <c r="HQ92" s="331" t="s">
        <v>170</v>
      </c>
      <c r="HR92" s="331" t="s">
        <v>429</v>
      </c>
      <c r="HS92" s="331" t="s">
        <v>169</v>
      </c>
      <c r="HT92" s="331" t="s">
        <v>427</v>
      </c>
      <c r="HU92" s="331" t="s">
        <v>428</v>
      </c>
      <c r="HV92" s="331" t="s">
        <v>428</v>
      </c>
    </row>
    <row r="93" spans="1:230" s="70" customFormat="1" x14ac:dyDescent="0.25">
      <c r="A93" s="330" t="str">
        <f>HYPERLINK("http://www.ofsted.gov.uk/inspection-reports/find-inspection-report/provider/ELS/135998 ","Ofsted School Webpage")</f>
        <v>Ofsted School Webpage</v>
      </c>
      <c r="B93" s="331">
        <v>135998</v>
      </c>
      <c r="C93" s="331">
        <v>3596011</v>
      </c>
      <c r="D93" s="331" t="s">
        <v>2011</v>
      </c>
      <c r="E93" s="331" t="s">
        <v>167</v>
      </c>
      <c r="F93" s="331" t="s">
        <v>431</v>
      </c>
      <c r="G93" s="331" t="s">
        <v>431</v>
      </c>
      <c r="H93" s="331" t="s">
        <v>432</v>
      </c>
      <c r="I93" s="331" t="s">
        <v>2012</v>
      </c>
      <c r="J93" s="331" t="s">
        <v>81</v>
      </c>
      <c r="K93" s="331" t="s">
        <v>81</v>
      </c>
      <c r="L93" s="331" t="s">
        <v>81</v>
      </c>
      <c r="M93" s="331" t="s">
        <v>78</v>
      </c>
      <c r="N93" s="331" t="s">
        <v>424</v>
      </c>
      <c r="O93" s="331">
        <v>10125106</v>
      </c>
      <c r="P93" s="332">
        <v>43769</v>
      </c>
      <c r="Q93" s="332">
        <v>43769</v>
      </c>
      <c r="R93" s="332">
        <v>43809</v>
      </c>
      <c r="S93" s="331" t="s">
        <v>981</v>
      </c>
      <c r="T93" s="331" t="s">
        <v>982</v>
      </c>
      <c r="U93" s="331" t="s">
        <v>427</v>
      </c>
      <c r="V93" s="331" t="s">
        <v>983</v>
      </c>
      <c r="W93" s="331" t="s">
        <v>190</v>
      </c>
      <c r="X93" s="331" t="s">
        <v>190</v>
      </c>
      <c r="Y93" s="331" t="s">
        <v>190</v>
      </c>
      <c r="Z93" s="331" t="s">
        <v>190</v>
      </c>
      <c r="AA93" s="331" t="s">
        <v>190</v>
      </c>
      <c r="AB93" s="331" t="s">
        <v>190</v>
      </c>
      <c r="AC93" s="331" t="s">
        <v>190</v>
      </c>
      <c r="AD93" s="331" t="s">
        <v>190</v>
      </c>
      <c r="AE93" s="331" t="s">
        <v>428</v>
      </c>
      <c r="AF93" s="331" t="s">
        <v>190</v>
      </c>
      <c r="AG93" s="331" t="s">
        <v>190</v>
      </c>
      <c r="AH93" s="331" t="s">
        <v>190</v>
      </c>
      <c r="AI93" s="331" t="s">
        <v>190</v>
      </c>
      <c r="AJ93" s="331" t="s">
        <v>190</v>
      </c>
      <c r="AK93" s="331" t="s">
        <v>190</v>
      </c>
      <c r="AL93" s="331" t="s">
        <v>190</v>
      </c>
      <c r="AM93" s="331" t="s">
        <v>190</v>
      </c>
      <c r="AN93" s="331" t="s">
        <v>428</v>
      </c>
      <c r="AO93" s="331" t="s">
        <v>190</v>
      </c>
      <c r="AP93" s="331" t="s">
        <v>190</v>
      </c>
      <c r="AQ93" s="331" t="s">
        <v>190</v>
      </c>
      <c r="AR93" s="331" t="s">
        <v>190</v>
      </c>
      <c r="AS93" s="331" t="s">
        <v>190</v>
      </c>
      <c r="AT93" s="331" t="s">
        <v>190</v>
      </c>
      <c r="AU93" s="331" t="s">
        <v>190</v>
      </c>
      <c r="AV93" s="331" t="s">
        <v>190</v>
      </c>
      <c r="AW93" s="331" t="s">
        <v>190</v>
      </c>
      <c r="AX93" s="331" t="s">
        <v>190</v>
      </c>
      <c r="AY93" s="331" t="s">
        <v>190</v>
      </c>
      <c r="AZ93" s="331" t="s">
        <v>190</v>
      </c>
      <c r="BA93" s="331" t="s">
        <v>190</v>
      </c>
      <c r="BB93" s="331" t="s">
        <v>984</v>
      </c>
      <c r="BC93" s="331" t="s">
        <v>190</v>
      </c>
      <c r="BD93" s="331" t="s">
        <v>190</v>
      </c>
      <c r="BE93" s="331" t="s">
        <v>190</v>
      </c>
      <c r="BF93" s="331" t="s">
        <v>190</v>
      </c>
      <c r="BG93" s="331" t="s">
        <v>190</v>
      </c>
      <c r="BH93" s="331" t="s">
        <v>190</v>
      </c>
      <c r="BI93" s="331" t="s">
        <v>190</v>
      </c>
      <c r="BJ93" s="331" t="s">
        <v>190</v>
      </c>
      <c r="BK93" s="331" t="s">
        <v>190</v>
      </c>
      <c r="BL93" s="331" t="s">
        <v>190</v>
      </c>
      <c r="BM93" s="331" t="s">
        <v>190</v>
      </c>
      <c r="BN93" s="331" t="s">
        <v>190</v>
      </c>
      <c r="BO93" s="331" t="s">
        <v>190</v>
      </c>
      <c r="BP93" s="331" t="s">
        <v>190</v>
      </c>
      <c r="BQ93" s="331" t="s">
        <v>190</v>
      </c>
      <c r="BR93" s="331" t="s">
        <v>190</v>
      </c>
      <c r="BS93" s="331" t="s">
        <v>190</v>
      </c>
      <c r="BT93" s="331" t="s">
        <v>190</v>
      </c>
      <c r="BU93" s="331" t="s">
        <v>428</v>
      </c>
      <c r="BV93" s="331" t="s">
        <v>428</v>
      </c>
      <c r="BW93" s="331" t="s">
        <v>428</v>
      </c>
      <c r="BX93" s="331" t="s">
        <v>190</v>
      </c>
      <c r="BY93" s="331" t="s">
        <v>190</v>
      </c>
      <c r="BZ93" s="331" t="s">
        <v>190</v>
      </c>
      <c r="CA93" s="331" t="s">
        <v>190</v>
      </c>
      <c r="CB93" s="331" t="s">
        <v>190</v>
      </c>
      <c r="CC93" s="331" t="s">
        <v>190</v>
      </c>
      <c r="CD93" s="331" t="s">
        <v>190</v>
      </c>
      <c r="CE93" s="331" t="s">
        <v>190</v>
      </c>
      <c r="CF93" s="331" t="s">
        <v>190</v>
      </c>
      <c r="CG93" s="331" t="s">
        <v>190</v>
      </c>
      <c r="CH93" s="331" t="s">
        <v>190</v>
      </c>
      <c r="CI93" s="331" t="s">
        <v>190</v>
      </c>
      <c r="CJ93" s="331" t="s">
        <v>190</v>
      </c>
      <c r="CK93" s="331" t="s">
        <v>984</v>
      </c>
      <c r="CL93" s="331" t="s">
        <v>984</v>
      </c>
      <c r="CM93" s="331" t="s">
        <v>984</v>
      </c>
      <c r="CN93" s="331" t="s">
        <v>984</v>
      </c>
      <c r="CO93" s="331" t="s">
        <v>984</v>
      </c>
      <c r="CP93" s="331" t="s">
        <v>984</v>
      </c>
      <c r="CQ93" s="331" t="s">
        <v>984</v>
      </c>
      <c r="CR93" s="331" t="s">
        <v>984</v>
      </c>
      <c r="CS93" s="331" t="s">
        <v>984</v>
      </c>
      <c r="CT93" s="331" t="s">
        <v>984</v>
      </c>
      <c r="CU93" s="331" t="s">
        <v>984</v>
      </c>
      <c r="CV93" s="331" t="s">
        <v>984</v>
      </c>
      <c r="CW93" s="331" t="s">
        <v>984</v>
      </c>
      <c r="CX93" s="331" t="s">
        <v>984</v>
      </c>
      <c r="CY93" s="331" t="s">
        <v>984</v>
      </c>
      <c r="CZ93" s="331" t="s">
        <v>984</v>
      </c>
      <c r="DA93" s="331" t="s">
        <v>984</v>
      </c>
      <c r="DB93" s="331" t="s">
        <v>984</v>
      </c>
      <c r="DC93" s="331" t="s">
        <v>984</v>
      </c>
      <c r="DD93" s="331" t="s">
        <v>984</v>
      </c>
      <c r="DE93" s="331" t="s">
        <v>984</v>
      </c>
      <c r="DF93" s="331" t="s">
        <v>984</v>
      </c>
      <c r="DG93" s="331" t="s">
        <v>984</v>
      </c>
      <c r="DH93" s="331" t="s">
        <v>984</v>
      </c>
      <c r="DI93" s="331" t="s">
        <v>984</v>
      </c>
      <c r="DJ93" s="331" t="s">
        <v>984</v>
      </c>
      <c r="DK93" s="331" t="s">
        <v>984</v>
      </c>
      <c r="DL93" s="331" t="s">
        <v>984</v>
      </c>
      <c r="DM93" s="331" t="s">
        <v>984</v>
      </c>
      <c r="DN93" s="331" t="s">
        <v>984</v>
      </c>
      <c r="DO93" s="331" t="s">
        <v>984</v>
      </c>
      <c r="DP93" s="331" t="s">
        <v>984</v>
      </c>
      <c r="DQ93" s="331" t="s">
        <v>984</v>
      </c>
      <c r="DR93" s="331" t="s">
        <v>984</v>
      </c>
      <c r="DS93" s="331" t="s">
        <v>984</v>
      </c>
      <c r="DT93" s="331" t="s">
        <v>984</v>
      </c>
      <c r="DU93" s="331" t="s">
        <v>984</v>
      </c>
      <c r="DV93" s="331" t="s">
        <v>984</v>
      </c>
      <c r="DW93" s="331" t="s">
        <v>984</v>
      </c>
      <c r="DX93" s="331" t="s">
        <v>984</v>
      </c>
      <c r="DY93" s="331" t="s">
        <v>984</v>
      </c>
      <c r="DZ93" s="331" t="s">
        <v>984</v>
      </c>
      <c r="EA93" s="331" t="s">
        <v>984</v>
      </c>
      <c r="EB93" s="331" t="s">
        <v>984</v>
      </c>
      <c r="EC93" s="331" t="s">
        <v>984</v>
      </c>
      <c r="ED93" s="331" t="s">
        <v>984</v>
      </c>
      <c r="EE93" s="331" t="s">
        <v>984</v>
      </c>
      <c r="EF93" s="331" t="s">
        <v>984</v>
      </c>
      <c r="EG93" s="331" t="s">
        <v>984</v>
      </c>
      <c r="EH93" s="331" t="s">
        <v>984</v>
      </c>
      <c r="EI93" s="331" t="s">
        <v>984</v>
      </c>
      <c r="EJ93" s="331" t="s">
        <v>984</v>
      </c>
      <c r="EK93" s="331" t="s">
        <v>984</v>
      </c>
      <c r="EL93" s="331" t="s">
        <v>984</v>
      </c>
      <c r="EM93" s="331" t="s">
        <v>984</v>
      </c>
      <c r="EN93" s="331" t="s">
        <v>984</v>
      </c>
      <c r="EO93" s="331" t="s">
        <v>984</v>
      </c>
      <c r="EP93" s="331" t="s">
        <v>984</v>
      </c>
      <c r="EQ93" s="331" t="s">
        <v>984</v>
      </c>
      <c r="ER93" s="331" t="s">
        <v>984</v>
      </c>
      <c r="ES93" s="331" t="s">
        <v>190</v>
      </c>
      <c r="ET93" s="331" t="s">
        <v>190</v>
      </c>
      <c r="EU93" s="331" t="s">
        <v>190</v>
      </c>
      <c r="EV93" s="331" t="s">
        <v>190</v>
      </c>
      <c r="EW93" s="331" t="s">
        <v>190</v>
      </c>
      <c r="EX93" s="331" t="s">
        <v>190</v>
      </c>
      <c r="EY93" s="331" t="s">
        <v>190</v>
      </c>
      <c r="EZ93" s="331" t="s">
        <v>428</v>
      </c>
      <c r="FA93" s="331" t="s">
        <v>190</v>
      </c>
      <c r="FB93" s="331" t="s">
        <v>190</v>
      </c>
      <c r="FC93" s="331" t="s">
        <v>190</v>
      </c>
      <c r="FD93" s="331" t="s">
        <v>190</v>
      </c>
      <c r="FE93" s="331" t="s">
        <v>190</v>
      </c>
      <c r="FF93" s="331" t="s">
        <v>190</v>
      </c>
      <c r="FG93" s="331" t="s">
        <v>190</v>
      </c>
      <c r="FH93" s="331" t="s">
        <v>190</v>
      </c>
      <c r="FI93" s="331" t="s">
        <v>190</v>
      </c>
      <c r="FJ93" s="331" t="s">
        <v>190</v>
      </c>
      <c r="FK93" s="331" t="s">
        <v>190</v>
      </c>
      <c r="FL93" s="331" t="s">
        <v>190</v>
      </c>
      <c r="FM93" s="331" t="s">
        <v>190</v>
      </c>
      <c r="FN93" s="331" t="s">
        <v>190</v>
      </c>
      <c r="FO93" s="331" t="s">
        <v>190</v>
      </c>
      <c r="FP93" s="331" t="s">
        <v>190</v>
      </c>
      <c r="FQ93" s="331" t="s">
        <v>190</v>
      </c>
      <c r="FR93" s="331" t="s">
        <v>428</v>
      </c>
      <c r="FS93" s="331" t="s">
        <v>190</v>
      </c>
      <c r="FT93" s="331" t="s">
        <v>984</v>
      </c>
      <c r="FU93" s="331" t="s">
        <v>984</v>
      </c>
      <c r="FV93" s="331" t="s">
        <v>190</v>
      </c>
      <c r="FW93" s="331" t="s">
        <v>984</v>
      </c>
      <c r="FX93" s="331" t="s">
        <v>984</v>
      </c>
      <c r="FY93" s="331" t="s">
        <v>984</v>
      </c>
      <c r="FZ93" s="331" t="s">
        <v>984</v>
      </c>
      <c r="GA93" s="331" t="s">
        <v>984</v>
      </c>
      <c r="GB93" s="331" t="s">
        <v>984</v>
      </c>
      <c r="GC93" s="331" t="s">
        <v>984</v>
      </c>
      <c r="GD93" s="331" t="s">
        <v>984</v>
      </c>
      <c r="GE93" s="331" t="s">
        <v>984</v>
      </c>
      <c r="GF93" s="331" t="s">
        <v>984</v>
      </c>
      <c r="GG93" s="331" t="s">
        <v>984</v>
      </c>
      <c r="GH93" s="331" t="s">
        <v>984</v>
      </c>
      <c r="GI93" s="331" t="s">
        <v>984</v>
      </c>
      <c r="GJ93" s="331" t="s">
        <v>984</v>
      </c>
      <c r="GK93" s="331" t="s">
        <v>984</v>
      </c>
      <c r="GL93" s="331" t="s">
        <v>984</v>
      </c>
      <c r="GM93" s="331" t="s">
        <v>984</v>
      </c>
      <c r="GN93" s="331" t="s">
        <v>984</v>
      </c>
      <c r="GO93" s="331" t="s">
        <v>984</v>
      </c>
      <c r="GP93" s="331" t="s">
        <v>984</v>
      </c>
      <c r="GQ93" s="331" t="s">
        <v>984</v>
      </c>
      <c r="GR93" s="331" t="s">
        <v>984</v>
      </c>
      <c r="GS93" s="331" t="s">
        <v>984</v>
      </c>
      <c r="GT93" s="331" t="s">
        <v>984</v>
      </c>
      <c r="GU93" s="331" t="s">
        <v>984</v>
      </c>
      <c r="GV93" s="331" t="s">
        <v>984</v>
      </c>
      <c r="GW93" s="331" t="s">
        <v>984</v>
      </c>
      <c r="GX93" s="331" t="s">
        <v>984</v>
      </c>
      <c r="GY93" s="331" t="s">
        <v>984</v>
      </c>
      <c r="GZ93" s="331" t="s">
        <v>984</v>
      </c>
      <c r="HA93" s="331" t="s">
        <v>984</v>
      </c>
      <c r="HB93" s="331" t="s">
        <v>984</v>
      </c>
      <c r="HC93" s="331" t="s">
        <v>984</v>
      </c>
      <c r="HD93" s="331" t="s">
        <v>984</v>
      </c>
      <c r="HE93" s="331" t="s">
        <v>984</v>
      </c>
      <c r="HF93" s="331" t="s">
        <v>984</v>
      </c>
      <c r="HG93" s="331" t="s">
        <v>984</v>
      </c>
      <c r="HH93" s="331" t="s">
        <v>984</v>
      </c>
      <c r="HI93" s="331" t="s">
        <v>984</v>
      </c>
      <c r="HJ93" s="331" t="s">
        <v>984</v>
      </c>
      <c r="HK93" s="331" t="s">
        <v>984</v>
      </c>
      <c r="HL93" s="331" t="s">
        <v>984</v>
      </c>
      <c r="HM93" s="331" t="s">
        <v>190</v>
      </c>
      <c r="HN93" s="331" t="s">
        <v>190</v>
      </c>
      <c r="HO93" s="331" t="s">
        <v>190</v>
      </c>
      <c r="HP93" s="331" t="s">
        <v>190</v>
      </c>
      <c r="HQ93" s="331" t="s">
        <v>170</v>
      </c>
      <c r="HR93" s="331" t="s">
        <v>429</v>
      </c>
      <c r="HS93" s="331" t="s">
        <v>169</v>
      </c>
      <c r="HT93" s="331" t="s">
        <v>427</v>
      </c>
      <c r="HU93" s="331" t="s">
        <v>190</v>
      </c>
      <c r="HV93" s="331" t="s">
        <v>190</v>
      </c>
    </row>
    <row r="94" spans="1:230" s="70" customFormat="1" x14ac:dyDescent="0.25">
      <c r="A94" s="330" t="str">
        <f>HYPERLINK("http://www.ofsted.gov.uk/inspection-reports/find-inspection-report/provider/ELS/147471 ","Ofsted School Webpage")</f>
        <v>Ofsted School Webpage</v>
      </c>
      <c r="B94" s="331">
        <v>147471</v>
      </c>
      <c r="C94" s="331">
        <v>8786082</v>
      </c>
      <c r="D94" s="331" t="s">
        <v>2747</v>
      </c>
      <c r="E94" s="331" t="s">
        <v>168</v>
      </c>
      <c r="F94" s="331" t="s">
        <v>422</v>
      </c>
      <c r="G94" s="331" t="s">
        <v>422</v>
      </c>
      <c r="H94" s="331" t="s">
        <v>663</v>
      </c>
      <c r="I94" s="331" t="s">
        <v>2748</v>
      </c>
      <c r="J94" s="331" t="s">
        <v>434</v>
      </c>
      <c r="K94" s="331" t="s">
        <v>81</v>
      </c>
      <c r="L94" s="331" t="s">
        <v>81</v>
      </c>
      <c r="M94" s="331" t="s">
        <v>78</v>
      </c>
      <c r="N94" s="331" t="s">
        <v>424</v>
      </c>
      <c r="O94" s="331">
        <v>10123250</v>
      </c>
      <c r="P94" s="332">
        <v>43769</v>
      </c>
      <c r="Q94" s="332">
        <v>43769</v>
      </c>
      <c r="R94" s="332">
        <v>43787</v>
      </c>
      <c r="S94" s="331" t="s">
        <v>2583</v>
      </c>
      <c r="T94" s="331" t="s">
        <v>982</v>
      </c>
      <c r="U94" s="331" t="s">
        <v>427</v>
      </c>
      <c r="V94" s="331" t="s">
        <v>2584</v>
      </c>
      <c r="W94" s="331" t="s">
        <v>190</v>
      </c>
      <c r="X94" s="331" t="s">
        <v>190</v>
      </c>
      <c r="Y94" s="331" t="s">
        <v>190</v>
      </c>
      <c r="Z94" s="331" t="s">
        <v>190</v>
      </c>
      <c r="AA94" s="331" t="s">
        <v>190</v>
      </c>
      <c r="AB94" s="331" t="s">
        <v>190</v>
      </c>
      <c r="AC94" s="331" t="s">
        <v>190</v>
      </c>
      <c r="AD94" s="331" t="s">
        <v>190</v>
      </c>
      <c r="AE94" s="331" t="s">
        <v>428</v>
      </c>
      <c r="AF94" s="331" t="s">
        <v>190</v>
      </c>
      <c r="AG94" s="331" t="s">
        <v>190</v>
      </c>
      <c r="AH94" s="331" t="s">
        <v>190</v>
      </c>
      <c r="AI94" s="331" t="s">
        <v>190</v>
      </c>
      <c r="AJ94" s="331" t="s">
        <v>190</v>
      </c>
      <c r="AK94" s="331" t="s">
        <v>190</v>
      </c>
      <c r="AL94" s="331" t="s">
        <v>190</v>
      </c>
      <c r="AM94" s="331" t="s">
        <v>428</v>
      </c>
      <c r="AN94" s="331" t="s">
        <v>428</v>
      </c>
      <c r="AO94" s="331" t="s">
        <v>190</v>
      </c>
      <c r="AP94" s="331" t="s">
        <v>190</v>
      </c>
      <c r="AQ94" s="331" t="s">
        <v>190</v>
      </c>
      <c r="AR94" s="331" t="s">
        <v>190</v>
      </c>
      <c r="AS94" s="331" t="s">
        <v>190</v>
      </c>
      <c r="AT94" s="331" t="s">
        <v>190</v>
      </c>
      <c r="AU94" s="331" t="s">
        <v>190</v>
      </c>
      <c r="AV94" s="331" t="s">
        <v>190</v>
      </c>
      <c r="AW94" s="331" t="s">
        <v>190</v>
      </c>
      <c r="AX94" s="331" t="s">
        <v>190</v>
      </c>
      <c r="AY94" s="331" t="s">
        <v>190</v>
      </c>
      <c r="AZ94" s="331" t="s">
        <v>190</v>
      </c>
      <c r="BA94" s="331" t="s">
        <v>190</v>
      </c>
      <c r="BB94" s="331" t="s">
        <v>190</v>
      </c>
      <c r="BC94" s="331" t="s">
        <v>190</v>
      </c>
      <c r="BD94" s="331" t="s">
        <v>190</v>
      </c>
      <c r="BE94" s="331" t="s">
        <v>190</v>
      </c>
      <c r="BF94" s="331" t="s">
        <v>190</v>
      </c>
      <c r="BG94" s="331" t="s">
        <v>190</v>
      </c>
      <c r="BH94" s="331" t="s">
        <v>190</v>
      </c>
      <c r="BI94" s="331" t="s">
        <v>190</v>
      </c>
      <c r="BJ94" s="331" t="s">
        <v>190</v>
      </c>
      <c r="BK94" s="331" t="s">
        <v>190</v>
      </c>
      <c r="BL94" s="331" t="s">
        <v>190</v>
      </c>
      <c r="BM94" s="331" t="s">
        <v>190</v>
      </c>
      <c r="BN94" s="331" t="s">
        <v>190</v>
      </c>
      <c r="BO94" s="331" t="s">
        <v>190</v>
      </c>
      <c r="BP94" s="331" t="s">
        <v>190</v>
      </c>
      <c r="BQ94" s="331" t="s">
        <v>190</v>
      </c>
      <c r="BR94" s="331" t="s">
        <v>190</v>
      </c>
      <c r="BS94" s="331" t="s">
        <v>190</v>
      </c>
      <c r="BT94" s="331" t="s">
        <v>190</v>
      </c>
      <c r="BU94" s="331" t="s">
        <v>428</v>
      </c>
      <c r="BV94" s="331" t="s">
        <v>428</v>
      </c>
      <c r="BW94" s="331" t="s">
        <v>428</v>
      </c>
      <c r="BX94" s="331" t="s">
        <v>190</v>
      </c>
      <c r="BY94" s="331" t="s">
        <v>190</v>
      </c>
      <c r="BZ94" s="331" t="s">
        <v>190</v>
      </c>
      <c r="CA94" s="331" t="s">
        <v>190</v>
      </c>
      <c r="CB94" s="331" t="s">
        <v>190</v>
      </c>
      <c r="CC94" s="331" t="s">
        <v>190</v>
      </c>
      <c r="CD94" s="331" t="s">
        <v>190</v>
      </c>
      <c r="CE94" s="331" t="s">
        <v>190</v>
      </c>
      <c r="CF94" s="331" t="s">
        <v>190</v>
      </c>
      <c r="CG94" s="331" t="s">
        <v>190</v>
      </c>
      <c r="CH94" s="331" t="s">
        <v>190</v>
      </c>
      <c r="CI94" s="331" t="s">
        <v>190</v>
      </c>
      <c r="CJ94" s="331" t="s">
        <v>190</v>
      </c>
      <c r="CK94" s="331" t="s">
        <v>190</v>
      </c>
      <c r="CL94" s="331" t="s">
        <v>190</v>
      </c>
      <c r="CM94" s="331" t="s">
        <v>190</v>
      </c>
      <c r="CN94" s="331" t="s">
        <v>190</v>
      </c>
      <c r="CO94" s="331" t="s">
        <v>190</v>
      </c>
      <c r="CP94" s="331" t="s">
        <v>190</v>
      </c>
      <c r="CQ94" s="331" t="s">
        <v>190</v>
      </c>
      <c r="CR94" s="331" t="s">
        <v>190</v>
      </c>
      <c r="CS94" s="331" t="s">
        <v>190</v>
      </c>
      <c r="CT94" s="331" t="s">
        <v>190</v>
      </c>
      <c r="CU94" s="331" t="s">
        <v>428</v>
      </c>
      <c r="CV94" s="331" t="s">
        <v>190</v>
      </c>
      <c r="CW94" s="331" t="s">
        <v>190</v>
      </c>
      <c r="CX94" s="331" t="s">
        <v>190</v>
      </c>
      <c r="CY94" s="331" t="s">
        <v>190</v>
      </c>
      <c r="CZ94" s="331" t="s">
        <v>190</v>
      </c>
      <c r="DA94" s="331" t="s">
        <v>190</v>
      </c>
      <c r="DB94" s="331" t="s">
        <v>190</v>
      </c>
      <c r="DC94" s="331" t="s">
        <v>190</v>
      </c>
      <c r="DD94" s="331" t="s">
        <v>190</v>
      </c>
      <c r="DE94" s="331" t="s">
        <v>190</v>
      </c>
      <c r="DF94" s="331" t="s">
        <v>190</v>
      </c>
      <c r="DG94" s="331" t="s">
        <v>190</v>
      </c>
      <c r="DH94" s="331" t="s">
        <v>190</v>
      </c>
      <c r="DI94" s="331" t="s">
        <v>190</v>
      </c>
      <c r="DJ94" s="331" t="s">
        <v>428</v>
      </c>
      <c r="DK94" s="331" t="s">
        <v>190</v>
      </c>
      <c r="DL94" s="331" t="s">
        <v>190</v>
      </c>
      <c r="DM94" s="331" t="s">
        <v>190</v>
      </c>
      <c r="DN94" s="331" t="s">
        <v>190</v>
      </c>
      <c r="DO94" s="331" t="s">
        <v>190</v>
      </c>
      <c r="DP94" s="331" t="s">
        <v>190</v>
      </c>
      <c r="DQ94" s="331" t="s">
        <v>190</v>
      </c>
      <c r="DR94" s="331" t="s">
        <v>190</v>
      </c>
      <c r="DS94" s="331" t="s">
        <v>190</v>
      </c>
      <c r="DT94" s="331" t="s">
        <v>190</v>
      </c>
      <c r="DU94" s="331" t="s">
        <v>190</v>
      </c>
      <c r="DV94" s="331" t="s">
        <v>190</v>
      </c>
      <c r="DW94" s="331" t="s">
        <v>190</v>
      </c>
      <c r="DX94" s="331" t="s">
        <v>190</v>
      </c>
      <c r="DY94" s="331" t="s">
        <v>190</v>
      </c>
      <c r="DZ94" s="331" t="s">
        <v>190</v>
      </c>
      <c r="EA94" s="331" t="s">
        <v>190</v>
      </c>
      <c r="EB94" s="331" t="s">
        <v>190</v>
      </c>
      <c r="EC94" s="331" t="s">
        <v>190</v>
      </c>
      <c r="ED94" s="331" t="s">
        <v>190</v>
      </c>
      <c r="EE94" s="331" t="s">
        <v>190</v>
      </c>
      <c r="EF94" s="331" t="s">
        <v>190</v>
      </c>
      <c r="EG94" s="331" t="s">
        <v>190</v>
      </c>
      <c r="EH94" s="331" t="s">
        <v>428</v>
      </c>
      <c r="EI94" s="331" t="s">
        <v>190</v>
      </c>
      <c r="EJ94" s="331" t="s">
        <v>428</v>
      </c>
      <c r="EK94" s="331" t="s">
        <v>190</v>
      </c>
      <c r="EL94" s="331" t="s">
        <v>190</v>
      </c>
      <c r="EM94" s="331" t="s">
        <v>190</v>
      </c>
      <c r="EN94" s="331" t="s">
        <v>190</v>
      </c>
      <c r="EO94" s="331" t="s">
        <v>190</v>
      </c>
      <c r="EP94" s="331" t="s">
        <v>428</v>
      </c>
      <c r="EQ94" s="331" t="s">
        <v>428</v>
      </c>
      <c r="ER94" s="331" t="s">
        <v>428</v>
      </c>
      <c r="ES94" s="331" t="s">
        <v>190</v>
      </c>
      <c r="ET94" s="331" t="s">
        <v>190</v>
      </c>
      <c r="EU94" s="331" t="s">
        <v>190</v>
      </c>
      <c r="EV94" s="331" t="s">
        <v>190</v>
      </c>
      <c r="EW94" s="331" t="s">
        <v>190</v>
      </c>
      <c r="EX94" s="331" t="s">
        <v>190</v>
      </c>
      <c r="EY94" s="331" t="s">
        <v>190</v>
      </c>
      <c r="EZ94" s="331" t="s">
        <v>428</v>
      </c>
      <c r="FA94" s="331" t="s">
        <v>190</v>
      </c>
      <c r="FB94" s="331" t="s">
        <v>190</v>
      </c>
      <c r="FC94" s="331" t="s">
        <v>190</v>
      </c>
      <c r="FD94" s="331" t="s">
        <v>190</v>
      </c>
      <c r="FE94" s="331" t="s">
        <v>190</v>
      </c>
      <c r="FF94" s="331" t="s">
        <v>190</v>
      </c>
      <c r="FG94" s="331" t="s">
        <v>190</v>
      </c>
      <c r="FH94" s="331" t="s">
        <v>190</v>
      </c>
      <c r="FI94" s="331" t="s">
        <v>190</v>
      </c>
      <c r="FJ94" s="331" t="s">
        <v>190</v>
      </c>
      <c r="FK94" s="331" t="s">
        <v>190</v>
      </c>
      <c r="FL94" s="331" t="s">
        <v>190</v>
      </c>
      <c r="FM94" s="331" t="s">
        <v>190</v>
      </c>
      <c r="FN94" s="331" t="s">
        <v>190</v>
      </c>
      <c r="FO94" s="331" t="s">
        <v>190</v>
      </c>
      <c r="FP94" s="331" t="s">
        <v>190</v>
      </c>
      <c r="FQ94" s="331" t="s">
        <v>190</v>
      </c>
      <c r="FR94" s="331" t="s">
        <v>428</v>
      </c>
      <c r="FS94" s="331" t="s">
        <v>190</v>
      </c>
      <c r="FT94" s="331" t="s">
        <v>190</v>
      </c>
      <c r="FU94" s="331" t="s">
        <v>190</v>
      </c>
      <c r="FV94" s="331" t="s">
        <v>190</v>
      </c>
      <c r="FW94" s="331" t="s">
        <v>428</v>
      </c>
      <c r="FX94" s="331" t="s">
        <v>428</v>
      </c>
      <c r="FY94" s="331" t="s">
        <v>190</v>
      </c>
      <c r="FZ94" s="331" t="s">
        <v>190</v>
      </c>
      <c r="GA94" s="331" t="s">
        <v>190</v>
      </c>
      <c r="GB94" s="331" t="s">
        <v>190</v>
      </c>
      <c r="GC94" s="331" t="s">
        <v>428</v>
      </c>
      <c r="GD94" s="331" t="s">
        <v>190</v>
      </c>
      <c r="GE94" s="331" t="s">
        <v>190</v>
      </c>
      <c r="GF94" s="331" t="s">
        <v>190</v>
      </c>
      <c r="GG94" s="331" t="s">
        <v>428</v>
      </c>
      <c r="GH94" s="331" t="s">
        <v>190</v>
      </c>
      <c r="GI94" s="331" t="s">
        <v>428</v>
      </c>
      <c r="GJ94" s="331" t="s">
        <v>190</v>
      </c>
      <c r="GK94" s="331" t="s">
        <v>190</v>
      </c>
      <c r="GL94" s="331" t="s">
        <v>190</v>
      </c>
      <c r="GM94" s="331" t="s">
        <v>190</v>
      </c>
      <c r="GN94" s="331" t="s">
        <v>190</v>
      </c>
      <c r="GO94" s="331" t="s">
        <v>190</v>
      </c>
      <c r="GP94" s="331" t="s">
        <v>190</v>
      </c>
      <c r="GQ94" s="331" t="s">
        <v>190</v>
      </c>
      <c r="GR94" s="331" t="s">
        <v>428</v>
      </c>
      <c r="GS94" s="331" t="s">
        <v>428</v>
      </c>
      <c r="GT94" s="331" t="s">
        <v>428</v>
      </c>
      <c r="GU94" s="331" t="s">
        <v>428</v>
      </c>
      <c r="GV94" s="331" t="s">
        <v>428</v>
      </c>
      <c r="GW94" s="331" t="s">
        <v>190</v>
      </c>
      <c r="GX94" s="331" t="s">
        <v>190</v>
      </c>
      <c r="GY94" s="331" t="s">
        <v>190</v>
      </c>
      <c r="GZ94" s="331" t="s">
        <v>190</v>
      </c>
      <c r="HA94" s="331" t="s">
        <v>190</v>
      </c>
      <c r="HB94" s="331" t="s">
        <v>190</v>
      </c>
      <c r="HC94" s="331" t="s">
        <v>190</v>
      </c>
      <c r="HD94" s="331" t="s">
        <v>190</v>
      </c>
      <c r="HE94" s="331" t="s">
        <v>190</v>
      </c>
      <c r="HF94" s="331" t="s">
        <v>190</v>
      </c>
      <c r="HG94" s="331" t="s">
        <v>190</v>
      </c>
      <c r="HH94" s="331" t="s">
        <v>190</v>
      </c>
      <c r="HI94" s="331" t="s">
        <v>190</v>
      </c>
      <c r="HJ94" s="331" t="s">
        <v>190</v>
      </c>
      <c r="HK94" s="331" t="s">
        <v>190</v>
      </c>
      <c r="HL94" s="331" t="s">
        <v>190</v>
      </c>
      <c r="HM94" s="331" t="s">
        <v>190</v>
      </c>
      <c r="HN94" s="331" t="s">
        <v>190</v>
      </c>
      <c r="HO94" s="331" t="s">
        <v>190</v>
      </c>
      <c r="HP94" s="331" t="s">
        <v>190</v>
      </c>
      <c r="HQ94" s="331" t="s">
        <v>529</v>
      </c>
      <c r="HR94" s="331" t="s">
        <v>429</v>
      </c>
      <c r="HS94" s="331" t="s">
        <v>169</v>
      </c>
      <c r="HT94" s="331" t="s">
        <v>427</v>
      </c>
      <c r="HU94" s="331" t="s">
        <v>428</v>
      </c>
      <c r="HV94" s="331" t="s">
        <v>428</v>
      </c>
    </row>
    <row r="95" spans="1:230" s="70" customFormat="1" x14ac:dyDescent="0.25">
      <c r="A95" s="330" t="str">
        <f>HYPERLINK("http://www.ofsted.gov.uk/inspection-reports/find-inspection-report/provider/ELS/105269 ","Ofsted School Webpage")</f>
        <v>Ofsted School Webpage</v>
      </c>
      <c r="B95" s="331">
        <v>105269</v>
      </c>
      <c r="C95" s="331">
        <v>3506000</v>
      </c>
      <c r="D95" s="331" t="s">
        <v>1338</v>
      </c>
      <c r="E95" s="331" t="s">
        <v>167</v>
      </c>
      <c r="F95" s="331" t="s">
        <v>431</v>
      </c>
      <c r="G95" s="331" t="s">
        <v>431</v>
      </c>
      <c r="H95" s="331" t="s">
        <v>1031</v>
      </c>
      <c r="I95" s="331" t="s">
        <v>2749</v>
      </c>
      <c r="J95" s="331" t="s">
        <v>81</v>
      </c>
      <c r="K95" s="331" t="s">
        <v>81</v>
      </c>
      <c r="L95" s="331" t="s">
        <v>81</v>
      </c>
      <c r="M95" s="331" t="s">
        <v>78</v>
      </c>
      <c r="N95" s="331" t="s">
        <v>424</v>
      </c>
      <c r="O95" s="331">
        <v>10129394</v>
      </c>
      <c r="P95" s="332">
        <v>43773</v>
      </c>
      <c r="Q95" s="332">
        <v>43773</v>
      </c>
      <c r="R95" s="332">
        <v>43809</v>
      </c>
      <c r="S95" s="331" t="s">
        <v>981</v>
      </c>
      <c r="T95" s="331" t="s">
        <v>982</v>
      </c>
      <c r="U95" s="331" t="s">
        <v>427</v>
      </c>
      <c r="V95" s="331" t="s">
        <v>1105</v>
      </c>
      <c r="W95" s="331" t="s">
        <v>984</v>
      </c>
      <c r="X95" s="331" t="s">
        <v>984</v>
      </c>
      <c r="Y95" s="331" t="s">
        <v>984</v>
      </c>
      <c r="Z95" s="331" t="s">
        <v>984</v>
      </c>
      <c r="AA95" s="331" t="s">
        <v>984</v>
      </c>
      <c r="AB95" s="331" t="s">
        <v>984</v>
      </c>
      <c r="AC95" s="331" t="s">
        <v>984</v>
      </c>
      <c r="AD95" s="331" t="s">
        <v>984</v>
      </c>
      <c r="AE95" s="331" t="s">
        <v>428</v>
      </c>
      <c r="AF95" s="331" t="s">
        <v>984</v>
      </c>
      <c r="AG95" s="331" t="s">
        <v>984</v>
      </c>
      <c r="AH95" s="331" t="s">
        <v>984</v>
      </c>
      <c r="AI95" s="331" t="s">
        <v>984</v>
      </c>
      <c r="AJ95" s="331" t="s">
        <v>984</v>
      </c>
      <c r="AK95" s="331" t="s">
        <v>984</v>
      </c>
      <c r="AL95" s="331" t="s">
        <v>984</v>
      </c>
      <c r="AM95" s="331" t="s">
        <v>984</v>
      </c>
      <c r="AN95" s="331" t="s">
        <v>984</v>
      </c>
      <c r="AO95" s="331" t="s">
        <v>984</v>
      </c>
      <c r="AP95" s="331" t="s">
        <v>984</v>
      </c>
      <c r="AQ95" s="331" t="s">
        <v>984</v>
      </c>
      <c r="AR95" s="331" t="s">
        <v>984</v>
      </c>
      <c r="AS95" s="331" t="s">
        <v>984</v>
      </c>
      <c r="AT95" s="331" t="s">
        <v>984</v>
      </c>
      <c r="AU95" s="331" t="s">
        <v>984</v>
      </c>
      <c r="AV95" s="331" t="s">
        <v>984</v>
      </c>
      <c r="AW95" s="331" t="s">
        <v>984</v>
      </c>
      <c r="AX95" s="331" t="s">
        <v>984</v>
      </c>
      <c r="AY95" s="331" t="s">
        <v>984</v>
      </c>
      <c r="AZ95" s="331" t="s">
        <v>984</v>
      </c>
      <c r="BA95" s="331" t="s">
        <v>984</v>
      </c>
      <c r="BB95" s="331" t="s">
        <v>984</v>
      </c>
      <c r="BC95" s="331" t="s">
        <v>984</v>
      </c>
      <c r="BD95" s="331" t="s">
        <v>984</v>
      </c>
      <c r="BE95" s="331" t="s">
        <v>984</v>
      </c>
      <c r="BF95" s="331" t="s">
        <v>984</v>
      </c>
      <c r="BG95" s="331" t="s">
        <v>984</v>
      </c>
      <c r="BH95" s="331" t="s">
        <v>984</v>
      </c>
      <c r="BI95" s="331" t="s">
        <v>984</v>
      </c>
      <c r="BJ95" s="331" t="s">
        <v>984</v>
      </c>
      <c r="BK95" s="331" t="s">
        <v>984</v>
      </c>
      <c r="BL95" s="331" t="s">
        <v>984</v>
      </c>
      <c r="BM95" s="331" t="s">
        <v>984</v>
      </c>
      <c r="BN95" s="331" t="s">
        <v>984</v>
      </c>
      <c r="BO95" s="331" t="s">
        <v>984</v>
      </c>
      <c r="BP95" s="331" t="s">
        <v>984</v>
      </c>
      <c r="BQ95" s="331" t="s">
        <v>984</v>
      </c>
      <c r="BR95" s="331" t="s">
        <v>190</v>
      </c>
      <c r="BS95" s="331" t="s">
        <v>190</v>
      </c>
      <c r="BT95" s="331" t="s">
        <v>190</v>
      </c>
      <c r="BU95" s="331" t="s">
        <v>428</v>
      </c>
      <c r="BV95" s="331" t="s">
        <v>428</v>
      </c>
      <c r="BW95" s="331" t="s">
        <v>428</v>
      </c>
      <c r="BX95" s="331" t="s">
        <v>984</v>
      </c>
      <c r="BY95" s="331" t="s">
        <v>984</v>
      </c>
      <c r="BZ95" s="331" t="s">
        <v>984</v>
      </c>
      <c r="CA95" s="331" t="s">
        <v>984</v>
      </c>
      <c r="CB95" s="331" t="s">
        <v>984</v>
      </c>
      <c r="CC95" s="331" t="s">
        <v>190</v>
      </c>
      <c r="CD95" s="331" t="s">
        <v>190</v>
      </c>
      <c r="CE95" s="331" t="s">
        <v>984</v>
      </c>
      <c r="CF95" s="331" t="s">
        <v>984</v>
      </c>
      <c r="CG95" s="331" t="s">
        <v>984</v>
      </c>
      <c r="CH95" s="331" t="s">
        <v>190</v>
      </c>
      <c r="CI95" s="331" t="s">
        <v>190</v>
      </c>
      <c r="CJ95" s="331" t="s">
        <v>190</v>
      </c>
      <c r="CK95" s="331" t="s">
        <v>984</v>
      </c>
      <c r="CL95" s="331" t="s">
        <v>984</v>
      </c>
      <c r="CM95" s="331" t="s">
        <v>984</v>
      </c>
      <c r="CN95" s="331" t="s">
        <v>984</v>
      </c>
      <c r="CO95" s="331" t="s">
        <v>984</v>
      </c>
      <c r="CP95" s="331" t="s">
        <v>984</v>
      </c>
      <c r="CQ95" s="331" t="s">
        <v>984</v>
      </c>
      <c r="CR95" s="331" t="s">
        <v>984</v>
      </c>
      <c r="CS95" s="331" t="s">
        <v>984</v>
      </c>
      <c r="CT95" s="331" t="s">
        <v>984</v>
      </c>
      <c r="CU95" s="331" t="s">
        <v>984</v>
      </c>
      <c r="CV95" s="331" t="s">
        <v>984</v>
      </c>
      <c r="CW95" s="331" t="s">
        <v>984</v>
      </c>
      <c r="CX95" s="331" t="s">
        <v>984</v>
      </c>
      <c r="CY95" s="331" t="s">
        <v>984</v>
      </c>
      <c r="CZ95" s="331" t="s">
        <v>984</v>
      </c>
      <c r="DA95" s="331" t="s">
        <v>984</v>
      </c>
      <c r="DB95" s="331" t="s">
        <v>984</v>
      </c>
      <c r="DC95" s="331" t="s">
        <v>984</v>
      </c>
      <c r="DD95" s="331" t="s">
        <v>984</v>
      </c>
      <c r="DE95" s="331" t="s">
        <v>984</v>
      </c>
      <c r="DF95" s="331" t="s">
        <v>984</v>
      </c>
      <c r="DG95" s="331" t="s">
        <v>984</v>
      </c>
      <c r="DH95" s="331" t="s">
        <v>984</v>
      </c>
      <c r="DI95" s="331" t="s">
        <v>984</v>
      </c>
      <c r="DJ95" s="331" t="s">
        <v>984</v>
      </c>
      <c r="DK95" s="331" t="s">
        <v>984</v>
      </c>
      <c r="DL95" s="331" t="s">
        <v>984</v>
      </c>
      <c r="DM95" s="331" t="s">
        <v>984</v>
      </c>
      <c r="DN95" s="331" t="s">
        <v>984</v>
      </c>
      <c r="DO95" s="331" t="s">
        <v>984</v>
      </c>
      <c r="DP95" s="331" t="s">
        <v>984</v>
      </c>
      <c r="DQ95" s="331" t="s">
        <v>984</v>
      </c>
      <c r="DR95" s="331" t="s">
        <v>984</v>
      </c>
      <c r="DS95" s="331" t="s">
        <v>984</v>
      </c>
      <c r="DT95" s="331" t="s">
        <v>984</v>
      </c>
      <c r="DU95" s="331" t="s">
        <v>984</v>
      </c>
      <c r="DV95" s="331" t="s">
        <v>984</v>
      </c>
      <c r="DW95" s="331" t="s">
        <v>984</v>
      </c>
      <c r="DX95" s="331" t="s">
        <v>984</v>
      </c>
      <c r="DY95" s="331" t="s">
        <v>984</v>
      </c>
      <c r="DZ95" s="331" t="s">
        <v>984</v>
      </c>
      <c r="EA95" s="331" t="s">
        <v>984</v>
      </c>
      <c r="EB95" s="331" t="s">
        <v>984</v>
      </c>
      <c r="EC95" s="331" t="s">
        <v>984</v>
      </c>
      <c r="ED95" s="331" t="s">
        <v>984</v>
      </c>
      <c r="EE95" s="331" t="s">
        <v>984</v>
      </c>
      <c r="EF95" s="331" t="s">
        <v>984</v>
      </c>
      <c r="EG95" s="331" t="s">
        <v>984</v>
      </c>
      <c r="EH95" s="331" t="s">
        <v>984</v>
      </c>
      <c r="EI95" s="331" t="s">
        <v>984</v>
      </c>
      <c r="EJ95" s="331" t="s">
        <v>984</v>
      </c>
      <c r="EK95" s="331" t="s">
        <v>984</v>
      </c>
      <c r="EL95" s="331" t="s">
        <v>984</v>
      </c>
      <c r="EM95" s="331" t="s">
        <v>984</v>
      </c>
      <c r="EN95" s="331" t="s">
        <v>984</v>
      </c>
      <c r="EO95" s="331" t="s">
        <v>984</v>
      </c>
      <c r="EP95" s="331" t="s">
        <v>984</v>
      </c>
      <c r="EQ95" s="331" t="s">
        <v>984</v>
      </c>
      <c r="ER95" s="331" t="s">
        <v>984</v>
      </c>
      <c r="ES95" s="331" t="s">
        <v>190</v>
      </c>
      <c r="ET95" s="331" t="s">
        <v>190</v>
      </c>
      <c r="EU95" s="331" t="s">
        <v>190</v>
      </c>
      <c r="EV95" s="331" t="s">
        <v>190</v>
      </c>
      <c r="EW95" s="331" t="s">
        <v>190</v>
      </c>
      <c r="EX95" s="331" t="s">
        <v>190</v>
      </c>
      <c r="EY95" s="331" t="s">
        <v>190</v>
      </c>
      <c r="EZ95" s="331" t="s">
        <v>428</v>
      </c>
      <c r="FA95" s="331" t="s">
        <v>190</v>
      </c>
      <c r="FB95" s="331" t="s">
        <v>190</v>
      </c>
      <c r="FC95" s="331" t="s">
        <v>190</v>
      </c>
      <c r="FD95" s="331" t="s">
        <v>190</v>
      </c>
      <c r="FE95" s="331" t="s">
        <v>190</v>
      </c>
      <c r="FF95" s="331" t="s">
        <v>190</v>
      </c>
      <c r="FG95" s="331" t="s">
        <v>190</v>
      </c>
      <c r="FH95" s="331" t="s">
        <v>190</v>
      </c>
      <c r="FI95" s="331" t="s">
        <v>190</v>
      </c>
      <c r="FJ95" s="331" t="s">
        <v>190</v>
      </c>
      <c r="FK95" s="331" t="s">
        <v>190</v>
      </c>
      <c r="FL95" s="331" t="s">
        <v>190</v>
      </c>
      <c r="FM95" s="331" t="s">
        <v>190</v>
      </c>
      <c r="FN95" s="331" t="s">
        <v>190</v>
      </c>
      <c r="FO95" s="331" t="s">
        <v>190</v>
      </c>
      <c r="FP95" s="331" t="s">
        <v>190</v>
      </c>
      <c r="FQ95" s="331" t="s">
        <v>190</v>
      </c>
      <c r="FR95" s="331" t="s">
        <v>428</v>
      </c>
      <c r="FS95" s="331" t="s">
        <v>190</v>
      </c>
      <c r="FT95" s="331" t="s">
        <v>984</v>
      </c>
      <c r="FU95" s="331" t="s">
        <v>984</v>
      </c>
      <c r="FV95" s="331" t="s">
        <v>190</v>
      </c>
      <c r="FW95" s="331" t="s">
        <v>984</v>
      </c>
      <c r="FX95" s="331" t="s">
        <v>984</v>
      </c>
      <c r="FY95" s="331" t="s">
        <v>984</v>
      </c>
      <c r="FZ95" s="331" t="s">
        <v>984</v>
      </c>
      <c r="GA95" s="331" t="s">
        <v>984</v>
      </c>
      <c r="GB95" s="331" t="s">
        <v>984</v>
      </c>
      <c r="GC95" s="331" t="s">
        <v>984</v>
      </c>
      <c r="GD95" s="331" t="s">
        <v>984</v>
      </c>
      <c r="GE95" s="331" t="s">
        <v>984</v>
      </c>
      <c r="GF95" s="331" t="s">
        <v>984</v>
      </c>
      <c r="GG95" s="331" t="s">
        <v>984</v>
      </c>
      <c r="GH95" s="331" t="s">
        <v>984</v>
      </c>
      <c r="GI95" s="331" t="s">
        <v>984</v>
      </c>
      <c r="GJ95" s="331" t="s">
        <v>984</v>
      </c>
      <c r="GK95" s="331" t="s">
        <v>984</v>
      </c>
      <c r="GL95" s="331" t="s">
        <v>984</v>
      </c>
      <c r="GM95" s="331" t="s">
        <v>984</v>
      </c>
      <c r="GN95" s="331" t="s">
        <v>984</v>
      </c>
      <c r="GO95" s="331" t="s">
        <v>984</v>
      </c>
      <c r="GP95" s="331" t="s">
        <v>984</v>
      </c>
      <c r="GQ95" s="331" t="s">
        <v>984</v>
      </c>
      <c r="GR95" s="331" t="s">
        <v>984</v>
      </c>
      <c r="GS95" s="331" t="s">
        <v>984</v>
      </c>
      <c r="GT95" s="331" t="s">
        <v>984</v>
      </c>
      <c r="GU95" s="331" t="s">
        <v>984</v>
      </c>
      <c r="GV95" s="331" t="s">
        <v>984</v>
      </c>
      <c r="GW95" s="331" t="s">
        <v>984</v>
      </c>
      <c r="GX95" s="331" t="s">
        <v>984</v>
      </c>
      <c r="GY95" s="331" t="s">
        <v>984</v>
      </c>
      <c r="GZ95" s="331" t="s">
        <v>984</v>
      </c>
      <c r="HA95" s="331" t="s">
        <v>984</v>
      </c>
      <c r="HB95" s="331" t="s">
        <v>984</v>
      </c>
      <c r="HC95" s="331" t="s">
        <v>984</v>
      </c>
      <c r="HD95" s="331" t="s">
        <v>984</v>
      </c>
      <c r="HE95" s="331" t="s">
        <v>984</v>
      </c>
      <c r="HF95" s="331" t="s">
        <v>984</v>
      </c>
      <c r="HG95" s="331" t="s">
        <v>984</v>
      </c>
      <c r="HH95" s="331" t="s">
        <v>984</v>
      </c>
      <c r="HI95" s="331" t="s">
        <v>984</v>
      </c>
      <c r="HJ95" s="331" t="s">
        <v>984</v>
      </c>
      <c r="HK95" s="331" t="s">
        <v>984</v>
      </c>
      <c r="HL95" s="331" t="s">
        <v>984</v>
      </c>
      <c r="HM95" s="331" t="s">
        <v>190</v>
      </c>
      <c r="HN95" s="331" t="s">
        <v>190</v>
      </c>
      <c r="HO95" s="331" t="s">
        <v>190</v>
      </c>
      <c r="HP95" s="331" t="s">
        <v>190</v>
      </c>
      <c r="HQ95" s="331" t="s">
        <v>170</v>
      </c>
      <c r="HR95" s="331" t="s">
        <v>429</v>
      </c>
      <c r="HS95" s="331" t="s">
        <v>169</v>
      </c>
      <c r="HT95" s="331" t="s">
        <v>427</v>
      </c>
      <c r="HU95" s="331" t="s">
        <v>428</v>
      </c>
      <c r="HV95" s="331" t="s">
        <v>428</v>
      </c>
    </row>
    <row r="96" spans="1:230" s="70" customFormat="1" x14ac:dyDescent="0.25">
      <c r="A96" s="330" t="str">
        <f>HYPERLINK("http://www.ofsted.gov.uk/inspection-reports/find-inspection-report/provider/ELS/142572 ","Ofsted School Webpage")</f>
        <v>Ofsted School Webpage</v>
      </c>
      <c r="B96" s="331">
        <v>142572</v>
      </c>
      <c r="C96" s="331">
        <v>2046012</v>
      </c>
      <c r="D96" s="331" t="s">
        <v>821</v>
      </c>
      <c r="E96" s="331" t="s">
        <v>167</v>
      </c>
      <c r="F96" s="331" t="s">
        <v>441</v>
      </c>
      <c r="G96" s="331" t="s">
        <v>441</v>
      </c>
      <c r="H96" s="331" t="s">
        <v>547</v>
      </c>
      <c r="I96" s="331" t="s">
        <v>822</v>
      </c>
      <c r="J96" s="331" t="s">
        <v>81</v>
      </c>
      <c r="K96" s="331" t="s">
        <v>69</v>
      </c>
      <c r="L96" s="331" t="s">
        <v>69</v>
      </c>
      <c r="M96" s="331" t="s">
        <v>69</v>
      </c>
      <c r="N96" s="331" t="s">
        <v>424</v>
      </c>
      <c r="O96" s="331">
        <v>10125084</v>
      </c>
      <c r="P96" s="332">
        <v>43773</v>
      </c>
      <c r="Q96" s="332">
        <v>43773</v>
      </c>
      <c r="R96" s="332">
        <v>43790</v>
      </c>
      <c r="S96" s="331" t="s">
        <v>981</v>
      </c>
      <c r="T96" s="331" t="s">
        <v>982</v>
      </c>
      <c r="U96" s="331" t="s">
        <v>447</v>
      </c>
      <c r="V96" s="331" t="s">
        <v>983</v>
      </c>
      <c r="W96" s="331" t="s">
        <v>190</v>
      </c>
      <c r="X96" s="331" t="s">
        <v>190</v>
      </c>
      <c r="Y96" s="331" t="s">
        <v>190</v>
      </c>
      <c r="Z96" s="331" t="s">
        <v>190</v>
      </c>
      <c r="AA96" s="331" t="s">
        <v>190</v>
      </c>
      <c r="AB96" s="331" t="s">
        <v>190</v>
      </c>
      <c r="AC96" s="331" t="s">
        <v>190</v>
      </c>
      <c r="AD96" s="331" t="s">
        <v>190</v>
      </c>
      <c r="AE96" s="331" t="s">
        <v>428</v>
      </c>
      <c r="AF96" s="331" t="s">
        <v>190</v>
      </c>
      <c r="AG96" s="331" t="s">
        <v>190</v>
      </c>
      <c r="AH96" s="331" t="s">
        <v>190</v>
      </c>
      <c r="AI96" s="331" t="s">
        <v>428</v>
      </c>
      <c r="AJ96" s="331" t="s">
        <v>428</v>
      </c>
      <c r="AK96" s="331" t="s">
        <v>428</v>
      </c>
      <c r="AL96" s="331" t="s">
        <v>428</v>
      </c>
      <c r="AM96" s="331" t="s">
        <v>428</v>
      </c>
      <c r="AN96" s="331" t="s">
        <v>428</v>
      </c>
      <c r="AO96" s="331" t="s">
        <v>190</v>
      </c>
      <c r="AP96" s="331" t="s">
        <v>190</v>
      </c>
      <c r="AQ96" s="331" t="s">
        <v>190</v>
      </c>
      <c r="AR96" s="331" t="s">
        <v>190</v>
      </c>
      <c r="AS96" s="331" t="s">
        <v>190</v>
      </c>
      <c r="AT96" s="331" t="s">
        <v>190</v>
      </c>
      <c r="AU96" s="331" t="s">
        <v>190</v>
      </c>
      <c r="AV96" s="331" t="s">
        <v>190</v>
      </c>
      <c r="AW96" s="331" t="s">
        <v>190</v>
      </c>
      <c r="AX96" s="331" t="s">
        <v>190</v>
      </c>
      <c r="AY96" s="331" t="s">
        <v>190</v>
      </c>
      <c r="AZ96" s="331" t="s">
        <v>190</v>
      </c>
      <c r="BA96" s="331" t="s">
        <v>190</v>
      </c>
      <c r="BB96" s="331" t="s">
        <v>190</v>
      </c>
      <c r="BC96" s="331" t="s">
        <v>190</v>
      </c>
      <c r="BD96" s="331" t="s">
        <v>190</v>
      </c>
      <c r="BE96" s="331" t="s">
        <v>190</v>
      </c>
      <c r="BF96" s="331" t="s">
        <v>190</v>
      </c>
      <c r="BG96" s="331" t="s">
        <v>190</v>
      </c>
      <c r="BH96" s="331" t="s">
        <v>190</v>
      </c>
      <c r="BI96" s="331" t="s">
        <v>190</v>
      </c>
      <c r="BJ96" s="331" t="s">
        <v>190</v>
      </c>
      <c r="BK96" s="331" t="s">
        <v>190</v>
      </c>
      <c r="BL96" s="331" t="s">
        <v>190</v>
      </c>
      <c r="BM96" s="331" t="s">
        <v>190</v>
      </c>
      <c r="BN96" s="331" t="s">
        <v>190</v>
      </c>
      <c r="BO96" s="331" t="s">
        <v>190</v>
      </c>
      <c r="BP96" s="331" t="s">
        <v>190</v>
      </c>
      <c r="BQ96" s="331" t="s">
        <v>190</v>
      </c>
      <c r="BR96" s="331" t="s">
        <v>190</v>
      </c>
      <c r="BS96" s="331" t="s">
        <v>190</v>
      </c>
      <c r="BT96" s="331" t="s">
        <v>190</v>
      </c>
      <c r="BU96" s="331" t="s">
        <v>428</v>
      </c>
      <c r="BV96" s="331" t="s">
        <v>428</v>
      </c>
      <c r="BW96" s="331" t="s">
        <v>428</v>
      </c>
      <c r="BX96" s="331" t="s">
        <v>984</v>
      </c>
      <c r="BY96" s="331" t="s">
        <v>984</v>
      </c>
      <c r="BZ96" s="331" t="s">
        <v>984</v>
      </c>
      <c r="CA96" s="331" t="s">
        <v>984</v>
      </c>
      <c r="CB96" s="331" t="s">
        <v>984</v>
      </c>
      <c r="CC96" s="331" t="s">
        <v>190</v>
      </c>
      <c r="CD96" s="331" t="s">
        <v>190</v>
      </c>
      <c r="CE96" s="331" t="s">
        <v>984</v>
      </c>
      <c r="CF96" s="331" t="s">
        <v>190</v>
      </c>
      <c r="CG96" s="331" t="s">
        <v>984</v>
      </c>
      <c r="CH96" s="331" t="s">
        <v>190</v>
      </c>
      <c r="CI96" s="331" t="s">
        <v>190</v>
      </c>
      <c r="CJ96" s="331" t="s">
        <v>190</v>
      </c>
      <c r="CK96" s="331" t="s">
        <v>190</v>
      </c>
      <c r="CL96" s="331" t="s">
        <v>190</v>
      </c>
      <c r="CM96" s="331" t="s">
        <v>190</v>
      </c>
      <c r="CN96" s="331" t="s">
        <v>190</v>
      </c>
      <c r="CO96" s="331" t="s">
        <v>190</v>
      </c>
      <c r="CP96" s="331" t="s">
        <v>190</v>
      </c>
      <c r="CQ96" s="331" t="s">
        <v>190</v>
      </c>
      <c r="CR96" s="331" t="s">
        <v>190</v>
      </c>
      <c r="CS96" s="331" t="s">
        <v>190</v>
      </c>
      <c r="CT96" s="331" t="s">
        <v>190</v>
      </c>
      <c r="CU96" s="331" t="s">
        <v>428</v>
      </c>
      <c r="CV96" s="331" t="s">
        <v>190</v>
      </c>
      <c r="CW96" s="331" t="s">
        <v>428</v>
      </c>
      <c r="CX96" s="331" t="s">
        <v>428</v>
      </c>
      <c r="CY96" s="331" t="s">
        <v>428</v>
      </c>
      <c r="CZ96" s="331" t="s">
        <v>428</v>
      </c>
      <c r="DA96" s="331" t="s">
        <v>428</v>
      </c>
      <c r="DB96" s="331" t="s">
        <v>428</v>
      </c>
      <c r="DC96" s="331" t="s">
        <v>428</v>
      </c>
      <c r="DD96" s="331" t="s">
        <v>428</v>
      </c>
      <c r="DE96" s="331" t="s">
        <v>428</v>
      </c>
      <c r="DF96" s="331" t="s">
        <v>428</v>
      </c>
      <c r="DG96" s="331" t="s">
        <v>428</v>
      </c>
      <c r="DH96" s="331" t="s">
        <v>428</v>
      </c>
      <c r="DI96" s="331" t="s">
        <v>428</v>
      </c>
      <c r="DJ96" s="331" t="s">
        <v>428</v>
      </c>
      <c r="DK96" s="331" t="s">
        <v>428</v>
      </c>
      <c r="DL96" s="331" t="s">
        <v>190</v>
      </c>
      <c r="DM96" s="331" t="s">
        <v>190</v>
      </c>
      <c r="DN96" s="331" t="s">
        <v>190</v>
      </c>
      <c r="DO96" s="331" t="s">
        <v>190</v>
      </c>
      <c r="DP96" s="331" t="s">
        <v>190</v>
      </c>
      <c r="DQ96" s="331" t="s">
        <v>190</v>
      </c>
      <c r="DR96" s="331" t="s">
        <v>190</v>
      </c>
      <c r="DS96" s="331" t="s">
        <v>190</v>
      </c>
      <c r="DT96" s="331" t="s">
        <v>190</v>
      </c>
      <c r="DU96" s="331" t="s">
        <v>190</v>
      </c>
      <c r="DV96" s="331" t="s">
        <v>190</v>
      </c>
      <c r="DW96" s="331" t="s">
        <v>190</v>
      </c>
      <c r="DX96" s="331" t="s">
        <v>190</v>
      </c>
      <c r="DY96" s="331" t="s">
        <v>190</v>
      </c>
      <c r="DZ96" s="331" t="s">
        <v>190</v>
      </c>
      <c r="EA96" s="331" t="s">
        <v>190</v>
      </c>
      <c r="EB96" s="331" t="s">
        <v>190</v>
      </c>
      <c r="EC96" s="331" t="s">
        <v>190</v>
      </c>
      <c r="ED96" s="331" t="s">
        <v>190</v>
      </c>
      <c r="EE96" s="331" t="s">
        <v>190</v>
      </c>
      <c r="EF96" s="331" t="s">
        <v>190</v>
      </c>
      <c r="EG96" s="331" t="s">
        <v>190</v>
      </c>
      <c r="EH96" s="331" t="s">
        <v>190</v>
      </c>
      <c r="EI96" s="331" t="s">
        <v>428</v>
      </c>
      <c r="EJ96" s="331" t="s">
        <v>428</v>
      </c>
      <c r="EK96" s="331" t="s">
        <v>428</v>
      </c>
      <c r="EL96" s="331" t="s">
        <v>428</v>
      </c>
      <c r="EM96" s="331" t="s">
        <v>428</v>
      </c>
      <c r="EN96" s="331" t="s">
        <v>428</v>
      </c>
      <c r="EO96" s="331" t="s">
        <v>190</v>
      </c>
      <c r="EP96" s="331" t="s">
        <v>190</v>
      </c>
      <c r="EQ96" s="331" t="s">
        <v>190</v>
      </c>
      <c r="ER96" s="331" t="s">
        <v>190</v>
      </c>
      <c r="ES96" s="331" t="s">
        <v>190</v>
      </c>
      <c r="ET96" s="331" t="s">
        <v>190</v>
      </c>
      <c r="EU96" s="331" t="s">
        <v>190</v>
      </c>
      <c r="EV96" s="331" t="s">
        <v>190</v>
      </c>
      <c r="EW96" s="331" t="s">
        <v>190</v>
      </c>
      <c r="EX96" s="331" t="s">
        <v>190</v>
      </c>
      <c r="EY96" s="331" t="s">
        <v>190</v>
      </c>
      <c r="EZ96" s="331" t="s">
        <v>428</v>
      </c>
      <c r="FA96" s="331" t="s">
        <v>190</v>
      </c>
      <c r="FB96" s="331" t="s">
        <v>190</v>
      </c>
      <c r="FC96" s="331" t="s">
        <v>190</v>
      </c>
      <c r="FD96" s="331" t="s">
        <v>190</v>
      </c>
      <c r="FE96" s="331" t="s">
        <v>190</v>
      </c>
      <c r="FF96" s="331" t="s">
        <v>190</v>
      </c>
      <c r="FG96" s="331" t="s">
        <v>190</v>
      </c>
      <c r="FH96" s="331" t="s">
        <v>190</v>
      </c>
      <c r="FI96" s="331" t="s">
        <v>190</v>
      </c>
      <c r="FJ96" s="331" t="s">
        <v>190</v>
      </c>
      <c r="FK96" s="331" t="s">
        <v>190</v>
      </c>
      <c r="FL96" s="331" t="s">
        <v>190</v>
      </c>
      <c r="FM96" s="331" t="s">
        <v>190</v>
      </c>
      <c r="FN96" s="331" t="s">
        <v>190</v>
      </c>
      <c r="FO96" s="331" t="s">
        <v>190</v>
      </c>
      <c r="FP96" s="331" t="s">
        <v>190</v>
      </c>
      <c r="FQ96" s="331" t="s">
        <v>190</v>
      </c>
      <c r="FR96" s="331" t="s">
        <v>428</v>
      </c>
      <c r="FS96" s="331" t="s">
        <v>984</v>
      </c>
      <c r="FT96" s="331" t="s">
        <v>984</v>
      </c>
      <c r="FU96" s="331" t="s">
        <v>984</v>
      </c>
      <c r="FV96" s="331" t="s">
        <v>984</v>
      </c>
      <c r="FW96" s="331" t="s">
        <v>984</v>
      </c>
      <c r="FX96" s="331" t="s">
        <v>984</v>
      </c>
      <c r="FY96" s="331" t="s">
        <v>984</v>
      </c>
      <c r="FZ96" s="331" t="s">
        <v>984</v>
      </c>
      <c r="GA96" s="331" t="s">
        <v>984</v>
      </c>
      <c r="GB96" s="331" t="s">
        <v>984</v>
      </c>
      <c r="GC96" s="331" t="s">
        <v>984</v>
      </c>
      <c r="GD96" s="331" t="s">
        <v>984</v>
      </c>
      <c r="GE96" s="331" t="s">
        <v>984</v>
      </c>
      <c r="GF96" s="331" t="s">
        <v>984</v>
      </c>
      <c r="GG96" s="331" t="s">
        <v>984</v>
      </c>
      <c r="GH96" s="331" t="s">
        <v>984</v>
      </c>
      <c r="GI96" s="331" t="s">
        <v>984</v>
      </c>
      <c r="GJ96" s="331" t="s">
        <v>984</v>
      </c>
      <c r="GK96" s="331" t="s">
        <v>984</v>
      </c>
      <c r="GL96" s="331" t="s">
        <v>984</v>
      </c>
      <c r="GM96" s="331" t="s">
        <v>984</v>
      </c>
      <c r="GN96" s="331" t="s">
        <v>984</v>
      </c>
      <c r="GO96" s="331" t="s">
        <v>984</v>
      </c>
      <c r="GP96" s="331" t="s">
        <v>984</v>
      </c>
      <c r="GQ96" s="331" t="s">
        <v>984</v>
      </c>
      <c r="GR96" s="331" t="s">
        <v>984</v>
      </c>
      <c r="GS96" s="331" t="s">
        <v>984</v>
      </c>
      <c r="GT96" s="331" t="s">
        <v>984</v>
      </c>
      <c r="GU96" s="331" t="s">
        <v>984</v>
      </c>
      <c r="GV96" s="331" t="s">
        <v>984</v>
      </c>
      <c r="GW96" s="331" t="s">
        <v>984</v>
      </c>
      <c r="GX96" s="331" t="s">
        <v>984</v>
      </c>
      <c r="GY96" s="331" t="s">
        <v>984</v>
      </c>
      <c r="GZ96" s="331" t="s">
        <v>984</v>
      </c>
      <c r="HA96" s="331" t="s">
        <v>984</v>
      </c>
      <c r="HB96" s="331" t="s">
        <v>984</v>
      </c>
      <c r="HC96" s="331" t="s">
        <v>984</v>
      </c>
      <c r="HD96" s="331" t="s">
        <v>984</v>
      </c>
      <c r="HE96" s="331" t="s">
        <v>984</v>
      </c>
      <c r="HF96" s="331" t="s">
        <v>984</v>
      </c>
      <c r="HG96" s="331" t="s">
        <v>984</v>
      </c>
      <c r="HH96" s="331" t="s">
        <v>984</v>
      </c>
      <c r="HI96" s="331" t="s">
        <v>984</v>
      </c>
      <c r="HJ96" s="331" t="s">
        <v>984</v>
      </c>
      <c r="HK96" s="331" t="s">
        <v>984</v>
      </c>
      <c r="HL96" s="331" t="s">
        <v>984</v>
      </c>
      <c r="HM96" s="331" t="s">
        <v>190</v>
      </c>
      <c r="HN96" s="331" t="s">
        <v>190</v>
      </c>
      <c r="HO96" s="331" t="s">
        <v>190</v>
      </c>
      <c r="HP96" s="331" t="s">
        <v>190</v>
      </c>
      <c r="HQ96" s="331" t="s">
        <v>170</v>
      </c>
      <c r="HR96" s="331" t="s">
        <v>170</v>
      </c>
      <c r="HS96" s="331" t="s">
        <v>169</v>
      </c>
      <c r="HT96" s="331" t="s">
        <v>427</v>
      </c>
      <c r="HU96" s="331" t="s">
        <v>984</v>
      </c>
      <c r="HV96" s="331" t="s">
        <v>984</v>
      </c>
    </row>
    <row r="97" spans="1:230" s="70" customFormat="1" x14ac:dyDescent="0.25">
      <c r="A97" s="330" t="str">
        <f>HYPERLINK("http://www.ofsted.gov.uk/inspection-reports/find-inspection-report/provider/ELS/131260 ","Ofsted School Webpage")</f>
        <v>Ofsted School Webpage</v>
      </c>
      <c r="B97" s="331">
        <v>131260</v>
      </c>
      <c r="C97" s="331">
        <v>8736039</v>
      </c>
      <c r="D97" s="331" t="s">
        <v>1632</v>
      </c>
      <c r="E97" s="331" t="s">
        <v>168</v>
      </c>
      <c r="F97" s="331" t="s">
        <v>451</v>
      </c>
      <c r="G97" s="331" t="s">
        <v>451</v>
      </c>
      <c r="H97" s="331" t="s">
        <v>772</v>
      </c>
      <c r="I97" s="331" t="s">
        <v>2750</v>
      </c>
      <c r="J97" s="331" t="s">
        <v>81</v>
      </c>
      <c r="K97" s="331" t="s">
        <v>81</v>
      </c>
      <c r="L97" s="331" t="s">
        <v>81</v>
      </c>
      <c r="M97" s="331" t="s">
        <v>78</v>
      </c>
      <c r="N97" s="331" t="s">
        <v>424</v>
      </c>
      <c r="O97" s="331">
        <v>10127969</v>
      </c>
      <c r="P97" s="332">
        <v>43774</v>
      </c>
      <c r="Q97" s="332">
        <v>43774</v>
      </c>
      <c r="R97" s="332">
        <v>43810</v>
      </c>
      <c r="S97" s="331" t="s">
        <v>1041</v>
      </c>
      <c r="T97" s="331" t="s">
        <v>982</v>
      </c>
      <c r="U97" s="331" t="s">
        <v>427</v>
      </c>
      <c r="V97" s="331" t="s">
        <v>2708</v>
      </c>
      <c r="W97" s="331" t="s">
        <v>984</v>
      </c>
      <c r="X97" s="331" t="s">
        <v>984</v>
      </c>
      <c r="Y97" s="331" t="s">
        <v>984</v>
      </c>
      <c r="Z97" s="331" t="s">
        <v>984</v>
      </c>
      <c r="AA97" s="331" t="s">
        <v>984</v>
      </c>
      <c r="AB97" s="331" t="s">
        <v>984</v>
      </c>
      <c r="AC97" s="331" t="s">
        <v>984</v>
      </c>
      <c r="AD97" s="331" t="s">
        <v>984</v>
      </c>
      <c r="AE97" s="331" t="s">
        <v>428</v>
      </c>
      <c r="AF97" s="331" t="s">
        <v>984</v>
      </c>
      <c r="AG97" s="331" t="s">
        <v>984</v>
      </c>
      <c r="AH97" s="331" t="s">
        <v>984</v>
      </c>
      <c r="AI97" s="331" t="s">
        <v>984</v>
      </c>
      <c r="AJ97" s="331" t="s">
        <v>984</v>
      </c>
      <c r="AK97" s="331" t="s">
        <v>984</v>
      </c>
      <c r="AL97" s="331" t="s">
        <v>984</v>
      </c>
      <c r="AM97" s="331" t="s">
        <v>984</v>
      </c>
      <c r="AN97" s="331" t="s">
        <v>984</v>
      </c>
      <c r="AO97" s="331" t="s">
        <v>984</v>
      </c>
      <c r="AP97" s="331" t="s">
        <v>984</v>
      </c>
      <c r="AQ97" s="331" t="s">
        <v>191</v>
      </c>
      <c r="AR97" s="331" t="s">
        <v>191</v>
      </c>
      <c r="AS97" s="331" t="s">
        <v>191</v>
      </c>
      <c r="AT97" s="331" t="s">
        <v>191</v>
      </c>
      <c r="AU97" s="331" t="s">
        <v>191</v>
      </c>
      <c r="AV97" s="331" t="s">
        <v>191</v>
      </c>
      <c r="AW97" s="331" t="s">
        <v>190</v>
      </c>
      <c r="AX97" s="331" t="s">
        <v>191</v>
      </c>
      <c r="AY97" s="331" t="s">
        <v>190</v>
      </c>
      <c r="AZ97" s="331" t="s">
        <v>984</v>
      </c>
      <c r="BA97" s="331" t="s">
        <v>984</v>
      </c>
      <c r="BB97" s="331" t="s">
        <v>191</v>
      </c>
      <c r="BC97" s="331" t="s">
        <v>984</v>
      </c>
      <c r="BD97" s="331" t="s">
        <v>984</v>
      </c>
      <c r="BE97" s="331" t="s">
        <v>984</v>
      </c>
      <c r="BF97" s="331" t="s">
        <v>984</v>
      </c>
      <c r="BG97" s="331" t="s">
        <v>984</v>
      </c>
      <c r="BH97" s="331" t="s">
        <v>984</v>
      </c>
      <c r="BI97" s="331" t="s">
        <v>984</v>
      </c>
      <c r="BJ97" s="331" t="s">
        <v>984</v>
      </c>
      <c r="BK97" s="331" t="s">
        <v>984</v>
      </c>
      <c r="BL97" s="331" t="s">
        <v>984</v>
      </c>
      <c r="BM97" s="331" t="s">
        <v>984</v>
      </c>
      <c r="BN97" s="331" t="s">
        <v>984</v>
      </c>
      <c r="BO97" s="331" t="s">
        <v>984</v>
      </c>
      <c r="BP97" s="331" t="s">
        <v>984</v>
      </c>
      <c r="BQ97" s="331" t="s">
        <v>984</v>
      </c>
      <c r="BR97" s="331" t="s">
        <v>190</v>
      </c>
      <c r="BS97" s="331" t="s">
        <v>190</v>
      </c>
      <c r="BT97" s="331" t="s">
        <v>190</v>
      </c>
      <c r="BU97" s="331" t="s">
        <v>428</v>
      </c>
      <c r="BV97" s="331" t="s">
        <v>428</v>
      </c>
      <c r="BW97" s="331" t="s">
        <v>428</v>
      </c>
      <c r="BX97" s="331" t="s">
        <v>190</v>
      </c>
      <c r="BY97" s="331" t="s">
        <v>190</v>
      </c>
      <c r="BZ97" s="331" t="s">
        <v>190</v>
      </c>
      <c r="CA97" s="331" t="s">
        <v>191</v>
      </c>
      <c r="CB97" s="331" t="s">
        <v>191</v>
      </c>
      <c r="CC97" s="331" t="s">
        <v>190</v>
      </c>
      <c r="CD97" s="331" t="s">
        <v>984</v>
      </c>
      <c r="CE97" s="331" t="s">
        <v>984</v>
      </c>
      <c r="CF97" s="331" t="s">
        <v>190</v>
      </c>
      <c r="CG97" s="331" t="s">
        <v>984</v>
      </c>
      <c r="CH97" s="331" t="s">
        <v>984</v>
      </c>
      <c r="CI97" s="331" t="s">
        <v>984</v>
      </c>
      <c r="CJ97" s="331" t="s">
        <v>984</v>
      </c>
      <c r="CK97" s="331" t="s">
        <v>190</v>
      </c>
      <c r="CL97" s="331" t="s">
        <v>190</v>
      </c>
      <c r="CM97" s="331" t="s">
        <v>190</v>
      </c>
      <c r="CN97" s="331" t="s">
        <v>190</v>
      </c>
      <c r="CO97" s="331" t="s">
        <v>190</v>
      </c>
      <c r="CP97" s="331" t="s">
        <v>190</v>
      </c>
      <c r="CQ97" s="331" t="s">
        <v>190</v>
      </c>
      <c r="CR97" s="331" t="s">
        <v>190</v>
      </c>
      <c r="CS97" s="331" t="s">
        <v>190</v>
      </c>
      <c r="CT97" s="331" t="s">
        <v>190</v>
      </c>
      <c r="CU97" s="331" t="s">
        <v>428</v>
      </c>
      <c r="CV97" s="331" t="s">
        <v>190</v>
      </c>
      <c r="CW97" s="331" t="s">
        <v>190</v>
      </c>
      <c r="CX97" s="331" t="s">
        <v>190</v>
      </c>
      <c r="CY97" s="331" t="s">
        <v>190</v>
      </c>
      <c r="CZ97" s="331" t="s">
        <v>190</v>
      </c>
      <c r="DA97" s="331" t="s">
        <v>190</v>
      </c>
      <c r="DB97" s="331" t="s">
        <v>190</v>
      </c>
      <c r="DC97" s="331" t="s">
        <v>190</v>
      </c>
      <c r="DD97" s="331" t="s">
        <v>190</v>
      </c>
      <c r="DE97" s="331" t="s">
        <v>190</v>
      </c>
      <c r="DF97" s="331" t="s">
        <v>190</v>
      </c>
      <c r="DG97" s="331" t="s">
        <v>190</v>
      </c>
      <c r="DH97" s="331" t="s">
        <v>190</v>
      </c>
      <c r="DI97" s="331" t="s">
        <v>190</v>
      </c>
      <c r="DJ97" s="331" t="s">
        <v>428</v>
      </c>
      <c r="DK97" s="331" t="s">
        <v>190</v>
      </c>
      <c r="DL97" s="331" t="s">
        <v>190</v>
      </c>
      <c r="DM97" s="331" t="s">
        <v>190</v>
      </c>
      <c r="DN97" s="331" t="s">
        <v>190</v>
      </c>
      <c r="DO97" s="331" t="s">
        <v>190</v>
      </c>
      <c r="DP97" s="331" t="s">
        <v>190</v>
      </c>
      <c r="DQ97" s="331" t="s">
        <v>190</v>
      </c>
      <c r="DR97" s="331" t="s">
        <v>190</v>
      </c>
      <c r="DS97" s="331" t="s">
        <v>190</v>
      </c>
      <c r="DT97" s="331" t="s">
        <v>190</v>
      </c>
      <c r="DU97" s="331" t="s">
        <v>190</v>
      </c>
      <c r="DV97" s="331" t="s">
        <v>190</v>
      </c>
      <c r="DW97" s="331" t="s">
        <v>190</v>
      </c>
      <c r="DX97" s="331" t="s">
        <v>190</v>
      </c>
      <c r="DY97" s="331" t="s">
        <v>190</v>
      </c>
      <c r="DZ97" s="331" t="s">
        <v>190</v>
      </c>
      <c r="EA97" s="331" t="s">
        <v>190</v>
      </c>
      <c r="EB97" s="331" t="s">
        <v>190</v>
      </c>
      <c r="EC97" s="331" t="s">
        <v>190</v>
      </c>
      <c r="ED97" s="331" t="s">
        <v>190</v>
      </c>
      <c r="EE97" s="331" t="s">
        <v>190</v>
      </c>
      <c r="EF97" s="331" t="s">
        <v>190</v>
      </c>
      <c r="EG97" s="331" t="s">
        <v>190</v>
      </c>
      <c r="EH97" s="331" t="s">
        <v>190</v>
      </c>
      <c r="EI97" s="331" t="s">
        <v>190</v>
      </c>
      <c r="EJ97" s="331" t="s">
        <v>190</v>
      </c>
      <c r="EK97" s="331" t="s">
        <v>190</v>
      </c>
      <c r="EL97" s="331" t="s">
        <v>190</v>
      </c>
      <c r="EM97" s="331" t="s">
        <v>190</v>
      </c>
      <c r="EN97" s="331" t="s">
        <v>190</v>
      </c>
      <c r="EO97" s="331" t="s">
        <v>190</v>
      </c>
      <c r="EP97" s="331" t="s">
        <v>190</v>
      </c>
      <c r="EQ97" s="331" t="s">
        <v>190</v>
      </c>
      <c r="ER97" s="331" t="s">
        <v>190</v>
      </c>
      <c r="ES97" s="331" t="s">
        <v>984</v>
      </c>
      <c r="ET97" s="331" t="s">
        <v>984</v>
      </c>
      <c r="EU97" s="331" t="s">
        <v>984</v>
      </c>
      <c r="EV97" s="331" t="s">
        <v>984</v>
      </c>
      <c r="EW97" s="331" t="s">
        <v>984</v>
      </c>
      <c r="EX97" s="331" t="s">
        <v>984</v>
      </c>
      <c r="EY97" s="331" t="s">
        <v>984</v>
      </c>
      <c r="EZ97" s="331" t="s">
        <v>984</v>
      </c>
      <c r="FA97" s="331" t="s">
        <v>984</v>
      </c>
      <c r="FB97" s="331" t="s">
        <v>984</v>
      </c>
      <c r="FC97" s="331" t="s">
        <v>984</v>
      </c>
      <c r="FD97" s="331" t="s">
        <v>984</v>
      </c>
      <c r="FE97" s="331" t="s">
        <v>984</v>
      </c>
      <c r="FF97" s="331" t="s">
        <v>984</v>
      </c>
      <c r="FG97" s="331" t="s">
        <v>984</v>
      </c>
      <c r="FH97" s="331" t="s">
        <v>984</v>
      </c>
      <c r="FI97" s="331" t="s">
        <v>984</v>
      </c>
      <c r="FJ97" s="331" t="s">
        <v>984</v>
      </c>
      <c r="FK97" s="331" t="s">
        <v>984</v>
      </c>
      <c r="FL97" s="331" t="s">
        <v>984</v>
      </c>
      <c r="FM97" s="331" t="s">
        <v>984</v>
      </c>
      <c r="FN97" s="331" t="s">
        <v>984</v>
      </c>
      <c r="FO97" s="331" t="s">
        <v>984</v>
      </c>
      <c r="FP97" s="331" t="s">
        <v>984</v>
      </c>
      <c r="FQ97" s="331" t="s">
        <v>984</v>
      </c>
      <c r="FR97" s="331" t="s">
        <v>428</v>
      </c>
      <c r="FS97" s="331" t="s">
        <v>984</v>
      </c>
      <c r="FT97" s="331" t="s">
        <v>984</v>
      </c>
      <c r="FU97" s="331" t="s">
        <v>984</v>
      </c>
      <c r="FV97" s="331" t="s">
        <v>190</v>
      </c>
      <c r="FW97" s="331" t="s">
        <v>984</v>
      </c>
      <c r="FX97" s="331" t="s">
        <v>984</v>
      </c>
      <c r="FY97" s="331" t="s">
        <v>984</v>
      </c>
      <c r="FZ97" s="331" t="s">
        <v>984</v>
      </c>
      <c r="GA97" s="331" t="s">
        <v>984</v>
      </c>
      <c r="GB97" s="331" t="s">
        <v>984</v>
      </c>
      <c r="GC97" s="331" t="s">
        <v>984</v>
      </c>
      <c r="GD97" s="331" t="s">
        <v>984</v>
      </c>
      <c r="GE97" s="331" t="s">
        <v>984</v>
      </c>
      <c r="GF97" s="331" t="s">
        <v>984</v>
      </c>
      <c r="GG97" s="331" t="s">
        <v>984</v>
      </c>
      <c r="GH97" s="331" t="s">
        <v>984</v>
      </c>
      <c r="GI97" s="331" t="s">
        <v>984</v>
      </c>
      <c r="GJ97" s="331" t="s">
        <v>984</v>
      </c>
      <c r="GK97" s="331" t="s">
        <v>984</v>
      </c>
      <c r="GL97" s="331" t="s">
        <v>190</v>
      </c>
      <c r="GM97" s="331" t="s">
        <v>984</v>
      </c>
      <c r="GN97" s="331" t="s">
        <v>984</v>
      </c>
      <c r="GO97" s="331" t="s">
        <v>191</v>
      </c>
      <c r="GP97" s="331" t="s">
        <v>984</v>
      </c>
      <c r="GQ97" s="331" t="s">
        <v>191</v>
      </c>
      <c r="GR97" s="331" t="s">
        <v>984</v>
      </c>
      <c r="GS97" s="331" t="s">
        <v>984</v>
      </c>
      <c r="GT97" s="331" t="s">
        <v>984</v>
      </c>
      <c r="GU97" s="331" t="s">
        <v>984</v>
      </c>
      <c r="GV97" s="331" t="s">
        <v>984</v>
      </c>
      <c r="GW97" s="331" t="s">
        <v>191</v>
      </c>
      <c r="GX97" s="331" t="s">
        <v>190</v>
      </c>
      <c r="GY97" s="331" t="s">
        <v>191</v>
      </c>
      <c r="GZ97" s="331" t="s">
        <v>190</v>
      </c>
      <c r="HA97" s="331" t="s">
        <v>190</v>
      </c>
      <c r="HB97" s="331" t="s">
        <v>190</v>
      </c>
      <c r="HC97" s="331" t="s">
        <v>190</v>
      </c>
      <c r="HD97" s="331" t="s">
        <v>190</v>
      </c>
      <c r="HE97" s="331" t="s">
        <v>190</v>
      </c>
      <c r="HF97" s="331" t="s">
        <v>190</v>
      </c>
      <c r="HG97" s="331" t="s">
        <v>190</v>
      </c>
      <c r="HH97" s="331" t="s">
        <v>190</v>
      </c>
      <c r="HI97" s="331" t="s">
        <v>191</v>
      </c>
      <c r="HJ97" s="331" t="s">
        <v>190</v>
      </c>
      <c r="HK97" s="331" t="s">
        <v>190</v>
      </c>
      <c r="HL97" s="331" t="s">
        <v>190</v>
      </c>
      <c r="HM97" s="331" t="s">
        <v>191</v>
      </c>
      <c r="HN97" s="331" t="s">
        <v>191</v>
      </c>
      <c r="HO97" s="331" t="s">
        <v>191</v>
      </c>
      <c r="HP97" s="331" t="s">
        <v>190</v>
      </c>
      <c r="HQ97" s="331" t="s">
        <v>170</v>
      </c>
      <c r="HR97" s="331" t="s">
        <v>429</v>
      </c>
      <c r="HS97" s="331" t="s">
        <v>169</v>
      </c>
      <c r="HT97" s="331" t="s">
        <v>427</v>
      </c>
      <c r="HU97" s="331" t="s">
        <v>428</v>
      </c>
      <c r="HV97" s="331" t="s">
        <v>428</v>
      </c>
    </row>
    <row r="98" spans="1:230" s="70" customFormat="1" x14ac:dyDescent="0.25">
      <c r="A98" s="330" t="str">
        <f>HYPERLINK("http://www.ofsted.gov.uk/inspection-reports/find-inspection-report/provider/ELS/115426 ","Ofsted School Webpage")</f>
        <v>Ofsted School Webpage</v>
      </c>
      <c r="B98" s="331">
        <v>115426</v>
      </c>
      <c r="C98" s="331">
        <v>8816032</v>
      </c>
      <c r="D98" s="331" t="s">
        <v>1446</v>
      </c>
      <c r="E98" s="331" t="s">
        <v>168</v>
      </c>
      <c r="F98" s="331" t="s">
        <v>451</v>
      </c>
      <c r="G98" s="331" t="s">
        <v>451</v>
      </c>
      <c r="H98" s="331" t="s">
        <v>679</v>
      </c>
      <c r="I98" s="331" t="s">
        <v>1447</v>
      </c>
      <c r="J98" s="331" t="s">
        <v>81</v>
      </c>
      <c r="K98" s="331" t="s">
        <v>81</v>
      </c>
      <c r="L98" s="331" t="s">
        <v>81</v>
      </c>
      <c r="M98" s="331" t="s">
        <v>78</v>
      </c>
      <c r="N98" s="331" t="s">
        <v>424</v>
      </c>
      <c r="O98" s="331">
        <v>10123401</v>
      </c>
      <c r="P98" s="332">
        <v>43774</v>
      </c>
      <c r="Q98" s="332">
        <v>43774</v>
      </c>
      <c r="R98" s="332">
        <v>43797</v>
      </c>
      <c r="S98" s="331" t="s">
        <v>985</v>
      </c>
      <c r="T98" s="331" t="s">
        <v>982</v>
      </c>
      <c r="U98" s="331" t="s">
        <v>427</v>
      </c>
      <c r="V98" s="331" t="s">
        <v>166</v>
      </c>
      <c r="W98" s="331" t="s">
        <v>984</v>
      </c>
      <c r="X98" s="331" t="s">
        <v>984</v>
      </c>
      <c r="Y98" s="331" t="s">
        <v>984</v>
      </c>
      <c r="Z98" s="331" t="s">
        <v>984</v>
      </c>
      <c r="AA98" s="331" t="s">
        <v>984</v>
      </c>
      <c r="AB98" s="331" t="s">
        <v>984</v>
      </c>
      <c r="AC98" s="331" t="s">
        <v>984</v>
      </c>
      <c r="AD98" s="331" t="s">
        <v>984</v>
      </c>
      <c r="AE98" s="331" t="s">
        <v>428</v>
      </c>
      <c r="AF98" s="331" t="s">
        <v>984</v>
      </c>
      <c r="AG98" s="331" t="s">
        <v>984</v>
      </c>
      <c r="AH98" s="331" t="s">
        <v>984</v>
      </c>
      <c r="AI98" s="331" t="s">
        <v>984</v>
      </c>
      <c r="AJ98" s="331" t="s">
        <v>984</v>
      </c>
      <c r="AK98" s="331" t="s">
        <v>984</v>
      </c>
      <c r="AL98" s="331" t="s">
        <v>984</v>
      </c>
      <c r="AM98" s="331" t="s">
        <v>984</v>
      </c>
      <c r="AN98" s="331" t="s">
        <v>984</v>
      </c>
      <c r="AO98" s="331" t="s">
        <v>984</v>
      </c>
      <c r="AP98" s="331" t="s">
        <v>984</v>
      </c>
      <c r="AQ98" s="331" t="s">
        <v>191</v>
      </c>
      <c r="AR98" s="331" t="s">
        <v>191</v>
      </c>
      <c r="AS98" s="331" t="s">
        <v>190</v>
      </c>
      <c r="AT98" s="331" t="s">
        <v>190</v>
      </c>
      <c r="AU98" s="331" t="s">
        <v>191</v>
      </c>
      <c r="AV98" s="331" t="s">
        <v>190</v>
      </c>
      <c r="AW98" s="331" t="s">
        <v>190</v>
      </c>
      <c r="AX98" s="331" t="s">
        <v>191</v>
      </c>
      <c r="AY98" s="331" t="s">
        <v>190</v>
      </c>
      <c r="AZ98" s="331" t="s">
        <v>984</v>
      </c>
      <c r="BA98" s="331" t="s">
        <v>984</v>
      </c>
      <c r="BB98" s="331" t="s">
        <v>984</v>
      </c>
      <c r="BC98" s="331" t="s">
        <v>984</v>
      </c>
      <c r="BD98" s="331" t="s">
        <v>984</v>
      </c>
      <c r="BE98" s="331" t="s">
        <v>984</v>
      </c>
      <c r="BF98" s="331" t="s">
        <v>984</v>
      </c>
      <c r="BG98" s="331" t="s">
        <v>984</v>
      </c>
      <c r="BH98" s="331" t="s">
        <v>984</v>
      </c>
      <c r="BI98" s="331" t="s">
        <v>984</v>
      </c>
      <c r="BJ98" s="331" t="s">
        <v>984</v>
      </c>
      <c r="BK98" s="331" t="s">
        <v>984</v>
      </c>
      <c r="BL98" s="331" t="s">
        <v>984</v>
      </c>
      <c r="BM98" s="331" t="s">
        <v>984</v>
      </c>
      <c r="BN98" s="331" t="s">
        <v>984</v>
      </c>
      <c r="BO98" s="331" t="s">
        <v>984</v>
      </c>
      <c r="BP98" s="331" t="s">
        <v>984</v>
      </c>
      <c r="BQ98" s="331" t="s">
        <v>984</v>
      </c>
      <c r="BR98" s="331" t="s">
        <v>190</v>
      </c>
      <c r="BS98" s="331" t="s">
        <v>190</v>
      </c>
      <c r="BT98" s="331" t="s">
        <v>190</v>
      </c>
      <c r="BU98" s="331" t="s">
        <v>190</v>
      </c>
      <c r="BV98" s="331" t="s">
        <v>984</v>
      </c>
      <c r="BW98" s="331" t="s">
        <v>190</v>
      </c>
      <c r="BX98" s="331" t="s">
        <v>190</v>
      </c>
      <c r="BY98" s="331" t="s">
        <v>190</v>
      </c>
      <c r="BZ98" s="331" t="s">
        <v>190</v>
      </c>
      <c r="CA98" s="331" t="s">
        <v>190</v>
      </c>
      <c r="CB98" s="331" t="s">
        <v>984</v>
      </c>
      <c r="CC98" s="331" t="s">
        <v>984</v>
      </c>
      <c r="CD98" s="331" t="s">
        <v>984</v>
      </c>
      <c r="CE98" s="331" t="s">
        <v>984</v>
      </c>
      <c r="CF98" s="331" t="s">
        <v>984</v>
      </c>
      <c r="CG98" s="331" t="s">
        <v>984</v>
      </c>
      <c r="CH98" s="331" t="s">
        <v>190</v>
      </c>
      <c r="CI98" s="331" t="s">
        <v>190</v>
      </c>
      <c r="CJ98" s="331" t="s">
        <v>190</v>
      </c>
      <c r="CK98" s="331" t="s">
        <v>190</v>
      </c>
      <c r="CL98" s="331" t="s">
        <v>190</v>
      </c>
      <c r="CM98" s="331" t="s">
        <v>190</v>
      </c>
      <c r="CN98" s="331" t="s">
        <v>190</v>
      </c>
      <c r="CO98" s="331" t="s">
        <v>190</v>
      </c>
      <c r="CP98" s="331" t="s">
        <v>190</v>
      </c>
      <c r="CQ98" s="331" t="s">
        <v>190</v>
      </c>
      <c r="CR98" s="331" t="s">
        <v>190</v>
      </c>
      <c r="CS98" s="331" t="s">
        <v>190</v>
      </c>
      <c r="CT98" s="331" t="s">
        <v>190</v>
      </c>
      <c r="CU98" s="331" t="s">
        <v>984</v>
      </c>
      <c r="CV98" s="331" t="s">
        <v>190</v>
      </c>
      <c r="CW98" s="331" t="s">
        <v>190</v>
      </c>
      <c r="CX98" s="331" t="s">
        <v>190</v>
      </c>
      <c r="CY98" s="331" t="s">
        <v>190</v>
      </c>
      <c r="CZ98" s="331" t="s">
        <v>190</v>
      </c>
      <c r="DA98" s="331" t="s">
        <v>190</v>
      </c>
      <c r="DB98" s="331" t="s">
        <v>190</v>
      </c>
      <c r="DC98" s="331" t="s">
        <v>190</v>
      </c>
      <c r="DD98" s="331" t="s">
        <v>190</v>
      </c>
      <c r="DE98" s="331" t="s">
        <v>190</v>
      </c>
      <c r="DF98" s="331" t="s">
        <v>190</v>
      </c>
      <c r="DG98" s="331" t="s">
        <v>190</v>
      </c>
      <c r="DH98" s="331" t="s">
        <v>190</v>
      </c>
      <c r="DI98" s="331" t="s">
        <v>190</v>
      </c>
      <c r="DJ98" s="331" t="s">
        <v>984</v>
      </c>
      <c r="DK98" s="331" t="s">
        <v>190</v>
      </c>
      <c r="DL98" s="331" t="s">
        <v>190</v>
      </c>
      <c r="DM98" s="331" t="s">
        <v>190</v>
      </c>
      <c r="DN98" s="331" t="s">
        <v>190</v>
      </c>
      <c r="DO98" s="331" t="s">
        <v>190</v>
      </c>
      <c r="DP98" s="331" t="s">
        <v>190</v>
      </c>
      <c r="DQ98" s="331" t="s">
        <v>190</v>
      </c>
      <c r="DR98" s="331" t="s">
        <v>190</v>
      </c>
      <c r="DS98" s="331" t="s">
        <v>190</v>
      </c>
      <c r="DT98" s="331" t="s">
        <v>190</v>
      </c>
      <c r="DU98" s="331" t="s">
        <v>190</v>
      </c>
      <c r="DV98" s="331" t="s">
        <v>190</v>
      </c>
      <c r="DW98" s="331" t="s">
        <v>190</v>
      </c>
      <c r="DX98" s="331" t="s">
        <v>190</v>
      </c>
      <c r="DY98" s="331" t="s">
        <v>190</v>
      </c>
      <c r="DZ98" s="331" t="s">
        <v>190</v>
      </c>
      <c r="EA98" s="331" t="s">
        <v>190</v>
      </c>
      <c r="EB98" s="331" t="s">
        <v>190</v>
      </c>
      <c r="EC98" s="331" t="s">
        <v>190</v>
      </c>
      <c r="ED98" s="331" t="s">
        <v>190</v>
      </c>
      <c r="EE98" s="331" t="s">
        <v>190</v>
      </c>
      <c r="EF98" s="331" t="s">
        <v>190</v>
      </c>
      <c r="EG98" s="331" t="s">
        <v>190</v>
      </c>
      <c r="EH98" s="331" t="s">
        <v>190</v>
      </c>
      <c r="EI98" s="331" t="s">
        <v>190</v>
      </c>
      <c r="EJ98" s="331" t="s">
        <v>190</v>
      </c>
      <c r="EK98" s="331" t="s">
        <v>190</v>
      </c>
      <c r="EL98" s="331" t="s">
        <v>190</v>
      </c>
      <c r="EM98" s="331" t="s">
        <v>190</v>
      </c>
      <c r="EN98" s="331" t="s">
        <v>190</v>
      </c>
      <c r="EO98" s="331" t="s">
        <v>190</v>
      </c>
      <c r="EP98" s="331" t="s">
        <v>190</v>
      </c>
      <c r="EQ98" s="331" t="s">
        <v>190</v>
      </c>
      <c r="ER98" s="331" t="s">
        <v>190</v>
      </c>
      <c r="ES98" s="331" t="s">
        <v>984</v>
      </c>
      <c r="ET98" s="331" t="s">
        <v>984</v>
      </c>
      <c r="EU98" s="331" t="s">
        <v>984</v>
      </c>
      <c r="EV98" s="331" t="s">
        <v>984</v>
      </c>
      <c r="EW98" s="331" t="s">
        <v>984</v>
      </c>
      <c r="EX98" s="331" t="s">
        <v>984</v>
      </c>
      <c r="EY98" s="331" t="s">
        <v>984</v>
      </c>
      <c r="EZ98" s="331" t="s">
        <v>984</v>
      </c>
      <c r="FA98" s="331" t="s">
        <v>984</v>
      </c>
      <c r="FB98" s="331" t="s">
        <v>190</v>
      </c>
      <c r="FC98" s="331" t="s">
        <v>984</v>
      </c>
      <c r="FD98" s="331" t="s">
        <v>984</v>
      </c>
      <c r="FE98" s="331" t="s">
        <v>984</v>
      </c>
      <c r="FF98" s="331" t="s">
        <v>984</v>
      </c>
      <c r="FG98" s="331" t="s">
        <v>190</v>
      </c>
      <c r="FH98" s="331" t="s">
        <v>984</v>
      </c>
      <c r="FI98" s="331" t="s">
        <v>984</v>
      </c>
      <c r="FJ98" s="331" t="s">
        <v>190</v>
      </c>
      <c r="FK98" s="331" t="s">
        <v>984</v>
      </c>
      <c r="FL98" s="331" t="s">
        <v>984</v>
      </c>
      <c r="FM98" s="331" t="s">
        <v>984</v>
      </c>
      <c r="FN98" s="331" t="s">
        <v>984</v>
      </c>
      <c r="FO98" s="331" t="s">
        <v>984</v>
      </c>
      <c r="FP98" s="331" t="s">
        <v>984</v>
      </c>
      <c r="FQ98" s="331" t="s">
        <v>984</v>
      </c>
      <c r="FR98" s="331" t="s">
        <v>984</v>
      </c>
      <c r="FS98" s="331" t="s">
        <v>190</v>
      </c>
      <c r="FT98" s="331" t="s">
        <v>984</v>
      </c>
      <c r="FU98" s="331" t="s">
        <v>190</v>
      </c>
      <c r="FV98" s="331" t="s">
        <v>190</v>
      </c>
      <c r="FW98" s="331" t="s">
        <v>984</v>
      </c>
      <c r="FX98" s="331" t="s">
        <v>984</v>
      </c>
      <c r="FY98" s="331" t="s">
        <v>984</v>
      </c>
      <c r="FZ98" s="331" t="s">
        <v>984</v>
      </c>
      <c r="GA98" s="331" t="s">
        <v>190</v>
      </c>
      <c r="GB98" s="331" t="s">
        <v>190</v>
      </c>
      <c r="GC98" s="331" t="s">
        <v>984</v>
      </c>
      <c r="GD98" s="331" t="s">
        <v>984</v>
      </c>
      <c r="GE98" s="331" t="s">
        <v>984</v>
      </c>
      <c r="GF98" s="331" t="s">
        <v>984</v>
      </c>
      <c r="GG98" s="331" t="s">
        <v>984</v>
      </c>
      <c r="GH98" s="331" t="s">
        <v>984</v>
      </c>
      <c r="GI98" s="331" t="s">
        <v>984</v>
      </c>
      <c r="GJ98" s="331" t="s">
        <v>984</v>
      </c>
      <c r="GK98" s="331" t="s">
        <v>190</v>
      </c>
      <c r="GL98" s="331" t="s">
        <v>984</v>
      </c>
      <c r="GM98" s="331" t="s">
        <v>190</v>
      </c>
      <c r="GN98" s="331" t="s">
        <v>984</v>
      </c>
      <c r="GO98" s="331" t="s">
        <v>984</v>
      </c>
      <c r="GP98" s="331" t="s">
        <v>190</v>
      </c>
      <c r="GQ98" s="331" t="s">
        <v>190</v>
      </c>
      <c r="GR98" s="331" t="s">
        <v>984</v>
      </c>
      <c r="GS98" s="331" t="s">
        <v>984</v>
      </c>
      <c r="GT98" s="331" t="s">
        <v>984</v>
      </c>
      <c r="GU98" s="331" t="s">
        <v>984</v>
      </c>
      <c r="GV98" s="331" t="s">
        <v>984</v>
      </c>
      <c r="GW98" s="331" t="s">
        <v>190</v>
      </c>
      <c r="GX98" s="331" t="s">
        <v>190</v>
      </c>
      <c r="GY98" s="331" t="s">
        <v>190</v>
      </c>
      <c r="GZ98" s="331" t="s">
        <v>190</v>
      </c>
      <c r="HA98" s="331" t="s">
        <v>190</v>
      </c>
      <c r="HB98" s="331" t="s">
        <v>190</v>
      </c>
      <c r="HC98" s="331" t="s">
        <v>190</v>
      </c>
      <c r="HD98" s="331" t="s">
        <v>190</v>
      </c>
      <c r="HE98" s="331" t="s">
        <v>190</v>
      </c>
      <c r="HF98" s="331" t="s">
        <v>190</v>
      </c>
      <c r="HG98" s="331" t="s">
        <v>190</v>
      </c>
      <c r="HH98" s="331" t="s">
        <v>190</v>
      </c>
      <c r="HI98" s="331" t="s">
        <v>190</v>
      </c>
      <c r="HJ98" s="331" t="s">
        <v>190</v>
      </c>
      <c r="HK98" s="331" t="s">
        <v>190</v>
      </c>
      <c r="HL98" s="331" t="s">
        <v>190</v>
      </c>
      <c r="HM98" s="331" t="s">
        <v>191</v>
      </c>
      <c r="HN98" s="331" t="s">
        <v>191</v>
      </c>
      <c r="HO98" s="331" t="s">
        <v>191</v>
      </c>
      <c r="HP98" s="331" t="s">
        <v>190</v>
      </c>
      <c r="HQ98" s="331" t="s">
        <v>170</v>
      </c>
      <c r="HR98" s="331" t="s">
        <v>429</v>
      </c>
      <c r="HS98" s="331" t="s">
        <v>169</v>
      </c>
      <c r="HT98" s="331" t="s">
        <v>427</v>
      </c>
      <c r="HU98" s="331" t="s">
        <v>984</v>
      </c>
      <c r="HV98" s="331" t="s">
        <v>984</v>
      </c>
    </row>
    <row r="99" spans="1:230" s="70" customFormat="1" x14ac:dyDescent="0.25">
      <c r="A99" s="330" t="str">
        <f>HYPERLINK("http://www.ofsted.gov.uk/inspection-reports/find-inspection-report/provider/ELS/144807 ","Ofsted School Webpage")</f>
        <v>Ofsted School Webpage</v>
      </c>
      <c r="B99" s="331">
        <v>144807</v>
      </c>
      <c r="C99" s="331">
        <v>8226007</v>
      </c>
      <c r="D99" s="331" t="s">
        <v>1025</v>
      </c>
      <c r="E99" s="331" t="s">
        <v>167</v>
      </c>
      <c r="F99" s="331" t="s">
        <v>451</v>
      </c>
      <c r="G99" s="331" t="s">
        <v>451</v>
      </c>
      <c r="H99" s="331" t="s">
        <v>1026</v>
      </c>
      <c r="I99" s="331" t="s">
        <v>2751</v>
      </c>
      <c r="J99" s="331" t="s">
        <v>81</v>
      </c>
      <c r="K99" s="331" t="s">
        <v>59</v>
      </c>
      <c r="L99" s="331" t="s">
        <v>59</v>
      </c>
      <c r="M99" s="331" t="s">
        <v>59</v>
      </c>
      <c r="N99" s="331" t="s">
        <v>424</v>
      </c>
      <c r="O99" s="331">
        <v>10120244</v>
      </c>
      <c r="P99" s="332">
        <v>43775</v>
      </c>
      <c r="Q99" s="332">
        <v>43775</v>
      </c>
      <c r="R99" s="332">
        <v>43796</v>
      </c>
      <c r="S99" s="331" t="s">
        <v>985</v>
      </c>
      <c r="T99" s="331" t="s">
        <v>982</v>
      </c>
      <c r="U99" s="331" t="s">
        <v>447</v>
      </c>
      <c r="V99" s="331" t="s">
        <v>166</v>
      </c>
      <c r="W99" s="331" t="s">
        <v>984</v>
      </c>
      <c r="X99" s="331" t="s">
        <v>984</v>
      </c>
      <c r="Y99" s="331" t="s">
        <v>984</v>
      </c>
      <c r="Z99" s="331" t="s">
        <v>984</v>
      </c>
      <c r="AA99" s="331" t="s">
        <v>984</v>
      </c>
      <c r="AB99" s="331" t="s">
        <v>984</v>
      </c>
      <c r="AC99" s="331" t="s">
        <v>984</v>
      </c>
      <c r="AD99" s="331" t="s">
        <v>984</v>
      </c>
      <c r="AE99" s="331" t="s">
        <v>428</v>
      </c>
      <c r="AF99" s="331" t="s">
        <v>984</v>
      </c>
      <c r="AG99" s="331" t="s">
        <v>984</v>
      </c>
      <c r="AH99" s="331" t="s">
        <v>984</v>
      </c>
      <c r="AI99" s="331" t="s">
        <v>984</v>
      </c>
      <c r="AJ99" s="331" t="s">
        <v>984</v>
      </c>
      <c r="AK99" s="331" t="s">
        <v>984</v>
      </c>
      <c r="AL99" s="331" t="s">
        <v>984</v>
      </c>
      <c r="AM99" s="331" t="s">
        <v>428</v>
      </c>
      <c r="AN99" s="331" t="s">
        <v>984</v>
      </c>
      <c r="AO99" s="331" t="s">
        <v>984</v>
      </c>
      <c r="AP99" s="331" t="s">
        <v>984</v>
      </c>
      <c r="AQ99" s="331" t="s">
        <v>984</v>
      </c>
      <c r="AR99" s="331" t="s">
        <v>984</v>
      </c>
      <c r="AS99" s="331" t="s">
        <v>984</v>
      </c>
      <c r="AT99" s="331" t="s">
        <v>984</v>
      </c>
      <c r="AU99" s="331" t="s">
        <v>984</v>
      </c>
      <c r="AV99" s="331" t="s">
        <v>984</v>
      </c>
      <c r="AW99" s="331" t="s">
        <v>984</v>
      </c>
      <c r="AX99" s="331" t="s">
        <v>984</v>
      </c>
      <c r="AY99" s="331" t="s">
        <v>984</v>
      </c>
      <c r="AZ99" s="331" t="s">
        <v>984</v>
      </c>
      <c r="BA99" s="331" t="s">
        <v>984</v>
      </c>
      <c r="BB99" s="331" t="s">
        <v>984</v>
      </c>
      <c r="BC99" s="331" t="s">
        <v>984</v>
      </c>
      <c r="BD99" s="331" t="s">
        <v>984</v>
      </c>
      <c r="BE99" s="331" t="s">
        <v>984</v>
      </c>
      <c r="BF99" s="331" t="s">
        <v>984</v>
      </c>
      <c r="BG99" s="331" t="s">
        <v>984</v>
      </c>
      <c r="BH99" s="331" t="s">
        <v>984</v>
      </c>
      <c r="BI99" s="331" t="s">
        <v>984</v>
      </c>
      <c r="BJ99" s="331" t="s">
        <v>984</v>
      </c>
      <c r="BK99" s="331" t="s">
        <v>984</v>
      </c>
      <c r="BL99" s="331" t="s">
        <v>984</v>
      </c>
      <c r="BM99" s="331" t="s">
        <v>984</v>
      </c>
      <c r="BN99" s="331" t="s">
        <v>984</v>
      </c>
      <c r="BO99" s="331" t="s">
        <v>984</v>
      </c>
      <c r="BP99" s="331" t="s">
        <v>984</v>
      </c>
      <c r="BQ99" s="331" t="s">
        <v>984</v>
      </c>
      <c r="BR99" s="331" t="s">
        <v>190</v>
      </c>
      <c r="BS99" s="331" t="s">
        <v>190</v>
      </c>
      <c r="BT99" s="331" t="s">
        <v>190</v>
      </c>
      <c r="BU99" s="331" t="s">
        <v>428</v>
      </c>
      <c r="BV99" s="331" t="s">
        <v>428</v>
      </c>
      <c r="BW99" s="331" t="s">
        <v>428</v>
      </c>
      <c r="BX99" s="331" t="s">
        <v>984</v>
      </c>
      <c r="BY99" s="331" t="s">
        <v>984</v>
      </c>
      <c r="BZ99" s="331" t="s">
        <v>984</v>
      </c>
      <c r="CA99" s="331" t="s">
        <v>984</v>
      </c>
      <c r="CB99" s="331" t="s">
        <v>984</v>
      </c>
      <c r="CC99" s="331" t="s">
        <v>984</v>
      </c>
      <c r="CD99" s="331" t="s">
        <v>190</v>
      </c>
      <c r="CE99" s="331" t="s">
        <v>984</v>
      </c>
      <c r="CF99" s="331" t="s">
        <v>984</v>
      </c>
      <c r="CG99" s="331" t="s">
        <v>191</v>
      </c>
      <c r="CH99" s="331" t="s">
        <v>984</v>
      </c>
      <c r="CI99" s="331" t="s">
        <v>984</v>
      </c>
      <c r="CJ99" s="331" t="s">
        <v>984</v>
      </c>
      <c r="CK99" s="331" t="s">
        <v>190</v>
      </c>
      <c r="CL99" s="331" t="s">
        <v>190</v>
      </c>
      <c r="CM99" s="331" t="s">
        <v>190</v>
      </c>
      <c r="CN99" s="331" t="s">
        <v>190</v>
      </c>
      <c r="CO99" s="331" t="s">
        <v>190</v>
      </c>
      <c r="CP99" s="331" t="s">
        <v>190</v>
      </c>
      <c r="CQ99" s="331" t="s">
        <v>190</v>
      </c>
      <c r="CR99" s="331" t="s">
        <v>190</v>
      </c>
      <c r="CS99" s="331" t="s">
        <v>190</v>
      </c>
      <c r="CT99" s="331" t="s">
        <v>190</v>
      </c>
      <c r="CU99" s="331" t="s">
        <v>428</v>
      </c>
      <c r="CV99" s="331" t="s">
        <v>190</v>
      </c>
      <c r="CW99" s="331" t="s">
        <v>190</v>
      </c>
      <c r="CX99" s="331" t="s">
        <v>190</v>
      </c>
      <c r="CY99" s="331" t="s">
        <v>190</v>
      </c>
      <c r="CZ99" s="331" t="s">
        <v>190</v>
      </c>
      <c r="DA99" s="331" t="s">
        <v>190</v>
      </c>
      <c r="DB99" s="331" t="s">
        <v>190</v>
      </c>
      <c r="DC99" s="331" t="s">
        <v>190</v>
      </c>
      <c r="DD99" s="331" t="s">
        <v>190</v>
      </c>
      <c r="DE99" s="331" t="s">
        <v>190</v>
      </c>
      <c r="DF99" s="331" t="s">
        <v>190</v>
      </c>
      <c r="DG99" s="331" t="s">
        <v>190</v>
      </c>
      <c r="DH99" s="331" t="s">
        <v>190</v>
      </c>
      <c r="DI99" s="331" t="s">
        <v>190</v>
      </c>
      <c r="DJ99" s="331" t="s">
        <v>428</v>
      </c>
      <c r="DK99" s="331" t="s">
        <v>190</v>
      </c>
      <c r="DL99" s="331" t="s">
        <v>428</v>
      </c>
      <c r="DM99" s="331" t="s">
        <v>428</v>
      </c>
      <c r="DN99" s="331" t="s">
        <v>428</v>
      </c>
      <c r="DO99" s="331" t="s">
        <v>428</v>
      </c>
      <c r="DP99" s="331" t="s">
        <v>428</v>
      </c>
      <c r="DQ99" s="331" t="s">
        <v>428</v>
      </c>
      <c r="DR99" s="331" t="s">
        <v>428</v>
      </c>
      <c r="DS99" s="331" t="s">
        <v>428</v>
      </c>
      <c r="DT99" s="331" t="s">
        <v>428</v>
      </c>
      <c r="DU99" s="331" t="s">
        <v>190</v>
      </c>
      <c r="DV99" s="331" t="s">
        <v>190</v>
      </c>
      <c r="DW99" s="331" t="s">
        <v>190</v>
      </c>
      <c r="DX99" s="331" t="s">
        <v>190</v>
      </c>
      <c r="DY99" s="331" t="s">
        <v>190</v>
      </c>
      <c r="DZ99" s="331" t="s">
        <v>190</v>
      </c>
      <c r="EA99" s="331" t="s">
        <v>190</v>
      </c>
      <c r="EB99" s="331" t="s">
        <v>190</v>
      </c>
      <c r="EC99" s="331" t="s">
        <v>190</v>
      </c>
      <c r="ED99" s="331" t="s">
        <v>190</v>
      </c>
      <c r="EE99" s="331" t="s">
        <v>190</v>
      </c>
      <c r="EF99" s="331" t="s">
        <v>190</v>
      </c>
      <c r="EG99" s="331" t="s">
        <v>190</v>
      </c>
      <c r="EH99" s="331" t="s">
        <v>190</v>
      </c>
      <c r="EI99" s="331" t="s">
        <v>190</v>
      </c>
      <c r="EJ99" s="331" t="s">
        <v>190</v>
      </c>
      <c r="EK99" s="331" t="s">
        <v>190</v>
      </c>
      <c r="EL99" s="331" t="s">
        <v>190</v>
      </c>
      <c r="EM99" s="331" t="s">
        <v>190</v>
      </c>
      <c r="EN99" s="331" t="s">
        <v>190</v>
      </c>
      <c r="EO99" s="331" t="s">
        <v>428</v>
      </c>
      <c r="EP99" s="331" t="s">
        <v>428</v>
      </c>
      <c r="EQ99" s="331" t="s">
        <v>428</v>
      </c>
      <c r="ER99" s="331" t="s">
        <v>428</v>
      </c>
      <c r="ES99" s="331" t="s">
        <v>984</v>
      </c>
      <c r="ET99" s="331" t="s">
        <v>984</v>
      </c>
      <c r="EU99" s="331" t="s">
        <v>984</v>
      </c>
      <c r="EV99" s="331" t="s">
        <v>984</v>
      </c>
      <c r="EW99" s="331" t="s">
        <v>191</v>
      </c>
      <c r="EX99" s="331" t="s">
        <v>191</v>
      </c>
      <c r="EY99" s="331" t="s">
        <v>191</v>
      </c>
      <c r="EZ99" s="331" t="s">
        <v>428</v>
      </c>
      <c r="FA99" s="331" t="s">
        <v>984</v>
      </c>
      <c r="FB99" s="331" t="s">
        <v>190</v>
      </c>
      <c r="FC99" s="331" t="s">
        <v>984</v>
      </c>
      <c r="FD99" s="331" t="s">
        <v>984</v>
      </c>
      <c r="FE99" s="331" t="s">
        <v>984</v>
      </c>
      <c r="FF99" s="331" t="s">
        <v>984</v>
      </c>
      <c r="FG99" s="331" t="s">
        <v>984</v>
      </c>
      <c r="FH99" s="331" t="s">
        <v>984</v>
      </c>
      <c r="FI99" s="331" t="s">
        <v>984</v>
      </c>
      <c r="FJ99" s="331" t="s">
        <v>984</v>
      </c>
      <c r="FK99" s="331" t="s">
        <v>984</v>
      </c>
      <c r="FL99" s="331" t="s">
        <v>984</v>
      </c>
      <c r="FM99" s="331" t="s">
        <v>984</v>
      </c>
      <c r="FN99" s="331" t="s">
        <v>984</v>
      </c>
      <c r="FO99" s="331" t="s">
        <v>191</v>
      </c>
      <c r="FP99" s="331" t="s">
        <v>984</v>
      </c>
      <c r="FQ99" s="331" t="s">
        <v>191</v>
      </c>
      <c r="FR99" s="331" t="s">
        <v>428</v>
      </c>
      <c r="FS99" s="331" t="s">
        <v>191</v>
      </c>
      <c r="FT99" s="331" t="s">
        <v>984</v>
      </c>
      <c r="FU99" s="331" t="s">
        <v>984</v>
      </c>
      <c r="FV99" s="331" t="s">
        <v>190</v>
      </c>
      <c r="FW99" s="331" t="s">
        <v>984</v>
      </c>
      <c r="FX99" s="331" t="s">
        <v>984</v>
      </c>
      <c r="FY99" s="331" t="s">
        <v>984</v>
      </c>
      <c r="FZ99" s="331" t="s">
        <v>984</v>
      </c>
      <c r="GA99" s="331" t="s">
        <v>191</v>
      </c>
      <c r="GB99" s="331" t="s">
        <v>984</v>
      </c>
      <c r="GC99" s="331" t="s">
        <v>984</v>
      </c>
      <c r="GD99" s="331" t="s">
        <v>984</v>
      </c>
      <c r="GE99" s="331" t="s">
        <v>984</v>
      </c>
      <c r="GF99" s="331" t="s">
        <v>984</v>
      </c>
      <c r="GG99" s="331" t="s">
        <v>984</v>
      </c>
      <c r="GH99" s="331" t="s">
        <v>984</v>
      </c>
      <c r="GI99" s="331" t="s">
        <v>984</v>
      </c>
      <c r="GJ99" s="331" t="s">
        <v>984</v>
      </c>
      <c r="GK99" s="331" t="s">
        <v>984</v>
      </c>
      <c r="GL99" s="331" t="s">
        <v>984</v>
      </c>
      <c r="GM99" s="331" t="s">
        <v>984</v>
      </c>
      <c r="GN99" s="331" t="s">
        <v>984</v>
      </c>
      <c r="GO99" s="331" t="s">
        <v>984</v>
      </c>
      <c r="GP99" s="331" t="s">
        <v>984</v>
      </c>
      <c r="GQ99" s="331" t="s">
        <v>984</v>
      </c>
      <c r="GR99" s="331" t="s">
        <v>984</v>
      </c>
      <c r="GS99" s="331" t="s">
        <v>984</v>
      </c>
      <c r="GT99" s="331" t="s">
        <v>984</v>
      </c>
      <c r="GU99" s="331" t="s">
        <v>984</v>
      </c>
      <c r="GV99" s="331" t="s">
        <v>984</v>
      </c>
      <c r="GW99" s="331" t="s">
        <v>984</v>
      </c>
      <c r="GX99" s="331" t="s">
        <v>984</v>
      </c>
      <c r="GY99" s="331" t="s">
        <v>984</v>
      </c>
      <c r="GZ99" s="331" t="s">
        <v>984</v>
      </c>
      <c r="HA99" s="331" t="s">
        <v>984</v>
      </c>
      <c r="HB99" s="331" t="s">
        <v>984</v>
      </c>
      <c r="HC99" s="331" t="s">
        <v>984</v>
      </c>
      <c r="HD99" s="331" t="s">
        <v>984</v>
      </c>
      <c r="HE99" s="331" t="s">
        <v>984</v>
      </c>
      <c r="HF99" s="331" t="s">
        <v>984</v>
      </c>
      <c r="HG99" s="331" t="s">
        <v>984</v>
      </c>
      <c r="HH99" s="331" t="s">
        <v>984</v>
      </c>
      <c r="HI99" s="331" t="s">
        <v>984</v>
      </c>
      <c r="HJ99" s="331" t="s">
        <v>984</v>
      </c>
      <c r="HK99" s="331" t="s">
        <v>984</v>
      </c>
      <c r="HL99" s="331" t="s">
        <v>984</v>
      </c>
      <c r="HM99" s="331" t="s">
        <v>191</v>
      </c>
      <c r="HN99" s="331" t="s">
        <v>191</v>
      </c>
      <c r="HO99" s="331" t="s">
        <v>191</v>
      </c>
      <c r="HP99" s="331" t="s">
        <v>190</v>
      </c>
      <c r="HQ99" s="331" t="s">
        <v>170</v>
      </c>
      <c r="HR99" s="331" t="s">
        <v>429</v>
      </c>
      <c r="HS99" s="331" t="s">
        <v>169</v>
      </c>
      <c r="HT99" s="331" t="s">
        <v>427</v>
      </c>
      <c r="HU99" s="331" t="s">
        <v>428</v>
      </c>
      <c r="HV99" s="331" t="s">
        <v>428</v>
      </c>
    </row>
    <row r="100" spans="1:230" s="70" customFormat="1" x14ac:dyDescent="0.25">
      <c r="A100" s="330" t="str">
        <f>HYPERLINK("http://www.ofsted.gov.uk/inspection-reports/find-inspection-report/provider/ELS/133477 ","Ofsted School Webpage")</f>
        <v>Ofsted School Webpage</v>
      </c>
      <c r="B100" s="331">
        <v>133477</v>
      </c>
      <c r="C100" s="331">
        <v>9366581</v>
      </c>
      <c r="D100" s="331" t="s">
        <v>1766</v>
      </c>
      <c r="E100" s="331" t="s">
        <v>168</v>
      </c>
      <c r="F100" s="331" t="s">
        <v>514</v>
      </c>
      <c r="G100" s="331" t="s">
        <v>514</v>
      </c>
      <c r="H100" s="331" t="s">
        <v>699</v>
      </c>
      <c r="I100" s="331" t="s">
        <v>1767</v>
      </c>
      <c r="J100" s="331" t="s">
        <v>81</v>
      </c>
      <c r="K100" s="331" t="s">
        <v>59</v>
      </c>
      <c r="L100" s="331" t="s">
        <v>59</v>
      </c>
      <c r="M100" s="331" t="s">
        <v>59</v>
      </c>
      <c r="N100" s="331" t="s">
        <v>424</v>
      </c>
      <c r="O100" s="331">
        <v>10124249</v>
      </c>
      <c r="P100" s="332">
        <v>43775</v>
      </c>
      <c r="Q100" s="332">
        <v>43775</v>
      </c>
      <c r="R100" s="332">
        <v>43808</v>
      </c>
      <c r="S100" s="331" t="s">
        <v>985</v>
      </c>
      <c r="T100" s="331" t="s">
        <v>982</v>
      </c>
      <c r="U100" s="331" t="s">
        <v>427</v>
      </c>
      <c r="V100" s="331" t="s">
        <v>166</v>
      </c>
      <c r="W100" s="331" t="s">
        <v>984</v>
      </c>
      <c r="X100" s="331" t="s">
        <v>984</v>
      </c>
      <c r="Y100" s="331" t="s">
        <v>984</v>
      </c>
      <c r="Z100" s="331" t="s">
        <v>984</v>
      </c>
      <c r="AA100" s="331" t="s">
        <v>984</v>
      </c>
      <c r="AB100" s="331" t="s">
        <v>984</v>
      </c>
      <c r="AC100" s="331" t="s">
        <v>984</v>
      </c>
      <c r="AD100" s="331" t="s">
        <v>984</v>
      </c>
      <c r="AE100" s="331" t="s">
        <v>984</v>
      </c>
      <c r="AF100" s="331" t="s">
        <v>984</v>
      </c>
      <c r="AG100" s="331" t="s">
        <v>984</v>
      </c>
      <c r="AH100" s="331" t="s">
        <v>984</v>
      </c>
      <c r="AI100" s="331" t="s">
        <v>984</v>
      </c>
      <c r="AJ100" s="331" t="s">
        <v>984</v>
      </c>
      <c r="AK100" s="331" t="s">
        <v>984</v>
      </c>
      <c r="AL100" s="331" t="s">
        <v>984</v>
      </c>
      <c r="AM100" s="331" t="s">
        <v>984</v>
      </c>
      <c r="AN100" s="331" t="s">
        <v>984</v>
      </c>
      <c r="AO100" s="331" t="s">
        <v>984</v>
      </c>
      <c r="AP100" s="331" t="s">
        <v>984</v>
      </c>
      <c r="AQ100" s="331" t="s">
        <v>984</v>
      </c>
      <c r="AR100" s="331" t="s">
        <v>984</v>
      </c>
      <c r="AS100" s="331" t="s">
        <v>984</v>
      </c>
      <c r="AT100" s="331" t="s">
        <v>984</v>
      </c>
      <c r="AU100" s="331" t="s">
        <v>984</v>
      </c>
      <c r="AV100" s="331" t="s">
        <v>984</v>
      </c>
      <c r="AW100" s="331" t="s">
        <v>984</v>
      </c>
      <c r="AX100" s="331" t="s">
        <v>984</v>
      </c>
      <c r="AY100" s="331" t="s">
        <v>984</v>
      </c>
      <c r="AZ100" s="331" t="s">
        <v>984</v>
      </c>
      <c r="BA100" s="331" t="s">
        <v>984</v>
      </c>
      <c r="BB100" s="331" t="s">
        <v>984</v>
      </c>
      <c r="BC100" s="331" t="s">
        <v>984</v>
      </c>
      <c r="BD100" s="331" t="s">
        <v>984</v>
      </c>
      <c r="BE100" s="331" t="s">
        <v>984</v>
      </c>
      <c r="BF100" s="331" t="s">
        <v>984</v>
      </c>
      <c r="BG100" s="331" t="s">
        <v>984</v>
      </c>
      <c r="BH100" s="331" t="s">
        <v>984</v>
      </c>
      <c r="BI100" s="331" t="s">
        <v>984</v>
      </c>
      <c r="BJ100" s="331" t="s">
        <v>984</v>
      </c>
      <c r="BK100" s="331" t="s">
        <v>984</v>
      </c>
      <c r="BL100" s="331" t="s">
        <v>984</v>
      </c>
      <c r="BM100" s="331" t="s">
        <v>984</v>
      </c>
      <c r="BN100" s="331" t="s">
        <v>984</v>
      </c>
      <c r="BO100" s="331" t="s">
        <v>984</v>
      </c>
      <c r="BP100" s="331" t="s">
        <v>984</v>
      </c>
      <c r="BQ100" s="331" t="s">
        <v>984</v>
      </c>
      <c r="BR100" s="331" t="s">
        <v>191</v>
      </c>
      <c r="BS100" s="331" t="s">
        <v>191</v>
      </c>
      <c r="BT100" s="331" t="s">
        <v>191</v>
      </c>
      <c r="BU100" s="331" t="s">
        <v>428</v>
      </c>
      <c r="BV100" s="331" t="s">
        <v>428</v>
      </c>
      <c r="BW100" s="331" t="s">
        <v>428</v>
      </c>
      <c r="BX100" s="331" t="s">
        <v>984</v>
      </c>
      <c r="BY100" s="331" t="s">
        <v>984</v>
      </c>
      <c r="BZ100" s="331" t="s">
        <v>984</v>
      </c>
      <c r="CA100" s="331" t="s">
        <v>984</v>
      </c>
      <c r="CB100" s="331" t="s">
        <v>984</v>
      </c>
      <c r="CC100" s="331" t="s">
        <v>984</v>
      </c>
      <c r="CD100" s="331" t="s">
        <v>984</v>
      </c>
      <c r="CE100" s="331" t="s">
        <v>984</v>
      </c>
      <c r="CF100" s="331" t="s">
        <v>190</v>
      </c>
      <c r="CG100" s="331" t="s">
        <v>984</v>
      </c>
      <c r="CH100" s="331" t="s">
        <v>191</v>
      </c>
      <c r="CI100" s="331" t="s">
        <v>191</v>
      </c>
      <c r="CJ100" s="331" t="s">
        <v>190</v>
      </c>
      <c r="CK100" s="331" t="s">
        <v>984</v>
      </c>
      <c r="CL100" s="331" t="s">
        <v>984</v>
      </c>
      <c r="CM100" s="331" t="s">
        <v>984</v>
      </c>
      <c r="CN100" s="331" t="s">
        <v>984</v>
      </c>
      <c r="CO100" s="331" t="s">
        <v>984</v>
      </c>
      <c r="CP100" s="331" t="s">
        <v>984</v>
      </c>
      <c r="CQ100" s="331" t="s">
        <v>984</v>
      </c>
      <c r="CR100" s="331" t="s">
        <v>984</v>
      </c>
      <c r="CS100" s="331" t="s">
        <v>984</v>
      </c>
      <c r="CT100" s="331" t="s">
        <v>984</v>
      </c>
      <c r="CU100" s="331" t="s">
        <v>428</v>
      </c>
      <c r="CV100" s="331" t="s">
        <v>984</v>
      </c>
      <c r="CW100" s="331" t="s">
        <v>984</v>
      </c>
      <c r="CX100" s="331" t="s">
        <v>984</v>
      </c>
      <c r="CY100" s="331" t="s">
        <v>984</v>
      </c>
      <c r="CZ100" s="331" t="s">
        <v>984</v>
      </c>
      <c r="DA100" s="331" t="s">
        <v>984</v>
      </c>
      <c r="DB100" s="331" t="s">
        <v>984</v>
      </c>
      <c r="DC100" s="331" t="s">
        <v>984</v>
      </c>
      <c r="DD100" s="331" t="s">
        <v>984</v>
      </c>
      <c r="DE100" s="331" t="s">
        <v>984</v>
      </c>
      <c r="DF100" s="331" t="s">
        <v>984</v>
      </c>
      <c r="DG100" s="331" t="s">
        <v>984</v>
      </c>
      <c r="DH100" s="331" t="s">
        <v>984</v>
      </c>
      <c r="DI100" s="331" t="s">
        <v>984</v>
      </c>
      <c r="DJ100" s="331" t="s">
        <v>428</v>
      </c>
      <c r="DK100" s="331" t="s">
        <v>984</v>
      </c>
      <c r="DL100" s="331" t="s">
        <v>428</v>
      </c>
      <c r="DM100" s="331" t="s">
        <v>428</v>
      </c>
      <c r="DN100" s="331" t="s">
        <v>428</v>
      </c>
      <c r="DO100" s="331" t="s">
        <v>428</v>
      </c>
      <c r="DP100" s="331" t="s">
        <v>428</v>
      </c>
      <c r="DQ100" s="331" t="s">
        <v>428</v>
      </c>
      <c r="DR100" s="331" t="s">
        <v>428</v>
      </c>
      <c r="DS100" s="331" t="s">
        <v>428</v>
      </c>
      <c r="DT100" s="331" t="s">
        <v>428</v>
      </c>
      <c r="DU100" s="331" t="s">
        <v>984</v>
      </c>
      <c r="DV100" s="331" t="s">
        <v>984</v>
      </c>
      <c r="DW100" s="331" t="s">
        <v>984</v>
      </c>
      <c r="DX100" s="331" t="s">
        <v>984</v>
      </c>
      <c r="DY100" s="331" t="s">
        <v>984</v>
      </c>
      <c r="DZ100" s="331" t="s">
        <v>984</v>
      </c>
      <c r="EA100" s="331" t="s">
        <v>984</v>
      </c>
      <c r="EB100" s="331" t="s">
        <v>984</v>
      </c>
      <c r="EC100" s="331" t="s">
        <v>984</v>
      </c>
      <c r="ED100" s="331" t="s">
        <v>984</v>
      </c>
      <c r="EE100" s="331" t="s">
        <v>984</v>
      </c>
      <c r="EF100" s="331" t="s">
        <v>984</v>
      </c>
      <c r="EG100" s="331" t="s">
        <v>984</v>
      </c>
      <c r="EH100" s="331" t="s">
        <v>984</v>
      </c>
      <c r="EI100" s="331" t="s">
        <v>984</v>
      </c>
      <c r="EJ100" s="331" t="s">
        <v>984</v>
      </c>
      <c r="EK100" s="331" t="s">
        <v>984</v>
      </c>
      <c r="EL100" s="331" t="s">
        <v>984</v>
      </c>
      <c r="EM100" s="331" t="s">
        <v>984</v>
      </c>
      <c r="EN100" s="331" t="s">
        <v>984</v>
      </c>
      <c r="EO100" s="331" t="s">
        <v>984</v>
      </c>
      <c r="EP100" s="331" t="s">
        <v>984</v>
      </c>
      <c r="EQ100" s="331" t="s">
        <v>984</v>
      </c>
      <c r="ER100" s="331" t="s">
        <v>984</v>
      </c>
      <c r="ES100" s="331" t="s">
        <v>984</v>
      </c>
      <c r="ET100" s="331" t="s">
        <v>984</v>
      </c>
      <c r="EU100" s="331" t="s">
        <v>984</v>
      </c>
      <c r="EV100" s="331" t="s">
        <v>984</v>
      </c>
      <c r="EW100" s="331" t="s">
        <v>984</v>
      </c>
      <c r="EX100" s="331" t="s">
        <v>984</v>
      </c>
      <c r="EY100" s="331" t="s">
        <v>984</v>
      </c>
      <c r="EZ100" s="331" t="s">
        <v>428</v>
      </c>
      <c r="FA100" s="331" t="s">
        <v>984</v>
      </c>
      <c r="FB100" s="331" t="s">
        <v>984</v>
      </c>
      <c r="FC100" s="331" t="s">
        <v>984</v>
      </c>
      <c r="FD100" s="331" t="s">
        <v>984</v>
      </c>
      <c r="FE100" s="331" t="s">
        <v>984</v>
      </c>
      <c r="FF100" s="331" t="s">
        <v>984</v>
      </c>
      <c r="FG100" s="331" t="s">
        <v>984</v>
      </c>
      <c r="FH100" s="331" t="s">
        <v>984</v>
      </c>
      <c r="FI100" s="331" t="s">
        <v>984</v>
      </c>
      <c r="FJ100" s="331" t="s">
        <v>984</v>
      </c>
      <c r="FK100" s="331" t="s">
        <v>984</v>
      </c>
      <c r="FL100" s="331" t="s">
        <v>984</v>
      </c>
      <c r="FM100" s="331" t="s">
        <v>984</v>
      </c>
      <c r="FN100" s="331" t="s">
        <v>984</v>
      </c>
      <c r="FO100" s="331" t="s">
        <v>984</v>
      </c>
      <c r="FP100" s="331" t="s">
        <v>984</v>
      </c>
      <c r="FQ100" s="331" t="s">
        <v>984</v>
      </c>
      <c r="FR100" s="331" t="s">
        <v>428</v>
      </c>
      <c r="FS100" s="331" t="s">
        <v>984</v>
      </c>
      <c r="FT100" s="331" t="s">
        <v>984</v>
      </c>
      <c r="FU100" s="331" t="s">
        <v>984</v>
      </c>
      <c r="FV100" s="331" t="s">
        <v>190</v>
      </c>
      <c r="FW100" s="331" t="s">
        <v>984</v>
      </c>
      <c r="FX100" s="331" t="s">
        <v>984</v>
      </c>
      <c r="FY100" s="331" t="s">
        <v>984</v>
      </c>
      <c r="FZ100" s="331" t="s">
        <v>984</v>
      </c>
      <c r="GA100" s="331" t="s">
        <v>984</v>
      </c>
      <c r="GB100" s="331" t="s">
        <v>984</v>
      </c>
      <c r="GC100" s="331" t="s">
        <v>984</v>
      </c>
      <c r="GD100" s="331" t="s">
        <v>984</v>
      </c>
      <c r="GE100" s="331" t="s">
        <v>984</v>
      </c>
      <c r="GF100" s="331" t="s">
        <v>984</v>
      </c>
      <c r="GG100" s="331" t="s">
        <v>984</v>
      </c>
      <c r="GH100" s="331" t="s">
        <v>984</v>
      </c>
      <c r="GI100" s="331" t="s">
        <v>428</v>
      </c>
      <c r="GJ100" s="331" t="s">
        <v>984</v>
      </c>
      <c r="GK100" s="331" t="s">
        <v>984</v>
      </c>
      <c r="GL100" s="331" t="s">
        <v>984</v>
      </c>
      <c r="GM100" s="331" t="s">
        <v>984</v>
      </c>
      <c r="GN100" s="331" t="s">
        <v>984</v>
      </c>
      <c r="GO100" s="331" t="s">
        <v>984</v>
      </c>
      <c r="GP100" s="331" t="s">
        <v>984</v>
      </c>
      <c r="GQ100" s="331" t="s">
        <v>984</v>
      </c>
      <c r="GR100" s="331" t="s">
        <v>984</v>
      </c>
      <c r="GS100" s="331" t="s">
        <v>984</v>
      </c>
      <c r="GT100" s="331" t="s">
        <v>984</v>
      </c>
      <c r="GU100" s="331" t="s">
        <v>984</v>
      </c>
      <c r="GV100" s="331" t="s">
        <v>984</v>
      </c>
      <c r="GW100" s="331" t="s">
        <v>984</v>
      </c>
      <c r="GX100" s="331" t="s">
        <v>984</v>
      </c>
      <c r="GY100" s="331" t="s">
        <v>984</v>
      </c>
      <c r="GZ100" s="331" t="s">
        <v>984</v>
      </c>
      <c r="HA100" s="331" t="s">
        <v>984</v>
      </c>
      <c r="HB100" s="331" t="s">
        <v>984</v>
      </c>
      <c r="HC100" s="331" t="s">
        <v>984</v>
      </c>
      <c r="HD100" s="331" t="s">
        <v>984</v>
      </c>
      <c r="HE100" s="331" t="s">
        <v>984</v>
      </c>
      <c r="HF100" s="331" t="s">
        <v>984</v>
      </c>
      <c r="HG100" s="331" t="s">
        <v>984</v>
      </c>
      <c r="HH100" s="331" t="s">
        <v>984</v>
      </c>
      <c r="HI100" s="331" t="s">
        <v>984</v>
      </c>
      <c r="HJ100" s="331" t="s">
        <v>984</v>
      </c>
      <c r="HK100" s="331" t="s">
        <v>984</v>
      </c>
      <c r="HL100" s="331" t="s">
        <v>984</v>
      </c>
      <c r="HM100" s="331" t="s">
        <v>191</v>
      </c>
      <c r="HN100" s="331" t="s">
        <v>191</v>
      </c>
      <c r="HO100" s="331" t="s">
        <v>191</v>
      </c>
      <c r="HP100" s="331" t="s">
        <v>191</v>
      </c>
      <c r="HQ100" s="331" t="s">
        <v>170</v>
      </c>
      <c r="HR100" s="331" t="s">
        <v>429</v>
      </c>
      <c r="HS100" s="331" t="s">
        <v>169</v>
      </c>
      <c r="HT100" s="331" t="s">
        <v>427</v>
      </c>
      <c r="HU100" s="331" t="s">
        <v>428</v>
      </c>
      <c r="HV100" s="331" t="s">
        <v>428</v>
      </c>
    </row>
    <row r="101" spans="1:230" s="70" customFormat="1" x14ac:dyDescent="0.25">
      <c r="A101" s="330" t="str">
        <f>HYPERLINK("http://www.ofsted.gov.uk/inspection-reports/find-inspection-report/provider/ELS/147547 ","Ofsted School Webpage")</f>
        <v>Ofsted School Webpage</v>
      </c>
      <c r="B101" s="331">
        <v>147547</v>
      </c>
      <c r="C101" s="331">
        <v>2126005</v>
      </c>
      <c r="D101" s="331" t="s">
        <v>2752</v>
      </c>
      <c r="E101" s="331" t="s">
        <v>167</v>
      </c>
      <c r="F101" s="331" t="s">
        <v>441</v>
      </c>
      <c r="G101" s="331" t="s">
        <v>441</v>
      </c>
      <c r="H101" s="331" t="s">
        <v>745</v>
      </c>
      <c r="I101" s="331" t="s">
        <v>2047</v>
      </c>
      <c r="J101" s="331" t="s">
        <v>434</v>
      </c>
      <c r="K101" s="331" t="s">
        <v>81</v>
      </c>
      <c r="L101" s="331" t="s">
        <v>81</v>
      </c>
      <c r="M101" s="331" t="s">
        <v>78</v>
      </c>
      <c r="N101" s="331" t="s">
        <v>424</v>
      </c>
      <c r="O101" s="331">
        <v>10126166</v>
      </c>
      <c r="P101" s="332">
        <v>43775</v>
      </c>
      <c r="Q101" s="332">
        <v>43775</v>
      </c>
      <c r="R101" s="332">
        <v>43796</v>
      </c>
      <c r="S101" s="331" t="s">
        <v>2583</v>
      </c>
      <c r="T101" s="331" t="s">
        <v>982</v>
      </c>
      <c r="U101" s="331" t="s">
        <v>427</v>
      </c>
      <c r="V101" s="331" t="s">
        <v>2584</v>
      </c>
      <c r="W101" s="331" t="s">
        <v>190</v>
      </c>
      <c r="X101" s="331" t="s">
        <v>190</v>
      </c>
      <c r="Y101" s="331" t="s">
        <v>190</v>
      </c>
      <c r="Z101" s="331" t="s">
        <v>190</v>
      </c>
      <c r="AA101" s="331" t="s">
        <v>190</v>
      </c>
      <c r="AB101" s="331" t="s">
        <v>190</v>
      </c>
      <c r="AC101" s="331" t="s">
        <v>190</v>
      </c>
      <c r="AD101" s="331" t="s">
        <v>190</v>
      </c>
      <c r="AE101" s="331" t="s">
        <v>428</v>
      </c>
      <c r="AF101" s="331" t="s">
        <v>190</v>
      </c>
      <c r="AG101" s="331" t="s">
        <v>190</v>
      </c>
      <c r="AH101" s="331" t="s">
        <v>190</v>
      </c>
      <c r="AI101" s="331" t="s">
        <v>190</v>
      </c>
      <c r="AJ101" s="331" t="s">
        <v>190</v>
      </c>
      <c r="AK101" s="331" t="s">
        <v>190</v>
      </c>
      <c r="AL101" s="331" t="s">
        <v>190</v>
      </c>
      <c r="AM101" s="331" t="s">
        <v>428</v>
      </c>
      <c r="AN101" s="331" t="s">
        <v>190</v>
      </c>
      <c r="AO101" s="331" t="s">
        <v>190</v>
      </c>
      <c r="AP101" s="331" t="s">
        <v>190</v>
      </c>
      <c r="AQ101" s="331" t="s">
        <v>190</v>
      </c>
      <c r="AR101" s="331" t="s">
        <v>190</v>
      </c>
      <c r="AS101" s="331" t="s">
        <v>190</v>
      </c>
      <c r="AT101" s="331" t="s">
        <v>190</v>
      </c>
      <c r="AU101" s="331" t="s">
        <v>190</v>
      </c>
      <c r="AV101" s="331" t="s">
        <v>190</v>
      </c>
      <c r="AW101" s="331" t="s">
        <v>190</v>
      </c>
      <c r="AX101" s="331" t="s">
        <v>190</v>
      </c>
      <c r="AY101" s="331" t="s">
        <v>190</v>
      </c>
      <c r="AZ101" s="331" t="s">
        <v>190</v>
      </c>
      <c r="BA101" s="331" t="s">
        <v>190</v>
      </c>
      <c r="BB101" s="331" t="s">
        <v>190</v>
      </c>
      <c r="BC101" s="331" t="s">
        <v>190</v>
      </c>
      <c r="BD101" s="331" t="s">
        <v>190</v>
      </c>
      <c r="BE101" s="331" t="s">
        <v>190</v>
      </c>
      <c r="BF101" s="331" t="s">
        <v>190</v>
      </c>
      <c r="BG101" s="331" t="s">
        <v>190</v>
      </c>
      <c r="BH101" s="331" t="s">
        <v>190</v>
      </c>
      <c r="BI101" s="331" t="s">
        <v>190</v>
      </c>
      <c r="BJ101" s="331" t="s">
        <v>190</v>
      </c>
      <c r="BK101" s="331" t="s">
        <v>190</v>
      </c>
      <c r="BL101" s="331" t="s">
        <v>190</v>
      </c>
      <c r="BM101" s="331" t="s">
        <v>190</v>
      </c>
      <c r="BN101" s="331" t="s">
        <v>190</v>
      </c>
      <c r="BO101" s="331" t="s">
        <v>190</v>
      </c>
      <c r="BP101" s="331" t="s">
        <v>190</v>
      </c>
      <c r="BQ101" s="331" t="s">
        <v>190</v>
      </c>
      <c r="BR101" s="331" t="s">
        <v>190</v>
      </c>
      <c r="BS101" s="331" t="s">
        <v>190</v>
      </c>
      <c r="BT101" s="331" t="s">
        <v>190</v>
      </c>
      <c r="BU101" s="331" t="s">
        <v>428</v>
      </c>
      <c r="BV101" s="331" t="s">
        <v>428</v>
      </c>
      <c r="BW101" s="331" t="s">
        <v>428</v>
      </c>
      <c r="BX101" s="331" t="s">
        <v>190</v>
      </c>
      <c r="BY101" s="331" t="s">
        <v>190</v>
      </c>
      <c r="BZ101" s="331" t="s">
        <v>190</v>
      </c>
      <c r="CA101" s="331" t="s">
        <v>190</v>
      </c>
      <c r="CB101" s="331" t="s">
        <v>190</v>
      </c>
      <c r="CC101" s="331" t="s">
        <v>190</v>
      </c>
      <c r="CD101" s="331" t="s">
        <v>190</v>
      </c>
      <c r="CE101" s="331" t="s">
        <v>190</v>
      </c>
      <c r="CF101" s="331" t="s">
        <v>190</v>
      </c>
      <c r="CG101" s="331" t="s">
        <v>190</v>
      </c>
      <c r="CH101" s="331" t="s">
        <v>190</v>
      </c>
      <c r="CI101" s="331" t="s">
        <v>190</v>
      </c>
      <c r="CJ101" s="331" t="s">
        <v>190</v>
      </c>
      <c r="CK101" s="331" t="s">
        <v>190</v>
      </c>
      <c r="CL101" s="331" t="s">
        <v>190</v>
      </c>
      <c r="CM101" s="331" t="s">
        <v>190</v>
      </c>
      <c r="CN101" s="331" t="s">
        <v>190</v>
      </c>
      <c r="CO101" s="331" t="s">
        <v>190</v>
      </c>
      <c r="CP101" s="331" t="s">
        <v>190</v>
      </c>
      <c r="CQ101" s="331" t="s">
        <v>190</v>
      </c>
      <c r="CR101" s="331" t="s">
        <v>190</v>
      </c>
      <c r="CS101" s="331" t="s">
        <v>190</v>
      </c>
      <c r="CT101" s="331" t="s">
        <v>190</v>
      </c>
      <c r="CU101" s="331" t="s">
        <v>428</v>
      </c>
      <c r="CV101" s="331" t="s">
        <v>190</v>
      </c>
      <c r="CW101" s="331" t="s">
        <v>428</v>
      </c>
      <c r="CX101" s="331" t="s">
        <v>428</v>
      </c>
      <c r="CY101" s="331" t="s">
        <v>428</v>
      </c>
      <c r="CZ101" s="331" t="s">
        <v>428</v>
      </c>
      <c r="DA101" s="331" t="s">
        <v>428</v>
      </c>
      <c r="DB101" s="331" t="s">
        <v>428</v>
      </c>
      <c r="DC101" s="331" t="s">
        <v>428</v>
      </c>
      <c r="DD101" s="331" t="s">
        <v>428</v>
      </c>
      <c r="DE101" s="331" t="s">
        <v>428</v>
      </c>
      <c r="DF101" s="331" t="s">
        <v>428</v>
      </c>
      <c r="DG101" s="331" t="s">
        <v>428</v>
      </c>
      <c r="DH101" s="331" t="s">
        <v>428</v>
      </c>
      <c r="DI101" s="331" t="s">
        <v>428</v>
      </c>
      <c r="DJ101" s="331" t="s">
        <v>428</v>
      </c>
      <c r="DK101" s="331" t="s">
        <v>428</v>
      </c>
      <c r="DL101" s="331" t="s">
        <v>190</v>
      </c>
      <c r="DM101" s="331" t="s">
        <v>190</v>
      </c>
      <c r="DN101" s="331" t="s">
        <v>190</v>
      </c>
      <c r="DO101" s="331" t="s">
        <v>190</v>
      </c>
      <c r="DP101" s="331" t="s">
        <v>190</v>
      </c>
      <c r="DQ101" s="331" t="s">
        <v>190</v>
      </c>
      <c r="DR101" s="331" t="s">
        <v>190</v>
      </c>
      <c r="DS101" s="331" t="s">
        <v>190</v>
      </c>
      <c r="DT101" s="331" t="s">
        <v>190</v>
      </c>
      <c r="DU101" s="331" t="s">
        <v>190</v>
      </c>
      <c r="DV101" s="331" t="s">
        <v>190</v>
      </c>
      <c r="DW101" s="331" t="s">
        <v>190</v>
      </c>
      <c r="DX101" s="331" t="s">
        <v>190</v>
      </c>
      <c r="DY101" s="331" t="s">
        <v>190</v>
      </c>
      <c r="DZ101" s="331" t="s">
        <v>190</v>
      </c>
      <c r="EA101" s="331" t="s">
        <v>190</v>
      </c>
      <c r="EB101" s="331" t="s">
        <v>190</v>
      </c>
      <c r="EC101" s="331" t="s">
        <v>190</v>
      </c>
      <c r="ED101" s="331" t="s">
        <v>190</v>
      </c>
      <c r="EE101" s="331" t="s">
        <v>190</v>
      </c>
      <c r="EF101" s="331" t="s">
        <v>190</v>
      </c>
      <c r="EG101" s="331" t="s">
        <v>190</v>
      </c>
      <c r="EH101" s="331" t="s">
        <v>428</v>
      </c>
      <c r="EI101" s="331" t="s">
        <v>428</v>
      </c>
      <c r="EJ101" s="331" t="s">
        <v>428</v>
      </c>
      <c r="EK101" s="331" t="s">
        <v>428</v>
      </c>
      <c r="EL101" s="331" t="s">
        <v>428</v>
      </c>
      <c r="EM101" s="331" t="s">
        <v>428</v>
      </c>
      <c r="EN101" s="331" t="s">
        <v>428</v>
      </c>
      <c r="EO101" s="331" t="s">
        <v>190</v>
      </c>
      <c r="EP101" s="331" t="s">
        <v>428</v>
      </c>
      <c r="EQ101" s="331" t="s">
        <v>428</v>
      </c>
      <c r="ER101" s="331" t="s">
        <v>428</v>
      </c>
      <c r="ES101" s="331" t="s">
        <v>190</v>
      </c>
      <c r="ET101" s="331" t="s">
        <v>190</v>
      </c>
      <c r="EU101" s="331" t="s">
        <v>190</v>
      </c>
      <c r="EV101" s="331" t="s">
        <v>190</v>
      </c>
      <c r="EW101" s="331" t="s">
        <v>190</v>
      </c>
      <c r="EX101" s="331" t="s">
        <v>190</v>
      </c>
      <c r="EY101" s="331" t="s">
        <v>190</v>
      </c>
      <c r="EZ101" s="331" t="s">
        <v>190</v>
      </c>
      <c r="FA101" s="331" t="s">
        <v>190</v>
      </c>
      <c r="FB101" s="331" t="s">
        <v>190</v>
      </c>
      <c r="FC101" s="331" t="s">
        <v>190</v>
      </c>
      <c r="FD101" s="331" t="s">
        <v>190</v>
      </c>
      <c r="FE101" s="331" t="s">
        <v>190</v>
      </c>
      <c r="FF101" s="331" t="s">
        <v>190</v>
      </c>
      <c r="FG101" s="331" t="s">
        <v>190</v>
      </c>
      <c r="FH101" s="331" t="s">
        <v>190</v>
      </c>
      <c r="FI101" s="331" t="s">
        <v>190</v>
      </c>
      <c r="FJ101" s="331" t="s">
        <v>190</v>
      </c>
      <c r="FK101" s="331" t="s">
        <v>190</v>
      </c>
      <c r="FL101" s="331" t="s">
        <v>190</v>
      </c>
      <c r="FM101" s="331" t="s">
        <v>190</v>
      </c>
      <c r="FN101" s="331" t="s">
        <v>190</v>
      </c>
      <c r="FO101" s="331" t="s">
        <v>190</v>
      </c>
      <c r="FP101" s="331" t="s">
        <v>190</v>
      </c>
      <c r="FQ101" s="331" t="s">
        <v>190</v>
      </c>
      <c r="FR101" s="331" t="s">
        <v>428</v>
      </c>
      <c r="FS101" s="331" t="s">
        <v>190</v>
      </c>
      <c r="FT101" s="331" t="s">
        <v>190</v>
      </c>
      <c r="FU101" s="331" t="s">
        <v>190</v>
      </c>
      <c r="FV101" s="331" t="s">
        <v>190</v>
      </c>
      <c r="FW101" s="331" t="s">
        <v>428</v>
      </c>
      <c r="FX101" s="331" t="s">
        <v>428</v>
      </c>
      <c r="FY101" s="331" t="s">
        <v>190</v>
      </c>
      <c r="FZ101" s="331" t="s">
        <v>190</v>
      </c>
      <c r="GA101" s="331" t="s">
        <v>190</v>
      </c>
      <c r="GB101" s="331" t="s">
        <v>190</v>
      </c>
      <c r="GC101" s="331" t="s">
        <v>190</v>
      </c>
      <c r="GD101" s="331" t="s">
        <v>190</v>
      </c>
      <c r="GE101" s="331" t="s">
        <v>190</v>
      </c>
      <c r="GF101" s="331" t="s">
        <v>190</v>
      </c>
      <c r="GG101" s="331" t="s">
        <v>428</v>
      </c>
      <c r="GH101" s="331" t="s">
        <v>190</v>
      </c>
      <c r="GI101" s="331" t="s">
        <v>190</v>
      </c>
      <c r="GJ101" s="331" t="s">
        <v>190</v>
      </c>
      <c r="GK101" s="331" t="s">
        <v>190</v>
      </c>
      <c r="GL101" s="331" t="s">
        <v>190</v>
      </c>
      <c r="GM101" s="331" t="s">
        <v>190</v>
      </c>
      <c r="GN101" s="331" t="s">
        <v>190</v>
      </c>
      <c r="GO101" s="331" t="s">
        <v>190</v>
      </c>
      <c r="GP101" s="331" t="s">
        <v>190</v>
      </c>
      <c r="GQ101" s="331" t="s">
        <v>190</v>
      </c>
      <c r="GR101" s="331" t="s">
        <v>428</v>
      </c>
      <c r="GS101" s="331" t="s">
        <v>428</v>
      </c>
      <c r="GT101" s="331" t="s">
        <v>428</v>
      </c>
      <c r="GU101" s="331" t="s">
        <v>428</v>
      </c>
      <c r="GV101" s="331" t="s">
        <v>428</v>
      </c>
      <c r="GW101" s="331" t="s">
        <v>190</v>
      </c>
      <c r="GX101" s="331" t="s">
        <v>190</v>
      </c>
      <c r="GY101" s="331" t="s">
        <v>190</v>
      </c>
      <c r="GZ101" s="331" t="s">
        <v>190</v>
      </c>
      <c r="HA101" s="331" t="s">
        <v>190</v>
      </c>
      <c r="HB101" s="331" t="s">
        <v>190</v>
      </c>
      <c r="HC101" s="331" t="s">
        <v>190</v>
      </c>
      <c r="HD101" s="331" t="s">
        <v>190</v>
      </c>
      <c r="HE101" s="331" t="s">
        <v>190</v>
      </c>
      <c r="HF101" s="331" t="s">
        <v>190</v>
      </c>
      <c r="HG101" s="331" t="s">
        <v>190</v>
      </c>
      <c r="HH101" s="331" t="s">
        <v>190</v>
      </c>
      <c r="HI101" s="331" t="s">
        <v>190</v>
      </c>
      <c r="HJ101" s="331" t="s">
        <v>190</v>
      </c>
      <c r="HK101" s="331" t="s">
        <v>190</v>
      </c>
      <c r="HL101" s="331" t="s">
        <v>190</v>
      </c>
      <c r="HM101" s="331" t="s">
        <v>190</v>
      </c>
      <c r="HN101" s="331" t="s">
        <v>190</v>
      </c>
      <c r="HO101" s="331" t="s">
        <v>190</v>
      </c>
      <c r="HP101" s="331" t="s">
        <v>190</v>
      </c>
      <c r="HQ101" s="331" t="s">
        <v>170</v>
      </c>
      <c r="HR101" s="331" t="s">
        <v>429</v>
      </c>
      <c r="HS101" s="331" t="s">
        <v>169</v>
      </c>
      <c r="HT101" s="331" t="s">
        <v>427</v>
      </c>
      <c r="HU101" s="331" t="s">
        <v>428</v>
      </c>
      <c r="HV101" s="331" t="s">
        <v>428</v>
      </c>
    </row>
    <row r="102" spans="1:230" s="70" customFormat="1" x14ac:dyDescent="0.25">
      <c r="A102" s="330" t="str">
        <f>HYPERLINK("http://www.ofsted.gov.uk/inspection-reports/find-inspection-report/provider/ELS/100293 ","Ofsted School Webpage")</f>
        <v>Ofsted School Webpage</v>
      </c>
      <c r="B102" s="331">
        <v>100293</v>
      </c>
      <c r="C102" s="331">
        <v>2046296</v>
      </c>
      <c r="D102" s="331" t="s">
        <v>624</v>
      </c>
      <c r="E102" s="331" t="s">
        <v>167</v>
      </c>
      <c r="F102" s="331" t="s">
        <v>441</v>
      </c>
      <c r="G102" s="331" t="s">
        <v>441</v>
      </c>
      <c r="H102" s="331" t="s">
        <v>547</v>
      </c>
      <c r="I102" s="331" t="s">
        <v>625</v>
      </c>
      <c r="J102" s="331" t="s">
        <v>69</v>
      </c>
      <c r="K102" s="331" t="s">
        <v>69</v>
      </c>
      <c r="L102" s="331" t="s">
        <v>69</v>
      </c>
      <c r="M102" s="331" t="s">
        <v>69</v>
      </c>
      <c r="N102" s="331" t="s">
        <v>424</v>
      </c>
      <c r="O102" s="331">
        <v>10126194</v>
      </c>
      <c r="P102" s="332">
        <v>43775</v>
      </c>
      <c r="Q102" s="332">
        <v>43775</v>
      </c>
      <c r="R102" s="332">
        <v>43809</v>
      </c>
      <c r="S102" s="331" t="s">
        <v>981</v>
      </c>
      <c r="T102" s="331" t="s">
        <v>982</v>
      </c>
      <c r="U102" s="331" t="s">
        <v>427</v>
      </c>
      <c r="V102" s="331" t="s">
        <v>1000</v>
      </c>
      <c r="W102" s="331" t="s">
        <v>191</v>
      </c>
      <c r="X102" s="331" t="s">
        <v>190</v>
      </c>
      <c r="Y102" s="331" t="s">
        <v>190</v>
      </c>
      <c r="Z102" s="331" t="s">
        <v>190</v>
      </c>
      <c r="AA102" s="331" t="s">
        <v>190</v>
      </c>
      <c r="AB102" s="331" t="s">
        <v>190</v>
      </c>
      <c r="AC102" s="331" t="s">
        <v>190</v>
      </c>
      <c r="AD102" s="331" t="s">
        <v>190</v>
      </c>
      <c r="AE102" s="331" t="s">
        <v>190</v>
      </c>
      <c r="AF102" s="331" t="s">
        <v>190</v>
      </c>
      <c r="AG102" s="331" t="s">
        <v>190</v>
      </c>
      <c r="AH102" s="331" t="s">
        <v>191</v>
      </c>
      <c r="AI102" s="331" t="s">
        <v>190</v>
      </c>
      <c r="AJ102" s="331" t="s">
        <v>190</v>
      </c>
      <c r="AK102" s="331" t="s">
        <v>190</v>
      </c>
      <c r="AL102" s="331" t="s">
        <v>190</v>
      </c>
      <c r="AM102" s="331" t="s">
        <v>190</v>
      </c>
      <c r="AN102" s="331" t="s">
        <v>190</v>
      </c>
      <c r="AO102" s="331" t="s">
        <v>190</v>
      </c>
      <c r="AP102" s="331" t="s">
        <v>190</v>
      </c>
      <c r="AQ102" s="331" t="s">
        <v>190</v>
      </c>
      <c r="AR102" s="331" t="s">
        <v>190</v>
      </c>
      <c r="AS102" s="331" t="s">
        <v>190</v>
      </c>
      <c r="AT102" s="331" t="s">
        <v>190</v>
      </c>
      <c r="AU102" s="331" t="s">
        <v>190</v>
      </c>
      <c r="AV102" s="331" t="s">
        <v>190</v>
      </c>
      <c r="AW102" s="331" t="s">
        <v>190</v>
      </c>
      <c r="AX102" s="331" t="s">
        <v>190</v>
      </c>
      <c r="AY102" s="331" t="s">
        <v>190</v>
      </c>
      <c r="AZ102" s="331" t="s">
        <v>190</v>
      </c>
      <c r="BA102" s="331" t="s">
        <v>190</v>
      </c>
      <c r="BB102" s="331" t="s">
        <v>190</v>
      </c>
      <c r="BC102" s="331" t="s">
        <v>191</v>
      </c>
      <c r="BD102" s="331" t="s">
        <v>190</v>
      </c>
      <c r="BE102" s="331" t="s">
        <v>191</v>
      </c>
      <c r="BF102" s="331" t="s">
        <v>190</v>
      </c>
      <c r="BG102" s="331" t="s">
        <v>190</v>
      </c>
      <c r="BH102" s="331" t="s">
        <v>190</v>
      </c>
      <c r="BI102" s="331" t="s">
        <v>190</v>
      </c>
      <c r="BJ102" s="331" t="s">
        <v>190</v>
      </c>
      <c r="BK102" s="331" t="s">
        <v>191</v>
      </c>
      <c r="BL102" s="331" t="s">
        <v>190</v>
      </c>
      <c r="BM102" s="331" t="s">
        <v>190</v>
      </c>
      <c r="BN102" s="331" t="s">
        <v>190</v>
      </c>
      <c r="BO102" s="331" t="s">
        <v>190</v>
      </c>
      <c r="BP102" s="331" t="s">
        <v>190</v>
      </c>
      <c r="BQ102" s="331" t="s">
        <v>190</v>
      </c>
      <c r="BR102" s="331" t="s">
        <v>190</v>
      </c>
      <c r="BS102" s="331" t="s">
        <v>190</v>
      </c>
      <c r="BT102" s="331" t="s">
        <v>190</v>
      </c>
      <c r="BU102" s="331" t="s">
        <v>984</v>
      </c>
      <c r="BV102" s="331" t="s">
        <v>984</v>
      </c>
      <c r="BW102" s="331" t="s">
        <v>984</v>
      </c>
      <c r="BX102" s="331" t="s">
        <v>984</v>
      </c>
      <c r="BY102" s="331" t="s">
        <v>984</v>
      </c>
      <c r="BZ102" s="331" t="s">
        <v>984</v>
      </c>
      <c r="CA102" s="331" t="s">
        <v>984</v>
      </c>
      <c r="CB102" s="331" t="s">
        <v>984</v>
      </c>
      <c r="CC102" s="331" t="s">
        <v>190</v>
      </c>
      <c r="CD102" s="331" t="s">
        <v>190</v>
      </c>
      <c r="CE102" s="331" t="s">
        <v>984</v>
      </c>
      <c r="CF102" s="331" t="s">
        <v>190</v>
      </c>
      <c r="CG102" s="331" t="s">
        <v>984</v>
      </c>
      <c r="CH102" s="331" t="s">
        <v>190</v>
      </c>
      <c r="CI102" s="331" t="s">
        <v>190</v>
      </c>
      <c r="CJ102" s="331" t="s">
        <v>190</v>
      </c>
      <c r="CK102" s="331" t="s">
        <v>190</v>
      </c>
      <c r="CL102" s="331" t="s">
        <v>190</v>
      </c>
      <c r="CM102" s="331" t="s">
        <v>190</v>
      </c>
      <c r="CN102" s="331" t="s">
        <v>190</v>
      </c>
      <c r="CO102" s="331" t="s">
        <v>190</v>
      </c>
      <c r="CP102" s="331" t="s">
        <v>190</v>
      </c>
      <c r="CQ102" s="331" t="s">
        <v>190</v>
      </c>
      <c r="CR102" s="331" t="s">
        <v>190</v>
      </c>
      <c r="CS102" s="331" t="s">
        <v>190</v>
      </c>
      <c r="CT102" s="331" t="s">
        <v>190</v>
      </c>
      <c r="CU102" s="331" t="s">
        <v>428</v>
      </c>
      <c r="CV102" s="331" t="s">
        <v>190</v>
      </c>
      <c r="CW102" s="331" t="s">
        <v>190</v>
      </c>
      <c r="CX102" s="331" t="s">
        <v>190</v>
      </c>
      <c r="CY102" s="331" t="s">
        <v>190</v>
      </c>
      <c r="CZ102" s="331" t="s">
        <v>190</v>
      </c>
      <c r="DA102" s="331" t="s">
        <v>190</v>
      </c>
      <c r="DB102" s="331" t="s">
        <v>190</v>
      </c>
      <c r="DC102" s="331" t="s">
        <v>190</v>
      </c>
      <c r="DD102" s="331" t="s">
        <v>190</v>
      </c>
      <c r="DE102" s="331" t="s">
        <v>190</v>
      </c>
      <c r="DF102" s="331" t="s">
        <v>190</v>
      </c>
      <c r="DG102" s="331" t="s">
        <v>190</v>
      </c>
      <c r="DH102" s="331" t="s">
        <v>190</v>
      </c>
      <c r="DI102" s="331" t="s">
        <v>190</v>
      </c>
      <c r="DJ102" s="331" t="s">
        <v>428</v>
      </c>
      <c r="DK102" s="331" t="s">
        <v>190</v>
      </c>
      <c r="DL102" s="331" t="s">
        <v>190</v>
      </c>
      <c r="DM102" s="331" t="s">
        <v>190</v>
      </c>
      <c r="DN102" s="331" t="s">
        <v>190</v>
      </c>
      <c r="DO102" s="331" t="s">
        <v>190</v>
      </c>
      <c r="DP102" s="331" t="s">
        <v>190</v>
      </c>
      <c r="DQ102" s="331" t="s">
        <v>190</v>
      </c>
      <c r="DR102" s="331" t="s">
        <v>190</v>
      </c>
      <c r="DS102" s="331" t="s">
        <v>190</v>
      </c>
      <c r="DT102" s="331" t="s">
        <v>190</v>
      </c>
      <c r="DU102" s="331" t="s">
        <v>190</v>
      </c>
      <c r="DV102" s="331" t="s">
        <v>190</v>
      </c>
      <c r="DW102" s="331" t="s">
        <v>190</v>
      </c>
      <c r="DX102" s="331" t="s">
        <v>190</v>
      </c>
      <c r="DY102" s="331" t="s">
        <v>190</v>
      </c>
      <c r="DZ102" s="331" t="s">
        <v>190</v>
      </c>
      <c r="EA102" s="331" t="s">
        <v>190</v>
      </c>
      <c r="EB102" s="331" t="s">
        <v>190</v>
      </c>
      <c r="EC102" s="331" t="s">
        <v>190</v>
      </c>
      <c r="ED102" s="331" t="s">
        <v>190</v>
      </c>
      <c r="EE102" s="331" t="s">
        <v>190</v>
      </c>
      <c r="EF102" s="331" t="s">
        <v>190</v>
      </c>
      <c r="EG102" s="331" t="s">
        <v>190</v>
      </c>
      <c r="EH102" s="331" t="s">
        <v>190</v>
      </c>
      <c r="EI102" s="331" t="s">
        <v>190</v>
      </c>
      <c r="EJ102" s="331" t="s">
        <v>190</v>
      </c>
      <c r="EK102" s="331" t="s">
        <v>190</v>
      </c>
      <c r="EL102" s="331" t="s">
        <v>190</v>
      </c>
      <c r="EM102" s="331" t="s">
        <v>190</v>
      </c>
      <c r="EN102" s="331" t="s">
        <v>190</v>
      </c>
      <c r="EO102" s="331" t="s">
        <v>190</v>
      </c>
      <c r="EP102" s="331" t="s">
        <v>190</v>
      </c>
      <c r="EQ102" s="331" t="s">
        <v>190</v>
      </c>
      <c r="ER102" s="331" t="s">
        <v>190</v>
      </c>
      <c r="ES102" s="331" t="s">
        <v>190</v>
      </c>
      <c r="ET102" s="331" t="s">
        <v>190</v>
      </c>
      <c r="EU102" s="331" t="s">
        <v>428</v>
      </c>
      <c r="EV102" s="331" t="s">
        <v>190</v>
      </c>
      <c r="EW102" s="331" t="s">
        <v>190</v>
      </c>
      <c r="EX102" s="331" t="s">
        <v>190</v>
      </c>
      <c r="EY102" s="331" t="s">
        <v>190</v>
      </c>
      <c r="EZ102" s="331" t="s">
        <v>428</v>
      </c>
      <c r="FA102" s="331" t="s">
        <v>190</v>
      </c>
      <c r="FB102" s="331" t="s">
        <v>190</v>
      </c>
      <c r="FC102" s="331" t="s">
        <v>190</v>
      </c>
      <c r="FD102" s="331" t="s">
        <v>190</v>
      </c>
      <c r="FE102" s="331" t="s">
        <v>190</v>
      </c>
      <c r="FF102" s="331" t="s">
        <v>190</v>
      </c>
      <c r="FG102" s="331" t="s">
        <v>190</v>
      </c>
      <c r="FH102" s="331" t="s">
        <v>190</v>
      </c>
      <c r="FI102" s="331" t="s">
        <v>190</v>
      </c>
      <c r="FJ102" s="331" t="s">
        <v>190</v>
      </c>
      <c r="FK102" s="331" t="s">
        <v>190</v>
      </c>
      <c r="FL102" s="331" t="s">
        <v>190</v>
      </c>
      <c r="FM102" s="331" t="s">
        <v>190</v>
      </c>
      <c r="FN102" s="331" t="s">
        <v>190</v>
      </c>
      <c r="FO102" s="331" t="s">
        <v>190</v>
      </c>
      <c r="FP102" s="331" t="s">
        <v>190</v>
      </c>
      <c r="FQ102" s="331" t="s">
        <v>190</v>
      </c>
      <c r="FR102" s="331" t="s">
        <v>428</v>
      </c>
      <c r="FS102" s="331" t="s">
        <v>984</v>
      </c>
      <c r="FT102" s="331" t="s">
        <v>984</v>
      </c>
      <c r="FU102" s="331" t="s">
        <v>984</v>
      </c>
      <c r="FV102" s="331" t="s">
        <v>984</v>
      </c>
      <c r="FW102" s="331" t="s">
        <v>984</v>
      </c>
      <c r="FX102" s="331" t="s">
        <v>984</v>
      </c>
      <c r="FY102" s="331" t="s">
        <v>984</v>
      </c>
      <c r="FZ102" s="331" t="s">
        <v>984</v>
      </c>
      <c r="GA102" s="331" t="s">
        <v>984</v>
      </c>
      <c r="GB102" s="331" t="s">
        <v>984</v>
      </c>
      <c r="GC102" s="331" t="s">
        <v>984</v>
      </c>
      <c r="GD102" s="331" t="s">
        <v>984</v>
      </c>
      <c r="GE102" s="331" t="s">
        <v>984</v>
      </c>
      <c r="GF102" s="331" t="s">
        <v>984</v>
      </c>
      <c r="GG102" s="331" t="s">
        <v>984</v>
      </c>
      <c r="GH102" s="331" t="s">
        <v>984</v>
      </c>
      <c r="GI102" s="331" t="s">
        <v>984</v>
      </c>
      <c r="GJ102" s="331" t="s">
        <v>984</v>
      </c>
      <c r="GK102" s="331" t="s">
        <v>984</v>
      </c>
      <c r="GL102" s="331" t="s">
        <v>984</v>
      </c>
      <c r="GM102" s="331" t="s">
        <v>984</v>
      </c>
      <c r="GN102" s="331" t="s">
        <v>984</v>
      </c>
      <c r="GO102" s="331" t="s">
        <v>984</v>
      </c>
      <c r="GP102" s="331" t="s">
        <v>984</v>
      </c>
      <c r="GQ102" s="331" t="s">
        <v>984</v>
      </c>
      <c r="GR102" s="331" t="s">
        <v>984</v>
      </c>
      <c r="GS102" s="331" t="s">
        <v>984</v>
      </c>
      <c r="GT102" s="331" t="s">
        <v>984</v>
      </c>
      <c r="GU102" s="331" t="s">
        <v>984</v>
      </c>
      <c r="GV102" s="331" t="s">
        <v>984</v>
      </c>
      <c r="GW102" s="331" t="s">
        <v>984</v>
      </c>
      <c r="GX102" s="331" t="s">
        <v>984</v>
      </c>
      <c r="GY102" s="331" t="s">
        <v>984</v>
      </c>
      <c r="GZ102" s="331" t="s">
        <v>984</v>
      </c>
      <c r="HA102" s="331" t="s">
        <v>984</v>
      </c>
      <c r="HB102" s="331" t="s">
        <v>984</v>
      </c>
      <c r="HC102" s="331" t="s">
        <v>984</v>
      </c>
      <c r="HD102" s="331" t="s">
        <v>984</v>
      </c>
      <c r="HE102" s="331" t="s">
        <v>984</v>
      </c>
      <c r="HF102" s="331" t="s">
        <v>984</v>
      </c>
      <c r="HG102" s="331" t="s">
        <v>984</v>
      </c>
      <c r="HH102" s="331" t="s">
        <v>984</v>
      </c>
      <c r="HI102" s="331" t="s">
        <v>984</v>
      </c>
      <c r="HJ102" s="331" t="s">
        <v>984</v>
      </c>
      <c r="HK102" s="331" t="s">
        <v>984</v>
      </c>
      <c r="HL102" s="331" t="s">
        <v>984</v>
      </c>
      <c r="HM102" s="331" t="s">
        <v>191</v>
      </c>
      <c r="HN102" s="331" t="s">
        <v>191</v>
      </c>
      <c r="HO102" s="331" t="s">
        <v>191</v>
      </c>
      <c r="HP102" s="331" t="s">
        <v>190</v>
      </c>
      <c r="HQ102" s="331" t="s">
        <v>170</v>
      </c>
      <c r="HR102" s="331" t="s">
        <v>429</v>
      </c>
      <c r="HS102" s="331" t="s">
        <v>169</v>
      </c>
      <c r="HT102" s="331" t="s">
        <v>427</v>
      </c>
      <c r="HU102" s="331" t="s">
        <v>984</v>
      </c>
      <c r="HV102" s="331" t="s">
        <v>984</v>
      </c>
    </row>
    <row r="103" spans="1:230" s="70" customFormat="1" x14ac:dyDescent="0.25">
      <c r="A103" s="330" t="str">
        <f>HYPERLINK("http://www.ofsted.gov.uk/inspection-reports/find-inspection-report/provider/ELS/135561 ","Ofsted School Webpage")</f>
        <v>Ofsted School Webpage</v>
      </c>
      <c r="B103" s="331">
        <v>135561</v>
      </c>
      <c r="C103" s="331">
        <v>3306128</v>
      </c>
      <c r="D103" s="331" t="s">
        <v>1169</v>
      </c>
      <c r="E103" s="331" t="s">
        <v>167</v>
      </c>
      <c r="F103" s="331" t="s">
        <v>437</v>
      </c>
      <c r="G103" s="331" t="s">
        <v>437</v>
      </c>
      <c r="H103" s="331" t="s">
        <v>813</v>
      </c>
      <c r="I103" s="331" t="s">
        <v>1170</v>
      </c>
      <c r="J103" s="331" t="s">
        <v>81</v>
      </c>
      <c r="K103" s="331" t="s">
        <v>81</v>
      </c>
      <c r="L103" s="331" t="s">
        <v>81</v>
      </c>
      <c r="M103" s="331" t="s">
        <v>78</v>
      </c>
      <c r="N103" s="331" t="s">
        <v>424</v>
      </c>
      <c r="O103" s="331">
        <v>10114621</v>
      </c>
      <c r="P103" s="332">
        <v>43775</v>
      </c>
      <c r="Q103" s="332">
        <v>43775</v>
      </c>
      <c r="R103" s="332">
        <v>43815</v>
      </c>
      <c r="S103" s="331" t="s">
        <v>985</v>
      </c>
      <c r="T103" s="331" t="s">
        <v>982</v>
      </c>
      <c r="U103" s="331" t="s">
        <v>447</v>
      </c>
      <c r="V103" s="331" t="s">
        <v>165</v>
      </c>
      <c r="W103" s="331" t="s">
        <v>984</v>
      </c>
      <c r="X103" s="331" t="s">
        <v>984</v>
      </c>
      <c r="Y103" s="331" t="s">
        <v>984</v>
      </c>
      <c r="Z103" s="331" t="s">
        <v>984</v>
      </c>
      <c r="AA103" s="331" t="s">
        <v>984</v>
      </c>
      <c r="AB103" s="331" t="s">
        <v>984</v>
      </c>
      <c r="AC103" s="331" t="s">
        <v>984</v>
      </c>
      <c r="AD103" s="331" t="s">
        <v>984</v>
      </c>
      <c r="AE103" s="331" t="s">
        <v>984</v>
      </c>
      <c r="AF103" s="331" t="s">
        <v>984</v>
      </c>
      <c r="AG103" s="331" t="s">
        <v>984</v>
      </c>
      <c r="AH103" s="331" t="s">
        <v>984</v>
      </c>
      <c r="AI103" s="331" t="s">
        <v>984</v>
      </c>
      <c r="AJ103" s="331" t="s">
        <v>984</v>
      </c>
      <c r="AK103" s="331" t="s">
        <v>984</v>
      </c>
      <c r="AL103" s="331" t="s">
        <v>984</v>
      </c>
      <c r="AM103" s="331" t="s">
        <v>984</v>
      </c>
      <c r="AN103" s="331" t="s">
        <v>984</v>
      </c>
      <c r="AO103" s="331" t="s">
        <v>984</v>
      </c>
      <c r="AP103" s="331" t="s">
        <v>984</v>
      </c>
      <c r="AQ103" s="331" t="s">
        <v>984</v>
      </c>
      <c r="AR103" s="331" t="s">
        <v>984</v>
      </c>
      <c r="AS103" s="331" t="s">
        <v>984</v>
      </c>
      <c r="AT103" s="331" t="s">
        <v>984</v>
      </c>
      <c r="AU103" s="331" t="s">
        <v>984</v>
      </c>
      <c r="AV103" s="331" t="s">
        <v>984</v>
      </c>
      <c r="AW103" s="331" t="s">
        <v>984</v>
      </c>
      <c r="AX103" s="331" t="s">
        <v>984</v>
      </c>
      <c r="AY103" s="331" t="s">
        <v>984</v>
      </c>
      <c r="AZ103" s="331" t="s">
        <v>984</v>
      </c>
      <c r="BA103" s="331" t="s">
        <v>984</v>
      </c>
      <c r="BB103" s="331" t="s">
        <v>984</v>
      </c>
      <c r="BC103" s="331" t="s">
        <v>984</v>
      </c>
      <c r="BD103" s="331" t="s">
        <v>984</v>
      </c>
      <c r="BE103" s="331" t="s">
        <v>984</v>
      </c>
      <c r="BF103" s="331" t="s">
        <v>984</v>
      </c>
      <c r="BG103" s="331" t="s">
        <v>984</v>
      </c>
      <c r="BH103" s="331" t="s">
        <v>984</v>
      </c>
      <c r="BI103" s="331" t="s">
        <v>984</v>
      </c>
      <c r="BJ103" s="331" t="s">
        <v>984</v>
      </c>
      <c r="BK103" s="331" t="s">
        <v>984</v>
      </c>
      <c r="BL103" s="331" t="s">
        <v>984</v>
      </c>
      <c r="BM103" s="331" t="s">
        <v>984</v>
      </c>
      <c r="BN103" s="331" t="s">
        <v>984</v>
      </c>
      <c r="BO103" s="331" t="s">
        <v>984</v>
      </c>
      <c r="BP103" s="331" t="s">
        <v>984</v>
      </c>
      <c r="BQ103" s="331" t="s">
        <v>984</v>
      </c>
      <c r="BR103" s="331" t="s">
        <v>190</v>
      </c>
      <c r="BS103" s="331" t="s">
        <v>190</v>
      </c>
      <c r="BT103" s="331" t="s">
        <v>190</v>
      </c>
      <c r="BU103" s="331" t="s">
        <v>984</v>
      </c>
      <c r="BV103" s="331" t="s">
        <v>984</v>
      </c>
      <c r="BW103" s="331" t="s">
        <v>984</v>
      </c>
      <c r="BX103" s="331" t="s">
        <v>984</v>
      </c>
      <c r="BY103" s="331" t="s">
        <v>984</v>
      </c>
      <c r="BZ103" s="331" t="s">
        <v>984</v>
      </c>
      <c r="CA103" s="331" t="s">
        <v>984</v>
      </c>
      <c r="CB103" s="331" t="s">
        <v>984</v>
      </c>
      <c r="CC103" s="331" t="s">
        <v>984</v>
      </c>
      <c r="CD103" s="331" t="s">
        <v>984</v>
      </c>
      <c r="CE103" s="331" t="s">
        <v>984</v>
      </c>
      <c r="CF103" s="331" t="s">
        <v>984</v>
      </c>
      <c r="CG103" s="331" t="s">
        <v>984</v>
      </c>
      <c r="CH103" s="331" t="s">
        <v>984</v>
      </c>
      <c r="CI103" s="331" t="s">
        <v>984</v>
      </c>
      <c r="CJ103" s="331" t="s">
        <v>984</v>
      </c>
      <c r="CK103" s="331" t="s">
        <v>190</v>
      </c>
      <c r="CL103" s="331" t="s">
        <v>190</v>
      </c>
      <c r="CM103" s="331" t="s">
        <v>190</v>
      </c>
      <c r="CN103" s="331" t="s">
        <v>190</v>
      </c>
      <c r="CO103" s="331" t="s">
        <v>190</v>
      </c>
      <c r="CP103" s="331" t="s">
        <v>190</v>
      </c>
      <c r="CQ103" s="331" t="s">
        <v>190</v>
      </c>
      <c r="CR103" s="331" t="s">
        <v>190</v>
      </c>
      <c r="CS103" s="331" t="s">
        <v>190</v>
      </c>
      <c r="CT103" s="331" t="s">
        <v>190</v>
      </c>
      <c r="CU103" s="331" t="s">
        <v>428</v>
      </c>
      <c r="CV103" s="331" t="s">
        <v>190</v>
      </c>
      <c r="CW103" s="331" t="s">
        <v>190</v>
      </c>
      <c r="CX103" s="331" t="s">
        <v>190</v>
      </c>
      <c r="CY103" s="331" t="s">
        <v>190</v>
      </c>
      <c r="CZ103" s="331" t="s">
        <v>190</v>
      </c>
      <c r="DA103" s="331" t="s">
        <v>190</v>
      </c>
      <c r="DB103" s="331" t="s">
        <v>190</v>
      </c>
      <c r="DC103" s="331" t="s">
        <v>190</v>
      </c>
      <c r="DD103" s="331" t="s">
        <v>190</v>
      </c>
      <c r="DE103" s="331" t="s">
        <v>190</v>
      </c>
      <c r="DF103" s="331" t="s">
        <v>190</v>
      </c>
      <c r="DG103" s="331" t="s">
        <v>190</v>
      </c>
      <c r="DH103" s="331" t="s">
        <v>190</v>
      </c>
      <c r="DI103" s="331" t="s">
        <v>190</v>
      </c>
      <c r="DJ103" s="331" t="s">
        <v>428</v>
      </c>
      <c r="DK103" s="331" t="s">
        <v>190</v>
      </c>
      <c r="DL103" s="331" t="s">
        <v>190</v>
      </c>
      <c r="DM103" s="331" t="s">
        <v>190</v>
      </c>
      <c r="DN103" s="331" t="s">
        <v>190</v>
      </c>
      <c r="DO103" s="331" t="s">
        <v>190</v>
      </c>
      <c r="DP103" s="331" t="s">
        <v>190</v>
      </c>
      <c r="DQ103" s="331" t="s">
        <v>190</v>
      </c>
      <c r="DR103" s="331" t="s">
        <v>190</v>
      </c>
      <c r="DS103" s="331" t="s">
        <v>190</v>
      </c>
      <c r="DT103" s="331" t="s">
        <v>190</v>
      </c>
      <c r="DU103" s="331" t="s">
        <v>190</v>
      </c>
      <c r="DV103" s="331" t="s">
        <v>190</v>
      </c>
      <c r="DW103" s="331" t="s">
        <v>190</v>
      </c>
      <c r="DX103" s="331" t="s">
        <v>190</v>
      </c>
      <c r="DY103" s="331" t="s">
        <v>190</v>
      </c>
      <c r="DZ103" s="331" t="s">
        <v>190</v>
      </c>
      <c r="EA103" s="331" t="s">
        <v>190</v>
      </c>
      <c r="EB103" s="331" t="s">
        <v>190</v>
      </c>
      <c r="EC103" s="331" t="s">
        <v>190</v>
      </c>
      <c r="ED103" s="331" t="s">
        <v>190</v>
      </c>
      <c r="EE103" s="331" t="s">
        <v>190</v>
      </c>
      <c r="EF103" s="331" t="s">
        <v>190</v>
      </c>
      <c r="EG103" s="331" t="s">
        <v>190</v>
      </c>
      <c r="EH103" s="331" t="s">
        <v>190</v>
      </c>
      <c r="EI103" s="331" t="s">
        <v>190</v>
      </c>
      <c r="EJ103" s="331" t="s">
        <v>190</v>
      </c>
      <c r="EK103" s="331" t="s">
        <v>190</v>
      </c>
      <c r="EL103" s="331" t="s">
        <v>190</v>
      </c>
      <c r="EM103" s="331" t="s">
        <v>190</v>
      </c>
      <c r="EN103" s="331" t="s">
        <v>190</v>
      </c>
      <c r="EO103" s="331" t="s">
        <v>190</v>
      </c>
      <c r="EP103" s="331" t="s">
        <v>190</v>
      </c>
      <c r="EQ103" s="331" t="s">
        <v>190</v>
      </c>
      <c r="ER103" s="331" t="s">
        <v>190</v>
      </c>
      <c r="ES103" s="331" t="s">
        <v>984</v>
      </c>
      <c r="ET103" s="331" t="s">
        <v>984</v>
      </c>
      <c r="EU103" s="331" t="s">
        <v>984</v>
      </c>
      <c r="EV103" s="331" t="s">
        <v>984</v>
      </c>
      <c r="EW103" s="331" t="s">
        <v>984</v>
      </c>
      <c r="EX103" s="331" t="s">
        <v>984</v>
      </c>
      <c r="EY103" s="331" t="s">
        <v>984</v>
      </c>
      <c r="EZ103" s="331" t="s">
        <v>984</v>
      </c>
      <c r="FA103" s="331" t="s">
        <v>984</v>
      </c>
      <c r="FB103" s="331" t="s">
        <v>984</v>
      </c>
      <c r="FC103" s="331" t="s">
        <v>984</v>
      </c>
      <c r="FD103" s="331" t="s">
        <v>984</v>
      </c>
      <c r="FE103" s="331" t="s">
        <v>984</v>
      </c>
      <c r="FF103" s="331" t="s">
        <v>984</v>
      </c>
      <c r="FG103" s="331" t="s">
        <v>984</v>
      </c>
      <c r="FH103" s="331" t="s">
        <v>984</v>
      </c>
      <c r="FI103" s="331" t="s">
        <v>984</v>
      </c>
      <c r="FJ103" s="331" t="s">
        <v>984</v>
      </c>
      <c r="FK103" s="331" t="s">
        <v>984</v>
      </c>
      <c r="FL103" s="331" t="s">
        <v>984</v>
      </c>
      <c r="FM103" s="331" t="s">
        <v>984</v>
      </c>
      <c r="FN103" s="331" t="s">
        <v>984</v>
      </c>
      <c r="FO103" s="331" t="s">
        <v>984</v>
      </c>
      <c r="FP103" s="331" t="s">
        <v>984</v>
      </c>
      <c r="FQ103" s="331" t="s">
        <v>984</v>
      </c>
      <c r="FR103" s="331" t="s">
        <v>984</v>
      </c>
      <c r="FS103" s="331" t="s">
        <v>190</v>
      </c>
      <c r="FT103" s="331" t="s">
        <v>984</v>
      </c>
      <c r="FU103" s="331" t="s">
        <v>984</v>
      </c>
      <c r="FV103" s="331" t="s">
        <v>190</v>
      </c>
      <c r="FW103" s="331" t="s">
        <v>984</v>
      </c>
      <c r="FX103" s="331" t="s">
        <v>984</v>
      </c>
      <c r="FY103" s="331" t="s">
        <v>984</v>
      </c>
      <c r="FZ103" s="331" t="s">
        <v>984</v>
      </c>
      <c r="GA103" s="331" t="s">
        <v>984</v>
      </c>
      <c r="GB103" s="331" t="s">
        <v>984</v>
      </c>
      <c r="GC103" s="331" t="s">
        <v>984</v>
      </c>
      <c r="GD103" s="331" t="s">
        <v>984</v>
      </c>
      <c r="GE103" s="331" t="s">
        <v>984</v>
      </c>
      <c r="GF103" s="331" t="s">
        <v>984</v>
      </c>
      <c r="GG103" s="331" t="s">
        <v>984</v>
      </c>
      <c r="GH103" s="331" t="s">
        <v>984</v>
      </c>
      <c r="GI103" s="331" t="s">
        <v>984</v>
      </c>
      <c r="GJ103" s="331" t="s">
        <v>984</v>
      </c>
      <c r="GK103" s="331" t="s">
        <v>984</v>
      </c>
      <c r="GL103" s="331" t="s">
        <v>984</v>
      </c>
      <c r="GM103" s="331" t="s">
        <v>984</v>
      </c>
      <c r="GN103" s="331" t="s">
        <v>984</v>
      </c>
      <c r="GO103" s="331" t="s">
        <v>984</v>
      </c>
      <c r="GP103" s="331" t="s">
        <v>984</v>
      </c>
      <c r="GQ103" s="331" t="s">
        <v>984</v>
      </c>
      <c r="GR103" s="331" t="s">
        <v>984</v>
      </c>
      <c r="GS103" s="331" t="s">
        <v>984</v>
      </c>
      <c r="GT103" s="331" t="s">
        <v>984</v>
      </c>
      <c r="GU103" s="331" t="s">
        <v>984</v>
      </c>
      <c r="GV103" s="331" t="s">
        <v>984</v>
      </c>
      <c r="GW103" s="331" t="s">
        <v>984</v>
      </c>
      <c r="GX103" s="331" t="s">
        <v>984</v>
      </c>
      <c r="GY103" s="331" t="s">
        <v>984</v>
      </c>
      <c r="GZ103" s="331" t="s">
        <v>984</v>
      </c>
      <c r="HA103" s="331" t="s">
        <v>984</v>
      </c>
      <c r="HB103" s="331" t="s">
        <v>984</v>
      </c>
      <c r="HC103" s="331" t="s">
        <v>984</v>
      </c>
      <c r="HD103" s="331" t="s">
        <v>984</v>
      </c>
      <c r="HE103" s="331" t="s">
        <v>984</v>
      </c>
      <c r="HF103" s="331" t="s">
        <v>984</v>
      </c>
      <c r="HG103" s="331" t="s">
        <v>984</v>
      </c>
      <c r="HH103" s="331" t="s">
        <v>984</v>
      </c>
      <c r="HI103" s="331" t="s">
        <v>984</v>
      </c>
      <c r="HJ103" s="331" t="s">
        <v>984</v>
      </c>
      <c r="HK103" s="331" t="s">
        <v>984</v>
      </c>
      <c r="HL103" s="331" t="s">
        <v>984</v>
      </c>
      <c r="HM103" s="331" t="s">
        <v>190</v>
      </c>
      <c r="HN103" s="331" t="s">
        <v>190</v>
      </c>
      <c r="HO103" s="331" t="s">
        <v>190</v>
      </c>
      <c r="HP103" s="331" t="s">
        <v>190</v>
      </c>
      <c r="HQ103" s="331" t="s">
        <v>170</v>
      </c>
      <c r="HR103" s="331" t="s">
        <v>429</v>
      </c>
      <c r="HS103" s="331" t="s">
        <v>169</v>
      </c>
      <c r="HT103" s="331" t="s">
        <v>427</v>
      </c>
      <c r="HU103" s="331" t="s">
        <v>984</v>
      </c>
      <c r="HV103" s="331" t="s">
        <v>984</v>
      </c>
    </row>
    <row r="104" spans="1:230" s="70" customFormat="1" x14ac:dyDescent="0.25">
      <c r="A104" s="330" t="str">
        <f>HYPERLINK("http://www.ofsted.gov.uk/inspection-reports/find-inspection-report/provider/ELS/135539 ","Ofsted School Webpage")</f>
        <v>Ofsted School Webpage</v>
      </c>
      <c r="B104" s="331">
        <v>135539</v>
      </c>
      <c r="C104" s="331">
        <v>8216011</v>
      </c>
      <c r="D104" s="331" t="s">
        <v>1953</v>
      </c>
      <c r="E104" s="331" t="s">
        <v>167</v>
      </c>
      <c r="F104" s="331" t="s">
        <v>451</v>
      </c>
      <c r="G104" s="331" t="s">
        <v>451</v>
      </c>
      <c r="H104" s="331" t="s">
        <v>452</v>
      </c>
      <c r="I104" s="331" t="s">
        <v>1954</v>
      </c>
      <c r="J104" s="331" t="s">
        <v>71</v>
      </c>
      <c r="K104" s="331" t="s">
        <v>72</v>
      </c>
      <c r="L104" s="331" t="s">
        <v>71</v>
      </c>
      <c r="M104" s="331" t="s">
        <v>72</v>
      </c>
      <c r="N104" s="331" t="s">
        <v>424</v>
      </c>
      <c r="O104" s="331">
        <v>10124030</v>
      </c>
      <c r="P104" s="332">
        <v>43775</v>
      </c>
      <c r="Q104" s="332">
        <v>43775</v>
      </c>
      <c r="R104" s="332">
        <v>43802</v>
      </c>
      <c r="S104" s="331" t="s">
        <v>985</v>
      </c>
      <c r="T104" s="331" t="s">
        <v>982</v>
      </c>
      <c r="U104" s="331" t="s">
        <v>427</v>
      </c>
      <c r="V104" s="331" t="s">
        <v>166</v>
      </c>
      <c r="W104" s="331" t="s">
        <v>190</v>
      </c>
      <c r="X104" s="331" t="s">
        <v>984</v>
      </c>
      <c r="Y104" s="331" t="s">
        <v>190</v>
      </c>
      <c r="Z104" s="331" t="s">
        <v>190</v>
      </c>
      <c r="AA104" s="331" t="s">
        <v>984</v>
      </c>
      <c r="AB104" s="331" t="s">
        <v>984</v>
      </c>
      <c r="AC104" s="331" t="s">
        <v>984</v>
      </c>
      <c r="AD104" s="331" t="s">
        <v>984</v>
      </c>
      <c r="AE104" s="331" t="s">
        <v>984</v>
      </c>
      <c r="AF104" s="331" t="s">
        <v>984</v>
      </c>
      <c r="AG104" s="331" t="s">
        <v>984</v>
      </c>
      <c r="AH104" s="331" t="s">
        <v>984</v>
      </c>
      <c r="AI104" s="331" t="s">
        <v>984</v>
      </c>
      <c r="AJ104" s="331" t="s">
        <v>984</v>
      </c>
      <c r="AK104" s="331" t="s">
        <v>984</v>
      </c>
      <c r="AL104" s="331" t="s">
        <v>984</v>
      </c>
      <c r="AM104" s="331" t="s">
        <v>984</v>
      </c>
      <c r="AN104" s="331" t="s">
        <v>428</v>
      </c>
      <c r="AO104" s="331" t="s">
        <v>984</v>
      </c>
      <c r="AP104" s="331" t="s">
        <v>984</v>
      </c>
      <c r="AQ104" s="331" t="s">
        <v>191</v>
      </c>
      <c r="AR104" s="331" t="s">
        <v>191</v>
      </c>
      <c r="AS104" s="331" t="s">
        <v>984</v>
      </c>
      <c r="AT104" s="331" t="s">
        <v>191</v>
      </c>
      <c r="AU104" s="331" t="s">
        <v>191</v>
      </c>
      <c r="AV104" s="331" t="s">
        <v>984</v>
      </c>
      <c r="AW104" s="331" t="s">
        <v>984</v>
      </c>
      <c r="AX104" s="331" t="s">
        <v>984</v>
      </c>
      <c r="AY104" s="331" t="s">
        <v>984</v>
      </c>
      <c r="AZ104" s="331" t="s">
        <v>984</v>
      </c>
      <c r="BA104" s="331" t="s">
        <v>984</v>
      </c>
      <c r="BB104" s="331" t="s">
        <v>984</v>
      </c>
      <c r="BC104" s="331" t="s">
        <v>984</v>
      </c>
      <c r="BD104" s="331" t="s">
        <v>984</v>
      </c>
      <c r="BE104" s="331" t="s">
        <v>984</v>
      </c>
      <c r="BF104" s="331" t="s">
        <v>984</v>
      </c>
      <c r="BG104" s="331" t="s">
        <v>984</v>
      </c>
      <c r="BH104" s="331" t="s">
        <v>984</v>
      </c>
      <c r="BI104" s="331" t="s">
        <v>984</v>
      </c>
      <c r="BJ104" s="331" t="s">
        <v>984</v>
      </c>
      <c r="BK104" s="331" t="s">
        <v>984</v>
      </c>
      <c r="BL104" s="331" t="s">
        <v>984</v>
      </c>
      <c r="BM104" s="331" t="s">
        <v>984</v>
      </c>
      <c r="BN104" s="331" t="s">
        <v>984</v>
      </c>
      <c r="BO104" s="331" t="s">
        <v>984</v>
      </c>
      <c r="BP104" s="331" t="s">
        <v>984</v>
      </c>
      <c r="BQ104" s="331" t="s">
        <v>984</v>
      </c>
      <c r="BR104" s="331" t="s">
        <v>190</v>
      </c>
      <c r="BS104" s="331" t="s">
        <v>190</v>
      </c>
      <c r="BT104" s="331" t="s">
        <v>190</v>
      </c>
      <c r="BU104" s="331" t="s">
        <v>984</v>
      </c>
      <c r="BV104" s="331" t="s">
        <v>428</v>
      </c>
      <c r="BW104" s="331" t="s">
        <v>428</v>
      </c>
      <c r="BX104" s="331" t="s">
        <v>984</v>
      </c>
      <c r="BY104" s="331" t="s">
        <v>984</v>
      </c>
      <c r="BZ104" s="331" t="s">
        <v>984</v>
      </c>
      <c r="CA104" s="331" t="s">
        <v>984</v>
      </c>
      <c r="CB104" s="331" t="s">
        <v>984</v>
      </c>
      <c r="CC104" s="331" t="s">
        <v>984</v>
      </c>
      <c r="CD104" s="331" t="s">
        <v>190</v>
      </c>
      <c r="CE104" s="331" t="s">
        <v>984</v>
      </c>
      <c r="CF104" s="331" t="s">
        <v>984</v>
      </c>
      <c r="CG104" s="331" t="s">
        <v>984</v>
      </c>
      <c r="CH104" s="331" t="s">
        <v>984</v>
      </c>
      <c r="CI104" s="331" t="s">
        <v>984</v>
      </c>
      <c r="CJ104" s="331" t="s">
        <v>984</v>
      </c>
      <c r="CK104" s="331" t="s">
        <v>190</v>
      </c>
      <c r="CL104" s="331" t="s">
        <v>190</v>
      </c>
      <c r="CM104" s="331" t="s">
        <v>190</v>
      </c>
      <c r="CN104" s="331" t="s">
        <v>190</v>
      </c>
      <c r="CO104" s="331" t="s">
        <v>190</v>
      </c>
      <c r="CP104" s="331" t="s">
        <v>190</v>
      </c>
      <c r="CQ104" s="331" t="s">
        <v>190</v>
      </c>
      <c r="CR104" s="331" t="s">
        <v>190</v>
      </c>
      <c r="CS104" s="331" t="s">
        <v>190</v>
      </c>
      <c r="CT104" s="331" t="s">
        <v>190</v>
      </c>
      <c r="CU104" s="331" t="s">
        <v>428</v>
      </c>
      <c r="CV104" s="331" t="s">
        <v>428</v>
      </c>
      <c r="CW104" s="331" t="s">
        <v>190</v>
      </c>
      <c r="CX104" s="331" t="s">
        <v>428</v>
      </c>
      <c r="CY104" s="331" t="s">
        <v>428</v>
      </c>
      <c r="CZ104" s="331" t="s">
        <v>428</v>
      </c>
      <c r="DA104" s="331" t="s">
        <v>428</v>
      </c>
      <c r="DB104" s="331" t="s">
        <v>428</v>
      </c>
      <c r="DC104" s="331" t="s">
        <v>428</v>
      </c>
      <c r="DD104" s="331" t="s">
        <v>428</v>
      </c>
      <c r="DE104" s="331" t="s">
        <v>428</v>
      </c>
      <c r="DF104" s="331" t="s">
        <v>428</v>
      </c>
      <c r="DG104" s="331" t="s">
        <v>428</v>
      </c>
      <c r="DH104" s="331" t="s">
        <v>428</v>
      </c>
      <c r="DI104" s="331" t="s">
        <v>428</v>
      </c>
      <c r="DJ104" s="331" t="s">
        <v>428</v>
      </c>
      <c r="DK104" s="331" t="s">
        <v>428</v>
      </c>
      <c r="DL104" s="331" t="s">
        <v>190</v>
      </c>
      <c r="DM104" s="331" t="s">
        <v>190</v>
      </c>
      <c r="DN104" s="331" t="s">
        <v>190</v>
      </c>
      <c r="DO104" s="331" t="s">
        <v>190</v>
      </c>
      <c r="DP104" s="331" t="s">
        <v>190</v>
      </c>
      <c r="DQ104" s="331" t="s">
        <v>190</v>
      </c>
      <c r="DR104" s="331" t="s">
        <v>190</v>
      </c>
      <c r="DS104" s="331" t="s">
        <v>190</v>
      </c>
      <c r="DT104" s="331" t="s">
        <v>190</v>
      </c>
      <c r="DU104" s="331" t="s">
        <v>190</v>
      </c>
      <c r="DV104" s="331" t="s">
        <v>190</v>
      </c>
      <c r="DW104" s="331" t="s">
        <v>190</v>
      </c>
      <c r="DX104" s="331" t="s">
        <v>190</v>
      </c>
      <c r="DY104" s="331" t="s">
        <v>190</v>
      </c>
      <c r="DZ104" s="331" t="s">
        <v>190</v>
      </c>
      <c r="EA104" s="331" t="s">
        <v>190</v>
      </c>
      <c r="EB104" s="331" t="s">
        <v>190</v>
      </c>
      <c r="EC104" s="331" t="s">
        <v>190</v>
      </c>
      <c r="ED104" s="331" t="s">
        <v>190</v>
      </c>
      <c r="EE104" s="331" t="s">
        <v>190</v>
      </c>
      <c r="EF104" s="331" t="s">
        <v>190</v>
      </c>
      <c r="EG104" s="331" t="s">
        <v>190</v>
      </c>
      <c r="EH104" s="331" t="s">
        <v>190</v>
      </c>
      <c r="EI104" s="331" t="s">
        <v>428</v>
      </c>
      <c r="EJ104" s="331" t="s">
        <v>428</v>
      </c>
      <c r="EK104" s="331" t="s">
        <v>428</v>
      </c>
      <c r="EL104" s="331" t="s">
        <v>428</v>
      </c>
      <c r="EM104" s="331" t="s">
        <v>428</v>
      </c>
      <c r="EN104" s="331" t="s">
        <v>428</v>
      </c>
      <c r="EO104" s="331" t="s">
        <v>190</v>
      </c>
      <c r="EP104" s="331" t="s">
        <v>190</v>
      </c>
      <c r="EQ104" s="331" t="s">
        <v>190</v>
      </c>
      <c r="ER104" s="331" t="s">
        <v>190</v>
      </c>
      <c r="ES104" s="331" t="s">
        <v>984</v>
      </c>
      <c r="ET104" s="331" t="s">
        <v>984</v>
      </c>
      <c r="EU104" s="331" t="s">
        <v>984</v>
      </c>
      <c r="EV104" s="331" t="s">
        <v>984</v>
      </c>
      <c r="EW104" s="331" t="s">
        <v>190</v>
      </c>
      <c r="EX104" s="331" t="s">
        <v>984</v>
      </c>
      <c r="EY104" s="331" t="s">
        <v>190</v>
      </c>
      <c r="EZ104" s="331" t="s">
        <v>984</v>
      </c>
      <c r="FA104" s="331" t="s">
        <v>984</v>
      </c>
      <c r="FB104" s="331" t="s">
        <v>190</v>
      </c>
      <c r="FC104" s="331" t="s">
        <v>984</v>
      </c>
      <c r="FD104" s="331" t="s">
        <v>984</v>
      </c>
      <c r="FE104" s="331" t="s">
        <v>984</v>
      </c>
      <c r="FF104" s="331" t="s">
        <v>984</v>
      </c>
      <c r="FG104" s="331" t="s">
        <v>984</v>
      </c>
      <c r="FH104" s="331" t="s">
        <v>984</v>
      </c>
      <c r="FI104" s="331" t="s">
        <v>984</v>
      </c>
      <c r="FJ104" s="331" t="s">
        <v>984</v>
      </c>
      <c r="FK104" s="331" t="s">
        <v>984</v>
      </c>
      <c r="FL104" s="331" t="s">
        <v>984</v>
      </c>
      <c r="FM104" s="331" t="s">
        <v>984</v>
      </c>
      <c r="FN104" s="331" t="s">
        <v>984</v>
      </c>
      <c r="FO104" s="331" t="s">
        <v>984</v>
      </c>
      <c r="FP104" s="331" t="s">
        <v>984</v>
      </c>
      <c r="FQ104" s="331" t="s">
        <v>984</v>
      </c>
      <c r="FR104" s="331" t="s">
        <v>984</v>
      </c>
      <c r="FS104" s="331" t="s">
        <v>190</v>
      </c>
      <c r="FT104" s="331" t="s">
        <v>984</v>
      </c>
      <c r="FU104" s="331" t="s">
        <v>190</v>
      </c>
      <c r="FV104" s="331" t="s">
        <v>984</v>
      </c>
      <c r="FW104" s="331" t="s">
        <v>984</v>
      </c>
      <c r="FX104" s="331" t="s">
        <v>984</v>
      </c>
      <c r="FY104" s="331" t="s">
        <v>984</v>
      </c>
      <c r="FZ104" s="331" t="s">
        <v>984</v>
      </c>
      <c r="GA104" s="331" t="s">
        <v>984</v>
      </c>
      <c r="GB104" s="331" t="s">
        <v>984</v>
      </c>
      <c r="GC104" s="331" t="s">
        <v>984</v>
      </c>
      <c r="GD104" s="331" t="s">
        <v>984</v>
      </c>
      <c r="GE104" s="331" t="s">
        <v>984</v>
      </c>
      <c r="GF104" s="331" t="s">
        <v>984</v>
      </c>
      <c r="GG104" s="331" t="s">
        <v>984</v>
      </c>
      <c r="GH104" s="331" t="s">
        <v>984</v>
      </c>
      <c r="GI104" s="331" t="s">
        <v>984</v>
      </c>
      <c r="GJ104" s="331" t="s">
        <v>984</v>
      </c>
      <c r="GK104" s="331" t="s">
        <v>190</v>
      </c>
      <c r="GL104" s="331" t="s">
        <v>190</v>
      </c>
      <c r="GM104" s="331" t="s">
        <v>984</v>
      </c>
      <c r="GN104" s="331" t="s">
        <v>984</v>
      </c>
      <c r="GO104" s="331" t="s">
        <v>984</v>
      </c>
      <c r="GP104" s="331" t="s">
        <v>190</v>
      </c>
      <c r="GQ104" s="331" t="s">
        <v>190</v>
      </c>
      <c r="GR104" s="331" t="s">
        <v>984</v>
      </c>
      <c r="GS104" s="331" t="s">
        <v>984</v>
      </c>
      <c r="GT104" s="331" t="s">
        <v>428</v>
      </c>
      <c r="GU104" s="331" t="s">
        <v>428</v>
      </c>
      <c r="GV104" s="331" t="s">
        <v>428</v>
      </c>
      <c r="GW104" s="331" t="s">
        <v>984</v>
      </c>
      <c r="GX104" s="331" t="s">
        <v>984</v>
      </c>
      <c r="GY104" s="331" t="s">
        <v>984</v>
      </c>
      <c r="GZ104" s="331" t="s">
        <v>984</v>
      </c>
      <c r="HA104" s="331" t="s">
        <v>984</v>
      </c>
      <c r="HB104" s="331" t="s">
        <v>984</v>
      </c>
      <c r="HC104" s="331" t="s">
        <v>984</v>
      </c>
      <c r="HD104" s="331" t="s">
        <v>984</v>
      </c>
      <c r="HE104" s="331" t="s">
        <v>984</v>
      </c>
      <c r="HF104" s="331" t="s">
        <v>984</v>
      </c>
      <c r="HG104" s="331" t="s">
        <v>984</v>
      </c>
      <c r="HH104" s="331" t="s">
        <v>984</v>
      </c>
      <c r="HI104" s="331" t="s">
        <v>984</v>
      </c>
      <c r="HJ104" s="331" t="s">
        <v>984</v>
      </c>
      <c r="HK104" s="331" t="s">
        <v>984</v>
      </c>
      <c r="HL104" s="331" t="s">
        <v>984</v>
      </c>
      <c r="HM104" s="331" t="s">
        <v>191</v>
      </c>
      <c r="HN104" s="331" t="s">
        <v>191</v>
      </c>
      <c r="HO104" s="331" t="s">
        <v>191</v>
      </c>
      <c r="HP104" s="331" t="s">
        <v>190</v>
      </c>
      <c r="HQ104" s="331" t="s">
        <v>170</v>
      </c>
      <c r="HR104" s="331" t="s">
        <v>429</v>
      </c>
      <c r="HS104" s="331" t="s">
        <v>169</v>
      </c>
      <c r="HT104" s="331" t="s">
        <v>427</v>
      </c>
      <c r="HU104" s="331" t="s">
        <v>190</v>
      </c>
      <c r="HV104" s="331" t="s">
        <v>984</v>
      </c>
    </row>
    <row r="105" spans="1:230" s="70" customFormat="1" x14ac:dyDescent="0.25">
      <c r="A105" s="330" t="str">
        <f>HYPERLINK("http://www.ofsted.gov.uk/inspection-reports/find-inspection-report/provider/ELS/131435 ","Ofsted School Webpage")</f>
        <v>Ofsted School Webpage</v>
      </c>
      <c r="B105" s="331">
        <v>131435</v>
      </c>
      <c r="C105" s="331">
        <v>3556035</v>
      </c>
      <c r="D105" s="331" t="s">
        <v>853</v>
      </c>
      <c r="E105" s="331" t="s">
        <v>167</v>
      </c>
      <c r="F105" s="331" t="s">
        <v>431</v>
      </c>
      <c r="G105" s="331" t="s">
        <v>431</v>
      </c>
      <c r="H105" s="331" t="s">
        <v>533</v>
      </c>
      <c r="I105" s="331" t="s">
        <v>1056</v>
      </c>
      <c r="J105" s="331" t="s">
        <v>81</v>
      </c>
      <c r="K105" s="331" t="s">
        <v>81</v>
      </c>
      <c r="L105" s="331" t="s">
        <v>81</v>
      </c>
      <c r="M105" s="331" t="s">
        <v>78</v>
      </c>
      <c r="N105" s="331" t="s">
        <v>424</v>
      </c>
      <c r="O105" s="331">
        <v>10129475</v>
      </c>
      <c r="P105" s="332">
        <v>43776</v>
      </c>
      <c r="Q105" s="332">
        <v>43776</v>
      </c>
      <c r="R105" s="332">
        <v>43795</v>
      </c>
      <c r="S105" s="331" t="s">
        <v>985</v>
      </c>
      <c r="T105" s="331" t="s">
        <v>982</v>
      </c>
      <c r="U105" s="331" t="s">
        <v>427</v>
      </c>
      <c r="V105" s="331" t="s">
        <v>165</v>
      </c>
      <c r="W105" s="331" t="s">
        <v>984</v>
      </c>
      <c r="X105" s="331" t="s">
        <v>984</v>
      </c>
      <c r="Y105" s="331" t="s">
        <v>984</v>
      </c>
      <c r="Z105" s="331" t="s">
        <v>984</v>
      </c>
      <c r="AA105" s="331" t="s">
        <v>984</v>
      </c>
      <c r="AB105" s="331" t="s">
        <v>984</v>
      </c>
      <c r="AC105" s="331" t="s">
        <v>984</v>
      </c>
      <c r="AD105" s="331" t="s">
        <v>984</v>
      </c>
      <c r="AE105" s="331" t="s">
        <v>984</v>
      </c>
      <c r="AF105" s="331" t="s">
        <v>984</v>
      </c>
      <c r="AG105" s="331" t="s">
        <v>984</v>
      </c>
      <c r="AH105" s="331" t="s">
        <v>984</v>
      </c>
      <c r="AI105" s="331" t="s">
        <v>984</v>
      </c>
      <c r="AJ105" s="331" t="s">
        <v>984</v>
      </c>
      <c r="AK105" s="331" t="s">
        <v>984</v>
      </c>
      <c r="AL105" s="331" t="s">
        <v>984</v>
      </c>
      <c r="AM105" s="331" t="s">
        <v>984</v>
      </c>
      <c r="AN105" s="331" t="s">
        <v>984</v>
      </c>
      <c r="AO105" s="331" t="s">
        <v>984</v>
      </c>
      <c r="AP105" s="331" t="s">
        <v>984</v>
      </c>
      <c r="AQ105" s="331" t="s">
        <v>984</v>
      </c>
      <c r="AR105" s="331" t="s">
        <v>984</v>
      </c>
      <c r="AS105" s="331" t="s">
        <v>984</v>
      </c>
      <c r="AT105" s="331" t="s">
        <v>984</v>
      </c>
      <c r="AU105" s="331" t="s">
        <v>984</v>
      </c>
      <c r="AV105" s="331" t="s">
        <v>984</v>
      </c>
      <c r="AW105" s="331" t="s">
        <v>984</v>
      </c>
      <c r="AX105" s="331" t="s">
        <v>984</v>
      </c>
      <c r="AY105" s="331" t="s">
        <v>984</v>
      </c>
      <c r="AZ105" s="331" t="s">
        <v>984</v>
      </c>
      <c r="BA105" s="331" t="s">
        <v>984</v>
      </c>
      <c r="BB105" s="331" t="s">
        <v>984</v>
      </c>
      <c r="BC105" s="331" t="s">
        <v>984</v>
      </c>
      <c r="BD105" s="331" t="s">
        <v>984</v>
      </c>
      <c r="BE105" s="331" t="s">
        <v>984</v>
      </c>
      <c r="BF105" s="331" t="s">
        <v>984</v>
      </c>
      <c r="BG105" s="331" t="s">
        <v>984</v>
      </c>
      <c r="BH105" s="331" t="s">
        <v>984</v>
      </c>
      <c r="BI105" s="331" t="s">
        <v>984</v>
      </c>
      <c r="BJ105" s="331" t="s">
        <v>984</v>
      </c>
      <c r="BK105" s="331" t="s">
        <v>984</v>
      </c>
      <c r="BL105" s="331" t="s">
        <v>984</v>
      </c>
      <c r="BM105" s="331" t="s">
        <v>984</v>
      </c>
      <c r="BN105" s="331" t="s">
        <v>984</v>
      </c>
      <c r="BO105" s="331" t="s">
        <v>984</v>
      </c>
      <c r="BP105" s="331" t="s">
        <v>984</v>
      </c>
      <c r="BQ105" s="331" t="s">
        <v>984</v>
      </c>
      <c r="BR105" s="331" t="s">
        <v>190</v>
      </c>
      <c r="BS105" s="331" t="s">
        <v>190</v>
      </c>
      <c r="BT105" s="331" t="s">
        <v>190</v>
      </c>
      <c r="BU105" s="331" t="s">
        <v>984</v>
      </c>
      <c r="BV105" s="331" t="s">
        <v>984</v>
      </c>
      <c r="BW105" s="331" t="s">
        <v>984</v>
      </c>
      <c r="BX105" s="331" t="s">
        <v>984</v>
      </c>
      <c r="BY105" s="331" t="s">
        <v>984</v>
      </c>
      <c r="BZ105" s="331" t="s">
        <v>984</v>
      </c>
      <c r="CA105" s="331" t="s">
        <v>984</v>
      </c>
      <c r="CB105" s="331" t="s">
        <v>984</v>
      </c>
      <c r="CC105" s="331" t="s">
        <v>984</v>
      </c>
      <c r="CD105" s="331" t="s">
        <v>984</v>
      </c>
      <c r="CE105" s="331" t="s">
        <v>984</v>
      </c>
      <c r="CF105" s="331" t="s">
        <v>984</v>
      </c>
      <c r="CG105" s="331" t="s">
        <v>984</v>
      </c>
      <c r="CH105" s="331" t="s">
        <v>190</v>
      </c>
      <c r="CI105" s="331" t="s">
        <v>190</v>
      </c>
      <c r="CJ105" s="331" t="s">
        <v>190</v>
      </c>
      <c r="CK105" s="331" t="s">
        <v>984</v>
      </c>
      <c r="CL105" s="331" t="s">
        <v>984</v>
      </c>
      <c r="CM105" s="331" t="s">
        <v>984</v>
      </c>
      <c r="CN105" s="331" t="s">
        <v>984</v>
      </c>
      <c r="CO105" s="331" t="s">
        <v>984</v>
      </c>
      <c r="CP105" s="331" t="s">
        <v>984</v>
      </c>
      <c r="CQ105" s="331" t="s">
        <v>984</v>
      </c>
      <c r="CR105" s="331" t="s">
        <v>984</v>
      </c>
      <c r="CS105" s="331" t="s">
        <v>984</v>
      </c>
      <c r="CT105" s="331" t="s">
        <v>984</v>
      </c>
      <c r="CU105" s="331" t="s">
        <v>984</v>
      </c>
      <c r="CV105" s="331" t="s">
        <v>984</v>
      </c>
      <c r="CW105" s="331" t="s">
        <v>984</v>
      </c>
      <c r="CX105" s="331" t="s">
        <v>984</v>
      </c>
      <c r="CY105" s="331" t="s">
        <v>984</v>
      </c>
      <c r="CZ105" s="331" t="s">
        <v>984</v>
      </c>
      <c r="DA105" s="331" t="s">
        <v>984</v>
      </c>
      <c r="DB105" s="331" t="s">
        <v>984</v>
      </c>
      <c r="DC105" s="331" t="s">
        <v>984</v>
      </c>
      <c r="DD105" s="331" t="s">
        <v>984</v>
      </c>
      <c r="DE105" s="331" t="s">
        <v>984</v>
      </c>
      <c r="DF105" s="331" t="s">
        <v>984</v>
      </c>
      <c r="DG105" s="331" t="s">
        <v>984</v>
      </c>
      <c r="DH105" s="331" t="s">
        <v>984</v>
      </c>
      <c r="DI105" s="331" t="s">
        <v>984</v>
      </c>
      <c r="DJ105" s="331" t="s">
        <v>984</v>
      </c>
      <c r="DK105" s="331" t="s">
        <v>984</v>
      </c>
      <c r="DL105" s="331" t="s">
        <v>984</v>
      </c>
      <c r="DM105" s="331" t="s">
        <v>984</v>
      </c>
      <c r="DN105" s="331" t="s">
        <v>984</v>
      </c>
      <c r="DO105" s="331" t="s">
        <v>984</v>
      </c>
      <c r="DP105" s="331" t="s">
        <v>984</v>
      </c>
      <c r="DQ105" s="331" t="s">
        <v>984</v>
      </c>
      <c r="DR105" s="331" t="s">
        <v>984</v>
      </c>
      <c r="DS105" s="331" t="s">
        <v>984</v>
      </c>
      <c r="DT105" s="331" t="s">
        <v>984</v>
      </c>
      <c r="DU105" s="331" t="s">
        <v>984</v>
      </c>
      <c r="DV105" s="331" t="s">
        <v>984</v>
      </c>
      <c r="DW105" s="331" t="s">
        <v>984</v>
      </c>
      <c r="DX105" s="331" t="s">
        <v>984</v>
      </c>
      <c r="DY105" s="331" t="s">
        <v>984</v>
      </c>
      <c r="DZ105" s="331" t="s">
        <v>984</v>
      </c>
      <c r="EA105" s="331" t="s">
        <v>984</v>
      </c>
      <c r="EB105" s="331" t="s">
        <v>984</v>
      </c>
      <c r="EC105" s="331" t="s">
        <v>984</v>
      </c>
      <c r="ED105" s="331" t="s">
        <v>984</v>
      </c>
      <c r="EE105" s="331" t="s">
        <v>984</v>
      </c>
      <c r="EF105" s="331" t="s">
        <v>984</v>
      </c>
      <c r="EG105" s="331" t="s">
        <v>984</v>
      </c>
      <c r="EH105" s="331" t="s">
        <v>984</v>
      </c>
      <c r="EI105" s="331" t="s">
        <v>984</v>
      </c>
      <c r="EJ105" s="331" t="s">
        <v>984</v>
      </c>
      <c r="EK105" s="331" t="s">
        <v>984</v>
      </c>
      <c r="EL105" s="331" t="s">
        <v>984</v>
      </c>
      <c r="EM105" s="331" t="s">
        <v>984</v>
      </c>
      <c r="EN105" s="331" t="s">
        <v>984</v>
      </c>
      <c r="EO105" s="331" t="s">
        <v>984</v>
      </c>
      <c r="EP105" s="331" t="s">
        <v>984</v>
      </c>
      <c r="EQ105" s="331" t="s">
        <v>984</v>
      </c>
      <c r="ER105" s="331" t="s">
        <v>984</v>
      </c>
      <c r="ES105" s="331" t="s">
        <v>984</v>
      </c>
      <c r="ET105" s="331" t="s">
        <v>984</v>
      </c>
      <c r="EU105" s="331" t="s">
        <v>984</v>
      </c>
      <c r="EV105" s="331" t="s">
        <v>984</v>
      </c>
      <c r="EW105" s="331" t="s">
        <v>984</v>
      </c>
      <c r="EX105" s="331" t="s">
        <v>984</v>
      </c>
      <c r="EY105" s="331" t="s">
        <v>984</v>
      </c>
      <c r="EZ105" s="331" t="s">
        <v>984</v>
      </c>
      <c r="FA105" s="331" t="s">
        <v>984</v>
      </c>
      <c r="FB105" s="331" t="s">
        <v>190</v>
      </c>
      <c r="FC105" s="331" t="s">
        <v>984</v>
      </c>
      <c r="FD105" s="331" t="s">
        <v>984</v>
      </c>
      <c r="FE105" s="331" t="s">
        <v>984</v>
      </c>
      <c r="FF105" s="331" t="s">
        <v>984</v>
      </c>
      <c r="FG105" s="331" t="s">
        <v>984</v>
      </c>
      <c r="FH105" s="331" t="s">
        <v>984</v>
      </c>
      <c r="FI105" s="331" t="s">
        <v>984</v>
      </c>
      <c r="FJ105" s="331" t="s">
        <v>984</v>
      </c>
      <c r="FK105" s="331" t="s">
        <v>984</v>
      </c>
      <c r="FL105" s="331" t="s">
        <v>984</v>
      </c>
      <c r="FM105" s="331" t="s">
        <v>984</v>
      </c>
      <c r="FN105" s="331" t="s">
        <v>984</v>
      </c>
      <c r="FO105" s="331" t="s">
        <v>984</v>
      </c>
      <c r="FP105" s="331" t="s">
        <v>984</v>
      </c>
      <c r="FQ105" s="331" t="s">
        <v>984</v>
      </c>
      <c r="FR105" s="331" t="s">
        <v>984</v>
      </c>
      <c r="FS105" s="331" t="s">
        <v>984</v>
      </c>
      <c r="FT105" s="331" t="s">
        <v>984</v>
      </c>
      <c r="FU105" s="331" t="s">
        <v>984</v>
      </c>
      <c r="FV105" s="331" t="s">
        <v>190</v>
      </c>
      <c r="FW105" s="331" t="s">
        <v>984</v>
      </c>
      <c r="FX105" s="331" t="s">
        <v>984</v>
      </c>
      <c r="FY105" s="331" t="s">
        <v>984</v>
      </c>
      <c r="FZ105" s="331" t="s">
        <v>984</v>
      </c>
      <c r="GA105" s="331" t="s">
        <v>984</v>
      </c>
      <c r="GB105" s="331" t="s">
        <v>984</v>
      </c>
      <c r="GC105" s="331" t="s">
        <v>984</v>
      </c>
      <c r="GD105" s="331" t="s">
        <v>984</v>
      </c>
      <c r="GE105" s="331" t="s">
        <v>984</v>
      </c>
      <c r="GF105" s="331" t="s">
        <v>984</v>
      </c>
      <c r="GG105" s="331" t="s">
        <v>984</v>
      </c>
      <c r="GH105" s="331" t="s">
        <v>984</v>
      </c>
      <c r="GI105" s="331" t="s">
        <v>984</v>
      </c>
      <c r="GJ105" s="331" t="s">
        <v>984</v>
      </c>
      <c r="GK105" s="331" t="s">
        <v>984</v>
      </c>
      <c r="GL105" s="331" t="s">
        <v>984</v>
      </c>
      <c r="GM105" s="331" t="s">
        <v>984</v>
      </c>
      <c r="GN105" s="331" t="s">
        <v>984</v>
      </c>
      <c r="GO105" s="331" t="s">
        <v>984</v>
      </c>
      <c r="GP105" s="331" t="s">
        <v>984</v>
      </c>
      <c r="GQ105" s="331" t="s">
        <v>984</v>
      </c>
      <c r="GR105" s="331" t="s">
        <v>984</v>
      </c>
      <c r="GS105" s="331" t="s">
        <v>984</v>
      </c>
      <c r="GT105" s="331" t="s">
        <v>984</v>
      </c>
      <c r="GU105" s="331" t="s">
        <v>984</v>
      </c>
      <c r="GV105" s="331" t="s">
        <v>984</v>
      </c>
      <c r="GW105" s="331" t="s">
        <v>984</v>
      </c>
      <c r="GX105" s="331" t="s">
        <v>984</v>
      </c>
      <c r="GY105" s="331" t="s">
        <v>984</v>
      </c>
      <c r="GZ105" s="331" t="s">
        <v>984</v>
      </c>
      <c r="HA105" s="331" t="s">
        <v>984</v>
      </c>
      <c r="HB105" s="331" t="s">
        <v>984</v>
      </c>
      <c r="HC105" s="331" t="s">
        <v>984</v>
      </c>
      <c r="HD105" s="331" t="s">
        <v>984</v>
      </c>
      <c r="HE105" s="331" t="s">
        <v>984</v>
      </c>
      <c r="HF105" s="331" t="s">
        <v>984</v>
      </c>
      <c r="HG105" s="331" t="s">
        <v>984</v>
      </c>
      <c r="HH105" s="331" t="s">
        <v>984</v>
      </c>
      <c r="HI105" s="331" t="s">
        <v>984</v>
      </c>
      <c r="HJ105" s="331" t="s">
        <v>984</v>
      </c>
      <c r="HK105" s="331" t="s">
        <v>984</v>
      </c>
      <c r="HL105" s="331" t="s">
        <v>984</v>
      </c>
      <c r="HM105" s="331" t="s">
        <v>190</v>
      </c>
      <c r="HN105" s="331" t="s">
        <v>190</v>
      </c>
      <c r="HO105" s="331" t="s">
        <v>190</v>
      </c>
      <c r="HP105" s="331" t="s">
        <v>190</v>
      </c>
      <c r="HQ105" s="331" t="s">
        <v>169</v>
      </c>
      <c r="HR105" s="331" t="s">
        <v>169</v>
      </c>
      <c r="HS105" s="331" t="s">
        <v>169</v>
      </c>
      <c r="HT105" s="331" t="s">
        <v>427</v>
      </c>
      <c r="HU105" s="331" t="s">
        <v>984</v>
      </c>
      <c r="HV105" s="331" t="s">
        <v>984</v>
      </c>
    </row>
    <row r="106" spans="1:230" s="70" customFormat="1" x14ac:dyDescent="0.25">
      <c r="A106" s="330" t="str">
        <f>HYPERLINK("http://www.ofsted.gov.uk/inspection-reports/find-inspection-report/provider/ELS/131121 ","Ofsted School Webpage")</f>
        <v>Ofsted School Webpage</v>
      </c>
      <c r="B106" s="331">
        <v>131121</v>
      </c>
      <c r="C106" s="331">
        <v>3026106</v>
      </c>
      <c r="D106" s="331" t="s">
        <v>1606</v>
      </c>
      <c r="E106" s="331" t="s">
        <v>167</v>
      </c>
      <c r="F106" s="331" t="s">
        <v>441</v>
      </c>
      <c r="G106" s="331" t="s">
        <v>441</v>
      </c>
      <c r="H106" s="331" t="s">
        <v>544</v>
      </c>
      <c r="I106" s="331" t="s">
        <v>2753</v>
      </c>
      <c r="J106" s="331" t="s">
        <v>70</v>
      </c>
      <c r="K106" s="331" t="s">
        <v>69</v>
      </c>
      <c r="L106" s="331" t="s">
        <v>70</v>
      </c>
      <c r="M106" s="331" t="s">
        <v>69</v>
      </c>
      <c r="N106" s="331" t="s">
        <v>424</v>
      </c>
      <c r="O106" s="331">
        <v>10129624</v>
      </c>
      <c r="P106" s="332">
        <v>43776</v>
      </c>
      <c r="Q106" s="332">
        <v>43776</v>
      </c>
      <c r="R106" s="332">
        <v>43804</v>
      </c>
      <c r="S106" s="331" t="s">
        <v>981</v>
      </c>
      <c r="T106" s="331" t="s">
        <v>982</v>
      </c>
      <c r="U106" s="331" t="s">
        <v>427</v>
      </c>
      <c r="V106" s="331" t="s">
        <v>1105</v>
      </c>
      <c r="W106" s="331" t="s">
        <v>984</v>
      </c>
      <c r="X106" s="331" t="s">
        <v>984</v>
      </c>
      <c r="Y106" s="331" t="s">
        <v>984</v>
      </c>
      <c r="Z106" s="331" t="s">
        <v>984</v>
      </c>
      <c r="AA106" s="331" t="s">
        <v>984</v>
      </c>
      <c r="AB106" s="331" t="s">
        <v>984</v>
      </c>
      <c r="AC106" s="331" t="s">
        <v>984</v>
      </c>
      <c r="AD106" s="331" t="s">
        <v>984</v>
      </c>
      <c r="AE106" s="331" t="s">
        <v>984</v>
      </c>
      <c r="AF106" s="331" t="s">
        <v>984</v>
      </c>
      <c r="AG106" s="331" t="s">
        <v>984</v>
      </c>
      <c r="AH106" s="331" t="s">
        <v>984</v>
      </c>
      <c r="AI106" s="331" t="s">
        <v>984</v>
      </c>
      <c r="AJ106" s="331" t="s">
        <v>984</v>
      </c>
      <c r="AK106" s="331" t="s">
        <v>984</v>
      </c>
      <c r="AL106" s="331" t="s">
        <v>984</v>
      </c>
      <c r="AM106" s="331" t="s">
        <v>984</v>
      </c>
      <c r="AN106" s="331" t="s">
        <v>984</v>
      </c>
      <c r="AO106" s="331" t="s">
        <v>984</v>
      </c>
      <c r="AP106" s="331" t="s">
        <v>984</v>
      </c>
      <c r="AQ106" s="331" t="s">
        <v>984</v>
      </c>
      <c r="AR106" s="331" t="s">
        <v>984</v>
      </c>
      <c r="AS106" s="331" t="s">
        <v>984</v>
      </c>
      <c r="AT106" s="331" t="s">
        <v>984</v>
      </c>
      <c r="AU106" s="331" t="s">
        <v>984</v>
      </c>
      <c r="AV106" s="331" t="s">
        <v>984</v>
      </c>
      <c r="AW106" s="331" t="s">
        <v>984</v>
      </c>
      <c r="AX106" s="331" t="s">
        <v>984</v>
      </c>
      <c r="AY106" s="331" t="s">
        <v>984</v>
      </c>
      <c r="AZ106" s="331" t="s">
        <v>984</v>
      </c>
      <c r="BA106" s="331" t="s">
        <v>984</v>
      </c>
      <c r="BB106" s="331" t="s">
        <v>984</v>
      </c>
      <c r="BC106" s="331" t="s">
        <v>984</v>
      </c>
      <c r="BD106" s="331" t="s">
        <v>984</v>
      </c>
      <c r="BE106" s="331" t="s">
        <v>984</v>
      </c>
      <c r="BF106" s="331" t="s">
        <v>984</v>
      </c>
      <c r="BG106" s="331" t="s">
        <v>984</v>
      </c>
      <c r="BH106" s="331" t="s">
        <v>984</v>
      </c>
      <c r="BI106" s="331" t="s">
        <v>984</v>
      </c>
      <c r="BJ106" s="331" t="s">
        <v>984</v>
      </c>
      <c r="BK106" s="331" t="s">
        <v>984</v>
      </c>
      <c r="BL106" s="331" t="s">
        <v>984</v>
      </c>
      <c r="BM106" s="331" t="s">
        <v>984</v>
      </c>
      <c r="BN106" s="331" t="s">
        <v>984</v>
      </c>
      <c r="BO106" s="331" t="s">
        <v>984</v>
      </c>
      <c r="BP106" s="331" t="s">
        <v>984</v>
      </c>
      <c r="BQ106" s="331" t="s">
        <v>984</v>
      </c>
      <c r="BR106" s="331" t="s">
        <v>190</v>
      </c>
      <c r="BS106" s="331" t="s">
        <v>190</v>
      </c>
      <c r="BT106" s="331" t="s">
        <v>190</v>
      </c>
      <c r="BU106" s="331" t="s">
        <v>984</v>
      </c>
      <c r="BV106" s="331" t="s">
        <v>984</v>
      </c>
      <c r="BW106" s="331" t="s">
        <v>984</v>
      </c>
      <c r="BX106" s="331" t="s">
        <v>984</v>
      </c>
      <c r="BY106" s="331" t="s">
        <v>984</v>
      </c>
      <c r="BZ106" s="331" t="s">
        <v>984</v>
      </c>
      <c r="CA106" s="331" t="s">
        <v>984</v>
      </c>
      <c r="CB106" s="331" t="s">
        <v>984</v>
      </c>
      <c r="CC106" s="331" t="s">
        <v>190</v>
      </c>
      <c r="CD106" s="331" t="s">
        <v>190</v>
      </c>
      <c r="CE106" s="331" t="s">
        <v>984</v>
      </c>
      <c r="CF106" s="331" t="s">
        <v>984</v>
      </c>
      <c r="CG106" s="331" t="s">
        <v>984</v>
      </c>
      <c r="CH106" s="331" t="s">
        <v>190</v>
      </c>
      <c r="CI106" s="331" t="s">
        <v>190</v>
      </c>
      <c r="CJ106" s="331" t="s">
        <v>190</v>
      </c>
      <c r="CK106" s="331" t="s">
        <v>984</v>
      </c>
      <c r="CL106" s="331" t="s">
        <v>984</v>
      </c>
      <c r="CM106" s="331" t="s">
        <v>984</v>
      </c>
      <c r="CN106" s="331" t="s">
        <v>984</v>
      </c>
      <c r="CO106" s="331" t="s">
        <v>984</v>
      </c>
      <c r="CP106" s="331" t="s">
        <v>984</v>
      </c>
      <c r="CQ106" s="331" t="s">
        <v>984</v>
      </c>
      <c r="CR106" s="331" t="s">
        <v>984</v>
      </c>
      <c r="CS106" s="331" t="s">
        <v>984</v>
      </c>
      <c r="CT106" s="331" t="s">
        <v>984</v>
      </c>
      <c r="CU106" s="331" t="s">
        <v>984</v>
      </c>
      <c r="CV106" s="331" t="s">
        <v>984</v>
      </c>
      <c r="CW106" s="331" t="s">
        <v>984</v>
      </c>
      <c r="CX106" s="331" t="s">
        <v>984</v>
      </c>
      <c r="CY106" s="331" t="s">
        <v>984</v>
      </c>
      <c r="CZ106" s="331" t="s">
        <v>984</v>
      </c>
      <c r="DA106" s="331" t="s">
        <v>984</v>
      </c>
      <c r="DB106" s="331" t="s">
        <v>984</v>
      </c>
      <c r="DC106" s="331" t="s">
        <v>984</v>
      </c>
      <c r="DD106" s="331" t="s">
        <v>984</v>
      </c>
      <c r="DE106" s="331" t="s">
        <v>984</v>
      </c>
      <c r="DF106" s="331" t="s">
        <v>984</v>
      </c>
      <c r="DG106" s="331" t="s">
        <v>984</v>
      </c>
      <c r="DH106" s="331" t="s">
        <v>984</v>
      </c>
      <c r="DI106" s="331" t="s">
        <v>984</v>
      </c>
      <c r="DJ106" s="331" t="s">
        <v>984</v>
      </c>
      <c r="DK106" s="331" t="s">
        <v>984</v>
      </c>
      <c r="DL106" s="331" t="s">
        <v>984</v>
      </c>
      <c r="DM106" s="331" t="s">
        <v>984</v>
      </c>
      <c r="DN106" s="331" t="s">
        <v>984</v>
      </c>
      <c r="DO106" s="331" t="s">
        <v>984</v>
      </c>
      <c r="DP106" s="331" t="s">
        <v>984</v>
      </c>
      <c r="DQ106" s="331" t="s">
        <v>984</v>
      </c>
      <c r="DR106" s="331" t="s">
        <v>984</v>
      </c>
      <c r="DS106" s="331" t="s">
        <v>984</v>
      </c>
      <c r="DT106" s="331" t="s">
        <v>984</v>
      </c>
      <c r="DU106" s="331" t="s">
        <v>984</v>
      </c>
      <c r="DV106" s="331" t="s">
        <v>984</v>
      </c>
      <c r="DW106" s="331" t="s">
        <v>984</v>
      </c>
      <c r="DX106" s="331" t="s">
        <v>984</v>
      </c>
      <c r="DY106" s="331" t="s">
        <v>984</v>
      </c>
      <c r="DZ106" s="331" t="s">
        <v>984</v>
      </c>
      <c r="EA106" s="331" t="s">
        <v>984</v>
      </c>
      <c r="EB106" s="331" t="s">
        <v>984</v>
      </c>
      <c r="EC106" s="331" t="s">
        <v>984</v>
      </c>
      <c r="ED106" s="331" t="s">
        <v>984</v>
      </c>
      <c r="EE106" s="331" t="s">
        <v>984</v>
      </c>
      <c r="EF106" s="331" t="s">
        <v>984</v>
      </c>
      <c r="EG106" s="331" t="s">
        <v>984</v>
      </c>
      <c r="EH106" s="331" t="s">
        <v>984</v>
      </c>
      <c r="EI106" s="331" t="s">
        <v>984</v>
      </c>
      <c r="EJ106" s="331" t="s">
        <v>984</v>
      </c>
      <c r="EK106" s="331" t="s">
        <v>984</v>
      </c>
      <c r="EL106" s="331" t="s">
        <v>984</v>
      </c>
      <c r="EM106" s="331" t="s">
        <v>984</v>
      </c>
      <c r="EN106" s="331" t="s">
        <v>984</v>
      </c>
      <c r="EO106" s="331" t="s">
        <v>984</v>
      </c>
      <c r="EP106" s="331" t="s">
        <v>984</v>
      </c>
      <c r="EQ106" s="331" t="s">
        <v>984</v>
      </c>
      <c r="ER106" s="331" t="s">
        <v>984</v>
      </c>
      <c r="ES106" s="331" t="s">
        <v>190</v>
      </c>
      <c r="ET106" s="331" t="s">
        <v>190</v>
      </c>
      <c r="EU106" s="331" t="s">
        <v>428</v>
      </c>
      <c r="EV106" s="331" t="s">
        <v>190</v>
      </c>
      <c r="EW106" s="331" t="s">
        <v>190</v>
      </c>
      <c r="EX106" s="331" t="s">
        <v>190</v>
      </c>
      <c r="EY106" s="331" t="s">
        <v>190</v>
      </c>
      <c r="EZ106" s="331" t="s">
        <v>428</v>
      </c>
      <c r="FA106" s="331" t="s">
        <v>428</v>
      </c>
      <c r="FB106" s="331" t="s">
        <v>190</v>
      </c>
      <c r="FC106" s="331" t="s">
        <v>190</v>
      </c>
      <c r="FD106" s="331" t="s">
        <v>190</v>
      </c>
      <c r="FE106" s="331" t="s">
        <v>190</v>
      </c>
      <c r="FF106" s="331" t="s">
        <v>190</v>
      </c>
      <c r="FG106" s="331" t="s">
        <v>190</v>
      </c>
      <c r="FH106" s="331" t="s">
        <v>190</v>
      </c>
      <c r="FI106" s="331" t="s">
        <v>190</v>
      </c>
      <c r="FJ106" s="331" t="s">
        <v>190</v>
      </c>
      <c r="FK106" s="331" t="s">
        <v>190</v>
      </c>
      <c r="FL106" s="331" t="s">
        <v>190</v>
      </c>
      <c r="FM106" s="331" t="s">
        <v>190</v>
      </c>
      <c r="FN106" s="331" t="s">
        <v>190</v>
      </c>
      <c r="FO106" s="331" t="s">
        <v>190</v>
      </c>
      <c r="FP106" s="331" t="s">
        <v>190</v>
      </c>
      <c r="FQ106" s="331" t="s">
        <v>190</v>
      </c>
      <c r="FR106" s="331" t="s">
        <v>428</v>
      </c>
      <c r="FS106" s="331" t="s">
        <v>984</v>
      </c>
      <c r="FT106" s="331" t="s">
        <v>984</v>
      </c>
      <c r="FU106" s="331" t="s">
        <v>984</v>
      </c>
      <c r="FV106" s="331" t="s">
        <v>190</v>
      </c>
      <c r="FW106" s="331" t="s">
        <v>984</v>
      </c>
      <c r="FX106" s="331" t="s">
        <v>984</v>
      </c>
      <c r="FY106" s="331" t="s">
        <v>984</v>
      </c>
      <c r="FZ106" s="331" t="s">
        <v>984</v>
      </c>
      <c r="GA106" s="331" t="s">
        <v>984</v>
      </c>
      <c r="GB106" s="331" t="s">
        <v>984</v>
      </c>
      <c r="GC106" s="331" t="s">
        <v>984</v>
      </c>
      <c r="GD106" s="331" t="s">
        <v>984</v>
      </c>
      <c r="GE106" s="331" t="s">
        <v>984</v>
      </c>
      <c r="GF106" s="331" t="s">
        <v>984</v>
      </c>
      <c r="GG106" s="331" t="s">
        <v>984</v>
      </c>
      <c r="GH106" s="331" t="s">
        <v>984</v>
      </c>
      <c r="GI106" s="331" t="s">
        <v>984</v>
      </c>
      <c r="GJ106" s="331" t="s">
        <v>984</v>
      </c>
      <c r="GK106" s="331" t="s">
        <v>984</v>
      </c>
      <c r="GL106" s="331" t="s">
        <v>984</v>
      </c>
      <c r="GM106" s="331" t="s">
        <v>984</v>
      </c>
      <c r="GN106" s="331" t="s">
        <v>984</v>
      </c>
      <c r="GO106" s="331" t="s">
        <v>984</v>
      </c>
      <c r="GP106" s="331" t="s">
        <v>984</v>
      </c>
      <c r="GQ106" s="331" t="s">
        <v>984</v>
      </c>
      <c r="GR106" s="331" t="s">
        <v>984</v>
      </c>
      <c r="GS106" s="331" t="s">
        <v>984</v>
      </c>
      <c r="GT106" s="331" t="s">
        <v>984</v>
      </c>
      <c r="GU106" s="331" t="s">
        <v>984</v>
      </c>
      <c r="GV106" s="331" t="s">
        <v>984</v>
      </c>
      <c r="GW106" s="331" t="s">
        <v>984</v>
      </c>
      <c r="GX106" s="331" t="s">
        <v>984</v>
      </c>
      <c r="GY106" s="331" t="s">
        <v>984</v>
      </c>
      <c r="GZ106" s="331" t="s">
        <v>984</v>
      </c>
      <c r="HA106" s="331" t="s">
        <v>984</v>
      </c>
      <c r="HB106" s="331" t="s">
        <v>984</v>
      </c>
      <c r="HC106" s="331" t="s">
        <v>984</v>
      </c>
      <c r="HD106" s="331" t="s">
        <v>984</v>
      </c>
      <c r="HE106" s="331" t="s">
        <v>984</v>
      </c>
      <c r="HF106" s="331" t="s">
        <v>984</v>
      </c>
      <c r="HG106" s="331" t="s">
        <v>984</v>
      </c>
      <c r="HH106" s="331" t="s">
        <v>984</v>
      </c>
      <c r="HI106" s="331" t="s">
        <v>984</v>
      </c>
      <c r="HJ106" s="331" t="s">
        <v>984</v>
      </c>
      <c r="HK106" s="331" t="s">
        <v>984</v>
      </c>
      <c r="HL106" s="331" t="s">
        <v>984</v>
      </c>
      <c r="HM106" s="331" t="s">
        <v>190</v>
      </c>
      <c r="HN106" s="331" t="s">
        <v>190</v>
      </c>
      <c r="HO106" s="331" t="s">
        <v>190</v>
      </c>
      <c r="HP106" s="331" t="s">
        <v>190</v>
      </c>
      <c r="HQ106" s="331" t="s">
        <v>170</v>
      </c>
      <c r="HR106" s="331" t="s">
        <v>429</v>
      </c>
      <c r="HS106" s="331" t="s">
        <v>169</v>
      </c>
      <c r="HT106" s="331" t="s">
        <v>427</v>
      </c>
      <c r="HU106" s="331" t="s">
        <v>984</v>
      </c>
      <c r="HV106" s="331" t="s">
        <v>984</v>
      </c>
    </row>
    <row r="107" spans="1:230" s="70" customFormat="1" x14ac:dyDescent="0.25">
      <c r="A107" s="330" t="str">
        <f>HYPERLINK("http://www.ofsted.gov.uk/inspection-reports/find-inspection-report/provider/ELS/145192 ","Ofsted School Webpage")</f>
        <v>Ofsted School Webpage</v>
      </c>
      <c r="B107" s="331">
        <v>145192</v>
      </c>
      <c r="C107" s="331">
        <v>3116002</v>
      </c>
      <c r="D107" s="331" t="s">
        <v>634</v>
      </c>
      <c r="E107" s="331" t="s">
        <v>167</v>
      </c>
      <c r="F107" s="331" t="s">
        <v>441</v>
      </c>
      <c r="G107" s="331" t="s">
        <v>441</v>
      </c>
      <c r="H107" s="331" t="s">
        <v>635</v>
      </c>
      <c r="I107" s="331" t="s">
        <v>636</v>
      </c>
      <c r="J107" s="331" t="s">
        <v>81</v>
      </c>
      <c r="K107" s="331" t="s">
        <v>81</v>
      </c>
      <c r="L107" s="331" t="s">
        <v>81</v>
      </c>
      <c r="M107" s="331" t="s">
        <v>78</v>
      </c>
      <c r="N107" s="331" t="s">
        <v>424</v>
      </c>
      <c r="O107" s="331">
        <v>10127497</v>
      </c>
      <c r="P107" s="332">
        <v>43777</v>
      </c>
      <c r="Q107" s="332">
        <v>43777</v>
      </c>
      <c r="R107" s="332">
        <v>43796</v>
      </c>
      <c r="S107" s="331" t="s">
        <v>981</v>
      </c>
      <c r="T107" s="331" t="s">
        <v>982</v>
      </c>
      <c r="U107" s="331" t="s">
        <v>427</v>
      </c>
      <c r="V107" s="331" t="s">
        <v>1105</v>
      </c>
      <c r="W107" s="331" t="s">
        <v>984</v>
      </c>
      <c r="X107" s="331" t="s">
        <v>984</v>
      </c>
      <c r="Y107" s="331" t="s">
        <v>984</v>
      </c>
      <c r="Z107" s="331" t="s">
        <v>984</v>
      </c>
      <c r="AA107" s="331" t="s">
        <v>984</v>
      </c>
      <c r="AB107" s="331" t="s">
        <v>984</v>
      </c>
      <c r="AC107" s="331" t="s">
        <v>984</v>
      </c>
      <c r="AD107" s="331" t="s">
        <v>984</v>
      </c>
      <c r="AE107" s="331" t="s">
        <v>428</v>
      </c>
      <c r="AF107" s="331" t="s">
        <v>984</v>
      </c>
      <c r="AG107" s="331" t="s">
        <v>984</v>
      </c>
      <c r="AH107" s="331" t="s">
        <v>984</v>
      </c>
      <c r="AI107" s="331" t="s">
        <v>984</v>
      </c>
      <c r="AJ107" s="331" t="s">
        <v>984</v>
      </c>
      <c r="AK107" s="331" t="s">
        <v>984</v>
      </c>
      <c r="AL107" s="331" t="s">
        <v>984</v>
      </c>
      <c r="AM107" s="331" t="s">
        <v>428</v>
      </c>
      <c r="AN107" s="331" t="s">
        <v>428</v>
      </c>
      <c r="AO107" s="331" t="s">
        <v>984</v>
      </c>
      <c r="AP107" s="331" t="s">
        <v>984</v>
      </c>
      <c r="AQ107" s="331" t="s">
        <v>984</v>
      </c>
      <c r="AR107" s="331" t="s">
        <v>984</v>
      </c>
      <c r="AS107" s="331" t="s">
        <v>984</v>
      </c>
      <c r="AT107" s="331" t="s">
        <v>984</v>
      </c>
      <c r="AU107" s="331" t="s">
        <v>984</v>
      </c>
      <c r="AV107" s="331" t="s">
        <v>984</v>
      </c>
      <c r="AW107" s="331" t="s">
        <v>984</v>
      </c>
      <c r="AX107" s="331" t="s">
        <v>984</v>
      </c>
      <c r="AY107" s="331" t="s">
        <v>984</v>
      </c>
      <c r="AZ107" s="331" t="s">
        <v>984</v>
      </c>
      <c r="BA107" s="331" t="s">
        <v>984</v>
      </c>
      <c r="BB107" s="331" t="s">
        <v>984</v>
      </c>
      <c r="BC107" s="331" t="s">
        <v>984</v>
      </c>
      <c r="BD107" s="331" t="s">
        <v>984</v>
      </c>
      <c r="BE107" s="331" t="s">
        <v>984</v>
      </c>
      <c r="BF107" s="331" t="s">
        <v>984</v>
      </c>
      <c r="BG107" s="331" t="s">
        <v>984</v>
      </c>
      <c r="BH107" s="331" t="s">
        <v>984</v>
      </c>
      <c r="BI107" s="331" t="s">
        <v>984</v>
      </c>
      <c r="BJ107" s="331" t="s">
        <v>984</v>
      </c>
      <c r="BK107" s="331" t="s">
        <v>984</v>
      </c>
      <c r="BL107" s="331" t="s">
        <v>984</v>
      </c>
      <c r="BM107" s="331" t="s">
        <v>984</v>
      </c>
      <c r="BN107" s="331" t="s">
        <v>984</v>
      </c>
      <c r="BO107" s="331" t="s">
        <v>984</v>
      </c>
      <c r="BP107" s="331" t="s">
        <v>984</v>
      </c>
      <c r="BQ107" s="331" t="s">
        <v>984</v>
      </c>
      <c r="BR107" s="331" t="s">
        <v>190</v>
      </c>
      <c r="BS107" s="331" t="s">
        <v>190</v>
      </c>
      <c r="BT107" s="331" t="s">
        <v>190</v>
      </c>
      <c r="BU107" s="331" t="s">
        <v>428</v>
      </c>
      <c r="BV107" s="331" t="s">
        <v>428</v>
      </c>
      <c r="BW107" s="331" t="s">
        <v>428</v>
      </c>
      <c r="BX107" s="331" t="s">
        <v>984</v>
      </c>
      <c r="BY107" s="331" t="s">
        <v>984</v>
      </c>
      <c r="BZ107" s="331" t="s">
        <v>984</v>
      </c>
      <c r="CA107" s="331" t="s">
        <v>984</v>
      </c>
      <c r="CB107" s="331" t="s">
        <v>984</v>
      </c>
      <c r="CC107" s="331" t="s">
        <v>190</v>
      </c>
      <c r="CD107" s="331" t="s">
        <v>190</v>
      </c>
      <c r="CE107" s="331" t="s">
        <v>984</v>
      </c>
      <c r="CF107" s="331" t="s">
        <v>984</v>
      </c>
      <c r="CG107" s="331" t="s">
        <v>984</v>
      </c>
      <c r="CH107" s="331" t="s">
        <v>190</v>
      </c>
      <c r="CI107" s="331" t="s">
        <v>190</v>
      </c>
      <c r="CJ107" s="331" t="s">
        <v>190</v>
      </c>
      <c r="CK107" s="331" t="s">
        <v>984</v>
      </c>
      <c r="CL107" s="331" t="s">
        <v>984</v>
      </c>
      <c r="CM107" s="331" t="s">
        <v>984</v>
      </c>
      <c r="CN107" s="331" t="s">
        <v>984</v>
      </c>
      <c r="CO107" s="331" t="s">
        <v>984</v>
      </c>
      <c r="CP107" s="331" t="s">
        <v>984</v>
      </c>
      <c r="CQ107" s="331" t="s">
        <v>984</v>
      </c>
      <c r="CR107" s="331" t="s">
        <v>984</v>
      </c>
      <c r="CS107" s="331" t="s">
        <v>984</v>
      </c>
      <c r="CT107" s="331" t="s">
        <v>984</v>
      </c>
      <c r="CU107" s="331" t="s">
        <v>428</v>
      </c>
      <c r="CV107" s="331" t="s">
        <v>984</v>
      </c>
      <c r="CW107" s="331" t="s">
        <v>984</v>
      </c>
      <c r="CX107" s="331" t="s">
        <v>984</v>
      </c>
      <c r="CY107" s="331" t="s">
        <v>984</v>
      </c>
      <c r="CZ107" s="331" t="s">
        <v>984</v>
      </c>
      <c r="DA107" s="331" t="s">
        <v>984</v>
      </c>
      <c r="DB107" s="331" t="s">
        <v>984</v>
      </c>
      <c r="DC107" s="331" t="s">
        <v>984</v>
      </c>
      <c r="DD107" s="331" t="s">
        <v>984</v>
      </c>
      <c r="DE107" s="331" t="s">
        <v>984</v>
      </c>
      <c r="DF107" s="331" t="s">
        <v>984</v>
      </c>
      <c r="DG107" s="331" t="s">
        <v>984</v>
      </c>
      <c r="DH107" s="331" t="s">
        <v>984</v>
      </c>
      <c r="DI107" s="331" t="s">
        <v>984</v>
      </c>
      <c r="DJ107" s="331" t="s">
        <v>428</v>
      </c>
      <c r="DK107" s="331" t="s">
        <v>984</v>
      </c>
      <c r="DL107" s="331" t="s">
        <v>984</v>
      </c>
      <c r="DM107" s="331" t="s">
        <v>984</v>
      </c>
      <c r="DN107" s="331" t="s">
        <v>984</v>
      </c>
      <c r="DO107" s="331" t="s">
        <v>984</v>
      </c>
      <c r="DP107" s="331" t="s">
        <v>984</v>
      </c>
      <c r="DQ107" s="331" t="s">
        <v>984</v>
      </c>
      <c r="DR107" s="331" t="s">
        <v>984</v>
      </c>
      <c r="DS107" s="331" t="s">
        <v>984</v>
      </c>
      <c r="DT107" s="331" t="s">
        <v>984</v>
      </c>
      <c r="DU107" s="331" t="s">
        <v>984</v>
      </c>
      <c r="DV107" s="331" t="s">
        <v>984</v>
      </c>
      <c r="DW107" s="331" t="s">
        <v>984</v>
      </c>
      <c r="DX107" s="331" t="s">
        <v>984</v>
      </c>
      <c r="DY107" s="331" t="s">
        <v>984</v>
      </c>
      <c r="DZ107" s="331" t="s">
        <v>984</v>
      </c>
      <c r="EA107" s="331" t="s">
        <v>984</v>
      </c>
      <c r="EB107" s="331" t="s">
        <v>984</v>
      </c>
      <c r="EC107" s="331" t="s">
        <v>984</v>
      </c>
      <c r="ED107" s="331" t="s">
        <v>984</v>
      </c>
      <c r="EE107" s="331" t="s">
        <v>984</v>
      </c>
      <c r="EF107" s="331" t="s">
        <v>984</v>
      </c>
      <c r="EG107" s="331" t="s">
        <v>984</v>
      </c>
      <c r="EH107" s="331" t="s">
        <v>428</v>
      </c>
      <c r="EI107" s="331" t="s">
        <v>984</v>
      </c>
      <c r="EJ107" s="331" t="s">
        <v>984</v>
      </c>
      <c r="EK107" s="331" t="s">
        <v>984</v>
      </c>
      <c r="EL107" s="331" t="s">
        <v>984</v>
      </c>
      <c r="EM107" s="331" t="s">
        <v>984</v>
      </c>
      <c r="EN107" s="331" t="s">
        <v>984</v>
      </c>
      <c r="EO107" s="331" t="s">
        <v>984</v>
      </c>
      <c r="EP107" s="331" t="s">
        <v>428</v>
      </c>
      <c r="EQ107" s="331" t="s">
        <v>428</v>
      </c>
      <c r="ER107" s="331" t="s">
        <v>428</v>
      </c>
      <c r="ES107" s="331" t="s">
        <v>190</v>
      </c>
      <c r="ET107" s="331" t="s">
        <v>190</v>
      </c>
      <c r="EU107" s="331" t="s">
        <v>190</v>
      </c>
      <c r="EV107" s="331" t="s">
        <v>190</v>
      </c>
      <c r="EW107" s="331" t="s">
        <v>190</v>
      </c>
      <c r="EX107" s="331" t="s">
        <v>190</v>
      </c>
      <c r="EY107" s="331" t="s">
        <v>190</v>
      </c>
      <c r="EZ107" s="331" t="s">
        <v>428</v>
      </c>
      <c r="FA107" s="331" t="s">
        <v>190</v>
      </c>
      <c r="FB107" s="331" t="s">
        <v>190</v>
      </c>
      <c r="FC107" s="331" t="s">
        <v>190</v>
      </c>
      <c r="FD107" s="331" t="s">
        <v>190</v>
      </c>
      <c r="FE107" s="331" t="s">
        <v>190</v>
      </c>
      <c r="FF107" s="331" t="s">
        <v>190</v>
      </c>
      <c r="FG107" s="331" t="s">
        <v>190</v>
      </c>
      <c r="FH107" s="331" t="s">
        <v>190</v>
      </c>
      <c r="FI107" s="331" t="s">
        <v>190</v>
      </c>
      <c r="FJ107" s="331" t="s">
        <v>190</v>
      </c>
      <c r="FK107" s="331" t="s">
        <v>190</v>
      </c>
      <c r="FL107" s="331" t="s">
        <v>190</v>
      </c>
      <c r="FM107" s="331" t="s">
        <v>190</v>
      </c>
      <c r="FN107" s="331" t="s">
        <v>190</v>
      </c>
      <c r="FO107" s="331" t="s">
        <v>190</v>
      </c>
      <c r="FP107" s="331" t="s">
        <v>190</v>
      </c>
      <c r="FQ107" s="331" t="s">
        <v>190</v>
      </c>
      <c r="FR107" s="331" t="s">
        <v>428</v>
      </c>
      <c r="FS107" s="331" t="s">
        <v>190</v>
      </c>
      <c r="FT107" s="331" t="s">
        <v>984</v>
      </c>
      <c r="FU107" s="331" t="s">
        <v>984</v>
      </c>
      <c r="FV107" s="331" t="s">
        <v>190</v>
      </c>
      <c r="FW107" s="331" t="s">
        <v>984</v>
      </c>
      <c r="FX107" s="331" t="s">
        <v>428</v>
      </c>
      <c r="FY107" s="331" t="s">
        <v>984</v>
      </c>
      <c r="FZ107" s="331" t="s">
        <v>984</v>
      </c>
      <c r="GA107" s="331" t="s">
        <v>984</v>
      </c>
      <c r="GB107" s="331" t="s">
        <v>984</v>
      </c>
      <c r="GC107" s="331" t="s">
        <v>984</v>
      </c>
      <c r="GD107" s="331" t="s">
        <v>984</v>
      </c>
      <c r="GE107" s="331" t="s">
        <v>984</v>
      </c>
      <c r="GF107" s="331" t="s">
        <v>984</v>
      </c>
      <c r="GG107" s="331" t="s">
        <v>428</v>
      </c>
      <c r="GH107" s="331" t="s">
        <v>984</v>
      </c>
      <c r="GI107" s="331" t="s">
        <v>984</v>
      </c>
      <c r="GJ107" s="331" t="s">
        <v>984</v>
      </c>
      <c r="GK107" s="331" t="s">
        <v>984</v>
      </c>
      <c r="GL107" s="331" t="s">
        <v>984</v>
      </c>
      <c r="GM107" s="331" t="s">
        <v>984</v>
      </c>
      <c r="GN107" s="331" t="s">
        <v>984</v>
      </c>
      <c r="GO107" s="331" t="s">
        <v>984</v>
      </c>
      <c r="GP107" s="331" t="s">
        <v>984</v>
      </c>
      <c r="GQ107" s="331" t="s">
        <v>984</v>
      </c>
      <c r="GR107" s="331" t="s">
        <v>984</v>
      </c>
      <c r="GS107" s="331" t="s">
        <v>984</v>
      </c>
      <c r="GT107" s="331" t="s">
        <v>984</v>
      </c>
      <c r="GU107" s="331" t="s">
        <v>984</v>
      </c>
      <c r="GV107" s="331" t="s">
        <v>984</v>
      </c>
      <c r="GW107" s="331" t="s">
        <v>984</v>
      </c>
      <c r="GX107" s="331" t="s">
        <v>984</v>
      </c>
      <c r="GY107" s="331" t="s">
        <v>984</v>
      </c>
      <c r="GZ107" s="331" t="s">
        <v>984</v>
      </c>
      <c r="HA107" s="331" t="s">
        <v>984</v>
      </c>
      <c r="HB107" s="331" t="s">
        <v>984</v>
      </c>
      <c r="HC107" s="331" t="s">
        <v>984</v>
      </c>
      <c r="HD107" s="331" t="s">
        <v>984</v>
      </c>
      <c r="HE107" s="331" t="s">
        <v>984</v>
      </c>
      <c r="HF107" s="331" t="s">
        <v>984</v>
      </c>
      <c r="HG107" s="331" t="s">
        <v>984</v>
      </c>
      <c r="HH107" s="331" t="s">
        <v>984</v>
      </c>
      <c r="HI107" s="331" t="s">
        <v>984</v>
      </c>
      <c r="HJ107" s="331" t="s">
        <v>984</v>
      </c>
      <c r="HK107" s="331" t="s">
        <v>984</v>
      </c>
      <c r="HL107" s="331" t="s">
        <v>984</v>
      </c>
      <c r="HM107" s="331" t="s">
        <v>190</v>
      </c>
      <c r="HN107" s="331" t="s">
        <v>190</v>
      </c>
      <c r="HO107" s="331" t="s">
        <v>190</v>
      </c>
      <c r="HP107" s="331" t="s">
        <v>190</v>
      </c>
      <c r="HQ107" s="331" t="s">
        <v>170</v>
      </c>
      <c r="HR107" s="331" t="s">
        <v>429</v>
      </c>
      <c r="HS107" s="331" t="s">
        <v>169</v>
      </c>
      <c r="HT107" s="331" t="s">
        <v>427</v>
      </c>
      <c r="HU107" s="331" t="s">
        <v>428</v>
      </c>
      <c r="HV107" s="331" t="s">
        <v>428</v>
      </c>
    </row>
    <row r="108" spans="1:230" s="70" customFormat="1" x14ac:dyDescent="0.25">
      <c r="A108" s="330" t="str">
        <f>HYPERLINK("http://www.ofsted.gov.uk/inspection-reports/find-inspection-report/provider/ELS/109353 ","Ofsted School Webpage")</f>
        <v>Ofsted School Webpage</v>
      </c>
      <c r="B108" s="331">
        <v>109353</v>
      </c>
      <c r="C108" s="331">
        <v>8036000</v>
      </c>
      <c r="D108" s="331" t="s">
        <v>1366</v>
      </c>
      <c r="E108" s="331" t="s">
        <v>168</v>
      </c>
      <c r="F108" s="331" t="s">
        <v>422</v>
      </c>
      <c r="G108" s="331" t="s">
        <v>422</v>
      </c>
      <c r="H108" s="331" t="s">
        <v>1071</v>
      </c>
      <c r="I108" s="331" t="s">
        <v>1367</v>
      </c>
      <c r="J108" s="331" t="s">
        <v>81</v>
      </c>
      <c r="K108" s="331" t="s">
        <v>59</v>
      </c>
      <c r="L108" s="331" t="s">
        <v>59</v>
      </c>
      <c r="M108" s="331" t="s">
        <v>59</v>
      </c>
      <c r="N108" s="331" t="s">
        <v>424</v>
      </c>
      <c r="O108" s="331">
        <v>10127675</v>
      </c>
      <c r="P108" s="332">
        <v>43780</v>
      </c>
      <c r="Q108" s="332">
        <v>43780</v>
      </c>
      <c r="R108" s="332">
        <v>43797</v>
      </c>
      <c r="S108" s="331" t="s">
        <v>981</v>
      </c>
      <c r="T108" s="331" t="s">
        <v>982</v>
      </c>
      <c r="U108" s="331" t="s">
        <v>447</v>
      </c>
      <c r="V108" s="331" t="s">
        <v>1000</v>
      </c>
      <c r="W108" s="331" t="s">
        <v>984</v>
      </c>
      <c r="X108" s="331" t="s">
        <v>984</v>
      </c>
      <c r="Y108" s="331" t="s">
        <v>984</v>
      </c>
      <c r="Z108" s="331" t="s">
        <v>984</v>
      </c>
      <c r="AA108" s="331" t="s">
        <v>984</v>
      </c>
      <c r="AB108" s="331" t="s">
        <v>984</v>
      </c>
      <c r="AC108" s="331" t="s">
        <v>984</v>
      </c>
      <c r="AD108" s="331" t="s">
        <v>984</v>
      </c>
      <c r="AE108" s="331" t="s">
        <v>984</v>
      </c>
      <c r="AF108" s="331" t="s">
        <v>984</v>
      </c>
      <c r="AG108" s="331" t="s">
        <v>984</v>
      </c>
      <c r="AH108" s="331" t="s">
        <v>984</v>
      </c>
      <c r="AI108" s="331" t="s">
        <v>984</v>
      </c>
      <c r="AJ108" s="331" t="s">
        <v>984</v>
      </c>
      <c r="AK108" s="331" t="s">
        <v>984</v>
      </c>
      <c r="AL108" s="331" t="s">
        <v>984</v>
      </c>
      <c r="AM108" s="331" t="s">
        <v>984</v>
      </c>
      <c r="AN108" s="331" t="s">
        <v>984</v>
      </c>
      <c r="AO108" s="331" t="s">
        <v>984</v>
      </c>
      <c r="AP108" s="331" t="s">
        <v>984</v>
      </c>
      <c r="AQ108" s="331" t="s">
        <v>984</v>
      </c>
      <c r="AR108" s="331" t="s">
        <v>984</v>
      </c>
      <c r="AS108" s="331" t="s">
        <v>984</v>
      </c>
      <c r="AT108" s="331" t="s">
        <v>984</v>
      </c>
      <c r="AU108" s="331" t="s">
        <v>984</v>
      </c>
      <c r="AV108" s="331" t="s">
        <v>984</v>
      </c>
      <c r="AW108" s="331" t="s">
        <v>984</v>
      </c>
      <c r="AX108" s="331" t="s">
        <v>984</v>
      </c>
      <c r="AY108" s="331" t="s">
        <v>984</v>
      </c>
      <c r="AZ108" s="331" t="s">
        <v>984</v>
      </c>
      <c r="BA108" s="331" t="s">
        <v>984</v>
      </c>
      <c r="BB108" s="331" t="s">
        <v>984</v>
      </c>
      <c r="BC108" s="331" t="s">
        <v>984</v>
      </c>
      <c r="BD108" s="331" t="s">
        <v>984</v>
      </c>
      <c r="BE108" s="331" t="s">
        <v>984</v>
      </c>
      <c r="BF108" s="331" t="s">
        <v>984</v>
      </c>
      <c r="BG108" s="331" t="s">
        <v>984</v>
      </c>
      <c r="BH108" s="331" t="s">
        <v>984</v>
      </c>
      <c r="BI108" s="331" t="s">
        <v>984</v>
      </c>
      <c r="BJ108" s="331" t="s">
        <v>984</v>
      </c>
      <c r="BK108" s="331" t="s">
        <v>984</v>
      </c>
      <c r="BL108" s="331" t="s">
        <v>984</v>
      </c>
      <c r="BM108" s="331" t="s">
        <v>984</v>
      </c>
      <c r="BN108" s="331" t="s">
        <v>984</v>
      </c>
      <c r="BO108" s="331" t="s">
        <v>984</v>
      </c>
      <c r="BP108" s="331" t="s">
        <v>984</v>
      </c>
      <c r="BQ108" s="331" t="s">
        <v>984</v>
      </c>
      <c r="BR108" s="331" t="s">
        <v>191</v>
      </c>
      <c r="BS108" s="331" t="s">
        <v>191</v>
      </c>
      <c r="BT108" s="331" t="s">
        <v>191</v>
      </c>
      <c r="BU108" s="331" t="s">
        <v>428</v>
      </c>
      <c r="BV108" s="331" t="s">
        <v>428</v>
      </c>
      <c r="BW108" s="331" t="s">
        <v>428</v>
      </c>
      <c r="BX108" s="331" t="s">
        <v>984</v>
      </c>
      <c r="BY108" s="331" t="s">
        <v>984</v>
      </c>
      <c r="BZ108" s="331" t="s">
        <v>984</v>
      </c>
      <c r="CA108" s="331" t="s">
        <v>984</v>
      </c>
      <c r="CB108" s="331" t="s">
        <v>984</v>
      </c>
      <c r="CC108" s="331" t="s">
        <v>191</v>
      </c>
      <c r="CD108" s="331" t="s">
        <v>191</v>
      </c>
      <c r="CE108" s="331" t="s">
        <v>190</v>
      </c>
      <c r="CF108" s="331" t="s">
        <v>190</v>
      </c>
      <c r="CG108" s="331" t="s">
        <v>190</v>
      </c>
      <c r="CH108" s="331" t="s">
        <v>984</v>
      </c>
      <c r="CI108" s="331" t="s">
        <v>984</v>
      </c>
      <c r="CJ108" s="331" t="s">
        <v>984</v>
      </c>
      <c r="CK108" s="331" t="s">
        <v>190</v>
      </c>
      <c r="CL108" s="331" t="s">
        <v>190</v>
      </c>
      <c r="CM108" s="331" t="s">
        <v>190</v>
      </c>
      <c r="CN108" s="331" t="s">
        <v>190</v>
      </c>
      <c r="CO108" s="331" t="s">
        <v>190</v>
      </c>
      <c r="CP108" s="331" t="s">
        <v>190</v>
      </c>
      <c r="CQ108" s="331" t="s">
        <v>190</v>
      </c>
      <c r="CR108" s="331" t="s">
        <v>190</v>
      </c>
      <c r="CS108" s="331" t="s">
        <v>190</v>
      </c>
      <c r="CT108" s="331" t="s">
        <v>190</v>
      </c>
      <c r="CU108" s="331" t="s">
        <v>428</v>
      </c>
      <c r="CV108" s="331" t="s">
        <v>190</v>
      </c>
      <c r="CW108" s="331" t="s">
        <v>190</v>
      </c>
      <c r="CX108" s="331" t="s">
        <v>190</v>
      </c>
      <c r="CY108" s="331" t="s">
        <v>190</v>
      </c>
      <c r="CZ108" s="331" t="s">
        <v>190</v>
      </c>
      <c r="DA108" s="331" t="s">
        <v>190</v>
      </c>
      <c r="DB108" s="331" t="s">
        <v>190</v>
      </c>
      <c r="DC108" s="331" t="s">
        <v>190</v>
      </c>
      <c r="DD108" s="331" t="s">
        <v>190</v>
      </c>
      <c r="DE108" s="331" t="s">
        <v>190</v>
      </c>
      <c r="DF108" s="331" t="s">
        <v>190</v>
      </c>
      <c r="DG108" s="331" t="s">
        <v>190</v>
      </c>
      <c r="DH108" s="331" t="s">
        <v>190</v>
      </c>
      <c r="DI108" s="331" t="s">
        <v>190</v>
      </c>
      <c r="DJ108" s="331" t="s">
        <v>428</v>
      </c>
      <c r="DK108" s="331" t="s">
        <v>190</v>
      </c>
      <c r="DL108" s="331" t="s">
        <v>190</v>
      </c>
      <c r="DM108" s="331" t="s">
        <v>190</v>
      </c>
      <c r="DN108" s="331" t="s">
        <v>190</v>
      </c>
      <c r="DO108" s="331" t="s">
        <v>190</v>
      </c>
      <c r="DP108" s="331" t="s">
        <v>190</v>
      </c>
      <c r="DQ108" s="331" t="s">
        <v>190</v>
      </c>
      <c r="DR108" s="331" t="s">
        <v>190</v>
      </c>
      <c r="DS108" s="331" t="s">
        <v>190</v>
      </c>
      <c r="DT108" s="331" t="s">
        <v>190</v>
      </c>
      <c r="DU108" s="331" t="s">
        <v>190</v>
      </c>
      <c r="DV108" s="331" t="s">
        <v>190</v>
      </c>
      <c r="DW108" s="331" t="s">
        <v>190</v>
      </c>
      <c r="DX108" s="331" t="s">
        <v>190</v>
      </c>
      <c r="DY108" s="331" t="s">
        <v>190</v>
      </c>
      <c r="DZ108" s="331" t="s">
        <v>190</v>
      </c>
      <c r="EA108" s="331" t="s">
        <v>190</v>
      </c>
      <c r="EB108" s="331" t="s">
        <v>190</v>
      </c>
      <c r="EC108" s="331" t="s">
        <v>190</v>
      </c>
      <c r="ED108" s="331" t="s">
        <v>190</v>
      </c>
      <c r="EE108" s="331" t="s">
        <v>190</v>
      </c>
      <c r="EF108" s="331" t="s">
        <v>190</v>
      </c>
      <c r="EG108" s="331" t="s">
        <v>190</v>
      </c>
      <c r="EH108" s="331" t="s">
        <v>190</v>
      </c>
      <c r="EI108" s="331" t="s">
        <v>190</v>
      </c>
      <c r="EJ108" s="331" t="s">
        <v>190</v>
      </c>
      <c r="EK108" s="331" t="s">
        <v>190</v>
      </c>
      <c r="EL108" s="331" t="s">
        <v>190</v>
      </c>
      <c r="EM108" s="331" t="s">
        <v>190</v>
      </c>
      <c r="EN108" s="331" t="s">
        <v>190</v>
      </c>
      <c r="EO108" s="331" t="s">
        <v>190</v>
      </c>
      <c r="EP108" s="331" t="s">
        <v>428</v>
      </c>
      <c r="EQ108" s="331" t="s">
        <v>428</v>
      </c>
      <c r="ER108" s="331" t="s">
        <v>428</v>
      </c>
      <c r="ES108" s="331" t="s">
        <v>191</v>
      </c>
      <c r="ET108" s="331" t="s">
        <v>191</v>
      </c>
      <c r="EU108" s="331" t="s">
        <v>190</v>
      </c>
      <c r="EV108" s="331" t="s">
        <v>190</v>
      </c>
      <c r="EW108" s="331" t="s">
        <v>191</v>
      </c>
      <c r="EX108" s="331" t="s">
        <v>190</v>
      </c>
      <c r="EY108" s="331" t="s">
        <v>191</v>
      </c>
      <c r="EZ108" s="331" t="s">
        <v>428</v>
      </c>
      <c r="FA108" s="331" t="s">
        <v>190</v>
      </c>
      <c r="FB108" s="331" t="s">
        <v>191</v>
      </c>
      <c r="FC108" s="331" t="s">
        <v>190</v>
      </c>
      <c r="FD108" s="331" t="s">
        <v>190</v>
      </c>
      <c r="FE108" s="331" t="s">
        <v>190</v>
      </c>
      <c r="FF108" s="331" t="s">
        <v>190</v>
      </c>
      <c r="FG108" s="331" t="s">
        <v>191</v>
      </c>
      <c r="FH108" s="331" t="s">
        <v>190</v>
      </c>
      <c r="FI108" s="331" t="s">
        <v>190</v>
      </c>
      <c r="FJ108" s="331" t="s">
        <v>191</v>
      </c>
      <c r="FK108" s="331" t="s">
        <v>191</v>
      </c>
      <c r="FL108" s="331" t="s">
        <v>190</v>
      </c>
      <c r="FM108" s="331" t="s">
        <v>190</v>
      </c>
      <c r="FN108" s="331" t="s">
        <v>190</v>
      </c>
      <c r="FO108" s="331" t="s">
        <v>190</v>
      </c>
      <c r="FP108" s="331" t="s">
        <v>190</v>
      </c>
      <c r="FQ108" s="331" t="s">
        <v>190</v>
      </c>
      <c r="FR108" s="331" t="s">
        <v>428</v>
      </c>
      <c r="FS108" s="331" t="s">
        <v>984</v>
      </c>
      <c r="FT108" s="331" t="s">
        <v>984</v>
      </c>
      <c r="FU108" s="331" t="s">
        <v>984</v>
      </c>
      <c r="FV108" s="331" t="s">
        <v>984</v>
      </c>
      <c r="FW108" s="331" t="s">
        <v>984</v>
      </c>
      <c r="FX108" s="331" t="s">
        <v>984</v>
      </c>
      <c r="FY108" s="331" t="s">
        <v>984</v>
      </c>
      <c r="FZ108" s="331" t="s">
        <v>984</v>
      </c>
      <c r="GA108" s="331" t="s">
        <v>984</v>
      </c>
      <c r="GB108" s="331" t="s">
        <v>984</v>
      </c>
      <c r="GC108" s="331" t="s">
        <v>984</v>
      </c>
      <c r="GD108" s="331" t="s">
        <v>984</v>
      </c>
      <c r="GE108" s="331" t="s">
        <v>984</v>
      </c>
      <c r="GF108" s="331" t="s">
        <v>984</v>
      </c>
      <c r="GG108" s="331" t="s">
        <v>984</v>
      </c>
      <c r="GH108" s="331" t="s">
        <v>984</v>
      </c>
      <c r="GI108" s="331" t="s">
        <v>984</v>
      </c>
      <c r="GJ108" s="331" t="s">
        <v>984</v>
      </c>
      <c r="GK108" s="331" t="s">
        <v>984</v>
      </c>
      <c r="GL108" s="331" t="s">
        <v>984</v>
      </c>
      <c r="GM108" s="331" t="s">
        <v>984</v>
      </c>
      <c r="GN108" s="331" t="s">
        <v>984</v>
      </c>
      <c r="GO108" s="331" t="s">
        <v>984</v>
      </c>
      <c r="GP108" s="331" t="s">
        <v>984</v>
      </c>
      <c r="GQ108" s="331" t="s">
        <v>984</v>
      </c>
      <c r="GR108" s="331" t="s">
        <v>984</v>
      </c>
      <c r="GS108" s="331" t="s">
        <v>984</v>
      </c>
      <c r="GT108" s="331" t="s">
        <v>984</v>
      </c>
      <c r="GU108" s="331" t="s">
        <v>984</v>
      </c>
      <c r="GV108" s="331" t="s">
        <v>984</v>
      </c>
      <c r="GW108" s="331" t="s">
        <v>984</v>
      </c>
      <c r="GX108" s="331" t="s">
        <v>984</v>
      </c>
      <c r="GY108" s="331" t="s">
        <v>984</v>
      </c>
      <c r="GZ108" s="331" t="s">
        <v>984</v>
      </c>
      <c r="HA108" s="331" t="s">
        <v>984</v>
      </c>
      <c r="HB108" s="331" t="s">
        <v>984</v>
      </c>
      <c r="HC108" s="331" t="s">
        <v>984</v>
      </c>
      <c r="HD108" s="331" t="s">
        <v>984</v>
      </c>
      <c r="HE108" s="331" t="s">
        <v>984</v>
      </c>
      <c r="HF108" s="331" t="s">
        <v>984</v>
      </c>
      <c r="HG108" s="331" t="s">
        <v>984</v>
      </c>
      <c r="HH108" s="331" t="s">
        <v>984</v>
      </c>
      <c r="HI108" s="331" t="s">
        <v>984</v>
      </c>
      <c r="HJ108" s="331" t="s">
        <v>984</v>
      </c>
      <c r="HK108" s="331" t="s">
        <v>984</v>
      </c>
      <c r="HL108" s="331" t="s">
        <v>984</v>
      </c>
      <c r="HM108" s="331" t="s">
        <v>191</v>
      </c>
      <c r="HN108" s="331" t="s">
        <v>191</v>
      </c>
      <c r="HO108" s="331" t="s">
        <v>191</v>
      </c>
      <c r="HP108" s="331" t="s">
        <v>191</v>
      </c>
      <c r="HQ108" s="331" t="s">
        <v>170</v>
      </c>
      <c r="HR108" s="331" t="s">
        <v>429</v>
      </c>
      <c r="HS108" s="331" t="s">
        <v>169</v>
      </c>
      <c r="HT108" s="331" t="s">
        <v>427</v>
      </c>
      <c r="HU108" s="331" t="s">
        <v>428</v>
      </c>
      <c r="HV108" s="331" t="s">
        <v>428</v>
      </c>
    </row>
    <row r="109" spans="1:230" s="70" customFormat="1" x14ac:dyDescent="0.25">
      <c r="A109" s="330" t="str">
        <f>HYPERLINK("http://www.ofsted.gov.uk/inspection-reports/find-inspection-report/provider/ELS/134577 ","Ofsted School Webpage")</f>
        <v>Ofsted School Webpage</v>
      </c>
      <c r="B109" s="331">
        <v>134577</v>
      </c>
      <c r="C109" s="331">
        <v>3166063</v>
      </c>
      <c r="D109" s="331" t="s">
        <v>1833</v>
      </c>
      <c r="E109" s="331" t="s">
        <v>167</v>
      </c>
      <c r="F109" s="331" t="s">
        <v>441</v>
      </c>
      <c r="G109" s="331" t="s">
        <v>441</v>
      </c>
      <c r="H109" s="331" t="s">
        <v>709</v>
      </c>
      <c r="I109" s="331" t="s">
        <v>938</v>
      </c>
      <c r="J109" s="331" t="s">
        <v>72</v>
      </c>
      <c r="K109" s="331" t="s">
        <v>72</v>
      </c>
      <c r="L109" s="331" t="s">
        <v>72</v>
      </c>
      <c r="M109" s="331" t="s">
        <v>72</v>
      </c>
      <c r="N109" s="331" t="s">
        <v>424</v>
      </c>
      <c r="O109" s="331">
        <v>10123546</v>
      </c>
      <c r="P109" s="332">
        <v>43781</v>
      </c>
      <c r="Q109" s="332">
        <v>43781</v>
      </c>
      <c r="R109" s="332">
        <v>43817</v>
      </c>
      <c r="S109" s="331" t="s">
        <v>985</v>
      </c>
      <c r="T109" s="331" t="s">
        <v>982</v>
      </c>
      <c r="U109" s="331" t="s">
        <v>427</v>
      </c>
      <c r="V109" s="331" t="s">
        <v>166</v>
      </c>
      <c r="W109" s="331" t="s">
        <v>984</v>
      </c>
      <c r="X109" s="331" t="s">
        <v>984</v>
      </c>
      <c r="Y109" s="331" t="s">
        <v>984</v>
      </c>
      <c r="Z109" s="331" t="s">
        <v>984</v>
      </c>
      <c r="AA109" s="331" t="s">
        <v>984</v>
      </c>
      <c r="AB109" s="331" t="s">
        <v>984</v>
      </c>
      <c r="AC109" s="331" t="s">
        <v>984</v>
      </c>
      <c r="AD109" s="331" t="s">
        <v>984</v>
      </c>
      <c r="AE109" s="331" t="s">
        <v>984</v>
      </c>
      <c r="AF109" s="331" t="s">
        <v>984</v>
      </c>
      <c r="AG109" s="331" t="s">
        <v>984</v>
      </c>
      <c r="AH109" s="331" t="s">
        <v>984</v>
      </c>
      <c r="AI109" s="331" t="s">
        <v>984</v>
      </c>
      <c r="AJ109" s="331" t="s">
        <v>984</v>
      </c>
      <c r="AK109" s="331" t="s">
        <v>984</v>
      </c>
      <c r="AL109" s="331" t="s">
        <v>984</v>
      </c>
      <c r="AM109" s="331" t="s">
        <v>428</v>
      </c>
      <c r="AN109" s="331" t="s">
        <v>428</v>
      </c>
      <c r="AO109" s="331" t="s">
        <v>984</v>
      </c>
      <c r="AP109" s="331" t="s">
        <v>984</v>
      </c>
      <c r="AQ109" s="331" t="s">
        <v>190</v>
      </c>
      <c r="AR109" s="331" t="s">
        <v>984</v>
      </c>
      <c r="AS109" s="331" t="s">
        <v>984</v>
      </c>
      <c r="AT109" s="331" t="s">
        <v>984</v>
      </c>
      <c r="AU109" s="331" t="s">
        <v>190</v>
      </c>
      <c r="AV109" s="331" t="s">
        <v>984</v>
      </c>
      <c r="AW109" s="331" t="s">
        <v>984</v>
      </c>
      <c r="AX109" s="331" t="s">
        <v>984</v>
      </c>
      <c r="AY109" s="331" t="s">
        <v>984</v>
      </c>
      <c r="AZ109" s="331" t="s">
        <v>984</v>
      </c>
      <c r="BA109" s="331" t="s">
        <v>984</v>
      </c>
      <c r="BB109" s="331" t="s">
        <v>984</v>
      </c>
      <c r="BC109" s="331" t="s">
        <v>190</v>
      </c>
      <c r="BD109" s="331" t="s">
        <v>190</v>
      </c>
      <c r="BE109" s="331" t="s">
        <v>190</v>
      </c>
      <c r="BF109" s="331" t="s">
        <v>984</v>
      </c>
      <c r="BG109" s="331" t="s">
        <v>190</v>
      </c>
      <c r="BH109" s="331" t="s">
        <v>984</v>
      </c>
      <c r="BI109" s="331" t="s">
        <v>984</v>
      </c>
      <c r="BJ109" s="331" t="s">
        <v>984</v>
      </c>
      <c r="BK109" s="331" t="s">
        <v>190</v>
      </c>
      <c r="BL109" s="331" t="s">
        <v>984</v>
      </c>
      <c r="BM109" s="331" t="s">
        <v>984</v>
      </c>
      <c r="BN109" s="331" t="s">
        <v>190</v>
      </c>
      <c r="BO109" s="331" t="s">
        <v>984</v>
      </c>
      <c r="BP109" s="331" t="s">
        <v>984</v>
      </c>
      <c r="BQ109" s="331" t="s">
        <v>190</v>
      </c>
      <c r="BR109" s="331" t="s">
        <v>191</v>
      </c>
      <c r="BS109" s="331" t="s">
        <v>191</v>
      </c>
      <c r="BT109" s="331" t="s">
        <v>191</v>
      </c>
      <c r="BU109" s="331" t="s">
        <v>428</v>
      </c>
      <c r="BV109" s="331" t="s">
        <v>428</v>
      </c>
      <c r="BW109" s="331" t="s">
        <v>428</v>
      </c>
      <c r="BX109" s="331" t="s">
        <v>984</v>
      </c>
      <c r="BY109" s="331" t="s">
        <v>984</v>
      </c>
      <c r="BZ109" s="331" t="s">
        <v>984</v>
      </c>
      <c r="CA109" s="331" t="s">
        <v>984</v>
      </c>
      <c r="CB109" s="331" t="s">
        <v>984</v>
      </c>
      <c r="CC109" s="331" t="s">
        <v>190</v>
      </c>
      <c r="CD109" s="331" t="s">
        <v>190</v>
      </c>
      <c r="CE109" s="331" t="s">
        <v>984</v>
      </c>
      <c r="CF109" s="331" t="s">
        <v>984</v>
      </c>
      <c r="CG109" s="331" t="s">
        <v>984</v>
      </c>
      <c r="CH109" s="331" t="s">
        <v>190</v>
      </c>
      <c r="CI109" s="331" t="s">
        <v>190</v>
      </c>
      <c r="CJ109" s="331" t="s">
        <v>190</v>
      </c>
      <c r="CK109" s="331" t="s">
        <v>984</v>
      </c>
      <c r="CL109" s="331" t="s">
        <v>984</v>
      </c>
      <c r="CM109" s="331" t="s">
        <v>984</v>
      </c>
      <c r="CN109" s="331" t="s">
        <v>984</v>
      </c>
      <c r="CO109" s="331" t="s">
        <v>984</v>
      </c>
      <c r="CP109" s="331" t="s">
        <v>984</v>
      </c>
      <c r="CQ109" s="331" t="s">
        <v>984</v>
      </c>
      <c r="CR109" s="331" t="s">
        <v>984</v>
      </c>
      <c r="CS109" s="331" t="s">
        <v>984</v>
      </c>
      <c r="CT109" s="331" t="s">
        <v>984</v>
      </c>
      <c r="CU109" s="331" t="s">
        <v>428</v>
      </c>
      <c r="CV109" s="331" t="s">
        <v>984</v>
      </c>
      <c r="CW109" s="331" t="s">
        <v>984</v>
      </c>
      <c r="CX109" s="331" t="s">
        <v>984</v>
      </c>
      <c r="CY109" s="331" t="s">
        <v>984</v>
      </c>
      <c r="CZ109" s="331" t="s">
        <v>984</v>
      </c>
      <c r="DA109" s="331" t="s">
        <v>984</v>
      </c>
      <c r="DB109" s="331" t="s">
        <v>984</v>
      </c>
      <c r="DC109" s="331" t="s">
        <v>984</v>
      </c>
      <c r="DD109" s="331" t="s">
        <v>984</v>
      </c>
      <c r="DE109" s="331" t="s">
        <v>984</v>
      </c>
      <c r="DF109" s="331" t="s">
        <v>984</v>
      </c>
      <c r="DG109" s="331" t="s">
        <v>984</v>
      </c>
      <c r="DH109" s="331" t="s">
        <v>984</v>
      </c>
      <c r="DI109" s="331" t="s">
        <v>984</v>
      </c>
      <c r="DJ109" s="331" t="s">
        <v>428</v>
      </c>
      <c r="DK109" s="331" t="s">
        <v>984</v>
      </c>
      <c r="DL109" s="331" t="s">
        <v>984</v>
      </c>
      <c r="DM109" s="331" t="s">
        <v>984</v>
      </c>
      <c r="DN109" s="331" t="s">
        <v>984</v>
      </c>
      <c r="DO109" s="331" t="s">
        <v>984</v>
      </c>
      <c r="DP109" s="331" t="s">
        <v>984</v>
      </c>
      <c r="DQ109" s="331" t="s">
        <v>984</v>
      </c>
      <c r="DR109" s="331" t="s">
        <v>984</v>
      </c>
      <c r="DS109" s="331" t="s">
        <v>984</v>
      </c>
      <c r="DT109" s="331" t="s">
        <v>984</v>
      </c>
      <c r="DU109" s="331" t="s">
        <v>984</v>
      </c>
      <c r="DV109" s="331" t="s">
        <v>984</v>
      </c>
      <c r="DW109" s="331" t="s">
        <v>984</v>
      </c>
      <c r="DX109" s="331" t="s">
        <v>984</v>
      </c>
      <c r="DY109" s="331" t="s">
        <v>984</v>
      </c>
      <c r="DZ109" s="331" t="s">
        <v>984</v>
      </c>
      <c r="EA109" s="331" t="s">
        <v>984</v>
      </c>
      <c r="EB109" s="331" t="s">
        <v>984</v>
      </c>
      <c r="EC109" s="331" t="s">
        <v>984</v>
      </c>
      <c r="ED109" s="331" t="s">
        <v>984</v>
      </c>
      <c r="EE109" s="331" t="s">
        <v>984</v>
      </c>
      <c r="EF109" s="331" t="s">
        <v>984</v>
      </c>
      <c r="EG109" s="331" t="s">
        <v>984</v>
      </c>
      <c r="EH109" s="331" t="s">
        <v>984</v>
      </c>
      <c r="EI109" s="331" t="s">
        <v>984</v>
      </c>
      <c r="EJ109" s="331" t="s">
        <v>984</v>
      </c>
      <c r="EK109" s="331" t="s">
        <v>984</v>
      </c>
      <c r="EL109" s="331" t="s">
        <v>984</v>
      </c>
      <c r="EM109" s="331" t="s">
        <v>984</v>
      </c>
      <c r="EN109" s="331" t="s">
        <v>984</v>
      </c>
      <c r="EO109" s="331" t="s">
        <v>984</v>
      </c>
      <c r="EP109" s="331" t="s">
        <v>984</v>
      </c>
      <c r="EQ109" s="331" t="s">
        <v>984</v>
      </c>
      <c r="ER109" s="331" t="s">
        <v>984</v>
      </c>
      <c r="ES109" s="331" t="s">
        <v>984</v>
      </c>
      <c r="ET109" s="331" t="s">
        <v>984</v>
      </c>
      <c r="EU109" s="331" t="s">
        <v>984</v>
      </c>
      <c r="EV109" s="331" t="s">
        <v>428</v>
      </c>
      <c r="EW109" s="331" t="s">
        <v>984</v>
      </c>
      <c r="EX109" s="331" t="s">
        <v>984</v>
      </c>
      <c r="EY109" s="331" t="s">
        <v>984</v>
      </c>
      <c r="EZ109" s="331" t="s">
        <v>428</v>
      </c>
      <c r="FA109" s="331" t="s">
        <v>984</v>
      </c>
      <c r="FB109" s="331" t="s">
        <v>190</v>
      </c>
      <c r="FC109" s="331" t="s">
        <v>984</v>
      </c>
      <c r="FD109" s="331" t="s">
        <v>984</v>
      </c>
      <c r="FE109" s="331" t="s">
        <v>984</v>
      </c>
      <c r="FF109" s="331" t="s">
        <v>984</v>
      </c>
      <c r="FG109" s="331" t="s">
        <v>984</v>
      </c>
      <c r="FH109" s="331" t="s">
        <v>984</v>
      </c>
      <c r="FI109" s="331" t="s">
        <v>984</v>
      </c>
      <c r="FJ109" s="331" t="s">
        <v>984</v>
      </c>
      <c r="FK109" s="331" t="s">
        <v>984</v>
      </c>
      <c r="FL109" s="331" t="s">
        <v>984</v>
      </c>
      <c r="FM109" s="331" t="s">
        <v>984</v>
      </c>
      <c r="FN109" s="331" t="s">
        <v>984</v>
      </c>
      <c r="FO109" s="331" t="s">
        <v>984</v>
      </c>
      <c r="FP109" s="331" t="s">
        <v>984</v>
      </c>
      <c r="FQ109" s="331" t="s">
        <v>984</v>
      </c>
      <c r="FR109" s="331" t="s">
        <v>428</v>
      </c>
      <c r="FS109" s="331" t="s">
        <v>190</v>
      </c>
      <c r="FT109" s="331" t="s">
        <v>984</v>
      </c>
      <c r="FU109" s="331" t="s">
        <v>984</v>
      </c>
      <c r="FV109" s="331" t="s">
        <v>190</v>
      </c>
      <c r="FW109" s="331" t="s">
        <v>984</v>
      </c>
      <c r="FX109" s="331" t="s">
        <v>428</v>
      </c>
      <c r="FY109" s="331" t="s">
        <v>984</v>
      </c>
      <c r="FZ109" s="331" t="s">
        <v>984</v>
      </c>
      <c r="GA109" s="331" t="s">
        <v>984</v>
      </c>
      <c r="GB109" s="331" t="s">
        <v>984</v>
      </c>
      <c r="GC109" s="331" t="s">
        <v>984</v>
      </c>
      <c r="GD109" s="331" t="s">
        <v>984</v>
      </c>
      <c r="GE109" s="331" t="s">
        <v>984</v>
      </c>
      <c r="GF109" s="331" t="s">
        <v>984</v>
      </c>
      <c r="GG109" s="331" t="s">
        <v>984</v>
      </c>
      <c r="GH109" s="331" t="s">
        <v>984</v>
      </c>
      <c r="GI109" s="331" t="s">
        <v>984</v>
      </c>
      <c r="GJ109" s="331" t="s">
        <v>984</v>
      </c>
      <c r="GK109" s="331" t="s">
        <v>984</v>
      </c>
      <c r="GL109" s="331" t="s">
        <v>984</v>
      </c>
      <c r="GM109" s="331" t="s">
        <v>984</v>
      </c>
      <c r="GN109" s="331" t="s">
        <v>984</v>
      </c>
      <c r="GO109" s="331" t="s">
        <v>984</v>
      </c>
      <c r="GP109" s="331" t="s">
        <v>984</v>
      </c>
      <c r="GQ109" s="331" t="s">
        <v>984</v>
      </c>
      <c r="GR109" s="331" t="s">
        <v>984</v>
      </c>
      <c r="GS109" s="331" t="s">
        <v>984</v>
      </c>
      <c r="GT109" s="331" t="s">
        <v>984</v>
      </c>
      <c r="GU109" s="331" t="s">
        <v>984</v>
      </c>
      <c r="GV109" s="331" t="s">
        <v>984</v>
      </c>
      <c r="GW109" s="331" t="s">
        <v>984</v>
      </c>
      <c r="GX109" s="331" t="s">
        <v>984</v>
      </c>
      <c r="GY109" s="331" t="s">
        <v>984</v>
      </c>
      <c r="GZ109" s="331" t="s">
        <v>984</v>
      </c>
      <c r="HA109" s="331" t="s">
        <v>984</v>
      </c>
      <c r="HB109" s="331" t="s">
        <v>984</v>
      </c>
      <c r="HC109" s="331" t="s">
        <v>984</v>
      </c>
      <c r="HD109" s="331" t="s">
        <v>984</v>
      </c>
      <c r="HE109" s="331" t="s">
        <v>984</v>
      </c>
      <c r="HF109" s="331" t="s">
        <v>984</v>
      </c>
      <c r="HG109" s="331" t="s">
        <v>984</v>
      </c>
      <c r="HH109" s="331" t="s">
        <v>984</v>
      </c>
      <c r="HI109" s="331" t="s">
        <v>984</v>
      </c>
      <c r="HJ109" s="331" t="s">
        <v>984</v>
      </c>
      <c r="HK109" s="331" t="s">
        <v>984</v>
      </c>
      <c r="HL109" s="331" t="s">
        <v>984</v>
      </c>
      <c r="HM109" s="331" t="s">
        <v>191</v>
      </c>
      <c r="HN109" s="331" t="s">
        <v>191</v>
      </c>
      <c r="HO109" s="331" t="s">
        <v>191</v>
      </c>
      <c r="HP109" s="331" t="s">
        <v>191</v>
      </c>
      <c r="HQ109" s="331" t="s">
        <v>170</v>
      </c>
      <c r="HR109" s="331" t="s">
        <v>429</v>
      </c>
      <c r="HS109" s="331" t="s">
        <v>169</v>
      </c>
      <c r="HT109" s="331" t="s">
        <v>427</v>
      </c>
      <c r="HU109" s="331" t="s">
        <v>984</v>
      </c>
      <c r="HV109" s="331" t="s">
        <v>984</v>
      </c>
    </row>
    <row r="110" spans="1:230" s="70" customFormat="1" x14ac:dyDescent="0.25">
      <c r="A110" s="330" t="str">
        <f>HYPERLINK("http://www.ofsted.gov.uk/inspection-reports/find-inspection-report/provider/ELS/115436 ","Ofsted School Webpage")</f>
        <v>Ofsted School Webpage</v>
      </c>
      <c r="B110" s="331">
        <v>115436</v>
      </c>
      <c r="C110" s="331">
        <v>8816041</v>
      </c>
      <c r="D110" s="331" t="s">
        <v>1175</v>
      </c>
      <c r="E110" s="331" t="s">
        <v>167</v>
      </c>
      <c r="F110" s="331" t="s">
        <v>451</v>
      </c>
      <c r="G110" s="331" t="s">
        <v>451</v>
      </c>
      <c r="H110" s="331" t="s">
        <v>679</v>
      </c>
      <c r="I110" s="331" t="s">
        <v>1176</v>
      </c>
      <c r="J110" s="331" t="s">
        <v>59</v>
      </c>
      <c r="K110" s="331" t="s">
        <v>59</v>
      </c>
      <c r="L110" s="331" t="s">
        <v>59</v>
      </c>
      <c r="M110" s="331" t="s">
        <v>59</v>
      </c>
      <c r="N110" s="331" t="s">
        <v>424</v>
      </c>
      <c r="O110" s="331">
        <v>10128858</v>
      </c>
      <c r="P110" s="332">
        <v>43781</v>
      </c>
      <c r="Q110" s="332">
        <v>43781</v>
      </c>
      <c r="R110" s="332">
        <v>43801</v>
      </c>
      <c r="S110" s="331" t="s">
        <v>985</v>
      </c>
      <c r="T110" s="331" t="s">
        <v>982</v>
      </c>
      <c r="U110" s="331" t="s">
        <v>427</v>
      </c>
      <c r="V110" s="331" t="s">
        <v>166</v>
      </c>
      <c r="W110" s="331" t="s">
        <v>190</v>
      </c>
      <c r="X110" s="331" t="s">
        <v>190</v>
      </c>
      <c r="Y110" s="331" t="s">
        <v>190</v>
      </c>
      <c r="Z110" s="331" t="s">
        <v>190</v>
      </c>
      <c r="AA110" s="331" t="s">
        <v>984</v>
      </c>
      <c r="AB110" s="331" t="s">
        <v>984</v>
      </c>
      <c r="AC110" s="331" t="s">
        <v>984</v>
      </c>
      <c r="AD110" s="331" t="s">
        <v>984</v>
      </c>
      <c r="AE110" s="331" t="s">
        <v>428</v>
      </c>
      <c r="AF110" s="331" t="s">
        <v>984</v>
      </c>
      <c r="AG110" s="331" t="s">
        <v>984</v>
      </c>
      <c r="AH110" s="331" t="s">
        <v>984</v>
      </c>
      <c r="AI110" s="331" t="s">
        <v>984</v>
      </c>
      <c r="AJ110" s="331" t="s">
        <v>984</v>
      </c>
      <c r="AK110" s="331" t="s">
        <v>984</v>
      </c>
      <c r="AL110" s="331" t="s">
        <v>984</v>
      </c>
      <c r="AM110" s="331" t="s">
        <v>984</v>
      </c>
      <c r="AN110" s="331" t="s">
        <v>428</v>
      </c>
      <c r="AO110" s="331" t="s">
        <v>984</v>
      </c>
      <c r="AP110" s="331" t="s">
        <v>984</v>
      </c>
      <c r="AQ110" s="331" t="s">
        <v>984</v>
      </c>
      <c r="AR110" s="331" t="s">
        <v>984</v>
      </c>
      <c r="AS110" s="331" t="s">
        <v>984</v>
      </c>
      <c r="AT110" s="331" t="s">
        <v>984</v>
      </c>
      <c r="AU110" s="331" t="s">
        <v>984</v>
      </c>
      <c r="AV110" s="331" t="s">
        <v>984</v>
      </c>
      <c r="AW110" s="331" t="s">
        <v>984</v>
      </c>
      <c r="AX110" s="331" t="s">
        <v>984</v>
      </c>
      <c r="AY110" s="331" t="s">
        <v>984</v>
      </c>
      <c r="AZ110" s="331" t="s">
        <v>984</v>
      </c>
      <c r="BA110" s="331" t="s">
        <v>984</v>
      </c>
      <c r="BB110" s="331" t="s">
        <v>984</v>
      </c>
      <c r="BC110" s="331" t="s">
        <v>984</v>
      </c>
      <c r="BD110" s="331" t="s">
        <v>984</v>
      </c>
      <c r="BE110" s="331" t="s">
        <v>984</v>
      </c>
      <c r="BF110" s="331" t="s">
        <v>984</v>
      </c>
      <c r="BG110" s="331" t="s">
        <v>984</v>
      </c>
      <c r="BH110" s="331" t="s">
        <v>984</v>
      </c>
      <c r="BI110" s="331" t="s">
        <v>984</v>
      </c>
      <c r="BJ110" s="331" t="s">
        <v>984</v>
      </c>
      <c r="BK110" s="331" t="s">
        <v>984</v>
      </c>
      <c r="BL110" s="331" t="s">
        <v>984</v>
      </c>
      <c r="BM110" s="331" t="s">
        <v>984</v>
      </c>
      <c r="BN110" s="331" t="s">
        <v>984</v>
      </c>
      <c r="BO110" s="331" t="s">
        <v>984</v>
      </c>
      <c r="BP110" s="331" t="s">
        <v>984</v>
      </c>
      <c r="BQ110" s="331" t="s">
        <v>984</v>
      </c>
      <c r="BR110" s="331" t="s">
        <v>190</v>
      </c>
      <c r="BS110" s="331" t="s">
        <v>190</v>
      </c>
      <c r="BT110" s="331" t="s">
        <v>190</v>
      </c>
      <c r="BU110" s="331" t="s">
        <v>428</v>
      </c>
      <c r="BV110" s="331" t="s">
        <v>428</v>
      </c>
      <c r="BW110" s="331" t="s">
        <v>428</v>
      </c>
      <c r="BX110" s="331" t="s">
        <v>190</v>
      </c>
      <c r="BY110" s="331" t="s">
        <v>190</v>
      </c>
      <c r="BZ110" s="331" t="s">
        <v>190</v>
      </c>
      <c r="CA110" s="331" t="s">
        <v>190</v>
      </c>
      <c r="CB110" s="331" t="s">
        <v>190</v>
      </c>
      <c r="CC110" s="331" t="s">
        <v>984</v>
      </c>
      <c r="CD110" s="331" t="s">
        <v>190</v>
      </c>
      <c r="CE110" s="331" t="s">
        <v>984</v>
      </c>
      <c r="CF110" s="331" t="s">
        <v>984</v>
      </c>
      <c r="CG110" s="331" t="s">
        <v>984</v>
      </c>
      <c r="CH110" s="331" t="s">
        <v>190</v>
      </c>
      <c r="CI110" s="331" t="s">
        <v>190</v>
      </c>
      <c r="CJ110" s="331" t="s">
        <v>190</v>
      </c>
      <c r="CK110" s="331" t="s">
        <v>984</v>
      </c>
      <c r="CL110" s="331" t="s">
        <v>984</v>
      </c>
      <c r="CM110" s="331" t="s">
        <v>984</v>
      </c>
      <c r="CN110" s="331" t="s">
        <v>984</v>
      </c>
      <c r="CO110" s="331" t="s">
        <v>984</v>
      </c>
      <c r="CP110" s="331" t="s">
        <v>984</v>
      </c>
      <c r="CQ110" s="331" t="s">
        <v>984</v>
      </c>
      <c r="CR110" s="331" t="s">
        <v>984</v>
      </c>
      <c r="CS110" s="331" t="s">
        <v>984</v>
      </c>
      <c r="CT110" s="331" t="s">
        <v>984</v>
      </c>
      <c r="CU110" s="331" t="s">
        <v>428</v>
      </c>
      <c r="CV110" s="331" t="s">
        <v>984</v>
      </c>
      <c r="CW110" s="331" t="s">
        <v>428</v>
      </c>
      <c r="CX110" s="331" t="s">
        <v>428</v>
      </c>
      <c r="CY110" s="331" t="s">
        <v>428</v>
      </c>
      <c r="CZ110" s="331" t="s">
        <v>428</v>
      </c>
      <c r="DA110" s="331" t="s">
        <v>428</v>
      </c>
      <c r="DB110" s="331" t="s">
        <v>428</v>
      </c>
      <c r="DC110" s="331" t="s">
        <v>428</v>
      </c>
      <c r="DD110" s="331" t="s">
        <v>428</v>
      </c>
      <c r="DE110" s="331" t="s">
        <v>428</v>
      </c>
      <c r="DF110" s="331" t="s">
        <v>428</v>
      </c>
      <c r="DG110" s="331" t="s">
        <v>428</v>
      </c>
      <c r="DH110" s="331" t="s">
        <v>428</v>
      </c>
      <c r="DI110" s="331" t="s">
        <v>428</v>
      </c>
      <c r="DJ110" s="331" t="s">
        <v>428</v>
      </c>
      <c r="DK110" s="331" t="s">
        <v>428</v>
      </c>
      <c r="DL110" s="331" t="s">
        <v>984</v>
      </c>
      <c r="DM110" s="331" t="s">
        <v>984</v>
      </c>
      <c r="DN110" s="331" t="s">
        <v>984</v>
      </c>
      <c r="DO110" s="331" t="s">
        <v>984</v>
      </c>
      <c r="DP110" s="331" t="s">
        <v>984</v>
      </c>
      <c r="DQ110" s="331" t="s">
        <v>984</v>
      </c>
      <c r="DR110" s="331" t="s">
        <v>984</v>
      </c>
      <c r="DS110" s="331" t="s">
        <v>984</v>
      </c>
      <c r="DT110" s="331" t="s">
        <v>984</v>
      </c>
      <c r="DU110" s="331" t="s">
        <v>190</v>
      </c>
      <c r="DV110" s="331" t="s">
        <v>190</v>
      </c>
      <c r="DW110" s="331" t="s">
        <v>190</v>
      </c>
      <c r="DX110" s="331" t="s">
        <v>190</v>
      </c>
      <c r="DY110" s="331" t="s">
        <v>190</v>
      </c>
      <c r="DZ110" s="331" t="s">
        <v>190</v>
      </c>
      <c r="EA110" s="331" t="s">
        <v>190</v>
      </c>
      <c r="EB110" s="331" t="s">
        <v>190</v>
      </c>
      <c r="EC110" s="331" t="s">
        <v>190</v>
      </c>
      <c r="ED110" s="331" t="s">
        <v>190</v>
      </c>
      <c r="EE110" s="331" t="s">
        <v>190</v>
      </c>
      <c r="EF110" s="331" t="s">
        <v>190</v>
      </c>
      <c r="EG110" s="331" t="s">
        <v>190</v>
      </c>
      <c r="EH110" s="331" t="s">
        <v>190</v>
      </c>
      <c r="EI110" s="331" t="s">
        <v>190</v>
      </c>
      <c r="EJ110" s="331" t="s">
        <v>190</v>
      </c>
      <c r="EK110" s="331" t="s">
        <v>190</v>
      </c>
      <c r="EL110" s="331" t="s">
        <v>190</v>
      </c>
      <c r="EM110" s="331" t="s">
        <v>190</v>
      </c>
      <c r="EN110" s="331" t="s">
        <v>190</v>
      </c>
      <c r="EO110" s="331" t="s">
        <v>190</v>
      </c>
      <c r="EP110" s="331" t="s">
        <v>190</v>
      </c>
      <c r="EQ110" s="331" t="s">
        <v>190</v>
      </c>
      <c r="ER110" s="331" t="s">
        <v>190</v>
      </c>
      <c r="ES110" s="331" t="s">
        <v>984</v>
      </c>
      <c r="ET110" s="331" t="s">
        <v>984</v>
      </c>
      <c r="EU110" s="331" t="s">
        <v>984</v>
      </c>
      <c r="EV110" s="331" t="s">
        <v>984</v>
      </c>
      <c r="EW110" s="331" t="s">
        <v>984</v>
      </c>
      <c r="EX110" s="331" t="s">
        <v>984</v>
      </c>
      <c r="EY110" s="331" t="s">
        <v>984</v>
      </c>
      <c r="EZ110" s="331" t="s">
        <v>984</v>
      </c>
      <c r="FA110" s="331" t="s">
        <v>984</v>
      </c>
      <c r="FB110" s="331" t="s">
        <v>190</v>
      </c>
      <c r="FC110" s="331" t="s">
        <v>984</v>
      </c>
      <c r="FD110" s="331" t="s">
        <v>984</v>
      </c>
      <c r="FE110" s="331" t="s">
        <v>984</v>
      </c>
      <c r="FF110" s="331" t="s">
        <v>984</v>
      </c>
      <c r="FG110" s="331" t="s">
        <v>984</v>
      </c>
      <c r="FH110" s="331" t="s">
        <v>984</v>
      </c>
      <c r="FI110" s="331" t="s">
        <v>984</v>
      </c>
      <c r="FJ110" s="331" t="s">
        <v>984</v>
      </c>
      <c r="FK110" s="331" t="s">
        <v>984</v>
      </c>
      <c r="FL110" s="331" t="s">
        <v>984</v>
      </c>
      <c r="FM110" s="331" t="s">
        <v>984</v>
      </c>
      <c r="FN110" s="331" t="s">
        <v>984</v>
      </c>
      <c r="FO110" s="331" t="s">
        <v>984</v>
      </c>
      <c r="FP110" s="331" t="s">
        <v>984</v>
      </c>
      <c r="FQ110" s="331" t="s">
        <v>984</v>
      </c>
      <c r="FR110" s="331" t="s">
        <v>428</v>
      </c>
      <c r="FS110" s="331" t="s">
        <v>190</v>
      </c>
      <c r="FT110" s="331" t="s">
        <v>984</v>
      </c>
      <c r="FU110" s="331" t="s">
        <v>190</v>
      </c>
      <c r="FV110" s="331" t="s">
        <v>190</v>
      </c>
      <c r="FW110" s="331" t="s">
        <v>190</v>
      </c>
      <c r="FX110" s="331" t="s">
        <v>428</v>
      </c>
      <c r="FY110" s="331" t="s">
        <v>984</v>
      </c>
      <c r="FZ110" s="331" t="s">
        <v>190</v>
      </c>
      <c r="GA110" s="331" t="s">
        <v>984</v>
      </c>
      <c r="GB110" s="331" t="s">
        <v>984</v>
      </c>
      <c r="GC110" s="331" t="s">
        <v>428</v>
      </c>
      <c r="GD110" s="331" t="s">
        <v>984</v>
      </c>
      <c r="GE110" s="331" t="s">
        <v>984</v>
      </c>
      <c r="GF110" s="331" t="s">
        <v>984</v>
      </c>
      <c r="GG110" s="331" t="s">
        <v>984</v>
      </c>
      <c r="GH110" s="331" t="s">
        <v>984</v>
      </c>
      <c r="GI110" s="331" t="s">
        <v>984</v>
      </c>
      <c r="GJ110" s="331" t="s">
        <v>984</v>
      </c>
      <c r="GK110" s="331" t="s">
        <v>190</v>
      </c>
      <c r="GL110" s="331" t="s">
        <v>984</v>
      </c>
      <c r="GM110" s="331" t="s">
        <v>984</v>
      </c>
      <c r="GN110" s="331" t="s">
        <v>984</v>
      </c>
      <c r="GO110" s="331" t="s">
        <v>984</v>
      </c>
      <c r="GP110" s="331" t="s">
        <v>984</v>
      </c>
      <c r="GQ110" s="331" t="s">
        <v>984</v>
      </c>
      <c r="GR110" s="331" t="s">
        <v>190</v>
      </c>
      <c r="GS110" s="331" t="s">
        <v>984</v>
      </c>
      <c r="GT110" s="331" t="s">
        <v>984</v>
      </c>
      <c r="GU110" s="331" t="s">
        <v>984</v>
      </c>
      <c r="GV110" s="331" t="s">
        <v>984</v>
      </c>
      <c r="GW110" s="331" t="s">
        <v>190</v>
      </c>
      <c r="GX110" s="331" t="s">
        <v>190</v>
      </c>
      <c r="GY110" s="331" t="s">
        <v>190</v>
      </c>
      <c r="GZ110" s="331" t="s">
        <v>190</v>
      </c>
      <c r="HA110" s="331" t="s">
        <v>190</v>
      </c>
      <c r="HB110" s="331" t="s">
        <v>190</v>
      </c>
      <c r="HC110" s="331" t="s">
        <v>190</v>
      </c>
      <c r="HD110" s="331" t="s">
        <v>190</v>
      </c>
      <c r="HE110" s="331" t="s">
        <v>190</v>
      </c>
      <c r="HF110" s="331" t="s">
        <v>190</v>
      </c>
      <c r="HG110" s="331" t="s">
        <v>190</v>
      </c>
      <c r="HH110" s="331" t="s">
        <v>190</v>
      </c>
      <c r="HI110" s="331" t="s">
        <v>190</v>
      </c>
      <c r="HJ110" s="331" t="s">
        <v>190</v>
      </c>
      <c r="HK110" s="331" t="s">
        <v>190</v>
      </c>
      <c r="HL110" s="331" t="s">
        <v>190</v>
      </c>
      <c r="HM110" s="331" t="s">
        <v>191</v>
      </c>
      <c r="HN110" s="331" t="s">
        <v>191</v>
      </c>
      <c r="HO110" s="331" t="s">
        <v>191</v>
      </c>
      <c r="HP110" s="331" t="s">
        <v>190</v>
      </c>
      <c r="HQ110" s="331" t="s">
        <v>170</v>
      </c>
      <c r="HR110" s="331" t="s">
        <v>429</v>
      </c>
      <c r="HS110" s="331" t="s">
        <v>169</v>
      </c>
      <c r="HT110" s="331" t="s">
        <v>427</v>
      </c>
      <c r="HU110" s="331" t="s">
        <v>984</v>
      </c>
      <c r="HV110" s="331" t="s">
        <v>984</v>
      </c>
    </row>
    <row r="111" spans="1:230" s="70" customFormat="1" x14ac:dyDescent="0.25">
      <c r="A111" s="330" t="str">
        <f>HYPERLINK("http://www.ofsted.gov.uk/inspection-reports/find-inspection-report/provider/ELS/147546 ","Ofsted School Webpage")</f>
        <v>Ofsted School Webpage</v>
      </c>
      <c r="B111" s="331">
        <v>147546</v>
      </c>
      <c r="C111" s="331">
        <v>9386004</v>
      </c>
      <c r="D111" s="331" t="s">
        <v>2754</v>
      </c>
      <c r="E111" s="331" t="s">
        <v>167</v>
      </c>
      <c r="F111" s="331" t="s">
        <v>514</v>
      </c>
      <c r="G111" s="331" t="s">
        <v>514</v>
      </c>
      <c r="H111" s="331" t="s">
        <v>737</v>
      </c>
      <c r="I111" s="331" t="s">
        <v>2755</v>
      </c>
      <c r="J111" s="331" t="s">
        <v>434</v>
      </c>
      <c r="K111" s="331" t="s">
        <v>81</v>
      </c>
      <c r="L111" s="331" t="s">
        <v>81</v>
      </c>
      <c r="M111" s="331" t="s">
        <v>78</v>
      </c>
      <c r="N111" s="331" t="s">
        <v>424</v>
      </c>
      <c r="O111" s="331">
        <v>10126536</v>
      </c>
      <c r="P111" s="332">
        <v>43781</v>
      </c>
      <c r="Q111" s="332">
        <v>43781</v>
      </c>
      <c r="R111" s="332">
        <v>43802</v>
      </c>
      <c r="S111" s="331" t="s">
        <v>2583</v>
      </c>
      <c r="T111" s="331" t="s">
        <v>982</v>
      </c>
      <c r="U111" s="331" t="s">
        <v>427</v>
      </c>
      <c r="V111" s="331" t="s">
        <v>2584</v>
      </c>
      <c r="W111" s="331" t="s">
        <v>190</v>
      </c>
      <c r="X111" s="331" t="s">
        <v>190</v>
      </c>
      <c r="Y111" s="331" t="s">
        <v>190</v>
      </c>
      <c r="Z111" s="331" t="s">
        <v>190</v>
      </c>
      <c r="AA111" s="331" t="s">
        <v>190</v>
      </c>
      <c r="AB111" s="331" t="s">
        <v>190</v>
      </c>
      <c r="AC111" s="331" t="s">
        <v>190</v>
      </c>
      <c r="AD111" s="331" t="s">
        <v>190</v>
      </c>
      <c r="AE111" s="331" t="s">
        <v>428</v>
      </c>
      <c r="AF111" s="331" t="s">
        <v>190</v>
      </c>
      <c r="AG111" s="331" t="s">
        <v>190</v>
      </c>
      <c r="AH111" s="331" t="s">
        <v>190</v>
      </c>
      <c r="AI111" s="331" t="s">
        <v>190</v>
      </c>
      <c r="AJ111" s="331" t="s">
        <v>190</v>
      </c>
      <c r="AK111" s="331" t="s">
        <v>190</v>
      </c>
      <c r="AL111" s="331" t="s">
        <v>190</v>
      </c>
      <c r="AM111" s="331" t="s">
        <v>428</v>
      </c>
      <c r="AN111" s="331" t="s">
        <v>428</v>
      </c>
      <c r="AO111" s="331" t="s">
        <v>190</v>
      </c>
      <c r="AP111" s="331" t="s">
        <v>190</v>
      </c>
      <c r="AQ111" s="331" t="s">
        <v>190</v>
      </c>
      <c r="AR111" s="331" t="s">
        <v>190</v>
      </c>
      <c r="AS111" s="331" t="s">
        <v>190</v>
      </c>
      <c r="AT111" s="331" t="s">
        <v>190</v>
      </c>
      <c r="AU111" s="331" t="s">
        <v>190</v>
      </c>
      <c r="AV111" s="331" t="s">
        <v>190</v>
      </c>
      <c r="AW111" s="331" t="s">
        <v>190</v>
      </c>
      <c r="AX111" s="331" t="s">
        <v>190</v>
      </c>
      <c r="AY111" s="331" t="s">
        <v>190</v>
      </c>
      <c r="AZ111" s="331" t="s">
        <v>190</v>
      </c>
      <c r="BA111" s="331" t="s">
        <v>190</v>
      </c>
      <c r="BB111" s="331" t="s">
        <v>190</v>
      </c>
      <c r="BC111" s="331" t="s">
        <v>190</v>
      </c>
      <c r="BD111" s="331" t="s">
        <v>190</v>
      </c>
      <c r="BE111" s="331" t="s">
        <v>190</v>
      </c>
      <c r="BF111" s="331" t="s">
        <v>190</v>
      </c>
      <c r="BG111" s="331" t="s">
        <v>190</v>
      </c>
      <c r="BH111" s="331" t="s">
        <v>190</v>
      </c>
      <c r="BI111" s="331" t="s">
        <v>190</v>
      </c>
      <c r="BJ111" s="331" t="s">
        <v>190</v>
      </c>
      <c r="BK111" s="331" t="s">
        <v>190</v>
      </c>
      <c r="BL111" s="331" t="s">
        <v>190</v>
      </c>
      <c r="BM111" s="331" t="s">
        <v>190</v>
      </c>
      <c r="BN111" s="331" t="s">
        <v>190</v>
      </c>
      <c r="BO111" s="331" t="s">
        <v>190</v>
      </c>
      <c r="BP111" s="331" t="s">
        <v>190</v>
      </c>
      <c r="BQ111" s="331" t="s">
        <v>190</v>
      </c>
      <c r="BR111" s="331" t="s">
        <v>190</v>
      </c>
      <c r="BS111" s="331" t="s">
        <v>190</v>
      </c>
      <c r="BT111" s="331" t="s">
        <v>190</v>
      </c>
      <c r="BU111" s="331" t="s">
        <v>428</v>
      </c>
      <c r="BV111" s="331" t="s">
        <v>428</v>
      </c>
      <c r="BW111" s="331" t="s">
        <v>428</v>
      </c>
      <c r="BX111" s="331" t="s">
        <v>190</v>
      </c>
      <c r="BY111" s="331" t="s">
        <v>190</v>
      </c>
      <c r="BZ111" s="331" t="s">
        <v>190</v>
      </c>
      <c r="CA111" s="331" t="s">
        <v>190</v>
      </c>
      <c r="CB111" s="331" t="s">
        <v>190</v>
      </c>
      <c r="CC111" s="331" t="s">
        <v>190</v>
      </c>
      <c r="CD111" s="331" t="s">
        <v>190</v>
      </c>
      <c r="CE111" s="331" t="s">
        <v>190</v>
      </c>
      <c r="CF111" s="331" t="s">
        <v>190</v>
      </c>
      <c r="CG111" s="331" t="s">
        <v>190</v>
      </c>
      <c r="CH111" s="331" t="s">
        <v>190</v>
      </c>
      <c r="CI111" s="331" t="s">
        <v>190</v>
      </c>
      <c r="CJ111" s="331" t="s">
        <v>190</v>
      </c>
      <c r="CK111" s="331" t="s">
        <v>190</v>
      </c>
      <c r="CL111" s="331" t="s">
        <v>190</v>
      </c>
      <c r="CM111" s="331" t="s">
        <v>190</v>
      </c>
      <c r="CN111" s="331" t="s">
        <v>190</v>
      </c>
      <c r="CO111" s="331" t="s">
        <v>190</v>
      </c>
      <c r="CP111" s="331" t="s">
        <v>190</v>
      </c>
      <c r="CQ111" s="331" t="s">
        <v>190</v>
      </c>
      <c r="CR111" s="331" t="s">
        <v>190</v>
      </c>
      <c r="CS111" s="331" t="s">
        <v>190</v>
      </c>
      <c r="CT111" s="331" t="s">
        <v>190</v>
      </c>
      <c r="CU111" s="331" t="s">
        <v>428</v>
      </c>
      <c r="CV111" s="331" t="s">
        <v>190</v>
      </c>
      <c r="CW111" s="331" t="s">
        <v>190</v>
      </c>
      <c r="CX111" s="331" t="s">
        <v>190</v>
      </c>
      <c r="CY111" s="331" t="s">
        <v>190</v>
      </c>
      <c r="CZ111" s="331" t="s">
        <v>190</v>
      </c>
      <c r="DA111" s="331" t="s">
        <v>190</v>
      </c>
      <c r="DB111" s="331" t="s">
        <v>190</v>
      </c>
      <c r="DC111" s="331" t="s">
        <v>190</v>
      </c>
      <c r="DD111" s="331" t="s">
        <v>190</v>
      </c>
      <c r="DE111" s="331" t="s">
        <v>190</v>
      </c>
      <c r="DF111" s="331" t="s">
        <v>190</v>
      </c>
      <c r="DG111" s="331" t="s">
        <v>190</v>
      </c>
      <c r="DH111" s="331" t="s">
        <v>190</v>
      </c>
      <c r="DI111" s="331" t="s">
        <v>190</v>
      </c>
      <c r="DJ111" s="331" t="s">
        <v>428</v>
      </c>
      <c r="DK111" s="331" t="s">
        <v>190</v>
      </c>
      <c r="DL111" s="331" t="s">
        <v>190</v>
      </c>
      <c r="DM111" s="331" t="s">
        <v>190</v>
      </c>
      <c r="DN111" s="331" t="s">
        <v>190</v>
      </c>
      <c r="DO111" s="331" t="s">
        <v>190</v>
      </c>
      <c r="DP111" s="331" t="s">
        <v>190</v>
      </c>
      <c r="DQ111" s="331" t="s">
        <v>190</v>
      </c>
      <c r="DR111" s="331" t="s">
        <v>190</v>
      </c>
      <c r="DS111" s="331" t="s">
        <v>190</v>
      </c>
      <c r="DT111" s="331" t="s">
        <v>190</v>
      </c>
      <c r="DU111" s="331" t="s">
        <v>190</v>
      </c>
      <c r="DV111" s="331" t="s">
        <v>190</v>
      </c>
      <c r="DW111" s="331" t="s">
        <v>190</v>
      </c>
      <c r="DX111" s="331" t="s">
        <v>190</v>
      </c>
      <c r="DY111" s="331" t="s">
        <v>190</v>
      </c>
      <c r="DZ111" s="331" t="s">
        <v>190</v>
      </c>
      <c r="EA111" s="331" t="s">
        <v>190</v>
      </c>
      <c r="EB111" s="331" t="s">
        <v>190</v>
      </c>
      <c r="EC111" s="331" t="s">
        <v>190</v>
      </c>
      <c r="ED111" s="331" t="s">
        <v>190</v>
      </c>
      <c r="EE111" s="331" t="s">
        <v>190</v>
      </c>
      <c r="EF111" s="331" t="s">
        <v>190</v>
      </c>
      <c r="EG111" s="331" t="s">
        <v>190</v>
      </c>
      <c r="EH111" s="331" t="s">
        <v>190</v>
      </c>
      <c r="EI111" s="331" t="s">
        <v>190</v>
      </c>
      <c r="EJ111" s="331" t="s">
        <v>190</v>
      </c>
      <c r="EK111" s="331" t="s">
        <v>190</v>
      </c>
      <c r="EL111" s="331" t="s">
        <v>190</v>
      </c>
      <c r="EM111" s="331" t="s">
        <v>190</v>
      </c>
      <c r="EN111" s="331" t="s">
        <v>190</v>
      </c>
      <c r="EO111" s="331" t="s">
        <v>190</v>
      </c>
      <c r="EP111" s="331" t="s">
        <v>190</v>
      </c>
      <c r="EQ111" s="331" t="s">
        <v>190</v>
      </c>
      <c r="ER111" s="331" t="s">
        <v>190</v>
      </c>
      <c r="ES111" s="331" t="s">
        <v>190</v>
      </c>
      <c r="ET111" s="331" t="s">
        <v>190</v>
      </c>
      <c r="EU111" s="331" t="s">
        <v>190</v>
      </c>
      <c r="EV111" s="331" t="s">
        <v>190</v>
      </c>
      <c r="EW111" s="331" t="s">
        <v>190</v>
      </c>
      <c r="EX111" s="331" t="s">
        <v>190</v>
      </c>
      <c r="EY111" s="331" t="s">
        <v>190</v>
      </c>
      <c r="EZ111" s="331" t="s">
        <v>428</v>
      </c>
      <c r="FA111" s="331" t="s">
        <v>190</v>
      </c>
      <c r="FB111" s="331" t="s">
        <v>190</v>
      </c>
      <c r="FC111" s="331" t="s">
        <v>190</v>
      </c>
      <c r="FD111" s="331" t="s">
        <v>190</v>
      </c>
      <c r="FE111" s="331" t="s">
        <v>190</v>
      </c>
      <c r="FF111" s="331" t="s">
        <v>190</v>
      </c>
      <c r="FG111" s="331" t="s">
        <v>190</v>
      </c>
      <c r="FH111" s="331" t="s">
        <v>190</v>
      </c>
      <c r="FI111" s="331" t="s">
        <v>190</v>
      </c>
      <c r="FJ111" s="331" t="s">
        <v>190</v>
      </c>
      <c r="FK111" s="331" t="s">
        <v>190</v>
      </c>
      <c r="FL111" s="331" t="s">
        <v>190</v>
      </c>
      <c r="FM111" s="331" t="s">
        <v>190</v>
      </c>
      <c r="FN111" s="331" t="s">
        <v>190</v>
      </c>
      <c r="FO111" s="331" t="s">
        <v>190</v>
      </c>
      <c r="FP111" s="331" t="s">
        <v>190</v>
      </c>
      <c r="FQ111" s="331" t="s">
        <v>190</v>
      </c>
      <c r="FR111" s="331" t="s">
        <v>428</v>
      </c>
      <c r="FS111" s="331" t="s">
        <v>190</v>
      </c>
      <c r="FT111" s="331" t="s">
        <v>190</v>
      </c>
      <c r="FU111" s="331" t="s">
        <v>190</v>
      </c>
      <c r="FV111" s="331" t="s">
        <v>190</v>
      </c>
      <c r="FW111" s="331" t="s">
        <v>190</v>
      </c>
      <c r="FX111" s="331" t="s">
        <v>190</v>
      </c>
      <c r="FY111" s="331" t="s">
        <v>190</v>
      </c>
      <c r="FZ111" s="331" t="s">
        <v>190</v>
      </c>
      <c r="GA111" s="331" t="s">
        <v>190</v>
      </c>
      <c r="GB111" s="331" t="s">
        <v>190</v>
      </c>
      <c r="GC111" s="331" t="s">
        <v>190</v>
      </c>
      <c r="GD111" s="331" t="s">
        <v>190</v>
      </c>
      <c r="GE111" s="331" t="s">
        <v>190</v>
      </c>
      <c r="GF111" s="331" t="s">
        <v>190</v>
      </c>
      <c r="GG111" s="331" t="s">
        <v>428</v>
      </c>
      <c r="GH111" s="331" t="s">
        <v>190</v>
      </c>
      <c r="GI111" s="331" t="s">
        <v>428</v>
      </c>
      <c r="GJ111" s="331" t="s">
        <v>190</v>
      </c>
      <c r="GK111" s="331" t="s">
        <v>190</v>
      </c>
      <c r="GL111" s="331" t="s">
        <v>190</v>
      </c>
      <c r="GM111" s="331" t="s">
        <v>190</v>
      </c>
      <c r="GN111" s="331" t="s">
        <v>190</v>
      </c>
      <c r="GO111" s="331" t="s">
        <v>190</v>
      </c>
      <c r="GP111" s="331" t="s">
        <v>190</v>
      </c>
      <c r="GQ111" s="331" t="s">
        <v>190</v>
      </c>
      <c r="GR111" s="331" t="s">
        <v>190</v>
      </c>
      <c r="GS111" s="331" t="s">
        <v>190</v>
      </c>
      <c r="GT111" s="331" t="s">
        <v>190</v>
      </c>
      <c r="GU111" s="331" t="s">
        <v>190</v>
      </c>
      <c r="GV111" s="331" t="s">
        <v>190</v>
      </c>
      <c r="GW111" s="331" t="s">
        <v>190</v>
      </c>
      <c r="GX111" s="331" t="s">
        <v>190</v>
      </c>
      <c r="GY111" s="331" t="s">
        <v>190</v>
      </c>
      <c r="GZ111" s="331" t="s">
        <v>190</v>
      </c>
      <c r="HA111" s="331" t="s">
        <v>190</v>
      </c>
      <c r="HB111" s="331" t="s">
        <v>190</v>
      </c>
      <c r="HC111" s="331" t="s">
        <v>190</v>
      </c>
      <c r="HD111" s="331" t="s">
        <v>190</v>
      </c>
      <c r="HE111" s="331" t="s">
        <v>190</v>
      </c>
      <c r="HF111" s="331" t="s">
        <v>190</v>
      </c>
      <c r="HG111" s="331" t="s">
        <v>190</v>
      </c>
      <c r="HH111" s="331" t="s">
        <v>190</v>
      </c>
      <c r="HI111" s="331" t="s">
        <v>190</v>
      </c>
      <c r="HJ111" s="331" t="s">
        <v>190</v>
      </c>
      <c r="HK111" s="331" t="s">
        <v>190</v>
      </c>
      <c r="HL111" s="331" t="s">
        <v>190</v>
      </c>
      <c r="HM111" s="331" t="s">
        <v>190</v>
      </c>
      <c r="HN111" s="331" t="s">
        <v>190</v>
      </c>
      <c r="HO111" s="331" t="s">
        <v>190</v>
      </c>
      <c r="HP111" s="331" t="s">
        <v>190</v>
      </c>
      <c r="HQ111" s="331" t="s">
        <v>170</v>
      </c>
      <c r="HR111" s="331" t="s">
        <v>429</v>
      </c>
      <c r="HS111" s="331" t="s">
        <v>169</v>
      </c>
      <c r="HT111" s="331" t="s">
        <v>427</v>
      </c>
      <c r="HU111" s="331" t="s">
        <v>428</v>
      </c>
      <c r="HV111" s="331" t="s">
        <v>428</v>
      </c>
    </row>
    <row r="112" spans="1:230" s="70" customFormat="1" x14ac:dyDescent="0.25">
      <c r="A112" s="330" t="str">
        <f>HYPERLINK("http://www.ofsted.gov.uk/inspection-reports/find-inspection-report/provider/ELS/143018 ","Ofsted School Webpage")</f>
        <v>Ofsted School Webpage</v>
      </c>
      <c r="B112" s="331">
        <v>143018</v>
      </c>
      <c r="C112" s="331">
        <v>9166006</v>
      </c>
      <c r="D112" s="331" t="s">
        <v>2756</v>
      </c>
      <c r="E112" s="331" t="s">
        <v>167</v>
      </c>
      <c r="F112" s="331" t="s">
        <v>422</v>
      </c>
      <c r="G112" s="331" t="s">
        <v>422</v>
      </c>
      <c r="H112" s="331" t="s">
        <v>846</v>
      </c>
      <c r="I112" s="331" t="s">
        <v>1011</v>
      </c>
      <c r="J112" s="331" t="s">
        <v>81</v>
      </c>
      <c r="K112" s="331" t="s">
        <v>81</v>
      </c>
      <c r="L112" s="331" t="s">
        <v>81</v>
      </c>
      <c r="M112" s="331" t="s">
        <v>78</v>
      </c>
      <c r="N112" s="331" t="s">
        <v>424</v>
      </c>
      <c r="O112" s="331">
        <v>10118366</v>
      </c>
      <c r="P112" s="332">
        <v>43781</v>
      </c>
      <c r="Q112" s="332">
        <v>43781</v>
      </c>
      <c r="R112" s="332">
        <v>43801</v>
      </c>
      <c r="S112" s="331" t="s">
        <v>985</v>
      </c>
      <c r="T112" s="331" t="s">
        <v>982</v>
      </c>
      <c r="U112" s="331" t="s">
        <v>427</v>
      </c>
      <c r="V112" s="331" t="s">
        <v>165</v>
      </c>
      <c r="W112" s="331" t="s">
        <v>984</v>
      </c>
      <c r="X112" s="331" t="s">
        <v>984</v>
      </c>
      <c r="Y112" s="331" t="s">
        <v>984</v>
      </c>
      <c r="Z112" s="331" t="s">
        <v>984</v>
      </c>
      <c r="AA112" s="331" t="s">
        <v>984</v>
      </c>
      <c r="AB112" s="331" t="s">
        <v>984</v>
      </c>
      <c r="AC112" s="331" t="s">
        <v>984</v>
      </c>
      <c r="AD112" s="331" t="s">
        <v>984</v>
      </c>
      <c r="AE112" s="331" t="s">
        <v>984</v>
      </c>
      <c r="AF112" s="331" t="s">
        <v>984</v>
      </c>
      <c r="AG112" s="331" t="s">
        <v>984</v>
      </c>
      <c r="AH112" s="331" t="s">
        <v>984</v>
      </c>
      <c r="AI112" s="331" t="s">
        <v>984</v>
      </c>
      <c r="AJ112" s="331" t="s">
        <v>984</v>
      </c>
      <c r="AK112" s="331" t="s">
        <v>984</v>
      </c>
      <c r="AL112" s="331" t="s">
        <v>984</v>
      </c>
      <c r="AM112" s="331" t="s">
        <v>984</v>
      </c>
      <c r="AN112" s="331" t="s">
        <v>984</v>
      </c>
      <c r="AO112" s="331" t="s">
        <v>984</v>
      </c>
      <c r="AP112" s="331" t="s">
        <v>984</v>
      </c>
      <c r="AQ112" s="331" t="s">
        <v>190</v>
      </c>
      <c r="AR112" s="331" t="s">
        <v>190</v>
      </c>
      <c r="AS112" s="331" t="s">
        <v>190</v>
      </c>
      <c r="AT112" s="331" t="s">
        <v>190</v>
      </c>
      <c r="AU112" s="331" t="s">
        <v>190</v>
      </c>
      <c r="AV112" s="331" t="s">
        <v>984</v>
      </c>
      <c r="AW112" s="331" t="s">
        <v>984</v>
      </c>
      <c r="AX112" s="331" t="s">
        <v>984</v>
      </c>
      <c r="AY112" s="331" t="s">
        <v>984</v>
      </c>
      <c r="AZ112" s="331" t="s">
        <v>984</v>
      </c>
      <c r="BA112" s="331" t="s">
        <v>984</v>
      </c>
      <c r="BB112" s="331" t="s">
        <v>984</v>
      </c>
      <c r="BC112" s="331" t="s">
        <v>984</v>
      </c>
      <c r="BD112" s="331" t="s">
        <v>984</v>
      </c>
      <c r="BE112" s="331" t="s">
        <v>984</v>
      </c>
      <c r="BF112" s="331" t="s">
        <v>984</v>
      </c>
      <c r="BG112" s="331" t="s">
        <v>984</v>
      </c>
      <c r="BH112" s="331" t="s">
        <v>984</v>
      </c>
      <c r="BI112" s="331" t="s">
        <v>984</v>
      </c>
      <c r="BJ112" s="331" t="s">
        <v>984</v>
      </c>
      <c r="BK112" s="331" t="s">
        <v>984</v>
      </c>
      <c r="BL112" s="331" t="s">
        <v>984</v>
      </c>
      <c r="BM112" s="331" t="s">
        <v>984</v>
      </c>
      <c r="BN112" s="331" t="s">
        <v>984</v>
      </c>
      <c r="BO112" s="331" t="s">
        <v>984</v>
      </c>
      <c r="BP112" s="331" t="s">
        <v>984</v>
      </c>
      <c r="BQ112" s="331" t="s">
        <v>984</v>
      </c>
      <c r="BR112" s="331" t="s">
        <v>190</v>
      </c>
      <c r="BS112" s="331" t="s">
        <v>190</v>
      </c>
      <c r="BT112" s="331" t="s">
        <v>190</v>
      </c>
      <c r="BU112" s="331" t="s">
        <v>428</v>
      </c>
      <c r="BV112" s="331" t="s">
        <v>428</v>
      </c>
      <c r="BW112" s="331" t="s">
        <v>428</v>
      </c>
      <c r="BX112" s="331" t="s">
        <v>984</v>
      </c>
      <c r="BY112" s="331" t="s">
        <v>984</v>
      </c>
      <c r="BZ112" s="331" t="s">
        <v>984</v>
      </c>
      <c r="CA112" s="331" t="s">
        <v>984</v>
      </c>
      <c r="CB112" s="331" t="s">
        <v>984</v>
      </c>
      <c r="CC112" s="331" t="s">
        <v>984</v>
      </c>
      <c r="CD112" s="331" t="s">
        <v>984</v>
      </c>
      <c r="CE112" s="331" t="s">
        <v>984</v>
      </c>
      <c r="CF112" s="331" t="s">
        <v>984</v>
      </c>
      <c r="CG112" s="331" t="s">
        <v>984</v>
      </c>
      <c r="CH112" s="331" t="s">
        <v>984</v>
      </c>
      <c r="CI112" s="331" t="s">
        <v>984</v>
      </c>
      <c r="CJ112" s="331" t="s">
        <v>984</v>
      </c>
      <c r="CK112" s="331" t="s">
        <v>190</v>
      </c>
      <c r="CL112" s="331" t="s">
        <v>190</v>
      </c>
      <c r="CM112" s="331" t="s">
        <v>190</v>
      </c>
      <c r="CN112" s="331" t="s">
        <v>190</v>
      </c>
      <c r="CO112" s="331" t="s">
        <v>190</v>
      </c>
      <c r="CP112" s="331" t="s">
        <v>190</v>
      </c>
      <c r="CQ112" s="331" t="s">
        <v>190</v>
      </c>
      <c r="CR112" s="331" t="s">
        <v>190</v>
      </c>
      <c r="CS112" s="331" t="s">
        <v>190</v>
      </c>
      <c r="CT112" s="331" t="s">
        <v>190</v>
      </c>
      <c r="CU112" s="331" t="s">
        <v>428</v>
      </c>
      <c r="CV112" s="331" t="s">
        <v>190</v>
      </c>
      <c r="CW112" s="331" t="s">
        <v>190</v>
      </c>
      <c r="CX112" s="331" t="s">
        <v>190</v>
      </c>
      <c r="CY112" s="331" t="s">
        <v>190</v>
      </c>
      <c r="CZ112" s="331" t="s">
        <v>190</v>
      </c>
      <c r="DA112" s="331" t="s">
        <v>190</v>
      </c>
      <c r="DB112" s="331" t="s">
        <v>190</v>
      </c>
      <c r="DC112" s="331" t="s">
        <v>190</v>
      </c>
      <c r="DD112" s="331" t="s">
        <v>190</v>
      </c>
      <c r="DE112" s="331" t="s">
        <v>190</v>
      </c>
      <c r="DF112" s="331" t="s">
        <v>190</v>
      </c>
      <c r="DG112" s="331" t="s">
        <v>190</v>
      </c>
      <c r="DH112" s="331" t="s">
        <v>190</v>
      </c>
      <c r="DI112" s="331" t="s">
        <v>190</v>
      </c>
      <c r="DJ112" s="331" t="s">
        <v>428</v>
      </c>
      <c r="DK112" s="331" t="s">
        <v>190</v>
      </c>
      <c r="DL112" s="331" t="s">
        <v>428</v>
      </c>
      <c r="DM112" s="331" t="s">
        <v>428</v>
      </c>
      <c r="DN112" s="331" t="s">
        <v>428</v>
      </c>
      <c r="DO112" s="331" t="s">
        <v>428</v>
      </c>
      <c r="DP112" s="331" t="s">
        <v>428</v>
      </c>
      <c r="DQ112" s="331" t="s">
        <v>428</v>
      </c>
      <c r="DR112" s="331" t="s">
        <v>428</v>
      </c>
      <c r="DS112" s="331" t="s">
        <v>428</v>
      </c>
      <c r="DT112" s="331" t="s">
        <v>428</v>
      </c>
      <c r="DU112" s="331" t="s">
        <v>190</v>
      </c>
      <c r="DV112" s="331" t="s">
        <v>190</v>
      </c>
      <c r="DW112" s="331" t="s">
        <v>190</v>
      </c>
      <c r="DX112" s="331" t="s">
        <v>190</v>
      </c>
      <c r="DY112" s="331" t="s">
        <v>190</v>
      </c>
      <c r="DZ112" s="331" t="s">
        <v>190</v>
      </c>
      <c r="EA112" s="331" t="s">
        <v>190</v>
      </c>
      <c r="EB112" s="331" t="s">
        <v>190</v>
      </c>
      <c r="EC112" s="331" t="s">
        <v>190</v>
      </c>
      <c r="ED112" s="331" t="s">
        <v>190</v>
      </c>
      <c r="EE112" s="331" t="s">
        <v>190</v>
      </c>
      <c r="EF112" s="331" t="s">
        <v>190</v>
      </c>
      <c r="EG112" s="331" t="s">
        <v>190</v>
      </c>
      <c r="EH112" s="331" t="s">
        <v>428</v>
      </c>
      <c r="EI112" s="331" t="s">
        <v>190</v>
      </c>
      <c r="EJ112" s="331" t="s">
        <v>190</v>
      </c>
      <c r="EK112" s="331" t="s">
        <v>190</v>
      </c>
      <c r="EL112" s="331" t="s">
        <v>190</v>
      </c>
      <c r="EM112" s="331" t="s">
        <v>428</v>
      </c>
      <c r="EN112" s="331" t="s">
        <v>428</v>
      </c>
      <c r="EO112" s="331" t="s">
        <v>190</v>
      </c>
      <c r="EP112" s="331" t="s">
        <v>428</v>
      </c>
      <c r="EQ112" s="331" t="s">
        <v>428</v>
      </c>
      <c r="ER112" s="331" t="s">
        <v>428</v>
      </c>
      <c r="ES112" s="331" t="s">
        <v>984</v>
      </c>
      <c r="ET112" s="331" t="s">
        <v>984</v>
      </c>
      <c r="EU112" s="331" t="s">
        <v>984</v>
      </c>
      <c r="EV112" s="331" t="s">
        <v>984</v>
      </c>
      <c r="EW112" s="331" t="s">
        <v>984</v>
      </c>
      <c r="EX112" s="331" t="s">
        <v>984</v>
      </c>
      <c r="EY112" s="331" t="s">
        <v>984</v>
      </c>
      <c r="EZ112" s="331" t="s">
        <v>984</v>
      </c>
      <c r="FA112" s="331" t="s">
        <v>984</v>
      </c>
      <c r="FB112" s="331" t="s">
        <v>984</v>
      </c>
      <c r="FC112" s="331" t="s">
        <v>984</v>
      </c>
      <c r="FD112" s="331" t="s">
        <v>984</v>
      </c>
      <c r="FE112" s="331" t="s">
        <v>984</v>
      </c>
      <c r="FF112" s="331" t="s">
        <v>984</v>
      </c>
      <c r="FG112" s="331" t="s">
        <v>984</v>
      </c>
      <c r="FH112" s="331" t="s">
        <v>984</v>
      </c>
      <c r="FI112" s="331" t="s">
        <v>984</v>
      </c>
      <c r="FJ112" s="331" t="s">
        <v>984</v>
      </c>
      <c r="FK112" s="331" t="s">
        <v>984</v>
      </c>
      <c r="FL112" s="331" t="s">
        <v>984</v>
      </c>
      <c r="FM112" s="331" t="s">
        <v>984</v>
      </c>
      <c r="FN112" s="331" t="s">
        <v>984</v>
      </c>
      <c r="FO112" s="331" t="s">
        <v>984</v>
      </c>
      <c r="FP112" s="331" t="s">
        <v>984</v>
      </c>
      <c r="FQ112" s="331" t="s">
        <v>984</v>
      </c>
      <c r="FR112" s="331" t="s">
        <v>428</v>
      </c>
      <c r="FS112" s="331" t="s">
        <v>190</v>
      </c>
      <c r="FT112" s="331" t="s">
        <v>984</v>
      </c>
      <c r="FU112" s="331" t="s">
        <v>984</v>
      </c>
      <c r="FV112" s="331" t="s">
        <v>190</v>
      </c>
      <c r="FW112" s="331" t="s">
        <v>984</v>
      </c>
      <c r="FX112" s="331" t="s">
        <v>428</v>
      </c>
      <c r="FY112" s="331" t="s">
        <v>984</v>
      </c>
      <c r="FZ112" s="331" t="s">
        <v>984</v>
      </c>
      <c r="GA112" s="331" t="s">
        <v>984</v>
      </c>
      <c r="GB112" s="331" t="s">
        <v>984</v>
      </c>
      <c r="GC112" s="331" t="s">
        <v>984</v>
      </c>
      <c r="GD112" s="331" t="s">
        <v>984</v>
      </c>
      <c r="GE112" s="331" t="s">
        <v>984</v>
      </c>
      <c r="GF112" s="331" t="s">
        <v>984</v>
      </c>
      <c r="GG112" s="331" t="s">
        <v>984</v>
      </c>
      <c r="GH112" s="331" t="s">
        <v>428</v>
      </c>
      <c r="GI112" s="331" t="s">
        <v>984</v>
      </c>
      <c r="GJ112" s="331" t="s">
        <v>984</v>
      </c>
      <c r="GK112" s="331" t="s">
        <v>984</v>
      </c>
      <c r="GL112" s="331" t="s">
        <v>984</v>
      </c>
      <c r="GM112" s="331" t="s">
        <v>984</v>
      </c>
      <c r="GN112" s="331" t="s">
        <v>984</v>
      </c>
      <c r="GO112" s="331" t="s">
        <v>984</v>
      </c>
      <c r="GP112" s="331" t="s">
        <v>984</v>
      </c>
      <c r="GQ112" s="331" t="s">
        <v>984</v>
      </c>
      <c r="GR112" s="331" t="s">
        <v>984</v>
      </c>
      <c r="GS112" s="331" t="s">
        <v>428</v>
      </c>
      <c r="GT112" s="331" t="s">
        <v>428</v>
      </c>
      <c r="GU112" s="331" t="s">
        <v>428</v>
      </c>
      <c r="GV112" s="331" t="s">
        <v>428</v>
      </c>
      <c r="GW112" s="331" t="s">
        <v>984</v>
      </c>
      <c r="GX112" s="331" t="s">
        <v>984</v>
      </c>
      <c r="GY112" s="331" t="s">
        <v>984</v>
      </c>
      <c r="GZ112" s="331" t="s">
        <v>984</v>
      </c>
      <c r="HA112" s="331" t="s">
        <v>984</v>
      </c>
      <c r="HB112" s="331" t="s">
        <v>984</v>
      </c>
      <c r="HC112" s="331" t="s">
        <v>984</v>
      </c>
      <c r="HD112" s="331" t="s">
        <v>984</v>
      </c>
      <c r="HE112" s="331" t="s">
        <v>984</v>
      </c>
      <c r="HF112" s="331" t="s">
        <v>984</v>
      </c>
      <c r="HG112" s="331" t="s">
        <v>984</v>
      </c>
      <c r="HH112" s="331" t="s">
        <v>984</v>
      </c>
      <c r="HI112" s="331" t="s">
        <v>984</v>
      </c>
      <c r="HJ112" s="331" t="s">
        <v>984</v>
      </c>
      <c r="HK112" s="331" t="s">
        <v>984</v>
      </c>
      <c r="HL112" s="331" t="s">
        <v>984</v>
      </c>
      <c r="HM112" s="331" t="s">
        <v>190</v>
      </c>
      <c r="HN112" s="331" t="s">
        <v>190</v>
      </c>
      <c r="HO112" s="331" t="s">
        <v>190</v>
      </c>
      <c r="HP112" s="331" t="s">
        <v>190</v>
      </c>
      <c r="HQ112" s="331" t="s">
        <v>170</v>
      </c>
      <c r="HR112" s="331" t="s">
        <v>429</v>
      </c>
      <c r="HS112" s="331" t="s">
        <v>169</v>
      </c>
      <c r="HT112" s="331" t="s">
        <v>427</v>
      </c>
      <c r="HU112" s="331" t="s">
        <v>428</v>
      </c>
      <c r="HV112" s="331" t="s">
        <v>428</v>
      </c>
    </row>
    <row r="113" spans="1:230" s="70" customFormat="1" x14ac:dyDescent="0.25">
      <c r="A113" s="330" t="str">
        <f>HYPERLINK("http://www.ofsted.gov.uk/inspection-reports/find-inspection-report/provider/ELS/144965 ","Ofsted School Webpage")</f>
        <v>Ofsted School Webpage</v>
      </c>
      <c r="B113" s="331">
        <v>144965</v>
      </c>
      <c r="C113" s="331">
        <v>2076014</v>
      </c>
      <c r="D113" s="331" t="s">
        <v>2479</v>
      </c>
      <c r="E113" s="331" t="s">
        <v>167</v>
      </c>
      <c r="F113" s="331" t="s">
        <v>441</v>
      </c>
      <c r="G113" s="331" t="s">
        <v>441</v>
      </c>
      <c r="H113" s="331" t="s">
        <v>567</v>
      </c>
      <c r="I113" s="331" t="s">
        <v>2480</v>
      </c>
      <c r="J113" s="331" t="s">
        <v>81</v>
      </c>
      <c r="K113" s="331" t="s">
        <v>81</v>
      </c>
      <c r="L113" s="331" t="s">
        <v>81</v>
      </c>
      <c r="M113" s="331" t="s">
        <v>78</v>
      </c>
      <c r="N113" s="331" t="s">
        <v>424</v>
      </c>
      <c r="O113" s="331">
        <v>10127803</v>
      </c>
      <c r="P113" s="332">
        <v>43781</v>
      </c>
      <c r="Q113" s="332">
        <v>43781</v>
      </c>
      <c r="R113" s="332">
        <v>43802</v>
      </c>
      <c r="S113" s="331" t="s">
        <v>981</v>
      </c>
      <c r="T113" s="331" t="s">
        <v>982</v>
      </c>
      <c r="U113" s="331" t="s">
        <v>427</v>
      </c>
      <c r="V113" s="331" t="s">
        <v>983</v>
      </c>
      <c r="W113" s="331" t="s">
        <v>984</v>
      </c>
      <c r="X113" s="331" t="s">
        <v>984</v>
      </c>
      <c r="Y113" s="331" t="s">
        <v>984</v>
      </c>
      <c r="Z113" s="331" t="s">
        <v>984</v>
      </c>
      <c r="AA113" s="331" t="s">
        <v>984</v>
      </c>
      <c r="AB113" s="331" t="s">
        <v>984</v>
      </c>
      <c r="AC113" s="331" t="s">
        <v>984</v>
      </c>
      <c r="AD113" s="331" t="s">
        <v>984</v>
      </c>
      <c r="AE113" s="331" t="s">
        <v>984</v>
      </c>
      <c r="AF113" s="331" t="s">
        <v>984</v>
      </c>
      <c r="AG113" s="331" t="s">
        <v>984</v>
      </c>
      <c r="AH113" s="331" t="s">
        <v>984</v>
      </c>
      <c r="AI113" s="331" t="s">
        <v>428</v>
      </c>
      <c r="AJ113" s="331" t="s">
        <v>428</v>
      </c>
      <c r="AK113" s="331" t="s">
        <v>428</v>
      </c>
      <c r="AL113" s="331" t="s">
        <v>428</v>
      </c>
      <c r="AM113" s="331" t="s">
        <v>984</v>
      </c>
      <c r="AN113" s="331" t="s">
        <v>428</v>
      </c>
      <c r="AO113" s="331" t="s">
        <v>984</v>
      </c>
      <c r="AP113" s="331" t="s">
        <v>984</v>
      </c>
      <c r="AQ113" s="331" t="s">
        <v>984</v>
      </c>
      <c r="AR113" s="331" t="s">
        <v>984</v>
      </c>
      <c r="AS113" s="331" t="s">
        <v>984</v>
      </c>
      <c r="AT113" s="331" t="s">
        <v>984</v>
      </c>
      <c r="AU113" s="331" t="s">
        <v>984</v>
      </c>
      <c r="AV113" s="331" t="s">
        <v>984</v>
      </c>
      <c r="AW113" s="331" t="s">
        <v>984</v>
      </c>
      <c r="AX113" s="331" t="s">
        <v>984</v>
      </c>
      <c r="AY113" s="331" t="s">
        <v>984</v>
      </c>
      <c r="AZ113" s="331" t="s">
        <v>984</v>
      </c>
      <c r="BA113" s="331" t="s">
        <v>984</v>
      </c>
      <c r="BB113" s="331" t="s">
        <v>984</v>
      </c>
      <c r="BC113" s="331" t="s">
        <v>984</v>
      </c>
      <c r="BD113" s="331" t="s">
        <v>984</v>
      </c>
      <c r="BE113" s="331" t="s">
        <v>984</v>
      </c>
      <c r="BF113" s="331" t="s">
        <v>984</v>
      </c>
      <c r="BG113" s="331" t="s">
        <v>984</v>
      </c>
      <c r="BH113" s="331" t="s">
        <v>984</v>
      </c>
      <c r="BI113" s="331" t="s">
        <v>984</v>
      </c>
      <c r="BJ113" s="331" t="s">
        <v>984</v>
      </c>
      <c r="BK113" s="331" t="s">
        <v>984</v>
      </c>
      <c r="BL113" s="331" t="s">
        <v>984</v>
      </c>
      <c r="BM113" s="331" t="s">
        <v>984</v>
      </c>
      <c r="BN113" s="331" t="s">
        <v>984</v>
      </c>
      <c r="BO113" s="331" t="s">
        <v>984</v>
      </c>
      <c r="BP113" s="331" t="s">
        <v>984</v>
      </c>
      <c r="BQ113" s="331" t="s">
        <v>984</v>
      </c>
      <c r="BR113" s="331" t="s">
        <v>190</v>
      </c>
      <c r="BS113" s="331" t="s">
        <v>190</v>
      </c>
      <c r="BT113" s="331" t="s">
        <v>190</v>
      </c>
      <c r="BU113" s="331" t="s">
        <v>428</v>
      </c>
      <c r="BV113" s="331" t="s">
        <v>428</v>
      </c>
      <c r="BW113" s="331" t="s">
        <v>428</v>
      </c>
      <c r="BX113" s="331" t="s">
        <v>984</v>
      </c>
      <c r="BY113" s="331" t="s">
        <v>984</v>
      </c>
      <c r="BZ113" s="331" t="s">
        <v>984</v>
      </c>
      <c r="CA113" s="331" t="s">
        <v>984</v>
      </c>
      <c r="CB113" s="331" t="s">
        <v>984</v>
      </c>
      <c r="CC113" s="331" t="s">
        <v>190</v>
      </c>
      <c r="CD113" s="331" t="s">
        <v>190</v>
      </c>
      <c r="CE113" s="331" t="s">
        <v>984</v>
      </c>
      <c r="CF113" s="331" t="s">
        <v>190</v>
      </c>
      <c r="CG113" s="331" t="s">
        <v>984</v>
      </c>
      <c r="CH113" s="331" t="s">
        <v>190</v>
      </c>
      <c r="CI113" s="331" t="s">
        <v>190</v>
      </c>
      <c r="CJ113" s="331" t="s">
        <v>190</v>
      </c>
      <c r="CK113" s="331" t="s">
        <v>190</v>
      </c>
      <c r="CL113" s="331" t="s">
        <v>190</v>
      </c>
      <c r="CM113" s="331" t="s">
        <v>190</v>
      </c>
      <c r="CN113" s="331" t="s">
        <v>190</v>
      </c>
      <c r="CO113" s="331" t="s">
        <v>190</v>
      </c>
      <c r="CP113" s="331" t="s">
        <v>190</v>
      </c>
      <c r="CQ113" s="331" t="s">
        <v>190</v>
      </c>
      <c r="CR113" s="331" t="s">
        <v>190</v>
      </c>
      <c r="CS113" s="331" t="s">
        <v>190</v>
      </c>
      <c r="CT113" s="331" t="s">
        <v>190</v>
      </c>
      <c r="CU113" s="331" t="s">
        <v>428</v>
      </c>
      <c r="CV113" s="331" t="s">
        <v>190</v>
      </c>
      <c r="CW113" s="331" t="s">
        <v>428</v>
      </c>
      <c r="CX113" s="331" t="s">
        <v>428</v>
      </c>
      <c r="CY113" s="331" t="s">
        <v>428</v>
      </c>
      <c r="CZ113" s="331" t="s">
        <v>428</v>
      </c>
      <c r="DA113" s="331" t="s">
        <v>428</v>
      </c>
      <c r="DB113" s="331" t="s">
        <v>428</v>
      </c>
      <c r="DC113" s="331" t="s">
        <v>428</v>
      </c>
      <c r="DD113" s="331" t="s">
        <v>428</v>
      </c>
      <c r="DE113" s="331" t="s">
        <v>428</v>
      </c>
      <c r="DF113" s="331" t="s">
        <v>428</v>
      </c>
      <c r="DG113" s="331" t="s">
        <v>428</v>
      </c>
      <c r="DH113" s="331" t="s">
        <v>428</v>
      </c>
      <c r="DI113" s="331" t="s">
        <v>428</v>
      </c>
      <c r="DJ113" s="331" t="s">
        <v>428</v>
      </c>
      <c r="DK113" s="331" t="s">
        <v>428</v>
      </c>
      <c r="DL113" s="331" t="s">
        <v>190</v>
      </c>
      <c r="DM113" s="331" t="s">
        <v>190</v>
      </c>
      <c r="DN113" s="331" t="s">
        <v>190</v>
      </c>
      <c r="DO113" s="331" t="s">
        <v>190</v>
      </c>
      <c r="DP113" s="331" t="s">
        <v>190</v>
      </c>
      <c r="DQ113" s="331" t="s">
        <v>190</v>
      </c>
      <c r="DR113" s="331" t="s">
        <v>190</v>
      </c>
      <c r="DS113" s="331" t="s">
        <v>190</v>
      </c>
      <c r="DT113" s="331" t="s">
        <v>190</v>
      </c>
      <c r="DU113" s="331" t="s">
        <v>190</v>
      </c>
      <c r="DV113" s="331" t="s">
        <v>190</v>
      </c>
      <c r="DW113" s="331" t="s">
        <v>190</v>
      </c>
      <c r="DX113" s="331" t="s">
        <v>190</v>
      </c>
      <c r="DY113" s="331" t="s">
        <v>190</v>
      </c>
      <c r="DZ113" s="331" t="s">
        <v>190</v>
      </c>
      <c r="EA113" s="331" t="s">
        <v>190</v>
      </c>
      <c r="EB113" s="331" t="s">
        <v>190</v>
      </c>
      <c r="EC113" s="331" t="s">
        <v>190</v>
      </c>
      <c r="ED113" s="331" t="s">
        <v>190</v>
      </c>
      <c r="EE113" s="331" t="s">
        <v>190</v>
      </c>
      <c r="EF113" s="331" t="s">
        <v>190</v>
      </c>
      <c r="EG113" s="331" t="s">
        <v>190</v>
      </c>
      <c r="EH113" s="331" t="s">
        <v>428</v>
      </c>
      <c r="EI113" s="331" t="s">
        <v>428</v>
      </c>
      <c r="EJ113" s="331" t="s">
        <v>428</v>
      </c>
      <c r="EK113" s="331" t="s">
        <v>428</v>
      </c>
      <c r="EL113" s="331" t="s">
        <v>428</v>
      </c>
      <c r="EM113" s="331" t="s">
        <v>428</v>
      </c>
      <c r="EN113" s="331" t="s">
        <v>428</v>
      </c>
      <c r="EO113" s="331" t="s">
        <v>190</v>
      </c>
      <c r="EP113" s="331" t="s">
        <v>428</v>
      </c>
      <c r="EQ113" s="331" t="s">
        <v>428</v>
      </c>
      <c r="ER113" s="331" t="s">
        <v>428</v>
      </c>
      <c r="ES113" s="331" t="s">
        <v>190</v>
      </c>
      <c r="ET113" s="331" t="s">
        <v>190</v>
      </c>
      <c r="EU113" s="331" t="s">
        <v>190</v>
      </c>
      <c r="EV113" s="331" t="s">
        <v>428</v>
      </c>
      <c r="EW113" s="331" t="s">
        <v>190</v>
      </c>
      <c r="EX113" s="331" t="s">
        <v>190</v>
      </c>
      <c r="EY113" s="331" t="s">
        <v>190</v>
      </c>
      <c r="EZ113" s="331" t="s">
        <v>428</v>
      </c>
      <c r="FA113" s="331" t="s">
        <v>190</v>
      </c>
      <c r="FB113" s="331" t="s">
        <v>190</v>
      </c>
      <c r="FC113" s="331" t="s">
        <v>190</v>
      </c>
      <c r="FD113" s="331" t="s">
        <v>190</v>
      </c>
      <c r="FE113" s="331" t="s">
        <v>190</v>
      </c>
      <c r="FF113" s="331" t="s">
        <v>190</v>
      </c>
      <c r="FG113" s="331" t="s">
        <v>190</v>
      </c>
      <c r="FH113" s="331" t="s">
        <v>190</v>
      </c>
      <c r="FI113" s="331" t="s">
        <v>190</v>
      </c>
      <c r="FJ113" s="331" t="s">
        <v>190</v>
      </c>
      <c r="FK113" s="331" t="s">
        <v>190</v>
      </c>
      <c r="FL113" s="331" t="s">
        <v>190</v>
      </c>
      <c r="FM113" s="331" t="s">
        <v>190</v>
      </c>
      <c r="FN113" s="331" t="s">
        <v>190</v>
      </c>
      <c r="FO113" s="331" t="s">
        <v>190</v>
      </c>
      <c r="FP113" s="331" t="s">
        <v>190</v>
      </c>
      <c r="FQ113" s="331" t="s">
        <v>190</v>
      </c>
      <c r="FR113" s="331" t="s">
        <v>428</v>
      </c>
      <c r="FS113" s="331" t="s">
        <v>190</v>
      </c>
      <c r="FT113" s="331" t="s">
        <v>984</v>
      </c>
      <c r="FU113" s="331" t="s">
        <v>984</v>
      </c>
      <c r="FV113" s="331" t="s">
        <v>190</v>
      </c>
      <c r="FW113" s="331" t="s">
        <v>984</v>
      </c>
      <c r="FX113" s="331" t="s">
        <v>428</v>
      </c>
      <c r="FY113" s="331" t="s">
        <v>984</v>
      </c>
      <c r="FZ113" s="331" t="s">
        <v>984</v>
      </c>
      <c r="GA113" s="331" t="s">
        <v>428</v>
      </c>
      <c r="GB113" s="331" t="s">
        <v>428</v>
      </c>
      <c r="GC113" s="331" t="s">
        <v>984</v>
      </c>
      <c r="GD113" s="331" t="s">
        <v>984</v>
      </c>
      <c r="GE113" s="331" t="s">
        <v>984</v>
      </c>
      <c r="GF113" s="331" t="s">
        <v>984</v>
      </c>
      <c r="GG113" s="331" t="s">
        <v>984</v>
      </c>
      <c r="GH113" s="331" t="s">
        <v>984</v>
      </c>
      <c r="GI113" s="331" t="s">
        <v>984</v>
      </c>
      <c r="GJ113" s="331" t="s">
        <v>984</v>
      </c>
      <c r="GK113" s="331" t="s">
        <v>984</v>
      </c>
      <c r="GL113" s="331" t="s">
        <v>984</v>
      </c>
      <c r="GM113" s="331" t="s">
        <v>984</v>
      </c>
      <c r="GN113" s="331" t="s">
        <v>984</v>
      </c>
      <c r="GO113" s="331" t="s">
        <v>984</v>
      </c>
      <c r="GP113" s="331" t="s">
        <v>984</v>
      </c>
      <c r="GQ113" s="331" t="s">
        <v>984</v>
      </c>
      <c r="GR113" s="331" t="s">
        <v>984</v>
      </c>
      <c r="GS113" s="331" t="s">
        <v>428</v>
      </c>
      <c r="GT113" s="331" t="s">
        <v>428</v>
      </c>
      <c r="GU113" s="331" t="s">
        <v>428</v>
      </c>
      <c r="GV113" s="331" t="s">
        <v>428</v>
      </c>
      <c r="GW113" s="331" t="s">
        <v>984</v>
      </c>
      <c r="GX113" s="331" t="s">
        <v>984</v>
      </c>
      <c r="GY113" s="331" t="s">
        <v>984</v>
      </c>
      <c r="GZ113" s="331" t="s">
        <v>984</v>
      </c>
      <c r="HA113" s="331" t="s">
        <v>984</v>
      </c>
      <c r="HB113" s="331" t="s">
        <v>984</v>
      </c>
      <c r="HC113" s="331" t="s">
        <v>984</v>
      </c>
      <c r="HD113" s="331" t="s">
        <v>984</v>
      </c>
      <c r="HE113" s="331" t="s">
        <v>984</v>
      </c>
      <c r="HF113" s="331" t="s">
        <v>984</v>
      </c>
      <c r="HG113" s="331" t="s">
        <v>984</v>
      </c>
      <c r="HH113" s="331" t="s">
        <v>984</v>
      </c>
      <c r="HI113" s="331" t="s">
        <v>984</v>
      </c>
      <c r="HJ113" s="331" t="s">
        <v>984</v>
      </c>
      <c r="HK113" s="331" t="s">
        <v>984</v>
      </c>
      <c r="HL113" s="331" t="s">
        <v>984</v>
      </c>
      <c r="HM113" s="331" t="s">
        <v>190</v>
      </c>
      <c r="HN113" s="331" t="s">
        <v>190</v>
      </c>
      <c r="HO113" s="331" t="s">
        <v>190</v>
      </c>
      <c r="HP113" s="331" t="s">
        <v>190</v>
      </c>
      <c r="HQ113" s="331" t="s">
        <v>170</v>
      </c>
      <c r="HR113" s="331" t="s">
        <v>429</v>
      </c>
      <c r="HS113" s="331" t="s">
        <v>169</v>
      </c>
      <c r="HT113" s="331" t="s">
        <v>427</v>
      </c>
      <c r="HU113" s="331" t="s">
        <v>984</v>
      </c>
      <c r="HV113" s="331" t="s">
        <v>984</v>
      </c>
    </row>
    <row r="114" spans="1:230" s="70" customFormat="1" x14ac:dyDescent="0.25">
      <c r="A114" s="330" t="str">
        <f>HYPERLINK("http://www.ofsted.gov.uk/inspection-reports/find-inspection-report/provider/ELS/108419 ","Ofsted School Webpage")</f>
        <v>Ofsted School Webpage</v>
      </c>
      <c r="B114" s="331">
        <v>108419</v>
      </c>
      <c r="C114" s="331">
        <v>3906007</v>
      </c>
      <c r="D114" s="331" t="s">
        <v>786</v>
      </c>
      <c r="E114" s="331" t="s">
        <v>167</v>
      </c>
      <c r="F114" s="331" t="s">
        <v>458</v>
      </c>
      <c r="G114" s="331" t="s">
        <v>474</v>
      </c>
      <c r="H114" s="331" t="s">
        <v>787</v>
      </c>
      <c r="I114" s="331" t="s">
        <v>788</v>
      </c>
      <c r="J114" s="331" t="s">
        <v>81</v>
      </c>
      <c r="K114" s="331" t="s">
        <v>69</v>
      </c>
      <c r="L114" s="331" t="s">
        <v>69</v>
      </c>
      <c r="M114" s="331" t="s">
        <v>69</v>
      </c>
      <c r="N114" s="331" t="s">
        <v>424</v>
      </c>
      <c r="O114" s="331">
        <v>10118333</v>
      </c>
      <c r="P114" s="332">
        <v>43781</v>
      </c>
      <c r="Q114" s="332">
        <v>43781</v>
      </c>
      <c r="R114" s="332">
        <v>43808</v>
      </c>
      <c r="S114" s="331" t="s">
        <v>985</v>
      </c>
      <c r="T114" s="331" t="s">
        <v>982</v>
      </c>
      <c r="U114" s="331" t="s">
        <v>427</v>
      </c>
      <c r="V114" s="331" t="s">
        <v>165</v>
      </c>
      <c r="W114" s="331" t="s">
        <v>190</v>
      </c>
      <c r="X114" s="331" t="s">
        <v>190</v>
      </c>
      <c r="Y114" s="331" t="s">
        <v>190</v>
      </c>
      <c r="Z114" s="331" t="s">
        <v>190</v>
      </c>
      <c r="AA114" s="331" t="s">
        <v>190</v>
      </c>
      <c r="AB114" s="331" t="s">
        <v>190</v>
      </c>
      <c r="AC114" s="331" t="s">
        <v>190</v>
      </c>
      <c r="AD114" s="331" t="s">
        <v>190</v>
      </c>
      <c r="AE114" s="331" t="s">
        <v>428</v>
      </c>
      <c r="AF114" s="331" t="s">
        <v>190</v>
      </c>
      <c r="AG114" s="331" t="s">
        <v>190</v>
      </c>
      <c r="AH114" s="331" t="s">
        <v>190</v>
      </c>
      <c r="AI114" s="331" t="s">
        <v>428</v>
      </c>
      <c r="AJ114" s="331" t="s">
        <v>428</v>
      </c>
      <c r="AK114" s="331" t="s">
        <v>428</v>
      </c>
      <c r="AL114" s="331" t="s">
        <v>428</v>
      </c>
      <c r="AM114" s="331" t="s">
        <v>190</v>
      </c>
      <c r="AN114" s="331" t="s">
        <v>428</v>
      </c>
      <c r="AO114" s="331" t="s">
        <v>190</v>
      </c>
      <c r="AP114" s="331" t="s">
        <v>190</v>
      </c>
      <c r="AQ114" s="331" t="s">
        <v>190</v>
      </c>
      <c r="AR114" s="331" t="s">
        <v>190</v>
      </c>
      <c r="AS114" s="331" t="s">
        <v>190</v>
      </c>
      <c r="AT114" s="331" t="s">
        <v>190</v>
      </c>
      <c r="AU114" s="331" t="s">
        <v>190</v>
      </c>
      <c r="AV114" s="331" t="s">
        <v>190</v>
      </c>
      <c r="AW114" s="331" t="s">
        <v>190</v>
      </c>
      <c r="AX114" s="331" t="s">
        <v>190</v>
      </c>
      <c r="AY114" s="331" t="s">
        <v>190</v>
      </c>
      <c r="AZ114" s="331" t="s">
        <v>190</v>
      </c>
      <c r="BA114" s="331" t="s">
        <v>190</v>
      </c>
      <c r="BB114" s="331" t="s">
        <v>190</v>
      </c>
      <c r="BC114" s="331" t="s">
        <v>190</v>
      </c>
      <c r="BD114" s="331" t="s">
        <v>190</v>
      </c>
      <c r="BE114" s="331" t="s">
        <v>190</v>
      </c>
      <c r="BF114" s="331" t="s">
        <v>190</v>
      </c>
      <c r="BG114" s="331" t="s">
        <v>190</v>
      </c>
      <c r="BH114" s="331" t="s">
        <v>190</v>
      </c>
      <c r="BI114" s="331" t="s">
        <v>190</v>
      </c>
      <c r="BJ114" s="331" t="s">
        <v>190</v>
      </c>
      <c r="BK114" s="331" t="s">
        <v>190</v>
      </c>
      <c r="BL114" s="331" t="s">
        <v>190</v>
      </c>
      <c r="BM114" s="331" t="s">
        <v>190</v>
      </c>
      <c r="BN114" s="331" t="s">
        <v>190</v>
      </c>
      <c r="BO114" s="331" t="s">
        <v>190</v>
      </c>
      <c r="BP114" s="331" t="s">
        <v>190</v>
      </c>
      <c r="BQ114" s="331" t="s">
        <v>190</v>
      </c>
      <c r="BR114" s="331" t="s">
        <v>190</v>
      </c>
      <c r="BS114" s="331" t="s">
        <v>190</v>
      </c>
      <c r="BT114" s="331" t="s">
        <v>190</v>
      </c>
      <c r="BU114" s="331" t="s">
        <v>428</v>
      </c>
      <c r="BV114" s="331" t="s">
        <v>428</v>
      </c>
      <c r="BW114" s="331" t="s">
        <v>428</v>
      </c>
      <c r="BX114" s="331" t="s">
        <v>190</v>
      </c>
      <c r="BY114" s="331" t="s">
        <v>190</v>
      </c>
      <c r="BZ114" s="331" t="s">
        <v>190</v>
      </c>
      <c r="CA114" s="331" t="s">
        <v>190</v>
      </c>
      <c r="CB114" s="331" t="s">
        <v>190</v>
      </c>
      <c r="CC114" s="331" t="s">
        <v>190</v>
      </c>
      <c r="CD114" s="331" t="s">
        <v>190</v>
      </c>
      <c r="CE114" s="331" t="s">
        <v>190</v>
      </c>
      <c r="CF114" s="331" t="s">
        <v>190</v>
      </c>
      <c r="CG114" s="331" t="s">
        <v>190</v>
      </c>
      <c r="CH114" s="331" t="s">
        <v>190</v>
      </c>
      <c r="CI114" s="331" t="s">
        <v>190</v>
      </c>
      <c r="CJ114" s="331" t="s">
        <v>190</v>
      </c>
      <c r="CK114" s="331" t="s">
        <v>190</v>
      </c>
      <c r="CL114" s="331" t="s">
        <v>190</v>
      </c>
      <c r="CM114" s="331" t="s">
        <v>190</v>
      </c>
      <c r="CN114" s="331" t="s">
        <v>190</v>
      </c>
      <c r="CO114" s="331" t="s">
        <v>190</v>
      </c>
      <c r="CP114" s="331" t="s">
        <v>190</v>
      </c>
      <c r="CQ114" s="331" t="s">
        <v>190</v>
      </c>
      <c r="CR114" s="331" t="s">
        <v>190</v>
      </c>
      <c r="CS114" s="331" t="s">
        <v>190</v>
      </c>
      <c r="CT114" s="331" t="s">
        <v>428</v>
      </c>
      <c r="CU114" s="331" t="s">
        <v>428</v>
      </c>
      <c r="CV114" s="331" t="s">
        <v>190</v>
      </c>
      <c r="CW114" s="331" t="s">
        <v>428</v>
      </c>
      <c r="CX114" s="331" t="s">
        <v>428</v>
      </c>
      <c r="CY114" s="331" t="s">
        <v>428</v>
      </c>
      <c r="CZ114" s="331" t="s">
        <v>428</v>
      </c>
      <c r="DA114" s="331" t="s">
        <v>428</v>
      </c>
      <c r="DB114" s="331" t="s">
        <v>428</v>
      </c>
      <c r="DC114" s="331" t="s">
        <v>428</v>
      </c>
      <c r="DD114" s="331" t="s">
        <v>428</v>
      </c>
      <c r="DE114" s="331" t="s">
        <v>428</v>
      </c>
      <c r="DF114" s="331" t="s">
        <v>428</v>
      </c>
      <c r="DG114" s="331" t="s">
        <v>428</v>
      </c>
      <c r="DH114" s="331" t="s">
        <v>428</v>
      </c>
      <c r="DI114" s="331" t="s">
        <v>428</v>
      </c>
      <c r="DJ114" s="331" t="s">
        <v>428</v>
      </c>
      <c r="DK114" s="331" t="s">
        <v>428</v>
      </c>
      <c r="DL114" s="331" t="s">
        <v>190</v>
      </c>
      <c r="DM114" s="331" t="s">
        <v>190</v>
      </c>
      <c r="DN114" s="331" t="s">
        <v>190</v>
      </c>
      <c r="DO114" s="331" t="s">
        <v>190</v>
      </c>
      <c r="DP114" s="331" t="s">
        <v>190</v>
      </c>
      <c r="DQ114" s="331" t="s">
        <v>190</v>
      </c>
      <c r="DR114" s="331" t="s">
        <v>190</v>
      </c>
      <c r="DS114" s="331" t="s">
        <v>190</v>
      </c>
      <c r="DT114" s="331" t="s">
        <v>190</v>
      </c>
      <c r="DU114" s="331" t="s">
        <v>190</v>
      </c>
      <c r="DV114" s="331" t="s">
        <v>190</v>
      </c>
      <c r="DW114" s="331" t="s">
        <v>190</v>
      </c>
      <c r="DX114" s="331" t="s">
        <v>190</v>
      </c>
      <c r="DY114" s="331" t="s">
        <v>190</v>
      </c>
      <c r="DZ114" s="331" t="s">
        <v>190</v>
      </c>
      <c r="EA114" s="331" t="s">
        <v>190</v>
      </c>
      <c r="EB114" s="331" t="s">
        <v>190</v>
      </c>
      <c r="EC114" s="331" t="s">
        <v>190</v>
      </c>
      <c r="ED114" s="331" t="s">
        <v>190</v>
      </c>
      <c r="EE114" s="331" t="s">
        <v>190</v>
      </c>
      <c r="EF114" s="331" t="s">
        <v>190</v>
      </c>
      <c r="EG114" s="331" t="s">
        <v>190</v>
      </c>
      <c r="EH114" s="331" t="s">
        <v>190</v>
      </c>
      <c r="EI114" s="331" t="s">
        <v>428</v>
      </c>
      <c r="EJ114" s="331" t="s">
        <v>428</v>
      </c>
      <c r="EK114" s="331" t="s">
        <v>428</v>
      </c>
      <c r="EL114" s="331" t="s">
        <v>428</v>
      </c>
      <c r="EM114" s="331" t="s">
        <v>428</v>
      </c>
      <c r="EN114" s="331" t="s">
        <v>428</v>
      </c>
      <c r="EO114" s="331" t="s">
        <v>428</v>
      </c>
      <c r="EP114" s="331" t="s">
        <v>428</v>
      </c>
      <c r="EQ114" s="331" t="s">
        <v>428</v>
      </c>
      <c r="ER114" s="331" t="s">
        <v>428</v>
      </c>
      <c r="ES114" s="331" t="s">
        <v>190</v>
      </c>
      <c r="ET114" s="331" t="s">
        <v>190</v>
      </c>
      <c r="EU114" s="331" t="s">
        <v>428</v>
      </c>
      <c r="EV114" s="331" t="s">
        <v>428</v>
      </c>
      <c r="EW114" s="331" t="s">
        <v>190</v>
      </c>
      <c r="EX114" s="331" t="s">
        <v>190</v>
      </c>
      <c r="EY114" s="331" t="s">
        <v>190</v>
      </c>
      <c r="EZ114" s="331" t="s">
        <v>428</v>
      </c>
      <c r="FA114" s="331" t="s">
        <v>190</v>
      </c>
      <c r="FB114" s="331" t="s">
        <v>190</v>
      </c>
      <c r="FC114" s="331" t="s">
        <v>190</v>
      </c>
      <c r="FD114" s="331" t="s">
        <v>190</v>
      </c>
      <c r="FE114" s="331" t="s">
        <v>190</v>
      </c>
      <c r="FF114" s="331" t="s">
        <v>190</v>
      </c>
      <c r="FG114" s="331" t="s">
        <v>190</v>
      </c>
      <c r="FH114" s="331" t="s">
        <v>190</v>
      </c>
      <c r="FI114" s="331" t="s">
        <v>190</v>
      </c>
      <c r="FJ114" s="331" t="s">
        <v>190</v>
      </c>
      <c r="FK114" s="331" t="s">
        <v>190</v>
      </c>
      <c r="FL114" s="331" t="s">
        <v>190</v>
      </c>
      <c r="FM114" s="331" t="s">
        <v>190</v>
      </c>
      <c r="FN114" s="331" t="s">
        <v>190</v>
      </c>
      <c r="FO114" s="331" t="s">
        <v>190</v>
      </c>
      <c r="FP114" s="331" t="s">
        <v>190</v>
      </c>
      <c r="FQ114" s="331" t="s">
        <v>190</v>
      </c>
      <c r="FR114" s="331" t="s">
        <v>428</v>
      </c>
      <c r="FS114" s="331" t="s">
        <v>984</v>
      </c>
      <c r="FT114" s="331" t="s">
        <v>984</v>
      </c>
      <c r="FU114" s="331" t="s">
        <v>984</v>
      </c>
      <c r="FV114" s="331" t="s">
        <v>984</v>
      </c>
      <c r="FW114" s="331" t="s">
        <v>984</v>
      </c>
      <c r="FX114" s="331" t="s">
        <v>984</v>
      </c>
      <c r="FY114" s="331" t="s">
        <v>984</v>
      </c>
      <c r="FZ114" s="331" t="s">
        <v>984</v>
      </c>
      <c r="GA114" s="331" t="s">
        <v>984</v>
      </c>
      <c r="GB114" s="331" t="s">
        <v>984</v>
      </c>
      <c r="GC114" s="331" t="s">
        <v>984</v>
      </c>
      <c r="GD114" s="331" t="s">
        <v>984</v>
      </c>
      <c r="GE114" s="331" t="s">
        <v>984</v>
      </c>
      <c r="GF114" s="331" t="s">
        <v>984</v>
      </c>
      <c r="GG114" s="331" t="s">
        <v>984</v>
      </c>
      <c r="GH114" s="331" t="s">
        <v>984</v>
      </c>
      <c r="GI114" s="331" t="s">
        <v>984</v>
      </c>
      <c r="GJ114" s="331" t="s">
        <v>984</v>
      </c>
      <c r="GK114" s="331" t="s">
        <v>984</v>
      </c>
      <c r="GL114" s="331" t="s">
        <v>984</v>
      </c>
      <c r="GM114" s="331" t="s">
        <v>984</v>
      </c>
      <c r="GN114" s="331" t="s">
        <v>984</v>
      </c>
      <c r="GO114" s="331" t="s">
        <v>984</v>
      </c>
      <c r="GP114" s="331" t="s">
        <v>984</v>
      </c>
      <c r="GQ114" s="331" t="s">
        <v>984</v>
      </c>
      <c r="GR114" s="331" t="s">
        <v>984</v>
      </c>
      <c r="GS114" s="331" t="s">
        <v>984</v>
      </c>
      <c r="GT114" s="331" t="s">
        <v>984</v>
      </c>
      <c r="GU114" s="331" t="s">
        <v>984</v>
      </c>
      <c r="GV114" s="331" t="s">
        <v>984</v>
      </c>
      <c r="GW114" s="331" t="s">
        <v>984</v>
      </c>
      <c r="GX114" s="331" t="s">
        <v>984</v>
      </c>
      <c r="GY114" s="331" t="s">
        <v>984</v>
      </c>
      <c r="GZ114" s="331" t="s">
        <v>984</v>
      </c>
      <c r="HA114" s="331" t="s">
        <v>984</v>
      </c>
      <c r="HB114" s="331" t="s">
        <v>984</v>
      </c>
      <c r="HC114" s="331" t="s">
        <v>984</v>
      </c>
      <c r="HD114" s="331" t="s">
        <v>984</v>
      </c>
      <c r="HE114" s="331" t="s">
        <v>984</v>
      </c>
      <c r="HF114" s="331" t="s">
        <v>984</v>
      </c>
      <c r="HG114" s="331" t="s">
        <v>984</v>
      </c>
      <c r="HH114" s="331" t="s">
        <v>984</v>
      </c>
      <c r="HI114" s="331" t="s">
        <v>984</v>
      </c>
      <c r="HJ114" s="331" t="s">
        <v>984</v>
      </c>
      <c r="HK114" s="331" t="s">
        <v>984</v>
      </c>
      <c r="HL114" s="331" t="s">
        <v>984</v>
      </c>
      <c r="HM114" s="331" t="s">
        <v>190</v>
      </c>
      <c r="HN114" s="331" t="s">
        <v>190</v>
      </c>
      <c r="HO114" s="331" t="s">
        <v>190</v>
      </c>
      <c r="HP114" s="331" t="s">
        <v>190</v>
      </c>
      <c r="HQ114" s="331" t="s">
        <v>170</v>
      </c>
      <c r="HR114" s="331" t="s">
        <v>429</v>
      </c>
      <c r="HS114" s="331" t="s">
        <v>169</v>
      </c>
      <c r="HT114" s="331" t="s">
        <v>427</v>
      </c>
      <c r="HU114" s="331" t="s">
        <v>190</v>
      </c>
      <c r="HV114" s="331" t="s">
        <v>190</v>
      </c>
    </row>
    <row r="115" spans="1:230" s="70" customFormat="1" x14ac:dyDescent="0.25">
      <c r="A115" s="330" t="str">
        <f>HYPERLINK("http://www.ofsted.gov.uk/inspection-reports/find-inspection-report/provider/ELS/134571 ","Ofsted School Webpage")</f>
        <v>Ofsted School Webpage</v>
      </c>
      <c r="B115" s="331">
        <v>134571</v>
      </c>
      <c r="C115" s="331">
        <v>3306106</v>
      </c>
      <c r="D115" s="331" t="s">
        <v>1824</v>
      </c>
      <c r="E115" s="331" t="s">
        <v>167</v>
      </c>
      <c r="F115" s="331" t="s">
        <v>437</v>
      </c>
      <c r="G115" s="331" t="s">
        <v>437</v>
      </c>
      <c r="H115" s="331" t="s">
        <v>813</v>
      </c>
      <c r="I115" s="331" t="s">
        <v>1825</v>
      </c>
      <c r="J115" s="331" t="s">
        <v>81</v>
      </c>
      <c r="K115" s="331" t="s">
        <v>72</v>
      </c>
      <c r="L115" s="331" t="s">
        <v>72</v>
      </c>
      <c r="M115" s="331" t="s">
        <v>72</v>
      </c>
      <c r="N115" s="331" t="s">
        <v>424</v>
      </c>
      <c r="O115" s="331">
        <v>10129565</v>
      </c>
      <c r="P115" s="332">
        <v>43782</v>
      </c>
      <c r="Q115" s="332">
        <v>43782</v>
      </c>
      <c r="R115" s="332">
        <v>43809</v>
      </c>
      <c r="S115" s="331" t="s">
        <v>985</v>
      </c>
      <c r="T115" s="331" t="s">
        <v>982</v>
      </c>
      <c r="U115" s="331" t="s">
        <v>427</v>
      </c>
      <c r="V115" s="331" t="s">
        <v>166</v>
      </c>
      <c r="W115" s="331" t="s">
        <v>191</v>
      </c>
      <c r="X115" s="331" t="s">
        <v>191</v>
      </c>
      <c r="Y115" s="331" t="s">
        <v>191</v>
      </c>
      <c r="Z115" s="331" t="s">
        <v>191</v>
      </c>
      <c r="AA115" s="331" t="s">
        <v>984</v>
      </c>
      <c r="AB115" s="331" t="s">
        <v>191</v>
      </c>
      <c r="AC115" s="331" t="s">
        <v>190</v>
      </c>
      <c r="AD115" s="331" t="s">
        <v>190</v>
      </c>
      <c r="AE115" s="331" t="s">
        <v>984</v>
      </c>
      <c r="AF115" s="331" t="s">
        <v>190</v>
      </c>
      <c r="AG115" s="331" t="s">
        <v>190</v>
      </c>
      <c r="AH115" s="331" t="s">
        <v>190</v>
      </c>
      <c r="AI115" s="331" t="s">
        <v>190</v>
      </c>
      <c r="AJ115" s="331" t="s">
        <v>190</v>
      </c>
      <c r="AK115" s="331" t="s">
        <v>190</v>
      </c>
      <c r="AL115" s="331" t="s">
        <v>190</v>
      </c>
      <c r="AM115" s="331" t="s">
        <v>428</v>
      </c>
      <c r="AN115" s="331" t="s">
        <v>191</v>
      </c>
      <c r="AO115" s="331" t="s">
        <v>191</v>
      </c>
      <c r="AP115" s="331" t="s">
        <v>190</v>
      </c>
      <c r="AQ115" s="331" t="s">
        <v>191</v>
      </c>
      <c r="AR115" s="331" t="s">
        <v>191</v>
      </c>
      <c r="AS115" s="331" t="s">
        <v>190</v>
      </c>
      <c r="AT115" s="331" t="s">
        <v>191</v>
      </c>
      <c r="AU115" s="331" t="s">
        <v>191</v>
      </c>
      <c r="AV115" s="331" t="s">
        <v>191</v>
      </c>
      <c r="AW115" s="331" t="s">
        <v>191</v>
      </c>
      <c r="AX115" s="331" t="s">
        <v>190</v>
      </c>
      <c r="AY115" s="331" t="s">
        <v>984</v>
      </c>
      <c r="AZ115" s="331" t="s">
        <v>984</v>
      </c>
      <c r="BA115" s="331" t="s">
        <v>191</v>
      </c>
      <c r="BB115" s="331" t="s">
        <v>984</v>
      </c>
      <c r="BC115" s="331" t="s">
        <v>190</v>
      </c>
      <c r="BD115" s="331" t="s">
        <v>190</v>
      </c>
      <c r="BE115" s="331" t="s">
        <v>190</v>
      </c>
      <c r="BF115" s="331" t="s">
        <v>190</v>
      </c>
      <c r="BG115" s="331" t="s">
        <v>190</v>
      </c>
      <c r="BH115" s="331" t="s">
        <v>190</v>
      </c>
      <c r="BI115" s="331" t="s">
        <v>190</v>
      </c>
      <c r="BJ115" s="331" t="s">
        <v>190</v>
      </c>
      <c r="BK115" s="331" t="s">
        <v>190</v>
      </c>
      <c r="BL115" s="331" t="s">
        <v>190</v>
      </c>
      <c r="BM115" s="331" t="s">
        <v>190</v>
      </c>
      <c r="BN115" s="331" t="s">
        <v>190</v>
      </c>
      <c r="BO115" s="331" t="s">
        <v>190</v>
      </c>
      <c r="BP115" s="331" t="s">
        <v>190</v>
      </c>
      <c r="BQ115" s="331" t="s">
        <v>190</v>
      </c>
      <c r="BR115" s="331" t="s">
        <v>190</v>
      </c>
      <c r="BS115" s="331" t="s">
        <v>190</v>
      </c>
      <c r="BT115" s="331" t="s">
        <v>190</v>
      </c>
      <c r="BU115" s="331" t="s">
        <v>428</v>
      </c>
      <c r="BV115" s="331" t="s">
        <v>428</v>
      </c>
      <c r="BW115" s="331" t="s">
        <v>428</v>
      </c>
      <c r="BX115" s="331" t="s">
        <v>190</v>
      </c>
      <c r="BY115" s="331" t="s">
        <v>984</v>
      </c>
      <c r="BZ115" s="331" t="s">
        <v>190</v>
      </c>
      <c r="CA115" s="331" t="s">
        <v>190</v>
      </c>
      <c r="CB115" s="331" t="s">
        <v>984</v>
      </c>
      <c r="CC115" s="331" t="s">
        <v>190</v>
      </c>
      <c r="CD115" s="331" t="s">
        <v>984</v>
      </c>
      <c r="CE115" s="331" t="s">
        <v>984</v>
      </c>
      <c r="CF115" s="331" t="s">
        <v>984</v>
      </c>
      <c r="CG115" s="331" t="s">
        <v>190</v>
      </c>
      <c r="CH115" s="331" t="s">
        <v>190</v>
      </c>
      <c r="CI115" s="331" t="s">
        <v>190</v>
      </c>
      <c r="CJ115" s="331" t="s">
        <v>190</v>
      </c>
      <c r="CK115" s="331" t="s">
        <v>984</v>
      </c>
      <c r="CL115" s="331" t="s">
        <v>984</v>
      </c>
      <c r="CM115" s="331" t="s">
        <v>984</v>
      </c>
      <c r="CN115" s="331" t="s">
        <v>984</v>
      </c>
      <c r="CO115" s="331" t="s">
        <v>984</v>
      </c>
      <c r="CP115" s="331" t="s">
        <v>984</v>
      </c>
      <c r="CQ115" s="331" t="s">
        <v>984</v>
      </c>
      <c r="CR115" s="331" t="s">
        <v>984</v>
      </c>
      <c r="CS115" s="331" t="s">
        <v>984</v>
      </c>
      <c r="CT115" s="331" t="s">
        <v>984</v>
      </c>
      <c r="CU115" s="331" t="s">
        <v>984</v>
      </c>
      <c r="CV115" s="331" t="s">
        <v>984</v>
      </c>
      <c r="CW115" s="331" t="s">
        <v>984</v>
      </c>
      <c r="CX115" s="331" t="s">
        <v>984</v>
      </c>
      <c r="CY115" s="331" t="s">
        <v>984</v>
      </c>
      <c r="CZ115" s="331" t="s">
        <v>984</v>
      </c>
      <c r="DA115" s="331" t="s">
        <v>984</v>
      </c>
      <c r="DB115" s="331" t="s">
        <v>984</v>
      </c>
      <c r="DC115" s="331" t="s">
        <v>984</v>
      </c>
      <c r="DD115" s="331" t="s">
        <v>984</v>
      </c>
      <c r="DE115" s="331" t="s">
        <v>984</v>
      </c>
      <c r="DF115" s="331" t="s">
        <v>984</v>
      </c>
      <c r="DG115" s="331" t="s">
        <v>984</v>
      </c>
      <c r="DH115" s="331" t="s">
        <v>984</v>
      </c>
      <c r="DI115" s="331" t="s">
        <v>984</v>
      </c>
      <c r="DJ115" s="331" t="s">
        <v>428</v>
      </c>
      <c r="DK115" s="331" t="s">
        <v>984</v>
      </c>
      <c r="DL115" s="331" t="s">
        <v>984</v>
      </c>
      <c r="DM115" s="331" t="s">
        <v>984</v>
      </c>
      <c r="DN115" s="331" t="s">
        <v>984</v>
      </c>
      <c r="DO115" s="331" t="s">
        <v>984</v>
      </c>
      <c r="DP115" s="331" t="s">
        <v>984</v>
      </c>
      <c r="DQ115" s="331" t="s">
        <v>984</v>
      </c>
      <c r="DR115" s="331" t="s">
        <v>984</v>
      </c>
      <c r="DS115" s="331" t="s">
        <v>984</v>
      </c>
      <c r="DT115" s="331" t="s">
        <v>984</v>
      </c>
      <c r="DU115" s="331" t="s">
        <v>190</v>
      </c>
      <c r="DV115" s="331" t="s">
        <v>984</v>
      </c>
      <c r="DW115" s="331" t="s">
        <v>190</v>
      </c>
      <c r="DX115" s="331" t="s">
        <v>984</v>
      </c>
      <c r="DY115" s="331" t="s">
        <v>984</v>
      </c>
      <c r="DZ115" s="331" t="s">
        <v>984</v>
      </c>
      <c r="EA115" s="331" t="s">
        <v>984</v>
      </c>
      <c r="EB115" s="331" t="s">
        <v>190</v>
      </c>
      <c r="EC115" s="331" t="s">
        <v>984</v>
      </c>
      <c r="ED115" s="331" t="s">
        <v>984</v>
      </c>
      <c r="EE115" s="331" t="s">
        <v>984</v>
      </c>
      <c r="EF115" s="331" t="s">
        <v>984</v>
      </c>
      <c r="EG115" s="331" t="s">
        <v>984</v>
      </c>
      <c r="EH115" s="331" t="s">
        <v>984</v>
      </c>
      <c r="EI115" s="331" t="s">
        <v>984</v>
      </c>
      <c r="EJ115" s="331" t="s">
        <v>984</v>
      </c>
      <c r="EK115" s="331" t="s">
        <v>984</v>
      </c>
      <c r="EL115" s="331" t="s">
        <v>984</v>
      </c>
      <c r="EM115" s="331" t="s">
        <v>984</v>
      </c>
      <c r="EN115" s="331" t="s">
        <v>984</v>
      </c>
      <c r="EO115" s="331" t="s">
        <v>984</v>
      </c>
      <c r="EP115" s="331" t="s">
        <v>984</v>
      </c>
      <c r="EQ115" s="331" t="s">
        <v>984</v>
      </c>
      <c r="ER115" s="331" t="s">
        <v>984</v>
      </c>
      <c r="ES115" s="331" t="s">
        <v>190</v>
      </c>
      <c r="ET115" s="331" t="s">
        <v>984</v>
      </c>
      <c r="EU115" s="331" t="s">
        <v>984</v>
      </c>
      <c r="EV115" s="331" t="s">
        <v>190</v>
      </c>
      <c r="EW115" s="331" t="s">
        <v>984</v>
      </c>
      <c r="EX115" s="331" t="s">
        <v>984</v>
      </c>
      <c r="EY115" s="331" t="s">
        <v>984</v>
      </c>
      <c r="EZ115" s="331" t="s">
        <v>984</v>
      </c>
      <c r="FA115" s="331" t="s">
        <v>984</v>
      </c>
      <c r="FB115" s="331" t="s">
        <v>190</v>
      </c>
      <c r="FC115" s="331" t="s">
        <v>984</v>
      </c>
      <c r="FD115" s="331" t="s">
        <v>190</v>
      </c>
      <c r="FE115" s="331" t="s">
        <v>984</v>
      </c>
      <c r="FF115" s="331" t="s">
        <v>190</v>
      </c>
      <c r="FG115" s="331" t="s">
        <v>984</v>
      </c>
      <c r="FH115" s="331" t="s">
        <v>984</v>
      </c>
      <c r="FI115" s="331" t="s">
        <v>984</v>
      </c>
      <c r="FJ115" s="331" t="s">
        <v>984</v>
      </c>
      <c r="FK115" s="331" t="s">
        <v>984</v>
      </c>
      <c r="FL115" s="331" t="s">
        <v>984</v>
      </c>
      <c r="FM115" s="331" t="s">
        <v>984</v>
      </c>
      <c r="FN115" s="331" t="s">
        <v>984</v>
      </c>
      <c r="FO115" s="331" t="s">
        <v>190</v>
      </c>
      <c r="FP115" s="331" t="s">
        <v>190</v>
      </c>
      <c r="FQ115" s="331" t="s">
        <v>190</v>
      </c>
      <c r="FR115" s="331" t="s">
        <v>428</v>
      </c>
      <c r="FS115" s="331" t="s">
        <v>191</v>
      </c>
      <c r="FT115" s="331" t="s">
        <v>984</v>
      </c>
      <c r="FU115" s="331" t="s">
        <v>984</v>
      </c>
      <c r="FV115" s="331" t="s">
        <v>190</v>
      </c>
      <c r="FW115" s="331" t="s">
        <v>191</v>
      </c>
      <c r="FX115" s="331" t="s">
        <v>428</v>
      </c>
      <c r="FY115" s="331" t="s">
        <v>984</v>
      </c>
      <c r="FZ115" s="331" t="s">
        <v>984</v>
      </c>
      <c r="GA115" s="331" t="s">
        <v>984</v>
      </c>
      <c r="GB115" s="331" t="s">
        <v>984</v>
      </c>
      <c r="GC115" s="331" t="s">
        <v>984</v>
      </c>
      <c r="GD115" s="331" t="s">
        <v>984</v>
      </c>
      <c r="GE115" s="331" t="s">
        <v>984</v>
      </c>
      <c r="GF115" s="331" t="s">
        <v>984</v>
      </c>
      <c r="GG115" s="331" t="s">
        <v>984</v>
      </c>
      <c r="GH115" s="331" t="s">
        <v>984</v>
      </c>
      <c r="GI115" s="331" t="s">
        <v>984</v>
      </c>
      <c r="GJ115" s="331" t="s">
        <v>984</v>
      </c>
      <c r="GK115" s="331" t="s">
        <v>191</v>
      </c>
      <c r="GL115" s="331" t="s">
        <v>191</v>
      </c>
      <c r="GM115" s="331" t="s">
        <v>191</v>
      </c>
      <c r="GN115" s="331" t="s">
        <v>984</v>
      </c>
      <c r="GO115" s="331" t="s">
        <v>191</v>
      </c>
      <c r="GP115" s="331" t="s">
        <v>191</v>
      </c>
      <c r="GQ115" s="331" t="s">
        <v>984</v>
      </c>
      <c r="GR115" s="331" t="s">
        <v>191</v>
      </c>
      <c r="GS115" s="331" t="s">
        <v>984</v>
      </c>
      <c r="GT115" s="331" t="s">
        <v>984</v>
      </c>
      <c r="GU115" s="331" t="s">
        <v>984</v>
      </c>
      <c r="GV115" s="331" t="s">
        <v>984</v>
      </c>
      <c r="GW115" s="331" t="s">
        <v>984</v>
      </c>
      <c r="GX115" s="331" t="s">
        <v>984</v>
      </c>
      <c r="GY115" s="331" t="s">
        <v>984</v>
      </c>
      <c r="GZ115" s="331" t="s">
        <v>984</v>
      </c>
      <c r="HA115" s="331" t="s">
        <v>984</v>
      </c>
      <c r="HB115" s="331" t="s">
        <v>984</v>
      </c>
      <c r="HC115" s="331" t="s">
        <v>984</v>
      </c>
      <c r="HD115" s="331" t="s">
        <v>984</v>
      </c>
      <c r="HE115" s="331" t="s">
        <v>984</v>
      </c>
      <c r="HF115" s="331" t="s">
        <v>984</v>
      </c>
      <c r="HG115" s="331" t="s">
        <v>984</v>
      </c>
      <c r="HH115" s="331" t="s">
        <v>984</v>
      </c>
      <c r="HI115" s="331" t="s">
        <v>984</v>
      </c>
      <c r="HJ115" s="331" t="s">
        <v>984</v>
      </c>
      <c r="HK115" s="331" t="s">
        <v>984</v>
      </c>
      <c r="HL115" s="331" t="s">
        <v>984</v>
      </c>
      <c r="HM115" s="331" t="s">
        <v>191</v>
      </c>
      <c r="HN115" s="331" t="s">
        <v>191</v>
      </c>
      <c r="HO115" s="331" t="s">
        <v>191</v>
      </c>
      <c r="HP115" s="331" t="s">
        <v>190</v>
      </c>
      <c r="HQ115" s="331" t="s">
        <v>170</v>
      </c>
      <c r="HR115" s="331" t="s">
        <v>429</v>
      </c>
      <c r="HS115" s="331" t="s">
        <v>169</v>
      </c>
      <c r="HT115" s="331" t="s">
        <v>427</v>
      </c>
      <c r="HU115" s="331" t="s">
        <v>428</v>
      </c>
      <c r="HV115" s="331" t="s">
        <v>428</v>
      </c>
    </row>
    <row r="116" spans="1:230" s="70" customFormat="1" x14ac:dyDescent="0.25">
      <c r="A116" s="330" t="str">
        <f>HYPERLINK("http://www.ofsted.gov.uk/inspection-reports/find-inspection-report/provider/ELS/142939 ","Ofsted School Webpage")</f>
        <v>Ofsted School Webpage</v>
      </c>
      <c r="B116" s="331">
        <v>142939</v>
      </c>
      <c r="C116" s="331">
        <v>8556038</v>
      </c>
      <c r="D116" s="331" t="s">
        <v>2378</v>
      </c>
      <c r="E116" s="331" t="s">
        <v>167</v>
      </c>
      <c r="F116" s="331" t="s">
        <v>506</v>
      </c>
      <c r="G116" s="331" t="s">
        <v>506</v>
      </c>
      <c r="H116" s="331" t="s">
        <v>862</v>
      </c>
      <c r="I116" s="331" t="s">
        <v>2379</v>
      </c>
      <c r="J116" s="331" t="s">
        <v>81</v>
      </c>
      <c r="K116" s="331" t="s">
        <v>81</v>
      </c>
      <c r="L116" s="331" t="s">
        <v>81</v>
      </c>
      <c r="M116" s="331" t="s">
        <v>78</v>
      </c>
      <c r="N116" s="331" t="s">
        <v>424</v>
      </c>
      <c r="O116" s="331">
        <v>10124564</v>
      </c>
      <c r="P116" s="332">
        <v>43783</v>
      </c>
      <c r="Q116" s="332">
        <v>43783</v>
      </c>
      <c r="R116" s="332">
        <v>43800</v>
      </c>
      <c r="S116" s="331" t="s">
        <v>981</v>
      </c>
      <c r="T116" s="331" t="s">
        <v>982</v>
      </c>
      <c r="U116" s="331" t="s">
        <v>427</v>
      </c>
      <c r="V116" s="331" t="s">
        <v>983</v>
      </c>
      <c r="W116" s="331" t="s">
        <v>190</v>
      </c>
      <c r="X116" s="331" t="s">
        <v>190</v>
      </c>
      <c r="Y116" s="331" t="s">
        <v>190</v>
      </c>
      <c r="Z116" s="331" t="s">
        <v>190</v>
      </c>
      <c r="AA116" s="331" t="s">
        <v>190</v>
      </c>
      <c r="AB116" s="331" t="s">
        <v>190</v>
      </c>
      <c r="AC116" s="331" t="s">
        <v>190</v>
      </c>
      <c r="AD116" s="331" t="s">
        <v>190</v>
      </c>
      <c r="AE116" s="331" t="s">
        <v>428</v>
      </c>
      <c r="AF116" s="331" t="s">
        <v>190</v>
      </c>
      <c r="AG116" s="331" t="s">
        <v>190</v>
      </c>
      <c r="AH116" s="331" t="s">
        <v>190</v>
      </c>
      <c r="AI116" s="331" t="s">
        <v>190</v>
      </c>
      <c r="AJ116" s="331" t="s">
        <v>190</v>
      </c>
      <c r="AK116" s="331" t="s">
        <v>190</v>
      </c>
      <c r="AL116" s="331" t="s">
        <v>190</v>
      </c>
      <c r="AM116" s="331" t="s">
        <v>428</v>
      </c>
      <c r="AN116" s="331" t="s">
        <v>190</v>
      </c>
      <c r="AO116" s="331" t="s">
        <v>190</v>
      </c>
      <c r="AP116" s="331" t="s">
        <v>190</v>
      </c>
      <c r="AQ116" s="331" t="s">
        <v>190</v>
      </c>
      <c r="AR116" s="331" t="s">
        <v>190</v>
      </c>
      <c r="AS116" s="331" t="s">
        <v>190</v>
      </c>
      <c r="AT116" s="331" t="s">
        <v>190</v>
      </c>
      <c r="AU116" s="331" t="s">
        <v>190</v>
      </c>
      <c r="AV116" s="331" t="s">
        <v>190</v>
      </c>
      <c r="AW116" s="331" t="s">
        <v>190</v>
      </c>
      <c r="AX116" s="331" t="s">
        <v>190</v>
      </c>
      <c r="AY116" s="331" t="s">
        <v>190</v>
      </c>
      <c r="AZ116" s="331" t="s">
        <v>190</v>
      </c>
      <c r="BA116" s="331" t="s">
        <v>190</v>
      </c>
      <c r="BB116" s="331" t="s">
        <v>190</v>
      </c>
      <c r="BC116" s="331" t="s">
        <v>190</v>
      </c>
      <c r="BD116" s="331" t="s">
        <v>190</v>
      </c>
      <c r="BE116" s="331" t="s">
        <v>190</v>
      </c>
      <c r="BF116" s="331" t="s">
        <v>190</v>
      </c>
      <c r="BG116" s="331" t="s">
        <v>190</v>
      </c>
      <c r="BH116" s="331" t="s">
        <v>190</v>
      </c>
      <c r="BI116" s="331" t="s">
        <v>190</v>
      </c>
      <c r="BJ116" s="331" t="s">
        <v>190</v>
      </c>
      <c r="BK116" s="331" t="s">
        <v>190</v>
      </c>
      <c r="BL116" s="331" t="s">
        <v>190</v>
      </c>
      <c r="BM116" s="331" t="s">
        <v>190</v>
      </c>
      <c r="BN116" s="331" t="s">
        <v>190</v>
      </c>
      <c r="BO116" s="331" t="s">
        <v>190</v>
      </c>
      <c r="BP116" s="331" t="s">
        <v>190</v>
      </c>
      <c r="BQ116" s="331" t="s">
        <v>190</v>
      </c>
      <c r="BR116" s="331" t="s">
        <v>190</v>
      </c>
      <c r="BS116" s="331" t="s">
        <v>190</v>
      </c>
      <c r="BT116" s="331" t="s">
        <v>190</v>
      </c>
      <c r="BU116" s="331" t="s">
        <v>984</v>
      </c>
      <c r="BV116" s="331" t="s">
        <v>984</v>
      </c>
      <c r="BW116" s="331" t="s">
        <v>984</v>
      </c>
      <c r="BX116" s="331" t="s">
        <v>984</v>
      </c>
      <c r="BY116" s="331" t="s">
        <v>984</v>
      </c>
      <c r="BZ116" s="331" t="s">
        <v>984</v>
      </c>
      <c r="CA116" s="331" t="s">
        <v>984</v>
      </c>
      <c r="CB116" s="331" t="s">
        <v>984</v>
      </c>
      <c r="CC116" s="331" t="s">
        <v>984</v>
      </c>
      <c r="CD116" s="331" t="s">
        <v>984</v>
      </c>
      <c r="CE116" s="331" t="s">
        <v>984</v>
      </c>
      <c r="CF116" s="331" t="s">
        <v>984</v>
      </c>
      <c r="CG116" s="331" t="s">
        <v>984</v>
      </c>
      <c r="CH116" s="331" t="s">
        <v>984</v>
      </c>
      <c r="CI116" s="331" t="s">
        <v>984</v>
      </c>
      <c r="CJ116" s="331" t="s">
        <v>984</v>
      </c>
      <c r="CK116" s="331" t="s">
        <v>984</v>
      </c>
      <c r="CL116" s="331" t="s">
        <v>984</v>
      </c>
      <c r="CM116" s="331" t="s">
        <v>984</v>
      </c>
      <c r="CN116" s="331" t="s">
        <v>984</v>
      </c>
      <c r="CO116" s="331" t="s">
        <v>984</v>
      </c>
      <c r="CP116" s="331" t="s">
        <v>984</v>
      </c>
      <c r="CQ116" s="331" t="s">
        <v>984</v>
      </c>
      <c r="CR116" s="331" t="s">
        <v>984</v>
      </c>
      <c r="CS116" s="331" t="s">
        <v>984</v>
      </c>
      <c r="CT116" s="331" t="s">
        <v>984</v>
      </c>
      <c r="CU116" s="331" t="s">
        <v>984</v>
      </c>
      <c r="CV116" s="331" t="s">
        <v>984</v>
      </c>
      <c r="CW116" s="331" t="s">
        <v>984</v>
      </c>
      <c r="CX116" s="331" t="s">
        <v>984</v>
      </c>
      <c r="CY116" s="331" t="s">
        <v>984</v>
      </c>
      <c r="CZ116" s="331" t="s">
        <v>984</v>
      </c>
      <c r="DA116" s="331" t="s">
        <v>984</v>
      </c>
      <c r="DB116" s="331" t="s">
        <v>984</v>
      </c>
      <c r="DC116" s="331" t="s">
        <v>984</v>
      </c>
      <c r="DD116" s="331" t="s">
        <v>984</v>
      </c>
      <c r="DE116" s="331" t="s">
        <v>984</v>
      </c>
      <c r="DF116" s="331" t="s">
        <v>984</v>
      </c>
      <c r="DG116" s="331" t="s">
        <v>984</v>
      </c>
      <c r="DH116" s="331" t="s">
        <v>984</v>
      </c>
      <c r="DI116" s="331" t="s">
        <v>984</v>
      </c>
      <c r="DJ116" s="331" t="s">
        <v>984</v>
      </c>
      <c r="DK116" s="331" t="s">
        <v>984</v>
      </c>
      <c r="DL116" s="331" t="s">
        <v>984</v>
      </c>
      <c r="DM116" s="331" t="s">
        <v>984</v>
      </c>
      <c r="DN116" s="331" t="s">
        <v>984</v>
      </c>
      <c r="DO116" s="331" t="s">
        <v>984</v>
      </c>
      <c r="DP116" s="331" t="s">
        <v>984</v>
      </c>
      <c r="DQ116" s="331" t="s">
        <v>984</v>
      </c>
      <c r="DR116" s="331" t="s">
        <v>984</v>
      </c>
      <c r="DS116" s="331" t="s">
        <v>984</v>
      </c>
      <c r="DT116" s="331" t="s">
        <v>984</v>
      </c>
      <c r="DU116" s="331" t="s">
        <v>984</v>
      </c>
      <c r="DV116" s="331" t="s">
        <v>984</v>
      </c>
      <c r="DW116" s="331" t="s">
        <v>984</v>
      </c>
      <c r="DX116" s="331" t="s">
        <v>984</v>
      </c>
      <c r="DY116" s="331" t="s">
        <v>984</v>
      </c>
      <c r="DZ116" s="331" t="s">
        <v>984</v>
      </c>
      <c r="EA116" s="331" t="s">
        <v>984</v>
      </c>
      <c r="EB116" s="331" t="s">
        <v>984</v>
      </c>
      <c r="EC116" s="331" t="s">
        <v>984</v>
      </c>
      <c r="ED116" s="331" t="s">
        <v>984</v>
      </c>
      <c r="EE116" s="331" t="s">
        <v>984</v>
      </c>
      <c r="EF116" s="331" t="s">
        <v>984</v>
      </c>
      <c r="EG116" s="331" t="s">
        <v>984</v>
      </c>
      <c r="EH116" s="331" t="s">
        <v>984</v>
      </c>
      <c r="EI116" s="331" t="s">
        <v>984</v>
      </c>
      <c r="EJ116" s="331" t="s">
        <v>984</v>
      </c>
      <c r="EK116" s="331" t="s">
        <v>984</v>
      </c>
      <c r="EL116" s="331" t="s">
        <v>984</v>
      </c>
      <c r="EM116" s="331" t="s">
        <v>984</v>
      </c>
      <c r="EN116" s="331" t="s">
        <v>984</v>
      </c>
      <c r="EO116" s="331" t="s">
        <v>984</v>
      </c>
      <c r="EP116" s="331" t="s">
        <v>984</v>
      </c>
      <c r="EQ116" s="331" t="s">
        <v>984</v>
      </c>
      <c r="ER116" s="331" t="s">
        <v>984</v>
      </c>
      <c r="ES116" s="331" t="s">
        <v>190</v>
      </c>
      <c r="ET116" s="331" t="s">
        <v>190</v>
      </c>
      <c r="EU116" s="331" t="s">
        <v>190</v>
      </c>
      <c r="EV116" s="331" t="s">
        <v>190</v>
      </c>
      <c r="EW116" s="331" t="s">
        <v>190</v>
      </c>
      <c r="EX116" s="331" t="s">
        <v>190</v>
      </c>
      <c r="EY116" s="331" t="s">
        <v>190</v>
      </c>
      <c r="EZ116" s="331" t="s">
        <v>428</v>
      </c>
      <c r="FA116" s="331" t="s">
        <v>428</v>
      </c>
      <c r="FB116" s="331" t="s">
        <v>190</v>
      </c>
      <c r="FC116" s="331" t="s">
        <v>190</v>
      </c>
      <c r="FD116" s="331" t="s">
        <v>190</v>
      </c>
      <c r="FE116" s="331" t="s">
        <v>190</v>
      </c>
      <c r="FF116" s="331" t="s">
        <v>190</v>
      </c>
      <c r="FG116" s="331" t="s">
        <v>190</v>
      </c>
      <c r="FH116" s="331" t="s">
        <v>190</v>
      </c>
      <c r="FI116" s="331" t="s">
        <v>190</v>
      </c>
      <c r="FJ116" s="331" t="s">
        <v>190</v>
      </c>
      <c r="FK116" s="331" t="s">
        <v>190</v>
      </c>
      <c r="FL116" s="331" t="s">
        <v>190</v>
      </c>
      <c r="FM116" s="331" t="s">
        <v>190</v>
      </c>
      <c r="FN116" s="331" t="s">
        <v>190</v>
      </c>
      <c r="FO116" s="331" t="s">
        <v>190</v>
      </c>
      <c r="FP116" s="331" t="s">
        <v>190</v>
      </c>
      <c r="FQ116" s="331" t="s">
        <v>190</v>
      </c>
      <c r="FR116" s="331" t="s">
        <v>428</v>
      </c>
      <c r="FS116" s="331" t="s">
        <v>984</v>
      </c>
      <c r="FT116" s="331" t="s">
        <v>984</v>
      </c>
      <c r="FU116" s="331" t="s">
        <v>984</v>
      </c>
      <c r="FV116" s="331" t="s">
        <v>190</v>
      </c>
      <c r="FW116" s="331" t="s">
        <v>984</v>
      </c>
      <c r="FX116" s="331" t="s">
        <v>984</v>
      </c>
      <c r="FY116" s="331" t="s">
        <v>984</v>
      </c>
      <c r="FZ116" s="331" t="s">
        <v>984</v>
      </c>
      <c r="GA116" s="331" t="s">
        <v>984</v>
      </c>
      <c r="GB116" s="331" t="s">
        <v>984</v>
      </c>
      <c r="GC116" s="331" t="s">
        <v>984</v>
      </c>
      <c r="GD116" s="331" t="s">
        <v>984</v>
      </c>
      <c r="GE116" s="331" t="s">
        <v>984</v>
      </c>
      <c r="GF116" s="331" t="s">
        <v>984</v>
      </c>
      <c r="GG116" s="331" t="s">
        <v>984</v>
      </c>
      <c r="GH116" s="331" t="s">
        <v>984</v>
      </c>
      <c r="GI116" s="331" t="s">
        <v>984</v>
      </c>
      <c r="GJ116" s="331" t="s">
        <v>984</v>
      </c>
      <c r="GK116" s="331" t="s">
        <v>984</v>
      </c>
      <c r="GL116" s="331" t="s">
        <v>984</v>
      </c>
      <c r="GM116" s="331" t="s">
        <v>984</v>
      </c>
      <c r="GN116" s="331" t="s">
        <v>984</v>
      </c>
      <c r="GO116" s="331" t="s">
        <v>984</v>
      </c>
      <c r="GP116" s="331" t="s">
        <v>984</v>
      </c>
      <c r="GQ116" s="331" t="s">
        <v>984</v>
      </c>
      <c r="GR116" s="331" t="s">
        <v>984</v>
      </c>
      <c r="GS116" s="331" t="s">
        <v>984</v>
      </c>
      <c r="GT116" s="331" t="s">
        <v>984</v>
      </c>
      <c r="GU116" s="331" t="s">
        <v>984</v>
      </c>
      <c r="GV116" s="331" t="s">
        <v>984</v>
      </c>
      <c r="GW116" s="331" t="s">
        <v>984</v>
      </c>
      <c r="GX116" s="331" t="s">
        <v>984</v>
      </c>
      <c r="GY116" s="331" t="s">
        <v>984</v>
      </c>
      <c r="GZ116" s="331" t="s">
        <v>984</v>
      </c>
      <c r="HA116" s="331" t="s">
        <v>984</v>
      </c>
      <c r="HB116" s="331" t="s">
        <v>984</v>
      </c>
      <c r="HC116" s="331" t="s">
        <v>984</v>
      </c>
      <c r="HD116" s="331" t="s">
        <v>984</v>
      </c>
      <c r="HE116" s="331" t="s">
        <v>984</v>
      </c>
      <c r="HF116" s="331" t="s">
        <v>984</v>
      </c>
      <c r="HG116" s="331" t="s">
        <v>984</v>
      </c>
      <c r="HH116" s="331" t="s">
        <v>984</v>
      </c>
      <c r="HI116" s="331" t="s">
        <v>984</v>
      </c>
      <c r="HJ116" s="331" t="s">
        <v>984</v>
      </c>
      <c r="HK116" s="331" t="s">
        <v>984</v>
      </c>
      <c r="HL116" s="331" t="s">
        <v>984</v>
      </c>
      <c r="HM116" s="331" t="s">
        <v>190</v>
      </c>
      <c r="HN116" s="331" t="s">
        <v>190</v>
      </c>
      <c r="HO116" s="331" t="s">
        <v>190</v>
      </c>
      <c r="HP116" s="331" t="s">
        <v>190</v>
      </c>
      <c r="HQ116" s="331" t="s">
        <v>170</v>
      </c>
      <c r="HR116" s="331" t="s">
        <v>429</v>
      </c>
      <c r="HS116" s="331" t="s">
        <v>169</v>
      </c>
      <c r="HT116" s="331" t="s">
        <v>427</v>
      </c>
      <c r="HU116" s="331" t="s">
        <v>428</v>
      </c>
      <c r="HV116" s="331" t="s">
        <v>428</v>
      </c>
    </row>
    <row r="117" spans="1:230" s="70" customFormat="1" x14ac:dyDescent="0.25">
      <c r="A117" s="330" t="str">
        <f>HYPERLINK("http://www.ofsted.gov.uk/inspection-reports/find-inspection-report/provider/ELS/113603 ","Ofsted School Webpage")</f>
        <v>Ofsted School Webpage</v>
      </c>
      <c r="B117" s="331">
        <v>113603</v>
      </c>
      <c r="C117" s="331">
        <v>8786029</v>
      </c>
      <c r="D117" s="331" t="s">
        <v>1416</v>
      </c>
      <c r="E117" s="331" t="s">
        <v>167</v>
      </c>
      <c r="F117" s="331" t="s">
        <v>422</v>
      </c>
      <c r="G117" s="331" t="s">
        <v>422</v>
      </c>
      <c r="H117" s="331" t="s">
        <v>663</v>
      </c>
      <c r="I117" s="331" t="s">
        <v>1417</v>
      </c>
      <c r="J117" s="331" t="s">
        <v>81</v>
      </c>
      <c r="K117" s="331" t="s">
        <v>81</v>
      </c>
      <c r="L117" s="331" t="s">
        <v>81</v>
      </c>
      <c r="M117" s="331" t="s">
        <v>78</v>
      </c>
      <c r="N117" s="331" t="s">
        <v>424</v>
      </c>
      <c r="O117" s="331">
        <v>10120991</v>
      </c>
      <c r="P117" s="332">
        <v>43783</v>
      </c>
      <c r="Q117" s="332">
        <v>43783</v>
      </c>
      <c r="R117" s="332">
        <v>43809</v>
      </c>
      <c r="S117" s="331" t="s">
        <v>1061</v>
      </c>
      <c r="T117" s="331" t="s">
        <v>982</v>
      </c>
      <c r="U117" s="331" t="s">
        <v>427</v>
      </c>
      <c r="V117" s="331" t="s">
        <v>166</v>
      </c>
      <c r="W117" s="331" t="s">
        <v>984</v>
      </c>
      <c r="X117" s="331" t="s">
        <v>984</v>
      </c>
      <c r="Y117" s="331" t="s">
        <v>984</v>
      </c>
      <c r="Z117" s="331" t="s">
        <v>984</v>
      </c>
      <c r="AA117" s="331" t="s">
        <v>984</v>
      </c>
      <c r="AB117" s="331" t="s">
        <v>984</v>
      </c>
      <c r="AC117" s="331" t="s">
        <v>984</v>
      </c>
      <c r="AD117" s="331" t="s">
        <v>984</v>
      </c>
      <c r="AE117" s="331" t="s">
        <v>984</v>
      </c>
      <c r="AF117" s="331" t="s">
        <v>984</v>
      </c>
      <c r="AG117" s="331" t="s">
        <v>984</v>
      </c>
      <c r="AH117" s="331" t="s">
        <v>984</v>
      </c>
      <c r="AI117" s="331" t="s">
        <v>984</v>
      </c>
      <c r="AJ117" s="331" t="s">
        <v>984</v>
      </c>
      <c r="AK117" s="331" t="s">
        <v>984</v>
      </c>
      <c r="AL117" s="331" t="s">
        <v>984</v>
      </c>
      <c r="AM117" s="331" t="s">
        <v>984</v>
      </c>
      <c r="AN117" s="331" t="s">
        <v>984</v>
      </c>
      <c r="AO117" s="331" t="s">
        <v>984</v>
      </c>
      <c r="AP117" s="331" t="s">
        <v>984</v>
      </c>
      <c r="AQ117" s="331" t="s">
        <v>191</v>
      </c>
      <c r="AR117" s="331" t="s">
        <v>191</v>
      </c>
      <c r="AS117" s="331" t="s">
        <v>191</v>
      </c>
      <c r="AT117" s="331" t="s">
        <v>191</v>
      </c>
      <c r="AU117" s="331" t="s">
        <v>191</v>
      </c>
      <c r="AV117" s="331" t="s">
        <v>984</v>
      </c>
      <c r="AW117" s="331" t="s">
        <v>984</v>
      </c>
      <c r="AX117" s="331" t="s">
        <v>984</v>
      </c>
      <c r="AY117" s="331" t="s">
        <v>984</v>
      </c>
      <c r="AZ117" s="331" t="s">
        <v>984</v>
      </c>
      <c r="BA117" s="331" t="s">
        <v>984</v>
      </c>
      <c r="BB117" s="331" t="s">
        <v>984</v>
      </c>
      <c r="BC117" s="331" t="s">
        <v>984</v>
      </c>
      <c r="BD117" s="331" t="s">
        <v>984</v>
      </c>
      <c r="BE117" s="331" t="s">
        <v>984</v>
      </c>
      <c r="BF117" s="331" t="s">
        <v>984</v>
      </c>
      <c r="BG117" s="331" t="s">
        <v>984</v>
      </c>
      <c r="BH117" s="331" t="s">
        <v>984</v>
      </c>
      <c r="BI117" s="331" t="s">
        <v>984</v>
      </c>
      <c r="BJ117" s="331" t="s">
        <v>984</v>
      </c>
      <c r="BK117" s="331" t="s">
        <v>984</v>
      </c>
      <c r="BL117" s="331" t="s">
        <v>984</v>
      </c>
      <c r="BM117" s="331" t="s">
        <v>984</v>
      </c>
      <c r="BN117" s="331" t="s">
        <v>984</v>
      </c>
      <c r="BO117" s="331" t="s">
        <v>984</v>
      </c>
      <c r="BP117" s="331" t="s">
        <v>984</v>
      </c>
      <c r="BQ117" s="331" t="s">
        <v>984</v>
      </c>
      <c r="BR117" s="331" t="s">
        <v>191</v>
      </c>
      <c r="BS117" s="331" t="s">
        <v>191</v>
      </c>
      <c r="BT117" s="331" t="s">
        <v>191</v>
      </c>
      <c r="BU117" s="331" t="s">
        <v>191</v>
      </c>
      <c r="BV117" s="331" t="s">
        <v>191</v>
      </c>
      <c r="BW117" s="331" t="s">
        <v>191</v>
      </c>
      <c r="BX117" s="331" t="s">
        <v>984</v>
      </c>
      <c r="BY117" s="331" t="s">
        <v>984</v>
      </c>
      <c r="BZ117" s="331" t="s">
        <v>984</v>
      </c>
      <c r="CA117" s="331" t="s">
        <v>984</v>
      </c>
      <c r="CB117" s="331" t="s">
        <v>984</v>
      </c>
      <c r="CC117" s="331" t="s">
        <v>191</v>
      </c>
      <c r="CD117" s="331" t="s">
        <v>191</v>
      </c>
      <c r="CE117" s="331" t="s">
        <v>984</v>
      </c>
      <c r="CF117" s="331" t="s">
        <v>984</v>
      </c>
      <c r="CG117" s="331" t="s">
        <v>984</v>
      </c>
      <c r="CH117" s="331" t="s">
        <v>191</v>
      </c>
      <c r="CI117" s="331" t="s">
        <v>191</v>
      </c>
      <c r="CJ117" s="331" t="s">
        <v>191</v>
      </c>
      <c r="CK117" s="331" t="s">
        <v>191</v>
      </c>
      <c r="CL117" s="331" t="s">
        <v>984</v>
      </c>
      <c r="CM117" s="331" t="s">
        <v>190</v>
      </c>
      <c r="CN117" s="331" t="s">
        <v>190</v>
      </c>
      <c r="CO117" s="331" t="s">
        <v>190</v>
      </c>
      <c r="CP117" s="331" t="s">
        <v>984</v>
      </c>
      <c r="CQ117" s="331" t="s">
        <v>190</v>
      </c>
      <c r="CR117" s="331" t="s">
        <v>984</v>
      </c>
      <c r="CS117" s="331" t="s">
        <v>984</v>
      </c>
      <c r="CT117" s="331" t="s">
        <v>191</v>
      </c>
      <c r="CU117" s="331" t="s">
        <v>191</v>
      </c>
      <c r="CV117" s="331" t="s">
        <v>191</v>
      </c>
      <c r="CW117" s="331" t="s">
        <v>984</v>
      </c>
      <c r="CX117" s="331" t="s">
        <v>984</v>
      </c>
      <c r="CY117" s="331" t="s">
        <v>984</v>
      </c>
      <c r="CZ117" s="331" t="s">
        <v>984</v>
      </c>
      <c r="DA117" s="331" t="s">
        <v>984</v>
      </c>
      <c r="DB117" s="331" t="s">
        <v>984</v>
      </c>
      <c r="DC117" s="331" t="s">
        <v>984</v>
      </c>
      <c r="DD117" s="331" t="s">
        <v>984</v>
      </c>
      <c r="DE117" s="331" t="s">
        <v>984</v>
      </c>
      <c r="DF117" s="331" t="s">
        <v>984</v>
      </c>
      <c r="DG117" s="331" t="s">
        <v>984</v>
      </c>
      <c r="DH117" s="331" t="s">
        <v>984</v>
      </c>
      <c r="DI117" s="331" t="s">
        <v>984</v>
      </c>
      <c r="DJ117" s="331" t="s">
        <v>984</v>
      </c>
      <c r="DK117" s="331" t="s">
        <v>984</v>
      </c>
      <c r="DL117" s="331" t="s">
        <v>191</v>
      </c>
      <c r="DM117" s="331" t="s">
        <v>984</v>
      </c>
      <c r="DN117" s="331" t="s">
        <v>984</v>
      </c>
      <c r="DO117" s="331" t="s">
        <v>984</v>
      </c>
      <c r="DP117" s="331" t="s">
        <v>191</v>
      </c>
      <c r="DQ117" s="331" t="s">
        <v>984</v>
      </c>
      <c r="DR117" s="331" t="s">
        <v>984</v>
      </c>
      <c r="DS117" s="331" t="s">
        <v>191</v>
      </c>
      <c r="DT117" s="331" t="s">
        <v>984</v>
      </c>
      <c r="DU117" s="331" t="s">
        <v>984</v>
      </c>
      <c r="DV117" s="331" t="s">
        <v>984</v>
      </c>
      <c r="DW117" s="331" t="s">
        <v>191</v>
      </c>
      <c r="DX117" s="331" t="s">
        <v>191</v>
      </c>
      <c r="DY117" s="331" t="s">
        <v>984</v>
      </c>
      <c r="DZ117" s="331" t="s">
        <v>984</v>
      </c>
      <c r="EA117" s="331" t="s">
        <v>984</v>
      </c>
      <c r="EB117" s="331" t="s">
        <v>984</v>
      </c>
      <c r="EC117" s="331" t="s">
        <v>984</v>
      </c>
      <c r="ED117" s="331" t="s">
        <v>984</v>
      </c>
      <c r="EE117" s="331" t="s">
        <v>190</v>
      </c>
      <c r="EF117" s="331" t="s">
        <v>191</v>
      </c>
      <c r="EG117" s="331" t="s">
        <v>984</v>
      </c>
      <c r="EH117" s="331" t="s">
        <v>984</v>
      </c>
      <c r="EI117" s="331" t="s">
        <v>984</v>
      </c>
      <c r="EJ117" s="331" t="s">
        <v>984</v>
      </c>
      <c r="EK117" s="331" t="s">
        <v>984</v>
      </c>
      <c r="EL117" s="331" t="s">
        <v>984</v>
      </c>
      <c r="EM117" s="331" t="s">
        <v>984</v>
      </c>
      <c r="EN117" s="331" t="s">
        <v>984</v>
      </c>
      <c r="EO117" s="331" t="s">
        <v>191</v>
      </c>
      <c r="EP117" s="331" t="s">
        <v>984</v>
      </c>
      <c r="EQ117" s="331" t="s">
        <v>984</v>
      </c>
      <c r="ER117" s="331" t="s">
        <v>984</v>
      </c>
      <c r="ES117" s="331" t="s">
        <v>984</v>
      </c>
      <c r="ET117" s="331" t="s">
        <v>984</v>
      </c>
      <c r="EU117" s="331" t="s">
        <v>984</v>
      </c>
      <c r="EV117" s="331" t="s">
        <v>984</v>
      </c>
      <c r="EW117" s="331" t="s">
        <v>984</v>
      </c>
      <c r="EX117" s="331" t="s">
        <v>984</v>
      </c>
      <c r="EY117" s="331" t="s">
        <v>984</v>
      </c>
      <c r="EZ117" s="331" t="s">
        <v>984</v>
      </c>
      <c r="FA117" s="331" t="s">
        <v>984</v>
      </c>
      <c r="FB117" s="331" t="s">
        <v>191</v>
      </c>
      <c r="FC117" s="331" t="s">
        <v>984</v>
      </c>
      <c r="FD117" s="331" t="s">
        <v>984</v>
      </c>
      <c r="FE117" s="331" t="s">
        <v>984</v>
      </c>
      <c r="FF117" s="331" t="s">
        <v>984</v>
      </c>
      <c r="FG117" s="331" t="s">
        <v>984</v>
      </c>
      <c r="FH117" s="331" t="s">
        <v>984</v>
      </c>
      <c r="FI117" s="331" t="s">
        <v>984</v>
      </c>
      <c r="FJ117" s="331" t="s">
        <v>984</v>
      </c>
      <c r="FK117" s="331" t="s">
        <v>984</v>
      </c>
      <c r="FL117" s="331" t="s">
        <v>984</v>
      </c>
      <c r="FM117" s="331" t="s">
        <v>984</v>
      </c>
      <c r="FN117" s="331" t="s">
        <v>984</v>
      </c>
      <c r="FO117" s="331" t="s">
        <v>984</v>
      </c>
      <c r="FP117" s="331" t="s">
        <v>984</v>
      </c>
      <c r="FQ117" s="331" t="s">
        <v>984</v>
      </c>
      <c r="FR117" s="331" t="s">
        <v>984</v>
      </c>
      <c r="FS117" s="331" t="s">
        <v>984</v>
      </c>
      <c r="FT117" s="331" t="s">
        <v>984</v>
      </c>
      <c r="FU117" s="331" t="s">
        <v>984</v>
      </c>
      <c r="FV117" s="331" t="s">
        <v>984</v>
      </c>
      <c r="FW117" s="331" t="s">
        <v>984</v>
      </c>
      <c r="FX117" s="331" t="s">
        <v>984</v>
      </c>
      <c r="FY117" s="331" t="s">
        <v>984</v>
      </c>
      <c r="FZ117" s="331" t="s">
        <v>984</v>
      </c>
      <c r="GA117" s="331" t="s">
        <v>984</v>
      </c>
      <c r="GB117" s="331" t="s">
        <v>984</v>
      </c>
      <c r="GC117" s="331" t="s">
        <v>984</v>
      </c>
      <c r="GD117" s="331" t="s">
        <v>984</v>
      </c>
      <c r="GE117" s="331" t="s">
        <v>984</v>
      </c>
      <c r="GF117" s="331" t="s">
        <v>984</v>
      </c>
      <c r="GG117" s="331" t="s">
        <v>984</v>
      </c>
      <c r="GH117" s="331" t="s">
        <v>984</v>
      </c>
      <c r="GI117" s="331" t="s">
        <v>984</v>
      </c>
      <c r="GJ117" s="331" t="s">
        <v>984</v>
      </c>
      <c r="GK117" s="331" t="s">
        <v>984</v>
      </c>
      <c r="GL117" s="331" t="s">
        <v>984</v>
      </c>
      <c r="GM117" s="331" t="s">
        <v>984</v>
      </c>
      <c r="GN117" s="331" t="s">
        <v>984</v>
      </c>
      <c r="GO117" s="331" t="s">
        <v>984</v>
      </c>
      <c r="GP117" s="331" t="s">
        <v>984</v>
      </c>
      <c r="GQ117" s="331" t="s">
        <v>984</v>
      </c>
      <c r="GR117" s="331" t="s">
        <v>984</v>
      </c>
      <c r="GS117" s="331" t="s">
        <v>984</v>
      </c>
      <c r="GT117" s="331" t="s">
        <v>984</v>
      </c>
      <c r="GU117" s="331" t="s">
        <v>984</v>
      </c>
      <c r="GV117" s="331" t="s">
        <v>984</v>
      </c>
      <c r="GW117" s="331" t="s">
        <v>984</v>
      </c>
      <c r="GX117" s="331" t="s">
        <v>984</v>
      </c>
      <c r="GY117" s="331" t="s">
        <v>984</v>
      </c>
      <c r="GZ117" s="331" t="s">
        <v>984</v>
      </c>
      <c r="HA117" s="331" t="s">
        <v>984</v>
      </c>
      <c r="HB117" s="331" t="s">
        <v>984</v>
      </c>
      <c r="HC117" s="331" t="s">
        <v>984</v>
      </c>
      <c r="HD117" s="331" t="s">
        <v>984</v>
      </c>
      <c r="HE117" s="331" t="s">
        <v>984</v>
      </c>
      <c r="HF117" s="331" t="s">
        <v>984</v>
      </c>
      <c r="HG117" s="331" t="s">
        <v>984</v>
      </c>
      <c r="HH117" s="331" t="s">
        <v>984</v>
      </c>
      <c r="HI117" s="331" t="s">
        <v>984</v>
      </c>
      <c r="HJ117" s="331" t="s">
        <v>984</v>
      </c>
      <c r="HK117" s="331" t="s">
        <v>984</v>
      </c>
      <c r="HL117" s="331" t="s">
        <v>984</v>
      </c>
      <c r="HM117" s="331" t="s">
        <v>191</v>
      </c>
      <c r="HN117" s="331" t="s">
        <v>191</v>
      </c>
      <c r="HO117" s="331" t="s">
        <v>191</v>
      </c>
      <c r="HP117" s="331" t="s">
        <v>191</v>
      </c>
      <c r="HQ117" s="331" t="s">
        <v>170</v>
      </c>
      <c r="HR117" s="331" t="s">
        <v>429</v>
      </c>
      <c r="HS117" s="331" t="s">
        <v>169</v>
      </c>
      <c r="HT117" s="331" t="s">
        <v>427</v>
      </c>
      <c r="HU117" s="331" t="s">
        <v>191</v>
      </c>
      <c r="HV117" s="331" t="s">
        <v>984</v>
      </c>
    </row>
    <row r="118" spans="1:230" s="70" customFormat="1" x14ac:dyDescent="0.25">
      <c r="A118" s="330" t="str">
        <f>HYPERLINK("http://www.ofsted.gov.uk/inspection-reports/find-inspection-report/provider/ELS/108877 ","Ofsted School Webpage")</f>
        <v>Ofsted School Webpage</v>
      </c>
      <c r="B118" s="331">
        <v>108877</v>
      </c>
      <c r="C118" s="331">
        <v>3946015</v>
      </c>
      <c r="D118" s="331" t="s">
        <v>665</v>
      </c>
      <c r="E118" s="331" t="s">
        <v>168</v>
      </c>
      <c r="F118" s="331" t="s">
        <v>458</v>
      </c>
      <c r="G118" s="331" t="s">
        <v>474</v>
      </c>
      <c r="H118" s="331" t="s">
        <v>666</v>
      </c>
      <c r="I118" s="331" t="s">
        <v>2757</v>
      </c>
      <c r="J118" s="331" t="s">
        <v>81</v>
      </c>
      <c r="K118" s="331" t="s">
        <v>81</v>
      </c>
      <c r="L118" s="331" t="s">
        <v>81</v>
      </c>
      <c r="M118" s="331" t="s">
        <v>78</v>
      </c>
      <c r="N118" s="331" t="s">
        <v>424</v>
      </c>
      <c r="O118" s="331">
        <v>10126408</v>
      </c>
      <c r="P118" s="332">
        <v>43783</v>
      </c>
      <c r="Q118" s="332">
        <v>43783</v>
      </c>
      <c r="R118" s="332">
        <v>43804</v>
      </c>
      <c r="S118" s="331" t="s">
        <v>981</v>
      </c>
      <c r="T118" s="331" t="s">
        <v>982</v>
      </c>
      <c r="U118" s="331" t="s">
        <v>427</v>
      </c>
      <c r="V118" s="331" t="s">
        <v>983</v>
      </c>
      <c r="W118" s="331" t="s">
        <v>984</v>
      </c>
      <c r="X118" s="331" t="s">
        <v>984</v>
      </c>
      <c r="Y118" s="331" t="s">
        <v>984</v>
      </c>
      <c r="Z118" s="331" t="s">
        <v>984</v>
      </c>
      <c r="AA118" s="331" t="s">
        <v>984</v>
      </c>
      <c r="AB118" s="331" t="s">
        <v>984</v>
      </c>
      <c r="AC118" s="331" t="s">
        <v>984</v>
      </c>
      <c r="AD118" s="331" t="s">
        <v>984</v>
      </c>
      <c r="AE118" s="331" t="s">
        <v>984</v>
      </c>
      <c r="AF118" s="331" t="s">
        <v>984</v>
      </c>
      <c r="AG118" s="331" t="s">
        <v>984</v>
      </c>
      <c r="AH118" s="331" t="s">
        <v>984</v>
      </c>
      <c r="AI118" s="331" t="s">
        <v>984</v>
      </c>
      <c r="AJ118" s="331" t="s">
        <v>984</v>
      </c>
      <c r="AK118" s="331" t="s">
        <v>984</v>
      </c>
      <c r="AL118" s="331" t="s">
        <v>984</v>
      </c>
      <c r="AM118" s="331" t="s">
        <v>984</v>
      </c>
      <c r="AN118" s="331" t="s">
        <v>984</v>
      </c>
      <c r="AO118" s="331" t="s">
        <v>984</v>
      </c>
      <c r="AP118" s="331" t="s">
        <v>984</v>
      </c>
      <c r="AQ118" s="331" t="s">
        <v>984</v>
      </c>
      <c r="AR118" s="331" t="s">
        <v>984</v>
      </c>
      <c r="AS118" s="331" t="s">
        <v>984</v>
      </c>
      <c r="AT118" s="331" t="s">
        <v>984</v>
      </c>
      <c r="AU118" s="331" t="s">
        <v>984</v>
      </c>
      <c r="AV118" s="331" t="s">
        <v>984</v>
      </c>
      <c r="AW118" s="331" t="s">
        <v>984</v>
      </c>
      <c r="AX118" s="331" t="s">
        <v>984</v>
      </c>
      <c r="AY118" s="331" t="s">
        <v>984</v>
      </c>
      <c r="AZ118" s="331" t="s">
        <v>984</v>
      </c>
      <c r="BA118" s="331" t="s">
        <v>984</v>
      </c>
      <c r="BB118" s="331" t="s">
        <v>984</v>
      </c>
      <c r="BC118" s="331" t="s">
        <v>984</v>
      </c>
      <c r="BD118" s="331" t="s">
        <v>984</v>
      </c>
      <c r="BE118" s="331" t="s">
        <v>984</v>
      </c>
      <c r="BF118" s="331" t="s">
        <v>984</v>
      </c>
      <c r="BG118" s="331" t="s">
        <v>984</v>
      </c>
      <c r="BH118" s="331" t="s">
        <v>984</v>
      </c>
      <c r="BI118" s="331" t="s">
        <v>984</v>
      </c>
      <c r="BJ118" s="331" t="s">
        <v>984</v>
      </c>
      <c r="BK118" s="331" t="s">
        <v>984</v>
      </c>
      <c r="BL118" s="331" t="s">
        <v>984</v>
      </c>
      <c r="BM118" s="331" t="s">
        <v>984</v>
      </c>
      <c r="BN118" s="331" t="s">
        <v>984</v>
      </c>
      <c r="BO118" s="331" t="s">
        <v>984</v>
      </c>
      <c r="BP118" s="331" t="s">
        <v>984</v>
      </c>
      <c r="BQ118" s="331" t="s">
        <v>984</v>
      </c>
      <c r="BR118" s="331" t="s">
        <v>190</v>
      </c>
      <c r="BS118" s="331" t="s">
        <v>190</v>
      </c>
      <c r="BT118" s="331" t="s">
        <v>190</v>
      </c>
      <c r="BU118" s="331" t="s">
        <v>428</v>
      </c>
      <c r="BV118" s="331" t="s">
        <v>428</v>
      </c>
      <c r="BW118" s="331" t="s">
        <v>428</v>
      </c>
      <c r="BX118" s="331" t="s">
        <v>984</v>
      </c>
      <c r="BY118" s="331" t="s">
        <v>984</v>
      </c>
      <c r="BZ118" s="331" t="s">
        <v>984</v>
      </c>
      <c r="CA118" s="331" t="s">
        <v>984</v>
      </c>
      <c r="CB118" s="331" t="s">
        <v>984</v>
      </c>
      <c r="CC118" s="331" t="s">
        <v>190</v>
      </c>
      <c r="CD118" s="331" t="s">
        <v>190</v>
      </c>
      <c r="CE118" s="331" t="s">
        <v>984</v>
      </c>
      <c r="CF118" s="331" t="s">
        <v>984</v>
      </c>
      <c r="CG118" s="331" t="s">
        <v>984</v>
      </c>
      <c r="CH118" s="331" t="s">
        <v>190</v>
      </c>
      <c r="CI118" s="331" t="s">
        <v>190</v>
      </c>
      <c r="CJ118" s="331" t="s">
        <v>190</v>
      </c>
      <c r="CK118" s="331" t="s">
        <v>984</v>
      </c>
      <c r="CL118" s="331" t="s">
        <v>984</v>
      </c>
      <c r="CM118" s="331" t="s">
        <v>984</v>
      </c>
      <c r="CN118" s="331" t="s">
        <v>984</v>
      </c>
      <c r="CO118" s="331" t="s">
        <v>984</v>
      </c>
      <c r="CP118" s="331" t="s">
        <v>984</v>
      </c>
      <c r="CQ118" s="331" t="s">
        <v>984</v>
      </c>
      <c r="CR118" s="331" t="s">
        <v>984</v>
      </c>
      <c r="CS118" s="331" t="s">
        <v>984</v>
      </c>
      <c r="CT118" s="331" t="s">
        <v>984</v>
      </c>
      <c r="CU118" s="331" t="s">
        <v>984</v>
      </c>
      <c r="CV118" s="331" t="s">
        <v>984</v>
      </c>
      <c r="CW118" s="331" t="s">
        <v>984</v>
      </c>
      <c r="CX118" s="331" t="s">
        <v>984</v>
      </c>
      <c r="CY118" s="331" t="s">
        <v>984</v>
      </c>
      <c r="CZ118" s="331" t="s">
        <v>984</v>
      </c>
      <c r="DA118" s="331" t="s">
        <v>984</v>
      </c>
      <c r="DB118" s="331" t="s">
        <v>984</v>
      </c>
      <c r="DC118" s="331" t="s">
        <v>984</v>
      </c>
      <c r="DD118" s="331" t="s">
        <v>984</v>
      </c>
      <c r="DE118" s="331" t="s">
        <v>984</v>
      </c>
      <c r="DF118" s="331" t="s">
        <v>984</v>
      </c>
      <c r="DG118" s="331" t="s">
        <v>984</v>
      </c>
      <c r="DH118" s="331" t="s">
        <v>984</v>
      </c>
      <c r="DI118" s="331" t="s">
        <v>984</v>
      </c>
      <c r="DJ118" s="331" t="s">
        <v>984</v>
      </c>
      <c r="DK118" s="331" t="s">
        <v>984</v>
      </c>
      <c r="DL118" s="331" t="s">
        <v>984</v>
      </c>
      <c r="DM118" s="331" t="s">
        <v>984</v>
      </c>
      <c r="DN118" s="331" t="s">
        <v>984</v>
      </c>
      <c r="DO118" s="331" t="s">
        <v>984</v>
      </c>
      <c r="DP118" s="331" t="s">
        <v>984</v>
      </c>
      <c r="DQ118" s="331" t="s">
        <v>984</v>
      </c>
      <c r="DR118" s="331" t="s">
        <v>984</v>
      </c>
      <c r="DS118" s="331" t="s">
        <v>984</v>
      </c>
      <c r="DT118" s="331" t="s">
        <v>984</v>
      </c>
      <c r="DU118" s="331" t="s">
        <v>190</v>
      </c>
      <c r="DV118" s="331" t="s">
        <v>190</v>
      </c>
      <c r="DW118" s="331" t="s">
        <v>190</v>
      </c>
      <c r="DX118" s="331" t="s">
        <v>190</v>
      </c>
      <c r="DY118" s="331" t="s">
        <v>190</v>
      </c>
      <c r="DZ118" s="331" t="s">
        <v>190</v>
      </c>
      <c r="EA118" s="331" t="s">
        <v>190</v>
      </c>
      <c r="EB118" s="331" t="s">
        <v>190</v>
      </c>
      <c r="EC118" s="331" t="s">
        <v>190</v>
      </c>
      <c r="ED118" s="331" t="s">
        <v>190</v>
      </c>
      <c r="EE118" s="331" t="s">
        <v>190</v>
      </c>
      <c r="EF118" s="331" t="s">
        <v>190</v>
      </c>
      <c r="EG118" s="331" t="s">
        <v>190</v>
      </c>
      <c r="EH118" s="331" t="s">
        <v>190</v>
      </c>
      <c r="EI118" s="331" t="s">
        <v>190</v>
      </c>
      <c r="EJ118" s="331" t="s">
        <v>190</v>
      </c>
      <c r="EK118" s="331" t="s">
        <v>190</v>
      </c>
      <c r="EL118" s="331" t="s">
        <v>190</v>
      </c>
      <c r="EM118" s="331" t="s">
        <v>190</v>
      </c>
      <c r="EN118" s="331" t="s">
        <v>190</v>
      </c>
      <c r="EO118" s="331" t="s">
        <v>190</v>
      </c>
      <c r="EP118" s="331" t="s">
        <v>190</v>
      </c>
      <c r="EQ118" s="331" t="s">
        <v>190</v>
      </c>
      <c r="ER118" s="331" t="s">
        <v>190</v>
      </c>
      <c r="ES118" s="331" t="s">
        <v>190</v>
      </c>
      <c r="ET118" s="331" t="s">
        <v>190</v>
      </c>
      <c r="EU118" s="331" t="s">
        <v>190</v>
      </c>
      <c r="EV118" s="331" t="s">
        <v>190</v>
      </c>
      <c r="EW118" s="331" t="s">
        <v>190</v>
      </c>
      <c r="EX118" s="331" t="s">
        <v>190</v>
      </c>
      <c r="EY118" s="331" t="s">
        <v>190</v>
      </c>
      <c r="EZ118" s="331" t="s">
        <v>428</v>
      </c>
      <c r="FA118" s="331" t="s">
        <v>190</v>
      </c>
      <c r="FB118" s="331" t="s">
        <v>190</v>
      </c>
      <c r="FC118" s="331" t="s">
        <v>190</v>
      </c>
      <c r="FD118" s="331" t="s">
        <v>190</v>
      </c>
      <c r="FE118" s="331" t="s">
        <v>190</v>
      </c>
      <c r="FF118" s="331" t="s">
        <v>190</v>
      </c>
      <c r="FG118" s="331" t="s">
        <v>190</v>
      </c>
      <c r="FH118" s="331" t="s">
        <v>190</v>
      </c>
      <c r="FI118" s="331" t="s">
        <v>190</v>
      </c>
      <c r="FJ118" s="331" t="s">
        <v>190</v>
      </c>
      <c r="FK118" s="331" t="s">
        <v>190</v>
      </c>
      <c r="FL118" s="331" t="s">
        <v>190</v>
      </c>
      <c r="FM118" s="331" t="s">
        <v>190</v>
      </c>
      <c r="FN118" s="331" t="s">
        <v>190</v>
      </c>
      <c r="FO118" s="331" t="s">
        <v>190</v>
      </c>
      <c r="FP118" s="331" t="s">
        <v>190</v>
      </c>
      <c r="FQ118" s="331" t="s">
        <v>190</v>
      </c>
      <c r="FR118" s="331" t="s">
        <v>428</v>
      </c>
      <c r="FS118" s="331" t="s">
        <v>984</v>
      </c>
      <c r="FT118" s="331" t="s">
        <v>984</v>
      </c>
      <c r="FU118" s="331" t="s">
        <v>984</v>
      </c>
      <c r="FV118" s="331" t="s">
        <v>190</v>
      </c>
      <c r="FW118" s="331" t="s">
        <v>984</v>
      </c>
      <c r="FX118" s="331" t="s">
        <v>984</v>
      </c>
      <c r="FY118" s="331" t="s">
        <v>984</v>
      </c>
      <c r="FZ118" s="331" t="s">
        <v>984</v>
      </c>
      <c r="GA118" s="331" t="s">
        <v>984</v>
      </c>
      <c r="GB118" s="331" t="s">
        <v>984</v>
      </c>
      <c r="GC118" s="331" t="s">
        <v>984</v>
      </c>
      <c r="GD118" s="331" t="s">
        <v>984</v>
      </c>
      <c r="GE118" s="331" t="s">
        <v>984</v>
      </c>
      <c r="GF118" s="331" t="s">
        <v>984</v>
      </c>
      <c r="GG118" s="331" t="s">
        <v>984</v>
      </c>
      <c r="GH118" s="331" t="s">
        <v>984</v>
      </c>
      <c r="GI118" s="331" t="s">
        <v>984</v>
      </c>
      <c r="GJ118" s="331" t="s">
        <v>984</v>
      </c>
      <c r="GK118" s="331" t="s">
        <v>984</v>
      </c>
      <c r="GL118" s="331" t="s">
        <v>984</v>
      </c>
      <c r="GM118" s="331" t="s">
        <v>984</v>
      </c>
      <c r="GN118" s="331" t="s">
        <v>984</v>
      </c>
      <c r="GO118" s="331" t="s">
        <v>984</v>
      </c>
      <c r="GP118" s="331" t="s">
        <v>984</v>
      </c>
      <c r="GQ118" s="331" t="s">
        <v>984</v>
      </c>
      <c r="GR118" s="331" t="s">
        <v>984</v>
      </c>
      <c r="GS118" s="331" t="s">
        <v>984</v>
      </c>
      <c r="GT118" s="331" t="s">
        <v>984</v>
      </c>
      <c r="GU118" s="331" t="s">
        <v>984</v>
      </c>
      <c r="GV118" s="331" t="s">
        <v>984</v>
      </c>
      <c r="GW118" s="331" t="s">
        <v>984</v>
      </c>
      <c r="GX118" s="331" t="s">
        <v>984</v>
      </c>
      <c r="GY118" s="331" t="s">
        <v>984</v>
      </c>
      <c r="GZ118" s="331" t="s">
        <v>984</v>
      </c>
      <c r="HA118" s="331" t="s">
        <v>984</v>
      </c>
      <c r="HB118" s="331" t="s">
        <v>984</v>
      </c>
      <c r="HC118" s="331" t="s">
        <v>984</v>
      </c>
      <c r="HD118" s="331" t="s">
        <v>984</v>
      </c>
      <c r="HE118" s="331" t="s">
        <v>984</v>
      </c>
      <c r="HF118" s="331" t="s">
        <v>984</v>
      </c>
      <c r="HG118" s="331" t="s">
        <v>984</v>
      </c>
      <c r="HH118" s="331" t="s">
        <v>984</v>
      </c>
      <c r="HI118" s="331" t="s">
        <v>984</v>
      </c>
      <c r="HJ118" s="331" t="s">
        <v>984</v>
      </c>
      <c r="HK118" s="331" t="s">
        <v>984</v>
      </c>
      <c r="HL118" s="331" t="s">
        <v>984</v>
      </c>
      <c r="HM118" s="331" t="s">
        <v>190</v>
      </c>
      <c r="HN118" s="331" t="s">
        <v>190</v>
      </c>
      <c r="HO118" s="331" t="s">
        <v>190</v>
      </c>
      <c r="HP118" s="331" t="s">
        <v>190</v>
      </c>
      <c r="HQ118" s="331" t="s">
        <v>170</v>
      </c>
      <c r="HR118" s="331" t="s">
        <v>429</v>
      </c>
      <c r="HS118" s="331" t="s">
        <v>169</v>
      </c>
      <c r="HT118" s="331" t="s">
        <v>427</v>
      </c>
      <c r="HU118" s="331" t="s">
        <v>984</v>
      </c>
      <c r="HV118" s="331" t="s">
        <v>984</v>
      </c>
    </row>
    <row r="119" spans="1:230" s="70" customFormat="1" x14ac:dyDescent="0.25">
      <c r="A119" s="330" t="str">
        <f>HYPERLINK("http://www.ofsted.gov.uk/inspection-reports/find-inspection-report/provider/ELS/143106 ","Ofsted School Webpage")</f>
        <v>Ofsted School Webpage</v>
      </c>
      <c r="B119" s="331">
        <v>143106</v>
      </c>
      <c r="C119" s="331">
        <v>8856045</v>
      </c>
      <c r="D119" s="331" t="s">
        <v>2395</v>
      </c>
      <c r="E119" s="331" t="s">
        <v>168</v>
      </c>
      <c r="F119" s="331" t="s">
        <v>437</v>
      </c>
      <c r="G119" s="331" t="s">
        <v>437</v>
      </c>
      <c r="H119" s="331" t="s">
        <v>483</v>
      </c>
      <c r="I119" s="331" t="s">
        <v>2396</v>
      </c>
      <c r="J119" s="331" t="s">
        <v>81</v>
      </c>
      <c r="K119" s="331" t="s">
        <v>81</v>
      </c>
      <c r="L119" s="331" t="s">
        <v>81</v>
      </c>
      <c r="M119" s="331" t="s">
        <v>78</v>
      </c>
      <c r="N119" s="331" t="s">
        <v>424</v>
      </c>
      <c r="O119" s="331">
        <v>10129571</v>
      </c>
      <c r="P119" s="332">
        <v>43783</v>
      </c>
      <c r="Q119" s="332">
        <v>43783</v>
      </c>
      <c r="R119" s="332">
        <v>43810</v>
      </c>
      <c r="S119" s="331" t="s">
        <v>981</v>
      </c>
      <c r="T119" s="331" t="s">
        <v>982</v>
      </c>
      <c r="U119" s="331" t="s">
        <v>427</v>
      </c>
      <c r="V119" s="331" t="s">
        <v>983</v>
      </c>
      <c r="W119" s="331" t="s">
        <v>190</v>
      </c>
      <c r="X119" s="331" t="s">
        <v>190</v>
      </c>
      <c r="Y119" s="331" t="s">
        <v>190</v>
      </c>
      <c r="Z119" s="331" t="s">
        <v>190</v>
      </c>
      <c r="AA119" s="331" t="s">
        <v>190</v>
      </c>
      <c r="AB119" s="331" t="s">
        <v>190</v>
      </c>
      <c r="AC119" s="331" t="s">
        <v>190</v>
      </c>
      <c r="AD119" s="331" t="s">
        <v>190</v>
      </c>
      <c r="AE119" s="331" t="s">
        <v>428</v>
      </c>
      <c r="AF119" s="331" t="s">
        <v>190</v>
      </c>
      <c r="AG119" s="331" t="s">
        <v>190</v>
      </c>
      <c r="AH119" s="331" t="s">
        <v>190</v>
      </c>
      <c r="AI119" s="331" t="s">
        <v>190</v>
      </c>
      <c r="AJ119" s="331" t="s">
        <v>190</v>
      </c>
      <c r="AK119" s="331" t="s">
        <v>190</v>
      </c>
      <c r="AL119" s="331" t="s">
        <v>190</v>
      </c>
      <c r="AM119" s="331" t="s">
        <v>428</v>
      </c>
      <c r="AN119" s="331" t="s">
        <v>428</v>
      </c>
      <c r="AO119" s="331" t="s">
        <v>190</v>
      </c>
      <c r="AP119" s="331" t="s">
        <v>190</v>
      </c>
      <c r="AQ119" s="331" t="s">
        <v>190</v>
      </c>
      <c r="AR119" s="331" t="s">
        <v>190</v>
      </c>
      <c r="AS119" s="331" t="s">
        <v>190</v>
      </c>
      <c r="AT119" s="331" t="s">
        <v>190</v>
      </c>
      <c r="AU119" s="331" t="s">
        <v>190</v>
      </c>
      <c r="AV119" s="331" t="s">
        <v>190</v>
      </c>
      <c r="AW119" s="331" t="s">
        <v>190</v>
      </c>
      <c r="AX119" s="331" t="s">
        <v>190</v>
      </c>
      <c r="AY119" s="331" t="s">
        <v>190</v>
      </c>
      <c r="AZ119" s="331" t="s">
        <v>190</v>
      </c>
      <c r="BA119" s="331" t="s">
        <v>190</v>
      </c>
      <c r="BB119" s="331" t="s">
        <v>190</v>
      </c>
      <c r="BC119" s="331" t="s">
        <v>984</v>
      </c>
      <c r="BD119" s="331" t="s">
        <v>984</v>
      </c>
      <c r="BE119" s="331" t="s">
        <v>984</v>
      </c>
      <c r="BF119" s="331" t="s">
        <v>984</v>
      </c>
      <c r="BG119" s="331" t="s">
        <v>984</v>
      </c>
      <c r="BH119" s="331" t="s">
        <v>984</v>
      </c>
      <c r="BI119" s="331" t="s">
        <v>984</v>
      </c>
      <c r="BJ119" s="331" t="s">
        <v>984</v>
      </c>
      <c r="BK119" s="331" t="s">
        <v>984</v>
      </c>
      <c r="BL119" s="331" t="s">
        <v>984</v>
      </c>
      <c r="BM119" s="331" t="s">
        <v>984</v>
      </c>
      <c r="BN119" s="331" t="s">
        <v>984</v>
      </c>
      <c r="BO119" s="331" t="s">
        <v>984</v>
      </c>
      <c r="BP119" s="331" t="s">
        <v>984</v>
      </c>
      <c r="BQ119" s="331" t="s">
        <v>984</v>
      </c>
      <c r="BR119" s="331" t="s">
        <v>190</v>
      </c>
      <c r="BS119" s="331" t="s">
        <v>190</v>
      </c>
      <c r="BT119" s="331" t="s">
        <v>190</v>
      </c>
      <c r="BU119" s="331" t="s">
        <v>428</v>
      </c>
      <c r="BV119" s="331" t="s">
        <v>984</v>
      </c>
      <c r="BW119" s="331" t="s">
        <v>428</v>
      </c>
      <c r="BX119" s="331" t="s">
        <v>190</v>
      </c>
      <c r="BY119" s="331" t="s">
        <v>190</v>
      </c>
      <c r="BZ119" s="331" t="s">
        <v>190</v>
      </c>
      <c r="CA119" s="331" t="s">
        <v>190</v>
      </c>
      <c r="CB119" s="331" t="s">
        <v>190</v>
      </c>
      <c r="CC119" s="331" t="s">
        <v>190</v>
      </c>
      <c r="CD119" s="331" t="s">
        <v>190</v>
      </c>
      <c r="CE119" s="331" t="s">
        <v>190</v>
      </c>
      <c r="CF119" s="331" t="s">
        <v>190</v>
      </c>
      <c r="CG119" s="331" t="s">
        <v>190</v>
      </c>
      <c r="CH119" s="331" t="s">
        <v>190</v>
      </c>
      <c r="CI119" s="331" t="s">
        <v>190</v>
      </c>
      <c r="CJ119" s="331" t="s">
        <v>190</v>
      </c>
      <c r="CK119" s="331" t="s">
        <v>190</v>
      </c>
      <c r="CL119" s="331" t="s">
        <v>190</v>
      </c>
      <c r="CM119" s="331" t="s">
        <v>190</v>
      </c>
      <c r="CN119" s="331" t="s">
        <v>190</v>
      </c>
      <c r="CO119" s="331" t="s">
        <v>190</v>
      </c>
      <c r="CP119" s="331" t="s">
        <v>190</v>
      </c>
      <c r="CQ119" s="331" t="s">
        <v>190</v>
      </c>
      <c r="CR119" s="331" t="s">
        <v>190</v>
      </c>
      <c r="CS119" s="331" t="s">
        <v>190</v>
      </c>
      <c r="CT119" s="331" t="s">
        <v>190</v>
      </c>
      <c r="CU119" s="331" t="s">
        <v>190</v>
      </c>
      <c r="CV119" s="331" t="s">
        <v>190</v>
      </c>
      <c r="CW119" s="331" t="s">
        <v>190</v>
      </c>
      <c r="CX119" s="331" t="s">
        <v>190</v>
      </c>
      <c r="CY119" s="331" t="s">
        <v>190</v>
      </c>
      <c r="CZ119" s="331" t="s">
        <v>190</v>
      </c>
      <c r="DA119" s="331" t="s">
        <v>190</v>
      </c>
      <c r="DB119" s="331" t="s">
        <v>190</v>
      </c>
      <c r="DC119" s="331" t="s">
        <v>190</v>
      </c>
      <c r="DD119" s="331" t="s">
        <v>190</v>
      </c>
      <c r="DE119" s="331" t="s">
        <v>190</v>
      </c>
      <c r="DF119" s="331" t="s">
        <v>190</v>
      </c>
      <c r="DG119" s="331" t="s">
        <v>190</v>
      </c>
      <c r="DH119" s="331" t="s">
        <v>190</v>
      </c>
      <c r="DI119" s="331" t="s">
        <v>190</v>
      </c>
      <c r="DJ119" s="331" t="s">
        <v>428</v>
      </c>
      <c r="DK119" s="331" t="s">
        <v>190</v>
      </c>
      <c r="DL119" s="331" t="s">
        <v>190</v>
      </c>
      <c r="DM119" s="331" t="s">
        <v>190</v>
      </c>
      <c r="DN119" s="331" t="s">
        <v>190</v>
      </c>
      <c r="DO119" s="331" t="s">
        <v>190</v>
      </c>
      <c r="DP119" s="331" t="s">
        <v>190</v>
      </c>
      <c r="DQ119" s="331" t="s">
        <v>190</v>
      </c>
      <c r="DR119" s="331" t="s">
        <v>190</v>
      </c>
      <c r="DS119" s="331" t="s">
        <v>190</v>
      </c>
      <c r="DT119" s="331" t="s">
        <v>190</v>
      </c>
      <c r="DU119" s="331" t="s">
        <v>190</v>
      </c>
      <c r="DV119" s="331" t="s">
        <v>190</v>
      </c>
      <c r="DW119" s="331" t="s">
        <v>190</v>
      </c>
      <c r="DX119" s="331" t="s">
        <v>190</v>
      </c>
      <c r="DY119" s="331" t="s">
        <v>190</v>
      </c>
      <c r="DZ119" s="331" t="s">
        <v>190</v>
      </c>
      <c r="EA119" s="331" t="s">
        <v>190</v>
      </c>
      <c r="EB119" s="331" t="s">
        <v>190</v>
      </c>
      <c r="EC119" s="331" t="s">
        <v>190</v>
      </c>
      <c r="ED119" s="331" t="s">
        <v>190</v>
      </c>
      <c r="EE119" s="331" t="s">
        <v>190</v>
      </c>
      <c r="EF119" s="331" t="s">
        <v>190</v>
      </c>
      <c r="EG119" s="331" t="s">
        <v>190</v>
      </c>
      <c r="EH119" s="331" t="s">
        <v>190</v>
      </c>
      <c r="EI119" s="331" t="s">
        <v>190</v>
      </c>
      <c r="EJ119" s="331" t="s">
        <v>190</v>
      </c>
      <c r="EK119" s="331" t="s">
        <v>190</v>
      </c>
      <c r="EL119" s="331" t="s">
        <v>190</v>
      </c>
      <c r="EM119" s="331" t="s">
        <v>190</v>
      </c>
      <c r="EN119" s="331" t="s">
        <v>190</v>
      </c>
      <c r="EO119" s="331" t="s">
        <v>190</v>
      </c>
      <c r="EP119" s="331" t="s">
        <v>190</v>
      </c>
      <c r="EQ119" s="331" t="s">
        <v>190</v>
      </c>
      <c r="ER119" s="331" t="s">
        <v>190</v>
      </c>
      <c r="ES119" s="331" t="s">
        <v>190</v>
      </c>
      <c r="ET119" s="331" t="s">
        <v>190</v>
      </c>
      <c r="EU119" s="331" t="s">
        <v>190</v>
      </c>
      <c r="EV119" s="331" t="s">
        <v>190</v>
      </c>
      <c r="EW119" s="331" t="s">
        <v>190</v>
      </c>
      <c r="EX119" s="331" t="s">
        <v>190</v>
      </c>
      <c r="EY119" s="331" t="s">
        <v>190</v>
      </c>
      <c r="EZ119" s="331" t="s">
        <v>428</v>
      </c>
      <c r="FA119" s="331" t="s">
        <v>190</v>
      </c>
      <c r="FB119" s="331" t="s">
        <v>190</v>
      </c>
      <c r="FC119" s="331" t="s">
        <v>190</v>
      </c>
      <c r="FD119" s="331" t="s">
        <v>190</v>
      </c>
      <c r="FE119" s="331" t="s">
        <v>190</v>
      </c>
      <c r="FF119" s="331" t="s">
        <v>190</v>
      </c>
      <c r="FG119" s="331" t="s">
        <v>190</v>
      </c>
      <c r="FH119" s="331" t="s">
        <v>190</v>
      </c>
      <c r="FI119" s="331" t="s">
        <v>190</v>
      </c>
      <c r="FJ119" s="331" t="s">
        <v>190</v>
      </c>
      <c r="FK119" s="331" t="s">
        <v>190</v>
      </c>
      <c r="FL119" s="331" t="s">
        <v>190</v>
      </c>
      <c r="FM119" s="331" t="s">
        <v>190</v>
      </c>
      <c r="FN119" s="331" t="s">
        <v>190</v>
      </c>
      <c r="FO119" s="331" t="s">
        <v>190</v>
      </c>
      <c r="FP119" s="331" t="s">
        <v>190</v>
      </c>
      <c r="FQ119" s="331" t="s">
        <v>190</v>
      </c>
      <c r="FR119" s="331" t="s">
        <v>428</v>
      </c>
      <c r="FS119" s="331" t="s">
        <v>984</v>
      </c>
      <c r="FT119" s="331" t="s">
        <v>984</v>
      </c>
      <c r="FU119" s="331" t="s">
        <v>984</v>
      </c>
      <c r="FV119" s="331" t="s">
        <v>190</v>
      </c>
      <c r="FW119" s="331" t="s">
        <v>984</v>
      </c>
      <c r="FX119" s="331" t="s">
        <v>984</v>
      </c>
      <c r="FY119" s="331" t="s">
        <v>984</v>
      </c>
      <c r="FZ119" s="331" t="s">
        <v>984</v>
      </c>
      <c r="GA119" s="331" t="s">
        <v>984</v>
      </c>
      <c r="GB119" s="331" t="s">
        <v>984</v>
      </c>
      <c r="GC119" s="331" t="s">
        <v>984</v>
      </c>
      <c r="GD119" s="331" t="s">
        <v>984</v>
      </c>
      <c r="GE119" s="331" t="s">
        <v>984</v>
      </c>
      <c r="GF119" s="331" t="s">
        <v>984</v>
      </c>
      <c r="GG119" s="331" t="s">
        <v>984</v>
      </c>
      <c r="GH119" s="331" t="s">
        <v>984</v>
      </c>
      <c r="GI119" s="331" t="s">
        <v>984</v>
      </c>
      <c r="GJ119" s="331" t="s">
        <v>984</v>
      </c>
      <c r="GK119" s="331" t="s">
        <v>984</v>
      </c>
      <c r="GL119" s="331" t="s">
        <v>984</v>
      </c>
      <c r="GM119" s="331" t="s">
        <v>984</v>
      </c>
      <c r="GN119" s="331" t="s">
        <v>984</v>
      </c>
      <c r="GO119" s="331" t="s">
        <v>984</v>
      </c>
      <c r="GP119" s="331" t="s">
        <v>984</v>
      </c>
      <c r="GQ119" s="331" t="s">
        <v>984</v>
      </c>
      <c r="GR119" s="331" t="s">
        <v>984</v>
      </c>
      <c r="GS119" s="331" t="s">
        <v>984</v>
      </c>
      <c r="GT119" s="331" t="s">
        <v>984</v>
      </c>
      <c r="GU119" s="331" t="s">
        <v>984</v>
      </c>
      <c r="GV119" s="331" t="s">
        <v>984</v>
      </c>
      <c r="GW119" s="331" t="s">
        <v>984</v>
      </c>
      <c r="GX119" s="331" t="s">
        <v>984</v>
      </c>
      <c r="GY119" s="331" t="s">
        <v>984</v>
      </c>
      <c r="GZ119" s="331" t="s">
        <v>984</v>
      </c>
      <c r="HA119" s="331" t="s">
        <v>984</v>
      </c>
      <c r="HB119" s="331" t="s">
        <v>984</v>
      </c>
      <c r="HC119" s="331" t="s">
        <v>984</v>
      </c>
      <c r="HD119" s="331" t="s">
        <v>984</v>
      </c>
      <c r="HE119" s="331" t="s">
        <v>984</v>
      </c>
      <c r="HF119" s="331" t="s">
        <v>984</v>
      </c>
      <c r="HG119" s="331" t="s">
        <v>984</v>
      </c>
      <c r="HH119" s="331" t="s">
        <v>984</v>
      </c>
      <c r="HI119" s="331" t="s">
        <v>984</v>
      </c>
      <c r="HJ119" s="331" t="s">
        <v>984</v>
      </c>
      <c r="HK119" s="331" t="s">
        <v>984</v>
      </c>
      <c r="HL119" s="331" t="s">
        <v>984</v>
      </c>
      <c r="HM119" s="331" t="s">
        <v>190</v>
      </c>
      <c r="HN119" s="331" t="s">
        <v>190</v>
      </c>
      <c r="HO119" s="331" t="s">
        <v>190</v>
      </c>
      <c r="HP119" s="331" t="s">
        <v>190</v>
      </c>
      <c r="HQ119" s="331" t="s">
        <v>170</v>
      </c>
      <c r="HR119" s="331" t="s">
        <v>429</v>
      </c>
      <c r="HS119" s="331" t="s">
        <v>169</v>
      </c>
      <c r="HT119" s="331" t="s">
        <v>427</v>
      </c>
      <c r="HU119" s="331" t="s">
        <v>984</v>
      </c>
      <c r="HV119" s="331" t="s">
        <v>984</v>
      </c>
    </row>
    <row r="120" spans="1:230" s="70" customFormat="1" x14ac:dyDescent="0.25">
      <c r="A120" s="330" t="str">
        <f>HYPERLINK("http://www.ofsted.gov.uk/inspection-reports/find-inspection-report/provider/ELS/136069 ","Ofsted School Webpage")</f>
        <v>Ofsted School Webpage</v>
      </c>
      <c r="B120" s="331">
        <v>136069</v>
      </c>
      <c r="C120" s="331">
        <v>8886056</v>
      </c>
      <c r="D120" s="331" t="s">
        <v>1064</v>
      </c>
      <c r="E120" s="331" t="s">
        <v>168</v>
      </c>
      <c r="F120" s="331" t="s">
        <v>431</v>
      </c>
      <c r="G120" s="331" t="s">
        <v>431</v>
      </c>
      <c r="H120" s="331" t="s">
        <v>469</v>
      </c>
      <c r="I120" s="331" t="s">
        <v>1065</v>
      </c>
      <c r="J120" s="331" t="s">
        <v>81</v>
      </c>
      <c r="K120" s="331" t="s">
        <v>81</v>
      </c>
      <c r="L120" s="331" t="s">
        <v>81</v>
      </c>
      <c r="M120" s="331" t="s">
        <v>78</v>
      </c>
      <c r="N120" s="331" t="s">
        <v>424</v>
      </c>
      <c r="O120" s="331">
        <v>10130364</v>
      </c>
      <c r="P120" s="332">
        <v>43783</v>
      </c>
      <c r="Q120" s="332">
        <v>43783</v>
      </c>
      <c r="R120" s="332">
        <v>43801</v>
      </c>
      <c r="S120" s="331" t="s">
        <v>997</v>
      </c>
      <c r="T120" s="331" t="s">
        <v>982</v>
      </c>
      <c r="U120" s="331" t="s">
        <v>427</v>
      </c>
      <c r="V120" s="331" t="s">
        <v>165</v>
      </c>
      <c r="W120" s="331" t="s">
        <v>984</v>
      </c>
      <c r="X120" s="331" t="s">
        <v>984</v>
      </c>
      <c r="Y120" s="331" t="s">
        <v>984</v>
      </c>
      <c r="Z120" s="331" t="s">
        <v>984</v>
      </c>
      <c r="AA120" s="331" t="s">
        <v>984</v>
      </c>
      <c r="AB120" s="331" t="s">
        <v>984</v>
      </c>
      <c r="AC120" s="331" t="s">
        <v>984</v>
      </c>
      <c r="AD120" s="331" t="s">
        <v>984</v>
      </c>
      <c r="AE120" s="331" t="s">
        <v>984</v>
      </c>
      <c r="AF120" s="331" t="s">
        <v>984</v>
      </c>
      <c r="AG120" s="331" t="s">
        <v>984</v>
      </c>
      <c r="AH120" s="331" t="s">
        <v>984</v>
      </c>
      <c r="AI120" s="331" t="s">
        <v>984</v>
      </c>
      <c r="AJ120" s="331" t="s">
        <v>984</v>
      </c>
      <c r="AK120" s="331" t="s">
        <v>984</v>
      </c>
      <c r="AL120" s="331" t="s">
        <v>984</v>
      </c>
      <c r="AM120" s="331" t="s">
        <v>984</v>
      </c>
      <c r="AN120" s="331" t="s">
        <v>984</v>
      </c>
      <c r="AO120" s="331" t="s">
        <v>984</v>
      </c>
      <c r="AP120" s="331" t="s">
        <v>984</v>
      </c>
      <c r="AQ120" s="331" t="s">
        <v>984</v>
      </c>
      <c r="AR120" s="331" t="s">
        <v>984</v>
      </c>
      <c r="AS120" s="331" t="s">
        <v>984</v>
      </c>
      <c r="AT120" s="331" t="s">
        <v>984</v>
      </c>
      <c r="AU120" s="331" t="s">
        <v>984</v>
      </c>
      <c r="AV120" s="331" t="s">
        <v>984</v>
      </c>
      <c r="AW120" s="331" t="s">
        <v>984</v>
      </c>
      <c r="AX120" s="331" t="s">
        <v>984</v>
      </c>
      <c r="AY120" s="331" t="s">
        <v>984</v>
      </c>
      <c r="AZ120" s="331" t="s">
        <v>984</v>
      </c>
      <c r="BA120" s="331" t="s">
        <v>984</v>
      </c>
      <c r="BB120" s="331" t="s">
        <v>984</v>
      </c>
      <c r="BC120" s="331" t="s">
        <v>984</v>
      </c>
      <c r="BD120" s="331" t="s">
        <v>984</v>
      </c>
      <c r="BE120" s="331" t="s">
        <v>984</v>
      </c>
      <c r="BF120" s="331" t="s">
        <v>984</v>
      </c>
      <c r="BG120" s="331" t="s">
        <v>984</v>
      </c>
      <c r="BH120" s="331" t="s">
        <v>984</v>
      </c>
      <c r="BI120" s="331" t="s">
        <v>984</v>
      </c>
      <c r="BJ120" s="331" t="s">
        <v>984</v>
      </c>
      <c r="BK120" s="331" t="s">
        <v>984</v>
      </c>
      <c r="BL120" s="331" t="s">
        <v>984</v>
      </c>
      <c r="BM120" s="331" t="s">
        <v>984</v>
      </c>
      <c r="BN120" s="331" t="s">
        <v>984</v>
      </c>
      <c r="BO120" s="331" t="s">
        <v>984</v>
      </c>
      <c r="BP120" s="331" t="s">
        <v>984</v>
      </c>
      <c r="BQ120" s="331" t="s">
        <v>984</v>
      </c>
      <c r="BR120" s="331" t="s">
        <v>190</v>
      </c>
      <c r="BS120" s="331" t="s">
        <v>190</v>
      </c>
      <c r="BT120" s="331" t="s">
        <v>190</v>
      </c>
      <c r="BU120" s="331" t="s">
        <v>984</v>
      </c>
      <c r="BV120" s="331" t="s">
        <v>984</v>
      </c>
      <c r="BW120" s="331" t="s">
        <v>984</v>
      </c>
      <c r="BX120" s="331" t="s">
        <v>984</v>
      </c>
      <c r="BY120" s="331" t="s">
        <v>984</v>
      </c>
      <c r="BZ120" s="331" t="s">
        <v>984</v>
      </c>
      <c r="CA120" s="331" t="s">
        <v>984</v>
      </c>
      <c r="CB120" s="331" t="s">
        <v>984</v>
      </c>
      <c r="CC120" s="331" t="s">
        <v>984</v>
      </c>
      <c r="CD120" s="331" t="s">
        <v>984</v>
      </c>
      <c r="CE120" s="331" t="s">
        <v>984</v>
      </c>
      <c r="CF120" s="331" t="s">
        <v>984</v>
      </c>
      <c r="CG120" s="331" t="s">
        <v>984</v>
      </c>
      <c r="CH120" s="331" t="s">
        <v>190</v>
      </c>
      <c r="CI120" s="331" t="s">
        <v>190</v>
      </c>
      <c r="CJ120" s="331" t="s">
        <v>190</v>
      </c>
      <c r="CK120" s="331" t="s">
        <v>984</v>
      </c>
      <c r="CL120" s="331" t="s">
        <v>984</v>
      </c>
      <c r="CM120" s="331" t="s">
        <v>984</v>
      </c>
      <c r="CN120" s="331" t="s">
        <v>984</v>
      </c>
      <c r="CO120" s="331" t="s">
        <v>984</v>
      </c>
      <c r="CP120" s="331" t="s">
        <v>984</v>
      </c>
      <c r="CQ120" s="331" t="s">
        <v>984</v>
      </c>
      <c r="CR120" s="331" t="s">
        <v>984</v>
      </c>
      <c r="CS120" s="331" t="s">
        <v>984</v>
      </c>
      <c r="CT120" s="331" t="s">
        <v>984</v>
      </c>
      <c r="CU120" s="331" t="s">
        <v>984</v>
      </c>
      <c r="CV120" s="331" t="s">
        <v>984</v>
      </c>
      <c r="CW120" s="331" t="s">
        <v>984</v>
      </c>
      <c r="CX120" s="331" t="s">
        <v>984</v>
      </c>
      <c r="CY120" s="331" t="s">
        <v>984</v>
      </c>
      <c r="CZ120" s="331" t="s">
        <v>984</v>
      </c>
      <c r="DA120" s="331" t="s">
        <v>984</v>
      </c>
      <c r="DB120" s="331" t="s">
        <v>984</v>
      </c>
      <c r="DC120" s="331" t="s">
        <v>984</v>
      </c>
      <c r="DD120" s="331" t="s">
        <v>984</v>
      </c>
      <c r="DE120" s="331" t="s">
        <v>984</v>
      </c>
      <c r="DF120" s="331" t="s">
        <v>984</v>
      </c>
      <c r="DG120" s="331" t="s">
        <v>984</v>
      </c>
      <c r="DH120" s="331" t="s">
        <v>984</v>
      </c>
      <c r="DI120" s="331" t="s">
        <v>984</v>
      </c>
      <c r="DJ120" s="331" t="s">
        <v>984</v>
      </c>
      <c r="DK120" s="331" t="s">
        <v>984</v>
      </c>
      <c r="DL120" s="331" t="s">
        <v>984</v>
      </c>
      <c r="DM120" s="331" t="s">
        <v>984</v>
      </c>
      <c r="DN120" s="331" t="s">
        <v>984</v>
      </c>
      <c r="DO120" s="331" t="s">
        <v>984</v>
      </c>
      <c r="DP120" s="331" t="s">
        <v>984</v>
      </c>
      <c r="DQ120" s="331" t="s">
        <v>984</v>
      </c>
      <c r="DR120" s="331" t="s">
        <v>984</v>
      </c>
      <c r="DS120" s="331" t="s">
        <v>984</v>
      </c>
      <c r="DT120" s="331" t="s">
        <v>984</v>
      </c>
      <c r="DU120" s="331" t="s">
        <v>984</v>
      </c>
      <c r="DV120" s="331" t="s">
        <v>984</v>
      </c>
      <c r="DW120" s="331" t="s">
        <v>984</v>
      </c>
      <c r="DX120" s="331" t="s">
        <v>984</v>
      </c>
      <c r="DY120" s="331" t="s">
        <v>984</v>
      </c>
      <c r="DZ120" s="331" t="s">
        <v>984</v>
      </c>
      <c r="EA120" s="331" t="s">
        <v>984</v>
      </c>
      <c r="EB120" s="331" t="s">
        <v>984</v>
      </c>
      <c r="EC120" s="331" t="s">
        <v>984</v>
      </c>
      <c r="ED120" s="331" t="s">
        <v>984</v>
      </c>
      <c r="EE120" s="331" t="s">
        <v>984</v>
      </c>
      <c r="EF120" s="331" t="s">
        <v>984</v>
      </c>
      <c r="EG120" s="331" t="s">
        <v>984</v>
      </c>
      <c r="EH120" s="331" t="s">
        <v>984</v>
      </c>
      <c r="EI120" s="331" t="s">
        <v>984</v>
      </c>
      <c r="EJ120" s="331" t="s">
        <v>984</v>
      </c>
      <c r="EK120" s="331" t="s">
        <v>984</v>
      </c>
      <c r="EL120" s="331" t="s">
        <v>984</v>
      </c>
      <c r="EM120" s="331" t="s">
        <v>984</v>
      </c>
      <c r="EN120" s="331" t="s">
        <v>984</v>
      </c>
      <c r="EO120" s="331" t="s">
        <v>984</v>
      </c>
      <c r="EP120" s="331" t="s">
        <v>984</v>
      </c>
      <c r="EQ120" s="331" t="s">
        <v>984</v>
      </c>
      <c r="ER120" s="331" t="s">
        <v>984</v>
      </c>
      <c r="ES120" s="331" t="s">
        <v>984</v>
      </c>
      <c r="ET120" s="331" t="s">
        <v>984</v>
      </c>
      <c r="EU120" s="331" t="s">
        <v>984</v>
      </c>
      <c r="EV120" s="331" t="s">
        <v>984</v>
      </c>
      <c r="EW120" s="331" t="s">
        <v>984</v>
      </c>
      <c r="EX120" s="331" t="s">
        <v>984</v>
      </c>
      <c r="EY120" s="331" t="s">
        <v>984</v>
      </c>
      <c r="EZ120" s="331" t="s">
        <v>984</v>
      </c>
      <c r="FA120" s="331" t="s">
        <v>984</v>
      </c>
      <c r="FB120" s="331" t="s">
        <v>984</v>
      </c>
      <c r="FC120" s="331" t="s">
        <v>984</v>
      </c>
      <c r="FD120" s="331" t="s">
        <v>984</v>
      </c>
      <c r="FE120" s="331" t="s">
        <v>984</v>
      </c>
      <c r="FF120" s="331" t="s">
        <v>984</v>
      </c>
      <c r="FG120" s="331" t="s">
        <v>984</v>
      </c>
      <c r="FH120" s="331" t="s">
        <v>984</v>
      </c>
      <c r="FI120" s="331" t="s">
        <v>984</v>
      </c>
      <c r="FJ120" s="331" t="s">
        <v>984</v>
      </c>
      <c r="FK120" s="331" t="s">
        <v>984</v>
      </c>
      <c r="FL120" s="331" t="s">
        <v>984</v>
      </c>
      <c r="FM120" s="331" t="s">
        <v>984</v>
      </c>
      <c r="FN120" s="331" t="s">
        <v>984</v>
      </c>
      <c r="FO120" s="331" t="s">
        <v>984</v>
      </c>
      <c r="FP120" s="331" t="s">
        <v>984</v>
      </c>
      <c r="FQ120" s="331" t="s">
        <v>984</v>
      </c>
      <c r="FR120" s="331" t="s">
        <v>984</v>
      </c>
      <c r="FS120" s="331" t="s">
        <v>984</v>
      </c>
      <c r="FT120" s="331" t="s">
        <v>984</v>
      </c>
      <c r="FU120" s="331" t="s">
        <v>984</v>
      </c>
      <c r="FV120" s="331" t="s">
        <v>190</v>
      </c>
      <c r="FW120" s="331" t="s">
        <v>984</v>
      </c>
      <c r="FX120" s="331" t="s">
        <v>984</v>
      </c>
      <c r="FY120" s="331" t="s">
        <v>984</v>
      </c>
      <c r="FZ120" s="331" t="s">
        <v>984</v>
      </c>
      <c r="GA120" s="331" t="s">
        <v>984</v>
      </c>
      <c r="GB120" s="331" t="s">
        <v>984</v>
      </c>
      <c r="GC120" s="331" t="s">
        <v>984</v>
      </c>
      <c r="GD120" s="331" t="s">
        <v>984</v>
      </c>
      <c r="GE120" s="331" t="s">
        <v>984</v>
      </c>
      <c r="GF120" s="331" t="s">
        <v>984</v>
      </c>
      <c r="GG120" s="331" t="s">
        <v>984</v>
      </c>
      <c r="GH120" s="331" t="s">
        <v>984</v>
      </c>
      <c r="GI120" s="331" t="s">
        <v>984</v>
      </c>
      <c r="GJ120" s="331" t="s">
        <v>984</v>
      </c>
      <c r="GK120" s="331" t="s">
        <v>984</v>
      </c>
      <c r="GL120" s="331" t="s">
        <v>984</v>
      </c>
      <c r="GM120" s="331" t="s">
        <v>984</v>
      </c>
      <c r="GN120" s="331" t="s">
        <v>984</v>
      </c>
      <c r="GO120" s="331" t="s">
        <v>984</v>
      </c>
      <c r="GP120" s="331" t="s">
        <v>984</v>
      </c>
      <c r="GQ120" s="331" t="s">
        <v>984</v>
      </c>
      <c r="GR120" s="331" t="s">
        <v>984</v>
      </c>
      <c r="GS120" s="331" t="s">
        <v>984</v>
      </c>
      <c r="GT120" s="331" t="s">
        <v>984</v>
      </c>
      <c r="GU120" s="331" t="s">
        <v>984</v>
      </c>
      <c r="GV120" s="331" t="s">
        <v>984</v>
      </c>
      <c r="GW120" s="331" t="s">
        <v>984</v>
      </c>
      <c r="GX120" s="331" t="s">
        <v>984</v>
      </c>
      <c r="GY120" s="331" t="s">
        <v>984</v>
      </c>
      <c r="GZ120" s="331" t="s">
        <v>984</v>
      </c>
      <c r="HA120" s="331" t="s">
        <v>984</v>
      </c>
      <c r="HB120" s="331" t="s">
        <v>984</v>
      </c>
      <c r="HC120" s="331" t="s">
        <v>984</v>
      </c>
      <c r="HD120" s="331" t="s">
        <v>984</v>
      </c>
      <c r="HE120" s="331" t="s">
        <v>984</v>
      </c>
      <c r="HF120" s="331" t="s">
        <v>984</v>
      </c>
      <c r="HG120" s="331" t="s">
        <v>984</v>
      </c>
      <c r="HH120" s="331" t="s">
        <v>984</v>
      </c>
      <c r="HI120" s="331" t="s">
        <v>984</v>
      </c>
      <c r="HJ120" s="331" t="s">
        <v>984</v>
      </c>
      <c r="HK120" s="331" t="s">
        <v>984</v>
      </c>
      <c r="HL120" s="331" t="s">
        <v>984</v>
      </c>
      <c r="HM120" s="331" t="s">
        <v>190</v>
      </c>
      <c r="HN120" s="331" t="s">
        <v>190</v>
      </c>
      <c r="HO120" s="331" t="s">
        <v>190</v>
      </c>
      <c r="HP120" s="331" t="s">
        <v>190</v>
      </c>
      <c r="HQ120" s="331" t="s">
        <v>170</v>
      </c>
      <c r="HR120" s="331" t="s">
        <v>170</v>
      </c>
      <c r="HS120" s="331" t="s">
        <v>169</v>
      </c>
      <c r="HT120" s="331" t="s">
        <v>427</v>
      </c>
      <c r="HU120" s="331" t="s">
        <v>984</v>
      </c>
      <c r="HV120" s="331" t="s">
        <v>984</v>
      </c>
    </row>
    <row r="121" spans="1:230" s="70" customFormat="1" x14ac:dyDescent="0.25">
      <c r="A121" s="330" t="str">
        <f>HYPERLINK("http://www.ofsted.gov.uk/inspection-reports/find-inspection-report/provider/ELS/102168 ","Ofsted School Webpage")</f>
        <v>Ofsted School Webpage</v>
      </c>
      <c r="B121" s="331">
        <v>102168</v>
      </c>
      <c r="C121" s="331">
        <v>3096066</v>
      </c>
      <c r="D121" s="331" t="s">
        <v>526</v>
      </c>
      <c r="E121" s="331" t="s">
        <v>167</v>
      </c>
      <c r="F121" s="331" t="s">
        <v>441</v>
      </c>
      <c r="G121" s="331" t="s">
        <v>441</v>
      </c>
      <c r="H121" s="331" t="s">
        <v>527</v>
      </c>
      <c r="I121" s="331" t="s">
        <v>528</v>
      </c>
      <c r="J121" s="331" t="s">
        <v>81</v>
      </c>
      <c r="K121" s="331" t="s">
        <v>81</v>
      </c>
      <c r="L121" s="331" t="s">
        <v>81</v>
      </c>
      <c r="M121" s="331" t="s">
        <v>78</v>
      </c>
      <c r="N121" s="331" t="s">
        <v>424</v>
      </c>
      <c r="O121" s="331">
        <v>10128280</v>
      </c>
      <c r="P121" s="332">
        <v>43788</v>
      </c>
      <c r="Q121" s="332">
        <v>43788</v>
      </c>
      <c r="R121" s="332">
        <v>43807</v>
      </c>
      <c r="S121" s="331" t="s">
        <v>985</v>
      </c>
      <c r="T121" s="331" t="s">
        <v>982</v>
      </c>
      <c r="U121" s="331" t="s">
        <v>427</v>
      </c>
      <c r="V121" s="331" t="s">
        <v>165</v>
      </c>
      <c r="W121" s="331" t="s">
        <v>984</v>
      </c>
      <c r="X121" s="331" t="s">
        <v>984</v>
      </c>
      <c r="Y121" s="331" t="s">
        <v>984</v>
      </c>
      <c r="Z121" s="331" t="s">
        <v>984</v>
      </c>
      <c r="AA121" s="331" t="s">
        <v>984</v>
      </c>
      <c r="AB121" s="331" t="s">
        <v>984</v>
      </c>
      <c r="AC121" s="331" t="s">
        <v>984</v>
      </c>
      <c r="AD121" s="331" t="s">
        <v>984</v>
      </c>
      <c r="AE121" s="331" t="s">
        <v>428</v>
      </c>
      <c r="AF121" s="331" t="s">
        <v>984</v>
      </c>
      <c r="AG121" s="331" t="s">
        <v>984</v>
      </c>
      <c r="AH121" s="331" t="s">
        <v>984</v>
      </c>
      <c r="AI121" s="331" t="s">
        <v>428</v>
      </c>
      <c r="AJ121" s="331" t="s">
        <v>428</v>
      </c>
      <c r="AK121" s="331" t="s">
        <v>428</v>
      </c>
      <c r="AL121" s="331" t="s">
        <v>428</v>
      </c>
      <c r="AM121" s="331" t="s">
        <v>984</v>
      </c>
      <c r="AN121" s="331" t="s">
        <v>428</v>
      </c>
      <c r="AO121" s="331" t="s">
        <v>984</v>
      </c>
      <c r="AP121" s="331" t="s">
        <v>984</v>
      </c>
      <c r="AQ121" s="331" t="s">
        <v>190</v>
      </c>
      <c r="AR121" s="331" t="s">
        <v>190</v>
      </c>
      <c r="AS121" s="331" t="s">
        <v>984</v>
      </c>
      <c r="AT121" s="331" t="s">
        <v>190</v>
      </c>
      <c r="AU121" s="331" t="s">
        <v>984</v>
      </c>
      <c r="AV121" s="331" t="s">
        <v>190</v>
      </c>
      <c r="AW121" s="331" t="s">
        <v>190</v>
      </c>
      <c r="AX121" s="331" t="s">
        <v>190</v>
      </c>
      <c r="AY121" s="331" t="s">
        <v>984</v>
      </c>
      <c r="AZ121" s="331" t="s">
        <v>984</v>
      </c>
      <c r="BA121" s="331" t="s">
        <v>984</v>
      </c>
      <c r="BB121" s="331" t="s">
        <v>984</v>
      </c>
      <c r="BC121" s="331" t="s">
        <v>984</v>
      </c>
      <c r="BD121" s="331" t="s">
        <v>984</v>
      </c>
      <c r="BE121" s="331" t="s">
        <v>984</v>
      </c>
      <c r="BF121" s="331" t="s">
        <v>984</v>
      </c>
      <c r="BG121" s="331" t="s">
        <v>984</v>
      </c>
      <c r="BH121" s="331" t="s">
        <v>984</v>
      </c>
      <c r="BI121" s="331" t="s">
        <v>984</v>
      </c>
      <c r="BJ121" s="331" t="s">
        <v>984</v>
      </c>
      <c r="BK121" s="331" t="s">
        <v>984</v>
      </c>
      <c r="BL121" s="331" t="s">
        <v>984</v>
      </c>
      <c r="BM121" s="331" t="s">
        <v>984</v>
      </c>
      <c r="BN121" s="331" t="s">
        <v>984</v>
      </c>
      <c r="BO121" s="331" t="s">
        <v>984</v>
      </c>
      <c r="BP121" s="331" t="s">
        <v>984</v>
      </c>
      <c r="BQ121" s="331" t="s">
        <v>984</v>
      </c>
      <c r="BR121" s="331" t="s">
        <v>190</v>
      </c>
      <c r="BS121" s="331" t="s">
        <v>190</v>
      </c>
      <c r="BT121" s="331" t="s">
        <v>190</v>
      </c>
      <c r="BU121" s="331" t="s">
        <v>428</v>
      </c>
      <c r="BV121" s="331" t="s">
        <v>428</v>
      </c>
      <c r="BW121" s="331" t="s">
        <v>428</v>
      </c>
      <c r="BX121" s="331" t="s">
        <v>984</v>
      </c>
      <c r="BY121" s="331" t="s">
        <v>984</v>
      </c>
      <c r="BZ121" s="331" t="s">
        <v>984</v>
      </c>
      <c r="CA121" s="331" t="s">
        <v>984</v>
      </c>
      <c r="CB121" s="331" t="s">
        <v>984</v>
      </c>
      <c r="CC121" s="331" t="s">
        <v>984</v>
      </c>
      <c r="CD121" s="331" t="s">
        <v>984</v>
      </c>
      <c r="CE121" s="331" t="s">
        <v>984</v>
      </c>
      <c r="CF121" s="331" t="s">
        <v>984</v>
      </c>
      <c r="CG121" s="331" t="s">
        <v>984</v>
      </c>
      <c r="CH121" s="331" t="s">
        <v>984</v>
      </c>
      <c r="CI121" s="331" t="s">
        <v>984</v>
      </c>
      <c r="CJ121" s="331" t="s">
        <v>984</v>
      </c>
      <c r="CK121" s="331" t="s">
        <v>984</v>
      </c>
      <c r="CL121" s="331" t="s">
        <v>984</v>
      </c>
      <c r="CM121" s="331" t="s">
        <v>984</v>
      </c>
      <c r="CN121" s="331" t="s">
        <v>984</v>
      </c>
      <c r="CO121" s="331" t="s">
        <v>984</v>
      </c>
      <c r="CP121" s="331" t="s">
        <v>984</v>
      </c>
      <c r="CQ121" s="331" t="s">
        <v>984</v>
      </c>
      <c r="CR121" s="331" t="s">
        <v>984</v>
      </c>
      <c r="CS121" s="331" t="s">
        <v>984</v>
      </c>
      <c r="CT121" s="331" t="s">
        <v>984</v>
      </c>
      <c r="CU121" s="331" t="s">
        <v>428</v>
      </c>
      <c r="CV121" s="331" t="s">
        <v>984</v>
      </c>
      <c r="CW121" s="331" t="s">
        <v>984</v>
      </c>
      <c r="CX121" s="331" t="s">
        <v>984</v>
      </c>
      <c r="CY121" s="331" t="s">
        <v>984</v>
      </c>
      <c r="CZ121" s="331" t="s">
        <v>984</v>
      </c>
      <c r="DA121" s="331" t="s">
        <v>984</v>
      </c>
      <c r="DB121" s="331" t="s">
        <v>984</v>
      </c>
      <c r="DC121" s="331" t="s">
        <v>984</v>
      </c>
      <c r="DD121" s="331" t="s">
        <v>984</v>
      </c>
      <c r="DE121" s="331" t="s">
        <v>984</v>
      </c>
      <c r="DF121" s="331" t="s">
        <v>984</v>
      </c>
      <c r="DG121" s="331" t="s">
        <v>984</v>
      </c>
      <c r="DH121" s="331" t="s">
        <v>984</v>
      </c>
      <c r="DI121" s="331" t="s">
        <v>984</v>
      </c>
      <c r="DJ121" s="331" t="s">
        <v>428</v>
      </c>
      <c r="DK121" s="331" t="s">
        <v>984</v>
      </c>
      <c r="DL121" s="331" t="s">
        <v>984</v>
      </c>
      <c r="DM121" s="331" t="s">
        <v>984</v>
      </c>
      <c r="DN121" s="331" t="s">
        <v>984</v>
      </c>
      <c r="DO121" s="331" t="s">
        <v>984</v>
      </c>
      <c r="DP121" s="331" t="s">
        <v>984</v>
      </c>
      <c r="DQ121" s="331" t="s">
        <v>984</v>
      </c>
      <c r="DR121" s="331" t="s">
        <v>984</v>
      </c>
      <c r="DS121" s="331" t="s">
        <v>984</v>
      </c>
      <c r="DT121" s="331" t="s">
        <v>984</v>
      </c>
      <c r="DU121" s="331" t="s">
        <v>984</v>
      </c>
      <c r="DV121" s="331" t="s">
        <v>984</v>
      </c>
      <c r="DW121" s="331" t="s">
        <v>984</v>
      </c>
      <c r="DX121" s="331" t="s">
        <v>984</v>
      </c>
      <c r="DY121" s="331" t="s">
        <v>984</v>
      </c>
      <c r="DZ121" s="331" t="s">
        <v>984</v>
      </c>
      <c r="EA121" s="331" t="s">
        <v>984</v>
      </c>
      <c r="EB121" s="331" t="s">
        <v>984</v>
      </c>
      <c r="EC121" s="331" t="s">
        <v>984</v>
      </c>
      <c r="ED121" s="331" t="s">
        <v>984</v>
      </c>
      <c r="EE121" s="331" t="s">
        <v>984</v>
      </c>
      <c r="EF121" s="331" t="s">
        <v>984</v>
      </c>
      <c r="EG121" s="331" t="s">
        <v>984</v>
      </c>
      <c r="EH121" s="331" t="s">
        <v>984</v>
      </c>
      <c r="EI121" s="331" t="s">
        <v>984</v>
      </c>
      <c r="EJ121" s="331" t="s">
        <v>984</v>
      </c>
      <c r="EK121" s="331" t="s">
        <v>984</v>
      </c>
      <c r="EL121" s="331" t="s">
        <v>984</v>
      </c>
      <c r="EM121" s="331" t="s">
        <v>984</v>
      </c>
      <c r="EN121" s="331" t="s">
        <v>984</v>
      </c>
      <c r="EO121" s="331" t="s">
        <v>984</v>
      </c>
      <c r="EP121" s="331" t="s">
        <v>984</v>
      </c>
      <c r="EQ121" s="331" t="s">
        <v>984</v>
      </c>
      <c r="ER121" s="331" t="s">
        <v>984</v>
      </c>
      <c r="ES121" s="331" t="s">
        <v>984</v>
      </c>
      <c r="ET121" s="331" t="s">
        <v>984</v>
      </c>
      <c r="EU121" s="331" t="s">
        <v>984</v>
      </c>
      <c r="EV121" s="331" t="s">
        <v>984</v>
      </c>
      <c r="EW121" s="331" t="s">
        <v>984</v>
      </c>
      <c r="EX121" s="331" t="s">
        <v>984</v>
      </c>
      <c r="EY121" s="331" t="s">
        <v>984</v>
      </c>
      <c r="EZ121" s="331" t="s">
        <v>428</v>
      </c>
      <c r="FA121" s="331" t="s">
        <v>984</v>
      </c>
      <c r="FB121" s="331" t="s">
        <v>984</v>
      </c>
      <c r="FC121" s="331" t="s">
        <v>984</v>
      </c>
      <c r="FD121" s="331" t="s">
        <v>984</v>
      </c>
      <c r="FE121" s="331" t="s">
        <v>984</v>
      </c>
      <c r="FF121" s="331" t="s">
        <v>984</v>
      </c>
      <c r="FG121" s="331" t="s">
        <v>984</v>
      </c>
      <c r="FH121" s="331" t="s">
        <v>984</v>
      </c>
      <c r="FI121" s="331" t="s">
        <v>984</v>
      </c>
      <c r="FJ121" s="331" t="s">
        <v>984</v>
      </c>
      <c r="FK121" s="331" t="s">
        <v>984</v>
      </c>
      <c r="FL121" s="331" t="s">
        <v>984</v>
      </c>
      <c r="FM121" s="331" t="s">
        <v>984</v>
      </c>
      <c r="FN121" s="331" t="s">
        <v>984</v>
      </c>
      <c r="FO121" s="331" t="s">
        <v>984</v>
      </c>
      <c r="FP121" s="331" t="s">
        <v>984</v>
      </c>
      <c r="FQ121" s="331" t="s">
        <v>984</v>
      </c>
      <c r="FR121" s="331" t="s">
        <v>428</v>
      </c>
      <c r="FS121" s="331" t="s">
        <v>190</v>
      </c>
      <c r="FT121" s="331" t="s">
        <v>984</v>
      </c>
      <c r="FU121" s="331" t="s">
        <v>984</v>
      </c>
      <c r="FV121" s="331" t="s">
        <v>190</v>
      </c>
      <c r="FW121" s="331" t="s">
        <v>984</v>
      </c>
      <c r="FX121" s="331" t="s">
        <v>428</v>
      </c>
      <c r="FY121" s="331" t="s">
        <v>984</v>
      </c>
      <c r="FZ121" s="331" t="s">
        <v>984</v>
      </c>
      <c r="GA121" s="331" t="s">
        <v>984</v>
      </c>
      <c r="GB121" s="331" t="s">
        <v>428</v>
      </c>
      <c r="GC121" s="331" t="s">
        <v>984</v>
      </c>
      <c r="GD121" s="331" t="s">
        <v>984</v>
      </c>
      <c r="GE121" s="331" t="s">
        <v>984</v>
      </c>
      <c r="GF121" s="331" t="s">
        <v>984</v>
      </c>
      <c r="GG121" s="331" t="s">
        <v>428</v>
      </c>
      <c r="GH121" s="331" t="s">
        <v>984</v>
      </c>
      <c r="GI121" s="331" t="s">
        <v>984</v>
      </c>
      <c r="GJ121" s="331" t="s">
        <v>984</v>
      </c>
      <c r="GK121" s="331" t="s">
        <v>984</v>
      </c>
      <c r="GL121" s="331" t="s">
        <v>984</v>
      </c>
      <c r="GM121" s="331" t="s">
        <v>984</v>
      </c>
      <c r="GN121" s="331" t="s">
        <v>984</v>
      </c>
      <c r="GO121" s="331" t="s">
        <v>984</v>
      </c>
      <c r="GP121" s="331" t="s">
        <v>984</v>
      </c>
      <c r="GQ121" s="331" t="s">
        <v>984</v>
      </c>
      <c r="GR121" s="331" t="s">
        <v>984</v>
      </c>
      <c r="GS121" s="331" t="s">
        <v>428</v>
      </c>
      <c r="GT121" s="331" t="s">
        <v>428</v>
      </c>
      <c r="GU121" s="331" t="s">
        <v>428</v>
      </c>
      <c r="GV121" s="331" t="s">
        <v>428</v>
      </c>
      <c r="GW121" s="331" t="s">
        <v>984</v>
      </c>
      <c r="GX121" s="331" t="s">
        <v>984</v>
      </c>
      <c r="GY121" s="331" t="s">
        <v>984</v>
      </c>
      <c r="GZ121" s="331" t="s">
        <v>984</v>
      </c>
      <c r="HA121" s="331" t="s">
        <v>984</v>
      </c>
      <c r="HB121" s="331" t="s">
        <v>984</v>
      </c>
      <c r="HC121" s="331" t="s">
        <v>984</v>
      </c>
      <c r="HD121" s="331" t="s">
        <v>984</v>
      </c>
      <c r="HE121" s="331" t="s">
        <v>984</v>
      </c>
      <c r="HF121" s="331" t="s">
        <v>984</v>
      </c>
      <c r="HG121" s="331" t="s">
        <v>984</v>
      </c>
      <c r="HH121" s="331" t="s">
        <v>984</v>
      </c>
      <c r="HI121" s="331" t="s">
        <v>984</v>
      </c>
      <c r="HJ121" s="331" t="s">
        <v>984</v>
      </c>
      <c r="HK121" s="331" t="s">
        <v>984</v>
      </c>
      <c r="HL121" s="331" t="s">
        <v>984</v>
      </c>
      <c r="HM121" s="331" t="s">
        <v>190</v>
      </c>
      <c r="HN121" s="331" t="s">
        <v>190</v>
      </c>
      <c r="HO121" s="331" t="s">
        <v>190</v>
      </c>
      <c r="HP121" s="331" t="s">
        <v>984</v>
      </c>
      <c r="HQ121" s="331" t="s">
        <v>170</v>
      </c>
      <c r="HR121" s="331" t="s">
        <v>429</v>
      </c>
      <c r="HS121" s="331" t="s">
        <v>169</v>
      </c>
      <c r="HT121" s="331" t="s">
        <v>427</v>
      </c>
      <c r="HU121" s="331" t="s">
        <v>984</v>
      </c>
      <c r="HV121" s="331" t="s">
        <v>984</v>
      </c>
    </row>
    <row r="122" spans="1:230" s="70" customFormat="1" x14ac:dyDescent="0.25">
      <c r="A122" s="330" t="str">
        <f>HYPERLINK("http://www.ofsted.gov.uk/inspection-reports/find-inspection-report/provider/ELS/128078 ","Ofsted School Webpage")</f>
        <v>Ofsted School Webpage</v>
      </c>
      <c r="B122" s="331">
        <v>128078</v>
      </c>
      <c r="C122" s="331">
        <v>8556021</v>
      </c>
      <c r="D122" s="331" t="s">
        <v>861</v>
      </c>
      <c r="E122" s="331" t="s">
        <v>168</v>
      </c>
      <c r="F122" s="331" t="s">
        <v>506</v>
      </c>
      <c r="G122" s="331" t="s">
        <v>506</v>
      </c>
      <c r="H122" s="331" t="s">
        <v>862</v>
      </c>
      <c r="I122" s="331" t="s">
        <v>863</v>
      </c>
      <c r="J122" s="331" t="s">
        <v>81</v>
      </c>
      <c r="K122" s="331" t="s">
        <v>81</v>
      </c>
      <c r="L122" s="331" t="s">
        <v>81</v>
      </c>
      <c r="M122" s="331" t="s">
        <v>78</v>
      </c>
      <c r="N122" s="331" t="s">
        <v>424</v>
      </c>
      <c r="O122" s="331">
        <v>10130257</v>
      </c>
      <c r="P122" s="332">
        <v>43788</v>
      </c>
      <c r="Q122" s="332">
        <v>43788</v>
      </c>
      <c r="R122" s="332">
        <v>43804</v>
      </c>
      <c r="S122" s="331" t="s">
        <v>981</v>
      </c>
      <c r="T122" s="331" t="s">
        <v>982</v>
      </c>
      <c r="U122" s="331" t="s">
        <v>447</v>
      </c>
      <c r="V122" s="331" t="s">
        <v>983</v>
      </c>
      <c r="W122" s="331" t="s">
        <v>984</v>
      </c>
      <c r="X122" s="331" t="s">
        <v>984</v>
      </c>
      <c r="Y122" s="331" t="s">
        <v>984</v>
      </c>
      <c r="Z122" s="331" t="s">
        <v>984</v>
      </c>
      <c r="AA122" s="331" t="s">
        <v>984</v>
      </c>
      <c r="AB122" s="331" t="s">
        <v>984</v>
      </c>
      <c r="AC122" s="331" t="s">
        <v>984</v>
      </c>
      <c r="AD122" s="331" t="s">
        <v>984</v>
      </c>
      <c r="AE122" s="331" t="s">
        <v>984</v>
      </c>
      <c r="AF122" s="331" t="s">
        <v>984</v>
      </c>
      <c r="AG122" s="331" t="s">
        <v>984</v>
      </c>
      <c r="AH122" s="331" t="s">
        <v>984</v>
      </c>
      <c r="AI122" s="331" t="s">
        <v>984</v>
      </c>
      <c r="AJ122" s="331" t="s">
        <v>984</v>
      </c>
      <c r="AK122" s="331" t="s">
        <v>984</v>
      </c>
      <c r="AL122" s="331" t="s">
        <v>984</v>
      </c>
      <c r="AM122" s="331" t="s">
        <v>984</v>
      </c>
      <c r="AN122" s="331" t="s">
        <v>984</v>
      </c>
      <c r="AO122" s="331" t="s">
        <v>984</v>
      </c>
      <c r="AP122" s="331" t="s">
        <v>984</v>
      </c>
      <c r="AQ122" s="331" t="s">
        <v>984</v>
      </c>
      <c r="AR122" s="331" t="s">
        <v>984</v>
      </c>
      <c r="AS122" s="331" t="s">
        <v>984</v>
      </c>
      <c r="AT122" s="331" t="s">
        <v>984</v>
      </c>
      <c r="AU122" s="331" t="s">
        <v>984</v>
      </c>
      <c r="AV122" s="331" t="s">
        <v>984</v>
      </c>
      <c r="AW122" s="331" t="s">
        <v>984</v>
      </c>
      <c r="AX122" s="331" t="s">
        <v>984</v>
      </c>
      <c r="AY122" s="331" t="s">
        <v>984</v>
      </c>
      <c r="AZ122" s="331" t="s">
        <v>984</v>
      </c>
      <c r="BA122" s="331" t="s">
        <v>984</v>
      </c>
      <c r="BB122" s="331" t="s">
        <v>984</v>
      </c>
      <c r="BC122" s="331" t="s">
        <v>984</v>
      </c>
      <c r="BD122" s="331" t="s">
        <v>984</v>
      </c>
      <c r="BE122" s="331" t="s">
        <v>984</v>
      </c>
      <c r="BF122" s="331" t="s">
        <v>984</v>
      </c>
      <c r="BG122" s="331" t="s">
        <v>984</v>
      </c>
      <c r="BH122" s="331" t="s">
        <v>984</v>
      </c>
      <c r="BI122" s="331" t="s">
        <v>984</v>
      </c>
      <c r="BJ122" s="331" t="s">
        <v>984</v>
      </c>
      <c r="BK122" s="331" t="s">
        <v>984</v>
      </c>
      <c r="BL122" s="331" t="s">
        <v>984</v>
      </c>
      <c r="BM122" s="331" t="s">
        <v>984</v>
      </c>
      <c r="BN122" s="331" t="s">
        <v>984</v>
      </c>
      <c r="BO122" s="331" t="s">
        <v>984</v>
      </c>
      <c r="BP122" s="331" t="s">
        <v>984</v>
      </c>
      <c r="BQ122" s="331" t="s">
        <v>984</v>
      </c>
      <c r="BR122" s="331" t="s">
        <v>984</v>
      </c>
      <c r="BS122" s="331" t="s">
        <v>984</v>
      </c>
      <c r="BT122" s="331" t="s">
        <v>984</v>
      </c>
      <c r="BU122" s="331" t="s">
        <v>428</v>
      </c>
      <c r="BV122" s="331" t="s">
        <v>428</v>
      </c>
      <c r="BW122" s="331" t="s">
        <v>428</v>
      </c>
      <c r="BX122" s="331" t="s">
        <v>984</v>
      </c>
      <c r="BY122" s="331" t="s">
        <v>984</v>
      </c>
      <c r="BZ122" s="331" t="s">
        <v>984</v>
      </c>
      <c r="CA122" s="331" t="s">
        <v>984</v>
      </c>
      <c r="CB122" s="331" t="s">
        <v>984</v>
      </c>
      <c r="CC122" s="331" t="s">
        <v>190</v>
      </c>
      <c r="CD122" s="331" t="s">
        <v>984</v>
      </c>
      <c r="CE122" s="331" t="s">
        <v>984</v>
      </c>
      <c r="CF122" s="331" t="s">
        <v>984</v>
      </c>
      <c r="CG122" s="331" t="s">
        <v>984</v>
      </c>
      <c r="CH122" s="331" t="s">
        <v>190</v>
      </c>
      <c r="CI122" s="331" t="s">
        <v>190</v>
      </c>
      <c r="CJ122" s="331" t="s">
        <v>190</v>
      </c>
      <c r="CK122" s="331" t="s">
        <v>984</v>
      </c>
      <c r="CL122" s="331" t="s">
        <v>984</v>
      </c>
      <c r="CM122" s="331" t="s">
        <v>984</v>
      </c>
      <c r="CN122" s="331" t="s">
        <v>984</v>
      </c>
      <c r="CO122" s="331" t="s">
        <v>984</v>
      </c>
      <c r="CP122" s="331" t="s">
        <v>984</v>
      </c>
      <c r="CQ122" s="331" t="s">
        <v>984</v>
      </c>
      <c r="CR122" s="331" t="s">
        <v>984</v>
      </c>
      <c r="CS122" s="331" t="s">
        <v>984</v>
      </c>
      <c r="CT122" s="331" t="s">
        <v>984</v>
      </c>
      <c r="CU122" s="331" t="s">
        <v>984</v>
      </c>
      <c r="CV122" s="331" t="s">
        <v>984</v>
      </c>
      <c r="CW122" s="331" t="s">
        <v>984</v>
      </c>
      <c r="CX122" s="331" t="s">
        <v>984</v>
      </c>
      <c r="CY122" s="331" t="s">
        <v>984</v>
      </c>
      <c r="CZ122" s="331" t="s">
        <v>984</v>
      </c>
      <c r="DA122" s="331" t="s">
        <v>984</v>
      </c>
      <c r="DB122" s="331" t="s">
        <v>984</v>
      </c>
      <c r="DC122" s="331" t="s">
        <v>984</v>
      </c>
      <c r="DD122" s="331" t="s">
        <v>984</v>
      </c>
      <c r="DE122" s="331" t="s">
        <v>984</v>
      </c>
      <c r="DF122" s="331" t="s">
        <v>984</v>
      </c>
      <c r="DG122" s="331" t="s">
        <v>984</v>
      </c>
      <c r="DH122" s="331" t="s">
        <v>984</v>
      </c>
      <c r="DI122" s="331" t="s">
        <v>984</v>
      </c>
      <c r="DJ122" s="331" t="s">
        <v>984</v>
      </c>
      <c r="DK122" s="331" t="s">
        <v>984</v>
      </c>
      <c r="DL122" s="331" t="s">
        <v>984</v>
      </c>
      <c r="DM122" s="331" t="s">
        <v>984</v>
      </c>
      <c r="DN122" s="331" t="s">
        <v>984</v>
      </c>
      <c r="DO122" s="331" t="s">
        <v>984</v>
      </c>
      <c r="DP122" s="331" t="s">
        <v>984</v>
      </c>
      <c r="DQ122" s="331" t="s">
        <v>984</v>
      </c>
      <c r="DR122" s="331" t="s">
        <v>984</v>
      </c>
      <c r="DS122" s="331" t="s">
        <v>984</v>
      </c>
      <c r="DT122" s="331" t="s">
        <v>984</v>
      </c>
      <c r="DU122" s="331" t="s">
        <v>984</v>
      </c>
      <c r="DV122" s="331" t="s">
        <v>984</v>
      </c>
      <c r="DW122" s="331" t="s">
        <v>984</v>
      </c>
      <c r="DX122" s="331" t="s">
        <v>984</v>
      </c>
      <c r="DY122" s="331" t="s">
        <v>984</v>
      </c>
      <c r="DZ122" s="331" t="s">
        <v>984</v>
      </c>
      <c r="EA122" s="331" t="s">
        <v>984</v>
      </c>
      <c r="EB122" s="331" t="s">
        <v>984</v>
      </c>
      <c r="EC122" s="331" t="s">
        <v>984</v>
      </c>
      <c r="ED122" s="331" t="s">
        <v>984</v>
      </c>
      <c r="EE122" s="331" t="s">
        <v>984</v>
      </c>
      <c r="EF122" s="331" t="s">
        <v>984</v>
      </c>
      <c r="EG122" s="331" t="s">
        <v>984</v>
      </c>
      <c r="EH122" s="331" t="s">
        <v>984</v>
      </c>
      <c r="EI122" s="331" t="s">
        <v>984</v>
      </c>
      <c r="EJ122" s="331" t="s">
        <v>984</v>
      </c>
      <c r="EK122" s="331" t="s">
        <v>984</v>
      </c>
      <c r="EL122" s="331" t="s">
        <v>984</v>
      </c>
      <c r="EM122" s="331" t="s">
        <v>984</v>
      </c>
      <c r="EN122" s="331" t="s">
        <v>984</v>
      </c>
      <c r="EO122" s="331" t="s">
        <v>984</v>
      </c>
      <c r="EP122" s="331" t="s">
        <v>984</v>
      </c>
      <c r="EQ122" s="331" t="s">
        <v>984</v>
      </c>
      <c r="ER122" s="331" t="s">
        <v>984</v>
      </c>
      <c r="ES122" s="331" t="s">
        <v>984</v>
      </c>
      <c r="ET122" s="331" t="s">
        <v>984</v>
      </c>
      <c r="EU122" s="331" t="s">
        <v>984</v>
      </c>
      <c r="EV122" s="331" t="s">
        <v>984</v>
      </c>
      <c r="EW122" s="331" t="s">
        <v>984</v>
      </c>
      <c r="EX122" s="331" t="s">
        <v>984</v>
      </c>
      <c r="EY122" s="331" t="s">
        <v>984</v>
      </c>
      <c r="EZ122" s="331" t="s">
        <v>428</v>
      </c>
      <c r="FA122" s="331" t="s">
        <v>984</v>
      </c>
      <c r="FB122" s="331" t="s">
        <v>190</v>
      </c>
      <c r="FC122" s="331" t="s">
        <v>984</v>
      </c>
      <c r="FD122" s="331" t="s">
        <v>984</v>
      </c>
      <c r="FE122" s="331" t="s">
        <v>984</v>
      </c>
      <c r="FF122" s="331" t="s">
        <v>984</v>
      </c>
      <c r="FG122" s="331" t="s">
        <v>984</v>
      </c>
      <c r="FH122" s="331" t="s">
        <v>984</v>
      </c>
      <c r="FI122" s="331" t="s">
        <v>984</v>
      </c>
      <c r="FJ122" s="331" t="s">
        <v>984</v>
      </c>
      <c r="FK122" s="331" t="s">
        <v>984</v>
      </c>
      <c r="FL122" s="331" t="s">
        <v>984</v>
      </c>
      <c r="FM122" s="331" t="s">
        <v>984</v>
      </c>
      <c r="FN122" s="331" t="s">
        <v>984</v>
      </c>
      <c r="FO122" s="331" t="s">
        <v>984</v>
      </c>
      <c r="FP122" s="331" t="s">
        <v>984</v>
      </c>
      <c r="FQ122" s="331" t="s">
        <v>984</v>
      </c>
      <c r="FR122" s="331" t="s">
        <v>428</v>
      </c>
      <c r="FS122" s="331" t="s">
        <v>984</v>
      </c>
      <c r="FT122" s="331" t="s">
        <v>984</v>
      </c>
      <c r="FU122" s="331" t="s">
        <v>984</v>
      </c>
      <c r="FV122" s="331" t="s">
        <v>984</v>
      </c>
      <c r="FW122" s="331" t="s">
        <v>984</v>
      </c>
      <c r="FX122" s="331" t="s">
        <v>984</v>
      </c>
      <c r="FY122" s="331" t="s">
        <v>984</v>
      </c>
      <c r="FZ122" s="331" t="s">
        <v>984</v>
      </c>
      <c r="GA122" s="331" t="s">
        <v>984</v>
      </c>
      <c r="GB122" s="331" t="s">
        <v>984</v>
      </c>
      <c r="GC122" s="331" t="s">
        <v>984</v>
      </c>
      <c r="GD122" s="331" t="s">
        <v>984</v>
      </c>
      <c r="GE122" s="331" t="s">
        <v>984</v>
      </c>
      <c r="GF122" s="331" t="s">
        <v>984</v>
      </c>
      <c r="GG122" s="331" t="s">
        <v>984</v>
      </c>
      <c r="GH122" s="331" t="s">
        <v>984</v>
      </c>
      <c r="GI122" s="331" t="s">
        <v>984</v>
      </c>
      <c r="GJ122" s="331" t="s">
        <v>984</v>
      </c>
      <c r="GK122" s="331" t="s">
        <v>984</v>
      </c>
      <c r="GL122" s="331" t="s">
        <v>984</v>
      </c>
      <c r="GM122" s="331" t="s">
        <v>984</v>
      </c>
      <c r="GN122" s="331" t="s">
        <v>984</v>
      </c>
      <c r="GO122" s="331" t="s">
        <v>984</v>
      </c>
      <c r="GP122" s="331" t="s">
        <v>984</v>
      </c>
      <c r="GQ122" s="331" t="s">
        <v>984</v>
      </c>
      <c r="GR122" s="331" t="s">
        <v>984</v>
      </c>
      <c r="GS122" s="331" t="s">
        <v>984</v>
      </c>
      <c r="GT122" s="331" t="s">
        <v>984</v>
      </c>
      <c r="GU122" s="331" t="s">
        <v>984</v>
      </c>
      <c r="GV122" s="331" t="s">
        <v>984</v>
      </c>
      <c r="GW122" s="331" t="s">
        <v>984</v>
      </c>
      <c r="GX122" s="331" t="s">
        <v>984</v>
      </c>
      <c r="GY122" s="331" t="s">
        <v>984</v>
      </c>
      <c r="GZ122" s="331" t="s">
        <v>984</v>
      </c>
      <c r="HA122" s="331" t="s">
        <v>984</v>
      </c>
      <c r="HB122" s="331" t="s">
        <v>984</v>
      </c>
      <c r="HC122" s="331" t="s">
        <v>984</v>
      </c>
      <c r="HD122" s="331" t="s">
        <v>984</v>
      </c>
      <c r="HE122" s="331" t="s">
        <v>984</v>
      </c>
      <c r="HF122" s="331" t="s">
        <v>984</v>
      </c>
      <c r="HG122" s="331" t="s">
        <v>984</v>
      </c>
      <c r="HH122" s="331" t="s">
        <v>984</v>
      </c>
      <c r="HI122" s="331" t="s">
        <v>984</v>
      </c>
      <c r="HJ122" s="331" t="s">
        <v>984</v>
      </c>
      <c r="HK122" s="331" t="s">
        <v>984</v>
      </c>
      <c r="HL122" s="331" t="s">
        <v>984</v>
      </c>
      <c r="HM122" s="331" t="s">
        <v>984</v>
      </c>
      <c r="HN122" s="331" t="s">
        <v>984</v>
      </c>
      <c r="HO122" s="331" t="s">
        <v>984</v>
      </c>
      <c r="HP122" s="331" t="s">
        <v>984</v>
      </c>
      <c r="HQ122" s="331" t="s">
        <v>170</v>
      </c>
      <c r="HR122" s="331" t="s">
        <v>429</v>
      </c>
      <c r="HS122" s="331" t="s">
        <v>169</v>
      </c>
      <c r="HT122" s="331" t="s">
        <v>427</v>
      </c>
      <c r="HU122" s="331" t="s">
        <v>428</v>
      </c>
      <c r="HV122" s="331" t="s">
        <v>428</v>
      </c>
    </row>
    <row r="123" spans="1:230" s="70" customFormat="1" x14ac:dyDescent="0.25">
      <c r="A123" s="330" t="str">
        <f>HYPERLINK("http://www.ofsted.gov.uk/inspection-reports/find-inspection-report/provider/ELS/105999 ","Ofsted School Webpage")</f>
        <v>Ofsted School Webpage</v>
      </c>
      <c r="B123" s="331">
        <v>105999</v>
      </c>
      <c r="C123" s="331">
        <v>3556020</v>
      </c>
      <c r="D123" s="331" t="s">
        <v>808</v>
      </c>
      <c r="E123" s="331" t="s">
        <v>167</v>
      </c>
      <c r="F123" s="331" t="s">
        <v>431</v>
      </c>
      <c r="G123" s="331" t="s">
        <v>431</v>
      </c>
      <c r="H123" s="331" t="s">
        <v>533</v>
      </c>
      <c r="I123" s="331" t="s">
        <v>809</v>
      </c>
      <c r="J123" s="331" t="s">
        <v>81</v>
      </c>
      <c r="K123" s="331" t="s">
        <v>69</v>
      </c>
      <c r="L123" s="331" t="s">
        <v>69</v>
      </c>
      <c r="M123" s="331" t="s">
        <v>69</v>
      </c>
      <c r="N123" s="331" t="s">
        <v>424</v>
      </c>
      <c r="O123" s="331">
        <v>10131151</v>
      </c>
      <c r="P123" s="332">
        <v>43788</v>
      </c>
      <c r="Q123" s="332">
        <v>43788</v>
      </c>
      <c r="R123" s="332">
        <v>43816</v>
      </c>
      <c r="S123" s="331" t="s">
        <v>997</v>
      </c>
      <c r="T123" s="331" t="s">
        <v>982</v>
      </c>
      <c r="U123" s="331" t="s">
        <v>427</v>
      </c>
      <c r="V123" s="331" t="s">
        <v>2708</v>
      </c>
      <c r="W123" s="331" t="s">
        <v>191</v>
      </c>
      <c r="X123" s="331" t="s">
        <v>191</v>
      </c>
      <c r="Y123" s="331" t="s">
        <v>191</v>
      </c>
      <c r="Z123" s="331" t="s">
        <v>984</v>
      </c>
      <c r="AA123" s="331" t="s">
        <v>984</v>
      </c>
      <c r="AB123" s="331" t="s">
        <v>191</v>
      </c>
      <c r="AC123" s="331" t="s">
        <v>984</v>
      </c>
      <c r="AD123" s="331" t="s">
        <v>984</v>
      </c>
      <c r="AE123" s="331" t="s">
        <v>984</v>
      </c>
      <c r="AF123" s="331" t="s">
        <v>191</v>
      </c>
      <c r="AG123" s="331" t="s">
        <v>191</v>
      </c>
      <c r="AH123" s="331" t="s">
        <v>191</v>
      </c>
      <c r="AI123" s="331" t="s">
        <v>984</v>
      </c>
      <c r="AJ123" s="331" t="s">
        <v>984</v>
      </c>
      <c r="AK123" s="331" t="s">
        <v>984</v>
      </c>
      <c r="AL123" s="331" t="s">
        <v>984</v>
      </c>
      <c r="AM123" s="331" t="s">
        <v>984</v>
      </c>
      <c r="AN123" s="331" t="s">
        <v>984</v>
      </c>
      <c r="AO123" s="331" t="s">
        <v>984</v>
      </c>
      <c r="AP123" s="331" t="s">
        <v>984</v>
      </c>
      <c r="AQ123" s="331" t="s">
        <v>984</v>
      </c>
      <c r="AR123" s="331" t="s">
        <v>984</v>
      </c>
      <c r="AS123" s="331" t="s">
        <v>984</v>
      </c>
      <c r="AT123" s="331" t="s">
        <v>984</v>
      </c>
      <c r="AU123" s="331" t="s">
        <v>984</v>
      </c>
      <c r="AV123" s="331" t="s">
        <v>984</v>
      </c>
      <c r="AW123" s="331" t="s">
        <v>984</v>
      </c>
      <c r="AX123" s="331" t="s">
        <v>984</v>
      </c>
      <c r="AY123" s="331" t="s">
        <v>984</v>
      </c>
      <c r="AZ123" s="331" t="s">
        <v>984</v>
      </c>
      <c r="BA123" s="331" t="s">
        <v>984</v>
      </c>
      <c r="BB123" s="331" t="s">
        <v>984</v>
      </c>
      <c r="BC123" s="331" t="s">
        <v>191</v>
      </c>
      <c r="BD123" s="331" t="s">
        <v>984</v>
      </c>
      <c r="BE123" s="331" t="s">
        <v>984</v>
      </c>
      <c r="BF123" s="331" t="s">
        <v>190</v>
      </c>
      <c r="BG123" s="331" t="s">
        <v>190</v>
      </c>
      <c r="BH123" s="331" t="s">
        <v>190</v>
      </c>
      <c r="BI123" s="331" t="s">
        <v>190</v>
      </c>
      <c r="BJ123" s="331" t="s">
        <v>190</v>
      </c>
      <c r="BK123" s="331" t="s">
        <v>191</v>
      </c>
      <c r="BL123" s="331" t="s">
        <v>190</v>
      </c>
      <c r="BM123" s="331" t="s">
        <v>984</v>
      </c>
      <c r="BN123" s="331" t="s">
        <v>984</v>
      </c>
      <c r="BO123" s="331" t="s">
        <v>984</v>
      </c>
      <c r="BP123" s="331" t="s">
        <v>984</v>
      </c>
      <c r="BQ123" s="331" t="s">
        <v>984</v>
      </c>
      <c r="BR123" s="331" t="s">
        <v>984</v>
      </c>
      <c r="BS123" s="331" t="s">
        <v>984</v>
      </c>
      <c r="BT123" s="331" t="s">
        <v>984</v>
      </c>
      <c r="BU123" s="331" t="s">
        <v>984</v>
      </c>
      <c r="BV123" s="331" t="s">
        <v>984</v>
      </c>
      <c r="BW123" s="331" t="s">
        <v>428</v>
      </c>
      <c r="BX123" s="331" t="s">
        <v>984</v>
      </c>
      <c r="BY123" s="331" t="s">
        <v>984</v>
      </c>
      <c r="BZ123" s="331" t="s">
        <v>984</v>
      </c>
      <c r="CA123" s="331" t="s">
        <v>984</v>
      </c>
      <c r="CB123" s="331" t="s">
        <v>984</v>
      </c>
      <c r="CC123" s="331" t="s">
        <v>984</v>
      </c>
      <c r="CD123" s="331" t="s">
        <v>984</v>
      </c>
      <c r="CE123" s="331" t="s">
        <v>984</v>
      </c>
      <c r="CF123" s="331" t="s">
        <v>984</v>
      </c>
      <c r="CG123" s="331" t="s">
        <v>984</v>
      </c>
      <c r="CH123" s="331" t="s">
        <v>984</v>
      </c>
      <c r="CI123" s="331" t="s">
        <v>984</v>
      </c>
      <c r="CJ123" s="331" t="s">
        <v>984</v>
      </c>
      <c r="CK123" s="331" t="s">
        <v>984</v>
      </c>
      <c r="CL123" s="331" t="s">
        <v>984</v>
      </c>
      <c r="CM123" s="331" t="s">
        <v>984</v>
      </c>
      <c r="CN123" s="331" t="s">
        <v>984</v>
      </c>
      <c r="CO123" s="331" t="s">
        <v>984</v>
      </c>
      <c r="CP123" s="331" t="s">
        <v>984</v>
      </c>
      <c r="CQ123" s="331" t="s">
        <v>984</v>
      </c>
      <c r="CR123" s="331" t="s">
        <v>984</v>
      </c>
      <c r="CS123" s="331" t="s">
        <v>984</v>
      </c>
      <c r="CT123" s="331" t="s">
        <v>984</v>
      </c>
      <c r="CU123" s="331" t="s">
        <v>428</v>
      </c>
      <c r="CV123" s="331" t="s">
        <v>984</v>
      </c>
      <c r="CW123" s="331" t="s">
        <v>984</v>
      </c>
      <c r="CX123" s="331" t="s">
        <v>984</v>
      </c>
      <c r="CY123" s="331" t="s">
        <v>984</v>
      </c>
      <c r="CZ123" s="331" t="s">
        <v>984</v>
      </c>
      <c r="DA123" s="331" t="s">
        <v>984</v>
      </c>
      <c r="DB123" s="331" t="s">
        <v>984</v>
      </c>
      <c r="DC123" s="331" t="s">
        <v>984</v>
      </c>
      <c r="DD123" s="331" t="s">
        <v>984</v>
      </c>
      <c r="DE123" s="331" t="s">
        <v>984</v>
      </c>
      <c r="DF123" s="331" t="s">
        <v>984</v>
      </c>
      <c r="DG123" s="331" t="s">
        <v>984</v>
      </c>
      <c r="DH123" s="331" t="s">
        <v>984</v>
      </c>
      <c r="DI123" s="331" t="s">
        <v>984</v>
      </c>
      <c r="DJ123" s="331" t="s">
        <v>428</v>
      </c>
      <c r="DK123" s="331" t="s">
        <v>984</v>
      </c>
      <c r="DL123" s="331" t="s">
        <v>984</v>
      </c>
      <c r="DM123" s="331" t="s">
        <v>984</v>
      </c>
      <c r="DN123" s="331" t="s">
        <v>984</v>
      </c>
      <c r="DO123" s="331" t="s">
        <v>984</v>
      </c>
      <c r="DP123" s="331" t="s">
        <v>984</v>
      </c>
      <c r="DQ123" s="331" t="s">
        <v>984</v>
      </c>
      <c r="DR123" s="331" t="s">
        <v>984</v>
      </c>
      <c r="DS123" s="331" t="s">
        <v>984</v>
      </c>
      <c r="DT123" s="331" t="s">
        <v>984</v>
      </c>
      <c r="DU123" s="331" t="s">
        <v>984</v>
      </c>
      <c r="DV123" s="331" t="s">
        <v>984</v>
      </c>
      <c r="DW123" s="331" t="s">
        <v>984</v>
      </c>
      <c r="DX123" s="331" t="s">
        <v>984</v>
      </c>
      <c r="DY123" s="331" t="s">
        <v>984</v>
      </c>
      <c r="DZ123" s="331" t="s">
        <v>984</v>
      </c>
      <c r="EA123" s="331" t="s">
        <v>984</v>
      </c>
      <c r="EB123" s="331" t="s">
        <v>984</v>
      </c>
      <c r="EC123" s="331" t="s">
        <v>984</v>
      </c>
      <c r="ED123" s="331" t="s">
        <v>984</v>
      </c>
      <c r="EE123" s="331" t="s">
        <v>984</v>
      </c>
      <c r="EF123" s="331" t="s">
        <v>984</v>
      </c>
      <c r="EG123" s="331" t="s">
        <v>984</v>
      </c>
      <c r="EH123" s="331" t="s">
        <v>984</v>
      </c>
      <c r="EI123" s="331" t="s">
        <v>984</v>
      </c>
      <c r="EJ123" s="331" t="s">
        <v>984</v>
      </c>
      <c r="EK123" s="331" t="s">
        <v>984</v>
      </c>
      <c r="EL123" s="331" t="s">
        <v>984</v>
      </c>
      <c r="EM123" s="331" t="s">
        <v>984</v>
      </c>
      <c r="EN123" s="331" t="s">
        <v>984</v>
      </c>
      <c r="EO123" s="331" t="s">
        <v>984</v>
      </c>
      <c r="EP123" s="331" t="s">
        <v>984</v>
      </c>
      <c r="EQ123" s="331" t="s">
        <v>984</v>
      </c>
      <c r="ER123" s="331" t="s">
        <v>984</v>
      </c>
      <c r="ES123" s="331" t="s">
        <v>984</v>
      </c>
      <c r="ET123" s="331" t="s">
        <v>984</v>
      </c>
      <c r="EU123" s="331" t="s">
        <v>984</v>
      </c>
      <c r="EV123" s="331" t="s">
        <v>984</v>
      </c>
      <c r="EW123" s="331" t="s">
        <v>984</v>
      </c>
      <c r="EX123" s="331" t="s">
        <v>984</v>
      </c>
      <c r="EY123" s="331" t="s">
        <v>984</v>
      </c>
      <c r="EZ123" s="331" t="s">
        <v>984</v>
      </c>
      <c r="FA123" s="331" t="s">
        <v>984</v>
      </c>
      <c r="FB123" s="331" t="s">
        <v>984</v>
      </c>
      <c r="FC123" s="331" t="s">
        <v>984</v>
      </c>
      <c r="FD123" s="331" t="s">
        <v>984</v>
      </c>
      <c r="FE123" s="331" t="s">
        <v>984</v>
      </c>
      <c r="FF123" s="331" t="s">
        <v>984</v>
      </c>
      <c r="FG123" s="331" t="s">
        <v>984</v>
      </c>
      <c r="FH123" s="331" t="s">
        <v>984</v>
      </c>
      <c r="FI123" s="331" t="s">
        <v>984</v>
      </c>
      <c r="FJ123" s="331" t="s">
        <v>984</v>
      </c>
      <c r="FK123" s="331" t="s">
        <v>984</v>
      </c>
      <c r="FL123" s="331" t="s">
        <v>984</v>
      </c>
      <c r="FM123" s="331" t="s">
        <v>984</v>
      </c>
      <c r="FN123" s="331" t="s">
        <v>984</v>
      </c>
      <c r="FO123" s="331" t="s">
        <v>984</v>
      </c>
      <c r="FP123" s="331" t="s">
        <v>984</v>
      </c>
      <c r="FQ123" s="331" t="s">
        <v>984</v>
      </c>
      <c r="FR123" s="331" t="s">
        <v>428</v>
      </c>
      <c r="FS123" s="331" t="s">
        <v>190</v>
      </c>
      <c r="FT123" s="331" t="s">
        <v>984</v>
      </c>
      <c r="FU123" s="331" t="s">
        <v>984</v>
      </c>
      <c r="FV123" s="331" t="s">
        <v>190</v>
      </c>
      <c r="FW123" s="331" t="s">
        <v>984</v>
      </c>
      <c r="FX123" s="331" t="s">
        <v>984</v>
      </c>
      <c r="FY123" s="331" t="s">
        <v>984</v>
      </c>
      <c r="FZ123" s="331" t="s">
        <v>984</v>
      </c>
      <c r="GA123" s="331" t="s">
        <v>984</v>
      </c>
      <c r="GB123" s="331" t="s">
        <v>984</v>
      </c>
      <c r="GC123" s="331" t="s">
        <v>984</v>
      </c>
      <c r="GD123" s="331" t="s">
        <v>984</v>
      </c>
      <c r="GE123" s="331" t="s">
        <v>984</v>
      </c>
      <c r="GF123" s="331" t="s">
        <v>984</v>
      </c>
      <c r="GG123" s="331" t="s">
        <v>984</v>
      </c>
      <c r="GH123" s="331" t="s">
        <v>984</v>
      </c>
      <c r="GI123" s="331" t="s">
        <v>984</v>
      </c>
      <c r="GJ123" s="331" t="s">
        <v>984</v>
      </c>
      <c r="GK123" s="331" t="s">
        <v>984</v>
      </c>
      <c r="GL123" s="331" t="s">
        <v>984</v>
      </c>
      <c r="GM123" s="331" t="s">
        <v>984</v>
      </c>
      <c r="GN123" s="331" t="s">
        <v>984</v>
      </c>
      <c r="GO123" s="331" t="s">
        <v>984</v>
      </c>
      <c r="GP123" s="331" t="s">
        <v>984</v>
      </c>
      <c r="GQ123" s="331" t="s">
        <v>984</v>
      </c>
      <c r="GR123" s="331" t="s">
        <v>984</v>
      </c>
      <c r="GS123" s="331" t="s">
        <v>984</v>
      </c>
      <c r="GT123" s="331" t="s">
        <v>984</v>
      </c>
      <c r="GU123" s="331" t="s">
        <v>984</v>
      </c>
      <c r="GV123" s="331" t="s">
        <v>984</v>
      </c>
      <c r="GW123" s="331" t="s">
        <v>984</v>
      </c>
      <c r="GX123" s="331" t="s">
        <v>984</v>
      </c>
      <c r="GY123" s="331" t="s">
        <v>984</v>
      </c>
      <c r="GZ123" s="331" t="s">
        <v>984</v>
      </c>
      <c r="HA123" s="331" t="s">
        <v>984</v>
      </c>
      <c r="HB123" s="331" t="s">
        <v>984</v>
      </c>
      <c r="HC123" s="331" t="s">
        <v>984</v>
      </c>
      <c r="HD123" s="331" t="s">
        <v>984</v>
      </c>
      <c r="HE123" s="331" t="s">
        <v>984</v>
      </c>
      <c r="HF123" s="331" t="s">
        <v>984</v>
      </c>
      <c r="HG123" s="331" t="s">
        <v>984</v>
      </c>
      <c r="HH123" s="331" t="s">
        <v>984</v>
      </c>
      <c r="HI123" s="331" t="s">
        <v>984</v>
      </c>
      <c r="HJ123" s="331" t="s">
        <v>984</v>
      </c>
      <c r="HK123" s="331" t="s">
        <v>984</v>
      </c>
      <c r="HL123" s="331" t="s">
        <v>984</v>
      </c>
      <c r="HM123" s="331" t="s">
        <v>191</v>
      </c>
      <c r="HN123" s="331" t="s">
        <v>191</v>
      </c>
      <c r="HO123" s="331" t="s">
        <v>191</v>
      </c>
      <c r="HP123" s="331" t="s">
        <v>984</v>
      </c>
      <c r="HQ123" s="331" t="s">
        <v>170</v>
      </c>
      <c r="HR123" s="331" t="s">
        <v>429</v>
      </c>
      <c r="HS123" s="331" t="s">
        <v>169</v>
      </c>
      <c r="HT123" s="331" t="s">
        <v>447</v>
      </c>
      <c r="HU123" s="331" t="s">
        <v>428</v>
      </c>
      <c r="HV123" s="331" t="s">
        <v>428</v>
      </c>
    </row>
    <row r="124" spans="1:230" s="70" customFormat="1" x14ac:dyDescent="0.25">
      <c r="A124" s="330" t="str">
        <f>HYPERLINK("http://www.ofsted.gov.uk/inspection-reports/find-inspection-report/provider/ELS/103592 ","Ofsted School Webpage")</f>
        <v>Ofsted School Webpage</v>
      </c>
      <c r="B124" s="331">
        <v>103592</v>
      </c>
      <c r="C124" s="331">
        <v>3346084</v>
      </c>
      <c r="D124" s="331" t="s">
        <v>2758</v>
      </c>
      <c r="E124" s="331" t="s">
        <v>167</v>
      </c>
      <c r="F124" s="331" t="s">
        <v>437</v>
      </c>
      <c r="G124" s="331" t="s">
        <v>437</v>
      </c>
      <c r="H124" s="331" t="s">
        <v>1333</v>
      </c>
      <c r="I124" s="331" t="s">
        <v>2759</v>
      </c>
      <c r="J124" s="331" t="s">
        <v>81</v>
      </c>
      <c r="K124" s="331" t="s">
        <v>72</v>
      </c>
      <c r="L124" s="331" t="s">
        <v>72</v>
      </c>
      <c r="M124" s="331" t="s">
        <v>72</v>
      </c>
      <c r="N124" s="331" t="s">
        <v>583</v>
      </c>
      <c r="O124" s="331">
        <v>10126855</v>
      </c>
      <c r="P124" s="332">
        <v>43788</v>
      </c>
      <c r="Q124" s="332">
        <v>43788</v>
      </c>
      <c r="R124" s="332">
        <v>43815</v>
      </c>
      <c r="S124" s="331" t="s">
        <v>985</v>
      </c>
      <c r="T124" s="331" t="s">
        <v>982</v>
      </c>
      <c r="U124" s="331" t="s">
        <v>447</v>
      </c>
      <c r="V124" s="331" t="s">
        <v>166</v>
      </c>
      <c r="W124" s="331" t="s">
        <v>191</v>
      </c>
      <c r="X124" s="331" t="s">
        <v>191</v>
      </c>
      <c r="Y124" s="331" t="s">
        <v>191</v>
      </c>
      <c r="Z124" s="331" t="s">
        <v>191</v>
      </c>
      <c r="AA124" s="331" t="s">
        <v>584</v>
      </c>
      <c r="AB124" s="331" t="s">
        <v>584</v>
      </c>
      <c r="AC124" s="331" t="s">
        <v>584</v>
      </c>
      <c r="AD124" s="331" t="s">
        <v>584</v>
      </c>
      <c r="AE124" s="331" t="s">
        <v>428</v>
      </c>
      <c r="AF124" s="331" t="s">
        <v>584</v>
      </c>
      <c r="AG124" s="331" t="s">
        <v>584</v>
      </c>
      <c r="AH124" s="331" t="s">
        <v>584</v>
      </c>
      <c r="AI124" s="331" t="s">
        <v>584</v>
      </c>
      <c r="AJ124" s="331" t="s">
        <v>584</v>
      </c>
      <c r="AK124" s="331" t="s">
        <v>584</v>
      </c>
      <c r="AL124" s="331" t="s">
        <v>584</v>
      </c>
      <c r="AM124" s="331" t="s">
        <v>428</v>
      </c>
      <c r="AN124" s="331" t="s">
        <v>428</v>
      </c>
      <c r="AO124" s="331" t="s">
        <v>584</v>
      </c>
      <c r="AP124" s="331" t="s">
        <v>584</v>
      </c>
      <c r="AQ124" s="331" t="s">
        <v>584</v>
      </c>
      <c r="AR124" s="331" t="s">
        <v>584</v>
      </c>
      <c r="AS124" s="331" t="s">
        <v>584</v>
      </c>
      <c r="AT124" s="331" t="s">
        <v>584</v>
      </c>
      <c r="AU124" s="331" t="s">
        <v>584</v>
      </c>
      <c r="AV124" s="331" t="s">
        <v>584</v>
      </c>
      <c r="AW124" s="331" t="s">
        <v>584</v>
      </c>
      <c r="AX124" s="331" t="s">
        <v>584</v>
      </c>
      <c r="AY124" s="331" t="s">
        <v>584</v>
      </c>
      <c r="AZ124" s="331" t="s">
        <v>584</v>
      </c>
      <c r="BA124" s="331" t="s">
        <v>584</v>
      </c>
      <c r="BB124" s="331" t="s">
        <v>984</v>
      </c>
      <c r="BC124" s="331" t="s">
        <v>584</v>
      </c>
      <c r="BD124" s="331" t="s">
        <v>584</v>
      </c>
      <c r="BE124" s="331" t="s">
        <v>584</v>
      </c>
      <c r="BF124" s="331" t="s">
        <v>584</v>
      </c>
      <c r="BG124" s="331" t="s">
        <v>584</v>
      </c>
      <c r="BH124" s="331" t="s">
        <v>584</v>
      </c>
      <c r="BI124" s="331" t="s">
        <v>584</v>
      </c>
      <c r="BJ124" s="331" t="s">
        <v>584</v>
      </c>
      <c r="BK124" s="331" t="s">
        <v>584</v>
      </c>
      <c r="BL124" s="331" t="s">
        <v>584</v>
      </c>
      <c r="BM124" s="331" t="s">
        <v>584</v>
      </c>
      <c r="BN124" s="331" t="s">
        <v>584</v>
      </c>
      <c r="BO124" s="331" t="s">
        <v>584</v>
      </c>
      <c r="BP124" s="331" t="s">
        <v>584</v>
      </c>
      <c r="BQ124" s="331" t="s">
        <v>584</v>
      </c>
      <c r="BR124" s="331" t="s">
        <v>191</v>
      </c>
      <c r="BS124" s="331" t="s">
        <v>191</v>
      </c>
      <c r="BT124" s="331" t="s">
        <v>191</v>
      </c>
      <c r="BU124" s="331" t="s">
        <v>428</v>
      </c>
      <c r="BV124" s="331" t="s">
        <v>428</v>
      </c>
      <c r="BW124" s="331" t="s">
        <v>428</v>
      </c>
      <c r="BX124" s="331" t="s">
        <v>984</v>
      </c>
      <c r="BY124" s="331" t="s">
        <v>984</v>
      </c>
      <c r="BZ124" s="331" t="s">
        <v>984</v>
      </c>
      <c r="CA124" s="331" t="s">
        <v>984</v>
      </c>
      <c r="CB124" s="331" t="s">
        <v>984</v>
      </c>
      <c r="CC124" s="331" t="s">
        <v>984</v>
      </c>
      <c r="CD124" s="331" t="s">
        <v>191</v>
      </c>
      <c r="CE124" s="331" t="s">
        <v>984</v>
      </c>
      <c r="CF124" s="331" t="s">
        <v>584</v>
      </c>
      <c r="CG124" s="331" t="s">
        <v>191</v>
      </c>
      <c r="CH124" s="331" t="s">
        <v>191</v>
      </c>
      <c r="CI124" s="331" t="s">
        <v>191</v>
      </c>
      <c r="CJ124" s="331" t="s">
        <v>191</v>
      </c>
      <c r="CK124" s="331" t="s">
        <v>984</v>
      </c>
      <c r="CL124" s="331" t="s">
        <v>984</v>
      </c>
      <c r="CM124" s="331" t="s">
        <v>984</v>
      </c>
      <c r="CN124" s="331" t="s">
        <v>984</v>
      </c>
      <c r="CO124" s="331" t="s">
        <v>984</v>
      </c>
      <c r="CP124" s="331" t="s">
        <v>984</v>
      </c>
      <c r="CQ124" s="331" t="s">
        <v>984</v>
      </c>
      <c r="CR124" s="331" t="s">
        <v>984</v>
      </c>
      <c r="CS124" s="331" t="s">
        <v>984</v>
      </c>
      <c r="CT124" s="331" t="s">
        <v>984</v>
      </c>
      <c r="CU124" s="331" t="s">
        <v>428</v>
      </c>
      <c r="CV124" s="331" t="s">
        <v>984</v>
      </c>
      <c r="CW124" s="331" t="s">
        <v>984</v>
      </c>
      <c r="CX124" s="331" t="s">
        <v>984</v>
      </c>
      <c r="CY124" s="331" t="s">
        <v>984</v>
      </c>
      <c r="CZ124" s="331" t="s">
        <v>984</v>
      </c>
      <c r="DA124" s="331" t="s">
        <v>984</v>
      </c>
      <c r="DB124" s="331" t="s">
        <v>984</v>
      </c>
      <c r="DC124" s="331" t="s">
        <v>984</v>
      </c>
      <c r="DD124" s="331" t="s">
        <v>984</v>
      </c>
      <c r="DE124" s="331" t="s">
        <v>984</v>
      </c>
      <c r="DF124" s="331" t="s">
        <v>984</v>
      </c>
      <c r="DG124" s="331" t="s">
        <v>984</v>
      </c>
      <c r="DH124" s="331" t="s">
        <v>984</v>
      </c>
      <c r="DI124" s="331" t="s">
        <v>984</v>
      </c>
      <c r="DJ124" s="331" t="s">
        <v>428</v>
      </c>
      <c r="DK124" s="331" t="s">
        <v>984</v>
      </c>
      <c r="DL124" s="331" t="s">
        <v>984</v>
      </c>
      <c r="DM124" s="331" t="s">
        <v>984</v>
      </c>
      <c r="DN124" s="331" t="s">
        <v>984</v>
      </c>
      <c r="DO124" s="331" t="s">
        <v>984</v>
      </c>
      <c r="DP124" s="331" t="s">
        <v>984</v>
      </c>
      <c r="DQ124" s="331" t="s">
        <v>984</v>
      </c>
      <c r="DR124" s="331" t="s">
        <v>984</v>
      </c>
      <c r="DS124" s="331" t="s">
        <v>984</v>
      </c>
      <c r="DT124" s="331" t="s">
        <v>984</v>
      </c>
      <c r="DU124" s="331" t="s">
        <v>984</v>
      </c>
      <c r="DV124" s="331" t="s">
        <v>984</v>
      </c>
      <c r="DW124" s="331" t="s">
        <v>984</v>
      </c>
      <c r="DX124" s="331" t="s">
        <v>984</v>
      </c>
      <c r="DY124" s="331" t="s">
        <v>984</v>
      </c>
      <c r="DZ124" s="331" t="s">
        <v>984</v>
      </c>
      <c r="EA124" s="331" t="s">
        <v>984</v>
      </c>
      <c r="EB124" s="331" t="s">
        <v>984</v>
      </c>
      <c r="EC124" s="331" t="s">
        <v>984</v>
      </c>
      <c r="ED124" s="331" t="s">
        <v>984</v>
      </c>
      <c r="EE124" s="331" t="s">
        <v>984</v>
      </c>
      <c r="EF124" s="331" t="s">
        <v>984</v>
      </c>
      <c r="EG124" s="331" t="s">
        <v>984</v>
      </c>
      <c r="EH124" s="331" t="s">
        <v>984</v>
      </c>
      <c r="EI124" s="331" t="s">
        <v>984</v>
      </c>
      <c r="EJ124" s="331" t="s">
        <v>984</v>
      </c>
      <c r="EK124" s="331" t="s">
        <v>984</v>
      </c>
      <c r="EL124" s="331" t="s">
        <v>984</v>
      </c>
      <c r="EM124" s="331" t="s">
        <v>984</v>
      </c>
      <c r="EN124" s="331" t="s">
        <v>984</v>
      </c>
      <c r="EO124" s="331" t="s">
        <v>984</v>
      </c>
      <c r="EP124" s="331" t="s">
        <v>984</v>
      </c>
      <c r="EQ124" s="331" t="s">
        <v>984</v>
      </c>
      <c r="ER124" s="331" t="s">
        <v>984</v>
      </c>
      <c r="ES124" s="331" t="s">
        <v>190</v>
      </c>
      <c r="ET124" s="331" t="s">
        <v>190</v>
      </c>
      <c r="EU124" s="331" t="s">
        <v>190</v>
      </c>
      <c r="EV124" s="331" t="s">
        <v>190</v>
      </c>
      <c r="EW124" s="331" t="s">
        <v>984</v>
      </c>
      <c r="EX124" s="331" t="s">
        <v>984</v>
      </c>
      <c r="EY124" s="331" t="s">
        <v>984</v>
      </c>
      <c r="EZ124" s="331" t="s">
        <v>984</v>
      </c>
      <c r="FA124" s="331" t="s">
        <v>984</v>
      </c>
      <c r="FB124" s="331" t="s">
        <v>191</v>
      </c>
      <c r="FC124" s="331" t="s">
        <v>984</v>
      </c>
      <c r="FD124" s="331" t="s">
        <v>984</v>
      </c>
      <c r="FE124" s="331" t="s">
        <v>984</v>
      </c>
      <c r="FF124" s="331" t="s">
        <v>984</v>
      </c>
      <c r="FG124" s="331" t="s">
        <v>984</v>
      </c>
      <c r="FH124" s="331" t="s">
        <v>984</v>
      </c>
      <c r="FI124" s="331" t="s">
        <v>984</v>
      </c>
      <c r="FJ124" s="331" t="s">
        <v>984</v>
      </c>
      <c r="FK124" s="331" t="s">
        <v>984</v>
      </c>
      <c r="FL124" s="331" t="s">
        <v>984</v>
      </c>
      <c r="FM124" s="331" t="s">
        <v>984</v>
      </c>
      <c r="FN124" s="331" t="s">
        <v>984</v>
      </c>
      <c r="FO124" s="331" t="s">
        <v>984</v>
      </c>
      <c r="FP124" s="331" t="s">
        <v>984</v>
      </c>
      <c r="FQ124" s="331" t="s">
        <v>984</v>
      </c>
      <c r="FR124" s="331" t="s">
        <v>428</v>
      </c>
      <c r="FS124" s="331" t="s">
        <v>190</v>
      </c>
      <c r="FT124" s="331" t="s">
        <v>984</v>
      </c>
      <c r="FU124" s="331" t="s">
        <v>984</v>
      </c>
      <c r="FV124" s="331" t="s">
        <v>190</v>
      </c>
      <c r="FW124" s="331" t="s">
        <v>984</v>
      </c>
      <c r="FX124" s="331" t="s">
        <v>984</v>
      </c>
      <c r="FY124" s="331" t="s">
        <v>984</v>
      </c>
      <c r="FZ124" s="331" t="s">
        <v>190</v>
      </c>
      <c r="GA124" s="331" t="s">
        <v>984</v>
      </c>
      <c r="GB124" s="331" t="s">
        <v>984</v>
      </c>
      <c r="GC124" s="331" t="s">
        <v>984</v>
      </c>
      <c r="GD124" s="331" t="s">
        <v>984</v>
      </c>
      <c r="GE124" s="331" t="s">
        <v>984</v>
      </c>
      <c r="GF124" s="331" t="s">
        <v>984</v>
      </c>
      <c r="GG124" s="331" t="s">
        <v>984</v>
      </c>
      <c r="GH124" s="331" t="s">
        <v>984</v>
      </c>
      <c r="GI124" s="331" t="s">
        <v>984</v>
      </c>
      <c r="GJ124" s="331" t="s">
        <v>984</v>
      </c>
      <c r="GK124" s="331" t="s">
        <v>984</v>
      </c>
      <c r="GL124" s="331" t="s">
        <v>984</v>
      </c>
      <c r="GM124" s="331" t="s">
        <v>984</v>
      </c>
      <c r="GN124" s="331" t="s">
        <v>984</v>
      </c>
      <c r="GO124" s="331" t="s">
        <v>984</v>
      </c>
      <c r="GP124" s="331" t="s">
        <v>984</v>
      </c>
      <c r="GQ124" s="331" t="s">
        <v>984</v>
      </c>
      <c r="GR124" s="331" t="s">
        <v>984</v>
      </c>
      <c r="GS124" s="331" t="s">
        <v>984</v>
      </c>
      <c r="GT124" s="331" t="s">
        <v>984</v>
      </c>
      <c r="GU124" s="331" t="s">
        <v>984</v>
      </c>
      <c r="GV124" s="331" t="s">
        <v>984</v>
      </c>
      <c r="GW124" s="331" t="s">
        <v>984</v>
      </c>
      <c r="GX124" s="331" t="s">
        <v>984</v>
      </c>
      <c r="GY124" s="331" t="s">
        <v>984</v>
      </c>
      <c r="GZ124" s="331" t="s">
        <v>984</v>
      </c>
      <c r="HA124" s="331" t="s">
        <v>984</v>
      </c>
      <c r="HB124" s="331" t="s">
        <v>984</v>
      </c>
      <c r="HC124" s="331" t="s">
        <v>984</v>
      </c>
      <c r="HD124" s="331" t="s">
        <v>984</v>
      </c>
      <c r="HE124" s="331" t="s">
        <v>984</v>
      </c>
      <c r="HF124" s="331" t="s">
        <v>984</v>
      </c>
      <c r="HG124" s="331" t="s">
        <v>984</v>
      </c>
      <c r="HH124" s="331" t="s">
        <v>984</v>
      </c>
      <c r="HI124" s="331" t="s">
        <v>984</v>
      </c>
      <c r="HJ124" s="331" t="s">
        <v>984</v>
      </c>
      <c r="HK124" s="331" t="s">
        <v>984</v>
      </c>
      <c r="HL124" s="331" t="s">
        <v>984</v>
      </c>
      <c r="HM124" s="331" t="s">
        <v>191</v>
      </c>
      <c r="HN124" s="331" t="s">
        <v>191</v>
      </c>
      <c r="HO124" s="331" t="s">
        <v>191</v>
      </c>
      <c r="HP124" s="331" t="s">
        <v>191</v>
      </c>
      <c r="HQ124" s="331" t="s">
        <v>170</v>
      </c>
      <c r="HR124" s="331" t="s">
        <v>429</v>
      </c>
      <c r="HS124" s="331" t="s">
        <v>169</v>
      </c>
      <c r="HT124" s="331" t="s">
        <v>447</v>
      </c>
      <c r="HU124" s="331" t="s">
        <v>428</v>
      </c>
      <c r="HV124" s="331" t="s">
        <v>428</v>
      </c>
    </row>
    <row r="125" spans="1:230" s="70" customFormat="1" x14ac:dyDescent="0.25">
      <c r="A125" s="330" t="str">
        <f>HYPERLINK("http://www.ofsted.gov.uk/inspection-reports/find-inspection-report/provider/ELS/136063 ","Ofsted School Webpage")</f>
        <v>Ofsted School Webpage</v>
      </c>
      <c r="B125" s="331">
        <v>136063</v>
      </c>
      <c r="C125" s="331">
        <v>3346029</v>
      </c>
      <c r="D125" s="331" t="s">
        <v>2760</v>
      </c>
      <c r="E125" s="331" t="s">
        <v>167</v>
      </c>
      <c r="F125" s="331" t="s">
        <v>437</v>
      </c>
      <c r="G125" s="331" t="s">
        <v>437</v>
      </c>
      <c r="H125" s="331" t="s">
        <v>1333</v>
      </c>
      <c r="I125" s="331" t="s">
        <v>2759</v>
      </c>
      <c r="J125" s="331" t="s">
        <v>81</v>
      </c>
      <c r="K125" s="331" t="s">
        <v>71</v>
      </c>
      <c r="L125" s="331" t="s">
        <v>71</v>
      </c>
      <c r="M125" s="331" t="s">
        <v>72</v>
      </c>
      <c r="N125" s="331" t="s">
        <v>583</v>
      </c>
      <c r="O125" s="331">
        <v>10126853</v>
      </c>
      <c r="P125" s="332">
        <v>43788</v>
      </c>
      <c r="Q125" s="332">
        <v>43788</v>
      </c>
      <c r="R125" s="332">
        <v>43818</v>
      </c>
      <c r="S125" s="331" t="s">
        <v>985</v>
      </c>
      <c r="T125" s="331" t="s">
        <v>982</v>
      </c>
      <c r="U125" s="331" t="s">
        <v>447</v>
      </c>
      <c r="V125" s="331" t="s">
        <v>166</v>
      </c>
      <c r="W125" s="331" t="s">
        <v>191</v>
      </c>
      <c r="X125" s="331" t="s">
        <v>191</v>
      </c>
      <c r="Y125" s="331" t="s">
        <v>191</v>
      </c>
      <c r="Z125" s="331" t="s">
        <v>191</v>
      </c>
      <c r="AA125" s="331" t="s">
        <v>190</v>
      </c>
      <c r="AB125" s="331" t="s">
        <v>584</v>
      </c>
      <c r="AC125" s="331" t="s">
        <v>584</v>
      </c>
      <c r="AD125" s="331" t="s">
        <v>584</v>
      </c>
      <c r="AE125" s="331" t="s">
        <v>428</v>
      </c>
      <c r="AF125" s="331" t="s">
        <v>584</v>
      </c>
      <c r="AG125" s="331" t="s">
        <v>584</v>
      </c>
      <c r="AH125" s="331" t="s">
        <v>584</v>
      </c>
      <c r="AI125" s="331" t="s">
        <v>584</v>
      </c>
      <c r="AJ125" s="331" t="s">
        <v>584</v>
      </c>
      <c r="AK125" s="331" t="s">
        <v>584</v>
      </c>
      <c r="AL125" s="331" t="s">
        <v>584</v>
      </c>
      <c r="AM125" s="331" t="s">
        <v>428</v>
      </c>
      <c r="AN125" s="331" t="s">
        <v>584</v>
      </c>
      <c r="AO125" s="331" t="s">
        <v>584</v>
      </c>
      <c r="AP125" s="331" t="s">
        <v>584</v>
      </c>
      <c r="AQ125" s="331" t="s">
        <v>584</v>
      </c>
      <c r="AR125" s="331" t="s">
        <v>584</v>
      </c>
      <c r="AS125" s="331" t="s">
        <v>584</v>
      </c>
      <c r="AT125" s="331" t="s">
        <v>584</v>
      </c>
      <c r="AU125" s="331" t="s">
        <v>584</v>
      </c>
      <c r="AV125" s="331" t="s">
        <v>584</v>
      </c>
      <c r="AW125" s="331" t="s">
        <v>584</v>
      </c>
      <c r="AX125" s="331" t="s">
        <v>584</v>
      </c>
      <c r="AY125" s="331" t="s">
        <v>584</v>
      </c>
      <c r="AZ125" s="331" t="s">
        <v>584</v>
      </c>
      <c r="BA125" s="331" t="s">
        <v>584</v>
      </c>
      <c r="BB125" s="331" t="s">
        <v>584</v>
      </c>
      <c r="BC125" s="331" t="s">
        <v>584</v>
      </c>
      <c r="BD125" s="331" t="s">
        <v>584</v>
      </c>
      <c r="BE125" s="331" t="s">
        <v>584</v>
      </c>
      <c r="BF125" s="331" t="s">
        <v>584</v>
      </c>
      <c r="BG125" s="331" t="s">
        <v>584</v>
      </c>
      <c r="BH125" s="331" t="s">
        <v>584</v>
      </c>
      <c r="BI125" s="331" t="s">
        <v>584</v>
      </c>
      <c r="BJ125" s="331" t="s">
        <v>584</v>
      </c>
      <c r="BK125" s="331" t="s">
        <v>584</v>
      </c>
      <c r="BL125" s="331" t="s">
        <v>584</v>
      </c>
      <c r="BM125" s="331" t="s">
        <v>584</v>
      </c>
      <c r="BN125" s="331" t="s">
        <v>584</v>
      </c>
      <c r="BO125" s="331" t="s">
        <v>584</v>
      </c>
      <c r="BP125" s="331" t="s">
        <v>584</v>
      </c>
      <c r="BQ125" s="331" t="s">
        <v>584</v>
      </c>
      <c r="BR125" s="331" t="s">
        <v>191</v>
      </c>
      <c r="BS125" s="331" t="s">
        <v>191</v>
      </c>
      <c r="BT125" s="331" t="s">
        <v>191</v>
      </c>
      <c r="BU125" s="331" t="s">
        <v>428</v>
      </c>
      <c r="BV125" s="331" t="s">
        <v>428</v>
      </c>
      <c r="BW125" s="331" t="s">
        <v>428</v>
      </c>
      <c r="BX125" s="331" t="s">
        <v>984</v>
      </c>
      <c r="BY125" s="331" t="s">
        <v>984</v>
      </c>
      <c r="BZ125" s="331" t="s">
        <v>984</v>
      </c>
      <c r="CA125" s="331" t="s">
        <v>984</v>
      </c>
      <c r="CB125" s="331" t="s">
        <v>191</v>
      </c>
      <c r="CC125" s="331" t="s">
        <v>984</v>
      </c>
      <c r="CD125" s="331" t="s">
        <v>191</v>
      </c>
      <c r="CE125" s="331" t="s">
        <v>984</v>
      </c>
      <c r="CF125" s="331" t="s">
        <v>584</v>
      </c>
      <c r="CG125" s="331" t="s">
        <v>191</v>
      </c>
      <c r="CH125" s="331" t="s">
        <v>191</v>
      </c>
      <c r="CI125" s="331" t="s">
        <v>191</v>
      </c>
      <c r="CJ125" s="331" t="s">
        <v>191</v>
      </c>
      <c r="CK125" s="331" t="s">
        <v>984</v>
      </c>
      <c r="CL125" s="331" t="s">
        <v>984</v>
      </c>
      <c r="CM125" s="331" t="s">
        <v>984</v>
      </c>
      <c r="CN125" s="331" t="s">
        <v>984</v>
      </c>
      <c r="CO125" s="331" t="s">
        <v>984</v>
      </c>
      <c r="CP125" s="331" t="s">
        <v>984</v>
      </c>
      <c r="CQ125" s="331" t="s">
        <v>984</v>
      </c>
      <c r="CR125" s="331" t="s">
        <v>984</v>
      </c>
      <c r="CS125" s="331" t="s">
        <v>984</v>
      </c>
      <c r="CT125" s="331" t="s">
        <v>984</v>
      </c>
      <c r="CU125" s="331" t="s">
        <v>984</v>
      </c>
      <c r="CV125" s="331" t="s">
        <v>984</v>
      </c>
      <c r="CW125" s="331" t="s">
        <v>984</v>
      </c>
      <c r="CX125" s="331" t="s">
        <v>984</v>
      </c>
      <c r="CY125" s="331" t="s">
        <v>984</v>
      </c>
      <c r="CZ125" s="331" t="s">
        <v>984</v>
      </c>
      <c r="DA125" s="331" t="s">
        <v>984</v>
      </c>
      <c r="DB125" s="331" t="s">
        <v>984</v>
      </c>
      <c r="DC125" s="331" t="s">
        <v>984</v>
      </c>
      <c r="DD125" s="331" t="s">
        <v>984</v>
      </c>
      <c r="DE125" s="331" t="s">
        <v>984</v>
      </c>
      <c r="DF125" s="331" t="s">
        <v>984</v>
      </c>
      <c r="DG125" s="331" t="s">
        <v>984</v>
      </c>
      <c r="DH125" s="331" t="s">
        <v>984</v>
      </c>
      <c r="DI125" s="331" t="s">
        <v>984</v>
      </c>
      <c r="DJ125" s="331" t="s">
        <v>984</v>
      </c>
      <c r="DK125" s="331" t="s">
        <v>984</v>
      </c>
      <c r="DL125" s="331" t="s">
        <v>984</v>
      </c>
      <c r="DM125" s="331" t="s">
        <v>984</v>
      </c>
      <c r="DN125" s="331" t="s">
        <v>984</v>
      </c>
      <c r="DO125" s="331" t="s">
        <v>984</v>
      </c>
      <c r="DP125" s="331" t="s">
        <v>984</v>
      </c>
      <c r="DQ125" s="331" t="s">
        <v>984</v>
      </c>
      <c r="DR125" s="331" t="s">
        <v>984</v>
      </c>
      <c r="DS125" s="331" t="s">
        <v>984</v>
      </c>
      <c r="DT125" s="331" t="s">
        <v>984</v>
      </c>
      <c r="DU125" s="331" t="s">
        <v>984</v>
      </c>
      <c r="DV125" s="331" t="s">
        <v>984</v>
      </c>
      <c r="DW125" s="331" t="s">
        <v>984</v>
      </c>
      <c r="DX125" s="331" t="s">
        <v>984</v>
      </c>
      <c r="DY125" s="331" t="s">
        <v>984</v>
      </c>
      <c r="DZ125" s="331" t="s">
        <v>984</v>
      </c>
      <c r="EA125" s="331" t="s">
        <v>984</v>
      </c>
      <c r="EB125" s="331" t="s">
        <v>984</v>
      </c>
      <c r="EC125" s="331" t="s">
        <v>984</v>
      </c>
      <c r="ED125" s="331" t="s">
        <v>984</v>
      </c>
      <c r="EE125" s="331" t="s">
        <v>984</v>
      </c>
      <c r="EF125" s="331" t="s">
        <v>984</v>
      </c>
      <c r="EG125" s="331" t="s">
        <v>984</v>
      </c>
      <c r="EH125" s="331" t="s">
        <v>984</v>
      </c>
      <c r="EI125" s="331" t="s">
        <v>984</v>
      </c>
      <c r="EJ125" s="331" t="s">
        <v>984</v>
      </c>
      <c r="EK125" s="331" t="s">
        <v>984</v>
      </c>
      <c r="EL125" s="331" t="s">
        <v>984</v>
      </c>
      <c r="EM125" s="331" t="s">
        <v>984</v>
      </c>
      <c r="EN125" s="331" t="s">
        <v>984</v>
      </c>
      <c r="EO125" s="331" t="s">
        <v>984</v>
      </c>
      <c r="EP125" s="331" t="s">
        <v>984</v>
      </c>
      <c r="EQ125" s="331" t="s">
        <v>984</v>
      </c>
      <c r="ER125" s="331" t="s">
        <v>984</v>
      </c>
      <c r="ES125" s="331" t="s">
        <v>190</v>
      </c>
      <c r="ET125" s="331" t="s">
        <v>190</v>
      </c>
      <c r="EU125" s="331" t="s">
        <v>190</v>
      </c>
      <c r="EV125" s="331" t="s">
        <v>190</v>
      </c>
      <c r="EW125" s="331" t="s">
        <v>984</v>
      </c>
      <c r="EX125" s="331" t="s">
        <v>984</v>
      </c>
      <c r="EY125" s="331" t="s">
        <v>984</v>
      </c>
      <c r="EZ125" s="331" t="s">
        <v>984</v>
      </c>
      <c r="FA125" s="331" t="s">
        <v>984</v>
      </c>
      <c r="FB125" s="331" t="s">
        <v>191</v>
      </c>
      <c r="FC125" s="331" t="s">
        <v>984</v>
      </c>
      <c r="FD125" s="331" t="s">
        <v>984</v>
      </c>
      <c r="FE125" s="331" t="s">
        <v>984</v>
      </c>
      <c r="FF125" s="331" t="s">
        <v>984</v>
      </c>
      <c r="FG125" s="331" t="s">
        <v>984</v>
      </c>
      <c r="FH125" s="331" t="s">
        <v>984</v>
      </c>
      <c r="FI125" s="331" t="s">
        <v>984</v>
      </c>
      <c r="FJ125" s="331" t="s">
        <v>984</v>
      </c>
      <c r="FK125" s="331" t="s">
        <v>984</v>
      </c>
      <c r="FL125" s="331" t="s">
        <v>984</v>
      </c>
      <c r="FM125" s="331" t="s">
        <v>984</v>
      </c>
      <c r="FN125" s="331" t="s">
        <v>984</v>
      </c>
      <c r="FO125" s="331" t="s">
        <v>984</v>
      </c>
      <c r="FP125" s="331" t="s">
        <v>984</v>
      </c>
      <c r="FQ125" s="331" t="s">
        <v>984</v>
      </c>
      <c r="FR125" s="331" t="s">
        <v>984</v>
      </c>
      <c r="FS125" s="331" t="s">
        <v>190</v>
      </c>
      <c r="FT125" s="331" t="s">
        <v>984</v>
      </c>
      <c r="FU125" s="331" t="s">
        <v>984</v>
      </c>
      <c r="FV125" s="331" t="s">
        <v>190</v>
      </c>
      <c r="FW125" s="331" t="s">
        <v>984</v>
      </c>
      <c r="FX125" s="331" t="s">
        <v>984</v>
      </c>
      <c r="FY125" s="331" t="s">
        <v>984</v>
      </c>
      <c r="FZ125" s="331" t="s">
        <v>984</v>
      </c>
      <c r="GA125" s="331" t="s">
        <v>984</v>
      </c>
      <c r="GB125" s="331" t="s">
        <v>984</v>
      </c>
      <c r="GC125" s="331" t="s">
        <v>984</v>
      </c>
      <c r="GD125" s="331" t="s">
        <v>984</v>
      </c>
      <c r="GE125" s="331" t="s">
        <v>984</v>
      </c>
      <c r="GF125" s="331" t="s">
        <v>984</v>
      </c>
      <c r="GG125" s="331" t="s">
        <v>984</v>
      </c>
      <c r="GH125" s="331" t="s">
        <v>984</v>
      </c>
      <c r="GI125" s="331" t="s">
        <v>984</v>
      </c>
      <c r="GJ125" s="331" t="s">
        <v>984</v>
      </c>
      <c r="GK125" s="331" t="s">
        <v>984</v>
      </c>
      <c r="GL125" s="331" t="s">
        <v>984</v>
      </c>
      <c r="GM125" s="331" t="s">
        <v>984</v>
      </c>
      <c r="GN125" s="331" t="s">
        <v>984</v>
      </c>
      <c r="GO125" s="331" t="s">
        <v>984</v>
      </c>
      <c r="GP125" s="331" t="s">
        <v>984</v>
      </c>
      <c r="GQ125" s="331" t="s">
        <v>984</v>
      </c>
      <c r="GR125" s="331" t="s">
        <v>984</v>
      </c>
      <c r="GS125" s="331" t="s">
        <v>984</v>
      </c>
      <c r="GT125" s="331" t="s">
        <v>984</v>
      </c>
      <c r="GU125" s="331" t="s">
        <v>984</v>
      </c>
      <c r="GV125" s="331" t="s">
        <v>984</v>
      </c>
      <c r="GW125" s="331" t="s">
        <v>984</v>
      </c>
      <c r="GX125" s="331" t="s">
        <v>984</v>
      </c>
      <c r="GY125" s="331" t="s">
        <v>984</v>
      </c>
      <c r="GZ125" s="331" t="s">
        <v>984</v>
      </c>
      <c r="HA125" s="331" t="s">
        <v>984</v>
      </c>
      <c r="HB125" s="331" t="s">
        <v>984</v>
      </c>
      <c r="HC125" s="331" t="s">
        <v>984</v>
      </c>
      <c r="HD125" s="331" t="s">
        <v>984</v>
      </c>
      <c r="HE125" s="331" t="s">
        <v>984</v>
      </c>
      <c r="HF125" s="331" t="s">
        <v>984</v>
      </c>
      <c r="HG125" s="331" t="s">
        <v>984</v>
      </c>
      <c r="HH125" s="331" t="s">
        <v>984</v>
      </c>
      <c r="HI125" s="331" t="s">
        <v>984</v>
      </c>
      <c r="HJ125" s="331" t="s">
        <v>984</v>
      </c>
      <c r="HK125" s="331" t="s">
        <v>984</v>
      </c>
      <c r="HL125" s="331" t="s">
        <v>984</v>
      </c>
      <c r="HM125" s="331" t="s">
        <v>191</v>
      </c>
      <c r="HN125" s="331" t="s">
        <v>191</v>
      </c>
      <c r="HO125" s="331" t="s">
        <v>191</v>
      </c>
      <c r="HP125" s="331" t="s">
        <v>191</v>
      </c>
      <c r="HQ125" s="331" t="s">
        <v>170</v>
      </c>
      <c r="HR125" s="331" t="s">
        <v>429</v>
      </c>
      <c r="HS125" s="331" t="s">
        <v>169</v>
      </c>
      <c r="HT125" s="331" t="s">
        <v>427</v>
      </c>
      <c r="HU125" s="331" t="s">
        <v>191</v>
      </c>
      <c r="HV125" s="331" t="s">
        <v>984</v>
      </c>
    </row>
    <row r="126" spans="1:230" s="70" customFormat="1" x14ac:dyDescent="0.25">
      <c r="A126" s="330" t="str">
        <f>HYPERLINK("http://www.ofsted.gov.uk/inspection-reports/find-inspection-report/provider/ELS/114625 ","Ofsted School Webpage")</f>
        <v>Ofsted School Webpage</v>
      </c>
      <c r="B126" s="331">
        <v>114625</v>
      </c>
      <c r="C126" s="331">
        <v>8456037</v>
      </c>
      <c r="D126" s="331" t="s">
        <v>1430</v>
      </c>
      <c r="E126" s="331" t="s">
        <v>167</v>
      </c>
      <c r="F126" s="331" t="s">
        <v>514</v>
      </c>
      <c r="G126" s="331" t="s">
        <v>514</v>
      </c>
      <c r="H126" s="331" t="s">
        <v>676</v>
      </c>
      <c r="I126" s="331" t="s">
        <v>1431</v>
      </c>
      <c r="J126" s="331" t="s">
        <v>81</v>
      </c>
      <c r="K126" s="331" t="s">
        <v>81</v>
      </c>
      <c r="L126" s="331" t="s">
        <v>81</v>
      </c>
      <c r="M126" s="331" t="s">
        <v>78</v>
      </c>
      <c r="N126" s="331" t="s">
        <v>424</v>
      </c>
      <c r="O126" s="331">
        <v>10124696</v>
      </c>
      <c r="P126" s="332">
        <v>43789</v>
      </c>
      <c r="Q126" s="332">
        <v>43789</v>
      </c>
      <c r="R126" s="332">
        <v>43807</v>
      </c>
      <c r="S126" s="331" t="s">
        <v>985</v>
      </c>
      <c r="T126" s="331" t="s">
        <v>982</v>
      </c>
      <c r="U126" s="331" t="s">
        <v>427</v>
      </c>
      <c r="V126" s="331" t="s">
        <v>166</v>
      </c>
      <c r="W126" s="331" t="s">
        <v>191</v>
      </c>
      <c r="X126" s="331" t="s">
        <v>191</v>
      </c>
      <c r="Y126" s="331" t="s">
        <v>190</v>
      </c>
      <c r="Z126" s="331" t="s">
        <v>190</v>
      </c>
      <c r="AA126" s="331" t="s">
        <v>984</v>
      </c>
      <c r="AB126" s="331" t="s">
        <v>191</v>
      </c>
      <c r="AC126" s="331" t="s">
        <v>190</v>
      </c>
      <c r="AD126" s="331" t="s">
        <v>190</v>
      </c>
      <c r="AE126" s="331" t="s">
        <v>984</v>
      </c>
      <c r="AF126" s="331" t="s">
        <v>984</v>
      </c>
      <c r="AG126" s="331" t="s">
        <v>984</v>
      </c>
      <c r="AH126" s="331" t="s">
        <v>984</v>
      </c>
      <c r="AI126" s="331" t="s">
        <v>190</v>
      </c>
      <c r="AJ126" s="331" t="s">
        <v>190</v>
      </c>
      <c r="AK126" s="331" t="s">
        <v>190</v>
      </c>
      <c r="AL126" s="331" t="s">
        <v>190</v>
      </c>
      <c r="AM126" s="331" t="s">
        <v>984</v>
      </c>
      <c r="AN126" s="331" t="s">
        <v>984</v>
      </c>
      <c r="AO126" s="331" t="s">
        <v>191</v>
      </c>
      <c r="AP126" s="331" t="s">
        <v>984</v>
      </c>
      <c r="AQ126" s="331" t="s">
        <v>191</v>
      </c>
      <c r="AR126" s="331" t="s">
        <v>191</v>
      </c>
      <c r="AS126" s="331" t="s">
        <v>984</v>
      </c>
      <c r="AT126" s="331" t="s">
        <v>191</v>
      </c>
      <c r="AU126" s="331" t="s">
        <v>191</v>
      </c>
      <c r="AV126" s="331" t="s">
        <v>191</v>
      </c>
      <c r="AW126" s="331" t="s">
        <v>984</v>
      </c>
      <c r="AX126" s="331" t="s">
        <v>191</v>
      </c>
      <c r="AY126" s="331" t="s">
        <v>984</v>
      </c>
      <c r="AZ126" s="331" t="s">
        <v>984</v>
      </c>
      <c r="BA126" s="331" t="s">
        <v>984</v>
      </c>
      <c r="BB126" s="331" t="s">
        <v>190</v>
      </c>
      <c r="BC126" s="331" t="s">
        <v>984</v>
      </c>
      <c r="BD126" s="331" t="s">
        <v>984</v>
      </c>
      <c r="BE126" s="331" t="s">
        <v>984</v>
      </c>
      <c r="BF126" s="331" t="s">
        <v>984</v>
      </c>
      <c r="BG126" s="331" t="s">
        <v>984</v>
      </c>
      <c r="BH126" s="331" t="s">
        <v>984</v>
      </c>
      <c r="BI126" s="331" t="s">
        <v>984</v>
      </c>
      <c r="BJ126" s="331" t="s">
        <v>984</v>
      </c>
      <c r="BK126" s="331" t="s">
        <v>984</v>
      </c>
      <c r="BL126" s="331" t="s">
        <v>984</v>
      </c>
      <c r="BM126" s="331" t="s">
        <v>984</v>
      </c>
      <c r="BN126" s="331" t="s">
        <v>984</v>
      </c>
      <c r="BO126" s="331" t="s">
        <v>984</v>
      </c>
      <c r="BP126" s="331" t="s">
        <v>984</v>
      </c>
      <c r="BQ126" s="331" t="s">
        <v>984</v>
      </c>
      <c r="BR126" s="331" t="s">
        <v>190</v>
      </c>
      <c r="BS126" s="331" t="s">
        <v>190</v>
      </c>
      <c r="BT126" s="331" t="s">
        <v>190</v>
      </c>
      <c r="BU126" s="331" t="s">
        <v>984</v>
      </c>
      <c r="BV126" s="331" t="s">
        <v>984</v>
      </c>
      <c r="BW126" s="331" t="s">
        <v>984</v>
      </c>
      <c r="BX126" s="331" t="s">
        <v>984</v>
      </c>
      <c r="BY126" s="331" t="s">
        <v>984</v>
      </c>
      <c r="BZ126" s="331" t="s">
        <v>984</v>
      </c>
      <c r="CA126" s="331" t="s">
        <v>984</v>
      </c>
      <c r="CB126" s="331" t="s">
        <v>984</v>
      </c>
      <c r="CC126" s="331" t="s">
        <v>984</v>
      </c>
      <c r="CD126" s="331" t="s">
        <v>984</v>
      </c>
      <c r="CE126" s="331" t="s">
        <v>984</v>
      </c>
      <c r="CF126" s="331" t="s">
        <v>984</v>
      </c>
      <c r="CG126" s="331" t="s">
        <v>984</v>
      </c>
      <c r="CH126" s="331" t="s">
        <v>984</v>
      </c>
      <c r="CI126" s="331" t="s">
        <v>984</v>
      </c>
      <c r="CJ126" s="331" t="s">
        <v>984</v>
      </c>
      <c r="CK126" s="331" t="s">
        <v>984</v>
      </c>
      <c r="CL126" s="331" t="s">
        <v>984</v>
      </c>
      <c r="CM126" s="331" t="s">
        <v>984</v>
      </c>
      <c r="CN126" s="331" t="s">
        <v>984</v>
      </c>
      <c r="CO126" s="331" t="s">
        <v>984</v>
      </c>
      <c r="CP126" s="331" t="s">
        <v>984</v>
      </c>
      <c r="CQ126" s="331" t="s">
        <v>984</v>
      </c>
      <c r="CR126" s="331" t="s">
        <v>984</v>
      </c>
      <c r="CS126" s="331" t="s">
        <v>984</v>
      </c>
      <c r="CT126" s="331" t="s">
        <v>984</v>
      </c>
      <c r="CU126" s="331" t="s">
        <v>984</v>
      </c>
      <c r="CV126" s="331" t="s">
        <v>984</v>
      </c>
      <c r="CW126" s="331" t="s">
        <v>984</v>
      </c>
      <c r="CX126" s="331" t="s">
        <v>984</v>
      </c>
      <c r="CY126" s="331" t="s">
        <v>984</v>
      </c>
      <c r="CZ126" s="331" t="s">
        <v>984</v>
      </c>
      <c r="DA126" s="331" t="s">
        <v>984</v>
      </c>
      <c r="DB126" s="331" t="s">
        <v>984</v>
      </c>
      <c r="DC126" s="331" t="s">
        <v>984</v>
      </c>
      <c r="DD126" s="331" t="s">
        <v>984</v>
      </c>
      <c r="DE126" s="331" t="s">
        <v>984</v>
      </c>
      <c r="DF126" s="331" t="s">
        <v>984</v>
      </c>
      <c r="DG126" s="331" t="s">
        <v>984</v>
      </c>
      <c r="DH126" s="331" t="s">
        <v>984</v>
      </c>
      <c r="DI126" s="331" t="s">
        <v>984</v>
      </c>
      <c r="DJ126" s="331" t="s">
        <v>984</v>
      </c>
      <c r="DK126" s="331" t="s">
        <v>984</v>
      </c>
      <c r="DL126" s="331" t="s">
        <v>984</v>
      </c>
      <c r="DM126" s="331" t="s">
        <v>984</v>
      </c>
      <c r="DN126" s="331" t="s">
        <v>984</v>
      </c>
      <c r="DO126" s="331" t="s">
        <v>984</v>
      </c>
      <c r="DP126" s="331" t="s">
        <v>984</v>
      </c>
      <c r="DQ126" s="331" t="s">
        <v>984</v>
      </c>
      <c r="DR126" s="331" t="s">
        <v>984</v>
      </c>
      <c r="DS126" s="331" t="s">
        <v>984</v>
      </c>
      <c r="DT126" s="331" t="s">
        <v>984</v>
      </c>
      <c r="DU126" s="331" t="s">
        <v>984</v>
      </c>
      <c r="DV126" s="331" t="s">
        <v>984</v>
      </c>
      <c r="DW126" s="331" t="s">
        <v>984</v>
      </c>
      <c r="DX126" s="331" t="s">
        <v>984</v>
      </c>
      <c r="DY126" s="331" t="s">
        <v>984</v>
      </c>
      <c r="DZ126" s="331" t="s">
        <v>984</v>
      </c>
      <c r="EA126" s="331" t="s">
        <v>984</v>
      </c>
      <c r="EB126" s="331" t="s">
        <v>984</v>
      </c>
      <c r="EC126" s="331" t="s">
        <v>984</v>
      </c>
      <c r="ED126" s="331" t="s">
        <v>984</v>
      </c>
      <c r="EE126" s="331" t="s">
        <v>984</v>
      </c>
      <c r="EF126" s="331" t="s">
        <v>984</v>
      </c>
      <c r="EG126" s="331" t="s">
        <v>984</v>
      </c>
      <c r="EH126" s="331" t="s">
        <v>984</v>
      </c>
      <c r="EI126" s="331" t="s">
        <v>984</v>
      </c>
      <c r="EJ126" s="331" t="s">
        <v>984</v>
      </c>
      <c r="EK126" s="331" t="s">
        <v>984</v>
      </c>
      <c r="EL126" s="331" t="s">
        <v>984</v>
      </c>
      <c r="EM126" s="331" t="s">
        <v>984</v>
      </c>
      <c r="EN126" s="331" t="s">
        <v>984</v>
      </c>
      <c r="EO126" s="331" t="s">
        <v>984</v>
      </c>
      <c r="EP126" s="331" t="s">
        <v>984</v>
      </c>
      <c r="EQ126" s="331" t="s">
        <v>984</v>
      </c>
      <c r="ER126" s="331" t="s">
        <v>984</v>
      </c>
      <c r="ES126" s="331" t="s">
        <v>984</v>
      </c>
      <c r="ET126" s="331" t="s">
        <v>984</v>
      </c>
      <c r="EU126" s="331" t="s">
        <v>984</v>
      </c>
      <c r="EV126" s="331" t="s">
        <v>984</v>
      </c>
      <c r="EW126" s="331" t="s">
        <v>984</v>
      </c>
      <c r="EX126" s="331" t="s">
        <v>984</v>
      </c>
      <c r="EY126" s="331" t="s">
        <v>984</v>
      </c>
      <c r="EZ126" s="331" t="s">
        <v>984</v>
      </c>
      <c r="FA126" s="331" t="s">
        <v>984</v>
      </c>
      <c r="FB126" s="331" t="s">
        <v>984</v>
      </c>
      <c r="FC126" s="331" t="s">
        <v>984</v>
      </c>
      <c r="FD126" s="331" t="s">
        <v>984</v>
      </c>
      <c r="FE126" s="331" t="s">
        <v>984</v>
      </c>
      <c r="FF126" s="331" t="s">
        <v>984</v>
      </c>
      <c r="FG126" s="331" t="s">
        <v>984</v>
      </c>
      <c r="FH126" s="331" t="s">
        <v>984</v>
      </c>
      <c r="FI126" s="331" t="s">
        <v>984</v>
      </c>
      <c r="FJ126" s="331" t="s">
        <v>984</v>
      </c>
      <c r="FK126" s="331" t="s">
        <v>984</v>
      </c>
      <c r="FL126" s="331" t="s">
        <v>984</v>
      </c>
      <c r="FM126" s="331" t="s">
        <v>984</v>
      </c>
      <c r="FN126" s="331" t="s">
        <v>984</v>
      </c>
      <c r="FO126" s="331" t="s">
        <v>984</v>
      </c>
      <c r="FP126" s="331" t="s">
        <v>984</v>
      </c>
      <c r="FQ126" s="331" t="s">
        <v>984</v>
      </c>
      <c r="FR126" s="331" t="s">
        <v>984</v>
      </c>
      <c r="FS126" s="331" t="s">
        <v>190</v>
      </c>
      <c r="FT126" s="331" t="s">
        <v>984</v>
      </c>
      <c r="FU126" s="331" t="s">
        <v>984</v>
      </c>
      <c r="FV126" s="331" t="s">
        <v>190</v>
      </c>
      <c r="FW126" s="331" t="s">
        <v>984</v>
      </c>
      <c r="FX126" s="331" t="s">
        <v>984</v>
      </c>
      <c r="FY126" s="331" t="s">
        <v>984</v>
      </c>
      <c r="FZ126" s="331" t="s">
        <v>984</v>
      </c>
      <c r="GA126" s="331" t="s">
        <v>984</v>
      </c>
      <c r="GB126" s="331" t="s">
        <v>984</v>
      </c>
      <c r="GC126" s="331" t="s">
        <v>984</v>
      </c>
      <c r="GD126" s="331" t="s">
        <v>984</v>
      </c>
      <c r="GE126" s="331" t="s">
        <v>984</v>
      </c>
      <c r="GF126" s="331" t="s">
        <v>984</v>
      </c>
      <c r="GG126" s="331" t="s">
        <v>984</v>
      </c>
      <c r="GH126" s="331" t="s">
        <v>984</v>
      </c>
      <c r="GI126" s="331" t="s">
        <v>984</v>
      </c>
      <c r="GJ126" s="331" t="s">
        <v>984</v>
      </c>
      <c r="GK126" s="331" t="s">
        <v>984</v>
      </c>
      <c r="GL126" s="331" t="s">
        <v>984</v>
      </c>
      <c r="GM126" s="331" t="s">
        <v>984</v>
      </c>
      <c r="GN126" s="331" t="s">
        <v>984</v>
      </c>
      <c r="GO126" s="331" t="s">
        <v>984</v>
      </c>
      <c r="GP126" s="331" t="s">
        <v>984</v>
      </c>
      <c r="GQ126" s="331" t="s">
        <v>984</v>
      </c>
      <c r="GR126" s="331" t="s">
        <v>984</v>
      </c>
      <c r="GS126" s="331" t="s">
        <v>984</v>
      </c>
      <c r="GT126" s="331" t="s">
        <v>984</v>
      </c>
      <c r="GU126" s="331" t="s">
        <v>984</v>
      </c>
      <c r="GV126" s="331" t="s">
        <v>984</v>
      </c>
      <c r="GW126" s="331" t="s">
        <v>984</v>
      </c>
      <c r="GX126" s="331" t="s">
        <v>984</v>
      </c>
      <c r="GY126" s="331" t="s">
        <v>984</v>
      </c>
      <c r="GZ126" s="331" t="s">
        <v>984</v>
      </c>
      <c r="HA126" s="331" t="s">
        <v>984</v>
      </c>
      <c r="HB126" s="331" t="s">
        <v>984</v>
      </c>
      <c r="HC126" s="331" t="s">
        <v>984</v>
      </c>
      <c r="HD126" s="331" t="s">
        <v>984</v>
      </c>
      <c r="HE126" s="331" t="s">
        <v>984</v>
      </c>
      <c r="HF126" s="331" t="s">
        <v>984</v>
      </c>
      <c r="HG126" s="331" t="s">
        <v>984</v>
      </c>
      <c r="HH126" s="331" t="s">
        <v>984</v>
      </c>
      <c r="HI126" s="331" t="s">
        <v>984</v>
      </c>
      <c r="HJ126" s="331" t="s">
        <v>984</v>
      </c>
      <c r="HK126" s="331" t="s">
        <v>984</v>
      </c>
      <c r="HL126" s="331" t="s">
        <v>984</v>
      </c>
      <c r="HM126" s="331" t="s">
        <v>191</v>
      </c>
      <c r="HN126" s="331" t="s">
        <v>191</v>
      </c>
      <c r="HO126" s="331" t="s">
        <v>191</v>
      </c>
      <c r="HP126" s="331" t="s">
        <v>984</v>
      </c>
      <c r="HQ126" s="331" t="s">
        <v>170</v>
      </c>
      <c r="HR126" s="331" t="s">
        <v>429</v>
      </c>
      <c r="HS126" s="331" t="s">
        <v>169</v>
      </c>
      <c r="HT126" s="331" t="s">
        <v>427</v>
      </c>
      <c r="HU126" s="331" t="s">
        <v>984</v>
      </c>
      <c r="HV126" s="331" t="s">
        <v>984</v>
      </c>
    </row>
    <row r="127" spans="1:230" s="70" customFormat="1" x14ac:dyDescent="0.25">
      <c r="A127" s="330" t="str">
        <f>HYPERLINK("http://www.ofsted.gov.uk/inspection-reports/find-inspection-report/provider/ELS/147600 ","Ofsted School Webpage")</f>
        <v>Ofsted School Webpage</v>
      </c>
      <c r="B127" s="331">
        <v>147600</v>
      </c>
      <c r="C127" s="331">
        <v>9366035</v>
      </c>
      <c r="D127" s="331" t="s">
        <v>2761</v>
      </c>
      <c r="E127" s="331" t="s">
        <v>168</v>
      </c>
      <c r="F127" s="331" t="s">
        <v>514</v>
      </c>
      <c r="G127" s="331" t="s">
        <v>514</v>
      </c>
      <c r="H127" s="331" t="s">
        <v>699</v>
      </c>
      <c r="I127" s="331" t="s">
        <v>2762</v>
      </c>
      <c r="J127" s="331" t="s">
        <v>434</v>
      </c>
      <c r="K127" s="331" t="s">
        <v>81</v>
      </c>
      <c r="L127" s="331" t="s">
        <v>81</v>
      </c>
      <c r="M127" s="331" t="s">
        <v>78</v>
      </c>
      <c r="N127" s="331" t="s">
        <v>424</v>
      </c>
      <c r="O127" s="331">
        <v>10128052</v>
      </c>
      <c r="P127" s="332">
        <v>43789</v>
      </c>
      <c r="Q127" s="332">
        <v>43789</v>
      </c>
      <c r="R127" s="332">
        <v>43817</v>
      </c>
      <c r="S127" s="331" t="s">
        <v>2583</v>
      </c>
      <c r="T127" s="331" t="s">
        <v>982</v>
      </c>
      <c r="U127" s="331" t="s">
        <v>427</v>
      </c>
      <c r="V127" s="331" t="s">
        <v>2584</v>
      </c>
      <c r="W127" s="331" t="s">
        <v>190</v>
      </c>
      <c r="X127" s="331" t="s">
        <v>190</v>
      </c>
      <c r="Y127" s="331" t="s">
        <v>190</v>
      </c>
      <c r="Z127" s="331" t="s">
        <v>190</v>
      </c>
      <c r="AA127" s="331" t="s">
        <v>190</v>
      </c>
      <c r="AB127" s="331" t="s">
        <v>190</v>
      </c>
      <c r="AC127" s="331" t="s">
        <v>190</v>
      </c>
      <c r="AD127" s="331" t="s">
        <v>190</v>
      </c>
      <c r="AE127" s="331" t="s">
        <v>428</v>
      </c>
      <c r="AF127" s="331" t="s">
        <v>190</v>
      </c>
      <c r="AG127" s="331" t="s">
        <v>190</v>
      </c>
      <c r="AH127" s="331" t="s">
        <v>190</v>
      </c>
      <c r="AI127" s="331" t="s">
        <v>428</v>
      </c>
      <c r="AJ127" s="331" t="s">
        <v>428</v>
      </c>
      <c r="AK127" s="331" t="s">
        <v>428</v>
      </c>
      <c r="AL127" s="331" t="s">
        <v>428</v>
      </c>
      <c r="AM127" s="331" t="s">
        <v>428</v>
      </c>
      <c r="AN127" s="331" t="s">
        <v>428</v>
      </c>
      <c r="AO127" s="331" t="s">
        <v>190</v>
      </c>
      <c r="AP127" s="331" t="s">
        <v>190</v>
      </c>
      <c r="AQ127" s="331" t="s">
        <v>190</v>
      </c>
      <c r="AR127" s="331" t="s">
        <v>190</v>
      </c>
      <c r="AS127" s="331" t="s">
        <v>190</v>
      </c>
      <c r="AT127" s="331" t="s">
        <v>190</v>
      </c>
      <c r="AU127" s="331" t="s">
        <v>190</v>
      </c>
      <c r="AV127" s="331" t="s">
        <v>190</v>
      </c>
      <c r="AW127" s="331" t="s">
        <v>190</v>
      </c>
      <c r="AX127" s="331" t="s">
        <v>190</v>
      </c>
      <c r="AY127" s="331" t="s">
        <v>190</v>
      </c>
      <c r="AZ127" s="331" t="s">
        <v>190</v>
      </c>
      <c r="BA127" s="331" t="s">
        <v>190</v>
      </c>
      <c r="BB127" s="331" t="s">
        <v>190</v>
      </c>
      <c r="BC127" s="331" t="s">
        <v>190</v>
      </c>
      <c r="BD127" s="331" t="s">
        <v>190</v>
      </c>
      <c r="BE127" s="331" t="s">
        <v>190</v>
      </c>
      <c r="BF127" s="331" t="s">
        <v>190</v>
      </c>
      <c r="BG127" s="331" t="s">
        <v>190</v>
      </c>
      <c r="BH127" s="331" t="s">
        <v>190</v>
      </c>
      <c r="BI127" s="331" t="s">
        <v>190</v>
      </c>
      <c r="BJ127" s="331" t="s">
        <v>190</v>
      </c>
      <c r="BK127" s="331" t="s">
        <v>190</v>
      </c>
      <c r="BL127" s="331" t="s">
        <v>190</v>
      </c>
      <c r="BM127" s="331" t="s">
        <v>190</v>
      </c>
      <c r="BN127" s="331" t="s">
        <v>190</v>
      </c>
      <c r="BO127" s="331" t="s">
        <v>190</v>
      </c>
      <c r="BP127" s="331" t="s">
        <v>190</v>
      </c>
      <c r="BQ127" s="331" t="s">
        <v>190</v>
      </c>
      <c r="BR127" s="331" t="s">
        <v>190</v>
      </c>
      <c r="BS127" s="331" t="s">
        <v>190</v>
      </c>
      <c r="BT127" s="331" t="s">
        <v>190</v>
      </c>
      <c r="BU127" s="331" t="s">
        <v>428</v>
      </c>
      <c r="BV127" s="331" t="s">
        <v>428</v>
      </c>
      <c r="BW127" s="331" t="s">
        <v>428</v>
      </c>
      <c r="BX127" s="331" t="s">
        <v>190</v>
      </c>
      <c r="BY127" s="331" t="s">
        <v>190</v>
      </c>
      <c r="BZ127" s="331" t="s">
        <v>190</v>
      </c>
      <c r="CA127" s="331" t="s">
        <v>190</v>
      </c>
      <c r="CB127" s="331" t="s">
        <v>190</v>
      </c>
      <c r="CC127" s="331" t="s">
        <v>190</v>
      </c>
      <c r="CD127" s="331" t="s">
        <v>190</v>
      </c>
      <c r="CE127" s="331" t="s">
        <v>190</v>
      </c>
      <c r="CF127" s="331" t="s">
        <v>190</v>
      </c>
      <c r="CG127" s="331" t="s">
        <v>190</v>
      </c>
      <c r="CH127" s="331" t="s">
        <v>190</v>
      </c>
      <c r="CI127" s="331" t="s">
        <v>190</v>
      </c>
      <c r="CJ127" s="331" t="s">
        <v>190</v>
      </c>
      <c r="CK127" s="331" t="s">
        <v>190</v>
      </c>
      <c r="CL127" s="331" t="s">
        <v>190</v>
      </c>
      <c r="CM127" s="331" t="s">
        <v>190</v>
      </c>
      <c r="CN127" s="331" t="s">
        <v>190</v>
      </c>
      <c r="CO127" s="331" t="s">
        <v>190</v>
      </c>
      <c r="CP127" s="331" t="s">
        <v>190</v>
      </c>
      <c r="CQ127" s="331" t="s">
        <v>190</v>
      </c>
      <c r="CR127" s="331" t="s">
        <v>190</v>
      </c>
      <c r="CS127" s="331" t="s">
        <v>190</v>
      </c>
      <c r="CT127" s="331" t="s">
        <v>190</v>
      </c>
      <c r="CU127" s="331" t="s">
        <v>428</v>
      </c>
      <c r="CV127" s="331" t="s">
        <v>190</v>
      </c>
      <c r="CW127" s="331" t="s">
        <v>190</v>
      </c>
      <c r="CX127" s="331" t="s">
        <v>190</v>
      </c>
      <c r="CY127" s="331" t="s">
        <v>190</v>
      </c>
      <c r="CZ127" s="331" t="s">
        <v>190</v>
      </c>
      <c r="DA127" s="331" t="s">
        <v>190</v>
      </c>
      <c r="DB127" s="331" t="s">
        <v>190</v>
      </c>
      <c r="DC127" s="331" t="s">
        <v>190</v>
      </c>
      <c r="DD127" s="331" t="s">
        <v>190</v>
      </c>
      <c r="DE127" s="331" t="s">
        <v>190</v>
      </c>
      <c r="DF127" s="331" t="s">
        <v>190</v>
      </c>
      <c r="DG127" s="331" t="s">
        <v>190</v>
      </c>
      <c r="DH127" s="331" t="s">
        <v>190</v>
      </c>
      <c r="DI127" s="331" t="s">
        <v>190</v>
      </c>
      <c r="DJ127" s="331" t="s">
        <v>428</v>
      </c>
      <c r="DK127" s="331" t="s">
        <v>190</v>
      </c>
      <c r="DL127" s="331" t="s">
        <v>428</v>
      </c>
      <c r="DM127" s="331" t="s">
        <v>428</v>
      </c>
      <c r="DN127" s="331" t="s">
        <v>428</v>
      </c>
      <c r="DO127" s="331" t="s">
        <v>428</v>
      </c>
      <c r="DP127" s="331" t="s">
        <v>428</v>
      </c>
      <c r="DQ127" s="331" t="s">
        <v>428</v>
      </c>
      <c r="DR127" s="331" t="s">
        <v>428</v>
      </c>
      <c r="DS127" s="331" t="s">
        <v>428</v>
      </c>
      <c r="DT127" s="331" t="s">
        <v>428</v>
      </c>
      <c r="DU127" s="331" t="s">
        <v>190</v>
      </c>
      <c r="DV127" s="331" t="s">
        <v>190</v>
      </c>
      <c r="DW127" s="331" t="s">
        <v>190</v>
      </c>
      <c r="DX127" s="331" t="s">
        <v>190</v>
      </c>
      <c r="DY127" s="331" t="s">
        <v>190</v>
      </c>
      <c r="DZ127" s="331" t="s">
        <v>190</v>
      </c>
      <c r="EA127" s="331" t="s">
        <v>190</v>
      </c>
      <c r="EB127" s="331" t="s">
        <v>190</v>
      </c>
      <c r="EC127" s="331" t="s">
        <v>190</v>
      </c>
      <c r="ED127" s="331" t="s">
        <v>190</v>
      </c>
      <c r="EE127" s="331" t="s">
        <v>190</v>
      </c>
      <c r="EF127" s="331" t="s">
        <v>190</v>
      </c>
      <c r="EG127" s="331" t="s">
        <v>190</v>
      </c>
      <c r="EH127" s="331" t="s">
        <v>428</v>
      </c>
      <c r="EI127" s="331" t="s">
        <v>190</v>
      </c>
      <c r="EJ127" s="331" t="s">
        <v>190</v>
      </c>
      <c r="EK127" s="331" t="s">
        <v>190</v>
      </c>
      <c r="EL127" s="331" t="s">
        <v>190</v>
      </c>
      <c r="EM127" s="331" t="s">
        <v>190</v>
      </c>
      <c r="EN127" s="331" t="s">
        <v>190</v>
      </c>
      <c r="EO127" s="331" t="s">
        <v>190</v>
      </c>
      <c r="EP127" s="331" t="s">
        <v>190</v>
      </c>
      <c r="EQ127" s="331" t="s">
        <v>190</v>
      </c>
      <c r="ER127" s="331" t="s">
        <v>190</v>
      </c>
      <c r="ES127" s="331" t="s">
        <v>190</v>
      </c>
      <c r="ET127" s="331" t="s">
        <v>190</v>
      </c>
      <c r="EU127" s="331" t="s">
        <v>190</v>
      </c>
      <c r="EV127" s="331" t="s">
        <v>428</v>
      </c>
      <c r="EW127" s="331" t="s">
        <v>190</v>
      </c>
      <c r="EX127" s="331" t="s">
        <v>190</v>
      </c>
      <c r="EY127" s="331" t="s">
        <v>190</v>
      </c>
      <c r="EZ127" s="331" t="s">
        <v>428</v>
      </c>
      <c r="FA127" s="331" t="s">
        <v>190</v>
      </c>
      <c r="FB127" s="331" t="s">
        <v>190</v>
      </c>
      <c r="FC127" s="331" t="s">
        <v>190</v>
      </c>
      <c r="FD127" s="331" t="s">
        <v>190</v>
      </c>
      <c r="FE127" s="331" t="s">
        <v>190</v>
      </c>
      <c r="FF127" s="331" t="s">
        <v>190</v>
      </c>
      <c r="FG127" s="331" t="s">
        <v>190</v>
      </c>
      <c r="FH127" s="331" t="s">
        <v>190</v>
      </c>
      <c r="FI127" s="331" t="s">
        <v>190</v>
      </c>
      <c r="FJ127" s="331" t="s">
        <v>190</v>
      </c>
      <c r="FK127" s="331" t="s">
        <v>190</v>
      </c>
      <c r="FL127" s="331" t="s">
        <v>190</v>
      </c>
      <c r="FM127" s="331" t="s">
        <v>190</v>
      </c>
      <c r="FN127" s="331" t="s">
        <v>190</v>
      </c>
      <c r="FO127" s="331" t="s">
        <v>190</v>
      </c>
      <c r="FP127" s="331" t="s">
        <v>190</v>
      </c>
      <c r="FQ127" s="331" t="s">
        <v>190</v>
      </c>
      <c r="FR127" s="331" t="s">
        <v>428</v>
      </c>
      <c r="FS127" s="331" t="s">
        <v>190</v>
      </c>
      <c r="FT127" s="331" t="s">
        <v>190</v>
      </c>
      <c r="FU127" s="331" t="s">
        <v>190</v>
      </c>
      <c r="FV127" s="331" t="s">
        <v>190</v>
      </c>
      <c r="FW127" s="331" t="s">
        <v>190</v>
      </c>
      <c r="FX127" s="331" t="s">
        <v>428</v>
      </c>
      <c r="FY127" s="331" t="s">
        <v>190</v>
      </c>
      <c r="FZ127" s="331" t="s">
        <v>190</v>
      </c>
      <c r="GA127" s="331" t="s">
        <v>190</v>
      </c>
      <c r="GB127" s="331" t="s">
        <v>190</v>
      </c>
      <c r="GC127" s="331" t="s">
        <v>190</v>
      </c>
      <c r="GD127" s="331" t="s">
        <v>190</v>
      </c>
      <c r="GE127" s="331" t="s">
        <v>190</v>
      </c>
      <c r="GF127" s="331" t="s">
        <v>190</v>
      </c>
      <c r="GG127" s="331" t="s">
        <v>190</v>
      </c>
      <c r="GH127" s="331" t="s">
        <v>190</v>
      </c>
      <c r="GI127" s="331" t="s">
        <v>190</v>
      </c>
      <c r="GJ127" s="331" t="s">
        <v>190</v>
      </c>
      <c r="GK127" s="331" t="s">
        <v>190</v>
      </c>
      <c r="GL127" s="331" t="s">
        <v>190</v>
      </c>
      <c r="GM127" s="331" t="s">
        <v>190</v>
      </c>
      <c r="GN127" s="331" t="s">
        <v>190</v>
      </c>
      <c r="GO127" s="331" t="s">
        <v>190</v>
      </c>
      <c r="GP127" s="331" t="s">
        <v>190</v>
      </c>
      <c r="GQ127" s="331" t="s">
        <v>190</v>
      </c>
      <c r="GR127" s="331" t="s">
        <v>190</v>
      </c>
      <c r="GS127" s="331" t="s">
        <v>190</v>
      </c>
      <c r="GT127" s="331" t="s">
        <v>190</v>
      </c>
      <c r="GU127" s="331" t="s">
        <v>190</v>
      </c>
      <c r="GV127" s="331" t="s">
        <v>190</v>
      </c>
      <c r="GW127" s="331" t="s">
        <v>190</v>
      </c>
      <c r="GX127" s="331" t="s">
        <v>190</v>
      </c>
      <c r="GY127" s="331" t="s">
        <v>190</v>
      </c>
      <c r="GZ127" s="331" t="s">
        <v>190</v>
      </c>
      <c r="HA127" s="331" t="s">
        <v>190</v>
      </c>
      <c r="HB127" s="331" t="s">
        <v>190</v>
      </c>
      <c r="HC127" s="331" t="s">
        <v>190</v>
      </c>
      <c r="HD127" s="331" t="s">
        <v>190</v>
      </c>
      <c r="HE127" s="331" t="s">
        <v>190</v>
      </c>
      <c r="HF127" s="331" t="s">
        <v>190</v>
      </c>
      <c r="HG127" s="331" t="s">
        <v>190</v>
      </c>
      <c r="HH127" s="331" t="s">
        <v>190</v>
      </c>
      <c r="HI127" s="331" t="s">
        <v>190</v>
      </c>
      <c r="HJ127" s="331" t="s">
        <v>190</v>
      </c>
      <c r="HK127" s="331" t="s">
        <v>190</v>
      </c>
      <c r="HL127" s="331" t="s">
        <v>190</v>
      </c>
      <c r="HM127" s="331" t="s">
        <v>190</v>
      </c>
      <c r="HN127" s="331" t="s">
        <v>190</v>
      </c>
      <c r="HO127" s="331" t="s">
        <v>190</v>
      </c>
      <c r="HP127" s="331" t="s">
        <v>190</v>
      </c>
      <c r="HQ127" s="331" t="s">
        <v>529</v>
      </c>
      <c r="HR127" s="331" t="s">
        <v>429</v>
      </c>
      <c r="HS127" s="331" t="s">
        <v>169</v>
      </c>
      <c r="HT127" s="331" t="s">
        <v>427</v>
      </c>
      <c r="HU127" s="331" t="s">
        <v>428</v>
      </c>
      <c r="HV127" s="331" t="s">
        <v>428</v>
      </c>
    </row>
    <row r="128" spans="1:230" s="70" customFormat="1" x14ac:dyDescent="0.25">
      <c r="A128" s="330" t="str">
        <f>HYPERLINK("http://www.ofsted.gov.uk/inspection-reports/find-inspection-report/provider/ELS/135691 ","Ofsted School Webpage")</f>
        <v>Ofsted School Webpage</v>
      </c>
      <c r="B128" s="331">
        <v>135691</v>
      </c>
      <c r="C128" s="331">
        <v>9386228</v>
      </c>
      <c r="D128" s="331" t="s">
        <v>1971</v>
      </c>
      <c r="E128" s="331" t="s">
        <v>168</v>
      </c>
      <c r="F128" s="331" t="s">
        <v>514</v>
      </c>
      <c r="G128" s="331" t="s">
        <v>514</v>
      </c>
      <c r="H128" s="331" t="s">
        <v>737</v>
      </c>
      <c r="I128" s="331" t="s">
        <v>1972</v>
      </c>
      <c r="J128" s="331" t="s">
        <v>81</v>
      </c>
      <c r="K128" s="331" t="s">
        <v>81</v>
      </c>
      <c r="L128" s="331" t="s">
        <v>81</v>
      </c>
      <c r="M128" s="331" t="s">
        <v>78</v>
      </c>
      <c r="N128" s="331" t="s">
        <v>424</v>
      </c>
      <c r="O128" s="331">
        <v>10126656</v>
      </c>
      <c r="P128" s="332">
        <v>43789</v>
      </c>
      <c r="Q128" s="332">
        <v>43789</v>
      </c>
      <c r="R128" s="332">
        <v>43804</v>
      </c>
      <c r="S128" s="331" t="s">
        <v>985</v>
      </c>
      <c r="T128" s="331" t="s">
        <v>982</v>
      </c>
      <c r="U128" s="331" t="s">
        <v>427</v>
      </c>
      <c r="V128" s="331" t="s">
        <v>166</v>
      </c>
      <c r="W128" s="331" t="s">
        <v>190</v>
      </c>
      <c r="X128" s="331" t="s">
        <v>190</v>
      </c>
      <c r="Y128" s="331" t="s">
        <v>984</v>
      </c>
      <c r="Z128" s="331" t="s">
        <v>984</v>
      </c>
      <c r="AA128" s="331" t="s">
        <v>984</v>
      </c>
      <c r="AB128" s="331" t="s">
        <v>190</v>
      </c>
      <c r="AC128" s="331" t="s">
        <v>984</v>
      </c>
      <c r="AD128" s="331" t="s">
        <v>984</v>
      </c>
      <c r="AE128" s="331" t="s">
        <v>428</v>
      </c>
      <c r="AF128" s="331" t="s">
        <v>984</v>
      </c>
      <c r="AG128" s="331" t="s">
        <v>984</v>
      </c>
      <c r="AH128" s="331" t="s">
        <v>984</v>
      </c>
      <c r="AI128" s="331" t="s">
        <v>190</v>
      </c>
      <c r="AJ128" s="331" t="s">
        <v>190</v>
      </c>
      <c r="AK128" s="331" t="s">
        <v>190</v>
      </c>
      <c r="AL128" s="331" t="s">
        <v>190</v>
      </c>
      <c r="AM128" s="331" t="s">
        <v>428</v>
      </c>
      <c r="AN128" s="331" t="s">
        <v>428</v>
      </c>
      <c r="AO128" s="331" t="s">
        <v>984</v>
      </c>
      <c r="AP128" s="331" t="s">
        <v>984</v>
      </c>
      <c r="AQ128" s="331" t="s">
        <v>984</v>
      </c>
      <c r="AR128" s="331" t="s">
        <v>984</v>
      </c>
      <c r="AS128" s="331" t="s">
        <v>984</v>
      </c>
      <c r="AT128" s="331" t="s">
        <v>984</v>
      </c>
      <c r="AU128" s="331" t="s">
        <v>984</v>
      </c>
      <c r="AV128" s="331" t="s">
        <v>984</v>
      </c>
      <c r="AW128" s="331" t="s">
        <v>984</v>
      </c>
      <c r="AX128" s="331" t="s">
        <v>984</v>
      </c>
      <c r="AY128" s="331" t="s">
        <v>984</v>
      </c>
      <c r="AZ128" s="331" t="s">
        <v>984</v>
      </c>
      <c r="BA128" s="331" t="s">
        <v>984</v>
      </c>
      <c r="BB128" s="331" t="s">
        <v>984</v>
      </c>
      <c r="BC128" s="331" t="s">
        <v>984</v>
      </c>
      <c r="BD128" s="331" t="s">
        <v>984</v>
      </c>
      <c r="BE128" s="331" t="s">
        <v>984</v>
      </c>
      <c r="BF128" s="331" t="s">
        <v>984</v>
      </c>
      <c r="BG128" s="331" t="s">
        <v>984</v>
      </c>
      <c r="BH128" s="331" t="s">
        <v>984</v>
      </c>
      <c r="BI128" s="331" t="s">
        <v>984</v>
      </c>
      <c r="BJ128" s="331" t="s">
        <v>984</v>
      </c>
      <c r="BK128" s="331" t="s">
        <v>984</v>
      </c>
      <c r="BL128" s="331" t="s">
        <v>984</v>
      </c>
      <c r="BM128" s="331" t="s">
        <v>984</v>
      </c>
      <c r="BN128" s="331" t="s">
        <v>984</v>
      </c>
      <c r="BO128" s="331" t="s">
        <v>984</v>
      </c>
      <c r="BP128" s="331" t="s">
        <v>984</v>
      </c>
      <c r="BQ128" s="331" t="s">
        <v>984</v>
      </c>
      <c r="BR128" s="331" t="s">
        <v>190</v>
      </c>
      <c r="BS128" s="331" t="s">
        <v>190</v>
      </c>
      <c r="BT128" s="331" t="s">
        <v>190</v>
      </c>
      <c r="BU128" s="331" t="s">
        <v>428</v>
      </c>
      <c r="BV128" s="331" t="s">
        <v>428</v>
      </c>
      <c r="BW128" s="331" t="s">
        <v>428</v>
      </c>
      <c r="BX128" s="331" t="s">
        <v>190</v>
      </c>
      <c r="BY128" s="331" t="s">
        <v>190</v>
      </c>
      <c r="BZ128" s="331" t="s">
        <v>190</v>
      </c>
      <c r="CA128" s="331" t="s">
        <v>984</v>
      </c>
      <c r="CB128" s="331" t="s">
        <v>984</v>
      </c>
      <c r="CC128" s="331" t="s">
        <v>984</v>
      </c>
      <c r="CD128" s="331" t="s">
        <v>984</v>
      </c>
      <c r="CE128" s="331" t="s">
        <v>984</v>
      </c>
      <c r="CF128" s="331" t="s">
        <v>984</v>
      </c>
      <c r="CG128" s="331" t="s">
        <v>190</v>
      </c>
      <c r="CH128" s="331" t="s">
        <v>190</v>
      </c>
      <c r="CI128" s="331" t="s">
        <v>190</v>
      </c>
      <c r="CJ128" s="331" t="s">
        <v>984</v>
      </c>
      <c r="CK128" s="331" t="s">
        <v>190</v>
      </c>
      <c r="CL128" s="331" t="s">
        <v>984</v>
      </c>
      <c r="CM128" s="331" t="s">
        <v>190</v>
      </c>
      <c r="CN128" s="331" t="s">
        <v>984</v>
      </c>
      <c r="CO128" s="331" t="s">
        <v>984</v>
      </c>
      <c r="CP128" s="331" t="s">
        <v>984</v>
      </c>
      <c r="CQ128" s="331" t="s">
        <v>984</v>
      </c>
      <c r="CR128" s="331" t="s">
        <v>984</v>
      </c>
      <c r="CS128" s="331" t="s">
        <v>984</v>
      </c>
      <c r="CT128" s="331" t="s">
        <v>984</v>
      </c>
      <c r="CU128" s="331" t="s">
        <v>428</v>
      </c>
      <c r="CV128" s="331" t="s">
        <v>984</v>
      </c>
      <c r="CW128" s="331" t="s">
        <v>984</v>
      </c>
      <c r="CX128" s="331" t="s">
        <v>984</v>
      </c>
      <c r="CY128" s="331" t="s">
        <v>984</v>
      </c>
      <c r="CZ128" s="331" t="s">
        <v>984</v>
      </c>
      <c r="DA128" s="331" t="s">
        <v>984</v>
      </c>
      <c r="DB128" s="331" t="s">
        <v>984</v>
      </c>
      <c r="DC128" s="331" t="s">
        <v>984</v>
      </c>
      <c r="DD128" s="331" t="s">
        <v>984</v>
      </c>
      <c r="DE128" s="331" t="s">
        <v>984</v>
      </c>
      <c r="DF128" s="331" t="s">
        <v>984</v>
      </c>
      <c r="DG128" s="331" t="s">
        <v>984</v>
      </c>
      <c r="DH128" s="331" t="s">
        <v>984</v>
      </c>
      <c r="DI128" s="331" t="s">
        <v>984</v>
      </c>
      <c r="DJ128" s="331" t="s">
        <v>428</v>
      </c>
      <c r="DK128" s="331" t="s">
        <v>984</v>
      </c>
      <c r="DL128" s="331" t="s">
        <v>984</v>
      </c>
      <c r="DM128" s="331" t="s">
        <v>984</v>
      </c>
      <c r="DN128" s="331" t="s">
        <v>984</v>
      </c>
      <c r="DO128" s="331" t="s">
        <v>984</v>
      </c>
      <c r="DP128" s="331" t="s">
        <v>984</v>
      </c>
      <c r="DQ128" s="331" t="s">
        <v>984</v>
      </c>
      <c r="DR128" s="331" t="s">
        <v>984</v>
      </c>
      <c r="DS128" s="331" t="s">
        <v>984</v>
      </c>
      <c r="DT128" s="331" t="s">
        <v>984</v>
      </c>
      <c r="DU128" s="331" t="s">
        <v>190</v>
      </c>
      <c r="DV128" s="331" t="s">
        <v>984</v>
      </c>
      <c r="DW128" s="331" t="s">
        <v>190</v>
      </c>
      <c r="DX128" s="331" t="s">
        <v>190</v>
      </c>
      <c r="DY128" s="331" t="s">
        <v>984</v>
      </c>
      <c r="DZ128" s="331" t="s">
        <v>984</v>
      </c>
      <c r="EA128" s="331" t="s">
        <v>190</v>
      </c>
      <c r="EB128" s="331" t="s">
        <v>984</v>
      </c>
      <c r="EC128" s="331" t="s">
        <v>984</v>
      </c>
      <c r="ED128" s="331" t="s">
        <v>984</v>
      </c>
      <c r="EE128" s="331" t="s">
        <v>984</v>
      </c>
      <c r="EF128" s="331" t="s">
        <v>984</v>
      </c>
      <c r="EG128" s="331" t="s">
        <v>984</v>
      </c>
      <c r="EH128" s="331" t="s">
        <v>984</v>
      </c>
      <c r="EI128" s="331" t="s">
        <v>984</v>
      </c>
      <c r="EJ128" s="331" t="s">
        <v>984</v>
      </c>
      <c r="EK128" s="331" t="s">
        <v>984</v>
      </c>
      <c r="EL128" s="331" t="s">
        <v>984</v>
      </c>
      <c r="EM128" s="331" t="s">
        <v>984</v>
      </c>
      <c r="EN128" s="331" t="s">
        <v>984</v>
      </c>
      <c r="EO128" s="331" t="s">
        <v>984</v>
      </c>
      <c r="EP128" s="331" t="s">
        <v>984</v>
      </c>
      <c r="EQ128" s="331" t="s">
        <v>984</v>
      </c>
      <c r="ER128" s="331" t="s">
        <v>984</v>
      </c>
      <c r="ES128" s="331" t="s">
        <v>984</v>
      </c>
      <c r="ET128" s="331" t="s">
        <v>984</v>
      </c>
      <c r="EU128" s="331" t="s">
        <v>984</v>
      </c>
      <c r="EV128" s="331" t="s">
        <v>984</v>
      </c>
      <c r="EW128" s="331" t="s">
        <v>984</v>
      </c>
      <c r="EX128" s="331" t="s">
        <v>984</v>
      </c>
      <c r="EY128" s="331" t="s">
        <v>984</v>
      </c>
      <c r="EZ128" s="331" t="s">
        <v>428</v>
      </c>
      <c r="FA128" s="331" t="s">
        <v>984</v>
      </c>
      <c r="FB128" s="331" t="s">
        <v>984</v>
      </c>
      <c r="FC128" s="331" t="s">
        <v>984</v>
      </c>
      <c r="FD128" s="331" t="s">
        <v>984</v>
      </c>
      <c r="FE128" s="331" t="s">
        <v>984</v>
      </c>
      <c r="FF128" s="331" t="s">
        <v>984</v>
      </c>
      <c r="FG128" s="331" t="s">
        <v>984</v>
      </c>
      <c r="FH128" s="331" t="s">
        <v>984</v>
      </c>
      <c r="FI128" s="331" t="s">
        <v>984</v>
      </c>
      <c r="FJ128" s="331" t="s">
        <v>984</v>
      </c>
      <c r="FK128" s="331" t="s">
        <v>984</v>
      </c>
      <c r="FL128" s="331" t="s">
        <v>984</v>
      </c>
      <c r="FM128" s="331" t="s">
        <v>984</v>
      </c>
      <c r="FN128" s="331" t="s">
        <v>984</v>
      </c>
      <c r="FO128" s="331" t="s">
        <v>984</v>
      </c>
      <c r="FP128" s="331" t="s">
        <v>984</v>
      </c>
      <c r="FQ128" s="331" t="s">
        <v>984</v>
      </c>
      <c r="FR128" s="331" t="s">
        <v>428</v>
      </c>
      <c r="FS128" s="331" t="s">
        <v>190</v>
      </c>
      <c r="FT128" s="331" t="s">
        <v>190</v>
      </c>
      <c r="FU128" s="331" t="s">
        <v>984</v>
      </c>
      <c r="FV128" s="331" t="s">
        <v>190</v>
      </c>
      <c r="FW128" s="331" t="s">
        <v>984</v>
      </c>
      <c r="FX128" s="331" t="s">
        <v>428</v>
      </c>
      <c r="FY128" s="331" t="s">
        <v>984</v>
      </c>
      <c r="FZ128" s="331" t="s">
        <v>984</v>
      </c>
      <c r="GA128" s="331" t="s">
        <v>190</v>
      </c>
      <c r="GB128" s="331" t="s">
        <v>984</v>
      </c>
      <c r="GC128" s="331" t="s">
        <v>984</v>
      </c>
      <c r="GD128" s="331" t="s">
        <v>190</v>
      </c>
      <c r="GE128" s="331" t="s">
        <v>984</v>
      </c>
      <c r="GF128" s="331" t="s">
        <v>190</v>
      </c>
      <c r="GG128" s="331" t="s">
        <v>190</v>
      </c>
      <c r="GH128" s="331" t="s">
        <v>428</v>
      </c>
      <c r="GI128" s="331" t="s">
        <v>190</v>
      </c>
      <c r="GJ128" s="331" t="s">
        <v>984</v>
      </c>
      <c r="GK128" s="331" t="s">
        <v>984</v>
      </c>
      <c r="GL128" s="331" t="s">
        <v>984</v>
      </c>
      <c r="GM128" s="331" t="s">
        <v>984</v>
      </c>
      <c r="GN128" s="331" t="s">
        <v>984</v>
      </c>
      <c r="GO128" s="331" t="s">
        <v>984</v>
      </c>
      <c r="GP128" s="331" t="s">
        <v>984</v>
      </c>
      <c r="GQ128" s="331" t="s">
        <v>984</v>
      </c>
      <c r="GR128" s="331" t="s">
        <v>984</v>
      </c>
      <c r="GS128" s="331" t="s">
        <v>984</v>
      </c>
      <c r="GT128" s="331" t="s">
        <v>984</v>
      </c>
      <c r="GU128" s="331" t="s">
        <v>984</v>
      </c>
      <c r="GV128" s="331" t="s">
        <v>984</v>
      </c>
      <c r="GW128" s="331" t="s">
        <v>984</v>
      </c>
      <c r="GX128" s="331" t="s">
        <v>984</v>
      </c>
      <c r="GY128" s="331" t="s">
        <v>984</v>
      </c>
      <c r="GZ128" s="331" t="s">
        <v>984</v>
      </c>
      <c r="HA128" s="331" t="s">
        <v>984</v>
      </c>
      <c r="HB128" s="331" t="s">
        <v>984</v>
      </c>
      <c r="HC128" s="331" t="s">
        <v>984</v>
      </c>
      <c r="HD128" s="331" t="s">
        <v>984</v>
      </c>
      <c r="HE128" s="331" t="s">
        <v>984</v>
      </c>
      <c r="HF128" s="331" t="s">
        <v>984</v>
      </c>
      <c r="HG128" s="331" t="s">
        <v>984</v>
      </c>
      <c r="HH128" s="331" t="s">
        <v>984</v>
      </c>
      <c r="HI128" s="331" t="s">
        <v>984</v>
      </c>
      <c r="HJ128" s="331" t="s">
        <v>984</v>
      </c>
      <c r="HK128" s="331" t="s">
        <v>984</v>
      </c>
      <c r="HL128" s="331" t="s">
        <v>984</v>
      </c>
      <c r="HM128" s="331" t="s">
        <v>191</v>
      </c>
      <c r="HN128" s="331" t="s">
        <v>191</v>
      </c>
      <c r="HO128" s="331" t="s">
        <v>191</v>
      </c>
      <c r="HP128" s="331" t="s">
        <v>190</v>
      </c>
      <c r="HQ128" s="331" t="s">
        <v>169</v>
      </c>
      <c r="HR128" s="331" t="s">
        <v>169</v>
      </c>
      <c r="HS128" s="331" t="s">
        <v>169</v>
      </c>
      <c r="HT128" s="331" t="s">
        <v>427</v>
      </c>
      <c r="HU128" s="331" t="s">
        <v>428</v>
      </c>
      <c r="HV128" s="331" t="s">
        <v>428</v>
      </c>
    </row>
    <row r="129" spans="1:230" s="70" customFormat="1" x14ac:dyDescent="0.25">
      <c r="A129" s="330" t="str">
        <f>HYPERLINK("http://www.ofsted.gov.uk/inspection-reports/find-inspection-report/provider/ELS/147318 ","Ofsted School Webpage")</f>
        <v>Ofsted School Webpage</v>
      </c>
      <c r="B129" s="331">
        <v>147318</v>
      </c>
      <c r="C129" s="331">
        <v>3336014</v>
      </c>
      <c r="D129" s="331" t="s">
        <v>2763</v>
      </c>
      <c r="E129" s="331" t="s">
        <v>167</v>
      </c>
      <c r="F129" s="331" t="s">
        <v>437</v>
      </c>
      <c r="G129" s="331" t="s">
        <v>437</v>
      </c>
      <c r="H129" s="331" t="s">
        <v>638</v>
      </c>
      <c r="I129" s="331" t="s">
        <v>2764</v>
      </c>
      <c r="J129" s="331" t="s">
        <v>434</v>
      </c>
      <c r="K129" s="331" t="s">
        <v>81</v>
      </c>
      <c r="L129" s="331" t="s">
        <v>81</v>
      </c>
      <c r="M129" s="331" t="s">
        <v>78</v>
      </c>
      <c r="N129" s="331" t="s">
        <v>424</v>
      </c>
      <c r="O129" s="331">
        <v>10122630</v>
      </c>
      <c r="P129" s="332">
        <v>43789</v>
      </c>
      <c r="Q129" s="332">
        <v>43789</v>
      </c>
      <c r="R129" s="332">
        <v>43817</v>
      </c>
      <c r="S129" s="331" t="s">
        <v>2583</v>
      </c>
      <c r="T129" s="331" t="s">
        <v>982</v>
      </c>
      <c r="U129" s="331" t="s">
        <v>427</v>
      </c>
      <c r="V129" s="331" t="s">
        <v>2585</v>
      </c>
      <c r="W129" s="331" t="s">
        <v>191</v>
      </c>
      <c r="X129" s="331" t="s">
        <v>191</v>
      </c>
      <c r="Y129" s="331" t="s">
        <v>191</v>
      </c>
      <c r="Z129" s="331" t="s">
        <v>191</v>
      </c>
      <c r="AA129" s="331" t="s">
        <v>190</v>
      </c>
      <c r="AB129" s="331" t="s">
        <v>191</v>
      </c>
      <c r="AC129" s="331" t="s">
        <v>190</v>
      </c>
      <c r="AD129" s="331" t="s">
        <v>190</v>
      </c>
      <c r="AE129" s="331" t="s">
        <v>428</v>
      </c>
      <c r="AF129" s="331" t="s">
        <v>191</v>
      </c>
      <c r="AG129" s="331" t="s">
        <v>191</v>
      </c>
      <c r="AH129" s="331" t="s">
        <v>191</v>
      </c>
      <c r="AI129" s="331" t="s">
        <v>190</v>
      </c>
      <c r="AJ129" s="331" t="s">
        <v>190</v>
      </c>
      <c r="AK129" s="331" t="s">
        <v>190</v>
      </c>
      <c r="AL129" s="331" t="s">
        <v>190</v>
      </c>
      <c r="AM129" s="331" t="s">
        <v>428</v>
      </c>
      <c r="AN129" s="331" t="s">
        <v>191</v>
      </c>
      <c r="AO129" s="331" t="s">
        <v>191</v>
      </c>
      <c r="AP129" s="331" t="s">
        <v>190</v>
      </c>
      <c r="AQ129" s="331" t="s">
        <v>191</v>
      </c>
      <c r="AR129" s="331" t="s">
        <v>191</v>
      </c>
      <c r="AS129" s="331" t="s">
        <v>190</v>
      </c>
      <c r="AT129" s="331" t="s">
        <v>191</v>
      </c>
      <c r="AU129" s="331" t="s">
        <v>191</v>
      </c>
      <c r="AV129" s="331" t="s">
        <v>191</v>
      </c>
      <c r="AW129" s="331" t="s">
        <v>190</v>
      </c>
      <c r="AX129" s="331" t="s">
        <v>191</v>
      </c>
      <c r="AY129" s="331" t="s">
        <v>190</v>
      </c>
      <c r="AZ129" s="331" t="s">
        <v>190</v>
      </c>
      <c r="BA129" s="331" t="s">
        <v>190</v>
      </c>
      <c r="BB129" s="331" t="s">
        <v>190</v>
      </c>
      <c r="BC129" s="331" t="s">
        <v>191</v>
      </c>
      <c r="BD129" s="331" t="s">
        <v>191</v>
      </c>
      <c r="BE129" s="331" t="s">
        <v>191</v>
      </c>
      <c r="BF129" s="331" t="s">
        <v>190</v>
      </c>
      <c r="BG129" s="331" t="s">
        <v>191</v>
      </c>
      <c r="BH129" s="331" t="s">
        <v>191</v>
      </c>
      <c r="BI129" s="331" t="s">
        <v>191</v>
      </c>
      <c r="BJ129" s="331" t="s">
        <v>191</v>
      </c>
      <c r="BK129" s="331" t="s">
        <v>191</v>
      </c>
      <c r="BL129" s="331" t="s">
        <v>191</v>
      </c>
      <c r="BM129" s="331" t="s">
        <v>190</v>
      </c>
      <c r="BN129" s="331" t="s">
        <v>190</v>
      </c>
      <c r="BO129" s="331" t="s">
        <v>190</v>
      </c>
      <c r="BP129" s="331" t="s">
        <v>190</v>
      </c>
      <c r="BQ129" s="331" t="s">
        <v>190</v>
      </c>
      <c r="BR129" s="331" t="s">
        <v>191</v>
      </c>
      <c r="BS129" s="331" t="s">
        <v>191</v>
      </c>
      <c r="BT129" s="331" t="s">
        <v>191</v>
      </c>
      <c r="BU129" s="331" t="s">
        <v>428</v>
      </c>
      <c r="BV129" s="331" t="s">
        <v>428</v>
      </c>
      <c r="BW129" s="331" t="s">
        <v>428</v>
      </c>
      <c r="BX129" s="331" t="s">
        <v>191</v>
      </c>
      <c r="BY129" s="331" t="s">
        <v>190</v>
      </c>
      <c r="BZ129" s="331" t="s">
        <v>191</v>
      </c>
      <c r="CA129" s="331" t="s">
        <v>191</v>
      </c>
      <c r="CB129" s="331" t="s">
        <v>190</v>
      </c>
      <c r="CC129" s="331" t="s">
        <v>191</v>
      </c>
      <c r="CD129" s="331" t="s">
        <v>191</v>
      </c>
      <c r="CE129" s="331" t="s">
        <v>191</v>
      </c>
      <c r="CF129" s="331" t="s">
        <v>190</v>
      </c>
      <c r="CG129" s="331" t="s">
        <v>191</v>
      </c>
      <c r="CH129" s="331" t="s">
        <v>191</v>
      </c>
      <c r="CI129" s="331" t="s">
        <v>191</v>
      </c>
      <c r="CJ129" s="331" t="s">
        <v>191</v>
      </c>
      <c r="CK129" s="331" t="s">
        <v>191</v>
      </c>
      <c r="CL129" s="331" t="s">
        <v>191</v>
      </c>
      <c r="CM129" s="331" t="s">
        <v>191</v>
      </c>
      <c r="CN129" s="331" t="s">
        <v>191</v>
      </c>
      <c r="CO129" s="331" t="s">
        <v>191</v>
      </c>
      <c r="CP129" s="331" t="s">
        <v>191</v>
      </c>
      <c r="CQ129" s="331" t="s">
        <v>191</v>
      </c>
      <c r="CR129" s="331" t="s">
        <v>191</v>
      </c>
      <c r="CS129" s="331" t="s">
        <v>190</v>
      </c>
      <c r="CT129" s="331" t="s">
        <v>191</v>
      </c>
      <c r="CU129" s="331" t="s">
        <v>428</v>
      </c>
      <c r="CV129" s="331" t="s">
        <v>191</v>
      </c>
      <c r="CW129" s="331" t="s">
        <v>191</v>
      </c>
      <c r="CX129" s="331" t="s">
        <v>191</v>
      </c>
      <c r="CY129" s="331" t="s">
        <v>191</v>
      </c>
      <c r="CZ129" s="331" t="s">
        <v>191</v>
      </c>
      <c r="DA129" s="331" t="s">
        <v>191</v>
      </c>
      <c r="DB129" s="331" t="s">
        <v>191</v>
      </c>
      <c r="DC129" s="331" t="s">
        <v>191</v>
      </c>
      <c r="DD129" s="331" t="s">
        <v>191</v>
      </c>
      <c r="DE129" s="331" t="s">
        <v>191</v>
      </c>
      <c r="DF129" s="331" t="s">
        <v>191</v>
      </c>
      <c r="DG129" s="331" t="s">
        <v>191</v>
      </c>
      <c r="DH129" s="331" t="s">
        <v>191</v>
      </c>
      <c r="DI129" s="331" t="s">
        <v>191</v>
      </c>
      <c r="DJ129" s="331" t="s">
        <v>428</v>
      </c>
      <c r="DK129" s="331" t="s">
        <v>191</v>
      </c>
      <c r="DL129" s="331" t="s">
        <v>428</v>
      </c>
      <c r="DM129" s="331" t="s">
        <v>428</v>
      </c>
      <c r="DN129" s="331" t="s">
        <v>428</v>
      </c>
      <c r="DO129" s="331" t="s">
        <v>428</v>
      </c>
      <c r="DP129" s="331" t="s">
        <v>428</v>
      </c>
      <c r="DQ129" s="331" t="s">
        <v>428</v>
      </c>
      <c r="DR129" s="331" t="s">
        <v>428</v>
      </c>
      <c r="DS129" s="331" t="s">
        <v>428</v>
      </c>
      <c r="DT129" s="331" t="s">
        <v>428</v>
      </c>
      <c r="DU129" s="331" t="s">
        <v>191</v>
      </c>
      <c r="DV129" s="331" t="s">
        <v>191</v>
      </c>
      <c r="DW129" s="331" t="s">
        <v>191</v>
      </c>
      <c r="DX129" s="331" t="s">
        <v>191</v>
      </c>
      <c r="DY129" s="331" t="s">
        <v>191</v>
      </c>
      <c r="DZ129" s="331" t="s">
        <v>191</v>
      </c>
      <c r="EA129" s="331" t="s">
        <v>191</v>
      </c>
      <c r="EB129" s="331" t="s">
        <v>191</v>
      </c>
      <c r="EC129" s="331" t="s">
        <v>191</v>
      </c>
      <c r="ED129" s="331" t="s">
        <v>191</v>
      </c>
      <c r="EE129" s="331" t="s">
        <v>191</v>
      </c>
      <c r="EF129" s="331" t="s">
        <v>191</v>
      </c>
      <c r="EG129" s="331" t="s">
        <v>191</v>
      </c>
      <c r="EH129" s="331" t="s">
        <v>428</v>
      </c>
      <c r="EI129" s="331" t="s">
        <v>191</v>
      </c>
      <c r="EJ129" s="331" t="s">
        <v>191</v>
      </c>
      <c r="EK129" s="331" t="s">
        <v>191</v>
      </c>
      <c r="EL129" s="331" t="s">
        <v>191</v>
      </c>
      <c r="EM129" s="331" t="s">
        <v>191</v>
      </c>
      <c r="EN129" s="331" t="s">
        <v>191</v>
      </c>
      <c r="EO129" s="331" t="s">
        <v>428</v>
      </c>
      <c r="EP129" s="331" t="s">
        <v>428</v>
      </c>
      <c r="EQ129" s="331" t="s">
        <v>428</v>
      </c>
      <c r="ER129" s="331" t="s">
        <v>428</v>
      </c>
      <c r="ES129" s="331" t="s">
        <v>190</v>
      </c>
      <c r="ET129" s="331" t="s">
        <v>190</v>
      </c>
      <c r="EU129" s="331" t="s">
        <v>190</v>
      </c>
      <c r="EV129" s="331" t="s">
        <v>190</v>
      </c>
      <c r="EW129" s="331" t="s">
        <v>191</v>
      </c>
      <c r="EX129" s="331" t="s">
        <v>190</v>
      </c>
      <c r="EY129" s="331" t="s">
        <v>191</v>
      </c>
      <c r="EZ129" s="331" t="s">
        <v>428</v>
      </c>
      <c r="FA129" s="331" t="s">
        <v>191</v>
      </c>
      <c r="FB129" s="331" t="s">
        <v>191</v>
      </c>
      <c r="FC129" s="331" t="s">
        <v>190</v>
      </c>
      <c r="FD129" s="331" t="s">
        <v>190</v>
      </c>
      <c r="FE129" s="331" t="s">
        <v>190</v>
      </c>
      <c r="FF129" s="331" t="s">
        <v>190</v>
      </c>
      <c r="FG129" s="331" t="s">
        <v>191</v>
      </c>
      <c r="FH129" s="331" t="s">
        <v>190</v>
      </c>
      <c r="FI129" s="331" t="s">
        <v>191</v>
      </c>
      <c r="FJ129" s="331" t="s">
        <v>191</v>
      </c>
      <c r="FK129" s="331" t="s">
        <v>190</v>
      </c>
      <c r="FL129" s="331" t="s">
        <v>190</v>
      </c>
      <c r="FM129" s="331" t="s">
        <v>190</v>
      </c>
      <c r="FN129" s="331" t="s">
        <v>190</v>
      </c>
      <c r="FO129" s="331" t="s">
        <v>190</v>
      </c>
      <c r="FP129" s="331" t="s">
        <v>190</v>
      </c>
      <c r="FQ129" s="331" t="s">
        <v>190</v>
      </c>
      <c r="FR129" s="331" t="s">
        <v>428</v>
      </c>
      <c r="FS129" s="331" t="s">
        <v>190</v>
      </c>
      <c r="FT129" s="331" t="s">
        <v>190</v>
      </c>
      <c r="FU129" s="331" t="s">
        <v>190</v>
      </c>
      <c r="FV129" s="331" t="s">
        <v>190</v>
      </c>
      <c r="FW129" s="331" t="s">
        <v>190</v>
      </c>
      <c r="FX129" s="331" t="s">
        <v>428</v>
      </c>
      <c r="FY129" s="331" t="s">
        <v>190</v>
      </c>
      <c r="FZ129" s="331" t="s">
        <v>190</v>
      </c>
      <c r="GA129" s="331" t="s">
        <v>190</v>
      </c>
      <c r="GB129" s="331" t="s">
        <v>190</v>
      </c>
      <c r="GC129" s="331" t="s">
        <v>190</v>
      </c>
      <c r="GD129" s="331" t="s">
        <v>190</v>
      </c>
      <c r="GE129" s="331" t="s">
        <v>190</v>
      </c>
      <c r="GF129" s="331" t="s">
        <v>190</v>
      </c>
      <c r="GG129" s="331" t="s">
        <v>190</v>
      </c>
      <c r="GH129" s="331" t="s">
        <v>428</v>
      </c>
      <c r="GI129" s="331" t="s">
        <v>190</v>
      </c>
      <c r="GJ129" s="331" t="s">
        <v>190</v>
      </c>
      <c r="GK129" s="331" t="s">
        <v>190</v>
      </c>
      <c r="GL129" s="331" t="s">
        <v>190</v>
      </c>
      <c r="GM129" s="331" t="s">
        <v>190</v>
      </c>
      <c r="GN129" s="331" t="s">
        <v>190</v>
      </c>
      <c r="GO129" s="331" t="s">
        <v>190</v>
      </c>
      <c r="GP129" s="331" t="s">
        <v>190</v>
      </c>
      <c r="GQ129" s="331" t="s">
        <v>190</v>
      </c>
      <c r="GR129" s="331" t="s">
        <v>190</v>
      </c>
      <c r="GS129" s="331" t="s">
        <v>428</v>
      </c>
      <c r="GT129" s="331" t="s">
        <v>428</v>
      </c>
      <c r="GU129" s="331" t="s">
        <v>428</v>
      </c>
      <c r="GV129" s="331" t="s">
        <v>428</v>
      </c>
      <c r="GW129" s="331" t="s">
        <v>191</v>
      </c>
      <c r="GX129" s="331" t="s">
        <v>190</v>
      </c>
      <c r="GY129" s="331" t="s">
        <v>190</v>
      </c>
      <c r="GZ129" s="331" t="s">
        <v>190</v>
      </c>
      <c r="HA129" s="331" t="s">
        <v>190</v>
      </c>
      <c r="HB129" s="331" t="s">
        <v>190</v>
      </c>
      <c r="HC129" s="331" t="s">
        <v>190</v>
      </c>
      <c r="HD129" s="331" t="s">
        <v>190</v>
      </c>
      <c r="HE129" s="331" t="s">
        <v>190</v>
      </c>
      <c r="HF129" s="331" t="s">
        <v>191</v>
      </c>
      <c r="HG129" s="331" t="s">
        <v>191</v>
      </c>
      <c r="HH129" s="331" t="s">
        <v>190</v>
      </c>
      <c r="HI129" s="331" t="s">
        <v>191</v>
      </c>
      <c r="HJ129" s="331" t="s">
        <v>190</v>
      </c>
      <c r="HK129" s="331" t="s">
        <v>191</v>
      </c>
      <c r="HL129" s="331" t="s">
        <v>190</v>
      </c>
      <c r="HM129" s="331" t="s">
        <v>191</v>
      </c>
      <c r="HN129" s="331" t="s">
        <v>191</v>
      </c>
      <c r="HO129" s="331" t="s">
        <v>191</v>
      </c>
      <c r="HP129" s="331" t="s">
        <v>191</v>
      </c>
      <c r="HQ129" s="331" t="s">
        <v>170</v>
      </c>
      <c r="HR129" s="331" t="s">
        <v>429</v>
      </c>
      <c r="HS129" s="331" t="s">
        <v>169</v>
      </c>
      <c r="HT129" s="331" t="s">
        <v>447</v>
      </c>
      <c r="HU129" s="331" t="s">
        <v>428</v>
      </c>
      <c r="HV129" s="331" t="s">
        <v>428</v>
      </c>
    </row>
    <row r="130" spans="1:230" s="70" customFormat="1" x14ac:dyDescent="0.25">
      <c r="A130" s="330" t="str">
        <f>HYPERLINK("http://www.ofsted.gov.uk/inspection-reports/find-inspection-report/provider/ELS/135438 ","Ofsted School Webpage")</f>
        <v>Ofsted School Webpage</v>
      </c>
      <c r="B130" s="331">
        <v>135438</v>
      </c>
      <c r="C130" s="331">
        <v>8866123</v>
      </c>
      <c r="D130" s="331" t="s">
        <v>1938</v>
      </c>
      <c r="E130" s="331" t="s">
        <v>168</v>
      </c>
      <c r="F130" s="331" t="s">
        <v>514</v>
      </c>
      <c r="G130" s="331" t="s">
        <v>514</v>
      </c>
      <c r="H130" s="331" t="s">
        <v>614</v>
      </c>
      <c r="I130" s="331" t="s">
        <v>1939</v>
      </c>
      <c r="J130" s="331" t="s">
        <v>81</v>
      </c>
      <c r="K130" s="331" t="s">
        <v>81</v>
      </c>
      <c r="L130" s="331" t="s">
        <v>81</v>
      </c>
      <c r="M130" s="331" t="s">
        <v>78</v>
      </c>
      <c r="N130" s="331" t="s">
        <v>424</v>
      </c>
      <c r="O130" s="331">
        <v>10119550</v>
      </c>
      <c r="P130" s="332">
        <v>43791</v>
      </c>
      <c r="Q130" s="332">
        <v>43791</v>
      </c>
      <c r="R130" s="332">
        <v>43807</v>
      </c>
      <c r="S130" s="331" t="s">
        <v>981</v>
      </c>
      <c r="T130" s="331" t="s">
        <v>982</v>
      </c>
      <c r="U130" s="331" t="s">
        <v>427</v>
      </c>
      <c r="V130" s="331" t="s">
        <v>983</v>
      </c>
      <c r="W130" s="331" t="s">
        <v>984</v>
      </c>
      <c r="X130" s="331" t="s">
        <v>984</v>
      </c>
      <c r="Y130" s="331" t="s">
        <v>984</v>
      </c>
      <c r="Z130" s="331" t="s">
        <v>984</v>
      </c>
      <c r="AA130" s="331" t="s">
        <v>984</v>
      </c>
      <c r="AB130" s="331" t="s">
        <v>984</v>
      </c>
      <c r="AC130" s="331" t="s">
        <v>984</v>
      </c>
      <c r="AD130" s="331" t="s">
        <v>984</v>
      </c>
      <c r="AE130" s="331" t="s">
        <v>428</v>
      </c>
      <c r="AF130" s="331" t="s">
        <v>984</v>
      </c>
      <c r="AG130" s="331" t="s">
        <v>984</v>
      </c>
      <c r="AH130" s="331" t="s">
        <v>984</v>
      </c>
      <c r="AI130" s="331" t="s">
        <v>984</v>
      </c>
      <c r="AJ130" s="331" t="s">
        <v>984</v>
      </c>
      <c r="AK130" s="331" t="s">
        <v>984</v>
      </c>
      <c r="AL130" s="331" t="s">
        <v>984</v>
      </c>
      <c r="AM130" s="331" t="s">
        <v>428</v>
      </c>
      <c r="AN130" s="331" t="s">
        <v>984</v>
      </c>
      <c r="AO130" s="331" t="s">
        <v>984</v>
      </c>
      <c r="AP130" s="331" t="s">
        <v>984</v>
      </c>
      <c r="AQ130" s="331" t="s">
        <v>984</v>
      </c>
      <c r="AR130" s="331" t="s">
        <v>984</v>
      </c>
      <c r="AS130" s="331" t="s">
        <v>984</v>
      </c>
      <c r="AT130" s="331" t="s">
        <v>984</v>
      </c>
      <c r="AU130" s="331" t="s">
        <v>984</v>
      </c>
      <c r="AV130" s="331" t="s">
        <v>984</v>
      </c>
      <c r="AW130" s="331" t="s">
        <v>984</v>
      </c>
      <c r="AX130" s="331" t="s">
        <v>984</v>
      </c>
      <c r="AY130" s="331" t="s">
        <v>984</v>
      </c>
      <c r="AZ130" s="331" t="s">
        <v>984</v>
      </c>
      <c r="BA130" s="331" t="s">
        <v>984</v>
      </c>
      <c r="BB130" s="331" t="s">
        <v>984</v>
      </c>
      <c r="BC130" s="331" t="s">
        <v>984</v>
      </c>
      <c r="BD130" s="331" t="s">
        <v>984</v>
      </c>
      <c r="BE130" s="331" t="s">
        <v>984</v>
      </c>
      <c r="BF130" s="331" t="s">
        <v>984</v>
      </c>
      <c r="BG130" s="331" t="s">
        <v>984</v>
      </c>
      <c r="BH130" s="331" t="s">
        <v>984</v>
      </c>
      <c r="BI130" s="331" t="s">
        <v>984</v>
      </c>
      <c r="BJ130" s="331" t="s">
        <v>984</v>
      </c>
      <c r="BK130" s="331" t="s">
        <v>984</v>
      </c>
      <c r="BL130" s="331" t="s">
        <v>984</v>
      </c>
      <c r="BM130" s="331" t="s">
        <v>984</v>
      </c>
      <c r="BN130" s="331" t="s">
        <v>984</v>
      </c>
      <c r="BO130" s="331" t="s">
        <v>984</v>
      </c>
      <c r="BP130" s="331" t="s">
        <v>984</v>
      </c>
      <c r="BQ130" s="331" t="s">
        <v>984</v>
      </c>
      <c r="BR130" s="331" t="s">
        <v>190</v>
      </c>
      <c r="BS130" s="331" t="s">
        <v>190</v>
      </c>
      <c r="BT130" s="331" t="s">
        <v>190</v>
      </c>
      <c r="BU130" s="331" t="s">
        <v>428</v>
      </c>
      <c r="BV130" s="331" t="s">
        <v>428</v>
      </c>
      <c r="BW130" s="331" t="s">
        <v>428</v>
      </c>
      <c r="BX130" s="331" t="s">
        <v>984</v>
      </c>
      <c r="BY130" s="331" t="s">
        <v>984</v>
      </c>
      <c r="BZ130" s="331" t="s">
        <v>984</v>
      </c>
      <c r="CA130" s="331" t="s">
        <v>984</v>
      </c>
      <c r="CB130" s="331" t="s">
        <v>984</v>
      </c>
      <c r="CC130" s="331" t="s">
        <v>190</v>
      </c>
      <c r="CD130" s="331" t="s">
        <v>190</v>
      </c>
      <c r="CE130" s="331" t="s">
        <v>984</v>
      </c>
      <c r="CF130" s="331" t="s">
        <v>190</v>
      </c>
      <c r="CG130" s="331" t="s">
        <v>984</v>
      </c>
      <c r="CH130" s="331" t="s">
        <v>190</v>
      </c>
      <c r="CI130" s="331" t="s">
        <v>190</v>
      </c>
      <c r="CJ130" s="331" t="s">
        <v>190</v>
      </c>
      <c r="CK130" s="331" t="s">
        <v>190</v>
      </c>
      <c r="CL130" s="331" t="s">
        <v>190</v>
      </c>
      <c r="CM130" s="331" t="s">
        <v>190</v>
      </c>
      <c r="CN130" s="331" t="s">
        <v>190</v>
      </c>
      <c r="CO130" s="331" t="s">
        <v>190</v>
      </c>
      <c r="CP130" s="331" t="s">
        <v>190</v>
      </c>
      <c r="CQ130" s="331" t="s">
        <v>190</v>
      </c>
      <c r="CR130" s="331" t="s">
        <v>190</v>
      </c>
      <c r="CS130" s="331" t="s">
        <v>190</v>
      </c>
      <c r="CT130" s="331" t="s">
        <v>190</v>
      </c>
      <c r="CU130" s="331" t="s">
        <v>428</v>
      </c>
      <c r="CV130" s="331" t="s">
        <v>190</v>
      </c>
      <c r="CW130" s="331" t="s">
        <v>428</v>
      </c>
      <c r="CX130" s="331" t="s">
        <v>428</v>
      </c>
      <c r="CY130" s="331" t="s">
        <v>428</v>
      </c>
      <c r="CZ130" s="331" t="s">
        <v>428</v>
      </c>
      <c r="DA130" s="331" t="s">
        <v>428</v>
      </c>
      <c r="DB130" s="331" t="s">
        <v>428</v>
      </c>
      <c r="DC130" s="331" t="s">
        <v>428</v>
      </c>
      <c r="DD130" s="331" t="s">
        <v>428</v>
      </c>
      <c r="DE130" s="331" t="s">
        <v>428</v>
      </c>
      <c r="DF130" s="331" t="s">
        <v>428</v>
      </c>
      <c r="DG130" s="331" t="s">
        <v>428</v>
      </c>
      <c r="DH130" s="331" t="s">
        <v>428</v>
      </c>
      <c r="DI130" s="331" t="s">
        <v>428</v>
      </c>
      <c r="DJ130" s="331" t="s">
        <v>428</v>
      </c>
      <c r="DK130" s="331" t="s">
        <v>428</v>
      </c>
      <c r="DL130" s="331" t="s">
        <v>190</v>
      </c>
      <c r="DM130" s="331" t="s">
        <v>190</v>
      </c>
      <c r="DN130" s="331" t="s">
        <v>190</v>
      </c>
      <c r="DO130" s="331" t="s">
        <v>190</v>
      </c>
      <c r="DP130" s="331" t="s">
        <v>190</v>
      </c>
      <c r="DQ130" s="331" t="s">
        <v>190</v>
      </c>
      <c r="DR130" s="331" t="s">
        <v>190</v>
      </c>
      <c r="DS130" s="331" t="s">
        <v>190</v>
      </c>
      <c r="DT130" s="331" t="s">
        <v>190</v>
      </c>
      <c r="DU130" s="331" t="s">
        <v>190</v>
      </c>
      <c r="DV130" s="331" t="s">
        <v>190</v>
      </c>
      <c r="DW130" s="331" t="s">
        <v>190</v>
      </c>
      <c r="DX130" s="331" t="s">
        <v>190</v>
      </c>
      <c r="DY130" s="331" t="s">
        <v>190</v>
      </c>
      <c r="DZ130" s="331" t="s">
        <v>190</v>
      </c>
      <c r="EA130" s="331" t="s">
        <v>190</v>
      </c>
      <c r="EB130" s="331" t="s">
        <v>190</v>
      </c>
      <c r="EC130" s="331" t="s">
        <v>190</v>
      </c>
      <c r="ED130" s="331" t="s">
        <v>190</v>
      </c>
      <c r="EE130" s="331" t="s">
        <v>190</v>
      </c>
      <c r="EF130" s="331" t="s">
        <v>190</v>
      </c>
      <c r="EG130" s="331" t="s">
        <v>190</v>
      </c>
      <c r="EH130" s="331" t="s">
        <v>428</v>
      </c>
      <c r="EI130" s="331" t="s">
        <v>428</v>
      </c>
      <c r="EJ130" s="331" t="s">
        <v>428</v>
      </c>
      <c r="EK130" s="331" t="s">
        <v>428</v>
      </c>
      <c r="EL130" s="331" t="s">
        <v>428</v>
      </c>
      <c r="EM130" s="331" t="s">
        <v>428</v>
      </c>
      <c r="EN130" s="331" t="s">
        <v>428</v>
      </c>
      <c r="EO130" s="331" t="s">
        <v>190</v>
      </c>
      <c r="EP130" s="331" t="s">
        <v>428</v>
      </c>
      <c r="EQ130" s="331" t="s">
        <v>428</v>
      </c>
      <c r="ER130" s="331" t="s">
        <v>428</v>
      </c>
      <c r="ES130" s="331" t="s">
        <v>190</v>
      </c>
      <c r="ET130" s="331" t="s">
        <v>190</v>
      </c>
      <c r="EU130" s="331" t="s">
        <v>190</v>
      </c>
      <c r="EV130" s="331" t="s">
        <v>428</v>
      </c>
      <c r="EW130" s="331" t="s">
        <v>190</v>
      </c>
      <c r="EX130" s="331" t="s">
        <v>190</v>
      </c>
      <c r="EY130" s="331" t="s">
        <v>190</v>
      </c>
      <c r="EZ130" s="331" t="s">
        <v>428</v>
      </c>
      <c r="FA130" s="331" t="s">
        <v>190</v>
      </c>
      <c r="FB130" s="331" t="s">
        <v>190</v>
      </c>
      <c r="FC130" s="331" t="s">
        <v>190</v>
      </c>
      <c r="FD130" s="331" t="s">
        <v>190</v>
      </c>
      <c r="FE130" s="331" t="s">
        <v>190</v>
      </c>
      <c r="FF130" s="331" t="s">
        <v>190</v>
      </c>
      <c r="FG130" s="331" t="s">
        <v>190</v>
      </c>
      <c r="FH130" s="331" t="s">
        <v>190</v>
      </c>
      <c r="FI130" s="331" t="s">
        <v>190</v>
      </c>
      <c r="FJ130" s="331" t="s">
        <v>190</v>
      </c>
      <c r="FK130" s="331" t="s">
        <v>190</v>
      </c>
      <c r="FL130" s="331" t="s">
        <v>190</v>
      </c>
      <c r="FM130" s="331" t="s">
        <v>190</v>
      </c>
      <c r="FN130" s="331" t="s">
        <v>190</v>
      </c>
      <c r="FO130" s="331" t="s">
        <v>190</v>
      </c>
      <c r="FP130" s="331" t="s">
        <v>190</v>
      </c>
      <c r="FQ130" s="331" t="s">
        <v>190</v>
      </c>
      <c r="FR130" s="331" t="s">
        <v>428</v>
      </c>
      <c r="FS130" s="331" t="s">
        <v>190</v>
      </c>
      <c r="FT130" s="331" t="s">
        <v>984</v>
      </c>
      <c r="FU130" s="331" t="s">
        <v>984</v>
      </c>
      <c r="FV130" s="331" t="s">
        <v>190</v>
      </c>
      <c r="FW130" s="331" t="s">
        <v>984</v>
      </c>
      <c r="FX130" s="331" t="s">
        <v>428</v>
      </c>
      <c r="FY130" s="331" t="s">
        <v>984</v>
      </c>
      <c r="FZ130" s="331" t="s">
        <v>984</v>
      </c>
      <c r="GA130" s="331" t="s">
        <v>984</v>
      </c>
      <c r="GB130" s="331" t="s">
        <v>984</v>
      </c>
      <c r="GC130" s="331" t="s">
        <v>984</v>
      </c>
      <c r="GD130" s="331" t="s">
        <v>984</v>
      </c>
      <c r="GE130" s="331" t="s">
        <v>984</v>
      </c>
      <c r="GF130" s="331" t="s">
        <v>984</v>
      </c>
      <c r="GG130" s="331" t="s">
        <v>428</v>
      </c>
      <c r="GH130" s="331" t="s">
        <v>984</v>
      </c>
      <c r="GI130" s="331" t="s">
        <v>984</v>
      </c>
      <c r="GJ130" s="331" t="s">
        <v>984</v>
      </c>
      <c r="GK130" s="331" t="s">
        <v>984</v>
      </c>
      <c r="GL130" s="331" t="s">
        <v>984</v>
      </c>
      <c r="GM130" s="331" t="s">
        <v>984</v>
      </c>
      <c r="GN130" s="331" t="s">
        <v>984</v>
      </c>
      <c r="GO130" s="331" t="s">
        <v>984</v>
      </c>
      <c r="GP130" s="331" t="s">
        <v>984</v>
      </c>
      <c r="GQ130" s="331" t="s">
        <v>984</v>
      </c>
      <c r="GR130" s="331" t="s">
        <v>984</v>
      </c>
      <c r="GS130" s="331" t="s">
        <v>984</v>
      </c>
      <c r="GT130" s="331" t="s">
        <v>984</v>
      </c>
      <c r="GU130" s="331" t="s">
        <v>984</v>
      </c>
      <c r="GV130" s="331" t="s">
        <v>984</v>
      </c>
      <c r="GW130" s="331" t="s">
        <v>984</v>
      </c>
      <c r="GX130" s="331" t="s">
        <v>984</v>
      </c>
      <c r="GY130" s="331" t="s">
        <v>984</v>
      </c>
      <c r="GZ130" s="331" t="s">
        <v>984</v>
      </c>
      <c r="HA130" s="331" t="s">
        <v>984</v>
      </c>
      <c r="HB130" s="331" t="s">
        <v>984</v>
      </c>
      <c r="HC130" s="331" t="s">
        <v>984</v>
      </c>
      <c r="HD130" s="331" t="s">
        <v>984</v>
      </c>
      <c r="HE130" s="331" t="s">
        <v>984</v>
      </c>
      <c r="HF130" s="331" t="s">
        <v>984</v>
      </c>
      <c r="HG130" s="331" t="s">
        <v>984</v>
      </c>
      <c r="HH130" s="331" t="s">
        <v>984</v>
      </c>
      <c r="HI130" s="331" t="s">
        <v>984</v>
      </c>
      <c r="HJ130" s="331" t="s">
        <v>984</v>
      </c>
      <c r="HK130" s="331" t="s">
        <v>984</v>
      </c>
      <c r="HL130" s="331" t="s">
        <v>984</v>
      </c>
      <c r="HM130" s="331" t="s">
        <v>190</v>
      </c>
      <c r="HN130" s="331" t="s">
        <v>190</v>
      </c>
      <c r="HO130" s="331" t="s">
        <v>190</v>
      </c>
      <c r="HP130" s="331" t="s">
        <v>190</v>
      </c>
      <c r="HQ130" s="331" t="s">
        <v>170</v>
      </c>
      <c r="HR130" s="331" t="s">
        <v>429</v>
      </c>
      <c r="HS130" s="331" t="s">
        <v>169</v>
      </c>
      <c r="HT130" s="331" t="s">
        <v>427</v>
      </c>
      <c r="HU130" s="331" t="s">
        <v>428</v>
      </c>
      <c r="HV130" s="331" t="s">
        <v>428</v>
      </c>
    </row>
    <row r="131" spans="1:230" s="70" customFormat="1" x14ac:dyDescent="0.25">
      <c r="A131" s="330" t="str">
        <f>HYPERLINK("http://www.ofsted.gov.uk/inspection-reports/find-inspection-report/provider/ELS/110175 ","Ofsted School Webpage")</f>
        <v>Ofsted School Webpage</v>
      </c>
      <c r="B131" s="331">
        <v>110175</v>
      </c>
      <c r="C131" s="331">
        <v>8696013</v>
      </c>
      <c r="D131" s="331" t="s">
        <v>1381</v>
      </c>
      <c r="E131" s="331" t="s">
        <v>167</v>
      </c>
      <c r="F131" s="331" t="s">
        <v>514</v>
      </c>
      <c r="G131" s="331" t="s">
        <v>514</v>
      </c>
      <c r="H131" s="331" t="s">
        <v>1382</v>
      </c>
      <c r="I131" s="331" t="s">
        <v>1383</v>
      </c>
      <c r="J131" s="331" t="s">
        <v>81</v>
      </c>
      <c r="K131" s="331" t="s">
        <v>81</v>
      </c>
      <c r="L131" s="331" t="s">
        <v>81</v>
      </c>
      <c r="M131" s="331" t="s">
        <v>78</v>
      </c>
      <c r="N131" s="331" t="s">
        <v>424</v>
      </c>
      <c r="O131" s="331">
        <v>10125001</v>
      </c>
      <c r="P131" s="332">
        <v>43795</v>
      </c>
      <c r="Q131" s="332">
        <v>43795</v>
      </c>
      <c r="R131" s="332">
        <v>43811</v>
      </c>
      <c r="S131" s="331" t="s">
        <v>985</v>
      </c>
      <c r="T131" s="331" t="s">
        <v>982</v>
      </c>
      <c r="U131" s="331" t="s">
        <v>427</v>
      </c>
      <c r="V131" s="331" t="s">
        <v>166</v>
      </c>
      <c r="W131" s="331" t="s">
        <v>191</v>
      </c>
      <c r="X131" s="331" t="s">
        <v>984</v>
      </c>
      <c r="Y131" s="331" t="s">
        <v>191</v>
      </c>
      <c r="Z131" s="331" t="s">
        <v>191</v>
      </c>
      <c r="AA131" s="331" t="s">
        <v>984</v>
      </c>
      <c r="AB131" s="331" t="s">
        <v>984</v>
      </c>
      <c r="AC131" s="331" t="s">
        <v>984</v>
      </c>
      <c r="AD131" s="331" t="s">
        <v>984</v>
      </c>
      <c r="AE131" s="331" t="s">
        <v>984</v>
      </c>
      <c r="AF131" s="331" t="s">
        <v>984</v>
      </c>
      <c r="AG131" s="331" t="s">
        <v>984</v>
      </c>
      <c r="AH131" s="331" t="s">
        <v>984</v>
      </c>
      <c r="AI131" s="331" t="s">
        <v>191</v>
      </c>
      <c r="AJ131" s="331" t="s">
        <v>191</v>
      </c>
      <c r="AK131" s="331" t="s">
        <v>191</v>
      </c>
      <c r="AL131" s="331" t="s">
        <v>191</v>
      </c>
      <c r="AM131" s="331" t="s">
        <v>984</v>
      </c>
      <c r="AN131" s="331" t="s">
        <v>984</v>
      </c>
      <c r="AO131" s="331" t="s">
        <v>984</v>
      </c>
      <c r="AP131" s="331" t="s">
        <v>984</v>
      </c>
      <c r="AQ131" s="331" t="s">
        <v>191</v>
      </c>
      <c r="AR131" s="331" t="s">
        <v>984</v>
      </c>
      <c r="AS131" s="331" t="s">
        <v>984</v>
      </c>
      <c r="AT131" s="331" t="s">
        <v>191</v>
      </c>
      <c r="AU131" s="331" t="s">
        <v>191</v>
      </c>
      <c r="AV131" s="331" t="s">
        <v>984</v>
      </c>
      <c r="AW131" s="331" t="s">
        <v>984</v>
      </c>
      <c r="AX131" s="331" t="s">
        <v>984</v>
      </c>
      <c r="AY131" s="331" t="s">
        <v>984</v>
      </c>
      <c r="AZ131" s="331" t="s">
        <v>984</v>
      </c>
      <c r="BA131" s="331" t="s">
        <v>984</v>
      </c>
      <c r="BB131" s="331" t="s">
        <v>984</v>
      </c>
      <c r="BC131" s="331" t="s">
        <v>984</v>
      </c>
      <c r="BD131" s="331" t="s">
        <v>984</v>
      </c>
      <c r="BE131" s="331" t="s">
        <v>984</v>
      </c>
      <c r="BF131" s="331" t="s">
        <v>984</v>
      </c>
      <c r="BG131" s="331" t="s">
        <v>984</v>
      </c>
      <c r="BH131" s="331" t="s">
        <v>984</v>
      </c>
      <c r="BI131" s="331" t="s">
        <v>984</v>
      </c>
      <c r="BJ131" s="331" t="s">
        <v>984</v>
      </c>
      <c r="BK131" s="331" t="s">
        <v>984</v>
      </c>
      <c r="BL131" s="331" t="s">
        <v>984</v>
      </c>
      <c r="BM131" s="331" t="s">
        <v>984</v>
      </c>
      <c r="BN131" s="331" t="s">
        <v>984</v>
      </c>
      <c r="BO131" s="331" t="s">
        <v>984</v>
      </c>
      <c r="BP131" s="331" t="s">
        <v>984</v>
      </c>
      <c r="BQ131" s="331" t="s">
        <v>984</v>
      </c>
      <c r="BR131" s="331" t="s">
        <v>190</v>
      </c>
      <c r="BS131" s="331" t="s">
        <v>190</v>
      </c>
      <c r="BT131" s="331" t="s">
        <v>190</v>
      </c>
      <c r="BU131" s="331" t="s">
        <v>428</v>
      </c>
      <c r="BV131" s="331" t="s">
        <v>428</v>
      </c>
      <c r="BW131" s="331" t="s">
        <v>428</v>
      </c>
      <c r="BX131" s="331" t="s">
        <v>984</v>
      </c>
      <c r="BY131" s="331" t="s">
        <v>984</v>
      </c>
      <c r="BZ131" s="331" t="s">
        <v>984</v>
      </c>
      <c r="CA131" s="331" t="s">
        <v>984</v>
      </c>
      <c r="CB131" s="331" t="s">
        <v>984</v>
      </c>
      <c r="CC131" s="331" t="s">
        <v>984</v>
      </c>
      <c r="CD131" s="331" t="s">
        <v>984</v>
      </c>
      <c r="CE131" s="331" t="s">
        <v>984</v>
      </c>
      <c r="CF131" s="331" t="s">
        <v>984</v>
      </c>
      <c r="CG131" s="331" t="s">
        <v>984</v>
      </c>
      <c r="CH131" s="331" t="s">
        <v>984</v>
      </c>
      <c r="CI131" s="331" t="s">
        <v>984</v>
      </c>
      <c r="CJ131" s="331" t="s">
        <v>984</v>
      </c>
      <c r="CK131" s="331" t="s">
        <v>984</v>
      </c>
      <c r="CL131" s="331" t="s">
        <v>984</v>
      </c>
      <c r="CM131" s="331" t="s">
        <v>984</v>
      </c>
      <c r="CN131" s="331" t="s">
        <v>984</v>
      </c>
      <c r="CO131" s="331" t="s">
        <v>984</v>
      </c>
      <c r="CP131" s="331" t="s">
        <v>984</v>
      </c>
      <c r="CQ131" s="331" t="s">
        <v>984</v>
      </c>
      <c r="CR131" s="331" t="s">
        <v>984</v>
      </c>
      <c r="CS131" s="331" t="s">
        <v>984</v>
      </c>
      <c r="CT131" s="331" t="s">
        <v>984</v>
      </c>
      <c r="CU131" s="331" t="s">
        <v>428</v>
      </c>
      <c r="CV131" s="331" t="s">
        <v>984</v>
      </c>
      <c r="CW131" s="331" t="s">
        <v>984</v>
      </c>
      <c r="CX131" s="331" t="s">
        <v>984</v>
      </c>
      <c r="CY131" s="331" t="s">
        <v>984</v>
      </c>
      <c r="CZ131" s="331" t="s">
        <v>984</v>
      </c>
      <c r="DA131" s="331" t="s">
        <v>984</v>
      </c>
      <c r="DB131" s="331" t="s">
        <v>984</v>
      </c>
      <c r="DC131" s="331" t="s">
        <v>984</v>
      </c>
      <c r="DD131" s="331" t="s">
        <v>984</v>
      </c>
      <c r="DE131" s="331" t="s">
        <v>984</v>
      </c>
      <c r="DF131" s="331" t="s">
        <v>984</v>
      </c>
      <c r="DG131" s="331" t="s">
        <v>984</v>
      </c>
      <c r="DH131" s="331" t="s">
        <v>984</v>
      </c>
      <c r="DI131" s="331" t="s">
        <v>984</v>
      </c>
      <c r="DJ131" s="331" t="s">
        <v>428</v>
      </c>
      <c r="DK131" s="331" t="s">
        <v>984</v>
      </c>
      <c r="DL131" s="331" t="s">
        <v>984</v>
      </c>
      <c r="DM131" s="331" t="s">
        <v>984</v>
      </c>
      <c r="DN131" s="331" t="s">
        <v>984</v>
      </c>
      <c r="DO131" s="331" t="s">
        <v>984</v>
      </c>
      <c r="DP131" s="331" t="s">
        <v>984</v>
      </c>
      <c r="DQ131" s="331" t="s">
        <v>984</v>
      </c>
      <c r="DR131" s="331" t="s">
        <v>984</v>
      </c>
      <c r="DS131" s="331" t="s">
        <v>984</v>
      </c>
      <c r="DT131" s="331" t="s">
        <v>984</v>
      </c>
      <c r="DU131" s="331" t="s">
        <v>984</v>
      </c>
      <c r="DV131" s="331" t="s">
        <v>984</v>
      </c>
      <c r="DW131" s="331" t="s">
        <v>984</v>
      </c>
      <c r="DX131" s="331" t="s">
        <v>984</v>
      </c>
      <c r="DY131" s="331" t="s">
        <v>984</v>
      </c>
      <c r="DZ131" s="331" t="s">
        <v>984</v>
      </c>
      <c r="EA131" s="331" t="s">
        <v>984</v>
      </c>
      <c r="EB131" s="331" t="s">
        <v>984</v>
      </c>
      <c r="EC131" s="331" t="s">
        <v>984</v>
      </c>
      <c r="ED131" s="331" t="s">
        <v>984</v>
      </c>
      <c r="EE131" s="331" t="s">
        <v>984</v>
      </c>
      <c r="EF131" s="331" t="s">
        <v>984</v>
      </c>
      <c r="EG131" s="331" t="s">
        <v>984</v>
      </c>
      <c r="EH131" s="331" t="s">
        <v>984</v>
      </c>
      <c r="EI131" s="331" t="s">
        <v>984</v>
      </c>
      <c r="EJ131" s="331" t="s">
        <v>984</v>
      </c>
      <c r="EK131" s="331" t="s">
        <v>984</v>
      </c>
      <c r="EL131" s="331" t="s">
        <v>984</v>
      </c>
      <c r="EM131" s="331" t="s">
        <v>984</v>
      </c>
      <c r="EN131" s="331" t="s">
        <v>984</v>
      </c>
      <c r="EO131" s="331" t="s">
        <v>984</v>
      </c>
      <c r="EP131" s="331" t="s">
        <v>984</v>
      </c>
      <c r="EQ131" s="331" t="s">
        <v>984</v>
      </c>
      <c r="ER131" s="331" t="s">
        <v>984</v>
      </c>
      <c r="ES131" s="331" t="s">
        <v>190</v>
      </c>
      <c r="ET131" s="331" t="s">
        <v>984</v>
      </c>
      <c r="EU131" s="331" t="s">
        <v>984</v>
      </c>
      <c r="EV131" s="331" t="s">
        <v>190</v>
      </c>
      <c r="EW131" s="331" t="s">
        <v>984</v>
      </c>
      <c r="EX131" s="331" t="s">
        <v>984</v>
      </c>
      <c r="EY131" s="331" t="s">
        <v>984</v>
      </c>
      <c r="EZ131" s="331" t="s">
        <v>428</v>
      </c>
      <c r="FA131" s="331" t="s">
        <v>984</v>
      </c>
      <c r="FB131" s="331" t="s">
        <v>984</v>
      </c>
      <c r="FC131" s="331" t="s">
        <v>984</v>
      </c>
      <c r="FD131" s="331" t="s">
        <v>984</v>
      </c>
      <c r="FE131" s="331" t="s">
        <v>984</v>
      </c>
      <c r="FF131" s="331" t="s">
        <v>984</v>
      </c>
      <c r="FG131" s="331" t="s">
        <v>984</v>
      </c>
      <c r="FH131" s="331" t="s">
        <v>984</v>
      </c>
      <c r="FI131" s="331" t="s">
        <v>984</v>
      </c>
      <c r="FJ131" s="331" t="s">
        <v>984</v>
      </c>
      <c r="FK131" s="331" t="s">
        <v>984</v>
      </c>
      <c r="FL131" s="331" t="s">
        <v>984</v>
      </c>
      <c r="FM131" s="331" t="s">
        <v>984</v>
      </c>
      <c r="FN131" s="331" t="s">
        <v>984</v>
      </c>
      <c r="FO131" s="331" t="s">
        <v>984</v>
      </c>
      <c r="FP131" s="331" t="s">
        <v>984</v>
      </c>
      <c r="FQ131" s="331" t="s">
        <v>984</v>
      </c>
      <c r="FR131" s="331" t="s">
        <v>428</v>
      </c>
      <c r="FS131" s="331" t="s">
        <v>190</v>
      </c>
      <c r="FT131" s="331" t="s">
        <v>984</v>
      </c>
      <c r="FU131" s="331" t="s">
        <v>984</v>
      </c>
      <c r="FV131" s="331" t="s">
        <v>190</v>
      </c>
      <c r="FW131" s="331" t="s">
        <v>984</v>
      </c>
      <c r="FX131" s="331" t="s">
        <v>428</v>
      </c>
      <c r="FY131" s="331" t="s">
        <v>984</v>
      </c>
      <c r="FZ131" s="331" t="s">
        <v>984</v>
      </c>
      <c r="GA131" s="331" t="s">
        <v>984</v>
      </c>
      <c r="GB131" s="331" t="s">
        <v>984</v>
      </c>
      <c r="GC131" s="331" t="s">
        <v>984</v>
      </c>
      <c r="GD131" s="331" t="s">
        <v>984</v>
      </c>
      <c r="GE131" s="331" t="s">
        <v>984</v>
      </c>
      <c r="GF131" s="331" t="s">
        <v>984</v>
      </c>
      <c r="GG131" s="331" t="s">
        <v>428</v>
      </c>
      <c r="GH131" s="331" t="s">
        <v>984</v>
      </c>
      <c r="GI131" s="331" t="s">
        <v>984</v>
      </c>
      <c r="GJ131" s="331" t="s">
        <v>984</v>
      </c>
      <c r="GK131" s="331" t="s">
        <v>984</v>
      </c>
      <c r="GL131" s="331" t="s">
        <v>984</v>
      </c>
      <c r="GM131" s="331" t="s">
        <v>984</v>
      </c>
      <c r="GN131" s="331" t="s">
        <v>984</v>
      </c>
      <c r="GO131" s="331" t="s">
        <v>984</v>
      </c>
      <c r="GP131" s="331" t="s">
        <v>984</v>
      </c>
      <c r="GQ131" s="331" t="s">
        <v>984</v>
      </c>
      <c r="GR131" s="331" t="s">
        <v>984</v>
      </c>
      <c r="GS131" s="331" t="s">
        <v>984</v>
      </c>
      <c r="GT131" s="331" t="s">
        <v>984</v>
      </c>
      <c r="GU131" s="331" t="s">
        <v>984</v>
      </c>
      <c r="GV131" s="331" t="s">
        <v>984</v>
      </c>
      <c r="GW131" s="331" t="s">
        <v>984</v>
      </c>
      <c r="GX131" s="331" t="s">
        <v>984</v>
      </c>
      <c r="GY131" s="331" t="s">
        <v>984</v>
      </c>
      <c r="GZ131" s="331" t="s">
        <v>984</v>
      </c>
      <c r="HA131" s="331" t="s">
        <v>984</v>
      </c>
      <c r="HB131" s="331" t="s">
        <v>984</v>
      </c>
      <c r="HC131" s="331" t="s">
        <v>984</v>
      </c>
      <c r="HD131" s="331" t="s">
        <v>984</v>
      </c>
      <c r="HE131" s="331" t="s">
        <v>984</v>
      </c>
      <c r="HF131" s="331" t="s">
        <v>984</v>
      </c>
      <c r="HG131" s="331" t="s">
        <v>984</v>
      </c>
      <c r="HH131" s="331" t="s">
        <v>984</v>
      </c>
      <c r="HI131" s="331" t="s">
        <v>984</v>
      </c>
      <c r="HJ131" s="331" t="s">
        <v>984</v>
      </c>
      <c r="HK131" s="331" t="s">
        <v>984</v>
      </c>
      <c r="HL131" s="331" t="s">
        <v>984</v>
      </c>
      <c r="HM131" s="331" t="s">
        <v>191</v>
      </c>
      <c r="HN131" s="331" t="s">
        <v>191</v>
      </c>
      <c r="HO131" s="331" t="s">
        <v>191</v>
      </c>
      <c r="HP131" s="331" t="s">
        <v>984</v>
      </c>
      <c r="HQ131" s="331" t="s">
        <v>170</v>
      </c>
      <c r="HR131" s="331" t="s">
        <v>429</v>
      </c>
      <c r="HS131" s="331" t="s">
        <v>169</v>
      </c>
      <c r="HT131" s="331" t="s">
        <v>427</v>
      </c>
      <c r="HU131" s="331" t="s">
        <v>984</v>
      </c>
      <c r="HV131" s="331" t="s">
        <v>984</v>
      </c>
    </row>
    <row r="132" spans="1:230" s="70" customFormat="1" x14ac:dyDescent="0.25">
      <c r="A132" s="330" t="str">
        <f>HYPERLINK("http://www.ofsted.gov.uk/inspection-reports/find-inspection-report/provider/ELS/135673 ","Ofsted School Webpage")</f>
        <v>Ofsted School Webpage</v>
      </c>
      <c r="B132" s="331">
        <v>135673</v>
      </c>
      <c r="C132" s="331">
        <v>9336216</v>
      </c>
      <c r="D132" s="331" t="s">
        <v>789</v>
      </c>
      <c r="E132" s="331" t="s">
        <v>168</v>
      </c>
      <c r="F132" s="331" t="s">
        <v>422</v>
      </c>
      <c r="G132" s="331" t="s">
        <v>422</v>
      </c>
      <c r="H132" s="331" t="s">
        <v>466</v>
      </c>
      <c r="I132" s="331" t="s">
        <v>790</v>
      </c>
      <c r="J132" s="331" t="s">
        <v>81</v>
      </c>
      <c r="K132" s="331" t="s">
        <v>81</v>
      </c>
      <c r="L132" s="331" t="s">
        <v>81</v>
      </c>
      <c r="M132" s="331" t="s">
        <v>78</v>
      </c>
      <c r="N132" s="331" t="s">
        <v>424</v>
      </c>
      <c r="O132" s="331">
        <v>10124986</v>
      </c>
      <c r="P132" s="332">
        <v>43795</v>
      </c>
      <c r="Q132" s="332">
        <v>43795</v>
      </c>
      <c r="R132" s="332">
        <v>43816</v>
      </c>
      <c r="S132" s="331" t="s">
        <v>981</v>
      </c>
      <c r="T132" s="331" t="s">
        <v>982</v>
      </c>
      <c r="U132" s="331" t="s">
        <v>427</v>
      </c>
      <c r="V132" s="331" t="s">
        <v>983</v>
      </c>
      <c r="W132" s="331" t="s">
        <v>984</v>
      </c>
      <c r="X132" s="331" t="s">
        <v>984</v>
      </c>
      <c r="Y132" s="331" t="s">
        <v>984</v>
      </c>
      <c r="Z132" s="331" t="s">
        <v>984</v>
      </c>
      <c r="AA132" s="331" t="s">
        <v>984</v>
      </c>
      <c r="AB132" s="331" t="s">
        <v>984</v>
      </c>
      <c r="AC132" s="331" t="s">
        <v>984</v>
      </c>
      <c r="AD132" s="331" t="s">
        <v>984</v>
      </c>
      <c r="AE132" s="331" t="s">
        <v>984</v>
      </c>
      <c r="AF132" s="331" t="s">
        <v>984</v>
      </c>
      <c r="AG132" s="331" t="s">
        <v>984</v>
      </c>
      <c r="AH132" s="331" t="s">
        <v>984</v>
      </c>
      <c r="AI132" s="331" t="s">
        <v>984</v>
      </c>
      <c r="AJ132" s="331" t="s">
        <v>984</v>
      </c>
      <c r="AK132" s="331" t="s">
        <v>984</v>
      </c>
      <c r="AL132" s="331" t="s">
        <v>984</v>
      </c>
      <c r="AM132" s="331" t="s">
        <v>984</v>
      </c>
      <c r="AN132" s="331" t="s">
        <v>984</v>
      </c>
      <c r="AO132" s="331" t="s">
        <v>984</v>
      </c>
      <c r="AP132" s="331" t="s">
        <v>984</v>
      </c>
      <c r="AQ132" s="331" t="s">
        <v>984</v>
      </c>
      <c r="AR132" s="331" t="s">
        <v>984</v>
      </c>
      <c r="AS132" s="331" t="s">
        <v>984</v>
      </c>
      <c r="AT132" s="331" t="s">
        <v>984</v>
      </c>
      <c r="AU132" s="331" t="s">
        <v>984</v>
      </c>
      <c r="AV132" s="331" t="s">
        <v>984</v>
      </c>
      <c r="AW132" s="331" t="s">
        <v>984</v>
      </c>
      <c r="AX132" s="331" t="s">
        <v>984</v>
      </c>
      <c r="AY132" s="331" t="s">
        <v>984</v>
      </c>
      <c r="AZ132" s="331" t="s">
        <v>984</v>
      </c>
      <c r="BA132" s="331" t="s">
        <v>984</v>
      </c>
      <c r="BB132" s="331" t="s">
        <v>984</v>
      </c>
      <c r="BC132" s="331" t="s">
        <v>984</v>
      </c>
      <c r="BD132" s="331" t="s">
        <v>984</v>
      </c>
      <c r="BE132" s="331" t="s">
        <v>984</v>
      </c>
      <c r="BF132" s="331" t="s">
        <v>984</v>
      </c>
      <c r="BG132" s="331" t="s">
        <v>984</v>
      </c>
      <c r="BH132" s="331" t="s">
        <v>984</v>
      </c>
      <c r="BI132" s="331" t="s">
        <v>984</v>
      </c>
      <c r="BJ132" s="331" t="s">
        <v>984</v>
      </c>
      <c r="BK132" s="331" t="s">
        <v>984</v>
      </c>
      <c r="BL132" s="331" t="s">
        <v>984</v>
      </c>
      <c r="BM132" s="331" t="s">
        <v>984</v>
      </c>
      <c r="BN132" s="331" t="s">
        <v>984</v>
      </c>
      <c r="BO132" s="331" t="s">
        <v>984</v>
      </c>
      <c r="BP132" s="331" t="s">
        <v>984</v>
      </c>
      <c r="BQ132" s="331" t="s">
        <v>984</v>
      </c>
      <c r="BR132" s="331" t="s">
        <v>190</v>
      </c>
      <c r="BS132" s="331" t="s">
        <v>190</v>
      </c>
      <c r="BT132" s="331" t="s">
        <v>190</v>
      </c>
      <c r="BU132" s="331" t="s">
        <v>984</v>
      </c>
      <c r="BV132" s="331" t="s">
        <v>984</v>
      </c>
      <c r="BW132" s="331" t="s">
        <v>984</v>
      </c>
      <c r="BX132" s="331" t="s">
        <v>984</v>
      </c>
      <c r="BY132" s="331" t="s">
        <v>984</v>
      </c>
      <c r="BZ132" s="331" t="s">
        <v>984</v>
      </c>
      <c r="CA132" s="331" t="s">
        <v>984</v>
      </c>
      <c r="CB132" s="331" t="s">
        <v>984</v>
      </c>
      <c r="CC132" s="331" t="s">
        <v>190</v>
      </c>
      <c r="CD132" s="331" t="s">
        <v>190</v>
      </c>
      <c r="CE132" s="331" t="s">
        <v>984</v>
      </c>
      <c r="CF132" s="331" t="s">
        <v>190</v>
      </c>
      <c r="CG132" s="331" t="s">
        <v>984</v>
      </c>
      <c r="CH132" s="331" t="s">
        <v>190</v>
      </c>
      <c r="CI132" s="331" t="s">
        <v>190</v>
      </c>
      <c r="CJ132" s="331" t="s">
        <v>190</v>
      </c>
      <c r="CK132" s="331" t="s">
        <v>190</v>
      </c>
      <c r="CL132" s="331" t="s">
        <v>190</v>
      </c>
      <c r="CM132" s="331" t="s">
        <v>190</v>
      </c>
      <c r="CN132" s="331" t="s">
        <v>190</v>
      </c>
      <c r="CO132" s="331" t="s">
        <v>190</v>
      </c>
      <c r="CP132" s="331" t="s">
        <v>190</v>
      </c>
      <c r="CQ132" s="331" t="s">
        <v>190</v>
      </c>
      <c r="CR132" s="331" t="s">
        <v>190</v>
      </c>
      <c r="CS132" s="331" t="s">
        <v>190</v>
      </c>
      <c r="CT132" s="331" t="s">
        <v>190</v>
      </c>
      <c r="CU132" s="331" t="s">
        <v>428</v>
      </c>
      <c r="CV132" s="331" t="s">
        <v>190</v>
      </c>
      <c r="CW132" s="331" t="s">
        <v>190</v>
      </c>
      <c r="CX132" s="331" t="s">
        <v>190</v>
      </c>
      <c r="CY132" s="331" t="s">
        <v>190</v>
      </c>
      <c r="CZ132" s="331" t="s">
        <v>190</v>
      </c>
      <c r="DA132" s="331" t="s">
        <v>190</v>
      </c>
      <c r="DB132" s="331" t="s">
        <v>190</v>
      </c>
      <c r="DC132" s="331" t="s">
        <v>190</v>
      </c>
      <c r="DD132" s="331" t="s">
        <v>190</v>
      </c>
      <c r="DE132" s="331" t="s">
        <v>190</v>
      </c>
      <c r="DF132" s="331" t="s">
        <v>190</v>
      </c>
      <c r="DG132" s="331" t="s">
        <v>190</v>
      </c>
      <c r="DH132" s="331" t="s">
        <v>190</v>
      </c>
      <c r="DI132" s="331" t="s">
        <v>190</v>
      </c>
      <c r="DJ132" s="331" t="s">
        <v>428</v>
      </c>
      <c r="DK132" s="331" t="s">
        <v>190</v>
      </c>
      <c r="DL132" s="331" t="s">
        <v>190</v>
      </c>
      <c r="DM132" s="331" t="s">
        <v>190</v>
      </c>
      <c r="DN132" s="331" t="s">
        <v>190</v>
      </c>
      <c r="DO132" s="331" t="s">
        <v>190</v>
      </c>
      <c r="DP132" s="331" t="s">
        <v>190</v>
      </c>
      <c r="DQ132" s="331" t="s">
        <v>190</v>
      </c>
      <c r="DR132" s="331" t="s">
        <v>190</v>
      </c>
      <c r="DS132" s="331" t="s">
        <v>190</v>
      </c>
      <c r="DT132" s="331" t="s">
        <v>190</v>
      </c>
      <c r="DU132" s="331" t="s">
        <v>190</v>
      </c>
      <c r="DV132" s="331" t="s">
        <v>190</v>
      </c>
      <c r="DW132" s="331" t="s">
        <v>190</v>
      </c>
      <c r="DX132" s="331" t="s">
        <v>190</v>
      </c>
      <c r="DY132" s="331" t="s">
        <v>190</v>
      </c>
      <c r="DZ132" s="331" t="s">
        <v>190</v>
      </c>
      <c r="EA132" s="331" t="s">
        <v>190</v>
      </c>
      <c r="EB132" s="331" t="s">
        <v>190</v>
      </c>
      <c r="EC132" s="331" t="s">
        <v>190</v>
      </c>
      <c r="ED132" s="331" t="s">
        <v>190</v>
      </c>
      <c r="EE132" s="331" t="s">
        <v>190</v>
      </c>
      <c r="EF132" s="331" t="s">
        <v>190</v>
      </c>
      <c r="EG132" s="331" t="s">
        <v>190</v>
      </c>
      <c r="EH132" s="331" t="s">
        <v>190</v>
      </c>
      <c r="EI132" s="331" t="s">
        <v>190</v>
      </c>
      <c r="EJ132" s="331" t="s">
        <v>190</v>
      </c>
      <c r="EK132" s="331" t="s">
        <v>190</v>
      </c>
      <c r="EL132" s="331" t="s">
        <v>190</v>
      </c>
      <c r="EM132" s="331" t="s">
        <v>190</v>
      </c>
      <c r="EN132" s="331" t="s">
        <v>190</v>
      </c>
      <c r="EO132" s="331" t="s">
        <v>190</v>
      </c>
      <c r="EP132" s="331" t="s">
        <v>190</v>
      </c>
      <c r="EQ132" s="331" t="s">
        <v>190</v>
      </c>
      <c r="ER132" s="331" t="s">
        <v>190</v>
      </c>
      <c r="ES132" s="331" t="s">
        <v>190</v>
      </c>
      <c r="ET132" s="331" t="s">
        <v>190</v>
      </c>
      <c r="EU132" s="331" t="s">
        <v>190</v>
      </c>
      <c r="EV132" s="331" t="s">
        <v>190</v>
      </c>
      <c r="EW132" s="331" t="s">
        <v>190</v>
      </c>
      <c r="EX132" s="331" t="s">
        <v>190</v>
      </c>
      <c r="EY132" s="331" t="s">
        <v>190</v>
      </c>
      <c r="EZ132" s="331" t="s">
        <v>428</v>
      </c>
      <c r="FA132" s="331" t="s">
        <v>190</v>
      </c>
      <c r="FB132" s="331" t="s">
        <v>190</v>
      </c>
      <c r="FC132" s="331" t="s">
        <v>190</v>
      </c>
      <c r="FD132" s="331" t="s">
        <v>190</v>
      </c>
      <c r="FE132" s="331" t="s">
        <v>190</v>
      </c>
      <c r="FF132" s="331" t="s">
        <v>190</v>
      </c>
      <c r="FG132" s="331" t="s">
        <v>190</v>
      </c>
      <c r="FH132" s="331" t="s">
        <v>190</v>
      </c>
      <c r="FI132" s="331" t="s">
        <v>190</v>
      </c>
      <c r="FJ132" s="331" t="s">
        <v>190</v>
      </c>
      <c r="FK132" s="331" t="s">
        <v>190</v>
      </c>
      <c r="FL132" s="331" t="s">
        <v>190</v>
      </c>
      <c r="FM132" s="331" t="s">
        <v>190</v>
      </c>
      <c r="FN132" s="331" t="s">
        <v>190</v>
      </c>
      <c r="FO132" s="331" t="s">
        <v>190</v>
      </c>
      <c r="FP132" s="331" t="s">
        <v>190</v>
      </c>
      <c r="FQ132" s="331" t="s">
        <v>190</v>
      </c>
      <c r="FR132" s="331" t="s">
        <v>428</v>
      </c>
      <c r="FS132" s="331" t="s">
        <v>984</v>
      </c>
      <c r="FT132" s="331" t="s">
        <v>984</v>
      </c>
      <c r="FU132" s="331" t="s">
        <v>984</v>
      </c>
      <c r="FV132" s="331" t="s">
        <v>984</v>
      </c>
      <c r="FW132" s="331" t="s">
        <v>984</v>
      </c>
      <c r="FX132" s="331" t="s">
        <v>984</v>
      </c>
      <c r="FY132" s="331" t="s">
        <v>984</v>
      </c>
      <c r="FZ132" s="331" t="s">
        <v>984</v>
      </c>
      <c r="GA132" s="331" t="s">
        <v>984</v>
      </c>
      <c r="GB132" s="331" t="s">
        <v>984</v>
      </c>
      <c r="GC132" s="331" t="s">
        <v>984</v>
      </c>
      <c r="GD132" s="331" t="s">
        <v>984</v>
      </c>
      <c r="GE132" s="331" t="s">
        <v>984</v>
      </c>
      <c r="GF132" s="331" t="s">
        <v>984</v>
      </c>
      <c r="GG132" s="331" t="s">
        <v>984</v>
      </c>
      <c r="GH132" s="331" t="s">
        <v>984</v>
      </c>
      <c r="GI132" s="331" t="s">
        <v>984</v>
      </c>
      <c r="GJ132" s="331" t="s">
        <v>984</v>
      </c>
      <c r="GK132" s="331" t="s">
        <v>984</v>
      </c>
      <c r="GL132" s="331" t="s">
        <v>984</v>
      </c>
      <c r="GM132" s="331" t="s">
        <v>984</v>
      </c>
      <c r="GN132" s="331" t="s">
        <v>984</v>
      </c>
      <c r="GO132" s="331" t="s">
        <v>984</v>
      </c>
      <c r="GP132" s="331" t="s">
        <v>984</v>
      </c>
      <c r="GQ132" s="331" t="s">
        <v>984</v>
      </c>
      <c r="GR132" s="331" t="s">
        <v>984</v>
      </c>
      <c r="GS132" s="331" t="s">
        <v>984</v>
      </c>
      <c r="GT132" s="331" t="s">
        <v>984</v>
      </c>
      <c r="GU132" s="331" t="s">
        <v>984</v>
      </c>
      <c r="GV132" s="331" t="s">
        <v>984</v>
      </c>
      <c r="GW132" s="331" t="s">
        <v>984</v>
      </c>
      <c r="GX132" s="331" t="s">
        <v>984</v>
      </c>
      <c r="GY132" s="331" t="s">
        <v>984</v>
      </c>
      <c r="GZ132" s="331" t="s">
        <v>984</v>
      </c>
      <c r="HA132" s="331" t="s">
        <v>984</v>
      </c>
      <c r="HB132" s="331" t="s">
        <v>984</v>
      </c>
      <c r="HC132" s="331" t="s">
        <v>984</v>
      </c>
      <c r="HD132" s="331" t="s">
        <v>984</v>
      </c>
      <c r="HE132" s="331" t="s">
        <v>984</v>
      </c>
      <c r="HF132" s="331" t="s">
        <v>984</v>
      </c>
      <c r="HG132" s="331" t="s">
        <v>984</v>
      </c>
      <c r="HH132" s="331" t="s">
        <v>984</v>
      </c>
      <c r="HI132" s="331" t="s">
        <v>984</v>
      </c>
      <c r="HJ132" s="331" t="s">
        <v>984</v>
      </c>
      <c r="HK132" s="331" t="s">
        <v>984</v>
      </c>
      <c r="HL132" s="331" t="s">
        <v>984</v>
      </c>
      <c r="HM132" s="331" t="s">
        <v>190</v>
      </c>
      <c r="HN132" s="331" t="s">
        <v>190</v>
      </c>
      <c r="HO132" s="331" t="s">
        <v>190</v>
      </c>
      <c r="HP132" s="331" t="s">
        <v>190</v>
      </c>
      <c r="HQ132" s="331" t="s">
        <v>170</v>
      </c>
      <c r="HR132" s="331" t="s">
        <v>429</v>
      </c>
      <c r="HS132" s="331" t="s">
        <v>169</v>
      </c>
      <c r="HT132" s="331" t="s">
        <v>427</v>
      </c>
      <c r="HU132" s="331" t="s">
        <v>984</v>
      </c>
      <c r="HV132" s="331" t="s">
        <v>984</v>
      </c>
    </row>
    <row r="133" spans="1:230" s="70" customFormat="1" x14ac:dyDescent="0.25">
      <c r="A133" s="330" t="str">
        <f>HYPERLINK("http://www.ofsted.gov.uk/inspection-reports/find-inspection-report/provider/ELS/113562 ","Ofsted School Webpage")</f>
        <v>Ofsted School Webpage</v>
      </c>
      <c r="B133" s="331">
        <v>113562</v>
      </c>
      <c r="C133" s="331">
        <v>8786001</v>
      </c>
      <c r="D133" s="331" t="s">
        <v>817</v>
      </c>
      <c r="E133" s="331" t="s">
        <v>167</v>
      </c>
      <c r="F133" s="331" t="s">
        <v>422</v>
      </c>
      <c r="G133" s="331" t="s">
        <v>422</v>
      </c>
      <c r="H133" s="331" t="s">
        <v>663</v>
      </c>
      <c r="I133" s="331" t="s">
        <v>818</v>
      </c>
      <c r="J133" s="331" t="s">
        <v>81</v>
      </c>
      <c r="K133" s="331" t="s">
        <v>81</v>
      </c>
      <c r="L133" s="331" t="s">
        <v>81</v>
      </c>
      <c r="M133" s="331" t="s">
        <v>78</v>
      </c>
      <c r="N133" s="331" t="s">
        <v>424</v>
      </c>
      <c r="O133" s="331">
        <v>10120985</v>
      </c>
      <c r="P133" s="332">
        <v>43797</v>
      </c>
      <c r="Q133" s="332">
        <v>43797</v>
      </c>
      <c r="R133" s="332">
        <v>43816</v>
      </c>
      <c r="S133" s="331" t="s">
        <v>985</v>
      </c>
      <c r="T133" s="331" t="s">
        <v>982</v>
      </c>
      <c r="U133" s="331" t="s">
        <v>427</v>
      </c>
      <c r="V133" s="331" t="s">
        <v>166</v>
      </c>
      <c r="W133" s="331" t="s">
        <v>984</v>
      </c>
      <c r="X133" s="331" t="s">
        <v>984</v>
      </c>
      <c r="Y133" s="331" t="s">
        <v>984</v>
      </c>
      <c r="Z133" s="331" t="s">
        <v>984</v>
      </c>
      <c r="AA133" s="331" t="s">
        <v>984</v>
      </c>
      <c r="AB133" s="331" t="s">
        <v>984</v>
      </c>
      <c r="AC133" s="331" t="s">
        <v>984</v>
      </c>
      <c r="AD133" s="331" t="s">
        <v>984</v>
      </c>
      <c r="AE133" s="331" t="s">
        <v>984</v>
      </c>
      <c r="AF133" s="331" t="s">
        <v>984</v>
      </c>
      <c r="AG133" s="331" t="s">
        <v>984</v>
      </c>
      <c r="AH133" s="331" t="s">
        <v>984</v>
      </c>
      <c r="AI133" s="331" t="s">
        <v>984</v>
      </c>
      <c r="AJ133" s="331" t="s">
        <v>984</v>
      </c>
      <c r="AK133" s="331" t="s">
        <v>984</v>
      </c>
      <c r="AL133" s="331" t="s">
        <v>984</v>
      </c>
      <c r="AM133" s="331" t="s">
        <v>984</v>
      </c>
      <c r="AN133" s="331" t="s">
        <v>984</v>
      </c>
      <c r="AO133" s="331" t="s">
        <v>984</v>
      </c>
      <c r="AP133" s="331" t="s">
        <v>984</v>
      </c>
      <c r="AQ133" s="331" t="s">
        <v>984</v>
      </c>
      <c r="AR133" s="331" t="s">
        <v>984</v>
      </c>
      <c r="AS133" s="331" t="s">
        <v>984</v>
      </c>
      <c r="AT133" s="331" t="s">
        <v>984</v>
      </c>
      <c r="AU133" s="331" t="s">
        <v>984</v>
      </c>
      <c r="AV133" s="331" t="s">
        <v>984</v>
      </c>
      <c r="AW133" s="331" t="s">
        <v>984</v>
      </c>
      <c r="AX133" s="331" t="s">
        <v>984</v>
      </c>
      <c r="AY133" s="331" t="s">
        <v>984</v>
      </c>
      <c r="AZ133" s="331" t="s">
        <v>984</v>
      </c>
      <c r="BA133" s="331" t="s">
        <v>984</v>
      </c>
      <c r="BB133" s="331" t="s">
        <v>984</v>
      </c>
      <c r="BC133" s="331" t="s">
        <v>984</v>
      </c>
      <c r="BD133" s="331" t="s">
        <v>984</v>
      </c>
      <c r="BE133" s="331" t="s">
        <v>984</v>
      </c>
      <c r="BF133" s="331" t="s">
        <v>984</v>
      </c>
      <c r="BG133" s="331" t="s">
        <v>984</v>
      </c>
      <c r="BH133" s="331" t="s">
        <v>984</v>
      </c>
      <c r="BI133" s="331" t="s">
        <v>984</v>
      </c>
      <c r="BJ133" s="331" t="s">
        <v>984</v>
      </c>
      <c r="BK133" s="331" t="s">
        <v>984</v>
      </c>
      <c r="BL133" s="331" t="s">
        <v>984</v>
      </c>
      <c r="BM133" s="331" t="s">
        <v>984</v>
      </c>
      <c r="BN133" s="331" t="s">
        <v>984</v>
      </c>
      <c r="BO133" s="331" t="s">
        <v>984</v>
      </c>
      <c r="BP133" s="331" t="s">
        <v>984</v>
      </c>
      <c r="BQ133" s="331" t="s">
        <v>984</v>
      </c>
      <c r="BR133" s="331" t="s">
        <v>191</v>
      </c>
      <c r="BS133" s="331" t="s">
        <v>191</v>
      </c>
      <c r="BT133" s="331" t="s">
        <v>190</v>
      </c>
      <c r="BU133" s="331" t="s">
        <v>984</v>
      </c>
      <c r="BV133" s="331" t="s">
        <v>984</v>
      </c>
      <c r="BW133" s="331" t="s">
        <v>984</v>
      </c>
      <c r="BX133" s="331" t="s">
        <v>984</v>
      </c>
      <c r="BY133" s="331" t="s">
        <v>984</v>
      </c>
      <c r="BZ133" s="331" t="s">
        <v>984</v>
      </c>
      <c r="CA133" s="331" t="s">
        <v>984</v>
      </c>
      <c r="CB133" s="331" t="s">
        <v>984</v>
      </c>
      <c r="CC133" s="331" t="s">
        <v>191</v>
      </c>
      <c r="CD133" s="331" t="s">
        <v>191</v>
      </c>
      <c r="CE133" s="331" t="s">
        <v>984</v>
      </c>
      <c r="CF133" s="331" t="s">
        <v>984</v>
      </c>
      <c r="CG133" s="331" t="s">
        <v>984</v>
      </c>
      <c r="CH133" s="331" t="s">
        <v>191</v>
      </c>
      <c r="CI133" s="331" t="s">
        <v>191</v>
      </c>
      <c r="CJ133" s="331" t="s">
        <v>191</v>
      </c>
      <c r="CK133" s="331" t="s">
        <v>984</v>
      </c>
      <c r="CL133" s="331" t="s">
        <v>984</v>
      </c>
      <c r="CM133" s="331" t="s">
        <v>984</v>
      </c>
      <c r="CN133" s="331" t="s">
        <v>984</v>
      </c>
      <c r="CO133" s="331" t="s">
        <v>984</v>
      </c>
      <c r="CP133" s="331" t="s">
        <v>984</v>
      </c>
      <c r="CQ133" s="331" t="s">
        <v>984</v>
      </c>
      <c r="CR133" s="331" t="s">
        <v>984</v>
      </c>
      <c r="CS133" s="331" t="s">
        <v>984</v>
      </c>
      <c r="CT133" s="331" t="s">
        <v>984</v>
      </c>
      <c r="CU133" s="331" t="s">
        <v>984</v>
      </c>
      <c r="CV133" s="331" t="s">
        <v>984</v>
      </c>
      <c r="CW133" s="331" t="s">
        <v>984</v>
      </c>
      <c r="CX133" s="331" t="s">
        <v>984</v>
      </c>
      <c r="CY133" s="331" t="s">
        <v>984</v>
      </c>
      <c r="CZ133" s="331" t="s">
        <v>984</v>
      </c>
      <c r="DA133" s="331" t="s">
        <v>984</v>
      </c>
      <c r="DB133" s="331" t="s">
        <v>984</v>
      </c>
      <c r="DC133" s="331" t="s">
        <v>984</v>
      </c>
      <c r="DD133" s="331" t="s">
        <v>984</v>
      </c>
      <c r="DE133" s="331" t="s">
        <v>984</v>
      </c>
      <c r="DF133" s="331" t="s">
        <v>984</v>
      </c>
      <c r="DG133" s="331" t="s">
        <v>984</v>
      </c>
      <c r="DH133" s="331" t="s">
        <v>984</v>
      </c>
      <c r="DI133" s="331" t="s">
        <v>984</v>
      </c>
      <c r="DJ133" s="331" t="s">
        <v>984</v>
      </c>
      <c r="DK133" s="331" t="s">
        <v>984</v>
      </c>
      <c r="DL133" s="331" t="s">
        <v>984</v>
      </c>
      <c r="DM133" s="331" t="s">
        <v>984</v>
      </c>
      <c r="DN133" s="331" t="s">
        <v>984</v>
      </c>
      <c r="DO133" s="331" t="s">
        <v>984</v>
      </c>
      <c r="DP133" s="331" t="s">
        <v>984</v>
      </c>
      <c r="DQ133" s="331" t="s">
        <v>984</v>
      </c>
      <c r="DR133" s="331" t="s">
        <v>984</v>
      </c>
      <c r="DS133" s="331" t="s">
        <v>984</v>
      </c>
      <c r="DT133" s="331" t="s">
        <v>984</v>
      </c>
      <c r="DU133" s="331" t="s">
        <v>984</v>
      </c>
      <c r="DV133" s="331" t="s">
        <v>984</v>
      </c>
      <c r="DW133" s="331" t="s">
        <v>984</v>
      </c>
      <c r="DX133" s="331" t="s">
        <v>984</v>
      </c>
      <c r="DY133" s="331" t="s">
        <v>984</v>
      </c>
      <c r="DZ133" s="331" t="s">
        <v>984</v>
      </c>
      <c r="EA133" s="331" t="s">
        <v>984</v>
      </c>
      <c r="EB133" s="331" t="s">
        <v>984</v>
      </c>
      <c r="EC133" s="331" t="s">
        <v>984</v>
      </c>
      <c r="ED133" s="331" t="s">
        <v>984</v>
      </c>
      <c r="EE133" s="331" t="s">
        <v>984</v>
      </c>
      <c r="EF133" s="331" t="s">
        <v>984</v>
      </c>
      <c r="EG133" s="331" t="s">
        <v>984</v>
      </c>
      <c r="EH133" s="331" t="s">
        <v>984</v>
      </c>
      <c r="EI133" s="331" t="s">
        <v>984</v>
      </c>
      <c r="EJ133" s="331" t="s">
        <v>984</v>
      </c>
      <c r="EK133" s="331" t="s">
        <v>984</v>
      </c>
      <c r="EL133" s="331" t="s">
        <v>984</v>
      </c>
      <c r="EM133" s="331" t="s">
        <v>984</v>
      </c>
      <c r="EN133" s="331" t="s">
        <v>984</v>
      </c>
      <c r="EO133" s="331" t="s">
        <v>984</v>
      </c>
      <c r="EP133" s="331" t="s">
        <v>984</v>
      </c>
      <c r="EQ133" s="331" t="s">
        <v>984</v>
      </c>
      <c r="ER133" s="331" t="s">
        <v>984</v>
      </c>
      <c r="ES133" s="331" t="s">
        <v>984</v>
      </c>
      <c r="ET133" s="331" t="s">
        <v>984</v>
      </c>
      <c r="EU133" s="331" t="s">
        <v>984</v>
      </c>
      <c r="EV133" s="331" t="s">
        <v>984</v>
      </c>
      <c r="EW133" s="331" t="s">
        <v>984</v>
      </c>
      <c r="EX133" s="331" t="s">
        <v>984</v>
      </c>
      <c r="EY133" s="331" t="s">
        <v>984</v>
      </c>
      <c r="EZ133" s="331" t="s">
        <v>984</v>
      </c>
      <c r="FA133" s="331" t="s">
        <v>984</v>
      </c>
      <c r="FB133" s="331" t="s">
        <v>191</v>
      </c>
      <c r="FC133" s="331" t="s">
        <v>984</v>
      </c>
      <c r="FD133" s="331" t="s">
        <v>984</v>
      </c>
      <c r="FE133" s="331" t="s">
        <v>984</v>
      </c>
      <c r="FF133" s="331" t="s">
        <v>984</v>
      </c>
      <c r="FG133" s="331" t="s">
        <v>984</v>
      </c>
      <c r="FH133" s="331" t="s">
        <v>984</v>
      </c>
      <c r="FI133" s="331" t="s">
        <v>984</v>
      </c>
      <c r="FJ133" s="331" t="s">
        <v>984</v>
      </c>
      <c r="FK133" s="331" t="s">
        <v>984</v>
      </c>
      <c r="FL133" s="331" t="s">
        <v>984</v>
      </c>
      <c r="FM133" s="331" t="s">
        <v>984</v>
      </c>
      <c r="FN133" s="331" t="s">
        <v>984</v>
      </c>
      <c r="FO133" s="331" t="s">
        <v>984</v>
      </c>
      <c r="FP133" s="331" t="s">
        <v>984</v>
      </c>
      <c r="FQ133" s="331" t="s">
        <v>984</v>
      </c>
      <c r="FR133" s="331" t="s">
        <v>984</v>
      </c>
      <c r="FS133" s="331" t="s">
        <v>984</v>
      </c>
      <c r="FT133" s="331" t="s">
        <v>984</v>
      </c>
      <c r="FU133" s="331" t="s">
        <v>984</v>
      </c>
      <c r="FV133" s="331" t="s">
        <v>984</v>
      </c>
      <c r="FW133" s="331" t="s">
        <v>984</v>
      </c>
      <c r="FX133" s="331" t="s">
        <v>984</v>
      </c>
      <c r="FY133" s="331" t="s">
        <v>984</v>
      </c>
      <c r="FZ133" s="331" t="s">
        <v>984</v>
      </c>
      <c r="GA133" s="331" t="s">
        <v>984</v>
      </c>
      <c r="GB133" s="331" t="s">
        <v>984</v>
      </c>
      <c r="GC133" s="331" t="s">
        <v>984</v>
      </c>
      <c r="GD133" s="331" t="s">
        <v>984</v>
      </c>
      <c r="GE133" s="331" t="s">
        <v>984</v>
      </c>
      <c r="GF133" s="331" t="s">
        <v>984</v>
      </c>
      <c r="GG133" s="331" t="s">
        <v>984</v>
      </c>
      <c r="GH133" s="331" t="s">
        <v>984</v>
      </c>
      <c r="GI133" s="331" t="s">
        <v>984</v>
      </c>
      <c r="GJ133" s="331" t="s">
        <v>984</v>
      </c>
      <c r="GK133" s="331" t="s">
        <v>984</v>
      </c>
      <c r="GL133" s="331" t="s">
        <v>984</v>
      </c>
      <c r="GM133" s="331" t="s">
        <v>984</v>
      </c>
      <c r="GN133" s="331" t="s">
        <v>984</v>
      </c>
      <c r="GO133" s="331" t="s">
        <v>984</v>
      </c>
      <c r="GP133" s="331" t="s">
        <v>984</v>
      </c>
      <c r="GQ133" s="331" t="s">
        <v>984</v>
      </c>
      <c r="GR133" s="331" t="s">
        <v>984</v>
      </c>
      <c r="GS133" s="331" t="s">
        <v>984</v>
      </c>
      <c r="GT133" s="331" t="s">
        <v>984</v>
      </c>
      <c r="GU133" s="331" t="s">
        <v>984</v>
      </c>
      <c r="GV133" s="331" t="s">
        <v>984</v>
      </c>
      <c r="GW133" s="331" t="s">
        <v>984</v>
      </c>
      <c r="GX133" s="331" t="s">
        <v>984</v>
      </c>
      <c r="GY133" s="331" t="s">
        <v>984</v>
      </c>
      <c r="GZ133" s="331" t="s">
        <v>984</v>
      </c>
      <c r="HA133" s="331" t="s">
        <v>984</v>
      </c>
      <c r="HB133" s="331" t="s">
        <v>984</v>
      </c>
      <c r="HC133" s="331" t="s">
        <v>984</v>
      </c>
      <c r="HD133" s="331" t="s">
        <v>984</v>
      </c>
      <c r="HE133" s="331" t="s">
        <v>984</v>
      </c>
      <c r="HF133" s="331" t="s">
        <v>984</v>
      </c>
      <c r="HG133" s="331" t="s">
        <v>984</v>
      </c>
      <c r="HH133" s="331" t="s">
        <v>984</v>
      </c>
      <c r="HI133" s="331" t="s">
        <v>984</v>
      </c>
      <c r="HJ133" s="331" t="s">
        <v>984</v>
      </c>
      <c r="HK133" s="331" t="s">
        <v>984</v>
      </c>
      <c r="HL133" s="331" t="s">
        <v>984</v>
      </c>
      <c r="HM133" s="331" t="s">
        <v>191</v>
      </c>
      <c r="HN133" s="331" t="s">
        <v>191</v>
      </c>
      <c r="HO133" s="331" t="s">
        <v>191</v>
      </c>
      <c r="HP133" s="331" t="s">
        <v>191</v>
      </c>
      <c r="HQ133" s="331" t="s">
        <v>170</v>
      </c>
      <c r="HR133" s="331" t="s">
        <v>429</v>
      </c>
      <c r="HS133" s="331" t="s">
        <v>169</v>
      </c>
      <c r="HT133" s="331" t="s">
        <v>427</v>
      </c>
      <c r="HU133" s="331" t="s">
        <v>984</v>
      </c>
      <c r="HV133" s="331" t="s">
        <v>984</v>
      </c>
    </row>
  </sheetData>
  <sheetProtection autoFilter="0"/>
  <autoFilter ref="A4:HV133" xr:uid="{00000000-0009-0000-0000-000009000000}"/>
  <sortState ref="A5:HV133">
    <sortCondition ref="Q5:Q133"/>
  </sortState>
  <conditionalFormatting sqref="O106">
    <cfRule type="duplicateValues" dxfId="3" priority="5"/>
  </conditionalFormatting>
  <conditionalFormatting sqref="O4">
    <cfRule type="duplicateValues" dxfId="2" priority="1"/>
  </conditionalFormatting>
  <conditionalFormatting sqref="O1:O3 O5:O105">
    <cfRule type="duplicateValues" dxfId="1" priority="32"/>
  </conditionalFormatting>
  <conditionalFormatting sqref="O107:O133">
    <cfRule type="duplicateValues" dxfId="0" priority="37"/>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3FE50328F9312647AF96F9DB9070BB15" ma:contentTypeVersion="23" ma:contentTypeDescription="Create a new document." ma:contentTypeScope="" ma:versionID="9f0b6c0da1ff726001c10e9981d390a4">
  <xsd:schema xmlns:xsd="http://www.w3.org/2001/XMLSchema" xmlns:xs="http://www.w3.org/2001/XMLSchema" xmlns:p="http://schemas.microsoft.com/office/2006/metadata/properties" xmlns:ns2="4d26f180-144a-42ee-8122-e88c3adfe28e" xmlns:ns3="74c693eb-c119-4d22-855e-574c8d8ba48d" xmlns:ns4="e8240a81-3eda-4d5a-9b4e-ee250ef1a0e2" targetNamespace="http://schemas.microsoft.com/office/2006/metadata/properties" ma:root="true" ma:fieldsID="f4978a55eca63ff59e2badf4f0c58b2e" ns2:_="" ns3:_="" ns4:_="">
    <xsd:import namespace="4d26f180-144a-42ee-8122-e88c3adfe28e"/>
    <xsd:import namespace="74c693eb-c119-4d22-855e-574c8d8ba48d"/>
    <xsd:import namespace="e8240a81-3eda-4d5a-9b4e-ee250ef1a0e2"/>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SharedWithUsers" minOccurs="0"/>
                <xsd:element ref="ns3:SharedWithDetails" minOccurs="0"/>
                <xsd:element ref="ns4:MediaServiceEventHashCode" minOccurs="0"/>
                <xsd:element ref="ns4:MediaServiceGenerationTime" minOccurs="0"/>
                <xsd:element ref="ns4:MediaServiceAutoTags" minOccurs="0"/>
                <xsd:element ref="ns4:MediaServiceOCR" minOccurs="0"/>
                <xsd:element ref="ns4:MediaServiceDateTake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8240a81-3eda-4d5a-9b4e-ee250ef1a0e2" elementFormDefault="qualified">
    <xsd:import namespace="http://schemas.microsoft.com/office/2006/documentManagement/types"/>
    <xsd:import namespace="http://schemas.microsoft.com/office/infopath/2007/PartnerControls"/>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DateTaken" ma:index="24" nillable="true" ma:displayName="MediaServiceDateTaken" ma:hidden="true" ma:internalName="MediaServiceDateTaken"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301d8099-d132-40b0-ae0a-bd77b23f6837" ContentTypeId="0x0101009C2B7C2BCED2CC498D2131C55000F427" PreviousValue="false"/>
</file>

<file path=customXml/item3.xml><?xml version="1.0" encoding="utf-8"?>
<p:properties xmlns:p="http://schemas.microsoft.com/office/2006/metadata/properties" xmlns:xsi="http://www.w3.org/2001/XMLSchema-instance" xmlns:pc="http://schemas.microsoft.com/office/infopath/2007/PartnerControls">
  <documentManagement>
    <SharedWithUsers xmlns="74c693eb-c119-4d22-855e-574c8d8ba48d">
      <UserInfo>
        <DisplayName>Anita Patel</DisplayName>
        <AccountId>87</AccountId>
        <AccountType/>
      </UserInfo>
      <UserInfo>
        <DisplayName>Vanessa Fearn</DisplayName>
        <AccountId>182</AccountId>
        <AccountType/>
      </UserInfo>
    </SharedWithUsers>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76EF78-D5D5-4168-884D-91F73F6ED9E7}"/>
</file>

<file path=customXml/itemProps2.xml><?xml version="1.0" encoding="utf-8"?>
<ds:datastoreItem xmlns:ds="http://schemas.openxmlformats.org/officeDocument/2006/customXml" ds:itemID="{FB675D31-CD8C-4EE7-A3B8-0AADA05FB832}">
  <ds:schemaRefs>
    <ds:schemaRef ds:uri="Microsoft.SharePoint.Taxonomy.ContentTypeSync"/>
  </ds:schemaRefs>
</ds:datastoreItem>
</file>

<file path=customXml/itemProps3.xml><?xml version="1.0" encoding="utf-8"?>
<ds:datastoreItem xmlns:ds="http://schemas.openxmlformats.org/officeDocument/2006/customXml" ds:itemID="{433EE53A-13E2-4BCE-828F-DFB1EABA60D3}">
  <ds:schemaRefs>
    <ds:schemaRef ds:uri="74c693eb-c119-4d22-855e-574c8d8ba48d"/>
    <ds:schemaRef ds:uri="http://purl.org/dc/elements/1.1/"/>
    <ds:schemaRef ds:uri="http://schemas.microsoft.com/office/2006/metadata/properties"/>
    <ds:schemaRef ds:uri="4d26f180-144a-42ee-8122-e88c3adfe28e"/>
    <ds:schemaRef ds:uri="http://schemas.microsoft.com/office/infopath/2007/PartnerControls"/>
    <ds:schemaRef ds:uri="http://purl.org/dc/terms/"/>
    <ds:schemaRef ds:uri="e8240a81-3eda-4d5a-9b4e-ee250ef1a0e2"/>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ADDEC4A8-E2F4-4CA6-A55B-49CF16A2C6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vt:lpstr>
      <vt:lpstr>Contents and guidance</vt:lpstr>
      <vt:lpstr>Data dictionary</vt:lpstr>
      <vt:lpstr>T1 In-year inspections</vt:lpstr>
      <vt:lpstr>T2 In-year standards</vt:lpstr>
      <vt:lpstr>T3 In-year monitoring</vt:lpstr>
      <vt:lpstr>T4 Most recent inspections</vt:lpstr>
      <vt:lpstr>D1a In-year standard inspects</vt:lpstr>
      <vt:lpstr>D1b In-year additional</vt:lpstr>
      <vt:lpstr>D2 Most recent inspections</vt:lpstr>
      <vt:lpstr>InYear</vt:lpstr>
      <vt:lpstr>Monitoring</vt:lpstr>
      <vt:lpstr>SoN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Management information - non-association independent schools as at 31 December 2019</dc:title>
  <dc:subject/>
  <dc:creator/>
  <cp:keywords>Ofsted management information inspections of independent schools</cp:keywords>
  <dc:description/>
  <cp:lastModifiedBy/>
  <cp:revision/>
  <dcterms:created xsi:type="dcterms:W3CDTF">2006-09-16T00:00:00Z</dcterms:created>
  <dcterms:modified xsi:type="dcterms:W3CDTF">2020-02-11T10:29:03Z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0x0101009C2B7C2BCED2CC498D2131C55000F427003FE50328F9312647AF96F9DB9070BB15</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y fmtid="{D5CDD505-2E9C-101B-9397-08002B2CF9AE}" pid="7" name="AuthorIds_UIVersion_512">
    <vt:lpwstr>123</vt:lpwstr>
  </property>
  <property fmtid="{D5CDD505-2E9C-101B-9397-08002B2CF9AE}" pid="8" name="AuthorIds_UIVersion_20">
    <vt:lpwstr>123</vt:lpwstr>
  </property>
  <property fmtid="{D5CDD505-2E9C-101B-9397-08002B2CF9AE}" pid="9" name="AuthorIds_UIVersion_11">
    <vt:lpwstr>123</vt:lpwstr>
  </property>
  <property fmtid="{D5CDD505-2E9C-101B-9397-08002B2CF9AE}" pid="10" name="AuthorIds_UIVersion_2">
    <vt:lpwstr>123</vt:lpwstr>
  </property>
</Properties>
</file>